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7"/>
  <workbookPr defaultThemeVersion="166925"/>
  <mc:AlternateContent xmlns:mc="http://schemas.openxmlformats.org/markup-compatibility/2006">
    <mc:Choice Requires="x15">
      <x15ac:absPath xmlns:x15ac="http://schemas.microsoft.com/office/spreadsheetml/2010/11/ac" url="Z:\SISTEMATIZACION\REQUERIMIENTO SISTEMATIZACION\CONTROLES DIARIOS\BAJADAS PARA RESPONDER TODO\1_BAJADAS PROCEDIMIENTO GENERAL\"/>
    </mc:Choice>
  </mc:AlternateContent>
  <xr:revisionPtr revIDLastSave="0" documentId="8_{AB649ED8-31EF-4DD5-9A77-589249B20F66}" xr6:coauthVersionLast="36" xr6:coauthVersionMax="36" xr10:uidLastSave="{00000000-0000-0000-0000-000000000000}"/>
  <bookViews>
    <workbookView xWindow="0" yWindow="0" windowWidth="20490" windowHeight="7545"/>
  </bookViews>
  <sheets>
    <sheet name="archivo (20)" sheetId="1" r:id="rId1"/>
  </sheets>
  <calcPr calcId="191029"/>
</workbook>
</file>

<file path=xl/calcChain.xml><?xml version="1.0" encoding="utf-8"?>
<calcChain xmlns="http://schemas.openxmlformats.org/spreadsheetml/2006/main">
  <c r="Q5397" i="1" l="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sharedStrings.xml><?xml version="1.0" encoding="utf-8"?>
<sst xmlns="http://schemas.openxmlformats.org/spreadsheetml/2006/main" count="159963" uniqueCount="16482">
  <si>
    <t>ParteNumero</t>
  </si>
  <si>
    <t>ParteAnio</t>
  </si>
  <si>
    <t>Problematica</t>
  </si>
  <si>
    <t>Estado_Parte</t>
  </si>
  <si>
    <t>PartRelacionado</t>
  </si>
  <si>
    <t>ID_Juzgado_Fiscalia</t>
  </si>
  <si>
    <t>Juzgado_o_Fiscalia</t>
  </si>
  <si>
    <t>ID_Secretaria</t>
  </si>
  <si>
    <t>Secretaria</t>
  </si>
  <si>
    <t>ID_Juez</t>
  </si>
  <si>
    <t>Juez_Apellido</t>
  </si>
  <si>
    <t>Juez_Nombres</t>
  </si>
  <si>
    <t>Fecha_Causa_Judicial</t>
  </si>
  <si>
    <t>Secretario</t>
  </si>
  <si>
    <t>Caratula_Judicial</t>
  </si>
  <si>
    <t>Caratula_Judicial_Numero</t>
  </si>
  <si>
    <t>Causa_Interna_Numero</t>
  </si>
  <si>
    <t>Causa_Interna_Caratula</t>
  </si>
  <si>
    <t>Causa_Interna_Caratula_Provisoria</t>
  </si>
  <si>
    <t>ID_Hecho</t>
  </si>
  <si>
    <t>Hecho</t>
  </si>
  <si>
    <t>ID_Tipo_Parte</t>
  </si>
  <si>
    <t>Tipo_Parte</t>
  </si>
  <si>
    <t>ID_Tipo_Procedimiento</t>
  </si>
  <si>
    <t>Tipo_Procedimiento</t>
  </si>
  <si>
    <t>ID_En_Conjunto_Con</t>
  </si>
  <si>
    <t>En_Conjunto_Con</t>
  </si>
  <si>
    <t>ID_Clasificacion</t>
  </si>
  <si>
    <t>Clasificacion</t>
  </si>
  <si>
    <t>Fecha_Procedimiento/Hecho</t>
  </si>
  <si>
    <t>Hecho_Hora</t>
  </si>
  <si>
    <t>Denuncia_Fecha</t>
  </si>
  <si>
    <t>Denuncia_Hora</t>
  </si>
  <si>
    <t>ID_Regional</t>
  </si>
  <si>
    <t>Regional</t>
  </si>
  <si>
    <t>ID_Unidad_Operativa</t>
  </si>
  <si>
    <t>Unidad_Operativa</t>
  </si>
  <si>
    <t>ID_Lugar</t>
  </si>
  <si>
    <t>Lugar_Clasificado</t>
  </si>
  <si>
    <t>Lugar_PuntoReferencia</t>
  </si>
  <si>
    <t>Lugar_Otro</t>
  </si>
  <si>
    <t>ID_Correo</t>
  </si>
  <si>
    <t>Correo</t>
  </si>
  <si>
    <t>Correo_Enviado</t>
  </si>
  <si>
    <t>Correo_Recibido</t>
  </si>
  <si>
    <t>Relato</t>
  </si>
  <si>
    <t>Detenidos_Comunicados</t>
  </si>
  <si>
    <t>Detenidos_Incomunicados</t>
  </si>
  <si>
    <t>Aprehendidos</t>
  </si>
  <si>
    <t>Observaciones2</t>
  </si>
  <si>
    <t>ID_EmpOrg_Dam</t>
  </si>
  <si>
    <t>EmpOrg_Dam</t>
  </si>
  <si>
    <t>ID_EmpOrg_Den</t>
  </si>
  <si>
    <t>EmpOrg_Den</t>
  </si>
  <si>
    <t>ID_EmpOrg_Res</t>
  </si>
  <si>
    <t>EmpOrg_Res</t>
  </si>
  <si>
    <t>ID_Empresa_Aerea</t>
  </si>
  <si>
    <t>Empresa_Aerea</t>
  </si>
  <si>
    <t>Vuelo_Codigo</t>
  </si>
  <si>
    <t>Vuelo_arribo</t>
  </si>
  <si>
    <t>Vuelo_Despegue</t>
  </si>
  <si>
    <t>ID_Pais_Procedencia</t>
  </si>
  <si>
    <t>Pais_Procedencia</t>
  </si>
  <si>
    <t>Ciudad_Procendencia</t>
  </si>
  <si>
    <t>ID_Pais_Escala</t>
  </si>
  <si>
    <t>Pais_Escala</t>
  </si>
  <si>
    <t>Ciudad_Escala</t>
  </si>
  <si>
    <t>ID_Pais_Destino</t>
  </si>
  <si>
    <t>Pais_Destino</t>
  </si>
  <si>
    <t>Ciudad_Destino</t>
  </si>
  <si>
    <t>Informe_Fecha</t>
  </si>
  <si>
    <t>Informe_Hora</t>
  </si>
  <si>
    <t>Robo / Hurto</t>
  </si>
  <si>
    <t>DISPONIBLE PARA ESTADISTICA</t>
  </si>
  <si>
    <t>fiscalia Nacional en lo Correccional nº 07</t>
  </si>
  <si>
    <t>Secretaria Unica</t>
  </si>
  <si>
    <t>ORFILA</t>
  </si>
  <si>
    <t>EDGARDO JOSE MARIANO</t>
  </si>
  <si>
    <t>HURTO NN</t>
  </si>
  <si>
    <t>DELICTIVO</t>
  </si>
  <si>
    <t>PARTE URGENTE</t>
  </si>
  <si>
    <t>CONTROL PREVENTIVO</t>
  </si>
  <si>
    <t>N/C</t>
  </si>
  <si>
    <t>robo_hurto</t>
  </si>
  <si>
    <t>UNIDAD REGIONAL I DEL ESTE</t>
  </si>
  <si>
    <t>UOSP METROPOLITANA</t>
  </si>
  <si>
    <t>HALL PUBLICO TERMINAL A</t>
  </si>
  <si>
    <t>CONFITERIA ´TIENDA DE CAFE´FRENTE AL PUESTO DE DIARIOS DEL SECTOR ARRIBOS A1</t>
  </si>
  <si>
    <t>SECTOR ARRIBO A1</t>
  </si>
  <si>
    <t>SIENDO LA HORA Y LA FECHA ANTES MENCIONADA SE PRESENTA EN LA GUARDIA DE PREVENCION LA DENUNCIANTE PARA INFORMAR QUE AL FINALIZAR EL CHEQUEO DE SU PASAJE SE DIRIGIO A LA CONFITERIA A FIN DE BEBER UN REFRESCO Y COLOCO SU PORTADOCUMENTOS EL CUAL CONTENIA SU PASAPORTE DE ORIGEN MEXICANO DEL CUAL NO RECUERDA SU NUMERACION Y LA SUMA DE SEISCIENTOS DOLARES ESTADOUNIDENSES SOBRE SU VALIJA Y A LOS POCOS SEGUNDOS SE PERCATO DEL FALTANTE DE DICHO PORTADOCUMENTOS POR LO QUE DECIDE TRASLADARSE A ESTA DEPENDENCIA POLICIAL A FIN DE RADICAR LA CORRESPONDIENTE DENUNCIA.</t>
  </si>
  <si>
    <t>LAN ARGENTINA</t>
  </si>
  <si>
    <t>Argentina</t>
  </si>
  <si>
    <t>IGUAZU</t>
  </si>
  <si>
    <t>Restricciones a la Libertad</t>
  </si>
  <si>
    <t>Juzgado Nacional en lo Penal Económico Nº 06</t>
  </si>
  <si>
    <t>Secretaria N 11</t>
  </si>
  <si>
    <t>Aguinsky</t>
  </si>
  <si>
    <t>Marcelo Ignacio</t>
  </si>
  <si>
    <t>Javier KRAUSE MAYOL</t>
  </si>
  <si>
    <t>LUKEZIC VICTOR HUGO S/AVERIGUACIÓN DE CONTRABANDO</t>
  </si>
  <si>
    <t>ORDEN DE CAPTURA</t>
  </si>
  <si>
    <t>MIGRACIONES</t>
  </si>
  <si>
    <t>libertad_personal</t>
  </si>
  <si>
    <t>UOSP EZEIZA</t>
  </si>
  <si>
    <t>SECTOR RESTRINGIDO TERMINAL B</t>
  </si>
  <si>
    <t>BOX DE MIGRACIONES</t>
  </si>
  <si>
    <t>AL REALIZAR EL TRAMITE MIGRATORIO PARA INGRESAR AL PAIS EL PASAJERO VICTOR HUGO LUKEZIC REGISTRA EN EL SISTEMA INFORMÁTICO DE LA D.N.M., ORDEN DE CAPTURA SOLICITADA POR EL JUZGADO MENCIONADO. POR TAL MOTIVO ESE ORGANISMO LO REMITE A ESTA GUARDIA DE PREVENCIÓN, DONDE SE ESTABLECE COMUNICACIÓN CON EL JUZGADO REQUIERENTE DE LA CAPTURA, ORDENANDO EL MISMO QUE SE PROCEDA A NOTIFICAR AL MISMO QUE DEBERÁ COMPARARECER A SEDE JUDICIAL EL DÍA CUATRO DEL CORRIENTE MES Y AÑO, SE SECUESTRE SU DOCUMENTACIÓN DE IDENTIDAD Y SE CONSTATE DOMICILIO. SEGUIDAMENTE SE RECIBE LA RESPUESTA SOBRE LA SOLICITUD DE INFORME DE ANTECEDENTES DEL SR. LUKEZIC DE INTERPOL EZEIZA, DANDO COMO RESULTADO QUE EL MISMO POSEE UNA DETENCIÓN VIGENTE DE FECHA 04/12/2002 A SOLICITUD DEL JUZGADO FEDERAL DE PASO DE LOS LIBRES, SECRETARIA CRIMINAL CORRECCIONAL DE LEYES ESPECIALES NRO. 1, EN CAUSA CARATULADA SUPUESTO CONTRABANDO. SE INTENTO MANTENER COMUNICACIÓN CON EL JUZGADO MENCIONADO SIENDO INFRUCTUOSA LA MISMA. POR TAL MOTIVO SE CONSULTO AL JUZGADO FEDERAL NRO. 2 DE LOMAS DE ZAMORA A CARGO DEL DR. CARLOS ALBERTO FERREIRO PELLA, SECRETARIA NRO. 6 A CARGO DEL DR. JOSE LUIS D´ABONDIO, QUIEN DISPUSO SE PROCEDA A LA DETENCIÓN DEL SR. LUKEZIC EN CARACTER DE COMUNICADO</t>
  </si>
  <si>
    <t>S/D</t>
  </si>
  <si>
    <t>AEROLINEAS ARGENTINAS</t>
  </si>
  <si>
    <t>AR1141</t>
  </si>
  <si>
    <t>Italia</t>
  </si>
  <si>
    <t>ROMA</t>
  </si>
  <si>
    <t>BUENOS AIRES - EZEIZA</t>
  </si>
  <si>
    <t>UFI Nº 1 de Ezeiza</t>
  </si>
  <si>
    <t>BRUZZONE</t>
  </si>
  <si>
    <t>Ricardo</t>
  </si>
  <si>
    <t>HURTO</t>
  </si>
  <si>
    <t>HALL PUBLICO TERMINAL B</t>
  </si>
  <si>
    <t>LOCAL DE IPAX DE LA TERMINAL B DE ESTE MEDIO</t>
  </si>
  <si>
    <t>EL DENUNCIANTE SE ENCONTRABA EN LAS OFICINAS DE I PAX DE LA TERMINAL A DE ESTE MEDIO, CUMPLIENDO LA FUNCIÓN DE SUPERVISOR DEL DÍA DE LA FECHA, CUANDO ES ANOTICIADO POR UNO DE LOS EMPLEADOS DE LA EMPRESA QUE HABRÍAN SUSTRAÍDO UN POS NET DEL LOCAL DE LA TERMINAL B. POR TAL MOTIVO SE PRESENTA EN ESTA GUARDIA DE REALIZAR LA DENUNCIA. QUE EL APARATO SE ENCONTRABA ENCIMA DEL MOSTRADOR POR LO QUE ESTABA AL ALCANCE DE CUALQUIER PERSONA</t>
  </si>
  <si>
    <t>I PAX</t>
  </si>
  <si>
    <t>Control de Vuelos Especiales</t>
  </si>
  <si>
    <t>NO DISPONIBLE PARA DICA</t>
  </si>
  <si>
    <t>NO DELICTIVO</t>
  </si>
  <si>
    <t>sin_clasificar</t>
  </si>
  <si>
    <t>UNIDAD REGIONAL III DEL NORTE</t>
  </si>
  <si>
    <t>UOSP LA RIOJA</t>
  </si>
  <si>
    <t>INFORMO DE ACUERDO A ORDEN DE SERVICIO Nº 0156/09 DE FECHA 22 DE DICIEMBRE DE 2009 DE LA DROPA -URSA III DEL NORTE- EN EL DIA DE LA FECHA A HS 07.30 DIO INICIO OPERATIVO DE SEGURIDAD PARA EL EVENTO RALLY DAKAR EN ESTA JURISDICCION.</t>
  </si>
  <si>
    <t>General - Delictivo</t>
  </si>
  <si>
    <t>DE 1º INST EN LO PENAL CONT Y DE FALTAS Nº 25</t>
  </si>
  <si>
    <t>Secretaria N 14</t>
  </si>
  <si>
    <t>Albaca</t>
  </si>
  <si>
    <t>Carlos</t>
  </si>
  <si>
    <t>garcia</t>
  </si>
  <si>
    <t>prueba</t>
  </si>
  <si>
    <t>re prueba</t>
  </si>
  <si>
    <t>INVESTIGACION</t>
  </si>
  <si>
    <t>PREEMBARQUE</t>
  </si>
  <si>
    <t>nnnnnnnnnnnnnnnnnnn</t>
  </si>
  <si>
    <t>FEDERAL EXPRESS</t>
  </si>
  <si>
    <t>nnnn</t>
  </si>
  <si>
    <t>este en un parte de prueba</t>
  </si>
  <si>
    <t>AEROCHACO</t>
  </si>
  <si>
    <t>Afganistán</t>
  </si>
  <si>
    <t>Argelia</t>
  </si>
  <si>
    <t>nnn</t>
  </si>
  <si>
    <t>Arabia Saudí</t>
  </si>
  <si>
    <t>Permisos Personales Aeroportuarios (extravios)</t>
  </si>
  <si>
    <t>DENUNCIA</t>
  </si>
  <si>
    <t>DENTRO DE LAS INSTALACIONES DE ESTE AEROPUERTO</t>
  </si>
  <si>
    <t>EN EL DIA DE LA FECHA, SIENDO EL HORARIO ANTES MENCIONADO, SE PRESENTA EN ESTA GUARDIA DE PREVENCION LA DENUNCIANTE MANIFESTANDO HABER EXTRAVIADO SU PERMISO PERSONAL DE SEGURIDAD AEROPORTUARIO SNA, DENTRO DE LAS INSTALACIONES DE ESTE AEROPUERTO METROPOLITANO, SIN RECORDAR EL LUGAR EXACTO DONDE LO EXTRAVIO. SE LABRA DENUNCIA DE EXTRAVIO Nº 002/10.</t>
  </si>
  <si>
    <t>INFORMO DE ACUERDO A ORDEN SERVICIO Nº 156/09 DE FECHA 22-DIC-09 DE LA DROPA -URSA III DEL NORTE- EN EL DIA DE LA FECHA SE DA INICIO A OPERATIVO DE SEGURIDAD ANTE EVENTO DEPORTIVO RALLY DAKAR EN ESTA JURISDICCION. EL MISMO SE EXTENDERA HASTA EL DIA 05-ENE-10 CONTANDO CON PERSONAL DE REFUERZO DE OTRAS UOSP Y DOESA -GEDEX-. PEDRO GONZALEZ -CONTROL Nº 500.665- UOSP CATAMARCA</t>
  </si>
  <si>
    <t>FISCALIA NACIONAL CRIMINAL DE INSTRUCCION Nº 17</t>
  </si>
  <si>
    <t>DR PERALTA</t>
  </si>
  <si>
    <t>Omar Anibal</t>
  </si>
  <si>
    <t>DR. DANIEL ESTEBAN BERMUDEZ</t>
  </si>
  <si>
    <t>ROBO NN</t>
  </si>
  <si>
    <t>VILLA 31, MANZANA 4 - CABA</t>
  </si>
  <si>
    <t>FUERA DE LA JURIDICCION AEROPORTUARIA</t>
  </si>
  <si>
    <t>SIENDO LA HORA ANTES MENCIONADA, SE PRESENTA EL DENUNCIANTE A ESTA GUARDIA DE PREVENCION, MANIFESTANDO QUE EL DIA 31 DE DICIEMBRE DE 2009 EN HORAS DE LA NOCHE, CUANDO SE ENCONTRABA VISITANDO A FAMILIARES EN LA VILLA 31, SE LE ACERCARON DOS HOMBRES JOVENES A LOS QUE NO PUEDE IDETIFICAR NI DESCRIBIR QUIENES COMENZARON A GOLPEARLO Y LE PIDIERON SU CAMISA Y SU GORRA. DEBIDO A LOS GOLPES RECIBIDOS Y A LA INGESTA DE ALCOHOL DEL DENUNCIANTE, PERDIO EL CONOCIMIENTO Y AL DESPERTAR EN EL LUGAR QUE NO PUDO PRECISAR, SE PERCATO QUE LE FALTABAN LOS ELEMENTOS ANTERIORMENTE MENCIONADOS. SE HIZO PRESENTE A PIE EN EL SECTOR A2 DE ESTE AEROPUERTO METROPOLITANO EN HORAS DE LA MAÑANA DEL DIA 01 DE ENERO DEL CORRIENTE AÑO ENTREVISTANDOSE CON EL AGENTE DUARTE QUIEN LO ACOMPAÑO HACIA EL SERVICIO MEDICO DE ESTE AEROPUERTO DENOMINADO SWISS MEDICAL PARA CONSTATAR EL ESTADO DE LAS LESIONES DEL DENUNCIANTE</t>
  </si>
  <si>
    <t>DR FERNANDEZ</t>
  </si>
  <si>
    <t>Eduardo Carlos</t>
  </si>
  <si>
    <t>DR. MARIANO PIÑON</t>
  </si>
  <si>
    <t>AERONAVE</t>
  </si>
  <si>
    <t>POSICION Nº 07 PLATAFORMA COMERCIAL AEROPARQUE JORGE NEWBERY</t>
  </si>
  <si>
    <t>AERONAVE MATRICULA LV WFN</t>
  </si>
  <si>
    <t>QUE EL DIA DE LA FECHA EL PASAJERO DENUNCIANTE, ABORDO EL VUELO DE MENCION, LLEVANDO CONSIGO EN LA CABINA DE PASAJEROS, UNA CAJA RIGIDA CON LA INSCRIPCION NIKON CONTENIENDO UN LENTE MARCA NIKON MODELO CT-605 FOR, SILENT WAVE MOTOR, AF-S NIKKOR ED 600 MM 1 4 D, MADE IN JAPAN, LA CUAL LA AZAFATA LE HIZO COLOCAR POR DEBAJO DEL ULTIMO ASIENTO DE LA AERONAVE CONJUNTAMENTE CON OTROS BOLSOS DE PASAJEROS. AL LLEGAR A DESTINO, LA AZAFATA ENTREGA EN MANO AL DENUNCIANTE DICHA CAJA, PERCATANDOSE EL MISMO QUE LA CAJA ESTABA LIVIANA Y AL ABRIRLA EN SU PRESENCIA NOTA EL FALTANTE DEL LENTE EL CUAL TIENE UN VALOR APROXIMADO DE REPOSICION DE DIEZ MIL DOLARES ESTADOUNIDENSES. SE DIRIGE AL HALL DE ARRIBOS A2 Y OBSERVA LOS PASAJEROS EN LA CINTA DE EQUIPAJES CON RESULTADO NEGATIVO.</t>
  </si>
  <si>
    <t>AUSTRAL LINEAS AEREAS</t>
  </si>
  <si>
    <t>AR 2535</t>
  </si>
  <si>
    <t>CORDOBA</t>
  </si>
  <si>
    <t>CIUDAD AUTONOMA DE BUENOS AIRES</t>
  </si>
  <si>
    <t>Narcotrafico</t>
  </si>
  <si>
    <t>Juzgado Nacional en lo Penal Económico Nº 02</t>
  </si>
  <si>
    <t>Secretaria N 03</t>
  </si>
  <si>
    <t>Petrone</t>
  </si>
  <si>
    <t>Daniel Antonio</t>
  </si>
  <si>
    <t>DRA. LUISA ALBAMONTE</t>
  </si>
  <si>
    <t>TENTATIVA DE CONTRAVANDO DE ESTUPEFACIENTES</t>
  </si>
  <si>
    <t>narcotrafico</t>
  </si>
  <si>
    <t>PATIO DE VALIJAS</t>
  </si>
  <si>
    <t>PATIO DE VALIJAS DE LA TERMINAL A</t>
  </si>
  <si>
    <t>EN MOMENTOS EN QUE SE REALIZABA EL CONTROL DE RAYOS X DE RUTINA SOBRE LOS EQUIPAJES DESPACHADOS A BODEGA, PARA LA EMPRESA AEROCOMERCIAL AIR EUROPA, EN EL VUELO UX 042, REALIZADO POR ESTA UNIDAD OPERACIONAL, SON DETECTADOS DENTRO DE DOS EQUIPAJES PERTENECIENTES A LA MISMA PERSONA, LA PRESENCIA DE SUSTANCIA DE TIPO ORGANICA SIN PODER PRECISAR DE QUE SE TRATABA. MOTIVO POR EL CUAL SE PUSO EN CONOCIMIENTO AL JUZGADO NACIONAL EN LO PENAL ECONOMICO EN TURNO, EL CUAL AUTORIZO LA REQUIZA DE LOS MISMOS, ARROJANDO ESTO ULTIMO RESULTADO POSITIVO EN RELACION A LA BUSQUEDA DE SUSTANCIA PROHIBIDA. EN EL MARCO DE LO ANTES DESCRIPTO SE SECUESTRO LOS SIGUENTES ELEMENTOS, CUATRO CAÑOS DE PLASTICO DE 62 CENTIMETROS DE LARGO Y 2,5 DE DIAMETRO LOS CUALES CONTENIAN SUSTANCIA PROHIBIDA EN EL INTERIOR, MISMOS QUE PESARON CAÑO 1 PESO 268 GRS, CAÑO 2 PESO 318 GRS, CAÑO 3 PESO 300 GRS, CAÑO 4 PESO 312 GRS, CIENTO SECENTA Y UN CAPSULAS SIMILARES A LAS UTILIZADAS PARA LA INGESTA, DISPUESTAS EN EL SECUESTRO EN BOLSA I PESO 774 GRS, BOLSA II PESO 790 GRS, CAJA SAHUMERIO 42 GRS, CAJA SUPOSITORIO PESO 94 GRS Y DOS ELEMENTOS CON SUSTANCIA DISPUESTO PARA EL SECUESTRO COMO BULTO PESO 2 GRS Y ENVOLTORIO PESO 2 GRS. SUMANDO TODO UN TOTAL DE 2902 GRS.///SEGUN PU 119 DE FECHA 08/01/2010 QUE EL DIA 03-01-10 SE PROCEDIO AL TRASLADO DE LA DETENIDA A SEDE JUDICIAL JUNTAMENTE CON LOS ACTUADOS LABRADOS POR ESTA DEPENDENCIA.</t>
  </si>
  <si>
    <t>ESTADO NACIONAL</t>
  </si>
  <si>
    <t>AIR EUROPA</t>
  </si>
  <si>
    <t>UX 042</t>
  </si>
  <si>
    <t>BUENOS AIRES</t>
  </si>
  <si>
    <t>España</t>
  </si>
  <si>
    <t>MADRID</t>
  </si>
  <si>
    <t>DR. RUBEN PASCARIELLO</t>
  </si>
  <si>
    <t>TIENDA DE CAFE</t>
  </si>
  <si>
    <t>HALL SECTOR A2</t>
  </si>
  <si>
    <t>SIENDO LAS 0930 HORAS DEL DIA 01/01/2010 MANIFESTANDO QUE EN MOMENTOS DE ENCONTRARSE EN LA TIENDA DE CAFE HALL SECTOR A2 DE ESTE AEROPARQUE, DESCUIDA AL MOMENTODE ABONAR LA CONSUMICION EN EL LOCAL SU PORTADOCUMENTOS PLASTICO TRANSPARENTE, CON BORDE DE YUTE COLOR MARRON CLARO, Y VARIAS DIVISIONES EN SU INTERIOR, DE TELA DE RED CONTENIENDO EN SU INTERIOR UN PASAPORTE MEXICANO A SU NOMBRE DEL CUAL NO RECUERDA SU NUMERACION Y SEISCIENTOS DOLARES ESTADOSUNIDENSES, PERCATANDOSE MINUTOS DESPUES DEL HURTO DE DICHOS ELEMENTOS</t>
  </si>
  <si>
    <t>DR RUBEN PASCARIELLO</t>
  </si>
  <si>
    <t>BAÑO DE MUJERES - SECTOR PUBLICO</t>
  </si>
  <si>
    <t>SECTOR C</t>
  </si>
  <si>
    <t>EN EL DÍA DE LA FECHA SIENDO APROXIMADAMENTE LAS DIECISÉIS HORAS LA DAMNIFICADA SE HACE PRESENTE EN ESTE AEROPARQUE METROPOLITANO A LOS EFECTOS DE PODER UTILIZAR LAS INSTALACIONES SANITARIAS DE ESTA AEROSTACIÓN. PASADOS UNOS MINUTOS, YA EN EL SANITARIO, LA SEÑORA GUZMAN COLOCO SU CARTERA SOBRE LA MESADA DE DICHO BAÑO Y SACO SU TELÉFONO CELULAR. AL GIRAR HACIA LA DERECHA OBSERVO QUE UNA PERSONA DE SEXO FEMENINO, A LA CUAL NO PUEDO IDENTIFICAR, LA CUAL SALIO RAUDAMENTE DEL LUGAR. AL REGRESAR LA VISTA HACIA LA MESADA ANTES MENCIONADA SE PERCATO DE QUE SU TELÉFONO MÓVIL HABÍA DESAPARECIDO. EN EL DÍA DE LA FECHA SE HACE PRESENTE LA DAMNIFICADA EN ESTA GUARDIA DE PREVENCIÓN A LOS EFECTOS DE RADICAR LA CORRESPONDIENTE DENUNCIA. SIENDO LAS DIECISIETE HORAS SE MANTIENE COMUNICACIÓN CON EL DR. MARIANO PIÑON,SECRETARIO DE LA FISCALIA Nº 7 EL CUAL ORDENA COMISIONAR A PERSONAL POLICIAL AL LUGAR, DEJAR CONSTANCIA DE QUE NO EXISTEN CÁMARAS EN EL SECTOR, CIERRE Y ELEVACIÓN DE LAS ACTUACIONES.</t>
  </si>
  <si>
    <t>Control de Vuelo Presidencial</t>
  </si>
  <si>
    <t>UNIDAD REGIONAL V DE LA PATAGONIA</t>
  </si>
  <si>
    <t>UOSP EL CALAFATE</t>
  </si>
  <si>
    <t>PERIMETRO AEROPUERTO</t>
  </si>
  <si>
    <t>PLATAFORMA</t>
  </si>
  <si>
    <t>SIENDO LAS DIECIOCHO HORAS ARRIBA A ESTE AEROPUERTO T-01 PROCEDENTE DE LA CUIDAD DE BUENOAS AIRES QUEDANDO A LA ESPERA DE LA SR. PRESIDENTA DE LA NACION, SIENDO LAS DIESINUEVE HORAS CON DIEZ MINUTOS NOS INFORMAN QUE LA AERONAVE PERCNOTA EN ESTA AEROESTACION HASTA MAÑANA 04/01/2010 A LA ESPERA DE LA PARTIDA DE LA SR. PRESIDENTA, ESTIMANDO SU PARTIDA A LAS 10.00 APROXIMADAMENTE</t>
  </si>
  <si>
    <t>BUENOS AIERES</t>
  </si>
  <si>
    <t>S/N</t>
  </si>
  <si>
    <t>EL CALAFATE</t>
  </si>
  <si>
    <t>DR. DANIEL ESTABAN BERMUDEZ</t>
  </si>
  <si>
    <t>HURTO AGRAVADO NN</t>
  </si>
  <si>
    <t>SECTOR ARRIBOS AEROPUERTO IGUAZU</t>
  </si>
  <si>
    <t>QUE EL DIA 01 DEL CORRIENTE MES Y AÑO, EL DENUNCIANTE ARRIBO A ESTE AEROPUERTO METROPOLITANO A FIN DE TOMAR EL VUELO ANTES INDICADO HACIA LA CIUDAD DE IGUAZU PROVINCIA DE MISIONES DESPACHANDO EN LOS MOSTRADORES DE ACEPTACION DE LA LINEA AEREA LAN ARGENTINA DOS VALIJAS DE COLOR NEGRA TAMAÑO MEDIANO QUE LE COLOCARON MARBETE Nº LA 442633 Y LA442634. SIENDO LA HORA 1325 HS ARRIBA A LA CIUDAD DE IGUAZU Y LUEGO DE ESPERAR APROXIMADAMENTE 20 MINUTOS SUS EQUIPAJES, SE PERCATA UNA VEZ RECIBIDOS LOS MISMOS, QUE LA VALIJA QUE TENIA EL MARBETE Nº LA442633 SE ENCONTRABA CON UNO DE SUS CIERRES APERTURADOS, ENCONTRANDOSE CON EL FALTANTE DE SU LAPTOP MARCA HP MODELO MINI, UNA CAMARA DIGITAL PANASONIC Y SUS RESPECTIVOS CARGADORES. REALIZA EL RECLAMO EN LOS MOSTRADORES QUE A TAL EFECTO TIENE LA EMPRESA LAN Y EN EL DIA DE LA FECHA SE HACE PRESENTE EN ESTA GUARDIA DE PREVENCION A FIN DE RADICAR LA DENUNCIA DEL HECHO. SE LABRA LA PREVENCION SUMARIA Nº 005-A/10 REALIZANDO LAS ACTUACIONES DE RIGOR.</t>
  </si>
  <si>
    <t>LA 4024</t>
  </si>
  <si>
    <t>IGUAZU - PROVINCIA DE MISIONES</t>
  </si>
  <si>
    <t>JUZGADO Nº 4, TURNO Nº 3 DE LA JUSTICIA DE CORDOBA</t>
  </si>
  <si>
    <t>Actuación Sumarial Nº 130/03 P.S.A. HOMICIDIO SIMPLE</t>
  </si>
  <si>
    <t>130/03</t>
  </si>
  <si>
    <t>UNIDAD REGIONAL II DEL CENTRO</t>
  </si>
  <si>
    <t>UOSP CORDOBA</t>
  </si>
  <si>
    <t>SECTOR RESTRINGIDO TERMINAL A</t>
  </si>
  <si>
    <t>mostradores de migraciones</t>
  </si>
  <si>
    <t>sala de embarque internacional</t>
  </si>
  <si>
    <t>SIENDO LAS 20:15HS APROXIMADAMENTE EL SR. JORGE SICA, LEGAJO 5970, SUPERVISOR DE LA DELEGACIóN CóRDOBA DE LA DIRECCIóN NACIONAL DE MIGRACIONES, DETECTA QUE SOBRE UN PASAJERO PESA, SEGUN EL SISTEMA INFORMATICO DE MIGRACIONES, ORDEN DE CAPTURA, POR LO CUAL HACE ENTREGA EN CALIDAD DE CUSTODIA A ESTA INSTRUCCION MEDIANTE EXPEDIENTE DNM Nº 8087342004, DE FECHA 03/01/2010 AL CIUDADANO ARGENTINO SAVIOLI, MAURICIO FERNANDO DNI Nº 29.110.315 FECHA DE NACIMIENTO 01/09/1981, HIJO DE RAúL OSCAR SAVIOLI Y DE MARTA IGNACIA MORENO, QUE SI SABE LEER Y ESCRIBIR, DOMICILIADO EN CALLE BOEDO Nº 850 DE BARRIO COLONIA LOLA DE LA CIUDAD DE CóRDOBA CAPITAL, TELéFONO Nº 011-1157481427, ORDEN DE CAPTURA ORDENADA POR EL JUZGADO 4, TURNO 3 DE LA JUSTICIA DE LA PROVINCIA DE CóRDOBA, NUMERO DE CAUSA ACTUACIóN SUMARIAL Nº 130/03-P.S.A. "HOMICIDIO SIMPLE". CABE DESTACAR QUE EL PASAJERO EN CUESTION ESTABA POR EMBARCAR EN EL VUELO LAN PERU Nº 4730 CON DESTINO FINAL LIMA, HORARIO DE PARTIDA 21.15 HS. EN VIRTUD DE LO EXPUESTO EL SR. SAVIOLI ES TRASLADADO HASTA LA OFICINA DE GUARDIA A LAS 20:30HS APROXIMADAMENTE, UNA VEZ REQUERIDA LA DOCUMENTACIóN CON LA QUE CUENTA EL CAUSANTE SE RECIBE SU DNI Y UNA COPIA DE UN OFICIO JUDICIAL EMITIDO POR LA JUSTICIA DE LA PROVINCIA DE CóRDOBA FISCALIA DE INSTRUCCIóN DISTRITO JUDICIAL Nº 2 TURNO 6 EN EL CUAL REZA " DEJE SIN EFECTO LA CAPTURA SOBRE EL CIUDADANO SAVIOLI MAURICIO FERNANDO DNI Nº 29.110.315, QUE HABíA SIDO DISPUESTA EL 29 DE OCT DEL 2003. INMEDIATAMENTE SE DA INTERVENCION AL JUZGADO FEDERAL DE TURNO EN LA PERSONA DE SU SECRETARIA PENAL QUIEN ESTABLECE QUE LA CAUSA CORRESPONDE A LA JUSTICIA PROVINCIAL POR LO CUAL ESTA INTRUCCION DEBE PRESTAR COMUNICACION CON LA AUTORIDAD JUDICIAL COMPETENTE. SIENDO LAS 20.35 HS SE ESTABLECE COMUNICACIóN CON LA UNIDAD JUDICIAL Nº 17 DE LA JUSTICIA PROVINCIAL PARA SOLICITAR EL NúMERO DE TELéFONO DE LA FISCALIA QUE HABíA EMITIDO EL PEDIDO DE CAPTURA SOBRE EL CAUSANTE, QUIEN NOS SUMINISTRA EL NUMERO 0351- 4217021 DE LA MESA DE ATENCIóN PERMANENTE DE LA JUSTICIA PROVINCIAL, ACTO SEGUIDO SE ESTABLECE COMUNICACIóN CON DICHO NUMERO REALIZANDO LA MISMA CONSULTA, RECIBIENDO COMO RESPUESTA EL NUMERO DEL SECRETARIO DE LA FISCALIA DE TURNO EL CUAL ES 0351-4821966, INMEDIATAMENTE SE ESTABLECE COMUNICACIóN TELEFóNICA CON EL ULTIMO NUMERO EN LA PERSONA DEL SECRETARIO FISCAL DE TURNO DISTRITO Nº 3 DR. CRISTIAN GRIFI, QUIEN RECIBE LA NOVEDAD TOMA TODOS LOS DATOS Y ME INFORMA QUE A LA BREVEDAD Y LUEGO DE REALIZAR LA AVERIGUACIONES CORRESPONDIENTES SE COMUNICARA NUEVAMENTE CON EL TURNO PSA, PARA DAR DIRECTIVAS A SEGUIR. NUEVAMENTE SE LE INFORMA DE LAS DILIGENCIAS AL JUZGADO FEDERAL DE TURNO QUIEN DISPONE QUE SE CUMPLIMENTEN LAS MEDIDAS ORDENADAS POR EL DR. GRIFII. SIENDO LAS 21:00HS SE COMUNICA CON ESTA INSTRUCCION EL DR. GRIFI, QUIEN DISPONE QUE DE ACUERDO A LOS DATOS QUE CONSTAN EN SU PODER LA CAUSA DEL SR. SAVIOLI SE ENCUENTRA HABIDA DESDE EL 31/12/2005, Y QUE NO PESAN RESTRICCIONES SOBRE SU PERSONA, ANTE LA CONSULTA DE ESTA INSTRUCCION SI NOS PUEDE EXTENDER LA DOCUMENTACION PERTINENTE, EL MISMO MANIFIESTA NEGATIVAMENTE Y QUE EN DEFECTO DE LO REQUERIDO QUE TAL DISPOSICION POR PARTE DE SU PERSONA, LO HAGA CONSTAR EN ACTA. EN RAZON DE LO ACONTECIDO SE PROCEDE A HACER ENTREGA AL SR. SAVIOLI DE SU DNI Y DE LA COPIA DEL OFICIO QUE EL PRESENTÓ, SE LABRARON LAS ACTUACIONES DE RIGOR, DEJANDO CONSTANCIA DE TODO LO ACTUADO. VALE ACLARAR QUE EL SR. SAVIOLI NO PUDO EMBARCAR EN EL VUELO DE REFERENCIA Y SE RETIRO DE ESTA AEROESTACION A LAS 22.00 HS APROXIMADAMENTE SIN NOVEDAD.</t>
  </si>
  <si>
    <t>ESTADO PROVINCIAL</t>
  </si>
  <si>
    <t>LAN PERU</t>
  </si>
  <si>
    <t>LA 4730</t>
  </si>
  <si>
    <t>Perú</t>
  </si>
  <si>
    <t>LIMA</t>
  </si>
  <si>
    <t>PARTE RESERVADO</t>
  </si>
  <si>
    <t>A REQUERIMIENTO DE OTRO ORGANISMO</t>
  </si>
  <si>
    <t>UNIDAD OPERACIONAL DE SEGURIDAD PREVENTIVA DE SALTA</t>
  </si>
  <si>
    <t>SIENDO APROXIMADAMENTE LAS 22.00 HS. DEL DIA 02/01/10. LA SRA. GUANTAY, RESPONSABLE DEL PUESTO DE CONTROL MIGRATORIO DE SALVADOR MAZA, SE COMUNICA CON EL JEFE DE UNIDAD PARA AVISAR DE UN ALERTA DEL CONTROL MIGRATORIO REFERENTE AL CIUDADANO BATTIONI HUMBERTO RAMON, DNI 12.335.925, EN RELACION AL SUMARIO 11.737 DEL JUZGADO PENAL ECONOMICO Nº 6, SECRETARIA 11 CAP. FED., QUIEN SE DISPONIA A SALIR DEL PAIS POR ESE PASO MIGRATORIO, EN UNA FORD ECO SPORT, DOMINIO HYE-420, ACOMPAñADO DE SU ESPOSA E HIJO, CON DESTINO A POSITO BOLIVIA. DICHA ALERTA MIGRATORIA DISPONE DAR INMEDIATO AVISO A LA PSA EVITANDO DAR SOSPECHA PARA EL NOMBRADO, EL SR JEFE DE UNIDAD SOLICITA SE LE ENVIE POR FAX LA INFORMACION DEL CAUSANTE, LA CUAL NO HA SIDO ENVIADA HASTA EL MOMENTO. ASIMISMO EL PERSONAL DE MIGRACIONES INFORMA QUE SE TOMO FOTOCOPIA DEL DOCUMENTO DEL CAUSANTE, LA CUAL SERA EN¡VIADA OPORTUNAMENTE A ESTA POLICIA. LUEGO DE ELLO EL SR BATTIONI CUNTINUA SU SALIDA DEL PAIS.-</t>
  </si>
  <si>
    <t>PERIMETRO DE AEROPUERTO</t>
  </si>
  <si>
    <t>PLATAFORMA OPERATIVA</t>
  </si>
  <si>
    <t>SIENDO LAS DIEZ HORAS CON VEINTE MINUTOS LOCAL DESPEGA T-01 CON LA SRA PRESIDENTA DE LA NACION Y COMITIVA CON DESTINO A LA CIUDAD DE BUENOS AIRES</t>
  </si>
  <si>
    <t>TRANSPORTE PUBLICO</t>
  </si>
  <si>
    <t>SIENDO LA HORA ANTES MENCIONADA SE PRESENTA EN LA GUARDIA DE PREVENCION EL SR. CORTEZ IVAN EMANUEL PARA DENUNCIAR EL EXTRAVIO DE SU PERMISO PERSONAL DE SEGURIDAD AEROPORTUARIO INICIANDOSE LA DENUNCIA DE EXTRAVIO Nº 002/10.</t>
  </si>
  <si>
    <t>OFICINA DE SHOP GALLERY EN SECTOR DE PREEMBARQUES DE CABOTAJE.</t>
  </si>
  <si>
    <t>LA DENUNCIANTE, QUIEN TRABAJA EN LA EMPRESA SHOP GALLERY, EXPONE HABER EXTRAVIADO SU PERMISO PERMANENTE DE SEGURIDAD AEROPORTUARIA N° 320682 CON VENCIMIENTO 07/10/10, POSIBLEMENTE COLOCADA POR ERROR EN UNA CAJA CON DESPERDICIOS DE LA EMPRESA PARA LA CUAL TRABAJA.</t>
  </si>
  <si>
    <t>PSA</t>
  </si>
  <si>
    <t>Control de Equipaje</t>
  </si>
  <si>
    <t>UOSP NEUQUEN</t>
  </si>
  <si>
    <t>INFORMO EFECTUANDOSE EL CONTROL DE PREEMBARQUE AL MOMENTO DE EFECTUARSE CONTROL MEDIANTE EQUIPO RAYOS x 6040-I, SOBRE UNA ESTATUILLA TRASPORTADA COMO EQUIPAJE DE MANO POR LA PASAJERA EMA LICIA TORCHIA DE KREPLAC L.C. 5124261, SE DETECTA QUE LA MISMA CONTENIA EN SU BASE DOS ELEMENTOS SOSPECHOSOS -BULTOS-, AL NO PODER IDENTIFICARSE, SE SOLICITA LA COLABORACION DE EL CAN DE FUNBAPA, SIENDO SU GUIA CANINO EL SEÑOR NITTINGER CLAUDIO D.N.I. 21.008.512, QUIEN DESARROLLA TAREAS EN EL SECTOR DE ARRIBOS DE ESTE AEROPUERTO. QUIEN INFORMA QUE AL MOMENTO DE EFECTUAR EL CONTROL EL CAN MARCA SUSTANCIA ORGANICA, SEGUIDAMENTE SE SOLICITA A LA PAX LA APERTURA DEL MISMO EN PRESENCIA DE LOS TESTIGOS CONVOCADOS, NEGANDOSE A SU APERTURA ALEGANDO QUE ERA DE UNA SOLA PIEZA, SEGUIDAMENTE SE PROCEDE AL CORTE DE LA BASE DE LA ESTATUILLA, COMPUESTA DE MADERA Y YESO, CONSTATANDOSE QUE EN EL INTERIOR DE LA MISMA, SE ENCONTRABAN DOS PIEDRAS TIPO CANTO RODADO, ARROJANDO EL PROCEDIMIENTO RESULTADO NEGATIVO.</t>
  </si>
  <si>
    <t>BUENOS AIRES-AEROPARQUE</t>
  </si>
  <si>
    <t>NEUQUEN</t>
  </si>
  <si>
    <t>SIENDO LA HORA ANTERIORMENTE MENCIONADA SE HACE PRESENTE EN ESTA GUARDIA DE PREVENCION EL SR. VAZQUEZ A FIN DE REALIZAR LA DENUNCIA DE EXTRAVIO DE SU PPSA ARROJANDO Nº 003/10.</t>
  </si>
  <si>
    <t>Falsificacion de Monedas y Otros</t>
  </si>
  <si>
    <t>U.F.I.T.C.O.</t>
  </si>
  <si>
    <t>SUB. DIR. CALAZA</t>
  </si>
  <si>
    <t>VALERIA</t>
  </si>
  <si>
    <t>VANS S/DENUNCIA S/INF. LEY 22.362</t>
  </si>
  <si>
    <t>Nº 333/09 ASUNTO Nº 838-M-09</t>
  </si>
  <si>
    <t>TAREAS INVESTIGATIVAS</t>
  </si>
  <si>
    <t>UNIDAD OPERACIONAL DE CONTROL DEL NARCOTRAFICO Y EL DELITO COMPLEJO DE LA PATAGONIA</t>
  </si>
  <si>
    <t>FUERA DE JURISDICCION</t>
  </si>
  <si>
    <t>SAN MARTIN Nº 902</t>
  </si>
  <si>
    <t>CIUDAD DE COMODORO RIVADAVIA</t>
  </si>
  <si>
    <t>RELACIONADA EN COLABORACIóN SOLICITADA POR LA UOCN DC - URSA I "DEL ESTE", MEDIANTE MEMORANDO Nº: 557/09 SOBRE REQUERIMIENTO DE LA UFITCO, EN RELACIóN A LA INVESTIGACIóN PRELIMINAR Nº 333/09 (ASUNTO Nº: 838-M-09), CARATULADA "VANS S/DENUNCIA S/INFRACCION LEY 22.362".AL RESPECTO DE LAS TAREAS DE RECOLECCIóN DE INFORMACIóN, LLEVADAS A CABO POR PERSONAL DE ESTA UOCN Y DC V "DE LA PATAGONIA", EN LA CIUDAD DE COMODORO RIVADAVIA. SOBRE EL LOCAL COMERCIAL CON NOMBRE DE FANTASíA "LA ROCA KIDS" UBICADO EN LA INTERSECCIóN DE LAS CALLES SAN MARTíN E ITALIA DE ESA CIUDAD /SAN MARTIN Nº 902, SEGUN MANDATO JUDICIAL, SE PUDO CONSTATAR QUE EN EL MISMO NO SE COMERCIALIZAN ARTíCULOS DE LA MARCA QUE SUSTENTA LA PRESENTE INVESTIGACIóN.</t>
  </si>
  <si>
    <t>Contra la Propiedad</t>
  </si>
  <si>
    <t>Daños autores desconocidos</t>
  </si>
  <si>
    <t>AEROPUERTOS ARGENTINA 2000</t>
  </si>
  <si>
    <t>UOSP JUJUY</t>
  </si>
  <si>
    <t>PERIMETRO DEL AEROPUERTO</t>
  </si>
  <si>
    <t>Alambrado Perimetral interno a la altura del poste Nro 115 aproximadamente a 500 mts del Porton G-8 hacia el sur.</t>
  </si>
  <si>
    <t>Informo que siendo la hora 20,30 se presenta en esta UOSP el Sr. Moyano Marcelo Adrian, DNI Nro 20.707.187, personal de AA 2000 a radicar una denuncia por rotura del Alambrado del Cerco de Seguridad Aeroportuario en el sector sur, a la altura del poste identificado con el Nro 115, de aproximadamente 2 mts lineales.</t>
  </si>
  <si>
    <t>AA2000</t>
  </si>
  <si>
    <t>AEROESTACION MILITAR AEROPARQUE</t>
  </si>
  <si>
    <t>EN CUMPLIMIENTO ORDEN DE SERVICIO 001/2010 EMITIDO POR URSA I DEL ESTE SE IMPLEMENTA 1140HS. SERVICIO DE SEGURIDAD PREVENTIVA POR ARRIBO SEÑORA PRESIDENTE DE LA NACION PROCEDENTE DE EL CALFATE, OCURRIDO 13.10 HS.PARTIENDO LA MISMA EN H-03 A LAS 13.15 HS.SIN NOVEDAD.</t>
  </si>
  <si>
    <t>T-01</t>
  </si>
  <si>
    <t>JUZGADO FEDERAL Nº 4 DE ROSARIO</t>
  </si>
  <si>
    <t>Secretaria N 01</t>
  </si>
  <si>
    <t>BAILAQUE</t>
  </si>
  <si>
    <t>MARCELO MARTIN</t>
  </si>
  <si>
    <t>DR. MAURICIO JOSE DONATI</t>
  </si>
  <si>
    <t>SRIO. AV. LEY 23.737 -BUZON DE LA VIDA- CALLE PAZ E INDEPENDENCIA-FUNES</t>
  </si>
  <si>
    <t>406/09</t>
  </si>
  <si>
    <t>SRIO. AV. LEY 23.737 CALLE PAZ E INDEPENDENCIA - FUNES</t>
  </si>
  <si>
    <t>UNIDAD REGIONAL IV DEL LITORAL</t>
  </si>
  <si>
    <t>UNIDAD OPERACIONAL DE CONTROL DEL NARCOTRAFICO Y EL DELITO COMPLEJO DEL LITORAL</t>
  </si>
  <si>
    <t>CIUDAD DE FUNES PCIA DE SANTA FE</t>
  </si>
  <si>
    <t>CALLE GENERAL PAZ 1364</t>
  </si>
  <si>
    <t>EN EL DÍA DE LA FECHA SE RECEPCIONA OFICIO JUDICIAL NRO. 2016, DONDE COMUNICA EL ARCHIVO DE LA PRESENTE CAUSA, DISPUESTO MEDIENATE RESOLUCIÓN NRO. 725 DE FECHA 15 DE DICIEMBRE DE 2009 DEL JUZGADO ACTUANTE. EN EL TRANSCURSO DE LA INVESTIGACIÓN SE IDENTIFICA EL DOMICILIO Y AL DENUNCIADO, DE LAS TAREAS DE VIGILANCIA EN DISTINTOS DÍAS Y HORARIOS NO SE OBSERVARON CONDUCTAS NI MOVIMIENTOS QUE HICIERAN PRESUMIR INFRACCIÓN A LA LEY 23.737. ES DABLE MENCIONAR QUE LA PRESENTE CAUSA SE INFORMO MEDIANTE PRDOC4 0116/09 SIPAP Y SE ENCOMENDARON LAS TAREAS INVESTIGATIVAS MEDIANTE O.S. NRO. 388/09 URSA VI DOCN Y DC IV DEL LITORAL</t>
  </si>
  <si>
    <t>DR. MAURICIO JOSÉ DONATI</t>
  </si>
  <si>
    <t>SRIO. AV. LEY 23.737 CAMIONETA FORD RANGER COLOR GRIS</t>
  </si>
  <si>
    <t>577/09</t>
  </si>
  <si>
    <t>SRIO AV. LEY 23.737 CAMIONETA FORD RANGER COLOR GRIS</t>
  </si>
  <si>
    <t>ZONA SUR DE LA CIUDAD DE ROSARIO Y LOCALIDADES VECINAS DE LA PCIA DE SANTA FE</t>
  </si>
  <si>
    <t>CIUDAD DE ROSARIO</t>
  </si>
  <si>
    <t>EN EL DÍA DE LA FECHA SE RECEPCIONA OFICIO NRO. 2028 DEL JUZGADO FEDERAL ACTUANTE DONDE DISPONE QUE ESTA DEPENDENCIA HA SIDO DESIGNADA COMO PREVENTORA EN LOS AUTOS DE MENCIÓN, QUE SE INICIA EN EL PARADOR DE LA CIUDAD DE SAN NICOLAS DONDE UNA CAMIONETA FORD RANGER COLOR GRIS SIN DOMINIO INTERCAMBIA UNOS PAQUETES CON UNA MOTO DE ALTA CILINDRADA, LA INVESTIGACIÓN FUE LLEVADA ADELANTE POR EL JUZGADO FEDERAL NRO. 2 DE SAN NICOLAS SECRETARÍA NRO. 1, CARATULADO SRIO AV. PTAS INF. LEY 23.737 EXPTE 29020 CON INTERVENCIÓN DE LA DELEGACIÓN LOCAL DE LA POLICIA FEDERAL. DE LA INVESTIGACIÓN QUE COMENZÓ EN AGOSTO DE 2007 HASTA OCTUBRE DE 2009 DONDE EL JUZGADO SE DECLARA INCOMPETENTE Y GIRA LAS ACTUACIONES AL JUZGADO FEDERAL DE ROSARIO POR CORRESPONDER A LA CIRCUNSCRIPCIÓN JUDICIAL, SURGE QUE SE ESTARÍA COMETIENDO EL DELITO EN UN LOCAL COMERCIAL DE CALLE AYACUCHO A LA ALTURA DEL 300 DE LA CIUDAD DE ROSARIO DONDE SE REUNIRÍAN LOS ALIAS CULIN, GORDO TETO Y HUEVO PARA LA COMERCIALIZACIÓN DE ESTUPEFACIENTE. SE ENCOMIENDAN LAS TAREAS INVESTIGATIVAS MEDIANTE O.S. 001/2010 URSA IV DOCN Y DC IV DEL LITORAL</t>
  </si>
  <si>
    <t>JUZGADO FEDERAL DE SALTA Nº 01</t>
  </si>
  <si>
    <t>SECRETARIA EN LO PENAL Nº 02</t>
  </si>
  <si>
    <t>BAVIO</t>
  </si>
  <si>
    <t>LEONARDO</t>
  </si>
  <si>
    <t>DR.SANTIAGO FRENCH</t>
  </si>
  <si>
    <t>AVERIGUACION INFRACCION A LA LEY 23737 Y 22415.</t>
  </si>
  <si>
    <t>778/09</t>
  </si>
  <si>
    <t>UNIDAD OPERACIONAL DE CONTROL DEL NARCOTRAFICO Y EL DELITO COMPLEJO DEL NORTE</t>
  </si>
  <si>
    <t>DE ACUERDO A INFORMACION SUMINISTRADA POR LA DRICA EL JEFE REGIONAL ORDENA REALIZAR TAREAS INVESTIGATIVAS PREVIAS DE ACUERDO A ORDENES DE SERVICIO N° 41/09 Y 44/09 QUE EL CIUDADANO DE NACIONALIDAD ITALIANA DE NOMBRE BELLUCCO MARIANO PAS.N° A 244198 , DEBIA EMBARCAR POR ESTE AEROPUERTO CON DESTINO FINAL ESPAÑA EL DIA 05-JUN-09 POR LA EMPRESA AEROLINEAS ARGENTINAS, EL MISMO NO SE PRESENTO.DE AVERIGUACIONES PRACTICADAS SE ESTABLECIO QUE ESTA PERSONA REGISTRA VARIOS MOVIMIENTOS MIGRATORIOS POR EL PASO DE JAMA, ALGUNOS DE ELLOS REALIZADOS EN UN VEHICULO FORD EXPLORER DOMINIO EXTRANJERO JFS40Q-QUE APARENTEMENTE SERIA PROPIEDAD DE BELLUCCO, JUNTO A LAS SIGUIENTES PERSONAS, BASSANI ALEJANDRO - D.N.I 22253535- POSEE ANTECEDENTES POR ROBO CALIFICADO- GUMISSON OSVALDO -BRASILERO C.I 6012217251 - DE LAS TAREAS INVESTIGATIVAS - SEGUN ORDEN DE SERVICIO N° 048/09 - SE SOLICITO A LAS EMPRESAS PRESTATARIAS DE TELEFONIA SI LOS MENCIONADOS POSEEN TELEFONOS FIJOS Y/O CELULARES. ////////////////////SEGUN PU 1901 SE AMPLIA PARTE N 36/10, DE ACUERDO A LAS ULTIMAS TAREAS INVESTIGATIVAS, EL JUEZ FEDERAL INTERVINIENTE ORDENA SE ACUMULE EL EXPTE. 778/09 CARATULADO AVERIGUACION INFRACCION A LA LEY 23.737 Y 22.415 AL EXPTE. 220/08 CARATULADO CALATAYUD, RAUL DANTE S/ CONTRABANDO, YA QUE LOS HECHOS INFORMADOS GUARDAN RELACION CON EL HECHO INVESTIGADO EN ESTE ÚLTIMO EXPTE. DE MANERA QUE LA CAUSA 778/09 HA SIDO UNIFICADA A LA 220/08 DEL MISMO JUZGADO DANDOSE POR FINALIZADO EL PARTE N° 36/10.</t>
  </si>
  <si>
    <t>PIÑON MARIO</t>
  </si>
  <si>
    <t>VEREDA SECTOR A1</t>
  </si>
  <si>
    <t>DARSENA TAXIS</t>
  </si>
  <si>
    <t>SIENDO LA HORA ANTERIORMENTE MENCIONADA SE PRESENTA EN LA GUARDIA LA DENUNCIANTE PARA INFORMAR QUE UNA VEZ QUE ARRIBO AL AEROPARQUE METROPOLITANO TOMO UN TAXI DEL CUAL NO RECUERDA MARCA MODELO Y LICENCIA EN LA PARADA DEL AEROPUERTO DEL SECTOR A1 QUE LA TRASLADO HASTA EL DOMICILIO EN LA CALLE DEHEZA EN BELGRANO, Y UNA VEZ ALLI ABONO EL VIAJE Y DESCENDIO. POSTERIORMENTE SE PERCATA QUE UNO DE LOS BOLSO QUE TRAIA SE LO HABIA OLVIDADO EN EL VEHICULO TAXIMETRO Y DIRIGE A LA VEREDA DONDE DESCENDIO DEL MISMO A ESPERAR QUE EL TAXISTA LE TRAJERA SU BOLSO Y AL VER QUE NO VOLVIA SE HIZO PRESENTE EN ESTA GUARDIA A FIN DE REALIZAR LA DENUNCIA CORRESPONDIENTE.</t>
  </si>
  <si>
    <t>AR 1231</t>
  </si>
  <si>
    <t>Uruguay</t>
  </si>
  <si>
    <t>PUNTA DEL ESTE</t>
  </si>
  <si>
    <t>TENTATIVA DE HURTO</t>
  </si>
  <si>
    <t>LOCAL 22</t>
  </si>
  <si>
    <t>LOCAL 22 DEL DUTY FREE PRIMER PISO DE LA TERMINAL A</t>
  </si>
  <si>
    <t>SIENDO LA HORA INDICADA SE RECIBE FORMAL DENUNCIA AL SEÑOR MARTIN EDGARDO RONCO, JEFE DE TURNO DE SEGURIDAD DE LA EMPRESA INTERBAIRES, EN VIRTUD A QUE EN MOMENTOS QUE CUMPLIA CON SUS FUNCIONES LABORALES, RECIBE COMUNICACION VIA FRECUENCIA RADIAL DE PARTE DEL OPERADOR DE CAMARAS, EN EL CUAL LE INFORMAN QUE UNA PERSONA DE SEXO MASCULINO SE HABIA COLOCADO EN SU CABEZA A MODO DE VINCHA UN PAR DE LENTES DE SOL, NO ABONANDO EL MISMO AL SALIR DEL LOCAL, SE DA AVISO A PERSONAL POLICIAL Y AL JEFE DE TURNO, QUIEN DISPONE QUE SE APERSONE EL DENUNCIANTE CON EL PASAJERO, TESTIGOS Y EL ELEMENTO EN CUESTION EN EL TURNO DE GUARDIA. POR TAL MOTIVO SE MANTUVO COMUNICACION TELEFONICA CON LA UNIDAD FUNCIONAL DE INSTRUCCION EN TURNO, QUIEN DISPUSO SE LABREN ACTUACIONES POR PRESUNTO HURTO, NOTIFICACION DEL ARTICULO 60 DEL C.P.P.P. AL PASAJERO, SECUESTRO Y POSTERIOR ENTREGA DEL ELEMENTO EN CUESTION AL DAMNIFICADO Y QUE EL IMPUTADO PROSIGA CON SU VIAJE.</t>
  </si>
  <si>
    <t>AR1288</t>
  </si>
  <si>
    <t>Chile</t>
  </si>
  <si>
    <t>SANTIAGO DE CHILE</t>
  </si>
  <si>
    <t>UOSP MENDOZA</t>
  </si>
  <si>
    <t>PLATAFORMA OPERATIVA - POSICIÓN 1</t>
  </si>
  <si>
    <t>SIENDO LAS 0345 HORAS DESPEGA DE ESTE AEOPUERTO UNA AERONAVE LEAR JET 35 MATRÍCULA LV - ZZF DE LA EMPRESA BAIRES FLY, LA CUAL TRASLADA LOS RESTOS MORTALES DEL CANTANTE ROBERTO SANCHEZ, ASIMISMO ACOMPAÑAN A LOS RESTOS EN LA MISMA AERONAVE, LA SRA. ESPOSA MARÍA OLGA GARAVENTA Y EL HIJO EL SR. PABLO ANDRÉS FERRANDI. SE INFORMA ADEMAS QUE DICHO DISPOSITIVO DE SEGURIDAD SE REALIZO EN FORMA CONJUNTA ENTRE EL PERSONAL DE LA UOSP MENDOZA Y PERSONAL DE LA DOESA VI MENDOZA DE ACUERDO A LO INFORMADO A TRAVEZ DE ORDEN DE SERVICIO N° 02/10 DE FECHA 05 DE ENERO DE 2009, FINALIZANDO EL MISMO CON LA PARTIDA DE LA AERONAVE SIN NOVEDAD</t>
  </si>
  <si>
    <t>MENDOZA - AEROPUERTO EL PLUMERILLO</t>
  </si>
  <si>
    <t>BUENOS AIRES - AEROPARQUE METROPOLITANO JORGE NEWBERY</t>
  </si>
  <si>
    <t>NAC. DE 1º INST. EN LO CRIM CORR FEDERAL Nº 1</t>
  </si>
  <si>
    <t>Secretaria N 02</t>
  </si>
  <si>
    <t>Servini de Cubria</t>
  </si>
  <si>
    <t>Maria</t>
  </si>
  <si>
    <t>INFRACCION LEY 23737</t>
  </si>
  <si>
    <t>284-A-09</t>
  </si>
  <si>
    <t>OFICINA DE CORRO ARGENTINO, INTERSECCION DE LAS CALLES ROCA Y SAN MARTIN, RIO GALLEGOS, PROVINCIA DE SANTA CRUZ</t>
  </si>
  <si>
    <t>CIUDAD DE RIO GALLEGOS, PROVINCIA DE SANTA CRUZ</t>
  </si>
  <si>
    <t>JET PAQ</t>
  </si>
  <si>
    <t>EN EL DIA DE LA FECHA, DANDO CUMPLIMIENTO AL OFICIO S/Nº DEL DIA 30 DE DICIEMBRE DE 2009, ORDENADO POR EL JUZGADO ACTUANTE, SE PROCEDIO A LA DETENCION DE UNA PERSONA DE SEXO FEMENINO, LA CUAL SE HIZO PRESENTE EN LAS OFICINAS DEL CORREO ARGENTINO, UBICADA EN LA INTERSECCION DE LAS CALLES ROCA Y SAN MARTIN, DE LA LOCALIDAD DE RIO GALLEGOS PROVINCIA DE SANTA CRUZ, A LOS EFECTOS DE RETIRAR LA ENCOMIENDA AMPARADA BAJO GUIA EP 25548305 AR, PROCEDENTE DE LA CIUDAD DE MENDOZA, DESTINADA A SU NOMBRE. ES DABLE INFORMAR QUE LA PERSONA SINDICADA, AL MOMENTO DE SU DETENCION SE ENCONTRABA ACOMPAÑADA POR UNA PERSONA DE SEXO FEMENINO Y OTRA DE SEXO MASCULINO, QUIENES POR ORDEN JUDICIAL QUEDARON, CONJUNTAMENTE CON EL VEHICULO, MARCA RENAULT MODELO 21, DOMINIO RKE-242, EN QUE SE MOVILIZABAN, A DISPOSICION DEL MAGISTRADO INTERVINIENTE</t>
  </si>
  <si>
    <t>FISCALIA FEDERAL DE S. C. DE BARILOCHE</t>
  </si>
  <si>
    <t>Moldes</t>
  </si>
  <si>
    <t>Leonidas</t>
  </si>
  <si>
    <t>LOPEZ DA SILVA, WALTER</t>
  </si>
  <si>
    <t>S/INF LEY 23737</t>
  </si>
  <si>
    <t>S/ INF LEY 23737</t>
  </si>
  <si>
    <t>UOSP BARILOCHE</t>
  </si>
  <si>
    <t>SIENDO APROXIMADAMENTE LAS 14:55 HORAS DEL DIA DE LA FECHA EL OFICIAL ARIEL PIROLA , REQUIERE MI PRESENCIA EN EL SECTOR DE PREENBARQUE, EN MOMENTOS QUE REALIZABA UNA REQUISA DE EQUIPAJE AL PASAJERO GUILLERMO MANUEL PONCE, DEBIDO A QUE ESTE TRASPORTABA EN UNA CAJA METALICA UN CIGARRILLO ARMADO CON UNA SUSTANCIA ORIGEN VEGETAL, Y UNA PIPA CON RESTOS DEL MIAMO MATERIAL ORGANICO, SE CONVOCA LA PRESENCIA DE DOS TESTIGOS HABILES, RESULTANDO SER EL SEÑOR JOSE LUIS PONCIO, DNI 31,083,490 Y EL SEÑOR SAUMA OSCAR ALFREDO DNI 10,728,828, SE PROCEDE A REALIZAR TEST DE CAMPO NICK PARA CANNABIS SATIVA, DANDO EL MISMO RESULTADO POSITIVO, SE COMUNICA LA NOVEDAD AL JEFE DE UOSP-BAR Y SE REALIZA COMUNICACION CON EL SECRETARIO DEL JUZGADO FEDERAL DR. WALTER LOPEZ DA SILVA, QUIEN DISPONE SE NOTIFIQUE DE CAUSA AL IMPUTADO, SE REALICE EL SECUESTRO DE LOS ELEMENTOS HALLADOS Y SE LIBERE AL MISMO, A LOS EFECTOS DE CONSTANCIA DE LAS ACTUACIONES REALIZADAS SE CONFECCIONARON ACTA DE PROCEDIMIENTO Nº001/2010 Y ACTA DE REGISTRO DE PREEMBARQUE 004/2010 Y CEDULA NOTIFICACION DE CAUSA AL IMPUTADO, ACTUACIONES OBRANTES EN PREVENCION INTERNA Nº 001/2010</t>
  </si>
  <si>
    <t>SAN CARLOS DE BARILOCHE</t>
  </si>
  <si>
    <t>SIENDO LA HORA Y FECHA ANTES MENCIONADA, SE PRESENTA ANTE ESTA GUARDIA DE PREVENCION, EL SR. LUCERO, PARA DENUNCIAR EL EXTRAVIO DE SU PERMISO PERSONAL DE SEGURIDAD AEROPORTUARIO EMITIDO POR ESTA POLICIA. SE LABRA DENUNCIA DE EXTRAVIO Nº 007/10.</t>
  </si>
  <si>
    <t>JUZGADO FEDERAL N° 1 DE MENDOZA</t>
  </si>
  <si>
    <t>SECRETARIA PENAL C</t>
  </si>
  <si>
    <t>Pura de Arrabal</t>
  </si>
  <si>
    <t>Olga</t>
  </si>
  <si>
    <t>FACUNDO GARNICA</t>
  </si>
  <si>
    <t>N° 15936-C CARATULADOS EXHORTO DEL SR JUEZ M SERVINI DE CUBRIA DEL JUZ. NAC. CR. Y CORR. N°1 CAP. FEDERAL LIBRADO EN AUTOS CARATULADOS SUM. 27/10 B-12414/10.</t>
  </si>
  <si>
    <t>15936-C</t>
  </si>
  <si>
    <t>EXHORTO DEL SR JUEZ M SERVINI DE CUBRIA DEL JUZ. NAC. CR. Y CORR. N°1 CAP. FEDERAL LIBRADO EN AUTOS CARATULADOS SUM. 27/10 B-12414/10.</t>
  </si>
  <si>
    <t>UNIDAD OPERACIONAL DE CONTROL DEL NARCOTRAFICO Y EL DELITO COMPLEJO DEL CENTRO</t>
  </si>
  <si>
    <t>CALLE ALBOX 2680 EL PLUMERILLO LAS HERAS MENDOZA</t>
  </si>
  <si>
    <t>ALLANAMIENTO DEL DOMICILIO Y/O FINCA DE NN Y/O JOSÉ LUIS MENDEZ UBICADO EN LA CALLE ALBOX 2680 EL PLUMERILLO LAS HERAS MENDOZA CON EL OBJETO DE PROCEDER A DETERMINAR LA EXITENCIA DE SUSTANCIAS Y/O ELEMENTOS EN PRESUNTA INFRACCION A LA LEY NACIONAL DE ESTUPEFACIENTES N°23.737, INCLUYENDOSE AQUELLOS QUE PUDIERAN PROVENIR DE LA MISMA O QUE PUEDA INDIVIDUALIZARSE COMO DESTINADO A SU PRODUCCION, COMERCIALIZACION O CONSUMO, COMO ASÍ DE LA VENTA DE DICHAS SUSTANCIAS, Y , EN SU CASO A SU SECUESTRO Y DETENCION DE JOSÉ LUIS MENDEZ, AUTORIZANDOLO A LA REQUIZA Y AL REGISTRO DE LOS EFECTOS PERSONALES DEL NOMBRADO Y SUS MORADORES, Y EN SU CASO A LA INCAUTACIÓN DE TODA CONSTANCIA O REGISTRO PUNTUALMENTE VINCULADO CON EL HECHO INVESTIGADO- AGENDAS PERSONALES- NOTAS REPRESENTATIVAS- O QUE LO VINCULEN CON CARMONA CARMEN SAEZ LC N° 4.460.891 DE 75 AÑOS DE EDAD, ISABEL VICTORIA OROZCO DNI N° 23.882.266 DE 35 AÑOS DE EDAD Y LUIS ALBERTO GOMEZ DNI N° 12.777.729 QUIENES MORAN EN LA CIUDAD DE RIO GALLEGOS PROVINVIA DE SANTA CRUZ, PUDIENDO HACER USO DE LA FUERZA PÚBLICA DE RESULTAR ELLO NECESARIO</t>
  </si>
  <si>
    <t>MINISTERIO PUBLICO FISCAL - COMODORO</t>
  </si>
  <si>
    <t>DRA. ANDREA RUBIO FUNCIONARIA DE FISCALIA</t>
  </si>
  <si>
    <t>ARANEDA LUIS DANIEL S/MUERTE POR ARMA BLANCA R/VICTIMA</t>
  </si>
  <si>
    <t>UOSP COMODORO RIVADAVIA</t>
  </si>
  <si>
    <t>PLANTA ALTA DEL EDIFICIO</t>
  </si>
  <si>
    <t>CONTROL RED LINCE</t>
  </si>
  <si>
    <t>EN MOMENTOS QUE SE REALIZABA EL PREEMBARQUE DEL VUELO AU-2837 CON DESTINO AEROPARQUE JORGE NEWBERY, SIENDO LAS 0800 HORAS LOCAL SE PRESENTA EN EL CONTROL DE RED LINCE EL CIUDADANO LUIS ALBERTO GAJARDO CON D.N.I. Nº 26.617.364, DE QUIEN SURJE PEDIDO DE CAPTURA BAJO REGISTRO INTERNO Nº 203812 POR PARTE DEL JUZGADO DE INSTRUCCION Nº 2 DE COMODORO RIVADAVIA, PROVINCIA DEL CHUBUT. SIENDO LAS 0803 HORAS LOCAL PROCEDO A COMUNICARME AL Nº 0297-4462520 FISCLIA OFICINA UNICA DEL MINISTERIO PUBLICO FISCAL DE LA CIUDAD DE COMODORO RIVADAVIA, SIENDO ATENDIDO POR EL SEÑOR ESPINOSA MARTIN EMPLEADO SECCION B, A QUIEN LE SOLICITO ME INFORME SI SE ENCONTRABA EN VIGENCIA EL PEDIDO DE CAPTURA DEL SEÑOR LUIS ALBERTO GAJARDO, QUIEN ME DICE QUE LE DEJE EL NUMERO DE LA UNIDAD OPERACIONAL QUE EN CUANTO TENGA NOVEDAD ME LLAMARIA. SIENDO LAS 0829 HORAS LOCAL RECIBO LLAMADO TELEFONICO DEL SEÑOR ESPINOSA Y ME INFORMA QUE LA DRA. LUCIA BORJAS DE LA CAMARA CRIMINAL ESTA AVERIGUANDO LO SOLICITADO DEJANDOME EL NUMERO DE TELEFONO PARA COMUNICARME CON LA MISMA 0297-4445237. SIENDO LA 0955 HORAS LOCAL ME COMUNICO CON LA DRA. LUCIA BORJAS Y LE SOLICITO SI TENIA ALGUN DATO DE DICHA CAUSA LA CUAL ME INFORMA QUE NO ESTA DENTRO DE LOS REGISTRO QUE ELLOS TIENEN. SIENDO LAS 1000 HORAS LOCAL ME COMUNICO AL TELEFONO CELULAR Nº 097-156243501 SIENDO ATENDIDO POR LA DRA. ANDREA RUBIO FUNCIONARIA DE FISCALIA A QUIEN LA PONGO EN CONOCIMIENTO DE LOS HECHOS Y LE CONSULTO SOBRE EL ESTADO DE LA CAUSA DEL SEÑOR LUIS ALBERTO GAJARDO Y LINEAMIENTOS A SEGUIR, A LO CUAL ME RESPONDE QUE NO TIENE REGISTRO DE LA CAUSA EN CUESTION Y QUE LE REALIZE AL CIUDADANO GAJARDO LUIS ALBERTO NOTIFICACION Y FIJACION DE DOMICILIO Y QUE DEGA DONDE SE ESTARIA ALOJANDO EN LA CIUDAD DE BUENOS AIRES Y EN QUE FECHA ESTARIA REGRESANDO.SIENDO LAS 1015 HORAS LOCAL SE LABRA NOTIFICACION Y FIJACION DE DOMICILIO Nº 0001/2010 AL SEÑOR GAJARDO LUIS ALBERTO. SIENDO LAS 1020 HORAS EL SEÑOR GAJARDO LUIS ALBERTO SE RETIRA DE LA OFICINA DE ESTA UNIDAD OPERACIONAL , JUNTO A SUS PERTENENCIAS. SE LABRA ACTA DE PROCEDIMIENTO Nº 0001/2010</t>
  </si>
  <si>
    <t>AU-2837</t>
  </si>
  <si>
    <t>COMODORO RIVADAVIA</t>
  </si>
  <si>
    <t>INFORMO DE ACUERDO A ORDEN DE SERVICIO Nº 0156/09 DE FECHA 22 DE DICIEMBRE DE 2009 DE LA DROPA -URSA III DEL NORTE- EN EL DIA DE LA FECHA A HS 17.30 SE DIO POR FINALIZADO OPERATIVO DE SEGURIDAD PARA EL EVENTO RALLY DAKAR 2010 EN ESTA JURISDICCION.</t>
  </si>
  <si>
    <t>ENTRE LOS MOSTRADORES 82 Y 88 DEL DESPACHO DE EQUIPAJES DE LA EMPRESA AEREA GOL.-</t>
  </si>
  <si>
    <t>ALA IZQUIERDA DEL SECTOR DE ARRIBOS.-</t>
  </si>
  <si>
    <t>MIENTRAS SE ENCONTRABA REALIZANDO LA FILA PARA HACER EL CORRESPONDIENTE CHEEK IN ANTE LA COMPAÑIA GOL, EN UNA DISTRACCION CAMBIAN SU MALETIN Y COLOCAN UNO DE SIMILARES CARACTERISTICAS.-</t>
  </si>
  <si>
    <t>GOL</t>
  </si>
  <si>
    <t>G37661</t>
  </si>
  <si>
    <t>EZEIZA</t>
  </si>
  <si>
    <t>Brasil</t>
  </si>
  <si>
    <t>DENTRO DE LAS INSTALACIONES DE ESTE AEROPUERTO.</t>
  </si>
  <si>
    <t>QUE EL DIA DE LA FECHA SE HIZO PRESENTE EL DENUNCIANTE A LOS EFECTOS DE HACER CONSTAR EL EXTRAVIO DE SU PERMISO PERSONAL DE SEGURIDAD AEROPORTUARIO, HECHO OCURRIDO EL DIA 03 DEL ACTUAL EN HORAS DE LA MAÑANA DENTRO DE LAS INSTALACIONES DE ESTE AEROPUERTO NO RECORDANDO EL LUGAR EXACTO DEL EXTRAVIO.</t>
  </si>
  <si>
    <t>JUZGADO FEDERAL N° 1 DE CORDOBA</t>
  </si>
  <si>
    <t>Bustos Fierro</t>
  </si>
  <si>
    <t>NAVARRO, LILIANA</t>
  </si>
  <si>
    <t>LAN CARGAS</t>
  </si>
  <si>
    <t>SECTOR DE CARGAS</t>
  </si>
  <si>
    <t>OCA</t>
  </si>
  <si>
    <t>SIENDO LAS 20:00 HS DEL DÍA 23 DE DICIEMBRE DEL AÑO 2009, EL DENUNCIANTE, MIENTRAS PRESTABA FUNCIONES PARA LA EMPRESA OCA SRL, LLEGA A ESTA AEROSTACIÓN PARA RETIRAR UNA CARGA, LA CUAL HABÍA SIDO DESPACHADA DESDE EL AEROPUERTO JORGE NEWBERY EN EL VUELO Nº 4216 DE LA EMPRESA LAN; AL ARRIBAR LA MISMA Y SER CONTROLADA BAJO MANIFIESTO Nº 00220561 EXPEDIDO POR LA EMPRESA AÉREA LAN, OBSERVA EL FALTANTE DE UN PAQUETE, RECIBIENDO EL CAUSANTE LA CANTIDAD DE 74 PIEZAS, SIENDO QUE HABÍAN SIDO DESPACHADAS LA CANTIDAD DE 75 PIEZAS, POR LO CUAL CONSULTA EN LA COMPAÑÍA AÉREA SIN PODER JUSTIFICAR LA MISMA EL MENCIONADO FALTANTE. CABE DESTACAR QUE EL DENUNCIANTE NO PUEDE ESPECIFICAR EL CONTENIDO DEL PAQUETE PRESUNTAMENTE SUSTRAIDO.</t>
  </si>
  <si>
    <t>BUENOS AIRES AEROPUERTO JORGE NEWBERY</t>
  </si>
  <si>
    <t>CORDOBA AEROPUERTO INGENIERO TARAVELLA</t>
  </si>
  <si>
    <t>EXHORTO DEL SR. JUEZ M. SERVINI DE CUBRIA DEL JUZ- NAC. CR. Y CORR. N°1 CAP. FEDERAL LIBRADO EN AUTOS CARATULADOS SUM. 27/10 B-12.414/10</t>
  </si>
  <si>
    <t>N° 15.936-c</t>
  </si>
  <si>
    <t>ORDEN DE ALLANAMIENTO</t>
  </si>
  <si>
    <t>SIENDO LAS 1645 HORAS SE PROCEDIO A REALIZAR EL ALLANAMIENTO DANDO CUMPLIMIENTO A LO ORDENADO POR EL JUZGADO FEDERAL N°1 DE ESTA PROVINCIA DE MENDOZA, POR TAL MOTIVO SE CONVOCARON A DOS TESTIGOS HABILES QUIENES PRESENCIARON TODOS LOS REGISTROS REALIZADOS EN LA TOTALIDAD DE LA VIVIENDA, ASIMISMO SE INFORMA QUE DICHOS CONTROLES ARROJARON RESULTADO NEGATIVO EN LO QUE RESPECTA A LO ORDENADO A TRAVEZ DEL OFICIO JUDICIAL N°44/10 EMITIDO POR EL JUZGADO ANTERIORMENTE DETALLADO. SIENDO LAS 1825 HORAS SE REALIZA COMUNCIACION CON EL DR. FACUNDO GARNICA A/C DE LA SECRETARIA PENAL C DEL JUZGADO FEDERAL EN TURNO, A QUIEN SE LE IMPONEN LOS HECHOS OCURRIDOS Y QUIEN DISPONE, QUE EL SR. JOSÉ LUIS MENDEZ SEA DETENIDO EN CARACTER DE COMUNICADO Y TRASLADADO AL CENTRO DE DETENCIÓN U32, A LO QUE SE DA ESTRICTO CUMPLIMIENTO. DICHO PROCEDIMIENTO SE REALIZO EN FORMA CONJUNTA ENTRE EL PERSONAL DE LA DOESA VI MENDOZA Y LA DOCN Y DC MENDOZA DRICA - SE TRASLADA DETENIDO A CENTRO DE DETENCIóN FEDERAL U32</t>
  </si>
  <si>
    <t>Contravenciones y Faltas</t>
  </si>
  <si>
    <t>JUZGADO DE PAZ LETRADO DE EZEIZA</t>
  </si>
  <si>
    <t>DR D´AMORE</t>
  </si>
  <si>
    <t>Adrian</t>
  </si>
  <si>
    <t>Dra. CECCONI.</t>
  </si>
  <si>
    <t>INF. A LOS ART. 78 Y 85 DECRETO LEY 8031/73</t>
  </si>
  <si>
    <t>PERGOLA N° 03 DEL SECTOR DE SALIDA DE PASAJEROS.-</t>
  </si>
  <si>
    <t>MIENTRAS SE REALIZABA UN CONTROL EN PREVENCION Y CONJURACION DE DELITOS Y FALTAS, SE OBSERVA A UNA PERSONA OFRECIENDO SERVICIO DE TRANSPORTE PUBLICO A VIVA VOZ, MOTIVO POR EL CUAL SE LE HACE SABER QUE CON SU ACCIONAR INFRIGE EN LOS ART. 2 Y 7 DE LA RESOLUCION 269/98 DE LA SECRETARIA DE TRANSPORTE, REALIZANDO EN POSTERIOR LAS DILIGENCIAS QUE DIERAN A LUGAR.</t>
  </si>
  <si>
    <t>Traslado de Detenidos</t>
  </si>
  <si>
    <t>EXHORTO DEL SR. JUEZ M. SIVINI DE CUBRIA DEL JUZ. NAC. CR. Y CORR. N° 1 CAP. FEDERAL LIBRADO EN AUTOS CARATULADOS SUM. 27/10 B-12.414/10</t>
  </si>
  <si>
    <t>15.936-C</t>
  </si>
  <si>
    <t>CENTRO DE DETENCION FEDERAL MENDOZA U32</t>
  </si>
  <si>
    <t>SIENDO LAS 2115 HORAS SE RETIRA EN COMISION EL PERSONAL DESIGNADO A TRAVES DE ORDEN 004/10 EMITIDA POR LA URSA II DEL CENTRO, CON MOTIVO DEL TRASLADO DEL DETENIDO COMUNICADO DE ACUERDO A LO DISPUESTO POR EL DR. FACUNDO GARNICA A/C DE LA SECRETARIA PENAL C, ASIMISMO SE INFORMA QUE SIENDO LAS 2230 HORAS ARRIBA EL PERSONAL DESIGNADO PARA REALIZAR EL TRASLADO DEL DETENIDO ANTERIORMENTE MENCIONADO SIN NOVEDAD.</t>
  </si>
  <si>
    <t>LUISA ALBAMONTE</t>
  </si>
  <si>
    <t>TENTATIVA DE CONTRABANDO DE ESTUPEFACIENTES</t>
  </si>
  <si>
    <t>TERMINAL DE CARGAS</t>
  </si>
  <si>
    <t>CURRIER</t>
  </si>
  <si>
    <t>DHL</t>
  </si>
  <si>
    <t>RAMIREZ</t>
  </si>
  <si>
    <t>D.ISAAK - SCHWEITZER - STRAAT - 125</t>
  </si>
  <si>
    <t>EN CIRCUNSTANCIA QUE PERSONAL POLICIAL SE ENCONTRABA EFECTUANDO UN CONTROL DE RUTINA, SOBRE LAS SACAS DE CORREO DESPACHADAS A BODEGA, DETECTA EN EL INTERIOR DE UNA, MEDIANTE LA MAQUINA DE RAYOS X EMPLAZADA EN EL SECTOR, UN SOBRE QUE CONTIENE SUSTANCIA ORGANICA, LA CUAL NO PUEDE DETERMINAR FEHACIENTEMENTE DE CUAL SE TRATA. POR TAL MOTIVO EN PRESENCIA DE DOS TESTIGOS SE APERTURA LA MISMA, A LOS EFECTOS DE RETIRAR EL SOBRE EN CUESTION. LUEGO SE APERTURA EL SOBRE EXTRAIDO DE LA SACA RETIRANDO DE SU INTERIOR UN BULTO DE CARTON, DEL CUAL SE EXTRAE UNA REVISTA QUE EN SU INTERIOR CONTIENE UN PAQUETE CONFECCION CON PAPEL CARBONICO. EN TAL SENTIDO SE RETIRA EL PAPEL CARBONICO DEJANDOSE VER UN BULTO HECHO CON FILM DE NYLON TRANSPARENTE, POR DEBAJO DE ESTE BOLSA DE NYLON TIPO ZIPLOC Y POR DEBAJO DE ESTA ULTIMA SUSTANCIA PULVERULENTA DE COLO BLANCO, LA CUAL SE SOMETE UNA PEQUEÑA PORCION A PRUEBA DE CAMPO PARA COCAINA, ARROJANDO RESULTADO POSITIVO COCAINA. PTO.</t>
  </si>
  <si>
    <t>IBERIA</t>
  </si>
  <si>
    <t>IB 6842</t>
  </si>
  <si>
    <t>madrid - bajas</t>
  </si>
  <si>
    <t>Países Bajos</t>
  </si>
  <si>
    <t>amsterdam</t>
  </si>
  <si>
    <t>NAC DE 1º INST EN LO CRIMINAL DE INST Nº 1</t>
  </si>
  <si>
    <t>DR. PIENDIVENE</t>
  </si>
  <si>
    <t>284-A/09</t>
  </si>
  <si>
    <t>UOSP RIO GALLEGOS</t>
  </si>
  <si>
    <t>OFICINA DEL CORREO ARGENTINO CIUDAD RIO GALLEGOS</t>
  </si>
  <si>
    <t>EN CUMPLIMIENTO DE LA ORDEN DE SERVICIO 296/09 EMITIDA POR LA URSA V DE LA PATAGONIA EN EL MARCO DE LA CAUSA PREVENCIOAL NRO 284/09 CARATULADA INFRACCION LEY 23737 CON INTERVENCION DEL JUZG. NAC. DE 1RA INST. EN LO CRIM. Y CORRECCIONAL FEDERAL NRO. UNO A CARGO DE LA DRA. SERVINI DE CUBRIA, SECRETARIA NRO 2 A CARGO DEL DR. PIENDIBENE. SE IMPLEMENTO EN COLABORACION DE LA DELEGACION RIO GALLEGOS DE LA DOCNYDC. VIGILANCIA EN LAS OFICINAS DEL CORREO ARGENTINO EN LA CIUDAD DE RIO GALLEGOS A LOS EFECTOS DE DETECTAR Y APREHENDER A QUIEN SE PRESENTARE A RETIRAR LA ENCOMIENDA AMPARADA BAJO GUIA EP 25548305 AR PROCEDENTE DE LA CIUDAD DE MENDOZA, SIENDO LAS 1127 HS SE PRESENTAN LOS CIUDADANOS SAEZ CARMONA CARMEN, OROSCO ISABEL VICTORIA Y GOMEZ LUIS ALBERTO, QUIENES LUEGO DE RETIRAR LA CITADA ENCOMIENDA SON APREHENDIDOS POR EL PERSONAL DE ESTA POLICIA COMISIONADO AL EFECTO SECUESTRANDOSE EN ESE ACTO LA CAJA -ENCOMIENDA- Y UN AUTOMOVIL MARCA RANULT 21 COLOR GRIS DOMINIO RKE-242- EN EL QUE SE TRASLADABAN LOS IMPUTADOS-. POSTERIORMENTE SON TRASLADADOS A LAS DEPENDENCIA DE LA UOSP RIO GALLLEGOS A LOS EFECTOS DE FINALIZAR CON LAS DILIGENCIAS PROCESALES DE RIGOR. EN EL MARCO DEL PRESENTE SIENDO LAS 2145HS DEL 05-01-2010 SE PROCEDE A TRASLADAR AL IMPUTADO LUIS ALBERTO GOMEZ DNI 12.777.729 A LA UNIDAD PENITENCIARIA NRO 15 DE LA CIUDAD DE RIO GALLEGOS. ASIMISMO A LAS 2300 HS DEL MISMO DIA SE TRASLADAN A LAS CIUDADANAS CARMEN SAEZ CARMONA Y OROSCO ISABEL VICTORIA A LA COMISARIA SECCIONAL TERCERA DE LA POLICIA DE SANTA CRUZ QUEDANDO LO CAUSANTES A LA ESPERA DE POSTERIORES DILIGENCIAS QUE ORDENE EL JUZGADO INTERVINIENTE.</t>
  </si>
  <si>
    <t>Cumplimiento de Mandato Especial</t>
  </si>
  <si>
    <t>PIENDIBENE</t>
  </si>
  <si>
    <t>27/10 - B - 12414/10</t>
  </si>
  <si>
    <t>OFICINA DEL CORREO ARGENTINO CIUDAD DE RIO GALLEGOS</t>
  </si>
  <si>
    <t>INFORMO QUE EN CUMPLIMIENTO DE LO QUE FUERA ORDENADO MEDIANTE OFICIO JUDICIAL S/N DE FECHA 30-12-09 DEL JUZGADO NACIONAL EN LO CRIMINAL Y CORRECCIONAL NRO 1 DECRETARIA NRO 2, DEL DR. ADOLFO PENDIBENE Y DE LAS DETENCIONES QUE SE PRODUJERAN EN EL MARCO DE LO CUMPLIMENTADO, Y POR ORDEN DEL MAGISTRADO INTERVINIENTE SE PROCEDIO AL TRASLADO DEL CIUDADANO GOMES LUIS ALBERTO DNI 12.777.729 A LA UNIDAD PENITENCIARIA NRO 15 PERTENECIENTE AL SEVICIO PENITENCIARIO FEDERAL CON ASIENTO EN LA CIUDAD DE RIO GALLEGOS A LAS 21.45 HS, ASIMISMO SE PROCEDIO A REALIZAR EL TRASLADO DE LAS CIUDADANAS SAEZ CARMONA CARMEN LC 4.608.091 Y OROSCO ISABEL VICTORIA DNI 23.882.266 A LA COMISARIA SECCIONAL TERCERA DE LA POLICIA DE LA PROVINCIA DE SANTA CRUZ A LAS 23.00 HS. QUEDANDO LOS MISMOS A LA ESPERA DE POSTERIORES DILIGENCIAS QUE ORDENE EL MAGISTRADO QUE ENTIENDE EN LA CAUSA.</t>
  </si>
  <si>
    <t>Hallazgo</t>
  </si>
  <si>
    <t>FRENTE AL LOCUTORIO</t>
  </si>
  <si>
    <t>HALL PLANTA ALTA</t>
  </si>
  <si>
    <t>SIENDO LAS 1335 HORAS SE PRESENTA LA SEÑORA ALICIA FLORES HACIENDO ENTREGA DE UN PAQUETE CONTENIENDO EN SU INTERIOR 15 BILLETES DE DOLARES ESTADOUNIDENCES DISCRIMINADOS DE LA SIGUIENTE MANERA, DIEZ BILLETES DE 50 DOLARES Y CINCO BILLETES DE 100 DOLARES. A LOS EFECTOS DE LA PRESENTE ACTUACION SE CONFECCIONA ACTA DE HALLAZGO NUMERO 02/10</t>
  </si>
  <si>
    <t>Cancelacion o Demora de Vuelo</t>
  </si>
  <si>
    <t>UOSP CATAMARCA</t>
  </si>
  <si>
    <t>EL C.1º CARDOZO NESTOR, JEFE DE TURNO DE LA ANAC DEL DIA DE LA FECHA, INFORMA QUE A APARTIR DE LAS 14.40 HORAS QUEDA FUERA DE SERVICIO EL VOR, SISTEMA DE RADIO AYUDA, QUEDANDO EL AEROPUERTO CERRADO HASTA NUEVO AVISO PARA OPERACIONES INSTRUMENTALES. DEBIDO A LO ANTES MENCIONADO SE CANCELA EL ARRIBO DEL VUELO 1440 QUE DEBIA ATERRIZAR A HORAS 14.10, SIENDO DESVIADO EL MISMO AL AEROPUERTO DE LA RIOJA.</t>
  </si>
  <si>
    <t>BUENOS AIRES - AEROPARQUE</t>
  </si>
  <si>
    <t>SECRETARIA Nº 1</t>
  </si>
  <si>
    <t>LILIANA NAVARRO</t>
  </si>
  <si>
    <t>INVESTIGACIÓN POR PRESUNTA INF. LEY 23.737</t>
  </si>
  <si>
    <t>26-I-09</t>
  </si>
  <si>
    <t>PRESUNTA INFRACCION A LA LEY 23.737</t>
  </si>
  <si>
    <t>BARRIO ALTO ALBERDI</t>
  </si>
  <si>
    <t>CIUDAD DE CORDOBA</t>
  </si>
  <si>
    <t>EL DIA 30 DE DICIEMBRE DE 2009 SE RECEPCIONÓ OFICIO JUDICIAL DEL JUZGADO FEDERAL Nº1 ORDENANDO SE COMISIONE PERSONAL PARA CORROBORAR LA VERACIDAD DE PRESUNTOS HECHOS DELICTIVOS VINCULADOS AL NARCOTRAFICO EN LA CAUSA DE MARRAS. ASIMISMO SE INFORMA QUE EL SUMARIO SE LLEVA EN SEDE PREVENCIONAL CON EL Nº 01/10.-</t>
  </si>
  <si>
    <t>UNIDAD FISCAL DEPARTAMENTAL N° 3 LAS HERAS - LAVALLE</t>
  </si>
  <si>
    <t>Chacon</t>
  </si>
  <si>
    <t>Maria Patricia</t>
  </si>
  <si>
    <t>FRENTE A EDIFICIO DE LA AEROESTACION</t>
  </si>
  <si>
    <t>PLAYA DE ESTACIIONAMIENTO CENTRAL</t>
  </si>
  <si>
    <t>SIENDO LAS 1155 SED PRESENTA EN LA GUARIDA DE PREVENCION DE LA UNIDAD OPERACIONAL EL SR. MIGUEL CERUTTI, JEFE DE SEGURIDAD DE AA 2000, QUIEN DESEA REALIZAR UNA DENUNCIA POR EL FALTANTE DE UNA LANZA Y LA CORRESPONDIENTE MANGUERA DEL SERVICIO CONTRA INCENDIO DE PROVICION PROPIA DE LA EMPRESA CONCECIONARIA DE ESTE AEROPUERTO DEL INTERIOR DEL NICHO DESTACADO PARA ALOJAR DICHOS ELEMENTOS Y EL CUAL SE ENCONTRABA CERRADO, ASIMISMO INFORMA QUE DICHA NOVEDAD FUE ENCONTRADA EL DIA 05 DE ENERO DEL CORREINTE AÑO, Y QUE DEBIDO A LAS CORRESPONDIENTES CONSULTAS QUE REALIZO ENTRE LOS EMPLEADOS DE LA EMPRESA Y EL PERSONAL DE LA EMPRESA SASA, NO PUDO JUSTIFICAR EL FALTANTE DE DICHOS ELEMENTOS. POR TAL MOTIVO Y SIENDO LAS1220 SE REALIZA COMUNICACION CON LA OFICINA FISCAL 14 DEPENDIENTE DE LA UNIDAD FICAL N° LAS HERAS - LAVALLE, ENTABLANDO COMUNICACION CON EL AUX BARBERO FEDERICO A QUIEN SE LE INFORMAN DE LOS HECHOS OCURRIDOS Y QUIEN HABIENDO CONSULTADO CON LA AYUDANTE FISCAL DISPONE, 1- SE RECIBA LA CORRESPONDIENTE DENUNCIA, 2- SE REALICE INSPECCION OCULAR Y/O ANEXO FOTOGRAFICO Y 3- SE DERIVE AL DENUNCIANTE A RATIFICAR LA CORRESPONDIENTE DENUNCIA A ESA OFICINA FISCAL EN EL DIA DE LA FECHA JUNTAMENTE CON LA ELEVACION DE LAS ACTUACIONES, A LO QUE SE DA ESTRICDTO CUMPLIMIENTO</t>
  </si>
  <si>
    <t>UOSP MAR DEL PLATA</t>
  </si>
  <si>
    <t>En el día de la fecha siendo las 14.30 horas y habiendo cumplimentado la Orden de Servicio Nº 006/10 generada por la URSA I, regresa a esta UOSP la comisión designada para tal fin en el vuelo AU2606, sin novedad.</t>
  </si>
  <si>
    <t>TRAYECTO ENTRE EL SECTOR DE ARRIBOS Y ASCENSO A LA PLANTA ALTA</t>
  </si>
  <si>
    <t>QUE LUEGO DE REALIZAR CAMBIO DE DIVISAS EN EL ARRIBOS SE DIRIGE HACIA LA PLANTA ALTA Y DETECTA EL FALTANTE DE SUS PERTENENCIAS QUE SE ENCONTRABAN DENTRO DEL BOLSO QUE PORTABA CONSIGO</t>
  </si>
  <si>
    <t>TAM LINHAS AEREAS (BRA)</t>
  </si>
  <si>
    <t>GUTIERREZ</t>
  </si>
  <si>
    <t>Mariana</t>
  </si>
  <si>
    <t>SIENDO LAS 1540 HORAS SE PRESENTA EN LA GUARDIA DE PREVENCION DE ESTA UNIDAD OPERACIONAL UN PASAJERO DE LA EMPRESA AEROLINEAS ARGENTINAS EL CUAL ARRIBO A ESTA PROVINCIA EL DIA DOMINGO 03 DE ENERO DEL CORRIENTE AÑO Y QUIEN NO RECIBIO SU EQUIPAJE DESPACHADO POR BODEGA DEBIDO A INCONVENIENTES DE LA EMPRESA EMPRESA AEREA, POR TAL MOTIVO ESE MISMO DIA AL NO RECIBIR SU EQUIPAJE REALIZO UN RECLAMO ANTE LA COMPAÑIA AEREA EL CUAL FUE REGISTRADO BAJO EL NUMERO MDZ AR12855, POR TAL MOTIVO SE PRESENTO EL DIA 04 DE ENERO DEL CORRIENTE AÑO A RETIRAR SU EQUIPAJE EL CUAL ARRIBO EN EL VUELO ANTES MENCIONADO, POR LO ANTERIORMENTE SEÑALADO EN MOMENTOS EN EL QUE EL PASAJERO SE DISPUSO A RETIRAR SU EQUIPAJE Y A REALIZAR EL CONTROL DE SUS PERTENECIAS NOTO QUE SI BIEN DEL INTERIOR DEL MISMO NO LE FALTABA NINGUN ELEMENTO, DE UNO DE SUS BOLSILLOS LATERALES LE FALTA SU TELEFONO NEXTEL, POR TAL MOTIVO Y HABIENDO REALIZADO EL CORRESPONDIENTE RECLAMO ANTE LA COMPAÑIA AEREA SE RETIRA DE LA AEROESTACION, PARA POSTERIORMENTE DIRIGIRCE HACIA SU COMPAÑIA TELEFONICA PARA SOLICITAR LA REPOSICION DEL APARATO TELEFÓNICO, HECHO QUE SE LE NIEGA POR LO QUE LE INFORMAN QUE PARA SOLICITAR LA REPOSICION DEL MISMO ES NECESARIO UNA DENUNCIA POLICIAL, POR TAL MOTIVO SE PRESENTA EN EL DIA DE LA FECHA A RADICAR LA CORRESPONDIENTE DENUNCIA, SIENDO LAS 1600 HORAS SE REALIZA COMUNICACION TELEFONICA CON LA OFICINA FISCAL EN TURNO SIENDO ATENDIDOS POR LA AUXILIAR CINTIA FIGUEROA A QUIEN SE LE INFORMA DE LOS HECHOS OCURRIDOS Y QUIEN DESPUES DE REALIZAR LA CORRESPONDIENTE CONSULTA CON LA AYUDANTE FISCAL DISPONE, 1- SE DERIVE AL PASAJERO A REALIZAR LA DENUNCIA A LAS INSTALACIONES DE ESA OFICINA FISCAL, A LO QUE SE DA ESTRICTO CUMPLIMIENTO, POR LO ANTERIORMENTE EXPUESTO SE ENVIA VIA FAX MEMORANDO N° 08/10 DE ORDEN INTERNO DE ESTA UNIDAD OPERACIONAL A LA UOSP METROPOLITANA CON MOTIVO DE SOLICITAR DECLARACION TESTIMONIAL AL PERSONAL DE LA EMPRESA DE HANDLING QUE INTERVINO EN EL VUELO ANTERIOMENTE MENCIONADO, DICHO FAX FUE RECIBIDO POR EL JURIDICO DE TURNO DE LA UOSP METROPOLITANA RODRIGUEZ EDUARDO.</t>
  </si>
  <si>
    <t>AEROPARQUE METROPOLITANO JORGE NEWBERY CIUDAD DE BUENOS AIRES</t>
  </si>
  <si>
    <t>MENDOZA</t>
  </si>
  <si>
    <t>DR. JAVIER KRAUSE MAYOL</t>
  </si>
  <si>
    <t>LOPEZ IGLESIAS MARIA NOEL S/CONTRABANDO DE ESTUPEFACIENTES</t>
  </si>
  <si>
    <t>11876 -2</t>
  </si>
  <si>
    <t>EN EL DIA DE LA FECHA SIENDO LAS 13,30 HORAS INGRESAN A ESTA UNIDAD PERSONAL DE DOCNYDC DE LA URSA I CON UN DETENIDO EN RELACION A LA DETENCION EN VIA PUBLICA EN EL MARCO DE LA INVESTIGACION DE LA CAUSA Nº 5559 SIENDO ALOJADO EN ESTA UOSP.</t>
  </si>
  <si>
    <t>NAC. EN LO PENAL ECONOMICO Nº 6</t>
  </si>
  <si>
    <t>JAVIER KRAUSE MAYOL</t>
  </si>
  <si>
    <t>LOPEZ IGLESIAS MARIA NOEL S/AV. CONTRABANDO DE ESTUPEFACIENTES</t>
  </si>
  <si>
    <t>UNIDAD OPERACIONAL DE CONTROL DEL NARCOTRAFICO Y EL DELITO COMPLEJO DEL ESTE</t>
  </si>
  <si>
    <t>LOBY HOTEL UTHGRA SASSO, AV.MARTINEZ DE HOZ 3545</t>
  </si>
  <si>
    <t>MAR DEL PLATA - fuera de la jurisdicción del aeropuerto</t>
  </si>
  <si>
    <t>EN EL DIA DE LA FECHA SE PROCEDIOA DAR CUMPLIMIENTO A LA ORDEN DE DETENCION Y CAPTURA INTERNACIONAL EMANADA POR EL JUZGADO INTERVINIENTE. SE ESTABLECIO UNA VIGILANCIA EN EL DOMICILIO DE LA CALLE MALABIA 2810 DE LA CIUDAD DE MAR DEL PLATA. EN MOMENTOS QUE UN NN MASCULINO SALIA DE ESTE DOMICILIO, CON CARACTERISTICAS FISICAS SIMILARES AL DE LA ORDEN, OBSERVA LA PRESENCIA POLICIAL POR LO CUAL EL SUJETO SALE CORRIENDO HASTA EL LOBY DEL HOTEL NOMBRADO, DONDE SE PROCEDIO A SU DETENCION.</t>
  </si>
  <si>
    <t>Expulsion / Extradicion / Deportacion</t>
  </si>
  <si>
    <t>JUZGADO FEDERAL Nº 2 DE MAR DEL PLATA</t>
  </si>
  <si>
    <t>dr. JIMENEZ</t>
  </si>
  <si>
    <t>Eduardo Pablo</t>
  </si>
  <si>
    <t>DIRECCION NACIONAL DE MIGRACIONES C/MONCADA GALDAMES EUGENIO DEL ROSARIO S/ORDINARIO</t>
  </si>
  <si>
    <t>85.308/9</t>
  </si>
  <si>
    <t>COLABORACION</t>
  </si>
  <si>
    <t>POSICION Nº7 PLATAFORMA OPERATIVA - GUARDIA DE PREVENCION SECTOR C</t>
  </si>
  <si>
    <t>PLATAFORMA OPERATIVA - GUARDIA DE PREVENCION</t>
  </si>
  <si>
    <t>SIENDO LAS 11.50 HORAS DEL DIA DE LA FECHA ARRIBA A ESTE AEROPUERTO EL VUELO ANTES MENCIONADO Y SE IMPLEMENTA ORDEN DE SERVICIO Nº 20/10 DE ESTA UOSP EN RELACION A ORDEN DE SERVICIO Nº006/10 DE LA URSA I DEL ESTE QUE CONTEMPLA RECIBIR A LA COMISION DE LA UOSP MAR DEL PLATA LA CUAL TRASLADA AL CIUDADANO MONCADA GALDAMES EUGENIO DEL ROSARIO DE 43 AÑOS DE EDAD, SOLTERO, ALBAÑIL, DOMICILIADO EN LOS CHONGOLOS Nº 222 - BARRIO JARDIN - MAR DEL PLATA, PCIA DE BUENOS AIRES, HIJO DE JOSE LUCA MONCADA Y DE MARIA INES GALDAMES FLORES, Y POSTERIOR TRASLADO DE ESTA PERSONA DESDE ESTE AEROPUERTO HASTA EL AEROPUERTO DE EZEIZA DONDE QUEDARA ALOJADO HASTA SU EXPULSION. SIENDO LA HORA 11.55 SE REALIZA EL TRASLADO HASTA SANIDAD SWISS MEDICAL DE ESTE AEROPUERTO EMITIENDOSE A TAL FIN CERTIFICADO MEDICO DE INGRESO Y DE EGRESO DE ESTE AEROPUERTO. SIENDO LAS 1225 HS SALE LA COMISION EN MOVIL DE DOTACION FORD RANGER COMPUESTA POR EL AGTE SAMOJLO VICTOR, ANDRADA ESTEBAN Y MARQUEZ ITALO JUNTO AL EXPULSADO HACIA EL AEROPUERTO DE EZEIZA. SIENDO LAS 1425 HS DEL DIA DE LA FECHA ES ENTREGADO EN CUSTODIA A LA ENCARGADA DE TURNO AGTE CABRERA SUSANA, FINALMENTE REGRESANDO LA COMISION A ESTA UOSP SIN NOVEDAD.</t>
  </si>
  <si>
    <t>AR2603</t>
  </si>
  <si>
    <t>MAR DEL PLATA - AEROPUERTO ASTOR PIAZZOLA</t>
  </si>
  <si>
    <t>CIUDAD AUTONOMA DE BUENOS AIRES - AEROPARQUE JORGE NEWBERY</t>
  </si>
  <si>
    <t>KRAUSE MAYOL, JAVIER</t>
  </si>
  <si>
    <t>LOPEZ IGLESIAS, MARIA NOEL S/ CONTRABANDO DE ESTUPEFACIENTES</t>
  </si>
  <si>
    <t>11876-2</t>
  </si>
  <si>
    <t>---</t>
  </si>
  <si>
    <t>INFORMO QUE EN EL DIA DE LA FECHA Y SIENDO LAS VEINTE HORAS Y TREINTA Y CINCO MINUTOS, PARTE COMISION CON DESTINO A LA UOSP EZEIZA Y EN CUMPLIMIENTO DE LA ORDEN DE SERVICIO Nº 008/10, TRASLADANDO AL DETENIDO GUALCO NICOLAS MATIAS DNI 31.734.081 EN EL MARCO DE LA CAUSA Nº 11876-2 LOPEZ IGLESIAS MARIA NOEL S/ CONTRABANDO DE ESTUPEFACIENTES.</t>
  </si>
  <si>
    <t>Juzgado Federal Nº 02 de Lomas de Zamora</t>
  </si>
  <si>
    <t>Secretaria N 06</t>
  </si>
  <si>
    <t>DR FERREIRO PELLA</t>
  </si>
  <si>
    <t>Carlos Alberto</t>
  </si>
  <si>
    <t>DR. JOSE LUIS DABONDIO</t>
  </si>
  <si>
    <t>AVERIGUACION DE ILICITO</t>
  </si>
  <si>
    <t>LINEA DE CAJAS DE LA EMPRESA INTERBAIRES LOCAL 22 FREE SHOP</t>
  </si>
  <si>
    <t>PERSONAL ENCARGADO DE SEGURIDAD DE LA EMPRESA INTERBAIRES EFECTUA DENUNCIA DADO QUE DE ACUERDO A LO INFORMADO POR EL PERSONAL DE MONITORES UN PASAJERO DE ESTARIA RETIRANDO DEL LOCAL DE VENTAS SIN ABONAR UN PAR DE ANTEOJOS // SEGUN PU 114 QUE EN EL DIA DE LA FECHA SE DISPUSO LA LIBERTAD DEL DETENIDO DJAMBOV SVETOSLAVOV VESSELIN DESDE ESTA DEPENDENCIA MOTIVO POR EL CUAL UNA VEZ EN ESTE MEDIE SE PROCEDIO A CONCRETAR SU LIBERTAD, RETIRANDOSE DE ESTA DEPENDENCIA EN EL HORARIO DE LAS VEINTIUNA HORAS SIN NOVEDAD</t>
  </si>
  <si>
    <t>INTERBAIRES</t>
  </si>
  <si>
    <t>AIR FRANCE</t>
  </si>
  <si>
    <t>AF-417</t>
  </si>
  <si>
    <t>buenos aires</t>
  </si>
  <si>
    <t>Francia</t>
  </si>
  <si>
    <t>PARIS</t>
  </si>
  <si>
    <t>INFRACCION LEY 23.737</t>
  </si>
  <si>
    <t>27/10-B-12.414/10</t>
  </si>
  <si>
    <t>AMPLIANDO PARTE URGENTE EN EL MARCO DE LA CAUSA NRO 27 / 10 -B- 12.414/10 INFRORMO QUE DE ACUERDO A LO ORDENADO POR EL JUZGADO INTERVINIENTE, SIENDO LAS 20. 15 HS SE PROCEDIO AL TRALADO DEL CIUDADANO GOMEZ LUIS ALBERTO DNI 12.777.728 A LA CIUDAD AUTONOMA DE BUENOS AIRES EN VUELO DE LA EMPRESA AEROLINEAS ARGENTINAS VUELO NRO 1880, EN CALIDAD DE DETENIDO INCOMUNICADO, CUSTODIADO POR DOS EFECTIVOS POLICIALES PERTENECIENTES A LA UOCN Y DC V DE LA PATAGONIA, DELEGACION RIO GALLEGOS - ESTIMANDO EL ARRIBO AL AEROPARQUE METROPOLITANO A LA 01.15 HS DEL DIA 07 -ENE - 10</t>
  </si>
  <si>
    <t>RIO GALLEGOS</t>
  </si>
  <si>
    <t>27/10 -B- 12.414/10</t>
  </si>
  <si>
    <t>AMPLIANDO PARTE URGENTE EN EL MARCO DE LA CAUSA NRO 27/10 - B 12.414/10, INFORMO QUE DE ACUERDO A LO ORDENADO POR EL JUZGADO INTERVINIENTE , SIENDO LAS 03.10 HS SE PROCEDIO AL TRALADO DE LA CIUDADANA OROSCO ISABEL VICTORIA DNI 23.882.266 A LA CIUDAD AUTONOMA DE BUENOS AIRES , EN VUELO DE LA EMPRESA AEROLINEAS ARGENTINAS NRO 2883, EN CALIDAD DE DETENIDA INCOMUNICADA, CUSTODIADA POR DOS EFECTIVOS POLICIALES PERTENECIENTES A LA UOSP GAL Y DOCN Y DC GAL, ESTIMANDO EL ARRIBO AL AEROPARQUE METROPOLITANO A LAS 05.50 HS</t>
  </si>
  <si>
    <t>75/10</t>
  </si>
  <si>
    <t>EL JEFE DE AEROPUERTO, VICE COMODORO ARTURO SALINAS, INFORMA QUE A HORAS 09.34 ENTRA EN SERVICIO EL VOR, SISTEMA DE RADIO AYUDA, QUEDANDO EL AEROPUERTO HABILITADO PARA OPERACIONES INSTRUMENTALES.</t>
  </si>
  <si>
    <t>UOSP POSADAS</t>
  </si>
  <si>
    <t>SALON CIP AEROLINEAS ARGENTINAS</t>
  </si>
  <si>
    <t>JURISDICCION UOSP MISIONES</t>
  </si>
  <si>
    <t>SE DIO CUMPLIMIENTO A LA ORDEN DE SERVICIO Nº 0003/10, URSA IV, BRINDANDO DISCRETA CUSTODIA A DOS FUNCIONARIOS DEL PROGRAMA DE PROTECCION DE TESTIGOS Y CUATRO TESTIGOS PROTEGIDOS, LOS MISMOS ARRIBARON AL AEROPUERTO 0950HS Y EMBARCARON EN EL VUELO ANTES MENCIONADO, SIN NOVEDAD. INFORMO QUE ESTA NOVEDAD FUE ADELANTADA VIA TELEFONICA AL Nº 01151664907, PERTENECIENTE A LA SECRETARIA DEL CEACC, SIENDO ATENDIDO POR LA SRA. GRACIELA CARBONEL.</t>
  </si>
  <si>
    <t>AU 2751</t>
  </si>
  <si>
    <t>POSADAS MISIONES</t>
  </si>
  <si>
    <t>CIUDAD DE AUTONOMA DE BUENOS AIRES</t>
  </si>
  <si>
    <t>TRIBUNAL ORAL EN LO CRIMINAL FEDERAL Nº 01</t>
  </si>
  <si>
    <t>SECRETARIA DE EJECUCION PENAL</t>
  </si>
  <si>
    <t>RECORRIDO POR PLATAFORMA OPERATIVA, INGRESANDO POR PUERTA TRASERA DE AERONAVE.</t>
  </si>
  <si>
    <t>SIENDO LAS 07,50 HORAS ARRIBA A ESTA AEROESTACION UNA COMISION DEL SERVICIO PENITENCIARIO DE CORDOBA, COMPUESTA POR EL ADJUNTOR PRINCIPAL DAVID ZARATE, EL SUBAYUDANTE SEBASTIAN ROMERO Y EL SUBAYUDANTE MARCELO BASUALDO, PARA HACER ENTREGA DEL CIUDADANO EN PROCESO DE EXPULSION. LOS MENCIONADOS HACEN ENTREGA DEL CAUSANTE AL PERSONAL DE PSA, QUIENES LO TRASLADAN VIA AEREA HACIA LA CIUDAD DE SANTIAGO DE CHILE. CABE DESTACAR QUE LA SALIDA SE REALIZA SIN NOVEDAD, DANDO CON ESTO CUMPLIMIENTO A LOS SOLICITADO POR LA DIRECCION NACIONAL DE MIGRACIONES SEGUN DISPOSICIÓN 174839 DEL TRIBUNAL ORAL EN LO CRIMINAL FEDERAL Nº 1, SECRETARIA DE EJECUCIÓN PENAL, ATENTO A ORDEN DE SERVICIO URSA Nº 002/10.</t>
  </si>
  <si>
    <t>LAN AIRLINES</t>
  </si>
  <si>
    <t>LA951</t>
  </si>
  <si>
    <t>JUZGADO DE INSTRUCCION DE FERIA DE LA CIUDAD DE RAFAELA</t>
  </si>
  <si>
    <t>PLATINI DE FERRAUDO</t>
  </si>
  <si>
    <t>MARIA ALEJANDRA</t>
  </si>
  <si>
    <t>PEDIDO DE PARADERO</t>
  </si>
  <si>
    <t>SECTOR C DE ESTE AEROPUERTO</t>
  </si>
  <si>
    <t>GUARDIA PREVENCION</t>
  </si>
  <si>
    <t>EN EL DIA DE LA FECHA SIENDO LAS 08.00 HORAS SE PRESENTA ES ESTA GUARDIA DE PREVENCION UN MASCULINO QUE DICE SER MARIANO NICOLAS MONGES, QUIEN NO ACREDITA IDENTIDAD CON DOCUMENTO ALGUNO, ORIUNDO DE LA PROVINCIA DE SANTA FE, EL CUAL HABRIA ARRIBADO A ESTA CAPITAL EL DIA DE LA FECHA A LA ESTACION TERMINAL DE OMNIBUS DE RETIRO. LUEGO DE RECORRER LA CAPITAL FEDERAL SE PRESENTO EN ESTA GUARDIA DE PREVENCION Y AL MANIFESTAR QUE NO POSEIA DINERO SOLICITO PODER COMUNICARSE CON SU FAMILIA PARA QUE ADMINISTREN LOS MEDIOS PARA SU RETORNO. POSTERIORMENTE SE ENTABLO COMUNICACION CON LA MADRE MARTA FRANCIA DE MONGES LA CUAL INFORMA QUE EL DIA 05/01/10 HABRIA REALIZADO UNA DENUNCIA DE PARADERO POR LA DESAPARECION DE SU HIJO DONDE INTERVINO EL JUZGADO DE INSTRUCCION DE FERIA EN TURNO DE LA CIUDAD DE RAFAELA. SIENDO LAS 10.30 HORAS SE ENTABLA COMUNICACION CON LA DRA. PATRICIA MARTIN, SECRETARIA DEL JUZGADO NACIONAL DE PRIMERA INSTANCIA EN LO CIVIL Nº 8 INFORMANDOLE LO ACONTECIDO Y ORDENA SE AGUARDE INSTRUCCION DEL JUZGADO ACTUANTE. SIENDO LAS 12.20 SE COMUNICA EL JEFE DE LA COMISARIA 15 DE RAFAELA EL SUBCOMISARIO GUSTAVO QUIROGA EL CUAL MANIFIESTA QUE SE HIZO PRESENTE EN SU DEPENDENCIA LA MADRE DEL CAUSANTE, LA CUAL AUTORIZA MEDIANTE CERTIFICACION, A ESTA POLICIA, A RETENER A SU HIJO HASTA QUE SE HAGA PRESENTE EL DIA 08/01/10 PARA SU POSTERIOR TRASLADO. TOMANDO CONOCIMIENTO DE LOS HECHOS EL JUZGADO INTERVINIENTE QUIEN DA CONFORMIDAD.</t>
  </si>
  <si>
    <t>JUZGADO FEDERAL DE 1° INSTANCIA - S.C. DE BARILOCHE</t>
  </si>
  <si>
    <t>N S/ LEY DE ESTUPEFACIENTES</t>
  </si>
  <si>
    <t>6539/07</t>
  </si>
  <si>
    <t>EL PRESENTE PARTE ES AMPLIATORIO DEL PR: DOC5 0038/09, DE FECHA 10 DE NOVIEMBRE DE 2009, ELEVADO A TRAVEZ DEL SISTEMA SIPAP 3.3. ASIMISMO, ATENTO A LA ORDEN DE SERVICIO Nº 003/10, PRODUCIDA POR ESTA UOCN DC- URSA V "DE LA PATAGONIA", DE FECHA 06/01/10, EN EL MARCO DE LA CAUSA Nº 6539/07, DE TRAMITE POR ANTE EL JUZGADO FEDERAL DE SAN CARLOS DE BARILOCHE, LA MISMA SE DEJA SIN EFECTO DEBIDO A QUE DEL ANALISIS DE LA ESCUCHAS DE LAS OBSERVACIONES JUDICIALES SOBRE EL ABONADO Nº: 011-15-3855-1797, DEL DIA 06 DE ENERO DEL CORIENTE AÑO, SURGIERON NOVEDADES RELEVANTES, DADO EL TENOR DE LOS MISMOS, ESTOS INDICARIAN QUE EN EL DOMICILIO DEL USUARIO DEL NUMERO TELEFONICO ENUNCIADO (LUGAR FISICO DONDE SE IBAN A LLEVAR A CABO LAS TAREAS INVESTIGATIVAS) SE HABRIA LLEVADO A CABO UN ALLANAMIENTO POR PARTE DE EFECTIVOS POLICIALES (DE LAS LOCALIDADES DE LA PLATA Y MONTE GRANDE) DE LA PROVINCIA DE BUENOS AIRES, EN EL MARCO DE UNA PRESUNTA INFRACCION A LA LEY 23.737. ES DABLE INFORMAR TAMBIEN QUE DE LAS ESCUCHAS DE REFERENCIA EXISTIRIAN INTENCIONES DE COHECHO POR PARTE DE LOS FUNCIONARIOS POLICIALES QUE LLEVARON A CABO EL MENCIONADO PROCEDIMIENTO. ASIMISMO Y POR TAL MOTIVO DICHAS NOVEDADES FUERON COMUNICADAS AL JUZGADO INTERVINIENTE EN LA PRESENTE CAUSA.</t>
  </si>
  <si>
    <t>INVESTIGACION POR PRESUNTA INF. LEY 23737</t>
  </si>
  <si>
    <t>27-I-09</t>
  </si>
  <si>
    <t>PRESUNTA INFRACCION LEY 23737</t>
  </si>
  <si>
    <t>CIUDAD DE BUENOS AIRES</t>
  </si>
  <si>
    <t>EL DIA 30 DE DICIEMBRE DE 2009 SE RECEPCIONÓ OFICIO JUDICIAL DEL JUZGADO FEDERAL Nº 1 DE CORDOBA ORDENANDO SE COMISIONE PERSONAL PARA CORROBORAR LA VERACIDAD DE PRESUNTOS HECHOS DELICTIVOS VINCULADOS AL NARCOTRAFICO EN LA CAUSA DE MARRAS. ASIMISMO SE INFORMA QUE EL SUMARIO SE LLEVA EN SEDE PREVENCIONAL CON EL Nº 02/10</t>
  </si>
  <si>
    <t>dr, jorge dabondio</t>
  </si>
  <si>
    <t>hurto</t>
  </si>
  <si>
    <t>terminal b</t>
  </si>
  <si>
    <t>QUE EN EL DIA DE LA FECHA SIENDO LAS SIETE HORAS QUINCE MINUTOS EN MOMENTOS DE REALIZARSE EL CONTROL DE SEGUIRDAD EN EL PUESTO DE CONTROL DENOMINADO TRANSITO DE LA TERMINAL B SE DETECTA EN EL INTERIOR DE UNA MOCHILA UN SALVAVIDAS PROPIEDAD DE LA EMPRESA AEROLINEAS ARGENTINAS. SE DEJA CONSTANCIA QUE SE ACTUO DE OFICIO POR QUE LA EMPRESA NO QUISO RADICAR LA DENUNCIA PENAL. QUE SIENDO LAS DIECISIETE HORAS EL DETENIDO FUE TRASLADADO A LA UNIDAD 28 DEL SPF Y QUE LAS ACTUACIONES LABRADAS SERAN ELEVADAS EL DIA DE MAñANA A PRIMERA HORA A SEDE JUDICIAL. QUE EL PASAJERO SE ENCONTRABA EN CALIDAD DE TRANSITO PROXIMO A EMBARCERSE EN VUELO AR 1284 CON DESTINO A LA CIUDAD DE SANTIAGO DE CHILE.</t>
  </si>
  <si>
    <t>ar 1133</t>
  </si>
  <si>
    <t>madrid</t>
  </si>
  <si>
    <t>UFI N° 1</t>
  </si>
  <si>
    <t>SANTA FE Y FLORIDA</t>
  </si>
  <si>
    <t>CAPITAL FEDERAL</t>
  </si>
  <si>
    <t>QUE EN ESTA TERMINAL ABORDO UN VEHICULO TAXI QUE SE ENCONTRABA ESTACIONADO EN LA PERGOLA TAXI DE LA TERMINAL A, SIENDO ESTE UN TAXI CAPITAL CHEVROLET CON DOMINIO COLOCADO GPH 814, SIN APORTAR MAS DATOS. QUE SE DIRIGIO A CAPITAL Y DESCENDIO DEL VEHICULO PARA HACER COMPRAS DEJANDO EN EL BAUL DEL TAXI SU EQUIPAJE. QUE AL REGRESAR A ESTE AEROPUERTO TOMA SU EQUIPAJE ABONA EL VIAJE Y EL TAXI SE RETIRA DEL LUGAR, QUE MINUOTS DESPUES APERTURA SU EQUIPAJE PERCATANDOSE DE FALTANTES DE ALGUNOS ELEMENTOS</t>
  </si>
  <si>
    <t>EN EL DIA DE LA FECHA SIENDO LAS 17.30 HORAS Y HABIENDO CUMPLIMENTADO LA ORDEN DE SERVICIO 008/10 GENERADA POR LA URSA I DEL ESTE, REGRESA A ESTA UOSP LA COMISION DESIGNADA PARA TAL FIN EN MOVIL DE DOTACION 064, SIN NOVEDAD</t>
  </si>
  <si>
    <t>JUZGADO INSTRUCCION SEGUNDA NOMINACION DISTRITO JUDICIAL SUR PROV. TIERRA DEL FUEGO A.e.A.I.S - USHUAIA</t>
  </si>
  <si>
    <t>Barrionuevo</t>
  </si>
  <si>
    <t>Maria Cristina</t>
  </si>
  <si>
    <t>LOPEZ VEGA MERCEDES</t>
  </si>
  <si>
    <t>FERREYRA RICARDO Y BAILONES S. S/AV. PRESUNTO HURTO</t>
  </si>
  <si>
    <t>FERREYRA RICARDO S/NOTIFICACION</t>
  </si>
  <si>
    <t>UOSP USHUAIA</t>
  </si>
  <si>
    <t>Preembarque Control de Documentacion</t>
  </si>
  <si>
    <t>EN EL DIA DE LA FECHA EN CONTROL DE RUTINA EN PREEMBARQUE NACIONAL DEL VUELO LD-489 DE LA EMPRESA AEREA LADE. SE INDIVIDUALIZA AL SR FERREYRA RICARDO JOSE DNI N° 26.185.138 SOBRE EL CUAL PESA UN PEDIDO PARADERO EN REGISTRO RED LINCE N° 261209, CAUSA N° 13852 CARATULADA FERREYRA RICARDO Y BAILONE S/AV PRESUNTO HURTO. SE REALIZA COMIUNICACION AL JUZGADO DE INSTRUCCION DE FERIA A/C DE LA DRA. BARRIONUEVO, MARIA CRISTINA Y EN LA PERSONA DEL SECRETARIO DR. FERNANDEZ JOSE MARIA QUIEN INFORMA QUE POR DISPOSICION DE SS. EL CAUSANTE SE NOTIFIQUE QUE DEBE COMUNICARSE CON EL JUZGADO ACTUANTE, FIJE DOMICILIO REAL Y EVENTUAL Y QUE CONTINUE SU VIAJE.SE LABRA ACTA DE NOTIFICACION N° 001/10. SE SOLICITARA EL SIN EFECTO DEL MISMO SI CORRESPONDIERE.-</t>
  </si>
  <si>
    <t>LD-489</t>
  </si>
  <si>
    <t>Comodoro Rivadavia</t>
  </si>
  <si>
    <t>Rio Gallegos</t>
  </si>
  <si>
    <t>Lesiones</t>
  </si>
  <si>
    <t>LESIONES CULPOSAS</t>
  </si>
  <si>
    <t>A 200 METROS DEL PUESTO CANARIO</t>
  </si>
  <si>
    <t>AUTOPISTA RICHIERI MANO SENTIDO DESDE C.A.B.A. AL AEROPUERTO PISTARINI</t>
  </si>
  <si>
    <t>QUE SE RECIBE EN ESTA PREVENCION COMUNICACION POR RADIO DEL PUESTO TAQUILLA DANDO CUENTA DE UN ACCIDENTE AUTOMOVILISTICO. QUE UNA VEZ EN EL LUGAR SE OBSERVAN DOS VEHICULOS COLISIONADOS TRATANDOSE DE UNA CAMIONETA MODELO KANGOO COLOR GRIS DOMINIO FTZ 086 Y UN PEUGEOT MODELO 307 COLOR GRIS DOMINIO HAR 169. LUCAS AURELIO BON FANTINO IMPUTADO DNI N° 26.739.874 MIGUEL ALBERTO GIMENEZ DAMNIFICADO DNI N° 25.345.790</t>
  </si>
  <si>
    <t>Defraudaciones y Estafas</t>
  </si>
  <si>
    <t>NAC DE 1º INST EN LO CRIMINAL DE INST Nº 2</t>
  </si>
  <si>
    <t>SECRETARIA Nº 107</t>
  </si>
  <si>
    <t>DANIEL ESTBAN BERMUDEZ</t>
  </si>
  <si>
    <t>TENTATIVA DE ESTAFA</t>
  </si>
  <si>
    <t>estafa</t>
  </si>
  <si>
    <t>PARADA DE TAXIS</t>
  </si>
  <si>
    <t>VEREDA SECTOR A2</t>
  </si>
  <si>
    <t>SIENDO LAS 19.00 HORAS DEL DIA DE LA FECHA SE PRESENTO EN ESTA GUARDIA A RADICAR UNA DENUNCIA POR TENTATIVA DE ESTAFA LA SRA GARCIA RUA, QUIEN ARRIBO A ESTE AEROPUERTO Y TOMO UN TAXI DEL G.C.B.A LICENCIA Nº 7725 DOMINIO CPB 477 EN EL CUAL SE PERCATO QUE EL RELOJ TARIFARIO APARENTEMENTE TENDRIA UNA IRREGULARIDAD -NO COINCIDIA EL CUADRO TARIFARIO CON LO QUE MARCABA EL APARATO- POR LO QUE LA MISMA LE SOLICITO AL CHOFER QUE LA LLEVE A LA COMISARIA MAS CERCANA A SU DOMICILIO POR LO QUE EL TAXISTA INMEDIATAMENTE LA VOLVIO A TRAER AL AEROPUERTO Y NO LE COBRO EL VIAJE. SE ESTABLECIO COMUNICACION CON EL JUZGADO INTERVINIENTE, QUIEN ORDENO SE CURSE NOTA A S.A.C.T.A PARA QUE INFORME TODOS LOS DATOS REFERENTE AL TAXI EN CUESTION, Y CON RESULTADO DE SACTA , SE ESTABLEZCA NUEVA COMUNICACION, COMO ASI MISMO NO SE TOMEN MEDIDAS HACIA EL CHOFER HASTA NO TENER LOS RESULTADOS REQUERIDOS.</t>
  </si>
  <si>
    <t>AR2679</t>
  </si>
  <si>
    <t>AEROPARQUE</t>
  </si>
  <si>
    <t>JUZGADO DE EJECUCION PENAL Nº 01</t>
  </si>
  <si>
    <t>ORDEN DE EXPULSION</t>
  </si>
  <si>
    <t>ORDEN EXPULSION DNM 59080-2009</t>
  </si>
  <si>
    <t>POSICION Nº30 PLATAFORMA OPERATIVA</t>
  </si>
  <si>
    <t>GUARDIA DE PREVENCION , PLATAFORMA OPERATIVA</t>
  </si>
  <si>
    <t>SIENDO LA HORA ANTES MENCIONADA SE IMPLEMENTA ORDEN DE SERVICIO Nº25/10 DE ESTA UOSP EN RELACION A LA ORDEN DE SERVICIO Nº 007/10 FAX PROCEDENTE DE LA URSA I DEL ESTE ACORDE AL MEMORANDO Nº 019/10 FAX PROCEDENTE DEL CEAC REFERENTE A LA EXPULSION DEL TERRITORIO NACIONAL DEL CIUDADANO DE NACIONALIDAD URUGUAYA SR. MIGUEL ANGEL PEREYRA CAPELLO. SIENDO LA HORA 1530 HS APROXIMADAMENTE SE HACE PRESENTE EN ESTA GUARDIA DE PREVENCION PERSONAL DEL DEPTO DE ASUNTOS EXRAJEROS DE LA PFA CON EL EXPULSADO. SIENDO LA HORA 1900 ES TRASLADADO EL EXPULSADO DESDE ESTA GUARDIA DE PREVENCION HASTA LA AERONAVE LV-AXU DE LA EMPRESA AEROLINEAS ARGENTINAS LA CUAL SE ENCONTRABA EN POSICION Nº 30 DE LA PLATAFORMA OPERATIVA DE ESTE AEROPARQUE. SIENDO LA HORA 1940 HS DESPEGA DE ESTE AEROPUERTO LA AERONAVE ANTES MENCIONADA CON EL EXPULSADO EN CUESTION SIN NOVEDAD.</t>
  </si>
  <si>
    <t>AR 1208</t>
  </si>
  <si>
    <t>CIUDAD AUTONOMA DE BUENOS AIRES - AEROPUERTO JORGE NEWBERY</t>
  </si>
  <si>
    <t>MONTEVIDEO</t>
  </si>
  <si>
    <t>MEIROVICH</t>
  </si>
  <si>
    <t>GUSTAVO</t>
  </si>
  <si>
    <t>LOPEZ IGLESIA MARIA NOEL S/ TENTATIVA DE CONTRABANDO DE ESTUPEFACIENTES</t>
  </si>
  <si>
    <t>EN EL DIA DE LA FECHA SIENDO LAS 18.45 HORAS INGRESAN A ESTA UNIDAD PERSONAL DE DOCNYDC DE LA URSA 1 DEL ESTE CON UN DETENIDO EN RELACION A LA DETENCION EN LA VIA PUBLICA EN EL MARCO DE LA INVESTIGACION DE LA CAUSA 11876 SIENDO ALOJADO EN ESTA UOSP.</t>
  </si>
  <si>
    <t>EXORTO DEL JUZGADO NAC. CRIM.Y CORR. Nº1 CAPITAL FEDERAL</t>
  </si>
  <si>
    <t>DE CONFORMIDAD CON LO ORDENADO EN AUTOS Nº 15936-C CARATULADOS EXHORTO DEL JUZGADO NAC. CRIM. Y CORR. Nº1 CAPITAL FEDERAL QUE SE TRAMITA ANTE ESTE JUZGADO FEDERAL Nº 1 DE MENDOZA SECRETARIA PENAL C TENGO EL AGRADO DE DIRIGIRME A USTED A FIN DE HACERLE SABER QUE EN EL DÍA DE LA FECHA HA RESUELTO ESTE TRIBUNAL HACER LUGAR AL PEDIDO DE EXTRADICIÓN SOLICITADO POR EL JUZGADO NACIONAL EN LO CRIMINAL Y CORRECCIONAL FEDERAL Nº 1 DE CAPITAL FEDERAL, EN RELACIÓN A JOSÉ LUIS MENDEZ VILLEGAS, QUIEN SE ENCUENTRA ALOJADO EN LA UNIDAD PENITENCIARIA FEDERAL U-32, DEBIENDO ARBITRAR LOS MEDIOS NECESARIOS PARA QUE EL DETENIDO SEA CONDUCIDO POR PERSONAL QUE AL EFECTO DESIGNE DE ESE SERVICIO HASTA LA ALCALDIA DEL TRIBUNAL ANTES MENCIONADO.</t>
  </si>
  <si>
    <t>DR. JOSE LUIS D ABONDIO</t>
  </si>
  <si>
    <t>SIN DATOS</t>
  </si>
  <si>
    <t>PU AMPLIATORIO 088/10. QUE EN EL DIA DE LA FECHA SE DISPUSO LA LIBERTAD DEL DETENIDO DJAMBOV SVETOSLAVOV VESSELIN DESDE ESTA DEPENDENCIA MOTIVO POR EL CUAL UNA VEZ EN ESTE MEDIE SE PROCEDIO A CONCRETAR SU LIBERTAD, RETIRANDOSE DE ESTA DEPENDENCIA EN EL HORARIO DE LAS VEINTIUNA HORAS SIN NOVEDAD</t>
  </si>
  <si>
    <t>INTERSECCION DE LAS CALLES SARMIENTO Y ALTE. BROWN</t>
  </si>
  <si>
    <t>CIUDAD DE MAR DEL PLATA</t>
  </si>
  <si>
    <t>EN EL DIA DE LA FECHA SE PROCEDIO A DAR CUMPLIMIENTO A LA ORDEN DE DETENCION EMANADA POR EL JUZGADO INTERVINIENTE. SIENDO APROXIMADAMENTE LAS 18.30 HORAS PERSONAL DESTINADO A LAS TAREAS, DIVISA A UNA PERSONA DE SEXO MASCULINO, DE CARACTERÍSTICAS SIMILARES A LAS DEL MASCULINO SOBRE QUIEN PESA LA MEDIDA, TRANSITANDO EN DIRECCIÓN DE UNA MOTOCICLETA QUE SE HALLABA ESTACIONADA EN LA INTERSECCION MENCIONADA ACTO SEGUIDO Y EN PRESENCIA DE LOS TESTIGOS, SE IDENTIFICA A LA PERSONA QUIEN MANIFIESTA LLAMARSE DANIEL AMÉRICO MONROY, RAZÓN POR LA CUAL SE PROCEDE A DAR FIEL E INTEGRA LECTURA DE LA ORDEN DE DETENCIÓN PRESTANDO EL INDIVIDUO ENTERA CONFORMIDAD RAZÓN POR LO CUAL SE PROCEDE A LA DETENCIÓN EN CARÁCTER DE INCOMUNICADO.</t>
  </si>
  <si>
    <t>EN EL DÍA DE LA FECHA SIENDO LAS 23.00 HORAS, PARTE COMISIÓN CON DESTINO A LA UOSP EZEIZA EN CUMPLIMIENTO DE LA ORDEN DE SERVICIO Nº 009/10 DE LA URSA I, TRASLADANDO AL DETENIDO MONROY, DANIEL AMÉRICO DNI Nº 16.593.496 EN EL MARCO DE LA CAUSA Nº 11876 CARATULADA COMO LOPEZ IGLESIAS MARIA NOEL S/CONTRABANDO DE ESTUPEFACIENTES.</t>
  </si>
  <si>
    <t>Juzgado Nacional en lo Penal Económico Nº 07</t>
  </si>
  <si>
    <t>MARIA INES CARBAJALES</t>
  </si>
  <si>
    <t>SIN DATO</t>
  </si>
  <si>
    <t>TERMINAL B</t>
  </si>
  <si>
    <t>QUE EN MOMENTOS DE EFECTUARSE EL CONTROL DE PASAJEROS DEL VUELO DE MENCION SE PRESENTA ANTE EL CONTROL LA PASAJERA LA CUAL HACE ACTIVAR LA ALARMA SONORA Y LUMINICA DEL ARCO DETECTOR, MOTIVO POR EL CUAL SE PROCEDE A SU CONTROL MANUAL PERCATANDOSE LA FUNCIONARIA POLICIAL DE LA EXISTENCIA DE BARIOS BULTOS DE FORMA IRREGULAR A LA ALTURA DE SU ABDOMEN Y ESPALDA. QUE EFECTUADA LA REQUISA SE OBTIENE COMO RESULTADO QUE LA PASAJERA SE ENCONTRABA TRASLADANDO EN LA MODALIDAD DE ENVAINADA UN TOTAL DE 42 PAQUETES CONTENIENDO SUSTANCIA ESTUPEFACIENTE SEGUN PARTE URGENTE Nº 128 SE TRASLADA AL IMPUTADO AL JUZGADO</t>
  </si>
  <si>
    <t>AR 1140</t>
  </si>
  <si>
    <t>QUE EL DIA 03-01-10 SE PROCEDIO AL TRASLADO DE LA DETENIDA A SEDE JUDICIAL JUNTAMENTE CON LOS ACTUADOS LABRADOS POR ESTA DEPENDENCIA. ESTE P.U. ES UNA AMPLIACION DEL P.U. Nº 13</t>
  </si>
  <si>
    <t>Control de Rutina</t>
  </si>
  <si>
    <t>POSICION 2</t>
  </si>
  <si>
    <t>BRINKS ARGENTINA S.A.</t>
  </si>
  <si>
    <t>DANDO CUMPLIMIENTO A ORDEN DE SERVICIO 002/0010 Y SIENDO LAS 2345 HORA LOCAL ARRIBA AERONAVE AIRBUS 320 MATRICULA LV-BRY DE LA EMPRESA LAN ARGENTINA PROCEDENTE DE AEROPARQUE JORGE NEWBERY EN CUYAS BODEGAS 1,2 Y 3 SE DESPACHAN 118 PIEZAS CON UN PESO DE 5.479 KILOGRAMOS DE METAL -MTD- PERTENECIENTE A LA EMPRESA MINERA TRITON ARGENTINA S.A.CON DESTINO AL AEROPUERTO JORGE NEWBERY. EL VUELO DESPEGA A LAS 0100 HORA LOCAL SIN NOVEDAD. LA EMPRESA COURIER ES LAN CARGO.</t>
  </si>
  <si>
    <t>4M 4429</t>
  </si>
  <si>
    <t>TRIBUNAL ORAL EN LO CRIMINAL Nº 26</t>
  </si>
  <si>
    <t>DR. GRUNBERG</t>
  </si>
  <si>
    <t>ROBO</t>
  </si>
  <si>
    <t>CAPTURA</t>
  </si>
  <si>
    <t>BOX MIGRATORIOS DE ENTRADA</t>
  </si>
  <si>
    <t>QUE EL DIA 31/12/09 LA DNM REMITE A ESTA DEPENDENCIA AL CAUSANTE POR PESAR SOBRE ESTE PEDIDO DE CAPTURA SOLICITADO POR EL TRIBUNAL ORAL N° 26 DE CABA. QUE LUEGO DE VARIOS INTENTOS CON RESULTADO NEGATIVO DE COMUNICACION CON EL TRIBUNAL SOLICITANTE, SE MANTIENE COMUNICACION CON EL JUZGADO FEDERAL N° 02, DE LOMAS DE ZAMORA A CARGO DEL JUEZ DR. CARLOS ALBERTO FERREIRO PELLA, SECRETARIA C DR. MAXIMILIANO CALLIZO, DISPONIENDO ESTE JUZGADO SE PROCEDA A LA DETENCION EN CALIDAD DE COMUNICADO DEL CAUSANTE HASTA TANTO SE LOGRA MANTENER COMUNICACION CON EL TRIBUNAL SOLICITANTE. QUE EL DIA CUATRO DE ENERO DEL AÑO DOSMIL DIEZ SE MANTUVO COMUNICACION CON EL TRIBUNAL N° 26 DISPONIENDO QUE EL DETENIDO SEA TRASLADADO A ASIENTO DE ESE TRIBUNAL. QUE SIENDO LAS DIEZ HORAS TREINTA MINUTOS DEL 04/01/10 SE PROCEDIO AL TRASLADO DEL DETENIDO SIN NOVEDAD.</t>
  </si>
  <si>
    <t>AR 1133</t>
  </si>
  <si>
    <t>27/10 B-12414/10</t>
  </si>
  <si>
    <t>--</t>
  </si>
  <si>
    <t>GUARDIA -PLATAFORMA- AVION</t>
  </si>
  <si>
    <t>AMPLIANDOEL PARTE URGENTE EN EL MARCO DE LA CAUSA NRO 27/10-B-12414/10 CARATULADA INFRACCION LEY 23737,INFORMO QUE DE ACUERDO CON LO ORDENADO POR EL JUZGADO INTERVINIENTE, SIENDO LAS 0315 HORAS SE PROCEDIO AL TRASLADO DE LA CIUDADANA CARMEN SAEZ CARMONA L.C. 4.460.891 A LA CIUADAD AUTONOMA DE BUENOS AIRES, EN EL VUELO AU 2883 DE LA EMPRESA AEROLINEAS ARGENTINAS-AUSTRAL, CUSTODIADA POR DOS EFECTIVOS DE LA UNIDAD OPERACIONAL RIO GALLEGOS, ESTIMANDO EL ARRIBO AL AEROPUERTO JORGE NEWBERY A LAS 0550 HS.-</t>
  </si>
  <si>
    <t>AU 2883</t>
  </si>
  <si>
    <t>OFICINAS DE INTERBAIRES- 1ER PISO</t>
  </si>
  <si>
    <t>LA DENUNCIANTE DEJA SUS OBJETOS PERSONALES EN EL CASILLERO UBICADO EN LAS OFICINAS DE INTERBAIRES PARA LA CUAL TRABAJA Y A LAS HORAS EL ENCARGADO LE INFORMA QUE EL CASILLERO ESTABA ABIERTO, ESTA SE DIRIGE AL LUGAR NOTANDO QUE SE ENCONTRABA FORZADO Y LE FALTABA DE SU INTERIOR SUS PERTENENCIAS</t>
  </si>
  <si>
    <t>JOSE LUIS D´ABONDIO</t>
  </si>
  <si>
    <t>CINTA DE EQUIPAJE Nº 2</t>
  </si>
  <si>
    <t>EL DENUNCIANTE ARRIBA AL PAIS Y LUEGO DE LOS TRAMITES MIGRATORIOS SE DIRIGE A LA CINTA DE EQUIPAJE, ALLI COLOCA EN EL BOLSILLO EXTERNO DE SU CARRY ON UNA BOLSA DE PLASTICO TRANSPARENTE CON EFECTOS PERSONALES. LUEGO AL DIRIGIRSE AL SECTOR DE ADUANA SE PERCATA QUE EL CIERRE DONDE HABIA DEJADO SUS COSAS ESTABA ABIERTO Y FALTABA LA BOLSA MENCIONADA, REALIZA UNA BUSQUEDA EN EL SECTOR NO ENCONTRANDO SUS EFECTOS.</t>
  </si>
  <si>
    <t>LUFTHANSA</t>
  </si>
  <si>
    <t>LH510</t>
  </si>
  <si>
    <t>Alemania</t>
  </si>
  <si>
    <t>FRANKFURT</t>
  </si>
  <si>
    <t>LOCUTORIO DEL HALL DE PARTIDAS</t>
  </si>
  <si>
    <t>EL DENUNCIANTE SE ENCONTRABA EN UN BOX DEL LOCUTORIO CON SUS EQUIPAJES AL LADO. DEJO EL BOX POR UNOS INSTANTES Y SE DIRIJIO HACIA EL MOSTRADOR PRINCIPAL DEJANDO LOS EQUIPAJES EN EL SECTOR. AL REGRESAR NOTA EL FALTANTE DE UNO DE ELLOS.</t>
  </si>
  <si>
    <t>QUE SIENDO LAS OCHO HORAS DEL DIA 02/01/2010 SE PROCEDIO AL TRASLADO DE LA DETENIDA EN AUTOS A SEDE JUDICIAL JUNTAMENTE CON LAS ACTUACIONES</t>
  </si>
  <si>
    <t>117/10</t>
  </si>
  <si>
    <t>EN EL DÍA DE LA FECHA SIENDO LAS 10.35 HORAS Y HABIENDO CUMPLIMENTADO LA ORDEN DE SERVICIO Nº 009/10 GENERADA POR LA URSA I DEL ESTE, REGRESA A ESTA UOSP LA COMISION DESIGNADA PARA TAL FIN EN MOVIL DE DOTACION 064 SIN NOVEDAD.-</t>
  </si>
  <si>
    <t>Allanamiento</t>
  </si>
  <si>
    <t>LOPEZ IGLESIAS MARIA NOEL S/CONTRABANDO ESTUPEFACIENTES</t>
  </si>
  <si>
    <t>CALLE REMEDIOS DE ESCALADA Nº 881, CIUDAD DE MAR DEL PLATA</t>
  </si>
  <si>
    <t>FUERA DE LA JURISDICCION</t>
  </si>
  <si>
    <t>EN EL DIA DE LA FECHA SIENDO LAS 12.30 HS. POR ORDEN DEL JEFE URSA I DANDO CUMPLIENTO A ORDEN DE SERVICIO 005/10 GENERADA POR ESTA UOSP SE COMISIONA A LOS AGTES. MARTIN DE ANGELIS CONTROL 500.512 Y CAROLA SOLIS CONTROL 502.231 Y CAN NILO EN MOVIL PROVISTO Nº 064 PARA COLABORACION EN ALLANAMIENTO REALIZADO POR PERSONAL DOCN Y DC PARA RASTREO DE NARCOTICOS.-</t>
  </si>
  <si>
    <t>SECTOR TERMINAL SUR PUESTO BRAVO.</t>
  </si>
  <si>
    <t>DENTRO DE LAS INSTALACIONES DEL AEROPARQUE METROPOLITANO.</t>
  </si>
  <si>
    <t>SIENDO LA HORA Y LA FECHA ANTES MENCIONADA SE PRESENTA EN LA GUARDIA DE PREVENCION LA DENUNCIANTE PARA INFORMAR DEL EXTRAVIO DE SU PERMISO PERSONAL DE SEGURIDAD AEROPORTUARIO AER EXPEDIDO POR LA POLICIA DE SEGURIDAD AEROPORTUARIA. SE LABRA DENUNCIA DE EXTRAVIO Nº 013-A/10.</t>
  </si>
  <si>
    <t>FEDERAL Nº 2 DE JUJUY</t>
  </si>
  <si>
    <t>Secretaria N 04</t>
  </si>
  <si>
    <t>PASTOR</t>
  </si>
  <si>
    <t>CARLOS OLIVERA</t>
  </si>
  <si>
    <t>DR SEBASTIAN JURE</t>
  </si>
  <si>
    <t>DAÑOS AUTORES DESCONOCIDOS</t>
  </si>
  <si>
    <t>A 300 METROS DE CABECERA 3.4 NORTE EN EL POSTE Nº 320 DEL SECTOR IDENTIFICADO COMO N-2 DEL MAPA RETICULADO</t>
  </si>
  <si>
    <t>ALAMBRADO PERIMETRAL NORTE POSTE Nº 320 DE CABECERA 3.4</t>
  </si>
  <si>
    <t>INFORMO QUE A HORAS 1200 SE PRESENTA EL SR ESTEBAN OSCAR SALVATIERRA DNI Nº 8.174.413 QUIEN SE DESEMPEÑA COMO JEFE DE OPERACIONES DE A.A. 2000 A EFECTOS DE RADICAR UNA DENUNCIA POR ROTURA DE LOS TRES HILOS DE ALAMBRE DE PUAS DE LA PARTE SUPERIOR DEL ALAMBRADO PERIMETRAL CUANDO REALIZABA UN RECORRIDO DE RUTINA EN EL POSTE Nº 320 DEL SECTOR N-2 DEL MAPA RETICULADO DEL SECTOR NORTE DE ESTE AEROPUERTO SE DA INTERVENCION AL JUZGADO DE TURNO QUIEN ORDENA LAS ACTUACIONES CORRESPONDIENTES.</t>
  </si>
  <si>
    <t>Tareas Investigativas</t>
  </si>
  <si>
    <t>71/10</t>
  </si>
  <si>
    <t>SE INFORMA QUE EL DIA 07 DE ENERO DE 2010, SE DIO CUMPLIMIENTO A LA ORDEN JUDICIAL EN EL MARCO DE LA CAUSA 027/10(B-12.414/10 CON INTERVENCION DEL JUZGADO NACIONAL DE PRIMERA INSTANCIA EN LO CRIMINAL Y CORRECCIONAL FEDERAL Nº 1. QUE SIENDO LAS 01:15 APROXIMADAMENTE ARRIBO AL AEROPARQUE JORGE NEWVERY, EN EL VUELO AA 1880, EL DETENIDO GOMEZ LUIS ALBERTO, DNI Nº: 12.777.729. TRASLADADO POR PERSONAL DE LA UOCN DC URSA V Y DE LA UOSP RIO GALLEGOS, PARA SER POSTERIORMENTE REMITIDO A LA UOSP METROPOLITANA SIN NOVEDAD. ASIMISMO LAS DETENIDAS: SAEZ CARMONA CARMEN LC Nº: 4.460.891 Y OROZCO ISABEL VICTORIA, DNI Nº 23.882.266, ENCARTADAS EN AUTOS DE CAUSA DE REFERENCIA, FUERON TRASLADADAS EN EL VUELO AA 2883 QUE ARRIBO A LAS 05:50 HORAS AL MENCIONADO AEROPUERTO Y POSTERIORMENTE PUESTA A DISPOSICIÓN POR PARTE DEL PERSONAL DE LA UOCN DC URSA V Y DE LA UOSP RIO GALLEGOS, A LA UOSP METROPOLITANA SIN NOVEDAD.</t>
  </si>
  <si>
    <t>LOPEZ IGLESIAS MARIA NOEL S/AV. DE CONTRABANDO DE ESTUPEFACIENTES</t>
  </si>
  <si>
    <t>REMEDIOS DE ESCALADA 881, 9 DE JULIO 3524,MALABIA 2810 PISO 3 DTO B, ALTE BROWN S/N ENTRE CALLES MENDOZA Y VIAMONTE, TODOS DE LA CIUDAD DE MAR DEL PLATA</t>
  </si>
  <si>
    <t>MAR DEL PLATA</t>
  </si>
  <si>
    <t>EN EL DIA DE LA FECHA SE REALIZARON CUATRO ALLANAMIENTOS ORDENADOS POR LA JUDICATURA INTERVINIENTE, EN EL MARCO DE LA CAUSA DE REFERENCIA CON EL SIGUIENTE RESULTADO REMEDIOS DE ESCALADA, DOS NOTEBOOK, UNA PISTOLA 9MM Y MUNICION DE ESE CALIBRE, ARMA Y MUNICION CALIBRE 45, CARTUCHOS CALIBRE 12, DOCUMENTACION VARIA, UNA CAMARA DE FOTOS, UNA FILMADORA, UN NEXTEL. 9 DE JULIO, FACTURAS VARIAS. MALABIA, SIN SECUESTRO. ALTE BROWN, NEGATIVO SEGUN PU Nº 132 DE MAR DEL PLATA SE COMISIONA A LOS OFICIALES MARTIN ANGELIS, Y CAROLA SOLIS JUNTO AL CAN NILO PARA LA DETECCION DE ESTUPEFACIENTE CUMPLIMENTANDOSE ASI LA ORDEN DE SERVICION Nº 5 DE DICA UNIDAD</t>
  </si>
  <si>
    <t>DOSCIENTOS METROS POSTERIORES AL PRIMER PEAJE DE LA MENCIONADA AUTOPISTA</t>
  </si>
  <si>
    <t>AUTOPISTA TENIENTE GENERAL RICCHIERI, SENTIDO CAPITAL</t>
  </si>
  <si>
    <t>EN EL DIA Y HORA MENCIONADO, EL DENUNCIANTE SE RETIRA DE ESTE AEROPUERTO HACIA SU DOMICILIO PARTICULAR CON SU VEHICULO VOLKSWAGEN VENTO DE COLOR NEGRO DOMINIO FUD 659. QUE PASADOS 200 METROS APROXIMADAMENTE DEL PRIMER PEAJE DE LA AUTOPISTA TTE. GRAL. RICCHIERI, SENTIDO CAPITAL FEDERAL, SE PERCATA QUE EL RODADO TENIA UNA RUEDA PINCHADA. PROCEDE A REALIZAR EL CAMBIO DE LA MISMA Y EN ESE MOMENTO SE DETIENE UN RODADO, AL PARECER FIAT DUNA, Y BAJA UNA PERSONA LA CUAL LE REALIZA UNA CONSULTA AL DENUNCIANTE. QUE PASADOS UNOS MINUTOS EL MASCULINO SE RETIRA DEL SECTOR JUNTAMENTE CON EL RODADO FIAT Y POSTERIORMENTE EL DENUNCIANTE DIVISA A OTRA PERSONA MASCULINA QUE PORTABA UNA MOCHILA DE COLOR NEGRO, PROPIEDAD DEL DENUNCIANTE Y SE RETIRA DEL SECTOR.</t>
  </si>
  <si>
    <t>PLAYA DE ESTACIONAMIENTO DE LA TERMINAL B, SITO EN LA PARTE TRASERA DEL EDIFICIO CORPORATIVO DE LA EMPRESA AEROPUERTOS ARGENTINA 2000</t>
  </si>
  <si>
    <t>EL DIA MENCIONADO, SIENDO LAS 14 HORAS, EL DENUNCIANTE SE DIRIGE AL SECTOR DE ESTACIONAMIENTO DE MENCION Y TOMA CONTACTO CON SU VEHICULO FORD FALCON DOMINIO TYE 695 DE COLOR VERDE Y ES ALLI QUE SE PERCATA QUE EL SEGURO DE LA PUERTA DEL CONDUCTOR SE ENCONTRABA LEVANTADO, PERO SIN SIGNOS DE HABER SIDO VIOLENTADO. INGRESA AL RODADO Y NO NOTA ANOMALIA ALGUNA, POR LO QUE SE RETIRA DE ESTA AEROSTACION. UNA VEZ EN SU DOMICILIO SE PERCATA QUE DEL RODADO LE FALTABAN VARIOS ELEMENTOS.</t>
  </si>
  <si>
    <t>FISC. DETERMINACION DE AUTORES MAR DEL PLATA</t>
  </si>
  <si>
    <t>Belen</t>
  </si>
  <si>
    <t>Fabian</t>
  </si>
  <si>
    <t>ROBO/HURTO</t>
  </si>
  <si>
    <t>EN EL DIA DE LA FECHA SE RECEPCIONA DENUNCIADA RADICADA EN ESTA PREVENCION POR EL SR. ALEJANDRO DELAETER D.N.I. 30.506.696 AUXILIAR DE MANTENIMIENTO DE LA EMPRESA AEROPUERTOS ARGENTINA 2000 S.A. EL CUAL AL EFECTUAR EL PRIMER RECORRIDO DE INSPECCION DE ALAMBRADOS DEL DIA, OBSERVA EL FALTANTE DE CUATRO PAÑOS DE ALAMBRADO DE TEJIDO ROMBOIDAL, DE APROXIMADAMENTE CUATRO METROS DE LARGO POR DOS DE ALTO, PERTENECIENTES AL ANILLO DE SEGURIDAD DE ESTE AEROPUERTO, LINDANTES ESTOS CON LA CALLE VUELTA DE OBLIGADO DEL BARRIO LAS DALIAS DE ESTA CIUDAD, SEGUN COORDENADAS N 25 DE LA CUADRICULA ESQUEMATICA DE ESTE AEROPUERTO. NO SE ENCONTRARON ELEMENTOS DE CORTE NI TAMPOCO SE OBSERVARON HUELLAS EN EL LUGAR, COMO TAMPOCO SE OBTUVO ALGUN DATO DE INTERES.</t>
  </si>
  <si>
    <t>Accidente Via Publica / Sector Restringido sin Lesiones</t>
  </si>
  <si>
    <t>UOSP RESISTENCIA</t>
  </si>
  <si>
    <t>CAMINO DE INGRESO AL AEROPUERTO</t>
  </si>
  <si>
    <t>QUE EL SEÑOR LEANDRO COLOMBO DNI 28661199 EN CIRCUNSTANCIAS QUE CIRCULABA EN SU VEHICULO MARCA HONDA MODELO FIT DOMINIO ECP 881 POR EL CAMINO DE INGRESO AL AEROPUERTO A UNOS 2000 METROS DE LA RUTA NACIONAL NUMERO 11 EN UNA ZONA SIN LUZ, OBSERVA UN EQUINO EN LA CINTA ASFALTICA Y ANTE LA PROXIMIDAD DEL ANIMAL COLISIONA CON EL MISMO, SUFRIENDO ROTURA DE PARABRISAS, ABOLLADURA Y HUNDIMIENTO DE CAPOT Y DEL PARAGOLPES, ROTURA DE FARO DERECHO, GUARDABARRO DELANTERO DERECHO, VENTILETE DE PUERTA DELANTERA DERECHA, ESPEJO RETROVISOR DERECHO Y ABOLLADURA DE PUERTA DERECHA.CONTINUANDO CON SU MARCHA HACIA LA AEROESTACION SIN LESIONES PERSONALES PROPIA Y DEL ACOMPAÑANTE.SEGUIDAMENTE SE PRESENTA ANTE ESTA UOSP Y REALIZA LA EXPOSICION CORRESPONDIENTE A EFECTOS DE SER PRESENTADA ANTE EL SEGURO AUTOMOTOR</t>
  </si>
  <si>
    <t>JUZGADO DE INSTRUCCION Y CORRECCIONAL N° 1 DE FORMOSA</t>
  </si>
  <si>
    <t>GUILLEN</t>
  </si>
  <si>
    <t>Enrique Javier</t>
  </si>
  <si>
    <t>DRA. CLAUDIA MATILDE ANGELONI</t>
  </si>
  <si>
    <t>UOSP FORMOSA</t>
  </si>
  <si>
    <t>APROXIMADAMENTE A DOSCIENTOS METROS DEL INGRESO AL AEROPUERTO</t>
  </si>
  <si>
    <t>RUTA NACIONAL N° 11 KM 1167 PARALELO AL ALAMBRADO PERIMETRAL EXTERNO DEL AEROPUERTO</t>
  </si>
  <si>
    <t>SIENDO LAS 21:00 HS. SALE EL MÓVIL 058 A LOS EFECTOS DE REALIZAR PATRULLA PERIMETRAL EXTERNA, DE REGRESO EL PERSONAL POLICIAL DIVISA A UN INDIVIDUO QUE SE TRASLADABA EN BICICLETA POR LA BANQUINA DE LA RUTA 11 EN SENTIDO SUR - NORTE CON ROLLOS DE ALAMBRE TEJIDO, SIENDO INTERCEPTADO EL MISMO A EFECTOS DE INTERROGARLO SOBRE LA PROCEDENCIA DE LOS ELEMENTOS. DÁNDOSE A LA FUGA EL INDIVIDUO EN LA ESPESURA DEL CAMPO UBICADO FRENTE A LA ESTACIÓN AÉREA. ABANDONANDO LOS ELEMENTOS MENCIONADOS. LOS ELEMENTOS SON TRASLADADOS A LA GUARDIA DE PREVENCIÓN, COMUNICÁNDOME CON EL JUZGADO DE TURNO EL CUAL DISPUSO A TRAVÉS DE SU SECRETARIA QUE EL HECHO EN CUESTIÓN NO SE ENCUENTRA CARATULADO COMO DELITO Y QUE SE LABRE EL ACTA CORRESPONDIENTE Y LOS ELEMENTOS HALLADOS SEAN TRASLADADOS A LA SEDE JUDICIAL.-</t>
  </si>
  <si>
    <t>HURTO EN GRADO DE TENTATIVA</t>
  </si>
  <si>
    <t>RECINTO PREVIO DE INGRESO AL HALL DE LA CITADA TERMINAL</t>
  </si>
  <si>
    <t>EN LA HORA Y FECHA MENCIONADA, LA DAMNIFICADA SE ENCONTRABA EN EL SECTOR MENCIONADO, EN MOMENTOS QUE OBSERVA A DOS PERSONAS QUE PASAN POR DETRAS SUYO DE MANERA MUY CERCANA Y SEGUIDO A ELLO LA DAMNIFICADA DIVISA QUE DE SU CARTERA LE FALTABA UNA CARTERA PEQUEÑA, TIPO SOBRE DE VIAJE. A TAL EVENTO PROCEDE A DIRIGIRSE HACIA EL LUGAR DONDE SE ENCONTRABAN LOS DOS SUJETOS, PUDIENDO DAR CON EL MASCULINO, EL CUAL POSEIA LA CARTERA DE LA DAMNIFICADA, POR LO QUE LA MISMA LE SACA DE ENTRE SUS BRAZOS SU CARTERA, PROCEDIENDO A RETIRARSE DEL SECTOR, NO ENCONTRANDO FALTANTE ALGUNO DE SU INTERIOR. SEGUIDAMENTE DIVISA A PERSONAL POLICIAL QUE HABIA LOGRADO DAR CON EL AUTOR DEL ILICITO E INVITA A LA DAMNIFICADA A RADICAR LAS ACTUACIONES QUE DIERAN LUGAR. POR LO QUE LA MISMA ES TRASLADADA A LA DEPENDENCIA JUNTAMENTE CON EL AUTOR DEL HECHO. EN ESTA DEPENDENCIA POLICIAL SE PROCEDIO A REALIZAR LA ENTREGA DE LA CARTERA A SU PROPIETARIA. SE DEJA CONSTANCIA QUE MANTENIDA COMUNICACION CON EL DR. BRUZONE EL MISMO INDICA QUE SE LE RECIBA A LA DAMNIFICADA DECLARACION TESTIMONIAL EN VIRTUD A LA PREMURA DE LA PARTIDA DE SU VUELO, SE PROCEDA A LA APREHENSION EN CARACTER DE COMUNICADO DEL IMPUTADO, DEBIENDO ELEVAR LAS ACTUACIONES Y EL APREHENDIDO EL DIA 09-01-2010 EN HORAS DE LA MAÑANA./// SEGUN PU 151 SIENDO LAS DIECISIETE HORAS APROXIMADAMENTE REGRESA LA COMISION CON EL APRENDIDO EN AUTOS, EL CUAL ES ALOJADADO EN ESTA DEPENDENCIA HASTA RECIBIR NUEVO TEMPERAMENTE A SEGUIR POR LA UFI INTERVINIENTE. /// SEGUN PU 154 DE FECHA 09/01/2010 INFORMO QUE SIENDO LAS 2200 HS SE RECEPCIONA VIA FACSIMIL OFICIO JUDICIAL EMITIDO POR EL JUZGADO DE GARANTIAS NRO 07 DEL DEPARTAMENTO JUDICIAL DE LOMAS DE ZAMORA, EN EL CUAL SE DISPONE LA INMEDIATA LIBERTAD DEL DETENIDO. POR TAL MOTIVO SE PROCEDE A LA LIBERTAD DEL CAUSANTE RETIRANDOSE EL MISMO POR SUS PROPIOS MEDIOS. PTO.</t>
  </si>
  <si>
    <t>AR 1160</t>
  </si>
  <si>
    <t>BARCELONA</t>
  </si>
  <si>
    <t>INFRACCION AL ARTICULO 79 DECRETO LEY 8031/73</t>
  </si>
  <si>
    <t>HALL DE ARRIBOS DE PASAJEROS DE LA TERMINAL B</t>
  </si>
  <si>
    <t>LA FUNCIONARIA GODOY SANDRA SE ENCONTRABA DE RECORRIDA POR EL SECTOR MENCIONADO, EN CIRCUNSTANCIAS QUE OBSERVA A UNA PERSONA MASCULINA, APARENTEMENTE MENOR DE EDAD, LA CUAL SE ACERCABA A DIVERSOS PASAJEROS Y HABLABA CON ELLOS EN REITERADAS OPORTUNIDADES, POR LO QUE LA FUNCIONARIO SE DIRIJE AL MISMO Y LE CONSULTA QUE ESTABA REALIZANDO EN ESTE MEDIO, NO OBTENIENDO RESPUESTA ALGUNA. EN ESE MOMENTO SE HACE PRESENTE EL CONTRAVENTOR QUIEN MANIFIESTA SER EL PADRE DEL PRIMER MASCULINO MENCIONADO Y LE MANIFIESTA AL PERSONAL POLICIAL QUE CUALQUIER PROBLEMA CON EL MENOR DEBIA SER TRATADO CON EL. EN ESE MOMENTO SE HACE PRESENTE EL FUNCIONARIO SPINO DAMIAN, EL CUAL LE SOLICITA AL CONTRAVENTOR QUE EXHIBA DOCUMENTACION QUE ACREDITE SU IDENTIDAD, NEGANDOSE EL MISMO A DICHO PETITORIO EN REITERADAS OPORTUNIDADES. POR LO QUE SE PROCEDIO A TRASLADAR AL CONTRAVENTOR AL ASIENTO DE LA GUARDIA DE PREVENCION A LOS EFECTOS DE LABRAR ACTUACIONES, PERMITIENDOLE LA LIBRE CIRCULACION AL MENOR YA QUE EL MISMO NO ESTABA COMETIENDO NINGUNA INFRACCION. QUE UNA VEZ CULMINADAS LAS DILIGENCIAS, EL CONTRAVENTOR SIENDO LAS CERO HORAS 35 MINUTOS DEL DIA 09-01-2010 SE RETIRA DE ESTA DEPENDENCIA POLICIAL POR SUS PROPIOS MEDIOS.</t>
  </si>
  <si>
    <t>JUZGADO INST. DE SEGUNDA NOM. -D.J.N. - PROV TDF</t>
  </si>
  <si>
    <t>Ocho</t>
  </si>
  <si>
    <t>Hector Daniel</t>
  </si>
  <si>
    <t>MARCHISSIO, VERONICA</t>
  </si>
  <si>
    <t>S/DAÑOS Y AMENAZAS</t>
  </si>
  <si>
    <t>9593/05</t>
  </si>
  <si>
    <t>PARADERO</t>
  </si>
  <si>
    <t>UOSP RIO GRANDE</t>
  </si>
  <si>
    <t>PUESTO CONTROL RED LINCE</t>
  </si>
  <si>
    <t>SIENDO LAS 10 20 HORAS DEL DIA DE LA FECHA SE PROCEDE A NOTIFICAR A LA SRA. JOFRE ANDREA CLAUDIA DNI Nº 22.214.775- TRIPLICADO- CIUDADANA SOBRE QUIEN RECAE UN PEDIDO DE PARADERO SEGUN EL SISTEMA RED LINCE BAJO EL REGISTRO Nº 215769 VINCULADO A LA CAUSA Nº 9593/05 CARATULADA S/DAÑOS Y AMENAZAS EN TRAMITE POR ANTE EL JUZGADO DE INSTRUCCION DE SEGUNDA NOMINACION DJN DE ESTA PROVINCIA. RAZON POR LA CUAL SE NOTIFICO A LA CIUDADANA ANTES CITADA PARA QUE FIJE DOMICILIO REAL, FIJANDOLO EN CALLE PIONEROS FUEGUINOS Nº 538 3ER PISO DPTO Nº 8 BARRIO CHACRA II DE ESTA CIUDAD.</t>
  </si>
  <si>
    <t>AU2849</t>
  </si>
  <si>
    <t>RIO GRANDE</t>
  </si>
  <si>
    <t>BUENOS AIRES- AEROPARQUE</t>
  </si>
  <si>
    <t>EN EL CAFE DE NOMBRE LA MADELINE</t>
  </si>
  <si>
    <t>MIENTRAS LA DENUNCIANTE SE ENCONTRABA EN EL CAFE DE MENCION, A LOS EFECTOS DE HACER TIEMPO PARA EMBARCAR EN SU VUELO, DEPOSITA SU BOLSO DE MANO EN EL RESPALDO DE LA SILLA QUE OCUPA. QUE LUEGO SE LEVANTA DE SU SILLA, CON EL FIN DE SALUDAR A UNOS AMIGOS, PERDIENDO DE VISTA SU BOLSO DE MANO. QUE CUANDO REGRESA AL SECTOR DE LA SILLA QUE OCUPABA SE PERCATA DEL FALTANTE DEL BOLSO EN CUESTION.</t>
  </si>
  <si>
    <t>145/10</t>
  </si>
  <si>
    <t>SIENDO LAS DIECISIETE HORAS APROXIMADAMENTE REGRESA LA COMISION CON EL APREHENDIDO EN AUTOS, EL CUAL ES ALOJADO EN ESTA DEPENDENCIA HASTA RECIBIR NUEVO TEMPERAMENTO A SEGUIR POR LA U.F.I. INTERVINIENTE.</t>
  </si>
  <si>
    <t>TRIBUNAL ORAL CRIMINAL FEDERAL Nº 4</t>
  </si>
  <si>
    <t>MEZA CALDERON, PABLO RAUL S/FALSIFICACION DE DOCUMENTO PUBLICO</t>
  </si>
  <si>
    <t>CONJUNTO</t>
  </si>
  <si>
    <t>BOX DE MIGRACIONES DE INGRESO AL PAIS</t>
  </si>
  <si>
    <t>SE RECEPCIONA EN ESTA GUARDIA DE PREVENCION AL CAUSANTE REMITIDO POR LA DIRECCION NACIONAL DE MIGRACIONES, EN VIRTUD A QUE SOBRE EL MISMO PESA UNA ORDEN DE CAPTURA EMANADA POR EL TRIBUNAL ORAL EN LO CRIMINAL FEDERAL N°04 DE LA CIUDAD AUTONOMA DE BUENOS AIRES. EN TAL SENTIDO SE INTENTA ESTABLECER EN REITERADAS OCACIONES COMUNICACION TELEFONICA CON EL TRIBUNAL SOLICITANTE DE LA CAPTURA, NO PUDIENDO MANTENER CONTACTO CON PERSONAL ALGUNA. ANTE ESTOS ACONTECIMIENTOS SE DA INTERVENCION AL JUZGADO FEDERAL EN LO CRIMINAL Y CORRECCIONAL NRO. 02 DE LOMAS DE ZAMORA, A CARGO DEL JUEZ DR. CARLOS ALBERTO FERREIRO PELLA, SECRETARIA NRO. 06, DEL DR. DABONDIO, EL CUAL DISPONE QUE SE PROCEDA A LA DETENCION DEL CAUSANTE EN CARACTER DE COMUNICADO Y SE INTENTE MANTENER COMUNICACION CON EL TRIBUNAL SOLICITANTE DE LA CAPTURA, EN LOS DIAS SUBSIGUIENTES, A LOS EFECTOS DE QUE ESE TRIBUNAL INDIQUE TEMPERAMENTO A SEGUIR.</t>
  </si>
  <si>
    <t>LA 2429</t>
  </si>
  <si>
    <t>Identificacion de Personas</t>
  </si>
  <si>
    <t>NAC. DE 1º INST. EN LO CORRECCIONAL Nº 6</t>
  </si>
  <si>
    <t>SECRETARIA Nº 101</t>
  </si>
  <si>
    <t>DR. PASCARIELLO</t>
  </si>
  <si>
    <t>AVERIGUACION DE IDENTIDAD LEY 23.950</t>
  </si>
  <si>
    <t>LOCUTORIO TELECENTRO DE PLANTA BAJA DEL SECTOR PARTIDAS DE AEROLINEAS ARGENTINAS</t>
  </si>
  <si>
    <t>HALL PUBLICO DEL AEROPARQUE METROPOLITANO ARRIBOS A2 CON DIRECCION AL SECTOR A1</t>
  </si>
  <si>
    <t>SIENDO LA HORA Y LA FECHA ANTES MENCIONADA SE RECIBE COMUNICACION TELEFONICA DEL FUNCIONARIO POLICIAL DESTACADO EN EL HALL QUIEN INFORMA DE LA PRESENCIA DE UNA PERSONA DE SEXO MASCULINO Y DE UNA PERSONA DE SEXO FEMENINA EN ACTITUD SOSPECHOSA LOS CUALES INGRESARON POR EL SECTOR ARRIBOS A2 LOS CUALES AL NOTAR QUE SE LOS ESTABA OBSERVANDO SE SEPARAN DIRIGIENDOSE EL MASCULINO AL SECTOR DE VEREDA DONDE ABORDO UN VEHICULO MARCA CHEVROLET MODELO CORSA ABANDONANDO LAS INSTALACIONES AEROPORTUARIAS, QUEDANDO LA PERSONA DE SEXO FEMENINA EN EL LOCUTORIO TELECENTRO UNOS SEGUNDOS Y ANTE LA MIRADA DEL PERSONAL DE VIGILANCIA DEL AEROPUERTO PROCEDE A DESPLAZARSE CON DESTINO AL SECTOR ARRIBOS A2. UNA VEZ ALLI EL ENCARGADO DE TURNO DEL DIA DE LA FECHA INDIVIDUALIZA A LA FEMENINA A QUIEN LE PREGUNTA POR SU PRESENCIA EN EL AEROPUERTO Y LE SOLICITA SU DOCUMENTO NACIONAL DE IDENTIDAD Y ANTE LA AUSENCIA DE DICHO DOCUMENTO Y AL NO ACREDITAR IDENTIDAD SE INVITO A LA FEMENINA A TRASLADARSE A LA GUARDIA DE PREVENCION A FIN DE INICIAR LAS CORRESPONDIENTES ACTUACIONES. POSTERIORMENTE SE ENTABLA COMUNICACION TELEFONICA CON LA JUDICATURA ACTUANTE INFORMANDOLE LO SUCEDIDO QUIEN DISPONE SE INICIEN ACTUACIONES POR AVERIGUACION DE LA LEY 23.950 QUEDANDO LA FEMENINA ALOJADA EN ESTA DEPENDECIA HASTA QUE SE CUMPLIMENTEN LAS ACTUACIONES CORRESPONDIENTES. SE SOLICITA A INTERPOL PEDIDO DE ANTECEDENTES VIA NOTA ARROJANDO LOS MISMOS RESULTADO NEGATIVO DE ANTECEDENTES Y RESTRICCIONES DE LIBERTAD, SE CUMPLIMENTA EL INGRESO MEDICO A LA DEPENDENCIA POLICIAL. SIENDO LAS DIECISIETE HORAS POR ORDEN DE LA JUDICATURA SE PROCEDE A LA SOLTURA DE LA CIUDADANA PERUANA A QUIEN SE LE EFECTUO EL PRECARIO MEDICO DE SALIDA SIN NOVEDAD, RETIRANDOSE DE LA JURISDICCION CONFORME CON LOS TRATOS RECIBIDOS EN ESTA GUARDIA POLICIAL.</t>
  </si>
  <si>
    <t>INFORMO QUE SIENDO LAS 2200 HS SE RECEPCIONA VIA FACSIMIL OFICIO JUDICIAL EMITIDO POR EL JUZGADO DE GARANTIAS NRO 07 DEL DEPARTAMENTO JUDICIAL DE LOMAS DE ZAMORA, EN EL CUAL SE DISPONE LA INMEDIATA LIBERTAD DEL DETENIDO. POR TAL MOTIVO SE PROCEDE A LA LIBERTAD DEL CAUSANTE RETIRANDOSE EL MISMO POR SUS PROPIOS MEDIOS. PTO.</t>
  </si>
  <si>
    <t>DR. PIÑON</t>
  </si>
  <si>
    <t>VEREDA SECTOR B DEL AEROPARQUE METROPOLITANO</t>
  </si>
  <si>
    <t>VEREDA PUBLICA SECTOR B</t>
  </si>
  <si>
    <t>SIENDO LA HORA Y LA FECHA ANTES MENCIONADA EL DENUNCIANTE ABORDA UN TAXI CON SUS EQUIPAJES A LA ALTURA DE LA TERMINAL DE BUQUEBUS SITA EN LA CAPITAL FEDERAL PARA TRASLADARSE AL AEROPARQUE A FIN DE UTILIZAR EL SERVICIO DE GUARDAMALETAS. AL ARRIBAR AL AEROPUERTO DESCIENDE DEL TAXI CON SUS EQUIPAJES Y LE SOLICITA AL CHOFER QUE LO ESPERE UNOS MINUTOS. AL REGRESAR EL DENUNCIANTE EL CHOFER DEL TAXI LE EXIGE QUE LE ABONE LA TARIFA DEL PASAJE Y AL OBTENER EL DINERO SE RETIRA CON EL TAXI CON DESTINO DESCONOCIDO. AL CABO DE UNOS INSTANTES EL DENUNCIANTE SE PERCATA DEL FALTANTE DE SU MOCHILA LA CUAL ESTABA UBICADA EN EL ASIENTO TRASERO DEL TAXI. EN EL DIA DE LA FECHA SE PRESENTA EN LA GUARDIA POLICIAL EL DENUNCIANTE A FIN DE RADICAR LA DENUNCIA POR HURTO.</t>
  </si>
  <si>
    <t>PREEMABRQUE INTERNACIONAL</t>
  </si>
  <si>
    <t>FREE SHOP-EN PROXIMIDAD A LA PUERTA Nº14</t>
  </si>
  <si>
    <t>SIENDO LA HORA Y LA FECHA ANTES MENCIONADA LA DENUNCIANTE SE PRESENTA EN EL AEROPUERTO A FIN DE EMBARCAR HACIA LA REPUBLICA ORIENTAL DEL URUGUAY Y EN MOMENTOS DE SUBIR POR LA ESCALERA MECANICA SUFRE UNA CAIDA QUE LE OCASIONA UNA LESION EN SU RODILLA Y EN SU BRAZO POR LO QUE AL PASAR POR EL CONTROL POLICIAL DE PREEMBARQUE LE SOLICITA ASISTENCIA A LOS POLICIAS. AL CABO DE UNOS MINUTOS REALIZO EL TRAMITE DE MIGRACIONES Y COMPRO UNOS REGALOS EN EL FREE SHOP Y YA DENTRO DE LA AERONAVE DE LA EMPRESA AEREA SE PERCATO DE QUE LE FALTABA SU LAPTOP</t>
  </si>
  <si>
    <t>AR 1230</t>
  </si>
  <si>
    <t>DR. HERNAN PANDIELLA</t>
  </si>
  <si>
    <t>PREMBARQUE 1/16</t>
  </si>
  <si>
    <t>QUE EN UN CONTROL DE RUTINA EN EL PREEBARQUE, SURGE LA NOVEDAD CON RESPECTO AL EQUIPAJE DE MANO DE UN PASAJERO PROXIMO AL VIAJAR, EL CUAL AL SER CHEQUEADO POR MAQUINA DE RAYOS X, EL MISMO PRESENTABA DUDAS CON RESPECTO A SU CONTENIDO, MOTIVO POR EL CUAL SE PROCEDE A DAR CONOCIMIENTO DEL HECHO SUSCITADO AL JEFE DE TURNO, DISPONIENDO EL MISMO, PREVIA AUTORIZACION JUDICIAL, A LA REQUIZA DE LA VALIJA. QUE UNA VEZ REQUIZADO EL EQUIPAJE EN CUESTION, EL MISMO PRESENTABA OCULTO ENTRE LAS PAREDES QUE FORMAN LAS DIVISONES INTERNAS DEL EQUIPAJE, CUATRO PAQUETES, LOS QUE SOMETIDOS A PRUEBA DE CAMPO CON REACTIVO PARA COCAINA, LOS MISMOS ARROJARON EN TODOS LOS CASOS POSITIVO. PTO.-</t>
  </si>
  <si>
    <t>IB 6844</t>
  </si>
  <si>
    <t>EZEIZA- BUENOS AIRES</t>
  </si>
  <si>
    <t>Portugal</t>
  </si>
  <si>
    <t>LISBOA</t>
  </si>
  <si>
    <t>Sobre Denuncia</t>
  </si>
  <si>
    <t>JOSE LUIS DABONDIO</t>
  </si>
  <si>
    <t>SECTOR DE ARRIBOS TERMINAL B</t>
  </si>
  <si>
    <t>OFICINA DE RECLAMOS DE EQUIPAJE DE LA EMPRESA AEROLINEAS ARGENTINAS</t>
  </si>
  <si>
    <t>PERSONAL DE AEROLINEAS ARGENTINA INFORMA QUE NO EMBARCARON DOS BOLSINES CONTENIENDO ARMAMENTO APARENTEMENTE CORRESPONDIENTE A PERSONAL DE LA CUSTODIA PRESIDENCIAL. SE MANTUVO COMUNICACION CON EL JUZGADO, SE CORROBORARON PRECINTOS Y NUMEROS DE SERIE DEL ARMAMENTO, EL CUAL ERA COINCIDENTE CON LOS REGISTRADO EN R.A.P.S.A. POSTERIROMENTE EN CUMPLIMIENTO A LO ORDENADO SE COLOCARON NUEVOS PRECINTOS Y SE TRASLADARON LOS BOLSINES, BAJO CUSTODIA POLICIAL A FIN DE SER EMBARCADOS EN EL VUELO AR 2890 CON DESTINO AL CALAFATE</t>
  </si>
  <si>
    <t>AR 1890</t>
  </si>
  <si>
    <t>HALL DE PARTIDAS Y SECTOR DE SANITARIOS</t>
  </si>
  <si>
    <t>AL ARRIBAR A ESTE AEROPUERTO POR MEDIO EN UN TAXI CON DOMINIO HSK624 SE DIRIGE AL HALL DE LA TERMINAL B, RECURRE A LOS SANITARIOS, OBSERVA LOS MONITORES Y LUEGO SE DIRIGE A LA TERMINAL A Y SE DISPONE A ALMORZAR EN EL MC DONALD Y SE PERCATA DEL FALTANTE</t>
  </si>
  <si>
    <t>SECTOR DE TAQUILLA</t>
  </si>
  <si>
    <t>PERSONAL APOSTADO EN EL SECTOR DE TAQUILLA IDENTIFICA A UN RODADO RENAULT LOGAN HOG 655 EN VIRTUD A UNA ALERTA INCURSADA POR EL C.O.C. APERSONADO PERSONAL POLICIAL EN EL SECTOR CORROBORA QUE DENTRO DEL RODADO SE TRASLADABAN 3 MASCULINOS Y 3 FEMENINOS EFECTUANDOSE UN CONTROL POR SEGURIDAD SOBRE LOS MISMOS. SEGUIDO A ELLO, SE CONVOCAN TESTIGOS Y SE TRASLADAN HACIA ESTA DEPENDENCIA. LUEGO DE EFECTUADA LA CONSTATACION DE DOS DE LAS PERSONAS, LA CUALES PODRIAN ESTAR INVOLUCRADAS EN HECHOS ANTERIORES Y NO PESANDO SOBRE LOS CAUSANTES IMPEDIMENTO QUE RESTRINJA SU LIBERTAD Y HABIENDO EFECTUADO LAS DILIGENCIAS ORDENADAS PROMEDIANDO LAS 02.00 HS DEL DIA 11-01-10 SE RETIRAN DE ESTE MEDIO POR SUS PROPIOS MEDIOS</t>
  </si>
  <si>
    <t>CIUDAD AUTONOMA DE BUENOS AIRES -SIN APORTAR DIRECCION-</t>
  </si>
  <si>
    <t>AL DESCENDER DE UN TAXI EN LA C.A.B.A UN MASCULINO - DEL CUAL NO SE APORTAN DATOS- AYUDA A LA DENUNCIANTE A DESCENDER SUS EQUIPAJES. Y TRASNCURRIDOS ALGUNOS INSTANTES LA DENUNCIANTE SE PERCATA DEL FALTANTE</t>
  </si>
  <si>
    <t>FISCALIA PENAL DE INSTRUCCION DE LA IVª NOMINACION</t>
  </si>
  <si>
    <t>Sale</t>
  </si>
  <si>
    <t>RUIZ, HUGO HORACIO</t>
  </si>
  <si>
    <t>UOSP TUCUMAN</t>
  </si>
  <si>
    <t>EN EL DIA DE FECHA SE RECIBE DENUNCIA POR EL HURTO DE UNA CÁMARA FOTOGRAFICA MARCA CANNON POWER SHOT A480 QUE SE ENCONTRABA EN UN PORTA TRAJE EL CUAL FUE DESPACHADO POR BODEGA DEL VUELO DE LA EMPRSA LAN LINEAS AEREAS EL DIA OCHO DEL CORRIENTE MES Y AÑO. SE DA INTERVENCIÓN AL JUZGADO DE TURNO QUIEN ORDENA SE LABREN LAS ACTUACIONES CORRESPONDIENTES.</t>
  </si>
  <si>
    <t>LA 4154</t>
  </si>
  <si>
    <t>TUCUMAN</t>
  </si>
  <si>
    <t>152/10</t>
  </si>
  <si>
    <t>PROCEDO A INFORMAR QUE EN EL DIA DE LA FECHA SE MANTUVO COMUNICACION TELEFONICA CON EL TRIBUNAL SOLICITANTE DE LA MEDIDA, ORDENANDOSE QUE EL CAUSANTE MEZA CALDERON PABLO RAUL SEA TRASLADO A SEDE JUDICIAL EN EL DIA DE LA FECHA EN CALIDAD DE DETENIDO COMUNICADO. POR TAL MOTIVO SIENDO LAS DOCE HORAS CUARENTA MINUTOS SE PROCEDIO AL TRASLADO DEL DETENIDO AL ASIENTO DEL TRIBUNAL SOLICTANTE.</t>
  </si>
  <si>
    <t>EN EL DIA DE LA FECHA SE PRESENTA EN ESTA GUARDIA DE PREVENCION EL SR. ROBERTO FUNGUEIRO PARA RADICAR UNA DENUNCIA DE EXTRAVIO DE UN PERMISO PERSONAL DE SEGURIDAD AEROPORTUARIA, A NOMBRE DEL DENUNCIANTE. EL MISMO FUE EXTRAVIADO APROX A LAS 04.00 HORAS EN ZONA DE PLATAFORMA.</t>
  </si>
  <si>
    <t>DENTRO DE LAS INSTALACIONES DE ESTE AEROPUERTO JORGE NEWBERY</t>
  </si>
  <si>
    <t>EN EL DIA DE LA FECHA SE PRESENTA EN ESTA GUARDIA DE PREVENCION EL SR. JOSE EDUARDO FABIAN BURGOS, OPERARIO DE LA EMPRESA SERZA, PARA RADICAR UNA DENUNCIA DE EXTRAVIO DE UN PERMISO PERSONAL DE SEGURIDAD AEROPORTUARIA, A NOMBRE DEL DENUNCIANTE. EL MISMO FUE EXTRAVIADO EL DIA 08/01/10 A LAS 02.00 HORAS APROX. DENTRO DE LAS INSTALACIONES DE ESTE AEROPUERTO.-</t>
  </si>
  <si>
    <t>SERZA</t>
  </si>
  <si>
    <t>UOSP SAN FERNANDO</t>
  </si>
  <si>
    <t>SE PRESENTA EL DENUNCIANTE, MANIFESTANDO EL EXTRAVIO DENTRO DE ESTA JURISDICCIÓN, DE UN PERMISO PERSONAL AEROPORTUARIO A SU NOMBRE, NO PUDIENDO PRECISAR FECHA NI HORA DE LO ACONTECIDO . SE CONFECCIONA ACTA DE EXTRAVIO NRO. 1.</t>
  </si>
  <si>
    <t>JUZGADO FEDERAL DE PRIMERA INSTANCIA - USHUAIA</t>
  </si>
  <si>
    <t>VIDAL OLIVER</t>
  </si>
  <si>
    <t>Clemente Luis</t>
  </si>
  <si>
    <t>DR. ERNESTO MENDIETA</t>
  </si>
  <si>
    <t>ACCESO A MANGA B.</t>
  </si>
  <si>
    <t>PASARELA DE EMBARQUE.</t>
  </si>
  <si>
    <t>SIENDO LAS 1130 HORAS PERSONAL DE LA EMPRESA LAN ARGENTINA SOLICITA PRESENCIA POLICIAL EN EL SECTOR DE PASARELA DE EMBARQUE ,MANGA B, DADO QUE SE PRODUCIA UN FORCEJEO ENTRE PERSONAL DE LA EMPRESA LAN ARGENTINA SR. FABIAN ARGUELLO ENCARGADO OPERACIONES DE VUELO, SR. GUILLERMO RIVAROLA EMPLEADO DE LA EMPRESA LONDON SUPPLY, CON UN PASAJERO EXTRANJERO, DE ORIGEN RUSO, CAUSANTE KHAKHAEV, ARTEM, PASAPORTE 62 9942537, EL CUAL DEBIA EMBARCAR EN EL VUELO 440 DE LA EMPRESA ANTES ENUNCIADA CON DESTINO A BUENOS AIRES, DEBIDO A QUE ESTE SE HABIA PUESTO AGRESIVO AL SER INFORMADO QUE DEBIA ABONAR LA TASA DE AEROPUERTO, EL ENCARGADO DE OPERACIONES DE VUELO, POR SOLICITUD DEL COMANDANTE AL VER DICHA ACTITUD LE INFORMA QUE NO IBA A SER EMBARCADO POR PRODUCIR ALTERACIONES EN EL SECTOR, Y YA CON LA PRESENCIA DE PERSONAL DE ESTA UOSP ES CONDUCIDO A DEPENDENCIA DEL SERVICIO DE SEGURIDAD AEROPORTUARIA QUEDANDO DEMORADO. SE REALIZA COMUNICACION TELEFONICA CON EL JUZGADO FEDERAL QUIEN DISPONE SE LABRE ACTA DE PROCEDIMIENTO Y SE ELEVE LO ACTUADO A ESA INSTANCIA, NO DISPONIENDO MEDIDA ALGUNA PARA EL CAUSANTE. SIENDO 1415 HORAS SE RETIRA EL CAUSANTE DE ESTAS DEPENDECIA PROSIGUIENDO VIAJE EN VUELO AR 1892 DE LA EMPRESA AEROLINEAS ARGENTINAS CON DESTINO LA CIUDAD DE BUENOS AIRES. SIENDO LAS 1620 HS DEL DIA 11-01-10 POR ORDEN DEL JUZGADO DE INSTRUCCION DE FERIA DISTRITO JUDICIAL SUR A CARGO DEL DR. JAVIER IGNACION GAMAS SOLER, SECRETARIA UNICA DEL DR. NICOLAS BALLESTREROS SE PROCEDE A RECIBIR DENUNCIA DE LO SUCEDIDO AL SR RODRIGUEZ MASO LAUTARO JOEL DNI 34.674.525, ARGENTINO, SOLTERO NACIDO EL 30-07-1989 EMPLEADO DE LA EMPRESA LAN ARGENTINA, QUE EN EL MARCO DE LA PRESENTE EL MAGISTRADO INTERVINIENTE NO DISPUSO MEDIDA ALGUNA. LO QUE FUERA INFORMADO EN PARTE URGENTE AMPLIATORIO Nº 179 DE FECHA 11-01-2010</t>
  </si>
  <si>
    <t>LA-4440</t>
  </si>
  <si>
    <t>CALAFATE, SANTA CRUZ</t>
  </si>
  <si>
    <t>USHUAIA, TIERRA DEL FUEGO</t>
  </si>
  <si>
    <t>Contra las Personas</t>
  </si>
  <si>
    <t>Contra los Medios de Transporte y Comunicacion</t>
  </si>
  <si>
    <t>DR. JOSE LUIS D´ABONDIO</t>
  </si>
  <si>
    <t>PRESUNTA INFRACCION ART. 190 C.P.</t>
  </si>
  <si>
    <t>COLECTORA DE LA AUTOPISTA A UNOS 560 METROS DEL LOCALIZADOR 29</t>
  </si>
  <si>
    <t>PERSONAL DE LA PATRULLA MOVIL REALIZABA UNA RECORRIDA POR EL PERIMETRO DEL AEROPUERTO Y DIVISA A LA ALTURA DEL COMIENZO DE LA COLECTORA DE LA AUTOPISTA 205 UN CUMULO DE TIERRA QUE HABIA VENCIDO A EL ALAMBRE PERIMETRAL, ENCONTRANDOSE MAS EXACTAMENTE A 560 METROS DEL LOCALIZADOR 29 Y QUE TAL HECHO ERA MOTIVO PARA UN POSIBLE ATENTADO CONTRA LA SEGURIDAD DE LA AVIACION.</t>
  </si>
  <si>
    <t>174/10</t>
  </si>
  <si>
    <t>JUZGADO DE INSTRUCCION DE FERIA DIST JUDICIAL SUR</t>
  </si>
  <si>
    <t>Gamas Soler</t>
  </si>
  <si>
    <t>Javier Ignacio</t>
  </si>
  <si>
    <t>DR. NICOLAS BALLESTRERO</t>
  </si>
  <si>
    <t>RODRIGUEZ MASO LAUTARO JOEL S/DCIA</t>
  </si>
  <si>
    <t>ACCESO MANGA B</t>
  </si>
  <si>
    <t>CONTROL DE PREEMBARQUE</t>
  </si>
  <si>
    <t>EN EL DIA DE LA FECHA SIENSDO LAS 1620 HORAS SE PRESENTA EL SR. RODRIGUEZ MASO LAUTARO JOEL DNI N° 34674525 EMPLEADO DE LA EMPRESA LAN ARGENTINA, QUIEN RADICA DENUNCIA N° 0001/2010 EN RELACION A LOS HECHOS PRODUCIDOS POR EL PASAJERO KHAKHAEV ARTEM DE ORIGEN RUSO QUIEN DEBIA EMBARCAR EN EL VUELO 4440 DE LA EMPRESA ANTES ENUNCIADA, ENCONTRANDOSE EL DENUNCIANTE EN EL CONTROL DE TARJETAS DE EMBARQUE FINAL PARA EL ABORDAJE DEL VUELO ANTES ENUNCIADO, AL SERLE REQUERIDO EL PAGO DE LA TASA DE AEROPUERTO AL PASAJERO ANTES ENUNCIADO POR PARTE DEL SEÑOR RIVAROLA GUILLERMO DE LA EMPRESA LONDON SUPPLY, ESTE SE TORNA AGRESIVO OCASIONANDO DISTURBIOS EN EL MOEMNTO DE DICHO EMBARQUE AL NEGARSE A ABONAR DICHA TASA, ANTE TAL DISTURBIO EL COMANDANTE DE LA AERONAVE ORDENA AL PERSONAL DE LA EMPRESA QUE NO SE LE PERMITA EMBARCAR EN EL VUELO. ACTO SEGUIDO SE DIO INTERVENCION AL JUZGADO DE INSTRUCCION DE FERIA DEL DISTRITO JUDICIAL SUR, Y EN LA PERSONA DE SS. DR. JAVIER DE GAMAS SOLER QUIEN ORDENA SE LE RECIBA LA DENUNCIA Y SEA ELEVADO CON POSTERIORIDAD A ESA SEDE JUDICIAL, NO DICTANDO MEDIDA ALGUNA PARA EL CAUSANTE Y QUE CONTINUE VIAJE.-</t>
  </si>
  <si>
    <t>LAN-4440</t>
  </si>
  <si>
    <t>CALAFATE , SANTA CRUZ</t>
  </si>
  <si>
    <t>EN EL DIA DE LA FECHA SE RECIBE DENUNCIA POR EL ROBO/HURTO DE LOS SIGUIENTES ELEMENTOS, UNA NOTEBOOK MARCA HP, UNA CARPA, UN COLCHON INFLABLE, UN INFLADOR, UN JUEGO DE LUCES DE XENON PARA AUTOMOVIL, UN PAR DE ZAPATILLAS MARCA NIKE, UN PAR DE ZAPATILLAS MARCA PONY, TRES BERMUDAS DE HOMBRE, UN JEANS DE DAMA, UNA PLANCHITA PARA PELO MARCA GAMMA, UNA DEPILADORA MARCA PHILIPS, TRES REMERAS DE DAMA, UN PANTALON DEL TIPO PESCADOR, UN PAR DE HOJOTAS MARCA PUMA, UNA CAMPERA DE DAMA Y ELEMENTOS VARIOS COMO SER ADORNOS Y PELUCHES. LOS ELEMENTOS DETALLADOS FUERON DESPACHADOS EN DOS BOLSOS EN EL AEROPUERTO DE RIO GRANDE EL DIA 10-01-2010 EN LA EMPRESA AEROLINEAS ARGENTINA CON NUMERO DE VUELO 2849 PARA SER ENTREGADOS EN LA CIUDAD DE DESTINO EL MISMO DIA EN EL AEROPUERTO TUCUMAN EN EL VUELO DE AEROLINEAS ARGENTINA NUMERO 1484, LOS CUALES NO LLEGARON DEBIDO A QUE QUEDARON EN LA CIUDAD DE ESCALA BUENOS AIRES EN EL AEROPUERTO INTERNACIONAL EZEIZA Y FUERON ENVIADOS EL DIA 11-01- 2010 EN EL VUELO DE LA MISMA EMPRESA NUMERO 1472.SE ESTABLECE COMUNICACION TELEFONICA CON AL JUZGADO DE TURNO QUIEN ORDENA SE LABREN LAS ACTUACIONES DE RIGOR PARA SU POSTERIOR ELEVACION.</t>
  </si>
  <si>
    <t>NAVARRO Liliana</t>
  </si>
  <si>
    <t>EL DENUNCIANTE DECLARA QUE SIENDO LAS 07,30 HORAS DEL 04/01/10 SE PRESENTA EN EL AEROPUERTO INTERNACIONAL CORDOBA. A LAS 09,00 HORAS REALIZA EL CHECK IN EN LOS MOSTRADORES DE LA EMPRESA AEROCHACO DESPACHANDO UN BOLSO DE MANO DE TELA COLOR AZUL CON LA INSCRIPCION ADIDAS. POSTERIORMENTE INGRESA A LA SALA DE PREEMBARQUE EN DONDE AGUARDA PARA SER EMBARCADO EN EL VUELO 7221 DE LA EMPRESA MENCIONADA CON DESTINO A FLORIANOPOLIS. EL MISMO PARTE A LAS 10,30 HORAS ARRIBANDO A DESTINO A LAS 13,30 HORAS. LUEGO DE DESCENDER SE DIRIGE A RECOGER SU BOLSO Y AL RETIRARLO DE LA CINTA NOTA QUE EL MISMO ESTABA MAS LIVIANO QUE AL MOMENTO DEL DESPACHO. REALIZA LA APERTURA DEL MISMO CONSTATANDO QUE EN SU INTERIOR FALTABAN CINCO PERFUMES DE 50ML CADA UNO, SIENDO UN KENZO, UN XS, DOS HUMOR Y UN PRIPIOKA. ADEMAS FALTAN DOS CARGADORES DE CELULAR MARCA NOKIA, TRES REMERAS MARCA TOMMY, UN PAR DE ZAPATILLAS MARCA TOMMY, Y SETECIENTOS DOLARES EN BILLETES DE CIEN, LOS CUALES SE ENCONTRABAN DENTRO DE LA CAJA DE UNO DE LOS PERFUMES SUSTRAIDOS.</t>
  </si>
  <si>
    <t>FLORIANOPOLIS</t>
  </si>
  <si>
    <t>UFI N° 5</t>
  </si>
  <si>
    <t>Moyano</t>
  </si>
  <si>
    <t>Mariano</t>
  </si>
  <si>
    <t>INFRACCION A LA LEY Nº 23.737</t>
  </si>
  <si>
    <t>PREEMBARQUE NACIONAL</t>
  </si>
  <si>
    <t>SIENDO LAS 22 HORAS DEL DÍA 11 DE ENERO DE 2010 , REALIZANDO EL PREEMBARQUE DEL VUELO AR1611 SE PROCEDE A SECUESTRAR APROXIMADAMENTE DE 10 A 12 GRAMOS DE UNA SUSTANCIA QUE PRESUMIBLEMENTE SE TRATARIA DE CLORHIDRATO DE COCAINA, LO CUAL ES CONFIRMADO ANTE TESTIGOS MEDIANTE TEST ORIENTATIVO DANDO RESULTADO POSITIVO Y DOS MIL SETECIENTOS OCHENTA Y DOS PESOS .SE REALIZAN LAS ACTUACIONES ORDENADAS POR EL SR. FISCAL INTERVINIENTE DR. MARIANO MOYANO</t>
  </si>
  <si>
    <t>AR1611</t>
  </si>
  <si>
    <t>QUE LA DNM REMITE A ESTA DEPENDENCIA AL PASAJERO POR PRESENTAR UNA ORDEN DE CAPTURA VIGENTE SEGUN SU SISTEMA INFORMATICO, SOLICITADA POR INTERPOL BRUSELAS. SE PROCEDE A LA DETENCION DEL CAUSANTE CURSANDO NOTAS A INTERPOL EZEIZA , CAVIA E INTERNACIONAL Y REINCIDIENCIAS. OBTENIENDO HASTA EL MOMENTO LA RESPUESTA DE INTERPOL EZEIZA EN LA CUAL SE DESPRENDE QUE LA MEDIDA SIGUE VIGENTE. MOTIVO POR EL CUAL SE DIO INTERVENCION AL JUZGADO FEDERAL EN TURNO. QUE UNA VEZ OBTENIDOS LOS RESULTADOS DE LAS COMPULSAS EFECTUADAS Y HABIENDO OBTENIDO COMO RESPUESTA POR PARTE DE INTERPOL ASUNTOS INTERNACIONALES PREVIA CONSULTA CON SU PAR EN BRUSELAS QUE LA MEDIDA NO RESULTA DE INTERES PARA ESE ORGANISMO, SE PONE EN CONOCIMIENTO AL JUZGADO INTERVINIENTE, Y ENTERADO DISPONE LA LIBERTAD DEL CAUSANTE, QUIEN FINALIZADAS LAS DILIGENCIAS Y SIENDO LAS 15.30 HS SE RETIRA DE ESTA DEPENDENCIA POR SUS PROPIOS MEDIOS.</t>
  </si>
  <si>
    <t>IB6845</t>
  </si>
  <si>
    <t>NAC. DE 1º INST. EN LO CRIM CORR FEDERAL Nº 4</t>
  </si>
  <si>
    <t>Secretaria N 08</t>
  </si>
  <si>
    <t>Lijo</t>
  </si>
  <si>
    <t>Ariel</t>
  </si>
  <si>
    <t>Andrea SANTOS</t>
  </si>
  <si>
    <t>GONZALEZ NAYA Arturo y otros S/Privación Ilegítima de la Libertad y otros</t>
  </si>
  <si>
    <t>6859/98</t>
  </si>
  <si>
    <t>no posee</t>
  </si>
  <si>
    <t>CENTRO DE ANALISIS, COMANDO Y CONTROL</t>
  </si>
  <si>
    <t>UNIDAD OPERACIONAL DE CONTROL DEL NARCOTRAFICO Y EL DELITO COMPLEJO CENTRAL</t>
  </si>
  <si>
    <t>TABARE 695 ITUZAINGO PCIA DE BUENOS AIRES</t>
  </si>
  <si>
    <t>FUERA DE JURIDICCION</t>
  </si>
  <si>
    <t>POR EXPRESA ORDEN DE S.SA. PROCEDER AL ALLANAMIENTO DE LA MORADA SITA EN CALLE TABARE 695 LOCALIDAD DE IRUZAINGO PCIA. DE BS.AS. Y DE SER HABIDO EN DICHA MORADA EL SR. SOMOZA CARLOS EDUARDO JOSé LE 4.559.202, PROCEDER A SU DETENCIóN, LA CUAL SE EFECTUó SATISFACTORIAMENTE SIN NOVEDAD, EL DETENIDO SERá ALOJADO EN LA U28 DEL S.P.F. A EXPRESA DISPOSICIóN DE S.SA.</t>
  </si>
  <si>
    <t>Lesa Humanidad</t>
  </si>
  <si>
    <t>LOPEZ IGLESIAS MARIA NOEL S/ TENTATIVA DE CONTRABANDO DE ESTUPEFACIENTES</t>
  </si>
  <si>
    <t>CALABOZO PUESTO BRAVO</t>
  </si>
  <si>
    <t>TERMINAL SUR PUESTO BRAVO</t>
  </si>
  <si>
    <t>SIENDO LAS 0730 HORAS SE CUMPLIMENTA LA ORDEN DE SERVICIO Nº 042/10 DE ESTA UOSP METROPOLITANA EN RELACION A LA ORDEN DE SERVICIO Nº 015/10 FAX PROCEDENTE DE LA URSA I DEL ESTE LA CUAL INDICA CUSTODIA Y POSTERIOR TRASLADO EN EL DIA DE LA FECHA A LA SEDE DEL JUZGADO ANTES MENCIONADO DEL DETENIDO DANIEL AMERICO MONROY DNI Nº 16.593.496 REALIZANDOSE EL CORRESPONDIENTE PRECARIO MEDICO DE SALIDA DE ESTA UOSP METROPOLITANA. SIENDO LAS 1025 HORAS REGRESA LA COMISION POLICIAL CON EL DETENIDO A ESTA UOSP METROPOLITANA Y SU POSTERIOR PRECARIO DE INGRESO MEDICO S/N</t>
  </si>
  <si>
    <t>DR WALTER LOPEZ DA SILVA</t>
  </si>
  <si>
    <t>SIENDO LAS 1030 HORAS SE PRESENTA EL SEÑOR MATTHIEU CLAVREUL DE NACIONALIDAD FRANSES, PASAPORTE Nº 09PP00018, PARA RADICAR UNA DENUNCIA POR EL HURTO DE DOS CAMARAS FOTOGRAFICAS MARCA CANNON, UN PAR DE BINOCULARES MARCA NIKON Y DINERO EN EFECTIVO, EUROS Y PESOS ARGENTINOS QUE NO PUEDE ESPECIFICAR, QUE FUERAN SUSTRAIDOS DE SU MOCHILA QUE DESPACHO CON MARBETE Nº AR-17-08-48 EN EL VUELO Nº 1680 PROCEDENTE DE LA CIUDAD AUTONOMA DE BUENOS AIRES EN EL DIA DE AYER 11/01/10, UNA VEZ FINALIZADA LA MISMA SE NOTIFICO AL JUZGADO INTERVINIENTE QUIEN DISPONE QUE SE ELEVEN LAS ACTUACIONES DE RIGOR</t>
  </si>
  <si>
    <t>DANDO CUMPLIMIENTO A ORDEN DE SERVICIO Nº 02/2010 Y SIENDO LAS 1725 HORA LOCAL ARRIBA AERONAVE BOEING 737 DE LA EMPRESA AEROLINEAS ARGENTINAS PROCEDENTE DE AEROPARQUE JORGE NEWBERY EN CUYA BODEGA 4 SE DESPACHAN 40 PIEZAS CON UN PESO DE 750 KILOGRAMOS DE METAL -MTD- PERTENECIENTE A LA EMPRESA CERRO VANGUARDIA CON DESTINO A AEROPARQUE JORGE NEWBERY. EL VUELO DESPEGA A LAS 1828 HORA LOCAL SIN NOVEDAD.</t>
  </si>
  <si>
    <t>AR 1833</t>
  </si>
  <si>
    <t>LOCAL 22 EMPRESA INTERBAIRES SA</t>
  </si>
  <si>
    <t>PRIMER PISO</t>
  </si>
  <si>
    <t>SIENDO LA HORA INDICADA PERSONAL QUE OPERA LAS CAMARAS DE LA MENCIONADA EMPRESA OBSERVA A UNA PASAJERA DE SEXO FEMENINO LA CUAL SE ENCONTRABA EN EL SECTOR DE COSMETICA DEL MENCIONADO LOCAL, LA CUAL TOMA UN PRODUCTO Y LO INTRODUCE DENTRO DE UNA DE LAS MANGAS DEL SACO QUE LLEVABA COLOCADO, POR TAL MOTIVO EL PERSONAL OPERADOR DE CAMARAS DA LA NOVEDAD AL DENUNCIANTE, QUIEN INTERCEPTA A LA PASAJERA ANTES DE QUE LA MISMA HAGA ABANDONO DE DICHO LOCAL POR UN SECTOR EN EL QUE NO SE ENCUENTRAN CAJAS DE PAGO Y LE CONSULTA POR LOS PRODUCTOS EN SU MANGA, RETIRANDO DE LA MANGA DEL SACO, LA FEMENINA, CUATRO CREMAS DE LAS USADAS POR LOS PASAJEROS COMO PROBADORES, ACTO SEGUIDO EL DENUNCIANTE CONVOCA PERSONAL POLICIAL Y SE DIRIGEN A ESTA GUARDIA. UNA VEZ EN EL ASIENTO DE LA GUARDIA SE ANOTICIA AL JUZGADO INTERVINIENTE QUIEN DISPONE SE NOTIFIQUE LA PASAJERA QUE SE ENCUENTRA IMPUTADA EN LAS PRESENTES ACTUACIONES Y CONTINUE LA MISMA CON SU ITINERARIO. QUE SIENDO LAS VEINTIUNA HORAS APROXIMADAMENTE LA IMPUTADA SE RETIRA DE ESTA DEPENDENCIA POR SUS PROPIOS MEDIOS.</t>
  </si>
  <si>
    <t>AF417</t>
  </si>
  <si>
    <t>Contrabando</t>
  </si>
  <si>
    <t>SECRETARIA Nº 4</t>
  </si>
  <si>
    <t>DRA MARIA ISABEL FALU</t>
  </si>
  <si>
    <t>PREVENCION SUMARIA</t>
  </si>
  <si>
    <t>ESTACIONAMIENTO DEL SCAN VAN</t>
  </si>
  <si>
    <t>CORREO OFICIAL SALTA</t>
  </si>
  <si>
    <t>CORREO OFICIAL BUENOS AIRES</t>
  </si>
  <si>
    <t>SE PROCEDE A LA RETENCION DE DOS SACAS COLECTORAS DEL CORREO OFICIAL LA 1º IDENTIFICADA CON MARBETE SLA0169199E555700RGL, PRECINTO Nº B805756, CON UN PESO DE 17.400 KG, DESTINO RIO GALLEGOS, LA 2º IDENTIFICADA CON MARBETE SLA0172199E555800VAE, PRECINTO Nº B805708, CON UN PESO DE 16.100 KG, DESTINO USHUAIA, LAS MISMAS FUERON DESPACHADAS ATRAVEZ DEL SERVICIO DE CARGAS JET PAQ Y SE ENCUENTRAN AMPARADAS EN GUIA AEREA Nº 9291474-3. LA RETENCIONES SE REALIZAN ANTE LA PRESUNCION DE QUE PUDIERAN CONTENER ELEMENTOS EN INFRACCION A LAS LEYES 22.415 Y/O 23.737, QUEDANDO LAS MISMAS EN GUARDA EN ESTA UOSP, LAS CUALES SE ENCUENTRAN CERRADAS Y PRECINTADAS. SE INFORMO TELEFONICAMENTE AL JUZGADO INTERVINIENTE A CARGO DEL DR. MIGUEL ANTONIO MEDINA, LA APERTURA DE LAS MISMAS SE REALIZARA CON LA AUTORIZACION DEL MAGISTRADO ACTUANTE. CON CONOCIMIENTO DEL JUOSP.-</t>
  </si>
  <si>
    <t>CORREO ARGENTINO</t>
  </si>
  <si>
    <t>SALTA</t>
  </si>
  <si>
    <t>JUZGADO CORRECCIONAL 2° NOMINACION</t>
  </si>
  <si>
    <t>DEPETRIS</t>
  </si>
  <si>
    <t>GEORGINA</t>
  </si>
  <si>
    <t>DR. ARIEL MONASTEROLO</t>
  </si>
  <si>
    <t>PRESUNTO HURTO</t>
  </si>
  <si>
    <t>UOSP ROSARIO</t>
  </si>
  <si>
    <t>VITRINA EXHIBIDORA</t>
  </si>
  <si>
    <t>FREE SHOP HALL ARRIBOS INTERNACIONAL</t>
  </si>
  <si>
    <t>SE RECIBIO DENUNCIA DE UNA EMPLEADA DEL FREE SHOP POR UN PRESUNTO HURTO DE UNA CAMARA FOTOGRAFICA DIGITAL MARCA SONY MOD.DSC-H20,POSIBLE NRO DE SERIE,SEGUN CONSTA EN SU CAJA CONTENEDORA, S01-0637051-8.LA MISMA SE ENCONTRABA EXHIBIDA EN UNA DE LAS VITRINAS DE DICHO LOCAL,DEL CUAL EMPLEADOS DETECTARON LA FALTANTE DE LA MISMA AL MOMENTO DE LA REPOSICION DE MERCADERIA ANTES DEL CIERRE DEL LOCAL,NO PUDIENDO PRECISAR EL AUTOR DEL PRESUNTO HECHO DELICTIVO.</t>
  </si>
  <si>
    <t>DUTY FREE SHOP NEUTRAL S.A.</t>
  </si>
  <si>
    <t>DR JOSE LUIS DABONDIO</t>
  </si>
  <si>
    <t>INFRACCION A LA LEY 23.737 INC. 5 EN MODO DE TRANSPORTE</t>
  </si>
  <si>
    <t>SIENDO LA HORA INDICADA EL PERSONAL DESTACADO EN EL PATIO DE VALIJAS DE LA TERMINAL B QUE SE ENCONTRABA ESCANEANDO LOS EQUIPAJES DEL VUELO AR1132, OBSERVA EN LA PANTALLA DEL MONITOR DE LA MAQUINA DE RAYOS X, EN EL INTERIOR DE UNA VALIJA TIPO CARRION, VARIOS BULTOS RECTANGULARES FORMADOS POR SUSTANCIA ORGANICA DE BAJA DENSIDAD, COMPROBANDO QUE DICHA VALIJA HABIA ARRIBADO AL TERRITORIO NACIONAL EN UN VUELO PROVENIENTE DE ASUNCION Y SE ENCONTRABA EN TRANSITO HACIA LA CIUDAD DE MADRID, PARA POSTERIORMENTE REALIZAR CONECCION CON EL VUELO DE LA EMPRESA AIR EUROPA UX9172 SIENDO SU DESTINO FINAL LA CIUDAD DE GRAN CANARIA, REINO DE ESPAÑA, UNA VEZ IDENTIFICADO EL PASAJERO DUEÑO DE LA VALIJA, SE LO TRASLADA JUNAMENTE CON LA VALIJA EN CUESTION AL ASIENTO DE ESTA GUARDIA, EN DONDE SE APERTURA LA VALIJA, PUDIENDOSE OBSERVAR CINCO PAQUETES DE FORMA RECTANGULAR DENTRO DE PANTALONES SUELTOS EN EL INTERIOR DELA LA MENCIONADA VALIJA LOS CUALES CONTENIAN SUSTANCIA DE COLOR BLANCA DEL TIPO PULVERULENTA A LOS QUE SE SOMETIO A REACTIVO DE CAMPO PARA COCAINA ARROJANDO EN TODOS LOS CASOS RESULTADO POSITIVO, POSTERIORMENTE SE PROCEDE AL PESAJE DE LOS MISMOS SIENDO ESTOS PAQUETE 1, 1140GMS, PAQUETE 2, 1178GMS, PAQUETE 3, 1158GMS, PAQUETE 4, 1114GMS Y PAQUETE 5, 1106GMS, ANOTICIADO EL JUZGADO INTERVINIENTE DISPONE SE LABREN ACTUACIONES DE RIGOR, SE DETENGA AL PASAJERO EN CARACTER DE INCOMUNICADO Y SE LEVEN ACTUACIONES A SEDE JUDICIAL EL DIA 13 DEL CORRIENTE MES Y AÑO A LAS OCHO HORAS JUNTAMENTE CON EL DETENIDO DE AUTOS Y LA DOCUMENTACION QUE LE FUERE SECUESTRADA.</t>
  </si>
  <si>
    <t>AR 1132</t>
  </si>
  <si>
    <t>Paraguay</t>
  </si>
  <si>
    <t>ASUNCION</t>
  </si>
  <si>
    <t>DANDO CUMPLIMIENTO A ORDEN DE SERVICIO Nº03/2010 Y SIENDO LAS 0710 HORA LOCAL DESPEGA AERONAVE BOEING 737 MATRICULA LV-BDV DE LA EMPRESA AEROLINEAS ARGENTINAS CON DESTINO A AEROPUERTO JORGE NEWBERY EN CUYAS BODEGAS 3 Y 4 SE DESPACHAN 121 PIEZAS CON UN PESO DE 2.350 KILOGRAMOS DE METAL -MTD- PERTENECIENTES A LA EMPRESA CERRO VANGUARDIA.</t>
  </si>
  <si>
    <t>AR 1839</t>
  </si>
  <si>
    <t>DANDO CUMPLIMIENTO A ORDEN DE SERVICIO Nº03/2010 Y SIENDO LAS 0740 HORA LOCAL ARRIBA AERONAVE M.D. MATRICULA LV-AYD DE LA EMPRESA AUSTRAL LINEAS AEREAS PROCEDENTE DE AEROPARQUE JORGE NEWBERY EN CUYA BODEGAS 4 Y 5 SE DESPACHAN 80 PIEZAS CON UN PESO DE 1.500 KILOGRAMOS DE METAL -MTD- PERTENECIENTES A LA EMPRESA CERRO VANGUARDIA CON DESTINO A AEROPARQUE JORGE NEWBERY. EL VUELO DESPEGA A LAS 0840 HORA LOCAL SIN NOVEDAD.</t>
  </si>
  <si>
    <t>AU 2837</t>
  </si>
  <si>
    <t>AEROPUERTO GRAL MOSCONI COMODORO RIVADAVIA</t>
  </si>
  <si>
    <t>AEROPARQUE JORGE NEWBERY CAPITAL FEDERAL</t>
  </si>
  <si>
    <t>UOSP SAN JUAN</t>
  </si>
  <si>
    <t>INFORMO EN EL DIA DE LA FECHA SIENDO LAS 0933 HORAS ARRIBO A LA PROVINCIA DE SAN JUAN EN AERONAVE T03 SEÑORA MINISTRO DE INDUSTRIA Y COMERCIO DE LA NACION DEBORA GIORGI, CON MOTIVO DE PRESENCIAR LA ETAPA DEL DAKAR</t>
  </si>
  <si>
    <t>T03</t>
  </si>
  <si>
    <t>SAN JUAN</t>
  </si>
  <si>
    <t>SIENDO LAS SIETE HORAS, EL DETENIDO EN AUTOS FUE TRASLADADO A SEDE TRIBUNALICIA.</t>
  </si>
  <si>
    <t>ZELARAYAN LUIS</t>
  </si>
  <si>
    <t>ROBO SE SENSOR DE MOVIMIENTO</t>
  </si>
  <si>
    <t>ROBO DE SENSOR DE MOVIMIENTO</t>
  </si>
  <si>
    <t>A.N.A.C</t>
  </si>
  <si>
    <t>500 METROS DE SECTOR SUR</t>
  </si>
  <si>
    <t>FUERA DE LA JURISDICION AEROPORTUARIA</t>
  </si>
  <si>
    <t>SE RECIBE DENUNCIA POR PARTE DEL PERSONAL DE A.N.A.C. SR.ROBLES, CARLOS ALBERTO, EL CUAL MANIFIESTA QUE MIENTRAS REALIZABA TRABAJOS EN LA CASILLA DEL EQUIPO DE RADIO AYUDA, DETECTA EL ROBO DE UN SENSOR DE MOVIMIENTOS QUE SE ENCONTRABA SUJETO A LA PARED DE DICHA CASILLA, A UNA ALTURA 2 METROS APROXIMADAMENTE, SE COMISIONA PERSONAL POLICIAL A FIN DE REALIZAR UN RASTRILLAJE POR EL SECTOR, DETECTANDO LA NOVEDAD DE QUE UNA ANTENA DEL PUESTO TAMBIEN SE ENCONTRABA FLOJA. SE DA INTERVENCION AL JUZGADO DE TURNO EL CUAL ORDENA QUE SE LABREN LAS ACTUACIONES DE RIGOR Y SEAN ELEVADAS CON POSTERIORIDAD</t>
  </si>
  <si>
    <t>JUZGADO DE INSTRUCCION DE 1º NOMINACION DISTRITO JUDICIAL NORTE (RIO GRANDE)</t>
  </si>
  <si>
    <t>Lopez</t>
  </si>
  <si>
    <t>Eduardo</t>
  </si>
  <si>
    <t>DRA. LUCCA SANDRA</t>
  </si>
  <si>
    <t>S/ILICITO EN PERJUICIO DE SOFIA HERRERA</t>
  </si>
  <si>
    <t>I-13.139/08</t>
  </si>
  <si>
    <t>DANIEL OSCAR VACA S/NOTIFICACION</t>
  </si>
  <si>
    <t>MOSTRADOR PSA CONTROL DOCUMENTACION</t>
  </si>
  <si>
    <t>ZONA PREEMBARQUE CONTROL PSA</t>
  </si>
  <si>
    <t>SIENDO LAS 09.50 HORAS DURANTE EL PREEMBARQUE DEL VUELO AR-1852 DE LA EMPRES AEROLINEAS ARGENTINAS, SE INDIVIDUALIZA EN EL CONTROL DE DOCUMENTACION PSA AL PASJERO DANIEL OSCAR VACA DNI Nª 24.691.445, SOBRE QUIEN PESA IMPEDIMENTO DE SALIDA DE LA PROVINCIA DE TIERRA DEL FUEGO Y DEL PAIS REGISTRO LINCE Nª 271872, CAUSA I-13.139/08 CARATULADA S/ILICITO COMETIDO EN PERJUICIO DE LA MENOR SOFIA HERRERA JUZGADO DE INSTRUCCION DE PRIMERA NOMINACION DEL DISTRITO JUDICIAL NORTE, RIO GRANDE A/C DEL DR. LOPEZ EDUARDO, SECRETARIA DE LA DRA. LUCCA SANDRA. REALIZADA COMUNICACION CON EL JUZGADO ANTES MENCIONADO EN LA PERSONA DE LA DRA. LUCCA SANDRA ESTA MANIFIESTA QUE LA CAUSA SIGUE VIGENTE PENDIENTE DE RESOLUCION, ORDENANDO A ESTA PREVENCION QUE SE LO NOTIFIQUE, FIJE DOMICILIO REAL Y EVENTUAL Y QUE PROSIGA SU VIAJE, CUMPLIMENTADO LO ORDENADO EL CAUSANTE SE RETIRA DEL SERVICIO DE SEGURIDAD, HABIENDO COORDINADO CON LA EMPRESA AEREA SU SALIDA EN EL PROXIMO VUELO DISPONIBLE.-</t>
  </si>
  <si>
    <t>AR-1852</t>
  </si>
  <si>
    <t>RIO GALLEGOS, SANTA CRUZ</t>
  </si>
  <si>
    <t>JORGE NEWBERY, BUENOS AIRES</t>
  </si>
  <si>
    <t>TELECENTRO SITO EN EL SECTOR DE ARRIBOS NACIONALES A2</t>
  </si>
  <si>
    <t>SIENDO LA HORA Y FECHA ANTES MENCIONADA, LA DENUNCIANTE SE HIZO PRESENTE EN ESTE AEROPUERTO METROPOLITANO LUEGO DE ARRIBAR EL VUELO DESCRIPTO ANTERIORMENTE Y SE DIRIGIO HACIA EL TELECENTRO UBICADO EN EL SECTOR DE ARRIBOS A2, DONDE SOLICITO UNA COMPUTADORA Y SE SENTO JUNTO A SU EQUIPAJE PARA UTILIZAR LOS SERVICIOS BRINDADOS POR EL COMERCIO. LUEGO DE UNOS MINUTOS SE PERCATO DE QUE LA CARTERA QUE HABIA DEJADO A SU LADO YA NO ESTABA. POSTERIORMENTE SE DIRIGE A ESTA GUARDIA DE PREVENCION A RADICAR LA DENUNCIA.</t>
  </si>
  <si>
    <t>AR 2521</t>
  </si>
  <si>
    <t>JUZGADO FEDERAL DE SALTA Nº 02</t>
  </si>
  <si>
    <t>SECRETARIA PENAL Nº 04</t>
  </si>
  <si>
    <t>MEDINA</t>
  </si>
  <si>
    <t>MIGUEL ANTONIO</t>
  </si>
  <si>
    <t>OFICINA DE SUMARIOS POLICIALES</t>
  </si>
  <si>
    <t>CORREO OFICIAL BS. AS.</t>
  </si>
  <si>
    <t>AMPLIACION PARTE Nº 195/10 DE FECHA 12-01-10. SE PROCEDE A LA APERTURA DE DOS SACAS IDENTIFICADAS COMO LA 1ª SLA0169199E555700RGL CON PRECINTO Nº B805756 LA QUE CONTIENE 5 PIEZAS,LAS IDENTIFICADAS COMO EP651459945AR Y EP703562980AR QUEDAN RETENIDAS Y LAS EP692061883AR, EP703563000AR Y EP 706964347AR SON ENTREGADAS AL CORREO PARA SU REDESPACHO. LA 2ª SLA0172199E555800VAE PRECINTO Nº B805708 CONTIENE 5 PIEZAS, LAS IDENTIFICADAS COMO EP701093881AR, EP692061866AR Y EP701093759AR SON RETENIDAS Y LAS EP701093833AR Y EP701093864AR SON ENTREGADAS AL CORREO PARA SU REDESPACHO. LAS ENCOMIENDAS RETENIDAS QUEDAN EN GUARDA EN ESTA UOSP A LA ESPERA DEL OFICIO QUE AUTORICE SU APERTURA, EL PROCEDIMIENTO SE REALIZO EN PRESENCIA DEL SR. ARIAS, MEDIDA COORDINADA PREVIAMENTE CON EL JUZGADO INTERVINIENTE. CON CONOCIMIENTO DEL JUOSP.</t>
  </si>
  <si>
    <t>DR. SEBASTIAN JURE</t>
  </si>
  <si>
    <t>CABECERA DE PISTA NORTE 1-6 SECTOR IDENTIFICADO COMO L-3 DEL MAPA RETICULADO</t>
  </si>
  <si>
    <t>CABECERA DE PISTA NORTE 1-6</t>
  </si>
  <si>
    <t>INFORMO QUE SIENDO LA HORA DIEZ CON CINCUENTA MINUTOS SE PRESENTA EL SEÑOR JORGE JUAN DEL BARRIO AUXILIAR DE OPERACIONES DE AA 2000 A EFECTOS DE RADICAR UNA DENUNCIA POR ROBO/HURTO DE UNA BALIZA IDENTIFICADA COMO N12 DE CABECERA NORTE 1-6 EN EL SECTOR L-3 DEL MAPA RETICULADO DE ESTE AEROPUERTO, OCURRIDO APARENTEMENTE EL DIA 12 DEL CORRIENTE. SE INFORMA AL JUZGADO DE TURNO QUIEN ORDENA LAS ACTUACIONES CORRESPONDIENTES.</t>
  </si>
  <si>
    <t>OFICINA 20 DETRAS DEL MOSTRADOR DE DESPACHO DE EQUIPAJES NUMERO 13 DEL HALL DE SALIDA DE PASAJEROS DE LA TERMINAL A</t>
  </si>
  <si>
    <t>UNA VEZ FINALIZADA SU JORNADA LABORAL, SE DIRIGE A LA OFICINA DE LA EMPRESA LAN Y EN POSTERIOR SE RETIRA DE LA MISMA. QUE UNA VEZ FUERA DE LAS INSTALACIONES DE ESTE MEDIO, SE PERCATA DEL OLVIDO DE UNA BOLSA CONTENIENDO PRENDAS DE VESTIR VARIAS. QUE AL DIA SIGUIENTE VUELVE A LA OFICINA Y SE PERCATA DEL FALTANTE DE SU BOLSA.-</t>
  </si>
  <si>
    <t>SECTOR ARRIBOS A2</t>
  </si>
  <si>
    <t>SIENDO LA HORA ANTES MENCIONADA ARRIBO EL DENUNCIANTE A ESTE AEROPUERTO METROPOLITANO EN EL VUELO ANTERIORMENTE DESCRIPTO, DIRIGIENDOSE HACIA LA PARADA DE TAXIS DEL SECTOR ARRIBOS A2. SEGUIDAMENTE ASCENDIO A UN VEHICULO TAXIMETRO MARCA CHEVROLET, MODELO CORSA CUYO DOMINIO Y NUMERO DE LICENCIA DESCONOCE. UNA VEZ EN EL LUGAR DE DESTINO - DOMICILIO DEL DENUNCIANTE - , ABONO LA TOTALIDAD DEL COSTO DEL VIAJE. EL CHOFER DESCARGO EL EQUIPAJE Y LUEGO ASCENDIO AL VEHICULO MARCHANDOSE DEL LUGAR, MOMENTO EN EL CUAL EL DENUNCIANTE SE PERCATO QUE EN EL ASIENTO TRASERO HABIA QUEDADO SU MALETIN COLOR NEGRO.</t>
  </si>
  <si>
    <t>AR 2890</t>
  </si>
  <si>
    <t>USHUAIA</t>
  </si>
  <si>
    <t>INFORMO SIENDO LAS 2138 HORAS DESPEGA AERONAVE T03 TRANSPORTANDO A LA SEÑORA MINISTRA DE INDUSTRIA Y COMERCIO DE LA NACION DEBORA GIORGI. SE DIO CUMPLIMIENTO A ORDEN DE SERVICIO N 01/10 SIN NOVEDAD.</t>
  </si>
  <si>
    <t>NAC DE 1º INST EN LO CRIMINAL DE INST Nº 17</t>
  </si>
  <si>
    <t>DANIEL ESTEBAN BERMUDEZ</t>
  </si>
  <si>
    <t>HURTO NN AGRAVADO</t>
  </si>
  <si>
    <t>EN EL DÍA DE LA FECHA, SIENDO LAS 22.00 HORAS, SE HACE PRESENTE EN ESTA GUARDIA DE PREVENCIÓN EL DAMNIFICADO A LOS EFECTOS DE RADICAR UNA DENUNCIA POR UN HECHO SUCEDIDO EL DÍA 24 DE AGOSTO DE 2009 EN EL HORARIO DE LAS 09.30 HS A LOS EFECTOS DE EMBARCAR EN EL VUELO DE LA EMPRESA PLUNA, LUGAR EN EL CUAL REALIZO EL DESPACHO DE UNA VALIJA TIPO CARRY ON DE COLOR NEGRA, A LA CUAL LE COLOCARON UN MARBETE CON NUMERACIÓN LA CUAL NO RECUERDA. SEGUIDAMENTE, PASADO UN LAPSO DE CUARENTA Y CINCO MINUTOS, LA AERONAVE HACE SU ARRIBO EN LA CUIDAD DE MONTEVIDEO. UNA VEZ QUE EL SR. GERMEN REALIZÓ LOS TRAMITES MIGRATORIOS Y ADUANEROS, SE DIRIGIÓ A LA CINTA TRANSPORTA EQUIPAJES. ALLÍ TOMO SU VALIJA Y SE RETIRO CON DESTINO EL HOTEL CONRAD. UNA VEZ EN LA HABITACIÓN DEL MISMO, ABRIÓ SU EQUIPAJE PERCATANDOSE DEL FALTANTE. LUEGO DE NO HABER OBTENIDO UNA RESPUESTA SATISFACTORIA POR PARTE DE LA EMPRESA. SE PRESENTA EN EL DÍA DE LA FECHA EN LA GUARDIA DE PREVENCIÓN.</t>
  </si>
  <si>
    <t>PLUNA LINEAS AEREAS URUGUAYAS S.A.</t>
  </si>
  <si>
    <t>PU 168</t>
  </si>
  <si>
    <t>DANDO CUMPLIMIENTO A ORDEN DE SERVICIO Nº 0004/2010 Y SIENDO LAS 0720 HORA LOCAL DESPEGA SIN NOVEDAD AERONAVE BOEING 737 MATRICULA LV-BIH DE LA EMPRESA AEROLINEAS ARGENTINAS CON DESTINO A AEROPARQUE JORGE NEWBERY EN CUYAS BODEGAS 3 Y 4 SE DESPACHAN 100 PIEZAS CON UN PESO DE 1.500 KILOGRAMOS DE METAL -MTD- PERTENECIENTES A LA EMPRESA MINERA SANTA CRUZ.</t>
  </si>
  <si>
    <t>AEROPUERTO GRAL MOSCONI - COMODORO RIVADAVIA</t>
  </si>
  <si>
    <t>AEROPUERTO JORGE NEWBERY - CAPITAL FEDERAL</t>
  </si>
  <si>
    <t>Extravio de Elementos</t>
  </si>
  <si>
    <t>SIENDO LAS 0800 HORAS DEL DIA DE LA FECHA, SE PRESENTA EL SEÑOR QUE DICE LLAMARSE FEDERICO EDGARDO LEIVA QUIEN EXPONE QUE EN CIRCUNSTANCIAS Y LUGAR QUE DESCONOCE EN EL DIA DE LA FECHA EXTRAVIO SU DOCUMENTO NACIONAL DE IDENTIDAD Nº 34.086.323.SE LABRA EXPOSICION POLICIAL Nº 0002/2010.-</t>
  </si>
  <si>
    <t>198/10</t>
  </si>
  <si>
    <t>PLATAFORMA COMERCIAL</t>
  </si>
  <si>
    <t>QUE EL DIA DE LA FECHA SE HACE PRESENTE EL DENUNCIANTE A LOS EFECTOS DE DEJAR CONSTANCIA DEL EXTRAVIO DE SU PPSA. HECHO OCURRIDO EL DIA 13 DEL ACTUAL EN HORAS DE LA MAÑANA NO RECORDANDO EL LUGAR EXACTO DE LA PERDIDA.</t>
  </si>
  <si>
    <t>JUZGADO FEDERAL DE PRIMERA INSTANCIA DELEGACION CORRIENTES</t>
  </si>
  <si>
    <t>SECRETARIA PENAL Nº 02</t>
  </si>
  <si>
    <t>SOTO DAVILA</t>
  </si>
  <si>
    <t>Carlos Vicente</t>
  </si>
  <si>
    <t>DR. PABLO MOLINA</t>
  </si>
  <si>
    <t>SUPUESTA INFRACCIN A LA LEY 23.737</t>
  </si>
  <si>
    <t>SUPUESTA INFRACCION A LA LEY 23.737</t>
  </si>
  <si>
    <t>UOSP CORRIENTES</t>
  </si>
  <si>
    <t>PUNTO DE INSPECCION Y REGISTRO</t>
  </si>
  <si>
    <t>EN EL DIA DE LA FECHA EN VIRTUD DE LOS CONTROLES PREVENTIVOS EN EL PUNTO DE INSPECCION Y REGISTRO DEL PREEMBARQUE DE LA ESTACION AÉREA DE CORRIENTES, SE DETECTO POR MEDIO DE LOS CACHEOS A LOS PASAJEROS DEL VUELO DE LA EMPRESA AEROLÍNEAS ARGENTINAS, QUE PASAJERO TENIA A AL ALTURA DEL BOLSILLO DERECHO DE LA CAMPERA UN BULTO SOSPECHOSO, INTERROGADO SOBRE EL MISMO RESPONDE QUE SE TRATABA DE MEDICAMENTOS. AL SOLICITARLE QUE LO EXTRAIGA DEL BOLSILLO SE OBSERVA QUE ERA UNA BOLSA PLÁSTICA QUE CONTENÍA EN SU INTERIOR UNA SUSTANCIA DE ORIGEN VEGETAL DE CARACTERÍSTICAS SIMILARES A LA MARIHUANA. POR TAL MOTIVO EL PERSONAL DISPUESTO A LAS TAREAS DE INSPECCIÓN INFORMO AL SUPERVISOR DE TURNO QUIEN INICIA LAS TAREAS DE RIGOR. EL CONTENIDO DE LA BOLSA ERA DE TRES CUBOS, DOS DE 1,5 X 3 X 3 CM Y EL OTRO DE 2,5 X 1,5 X 2,5 CM DE SUSTANCIA VEGETAL, QUE AL EFECTUAR LA PRUEBA DE CAMPO CON TEST DE ORIENTACIÓN NIK PARA MARIHUANA, ARROJA RESULTADO POSITIVO. POR EL HECHO SE PROCEDE AL SECUESTRO DE CEDULA DE IDENTIFICACIÓN FEDERAL CRT N° 17.356.359, DNI N 32.516.250, PASAJE AÉREO CORRIENTES - BUENOS AIRES, CELULAR SONY ERICSON W200. QUEDANDO EL IMPUTADO EN CARACTER DE DETENIDO E INCOMUNICADO A DISPOSICION DEL JUZGADO INTERVINIENTE.</t>
  </si>
  <si>
    <t>QUE EL DIA DE LA FECHA SE HACE PRESENTE EL DENUNCIANTE A LOS EFECTOS DE PLASMAR MEDIANTE DENUNCIA DE EXTRAVIO LA PERDIDA DE SU PERMISO PERSONAL DE SEGURIDAD AEROPORTUARIO. HECHO OCURRIDO EL DIA 13 DEL ACTUAL EN HORAS DE LA MAÑANA NO RECORDANDO EL LUGAR EXACTO DEL EXTRAVIO.</t>
  </si>
  <si>
    <t>Fiscalía Nacional en lo Penal Económico Nº 06</t>
  </si>
  <si>
    <t>PUESTO BRAVO</t>
  </si>
  <si>
    <t>SIENDO LAS 0900 HORAS DEL DIA DE LA FECHA Y EN RELACION A LO MENCIONADO ANTERIORMENTE EN EL REGISTRO PSA Nº76, SE REALIZA EL TRASLADO CON PERSONAL DE ESTA UOSP METROPOLITANA Y PERSONAL DE LA UOESA A LA SEDE DEL JUZGADO ANTES MENCIONADO DEL DETENIDO DANIEL AMERICO MONROY DNI Nº 16.593.496 REALIZANDOSE EL CORRESPONDIENTE PRECARIO MEDICO DE SALIDA DE ESTA UOSP METROPOLITANA . SIENDO LAS 1330 HORAS ESA TRASLADADO EL DETENIDO HASTA LA UNIDAD Nº29 DEL SPFREGRESA LA COMISION POLICIAL A ESTA UOSP METROPOLITANA SIN NOVEDAD.</t>
  </si>
  <si>
    <t>DENTRO DE LAS INSTALACIONES AEROPORTUARIAS</t>
  </si>
  <si>
    <t>EN EL DIA DE LA FECHA SE PRESENTA EN ESTA DEPENDENCIA EL DENUNCIANTE MANIFESTANDO EL EXTRAVIO DE UN PERMISO PERSONAL AEROPORTUARIO VIGENTE A SU NOMBRE, DENTRO DE LAS INSTALACIONES DE ESTE AEROPUERTO, NO PUDIENDO PRECISAR FECHA Y HORA DE LO ACONTECIDO, SE CONFECCIONA ACTA DE EXTRAVIO NRO 02/10.</t>
  </si>
  <si>
    <t>SECTOR DE ESTACIONAMIENTO DE LA TERMINAL A</t>
  </si>
  <si>
    <t>EL SR. LUBNICKI SE CONTACTA CON EL DENUNCIANTE A FIN DE HACERLE ENTREGA DEL VEHICULO GOL HHX -595, EL CUAL FUERA ALQUILADO EL DIA 14/12/09. EN ESAS CIRCUNSTANCIAS EL DENUNCIANTE SE PERCATA QUE LA PARTE DELANTERA DEL RODADO SE ENCONTRABA DAÑADA Y EL SR. LUBNICKI MANIFIESTA NO CONTAR CON EL DINERO PARA ABONAR LA FRANQUICIA CORRESPONDIENTE. ANTE ESTOS HECHOS SE HACEN PRESENTES EN ESTA GUARDIA Y SE RADICA FORMAL DENUNCIA.</t>
  </si>
  <si>
    <t>JUZGADO FEDERAL 1RA INSTANCIA DE PARANA</t>
  </si>
  <si>
    <t>ZUNIS</t>
  </si>
  <si>
    <t>Gustavo</t>
  </si>
  <si>
    <t>DRA. LEONOR DE LA SIERRA</t>
  </si>
  <si>
    <t>DAÑOS - PRES/INF ART 183 C.P.</t>
  </si>
  <si>
    <t>DAÑOS ALAMBRADO PERIMETRAL</t>
  </si>
  <si>
    <t>UOSP PARANA</t>
  </si>
  <si>
    <t>SECTOR SUR-OESTE A 1500 MTS APROX. DEL EDIFICIO DE LA AEROESTACION Y A LA MISMA ALTURA DEL SECTOR SUR-ESTE</t>
  </si>
  <si>
    <t>ALAMBRADO PERIMETRAL OPERATIVO</t>
  </si>
  <si>
    <t>EN EL DIA DE LA FECHA SE PRESENTA EL SR KUHN GERARDO DE LA EMPRESA A.A.2000 PARA EXPONER QUE EL ALAMBRADO PERIMETRAL OPERATIVO SE ENCONTRABA CORTADO EN FORMA TRANSVERSAL EN EL SECTOR SUR-OESTE Y EN EL SECTOR SUR-ESTE A LA MISMA ALTURA. SE ENVIA AL OFICIAL DE LA PSA MERLO WALTER CON PERSONAL DE LA EMPRESA AA2000. KUHN NELSON EN LA CAMIONETA DE DICHA EMPRESA Y CONFIRMAN LO SUCEDIDO, DIVISANDO ADEMÁS HUELLAS DE CABALLO. SE MANTIENE COMUNICACION CON EL JUZGADO QUIEN ORDENA SE RELICEN LAS ACTUACIONES CORRESPONDIENTES. CABE DESTACAR QUE NO SE PUEDE PRECISAR LA HORA EXACTA DE LO SUCEDIDO Y LA FECHA ESTIMATIVA SERIA ENTRE EL DIA DE AYER Y HOY A LA MAÑANA</t>
  </si>
  <si>
    <t>PARKING Nº 8</t>
  </si>
  <si>
    <t>ESTACIONAMIENTO DESCUBIERTO NORTE</t>
  </si>
  <si>
    <t>SIENDO LA HORA 1200 HS APROXIMADAMENTE LA DENUNCIANTE ARRIBA EN UN VUELO LA 4243 DE LA EMPRESA LAN ARGENTINA EGRESANDO POR EL SECTOR A2 DE ESTE AEROPARQUE DONDE LA ESPERABA EL SR. JORGE ERICH BALADA - PAREJA DE LA DENUNCIANTE - QUIEN HABIA DEJADO EL SU VEHICULO EN EL PARKING Nº8 DE ESTACIONAMIENTO DESCUBIERTO NORTE. SIENDO LAS 1240 HS Y ENCONTRANDOSE YA EN DICHO PARKING, SE PERCATA QUE EL NEUMATICO TRASERO DERECHO SE ENCONTRABA DESINFLADO POR LO QUE PROCEDE A REALIZAR EL CAMBIO DEL MISMO Y ES EN DICHO MOMENTO DONDE UNA PERSONA DE SEXO FEMENINO LOS INTERRUMPE - AL SR. BALADA Y A LA DENUNCIANTE - A UNA DISTANCIA APROXIMADA DE DIEZ METROS CONSULTANDOLOS POR UNA DIRECCION EN LA C.A.B.A PERDIENDO AMBOS EL RADIO DE SU CUSTODIA EL ELEMENTO SUSTRAIDO QUE SE ENCONTRABA EN UN CARRO PARA TRANSPORTAR EQUIPAJES. LUEGO DE UNA BUSQUEDA EN LAS INMEDIACIONES DEL LUGAR, DECIDE HACERSE PRESENTE EN ESTA GUARDIA DE PREVENCION A FIN DE RADICAR LA DENUNCIA DEL HECHO.</t>
  </si>
  <si>
    <t>LA 4243</t>
  </si>
  <si>
    <t>PLATAFORMA MILITAR DE AEROPARQUE</t>
  </si>
  <si>
    <t>SIENDO LA HORA 1600 SE IMPLEMENTA ORDEN DE SERVICIO Nº022/10 FAX PROCEDENTE DE LA URSA I DEL ESTE EN REFERENCIA AL CONTROL DE SEGURIDAD AEROPORTUARIA POR VUELO PRESIDENCIAL DEBIDO A LA PARTIDA DE LA PRESIDENTE DE LA NACION EN LA AERONAVE MATRICULA T-01 CON DESTINO A LA CIUDAD DEL CALAFATE - PCIA DE SANTA CRUZ. SIENDO LAS 1830 SE SUSPENDE EL OPERATIVO PRESIDENCIAL DEBIDO A SUSPENCION DEL VUELO ATENTO A LA INFORMACION BRINDADA POR LA CASA MILITAR</t>
  </si>
  <si>
    <t>PAZ</t>
  </si>
  <si>
    <t>Marcelo</t>
  </si>
  <si>
    <t>DAÑOS</t>
  </si>
  <si>
    <t>CABECERA SUR DEL PERIMETRO DEL AEROPUERTO SECTOR R-08 SEGUN PLANO GRILLADO DE ESTA UNIDAD OPERACIONAL</t>
  </si>
  <si>
    <t>SIENDO LAS 2110 HORAS SE PRESENTA EN LA GUARDIA DE PREVENCION DE ESTA UNIDAD OPERACIONAL PERSONAL DE MANTENIMIENTO DE LA EMPRESA AEROPUERTO ARGENTINA 2000 A RADICAR UNA DENUNCIA POR HABER SUFRIDO DAÑOS EN EL VEHICULO FORD RANGER DOMINIO FII-317 DE DOTACION DE LA EMPRESA ANTERIORMENTE MENCIONADA MIENTRAS REALIZABA UNA RECORRIDA DE CONTROL DEL ALAMBRADO PERIMETRAL EN LA CABECERA SUR DEL PERIMETRO DEL AEROPUERTO SECTOR R-08, EL CUAL EN MOMENTOS EN QUE PASABA POR EL SECTOR ANTERIORMENTE DETALLADO SIENTE UN IMPACTO EL CUAL INMEDIATAMENTE LE PRODUCE LA ROTURA DE LA LUNETA TRASERA DEL VEHICULO POR UN OBJETO CONTUNDENTE, DICHO HECHO NO LE PERMITIO VISUALIZAR CON CLARIDAD EL LUGAR ESPECIFICO DE DONDE SURGIO LA AGRESION, POR LO QUE SE RETIRA DEL SECTOR, ACTO SEGUIDO SE DISPUSO DE PERSONAL DE LA GUARDIA DE PREVENCION PARA QUE SE APERSONARAN EN DICHO SECTOR EN EL MOVIL 23 CNR-229 DE DOTACION DE ESTA UOSP, QUIENES UNA VEZ EN EL LUGAR REALIZAN UNA INSPECCIONOCULAR DEL SECTOR NO ENCONTRANDO NOVEDAD ALGUNA. SIENDO LAS 2120 HORAS SE REALIZA COMUNICACION CON LA OFICINA FISCAL EN TURNO SIENDO ATENDIDOS POR LA AUXILIAR FISCAL LA SRA YAMILA ESTEBAN A QUIEN SE LE IMPONEN LOS HECHOS OCURRIDOS Y QUIEN UNA VEZ CONSULTADO EL AYUDANTE FISCAL DISPONE, 1- SE INICIEN ACTUACIONES POR DAÑOS, 2- SE ELEVEN LOS ANEXOS FOTOGRAFICOS Y 3- SE DERIVE AL DENUNCIANTE A REALIZAR LA CORRESPONDIENTE DENUNCIA A ESA OFICINA FISCAL ANTES DE LA 2300 HORAS, A LO QUE SE DA ESTRICTO CUMPLIMIENTO. ACTO SEGUIDO SE NOTIFICA AL DENUNCIANTE DE LO DISPUESTO POR LA OFICINA FISCAL, QUIEN MINUTOS MAS TARDE SE NOS INFORMA A TRAVES DEL JEFE DE BASE DE TURNO DEL DIA DE LA FECHA DE LA EMPRESA AA 2000 EL SEÑOR GUILLERMO REINOSO, QUE EL PERSONAL DENUNCIANTE NO PUEDE DIRIGIRSE A RADICAR LA CORRESPONDIENTE DENUNCIA DEBIDO A QUE NO SE PUEDE DEJAR EL AEROPUERTO SIN PERSONAL DE MANTENIMIENTO Y QUE ADEMAS EL ADMINISTRADOR DE AA 2000 EL LICENCIADO PABLO SEIRO LES HABIA SOLICITADO REALIZA UN ACTA DE EXPOSICION CIVIL HACIENDO MENCION DE QUE ESTA GUARDIA DE PREVENCIÓN NO QUIERE TOMAR LA CORRESPONDIENTE DENUNCIA Y QUE LO DERIVÁBAMOS A LA OFICINA FISCAL, POR LO ANTERIORMENTE INFORMADO SE REALIZA NUEVA COMUNICACION CON LA OFICINA FISCAL EN TURNO SIENDO ATENDIDOS NUEVAMENTE POR LA AUXILIAR FISCAL A QUIEN SE LE INFORMA DE LOS HECHOS ANTERIORMENTE DETALLADOS Y QUIEN DISPONE, 1- SE RECIBA LA CORRESPONDIENTE DENUNCIA EN ESTA GUARDIA DE PREVENCIÓN Y 2- SE ELEVEN LAS ACTUACIONES UNA VEZ FINALIZADAS, A LO QUE SE DA ESTRICTO CUMPLIMIENTO.</t>
  </si>
  <si>
    <t>DANDO CUMPLIMIENTO A ORDEN DE SERVICIO NRO 0004/2010 Y SIENDO LAS 2222 HORA LOCAL ARRIBA AERONAVE AIRBUS 320 MATRICULA LV-BFO DE LA EMPRESA LAN ARGENTINA PROCEDENTE DE AEROPUERTO JORGE NEWBERY EN CUYAS BODEGAS 12,13,31 Y 32 SE DESPACHAN 106 PIEZAS CON UN PESO DE 3.712 KILOGRAMOS DE METAL -MTD- PERTENECIENTES A EMPRESA MINERA SANTA CRUZ. EL VUELO DESPEGA A LAS 2335 SIN NOVEDAD. LA EMPRESA COURIER ES LAN CARGO.</t>
  </si>
  <si>
    <t>DE 1º INST EN LO PENAL CONT Y DE FALTAS Nº 3</t>
  </si>
  <si>
    <t>Cavalliari</t>
  </si>
  <si>
    <t>Juan Jose</t>
  </si>
  <si>
    <t>DR. GONZALO VILLAHOZ</t>
  </si>
  <si>
    <t>NN S/DAÑOS</t>
  </si>
  <si>
    <t>ESTACIONAMIENTO NORTE DESCUBIERTO</t>
  </si>
  <si>
    <t>QUE EL DIA DE LA FECHA SIENDO LA HORA MENCIONADA SE HACE PRESENTE EL DAMNIFICADO A LOS EFECTOS DE RADICAR UNA DENUNCIA POR DAÑOS. HECHO OCURRIDO EL DIA DE LA FECHA EN HORAS ALUDIDAS, EN QUE SE PERCATA DE QUE UN NEUMATICO DEL VEHICULO DE SU PROPIEDAD SE ENCONTRABA DESINFLADO Y POSTERIORMENTE, FUERA DE JURISDICCION, OBSERVA EN SU RADIAL LOS DAÑOS RECIBIDOS, SIENDO ESTOS CORTES EN EL HOMBRO DE LA CUBIERTA POSTERIOR TRASERO DE SU VEHICULO MARCA NISSAN MODELO TIIDA DOMINIO HBJ 129 COLOR GRIS. EL DENUNCIANTE SE HABIA HECHO PRESENTE A LOS EFECTOS DE PASAR A BUSCAR A LA SRA. MARIA CRISTINA DEMO, QUIEN RADICO EL DIA DE HOY UNA DENUNCIA PENAL POR HURTO PREVENCION SUMARIA NRO. 014/10, QUIEN HABIA ARRIBADO DEL VUELO NRO. LA 4243 PROCEDENTE DE MENDOZA. SE ENTABLO COMUNICACION TELEFONICA CON LA DRA. VERONICA ANDRADE, QUIEN ORDENA FOTO PERICIA DEL RADIAL, SOLICITAR TESTIGOS PRESENCIALES, CIERRE Y ELEVACION</t>
  </si>
  <si>
    <t>SIENDO LAS VEINTIUNA HORAS CON DIEZ MINUTOS ARRIVA A ESTE AEROPUERTO AERONAVE T-10, CON EL SEÑOR EX PRESIDENTE DE LA NACION Y COMITIVA SIN NOVEDAD.- AERONAVE PROXIMA A PARTIR A LA CIUDAD DE BUENAS AIRES.-</t>
  </si>
  <si>
    <t>BOX DE CONTROLES MIGRATORIOS DE SALIDA</t>
  </si>
  <si>
    <t>SE RECIBE DE PARTE DE LA D.N.M AL PASAJERO EN CUESTION EN VIRTUD A QUE PESA SOBRE EL MISMO UNA ORDEN DE CAPTURA EMANADA POR INTERPOL MONTEVIDEO Y SECRETARIA GENERAL SEC. INVESTIGACION FED. DE FUGITIVOS QUE SE ENCUENTRA VIGENTE DE ACUERDO AL RELEVAMIENTO DE SU SISTEMA. POR ELLO SE CURSA LAS NOTAS PERTINENTES POR ANTE INTERPOL A FIN DE CORROBORAR LA VIGENCIA DE LA MEDIDA POR PARTE DEL ORGANISMO SOLICITANTE. QUE TRANSCURRIDO UN LAPSO DE TIEMPO, SE RATIFICA MEDIANTE NOTA QUE LA MEDIDA ESTA VIGENTE.POR ELLO SE DA INTERVENCION AL JUZGADO FEDERAL EN TURNO DISPONIENDOSE LA DETENCION EN CALIDAD DE COMUNICADO Y SE ORDENA SU TRASLADO A LA U 28 S.P.F. EN ESTE ORDEN SIENDO LAS 21.30HORAS SE EFECTUO EL TRASLADO DEL DETENIDO A LA U 28.</t>
  </si>
  <si>
    <t>AR 1362</t>
  </si>
  <si>
    <t>Bolivia</t>
  </si>
  <si>
    <t>SANTA CRUZ DE LA SIERRA</t>
  </si>
  <si>
    <t>PERGOLA DE LA TERMINAL B Y TRAYECTO HASTA EL PARKING MULTINIVEL DE LA TERMINAL A</t>
  </si>
  <si>
    <t>LUEGO DE REALIZAR LOS TRAMITES DE SU ARRIBO AL PAIS RECORRE LAS INSTALACIONES DE LA TERMINAL B A LA ESPERA DE JUNTARSE CON UNA AMIGA QUE LO VENDRIA A BUSCAR, SIN PERDER DE VISTA EN NINGUN MOMENTOS SUS PERTENENCIAS QUE ERAN TRANSPORTADAS EN CARRO PORTA EQUIPAJE. QUE TRANSCURRIDA UNA MEDIA HORA Y CONTACTADO CON SU AMIGA, AMBOS SE DIRIGEN HACIA EL PARKING MULTINIVEL Y EN MOMENTOS DE CARGAR LAS PERTENENCIAS EN EL VEHICULO, SE PERCATA DEL FALTANTE DE UNA MOCHILA DE COLOR NEGRO.</t>
  </si>
  <si>
    <t>COPA AIRLINES</t>
  </si>
  <si>
    <t>CM279</t>
  </si>
  <si>
    <t>Panamá</t>
  </si>
  <si>
    <t>CIUDAD DE PANAMA</t>
  </si>
  <si>
    <t>SE RECIBE DE PARTE DE LA D.N.M AL PASAJERO EN CUESTION EN VIRTUD A QUE PESA SOBRE EL MISMO UNA ORDEN DE CAPTURA EMANADA POR EL JUZGADO FEDERAL N° 02 DE LA CIUDAD DE BAHIA BLANCA. LA CUAL SE ENCUENTRA VIGENTE DE ACUERDO AL RELEVAMIENTO DE SU SISTEMA. POR ELLO SE CURSA LAS NOTAS PERTINENTES POR ANTE INTERPOL A FIN DE CORROBORAR LA VIGENCIA DE LA MEDIDA. QUE OBTENIDOS LOS RESULTADO LA MEDIDA SE ENCUENTRA VIGENTE POR ELLO SE DA INTERVENCION AL JUZGADO FEDERAL DE JURISDICCION EN TURNO DISPONIENDOSE LA DETENCION EN CALIDAD DE COMUNICADO Y SE ORDENA MANTENER COMUNICACION A PRIMERA HORA CON EL JUZGADO SOLICITANTE DE LA MEDIDA. QUE A PRIMERA HORA DEL DIA DE LA FECHA SE MANTUVO COMUNICACION CON EL JUZGADO FEDERAL N° 2 DE BAHIA BLANCA, MEDIANTE LA CUAL SE DISPUSIERON DILIGENCIAS DE RIGOR Y CUMPLIMENTADAS LAS MISMAS EL CAUSANTE SE RETIRE DE LA DEPENDENCIA. SEGUN PU Nº 254 DEL 15/1/10 SE LE DIO LA LIBERTAD SEGUN LO ORDENADO POR EL JUZGADO</t>
  </si>
  <si>
    <t>G37459</t>
  </si>
  <si>
    <t>250/10</t>
  </si>
  <si>
    <t>QUE SIENDO LAS DOCE HORAS DEL DIA DE LA FECHA, SE PROCEDIO A LA LIBERACION DEL CIUDADANAO NESTOR LEONEL GAGGIOTTI Y ENTREGA DE EFECTOS Y DOCUMENTACION SECUESTRADA, EN VIRTUD A LO ORDENADO MADIANTE OFICIO JUDICIAL EMANADO POR EL JUZAGDO SOLICITANTE DONDE ORDENA LA MEDIDA, POR LO QUE UNA VEZ CUMPLIMENTADAS LAS DILIGENCIAS ORDENADAS POR S.SA. EL CAUSANTE SE RETIRO DE ESTA DEPENDENCIA POR SUS PROPIOS MEDIOS Y CONFORME CON LOS TRATOS RECIBIDOS.-</t>
  </si>
  <si>
    <t>SUSTRACCIÓN PERPRETADA ENTRE EL DESPACHO DE EQUIPAJES EN LA EMPRESA LAN ARGENTINA DE AEROPARQUE Y LA ENTREGA DEL MISMO EN ESTE AEROPUERTO.</t>
  </si>
  <si>
    <t>SIENDO LAS 1025 HORAS SE PRESENTA EN ESTA GUARDIA DE PREVENCIÓN EL SR. ASIS OMAR CON EL OBJETO DE RADICAR DENUNCIA DE UN HECHO OCURRIDO EL DÍA 28 DE DICIEMBRE DEL AÑO 2009, DÍA EN EL CUAL VIAJABA COMO PAX DEL VUELO LA 4248 AEROPARQUE-MENDOZA Y AL ARRIBAR A NUESTRA PROVINCIA, YA EN LA SALA DE ARRIBO CABOTAJE NOTA FALTANTE EN SU EQUIPAJE FACTURADO. SE TRASLADA A LA EMPRESA LAN ARGENTINA DONDE LE ES TOMADO UN RECLAMO QUEDANDO REGISTRADO BAJO Nº 007839. SEGUIDAMENTE SE PRESENTA EN LA OFICINA DE ATENCIÓN AL PASAJERO DE LA EMPRESA AEROPUERTOS ARGENTINA 2000 DONDE REALIZA UN NUEVO RECLAMO, EL CUAL LE ES TOMADO. LA EMPRESA LAN ARGENTINA LE ENVÍA RESPUESTA POR CORREO ELECTRÓNICO EL DÍA 06 DE ENERO DEL AÑO EN CURSO, DONDE SE LE INFORMA QUE NO SE HARÁ CARGO DEL FALTANTE Y LOS MOTIVOS. SIENDO LAS 1030 HORAS SE LLEVA A CABO COMUNICACIÓN TELEFÓNICA CON LA AUTORIDAD JUDICIAL DE TURNO, SIENDO ATENDIDO POR LA AYUDANTE DE FISCAL ANALÍA GARAY A QUIEN SE LE IMPONE DE LOS HECHOS Y DISPONE 1º SE TOME DENUNCIA EN ESTA U.O.S.P. POR ROBO DE EQUIPAJE 2º SE ELEVEN LAS ACTUACIONES EN EL TRANSCURSO DE LA SEMANA ENTRANTE Y QUE SEAN LLEVADAS POR EL OFICIAL ACTUANTE, A LO QUE SE DA ESTRICTO CUMPLIMIENTO. EL SR. ASIS SE RETIRA CON CERTIFICADO DE DENUNCIA Y SIN NOVEDAD.</t>
  </si>
  <si>
    <t>AEROPARQUE METROPOLITANO JORGE NEWBERY - BUENOS AIRES</t>
  </si>
  <si>
    <t>AEROPUERTO EL PLUMERILLO - MENDOZA</t>
  </si>
  <si>
    <t>JUZGADO DE FERIA - DISTRITO JUDICIAL SUR</t>
  </si>
  <si>
    <t>NICOLAS BALLESTEROS</t>
  </si>
  <si>
    <t>KLUGOW CHRISTIAN S/DENUNCIA DE HURTO</t>
  </si>
  <si>
    <t>CINTA DE ARRIBOS</t>
  </si>
  <si>
    <t>SECTOR ARRIBOS PASAJEROS VUELOS DE CABOTAJE</t>
  </si>
  <si>
    <t>SIENDO LAS 1025 HORAS SE HACE PRESENTE EN DEPENDENCIAS DEL SERVICIO DE SEGURIDAD AEROPORTUARIA EL CIUDADANO CHRISTIAN KLUGOW DE NACIONALIDAD ALEMANA, QUIEN RADICA UNA DENUNCIA DEL SIGUIENTE HECHO, AL RETIRAR SU MOCHILA DE LA CINTA DE EQUIPAJES SECTOR ARRIBOS, NOTA QUE LA MISMA SE ENCONTRABA ABIERTA, OBSERVANDO EL FALTANTE DEL INTERIOR DE LA MISMA, LA SUMA DE PESOS ARGENTINOS TRES MIL , UN REPRODUCTOR DE MUSICA IMAN-GO COLOR NEGRO Y UNA CAMARA DIGITAL MARCA CASIO MODELO EXILIM, CON UN STICKER PEGADO CON LA DENOMINACION YOUTUBE, SE DA INTERVENCION AL JUZGADO, DISPONIENDO SE TOME LA DENUNCIA Y SE ELEVE LO ACTUADO, SE HACE SABER QUE ANTES DE REALIZAR LA DENUNCIA, FUERON HALLADOS EN EL SECTOR DE CINTAS DE ARRIBOS ELEMENTOS PERTENECIENTES AL CAUSANTE , UNA GORRA Y UN CABLE USB DEL EQUIPO DE MUSICA LOS CUALES FUERON ENTREGADOS POR ACTA</t>
  </si>
  <si>
    <t>AEROPUERTO JORGE NEWBERY</t>
  </si>
  <si>
    <t>BAÑO DE HOMBRES - SECTOR PUBLICO</t>
  </si>
  <si>
    <t>BAÑO LINDANTE A LA ESCALERA MECANICA DE DICHA TERMINAL, JUNTO AL LOCAL DE MC´DONALS</t>
  </si>
  <si>
    <t>TERMINAL A</t>
  </si>
  <si>
    <t>QUE EL DIA DE LA FECHA EL DENUNCIANTE UNA VEZ ARRIBADO A ESTE AEROPUERTO SE DIRIGIO AL SECTOR DE ARRIBOS DE PASAJEROS, COLOCO SUS PERTENECIAS EN UN CARRO DESTINADO PARA TAL FIN Y SE DIRIGIO AL SANITARIO DE MENCION, DONDE PERMANECIO PARADO JUNTO A SUS EFECTOS, PERCATANDOSE A LOS POCOS MINUTOS DEL FALTANTE DE LOS ELEMENTOS DESCRIPTOS. POR TAL MOTIVO SE HIZO PRESENTE EN ESTA GUARDIA DE PREVENCION A FIN DE RADICAR LA PRESENTE DENUNCIA PENAL.</t>
  </si>
  <si>
    <t>IB 6841</t>
  </si>
  <si>
    <t>JUZGADO FEDERAL DE CORRIENTES</t>
  </si>
  <si>
    <t>EN DIA DE LA FECHA SE RECEPCIONA OFICIO JUDICIAL Nº 048 EXPEDIDO POR EL JUZGADO FEDERAL DE CORRIENTES A CARGO DEL JUEZ SUBROGANTE DR. JORGE RICARDO GOMEZ, PONIENDO EN CONOCIMIENTO A ESTA UNIDAD OPERACIONAL QUE EN EL DIA DE LA FECHA SE LE CONCEDIO LA LIBERTAD AL SR. ARNALDO FABIAN GODOY QUIEN SE ENCUENTRA ALOJADO EN ESTA UNIDAD OPERACIONAL EN EL MARCO DE LA CAUSA CARATULADA GODOY ARNALDO FABIAN P/SUP. INF. LEY 23.737. EN TAL SENTIDO SE INFORMA QUE SE DIO CUMPLIMIENTO A LA MANDA JUDICIAL DE REFERENCIA.</t>
  </si>
  <si>
    <t>PLATAFORMA MILITAR</t>
  </si>
  <si>
    <t>AEROESTACION MILITAR</t>
  </si>
  <si>
    <t>EN RELACION A LA ORDEN DE SERVICIO Nº 052/10 DE ESTA UOSP METROPOLITANA Y 025/10 DE LA URSA I DEL ESTE, EN EL DIA DE LA FECHA SIENDO LAS 12.30HS SE DESPLIEGA PERSONAL HACIA LA AEROESTACION MILITAR PARA REALIZAR EL OPERATIVO DE SEGURIDAD PARA EL EMBARQUE DE LA SRA PRESIDENTE DE LA NACION, LA DRA CRISTINA FERNANDEZ DE KIRCHNER, QUIEN ARRIBO EN EL HELICOPTERO MATRICULA H03 A LAS 14.20 HS PARA ABORDAR Y POSTERIORMENTE EMBARCAR Y DESPEGAR EN EL AVION MATRICULA T01A LAS 14.27 HS CON DESTINO A LA CIUDAD DE EL CALAFATE. FINALIZANDO EL OPERATIVO SIN NOVEDAD.-</t>
  </si>
  <si>
    <t>FISCALIA N° 6 - RESISTENCIA - CHACO</t>
  </si>
  <si>
    <t>SCARPIN</t>
  </si>
  <si>
    <t>CARMEN BEATRIZ</t>
  </si>
  <si>
    <t>DR. HECTOR ELBIO BALDIVIA</t>
  </si>
  <si>
    <t>SUPUESTO HURTO</t>
  </si>
  <si>
    <t>PARQUIZADO DEL AEROPUERTO</t>
  </si>
  <si>
    <t>SIENDO LAS ONCE HORAS VEINTE MINUTOS COMPARECE ANTE ESTA UNIDAD OPERACIONAL EL SEÑOR JOSE BRACHNA EN CARACTER DE EMPLEADO DE AERONAUTICA PROVINCIAL DE OBRAS PUBLICAS DE LA PROVINCIA DEL CHACO, QUIEN RADICA UNA DENUNCIA MANIFESTANDO QUE SIENDO APROXIMADAMENTE LAS OCHO HORAS, REALIZANDO UNA RECORRIDA DE RUTINA EN EL MOVIL DE DOTACION, PUDO CORROBORAR EL FALTANTE DEL CARTEL PLANTADO AL COSTADO DE LA REPRESA UBICADA A 200 MTS AL SUR DEL BICIVELODROMO A UNOS 1800 MTS DEL PUESTO DE INGRESO SABRE, EMPLAZADO EN EL PARQUIZADO. DICHO CARTEL INDICABA LA PROHIBICION DE BAÑARSE EN ESA REPRESA, CONTENIENDO EL TEXTO PROHIBIDO BAÑARSE REPRESA PROFUNDA, COMO ASI TAMBIEN LA FALTANTE DE DOS GRAFICOS SEÑALIZADORES DE PROHIBIDO BAÑARSE.ASIMISMO MANIFIESTA QUE DESCONOCE QUIEN O QUIENES PUDIERON SER EL O LOS AUTORES DEL HECHO Y NO PUDIENDO ESTABLECER FECHA CIERTA DE LA FALTANTE DE DICHO CARTEL.</t>
  </si>
  <si>
    <t>PLATAFORMA OPARATIVA</t>
  </si>
  <si>
    <t>SIENDO LAS DIECISIETE HORAS CON VEINTE MINUTOS ARRIBA A ESTE AEROPUERTO AERONAVE T- 01 CON LA SEÑORA PRESIDENTA DE LA NACION Y COMITIVA S/N PROCEDENTE DE LA CIUDAD DE BUENOS AIRES, AERONAVE PROXIMA A PARTIR A LA CIDUAD DE RIO GALLEGOS</t>
  </si>
  <si>
    <t>PLATAFORMA OPERATIVA - AERONAVE</t>
  </si>
  <si>
    <t>SE CONFECCIONA EL PRESENTE A LOS FINES DE INFORMAR DEL ARRIBO DEL ACFT BOEING 757 T-01 PROCEDENTE DE LA CIUDAD DE EL CALAFATE PROV. DE SANTA CRUZ, SOLO CON LA TRIPULACION, SIN NOVEDAD ASIMISMO SE INFORMA QUE LA AERONAVE PERNOCTARA EN ESTE AEROPUERTO HASTA NUEVA ORDEN</t>
  </si>
  <si>
    <t>Deposito y Custodia de Aeronaves</t>
  </si>
  <si>
    <t>SECTOR 5 FRENTE A LOS SURTIDORES DE YPF</t>
  </si>
  <si>
    <t>PROCEDO A AMPLIAR PARTE URGENTE Nº 0100/09 DE FECHA 13-08-09 EMITIDO POR ESTA UOSP MISIONES REFERENTE A LA INTERDICCION DE OFICIO SIN DERECHO A USO DE LA AERONAVE MATRICULA SP-ZUA MARCA PZL-M18B EFECTUADA POR PERSONAL DE LA ADUANA POSADAS A CARGO DEL SR JORGE ALBERTO SCAPPINI LEG. 19433-6 JEFE DE SECCION RESGUARDO ADUANA POSADAS. EN EL DIA DE LA FECHA SIENDO LAS DIECISIETE HORAS CON VEINTE MINUTOS SE PRESENTAN EN ESTA DEPENDENCIA POLICIAL LOS SRES. CANTERO JOSE DNI Nº 7692157 EMPRESARIO DE LA FIRMA AGROPECUARIA DEL LITORAL SRL, PROPIETARIA DE LA AERONAVE EN CUESTION, ESCALANTE MARIA DNI Nº 11342532,ABOGADA DE DICHA EMPRESA Y LUIS BUFFA DNI Nº 11025092 VERIFICADOR DE LA AFIP-ADUANA, QUIEN MEDIANTE ACTA DE LEVANTAMIENTO DE INTERDICCION ACTUACION Nº SC46-371/09 MEDIANTE RESOLUCION FALLO Nº 010/10 EN SUS ARTS. 1 Y 2 FS. 109/10 DEL SC46-371/09 PROCEDE AL LEVANTAMIENTO DE LA INTERDICCION DE LA AERONAVE MARCA PZL-M18B MATRICULA SP-ZUA RESTITUYENDOLA A SU PROPIETARIO.</t>
  </si>
  <si>
    <t>NAC. DE 1º INST. EN LO CORRECCIONAL Nº 7</t>
  </si>
  <si>
    <t>DR MARIANO PIÑON</t>
  </si>
  <si>
    <t>PATIO DE COMIDAS UBICADO EN EL 1º PISO</t>
  </si>
  <si>
    <t>EN EL DIA DE LA FECHA SIENDO LAS 14.45HS SE PRESENTA EN ESTA GUARDIA DE PREVENCION LA SRTA MARIA LAURA RODRIGUES QUIEN DESEA RADICAR UNA DENUNCIA POR UN HECHO DE CARATER DELICTIVO. SIENDO LAS 13.25HS ENCONTRANDOSE EN UNO DE LOS BARES UBICADOS EN EL PATIO DE COMIDAS SITUADO EN EL PRIMER PISO DE ESTE AEROPUERTO METROPOLITANO, SE PERCATA DEL FALTANTE DE UNA MOCHILA COLOR BEIGE DE SU PROPIEDAD, CONTENIENDO ELEMENTOS VARIOS QUE LUEGO SE DETALLAN, LA CUAL MINUTOS ANTES HABIA COLOCADO SOBRE SU LADO IZQUIERDO.-</t>
  </si>
  <si>
    <t>AR 1851</t>
  </si>
  <si>
    <t>TRELEW</t>
  </si>
  <si>
    <t>ESTACIONAMIENTO SCAN VAN</t>
  </si>
  <si>
    <t>SE PROCEDE A LA RETENCION DE 03 TRES SACAS COLECTORAS DEL CORREO OFICIAL, LA 1º IDENTIFICADA CON MARBETE Nº SLA0171600E555900RGA, PRECINTO Nº B802360, CON UN PESO DE 2,6 KG, CON DESTINO A LA CIUDAD DE RIO GRANDE. LA 2º MARBETE Nº SLA0163131D555900RGA, PRECINTO Nº B802392, CON UN PESO DE 9 KG, CON DESTINO A LA CIUDAD DE RIO GRANDE Y LA 3º MARBETE SLA0162058D343400MDZ, PRECINTO Nº B802393, CON UN PESO DE 5.1 KG, CON DESTINO A LA CIUDAD DE MENDOZA. LAS MISMAS SE ENCUENTRAN AMPARADAS EN GUIA AEREA Nº 9291508-2. LAS RETENCIONES SE REALIZAN ANTE LA PRESUNCION DE QUE PUDIERAN CONTENER ELEMENTOS EN INFRACCION A LAS LEYES 22.415 Y/O 23.737, QUEDANDO LAS MISMAS EN GUARDA EN ESTA UNIDAD LAS CUALES SE ENCUENTRAN CERRADAS Y PRECINTADAS, SE INFORMO TELEFONICAMENTE AL JUZGADO INTERVINIENTE, LA APERTURA DE LAS MISMAS SE EFECTUARA CON AUTORIZACION DEL MAGISTRADO INTERVINIENTE. CON CONOCIMIENTO DEL JUOSP.</t>
  </si>
  <si>
    <t>Medio Ambiente</t>
  </si>
  <si>
    <t>JUZGADO FEDERAL N° 1 DE FORMOSA</t>
  </si>
  <si>
    <t>QUINTEROS</t>
  </si>
  <si>
    <t>MARCOS BRUNO</t>
  </si>
  <si>
    <t>DR. EDGAR JUVENAL DANTIAK</t>
  </si>
  <si>
    <t>INFRACCION A LA LEY N° 22421 Y CONCORDANTES</t>
  </si>
  <si>
    <t>medio_ambiente</t>
  </si>
  <si>
    <t>SALA DE PREEMBARQUE - MAQUINA DE RX</t>
  </si>
  <si>
    <t>SIENDO LAS 17:45 HS, MIENTRAS SE REALIZABA EL CONTROL RUTINARIO DE PREEMBARQUE EN LA INSPECCIÓN DE EQUIPAJE ACOMPAÑADO, EN PREVENCIÓN Y PARA SEGURIDAD DE LA AVIACIÓN CIVIL, REALIZADA POR OPERADOR DE LA MÁQUINA DE RAYOS X, DETECTA UN CUERO APARENTEMENTE DE "YAGUARETE". SIENDO INDAGADO EL PROPIETARIO SOBRE EL ORIGEN DEL MATERIAL EN CUESTIÓN, EL CUAL NO PUEDE JUSTIFICAR SU PROCEDENCIA NI CUENTA CON DOCUMENTACIÓN QUE AVALE SU TENENCIA. SEGUIDAMENTE SE REQUIERE LA PRESENCIA DE TESTIGOS HÁBILES, PROCEDIÉNDOSE A LA RETENCIÓN PREVENTIVA POR INFRACCIÓN A LA LEY NACIONAL Nº 22421 Y CONCORDANTES, SE MANTIENE COMUNICACIÓN TELEFÓNICA CON EL DIRECTOR DE REGISTRO, CONTROL Y FISCALIZACIÓN DE LA PROVINCIA DE FORMOSA DR. ORLANDO MENDOZA, APERSONÁNDOSE A ESTA UNIDAD EN COMPAÑÍA DEL AGENTE DE CONTROL RENE ALVARENGA, QUIEN PROCEDE A INSPECCIONAR EL CUERO Y DETERMINA QUE EL MISMO CORRESPONDE A UN ANIMAL SILVESTRE DE LA ESPECIE YAGUARETÉ APARENTEMENTE UNA CRÍA, ASIMISMO SE LE DA INTERVENCIÓN AL JUZGADO COMPETENTE QUIEN MANIFESTÓ TELEFÓNICAMENTE QUE SE ANALICE LA SITUACIÓN ENTRE LA PREVENCIÓN Y LA DIRECCIÓN ACTUANTE, Y SE REALICEN LAS ACTUACIONES CORRESPONDIENTES; ACTO SEGUIDO SE DETERMINA DECOMISAR EL CUERO EN CUESTIÓN Y SU TRASLADO A SEDE TRIBUNALICIA CON LAS ACTUACIONES REALIZADAS, CONTINUANDO EL CIUDADANO EN LIBERTAD</t>
  </si>
  <si>
    <t>FORMOSA</t>
  </si>
  <si>
    <t>CALLE DIEZ U ONCE, NO RECUERDA EL DENUNCIANTE EL LUGAR EXACTO</t>
  </si>
  <si>
    <t>ESTACIONAMIENTO TERMINAL B</t>
  </si>
  <si>
    <t>EN EL DIA Y HORA MENCIONADA, EL DENUNCIANTE SE ENCONTRABA EN EL SECTOR DE ESTACIONAMIENTO A LOS EFECTOS DE HACER ABANDONO DE ESTE MEDIO Y ES ALLI QUE CARGANDO SUS EQUIPAJES EN UN VEHICULO SE PERCATA DEL FALTANTE DE UN BOLSO PORTA NOTEBOOK, EL CUAL CONTENIA UNA COMPUTADORA PORTATIL.</t>
  </si>
  <si>
    <t>NAC. DE 1º INST. EN LO CRIM CORR FEDERAL Nº 5</t>
  </si>
  <si>
    <t>Secretaria N 09</t>
  </si>
  <si>
    <t>Oyarbide</t>
  </si>
  <si>
    <t>Norberto</t>
  </si>
  <si>
    <t>DR. CARLOS LEIVA.</t>
  </si>
  <si>
    <t>INFRACCION A LA LEY 23.737</t>
  </si>
  <si>
    <t>PUNTO DE INSPECCION Y REGISTRO MAQUINA Nº 01</t>
  </si>
  <si>
    <t>PREEMBARQUE NACIONAL TERMINAL III SECTOR RESTRINGIDO PLANTA ALTA</t>
  </si>
  <si>
    <t>SIENDO LA HORA Y LA FECHA ANTES MENCIONADA SE RECIBE COMUNICACION TELEFONICA POR PARTE DEL ENCARGADO DEL PREEMBARQUE QUIEN INFORMA QUE EN MOMENTOS DE PASAR UN PASAJERO DE SEXO MASCULINO POR EL ARCO DETECTOR DE METALES SE ACTIVO LA ALARMA DEL MISMO POR LO QUE EL FUNCIONARIO POLICIAL LE INDICA AL PASAJERO QUE DEPOSITE TODAS SUS PERTENENCIAS EN UNA BANDEJA POR LO QUE AL VACIAR EL CONTENIDO DE SU BOLSILLO DERECHO DEL PANTALON DE JEAN SE OBSERVA UN TUBO DE MATERIAL PLASTICO CON TAPA EL CUAL CONTENIA EN SU INTERIOR DOS CIGARRILLOS Y UNA BOLSITA DE NYLON TRANSPARENTE EN LA CUAL SE VISUALIZABA UNA SUSTANCIA DE ASPECTO VEGETAL COLOR VERDE MANIFESTANDO EL PASAJERO A VIVA VOZ QUE SE TRATABA DE MARIHUANA. ANTE ESTA SITUACION EL ENCARGADO DE PREEMBARQUE SOLICITA LA PRESENCIA EN EL LUGAR DE DOS TESTIGOS QUIENES SE ACERCARON INMEDIATAMENTE. SEGUIDAMENTE SE TRASLADARON TODOS LOS INTERVINIENTES A LA SALA DE REQUISA DONDE SE LE EFECTUO UN REACTIVO QUIMICO ORIENTATIVO MARCA NIK PARA LA SUSTANCIA MARIHUANA EL CUAL ARROJO RESULTADO POSITIVO PARA DICHA SUSTANCIA. POSTERIORMENTE SE TRASLADARON TODOS LOS INTERVINIENTES A LA GUARDIA DE PREVENCION A FIN DE CONTINUAR LAS DILIGENCIAS DE RIGOR. SIENDO LAS 1020 HORAS SE ESTABLECE COMUNICACION TELEFONICA CON LA JUDICATURA ACTUANTE QUIEN DISPONE LECTURA DE DERECHOS ARTICULOS 258 Y 259, DETENIDO COMUNICADO, CERTIFICADO DE INGRESO Y EGRESO MEDICO A LA DEPENDENCIA POLICIAL, TRES JUEGOS DE FICHAS DACTILOSCOPICAS, FOTOS DEL IMPUTADO DE LA SUSTANCIA Y DEL PESAJE, CERTIFICADO DE REINCIDENCIA 353 BIS, IDGE, ARTICULO 86Y 197 DEL CPPN, CONSTATACION DE DOMICILIO, SECUESTRO DE LA SUSTANCIA, ENVIO DE LA SUSTANCIA AL LABORATORIO QUIMICO DE LA POLICIA FEDERAL ARGENTINA, Y EN CASO DE NO MEDIAR IMPEDIMENTO LEGAL SE PROCEDA A LA SOLTURA DEL DETENIDO. SIENDO LAS 1500 HORAS POR ORDEN DE LA JUDICATURA INTERVINIENTE Y POR NO MEDIAR IMPEDIMENTO LEGAL SE PROCEDE A LA SOLTURA DEL DETENIDO QUIEN SE RETIRA DE LA JURISDICCION SIN NOVEDAD.</t>
  </si>
  <si>
    <t>AR 1692</t>
  </si>
  <si>
    <t>AEROPARQUE METROPOLITANO</t>
  </si>
  <si>
    <t>UFI Nº 2 de Ezeiza</t>
  </si>
  <si>
    <t>HASSAN</t>
  </si>
  <si>
    <t>CARLOS</t>
  </si>
  <si>
    <t>LESIONES</t>
  </si>
  <si>
    <t>APROXIMADAMENTE VEINTE METROS DELANTE DE LA CABINA DE EGRESO DE VEHICULOS ABONADOS</t>
  </si>
  <si>
    <t>CALLE DE EGRESO VEHICULAR DE ESTE AEROPUERTO INTERNACIONAL</t>
  </si>
  <si>
    <t>QUE SIENDO LAS DIECINUEVE HORAS DEL DIA DE LA FECHA SE RECIBE EN EL ASIENTO DE ESTA DEPENDENCIA UNA MODULACION VIA NEXTEL DE PARTE DE PERSONAL POLICIAL QUE SE ENCONTRABA REALIZANDO UNA RECORRIDA CON UN MOVIL DE DOTACION, EN LA CUAL DA CUENTA DE UN ALTERCADO EN EL CUAL MEDIO UNA DISCUSION ENTRE DOS CONDUCTORES VEHICULARES DE SEXO MASCULINO, EN EL SECTOR ANTERIORMENTE REFERIDO. QUE UNA VEZ CONTACTADOS DICHOS CONDUCTORES SE LOS TRASLADO A LA GUARDIA DE PREVENCION, LUGAR EN EL CUAL SE PROCEDIO A TOMAR FORMAL DENUNCIA AL SUJETO DAMNIFICADO POR LAS LESIONES Y CONSECUENTEMENTE A IMPUTAR AL AUTOR MATERIAL DEL HECHO.</t>
  </si>
  <si>
    <t>DR. NICOLAS BALESTRERO</t>
  </si>
  <si>
    <t>ACTA DE HALLAZGO Nº 001/10</t>
  </si>
  <si>
    <t>ACCESO AEROSTACION AVENIDA SANCHEZ GALDEANO FRENTE A PLANTA REGULADORA DE GAS</t>
  </si>
  <si>
    <t>ACCESO AEROSTACION AVENIDA SANCHEZ GALDEANO</t>
  </si>
  <si>
    <t>EN EL DIA DE LA FECHA SIENDO LAS 08,30 HORAS SE HIZO PRESENTE EN EL TURNO DEL SERVICIO DE SEGURIDAD AEROPORTUARIA LA CIUDADANA ANA MARIA DEL VALLE HARO D.N.I. Nº 13.339.652, HACIENDO ENTREGA DE UN CARGADOR PARA PISTOLA MARCA BERSA, CONTENIENDO 14 CARTUCHOS DE 9 X 19 MN. DE LOS CUALES 6 SON FACTORY Y 8 SON RECARGADOS, ENCONTRADO EN CERCANIAS DE LA PLANTA REGULADORA DE GAS QUE SE ENCUENTRA EN EL ACEESO A ESTA AEROSTACION SOBRE LA AVENIDA SANCHEZ GALDEANO, SE COMISIONA A LOS OFICIALES GOMEZ, BRUNO Y BRIZUELA, RICARDO AL LUGAR DEL HALLAZGO REALIZANDOSE INSPECCION OCULAR Y TOMAS FOTOGRAFICAS, NO ENCOPNTRANDOSE ELEMENTO ALGUNO DE INTERES. DANDOSE INTERVENCION AL JUZGADO DE INSTRUCCION DE FERIA DEL DISTRITO JUDICIAL SUR, EN LA PERSONA DEL DR. DE GAMAS SOLER, QUIEN ORDENA QUE ANTE LA AUSENCIA DE DELITO SE REALICE LA CORRESPONDIENTE ACTA DE HALLZGO</t>
  </si>
  <si>
    <t>TRIBUNAL ORAL CRIMINAL FEDERAL DE SALTA</t>
  </si>
  <si>
    <t>SNOPEK</t>
  </si>
  <si>
    <t>Marta</t>
  </si>
  <si>
    <t>DRA MARIANA CERVERA</t>
  </si>
  <si>
    <t>LEGAJO DE SAUCEDO CESPEDES, EVER</t>
  </si>
  <si>
    <t>EXP 2235/09</t>
  </si>
  <si>
    <t>PREEMBARQUE INTERNACIONAL</t>
  </si>
  <si>
    <t>PERSONAL DE LA DOESA SALTA REALIZA CUSTODIA DEL EXPULSADO SAUCEDO CESPEDES LA MISMA FUE SOLICITADA POR PERSONAL DE MIGRACIONES SALTA, LA CUSTODIA SE REALIZO SIN NOVEDAD HASTA SU PARTIDA.CON CONOCIMIENTO DEL JUOSP.-</t>
  </si>
  <si>
    <t>AEROSUR</t>
  </si>
  <si>
    <t>PLATAFORMA OPERATIVA- AERONAVE</t>
  </si>
  <si>
    <t>SE CONFECCIONA EL PRESENTE CON EL FIN DE INORMAR EL DESPEGUE DE LA AERONAVE T-01 CON DESTINO A LA CIUDAD DE EL CALAFATE, SOLO CON TRIPULACION, SIN NOVEDAD</t>
  </si>
  <si>
    <t>CINTA DE ARRIBO DE EQUIPAJES NUMERO 07</t>
  </si>
  <si>
    <t>UNA VEZ LLEGADO A LAS INSTALACIONES DE ESTE MEDIO, AL MOMENTO DE RETIRAR SUS EQUIPAJES DE LA CINTA DE ARRIBOS, OBSERVA QUE SU VALIJA PRESENTABA ROTURA DE LOS PESTILLOS QUE COMPRENDEN EL COMPARTIMIENTO PRINCIPAL Y CON EL FALTANTE DE SU CANDADO METALICO COLOCADO POR EL DENUNCIATE ANTES DE REALIZAR SU DEPACHO. SEGUIDAMENTE, PROCEDE A LA APERTURA DE LA MISMA Y OBSERVA QUE SUS PERTENENCIAS ESTABAN REVUELTAS, MOTIVO POR EL CUAL EFECTUA UNA INSPECCION DE SU CONTENIDO Y UNA VEZ FINALIZADA NO PRESENTABA FALTANTES, MOTIVO POR EL CUAL PROCEDE A REALIZAR EL RECLAMO CORRESPONDIENTE ANTE LA EMPRESA AEREA.-</t>
  </si>
  <si>
    <t>AR 113</t>
  </si>
  <si>
    <t>EZEIZA- BUENOS AIRES.-</t>
  </si>
  <si>
    <t>UNA VEZ ARRIBADO A ESTE AEROPUERTO INTERNACIONAL, PROCEDE A BUSCAR SU EQUIPAJE EN LA CINTA DE ARRIBOS, Y AL MOMENTO EN QUE TOMA CONTACTO VISUAL CON SU VALIJA, SE PERCATA QUE LAS PESTAÑAS DEL CIERRE DE SU COMPARTIMIENTO PRINCIPAL SE ENCONTRABAN ROTAS Y QUE EL CANDADO COLOCADO POR LA DENUNCIANTE NO ESTABA PUESTO DE LA FORMA EN QUE ELLA LO HABIA COLOCADO. ATENTO A ELLO, PROCEDE A LA APERTURA DE LA MISMA OBSERVANDO QUE SUS PERTENENCIAS SE ENCONTRABAN TODAS REVUELTAS PERO QUE LUEGO DE RELIZAR UNA REVISION DE SU CONTENIDO ESTE NO PRESENTABA FALTANTES.</t>
  </si>
  <si>
    <t>QUE ARRIBADO A ESTA AEROSTACION, AL MOMENTO DE RETIRAR SU EQUIPAJE DESPACHADO A BODEGA, OBSERVA QUE LA MISMA SE ENCONTRABA ABIERTA Y QUE SUS PERTENENCIAS SE ENCONTRABAN TODAS REVUELTAS. MOTIVO POR EL CUAL, PROCEDE A LA APERTURA DE LA MISMA Y OBSERVA, A SIMPLE VISTA QUE ESTA NO POSEE FALTANTES, ASIMISMO OBSERVA TAMBIEN QUE ESTA NO PRESENTA ROTURAS NI FORZAMIENTOS EN SUS COMPARTIMIENTOS.-</t>
  </si>
  <si>
    <t>EZEIZA - BS. AS.-</t>
  </si>
  <si>
    <t>SIENDO LAS DIECIOCHO HORAS CON CINCUENTA MINUTOS DESPEGA DE ESTE AEROPUERTO AERONAVE T-01 CON LA SRA PRESIDENTA DE LA NACION Y COMITIVA CON DESTINO A LA CIUDAD DE BUENOS AIRES PTO</t>
  </si>
  <si>
    <t>DRA. MARIA ISABEL FALU</t>
  </si>
  <si>
    <t>ESTACIONAMIENTO SCAN-VAN</t>
  </si>
  <si>
    <t>SE PROCEDE AL SECUESTRO DE UNA SACA COLECTORA DEL CORREO OFICIAL ,IDENTIFICADA CON MARBETE Nª SLA 172807E555600CRD, PRECINTO Nª B775270, CON UN PESO DE 5.200KGS,CON DESTINO A LA CIUDAD DE COMODORO RIVADAVIA, LA MISMA SE ENCUENTRA AMPARADA EN GUIA AEREA Nº 9291516-3. LA RETENCION SE REALIZA ANTE LA PRESUNCION DE QUE PUDIERA CONTENER ALGUN ELEMENTO EN INFRACION AL CODIGO ADUADERO LEY 22.415 Y/O A LA LEY 23.737, LA MISMA QUEDAN EN GUARDA EN ESTA UNIDAD, Y SE ENCUENTRA CERRADA Y PRECINTADA,SE INFORMO TELEFONICAMENTE AL JUZGADO INTERVINIENTE. LA APERTURA DE LA MISMA SE REALIZARA CON LA AUTORIZACION DEL MAGISTRADO ACTUANTE. CON CONOCIMIENTO DEL JUOSP</t>
  </si>
  <si>
    <t>SIENDO LAS 21 30 HS HACE EL ARRIBO EN EL AVION T-01 LA SRA. PRESIDENTA DE LA NACION, PARTIENDO LA MISMA DE LA AEROESTACION MILITAR A LAS 21 35 HS HACIA QUINTA DE OLIVOS EN EL HELICOPTERO H-03, SIN NOVEDAD.</t>
  </si>
  <si>
    <t>Juzgado Nacional en lo Penal Económico Nº 03</t>
  </si>
  <si>
    <t>Caputo</t>
  </si>
  <si>
    <t>Rafael</t>
  </si>
  <si>
    <t>DRA. MIRTA CAMPOS TULA</t>
  </si>
  <si>
    <t>TENTATIVA CONTRABANDO DE ESTUPEFACIENTES</t>
  </si>
  <si>
    <t>HALL DE PARTIDAS</t>
  </si>
  <si>
    <t>DANDO CUMPLIMENTO A LA ORDEN DE SERVICIO NUMERO 430/2009, PERSONAL POLICIAL, QUIENES SE ENCONTRABAN REALIZANDO UNA RECORRIDA POR EL HALL, OBSERVAN A UNA PERSONA, QUIEN ESTABA REALIZANDO LA FILA PARA EL CHEEK IN DEL VUELO DE LA COMPAÑIA DE MENCION, LA CUAL AL DIVISAR AL PERSONAL DE ADUANA TRABAJANDO POR EL SECTOR, TOMA UNA ACTITUD NERVIOSA Y SE RETIRA DEL LUGAR, SITUACION QUE ES VISTA POR EL PEROSNAL POLICIAL. QUE ANTE ESTE EVENTO, INTERCEPTAN AL PASAJERO EN LA PERGOLA DE PARTIDAS DEL A. SEGUIDAMENTE, SE PROCEDE A IDENTIFICAR A LA PERSONA Y EN POSTERIOR SE LO INVITA AL TURNO DE PREVENCION. QUE UNA VEZ PRESENTE EN LA GUARDIA, Y PREVIA AUTORIZACION JUDICIAL, SE TRASLADA A LA PERSONA AL HOSPITAL DE EZEIZA A LOS EFECTOS DE REALIZAR PLACAS RADIOGRAFICAS TENDIENTES A DETERMINAR LA POSIBLE INGESTA DE CUERPOS EXTRAÑOS. QUE SIENDO LAS 18 30 HS SE RECIBE COMUNICACION TELEFONICA DEL PERSONAL POLICIAL COMISIONADO EN EL HOSPITAL, INFORMANDO QUE ARROJO COMO RESULTADO POSITIVO LA PRESENCIA DE INGESTA DE CUERPOS EXTRAÑOS. QUEDANDO ALOJADO EN ESE HOSPITAL AGUARDANDO LA EXPULSION DE LOS MISMOS.SE AMPLIARA EL PRESENTE PARTE EN LA PRIMERA DEPOSICION.- /////////////////////////// SEGUN AMPLIACION 309 SE INFORMA QUE EN EL DÍA DE LA FECHA EL DETENIDO EN AUTOS STRUMPHER JOHAN WILHELM, DOCUMENTO: A00039510 SITUACIÓN JUDICIAL: DETENIDO INCOMUNICADO, SEXO: MASCULINO, ESTADO CIVIL: SOLTERO, FECHA DE NACIMIENTO: 01/03/1984, NACIONALIDAD: SUDAFRICANA, OCUPACIÓN: DESOCUPADO, FECHA DE INGRESO AL PAIS: 10/01/2010, DIRECCIÓN: STREET 33, BROADWAY FLATS, STRAND - CAPTOWN - SUDAFRICA, OTRA DIRECCIÓN: HOTEL COSME, SITO EN CALLE BRASIL 921/923, C.A.B.A., EFECTÚO LAS SIGUIENTES DEPOSICIONES VÍA RECTALES, SIENDO ESTAS, LA PRIMERA REALIZADA A LAS 07.00 HS, CON UN TOTAL DE 12 CAPSULAS Y UN PESO TOTAL DE 136 GRAMOS, LA SEGUNDA A LAS 09.00 HS CON UN TOTAL DE 5 CAPSULAS, CON UN PESO TOTAL DE 60 GRAMOS, Y LA TERCERA A LAS 10.00 HS, CON UN TOTAL DE 5 CAPSULAS, CON UN PESO TOTAL DE 56 GRAMOS, LA CUARTA DEPOSICIÓN VÍA RECTAL, SIENDO ESTA REALIZADA A LAS 11.00 HS, CON UN TOTAL DE 1 CAPSULA Y UN PESO TOTAL DE 12 GRAMOS, LA QUINTA DEPOSICIÓN A LAS 15.30 HS CON UN TOTAL DE 5 CAPSULAS, CON UN PESO TOTAL DE 54 GRAMOS, Y LA SEXTA DEPOSICIÓN A LAS 17.15 HS, CON UN TOTAL DE 2 CAPSULAS, CON UN PESO TOTAL DE 22 GRAMOS. SE AMPLIARA CON LA SIGUIENTE DEPOSICIÓN.- ASIMISMO INFORMO QUE LOS DATOS DEL DETENIDO DE MENCION SON INTRODUCIDOS EN EL PRESENTE CAMPO, DEBIDO A QUE EL SITEMA DE CONTROL POLICIAL, CUANDO UNO DESEA AMPLIAR UN PARTE URGENTE NO CUENTA CON EL CAMPO DONDE SE DEBEN INTRODUCIR LOS DATOS DEL DETENIDO. DEL MISMO MODO INFORMO QUE EL PARTE URGENTE 304/10 NO SE PUDO EDITAR DEBIDO A QUE EN LA ETAPA FINAL DONDE SE CONFIRMA LA CARGA DEL MISMO EL SISTEMA MARCA EL SIGUIENTE ERROR: ERROR EN LA ACTUALIZACION DE SP_UPDATE _NARCOTRAFICO_DELITO. ERRORINCORRECT NUMBER OF ARGUMENTS FOR PROCEDURE SICOPOL.SP_ UPDATE_NARCOTRAFICO _ DELITO; EXPECTED 5, GOT 4 ///////////////////////SEGUN AMPLIACION 316 SE INFORMA QUE EN EL DÍA DE LA FECHA EL DETENIDO EN AUTOS STRUMPHER JOHAN WILHELM, DOCUMENTO: A00039510 SITUACIÓN JUDICIAL: DETENIDO INCOMUNICADO, SEXO: MASCULINO, ESTADO CIVIL: SOLTERO, FECHA DE NACIMIENTO: 01/03/1984, NACIONALIDAD: SUDAFRICANA, OCUPACIÓN: DESOCUPADO, FECHA DE INGRESO AL PAIS: 10/01/2010, DIRECCIÓN: STREET 33, BROADWAY FLATS, STRAND - CAPTOWN - SUDAFRICA, OTRA DIRECCIÓN: HOTEL COSME, SITO EN CALLE BRASIL 921/923, C.A.B.A., EFECTÚO LAS SIGUIENTES DEPOSICIONES VÍA RECTALES, SIENDO ESTAS DEPOSICION N° 07, 19/01/2010 HORA 0300 HS, 01 CAPSULA, PESO 12 GRAMOS. DEPSICION N° 08, 19/01/2010 0710 HS, 03 CAPSULAS, PESO 36 GRAMOS, DEPSICION N° 09, 19/01/2010 0840 HS, 07 CAPSULAS, PESO OCHENTA GRAMOS. ASIMISMO INFORMO QUE LOS DATOS DEL DETENIDO DE MENCION SON INTRODUCIDOS EN EL PRESENTE CAMPO, DEBIDO A QUE EL SITEMA DE CONTROL POLICIAL, CUANDO UNO DESEA AMPLIAR UN PARTE URGENTE NO CUENTA CON EL CAMPO DONDE SE DEBEN INTRODUCIR LOS DATOS DEL DETENIDO.//////////////////////////SEGUN AMPLIACION SE INFORMA QUE EN EL DÍA DE LA FECHA EL DETENIDO EN AUTOS STRUMPHER JOHAN WILHELM, DOCUMENTO: A00039510 SITUACIÓN JUDICIAL: DETENIDO INCOMUNICADO, SEXO: MASCULINO, ESTADO CIVIL: SOLTERO, FECHA DE NACIMIENTO: 01/03/1984, NACIONALIDAD: SUDAFRICANA, OCUPACIÓN: DESOCUPADO, FECHA DE INGRESO AL PAIS: 10/01/2010, DIRECCIÓN: STREET 33, BROADWAY FLATS, STRAND - CAPTOWN - SUDAFRICA, OTRA DIRECCIÓN: HOTEL COSME, SITO EN CALLE BRASIL 921/923, C.A.B.A., EFECTÚO LAS SIGUIENTES DEPOSICIONES VÍA RECTALES, SIENDO ESTAS DEPOSICION N° 10, 19/01/2010 HORA 1110 HS, 03 CAPSULA, PESO 34 GRAMOS. DEPSICION N° 11, 19/01/2010 1800 HS, 01 CAPSULAS, PESO 14 GRAMOS. ASIMISMO INFORMO QUE LOS DATOS DEL DETENIDO DE MENCION SON INTRODUCIDOS EN EL PRESENTE CAMPO, DEBIDO A QUE EL SITEMA DE CONTROL POLICIAL, CUANDO UNO DESEA AMPLIAR UN PARTE URGENTE NO CUENTA CON EL CAMPO DONDE SE DEBEN INTRODUCIR LOS DATOS DEL DETENIDO.///////////////SEGUN AMPLIACION PU 347 SE DA DE ALTA AL IMPUTADO Y SE LO TRASLADA A LA GUARDIA PREVENTIVA/////////////SEGUN PU 357 DE FECHA 21/03/2010 SE TRASLADA A LA SEDE JUDICIAL AL IMPUTADO //////////////////////SEGUN PU 416 LA DC1 COMIENZA CON TAREAS INVESTIGATIVAS.</t>
  </si>
  <si>
    <t>SOUTH AFRICAN AIRWAYS</t>
  </si>
  <si>
    <t>EZEIZA - BUENOS AIRES</t>
  </si>
  <si>
    <t>Sudáfrica</t>
  </si>
  <si>
    <t>JOHANNESBURGO</t>
  </si>
  <si>
    <t>NAC. EN LO PENAL ECONOMICO Nº 3</t>
  </si>
  <si>
    <t>Secretaria N 05</t>
  </si>
  <si>
    <t>DRA. SANDRA GOÑI.-</t>
  </si>
  <si>
    <t>DANDO CUMPLIMENTO A LA ORDEN DE SERVICIO 430/2009, PERSONAL POLICIAL ASIGNADO A DICHA TAREA, EN UNA RECORRIDA POR EL HALL DE SALIDA, OBSERVAN A UNA PERSONA, QUIEN SE ENCONTRABA REALIZANDO EL CHEEK IN DEL VUELO DE MENCION CON ESTADO DE NERVIOSISMO, SUDOROSO Y MIRANDO EN DIVERSAS DIRECCIONES, MOTIVO POR EL CUAL, SE PROCEDE A IDENTIFICAR AL PASAJERO. QUE ANTE ESTE ACONTECIMIENTO EL PASAJERO VACILA Y EVADE LAS PREGUNTAS REALIZADAS POR EL PERSONAL POLICIAL. SEGUIDAMENTE, SE INVITA AL MISMO A LA GUARDIA DE PREVENCION Y PREVIA AUTORIZACION JUDICIAL, SE PROCEDE AL TRASLADO DEL PASAJERO AL HOSPITAL ZONAL DE EZEIZA A LOS EFECTOS DE REALIZAR PLACAS RADIOGRAFICAS TENDIENTES A DETERMINAR LA POSIBLE INGESTA DE CUERPOS EXTRAÑOS. QUE SIENDO LAS 18 30 HS, SE RECIBE COMUNICACION POR PARTE DEL PERSONAL COMISIONADO EN EL HOSPITAL, INFORMANDO QUE ARROJO RESULTADO NEGATIVO CON RESPECTO A LA INGESTA DE SUSTANCIAS PROHIBIDAS. MOTIVO POR EL CUAL, UNA VEZ EN ESTA AEROSTACION, Y REQUIZADO TANTO SU PERSONA COMO SUS PERTENENCIAS, LAS CUALES ARROJARON, EN AMBOS CASOS NEGATIVO, CON RESPECTO A LA PRESENCIA DE SUSTANCIA ESTUPEFACIENTE, EL PASAJERO SE RETIRA DE ESTA DEPENDENCIA POLICIAL, POR SUS PROPIOS MEDIOS Y CONFORME CON LOS TRATOS RECIBIDOS. SE LABRA ACTA DEJANDO CONSTANCIA DE LO SUCEDIDO, LA CUAL SERA ELEVADA A SEDE JUDICIAL EL DIA 18 DEL CORRIENTE MES Y AÑO.-</t>
  </si>
  <si>
    <t>MALAYSIA</t>
  </si>
  <si>
    <t>MH 202</t>
  </si>
  <si>
    <t>EZEIZA - BS. AS.</t>
  </si>
  <si>
    <t>Contra la Libertad</t>
  </si>
  <si>
    <t>PENAL CONTRAVENCIONAL Y DE FALTAS Nº 24</t>
  </si>
  <si>
    <t>SECRETARIA UNICA</t>
  </si>
  <si>
    <t>DOTI</t>
  </si>
  <si>
    <t>Maria Alejandra</t>
  </si>
  <si>
    <t>DRA ANALIA ZAMBINI LEDESMA</t>
  </si>
  <si>
    <t>AMENAZAS</t>
  </si>
  <si>
    <t>DOMICILIO PARTICULAR DE LA DENUNCIANTE</t>
  </si>
  <si>
    <t>EN EL DIA DE LA FECHA, SIENDO LAS 1145 HORAS APROXIMADAMENTE, LA DENUNCIATE RECIBE EN SU CELULAR UN LLAMADO TELEFONICO CON IDENTIFICACION DE ABONADO BLOQUEADO DESDE DONDE RECIBIO UNA SERIES DE AMENZAS DE UNA PERSONA DE SEXO MASCULINO A LA CUAL NO RECONOCE O ES SIMILAR A LAS PERSONAS QUE ELLA CONOCE Y SUPONE QUE ESE HECHO SE ENCUENTRA RELACIONADO A QUE ELLA PERTENECE A LA ASOCIACION DE CONTROLADORES AEREOS. SIENDO LAS 2220 HORAS SE REALIZA COMUNICACION TELEFONICA CON LA JUDICATURA ACTUANTE QUIEN DISPONE QUE LA DENUNCIANTE SE ACERQUE HASTA ESA SEDE JUDICIAL CON EL EQUIPO DE COMUNICACION TELEFONICO, CIERRE Y ELEVACION DE LO ACTUADO.</t>
  </si>
  <si>
    <t>DRA. ANALIA ZAMBINI LEDESMA</t>
  </si>
  <si>
    <t>PARA DE TAXIMETROS Y REMISES</t>
  </si>
  <si>
    <t>SIENDO LA HORA 2225 DEL DIA DE LA FECHA EL DENUNCIANTE SE HACE PRESENTE JUNTO A SU PAREJA LA SRITA CYNTHIA ANABELLA AQUINO, DEBIDO A QUE DEBIAN RECOGER AL HERMANO DE ESTA ULTIMA EN EL SECTOR ARRIBOS A2 DE ESTE AEROPUERTO. DEBIDO AL CONGESTIONAMIENTO VEHICULAR EXISTENTE EN EL LUGAR, SE DETIENEN EN ESPERANDO QUE EGRESE UN VEHICULO REIMIS QUE SE ENCONTRABA ESTACIONADO CUANDO UNA PERSONA DE SEXO MASCULINO, DE APROXIMADAMENTE 60 AÑOS DE EDAD , DE PELO ENTRECANO,GOLPEA CON UNA DE SUS MANOS EL CAPOT DEL VEHICULO HACIENDO SEÑAS DE QUE SE RETIREN DEL LUGAR. EL DENUNCIANTE DESCIENDE DEL VEHICULO Y SIN MEDIAR OTRA ACCION ALGUNA ESTA PERSONA DE PELO ENTRECANO AMENZA CON AGREDIRLO FISICAMENTE. INMEDIATAMENTE SE HACE PRESENTE EN EL LUGAR PERSONAL DE ESTA UOSP CON TAREAS DE CONTROL DE TRANSITO VEHICULAR, INFOMANDO AL DENUNCIANTE DONDE RADICAR LA DENUNCIA DEL HECHO.</t>
  </si>
  <si>
    <t>270/10</t>
  </si>
  <si>
    <t>SE PROCEDE A LA APERTURA DE TRES SACAS DEL CORREO OFICIAL EN PRESENCIA DE UN TESTIGO HABIL. LA 1ª SLA0171600E555900RGA PRECINTO Nº B802360 CONTIENE UN PIEZA IDENTIFICADA COMO EP703563906AR QUE QUEDA RETENIDA. LA 2ª SLA0163131D555900RGA PRECINTO Nº B802392 CONTIENE DOS PIEZAS IDENTIFICADAS COMO EP722138115AR Y EP722138138AR QUE QUEDAN RETENIDAS. LA 3ª SLA0162058D343400MDZ PRECINTO Nº B802393 CONTIENE UN PIEZA IDENTIFICADA COMO EP680438797AR. LAS ENCOMIENDAS QUEDAN EN GUARDA EN EL DEPOSITO JUDICIAL DE ESTA UOSO A LA ESPERA DEL OFICIO JUDICIAL QUE AUTORICE SU APERTURA. CON CONOCIMIENTO JUOSP.</t>
  </si>
  <si>
    <t>BS. AS.</t>
  </si>
  <si>
    <t>286/10</t>
  </si>
  <si>
    <t>SE PROCEDE A LA APERTURA DE UNA SACA COLECTORA DEL CORREO OFICIAL EN PRESENCIA DE UN TESTIGO HABIL. LA SACA SLA0172807E555600CRD PRECINTO Nº B775270 CONTIENE UN PIEZA IDENTIFICADA COMO EP703562239AR QUE QUEDA RETENIDA. LA MISMA PERMANECE EN EL DEPOSITO JUDICIAL DE ESTA UOSP A LA ESPERA DEL OFICIO JUDICIAL QUE AUTORICE SU APERTURA. CON CONOCIMIEMNTO DEL JUOSP.</t>
  </si>
  <si>
    <t>CERVERA, MARIANA</t>
  </si>
  <si>
    <t>ANDRADE AMPUERO ARMANDO Y FLORES CARRASCO ANGEL MOISES, EXPULSION DEL TERRITORIO NACIONAL C/ PROHIBICION PERMANENTE DE REINGRESO</t>
  </si>
  <si>
    <t>EPTE. 2157/08</t>
  </si>
  <si>
    <t>PREEMBARQUE INTERNACIONAL, PUERTA Nº 3</t>
  </si>
  <si>
    <t>PERSONAL DE SEGURIDAD PREVENTIVA DE LA UOSP SALTA REALIZA CUSTODIA DE LOS EXPULSADOS AMPUERO ANDRADE Y FLORES CARRASCO, LA MISMA FUE SOLICITADA POR PERSONAL DE MIGRACIONES DELEGACION SALTA. LA CUSTODIA SE DESARROLLO SIN NOVEDAD HASTA EL MOMENTO DE SU PARTIDA. CON CONOCIMIENTO JUOSP.</t>
  </si>
  <si>
    <t>STA. CRUZ DE LA SIERRA</t>
  </si>
  <si>
    <t>SECRETARIA PENAL N° 2</t>
  </si>
  <si>
    <t>AVERIGUACION FALSIFICACION</t>
  </si>
  <si>
    <t>INTERPOL</t>
  </si>
  <si>
    <t>UOSP IGUAZU</t>
  </si>
  <si>
    <t>PUERTA DE EMBARQUE Nª 2</t>
  </si>
  <si>
    <t>SIENDO LAS 1400 HS EN CONTROL RUTINARIO EN CONJUNTO CON PERSONAL POLICIA FEDERAL ARGENTINA INTERPOL SE DETECTA EL PEDIDO DE CAPTURA VIGENTE DEL CIUDADANO ARGENTINO FERNANDEZ JUAN CARLOS DE FECHA 09/11/1992 REQUERIDO POR EL JUZGADO FEDERAL ANTES MENCIONADO QUIEN ENTERADO DE LOS HECHOS ORDENA SE PROCEDA A NOTIFICAR AL CAUSANTE QUIEN SE PRESENTARA EL PRIMER DIA HABIL DE FEBRERO Y QUE PROSIGA VIAJE</t>
  </si>
  <si>
    <t>ANDES</t>
  </si>
  <si>
    <t>GENDARMERIA NACIONAL</t>
  </si>
  <si>
    <t>PLANTA BAJA DE AEROESTACION</t>
  </si>
  <si>
    <t>PLATAFORMA OPERATIVA Y SECTOR PUBLICO</t>
  </si>
  <si>
    <t>SE CUMPLIMENTA ORDEN DE SERVICIO Nº 002/10 BRINDANDO SEGURIDAD Y COLABORACION AL VUELO ESPECIAL DE GENDARMERIA NACIONAL, AERONAVE PC-12 MATRICULA GN-810, QUE TRANSPORTABA LOS RESTOS DEL CABO 1RO GUSTAVO GOMEZ DE 33 AÑOS DE EDAD, QUIEN FUE VICTIMA DEL TERREMOTO EN HAITI, SIENDO LAS CATORCE HORAS CON QUINCE MINUTOS SE RETIRA LA COMITIVA DE ESTA JURISDICCION SIN NOVEDAD.</t>
  </si>
  <si>
    <t>GN-810</t>
  </si>
  <si>
    <t>POSADAS-MISIONES</t>
  </si>
  <si>
    <t>ESTAFA</t>
  </si>
  <si>
    <t>COSTANERA FRENTE A SECTOR A DE ESTE AEROPUERTO</t>
  </si>
  <si>
    <t>AV RAFAEL OBLIGADO S/N</t>
  </si>
  <si>
    <t>EN EL DIA DE LA FECHA SIENDO LAS 11.00 HS, SE HACE PRESENTE EN ESTA GUARDIA EL SR RURY GUERRA QUIEN DESEA RADICAR UNA DENUNCIA POR UN HECHO DELICTIVO, INDICANDO QUE SIENDO APROXIMADAMENTE LAS 10.00HS ARRIBA A LA COSTANERA NORTE UBICADA FRENTE A ESTA AEROESTACION, PROCEDENTE DEL AEROPUERTO INTERNACIONAL MINISTRO PISTARINI EN UN VEHICULO TAXÍMETRO DEL CUAL NO RECUERDA, MARCA, MODELO Y DOMINIO. ALLÍ EL CHOFER LE INDICÓ QUE DEBERÍA ABONAR LA SUMA DE CIENTO VEINTE PESOS ARGENTINOS, POR LO CUAL EL DENUNCIANTE LE ENTREGÓ UN BILLETE DE CIEN PESOS Y UN BILLETE DE VEINTE PESOS. RÁPIDAMENTE EL CHOFER LE INFORMÓ QUE EL BILLETE DE CIEN PESOS ENTREGADO NO ERA BUENO, POR LO CUAL LE SOLICITÓ OTRO BILLETE DE LA MISMA SUMA, DEVOLVIÉNDOSELO, REPITIENDOSE NUEVAMENTE DICHA MANIOBRA CON EL NUEVO BILLETE. FINALMENTE, EL DAMNIFICADO DESCIENDE DEL TAXÍMETRO, CRUZA LA AVENDIDA RAFAEL OBLIGADO E INGRESA A ESTE AEROPUERTO. LUEGO DE REALIZAR UNA CONSUMICION EN EL PATIO DE COMIDAS Y AL PRETENDER ABONAR LA CUENTA LA CAMARERA LE INFORMO QUE LOS BILLETES SON FALSOS. MOTIVO POR EL CUAL RADICA ESTA DENUNCIA PENAL.</t>
  </si>
  <si>
    <t>EN EL DIA DE LA FECHA SE HACE PRESENTE LA SRA ZULETA A LOS EFECTOS DE DENUNCIAR EL EXTRAVIO DE UN PERMISO PERSONAL DE SEGURIDAD AEROPORTUARIO A NOMBRE DE LA SUSODICHA. MOTIVO POR EL CUAL SE CONFECCIONA EL ACTA Nº 030/10.-</t>
  </si>
  <si>
    <t>290/10</t>
  </si>
  <si>
    <t>SE INFORMA QUE EN EL DÍA DE LA FECHA EL DETENIDO EN AUTOS STRUMPHER JOHAN WILHELM, DOCUMENTO: A00039510 SITUACIÓN JUDICIAL: DETENIDO INCOMUNICADO, SEXO: MASCULINO, ESTADO CIVIL: SOLTERO, FECHA DE NACIMIENTO: 01/03/1984, NACIONALIDAD: SUDAFRICANA, OCUPACIÓN: DESOCUPADO, FECHA DE INGRESO AL PAIS: 10/01/2010, DIRECCIÓN: STREET 33, BROADWAY FLATS, STRAND - CAPTOWN - SUDAFRICA, OTRA DIRECCIÓN: HOTEL COSME, SITO EN CALLE BRASIL 921/923, C.A.B.A., EFECTÚO LAS SIGUIENTES DEPOSICIONES VÍA RECTALES, SIENDO ESTAS, LA PRIMERA REALIZADA A LAS 07.00 HS, CON UN TOTAL DE 12 CAPSULAS Y UN PESO TOTAL DE 136 GRAMOS, LA SEGUNDA A LAS 09.00 HS CON UN TOTAL DE 5 CAPSULAS, CON UN PESO TOTAL DE 60 GRAMOS, Y LA TERCERA A LAS 10.00 HS, CON UN TOTAL DE 5 CAPSULAS, CON UN PESO TOTAL DE 56 GRAMOS, LA CUARTA DEPOSICIÓN VÍA RECTAL, SIENDO ESTA REALIZADA A LAS 11.00 HS, CON UN TOTAL DE 1 CAPSULA Y UN PESO TOTAL DE 12 GRAMOS, LA QUINTA DEPOSICIÓN A LAS 15.30 HS CON UN TOTAL DE 5 CAPSULAS, CON UN PESO TOTAL DE 54 GRAMOS, Y LA SEXTA DEPOSICIÓN A LAS 17.15 HS, CON UN TOTAL DE 2 CAPSULAS, CON UN PESO TOTAL DE 22 GRAMOS. SE AMPLIARA CON LA SIGUIENTE DEPOSICIÓN.- ASIMISMO INFORMO QUE LOS DATOS DEL DETENIDO DE MENCION SON INTRODUCIDOS EN EL PRESENTE CAMPO, DEBIDO A QUE EL SITEMA DE CONTROL POLICIAL, CUANDO UNO DESEA AMPLIAR UN PARTE URGENTE NO CUENTA CON EL CAMPO DONDE SE DEBEN INTRODUCIR LOS DATOS DEL DETENIDO. DEL MISMO MODO INFORMO QUE EL PARTE URGENTE 304/10 NO SE PUDO EDITAR DEBIDO A QUE EN LA ETAPA FINAL DONDE SE CONFIRMA LA CARGA DEL MISMO EL SISTEMA MARCA EL SIGUIENTE ERROR: ERROR EN LA ACTUALIZACION DE SP_UPDATE _NARCOTRAFICO_DELITO. ERRORINCORRECT NUMBER OF ARGUMENTS FOR PROCEDURE SICOPOL.SP_ UPDATE_NARCOTRAFICO _ DELITO; EXPECTED 5, GOT 4</t>
  </si>
  <si>
    <t>FISCALIA FEDERAL DE PRIMERA INSTANCIA DE LA CIUDAD DE EL DORADO MNES IGUAZU</t>
  </si>
  <si>
    <t>CASALS</t>
  </si>
  <si>
    <t>JOSE LUIS</t>
  </si>
  <si>
    <t>DRA. VALLE RUIDIAZ VILMA CELIA</t>
  </si>
  <si>
    <t>GIMENEZ QUINTANA VICTOR BONIFACIO S/TRANSPORTE DE ESTUPEFACIENTES</t>
  </si>
  <si>
    <t>EXPEDIENTE Nº A-714/09</t>
  </si>
  <si>
    <t>TRANSPORTE DE ESTUPEFACIENTE</t>
  </si>
  <si>
    <t>TRANSPORTE DE ESTUOEFACIENTE</t>
  </si>
  <si>
    <t>INFORMO QUE EN EL DIA DE LA FECHA Y AMPLIANDO PARTES URGENTES NRO 208/09, 212/09, 225/09, 235/09, 236/09, EN CUMPLIMIENTO A OFICIO NRO 2.217/09, SE PROCEDIO A LA ENTREGA AL PERSONAL DEL SEVICIO PENITENCIARIO FEDERAL DEL CIUDADANO GIMENEZ QUINTANA VICTOR BONIFACIO, QUIEN SE ENCONTRABA DETENIDO Y ALOJADO EN ESTA U.O.S.P., POSTERIORMENTE TRASLADADO A LA U.R.S.A V. DE POLICIA DE MISIONES, SEGUN OFICIO NRO 2.173/09 Y 2.175/09.</t>
  </si>
  <si>
    <t>DRA. VALLERUIDIAZ VILMA CELIA</t>
  </si>
  <si>
    <t>PALACIOS OCAMPO VICTOR ARIEL S/CONTRABANDO DE IMPORTACION DE ESTUPEFACIENTE Y TRANSPORTE DE ESTUPEFACIENTE EN CONCURSO IDEAL</t>
  </si>
  <si>
    <t>EXPEDIENTE NRO A-733/09</t>
  </si>
  <si>
    <t>INFORMO QUE EN EL DIA DE LA FECHA AMPLIANDO PARTES URGENTES NRO 214/09, 215/09, 219/09, 221/09, 228/09, EN CUMPLIMIENTO DE OFICIO NRO 3.024/09, SE PROCEDE A LA ENTREGA AL PERSONAL DEL SERVICIO PENITENCIARIO FEDERAL DEL CIUDADANO PALACIOS OCAMPO VICTOR ARIEL, QUIEN SE ENCONTRABA DETENIDO Y.ALOJADO EN ESTA U.O,S.P., POSTERIORMENTE TRASLADADO A LA U.R.S.A. V. DE POLICIA DE MISIONES SEGUN OFICIO NRO 3.026/09</t>
  </si>
  <si>
    <t>UFI N° 6</t>
  </si>
  <si>
    <t>Cubas</t>
  </si>
  <si>
    <t>Paulo</t>
  </si>
  <si>
    <t>EN EL DIA DE LA FECHA SIENDO LAS 22.30 HORAS SE HACE PRESENTE EN LA OFICINA DE TURNO PSA EL SR RICARDO ALEJANDRO BOLINCHES PARA RADICAR UNA DENUNCIA SOBRE LA SUSTRACCION POR DESCONOCIDO DE SU EQUIPAJE DE MANO EL CUAL CONSTA DE UNA MOCHILA NEGRA CONTENIENDO EN SU INTERIOR DOCUMENTACION, EFECTOS PERSONALES Y DINERO, LA MISMA LE HABRIA SIDO SUSTRAIDA SEGUN SUS DICHOS DE UNA SILLA DEL HALL CENTRAL EN EL INSTANTE QUE DICHA PERSONA SE ALEJO MOMENTANEAMENTE DEL LUGAR.</t>
  </si>
  <si>
    <t>AU 2611</t>
  </si>
  <si>
    <t>DR. LUIS DABONDIO</t>
  </si>
  <si>
    <t>INFRACCION AL ART. 175 DEL CPN</t>
  </si>
  <si>
    <t>PUESTO FIJO UNO</t>
  </si>
  <si>
    <t>QUE EN MOMENTOS DE REALIZARSE EL CONTROL DE RUTINA DE SALIDA DE LA ZONA RESTRINGIDA DEL PERSONAL AEROPORTUARIO, SE HACE PRESENTE UN PERSONAL DE LA EMPRESA H.A.S., QUIEN DEPOSITA SU MOCHILA EN EL INTERIOR DE LA MAQUINA DE RAYOS X DONDE SE LOGRA OSBSERVAR UN FRASCO DE PERFUME EL CUAL NO HABIA SIDO DECLARADO AL MOMENTO DEL INGRESO. MANIFESTANDO EL PERSONAL DE H.A.S, QUE LO HABIA ENCONTRADO EN EL INTERIOR DE UNA AERONAVE. QUE MANTENIDA COMUNICACION TELEFONICA CON EL JUZGADO INTERVINIENTE EL MISMO DISPUSO LA DETENCION DEL CAUSANTE EN CARACTER DE COMUNICADO HASTA TANTO SE OBTENGAN LOS RESULTADOS DE REINCIDENCIA Y DETERMINE QUE EL CAUSANTE NO POSEE IMPEDIMENTOS LEGALES. QUE UNA VEZ OBTENIDOS LOS RESULTADOS SE PROCEDE A LA LIBERACION DEL CAUSANTE, QUIEN SE RETIRA DE ESTA DEPENDENCIA POLICIAL POR SUS PROPIOS MEDIOS.</t>
  </si>
  <si>
    <t>309/10</t>
  </si>
  <si>
    <t>SE INFORMA QUE EN EL DÍA DE LA FECHA EL DETENIDO EN AUTOS STRUMPHER JOHAN WILHELM, DOCUMENTO: A00039510 SITUACIÓN JUDICIAL: DETENIDO INCOMUNICADO, SEXO: MASCULINO, ESTADO CIVIL: SOLTERO, FECHA DE NACIMIENTO: 01/03/1984, NACIONALIDAD: SUDAFRICANA, OCUPACIÓN: DESOCUPADO, FECHA DE INGRESO AL PAIS: 10/01/2010, DIRECCIÓN: STREET 33, BROADWAY FLATS, STRAND - CAPTOWN - SUDAFRICA, OTRA DIRECCIÓN: HOTEL COSME, SITO EN CALLE BRASIL 921/923, C.A.B.A., EFECTÚO LAS SIGUIENTES DEPOSICIONES VÍA RECTALES, SIENDO ESTAS DEPOSICION N° 07, 19/01/2010 HORA 0300 HS, 01 CAPSULA, PESO 12 GRAMOS. DEPSICION N° 08, 19/01/2010 0710 HS, 03 CAPSULAS, PESO 36 GRAMOS, DEPSICION N° 09, 19/01/2010 0840 HS, 07 CAPSULAS, PESO OCHENTA GRAMOS. ASIMISMO INFORMO QUE LOS DATOS DEL DETENIDO DE MENCION SON INTRODUCIDOS EN EL PRESENTE CAMPO, DEBIDO A QUE EL SITEMA DE CONTROL POLICIAL, CUANDO UNO DESEA AMPLIAR UN PARTE URGENTE NO CUENTA CON EL CAMPO DONDE SE DEBEN INTRODUCIR LOS DATOS DEL DETENIDO.</t>
  </si>
  <si>
    <t>EL DIA LUNES 18 DEL CORRIENTE MES EN HORAS DE LA TARDE, EL SEÑOR JAVIER OSVALDO CUBILLOS, DNI Nº 25.956.860, EN EL SECTOR DE PLATAFORMA, EXTRAVIA UN PERMISO DE SEGURIDAD TEMPORAL Nº INTERNO 106 CON VENCIMIENTO EL 30/01/2010</t>
  </si>
  <si>
    <t>316/10</t>
  </si>
  <si>
    <t>SE INFORMA QUE EN EL DÍA DE LA FECHA EL DETENIDO EN AUTOS STRUMPHER JOHAN WILHELM, DOCUMENTO: A00039510 SITUACIÓN JUDICIAL: DETENIDO INCOMUNICADO, SEXO: MASCULINO, ESTADO CIVIL: SOLTERO, FECHA DE NACIMIENTO: 01/03/1984, NACIONALIDAD: SUDAFRICANA, OCUPACIÓN: DESOCUPADO, FECHA DE INGRESO AL PAIS: 10/01/2010, DIRECCIÓN: STREET 33, BROADWAY FLATS, STRAND - CAPTOWN - SUDAFRICA, OTRA DIRECCIÓN: HOTEL COSME, SITO EN CALLE BRASIL 921/923, C.A.B.A., EFECTÚO LAS SIGUIENTES DEPOSICIONES VÍA RECTALES, SIENDO ESTAS DEPOSICION N° 10, 19/01/2010 HORA 1110 HS, 03 CAPSULA, PESO 34 GRAMOS. DEPSICION N° 11, 19/01/2010 1800 HS, 01 CAPSULAS, PESO 14 GRAMOS. ASIMISMO INFORMO QUE LOS DATOS DEL DETENIDO DE MENCION SON INTRODUCIDOS EN EL PRESENTE CAMPO, DEBIDO A QUE EL SITEMA DE CONTROL POLICIAL, CUANDO UNO DESEA AMPLIAR UN PARTE URGENTE NO CUENTA CON EL CAMPO DONDE SE DEBEN INTRODUCIR LOS DATOS DEL DETENIDO.</t>
  </si>
  <si>
    <t>DANDO CUMPLIMIENTO A ORDEN DE SERVICIO NRO 05/2010 Y SIENDO LAS 2045 HORA LOCAL ARRIBA AERONAVE M.D. MATRICULA LV-BGZ DE LA EMPRESA AUSTRAL LINEAS AEREAS PROCEDENTE DE AEROPUERTO JORGE NEWBERY EN CUYA BODEGA 5 SE DESPECHAN CON DESTINO A AEROPUERTO JORGE NEWBERY 34 PIEZAS CON UN PESO BRUTO DE 750 KILOGRAMOS DE METAL -MTD- PERTENECIENTES A LA EMPRESA MINERA TRITON S.A. DESPEGA A LAS 2143 SIN NOVEDAD.</t>
  </si>
  <si>
    <t>AU 2831</t>
  </si>
  <si>
    <t>SECRETARIA Nº 55</t>
  </si>
  <si>
    <t>DRA. EUN YOUNGLIM</t>
  </si>
  <si>
    <t>BAÑO DE HOMBRES FRENTE A LAS PUERTA DE EMBARQUE Nº 12</t>
  </si>
  <si>
    <t>SECTOR RESTRINGIDO DEL PREEMBARQUE NACIONAL TERMINAL TRES PRIMER PISO</t>
  </si>
  <si>
    <t>SIENDO LAS 2025 HORAS SE RECIBE COMUNICACION POR PARTE DEL ENCARGADO DEL PREEMBARQUE NACIONAL TERMINAL III QUIEN INFORMA QUE EN EL SECTOR DEL BAÑO DE HOMBRES UN PASAJERO DE SEXO MASCULINO SE OLVIDO EN EL LAVAMANOS SU TELEFONO CELULAR MARCA NOKIA COLOR GRIS POR LO QUE AL REGRESAR AL BAÑO LUEGO DE UNOS INSTANTES HACE SONAR DICHO APARATO CON OTRO TELEFONO CELULAR DE SU PROPIEDAD Y EN ESE MOMENTO ENCUENTRA SU APARATO OLVIDADO EN PODER DEL OPERARIO DE LIMPIEZA AL CUAL COMIENZA A INCREPAR MANIFESTANDOLE A VIVA VOZ QUE ERA UN DELINCUENTE Y QUE LE HABIA QUERIDO HURTAR SU TELEFONO OBTENIENDO COMO RESPÙESTA DEL EMPLEADO DE QUE NO ERA ASI LA SITUACION Y QUE SU INTENCION ERA DEVOLVERLO. ACTO SEGUIDO SE PRESENTA EN EL LUGAR EL FUNCIONARIO POLICIAL BERON CON EL OBJETIVO DE ACLARAR LA SITUACION POR LO QUE INVITA A AMBOS A DIRIGIRSE HASTA EL PREEMBARQUE A CLARIFICAR LOS HECHOS. SEGUIDAMENTE EL PASAJERO MANIFIESTA QUE NO RADICARIA DENUNCIA ALGUNA DEBIDO A LA PROXIMIDAD DE LA SALIDA DE SU VUELO Y QUE NO ERA SU INTENCION PERDERLO. EL PERSONAL POLICIAL LE SOLICITA LOS DATOS FILIATORIOS AL DAMNIFICADO QUIEN LUEGO DE ESTO SE RETIRA A EMBARCAR CON EL TELEFONO CELULAR EN SU PODER. SEGUIDAMENTE EL ENCARGADO LAHORE TRASLADA AL EMPLEADO DE LIMPIEZA JUNTO CON LOS TESTIGOS NO PRESENCIALES DEL HECHO A LA GUARDIA DE PREVENCION A FIN DE CONTINUAR CON LAS DILIGENCIAS PERTINENTES. SIENDO LAS 2110 SE ENTABLA COMUNICACION TELEFONICA CON LA JUDICATURA ACTUANTE PARA INFORMARLE LO SUCEDIDO DISPONIENDO LECTURA DE DERECHOS, MEDICO DE ENTRADA Y SALIDA A LA DEPENDENCIA POLICIAL, NOTA A IDGE INTERPOL, ARTICULO 86 Y 197 CPPN, CONSTATACION DE DOMICILIO FEHACIENTE, DECLARACION TESTIMONIAL AL PERSONAL POLICIAL INTERVINIENTE Y EN CASO DE NO MEDIAR IMPEDIMENTO LEGAL ALGUNO SE PROCEDA A LA SOLTURA. SIENDO LAS 0000 HORAS DEL DIA 20 /01/10 SE PROCEDE A CUMPLIMENTAR LA ORDEN JUDICIAL DEBIDO A QUE EL DETENIDO NO REGISTRA IMPEDIMENTO LEGAL EFECTUANDOSE LA LIBERACION DEL IMPUTADO RETIRANDOSE DE LA JURISDICCION SIN NOVEDAD CONFORME CON LOS TRATOS RECIBIDOS.</t>
  </si>
  <si>
    <t>AR 1546</t>
  </si>
  <si>
    <t>Incidente Aereo Delictivo</t>
  </si>
  <si>
    <t>JUZGADO FEDERAL N° 2 SAN ISIDRO</t>
  </si>
  <si>
    <t>DRA. SILVINA MAYORGA</t>
  </si>
  <si>
    <t>AVERIGUACION DE CAUSALES ACC. AERONAVE PA-92</t>
  </si>
  <si>
    <t>PREFECTURA</t>
  </si>
  <si>
    <t>A MITAD DE PISTA HACIA EL NORTE A 40 METROS APROXIMADAMENTE DE LA MISMA.-</t>
  </si>
  <si>
    <t>PAÑO VERDE FUERA DEL AREA DE SEGURIDAD</t>
  </si>
  <si>
    <t>ALREDEDOR DE LAS 14,15 HORAS SE PRECIPITA A TIERRA DENTRO DEL PREDIO DEL AEROPUERTO INTERNACIONAL DE SAN FERNANDO UN HELICOPTERO MATRICULA PA-92, MODELO SCHWEREIR, PERTENECIENTE A PREFECTURA NAVAL ARGENTINA, RESULTANDO FALLECIDOS LOS DOS TRIPULANTES DE LA MAQUINA.</t>
  </si>
  <si>
    <t>DRA. SANDRA VIVIANA GOÑI</t>
  </si>
  <si>
    <t>VAAMONDE LORENA ADRIANA S. INF. ART. 302</t>
  </si>
  <si>
    <t>OFICINA DE LA DIRECCION NACIONAL DE MIGRACIONES</t>
  </si>
  <si>
    <t>TERMINAL SUR</t>
  </si>
  <si>
    <t>SIENDO LAS 1730 HORAS PERSONAL DE LA DIRECCION NACIONAL DE MIGRACIONES DE LA TERMINAL SUR DE ESTE AEROPARQUE METROPOLITANO DETECTA POR SISTEMA A UNA PASAJERA QUE PRETENDIA VIAJAR EN UN VUELO PRIVADO DE LA EMPRESA AEREA MACAIR JET MATRICULA DE LA AERONAVE LV-ZOW CON DESTINO A LA CIUDAD DE PUNTA DEL ESTE CON PEDIDO DE CAPTURA VIGENTE. SE DA INTERVENCION AL PERSONAL DE LA POLICIA DE SEGURIDAD AEROPORTUARIA ALLI APOSTADO Y SE REALIZA EL TRASLADO DE LOS ACTUANTES A LA GUARDIA DE PREVENCION. POSTERIORMENTE SE ENTABLA COMUNICACION TELEFONICA CON EL JUZGADO INTERVINIENTE ORDENANDO SE REALICE NOTIFICACION A LA CAUSANTE PARA QUE SE PRESENTE EN SEDE TRIBUNALICIA A EFECTOS DE REGULARIZAR LA SITUACION CON RESPECTO A LA MEDIDA JUDICIAL ORDENADA.</t>
  </si>
  <si>
    <t>MACAIR-JET</t>
  </si>
  <si>
    <t>DANDO CUMPLIMIENTO A ORDEN DE SERVICIO NRO 0005/2010 Y SIENDO LAS 0711 HORA LOCAL DESPEGA SIN NOVEDAD AERONAVE B-737 MATRICULA LV-BBW DE LA EMPRESA AEROLINEAS ARGENTINAS CON DESTINO A AEROPUERTO JORGE NEWBERY EN CUYAS BODEGAS 1,2,3,4 Y 5 SE DESPACHAN 108 BULTOS CON UN PESO BRUTO DE 2.320 KILOGRAMOS DE METAL -MTD- PERTENECIENTES A LA EMPRESA MINERA TRITON S.A.</t>
  </si>
  <si>
    <t>DANDO CUMPLIMIENTO A ORDEN DE SERVICIO NRO 0005/2010 Y SIENDO LAS 0754 HORA LOCAL ARRIBA AERONAVE MD MATRICULA BGZ DE LA EMPRESA AUSTRAL LINEAS AEREAS PROCEDENTE DE AEROPARQUE JORGE NEWBERY EN CUYA BODEGA 5 SE DESPACHAN CON DESTINO A AEROPUERTO JORGE NEWBERY 48 BULTOS CON UN PESO BRUTO DE 960 KILOGRAMOS DE METAL - MTD- PERTENECIENTES A LA EMPRESA MINERA TRITON S.A. EL VUELO DESPEGA A LAS 0855 SIN NOVEDAD.</t>
  </si>
  <si>
    <t>AERPUERTO GRAL MOSCONI - COMODORO RIVADAVIA</t>
  </si>
  <si>
    <t>SIENDO LA HORA 0850 DEL DIA DE LA FECHA SE HACE PRESENTE EL SR. MATEO MARCELO OSVALDO, A FIN DE RADICAR LA DENUNCIA DE EXTRAVIO DE SU PERMISO PERSONAL DE SEGURIDAD AEROPORTUARIO EL DIA 14/01/2010 DENTRO DE LAS INSTALACIONES DE ESTE AEROPUERTO NO RECORDANDO LUGAR NI HORARIO DEL EXTRAVIO.</t>
  </si>
  <si>
    <t>JUZGADO FEDERAL N° 3 DE ROSARIO</t>
  </si>
  <si>
    <t>VERA BARROS</t>
  </si>
  <si>
    <t>ALESSO, MARCELO</t>
  </si>
  <si>
    <t>DENUNCIA RECIBIDA VIA E-MAIL</t>
  </si>
  <si>
    <t>CASILLA DE CORREO PERTENECIENTE A LA ADMINISTRACION DEL AEROPUERTO</t>
  </si>
  <si>
    <t>SE RECIBIO UNA NOTA DE PARTE DE LA ADMINISTRACION DEL AEROPUERTO COMUNICANDO LA RECEPCION DE DOS E-MAIL RELATANDO HECHOS PRESUNTAMENTE DELICTIVOS. EL PRIMERO EN RELACION A UNA PRIVACION ILEGAL DE LA LIBERTAD RESULTANDO LA SUPUESTA VICTIMA UN PERSONAL DE LA FUERZA AEREA LLAMADO ADRIAN EDUARDO ABRE Y EL SEGUNDO LA SUPUESTA INFRACCION DE LA LEY 23.737 COMETIDA POR UN MASCULINO QUE SE ESTARIA HACIENDO PASAR POR EL LLAMADO ABRE.</t>
  </si>
  <si>
    <t>SIENDO LA HORA 08,30 HS DEL DIA DE LA FECHA SE IMPLEMENTA ORDEN DE SERVICIO Nº 033/10 FAX PROCEDENTE DE LA URSA I DEL ESTE POR EL CONTROL DE POLICIA DE SEGURIDAD AEROPORTUARIA DEBIDO A VUELO PRESIDENCIAL POR PARTIDA DE LA SRA. PRESIDENTE DE LA NACION CON DESTINO A LA CIUDAD DE SAN CARLOS DE BARILOCHE. SIENDO LAS 10,48 HS DEL DIA DE LA FECHA ARRIBA A AEROESTACION MILITAR AEROPARQUE LA SRA. PRESIDENTE DE LA NACION EN AERONAVE MATRICULA H-03, PARTIENDO A LA HORA 11,00 EN AERONAVE MATRICULA T-01 SIN NOVEDAD.</t>
  </si>
  <si>
    <t>CIUDAD DE SAN CARLOS DE BARILOCHE</t>
  </si>
  <si>
    <t>SIENDO LAS 1250 HS ARRIBA A ESTE AEROPUERTO PROCEDENTE DE LA CIUDAD AUTONOMA DE BUENOS AIRES LA SRA. PRESIDENTE DE LA NACION ARGENTINA CRISTINA FERNANDEZ DE KISCHNER Y COMITIVA SIN NOVEDAD. EN AERONAVE T-01</t>
  </si>
  <si>
    <t>BARILOCHE</t>
  </si>
  <si>
    <t>aledaños del puente La Orqueta, dentro del predio aeroportuario</t>
  </si>
  <si>
    <t>QUE SIENDO LAS 0700 HS. DEL DIA DE LA FECHA SE RECIBE COMUNICACION VIA NEXTEL DE PARTE DE PERSONAL POLICIAL DE LA CRIA. 4TA. DEL BARRIO UNO DE EZEIZA DE LA POLICIA DE LA PROVINCIA DE BUENOS AIRES, QUIENES DAN CUENTA DE QUE EN LA FINCA HABIDA EN LA CALLE TTE. GRAL. MORILLAS Nº 1500 SE HABIAN SUSTRAIDO TRES EQUINOS PERTENECIENTES A LOS HABITANTES DE LA FINCA. ATENTO A ELLO SE HACE PRESENTE PERSONAL POLICIAL DE ESTA DEPENDENCIA QUIEN CONSTATA EL FALTANTE Y EFECTUA LAS PERICIAS PERTINENTES. POSTERIORMENTE CONVOCA A LA DAMNIFICADA A LA GUARDIA DE PREVENCION A LOS EFECTOS DE FORMALIZAR LA DENUNCIA PENAL. QUE SEGUN CONSTA EN LA DENUNCIA LOS EQUINOS FUERON SUSTRAIDOS DEL INTERIOR DE TRES CABALLERIZAS INDIVIDUALES HABIDAS DENTRO DEL PREDIO DE LA FINCA. ASIMISMO SE INFORMA QUE LA DENUNCIANTE NO PUEDE PRECISAR EL HORARIO EXACTO DEL HECHO.</t>
  </si>
  <si>
    <t>SE INFORMA QUE EL DIA 20/01/2010, SIENDO LAS DIEZ HORAS EL DETENIDO FUE DADO DE ALTA DEL NOSOCOMIO MADRE TERESA DE CALCUTA DE EZEIZA, Y TRASLADADO A ESTA GUARDIA DE PREVENCION, A LOS EFECTOS DE QUE SE TRASLADE AL DETENIDO EL DIA 21/01/2010 A SEDE JUDICIAL. CABE ACLARAR QUE EL MENCIONADO PARTE ES PARTE AMPLIATORIO DEL 290/10</t>
  </si>
  <si>
    <t>Maria Isabel Falu</t>
  </si>
  <si>
    <t>Ruben Gonzalo Guzman s/infraccion ley 23737</t>
  </si>
  <si>
    <t>1026/08</t>
  </si>
  <si>
    <t>Gonzalo Guzman</t>
  </si>
  <si>
    <t>Salvador Mazza - Provimcia de Salta Salta - Capital Villa Regina - Rio Negro</t>
  </si>
  <si>
    <t>LAS TAREAS INVESTIGATIVAS DE ESTA CAUSA SE VENIAN INFORMANDO MEDIANTE EL SISTEMA SIPAP EN PARTE RESERVADO Nº 023 Y SUS AMPLIACION MEDIANTE ORDEN DE SERVICIO Nº 024 - SECRETA- DE FECHA 22 DE MAYO DEL 2009 EMITIDA POR ESTA UOCN Y DC DEL NORTE,AL DIA DE LA FECHA SE ENCUENTRAN INTERVENIDAS TRES LINEAS DE TELEFONIA MOVIL Y UNA DE TELEFONIA FIJA, UN CELULAR CON CARACTERISTICA DE BUENOS AIRES UTILIZADO POR GONZALO GUZMAN, OTRO CELULAR CON CARACTERISTICA DE SALVADOR MAZZA A NOMBRE DE NAVARRO ANTONIO, EL MISMO ES CONCUBINO DE MIRTA FERREIRA, MADRE DE JORGELINA TORRES CONCUBINA DE GONZALO GUZMAN, LA MENCIONADA MIRTA FERREIRA ES INTEGRANTE DEL DENOMINADO CLAN FERREIRA ORGANIZACION CRIMINAL DEDICADO AL NARCOTRAFICO EN EL NORTE DEL PAIS, REFERENTE AL TERCER CELULAR CON CARACTERISTICA DE LA LOCALIDAD DE VILLA REGINA PROVINCIA DE RIO NEGRO ES UTILIZADO POR BEATRIZ DIAZ QUIEN ES CONCUBINA DE LARRANIAGA EZEQUIEL ALIAS EL VASCO, QUE SE ENCUENTRA DETENIDO EN EL SERVICIO PENITENCIARIO DE GENERAL ROCA POR INFRACCION A LA LEY 23737, SE CONFIRMO ENTRE ESTE ULTIMO LA RELACION TELEFONICA EXISTENTE CON GONZALO GUZMAN LUEGO DEL ANALISIS DE LAS SABANAS TELEFONICAS, EN LAS CUALES SE PUDO OBTENER QUE SE RELIZARON CONFERENCIAS ENTRE LA LINEA FIJA UBICADA EN EL SERVICIO PENITENCIARIO Y EL CELULAR DE GONZALO GUZMAN CON CARACTERISTICA DE BUENOS AIRES UTILIZADO EN SALVADOR MAZZA,HASTA EL MOMENTO NO SE OBTUVIERON CONFERENCIAS ENTRE AMBOS YA QUE LA INTERVENCION SE HIZO EFECTIVA EL DIA 24 DE DICIEMBRE DEL 2009, Y DE LOS REGISTROS DE LAS LLAMADAS ENTRANTES Y SALIENTES SE ESTABLECIO QUE LA ULTIMA CONFERENCIA ENTRE AMBOS SE REALIZO EL DIA 22 DE DICIEMBRE DE 2009.REFERENTE A LA LINEA FIJA INTERVENIDA CORRESPONDE A UN ABONADO DE LA LOCALIDAD DE SALVADOR MAZZA EN UNA CARNICERIA PROPIEDAD DE GONZALO GUZMAN, SE MANTIENE DICHA LINEA INTERVENIDA YA QUE EN ESTA SE PUEDE ESTABLECER CUANDO GONZALO GUZMAN SE ENCUNTRA EN SALVADOR MAZZA O CUANDO SE DEPLAZA HACIA OTRO PUNTO DEL PAIS,ACTUALMENTE SE ESTA A LA ESPERA DE OFICIO JUDICIAL PARA LA INTERVENCION DE UN TELEFONO MOVIL CON CARACTERISTICAS DE SALVADOR MAZZA UTILIZADA POR GONZALO GUZMAN Y OFICIOS PARA LAS DISTINTAS PRESTATARIAS DE LLAMADAS ENTRANTES Y SALIENTES COMO ASI TAMBIEN DE LOS SMS,EMITIDOS Y RECIBIDOS DE LAS DISTINTAS LINEAS INTERVENIDAS, SE AMPLIARA CUANDO SURJAN NOVEDADES.////////////////////SEGUN PR 2389 AMPLIACION PARTE N 349/10, FECHA 22 DE ABRIL DE 2010. TAREAS SEGUN O.S. N° 024/09 GENERADA POR ESTA UNIDAD. DE LAS INTERVENCIONES REALIZADAS A LAS PERSONAS INVESTIGADAS SE PUDO APRECIAR QUE LAS MISMAS TIENEN LA SOSPECHA DE QUE ESTARIAN SIENDO OBSERVADOS POR ALGUNA FUERZA DE SEGURIDAD, YA QUE LUEGO DE REALIZAR TAREAS ENCUBIERTAS Y CON ABSOLUTA DISCRECION SOBRE LOS DOMICILIOS, SE PUDO PUDO DETERMINAR QUE DESDE HACE UN MES LOS MISMOS NO VIAJAN A LA CIUDAD DE SALTA COMO LO HACIAN USUALMENTE. TAMBIEN LLAMA LA ATENCION QUE, NO UTILIZAN LOS TELEFONOS COMO SOLIAN HACERLO, ES POR ELLO QUE SE SOLICITÓ AL TRIBUNAL ACTUANTE, LA BAJA DE LAS LÍNEAS INTERVENIDAS YA QUE NO APORTAN NOVEDADES SIGNIFICATIVAS A LA CAUSA. ACTUALMENTE ESTA UNIDAD SE ENCUENTRA REALIZANDO ANALISIS DE LAS SABANAS TELEFONICAS A FIN DE DETERMINAR CUALES SON LOS NUEVOS TELEFONOS UTILIZADOS. SE AMPLIARA CUANDO SURJA ALGUNA NOVEDAD.</t>
  </si>
  <si>
    <t>plataforma operativa</t>
  </si>
  <si>
    <t>SIENDO LAS 1547 HORAS DESPEGA DE ESTE AEROPUERTO T-01 CON DESTINO A LA CIUDAD DE BUENOS AIRES TRASLADANDO A LA SEÑORA PRESIDENTA DE LA NACION CRISTINA FERNANDEZ DE KIRSHNER Y COMITIVA SIN NOVEDAD</t>
  </si>
  <si>
    <t>FISCALIA Nº 7</t>
  </si>
  <si>
    <t>PATIO DE COMIDAS</t>
  </si>
  <si>
    <t>QUE EL DIA DE LA FECHA SIENDO LAS 13,15 HS EL DENUNCIANTE LLEGA A ESTE AEROPUERTO A FIN DE TOMAR EL VUELO ANTES MENCIONADO, REALIZANDO EL CHECK EN LOS MOSTRADORES DE LA LINEA AEREA LAN, COLOCANDO EL RESTO DE SUS PERTENENCIAS QUE SERIAN LLEVADAS A LA CABINA DE LA AERONAVE SOBRE UN CARRO PARA EQUIPAJES, SUBIENDO AL PRIMER PISO DONDE SE ENCUENTRA EL PATIO DE COMIDAS PARA ASI PODER ALMORZAR JUNTO A SU FAMILIA ANTES DE INGRESAR AL PREEMBARQUE, ABONANDO LAS CONSUMICIONES Y PERCATANDOSE EN ESE MOMENTO DEL FALTANTE EN EL COMPARTIMENTO POSTERIOR DEL CARRO PARA TRANSPORTAR EQUIPAJES DE UNA PORTA LAPTOP COLOR NEGRA QUE CONTENIA UNA NOTEBOOK MARCA HP, MODELO DX4, UN PORTA DOCUMENTOS CON CUATRO PASAPORTES CON VISA DE LOS EEUU, Y CUATRO DNI, PERTENECIENTES ESTAS OCHO DOCUMENTACIONES AL DENUNCIANTE, A SU SRA ESPOSA Y SUS DOS HIJOS, RESPECTIVAMENTE . LUEGO DE REALIZAR LA BUSQUEDA POR EL LUGAR, Y PASADOS UNOS 20 MINUTOS INGRESA AL PREEMBARQUE DONDE INFORMA AL PERSONAL POLICIAL. SIENDO LA HORA 15,30 ES ACOMPADO POR PERSONAL POLICIAL ESTA GUARDIA DE PREVENCION A FIN DE RADICAR LA DENUNCIA DEL HECHO. SIENDO LA HORA 15,45 SE INICIA LA PREVENCION SUMARIA Nº 023-A/10 REALIZANDOSE LAS ACTUACIONES DE RIGOR.</t>
  </si>
  <si>
    <t>LA 4214</t>
  </si>
  <si>
    <t>CIUDAD DE CORDOBA CAPITAL</t>
  </si>
  <si>
    <t>SIENDO LAS 16 20 HS DEL DIA DE LA FECHA SE INPLEMENTA ORDEN DE SERVICIO Nº 033/10 FAX PROCEDENTE DE LA URSA I DEL ESTE POR EL CONTROL DE POLICIA DE SEGURIDAD AEROPORTUARIA DEBIDO AL ARRIBO DE LA SRA. PRESIDENTA DE LA NACION PROCEDENTE DE LA CUIDAD DE SAN CARLOS DE BARILOCHE, PCIA. DE RIO NEGRO. SIENDO LAS 17, 20 HS DEL DIA DE LA FECHA HACE SU ARRIBO EN LA AERONAVE MATRICULA T-01, RETIRANDOSE DE LA AEROESTACION MILITAR A LAS 17,25 EN LA AERONAVE MATRICULA H-03 SIN NOVEDAD.</t>
  </si>
  <si>
    <t>FISCALIA FEDERAL DE VILLA MARIA CORDOBA</t>
  </si>
  <si>
    <t>GARZON</t>
  </si>
  <si>
    <t>Mario</t>
  </si>
  <si>
    <t>DR. EDUARDO CAEIRO</t>
  </si>
  <si>
    <t>ACTUACIONES RESERVADAS INVESTIGACION INF. ART. 29 TER DE LA LEY 23.737</t>
  </si>
  <si>
    <t>SE RECEPCIONÓ OFICIO JUDICIAL EMITIDO POR LA FISCALIA FEDERAL DE VILLA MARIA DIRECCIONADO AL JEFE DE REGION II CENTRO, AGENTE MARTIN BRUNA, DONDE SE SOLICITA QUE EN EL MARCO DE LA CAUSA DE MARRAS SE PROCEDA POR INTERMEDIO DE ESTA DEPENDENCIA A DOCUMENTAR CON FOTOS Y FILMACIONES LOS MOVIMIENTOS EN EL AEROPUERTO CORDOBA DEL SEÑOR EDUARDO AMARO DE LA FUENTE, DNI 11.092.647, Y DE SUS ACOMPAÑANTES SI LOS HUBIERE, YA QUE EL MENCIONADO ESTARIA VIAJANDO AL PAIS DE CHILE EL DIA 20 DE ENERO. LO SOLICITADO SE CUMPLIMENTO EL DÍA DE LA FECHA DURANTE LA OPERATORIA DEL VUELO Nº 951 DE LA EMPRESA LAN</t>
  </si>
  <si>
    <t>BRUGO</t>
  </si>
  <si>
    <t>Jorge</t>
  </si>
  <si>
    <t>AV. SANTA FE 1815 SAN MARTIN 6º PISO</t>
  </si>
  <si>
    <t>C.A.B.A.</t>
  </si>
  <si>
    <t>EN EL DIA DE LA FECHA SE REALIZARON DOS ALLANAMIENTOS ORDENADOS POR LA JUDICATURA INTERVINIENTE, EN EL MARCO DE LA CAUSA DE REFERENCIA CON EL RESULTADO NEGATIVO.</t>
  </si>
  <si>
    <t>SANDRA GOÑI</t>
  </si>
  <si>
    <t>MUELLE 21</t>
  </si>
  <si>
    <t>PATIO DE VALIJAS TERMINAL A</t>
  </si>
  <si>
    <t>EL DIA 20 EL CORRIENTE MES Y AÑO EN CIRCUNSTANCIAS QUE PERSONAL POLICIAL SE ENCONTRABA FISCALIZANDO LOS EQUIPAJES DESPACHADO A BODEGA DEL VUELO MENCIONADO, ES ANOTICIADO POR PERSONAL DE LA EMPRESA HAS QUE EN EL INTERIOR DE UN EQUIPAJE HABRIA SUSTANCIA ORGANICA DE BAJA DENSIDAD, SIN PODER PRECISAR DE QUE SUSTANCIA SE TRATABA. SE SEPARA EL EQUIPAJE DEL RESTO, SE CONVOCA LA PRESENCIA DE DOS TESTIGOS, SE DA AVISO AL JEFE DE TURNO Y SE COMISIONA A PERSONAL POLICIAL HACIA LA MANGA NUMERO NUEVE A LOS FINES DE DAR CON EL PROPIETARIO DEL EQUIPAJE. UNA VEZ UBICADO EL MISMO SE LO IDENTIFICA Y SE LO INVITA HACIA EL PATIO DE VALIJA A LOS FINES DE RECONOCER SU EQUIPAJE. ACTO SEGUIDO EL SUSCRIPTO DECIDE QUE PASAJERO, TESTIGOS, PERSONAL POLICIAL Y EL EQUIPAJE EN CRISIS SE APERSONEN A LA GUARDIA DE PREVENCION. UNA VEZ EN EL LUGAR SE MANTIENE COMUNICACION TELEFONICA CON LA SECRETARIA EN TURNO QUIEN AUTORIZA LA REQUISA Y CON EL RESULTADO SE MANTENGA NUEVA COMUNICACION TELEFONICA. POR TAL MOTIVO EL AUX. JUDICIAL DE TURNO PROCEDE A APERTURAR LA VALIJA VISUALIZANDO EN UN DOBLE FONDO, Y UNA VEZ VACIA, TRES PAQUETES ENVUELTOS EN CINTA DE EMBALAR COLOR MARRON A LOS QUE SE LE PRACTICA UN CORTE VISUALIZANDO EN SU INTERIOR UNA SUSTANCIA DE COLOR BLANCA PULVERULENTA, SE LE REALIZA LOS CAMPOS DE PRUEBA DANDO LOS MISMOS RESULTADO POSITIVO COCAINA. SE DA AVISO A LA SECRETARIA EN TURNO QUIEN DISPONE DETENCION DE LA PASAJERA EN CALIDAD DE INCOMUNICADA, ACTUACIONES DE RIGOR ELEVANDOSE LAS ACTUACIONES, DETENIDA, ELEMENTOS DE INTERES, VALOR A SEDE TRIBUNALICIA EL DIA 21 DEL CORRIENTE MES Y AÑO, DEBIENDO ELEVAR A ADUANA SECCION RESGUARDO LA SUSTANCIA, ELEMENTO CONTENEDOR Y EFECTOS PERSONALES. QUE SIENDO LAS SIETE HORAS DEL DIA DE LA FECHA SE PROCEDIO A TRASLADAR AL DETENIDO DE AUTOS A SEDE JUDICIAL. //////////////////SEGUN EL PU 417 DE FECHA 23/03/2010 SE REALIZAN TAREAS INVESTIGATIVAS A FIN DE CONSTATAR PARTICIPACION DE TERCERAS PERSONAS MEDIANTE LAS FILMACIONES RESERVADAS EN EL COC. EL ANALISAS DEL TELEFONO Y CHIPS SECUESTRASDOS. DETERMINAR LA IDENTIDAD DE LA/S PERSONAS CUAL/ES SE ALOJO EN EL HOTEL OBELISCO CENTER SITO EN LA AV. CORRIENTES 830 DE C.A.B.A. RECABAR INFORMACION DE LA TITULARIDAD DE LOS ABONADOS TELEFONICOS QUE SURGEN DE LA INDAGATORIA</t>
  </si>
  <si>
    <t>AIR CANADA</t>
  </si>
  <si>
    <t>AC093</t>
  </si>
  <si>
    <t>Canadá</t>
  </si>
  <si>
    <t>TORONTO</t>
  </si>
  <si>
    <t>INGLATERRA</t>
  </si>
  <si>
    <t>LONDRES</t>
  </si>
  <si>
    <t>QUE SIENDO LAS SIETE HORAS DEL DIA DE LA FECHA, EL DETENIDO FUE TRASLADADO A SEDE JUDICIAL.</t>
  </si>
  <si>
    <t>INFRACCION A LA LEY 23.737, ART. 5, INC. C</t>
  </si>
  <si>
    <t>MUELLE 24</t>
  </si>
  <si>
    <t>QUE SIENDO LAS DIECIOCHO HORAS PERSONAL POLICIAL DESTACADO EN EL PATIO DE VALIJAS DE LA TERMINAL A, DETECTO MEDIANTE MAQUINA DE RAYOS X, QUE EN EL CONTORNO DE UNA VALIJA TIPO CARRY ON DE MEDIANAS DIMENSIONES OBRABA SUSTANCIA ORGANICA DE BAJA DENSIDAD. QUE LOS EQUIPAJES QUE SE ESTABAN CONTROLANDO PERTENECIAN A LOS PASAJEROS EN TRANSITO, EN CONEXION CON EL VUELO SA 227 DE SOUTH AFRICAN AIRWAYS, CON DESTINO A JOHANNESBURGO, SUDAFRICA, EL CUAL PARTIA EN EL HORARIO DE LAS 1900 HS. SEGUIDAMENTE SE CONTACTO AL PROPIETARIO DE LA VALIJA. QUE UNA VEZ APERTURADA LA VALIJA SE COMPROBO QUE LA SUSTANCIA ESTABA FUERTEMENTE SUJETA AL CONTORNO DEL EQUIPAJE POR LO QUE NO SE LA PUDO SEPARAR DEL MISMO. QUE LA SUSTANCIA OBRABA EN LA BASE Y AMBOS LATERALES DE LA VALIJA, LUGARES DE LOS CUALES SE EXTRAJERON PEQUEÑAS CANTIDADES QUE SOMETIDAS A PRUEBA DE CAMPO ARROJARON RESULTADO POSITIVO COCAINA. QUE EL DETENIDO QUEDO ALOJADO EN ESTA DEPENDENCIA EN CALIDAD DE INCOMUNICADO HASTA LAS 0710 HS. DEL DIA 21/01/10 CUANDO FUE REMITIDO A SEDE JUDICIAL, JUNTO CON SU DOCUMENTACION IDENTIFICATORIA EN UN MOVIL DE ESTA DEPENDENCIA, HABIENDO QUEDADO LA TOTALIDAD DE LOS SECUESTROS EN RESGUARDO DE ESTA DEPENDENCIA.</t>
  </si>
  <si>
    <t>5L 210</t>
  </si>
  <si>
    <t>IPP 07-01-008443-09</t>
  </si>
  <si>
    <t>LOCAL DE TELECOM</t>
  </si>
  <si>
    <t>EL DIA 11 DE DIC DE 2009 LA SEÑORA BROADNAX SE HACE PRESENTE EN EL TURNO DE PREVENCION A FIN DE REALIZAR UNA DENUNCIA EN LA QUE MANIFIESTA QUE MIENTRAS ESTABA EN EL BOX Nº 01 DE COMPUTADORAS DEL LOCAL DE TELECOM, DEPOSITA DEBAJO DE SU ESCRITORIO UNA MOCHILA DE COLOR GRIS CON VIVOS CELESTES LA CUAL CONTENIA EN SU INTERIOR UN PASAPORTE DE EEUU A SU NOMBRE Y UNA PC PORTATIL MARCA DELL, QUE TRANSCURRIDOS UNOS 20 MINUTOS SE DA CUENTA DEL FALTANTE. EL DIA 20 DE ENERO DE 2010 EL SEÑOR DANERI CUMPLIENDO SUS FUNCIONES LABORALES EN EL C.O.C RALIZA UN PANEO DE RUTINA CON UNO DE LOS DOMOS HABIDOS EN EL TECHO DEL HALL DE PARTIDAS DE PASAJEROS DE LA TERMINAL A, DETECTANDO UNA PERSONA DE SEXO FEMENINO PORTANDO UN BOLSO DE COLOR BLANCO DE GRANDES DIMENSIONES EL CUAL APARENTA ESTAR VACIO, CIRCULANDO EN DIRECCION HACIA EL SECTOR DE ARRIBOS DE PASAJEROS, EN TAL SENTIDO EFECTUA UNA TOMA CON OTRA DE LAS CAMARASFIJAS SITUADA SOBRE LA ENTRADA DEL LOCAL DE MC DONALDS A EFECTOS DE OBTENER UNA IMAGEN FRONTAL DE LA FEMENINA, MOMENTO EN EL CUAL DETECTA A DOS SUJETOS MASCULINOS CIRCULANDO FRENTE A DICHA MUJER, CONSTATANDO QUE LOS MASCULINOS FUERON LOS AUTORES DE UN HCHO DELICTIVO OCURRIDO EL DIA 11 DE DIC. DE 2009 A PARTIR DEL CUAL SE LABRARON ACTUACIONES CARATULADAS HURTO, BAJO REGISTRO INTERNO Nº 542-E/09, MOTIVO POR EL CUAL CONTINUA EL SEGUIMIENTO DE LAS PERSONAS EN CUESTION COMPROBANDO QUE LA MUJER Y UNO DE LOS MASCULINO INGRESAN AL LOCAL DE MC DONALDS CIRCULANDO POR EL INTERIOR SALIENDO UNOS INSTANTES DESPUES, MIENTRAS QUE EL MASCULINO RESTANTE ESTABA EN EL EXTERIOR DEL LOCAL MIRANDO HACIA EL INTERIOR, POSTERIORMENTE LOS TRES SUJETOS CIRCULAN HACIA LOS LOCALES DE TELECOM Y FARMACITY INGREANDO A ESTE ULTIMO LA FEMENINA Y SALIENDO INSTANTES DESPUES, ATENTO A ELLO SE ALERTA VIA NEXTEL A PERSONAL POLICIAL DESTACADO EN EL PUESTO DENOMINADO PERGOLA TAXI DE LOS HECHOS OCURRIDOS, SIMULTANEAMENTE LOS TRES SUJETOS SE DIRIGEN HACIA EL HALL DE PARTIDAS DE PASAJEROS, MOMENTO EN EL CUA LSE ALERTA VIA HT AL PERSONAL POLICIAL DE PATRULLA PARA QUE CONTACTE A LOS TRES SUJETOS, LOGRANDO EL PERSONAL POLICIAL CONTACTAR A SOLO DOS DE ELLOS, OBSERVANDO POSTERIORMENTE QUE EL RESTANTE MASCULINO EGRESABA DE ESTE AEROPUERTO EN UN VEHICULO DE MARCA FORD, MODELO MONDEO, DOMINIO COLOCADO BBM-563, EL CUAL ESTUVO INVOLUCRADO TAMBIEN EN EL HECHO DELICTIVO QUE DIO ORIGEN A LA CAUSA 542-E/09. MANTENIENDO COMUNICACION CON EL JUZGADO INTERVINIENTE, QUIEN DISPUSO LA DETENCION EN CALIDAD DE COMINICADOS DE LA FEMENIA Y EL MASCULINO CONTACTADOS. LOS DATOS DEL DAMNIFICADO Y LOS ELEMENTOS SUSTARIDOS SON LA DENUNCIA REALIZADA EL 11/12/09 EN LA CAUSA 542E/9 . SEGUN AMPLIACION PU 373/10 SE LOS TRASLADO A LO AL JUZGADO</t>
  </si>
  <si>
    <t>EN EL DIA DE LA FECHA SIENDO 11.40 SE PRESENTA EN ESTA GUARDIA DE PREVENCION EL DENUNCIANTE PARA RADICAR LA DENUNCIA DE EXTRAVIO DE UN PERMISO PERSONAL DE SEGURIDAD AEROPORTUARIO. INDICANDO QUE SE PERCATO DEL HECHO EN HORAS DE LA MAÑANA, DENTRO DE LAS INSTALACIONES DEL ESTE AEROPUERTO SIN PODER ESPECIFICAR EL LUGAR. EXTRAVIO Nº 37/10</t>
  </si>
  <si>
    <t>TRIBUNAL ORAL EN LO CRIMINAL FEDERAL PCIA. TIERRA DEL FUEGO A.e.I.A.S</t>
  </si>
  <si>
    <t>GIMENEZ</t>
  </si>
  <si>
    <t>LUIS ALBERTO</t>
  </si>
  <si>
    <t>BASSANETTI MARIA PAULA</t>
  </si>
  <si>
    <t>INCIDENTE DE EXCARCELACION DE GABRIEL EDGARDO NUÑEZ.</t>
  </si>
  <si>
    <t>CAUSA N° 207 J</t>
  </si>
  <si>
    <t>INFORMO QUE EN EL DIA DE LA FECHA EN VUELO 5U-487 DE LA EMPRESA LINEAS AEREAS DEL ESTADO -LADE- SE ENVIA UN SOBRE CERRADO AL TRIBUNAL ORAL FEDERAL DE LA LOCALIDAD DE RIO GALLEGOS PROVINCIA DE SANTA CRUZ CONTENIENDO DOCUMENTACION REFERENTE A LA CAUSA N° 207J CARATULADA INCIDENTE DE EXCARCELACION DE GABRIEL EDGARDO NUÑEZ, BAJO GUIA DE CARGA N° 022-28003496 CONFORME LO ORDENADO POR OFICIO N° 05/10 Y OFICIO 07/10 PROCEDENTE DEL TRIBUNAL ORAL EN LO CRIMINAL FEDERAL DE TIERRA DEL FUEGO A. E. I. DEL A. SUR. ASI MISMO INFORMO SE ESTIMA ARRIBO EN LA CIUDAD DE RIO GALLEGOS A LAS 19.20 HORAS, LO QUE FUE INFORMADO TELEFONICAMENTE A LA UNIDAD OPERACIONAL DE RIO GALLEGOS A SUS EFECTOS.</t>
  </si>
  <si>
    <t>LADE</t>
  </si>
  <si>
    <t>5U-487</t>
  </si>
  <si>
    <t>SECTOR DE EXPORTACIÓN DE LA TERMINAL DE CARGAS</t>
  </si>
  <si>
    <t>DELTA AIRLINES CARGO</t>
  </si>
  <si>
    <t>CERRO VAGUARDIA S.A.</t>
  </si>
  <si>
    <t>BRINKS SWITZERLAND LTD</t>
  </si>
  <si>
    <t>QUE EL DÍA 14 DEL CORRIENTE, ARRIBA UNA CARGA A LA TERMINAL DE CARGAS ARGENTINAS (TCA) DE 241 BOLSAS PRECINTADAS, LAS CUALES POSEÍAN EN SU INTERIOR OTRA BOLSA PRECINTADA Y EN EL INTERIOR DE ESTA ÚLTIMA UN LINGOTE DE ALEACIÓN DE ORO Y PLATA. LA CARGA FUE TRASLADADA POR BRINKS EN UN CAMIÓN BLINDADO DESDE LA CIUDAD DE BUENOS AIRES HASTA LA TCA HABIÉNDOSE CHEQUEADO LA CARGA SIN NOVEDAD ANTES DE TRASLADO. UNA VEZ EN LA TCA ES PESADA Y CHEQUEADA POR ADUANA. QUE PERSONAL DE ADUANA SEPARO 95 BOLSAS LAS CUALES APERTURA PARA SACAR UNA MUESTRA (VIRUTA) DEL LINGOTE, EN PRESENCIA DEL PERSONAL DE BRINKS, Y EXTRAÍDA LA MUESTRA SE EMBALARON Y PRECINTARON NUEVAMENTE LAS BOLSAS. A LA CARGA SE LE ASIGNO EL NÚMERO DE GUÍA AÉREA 006-76954301. LUEGO LAS BOLSAS SON INTRODUCIDAS EN CINCO CONTENEDORES LOS CUALES SON CERRADOS CON SEIS PRECINTOS CADA UNO Y ENVUELTOS CON FILM DE NYLON. QUE EL DÍA DIECIOCHO DEL CORRIENTE MES Y AÑO BRINKS SUIZA INFORMA A BRINKS ARGENTINA QUE LA CARGA SE HABRÍA RECIBIDO CON EL FALTANTE DE UN LINGOTE Y QUE A DOS CONTENEDORES LE FALTABA UN PRECINTO Y A OTRO LE FALTABAN DOS PRECINTOS. EL DENUNCIANTE NO PUEDE PRECISAR EN QUE CONTENEDOR SE ENCONTRABA EL LINGOTE FALTANTE. EL DENUNCIANTE MANIFIESTA QUE BRINKS ARGENTINA ES LA RESPONSABLE TOTAL DE LA CARGA POR LO QUE ES LA DAMNIFICADA EL PRESENTE HECHO.</t>
  </si>
  <si>
    <t>BRINKS ARGENTINA</t>
  </si>
  <si>
    <t>DELTA</t>
  </si>
  <si>
    <t>110/14</t>
  </si>
  <si>
    <t>Estados Unidos</t>
  </si>
  <si>
    <t>ALTANTA</t>
  </si>
  <si>
    <t>Suiza</t>
  </si>
  <si>
    <t>ZURICH</t>
  </si>
  <si>
    <t>SE PROCEDE A LA RETENCION DE TRES SACAS COLECTORAS DEL CORREO OFICIAL IDENTIFICADAS COMO. LA 1ª MARBETE Nº SLA0163125D555900RGA, PRECINTO Nº B798686, CON UN PESO DE 5 KG, CON DESTINO A LA CIUDAD DE RIO GRANDE. LA 2ª MARBETE Nº SLA0168820E636300NQN, PRECINTO Nº B798695 CON UN PESO DE 3,80 KG, CON DESTINO A LA CIUDAD DE NEUQUEN Y LA 3ª MARBETE SLA0172810E555600CRD, PRECINTO Nº B802089, CON UN PESO DE 4,40 KG, CON DESTINO A LA CIUDAD DE COMODORO RIVADAVIA, LAS MISMAS FUERON DESPACHADAS POR SERVICIO DE CARGA JET PAQ, Y SE ENCUENTRAN AMPARADAS EN GUIA AEREA Nº 9316066-4, LAS RETENCIONES SE REALIZAN ANTE LA PRESUNCION DE QUE PUDIERAN CONTENER ELEMENTOS EN INFRACCION A LAS LEYES 22.415 Y/O 23.737, QUEDANDO LAS MISMAS EN GUARDA DE ESTA UOSP. LAS CUALES SE ENCUENTRAN CERRADAS Y PRECINTADAS, SE INFORMO TELEFONICAMENTE AL JUZGADO INTERVINIENTE, LA APERTURA DE LAS MISMAS SE REALIZARAN EN PRESENCIA DEL PERSONAL DEL CORREO. CON CONOCIMIENTO DEL JUOSP.</t>
  </si>
  <si>
    <t>359/10</t>
  </si>
  <si>
    <t>SIENDO LAS DIECISÉIS HORAS DEL DÍA 21 DE ENERO DEL AÑO EN CURSO, UNA VEZ REGRESADA LA COMISIÓN QUE REALIZO EL TRASLADO DE LOS APREHENDIDOS, JUNTAMENTE CON OFICIO JUDICIAL EL CUAL DISPONE LA LIBERACIÓN DE LOS MISMOS, SE PROCEDE A DAR CUMPLIMENTO DE LO ORDENADO, PREVIA CERTIFICACIÓN DE QUE SOBRE LOS MISMOS NO RECAE IMPEDIMENTO LEGAL DE CIRCULACIÓN Y CONSTATACIÓN DE DOMICILIO.</t>
  </si>
  <si>
    <t>JUZGADO FEDERAL DE RESISTENCIA</t>
  </si>
  <si>
    <t>SECRETARIA PENAL N° 1</t>
  </si>
  <si>
    <t>SKIDELSKY</t>
  </si>
  <si>
    <t>CARLOS RUBEN</t>
  </si>
  <si>
    <t>JUAN CARLOS BENINATI</t>
  </si>
  <si>
    <t>SUPUESTA INSFRACCION LEY 23737</t>
  </si>
  <si>
    <t>EN CIRCUNSTANCIAS DE REALIZARSE CONTROL PREVENTIVO DE CARGA Y CORREO SE SEPARA UNA SACA AL DETECTARSE EN LA IMAGEN UNA ENCOMIENDA CONTENIENDO, PRESUMIBLEMENTE MATERIAL ORGÁNICO DISTRIBUIDO EN UN GRUPO DE FIGURAS RECTANGULARES Y OTRO DENTRO DE UN FRASCO O LATA, ESTE ULTIMO APARENTEMENTE CON UN ENVOLTORIO. ANTE LA SITUACIÓN SE PROCEDE A EFECTUAR UNA INSPECCIÓN MEDIANTE EL CAN AXEL, OCASIÓN EN QUE EL MISMO DA UNA ALERTA POSITIVA A PRESENCIA DE ESTUPEFACIENTE, POR LO QUE SE PROCEDE A UNA SEGUNDA INSPECCIÓN, CAMBIANDO DE LUGAR LA SACA Y EL CAN VUELVE A DAR LA ALERTA POSITIVA. ANTE ESTA SITUACIÓN SE EFECTUA COMUNICACION CON LA AUTORIDAD JUDICIAL CORRESPONDIENTE Y SE LE INFORMA DE LOS PORMENORES DEL HECHO, ORDENANDO ESTA LA INTERDICCIÓN Y QUE A PRIMERA HORA DEL DÍA 22 SE REMITA LO ACTUADO, A EFECTOS DE LIBRAR ORDEN DE APERTURA. ACTO SEGUIDO SE CONVOCA A DOS TESTIGOS HABILES Y SE INICIAN LAS ACTUACIONES PERTINENTES.</t>
  </si>
  <si>
    <t>AEROPARQUE -CAPITAL FEDERAL</t>
  </si>
  <si>
    <t>CIUDAD DE POSADAS</t>
  </si>
  <si>
    <t>AEROPARQUE-CAPITAL FEDERAL</t>
  </si>
  <si>
    <t>AVERIGUACION DE IDENTIDAD</t>
  </si>
  <si>
    <t>DETRAS DE LA ZONA DENOMINADA CARGAS</t>
  </si>
  <si>
    <t>TRIANGULO NORTE</t>
  </si>
  <si>
    <t>SIENDO LAS 19.00 HS EN MOMENTOS EN QUE EL JEFE DE TURNO SE ENCONTRABA REALIZANDO LA RECORRIDA PERIMETRAL POR LOS PUESTOS EXTERNOS, Y AL PASAR POR EL DENOMINADO TRIANGULO NORTE, SE ENCUENTRA CON DOS MASCULINOS QUE HABIAN SALTADO EL CERCO PERIMETRAL. AL INTERCEPTARLOS LE SOLICITA QUE SE IDENTIFIQUEN, NO PUDIENDO ACREDITAR SU IDENTIDAD MEDIANTE ALGUN TIPO DE DOCUMENTO. POR ESTA RAZON EL JEFE DE TURNO JUNTO A LOS DOS MASCULINOS SE DIRIGEN A ESTA GUARDIA DE PREVENCION. SIENDO LAS 19.10 HS SE PROCEDE A ENTABLAR COMUNICACION CON LA DRA. EUN YOUNGLIM, A CARGO DE LA SECRETARIA Nº 55 POR ANTE EL JUZGADO NACIONAL EN LO CORRECCIONAL Nº A CARGO DEL DR. EDUARDO CARLOS FERNANDEZ, QUIEN ORDENO SE PROCEDA A LAS ACTUACIONES DE RIGOR DE LA LEY 23950, DE AVERIGUACION DE IDENTIDAD,QUEDANDO ALOJADOS EN ESTA DEPENDENCIA HASTA TENER LOS RESULTADOS DE REINCIDENCIA, LUEGO DE ELLO SE PROCEDERA A SU LIBERACION DE NO MEDIAR MEDIA QUE ASI LO IMPIDIERA.</t>
  </si>
  <si>
    <t>CIUDAD DE EZEIZA</t>
  </si>
  <si>
    <t>SALIENDO DE SU CASA CON DESTINO A ESTE AEROPUERTO LLEVANDO CONSIGO UNA MOCHILA LA QUE CONTENIA EL TELEFONO CELULAR, TOMA EL COLECTIVO DE LA LINEA 518 Y AL DESCENDER DEL MISMO, YA ARRIBADO A LAS INSTALACIONES DE ESTE MEDIO, PROCEDE A LA APERTURA DE SU MOCHILA Y SE PERCATA DEL FALTANTE DE ESTE.-</t>
  </si>
  <si>
    <t>H.A.S.</t>
  </si>
  <si>
    <t>CARLOS LEIVA</t>
  </si>
  <si>
    <t>SECTOR CARGAS</t>
  </si>
  <si>
    <t>SIENDO LA HORA ANTES MENCIONADA Y ESTANDO REALIZANDO ACTUACIONES POR AVERIGUACION DE IDENTIDAD DE LOS IMPUTADOS SEGUN LO ORDENADO POR EL JUZGADO CORRECIONAL Nº 6 A CARGO DE S.SA. FERNANDEZ EDUARDO CARLOS POR ANTE LA SECRETARIA Nº 55 DE LA DRA EUN YOUNG LIM , POR EL HECHO QUE AL ENCONTRARSE EL JEFE DE TURNO REALIZANDO UNA RECORRIDA PERIMETRAL DEL AEROPUERTO EL MISMO OBSERVA A DOS MASCULINOS REALIZANDO TOMAS FOTOGRAFICAS, QUIENES HABRIAN SALTADO EL CERCO PERIMETRAL , EL MISMO PROCEDE A INTERCEPTARLO Y LES SOLICITA QUE SE IDENTIFIQUEN , YA QUE NO POSEIAN LA VESTIMENTA CORRESPONDIENTE A NINGUNA LINEA AEREA, NO PUDIENDO ACREDITAR SU IDENTIDAD MEDIANTE ALGUN DOCUMENTO, POR ESTA RAZON EL JEFE DE TURNO TRASLADA A LOS CAUSANTES AL TURNO DE LA GUARDIA DE PREVENCION PARA ACLARAR LA SITUACION.YA SIENDO LAS 22.00 ANOTOCIADO DE LOS HECHOS EL JEFE DE UNIDAD REGIONAL I DEL ESTE Y OBSERVANDO A QUE HAYA EXISTIDO UN POSIBLE PELIGRO A LA SEGURIDAD DE LA AVIACION CIVIL O PUDIERE EXISTIR ALGUN ACTO PREPARATORIO PARA LA CONSECUCION DE LA MISMA EL SR MAXIMILIANO LENCINA ESTABLECE COMUNICACION CON EL JUZGADO FEDERAL EN TURNO CON ESTA DEPENDENCIA QUIEN ORDENA CARATULAR EL HECHO COMO AVERIGUACION DE ILICITO, Y SE REALICEN LAS SIGUIENTES ACTUACIONES SECUESTRO DE LA CAMARA Y DEL TELEFONO QUE POSEIAN LOS IMPUTADOS , JUEGOS DE FICHAS PARA EL SUMARIO, ART 353 BIS REINCIDENCIA, FOTOS , IDGE INTERPOL, CONSTATACION FEHACIENTE DE DOMICILIO, MEDICO DE ENTRADA Y SALIDA LECTURA DE DERECHOS CON INCORPORACION DE LOS ART. 257 -288, COMUNICACION AL CONSULADO, REGISTRO FILMICO DEL C.O.C DE EZEIZA MOVIMIENTO MIGRATORIOS, E HISTORIAL DE VUELO, JUNTAMENTE CON CROQUIS DEL LUGAR DONDE OCURRIO EL HECHO, Y DE NO MEDIAR NINGUN IMPEDIMENTO RESTRICITVO DE LA LIBERTAD SE PROCEDA A LA LIBERACION DE LOS CAUSANTES DESDE ESTA DEPENDENCIA. ///////////////////////SEGUN PU 400 DE FECHA 22/03/2010 SIENDO LAS 730 HS SE PROCEDE A DAR CUMPLIMIENTO A LA SOLTURA DE LOS DETENIDOS POR NO MEDIAR IMPEDIMENTO LEGAL ALGUNO RETIRANDOSE DE LA JURISDICCION SIN NOVEDAD</t>
  </si>
  <si>
    <t>372/10</t>
  </si>
  <si>
    <t>SE PROCEDE A LA APERTURA DE TRES SACAS DEL CORREO OFICIAL EN PRESENCIA DE UN TESTIGO HABIL. LA 1ª SLA0163125D555900RGA, PRECINTO Nº B798686 CONTIENE UN PIEZA IDENTIFICADA COMO EP722138124ARAR QUE QUEDA RETENIDA. LA 2ª SLA0168820E636300NQN, PRECINTO Nº B798695CONTIENE UNA PIEZA LA EP698257146AR QUE QUEDA RETENIDA. LA 3ª SLA0172810E555600CRD CONTIENE DOS PIEZAS, LA EP702526005AR QUE QUEDA RETENIDA Y LA 2ª EP703563092AR ES ENTREGADA AL SR. OLARTE, EMPLEADO DEL CORREO OFICIAL, PARA SU REDESPACHO, POR NO SER DE INTERES PARA EL PROCEDIMIENTO. LAS ENCOMIENDAS QUEDAN EN GUARDA EN EL DEPOSITO JUDICIAL DE ESTA UNIDAD A LA ESPERA DEL OFICIO QUE AUTORICE SU APERTURA. CON CONOCIMIENTO DEL JUOSP.</t>
  </si>
  <si>
    <t>DENTRO DE LA INSTALACIONES DEL AEROPUERTO</t>
  </si>
  <si>
    <t>SIENDO LAS 1030 HORAS SE HACE PRESENTE LA SEÑORA PATRICIA MIGUELES A FIN DE RADICAR LA DENUNCIA DE EXTRAVIO Nº 40/10 DE SU PERMISO PERSONAL DE SEGURIDAD AEROPORTUARIA.</t>
  </si>
  <si>
    <t>CIUDAD EVITA, PCIA DE BUENOS AIRES,PUENTE DOCE</t>
  </si>
  <si>
    <t>QUE SE ENCONTRABA CAMINANDO DESDE EL BARRIO PUERTA DEL SOL, SITO EN CIUDAD EVITA. PCIA DE BUENOS AIRES, CON DIRECCION HACIA LA AUTOPISTA TENIENTE GENERAL RICHIERI, LLEGANDO A LA ALTURA DEL DENOMINADO PUENTE DOCE, SITIO DONDE SINTIO QUE LE SUSTRAIAN DESDE SU BOLSILLO DELANTERO DERECHO UN TELEFONO CELULAR, DE PROPIEDAD DE LA EMPRESA COPA AIRLINES, POR TAL MOTIVO SE DESPLAZO UNOS METROS, GIRANDO A CONTINUACION, LOGRANDO DIVISAR A DOS MASCULINOS DE LOS CUALES NO APORTA OTROS DATOS. QUE A CONTINUACION EMPRENDE UNA RAPIDA CARRERA HACIA LA PARADA DE COLECTIVO MAS PROXIMA AL LUGAR, SITA SOBRE LA AUTOPISTA CITADA ANTERIORMENTE, TROPEZANDOSE EN DICHO LAPSO, APOYANDO LAS PALMAS DE LAS MANOS SOBRE EL ASFALTO LO QUE LE OCACIONO RASPADURAS EN ELLAS. QUE A CONTINUACION SE INCORPORO POR SUS PROPIOS MEDIOS ABORDANDO A CONTINUACION UN VEHICULO TIPO COMBI, QUE LO TRASLADARIA A ESTE AEROPUERTO INTERNACIONAL. LUGAR DONDE SE HIZO ATENDER POR EL SERVICIO MEDICO DE ESTE MEDIO DONDE LE PRACTICARON LAS CURACIONES PERTINENTES POR LAS HERIDAS SUFRIDAS PRODUCTO DE LA CAIDA ANTERIORMENTE NARRADA. QUE EN EL DIA DE LA FECHA SE HIZO PRESENTE EN ESTA DEPENDENCIA LOS FINES DE RADICAR LA CORRESPONDIENTE DENUNCIA.</t>
  </si>
  <si>
    <t>DESDE SU HOTEL ALOJAMIENTO HASTA PERCATARSE DENTRO DEL AEROPUERTO</t>
  </si>
  <si>
    <t>SIENDO LAS 1115 HORAS EL ENCARGADO DE TURNO SILVA ALEJANDRO INFORMA QUE UNA PASAJERA HABIA SUFRIDO UN HURTO NO PUDIENDO PRECISAR LUGAR Y HORARIO Y QUE NO RADICARIA DENUNCIA EN ESTA DEPENDENCIA PO R ESTAR PROXIMO EL DESPEGUE DE SU VUELO PO RLO QUE RADICARIA LA DENUNCIA EN DESTINO, A LO QUE SE LE INFORMA QUE LAS ACTUACIONES SE INICIARAN EN ESTA DEPENDENCIA Y EN EL AEROPUERTO DE DESTINO SE LE TOMARIA DECLARACION TESTIMONIAL. SIENDO LAS 1300 HORAS SE ENTABLA COMUNICACION CON EL DR. PIÑON EL CUAL DISPONE INICIAR ACTUACIONES POR ACTA DE PROCEDIEMIENTO, SE SOLICITE DECLARACION TESTIMONIAL DE LA DAMNIFICADA EN AEROPUERTO DESTINO, CIERRE Y ELEVE.</t>
  </si>
  <si>
    <t>AR1692</t>
  </si>
  <si>
    <t>JUZGADO DE INSTRUCCION FORMAL DE 8va NOMINACION DE LA PROVINCIA DE SALTA</t>
  </si>
  <si>
    <t>DIEZ</t>
  </si>
  <si>
    <t>FEDERICO</t>
  </si>
  <si>
    <t>DRA. CLAUDIA ESTHER PAREDES</t>
  </si>
  <si>
    <t>HOMICIDIO</t>
  </si>
  <si>
    <t>16.533/10</t>
  </si>
  <si>
    <t>AERONAVE MATRICULA LV-BHH DE LA EMPRESA AEROLINEAS ARGENTINAS.</t>
  </si>
  <si>
    <t>PUESTO DE GUARDIA DE PREVENCION-AERONAVE</t>
  </si>
  <si>
    <t>SIENDO LA HORA ANTES MENCIONADA SE IMPLEMENTA LA ORDEN DE SERVICIO Nº 038/10 DE ESTA UOSP METROPOLITANA SEGUN MEMORANDO Nº 107/10 PROCEDENTE DEL CEAC REFERENTE AL CONTROL DE POLICIA DE SEGURIDAD AEROPORTUARIA CON MOTIVO DE LA EXPULSION DEL CIUDADANO JUAN DOMINGO ALANDI. SIENDO LAS 0600 HORAS SE PRESENTA LA COMISION POLICIAL DE LA SECCION INVESTIGACION FEDERAL DE FUGITIVOS INTERPOL PERTENECIENTE A LA POLICIA FEDERAL ARGENTINA INTEGRADA POR EL CABO PRIMERO ENCINAS HUGO Y EL CABO PRINCIPAL PAGLIERI PABLO TRASLADANDO AL DETENIDO POR LO QUE SE LE BRINDA LA COLABORACION SOLICITADA PERO POR ORDEN DEL COMANDANTE DE LA AERONAVE DEL VUELO AR 2450 NO ACEPTA TRASLADAR AL DETENIDO, POR LO QUE SE RETIRAN DE LA JURISDICCION PARA REGRESAR A LAS 1120 HORAS A FIN DE EMBARCAR EN EL VUELO AR 2452 DESPEGANDO LA AERONAVE TRASLADANDO AL DETENIDO JUNTO A LA COMISION POLICIAL SIN NOVEDAD.</t>
  </si>
  <si>
    <t>AR 2452</t>
  </si>
  <si>
    <t>DRA. ROSSI</t>
  </si>
  <si>
    <t>ESTACIONAMIENTO</t>
  </si>
  <si>
    <t>INTERSECCION DEL INGRESO A SUBSUELO DEL AEROPUERTO Y ACCESO SALIDA DE VEHICULOS DEL SECTOR DE CARGAS</t>
  </si>
  <si>
    <t>INFORMO QUE EN EL DIA DE LA FECHA EL SEÑOR SILVA DAVID ESTEBAN D.N.I. Nº 31471634, SE DIRIGIA EN SENTIDO OESTE EN EL CICLOMOTOR MARCA ZANELLA DE 50CC DOMINIO BBU 938 DE SU PROPIEDAD EL CUAL COLISIONA EN LA INTERCEPCION DEL INGRESO AL SUBSUELO DEL AEROPUERTO Y SALIDA DE VEHICULOS DEL SECTOR DE CARGAS HACIA EL SECTOR DE ESTACIONAMIENTO PUBLICO, CON EL CAMION MARCA FORD 14000 MODELO 2006, DOMINIO FOU 976 INTERNO Nº 2301 CON POLIZA DE SEGURO DE LA COMPAÑIA MAPFRE Nº 7383971 DE LA EMPRESA PROSEGUR, CONDUCIDO POR EL SEÑOR GLINKA ANDRES FABIAN DNI Nº 18622624, EL CUAL CIRCULABA EN SENTIDO SURESTE, OCACIONANDOLE CONTUCIONES EN LA PIERNA DERECHA AL CONDUCTOR DEL CICLOMOTOR POR LO CUAL ES TRASLADADO POSTERIORMENTE 13.30 HORAS POR LA AMBULANCIA DE EMERGENCIA DE MISIONES SALUD DOMINIO DXZ 231 INTERNO 224 CONDUCIDO POR EL SEÑOR MARTIN SENA HACIA EL HOSPITAL DR. RAMON MADARIAGA, TAL NOVEDAD ES ANOTICIADA A LA DRA.ROSSI SECRETARIA DE TURNO DEL JUZGADO DE INSTRUCCION Nº 3 A CARGO DEL DR. LUIS VERON, LA CUAL DETERMINA SE COMUNIQUE A LA SECCION SEPTIMA DE LA POLICIA DE LA PROVINCIA DE MISIONES A LOS EFECTOS DE PROCEDER POR INTERMEDIO DE LA DIVISION CRIMINALISTICA DE LA MENCIONADA POLICIA PARA REALIZAR EL PERITAJE CORRESPONDIENTE Y SE CONSTATE POR EL PERITO MECANICO EL ESTADO DE LOS VEHICULOS SINIESTRADOS, PRESENTANDOSE POSTERIORMENTE EL OFICIAL AYUDANTE ROA SERGIO A CARGO DE LA COMINISION POLICIAL Y REALIZANDO LAS PERICIAS EL OFICIAL AYUDANTE CABAÑAS GUSTAVO, REALIZADO LA MISMA SE PROCEDE A INFORMAR LO ACTUADO A LA DRA. ROSSI QUIEN DISPONE QUE LAS ACTUACIONES CORRESPONDIENTES LAS REALICE EL PERSONAL DE LA SECCIONAL SEPTIMA, TRASLADANDO LOS VEHICULOS DAMNIFICADOS A DICHA SECCIONAL.</t>
  </si>
  <si>
    <t>VALIENTE</t>
  </si>
  <si>
    <t>EDUARDO AGUSTIN</t>
  </si>
  <si>
    <t>POL. DE SEGURIDAD AEROPORTUARIA - UNIDAD OPERACIONAL RESISTENCIA - CHACO - ARIEL FERNANDEZ S/SOL. APERT. DE ENCOM.</t>
  </si>
  <si>
    <t>LA APERTURA DE LA SACA SE REALIZA EN LA OFICINA SUMARIOS DE ESTA UOSP</t>
  </si>
  <si>
    <t>EN EL DIA DE LA FECHA SE PROCEDE A LA APERTURA DE LA SACA INTERDICTADA EL DIA 21 DE ENERO 2010 DANDO CUMPLIMIENTO AL OFICIO JUDICIAL LIBRADO POR LA MAGISTRATURA ACTUANTE, ARROJANDO RESULTADO POSITIVO AL DETECTARSE DENTRO DE UNA CAJA DE ENCOMIENDA UN BALDE DE ALUMINIO CON TAPA DEL MISMO MATERIAL QUE CONTENIA EN SU INTERIOR CUATRO PANES DE MARIHUANA Y UNA LATA DE PINTURA QUE CONTENIA EN SU INTERIOR ENTRE RESTOS DE PINTURA AZUL UN PAN DE MARIHUANA.SEGUIDAMENTE SE INFORMA AL MAGISTRADO LOS RESULTADOS OBTENIDOS Y EL MISMO DISPONE QUE EL DIA LUNES 25 DE ENERO 2010 SE REMITA LO ACTUADO CONJUNTAMENTE CON LOS ELEMENTOS SECUESTRADOS. ASIMISMO SE RECTIFICA LO INFORMADO MEDIANTE PARTE URGENTE Nº 374 REGISTRO PSA Nº 328 REFERENTE A LA CANTIDAD DE ESTUPEFACIENTE SECUESTRADO DONDE DICE 5000 GRAMOS CORRESPONDE 3085 GRAMOS.</t>
  </si>
  <si>
    <t>GUARDIA PREVENTIVA</t>
  </si>
  <si>
    <t>PLANTA BAJA DEL AEROPUERTO</t>
  </si>
  <si>
    <t>EL EXPONENTE MANIFIESTA QUE EN MOMENTO Y LUGAR QUE DESCONOCE EXTRAVIO DENTRO DEL EJIDO AEROPORTUARIO UN TALONARIO DE FACTURA CLASE C CON LA NUMERACION DEL 01 AL 50, A SU NOMBRE. ASIMISMO AGREGO QUE ESE DIA HUBO MUCHO VIENTO Y SEGURAMENTE SE LE VOLO. SE LABRO EXPOSICION POLICIAL NRO 0003/2010.</t>
  </si>
  <si>
    <t>CALLE PEATONAL FLORIDA CIUDAD AUTONOMA DE BUENOS AIRES</t>
  </si>
  <si>
    <t>QUE SIENDO LA HORA ANTES DICHA LA DENUNCIANTE SE ENCONTRABA DE PASEO POR LA CALLE DE MENCION SIN RECODAR LA ALTURA APROXIMADA LLEVANDO CONSIGO UNA MOCHILA DE COLOR NEGRO. QUE LUEGO SE TRASLADA HACIA ESTE AEROPUERTO INTERNACIONAL A LOS EFECTOS DE REALIZAR LOS TRAMITES PARA EMBARCARSE EN EL VUELO DE MENCION Y UNA VEZ EN ESTA AEROESTACION SE PERCATA DE QUE LA MOCHILA ANTES DESCRITA SE ENCONTRABA CON EL CIERRE ABIERTO POR LO QUE REVISA EL INTERIOR DE LA MISMA NOTANDO EL FALTANTE DE UNA BILLETERA DE COLOR VERDE CON SU CONTENIDO</t>
  </si>
  <si>
    <t>JUZGADO DE INSTRUCCION Y CORRECCIONAL N° 5</t>
  </si>
  <si>
    <t>LEIVA, CARLOS R.</t>
  </si>
  <si>
    <t>N.N S/ ART. DE LA LEY 23737</t>
  </si>
  <si>
    <t>711/10</t>
  </si>
  <si>
    <t>SECTOR NORTE DE LA AEROESTACION</t>
  </si>
  <si>
    <t>SIENDO LAS 19.05 HORAS, SE PRESENTA EN LA AEROESTACION PERSONAL DE LA POLICIA DE LA PROVINCIA DE MENDOZA, INFORMANDO QUE TENIAN ORDEN DEL MINISTERIO DE SEGURIDAD DE ESTA PROVINCIA DE DESPLAZARSE HASTA ESTE AEROPUERTO PARA RECIBIR A PERSONAL QUE SE ENCONTRABA TRASLADANDO A UN DETENIDO DESDE EL AEROPARQUE JORGE NEWBERY DE LA C.A.B.A., EN ESE MOMENTO SE SOLICITA INFORMACION A LA EMPRESA AEREA, PARA QUE RATIFIQUE DICHA INFORMACION Y LA RESPUESTA DE LA MISMA ERA AFIRMATIVA, ANTE ESTA SITUACION SE REALIZAN LAS COMUNICACIONES CON LA SUPERIORIDAD CORRESPONDIENTE PARA PONER AL TANTO DE LA SITUACION, AL ARRIBAR EL VUELO MENCIONADO, SE PROCEDE A LA COLABORACION CON LA FUERZA DE SEGURIDAD PROVINCIAL Y SE REALIZA EL ACOMPAMAÑAMIENTO HASTA LA SALIDA DE LA JURISDICCION DE ESTE AEROPUERTO SIN NOVEDAD, TODO EL MOVIMIENTO REALIZADO SE ENCONTRABA COORDINADO CON EL JUZGADO FEDERAL N° 1 A/C DEL DR. WALTER RODRIGUEZ -SUBROGANTE-, SECRETARIA PENAL A A/C DEL DR. ALBERTO CARELLI.-</t>
  </si>
  <si>
    <t>AR 1430</t>
  </si>
  <si>
    <t>377/10</t>
  </si>
  <si>
    <t>SIENDO LAS 0730 HORAS SE PROCEDE A DAR CUMPLIMIENTO A LA SOLTURA DE LOS DETENIDOS POR NO MEDIAR IMPEDIMENTO LEGAL ALGUNO RETIRANDOSE DE LA JURDISDICCION SIN NOVEDAD.</t>
  </si>
  <si>
    <t>QUE SIENDO LA 0700HS DEL DIA 16 E ENERO DE 2009 LA DENUNCIANTE DESPACHA EN LA CIUDAD DE MADRID EN EL VUELO DE LA EMPRESA IBERIA Nº 6845 UNA VALIJA COLOR ROJA DE APROXIMADAMENTE 0,55X045X0,25CM CON LA INSCRIPCION BRANDY CON MARBETE NºIB721036 CON DESTINO AL AEROPUERTO DE EZEIZA. UNA VEZ EN EL AEROPUERTO DE EZEIZA SE PERCATA EN LA CINTA TRANSPORTADORA DE EQUIPAJE DEL FALTANTE DE LA VALIJA MENCIONADA POR LO QUE PROCEDE AL RECLAMO DE LA MISMA ANTE LA LINEA AREA IBERIA. SEGUIDAMENTE SE LE INFORMA QUE LA MISMA SE ENCONCONTRABA EN LA CIUDAD DE NUEVA YORK - EE-UU, TOTALMENTE DESTRUIDA. EL DIA 20 DE ENERO DEL CORRIENTE AÑO PERSONAL DE LA EMPRESA IBERIA LE INFORMA QUE SU EQUIPAJE HABIA LLEGADO A EZEIZA Y QUE IBA A SER TRASLADADO AL AEROPUERTO CORDOBA EN EL VUELO Nº 2520 DE LA EMPRESA AEROLINEAS ARGENTINAS. EL DIA 22 DE ENERO SE PRESENTA EN ESTA AEROSTACION CONSTATADO LA ROTURA DE SU VALIJA Y EL FALTANTE DE DISTINTOS ELEMENTOS EN SU INTERIOR</t>
  </si>
  <si>
    <t>DRA. EUN YUONGLIM</t>
  </si>
  <si>
    <t>PARADA DE TAXIS DEL SECTOR ARRIBOS A2 DEL AEROPARQUE-DOMICILIO DEL DENUNCIANTE-GUARDIA DE PREVENCION.</t>
  </si>
  <si>
    <t>VEREDA DEL SECTOR A2.</t>
  </si>
  <si>
    <t>SIENDO LA HORA ANTES MENCIONADA EL DENUNCIANTE AL ARRIBAR AL AEROPARQUE METROPOLITANO ABORDA UN VEHICULO TAXIMETRO QUE LO TRASLADA HACIA SU DOMICILIO Y AL VAJAR OLVIDA UN EQUIPAJE DENTRO DEL RODADO. EL CONDUCTOR AL OBSERVAR EL EQUIPAJE DECIDE ACERCAR EL EQUIPAJE A LA GUARDIA DE PREVENCION DE ESTA POLICIA DE SEGURIDAD AEROPORTUARIA A FIN DE DEVOLVER EL ELEMENTO Y CONFECCIONAR EL ACTA DE HALLAZGO QUE NO SE REALIZA DEBIDO A QUE EL CONDUCTOR DEL TAXI HABIA DEJADO ESTACIONADO EL VEHICULO EN LA PLAYA DE ESTACIONAMIENTO QUE TIENE UN COSTO, POR LO QUE SE LE INDICA QUE CORRA EL VEHICULO A UN SECTOR SIN COSTO, PARA LUEGO REGRESAR CON EL BOLSO Y CONFECCIONAR LA RESPECTIVA ACTA DE HALLAZGO DEL EQUIPAJE Y EN ESE INSTANTE EL DENUNCIANTE REGRESA AL AEROPUERTO A BUSCAR SU PERTENENCIA Y OBSERVA AL CONDUCTOR DEL TAXIMETRO CON SU BOLSO. ACTO SEGUIDO EL DENUNCIANTE SE ACERCA A LA GUARDIA DE PREVENCION A FIN DE RADICAR LA CORRESPONDIENTE DENUNCIA Y TAMBIEN SE TRASLADA A LA GUARDIA EL CONDUCTOR DEL VEHICULO A FIN DE ACLARAR LO SUCEDIDO. SIENDO LAS 2300 HORAS SE ENTABLA COMUNICACION TELEFONICA CON LA DRA. EUN YUONGLIM A QUIEN SE LE EXPLICA LO SUCEDIDO DISPONIENDO LA JUDICATURA ACTUANTE SE TOME LA DENUNCIA, SE LE TOME DECLARACION TESTIMONIAL AL CONDUCTOR DEL VEHICULO Y AL PERSONAL POLICIAL QUE ATENDIO AL CONDUCTOR EN EL PUESTO DE GUARDIA, CIERRE Y ELEVACION DE LAS ACTUACIONES.</t>
  </si>
  <si>
    <t>LA 4353</t>
  </si>
  <si>
    <t>MIRTA CAMPOS TULA</t>
  </si>
  <si>
    <t>PREEMBARQUE 1/16</t>
  </si>
  <si>
    <t>PRIMER PISO DE LA TERMINAL A</t>
  </si>
  <si>
    <t>QUE SIENDO LA HORA INDICADA SE HACE PRESENTE EN EL PUESTO ANTES MENCIONADO UNA PERSONA DE SEXO FEMENINO Y EN MOMENTOS EN QUE TRASPASA EL MARCO DETECTOR DE METALES ACTIVA LA ALARMA SONORA Y LUMINICA POR TAL MOTIVO PERSONAL POLICIAL PROCEDE A REALIZAR UN CHEQUEO POR SOBRE LAS ROPAS DE LA PASAJERA NOTANDO QUE A LA ALTURA DEL TORAX Y EN TODO SU CONTORNO ERAN HABIDOS BULTOS EXTRAÑOS. QUE EFECTUADA LA REQUISA SE DETECTA DEBAJO DE LA ROPA DE LA PASAJERA UNA MUSCULOSA, QUE A SU VEZ SE ENCONTRABA COCIDA CON OTRA MUSCULOSA SIMILAR Y EN EL INTERIOR DE AMBAS SE ENCONTRABAN CUATRO PAQUETES LOS CUALES SE DETALLAN A CONTINUACION PAQUETE 1 LATERAL IZQUIERDO, PAQUETE 2 LATERAL DERECHO PAQUETES 3 Y 4 ESPALDA LOS CUALES SE ENCONTRABAN CONFECCIONADOS DE LA SIGUIENTE MANERA: CINTA DE PAPEL POR DEBAJO, UN NYLON TRANSPARENTE Y POR DEBAJO DE ESTE SUSTANCIA PASTOSA DE COLOR BLANCO. QUE LA CAUSANTE QUEDO DETENIDA EN CALIDAD DE INCOMUNICACDA HASTA EL DIA 23/01/10 SIENDO TRASLADADA A SEDE JUDICIAL JUNTAMENTE CON LOS EFECTOS DE VALOR MUDA DE ROPA E INTERES, QUEDANDO EN ESTA DEPENDENCIA POLCIAL LA SUSTANCIA Y DEMAS SECUESTROS REALIZADOS. /////////////////////SEGUN SE AMPLIA EN EL PARTE 409 SE PROCEDE A INFORMAR QUE SIENDO LAS 0740 LA DETENIDA FUE TRASLADADA A SEDE JUDICIAL JUNTAMENTE CON SUS EFECTOS DE VALOR Y ELEMENTOS S/N, PERMANECIENDO EN RESGUARDO DE ESTA DEPENDENCIA EL RESTO DEL SECUESTRO ///////////////////SEGUN PU 421 SE PRODUCE UN ALLANAMIENTO CON LAS SIGUIENTES INCAUTACIONES CON INTERES PARA LA CAUSA DOCUMENTACIÓN DE INTERÉS PARA LA CAUSA, PAPELES VARIOS, 1 BOTELLA CON ROTULO AMONIO HIDRÓXIDO 28-30 POR CIENTO, RECORTES DE TELA, TROZOS DE CARTÓN, 1 RECORTE DE CONTACT COLOR NEGRO, DOCUMENTOS VARIOS DE INTERÉS PARA LA CAUSA, 1 TARJETA DE RECARGA DE MOVISTAR, 1 BLISTER DE LA EMPRESA CLARO, 1 TARJETA SIN CHIP DE PERSONAL, 2 AEROSOLES DE ESPUMA POLIURETANO, 3 LATAS DE ADHESIVO, 2 CINTA TIPO SCOTCH, 1 ROLLO DE NYLON, SOBRES DE CORREO ARGENTINO Y GUÍAS, 1 CHIP DE CLARO, 2 AEROSOLES DE PINTURA, 1 POTE DE COLA SINTÉTICA, 1 ROLLO DE FILM Y GRAN CANTIDAD DE DISCOS COMPACTOS. /////////////////////SEGUN PU 424 SE TRASLADA A LA IMPUTADA A LA SEDE JUDICIAL</t>
  </si>
  <si>
    <t>BILBAO</t>
  </si>
  <si>
    <t>INFRACCION ARTS. 78 Y 85 DECRETO LEY 8031/73</t>
  </si>
  <si>
    <t>PERGOLA TRES</t>
  </si>
  <si>
    <t>ARRIBOS TERMINAL A</t>
  </si>
  <si>
    <t>QUE SIENDO APROXIMADAMENTE LAS DIECISIETE HORAS CINCUENTA MINUTOS PERSONAL POLICIAL PERTENENCIENTE A ESTA UNIDAD OPERACIONAL, OBSERVA A UNA PERSONA DE SEXO MASCULINO QUE SE ACERCABA A LOS PASAJEROS QUE TRANSITABAN POR EL SECTOR. POR TAL MOTIVO EL MENCIONADO PERSONAL POLICIAL SE ACERCA HACIA EL MASCULINO NOTANDO QUE EL MISMO SE ENCONTRABA OFRECIENDO SERVICIO DE TRANSPORTE PUBLICO A VIVA VOZ LAS PERSONAS RECIEN ARRIBADAS. QUE LUEGO DE FINALIZAR CON LAS DILIGENCIAS CORRESPONDIENTES EL CAUSANTE SE RETIRA POR SUS PROPIOS MEDIOS Y CONFORME A LOS TRATOS RECIBIDOS.</t>
  </si>
  <si>
    <t>JUZGADO DE GARANTIA Nº 2 DE MENDOZA</t>
  </si>
  <si>
    <t>EJECUCION DE SENTENCIA</t>
  </si>
  <si>
    <t>GUARDIA DE PREVENCION - AERONAVE</t>
  </si>
  <si>
    <t>SIENDO LAS 06,50 HORAS SE HACE PRESENTE LA COMISION DE LA SECCION INVESTIGACION FEDERAL DE FUGITIVOS DE INTERPOL INTEGRADA POR EL AGENTE OLIVARES DIEGO Y EL CABO GARDON, LA CUAL REALIZA EL TRASLADO DEL DETENIDO IBAÑEZ, COMISION A LA CUAL SEGUN ORDEN DE SERVICION Nº 40/10 DE LA UNIDAD REGIONAL I DEL ESTE SE REALICE CONTROL DE POLICIA DE SEGURIDAD AEROPORTUARIA DE LA EXTRADICION DEL CIUDADANO ANTERIORMENTE MENCIONADO. SIENDO LAS 07,00 HORAS SE EMBARCA EN AERONAVE MATRICULA LV-BER ESTACIONADO EN POSICION 23 AL CAUSANTE DESPEGANDO LA AERONAVE A LAS 07,30 HORAS SIN NOVEDAD.</t>
  </si>
  <si>
    <t>AR2404</t>
  </si>
  <si>
    <t>CIUDAD DE MENDOZA</t>
  </si>
  <si>
    <t>405/10</t>
  </si>
  <si>
    <t>PROCEDO A INFORMAR QUE SIENDO LAS SIETE HORAS CUARENTA MINUTOS LA DETENIDA FUE TRASLADADA A SEDE JUDICIAL JUNTAMENTE CON SUS EFECTOS DE VALOR Y ELEMNTOS DE INTERES S/N,PERMANECIENDO EN RESGUARDO DE ESTA DEPENDENCIA LE RESTO DE LOS SECUESTRO.-</t>
  </si>
  <si>
    <t>SIENDO LAS 0930 HORAS, ATERRIZA EN ESTA AEROSTACIÓN EL VUELO DE LA EMPRESA AEROLÍNEAS ARGENTINAS Nº AR 2404, EN EL CUAL SE TRASLADA EL DETENIDO MIGUEL ANGEL IBAÑEZ FORTUNY, DNI Nº 10.989.508, DICHO TRASLADO ESTA A CARGO DE PERSONAL DE INTERPOL Y DEBE SER ENTREGADO A PERSONAL DE POLICÍA DE MENDOZA Y PENITENCIARÍA PROVINCIAL. ESTA U.O.S.P. PRESTA COLABORACIÓN DENTRO DE LA JURISDICCIÓN, DANDO CUMPLIMIENTO A LA ORDEN DE SERVICIOS Nº 14/10 EMANADA DE LA U.R.S.A. II DEL CENTRO, LA CUAL TIENE ORIGEN EN EL MEMORANDO Nº 115/10 DE FECHA 22 - ENE - 10 EMITIDO POR EL DEPARTAMENTO DE OPERACIONES POLICIALES CEAC. LA ENTREGA DEL DETENIDO SE LLEVA A CABO DENTRO DE LA JURISDICCIÓN Y FINALIZA CON EL RETIRO DEL MISMO BAJO CUSTODIA DE PENITENCIARÍA PROVINCIAL Y POLICÍA DE MENDOZA SIN NOVEDAD.-</t>
  </si>
  <si>
    <t>AEROPARQUE JORGE NEWBERY - CABA</t>
  </si>
  <si>
    <t>EL PLUMERILLO - MENDOZA</t>
  </si>
  <si>
    <t>CINTA TRANSPORTADORA DE EQUIPAJES N° 07</t>
  </si>
  <si>
    <t>ARRIBADO A ESTA AEROSTACION, LUEGO DE REALIZADOS LOS TRAMITES MIGRATORIOS Y ADUANEROS DE RIGOR, EGRESA DE LA TERMINAL A, DE ESTE MEDIO, A EFECTOS DE ABORDAR UN VEHICULO REMIS QUE LO AGUARDABA EN EL SECTOR DE PERGOLA. QUE UNA VEZ EN EL INTERIOR DEL VEHICULO, AL APERTURAR SUS PERTENENCIAS, MAS PRECISAMENTE UNA VALIJA TIPO CARRY ON COLOR NEGRA, SE PERCATA QUE EL CANDADO SE ENCONTRABA ABIERTO. QUE LUEGO DE UNA REVISION EN LA VALIJA CITADA, NOTA EL FALTANTE DE LOS ELEMENTOS QUE A CONTINUACION SE DETALLAN. SEGUIDAMENTE SE DIRIGE AL ASIENTO DE ESTA GUARDIA A RADICAR LA DENUNCIA.</t>
  </si>
  <si>
    <t>MIAMI</t>
  </si>
  <si>
    <t>EZEIZA, BUENOS AIRES</t>
  </si>
  <si>
    <t>QUE SIENDO LAS QUINCE HORAS CINCUENTA MINUTOS LA DETENIDA EN AUTOS ES NUEVAMENTE ALOJADA EN ESTA DEPENDENCIA EN CALIDAD DE DETENIDA INCOMUNICADA POR ORDEN DEL JUZGADO INTERVINIENTE, DEBIENDO SER TRASALADADA NUEVAMENTE A SEDE JUDICIAL EL DIA LUNES VEINTICINCO DEL CORRINTE MES Y AÑO A PRIMERA HORA.-</t>
  </si>
  <si>
    <t>Fiscalía Nacional en lo Penal Económico Nº 03</t>
  </si>
  <si>
    <t>STRUMPHER , JOHAN WILHELM S/ CONTRABANDO DE ESTUPEFACIENTES</t>
  </si>
  <si>
    <t>EN EL DIA DE LA FECHA SE INICIAN TAREAS INVESTIGATIVAS ORDENADAS POR LA JUDICATURA CORRESPONDIENTE. SIN MAS DATOS EN EL DICA.-</t>
  </si>
  <si>
    <t>GOÑI SANDRA VIVIANA</t>
  </si>
  <si>
    <t>LANDSMEER FLEUR MARIJCKE S/ CONTRABANDO DE ESTUPEFACIENTES</t>
  </si>
  <si>
    <t>CORRIENTES 830, CABA</t>
  </si>
  <si>
    <t>EN EL DIA DE LA FECHA SE INICIAN TAREAS INVESTIGATIVAS A FIN DE CONSTATAR PARTICIPACION DE TERCERAS PERSONAS MEDIANTE LAS FILMACIONES RESERVADAS EN EL COC. EL ANALISIS DEL TELEFONO Y CHIPS SECUESTRADOS. DETERMINAR LA IDENTIDAD DE LA/S PERSONA/S CON LA/S CUAL/ES SE ALOJO EN EL HOTEL OBELISCO CENTER SITO EN LA AV. CORRIENTES 830 DE LA CABA. RECABAR INFORMACION DE LA TITULARIDAD DE LOS ABONADOS TELEFONICOS QUE SURGEN DE LA INDAGATORIA.</t>
  </si>
  <si>
    <t>AC 093</t>
  </si>
  <si>
    <t>DOMICILIO DE LA DENUNCIANTE</t>
  </si>
  <si>
    <t>CALLE LAFINUR N° 2587, QUILMES OESTE-PROVINCIA DE BUENOS AIRES.-</t>
  </si>
  <si>
    <t>QUE EL DIA 21 DEL CORRIENTE MES Y AÑO LA DENUNCIANTE ARRIBO EN EL VUELO YA CITADO, QUE AL RECOGER SUS PERTENENCIAS UNO DE SUS DOS EQUIPAJES DESPACHADOS A BODEGA DE AERONAVE NUNCA ARRIBO A ESTE PAIS, MOTIVO POR EL CUAL LA COMPAÑIA CONTRATADA, AIR EUROPA, EL DIA DE LA FECHA LE ENVIO A SU DOMICILIO, CON UN REMIS, SU EQUIPAJE, PERCATANDOSE LA DENUNCIANTE, QUE HABIA SIDO VIOLENTADO, HALLANDON LOS FALTANTES QUE A CONTINUACION SE DETALLARAN. POR TAL MOTIVO SE HIZO PRESENTE EN ESTA GUARDIA DE PREVENCION A FIN DE RADICAR LA PRESENTE.-</t>
  </si>
  <si>
    <t>UX 041</t>
  </si>
  <si>
    <t>EZIEZA, BUENOS AIRES</t>
  </si>
  <si>
    <t>FISCALIA NACIONAL CRIMINAL DE INSTRUCCION Nº 21</t>
  </si>
  <si>
    <t>PIERRETTI</t>
  </si>
  <si>
    <t>Gustavo Miguel</t>
  </si>
  <si>
    <t>DRA. MARIA SAENZ SAMANIEGO</t>
  </si>
  <si>
    <t>TENTATIVA DE SUICIDIO</t>
  </si>
  <si>
    <t>SIENDO LA HORA 19,30 HS DEL DIA DE LA FECHA SE RECIBE COMUNICACION TELEFONICA DEL SR. POZZI ROBERTO - AUXILIAR DE SEGURIDAD DE AA2000- QUIEN INFORMA QUE UNA EMPLEADA DE LA EMPRESA AMUSH S.A. HABRIA TENIDO UN INTENTO DE SUICIDIO Y FUE TRASLADADA AL SERVICIO MEDICO SWISS MEDICAL DE ESTE AEROPUERTO. SE COMISIONA AL ENCARGADO DE TURNO DEL DIA DE LA FECHA HACIA DICHO SERVICIO INFORMANDO QUE EN DICHO LUGAR SE ENCONTRABA LA SRITA MARISA BETIANA PAGLIA EMPLEADA DE LA FIRMA ANTES MENCIONADA. EL FACULTATIVO MEDICO A FALTA DE MEDIOS TECNICOS IDONEOS NO PODIA BRINDAR DIAGNOSTICO ALGUNO Y DEBIDO AL SECRETO PROFESIONAL NO DARIA INFORMACION ALGUNA SOBRE LOS HECHOS ACAECIDOS. SIENDO LAS 20,20 HS EL SR. JUAN MANUEL COUSO -SUPERVISOR DE LA EMPRESA AMUSH - INFORMA QUE LA SRITA PAGLIA SE ENCONTRABA BAJO TRATAMIENTO PSICOLOGICO Y QUE OTRA EMPLEADA DE LA EMPRESA HABRIA SIDO TESTIGO DE LA INGESTA DE UN BLISTER DEL MEDICAMENTO RIVOTRIL POR PARTE DE DAMNIFICADA. SIENDO LA HORA 20,50 SE ESTABLECE COMUNICACION TELEFONICA CON EL MINISTERIO PUBLICO ACTUANTE A QUIEN INFORMADA DE LOS HECHOS, DISPONE SE ASIGNE CONSIGNA POLICIAL EN EL NOSOCOMIO EN DONDE FUERA TRASLADADA LA CAUSANTE, SOLICITAR MEDICO DEL HOSPITAL ALVEAR A LOS FINES DE REALIZAR INFORME ACERCA DE LA PELIGROSIDAD PARA SI O PARA TERCEROS DE LA CAUSANTE, RECIBIR SENDAS DECLARACIONES TESTIMONIALES DEL SUPERVISOR DEL LOCAL COMO ASI DE LA EMPLEADA QUE OBSERVO LA INGESTA DE LAS PASTILLAS, SE REALICE NUEVA COMUNICACION TELEFONICA UNA VEZ FINALIZADAS LAS DILIGENCIAS ORDENADAS. SIENDO LAS 21,00 ES TRASLADADA A LA CLINICA LA ESPERANZA DE ESTA CAPITAL FEDERAL LA DAMNIFICADA EN MOVIL Nº 90 DE LA EMPRESA PARAMEDIC. SE AMPLIARA EL PRESENTE PARTE</t>
  </si>
  <si>
    <t>AMUSH</t>
  </si>
  <si>
    <t>JOSE LUIS D ABONDIO</t>
  </si>
  <si>
    <t>EN SU DOMICILIO PARTICULAR</t>
  </si>
  <si>
    <t>EN EL DIA FECHA Y A LA HORA MENCIONADA LA DENUNCIANTE ARRIBA A ESTA AEROSTACION EN LA TERMINAL A Y PROCEDE A RETIRAR SUS EQUIPAJES. UNA VEZ EN SU DOMICILIO PARTICULAR SE PERCATA QUE DE UNA VALIJA LE FALTABA UN APARATO ELECTRONICO SATELITAL GPS Y QUE DE OTRA VALIJA SUS PERTENENCIAS SE ENCONTRABAN REVUELTAS.</t>
  </si>
  <si>
    <t>CM 454</t>
  </si>
  <si>
    <t>México</t>
  </si>
  <si>
    <t>CANCUN</t>
  </si>
  <si>
    <t>PANAMA</t>
  </si>
  <si>
    <t>CAMPOSTULA MIRTA L.</t>
  </si>
  <si>
    <t>ANTONINI ANA MARIA S/CONTRABANDO DE ESTUPEFACIENTES</t>
  </si>
  <si>
    <t>SARMIENTO 2113 4ºP</t>
  </si>
  <si>
    <t>CABA</t>
  </si>
  <si>
    <t>EN EL DIA DE LA FECHA Y POR ORDEN DE LA JUDICATURA CORRESPONDIENTE MEDIANTE CONSULTA CON LA MISMA SE CANCELA LA ORDEN DE ALLANAMIENTO BAJO LA ORDEN DE SERVICIO Nº 50. QUEDANDO EN EL LUGAR MENCIONADO VIGILANCIA FIJA Y MOVIL HASTA NUEVA ORDEN DE LA JUDICATURA.</t>
  </si>
  <si>
    <t>QUE EL DIA 24 DE ENERO DE 2009 SIENDO LAS 0100 EL DENUNCIANTE DEJO SU VEHICULO EN LA PLAYA DE ESTACIONAMIENTO NORTE DE ESTA AEROSTACION MARCA RENAULT MODELO SANDERO STEPWAY, COLOR GRIS , DOMINIO HVO 592, AL RETIRARSE DEL MISMO Y LLEGAR A SU DOMICILIO PARTICULAR DETECTA QUE EL SOPORTE DE DE LA RUEDA DE AUXILIO ESTABA CORTADO Y QUE LA MISMA NO ENCONTRABA EN SU LUGAR, QUE HABIA SIDO SUSTRAIDA. LA CARACTERISTICA DE RUEDA ES UNA LLANTA DE CAHPA CON CUBIERTA MARCA CONTINENTAL, MEDIDAS 195/60/16</t>
  </si>
  <si>
    <t>Secretaria N 10</t>
  </si>
  <si>
    <t>DR. PATRICIA PALMISANO</t>
  </si>
  <si>
    <t>JUNTO AL MUSEO DE AERONAUTICA</t>
  </si>
  <si>
    <t>SIENDO LAS 1000 SE RECIBE COMUNICACION VIA HT DEL OFICIAL DENEGRI EL CUAL MANIFIESTA QUE HABIA ENCONTRADO A UN MASCULINO ACOSTADO Y DURMIENDO DENTRO DE LA PLATAFORMA MILITAR A ESCASOS 60 METROS DEL TREN DE ATERRIZAJE DELANTERO DE LA AERONAVE PRESIDENCIAL MATRICULA T-01, POR LO QUE SE PROCEDE A IDENTIFICAR AL CAUSANTE Y TRASLADARLO A LA GUARDIA DE PREVENCION PARA REALIZAR LAS ACTUACIONES DE RIGOR. CONSULTADO ACERCA DEL MOTIVO POR EL CUAL SE ENCONTRABA EN DICHO SECTOR EL MISMO MANIFIESTA QUE SALTO EL ENRREJADO DEL PERIMETRO CON EL OBJETO DE SACAR FOTOS A LAS AERONAVES QUE DESPEGABAN. SIN INTENCION DE COMETER ALGUN HECHO DELICTIVO. SIENDO LAS 1120 SE ENTABLA COMUNICACION CON LA DRA. PALMISANO LA CUAL DISPONE ACTUACIONES DE RIGOR Y CON RESULTADO DE REINCIDENCIA, SI NO POSEE IMPEDIMENTO LEGAL ALGUNO PROCEDER A LA SOLTURA.</t>
  </si>
  <si>
    <t>QUE SIENDO LAS OCHO HORAS DEL DIA 25/01/2010, SE PROCEDE A TRASLADAR A LA DETENIDA DE AUTOS A SEDE JUDICIAL.</t>
  </si>
  <si>
    <t>Averiguacion Causales de Muerte</t>
  </si>
  <si>
    <t>FISCALIA DE INVESTIGACION PROVINCIAL Nº 3</t>
  </si>
  <si>
    <t>HECTOR ELBIO BALDIVIA</t>
  </si>
  <si>
    <t>ESPINDOLA ANTONIO S/AVERIGUACION DE MUERTE</t>
  </si>
  <si>
    <t>A DOSCIENTOS METROS DEL PUESTO SABRE Y A DOCE METROS DEL CAMINO DE INGRESO AL AEROPUERTO.</t>
  </si>
  <si>
    <t>EN CIRCUNSTANCIAS QUE EL PERSONAL POLICIAL APOSTADO EN EL PUESTO SABRE RALIZABAN UNA RECORRIDA DE RUTINA, OBSERVAN A UNA PERSONA TENDIDA EN EL SUELO Y AL ACERCARSE CONSTATAN QUE SE TRATABA DE UNA PERSONA DE SEXO MASCULINO MAYOR DE EDAD Y QUE SE ENCONTRABA INMOVIL, POR LO QUE SE LE HABLA Y NO RESPONDE, LUEGO SE LE TOMA EL PULSO Y NOTA QUE NO POSEE, POR LO QUE INMEDIATAMENTE DA AVISO AL JEFE DE TURNO, QUIEN SOLICITA EL SERVICIO DE EMERGENCIAS DE SALUD PUBLICA. AL HACERSE PRESENTE EL MENCIONADO SERVICIO LA DRA REALIZA UN EXAMEN INFORMANDO QUE EL PACIENTE SE ENCONTRABA SIN SIGNOS VITALES. LUEGO SE DA INTERVENCION A LA FISCALIA ACTUANTE, QUIEN DISPONE SE DE PARTICIPACION AL MEDICO LEGISTA, QUIEN LUEGO DE PRACTICAR UN EXAMEN DIAGNOSTICA INSUFICIENCIA CARDIACA, COMO ASI TAMBIEN SE SOLICITE A LA DIVISION TANATOLOGICA DE LOS BOMBEROS DE LA PROVINCIA DEL CHACO SE TRASLADE EL CUERPO A SANIDAD POLICIALY FINALMENTE SE ENTREGUE EL OCCISO A LOS FAMILIARES.</t>
  </si>
  <si>
    <t>JUZGADO FEDERAL DE SANTIAGO DEL ESTERO</t>
  </si>
  <si>
    <t>SECRETARIA CRIMINAL CORRECCIONAL FEDERAL</t>
  </si>
  <si>
    <t>COROLEU</t>
  </si>
  <si>
    <t>USURPACION DE TERRENOS CONCESIONADOS POR EL ESTADO NACIONAL A LA EMPRESA AEROPUERTOS ARGENTINA 2000</t>
  </si>
  <si>
    <t>USURPACION DE TERRENOS CONCESIONADOS POR EL ESTADO NACIONAL A LA EMPRESA AEROPUERTOS ARGENTINA 2000.</t>
  </si>
  <si>
    <t>UOSP SANTIAGO DEL ESTERO</t>
  </si>
  <si>
    <t>LA SUPERFICIE DEL TERRENO USURPADO UBICADO EN UN RADIO DE 400 METROS HACIA EL NORTE DE LA INTERSECCION DE LA AVDA. MADRE DE CIUDADES Y LA RUTA PROVINCIAL Nº 208, A UNOS 1400 METROS DE LA AEROESTACION, FUERA DEL CERCO PERIMETRAL,</t>
  </si>
  <si>
    <t>EN EL DIA DE LA FECHA LA EMPRESA CONCESIONARIA AA2000, FORMALIZO UNA DENUNCIA PENAL POR USURPACION DE TERRENOS CONCESIONADOS POR EL ESTADO NACIONAL. SE DA INTERVENCION AL FISCAL FEDERAL, SOLICITANDO EL MISMO, SE REALICEN LAS ACTUACIONES CORRESPONDIENTES Y SEAN REMITIDAS.</t>
  </si>
  <si>
    <t>JUZGADO DE INSTRUCCION N° 3</t>
  </si>
  <si>
    <t>VERON</t>
  </si>
  <si>
    <t>FERNANDO LUIS</t>
  </si>
  <si>
    <t>DRA ROSSI, FABIANA</t>
  </si>
  <si>
    <t>PRESUNTA ESTAFA</t>
  </si>
  <si>
    <t>EL DIA DE LA FECHA ES REQUERIDA LA PRESENCIA POLICIAL POR PERSONAL DE LA EMPRESA AEROLINEAS ARGENTINAS, SRA. MARISEL HERRERA, QUIEN CUMPLE FUNCIONES COMO OPERACIONES DE LA EMPRESA, QUIEN SOLICITA SE HAGA PRESENTE UN EFECTIVO DE ESTA POLICIA ABORDO DE LA AERONAVE LV-BAR. LLEGADO AL LUGAR PERSONAL POLICIAL ES INFORMADO POR LA COMISARIO DE ABORDO QUE UN PASAJERO NO QUERIA DESCENDER DE LA MISMA, POR LO QUE EL EFECTIVO POLICIAL INGRESA HASTA LA UBICACION DE ASIENTO 1F, DONDE SE ENCUENTRA EL SR. ARRECHEA, QUIEN MANIFIESTA QUE DESEA REALIZAR UNA DENUNCIA POLICIAL POR SENTIRSE ESTAFADO POR LA EMPRESA ANTES MENCIONADA YA QUE EL COMPRO UNA PASAJE CLASE EJECUTIVA Y EL LUGAR QUE LE ASIGNARON, ASIENTO 1F, NO REUNE LAS CONDICIONES DE ESA CLASE, SIENDO ESTE ASIENTO DE IGUALES CARACTERISTICAS QUE TODOS LOS DEMAS QUE POSEIA ESTA AERONAVE, DADO QUE LAS CONDICIONES DE LA BUTACAS DE LA CLASE EJECUTIVA SON DE OTRA CALIDAD QUE FINCAN EN EL ANCHO Y TAMAÑO, SON MUCHO MAS AMPLIAS QUE ESTAS. POR LO QUE EL PERSONAL POLICIAL SR. HERDA, LE SOLICITA A ESTE SEÑOR DESCIENDA DE LA AERONAVE Y RADIQUE LA DENUNCIA QUE CONSIDERE PERTINENTE, ACCEDIENDO ESTE EN FORMA PACIFICA RADICANDO LA DENUNCIA QUE MOTIVA EL PRESENTE.</t>
  </si>
  <si>
    <t>AR 1750</t>
  </si>
  <si>
    <t>CIUDAD DE POSADAS-MISIONES</t>
  </si>
  <si>
    <t>PREEMBARQUE NACIONAL TERMINAL III</t>
  </si>
  <si>
    <t>EN EL DIA DE LA FECHA SIENDO LAS 11.45 HORAS SE HACE PRESENTE EN ESTA GUARDIA DE PREVENCION EL SR. CAYETANO FRANCHINA PARA REALIZAR UNA DECLARACION TESTIMONIAL POR UN HECHO DE CARÁCTER DELICTIVO OCURRIDO EN EL PREEMBARQUE NACIONAL DENOMINADO TERMINAL III, DONDE FUERA DAMNIFICADO SU HIJO, EL SR. DANIEL FRANCHINA. SIENDO LAS 10:30HS APROXIMADAMENTE EL SR DANIEL FRANCHINA PROCEDE A REALIZAR PREEMBARQUE DEL VUELO Nº AU 2452 CON DESTINO LA CIUDAD DE SALTA. AL PASAR POR EL PUNTO DE INSPECCION Y REGISTRO Y LUEGO DE HABER COLOCADO SUS PERTENENCIAS EN LA CINTA TRANSPORTADORA SE PERCATA DE LA AUSENCIA DE SU CAMARA, POR LO CUAL ES INFORMADO DE DICHO EPISODIO EL AGENTE PABLO LAHORE, ENCARGADO DE PUESTO, QUIEN REALIZA UNA BUSQUEDA VISUAL POR DENTRO Y POR LOS ALREDEDORES DE LA MAQUINA DE RX, ARROJANDO RESULTADO NEGATIVO. POSTERIORMENTE, EL DAMNIFICADO DECIDE DIRIGIRSE A LA PUERTA 12B PARA ABORDAR SU VUELO, LUGAR EN EL CUAL MEDIANTE EL VIDRIO DE BLINDEX QUE LINDA CON DIRECCION AL PATIO DE COMIDAS, LE INFORMA A SU PADRE DE LO SUCEDIDO. MOTIVO POR EL QUE QUIEN SUSCRIBE COMISIONA AL ENCARGADO DE TURNO A DIRIGIRSE AL COC A EFECTOS DE OBSERVAR LAS IMÁGENES CAPTADAS EN MENCIONADO PUNTO DE INSPECCION, EN LAS CUALES SE PUEDE APRECIAR UNA PAREJA LA CUAL COLOCA SUS PERTENENCIAS SOBRE LA MAQUINA DE RX, NO OBSERBANDOSE LA PRESENCIA DE NINGUN OBJETO QUE SE ASEMEJE A UNA CAMARA DIGITAL COLOR NEGRO . CONSECUENTEMENTE ES INFORMADO DE DICHO EPISODIO EL AEROPUERTO DE SALTA A LOS EFECTOS DE RECEPCIONAR DECLARACION TESTIMONIAL DEL SR DANIEL FRANCHINA.</t>
  </si>
  <si>
    <t>AU 2452</t>
  </si>
  <si>
    <t>DR. JOSÉ LUIS D´ABONDIO</t>
  </si>
  <si>
    <t>SECTOR DE ARRIBOS DE LA TERMINAL A</t>
  </si>
  <si>
    <t>UNA VEZ ARRIBADO A ESTE MEDIO DEL VUELO IB6843 EL DENUNCIANTE SE DIRIGE A LA CINTA TRASPORTADORA DE EQUIPAJES DE LA TERMINAL A, MOMENTO EN EL QUE OBSERVA QUE EL CIERRE DE SU BOLSO SE ENCONTRABA UNOS TREINTA CENTÍMETROS ABIERTO Y QUE LE FALTABA UN PRECINTO QUE LE HABÍA COLOCADO ANTES DE DESPACHARLO, POR LO QUE PROCEDE A REVISARLO PERCATÁNDOSE DE LOS FALTANTES</t>
  </si>
  <si>
    <t>IB6843</t>
  </si>
  <si>
    <t>PALMA DE MALLORCA</t>
  </si>
  <si>
    <t>JUZGADO FEDERAL DE 1RA INSTANCIA - BARILOCHE</t>
  </si>
  <si>
    <t>LOPEZ DA SILVA WALTER</t>
  </si>
  <si>
    <t>S/AVERIGUACION PRESUNTO HURTO Y DAÑOS</t>
  </si>
  <si>
    <t>SECTOR DE ANCLAJE DE AERONAVES PRIVADAS</t>
  </si>
  <si>
    <t>PLATAFORMA AUXILIAR</t>
  </si>
  <si>
    <t>EL DIA 22 DE ENERO DE 2010 EL SEÑOR CARLOS GONZALEZ, GERENTE DE OPERACIONES DE LA EMPRESA DUBROVNIK SERVICIOS AEREOS S.A., HACE ENTREGA DE UN SOBRE CERRADO PARA EL JEFE DE UNIDAD OPERACIONAL. A RAIZ DE LO CUAL EN EL DIA DE LA FECHA SE INICIAN ACTUACIONES SUMARIALES ORDENADAS POR EL JUEZ INTERVINIENTE, CARATULANDOLA S/AVERIGUACION PRESUNTO HURTO Y DAÑOS. SIENDO DAMNIFICADA LA AERONAVE PIPER PA-31-350-NAVAJO CHIEFTAIN, MATRICULA LV-BCZ , PERTENECIENTE A LA COMPANIA DUBROVNIK SERVICIOS AEREOS S.A., LA NOTA PRESENTADA ANTE HACE REFERENCIA AL PRESUNTO HURTO DE 20 A 30 LITROS DE COMBUSTIBLE JP1, HECHO QUE FUE DETECTADO POR PERSONAL PROPIO DE LA COMPANIA EL DIA 24 DE DICIEMBRE DE 2009, EN CIRCUNSTANCIAS DE REALIZAR UN VUELO DESDE ESTE AEROPUERTO HASTA LA CIUDAD DE TRELEW; EN REFERENCIA AL HECHO DE DAÑO, SEGUN LO MENCIONADO EN LA NOTA, SE INDICA QUE SE DETECTO UN FORZAMIENTO CON ELEMENTO PUNZANTE EN LA TRABA DE PUERTA DELANTERA DE BAGAJE DE CARGA DE LA MISMA AERONAVE. EL JUZGADO INTERVINIENTE DISPUSO SE REALICEN Y ELEVEN TOMAS FOTOGRAFICAS DE LA AERONAVE EN CUESTION, CROQUIS DEL LUGAR DE ANCLAJE, Y REMISION DE FOTOCOPIAS AUTENTICADAS DE LOS REGISTROS DE MOVIMIENTOS QUE ESTA REALIZARA ENTRE EL 21 DE DICIEMBRE DE 2009 Y EL 21 DE ENERO DEL CORRIENTE AÑO. ASIMISMO SE REALIZO COMUNICACION CON EL SR. CARLOS GONZALEZ DNI 12.573.796, ESTABLECIENDO COMO DOMICILIO LEGAL EN LA CALLE TOMAS TURCOVIK Nº 1134 DE LA LOCALIDAD DE RADA TILLY PROVINCIA DE CHUBUT TELEFONO CELULAR Nº 0297-156238137. INDICANDO ADEMAS QUE LA BASE OPERACIONAL DE DICHA COMPANIA AEREA SE ENCUENTRA N CALLE CUALGLIA Nº 183 DE LA LOCALIDAD DE SAN CARLOS DE BARILOCHE PROVINCIA DE RIO NEGRO</t>
  </si>
  <si>
    <t>UNIDAD FISCAL DEPARTAMENTAL Nº 3 LAS HERAS LA VALLE - OF FISCAL Nº 14</t>
  </si>
  <si>
    <t>SIENDO LAS 16:00HS SE PRESENTA EL SEÑORA MARKUS DEBORAH A DENUNCIAR EL FALTANTE DE UNA CAMARA DIGITAL SONY Y UN IPOD QUE LE HABRIAN SIDO SUSTRAIDOS DE SU EQUIPAJE DESPACHADO POR BODEGA EN EL VUELO MENCIONADO, Y QUIEN SE HABRIA PERCATADO DEL FALTANTE AL RECIBIR SU EQUIPAJE EN ESTE AEROPUERTO, POR ESTE MOTIVO SE REALIZA COMUNICACION CON LA AUTORIDAD JUDICIAL INTERVINIENTE, SIENDO ATENDIDOS POR LA AYUDANTE FISCAL A QUIEN SE LE INFORMAN LOS HECHOS OCURRIDOS Y QUIEN DISPONE, 1º SE REALICEN LAS ACTUACIONES DE RIGOR POR HURTO Y SE DERIVEN A LOS DENUNCIANTES A RADICAR DENUNCIA EN ESA OFICINA FISCAL, 2º SE ELEVEN LAS ACTUACIONES POR ESTA PSA UNA VEZ FINALIZADAS LAS MISMAS, A LO QUE SE LE DARA ESTRICTO CUMPLIMIENTO. ASI MISMO SE INFORMA QUE SE ENVIA MEDIANTE FAX MEMORANDO Nº 69/10 DE ORDEN INTERNO DE ESTA UOSP DE FECHA 25/01/10 A LA UOSP METROPOLITANA DE LA URSA I DEL ESTE, SOLICITANDO SE PRACTIQUEN LAS AVERIGUACIONES PERTINENTE PARA EL ESCLARECIMIENTO DEL HECHO DANDO CUMPLIMIENTO AL MEMORANDO 2751/08 EMANADO POR EL CEAC.</t>
  </si>
  <si>
    <t>AR 2416</t>
  </si>
  <si>
    <t>SEGUN ORDEN DE SERVICIO N° 002/10 DE ESTA UNIDAD, INFORMO ARRIBO DEL SELECCIONADO NACIONAL DE FUTBOL, CUERPO TECNICO Y COMITIVA. EL MISMO SE DESPLAZÓ VIA TERRESTRE HASTA LA CIUDAD CAPITAL DE SAN JUAN, SIN NOVEDAD.</t>
  </si>
  <si>
    <t>ARRIBOS TERMINAL A -FUERA DE JURIDICCION</t>
  </si>
  <si>
    <t>QUE LLEGADOS LOS MENORES A ESTE MEDIO, SE DIRIGEN A RETIRAR DE LAS CINTAS SUS EQUIPAJES DESPACHADOS, ENTRE LOS QUE SE ENCUENTRA UN BOLSO DE COLOR AZUL. QUE LUEGO DE DOS HORAS DE ESPERARLO Y AL NO DAR CON EL BOLSO, SE APROXIMAN AL MOSTRADOR DE RECLAMOS DE LA COMPAÑIA Y LE MANIFIESTAN AL PERSONAL DE ESTA LO SUSCITADO, RECIBIENDO COMO RESPUESTA QUE EL BOLSO NO HABIA LLEGADO Y QUE ARRIBARA A ESTE MEDIO DENTRO DE LAS PROXIMAS 48 HORAS, AGREGANDO ADEMAS QUE LA EMPRESA SE HARIA RESPONSABLE DEL TRASLADO DESDE ESTE MEDIO HASTA SU DOMICILIO. QUE EL DIA 20, UNA VEZ RECIBIDO EL BOLSO EN SU DOMICILIO, OBSERVAN QUE EL MISMO SE ENCUENTRA CON LA PARTE INFERIOR TODA ROTA, MOTIVO POR EL CUAL, PROCEDE A REVISAR SU CONTENIDO Y SE PERCATA DEL FALTANTE DE VARIAS DE SUS PRENDAS DE VESTIR.-</t>
  </si>
  <si>
    <t>EZEIZA - BUENOS AIRES.-</t>
  </si>
  <si>
    <t>431/10</t>
  </si>
  <si>
    <t>EN EL DIA DE LA FECHA SIENDO LAS 11.45 HORAS SE HACE PRESENTE EN ESTA GUARDIA DE PREVENCION EL SR. CAYETANO FRANCHINA PARA REALIZAR UNA DECLARACION TESTIMONIAL POR UN HECHO DE CARÁCTER DELICTIVO OCURRIDO EN EL PREEMBARQUE NACIONAL DENOMINADO TERMINAL III, DONDE FUERA DAMNIFICADO SU HIJO, EL SR. DANIEL FRANCHINA. SIENDO LAS 10:30HS APROXIMADAMENTE EL SR DANIEL FRANCHINA PROCEDE A REALIZAR PREEMBARQUE DEL VUELO Nº AU 2452 CON DESTINO LA CIUDAD DE SALTA. AL PASAR POR EL PUNTO DE INSPECCION Y REGISTRO Y LUEGO DE HABER COLOCADO SUS PERTENENCIAS EN LA CINTA TRANSPORTADORA SE PERCATA DE LA AUSENCIA DE SU CAMARA MARCA SANSUNG COLOR NEGRA, POR LO CUAL ES INFORMADO DE DICHO EPISODIO EL AGENTE PABLO LAHORE, ENCARGADO DE PUESTO, QUIEN REALIZA UNA BUSQUEDA VISUAL POR DENTRO Y POR LOS ALREDEDORES DE LA MAQUINA DE RX, ARROJANDO RESULTADO NEGATIVO. POSTERIORMENTE, EL DAMNIFICADO DECIDE DIRIGIRSE A LA PUERTA 12B PARA ABORDAR SU VUELO, LUGAR EN EL CUAL MEDIANTE EL VIDRIO DE BLINDEX QUE LINDA CON DIRECCION AL PATIO DE COMIDAS, LE INFORMA A SU PADRE DE LO SUCEDIDO. MOTIVO POR EL QUE QUIEN SUSCRIBE COMISIONA AL ENCARGADO DE TURNO A DIRIGIRSE AL COC A EFECTOS DE OBSERVAR LAS IMÁGENES CAPTADAS EN MENCIONADO PUNTO DE INSPECCION, EN LAS CUALES SE PUEDE APRECIAR UNA PAREJA LA CUAL COLOCA SUS PERTENENCIAS SOBRE LA MAQUINA DE RX, NO OBSERBANDOSE LA PRESENCIA DE NINGUN OBJETO QUE SE ASEMEJE A UNA CAMARA DIGITAL COLOR NEGRO . CONSECUENTEMENTE ES INFORMADO DE DICHO EPISODIO EL AEROPUERTO DE SALTA A LOS EFECTOS DE RECEPCIONAR DECLARACION TESTIMONIAL DEL SR DANIEL FRANCHINA.</t>
  </si>
  <si>
    <t>SECTOR DE CHECK IN DE LA EMPRESA AIR FRANCE</t>
  </si>
  <si>
    <t>AGUARDANDO EN LA FILA CHECK IN A LOS EFECTOS DE REALIZAR EL DESPACHO DE LOS EQUIPAJES PARA SU VUELO, SE DISTRAE APROXIMADAMENTE UN MINUTO QUITANDO LA VISTA DE SUS PERTENENCIAS LAS CUALES SE ENCONTRABAN EN UN CARRO PORTAMALETAS. LUEGO REGRESA LA VISTA AL CARRO MENCIONADO PERCATÁNDOSE QUE LE FALTABA DEL BUCHE DEL MISMO SU MALETÍN.</t>
  </si>
  <si>
    <t>NAC DE 1º INST EN LO CRIMINAL DE INST Nº 21</t>
  </si>
  <si>
    <t>HANGAR</t>
  </si>
  <si>
    <t>FRENTE AL HIDRANTE Nº 18 DE LA PLATAFORMA COMERCIAL</t>
  </si>
  <si>
    <t>MODULO DE AUSTRAL</t>
  </si>
  <si>
    <t>EN EL DIA DE LA FECHA SIENDO LAS 18:55HS SE HACE PRESENTE EL DAMNIFICADO, MANIFESTANDO QUE LUEGO DE HABER INGRESADO EN ESTE AEROPARQUE EL DÍA 24 DE ENERO DEL CORRIENTE AÑO EN EL HORARIO DE LAS 22:00HS, A LOS EFECTOS DE COMENZAR SUS LABORES DIARIAS DE OCHO HORAS COMO MECÁNICO PARA LA EMPRESA AUSTRAL LÍNEAS AÉREAS, SIENDO LAS 02:00HS EN MOMENTO EN QUE SE DIRIGE AL SECTOR DENOMINADO MODULO AUSTRAL, A LOS EFECTOS DE BUSCAR SU CAJA DE HERRAMIENTAS PARA POSTERIORMENTE DIRIGIRSE HACIA LA AERONAVE MATRICULA LV-BOR DE LA EMPRESA AUSTRAL. MOMENTO EN EL QUE AL APERSONARSE EN MENCIONADO MODULO, OBSERVA QUE EL CANDADO QUE BRINDABA SEGURIDAD A LA PUERTA DE LA JAULA LA CUAL EN SU INTERIOR RESGUARDABA SU CAJA DE HERRAMIENTAS, ESTABA SUELTO. CONSECUENTEMENTE, EL DENUNCIANTE ABRIÓ LA PUERTA DE JAULA Y TOMÓ SU CAJA, NOTANDO QUE LA MISMA NO TENIA EL CANDADO QUE EL SR. RENDICH HABÍA COLOCADO POR ÚLTIMA VEZ. SEGUIDAMENTE NOTÓ QUE LA CAJA ESTABA MUY LIVIANA POR LO CUAL AL APERTURARLA OBSERVO QUE FALTABAN TODAS LA HERRAMIENTAS DE TRABAJO PROVISTAS POR EL EMPRESA AUSTRAL LÍNEAS AÉREAS, POR LO QUE SE HIZO PRESENTE EN ESTA GUARDIA A FIN DE PLASMAR ESTA DENUNCIA. SIENDO LAS 19:55HS QUIEN SUSCRIBE ENTABLA COMUNICACIÓN VÍA TELEFÓNICA CON LA DRA. SAMANIEGO, QUIEN ENTERADA DE LOS HECHOS DISPONE.SE SOLICITE NOMINA DE PERSONAL QUE TIENE ACCESO AL LUGAR, FOTOS, CROQUIS E INSPECCIÓN OCULAR DEL LUGAR, SE REALICE INFORME TÉCNICO DEL LA CAJA DE HERRAMIENTAS, CIERRE Y ELEVACIÓN DE LAS ACTUACIONES</t>
  </si>
  <si>
    <t>SUPUESTO ROBO</t>
  </si>
  <si>
    <t>PLAYA DE ESTACIONAMIENTO AEROESTACION</t>
  </si>
  <si>
    <t>EN MOMENTOS QUE EL SR. LUNA CARLOS ORLANDO DEJA SU VEHÍCULO VW PASSAT CHAPA PATENTE GFK-740 EN LA PLAYA DE ESTACIONAMIENTO PARA ESPERAR A SU HERMANO PASAJERO DEL VUELO DE AUSTRAL N°2788 PROCEDENTE DE AEROPARQUE JORGE NEWBERY APROXIMADAMENTE ENTRE LAS HS 21:24 Y LAS HS 21:50 AL REGRESAR A ESTE NOTA QUE LA CERRADURA DE LA PUERTA DEL BAÚL DE SU VEHÍCULO SE ENCONTRABA FORZADA QUE LUEGO DE ABRIR LA MISMA NOTO EL FALTANTE DE LA RUEDA DE AUXILIO MARCA PIRELLI RODADO 15 CON LLANTA DE CHAPA COLOR NEGRA Y SIN USO. ANTE ESTA SITUACION SE PRESENTA EN LA GUARDIA DE PREVENCION DE ESTA UNIDAD Y RADICA LA DENUNCIA CORRESPONDIENTE. SE DA INTERVWNCION A LA FICALIA ACTUANTE QUIEN DISPONE SE ELEVE LO ACTUADO EL DIA 26 DE ENERO 2010</t>
  </si>
  <si>
    <t>JUZGADO NACIONAL EN LO CRIMINAL Y CORRECCIONAL FEDERAL N° 7</t>
  </si>
  <si>
    <t>Secretaria N 13</t>
  </si>
  <si>
    <t>DRA. CARROZZO SILVANA</t>
  </si>
  <si>
    <t>VIDELA JORGE RAFAEL Y OTROS S/PRIVACION ILEGAL DE LA LIBERTAD</t>
  </si>
  <si>
    <t>2510/08</t>
  </si>
  <si>
    <t>POLICIA FEDERAL</t>
  </si>
  <si>
    <t>PLATAFORMA OPERATIVA Nº 9 - GUARDIA DE PREVENCION SECTOR C - ESTACIONAMIENTO DESCUBIERTO NORTE</t>
  </si>
  <si>
    <t>PLATAFORMA OPERATIVA - GUARDIA DE PREVENCION - ESTACIONAMIENTO DESCUBIERTO</t>
  </si>
  <si>
    <t>SIENDO LA HORA 08:30 ARRIBA A ESTE AEROPARQUE LA AERONAVE MATRICULA LV- BNM UBICANDOSE EN PLATAFORMA OPERATIVA Nº 9, VUELO DE AEROLÍNEAS ARGENTINAS Nº AR1793 PROCEDENTE DE LA CIUDAD DE CORRIENTES CAPITAL, IMPLEMENTASE LA ORDEN DE SERVICIO Nº 045/10 FAX PROCEDENTE DE LA URSA I DEL ESTE SEGUN MEMORANDO Nº 119/10 PROCEDENTE DEL CEAC REFERENTE AL CONTROL DE POLICIA DE SEGURIDAD AEROPORTUARIA CON MOTIVO DEL TRASLADO DEL CIUDADANO CORDERO PIACENTINI JUAN MANUEL. SIENDO LAS 08:45 HORAS SE PRESENTA LA COMISION POLICIAL DE LA SECCION INVESTIGACION FEDERAL DE FUGITIVOS INTERPOL PERTENECIENTE A LA POLICIA FEDERAL ARGENTINA INTEGRADA POR EL SUBINSPECTOR PABLO MARTIN FARANNA LP 2363, CABO 1º FERNANDEZ MANUEL LP 5486, AGENTE EMILIANO SOTELO, AGENTE VEGA EDUARDO LP 14.009, HACIENDO EFECTIVO EL TRASLADANDO AL DETENIDO RETIRANDOSE A LAS 09:30 HS EN MOVIL DE DOTACION DE LA PFA POR EL ESTACIONAMIENTO DESCUBIERTO NORTE SIN NOVEDAD. CABE DESTACAR QUE EL DETENIDO FUE EXTRADITADO DE LA REPUBLICA FEDERATIVA DEL BRASIL POR VIA TERRESTE HASTA LA CIUDAD DE CORRIENTES CAPITAL Y DE ESTE ULTIMO VIA AEREA EN EL VUELO ANTES MENCIONADO HASTA ESTA CABA.</t>
  </si>
  <si>
    <t>AR 1793</t>
  </si>
  <si>
    <t>CORRIENTES CAPITAL</t>
  </si>
  <si>
    <t>CIUDAD AUTONOMA DE BUENOS AIRES - AEROPARQUE</t>
  </si>
  <si>
    <t>HALL DEL AEROPUERTO</t>
  </si>
  <si>
    <t>EN EL DÍA DE LA FECHA SIENDO LAS 09:50 HS. SE HACE PRESENTE EN LA OFICINA DE TURNO PSA EL SR. HERNANDEZ DANIEL OMAR PARA RADICAR UNA DENUNCIA SOBRE LA SUSTRACCIÓN POR DESCONOCIDOS DE UN MALETÍN , OCURRIDO EL DÍA 24 DE ENERO A LAS 18:00 HS. EN EL HALL DEL AEROPUERTO.EL MISMO LE HABRÍA SIDO SUSTRAIDO ,SEGUN SUS DICHOS ,AL SER DISTRAÍDO POR UN INDIVIDUO QUE LE HIZO UNA CONSULTA.POSTERIORMENTE SE PERCATA QUE YA NO TENÍA EL MALETIN JUNTO A ÉL</t>
  </si>
  <si>
    <t>AR1609</t>
  </si>
  <si>
    <t>EN LA PUERTA DE EMBARQUE NUMERO 05</t>
  </si>
  <si>
    <t>PLANTA ALTA DE LA TERMINAL A</t>
  </si>
  <si>
    <t>QUE LUEGO DE REALIZAR EL CHECKING EN EL MOSTRADOR N° 42 DE LA EMPRESA AIR FRANCE, Y EL CORRESPONDIENTE TRAMITE MIGRATORIO, SE DIRIGIO A LA MANGA DE EMBARQUE DESTINADA PARA LA COMPAÑIA AIR FRANCE, LUGAR DONDE SE PERCATO DEL FALTANTE DE UN TELEFONO CELULAR QUE TRANSPORTABA DENTRO DE UNA CARTERA QUE LA DENUNCIANTE LLEVABA COMO EQUIPAJE DE MANO. QUE AL HABERSE CANCELADO EL VUELO DE MENCION LA MISMA SE RETIRO DE ESTE MEDIO, REGRESANDO EN EL DIA DE LA FECHA A LOS EFCTOS DE REALIZAR LA CORRESPONDIENTE DENUNCIA</t>
  </si>
  <si>
    <t>CONFITERIA DE NOMBRE COMERCIAL LA PAUSA</t>
  </si>
  <si>
    <t>QUE EN MOENTOS EN QUE SE ENCONTARBA REALIZANDO UNA CONSUMICION, EN LA CONFITERIA DE MENCION, DEJO APOYADO SOBRE EL RESPALDAR DE LA SILLA QUE OCUPABA, UNA CARTERA DE COLOR NEGRO, LA CUAL CONTENIA EN SU INTERIOR ELEMENTOS PERSONALES VARIOS, UN MONEDERO DE COLOR NEGRO SIN INSCRIPCCION VISIBLE, QUE A SU VEZ CONTENIA, UN JUEGO DE LLAVES Y UN TELEFONO CELULAR PERTENECIENTE A LA COMPAÑIA AEROCOMERCIAL TAM AIRLINES. QUE CUANDO TERMINO CON SU CONSUMICION, INTENTO REALIZAR UNA COMUNICACION TELEFONICA, PERCATANDOSE EN ESE INSTANTE QUE SU CARTERA, SE ENCONTRABA ABIERTA, PERCATANDOSE DEL MISMO MODO DEL FALTANTE DEL MONEDERO CITADO CON SU CONTENIDO</t>
  </si>
  <si>
    <t>JUZGADO NACIONAL EN LO CRIMINAL Y CORRECCIONAL FEDERAL N° 5</t>
  </si>
  <si>
    <t>DR. PEDRO DIANI</t>
  </si>
  <si>
    <t>AVERIGUACION INFRACCION A LA LEY 23.737</t>
  </si>
  <si>
    <t>PATIO DE CARGAS EMPRESA JETPAQ</t>
  </si>
  <si>
    <t>SIENDO LAS 09:10 HORAS DEL DÍA DE LA FECHA SE RECIBE COMUNICACIÓN VIA RADIAL POR PARTE DEL FUNCIONARIO POLICIAL DESTACADO EN EL PUNTO DE INSPECCIÓN Y REGISTRO DEL DEPOSITO DE CARGAS DE LA EMPRESA JET PAQ EL CUAL INFORMA SOBRE UNA SUSTANCIA SOSPECHOSA DE ORIGEN ORGÁNICO EN UNA SACA DE CORREO CON PRECINTO COLOCADO Nº B982571 PROCEDENTE DEL AEROPUERTO DE SALTA EN EL VUELO DE AUSTRAL Nº AU2459, Y EL CUAL SERIA EMBARCADO CON DESTINO AL AEROPUERTO DE RÍO GALLEGOS EN EL VUELO DE LA EMPRESA AEROLÍNEAS ARGENTINAS Nº AR1880. SE SOLICITA LA PRESENCIA DE DOS TESTIGOS A TAL FIN QUE SON DIRIGIDOS HASTA LA GUARDIA DE PREVENCIÓN JUNTO A LA SACA. SE ESTABLECE COMUNICACIÓN TELEFÓNICA CON LA JUDICATURA QUIEN DISPONE: APERTURA DE LA SACA Y DE SU CONTENIDO Y CON EL RESULTADO DE LA APERTURA SE REALICE NUEVA COMUNICACIÓN CON EL RESULTADO OBTENIDO. SE PROCEDE A LA APERTURA DE LA SACA Y DE LOS BULTOS. EL PRIMER BULTO CON LA LEYENDA "RTTE SILVIA GUANUCO, SAN MARTIN S/N, MAIMARA, PCIA DE JUJUY" DIRIGIDA A "MIRTA A CASIMIRO, LA PAMPA Nº58 Bº - LOS LUPINOS 9407, RÍO TURBIO, PCIA SANTA CRUZ" ENCONTRANDO EN SU INTERIOR, ENTRE OTROS ELEMENTOS, OCHO PAQUETES ENVUELTOS EN CINTA DE EMBALAR COLOR MARRÓN A SU VEZ ENVUELTO EN UN ABOLSA DE NYLON COLOR VERDE CONTENIENDO HOJAS DE COCA COMPACTADAS Y LA CUALES ARROJAN UN TOTAL DE 1961 GRAMOS ( PESO TOTAL DE LOS 8 PAQUETES). LA APERTURA DEL SEGUNDO BULTO ENVIADO POR "RTTE SRA. MARIA ANTONIA DE CUELLAS, PEAT - 27 - Nª 2796, 3º SNA PEDRITO C/P 4600, SS DE JUJUY" DIRIGIDA PARA "SR. NESTOR CUELLAR, DNI Nº 27810794, AV. DEL LIBERTADOR Nº 1133 (CORREO ARGENTINO, EL CALAFATE PCIA STA CRUZ. ARROJO RESULTANDO NEGATIVO EN LA BÚSQUEDA DE ELEMENTOS PROHIBIDOS. SE REALIZA NUEVA COMUNICACIÓN TELEFÓNICA CON LA JUDICATURA CON LOS RESULTADOS OBTENIDOS, DISPONIENDO: SECUESTRO DE LA SACA Y LOS DOS BULTOS ANTES MENCIONADO, SE RECEPCIONEN DECLARACION TESTIMONIAL DE LOS TESTIGOS DEL PROCEDIMIENTO, SE MANTENGA EN CUSTODIA EN ESTA DEPENDENCIA LOS ELEMENTOS SECUESTRADOS HASTA ENVIO DE LOS MISMOS A SEDE JUDICIAL. SE LABRA LA PREVENCIÓN SUMARIA Nº 032-A/10</t>
  </si>
  <si>
    <t>AR1880</t>
  </si>
  <si>
    <t>JUZGADO FEDERAL. DE 1° INSTANCIA - RIO GRANDE</t>
  </si>
  <si>
    <t>SECRETARIA PENAL ECONOMICO</t>
  </si>
  <si>
    <t>Herraez</t>
  </si>
  <si>
    <t>Lilian</t>
  </si>
  <si>
    <t>BORRUTTO MARIEL</t>
  </si>
  <si>
    <t>S/Inf. a la ley 23.737</t>
  </si>
  <si>
    <t>1932/08</t>
  </si>
  <si>
    <t>OFICINA CONTROL RED LINCE</t>
  </si>
  <si>
    <t>EN EL DIA DE LA FECHA SIENDO LAS 13:30 HORAS SE PROCEDE A NOTIFICAR AL CIUDADANO, ESPEJO GUILLERMO WALTER DNI 29.264.955 RESPECTO DE UNA SOLICITUD DE PARADERO CON COMPARENDO SOBRE SU PERSONA, EN EL MARCO DE LOS AUTOS DE REFERENCIA SEGUN REGISTRO DE RED LINCE 278.265. EL CIUDADANO FIJÓ DOMICILIO REAL EN CALLE PREFECTURA NAVAL Nº 964 2º PISO Bº CHACRA II DE ESTA CIUDAD DE RIO GRANDE, PROVINCIA DE TIERRA DEL FUEGO.</t>
  </si>
  <si>
    <t>UNIDAD PREVENCIONAL DE MINORIDAD Y FAMILIA DE RIO GRANDE</t>
  </si>
  <si>
    <t>SOLICITUD DE PARADERO</t>
  </si>
  <si>
    <t>SIENDO LAS 16:10 HORAS SE PROCEDE A NOTIFICAR AL CIUDADANO BEAUVAIS EMILIO GONZALO DNI 30.416.229 RESPECTO DE LA SOLICITUD DE PARADERO QUE RECAE SOBRE SU PERSONA SEGÚN REGISTRO RED LINCE Nº 198090 VINCULADO A LOS AUTOS EXPEDIENTE DE EXPOSICION Nº 104/03 CARATULADO SOLICITUD DE PARADERO EN TRAMITE POR ANTE LA UNIDAD PREVENCIONAL DE MINORIDAD Y FAMILIA RIO GRANDE. EL CIUDADANO FIJÓ DOMICILIO REAL EN CALLE PELLEGRINI Nº 1390 DE LA CIUDAD DE PUERTO SAN JULIAN PROVINCIA DE SANTA CRUZ, TELEFONO DE CONTACTO Nº 02966-15565980.</t>
  </si>
  <si>
    <t>RIO GALLEGOS / PUERTO SAN JULIAN</t>
  </si>
  <si>
    <t>DR.PEDRO DIANI</t>
  </si>
  <si>
    <t>ROBO DE CORRESPONDENCIA NN</t>
  </si>
  <si>
    <t>OFICINAS DE LA EMPRESA JET PAQ.</t>
  </si>
  <si>
    <t>BODEGA AVION.</t>
  </si>
  <si>
    <t>SR.ALEJANDRO BENI</t>
  </si>
  <si>
    <t>SR.DIEGO MARTIN BENI</t>
  </si>
  <si>
    <t>SIENDO LA HORA ANTES MENCIONADA SE HACE PRESENTE EL SR. BENI DIEGO EN ESTA GUARDIA DE PREVENCION DENUNCIANDO, QUE EN EL DIA DE LA FECHA SE HIZO PRESENTE EN EL LOCAL COMERCIAL DE LA EMPRESA JET PAQ, CON EL FIN DE RETIRAR UN SOBRE EL CUAL HABIA SIDO DESPACHADO EN EL AEROPUERTO DE LA CIUDAD DE MENDOZA POR SU HERMANNO EL SR. ALEJANDRO BENI, CONTENIENDO EN SU INTERIOR, RECIBOS DE COBRANZA VARIOS, TREINTA SEIS CHEQUES DE DISTINTAS ENTIDADES BANCARIAS EMITIDOS ADIFERENTES ORDENES Y DINERO EN EFECTIVO POR UN VALOR DE QUINCE MIL PESOS ARGENTINOS Y MILSETECIENTOS OCHO DOLARES ESTADOUNIDENSES Y EN MOMENTOS EN QUE LE ES ENTREGADO POR LA EMPLEADA DE LA EMPRESA JET PAQ ,EL MISMO, EL DENUNCIANTE NOTA QUE EL SOBRE ESTABA DELGADO SOSPECHANDO QUE LE FALTA PARTE DEL CONTENIDO, SE DIRIJE HACIA SU VEHICULO EN DONDE PROCEDE A APERTURAR EL MISMO Y EN ESE MOMENTO SE PERCATA DEL FALTANTE DEL DINERO, TANTO DE LOS PESOS ARGENTINOS COMO DE LOS DOLARES. SEGUIDAMENTE EL MISMO SE COMUNICA TELEFONICAMENTE CON SU HERMANO PARA ASEGURARSE DE EL DINERO HAYA SIDO COLOCADO EN EL INERIOR DEL SOBRE, MANIFESTANDO QUE SI LO HABIA COLOCADO EL DINERO,ANTE ESTA SITUACION EL DENUNCIANTE SE DIRIGE NUEVAMENTE A LOCAL DE JET PAQ EN DONDE LE ES TOMADO EL RECLAMO CORRESPONDIENTE Y LE INDICAN QUE REALICE LA DENUNCIA PENAL CORRESPONDIENTE. SIENDO LAS 16:00 HS SE PROCEDE A ENTABLAR COMUNICACION TELEFONICA CON LA JUDICARIA ACTUANTE LA CUAL DISPONE: SECUESTRO DEL SOBRE EN CUESTION, SE TOME TESTIMONIAL A LOS EMPLEADOS DE LA EMPRESA JET PAQ INTERVINIENTE. DE ACUERDO A LA DOCUMENTACION OBRANTE APORTADA POR PERSONAL JET PAQ, EL SOBRE LLEGO EN PERFECTO ESTADO A ESTE AEROPARQUE MOTIVO POR EL CUAL SE ESTAN REALIZANDO LAS CONSULTAS CORRESPONDIENTE EN EL AEROPUERTO DE ORIGEN.</t>
  </si>
  <si>
    <t>AR1431</t>
  </si>
  <si>
    <t>BUENOS AIRES, AEROPARQUE METROPOLITANO</t>
  </si>
  <si>
    <t>ARRIBOS DE LA TERMINAL A</t>
  </si>
  <si>
    <t>QUE SIENDO EL DIA INDICADO EL DENUNCIANTE ARRIBO A ESTA AEROESTACION Y LUEGO DE HABER RECOGIDO SU EQUIPAJE EN LA CINTA TRANSPORTADORA SIENDO ESTE UNA VALIJA TIPO CARRY-ON DE COLOR NEGRO EL CUAL CONTENIA EN SU INTERIOR UNA COMPUTADORA PERSONAL DE COLOR NEGRO Y GRIS JUNTAMENTE CON SU RESPECTIVO CARGADOR, ELEMENTOS PERSONALES VARIOS, UN CARGADOR DE CELULAR MARCA BLCKBERRY Y UNA CAMISETA MARCA NIKE. QUE UNA VEZ RECOGIDA DICHA VALIJA SE RETIRA DE ESTE AEROPUERTO INTERNACIONAL HACIA LA CIUDAD AUTONOMA DE BUENOS AIRES DONDE SE HOSPEDARIA EN EL DOMICILIO JUNCAL 1680 CABA ANTES DETALLADO. QUE UNA VEZ EN DICHO DOMICILIO Y AL NOTAR QUE SU VALIJA SE ENCONTRABA VIOLENTADA EN EL SISTEMA DE SEGURIDAD NUMERICA QUE PORTA LA MISMA PROCEDE A APERTURARLA NOTANDO EL FALTANTE DE LOS ELEMENTOS ANTES DETALLADOS. QUE SIENDO EL DIA DE LA FECHA SE HACE PRESENTE EN ESTE TURNO DE PREVENCION A EFECTOS DE RADICAR LA CORRESPONDIENTE DENUNCIA.-</t>
  </si>
  <si>
    <t>SARMIENTO 2113 4ºP H</t>
  </si>
  <si>
    <t>EN EL DIA DE LA FECHA Y POR ORDEN DE LA JUDICATURA CORRESPONDIENTE SE PROCEDE A LA LA ORDEN DE ALLANAMIENTO, CON LA ORDEN DE SERVICIO Nº 59/10. S. A CONTINUACION SE MANTIENE COMUNICACION CON LA DRA. CAMPOS TULA A QUIEN SE LE INFORMA QUE SE HALLARON GRAN CANTIDAD DE DISCOS COMPACTOS, CAJAS Y FOLLETERIA DE LOS MISMOS LOS CUALES ESTARIAN DESTINADOS A SU COMERCIALIZACION POR LO CUAL SE RECIBE LA ORDEN DEL SECUESTRO DE ESTOS ELEMENTOS LABRANDOSE ACTA POR SEPARADO.</t>
  </si>
  <si>
    <t>SIENDO LA HORA 13.20 HORAS SE HACE PRESENTE EL DENUNCIANTE MANIFESTANDO EL EXTRAVIO DE SU PERMISO PERSONAL DE SEGURIDAD AEROPORTUARIO TEMPORAL EL DIA 22 DEL CORRIENTE MES Y AÑO DENTRO DE LAS INSTALACIONES DE ESTE AEROPUERTO METROPOLITANO.</t>
  </si>
  <si>
    <t>QUE EN MOMENTOS EN QUE PERSONAL DE LA DIVISIÓN DE NARCOTRÁFICO Y DELITOS COMPLEJOS SE ENCONTRABA REALIZANDO EL CONTROL DE LOS EQUIPAJES DESPACHADOS A BODEGA POR LOS PASAJEROS DEL VUELO ANTES DESCRIPTO OBSERVAN MEDIANTE LA PANTALLA DE LA MAQUINA DE RAYOS X LA EXISTENCIA DE UNA SUSTANCIA ORGÁNICA DISPUESTA EN EL INTERIOR DEL EQUIPAJE, SEGUIDAMENTE PROCEDEN A SEPARAR EL EQUIPAJE, EL CUAL SE ENCONTRABA DESPACHADO BAJO MARBETE NUMERO 202005 A NOMBRE DE ADRIAENSSENS/RICA. ANTE TAL CIRCUNSTANCIA SE SEPARA DICHO EQUIPAJE, EL CUAL CONSTA DE UNA VALIJA DEL TIPO CARRY- ON DE COLOR NEGRO CON LA INSCRIPCIÓN DELSEV, SE SOLICITA LA PRESENCIA DE DOS TESTIGOS HÁBILES, SE PROCEDE A LA BÚSQUEDA DEL PASAJERO PROPIETARIO DE LA VALIJA EN CUESTIÓN Y SIMULTÁNEAMENTE SE INFORMA DE LOS HECHOS AL JEFE DE TURNO DEL DÍA. QUIEN UNA VEZ EL PASAJERO EN EL SECTOR DEL PATIO DE VALIJAS Y EN PRESENCIA DE LOS TESTIGOS ES CONSULTADO SI LA VALIJA ERA DE SU PROPIEDAD. MANIFESTANDO EL CAUSANTE QUE SI QUE ERA DE SU PROPIEDAD. POR TAL MOTIVO Y POR RAZONES NECESIDAD COMODIDAD Y URGENCIA LOS INTERVINIENTES JUNTO CON EL CAUSANTE SON ACOMPAÑADOS HACIA EL TURNO DE PREVENCIÓN A EFECTOS SOLICITAR AL JUZGADO INTERVINIENTE LA REQUISA PERSONAL Y DE SU EQUIPAJE. QUE UNA VEZ FINALIZADA DICHA REQUISA LA CUAL ARROJO RESULTADO POSITIVO EN CUANTO A LA PRESENCIA DE SUSTANCIA PROHIBIDA LA CUAL SE ENCONTRABA DISPUESTA EN CUATRO PAQUETES, CONSTITUIDOS DE LA SIGUIENTE MANERA ENVUELTOS EN CONTAC TRANSPARENTE POR DEBAJO DE ESTE UNA CAPA DE PAPEL PINTADO DE COLOR NEGRO, DEBAJO DE ESTE UNA CAPA DE PAPEL CARBONICO COLOR NEGRO Y DEBAJO DEL MISMO NYLON TRANSPARENTE. QUE SEGUIDAMENTE EL CAUSANTE QUEDO DETENIDO EN CALIDAD DE INCOMUNICADO, SE LABRE ACTA DE PROCEDIMIENTO BAJO LA CARÁTULA TENTATIVA DE CONTRABANDO DE ESTUPEFACIENTES Y DEMÁS ACTUACIONES DE RIGOR, SIENDO TRASLADADO HACIA SEDE JUDICIAL A PRIMERA HORA DEL DÍA DE LA FECHA.-</t>
  </si>
  <si>
    <t>IB6844</t>
  </si>
  <si>
    <t>AMSTERDAN</t>
  </si>
  <si>
    <t>437/10</t>
  </si>
  <si>
    <t>SEGUN ORDEN DE SERVICIO N° 002/10 DE ESTA UNIDAD, INFORMO ABANDONO LA PROVINCIA DE SAN JUAN EL SELECCIONADO NACIONAL DE FUTBOL, CUERPO TECNICO Y COMITIVA, SIN NOVEDAD.</t>
  </si>
  <si>
    <t>464/10</t>
  </si>
  <si>
    <t>QUE SIENDO LAS OCHO HORAS DEL DIA 27 DE ENERO DEL AÑO 2010 SE PROCEDIO AL TRASLADO DEL DETENIDO ADRIAENSSENS RICARDO, A SEDE JUDICIAL JUNTAMENTE CON LAS ACTUACIONES CORRESPONDIENTES.</t>
  </si>
  <si>
    <t>TRIBUNAL ORAL EN LO CRIMINAL FEDERAL Nº 02</t>
  </si>
  <si>
    <t>LORENA CASTELLI</t>
  </si>
  <si>
    <t>KRAWCZYK, TASINA,HENRICHS, FRANZISCA S/EJECUCION PENAL</t>
  </si>
  <si>
    <t>EN REFERENCIA A ORDEN DE SERVICIO NRO. 07/10 DE FECHA 27-ENE-2010, SIENDO LAS 09:20 HS SE PROCEDIO A EFECTIVIZAR EL TRASLADO Y CUSTODIA DE LA DETENIDA HACIA LA U.O.SP. AEROPARQUE PARA QUE LUEGO PERSONAL DE ESA UNIDAD PROCEDA A TRASLADAR A LA CAUSANTE VIA TERRESTRE CON MOVIL DE DOTACION HASTA LA U.O.S.P EZEIZA, QUEDANDO ALOJADA EN ESA PARA SU POSTERIOR EXPULCION HACIA LA REPUBLICA DE ALEMANIA SIN CUSTODIA P.S.A. EN EL VUELO LH 511 CON DESTINO FINAL LA CIUDAD DE FRANKFURT</t>
  </si>
  <si>
    <t>AU 2521</t>
  </si>
  <si>
    <t>468/10</t>
  </si>
  <si>
    <t>EN REFERENCIA A ORDEN DE SERVICIO NRO. 07/10 DE FECHA 27-ENE-2010, SIENDO LAS 12:15 HS. EL PERSONAL DESIGNADO PARA EFECTIVIZAR EL TRASLADO Y CUSTODIA DE LA DETENIDA HACIA LA U.O.SP. AEROPARQUE HIZO ENTREGA DE LA MISMA AL PERSONAL QUE SE DESEMPAÑABA COMO JEFE DE TURNO DE LSA SITADA U.O.S.P SR. MATEO GOIZUETA CONTROL 504.444 SIN NOVEDA. ASIMISMO CABE DESTACAR QUE EL PERSONAL DE REFERENCIA EMPRENDIO EL REGRESO A ESTA U.O.S.P. SIENDO LAS 12:45 HS. VIA AÉREA.</t>
  </si>
  <si>
    <t>EN EL DIA DE LA FECHA SE PRESENTA EN ESTA GUARDIA DE PREVENCION UNA PERSONA QUE DESEA RADICAR UNA DENUNCIA DE EXTRAVIO DE UN PERMISO PERSONAL DE SEGURIDAD AEROPORTUARIO, NO RECORDANDO HORARIO NI LUGAR. LABRANDOSE LA DENUNCIA DE EXTRAVIO Nº 48/10</t>
  </si>
  <si>
    <t>HALL DE CHECK IN</t>
  </si>
  <si>
    <t>EN EL DIA DE LA FECHA SE PRESENTA EN ESTA GUARDIA DE PREVENCION UNA PERSONA QUE DESEA RADICAR UNA DENUNCIA DE EXTRAVIO DE UN PERMISO PERSONAL DE SEGURIDAD AEROPORTUARIO, NO RECORDANDO LA FECHA NI LA HORA DE LA PERDIDA DEL MISMO. RAZON POR LA CUAL SE LABRA CORRESPONDIENTE LA DENUNCIA DE EXTRAVIO Nº 49/10</t>
  </si>
  <si>
    <t>DRA. LORENA CASTELLI</t>
  </si>
  <si>
    <t>KRAWCZYK, TASINA, HENRICHS, FRANZISCA S/EJECUCION PENAL</t>
  </si>
  <si>
    <t>105511-2009</t>
  </si>
  <si>
    <t>AVION, PLATAFORMA COMERCIAL, SECTOR C</t>
  </si>
  <si>
    <t>SIENDO LAS 10:30 HS HACE EL ARRIBO LA COMISIÓN PROCEDENTE DE LA CIUDAD DE CÓRDOBA A CARGO DEL FUNCIONARIO RITONDALE PERTENECIENTE A LA UOSP CÓRDOBA, CON LA EXPULSADA EN CUESTION, SE DA CUMPLIMIENTO A LA ORDEN DE SERVICIO Nº 07/2010 (FAX PROCEDENTE DEL CEAC). EN DONDE SE SOLICITA LA CUSTODIA Y TRASLADO DE DETENIDA DE NACIONALIDAD ALEMANA FRANZISKA HENRICHS. UNA VEZ EN ESTA GUARDIA PREVENTIVA SE REALIZO EL ACTA DE RECEPCION DE DETENIDO POR PARTE DE ESTA UOSP METROPOLITANA. POSTERIORMENTE A LA DETENIDA SE LA CONDUJO HACIA EL SERVICIO DE SANIDAD DE ESTE AEROPARQUE A LOS EFECTOS DE REALIZAR EL PRECARIO MEDICO. FINALMENTE, LÓPEZ MICAELA JUNTO A MARCELO BURGO, EFECTUARON LA CUSTODIA Y EL TRASLADO DESDE LAS INSTALACIONES DE ESTE AEROPARQUE HASTA EL AEROPUERTO MINISTRO PISTARINI A FIN DE CUMPLIMENTAR LO ORDENADO POR LA JUDICATURA ANTES MENCIONADA Y SEGÚN LOS DISPUESTO POR LA DIRECCIÓN NACIONAL DE MIGRACIONES DELEGACIÓN CÓRDOBA SEGÚN DISPOSICIÓN SDX Nº 01 Nº 143419 DE ACUERDO A LA LEY 25.871. SIENDO LAS 14:10HS SE EFECTÚA LA ENTREGA DE LA DETENIDA ANTE LA UOSP EZEIZA A FIN DE SER POSTERIORMENTE EMBARCADA EN EL VUELO LH 511 DE LA EMPRESA LUFTHANSA. REGRESANDO LA COMISIÓN SIN NOVEDAD.</t>
  </si>
  <si>
    <t>SE PROCEDE A LA RETENCION DE 02 DOS SACAS COLECTORAS DEL CORREO OFICIAL LA 1ª IDENTIFICADA CON MARBETE Nº SLA161507D636300NQN, PRECINTO Nº B775219, PESO 1,5 KG, DESTINO NEUQUEN. LA 2ª MARBETE SLA0165382E303000COR, PRECINTO Nº B734940, PESO 4,600 KGS, DESTINO CORDOBA, AMPARADAS EN GUIA AEREA Nº 9316129-4. LAS CUALES FUERON DESPACHADAS A TRAVES DEL SERVICIO DE JET PAQ.LAS RETENCIONES SE REALIZAN ANTE LA PRESUNCION DE QUE PUDIERAN CONTENER ALGUN ELEMENTO EN INFRACCION A LAS LEYES 23.737 Y/O 22.415, QUEDANDO LAS MISMAS CERRADAS Y PRECINTADAS EN GUARDA EN ESTA UOSP.SE COMUNICO TELEFONICAMENTE CON EL JUZGADO INTERVINIENTE,Y LA APERTURA SE REALIZARA EN PRESENCIA DEL PERSONAL DEL CORREO. CON CONOCIMIENTO DEL JUOSP.</t>
  </si>
  <si>
    <t>NO RECUERDA EL LUGAR EXACTO DONDE EXTRAVIO EL PERMISO.</t>
  </si>
  <si>
    <t>DENTRO DE LAS INSTALACIONES DEL AEROPARQUE.</t>
  </si>
  <si>
    <t>SIENDO LA HORA Y LA FECHA ANTES MENCIONADA SE PRESENTA EN LA GUARDIA DE PREVENCION EL DENUNCIANTE PARA INFORMAR DEL EXTRAVIO DE SU PERMISO PERSONAL DE SEGURIDAD AEROPORTUARIO EXPEDIDO POR ESTA POLICIA INICIANDOSE DENUNCIA DE EXTRAVIO Nº 051/10.</t>
  </si>
  <si>
    <t>482/10</t>
  </si>
  <si>
    <t>SE PROCEDE A LA APERTURA DE DOS SACAS COLECTORAS DEL CORREO OFICIAL EN PRESENCIA DE UN TESTIGO HABIL. LA 1ª SLA0161507D636300NQN PRECINTO Nº B775219 CONTIENE UNA PIEZA IDENTIFICADA COMO EP697950529AR, QUE QUEDA RETENIDA. LA 2ª SLA0165382E303000COR PRECINTO Nº B734940 CONTIENE UNA PIEZA IDENTIFICADA COMO EP049148245AR, QUE QUEDA RETENIDA. LAS ENCOMIENDAS QUEDAN EN GUARDA EN EL DEPOSITO JUDICIAL DE ESTA UNIDAD A LA ESPERA DEL OFICIO QUE AUTORICE SU APERTURA. CONCONOCIMIENTO DEL JUOSP.</t>
  </si>
  <si>
    <t>SIENDO LA HORA Y LA FECHA ANTES MENCIONADA SE CUMPLIMENTA LA ORDEN DE SERVICIO Nº 053/10 DE LA URSA I DEL ESTE REFERENTE AL CONTROL DE PARTIDA DE VUELO PRESIDENCIAL CON DESTINO A LA CIUDAD DE CAPITAN SARMIENTO. SIENDO LAS 11:05 HORAS ARRIBA LA PRIMER MANDATARIA A LA AEROESTACION MILITAR AEROPARQUE EN EL HELICOPTERO H-03. SIENDO LAS 11:15 HORAS SE RETIRA LA SEÑORA PRESIDENTA EN LA AEONAVE MATRICULA LV-ROC SIN NOVEDAD.</t>
  </si>
  <si>
    <t>CAPITAN SARMIENTO</t>
  </si>
  <si>
    <t>SECTOR PUBLICO</t>
  </si>
  <si>
    <t>SINDO LAS ONCE HORAS CON TREINTA MINUTOS SE PRESENTA EN ESTA OFICINA DE GUARDIA SRA NATALIA PINTOR PERTENECIENTE A LA EMPRESA SERZA S.A INFORMANDO EL HALLAZGO DE UN BOLSO EL QUE CONTENIA LA SUMA DE 680 DOLARES Y 10.020 PESOS, DOCUMENTO DE IDENTIDAD A NOMBRE DE JULIETA SOLEDAD CASALI Nº 30667119 Y UNA CEDULA DE IDENTIDAD DE PFA A NOMBRE DE RUBEN DARIO GIUSITOZZI Nº 17209013N Y DOCUMENTACION VARIAS</t>
  </si>
  <si>
    <t>SIENDO LA HORA Y LA FECHA ANTES MENCIONADA SE PRESENTA EN LA GUARDIA DE PREVENCION EL DENUNCIANTE PARA DENUNCIAR EL EXTRAVIO DE SU PERMISO PERSONAL DE SEGURIDAD AEROPORTUARIO EXPEDIDO POR ESTA POLICIA INICIANDOSE DENUNCIA DE EXTRAVIO Nº 054/10.</t>
  </si>
  <si>
    <t>SIENDO LA HORA Y LA FECHA ANTES MENCIONADA SE CUMPLIMENTA LA ORDEN DE SERVICIO Nº 053/10 DE LA URSA I DEL ESTE REFERENTE AL CONTROL DE ARRIBO DE VUELO PRESIDENCIAL PROCEDENTE DE LA CIUDAD DE CAPITAN SARMIENTO. SIENDO LAS 13:55 HORAS ARRIBA LA PRIMER MANDATARIA A LA AEROESTACION MILITAR EN LA AERONAVE MATRICULA LV-ROC. SIENDO LAS 14:00 HORAS SE RETIRA DE LA JURISDICCION LA SEÑORA PRESIDENTE EN EL HELICOPTERO H-03.</t>
  </si>
  <si>
    <t>NAC DE 1º INST EN LO CRIMINAL DE INST Nº 6</t>
  </si>
  <si>
    <t>SECRETARIA Nº 118</t>
  </si>
  <si>
    <t>DR. MARIA SAENZ SAMANIEGO</t>
  </si>
  <si>
    <t>HURTO AGRAVADO</t>
  </si>
  <si>
    <t>VEREDA DARSENA SECTOR VIDRIADO DE PARTIDAS DE LA EMPRESA AEROLINEAS ARGENTINAS.</t>
  </si>
  <si>
    <t>SECTOR DARSENA DE TAXIS.</t>
  </si>
  <si>
    <t>SIENDO LA HORA Y LA FECHA ANTES MENCIONADA SE PRESENTA EN LA GUARDIA DE PREVENCION EL DENUNCIANTE A FIN DE INFORMAR QUE AL PRESENTARSE EN EL AEROPUERTO CHEQUEO SU PASAJE PERO DEBIDO A QUE SU VUELO SE ENCONTRABA DEMORADO DECIDIO TOMAR UN VEHICULO TAXIMETRO DEL CUAL NO RECUERDA SU MARCA, MODELO, NUMERO DE PATENTE, NI SU NUMERO DE LICENCIA, Y COLOCO SU VALIJA EN EL ASIENTO DELANTERO DEL TAXI, EL CUAL LO TRASLADO HASTA EL DOMICILIO DE UN FAMILIAR. AL LLEGAR AL DOMICILIO ABONO EL COSTO DEL VIAJE Y DESCENDIO Y AL CABO DE UNOS MINUTOS SE PERCATO DE QUE SU EQUIPAJE HABIA QUEDADO EN EL ASIENTO DELANTERO DEL VEHICULO TAXIMETRO. POR ESO DECIDE REGRESAR AL AEROPARQUE A FIN DE RADICAR LA CORRESPONDIENTE DENUNCIA.</t>
  </si>
  <si>
    <t>AR 2788</t>
  </si>
  <si>
    <t>POSADAS</t>
  </si>
  <si>
    <t>DRA.LILIANA NAVARRO</t>
  </si>
  <si>
    <t>LOCAL FARMACITY S.A.</t>
  </si>
  <si>
    <t>HALL PARTIDAS PLANTA ALTA</t>
  </si>
  <si>
    <t>SE PRESENTA LA DENUNCIANTE A RADICAR UNA DENUNCIA POR EL FALTANTE DE MERCADERIAS VARIAS AL REALIZAR UN INVENTARIO DE STOCK DEL LOCAL COMERCIAL</t>
  </si>
  <si>
    <t>FARMACITY S.A.</t>
  </si>
  <si>
    <t>SIENDO LA HORA Y LA FECHA ANTES MENCIONADA SE CUMPLIMENTA LA ORDEN DE SERVICIO Nº 052/10 DE LA URSA I DEL ESTE REFERENTE AL CONTROL DE POLICIA DE SEGURIDAD AEROPORTUARIA POR PARTIDA DE VUELO PRESIDENCIAL CON DESTINO A LA CIUDAD DE EL CALAFATE. SIENDO LAS 16:55 HORAS ARRIBA A LA AEROESTACION MILITAR LA SEÑORA PRESIDENTE EN EL HELICOPTERO H-03. SIENDO LAS 17:08 HORAS SE RETIRA DE LA AEROESTACION MILITAR LA PRIMER MANDATARIA EN LA AERONAVE MATRICULA T-01 SIN NOVEDAD.</t>
  </si>
  <si>
    <t>Trata de Personas</t>
  </si>
  <si>
    <t>ROGERS</t>
  </si>
  <si>
    <t>Ona B.</t>
  </si>
  <si>
    <t>DRA. MARIEL E. BORRUTO</t>
  </si>
  <si>
    <t>AV.S/PSTA. INF. LEY 26.364</t>
  </si>
  <si>
    <t>2097/09</t>
  </si>
  <si>
    <t>CALLE OBLIGADO Nº 1.463 -AV. BELGRANO Nº 1.093- LOCAL NOCTURNO BRUJAS</t>
  </si>
  <si>
    <t>CIUDAD DE RIO GRANDE Y SUS ALREDEDORES -PROVINCIA DE TIERRA DEL FUEGO</t>
  </si>
  <si>
    <t>EN EL DIA DE LA FECHA SE RECEPCIONÒ ORDEN DE SERVICIO DE LA U.R.S.A. V DE LA PATAGONIA Nº 013/10, DE FECHA 28 DE ENERO DE 2010, TODO ELLO EN RELACION A OFICIO Nº 2308/10, DE FECHA 27 DE ENERO DE 2010, DONDE EN EL MARCO DE LA CAUSA Nº 2097/09 CARATULADA "AV. S/PSTA INF. LEY 26.364" EN TRÀMITE POR ANTE EL JUZGADO FEDERAL DE PRIMERA INSTANCIA DE LA CIUDAD DE RIO GRANDE, PROVINCIA DE TIERRA DEL FUEGO , ANTÀRTIDA E ISLAS DEL ATLANTICO SUR, A CARGO DEL JUEZ SUBROGANTE DRA. ONA B. ROGERS, SECRETARIA CRIMINAL Y CORRECCIONAL A CARGO DE LA DRA. MARIEL E. BORRUTO POR SUBROGANCIA, EN LA REFERIDA ORDEN DE SERVICIO SE ORDENA LLEVAR ADELANTE TAREAS INVESTIGATIVAS SOBRE LOS DOMICILIOS DE LAS CALLES OBLIGADO Nº 1463 Y AV. BELGRANO Nº 1093 DE LA CIUDAD DE RIO GRANDE, RPOVINCIA DE TIERRA DEL FUEGO, TODO ELLO A FINES DE ESTABLECER QUIENES SON LAS PERSONAS QUE HABITAN EN EL PRIMER DOMICIIO Y DETERMINAR QUE TIPO DE ACTIVIDAD LABORAL REALIZAN LAS MISMAS. IGUALMENTE IDENTIFICAR A LOS ENCARGADOS DEL LOCAL NOCTURNO "BRUJAS".</t>
  </si>
  <si>
    <t>Ley de Armas y Art. 189 bis C.P.</t>
  </si>
  <si>
    <t>armas</t>
  </si>
  <si>
    <t>OFICINAS DE AEROLINEAS ARGENTINAS</t>
  </si>
  <si>
    <t>EL JEFE DE TURNO DEL DIA 27 DE ENERO DE 2010 SEFERINO HEGEN, TOMA CONOCIMIENTO DE QUE EN LAS OFICINAS DE AEROLINEAS ARGENTINAS SE ENCONTRABAN DOS ESTUCHES CONTENIENDO ARMAMENTO, AL SER ESCANEADOS SE COMPROBO QUE EN SU INTERIOR CONTENIAN DOS ARMAS LARGAS CADA UNO DE ELLOS, ADEMAS SE OBSERVO TAMBIEN QUE CADA ESTUCHE POSEIA UN PRESINTO, SIENDO SU NUMERACION LA SIGUIENTE: PRESINTO DE COLOR ROJO Nº 2890101 Y PRESINTO DE COLOR AMARILLO Nº 838420, HAMBOS PERTENECIENTES A LA COMPAÑIA AEREA AEROLINEAS ARGENTINA, ASIMISMO SE OBSERVA QUE TANBIEN POSEIAN MARBETES Nº 874758 Y 874758 LOS CUALES ESTABAN A NOMBRE DE BARBOSA MAYOR ROBERTO Y QUE LOS MISMOS MARCABAN QUE SU DESTINO FINAL ERA LA CIUDAD DE SAN MARTIN DE LOS ANDES. ANTE LA CONSULTA RESPECTIVA, EL PERSONAL DE EMPRESA AEROCOMERCIAL, MANIFESTO QUE HUBO UNA EQUIVOCACION EN EL DIRECCIONAMIENTO DE DICHOS ESTUCHES Y QUE POR ERROR FUERON CARGADOS EN EL VUELO Nº 1688 CON DESTINO A BARILOCHE, CUANDO EN REALIDAD DEBERIAN HABERSE DIRECCIONADO HACIA LA SIUDAD DE SAN MARTIN DE LOS ANDES, POR LO CUAL LA INTENCION DE DICHA COMPAÑIA ERA TRASLADAR LOS ESTUCHES MENCIONADOS POR VIA TERRESTRE MEDIANTE UN TRANSPORTE PARTICULARA FIN DE SER REMITIDOS A SU DUEÑO. A LO QUE EL JEFE DE TURNO AL PONERME AL TANTO DE LA SITUACION DESCRIPTA, COMO JEFE DE UNIDAD ME APERSONE ANTE LA EMPRESA MENCIONADA A FIN DE INTERIORIZARLOS DE LOS PROSEDIMIENTOS PARA EL TRASLADO SEGUN NORMATIVAS VIGENTES, INDICANDOLE AL GERENTE DE ESCALA DANIEL ALMONACID, QUE TAL PROCEDIMIENTO NO SERIA FACTIBLE DEBIDO A QUE LAS NORMAS VIGENTES ESTABLECEN CRITERIOS A CUMPLIMENTAR PARA LA POCESION, TENENCIA Y TRANSPORTE DE LAS MISMAS, Y QUE LA PRETENCION DE LA EMPRESA EN ESTE CASO EN PARTICULAR NO CUMPLIA CON LA MISMA, ACTO SEGUIDO TRASLADE LOS ESTUCHES A LA OFICINA DE TURNO DE GUARDIA, ESTABLECIENDO QUE PARA SU ENTREGA Y POSTERIOR RETIRO SE CUMPLIMENTE LO ESTABLECIDO EN LA LEY DE ARMAS, EN EL DIA DE LA FECHA 28 DE ENERO, EL RESPONSABLE DE LA EMPRESA AEROCOMERCIAL ANTES MENCIONADO, Y LUEGO DE HABER REALIZO LOS TRAMITES PERTINENTES CON EL FIN DE ACERCAR A ESTA UNIDAD OPERACIONAL AL PROPIETARIO DE LAS MISMAS, LOS CUALES SE VIERON IMPOSIBILITADOS , SOLICITO MEDIANTE NOTA DE RIGOR A ESTA DEPENDENCIA POLICIAL, FACTIVILIDAD DE PODER REENCAMINARLAS MEDIANTE LOS VUELOS REGULARES DE LA COMPAÑIA DICHOS ESTUCHES. SE REALIZA ENTONCES CONSULTA TELEFONICA CON EL JEFE DE TURNO DEL DIA DE LA FECHA, DE LA UOSP-METROPOLITANA DARIO PAVON QUIEN CORROBORA QUE DICHOS ESTUCHES FUERON CONTROLADOS EL DIA 26 DE ENERO SIN NOVEDAD POR LO TANTO SE REALIZA COMUNICACION CON EL DR. WALTER DA SILVA, SECRETARIO DEL JUZGADO FEDERAL DE SAN CARLOS DE BARILOCHE, QUIEN INTERIORIZADO DE LA PRESENTE, AUTORIZA VERBALMENTE TAL PROCEDIMIENTO, YA QUE ENTENDIA QUE NO TIPIFICABA DELITO PUESTO QUE ESTA POLICIA REALIZABA LOS CONTROLES RESPECTIVOS EN LOS EMBARQUES Y ARRIBOS EN CADA ESCALA AEREA, POSTERIORMENTE EL JEFE DE TURNO DEL DIA DE LA FECHA MARTIN FERNANDEZ RALIZO ARCTA DE ENTREGA Nº 0069/2010, RECEPCIONANDO LOS ESTUCHES EL JEFE DE ESCALA MENCIONADO PRESEDENTEMENTE, FINALMENTE AL SER RETIRADOS DEL TURNO, FUERON EMBARCADOS EN EL VUELO AUSTRAL Nº 2678 PARTIENDO A LAS 15:00 HS. HACIA LA SIUDAD AUTONOMA DE BUENOS AIRES.</t>
  </si>
  <si>
    <t>ARRIBOS TERMINAL A - Y EN EL DOMICILIO PARTICULAR DE ÑLA DAMNIFICADA SITO EN CALLE VERUTTI 854, QUILMES, PCIA. DE BS. AS.</t>
  </si>
  <si>
    <t>QUE SIENDO LAS NUEVE HORAS, TREINTA MINUTOS DEL DIA 21/01/2010, LA DENUNCIANTE ARRIBO A ESTE MEDIO PROCEDENETE DE LA CIUDAD DE MADRID, REINO DE ESPANA, HABIENDO PARTIDO ORIGINARIAMENTE DE LA CIUDAD DE ROMA/ITALIA. QUE AL MOMENTO DE EFECTUAR LA ESCALA EN ESPANA, LA DENUNCIANTE EFECTUO UN TRASBORDO DE AERONAVE. QUE UNA VEZ ARRIBADA A ESTE MEDIO SE PERCATO DEL FALTANTE DE UNA VALIJA CARRY ON DE COLOR ROJO MARCA DESLEY. QUE CONSULTADO PERSONAL DE AIR EUROPA, LE MANIFESTO QUE SU VALIJA NO HABIA ARRIBADO Y QUE LA MI8MA LE SERIA ENVIADA A SU ALOJAMIENTO EN EL PAIS UNA VEZ QUE LLEGUE A ESTE MEDIO. QUE EN EL DIA 24/01/2010 EN HORAS DE LA TARDE LE FUE ENTREGADA EN SU PRESENCIA LA VALIJA EN EL DOMICILIO ANTES DESCRIPTO DE LA CIUDAD DE QUILMES POR PARTE DE UN REMISERO CONTRATADO POR LA EMPRESA AIR EUROPA DE QUIEN NO APORTA DATOS CONSTATANDO EL FALTANTE DE PRENDAS DE VESTIR VARIAS POR UN VALOR DE 600 EUROS Y LA ROTURA DEL CIERRE DE SU VALIJA. NO APORTA LA PREEXISTENCIA DE LOS FALTANTES. NO POSEE COBERTURA DE SEGUROS.</t>
  </si>
  <si>
    <t>UX 3100</t>
  </si>
  <si>
    <t>EZEIZA, PCAI. DE BS. AS.</t>
  </si>
  <si>
    <t>AV. SOBRE PTA. INFRACCION LEY 26.364</t>
  </si>
  <si>
    <t>CALLE OBLIFGADO NRO 1463-AV.BELGRANO NRO1093-LOCAL NOCTURNO BRUJAS</t>
  </si>
  <si>
    <t>CIUDAD DE RIO GRANDE Y SUS ALREDEDORES-PROVINCIA DE TIERRA DEL FUEGO</t>
  </si>
  <si>
    <t>QUE EN EL MARCO DE LOS AUTOS DE REFERENCIA LA JUESA FEDERAL SUBROGANTE,Y MEDIANTE OFICIO 2308/10 DE FECHA 27 DE 3ENERO DE 2010, ORDENO A ESTA UNIDAD OPERACIONAL INVESTIGACIONES SOBRE LOS DOMICILIOS DE CALLE OBLIGADO 1463 Y AV. BELGRANO 1093 DE ESTA CIUDAD A FIN DE ESTABLECER QUIENES SON LAS PERSONAS QUE HABITAN EN EL PRIMERO DE LOS DOMICILIOS Y DETERMINAR QUE TIPO DE ACTIVIDAD LABORAL REALIZAN EN LAS MISMAS. IGUALMENTE ORDENO LA IDENTIFICACION DE LOS ENCARGADOS DEL LOCAL NOCTURNO BRUJAS TODO ELLO EN EL MARCO DE LA CAUSA DE REFERENCIA.</t>
  </si>
  <si>
    <t>JUZGADO DE EJECUCION PENAL Nº 2</t>
  </si>
  <si>
    <t>COSTABEL</t>
  </si>
  <si>
    <t>Nestor Guillermo</t>
  </si>
  <si>
    <t>DR. MARTIN ABERASTURI</t>
  </si>
  <si>
    <t>GUARDIA DE PREVENCION DEL SECTOR C DEL AEROPARQUE.</t>
  </si>
  <si>
    <t>GUARDIA DE PREVENCION- PLATAFORMA COMERCIAL- AERONAVE.</t>
  </si>
  <si>
    <t>SIENDO LA HORA Y LA FECHA ANTES MENCIONADA SE CUMPLIMENTA LA ORDEN DE SERVICIO Nº 055/10 DE LA URSA I DEL ESTE REFERENTE A CONTROL DE POLICIA DE SEGURIDAD AEROPORTUARIA CON MOTIVO DE LA EXPULSION Nº 55430/1982 DE LA DIRECCION NACIONAL DE MIGRACIONES DEL CIUDADANO RODOLFO GARAZA PEREIRA. SIENDO LAS 14:15 HORAS SE PRESENTA EN LA GUARDIA DE PREVENCION PERSONAL DE LA SECCION ASUNTOS MIGRATORIOS DEL DEPARTAMENTO ASUNTOS EXTRANJEROS DE LA POLICIA FEDERAL ARGENTINA INTEGRADA POR EL SARGENTO 1º MARCOVECCHIO TRASLADANDO AL CIUDADANO EXTRANJERO GARAZA PEREIRA RODOLFO. SE LE BRINDA LA COLABORACION SOLICITADA Y SE LE EFECTUA AL DETENIDO EL PRECARIO MEDICO DE INGRESO Y EGRESO A LA DEPENDENCIA POLICIAL PARA POSTERIORMENTE EMBARCARLO EN LA AERONAVE MATRICULA LV-BAR. SIENDO LAS 18:15 HORAS DESPEGA LA AERONAVE TRASLADANDO AL CIUDADANO EXTRANJERO SIN NOVEDAD.</t>
  </si>
  <si>
    <t>CAMARA DE APELACIONES Y GARANTIA EN LO PENAL SALA 1</t>
  </si>
  <si>
    <t>SAN MARTIN GUSTAVO ADOLFO Y OTROS S/ROBO DE AUTOMOTOR Y DOBLE HOMICIDIO.</t>
  </si>
  <si>
    <t>GUARDIA DE PREVENCION- PLATAFORMA COMERCIAL- AERONAVE</t>
  </si>
  <si>
    <t>SIENDO LA HORA Y LA FECHA ANTES MENCIONADA SE IMPLEMENTA LA ORDEN DE SERVICIO Nº 054/10 DE LA URSA I DEL ESTE REFERENTE AL CONTROL DE EXPULSION Nº 93068/08 DE LA DIRECCION NACIONAL DE MIGRACIONES DEL CIUDADANO EXTRANJERO SAN MARTIN GUSTAVO ADOLFO. SIENDO LAS 14:20 HORAS SE PRESENTA EN LA GUARDIA DE PREVENCION PERSONAL DE LA SECCION ASUNTOS MIGRATORIOS DEL DEPARTAMENTO ASUNTOS EXTRANJEROS DE LA POLICIA FEDERAL ARGENTINA INTEGRADA POR EL SARGENTO 1º MARCOVECCHIO TRASLADANDO AL CIUDADANO EXTRANJERO SAN MARTIN GUSTAVO ADOLFO. SE LE BRINDA LA COLABORACION SOLICITADA Y SE LE EFECTUA EL PRECARIO MEDICO DE INGRESO Y EGRESO A LA DEPENDENCIA POLICIAL PARA POSTERIORMENTE EMBARCARLO EN LA AERONAVE MATRICULA LV-BAR. SIENDO 18:15 HORAS DESPEGA LA AERONAVE TRASLADANDO AL CIUDADANO EXTRANJERO SIN NOVEDAD.</t>
  </si>
  <si>
    <t>perimetro de aeropuerto</t>
  </si>
  <si>
    <t>SIENDO LAS DIECINUEVE HORAS CON CINCUENTA MINUTOS ARRIBA T-01 PROCEDENTE DE LA CIUDAD DE BUENOS AIRES LA SRA PRESIDENTA DE LA NACION, SR. EX PRESIDENTE DE LA NACION Y COMITIVA S/N. AERONAVE PROXIMO A PARTIR A LA CIUDAD DE RIO GALLEGOS.</t>
  </si>
  <si>
    <t>SD/</t>
  </si>
  <si>
    <t>AEROPUERTO DE SAN CARLOS DE BARILOCHE</t>
  </si>
  <si>
    <t>SIENDO LA HORA Y LA FECHA ANTES MENCIONADA LA DENUNCIANTE SE PRESENTA EN EL AEROPUERTO DE LA CIUDAD DE SAN CARLOS DE BARILOCHE A FIN DE EMBARCAR HACIA EL AEROPARQUE METROPOLITANO Y DESPACHO DOS EQUIPAJES. POSTERIORMENTE AL ARRIBAR AL AEROPUERTO JORGE NEWBERY RETIRO DE LA CINTA DE EQUIPAJES SUS PERTENENCIAS Y AL APERTURAR UNA MOCHILA SE PERCATO DEL FALTANTE DE UNOS ELEMENTOS DE ELECTRONICA POR LO QUE DECIDE ACERCARSE A LA GUARDIA DE PREVENCION A FIN DE RADICAR LA DENUNCIA POR HURTO DE SUS PERTENENCIAS.</t>
  </si>
  <si>
    <t>AR 2691</t>
  </si>
  <si>
    <t>TRIBUNAL ORAL CRIMINAL FEDERAL Nº 11 DE CORDOBA</t>
  </si>
  <si>
    <t>QUE SIENDO LAS 12:20 HORAS DEL DIA DE LA FECHA, PERSONAL DE ESTA DEPENDENCIA PROCEDIO A LA ENTREGA DE LA EXPULSADA AL COMDANDANTE DE LA AERONAVE DEL VUELO DE REFERENCIA, DANDO CUMPLIMIENTO A LA ORDEN DE SERVICIO EMITIDA POR LA JEFATURA DE LA UNIDAD REGIONAL I DEL ESTE NUMERO 07/2010.</t>
  </si>
  <si>
    <t>LH 511</t>
  </si>
  <si>
    <t>FRANFURT</t>
  </si>
  <si>
    <t>SE CONFECCIONA EL PRESENTE CON LA FINALIDAD DE INFORMAR EL ARRIBO DE LA AERONAVE PRESIDENCIAL T-01 PROCEDENTE DEL AEROPUERTO DE EL CALAFATE. SOLO TRIPULACION Y SIN NOVEDAD.</t>
  </si>
  <si>
    <t>INFRACCION A LOS ART. 78 Y 85 DEL DECRETO LEY 8031/73</t>
  </si>
  <si>
    <t>HALL DE ARRIBOS DE PASAJEROS, SECTOR DEL EMBUDO</t>
  </si>
  <si>
    <t>QUE SIENDO LA FECHA Y HORA ANTEDICHA, PERSONAL POLICIAL ABOCADO A LA PATRULLA DEL HALL DE ARRIBOS DE PASAJEROS DE LA TERMIONAL A CONSTATO LA PRESENCIA DE UN SUJETO MASCULINO OFRECIENDO SERVICIO DE TRANSPORTE A LOS TRANSEUNTES A CAMBIO DE UNA SUMA DE DINERO A CONVENIR, MOTIVO POR EL CUAL FUE TRASLADADO A LA GUARDIA DE PREVENCION DONDE SE DIO COMIENZO A LAS ACTUACIONES CONTRAVENCIONALES CORRESPONDIENTES. QUE SIENDO LAS 21:00 HS. EL CAUSANTE MANIFESTO MALESTARES FISICOS, POR LO QUE SE CONVOCO LA PRESENCIA DE PERSONAL MEDICO DEL SERVICIO DE SANIDAD QUIEN DISPUSO EL POSTERIOR TRASLADO DEL CAUSANTE HACIA EL HOSPITAL DE EZEIZA DONDE PERMANECE BAJO OBSERVACION MEDICA. ATENTO A ELLO EL CAUSANTE NO RUBRICA LA PRESENTE ACTA DEBIDO A SU ESTADO SALUD.</t>
  </si>
  <si>
    <t>BENINATI JUAN CARLOS</t>
  </si>
  <si>
    <t>SUPUESTA INFRACCION A LEY 23.737</t>
  </si>
  <si>
    <t>SUPESTA INFRACCION LEY 23.737</t>
  </si>
  <si>
    <t>EN MOMENTOS DE REALIZARSE EL CONTROL PREVENTIVO DE CARGA Y CORREO SE SEPARA UNA SACA CON UN PESO TOTAL DE 6,5 KG AL DETECTARSE EN LA IMAGEN UNA ENCOMIENDA CONTENIENDO, PRESUMIBLEMENTE MATERIAL ORGÁNICO DE FIGURA RECTANGULAR. LUEGO SE PROCEDE A EFECTUAR UNA INSPECCIÓN CON EL CAN AXEL, Y EL MISMO DA UNA ALERTA POSITIVA PARA LA PRESENCIA DE ESTUPEFACIENTES, POR LO QUE SE PROCEDE A UNA SEGUNDA INSPECCIÓN Y EL CAN VUELVE A DAR UNA ALERTA POSITIVA. SE EFECTÚA COMUNICACIÓN CON LA AUTORIDAD JUDICIAL, ORDENADO ESTA LA INTERDICCIÓN Y QUE A PRIMERA HORA DEL DÍA DE MAÑANA SE REMITA LO ACTUADO, A EFECTOS DE LIBRAR ORDEN DE APERTURA. SE INICIAN LAS ACTUACIONES PERTINENTES.</t>
  </si>
  <si>
    <t>AEROPARQUE CAPITAL FEDERAL</t>
  </si>
  <si>
    <t>CIUDAD DE POSADAS MISIONES</t>
  </si>
  <si>
    <t>DR. NICOLAS BALLESTREROS</t>
  </si>
  <si>
    <t>EIRIZ, VIVIAN MARICEL S/DENUNCIA</t>
  </si>
  <si>
    <t>EIRIZ VIVIAN MARICEL S/DENUNCIA.</t>
  </si>
  <si>
    <t>HALL PUBLICO DE PASAJEROS SECTOR PROXIMO A MOSTRADORES DESPACHO DE EQUIPAJES EMPRESAS AEREAS.-</t>
  </si>
  <si>
    <t>QUIOSCO AEROPUERTO, HALL PUBLICO DE PASAJEROS.-</t>
  </si>
  <si>
    <t>EN EL DIA DE LA FECHA SE HIZO PRESENTE LA CIUDADANA EIRIZ, VIVIAN MARICEL DNI Nº 14.619.505 QUIEN RADICA DENUNCIA DEL SIGUIENTE HECHO, AL REALIZAR UNA COMPRA DE DIARIOS Y GOLOSINAS EN EL QUIOSCO DEL AEROPUERTO, DEJA OLVIDADO SU MALETIN, CONTENIENDO EN SU INTERIOR UNA NET BOK MARCA LENUOVO Y PAPELES VARIOS, RETIRANDOSE A SU DOMICILIO SE PERCATA DEL OLVIDO DE DICHO MALETIN. COMUNICANDOSE CON SU PAREJA Y COMENTANDOLE QUE SE HABIA OLVIDADO EL MALETIN, ESTE ULTIMO LE MANIFIESTA QUE HABIA RECIBIDO UNA LLAMADA DE LA POLICIA DE SEGURIDAD AEROPORTUARIA Y QUE EL MALETIN ESTABA EN DEPENDENCIAS DE ESTA INSTITUCION, YA EN EL TURNO DE SEGURIDAD AEROPORTUARIA LA CIUDADANA ANTES MENCIONADA AL HACERLE ENTREGA DE LOS ELEMENTOS HALLADOS OBSERVA EL FALTANTE DE SU NET BOK PERSONAL. INICIANDOSE LAS ACTUACIONES DE RIGOR. EN EL MARCO DEL PRESENTE Y LO OBSERVADO EN EL CIRCUITO CERRADO DE TELEVISION SE PUDO INDIVIDUALIZAR AL SR NELSON DANIEL SANCHO ESCANCIANO, EMPLEADO DEL QUIOSCO UBICADO EN LA PARTE PUBLICA DEL AEROPUERTO, TOMAR UN MALETIN COLOR NEGRO PARA LUEGO DEPOSITARLO EN UN CARRO DE EQUIPAJE, ESTA PREVENCION PROCEDE A DEMORAR AL CIUDADANO ANTES MENCIONADO. PUESTO EN CONOCIMEITNO EL JUZGADO INTERVINIENTE SE HIZO PRESENTE EN EL TURNO DE SEGURIDAD EL DR. JAVIER DE GAMAS SOLER - JUEZ, EL DR. NICOLAS BALLESTREROS - SECRETARIO, Y LA DRA KARINA ECHAZU - FISCAL, QUIENES ORDENAN SE REALICE COMUNICACION CON EL DUEÑO DEL LOCAL SIENDO ESTE EL SR. IDIGORAS FEDERICO Y YA PRESENTE EN EL LUGAR SE APERTURA DICHO LOCAL HACIENDO EL PROCEDIMIENTO ORDENDADO EL CUAL DIO RESULTADO NEGATIVO. ACTO SEGUIDO EL JUEZ INTERVINIENTE ORDENO LA DETENCION E INCOMUNICACION DEL IMPUTADO. ORDENANDO EL TRASLADO DEL MISMO A DEPENDENCIA DE POLICIA JUDICIAL DE LA POLICIA DE LA PROVINCIA DE TIERRA DEL FUEGO Y SE ELEVEN LAS ACUTACIONES CON COPIA DE LOS REGISTROS FILMICOS.</t>
  </si>
  <si>
    <t>LV-MTP</t>
  </si>
  <si>
    <t>JUZGADO CORRECCIONAL</t>
  </si>
  <si>
    <t>BERGESIO</t>
  </si>
  <si>
    <t>CONRADO</t>
  </si>
  <si>
    <t>RODRIGUEZ SIMON -SUBROGANTE-</t>
  </si>
  <si>
    <t>A LOS EFECTOS DE BUSQUEDA DE INFORMACION EN INTERNET EN RELACION A HELICOPTERO SINIESTRADO EN ESTE AEROPUERTO EL 19 DE ENERO DE 2010, EN EL MARCO DE LA CAUSA JUDICIAL Nº 01-S/10 DE PARTE URGENTE REGISTRO PSA Nº 295, AÑO 2010, EL DIA 25 DE ENERO DEL CORRIENTE SE OBSERVO EN PAGINAS WEB YOUTUBE, TARINGA, TN Y LA GENTE, MATERIAL GRABADO Y TRANSCRIPCION DE LA RADIOCOMUNICACION ENTRE EL HELICOPTERO Y LA TORRE DE CONTROL DE ESTE AEROPUERTO EN EL MOMENTO DEL ACCIDENTE, CONSTITUYENDO A PRIMA FACIE UN PRESUNTO ILICITO, EN EL MARCO DE LA LEY DE TELECOMUNICACIONES Nº 19.798 ART. 17, 19, 20, 21, 26 Y 36. ANTE LO CUAL DE OFICIO SE ORIGINA LA PRESENTE CAUSA.-</t>
  </si>
  <si>
    <t>522/10</t>
  </si>
  <si>
    <t>DE ACUERDO A DENUNCIA 003/10 Y LO OBSERVADO EN EL CIRCUITO CERRADO DE TELEVISION SE PUDO INDIVIDUALIZAR AL SR. NELSON DANIEL SANCHO ESCANCIANO, EMPLEADO DEL QUIOSCO UBICADO EN LA PARTE PUBLICA DEL EDIFICIO TERMINAL DE PASAJEROS, TOMAR UN MALETIN COLOR NEGRO PARA LUEGO DEPOSITARLO EN UN CARRO DE EQUIPAJE, ESTA PREVENCION PROCEDE A DEMORAR AL CIUDADANO ANTES MENCIONADO. PUESTO EN CONOCIMIENTO EL JUZGADO INTERVINIENTE SE HIZO PRESENTE EN EL TURNO DE SEGURIDAD EL DR. JAVIER DE GAMAS SOLER -JUEZ, EL DR. NICOLAS BALLESTREROS -SECRETARIO Y LA DRA. KARINA ECHAZU -FISCAL. QUIENES ORDENAN SE REALICE COMUNICACION CON EL DUEÑO DEL LOCAL SIENDO ESTE EL SR. IDIGORAS FEDERICO Y YA PRESENTE EN EL LUGAR SE APERTURA DICHO LOCAL HACIENDO EL PROCEDIMIENTO ORDENADO EL CUAL DIO RESULTADO NEGATIVO. ACTO SEGUIDO EL JUEZ INTERVINIENTE ORDENO LA DETENCION E INCOMUNICACION DEL IMPUTADO. ORDENANDO EL TRASLADO DEL MISMO A DEPENDENCIA DE POLICIA JUDICIAL DE LA POLICIA DE LA PROVINCIA DE TIERRA DEL FUEGO Y SE ELEVEN LAS ACTUACIONES CON COPIAS DE LOS REGISTROS FILMICOS.-</t>
  </si>
  <si>
    <t>JUZGADO DE PRIM. INST. DE FAMILIA Y MINOTIDAD Nº 1 - D.J.N.-PROV.TDF</t>
  </si>
  <si>
    <t>Silvia</t>
  </si>
  <si>
    <t>SEBASTIAN PABLO GASALLA</t>
  </si>
  <si>
    <t>-PIRAGINE, LUDMILA Y OTRO S/INTERVENCION JUDICIAL-</t>
  </si>
  <si>
    <t>011788/2006</t>
  </si>
  <si>
    <t>ACTA DEJANDO CONSTANCIA N° 003/10</t>
  </si>
  <si>
    <t>MOSTRADOR DE CONTROL DE DOCUMENTOS PSA</t>
  </si>
  <si>
    <t>EN UN CONTROL DE RUTINA DEL VUELO AR-1852 DE LA EMPRESA AEROLINEAS ARGENTINAS SE PRESENTA LA CIUDADANA LUDMILA ANTONELA PIRAGINE SOBRE QUIEN PESA UNA INTERDICCION DE SALIDA DE LA PCIA DE TIERRA DEL FUEGO SEGUN OFICIO JUDICIAL DE FECHA 23 DE MAYO DE 2006 BAJO REGISTRO RED LINCE N° 245171 Y 245162. SE ENTABLA COMUNICACION TELEFONICA CON EL JUZGADO INTERVINIENTE EN LA PERSONA DE LA DRA PAULA SCHAPOCHNIK QUIEN MANIFIESTA QUE LA CAUSA DE REFERENCIA FUE REMITIDA AL JUZGADO DE FAMILIA Y MINORIDAD DEL DISTRITO JUDICIAL NORTE, ACTO SEGUIDO SE REALIZA COMUNICACION TELEFONICA CON DICHO JUZGADO EN LA PERSONA DEL DR. SEBASTIAN GASALLA QUIEN MANIFIESTA QUE LA CAUSA SE ENCUENTRA EN ARCHIVO Y QUE PODRIA ACCEDER A LA MISMA EL DIA LUNES 1° DE FEBRERO DEL CORRIENTE AÑO, MANIFESTANDO QUE LA MEDIDA SE ENCUENTRA VIGENTE Y QUE LA CAUSANTE DEBERIA PRESENTARSE ANTE DICHO JUZGADO A FIN DE RESOLVER SU SITUACION JUDICIAL. REALIZANDOSE ACTA DEJANDO CONSTANCIA 003/10</t>
  </si>
  <si>
    <t>TRIBUNAL ORAL EN LO CRIMINAL FEDERAL N° 1 DE LA PLATA</t>
  </si>
  <si>
    <t>GONZALEZ IZQUIERDO MIRIAM LUJAN S/ EJECUCION DE SENTENCIA</t>
  </si>
  <si>
    <t>2652/08</t>
  </si>
  <si>
    <t>PUESTO BASE - AERONAVE</t>
  </si>
  <si>
    <t>SIENO LAS 09:50 HORAS SE HACE PRESENTE PERSONAL DE LA POLICIA FEDERAL ARGENTINA CUSTODIANDO A LA DETENIDA GONZALEZ IZQUIERDO LA CUAL POR ORDEN DE SERVICIO Nº 057/10 DE LA URSAI DEL ESTE SE LE REALIZA LA CUSTODIA DENTRO DE LA JURISDICCION AEROPORTUARIA HASTA LA PARTIDA DEL VUELO ANTERIORMENTE MENCIONADO SEGUN ORDEN DE EXPULSION DE LA DNM Nº 74499/08. DESPEGANDO DE ESTA AEROESTACIOPN A LAS 1250 HORAS SIN NOVEDAD</t>
  </si>
  <si>
    <t>AR1204</t>
  </si>
  <si>
    <t>CAMPOS TULA MIRTA</t>
  </si>
  <si>
    <t>ADRIAENSSENS RICARDO S/ CONTRABANDO DE ESTUPEFACIENTES</t>
  </si>
  <si>
    <t>EN EL DIA DE LA FECHA SE INICIAN TAREAS INVESTIGATIVAS EN EL MARCO DE LA CAUSA 9683 DE LA JUDICATURA CORRESPONDIENTE A FIN DE CONSTATAR PARTICIPACION DE TERCERAS PERSONAS TENIENDO EN CUENTA LA DECLARACION INDAGATORIA DEL IMPUTADO, SOBRE LA DOCUMENTACION SECUESTRADA, EL ANALISIS DE LOS TELEFONOS Y CHIPS SECUESTRADOS.</t>
  </si>
  <si>
    <t>SECTOR INTERNACIONAL FRENTE A EMPRESAS DE ALQUILER DE AUTOS</t>
  </si>
  <si>
    <t>HALL PUBLICO DE PASAJEROS</t>
  </si>
  <si>
    <t>SIENDO LA HORA SEÑALADA EL PERSONAL APOSTADO EN EL HALL PUBLICO DE PASAJEROS DA AVISO DE QUE SOBRE LOS ASIENTOS UBICADOS EN EL SECTOR NORTE DEL HALL, SE OBSERVA UN BOLSO ABANDONADO, AL INDIVIDUALIZAR EL BULTO ESTE RESULTA SER UNA MOCHILA MEDIANA SIN NINGUN TIPO DE IDENTIFICACION O MARBETE EN EL EXTERIOR, POR ESTE MOTIVO SE PROCEDE A REALIZAR VARIOS LLAMADOS POR ALTOPARLANTE PARA TRATAR DE IDENTIFICAR A SU DUEÑO, UN MOMENTO DESPUES Y AL HABER REALIZADO VARIOS LLAMADOS SIN OBTENER RESPUESTAS, SE PROCEDE A DESPEJAR LA ZONA DE LOS PASAJEROS, EMPLEADOS DEL AEROPUERTO DE LAS DISTINTAS EMPRESAS Y PÚBLICO EN GENERAL, QUEDANDO LA MISMA AISLADA Y DANDO AVISO A PERSONAL DEL GEDEX DE LA SITUACION PARA QUE INTERVENGA Y EVALUE LA MISMA, UN MOMENTO DESPUES PERSONAL DE GEDEX LUEGO DE HABER REALIZADO LA EVALUACION DE LA SITUACIONPOR Y LOS PROCEDIMIENTOS DE RIGOR PARA ESTOS CASOS, EN EL CUAL ARROJA RESULTADOS NEGATIVOS DE LA POSIBLE PRESENCIA DE SUSTANCIAS EXPLOSIVAS, PROCEDE A REALIZAR REGISTRO E INSPECCION POR RAYOS X, Y AL NO ENCONTRAR NOVEDADES, NOTIFICA QUE NO HAY RIESGOS Y SE LIBERA LA ZONA AISLADA Y SE PROCEDE A LLEVAR EL HALLAZGO A LA GUARDIA DE PREVENCION, EN DONDE SE CONFECCIONA EL ACTA DE HALLAZGO Nº 10/10 DE ORDEN INTERNO DE ESTA UNIDAD OPERACIONAL, UN MOMENTO DESPUES SE PRESENTA UNA PERSONA QUE DICE SER EL DUEÑO DE LA MISMA Y QUE LUEGO DE HABER REALIZADO LA IDENTIFICACION DE LOS ELEMENTOS Y COMPROBAR QUE SE ENCONTRABA TODO EL CONTENIDO SIN NOVEDAD SE PROCEDE A ENTREGAR EL HALLAZGO.</t>
  </si>
  <si>
    <t>EN EL DIA DE LA FECHA EL AG LUIS OSCAR DIEZ HACE ENTREGA UN BOLSO MARCA SONY CONTENIENDO EN SU INTERIOR SEISCIENTOS OCHENTA DOLARES AMERICANOS, DIEZ MIL PESOS ARGENTINOS, UN DNI Nº 30667119 A NOMBRE DE JULIETA SOLEDAD CASALI Y UNA CEDULA DE IDENTIDAD Nº 17209013 A NOMBRE DE RUBEN DARIO GUSTOZZI. DICHOS ELEMENTOS FUERON DETALLADOS EN ACTA DE HALLAZGO Nº 0002/10, Y RECEPCIONADOS POR EL SR GUSTOZZI FIRMANDO EN CONFORMIDAD ACTA DE ENTREGA Nº 0002/10</t>
  </si>
  <si>
    <t>EN LO BAÑOS EMPLAZADOS ENTRE LA ESCALERA MECANICA Y EL LOCAL MC DONALS</t>
  </si>
  <si>
    <t>QUE EN MOMENTOS QUE EL DENUNCIANTE SE ENCONTRABA PRESTANDO FUNCIONES LABORALES COMO CAMARERO EN LA CONFITERIA DE NOMBRE IL LEGNO, UBICADA EN EL PRIMER PISO, SE DIRIGE AL BAÑO, SITO EN LA PLANTA BAJA, INGRESANDO AL BOX NRO. 8 DEL MISMO, APOYANDO SU BILLETERA EN EL APOYA BOLSO RETRACTIL DEL BOX EN CUESTION. QUE LUEGO SE RETIRA DEL BOX Y POSTERIORMENTE DEL BAÑO, OLVIDANDOSE SU BILLETERA. QUE CUANDO SE PERCATA QUE SE HABIA OLVIDADO SU BILLETERA, REGRESA AL BAÑO EN CUESTION, NO PUDIENDO DAR CON LA MISMA.</t>
  </si>
  <si>
    <t>INSTALACIONES DEL AEROPUERTO</t>
  </si>
  <si>
    <t>SE HACE PRESENTE EN ESTA DEPENDENCIA EL DENUNCIANTE MANIFESTANDO EL EXTRAVIO DE UN PERMISO AEROPORTUARIO VIGENTE Y A SU NOMBRE, NO PUDIENDO PRECISAR FECHA Y HORA DE LO ACONTECIDO. SE CONFECCIONA ACTA DE EXTRAVIO Nº 03/10</t>
  </si>
  <si>
    <t>A TRESCIENTOS METROS APROXIMADAMENTE DEL PUESTO DENOMINADO TAQUILLA.</t>
  </si>
  <si>
    <t>SOBRE LA AUTOPISTA TENIENTE GENERAL RICHIERI, EN SENTIDO HACIA LA CIUDAD AUTONOMA DE BUENOS AIRES.</t>
  </si>
  <si>
    <t>UNA VEZ ARRIBADA A ESTE MEDIO, SE RETIRA DEL MISMO JUNTO A SUS PADRES Y A UNA TIA QUIENES SE ENCONTRABAN ESPERANDOLA, EN EL VEHICULO DE SU PADRE, COLOCANDO EN SU BAUL SUS VALIJAS. QUE LUEGO DE HABERSE ALEJADO UNOS TRESCIENTOS METROS APROXIMADAMENTE DEL PUESTO TAQUILLA Y EN SENTIDO A CAPITAL FEDERAL EL PADRE DE LA DENUNCIANTE SE PERCATA DE QUE LA RUEDA TRASERA SE ENCONTRABA DESINFLADA, MOTIVO POR EL CUAL DECIDE AMINORAR SU MARCHA Y DETENERSE. QUE UNA VEZ ESTACIONADO PROCEDE A RETIRAR DEL BAUL EL CRIQUE Y LA LLAVE AFLOJA TUERCAS, DEJANDO APOYADO SOBRE EL SUELO UNA VALIJA Y DENTRO DEL CITADO BAUL UN MALETIN COLOR NEGRO. QUE PASADO UNOS MINUTOS SE APROXIMA UNA PERSONA DE QUIEN DESCONOCE DATOS Y LE INFORMA QUE MINUTOS ANTES SE HABIA APROXIMADO A SU VEHICULO UN VEHICULO VOLKWAGEN GOL DE COLOR GRIS CLARO Y QUE LE SUSTRAJO UNA VALIJA. MOTIVO POR EL CUAL AL CORROBORAR LA DENUNCIANTE SOBRE LO MANIFESTADO POR ESTE INDIVIDUO Y LUEGO DE HACER VARIOS LLAMADOS AL 911, SE RETIRA DEL LUGAR. SEGUIDAMENTE SE CONTACTAN CON PERSONAL DE LA POLICIA DE LA PROVINCIA DE BUENOS AIRES Y ESTOS LE INFORMAN QUE EL HECHO OCURRIDO SE EFECTUO EN JURISDICCION DE ESTA POLICIA. LA DENUNCIANTE MANIFIESTA QUE DURANTE EL TIEMPO QUE ESTUVO DETENIDO SU VEHICULO NO SE ACERCO NINGUN VEHICULO NI PERSONA ALGUNA, SOLO LA MENCIONADA ANTERIORMENTE.</t>
  </si>
  <si>
    <t>Dra. Liliana NAVARRO</t>
  </si>
  <si>
    <t>s/d</t>
  </si>
  <si>
    <t>EL DIA 25 DE ENERO DE 2010 LA DICENTE DESPACHA SU BOLSO EN EL MOSTRADOR DE CHECK IN DE LA EMPRESA ANDES CON DESTINO FINAL A LA CIUDAD DE SALTA Y AL LLEGAR AL HOTEL DE DESTINO NOTA EL PRECINTO ROTO Y EL FALTANTE DEL INTERIOR DEL BOLSO UNA CAMARA FOTOGRAFICA. SE COONFECCIONO MEMORANDO N 05/10 DE FECHA 29 ENE 10 Y SE ENVIO VIA FAX AL SERVICIO DE GUARDIA DE LA UOSP SALTA JEFE DE TURNO DEL DIA DE LA FECHA CORVALAN JORGE OMAR CONTROL 501397</t>
  </si>
  <si>
    <t>PLATAFORMA OPERATIVA-PUESTO BRAVO-CALLE DE SALIDA DEL AEROPUERTO</t>
  </si>
  <si>
    <t>SIENDO LA HORA SEÑALADA LLEGA EN VUELO DE REFERENCIA EL VICEPRESIDENTE DE LA NACION INGENIERO JULIO CESAR CLETO COBOS Y SU SEÑORA ESPOSA ARRIBANDO Y SALIENDO DE ESTA JURIDICCION DEL AEROPUERTO HACIA LA CIUDAD DE MENDOZA S/N</t>
  </si>
  <si>
    <t>AEROPARQUE CIUDAD AUTONOMA DE BUENOS AIRES</t>
  </si>
  <si>
    <t>EL PLUMERILLO MENDOZA</t>
  </si>
  <si>
    <t>Falsificacion de Documentos</t>
  </si>
  <si>
    <t>DR, JOSE LUIS DABONDIO</t>
  </si>
  <si>
    <t>INFRACCION ART. 292 SEGUNDO PARRAFO DEL CPN</t>
  </si>
  <si>
    <t>documentos</t>
  </si>
  <si>
    <t>BOX DE MIGRACIONES DE ENTRADA AL PAIS</t>
  </si>
  <si>
    <t>SE RECEPCIONA POR PARTE DE LA DIRECCION NACIONAL DE MIGRACIONES AL CAUSANTE, EL CUAL SE ENCONTRABA INGRESANDO AL TERRITORIO NACIONAL Y AL MOMENTO DE PRESENTARSE ANTE EL CONTROL MIGRATORIO EXHIBE UN PASAPORTE DE LA REPUBLICA DEL PERU Y UN DNI PARA EXTRANJEROS, EL CUAL SERIA PRESUNTAMENTE APOCRIFO, SEGUN LO INFORMADO POR DICHO ORGANISMO. POR TAL MOTIVO SE ENTABLA COMUNICACION CON EL MAGISTRADO INTERVINIENTE, EL CUAL DISPONE QUE SE PROCEDA AL SECUESTRO DE TODA LA DOCUMENTACION QUE POSEA EL CAUSANTE, SE DETENGA AL MISMO EN CALIDAD DE INCOMUNICADO Y UNA VEZ CULMINADAS LAS DILIGENCIAS IMPARTIDAS POR EL JUZGADO, SE LO TRASLADE A LA UNIDAD DE DETENCION NRO. 28 DEL S.P.F. SE DEJA CONSTANCIA QUE LOS DATOS PERSONALES HABIDOS EN EL DNI SON VERDADEROS, RESULTANDO SER SOLAMENTO EL CUERPO DEL DOCUMENTO APOCRIFO. //////////////////SEGUN LA AMPLIACION EL PU 554 SE TRASLADA AL DETENIDO A LA UNIDAD DE DETENCION N 28 SPF</t>
  </si>
  <si>
    <t>LP 2429</t>
  </si>
  <si>
    <t>POL. SEGURIDAD AEROPORTUARIA - UNIDAD OPERACIONAL RESISTENCIA - CHACO - ARIEL FERNANDEZ S/SOL. APERT. DE ENCOM</t>
  </si>
  <si>
    <t>LA APERTURA DE LA SACA SE REALIZA EN LA OFICINA DE LA JEFATURA DE UNIDAD</t>
  </si>
  <si>
    <t>SE PROCEDE A LA APERTURA DE LA SACA INTERDICTADA ENCONTRANDOSE EN SU INTERIOR UNA CAJA DE CARTON DE 29 CM X 44 CM X 21 CM CON CODIGO DE BARRAS DE CORREO ARGENTINO Nº EE001881672AR REMITENTE ANGI BURROUGHS DIRECCION ENTRE RIOS 435 RESISTENCIA DESTINATARIO DIANE BURROUGHS 55491265 TH ST, AMES IOWA EEUU CONTENIENDO EN SU INTERIOR DECLARACION DE ADUANAS, FRAZADAS, LIBROS Y RECUERDOS VARIOS. UNA ENCOMIENDA ENVUELTA CON PAPEL MADERA DE 39 CM X 58 CM X 1.5 CM CON REMITENTE FRANCISCO BERNAL RONDAN DIRECCION LA RIOJA 572 8º A CORRIENTES Y DESTINATARIO ISABEL BERNAL FREITAS DIRECCION PASEO DE LAS CASTELLANAS 157 6º B MADRID ESPAÑA CONTENIENDO UNA LITOGRAFIA DE THE GIRALDA SEVILLE CON SU CERTIFICADO DE AUNTENTICIDAD. SE REALIZAN LAS ACTUACIONES CORREPONDIENTES Y POR NO CONTENER ELEMENTOS DE INTERES A LA CAUSA SE ENTREGA AL CORREO LO INTERDICTADO.</t>
  </si>
  <si>
    <t>COREO OFICIAL BUENOS AIRES</t>
  </si>
  <si>
    <t>SE PROCEDE AL SECUESTRO DE DOS SACAS COLECTORAS DEL CORREO OFICIAL, IDENTIFICADAS CON MARBETE Nº SAL 0162071D343400MDZ, PRECINTO Nº B808171, CON UN PESO DE 4.900 KGS., CON DESTINO A MENDOZA, Y LA OTRA CON MARBETE Nº SAL 0169167E555700RGL, PRECINTO Nº B734962, CON UN PESO DE 2.900 KGS., CON DESTINO A RIO GALLEGOS,LAS MISMAS SE ENCUENTRAN AMPARADAS EN GUIA AEREA Nº 9316159-6, LAS RETENCIONES SE REALIZAN ANTE LA PRESUNCION DE QUE PUDIERAN CONTENER ALGUN ELEMENTO EN INFRACCION AL CODIGO ADUANERO LEY 22.415 Y/O A LA LEY 23.737, LAS MISMAS QUEDAN EN GUARDA EN ESTA UNIDAD, Y SE ENCUENTRAN CERREDAS Y PRECINTADAS, SE INFORMO TELEFONICAMENTE AL JUZGADO INTERVINIENTE, LAS APERTURAS DE LAS MISMAS SE REALIZARAN EN PRESENCIA DEL PERSONAL DE CORREO. CON CONOCIMIENTO DE JUOSP</t>
  </si>
  <si>
    <t>DANDO CUMPLIMIENTO A ORDEN DE SERVICIO 0006/2010 Y SIENDO LAS 2215 HORA LOCAL ARRIBA AERONAVE AIRBUS 320 MATRICULA LV-BRA DE LA EMPRESA LAN ARGENTINA PROCEDENTE DE AEROPUERTO JORGE NEWBERY EN CUYAS BODEGAS 12, 13 Y 31 SE EMBARCAN 70 PIEZAS CON UN PESO BRUTO DE 2.919 KILOGRAMOS DE METAL - MTD- PERTENECIENTES A LA EMPRESA MINERA SANTA CRUZ. LA EMPRESA COURIER ES LAN CARGO. EL VUELO DESPEGA A LAS 2335 SIN NOVEDAD.</t>
  </si>
  <si>
    <t>AEROPUERTO JORGE NEWBERY - COMODORO RIVADAVIA</t>
  </si>
  <si>
    <t>EN EL HOTEL APART CONCORDE, SITO AN LA LOCALIDAD DE PILAR, DEL CUAL SE DESCONOCE DIRECCION EXACTA</t>
  </si>
  <si>
    <t>LA DENUNCIANTE ARRIBA A ESTA AEROSTACION EL DIA 05/01/10, PARA LUEGO DIRIGIRSE A LA CINTA TRANSPORTADORAS DE EQUIPAJES, DONDE ESPERA CUARENTA Y CINCO MINUTOS APROXIMADAMENTE SU EQUIPAJE. QUE AL NO ARRIBAR EL MISMO SE CODUCE AL STAND DE RECLAMOS DE EQUIPAJES DE LA COMPAÑIA POR LA CUAL VOLO, DONDE PERSONAL DE LA EMPRESA LE MANIFIESTA QUE SU EQUIPAJE SE HABIA QUEDADO VARADO EN PARIS Y QUE EL MISMO SERIA TRASLADADO AL PAIS EN EL PROXIMO VUELO Y LUEGO SE LO LLEVARIAN AL SITIO DONDE SE HOSPEDARA. QUE EL DIA 06/01/10, LA DENUNCIANTE EN MOMENTOS QUE REGRESABA AL HOTEL DONDE SE ALOJA, PERSONAL DEL MISMO LE HACE ENTREGA DE LA VALIJA QUE HABIA QUEDADO VARADA EN PARIS, LA CUAL HABIA SIDO LLEVADA AL HOTEL POR PERSONAL DE LA COMPAÑIA AEREA. QUE AL APERTURAR LA MISMA SE PERCATA DEL FALTANTE DE ALGUNOS DE LOS ELEMENTOS HABIDOS EN EL INTERIOR. SE DEJA CONSTANCIA QUE LA DENUNCIANTE NO APORTO LA VALIJA EN CONFLICTO .</t>
  </si>
  <si>
    <t>AF 7649</t>
  </si>
  <si>
    <t>LYON</t>
  </si>
  <si>
    <t>SECTOR RESTRINGIDO DE ARRIBOS DE LA TERMINAL A.</t>
  </si>
  <si>
    <t>CINTA DE ARRIBO DE EQUIPAJES NUMERO 3</t>
  </si>
  <si>
    <t>QUE UNA VEZ ARRIBADA A LAS INSTALACIONES DE ESTE MEDIO, AL MOMENTO DE RETIRAR SUS EQUIPAJES DESPACHADOS A BODEGA DESDE LA CINTA DE ARRIBOS OBSERVA QUE UNO DE ESTOS PRESENTABA EL FALTANTE DE UN CANDADO METALICO COLOCADO POR LA DENUNCIANTE EN LA CIUDAD DE ORIGEN DEL VUELO, MOTIVO POR EL CUAL PROCEDE A LA APERTURA DE LA MISMA Y SE PERCATA DEL FALTANTE DE VARIAS DE SUS PERTENENCIAS.ASIMISMO SE INFORMA QUE DE LAS DECLARACIONES TESTIMONIALES RECIBIDAS AL PERSONAL DE LA EMPRESA HAS COMO ASI TAMBIEN AL PERSONAL DE LA EMPRESA INTERCARGO SAC, SE DESPRENDE QUE EL EQUIPAJE ARRIBO A ESTE PAIS CON LAS NOVEDADES YA ASENTADAS.</t>
  </si>
  <si>
    <t>TACA</t>
  </si>
  <si>
    <t>LR625</t>
  </si>
  <si>
    <t>Cuba</t>
  </si>
  <si>
    <t>LA HABANA</t>
  </si>
  <si>
    <t>EZEIZA-BUENOS AIRES</t>
  </si>
  <si>
    <t>546/10</t>
  </si>
  <si>
    <t>QUE EL DIA 29/01/10, SIENDO LAS 23:30HS, SE PROCEDIO AL TRASLADO DEL DETENIDO A LA UNIDAD DE DETENCION N°28 DEL SPF</t>
  </si>
  <si>
    <t>549/10</t>
  </si>
  <si>
    <t>SE PROCEDE A LA APERTURA DE DOS SACAS COLECTORAS DEL CORREO OFICIAL, IDENTIFICADAS CON MARBETE Nº SAL 0162071D343400MDZ, PRECINTO Nº B808171 LA CUAL CONTIENE UNA PIEZA POSTAL IDENTIFICADA COMO EP703586221AR LA CUAL QUEDA RETENIDA, LA 2ª SACA CON MARBETE Nº SAL 0169167E555700RGL, PRECINTO Nº B734962, CONTIENE UNA PIEZA POSTAL IDENTIFICADA COMO EP022166174AR LA CUAL QUEDA RETENIDA, LAS RETENCIONES SE REALIZAN ANTE LA PRESUNCION DE QUE PUDIERAN CONTENER ELEMENTOS EN INFRACCION A LAS LEYES 22.415 Y/O 23.737, LAS MISMAS QUEDAN EN GUARDA EN ESTA UNIDAD, Y SE ENCUENTRAN CERREDAS, SE INFORMO TELEFONICAMENTE AL JUZGADO INTERVINIENTE, LA APERTURA DE LAS MISMAS SE REALIZARAN CON LA AUTORIZACION DEL MAGISTRADO ACTUANTE. CON CONOCIMIENTO DE JUOSP</t>
  </si>
  <si>
    <t>JUZGADO DE INSTRUCCION 6° NOMINACION</t>
  </si>
  <si>
    <t>Anzoategui</t>
  </si>
  <si>
    <t>Javier</t>
  </si>
  <si>
    <t>DRA. MARIA PAULA DELLA RATTA</t>
  </si>
  <si>
    <t>AMENAZA</t>
  </si>
  <si>
    <t>NOTIFICACION POR PEDIDO DE PARADERO</t>
  </si>
  <si>
    <t>INFORMO NOTIFICO AL CAUSANTE DEBE COMPARECER A SEDE TRIBUNALICIA EN EL TERMINO DE CINCO DIAS HABILES DE LABRADA LA NOTIFICACION</t>
  </si>
  <si>
    <t>PUERTO IGUAZU MISIONES</t>
  </si>
  <si>
    <t>NAC DE 1º INST EN LO CRIMINAL DE INST Nº 42</t>
  </si>
  <si>
    <t>SECRETARIA Nº 106</t>
  </si>
  <si>
    <t>Lanz</t>
  </si>
  <si>
    <t>Maria Gabriela</t>
  </si>
  <si>
    <t>JUAN CARAVANO</t>
  </si>
  <si>
    <t>CUSTODIA Y PUESTA A DISPOSICION DEL TRIBUNAL REQUIRENTE</t>
  </si>
  <si>
    <t>MIGRACIONES NOTIFICA QUE EL CIUDADANO MARIANO ANDRES LEONE DNI 23.719.789 TIENE UN PEDIDO DE CAPTURA DEL JUZG. NACIONAL EN LO CRIMINAL DE INST. 42 , A CONTINUACION SE RATIFICA EL PEDIDO DE CAPTURA POR VIA TELEFONICA CON INTERPOL EZEIZA, NO PUDIENDO ESTABLECER COMUNICACION CON EL JUZGADO REQUIRENTE SE DA INTERVENCION AL JUZG. EN LO PENAL DE INSTRUCCION 3RA NOM. DE ROSARIO. EL SECRETARIO DR. MORENO DEJA AL IMPUTADO DETENIDO E INCOMUNICADO</t>
  </si>
  <si>
    <t>ROSARIO</t>
  </si>
  <si>
    <t>PORTO ALEGRE</t>
  </si>
  <si>
    <t>SOBRE LA CALLE DE CIRCULACION QUE LINDA A LA TERMINAL A, DE ESTE MEDIO</t>
  </si>
  <si>
    <t>EN CERCANIAS DEL ESTACIONAMIENTO MULTINIVEL</t>
  </si>
  <si>
    <t>QUE SIENDO LAS 11:30 HORAS , EN MOMENTOS QUE PERSONAL POLICIAL SE ENCONTRABA PATRULLANDO INSTALACIONES DE LA TERMINAL B, ES SOLICITADO PARA ACUDIR ANTE UN SUPUESTO ALTERCADO ENTRE 3 MASCULINOS, A TAL EVENTO EL EFECTIVO POLICIAL SE APROXIMA AL LUGAR, DONDE UN MASCULINO LE MANIFIESTA QUE DOS INDIVIDUOS QUE ESTABAN EN ESE SITIO LO HABIAN ESTAFADO EL DIA 21 DE ENERO DE 2010, POR LO CUAL SE PROCEDIO A LA IDENTIFICACION DE LOS MISMOS. QUE A CONTINUACION SE INVITO A LOS INTERVINIENTES A ESTA GUARDIA DE PREVENCION, LUGAR DONDE EL DAMNIFICADO FORMALIZOO LA DENUNCIA SOBRE LO OCURRIDO. QUE UNA VEZ EN ESTA DEPENDENCIA EL DAMNIFICADO MANIFESTO QUE EL DIA VEINTIUNO DEL CORRIENTE MES Y AÑO, UN MASCULINO QUE SE ENCONTRABA FRENTE AL STAND DE TAXIS OFICIALES DE LA CAPITAL FEDERAL, SITO ESTE EN LA PERGOLA DE LA TERMINAL A, DE ESTE MEDIO, LE OFRECIO SERVICIO DE TAXI, E CUAL FUE ACEPTADO POR EL DENUNCIANTE. QUE A CONTINUACION ABORDARON UN RODADO MARCA RENAULT, MODELO 21 DE COLOR BORDEAUX. QUE ANTES DE SALIR DEL AEROPUERTO Y EN CERCANIAS DEL ESTACIONAMIENTO MULTINIVEL, SITO ESTE FRENTE A LA CITADA TERMINAL, UN SEGUNDO MASCULINO ABORDO DE MANERA ABRUPTA DICHO AUTOMOVIL, SENTANDOSE EN LA PARTE DELANTERA Y DEL LADO DEL ACOMPAÑANTE, PIDIENDOLE AL DENUNCIANTE LA SUMA DE 298 PESOS CORRESPONDIENTE AL PAGO DEL SERVICIO DE TAXI CONTRATADO, A LO QUE EL PASAJERO ACEPTO, ABONANDOLE LA SUMA DE 300 PESOS. QUE EL SEGUNDO MASCULINO NO SE QUEDO CONFORME CON ESA SUMA YA QUE MANIFESTO QUE LOS TRES BILLETES DE CIEN PESOS ERAN FALSOS Y QUE LOS DEBIA LLEVAR AL BANCO, SOLICITANDOLE A CONTINUACION DINERO EN MONEDA EUROPEA, A LO QUE EL DENUNCIANTE LE MANIFESTO QUE NO TENIA MAS DINERO, MOTIVO POR EL CUAL EL SEGUNDO MASCULINO DESCENDIO DEL VEHICULO, APERTURO EL BAUL DEL MISMO, SACO LA MALETA DEL PASAJERO Y SE LA DIO A LA VICTIMA DEL HECHO, MANIFESTANDOLE DE MANERA INTIMIDATORIA, QUE BUQUE EN EL INTERIOR DE LA MALETA Y QUE LE DIERA MAS PLATA, POR LO QUE EL DENUNCIANTE ACCEDIO DANDOLE LA SUMA DE 50 EUROS. QUE A CONTINUACION EL SEGUNDO MASCULINO AL NO QUEDARSE CONFORME REVISO LA VALIJA DE MENCION Y AL NO ENCONTRAR MAS DINERO, DESCENDIO DEL RODADO ALEJANDOSE DE ESTE. QUE SEGUIDAMENTE EL CHOFER CONTINUO CON SU RECORRIDO COMO SI NADA HUBIERA PASADO, LLEVANDO A LA VICTIMA A UN HOTEL EN CAPITAL FEDERAL. QUE ANTE LO NARRADO EL JEFE DE TURNO MANTUVO COMUNICACION TELEFONICA CON EL JUZGADO INTERVINIENTE, QUIEN INDICO QUE SE NOTIFIQUE A LOS DOS MASCULINOS QUE INTERVINIERON EN EL HECHO EN EL CUAL EL DENUNCIANTE FUE VICTIMA, DE LA FORMACION DE LA CAUSA, ARTICULO 60 DEL CP, Y SE SOLICITE INFORME DE DOMINIO SOBRE EL VEHICULO DE MENCION.QUE SE OBTUBO EL RESULTADO SOBRE EL INFORME DE DOMINIO SOLICITADO, EL CUAL ARROJO QUE EL VEHICULO RENAULT 21, DOMINIO COLOCADO SXG 552, NO POSEE IMPEDIMENTOS LEGALES</t>
  </si>
  <si>
    <t>MOSTRADORES DE LA EMPRESA LAN AERLINES, SECTOR PUBLICO</t>
  </si>
  <si>
    <t>-</t>
  </si>
  <si>
    <t>SIENDO LAS 17:10 HS PERSONAL DE VIGILANCIA DE LA EMPRESA SASA, SEÑOR NUÑEZ, RUBEN DNI Nº 28797263, DA AVISO AL JEFE DE PREEMBARQUE SALAS, MARIO ROLANDO CONTROL Nº 502205, QUIEN SE ENCONTRABA REALIZANDO LOS CONTROLES PERTINENTES AL VUELO DE LA EMPRESA LAN AERLINES, VUELO Nº935, SOBRE 01 UNA MALETA COLOR NEGRA DE SIMIL NYLON, MARCA PRIMICIA, APROXIMADAMENTE DE 1,00 MT. POR 0,70 MT. ,TOMANDOSE LAS MEDIDAS PERTINENTES PARA TAL SITUACION, SIMULTANEAMENTE DANDO LA NOVEDAD AL JEFE DE TURNO,BUSTAMANTE, JAVIER CONTROL Nº 500.745, QUIEN SE COMUNICA VIA NEXTEL CON PERSONAL DEL GEDEX, WEISBERGER, GUSTAVO CONTROL Nº 502.828, EL MISMO SE PRESENTA EN EL HALL PUBLICO REALIZANDO EL PROCEDIMIENTO CORRESPONDIENTE PARA TAL SITUACION, EL PERSONAL DE GEDEX MENCIONADO SE DIRIGE AL PREEMBARQUE INTERNACIONAL Y REALIZA LA INSPECCION DEL MISMO EN LA MAQUINA DE RAYOS X, SE OBSERVA EN DICHA INSPECCION ELEMENTOS VARIOS COMO ROPA, ARTICULOS DE HIGIENE, ETC, FINALIZANDO EL PROCEDIMIENTO DANDO COMO RESULTADO NEGATIVO, POR LO QUE SE CONFECCIONA ACTA DE HALLAZGO Nº 13/10.</t>
  </si>
  <si>
    <t>TAQUILLA CENTRAL</t>
  </si>
  <si>
    <t>ESTACIONAMIENTO NORTE</t>
  </si>
  <si>
    <t>SIENDO LA HORA Y FECHA MENCIONADA, LLEGO LA DENUNCIANTE JUNTO A SU FAMILIA, AL ESTACIONAMIENTO NORTE DE ESTE AEROPUERTO METROPOLITANO, QUIENES HABIAN ARRIBADO EN EL VUELO ANTERIOMENTE DESCRIPTO. AL MOMENTO DE ABONAR EL TICKET DEL ESTACIONAMIENTO, LA MADRE DE LA SRA. FISCHER, SE DIRIGIO HACIA LA CABINA DE COBRO CENTRAL UBICADA SOBRE LA SENDA PEATONAL DEL PARKING PARA TAL FIN, MIENTRAS QUE LA DENUNCIANTE COMENZO A CAMINAR HACIA SU VEHICULO CON EL CARRO PORTA EQUIPAJE, PASADOS UNOS MINUTOS OBSERVA QUE UNO DE SUS BOLSOS YA NO SE ENCONTRABA EN DICHO CARRO. POSTERIORMENTE, SE APERSONA EN ESTA GUARDIA CON EL FIN DE RADICAR LA CORRESPONDIENTE DENUNCIA PENAL.</t>
  </si>
  <si>
    <t>PU 369</t>
  </si>
  <si>
    <t>DIVISION DE OPERACIONES ESPECIALES DE SEGURIDAD AEROPORTUARIA III SALTA</t>
  </si>
  <si>
    <t>MOSTRADOR DE AEROLINEAS ARGENTINAS - CHEC-KIN</t>
  </si>
  <si>
    <t>HALL CENTRAL AEROESTACION, MOSTRADORES DE AEROLINEAS ARGENTINAS</t>
  </si>
  <si>
    <t>SIENDO LAS HORAS 20:35, EL JEFE DE TURNO DE LA UOSP SALTA FABIAN MIGUEL CONTROL 500705 INFORMA AL PERSONAL DE GUARDIA DE LA UOESA NORTE SOBRE EL HALLAZGO DE UN BOLSO MEDIANO DE COLOR VERDE OSCURO TIPO MARINERO EN EL HALL CENTRAL DEL AEROPUERTO DONDE SE ENCUENTARN LOS MOSTRADORES DE CHEC-KIN DE AEROLINEAS ARGENTINAS, INMEDIATAMENTE SE TOMARON LAS MEDIDAS A EFECTOS DE IDENTIFICAR AL PROPIETARIO, DANDO COMO RESULTADO NEGATIVO. PERSONAL DE LA UOESA EFECTUO LOS PROCEDIMEINTO ESTANDARIZADOS PARA DESCARTAR LA EXISTENCIA DE UN SISTEMA DE IGNICION POR PRESION Y MOVIMIENTO, A CONTINUACION SE TRASLADO EL MISMO A UNA ZONA SEGURA PARA SU INSPECCION POR RAYOS X, FINALIZADO DICHOS PROCEDIMIENTOS Y DECLARADO BULTO SEGURO SE PROCEDIO A SU ENTREGA AL JEFE DE TURNO UOSP SLA PARA LOS TRAMITES ADMINISTRATIVOS CORRESPONDIENTES. DICHA TAREA FUE EFECTUADA BAJO LA SUPERVISION TECNICA DEL JEFE DE UOESA NORTE ROQUE MIGUEL MEDINA CONTROL 5729</t>
  </si>
  <si>
    <t>FISCALIA DE INVESTIGACION PROVINCIAL N° 6 DE RESISTENCIA - CHACO.</t>
  </si>
  <si>
    <t>AUGUSTO SERGIO FABIAN</t>
  </si>
  <si>
    <t>PUESTO FIJO SABRE SOBRE INGRESO A AEROESTACION</t>
  </si>
  <si>
    <t>ZONA PARQUIZADA</t>
  </si>
  <si>
    <t>EN CIRCUNSTANCIAS QUE DOS MENORES CIRCULABAN EN DOS MOTOCICLETAS POR LA CALLE DE SALIDA DEL AEROPUERTO Y AL PASO DE UNA CAMIONETA TOYOTA HILUX COLOR BLANCA, DOMINIO HGH 278, CIRCULABA EN EL MISMO SENTIDO, AMBAS MOTOCICLETAS CAEN HACIA SU LADO DERECHO, PRODUCIENDO LESIONES A AMBOS MENORES PRODUCTO DE LA CAIDA. EL CONDUCTOR DE LA CAMIONETA DETUVO SU MARCHA ANTE LO OCURRIDO PARA VERIFICAR EL ESTADO DE LOS MENORES, LUEGO RETIRANDOSE AL CORROBORAR Y DESLINDAR RESPONSABILIDAD EN EL HECHO. SE DA INTERVENCION A LA FISCALIA DE TURNO. SE HACE ENTREGA DE LOS MENORES A SUS PADRES LUEGO DE SER ATENDIDOS POR MEDICINA LEGAL DE LA POLICIA DE LA PROVINCIA DEL CHACO AL NO CONTAR CON LESIONES DE GRAVEDAD.</t>
  </si>
  <si>
    <t>DR. DABONDI JOSE LUIS</t>
  </si>
  <si>
    <t>PTA. INFRACCION AL ART. 175 INC. 1 CP</t>
  </si>
  <si>
    <t>QUE MIENTRAS SE EFECTUABA EL CONTROL RUTINARIO EN EL PUESTO FIJO UNO, A LOS EMPLEADOS DE ESTE AEROPUERTO, DOS FEMENINAS DE LA EMPRESA TODOLI HNOS. SRL. SE HACEN PRESENTE EN DICHO PUESTO Y DEPOSITANDO UNA DE ELLAS DOS BOLSAS DE PLASTICO EN LA MAQUINA DE RX EMPLAZADA EN EL PUESTO DE MECION. QUE DE LAS IMAGENES DE DICHA MAQUINA SE DESPRENDE QUE EN EL INTERIOR DE UNA DE LAS BOLSAS, HABIA UN FRASCO DE VIDRIO, CONSTATANDO POSTERIORMENTE QUE DICHO ELEMENTO ERA UN FRASCO DE PERFUME, DE LA FIRMA CALVIN KLEIN. QUE DICHA EMPLEADA MANIFESTO QUE SE LO HABIA REGALADO UN EMPLEADO DE LA EMPRESA AEROLINEAS ARGENTINAS, SIENDO ESTE DE APELLIDO ARTHUR, QUIEN SE APERSONO EN EL LUGAR RATIFICANDO LO NARRADO ANTERIRORMENTE, AGREGANDO TAMBIEN A SUS DICHOS QUE LO HABIA ENCONTRADO EN LA PLATAFORMA OPERATIVA. QUE SE MANTUVO COMUNICACION TELEFONICA CON EL JUZGADO INTERVINIENTE, EL CUAL DISPUSO QUE LABREN ACTUACIONES BAJO CARATULA PRESUNTA INFRACCCION AL ARTICULO 175 INCISO 1 DE CP, SE PROCEDA AL SECUESTRO DEL ELEMENTO EN CUESTION, QUEDANDO EL MISMO EN RESGUARDO EN ESTA DEPENDENCIA, SE TOMEN DECLARACIONES TESTIMONIALES A TODOS LOS INTERVINIENTES Y QUE SE NOTIFIQUE AL SR. ARTHUR DE LA INICIACION DE LA CAUSA, QUEDANDO EL MISMO EN ESTA DEPENDENCIA EN CALIDAD DE AFECTADO A ACTUACIONES HASTA CULMINAR CON LAS DILIGENCIAS IMPARTIDAS POR SSA, QUE CONSULTADO EL SECRETARIO RESPECTO A SI SE DEBIAN CUMPLIMENTAR ALGUNA OTRA DIRECTIVA, EL MISMO MANIFESTO QUE NO. QUE UNA VEZ CONSTATADO VIA INTERPOL QUE EL SR. ARTHUR NO POSEIA IMPEDIMENTOS LEGALES, EL MISMO HIZO ABANDONO DE ESTA DEPENDENCIA CONFORME CON LOS TRATOS RECIBIDOS</t>
  </si>
  <si>
    <t>MOSTRADOR Nº 15</t>
  </si>
  <si>
    <t>EN EL DIA DE LA FECHA SE PRESENTA EN ESTA GUARDIA DE PREVENCION UNA PERSONA, INFORMANDO QUE ARRIBADO A ESTE AEROPUERTO METROPOLITANO DESCIENDE DE UN VEHICULO TAXIMETRO CON TODAS SUS PERTENENCIAS Y AL LLEGAR AL MOSTRADOR DE CHECK IN Nº 15, SE PERCATA DEL FALTANTE DE SU RIÑONERA, LA CUAL AL MOMENTO DE BAJARSE DEL TAXI, TENIA COLOCADA EN SU CINTURA. MOTIVO POR EL CUAL SE ACERCA AL AGENTE SILVA, QUIEN SE DESEMPEÑA COMO ENCARGADO DE TURNO, Y LE INFORMA LO SUCEDIDO POR LO CUAL SE LE INDICA QUE OTRO PASAJERO, EL SR DAVID TERRY, HABIA ENCONTRADO UNA RIÑONERA DE SIMILARES CARACTERISTICAS EN EL SECTOR DE LOS BAÑOS, ANOTICIANDO AL PERSONAL POLICIAL QUE EL OBJETO EN CUESTION HABIA SIDO COLGADO EN UNO DE LOS BOX DEL BAÑO, POR UNA PERSONA LA CUAL NO PUDO OBSERVAR. CUANDO EL DENUNCIANTE VERIFICO EL CONTENIDO DE LA RIÑONERA PUDO CONSTATAR EL FALTANTE DE SUS PERTENENCIAS. RAZON POR LA CUAL SE PRESENTA EN ESTA GUARDIA A LOS EFECTOS DE RADICAR LA CORRESPONDIENTE DENUNCIA PENAL</t>
  </si>
  <si>
    <t>AR 2734</t>
  </si>
  <si>
    <t>SE CONFECCIONA EL PRESENTE CON LA FINALIDAD DE INFORMAR LA PARTIDA DE LA AERONAVE PRESIDENCIAL T-01, CON DESTINO, LA LOCALIDAD DE EL CALAFATE, SOLO TRIPULACION Y SIN NOVEDAD.</t>
  </si>
  <si>
    <t>HALL SECTOR A1</t>
  </si>
  <si>
    <t>EN EL DIA DE LA FECHA SIENDO LAS 14.10 HORAS ENCONTRANDOSE EL AGENTE DARIO PAVON, JEFE DE TURNO DEL DIA DE LA FECHA, DE RECORRIDA POR EL HALL PUBLICO, ES INFORMADO POR EL AGENTE FEDERICO SAGUES QUE UNA FEMENINA DE NOMBRE ADRIANA CLAUDIA SUAREZ LE HABIA DEJADO EN CUSTODIA A UNA MENOR DE NOMBRE BRENDA ALEN BARRAZA JUNTO CON UN PAPEL CON NUMEROS TELEFONICOS YA QUE INDICABA QUE SU VUELO SE ENCONTRABA PROXIMO A SALIR Y NO PODIA ESPERAR A LOS FAMILIARES. ANTE ESTA SITUACION SE REQUIRIO LA PRESENCIA DE DOS TESTIGOS FEMENINOS Y SE DIRIGIERON A ESTA GUARDIA DE PREVENCION, DONDE SE REALIZO UNA COMUNICACION, A UNO DE LOS TELEFONOS INDICADOS EN EL PAPEL, DANDO CON EL SEÑOR HUGO LLERI QUIEN INFORMO QUE SE ESTABAN DIRIGIENDO A ESTE AEROPUERTO EL TIO Y LA ABUELA DE LA MENOR. POSTERIORMENTE SE ENTABLO COMUNICACION CON EL DR. DANIEL MAGAN, ABOGADO DE TURNO DEL CONSEJO DE DERECHOS DEL NIÑO, NIÑA Y ADOLESCENTES A QUIEN SE LE INFORMA DE LO ACONTECIDO Y DE LA PRESENCIA DE LOS FAMILIARES, QUE DISPONE QUE DE NO MEDIAR RESISTENCIA Y RECONOCIENDO A DICHOS FAMILIARES SE HAGA UN ACTA DEJANDO CONSTANCIA INTERNA DE ENTREGA DE LA MENOR FIRMADA POR LOS FAMILIARES PRESENTES Y TESTIGOS.</t>
  </si>
  <si>
    <t>DESPEGA DE ESTE AEROPUERTO AERONAVE T-01 CON LA SEÑORA PRESIDENTA DE LA NACION , EL EXPRESIDENTE DE LA NACION Y COMITIVA CON DESTINO AEROPARQUE S/NOVEDAD</t>
  </si>
  <si>
    <t>DOMICILIO PARTICULAR</t>
  </si>
  <si>
    <t>QUE ARRIBADA A ESTA AEROSTACION LUEGO DE LOS TRAMITES MIGRATORIOS Y ADUANEROS DE RIGOR SE RETIRA DE ESTE AEROPUERTO CON DESTINO A SU DOMICILIO PARTICULAR. QUE UNA VEZ CONSTITUIDA EN EL DOMICILIO, AL MOMENTO DE HACER ENTREGA DE LOS REGALOS A SUS FAMILIARES, SE PERCATA DEL FALTANTE DE UN PERFUME MARCA CALVIN KLEIN ONE EL CUAL SE ENCONTRABA EN EL INTERIOR DE UNA BOLSA DEL DUTY FREE SHOP QUE LA DENUNCIANTE LLEVABA CONSIGO DENTRO DE LA AERONAVE EN EL SECTOR PORTA MALETA.ES TODO</t>
  </si>
  <si>
    <t>JJ806</t>
  </si>
  <si>
    <t>SAN PABLO</t>
  </si>
  <si>
    <t>INFORMO QUE ESTE AEROPUERTO PERMANECERA CERRADO POR TAREAS DE REFACCIONES Y MANTENIMIENTO, DESDE EL DIA DE LA FECHA A LAS 23:59 HS. HASTA EL DIA 11 DE FEBRERO DE 2010, A LAS 23:59 HS.</t>
  </si>
  <si>
    <t>EN EL DIA DE LA FECHA SIENDO LAS 19.30 HORAS, CUMPLIMENTANDO LA ORDEN DE SERVICIO Nº 052 DE LA URSA I DEL ESTE DE FECHA 27/01/10, COMIENZA EL OPERATIVO DE SEGURIDAD REFERENTE A LA LLEGADA DE LA SRA PRESIDENTE DE LA NACION A ESTE AEROPARQUE METROPOLITANO, ARRIBANDO PROCEDENTE DE LA CIUDAD DE EL CALAFATE A LAS 20.52 HORAS EN LA AERONAVE DE MATRICULA T01, PARA LUEGO ABORDAR Y PARTIR A LAS 20.58 HORAS EN EL HELICOPTERO DE MATRICULA H03. RESULTANDO EL OPERATIVO SIN NOVEDAD.</t>
  </si>
  <si>
    <t>DRA MARIA SAENZ SAMANIEGO</t>
  </si>
  <si>
    <t>EN EL DIA DE LA FECHA SIENDO LAS 21.10HS SE HACE PRESENTE EN ESTA GUARDIA DE PREVENCION LA SEÑORA AMALIA VILLALUSTRE, JUNTO A SU ESPOSO, INDICANDO QUE SIENDO LAS 17.00 HORAS ABORDO EL VUELO Nº 117 DE LA EMPRESA PLUNA PROCEDENTE DE LA CIUDAD DE PUNTA DEL ESTE HACIA ESTE AEROPUERTO METROPOLITANDO, DESPACHANDO EN TOTAL CINCO EQUIPAJES CON LA SIGUIENTE NUMERACION DE MARBETE: PU683317, PU683318, PU683319, PU683320 Y PU683321. UNA VEZ ARRIBADO A ESTA AEROESTACION Y AL MOMENTO DE RETIRAR SUS EQUIPAJES, SE PERCATA DEL FALTANTE DE UNO DE ELLOS, NO PUDIENDO PRECISAR SI SE TRATABA DEL EQUIPAJE CON Nº DE MARBETE PU 683317 O DEL PU683320, YA QUE A UNO DE LOS BOLSOS QUE RETIRO LE FALTABA EL CORRESPONDIENTE MARBETE. ES POR ESO QUE ANTE LA FALTA DE UNA RESPUESTA SATISFACTORIA POR PARTE DE LA EMPRESA AEREA MENCIONADA, LA DAMNIFICADA SE HACE PRESENTE EN ESTA GUARDIA PARA RADICAR LA CORRESPONDIENTE DENUNCIA PENAL.</t>
  </si>
  <si>
    <t>PU 117</t>
  </si>
  <si>
    <t>SIENDO LA 06:45HS SE CERRÓ LA TERMINAL AÉREA PARA EL ARRIBO Y DESPEGUE DE AERONAVES POR PROBLEMAS METEOROLÓGICOS</t>
  </si>
  <si>
    <t>578/10</t>
  </si>
  <si>
    <t>SIENDO LA 10:25 HS SE HABILITA TERMINAL AÉREA PARA EL ARRIBO Y DESPEGUE DE AERONAVES.</t>
  </si>
  <si>
    <t>Contra la Integridad Sexual</t>
  </si>
  <si>
    <t>NAC DE 1º INST EN LO CRIMINAL DE INST Nº 5</t>
  </si>
  <si>
    <t>SECRETARIA N° 116</t>
  </si>
  <si>
    <t>Decampos</t>
  </si>
  <si>
    <t>Manuel</t>
  </si>
  <si>
    <t>DR. DANIEL GONZALEZ</t>
  </si>
  <si>
    <t>AVERIGUACION ABUSO SEXUAL Y ROBO</t>
  </si>
  <si>
    <t>CALLE ESMERALDA Y AVENIDA LIBERTADOR, CABA.</t>
  </si>
  <si>
    <t>SIENDO LA HORA Y LA FECHA ANTES MENCIONADA SE PRESENTA EN LA GUARDIA DE PREVENCION LA DAMNIFICADA PARA INFORMAR EL SIGUIENTE HECHO: QUE EN MOMENTOS DE DIRIGIRSE A TOMAR UN COLECTIVO QUE LA TRASLADE HASTA EL AEROPUERTO A FIN DE CUMPLIR CON SU JORNADA LABORAL, FUE INTERCEPTADA POR UN MASCULINO QUE LE ROBO SU BILLETERA CON DOCUMENTACION VARIA, UN PULLOVER Y LUEGO DE ESTO, INTENTO ABUSAR SEXUALMENTE DE ELLA SIN COMETER ACCESO CARNAL. ACTO SEGUIDO SE TRASLADO HASTA EL AEROPARQUE METROPOLITANO LLEGANDO EN ESTADO DE SHOCK. SIENDO LAS 10:45 HORAS SE ENTABLA COMUNICACION TELEFONICA CON EL DR. EDUARDO ROCCHI SECRETARIO DE LA FISCALIA Nº 20 A QUIEN SE LE INFORMA LO SUCEDIDO Y QUIEN DISPONE: ACTA DE PROCEDIMIENTO, SE LE TOME DECLARACION TESTIMONIAL A LA PERSONA QUE ASISTIO A LA VICTIMA Y AL MEDICO QUE LA ATENDIO, Y SE DERIVE A LA VICTIMA A LA OFICINA DE ASISTENCIA INTEGRAL A LA VICTIMA DEL DELITO SITA EN LA CALLE PTE. PERON DE ESTA CIUDAD AUTONOMA DE BUENOS AIRES Y PREVIO DICTAMEN DE DICHA OFICINA, CITACION A LA DAMNIFICADA PARA EL DIA 02 DEL CORRIENTE EN HORAS 11:00 A LA SEDE JUDICIAL, CIERRE Y ELEVACION DE LAS ACTUACIONES.</t>
  </si>
  <si>
    <t>NANCY MARINICH</t>
  </si>
  <si>
    <t>SUPUESTA INFRACCION A LA LEY 23737</t>
  </si>
  <si>
    <t>ZONA PARQUIZADA FRENTE A PUESTO SABRE</t>
  </si>
  <si>
    <t>EN EL DIA DE LA FECHA SE ENCONTRO EN RECORRIDA DE RUTINA REALIZADA POR PERSONAL DESTACADO EN PUESTO DE AVANZADA SABRE A DOS PERSONAS DE SEXO MASCULINO, UNO DE ELLOS MAYOR DE EDAD Y EL OTRO MENOR, QUE MOMENTOS ANTES SE HALLABAN FUMANDO CIGARRILLOS DENOMINADOS "PORROS". ANTE ESTA SITUACIÓN EL JEFE DE TURNO SE DIRIGE INMEDIATAMENTE AL PUESTO DE ENTRADA DONDE SE ENCONTRABAN LOS CIUDADANOS ANTES MENCIONADOS Y SOLICITA LA PRESENCIA DE UN TESTIGO A LOS EFECTOS DE REALIZAR LAS ACTUACIONES PERTINENTES, SE DA INTERVENCION AL JUZGADO FEDERAL QUIEN DISPONE SE REALICE LAS ACTUACIONES DE RIGOR Y SE HAGA ENTREGA AL MENOR DEMORADO A SUS PADRES.SE DA CUMPLIMIENTO A LA ORDEN DE SERVICIO Nº 123/2008 Y RESOLUCION Nº 2208/08 DEL MISTERIO DE JUSTICIA SEGURIDAD Y DERECHOS HUMANOS</t>
  </si>
  <si>
    <t>OCHOA</t>
  </si>
  <si>
    <t>HECTOR</t>
  </si>
  <si>
    <t>I-9547</t>
  </si>
  <si>
    <t>EN EL DIA DE LA FECHA SIENDO LAS 15:40 HS EN CONTROL DE PREEMBARQUE VUELO A.ARG 2849, MEDIANTE EL CONTROL SISTEMA RED LINCE SE DETECTA UNA SOLICITUD DE PARADERO, BAJO REGISTRO Nº 262.942, DEL SR. MIGUEL ANGEL VAZQUEZ, DNI Nº 12.284.029 DE NACIONALIDAD ARGENTINA DE 51 AÑOS DE EDAD, DOMICILIADO EN ALBERDI 1019 EN LA CIUDAD DE RIO GRANDE, NOTIFICANDOLO DE LA CAUSA.</t>
  </si>
  <si>
    <t>SIENDO LAS 2340 HORA LOCAL Y DANDO CUMPLIMIENTO A ORDEN DE SERVICIO NRO 0006/2010 ARRIBA AERONAVE AIRBUS 320 DE LA EMPRESA LAN ARGENTINA MATRICULA LV - BRY PROCEDENTE DE AEROPUERTO JORGE NEWBERY EN CUYA BODEGA 12 SE DESPACHAN CON DESTINO A AEROPUERTO JORGE NEWBERY 22 PIEZAS CON UN PESO BRUTO DE 924 KILOGRAMOS DE METAL - MTD - PERTENECIENTES A LA EMPRESA MINERA SANTA CRUZ. LA EMPRESA COURIER ES LAN CARGO. EL VUELO DESPEGA A LAS 0048 SIN NOVEDAD.</t>
  </si>
  <si>
    <t>PATRICIA PALMECIANO</t>
  </si>
  <si>
    <t>YOMI SILVI ADRIANA Y OTROS S/DEFRAUDACION CONTRA LA ADMINISTRACION PUBLICA</t>
  </si>
  <si>
    <t>QUE SIENDO LAS VEINTIUNA HORAS DEL DIA PRIMERO DEL CORIENTE MES Y AñO, SE RECIBE EN ESTA DEPENDENCIA POLICAL NOTA ESTILO POR PARTE DE LA DIRECCION NACIONAL DE MIGRACIONES, EN LACUAL SOLICITA PONER EN CUSTODIA DE ESTA FUERZA, A LA CIUDADANA BIAGGI, MARIA GRACIELA, EN VIRTUD A QUE EN MOMENTOS EN QUE LA MISMA SE DISPONE A SOMETERSE AL CONTROL MIGRATORIO DISPUESTO EN ESTA AEROESTACION, CON MOTIVO DE EGRESAR DEL TERRITORIO NACIONAL, ES DONDE ESE ORGANISMO DETECTA MEDIANTE SU SISTEMA QUE SOBRE LA MISMA RECAIA UN PEDIDO DE CAPTURA VIGENTE. ATENTO A ELLO SE PROCEDIO A ESTABLECER COMUNICACION TELEFOINICA CON LA TITULAR DE LA SECRETARIA 10 PERTENECIENTE AL JUZGADO DE PRIMERA INSTANCIA EN LO CRIMINAL Y CORRECIONAL FEDERAL NRO.5 A QUIEN UNA VEZ INTERIORIZADO DE LOS PORMENORES DISPUSO 1. SE DETENGA A LA CAUSANTE EN CARACTER DE COMUNICADA 2. SE REALIZE CONSTATACION DE DOMICILO 3. SE CURSE NOTA A REINCIDENCIA Y ESTADISTICA CRIMINAL ARTICULO 353BIS 4. QUE LA CAUSANTE APORTE UN NUMERO TELEFONICO 5. SE LE REALIZE UN INFORME MEDICO 6.SE CITE A LA SR.BIAGGI A SEDE JUDICIAL EL DIA TRES DEL CORRIENTE MES Y AñO 7. UNA VEZ RECIBIDO EL RESULTADO DE REINCIDENCIA Y ESTADISTICA CRIMINAL ART. 353 BIS Y SI LA MISMA NO PR5ESENTA OTRO TIPO DE MEDIDA RESTRICTIVA SE PROCEDA A SU LIBERACION. QUE SIENDO LAS 08:30 HS, UNA VEZ RECIBIDO EL RESULTADO DEL REGISTRO NACIONAL DE REINCIDENCIA Y ESTADISTISA CRIMINAL, DONDE NO PESA OTRA MEDIDA RESTRICTICA SOBRE LA PERSONA DEL CAUSANTE, EL JUZGADO DISPONE LA LIBERTAD DEL MISMO, EL CUAL SE RETIRA DE ESTA DEPENDENCIA POR SUS PROPIOS MEDIOS.</t>
  </si>
  <si>
    <t>AR1132</t>
  </si>
  <si>
    <t>QUE SIENDO LAS 08:30 HS, UNA VEZ RECIBIDO EL RESULTADO DEL REGISTRO NACIONAL DE REINCIDENCIA Y ESTADISTISA CRIMINAL, DONDE NO PESA OTRA MEDIDA RESTRICTICA SOBRE LA PERSONA DEL CAUSANTE, EL JUZGADO DISPONE LA LIBERTAD DEL MISMO, EL CUAL SE RETIRA DE ESTA DEPENDENCIA POR SUS PROPIOS MEDIOS</t>
  </si>
  <si>
    <t>EN EL DIA DE LA FECHA SE ENCONTRO EN RECORRIDA DE RUTINA REALIZADA POR PERSONAL POLICIAL DEL PUESTO SABRE A DOS PERSONAS DE SEXO MASCULINO, UN MAYOR Y UN MENOR DE EDAD, QUE SE HALLABAN FUMANDO CIGARRILLOS DENOMINADOS "PORROS". ANTE TAL NOVEDAD EL JEFE DE TURNO SE PRESENTA EN EL LUGAR Y SOLICITA LA PRESENCIA DE UN TESTIGO A LOS EFECTOS DE REALIZAR LAS ACTUACIONES PERTINENTES, SE DA INTERVENCION AL JUZGADO FEDERAL QUIEN DISPONE SE REALICE LAS ACTUACIONES DE RIGOR Y SE HAGA ENTREGA AL MENOR DEMORADO A SUS PADRES.SE DA CUMPLIMIENTO A LA ORDEN DE SERVICIO Nº 123/2008 Y RESOLUCION Nº 2208/08 DEL MISTERIO DE JUSTICIA SEGURIDAD Y DERECHOS HUMANOS. SE REALIZA EXAMEN MEDICO A LOS IMPUTADOS EN LA DIVISION MEDICINA LEGAL DE LA POLICIA PROVINCIAL POR EL DR JULIO ENZO MANETTI QUIEN DIAGNOSTICO QUE LOS CIUDADANOS NO PRESENTAN SIGNOS CLINICOS DE LESIONES TRAUMATICAS VISIBLES RECIENTES NI DE EBRIEDAD ALCOHOLICA. SE SOLICITA AL DEPARTAMENTO DE POLICIA CIENTIFICA INFORME DE ANTECEDENTES PENALES DEL SEÑOR ACOSTA CARLOS, NO PRESENTANDO ANTECEDENTES PENALES. SE REALIZA NOTIFICACION DE LA CAUSA A LA MADRE DEL MENOR GANDOLA MARCELO, QUIEN UNA VEZ INFORMADA Y HABIENDO FIJADO DOMICILIO RETIRA A SU HIJO DE ESTA UNIDAD. LUEGO SE REALIZA NOTIFICACION DE LA CAUSA AL CIUDADANO ACOSTA CARLOS QUIEN HABIENDO FIJADO DOMICILIO SE RETIRA DE ESTA UOSP.</t>
  </si>
  <si>
    <t>DENTRO DE LAS INSTALACIONES DEL AEROPUERTO</t>
  </si>
  <si>
    <t>SIENDO LA HORA MENCIONADA SE HACE PRESENTE EN ESTA DEPENDENCIA EL SR. PERALTA A FIN DE RADICAR LA DENUNCIA DE EXTRAVIO DE SU PPSA ARROJANDO EL Nº DE DENUNCIA 62/10.</t>
  </si>
  <si>
    <t>FISCALIA NACIONAL EN LO CORRECCIONAL Nº 9</t>
  </si>
  <si>
    <t>FERNANDEZ</t>
  </si>
  <si>
    <t>JORGE HECTOR EMILIO</t>
  </si>
  <si>
    <t>MARIA FERNANDA POGGI</t>
  </si>
  <si>
    <t>CHECK - IN</t>
  </si>
  <si>
    <t>SIENDO LA HORA Y FECHA MENCIONADA, LUEGO DE DESCENDER DEL VEHICULO TAXÍMETRO, ARRIBO EL DENUNCIANTE JUNTO A SU SRA. ESPOSA Y UN AMIGO, Y SE DIRIGIERON AL SECTOR A1 A REALIZAR EL CHECK IN CON EL FIN DE ABORDAR EL VUELO MENCIONADO CON ANTERIORIDAD MOMENTO EN EL CUAL, DOS PERSONAS DE SEXO MASCULINO SE ACERCARON HACIA ELLOS. UNO LES CONSULTO LA HORA, LE RESPONDIERON Y LUEGO DE UNOS SEGUNDOS SE PERCATO QUE EL BOLSO DE TELA DE AVIÓN COLOR NEGRO QUE CONTENIA APARATOS DE FOTOGRAFIA, EL CUAL SE ENCONTRABA SOBRE UN CARRO PORTA EQUIPAJE YA NO ESTABA. SEGUIDAMENTE SE HACE PRESENTE EN ESTA GUARDIA PARA RADICAR LA CORRESPONDIENTE DENUNCIA PENAL.</t>
  </si>
  <si>
    <t>AR 1742</t>
  </si>
  <si>
    <t>FUERA DE LAS INSTALACIONES DE ESTE AEROPUERTO METROPOLITANO</t>
  </si>
  <si>
    <t>SIENDO LA HORA Y FECHA ANTES MENCIONADO SE HACE PRESENTE EL DENUNCIANTE PARA RADICAR DENUNCIA DE EXTRAVIO DE SU PERMISO PERSONAL DE SEGURIDAD AEROPORTUARIA. SE LABRA DENUNCIA DE EXTRAVIO Nº 064/10.</t>
  </si>
  <si>
    <t>LOCAL DE ARTICULOS REGIONALES DENOMINADO PASIONES ARGENTINAS, SITO EN EL HALL DE SALIDAS DE PASAJEROS, FRENTE AL CAJERO AUTOMATICO DEL BANCO NACION</t>
  </si>
  <si>
    <t>QUE SIENDO LAS 10:30 HS. PERSONAL POLICIAL DE PATRULLA INTERCEPTA A UN SUJETO MASCULINO EN EL SECTOR DE LA PERGOLA DE TAXIS DE LA TERMINAL A, QUIEN SEGUN INDICACIONES DEL PERSONAL DE S.A.S.A. HABIA TOMADO UNA GORRA DE LOS EXHIBIDORES UBICADOS EN LA PUERTA DEL LOCAL COMERCIAL DE REFERENCIA Y SE HABIA RETIRADO SIN ABONAR DICHO PRODUCTO. QUE UNA VEZ EN ESTA DEPENDENCIA, EL EMPLEADO QUE ATENDIA EL LOCAL MANIFESTO QUE LA GORRA SE COMERCIALIZABA EN EL LOCAL. A SU VEZ SE TOMO CONOCIMIENTO QUE EL CAUSANTE TENIA UNA DISCAPACIDAD EN EL HABLA, POR LO QUE SOLO SE EXPRESABA MEDIANTE ESCRITURA. QUE EL EMPLEADO DEL LOCAL MANIFESTABA NO DESEAR INSTAR A LA ACCION PENAL, DEBIDO A QUE SE HABIA RECUPERADO EL ELEMENTO FALTANTE. QUE ANOTICIADO EL AGENTE FISCAL DISPUSO QUE SE NOTIFIQUE AL CAUSANTE DEL ART. 60 DEL C.P.P. Y QUE UNA VEZ FINALIZADAS LAS DILIGENCIAS SE RETIRE DE ESTA DEPENDENCIA. ASIMISMO SE HIZO ENTREGA DE LA GORRA QUE FUERA SUSTRAIDA DEL LOCAL AL EMPLEADO DEL MISMO UNA VEZ CULMINADAS LAS DILIGENCIAS.</t>
  </si>
  <si>
    <t>559/10</t>
  </si>
  <si>
    <t>LEONE MARIANO Y OTROS S/ESTAFA</t>
  </si>
  <si>
    <t>EN EL DIA DE LA FECHA SE DIO CUMPLIMIENTO A OFICIO JUDICIAL DE FECHA 01/02/2010 EMANADA DEL JUZGADO INTERVINIENTE POR LO CUAL SE TRASLADO Y REMITIO A LA UNIDAD DE DETENCION NRO. 28 DEL SERVICIO PENITENCIARIO FEDERAL DONDE QUEDO ALOJADO Y A DISPOSICION DE LA MAGISTRATURA ACTUANTE MARIANO ANDRES LEONE D.N.I. 23719789 QUIEN SE ENCONTRABA DETENIDO EN ESTA UNIDAD.</t>
  </si>
  <si>
    <t>CIUDAD DE SAN JULIAN PROVINCIA DE SANTA CRUZ</t>
  </si>
  <si>
    <t>EN EL DIA DE LA FECHA SE PRESENTA EN ESTA OFICINA DE GUARDIA UNA PERSONA QUIEN DESEA RADICAR UNA DENUNCIA POR EL EXTRAVíO DE SU DOCUMENTO NACIONAL DE IDENTIDAD Nº 32.370.648, NO RECUERDA EL LUGAR QUE LO EXTRAVíO, PERCATANDOSE QUE LE FALTABA EL MISMO CUANDO UN OFICIAL SE LO SOLICITO EN LA LOCALIDAD DE SAN JULIAN, PROVINCIA DE SANTA CRUZ,NO REALIZANDO LA DENUNCIA EN DICHA LOCALIDAD. LA MISMA EMBARCO EN EL VUELO 2886 DE LA EMPRESA AUSTRAL LINEAS AEREAS CON DESTINO AEROPARQUE.</t>
  </si>
  <si>
    <t>FISCALIA FEDERAL N° 2</t>
  </si>
  <si>
    <t>VILLALBA</t>
  </si>
  <si>
    <t>EDUARDO</t>
  </si>
  <si>
    <t>GALLO PULO, PAULA</t>
  </si>
  <si>
    <t>HURTO N.N.</t>
  </si>
  <si>
    <t>OFICINA DE AEROLINEAS ARGENTINAS</t>
  </si>
  <si>
    <t>EL DENUNCIANTE MANIFIESTA QUE SE RETIRO DE LA OFICINA DE OPERACIONES DE AER. ARG. EL DIA 29/01/10 DEJANDO UNA BANDEJA COOLER QUE POSEE 3 VENTILADORES Y 4 PUERTOS USB CON SU RESPECTIVA ALIMENTACION, EN UN ARMARIO, EL CUAL NO TIENE LLAVE, REGRESANDO EL DIA 01/02/10 NOTANDO EL FALTANTE DE LA BANDEJA Y LA CAJA DONDE SE GUARDABA HABITUALMENTE</t>
  </si>
  <si>
    <t>PERGOLA TAXI</t>
  </si>
  <si>
    <t>HALL DE SALIDA DE PASAJEROS</t>
  </si>
  <si>
    <t>ARRIBADA A ESTE MEDIO, YA EN EL HALL DE ARRIBOS, ES CONTACTADA POR UN INDIVIDUO QUIEN LE OFRECIO SERVICIO DE TRANSPORTE, A LO QUE LA DENUNCIANTE ACEPTO SIN PROBLEMAS. QUE UNA VEZ EN EL SECTOR PERGOLA, SE DIRIGEN A UN VEHICULO TAXI DE CAPITAL QUE SE ENCONTRABA EN EL SECTOR. QUE UNA VEZ ALLI, ESTE INDIVIDUO LE MANIFIESTA A LA DENUNCIANTE QUE EL VIAJE CUESTA TRESCIENTOS PESOS ARGENTINOS Y QUE DEBE SER ABONADO CON ANTELACION, MOTIVO POR EL CUAL LA DENUNCIANTE ABONA LO REQUERIDO POR ESTA PERSONA, Y EN POSTERIOR ASCIENDE AL RODADO. QUE UNA VEZ ABORDO DE ESTE, OBSERVA AL INDIVIDUO DARLE DINERO AL CONDUCTOR, SIN PODER PRECISAR EL VALOR O EL TOTAL DE ESTE. LUEGO SE RETIRAN DEL LUGAR. QUE ANTES DE EGRESAR DE ESTA AEROSTACION, LA DENUNCIANTE SE PERCATA DE QUE LO ABONADO ERA UN MONTO EXCESIVO, MOTIVO POR EL CUAL DECIDE DESISTIR DEL VIAJE Y VOLVER A LA TERMINAL A BUSCAR A LA PERSONA QUE LE OFRECIO EL VIAJE. QUE LUEGO DE BUSCARLO POR EL LUGAR Y AL NO PODER DAR CON ESTA SE HIZO PRESENTE EL ESTE TURNO DE PREVENCION A LOS EFECTOS DE REALIZAR DENUNCIA DE LO ACONTECIDO. QUE UNA VZ RECIBIDA LA DENUNCIA, SE ENTABLO COMUNICACION CON LA UFI EN TURNO, INTERIORIZANDOLA DE LOS HECHOS ACAECIDOS AL MOMENTO, DISPONIENDO LA MISMA QUE SE REALICE ACTA DE PROCEDIMIENTO, SE IDENTIFIQUE AL CONDUCTOR DEL TAXI PREVIA CONSTATACION DE DOMICILIO DEL MISMO Y SE ELEVE LO ACTUADO AL JUZGADO EL DIA 3 DE FEBRERO.</t>
  </si>
  <si>
    <t>IB 6843</t>
  </si>
  <si>
    <t>EZEIZA BUENOS AIRES</t>
  </si>
  <si>
    <t>STAND DE TAXIS DE LA CIUDAD AUTONOMA DE BUENOS AIRES</t>
  </si>
  <si>
    <t>QUE UNA VEZ QUE INGRESO AL TERRITORIO NACIONAL, LUEGO DE EFECTUAR LOS TRAMITES MIGRATORIOS Y ADUANEROS CORRESPONDIENTES, SE DIRIGIO AL STAND DE TAXIS, EN DONDE ABORDO UN TAXI, UNA VEZ EN EL INTERIOR DEL MISMOS EL CONDUCTOR LE SOLICITO QUE LE ABONE EL VIAJE POR UN MONTO DE CIEN PESOS ARGENTINOS, ANTE LO CUAL, LA DENUNCIANTE LE ENTREGO UN BILLETE DE CIEN PESOS ARGENTINOS. QUE LUEGO DE INTERCAMBIO DE PALABRAS, EL MASCULINO LE REINTEGRO UN BILLETE DE DIEZ PESOS Y LE MANIFESTO QUE EL VIAJE ERA DE CIEN PESOS Y QUE DEBIA ABONARLE DICHA SUMA, ANTE LO CUAL LA DICENTE ACCEDIO AL PEDIDO DEL CONDUCTOR, MOTIVO POR EL CUAL LE ENTREGO OTRO BILLETE DE CIEN PESOS, PAGANDO UN SUMA TOTAL DE DOSCIENTO PESOS</t>
  </si>
  <si>
    <t>JJ 8018</t>
  </si>
  <si>
    <t>DR. JORGE NICOLAS BALLESTEROS</t>
  </si>
  <si>
    <t>FARIAS, MAXIMILIANO OSCAR Y OTROS S/HOMICIDIO</t>
  </si>
  <si>
    <t>PUESTO BASE</t>
  </si>
  <si>
    <t>SIENDO LAS 12:50 HORAS ARRIBAN A ESTA AEROESTACION UNA COMITIVA DE LA POLICIA DE LA PROVINCIA DE SANTA FE INTEGRADA POR EL SUB COMISARIO BUSTAMANTE Y EL ESCRIBIENTE BAZZANO, LOS CUALES TRASLADAN AL DETENCIDO CARAFFA, EL CUAL DEBE PRESENTARSE EN EL JUZGADO ANTERIORMENTE MENCIONADA A PRESTAR DECLARACION INDAGATORIA. SE CUMPLIMENTA MEMORANDUM Nº 0219/10 DE LA URSA I DEL ESTE. SIENDO LAS 16:00 HORAS SE REALIZA ACOMPAÑAMIENTO HACIA LA AERONAVE PARA EMBARCAR LA COMITIVA DESPEGANDO LA MISMA DE ESTA AEROESTACION A LAS 16:50 HORAS SIN NOVEDAD</t>
  </si>
  <si>
    <t>AR 2810</t>
  </si>
  <si>
    <t>SAUCE VIEJO, PROVINCIA DE SANTA FE</t>
  </si>
  <si>
    <t>CIUDAD AUTONOMA DE BUENOS AIRES AEROPUERTO JORGE NEWBERY</t>
  </si>
  <si>
    <t>CIUDAD DE USHUAIA, PROVINCIA DE TIERRA DEL FUEGO</t>
  </si>
  <si>
    <t>JORGE NICOLAS BALLESTRERO</t>
  </si>
  <si>
    <t>FARIAS, MAXIMILIANO OSCAR Y OTRO S/HOMICIDIO</t>
  </si>
  <si>
    <t>PLAYA ESTACIONAMIENTO</t>
  </si>
  <si>
    <t>SECTOR ARRIBOS DEL AEROPUERTO</t>
  </si>
  <si>
    <t>INFORMO QUE EL DIA DE LA FECHA SIENDO LAS 21:25 HS. LOCAL ARRIBO EN VUELO AR 2810 PROVENIENTE DE LA CIUDAD DE BUENOS AIRES CON ESCALA INTERMEDIA EN EL AEROPUERTO DE LA CIUDAD DE TRELEW EL CIUDADANO HECTOR OMAR CARAFFA, D.N.I. Nº 29.924.864 EN CARACTER DE DETENIDO, ACOMPAÑADO POR LOS CUSTODIOS MARCELO JORGE BUSTAMANTE D.N.I Nº 20.180.577 Y MIGUEL ALBERTO BAZZANO D.N.I. Nº 17.836.058.PERTENECIENTES A LA POLICIA PROVINCIAL, RETIRANDOSE LOS MISMOS DE LA JURISDICCION EN MOVIL PERTENECIENTE A LA DIVISION SERVICIOS ESPECIALES DE LA POLICIA DE LA PROVINCIA DE TIERRA DEL FUEGO SIN NOVEDAD ALGUNA.</t>
  </si>
  <si>
    <t>AR-2810</t>
  </si>
  <si>
    <t>Juzgado Federal Nº 01 de Lomas de Zamora</t>
  </si>
  <si>
    <t>SANTAMARINA</t>
  </si>
  <si>
    <t>Patricio Alberto</t>
  </si>
  <si>
    <t>JORGE D´AMORE</t>
  </si>
  <si>
    <t>CINTA TRANSPORTADORA DE EQUIPAJES NUMERO 02 DEL HALL DE ARRIBOS DE PASAJEROS DE LA TERMINAL A</t>
  </si>
  <si>
    <t>QUE SIENDO LAS 20:30 HS LUEGO DE ARRIBADA AL TERRITORIO NACIONAL LA DENUNCIANTE SE DIRIGIO HACIA LA CINTA TRANSPORTADORA DE EQUIPAJES NUMERO 02 DEL HALL DE ARRIBOS DE PASAJEROS DONDE RETIRA DE DICHA CINTA UN BOLSO DE COLOR BEIGE DE SU PROPIEDAD, EL CUAL NO POSEIA NINGUN DISPOSITIVO DE SEGURIDAD ADICIONAL. QUE UNA VEZ QUE INSPECCIONA EL CONTENIDO DEL BOLSO DE REFERENCIA, SE PERCATA DEL FALTANTE DE UN FRASCO DE PERFUME MARCA KENZO MODELO SUMMERS, HABIENDO QUEDADO LA CAJA DEL MISMO VACIA EN EL INTERIOR DEL BOLSO</t>
  </si>
  <si>
    <t>PZ 701</t>
  </si>
  <si>
    <t>EZEIZA, BS. AS.</t>
  </si>
  <si>
    <t>JORGE DAMORE</t>
  </si>
  <si>
    <t>PTA. INFRACCION AL ARTICULO 282 DEL C.P.N</t>
  </si>
  <si>
    <t>PTA. INFRACCION AL ARTICULO 282 DEL C.P.N.</t>
  </si>
  <si>
    <t>PERGOLA DE TAXIS</t>
  </si>
  <si>
    <t>QUE EN EL AEROPUERTO METROPOLITANO JORGE NEWERY, ABORDA UN VEHICULO TAXI CON DESTINO A ESTA AEROSTACION. UNA VEZ ARRIBADO EN ESTE MEDIO, SE ESTACIONA EN LA PERGOLA DE TAXI DE LA TERMINAL B, EN TAL SENTIDO EL DAMNIFICADO LE ABONO EL VIAJE, EL CUAL TENIA UN VALOR CIENTO VEINTE PESOS, CON DOS BILLETES DE CIEN PESOS ARGENTINOS. SEGUIDAMENTE EL CHOFER DEL TAXI LE DEVUELVE UN BILLETE DE CIEN PESOS MANIFESTANDOLE QUE ESTABA UN POCO ROTO. POR LO QUE EL DENUNCIANTE LE DA UN BILLETE DE VEINTE PESOS. A CONTINUACION EL DAMNIFICADO LE CONSULTO AL CHOFER SI EL BILLETE QUE LE HABIA REINTEGRADO ERA FALSO, DEBIDO A QUE LE PRESENTABA DUDAS, ANTE LO CUAL EL CHOFER EN CUESTION MANIFESTO QUE DICHO BILLETE ERA VERDADERO. Y EN POSTERIOR PROCEDE A RETIRARSE RAUDAMENTE DEL LUGAR.</t>
  </si>
  <si>
    <t>EN CUMPLIMIENTO DE LA ORDEN DE SERVICIO NRO. 0007/10 Y SIENDO LAS VEINTIUNA CUARENTA HORAS ARRIBA AERONAVE MD 83 MATRICULA LV-BOR DE LA EMPRESA AUSTRAL LINEAS AEREAS PROCEDENTE DE AEROPARQUE JORGE NEWBERY Y EN CUYAS BODEGAS 4 Y 5 SE DESPACHAN OCHENTA BULTOS CON UN PESO BRUTO DE 2000 KILOGRAMOS DE METAL -MTD- PERTENECIENTES A LA EMPRESA MINERA TRITON S.A. CON DESTINO EL AEROPUERTO INTENACIONAL JORGE NEWBERY DE CAPITAL FEDERAL, DESPEGANDO EL MISMO A LAS VEINTIDOS CUARENTA Y SIETE SIN NOVEDAD.</t>
  </si>
  <si>
    <t>AEROPUERTO GENERAL MOSCONI COMODORO RIVADAVIA</t>
  </si>
  <si>
    <t>AEROPUERTO JORGE NEWBERY CAPITAL FEDERAL</t>
  </si>
  <si>
    <t>DANDO CUMPLIMIENTO A ORDEN DE SERVICIO 0007/2010 Y SIENDO LAS 0737 HORA LOCAL DESPEGA AERONAVE B 737 MATRICULA LV-AZU DE LA EMPRESA AEROLINEAS ARGENTINAS CON DESTINO A AEROPUERTO JORGE NEWBERY EN CUYAS BODEGAS 3 Y 4 SE DESPACHAN 80 BULTOS CON UN PESO BRUTO DE 1.800 KILOGRAMOS DE METAL - MTD-, PERTENECIENTES A LA EMPRESA MINERA TRITON S.A.</t>
  </si>
  <si>
    <t>DANDO CUMPLIMIENTO A ORDEN DE SERVICIO NRO 0007/2010 Y SIENDO LAS 0748 HORA LOCAL ARRIBA AERONAVE MD MATRICULA LV-WGN DE LA EMPRESA AUSTRAL LINEAS AEREAS PROCEDENTE DE AEROPUERTO JORGE NEWBERY EN CUYAS BODEGAS 4 Y 5 SE DESPACHAN CON DESTINO A AEROPUERTO JORGE NEWBERY 80 BULTOS CON UN PESO BRUTO DE 1.700 KILOGRAMOS DE METAL - MTD- PERTENECIENTES A LA EMPRESA MINERA TRITON S.A.. EL VUELO DESPEGA A LAS 0850 HORA LOCAL SIN NOVEDAD.</t>
  </si>
  <si>
    <t>SIENDO LAS 10:25HS SE DISPUSO DISPOSITIVO DE SEGURIDAD RELACIONADO A LA CUSTODIA DE LOS VALORES TRANSPORTADOS EN EL VUELO DE LA FUERZA AEREA FOCKER F28 TC55 EL QUE ARRIBO A ESTA AEROSTACION PROCEDENTE DE LA CIUDAD DE BS.AS. SIENDO LAS 11:03 HS RETIRO LA COMITIVA DE ESTE AEROPUERTO SIN NOVEDAD.</t>
  </si>
  <si>
    <t>BUENOS AIRES- PALOMAR</t>
  </si>
  <si>
    <t>EN EL DIA DE LA FECHA SE PRESENTA EN ESTA GUARDIA DE PREVENCION EL SR MAILSUS, ADOLFO PARA DENUNCIAR EL PERDIDA DE SU PERMISO PERSONAL DE SEGURIDAD AEROPORTUARIA, LABRANDOSE LA CORREPONDIENTE LA DENUNCIA DE EXTRAVIO Nº 65/10.-</t>
  </si>
  <si>
    <t>SALIDA DE ARRIBOS DE VUELOS NACIONALES, ALA SUR DE LA AEROESTACION</t>
  </si>
  <si>
    <t>SIENDO LAS 16:10 HS PERSONAL DE LA EMPRESA SERZA SR. RIOS, MARCELO DNI 20.386.247 INFORMA AL PERSONAL APOSTADO EL HALL PUBLICO DE PASAJEROS SANTANDER, DIEGO CONTROL N° 503.794, HABER ENCONTRADO EN UN CARRO PORTAEQUIPAJES UN BOLSO DE CUERINA Y TELA DE AVION CON VIVOS BLANCOS, DE MEDIANAS DIMENSIONES 20 CM POR 40 CM DE COLOR MARRON, EL PERSONAL APOSTADO TOMA LAS MEDIDAS PERTINANTES PARA TAL CASO E INMEDIATAMENTE DA AVISO DEL HECHO AL JEFE DE TURNO JAVIER BUSTAMANTE CONTROL N° 500.745 , QUIEN SE COMUNICA CON PERSONAL DEL GEDEX WEISBERGER, GUSTAVO CONTROL N° 502.828, EL MISMO SE PRESENTA EN EL LUGAR REALIZANDO EL PROCEDIMIENTO CORRESPONDIENTE, LUEGO DE IDENTIFICAR EL BULTO SE DIRIGE HASTA EL PREEMBARQUE DE CABOTAJE REALIZANDO LA INSPECCION POR RAYOS X LA CUAL RESULTA SIN NOVEDAD.</t>
  </si>
  <si>
    <t>INFRACCION LOS ARTICULOS 78 Y 85 DEL DECRETO LEY 8031/73</t>
  </si>
  <si>
    <t>FRENTE AL STAND DE TAXIS CAPITAL</t>
  </si>
  <si>
    <t>PERGOLA DEL ARRIBOS DE LA TERMINAL A</t>
  </si>
  <si>
    <t>QUE MIENTRAS PERSONAL POLICIAL DE ESTA POLICIA DE SEGURIDAD AEROPORTUARIA, SE ENCONTRABA REALIZANDO UNA RECORRIDA POR LAS INSTALACIONES DE ESTE AEROPUERTO, OBSERVAN Y SORPRENDEN IN FRAGANTI, A UNA PERSONA DE SEXO MASCULINO, OFRECIENDO SERVICIO DE TRANSPORTE PUBLICO A VIVA VOZ A PERSONAS RECIEN ARRIBADAS AL PAIS, SIENDO ESTE ADVERTIDO PREVIAMENTE Y EN REITERADAS OPORTUNIDADES DE QUE NO PODIA EJERCER ESA ACTIVIDAD. QUE A CONTINUACION SE CONVOCO LA PRESENCIA DE DOS TESTIGOS, TRASLADANDOSE TODOS LOS INTERVINIENTES A LA GUARDIA DE PREVENCION. QUE UNA VEZ QUE SE CULMINO CON LAS DILIGENCIAS DE RIGOR PARA UNA CONTRAVENCION DE ESAS CARACTERISTICAS Y HABIENDO CONSTATADO QUE EL MISMO NO POSEE IMPEDIMENTOS LEGALES QUE RESTRINJAN SU NORMAL CIRCULACION, EL CAUSANTE POR SUS PROPIOS MEDIOS HACE ABANDONO DE ESTA DEPENDENCIA, CONFORME CON LOS TRATOS RECIBIDOS</t>
  </si>
  <si>
    <t>DR. JORGE D-AMORE</t>
  </si>
  <si>
    <t>AVERIGUACION DE HURTO</t>
  </si>
  <si>
    <t>EN MOMENTOS QUE SE REALIZABA EL CONTROL MANUAL DEBIDO AL CORTE DEL SUMINISTRO DE ENERGIA ELECTRICA, SE DETECTA EN EL INTERIOR DE UNA MOCHILA DE COLOR NEGRO TRANSPORTADA POR UN EMPLEADO DE A.G.S, LA EXISTENCIA DE UN FRASCO DE PERFUME SIN CAJA Y UN FRASCO DE PERFUME DENTRO DE UNA CAJA DE CARTON BLANCA. LOS CUALES N SE ENCONTRABAN DECLARADOS, POR ELLO SE CONVOCAN DOS TESTIGOS Y SE TRASLADAN LOS INTERVINIENTES HACIA ESTA DEPENDENCIA A LOS FINES LEGALES QUE DIERAN LUGAR. MANTENIDA COMUNICACION CON EL JUZGADO EN TURNO INDICA LAS DIRECTIVAS DE RIGOR Y QUE SE NOTIFICA AL CAUSANTE DEL INICIO DE ACTUACIONES. QUE CUMPLIMENTADAS LAS DIRECTIVA Y DE NO EXISTIR IMPEDIMENTO EL CAUSANTE SE RETIRE DE ESTA DEPENDENCIA POR SUS PROPIOS MEDIOS /////////////////////////SEGUN PU 636 NO EXISTIENDO IMPEDIMENTO LEGAL SE PROCEDE A LA SOLTURA , EL CAUSANTE SE RETIRA DE ESTA DEPENDENCIA POR SUS PROPIOS MEDIOS</t>
  </si>
  <si>
    <t>FISCALIA NACIONAL CRIMINAL DE INSTRUCCION Nº 20</t>
  </si>
  <si>
    <t>DONOSO CASTEX</t>
  </si>
  <si>
    <t>Carlos Mariano</t>
  </si>
  <si>
    <t>DR. EDUARDO ROCCHI</t>
  </si>
  <si>
    <t>DESPACHO POR BODEGA</t>
  </si>
  <si>
    <t>SIENDO LA HORA Y FECHA ANTES MENCIONADA SE HIZO PRESENTE EN ESTE AEROPUERTO METROPOLITANO LA DENUNCIANTE CON EL FIN DE REALIZAR EL CHECK IN PARA EMBARCAR EL VUELO ANTES DESCRIPTO. UNA VEZ ARRIBADO AL AEROPUERTO DE ROSARIO, SE DIRIGIO HACIA LAS CINTAS DE EQUIPAJE PARA RETIRAR EL SUYO. AL NO APARECER EL MISMO EN LA CINTA TRANSPORTADORA SE DIRIGIO HACIA RECLAMOS DE EQUIPAJES DE LA EMPRESA SOL DONDE EFECTUO EL MISMO RECIBIENDO COMO RESPUESTA QUE SERIA NOTIFICADA EN CASO DE QUE SU EQUIPAJE SEA HALLADO. EN EL DIA DE LA FECHA SE HACE PRESENTE EN ESTA GUARDIA PARA EFECTUAR LA CORRESPONDIENTE DENUNCIA POR NO HABER RECIBIDO RESPUESTA POSITIVA POR PARTE DE LA AEROLINEA EN CUESTION.</t>
  </si>
  <si>
    <t>SOL LINEAS AEREAS</t>
  </si>
  <si>
    <t>8R5621</t>
  </si>
  <si>
    <t>UFI N° 8</t>
  </si>
  <si>
    <t>Gomez Orso</t>
  </si>
  <si>
    <t>Facundo</t>
  </si>
  <si>
    <t>CONFITERIA AEROPUERTO</t>
  </si>
  <si>
    <t>SIENDO LAS 14:00HS. APROXIMADAMENTE DEL DÍA 03/02/10 Y EN CIRCUNSTANCIAS DE ESTAR PREEMBARCANDO VUELO AUSTRAL 2607 SE PRESENTA LA SRTA. MARIA BERNARDA FERNANDEZ DARRITCHON AVISANDO QUE LE HABÍAN SUSTRAIDO DE LA MOCHILA UNA BILLETERA CUANDO SE ENCONTRABA EN LA CONFITERÍA DEL AEROPUERTO Y QUE POR RAZONES DE TIEMPO Y PARA NO PERDER SU VUELO REALIZARÍA LA DENUNCIA EN EL AEROPUERTO DE DESTINO.A RAIZ DE LO CITADO ANTERIORMENTE Y DANDO CUMPLIMIENTO A LA ORDEN DE SERVICIO Nº 011/10 DE LA URSA 1 SE PROCEDE A REGISTRAR UN AUTOMOVIL CON TRES OCUPANTES LOS CUALES HABÍAN SIDO SEÑALADOS POR PERSONAL DE LA CONFITERIA COMO POSIBLES IMPLICADOS EN EL HECHO MENCIONADO, RESULTANDO EL PROCEDIMIENTO NEGATIVO.</t>
  </si>
  <si>
    <t>JUZGADO NACIONAL CORRECCIONAL Nº 9</t>
  </si>
  <si>
    <t>SECRETARIA Nº 65</t>
  </si>
  <si>
    <t>Diaz Cano</t>
  </si>
  <si>
    <t>Ana Elena</t>
  </si>
  <si>
    <t>DRA SANDRA PATRICIA REY</t>
  </si>
  <si>
    <t>HURTO TENTADO</t>
  </si>
  <si>
    <t>LOCAL COMERCIAL DUTY PAID SA</t>
  </si>
  <si>
    <t>TERMINAL III</t>
  </si>
  <si>
    <t>SIENDO LA HORA Y FECHA ANTES MENCIONADA, LA ENCARGADA DEL LOCAL COMERCIAL DUTY PAID S.A. QUE SE ENCONTRABA JUNTO A LA SRA. MELGAREJO ANA, PERSONAL DE SEGURIDAD, LE PREGUNTARON A LA SEÑORITA ROSSI, EMPLEADA DEL MISMO, LA CUAL SE ENCONTRABA SALIENDO DEL LOCAL LLEVANDO UNA BOLSA CONSIGO, SI LA MISMA CORRESPONDIA A UNA COMPRA, A LO CUAL RESPONDIO QUE SI. AL MOMENTO LE SOLICITAN QUE LE EXHIBA EL TICKET DE COMPRA, EN ESE MOMENTO LA DENUNCIANTE Y EL PERSONAL DE SEGURIDAD OBSERVAN ADEMAS DEL PRODUCTO COMPRADO, OTRO ARTICULO DEL CUAL LA IMPUTADA NO POSEIA COMPROBANTE DE COMPRA ALGUNO. SEGUIDAMENTE SE HACEN PRESENTES EN ESTA GUARDIA DE PREVENCION PARA EFECTUAR LA CORREPONDIENTE DENUNCIA. LA IMPUTADA PERMANECIO DETENIDA EN ESTA DEPENDENCIA HASTA LAS 23:30 HORAS MOMENTO EN EL CUAL SE PROCEDIO A SU SOLTURA POR ASI DISPONERLO LA JUDICATURA INTERVINIENTE YA QUE LA SRA ROSSI NO PRESENTABA IMPEDIMENTO LEGAL ALGUNO, RETIRANDOSE DE JURISDICCION POR SUS PROPIOS MEDIOS SIN NOVEDAD</t>
  </si>
  <si>
    <t>631/10</t>
  </si>
  <si>
    <t>QUE PROMEDIANDO LAS CINCO HORAS DEL DIA 04-02-10, UNA VEZ CUMPLIMENTADAS LAS DILIGENCIAS ORDENDAS Y NO EXISTIENDO IMPEDIMENTO LEGAL QUE RESTRINJA LA SOLTURA, EL CAUSANTE SE RETIRA DE ESTA DEPENDENCIA POR SUS PROPIOS MEDIO.</t>
  </si>
  <si>
    <t>TENIENTE GENERAL MORILLAS 1500, LOCALIDAD DE EZEIZA, FINCA AMENGUAL</t>
  </si>
  <si>
    <t>QUE EN LA HORA INDICADA EN MOMENTO QUE SE ENCONTRABA EN EL INTERIOR DE SU VIVIENDA, EN LA DIRECCION INDICADA, A APROXIMADAMENTE CINCO KILOMETROS DISTANTES DE LAS INSTALACIONES DE ESTE AEROPUERTO INTERNACIONAL, SE HACE PRESENTE EL SEÑOR RENE ORDOÑEZ CASERO DE LA FINCA, QUIEN LE INFORMA DEL FALTANTE DE CUATRO CHANCHAS Y UN PADRILLO. QUE DE IGUAL MANERA EN EL TECHO DEL CORRAL, DISTANTES A UNOS SETENTA METROS APROXIMADAMENTE DE LA CASA, DONDE MORABAN LOS PORCINOS, ERA HABIDA LA CABEZA DE UNA DE LAS CHANCHAS, PERCATANDOSE ADEMAS QUE EL ALAMBRADO QUE LIMITA LA PROPIEDAD SE ENCONTRABA CORTADO. QUE LUEGO DE CONSTATAR LO DICHO POR EL SEÑOR ORDOÑEZ, SE HACE PRESENTE EN ESTA GUARDIA DE PREVENCION A RADICAR LA DENUNCIA.</t>
  </si>
  <si>
    <t>NAC. DE 1º INST. EN LO CRIM CORR FEDERAL Nº 6</t>
  </si>
  <si>
    <t>Canicoba Corral</t>
  </si>
  <si>
    <t>Rodolfo</t>
  </si>
  <si>
    <t>DR. FELIPE DEL VISO</t>
  </si>
  <si>
    <t>AERONAVE MATRICULA CX-CRF DE LA EMPRESA PLUNA</t>
  </si>
  <si>
    <t>SIENDO LA HORA 16:20 HORAS DEL DÍA DE LA FECHA, PERSONAL DE LA EMPRESA PLUNA INFORMA VÍA TELEFÓNICA QUE EL VUELO Nº PU111 PROCEDENTE DE LA CIUDAD DE PUNTA DEL ESTE, ROU, HABÍA DOS PERSONAS QUE HABÍAN INSULTADO Y AMENAZADO A UNA PASAJERA DE DICHO VUELO. SIENDO LA HORA 16:40 HORAS ARRIBA A ESTE AEROPARQUE EL VUELO EN MENCIÓN, UBICÁNDOSE EN POSICIÓN Nº 4 DE LA PLATAFORMA OPERATIVA, HACIÉNDOSE PRESENTE EN EL MOMENTO DE LA APERTURA DE LA PUERTA DE LA AERONAVE PERSONAL POLICIAL, DESCENDIENDO LA DENUNCIANTE JUNTO A SU HIJO MENOR, RELATANDO LO SUCEDIDO Y CON GRAN ESTADO DE NERVIOSISMO, POR LO QUE, UNA VEZ QUE LA DENUNCIANTE IDENTIFICA A LOS DOS MASCULINOS QUIENES SE ENCONTRABAN DESCENDIENDO DE LA AERONAVE Y LUEGO DE HACER LOS TRAMITES MIGRATORIOS Y ADUANEROS CORRESPONDIENTES, SON DIRIGIDOS AMBOS MASCULINOS Y LA DENUNCIANTE HASTA LA GUARDIA DE PREVENCIÓN. SIENDO LA HORA 17:50 HORAS, SE REALIZA COMUNICACIÓN TELEFÓNICA CON LA JUDICATURA ACTUANTE QUIEN DISPONE: SE IDENTIFIQUEN A LOS DENUNCIADOS, CIERRE Y ELEVACIÓN DE LO ACTUADO A PRIMERA HORA DEL DÍA 05 DE FEBRERO DEL CORRIENTE AÑO. SE LABRA LA PREVENCIÓN SUMARIA Nº 043-A/10 CARATULADA "AMENAZAS" SE AMPLIO EN PARTE URGENTE Nº 645 DONDE DICE QUE EL JEFE DE REGION SOLICITA LA AMPLIACION</t>
  </si>
  <si>
    <t>PU111</t>
  </si>
  <si>
    <t>FRENCH SANTIAGO</t>
  </si>
  <si>
    <t>DURANTE EL CONTROL CON SCAN VAN DE LOS EQUIPAJES DESPACHADOS POR BODEGA, SE DETECTO UN REVOLVER CALIBRE 22 CON 6 PROYECTILES EN SUS ALVEOLOS, POR LO QUE AL INSTANTE SE PROCEDIO A LA IDENTIFICACION DE SU PROPIETARIA, LA PASAJERA STA. IBARRA.QUIEN NO CUENTA CON LA DOCUMENTACION DEL ARMA Y TENENCIA, PORTACION Y LEGITIMO USUARIO. SE DIO LA NOVEDAD AL MAGISTRADO DE TURNO, QUIEN DISPUSO SE REALICEN LAS ACTUCIONES DE RIGOR, QUEDE SECUESTRADO EL ARMAMENTO EN LA SALA DE ARMAS DE ESTA UNIDAD Y SE PERMITA VIAJAR A LA CAUSANTE, QUE POSTERIORMENTE SERA CITADA EN SEDE JUDICIAL. CON CONOCIMIENTO UOSP.////////////////////////////SEGUN PU 2525 EN EL DIA DE FECHA, SE PRESENTA EL OF.SUB-AYTE. PABLO LEAL, LEGAJO Nº 16703 DE LA POLICIA DE LA PROVINCIA DE SALTA, PARA DAR CUMPLIMIENTO, AL OFICIO JUDICIAL S/N,DE LA FISCALIA CORRECCIONAL Nº 6, A CARGO DEL DR.RODRIGO GONZALEZ MIRALPEIX, DEL MINISTERIO PUBLICO DE LA PROVINCIA DE SALTA, PARA RETIRAR UN ARMAMENTO, SEGUN CONSTA EN ACTA DE ENTREGA Nº 205/10, IDENTIFICADO COMO:REVOLVER CALIBRE 22MM.CORTO,MARCA ITALO CON NUMERACION VISIBLE Nº 6856, Y SEIS MUNICIONES CAL.22MM.CON PUNTA DE PLOMO. EL MENCIONADO ARMAMENTO FUE SECUESTRADO EL 04/02/10 SEGUN ACTA DE SECUESTRO Nº 031/10, QUE ORIGINÓ LA PREVENCION SUMARIA Nº 08/10, REGISTRO INTERNO DE ESTA UNIDAD OPERACIONAL. LA INTERVENCION EN LA CAUSA DEL MINISTERIO PUBLICO PROVINCIAL, SE PRODUJO EN VIRTUD DE LO DISPUESTO POR EL MAGISTRADO FEDERAL QUE INTRUYE EN LA MISMA.</t>
  </si>
  <si>
    <t>INF. A LOS ARTS. 78 Y 85 DEC. LEY 8031/73</t>
  </si>
  <si>
    <t>HALL TERMINAL A</t>
  </si>
  <si>
    <t>QUE EN UNA RECORRIDA EN PREVENCION Y CONJURACION DE DELITOS Y FALTAS, ES CUANDO OBSERVA Y OYE A UNA PERSONA DE SEXO MASCULINO LA CUAL SE ENCONTRABA OFRECIENDO SERVICIO DE TRANSPORTE PUBLICO A VIVA VOZ, A DIFERENTES PERSONAS QUE TRANSITABAN POR EL LUGAR.</t>
  </si>
  <si>
    <t>641/10</t>
  </si>
  <si>
    <t>SEGUN LO REQUERIDO POR EL JEFE DE TURNO DE REGIONAL I BONAERENSE, EN AMPLIACION DEL PARTE URGENTE NRO. 641, SE DEJA CONSTANCIA DE LOS DICHOS DENUNCIADOS POR LA DAMNIFICADA QUIEN MANIFIESTA ESCUCHAR A DOS PASAJEROS HABLAR EN EL IDIOMA INGLES, Y AL SER ESTE IDIOMA DE SU CONOCIMIENTO, PUEDE MENCIONAR QUE LE FUE DICHO: PORQUE HACEN TANTO DRAMA POR UN NIÑO, NO HAGAS TANTOS PROBLEMAS DE ESTO. ESTOS DICHOS EN FORMA DESPECTIVA, SEGUN DECLARA, SINTIENDOSE AMEDRENTADA Y AMENAZADA, DEBIDO AL ALIENTO ETILICO QUE EXHALABAN LOS CAUSANTES, SINTIENDO MIEDO POR ENCONTRARSE SOLA CON SU HIJO Y SU HERMANA, COMUNICANDOLE LA NOVEDAD AL COMANDANTE POR INTERMEDIO DE LA TRIPULACION, QUIEN SE HIZO PRESENTE Y ADVIRTIO A LOS CAUSANTES. LA DAMNIFICADA DECLARA ESCUCHAR RUMORES CONTRA SU PERSONA DURANTE EL TRANSCURSO DEL VUELO POR LO QUE DESCENDIO DE LA AERONAVE EN UN ESTADO DE NERVIOSISMO CONSIDERABLE.</t>
  </si>
  <si>
    <t>DE 1º INST EN LO PENAL CONT Y DE FALTAS Nº 6</t>
  </si>
  <si>
    <t>Rua</t>
  </si>
  <si>
    <t>Gonzalo Segundo</t>
  </si>
  <si>
    <t>DRA PATRICIA ANA LAROCCA</t>
  </si>
  <si>
    <t>NC</t>
  </si>
  <si>
    <t>EN EL DIA DE LA FECHA SE PRESENTA EN ESTA GUARDIA DE PREVENCION EL SR SUAREZ QUIEN DENUNCIA QUE QUE SIENDO LAS 19:45 ENCONTRANDOSE EN LA VEREDA DEL SECTOR A1,CUMPLIENDO FUNCIONES COMO ASISTENTE DE SEGURIDAD PARA AA2000, LE INDICA AL SEÑOR ANDRADA, CHOFER DE LA EMPRESA UNIVERSO, QUE DEBIA RETIRAR SU VEHICULO DE DONDE ESTABA ESTACIONADO YA QUE NO ERA EL LUGAR CORRESPONDIENTE PARA LEVANTAR PASAJEROS. ANTE ESTO EL SENOR ANDRADA COMIENZA UNA DISCUSION CON EL DENUNCIANTE, EN LA QUE LITERALMENTE LE DICE -TE VOY A CAGAR A TROMPADAS, NO SABES CON QUIEN TE ESTAS METIENDO-. RAZON POR LA CUAL EL SEÑOR SUAREZ, SINTIENDO QUE CORRIA PELIGRO SU INTEGRIDAD FISICA, SE PRESENTA EN ESTA GUARDIA DE PREVENCION A RADICAR LA CORRESPONDIENTE DENUNCIA. SIENDO LAS 21.55 HORAS SE REALIZA COMUNICACION CON LA JUDICATURA ACTUANTE QUIEN ORDENA SE REALICE DECLARACION TESTIMONIAL, SI HUBIERE TESTIGOS, COMISIONAR PERSONAL PARA LA IDENTIFICACION FEHACIENTE DEL IMPUTADO Y EN CASO DE HABIDO, TRIPLE JUEGO DE FICHAS, REINCIDENCIA PARA IDENTIFICACION, SIN DETENCION, CIERRE Y ELEVACION. DICHA COMISION FUE REALIZADA ARROJANDO RESULTADO NEGATIVO.</t>
  </si>
  <si>
    <t>TTE. GRAL. RICHIERI, TRESCIENTOS METROS DE DISTANCIA SALIENDO DEL PEAJE</t>
  </si>
  <si>
    <t>QUE ARRIBADA A ESTA AEROSTACION, LUEGO DE REALIZAR LOS TRAMITES DE INGRESO AL TERRITORIO NACIONAL, SE DIRIGE AL VEHICULO QUE LA ESPERABA SU HIJO. QUE LUEGO DE GUARDAR EN EL INTERIOR DEL MISMO LA TOTALIDAD DE LOS EQUIPAJES QUE PORTABA LA DENUNCIANTE, PROCEDE SEGUIDAMENTE A RETIRARSE DE ESTE MEDIO EN DICHO VEHICULO, CIRCUNSTANCIA EN QUE SE PERCATA AL PASAR POR EL PEAJE DE ESTE MEDIO, QUE LA RUEDA DEL MISMO SE ENCONTRABA PINCHADA. A TAL EVENTO, ESTACIONA EL VEHICULO A UN COSTADO DE LA AUTOPISTA, A TRESCIENTOS METROS DEL PEAJE DE ESTE MEDIO, A LOS EFECTOS DE REALIZAR EL AUXILIO. QUE MIENTRAS SE ENCONTRABAN REALIZANDO EL AUXILIO, LA DENUNCIANTE INGRESA NUEVAMENTE AL VEHICULO A BUSCAR UNA HERRAMIENTA, PERCATANDOSE DEL FALTANTE DE UNA MOCHILA, UN BOLSO PORTA NOTEBOOK Y UNA CARTERA QUE SE DESCRIBEN CON POSTERIORIDAD. SE HACE CONSTAR QUE EL PERSONAL APOSTADO EN TAQUILLA NO FUE AVISADO DE LO SUCEDIDO.</t>
  </si>
  <si>
    <t>UOSP LA PAMPA</t>
  </si>
  <si>
    <t>AERODROMO SANTA ROSA</t>
  </si>
  <si>
    <t>INFORMA ARO-AIS QUE SIENDO LAS 0700 HS. SE PROCEDE A CERRAR TEMPORALMENTE EL AERODROMO POR ENCONTRARSE BAJO MÍNIMO METEOROLOGICO SIENDO LA VISIBILIDAD ACTUAL DE 100 MTS., INFORMADO POR CABO PRINCIPAL FRANCO NARANJO OPERADOR DE LA TORRE DE CONTROL, NECESITANDO PARA SU REAPERTURA UNA VISIBILIDAD NECESARIA DE 1200 MTS.</t>
  </si>
  <si>
    <t>Calvete</t>
  </si>
  <si>
    <t>Federico</t>
  </si>
  <si>
    <t>ERNESTO F. MENDIETA</t>
  </si>
  <si>
    <t>NOTAS 11 Y 12</t>
  </si>
  <si>
    <t>INFORMO QUE EN VUELO 5U-487 DE LA EMPRESA LINEAS AEREAS DEL ESTADO LADE - DEL DIA 04/02/10 - SE ENVIA UN SOBRE CERRADA A LA EXCMA CAMARA DE APELACIONES DE COMODORO RIVADAVIA-PROVINCIA DE CHUBUT, CONTENIENDO EN SU INTERIOR DOCUMENTACION REFERENTE A NOTAS Nº 11 Y Nº 12 BAJO GUIA DE CARGA Nº 022-28004012, CONFORME A LO ORDENADO POR OFICIO SIN Nº DE FECHA 04 DE FEBRERO DE 2010 PROCEDENTE DEL JUZGADO FEDERAL DE PRIMERA INSTANCIA DE USHUAIA SECRETARIA PENAL Nº 2 ASI MISMO SE INFORMA QUE SE ESTIMA EL ARRIBO DEL VUELO A LA CIUDAD DE COMODORO RIVADAVIA A LAS 21,30 HS.</t>
  </si>
  <si>
    <t>RIO GALLEGOS - SAN JULIAN</t>
  </si>
  <si>
    <t>SECRETARIA N° 2</t>
  </si>
  <si>
    <t>GOWLAND</t>
  </si>
  <si>
    <t>GUILLERMO</t>
  </si>
  <si>
    <t>POLICIA FEDERAL ARGENTINA S/PRESUNTA INFRACCION LEY 23.737</t>
  </si>
  <si>
    <t>INFORMO QUE EN VUELO 5U-487 DE LA EMPRESA LINEAS AEREAS DEL ESTADO - LADE SIENDO LAS 18:25 HS. DEL DIA 04/02/10 - SE ENVIA UNA CAJA CERRADA A LA EXCMA CAMARA DE APELACIONES DE COMODORO RIVADAVIA-PROVINCIA DE CHUBUT, CONTENIENDO EN SU INTERIOR DOCUMENTACION REFERENTE A LA CUASA Nº 2554 CARATULADA "POLICIA FEDERAL ARGENTINA S/PTA. INF. LEY 23737" BAJO GUIA DE CARGA Nº 022-28004012, CONFORME A LO ORDENADO POR OFICIO SIN Nº DE FECHA 03 DE ENERO DE 2010 PROCEDENTE DEL JUZGADO FEDERAL DE PRIMERA INSTANCIA DE USHUAIA. SECRETARIA PENAL Nº 2 ASI MISMO SE INFORMA QUE SE ESTIMA EL ARRIBO DEL VUELO A LA CIUDAD DE COMODORO RIVADAVIA A LAS 21,30 HS.,. LO QUE FUE INFORMADO TELEFONICAMENTE A LA UNIDAD OPERACIONAL DE COMODORO RIVADAVIA.</t>
  </si>
  <si>
    <t>RIO GALLEGOS- SAN JULIAN</t>
  </si>
  <si>
    <t>POLICIA FEDERAL ARGENTINA S/PTA. INF. LEY 23.737.</t>
  </si>
  <si>
    <t>Nº 2554</t>
  </si>
  <si>
    <t>EXC. CAMARA FEDERAL DE APELACIONES DE COMODORO RIVADAVIA</t>
  </si>
  <si>
    <t>SE TRASLADA DOS SOBRES PROCEDENTE DE LA CIUDAD DE USHUAIA A LA EXC.CAMARA FEDERAL DE APELACIONES DE COMODORO RIVADAVIA A CARGO DEL DR. ALDO E. SUAREZ. UNO DE LOS SOBRES CONTENIA CAUSA Nº 2554 CARATULADA POLICIA FEDERAL ARGENTINA S/PTA. INF. LEY 23.737. Y EL OTRO SOBRE CONTENIA NOTAS Nº 11 Y 12 DE LA HABILITACION DE ESTE TRIBUNAL.AMBOS REMITIDOS POR EL JUZGADO FEDERAL DE PRIMERA INSTANCIA DE USHUAIA A CARGO DEL DR. FEDERICO CALVETE, SECRETARIA PENAL Nº 2 A CARGO DEL DR. ERNESTO MENDIETA.</t>
  </si>
  <si>
    <t>INFORMA ARO-AIS QUE SIENDO LAS 1120 HS. SE PROCEDE A LA REAPERTURA DEL AERODROMO CON CONDICIONES APTAS PARA OPERACIONES MEDIANTE INSTRUMENTOS DEBIDO A UNA VISIBILIDAD DE 1500 MTS.</t>
  </si>
  <si>
    <t>SANTIAGO FRENCH</t>
  </si>
  <si>
    <t>SANCHEZ YANINA MARIEL S/AMENAZA</t>
  </si>
  <si>
    <t>907/09</t>
  </si>
  <si>
    <t>CUMPLIMIENTO DE ORDEN DE SERVICIO</t>
  </si>
  <si>
    <t>AV. URUGUAY 460, BLOCK 4 DPTO. 10 SALTA CAPITAL</t>
  </si>
  <si>
    <t>SALTA CAPITAL</t>
  </si>
  <si>
    <t>EN RELACION A LAS ORDENES DE SERVICIO NRO 001/10 Y LA NRO 0006/10, GENERADAS POR LA U.O.C.N.Y D.C. Y POR EL JEFE DE OPERACIONES DE LA REGIONAL III DEL NORTE RESPECTIVAMENTE, EN EL DIA DE LA FECHA, SIENDO LAS 08:30 SE COMISIONO PERSONAL POLICIAL DE LA U.O.D.C. Y D.C. JUAN SERNA Y ARNALDO MACHIN CON APOYO DE LA U.O.E.S.A. DEL NORTE TAMARA MORALES Y ALEJANDRO CANSECO, CON MOTIVO DE DAR CUMPLIMIENTO AL MANDATO JUDICIAL NRO 123/10 LIBRADO POR EL JUZGADO FEDERAL DE SALTA NRO 1 A CARGO DEL DR. JULIO LEONARDO BAVIO, SECRETARIA PENAL NRO 2 A CARGO DEL DR. SANTIAGO FRENCH, EN EL MARCO DEL EXPTE 907/09 CARATULADO SANCHEZ YANINA MARIEL S/AMENAZA, EN EL DOMICILIO SITO EN AV. URUGUAY 460, CALLE VICTOR GARINO BLOCK 4 DPTO. 10 DE ESTA CIUDAD, A LOS EFECTOS DE HACER COMPARECER MEDIANTE LA FUERZA PUBLICA A YANINA MARIEL SANCHEZ, DNI NRO 22.785.851, A PRESTAR DECLARACION INDAGATORIA EN AUTOS, EN LA SEDE DEL JUZGADO FEDERAL DE SALTA NRO 1. EN EL DOMICILIO FUIMOS ATENDIDOS POR UNA PERSONA DE SEXO FEMENINO, QUIEN DICE LLAMARSE Y SER: TERESA DEL MONTE, DNI NRO. 4.588.396, QUE MANIFIESTA SER LA MADRE DE YANINA SANCHEZ, MANIFESTANDO QUE SU HIJA NO SE ENCUENTRA EN LA PROVINCIA DE SALTA, QUE ESTA DE VACACIONES EN LA PROVINCIA DE NEUQUEN Y QUE REGRESARÍA A ESTA CIUDAD APROXIMADAMENTE EL 17 O 18 DEL CORRIENTE MES Y AÑO. EN EL LUGAR SE LABRO ACTA DEJANDO CONSTANCIA DE LOS HECHOS, INFORMANDO Y ENTREGANDO LA MISMA AL JUZGADO SOLICITANTE.</t>
  </si>
  <si>
    <t>INFRACCION A LOS ARTICULOS 78 Y 85 DEL DECRETO LEY 8031/73</t>
  </si>
  <si>
    <t>FRENTE AL STAND DE TAXI CAPITAL</t>
  </si>
  <si>
    <t>PERGOLA DE ARRIBOS DE LA TERMINAL A DE ESTE MEDIO</t>
  </si>
  <si>
    <t>QUE MIENTRAS SE EFECTUABA UNA RECORRIDA POR LAS INSTALACIONES DE LA TERMINAL A DE ESTE MEDIO, PERSONAL POLICIAL PUDO CONSTATAR QUE UN MASCULINO SE ENCONTRABA OFRECIENDO SERVICIO DE TAXI A VIVA VOS, MOTIVO POR EL CUAL Y HABIENDO CONVOCADO PREVIAMENTE UN TESTIGO SE INICIO EL CORRESPONDIENTE SUMARIO CONTRAVENCIONAL. QUE CULMINADAS LAS DILIGENCIAS DE RIGOR EL IMPUTADO ABANDONARA ESTA DEPENDENCIA POR SUS PROPIOS MEDIOS.</t>
  </si>
  <si>
    <t>DR. SPILOTTI</t>
  </si>
  <si>
    <t>PSA S/AVERIGUACION CAUSA ACCIDENTE AEREO</t>
  </si>
  <si>
    <t>A 4 KM DE LA CIUDAD DE RIO GRANDE DEL LADO IZQUIERDO DE LA RUTA NACIONAL Nº 3 SENTIDO NORTE - SUR</t>
  </si>
  <si>
    <t>SIENDO LAS 12:10 HORAS SE HACEN PRESENTE EN ESTA DEPENDENCIA POLICIAL EL SEÑOR BENAVIDES JEFFERSON Y EL SEÑOR CAICEDO ZAPATA ALVARO ,QUIENES SON ALUMNOS DE LA ESCUELA DE VUELO CP BRASICH QUE OPERA EN ESTE AEROPUERTO MANIFESTANDO QUE APROXIMADAMENTE ENTRE LAS 11:20 HS Y 11:30 HS,SUFRIERON UN ACCIDENTE CON LA AERONAVE PA-38 MATRICULA LV-MOJ Y QUE SEGUN SUS DICHOS EL MOTOR DE LA AERONAVE DEJO DE FUNCIONAR REALIZANDO TODOS LOS PROCEDIMIENTOS DE RIGOR PARA TAL CASO, A LAS 12:20 HS SE PRESENTA LA AMBULANCIA DE MEDICAL DEL SUR DOCTOR Y ENFERMERO QUIENES LE REALIZARON LAS CURACIONES,LOS CUALES SE ENCUENTRAN EN BUEN ESTADO DE SALUD.</t>
  </si>
  <si>
    <t>LV MOJ</t>
  </si>
  <si>
    <t>KM 28, SENTIDO HACIA EL AEROPUERTO</t>
  </si>
  <si>
    <t>AUTOPISTA TENIENTE GENERAL RICHIERI</t>
  </si>
  <si>
    <t>QUE EN EL DÍA DE LA FECHA SE RECIBE COMUNICACIÓN VÍA FRECUENCIA RADIAL POR PARTE DEL PERSONAL APOSTADO EN "TAQUILLA", EN LA CUAL INFORMA QUE EN LA AUTOPISTA TENIENTE GENERAL RICHIERI Y EN JURIDICCION DE ESTA POLICIA, MANO SENTIDO AEROPUERTO INTERNACIONAL "MINISTRO PISTARINI", SE HABÍA PRODUCIDO UN ACCIDENTE DE TRÁNSITO, DONDE SE ENCONTRABA INVOLUCRADO UN VEHÍCULO, ES POR ELLO QUE EL JEFE DE TURNO, PROCEDE A INFORMAR EN PRIMERA INSTANCIA A PERSONAL DE SANIDAD DE ESTE AEROPUERTO, DIRIGIENDOSE POSTERIORMENTE, AL LUGAR INDICADO CON PERSONAL POLICIAL A SU CARGO. QUE UNA VEZ ARRIBADO AL MISMO PUEDEN CONSTATAR QUE SE ENCONTRABA EN EL SECTOR PERSONAL MÉDICO DEL SISTEMA DE EMERGENCIA DE SANIDAD DEL AEROPUERTO DE EZEIZA Y PERSONAL DE SEGURIDAD VIAL DEL CONCESIONARIO DE AUTOPISTA AL SUR, REALIZANDO LAS TAREAS DE SEÑALIZACIÓN. SEGUIDAMENTE SE PUEDE DIVISAR QUE A LA ALTURA DEL POSTE DENOMINADO 12-E 283, SOBRE EL CARRIL CORRESPONDIENTE AL TRANSITO LENTO, SENTIDO A ESTE AEROPUERTO INTERNACIONAL, SE ENCONTRABA UNA PERSONA DE SEXO MASCULINO QUE YACÍA DE CUBITO DORSAL SOBRE LA CINTA ASFÁLTICA, DONDE PERSONAL DEL SERVICIO MEDICO DE SANIDAD DE ESTE AEROPUERTO SE ENCONTRABA REALIZANDO LAS PRIMERAS ASISTENCIAS MÉDICAS AL MASCULINO, TRASLADÁNDOLO POSTERIORMENTE HACIA EL HOSPITAL ZONAL "MADRE TERESA DE CALCUTA", DE LA LOCALIDAD DE EZEIZA, PROVINCIA DE BUENOS AIRES. QUE EN EL SECTOR SE DIVISO A UN VEHICULO DE TRANSPORTE, TIPO MINIBUS, PERTENECIENTE A LA EMPRESA "MANUEL TIENDA LEÓN", MARCA MERCEDES BENZ, MODELO SPRINTER, DOMINIO COLOCADO HDL 999, NUMERO INTERNO 0136, EL CUAL SE ENCONTRABA DETENIDO SOBRE LA BANQUINA DE LA AUTOPISTA. QUE SE HIZO PRESENTE EN EL LUGAR DE LOS HECHOS PERSONAL POLICIAL DE ESTA POLICIA PERTENECIENTE AL GEDEX, LOS CUALES INSPECCIONARON EL OMNIBUS DE MENCION, A LOS EFECTOS DE DETERMINAR LA POSIBLE PRESENCIA DE EXPLOSIVOS EN EL INTERIOR DEL MISMO. QUE DICHA INSPECCION ARRIJO RESULTADO NEGATIVO ANTE LA PRESENCIA DE ALGUN TIPO DE EXPLOSIVOS. QUE EN TAL SENTIDO EL JEFE DE TURNO MANTIENE COMUNICACIÓN VÍA TELEFÓNICA CON EL DR. RICARDO BECERRA, AUXILIAR LETRADO DE LA UNIDAD FUNCIONAL DE INSTRUCCIÓN Nº 02, A QUIEN LE INFORMA DE LOS HECHOS ACAECIDOS, INDICANDO QUE SE LABREN ACTUACIONES SUMARIAS, SE IDENTIFIQUE A LA PERSONA ACCIDENTADA, SE TOMEN DECLARACIONES TESTIMONIALES A LOS INTERVINIENTES Y SE ELEVE TODO LO ACTUADO EL DIA LUNES 8 DEL CORRIENTE MES Y AÑO. QUE PERSONAL POLICIAL SE APERSONO EN EL HOSPITAL MADRE TERESA DE CALCUTA A LOS EFECTOS DE RECABAR LOS DATOS DEL MASCULINO ACCIDENTADO.</t>
  </si>
  <si>
    <t>PERGOLA DE ARRIBOS</t>
  </si>
  <si>
    <t>SIENDO LA HORA ANTES INDICADA MOMENTOS EN QUE LAS OFICIALES MENCIONADAS, SE ENCONTRABAN EN RECORRIDA POR EL SECTOR DE PERGOLA DE LA TERMINAL A, DE ESTE MEDIO, OBSERVAN Y SORPRENDEN IN FRAGANTI A UNA PERSONA DE SEXO MASCULINO OFRECIENDO SERVICIO DE TAXI A VIVA VOZ A LOS PASAJEROS RECIEN ARRIBADOS AL PAIS, SIENDO INFORMADO EL MASCULINO EN REITERADAS OPORTUNIDADES DE QUE NO PODIA EJERCER ESTA ACTIVIDAD. POR LO QUE SE LABRA LA PRESENTE.</t>
  </si>
  <si>
    <t>GUILLERMO BRUGO</t>
  </si>
  <si>
    <t>AV. CONTRABANDO DE ESTUPEFACIENTES</t>
  </si>
  <si>
    <t>OFICINAS DE LA EMPRESA HAS</t>
  </si>
  <si>
    <t>AEROPUERTO EZEIZA</t>
  </si>
  <si>
    <t>EN EL DIA DE LA FECHA SE CUMPLIMENTO LA ORDEN DE SECUESTRO EMANADA POR LA JUDICATURA INTERVINIENTE, EN LAS OFICINAS DE LA EMPRESA HAS, DENTRO DE LAS INSTALACIONES DE ESTE AEROPUERTO.</t>
  </si>
  <si>
    <t>FRENCH, SANTIAGO</t>
  </si>
  <si>
    <t>SE PROCEDE A LA RETENCION DE DOS SACAS COLECTORAS DEL CORREO OFICIAL LA 1ª IDENTIFICADA CON MARBETE SLA016114D555900RGA, PRECINTO Nº B783252, CON UN PESO DE 12 KG, DESTINO RIO GRANDE. LA 2ª MARBETE SLA0163464D555800VAE, PRECINTO Nº Y609878, CON UN PESO DE 10 KG, DESTINO USHUAIA, AMPARADAS EN GUIA AEREA Nº 9316236-6. LA RETENCION SE REALIZA ANTE LA PRESUNCION DE QUE PUDIERAN CONTENER ALGUN ELEMENTO EN INFRACCION A LAS LEYES 23.737 Y/O 22.415, QUEDANDO LAS MISMAS CERRADAS Y PRECINTADAS EN GUARDA DE ESTA UOSP. SE INFORMO TELEFONICAMENTE AL JUZGADO INTERVINIENTE, LA APERTURA DE LAS MISMAS SE REALIZARA EN PRESENCIA DEL PERSONAL DEL CORREO OFICIAL. CON CONOCIMIENTO DEL JUOSP.-</t>
  </si>
  <si>
    <t>SECTOR A1</t>
  </si>
  <si>
    <t>SIENDO LA HORA 21:00 APROXIMADAMENTE; PERSONAL POLICIAL APOSTADO EN EL HALL SECTOR A1, PARTE PUBLICA DE ESTE AEROPUERTO ENCONTRO UN BULTO ABANDONADO APARENTEMENTE OLVIDADO. SE REALIZA EL PROCEDIMIENTO DE RIGOR PARA ESTOS CASOS DANDO AVISO AL PERSONAL DE GEDEX; BOMBEROS PFA; SANIDAD Y REALIZÁNDOSE EL PERÍMETRO DE SEGURIDAD. SIENDO LAS 21:25 HS; EL PERSONAL DE GEDEX OSCAR ZUBIZARETA, QUIEN LUEGO DE REALIZAR UN CHEQUEO DEL BULTO EN CUESTION, INFORMA QUE EL MISMO ARROJA RESULTADO NEGATIVO DE EXPLOSIVOS PROCEDIENDO A LA APERTURA MANUAL DEL BULTO OBSERVANDO A PRIMA FACIE CALZADO FEMENINO, INDUMENTARIA FEMENINA Y OBJETOS VARIOS SI VALOR COMERCIAL EN SU INTERIOR. EL ELEMENTO ES TRASLADADO POR EL TESTIGO HACIA LA GUARDIA DE PREVENCIÓN A FIN DE REALIZAR EL ACTA DE HALLAZGO NRO. 262/10.</t>
  </si>
  <si>
    <t>MOSTRADOR DE CHEQUEO NRO 211</t>
  </si>
  <si>
    <t>SIENDO LAS DIECINUEVE HORAS APROXIMADAMENTE DEL DIA DE LA FECHA, MOMENTOS EN QUE EL DENUNCIANTE SE ENCONTRABA EN EL SECTOR DE CHEQUEO DE EQUIPAJES, DEPOSITA EN LA BALANZA DEL MOSTRADOR NRO 211, UNO DE SUS EQUIPAJES, DESCUIDANDO EL ELEMENTO, DENUNCIADO COMO HURTADO, QUE PASADOS APROXIMADAMENTE CUARENTA SEGUNDOS VUELVE LA MIRADA HACIA SUS EQUIPAJES PERCATANDOSE DEL FALTANTE DE LA MOCHILA EN CUESTION, POR LO QUE DA AVISO DE LA NOVEDAD A UNA VIGILADORA DE LA EMPRESA SEGURIDAD ARGENTINA S.A., LA CUAL LE INDICA QUE SE CONTACTE CON PERSONAL POLICIAL, QUE LUEGO DE ENCONTRAR PERSONAL POLICIAL EN LA FIGURA DEL OFICIAL AYUDANTE NICOLAS ELLINGHAUS, QUIEN INICIO UNA BUSQUEDA DEL ELEMENTO EN CUESTION POR LAS INSTALACIONES DE ESTE AEROPUERTO DANDO RESULTADO NEGATIVO A LA MISMA. QUE UNA VEZ EN ESTA GUARDIA SE LE RECIBIO DECLARACION TESTIMONIAL AL OFICIAL ELLINGHAUS Y AL PERSONAL DE VIGILANCIA PRIVADA, QUE RESULATARA SER Y LLAMARSE MARIA ESTEFANIA SANCHEZ.</t>
  </si>
  <si>
    <t>JUZGADO DE INSTRUCCION N° 2</t>
  </si>
  <si>
    <t>LEIVA</t>
  </si>
  <si>
    <t>MARCELA ALEJANDRA</t>
  </si>
  <si>
    <t>DRA. MAIA F. SARJANOVICH</t>
  </si>
  <si>
    <t>SECTOR RX</t>
  </si>
  <si>
    <t>BELINSKI JOSE LUIS</t>
  </si>
  <si>
    <t>MEDINA HUGO ALBERTO</t>
  </si>
  <si>
    <t>EN DIA DE LA FECHA MIENTRAS SE EFECTUABA CONTROL DE RUTINA MEDIANTE EQUIPO RX SE DETECTA UNA ENCOMIENDA AMPARADA POR GUIA AEREA JET PAQ Nº 9307217-3 CONTENIENDO EN SU INTERIOR UNA CAJA IDENTIFICADA CON EO 702777542 DE CORREO ARGENTINO, QUE MEDIANTE LA IMAGEN DE RX SE OBSERVA UN ARMA DE FUEGO. SEGUIDAMENTE AL JUZGADO DE TURNO QUIEN DISPONE QUE SE INTERDICTE LA ENCOMIENDA EN CUESTION Y SE REMITA A SEDE JUDICIAL TODO LO ACTUADO EL DIA 06-FEB-2010 DESDE LAS 09:00 HS.</t>
  </si>
  <si>
    <t>CIUDAD POSADAS</t>
  </si>
  <si>
    <t>RESISTENCIA</t>
  </si>
  <si>
    <t>CIUDAD DE BS. AS.</t>
  </si>
  <si>
    <t>CASSANI</t>
  </si>
  <si>
    <t>MARIA</t>
  </si>
  <si>
    <t>DRA. IGLESIAS SANDRA</t>
  </si>
  <si>
    <t>FALS. MON. TIT. BILLET.</t>
  </si>
  <si>
    <t>ORDEN DE DETENCION</t>
  </si>
  <si>
    <t>SIENDO EL DIA DE LA FECHA Y EN VIRTUD A LA CONTRAVENCION NRO 008-E/10 QUE SE LE LABRARA OPORTUNAMENTE AL CAUSANTE, UNA VEZ HABIDOS EN ESTA DEPENDENCIA LOS RESULTADOS DE LA COMPULSA REALIZADA INTERPOL EZEIZA CON RESPECTO A LAS RESTRICCIONES DEL ENCARTADO, ESE ORGANISMO INFORMA QUE SOBRE EL MISMO PESA UNA ORDEN DE DETENCION EMANADA POR EL TRIBUNAL ORAL DE MENCION. POR LO QUE EL JEFE DE TURNO MANTIENE COMUNICACION CON LA SECRETARIA DEL TRIBUNAL INFORMANDOLA DE LA NOVEDAD, DISPONIENDO LA SECRETARIA PREVIAS CONSULTAS CON S.SA SE DETENGA AL SR. SCAROLA EN CARACTER DE COMUNICADO EN ESTA DEPENDENCIA Y SE LO TRASLADE A LA SEDE DE ESE TRIBUNAL EL DIA LUNES OCHO DEL CORRIENTE MES Y AÑO EN HORAS DE LA MAÑANA. CUMPLO EN INFORMAR QUE A LAS 07:30 HORAS DEL DIA 08/02/10 SE REALIZÓ EL EFECTIVO TRASLADO DEL DETENIDO EN AUTOS DE ACUERDO A LO ORDENADO. QUE REGRESO LA COMISION POLICIAL QUE TRASLADO AL IMPUTADO EN AUTOS, JUNTAMENTE CON EL MISMO, ENTREGANDO EN ESTA DEPENDENCIA UN OFICIO JUDICIAL EMANADO POR EL TRIBUNAL INTERVINIENTE, EN EL CUAL DISPONE SE OTORGUE EN ESTA DEPENDENCIA LA LIBERTAD DEL DETENIDO EN AUTOS. MOTIVO POR EL CUAL SE DIO ESTRICTO CUMPLIMIENTO A LO IMPARTIDO POR SSA, Y UNA VEZ CULMINADAS LAS DIRECTIVAS IMPARTIDAS EL CAUSANTE SE RETIRO DE ESTA DEPENDENCIA.</t>
  </si>
  <si>
    <t>666/10</t>
  </si>
  <si>
    <t>Oficina del Turno</t>
  </si>
  <si>
    <t>SE PROCEDE A LA APERTURA DE DOS SACAS COLECTORAS DE CORREO OFICIAL EN PRESENCIA DEL SR. OLARTE. LA 1º SLA0163464D555800VAE Y PRECINTO Nº Y609878 CONTIENE UNA PIEZA IDENTIFICADA COMO EP725209519AR QUE QUEDA RETENIDA. LA 2º SLA 016 3114D555900RGA PRECINTO Nº B783852 CONTIENE DOS PIEZAS, LA 1º IDENTIFICADA COMO EP022166245AR QUEDA RETENIDA Y LA 2º EP022166259AR ES ENTREGADA AL CORREO OFICIAL PARA SU REDESPACHO POR NO SER DE INTERÉS PARA EL PROCEDIMIENTO. LAS ENCOMIENDAS RETENIDAS QUEDAN EN GUARDA EN EL DEPÓSITO JUDICIAL DE ESTA UNIDAD A LA ESPERA DEL OFICIO QUE AUTORICE SU APERTURA.</t>
  </si>
  <si>
    <t>PRVENCION SUMARIA</t>
  </si>
  <si>
    <t>TURNO</t>
  </si>
  <si>
    <t>GUARDIA DE PREVENCION</t>
  </si>
  <si>
    <t>BILINSKI JOSE LUIS</t>
  </si>
  <si>
    <t>POR ORDEN DEL JUZGADO INTERVINIENTE SE REALIZA APERTURA DE LA ENCOMIENDA INTERDICTADA TRATANDOSE SU CONTENIDO DE UNA PISTOLA AIRE COMPRIMIDO POR LO QUE SE NOTIFICA AL JUZGADO ORDENANDO ESTE SE PROCEDA A LA ENTREGA DE LA ENCOMIENDA EN CUESTION AL REMITENTE, LO QUE SE CUMPLIMENTÓ MEDIANTE ACTA DE ESTILO DEL DIA DE LA FECHA.</t>
  </si>
  <si>
    <t>JUZGADO FEDERAL DE SANTA ROSA</t>
  </si>
  <si>
    <t>Zabala</t>
  </si>
  <si>
    <t>Pedro Vicente</t>
  </si>
  <si>
    <t>BARRIOS Rosaura</t>
  </si>
  <si>
    <t>SIENDO LAS 12:20 HS. SE PRESENTA LA SEÑORA NORMA LIDIA MENDIARA A DENUNCIAR EL FALTANTE DE ELEMENTOS PERSONALES LOS CUALES LES HABIAN SIDO SUSTRAIDOS DE SU EQUIPAJE DESPACHADO POR BODEGA EN EL VUELO MENCIONADO, Y LUEGO DE VIAJAR EN ÓMNIBUS DESDE BUENOS AIRES Y LLEGAR A LA CIUDAD DE SANTA ROSA , SE HABRÍA PERCATADO DEL FALTANTE, POR ESTE MOTIVO SE DIRIGE A ESTA UOSP DONDE PROCEDE A RADICAR LA DENUNCIA. A POSTERIORI SE REALIZA COMUNICACIÓN CON LA AUTORIDAD JUDICIAL INTERVINIENTE SIENDO ATENDIDOS POR LA SECRETARIA DEL JUZGADO FEDERAL Y A QUIEN SE LE INFORMAN LOS HECHOS OCURRIDOS Y QUIEN DISPONE, 1º SE REALICEN LAS ACTUACIONES DE RIGOR POR ROBO, 2º SE ELEVEN LAS ACTUACIONES UNA VEZ FINALIZADAS LAS MISMAS AL LUGAR DONDE SE PRODUJO EL HECHO, A LO QUE SE LE DARA ESTRICTO CUMPLIMIENTO. ASI MISMO SE INFORMA QUE SE ENVÍA MEDIANTE FAX MEMORANDO Nº 19/10 DE ORDEN INTERNO DE ESTA UOSP DE FECHA 06/02/10 A LA UOSP MINISTRO PISTARINI DE LA URSA I DEL ESTE.</t>
  </si>
  <si>
    <t>CM 279</t>
  </si>
  <si>
    <t>SIENDO LAS 12:20 HS. SE PRESENTA LA SEÑORA ANA MARIA MENDIARA A DENUNCIAR EL FALTANTE DE ELEMENTOS PERSONALES LOS CUALES LES HABIAN SIDO SUSTRAIDOS DE SU EQUIPAJE DESPACHADO POR BODEGA EN EL VUELO MENCIONADO, Y LUEGO DE VIAJAR EN ÓMNIBUS DESDE BUENOS AIRES Y LLEGAR A LA CIUDAD DE SANTA ROSA , SE HABRÍA PERCATADO DEL FALTANTE, POR ESTE MOTIVO SE DIRIGE A ESTA UOSP DONDE PROCEDE A RADICAR LA DENUNCIA. A POSTERIORI SE REALIZA COMUNICACIÓN CON LA AUTORIDAD JUDICIAL INTERVINIENTE, SIENDO ATENDIDOS POR LA SECRETARIA DEL JUZGADO FEDERALY A QUIEN SE LE INFORMAN LOS HECHOS OCURRIDOS Y QUIEN DISPONE, 1º SE REALICEN LAS ACTUACIONES DE RIGOR POR ROBO, 2º SE ELEVEN LAS ACTUACIONES UNA VEZ FINALIZADAS LAS MISMAS AL LUGAR DONDE SE PRODUJO EL HECHO, A LO QUE SE LE DARA ESTRICTO CUMPLIMIENTO. ASIMISMO SE INFORMA QUE SE ENVÍA MEDIANTE FAX MEMORANDO Nº 20/10 DE ORDEN INTERNO DE ESTA UOSP DE FECHA 06/02/10 A LA UOSP MINISTRO PISTARINI DE LA URSA I DEL ESTE.</t>
  </si>
  <si>
    <t>658/10</t>
  </si>
  <si>
    <t>PSA S/ AVERIGUACION CAUSA ACCIDENTE AEREO</t>
  </si>
  <si>
    <t>2106-10</t>
  </si>
  <si>
    <t>FUERA DE LA JURIDICCION</t>
  </si>
  <si>
    <t>APROXIMADAMENTE A 4 KM DEL AEROPUERTO</t>
  </si>
  <si>
    <t>A LOS EFECTOS DE INFORMAR QUE SIENDO LAS 11:25 HORAS DEL DIA DE LA FECHA, ARRIBAN A ESTE AEROPUERTO, EN EL VUELO AU 2848, PERSONAL DE LA JUNTA DE INVESTIGACION ACCIDENTES AEREOS, LOS SRES. RODRIGUEZ JORGE LUIS DNI N1 08,019,687 Y BERTACCO PEDRO DNI Nº 11,045,800. QUIENES A LAS 13:02 HORAS DEL DIA DE LA FECHA, SE HICIERON PRESENTES EN EL LUGAR DEL SINIESTRO, ACOMPAÑADOS POR EL SUBOFICIAL PRINCIPAL MONTES DE OCA JUAN JEFE DE AEROPUERTO, EL SUBOFICIAL PRINCIAL ORDIERES JEFE DE MEDIOS TECNICOS, EL SOBOFICIAL AYUDANTE DEFRANCESCHI JULIO JEFE DE SEGURIDAD OPERACIONAL Y EL PROPIETARIO DE LA AERONAVE SINIESTRADA VILLARREAL LUIS MARIA. POSTERIOR A LA IDENTIFICACION DE LOS MISMOS, PROCEDIERON A DAR INICIO A LAS PERICIAS DE RIGOR PARA DETERMINAR LOS MOTIVOS DEL ACCIDENTE AEREO. A LAS 14:05 EL PERSONAL DE LA JUNTA DE INVESTIGACION DE ACCIDENTES AEREOS, CULMINA CON LOS PERITAJES Y LIBERA LA AERONAVE. QUE SIENDO LAS 14:15 EL OFICIAL RUIZ SEBASTIAN, JEFE DE TURNO DEL DIA DE LA FECHA, SE COMUNICA CON EL SECRETARIO DEL JUZGADO FEDERAL DE PRIMERA INSTANCIA DR. DIEGO SPILLOTI, PONIENDOLO EN CONOCIMIENTO SOBRE LA FINALIZACION DEL PERITAJE, QUIEN NOS ORDENO LA ENTREGA DE LA AERONAVE A SU PROPIETARIO, MEDIANTE ACTA DE ENTREGA LO MAS DETALLADA POSIBLE, DEBIDO A QUE ESTA UOSP NO CUENTA CON LOS MEDIOS TECNICOS NECESARIOS PARA DETALLAR EN FORMA PRECISA.ACTO SEGUIDO, PERSONAL DE LA JUNTA, INFORMA QUE ELLOS HARAN ENTREGA DE LA AERONAVE A SU PROPIETARIO, QUIEN FIRMARA DE CONFORMIDAD Y QUEDARA A CARGO DE LA MISMA. QUE SIENDO LAS 1430 EL PROPIETARIO DE LA AERONAVE LV-MOJ, RETIRA EL MOTOR DE LA AERONAVE Y LO TRASLADA HACIA LA CIUDAD. QUE SIENDO LAS 15:30 HS, SE REPLIEGA LA CONSIGNA DEL LUGAR DEL SINIESTRO, RETORNANDO A LA UNIDAD OPERACIONAL.</t>
  </si>
  <si>
    <t>MOSTRADORES DE TAM</t>
  </si>
  <si>
    <t>HALL</t>
  </si>
  <si>
    <t>EL DENUNCIANTE ESTABA EN LA FILA PARA DESPACHAR EL EQUIPAJE, PORTANDO UN CARRO PORTA MALETAS CONTENIENDO 2 VALIJAS Y 1 BOLSO COLOR NEGRO SIMIL CUERO, DEJANDO A CARGO DE DICHO CARRO A UNA AMIGA, PARA IR A LA PERGOLA A FUMAR, LUEGO DE REGRESAR SE PERCATA QUE LE HABIAN CAMBIADO SU BOLSO POR UNO DE SIMILARES CARACTERISTICAS CON LA INSCRIPCION TARGUS, EL CUAL CONTENIA 3 BOTELLAS PLASTICAS DE GASEOSA, DIRIGIENDOSE LUEGO A ESTA GUARDIA A RADICAR LA PRESENTE</t>
  </si>
  <si>
    <t>JJ 8005</t>
  </si>
  <si>
    <t>AVERIGUACION DE DELITO CONTRA LA PROPIEDAD</t>
  </si>
  <si>
    <t>PREEMBARQUE DE PASAJEROS DE LA TERMINAL B</t>
  </si>
  <si>
    <t>QUE SIENDO LA FECHA Y HORA ANTEDICHA, SE HACE PRESENTE UN PASAJERO MASCULINO EN EL SECTOR DEL PREEMBARQUE DE REFERENCIA, QUIEN LE CONSULTA AL PERSONAL POLICIAL SI SE HABIA PRODUCIDO EL HALLAZGO DEL ELEMENTO DE MENCION, ANTE LO QUE EL PERSONAL POLICIAL RESPONDE QUE NO SE HABIA PRODUCIDO NINGUN HALLAZGO. QUE COORDINADO CON PERSONAL DEL C.O.C., ESTE REALIZO BUSQUEDA EN LOS REGISTRSO FILMICOS DETECTANDO QUE UNA PASAJERA DEL MISMO VUELO, QUE SE ENCONTRABA DETRAS DEL DAMNIFICADO TOMO EL ELEMENTO EN CUESTION DE LA CINTA TRANSPORTADORA DE EQUIPAJES DE LA MAQUINA DE RAYOS X OCULTANDOLO LUEGO DEBAJO DE UNA BOLSA QUE PORTABA. SE DA CON DICHA PASAJERA EN EL INTERIOR DE LA AERONAVE DEL VUELO EN CUESTION Y FUE ALLI QUE SE CONSTATO QUE LA MISMA POSEIA EN SU PODER DICHO ELEMENTO, CONDUCIENDOSE A TODOS LOS PRESENTES A LA GUARDIA DE PREVENCION. POR ORDEN DE JUZGADO SE EFECTUO SECUESTRO DEL ELEMENTO, RECONOCIMIENTO Y POSTERIOR ENTREGA DEL MISMO A SU DUEÑO. LA CAUSANTE PERMANECE ALOJADA AFECTADA ACTUACIONES Y DE NO MEDIAR IMPEDIMENTO VIGENTE SE PROCEDERA A SU SOLTURA DESDE ESTA DEPENDENCIA.</t>
  </si>
  <si>
    <t>AR 1364</t>
  </si>
  <si>
    <t>EN VIRTUD AL PARTE 683, CUMPLO EN INFORMAR QUE SIENDO LAS OCHO HORAS, TREINTA MINUTOS DEL DIA DE LA FECHA, LUEGO DE QUE LOS RESULTADOS DE REINCIDENCIA E INTERPOL ARROJARON RESULTADO NEGATIVO ANTE LA PRESENCIA DE IMPEDIMENTOS LEGALES VIGENTES Y DE QUE EL RESULTADO DE LA CONSTATACION DE DOMICILIO SOBRE LA CAUSANTE ARROJO RESULTADO POSITIVO SE PROCEDIO A PERMITIR SU LIBRE CIRCULACION DESDE EL ASIENTO DE ESTA DEPENDENCIA, PREVIA NOTIFICACION DE QUE DEBERA COMPARECER EL DIA LUNES A PRIMERA HORA A SEDE JUDICIAL</t>
  </si>
  <si>
    <t>PUERTA DE INGRESO Y EGRESO DE LA TERMINAL A</t>
  </si>
  <si>
    <t>PERGOLA NUMERO 1</t>
  </si>
  <si>
    <t>SE HIZO PRESENTE EN ESTE MEDIO A LOS EFECTOS DE ESPERAR A SU FAMILIA, QUIENES VENIAN DE UN VIAJE. QUE UNA VEZ QUE TOMA CONTACTO CON LA MISMA, EN EL SECTOR DEL HALL DE ARRIBOS DE LA TERMINAL A, SE DIRIGEN HASTA LA PUERTA DE ENTRADA Y SALIDA DENOMINADA NUMERO 1, UBICADA EN EL HALL DE SALIDA DE PASAJEROS DE LA CITADA TERMINAL. LUEGO, SE DIRIGE SOLO A BUSCAR SU VEHICULO, REGRESANDO DIEZ MINUTOS DESPUES APROXIMADAMENTE Y ES ALLI QUE SU ESPOSA LE MANIFIESTA QUE LE SUSTRAJERON EL MALETIN Y LA TOTALIDAD DE SU CONTENIDO.</t>
  </si>
  <si>
    <t>AMERICAN AIRLINES</t>
  </si>
  <si>
    <t>AA 997</t>
  </si>
  <si>
    <t>DALLAS</t>
  </si>
  <si>
    <t>EZEIZA BUENOS AIRES.</t>
  </si>
  <si>
    <t>ACTA DE INTERDICCION</t>
  </si>
  <si>
    <t>INFORMO SE REALIZA INTERDICCION POR INFRACCION A LEY 22415 ENTREGANDO LA MERCADERIA INTERDICTADA AL PERSONAL DE AFIP-DGA SEÑOR GUSTAVO BERNASCONI LEGAJO NUMERO 18634-1 A QUIEN SE LE HACE ENTREGA DE DICHA MERCADERIA POR UN MONTO ESTIMATIVO DE MIL SEISCIENTOS CUARENTA DOLARES ESTADOUNIDENSES QUIEN PROCEDE AL SECUESTRO DE LA MISMA BAJO ACTA DE SECUESTRO NRO 01/2010.</t>
  </si>
  <si>
    <t>CIUDAD DE PUERTO IGUAZU</t>
  </si>
  <si>
    <t>DR. GONZALEZ DANIEL</t>
  </si>
  <si>
    <t>TENTATIVA DE ROBO ARREBATO</t>
  </si>
  <si>
    <t>VEREDA DEL SECTOR A</t>
  </si>
  <si>
    <t>SIENDO LA HORA Y FECHA ANTES MENCIONADA, SE HIZO PRESENTE EL DENUNCIANTE JUNTO A SU ESPOSA EN ESTE AEROPUERTO METROPOLITANO CON EL FIN DE ABORDAR EL VUELO MENCIONADO CON ANTERIORIDAD, ESTACIONANDO SU VEHICULO EN LA VEREDA DEL SECTOR A1. DESCENDIO Y PROCEDIO A RETIRAR SU EQUIPAJE DEL BAUL DE SU AUTOMOVIL. MOMENTO EN EL CUAL SE ACERCO POR SUS ESPALDAS UNA PERSONA DE SEXO MASCULINO. CUANDO ADVIRTIO LA PRESENCIA DE ESTE, OBSERVO QUE SE DIRIGIA HACIA LA VENTANILLA DE SU VEHICULO Y VIO QUE INTRODUJO SU CUERPO PARA ARREBATAR ALGUNA DE SUS PERTENENCIAS NO PUDIENDO SUSTRAER NINGUN ELEMENTO SE RETIRO RAPIDAMENTE, SEGUIDAMENTE EL DENUNCIANTE FUE TRAS EL. EN ESE MOMENTO SE APROXIMO PERSONAL POLICIAL TOMANDO INTERVENCION DEL HECHO. SEGUIDAMENTE SE HIZO PRESENTE EN ESTA GUARDIA PARA RADICAR LA DENUNCIA. SIENDO LAS 21:10 HS SE ENTABLA COMUNICACION CON EL JUZGADO INTERVINIENTE QUIEN DISPONE: LECTURA DE DERECHOS AL IMPUTADO, DETENCION EN CARACTER DE COMUNICADO, PRECARIO MEDICO DE INGRESO Y ESGRESO, MEDICO LEGISTA CON DOSAJE DE ORINA Y SANGRE NO COMPULSIVO, ARTICULO 86 DEL REGLAMENTO PARA LA JUSTICIA CRIMINAL Y CORRECCIONAL DE ESTA CIUDAD Y ARTICULO 197 DEL CPPN, IDGE INTERPOL, TRES JUEGOS DE FICHAS PARA LA CAUSA, CONSTATACION DE DOMICILIO SI LO TUVIERE, PLANILLA PRONTUARIAL, PEDIDO DE INFORMES SOBRE CONDENAS Y PROCESOS PENDIENTES AL REGISTRO NACIONAL DE REINCIDENCIA Y ESTADISTICA CRIMINAL ARTICULO 353 BIS DEL CPPN, DECLARACIONES DE LOS TESTIGOS Y DE LOS ACTUANTES, NOTA AL CONSULADO DE LA REPUBLICA DEL PERU, FOTOGRAFIAS AL IMPUTADO Y CON LOS RESULTADOS NUEVA COMUNICACION. EFECTUADA NUEVA COMUNICACION CON LA JUDICATURA ACTUANTE Y AL NO REGISTRAR IMPEDIMIENTOS LEGALES, ORDENA NOTIFICACION Y SOLTURA. SIENDO LA HORA 03:10 SE PROCEDE A LA SOLTURA DEL IMPUTADO Y ATENTO A LO INFORMADO POR EL IDGE INTERPOL DONDE MANIFIESTA LA SOLICITUD DE PARADERO Y TRASLADO AL HOSPITAL BORDA DEL CAUSANTE POR PARTE DEL JUZGADO NACIONAL EN LO CIVIL Nº 85 DE ESTE C.A.B.A. SIENDO LA HORA 03:30 SALE LA COMISION INTEGRADA POR EL OFICIAL MONZA Y QUINTEROS JUNTOS AL CAUSANTE CON DIRECCION A DICHO NOSOCOMIO EN VIRTUD A LO ORDENADO POR LA JUDICATURA SOLICITANTE, REGRESANDO LA COMISION A ESTA JURISDICCION S/N.</t>
  </si>
  <si>
    <t>AR 1792</t>
  </si>
  <si>
    <t>Incendios</t>
  </si>
  <si>
    <t>DR. MIGUEL ANGEL AMBROSIO</t>
  </si>
  <si>
    <t>INTIMIDACION PUBLICA</t>
  </si>
  <si>
    <t>VESTUARIOS ASIGNADOS AL PERSONAL DE LA EMPRESA AEROLINEAS ARGENTINAS AUSTRAL</t>
  </si>
  <si>
    <t>SIENDO LA HORA Y FECHA ANTES MENCIONADA, JOSE LUIS MARASCO, JEFE DE TURNO, RECIBE COMUNICACIÓN VIA NEXTEL, POR PARTE DEL ENCARGADO DE TURNO PABLO MONZA, QUIEN LE INFORMA QUE RECIBIO COMUNICACIÓN TELEFONICA POR PARTE DEL PERSONAL DESTACADO EN EL PUNTO DE INSPECCION Y REGISTRO DENOMINADO ECO QUE HABIA SIDO AVISADO POR PERSONAL DE AEROPUERTOS ARGENTINA 2000 A CERCA DEL DESARROLLO DE UN FOCO IGNEO EN LOS VESTUARIOS ASIGNADOS AL PERSONAL DE LA EMPRESA AEROLINEAS ARGENTINAS AUSTRAL. SEGUIDAMENTE, EL JEFE DE TURNO, SE APERSONO AL LUGAR EN CUESTION, EFECTUANDO EL CORRESPONDIENTE PERIMETRO DE SEGURIDAD. EXTINGUIDO EL FOCO IGNEO Y DISIPADO EL FOCO, YA SIENDO LAS 22:10 HORAS, SE ENTABLÓ COMUNICACIÓN CON LA JUDICATURA ACTUANTE QUIEN ORDENA: VISTAS FOOGRAFICAS DEL SECTOR, PLANIMETRIA, DECLARACIONES TESTIMONIALES DEJANDO CONSTANCIA DEL PERSONAL QUE TIENE INGRESO A DICHO SECTOR, REGISTROS FILMICOS SI LOS HUBIERE, LISTADO DEL PERSONAL DE ESE TURNO, CIERRE Y ELEVACION DE ACTUACIONES.</t>
  </si>
  <si>
    <t>671/10</t>
  </si>
  <si>
    <t>CUMPLO EN INFORMAR QUE A LAS 07:30 HORAS DEL DIA 08/02/10 SE REALIZÓ EL EFECTIVO TRASLADO DEL DETENIDO EN AUTOS DE ACUERDO A LO ORDENADO.</t>
  </si>
  <si>
    <t>687/10</t>
  </si>
  <si>
    <t>SIENDO LA HORA 03:10 SE PROCEDE A LA SOLTURA DEL IMPUTADO Y ATENTO A LO INFORMADO POR EL IDGE INTERPOL DONDE MANIFIESTA LA SOLICITUD DE PARADERO Y TRASLADO AL HOSPITAL BORDA DEL CAUSANTE POR PARTE DEL JUZGADO NACIONAL EN LO CIVIL Nº 85 DE ESTE C.A.B.A. SIENDO LA HORA 03:30 SALE LA COMISION INTEGRADA POR EL OFICIAL MONZA Y QUINTEROS JUNTOS AL CAUSANTE CON DIRECCION A DICHO NOSOCOMIO EN VIRTUD A LO ORDENADO POR LA JUDICATURA SOLICITANTE, REGRESANDO LA COMISION A ESTA JURISDICCION S/N.</t>
  </si>
  <si>
    <t>CURI</t>
  </si>
  <si>
    <t>JOSEFINA</t>
  </si>
  <si>
    <t>ALLUB LIDIA ALICIA</t>
  </si>
  <si>
    <t>S/ IFRACCION A LA LEY 23.737- IMPUTADOS: FLORES CAMACHO DE LA CRUZ, ADELIA Y OTROS</t>
  </si>
  <si>
    <t>788/08</t>
  </si>
  <si>
    <t>SEGUN ORDEN DE SERVICIO N° 08/10 URSA III DEL NORTE Y ORDEN DE SERVICIO N° 04/10 UOSP TUC, INFORMO A HORAS 10:15 SE RECIBE AL CIUDADANO BOLIVIANO GASTON CARDENAS CORREA QUIEN FUERA EXPULSADO DEL TERRITORIO NACIONAL, POR ASI HABERLO DISPUESTO EN ORDEN DE EXPULSION DICTADA MEDIANTE DISPOSICION D.N.M N° 011544. ASIMISMO INFORMO QUE SE REALIZO CUSTODIA Y EMBARQUE DEL MENCIONADO, PARTIENDO EN VUELO DE LA EMPRESA AEROSUR A HORAS 14:00. SIN REGISTRARSE NOVEDADES.</t>
  </si>
  <si>
    <t>5L 250</t>
  </si>
  <si>
    <t>SANTA CRUZ</t>
  </si>
  <si>
    <t>SECTOR ARRIBOS, CINTA DE EQUIPAJES</t>
  </si>
  <si>
    <t>SIENDO LAS TRECE HORAS DEL DÌA DE LA FECHA DURANTE RECORRIDA DE RUTINA POR INSTALACIONES, SE PRODUCE EL HALLAZGO, POR PARTE DEL OF. WALTER SOMMER(CONTROL 503.312), EN LA CINTA DE EQUIPAJE (SALA DE DE ARRIBOS), DEL SIGUIENTE ELEMENTO: 1 ( UNO ) EQUIPAJE (VALIJA CERRADA CON DOS CANDADOS) DE COLOR NEGRO TIPO CARRY- ON , MARCA TUMI, MARBETE Nº 6227; CON TARJETA IDENTIFICATORIA DONDE CONSTA LOS SIGUIENTES DATOS: ING. MAURIZIO TOTTA GMBG, REPRESENTATIVE AGUSTA SPA, KOHLMARKT 3 A-1010 VIENNA, AUSTRIA, , CON LAS SIGUIENTES DIMENSIONES APROXIMADAS 80X 40X40 CM; DICHO EQUIPAJE FUE CHEQUEADO EN LA MAQUINA DE RAYOS X, EN PRESENCIA DE DOS TESTIGOS NO OBSERVÁNDOSE EN DICHO CONTROL, ELEMENTOS SOSPECHOSOS Y/O PELIGROSOS QUE REQUIERAN UNA MAYOR REVISIÓN; CONSTATANDO LOS TESTIGOS QUE DICHO EQUIPAJE SE ENCUENTRA CERRADO CON DOS CANDADOS. POSTERIORMENTE, SE PRODUJO LA ENTREGA DE DICHO EQUIPAJE, AL REPRESENTANTE DE LA EMPRESA LAER, SR. CRISTIAN FEDRIK DNI 27.466.921, QUIEN INFORMA QUE DICHO EQUIPAJE CORRESPONDE AL VUELO SPL14 DE DICHA EMPRESA, PROCEDENTE DE CONCORDIA ARRIBADO 0915 HS. Y CON DESTINO A AEROPARQUE, QUE DESPEGÓ A LAS 1015 HS. EL EQUIPAJE FUE RECIBIDO DE CONFORMIDAD, MEDIANTE ACTA DE ENTREGA Nº0003/10 DE ÉSTA UNIDAD OPERACIONAL.</t>
  </si>
  <si>
    <t>VESTUARIO DE LA EMPRESA CORREO ARGENTINO QUE SE ENCUENTRA EN EL SECTOR CARGAS</t>
  </si>
  <si>
    <t>QUE EL DÍA 06 DEL CORRIENTE MES Y AÑO SIENDO LAS 22:00 EL DENUNCIANTE SE HACE PRESENTE EN LAS INSTALACIONES DE ESTE AEROPUERTO A FIN DE CUMPLIR CON SUS OBLIGACIONES LABORALES EN EL CORREO OFICIAL DE LA REPUBLICA ARGENTINA S.A, DIRIGIÉNDOSE AL VESTUARIO UBICADO EN EL SECTOR DE CARGAS A FIN DE PONERSE EL UNIFORME DE TRABAJO, DEJANDO EN SU LOCKER PERSONAL EL JEAN QUE LLEVABA COLOCADO Y EN UNO DE SUS BOSILLOS SU BILLETERA DE CUERO COLOR NEGRA CONTENIENDO EN SU INTERIOR LOS ELEMENTOS POSTERIORMENTE RELATADOS, OBTURANDO EL LOCKER CON UN CANDADO METÁLICO. YA SIENDO LAS 04:00 DEL DIA 07 DEL CORRIENTE MES Y AÑO, INGRESA NUEVAMENTE AL VESTUARIO A FIN DE CAMBIAR SUS ROPAS Y RETIRARSE HACIA SU DOMICILIO, PERCATÁNDOSE DE EL FALTANTE DE LA BILLETERA ANTES MENCIONADA, Y AL NO ENCONTRAR FORZADO EL CANDADO METÁLICO NI SU LOCKER, SE DIRIGE EN EL DÍA DE LA FECHA HASTA ESTA GUARDIA DE PREVENCIÓN PARA REALIZAR LA DENUNCIA CORRESPONDIENTE DEL HECHO. SIENDO LA HORA 14:00 SE REALIZA COMUNICACIÓN TELEFÓNICA CON LA JUDICATURA ACTUANTE QUIEN DISPONE: FOTOGRAFÍAS DEL LUGAR DEL HECHO Y DEL CANDADO METÁLICO, CIERRE Y ELEVACIÓN DE LO ACTUADO. SE LABRA LA PREVENCIÓN SUMARIA Nº 047-A/10</t>
  </si>
  <si>
    <t>MARIANA CERVERA</t>
  </si>
  <si>
    <t>C/RIVERO CHAVEZ FERNANDO Y BARBA ROCA JUAN S/ CONTRABANDO DE IMPORTACION CALIFICADO DE ESTUPEFACIENTES CON FINES DE COMERCIALIZACION</t>
  </si>
  <si>
    <t>2649/07</t>
  </si>
  <si>
    <t>PREEMBARQUE INTERNACIONAL, SECTOR PÙERTA Nº 3</t>
  </si>
  <si>
    <t>PERSONAL DE SEGURIDAD PREVENTIVA DE UOSP SALTA REALIZA CUSTODIA DE LOS EXPULSADOS BARBA ROCA, CHAVEZ RIVERO Y CHOQUE ARAMAYO, LA MISMA FUE SOLICITADA POR PERSONAL DE MIGRACIONES DELEGACION SALTA. LACUSTODIA SE DESARROLLO SIN NOVEDAD HASTA EL MOMENTO DE SU PARTIDA. CON CONOCIMIENTO DEL JUOSP.</t>
  </si>
  <si>
    <t>FUERA DE LA INSTALACIONES DE ESTE AEROPUERTO</t>
  </si>
  <si>
    <t>EN EL DIA DE LA FECHA SE HACE PRESENTE EL DENUNCIANTE A ESTA GUARDIA DE PREVENCION MANIFESTANDO EL EXTRAVIO DE SU PPSA AER PARA LOS SECTORES Nº3 Y 5 EL DIA 22 DE ENERO DEL CORRIENTE AÑO NO RECORDANDO LUGAR NI HORARIO DEL EXTRAVIO. SE LABRA LA DENUNCIA DE EXTRAVIO Nº072/10</t>
  </si>
  <si>
    <t>FUERA DE LAS INSTALACIONES DE ESTE AEROPUERTO</t>
  </si>
  <si>
    <t>EN EL DIA DE LA FECHA SE HACE PRESENTE EL DENUNCIANTE A ESTA GUARDIA DE PREVENCION MANIFESTANDO EL EXTRAVIO DE SU PPSA SNA PARA LOS SECTORES Nº1,3, 4 Y 5 EL DIA 26 DE ENERO DEL CORRIENTE AÑO NO RECORDANDO LUGAR NI HORARIO DEL EXTRAVIO. SE LABRA LA DENUNCIA DE EXTRAVIO Nº073/10</t>
  </si>
  <si>
    <t>N/</t>
  </si>
  <si>
    <t>EN EL DIA DE LA FECHA SE HACE PRESENTE EL DENUNCIANTE A ESTA GUARDIA DE PREVENCION MANIFESTANDO EL EXTRAVIO DE SU PPSA AER PARA LOS SECTORES Nº1,2,3,4 Y 5 EL DIA 03 DE FEBRERO DEL CORRIENTE AÑO NO RECORDANDO LUGAR NI HORARIO DEL EXTRAVIO. SE LABRA LA DENUNCIA DE EXTRAVIO Nº074/10</t>
  </si>
  <si>
    <t>QUE REGRESO LA COMISION POLICIAL QUE TRASLADO AL IMPUTADO EN AUTOS, JUNTAMENTE CON EL MISMO, ENTREGANDO EN ESTA DEPENDENCIA UN OFICIO JUDICIAL EMANADO POR EL TRIBUNAL INTERVINIENTE, EN EL CUAL DISPONE SE OTORGUE EN ESTA DEPENDENCIA LA LIBERTAD DEL DETENIDO EN AUTOS. MOTIVO POR EL CUAL SE DIO ESTRICTO CUMPLIMIENTO A LO IMPARTIDO POR SSA, Y UNA VEZ CULMINADAS LAS DIRECTIVAS IMPARTIDAS EL CAUSANTE SE RETIRO DE ESTA DEPENDENCIA</t>
  </si>
  <si>
    <t>Liliana Navarro</t>
  </si>
  <si>
    <t>Investigacion por presunta Inf. Ley 23737</t>
  </si>
  <si>
    <t>SE RECEPCIONO CON FECHA 1 DE FEBRERO DEL AÑO 2010 INFORME CONFECCIONADO POR PERSONAL DE LA U.O.C.N Y D.C I DEL ESTE CON RESPECTO A LAS TAREAS SOLICITADAS EN RELACION AL OFICIO JUDICIAL DE FECHA 30 DE DICIEMBRE DEL AÑO 2009, SIENDO ELEVADO POR LA PREVENCION EL DIA 2 DE FEBRERO DEL CORRIENTE AÑO. SE DEJA ASENTADA EN EL PRESENTE PARTE QUE DEBIDO A UN ERROR INVOLUNTARIO EN EL TIPEO YA QUE AL RECEPCIONARSE DOS CAUSAS JUDICIALES CONSECUTIVAS EL MISMO DIA, SURGE QUE EL ANTERIOR PARTE RESERVADO DE FECHA 07/01/2010 Nº PARTE 100 FUE CARGADO CON NUMERO DE EXPEDIENTE ERRONEO Nº 26-I-09, SIENDO EL NUMERO DE EXPEDIENTE CORRECTO 27-I-09. SE DEJA CONSTANCIA EN EL PRESENTE QUE SE ELEVA POR SEPARADO EN SOBRE CERRADO OFICIO JUDICIAL POR ORIGINAL DIRIGIDO AL SR. INTERVENTOR DE LA POLICIA DE SEGURIDAD AEROPORTUARIA DR. JULIO SALVADOR POSTIGLIONE CON LA FINALIDAD DE QUE MIEMBROS DE LA UNIDAD OPERACIONAL CONTROL DE NARCOTRAFICO Y DELITOS COMPLEJOS I DEL ESTE DE ESA INSTITUCION PRACTIQUEN UNA INVESTIGACION A LOS FINES DE CORROBAR LA VERACIDAD DE LOS PRESUNTOS HECHOS DELICTIVOS, REALIZANDOSE EN FORMA CONJUNTA Y COORDINADA CON INTEGRANTES DE SU SIMILAR II DEL CENTRO.</t>
  </si>
  <si>
    <t>HALL CENTRAL</t>
  </si>
  <si>
    <t>SIENDO LAS 13:30 HS SE PRESENTA EL SR SOTO, DAVID QUIEN MANIFIESTA HABER ENCONTRADO EN EL SECTOR DE BAÑOS DE HOMBRES DOS ANILLOS -SIMIL PLATA- REZANDO EN CADA UNO DE ELLOS LA INSCRIPCION -MARCELO 05/05/06-. QUEDANDO DICHOS OBJETOS EN ESTA UNIDAD OPERACIONAL A LOS EFECTO DE SU RECLAMO. SE CONFECCIONA ACTA DE HALLAZGO S/Nº RESPECTIVA.-</t>
  </si>
  <si>
    <t>DR. SANTIAGO FRENCH</t>
  </si>
  <si>
    <t>SE PROCEDE A LA RETENCION DE SEIS SACAS COLECTORAS DEL CORREO OFICIAL, LA 1ª IDENTIFICADA CON MARBETE Nº SLA9122872E404000ROS, PRECINTO Nº B802510, DESTINO ROSARIO, CON UN PESO DE 25 KGS. LA 2ª MARBETE SLA9122869E404000ROS, PRECINTO B802053, DESTINO ROSARIO, PESO 23 KGS. LA 3º MARBETE SLA016151D636300NQN, PRECINTO B798873, DESTINO NEUQUEN, PESO 5 KGS. LA 4º MARBETE SLA0163107D555900RGA, PRECINTO Nº B783784, DESTINO RIO GRANDE, PESO 7 KGS. LA 5º MARBETE SLA0168843E636300NQN, PRECINTO Y609753, DESTINO NEUQUEN, PESO 5 KGS. LA 6º MARBETE SLA8923769D141400HBZ, PRECINTO Y609756, DESTINO FORMOSA, PESO 3 KGS. AMPARADAS EN GUIA AEREA Nº 9316261-3.LAS CUALES FUERON DESPACHADAS A TRAVES DE JET PAQ. LAS RETENCIONES SE REALIZARON ANTE PRESUNCION DE QUE PUDIERAN CONTENER ALGUN ELEMENTO EN INFRACCION A LAS LEYES 23.737 Y/O 22.415. QUEDANDO LAS MISMAS CERRADAS Y PRECINTADAS EN GUARDA EN ESTA UOSP SE COMUNICO TELEFONICAMENTE CON EL JUZGADO INTERVINIENTE Y LA APERTURA SE REALIZARA EN PRESENCIA DEL PERSONAL DEL CORREO, CON CONOCIMIENTO DEL JUOSP.</t>
  </si>
  <si>
    <t>DR. MAXIMILIANO CALLIZO TITULAR DE LA SECRETARIA C</t>
  </si>
  <si>
    <t>AEROPUERTO INTERNACIONAL DE LA CIUDAD DE SANTO DOMINGO REPUBLICA DOMINICANA</t>
  </si>
  <si>
    <t>QUE LUEGO DE REALIZAR LOS TRAMITES CORRESPONDIENTES EN LOS MOSTRADORES DE CHEKING DE LA EMPRESA COPA AIRLINES, PARA EL DESPACHO DE SUS DOS EQUIPAJES A BODEGA DE LA AERONAVE, SE RETIRA DEL LUGAR, SIN NINGUN TIPO DE COMPROBANTE SOBRE EL TRAMITE REALIZADO Y EMBARCA POSTERIORMENTE EN EL VUELO CM 0453, QUE LA LLEVARIA FINALMENTE A SANTO DOMINGO, REPUBLICA DOMINICANA, LUGAR DONDE SE PERCATO DEL FALTANTE DE LOS EQUIPAJES DE MENCION, CON SU RESPECTIVO CONTENIDO, REALIZANDO EL CORRESPONDIENTE RECLAMO ANTE LA EMPRESA. QUE LOS EMPLEADOS DE LA CITADA EMPRESA LE MANIFESTARON QUE NO TENIAN EN SUS REGISTROS NINGUN TIPO DE DESPACHO A BODEGA A NOMBRE DE LA DENUNCIANTE. QUE EL DIA OCHO DEL CORRIENTE MES Y AÑO ARRIBO EN ESTE AEROPUERTO EN EL VUELO CM 0279, PROVENIENTE DE LA CIUDAD DE SANTO DOMINGO REPUBLICA DOMINICANA, Y AL NO TENER NOVEDADES RESPECTO A LA UBICACION DE LOS EQUIPAJES FALTANTES, SE APERSONA EN ESTA DEPENDENCIA A LOS FINES DE RADICAR LA CORRESPONDIENTE DENUNCIA. QUE SE MANTUVO COMUNICACION TELEFONICA CON EL DR. JORGE D AMORE TITULAR DE LA SECRETARIA NUMERO 02 DEL JUZGADO FEDERAL DE LOMAS DE ZAMORA NUMERO 1, A CARGO DEL JUEZ DR. ALBERTO PATRICIO SANTA MARINA, QUIEN INDICO PREVIAS CONSULTAS CON SSA. SE LABREN ACTUACIONES CARATULADAS AVERIGUACION DE ILICITO Y QUE LAS MISMAS SEAN REMITIDAS AL JUZGADO FEDERAL DE LOMAS DE ZAMORA NUMERO 2, A CARGO DEL JUEZ DR. CARLOS ALBERTO FERREIRO PELLA, SECRETARIA C, PERTENECIENTE AL DR. MAXIMILIANO CALLIZO, JUZGADO QUE SE ENCONTRABA DE TURNO EN MOMENTOS QUE TRANSCURRIERON LOS HECHOS.</t>
  </si>
  <si>
    <t>CM 0453</t>
  </si>
  <si>
    <t>República Dominicana</t>
  </si>
  <si>
    <t>SANTO DOMINGO</t>
  </si>
  <si>
    <t>JUZGADO FEDERAL N° 3 DE MENDOZA</t>
  </si>
  <si>
    <t>SECRETARIA PENAL D</t>
  </si>
  <si>
    <t>Bento</t>
  </si>
  <si>
    <t>Walter Ricardo</t>
  </si>
  <si>
    <t>DRA. CLAUDIA NOFAL DE CATANNEO</t>
  </si>
  <si>
    <t>SECTOR SUDOESTE DEL AEROPUERTO FRENTE A RUTA NACIONAL N° 40.</t>
  </si>
  <si>
    <t>---------------------</t>
  </si>
  <si>
    <t>SIENDO LAS 00:40 HS EL PERSONAL DESIGNADO PARA REALIZAR LA RECORRIDA PERIMETRAL EN MOVIL 23 DE DOTACION, NOTAN EL FALTANTE DE 01 UN PAÑO DE TEJIDO DE ALAMBRE ROMBOIDAL DEL CERCO PERIMETRAL, APROXIMADAMENTE A 150 MTS DEL PUNTO DE INGRESO A LA AEROESTACION EN DIRECCION SUR DEL MISMO, DANDO LA NOVEDAD AL JEFE DE TURNO QUIEN ORDENA QUE PERMANEZCAN EN EL LUGAR, PRESERVANDO EL LUGAR DEL HECHO , ACTO SEGUIDO SE INFORMA DE LA SITUACION AL JEFE DE OPERACIONES QUIEN DISPONE SE REALICE INSPECCION OCULAR DEL LUGAR Y SE TOMEN FOTOGRAFIAS DEL MISMO, COMO ASI TAMBIEN SE REALICEN LAS COMUNICACIONES PERTINENTES CON EL JUZGADO EN TURNO. SIENDO LAS 00:40 SE REALIZA COMUNICCION TELEFONICA SIENDO ATENDIDOS POR LA SECRETARIA EN TURNO A QUIEN SE LE IMPONEN LOS HECHOS ANTERIORMENTE DETALLADOS Y QUIEN DISPONE 1- SE INICIEN LAS ACTUACIONES DE RIGOR 2- QUE SE MANTENGA LA CONSIGNA DE LA PERMANENCIA DEL MOVIL 23 HASTA QUE PERSONAL DE MANTENIMENTO DE LA EMPRESA AA2000 EFECTUE LA REPARACION, 3- SE ELEVEN LAS ACTUACIONES UNA VEZ FINALIZADAS LAS MISMAS EN EL TRANSCURSO DE LA SEMANA, A LO QUE DOY ESTRICTO CUMPLIMIETO.</t>
  </si>
  <si>
    <t>708/10</t>
  </si>
  <si>
    <t>SE PROCEDE A LA APERTURA DE SEIS SACAS COLECTORAS DEL CORREO OFICIAL EN PRSENCIA DE UN TESTIGO HABIL, MEDIDA COORDINADA PREVIAMENTE CON EL JUZGADO DE TURNO. LA 1ª SLA9122872E404000ROS Y PRECINTO Nº B802510 CONTIENE TRES PIEZAS IDENTIFICADAS COMO EP022166276AR, EP022166262AR Y EP022166302AR QUE QUEDAN RETENIDAS. LA 2ª SLA9122869E404000ROS Y PRECINTO Nº 802053 CONTIENE CINCO PIEZAS IDENTIFICADAS COMO EP022166276AR, EP022166280AR, EP022166293AR QUE QUEDAN RETENIDAS Y LAS EP658929970AR, EP658938897AR QUEDAN LIBERADAS PARA SU REDESPACHO. LA 3ª SLA0161511D636300NQN PRECINTO Nº B798873 CONTIENE TRES PIEZAS IDENTIFICADAS COMO EP659033098AR QUE QUEDA RETENIDA Y LAS EP659033115AR, EP684953495AR QUEDAN LIBERADAS PARA SU REDESPACHO. LA 4ª SLA0163107D555900RGA PRECINTO Nº B7783784 CONTIENE DOS PIEZAS ISENTIFICADAS COMO EP064869148AR QUE QUEDA RETENIDA Y LA EP022166333AR QUEDA LIBERADA PARA SU REDESPACHO. LA 5ª SLA0168843E636300NQN PRECINTO Nº Y609753 CONTIENE UNA PIEZA IDENTIFICADA COMO EP680916497AR QUE QUEDA RETENIDA. LA 6ª SLA8923769D141400HBZ PRECINTO Nº Y609756 CONTIENE UNA PIEZA IDENTIFICADA COMO EP658101675AR. LAS ENCOMIENDAS LIBERADAS SON ENTREGADAS AL CORREO OFICIAL PARA SU REINSERCION EN EL CIRCUITO POSTAL, Y LAS RETENIDAS QUEDAN EN GUARDA EN EL DEPOSITO JUDICIAL DE ESTA UNIDAD A LA ESPERA DEL OFICIO QUE AUTORICE SU APERTURA. CON CONOCIMIENTO DEL JUOSP.</t>
  </si>
  <si>
    <t>SIENDO LAS 11:45 HS SE PRESENTO EL DENUNCIANTE EXPONIENDO EL EXTRAVIO DE UN PERMISO PERSONAL DE SEGURIDAD AEROPORTUARIO PERMANENTE NRO. 326493, FECHA DE VENCIMIENTO 22-12-2010, A SU NOMBRE, NO PUDIENDO PRECISAR FECHA Y LUGAR DEL EXRAVIO.</t>
  </si>
  <si>
    <t>DRA. PATRICIA REY</t>
  </si>
  <si>
    <t>FRENTE A LOS MOSTRADORES DE VENTA DE PASAJES DE LA EMPRESA LAN ARGENTINA.</t>
  </si>
  <si>
    <t>SECTOR HALL A</t>
  </si>
  <si>
    <t>SIENDO LA HORA Y LA FECHA ANTES MENCIONADA SE PRESENTA LA DENUNCIANTE EN LA GUARDIA DE PREVENCION PARA INFORMAR QUE EN CIRCUNSTANCIAS DE PRESENTARSE EN EL AEROPARQUE METROPOLITANO JUNTO A SU MARIDO Y SU HIJO, SE DIRIGIO AL MOSTRADOR DE VENTAS DE LA EMPRESA LAN ARGENTINA A FIN DE ADQUIRIR SUS PASAJES, DEJANDO EN PODER DE SU MARIDO SUS EQUIPAJES, Y AL CABO DE UNOS MINUTOS SU ESPOSO SE PERCATO DEL FALTANTE DE UN PORTANOTEBOOK, EL CUAL SE LO SUSTITUYERON POR OTRO PORTANOTEBOOK VACIO DE SIMILARES CARACTERISTICAS POR LO QUE DESISTE DE COMPRAR LOS PASAJES Y SE PRESENTA EN LA GUARDIA DE PREVENCION A FIN DE RADICAR LA CORRESPONDIENTE DENUNCIA.</t>
  </si>
  <si>
    <t>MARIANO R. LOZANO</t>
  </si>
  <si>
    <t>¨MINISTERIO PUBLICO FISCAL s/SOLICITA EN CAUSA Nº 05/07 L.R.D. O C.C.D. ¨LA ESCUELITA¨</t>
  </si>
  <si>
    <t>OFICIO Nº 70/10</t>
  </si>
  <si>
    <t>Bº VURILOCHE IV, BARILOCHE, RIO NEGRO</t>
  </si>
  <si>
    <t>CALLE Leonel FABRI S/N CASA Nº 15</t>
  </si>
  <si>
    <t>EN EL DIA DE LA FECHA EL JEFE DE ESTA UOSP SUBINSPECTOR ROBERTO RODRIGUEZ RECEPCIONA EN DEPENDENCIAS DEL JUZGADO FEDERAL DE SAN CARLOS DE BARILOCE OFICIO Nº 70/10 EN EL QUE CONSTA LA ORDEN DE DETENCION DEL SR. FELIPE AYALA L.E. Nº 5.696.860 DE 73 AÑOS DE EDAD, DOMICILIADO EN LA CALLE LEONEL FABRI S/N CASA Nº 15 DE ESTA LOCALIDAD. LA MEDIDA DEBERA LLEVARSE A CABO DENTRO DE LAS CUARENTA Y OCHO HORAS DE LIBRADA LA MISMA, EN HORARIO DIURNO. CON EL OBJETO DE PROCEDER A SECUESTRAR TODA DOCUMENTACION QUE PUEDA TENER RELACION DIRECTA O INDIRECTA CON LA CAUSA EJ. FOTOS PERIODICOS, CARTAS ETC.</t>
  </si>
  <si>
    <t>Delitos de Accion Publica</t>
  </si>
  <si>
    <t>POSIBLE COMISION DELITO DE ACCION PUBLICA</t>
  </si>
  <si>
    <t>EL DIA 08/02/2010 SIENDO APROXIMADAMENTE LAS 10:00 HS LA OF. AYUDANTE ALVAREZ VICTORIA NUMERARIA DE LA OFICINA DEL AREA DE SUMARIOS POLICIALES RECIBE UN LLAMADO TELEFONICA DEL PERSONAL CIVIL JORGE PEREZ, EL CUA LE INFORMA QUE EN EL DIA 08/02/2010 AL ENTREGAR LAS I.P.P. DOCUMENTACION Y EFECTOS QUE RETIRO EL DIA VIERNES 05/02/2010 A LAS 13:00 HS LE FALTO LA I.P.P. Nº 07-01-007343-9 MOTIVO POR EL CUAL CONSULTA SI DEJA LOS SOBRES EFECTOS DE LA MISMA EN LA UFI Nº 2 A LO QUE RESPONDE QUE NO, QUE REALICE UN CONTROL Y UNA BUSQUEDA DE LA I.P.P. DE MENCION Y EN CASO CONTRARIO QUE REGRESE CON LOS SOBRES. EL DIA 08/02/2010 SIENDO APROXIMADAMENTE LAS 13:00 HS SE HACE PRESENTE EL PERSONAL CIVIL PEREZ QUIEN REGRESA Y HACE ENTREGA DE 3 SOBRES BLANCOS POR NO HABER PODIDO ENTREGARLOS POR NO CONTAR CON LA I.P.P. MENCIONADA ANTERIORMENTE, A LO QUE EL RESPONSABLE DEL AREA SUMARIOS POLICIALES OF. MAYOR DANIEL BIRARDA LE CONSULTA SOBRE LA I.P.P., MANIFESTANDO QUE EL DIA VIERNES SE LE HABIA ENTREGADO LA DOCUMENTACION Y SE HABIA CHEQUEADO Y RECHEQUEADO EN VIRTUD A LA CANTIDAD, SIENDO TODO DEPOSITADO DENTRO DE UNA CAJA DE CARTON VACIA DE RESMAS JUNTO CON LOS 3 SOBRES INFORMANDOLE QUE LOS MISMOS SE ELEVAN EN REFERENCIA A LA I.P.P. Nº 07-01-007343-09 LA CUAL LE FUE MOSTRADA Y COLOCADA SOBRE LA PILA DE DOCUMENTACION DETALLADA. EL RESPONSABLE DEL AREA DA LA NOVEDAD AL JEFE DE UNIDAD OPERACIONAL COMISIONADO MAYOR RICARDO COLLAZZO QUIEN DISPONE SE ENTABLE COMUNICACION CON EL TITULAR DE LA U.F.I Nº 2 A EFECTOS DE PROCEDER A LA BUSQUEDA EN ESA DEPENDENCIA DE LA DOCUMENTACION FALTANTE Y QUE SE INFORME A LA BREVEDAD LOS RESULTADOS. NO PUDIENDO MANTER DICHA COMUNICACION EL RESPONSABLE DEL AREA ENVIA AL PERSONAL CIVIL PEREZ A LAS UFI Nº 1 Y Nº 2 A FIN DE REALIZAR LA BUSQUEDA, QUE SIENDO LAS 15:00 HS EL PERSONAL PEREZ SE COMUNICA INFORMANDO RESULTADO NEGATIVO CON RESPECTO A DICHA BUSQUEDA, QUEDANDO A LA ESPERA DE RESOLUCION DEL DR. HASSAN. PU 746: SIENDO LAS 08:45 HS. EL OF MAYOR DANIEL BIRARDA MANTIENE COMUNICACION TELEFONICA CON EL AGENTE CIVIL JORGE PEREZ A EFECTOS QUE INFORME EN QUE ESTADO SE ENCUENTRA LA DOCUMENTACION QUE TRASLADO A LAS UFI Nº 1 Y Nº 2, INFORMANDO QUE EN EL DIA DE LA FECHA FUE ENCONTRADA LA IPP 07-01-007343-09 EN LA UFI Nº 1, SEGUIDAMENTE EL AGENTE CIVIL LE ENTREGA EL TELEFONO CELULAR AL DR. BECERRA, SECRETARIO DE LA UFI Nº 2 QUIEN DISPONE QUE LA IPP Nº 07-01-007343-09 QUE FUERA ENCONTRADA EN LA UFI Nº 1 LA RETIRO EL INTERNAMENTE Y FIRMO EL RECIBIDO AL COMISIONISTA DEBIENDO ELEVARSE LOS SOBRES CON EFECTOS A LA UFI Nº 1. EL OF MAYOR DANIEL BIRARDA LE DA LA NOVEDAD AL JEFE DE LA UNIDAD OPERACIONAL COMISIONADO MAYOR RICARDO COLLAZZO. SIENDO LAS 10:20 HS. EL OF MAYOR DANIEL BIRARDA PROCEDE A COMUNICARSE TELEFONICAMENTE AL CONMUTADOR DE LA UFI Nº 2 DE EZEIZA Y SE COMUNICA CON EL DR. BECERRA SECRETARIO DE LA CAUSA PENAL QUE SE INICIO QUEDE EN ARCHIVO DE LA UNIDAD OPERACION, EN VIRTUD QUE NO HUBO DELITO PARA ESA INSTANCIA JUDICIAL.</t>
  </si>
  <si>
    <t>PARKING Nº 09</t>
  </si>
  <si>
    <t>SIENDO LA HORA 18:00 APROXIMADAMENTE; PERSONAL DE VIGILANCIA DE LA EMPRESA SEGURIDAD ARGENTINA SA APOSTADO EN EL ESTACIONAMIENTO NORTE DE ESTE AEROPUERTO ENCONTRO UN BULTO ABANDONADO APARENTEMENTE OLVIDADO. SE REALIZA EL PROCEDIMIENTO DE RIGOR PARA ESTOS CASOS DANDO AVISO AL PERSONAL DE GEDEX; BOMBEROS PFA; SANIDAD Y REALIZÁNDOSE EL PERÍMETRO DE SEGURIDAD. SIENDO LAS 19:25 HS; EL PERSONAL DE GEDEX OSCAR ZUBIZARETA, QUIEN LUEGO DE REALIZAR UN CHEQUEO DEL BULTO EN CUESTION, INFORMA QUE EL MISMO ARROJA RESULTADO NEGATIVO DE EXPLOSIVOS PROCEDIENDO A LA APERTURA MANUAL DEL BULTO OBSERVANDO A PRIMA FACIE PAPEL DE DIARIO QUE ENVOLVIA VARIAS BOTELLAS DE VIDRIO. EL ELEMENTO ES TRASLADADO POR EL TESTIGO HACIA LA GUARDIA DE PREVENCIÓN A FIN DE REALIZAR EL ACTA DE HALLAZGO NRO. 291/10.</t>
  </si>
  <si>
    <t>SE PROCEDE A LA RETENCION DE UNA SACA COLECTORA DEL CORREO OFICIAL, IDENTIFICADA CON MARBETE SLA0163458D555800VAE, PRECINTO Nº C144578, PESO 5 KGS, DESTINO USHUAIA, AMPARADA EN GUIA AEREA Nº 9316271-6, LA CUAL FUE DESPACHADA A TRAVES DE JET PAQ. LA RETENCION SE REALIZA ANTE PRESUNCION DE QUE PUDIERA CONTENER ALGUN ELEMENTO EN INFRACCION A LAS LEYES 23.737 Y/O 22.415. QUEDANDO LA MISMA CERRADA Y PRECINTADA EN GUARDIA EN ESTA UOSP, SE COMUNICO TELEFONICAMENTE CON EL JUZGADO INTERVINIENTE Y LA APERTURA SE REALIZARA EN PRESENCIA DEL PERSONAL DEL CORREO, CON CONOCIMIENTO DEL JUOSP.</t>
  </si>
  <si>
    <t>AU2459</t>
  </si>
  <si>
    <t>739/10</t>
  </si>
  <si>
    <t>OFICINA DEL TURNO POLICIAL</t>
  </si>
  <si>
    <t>SE PROCEDE A LA APERTURA DE UNA SACA COLECTORA DEL CORREO OFICIAL EN PRESENCIA DE UN TESTIGO HABIL, MEDIDA COORDINADA CON EL JUZGADO DE TURNO. LA SACA MARBETE SLA0163458D555800VAE PRECINTO Nº C144578, CONTIENE UN PIEZA IDENTIFICADA COMO EP658929997AR QUE QUEDA RETENIDA Y EN GUARDA EN EL DEPOSITO JUDICIAL DE ESTA UNIDAD A LA ESPERA DEL OFICIO QUE AUTORICE SU APERTURA</t>
  </si>
  <si>
    <t>734/10</t>
  </si>
  <si>
    <t>SIENDO LAS 08:45 HS. EL OF MAYOR DANIEL BIRARDA MANTIENE COMUNICACION TELEFONICA CON EL AGENTE CIVIL JORGE PEREZ A EFECTOS QUE INFORME EN QUE ESTADO SE ENCUENTRA LA DOCUMENTACION QUE TRASLADO A LAS UFI Nº 1 Y Nº 2, INFORMANDO QUE EN EL DIA DE LA FECHA FUE ENCONTRADA LA IPP 07-01-007343-09 EN LA UFI Nº 1, SEGUIDAMENTE EL AGENTE CIVIL LE ENTREGA EL TELEFONO CELULAR AL DR. BECERRA, SECRETARIO DE LA UFI Nº 2 QUIEN DISPONE QUE LA IPP Nº 07-01-007343-09 QUE FUERA ENCONTRADA EN LA UFI Nº 1 LA RETIRO EL INTERNAMENTE Y FIRMO EL RECIBIDO AL COMISIONISTA DEBIENDO ELEVARSE LOS SOBRES CON EFECTOS A LA UFI Nº 1. EL OF MAYOR DANIEL BIRARDA LE DA LA NOVEDAD AL JEFE DE LA UNIDAD OPERACIONAL COMISIONADO MAYOR RICARDO COLLAZZO. SIENDO LAS 10:20 HS. EL OF MAYOR DANIEL BIRARDA PROCEDE A COMUNICARSE TELEFONICAMENTE AL CONMUTADOR DE LA UFI Nº 2 DE EZEIZA Y SE COMUNICA CON EL DR. BECERRA SECRETARIO DE LA CAUSA PENAL QUE SE INICIO QUEDE EN ARCHIVO DE LA UNIDAD OPERACION, EN VIRTUD QUE NO HUBO DELITO PARA ESA INSTANCIA JUDICIAL.</t>
  </si>
  <si>
    <t>Alvarez Canale</t>
  </si>
  <si>
    <t>Alcindo</t>
  </si>
  <si>
    <t>FERNANDEZ MORENO MARIO</t>
  </si>
  <si>
    <t>MINISTERIO PUBLICO FISCAL S/SOLICITA EN CAUSA NRO. 05/07 - LRD O CCD - LA ESCUELITA</t>
  </si>
  <si>
    <t>EXTE. NRO. 05/07 - INC. 173</t>
  </si>
  <si>
    <t>OLAVARRIA 446 - LOCALIDAD DE JUNIN DE LOS ANDES - PCIA. DE NEUQUEN</t>
  </si>
  <si>
    <t>EN EL DIA DE LA FECHA SE PROCEDIO A LA DETENCION DEL SUBOFICIAL PRINCIPAL RETIRADO DEL EJERCITO ARGENTINO JOSE MARIA MARTINEZ, ORDENADO POR EL JUZGADO FEDERAL NRO. 1 DE BAHIA BLANCA, SECRETARIA DERECHOS HUMANOS, NO ENCONTRANDOSE NINGUN ELEMENTOS O DOCUMENTACION QUE SIRVAN DE INTERES PARA LA CAUSA.</t>
  </si>
  <si>
    <t>DRA. MARIA FERNANDA POGGI</t>
  </si>
  <si>
    <t>HALL PUBLICO A PRIMER PISO</t>
  </si>
  <si>
    <t>SIENDO LA HORA Y FECHA MENCIONADA, SE HIZO PRESENTE LA DENUNCIANTE JUNTO A SUS DOS NIETAS CON EL FIN DE ABORDAR EL VUELO DESCRIPTO CON ANTERIORIDAD. POR LO QUE SE DIRIGIO AL PATIO DE COMIDAS SITO EN EL PRIMER PISO DE ESTE AEROPUERTO METROPOLITANO PARA AGUARDAR LA PARTIDA. SE SENTARON EN UNA MESA DEJANDO A SU LADO UN CARRITO PORTAEQUIPAJE CON SU CARTERA. PASADOS UNOS INSTANTES, SE PERCATO DE QUE SU CARTERA HABIA DESAPARECIDO OBSERVANDO QUE UN HOMBRE SE ESTABA LLEVANDO LA MISMA CUBRIENDOLA CON UN SACO NEGRO. POR LO CUAL COMENZO A GRITAR Y ESE MASCULINO ARROJO SU CARTERA AL PISO DANDOSE A LA FUGA. PASADOS UNOS MINUTOS, SE HIZO PRESENTE EN ESTA GUARDIA PARA RADICAR LA CORRESPONDIENTE DENUNCIA. SIENDO LAS 12:10HORAS, SE ENTABLA COMUNICACION CON LA JUDICATURA INTERVINIENTE QUIEN DISPONE: REGISTRO FILMICOS CON APOYO TECNOLOGICO, TESTIMONIALES, CIERRE Y ELEVACION.</t>
  </si>
  <si>
    <t>AU2810</t>
  </si>
  <si>
    <t>SECRETARIA N° 1</t>
  </si>
  <si>
    <t>MINISTERIOPUBLICO FISCAL S/SOLICITA EN CAUSA Nº 05/07 - LED O CCD - LA ESCUELITA</t>
  </si>
  <si>
    <t>EXTE. Nº 05/07 - INC. 173</t>
  </si>
  <si>
    <t>--------</t>
  </si>
  <si>
    <t>N/T</t>
  </si>
  <si>
    <t>CALLE LEONEL FABRI - CASA Nº 15 - LOCALIDAD DE S.C. DE BARILOCHE - PCIA. RIO NEGRO</t>
  </si>
  <si>
    <t>EN EL DIA DE LA FECHA SE PROCEDIO A LA DETENCION DEL SUBOFICIAL MAYOR RETIRADO DEL EJERCITO ARGENTINO FELIPE AYALA, ORDENADO POR EL JUZGADO FEDERAL NRO. 1 DE LA CIUDAD DE BAHIA BLANCA, SECRETARIA DE DERECHOS HUMANOS, PROCEDIENDOSE AL SECUESTRO DE: DOS COPIAS DE CERTIFICADO DE TRABAJO EXPEDIDO POR EL EJERCITO ARGENTINO, 25 FOTOGRAFIAS, 09 COPIAS DE CERTIFICACION DE TRABAJO PERTENECIENTE A LA EMPRESA ANICOPA S.A</t>
  </si>
  <si>
    <t>SALTA - CAPIAL</t>
  </si>
  <si>
    <t>SALTA - CAPITAL</t>
  </si>
  <si>
    <t>DAR CUMPLIMIENTO AL OFICIO JUDICIAL Nº 232/10, LIBRADO POR EL JUZGADO FEDERAL DE SALTA Nº 1 DR. JULIO LEONARDO BAVIO, SECRETARIA PENAL Nº 2 DR. SANTIAGO FRENCH, EN EL EXPTE 907/09 CARATULADO SANCHEZ YANINA MARIEL S/AMENAZA, A LOS EFECTOS DE PROFUNDIZAR CON LAS TAREAS INVESTIGATIVAS QUE SE VIENEN DESARROLANDO A LOS FINES DE PODER ESTABLECER LA IDENTIDAD DEL MASCULINO QUE APARECE EN LA FILMACION RESERVADA EN AUTOS, EL CUAL APRECE JUNTO A LA IMPUTADA YANINA MARIEL SANCHEZ. ESTO OBDECE A QUE LA IMPUTADA PRESTO DECLARACION INDAGATORIA EN LA SEDE JUDICIAL DEL JUZGADO FEDERAL DE SALTA Nº 1 Y NEGO TODO, INCLUSO MANIFESTO QUE NO ES ELLA LA QUE APARECE EN LA FILMACION Y QUE NO CONOCE AL MASCULINO.</t>
  </si>
  <si>
    <t>MARIO FERNANDEZ MORENO</t>
  </si>
  <si>
    <t>MINISTERIO PUBLICO FISCAL S/EN CAUSA ENCAUSA 05/07 LRD O CCD- LA ESCUELITA</t>
  </si>
  <si>
    <t>EXPTE 05/07 INC 173</t>
  </si>
  <si>
    <t>BARRIOBARILOCHE, CALLE LEONEL FABRI CASA 15, SC BARILOCHE PCIA DE RIO NEDRO</t>
  </si>
  <si>
    <t>EN EL DIA D ELA FECHA SE PROCEDIO A LA DETENCION DEL CABO PRIMERO FELIPE AYALA RETIRO DEL EJERCITO ARGENTINO Y SECUESTRO COMO ELEMENTOS DE INTERES PARA LA CAUSA DOS COPIAS DE CERTIFICACION DE SERVICIOS DEL CAUSANTE, 29 FOTOGRAFIAS Y 9 COPIAS DE CERTIFICADOS DE TRABAJO, EMITIDOS POR LA EMPRESA ANICOPA S.A, SEGUN LO ORDENADO POR EL JUZGADO FEDERAL Nª1 DE BAHIA BLANCA EN EL PARTE 721 SE RECEPCIONA OFIO JUDICIAL SEGUN PARTE 754 SE ENTREGAN CERTIFICADOS DE TRABAJO DE LA EMPRESA ANICOPA SA</t>
  </si>
  <si>
    <t>MINISTERIO PUBLICO FISCAL S/ EN CAUSA 05/07 LRD O CCD LA ESCUELITA</t>
  </si>
  <si>
    <t>BARRIO CHACAY MANZANA H CASA 34 LOCALIDAD DE POTTIER, PCIA DE NEUQUEN</t>
  </si>
  <si>
    <t>EN EL DIA DE LA FECHA SE PROCEDE A CUMLIMENTAR ORDEN DE DETENCION LIBRADA POR EL JUZGADO FEDERAL DE BAHIA BLANCA Y SE DETUVO EN CARACTER DE COMUNICADO AL SR. ARSENIO LAVAYEN, Y DEL REGISTRO DE LA MORADA SE PROCEDIO AL SECUESTRO DE UN CARNET DE OBRA SOCIAL IOSE A NOMBRE DEL CAUSANTE Y FOTOS VARIAS</t>
  </si>
  <si>
    <t>MINISTERIO PUBLICO FISCAL S/ SOLICITA EN CAUSA Nº 05/07 LRD O CCD- LA ESCUELITA</t>
  </si>
  <si>
    <t>GRAL ROCA 505 JUNIN DE LOS ANDES PCIA DE NEUQUEN</t>
  </si>
  <si>
    <t>EN EL DIA DE LA FECHA SE PROCEDIO A CUMPLIMENTAR ORDEN JUDICIAL EMANADA DEL JUZGADO FEDERAL Nº 1 DE BAHIA BLANCA Y SE DETUVO EN CARACTER DE COMUNICADO AL SR GONZALEZ ANDRES DESIDERIO DE PROFESION SUBOFICIAL MAYOR RETIRADO DEL EJERCITO ARGENTINO Y AL SECUESTRO DE UN LEGAJO PERSONAL DEL CAUSANTE</t>
  </si>
  <si>
    <t>MINISTERIO PUBLICO FISCAL S/SOLICITA EN CAUSA NRO. 05/07 - LRD O CCD LA ESCUELITA</t>
  </si>
  <si>
    <t>05/07 - INC. 173</t>
  </si>
  <si>
    <t>GRAL. ROCA S/N - LOCALIDAD DE JUNIN DE LOS ANDES- PCIA. DE NEUQUEN</t>
  </si>
  <si>
    <t>EN EL DIA DE LA FECHA SE PROCEDIO A LA DETENCION DEL SUBOFICIAL MAYOR DEL EJERCITO ARGENTINO RETIRADO, Y SE SECUESTRO DE SU DOMICILIO PARTICULAR, DOCUMENTACION DE INTERES PARA LA CAUSA, ORDENADO POR EL JUZGADO FEDERAL NRO. 1 DE LA CIUDAD DE BAHIA BLANCA - SECRETARIA DE DERECHOS HUMANOS</t>
  </si>
  <si>
    <t>VEREDA A1</t>
  </si>
  <si>
    <t>SECTOR PARTIDAS</t>
  </si>
  <si>
    <t>SIENDO LA HORA Y FECHA ANTES MENCIONADA, LA DENUNCIANTE ARRIBO, JUNTO A SU HIJA, AL AEROPUERTO INTERNACIONAL MINISTRO PISTARINI EN EL VUELO DE QANTAS Nº QF17 PROCEDENTE DE AUSTRALIA. SEGUIDAMENTE SUBIO A UN VEHICULO TAXIMETRO COLOCANDO SU EQUIPAJE EN EL BAUL DEL MISMO. SIENDO LAS 12:00 HORAS, AL LLEGAR A ESTE AEROPUERTO METROPOLITANO, DESCENDIERON DEL VEHICULO Y COMENZARON A BAJAR SU EQUIPAJE. LUEGO DE UNOS MINUTOS, YA EN EL HALL DE ESTE AEROPARQUE, LA DENUNCIANTE SE PERCATÓ DEL FALTANTE DE UNO DE SUS BOLSOS. SEGUIDAMENTE SE HACE PRESENTE EN ESTA GUARDIA PARA RADICAR LA CORRESPONDIENTE DENUNCIA. SIENDO LAS 16:50 HS SE ENTABLA COMUNICACION CON LA JUDICATURA INTERVINIENTE QUIEN DISPONE: REGISTRO FILMICO TANTO DEL AEROPUERTO INTERNACIONAL MINISTRO PISTARINI COMO DEL AEROPUERTO METROPOLITANO Y NUEVA CONSULTA CON RESULTADOS DE LOS MISMOS.</t>
  </si>
  <si>
    <t>AU 2810</t>
  </si>
  <si>
    <t>Australia</t>
  </si>
  <si>
    <t>MELBOURNE</t>
  </si>
  <si>
    <t>05/05 INC. 173</t>
  </si>
  <si>
    <t>CHILE 178 - LOCALIDAD DE JUNIN DE LOS ANDES - PCIA. DE NEUQUEN</t>
  </si>
  <si>
    <t>EN EL DI DE LA FECHA SE PROCEDIO A LA DETENCION DEL SUBOFICIAL MAYOR RETIRADO DEL EJERCITO ARGENTINO MARCELINO CASANOVAS, PROCEDIENDOSE AL SECUESTRO DE UN LEGAJO PERSONAL DEL CAUSANTE, ORDENADO POR EL JUZGADO FEDERAL NRO. 1 DE BAHIA BLANCA - SECRETARIA DE DERECHOS HUMANOS.</t>
  </si>
  <si>
    <t>MARIO A. FERNANDEZ MORENO</t>
  </si>
  <si>
    <t>CALLE ISLAS MALVINAS NRO. 18 - LOCALIDAD DE JUNIN DE LOS ANDES - PCIA. DE NEUQUEN</t>
  </si>
  <si>
    <t>EN EL DIA DE LA FECHA SE PROCEDIO A LA DETENCION DEL SUBOFICIAL DEL EJERCITO ARGENTINO ARMANDO BARRERA, PROCEDIENDOSE AL SECUESTRO DE DOCUMENTACION DE INTERES EN LA CAUSA.</t>
  </si>
  <si>
    <t>Proteccion de Personas</t>
  </si>
  <si>
    <t>SECTOR DE MOSTRADORES</t>
  </si>
  <si>
    <t>INFORMO QUE PERSONAL DE LA A.N.A.C. DE TURNO EN ESTE AEROPUERTO, COMUNICA AL JEFE DE TURNO DE ESTA UNIDAD, QUE UNA PERSONA DE SEXO MASCULINO ESTABA TRATANDO DE INGRESAR POR EL SECTOR DE MOSTRADORES HACIA LA PLATAFORMA AEROCOMERCIAL. INMEDIATAMENTE FUE INTERCEPTADO POR EL JEFE DE TURNO QUIEN LO TRASLADA HACIA LA OFICINA DEL TURNO POLICIAL Y AL INTERROGARLO SOBRE SUS DATOS PERSONALES, RESPONDIÓ CORRECTAMENTE, MOSTRANDO SU D.N.I., PERO SOBRE EL HECHO DE QUERER INGRESAR A LA PLATAFORMA DIJO INCOHERENCIAS, COMO QUE DEBÍA ACERCARSE A UN AVIÓN O VIAJAR PARA ABSORVER LA ENERGÍA DE UNA TURBINA. INMEDIATAMENTE SE DIÓ INTERVENCIÓN AL MÉDICO DE TURNO DEL AEROPUERTO DR. ERNESTO CARLOS PRIETO M.P. 4498, QUIEN REVISA AL CAUSANTE, Y LO ENCUENTRA EN UN APARENTE BUEN ESTADO DE SALUD FÍSICA, NO DIAGNOSTICANDO SOBRE SU SALUD MENTAL, Y EXPIDIENDO EL CERTIFICADO CORRESPONDIENTE. A CONTINUACIÓN SE DA LA NOVEDAD AL JUZGADO DE TURNO, QUIEN DISPONE SE CURSE COMUNICACIÓN CON LA POLICÍA DE LA PROVINCIA DE SALTA, PARA QUE TRASLADE AL CAUSANTE HASTA SU DOMICILIO. LUEGO DE LA COMUNICACIÓN CON ESA POLICÍA, SE PRESENTÓ EN ESTA UNIDAD EL AGENTE RAÚL IBAÑEZ LEG. Nº 17.508 DE LA SUBCOMISARÍA Nº 17, QUIEN RETIRÓ AL SUJETO FIRMANDO LAS ACTUACIONES CORRESPONDIENTES Y LLEVANDOSE EL DUPLICADO DE LAS MISMAS. EL PROCEDIENTO SE REALIZÓ EN PRESENCIA DE TESTIGO HÁBIL. COLABORARON EN ESTE PROCEDIMIENTO POLICAL, PERSONAL DE LA UOESA III DEL NORTE: SUBINSPECTOR CESAR CANSECO CONTROL 504.417 Y OFICIAL MAYOR HUMBERTO MOYA CONTROL 500.706.</t>
  </si>
  <si>
    <t>CALLE NECOCHEA 227 - LOCALIDAD DE JUNIN DE LOS ANDES</t>
  </si>
  <si>
    <t>EN EL DIA DE LA FECHA SE PROCEDIO A LA DETENCION DEL SUBOFICIAL MAYOR RETIRADO DEL EJERCITO ARGENTINO, POSTERIORMENTE SE PROCEDIO AL ALLANAMIENTO DEL DOMISCILIO DEL CAUSANTE, NO ARROJANDO ELEMENTO NO DOCUMENTACION DE INTERES PARA LA CAUSA, DE ACUERDO A LO ORDENADO POR EL JUZGADO FEDERAL DE PRIMERA INSTANCIA DE LA CIUDAD DE BAHIA BLANCA - SECRETARIA DE DERECHOS HUMANOS</t>
  </si>
  <si>
    <t>JUZGADO FEDERAL N° 2 DE CORDOBA</t>
  </si>
  <si>
    <t>Sanchez Freytes</t>
  </si>
  <si>
    <t>Alejandro</t>
  </si>
  <si>
    <t>maximiliano davies</t>
  </si>
  <si>
    <t>AVERIGUACION DE INFRACCION ADUANERA Y/O SANITARIA</t>
  </si>
  <si>
    <t>ADUANA</t>
  </si>
  <si>
    <t>CONTROL DE EQUIPAJE EN SCAN VAN</t>
  </si>
  <si>
    <t>SIENDO LAS 15:40HS EL PERSONAL POLICIAL ACTUANTE, QUIEN SE ENCONTRABA OPERANDO LA MAQUINA DE RAYOS X EN EL PATIO DE VALIJAS DE ESTA AEROSTACIÓN, CONJUNTAMENTE CON PERSONAL DE ADUANA, OBSERVAN QUE EN EL INTERIOR DE UNA VALIJA DE COLOR NEGRA SE ENCONTRABAN ELEMENTOS QUE NO PODÍAN IDENTIFICAR, POR LO QUE SOLICITAN LA PRESENCIA DEL PASAJERO PROPIETARIO DE LA MISMA PARA PROCEDER A SU APERTURA; SIENDO LAS 15:50 HS.YA ESTANDO EL PASAJERO EN EL SECTOR, SE PROCEDE A LA APERTURA DEL EQUIPAJE DETECTANDOSE QUE EL CONTENIDO DEL MISMO CONSISTÍA EN CUEROS QUE EL PASAJERO MANIFIESTA SER DE CHINCHILLAS. ARROJANDO UNA CANTIDAD TOTAL DE CUATROCIENTOS OCHENTA Y OCHO CUEROS. EN VIRTUD DE LO ACONTECIDO SE LE CONSULTA AL PASAJERO RESPECTO DE LA PROCEDENCIA Y DESTINO DE ESTOS ELEMENTOS A LO QUE RESPONDE QUE SON DE SU PROPIEDAD Y QUE LOS MISMOS TIENEN ORIGEN EN ESTADOS UNIDOS, QUE ÉL MISMO LOS INGRESO AL PAÍS CON MOTIVOS DE EXPONERLOS EN DISTINTAS LOCALIDADES Y QUE EN ESTA OPORTUNIDAD REGRESA CON LOS MISMOS A SU PAÍS DE RESIDENCIA .ANTE TAL SITUACIÓN SE DA INTERVENCIÓN A PERSONAL DE SENASA. SE LE CONSULTA AL PASAJERO RESPECTO DE LA DOCUMENTACIÓN QUE ACREDITE EL REGISTRO Y LA AUTORIZACIÓN DEL INGRESO DE LOS MENCIONADOS ELEMENTOS A NUESTRO PAÍS A LO QUE RESPONDE QUE LOS MISMOS INGRESARON SIN SER REGISTRADOS POR NINGÚN ORGANISMO COMPETENTE. SIENDO LAS 16:00 HS SE DA AVISO DE LO ACONTECIDO AL JUZGADO FEDERAL DE TURNO QUIEN LUEGO DE INFORMADO DE LAS NOVEDADES SURGIDAS, DISPONE LA REALIZACIÓN DEL ACTA DE RIGOR PLASMANDO LA INTERVENCIÓN DE LOS ORGANISMOS INTERVINIENTES A EFECTOS DE DEJAR CONSTANCIA DEL HECHO Y QUE LA PROSECUCION, SECUESTRO Y POSTERIOR ELEVACION DE TODO LO ACTUADO SEA REALIZADO POR ADUANA POR TRATARSE DE UNA POSIBLE INFRACCION A LA LEY 22415.</t>
  </si>
  <si>
    <t>MINISTERIO PUBLICO FISCAL S/SOLICITA EN CAUSA Nº 05/07 - LRD O CCD - LA ESCUELITA</t>
  </si>
  <si>
    <t>CALLE NECOCHEA 410 - LOCALIDAD JUNIN DE LOS ANDES - PCIA. DE NEUQUEN</t>
  </si>
  <si>
    <t>EN EL DIA DE LA FECHA SE PROCEDIO A LA DTENCION DEL SARGENTO AYUDANTE DEL EJERCITO ARGENTINO RETIRADO CAÑICUL GABRIE, ORDENADO POR EL JUZGADO FEDERAL NRO. 1 DE BAHIA BLANCA - SECRETARIA DE DERECHOS HUMANOS</t>
  </si>
  <si>
    <t>AVERIGUACION DE APROPIACION INDEBIDA</t>
  </si>
  <si>
    <t>VEHICULO TAXIMETRO HASTA EL DOMICILIO DEL DENUNCIANTE.</t>
  </si>
  <si>
    <t>VEREDA DEL SECTOR ARRIBOS A2</t>
  </si>
  <si>
    <t>SIENDO LA HORA Y LA FECHA ANTES MENCIONADA SE PRESENTA EN LA GUARDIA DE PREVENCION EL DENUNCIANTE A FIN DE INFORMAR QUE AL ARRIBAR AL AEROPARQUE METROPOLITANO ABORDO EN LA PARADA DE TAXIS DEL SECTOR A2 UN VEHICULO TAXIMETRO MARCA RENAULT MODELO MEGANE DEL CUAL NO RECUERDA SU DOMINIO NI SU NUMERO DE LICENCIA, QUE LO TRASLADO HASTA SU DOMICILIO PARTICULAR Y AL DESCENDER DEL TAXI SE PERCATO DE QUE HABIA DEJADO DENTRO DEL HABITACULO DEL RODADO SU BILLETERA. DESCRIBE AL TAXISTA COMO UNA PERSONA DE SEXO MASCULINO SEXTOGENARIO, DE CONTEXTURA MUY DELGADA, CON CABELLO CORTO RALO COLOR CASTAÑO OSCURO, TEZ TRIGUEÑA CLARA ARRUGADA, EL CUAL VESTIA CAMISA CLARA MANGA CORTA Y PANTALON GRIS CLARO. ACTO SEGUIDO SE DIRIGIO A LA GUARDIA DE PREVENCION A FIN DE RADICAR LA CORRESPONDIENTE DENUNCIA. SIENDO LAS 22:00 HORAS SE ENTABLA COMUNICACION TELEFONICA CON LA DRA. POGGI A QUIEN SE LE INFORMA LO SUCEDIDO DISPONIENDO LA JUDICATURA ACTUANTE LO SIGUIENTE: SOLICITAR REGISTRO FILMICO DEL SECTOR, ENVIAR EL REGISTRO FILMICO A LA DIVISION APOYO TECNOLOGICO DE LA PFA Y CON EL RESULTADO DE APOYO TECNOLOGICO SE REALICE NUEVA CONSULTA TELEFONICA, SE ENVIE EL SUMARIO AL JUZGADO, CIERRE Y ELEVACION DE LAS ACTUACIONES.</t>
  </si>
  <si>
    <t>LA 4029</t>
  </si>
  <si>
    <t>Juzgado Nacional en lo Penal Económico Nº 04</t>
  </si>
  <si>
    <t>Catania</t>
  </si>
  <si>
    <t>MARTIN CASTELLANO</t>
  </si>
  <si>
    <t>TENTATIVA DE CONTRABANDO</t>
  </si>
  <si>
    <t>PREEMBARQUE 1-16</t>
  </si>
  <si>
    <t>EN CIRCUNSTANCIAS QUE SE EFECTUABA EL CONTROL RUTINARIO DE PASAJEROS, PERSONAL POLICIAL DETECTA MEDIANTE EQUIPO DE RX, QUE DENTRO DE UN BOLSO DE MANO TIPO PORTA NOTEBOOK, ERAN TRANSPORTADOS VARIOS OBJETOS DE FORMAS RECTANGULARES, LOS CUALES SE REPRESENTABAN EN EL MONITOR CON UNA COLORACIÓN CORRESPONDIENTE A ELEMENTOS ORGÁNICOS. ATENTO A LO CUAL Y ANTE EL MÍNIMO INDICIO DE QUE SE TRATABA DE DINERO EN EFECTIVO, FUE CONVOCADA LA PRESENCIA DE DOS TESTIGOS Y SE TRANSMITIÓ LA NOVEDAD AL JEFE DE TURNO. QUIEN INTERIORIZADO Y AL ADVERTIR QUE SE PODRÍA ESTAR EXCEDIENDO EL LIMITE DE DIVISAS PERMITIDO PARA SACAR DEL PAIS MANTUVO LA COMUNICACIÓN JUDICIAL PERTINENTE. EN LA CUAL SE DISPUSO EL LABRADO DE ACTUACIONES, REQUISA DEL BOLSO Y SECUESTRO DE LAS DIVISAS, DEBIENDO EL PASAJERO PERMANECER AFECTADO A ACTUACIONES. PRODUCTO DE LA REQUISA DE DETECTÓ LA EXISTENCIA DE CATORCE FAJOS CON CIEN BILLETES DE CIEN DOLARES ESTADOUNIDENSES. AL MOMENTO SE LABRAN ACTUACIONES Y SE DILIGENCIAN LAS DIRECTIVAS ORDENADAS. DE NO EXISTIR IMPEDIMENTO, EL CAUSANTE, FINALIZADAS LAS DILIGENCIAS SE RETIRA DE ESTA EPENDENCIA, DE ACUERDO A LO ORDANDO POR S.SA</t>
  </si>
  <si>
    <t>SA 227</t>
  </si>
  <si>
    <t>DANDO CUMPLIMIENTO A LA ORDEN DE SERVICIO NRO. 0008/10 Y SIENDO LAS 07:17 HORAS LOCAL DESPEGA AERONAVE MATRICULA LV-BAT PERTENECIENTE A LA EMPRESA AEROLINEAS ARGENTINAS CON DESTINO EL AEROPUERTO INTENACIONAL JORGE NEWBERY EN CUYAS BODEGAS 2, 3 Y 4 SE DESPACHAN UN TOTAL DE 80 BULTOS CON UN PESO TOTAL DE 1800 KLOGRAMOS DE METAL-MTD-,PERTENECIENTES A LA EMPRESA CERRO VANGUARDIA.</t>
  </si>
  <si>
    <t>AEROPUERTO GRAL MOSCONI- COMODORO RIVADAVIA</t>
  </si>
  <si>
    <t>AEROPUERTO JORGE NEWBERY- CAPITAL FEDERAL</t>
  </si>
  <si>
    <t>EN EL DIA DE LA FECHA SE HACE PRESENTE EN ESTA GUARDIA DE PREVENCION EL SEÑOR VARGAS PARA DENUNCIAR EL EXTRAVIO DE UN PERMISO PERSONAL DE SEGURIDAD AEROPORTUARIO A SU NOMBRE, NO RECORDANDO FECHA, HORA O LUGAR. SE LABRA LA CORRESPONDIENTE DENUNCIA DE EXTRAVIO Nº 78/10</t>
  </si>
  <si>
    <t>FISCALIA FEDERAL DE RIO GRANDE</t>
  </si>
  <si>
    <t>Rapoport</t>
  </si>
  <si>
    <t>Dr. SPILOTTI Diego</t>
  </si>
  <si>
    <t>AV. S/STA INF. LEY 26.364</t>
  </si>
  <si>
    <t>2097/10</t>
  </si>
  <si>
    <t>CIUDAD DE RIO GRANDE , PROVINCIA DE TIERRA DEL FUEGO, ANTARTIDA E ISLAS DEL ATLANTICO SUR</t>
  </si>
  <si>
    <t>MEDIANTE OFICIO SIN NUMERO, DEL DIA 10 DE FEBRERO DE 2010 , LA FISCALIA FEDERAL DE RIO GRANDE , ORDENA A ESTA PREVENCION SE SOLICITEN A LAS RESPECRTIVAS EMPRESAS PRESTATARIAS DE SERVICIOS DE TELEFONIA CELULAR, LAS TITULARIDADES, DE LOS NUMEROS TELEFONICOS: 011-1561138031 Y 02964-15611055, COMO ASI TAMBIEN, LAS LLAMADAS ENTRANTES Y SALIENTES CON SU CORRESPONDIENTE ACTIVACION DE ANTENA INCLUYENDO NUMEROS DE ORIGEN Y DESTINO DE LOS MENSAJES DE TEXTO TODO ELLO DESDE EL 01 DE ENERO DEL CORRIENTE AÑO HASTA LA FECHA, COMO ASI TAMBIEN TODOS LOS NUMEROS DE ABONADOS TELEFONICOS QUE POSEAN LOS TITULARES, LOS QUE EN SU CASO DEBERAN ENVIAR TAMBIEN LA INFORMACION REFERENTE A LAS LLAMADAS ENTRANTES Y SALIENTES CON SU CORRESPONDIENTE ACTIVACION DE ANTENA INCLUYENDO NUMEROS DE ORIGEN Y DESTINO DE LOS MENSAJES DE TEXTO. ASI MISMO SE INFORMA QUE DEBIDO A UN ERROR DE TIPEO POR PARTE DEL JUZGADO INTERVINIENTE, EN EL OFICIO DE INICIO DE LA PRESENTE CAUSA DONDE DICE "... CAUSA Nº 2097/09..." DEBERIA DECIR "...CAUSA Nº 2097/10..." EL MENCIONADO OFICIO SERA RECTIFICADO A LA BREVEDAD POR PARTE DE DICHO JUZGADO</t>
  </si>
  <si>
    <t>JUZGADO FEDERAL Nº 3</t>
  </si>
  <si>
    <t>Pradas</t>
  </si>
  <si>
    <t>DR. PABLO HUARTE</t>
  </si>
  <si>
    <t>CASCO CARDENAS, FRANCISCO E.-HAMDAN,IUNES OMAR S/INF. ART.145 BIS AGRAV. PTO.3 C.P.</t>
  </si>
  <si>
    <t>EN EL DÍA DE LA FECHA SIENDO LAS 10:30 HORAS, PARTE COMISIÓN CON DESTINO EL COMPLEJO PENITENCIARIO FEDERAL II DE MARCOS PAZ DEL SERVICIO PENITENCIARIO FEDERAL EN CUMPLIMIENTO DE ORDEN DE SERVICIO 011/10, TRASLADANDO AL DETENIDO IUNES OMAR HANDAM EN EL MARCO DE LA CAUSA Nº 5559 CARATULADA CASCO CARDENAS, FRANCISCA E.-IUNES OMAR HANDAM S/INF. ART.145 BIS AGRAV. PUNTO 3 DEL C.P.</t>
  </si>
  <si>
    <t>DR. SPILOTTI DIEGO</t>
  </si>
  <si>
    <t>AV. S/PSTA INF. LEY 26.364</t>
  </si>
  <si>
    <t>CIUDAD DE RIO GALLEGOS PROVINCIA DE TIERRA DEL FUEGO, ANTARTIDA E ISLAS DEL ATLANTICO SUR Y ALREDEDORES</t>
  </si>
  <si>
    <t>EN EL DIA DE LA FECHA SE RECEPCIONO OFICIO JUDICIAL Nº: 2349/10 DE FECHA 10 DE FEBRERO DE 2010, EL JUZGADO ACTUANTE ORDENA SE REALICEN TAREAS PERTINENTES A EFECTOS DE AVERIGUAR LAS EMPRESAS DE OMNIBUS DE LARGA DISTANCIA QUE EFECTUEN EL TRAYECTO BUENOS AIRES (RETIRO) Y CALETA OLIVA. UNA VEZ OBTENIDO DICHO DATO, DEBERA SOLICITARSE EL LISTADO COMPLETO DE PASAJEROS QUE ASCENDIERON EN LA TERMINAL DE OMNIBUS DE RETIRO ENTRE EL DIA 13 AL 19 DE ENERO DEL CORRIENTE AÑO, ELLO CON EL OBJETO DE DETECTAR LA IDENTIDAD DEL ACOMPAÑANTE DE LA SRTA. VALDEZ DESDE BUENOS AIRES A CALETA OLIVA</t>
  </si>
  <si>
    <t>DE INVESTIGACION N° 4</t>
  </si>
  <si>
    <t>GRIFFIE D BARRETO</t>
  </si>
  <si>
    <t>GRACIELA</t>
  </si>
  <si>
    <t>MASTORI, SILVIA ELIZABETH</t>
  </si>
  <si>
    <t>MENOR DAMNIFICADA-LESIONES</t>
  </si>
  <si>
    <t>CINTA ASFALTICA A 1500 METROS DE LA RUTA 11.</t>
  </si>
  <si>
    <t>CAMINO DE EGRESO AL AEROPUERTO</t>
  </si>
  <si>
    <t>SE RECIBE COMUNICACION TELEFONICA DE UN EFECTIVO DE LA UNIDAD QUE INGRESABA DE GUARDIA QUE HABIA OBSERVADO A UNA PERSONA TENDIDA SOBRE LA CINTA ASFALTICA, EL JEFE DE TURNO SE DIRIGE AL LUGAR EN EL MOVIL DE DOTACION ENCONTRANDO A UNA MENOR QUE HABIA CAIDO DE UNA PATINETA GOLPEANDO LA CABEZA EN EL SUELO Y QUE SE ENCONTRABA EN COMPAÑIA DE SU PADRE. SEGUIDAMENTE SE COMUNICA CON LA LINEA EMERGENCIA Nº 107 DEL SERVICIO DE URGENCIAS DEL HOSPITAL DR PERRANDO, QUIENES SE PRESENTAN EN EL LUGAR Y TRASLADAN A LA MENOR AL HOSPITAL PEDIATRICO DR CASTELAN, DONDE LE DIAGNOSTICAN HERIDA CONTUSA CORTANTE EN REGION OCCIPITOPARENTAL. SE INFORMA A LA FISCALIA ACTUANTE Y SE INICIAN LAS ACTUACIONES.</t>
  </si>
  <si>
    <t>FRENTE A LA OFICINA DE LA EMPRESA TAM.</t>
  </si>
  <si>
    <t>HALL DE SALIDA DE PASAJEROS, A LA ALTURA DEL MOSTRADOR NUMERO 12 Y CERCANO A LA PUERTA DE INGRESO Y EGRESO DENOMINADA NUMERO 1</t>
  </si>
  <si>
    <t>QUE LLEGADA A ESTE MEDIO POR VIA TERRESTRE, JUNTO A SU SEÑOR ESPOSO, SE DIRIGE HACIA EL HALL DE SALIDA DE PASAJEROS DE LA TERMINAL A, A LOS EFECTOS DE REALIZAR EL CHEK IN CORRESPONDIENTE PARA LA EMPRESA ALITALIA. QUE AL ENCONTRARSE CERRADA, PROCEDE A DIRIGIRSE A TOMAR ASIENTO A FIN DE ESPERAR EL INICIO DE ESTA, Y A RETIRAR DE UNO DE SUS EQUIPAJES ABRIGOS, SITUACION EN LA CUAL DEJA APOYADO EN EL ASIENTO SU CARTERA, QUITANDOLA DE VISTA POR UNOS MINUTOS. QUE LUEGO DE VOLVER LA VISTA HACIA LA CARTERA, SE PERCATA DEL FALTANTE DE ESTA, MOTIVO POR EL CUAL COMIENZA UNA BUSQUEDA POR SUS ALREDEDORES Y AL NO PODER DAR CON LA MISMA, SE HACE PRESENTE EN ESTA DEPEDENCIA A RADICAR LA PRESENTE.</t>
  </si>
  <si>
    <t>ALITALIA</t>
  </si>
  <si>
    <t>AZ681</t>
  </si>
  <si>
    <t>FISCALIA FEDERAL N° 1 DE PARANA</t>
  </si>
  <si>
    <t>ZONIS</t>
  </si>
  <si>
    <t>DRA MARIA EUGENIA WILSON</t>
  </si>
  <si>
    <t>AEROPUERTO PARANA S/DAÑO EN SU PERJUICIO</t>
  </si>
  <si>
    <t>EN EL DIA DE LA FECHA SE RECIBE OFICIO DE FISCALIA NRO 17/2010 DIRIGIDA AL JEFE DE UOSP PARANA. EL MISMO ENCOMIENDA REALIZACION DE UNA TAREA DE INVESTIGACION E INTELIGENCIA EN PROCURA DEL ESCLARECIMIENTO DEL HECHO MOTIVO DE ESTOS AUTOS Y QUE FUERAN VERIFICADOS POR ESTA PREVENCION EL DIA 14/01/2010 EN EL SECTOR SUR-OESTE Y SUR-ESTE DE LA PARTE OPERATIVA A UNOS 1500 MTS DE LA AEROESTACION, COMO ASI TAMBIEN LA IDENTIFICACION DE LOS AUTORES, COMPLICES O ENCUBRIDORES, OTORGANDOSE UN PLAZO DE 30 DIAS. POR TAL MOTIVO SE DERIVAN LAS TAREAS ENCOMENDADAS AL PERSONAL DE UOCN Y DC MEDIANTE MEMORANDO 029/10 DE ESTA UOSP</t>
  </si>
  <si>
    <t>MARIANO LOZANO</t>
  </si>
  <si>
    <t>05-07 L.R.D. o C.C.D. LA ESCUELITA</t>
  </si>
  <si>
    <t>05/07 L.R.D. O C.C.D. ¨LA ESCUELITA</t>
  </si>
  <si>
    <t>EN EL DIA DE LA FECHA INICIAN COMISION DE SERVICIO LOS OFICIALES JEFE LUIS LUCENTINI, WALTER VELEZ Y EL OFICIAL PRINCIPAL GUILLERMO BARRIA, DANDO CUMPLIMIENTO A LO ORDENADO MEDIANTE OFICIO Nº 72-10 EMANADO POR JUZGADO FEDERAL DE SAN CARLOS DE BARLOCHE REFERENTE A TRASLADO DEL DETENIDO FELIPE AYALA L.E 5.696.860, A LA UNIDAD Nº5 DEL SERVICIO PENITENCIARIO FEDERAL CITO EN LA CIUDAD DE GENERAL ROCA PROVINCIA DE RIO NEGRO. EL MISMO SE REALIZA EN MOVIL DE DOTACION INTERNO Nº 14 FORD RANGER DOMINIO GTJ 673.</t>
  </si>
  <si>
    <t>INFRACCION ART. 78 Y 85 DTO. LEY 8031/73</t>
  </si>
  <si>
    <t>HALL DE ARRIBOS, SECTOR DE PERGOLA</t>
  </si>
  <si>
    <t>EFECTUANDO UNA RECORRIDA, PERSONAL POLICIAL OBSERVA IN FRAGANTI A UNA PERSONA DE SEXO MASCULINO OFRECIENDO SERVICIO DE TAXI SIN ESTAR HABILITADO, A LOS PASAJEROS RECIEN ARRIBADOS AL PAIS, FUERA DE LOS LUGARES HABILITADOS PARA TAL FIN, CARECIENDO DE TODA HABILITACION.</t>
  </si>
  <si>
    <t>PRIMER OISO, ASIENTOS UBICADOS FRENTE AL SECTOR DE COBRO DE TASAS</t>
  </si>
  <si>
    <t>SIENDO LAS 17.00 HS SE HIZO PRESENTE EN ESTA GUARDIA DE PREVENCION UN PASAJERO DE SEXO MASCULINO INFORMANDO QUE HABIA SIDO VICTIMA DE UN HECHO DELICTIVO SIENDO LA HORA MENCIONADA CON ANTERIORIDAD, MOMENTO EN EL CUAL SE ENCONTRABA JUNTO A SU ESPOSA AGUARDANDO EL EMBARQUE DEL VUELO NOMBRADO ANTERIORMENTE, CUANDO SE PERCATO QUE LE HABIAN SUSTRAIDO SU BOLSO. POR TAL MOTIVO, SE LO INVITO A RADICAR LA CORRESPONDIENTE DENUNCIA, MANIFESTANDO EL MISMO QUE NO QUERIA PERDER SU VUELO, POR LO CUAL SE COMPROMETIO A PRESTAR DECLARACION TESTIMONIAL EN EL AEROPUERTO DE DESTINO. SIENDO LAS 17.40 HORAS SE EFECTUA COMUNICACION CON EL OFICIAL SALAS DE LA UOSP MENDOZA, SOLICITANDOLE QUE DE PRESENTARSE EL DAMNIFICADO, LE RECEPCIONE DECLARACION TESTIMONIAL. A LAS 18:00 HORAS, SE EFECTUA COMUNICACIÓN CON LA JUDICATURA ACTUANTE QUIEN DISPONE. REGISTRO FILMICO, DECLARACION TESTIMONIAL DEL DAMNIFICADO, CIERRE Y ELEVACION. SIENDO LAS 20:15 HORAS, SE REALIZA NUEVA COMUNICACIÓN CON EL OFICIAL SALAS, INFORMANDO EL MISMO QUE EL DAMNIFICADO, YA ARRIBADO EL VUELO, NO SE HABÍA PRESENTADO. EN CASO DE RECIBIR LA DECLARACION TESTIMONIAL, SE PROCEDERA A LA AMPLIACION DE ESTE PARTE URGENTE.</t>
  </si>
  <si>
    <t>AR2430</t>
  </si>
  <si>
    <t>MAXIMILIANO DAVIES</t>
  </si>
  <si>
    <t>INCIDENTE TAXISTAS INGRESO AEROESTACION</t>
  </si>
  <si>
    <t>FRENTE AEROESTACION</t>
  </si>
  <si>
    <t>DARSENA TAXISTAS</t>
  </si>
  <si>
    <t>QUE EN EL DIA DE LA FECHA LA GUARDIA TOMA CONOCIMIENTO QUE HABIA DOS TAXISTAS INSULTANDOSE Y OCASIONANDO INCOVENIENTES EN EL SECTOR DE ASCENSO DE PASAJEROS DE LA PLANTA BAJA DEL EDIFICIO, HACIENDOSE PRESENTE EN EL LUGAR DOS OFICIALES PSA, QUE SI BIEN EL ALTERCADO HABIA CESADO SE QUEDAN EN EL LUGAR A MODO PREVENTIVO Y EN ESE MOMENTO UN TAXISTA COMIENZA A INCREPAR AL PERSONAL DE PSA PRESENTE PROSIGUIENDO CON INSULTOS EN VOZ ALTA POR LO QUE LOS OFICIALES SE ACERCAN Y LE SOLICITAN QUE BAJE EL TONO DE VOZ E INVITANDOLO A QUE INGRESE AL SECTOR DE LA UNIDAD OPERACIONAL PARA ACLARAR SUS DUDAS, COMO RESPUESTA A ESTA INVITACION EL TAXISTA CONTINUA SU PROCEDER EN VOZ MAS ALTA Y EN PRESENCIA DE LOS OTTROS TAXISTA QUE SE ENCONTRABAN EN EL LUGAR, AL TAXISTA EN CUESTION ES ACOMPAÑADO HASTA LAS OFICINAS DE LA UNIDAD OPERACIONAL REALIZANDOSE COMUNICACION CON EL JUZGADO DE TURNO EN LA PERSONA DE SU SECRETARIO QUIEN UNA VEZ INTERIORIZADO DE LA SITUACION INDICA QUE SE LABREN LAS ACTUACIONES DE RIGOR Y SE LE INVITE AL TAXISTA EN CUESTION QUE SE RETIRE DE LA DEPENDENCIA POLICIAL RETIRANDOSE ESTE POR SUS PROPIOS MEDIOS. SIENDO APROXIMADAMENTE LAS 18:15 HS APROX EL TURNO DE OPERACIONES DE AA2000 INFORMA VIA NEXTEL QUE LOS TAXISTAS HABIAN CORTADO EL INGRESO DEL AEROPUERTO HACIENDOSE PRESENTE EN EL LUGAR DOS OFICIALES PSA, CONSTATANDO LO INFORMADO POR AA2000, PARTICIPANDO APROXIMADAMENTE UNOS TREINTA TAXISTAS. COMUNICANDOSE NUEVAMENTE EL OFICIAL ROCCO AUGUSTO CON EL JUZGADO DE TURNO QUIEN INTERIORIZADO DEL HECHO DISPONE QUE SE DE PARTICIPACION A LA UNIDAD JUDICIAL DIECISIETE DE LA POLICIA DE L PROVINCIA DE CORDOBA COMUNICANDOSE EL OFICIAL A LAS 18:25 HRS C ON LA SRA NATALIA RIVERO PONIENDO EN CONOCIMIENTO DEL HECHO. ASIMISMO EL OFICIAL MANCARDO PABLO SE COMUNICO A TRAVES DEL INTERNO 101 DE LA POLICIA DE LA PROVINCIA DE CORDOBA SIENDO ATENDIDO POR LA SUB INSPECTORA LEDESZMA QUIEN INTERIORIZADA DE LA SITUACION AVISA QUE MANDARA MOVILES PARA HACERSE CARGO DE LA SITUACION HACIENDOSE PRESENTE EN EL LUGAR A LAS 18:55 HRS INFORMANDO EL OFICIAL A CARGO DE LA COMISION QUE TRES REPRESENTANTES DE LOS TAXISTAS QUERIAN DIALOGAR CON EL JEFE DDE LA UNIDAD OPERACIONAL SIENDO RECIBIDOS POR ESTE A LAS 18.55 HORAS LEVANTANDOSE ENTONCES EL CORTE DE INGRESO DE LA AEROSTACION QUEDANDO TOTALMENTE LIBERADO EL MISMO</t>
  </si>
  <si>
    <t>Contra la Administracion Publica</t>
  </si>
  <si>
    <t>JUZGADO FEDERAL Nº 2 - NEUQUEN</t>
  </si>
  <si>
    <t>GUSTAVO VILLANUEVA</t>
  </si>
  <si>
    <t>"Ministerio Público Fiscal s/ solicita en causa 05/07 (L.R.D. O C.C.D. `LA Escuelita´) Expte. Nº 05/07/inc.173"</t>
  </si>
  <si>
    <t>Cumplimiento de Mandato Judicial, Oficio nº 76/01 - 11 feb 2010</t>
  </si>
  <si>
    <t>Desde UOSP Neuquen Hasta Unidad Carcelaria U5 Roca Rio Negro</t>
  </si>
  <si>
    <t>Fuera de la Jurisdiccion UOSP Neuquen</t>
  </si>
  <si>
    <t>TRASLADO DE DETENIDO LIBRADA POR OFICIO N 50/01 DEL JUZGADO PENAL Nº 2 -NQN DEL DIA 10 FEB 2010 POR EXHORTO Nº 1/2010 DEL JUZGADO FEDERAL Nº 1 DE BAHÍA BLANCA A CARGO DEL DR. SANTIAGO ULPIANO MARTINEZ, JUEZ SUBROGANTE SE REALIZA TRASLADO Y POSTERIOR ENTREGA DEL DETENIDO EN LA UNIDAD PENAL Nº 5 DE LA CIUDAD DE GENERAL ROCA PCIA. DE RIO NEGRO.</t>
  </si>
  <si>
    <t>795/10</t>
  </si>
  <si>
    <t>SIENDO LAS 21.00 HORAS FINALIZADAS LAS DILIGENCIAS ORDENADAS Y NO EXISTIENDO IMPEDIMENTO LEGAL ALGUNO CONTRA SU PERSONA, EL CAUSANTE SE RETIRA DE ESTA DEPENDECIA POR SUS PROPIOS MEDIOS. PTO</t>
  </si>
  <si>
    <t>Secretaria N 12</t>
  </si>
  <si>
    <t>DR SERGIO ALEJANDRO ECHEGARAY</t>
  </si>
  <si>
    <t>SECTOR JET PAQ DE AMBOS AEROPUERTOS</t>
  </si>
  <si>
    <t>GALANES CARLOS ALBERTO</t>
  </si>
  <si>
    <t>EL DÍA OCHO DE FEBRERO DEL CORRIENTE AÑO, EL DENUNCIANTE DESPACHÓ EN LA CIUDAD DE RÍO GALLEGOS, EN LA SUCURSAL JET PAQ, UN SOBRE DE PAPEL MADERA CONTENIENDO VEINTE CHEQUES DE PAGO DIFERIDO Y AL PORTADOR, QUE FUERON COLOCADOS EN UN SOBRE DE SEGURIDAD DE DICHA EMPRESA INFORMÁNDOLE QUE EL DÍA NUEVE LO ESTARÍA RECIBIENDO EN EL DOMICILIO DE SU HIJO, CARLOS ALBERTO GALANES. AL NO RECIBIR LA CORRESPONDENCIA EL DÍA INDICADO, SE ACERCÓ EL DÍA 10 DEL CORRIENTE HASTA LAS INSTALACIONES DE JET PAQ, UBICADAS EN ESTE AEROPUERTO PARA QUE LE DEN INFORMACIÓN, DONDE LE COMUNICARON QUE SU SOBRE, HABÍA SIDO DESPACHADO EN EL INTERIOR DE UNA SACA CONTENEDORA JUNTO A OTROS ENVÍOS CON DISTINTOS DESTINATARIOS, LA CUAL PODRÍA HABER SIDO ENVIADA POR ERROR A OTRO AEROPUERTO. ANTE LO CUAL, DECIDIÓ ESPERAR UN DÍA Y AL NO TENER NINGUNA NOVEDAD POR PARTE LA EMPRESA, EN EL DÍA DE LA FECHA SE PRESENTÓ NUEVAMENTE EN LAS OFICINAS DE LA EMPRESA JET PAQ DONDE LE INFORMARON QUE LA SACA EN LA CUAL FUE ENVIADO SU SOBRE SE HABÍA EXTRAVIADO. SEGUIDAMENTE EFECTUÓ EL RECLAMO FORMAL Y SE HACE PRESENTE EN ESTA GUARDIA DE PREVENCIÓN PARA REALIZAR LA CORRESPONDIENTE DENUNCIA PENAL. SIENDO LAS 20:15 HORAS, SE ENTABLO COMUNICACIÓN CON LA JUDICATURA ACTUANTE QUIEN DISPUSO: SE ADJUNTE LA DOCUMENTACION APORTADA POR EL CAUSANTE, CIERRE Y ELEVACION.</t>
  </si>
  <si>
    <t>PISICION 1</t>
  </si>
  <si>
    <t>EN CUMPLIMIENTO DE LA ORDEN DE SERVICIO 0009/10 Y SIENDO LAS 22:44 HORAS ARRIBA AERONAVE AIRBUS 320 MATRICULA LV-BHU PERTENECIENTE A LAN ARGENTINA Y EN CUYAS BODEGAS 13, 31 Y 32 SE EMBARCAN 75 PIEZAS CON UN PESO DE 3240 KILOGRAMOS DE METAL- MTD- PERTENECIENTES A LA EMPRESA CERRO VANGUARDIA CON DESTINO EL AEROPUERTO JORGE NEWBERY DE CAPITAL FEDERAL. EL MISMO DESPEGA A LAS 23:28 HOAS LOCAL. EL MENCIONADO TRANSPORTE SE REALIZA POR LAN CARGO.</t>
  </si>
  <si>
    <t>AEROPUERTO GRAL. MOSCONI - COMODORO RIVADAVIA</t>
  </si>
  <si>
    <t>785/10</t>
  </si>
  <si>
    <t>EN EL DíA DE LA FECHA SIENDO LAS 00:50 HORAS Y HABIENDO CUMPLIMENTADO ORDEN DE SERVICIO Nº011/10 REGRESA A ESTA UOSP LA COMISION DESIGNADA PARA TAL FIN EN MOVIL DE DOTACIóN 064 SIN NOVEDAD</t>
  </si>
  <si>
    <t>CLAUDIA SPINOLA O SPINDOLA S/LESIONES LEVES Y AMENAZAS</t>
  </si>
  <si>
    <t>AMENAZAS Y LESIONES</t>
  </si>
  <si>
    <t>EN CERCANIAS DEL PUESTO DENOMINADO DE ESTA POLICIA DE SEGURIDAD AEROPORTUARIA DENOMINADO AIR BP.</t>
  </si>
  <si>
    <t>VESTUARIO FEMENINO PARA PERSONAL DE LA EMPRESA GATE GOURMET.</t>
  </si>
  <si>
    <t>QUE EL DIA 8 DEL CORRIENTE MES Y AÑO UNA VEZ FINALIZADA SU JORNADA LABORAL, SE ENCONTRABA EN EL VESTUARIO FEMENINO PARA EMPLEADAS DE LA EMPRESA GATE GOURMET, SITUACION EN LA CUAL, SE HACE PRESENTE EN DICHO SECTOR, UNA COMPAÑERA DE TRABAJO, NO RECORDANDO CON EXACTITUD SI SE APELLIDA SPINOLA O SPINDOLA, LA CUAL SE ACERCO A LA DENUNCIANTE Y LE DIJO EN UN TONO ELEVADO DE VOZ QUE DEJARA DE MOLESTAR A LAS CONTRATADAS Y QUE LE EXTRAÑA QUE ELLA HAGA ESAS COSAS, RETIRANDOSE POSTERIORMENTE DEL LUGAR. QUE EN EL DIA DE LA FECHA, ENCONTRANDOSE EN EL MISMO VESTUARIO, SE CRUZA CON LA TAL SPINOLA O SPINDOLA, QUIEN UNA VEZ MAS LA INSULTA Y LA AGARRA DEL CUELLO, MANIFESTANDOLE A LA DENUNCIANTE QUE SE DEJARA DE JODER, Y EN POSTERIOR SE RETIRA DEL SECTOR. QUE ANTE ESTE HECHO, LA DENUNCIANTE, INFORMA LO ACONTECIDO A SU ENCARGADO Y SE DIRIGE HACIA EL SECTOR DE EMFERMERIA, DONDE UNA VEZ ATENDIDA SE RETIRA HACIA SU CASA Y EN EL HORARIO DE LA TARDE SE HACE PRESENTE EN ESTA PREVENCION A REALIZAR LA DENUNCIA. ASIMISMO INFORMO, QUE DE LA FEMENINO AGRESORA SPINOLA O SPINDOLA NO SE CONOCEN DEMAS DATOS FILIATORIOS DE LA MISMA.</t>
  </si>
  <si>
    <t>NAC. EN LO PENAL ECONOMICO Nº 4</t>
  </si>
  <si>
    <t>DR. MARTIN CASTELLANO</t>
  </si>
  <si>
    <t>N.N. S/DENUNCIA DE CONTRABANDO</t>
  </si>
  <si>
    <t>NN S/DENUNCIA DE CONTRABANDO</t>
  </si>
  <si>
    <t>A LA IZQUIERDA DEL SECTOR DE ARRIBOS DE LA TERMINAL A</t>
  </si>
  <si>
    <t>TURNO DE PREVENCION</t>
  </si>
  <si>
    <t>SE RECIBE EN ESTA GUARDIA DE PREVENCION UNA LLAMADA TELEFONICA NO IDENTIFICADA, EFECTUADA POR UNA PERSONA DE VOZ MASCULINA, QUIEN MANIFIESTA QUERER HACER UNA DENUNCIA ANONIMA REFIRIENDO DATOS DE UNA MUJER DE NOMBRE MIRIAM NOEMI LUGRIN, DNI 21.583.050, QUIEN ARRIBARIA AL PAIS EN LO PROXIMOS DIAS, PROCEDENTE DEL REINO DE ESPAÑA, CON UNA SUMA IMPORTANTE DE DINERO, AGREGANDO QUE DICHA FEMENINA UTILIZA COMO PANTALLA A DOS MENORES DE EDAD, DE NOMBRE CATALINA Y MAXIMO HOGAN, QUE EL MARIDO DE ESTA MUJER, DE NOMBRE AARON HOGAN, ESTUVO DETENIDO EN REITERADAS OCASIONES EN ESPAÑA POR FALSIFICACION DE TARJETAS DE CREDITO Y CONTRABANDO DE DROGAS Y QUE ESTE ITINERARIO LO REALIZA AL MENOS DOS VECES AL AÑO, MANIFESTANDO A SU VEZ, QUE EL LLAMADO LO ESTABA REALIZANDO DESDE LA PROVINICIA DE ENTRE RIOS, CORTANDO LA COMUNICACION SIN APORTAR MAYORES DATOS AL RESPECTO. QUE ATENTO A ELLO, EL JEFE DE TURNO DISPONE DILIGENCIAR NOTA A LA DNM A LOS EFECTOS DE INSERTAR UNA ALERTA POLICIAL CON RESPECTO A LA FEMENINO EN CUESTION, RECIBIR DECLARACION TESTIMONIAL AL PERSONAL QUE RECEPCIONO LA LLAMADA Y DAR INTERVENCION AL JUZGADO EN LO PENAL ECONOMICO EN TURNO. QUE FINALIZADA LA COMUNICACION CON EL SECRETARIO, ESTE AVALO LO ACTUADO AL MOMENTO Y QUE FINALIZADAS LAS MISMAS SEAN ELEVADAS A ESA MAGISTRATURA.</t>
  </si>
  <si>
    <t>SEGUN LO INFORMADO POR LA JEFATURA DE ESTE AERPUERTO. DESDE LAS 06:00 HS. DEL DIA DE LA FECHA EL MISMO SE ENCUENTRA OPERANDO NORMALMENTE.</t>
  </si>
  <si>
    <t>CERVERA MARIANA</t>
  </si>
  <si>
    <t>LEGAJO DE : CARDENAS TAMAYO GUILLERMO JESUS - EJECUCION DE SENTENCIA</t>
  </si>
  <si>
    <t>2270/09</t>
  </si>
  <si>
    <t>PERSONAL DE SEGURIDAD PREVENTIVA DE ESTA UNIDAD REALIZA CUSTODIA Y TRASLADO DE DETENIDO HACIA EL AEROPARQUE METROPOLITANO, DANDO CUMPLIMIENTO A LO DISPUESTO EN EL OFICIO JUDICIAL Nº 56/10 - ES., EXPEDIDO POR EL TRIBUNAL ACTUANTE Y EN CUMPLIMIENTO A LA ORDEN DE SERVICIO Nº 0010/10 DE LA URSA III DEL NORTE. ANTES DE EMBARCAR EL DETENIDO FUE REVISADO POR EL MEDICO DE TURNO EN EL AEROPUERTO, DR. ERNESTO DELGADO M.P. 4341 QUIEN CERTIFICA EL BUEN ESTADO DE SALUD FISICA CON ANTECEDENTES DE DISLIPIDEMIA RAPIDA. CON CONOCIMIENTO DEL JUOSP.</t>
  </si>
  <si>
    <t>EDUARDO ROCCHI</t>
  </si>
  <si>
    <t>INTERSECCION DE LA AV. SARMIENTO Y AV. RAFAEL OBLIGADO</t>
  </si>
  <si>
    <t>A LA ALTURA DE CABECERA SUR</t>
  </si>
  <si>
    <t>SIENDO LA HORA ANTERIORMENTE MENCIONADA EL DAMNIFICADO DESCIENDE DE UN OMNIBUS DE LA LINEA 33 SOBRE LA AV. RAFAEL OBLIGADO A LA ALTURA DE LA AV. SARMIENTO, AL MOMENTO DE DISPONERSE A INGRESAR AL AEROPUERTO A LA ALTURA DE LA CABEZERA SUR SE LE ACERCAN CUATRO INDIVIDUOS LOS CUALES LE SUSTRAEN UN BOLSO Y AL RESISTIRSE AL ROBO LOS MISMOS LO GOLPEAN LEVEMENTE. INMEDIATAMENTE SE DIRIGE AL INGRESO AL AEROPUERTO POR EL PUESTO BRAVO Y SE COMUNICA CON SU ENCARGADO. SIN DAR AVISO EN ESE MOMENTO AL PERSONAL POLICIAL DEL PUESTO EN MENCION. POSTERIORMENTE SIENDO LAS 9:30 HS SE HACE PRESENTE EN ESTA GUARDIA DE PREVENCIONA FIN DE RADICAR LA DENUNCIA CORRESPONDIENTE. SIENDO LAS 10:20 HS SE ENTABLA COMUNICACION CON LA FISCALIA DE TURNO LA CUAL ORDENA COMISIONAR PERSONAL AL LUGAR DEL HECHO, CIERRE Y ELEVACION DE LO ACTUADO</t>
  </si>
  <si>
    <t>SIENDO LA HORA ANTES MENCIONADA SE HACE PRESENTE EL DENUNCIANTE MANIFESTANDO EL EXTRAVIO DE SU PPSA AER PARA LOS SECTORES Nº 1,2,3,4 Y 5, DENTRO DE LAS INSTALACIONES DE ESTE AEROPUERTO, NO RECORDANDO LUGAR NI HORARIO DEL EXTRAVIO. SE LABRA DENUNCIA DE EXTRAVIO Nº 079/10.</t>
  </si>
  <si>
    <t>EN EL DIA DE LA FECHA SIENDO LAS 09:00 HS., CUMPLIMENTANDO ORDEN DE SERVICIO N° 083/10 DE URSA I DEL ESTE Y ORDEN DE SERVICIO N° 127/10 DE ESTA UNIDAD OPERACIONAL SE IMPLEMENTA OPERATIVO DE SEGURIDAD REFERENTE A LA PARTIDA DE LA SEÑORA PRESIDENTE DE LA NACION. EFECTUO SU ARRIBO A LA AEROESTACION MILITAR A LAS 11:30 HS. EN HELICOPTERO DE PREFECTURA, PARTIENDO 11:35 HS EN AERONAVE T-10 CON DESTINO A LA CIUDAD DE LOBERIA. SIN NOVEDAD.</t>
  </si>
  <si>
    <t>LOBERIA</t>
  </si>
  <si>
    <t>TENENCIA DE ESTUPEFACIENTES</t>
  </si>
  <si>
    <t>2884/08</t>
  </si>
  <si>
    <t>PLATAFORMA OPERTATIVA POSICION Nº 35 - GUARDIA DE PREVENCION - MOVIL DE DOTACION Nº 16 DE ESTA UOSP</t>
  </si>
  <si>
    <t>PLATAFORMA OPERATIVA - GUARDIA DE PREVENCION - TRASLADO POR VIA TERRESTRE A UOSP MINISTRO PISTARINI</t>
  </si>
  <si>
    <t>SIENDO LA HORA 10:00 ARRIBA A ESTE AEROPARQUE LA AERONAVE MATRICULA LV- BZR UBICANDOSE EN PLATAFORMA OPERATIVA EN POSICION Nº 35, DEL VUELO ANTES MENCIONADO Y SE IMPLEMENTA ORDEN DE SERVICIO Nº 082/10 FAX PROCEDENTE DE LA URSA I DEL ESTE REFERENTE AL CONTROL DE POLICIA DE SEGURIDAD AEROPORTUARIA CON MOTIVO DE LA CUSTODIA Y TRASLADO DEL CIUDADANO COLOMBIANO CARDENAS TAMAYO, GUILLERMO DE JESUS. SIENDO LAS 13:00 HORAS SE REALIZA EL TRASLADO DEL DETENIDO EN CUESTION, PARTIENDO LA COMISION A TAL EFECTO EN MOVIL DE DOTACION Nº 16 FORD RANGER, RETIRANDOSE DE ESTA UOSP SIN NOVEDAD.</t>
  </si>
  <si>
    <t>AEROPARQUE METROPOLITANO - CABA</t>
  </si>
  <si>
    <t>NO RECUERDA SI EL EXTRAVIO FUE DENTRO O FUERA DE JURISDICCION.</t>
  </si>
  <si>
    <t>SIENDO LA HORA ANTERIORMENTE MENCIONADA SE HACE PRESENTE EL SR ÑLOPEZ A RADICAR LA DENUNCIA DE EXTRAVIO DE SU PERMISO PERSONAL DE SEGURIDAD AEROPORTUARIA, ARROJANDO EXTRAVIO Nº 80/10.</t>
  </si>
  <si>
    <t>AEROPUERTO DE TRELEW</t>
  </si>
  <si>
    <t>SIENDO LA HORA MENCIONADA SE HACE PRESENTE EL SR ALMADA A FIN DE RADICAR LA DENUNCIA POR EL EXTRAVIO DE SU PPSA, LA CUAL ARROJA EL Nº DE EXTRAVIO 81/10</t>
  </si>
  <si>
    <t>813/10</t>
  </si>
  <si>
    <t>EN EL DIA DE LA FECHA SIENDO LAS 15:30 HS. SE CUMPLIMENTA ORDEN DE SERVICIO N° 083/10 DE URSA I DEL ESTE Y ORDEN DE SERVICIO N° 127/10 DE ESTA UNIDAD OPERACIONAL IMPLEMENTANDO OPERATIVO DE SEGURIDAD REFERENTE AL ARRIBO DE LA SEÑORA PRESIDENTE DE LA NACION. EFECTUO SU ARRIBO A LA AEROESTACION MILITAR A LAS 16:00 HS. EN AERONAVE T-10 Y DESPEGANDO DE ESTA AEROESTACION A LAS 16:05 EN HELICOPTERO DE PREFECTURA MATRICULA PA-43 SIN NOVEDAD.</t>
  </si>
  <si>
    <t>CIUDAD DE LOBERIA</t>
  </si>
  <si>
    <t>CIUDAD AUTONOMA DE BUENOS AIRES. AEROPARQUE</t>
  </si>
  <si>
    <t>EN CERCANIAS DE LA PUERTA DE INGRESO Y EGRESO A LA TERMINAL A, QUE LINDA CON EL LOCAL DE NOMBRE BODEGAS ARGENTINAS</t>
  </si>
  <si>
    <t>SENDA PEATONAL</t>
  </si>
  <si>
    <t>QUE ARRIBO A ESTE AEROPUERTO EN UN AUTOMOVIL PARTICULAR EN COMPANIA DE SU CONYUGUE, CON EL MOTIVO DE RECIBIR A SU HIJA, QUE ARRIBARIA A ESTE AEROPUERTO EN UN VUELO DE LA COMPAÑIA AEROCOMERCIAL AIR CANADA. QUE LUEGO DE ESTACIONAR SU AUTOMOVIL PARTICULAR, SE DIRIGE CAMINANDO HACIA LA TERMINAL A, DE ESTE MEDIO. QUE EN ESE TRANSCURSO Y EN MOMENTOS EN QUE SE ENCONTRABA CRUZANDO LA SENDA PEATONAL, SINTIO UN FUERTE GOLPE A LA ALTURA DE SU CABEZA, CAYENDO A CONTINUACION AL SUELO, VISUALIZANDO EN ESOS MOMENTOS QUE SOBRE LA CITADA SENDA HABIA UN VEHICULO DE COLOR BLANCO DE TIPO UTILITARIO. QUE A CONTINUACION FUE ASISTIDA POR PERSONAL MEDICO DE ESTE AEROPUERTO, QUIEN LE RECOMENDO QUE DEBIAN SUTURARLA Y PRACTICARLE UNA TOMOGRAFIA COMPUTADA. A LO CUAL SE NEGO MANIFESTANDO QUERER SER ATENDIDA POR UN MEDICO DE SU CONFIANZA, MOTIVO POR EL CUAL EL PERSONAL MEDICO DE ESTE MEDIO LE PRACTICO LAS PRIMERAS ASISTENCIAS. QUE A CONTINUACION PERSONAL POLICIAL ALLI PRESENTE, IDENTIFICO AL CONDUCTOR DEL VEHICULO EN CUESTION E INVITO A LOS INTERVINIENTES A LA GUARDIA DE PREVENCION A LOS FINES DE REALIZAR LAS ACTUACIONES CORRESPONDIENTES.QUE UNA VEZ EN ESTA GUARDIA DE PREVENCION LA DAMNIFICADA, MANIFESTO NO QUERER INSTAR A LA ACCION PENAL. QUE EL JEFE DE TURNO MANTUVO COMUNICACION TELEFONICA CON EL JUZGADO INTERVINIENTE A QUIEN PUSO EN CONOCIMIENTO DE LOS HECHOS ACAECIDOS. INDICANDO EL MISMO QUE SE LABREN ACTUACIONES SUMARIAS, SE TOME DECLARACION TESTIMONIAL A LA DAMNIFICADA, Y A SU CONYUGUE, SE NOTIFIQUE DE LA FORMACION DE LA CAUSA AL CHOFER DEL AUTOMOVIL QUE ENVISTIO A LA DAMNIFICADA. SE REALICE UNA INCAUTACION PREVENTIVA DEL VEHICULO, Y POSTERIOR ENTREGA A SU PROPIETARIO. QUE EL VEHICULO INVOLUCRADO EN EL ACCIDENTE RESULTO SER UN UTILITARIO, MARCA PEUGEOT, MODELO PARTNER PATAGONICA, DOMINIO COLOCADO ICB 698. QUE A CONTINUACION SE DIO CUMPLIMIENTO A LO IMPARTIDO POR EL AGENTE FISCAL.</t>
  </si>
  <si>
    <t>QUE ARRIBO A ESTE AEROPUERTO INTERNACIONAL, EN UN VEHICULO PARTICULAR, DIRIGIENDOSE A CONTINUACION A LOS MOSTRADORES DE CHEKING, A LOS EFECTOS DE DESPACHAR SUS EQUIPAJES A BODEGA DE LA AERONAVE. QUE UNA VEZ QUE CULMINO CON DICHO TRAMITE RECORRIO LAS INSTALACIONES DE LA TERMINAL A DE ESTE MEDIO, DIRIGIENDOSE POSTERIORMENTE A REALIZAR UNA CONSUMICION, TRANSPORTANDO COMO EQUIPAJE DE MANO UNA MOCHILA DE COLOR ROSADO, LA CUAL EN MOMENTOS DE REALIZAR LA CONSUMICION DEJA A UN COSTADO DE SU CUERPO. QUE EN MOMENTOS EN QUE SE DISPONIA A RETIRARSE DEL SITIO SE PERCATA DEL FALTANTE DE LA MISMA, POR LO QUE A CONTINUACION EMPRENDE UNA BUSQUEDA EXAHUSTIVA POR EL SITIO, NO DANDO CON EL ELEMENTO FALTANTE. QUE A CONTINUACION SE HIZO PRESENTE EN ESTA DEPENDENCIA A LOS FINES DE RADICAR LA DENUNCIA CORRESPONDIENTE.</t>
  </si>
  <si>
    <t>LA 2428</t>
  </si>
  <si>
    <t>POSICION 1</t>
  </si>
  <si>
    <t>EN CUMPLIMIENTO DE LA ORDEN DE SERVICIO 0010/10 Y SIENDO LAS 22:15 HORAS LOCAL ARRIBA AERONAVE AIRBUS A 320 MATRICULA LV-BSJ PERTENECIENTE A LAN ARGENTINA Y EN CUYAS BODEGAS 13, 31 Y 32 SE EMBARCAN 74 PIEZAS CON UN PESO DE 2890 KILOGRAMOS DE METAL-MTD- PERTENECIENTES A LA EMPRESA CERRO VANGUARDIA CON DESTINO EL AEROPUERTO JORGE NEWBERY DE CAPITAL FEDERAL, DESPEGANDO DESDE ESTE AEROPUERTO A LAS 23:17 HORAS LOCAL. EL TRANSPORTE SE REALIZA MEDIANTE LAN CARGO</t>
  </si>
  <si>
    <t>SE PERCATA DEL FALTANTE EN SU DOMICILIO</t>
  </si>
  <si>
    <t>QUE DESPACHA EN LA CIUDAD DE NEW YORK, UN CARRION DE COLOR NEGRO, BAJO MARBETE AA 9001500139, EL CUAL CONTENIA EFECTOS PERSONALES VARIOS. QUE UNA VEZ QUE ARRIBO AL TERRITORIO NACIONAL, Y LUEGO DE RETIRAR SU EQUIPAJE Y DE REALIZAR LOS TRAMITES CORRESPONDIENTES AL INGRESO AL PAIS, SE DIRIGE A SU DOMICILIO, DONDE TRANSCURRIDAS UNAS HORAS DECIDE APERTURAR EL CITADO EQUIPAJE PERCATANDOSE DEL FALTANTE DE UNA BILLETERA, JUNTAMENTE CON SU CONTENIDO. QUE EN EL DIA DE LA FECHA SE HIZO PRESENTE EN ESTA DEPENDENCIA A LOS FINES DE RADICAR LA CORRESPONDIENTE DENUNCIA.</t>
  </si>
  <si>
    <t>AA955</t>
  </si>
  <si>
    <t>NEW YORK</t>
  </si>
  <si>
    <t>INMEDIACIONES DE AV. CORDOBA Y LEANDRO ALEM, CIUDAD AUTONOMA DE BUENOS AIRES</t>
  </si>
  <si>
    <t>EN CIRCUNSTANCIAS QUE SE ENCONTRABA CAMINANDO POR EL CITADO LUGAR EN DIRECCION A LA TERMINAL DE MANUEL TIENDA LEON PARA TOMAR SERVICIO DEL MISMO CON DESTINO A ESTE MEDIO, EN CONDICION DE PASAJERA DE UN VUELO DEL CUAL NO APORTA DATOS, Y ES EN ESOS MOMENTOS QUE ES INTERCEPTADA POR UN MASCULINO DE APROXIMADAMENTE 24 AÑOS DE EDAD, TEZ TRIGUEÑA, PELO CORTO COLOR NEGRO QUIEN LA ARROJA AL SUELO GRITANDO A VIVA VOZ DAME LA CARTERA, POR LO QUE LA DENUNCIANTE EXTRAE DEL INTERIOR DE LA MISMA APROXIMADAMENTE OCHENTA PESOS DANDOLE AL MASCULINO DESCRIPTO DICHO DINERO, QUIEN RAUDAMENTE SE DIO A LA FUGA DEL LUGAR. QUE UNA VEZ CONSTITUIDA EN ESTE MEDIO SE HACE PRESENTE EN EL ASIENTO DE LA GUARDIA A RADICAR LA DENUNCIA.</t>
  </si>
  <si>
    <t>INGRESO AL SECTOR DE ARRIBOS 2</t>
  </si>
  <si>
    <t>EN EL DIA DE LA FECHA SE HACE PRESENTE EL SEÑOR ARTAZA PARA RADICAR UNA DENUNCIA POR UN HECHO OCURRIDO EN EL INGRESO HACIA LA PARTE RESTRINGIDA DEL SECTOR A2, LUGAR DONDE EL DENUNCIANTE SE DESEMPEÑA COMO VIGILADOR DE SASA. SIENDO LAS 23:00 HORAS DEL DIA 12 DEL CORRIENTE MES Y AÑO, UNA PERSONA INTENTA INGRESA AL SECTOR DE ARRIBOS, ALLI ES INTERCEPTADO POR EL SEÑOR ARTAZA QUIEN LE INDICA QUE NO PUEDE INGRESAR YA QUE NO ERA PASAJERO, ANTE LO CUAL ESTA PERSONA COMIENZA A INSULTARLO Y AMENAZARLO DICIENDOLE -VOS SOS UN GIL, YO TRABAJO EN LA FISCALIA. SI YO QUIERO VOS MAÑANA NO VAS A ESTAR TRABAJANDO MAS PELOTUDO-. ES POR ESTA RAZON QUE EL SEÑOR ARTAZA SE HACE PRESENTE EN ESTA GUARDIA DE PREVENCION PARA RADICAR LA CORRESPONDIENTE DENUNCIA PENAL. SIENDO LAS 07:15 HORAS SE REALIZA COMUNICACION CON LA JUDICATURA ACTUANTE, QUIEN ORDENA CIERRE Y ELEVACION.-</t>
  </si>
  <si>
    <t>DRA MERCEDES LOPEZ VEGA</t>
  </si>
  <si>
    <t>HARRINGTON, LILIAN ESTHER S/DCIA</t>
  </si>
  <si>
    <t>ACCESO LATERAL A LA AEORESTACION SECTOR PROXIMO A LA PLAYA DE ESTACIONAMIENTO</t>
  </si>
  <si>
    <t>SECTOR DE PERGOLA DE LA AEROESTACION SALIDA DE PASAJEROS</t>
  </si>
  <si>
    <t>INFORMO SIENDO LAS 03:15 DEL DÍA DE LA FECHA SE HACE PRESENTE LA DENUNCIANTE SOLICITANDO INFORMACIÓN SOBRE UNA PERSONA DE NOMBRE JUAN CARLOS DOMÍNGUEZ. , ESTA PREVENCIÓN QUIEN TENIA YA IDENTIFICADO AL CAUSANTE. SE DIRIGE DONDE SE ENCONTRABA ESTE, PREGUNTÁNDOLE SI HABÍA ENCONTRADO UNA CARTERA, INDICANDO EL MISMO QUE NO. ACTO SEGUIDO, SE REALIZA UNA INSPECCIÓN A LOS REGISTROS FÍLMICOS DEL CTCV EN LA FRANJA HORARIA 00:40 A 01:00 OBSERVÁNDOSE CUANDO ENTRA DOMINGUEZ, CON UN BOLSO DE MANO Y OTRO MAS PEQUEÑO Y LUEGO SE DIRIGE AL LA PARTE EXTERIOR EDIFICIO TERMINAL, CON EL BOLSO MAS PEQUEÑO, INGRESANDO NUEVAMENTE SIN ESTE. SEGUIDAMENTE, SE REALIZA UN RASTRILLAJE POR LA JURISDICCIÓN, ENCONTRANDO DICHA CARTERA. YA EN DEPENDENCIA DEL TURNO DE SEGURIDAD Y EN PRESENCIA DE TESTIGOS HÁBILES Y DE LA DENUNCIANTE, SE APERTURA LA MISMA, MANIFESTANDO LA DUEÑA EL FALTANTE DE DINERO, DOS CHIP DE TELÉFONO Y TRES MONEDAS DE DOS PESOS DE COLECCIÓN. SE PROCEDE A REALIZAR COMUNICACIÓN CON EL JUZGADO INTERVINIENTE, DISPONIENDO QUE LA PERSONA EN FORMA VOLUNTARIA EXHIBA LAS PERTENENCIAS DE SU BOLSO, HECHO ESTE QUE REALIZA LA PREVENCIÓN DONDE SE DA CON EL HALLAZGO DE LOS ELEMENTOS FALTANTES. SE INFORMA AL JUZGADO INTERVINIENTE DEL RESULTADO DISPONIENDO LA DETENCIÓN DEL CAUSANTE EN CARÁCTER DE COMUNICADO Y POSTERIOR TRASLADO A LA POLICÍA JUDICIAL PARA SU ALOJAMIENTO.</t>
  </si>
  <si>
    <t>TOLHUIN PCIA DE TIERRA DEL FUEGO</t>
  </si>
  <si>
    <t>USHUAIA TIERRA DEL FUEGO</t>
  </si>
  <si>
    <t>POSICION 24-PLATAFORMA OPERATIVA</t>
  </si>
  <si>
    <t>SIENDO LAS 10:30 HS APROXIMADAMENTE ARRIBO A ESTA AEROSTACION PROCEDENTE DE LA CIUDAD DE SANTIAGO DE CHILE EL AVION COCA COLA MD 83 MATRICULA F-GMLU TRANSPORTANDO LA COPA DEL MUNDO DEL MUNDIAL DE FUTBOL, MOTIVO POR EL CUAL SE DESPLEGO UN OPERATIVO DE SEGURIDAD CONJUNTAMENTE CON PERSONAL DE LA UOESA CENTRO DE ACUERDO A LO SOLICITADO POR LA U.R.S.A II DEL CENTRO SEGUN ORDEN DE SERVICIO NUMERO 38/10 Y MEMORANDO Nº 252/10. SIENDO APROXIMADAMENTE LAS 12:00HS DESPEGA EL AVION DE MENCION RUMBO A LA CIUDAD DE BS.AS SIN NOVEDAD.</t>
  </si>
  <si>
    <t>DRA. NORMA NOFAL DE CATTANEO</t>
  </si>
  <si>
    <t>INVESTIGACION PRESUNTA INFRACCION LEY 23737</t>
  </si>
  <si>
    <t>EXPTE. 27-I-09</t>
  </si>
  <si>
    <t>LOCALIDAD DE USPALLATA MENDOZA - PROVINCIA DE MENDOZA</t>
  </si>
  <si>
    <t>KILÓMETRO 1148 DE LA RUTA NACIONAL N° 7</t>
  </si>
  <si>
    <t>SIENDO EL DIA 13 DE FEBRERO DEL CORRIENTE AÑO PERSONAL DE LA POLICIA DE SEGURIDAD AEROPORTUARIA EN EL SUBINSPECTOR MARTIN MIGNATON Y DEL OF. JEFE DANIEL ZARATE EN CONJUNTO CON PERSONAL DE LA ADUANA EN LA FIGURA DEL SR. LUCIANO MAURINO JEFE DE INVESTIGACION DE ADUANA EN MENDOZA PROCEDIERON A REALIZAR CONTROL SOBRE LOS TRANSPORTE DE LARGA DISTANCIA DE PASAJEROS ANDESMAR SEGUN LO MANIFESTADO EN ORDEN DE SERVICIO Nº 2/2010 DE FECHA 12 DE FEBRERO DEL CORRIENTE. EL PRESENTE SE LLEVO ADELANTE DEBIDO A QUE SE TOMO CONOCIMIENTO DEL INGRESO A LA REPUBLICA ARGENTINA DE LA SRA. DEBORAH BIRSS DE NACIONALIDAD CANADIENSE, LA CUAL HABRIA ESTADO INVOLUCRADO EN LOS ANTERIORES HECHOS DETECTADOS EN LOS AEROPUERTO DE MENDOZA Y CORDOBA, CUANDO PASAJEROS DE NACIONALIDAD CANADIENSE INTENTARON SACAR DEL PAIS MATERIAL ESTUPEFACIENTE. UNA VEZ REUNIDA LAS PARTES SE ACORDO LLEVAR ADELANTE EL CONTROL AL INGRESO DE LA LOCALIDAD DE USPALLATA, LUGAR DONDE SE ENCUENTRA PUESTO POLICIAL. UNA VEZ IDENTIFICADA LA SRA. BIRSS SE PROCEDIO A REALIZAR UN CONTROL SOBRE SU PERSONA Y PERTENENCIAS, DETECTANDOSE QUE EN EQUIPAJE DE BODEGA MATERIAL ESTUPEFACIENTE CON LA MODALIDAD DE DOBLE FONDO. EL CITADO PROCEDIMIENTO FUE REALIZADO EN PRESENCIA DE DOS TESTIGOS. SE HIZO PRESENTE EN EL LUGAR ADEMAS DE LA POLICA QUE SE ENCONTRABA EN EL PUESTO POLICIAL, PERSONAL DE NARCOCRIMINALIDAD DE LA PROVINCIA DE MENDOZA. CON RESPECTO AL TRASLADO DE LA DETENIDA LA MISMA SERA TRASLADADA POR PERSONAL POLICIAL DE LA PROVINCIA DE MENDOZA PARA QUE SE PRACTIQUE LA REVISACION MEDICA CORRESPONDIENTE Y A POSTERIOR EL TRASLADO HASTA LA U-32 EN DONDE QUEDARA ALOJADA, PERMANECIENDO EN CARACTER DE COMUNICADA.</t>
  </si>
  <si>
    <t>SIENDO LA HORA INDICADA EN MOMENTOS EN QUE LOS OFICIALES LUJAN Y FERNANDEZ SE ENCONTRABAN ESCANEANDO LOS EQUIPAJES DEL VUELO DE MENCION LOS MISMOS OBSERVAN POR EL MONITOR DE LA MAQUINA DE RX, DENTRO DE UN CARRION RIGIDO COLOR GRIS, SUSTANCIA ORGANICA, SIN PODER LOS MISMOS IDENTIFICAR EL TIPO DE SUSTANCIA. QUE ANOTICIADO EL JUZGADO INTERVINIENTE ORDENA SE PROCEDA A LA REQUISA DEL EQUIPAJE Y UNA VEZ IDENTIFICADA LA PASAJERA PROPIETARIA DEL MISMO, SE LA TRASLADA AL TURNO Y SE APERTURA EL EQUIPAJE COMPROBANDO QUE EN LA TAPA Y EL FONDO, BAJO EL FORRO DEL MISMO SE HALLABA UNA SUSTANCIA DE COLOR NEGRO ADOSADA AL CUERPO DEL CARRION LA CUAL SE SOMETE A REACTIVO DE CAMPO PARA COCAINA ARROJANDO EL MISMO RESULTADO POSITIVO. SE DEJA CONSTANCIA QUE POR EL TIPO SE SUSTANCIA LA MISMA NO SE SEPARA DEL ELEMENTO CONTENEDOR. SOMETIDA LA VALIJA A PESAJE ARROJA UN PESO DE 9200 GRAMOS. ANOTICIADO EL JUZGADO INTERVINIENTE DISPONE SE PROECEDA A DAR INTERVENCION AL PERSONAL DE DELITOS COMPLEJOS DE ESTA POLICIA, SE DETENGA A LA PASAJERA EN CARACTER DE INCOMUNICADA, QUE LA DETENIDA SEA REMITIDA EL DIA LUNES PROXIMO JUNTAMENTE CON LOS ELEMENTOS DE INTERES PARA LA CAUSA Y SUMARIO. SEGUN PU 856 AMPLIATORIO SE TRASLADO A EL DETENIDO A SEDE JUDICIAL EL DIA 15/02/10 A LAS 0730 HS.</t>
  </si>
  <si>
    <t>CALABRIA</t>
  </si>
  <si>
    <t>FISCALIA DE INVESTIGACION PROVINCIAL Nº 5</t>
  </si>
  <si>
    <t>Maria Nelida</t>
  </si>
  <si>
    <t>ROSANA GUADALUPE FABRIS</t>
  </si>
  <si>
    <t>ACCIDENTE FATAL</t>
  </si>
  <si>
    <t>EXP 130/24-503-E-10</t>
  </si>
  <si>
    <t>CAMINO DE INGRESO AL AEROPUERTO A 20 METROS DE LA RUTA 11.</t>
  </si>
  <si>
    <t>SE TOMA CONOCIMIENTO QUE SE HABRIA PRODUCIDO UN ACCIDENTE, ANTE ESTA CIRCUNSTANCIA EL JEFE DE TURNO CONJUNTAMENTE CON EL CHOFER DE TURNO EN EL MOVIL DE DOTACION SE PRESENTAN EN EL LUGAR DISTANTE A TRES KILOMETROS DE LA AEROSTACION EN DONDE SE ENTREVISTAN CON PERSONAL DE LA COMISARIA SECCIONAL CUARTA DE LA POLICIA DE LA PROVINCIA DEL CHACO QUIENES PONEN EN CONOCIMIENTO QUE MOMENTOS ANTES UNA PERSONA DE SEXO MASCULINO DE 50 AÑOS DE EDAD APROXIMADAMENTE VENIA CIRCULANDO EN UNA MOTOCICLETA MARCA HONDA MODELO WAVE Y CHOCO CON UNA ESTRUCTURA DE HIERRO QUE ANTIGUAMENTE ERA BASE DE UN CARTEL QUE SE ENCUENTRA EN EL LUGAR PRODUCIENDOSE EL DECESO INMEDIATO DE ESTA PERSONA. POR ORDEN DE LA FISCALIA EN TURNO QUE SE HIZO PRESENTE EN EL LUGAR LAS ACTUACIONES LAS REALICE LA COMISARIA 4º DE LA POLICIA DE LA PROVINCIA DEL CHACO.</t>
  </si>
  <si>
    <t>SECTOR COLINDANTE CON EL ANAC</t>
  </si>
  <si>
    <t>PUESTO PASO</t>
  </si>
  <si>
    <t>MEDIANTE UN CONTROL DE RUTINA SE DETECTA EN EL PUESTO PASO DE ESTA AEROSTACION A UNA PERSONA DE SEXO MASCULINO QUE SE RETIRABA POR EL SECTOR DE MENCION Y AL SER CONTROLADO SU PERMISO PERSONAL PERMANENTE SE CONSTATA QUE LA MISMA SE ENCONTRABA VENCIDA CON FECHA 01-12 -09, A RAIZ DE LOS SUCEDIDO SE LE CONFECCIONO ACTA DE INFRACCION Nº02/10, POR INFRACCION AL ART 58 INC 2 ESTIPULADA COMO FALTA GRAVISIMA. ESTA CREDENCIAL SE ENCONTRABA A NOMBRE DE GABRIELI DIEGO, DNI N 27.551.968 , PERSONAL PERTENECIENTE A LA FUERZA AEREA ARGENTINA , ZONA 1,2,3,4,5 Y 6. ASIMISMO NO SE CUENTA CON DATOS DE ESTADO CIVIL Y FECHA DE NACIMIENTO.</t>
  </si>
  <si>
    <t>DR. JORGE DAMORE</t>
  </si>
  <si>
    <t>SECTOR DE ARRIBOS Y CONTROL DE ADUANA DE LA TERMINAL B</t>
  </si>
  <si>
    <t>CINTA DE ARRIBOS DE EQUIPAJE NUMERO 1</t>
  </si>
  <si>
    <t>QUE LLEGADA A ESTE MEDIO, UNA VEZ EN LA CINTA DE EQUIPAJES DE LA TERMINAL B, PROCEDE A RETIRAR DE LA MISMA SU EQUIPAJE DESPACHADO, SITUACION EN LA CUAL, AL QUERER HACERSE DE UNA DE SUS VALIJAS, PROCEDE A COLOCAR SU CARTERA SOBRE EL CARRO PORTAMALETAS QUE LLEVABA CONSIGO VOLTEANDOSE HACIA SU LADO OPUESTO AL QUE SE ENCONTRABA, PERDIENDO DE VISTA SU CARTERA. QUE CUANDO VUELVE NUEVAMENTE SU VISTA HACIA LA CARTERA, HABIENDO TRANSCURRIDO UNOS DIEZ SEGUNDOS APROXIMADAMENTE, SE PERCATA DEL FALTANTE DE ESTA.</t>
  </si>
  <si>
    <t>AR 1365</t>
  </si>
  <si>
    <t>EZEIZA - BUENOS AIRES.</t>
  </si>
  <si>
    <t>NAC DE 1º INST EN LO CRIMINAL DE INST Nº 43</t>
  </si>
  <si>
    <t>Garcia de la Torre</t>
  </si>
  <si>
    <t>Pablo</t>
  </si>
  <si>
    <t>PANDOLFI</t>
  </si>
  <si>
    <t>MARIA CAROLINA</t>
  </si>
  <si>
    <t>INFRACCION LEY Nº 23737</t>
  </si>
  <si>
    <t>SALA DE PREEMBARQUE</t>
  </si>
  <si>
    <t>DURANTE CONTROL DE RUTINA EN EL PREEMBARQUE, SE DETECTA A UN PASAJERO IDENTIFICADO COMO SANTORO SEBASTIAN PABLO, QUIEN LLEVA OCULTO ENTRE SUS ROPAS UN BAGULLO Y UN RECIPIENTE DE PLASTICO TRANSPARENTE CONTENIENDO SUSTANCIA DE ORIGEN VEGETAL PROCEDIENDO A REALIZAR PRUEBA DE CAMPO CON NARCO-TEST PARA MARIHUANA ARROJANDO RESULTADO POSITIVO, QUE ENTRE LOS ELEMENTOS TAMBIEN LLEVABA UNA CAJA DE CIGARRILLOS MARCA PHILPS MORRIS LA QUE EN SU INTERIOR CONTENIA TRES CIGARRILLOS DEL TOPO AGUJA ARMADOS CON LA MISMA SUSTANCIA Y NUEVE RESTOS DE CIGARRILLOS CONSUMIDOS DEL TIPO TUCA, QUE AL MOMENTO DE SER PESADOS ARROJARON UN PESO TOTAL DE CUARENTA GRAMOS APROXIMADAMENTE, EN FORMA INMEDIATA SE PROCEDE A CONVOCAR LA PRESENCIA DE DOS TESTIGOS HABILES Y DAR LA CORREPONDIENTE COMUNICACION AL JUZGADO FEDERAL DE NEUQUEN.</t>
  </si>
  <si>
    <t>CLAUDIA NOFAL DE CATANNEO</t>
  </si>
  <si>
    <t>INFRACCION A LA LEY 23737</t>
  </si>
  <si>
    <t>PUERTAS 3-4 DE CABOTAJE</t>
  </si>
  <si>
    <t>DURANTE EL CONTROL DE RUTINA DEL PREEMBARQUE A LOS PASAJEROS Y EQUIPAJES DE MANO DEL VUELO Y EMPRESA DESCRIPTOS ANTERIORMENTE, Y EN MOMENTOS EN QUE UN PASAJERO PASA LA MOCHILA POR LA MAQUINA DE RAYOS X, SE OBSERVA UN ELEMENTO PUNZOCORTANTE, POR ESTE MOTIVO SE LE INFORMA AL PASAJERO QUE SE DEBERA REALIZAR UN REGISTRO MANUAL DEL MISMO A LO QUE ACCEDE VOLUNTARIAMENTE, DURANTE EL REGISTRO EL PERSONAL DE PREEMBARQUE OBSERVA UN ENVOLTORIO DE CIGARRILLOS Y DENTRO DE ESTE SE OBSERVA UN CIGARRO DE ARMADO ARTESANAL, POR ESTE MOTIVO SE SOLICITO LA PRESENCIA DE TESTIGOS HABILES PARA LA CAUSA Y UNA VEZ QUE ESTOS SE ENCONTRABAN EN EL LUGAR SE LE PREGUNTO AL PASAJERO SI RECONOCIA LA MOCHILA Y LOS ELEMENTOS EN SU INTERIOR COMO PROPIO, A LO QUE CONTESTO QUE SI, POR ESTE MOTIVO Y DELANTE DE LOS TESTIGOS SE EXTRAE DEL INTERIOR DE LA MOCHILA EL ENVOLTORIO DE CIGARRILLOS CON EL CIGARRO ARMADO ARTESANALMENTE Y AL CUAL SE LE PRACTICA REACTIVOS ORIENTATIVOS DE CAMPO ESPECIFICO PARA MARIHUANA, DANDO RESULTADO POSITIVO, UN MOMENTO DESPUES SE TRASLADAN HASTA LA OFICINA DE GUARDIA AL CAUSANTE Y SUS ELEMNTOS, JUNTO A LOS TESTIGOS, POR ESTE MOTIVO SE REALIZA COMUNICACION CON LA AUTORIDAD JUDICIAL EN TURNO, ENTABLANDO COMUNICACION CON LA SEÑORA SECRETARIA, A QUIEN SE LE INFORMAN LOS HECHOS Y QUIEN DISPONE: 1º SE INICIEN ACTUACIONES DE RIGOR, 2º SE REALICE LA CONSTATACION DE DOMICILIO DEL CAUSANTE, 3º SE CITE AL MISMO A PRESENTERASE ANTE EL MAGISTRADO INTERVINIENTE EN CUALQUIER MOMENTO DESDE EL LUNES 15/02/10 HASTA EL VIERNES 19/02/10 EN HORARIO DE 08:00 A 12:00 HORAS Y 4º SE ELEVEN LAS ACTUACIONES AL FINALIZAR LAS MISMAS, A LO QUE SE LE DA ESTRICTO CUMPLIMIENTO. UN MOMENTO DESPUES Y SIEMPRE EN PRESENCIA DE LOS TESTIGOS SE SOLICITA AL SERVICIO MEDICO DEL AEROPUERTO LA EXTENSION DEL CERTIFICADO MEDICO PRECARIO DE CONSTATACION DE LESIONES. POSTERIOR A ELLO SE PROCEDE A DAR LECTURA DE LA NOTIFICACION DE CAUSA Y LA CITACION DEL IMPUTADO Y LUEGO SE REALIZA EL SECUESTRO DE LOS ELEMENTOS UTILES PARA LA CAUSA. SE DA AVISO A JEFE DE TURNO EZEIZA SIENDO EL MISMO EL OFICIAL JEFE DIEGO DELL ERBA PARA RELIZAR CONSTATACION DE DOMICILIO MEDIANTE MEMORANDO VIA FAX Nº 118/10 A LA UOSP EZEIZA . POSTERIOR A ELLO Y SIENDO LAS 13:05 SE COMUNICA EL JEFE DE TURNO DE LA USOP EZEIZA DICIENDO QUE LA CONSTATACION DE DOMICILIO ES POSITIVA SEGUN LO MANIFESTADO POR EL CAUSANTE. UN MOMENTO DESPUES SE DEJA EN CALIDAD DE LIBRE DE ACCION AL CAUSANTE.EL MISMO Y SIENDO LAS 13:50 EMBARCA EN VUELO DE AEROLINEAS ARGENTINA Nº 2417 CON DESTINO FINAL A LA CIUDAD DE BUENOS AIRES-AEROPARQUE</t>
  </si>
  <si>
    <t>AR2405</t>
  </si>
  <si>
    <t>AEROPARQUE - C.A.B.A. - BUENOS AIRES</t>
  </si>
  <si>
    <t>MINISTERIO PUBLICO FISCAL - TRELEW</t>
  </si>
  <si>
    <t>IBAÑEZ</t>
  </si>
  <si>
    <t>CLAUDIA</t>
  </si>
  <si>
    <t>CASERES DAVID S/DCIA PRESUNTO HURTO - AEROPUERTO TRELEW</t>
  </si>
  <si>
    <t>CASERES DAVID S/DCIA HURTO TRELEW</t>
  </si>
  <si>
    <t>UOSP TRELEW</t>
  </si>
  <si>
    <t>ARRIBOS</t>
  </si>
  <si>
    <t>SIENDO LAS 22:45 HORAS SE PRESENTA EN LA GUARDIA PREVENTIVA EL SR. CASERES DAVID EN CARACTER DE PASAJERO RECIEN ARRIBADO EN VUELO, QUIEN RADICA DENUNCIA POR FALTANTE DE UN CELULAR ELEMENTO QUE SE ENCONTRABA EN EL INTERIOR DE SU EQUIPAJE DESPACHADO POR BODEGA IDENTIFICADO CON MARBETE Nº AR 717771 DÁNDOSE INTERVENCIÓN AL MINISTERIO PÚBLICO FISCAL FUNCIONARIA ACTUANTE DRA. CLAUDIA IBAÑEZ QUIEN ORDENA TOMAR LA DENUNCIA Y REALIZAR ACTUACIONES DE RIGOR, LUEGO REMITIR LO ACTUADO A DICHA FISCALÍA.</t>
  </si>
  <si>
    <t>AR 1866</t>
  </si>
  <si>
    <t>BUENOS AIRES AEROPARQUE JORGE NEWBERY</t>
  </si>
  <si>
    <t>ROCCHI</t>
  </si>
  <si>
    <t>EN LA AVENIDA SAN MARTIN E INTERCEPCION DE LA CALLE GUIDO SPANO PARTIDO DE SAN MARTIN PBA</t>
  </si>
  <si>
    <t>SIENDO LA 2330 HORAS LA OFICIAL ALFONSO ANTONELLA AL MOMENTO DE DESCENDER DEL OMNIBUS LINEA 107, SE DIRIGE HACIA EL DOMICILIO DE SU TIA Y AL MOMENTO DE LLEGAR A LA AVENIDA SAN MARTIN E INTERCEPCION CON LA CALLE GUIDO SPANO EN PARTIDO DE SAN MARTIN PBA, SE LE ACERCAN DOS MASCULINO LOS CUALES LE SUSTRAEN UNA MOCHILA CON SUS PERTENENCIAS, ENTRE LAS CUALES SE ENCUENTRA EL PERMISO PERSONAL DE SEGURIDAD AEROPORTUARIA Y PARTE DE SU UNIFORME DE SERVICIO. SIENDO LAS 15:20 HORAS SE ENTABAL COMUNICACION CON EL DR. ROCCHI SECRETARIO DE LA FISCALIA DE TURNO EL CUAL DISPONE QUE SEA PLASMADO EN DENUNCIA EL LUGAR DEL HECHO CIERRE Y ELEVACION DE LO ACTUADO.</t>
  </si>
  <si>
    <t>PUNTO DE INSPECCION CONTROL Y REGISTRO PREEBARQUE DEL B.</t>
  </si>
  <si>
    <t>EN UN CONTROL DE RUTINA, EN EL PREEMBARQUE SE HACE PRESENTE ESTE INDIVIDUO, QUIEN AL TRASPASAR EL ARCO DETECTOR DE METALES, HACE ACTIVAR LA ALARMA SONORA Y LUMINICA DEL MISMO. ANTE ESTE EVENTO EL FUNCIONARIO POLICIAL ABOCADO EN EL LUGAR, PROCEDE A REALIZARLE UN CHEQUEO POR SOBRE SUS ROPAS, NOTANDO QUE A LA ALTURA DE SUS MUSLOS, PRESENTABA UNA PROTUBERANCIA NO CORRESPONDIENTE A SU FISIONOMIA, MOTIVO POR EL CUAL, SE CONVOCA LA PRESENCIA DE DOS TESTIGOS Y EN POSTERIOR SE TRASLADA AL INDIVIDUO AL TURNO DE PREVENCION. SEGUIDAMENTE, Y PREVIA AUTORIZACION JUDICIAL SE PROCEDE A LA REQUISA DEL MISMO, DE LA CUAL SE DESPRENDE QUE ESTE SUJETO PRESENTABA ADHERIDO A SU CUERPO SUJETADO A SU VEZ POR CINTA MEDICA COLOR BLANCA, LA CUAL UNA VEZ QUITADA, SE LOGRA OBSERVAR UN TOTAL DE SEIS PAQUETES DE 25 X 15 CM APROXIMADAMENTE, COLOCADOS EN AMBOS GLUTEOS, MUSLOS Y ENTREPIERNAS. QUE LUEGO DE SER RETIRADOS SE LOS SOMETIO A PRUEBA DE CAMPO CON RECTIVO PARA COCAINA, ARROJANDO EN TODOS LOS CASOS POSITIVO. QUE UNA VEZ ANOTICIADO EL JUZGADO EN TURNO, EL MISMO DISPUSO SE DETENGA AL PASAJERO EN CALIDAD DE INCOMUNICADO, SE INICIEN LAS ACUTUACIONES DE RIGOR, Y QUE EL MISMO SEA TRASLADADO EL DIA 15 DEL CORRIENTE MES Y ANO A SEDE TRIBUNALICIA A PRIMERA HORA DEL DIA. SEGUN PU 857 AMPLIATORIO, EL DIA 15 DE FEBRERO DEL CORRRIENTE SIENDO LAS 0730 HS. SE PROCEDIO AL TRASLADO DEL DETENIDO A SEDE JUDICIAL</t>
  </si>
  <si>
    <t>SIENDO LA HORA ANTERIORMENTE MENCIONADA SE DA CUMPLIMENTO A LA ORDEN DE SERVICIO Nº 089/10 DE LA URSA I DEL ESTE CON RELACION AL CONTROL DE POLICIA DE SEGURIDADA AEROPORTUARIA POR PARTIDA DE LA SRA. PRESIDENTE DE LA NACION A LA CIUDAD DE EL CALAFATE, ARRIBANDO A ESTA AEROESTACION EN HELICOPTERO H-03 ALAS 1550 Y PARTIENDO DE ESTE AEROPUERTO ALA LAS 1605 EN AERONAVE MATRICULA T-01 SIN NOVEDAD</t>
  </si>
  <si>
    <t>DR JUAN PABLO CAROVANO</t>
  </si>
  <si>
    <t>EXPEDIENTE</t>
  </si>
  <si>
    <t>66030 00 76758</t>
  </si>
  <si>
    <t>ACTA DE NOTIFICACION POR PEDIDO DE CAPTURA</t>
  </si>
  <si>
    <t>perimetro del aeropuerto</t>
  </si>
  <si>
    <t>ARRIBA T-01 CON LA SRA PRESIDENTA DE LA NACION Y COMITIVA S/N PERNOCTANDO AERONAVE EN ESTE AEROPUERTO HASTA EL DIA 15 DEL CORRIENTE MES.-</t>
  </si>
  <si>
    <t>843/10</t>
  </si>
  <si>
    <t>SE AMPLIA PU Nº 843: EL MAGISTRADO INTERVINIENTE DISPONE QUE SE PROCEDA A LA DETENCION EN CARACTER DE INCOMUNICADO DEL IMPUTADO, SE CONSTATE SU DOMICILIO Y ANTECEDENTES, SE LO NOTIFIQUE QUE SE ENCUENTRA AFECTADO A LAS ACTUACIONES, Y SE PROCEDA A SU LIBERACION UNA VES CUMPLIDO LO ORDENADO. SE ENVIO MEMORANDO 0038/2010 AL TURNO PSA DE AEROPARQUE Y SE RECIBE RESPUESTA POSITIVA SOBRE LA CONSTATACION DEL DOMICILIO, VIA FAX. SE VERIFICO EN LA RED LINCE LOS DATOS DEL IMPUTADO Y NO SE REGISTRARON ANTECEDENTES DEL MISMO, LUEGO SE LO NOTIFICA DE QUE QUEDA SUJETO A LAS ACTUACIONES FIJANDO DOMICILIO LEGAL Y PREVIA REVISION MEDICA DE INGRESO Y EGRESO, SIENDO LAS DIECISEIS HS LOCAL, SE PROCEDIO A SU LIBERACION, EN TODO DE ACUERDO A LO ORDENADO POR EL JUEZ FEDERAL INTERVINIENTE.</t>
  </si>
  <si>
    <t>SANCHEZ GARCIA MIGUEL ANGEL S/TENTATIVA DE CONTRABANDO DE ESTUPEFACIENTES</t>
  </si>
  <si>
    <t>TENTATIVA DE CONTRABANDO DE ESTUPEFACIENTES.</t>
  </si>
  <si>
    <t>PATIO DE VALIJAS NORTE</t>
  </si>
  <si>
    <t>EN CIRCUNSTANCIAS EN QUE SE REALIZABA EL CONTROL DE EQUIPAJES A BODEGA PARA LA COMPANIA Y VUELO DE MENCION, ES DETECTADO A TRAVEZ DE MAQUINA DE RAYOS X LA PRECENCIA CUERPOS EN FORMA IRREGULAR DE TIRAS DE SUSTANCIA DEL TIPO ORGANICA DENTRO DE DOS VALIJAS PERTENECIENTES A UN MISMO PASAJERO. MOTIVO POR EL CUAL SE PUSO EN CONOCIMIENTO AL JUZGADO PENAL ECONOMICO EN TURNO, AUTORIZANDO A LA REQUISA DE LOS MISMO. RESULTANDO TRATARSE DE OCHO CAMPERAS DISTRIBUIDAS ENTRE LAS DOS VALIJAS DE MENCION, LAS CUALES TRANSPORTABAN OCULTAS EN SU INTERIOR SUSTANCIAS PROHIBIDAS. AMPLIACION SEGUN PU Nº 858 SIENDO LAS 0730 HORAS DEL DIA 15/02/10 SE PROCEDIO AL TRASLADO DEL DETENIDO A SEDE JUDICIAL. AMPLIACION SEGUN PU Nº 1385 SIENDO EL DIA 10/03/10 OFICIO JUDICIAL ORDENA TAREAS INVESTIGATIVAS A FIN DE IDENTIFICAR AL CHOFER DEL VEHICULO MARCA FIAT DOMINIO GOC-390 COLOR BLANCO CON EL FIN DE QUE PRESTE DECLARACION TESTIMONIAL.</t>
  </si>
  <si>
    <t>JORGE D AMORE</t>
  </si>
  <si>
    <t>TENENCIA DE ARMA DE FUEGO PARA USO CIVIL ART 189 CPN</t>
  </si>
  <si>
    <t>PREEMBARQUE B</t>
  </si>
  <si>
    <t>EN MOMENTOS EN QUE SE REALIZABA EL CONTROL EN EL PUNTO DE INSPECCION Y REGISTRO DENOMINADO PREEMBARQUE B, A LOS PASAJEROS QUE SE DISPONIAN A ABORDAR EL VUELO DE LA COMPANIA AEROCOMERCIAL DE MENCION, SE DETECTA A TRAVES DE LA MAQUINA DE RAYOS X, QUE EN UN EQUIPAJE DE MANO DE LOS DENOMINADOS COMUNMENTE PORTA NOTEBOOK LA EXISTENCIA DE UN ARMA DE FUEGO EN SU INTERIOR, POR LO QUE SE PROCEDIO A LA INMEDIATA DETENCION DEL PROPIETARIO DEL MISMO.PU 859 CUMPLO EN INFORMAR QUE SIENDO LAS 0745 HORAS DEL 15-FEB-10, EN CUMPLIMIENTO A LO ORDENADO POR S. SA, SE PROCEDIO AL TRASLADO DEL DETENIDO EN AUTOS A SEDE JUDICIAL.</t>
  </si>
  <si>
    <t>837/10</t>
  </si>
  <si>
    <t>CUMPLO EN INFORMAR QUE SIENDO LAS 07:30 HORAS DEL 15/02/10, EN CUMPLIMIENTO A LO ORDENADO POR S.SA, SE PROCEDIO AL TRASLADO DEL DETENIDO EN AUTOS A SEDE JUDICIAL.</t>
  </si>
  <si>
    <t>847/10</t>
  </si>
  <si>
    <t>PUNTO DE INPECCION CONTROL Y REGISTRO PREEBARQUE DEL B.</t>
  </si>
  <si>
    <t>852/10</t>
  </si>
  <si>
    <t>TENTATIVA DE CONTRAVANDO</t>
  </si>
  <si>
    <t>PATIO DE VALIJA NORTE</t>
  </si>
  <si>
    <t>853/10</t>
  </si>
  <si>
    <t>CUMPLO EN INFORMAR QUE SIENDO LAS 07:45 HORAS DEL 15/02/10, EN CUMPLIMIENTO A LO ORDENADO POR S.SA, SE PROCEDIO AL TRASLADO DEL DETENIDO EN AUTOS A SEDE JUDICIAL.</t>
  </si>
  <si>
    <t>831/10</t>
  </si>
  <si>
    <t>PULMON, PLAYA DE ESTACIONAMIENTO DE SALA VIP.</t>
  </si>
  <si>
    <t>SIENDO LAS 09:19 HORAS ARRIBO A ESTA AEROESTACION LA AERONAVE MD-83, MATRICULA FG-MLU PORTANDO LA COPA DEL MUNDO. LA MISMA PERMANECERA ESTACIONADA EN POSICION 24 HASTA EL 16 DE FEBRERO A LAS 12:20 HORAS APROXIMADAMENTE. POR SU PARTE LA CAPSULA SE RETIRO SIN NOVEDAD. EL PROCEDIMIENTO SE REALIZO ATENTO A LA ORDEN DE SERVICIO URSA Nº 038/10.</t>
  </si>
  <si>
    <t>EN EL DIA DE LA FECHA SE PRESENTA EL SEÑOR CORIGLIANO PARA DENUNCIAR EL EXTRAVIO DE UN PERMISO PERSONAL DE SEGURIDAD AEROPORTUARIA A SU NOMBRE. LA PERDIDA SE PRODUJO EL DIA 3 DE FEBRERO DEL CORRIENTE AÑO, NO RECORDANDO LA HORA, FUERA DE LAS INSTALACIONES DE ESTE AEROPUERTO METROPOLITANO. SE LABRA DENUNCIA DE EXTRAVIO Nº 84/10.-</t>
  </si>
  <si>
    <t>381/10</t>
  </si>
  <si>
    <t>S/SUP. INFRACCION A LA LEY 22.415 Y/O 23.737</t>
  </si>
  <si>
    <t>065/10</t>
  </si>
  <si>
    <t>SE PROCEDE A LA APERTURA DE TRES ENCOMIENDAS DEL CORREO OFICIAL RETENIDAS EL 21/01/10 INFORMADO EN PU Nº 372/10, EN VIRTUD DE LO ORDENADO EN EL OFICIO JUDICIAL S/N DEL MAGISTRADO ACTUANTE Y EN PRESENCIA DE UN TESTIGO HABIL. LA 1ª EP722138124AR RTTE. MODESTA VARGAS, BELGRANO Nº 1378, Bº SANJUAN, C.P. 4603, EL CARMEN, JUJUY Y DEST. ARTURO AGUILAR, LIBERTAD Nº 930, C.P. 9420, RIO GRANDE TIERRA DEL FUEGO, CONTIENE: UN PAQUETE DE POCHOCLO Y 4 PAQUETES DE HOJAS DE COCA CON UN PESO TOTAL DE 1.001 GRS..LA 2 ª EP698257146AR RTTE. NICOLAS ENRIQUEZ, SALTA CAPITAL, C.P. 4.400 Y DEST. CRISTIAN FIDEL BURGOS, RINCON DE LOS SAUCES PROVINCIA DE NEUQUEN, C.P. 8319, CONTIENE: 7 PAQUETES DE HOJAS DE COCA CON UN PESO TOTAL DE 1.717 GRS.. LA 3ª EP702526005AR RTTE. VICTORIA BENICIO, Bº CENTRO, AV. GUEMES Nº 317, ABRA PAMPA, S.S. DE JUJUY, C.P. 4640 Y DEST. HAYDEE PIÑERO, Bº PEVET, CASA Nº 17, SANTA CRUZ, LA HERAS, C.P. 9017, CONTIENE: 2 PAQUETES DE POCHOCLOS, 2 POMADAS MARCA BELLADONA DE INDUSTRIA BOLIVIANA, 2 PAQUETES DE GELATINA CON UN PESO DE 250 GRS. C/U, A LOS QUE SE LES REALIZO PRUEBA DE CAMPO PARA COCAINA CON RESULTADO NEGATIVO Y 4 PAQUETES DE HOJAS DE COCA CON UN PESO TOTAL DE 1.068 GRS.. LAS ENCOMIENDAS SERAN PUESTAS A DISPOSICION DE LA ADUANA DE SALTA POR SUP. INFRACCION A LA LEY 22.415, CODIGO ADUANERO Y LAS ACTUACIONES REMITIDAS A SEDE JUDICIAL. CON CONOCIMIENTO DEL JUOSP.</t>
  </si>
  <si>
    <t>ACTA DE INFRACCION - MEDIOAMBIENTE</t>
  </si>
  <si>
    <t>CONTROL CON SACN VAN EN EL AREA DE MOVIMIENTO</t>
  </si>
  <si>
    <t>SE PROCEDE AL SECUESTRO DE UN CARDON DE 1 METRO DE ALTO POR 12 CENTIMETROS DE ANCHO DETECTADO EN EL CONTROL A LOS EQUIPAJES DESPACHADOS POR BODEGA CON EL EQUIPO DE RX DE DOTACION SCAN VAN, EN VIRTUD DE LO DISPUESTO POR LA LEY PROVINCIAL 7.070. SE LABRA EL ACTA CORRESPONDIENTE, SE INFORMA AL MAGISTRADO DE TURNO Y QUEDA EL ELEMENTO EN GUARDA Y CUSTODIA EN EL DEPOSITO JUDICIAL DE ESTA UNIDAD QUE POSTERIORMENTE SERA ENTREGADO A LA SECRETARIA DE POLITICA AMBIENTAL DEL GOBIERNO DE LA PROVINCIA DE SALTA.CON CONOCIMIENTO DEL JUOSP.</t>
  </si>
  <si>
    <t>JUZGADO FEDERAL 1ERA INSTANCIA DE QUILMES</t>
  </si>
  <si>
    <t>ARMELLIA</t>
  </si>
  <si>
    <t>Luis</t>
  </si>
  <si>
    <t>MAXIMILIANO ITURBURU</t>
  </si>
  <si>
    <t>MINISTERIO PUBLICO FISCAL S/SOLICITA EN CAUSA NRO. 05/07 - L.R.D. O C.C.D. - LA ESCUELITA.</t>
  </si>
  <si>
    <t>05/07 INC. 173</t>
  </si>
  <si>
    <t>UNIDAD OPERACIONAL ANTITERRORISTA Y DE CONTROL DE ACTIVIDADES QUE ATENTEN CONTRA LOS PODERES PUBLICOS Y EL ORDEN CONSTITUCIONAL</t>
  </si>
  <si>
    <t>CALLE PUERTO DE PALOS NRO. 247 - LOCALIDAD DE VILLA DOMINICO - PARTIDO DE AVELLANEDA - PCIA. DE BUENOS AIRES</t>
  </si>
  <si>
    <t>EN EL DIA DE LA FECHA SE PROCEDIO A LA DETENCION DEL CIUDADANO FERNANDO ANTONIO VIDELA QUIEN PRESTABA SERVICIOS EN EL EJERCITO ARGENTINO, ASIMISMO SE PROCEDIO AL ALLANAMIENTO DEL DOMICILIO DEL CAUSANTE, SECUESTRANDOSE UN DNI Y LIBRETA DE ENROLAMIENTO PERTENECIENTE AL IMPUTADO, ORDENADO POR EL JUZGADO FEDERAL NRO. 1 DE BAHIA BLANCA - SEC. NRO. 1 DE DERECHOS HUMANOS.</t>
  </si>
  <si>
    <t>Fiscalía Federal Nº 01 de Lomas de Zamora</t>
  </si>
  <si>
    <t>DR. JORGE D AMORE</t>
  </si>
  <si>
    <t>BOX DE ARRIBOS MIGRACIONES</t>
  </si>
  <si>
    <t>QUE EL DIA CATORCE DEL CORRIENTE MES Y AÑO SE ENCONTRABA EN EL AEROPUERTO DE ORIGEN Y ANTES DE ABORDAR EL VUELO EN CUESTION CORROBORA EL CONTENIDO DE LA CARTERA DE SU PROPIEDAD ENTRE LO QUE SE ENCONTRABAN CUATRO CAJAS Y UN ALHAJERO. QUE DENTRO DE LA AERONAVE SE UBICO EN EL ASIENTO 9A. QUE UNA VEZ ARRIBADA A ESTE AEROPUERTO Y AL MOMENTO DE REALIZAR LOS TRAMITES MIGRATORIOS APERTURA SU CARTERA Y SE PERCATA DEL FALTANTE DE JOYAS VARIAS DE SU PROPIEDAD.</t>
  </si>
  <si>
    <t>UNITED AIRLINES</t>
  </si>
  <si>
    <t>UA 847</t>
  </si>
  <si>
    <t>WASHINGTON</t>
  </si>
  <si>
    <t>EN EL DIA DE LA FECHA DESPEGA DE ESTE AEROPUERTO AERONAVE T-01 CON SRA PRESIDENTA DE LA NACION Y COMITIVA S/N</t>
  </si>
  <si>
    <t>INFRACCION A LOS ARTICULOS 292, 293 Y 296 DEL CPN</t>
  </si>
  <si>
    <t>OFICINA MIGRACIONES</t>
  </si>
  <si>
    <t>SIENDO LA HORA INDICADA LA DIRECCION NACIONAL DE MIGRACIONES REMITE A ESTA INSTRUCCION MEDIANTE NOTA, A UN CIUDADANO CON PASAPORTE TAILANDES PRESUNTAMENTE APOCRIFO, QUE HABIA MANIFESTADO EN LAS OFICINAS DE DICHA DIRECCION SER DE NACIONALIDAD AFGANA, EL CUAL INTENTABA EGRESAR DEL TERRITORIO NACIONAL. QUE ANOTICIADO EL JUZGADO INTERVINIENTE DISPONE SE DETENGA AL PASAJERO EN CARACTER DE INCOMUNICADO, SE TOME DECLARACION TESTIMONIAL A TODO EL PERSONAL DE MIGRACIONES ACTUANTE, SE IDENTIFIQUE AL INSPECTOR DE MIGRACIONES QUE LE DIERA INGRESO AL TERRITORIO NACIONAL EL DIA 14-02-10 DEBIENDO CONSIGNAR EN EL ACTA NOMBRE Y NRO DE LEGAJO DEL MISMO Y SE ELEVE LO ACTUADO JUNTAMENTE CON EL DETENIDO EL DIA 16-02-10 A PRIMERA HORA A SEDE JUDICIAL. PU AMPLIATORIO 877: SIENDO LA 07:30 HORAS SE PROCEDE A REALIZAR EL TRASLADO DEL DETENIDO, DANDO CUMPLIMIENTO A LO ORDENADO POR S.SA. PU AMPLIATORIO 899: QUE SIENDO LAS VEINTITRES HORAS DEL DIA DIECISEIS DEL MES Y AÑO EN CURSO, LA COMISION PROCEDIO SEGUN LO ORDENADO POR S.SA. A TRASLADAR AL DETENIDO EN AUTOS AL ASIENTO DE ESTA GUARDIA DE PREVENCION A LOS EFECTOS DE SEPARAR DE SUS EFECTOS PERSONALES SECUESTRADOS OPORTUNAMENTE, UNA MUDA DE ROPA PARA SER TRASLADADO A LA UNIDAD 28 DEL SPF. QUE UNA VEZ CUMPLIMENTADO, SIENDO LA VEINTITRES HORAS TREINTA MINUTOS, LA COMISION PROCEDE AL TRASLADO DEL DETENIDO A LA UNIDAD 28 DEL SPF. ES TODO CONSTE.</t>
  </si>
  <si>
    <t>QANTAS</t>
  </si>
  <si>
    <t>QF 018</t>
  </si>
  <si>
    <t>SIDNEY</t>
  </si>
  <si>
    <t>AEROPUERTO METROPOLITANO</t>
  </si>
  <si>
    <t>SIENDO LA HORA ANTERIORMENTE MENCIONADA SE DA CUMPLIMENTO A LA ORDEN DE SERVICIO Nº 089/10 DE LA URSA I DEL ESTE, CON RELACION AL CONTROL DE SEGURIDAD REFERENTE AL ARRIBO DE LA SRA. PRESIDENTE DE LA NACION PROVENIENTE DE LA CIUDAD DE EL CALAFATE, ARRIBANDO A LA AEROESTACION MILITAR EN LA AERONAVE MATRICULA T01 A LAS 20.38 HORAS Y PARTIENDO A LAS 20.42 HORAS VIA TERRESTRE EN VEHICULO OFICIAL. SIN NOVEDAD</t>
  </si>
  <si>
    <t>MARIANO GARCIA ZAVALIA</t>
  </si>
  <si>
    <t>JEFATURA DE POLICIA DE TUCUMÁN S/SECUESTRO Y DESAPARICIONES</t>
  </si>
  <si>
    <t>EXPTE. J-29/09</t>
  </si>
  <si>
    <t>GUARDIA PREVENTIVA U.O.S.P. CBA.</t>
  </si>
  <si>
    <t>EN EL DIA DE LA FECHA, SIENDO APROXIMADAMENTE LAS 17:10 HS. SE HIZO PRESENTE EN ESTA U.O.S.P. PERSONAL DEPENDIENTE DEL SERVICIO PENITENCIARIO FEDERAL A EFECTO DE DAR CUMPLIMIENTO A OFICIO JUDICIAL DE FECHA 12-FEB-2010 EMANADO POR EL TRIBUNAL ORAL EN LO CRIMINAL FEDERAL DE LA CIUDAD DE TUCUMAN, MEDIANTE EL CUAL SE ORDENA TRASLADAR AL DETENIDO DESDE LA CIUDAD DE CÓRDOBA HACIA LA CIUDAD DE TUCUMAN POR PERSONAL DEL SERVICIO PENITENCIARIO.EFECTIVOS DE ESTA U.O.S.P. CBA PRESTARON COLABORACION RESPECTO DEL TRASLADO Y CUSTODIA DENTRO DEL ÁMBITO AEROPORTUARIO.-</t>
  </si>
  <si>
    <t>8R5508</t>
  </si>
  <si>
    <t>SAN MIGUEL DE TUCUMÁN</t>
  </si>
  <si>
    <t>SIENDO LAS HORAS VEINTE CON CUARENTA MINUTOS ARRIBA A ESTE AEROPUERTO PROCEDENTE DE LA CIUDAD DE CORDOBA EL DETENIDO LUCIANO BENJAMIN MENENDEZ L.E 4.777.189, IMPUTADO EN LOS AUTOS CARATULADOS JEFATURA DE POLICIA DE TUCUMAN S/SECUESTROS Y DESAPARICIONES.TRASLADADO CON CUSTODIA DEL SERVICIO PENITENCIARIO FEDERAL A CARGO DEL SUB ALCAIDE MAXIMILIANO CARLOS BARRESI. SE IMPLEMENTO REFUERZO EN EL SISTEMA DE SEGURIDAD AEROPORTUARIA PREVENTIVA HASTA LA SALIDA DEL MISMO DE LA JURIDICCION DE ESTA UOSP A HORAS VEINTIUNA, SIN REGISTRARSE NOVEDADES</t>
  </si>
  <si>
    <t>8R 5508</t>
  </si>
  <si>
    <t>JUZGADO DE INSTRUCCIÓN Nº 3 - NEUQUEN</t>
  </si>
  <si>
    <t>Muñoz</t>
  </si>
  <si>
    <t>Marcelo German</t>
  </si>
  <si>
    <t>DR. FERMIN AZCARATE</t>
  </si>
  <si>
    <t>VALIJA DESPACHADA DE COLOR AZUL Y VERDE MARBETE Nº AR 07-96-85 FALTANTE CAMARA DIGITAL MARCA PANASONIC LUMIX COLOR PLATEADA NO RECURDA Nº SERIE- TELEFONO CELULAR MARCA MOTOROLA NEGRO NO RECUERDANº SERIE AGENDA PERSONAL TAPA DE CUERO COLOR MARRON 02 CORBATAS-ROTURA DE UNA DE LAS MANIJAS DE SUS CIERRES</t>
  </si>
  <si>
    <t>SECRETARIA Nº 116</t>
  </si>
  <si>
    <t>GONZALES DANIEL</t>
  </si>
  <si>
    <t>PREVENCION SUMARIAL</t>
  </si>
  <si>
    <t>ATRAS DE LA POSICION 1 A-B-C</t>
  </si>
  <si>
    <t>PORTA MALETA INTERIOR DE CABINA</t>
  </si>
  <si>
    <t>SIENDO LAS VEINTIUNA HORAS SE TOMA DECLARACION TESTIMONIAL A LA SEÑORA MARIA AZUCENA NAVARRO POR EL PRESUNTO HURTO, DE LOS ELEMENTOS QUE FUERON SUSTRAIDO EN EL VUELO Nº 2453 PROCEDENTE DE SALTA CON DESTINO COMODORO RIVADAVIA ESCALA AEROPARQUE, DICHA DECLARACION TESTIMONIAL SE EFECTUA POR PEDIDO DE LA UNIDAD OPERACIONAL PREVENTIVA AEROPARQUE.</t>
  </si>
  <si>
    <t>DR DANIEL GONZALEZ</t>
  </si>
  <si>
    <t>CABINA DE PASAJEROS</t>
  </si>
  <si>
    <t>EN EL DIA DE LA FECHA SIENDO LAS 18.00 HORAS SE RECIBIO COMUNICACIÓN VIA NEXTEL POR PARTE DEL OFICIAL SILVA, ENCARGADO DE TURNO, QUIEN INFORMA QUE EN EL SECTOR DE ARRIBOS A2, SE ENCONTRABA UNA PERSONA ARRIBADA EN EL VUELO AU 2453 PROCEDENTE DE SALTA, MANIFESTANDO HABER SUFRIDO EL HURTO DE UN BOLSO COLOR NEGRO CONTENIENDO ELEMENTOS VARIOS, EN EL INTERIOR DE LA CABINA DURANTE EL VUELO. ACTO SEGUIDO EL PERSONAL POLICIAL ANTES MENCIONADO LA INVITA A LA GUARDIA DE PREVENCION A FIN DE RADICAR LA DENUNCIA CORRESPONDIENTE, MANIFESTANDO LA MISMA QUE DEBIA ABORDAR EN QUINCE MINUTOS UN VUELO HACIA LA CIUDAD DE COMODORO RIVADAVIA Y QUE RADICARIA LA DENUNCIA EN DESTINO, CON EL FIN DE NO PERDER EL MENCIONADO VUELO. POR LO QUE SE LE SOLICITO LOS DATOS FILIATORIOS A LOS FINES DE INICIAR PREVENCION SUMARIA DE OFICIO Y SE SOLICITA A LA DAMNIFICADA QUE UNA VEZ ARRIBADA A DESTINO SE DIRIJA A LA GUARDIA DE PREVENCION DE DICHO AEROPUERTO A LOS FINES DE PRESTAR DECLARACION TESTIMONIAL SOBRE EL HECHO. SIENDO LAS 19 HORAS SE ENTABLA COMUNICACIÓN CON EL OFICIAL PEREZ CARLOS, JEFE DE TURNO DE LA UOSP COMODORO RIVADAVIA, A QUIEN SE LE COMUNICA EL HECHO Y SE LE SOLICITA RECEPCIONE DECLARACION TESTIMONIAL A LA DAMNIFICADA. SIENDO LAS 21.30 SE ENTABLO COMUNICACIÓN CON EL DR. DANIEL GONZALEZ, TITULAR DE LA SECRETARIA Nº 116 DEL JUZGADO NACIONAL EN LO CRIMINAL DE INSTRUCCIÓN Nº 5, DEBIDO A NO PODER ENTABLAR COMUNICACIÓN CON LA FISCALIA INTERVINIENTE, QUIEN ANOTICIADO QUE SE ACTUARIA DE OFICIO ORDENA SE INICIE SUMARIO POR ACTA DE PROCEDIMIENTO, DE EXISTIR SE SOLICITE REGISTRO FILMICO, CIERRE Y ELEVACION.-</t>
  </si>
  <si>
    <t>AU 2453</t>
  </si>
  <si>
    <t>Maximiliano DAVIES</t>
  </si>
  <si>
    <t>SIENDO LAS 18:00 HS DEL DÍA 15 DE FEBRERO DEL CORRIENTE AÑO, EL DENUNCIANTE, AL EMBARCAR EN EL VUELO Nº 7650 DE LA EMPRESA GOL EN LA CIUDAD DE FLORIANÓPOLIS DESPACHA UN BOLSO COLOR NEGRO CON VIVOS NARANJAS MARCA OWEN DE APROXIMADAMENTE 70 X 20 X 40 CM. IDENTIFICADA CON MARBETE Nº 342573, CON DESTINO LA CIUDAD DE PORTO ALEGRE, PARA LUEGO ABORDAR A LAS 22:30 HS APROXIMADAMENTE EL VUELO Nº 7468 DE LA MISMA COMPAÑÍA AÉREA CON DESTINO FINAL LA CIUDAD DE CÓRDOBA, ARGENTINA. SIENDO LAS 00:55 HS APROXIMADAMENTE DEL DÍA DE LA FECHA EL DENUNCIANTE ARRIBA A ESTA AEROSTACIÓN, AL RETIRAR SU EQUIPAJE LO CONTROLA Y OBSERVA EL FALTANTE DEL ELEMENTO DENUNCIADO.</t>
  </si>
  <si>
    <t>868/10</t>
  </si>
  <si>
    <t>SIENDO LA 07:30 HORAS SE PROCEDE A REALIZAR EL TRASLADO DEL DETENIDO, DANDO CUMPLIMIENTO A LO ORDENADO POR S.SA.</t>
  </si>
  <si>
    <t>SIENDO LA HORA Y LA FECHA ANTES MENCIONADA SE PRESENTA EN LA GUARDIA DE PREVENCION EL DAMNIFICADO PARA DENUNCIAR EL EXTRAVIO DE SU PERMISO PERSONAL DE SEGURIDAD AEROPORTUARIO EMITIDO POR ESTA POLICIA INICIANDOSE LA DENUNCIA DE EXTRAVIO Nº 088/10.</t>
  </si>
  <si>
    <t>SIENDO LAS 12:28 HS PARTE DE ESTA AEROSTACION EL AVION COCA COLA MD 83 MATRICULA FG-MLU TRANSPORTANDO LA COPA DEL MUNDO DEL MUNDIAL DE FUTBOL, MOTIVO POR EL CUAL SE DESPLEGO UN OPERATIVO DE SEGURIDAD DE ACUERDO A LO SOLICITADO POR LA U.R.S.A II DEL CENTRO SEGUN ORDEN DE SERVICIO NUMERO 38/10 Y MEMORANDO Nº 252/10. SIN NOVEDAD.</t>
  </si>
  <si>
    <t>DRA. CRISTINA BISLIS</t>
  </si>
  <si>
    <t>RUIZ GLADYS ROSA S/TENTATIVA DE CONTRABANDO DE ESTUPEFACIENTES</t>
  </si>
  <si>
    <t>S/TENTATIVA DE CONTRABANDO DE ESTUPEFACIENTES</t>
  </si>
  <si>
    <t>ANGEL GALLARDO 169 PLANTA BAJA DPTO. B</t>
  </si>
  <si>
    <t>NOTA - DONDE DICE TIPO DE PROCEDIMIENTO INVESTIGACION DEBE DECIR ALLANAMIENTO. REFERENTE A LA ORDEN DE SERVICIO N° 122. EN EL DIA DE LA FECHA SE REALIZO UN ALLANAMIENTO ORDENADO POR EL JUZGADO INTERVINIENTE EN LA FINCA UBICADA EN EL DOMICILIO CITADO, RELATIVO A LA CAUSA DE REFERENCIA.</t>
  </si>
  <si>
    <t>POLICIA DE SEGURIDAD AEROPORTUARIA S/PRESENTACION</t>
  </si>
  <si>
    <t>P-17-09</t>
  </si>
  <si>
    <t>LA INTERVENCION DE LA LINEA TELEFÓNICA DE ESTA CAUSA P-17-09 SE PRACTICA EN LA CIUDAD DE ROSARIO, RAZON POR LA CUAL SE GENERA RETRASO EN EL ENVÍO Y RECEPCION DE LOS CASSETTES HACIA LA UOCDNDC II CENTRO Y EN CONSECUENCIA IMPIDE ESTAR AL DIA CON LAS NOVEDADES QUE SURJAN, POR DICHA RAZON EL JUZGADO SOLICITA QUE SE COMISIONE PERSONAL DE LA UOCDNDC IV LITORAL PARA QUE HAGA LAS ESCUCHAS.-</t>
  </si>
  <si>
    <t>JUZGADO FEDERAL N° 3 DE CORDOBA</t>
  </si>
  <si>
    <t>MARIANA BUTELER DE BARROS</t>
  </si>
  <si>
    <t>POLICIA DE SEGURIDAD AEROPORTUARIA S/DENUNCIA</t>
  </si>
  <si>
    <t>D-263-09</t>
  </si>
  <si>
    <t>JUZGADOS FEDERALES DE LA CIUDAD DE CORDOBA, CIUDAD DE MENDOZA Y CIUDAD DE BS AS - LOMAS DE ZAMORA</t>
  </si>
  <si>
    <t>EN EL MARCO DE LA CAUSA D-263-09 INFORMADA POR ESTA UNIDAD A TRAVÉS DE SIPAP 39/09 -NARCOTRÁFICO DE ESTUPEFACIENTES A CHINA-, LA FISCALÍA FEDERAL Nº3 DE CORDOBA SOLICITA A LA PSA QUE DILIGENCIE OFICIOS DESTINADOS LOS SIGUIENTES JUZGADOS A LOS FINES QUE LE INFORMEN SI SE LABRAN ACTUACIONES REFERIDAS A ESTA CAUSA Y EN QUE ESTADO SE ENCUENTRAN LAS MISMAS: JUZGADO FEDERAL Nº 1 DE CORDOBA JUZGADO FEDERAL Nº 3 DE MENDOZA JUZGADO FEDERAL Nº 1 DE MENDOZA JUZGADO FEDERAL DE LOMAS DE ZAMORA</t>
  </si>
  <si>
    <t>FISCAL FEDERAL Nº 2 S/PEDIDO DE ORDEN DE ALLANAMIENTO -A/15/2010</t>
  </si>
  <si>
    <t>AERO CLUB DE ALTA GRACIA RUTA C-45 CAMINO A RIO SEGUNDO, Y RUTA 9 KM 688 ZONA RURAL LA CARBONADA, LOCALIDAD DE TOLEDO</t>
  </si>
  <si>
    <t>INFORMO QUE ESTA UNIDAD HA SIDO COMISIONADA POR MANDATO DEL JUZGADO FEDERAL Nº 2 DE CORDOBA PARA EL ALLANAMIENTO DEL AEROCLUB DE ALTA GRACIA Y EL DOMICILIO DEL SEÑOR EDUARDO BASSIN EN LA LOCALIDAD DE TOLEDO, A LOS FINES DE SECUESTRAR DOCUMENTACIÓN RELATIVA A LA AERONAVE MONOMOTOR A PISTON MARCA CESSNA MODELO 206, MATRÍCULA LV-IJZ: HISTORIAL DE VUELO, PLAN DE VUELO, DOCUMENTOS HABILITANTES PARA VOLAR DE GASTON PINTADO, Y TODO OTRO ELEMENTO INHERENTE A LA INVESTIGACION.-</t>
  </si>
  <si>
    <t>SE PROCEDE A LA DETENCION DE DOS SACAS COLECTORAS DEL CORREO OFICIAL, LA PRIMERA IDENTIFICADA CON MARBETE SLA0169131E555700RGL, PRECINTO Nº C137249, PESO 14,80 KG., DESTINO RIO GALLEGOS, LA SEGUNDA IDENTIFICADA CON MARBETE SLA0169373E343400MDZ, PRECINTO Nº B783300, CON UN PESO DECLARADO DE 19,00 KG. CON DESTINO MENDOZA, AMBAS AMPARADAS EN GUIA DE CARGA AEREA Nº 9327515-1, LAS QUE IBAN A SER DESPACHADAS A TRAVES DE LA EMPRESA DE CARGA AEREA JET PAQ. LA RETENCION SE REALIZA ANTE LA PRESUNCION DE QUE PUDIERAN CONTENE ALGUN ELEMENTO EN INFRACCION A LAS LEYES 22.415 Y/O 23.737. QUEDANDO LAS MISMAS CERRADAS Y PRECINTADAS EN GUARDA EN ESTA UOSP, SE COMUNICO TELEFONICAMENTE CON EL JUZGADO INTERVINIENTE Y LA APERTURA SE REALIZARA EN PRESENCIA DEL PERSONAL DEL CORREO ARGENTINO. CON CONOCIMIENTO DEL JEFE DE LA UOSP.</t>
  </si>
  <si>
    <t>FISCAL FEDERAL Nº 2 S/PEDIDO DE ORDEN DE ALLANAMIENTO A/15/2010</t>
  </si>
  <si>
    <t>AERO CLUB DE ALTA GRACIA / RUTA 9 KM 688 ZONA RURAL LA CARBONADA, LOCALIDAD DE TOLEDO</t>
  </si>
  <si>
    <t>EN CUMPLIMIENTO CON LA ORDEN DE SERVICIO 41/10 DE LA URSA II CENTRO, SIENDO APROXIMADAMENTE LAS 19:30 HS, PERSONAL COMISIONADO DE ESTA UNIDAD SE HIZO PRESENTE EN EL KM 688 ZONA RURAL LA CARBONADA PARA COTEJAR LA DIRECCIÓN QUE FIGURABA EN LA ORDEN DE ALLANAMIENTO, SI BIEN ALLI MORABA EL DUEÑO DE LA AERONAVE, NO SE APELLIDA TAL CUAL FIGURABA EN LA ORDEN DE ALLANAMIENTO, RAZON POR LA CUAL EL FISCAL ORDENO QUE NO SE PROCEDA CON EL ALLANAMIENTO DE ESE DOMICILIO. SIENDO APROXIMADMAENTE LAS 22:30 PERSONAL COMISIONADO LOGRÓ ALLANAR EL AERO CLUB DE ALTA GRACIA, MÁS ESPECÍFICAMENTE LAS OFICINAS DE LA EMPRESA PARACENTER, LA CUAL ES TITULAR DE LA AVIONETA SINIESTRADA CESSNA 206 LV-IJZ, Y SE LOGRÓ SECUESTRAR DOCUMENTACIÓN RELATIVA AL HISTORIAL DE DICHA AERONAVE, NO ASI PLAN DE VUELO NI HABILITACIONES DEL PILOTO</t>
  </si>
  <si>
    <t>QUE SIENDO LAS VEINTITRES HORAS DEL DIA DIECISEIS DEL MES Y AÑO EN CURSO, LA COMISION PROCEDIO SEGUN LO ORDENADO POR S.SA. A TRASLADAR AL DETENIDO EN AUTOS AL ASIENTO DE ESTA GUARDIA DE PREVENCION A LOS EFECTOS DE SEPARAR DE SUS EFECTOS PERSONALES SECUESTRADOS OPORTUNAMENTE, UNA MUDA DE ROPA PARA SER TRASLADADO A LA UNIDAD 28 DEL SPF. QUE UNA VEZ CUMPLIMENTADO, SIENDO LA VEINTITRES HORAS TREINTA MINUTOS, LA COMISION PROCEDE AL TRASLADO DEL DETENIDO A LA UNIDAD 28 DEL SPF. ES TODO CONSTE</t>
  </si>
  <si>
    <t>EN CUMPLIMIENTO DE LA ORDEN DE SERVICIO Nº 0011/10 Y SIENDO LAS 07:36 HORAS LOCAL ARRIBA AERONAVE MD 83 MATRICULA LV-VBX PERTENECIENTE AL A EMPRESA AUSTRAL LINEAS AEREAS Y EN CUYAS BODEGAS 3, 4 Y 5 SE EMBARCAN 150 BULTOS CON UN PESO DE 3000 KILOGRAMOS DE METAL- MTD- PERTENECIENTES AL EMPRESA TRITONCON DESTINO EL AEROPUERTO JORGE NEWBERY DE CAPITAL FEDERAL, DESPEGANDO DESDE ESTE AEROPUERTO A LAS 08:54 HORAS LOCAL.</t>
  </si>
  <si>
    <t>AEROPUERTO GENERAL MOSCONI- COMODORO RIVADAVIA</t>
  </si>
  <si>
    <t>SIENDO LA HORA Y FECHA MENCIONADA, SE HACE PRESENTE EN ESTA GUARDIA EL DENUNCIANTE MANIFESTANDO HABER PERDIDO SU PERMISO PERSONAL DE SEGURIDAD AEROPORTUARIA EL DIA CITADO CON ANTERIORIDAD, DENTRO DE LAS INSTALACIONES DE ESTE AEROPUERTO METROPOLITANO. SE LABRA DENUNCIA DE EXTRAVIO Nº 089/10.</t>
  </si>
  <si>
    <t>897/10</t>
  </si>
  <si>
    <t>SE PROCEDE A LA APERTURA DE DOS SACAS COLECTORAS DEL CORREO OFICIAL MEDIDA COORDINADA PREVIAMENTE CON EL MAGISTRADO ACTUANTE. LA 1ª MARBETE SLA0169131E555700RGL, PRECINTO Nº C137249, CONTIENE DOS PIEZAS POSTALES : LA 1ª IDENTIFICADA COMO EP658101698AR QUEDA RETENIDA, LA 2ª IDENTIFICADA COMO EP669752010AR QUEDA LIBERADA PARA SU REDESPACHO POR NO SER DE INTERES AL PROCEDIMIENTO. LA 2ª SACA COLECTORA MARBETE SAL0169373E343400MDZ, PRECINTO B783300,CONTIENE DOS PIEZAS POSTALES: LA 1ª PIEZA POSTAL IDENTIFICADA COMO EP033345287AR, QUEDA RETENIDA. LA 2ª PIEZA POSTAL IDENTIFICADA COMO EP033345295AR, QUEDA LIBERADA PARA SU REDESPACHO POR NO SER DE INTERES PARA EL PROCEDIMIENTO.LAS ENCOMIENDAS RETENIDAS QUEDAN EN GUARDA EN EL DEPOSITO JUDICIAL DE ESTA UNIDAD A LA ESPERA DEL OFICIO JUDICIAL QUE AUTORICE SU APERTURA, CON CONOCIMIENTO DEL JUOSP.</t>
  </si>
  <si>
    <t>CALLE SARMIENTO N° 2112 4° PISO, DEPARTAMENTO H</t>
  </si>
  <si>
    <t>REFERENCIA ORDEN DE SERVICIO N° 128/10. EN EL DIA DE LA FECHA SE REALIZO EL ALLANAMIENTO EN LA FINCA INDICADA, EN LA CUAL ESTABA COMO ENCARGADA LA SEÑORA SUAREZ LOPEZ, MARIA TERESA DNI 93.096.322, POR ORDEN DE LA JUDICATURA INTERVINIENTE, CON RESULTADO NEGATIVO EN LA BUSQUEDA DE ELEMENTOS QUE SE PUDIERAN RELACIONAR CON EL ACOPIO Y O COMERCIALIZACION DE SUSTANCIAS ESTUPEFACIENTES.</t>
  </si>
  <si>
    <t>JUZGADO FEDERAL DE 1RA INST. EN LO CRIMINAL Y CORRECCIONAL Nº 1 DE LA PLATA</t>
  </si>
  <si>
    <t>BLANCO</t>
  </si>
  <si>
    <t>MANUEL HUMBERTO</t>
  </si>
  <si>
    <t>ANA COTTER</t>
  </si>
  <si>
    <t>DR. FELIX PABLO CROUS S/DCIA. - LA CACHA-L. OLMOS</t>
  </si>
  <si>
    <t>CALLE DIAGNAL 80 - Nº 257 - LOCALIDAD LA PLATA - PROV. DE BUENOS AIRES</t>
  </si>
  <si>
    <t>EN EL DIA DE LA FECHA SE PROCEDIO A LA DETENCION DEL CIUDADANO CLAUDIO RAUL GRANDE, COMO ASI TAMBIEN SE PROCEDIO AL SECUESTRO DE UN D.N.I. A NOMBRE DEL IMPUTADO, DE ACUERDO A LO ORDENADO POR EL JUZGADO INTERVINIENTE.</t>
  </si>
  <si>
    <t>DRA. CLAUDIA NOFAL DE CATANEO</t>
  </si>
  <si>
    <t>EXHORTO DEL JUZGADO FEDERAL N° 1DE LA CIUDAD DE LA PLATA, PROVINCIA DE BUENOS AIRES.</t>
  </si>
  <si>
    <t>14247-D</t>
  </si>
  <si>
    <t>CUMPLIMIENTO DE MANDATO JUDICIAL</t>
  </si>
  <si>
    <t>CALLE AVELLANEDA N° 3336, BERMEJO, DEPARTAMENTO DE GUAYMALLEN, PROVINCIA DE MENDOZA.</t>
  </si>
  <si>
    <t>EN EL DIA DE LA FECHA Y SIENDO LAS 13:00 HORAS, SE PROCEDIO A DAR CUMPLIMIENTO A LA ORDEN DE ALLANAMIENTO EMANADA POR EL JUZGADO FEDERAL MENCIONADO PRECEDENTEMENTE, CONSECUENTEMENTE DICHA MEDIDA FUE LLEVADA ADELANTE POR PERSONAL DE LA U.O.E.S.A. Y U.O.C.N. Y D.C., AMBOS DEPENDIENTES DE LA UNIDAD REGIONAL II DEL CENTRO, ARROJANDO LA MISMA RESULTADO NEGATIVO RESPECTO AL ALLANAMIENTO. AL RESPECTO SE INFORMA QUE LA ENTRADA AL DOMICILIO A ALLANAR SE REALIZO EN FORMA PACIFICA SIENDO EL PERSONAL A CARGO DE DAR CUMPLIMIENTO CON EL MANDATO, ATENDIDOS POR LA SEÑORA ESPOSA Y EL NIETO DEL NOMBRADO. POR ULTIMO, INFORMO QUE EL PERSONAL INVOLUCRADO EN EL CUMPLIMIENTO DE LA MEDIDA JUDICAL, SE ENCUENTRA SIN NOVEDAD.</t>
  </si>
  <si>
    <t>CALLE GUEMES NRO. 2370 CITY BELL - LOCALIDAD DE LA PLATA - PCIA. DE BUENOS AIRES AMANCIO ALCORTA 1844 CABA</t>
  </si>
  <si>
    <t>EN EL DIA DE LA FECHA SE PROCEDIO A DAR CUMPLIMIENTO CON EL ALLANAMIENTO ORDENADO POR EL JUZGADO INTERVINIENTE, ARROJANDO COMO RESULTADO LA NO DTENCION DEL CIUDADANO RAUL RICARDO ESPINOZA, EL CAUSANTE NO VIVE EN EL LUGAR INDICADO ANTERIORMENTE. DE LO EXPUESTO POR LA HIJA - BARBARA BELEN EZPINOZA, SU SEÑORIA ORDENO LA CONSTATACION DEL DOMICILIO CITO EN LA CALLE 21 C NRO. 953, EX 19 VIS, ENTRE LAS CALLES 455 Y 456 DE LA LOCALIDAD DE CITY VELL, EL PERSONAL INTERVINIENTE SE HIZO PRESENTE EN DICHO LUGAR, CONTSTANADO QUE ALLI NO HABIA MORADORES, POR LO EXPUESTO POR LOS VECINOS SE CONSTATO QUE ALLI VIVIA EL IMPUTADO EN AUTOS. SE PRODUCE LA DETENCION DEL IMPUTADO EN AMANCIO ALCORTA 1844 CABA</t>
  </si>
  <si>
    <t>APERTURA DE ENCOMIENDA SOL. POLICIA DE SEGURIDAD AEROPORTUARIA</t>
  </si>
  <si>
    <t>929/09</t>
  </si>
  <si>
    <t>PREVENVCION SUMARIA</t>
  </si>
  <si>
    <t>SE PROCEDE A LA APERTURA DE UNA ENCOMIENDA DEL CORREO OFICIAL, RETENIDA EL 21/12/09 INFORMADA EN SIPAP3 Nº 461/09, EN VIRTUD DE LO DISPUESTO EN OFICIO JUDICAL Nº 311/10. LA ENCOMIENDA IDENTIFICADA COMO EP018907453AR RTTE. ROSAURA CARO, Bº EL SAUZAL S/N, C.P. 4.622, MAIMARA, JUJUY Y DEST. NORMA CARO, C.P. 1893, EL PATO, LA PLATA, RETIRA DEL CORREO, CONTIENE: 13 PAQUETES DE HOJAS DE COCA CON UN PESO TOTAL DE 3.107 GRS. . LUEGO DE VERIFICADO EL CONTENIDO LA CARGA SERA PUESTA A DISPOSICION DE LA ADUANA DE SALTA POR SUPUESTA INFRACCION A LA LEY 22.415 Y LAS ACTUACIONES REMITIDAS AL MAGISTRADO QUE INSTRUYE. CON CONOCIMIENTO DEL JUOSP.</t>
  </si>
  <si>
    <t>FISCALIA FEDERAL N° 1 DE CORDOBA</t>
  </si>
  <si>
    <t>GONZALO OLMEDO</t>
  </si>
  <si>
    <t>POLICIA DE SEGURIDAD AEROPORTUARIA S/PRESENTACIÓN</t>
  </si>
  <si>
    <t>URSA IV</t>
  </si>
  <si>
    <t>CIUDAD DE ROSARIO PROVINCIA DE SANTA FE</t>
  </si>
  <si>
    <t>EN EL DÍA DE LA FECHA SE RECEPCIONA OFICIO JUDICIAL NM DE FECHA 10 DE FEBRERO DE 2010 DE LA FISCALIA FEDERAL ACTUANTE DONDE SE SOLICITA REALIZAR LAS ESCUCHAS PRODUCTO DE LA INTERVENCIÓN TELEFÓNICA OBTENIDAS POR LA DIRECCIÓN DE OBSERVACIONES JUDICIALES CONCENTRACIÓN ROSARIO EN EL MARCO DE LA CAUSA DE REFERENCIA, SE ENCOMIENDA LAS TAREAS MEDIANTE ORDEN DE SERVICIO 029/2010.-</t>
  </si>
  <si>
    <t>EN CUMPLIMIENTO DE LA ORDEN DE SERVICIO Nº 0012/10 Y SIENDO LAS 16:30 HORAS LOCAL ARRIBA VUELO AERONABE BOEING 737 MATRICULA LV-BDD PERTENECIENTE A AEROLINEAS ARGENTINAS Y EN CUYAS BODEGAS 2, 3 Y 4 SE EMBARCAN 82 SACAS CON UN PESO DE 1800 KILOGRAMOS DE METAL-MTD- PERTENECIENTE A LA EMPRESA MINERA TRITON ARGENTINA S.A. CON DESTINO EL AEROPUERTO JORGE NEWBERY DE CAPITAL FEDERAL, DESPEGANDO A LAS 17:23 HORAS LOCAL.</t>
  </si>
  <si>
    <t>JUZGADO FEDERAL DE PRIMERA INSTANCIA - RIO GALLEGOS.</t>
  </si>
  <si>
    <t>Alvarez</t>
  </si>
  <si>
    <t>Ana Cecilia</t>
  </si>
  <si>
    <t>DRA. HEBE MARIA DE LAS MERCEDES ALVAREZ</t>
  </si>
  <si>
    <t>PINILLA SIXTO S/PRESUNTA INFRACCION LEY 23737</t>
  </si>
  <si>
    <t>162-274-09</t>
  </si>
  <si>
    <t>EN EL DIA DE LA FECHA SE DIO CUMPLIMIENTO AL OFICIO 41/2010 DEL JUZGADO FEDERAL DE LA PROV DE SANTA CRUZ, QUE ORDENABA SE PRACTIQUE LA AVERIGUACION DE PARADERO DEL CIUDADANO SIXTO DANIEL PINILLA DNI 27.270.756, CUYO RESULTADO FUE NEGATIVO</t>
  </si>
  <si>
    <t>DRA GHYSELLA GOMEZ</t>
  </si>
  <si>
    <t>EXHORTO DEL JUZGADO FEDERAL Nª 1 DE LA PLATA A CARGO DEL DR MANUEL HUMBERTO BLANCO, LIBRADO EN LA CAUSA Nº 16.419, CARATULADA DR. FELIZ PABLO CROUS S/ DCIA LA CACHA-L.OLMOS</t>
  </si>
  <si>
    <t>EXPTE 55 AÑO 2010</t>
  </si>
  <si>
    <t>Bº VENEZUELA - MZNA 315 - GRUPO 3 - CASA 12 - FORMOSA CAPITAL</t>
  </si>
  <si>
    <t>FUERA DE LA JURISDICCION AEROPORTUARIA</t>
  </si>
  <si>
    <t>EN EL DIA DE LA FECHA SE PROCEDE A CUMPLIMENTAR EXHORTO AL JUZGADO FEDERAL Nº 1 DE FORMOSA, DISPONIENDO EL REGISTRO DE LA VIVIENDA MENCIONADA Y LA DETENCION DE RUFINO BATALLA - DNI 5.514.329, DEL CUAL NO SE CUENTAN CON MAS DATOS, ARROJANDO RESULTADO NEGATIVO POR NO ENCONTRARSE NI RESIDIR EL IMPUTADO EN LA MISMA, LLEVADA A CABO POR PERSONAL DE ESTA PSA ,DE ACUERDO A ORDEN DE SERVICIO NUMERO 028-10-URSA IV DEL LITORAL.</t>
  </si>
  <si>
    <t>DR. FELIX PABLO CROUS S/DCIA. , LA CACHA- L. OLMOS</t>
  </si>
  <si>
    <t>CALLE REMEDIOS DE ESCALADA N° 633 DE VILLA DOLORES DEPARTAMENTO SAN JAVIER- PROVINCIA DE CORDOBA.-</t>
  </si>
  <si>
    <t>EN EL DIA DE LA FECHA Y SIENDO LAS 15:00 HORAS, SE PROCEDIO A DAR CUMPLIMIENTO A LA ORDEN DE ALLANAMIENTO EMANADA POR EL JUZGADO FEDERAL MENCIONADO PRECEDENTEMENTE Y A EFECTOS DE LA DETENCIÓN DEL SR. ENRIQUE ARMANDO CICCIARI, DNI N° 7.755.683. DICHA MEDIDA FUE LLEVADA A CABO A TRAVÉS DE LA ORDEN DE SERVICIO N° 42/10 MEDIANTE MEMORANDO N° 0283/10 PRODUCIDO POR ESTA UNIDAD REGIONAL II DEL CENTRO, ARROJANDO RESULTADO NEGATIVO RESPECTO AL ALLANAMIENTO. INFORMANDO QUE NO EXITIA DICHA DIRECCIÓN Y TRAS AVERIGUACIONES DE HABITANTES DEL LUGAR NO CONOCIAN AL SR CICCIARI, ENRIQUE ARMANDO POR LO EXPUESTO NO SE OBTUVIERON DATOS DE LA FECHA DE NACIMIENTO Y ESTADO CIVIL.-</t>
  </si>
  <si>
    <t>Molinari</t>
  </si>
  <si>
    <t>Guillermo</t>
  </si>
  <si>
    <t>DENUNCIA SOBRE DAÑOS EN ALAMBRADO PLASTICO PERIMETRAL</t>
  </si>
  <si>
    <t>SECTOR SUROESTE DEL PREDIO, LINDANTE A RUTA Nº 208 Y PARAJE LA VERNACHA</t>
  </si>
  <si>
    <t>DURANTE UN RECORRIDO DE RUTINA, EFECTUADO POR EL PERSONAL DE LA EMPRESA AA2000, SE DETECTO CORTES EN UN TRAMO INFERIOR DE LA CERCA PERIMETRAL PLASTICA, LOS MISMOS SON DE APROXIMADAMENTE TRES METROS DE LONGITUD POR UN METRO DE ALTURA.</t>
  </si>
  <si>
    <t>Juzgado Nacional en lo Penal Económico Nº 05</t>
  </si>
  <si>
    <t>HORACIO SEGURA</t>
  </si>
  <si>
    <t>ROMERO, GLORIA Y BOJAN JOAQUIN S/AVERIGUACION DE CONTRABANDO</t>
  </si>
  <si>
    <t>SIENDO LA HORA INDICADA SE RECIBE COMUNICACION TELEFONICA DE PARTE DE UN INDIVIDUO DE SEXO MASCULINO QUIEN NO APORTA DATOS, MANIFESTANDO QUE ERA PERSONAL POLICIAL DE INVESTIGACIONES PERTENECIENTE A LA 5 DE PABLO NOGUES, DENUNCIANDO QUE VIAJARIAN LOS NOMBRADOS A CONTINUACION JUNTO A SU HIJO, LOS CUALES SEGUN LO MANIFESTADO TRANSPORTARIAN SUSTANCIA ESTUPEFACIENTE. POR TAL MOTIVO SE REALIZA CONSULTA CON EL JUZGADO INTERVINIENTE ORDENANDO EL MISMO QUE SE ELEVE LO ACTUADO A CAMARA DEL FUERO PENAL ECONOMICO PARA SU POSTERIOR SORTEO.</t>
  </si>
  <si>
    <t>GUILLERMO PEREYRA</t>
  </si>
  <si>
    <t>AVERIGUACION PRESUNTA EXPLOTACION SEXUAL DE MENOR DE EDAD</t>
  </si>
  <si>
    <t>2.097/10</t>
  </si>
  <si>
    <t>----</t>
  </si>
  <si>
    <t>GUARDIA DE PREVENCION Y AERONAVE</t>
  </si>
  <si>
    <t>EN EL DIA DE LA FECHA DE ACUERDO A LO ORDENADO MEDIANTE OFICIO JUDICIAL NRO. 133/10 DEL JUZGADO FEDERAL DE PRIMERA INSTANCIA DE SANTA CRUZ SIENDO LAS 01:25 HS SE PRESENTA LA OFICIAL INSPECTOR MARIA VALERIA HERREA PERTENENCIENTE A LA POLICIA DE LA PROVINCIA DE SANTA CRUZ CON LA MENOR ANTONELLA GISEL NUÑEZ DNI 37.209.708 QUIEN RESULTA SER VICTIMA RESCATADA DEL DELITO DE TRATA DE PERSONAS. PROCEDIENDOSE A PARTIR DE ESE MOMENTO A SU CUSTODIA Y POSTERIOR EMBARQUE EN EL VUELO DE LA EMPRESA AUSTRAL VUELO AU 2883 CON DESTINO A LA CIUDAD DE BUENOS AIRES.</t>
  </si>
  <si>
    <t>JUZGADO FEDERAL LA RIOJA</t>
  </si>
  <si>
    <t>Herrera Piedrabuena</t>
  </si>
  <si>
    <t>Daniel</t>
  </si>
  <si>
    <t>EN EL DIA DE LA FECHA EN REPRESENTACION DEL SR. GONZALEZ DANTE OMAR, SE PRESENTO SU CUÑADO EL SR RAMON BENANCIO BALASTEGUI PARA RADICAR LA DENUNCIA DEL FALTANTE DE 2 CAMARAS DE FOTOS Y UN PEN DRIVE DEL EQUIPAJE DESPACHADO POR BODEGA. SE ESTABLECE COMUNICACION TELEFONICA CON LA SECRETARIA PENAL QUIEN DISPUSO LA ELEVACION DE LAS ACTUACIONES A LA BREVEDAD INFORMANDO TAMBIEN QUE SE ENCUENTRA A CARGO DEL JUZGADO FEDERAL DE LA RIOJA EL DR GACHON RAMON ALBERTO POR ENCONTRARSE EL TITULAR DEL MISMO EN USO DE LICENCIA</t>
  </si>
  <si>
    <t>CATAMARCA - LA RIOJA</t>
  </si>
  <si>
    <t>EN EL DIA DE LA FECHA SE PRESENTO ANTE EL SERVICIO DE GUARDIA EL SEÑOR DIEGO HERRERA A EFECTOS DE LABRAR UN ACTA DE EXTRAVIO DE SU PERMISO PERMANENTE AEROPORTUARIO Nº 314274 CON FECHA DE VENCIMIENTO 24/07/10 NO PUDIENDO PRECISAR EL CAUSANTE EL LUGAR DONDE LA EXTRAVIO</t>
  </si>
  <si>
    <t>DR. DIEGO MARCELO SPILOTTI</t>
  </si>
  <si>
    <t>A. S/PSTA. INFRACCION LEY 26.364</t>
  </si>
  <si>
    <t>EN EL MARCO DE LA CAUSA DE REFERENCIA, EN EL DIA DE LA FECHA SE RECIBIO OFICIO Nº 2.378/10, DE FECHA 18 DE FEBRERO DE 2.010, EMITIDO POR EL JUZGADO FEDERAL DE PRIMERA INSTANCIA DE LA CIUDAD DE RIO GRANDE, EN EL CUAL SE SOLICITA A ESTA PREVENCION QUE SE LLEVEN A CABO TAREAS PERTINENTES, CON EL OBJETO DE AVERIGUAR SI LOS TELEFONOS Nº: (4833-1802 /2127), QUE OBRAN EL LOS AVISOS QUE LUCEN EN LAS PUBLICACIONES DEL DIARIO CLARIN DE LOS DIAS 12 Y 14 DE JUNIO DE 2.009, ESTARIAN VINCULADOS CON LA PRESENTE CAUSA.</t>
  </si>
  <si>
    <t>INGRESO DE ANIMALES EN EL PERIMETROS DEL AERODROMO.</t>
  </si>
  <si>
    <t>PERIMETRO LINDANTE AL ASENTAMIENTO LA VERNACHA, SECTOR SUROESTE</t>
  </si>
  <si>
    <t>EN EL DIA DE LA FECHA LA EMPRESA CONSECIONARIA AA2000 REALIZANDO RECORRIDO PERIMETRAL, DETECTAN TRES ANIMALES CAPRINOS EN EL INTERIOR DEL PERIMETRO DEL AERODROMO , SE PROCEDIO A LA CAPTURA DE LOS MISMOS Y SE DIO PARTE AL JUEZ Y FISCAL FEDERAL DE ESTA PROVINCIA, QUIEN ORDENO QUE SE RETENGAN LOS MISMOS Y SE REALICEN LAS ACTUACIONES CORRESPONDIENTES.</t>
  </si>
  <si>
    <t>NAC. DE 1º INST. EN LO CORRECCIONAL Nº 9</t>
  </si>
  <si>
    <t>DRA. PATRICIA REY.</t>
  </si>
  <si>
    <t>HALL PUBLICO DEL PATIO DE COMIDAS</t>
  </si>
  <si>
    <t>SIENDO LAS 08:45 SE HACE PRESENTE EN ESTA GUARDIA UNA PERSONA QUE DESEA RADICAR UNA DENUNCIA INDICANDO QUE EN EL DIA DE LA FECHA, MIENTRAS SE ENCONTRABA EN EL PATIO DE COMIDAS, ESPERANDO PARA EMBARCAR EN UN VUELO DE AEROLINEAS ARGENTINAS CON DESTINO A LA CIUDAD DE SAN LUIS, COLOCO EN EL SUELO, ENTRE SUS PIERNAS, UN BOLSO DE TELA COLOR NEGRO, EL CUAL CONTENIA ELEMENTOS VARIOS. PASADO UNOS MINUTOS, AL MOMENTO DE QUERER REALIZAR UN LLAMADO TELEFONICO, SE PERCATO DEL FALTANTE DEL BOLSO. RAZON POR LA CUAL SE PRESENTO EN LA GUARDIA DE PREVENCIO A RADICAR LA CORRESPONDIENTE DENUNCIA PENAL. SIENDO LAS 10.18 SE ENTABLA COMUNICACION CON LA JUDICATURA ACTUANTE QUIEN ORDENA SE SOLICITE REGISTRO FILMICO Y APOYO TECNICO DE LA PFA, SE COMISIONE PERSONAL EN BUSQUEDA DE TESTIGOS, SE ENVIE NOTA A LA DIVISION ROBO Y HURTO DE LA PFA, CIERRE Y ELEVACION.-</t>
  </si>
  <si>
    <t>SAN LUIS</t>
  </si>
  <si>
    <t>ANDRES BASSO</t>
  </si>
  <si>
    <t>BAÑOS DEL AULA Nº 1 DEL INSTITUTO SUPERIOR DE SEGURIDAD AEROPORTUARIA ISSA</t>
  </si>
  <si>
    <t>FUERA DE JURISDICCION - IFE - EZEIZA</t>
  </si>
  <si>
    <t>EN EL DIA DE LA FECHA Y SIENDO LA HORA INDICADA SE RECIBE UNA DENUNCIA DE UN PERSONAL DE ESTA FUERZA, LA CUAL MANIFIESTA LA SUSTRACCION DE SU TELEFONO CELULAR EN EL LUGAR INDICADO. LUEGO DE IDENTIFICAR AL AUTOR DEL HECHO SE LABRAN LAS ACTUACIONES CORRESPONDIENTES ACTUANDO COMO PREVENTOR DE LAS MISMAS EL COMISIONADO MAYOR RICARDO COLLAZZO, SECUNDADO POR EL OF. JEFE ANDRES AGUIRRE.POR ORDEN DE LA JUDICATURA INTERVINIENTE LA IMPUTADA FUE ALOJADA EN LAS INSTALACIONES DE LA UOSP EZEIZA A DISPOSICION DEL JUZGADO.</t>
  </si>
  <si>
    <t>NAC DE 1º INST EN LO CRIMINAL DE INST Nº 4</t>
  </si>
  <si>
    <t>SECRETARIA Nº 113</t>
  </si>
  <si>
    <t>CILLERUELO</t>
  </si>
  <si>
    <t>ALEJANDRO RODOLFO</t>
  </si>
  <si>
    <t>LAMAS, LORENA</t>
  </si>
  <si>
    <t>DESPACHO POR BODEGA AEROPUERTO USHUAIA</t>
  </si>
  <si>
    <t>EL DIA 15 DE FEBERO DEL CORRIENTE AÑO ABORDO EN UN VUELO EN LA CIUDAD DE USHUAIA CON DESTINO A ESTAAEROESTACION LUEGO DE ARRIBAR SE DIRIGIO A TOMAR UN REMIS Y DIRIGIRSE A UN HOTEL EN ESTA CAPITAL Y EN HORAS DE LA MAÑANA DEL DIA 16 AL MOMENTO DE DESEMPACAR SE PERCATA QUE TENIA EL FALTANATE DE UNA CAMARA FOTOGRAFICA QUE HABÍA COLOCADO EN EL BOLSO DESPACHADO. SIENDO LAS 10:18 HORAS SE ENTABLA COMUNICACIÓN CON LA DRA. CAPALDO SECRETARIA DE LA FISCALIA DE TURNO A LA CUAL SE LE INFORMA LO SUCEDIDO Y LA MISMA DISPONE: COMISIONAR PERSONAL AL LUGARDEL HECHO, REGISTRO FILMICO, NOTA A LA DIVISION ROBO Y HURTO, CIERRE Y ELEVACION.</t>
  </si>
  <si>
    <t>AU2890</t>
  </si>
  <si>
    <t>LAMAS</t>
  </si>
  <si>
    <t>DESPACHO POR BODEGA AEROPUERTO BARILOCHE</t>
  </si>
  <si>
    <t>EL DIA DE LA FECHA ABORDO EN EL AEROPUERTO DE BARILOCHE REALIZANDO EL RESPECTIVO CHECK IN Y ENVIANDO UN BOLSO POR BODEGA, AL ARRIBAR A ESTE AEROPUERTO Y AL MOMENTO QUE RETIRA SU BOLSO DE LA CINTA TRANSPORTADORA EN EL HALL DE ARRIBOS SE PERCATA QUE TENIA EL FALTANTE DE UNA CAMARA FOTOGRAFICA DIGITAL LA CUAL HABIA COLOCADO EN UNO DE LOS BOLSILLOS DE LOS EXTREMOS. POSTERIORMENTE REALIZA EL RECLAMOS EN LA EMPRESA Y SE HACE PRESENT EN ESTA GUARDIA CON EL FIN DE REALIZAR LA DENUNCIA CORRESPONDIENTE.</t>
  </si>
  <si>
    <t>AU 2891</t>
  </si>
  <si>
    <t>DENTRO LAS INSTALACIONES DE ESTE AEROPUERTO</t>
  </si>
  <si>
    <t>EL DIA DE LA FECHA SE HIZO PRESENTA LA SRA MOREIRA A FIN DE RADICAR LA DENUNCIA DE EXTRAVIO Nº 91/10 DE SU PERMISO PERSONAL DE SEGURIDAD AEROPORTUARIA.</t>
  </si>
  <si>
    <t>Control de Mercancia Peligrosa</t>
  </si>
  <si>
    <t>BODEGA AERONAVE</t>
  </si>
  <si>
    <t>CAUDALES JUNCADELLA S.A. RIO GALLEGOS</t>
  </si>
  <si>
    <t>CAUDALES JUNCADELLA S.A. USHUAIA</t>
  </si>
  <si>
    <t>SE INFORMA EL TRASLADO EN VUELO COMERCIAL DE MERCANCIA PELIGROSA CLASE 1.4 Nº UN O ID 0012 REPARTIDA EN SEIS BULTOS CON UN PESO TOTAL DE 22,750 KG SIENDO EL CONTENIDO: 6800 MUNICIONES DE 9 MM Y 200 MUNICIONES 12/70 DICHO ENVIO ES AMPARADO EN GUIA DE CARGA Nº 9338366-2</t>
  </si>
  <si>
    <t>JUNCADELLA</t>
  </si>
  <si>
    <t>PUNTO AMARILLO</t>
  </si>
  <si>
    <t>EL DENUNCIANTE LUEGO DE ARRIBAR DE UN VUELO SE DIRIGE AL BANCO DE LA NACIÓN ARGENTINA, EMPLAZADO EN EL HALL DE ARRIBOS DE LA TERMINAL A Y AL SALIR DEL MISMO ES INTERCEPTADO POR DOS SUJETOS MASCULINOS, QUIENES LE OFRECEN UN TRASLADO EN TAXI A LA CIUDAD DE BUENOS AIRES POR UN MONTO DE 98 PESOS, A LO QUE EL DENUNCIANTE ACCEDE. UNA VEZ A BORDO DEL VEHICULO UNO DE LOS SUJETOS LE INDICA QUE TENIA QUE ABONAR EL VIAJE POR LO QUE LE HACE ENTREGA DE UN BILLETE DE CIEN PESOS ARGENTINOS. LUEGO DE UNOS MINUTOS ESTA PERSONA SE ACERCA CON UN BILLETE DE DIEZ PESOS Y LE INDICA QUE SE HABÍA EQUIVOCADO, POR LO QUE EL DENUNCIANTE LE ENTREGA OTRO BILLETE DE CIEN PESOS. LUEGO EL VEHICULO EMPRENDE SU MARCHA MOMENTO EN EL QUE EL DENUNCIANTE SE PERCATA QUE LE FALTABA PLATA POR LO QUE LE SOLICITA AL CONDUCTOR QUE REGRESE. AL RETORNAR LOS DOS SUJETOS NO ESTABAN. SE COMISIONO AL AGENTE PEDRO PEREZ AL CENTRO OPERATIVO DE CONTROL A LOS EFECTOS DE OBSERVAR LAS FILMACIONES, RECONOCIENDO EL MISMO, POR SU APARIENCIA, A LOS SUJETOS INCRIMINADOS, LOS CUALES SERÍAN MAXIMILIANO HERNÁN GATTUSO Y GERMÁN ARIEL SCARVAGLIERI, AMBOS DE ASIDUA CONCURRENCIA A ESTE MEDIO Y CONTRAVENIDO EN REITERADAS OPORTUNIDADES. ESTABLECIDA CONSULTA CON LA UFI DE TURNO, DISPUSO SE IDENTIFIQUE AL CONDUCTOR DEL RODADO, UNA VEZ QUE CONCURRAN AL AEROPUERTO LOS OTROS DOS SUJETOS, SE LO APREHENDA Y SE MANTENGA NUEVA COMUNICACIÓN A LOS EFECTOS DE INDICAR DEMÁS TEMPERAMENTO A SEGUIR. SEGÚN PU 1092 SE PROCEDIO A IDENTIFICAR Y A NOTIFICAR LA FORMACIÓN DE CAUSA AL IMPUTADO GATUSSO SEGUN AMPLIACION PU 1105: EL APREHENDIDO ES TRASLADADO AL TURNO IDENTIFICADO POR EL C.O.C. COMO UNO DE LOS INDIVIDUOS QUE LE OFRECIO EL TAXI AL DENUNCIANTE, SE COMUNICA LO ACONTECIDO A LA U.F.I. LA CUAL ORDENA SE LO NOTIFIQUE DE LA FORMACION DE LA CAUSA ART. 60, 89 Y 92 DEL C.P. DE LA PCIA DE BS AS Y SE REALICE CONSTATACION DE DOMICILIO AL CAUSANTE Y UNA VEZ CUMPLIMENTADAS LAS DILIGENCIAS SE PERMITA SU LIBRE CIRCULACION.-</t>
  </si>
  <si>
    <t>INF. ART. 78 DECRETO LEY 8031/73</t>
  </si>
  <si>
    <t>PUESTO DE CONTROL DENOMINADO FIJO UNO</t>
  </si>
  <si>
    <t>QUE MIENTRAS PERSONAL POLICIAL SE ENCONTRABA EN EL MENCIONADO PUESTO CONTROLANDO EL INGRESO Y EGRESO DEL PERSONAL AEROPORTUARIO A LA ZONA RESTRINGUIDA DE ESTE MEDIO, SE PRESENTA EN EL MISMO UNA PERSONA DE SEXO MASCULINO, PERTENECIENTE A LA EMPRESA INTERCARGO, Y AL QUERER SOMETERLO AL CONTROL MANUAL DE RUTINA EL MISMO SE NIEGA, MANIFESTANDO SE ERA UN CHISTE. A TAN EVENTO, PERSONAL POLICIAL LE SOLICITA EN RETIRADAS OCACIONES EL MISMO REQUIRIMIENTO, HACIENDO CASO OMISO EL PERSONAL DE INTERCARGO EN TODOS LOS CASOS, EXPRESANDO AL PERSONAL POLICIAL QUE SE HABIAN METIDO CON ALGUIEN QUE NO DEBIA, EN TONO AMENAZANTE. SEGUIDAMENTE Y LUEGO DE REITERADAS OCACIONES HACE ENTREGA DE LA CREDENCIAL AEROPORTUARIA EXPEDIDA POR ESTA POLICIA. DADAS TALES CIRCUNSCANCIAS SE TRASLADO AL PERSONAL DE INTERCARGO AL ASIENTO DE LA GUARDIA DE PREVENCION, A LOS EFECTOS DE LABRAR LAS ACTUACIONES QUE DIERAN A LUGAR.</t>
  </si>
  <si>
    <t>FISCALIA FEDERAL N° 1</t>
  </si>
  <si>
    <t>ESTACIONAMIENTO SCAN VAM</t>
  </si>
  <si>
    <t>SE PROCEDE A LA RETENCION DE OCHOS SACAS COLECTORAS DEL CORREO OFICIAL IDENTIFICADAS COMO. LA 1º SLA0085786E414100SFN, PRECINTO Nº C137228, CON UN PESO DE 3 KGS. CON DESTINO A LA CUIDAD DE SANTA FE. LA 2 º SLA0172847E555600CRD, PRECINTO Nº C137227, CON UN PESO DE 6 KGS. CON DESTINO A LA CUIDAD DE COMODORO RIVADAVIA. LA 3º SLA 0170737E606000BHI, PRECINTO Nº C139612, CON UN PESO DE 4 KGS CON DESTINO A LA CUIDAD DE BAHIA BLANCA. LA 4º SLA0163299D555900RGA, PRECINTO C137782, CON UN PESO DE 17 KGS, CON DESTINO A LA CUIDADDE RIO GRANDE. LA 5º SLA0161733D555700RGL, PRECINTO Nº C137792, CON UN PESO DE 5 KGS. CON DESTINO A LA CUIDAD DE RIO GALLEGOS. LA 6º SAL 0172411E555500REL, PRECINTO Nº B734419, CON UN PESO DE 2 KGS. CON DESTINO A LA CUIDAD DE TRELEW. LA 7º SLA 0168855E636300NQN, PRECINTO Nº C137216, CON UN PESO DE 2 KGS. CON DESTINO A LA CUIDADDE NEUQUEN Y LA 8º SLA0169122E555700RGL, PRECINTO Nº C137281, CON UN PESO DE 4 KGS. CON DESTINO A LA CUIDADDE RIO GALLEGOS. LAS RETENCIONES SE REALIZAN ANTE LA PRESUNCIUON DE QUE PUDIERAN CONTE4NER ELEMENTOS EN INFRACCION ALAS LEYES 22.415 Y/O 23.737. QUEDANDO LAS MISMAS EN GUARDA EN ESTA UOSP. LA CUALES SE ENCUENTRAN CERRADAS Y PRECINTADAS, SE INFORMO TELEFONICAMENTE AL JUZGADO INTERVINIENTE, LA PAERTURA DE LAS MISMAS SE REALIZARA EN PRESENCIA DEL PERSONAL DEL CORREO. CON CONOCIMEINTO DEL JUOSP.</t>
  </si>
  <si>
    <t>GUSTAVO RUSSO</t>
  </si>
  <si>
    <t>DUTY FREE SHOP LOCAL Nº 14</t>
  </si>
  <si>
    <t>EN EL DIA DE LA FECHA SIENDO LAS 1330 HORAS PERSONAL DE SEGURIDAD PRIVADA DE LA EMPRESA MENCIONADA SEPERCATA QUE UN PASAJERO HABIA GUARDADO UNOS PRODUCTOS EN UNA DE LAS BOLSA QUE EL MISMO FREE SHOP LE HABIA ENTREGADO POSTERIORMENTE OTRO PERSONAL DE LA EMPRESA DE SEGURIDAD SEPERCATA DEL FALTANTE DE UNOS PRODUCTOS QUE ESTABAN COLOCADOS EN UNA GONDOLA POR DONDE EL IMPUTADO HABIA PASADO, POR LO QUE LUEGO DE RETIRARSE DEL HALL SE LE DA INTERVENCION AL PERSONAL POLICIAL APOSTADO EN EL PREEMBARQUE INTERNACIONAL A FIN DE CORROBORAR QUE EL FALTANTE DE LA MERCADERIA ERA PRODUCTO DE LA SUSTRACCION DE ESTA PERSONA. AL CORROBORAR QUE LA MERCADERIA QUE POSEIA EN LAS BOLSAS ERAN LAS FALTANTE EN LAS GONDOLAS SE PROCEDE TRASLADARSE TODOS LOS INTERVINIENTES AL PUESTO DE GUARDIA. SIENDO LAS 1525 SE ENTABLA COMUNICACION CON EL DR. RUSSO SECRETARIO DEL JUZGADO DE TURNO EL CUAL DISPONE QUE SE REALICEN ACTUACIONES DE RIGOR Y EN CASO DE NO MEDIAR IMPEDIMENTO LEGAL SE PROCEDA A LA SOLTURA DEL IMPUTADO, CIERRE Y ELEVACION DE LO ACTUADO. SIENDO LAS 23:05 HORASSE PROCEDE A LA SOLTURA DEL IMPUTADO.</t>
  </si>
  <si>
    <t>PU 108</t>
  </si>
  <si>
    <t>PERGOLA DE ARRIBOS DE LA TERMINAL A</t>
  </si>
  <si>
    <t>INFORMO QUE SE INSTRUYO CAUSA DE OFICIO EN VIRTUD A LO DENUNCIADO VERVALMENTE POR EL DAMNIFICADO QUE MANIFESTO, QUE LUEGO DE ARRIBAR A ESTA AEROSTACION EN UN VEHICULO TAXI, DEL CUAL NO PUEDE APORTAR MAS DATOS, EL NOMBRADO DESCIENDE DEL MISMO Y SE DIRIGE A UNOS DE LOS CAJEROS AUTOMATICOS, A LOS EFECTOS DE RETIRAR DINERO, CON EL CUAL ABONARIA EL VIAJE EN TAXI, DEJANDO EN EL INTERIOR DEL RODADO SUS EQUIPAJES. QUE AL LLEGAR DEL CAJERO SE ENCONTRO QUE EL CONDUCTOR DEL TAXI HABIA DESCENDIDO TODAS SUS PERTENENCIAS DEL MISMO. SEGUIDAMENTE EL DENUNCIANTE LE ABONA EL VIAJE Y EL CONDUCTOR SE RETIRA. LUEGO PROCEDE A REVISAR SUS PERTENECIAS PERCATANDOSE QUE DE UN EQUIPAJE LE FALTABA UNA COMPUTADORA PORTATIL. POR TAL MOTIVO SE HACE PRESENTE EN ESTA GUARDIA DE PREVENCION, DONDE MANIFIESTA DESPUES DE LO EXPRESADO VERVALMENTE COM ANTERIORIDAD, SE DIRIGIRIA EFECTUAR EL CHEK IN EN LA COMPANIA POR LA CUAL VIAJARIA, Y LUEGO SE APERSONARIA NUEVAMENTE EN ESTA GUADIA DE PREVENCION, PARA RADICAR LA CORRESPONDIENTE DENUNCIA. ASIMISMO INFORMO QUE EL DENUNCIANTE NO REGRESO MAS A LA GUARDIA DE PREVENCION, POR LO QUE SE INTENTO TOMAR CONTACTO CON EL MISMO DE FORMA INFRUCTUOSA.</t>
  </si>
  <si>
    <t>BASSO, ANDRES</t>
  </si>
  <si>
    <t>CINTAS 4 O 5</t>
  </si>
  <si>
    <t>SECTOR CINTAS DE EQUIPAJE TERMINAL A</t>
  </si>
  <si>
    <t>EL DIA DE LA FECHA INDICADA, UNA VEZ ARRIBADA AL PAIS LA DENUNCIANTE, SE DIRIJE A RETIRAR SUS EQUIPAJES DESPACHADOS, PERCATANDOSE QUE UNO DE ELLOS SE ENCONTRABA VACIO Y A SU VEZ VIOLENTADO. UNA VEZ DE CULMINAR CON LOS TRAMITES ANTE LA EMPRESA AEREA, SE APERSONA A ESTA GUARDIA DE PREVENCION A RADICAR LA MISMA.</t>
  </si>
  <si>
    <t>MADRD</t>
  </si>
  <si>
    <t>BS AS</t>
  </si>
  <si>
    <t>DRA. ANA COTTER</t>
  </si>
  <si>
    <t>AV. AMANCIO ALCORTA NRO. 1844 CIUDAD AUTONOMA DE BUENOS AIRES</t>
  </si>
  <si>
    <t>EN EL DIA DE LA FECHA SE PROCEDIO A LA DETENCION DEL CIUDADANO RAUL RICARDO ESPINOZA, EN EL DOMICILIO DE LA AV. AMANCIO ALCORTA AL 1844, POSTERIORMENTE ES TRASLADADO A LA UOSP METROPOLITANA PARA SER FICHADO Y TRASLADADO A LA UDAD. 28 DEL SERVICIO PENITENCIARIO FEDERAL, DE ACUERDO A LO ORDENADO POR EL JUZGADO INTERVINIENTE.</t>
  </si>
  <si>
    <t>BASSO ANDRES</t>
  </si>
  <si>
    <t>CINTA NUMERO 3</t>
  </si>
  <si>
    <t>SECTOR DE CINTAS DE EQUIPAJE TERMINAL A</t>
  </si>
  <si>
    <t>EN MOMENTOS DE ARRIBAR A ESTE AEROPUERTO, SE DIRIJE AL SECTOR DE CINTAS PARA RETIRAR SU EQUIPAJE DESPACHADO A BODEGA, PERCATANDOSE QUE AL MISMO LE FALTABA EL CANDADO QUE HABIA COLOCADO EN EL AEROPUERTO DE VALENCIA. PROCEDIENDO A LA APERTURA DEL MISMO NOTA EL FALTANTE DE VARIOS REGALOS QUE TRAIA. POR TAL MOTIVO SE APERSONA EN ESTA GUARDIA DE PREVENCION PARA RADICAR FORMAL DENUNCIA.</t>
  </si>
  <si>
    <t>VALENCIA</t>
  </si>
  <si>
    <t>JUZGADO FEDERAL DE 1RA INSTANCIA DE PARANA</t>
  </si>
  <si>
    <t>JUAN ANTONIO ROSAS PAZ</t>
  </si>
  <si>
    <t>JOHNSTON GUILLERMO FABIAN S/DENUNCIA</t>
  </si>
  <si>
    <t>EN EL DIA DE LA FECHA SE RECIBE OFICIO NRO 141/10 DEL JUZGADO FEDERAL NRO 1 DE PARANA - ENTRE RIOS DONDE SE MANIFIESTA SE REMITA A ESE TRIBUNAL LA NOMINA Y/O AGENTES DEPENDIENTES QUE PRESTARAN SERVICIOS EN ESTA UNIDAD ENTRE LOS MESES DE DICIEMBRE DE 2007 Y AGOSTO DE 2009</t>
  </si>
  <si>
    <t>DR. MAXIMILIANO DAVIES</t>
  </si>
  <si>
    <t>SUMARIO POR AVERIGUACION - ACCIDENTE AEREO</t>
  </si>
  <si>
    <t>EXPTE. Nº 15.657/10</t>
  </si>
  <si>
    <t>RUTA 9 KM 688 ZONA RURAL, LA CARBONADA, LOCALIDAD DE TOLEDO, PROVINCIA DE CORDOBA.</t>
  </si>
  <si>
    <t>SIENDO EL DIA 19 DE FEBRERO SE RECEPCIONO POR PARTE DEL JUZGADO FEDERAL Nº 2 ORDEN DE ALLANAMIENTO DE FECHA 18 DE FEBRERO DIRECCIONADO AL SR. JEFE DE LA DIRECCION REGIONAL DE LA POLICIA DE SEGURIDAD AEROPORTUARIA CON LA FINALIDAD DE PROCEDER AL ALLANAMIENTO DE LA FINCA UBICADA EN RUTA 9 KM 688 ZONA RURAL LA CARBONADA LOCALIDAD DE TOLEDO PROVINCIA DE CORDOBA, LUGAR DONDE RESIDIRIA EL SR. JAVIER EDUARDO MASIN. LA FINALIDAD DEL PRESENTE ALLANAMIENTO ES AL SOLO EFECTO DE PROCEDER AL SECUESTRO DE DOCUMENTACION RELATIVA A LA AERONAVE CESSNA 206 MATRICULA LV-IJZ, HISTORIAL DE VUELO, PLAN DE VUELO SI LO HUBIERE, DOCUMENTACION REFERENTE A LA HABILITACION DE VUELO DEL PILOTO GASTON PINTADO Y TODO OTRO ELEMENTO DE INTERES PARA LA CAUSA. SE HACE MENCION EN EL PRESENTE PARTE DE QUE LA ORDEN DE ALLANAMIENTO LIBRADA EN EL DIA DE LA FECHA TIENE RELACION DIRECTA CON LOS ALLANAMIENTOS ORDENADOS EL DIA MIERCOLES 17 DE FEBRERO DEL CORRIENTE AÑO, NO PUDIENDOSE LLEVAR ADELANTE DEBIDO A UNA FALTA DE CONFIRMACION DE DOMICILIO Y POR UNA EQUIVOCACION EN EL APELLIDO DEL SR. MASIN.</t>
  </si>
  <si>
    <t>BARBER WALTER DANIEL Y OTROS S/INF LEY 23737.-</t>
  </si>
  <si>
    <t>INFORMO QUE EN EL VUELO LADE DEL DIA DE LA FECHA SE ENVIA UN SOBRE CERRADO A LA EXCELENTISIMA CAMARA DE APELACIONES DE COMODORO RIVADAVIA PROVINCIA DE CHUBUT CONTENIENDO EN SU INTERIOR DOCUMENTACION DE LA CAUSA ANTES MENCIONADA, BAJO GUIA DE CARGA N° 022-28004034, CONFORME A LO ORDENADO POR OFICIO SIN NUMERO DE FECHA 16/02/2010. ASI MISMO SE INFORMA QUE SE ESTIMA EL ARRIBO A LA CIUDAD DE COMODORO RIVADAVIA A LAS 17:00 HORAS APROXIMADAMENTE.-</t>
  </si>
  <si>
    <t>LD-725</t>
  </si>
  <si>
    <t>INFORMO QUE EN VUELO LADE DEL DIA DE LA FECHA SE ENVIA UN SOBRE CERRADO A LA EXCELENTISIMA CAMARA DE APELACIONES DE COMODORO RIVADAVIA CONTENIENDO EN SU INTERIOR DOCUMENTACION REFERENTE A HABILITACION N° 34 AL 36/10 H Y PLANOS FADUL DE ESTE JUZGADO FEDERAL, BAJO GUIA DE CARGA N° 022-28004034, CONFORME A LO ORDENADO POR OFICIO DE FECHA 17/02/2010 ASI MISMO SE INFORMA QUE SE ESTIMA EL ARRIBO DEL VUELO A LAS 17.00 HORAS APROXIMADAMENTE.-</t>
  </si>
  <si>
    <t>DR. FELIX PABLO CROUS S/DENUNCIA - LA CACHA - L. OLMOS</t>
  </si>
  <si>
    <t>CALLE 46 NRO. 1377 - LOCALIDAD DE LA PLATA - PCIA. BS.AS.</t>
  </si>
  <si>
    <t>EN EL DIA DE LA FECHA SE PROCEDIO AL ALLANAMIENTO DE LA VIVIENDA CITA EN LA CALLE NRO. 46 - NRO. 1377 DE LA LOCALIDAD DE LA PLATA - PCIA. DE BUENOS AIRES, CON EL FIN DE PROCEDER A LA DETENCION DEL SR. CESAR EMILIO BRANNE, SIENDO HABIDO EL NOMBRADO EN DICHA FINCA Y ANTE SU DELICADO ESTADO DE SALUD, S.SA. ORDENA QUE SEA EXAMINADO POR UN MEDICO LEGISTA, EL MENCIONADO PROFESIONAL DR. VENTURUZZO M.P. NRO. 18459 PERTENECIENTE AL CUERPO MEDICO FORENSE DE LA POLICIA BONAERENSE EMITIO CERTIFICADO EN EL CUAL RECOMIENDA ARRESTO DOMICILIARIO YA QUE EL NOMBRADO PADECE COREA DE HUNTINGTON, ENFERMEDAD NEUROLOGICA CRONICA Y PROGRESIVA, POR LO CUAL S.SA. ORDENA SE CITE A LA ESPOSA DEL NOMBRADO, SRA. STELLA MARIS RUSCITTI DNI. NRO. 6.268.668 A QUE COMPAREZCA ANTE LA CEDE JUDICIAL A LOS EFECTOS DE TOMAR ENTERADO DE LA DETENCION DOMICILIARIA DE SU ESPOSO.</t>
  </si>
  <si>
    <t>DRA HEBE MARIA DE LAS MERCEDES ALVAREZ</t>
  </si>
  <si>
    <t>GENDARMERIA EL CALAFATE S/INFRACCION LEY 23737</t>
  </si>
  <si>
    <t>35-249-09</t>
  </si>
  <si>
    <t>EL DIA 17 DE FEBRERO DEL CORRIENTE AÑO SE DA CUMPLIMIENTO A OFICIO Nº 16/2010 REFERENTE A AVERIGUACION DE DOMICILIO DEL CIUDADANO CHRISTIAN FIDEL MIRANDA ROMERA, DOMICILIADO EN CALLE JUSTO ALZUA Nº 1045 DE EL CALAFATE SANTA CRUZ. SIENDO HABITADO EN LA ACTUALIDAD POR LA SRA EDITH FERNANDEZ MEDIOSI, DNI 18201667, ESTADO CIVIL CASADA, NACIONALIDAD ARGENTINA. LA MORADORA ACTUAL DEL DEPARTAMENTO UBICADO EN LA PLANTA BAJA ES LA SRTA MARINA RODO, DNI 29764188, DE ESTADO CIVIL SOLTERA, NACIONALIDAD ARGENTINA APORTANDO LA ANTES MENCIONADAS DATO DE QUE EL SR. MIRANDA ROMERA NO SE DOMICILIA ALLI. LAS ACTUACIONES PRACTICADAS FUERPN RECEPCIONADAS EN LA LOCALIDAD DE RIO GALLEGOS EL DIA 18 DEL CORRIENTE, REMITIENDOLAS A ESTA UOSP EN EL DIA DE LA FECHA</t>
  </si>
  <si>
    <t>DR. ANDRES BASSO</t>
  </si>
  <si>
    <t>PORTAEQUIPAJE SUPERIOR DEL ASIENTO, ASIENTO NUMERO 24F</t>
  </si>
  <si>
    <t>UNA VEZ ARRIBADO EL VUELO DE MENCION A ESTA AEROESTACION, LA DENUNCIANTE LUEGO DE REALIZAR LOS TRAMITES CORRESPONDIENTES DE MIGRACIONES Y ADUANA, EN MOMENTOS QUE SE ENCONTRABA EN EL BAÑO DEL SECTOR PUBLICO DE LA TERMINAL A, SIN PERDER DE VISTA EN NINGUN MOMENTO EL EQUIPAJE EN CUESTION, PROCEDIENDO EN DICHO BAÑO A LA APERTURA DE SU EQUIPAJE DE MANO A LOS EFECTOS DE CAMBIARSE DE ROPA, PERCATANDOSE DEL FALTANTE DE SU COMPUTADORA PERSONAL, A LA CUAL HABRIA VISTO POR ULTIMA VEZ EN MOMENTOS DE SU EMBARQUE EN LA CIUDAD DE MADRID. POR TAL MOTIVO SE DIRIJE A ESTA GUARDIA DE PREVENCION PARA RADICAR FORMAL DENUNCIA.</t>
  </si>
  <si>
    <t>UX-041</t>
  </si>
  <si>
    <t>EXPTE. 15.657/10</t>
  </si>
  <si>
    <t>RUTA 9 KM 688 ZONA RURAL, LA CARBONADA, LOCALIDAD DE TOLEDO, PROVINCIA DE CORDOBA</t>
  </si>
  <si>
    <t>SE INFORMA QUE EN EL DIA DE LA FECHA SIENDO LAS 17:30 SE DIO COMIENZO A LA ORDEN DE ALLANAMIENTO PARA LA FINCA UBICADO EN RUTA 9 KM 688, LA CARBONADA, LOCALIDAD DE TOLEDO, PROVINCIA DE CORDOBA. AMPLIANDO PARRADO ANTERIOR APROXIMADAMENTE A LAS 18:35 HS. SE DIO POR FINALIZADO EL PROCEDIMIENTO ARROJANDO RESULTADO NEGATIVO EN LO QUE RESPECTO AL SECUESTRO DE DOCUMENTACION RELATIVA TANTO A LA AERONAVE CESSNA 206 LV-IJZ COMO ASI TAMBIEN DEL PILOTO GASTON PINTADO, RETORNANDO NUEVAMENTE LA COMISION AL AEROPUERTO INTERNACIONAL CORDOBA.</t>
  </si>
  <si>
    <t>SE PROCEDE A LA RETENCION DE UNA SACA COLECTORA DEL CORREO OFICIAL, IDNETIFICADA CON MARBETE Nº SLA0163443D555800VAE, PRECINTO Nº C137268, CON UN PESO DE 14,900 KGS, CON DESTINO A LA CIUDAD DE USHUAIA, AMPARADA EN GUIA AEREA Nº 9327555-6 DE LA EMPRESA JET PAQ, DESPACHADA POR ESTA EMPRESA. LA RETENCION SE REALIZA ANTE LA PRESUNCION DE QUE PUDIERA CONTENER ALGUN ELEMENTO EN INFRACCION A LA LEY 22415 Y/O 23737 . QUEDANDO LA MISMA CERRADA Y PRECINTADA EN GUARDA EN ESTA UOSP. SE COMUNICO TELEFONICAMENTE CON EL JUZGADO INTERVINIENTE Y LA APERTURA SE REALIZARA EN PRESENCIA DE PERSONAL DEL CORREO, CON CONOCIMIENTO DEL JEFE DE UNIDAD.</t>
  </si>
  <si>
    <t>FISCALIA NACIONAL CRIMINAL DE INSTRUCCION Nº 19</t>
  </si>
  <si>
    <t>BUGEIRO</t>
  </si>
  <si>
    <t>Graciela</t>
  </si>
  <si>
    <t>DRA. ANDREA MONICA CAPALBO</t>
  </si>
  <si>
    <t>CINTA TRANSPORTADORA DE EQUIPAJE</t>
  </si>
  <si>
    <t>SIENDO LA HORA Y FECHA MENCIONADA, SE HACE PRESENTE EL DENUNCIANTE EN ESTE AEROPUERTO METROPOLITANO, CON EL OBJETO DE ABORDAR EL VUELO DESCRIPTO CON ANTERIORIDAD. PARA TAL FIN, SE DIRIGIO A REALIZAR EL CHECK IN, LUGAR DONDE EFECTÚO EL DESPACHO DE SU EQUIPAJE. SIENDO LAS 20:00 HORAS, PERSONAL DE LA EMPRESA AÉREA, LE COMUNICA QUE SU VUELO SE HABIA CANCELADO Y QUE SERIA REUBICADO EN EL VUELO Nº 1420 CON EL MISMO DESTINO, DIRIGIENDOSE EL DENUNCIANTE HACIA EL SECTOR DE ARRIBOS A2 PARA RECOGER SU EQUIPAJE Y REALIZAR NUEVAMENTE EL CHECK IN. MOMENTO EN EL CUAL SE PERCATO DE QUE EL MISMO ESTABA DESCOCIDO Y CON FALTANTE DE CONTENIDO. SIENDO LAS 20:50 HORAS, SE HACE PRESENTE EN ESTA GUARDIA DE PREVENCION PARA RADICAR LA CORRESPONDIENTE DENUNCIA DEL HECHO.</t>
  </si>
  <si>
    <t>FISCALIA DE INVESTIGACION PROVINCIAL N° 5 DE RESISTENCIA - CHACO.</t>
  </si>
  <si>
    <t>VILLABA</t>
  </si>
  <si>
    <t>NELIDA MARIA</t>
  </si>
  <si>
    <t>DENUNCIA ALEJANDRO RENE FRANGIOLI S/DENUNCIA ROBO MANO ARMADA</t>
  </si>
  <si>
    <t>CAMINO PERIMETRAL A 300 MTS BICIVELODROMO APRXIMADAMENTE A 2000 MTS AEROESTACION</t>
  </si>
  <si>
    <t>EN CIRCUNSTANCIA QUE EL SEÑOR ALEJANDRO RENE FRANGIOLI CIRCULABA CON SU VEHICULO PARTICULAR MARCA FORD ECOSPORT POR EL CAMINO PERIMETRAL DE ESTA JURISDICCION AMINORA SU MARCHA ANTE LAS SEÑAS REALIZADAS POR DOS INDIVIDUOS DE SEXO MASCULINO Y QUIEN AL MOMENTO DE DETENERSE ES ABORDADO POR UNO DE ELLOS QUIEN LO AMENAZA CON ARMA BLANCA MACHETES, PRODUCIENDOSE UN FORCEJEO ENTRE AMBOS PRODUCIENDOLE HERIDAS CORTANTES EN SU CUERPO LOGRANDO SUSTRAERLE ALGUNAS PERTENENCIAS PARA LUEGO DARSE A LA FUGA CON DIRECCION A LA LOCALIDAD DE FONTANA.</t>
  </si>
  <si>
    <t>SEGURA HORACIO JOAQUIN</t>
  </si>
  <si>
    <t>DIAZ VASQUEZ BISMARCK S/ CONTRABANDO</t>
  </si>
  <si>
    <t>INMEDIACIONES DE LA MANGA DE EMBARQUE Nº 8, PRIMER PISO</t>
  </si>
  <si>
    <t>PERSONAL ASIGNADO A LA ORDEN DE SERVICIO 430/09 DE LA REGIONAL I DEL ESTE SE ENCONTRABA REALIZANDO LOS CONTROLES SOBRE LOS PASAJEROS ARRIBADOS EN CONDICION DE TRANSITO PARA VUELOS CON DESTINO A SUDAFRICA. ES ALLI QUE SE ENTREVISTAN CON UN PASAJERO ARRIBADO EN VUELO LA2429 PROCEDENTE DE LIMA PERU, QUE SE CONTRADICE EN SUS RESPUESTAS Y DENOTA UN ALTO ESTADO DE NERVIOSISMO, QUE SE ENCUENTRA VIAJANDO SOLO, CON POCO EQUIPAJE Y CON PASAPORTE OTORGADO EL 15 FEB 2010. ANTE LA DUDA GENERADA SE DA AVISO A ESTA GUARDIA Y SE SOLICITA AL JUZGADO, AUTORIZACION DE REQUISA. ORDENANDOSE LA INSPECCION MEDIANTE BODY SCAN DE ADUANA DE LA QUE SURGEN DUDAS PERO NO SE PUEDE DETERMINAR FEHACIENTEMENTE LA POSIBLE INGESTA DE CUERPOS EXTRAÑOS, POR LO QUE SE TRASLADA AL CAUSANTE AL HOSPITAL ZONAL DONDE SE LE PRACTICAN PLACAS RX, DE LAS QUE SE DESPRENDE EL ESTADO DE INGESTA DEL PASAJERO EN CUESTION, EL CUAL PERMANECE INTERNADO EN TERAPIA INTENSIVA POR PRESCRIPCION MEDICA. DISPONIENDO EL JUZGADO INTERVINIENTE QUE EL CAUSANTE PERMANEZCA DETENIDO EN CALIDAD DE INCOMINICADO, SE LABREN LAS DILIGENCIAS DE RIGOR Y OBTENIDA EL ALTA MEDICA EL DETENIDO SEA TRASLADADO A SEDE JUDICIAL</t>
  </si>
  <si>
    <t>977/10</t>
  </si>
  <si>
    <t>OFICINA DE GUARDIA</t>
  </si>
  <si>
    <t>SE PROCEDE A LA APERTURA DE UNA SACA COLECTORA DEL CORREO OFICIAL EN PRESENCIA DE UN TESTIGO HABIL, MEDIDA COORDINADA PREVIAMENTE CON EL JUZGADO DE TURNO. LA SACA IDENTIFICADA CON MARBETE SLA016443D55580VAE, PRECINTO Nº C137268, CONTIENE DOS PIEZAS POSTALES LA 1ª IDENTIFICADA CON MARBETE EP722138226AR, QUEDA RETENIDSA Y LA 2ª IDENTIFICADA VON MARBETE EP658935048AR QUEDA LIBERADA Y ES ENTREGADA AL CORREO OFICIAL PARA SU REINSERCION EN EL CIRCUITO POSTAL. LA RETENIDA QUEDA EN DEPOSITO JUDICIAL DE ESTA UNIDAD A LA ESPERA DEL OFICIO QUE AUTORICE SU APERTURA. CON CONOCIMIENTO DEL JEFE DE UNIDAD.</t>
  </si>
  <si>
    <t>PUESTO DE GUARDIA ARRIBOS DEL TERMINAL A, SECTOR RESTRINGIDO</t>
  </si>
  <si>
    <t>QUE EN EL HORARIO INDICADO EL PERSONAL POLICIAL INTERVINIENTE SOMETE A CONTROL RUTINARIO MEDIANTE PALETA DETECTORA DE METALES AL DETENIDO, NOTANDO QUE LA PALETA ACTIVABA LA ALARMA SONORA Y LUMINICA DE LA MISMA POR LO QUE EL OFICIAL INTERVINIENTE LE SOLICITA QUE EXHIBA LAS PERTENENCIAS, HALLANDO EL PERSONAL POLICIAL LOS OBJETOS DESCRIPTOS. POR TAL MOTIVO EL PERSONAL POLICIAL TRANSMITE LA NOVEDAD SURGIDA AL OFICIAL ROJAS, Y POSTERIORMENTE TRASLADAN EN PRESENCIA DE UN TESTIGO AL DETENIDO A LA GUARDIA DE PREVENCION. SEGUN EL PU Nº 993 AMPLIACION SE INFORMA QUE SIENDO EL DIA 21-02-10 SE PROCEDIO AL TRASLADO DEL ENCARTADO A LA UNIDAD Nº 28 DEL SPF. SEGUN EL PU Nº 998 AMPLIACION SE INFORMA QUE DONDE DICE 120-E/10 DEBE DECIR 102-E/10.</t>
  </si>
  <si>
    <t>Narcotrafico Ampliacion Ingestados</t>
  </si>
  <si>
    <t>980/10</t>
  </si>
  <si>
    <t>INMEDIACIONES DE LA MANGA DE EMBARQUE NRO 8, PRIMER PISO</t>
  </si>
  <si>
    <t>SE PROCEDE A INFORMAR QUE EL DETENIDO GENERO LA PRIMER DEPOSICION, EL DIA DE LA FECHA A LAS CERO CUATRO HORAS, CON UN RESULTADO DE CATORCE 14 CAPSULAS DE IDENTICAS CARACTERISTICAS ARROJANDO UN PESO DE CIENTO SESENTA Y CUATRO GRAMOS, DE LAS CUALES SE EXTRAJO DE LA DENOMINADA CAPSULA A, UNA PEQUEñA PORCION DE SUSTANCIA LA CUAL SOMETIDA A REACTIVO QUIMICO PARA COCAINA ARROJO RESLUTADOS POSITIVOS, Y QUE SIENDO LAS SIETE HORAS DEL DIA DE LA FECHA GENERO LA SEGUNDA DEPOSICION, CON UN RESULTADO DE DIECINUEVE 19 CAPSULAS DE IDENTICAS CARACTERISITICAS, ARROJANDO UN PESO TOTAL DE DOSCIENTOS VEINTIDOS 222 GRAMOS DE LAS CUALES SE EXTRAJO DE LA DENOMINADA B, UNA PEQUEñA PORCION DE SUSTANCIA LA CUAL SOMETIDA A REACTIVO QUIMICO PARA COCAINA ARROJO RESULTADOS POSITIVOS</t>
  </si>
  <si>
    <t>SA0227</t>
  </si>
  <si>
    <t>BUENOS AIRES - MTO. PISTARINI</t>
  </si>
  <si>
    <t>JOHANESBURGO</t>
  </si>
  <si>
    <t>AEROPUERTO DE MONTEVIDEO- AEROPARQUE METROPOLITANO. DESPACHO POR BODEGA</t>
  </si>
  <si>
    <t>SIENDO LA HORA Y LA FECHA ANTES MENCIONADA SE PRESENTA EN LA GUARDIA DE PREVENCION EL DAMNIFICADO A FIN DE INFORMAR QUE AL ARRIBAR AL AEROPARQUE METROPOLITANO RETIRA DE LA CINTA DE EQUIPAJES SU MOCHILA Y SE DIRIGIO A SU DOMICILIO PARTICULAR. UNA VEZ ALLI AL APERTURAR SU MOCHILA SE PERCATO DEL FALTANTE DE UN PAR DE ANTEOJOS Y DE SU ESTUCHE, POR LO QUE DECIDE REALIZAR EL RECLAMO EN LA COMPAÑIA AEREA Y AL NO OBTENER UNA SOLUCION DECIDE LUEGO DE UNOS DIAS ACERCARSE AL AEROPARQUE METROPOLITANO A RADICAR LA DENUNCIA. SIENDO LAS 15:10 HORAS SE ESTABLECE COMUNICACION TELEFONICA CON LA JUDICATURA ACTUANTE A QUIEN SE LE INFORMA LO SUCEDIDO DISPONIENDO: SE SOLICITE LA NOMINA DE TODO EL PERSONAL INTERVINIENTE EN LA OPERATORIA DEL VUELO, CIERRE Y ELEVACION DE LAS ACTUACIONES.</t>
  </si>
  <si>
    <t>AR 1209</t>
  </si>
  <si>
    <t>INMEDICAIONES DE LA MANGA DE EMBARQUE NRO 8, PRIMER PISO</t>
  </si>
  <si>
    <t>CUMPLO EN INFORMAR QUE EL DETENIDO SIENDO LAS SIETE HORAS VEINTE GENERO LA DEPOSICION NUMERO TRES POR UN TOTAL DE 11 ONCE CAPSULAS DE IDENTICAS CARACTERISTICAS QUE LAS DETALLADAS EN LA DEPOSICION NUMERO 1 Y 2, ARROJANDO UN PESO DE CIENTO TREINTA GRAMOS 130GS., SIENDO LAS ONCE HORAS TREINTA MINUTOS, DEPOSICION NUMERO CUATRO POR UN TOTAL DE 01 UNA CAPSULA DE IDENTICAS CARACTERISTICAS ARROJANDO UN PESO DE DOCE 12 GRAMOS, SIENDO LAS TRECE HORAS TREINTA MINUTOS, DEPOSICION NUMERO CINCO POR UN TOTAL DE CUATRO 04 CAPSULAS ARROJANDO UN PESO DE CUARENTA Y OCHO GRAMOS Y SIENDO LAS QUINCE HORAS LA DEPOSICION NUMERO SEIS, POR UN TOTAL DE UNA 01 CAPSULA ARROJANDO UN PESO DE DOCE GRAMOS. ES TODO CONSTE.</t>
  </si>
  <si>
    <t>AEROESTACION MILITAR AEROPARQUE.</t>
  </si>
  <si>
    <t>SIENDO LA HORA Y LA FECHA ANTES MENCIONADA SE IMPLEMENTA LA ORDEN DE SERVICIO Nº 105/10 DE LA URSA I DEL ESTE REFERENTE AL CONTROL DE POLICIA DE SEGURIDAD AEROPORTUARIA POR LA PARTIDA DE VUELO PRESIDENCIAL CON DESTINO A LOS ESTADOS UNIDOS MEXICANOS. DE ACUERDO AL ALERTA POLICIAL SE UBICAN MOVILES POLICIALES EN LAS CABECERAS DEL AEROPARQUE METROPOLITANO. EN LA CABECERA NORTE UN MOVIL POLICIAL DE ESTA UOSP METROPOLITANA Y EN LA CABECERA SUR UN MOVIL POLICIAL DE APOYO DE LA UOSP EZEIZA CON DOS EFECTIVOS DE LA MISMA Y EN EL SECTOR PUBLICO SE REFUERZA CON UN MOVIL POLICIAL CON PERSONAL DE LA DIVISION ANTITERRORISMO. SIENDO LAS 00:14 HORAS ARRIBA LA PRESIDENTE A LA AEROESTACION MILITAR VIA TERRESTRE, DESPEGANDO LA PRIMER MANDATARIA A LAS 00:27 HORAS EN LA AERONAVE MATRICULA T-01 SIN NOVEDAD. SIENDO LAS 00:30 HORAS FINALIZA EL OPERATIVO PRESIDENCIAL.</t>
  </si>
  <si>
    <t>DRA. LORENA LAMAS</t>
  </si>
  <si>
    <t>TENENCIA ILEGAL DE ARMA DE USO CIVIL CONDICIONAL.</t>
  </si>
  <si>
    <t>SALA DE DESPACHO DE ARMAMENTO DEL SECTOR ARRIBOS A2.</t>
  </si>
  <si>
    <t>SALA DE DESPACHO.</t>
  </si>
  <si>
    <t>SIENDO LA HORA Y LA FECHA ANTES MENCIONADA SE RECIBE COMUNICACION VIA RADIAL POR PARTE DEL ENCARGADO DE TURNO, OFICIAL EDGARDO HADAD, INFORMANDO QUE EN MOMENTOS DE DESPACHAR UN PASAJERO DE SEXO MASCULINO SU ARMA EN LA SALA DE DESPACHOS PERSONAL POLICIAL, OFICIAL TERESIN MIRNA, VERIFICA QUE LA TARJETA DE USO CIVIL CONDICIONAL PARA DICHA PISTOLA SE ENCONTRABA VENCIDA POR LO QUE SE TRASLADA AL PASAJERO JUNTO CON LOS TESTIGOS HASTA LA GUARDIA DE PREVENCION A FIN DE COMENZAR CON LAS ACTUACIONES JUDICIALES. SIENDO LAS 19:35 HORAS SE ENTABLA COMUNICACION TELEFONICA CON LA DRA. LAMAS A QUIEN SE LE INFORMA LO SUCEDIDO DISPONIENDO LO SIGUIENTE:DETENCION DEL CAUSANTE, LECTURA DE DERECHOS, INGRESO Y EGRESO PRECARIO MEDICO, TRES JUEGOS DE FICHAS DACTILOSCOPICAS, CONSTATACION DE DOMICILIO, ART. 86 BIS RJCACC Y 197 DEL CPPN, ENVIAR NOTA IDGE AL DEPARTAMENTO DE INTERPOL DE LA POLICIA FEDERAL ARGENTINA A EFECTOS DE SABER SI EL CAUSANTE REGISTRA O NO IMPEDIMENTOS LEGALES, SECUESTRO DE LAS TARJETAS DEL ARMA, SECUESTRO DEL ARMA, SECUESTRO DEL ELEMENTO CONTENEDOR, FOTOS, INFOME DE APTITUD DEL ARMA, Y EN CASO DE NO MEDIAR IMPEDIMENTO LEGAL ALGUNO SE PROCEDA A LA SOLTURA DEL CAUSANTE. SIENDO LAS 01:00 HORAS SE PROCEDE A CUMPLIMENTAR LO ORDENADO POR LA JUDICATURA ACTUANTE LIBERANDO AL CAUSANTE REALIZANDOLE LA SALIDA PRECARIA MEDICA RETIRANDOSE DE LA JURIDICCION CONFORME CON LOS TRATOS RECIBIDOS Y CON LA TOTALIDAD DE SUS PERTENENCIAS.</t>
  </si>
  <si>
    <t>DRA. ANDREA MONICA CAPALDO.</t>
  </si>
  <si>
    <t>PLATAFORMA COMERCIAL - PATIO DE VALIJAS- BODEGA DE LA AERONAVE - CINTA DE ARRIBOS.</t>
  </si>
  <si>
    <t>AEROPUERTO DE BARILOCHE- AEROPARQUE METROPOLITANO.</t>
  </si>
  <si>
    <t>SIENDO LA HORA Y LA FECHA ANTES MENCIONADA SE PRESENTA EN LA GUARDIA DE PREVENCION LA DAMNIFICADA PARA INFORMAR QUE EN MOMENTOS DE ARRIBAR AL AEROPARQUE METROPOLITANO SECTOR A1 RETIRO DE LA CINTA DE EQUIPAJES DEL ARRIBO SU VALIJA Y SE PERCATO DE QUE UNO DE LOS BOLSILLOS DELANTEROS ESTABA ABIERTO Y CON SIGNOS EVIDENTES DE VIOLENCIA COMO ASI TAMBIEN EL CANDADO SE ENCONTRABA ROTO, FALTANDOLE PAPELES VARIOS SIN VALOR COMERCIAL, POR LO QUE SE DIRIGIO A LOS MOSTRADORES DE RECLAMOS DE LA COMPAÑIA AEREA DONDE REALIZO EL RESPECTIVO RECLAMO PARA POSTERIORMENTE TRASLADARSE A LA GUARDIA DE PREVENCION PARA RADICAR LA DENUNCIA.</t>
  </si>
  <si>
    <t>LA 4355</t>
  </si>
  <si>
    <t>988/10</t>
  </si>
  <si>
    <t>INFORMO QUE SIENDO LAS CATORCE HORAS DEL DIA 21-02-10 LA DRA SORRENTINO JEFE DE TERAPIA INTENSIVA DEL HOSPITAL ZONAL DE AGUDOS MADRE TERESA DE CALCUTA DE LA LOCALIDAD DE EZEIZA, PROCEDE A DAR DE ALTA AL ENCARTADO, MOTIVO POR EL CUAL EL MISMO ES TRASLADADO A ESTA UNIDAD OPERACIONAL QUEDANDO ALOJADO EN LA MISMA, HASTA EL DIA 22-02-10 A PRIMERA HORA, MOMENTO EN QUE SERA TRASLADADO AL JUZGADO INTERVINIENTE.</t>
  </si>
  <si>
    <t>984/10</t>
  </si>
  <si>
    <t>INFORMO QUE ISIENDO EL DIA 21-02-10, SE PROCEDIO AL TRASLADO DEL ENCARTADO A LA UNIDAD NRO 28 DEL SPF.</t>
  </si>
  <si>
    <t>CINTA DE RETIRO DE EQUIPAJE NRO.5</t>
  </si>
  <si>
    <t>SIENDO LA HORA INDICADA EL DENUNCIANTE ARRIBA AL TERRITORIO NACIONAL Y AL RETIRAR UNA MOCHILA DESPACHADA A BODEGA EN EL AEROPUERTO DE ORIGEN SE PERCATA DE DE UNO DE LOS BOLSILLOS EXTERNOS, EL CUAL NO SE ENCONTRABA CERRADO CON NINGUNA MEDIDA DE SEGURIDAD, CANDADO, PRECINTO, ETC. LE FALTABA UN ESTUCHE CONTENIENDO EN SU INTERIOR UN PAR DE LENTES DE SOL MARCA RAY BAN.</t>
  </si>
  <si>
    <t>LA2631</t>
  </si>
  <si>
    <t>Ecuador</t>
  </si>
  <si>
    <t>GUAYAQUIL</t>
  </si>
  <si>
    <t>AEROPUERTO EZEIZA - AEROPUERTO CABO FRIO DESPACHO POR BODEGA</t>
  </si>
  <si>
    <t>SIENDO EL DIA ANTES 07/02/10 EL DENUNCIANTE ABORDA EN LA TERMINAL A DE ESTE MEDIO UN VUELO DE LA EMPRESA ANDES CON DESTINO A LA CIUDAD DE CABO FRIO, BRASIL, DESPACHANDO A BODEGA UN CARRION DE COLOR MARRON CERRADO CON CANDADO. QUE AL ARRIBAR AL AEROPUERTO DE ORIGEN RECOGE SU EQUIPAJE Y SE DIRIGE HACIA UNA POSADA, EN LA CIUDAD DE CABO FRIO, LUGAR EN DONDE SE PERCATA, QUE EL CANDADO ESTABA ROTO, Y DEL INTERIOR DE LA VALIJA FALTABA UN PERFUME.</t>
  </si>
  <si>
    <t>CABO FRIO</t>
  </si>
  <si>
    <t>992/10</t>
  </si>
  <si>
    <t>INFORMO QUE SIENDO LAS SIETE HORAS DEL DIA 22-02-10 SE PROCE AL TRASLADO AL JUZGADO INTERVINIENTE, DEL DETENIDO DE AUTOS.</t>
  </si>
  <si>
    <t>QUE EN EL HORARIO INDICADO EL PERSONAL POLICIAL INTERVINIENTE SOMETE A CONTROL RUTINARIO MEDIANTE PALETA DETECTORA DE METALES AL DETENIDO, NOTANDO QUE LA PALETA ACTIVABA LA ALARMA SONORA Y LUMINICA DE LA MISMA POR LO QUE EL OFICIAL INTERVINIENTE LE SOLICITA QUE EXHIBA LAS PERTENENCIAS, HALLANDO EL PERSONAL POLICIAL LOS OBJETOS DESCRIPTOS. POR TAL MOTIVO EL PERSONAL POLICIAL TRANSMITE LA NOVEDAD SURGIDA AL OFICIAL ROJAS, Y POSTERIORMENTE TRASLADAN EN PRECENCIA DE UN TESTIGO AL DETENIDO A LA GUARDIA DE PREVENCION.DEJO CONSTANCIA QUE DONDE DICE CAUSA 120-E/10 DEBE DECIR CAUSA 102-E/10.</t>
  </si>
  <si>
    <t>DR ERNESTO MENDIETA</t>
  </si>
  <si>
    <t>INCIDENTE DE EXCARCELACION DE BARBER WALTER DANIEL.</t>
  </si>
  <si>
    <t>EXCELENTISIMA CAMARA FEDERAL DE APELACIONES DE COMODORO RIVADAVIA</t>
  </si>
  <si>
    <t>SIENDO LAS 0900 HORAS LOCAL SE TRASLADA A LA EXCELENTISIMA CAMARA FEDERAL DE APELACIONES DE COMODORO RIVADAVIA A CARGO DEL DR. ALDO SUAREZ UN SOBRE CERRADO SOBRE CAUSA INCIDENTE DE EXCARCELACION DE BARBER WALTER DANIEL Y UN SOBRE CERRADO CON NOTAS DE HABILITACION NRO 34 AL 36/10 H Y PLANOS FADUL DEL JUZGADO FEDERAL PARA LA DRA MARIA TERESA SERRA. DICHOS SOBRES SON ENVIADOS POR LA UNIDAD OPERACIONAL USHUAIA.</t>
  </si>
  <si>
    <t>SIENDO LA HORA Y FECHA ANTERIORMENTE CONSIGNADA SE HACE PRESENTE LA DENUNCIANTE, MANIFESTANDO QUE HABIA EXTRAVIADO SU PERMISO PERSONAL DE SEGURIDAD AEROPORTUARIA, DENTRO DE LAS INSTALACIONES DE ESTE AEROPUERTO, DESCONOCIENDO EL LUGAR EXACTO.</t>
  </si>
  <si>
    <t>953/10</t>
  </si>
  <si>
    <t>SE REALIZA APERTURA DE OCHO SACAS COLECTORAS DEL CORREO OFICIAL EN PRESENCIA DEL TESTIGO HABIL SR HECTOR OLARTE PREVIA COORDINACION CON EL JUZGADO DE TURNO. LA PRIMERA SLA085786E414100SFN, PRECINTO Nº C137228, CONTIENE UNA PIEZA IDENTIFICADA COMO EP049148280AR, LA CUAL QUEDA RETENIDA. LA SEGUNDA SACA MARBETE SLA0172847E555600CRD, PRECINTO Nº C137227, CONTIENE CUATRO PIEZAS: EP658938733, EP680915505, EP668762815 Y EP659033212, QUEDANDO RETENIDA LA PIEZA EP680915505. LA TERCERA IDENTIFICADA SLA0170737E606000BHI, PRECINTO Nº C139612, CONTIENE UNA PIEZA IDENTIFICADA COMO EP669752054, LA QUE QUEDA RETENIDA . LA CUARTA SACA SLA0163299D555900RGA, PRECINTO C137782, CONTIENE TRES PIEZAS: EP664697872, EP033345335AR Y EP661859810, SIENDO RETENIDAS LA PIEZA EP033345335AR Y EP661859810. LA QUINTA SACA IDENTIFICADA COMO: SLA0161733D555700RGL, PRECINTO C137792, CONTIENE DOS PIEZAS : EP680915995 Y EP698257305, LAS QUE QUEDAN RETENIDAS. LA SEXTA SACA SLA0172411E555500REL, PRECINTO Nº B734419, CONTIENE DOS PIEZAS EU704508486 Y EP0333455358AR, QUEDANDO RETENIDA LA PIEZA EP033345358AR. LA SEPTIMA SACA : SLA0168855E636300NQN, PRECINTO Nº C137216, CONTIENE DOS PIEZAS EP669752085 Y EP659033393E, LAS CUALES QUEDAN RETENIDAS. LO ULTIMA SACA SLA0169122E555700RGL, PRECINTO Nº C137281, CONTIENE UNA PIEZA: EC839102705. QUE QUEDAN RETENIDAS Y EN GUARDA EN EL DEPOSITO JUDICIAL DE ESTA UNIDAD A LA ESPERA DEL OFICIO QUE AUTORICE SU APERTURA.</t>
  </si>
  <si>
    <t>COORDENADAS O25 A LA ALTURA DE LA CALLE VUELTA DE OBLIGADO AL 6300 Y A UNOS 100 MTS DEL I.L.S DISTANTES A 3.500 MTS DE LA AEROESTACION</t>
  </si>
  <si>
    <t>EN EL DIA DE LA FECHA SE RADICA EN ESTA PREVENCION UNA DENUNCIA POR PARTE DEL SR. RAMON ENRIQUE ALGAÑARAZ DNI Nº 24.842.594 AUXILIAR DE MANTENIMIENTO DE LA EMPRESA AA200, QUIEN MANIFIESTA QUE AL REALIZAR UN RECORRIDO DE RUTINA CONSTATA EL FALTANTE DE CUATRO PAÑOS DE ALAMBRE DE TEJIDO ROMBOIDAL PERTENECIENTES AL ALAMBRADO DE SEGURIDAD, SEGUN GRILLA ESQUEMATICA DE ESTE AEROPUERTO IDENTIFICADA COMO O-25. SE PUDO OBSERVAR UN PAÑO DE ALAMBRE PERTENECIENTE AL ALAMBRADO PERIMETRAL CAIDO PARCIALMENTE, NO SE ENCONTRARON ELEMENTOS DE CORTE, HUELLAS EN EL LUGAR U OTRO DATO DE INTERES.</t>
  </si>
  <si>
    <t>CATALANO, ELISA</t>
  </si>
  <si>
    <t>LEGAJO DE VARGAS MENACHO VICTORIA</t>
  </si>
  <si>
    <t>2155/10</t>
  </si>
  <si>
    <t>PREEMBARQUE INTERNACIONAL PUERTA Nº 3</t>
  </si>
  <si>
    <t>PERSONAL DE SEGURIDAD PREVENTIVA DE ESTA UOSP PROCEDE A LA CUSTODIA DE LA EXPULSADA HASTA EL MOMENTO DE SU EMBARQUE SEGUN LO DISPUESTO POR EL MAGISTRADO ACTUANTE EN SU OFICIO JUDICIAL Nº 162/10-ES, CONCORDANTE CON DISPOSICION MIGRATORIA Nº 63065/09.</t>
  </si>
  <si>
    <t>SEGUN ORDEN DE SERVICIO Nº 005/10 DE ESTA UNIDAD, INFORMO EN EL DIA DE LA FECHA SIENDO LAS 19:08 HORAS ARRIBA A LA PROVINCIA DE SAN JUAN EN AERONAVE T03 LA SEÑORA MINISTRA DE DESARROLLO SOCIAL DE LA NACION DOCTORA ALICIA M. KIRCHNER, CON EL FIN DE REALIZAR DISTINTOS ACTOS EN LA PROVINCIA, LA MISMA SE DESPLAZA VIA TERRESTRE HASTA LA CIUDAD CAPITAL, SIN NOVEDAD. LA AERONAVE T03 PERNOCTA EN EL AEROPUERTO SAN JUAN HASTA SU PARTIDA DE LA SEÑORA MINISTRA EL DIA 23/02/2010 EN HORARIO HA CONFIRMAR.</t>
  </si>
  <si>
    <t>SECRETARIA A</t>
  </si>
  <si>
    <t>Dr. Adolfo Villatte</t>
  </si>
  <si>
    <t>JURE JUAN ANTONIO Y OTROS S/ LEY 23737</t>
  </si>
  <si>
    <t>1025/08 A</t>
  </si>
  <si>
    <t>EN AMPLIACION AL PR NRO 124/09 DEL 07/12/2009 EL JUZGADO INTERVINIENTE REQUIERE DE UN PORMENORIZADO ANALISIS Y DE SER POSIBLE DETERMINAR LOS PROVEEDORES DE LA PASTA BASE DE CLORHIDRATO DE COCAINA UTILIZADA PARA LA ELABORACION DE ESTUPEFACIENTE, CON RESPECTO A LOS DATOS DEL INFORME TECNICO DE RECUPERACION DE DATOS QUE OBRAN EN LA CAUSA.</t>
  </si>
  <si>
    <t>DETRAS DEL EDIFICIO CORPORATIVO A UNOS 300 MTS. SOBRE EL CAMPO</t>
  </si>
  <si>
    <t>HABIENDOSE RECIBIDO DE COMISIONADO GENERAL FERNANDO TELPUK PROCEDENTE DE LA EMBAJADA DE ALEMANIA EN ARGENTINA -OFICIAL DE ENLACE- COPIA DE FAX Y CROQUIS EN LA QUE SE HACIA MENCION A LA DETENCION DEL CIUDADANO PIRUSKA ELVISS, SE PROCEDE A BUSCAR EL SITIO REFERIDO EN EL CROQUIS SIENDO UBICADO UNO DE SIMILARES CARACTERISTICAS POR TAL RAZON EN COMPANIA DE TESTIGOS HABILES SIENDO DETECTADA POR EL PERSONAL ACTUANTE UNA BOLSA DE PLASTICO DE COLOR BLANCA CONTENIENDO OTRA SIMILAR EN SU INTERIOR CON LA INSCRIPCION DISCO QUE A SU VEZ CONTENIA LAS 41 CAPSULAS INCAUTADAS A LOS EFECTOS DE LAS ACTUACIONES SE PROCEDE A TRASLADAR EL MATERIAL INCAUTADO Y LOS TESTIGOS A ESTA DEPENDENCIA, A FIN DE LABRAR LAS ACTUACIONES CORRESPONDIENTES.</t>
  </si>
  <si>
    <t>CORREO OFICIAL DE SALTA</t>
  </si>
  <si>
    <t>CORREO OFICIAL DE BUENOS AIRES</t>
  </si>
  <si>
    <t>SE PROCEDE A LA RETENCION DE UNA SACA COLECTORA DEL CORREO OFICIAL, IDENTIFICADA CON MARBETE Nº SLA0163087D545400MDQ, PRECINTO Nº B734483, CON UN PESO DE 3,600 KG, CON DESTINO A LA CIUDAD DE MAR DEL PLATA, AMPARADA EN GUIA AEREA Nº 9327573-3 DE LA EMPRESA JET PAQ. LA RETENCION SE REALIZA ANTE LA PRESUNCION QUE PUDIERA CONTENER ALGUN ELEMENTO EN INFRACCION A LA LEY 22415 Y/ O 23737. QUEDANDO LA MISMA CERRADA Y PRECINTADA EN GUARDA EN ESTA UNIDAD. SE COMUNICO TELEFONICAMENTE CON EL JUZGADO INTERVINIENTE Y LA APERTURA SE REALIZARA EN PRESENCIA DE PERSONAL DEL CORREO ARGENTINO. CON CONOCIMIENTO DEL JEFE DE UOSP.</t>
  </si>
  <si>
    <t>HURTO SIMPLE EN GRADO DE TENTATIVA</t>
  </si>
  <si>
    <t>ESTACIONAMIENTO B, DETRAS DE LA ESTACION DE SERVICIO PETROBRAS</t>
  </si>
  <si>
    <t>INFORMO QUE EL DIA 22 DEL CORRIENTE MES Y AÑO SIENDO LAS DIEZ HORAS CUARENTA MINUTOS EL OFICIAL SPINO ES INFORMADO POR PERSONAL DE LA EMPRESA SEGURIDAD ARGENTINA S.A. QUE EN EL SECTOR DE ESTACIONAMIENTO SE ENCONTRABA UNA PERSONA DE SEXO MASCULINO QUE HABIA SUSTRAIDO UNA TAZA DE RUEDA DE UN VEHICULO MARCA VOLKSWAGEN SURAN Y QUE LA HABIA COLOCADO EN SU VEHICULO TAMBIEN SURAN. QUE UNA VEZ EN EL SECTOR EL OFICIAL SPINO OBSERVA DOS VEHICULOS SURAN, UNO DE LOS CUALES ERA PROPIEDAD DE UNA FEMENINA Y EL OTRO DE UN MASCULINO, SEGUIDAMENTE SE ENTREVISTA CON PERSONAL DE SEGURIDAD, QUIEN LE INFORMA QUE EL MASCULINO QUE ALLI SE ENCONTRABA ERA EL AUTOR DEL HECHO EN CUESTION Y LA FEMENINA ERA LA VICTIMA. UNA VEZ EN LA GUARDIA DE PREVENCION Y ANOTICIADO EL ORGANO JUDICIAL INTERVININTE, DISPONE SE APRENDA AL MASCULINO EN CALIDAD DE COMUNICADO, SE LO TRASLADE A SEDE JUDICIAL EL DIA 23 DEL CORRIENTE MES Y AÑO, Y SE LE RESTITUYA EL ELEMENTO EN CUESTION A LA VICTIMA. PU AMPLIATORIO 1049 INFORMO QUE SIENDO LAS 08:00 HS DEL DIA 23/02/10 SE TRASLADA EL DETENIDO A SEDE JUDICIAL.</t>
  </si>
  <si>
    <t>SIENDO LA HORA Y LA FECHA ANTES MENCIONADA SE IMPLEMENTA LA ORDEN DE SERVICIO Nº 105/10 DE LA URSA I DEL ESTE REFERENTE AL CONTROL DE POLICIA DE SEGURIDAD AEROPORTUARIA POR LA LLEGADA DE VUELO PRESIDENCIAL PROCEDENTE DE LOS ESTADOS UNIDOS MEXICANOS. DE ACUERDO AL ALERTA POLICIAL SE UBICAN MOVILES POLICIALES EN LAS CABECERAS DEL AEROPARQUE METROPOLITANO. EN LA CABECERA NORTE UN MOVIL POLICIAL DE ESTA UOSP METROPOLITANA Y EN LA CABECERA SUR UN MOVIL POLICIAL DE APOYO DE LA UOESA CON DOS EFECTIVOS DE LA MISMA Y EN EL SECTOR PUBLICO SE REFUERZA CON UN MOVIL POLICIAL CON PERSONAL DE LA DIVISION ANTITERRORISMO. SIENDO LAS 09:35 HORAS ARRIBA LA PRESIDENTE A LA AEROESTACION MILITAR EN AERONAVE MATRICULA T- 01, SIENDO LAS 09:45 HORAS PARTE EN HELICOPTERO H -03. SIENDO LAS 09:50 HORAS FINALIZA EL OPERATIVO PRESIDENCIAL SIN NOVEDAD.</t>
  </si>
  <si>
    <t>AUTOPISTA RICHIERI MANO A CAPITAL, A APROXIMADAMENTE 500MTS DE LA TAQUILLA</t>
  </si>
  <si>
    <t>SIENDO LAS DIEZ HORAS APROXIMADAMENTE DEL DIA 22 DEL CORRIENTE MES Y AÑO, EL DENUNCIANTE ABORDA UN VEHICULO REMIS CON DESTINO A LA CIUDAD DE BS. AS. QUE UNA VEZ ABANDONADO ESTE AEROPUERTO Y A UNOS 500MTS DE LA TAQUILLA EL CONDUCTOR DEL RODADO DETIENE SU MARCHA POR UNA VIBRACION EN EL MISMO, QUE EL DENUNCIANTE TAMBIEN SE BAJA DEL RODADO Y COMPRUEBA QUE LA RUEDA TRASERA ESTABA BAJA, LUEGO EL CONDUCTOR COMIENZA A REALIZAR EL CAMBIO DEL NEUMATICO, EN ESE MOMENTO EL DENUNCIANTE OBSERVA QUE DETRAS DE SU VEHICULO SE DETIENE UN VEHICULO DE COL0OR VERDE Y DELANTE SE SUVEHICULO SE DETIENE UN RODADO DE COLOR NEGRO, NO PUDIENDO APORTAR MAYORES DATOS DE AMBOS RODADOS, QUE SEGUIDAMENTE DEL RODADO VERDE DESCIENDES TRES FEMENINAS QUE LE HABLAN AL DENUNCIANTE, DISTRAYENDOLO, LUEGO EL DENUNCIANTE OBSERVA QUE DEL RODADO VERDE DESCIENDE UN MASCULINO QUE SE DIRIGE AL RODADO EN QUE EL DENUNCIANTE VIAJABA, SUSTRAE DEL MISMO DOS BOLSOS Y CORRE HACIA EL VEHICULO DE COLOR NEGRO, QUE AL PERCATARSE EL DENUCIANTE DE ESTO, CORRE PERSIGUIENDO AL MASCULINO, MOMENTO EN QUE DESCIENDE DEL RODADO NEGRO OTRO MASCULINO EL CUAL APUNTA AL DECLARANTE CON UN ARMA DE FUEGO, HACIENDO QUE ESTE DESISTA DE PERSEGUIR AL LADRON. LUEGO SE DIRIGE A ESTA GUARDIA A RADICAR LA CORRESPONDIENTE DENUNCIA.</t>
  </si>
  <si>
    <t>AF418</t>
  </si>
  <si>
    <t>MANGA NRO. 12</t>
  </si>
  <si>
    <t>SIENDO LAS CATORCE HORAS PERSONAL DE LA EMPRESA INTERBAIRES SE APERSONA EN EL PUESTO TRANSITO B, E INFORMA AL OFICIAL CANDIA QUE UN MASCULINO QUE SE ENCONTRABA EN LA MANGA NRO. 12, HABIA TOMADO DEL FREE SHOPP UN PAR DE ANTEOJOS Y SE HABIA RETIRADO DEL LOCAL SIN ABONARLOS, MOTIVO POR EL CUAL EL OFICIAL CANDIA INTERCEPTA AL PASAJERO, EL CUAL ESPONTANEAMNTE RETIRA DE DENTRO DE BOLSO DE SU PROPIEDAD UN PAR DE ANTEOJOS DE SOL Y COMIENZA A PEDIR DISCULPAS, UNA VEZ EN LA GUARDIA DE PREVENCION Y ANOTICIADO EL ORGANO JUDICIAL INTERVINIENTE DISPONE SE APRENDA AL PASAJERO EN CARACTER DE COMUNICADO Y EL MISMO SEA TRASLADADO A SEDE JUDICIAL EL DIA 23 DEL CORRIENTE MES Y AÑO. PU AMPLIATORIO 1050: INFORMO QUE SIENDO LAS 08:00 HS DEL DIA 23/02/10 SE TRASLADA AL DETENIDO A SEDE JUDICIAL.</t>
  </si>
  <si>
    <t>RIO DE JANEIRO</t>
  </si>
  <si>
    <t>PRIMER PISO FENTE A SALON VIP CONDOR</t>
  </si>
  <si>
    <t>SIENDO LAS DIECISIETE HORAS DEL DIA 22 DEL CORRIENTE MES Y AÑO LA DENUNCIANTE SALE DE UNO DE LOS BAÑOS DEL PRIMER PISO DE LA NTERMINAL B, Y HABIENDO REALIZADO UNOS POCOS METROS SE PERCATA QUE HABIA DEJADO OLVIDADA SU CARTERA DENTRO DEL MISMO, CUANDO REGRESA ÁL BAÑO EN CUESTION OBSERVA A UNA PERSONA DE SEXO FEMENINO QUE HACIA ABANDONO DEL MISMO, QUE AL INGRESAR NOITA QUE SU CARTERA SE ENCONTRABA ABIERTA Y FALTABA DE DENTRO DE LA MISMA UNA BILLETERA DE CUERO E COLOR BEIGE, POR TALMOTIVO INTERCEPTA A LA FEMENINA QUE HABIA OBSERVADO SALIR DEL BAÑO, LA CUAL SE ENCONTRABA SENTADA FRENTE AL SALON CLUB CONDOR, A LA QUE LE CONSULTA POR SU BILLETERA, RESPONDIENDOLE LA FEMENINA QUE NO LA TENIA, LUEGO OBSERVA QUE BAJO AL ASIENTO EN QUE LA FEMENINA SE ENCONTRABA SENTADA SE ENCONTRABA SU BILLETERA SIN FALTANTES EN SU CONTENIDO, UNA VEZ LAS PARTES EN EL TURNO DE PREVENCION, Y ANOTICIADO EL JUZGADO INTERVINIENTE ORDENA SE INFORME A LA FEMENINA ACUSADA QUE SE ENCUENTRA IMPUTADA EN LA PRESENTE CAUSA, NO PERMANECIENDO DETENIDA. PU AMPLIATORIO 1051 INFORMO QUE SIENDO LAS 08:00 HS DEL DIA 23/02/10 SE TRASLADA A LA DETENIDA A SEDE JUDICIAL.</t>
  </si>
  <si>
    <t>AR1364</t>
  </si>
  <si>
    <t>INFRACCION AL ART.89</t>
  </si>
  <si>
    <t>SIENDO LA HORA Y FECHA ANTES MENCIONADA, EL DENUNCIANTE, SE ENCONTRABA EN EL PATIO DE COMIDAS DEL 1º PISO DE ESTE AEROPUERTO METROPOLITANO CON EL FIN DE CENAR, POR LO CUAL SOLICITO SU MENU EN EL LOCAL FLY RESTO Y SE DIRIGIO HACIA SU OFICINA UBICADA EN EL SECTOR C, PRIMER PISO DE ESTE AEROPUERTO METROPOLITANO. AL COMENZAR CON EL RACIONAMIENTO, SINTIO AL MASTICAR LA COMIDA QUE HABIA UN OBJETO EXTRAÑO, EL CUAL RESULTO SER UN TROZO DE VIDRIO, PRODUCIENDOLE ESTE UNA HERIDA EN SU ENCIA. EN EL DIA DE LA FECHA, SE HACE PRESENTE EN ESTA GUARDIA PARA RADICAR LA CORRESPONDIENTE DENUNCIA. SIENDO LAS 10:40 HORAS SE LOGRO ESTABLECER COMUNICACION CON LA JUDICATURA INTERVINIENTE QUIEN DISPUSO: COPIA DEL INFORME EMITIDO POR ART, SECUESTRO, PERICIA, FOTO DEL TROZO DE VIDRIO, REGISTRO FILMICO, NOTA AL INSTITUTO NACIONAL DE ALIMENTOS DEPENDIENTE DEL MINISTERIO DE SALUD, NOTA A LA DIRECCION GENERAL DE HIGIENE Y SEGURIDAD DE ALIMENTOS, NOMINA DEL PERSONAL QUE PRESTO SERVICIOS EN LA EMPRESA EL DIA DEL HECHO Y FUNCION DE CADA UNO, CIERRE Y ELEVACION.</t>
  </si>
  <si>
    <t>1027/10</t>
  </si>
  <si>
    <t>SE PROCEDE A LA APERTURA DE UNA SACA COLECTORA DEL CORREO OFICIAL, EN PRESENCIA DE UN TESTIGO HABIL, MEDIDA COORDINADA PREVIAMENTE CON EL JUZGADO DE TURNO. LA SACA IDENTIFICADA CON MARBETE Nº SLA0163087D545400MDQ, PRECINTO Nº B734483, CONTIENE UNA PIEZA POSTAL IDENTIFICADA COMO EPSLA0163087D545400MDQ, LA CUAL QUEDA RETENIDA, EN DEPOSITO JUDICIAL DE ESTA UNIDAD A LA ESPERA DEL OFICIO QUE AUTORICE SU APERTURA. CON CONOCIMIENTO DEL OF.JEFE INTERINAMENTE A CARGO.</t>
  </si>
  <si>
    <t>DRA. KARIAN ROSARIO PERILLI</t>
  </si>
  <si>
    <t>SIENDO LAS 22 HORAS DEL DIA 22 DEL CORRIENTE MES Y AÑO EL OFICIAL ARRIARAN SE ENCONTRABA CHEQUEANDO A LOS PASAJEROS DEL VUELO DE MENCION, MOMENTOS EN QUE UN MASCULINO ATRAVIEZA EL ARCO DETECTOR DE METALES ACTIVANDO SU ALARMA, QUE UNA VEZ QUE EL OFICIAL ARRIARAN CHEQUEA AL MASCULINO, NOTA QUE EN SUS TOBILLOS POSEIA BULTOS EXTRAÑOS. UNA VEZ EN LA GUARDIA DE PREVENCION SE REQUISA AL MASCULINO OBTENIENDO PRODUCTO DE LA MISMA DE LOS TOBILLOS DEL PASAJERO SEIS FAJOS DE CIEN BILLETES DE CIEN DOLARES ESTADOUNIDENSES CADA UNO, UN FAJO CON SETENTA Y CINCO BILLETES DE CIEN DOLARES ESTADUNIDENSES, Y EN EL BOLSILLO IZQUIERDO DE SU PANTALON TREINTA Y TRES BILLETES DE CIEN DOLARES ESTADOUNIDENSES, ANOTICIADO EL JUZGADO INTERVINIENTE DISPONE SE DETENGA AL PASAJERO EN CARACTER DE INCOMUNICADO, SE SECUESTRE LA TOTALIDAD DE LAS DIVISAS Y SE ELEVE LO ACTUADO JUNTAMENTE CON EL DETENIDO Y LO SECUESTRADO A SEDE JUDICIAL EL DIA 23 DEL CORRIENTE MES Y AÑO. PU AMPLIATORIO 1052: INFORMO QUE SIENDO LAS 10:20 HS DEL DIA 23/02/10 SE TRASLADA AL DETENIDO A SEDE JUDICIAL.</t>
  </si>
  <si>
    <t>AA908</t>
  </si>
  <si>
    <t>DENTRO DE LAS INSTALACIONES DE ESTE AEROPUERTO METROPOLITANO</t>
  </si>
  <si>
    <t>SIENDO LA HORA Y FECHA ANTES MENCIONADA, SE HACE PRESENTE EN ESTA GUARDIA DE PREVENCION EL DENUNCIANTE MANIFESTANDO HABER EXTRAVIADO SU PERMISO PERSONAL DE SEGURIDAD AEROPORTUARIA EMITIDO POR ESTA POLICIA DE SEGURIDAD AEROPORTUARIA A SU NOMBRE. INDICANDO NO RECORDAR EL LUGAR EXACTO DE EXTRAVIO. SE LABRA DENUNCIA DE EXTRAVIO Nº 098/10.</t>
  </si>
  <si>
    <t>SEGUN ORDEN DE SERVICIO Nº 005/2010 DE ESTA UNIDAD. INFORMO EN EL DIA DE LA FECHA SIENDO LAS 13:40 HORAS DESPEGA AERONAVE T03 TRASLADANDO A LA SEÑORA MINISTRA DE DESARROLLO SOCIAL DE LA NACION DOCTORA ALICIA M. KICHNER, SIN NOVEDAD</t>
  </si>
  <si>
    <t>1028/10</t>
  </si>
  <si>
    <t>INFORMO QUE SIENDO LAS 08:00 HS DEL DIA 23/02/10 SE TRASLADA EL DETENIDO A SEDE JUDICIAL</t>
  </si>
  <si>
    <t>1032/10</t>
  </si>
  <si>
    <t>INFORMO QUE SIENDO LAS 08:00 HS DEL DIA 23/02/10 SE TRASLADA AL DETENIDO A SEDE JUDICIAL.</t>
  </si>
  <si>
    <t>1035/10</t>
  </si>
  <si>
    <t>INFORMO QUE SIENDO LAS 08:00 HS DEL DIA 23/02/10 SE TRASLADA A LA DETENIDA A SEDE JUDICIAL.</t>
  </si>
  <si>
    <t>1040/10</t>
  </si>
  <si>
    <t>INFORMO QUE SIENDO LAS 10:20 HS DEL DIA 23/02/10 SE TRASLADA AL DETENIDO A SEDE JUDICIAL.</t>
  </si>
  <si>
    <t>JUZGADO PRIMERA INSTANCIA DE DISTRITO EN LO PENAL DE INSTRUCCION DE SAUCE VIEJO</t>
  </si>
  <si>
    <t>DE LA TORRE</t>
  </si>
  <si>
    <t>DIEGO ANDRES</t>
  </si>
  <si>
    <t>RUBEN DIONISIO DIAZ</t>
  </si>
  <si>
    <t>TENTATIVA DE ROBO</t>
  </si>
  <si>
    <t>PRESUNTA TENTATIVA DE ROBO</t>
  </si>
  <si>
    <t>UOSP SAUCE VIEJO</t>
  </si>
  <si>
    <t>HALL PUBLICO DE PASJEROS</t>
  </si>
  <si>
    <t>EN EL DIA DE LA FECHA SE PRESENTA EL SEÑOR MONTEMURRO CLAUDIO, APODERADO DE LA FIRMA MARTIN PONCE, CONCESIONARIA DEL BAR DEL AEROPUERTO, DENUNCIANDO QUE EL DIA 22 DE FEBRERO PASADO SE ENCUENTRA VIOLENTADA LA CERRADURA DEL FREEZER CONTENEDOR DE HELADOS QUE POSEE EN EL HALL PUBLICO DE ESTA AEROPUERTO, FUERA DEL LOCAL COMERCIAL, DICHA CERRADURA ES DE TIPO CILINDRO CON UNA GUIA DENTADA, QUE SE ENCONTRO DOBLADA Y ROTAS LAS TRABAS. ASI MISMO MANIFIESTA QUE NO PUEDE PRESISAR SI TUVO FALTANTE DE MERCADERIA NI CUANDO SE PRODUJO EL HECHO DEBIDO A QUE LA ULTIMA VEZ QUE CERRO EL FREEZER FUE EL VIERNES PASADO Y NO SE VOLVIO A ABRIR HASTA EL LUNES POR LA MAÑANA CUANDO AL REABRIR EL LOCAL SE DIO CUENTA. TAMPOCO SABE QUIEN PODRIA HABER REALIZADO EL MISMO. SE MANTUVO COMUNICACION CON EL JUZGADO DE INSTRUCCION DE SEPTIMA NOMINACION, QUIEN ORDENA SE REALICEN LAS ACTUACIONES DE RIGOR Y SE ELEVE LO ACTUADO A LA OFICINA JUDICIAL DE CAUSAS CON IMPUTADOS NN</t>
  </si>
  <si>
    <t>Patrimonio Cultural</t>
  </si>
  <si>
    <t>JUZGADO FEDERAL N° 2 DE TUCUMAN</t>
  </si>
  <si>
    <t>Racedo</t>
  </si>
  <si>
    <t>Agustin</t>
  </si>
  <si>
    <t>HORACIO MARIO ARGÜELLO</t>
  </si>
  <si>
    <t>PRESUNTA INFRACCION LEY NACIONAL 25.743</t>
  </si>
  <si>
    <t>patrimonio_cultural</t>
  </si>
  <si>
    <t>PREEMBARQUE DE CABOTAJE</t>
  </si>
  <si>
    <t>EN EL DIA DE LA FECHA MIENTRAS SE REALIZABA UN CONTROL DE RUTINA DEL EQUIPAJE DE BODEGA PARA EL VUELO DE LA EMPRESA LAN ARGENTINA Nº 4155 CON DESTINO LA CIUDAD DE BS. AS. EL OF. PPAL GEREZ CESAR DETECTA POR MEDIO DE RAYOS X UN OBJETO CONTUNDENTE EL CUAL SE ENCONTRABA EN UN EQUIPAJE PERTENECIENTE AL SR. LEDESMA JUAN CAYETANO, A QUIEN SE LE INIVITA A LA APERTURA DEL MISMO PARA UNA INSPECCION MANUAL, RESULTANDO LA MISMA CON EL HALLAZGO DE UNA PIEDRA CON FORMA DE PUNTA DE HACHA CON MEDIDAS APROXIMADAS DE 11 CM. DE LARGO POR 6 CM DE ANCHO POR 5 CM. DE ALTO, ANTE LA PRESUNCION DE UN DELITO TIPIFICADO POR LA LEY NACIONAL Nº 25.743 Y/O LA LEY PROVINCIAL Nº 7.500. ES QUE SE PROCEDE A LA RETENCION DE DICHO ELEMENTO PARA QUE SEA CLASIFICADO Y SE DETERMINE SU PROCEDENCIA POR PARTE DEL ENTE ESPECIALISTA EN PATRIMONIO CULTURAL DE LA PROVINCIA DE TUCUMAN. ASIMISMO SE INTENTO ESTABLECER COMUNICACION TELEFONICA CON EL JUZGADO FEDERAL DE TURNO SIN OBTENER RESULTADO POSITIVO AL MOMENTO DE LA CONFECCION DEL PRESENTE. SE LABRAN ACTUACIONES DE RIGOR PARA SU POSTERIOR ELEVACION AL JUZGADO CORRESPONDIENTE.</t>
  </si>
  <si>
    <t>EN CUMPLIMIENTO DE LA ORDEN DE SERVICIO Nº 0013/10 Y SIENDO LAS 20:50 HORAS LOCAL ARRIBA AERONAVE MD 83 MATRICULA LV-AYD PERTENECIENTE A AUSTRAL LINEAS AEREAS Y EN CUYAS BODEGAS 3 Y 4 SE EMBARCAN 60 SACAS CON UN PESO DE 1200 KILOGRAMOS DE METAL-MTD- PERTENECIENTES A LA MINERA CERRO VANGUARDIA, CON DESTINO EL AEROPUERTO JORGE NEWBERY DE LA CAPITAL FEDERAL</t>
  </si>
  <si>
    <t>AEROPUERTO GRAL. MOSCONI- COMODORO RIVADAVIA</t>
  </si>
  <si>
    <t>INGRESO AL ARRIBO NACIONAL A2</t>
  </si>
  <si>
    <t>HALL A2</t>
  </si>
  <si>
    <t>SIENDO LA HORA ANTERIORMENTE MENCIONADA UN MASCULINO QUIERE INGRESAR EN EL ARRIBO A2 A FIN DE AYUDAR A SU MADRE DE 86 AÑOS POR LO QUE EL VIGILADOR ALONSO DE LA EMPRESA SASA NO LE PERMITE EL PASO POR LO QUE EL MASCULINO LE AGARRA EL BRAZO Y LUEGO LO EMPUJA, INMEDIATAMENTE EL ENCARGADO DEL SR ALONSO SE HACE PRESENTE Y LE INFORMA LO SUCEDIDO AL PERSONAL POLICIAL APOSTADO EN EL ARRIBO EL CUAL SE ENTREVISTA CON EL MASCULINO EN CUESTION Y LE INFORMA QUE NO PODRIA PERMANECER EN EL SECTOR POR LO QUE EL MASCULINO SE RETIRA DEL MISMO, POSTERIORMENTE SE HACE PRESENTE EL VIGILADOR ALONSO A FIN DE RADICAR UNA DENUNCIA POR SENTIRSE AGREDIDO POR EL CABALLERO.</t>
  </si>
  <si>
    <t>EN CUMPLIMIENTO DE LA ORDEN DE SERVICIO Nº 0013/10 Y SIENDO LAS 07:00 HORAS LOCAL DESPEGA AERONAVE BOING 737, MATRICULA LV-BNM, PERTENECIENTE A LA EMPRESA AEROLINEAS ARGENTINAS Y EN CUYAS BODEGAS 2 Y 3 SE EMBARCARON 37 BULTOS CON UN PESO DE 800,00 KILOGRAMOS DE METAL-MTD- PERTENECIENTES A LA MINERA CERRO VANGUARDIA.</t>
  </si>
  <si>
    <t>AEROPUERTO GRAL. MOSCONI-COMODORO RIVADAVIA</t>
  </si>
  <si>
    <t>AEROPARQUE JORGE NEWBERY-BUENOS AIRES</t>
  </si>
  <si>
    <t>AEROPUERTO NEUQUEN AEROPARQUE JORGE NEWBERY DESPACHO POR BODEGA</t>
  </si>
  <si>
    <t>EN EL DIA DE LA FECHA SE HACE PRESENTE UNA PERSONA PARA RADICAR UNA DENUNCIA DE CARACTER DELICTIVO INDICANDO QUE SIENDO LAS 08.05 HORAS ARRIBO A ESTE AEROPUERTO METROPOLITANO EN EL VUELO AR 2653 DE AEROLINEAS ARGENTINAS PROCEDENTE DE LA CIUDAD DE NEUQUEN. PASADO UNOS MINUTO, ENCONTRANDOSE EN EL SECTOR DE ARRIBOS A2, AL RETIRAR SU EQUIPAJE DE LA CINTA, SE PERCATA QUE A SU BOLSO TIPO CARRY ON LE FALTABA EL CANDADO DE SEGURIDAD QUE HABIA COLOCADO. AL REVISAR EL INTERIOR DEL MISMO, NOTA QUE SUS PERTENENCIAS SE ENCONTRABAN DESORDENADAS, NO REGISTRANDO FALTANTES NI ROTURAS EN LA VALIJA, PERO PRESUME QUE SU EQUIPAJE FUE REVISADO.</t>
  </si>
  <si>
    <t>AU 2653</t>
  </si>
  <si>
    <t>EN CUMPLIMIENTO DE LA ORDEN DE SERVICIO Nº 0013/10 Y SIENDO LAS 08:50 HORAS LOCAL ARRIBA AERONAVE MD 83 MATRICULA LV-AYD PERTENECIENTE A AUSTRAL LINEAS AEREAS Y EN CUYAS BODEGAS 4 Y 5 SE EMBARCAN 90 BULTOS CON UN PESO DE 1800 KULIGRAMOS DE METAL-MTD- PERTENECIENTE A LA MINERA CERRO VANGUARDIA CON DESTINO EL AEROPUERTO JORGE NEWBERY DE CAPITAL FEDERAL. EL MISMO PARTE DESDE ESTA CIUDAD A LAS 09:47 HORAS LOCAL.</t>
  </si>
  <si>
    <t>AEROPUERTO JOEGE NEWBERY-CAPITAL FEDERAL</t>
  </si>
  <si>
    <t>DR. SPILOTTI, DIEGO MARCELO</t>
  </si>
  <si>
    <t>AV. S/PSTA INF. LEY 26364</t>
  </si>
  <si>
    <t>SE RECEPCIONO OFICIO Nº: 2397/10, DE FECHA 22 DE FEBRERO DE 2.010, DEL JUZGADO FEDERAL DE RIO GRANDE, DONDE EL MAGISTRADO ACTUANTE DISPONE DE MANERA URGENTE LA INTERVENCION TELEFONICA DE LOS ABONADOS Nº: 02964-611055, 02964-424165 Y 011-61138031, CON SUS RESPECTIBAS SABANAS DE LLAMADAS ENTRANTES Y SALIENTES POR EL TERMINO DE 30 DIAS. ASI MISMO SOLICITO A LA DIRECCION DE OBSERVACIONES JUDICIALES, INFORME LA TITULARIDAD COMO ASI TAMBIEN LISTADO DE LLAMADAS ENTRANTES Y SALIENTES DE LOS ABONADOS Nº: 011-4833-1802 Y 011-4833-2127, DEL PERIODO COMPRENDIDO ENTRE EL 01 AL 30 DE JUNIO DE 2.009 Y ENTRE EL 01 AL 31 DE ENERO DE 2.010. POR OTRA PARTE DISPUSO QUE PERSONAL DESIGNADO DE ESTA UOCN DC V, REALICE DIARIAMENTE LAS ESCHUCHAS DE LOS SOPORTES DE GRABACION Y PROCEDA A LA TRANSCRIPCION DE LAS PARTES QUE SEAN UTILES PARA LA PRESENTE INVESTIGACION.</t>
  </si>
  <si>
    <t>EL ASIENTO 37H</t>
  </si>
  <si>
    <t>PORTAMALETAS DE LA AERONAVE</t>
  </si>
  <si>
    <t>EL DENUNCIANTE ARRIBO AL PAIS PORTANDO SU EQUIPAJE DE MANO, EL CUAL ESTUVO DURANTE EL VUELO GUARDADO EN EL PORTAMALETAS DE LA AERONAVE Y AL ABRIRLO EN SU DOMICILIO NOTA EL FALTANTE DE SU NOTEBOOK GRIS MARCA APLLE MODELO MAC BOOK PRO DE 17 PULGADAS Y EN SU LUGAR ENCUENTRA OTRA SIMILAR DE MENOR TAMAÑO. POR LO QUE RADICA LA PRESENTE DENUNCIA.</t>
  </si>
  <si>
    <t>LH 510</t>
  </si>
  <si>
    <t>FUERA DE LAS INSTALACIONES DE ESTE AEROPUERTO.</t>
  </si>
  <si>
    <t>EL DIA DE LA FECHA SIENDO LA HORA SEÑALADA SE HACE PRESENTE EL DENUNCIANTE A LOS EFECTOS DE RADICAR DENUNCIA DE EXTRAVIO DE SU PERMISO PERSONAL DE SEGURIDAD AEROPORTUARIO PARA EL SISTEMA NACIONAL DE AEROPUERTOS A SU NOMBRE.</t>
  </si>
  <si>
    <t>CATALANO GABRIELA ELISA</t>
  </si>
  <si>
    <t>LEGAJO DE: OBANDO ZENSANO, CÁNDIDA.</t>
  </si>
  <si>
    <t>2297/09</t>
  </si>
  <si>
    <t>PREEMBARQUE INTERNACIONAL, PUERTA Nº3</t>
  </si>
  <si>
    <t>SE REALIZA LA EXPULSIÓN CON COLABORACIÓN DE CUSTODIA DE PERSONAL DE LA UOESA III DEL NORTE, DE UNA CIUDADANA BOLIVIANA EN CUMPLIMIENTO A LO DISPUESTO POR EL MAGISTRADO ACTUANTE, EN SU OFICIO JUDICIAL Nº 188/10-ES, CONCORDANTE CON DISPOSICIÓN MIGRATORIA Nº 19.795/10.</t>
  </si>
  <si>
    <t>POSICION Nº 4 DE LA PLATAFORMA AEROCOMERCIAL</t>
  </si>
  <si>
    <t>SE REALIZO OPERATIVO DE CUSTODIA DE CAUDALES CON COLABORACION DE LA UOESA III DEL NORTE, SEGUN LO DISPUESTO POR ORDEN DE SERVICIO Nº 0018/10 DE LA URSA III DEL NORTE. LOS VALORES PERTENECIENTES AL BANCO CENTRAL DE LA REPUBLICA ARGENTINA FUERON TRANSPORTADOS EN EL AVION FOKKER F 28 DE LA FUERZA AEREA ARGENTINA HASTA ESTA JURISDICCION. EL OPERATIVO DE CUSTODIA SE DESARROLLO SIN NOVEDAD.</t>
  </si>
  <si>
    <t>SAN SALVADOR DE JUJUY</t>
  </si>
  <si>
    <t>EL PALOMAR - BS. AS.</t>
  </si>
  <si>
    <t>JUZGADO PROVINCIAL DE SANTIAGO DEL ESTERO</t>
  </si>
  <si>
    <t>LORNA HERNANDEZ DE LUNA</t>
  </si>
  <si>
    <t>DAÑOS EN LA CERCA PLASTICA PERIMETRAL DEL AERODROMO</t>
  </si>
  <si>
    <t>SUDOESTE DEL PREDIO ENTRE CABECERA 03 Y EL ASENTAMIENTO LA VERNACHA</t>
  </si>
  <si>
    <t>EN EL DIA DE LA FECHA DURANTE UN RECORRIDO DE RUTINA EFECTUADO POR EL PERSONAL DE LA EMPRESA AA2000, DETECTARON CORTES EN UN PAÑO DE LA PARTE INFERIOR DE LA CERCA PERIMETRAL PLASTICA DE APROXIMADAMENTE UN METRO DE ALTO POR TRES DE ANCHO.</t>
  </si>
  <si>
    <t>674/10</t>
  </si>
  <si>
    <t>66/10</t>
  </si>
  <si>
    <t>OFICINA DE SUMARIOS POLCICIALES</t>
  </si>
  <si>
    <t>SE PROCEDE A LA APERTURA DE DOS ENCOMIENDAS RETENIDAS EL 50/02/10 INFORMADAS EN PU Nº 666/10MEDIDA AUTORIZADA MEDIANTE OFICIO JUDICIAL Nº 343/10, EN EL EXPTE. Nº 66/10, EN PRESENCIA DE UN TESTIGO HABIL. LA 1º EP725209519AR, RTTE. SR, JUAN QUIQUINTE, LAVALLE Nº 643, SALTA, C.P. 4.400 Y DEST. SRA. NOEMI ALICIA QUISPE, AKAINIC Nº 709, USHUAIA, TIERRA DEL FUEGO, C.P. 9.410, CONTIENE: 8 PAQUETES DE HOJAS DE COCA CON UN PESO TOTAL DE 3.384 GRS.SIN ENBOLTORIO DE EMBALAJE INCLUIDO. LUEGO DE VERIFICADO SU CONTENIDO LA CARGA SERA PUESTA A DISPOSICION DE LA ADMINISTRACION DE ADUANAS DE SALTA POR SUPUESTA INFRACCION AL CODIGO ADUANERO LEY 22.415 Y LAS ACTUACIONES SERAN REMITIDAS A LA SEDE JUDICIAL. LA 2º EP022166245AR, RTTE. SRA. NATALIA CHOSCO, CALLE JHONH KENNEDY Nº 318. Bº 11 DE OCTUBRE , PALPALA, JUJUY, C.P. 4.612 Y DEST. SR. FABIO CORIA, SPAÑA Nº 1582, RIO GRANDE, TIERRA DEL FUEGO, C.P. 9.420, CONTIENE: ROPAS USADAS Y ELEMENTOS PERSONALES, POR LO QUE LA MISMA SERA ENTREGADA AL CORREO OFICIAL PARA SU REDESPACHO.CON CONOCIMIENTO DEL INTERINAMENTE A CARGO.</t>
  </si>
  <si>
    <t>TRIBUNAL ORAL CRIMINAL FEDERAL DE SANTA CRUZ</t>
  </si>
  <si>
    <t>CHAVEZ</t>
  </si>
  <si>
    <t>BASAURE JUAN PEDRO, OTROS S/INFRACCION A LA LEY 23.737</t>
  </si>
  <si>
    <t>EXPTE. Nº:02/09</t>
  </si>
  <si>
    <t>MEDIANTE OFICIO Nº: 87/10, DE FECHA 23 DE FEBRERO DE 2.010, DEL TRIBUNAL ORAL EN LO CRIMINAL FEDERAL DE LA PROVINCIA DE SANTA CRUZ, DISPUSO QUE SE REMITAN A LA UOCN DC V "DE LA PATAGONIA", DE RIO GALLEGOS, EL LEGAJO TELEFONICO COMPACTO DE LOS ABONADOS Nº: 02966-557796, 02966-416583 , 02966-582789, COMO ASI TAMBIEN COPIA DEL CUADERNILLO TELEFONICO REALIZADO DONDE CONSTAN LOS NUMEROS DE LAS FOJAS DE LAS CONVERSACIONES DE INTERES, A LOS EFECTOS DE CREAR UN SOLO SOPORTE MAGETICO, DE SER POSIBLE, CON LAS RESPECTIVAS GRABACIONES, A LA MAYOR BREVEDAD, EN VIRTUD DE QUE DEBERAN SER REPRODUCIDAS EN LA AUDIENCIA DE DEBATE A CELEBRASE EL DIA 03 DE MARZO DEL CORRIENTE AÑO</t>
  </si>
  <si>
    <t>Sin Clasificacion</t>
  </si>
  <si>
    <t>EN EL DíA DE LA FECHA SE RECIBIó OFICIO JUDICIAL NRO. 440 DE FECHA 10 FEB 2010 DEL JUZGADO FEDERAL NRO. 3 DE ROSARIO, SECRETARíA A A CARGO DEL DR. ADOLFO VILLATE, DISPONIENDO QUE ESTA DEPENDENCIA REALICE EL DILIGENCIAMIENTO DEL OFICIO NRO. 131 Y EL TRASLADO DE ELEMENTOS SECUESTRADOS QUE SE DETALLAN EN EL MISMO, AL LABORATORIO DE TOXICOLOGíA Y QUíMICA LEGAL DEL PODER JUDICIAL DE LA NACIóN. DICHA MEDIDA SERá CUMPLIMENTADA MEDIANTE ORDEN DE SERVICIO NRO. 034/10 EL DIA 25FEB10 DESDE LAS 05.00HS. HASTA LAS 19:00HS.-</t>
  </si>
  <si>
    <t>EN CUMPLIMIENTO DE LA ORDEN DE SERVICIO Nº 0014/10 Y SIENDO LAS 16:35 HORAS LOCAL ARRIBA AERONAVE BOEING 737 MATRICULA LV-BAX PERTENECIENTE A LA EMPRESA AEROLINEAS ARGENTINAS Y EN CUYAS BODEGAS 2, 3 Y 4 SE EMBARCAN 60 SACAS CON UN PESO DE 1200 KILOGRAMOS PERTENECIENTES A LA MINERA CERRO VANGUARDIA. DESPEGANDO EL MISMO A LAS 17:36 HORAS LOCAL</t>
  </si>
  <si>
    <t>745/10</t>
  </si>
  <si>
    <t>42/10</t>
  </si>
  <si>
    <t>SE PROCEDE A LA APERTURA DE UNA ENCOMIENDA DEL CORREO OFICIAL RETENIDA EL 10/02/10 INFORMADA EN PU 739/10, EN VIRTUD DE LO ORDENADO EN EL OFICIO JUDICIAL Nº 347/10 DEL MAGISTRADO ACTUANTE Y EN PRESENCIA DE UN TESTIGO HABIL. LA ENCOMIENDA IDENTIFICADA COMO EP658929997AR, RTTE. SR. OSCAR VALENTIN VIDAURRE, CALLE URQUIZA Nº 32, CUIDAD DE PERICO, PROVINCIA DE JUJUY, C.P. 4.610 Y DEST. SR. FEDERICO EMANUEL BENITEZ, PTO. ESPAÑOL Nº 1734, USHUAIA, TIERRA DEL FUEGO, C.P. 9.410, CONTIENE: 12 PAQUETES DE HOJAS DE COCA CON UN PESO TOTAL DE 3.001 GRS. SIN ENVOLTORIO DE EMBALAJE INCLUIDO. LA ENCOMIENDA SERA PUESTA A DISPOSICION DE ADUANA DE SALTA POR SUP. INFRACCION A LA LEY 22.415, CODIGO ADUANERO Y LAS ACTUACIONES REMITIDAS A SEDE JUDICIAL. CON CONOCIMIENTO DEL INTERINAMENTE A CARGO</t>
  </si>
  <si>
    <t>OFICINA DE TRAFICO DE AEROLINEAS ARGENTINA</t>
  </si>
  <si>
    <t>OFICINA COMERCIAL DE AEROLINEAS ARGENTINA SECTOR RESTRINGIDO</t>
  </si>
  <si>
    <t>SIENDO LAS 16:45 HORAS SE PRESENTA EN LA OFICINA DE GUARDIA DE PREVENCION DE ESTA UNIDAD OPERACIONAL EL PERSONAL DE LA EMPRESA AEROLINEAS ARGENTINAS SR. JORGE CARDULLO, A INTERPONER DENUNCIA POR UN HECHO QUE HABRIA OCURRIDO DENTRO DE LAS OFICINAS COMERCIALES DE TRAFICO QUE POSEE DICHA EMPRESA EN ESTE AEROPUERTO, EL HECHO PUNTUAL ES EL FALTANTE DE UN TELEFONO CELULAR CORPORATIVO QUE UTILIZAN LOS JEFES DE TURNO DE LA EMPRESA MENCIONADA Y EL CUAL FUE DEJADO DENTRO DE UNA CAJA QUE TENIA LOS AURICULARES Y EL CARGADOR POR EL SEÑOR CARDULLO EL DIA SABADO 20/02/10 EN HORAS DE LA NOCHE DENTRO DE LA OFICINA DE TRAFICO Y HABRIA CERRADO CON LLAVE EL ACCESO A LA MISMA. AL DIA SIGUIENTE EL JEFE DE TURNO ENTRANTE, SR. ROSALES NOTA EL FALTANTE SOLAMENTE DEL TELEFONO EN MENCION Y DA AVISO AL SR. CARDULLO DE LA SITUACION, POR ESTE MOTIVO SE CONSULTA A TODO EL PERSONAL DE AEROLINEAS ARGENTINAS SI ALGUIEN HABIA VISTO EL APARATO CON RESULTADO NEGATIVO Y POR LO CUAL SE INTERPONE LA DENUNCIA CORRESPONDIENTE. ANTE ESTE HECHO SE REALIZA COMUNICACION CON LA AUTORIDAD JUDICIAL EN TURNO, ENTABLANDO COMUNICACION DE RIGOR CON LA DRA. MARIA PATRICIA CHACON A QUIEN SE LE INFORMA DE LOS HECHOS Y QUIEN DISPONE: 1° SE RECEPCIONE LA DENUNCIA AL SR. CARDULLO, 2° SE INICIEN ACTUACIONES DE RIGOR POR HURTO, 3° SE CITE AL DENUNCIANTE A PRESENTARSE EN EL TRANSCURSO DE LA SEMANA EN LAS DEPENDENCIAS DE ESA OFICINA FISCAL N° 14, 4° SE ELEVEN LAS PRESENTES ACTUACIONES UNA VEZ FINALIZADAS, A LO QUE SE LE DA ESTRICTO CUMPLIMIENTO. POR ESTE MOTIVO SE INICIA PREVENCION SUMARIA N° 10/10 DE ORDEN INTERNO DE ESTA UNIDAD OPERACIONAL.</t>
  </si>
  <si>
    <t>JUZGADO FEDERAL PRIMERA INSTANCIA - COMODORO</t>
  </si>
  <si>
    <t>PEREYRA</t>
  </si>
  <si>
    <t>Ana</t>
  </si>
  <si>
    <t>DR JUAN MANUEL GUTIERREZ</t>
  </si>
  <si>
    <t>DIPLOMATICO 2139 CARATULADO CORTE DE APELACIONES DE COYHAIQUE-CHILE-S/SOLICITUD DE EXTRADICION DE OSCAR ÑANCUPEL URIBE</t>
  </si>
  <si>
    <t>SIENO LAS 1635 HORAS LOCAL SE PROCEDE AL TRASLADO DEL DETENIDO ÑANCUPEL URIBE OSCAR DE NACIONALIDAD CHILENO POR DOS CUSTODIOS DE POLICIA FEDERAL ARGENTINA SIENDO LOS MISMO EL OF. AY. FEDERICO ABRAHAN Y EL CABO MARTIN MEYER. EL DETENIDO ES DECLARADO DE NO PELIGROSIDAD.</t>
  </si>
  <si>
    <t>714/10</t>
  </si>
  <si>
    <t>APERTURA DE ENCOMIENDA SOL. POLICIA DE SEGURIDAD AEROPORTURIA</t>
  </si>
  <si>
    <t>041/10</t>
  </si>
  <si>
    <t>SE PROCEDE A LA APERTURA DE 10 ENCOMIENDAS DEL CORREO OFICIAL RETENIDAS EL 08/02/10 INFORMADAS EN PU 708/10, EN PRESENCIA DE UN TESTIGO HABIL, MEDIDA AUTORIZADA POR EL MAGISTRADO ACTUANTE EN SU OFICIO Nº 348/10. LA 1º EP022166262AR RTTE. ELSA FARFAN, COLON Nº 304, PALPALA, JUJUY Y DEST. RODRIGO MARTINEZ, ITALIA Nº 324. LAS ROSAS SANTA FE, C.P. 2520, CONTIENE 16 PARES DE ZAPATILLAS NUEVAS. LA 2ª EP022166316AR IGUAL RTTE. Y DEST. QUE LA ANTERIOR CONTIENE 39 PARES DE ZAPATILLAS NUEVAS. LA 3ª EP022166276AR IGUAL RTTE. Y DEST. QUE LAS ANTERIORES CONTIENE 18 PARES DE ZAPATILLAS NUEVAS Y 7 REPASADORES. LA 4ª EP022166280AR IGUAL RTTE. Y DEST. QUE LAS ANTERIORES CONTIENE 23 PARES DE ZAPATILLAS NUEVAS. LA 5ª EP022166293 IGUAL RTTE. Y DEST. QUE LAS ANTERIORES CONTIENE 15 PARES DE ZAPATILLAS NUEVAS. LA 6ª EP022166302AR RTTE. NORA FARFAN, COLON Nº 304, PALPALA, JUJY Y DEST. ERIKA FARFAN, ITALIA Nº 324 LAS ROSAS, STA. FE, C.P. 2520 CONTIENE 19 PARES DE ZAPATILLAS NUEVAS. LA 7ª EP659033098AR RTTE. GLADIS LETICIA RUIZ, ESTEBAN LEACH Nº 6, LA ESPERANZA, SAN PEDRO DE JUJUY, C.P. 4500 Y DEST. MARCELO TABOADA, PICADA 3 1/2, SAN PATRICIO DEL CHAÑAR NEUQUEN, C.P. 8300M CONTIENE 4 PAQUETES DE HOJAS DE COCA CON UN PESO TOTAL DE 1.001 GRS. Y 340 GRS. DE BICARBONATO DE SODIO SUELTO A LOS QUE SE LES REALIZO UNA PRUEBA DE CAMPO PARA COCAINA CON RESULTADO NEGATIVO. LA 8ª EP064869148AR RTTE. CLAUDIA PORTA, LAS MAGNOLIAS Nº 345 SALTA Y DEST. LILIANA PERALTA, ANGELA LOY Nº 32, RIO GRANDE, C.P. 9420 CONTIENE 6 PAQUETES DE HOJAS DE COCA CON UN PESO TOTAL DE 1489 GRS.. LA 9ª EP680916497AR RTTE. ELSA FERREIRA, PJE. 18, CASA Nº 877, SALTA CAPITAL, C.P. 4400 Y DEST. DIEGO FERNANDEZ, RODOLFO WALSH 1070 PISO 5º DPTO. D, CIPOLETTI RIO NEGRO, CONTINE 7 PAQUETES DE HOJAS DE COCA CON UN PESO TOTAL DE 3454 GRS.. LA 10ª EP658101675AR RTTE. JOSE VIRULON, TELIUS Nº 289 SAN PEDRITO, S.S. DE JUJUY, C.P. 4600 Y DEST. CARLOS VIRULON, FUERZA AEREA ARGENTINA Nº 1045, FORMOSA, C.P. 3600, CONTIENE 8 PAQUETES DE HOJAS DE COCA CON UN PESO TOTAL DE 1938 GRS. LUEGO DE VERIFICADO SU CONTENIDO LAS CARGAS SERAN PUESTAS A DISPOSICION DE LA ADUANA DE SALTA POR SUPUESTA INFRACCION A LA LEY 22.415 Y LAS ACTUACIONES REMITIDAS A SEDE JUDICIAL. CON CONOCIMIENTO DEL INTERINAMENTE A CARGO.</t>
  </si>
  <si>
    <t>ORGEIRA</t>
  </si>
  <si>
    <t>Ana Mercedes</t>
  </si>
  <si>
    <t>DR. MENDIETA ERNESTO</t>
  </si>
  <si>
    <t>CRUCCI ROMAN</t>
  </si>
  <si>
    <t>MARCO DETECTOR DE METALES</t>
  </si>
  <si>
    <t>CONTROL EQUIPAJE DE MANO</t>
  </si>
  <si>
    <t>DURANTE UN CONTROL DE CACHEO POLICIAL EN PREEMBARQUE SE DETECTA EN BOLSILLO IZQUIERDO DEL CIUDADANO CRUCCI UN ELEMENTO SOSPECHOSO EL CUAL LUEGO DE EXIBIR SE OBSERVA QUE ES UNA BOLSA DE COLOR BLANCA QUE CONTENIA EN SU INTERIOR UN PAQUETE DE ENVOLTORIO DE PAPEL FILM Y ENVUELTO EN CINTA DE EMBALAR DE COLOR MARRON, OBSERVANDOSE EN EL INTERIOR DE LA MISMA UNA SUSTANCIA DE COLOR PARDUZCA, SE CONVOCA A TESTIGOS HABILES, SIENDO TRASLADADO AL TURNO DE PREVENCION, DONDE SE INFORMA AL MAGISTRADO INTERVINIENTE, DISPONIENDO EL MISMO QUE SE REALICE REACTIVO ORIENTATIVO DE LA SUSTANCIA, ARROJANDO ESTE COMO RESULTADO POSITIVO MARIHUANA. SE INFORMA AL TRIBUNAL INTERVINIENTE DE DICHO RESULTADO, QUIEN DISPONE LECTURA DE DERECHOS Y GARANTIAS Y CONSTATACION DE DOMICILIO DEL CAUSANTE. QUE EN EL MARCO DEL PRESENTE SE SOLICITO LA CONSTATACION DE DOMICILIO A LA UNIDAD OPERACIONAL METROPOLITANA CON RESULTADO POSITIVO, LA CUAL FUE REMITIDA VIA FAX, A ESTA UNIDAD OPERACIONAL, Y DE LA QUE SEDIERA DEBIDA CUENTA AL MAGISTRADO INTERVINIENTE ORDENANDO SE NOTIFIQUE AL CAUSANTE QUE SE ENCUENTRA AFECTADO A LAS ACTUACIONES, FIJE DOMICILIO E INFORME TODO CAMBIO DEL MISMO AL JUZGADO, POR ULTIMO SE EFECTUA PRECARIO MEDICO DEL CAUSANTE. TODO ELLO INFORMADO MEDIANTE PARTE URGENTE Nº 1083 DE FECHA 25-02-2010 AMPLIATORIO DEL PRESENTE.</t>
  </si>
  <si>
    <t>AR 1880</t>
  </si>
  <si>
    <t>1082/10</t>
  </si>
  <si>
    <t>CRUCCI, ROMAN S/INFRACCION LEY Nº 23.737</t>
  </si>
  <si>
    <t>SIENDO LAS 01:00 HORAS SE RECIBE DE LA UNIDAD OPERACIONAL METROPOLITANA VIA FAX CONSTATACION DE DOMICILIO, EN EL MARCO DE LAS ACTUACIONES QUE SE LABRAN EN ESTA UOSP, DONDE SURGE QUE DICHA CONSTATACION, FUE POSITIVA, SIENDO ATENDIDO EN EL DOMICILIO CONSTATADO POR LA MADRE DEL APRENDIDO, SE EFECTUO PRECARIO MEDICO DEL CAUSANTE, INFORMANDO AL TRIBUNAL ACTUANTE DE LO REALIZADO POR LA PREVENCION, DISPONIENDO EL MISMO, QUE EL CAUSANTE SEA NOTIFICADO, QUE SE ENCUENTRA AFECTADO A LAS PRESENTES ACTUACIONES Y FIJE DOMICILIO, COMO ASI TAMBIEN DEBERA INFORMAR CUALQUIER CAMBIO DEL MISMO. RETIRANDOSE EL CAUSANTE DE ESTA PREVENCION A LAS 01:40 HORAS</t>
  </si>
  <si>
    <t>ANDREA MONICA CAPALDO</t>
  </si>
  <si>
    <t>ACTUACIONES INTERNAS</t>
  </si>
  <si>
    <t>TERMINAL SUR DE PASAJEROS</t>
  </si>
  <si>
    <t>SIENDO LAS 15:00HS DEL DÍA 24 DE FEBRERO DEL CORRIENTE AÑO, LA JEFE DE TURNO SILVIA CASTILLO, RECIBE COMUNICACIÓN TELEFÓNICA POR PARTE DEL 2DO JEFE DE ESTA UOSPM ARIEL REBORA, QUIEN LE SOLICITA APERSONARSE HACIA EL PUESTO DENOMINADO TERMINAL SUR, DEBIDO A QUE MINUTOS ANTES HABÍA ATERRIZADO UNA AERONAVE MODELO LEAR JET LJ35 MATRICULA LV-BAW (VUELO SANITARIO) PERTENECIENTE A LA LINEA AEREA BAIRES FLY, LA CUAL TRASLADABA UNA PERSONA DE SEXO FEMENINO QUIEN SE ENCONTRABA DESCOMPENSADA, Y ESTABA SIENDO ATENDIDA POR EL MEDICO DEL VUELO. SEGUIDAMENTE, LA JEFE DE TURNO PROCEDIÓ A ENTREVISTARSE CON EL DR. CARLOS FABIAN VIDAL MEDICO ESPECIALISTA AEROEVACUADOR, QUIEN PREGUNTADO SOBRE LOS HECHOS DIJO QUE SIENDO APROXIMADAMENTE LAS 14:45 HORAS, YA ATERRIZADO EL VUELO EN ESTA AEROESTACION LA PACIENTE GRACIELA CASAS SE DESCOMPENSA, POR LO QUE SE PROCEDIÓ A REALIZAR LAS TAREAS DE REANIMACIÓN Y RESUCITACIÓN CORRESPONDIENTES, LAS CUALES PASADOS UNOS MINUTOS ARROJARON RESULTADO NEGATIVO, CONSTATANDO DICHO FACULTATIVO EL DECESO DE LA SR. GRACIELA CASAS. EL DR.CARLOS FABIAN VIDAL INFORMÓ QUE REALIZARÍA A POSTERIORI LA PARTIDA DE DEFUNCIÓN. SIENDO LAS 16:00 HORAS LA FUNCIONARIA SILVIA CASTILLO ENTABLÓ COMUNICACIÓN TELEFÓNICA CON LA DRA. ANDREA MONICA CAPALDO, QUIEN INFORMADA DEL HECHO, ORDENÓ SE REALICEN ACTUACIONES INTERNAS PARA REGISTRO DE ESTA UNIDAD Y QUE LAS ACTUACIONES NO SE ELEVEN.</t>
  </si>
  <si>
    <t>DR. JORGE GARCIA DAVINI</t>
  </si>
  <si>
    <t>EN EL DIA DE LA FECHA, SIENDO APROXIMADAMENTE LAS 04:00 HORAS, SE RECIBE COMUNICACIÓN POR PARTE DEL OFICIAL MARCELO FERNANDEZ OPERADOR DESTACADO EN EL PUNTO DE CONTROL JET PAQ QUIEN INFORMA QUE EN UNA SACA DE LA EMPRESA CORREO ARGENTINO EXISTIA UN OBJETO SIMILAR A UN ARMA DE FUEGO, MOTIVO POR EL CUAL ME APERSONÉ EN DICHO SECTOR EN DONDE LOGRÉ CONSTATAR LOS DICHOS DEL OFICIAL FERNANDEZ, OBSERVANDO QUE DENTRO DE LA SACA SE HALLABA UNA CAJA DE TAMAÑO MEDIANO Y EN EL INTERIOR DE LA MISMA SE APRECIA LO QUE A PRIMERA VISTA SERIA UN ARMA DE FUEGO O REPLICA. SIENDO LAS 06:40 HORAS SE REALIZA COMUNICACION TELEFONICA CON EL DR. DAVINI, A QUIEN SE LE INFORMA SOBRE LA NOVEDAD ACAECIDA ORDENANDO QUE: SE APERTURE LA SACA A FIN DE CONSTATAR SU CONTENIDO. REALIZADA LA APERTURA DE LA SACA SE VERIFICA QUE LA MISMA CONTIENE UNA PLANILLA DE DESPACHO Y UNA CAJA DE CARTON CERRADA DESCRIPTA EN EL PUNTO SIGUIENTE- OBJETOS-, DESTACANDO QUE EL REMITENTE SEGUN CONSTA EN LA DOCUMENTACION SERIA LA CAMARA DEL CRIMEN Nº 01 DE SANTA ROSA LA PAMPA, Y EL DESTINATARIO EL JUZGADO DE INSTRUCCION Nº 05 OFICINA 354 DE PUERTO MADRYN, CHUBUT, POR LO QUE EL DR. DAVINI DISPONE QUE LA CAJA PERMANEZCA CERRADA EN ESTA DEPENDENCIA HASTA QUE EL MISMO SE HAGA PRESENTE EN ESTA SEDE POLICIAL. SIENDO LAS 08:20 HORAS SE HACE PRESENTE EL DR. DAVINI QUIEN CONSTATA EL CONTENIDO DE LA CAJA VISUALIZANDO LAS IMAGENES DEL ARMA EN VISTAS FOTOGRAFICAS TOMADAS AL MONITOR DEL EQUIPO DE RAYOS X Y LA DOCUMENTACION ADJUNTA, DISPONIENDO EL SECUESTRO DE LA SACA Y SU CONTENIDO, SIN APERTURAR LA CAJA, PERMANECIENDO LA MISMA EN ESTA UNIDAD HASTA RECIBIR NUEVAS DIRECTIVAS EN EL TRANSCURSO DE LA MAÑANA. SE AMPLIARA CON LAS NUEVAS DIRECTIVAS. SE PROCEDE A DETALLAR A CONTINUACION LOS ELEMENTOS SECUESTRADOS EN EL PUNTO OBJETOS SECUESTRADOS O SUSTRAIDOS: UN SECUESTRO DE PLANILLA DE DESPACHO, UN SECUESTRO DE PRECINTO PLASTICO COLOR AZUL Nº U816007 Y UN SECUESTRO DE MARBETE DE IDENTIFICACION CON INSCRIPCION CORREO ARGENTINO EXPRESO DE: CDD/CTP SANTA ROSA, A CTP TRELEW, RSA8436642E555500REL, CON LA SIGUIENTE INSCRIPCION MANUSCRITA PESO DOS Y PRECINTO U816007.</t>
  </si>
  <si>
    <t>SANTA ROSA</t>
  </si>
  <si>
    <t>STAND DE INFORMES DE AA2000</t>
  </si>
  <si>
    <t>EL DENUNCIANTE AL ARRIBAR SALE AL HALL PUBLICO Y SE ACERCA AL STAND DE INFORMES DE AA2000 LLEVANDO TODAS SUS PERTENENCIAS EN UN CARRITO A CONSULTAR SOBRE DONDE ADQUIRIR UN TAXI. AL FINALIZAR SU CONSULTA SE PERCATA DE QUE LE FALTABA UNA MOCHILA DEL CARRITO, EL CUAL HABIA DEJADO A SU LADO, REALIZA UNA BUSQUEDA POR LAS CERCANIAS SIN PODER DAR CON SU EQUIPAJE Y SE DIRIGE A LA GUARDIA A RADICAR LA DENUNCIA CORRESPONDIENTE.</t>
  </si>
  <si>
    <t>QF017</t>
  </si>
  <si>
    <t>FISCALIA FEDERAL N° 3 DE CORDOBA</t>
  </si>
  <si>
    <t>CONSULADO DE PERU S/PEDIDO</t>
  </si>
  <si>
    <t>494/09</t>
  </si>
  <si>
    <t>SIENDO EL DÍA 24 DE FEBRERO DEL 2010 SE RECEPCIONÓ OFICIO JUDICIAL DE LA FISCALIA FEDERAL Nº 3 DE LA CIUDAD DE CORDOBA CON FECHA 19 DE DICIEMBRE Y DIRECCIONADO EN FORMA ERRONEA AL SR. JEFE DE LA UNIDAD REGIONAL III DEL NORTE OF. CARLOS MARTIN BRUNA EN LOS AUTOS CARATULADOS -CONSULADO DE PERU S/PEDIDO- EXPTE 494/09, DONDE SE SOLICITA COMISIONAR PERSONAL YA DESIGNADO A LOS FINES DE HACERSE PRESENTE ANTE LA SUSCRIPTA PARA INTERIORIZARSE DE LAS MEDIDAS ENCOMENDADAS. EN REFERENCIA A LA CITADA CAUSA LA MISMA FUE INFORMADA POR SIPAP Nº 37 Y Nº 38 DEL DIA 24 DE SETIEMBRE DE 2009, DONDE SE SOLICITABA LA COLABORACIÓN PARA LA IDENTIFICACION Y POSTERIOR DETENCION DEL CIUDADANO PERUANO FONTANELLA BOBO. LO CUAL NO PUDO SER CONCRETADO EN AQUELLA OCASIÓN, QUEDANDO A DISPOSICIÓN DEL JUZGADO PARA QUE NOS INFORMARA LOS PASOS A SEGUIR</t>
  </si>
  <si>
    <t>JUZGADO NACIONAL CRIMINAL DE INSTRUCCION Nº 14</t>
  </si>
  <si>
    <t>SECRETARIA Nº 143</t>
  </si>
  <si>
    <t>BOBES</t>
  </si>
  <si>
    <t>GUNGEL</t>
  </si>
  <si>
    <t>LIN MING YUN S/DEFRAUDACION POR RETENCION INDEBIDA</t>
  </si>
  <si>
    <t>27717/05</t>
  </si>
  <si>
    <t>EN EL DIA DE LA FECHA SIENDO LAS 19:30 HS SE RECEPCIONA A LA SEÑORA LIN MING YUN, POR PARTE DEL SUPERVISOR DE LA DNM, QUIEN SE ENCONTRABA DISPUESTA A EGRESAR DEL TERRITORIO NACIONAL, REGISTRA UNA ORDEN DE CAPTURA VIGENTE. EN VIRTUD DE ELLO SE REALIZAN LLAMADAS AL JUDGADO CORRESPONDIENTE INDICANDO Y PROCEDIENDO A CUMPLIR CO LAS ACTUACIONES ORDENADAS POR EL MISMO.</t>
  </si>
  <si>
    <t>MH202</t>
  </si>
  <si>
    <t>Malasia</t>
  </si>
  <si>
    <t>KUALA LUMPUR</t>
  </si>
  <si>
    <t>PLATAFORMA OPERATIVA - SECTOR CARGAS - PLAYA DE ESTACIONAMIENTO VEHÍCULOS DE CARGA</t>
  </si>
  <si>
    <t>JURISDICCION DEL AEROPUERTO INTERNACIONAL JUJUY</t>
  </si>
  <si>
    <t>INFORMO QUE EL DÍA 24 DE FEBRERO DE 2010 A HORAS 11:15 LOCAL SE DA INICIO A OPERATIVO DE SEGURIDAD POR EL ARRIBO A LA PROVINCIA DE JUJUY DEL VALORES PERTENECIENTES AL TESORO REGIONAL, SIENDO TRANSPORTADOS POR AERONAVE PERTENECIENTE A LA FUERZA AEREA ARGENTINA MATRICULA TC-55, ARRIBANDO LA MISMA A HORAS 12:15 LOCAL, PROCEDIENDO A LA DESCARGA DE LOS VALORES EN VEHÍCULOS TRANSPORTADORES DE CAUDALES DEL BANCO DE LA NACION ARGENTINA Y EMPRESA PROSEGUR, DESPEGANDO LA AERONAVE CON DESTINO EL AEROPUERTO SALTA A HORAS 13:05 LOCAL, PROCEDIENDO LOS VEHÍCULOS TRANSPORTADORES DE CAUDALES A RETIRARSE DE LA JURISDICCION A HS 13:10 LOCAL CON LA CUSTODIA DE VEHÍCULOS Y PERSONAL DE POLICIA FEDERAL ARGENTINA Y POLICIA DE LA PROVINCIA DE JUJUY.</t>
  </si>
  <si>
    <t>JUJUY</t>
  </si>
  <si>
    <t>DENTRO DE LAS INSTALACIONES DEL AEROPUERTO METROPOLITANO</t>
  </si>
  <si>
    <t>SIENDO LA HORA Y LA FECHA ANTES MENCIONADA SE PRESENTA EN LA GUARDIA DE PREVENCION EL DENUNCIANTE PARA INFORMAR QUE EXTRAVIO SU PERMISO PERSONAL DE SEGURIDAD AEROPORTUARIO TEMPORAL EXPEDIDO POR ESTA POLICIA INICIANDOSE LA DENUNCIA DE EXTRAVIO Nº 104/10.</t>
  </si>
  <si>
    <t>DRA MARIA SILVIA GONZALEZ</t>
  </si>
  <si>
    <t>EXPTE NRO 14.476</t>
  </si>
  <si>
    <t>SECTOR SUR- OESTE A 1500 MTS APROXIMADAMENTE DEL EDIFICIO DE LA AEROESTACION Y A LA MISMA ALTURA EN EL SECTOR SUR ESTE</t>
  </si>
  <si>
    <t>EN EL DIA DE LA FECHA SE PRESENTA EN EL TURNO LA SRTA VERONICA R. MURADOR DE LA EMPRESA AA2000 PARA MANIFESTAR QUE REALIZANDO UNA RECORRIDA PERIMETRAL SE ENCONTRO QUE EL ALAMBRADO PRESENTABA UN CORTE TRANSVERSAL.NO SE PUEDE PRECISAR HORA EXACTA DEL HECHO SIENDO EL DIA ESTIMADO ENTRE LA NOCHE DE AYER Y HOY A LA MAÑANA.SE REALIZA COMUNICACION CON EL JUZGADO QUIEN ORDENA UNA EXTENCION DE LA CAUSA NRO 14.476 -CARATULADA AEROPUERTO PARANA S/DAÑO EN SU PERJUICIO- QUE SE INICIARA EL 14/01/10 INFORMADO MEDIANTE PARTE URGENTE NRO 236/10 Y SE AGREGUE AL INFORME REQUERIDO POR LA FISCALIA MEDIANTE OFICIO NRO 17/10 INFORMADO EN PARTE URGENTE 739/10.</t>
  </si>
  <si>
    <t>EL DECLARANTE, EMPLEADO DE LA EMPRESA VIDA VERDE, SE PRESENTA ANTE ESTA INSTANCIA PARA EXPONER SOBRE EL EXTRAVIO DE SU PERMISO PERSONAL AEROPORTUARIO PERMANENTE Nº 315038, NO PUDIENDO PRECISAR EL LUGAR NI EL MOMENTO DEL HECHO. DICHO PERMISO, QUE SE ENCONTRABA A NOMBRE DEL DECLARANTE TIENE COMO VENCIMIENTO EL 30 DE JULIO DE 2010 Y HABILITACION PARA CIRCULAR POR LOS SECTORES 1-4-5.</t>
  </si>
  <si>
    <t>DR. HORACIO SEGURA</t>
  </si>
  <si>
    <t>PERGOLA</t>
  </si>
  <si>
    <t>SIENDO LAS SEIS HORAS CUARENTA Y CINCO MINUTOS DEL DIA DE LA FECHA EL OFICIAL ZANDONADI QUIEN SE DESEMPEÑABA COMO RESPONSABLE DEL PREEMBARQUE B, RECIBE LA NOVEDAD POR PARTE DE PERSONAL DE LA EMPRESA AEROLINEAS ARGENTINAS, QUE UN PASAJERO QUE VENIA DESDE LA CIUDAD AUTONOMA DE BUENOS AIRES EN UN MICRO PUESTO POR ESA EMPRESA, SENTIA FUERTES DOLORES ESTOMACALES, POR TAL MOTIVO EL OFICIAL ZANDONADI SE APERSONA EN LA PERGOLA DE DICHA TERMINAL Y CUANDO ARRIBA EL MICRO EN CUESTION SE ENTREVISTA CON EL PASAJERO QUIEN SE NEGABA ROTUNDAMENTE A ACEPTAR UN VASO DE AGUA, YA QUE EL MISMO SE ENCONTRABA EN EVIDENTE ESTADO DE NERVIOSISMO, POR TAL MOTIVO EL OFICIAL ZANDONADI SE TRASLADA JUNTO AL PASAJERO A ESTA GUARDIA DE PREVENCION, EN DONDE SE ANOTICIA AL JUZGADO INTERVINIENTE, QUIEN DISPONE SE REALICE CHEQUEO AL PASAJERO POR MEDIO DE BODY SCAN, PERTENECIENTE A LA ADUANA Y, EN CASO DE OBSERVARSE CUERPOS EXTRAÑOS EN EL INTERIOR DE SU ORGANISMO, SE TRASLADE AL PASAJERO AL HOSPITAL ZONAL DE EZEIZA, POR LO QUE SE CHEQUEA AL PASAJERO POR MEDIO DE BODY SCAN OBSERVANDOSE DENTRO DE SU CUERPO ELEMENTOS EXTRAÑOS, SEGUIDAMENTE EL MASCULINO ES TRASLADADO AL HOSPITAL DE EZEIZA, DONDE LUEGO DE REALIZARSELE UNA PLACA RADIOGRAFICA SE DETERMINA QUE EFECTIVAMENTE EL MASCULINO POSEIA EN SU INTERIOR ELEMENTOS EXTRAÑOS, POR LO QUEDA INTERNADO EN LA SALA DE TERAPIA INTENSIVA DE ESE NOSOCOMIO, A LA ESPERA DE QUE EXPULSE NATURALMENTE LOS MISMOS.</t>
  </si>
  <si>
    <t>AR1140</t>
  </si>
  <si>
    <t>942/10</t>
  </si>
  <si>
    <t>DRA. LORNA HERNANDEZ</t>
  </si>
  <si>
    <t>S/ DENUNCIA DE LA POLICIA DE SEGURIDAD AEROPORTUARIA S/ INGRESO DE ANIMALES EN EL PERIMETRO DEL AERODROMO.</t>
  </si>
  <si>
    <t>5101/10</t>
  </si>
  <si>
    <t>EN EL DIA DE LA FECHA, SEGUN LO ORDENADO MEDIANTE OFICIO JUDICIAL Nº 3207/10, EMANADO POR FISCALIA FEDERAL DE ESTA PROVINCIA, DRA. INDIANA GARZON, SE HACE ENTREGA AL ING. FTAL. GUILLERMO DEL CORRO, ENCARGADO DEL ZOOLOGICO MUNICIPAL DE ESTA CIUDAD CAPITAL, TRES ANIMALES CAPRINOS. LOS MISMOS PERMANECIAN EN RESGUARDO EN ESTA UOSP POR ORDEN DE S.S. DR. GUILLERMO MOLINARI.</t>
  </si>
  <si>
    <t>SIENDO LA HORA INDICADA LOS OFICIALES, FRIAS Y MOLINA, SE ENCONTRABAN CHEQUEANDO LOS EQUIPAJES DEL VUELO DE MENCION, CUANDO OBSERVAN EN LA MAQUINA DE RX, QUE DENTRO DE DOS CARRIONES DE SIMILARES CARACTERISTICAS DESPACHADOS BAJO EL MISMO NOMBRE, SE HALLABA SUSTANCIA ORGANICA, SIN SABER LOS MISMOS QUE TIPO DE SUSTANCIA SE TRATABA, POR TAL MOTIVO UNA VEZ LOS INTERVINIENTES Y EL PASAJERO EN EL TURNO DE PREVENCION, SE PROCEDE A LA APERTURA DE LOS EQUIPAJES COMPROBANDO QUE EN AMBOS POSEIAN OCULTOS EN DOBLE FONDO 25 PAQUETES DE IDENTICAS CARACTERISTICAS CADA UNO, HACIENDO UN TOTAL DE CINCUENTA PAQUETES. DE LOS CUALES CUATRO FUERON SOMETIDOS A REACTIVO DE CAMPO PARA COCAINA ARROJANDO RESULTADO POSITIVO. ANOTICIADO EL JUZGADO INTERVINIENTE DISPONE SE DETENGA AL PASAJERO EN CARACTER DE INCOMUNICADO Y LO ACTUADO JUNTAMENTE CON EL DETENIDO SE ELEVE EL DIA 26 DEL CORRIENTE MES Y AÑO A SEDE JUDICIAL. EL PASAJERO PROVENIA DE LA CIUDAD DE SANTA CRUZ DE LA SIERRA, REPUBLICA DE BOLIVIA EN EL VUELO DE LA EMPRESA AEROLINEAS ARGENTINAS AR 1363, POR LO TANTO SE ENCONTRABA EN TRANSITO RUMBO A LA CIUDAD DE ROMA REPUBLICA DE ITALIA. SE INFORMA SEGUN PU Nº 1138 DEL DIA 26/02/10 QUE SIENDO APROXIMADAMENTE LAS 0800 HORAS SE PROCEDIO AL TRASLADO DEL DETENIDO A SEDE JUDICIAL.</t>
  </si>
  <si>
    <t>1086/10</t>
  </si>
  <si>
    <t>EL DENUNCIANTE AL ARRIBAR SALE AL HALL PUBLICO Y SE ACERCA AL STAND DE INFORMES DE AA2000 LLEVANDO TODAS SUS PERTENENCIAS EN UN CARRITO A CONSULTAR SOBRE DONDE ADQUIRIR UN TAXI. AL FINALIZAR SU CONSULTA SE PERCATA DE QUE LE FALTABA UNA MOCHILA DEL CARRITO, EL CUAL HABIA DEJADO A SU LADO, REALIZA UNA BUSQUEDA POR LAS CERCANIAS SIN PODER DAR CON SU EQUIPAJE Y SE DIRIGE A LA GUARDIA A RADICAR LA DENUNCIA CORRESPONDIENTE. DEJO CONSTANCIA QUE SE HABIA OMITIDO POR UN ERROR DE LECTURA EL DINERO INCORPORADO A LOS ELEMENTOS SUSTRAIDOS 20.000 RMB- MONEDA CHINA SEGUN CONSTA EN LA DENUNCIA.</t>
  </si>
  <si>
    <t>951/10</t>
  </si>
  <si>
    <t>ACTUACIONES COMPLEMENTARIAS</t>
  </si>
  <si>
    <t>HALL DE ARRIBOS</t>
  </si>
  <si>
    <t>EL APREHENDIDO ES TRASLADADO AL TURNO IDENTIFICADO POR EL C.O.C. COMO UNO DE LOS INDIVIDUOS QUE LE OFRECIO EL TAXI AL DENUNCIANTE, SE COMUNICA LO ACONTECIDO A LA U.F.I. LA CUAL ORDENA SE LO NOTIFIQUE DE LA FORMACION DE LA CAUSA ART. 60, 89 Y 92 DEL C.P. DE LA PCIA DE BS AS Y SE REALICE CONSTATACION DE DOMICILIO AL CAUSANTE Y UNA VEZ CUMPLIMENTADAS LAS DILIGENCIAS SE PERMITA SU LIBRE CIRCULACION.-</t>
  </si>
  <si>
    <t>INFORMO QUE EN EL VUELO LADE DEL DIA DE LA FECHA SE ENVIA UN SOBRE CERRADO A LA EXCELENTISIMA CAMARA DE APELACIONES DE COMODORO RIVADAVIA CONTENIENDO EN SU INTERIOR DOCUMENTACION REFERENTE A HABILITACION N° 46, 47 Y 52/10 ´H´, DE ESTE JUZGADO FEDERAL, BAJO GUIA DE CARGA N° 022-28004045, CONFORMO A LO ORDENADO POR OFICIO DE FECHA 23/02/2010. ASI MISMO SE INFORMA QUE SE ESTIMA EL ARRIBO DEL VUELO A LAS 22:OO HORAS APROXIMADAMENTE.-</t>
  </si>
  <si>
    <t>LD-487</t>
  </si>
  <si>
    <t>DRA. ANDREA MONICA CAPALDO</t>
  </si>
  <si>
    <t>MOSTRADOR DE DESPACHO- CINTA DE ARRIBOS.</t>
  </si>
  <si>
    <t>SIENDO LA HORA Y LA FECHA ANTES MENCIONADA AL ARRIBAR AL SECTOR A2 DEL AEROPARQUE METROPOLITANO EL DAMNIFICADO RETIRO SU MOCHILA DESPACHADA POR BODEGA DE LA CINTA DE EQUIPAJES Y AL APERTURAR EL INTERIOR DE LA MISMA SE PERCATA DEL FALTANTE DE UN TELEFONO CELULAR DE SU PROPIEDAD POR LO QUE SE ACERCO AL PERSONAL POLICIAL Y COMIENZO A MANIFESTAR A VIVA VOS QUE LE HABIAN ROBADO EL TELEFONO CELULAR POR LO QUE EL FUNCIONARIO POLICIAL LE INDICA QUE SE PRESENTE EN LA GUARDIA DE PREVENCION A FIN DE RADICAR LA CORRESPONDIENTE DENUNCIA A LO QUE EL PASAJERO LE CONTESTO QUE NO REALIZARIA NINGUNA DENUNCIA POLICIAL RETIRANDOSE AL MOSTRADOR DE RECLAMOS DE LA COMPAÑIA AEREA. SIENDO LAS 13:00 HORAS SE COMISIONA AL SECTOR AL ENCARGADO DE TURNO A FIN DE DAR CON LOS POSIBLES TESTIGOS O AUTORES DEL HECHO ARROJANDO RESULTADO NEGATIVO, POR LO QUE SE TRASLADA HASTA EL MOSTRADOR DE RECLAMOS DE LA EMPRESA AEROLINEAS ARGENTINAS DONDE LE INFORMARON QUE EL PASAJERO EN CUESTION HABIA EFECTUADO UN RECLAMO Y LE SUMINISTRARON TODOS LOS DATOS FILIATORIOS DEL DAMNIFICADO. SIENDO LAS 16:30 HORAS SE ENTABLA COMUNICACION TELEFONICA CON LA JUDICATURA ACTUANTE A QUIEN SE LE INFORMO QUE SE INICIARON EN ESTA DEPENDENCIA POLICIAL ACTUACIONES DE OFICIO, DISPONIENDO: SE PROCEDA A VER EL REGISTRO FILMICO A LOS FINES DE DETERMINAR SI POR LAS CAMARAS DEL SECTOR SE PODIA APRECIAR EL HECHO Y EN CASO DE SER POSITIVO REALIZAR UNA NUEVA CONSULTA TELEFONICA, Y DE SER NEGATIVO PROCEDER AL CIERRE Y ELEVACION DE LAS ACTUACIONES.</t>
  </si>
  <si>
    <t>AR 2863</t>
  </si>
  <si>
    <t>ACTUACIONES COMPLEMENTARIAS EN REFERENCIA A LA CAUSA Nº 106-E/10.</t>
  </si>
  <si>
    <t>CALLE DETRAS DEL EDIFICIO P.S.A.</t>
  </si>
  <si>
    <t>EN MOMENTOS EN QUE EL OF. PRINCIPAL OZAN CIRCULABA BUSCANDO ESTACIONAR SU VEHICULO, NOTA A UN AUTO RENAULT 19 GRIS AVANZAR LENTAMENTE Y OBSERBA QUE POR LA PARTE TRASERA DEL LADO DERECHO CERCA DE LAS RUEDAS SE ASOMA UN MASCULINO. EN ESE MOMENTO UN VIGILADOR DE S.A.S.A. LLAMA AL CITADO MASCULINO Y AL ACERCARSE EL OF. OZAN ESTE LE COMENTA QUE HABIA VISTO AL SUJETO INTENTANDO PINCHAR LOS NEUMATICOS DEL RENAULT 19 Y QUE ESTABA ACOMPAÑADO POR OTRO SUJETO QUE SE HABIA IDO, LE DA LA NOVEDAD AL JEFE DE TURNO, EL CUAL LE INDICA QUE SE DIRIJA AL TURNO, JUNTO CON EL MASCULINO, A REALIZAR LAS ACTUACIONES CORRESPONDIENTES. SEGUIDAMENTE SE ENTABLA COMUNICACION TELEFONICA CON LA JUDICATURA ACTUANTE A QUIEN SE LE INFORMA LO SUCEDIDO DISPONIENDO SE LABREN ACTUACIONES COMPLEMENTARIAS EN EL MARCO DE LA CAUSA N 106-E/10 CARATULADA AVERIGUACION DE ILICITO, Y EN DEBIDO A QUE EL CAUSANTE NO REGISTRA ANTECEDENTES SE PROCEDA A LA SOLTURA DEL MASCULINO DE NACIONALIDAD COLOMBIANO. SE INFORMA DETALLADAMENTE LA CAUSA Nº 106-E/10 INICIADA EL DIA 22/02/10 EN PU Nº 1031.</t>
  </si>
  <si>
    <t>1099/10</t>
  </si>
  <si>
    <t>INFORMO QUE EL DIA DE LA FECHA EN LOS SIGUIENTES HORARIOS SE REGISTRARON LAS SIGUIENTES DEPOSICIONES: 08:40HS DEPOSICION NRO.1 CUARENTA Y SEIS CAPSULAS 374 GRAMOS, 09:05HS DEPOSICION NRO.2 TRECE CAPSULAS 106 GRAMOS, 09:40HS DEPOSICION NRO.3 DOCE CAPSULAS 98 GRAMOS, 09:55HS DEPOSICION NRO.4 DOS CAPSULAS 16 GRAMOS, 10:05HS DEPOSICION NRO.5 CINCO CAPSULAS 42 GRAMOS, 10:30HS DEPOSICION NRO.6 TRES CAPSULAS 24 GRAMOS, 10:40HS DEPOSICION NRO.7 DOS CAPSULAS 16 GRAMOS, 11:15HS DEPOSICION NRO.8 ONCE CAPSULAS 90 GRAMOS, 12:20HS DEPOSICION NRO.9 DOCE CAPSULAS 98 GRAMOS, 14:45HS DEPOSICION NRO.10 UNA CAPSULA 8 GRAMOS.</t>
  </si>
  <si>
    <t>INF. A LOS ART. 78 Y 85 DEL DECRETO LEY 8031/73</t>
  </si>
  <si>
    <t>CINTAS DE RETIRO DSE EQUIPAJES</t>
  </si>
  <si>
    <t>SIENDO LA HORA INDICADA EL COMISIONADO MAYOR MARTINEZ QUE SE ENCONTRABA DE RECORRIDA POR EL SECTOR OBSERVA EN EL MISMO AL CAUSANTE EJERCIENDO EL SERVICIO DE MALETERO SIN ESTAR HABILITADO PARA TAL TAREA, SE LO CONDUCE A LA GUARDIA MEDICA DEL AEROPUERTO Y POSTERIORMENTE SE INICIAN LAS ACTUACIONES.</t>
  </si>
  <si>
    <t>1110/10</t>
  </si>
  <si>
    <t>INFORMO QUE EN EL DIA DE LA FECHA, SIENDO LAS 07:30 HORAS, EL DETENIDO EN AUTOS FUE TRASLADADO A SEDE TRIBUNALICIA</t>
  </si>
  <si>
    <t>DR. JUAN GONZALEZ DE PRADA</t>
  </si>
  <si>
    <t>EXHORTO DEL SEÑOR JUEZ DEL JUZGADO FED. Nº1- BAHIA BLANCA PROV. DE BS. AS. MINISTERIO PUBLICO FISCAL S/SOLICITA EN CAUSA Nº 05/07-ESTRIKER, MARJANOV, OTERO, GANDOLFO-CAUSA 05/07-INC.153.</t>
  </si>
  <si>
    <t>46/10</t>
  </si>
  <si>
    <t>CIUDAD DE SAN SALVADOR DE JUJUY</t>
  </si>
  <si>
    <t>EL DIA 25 DE FEBRERO DE 2010 SE RECEPCIONA OFICIO JUDICIAL Nº 24/10 DEL JUZGADO FEDERAL Nº 2 DE JUJUY INTERINAMENTE A CARGO DEL DR. RAMON EDUARDO NEBHEN QUIEN ORDENA REALIZAR TAREAS INVESTIGATIVAS TENDIENTES A CONSTATAR SI ALEJANDRO OSVALDO MARJANOV DNI 4.260.719, RESIDE O CONCURRE AL DOMICILIO SITO EN CALLE SENADOR PEREZ Nº 102 DE LA CIUDAD DE SAN SALVADOR DE JUJUY, O SI LO HACE EN OTRO/S DOMICILIO/S SI ADEMAS POSEE O UTILIZA VEHÍCULOS PARA SU TRANSPORTE PERSONAL, INFORMANDOSE A LA BREVEDAD A ESE TRIBUNAL. A PARTIR DEL DIA 26 DE FEBRERO A LAS 06:00 HS. SE INICIAN LAS MENCIONADAS TAREAS INVESTIGATIVAS MENCIONADAS EN EL OFICIO JUDICIAL, SEGUN ORDEN DE SERVICIO Nº 0025/10 DE LA URSA III DEL NORTE. SEGUN PR AMPLIATORIO 1228, SE RECEPCIONA OFICIO JUDICIAL Nº 25/10, EXPTE Nº 46/10 DEL DIA 03 DE MARZO DE 2010 DEL JUZGADO FEDERAL Nº 2 DE LA CIUDAD DE JUJUY, CARATULADO EXHORTO DEL SR, JUEZ DEL JUZGADO FEDERAL Nº 1 - BAHIA BLANCA, PCIA DE BUENOS AIRES - MINISTERIO PUBLICO FISCAL S/SOLICITA EN CAUSA Nº 05/07, STRIKER, MARJAVOV, OTERO, GANDOLFO, DICHO OFICIO FACULTA A ESTA UNIDAD OPERACIONAL DEL CONTROL DE NARCOTRAFICOY EL DELITO COMPLEJO DE LA UNIDAD REGIONAL III DEL NORTE, PARA REALIZAR EL ALLANAMIENTO DEL INMUEBLE UBICADO EN AVENIDA SENADOR PEREZ 102 DE LA CIUDAD DE SAN SALVADOR DE JUJUY, ESQUINA CALLE INDEPENDENCIA, EN SUS DEPENDENCIAS PRINCIPALES Y ACCESORIAS, A LLEVAR A CABO DICHO ALLANAMIENTO EN EL DIA DE LA FECHA A PARTIR DE LAS 13:00 HASTA LAS 20:00 HORAS, O EL DIA 4 DE MARZO DE 2010, A PARTIR DE LAS 09:00 HASTA LAS 20:00 HORAS, A LOS FINES DE PROCEDER A LA DETENCION DE ALEJANDRO OSVALDO MARJANOV L.E. Nº 4.260.719, COMO ASI TAMBIEN AL SECUESTRO DE TODA DOCUMENTACION QUE PUEDA TENER RELACION DIRECTA O INDIRECTA CON LA CAUSA PRINCIPAL Nº 05/07, DEL REGISTRO JUZGADO DE EXHORTO, POR EJ. FOTOS, PERIODICOS, CARTAS, ETC.,COMO TAMBIEN SE AUTORIZA A LA DETENCION EN LA VIA PUBLICA DEL CAUSANTE, EL CUAL UNA VES REALIZADA LA DETENCION, SER TRASLADADO AL SERVICIO PENITENCIARIO FEDERAL DE LA CIUDAD DE JUJUY, DICHAS TAREAS SE REALIZAN TAMBIEN BAJO LA ORDEN DE SERVICIO Nº 031/10 DE LA URSA III DEL NORTE. SEGUN PR AMPLIATORIO 1248 SE AMPLIA PARTE N° 1228, DE ACUERDO A LAS TAREAS INVESTIGATIVAS REALIZADAS EN AUTOS SE PUDO CONFIRMAR QUE EN EL DOMICILIO SITO EN SENADOR PEREZ N° 102 DE LA CIUDAD DE SAN SALVADOR DE JUJUY, NO SE ENCUENTRA NINGUNA PERSONA. POR TAL MOTIVO SE PROCEDE A CHEQUEAR EN LAS EMPRESAS DE TRANSPORTE DE PASAJEROS, TERRESTRES Y AEREAS, SI EL CIUDADANO ALEJANDRO MARJANOV HABRIA UTILIZADO ALGUNA DE LAS MISMAS, RESPONDIENDO LA DRICA DEL NORTE QUE EL MISMO HABRIA VIAJADO JUNTO A UNA PERSONA DE SEXO FEMENINO HACIA BS. AS. POR EL AEROPUERTO DE JUJUY EN LA EMPRESA AEROLINEAS ARGENTINAS EL DIA 03-MAR-10 Y QUE TENDRIA CONEXION A BAHIA BLANCA EL DIA 06-MAR-10, EN VUELO N° 1642 A HS. 06:50 DE LA MISMA EMPRESA AEREA. POR LO QUE SE PROCEDIO A INFORMAR DE LA NOVEDAD SURGIDA AL SECRETARIO DE DERECHOS HUMANOS DE JUJUY DR. GONZALEZ DE PRADA, QUIEN LUEGO DE COMUNICARSE TELEFONICAMENTE CON EL SR. JUEZ FEDERAL N° 2 DE JUJUY, ORDENA PERMANECER A LA ESPERA DE LAS COORDINACIONES QUE REALIZARA CON EL SECRETARIO DE DERECHOS HUMANOS DE BAHIA BLANCA DR. MORENO FERNANDEZ EL DIA 04-MAR-10. SEGUN PR AMPLIATORIO 1258 DE ACUERDO A PARTE RESERVADO Nº 1248/10, EL DIA 04 DE MARZO DE 2010, SE RECEPCIONA OFICIO JUDICIAL Nº 28/10 DEL JUZGADO FEDERAL Nº 2 DE LA CIUDAD JUJUY, CARATULADO EXHORTO DEL SR. JUEZ DEL JUZGADO FEDERAL Nº 1 - BAHIA BLANCA, PCIA DE BUENOS AIRES - MINISTERIO PUBLICO FISCAL S/SOLICITA EN CAUSA Nº 05/07, STRIKER, MARJANOV, OTERO, GANDOLFO, EN DICHO OFICIO SE HA DISPUESTO LIBRAR EL PRESENTE A FIN DE HACERLE SABER A ESTA UNIDAD OPERACIONAL DEL CONTROL DE NARCOTRAFICO Y EL DELITO COMPLEJO DE LA UNIDAD REGIONAL III DEL NORTE, QUE POR RESOLUCION DICTADA POR ESTE TRIBUNAL EN CAUSA DE REFERENCIA, SE DEJO SIN EFECTO LA ORDEN DE ALLANAMIENTO DISPUESTA RESPECTO DEL INMUEBLE UBICADO EN AVENIDA SENADOR PEREZ Nº 102 DE LA CIUDAD DE JUJUY, ESQUINA CALLE INDEPENDENCIA, LA QUE FUERA LIBRADA EN OFICIO Nº 25/10DE FECHA 3 DE MARZO DE 2010, DICHAS TAREAS SE REALIZABAN TAMBIEN BAJO ORDEN DE SERVICIO Nº 031/10 DE LA URSA III DEL NORTE. SEGUN PR AMPLIATORIO 1358 SE AMPLIA PARTE Nº 1258, EL DIA 09 DE MARZO DE 2010 SE RECEPCIONA OFICIO JUDICIAL Nº 30/10 DEL JUZGADO FEDERAL Nº 2 DE JUJUY A CARGO DEL DR. CARLOS M. OLIVERA PASTOR, CARATULADO EXHORTO DEL SR. JUEZ DEL JUZGADO FEDERAL Nº 1 BAHIA BLANCA, PCIA DE BUENOS AIRES - MINISTERIO PUBLICO FISCAL S/SOLICITA EN CAUSA Nº 05/07, STRIKER, MARJANOV, OTERO, GANDOLFO, MEDIANTE EL CUAL ORDENA REALIZAR ALLANAMIENTO EL DIA 10 DE MARZO DE 2010 A PARTIR DE LAS 08:00 HASTA LAS 20:00 HS., DEL INMUEBLE UBICADO EN CALLE SENADOR PEREZ Nº 102, DE LA CIUDAD DE SAN SALVADOR DE JUJUY, ESQUINA INDEPENDENCIA, A LOS FINES DE PROCEDER AL SECUESTRO DE TODA DOCUMENTACION QUE PUDIERA TENER RELACION DIRECTA O INDIRECTA CON LA CAUSA PRINCIPAL Nº 05/07, DEL REGISTRO DEL JUZGADO EXHORTANTE, - LA MISMA SE CUMPLIMENTARÁ SEGUN ORDEN DE SERVICIO Nº 008/2010 DE FECHA 09-MAR-10, DE ESTA UOCN Y DC. SEGUN PR AMPLIATORIO 1392 SE AMPLIA PARTE N 1358/10. A PARTIR DE LAS 10:05 HS DEL DIA 10 DE MARZO DE 2010 SE INICIA ALLANAMIENTO SITO EN CALLE SENADOR PEREZ N°102 DE LA CIUDAD DE SAN SALVADOR DE JUJUY, EN CUMPLIMIENTO AL OFICIO N° 30/10 DEL JUZGADO FEDERAL Nº 2 DE JUJUY A CARGO DEL DR. CARLOS M. OLIVERA PASTOR Y MEDIANTE O.S. N°008/10. A CONTINUACION SE DETALLA LOS ELEMENTOS SECUESTRADOS: DORMITORIO PRINCIPAL: CÉDULA DE IDENTIDAD DE LA P.F.A. N° 3.822.252 A NOMBRE DE ALEJANDRO OSVALDO MARJANOV, 4 FOJAS CONTENIENDO ALOCUCION DEL CTE. COM/CDO. CPO. EJ. IV DEL 29-DE SET-89, UN SOBRE ABIERTO DIRIGIDO AL CNEL. ALEJANDRO MARJANOV EL QUE ENVIADO POR EL ESTADO MAYOR GRAL. DEL EJERCITO, CONTENIENDO EN SU INTERIOR UNA NOTA U1 00305/37 DE FECHA 20 DE OCTUBRE DE 1990 DE CARACTER CONFIDENCIAL, FOTOCOPIA DE LA LIBRETA DE ENROLAMIENTO DE ALEJANDRO MARJANOV N° 4.260.719, ESCUDO DE COMANDO DE BAHIA BLANCA, UNA TARJETA DE PRESENTACION A NOMBRE FRANCISCO EDUARDO MACHINANDIARENA, GRAL. DE BRIGADA, CREDENCIAL DEL CIRCULO DE MILITAR N° 1194900 A NOMBRE DE ALEJANDRO MARJANOV HEGUI, CUATRO JUEGOS DE FICHAS DACTILARES SIN USO, UN SOBRE TAMAÑO OFICIO CONTENIENDO CERTIFICADO DE SOCIO VITALICIO DEL CIRCULO MILITAR DE FECHA 16-JUN-05, A NOMBRE DE ALEJANDRO MARJANOV. SEGUN PR AMPLIATORIO 1397 SE AMPLIA PARTE N° 1392/1O, SE CONTINUÓ CON LA REQUISA DEL INMUEBLE: EN UNA BIBLIOTECA SE SECUESTRARON LOS SIGUIENTES LIBROS:LISTA NEGRA LA VUELTA DE LOS 70, HISTORIA DE LAS COMUNICACIONES DEL E.A. TOMO II, TERRORISM IN ARGENTINA, ARTÍCULO PERIODÍSTICO LA LEY, HOLOCAUSTO, UNA CARPETA CON EL ESCRITO FLIA. MARJANOV CONTENIENDO DIFERENTE TIPO DE DOCUMENTACIÓN. EN OTRA HABITACIÓN SE SECUESTRÓ LO SIGUIENTE: RECORTE PERIODISTICO DE PAG. 12, BOLETÍN INFORMATIVO N°3/07, CUATRO FOJAS CONTENIENDO LISTADO DE SOCIOS ACTIVOS, UNA AGENDA DE CUERO MARRÓN MARCA SICOM, UNA FOTOGRAFÍA ANTIGUA DE PROMOCIÓN DEL EJERCITO, SEIS FOJAS CONTENIENDO NOTA DIRIGIDA AL JUEZ DR. ALCINDO ALVAREZ CANALE, UNA REVISTRA DE NOMBRE ESTRELLA ROJA DEL ERP, DOCUMENTO HISTORICO N° 32 IETE FOJAS CONTENIENDO RELATO REFERENTE AL EXPTE. N° 05/07 SECRETARIA DE DDHH, UNA FOTOCOPIA CONTENIENDO ESCRITO NO COMPLETO DONDE MENCIONA A UN TAL RIVERA CARLOS ROBERTO, UNA HOJA CONTENIENDO NOTA DIRIGIDA AL CNEL. MARJANOV DE FECHA 23-JUN-08, DOS COPIAS DE ARTICULOS DEL DIARIO PAGINA 12 EL CUAL HACE ALUSION AL GRAL. CAMPS, UNA CARPETA CONTENIENDO DOCUMENTACION VARIA DEL CAUSANTE. SE PROCEDE A GUARDAR LOS ELEMENTOS SECUESTRADOS EN UNA CAJA DE CARTÓN LA QUE ES CERRADA CON UNA FAJA DE SEGURIDAD, FINALIZANDO EL ALLANAMIENTO A HS. 12:30. LAS ACTUACIONES Y LOS ELEMENTOS SECUESTRADOS SERÁN REMITIDOS EN HORAS DE LA TARDE AL JUZGADO, SEGÚN LO ORDENADO TELEFÓNICAMENTE POR EL SECRETARIO DR. JUAN GONZALEZ DE PRADA. SEGUN PR AMPLIATORIO 1405 SE AMPLIA PARTE Nº 1397 , SE INFORMA QUE TODAS LAS ACTUACIONES Y DOCUMENTACION SECUESTRADA DE ACUERDO AL OFICIO JUDICIAL Nº 30/10 FUE ENTREGADA AL JUZGADO FEDERAL Nº 2 A CARGO DEL DR.M.OLIVERA PASTOR- SECRETARIA PENAL Nº 4 A CARGO DEL DR.JUAN GONZALEZ DE PRADA. DANDO POR TERMINADAS LAS TAREAS ENCOMENDADAS DE ACUERDO A ORDEN DE SERVICIO Nº 008/10 DE ESTA U.O.C.N Y D.C DEL NORTE Y ORDEN DE SERVICIO Nº 0037/10 DE LA URSA III DEL NORTE.</t>
  </si>
  <si>
    <t>JUZGADO DE 1RA INSTANCIA CRIMINAL Y CORRECCIONAL FEDERAL Nº 16</t>
  </si>
  <si>
    <t>SECRETARIA Nº 111</t>
  </si>
  <si>
    <t>BRUNIERD</t>
  </si>
  <si>
    <t>LAURA</t>
  </si>
  <si>
    <t>CASTRO FERNANDO</t>
  </si>
  <si>
    <t>N.N. S/HOMICIDIO</t>
  </si>
  <si>
    <t>15495/08</t>
  </si>
  <si>
    <t>BOX MIGRATORIO</t>
  </si>
  <si>
    <t>SE RECEPCIONA AL PASAJERO POR PARTE DE LA D.N.M. QUIEN HABIA ARRIBADO AL PAIS Y EN MOMENTOS EN QUE SE PRESENTA A REALIZAR LA ENTRADA AL PAIS EN EL SISTEMA INFORMATICO DE DICHO ORGANISMO REGISTRA UN PEDIDO DE CAPTURA VIGENTE. SE TRASLADA AL MASCULINO A LA GUARDIA POLICIAL Y SIENDO LAS 22 15 HORAS SE EFECTUA COMUNICACION TELEFONICA CON EL JUZGADO QUIEN DISPONE LA DETENCION EN CARACTER DE COMUNICADO DEL CAUSANTE. SEGUN PU DE AMPLIACION Nº 1127 DEL DIA 26-02-10 SIENDO LAS 16 00 HORAS SE PROCEDE A TRASLADAR AL CAUSANTE A LA UNIDAD 28 DEL SPF SEGUN LO ORDENADO POR EL JUZGADO DE PRIMERA INSTANCIA EN LO CRIMINAL Y CORRECCIONAL FEDERAL Nº 16 SECRETARIA Nº 111 JUNTAMENTE A SUS EFECTOS PERSONALES.</t>
  </si>
  <si>
    <t>4M4641</t>
  </si>
  <si>
    <t>EXCELENTISIMA CAMARA FEDERAL DE APELACIONES COMODORO RIVADAVIA</t>
  </si>
  <si>
    <t>SIENDO LAS 1000 HORAS LOCAL SE TRASLADA UN SOBRE CERRADO CONTENIENDO EN SU INTERIOR NOTAS DE HABILITACION NRO 46,47 Y 52/10 H DEL JUZGADO FEDERAL DE USHUAIA, LAS CUALES FUERON ENVIADAS POR LA UNIDAD OPERACION PREVENTIVA DE USHUAIA, PARA LA EXCELENTICIMA CAMARA FEDERAL DE APELACIONES DE COMODORO RIVADAVIA</t>
  </si>
  <si>
    <t>PULMON SALIDA DE EMBARQUE VUELOS DE CABOTAJE</t>
  </si>
  <si>
    <t>SIENDO LAS 09:30 HORAS EL SR. PAREDES MAURICIO CON DNI Nº 27.127.400 EMPLEADO DE LA EMPRESA S.A.S.A COMUNICA A LA OFICINA DE GUARDIA QUE EN LA SALIDA DEL PULMON UBICADO FRENTE A LA PUERTA DE EMBARQUE DE VUELOS DE CABOTAJE SE ENCUENTRA UN BULTO ABANDONADO EN UN CARRO PORTAEQUIPAJE. INMEDIATAMENTE ME ACERCO AL LUGAR CONFIRMANDO LO COMUNICADO Y DEJANDO EN CONSIGNA AL OFICIAL PRINCIPAL MASNÚ, GUSTAVO QUIEN COMIENZA CON EL PROTOCOLO DE ELEMENTOS ABANDONADOS. PASADO EL TIEMPO PRUDENCIAL SE LA DA AVISO A PERSONAL DE GEDEX EN LA FIGURA DE LA OFICIAL PRINCIPAL GIAMPORTONE, SOLEDAD QUIEN CONTINUA CON EL PROTOCOLO PARA BULTOS SOSPECHOSOS DANDO COMO RESULTADO NEGATIVO POR LO QUE SE CONFECCIONA ACTA DE HALLAZGO Nº 36/10.</t>
  </si>
  <si>
    <t>SIENDO LAS 10:30 HORAS SE IMPLEMENTA CONTROL DE SEGURIDAD AEROPORTUARIA POR VUELO PRESIDENCIAL SEGUN ORDEN DE SERVICIO Nº 120/10 URSA I DEL ESTE Y 162/10 DE ESTA UOSP. AARIBANDO A LAS 12:42 HORAS LAS SRA PRESIDENTE DE LA NACION EN HELICOPTERO H-02 Y PARTIENDO DE ESTA AEROESTACION CON DETINO A LA CIUDAD DE MAR DEL PLATA EN AERONAVE MATRICULA T-01 A LAS 12:52 HORAS. FINALIZANDO DISPOSITIVO DE SEGURIDAD A LAS 13:00 HORAS.</t>
  </si>
  <si>
    <t>LORNA HERNANDEZ DE LUNA ETCHEVERTZ</t>
  </si>
  <si>
    <t>DAÑOS EN LA CERCA PLASTICA PERIMETRAL</t>
  </si>
  <si>
    <t>SECTOR SUDOESTE DEL PREDIO LINDANTE CON EL Bº BORGES Y EL ASENTAMIENTO LA VERNACHA, A UNOS DOSCIENTOS METROS DEL EJE DE PISTA Y A LA ALTURA DEL VOR</t>
  </si>
  <si>
    <t>EN EL DIA DE LA FECHA SE PRESENTO LA SRA ADMINISTRADORA DE LA EMPRESA AA2000 EN ESTE AEROPUERTO, INGENIERA SILVIA LILIANA OLIVERA, A RADICAR UNA DENUNCIA POR DAÑOS EN LA CERCA PERIMETRAL PLASTICA. EL MENCIONADO HECHO FUE DETECTADO DURANTE UN RECORRIDO DE RUTINA EFECTUADO POR EL PERSONAL DE LA EMPRESA, DONDE SE DETECTARON CORTES EN DIVERSOS PAÑOS, SUMANDO UN TOTAL DE VEINTISIETE PAÑOS DAÑADOS EN DIVERSAS PARTES. SE PROCEDIO A VERIFICAR EL DAÑO DENUNCIADO PARA LUEGO PONER EN CONOCIMIENTO DEL HECHO AL SR. FISCAL FEDERAL DR. PEDRO SIMON, QUIEN DISPUSO SE INICIEN LAS ACTUACIONES Y QUE LAS MISMAS SEAN ELEVADAS A LA BREVEDAD.</t>
  </si>
  <si>
    <t>1120/10</t>
  </si>
  <si>
    <t>SE TRASLADA AL SR. CABELL ILLESCAS JORGE ORLANDO EL DIA 25/02/10 A LAS 16:00 HS A LA UNIDAD Nº 28 DEL SERVICIO PENITENCIARIO FEDERAL SEGUN LO ORDENADO POR EL JUZGADO DE PRIMERA INSTANCIA EN LO CRIMINAL Y CORRECCIONAL FEDERAL Nº 16 SECRETARIA Nº 111 JUNTAMENTE A SUS EFECTOS PERSONALES.-</t>
  </si>
  <si>
    <t>MARIA ELENA MACRIAVELLO</t>
  </si>
  <si>
    <t>ROSELLI ANTONIO JOSE Y OTROS P.SS.AA PRIVACIÓN ILEGÍTIMA DE LA LIBERTAD AGRAVADA, IMPOSICION DE TORMENTOS AGRAVADOS Y HOMICIDIO AGRAVADO</t>
  </si>
  <si>
    <t>CIUDAD DE CORDOBA, BARRIO COFICO</t>
  </si>
  <si>
    <t>EN EL DÍA DE LA FECHA SE RECEPCIONO UNA ORDEN DE ALLANAMIENTO EMANADA DEL JUZGADO FEDERAL Nº 3 DE LA CIUDAD DE CÓRDOBA, DIRECCIONADA AL INTERVENTOR DE LA PSA, POR LA CUAL SE FACULTA AL SUBISNPECTOR FERNANDO BRUNO Y PERSONAL DE ESTA UNIDAD, PARA EL ALLANAMIENTO Y LA POSTERIOR DETENCION DEL CIUDADANO PEDRO NOLASCO BUSTOS, DENTRO DEL MARCO DE LA CAUSA -ROSELLI ANTONIO JOSE Y OTROS P.SS.AA. PRIVACION ILEGITIMA DE LA LIBERTAD AGRAVADA, IMPOSICION DE TORMENTOS AGRAVADOS Y HOMICIDIO AGRAVADO.-</t>
  </si>
  <si>
    <t>INFORMO QUE EL DIA VEINTICINCO DE FEBRERO DE 2010, SIENDO LAS DIESISEIS HORAS SE EFECTUA LA DEPOSICION VIA RECTAL N° 11 DE UN TOTAL DE VEINTITRES CAPSULAS, CON UN PESO DE CIETO OCHENTA Y SEIS GRAMOS. ASIMISMO INFORMO QUE EL CAUSANTE DETENIDO EN AUTOS FUE DADO DE ALTA EN EL DIA DE LA FECHA A LAS CATORCE HORAS, POR TAL MOTIVO SE PROCEDIO AL TRASLADO DEL MISMO A SEDE JUDICIAL.</t>
  </si>
  <si>
    <t>SIENDO LA FECHA Y HORA ANTES MENCIONADA, SE IMPLEMENTA ORDEN DE SERVICIO Nº 119/10 - FAX PROCEDENTE DE LA URSA I DEL ESTE- REFERENTE AL CONTROL DE SEGURIDAD POR EL ARRIBO DE LA SRA. PRESIDENTE DE LA NACION LA CUAL ARRIBA A LAS 16:30 HORAS, A ESTA AEROESTACION EN LA AERONAVE MATRICULA T - 01 PROCEDENTE DE LA CIUDAD DE MAR DEL PLATA RETIRANDOSE A LAS 16:35 HORAS EN HELICOPTERO MATRICULA H-02. POSTERIORMENTE A LAS 17:00 HORAS ARRIBA A ESTA AEROESTACION LA SRA. PRESIDENTE DE LA REPUBLICA DE CHILE SRA. MECHELLE BACHELLET JERIA EN AERONAVE MATRICULA FAC-921 RETIRANDOSE DE JURISDICCION A LAS 17:05 HORAS POR VIA TERRESTRE, Y FINALIZANDO EL DISPOSITIVO DE SEGURIDAD A LAS 17:07 HORAS SIN NOVEDAD.</t>
  </si>
  <si>
    <t>INFORMO QUE EN EL DIA DE LA FECHA Y EN CUMPLIMIENTO A LA ORDEN DE SERVICIO 0112/10 EMANADA POR LA URSA I DEL ESTE, SIENDO LAS 13:30 HS ARRIBA A ESTE AEROPUERTO EN AERONAVE T-01 LA SRA PRESIDENTA DE LA NACION DRA. CRISTINA FERNANDEZ Y COMITIVA.SIENDO LAS 13:40 HS ARRIBA LA SRA. PRESIDENTA DE LA REPUBLICA DE CHILE DRA. MICHELLE BACHELLET Y COMITIVA, RETIRANDOSE DE LA JURISDICCION SIN NOVEDAD.</t>
  </si>
  <si>
    <t>EN CUMPLIMIENTO DE LA ORDEN DE SERVICIO 118/10 EMANADA POR LA URSA I DEL ESTE, INFORMO QUE SIENDO LAS 15:45 HS PARTE DE ESTE AEROPUERTO EN AERONAVE T-01 LA SRA. PRESIDENTA DRA. CRISTINA FERNANDEZ Y COMITIVA. SIENDO LAS 16:10 PARTE LA SRA. PRESIDENTA DE LA REPUBLICA DE CHILE DRA. MICHELLE BACHELLET Y COMITIVA, RETIRANDOSE LAS MISMAS SIN NOVEDAD.</t>
  </si>
  <si>
    <t>1129/10</t>
  </si>
  <si>
    <t>INFORMO QUE EL DIA 25 DE FEBRERO DE 2010, SIENDO LAS 16 HORAS SE EFECTUA LA DEPOSICION VIA RECTAL N° 11 DE UN TOTAL DE 23 CAPSULAS, CON UN PESO DE 186 GRAMOS. ASIMISMO INFORMO QUE EL DETENIDO EN AUTOS FUE DADO DE ALTA EN EL DIA DE LA FECHA A LAS CATORCE HORAS, POR TAL MOTIVO SE PROCEDIO AL TRASLADO DEL MISMO A SEDE JUDICIAL. ASIMIMO INFORMO QUE EL TOTAL DE LAS DEPOSICIONES HASTA EL MOMENTO SON 107 CAPSULAS, POR UN TOTAL DE 872 GRS, DANDO POR RESULTA CON LA DEPOSICION NRO. 11, UN TOTAL 130 CAPSULAS, ARROJANDO UN PESO DE 1058.</t>
  </si>
  <si>
    <t>1103/10</t>
  </si>
  <si>
    <t>INFORMO QUE EN EL DIA DE LA FECHA, SIENDO APROXIMADAMENTE LAS 08:00HS, SE PROCEDIO AL TRASALDO A SEDE JUDICIAL DEL DETENIDOS EN AUTOS.</t>
  </si>
  <si>
    <t>JUZGADO DE INSTRUCCION CIUDAD DE DIAMANTE</t>
  </si>
  <si>
    <t>BARBACELATA</t>
  </si>
  <si>
    <t>XAVIER JORGE</t>
  </si>
  <si>
    <t>DR. RAMIREZ</t>
  </si>
  <si>
    <t>468 Fº 234 - I. L. 13944</t>
  </si>
  <si>
    <t>RESTRICCION A LA LIBERTAD</t>
  </si>
  <si>
    <t>PUNTO DE CONTROL RED LINCE</t>
  </si>
  <si>
    <t>SIENDO LAS HS 13:50 SE PRESENTA ANTE EL MOSTRADOR DE CONTROL DE RED LINCE UN CIUDADANO DE SEXO MASCULINO DE NOMBRE MARTINEZ JOSE JOAQUIN D.N.I.- Nº 13,183,504 (TRIPLICADO) SOBRE QUIEN RECAE UN PEDIDO DE CAPTURA SEGÚN CONSTA EN REGISTRO DE RED LINCE Nº 36,096 POR LO QUE SE PROCEDE A ENTABLAR COMUNICACION TELEFONICA AL APARTADO 0343 - 154760647 PERTENECIENTE A S. SA. DR. BARBACELATA XAVIER JORGE QUIEN LUEGO DE INFORMADO DE LA SITUACION ORDENA SE NOTIFIQUE AL SR. MARTINEZ QUE DEBE REALIZAR PRESENTACION ANTE EL JUZGADO INTERVINIENTE A LA BREVEDAD Y FIJAR DOMICILIO REAL BAJO APERCIBIMIENTO DE LEY. POR LO QUE SE PROCEDE A REALIZAR LA NOTIFICACION CORRESPONDIENTE AL SR. MARTINEZ JOSE JOAQUIN</t>
  </si>
  <si>
    <t>AU 2849</t>
  </si>
  <si>
    <t>DRA. KARINA PERILLI</t>
  </si>
  <si>
    <t>MOSTRADORES DE LA EMPRESA SOUTH AFRICAN AIRWAYS</t>
  </si>
  <si>
    <t>INFORMO QUE SE EFECTUO UN PROCEDIMIENTO DE CONTROL SELECTIVO DE PASAJEROS Y EQUIPAJES, DE LOS PASAJEROS QUE SE ENCONTRABAN EGRESANDO DEL TERRITORIO NACIONAL, EN CONJUNTO CON PERSONAL DE LA ADUANA. EN TALES CIRCUNSTANCIAS SE LE CONSULTO A UN PASAJERO, EL CUAL PRESENTABA DUDAS AL PERSONAL DE LOS CITADOS ORGANISMOS, QUE ELEMENTOS PORTABA EN EL EQUIPAJE QUE TRASALADABA, A LO QUE RESPONDIO QUE NO TRASLADABA NINGUN ELEMENTO PROHIBIDO. SEGUIDAMENTE SE APERTURA LA VALIJA EN CUESTION, OBSERVANDO EL PERSONAL ACTUANTE UN ACOLCHADO DE CUNA, DOS ESTUCHES DE SIMIL CUERO Y CUATRO ADORNOS PORTALLAVES, TODO LO CUAL AL SIMPLE TACTO SE ADVIERTE QUE PRESENTABA UN PESO Y ESPESOR NO ACORDE CON LOS ELEMENTOS MENCIONADOS. SEGUIDAMENTE SE CONVOCA DOS TESTIGOS. A CONTINUACION SE TOMA EL ACOLCHADO DE BEBE, SE LE REALIZA UNA INSICION DE LA QUE SURGE UN SUSTANCIA DE COLOR BLANCA QUE SOMETIDA A PRUEBA PARA COCAINA ARROJA RESULTADO POSITIVO. A TAL EVENTO SE MANTIENE COMUNICACION CON EL JUZGADO INTERVINIENTE, QUIEN DISPONE QUE SE DETENGA AL PASAJERO EN CARACTER DE INCOMUNICADO, QUE PERSONAL DE LA POLICIA DE SEGURIDAD AEROPORTUARIA DEBERA REALIZARLA CUSTODIA DEL DETENIDO, DE LA SUSTANCIA Y LOS EFECTOS SECUESTRADOS, DEBIENDO LA MISMA EFECTUAR EL TRASLADO A SEDE JUDIDICAL DEL DETENIDO, Y TODO LO SECUESTRADO EL DIA 01/03/2010. CONTINUANDO CON LA REQUISA DEL ACOLCHADO DEL MISMO SE EXTRAEN CUATRO PAQUETES, QUE CONTIENEN SUSTANCIA ESTUPEFACIENTE, COMO ASI TAMBIEN EN DOS ACOLCHADOS LATERALES HABIDOS EN EL EQUIPAJE EN CUESTION, UN PAQUETE EN CADA UNO QUE CONTIENE SUSTANCIA ESTUPEFACIENTE, COMO ASI TAMBIEN SE ENCONTRO UN PAQUETE QUE CONTIENE SUSTANCIA ESTUPEFACIENTE, EN UNA ALMOHADA, DEL EQUIPAJE. DE IGUAL MANERA, SE PROCEDIO A LA REQUISA DE LOS DOS ESTUCHES DE SIMIL CUERO HALLANDOSE EN EL INTERIOR DE LOS ESTUCHE CUATRO PAQUETES, CON SUSTANCIA ESTUPEFACIENTE. POR ULTIMO SE PROCEDIO A LA REQUISA DE LOS CUATRO PORTA LLAVES, ENCONTRANDOSE EN CADA UNO DE LOS MIMOS UN PAQUETE, QUE CONTIENE SUSTANCIA ESTUPEFACIENTE. ASIMISMO INFORMO QUE LA TOTALIDAD DE LOS PAQUETES FUERON SOMETIDOS A PRUEBA PARA COCAINA ARROJANDO EN TODOS LOS CASOS RESULTADO POSITIVO. POR ULTIMO INFORMO QUE LAS ACTUACIONES ESTUVIERON A CARGO Y FUERON LABRADAS POR LA DIRECCION GENERAL DE ADUANA. SEGUN PU Nº 1170 SE INFORMA QUE A LAS 0730 HORAS DEL DIA 01/03/10 EL DETENIDO FUE TRASLADADO A SEDE JUDICIAL.</t>
  </si>
  <si>
    <t>ACTA DE INFRACCION MEDIOAMBIENTE</t>
  </si>
  <si>
    <t>PUERTA Nº 2</t>
  </si>
  <si>
    <t>------</t>
  </si>
  <si>
    <t>SE PROCEDE AL SECUESTRO DE UN CHARANGO, CON CAPARAZON DE QUIRQUINCHO, DETECTADO EN EL CONTROL DE EQUIPAJE DE MANO , CON EL EQUIPO DE RX DE DOTACION -HEIMANN, EN VIRTUD DE LO DISPUESTO POR LA LEY PROVINCIAL 7070, SE LABRA EL ACTA CORRESPONDIENTE, SE INFORMA AL MAGISTRADO DE TURNO Y QUEDA EL ELEMENTO EN GUARDA Y CUSTODIA EN EL DEPOSITO JUDICIAL DE ESTA UNIDAD QUE POSTERIORMENTE SERA ENTREGADO A LA SECRETARIA DE POLITICA AMBIENTAL DEL GOBIERNO DE LA PROVINCIA DE SALTA.CON CONOCIMIENTO DEL JUOSP.</t>
  </si>
  <si>
    <t>SIENDO LA HORA Y FECHA MENCIONADA, SE IMPLEMENTA ORDEN DE SERVICIO Nº 0116/10 (FAX PROCEDENTE DE LA URSA I DEL ESTE) CON MOTIVO DE LA PARTIDA DESDE ESTE AEROPUERTO METROPOLITANO DE LA SRA PRESIDENTE DE LA REPUBLICA DE CHILE DA. MICHELLE BACHELET JERIA Y COMITIVA. SIENDO LAS 22:50 HORAS ARRIBA LA MENCIONADA A ESTA AEROESTACION VIA TERRESTRE EN VEHICULO OFICIAL. PARTIENDO A LAS 22:59 HORAS, EN LA AERONAVE MATRICULA FA CHILENA 921. SIENDO LAS 23:05. HORAS, FINALIZA EL OPERATIVO SIN NOVEDAD.</t>
  </si>
  <si>
    <t>SEGUNDO SUBSUELO DEL PARKING- POSICION 225-226</t>
  </si>
  <si>
    <t>QUE EL DIA 16 DE ENERO DEL AÑO EN CURSO, EL DAMNIFICADO EGRESO DEL PAIS, DEJANDO SU VECHICULO MARCA HONDA, MODELO CRV LX, DOMINIO COLOCADO GAI-095, EN LA CASA DEL SEÑOR PABLO COLACI, AMIGO DEL DENUNCIANTE, CON EL FIN DE QUE EL MISMO DEJE EN EL AEROPUERTO EL RODADO DE MENCION, ANTES QUE EL DENUNCIANTE REGRESE AL TERRITORIO NACIONAL, ASI PODRIA REGRESAR CON EL MISMO A SU DOMICILIO PARTICULAR EN LA CIUDAD DE ROSARIO. QUE EL DIA 25/02/10, SIENDO LA 19:29 HS, EL SEÑOR COLACI, DEJA EL VEHICULO EN EL AEROPUERTO, ESTACIONADOLO EN EL SEGUNDO SUBSUELO DEL ESTACIONAMIENTO DE LA TERMINAL A. QUE EN EL DIA DE LA FECHA EL DENUNCIANTE ARRIBO A ESTA AEROSTACION, JUNTO A SU FAMILIA Y SE DIRIGIO AL SECTOR DONDE SE ENCONTRABA ESTACIONADO SU VEHICULO, PERCATANDOSE QUE LA CERRADURA DE LA PUERTA DEL CONDUCTOR, SE ENCONTRABA FORZADA. POR TAL MOTIVO EFECTUA UN CONTROL SOBRE EL VEHICULO PERCATANDOSE QUE DEL BAUL LA FALTABA LA RUEDA DE AUXILIO.</t>
  </si>
  <si>
    <t>AR 1303</t>
  </si>
  <si>
    <t>JUZGADO FEDERAL N° 1 DE TUCUMAN</t>
  </si>
  <si>
    <t>Bejas</t>
  </si>
  <si>
    <t>DUFFI VIRGINIA</t>
  </si>
  <si>
    <t>AUTORES DESCONOCIDOS S/ROBO</t>
  </si>
  <si>
    <t>ROBO CERCA PERIMETRAL</t>
  </si>
  <si>
    <t>VERTICE SUROESTE</t>
  </si>
  <si>
    <t>EN EL DIA DE AL FECHA Y A HORAS 11:30 APROXIMADAMENTE, DURANTE EL RECORRIDO PERIMETRAL DE RUTINA, REALIZADO POR EL OF. AYTE. MAMANI GUILLERMO Y EL OF. MYR. TABOADA FERNANDO, SE DETECTA EL FALTANTE DE DIEZ PAÑOS METALICOS DE TELA OLIMPICA TIPO ROMBOIDAL, DE TRES METROS CADA UNO APROXIMADAMENTE, EN EL PERIMETRO OESTE PROXIMO AL VERTICE SUROESTE DE ESTE AEROPUERTO. SE PROCEDE A REALIZAR UN RASTRILLAJE POR LA ZONA EN BUSCA DE INDICIOS QUE AYUDARAN A ESCLARECER EL HECHO, ARROJANDO ESTOS RESULTADO NEGATIVO. SE DA LA NOVEDAD AL JEFE DE UNIDAD Y SE REALIZA LA COMUNICACION TELEFONICA AL JUZGADO DE TURNO CORRESPONDIENTE, LABRANDOSE LAS ACTUACIONES DE RIGOR.</t>
  </si>
  <si>
    <t>Actos Discriminatorios</t>
  </si>
  <si>
    <t>DISCRIMINACION</t>
  </si>
  <si>
    <t>AEROPUERTO DE SALTA MARTIN MIGUEL DE GUEMES</t>
  </si>
  <si>
    <t>SIENDO LAS 10.50 HORAS SE HACE PRESENTE EN ESTA GUARDIA UNA PERSONA QUE DESEA RADICAR UNA DENUNCIA POR UN HECHO DE CARATER DELICTIVO. INDICANDO QUE EN EL DIA DE LA FECHA, EN EL AEROPUERTO DE SALTA, CUANDO REALIZABA EL PREEMBARQUE DEL VUELO ANTES MENCIONADO JUNTO CON SU HIJA DE CUATRO AÑOS DE EDAD, AL PASAR POR EL CONTROL POLICIAL, UNO DE LOS EFECTIVOS LE SOLICITO LA DOCUMENTACION Y LOS TICKETS AEREOS, LOS CUALES FUERON EXHIBIDOS. SEGUIDAMENTE, EL FUNCIONARIO POLICIAL COMENZO A REALIZARLE UNA SERIE DE PREGUNTAS TALES COMO CUAL ERA SU OCUPACION, SU Nº DE MATRICULA, EL LUGAR DE TRABAJO, DONDE Y EN QUE AÑO SE HABIA GRADUADO, QUE HACIA EN ARGENTINA, TELEFONO Y DIRECCION DEL TRABAJO. LA DENUNCIANTE LE CONSULTO POR QUE ELLA ERA LA UNICA A LA CUAL SE LE REALIZABAN ESTAS PREGUNTAS, ANTE LO CUAL EL POLICIA LE RESPONDIO TEXTUALMENTE: -SOY POLICIA Y TENGO QUE HACER MI TRABAJO, USTED ES EXTRANJERA Y TIENE QUE RESPONDER LO QUE YO LE PREGUNTO, USTED COMO MEDICA TAMBIEN HACE PREGUNTAS-. ACTO SEGUIDO REALIZO EL EMBARQUE CON DESTINO A ESTE AEROPUERTO, ARRIBANDO A LAS 08:30 HORAS Y SE DIRIGIO INMEDIATAMENTE A ESTA GUARDIA A RADICAR LA CORRESPONDIENTE DENUNCIA SINTIENDO QUE HABIA SIDO DISCRIMINADA POR SU NACIONALIDAD. SIENDO LAS 12.30 HORAS SE ENTABLA COMUNICACION CON LA JUDICATURA ACTUANTE QUIEN ORDENA: CIERRE Y ELEVACION DE ACTUACIONES.-</t>
  </si>
  <si>
    <t>INFORMO QUE A HS. 12:45 LOCAL, SE PRODUJO MOVIMIENTO TELURICO EN EL AEROPUERTO , REALIZANDO JUNTO CON EL PERSONAL DE F.A.A. Y A.A.2000 UNA PEQUEÑA Y MOMENTANEA EVUACUACION DE LOS PASAJEROS EN FORMA PREVENTIVA. POSTERIORMENTE SE VERIFICO LA ESTRUCTURA DEL EDIFICIO POR PERSONAL DE MANTENIMIENTO DE A.A.2000, DANDO COMO RESULTADO NINGUN DAÑO VISIBLE. EL S.P. VERA, JEFE DE OPERACIONES DE F.A.A. INFORMA QUE EL AEROPUERTO SE ENCUENTRA SIN NOVEDAD. INICIANDO A HS. 13:20 LOCAL LA APERTURA DEL EDIFICIO PARA EL INGRESO DE PASAJEROS Y PERSONAL DE LAS EMPRESAS QUE TRABAJAN EN LA MISMA.</t>
  </si>
  <si>
    <t>EN EL DIA DE LA FECHA SE CONFECCIONA DENUNCIA DE EXTRAVIO 02/10 REFERENTE A UN BOLSO COLGANTE MARCA LA MARTINA COLOR BEIGE DE LONA, CON CINTA DE CUERO COLOR MARRON Y CREMALLERAS, CONTENIENDO EN SU INTERIOR LICENCIA DE CONDUCIR DE FRANCIA, TARJETA CARTA CONSULAR EXPEDIDA EN AUSTRIA VIENA, UN PAR DE GAFAS RAY BAN, UN SOBRE CON APROXIMADAMENTE SEISCIENTOS EUROS, DOS AGENDAS, UNA REVISTA FRANCESA, BILLETES ELECTRONICOS UNO A NOMBRE DEL DENUNCIANTE Y OTRO A NOMBRE DE AUTOGE MARCONNOT, UN BAOUCHER DE HOTEL DESING SUITE DE EL CALAFATE. DICHOS EXTRAVIO SUCEDIO EN EL AEROPUERTO DE AEROPARQUE, NO PUDIENDO PRECISAR EL LUGAR</t>
  </si>
  <si>
    <t>AV RAFAEL OBLIGADO</t>
  </si>
  <si>
    <t>SIENDO LA HORA ANTES MENCIONADA SE HACE PRESENTE EN ESTA GUARDIA UNA PERSONA QUE DESEA RADICAR UNA DENUNCIA INDICANDO QUE SIENDO LAS 11.00 HORAS ARRIBO DEL VUELO AR 2451 PROCEDENTE DE SALTA, RETIRO SU EQUIPAJE DE LA CINTA DEL SECTOR DE ARRIBOS A2, Y SE DIRIGIO JUNTO A SU HERMANO, EL SR. ALZOLA, QUIEN LA ESTABA ESPERANDO, RUMBO AL ESTACIONAMIENTO NORTE DE ESTE AEROPUERTO. UNA VEZ ALLI ABORDARON EN SU VEHICULO MARCA RENAULT CLIO, DOMINIO BDA 483, Y PARTIERON POR LA AV RAFAEL OBLIGADO CON RUMBO HACIA EL SUR. PASADO POCOS MINUTOS, EL SR. ALZOLA ES AVISADO, POR UN TAXISTA, QUE SU NEUMATICO IZQUIERDO TRASERO ESTABA PINCHADO. RAZON POR LA CUAL SE DETIENE, Y COMIENZA LA REPOSICION DEL MISMO, DURANDO APROXIMADAMENTE MEDIA HORA. UNA VEZ FINALIZADO, INGRESARON AL VEHICULO, MOMENTO EN QUE LA DENUNCIANTE SE PERCATA DEL FALTANTE DE SU CARTERA. LA CUAL CONTENIA UN DNI, UNA CEDULA DE IDENTIDAD, UNA TARJETA DE CREDITO VISA, UNA TARJETA DE DEBITO DEL BANCO GALICIA, UNA TARJETA DE CAJA DE AHORRO DEL BANCO MACRO, TODAS A NOMBRE DE LA DENUNCIANTE, MIL PESOS ARGENTINOS EN EFECTIVO Y PAPELES VARIOS SIN VALOR COMERCIAL. AL PERCATARSE DE LO SUCEDIDO SE ACERCAN A ESTA GUARDIA A RADICAR LA DENUNCIA PENAL. SIENDO LAS 17.30 SE ENTABLA COMUNICACION CON LA JUDICATURA ACTUANTE QUIEN ORDENA: SE ENVIE NOTA A LA DIVISION ROBOS Y HURTOS DE PFA CON DETALLE DE LOS ELEMENTOS SUSTRAIDOS, CIERRE Y ELEVACION.-</t>
  </si>
  <si>
    <t>AR 2451</t>
  </si>
  <si>
    <t>JUZGADO FEDERAL DE PRIMERA INSTANCIA DE EL DORADO</t>
  </si>
  <si>
    <t>DR MIGUEL ANGEL GUERRERO</t>
  </si>
  <si>
    <t>CONTRABANDO DE ESTUPEFACIENTE CALIFICADO Y TRANSPORTE DE ESTUPEFACIENTE EN CONCURSO IDEAL</t>
  </si>
  <si>
    <t>INFORMO SE DETECTA UN EQUIPAJE DESPACHADO POR BODEGA QUE CONTENIA EN SU INTERIOR SUSTANCIAS ORGANICA NO IDENTIFICABLE ANTE ESTO SE REALIZAN LOS PPROCEDIMIENTOS DE RIGOR DANDO RESULTADO DE LOS MISMOS POSITIVO PRESUNTIVO COCAINA CON UN PESO TOTAL 3111 GRAMOS</t>
  </si>
  <si>
    <t>AR1743</t>
  </si>
  <si>
    <t>DRA ANDREA MONICA CAPALDO</t>
  </si>
  <si>
    <t>SIENDO LAS 15:25 HORAS SE PRESENTA UNA PERSONA PARA RADICAR UNA DENUNCIA INDICANDO QUE EL DIA 26 DEL CORRIENTE MES Y AÑO SIENDO LAS 12:15 HORAS SE HIZO PRESENTE EN EL AEROPUERTO DE MENDOZA PARA EMBARCAR EN EL VUELO ANTES MENCIONADO. PASADO APROXIMADAMENTEUNA HORA REALIZA EL EMBARQUE CON RUMBO A ESTE AEROPUERTO METROPOLITANO, ARRIBANDO A LAS 15:10 HORAS POR EL SECTOR DE ARRIBOS NACIONALES A2. UNA VEZ ALLI, RETIRA SU EQUIPAJE Y SE DIRIGE HACIA EL HOTEL EN QUE SE ENCONTRABA HOSPEDADA, DONDE SE PERCATA QUE DE SU EQUIPAJE HABIAN SIDO SUSTRAIDOS: TRESCIENTOS DOLARES ESTADOUNIDENSES, TRES COLLARES, DOS PARES DE AROS Y UN ANILLO DE CASAMIENTO DE ORO, MOTIVO POR EL CUAL SE DIRIGIO A REALIZAR EL RECLAMO EN LA EMPRESA, Y EN EL DIA DE LA FECHA SE HACE PRESENTE EN ESTA GUARDIA DE PREVENCION PARA RADICAR LA CORRESPONDIENTE DENUNCIA PENAL. SIENDO LAS 17:30 HORAS SE ENTABLA COMUNICACION CON LA JUDICATURA ACTUANTE QUIEN ORDENA: REGISTRO FILMICO, NOMINA DEL PERSONAL DE RAMPA INTERVINIENTE EN EL AEROPUERTO DE PROCEDENCIA Y DE DESTINO, CIERRE Y ELEVACION.-</t>
  </si>
  <si>
    <t>AR 2417</t>
  </si>
  <si>
    <t>AVERIGUACION DE ROBO</t>
  </si>
  <si>
    <t>EN EL AEROPUERTO DE PARTIDA EN FLORIANAPOLIS, DESPACHA SUS EQUIPAJES A BODEGA Y LUEGO PERSONAL DE VIGILANCIA LE INDICA DESPACHAR TAMBIEN UNA MOCHILA QUE LLEVABA COMO EQUIPAJE DE MANO. POR LO QUE LE COLOCA UN PRECINTO Y LE ENVIA POR LA BODEGA DE LA AERONAVE. QUE AL LLEGAR A ESTE MEDIO, TOMA SU MOCHILA Y SE PERCATA DE QUE LA MISMA NO CONTABA CON EL PRECINTO Y NOTA EL FALTANTE DE SUS PERTENENCIAS. PTO.</t>
  </si>
  <si>
    <t>AR1271</t>
  </si>
  <si>
    <t>DE 1º INST EN LO PENAL CONT Y DE FALTAS Nº 2</t>
  </si>
  <si>
    <t>Bentolila</t>
  </si>
  <si>
    <t>DR. JUAN ROSAS</t>
  </si>
  <si>
    <t>PARKING Nº 7</t>
  </si>
  <si>
    <t>SIENDO LAS 15:30 HORAS EL OFICIAL MONZA, ENCARGADO DE TURNO, ES INFORMADO SOBRE UNA NOVEDAD ACONTECIDA DEL PARKING NORTE. DONDE LA SRA DEBORA CONSIGLIERI, QUE SE ENCONTRABA SACANDO FOTOS AL GRUPO MUSICAL COLDPLAY, SIENDO LA DUEÑA DEL VEHICULO CHEVROLET CORSA COLOR VERDE DOMINIO CRA 573 SUFRIO LA PINCHADURA DE UN NEUMATICO, PRODUCIDO SEGÚN SUS DICHOS POR UN MASCULINO DE MEDIANA EDAD, EL CUAL LUEGO DE UN CRUCE DE PALABRAS CON ELLA, SE RETIRO RAPIDAMENTE EN UN VEHICULO CITROEN C4 DOMINIO GTX 820 EVITANDO ABONAR EL ESTACIONAMIENTO ACERCANDOSE AL VEHICULO QUE LO ANTECEDIA EN LA TAQUILLAS DE PAGO DEL MISMO. CABE DESTACAR QUE LA DAMNIFICADA NO QUISO RADICAR LA DENUNCIA CORRESPONDIENTE, RAZON POR LA CUAL SIENDO LAS 20:30 HORAS SE LABRAN ACTUACIONES DE OFICIO. SIENDO LAS 19.30 SE ENTABLA COMUNICACIÓN CON LA JUDICATURA ACTUANTE QUIEN ORDENA: SE RECEPCIONE DECLARACION TESTIMONIAL AL PERSONAL DE SEGURIDAD PRIVADA DESTACADO EN EL LUGAR, REGISTRO FILMICO, INDIVIDUALIZACION DEL VEHICULO CITROEN POR PFA, FOTOGRAFIAS DEL LUGAR DEL HECHO Y REALIZAR UNA NUEVA COMUNICACIÓN EL DIA LUNES CON LOS RESULTADOS.- SE AMPLIARA EL PARTE AL RECEPCIONAR DECLARACION TESTIMONIAL POR PARTE DEL PERSONAL DE VIGILANCIA. SEGUN PU 1188, LA JUDICATURA DISPUSO CIERRE Y ELEVACION DE ACTUACIONES-</t>
  </si>
  <si>
    <t>NAC. EN LO PENAL ECONOMICO Nº 5</t>
  </si>
  <si>
    <t>SE RECIBE COMUNICACION TELEFONICA POR PARTE DEL JEFE DE UNIDAD OPERACIONAL EZEIZA INFORMANDO SOBRE UN ALERTA QUE HABIA RECIBIDO DE LA UNIDAD OPERACIONAL IGUAZU SOBRE UN PASAJERO DEL CUAL APORTA DATOS FILIATORIOS, FISONOMIA Y VESTIMENTA DEL MISMO, QUE HABIA EMBARCADO CON DESTINO AL AEROPUERTO JORGE NEWBERY, Y EL MISMO ESTARIA EMBARCANDO EN VUELO SAN PABLO ESTAMBUL UT SUPRA MENCIONADO. SE INDICA QUE SE REALICE UN CONTROL EXHAUSTIVO SOBRE EL PASAJERO Y SUS EQUIPAJES. EN ESTE CONTEXTO SE RECIBIO COMUNICACION POR PARTE DE PERSONAL DEL PUESTO YA CITADO INDICANDO DUDAS CON RESPECTO A UN EQUIPAJE QUE SE TRATARIA SEGUN LOS DATOS OBTENIDOS DEL PASAJERO EN ESTADO DE ALERTA. QUE LUEGO DE LOCALIZAR AL PASAJERO Y OBTENIDAS LAS AUTORIZACIONES JUDICIALES PERTINENTES, SE PROCEDE A LA REQUISA DEL EQUIPAJE EN CUESTION, OBTENIENDO COMO RESULTADO POSITIVO SOBRE LA EXISTENCIA DE SUSTANCIA ESTUPEFACIENTES EN EL CONTORNO QUE CONSTITUYE EL EQUIPAJE. QUE MANTENIDA COMUNICACION CON EL JUZGADO INTERVINIENTE, EL MISMO DISPUSO LA DETENCION E INCOMUNICACION DEL PASAJERO, SE PROCEDA A LABRAR ACTUACIONES Y SECUESTROS DE RIGOR, DEBIENDO ELEVAR TODO LO ACTUADO Y SECUESTRADO JUNTO CON EL DETENIDO A PRIMERA HORA DEL DIA LUNES PRIMERO DE MARZO DEL AÑO EN CURSO. SE INFORMA SEGUN PU Nº 1168 QUE SIENDO LAS 0730 HORAS DEL DIA 01/03/10 FUE TRASLADADO AL DETENIDO A SEDE JUDICIAL. ITINERARIO DEL DETENIDO FOZ DE IGUAZU- IGUAZU-AEROPARQUE-EZEIZA-SAN PABLO BRASIL-ESTAMBUL TURQUIA.</t>
  </si>
  <si>
    <t>AR 1246</t>
  </si>
  <si>
    <t>Turquía</t>
  </si>
  <si>
    <t>ESTAMBUL</t>
  </si>
  <si>
    <t>DRA. KARINA LAMAS</t>
  </si>
  <si>
    <t>AEROPUERTO DE MENDOZA- AEROPARQUE METROPOLITANO.</t>
  </si>
  <si>
    <t>MOSTRADORES DE LA COMPAÑIA AEREA EN LA PROVINCIA DE MENDOZA- CINTA DE ARRIBO A2.</t>
  </si>
  <si>
    <t>SIENDO LA HORA Y LA FECHA ANTES MENCIONADA SE PRESENTA EN LA GUARDIA DE PREVENCION EL DENUNCIANTE PARA INFORMAR QUE AL ARRIBAR AL AEROPARQUE METROPOLITANO RETIRO SU EQUIPAJE DESPACHADO DE LA CINTA Y SE DIRIGIO AL HOTEL DONDE SE HOSPEDO, Y AL APERTURAR SU EQUIPAJE SE PERCATO DEL FALTANTE DE SUS ELEMENTOS POR LO QUE DECIDIO REALIZAR LA CORRESPONDIENTE DENUNCIA.</t>
  </si>
  <si>
    <t>AR 2413</t>
  </si>
  <si>
    <t>SE PROCEDIO A REALIZAR LA RETENCION DE UNA SACA COLECTORA DEL CORREO OFICIAL, IDENTIFICADA CON MARBETE SLA0169104E555700RGL, PRECINTO Nº B941316, CON UN PESO DE 6,700 KGRS, BAJO ACTA DE RETENCION CARGAS NRO. 079/10, CON DESTINO FINAL A LA CIUDAD DE RIO GALLEGOS, AM PARADA EN GUIA AEREA DE LA EMPRESA DE CARGAS AEREAS JET PAQ Nº 9327655-1, EN UN CONTROL DE RUTINA AL VUELO AUSTRAL LINEAS AEREAS Nº AR 2459. TRAMO SALTA - BUENOS AIRES. LA RETENCION SE REALIZA ANTE LA PRESUNCION QUE PUDIERA CONTENER ALGUN ELEMENTO EN INFRACCION A LA LEY 22415 Y/0 23737. QUEDANDO LA SACA CERRADA Y PRECINTADA EN GUARDA EN ESTA UNIDAD. SE COMUNICO TELEFONICAMENTE CON EL JUZGADO INTERVINIENTE, LA APERTURA SE REALIZARA CUANDO SE HAGA PRESENTE EL PERSONAL DEL CORREO ARGENTINO. CON CONOCIMIENTO DEL JEFE DE UOSP.</t>
  </si>
  <si>
    <t>JURISDICCION DE LA UOSP SAN JUAN</t>
  </si>
  <si>
    <t>INFORMO SIENDO LAS 22:31 HS. DESPEGO VUELO N° 2439 DE LA EMPRESA AUSTRAL LINEAS AEREAS CON DESTINO AEROPARQUE JORGE NEWBERY, TRANSPORTANDO AL EMBAJADOR DEL ESTADO DE ISRAEL EN LA REPUBLICA ARGENTINA S.E. DANIEL GAZIT, A QUIEN SE LE EFECTUO LA SEGURIDAD PERTINENTE CON PERSONAL DE GUARDIA ABANDONANDO LA PROVINCIA DE SAN JUAN SIN NOVEDAD.</t>
  </si>
  <si>
    <t>LAVAMANOS DEL BAÑO DE DISCAPASITADOS</t>
  </si>
  <si>
    <t>SECTOR DE ARRIBOS DE PASAJEROS DE LA TERMINAL B</t>
  </si>
  <si>
    <t>QUE EL DIA DE LA FECHA LA DENUNCIANTE PROCEDIO EL EL LUGAR YA DETALLADO A DEPOSITAR EL ELEMENTO SUSTRAIDO SOBRE EL LAVATORIO, DEJANDOLO OLVIDADO, POSTERIORMENTE EL MISMO PROCEDIA A CAMBIARSE SU ROPA, Y A RETIRARSE DEL MISMO. MOMENTO EN EL CUAL SE PERCATA DEL FALTANTE DEL FALTANTE DE SU MOVIL, CONSULTANDO AL PERSONAL DE LIMPIEZA POR SU ELEMENTO, CONTESTANDO LA MISMA QUE NO HABIA VISTO NADA. ANTE TAL CISCUNSTANCIA LA DENUNCIANTE SE HIZO PRESENTE UNA HORA MAS TARDE EN ESTA GAURDIA DE PREVENCION A FIN DE RADICAR LA CORRESPONDIENTE DENUNCIA PENAL. PTO.</t>
  </si>
  <si>
    <t>NAC. DE 1º INST. EN LO CRIM CORR FEDERAL Nº 7</t>
  </si>
  <si>
    <t>DR. CARLOS GARCIA DAVINI</t>
  </si>
  <si>
    <t>MAQUINA DE RAYOS X NUMERO 2 DEL PREEMBARQUE NACIONAL</t>
  </si>
  <si>
    <t>PRIMER PISO SECTOR RESTRINGIDO PREEMBARQUE NACIONAL.</t>
  </si>
  <si>
    <t>SIENDO LA HORA Y LA FECHA ANTES MENCIONADA SE RECIBE COMUNICACION TELEFONICA POR PARTE DEL OFICIAL PABLO LAHORE ENCARGADO DEL PREEMBARQUE NACIONAL QUIEN INFORMA QUE AL PASAR UN PASAJERO DE SEXO MASCULINO POR EL ARCO DETECTOR DE METALES SE ACCIONA LA ALARMA DEL MISMO POR LO QUE EL OFICIAL JONATHAN AYALA MARTINEZ PROCEDE A EFECTUARLE UN CHEQUEO MANUAL Y OBSERVA UN BULTO A LA ALTURA DEL BOLSILLO DERECHO DEL PANTALON, POR LO QUE AL SOLICITARLE AL PASAJERO QUE EXHIBA EL CONTENIDO, EL OFICIAL OBSERVO UNA SUSTANCIA VEGETAL Y EL MASCULINO LE INDICO QUE SE TRATABA DE UN PAR DE FASOS PARA FUMAR. ACTO SEGUIDO SE CONVOCO AL LUGAR A DOS TESTIGOS Y SE PROCEDIO EN LA SALA DE REQUISA A EFECTUARLE A LA SUSTANCIA UN REACTIVO QUIMICO MARCA NIK EL CUAL ARROJA RESULTADO POSITIVO PARA LA SUSTANCIA MARIHUANA. SEGUIDAMENTE SE TRASLADARON A TODOS LOS INTERVINIENTES A LA GUARDIA DE PREVENCION A FIN DE CONTINUAR CON LAS ACTUACIONES. SIENDO LAS 21:30 HORAS SE ENTABLO COMUNICACION CON EL DR. DAVINI A QUIEN SE LE INFORMO LO SUCEDIDO DISPONIENDO: LECTURA DE DERECHOS, DETENIDO EN CARACTER DE COMUNICADO, CERTIFICADO MEDICO PRECARIO DE INGRESO Y EGRESO, TRES JUEGOS DE FICHAS DACTILOSCOPICAS PARA EL SUMARIO, FOTOS DEL IMPUTADO, DE LA SUSTANCIA, DEL PESAJE, CERTIFICADO DE REINCIDENCIA 353 BIS, IDGE, ARTICULO 86 Y 197 CPPN, CONSTATACION DE DOMICILIO TELEFONICA, SECUESTRO DE LA SUSTANCIA, ENVIO AL LABORATORIO QUIMICO DE LA PFA Y EN CASO DE NO REGISTRAR EL CAUSANTE IMPEDIMENTO LEGAL SE PROCEDA A LA SOLTURA DEL MISMO, CASO CONTRARIO SE ENTABLE NUEVA COMUNICACION CON EL LETRADO, CIERRE Y ELEVACION DE LAS ACTUACIONES. SE AMPLIARA CON EL RESULTADO DE REINCIDENCIA. SE INFORMA EN PU Nº 1167 QUE EL DIA 01/03/10 0605 HORAS SE PROCEDIO A LA LIBERACION DEL DETENIDO YA QUE NO PRESENTABA IMPEDIMENTOS LEGALES.</t>
  </si>
  <si>
    <t>AU 2866</t>
  </si>
  <si>
    <t>ARRIBO CABOTAJE</t>
  </si>
  <si>
    <t>SIENDO LAS 23:30 HS SE PRESENTA EN LA GUARDIA DE PREVENSION DE ESTA UNIDAD OPERACIONAL UN PASAJERO DE LA EMPRESA AEROLINEAS ARGENTINAS EL CUAL ARRIBO A ESTA PROVINCIA EL DIA DOMINGO 28 DE FEBRERO DEL CORRIENTE AÑO Y QUIEN A RECIBIR SU EQUIPAJE DESPACHADO POR BODEGA Y AL REVISAR SU CONTENIDO NO ENCUENTRA LA CANTIDAD DE DOLARES OCHO MIL QUE ESTABAN EN UN SOBRE BLANCO EN EL INTERIOR DEL EQUIPAJE POR TAL MOTIVO REALIZO UN RECLAMO ANTE LA COMPAÑIA REGISTRADO BAJO EL Nº 0012 POSTERIORMENTE SE PRESENTA A RADICAR LA CORRESPONDIENTE DENUNCIA, SIENDO LAS 23:40 SE REALIZA COMUNICACION TELEFONICA CON LA OFICINA FISCAL EN TURNO SIENDO ATENDIDO POR EL AUXILIAR MIRANDA A QUIEN SE LE INFORMA DE LOS HECHOS OCURRIDOS Y QUIEN DESPUES DE REALIZAR LA CORRESPONDIENTE CONSULTA, 1-SE LABREN ACTUACIONES CORRESPONDIENTES, 2- SE ELEVE LAS ACTUACIONES UNA VEZ FINALIZADA PARA DAR ESTRICTO CUMPLIMIENTO. SE REALIZA PREVENCION SUMARIA Nº 011/10, SE PROCEDE A REALIZAR CONTROL DE EL PERSONAL QUE REALIZA TAREAS EN EL AREA RELACIONADA CON EL HECHO, SE ENVIA VIA FAX MEMORANDO Nº 154/2010 DE ORDEN INTERNO DE ESTA UNIDAD OPERACIONAL A LA UOSP METROPOLITANA CON MOTIVO DE SOLICITAR DECLARACION TESTIMONIAL AL PERSONAL DE LA EMPRESA AERO HANDLING QUIEN INTERVINO EN EL VUELO ANTERIORMENTE MENCIONADO, DICHO FAX FUE RECIBIDO POR EL JEFE DE TURNO DE LA UOSP METROPOLITANA OFICIAL JEFE PAVON.</t>
  </si>
  <si>
    <t>1165/10</t>
  </si>
  <si>
    <t>SIENDO LAS 06:05 HORAS Y EN VIRTUD A LO ORDENADO POR LA JUDICATURA ACTUANTE SE PROCEDE A LA SOLTURA DEL DETENIDO YA QUE NO REGISTRA IMPEDIMENTO LEGAL ALGUNO, RETIRANDOSE DE LA JURIDICCION CONFORME CON LOS TRATOS RECIBIDOS, CON EL CONTROL MEDICO PRECARIO DE SALIDA Y CON LA TOTALIDAD DE SUS PERTENENCIAS SIN NOVEDAD.</t>
  </si>
  <si>
    <t>AR 2866</t>
  </si>
  <si>
    <t>1160/10</t>
  </si>
  <si>
    <t>INFORMO SIENDO LAS 07:30 HS DEL DIA 01/03/10 EL IMPUTADO ES TRASLADADO A SEDE JUDICIAL.-</t>
  </si>
  <si>
    <t>1140/10</t>
  </si>
  <si>
    <t>INFORMO QUE SIENDO LAS 07:30 DEL DIA 01/03/10 EL DETENIDO ES TRASLADADO A SEDE JUDICIAL.-</t>
  </si>
  <si>
    <t>NAC. DE 1º INST. EN LO CRIM CORR FEDERAL Nº 8</t>
  </si>
  <si>
    <t>Secretaria N 15</t>
  </si>
  <si>
    <t>MARTINEZ DE GIORGI</t>
  </si>
  <si>
    <t>MARCELO</t>
  </si>
  <si>
    <t>DRA. GABRIELA ESTEBAN..</t>
  </si>
  <si>
    <t>MAQUINA DE RAYOS X Nº 01 SECTOR RESTRINGIDO.</t>
  </si>
  <si>
    <t>PREEMBARQUE NACIONAL PRIMER PISO.TERMINAL III</t>
  </si>
  <si>
    <t>SIENDO LA FECHA Y LA HORA ANTES MENCIONADA SE RECIBE COMUNICACION TELEFONICA POR PARTE DEL OFICIAL PABLO LAHORE ENCARGADO DEL PREEMBARQUE NACIONAL INFORMANDO QUE AL PASAR UN PASAJERO DE SEXO MASCULINO POR EL ARCO DETECTOR DE METALES ACTIVO LA ALARMA DEL MISMO POR LO QUE EL OFICIAL HECTOR ROBLES LE EFECTUA UN CHEQUEO MANUAL AL MASCULINO Y OBSERVO QUE EN EL BOLSILLO TRASERO DERECHO DEL PANTALON TENIA UN BULTO SOSPECHOSO POR LO QUE LE SOLICITA QUE EXHIBA EL CONTENIDO, TRATANDOSE DE UNA BILLETERA LA CUAL CONTENIA SEGUN LOS DICHOS DEL MASCULINO, MARIHUANA. ACTO SEGUIDO SE CONVOCAN AL LUGAR A LOS DOS TESTIGOS HABILES, PARA POSTERIORMENTE EN LA SALA DE REQUISA EFECTUAR A LA SUSTANCIA UN REACTIVO QUIMICO MARCA NIK QUE ARROJO RESULTADO POSITIVO PARA MARIHUANA. POSTERIORMENTE SE TRASLADARON A TODOS LOS INTERVINIENTES A LA GUARDIA DE PREVENCION. EN EL MOMENTO DE EFECTUAR LA REQUISA A LOS ELEMENTOS PERSONALES DEL IMPUTADO SE ENCONTRO UNA PASTILLA DENTRO DE UN ATADO DE CIGARRILLOS, QUE SEGUN LOS DICHOS DEL MASCULINO SE TRATARIA DE EXTASIS A LA CUAL SE LE REALIZO UN REACTIVO NIK PARA LA SUSTANCIA ANFETAMINA ARROJANDO RESULTADO POSITIVO PARA DICHA SUSTANCIA. SIENDO LAS 07:10 HORAS SE ESTABLECE COMUNICACION TELEFONICA CON LA JUDICATURA ACTUANTE A QUIEN SE LE INFORMA LO SUCEDIDO DISPONIENDO: DETENIDO EN CARACTER DE COMUNICADO, CERTIFICADO DE REINCIDENCIA 353 BIS, IDGE, ARTICULO 86 Y 197 CPPN, CONSTATACION DE DOMICILIO FEHACIENTE, SECUESTRO DE LA SUSTANCIA, ENVIO AL LABORATORIO QUIMICO GENDARMERIA NACIONAL DE LAS SUSTANCIAS SECUESTRADAS, Y EN CASO DE QUE EL CAUSANTE NO REGISTRE IMPEDIMENTOS LEGALES VIGENTES SE PROCEDA A LA SOLTURA DEL MISMO, CASO CONTRARIO SE REALICE NUEVA COMUNICACION CON EL LETRADO, CIERRE Y ELEVACION. SE AMPLIARA CON EL RESULTADO DE REINCIDENCIA. SEGUN P.U. Nº 1184 SIENDO LAS 1655 HS. SE PROCEDIO A LA LIBERACION DEL DETENIDO YA QUE QUE EL MISMO NO POSEEIA IMPEDIMENTOS LEGALES</t>
  </si>
  <si>
    <t>AU 2496</t>
  </si>
  <si>
    <t>SAN SALVADOR JUJUY</t>
  </si>
  <si>
    <t>DAÑOS EN LA CERCA METALICA PERIMETRAL</t>
  </si>
  <si>
    <t>SECTOR SUDESTE DEL PREDIO DEL AERODROMO, LINDANTE AL Bº AMPLIACION BORGES, UBICADO APROXIMADAMENTE A MIL OCHOCIENTOS METROS DE LA AEROESTACION Y A CIEN METROS DEL DESAGUE PLUVIAL.</t>
  </si>
  <si>
    <t>EN EL DIA DE LA FECHA SE PRESENTO EL SR. SERGIO CALDERON, EMPLEADO DE LA EMPRESA AA2000, A RADICAR UNA DENUNCIA POR DAÑO EN LA CERCA METALICA PERIMETRAL DE ESTE AERODROMO. EL MENCIONADO HECHO FUE DETECTADO MIENTRAS EL MISMO REALIZABA UN RECORRIDO DE RUTINA POR EL CAMINO PERIEMTRAL, DONDE OBSERVO EL DESPRENDIMIENTO DE UNA REPARACION QUE FUERA EFECTUADA CON ANTERIORIDAD EN LA PARTE INFERIOR DE UN PAÑO. EL MENCIONADO DAÑO DEJO UNA ABERTURA DE APROXIMADAMENTE UN METRO DE ALTO POR CINCUENTA CENTIMETROS DE ANCHO. SE PROCEDIO A VERIFICAR EL DAÑO DENUNCIADO PARA LUEGO PONER EN CONOCIMIENTO DEL HECHO AL SR. FISCAL FEDERAL DR. PEDRO SIMON, QUIEN DISPUSO SE INICIEN LAS ACTUACIONES Y QUE LAS MISMAS SEAN ELEVADAS A LA BREVEDAD. CABE DESTACAR QUE LA CERCA FUE REPARADA EN FORMA INMEDIATA POR EL PERSONAL DE MANTENIMIENTO DE LA EMPRESA AA2000.</t>
  </si>
  <si>
    <t>1162/10</t>
  </si>
  <si>
    <t>PUERTA Nº 1</t>
  </si>
  <si>
    <t>TURNO POLICIAL DE PREVENTIVA</t>
  </si>
  <si>
    <t>SE PROCEDIO A REALIZAR LA APERTURA DE UNA SACA COLECTORA DEL CORREO OFICIAL, IDENTIFICADA CON MARBETE SLA0169104E555700RGL, PRECINTO Nº B941316, SEGUN ACTA DE RETENCION CARGAS NRO 079/10, REALIZADA EL 28/02/10, ACTA DEJANDO CONSTANCIA Nº 080/10, PREVENCION SUMARIA Nº 017/10, CONTIENE UNA PIEZA POSTAL IDENTIFICADA COMO EP016104E555700RGL, QUEDANDO LA ENCOMIENDA EN GUARDA EN EL DEPOSITO JUDICIAL DE ESTA UNIDAD A LA ESPERA DEL OFICIO JUDICIAL QUE AUTORICE SU APERTURA, CON CONOCIMIENTO DEL JEFE DE UOSP.</t>
  </si>
  <si>
    <t>SECRETARIA DE DERECHOS HUMANOS</t>
  </si>
  <si>
    <t>ROSELLI ANTONIO JOSE Y OTROS P.SS.AA PRIVACION ILEGITIMA DE LA LIBERTAD AGRAVADA, IMPOSICION DE TORMENTOS AGRAVADOS Y HOMICIDIO AGRAVADO.</t>
  </si>
  <si>
    <t>BARRIO COFICO - CAPITAL - CORDOBA</t>
  </si>
  <si>
    <t>SIENDO EL DIA 1 DE MARZO DEL CORRIENTE AÑO SE RECEPCIONO NUEVA ORDEN DE ALLANAMIENTO DIRECCIONADO AL SR. INTERVENTOR DE LA POLICIA DE SEGURIDAD AEROPORTUARIA DR. JULIO POSTIGLIONI, SOBRE LA FINCA SITA EN CALLE LAVALLEJA 1126 DE BARRIO COFICO, DE LA CIUDAD DE CORDOBA, CON LA FINALIDAD DE PROCEDER A LA DETENCION DEL SR. PEDRO NOLASCO BUSTOS, POR EL TERMINO DE 72 HORAS A PARTIR DE LAS 14:00 HS DEL PRESENTE DIA. SE DEJA ASENTADO EN EL PRESENTE DE LA RECEPCION DE ORDEN DE DETENCION DIRECCIONADO AL SR JEFE DE LA POLICIA DE SEGURIDAD AEROPORTUARIA CON FECHA 26 DE FEBRERO DEL CORRIENTE AÑO CON LA FINALIDAD DE PROCEDER A LA DETENCION DEL SR. PEDRO NOLASCO BUSTOS EN CARACTER DE COMUNICADO. SE ADJUNTA POR CUERDAS SEPARADAS COPIA DE AMBOS OFICIOS</t>
  </si>
  <si>
    <t>SIENDO LAS 12:00 HORAS DEL DIA DE LA FECHA SE INPLEMENTA OPERATIVO DE CONTROL, SEGUN ORDEN DE SERVICIO NRO. 127/10 FAX PROCEDENTE DE LA URSA I DEL ESTE. SIENDO LAS 13:09 HORAS ARRIBA A ESTA AEROESTACION MILITAR VIA TERRESTRE EN VEHICULO OFICIAL LA SEÑORA PRESIDENTA, PARTIENDO HACIA LA CIUDAD DE MONTEVIDEO, REPUBLICA ORIENTAL DEL URUGUAY A LAS 13:35 HORAS EN LA AERONAVE MATRICULA T-01 SIN NOVEDAD.</t>
  </si>
  <si>
    <t>MIRTA LILIANA RUBIN</t>
  </si>
  <si>
    <t>ROSELLI ANTONIO JOSE Y OTROS P.SS.AA. PRIVACION ILEGITIMA DE LA LIBERTAD AGRAVADA, IMPOSICION DE TORMENTOS AGRAVADOS Y HOMICIDIO AGRAVADO</t>
  </si>
  <si>
    <t>BARRIO COFICO, CIUDAD DE CORDOBA</t>
  </si>
  <si>
    <t>EN CUMPLIMIENTO DE LA ORDEN DE ALLANAMIENTO Y POSTERIOR DETENCION DEL CIUDADANO PEDRO NOLASCO BUSTOS EN LA CAUSA -ROSELLI JOSE ANTONIO Y OTROS P.SS.AA. PRIVACION ILEGITIMA DE LA LIBERTAD AGRAVADA, IMPOSICION DE TORMENTOS AGRAVADOS Y HOMICIDIO AGRAVADO-, INFORMO QUE EL MISMO HA SIDO DETENIDO POR PERSONAL DE ESTA UNIDAD AL FRENTE DEL DOMICILIO QUE FIGURA EN EL OFICIO JUDICIAL, LAVALLEJA 1126 DEL BARRIO COFICO, EL MISMO QUEDA EN CARACTER DE DETENIDO COMUNICADO Y A DISPOSICION DEL JUZGADO INTERVINIENTE, DISPONIÉNDOSE SU TRASLADO A LA UNIDAD OPERACIONAL CORDOBA DE LA PSA PARA LABRAR LAS ACTUACIONES DE RIGOR, Y A POSTERIORI SU TRASLADO A LA ALCAIDÍA DE TRIBUNALES FEDERALES DE ESTA CIUDAD</t>
  </si>
  <si>
    <t>Lopez Leston</t>
  </si>
  <si>
    <t>MARIA FLORENCIA GONZALEZ</t>
  </si>
  <si>
    <t>GAL_0001_10_ROBO_HURTO</t>
  </si>
  <si>
    <t>BIOTT PEDRO S/DENUNCIA PRESUNTO ROBO EN EQUIPAJE FACTURADO</t>
  </si>
  <si>
    <t>BODEGA DE AERONAVE</t>
  </si>
  <si>
    <t>SIENDO LAS 11:00 DEL DIA DE LA FECHA SE RECIBE EN ESTA DEPENDENCIA POLICIAL LA DENUNCIA EFECTUADA POR EL CIUDADANO PEDRO PADILLA BIOT CIPFA Nº 12.198.639 PASAJERO DE LA EMPRESA AEROLINEAS ARGENTINAS DEL VUELO Nº 2882 PROCEDENTE DE LA CIUDAD DE BUENOS AIRES QUIEN DENUNCIA EL FALTANTE EN SU EQUIPAJE FACTURADO CON MARBETE Nº AR 74-16-52 Y AR74-16-53 DE LOS SIGUIENTES ELEMENTOS UN PAR DE BOTAS MARCA TIMBERLAND COLOR GRIS Nº DE ARTICULO 7703410 Y UN TALADRO MARCA ROUST DE 710 WATS DE 13MM ARTICULOS NUEVOS SIN USO MANIFESTANDO QUE EL EQUIPAJE SE ENCONTRABA AL MOMENTO DEL ARRIBO CON SUS CANDADOS ROTO ASI TAMBIEN SU CIERRE PRINCIPAL</t>
  </si>
  <si>
    <t>1172/10</t>
  </si>
  <si>
    <t>PREEMBARQUE NACIONAL PRIMER PISO.</t>
  </si>
  <si>
    <t>SIENDO LAS 16:55 HORAS SE PROCEDE A LA LIBERACIÓN DEL DETENIDO, SEGÚN LO DISPUESTO POR LA JUDICATURA INTERVINIENTE, UNA VEZ OBTENIDO EL RESULTADO DE REINCIDENCIA, AL NO MEDIAR IMPEDIMIENTO LEGAL ALGUNO, EL CAUSANTE SE RETIRA DE ESTA DEPENDENCIA SIN NOVEDAD.</t>
  </si>
  <si>
    <t>AR 2496</t>
  </si>
  <si>
    <t>1181/10</t>
  </si>
  <si>
    <t>SIENDO LAS 17:00 HORAS DEL DIA DE LA FECHA SE INPLEMENTA OPERATIVO DE CONTROL, SEGUN ORDEN DE SERVICIO NRO. 127/10 FAX PROCEDENTE DE LA URSA I DEL ESTE. SIENDO LAS 19:02 HORAS ARRIBA PROCEDENTE DE LA CIUDAD DE MONTEVIDEO A ESTA AEROESTACION MILITAR EN LA AERONAVE MATRICULA T-01 LA SEÑORA PRESIDENTA DE LA NACION, RETIRANDOSE DE ESTA AEROESTACION A LAS 19:10 HORAS EN LA AERONAVE MATRICULA T-03 SIN NOVEDAD .</t>
  </si>
  <si>
    <t>DRA. MIRTA RUBIN</t>
  </si>
  <si>
    <t>EXPTE. 20.219</t>
  </si>
  <si>
    <t>ATENTO A LAS ORDENES DE SERVICIO Nº 060/10 Y 061/10, SIENDO LAS 18:00 HORAS SE ENICIA EL TRASLADO DEL CAUSANTE EN LOS MOVILES MERCEDES BENZ SPRINTER, DOMINIO GTJ661 PERTENECIENTE A LA UOESA II DEL CENTRO, Y LA FORD RANGER GTJ667 PERTENECIENTE A LA UOSP CORDOBA.SE LO REMITE EN PRIMERA INSTANCIA A POLICIA JUDICIAL PARA REALIZAR EL EXAMEN MEDICO FORENSE Y LUEGO A LA ALCALDIA DE TRIBUNALES FEDERALES DONDE QUEDA ALOJADO. AL REGRESO DE LA COMISION SE ENTREGA LA FICHA DE ANTECEDENTES PRONTUARIALES EN EL EDIFICIO CENTRAL DE LA POLICIA DE LA PROVINCIA DE CORDOBA. SE ARRIBO A ESTA JURISDICCION A LAS 20:05 HORAS SIN NOVEDAD.</t>
  </si>
  <si>
    <t>SE PROCEDE A LA RETENCION DE TRES SACAS COLECTORAS DEL CORREO OFICIAL, LA 1ª IDENTIFICADA CON MARBETE N º SLA0172863E555600CRD, PRECINTO B941985, PESO 11 KG., DESTINO COMODORO RIVADAVIA, LA 2ª IDENTIFICADA CON MARBETE SLA0169100E555700RGL, PRECINTO B941913, PESO 12 KG. DESTINO RIO GALLEGOS. LA 3ª IDENTIFICADA CON MARBETE Nº SLA8610617E353500UAQ, PRECINTO Nº B347296, PESO 2 KG. DESTINO SAN JUAN. LAS CUALES FUERON DESPACHADAS A TRAVEZ DE JET PAQ, SEGUN ACTA DE RETENCION Nº 088/10. LAS RETENCIONES SE REALIZAN ANTE LA PRESUNCION DE QUE PUDIERAN CONTENER ELEMENTOS EN INFRACCION A LAS LEYES 22.415 Y/O 23.737. QUEDANDO LAS MISMAS EN GUARDA EN ESTA UOSP. LAS CUALESSE ENCUENTRAN CERRADAS Y PRECINTADAS, SE INFORMO TELEFONICAMENTE AL JUZGADO INTERVINIENTE, LA APERTURA DE LAS MISMAS SE REALIZARA EN PRESENCIA DEL PERSONAL DEL CORREO . CON CONOCIMIENTO DEL JUSOP.</t>
  </si>
  <si>
    <t>1156/10</t>
  </si>
  <si>
    <t>SIENDO LAS 14:40 HORAS DEL 1 DE MARZO DEL CORRIENTE AÑO, SE ENTABLA COMUNICACION CON LA JUDICATURA ACTUANTE A QUIEN SE LE INFORMA SOBRE EL ESTADO DEL SUMARIO, QUE ORDENA CIERRE Y ELEVACION DE ACTUACIONES.-</t>
  </si>
  <si>
    <t>1187/10</t>
  </si>
  <si>
    <t>SE PROCEDE A LA APERTURA DE TRES SACAS COLECTORAS DEL CORREO OFICIAL CORRESPONDIENTE A LA PREVENCION SUMARIA Nº 018/10, EN PRESENCIA DE UN TESTIGO HABIL, MEDIDA COORDINADA PREVIAMENTE CON EL JUZGADO DE TURNO. LA 1ª IDENTIFICADA CON MARBETE Nº SLA0172863E555600CRD, PRECINTO B941985, CONTIENE TRES PIEZAS IDENTIFICADAS COMO EP659033331AR QUE QUEDA RETENIDA Y LAS EP059270422AR Y EP0658935153AR QUEDAN LIBERADAS PARA SU REDESPACHO. LA 2ª IDENTIFICADA CON MARBETE SLA0169100E555700RGL, PRECINTO B941913, CONTIENE CINCO PIEZAS IDENTIFICADAS COMO EP680796145AR, EP684827625AR QUE QUEDAN RETENIDAS Y LAS EP658101741AR, EP684827673AR Y EP684828135AR QUEDAN LIBERADAS PARA SU REDESPACHO. LA 3ª IDENTIFICADA CON MARBETE Nº SLA8610617E353500UAQ, PRECINTO Nº B347296, CONTIENE UNA PIEZA IDENTIFICADAS COMO EP658101755AR, LA CUAL QUEDA RETENIDA. LAS ENCOMIENDAS LIBERADAS SON ENTREGADAS AL CORREO OFICIAL PARA SU REINCERCION EN EL CIRCUITO POSTAL Y LAS RETENIDAS QUEDAN EN GUARDA EN EL DEPOSITO JUDICIAL DE ESTA UNIDAD A LA ESPERA DEL OFICIO QUE AUTORIZE SU APERTURA, CON CONOCIMIENTO DEL JUOSP.</t>
  </si>
  <si>
    <t>SIENDO LA FECHA Y HORA MENCIONADA SE PRESENTA EN ESTA GUARDIA UNA PERSONA PARA DENUNCIAR EL EXTRAVIO DE UN PERMISO PERSONAL DE SEGURIDAD AEROPORTUARIO A NOMBRE DEL DENUNCIANTE EL DIA 1 DE MARZO DEL CORRIENTE AÑO, NO RECORDANDO LA HORA, DENTRO DE LAS INSTALACIONES DE ESTE AEROPUERTO. SE LABRA DENUNCIA DE EXTRAVIO Nº 108/10</t>
  </si>
  <si>
    <t>SECTOR RESTRINGIDO</t>
  </si>
  <si>
    <t>INMEDIACIONES AL PERÍMETRO, GALPÓN DEPÓSITO NORTE</t>
  </si>
  <si>
    <t>EL DECLARANTE SE PRESENTA ANTE ESTA INSTRUCCION PARA EXPONER SOBRE EL EXTRAVIO DE UN PERMISO PERSONAL AEROPORTUARIO PERMANENTE NRO. 314306 CON VECIMIENTO EL 27/07/2010 A SU NOMBRE, NO PUDIENDO PRECISAR LA HORA DEL EXTRAVIO.</t>
  </si>
  <si>
    <t>EN EL DIA DE LA FECHA SE PRESENTA EL DECLARANTE, EMPLEADO DE LA EMPRESA BACAR TRANSPORTADORA DE CAUDALES, A LOS FINES DE PONER EN CONOCIMIENTO DEL EXTRAVIO DEL PERMISO PERSONAL PERMANENTE SNA Nº 308487-13874/2008, CON VENCIMIENTO 10 /MAY/ 2010, CON LOS SECTORES 2-4-5. NO PUEDE PRECISAR EL LUGAR DEL EXTRAVIO Y LA ULTIMA VEZ QUE UTILIZO LA CREDENCIAL FUE EL VIERNES 26 DE FEBRERO DE 2010.</t>
  </si>
  <si>
    <t>PRACTICAR DISCRETAS Y AMPLIAS TAREAS DE INTELIGENCIA RESPECTO DE LOS IMPUTADOS: RICARDO ARMANDO FERNANDEZ DNI, 5.318.189, CON ULTIMO DOMICILIO REGISTRADO EN SOLER Nº 3210- 3P DEPTO B CAP. FED., RICARDO LUIS VON KYAW DNI, 5.072.421 DOMICILIADO CALLE LIBERTAD Nº 1662 CAP. FED., ROBERTO ARMANDO BALMACEDA DNI 7.604.777 DOMICILIADO CALLE MONROE Nº 3226 11P DEPTO B, CAP. FED., ISAAC CRESPIN MIRANDA DNI 5.187.876 DOMICILIADO CALLE MARCONI Nº 2915 BECCAR SAN ISIDRO, PROV. BS AS., TEODORO ANIBAL GAUTO DNI, 7.701.917 DOMICILIADO CALLE ARAGON Nº 787 DE LAVALLOL- LOMAS DE ZAMORA, MIGUEL ANGEL AMIGO DNI 4.516.809 DOMICILIADO, CALLE RAMALLO Nº 2346- CAP. FED., JUAN CARLOS NEGRI DNI 7.593.383, DOMICILIADO, CALLE AVELLANEDA Nº 3336, EL BERMEJO, GUAYMAYEN, PROV. DE MENDOZA, RUFINO BATALLA DNI 5.514.329, DOMICILIADO CALLE, B VENEZUELA- M 315 G 3 C12 DE FORMOSA PROV. DE FORMOSA Y ENRIQUE ARMANDO CICCIARI DNI 7.755.683 DOMICILIADO CALLE REMEDIOS DE ESCALADA Nº 633 DE DOLORES, SAN JAVIER DE LA PROV. DE CORDOBA.</t>
  </si>
  <si>
    <t>1013/10</t>
  </si>
  <si>
    <t>OFICINA DE SUMARIO POLICIAL</t>
  </si>
  <si>
    <t>SE REALIZA APERTURA DE UNA ENCOMIENDA RETENIDA EL 18/02/10, SEGUN ACTA DE RETENCION Nº 0054/10, CORRESPONDIENTE A LA PREVENCION SUMARIA Nº 0013/10, MEDIDA COORDINADA PREVIAMENTE CON EL JUZGADO DE TURNO, EN PRESENCIA DEL YERNO DE LA PROPIETARIA DE LA ENCOMIENDA. EL MISMO SE ANOTICIO POR EL CORREO OFICIAL QUE SE ENCONTRABA RETENIDA EN ESTA UNIDAD. LA ENCOMIENDA SE IDENTIFICA COMO EP661859810AR, RTTE. SRA. NARCISA BELTRAN QUISPE, HORACIO GUZMAN Nº 948, Bº MARIANO MORENO, S.S. SALVADOR DE JUJY, C.P. 4.600 Y DEST. A NOMBRE DE LA SRA. MARGARITA TORRICO, MOSCON Nº 149, Bº 25 DE NOVIEMBRE, RIO GRANDE, PROVINCIA TIERRA DEL FUEGO, C.P. 9420, T.E. 02964-426046, CONTIENE: 10 CONJUNTOS DEPORTIVOS -PANTALONES Y CAMPERAS-, ACREDITANDO FACTURA Nº 00003021 DE FECHA 15/02/10, POR LA COMPRA DE LAS MERCADERIAS. LUEGO DE VERIFICADO SU CONTENIDO LA MISMA SERA ENTREGADO AL CORREO OFICIAL PARA SU REINCERSION AL CIRCUITO POSTAL POR NO SER DE INTERES PARA EL PROCEDIMIENTO. CON CONOCIMIENTO DEL JUOSP</t>
  </si>
  <si>
    <t>jefatura de Policia de Tucuman CCD s/ Secuestros y desapariciones.-</t>
  </si>
  <si>
    <t>795/04 y conexos</t>
  </si>
  <si>
    <t>REALIZAR TAREAS DE INTELIGENCIA Y DAR CON EL PARADERO.-</t>
  </si>
  <si>
    <t>DR. LOCATELLI</t>
  </si>
  <si>
    <t>578/00</t>
  </si>
  <si>
    <t>SIENDO LAS 13:30 HS SE PRESENTA ANTE EL MOSTRADOR DE CONTROL DE RED LINCE UN CUIDADANO DE SEXO MASCULINO QUIEN RESULTO SER Y LLAMARSE OLIVERI ERNESTO FRANCISCO, QUIEN SE IDENTIFICA MEDIANTE DNI Nº 7.842.972 (ORIGINAL), SOBRE QUIEN RECAE UN PEDIDO DE PARADERO BAJO EL REGISTRO RED LINCE Nº 73134, POR LO QUE SE PROCEDE A ENTABLAR COMUNICACION TELEFONICA CON EL APARTADO Nº 02964-435000 PERTENECIENTE AL CONMUTADOR DEL JUZGADO DISTRITO JUDICIAL NORTE, ENTABLANDO COMUNICACION CON EL DR LOCATELLI QUIEN LUEGO DE INFORMADO DE LA SITUACION ORDENA SE NOTIFIQUE FIJANDO DOMICILIO AL SR. OLIVERI QUE DEBE PRESENTARCE AL REGRESO ANTE EL JUZGADO INTERVINIENTE. POR LO QUE SE PROCEDE A REALIZAR LA NOTIFICACION CORRESPONDIENTE AL SR. OLIVERI ERNESTO FRANCISCO.</t>
  </si>
  <si>
    <t>SIENDO LA FECHA Y HORA MENCIONADA SE PRESENTA UNA PERSONA PARA DENUNCIAR EL EXTRAVIO DE UN PERMISO PERSONAL DE SEGURIDAD AEROPORTUARIO A SU NOMBRE, NO RECORDANDO LA HORA, DENTRO DE LAS INSTALACIONES DE ESTE AEROPUERTO. SE LABRA DENUNCIA DE EXTRAVIO Nº 109/10</t>
  </si>
  <si>
    <t>MIGUEL ANGEL GUERRERO</t>
  </si>
  <si>
    <t>ALMIRON BRIZUELA, JUAN CARLOS S/CONTRABANDO DE IMPORTACION DE ESTUPEFACIENTE Y TRANSPORTE DE ESTUPEFACIENTE EN CONCURSO IDEAL</t>
  </si>
  <si>
    <t>130/2010</t>
  </si>
  <si>
    <t>INFRACCION A LA LEY Nº 23737</t>
  </si>
  <si>
    <t>EN CUMPLIMIENTO DEL OFICIO Nº 418/2010 DE FECHA 02 DE MARZO DE 2010, EN EL HECHO CARATULADO ALMIRON BRIZUELA JUAN CARLOS S/CONTRABANDO DE IMPORTACION DE ESTUPEFACIENTE Y TRANSPORTE DE ESTUPEFACIENTE EN CONCURSO IDEAL, SE A FIJADO AUDIENCIA A FIN DE REALIZAR DECLARACION TESTIMONIAL A LOS OF. JOSE FABIAN VIERA LINARES LEGAJO Nº 503.771 Y EL OF. VICTOR ENRIQUE ALVAREZ LEGAJO Nº 501.551, EL DIA MIERCOLES 3 DE MARZO DEL AÑO EN CURSO A LAS 09:00 HORAS EN EL JUZGADO FEDERAL DE LA CIUDAD DE ELDORADO.</t>
  </si>
  <si>
    <t>DAÑOS EN CERCA PLASTICA PERIMETRAL</t>
  </si>
  <si>
    <t>SECTOR SUDOESTE DEL PREDIO DEL AERODROMO, LINDANTE CON EL Bº AMPLIACION BORGES.</t>
  </si>
  <si>
    <t>EN EL DIA DE LA FECHA SE PRESENTA LA SRA. SILVIA LILIANA OLIVERA, ADMINISTRADORA DE AA2000, MANIFESTANDO QUE REALIZANDO RECORRIDO PERIMETRAL DE RUTINA, DETECTA EN EL SECTOR SUDOESTE DE ESTE AERODROMO LINDANTE CON EL Bº BORGES CORTES EN LA PARTE INFERIOR DE LA CERCA PERIMETRAL PLASTICA, DEJANDO UNA ABERTURA DE APROXIMADAMENTE UN METRO DE ALTO POR DOS DE LARGO.</t>
  </si>
  <si>
    <t>DRA.MARIA ISABEL FALU</t>
  </si>
  <si>
    <t>SE PROCEDE A LA RETENCION DE DOS SACAS COLECTORAS DEL CORREO OFICIAL SEGUN CONSTA EN ACTA DE RETENCION DE CARGA Nº 093/10, CON PREVENCION SUMARIA 019/10, LA PRIMERA IDENTIFICADA CON MARBETE Nº SLA0172864E555600CRD, PRESCINTO Nº B941999, CON UN PESO DECLARADO 18,6 KG. DESTINO COMODORO RIVADAVIA, LA SEGUNDA IDENTIFICADA CON MARBETE SLA0170800E606000BHI, PRESINTO Nº B941310 CON UN PESO DECLARADO DE 3,1 KG., CON DESTINO BAHIA BLANCA, AMBAS AMPARADAS EN GUIA DE CARGA AEREA Nº 9327679-4, LA QUE IBAN A SER DESPACHADAS ATRAVES DE LA EMPRESA DE CARGA AEREA JET PAQ. LA RETENCION SE REALIZA ANTE LA PRESUSNCION DE QUE PUDIERAN CONTENER ALGUN ELEMENTO DE INFRACCION A LAS LEYES 22.415 Y/O 23.737. QUEDANDO LAS MISMAS CERRADAS Y PRESCINTADA EN GUARDA EN ESTA UOSP, SE COMUNICO TELEFONICAMENTE CON EL JUZGADO INTERVINIENTE Y LA APERTURA SE REALIZARA EN PRESENCIA DEL PERSONAL DEL CORREO ARGENTINO. CON CONOCIMIENTO DEL JEFE DE LA UOSP.</t>
  </si>
  <si>
    <t>UNICA</t>
  </si>
  <si>
    <t>HALL DE SALIDA DE PASAJEROS, A LA ALTURA DEL MOSTRADOR DE DESPACHO NUMERO 24</t>
  </si>
  <si>
    <t>LOCAL DE COMIDA NATURAL BREAK</t>
  </si>
  <si>
    <t>EL PERSONAL APOSTADO EL TAQUILLA INFORMA AL COC QUE INGRESO A ESTA AEROSTACIÓN UN VEHICULO TAXI DEL G.C.A.B.A., CHEVROLET CORSA DOMINIO HLU 173, EL CUAL HABRÍA ESTADO INVOLUCRADO EN LOS HECHOS DELICTIVOS DE LAS CUALES SE LABRARON ACTUACIONES SUMARIAS BAJO NUMERO 075-E/10 Y 111-E/10 REGISTRO INTERNO. POR TAL MOTIVO Y DANDO CUMPLIMIENTO A LA ORDEN DE SERVICIO 021/10 DE ESTA JEFATURA DE UNIDAD, EL COC COMIENZA UN SEGUIMIENTO A TRAVÉS DE LAS CÁMARAS DEL RODADO EN CUESTIÓN. EN TALES CIRCUNSTANCIAS, OBSERVA QUE EL RODADO SE DETIENE EN LA DÁRSENA DE LA TERMINAL DE TAXIS DE LA TERMINAL A, LUGAR EN DONDE DESCIENDE UNA PERSONA DE SEXO MASCULINO, QUIEN POSTERIORMENTE FUERA IDENTIFICADO COMO CARLOS ANTONIO CACERES ESPINA, EL CUAL INGRESA A LA CITADA TERMINAL POR LA PUERTA DENOMINADA NUMERO 2. ANTE ESTE HECHO Y A MODO PREVENTIVO EL COC COMIENZA UN SEGUIMIENTO DEL INDIVIDUO DURANTE SU ESTADÍA EN ESTE MEDIO. DE IGUAL MODO, OBSERVA QUE EL CITADO RODADO SE RETIRA DEL LUGAR ANTES MENCIONADO Y SE DIRIGE HACIA EL SECTOR DE MONTACARGAS, QUEDANDO ESTACIONADO EN ESE LUGAR Y SIN DESCENDER SU CONDUCTOR, QUIEN FUERA IDENTIFICADO POSTERIORMENTE COMO DAVID MANUEL VILLASANTE GUTIERREZ. POR TAL MOTIVO, EL OPERADOR DEL COC, INFORMA DE LA PRESENCIA DEL VEHICULO EN INSTALACIONES DE ESTE MEDIO AL JEFE DE TURNO, QUIEN JUNTO A PERSONAL A SU CARGO SE DIRIGEN HACIA EL SECTOR DE MONTACARGAS. QUE EN TAL SITUACIÓN DICHO OPERADOR OBSERVA QUE EL INDIVIDUO QUE HABÍA INGRESADO A LA TERMINAL SUSTRAE DE UN COMERCIO UN MALETÍN COLOR NEGRO RETIRÁNDOSE INMEDIATAMENTE DEL MISMO Y EGRESANDO DE LA TERMINAL POR LA PUERTA NUMERO 2. SEGUIDAMENTE ESTE SUJETO, DETIENE UN TAXI MARCA CHEVROLET CORSA TAXI DEL GCBA CON DOMINIO FGM 834, ASCIENDE AL MISMO Y SE RETIRA EN DIRECCIÓN HACIA LA TAQUILLA. POR TAL MOTIVO EL OPERADOR DE DICHO CENTRO ENTABLA UNA NUEVA COMUNICACIÓN CON EL JEFE DE TURNO INDICÁNDOLE EL VEHICULO EN EL QUE HABÍA ASCENDIDO ESTE SUJETO. ANTE ESTOS HECHOS, EL INSTRUCTOR DESPLAZA PERSONAL POLICIAL HACIA LOS SECTORES DE ESTACIONAMIENTOS, TAQUILLA Y DEMÁS ADYACENCIAS A LOS EFECTOS DE DAR CON EL RODADO EN CUESTIÓN. QUE EN LA ESTACIÓN DE SERVICIO DE LA EMPRESA PETROBRÁS, EL JEFE DE TURNO, IDENTIFICA EL VEHICULO EL CUAL SE ENCONTRABA CARGANDO GAS. QUE UNA VEZ CONSTITUIDO JUNTO A ESTE LE CONSULTA AL CONDUCTOR, QUIEN SE IDENTIFICO COMO FABIAN LUNA,EN DONDE SE ENCONTRABA LA PERSONA QUE HABÍA ASCENDIDO A ESTE RODADO, MANIFESTANDO QUE ESTE PASAJERO DESISTIÓ DEL VIAJE UNA VEZ LLEGADO A ESTA ESTACIÓN DE SERVICIO, DESCONOCIENDO HACIA DONDE SE HABÍA DIRIGIDO. QUE PASADO UNOS POCOS MINUTOS, SE OBSERVA A UNA PERSONA DE SEXO MASCULINO EGRESAR DEL LOCAL DE LA ESTACIÓN DE SERVICIO Y EL CONDUCTOR LE INDICA AL JEFE DE TURNO QUE ESE ERA EL SUJETO A QUIEN SE ESTABA BUSCANDO, PROCEDIENDO JUNTO A PERSONAL A SU CARGO A INTERCEPTAR AL MISMO, EL CUAL A SU VEZ LLEVABA CONSIGO UNA MOCHILA COLOR NEGRA, DEJÁNDOSE VER QUE EN SU INTERIOR SE HALLABA UN MALETÍN COLOR NEGRO. QUE MINUTOS DESPUÉS EL VEHICULO EN EL CUAL ESTE INDIVIDUO HABÍA ARRIBADO A ESTE MEDIO FUE INTERCEPTADO POR PERSONAL POLICIAL EN LA TAQUILLA. ANTE ESTOS ACONTECIMIENTOS, EL JEFE DE TURNO DISPUSO EL TRASLADO DE TODOS LOS INTERVINIENTES AL ASIENTO DE ESTA PREVENCIÓN. QUE UNA VEZ ALLÍ, LA DAMNIFICADA DEL HURTO RECONOCE AL MALETÍN COLOR NEGRO Y A LA TOTALIDAD DE SU CONTENIDO COMO DE SU PROPIEDAD. A CONTINUACIÓN SE MANTIENE COMUNICACIÓN TELEFÓNICA CON LA UFI DE TURNO QUIEN DISPONE LA APREHENSIÓN DE LOS CAUSANTES, SE RECIBA DENUNCIA FORMAL A LA DAMNIFICADA, SE PROCEDA A LA INCAUTACION PREVENTIVA DEL ELEMENTO SUSTRIDO INFORME TECTICO DEL MISMO Y POSTERIOR ENTREGA A SU DUEÑA EN CARACTER DEFINITIVO SE INICIEN ACTUACIONES BAJO LA CARÁTULA HURTO Y LAS DILIGENCIAS DE RIGOR QUE AMERITAN AL HECHO LAS QUE UNA VEZ FINALIZADAS SEAN REMITIDAS HACIA ESA MAGISTRATURA EN HORAS DE LA MAÑANA JUNTO CON LOS CAUSANTES. SEGUN PU 1227 AMPLIACION, A LAS 0815 HORAS DEL 3 DE MARZO DEL CORRIENTE SE PROCEDIO AL TRASLADO DE LOS APREHENDIDOS A SEDE JUDICIAL. SEGUN PU 1245 AMPLIACION, A LAS 1700 HORAS DEL 3 DE MARZO DEL CORRIENTE REGRESA LA COMISIÓN DE LA JUDICATURA, JUNTO CON LOS 2 APREHENDIDOS. DE ACUERDO A LO ORDENADO POR OFICIO SE PROCEDE A LA LIBERACION DE VILLASANTE GUTIERREZ , DEBIENDO QUEDAR EL OTRO APREHENDIDO ALOJADO EN DEPENDENCIA HASTA NUEVAS DIRECTIVAS. SEGUN PU 1271 AMPLIACION, A LAS 1900 HORAS DEL 4 DE MARZO SE DEJA EN LIBERTAD AL SR CACERES DE ACUERDO A LO ORDENADO POR LA JUDICATURA ACTUANTE.</t>
  </si>
  <si>
    <t>LA 2427</t>
  </si>
  <si>
    <t>DR. RAFAEL LEAL</t>
  </si>
  <si>
    <t>CINTAS DE ARRIBOS, PREVIO AL CONTROL ADUANERO</t>
  </si>
  <si>
    <t>SECTOR DE ARRIBO DE EQUIPAJES, ZONA RESTRINGIDA</t>
  </si>
  <si>
    <t>QUE EL DIA 26 ABORDO EL VUELO MENCIONADO EN LA CIUDAD DE MADRID CON DESTINO A SANTIAGO DE CHILE. QUE DEBIDO AL TERREMOTO QUE AZOTO EN DICHO PAIS, SE DERIBO EL VUELO A ESTE MEDIO, LLEGANDO EL DIA 27 DE ENERO DEL AÑO EN CURSO. QUE UNA VEZ ARRIBADA, AL MOMENTO DE DAR CON SU VALIJA, LA MISMA PRESENTABA EL FALTANTE DE SU CANDADO METALICO COLOCADO POR LA DENUNCIANTE. ANTE ESTE HECHO, PROCEDE A LA APERTURA DE LA MISMA, Y SE PERCATA DEL FALTANTE DE VARIAS DE SUS PERTENENCIAS. EN EL DIA DE LA FECHA SE HACE PRESENTE AL ESTE PREVENCION A FIN DE REALIZAR LA PRESENTE.</t>
  </si>
  <si>
    <t>IB 6831</t>
  </si>
  <si>
    <t>1209/10</t>
  </si>
  <si>
    <t>OFICINA DE COMUNICACIONES</t>
  </si>
  <si>
    <t>PUESTO DE INSPECCION PUERTA Nº 1</t>
  </si>
  <si>
    <t>SE PROCEDE A LA APERTURA DE DOS SACAS COLECTORAS DEL CORREO OFICIAL SEGUN CONSTA EN ACTA DE RETENCION DE CARGA Nº 093/10, PERTENECIENTE A LA PREVENCION SUMARIA 019/10, LA PRIMERA IDENTIFICADA CON MARBETE Nº SLA0172864E555600CRD, PRESCINTO Nº B941999, CONTIENE DOS PIEZAS POSTALES IDENTIFICADAS COMO EP657457942AR Y EP698118759AR,LAS CUALES QUEDAN RETENIDAS, LA SEGUNDA IDENTIFICADA CON MARBETE SLA0170800E606000BHI, PRESINTO Nº B941310 CONTIENE UNA PIEZA POSTAL IDENTIFICADA COMO EP701780409AR, LA CUAL ES ENTREGADA AL SR OLARTE PARA SU REDESPACHO POR NO SER DE INTERES, LA RETENCION SE REALIZA ANTE LA PRESUSNCION DE QUE PUDIERAN CONTENER ALGUN ELEMENTO DE INFRACCION A LAS LEYES 22.415 Y/O 23.737. QUEDANDO LAS MISMAS CERRADAS EN GUARDA EN ESTA UOSP, SE COMUNICO TELEFONICAMENTE CON EL JUZGADO INTERVINIENTE Y LA APERTURA SE REALIZARA CON LA AUTORIZACION DEL MAGISTRADO. CON CONOCIMIENTO DEL JUOSP.</t>
  </si>
  <si>
    <t>PLATAFORMA MILITAR AEROPARQUE</t>
  </si>
  <si>
    <t>SIENDO LA HORA ANTES MENCIONADA SE IMPLEMENTA LA ORDEN DE SERVICIO Nº 173/10 DE ESTA UOSP METROPOLITANA SEGUN ORDEN DE SERVICIO Nº 22/10 DEL CEAC SEGUN ORDEN DE SERVICIO Nº 359/10 DE LA URSA I DEL ESTE REFERENTE A CONTROL DE SEGURIDAD AEROPORTUARIA POR PARTIDA DE VUELO PRESIDENCIAL CON DESTINO A LA CIUDAD DE IGUAZU. SIENDO LAS 11:20 HORAS ARRIBA A LA AEROESTACION MILITAR LA SEÑORA PRESIDENTE EN EL HELICOPTERO H-03. SIENDO LAS 11:30 HORAS DESPEGA DE LA JURISDICCION LA PRIMER MANDATARIA EN LA AERONAVE MATRICULA T-01 SIN NOVEDAD.</t>
  </si>
  <si>
    <t>FISCALIA N° 5 DE CORRIENTES</t>
  </si>
  <si>
    <t>VARELA</t>
  </si>
  <si>
    <t>LAURA BEATRIZ</t>
  </si>
  <si>
    <t>EDUARDO FERNANDEZ</t>
  </si>
  <si>
    <t>SUPUESTA INFRACCION AL ARTICULO Nº 164 DEL C.P.P.</t>
  </si>
  <si>
    <t>SIENDO LAS 09:00 HS ME COMUNICO TELEFONICAMENTE CON LA DRA GRACIELA FERNANDEZ CONTARDE, Y POR MANDATO DE ESTA NOS INFORMA QUE LAS ACTUACIONES DE RIGOR TIENEN QUE PASAR A LA ORBITA DE LA JUSTICIA FEDERAL. JUZGADO FEDERAL DE PRIMERA INSTANCIA DE CORRIENTES, JUEZ FEDERAL DR CARLOS SOTO DAVILA. SECRETARIA Nº 2 A CARGO DEL DR FEDERICO GRAU.</t>
  </si>
  <si>
    <t>INFORMO QUE EN EL DIA DE LA FECHA SIENDO LAS 12 DOCE HORAS Y 55 MINUTOS ARRIBA AL AEROPUERTO INTERNACIONAL CATARATAS DEL IGUAZU EL TANGO 01 PROCEDENTE DE LA CIUDAD AUTONOMA DE BUENOS AIRES, CON LA SEÑORA PRESIDENTA DE LA NACION CRISTINA FERNADEZ DE KIRCHNER . SIN NOVEDAD.</t>
  </si>
  <si>
    <t>CIUDAD DE PUERTO IGUAZU - MISIONES</t>
  </si>
  <si>
    <t>BANCO CENTRAL DE LA REPUBLICA ARGENTINA</t>
  </si>
  <si>
    <t>BANCO NACION ARGENTINA SUCURSAL NEUQUEN</t>
  </si>
  <si>
    <t>SE INFORMA QUE SIENDO 12:26 HS LOCAL SE REALIZA CUSTODIA DE CAUDALES EN PLATAFORMA OPERATIVA EN CUMPLIMIENTO A LA ORDEN DE SERVICIO Nº 004/10 PARA BANCO NACION DE LA REPUBLICA ARGENTINA EN VUELO F-28 5 T 20 DE LA ARMADA ARGENTINA FINALIZANDO 13:45 HS SIN NOVEDAD</t>
  </si>
  <si>
    <t>5 T 20</t>
  </si>
  <si>
    <t>1210/10</t>
  </si>
  <si>
    <t>CON FECHA TRES DEL CORRIENTE MES Y AÑO SIENDO LAS OCHO HORAS QUINCE MINUTOS, EN CUMPLIMIENTO A LO ORDENADO POR LA UNIDAD FUNCIONAL DE INSTRUCCION INTERVINIENTES, SE PROCEDIO AL TRASLADO DE LOS APREHENDIDOS HACIA ESA SEDE. PTO.</t>
  </si>
  <si>
    <t>1119/10</t>
  </si>
  <si>
    <t>AVENIDA SENADOR PEREZ 102 DE LA CIUDAD DE SAN SALVADOR DE JUJUY</t>
  </si>
  <si>
    <t>DE ACUERDO A PARTE RESERVADO 1119/10, SE RECEPCIONA OFICIO JUDICIAL Nº 25/10, EXPTE Nº 46/10 DEL DIA 03 DE MARZO DE 2010 DEL JUZGADO FEDERAL Nº 2 DE LA CIUDAD DE JUJUY, CARATULADO EXHORTO DEL SR, JUEZ DEL JUZGADO FEDERAL Nº 1 - BAHIA BLANCA, PCIA DE BUENOS AIRES - MINISTERIO PUBLICO FISCAL S/SOLICITA EN CAUSA Nº 05/07, STRIKER, MARJAVOV, OTERO, GANDOLFO, DICHO OFICIO FACULTA A ESTA UNIDAD OPERACIONAL DEL CONTROL DE NARCOTRAFICOY EL DELITO COMPLEJO DE LA UNIDAD REGIONAL III DEL NORTE, PARA REALIZAR EL ALLANAMIENTO DEL INMUEBLE UBICADO EN AVENIDA SENADOR PEREZ 102 DE LA CIUDAD DE SAN SALVADOR DE JUJUY, ESQUINA CALLE INDEPENDENCIA, EN SUS DEPENDENCIAS PRINCIPALES Y ACCESORIAS, A LLEVAR A CABO DICHO ALLANAMIENTO EN EL DIA DE LA FECHA A PARTIR DE LAS 13:00 HASTA LAS 20:00 HORAS, O EL DIA 4 DE MARZO DE 2010, A PARTIR DE LAS 09:00 HASTA LAS 20:00 HORAS, A LOS FINES DE PROCEDER A LA DETENCION DE ALEJANDRO OSVALDO MARJANOV L.E. Nº 4.260.719, COMO ASI TAMBIEN AL SECUESTRO DE TODA DOCUMENTACION QUE PUEDA TENER RELACION DIRECTA O INDIRECTA CON LA CAUSA PRINCIPAL Nº 05/07, DEL REGISTRO JUZGADO DE EXHORTO, POR EJ. FOTOS, PERIODICOS, CARTAS, ETC.,COMO TAMBIEN SE AUTORIZA A LA DETENCION EN LA VIA PUBLICA DEL CAUSANTE, EL CUAL UNA VES REALIZADA LA DETENCION, SER TRASLADADO AL SERVICIO PENITENCIARIO FEDERAL DE LA CIUDAD DE JUJUY, DICHAS TAREAS SE REALIZAN TAMBIEN BAJO LA ORDEN DE SERVICIO Nº 031/10 DE LA URSA III DEL NORTE.</t>
  </si>
  <si>
    <t>JUZGADO NACIONAL CORRECCIONAL Nº 13</t>
  </si>
  <si>
    <t>SECRETARIA Nº 80</t>
  </si>
  <si>
    <t>Guichandut</t>
  </si>
  <si>
    <t>Patricia Susana</t>
  </si>
  <si>
    <t>DRA. MARCELA MANZIONE</t>
  </si>
  <si>
    <t>SECTOR VEREDA DE PARTIDAS DE LA EMPRESA AEROLINEAS ARGENTINAS/AUSTRAL/LAN.</t>
  </si>
  <si>
    <t>SECTOR VEREDA DE PARTIDAS TERMINAL A</t>
  </si>
  <si>
    <t>SIENDO LA HORA Y LA FECHA ANTES MENCIONADA SE PRESENTA EL DAMNIFICADO EN LA GUARDIA DE PREVENCION PARA INFORMAR QUE EN MOMENTOS EN QUE ARRIBO AL AEROPARQUE METROPOLITANO EN UN VEHICULO JUNTO A SU MUJER Y SUS DOS HIJOS, AL DESCENDER DEL RODADO BAJO TODOS SUS EQUIPAJES AL CABO DE UNOS INSTANTES SE PERCATO DEL FALTANTE DE UNO DE SUS BOLSOS, ANTE ESTA SITUACION SE ACERCO A LA GUARDIA POLICIAL A FIN DE RADICAR LA CORRESPONDIENTE DENUNCIA, Y DEBIDO AL ESTADO NERVIOSO DEL DENUNCIANTE EL MISMO NO RECUERDA EL NUMERO DE VUELO DE LA COMPAÑIA AEREA NI EL HORARIO DE SALIDA DE DICHO VUELO. SE INICIAN LAS ACTUACIONES JUDICIALES DE RIGOR CORRESPONDIENTES.</t>
  </si>
  <si>
    <t>INFORMO QUE SIENDO LAS 16 DIESISEIS HORAS, 10 DIEZ MINUTOS DEL DIA DE LA FECHA DESPEGA TANGO - 01 CON LA SEÑORA PRESIDENTA DE LA NACION CRISTINA FERNANDEZ DE KIRCHNER Y COMITIVA HACIA LA CIUDAD AUTONOMA DE BUENOS AIRES . SIN NOVEDAD.-</t>
  </si>
  <si>
    <t>PUERTO IGUAZU</t>
  </si>
  <si>
    <t>-CIUDAD AUTONOMA DE BUENOS AIRES</t>
  </si>
  <si>
    <t>CONFITERIA DE NOMBRE COMERCIAL I LEGNO</t>
  </si>
  <si>
    <t>QUE LA DENUNCIANTE SE UBICA EN UNA DE LAS MESAS DE LA CITADA CONFITERIA JUNTAMENTE CON SU MARIDO, Y EN MOMENTOS EN QUE SE DISPONIAN A REALIZAR UNA CONSUMISION, LA DENUNCIANTE DEJA APOYADO EN EL SUELO Y A UN COSTADO DE LA SILLA QUE OCUPABA UN BOLSO DE TIPO PORTA NOTEBOOK, CON EFECTOS PERSONALES VARIAS EN SU INTERIOR. QUE TRANSCURRIDOS UNOS MINUTOS Y LUEGO DE REALIZAR LA CONSUMISION RESPECTIVA, Y EN MOMENTOS EN QUE SE DISPONIA A REGOGER SUS PERTENENCIAS, SE PERCATA DEL FALTANTE DE EL CITADO BOLSO</t>
  </si>
  <si>
    <t>JJ 8011</t>
  </si>
  <si>
    <t>SIENDO LA HORA Y LA FECHA SE CUMPLIMENTA LA ORDEN DE SERVICIO Nº 173/10 DE ESTA UOSP METROPOLITANA SEGUN ORDEN DE SERVICIO Nº 22/10 PROCEDENTE DEL CEAC SEGUN MEMORANDO Nº 359/10 PROCEDENTE DE LA URSA I DEL ESTE REFERENTE A CONTROL DE SEGURIDAD AEROPORTUARIA POR ARRIBO DE VUELO PRESIDENCIAL PROCEDENTE DE LA CIUDAD DE IGUAZU. SIENDO LAS 17.35 HORAS ARRIBA A LA AEROESTACION MILITAR LA SEÑORA PRESIDENTE EN LA AERONAVE MATRICULA T-01. SIENDO LAS 17:45 HORAS SE RETIRA DE LA JURISDICCION LA PRIMER MANDATARIA EN EL HELICOPTERO H-03 SIN NOVEDAD.</t>
  </si>
  <si>
    <t>NAC DE 1º INST EN LO CRIMINAL DE INST Nº 3</t>
  </si>
  <si>
    <t>SECRETARIA Nº 110</t>
  </si>
  <si>
    <t>Carvajal</t>
  </si>
  <si>
    <t>DRA. MARIA CECILIA PERZAN</t>
  </si>
  <si>
    <t>MOSTRADORES DEL CHECK IN- CINTA DE EQUIPAJES- PATIO DE VALIJAS.</t>
  </si>
  <si>
    <t>MOSTRADORES DEL CHECK IN DE LA COMPAÑIA AEREA SECTOR PUBLICO HALL A</t>
  </si>
  <si>
    <t>SIENDO LA HORA Y LA FECHA ANTES MENCIONADA SE PRESENTA EN LA GUARDIA DE PREVENCION LA DAMNIFICADA PARA INFORMAR QUE EN MOMENTOS EN QUE DESPACHO EN LOS MOSTRADORES DEL CHECK IN DESPACHO POR BODEGA UN BOLSO CON Nº DE MARBETE AR 12-94-50 A NOMBRE DE SU HIJA. PASADO UNO MINUTOS SE ACUERDA QUE EN EL INTERIOR DE SU EQUIPAJE HABIA OLVIDADO DINERO EN EFECTIVO POR LO QUE DECIDE SOLICITAR EL BOLSO DESPACHADO A LA EMPRESA AEREA Y PASADO UNOS MINUTOS, AL DEVOLVERLE LA COMPAÑIA SU BOLSO, Y AL APERTURARLO SE PERCATA DE QUE EL DINERO YA NO ESTABA EN EL INTERIOR DEL MISMO. DEBIDO A QUE NO QUERIA PERDER SU VUELO DECIDE REALIZAR LA DENUNCIA POLICIAL EL DIA DE LA FECHA. SIENDO LAS 18:35 HORAS SE ENTABLA COMUNICACION TELEFONICA CON LA DRA. PAGANO MATA A QUIEN SE LE INFORMO LO SUCEDIDO DISPONIENDO: SE TOME DECLARACION TESTIMONIAL A TODO EL PERSONAL QUE PARTICIPO EN LA ESTIBA DEL EQUIPAJE. CON EL RESULTADO DE LAS TESTIMONIALES EFECTUAR NUEVA COMUNICACION, SOLICITAR REGISTRO FILMICO.</t>
  </si>
  <si>
    <t>AR 1738</t>
  </si>
  <si>
    <t>GRAU FEDERICO</t>
  </si>
  <si>
    <t>SUPUESTA INFRACCION AL ART. 164 DEL CODIGO PENAL</t>
  </si>
  <si>
    <t>ZONA NOROESTE DEL AEROPUERTO</t>
  </si>
  <si>
    <t>SIENDO LAS 23:20 HORAS SE COMUNICA POR TELEFONO EL SUBOFICIAL ABREGU RESPONSABLE DEL CENTRO DE BUSQUEDA Y SALVAMENTO DE LA F.A.A. QUE ESTA EMPLAZADO DENTRO DE LA JURISDICCION DE ESTA UOSP. QUIEN DENUNCIA VERBALMENTE EL ROBO DE UN JEEP IKA PROPIEDAD DE LA F.A.A. SE SOLICITA VIA TELEFONICA LA COLABORACION DE LA POLICIA CAMINERA YA QUE UNO DE LOS CAMINOS PASA A LA VERA DE DICHO PUESTO POLICIAL . POSTERIORMENTE NOS CONSTITUIMOS AL LUGAR DE DETENCION YA QUE ESTE HABIA SIDO INTERCEPTADO POR LA POLICIA DE LA PROVINCIA EN EL LUGAR CONOCIDO COMO EL AGUILA FUERA DE ESTA JURISDICCION. EL OFICIAL AYUDANTE SERGIO DIAZ DE LA POLICIA DE CORRIENTES QUIEN ESTABA A CARGO INFORMAN QUE ELLOS INSTRUIRIAN EL SUMARIO CORRESPONDIENTE. POSTERIORMENTE SIENDO LAS 00:45 HORAS SE PRESENTA EL OFICIAL PRINCIPAL JOSE DIODATI, DE LA POLICIA MENCIONADA, INFORMANDO QUE LA FISCAL DE TURNO DRA. MONICA G. FERNANDEZ CONTARLE ORDENA QUE LAS ACTUACIONES DE RIGOR LAS REALICE LA P.S.A. SIENDO LAS 03:00 HORAS LUEGO QUE LA POLICIA DE LA PROVINCIA REALIZARA LAS ACTUACIONES DE RIGOR HACE ENTREGA A ESTA UOSP. UNA PERSONA DEMORADA Y UN VEHICULO AUTOMOTOR SECUESTRADA. EL MAGISTRADO ANTES MENCIONADO ORDENA SE TRANSFIERA LO ACTUADO A LOS MAGISTRADOS FEDERALES</t>
  </si>
  <si>
    <t>FUERZA AEREA ARGENTINA</t>
  </si>
  <si>
    <t>DRA. GANGANELLI</t>
  </si>
  <si>
    <t>INFRACCION ARTS. 78 Y 85 DEL DECRETO LEY 8031/73</t>
  </si>
  <si>
    <t>INF. ARTS. 78 Y 85 DEL DECRETO LEY 8031/73</t>
  </si>
  <si>
    <t>SECTOR PERGOLA DE ARRIBOS TERMINAL A</t>
  </si>
  <si>
    <t>QUE EN CIRCUNSTANCIAS EN QUE EL OFICIAL AYUDANTE ZUMPANO CUMPLIA FUNCIONES DE GUARDIA ORDINARIA, EN UNA RECORRIDA QUE EFECTUABA POR EL SECTOR ANTES DESCRITO, OBSERVA A UNA PERSONA DE SEXO MASCULINO QUE OFRECIA SERVICIO DE TRANSPORTE PUBLICO A VIVA VOZ A DIFERENTES PERSONAS RECIEN ARRIBADAS AL PAIS, HABIENDO SIDO PREVIAMENTE Y EN REITERADAS VECES QUE NO PODIA EJERCER DICHA ACTIVIDAD. HACIENDO CASO OMISO A DICHA ADVETRENCIA Y CONTINUANDO CON EL OFRECIMINETO. POR TAL MOTIVO ES CONDUCIDO AL SERVICIO MEDICO DE SANIDAD DE ESTE AEROPUERTO Y PARA LUEGO SER TRASLADADO HACIA LA GUARDIA DE PREVENCION. SE ADJUNTA AMPLIACION PU 1247 AGREGANDO LOS DATOS FILIATORIOS DEL CONTRAVENTOR RODRIGO GASTON ANDRES BUSTAMANTE.</t>
  </si>
  <si>
    <t>EN EL DIA DE LA FECHA A LAS 20:50 HS. ARRIBA A ESTE AEROPUERTO EL TANGO 02. SIENDO LAS 21:15 HS. DESPEGA CON DESTINO AEROPARQUE TRASLADANDO AL SEÑOR MINISTRO DE SALUD DE LA NACION DR. JUAN LUIS MANZUR Y COMITIVA, IMPLEMENTANDO LAS MEDIADAS DE SEGURIDAD PREVENTIVA PERTINENTES SIN NOVEDAD.-</t>
  </si>
  <si>
    <t>SE PROCEDE A LA RETENCION DE CUATRO SACAS COLECTORAS DEL CORREO OFICIAL, SEGUN CONSTA EN ACTA DE RETENCION DE CARGA Nº 098/10, CON PREVENCION Nº 020/10, LA PRIMERA IDENTIFICADA CON MARBETE SLA 0169093E555700RGL, PRECINTO Nº C156687, CON UN PESO DECLARADO 19,7 KGS, CON DESTINO RIO GALLEGOS, LA SEGUNDA IDENTIFICADA CON MARBETE SLA0081187D555900RGA, PRECINTO Nº C156904, CON UN PESO DECLARADO 13 KGS, DESTINO RIO GRANDE, LA TERCERA IDENTIFICADA CON MARBETE SLA0169091E555700RGL, PRECINTO Nº C156909, CON UN PESO DECLARADO 3,1 KGS, DESTINO RIO GALLEGOS, LA CUARTA IDENTIFICADA CON MARBETE SLA0170797E606000BHI, PRECINTO Nº C156696, CON UN PESO DECLARADO 3,1 KGS, CON DESTINO BAHIA BLANCA, AMPARADAS EN GUIA DE CARGA AEREA 9327697-1, LAS QUE IBAN A SER DESPACHADAS A TRAVES DE LA EMPRESA DE CARGA AEREA JET PAQ. LA RETENCION SE REALIZA ANTE LA PRESUNCION DE QUE PUDIERAN CONTENER ALGUN ELEMENTO EN INFRACCION A LAS LEYES 22415 Y/O 23737. QUEDANDO LAS MISMAS CERRADAS Y PRECINTADAS EN GUARDA EN ESTA UOSP, SE COMUNICO TELEFONICAMENTE CON EL JUZGADO INTERVINIENTE, Y LA APERTURA SE REALIZARA EN PRESENCIA DEL PERSONAL DEL CORREO ARGENTINO, CON CONOCIMIENTO DE JEFE DE UOSP.</t>
  </si>
  <si>
    <t>PERGOLA DE ARRIBOS TERMINAL A</t>
  </si>
  <si>
    <t>MOMENTO EN EL QUE EL OFICIAL AYUDANTE ZUMPANO DIEGO REALIZABA UNA RECORRIDA EN PREVENCION Y CONJURACION DE DELITOS Y FALTAS, OBSERVA IN FRAGANTI A UNA PERSONA DE SEXO MASCULINO QUE OFRECIA SERVICIO DE TRANSPORTE PUBLICO A VIVA VOZ A DIFERENTES PERSONAS RECIEN ARRIBADAS AL PAIS. POR TAL MOTIVO Y AL ENCONTRARSE INFRINGIENDO LO NORMADO EN EL CODIGO DE FALTAS, ES CONDUCIDO AL SERVICIO MEDICO DE SANIDAD DE ESTE AEROPUERTO, PARA LUEGO SER TRASLADADO AL TURNO DE CONTRAVENCIONES Y FALTAS A LOS EFECTOS DE LABRAR LAS CORRESPONDIENTES ACTUACIONES.</t>
  </si>
  <si>
    <t>SIENDO LAS DIECISIETE HORAS DEL DIA 03 DEL CORRIENTE MES Y AÑO REGRESA LA COMISION DE LA JUDICATURA INTERVINIENTES, TRAYENDO LOS APREHENDIDOS DE AUTOS. JUNTAMENTE CON OFICIO JUDICIAL DISPONIENDO LA LIBERTAD DE VILLASANTE GUTIERREZ, LA CUAL CUMPLIMENTADAS LAS DILIGENCIAS ORDENADAS SE EFECTIVIZA DESDE ESTA DEPENDENCIA A LAS DIECINUEVE HORAS DEL MISMO DIA. EN TANTO DE ACUERDO A LO ORDENADO TELEFONICAMENTE POR EL AGENTE FISCAL, EL SR. CARLOS ANTONIO CACERES ESPINA DEBERA PERMANECER APREHENDIDO EN ESTA DEPENDECIA HASTA EL DIA CUATRO DEL CORRIENTE MES Y AÑO, MOMENTO EN EL CUAL SE RECIBIRAN NUEVAS DIRECTIVAS</t>
  </si>
  <si>
    <t>AVERIGUACION CONTENIDO DE SACA</t>
  </si>
  <si>
    <t>EN EL DIA DE LA FECHA REALIZANDO CONTROL DEL CORREO PARA EL VUELO MENCIONADO EL JEFE DE TURNO OF. MY ROMERO RICARDO Y EL SUPERVISOR OF. JEFE VALDEZ DARIO OBSERVAN EN LA PANTALLA DE RAYOS X OBJETOS RECTANGULARES CON APARIENCIA ORGANICA SEGUIDAMENTE LAS SACAS SON INSPECCIONADA POR EL CAN AXEL A CARGO DEL GUIA OF. MY ESCOBAR VICTOR EL CUAL INDICA ALERTA POSITIVO PARA LA PRESENCIA DE SUSTANCIAS ESTUPEFACIENTES. POR LO QUE SE ESTARIA ANTE LA PRESENCIA PRESUMIBLE DE SUSTANCIAS ESTUPEFACIENTES.SE INFORMA DEL PROCEDIMIENTO AL JUZGADO FEDERAL DE RESISTENCIA SIENDO ATENDIDO POR EL DR. BENINATI QUIEN ORDENA LA INTERDICCION Y LA SOLICITUD DE APERTURA PARA EL DIA 04 DE MARZO DE 2010. PERMANECIENDO LA SACA EN CUSTODIA EN ESTA UOSP DE ACUERDO A LO ORDENADO POR SU SEÑORIA.</t>
  </si>
  <si>
    <t>1240/10</t>
  </si>
  <si>
    <t>INF. ARTS. 78 Y 85 DEL DECRETO LEY 8031/10</t>
  </si>
  <si>
    <t>SE AMPLIA EL PRESENTE PARTE A LOS EFECTOS DE AGREGAR LOS DATOS FILIATORIOS DEL IMPUTADO RODRIGO GASTON ANDRES BUSTAMANTE.</t>
  </si>
  <si>
    <t>SE AMPLIA PARTE N° 1228, DE ACUERDO A LAS TAREAS INVESTIGATIVAS REALIZADAS EN AUTOS SE PUDO CONFIRMAR QUE EN EL DOMICILIO SITO EN SENADOR PEREZ N° 102 DE LA CIUDAD DE SAN SALVADOR DE JUJUY, NO SE ENCUENTRA NINGUNA PERSONA. POR TAL MOTIVO SE PROCEDE A CHEQUEAR EN LAS EMPRESAS DE TRANSPORTE DE PASAJEROS, TERRESTRES Y AEREAS, SI EL CIUDADANO ALEJANDRO MARJANOV HABRIA UTILIZADO ALGUNA DE LAS MISMAS, RESPONDIENDO LA DRICA DEL NORTE QUE EL MISMO HABRIA VIAJADO JUNTO A UNA PERSONA DE SEXO FEMENINO HACIA BS. AS. POR EL AEROPUERTO DE JUJUY EN LA EMPRESA AEROLINEAS ARGENTINAS EL DIA 03-MAR-10 Y QUE TENDRIA CONEXION A BAHIA BLANCA EL DIA 06-MAR-10, EN VUELO N° 1642 A HS. 06:50 DE LA MISMA EMPRESA AEREA. POR LO QUE SE PROCEDIO A INFORMAR DE LA NOVEDAD SURGIDA AL SECRETARIO DE DERECHOS HUMANOS DE JUJUY DR. GONZALEZ DE PRADA, QUIEN LUEGO DE COMUNICARSE TELEFONICAMENTE CON EL SR. JUEZ FEDERAL N° 2 DE JUJUY, ORDENA PERMANECER A LA ESPERA DE LAS COORDINACIONES QUE REALIZARA CON EL SECRETARIO DE DERECHOS HUMANOS DE BAHIA BLANCA DR. MORENO FERNANDEZ EL DIA 04-MAR-10 .</t>
  </si>
  <si>
    <t>1242/10</t>
  </si>
  <si>
    <t>TURNO POLICIAL PREVENTIVA</t>
  </si>
  <si>
    <t>SE PROCEDE A LA APERTURA DE CUATRO SACAS COLECTORAS DEL CORREO OFICIAL, PERTENECIENTE A LA PREV. SUM. Nº 020/10, ACTA DE RETENCION Nº 098/10, EN PRESENCIA DE UN TESTIGO HABIL MEDIDA COORDINADA PREVIAMENTE CON EL JUZGADO DE TURNO. LA 1ª SACA SLA 0169093E555700RGL, PRECINTO Nº C15687, CONTIENE CINCO PIEZAS POSTALES: LA 1ª IDENTIFICADA COMO EP684829665AR, LA 2ª EP702482327AR, LA 3ª EP669752377AR, SON ENTREGADAS PARA SU POSTERIOR REESDESPACHO, LA 4ª EP684829626AR Y LA 5ª EP702482313AR QUEDAN RETENIDAS. LA 2ª SACA COLECTORA MARBETE SLA0081187D555900RGA, PRECINTO Nº C156904, CONTIENE UNA PIEZA POSTAL IDENTIFICADA COMO EP666289669AR LA CUAL QUEDA RETENIDA. LA 3ª SACA COLECTORA :MARBETE SLA0169091E555700RGL, PRECINTO Nº C156909, CONTIENE UNA PIEZA POSTAL EP701780426AR LA CUAL QUEDA RETENIDA. LA 4ª SACA COLECTORA SLA0170797E606000BHI, PRECINTO Nº C156696, CONTIENE UNA PIEZA POSTAL EP701780409AR LA CUAL QUEDA RETENIDA. LAS ENCOMIENDAS RETENIDAS QUEDAN EN DEPOSITO JUDICIAL DE ESTA UNIDAD A LA ESPERA DEL OFICIO QUE AUTORICE SU APERTURA. CON CONOCIMIENTO DEL JUOSP.</t>
  </si>
  <si>
    <t>BUTELER DE BARROS, MARIANA</t>
  </si>
  <si>
    <t>RETENCION DE ARMAMENTO CARAT. INT. 11/10.</t>
  </si>
  <si>
    <t>RENAR</t>
  </si>
  <si>
    <t>SALA DE REQUISA DE ARMAMENTO, CONECTOR DE PARTIDAS.</t>
  </si>
  <si>
    <t>SIENDO LAS 06:45 HORAS DEL DIA DE LA FECHA, EL OFICIAL ACTUANTE JUNTO AL RESPONSABLE DEL TURNO DEL RENAR CORDOBA, SR. LEONARDO MONTOYA ARIAS, PROCEDEN A CONTROLAR LA DOCUMENTACION DEL ARMAMENTO DESPACHADO POR EL CAUSANTE ENTREGANDO ÉSTE UNA COPIA EMITIDA POR EL MINISTERIO DEL INTERIOR, DIRECCION GENERAL DE LA GUARDIA CIVIL, INTERVENCION CENTRAL DE ARMAS Y UNA AUTORIZACION DE TRANSPORTE AEREO DE ARMAS HACIA EL EXTRANJERO Y UNA GUIA DE PERTENENCIA DE ARMAS TIPO D. EL CAUSANTE MANIFIESTA QUE ES LA UNICA DOCUMENTACION QUE POSEE NO CONTANDO CON LA QUE EXIGE LA LEGISLACION ARGENTINA. SIENDO LAS 07:20 HORAS EL JEFE DE TURNO PONE EN CONOCIMIENTO DE LA SITUACION A LA SECRETARIA DEL JUZGADO FEDERAL Nº 3, QUIEN DISPONE QUE SE LABRE EL ACTA CORRESPONDIENTE, SE PROCEDA A LA RETENCION DEL ARMAMENTO, QUE EL CAUSANTE FIJE DOMICILIO Y QUE CONTINUE CON SU VIAJE HACIA AEROPARQUE Y POSTERIOR CONEXION A MADRID Y MALAGA POR AIR EUROPA.</t>
  </si>
  <si>
    <t>FRENTE AL ESTADIO DE FUTBOL DEL CLUR BOCA JUNIORS</t>
  </si>
  <si>
    <t>QUE EN MOMENTOS QUE EL DENUNCIANTE SE ENCONTRABA CIRCULANDO POR UNA DE LAS CALLES QUE SE ENCUENTRA LINDANTES AL ESTADIO DE FUTBOL DEL CLUB BOCA JUNIORS, SIN PODER PRECISAR CUAL ES EXACTAMENTE, SE LE ACERCAN TRES MASCULINOS JOVENES, UNA DE LOS CUALES PORTABA UN ARMA DE FUEGO, CON LA CUAL APUNTA AL DENUNCIANTE, MIENTRAS QUE OTRO LE QUITA LA CAMARA DIGITAL, QUE EL MISMOS PORTABA Y LUEGO LE EXTRAE DE UNOS DE LOS BOLSILLOS UNA BILLETERA DE CUERO DE COLOR MARRON</t>
  </si>
  <si>
    <t>DE ACUERDO A PARTE RESERVADO Nº 1248/10, EL DIA 04 DE MARZO DE 2010, SE RECEPCIONA OFICIO JUDICIAL Nº 28/10 DEL JUZGADO FEDERAL Nº 2 DE LA CIUDAD JUJUY, CARATULADO EXHORTO DEL SR. JUEZ DEL JUZGADO FEDERAL Nº 1 - BAHIA BLANCA, PCIA DE BUENOS AIRES - MINISTERIO PUBLICO FISCAL S/SOLICITA EN CAUSA Nº 05/07, STRIKER, MARJANOV, OTERO, GANDOLFO, EN DICHO OFICIO SE HA DISPUESTO LIBRAR EL PRESENTE A FIN DE HACERLE SABER A ESTA UNIDAD OPERACIONAL DEL CONTROL DE NARCOTRAFICO Y EL DELITO COMPLEJO DE LA UNIDAD REGIONAL III DEL NORTE, QUE POR RESOLUCION DICTADA POR ESTE TRIBUNAL EN CAUSA DE REFERENCIA, SE DEJO SIN EFECTO LA ORDEN DE ALLANAMIENTO DISPUESTA RESPECTO DEL INMUEBLE UBICADO EN AVENIDA SENADOR PEREZ Nº 102 DE LA CIUDAD DE JUJUY, ESQUINA CALLE INDEPENDENCIA, LA QUE FUERA LIBRADA EN OFICIO Nº 25/10DE FECHA 3 DE MARZO DE 2010, DICHAS TAREAS SE REALIZABAN TAMBIEN BAJO ORDEN DE SERVICIO Nº 031/10 DE LA URSA III DEL NORTE.</t>
  </si>
  <si>
    <t>JUZGADO FEDERAL DE PRIMERA INSTANCIA DE LA CIUDAD DE EL DORADO MNES IGUAZU</t>
  </si>
  <si>
    <t>INFORMO QUE EL DIA 03 DE MARZO DEL 2010 SE DILIGENCIO EN COMISION AL INSPECTOR GALEANO A.ANDRES HASTA LOS ESTRADOS DEL JUZGADO FEDERAL DE PRIMERA INSTANCIA DE LA CIUDAD DE ELDORADO MISIONES EN CUMPLIMIENTO AL OFICIO NRO 165/2010. PARA RECIBIR UN PAQUETE CONTENIENDO ESTUPEFACIENTE COCAINA, EL CUAL ARROJA UN PESO TOTAL DE CIENTO CUARENTA -140- GRAMOS, SUSTANCIA QUE DEBERA SER DESTINADA AL ADIESTRAMIENTO DE CANES.</t>
  </si>
  <si>
    <t>CALLE LA RIOJA 443 DE LA LOCALIDAD DE OLIVA, PROVINCIA DE CORDOBA. CALLE TILCARA S/N VILLA LIBERTADOR, CIUDAD DE CORDOBA, PROVINCIA DE CORDOBA.</t>
  </si>
  <si>
    <t>SIENDO EL DIA 4 DE MARZO DEL CORRIENTE AÑO SE RECEPCIONO POR PARTE DEL JUZGADO FEDERAL Nº 3 A CARGO DEL DR. ALEJANDRO SANCHEZ FREYTES SUBROGANTE, SECRETARIA PENAL A CARGO DE LA DRA. MIRTA RUBIN, EXHORTO DIRECCIONADO AL JUZGADO FEDERAL DE VILLA MARIA DONDE SE SOLICITA QUE AUTORIZE LA REALIZACION DE TAREAS INVESTIGATIVAS POR PARTE DE LA POLICIA DE SEGURIDAD AEROPORTUARIA EN EL AMBITO DE SU JURISDICCION CON LA FINALIDAD DE ESTABLECER SI EN EL DOMICILIO SITA EN CALLE LA RIOJA 443 DE LA LOCALIDAD DE OLIVA SE ENCONTRARIA VIVIENDO EL SR. JOSE FILIBERTO OLIVIERI. AMPLIANDO PARRAFO ANTERIOR TAMBIEN SE RECEPCIONO OFICIO DEL MISMO JUZGADO ORDENANDO LA REALIZACION DE TAREAS INVESTIGATIVAS EN LA CIUDAD DE CORDOBA CON LA FINALIDAD DE DETERMINAR SI EN EL DOMICILIO TILCARA S/N SE VILLA LIBERTADOR, CORDOBA, SE ENCONTRARIA VIVIENDO EL SR. JOSE VICENTE WORONA. SE ADJUNTA POR CUERDAS SEPARADAS SOBRE CERRADO CONTENIENDO COPIA DE OFICIO Y EXHORTO.</t>
  </si>
  <si>
    <t>SECRETARIA PENAL B</t>
  </si>
  <si>
    <t>MARCELO GARNICA</t>
  </si>
  <si>
    <t>AVERIGUACION HURTO</t>
  </si>
  <si>
    <t>LOCAL DE VENTA DE CUEROS Y REGIONALES</t>
  </si>
  <si>
    <t>2° PISO - SECTOR PUBLICO - AEROPUERTO DE CORDOBA</t>
  </si>
  <si>
    <t>SIENDO LAS 13:35 HORAS SE PRESENTA EN LA GUARDIA DE PREVENCION DE ESTA UNIDAD OPERACIONAL UNA PERSONA A RADICAR DENUNCIA, POR UN HECHO QUE HABRIA OCURRIDO EN EL AEROPUERTO DE CORDOBA, EN EL LOCAL DE VENTAS DE ARTICULOS DE CUERO Y REGIONALES, UBICADO EN EL PRIMER PISO DE ESA AEROESTACION, EN MOMENTOS EN QUE EL DENUNCIANTE SE ENCONTRABA JUNTO A SU ESPOSA Y EN UN MOMENTO DE DESCUIDO ENTABLA CONVERSACION CON UN TERCERO Y PIERDEN DE VISTA SUS PERTENENCIAS Y AL VOLVER A BUSCARLAS SE PERCATAN DE LA FALTA DE UNO DE SUS BULTOS, POR ESTE MOTIVO EL DENUNCIANTE LE DIO LA NOVEDAD AL PERSONAL DE LA PSA EN ESE AEROPUERTO Y LE DIJO QUE POR FALTA DE TIEMPO Y PARA NO PERDER EL VUELO IBA A RADICAR LA CORRESPONDIENTE DENUNCIA EN EL AEROPUERTO DE MENDOZA, POR ESTE MOTIVO Y UNA VEZ ATERRIZADO EL VUELO EN ESTA PROVINCIA EL DENUNCIANTE SE APERSONA HASTA LA GUARDIA DE ESTA UOSP, A PLASMAR LA DENUNCIA DEL HECHO, UN INSTANTE DESPUES SE REALIZA COMUNICACION CON LA AUTORIDAD JUDICIAL EN TURNO Y SE ENTABLA COMUNICACION TELEFONICA CON EL SEÑOR SECRETARIO PENAL AQUIEN SE LE INFORMA DE LOS HECHOS OCURRIDOS Y QUIEN DISPONE QUE: 1° SE RECIBA LA CORRESPONDIENTE DENUNCIA, 2° SE ELEVEN LAS ACTUACIONES UNA VEZ FINALIZADAS, DANDO ESTRICTO CUMPLIMIENTO DE LAS MEDIDAS DISPUESTAS.</t>
  </si>
  <si>
    <t>AR 1418</t>
  </si>
  <si>
    <t>n/c</t>
  </si>
  <si>
    <t>sector nº 5 de la plataforma comercial</t>
  </si>
  <si>
    <t>EN EL DIA DE LA FECHA Y SIENDO LAS 15:24 HORAS ARRIBA LA AERONAVE MATRICULA LV-JPZ DE LA EMPRESA CEDMA SRL, PROCEDENTE DE LA CIUDAD DE RIO GALLEGOS TRANSPORTANDO MERCANCIAS PELIGROSAS -EXPLOSIVOS- LAS CUALES A CONTINUACION SE DETALLAN: 25 BULTOS CONTENIENDO 1225 CARGA HUECA// TC 47HP -RENAR Nº C 0098 25-, 2 BULTOS CONTENIENDO 100 REFORZ. HMX BOOSTER P3 HMX -RENAR Nº C1C3 0027 02-, 1 BULTO CONTENIENDO ROLLO DETOCORD A-571017-80 HMX NYLON LS 1.45- RENAR Nº A2-6270-01- MERCADERIA AMPARADA POR GUIA DE REMOVIDO Nº 143, DE FECHA 04/03/10 CONSIGNADA A GEOLOG S.A.- RIO GRANDE -T.F.- DICHA CARGA CONSTA DE 28 BULTOS, LOS CUALES REGISTRAN UN PESO BRUTO DE 600 KG, Y FUE RETIRADA POR LOS SRES. ORLANDO RAFAEL OLIVERA DNI Nº 21.666.511 Y JUAN ANGEL GONZALEZ CAMPOS DNI Nº 21.310.061 EN EL VEHICULO MARCA FORD MODELO F-4000 D DOMINIO GDC-828 DE LA EMPRESA GEOLOG S.A. DICHO PROCEDIMIENTO FINALIZO SIN NOVEDAD.</t>
  </si>
  <si>
    <t>LV-JPZ</t>
  </si>
  <si>
    <t>PUNTO AISLADO DE ESTACIONAMINETO DE AERONAVES- CALLE DE RODAJE SECTOR CABECERA 25</t>
  </si>
  <si>
    <t>ACCESO HANGARES</t>
  </si>
  <si>
    <t>SE INFORMA QUE SIENDO LAS 14:15 HS SE PRODUCE EL EMBARQUE DE MERCANCIA PELIGROSAS COMPUESTO DE 28 BULTOS, SEGUN DETALLE: 25 BULTOS CONTENIENDO 1250 CARGA HUECA TC 47 HP RENAR Nº C5 009825, 02 BULTOS CONTENIENDO 100 REFOR. HMX BOOS TER P3 HMX RENAR Nº IC 3 0027 02 Y 01 BULTO DE ROLLO DETOCORD A -571017-80 HMX NYLON IS 1.45 8 RENAR Nº A 2-6270-01, MERCADERIA AMPARADA REMITO Nº 0002-000069 GEOLOG S.A.</t>
  </si>
  <si>
    <t>ROZANSKI</t>
  </si>
  <si>
    <t>CARLOS ALBERTO</t>
  </si>
  <si>
    <t>DRA. ANALIA GONZALEZ</t>
  </si>
  <si>
    <t>RAMIREZ DA SILVA, MARI S/INFRACCION LEY 23.737</t>
  </si>
  <si>
    <t>2728/08</t>
  </si>
  <si>
    <t>PORTON Nº 9D</t>
  </si>
  <si>
    <t>EN EL DIA DE LA FECHA SIENDO APROX. LAS 13:45 SE PROCEDE A TRASLADAR DESDE LA BOVEDAD UBICADA EN EL ASIENTO DE ESTA UNIDAD OPERACIONAL HASTA LA PLANTA DE DRACONIS S.A. UBICADA EN EL PERIMETRO DEL AEROPUERTO JUNTO A PERSONAL POLICIAL Y LOS TESTIGOS INTERVINIENTES UNA CAJA DE CARTON CON LA INSCRIPCION J CONTENIENDO CUATRO PAQUETES CON UNA SUSTANCIA COMPACTA DE COLOR MARRON Y CUATRO CAÑOS ESTRUCTURALES. SE PROCEDE A EXTRAER UNA MUESTRA DE CADA CAÑO PARA EL TRIBUNAL INTERVINIENTE, CUYO PESO TOTAL ES DE 5,5 KILOGRAMOS. SEGUIDAMENTE SE COLOCA LA CAJA CONTENIENDO TODOS LOS ELEMENTOS DENTRO DEL HORNO PARA SER INCINERADOS COMO LO ORDENARA EL TRIBUNAL.</t>
  </si>
  <si>
    <t>SIENDO LA HORA ANTES MENCIONADA SE IMPLEMENTA ORDEN DE SERVICIO Nº 142/10 - FAX PROCEDENTE DE LA URSA I DEL ESTE- Y ORDEN DE SERVICIO Nº 178/10 DE ESTA UOSP METROPOLITANA, CON MOTIVO DE BRINDAR SEGURIDAD POR LA PARTIDA DE LA SEÑORA PRESIDENTE DE LA NACION A LA CIUDAD DE EL CALAFATE. SIENDO LAS 17:30 HORAS ARRIBA A ESTE AEROPUERTO METROPOLITANO LA MANDATARIA, EN HELICOPTERO MATRICULA H-03, PARTIENDO A LAS 17:45 HORAS EN AERONAVE MATRICULA T-01. SIENDO LAS 17:50 HORAS, FINALIZA EL OPERATIVO SIN NOVEDAD.</t>
  </si>
  <si>
    <t>DRA. GARRIDO</t>
  </si>
  <si>
    <t>DENTRO DEL AEROPUERTO, A CIEN METROS APROXIMADAMENTE, DEL INGRESO DENOMINADO TAQUILLA, FRENTE A LA ESTACION DE SERVICIO PETROBRAS. MANO HACIA EL AEROPUERTO</t>
  </si>
  <si>
    <t>SIENDO LA HORA INDICADA SE RECIBE EN ESTA GUARDIA DE PREVENCION COMINUCACION VIA RADIAL POR PARTE DEL PUESTO TAQUILLA, EN LA QUE INFORMA QUE A APROXIMADAMENTE CIEN METROS DEL MISMO, SE HABIA PRODUCIDO UNA COLISION ENTRE DOS VEHICULOS, ANTE TAL NOVEDAD EL OFICIAL PICONE, SE DIRIGE AL SECTOR OBSERVANDO ESTACIONADO SOBRE LA CALLE UN CAMION CON ACOPLADO Y RESTOS DE VIDRIOS EN EL SUELO, SIN OBSERVARSE LA PRESENCIA DE OTRO VEHICULO EN EL SECTOR, QUE PARECIERA ESTAR VINCULADO AL SINIESTRO. QUE UNA VEZ QUE EL OFICIAL PICONE SE ENTREVISTA CON EL CONDUCTOR DEL CAMION, ESTE LE MANIFIESTA QUE HABIA COLICIONADO CONTRA UN VEHICULO FIAT UNO Y LA CONDUCTORA DEL MISMO HABIA SIDO TRASLADADA EN AMBULANCIA AL SERVICIO DE SANIDAD. POR TAL MOTIVO EL OFICIAL PICONE COMISIONA PERSONAL POLICIAL A SANIDAD EN DONDE SE PONEN EN CONTACTO CON LA DAMNIFICADA QUIEN MANIFIESTA QUE ELLA INGRESABA AL AEROPUERTO EN SU VEHICULO PARTICULAR MARCA FIAT MODELO UNO Y QUE EN ESE MOMENTO EL CAMION LA ENCERRO COLICIONANDO CON SU VEHICULO Y PRODUCIENDOLE LAS LESIONES EN CUESTION, ENTREVISTADO EL PERSONAL POLICIAL CON LOS FACULTATIVOS DEL SERVICIO DE SANIDAD MANIFIESTAN QUE LA DAMNIFICADA PRESENTABA TRAUMATISMOS VARIOS QUE NO REVESTIAN GRAVEDAD. QUE SIENDO LAS DIECISIETE HORAS LA DAMNIFICADA SE HACE PRESENTE EN ESTA GUARDIA POR SUS PROPIOS MEDIOS Y RADICA FORMAL DENUNCIA. QUE ANOTICIADO EL JUZGADO INTERVINIENTE DISPONE SE IMPUTE AL CONDUCTOR DEL CAMION EN LA PRESENTE CAUSA, SE LE REALICE EXTRACCION DE SANGRE PARA SU POSTERIOR PERICIA Y UNA VEZ FINALIZADAS LAS ACTUACIONES DE RIGOR EL MISMO SE RETIRE DE ESTA DEPENDENCIA POR SUS PROPIOS MEDIOS.</t>
  </si>
  <si>
    <t>1245/10</t>
  </si>
  <si>
    <t>SIENDO LAS DIECINUEVE HORAS DEL DIA 04 DEL CORRIENTE MES Y AÑO EL SR. CARLOS ANTONIO CACERES ESPINA ES PUESTO EN LIBERTAD POR ORDEN DEL JUZGADO INTERVINIENTE, RETIRANDOSE EL ENCARTADO DE ESTA DEPENDENCIA POR SUS PROPIOS MEDIOS.</t>
  </si>
  <si>
    <t>INF. ART. 78 Y 85 DECRETO LEY 8031/73</t>
  </si>
  <si>
    <t>PERGOLA DOS DE PARTIDAS DE LA TERMINAL A</t>
  </si>
  <si>
    <t>QUE EN CIRCUNSTANCIAS EN QUE PERSONAL POLICIAL SE ENCONTRABA EN UNA RECORRIDA POR EL SECTOR ANTES DESCRIPTO ES INFORMADO POR PERSONAL DEL CENTRO OPERATIVO DE CONTROL QUE EN DICHO SECTOR SE ENCONTRABA UN MASCULINO QUE SE ACERCABA A LOS PASAJEROS QUE TRANSITABAN POR EL LUGAR INSISTENTEMENTE. POR TAL MOTIVO EL OFICIAL AYUDANTE ENRIQUEZ SE ACERCA AL INDIVIDUO CONSTATANDO DICHO OFRECIMIENTO INFORMANDOLE Y EN REITERADAS OPORTUNIDADES QUE NO PODIA EJERCER DICHA ACTIVIDAD. ACTO SEGUIDO ES CONDUCIDO A LA REVISION MEDICA Y LUEGO HACIA ESTE TURNO DE PREVENCION A EFECTOS DE REALIZAR LAS ACTUACIONES CORRESPONDIENTES.</t>
  </si>
  <si>
    <t>FISCALIA PENAL DE INSTRUCCION DE LA Xª NOMINACION</t>
  </si>
  <si>
    <t>Herrera</t>
  </si>
  <si>
    <t>Guillermo Segundo</t>
  </si>
  <si>
    <t>LUCAS DAVIO</t>
  </si>
  <si>
    <t>AUTORES DESCONOCIDOS S/HURTO</t>
  </si>
  <si>
    <t>BAR GIANNI VICTORIO</t>
  </si>
  <si>
    <t>HALL PUBLICO CENTRAL</t>
  </si>
  <si>
    <t>EN EL DIA DE LA FECHA A HORAS 20:40 SE PRESENTA EL SR. JORGE ERNESTO CARRILLO PARA RADICAR DENUNCIA POR EL HURTO DE UN MALETIN. MANIFESTANDO QUE CON MOTIVO DE LA DEMORA DEL VUELO DE AEROLINEAS ARGENTINA PROCEDENTE DE LA CIUDAD DE BS. AS. SE DIRIGIO JUNTO A UNOS AMIGOS AL BAR DE ESTE AEROPUERTO, LLEVANDO CONSIGO UN MALETIN DE SU PROPIEDAD, AL MOMENTO DE ABONAR LA CONSUMICION SE PERCATA QUE SU MALETIN QUE LO HABIA APOYADO SOBRE UN BANCO DE ESPERA NO SE ENCONTRABA, PERO SI HABIA OTRO DE SIMILARES CARACTERISTICAS EN ESE MISMO LUGAR. INMEDIATAMENTE TOMADO CONOCIMIENTO DEL HECHO SE REALIZO UNA PATRULLA Y BUSQUEDA POR LOS SECTORES DE PLAYA DE ESTACIONAMIENTO, BAÑOS PUBLICOS, HALL CENTRAL RESULTANDO ESTO NEGATIVO. SE DA INTERVENCION AL JUZGADO DE TURNO QUIEN ORDENO SE REALICEN LAS ACTUACIONES CORRESPONDIENTES PARA SU POSTERIOR ELEVACION.</t>
  </si>
  <si>
    <t>SE CONFECCIONA EL PRESENTE A LOS FINES DE INFORMAR QUE SIENDO LA HORA 21:15 ARRIBA ACFT PRESIDENCIAL BOEING 757 T-01, PROCEDENTE DE LA CIUDAD DE EL CALAFATE - PROV DE SANTA CRUZ, SOLO CON LA TRIPULACION, SIN NOVEDAD. ASIMISMO SE INFORMA QUE LA MENCIONADA PERNOCTARA EN ESTE AEROPUERTO HASTA NUEVA ORDEN</t>
  </si>
  <si>
    <t>EN DIA 04 DEL CORRIENTE ARRIBA EN ESTE AEROPUERTO T-01 CON LA SRA. PRESIDENTA DE LA NACION, EL EX-PRESIDENTE DE LA NACION Y COMITIVA S/N.DESPEGANDO LA MISMA CON TRIPULACION HACIA LA CIUDAD DE RIO GALLEGOS S/N</t>
  </si>
  <si>
    <t>ciudad de buenos aires</t>
  </si>
  <si>
    <t>QUE EL DIA DE LA FECHA SIENDO LA HORA MENCIONADA SE HACE PRESENTE LA DENUNCIANTE A LOS EFECTOS DE DEJAR CONSTANCIA DEL EXTRAVIO DE SU PERMISO PERSONAL DE SEGURIDAD AEROPORTUARIO. NO RECORDANDO EL LUGAR EXACTO DEL EXTRAVIO.</t>
  </si>
  <si>
    <t>DR JUAN CRUZ PEDRO GARCIA</t>
  </si>
  <si>
    <t>FALSIFICACION DOCUMENTOS EN GENERAL</t>
  </si>
  <si>
    <t>INFORMO NOTIFICO AL CAUSANTE DEBE COMPARECER A SEDE TRIBUNALICA EN EL TERMINO DE CINCO DIAS HABILES DE LABRADA LA NOTIFICACION</t>
  </si>
  <si>
    <t>DR. HORACIO MARIO ARGUELLO</t>
  </si>
  <si>
    <t>SECTOR ESTE, DONDE SE BIFURCA EL CANAL DE RIEGO E INGRESA AL AEROPUERTO DESDE ESE PUNTO 40 METROS APROXIMADAMENTE HACIA EL SUR.</t>
  </si>
  <si>
    <t>A HORAS 11:30 SE PRESENTA EL SR. ACOSTA LUIS MARCELO, EMPLEADO DE A.A. 2000, A RADICAR LA DENUNCIA POR ROBO DE CERCA PERIMETRAL POR LA CANTIDAD DE 3,5 METROS APROXIMADAMENTE, OCURRIDO EN EL DIA DE LA FECHA EN EL SECTOR ESTE DE ESTA AEROESTACION, LUGAR DONDE SE BIFURCA EL CANAL DE RIEGO COLINDANTE A ESTE AEROPUERTO E INGRESA AL MISMO, DESDE ESE PUNTO A UNOS 40 METROS APROXIMADAMENTE AL SUR SE HALLA EL FALTANTE DENUNCIADO. SE REALIZO EN EL LUGAR UN RASTRILAJE EN BUSCA DE INDICIOS QUE AYUDARAN A DILUCIDAR EL HECHO, ARROJANDO RESULTADO NEGATIVO. SE REALIZA COMUNICACION TELEFONICA CON EL JUZGADO DE TURNO ORDENANDO REALIZAR LAS ACTUACIONES DE RIGOR Y SER ELEVADAS CON POSTERIORIDAD.</t>
  </si>
  <si>
    <t>486/10</t>
  </si>
  <si>
    <t>SOLICITUD DE APERTURA DE ENCOMIENDA</t>
  </si>
  <si>
    <t>062/10</t>
  </si>
  <si>
    <t>SE PROCEDE A LA APERTURA DE DOS ENCOMIENDAS DEL CORREO OFICIAL RETENIDAS EL 27/01/10 INFORMADAS EN PU 482/10, EN VIRTUD DE LO ORDENADO MEDIANTE OFICIO JUDICIAL S/N, DEL MAGISTRADO ACTUANTE Y EN PRESENCIA DE UN TESTIGO HABIL. LA 1ª EP697950529AR, RTTE. SR. JORGE DANIEL REINAGA,CALLE PASAJE CATAMARCAS/Nº, BARRIO LIBERTAD, GRAL.ENRIQUE MOSCON, CP.4562 Y DEST. SR. CARLOS ROBERTOS REINAGA / CLAUDIA ARESSI, NEUQUEN CAPITAL,CP. 8300, CONTIENE:4 PAQUETES DE HOJAS DE COCA CON UN PESO TOTAL 943 GRS. LA 2ª EP 049148245AR, RTTE, SR. JUAN LORENZA, VILLA RALLE S/Nº PICHANAL, CP. 2679, CORDOBA , CONTIENE : 5 PAQUETES DE HOJAS DE COCA UN PESO TOTAL DE 2486 GRS. LAS ENCOMIENDAS SERAN PUESTAS A DISPOSICION DE LA ADUANA DE SALTA POR SUSP.INFRACCION A LA LEY 22.415, CODIGO ADUANERO Y LAS ACTUACCIONES REMITIDAS A SEDE JUDICIAL. CON CONOCIMIENTO DEL JUOSP.</t>
  </si>
  <si>
    <t>556/10</t>
  </si>
  <si>
    <t>POLICIA DE SEGURIDAD AEROPORTUARIA SOLICITA APERTURA DE ENCOMIENDA</t>
  </si>
  <si>
    <t>067/10</t>
  </si>
  <si>
    <t>SE PROCEDE A LA APERTURA DE DOS ENCOMIENDAS DEL CORREO OFICIAL RETENIDAS EL 29/01/10 INFORMADAS EN PU 549/10, EN VIRTUD DE LO ORDENADO EN EL OFICIO JUDICIAL Nº 054/10 DEL MAGISTRADO ACTUANTE Y EN PRESENCIA DE UN TESTIGO HABIL. LA 1ª EP703586221AR, RTTE. JUAN CARLOS, CACHAMBI, CALLE 49, MZA 39, LOTE 6, CAMPO VERDE, JUJUY, C.P. 4.600 Y DEST. LEONARDO, GARZON, CALLE NUEVA FURNO, DISTRICTO ZAMPALITO, TUPUNGATO, MENDOZA, C.P. 5561, CONTIENE: 12 PAQUETES DE HOJAS DE COCA CON UN PESO TOTAL DE 3.032 GRS.. LA 2ª EP022166174AR, RTTE. GASPAR, LILIANA, Bº GUEMES Nº 1099, PALPALA, PROVINCIA DE JUJUY Y DEST. PATAGUA, CATALINA, Bº SANTA CRUZ, CASA Nº 173, RIO TURBIO, C.P. 9407, PCIA. DE SANTA CRUZ, CONTIENE: 8 PAQUETES DE HOJAS DE COCA CON UN PESO TOTAL DE 2.027 GRS. LAS ENCOMIENDAS SERAN PUESTAS A DISPOSICION DE ADUNAA DE SALTA POR SUP. INFRACC. A LA LEY 22.415, CODIGO ADUANERO Y LAS ACTUACIONES REMITIDAS A SEDE JUDICIAL. CON CONOCIMIENTO DE JUOSP</t>
  </si>
  <si>
    <t>1038/10</t>
  </si>
  <si>
    <t>108/10</t>
  </si>
  <si>
    <t>OFICINA DE SUMARIOS PÒLICIALES</t>
  </si>
  <si>
    <t>SE PROCEDE A LA APERTURA DE UNA ENCOMIENDA RETENIDA EL 22/02/10 INFORMADA EN PU 1027/10, EN VIRTUD DE LO ORDENADO EN EL OFICIO JUDICIAL Nº 513/10 DEL MAGISTRADO ACTUANTE Y EN PRESENCIA DE UN TESTIGO HABIL. LA ENCOMIENDA SE IDENTIFICA COMO EP658101738AR, RTTE. LAILA, MARTINEZ, JUAN B. JUSTO 565, S.S. DE JUJUY, C.P. 4.600 Y DEST. RUBEN, MARTINEZ, TOMAS, GUIDO 664, MAR DEL PLATA, PCIA. DE BUENOS AIRES, C.P.7.600, CONTIENE: 9 PAQUETES DE HOJAS DE COCA CON UN PESO TOTAL DE 2.426 GRS. LA ENCOMIENDA SERA PUESTA A DISPOSICION DE ADUANA DE SALTA POR SUP. INFRACCION A LA LEY 22.415, CODIGO ADUANERO Y LAS ACTUACIONES REMITIDAS A SEDE JUDICIAL. CON CONOCIMIENTO DEL JUOSP.</t>
  </si>
  <si>
    <t>CALLE LA RIOJA 443, LOCALIDAD DE OLIVA, PROVINCIA DE CORDOBA. CALLE TILCARA S/N DE VILLA LIBERTADOR, PROVINCIA DE CORDOBA.</t>
  </si>
  <si>
    <t>SE INFORMA QUE EN EL DIA DE LA FECHA SE DIO CUMPLIMIENTO A LO ORDENADO EN ORDEN DE SERVICIO Nº 3/2010. AMPLIANDO PARRAFO ANTERIOR DE LAS TAREAS INVESTIGATIVAS SE PUDO ESTABLECER QUE EL DOMICILIO UBICADO EN CALLE LA RIOJA 443 DE LA LOCALIDAD DE OLIVA DE LA PROVINCIA DE CORDOBA ESTARIA SIENDO HABITADO POR EL SR. JOSE FILIBERTO OLIVIERI. EN RELACION A LAS TAREAS INVESTIGATIVAS REALIZADAS CON RESPECTO A LA CALLE TILCARA S/N SE PUDO ESTABLECER QUE EL SR. JOSE VICENTE WORONA NO ESTARIA HABITANDO ACTUALMENTE EN EL MISMO, OBTENIENDO A POSTERIORI QUE EL CITADO ESTARIA HABITANDO EN EL DOMICILIO SITO EN LA CALLE GOBERNACION 1521, ESQUINA CONGRESO 5496, EX 996 -AMBOS NÚMEROS ESTAN ESCRITOS EN PAPEL- . POR LA ENTRADA DE LA CALLE CONGRESO SE ENCONTRARÍA EL ACCESO AL TALLER DE CALZADO DONDE TRABAJA EL CIUDADANO WORONA, Y POR LA ENTRADA DE LA CALLE GOBERNACIÓN 1521 SE ENCONTRARÍA EL ACCESO AL DOMICILIO DEL CIUDADANO WORONA.</t>
  </si>
  <si>
    <t>HALL DE ARRIBO INTERNACIONAL,SECTOR NORTE DEL EDIFICIO</t>
  </si>
  <si>
    <t>SIENDO LAS 13:47 HORAS QUIEN ANTERIORMENTE SE DETALLA Y PERTENECIENDO A LA EMPRESA TRANSCARGO SE PRESENTA EN ESTA GUARDIA DE PREVENSION PARA DENUNCIAR EL EXTRAVIO DEL PERMISO DE SEGURIDAD AEROPORTUARIA N° 323537, DICHO EXTRAVIO SE PRODUJO EN EL MOMENTO QUE DESEMPEÑABA SUS TAREAS LABORALES DE RUTINA.</t>
  </si>
  <si>
    <t>Martinez de Giorgi</t>
  </si>
  <si>
    <t>DRA. LARA VERONICA</t>
  </si>
  <si>
    <t>INFRACCION AL ART. 282 C.P.</t>
  </si>
  <si>
    <t>SECTOR DE ARRIBOS INTERNACIONALES</t>
  </si>
  <si>
    <t>EL DIA 03 DEL CORRIENTE MES Y AÑO SIENDO APROXIMADAMENTE LAS 20:00 HORAS, ARRIBO EL DENUNCIANTE EN VUELO DE LA EMPRESA PLUNA DEL CUAL NO RECUERA SU NUMERO Y SE DIRIGIO A LA CASA DE CAMBIO GLOBAL EXCHANGE UBICADA EN EL SECTOR DE ARRIBOS A1 DONDE CAMBIO UN BILLETE DE CIEN EUROS POR CUATROCIENTOS CINCUENTA Y OCHO PESOS ARGENTINOS. POSTERIORMENTE SE DIRIGIO A LA VEREDA DEL MENCIONADO SECTOR DE ARRIBOS DONDE ABORDO UN VEHICULO TAXIMETRO, CON DESTINO AL HOTEL PAME, UBICADO EN ESTA CIUDAD AUTONOMA. UNA VEZ ARRIBADO AL LUGAR, EL DENUNCIANTE LE ABONO CON UN BILLETE DE CIEN PESOS ARGENTINOS, MOMENTOS EN EL CUAL EL CHOFER DEL TAXI LE INDICO QUE ESE BILLETE ERA FALSO, POR LO QUE EL DENUNCIANTE LE ENTREGO OTRO BILLETE DEL MISMO VALOR, INDICANDOLE EL CHOFER NUEVAMENTE QUE ESE BILLETE TAMBIEN ERA FALSO. EN EL DIA DE LA FECHA SE HACE PRESENTE EN ESTA GUARDIA PARA RADICAR LA PRESENTE DENUNCIA APORTANDO AMBOS BILLETES.</t>
  </si>
  <si>
    <t>1246/10</t>
  </si>
  <si>
    <t>OFICINA DE JEFATURA DE ESTA UNIDAD OPERACIONAL</t>
  </si>
  <si>
    <t>EN EL DIA DE LA FECHA, DANDO CUMPLIMIENTO A ORDEN DE APERTURA EMANADA POR JUZGADO ACTUANTE, SE PROCEDIO A LA APERTURA DE LA SACA INTERDICTADA EL DIA 03/03/2010, ENCONTRANDO EN SU INTERIOR UNA CAJA DE ZAPATILLAS MARCA REEBOK, REMITENTE GAUNA, VANESA, DIRECCION ANGEL NAVEA 3673, CORRIENTES, C.P. 3400 Y DESTINATARIO TAMARA SILVINA FERNANDEZ, RIO NEGRO 368, RINCON DE LOS SAUCES, NEUQUEN, ENVUELTO EN VARIOS PAPEL MADERA, MANTA TIPO POLAR Y UNA TELA DE SABANA, EN SU INTERIOR HABIA CUATRO PANES DE MARIHUANA ENVUELTO EN PAPEL MADERA PEGADO CON CINTA DE EMBALAGE TRANSPARENTE. SE DIO INTERVENCION AL JUZGADO ACTUANTE QUIEN DISPUSO QUE LO ACTUADO CONJUNTAMENTE CON LO SECUESTRADO SE ELEVE A ESE JUZGADO EL DIA LUNES.</t>
  </si>
  <si>
    <t>APERTURA D ENCOMIENDA SOL. POLICIA DE SEGURIDAD AEROPORTUARIA</t>
  </si>
  <si>
    <t>105/10</t>
  </si>
  <si>
    <t>SE REALIZA APERTURA DE 11 ENCOMIENDAS DEL CORREO OFICIAL RETENIDAS EL 18/02/10 INFORMADAS EN PU 953/10, EN VIRTUD DE LO ORDENADO MEDIANTE OFICIO OFICIO JUDICIAL Nº 515/10 DEL MAGISTRADO ACTUANTE Y EN PRESENCIA DE UN TESTIGO HABIL. LA 1ª EP049148280AR, LUEGO DE VERIFICADO SU CONTENIDO FUE REDESPACHADA SEGUN CONSTA EN ACTA DE APERTURA DE CARGAS Nº 067/10- QUE SE ANEXA-. LA 2ª EP680915505AR, RTTE. SERGIO, LEIVA, Bº VALDIVIA, M775C, C3, SALTA CAPITAL, C.P. 4.400 Y DEST. LEIVA, SILVIO, AVDA. SAN MARTIN Nº 800, PERITO MORENO, C.P. 9040, PROVINCIA SANTA CRUZ, CONTIENE: 4 PAQUETES DE HJAS DE COCA CON UN PESO TOTAL DE 1.020 GRS.LA 3ª EP669752054AR, RTTE. ERICA, BENITEZ, J.BAUTISTA ALBERDI Nº 339, LA QUIACA, C.P. 4650, JUJUY Y DEST. SANDRO, GASPAR, PEDRO LURO, C.P. 8142, BUENOS AIRES, CONTIENE: 12 PAQUETES DE HOJAS DE COCA CON UN PESO TOTAL DE 3.009 GRS. LA 4ª EP033345335AR, RTTE. AMALIA R. SORIA, CALLE INDEPENDENCIA Nº 601, Bº FLORIDA, C.P. 4612, PCIA. JUJUY Y DEST. ROBERTO, MOLINA, CALLE JOSE FINOCCHIO Nº 1032, RIO GRANDE, C.P. 9420, PCIA. TIERRA DEL FUEGO, CONTIENE: 8 PAQUETES DE HOJAS CON UN PESO TOTAL DE 1.985 GRS. LA 5ª EP661859810AR, LUEGO DE VERIFICADO SU CONTENIDO FUE REDESPACHADA SEGUN CONSTA ACTA DE APERTURA DE CARGA Nº 090/10- QUE SE ANEXA-. LA 6ª EP680915995AR, RTTE. REGINO, TORRES, Bº MOSCON, PASAJE JULIO CINTIONE 2829, C.P. 4.400, SALTA Y DEST. ARIEL DARIO, TORRES, D.N.I. 28.037.493, RIO GALLEGOS, C.P. 9.400, SANTA CRUZ, POSTE RESTANTE, CONTIENE: 2 PAQUETES DE HOJAS DE COCA CON UN PESO TOTAL DE 1.008 GRS. LA 7ª EP698257305AR, RTTE. MARIA RENATA, CUELLAR, CARLOS FLORES 227, PCIA. DE SALTA, C.P. 4.400 Y DEST. FILOMENA, ZIBIETA, CORREO CENTRAL, RIO GALLEGOS, PCIA. DE SANTA CRUZ, C.P. 9.400, CONTIENE: 5 PAQUETES DE HOJAS DE COCA CON UN PESO TOTAL DE 2.565 GRS.Y GRAN CANTIDAD DE POCHOCLOS. LA 8ª 033345358AR, RTTE. NELLY, SALDIVIA, 18 NOR., PALPALA, JUANITA MORO 169, C.P. 4612 Y DEST. MANUEL.F. RUIZ, SEFERINO NAMUNCURA S/N, ESQUEL, CHUBUT, CONTIENE: 3 PAQUETES DE HOJAS DE COCA CON UN PESO TOTAL DE 738 GRS.. LA 9ª EP669752085AR, RTTE. PAULINA BENITEZ, TUPAC AMARU, Bº S. TERESITA-4650-, LA QUIACA, JUJUY Y DEST. JACINTO CONDORI- PARA ENTREGAR AL SR. CELESTINO CRUZ-, CHILE 179, LA MARQUE, RIO NEGRO, C.P. 8363, CONTIENE: 4 PAQUETES DE HOJAS DE COCA CON UN PESO TOTAL DE 1.013 GRS.LA 10ª EP659033193AR, RTTE. VANESSA TABOADA, MITRE 40, SAN PEDRO, PCIA. DE JUJY, C.P. 4.500 Y DEST. MARIO JESUS, TABOADA, SAN PATRICIO DEL CHAÑAR, PICADA 3 1/2, NEUQUEN, CONTIENE: 2 PAQUETES DE HOJAS DE COCA CON UN PESO TOTAL DE 533 GRS. LA 11ª EC839102705AR, FUE ENTREGADA AL CORREO OFICIAL PARA SU REDESPACHO POR NO TENER EN SU INTERIOR EN INFRACCION A LA NORMATIVA VIGENTE, SEGUN CONSTA EN ACTA DEJANDO CONSTANCIA Nº 060/10. LAS ENCOMIENDAS SERAN PUESTAS A DISPOSICION DE LA ADUANA DE SALTA POR SUP. INFRACCION A LA LEY 22.415, CODIGO ADUANERO Y LAS ACTUACIONES REMITIDAS A SEDE JUDICIAL. CON CONOCIMIENTO DEL JUOSP.</t>
  </si>
  <si>
    <t>982/10</t>
  </si>
  <si>
    <t>106/10</t>
  </si>
  <si>
    <t>OFICINA DE SUMARIO POLICIALES</t>
  </si>
  <si>
    <t>SE PROCEDE A LA APERTURA DE UNA ENCOMIENDA DEL CORREO OFICIAL, RETENIDA EL 19/02/10 INFORMADA EN PU 977/10, SEGUN CONSTA ACTA DE APERTURA DE ENCOMIENDA Nº 105/10, CORRESPONDIENTE A LA PREVENCION SUMARIA Nº 014/10, EN VIRTUD DE LO ORDENADO MEDIANTE EL OFICIO JUDICIAL Nº 516/10 DEL MAGISTRADO ACTUANTE Y EN PRESENCIA DE UN TESTIGO HABIL. LA ENCOMIENDA Nº EP722738266AR, RTTE, DANIELA JIRON, BELGRANO Nº 804 CP.4603 , PERICO DEL CARMEN , S.S.DE JUJUY Y DEST. FEDERICO EMANUEL BENITEZ , BARRIO BELGRANO, CALLE PUERTO ESPAÑOL 1374, CP 9410, USHUAIA, TIERRA DEL FUEGO, CONTIENE:14 PAQUETES DE HOJAS DE COCA CON UN PESO TOTAL DE 3.415 GRS..LA ENCOMIENDA SERA PUESTA A DISPOSICION DE LA ADUANA DE SALTA POR SUP. INFRACCION A LA LEY 22.415, CODIGO ADUANERO Y LAS ACTUACIONES REMITIDAS A SEDE JUDICIAL. CON CONOCIMIENTO DEL JUOSP</t>
  </si>
  <si>
    <t>JUZGADO NACIONAL CRIMINAL DE INSTRUCCION Nº 3</t>
  </si>
  <si>
    <t>CARVAJAL</t>
  </si>
  <si>
    <t>Guillermo Alejandro</t>
  </si>
  <si>
    <t>DRA. MARIA CECILIA PERZAN.</t>
  </si>
  <si>
    <t>AVERIGUACION DE INFRACCION AL ART. 167 C.P.N.</t>
  </si>
  <si>
    <t>DIFERENTES PUNTOS DE REFERENCIA, AVENIDA RAFAEL OBLIGADO SIN NUMERO Y OTROS.</t>
  </si>
  <si>
    <t>FUERA DE LA JURISDICCION AEROPORTUARIA.</t>
  </si>
  <si>
    <t>QUE EL DIA DE LA FECHA SIENDO LA HORA 18:00, SE RECIBIO NOTA POR PARTE DEL DR. CARLOS FIORENTINO, APODERADO LEGAL DE LA EMPRESA MANUEL TIENDA LEON, EN LA CUAL SE INFORMAN DIFERENTES HECHOS DELICTIVOS OCURRIDOS FUERA DE LA JURISDICCION DE ESTA UNIDAD METROPOLITANA, EN DIFERENTES FECHAS, LOS CUALES TENDRIAN INICIO EN ESTA JURISDICCION, CON OPERATORIAS SIMILARES. EN LOS CUALES SE REFIERE QUE VEHICULOS DE ALQUILER REMISES QUE PRESTAN SERVICIOS CON BASE EN ESTE AEROPUERTO JORGE NEWBERY, Y AL PARTIR, EN EL TRAYECTO DE LA AVENIDA RAFAEL OBLIGADO, SE PERCATAN DE POSEER UN NEUMATICO PINCHADO, NOTANDO QUE EL RADIAL SE ENCUENTRA CON UN CORTE DE LADO CON ELEMENTO CORTOPUNZANTE. SEGUIDAMENTE ARRIBA EN PARALELO UN VEHICULO CON TRES O CUATRO OCUPANTES, Y CON LA MODALIDAD DE DISTRACCION DEL CHOFER DEL VEHICULO DE ALQUILER REMIS, PROCEDEN A SUSTRAERLE O ARREBATARLE LOS EQUIPAJES O PERTENENCIAS A LOS PASAJEROS TRANSPORTADOS. EN LA NOTA RECIBIDA SE INFORMA SOBRE SIETE HECHOS DELICTIVOS, DE LOS CUALES SE AMPLIARA POSTERIORMENTE. SIENDO LAS 18:30 HORAS SE ENTABLO COMUNICACION TELEFONICA CON LA DRA. ANGELA PAGANO MATA, SECRETARIA DE LA FISCALIA INTERVINIENTE, QUIEN INFORMADA DE LOS HECHOS DISPUSO, SE INICIEN ACTUACIONES PREVENCIONALES, SE RECIBA DECLARACION TESTIMONIAL AL DR. FIORENTINO PARA QUE RATIFIQUE SUS DICHOS, Y A LOS CHOFERES VICTIMAS DE LOS HECHOS, SE SOLICITEN LOS REGISTROS FILMICOS A AEROPUERTOS ARGENTINA 2000 CON LOS DIAS Y HORARIOS QUE SURGAN DE LAS DECLARACIONES TESTIMONIALES, INFORME DE PEDIDO DE DOMINIOS DE AUTOMORES SI LLEGARA A CORRESPONDER, TAREAS DE PREVENCION EN EL LUGAR EN DONDE ESTACIONAN LOS VEHICULOS DE ALQUILER REMIS Y EN CALLE DE CIRCULACION INTERNA, EN CASO DE IDENTIFICAR POSIBLES AUTORES IDENTIFICACION POSITIVA E INMEDIATA CONSULTA CON EL JUZGADO EN LO CRIMINAL DE INSTRUCCION EN TURNO, INFORMAR SOBRE EL ESTADO DE LAS ACTUACIONES.</t>
  </si>
  <si>
    <t>902/10</t>
  </si>
  <si>
    <t>107/10</t>
  </si>
  <si>
    <t>SE PROCEDE A LA APERTURA DE 2 ENCOMIENDAS DEL CORREO OFICIAL RETENIDAS EL 16/02/10 INFORMADAS EN PU 897/10 SEGUN CONSTA EN ACTA DE APERTURA DE CARGA Nº 103/10 CORRESPONDIENTE A LA PREVENCION SUMARIA Nº 012/10, EN VIRTUD DE LO ORDENADO EN EL OFICIO JUDICIAL Nº 514/10 DEL MAGISTRADO ACTUANTE Y EN PRESENCIA DE U NTESTIGO HABIL. LA 1ª EP 658101698AR, RTTE. SIMON CORONEL, L-15, M-17-, PUNTA DIAMANTE, 4.600, S.S. DE JUJUY Y DEST. ELENA URSAGASTI, AVDA DE LOS MINEROS 1437, 9407, RIO TURBIO, SANTA CRUZ, CONTIENE: 10PAQUETES DE HOJAS DE COCA CON UN PESO TOTAL DE 2.745 GRS.. LA 2ª EP669752010AR, FUE LIBERADA PARA SU REDESPACHO, SEGUN ACTA DEJANDO CONSTANCIA Nº 051/10, POR NO CONSTITUIR INFRACCIONA LA NORMATIVA VIGENTE. LA ENCOMIENDA SERA PUESTA ADISPOSICION DE LA ADUANA DE SALTA POR SUP. INFRACCION A LA LEY 22.415, CODIGO ADUANERO Y LAS ACUACIONES REMITIDAS A SED JUDICIAL. CON CONOCIMIENTO DEL JUOSP.</t>
  </si>
  <si>
    <t>DRA VILMA CELIA VALLE RUIDIAZ</t>
  </si>
  <si>
    <t>JEFE DE LA DIVISION OPERACIONAL CONTROL DEL NARCOTRAFICO Y DELITOS COMPLEJOS IV IGUAZU DE LA POLICIA DE SEGURIDAD AEROPORTUARIA S/SOLICITA AUTORIZACION PARA INVESTIGAR</t>
  </si>
  <si>
    <t>A-782/09</t>
  </si>
  <si>
    <t>EN EL DÍA DE LA FECHA SE RECEPCIONA OFICIO JUDICIAL NRO. 111/2010 DEL JUZGADO FEDERAL ACTUANTE DONDE DISPONE AUTORIZAR EL INICIO DE LAS TAREAS INVESTIGATIVAS DE INTELIGENCIA, FACULTANDO LA REALIZACION DE REGISTROS FILMICOS, TOMAS FOTOGRÁFICAS, INFORMES AMBIENTALES, CONSTATACION DE DOMICILIOS, VIGILANCIA, SEGUIMIENTOS DE PERSONAS Y VEHICULOS A LOS FINES DE ACREDITAR LA POSIBLE EXISTENCIA DE UNA ORGANIZACIÓN DEDICADA AL TRAFICO DE ESTUPEFACIENTES QUE ESTUVIERA VINCULADA A LA CAUSA A-714/09 EN LA CUAL SE ENCUENTRA PROCESADO EL SR. VICTOR BONIFACIO GIMENEZ QUINTANA DETENIDO EL 15 DE NOVIEMBRE DE 2009 EN EL AEROPUERTO INTERNACIONAL CATARATAS DEL IGUAZU AL INTENTAR ABORDAR UN VUELO. LA INVESTIGACIÓN ADEMÁS DEL LUGAR INDICADO SE EXTENDERÁ A OTROS POSIBLES RESPONSABLES, VEHÍCULOS QUE PUDIERAN EMPLEARSE EN EL ILÍCITO, LÍNEAS TELEFÓNICAS Y DEMÁS ELEMENTOS DE INTERÉS PARA LA CAUSA. SE ENCOMIENDA LAS TAREAS INVESTIGATIVAS MEDIANTE ORDEN DE SERVICIO NRO. 046/2010 DE LA U.O.C.N. Y D.C. IV DEL LITORAL.</t>
  </si>
  <si>
    <t>JUZGADO EN PRIMERA INSTANCIA NRO 1 EN LO CIVIL, COMERCIAL, LABORAL Y DE MINERIA, DE MENORES, EN LO CRIMINAL Y CORRECCIONAL DEL EL CALAFATE</t>
  </si>
  <si>
    <t>Narvarte</t>
  </si>
  <si>
    <t>Carlos Oscar</t>
  </si>
  <si>
    <t>MARTIN MIGUEL DE ARRIETA</t>
  </si>
  <si>
    <t>S/Nº</t>
  </si>
  <si>
    <t>MARIA LAURA AVILA S/DENUNCIA</t>
  </si>
  <si>
    <t>frente sala de arribos</t>
  </si>
  <si>
    <t>ARRIBO PASAJEROS</t>
  </si>
  <si>
    <t>EL DIA 05/3/10 LA SRA MARIA LAURA AVILA REALIZA DENUNCIA DE EXTRAVIO 03/10 REFERENTE A UNA CARTERA DE COLOR NEGRO MARCA XL, CONTENIENDO EN SU INTERIOR UN CELULAR, DOS LICENCIAS DE CONDUCIR A NOMBRE DE LA DENUNCIANTE Y DE SU MARIDO MEDINA FERNANDO JAVIER, UN DOCUMENTO DE IDENTIDAD DE NACIONALIDAD ARGENTINA A NOMBRE DE MARIA LAURA AVILA Nº 27455183, DOS DNI A NOMBRE DE MEDINA MARTINA Y MEDINA LAUTARO CUYOS NUMEROS NO LO RECUERDA, DINERO EN EFECTIVO LA SUMA DE DOS MIL PESOS ARGENTINOS APROXIMADAMENTE, UN CHEQUE A SU NOMBRE DE CIENTO CINCUENTA PESOS ARGENTINOS Y DOCUMENTOS VARIOS. POSTERIORMENTE EL DIA 09/03/10 LA DAMNIFICADA SE PRESENTA EN DEPENDENCIAS DEL AEROPUERTO Y SOLICITA VER LAS GRABACIIONES DE LAS CAMARAS DE SEGURIDAD DE LA EMPRESA CONCESIONARIA LONDON SUPPLY, DONDE SE PUEDE VISUALIZAR QUE UNA PERSONA DE SEXO FEMENINO QUIEN TOMA LA CARTERA EN CUESTIO . EL DIA 10/03/10 A LAS 09.50 HS SE PRESENTA LA DAMNIFICADA A REALIZAR DENUNCIA POR ROBO HURTO .</t>
  </si>
  <si>
    <t>Ciudad de Buenos Aires</t>
  </si>
  <si>
    <t>DRA. GALLO PULO, PAULA</t>
  </si>
  <si>
    <t>----------</t>
  </si>
  <si>
    <t>-------</t>
  </si>
  <si>
    <t>ESTACIONAMIENTO DE BICICLETAS Y MOTOS-</t>
  </si>
  <si>
    <t>EL DENUNCIANTE MANIFIESTA QUE INGRESO AL AEROPUERTO A HORAS 11,50 PARA DESARROLLAR SUS TARES LABORALES EN LA EMPRESA VIDA VERDE- DEJANDO SU BICICLETA EN EL SECTOR DE ESTACIONAMIENTO PARA MOTOS Y BICICLETAS SIN CANDADO, AL RETIRARSE HACIA SU DOMICILIO SE DA CUENTA DEL FALTANTE DE LA MISMA.</t>
  </si>
  <si>
    <t>---------</t>
  </si>
  <si>
    <t>-----------</t>
  </si>
  <si>
    <t>LAN CARGO</t>
  </si>
  <si>
    <t>EN CUMPLIMIENTO DE LA ORDEN DE SERVICIO NRO.0015/10 Y SIENDO LAS 23:59 HORAS LOCAL ARRIBA AERONAVE AIRBUS A 320 MATRICULA LV-BFY PERTENECIENTE A LAN ARGENTINA SE EMBARCA UN TOTAL DE 121 PIEZAS CON UN PESO TOTAL DE 5449 KILOGRAMOS DE METAL- MTD- EN LAS BODEGAS 12, 31, 32, 41 Y 42, PERTENECIENTE A LA EMPRESA MINERA TRITON ARGENTINA S.A.CON DESTINO EL AEROPUERTO INTERNACIONAL JORGE NEWBERY DE CAPITAL FEDERAL. DESPEGANDO EL MISMO A LA 01:25 HORAS LOCAL.</t>
  </si>
  <si>
    <t>CINTA DE RETIRO DE EQUIPAJE NRO 5</t>
  </si>
  <si>
    <t>SIENDO LAS VEINTIDOS HORAS TREINTA MINUTOS DEL DIA 05/03/10, EL DENUNCIANTE ARRIBA AL TERRITORIO NACIONAL, LUEGO SE DIRIGE AL SECTOR DE CINTAS DE RETIRO DE EQUIPAJES EN DONDE RETIRA EL EQUIPAJE DESPACHADO EN LA CIUDAD DE ORIGEN NOTANDO QUE EL MISMO NO POSEIA EL CANDADO CON EL CUAL HABIA SIDO DESPACHADO, LUEGO APERTURA EL MISMO Y SE PERCATRA DEL FALTANTE DE DOS CADENAS, COSMETICOS VARIOS Y UN RELOJ. POR TAL MOTIVO SE HACE PRESENTE EN ESTA GUARDIA.</t>
  </si>
  <si>
    <t>CM279Y</t>
  </si>
  <si>
    <t>DRA. GABRIELA ESTEBAN</t>
  </si>
  <si>
    <t>AVERIGUACION DE ILICITO.</t>
  </si>
  <si>
    <t>BOX SANITARIO DE PERSONAS CON CAPACIDAD DIFERENTE.</t>
  </si>
  <si>
    <t>BAÑO DE HOMBRES FRENTE A LOS MOSTRADORES DE CHECK IN DE LA EMPRESA AEROLINEAS ARGENTINAS DEL HALL A</t>
  </si>
  <si>
    <t>SIENDO LA HORA Y LA FECHA ANTES MENCIONADA EL JEFE DE TURNO SALIENTE OFICIAL OSCAR BARRERA ME INFORMA QUE EL OFICIAL DESTACADO EN EL SECTOR HALL A, SAIEGK DAVID, INFORMA UNA NOVEDAD SURGIDA EN EL BAÑO DE HOMBRES, LA CUAL LE FUE INFORMADA POR UN EMPLEADO DE LA EMPRESA SERZA, QUE CONSISTIA QUE EN EL BOX DE PERSONAS CON CAPACIDAD DIFERENTE SE ENCONTRABA EN UN DEPOSITO DE PAPELES HIGIENICOS UNA SUSTANCIA DE FORMA CUADRADA DE COLOR VERDOSO ENVUELTA EN UN PROFILACTICO DE LATEX. ACTO SEGUIDO ME CONSTITUYO EN EL LUGAR JUNTO CON EL PERITO DE TURNO, SE CONVOCA AL LUGAR A OTRO TESTIGO, SE REALIZAN VISTAS FOTOGRAFICAS, Y SE PROCEDE A EFECTUARLE A LA SUSTANCIA UN REACTIVO QUIMICO DE CAMPO MARCA NIK PARA MARIHUANA ARROJANDO RESULTADO ORIENTATIVO POSITIVO. POSTERIORMENTE NOS TRASLADAMOS A LA GUARDIA DE PREVENCION TODOS LOS INTERVINIENTES A FIN DE CONTINUAR CON LAS ACTUACIONES CORRESPONDIENTES. SIENDO LAS 09:30 HORAS SE ENTABLA COMUNICACION TELEFONICA CON LA JUDICATURA ACTUANTE QUIEN DISPONE SE INICIE ACTA DE PROCEDIMIENTO, TESTIMONIAL A LOS INTERVINIENTES, FOTOS DEL LUGAR, PESAJE DE LA SUSTANCIA, SECUESTRO, SE ENVIE LA SUSTANCIA AL LABORATORIO QUIMICO DE LA PFA, SE CARATULE LA PREVENCION AVERIGUACION DE ILICITO, CIERRE Y ELEVE.</t>
  </si>
  <si>
    <t>VEREDA SECTOR PARTIDAS DE LA EMPRESA AEROLINEAS ARGENTINAS.</t>
  </si>
  <si>
    <t>SIENDO LA HORA Y LA FECHA ANTES MENCIONADA SE PRESENTA EN LA GUARDIA DE PREVENCION LA DAMNIFICADA A FIN DE INFORMAR QUE EN MOMENTOS EN QUE ARRIBO AL AEROPUERTO DE EZEIZA PROCEDENTE DE MADRID ESPAÑA JUNTO CON UNA AMIGA, ABORDARON UN VEHICULO TAXIMETRO DE ESTA CAPITAL FEDERAL CON DESTINO AL AEROPARQUE METROPOLITANO. AL ARRIBAR AL AEROPARQUE ABONAN EL COSTO DEL VIAJE CON PESOS ARGENTINOS QUE HABIAN RETIRADO DE UN CAJERO DEL AEROPUERTO DE EZEIZA, EL CONDUCTOR DEL RODADO LE MANIFIESTA QUE EL DINERO CON QUE LE ESTABAN ABONANDO EL SERVICIO DE TRASLADO HABIA PERDIDO VIGENCIA EN EL PAIS, YA QUE NO ERAN MAS DE CURSO LEGAL POR LO QUE EL CONDUCTOR DEL TAXI LES OFRECE CAMBIARLES EL DINERO AMABLEMENTE POR DINERO DE CURSO LEGAL, ANTE ESTO LA DAMNIFICADA LE ENTREGA 600 PESOS ARGENTINOS, COBRANDOSE EL CHOFER EL SERVICIO POR UN VALOR DE 273 PESOS ARGENTINOS Y LE ENTREGO UNA SUMA DE 340 PESOS. AL DESCENDER DEL VEHICULO NOTAN QUE LOS BILLETES ERAN FALSOS. LA DENUNCIANTE NO APORTA DATOS DE LA MARCA, EL MODELO, NI DEL DOMINIO DEL RODADO, Y DESCRIBE AL CONDUCTOR DEL TAXI A UNA PERSONA DE SEXO MASCULINO, MAYOR DE EDAD, PELO ENTRECANO, DE CONTEXTURA FISICA IMPORTANTE Y VESTIA PANTALON NEGRO Y CAMISA BLANCA. ANTE ESTA SITUACION LA DAMNIFICADA SE PRESENTA EN LA GUARDIA DE PREVENCION A FIN DE RADICAR LA DENUNCIA. SIENDO LAS 14:10 HORAS SE ESTABLECE COMUNICACION TELEFONICA CON LA JUDICATURA ACTUANTE QUIEN DISPONE: SE CARATULE LA PREVENCION COMO ESTAFA, SECUESTRO DE LOS BILLETES, SOLICITAR REGISTRO FILMICO AL COC AER Y AL COC EZE, Y EN CASO DE IDENTIFICAR AL CONDUCTOR O AL VEHICULO REALIZAR NUEVA CONSULTA, TESTIMONIAL A LA ACOMPAÑANTE DE LA DAMNIFICADA, CIERRE Y ELEVACION.</t>
  </si>
  <si>
    <t>AU 2458</t>
  </si>
  <si>
    <t>CIUDAD DE BUENOS AIRES AEROPARQUE</t>
  </si>
  <si>
    <t>JUZGADO FEDERAL Nº 1 DE BAHIA BLANCA</t>
  </si>
  <si>
    <t>ALVAREZ CANALE</t>
  </si>
  <si>
    <t>ALCINDO</t>
  </si>
  <si>
    <t>MARIO A. FERNADEZ MORENO</t>
  </si>
  <si>
    <t>MINISTERIO PUBLICO FISCAL S/ SOLICITA EN CAUSA 05/07 STRICKER, MARJANOV, OTERO, LAWLESS, GANDOLFO</t>
  </si>
  <si>
    <t>05/07 INC 153</t>
  </si>
  <si>
    <t>UOSP BAHIA BLANCA</t>
  </si>
  <si>
    <t>SECTOR ARRIBOS</t>
  </si>
  <si>
    <t>SE CUMPLIMENTA ORDEN DE SERVICIO Nº 144/10 DE LA REGIONAL 1 DEL ESTE QUE INDICA DAR CUMPLIMIENTO CON OFICIO JUDICIAL DE FECHA 05-MAR-10 DEL JUZGADO FEDERAL 01 DE BAHIA BLANCA ORDENANDO LA DETENCION DEL CAUSANTE, SE PROCEDE A LECTURA DE DERECHOS, SE TOMAN FOTOGRAFIAS, SE TOMAN HUELLAS DIGITALES, CERTIFICADO MEDICO PRECARIO Y QUEDANDO ALOJADO EN LA UNIDAD PENAL 4 DEL SERVICIO PENITENCIARIO BONAERENSE - VILLA FLORESTA - BAHIA BLANCA - PROVINCIA DE BUENOS AIRES POR ORDEN DEL MAGISTRADO INTERVINIENTE</t>
  </si>
  <si>
    <t>AR 1642</t>
  </si>
  <si>
    <t>BAHIA BLANCA</t>
  </si>
  <si>
    <t>CURRIER DE EXPORTACION</t>
  </si>
  <si>
    <t>ENRIQUE SERGIO</t>
  </si>
  <si>
    <t>BAKDUR KRISTINN GUDMUNDSSON</t>
  </si>
  <si>
    <t>QUE PERSONAL POLICIAL SE ENCONTRABA EFECTUANDO CONJUNTAMENTE CON PERSONAL DE ADUANA, UN CONTROL, A TRAVES DE LA MAQUINA DE RAYOS X SOBRE LOS BULTOS DESPACHADOS COMO CARGA. EN TALES CIRCUNSTANCIA OBSERVAN A TRAVES DE LA MAQUINA DE RAYOS X, EN EL INTERIOR DE UNO DE LOS BULTOS DESPACHADOS, LA PRESENCIA DE SUSTANCIA QUE NO PUEDEN DETERMINAR. POR TAL MOTIVO SE CONVOCA LA PRESENCIA DE DOS TESTIGOS Y LUEGO SE CONDUCE EL PERSONAL POLICIAL Y EL PERSONAL DE ADUANA A LAS OFICINAS DE LA ADUANA, SITA EN LA TERMINAL A DE ESTE MEDIO. SE ENTABLA COMUNICACION CON EL JUZGADO INTERVINIENTE, QUIEN AUTORIZA LA REQUISA DEL BULTO EN CUESTION. RAZON POR LA CUAL, SE PROCEDE A LA APERTURA DEL BULTO OBSERVANDOSE EN SU INTERIOR ELEMENTOS VARIOS Y UN PIANO DE JUGUETE, EL CUAL SE DESARMA HALLANDO EN SU INTERIOR DOS PAQUETES, PROCEDIENDO A REALIZAR INCISIONES EN SENDOS PAQUETES, SURGIENDO DE LOS MISMOS LA EXISTENCIA DE SUSTANCIA PULVERULENTA DE COLOR BLANCA, LA QUE SOMETIDA A REACTIVO PARA COCAINA ARROJA RESULTADO POSITIVO, EN AMBOS CASOS. ASI MISMO SE IMFORMA QUE LA TOTALIDAD DE LAS ACTUACIONES FUERON LABRADAS POR LA ADUANA, EN VIRTUD A ELLO NO POSEEN NUMERO DE CAUSA INTERNA PSA. POR ULTIMO LLEVO A SU CONOCIMIENTO QUE EL VUELO POR DONDE FUE DESPACHADO EL BULTO EN CUESTION PARTIO EN DIA 07/03/10, EN EL HORARIO ESTIMADO DE LAS 13:00HS.</t>
  </si>
  <si>
    <t>Islandia</t>
  </si>
  <si>
    <t>REYKJAVIK</t>
  </si>
  <si>
    <t>MARIA VIRGINIA DUFFY</t>
  </si>
  <si>
    <t>JEFATURA DE POLICIA DE TUCUMAN CCD S/SECUESTROS Y DESAPARICIONES - SEGUNDA PARTE - EXPTE. NRO. 795/04 Y CONEXOS</t>
  </si>
  <si>
    <t>795/04</t>
  </si>
  <si>
    <t>VIRREY LORETO 1766 13 A - CABA</t>
  </si>
  <si>
    <t>EN EL DIA DE LA FECHA SE PROCEDIO A LA DETENCION DEL SUBOFICIAL RETIRADO DEL EJERCITO ARGENTINO NORBERTO RICARDO VILLEGAS, DICHA DETENCION SE EFECTUO EN EL SECTOR PUBLICO DEL AEROPUERTO INTERNACIONAL EZEIZA, EN MOMENTOS EN QUE EL IMPUTADO REGRESABA AL PAIS PROCEDENTE DE LA CIUDAD DE SAN PABLO - BRASIL, ASIMISMO SE PROCEDIO AL SECUESTRO DE SU DNI, COMO ELEMENTO DE INTERES PARA LA CAUSA.</t>
  </si>
  <si>
    <t>AR 1245</t>
  </si>
  <si>
    <t>DESPEGA T-01 CON LA SRA PRESIDENTA DE LA NACION, SR EX-PRESIDENTE DE LA NACION Y COMITIVA S/N</t>
  </si>
  <si>
    <t>CIUDAD DE EL CALAFATE</t>
  </si>
  <si>
    <t>SIENDO LAS 15.30 HS ATERRIZA AERONAVE DE LA FUERZA AEREA BRASILERA VC-99 2550 REALIZANDO CARGA DE COMBUSTIBLE SEGUN LO INFORMADO MEDIANTE MEMORANDO Nº 064/10. DESPEGANDO 16:30HS SIN NOVEDAD CON DESTINO PUNTA ARENAS REPUBLICA DE CHILE</t>
  </si>
  <si>
    <t>VC-99</t>
  </si>
  <si>
    <t>LAS PELOTAS</t>
  </si>
  <si>
    <t>PUNTA ARENAS</t>
  </si>
  <si>
    <t>SIENDO LA HORA ANTES MENCIONADA SE IMPLEMENTA ORDEN DE SERVICIO Nº 145/10 - FAX PROCEDENTE DE LA URSA I DEL ESTE, CON MOTIVO DE BRINDAR SEGURIDAD POR EL ARRIBO A ESTE AEROPARQUE DE LA SEÑORA PRESIDENTE DE LA NACION, EN VUELO PROCEDENTE DE LA CIUDAD DE EL CALAFATE. SIENDO LAS 18:36 HORAS ARRIBA A ESTE AEROPUERTO METROPOLITANO LA MANDATARIA, EN AERONAVE MATRICULA T-01. SIENDO LAS 18:43 HORAS SE RETIRA EN HELICOPTERO MATRICULA H-03. A LAS 18:50 HORAS FINALIZA EL OPERATIVO SIN NOVEDAD.</t>
  </si>
  <si>
    <t>SE PROCEDE A LA RETENCION DE DOS SACAS COLECTORAS DEL CORREO OFICIAL SEGUN CONSTA EN ACTA DE RETENCION DE CARGA Nº 108/10, CON PREVENCION SUMARIA Nº 022/10, LA PRIMERA IDENTIFICADA CON MARBETE SLA0163414D555800VAE, PRECINTO C156961, CON UN PESO DECLARADO DE 8 KGS. CON DESTINO USHUAIA, LA SEGUNDA CON MARBETE SLA 0163269D555900RGA, PRECINTO C156924, CON UN PESO DECLARADO DE 5 KGS CON DESTINO RIO GRANDE, AMPARADAS EN GUIA AEREA 9327734-3, LAS QUE SERIAN DESPACHADAS A TRAVES DE LA EMPRESA DE CARGA AEREA JET PAQ. LA RETENCION SE REALIZA ANTE LA PRESUNCION DE QUE PUDIERAN CONTENER ALGUN ELEMENTO EN INFRACCION A LAS LEYES 22.415 Y/O 23.737. QUEDANDO LAS MISMAS CERRADAS Y PRECINTADAS EN GUARDA EN ESTA UOSP, SE COMUNICO TELEFONICAMENTE CON EL JUZGADO INTERVINIENTE, Y LA APERTURA SE REALIZARA EN PRESENCIA DEL PERSONAL DEL CORREO OFICIAL. CON CONOCIMIENTO DEL JEFE DE UOSP.</t>
  </si>
  <si>
    <t>SE CONFECCIONA EL PRESENTE A LOS FINES DE INFORMAR QUE SIENDO LA HORA 14:20 DESPEGA DE ESTE AEROPUERTO LA AERONAVE PRESIDENCIAL BOEING 757 T-01 CON DESTINO LA CIUDAD DE EL CALAFATE PROVINCIA DE SANTA CRUZ SOLO CON LA TRIPULACION, SIN NOVEDAD</t>
  </si>
  <si>
    <t>PREEMBARQUE TERMINAL III, PRIMER PISO.</t>
  </si>
  <si>
    <t>SIENDO LA FECHA Y LA HORA ANTES MENCIONADA SE RECIBE COMUNICACION TELEFONICA POR PARTE DEL OFICIAL KADY JORGE ENCARGADO DEL PREEMBARQUE NACIONAL INFORMANDO QUE AL PASAR UN PASAJERO DE SEXO MASCULINO POR EL ARCO DETECTOR DE METALES ACTIVO LA ALARMA DEL MISMO POR LO QUE EL OFICIAL LINARES LOPEZ LE EFECTUA UN CHEQUEO MANUAL AL MASCULINO Y OBSERVO QUE EN EL BOLSILLO LATERAL DERECHO DEL PANTALON TENIA UN BULTO SOSPECHOSO POR LO QUE LE SOLICITA QUE EXHIBA EL CONTENIDO, EXHIBIENDO EL OBJETO SIENDO UNA BOLSA DE NYLON BLANCA MANIFESTANDO EL PASAJERO QUE CONTENIA MARIHUANA. ACTO SEGUIDO SE CONVOCAN AL LUGAR A LOS DOS TESTIGOS HABILES, PARA POSTERIORMENTE EN LA SALA DE REQUISA EFECTUAR A LA SUSTANCIA UN REACTIVO QUIMICO MARCA NIK QUE ARROJO RESULTADO POSITIVO PARA MARIHUANA. POSTERIORMENTE SE TRASLADARON A TODOS LOS INTERVINIENTES A LA GUARDIA DE PREVENCION. SIENDO LAS 21:15 HORAS SE ESTABLECE COMUNICACION TELEFONICA CON LA JUDICATURA ACTUANTE A QUIEN SE LE INFORMA LO SUCEDIDO DISPONIENDO: DETENIDO EN CARACTER DE COMUNICADO, CERTIFICADO DE REINCIDENCIA 353 BIS, IDGE, ARTICULO 86 Y 197 CPPN, CONSTATACION DE DOMICILIO FEHACIENTE, SECUESTRO DE LA SUSTANCIA, ENVIO AL LABORATORIO QUIMICO DE PFA DE LA SUSTANCIA SECUESTRADA, Y EN CASO DE QUE EL CAUSANTE NO REGISTRE IMPEDIMENTOS LEGALES VIGENTES SE PROCEDA A LA SOLTURA DEL MISMO, CASO CONTRARIO SE REALICE NUEVA COMUNICACION CON EL LETRADO, CIERRE Y ELEVACION. SE AMPLIARA CON EL RESULTADO DE REINCIDENCIA. SE INFORMA SEGUN PU Nº 1330 SIENDO LAS 0520 HORAS DEL DIA 8 DEL CORRIENTE MES Y AÑO, SE PROCEDE A CUMPLIMENTAR LO ORDENADO POR LA JUDICATURA ACTUANTE DEBIDO A QUE EL CAUSANTE NO REGISTRA IMPEDIMENTO LEGAL PROCEDIENDO A LA LIBERACION DEL DETENIDO SIN NOVEDAD.</t>
  </si>
  <si>
    <t>AR1546</t>
  </si>
  <si>
    <t>1329/10</t>
  </si>
  <si>
    <t>PUNTO DE CONTROL Y REGISTRO</t>
  </si>
  <si>
    <t>SIENDO LAS 05:20 HORAS DEL DIA 8 DEL CORRIENTE MES Y AÑO, SE PROCEDE A LA LIBERACIÓN DEL DETENIDO, SEGÚN LO DISPUESTO POR LA JUDICATURA INTERVINIENTE, UNA VEZ OBTENIDO EL RESULTADO DE REINCIDENCIA, AL NO MEDIAR IMPEDIMIENTO LEGAL ALGUNO, EL CAUSANTE SE RETIRA DE ESTA DEPENDENCIA SIN NOVEDAD.</t>
  </si>
  <si>
    <t>1326/10</t>
  </si>
  <si>
    <t>SE PROCEDE A LA APERTURA DE DOS SACAS COLECTORAS DEL CORREO OFICIAL SEGUN ACTA DE RETENCION Nº 108/10, PERTENECIENTE A LA PREV. SUM. Nº 022/10, EN PRESENCIA DE UN TESTIGO HABIL, MEDIDA COORDINADA PREVIAMENTE CON EL JUZGADO DE TURNO. LA 1ª SACA COLECTORA MARBETE SLA0163414D555800VAE, PRECINTO C156961, CONTIENE TRES PIEZAS POSTALES: LA 1ª IDENTIFICADA COMO EP701780430AR, RTTE: SILVIA A SALAS, LOTE 2 MZNA 121 Bº LA MERCED, MONTERRICO - JUJUY, C. P. 4608 Y DEST: MARCOS A. MARQUEZ, 96 VIVIENDAS - TIRA 5, DTO 2 B, C. P.9410, TIERRA DEL FUEGO USUHAIA, QUEDA RETENIDA, LA 2ª IDENTIFICADA COMO EP684827713AR, Y 3ª IDENTIFICADA COMO EP722138291AR SON ENTREGADA PARA SU REDESPACHO. LA 2ª SACA COLECTORA MARBETE SLA 0163269D555900RGA, PRECINTO C156924, CONTIENE DOS PIEZAS POSTALES IDENTIFICADAS COMO : LA 1ª EP684828395AR, RTTE: RICARDO ALBORNOZ, CALLE: SANTA MARIA DE ORO Nº 70, C. P. 4600, SAN SALVADOR DE JUJUY Y DEST: ALEJANDRO VASQUEZ, 22 DE MAYO Nº 504, C. P. 9420, RIO GRANDE T. DEL FUEGO, QUEDA RETENIDA, LA 2ª EP684828118AR ES ENTREGADA PARA SU REDESPACHO. LAS ENCOMIENDAS RETENIDAS QUEDAN EN DEPOSITO JUDICIAL DE ESTA UNIDAD A LA ESPERA DEL OFICIO QUE AUTORICE SU APERTURA. CON CONOCIMIENTO DEL JUOSP.</t>
  </si>
  <si>
    <t>SE PROCEDE A LA APERTURA DE UNA ENCOMIENDA DEL CORREO OFICIAL EN PRESENCIA DE SU PROPIETARIA, SRTA SARA NOEMI LUNA, SEGUN ACTA DE APERTURA Nº 110/10, QUE FUE RETENIDA EL 02/03/2010, CONSTA EN ACTA Nº 093/10, CORRESPONDIENTE A LA PREV. SUM. Nº 019/10. LA APERTURA SE REALIZA CON CONOCIMIETO DEL MAGISTRADO QUE INSTRUYE. LA PROPIETARIA FUE NOTIFICADA POR EL CORREO OFICIAL QUE SU ENCOMIENDA ESTUVO RETENIDA EN ESTA UNIDAD. LA ENCOMIENDA EP657457942AR, RTTE: SARA NOEMI LUNA, Bº SCALABRINI ORTIZ, M273- C-L5, SALTA- CAPITAL, C.P. 4400 Y DEST: SUSANA FLORES, OHIGGINS, PERITO MORENO, PROVINCIA DE SANTA CRUZ. C.P. 9040, CONTIENE: ROPAS DE DIFERENTES TIPOS Y MODELOS VERIFICADOS CON FACTURAS Nº 00000574- 00007277- 00002855 Y 00007271 PRESENTADA POR LA PROPIETARIA. LUEGO DE VERIFICADO SU CONTENIDO LA MIMA SERA ENTREGADA AL CORREO OFICIAL PARA SU REDESPACHO POR NO SER DE INTERES PARA EL PROCEDIMIENTO, CON CONOCIMIENTO DEL JUOSP.</t>
  </si>
  <si>
    <t>FUERA DE LAS INSTALACIONES DEL AEROPUERTO</t>
  </si>
  <si>
    <t>SIENDO LA FECHA Y HORA ANTERIORMENTE CONSIGANADA SE HACE PRESENTE EN ESTA GUARDIA DE PREVENCIO EL DENUNCIANTE PARA RADICAR LA DENUNCIA DEL EXTRAVIO DE SU PERMISO PERSONAL DE SEGURIDAD, EL CUAL SE PRODUJO FUERA DE LAS INSTALACIONES DEL AEROPUERTO, NO PUDIENDO PRECISAR LA HORA DEL EXTRAVIO.</t>
  </si>
  <si>
    <t>MIRTA RUBIN</t>
  </si>
  <si>
    <t>ROSELLI ANTONIO JOSE Y OTROS P.SS.AA.PRIVACION ILEGITIMA DE LA LIBERTAD AGRAVADA, IMPOSICION DE TORMENTOS AGRAVADOS Y HOMICIDIO AGRAVADO</t>
  </si>
  <si>
    <t>UN PROCEDIMIENTO EN LA CIUDAD DE OLIVA, PROVINCIA DE CORDOBA. UN PROCEDIMIENTO EN LA CIUDAD DE CORDOBA, BARRIO VILLA LIBERTADOR</t>
  </si>
  <si>
    <t>EN EL DÍA DE LA FECHA SE RECEPCIONÓ DOS OFICIOS JUDICIALES EMANADOS DEL JUZGADO FEDERAL Nº 3 DE LA CIUDAD DE CÓRDOBA, UNO DE ELLOS FACULTANDO A PERSONAL DE ESTA UNIDAD PARA LA DETENCION DEL CIUDADANO JORGE VICENTE WORONA EN EL BARRIO VILLA LIBERTADOR DE ESTA CIUDAD, Y EL OTRO OFICIO ES UN EXHORTO PARA EL JUEZ FEDERAL DE VILLA MARIA DR. MARIO GARZON, SECRETARIA A CARGO DEL DR. EDUARDO CAEIRO, SOLICITANDOLE QUE LIBRE ORDEN DE ALLANAMIENTO Y DETENCION DEL CIUDADANO JOSE FILIBERTO OLIVIERI QUIEN RESIDE EN LA CIUDAD DE OLIVA, FACULTANDO PARA DICHA DILIGENCIA A PERSONAL DE ESTA UNIDAD. EN EL DÍA DE LA FECHA SE PROCEDERÁ CON LO SOLICITADO EN EL PRIMER OFICIO DETALLADO, DEJANDO PARA EL DÍA 09 DE MARZO EL PROCEDIMIENTO A REALIZARSE EN LA CIUDAD DE OLIVA.-</t>
  </si>
  <si>
    <t>1190/10</t>
  </si>
  <si>
    <t>SE PROCEDE A LA APERTURA DE UNA ENCOMIENDA DEL CORREO OFICIAL EN PRESENCIA DE SU PROPIETARIO, ISIDRO MORALES, SEGUN ACTA DE APERTURA Nº 111/10, QUE FUE RETENIDA EL 01/03/10, CONSTA EN ACTA Nº 088/10, CORRESPONDIENTE A LA PREV. SUM. 018/10. LA APERTURA SE REALIZA CON CONOCIMIENTO DEL MAGISTRADO QUE INSTRUYE. EL PROPIETARIO FUE NOTIFICADO POR EL CORREO OFICIAL QUE SU ENCOMIENDA FUE RETENIDA EN ESTA UNIDAD. LA ENCOMIENDA EP680796145AR RTTE ISIDRO MORALES, Bº SAN CARLOS, MZA 31, CASA 26, C.P. 4400- SALTA Y DEST: SUSANA O.MORALES, PJE DUFOUR S/Nº, RIO TURBIO, SANTA CRUZ, C.P. 9407, CONTIENE: CUATRO PIEZA DE VACA CON UN PESO DE 3300 GRS. A LAS CUALES SE REALIZA PRUEBA DE CAMPO CON REACTIVO COCA-TEST-AEROSOL- PARA COCAINA, EL CUAL DA RESULTADO NEGATIVO. LA MISMA SERA ENTREGADA AL CORREO OFICIAL PARA SU REDESPACHO YA QUE NO INFRINGE A LAS LEYES 22415 Y/O 23737. CON CONOCIMIENTO DEL JUOSP.</t>
  </si>
  <si>
    <t>SUMARIO Nº 07/10</t>
  </si>
  <si>
    <t>CIUDAD DE CORDOBA, BARRIO VILLA LIBERTADOR</t>
  </si>
  <si>
    <t>CUMPLIENDO MANDATO ESPECIAL DEL JUZGADO FEDERAL Nº 3 DE LA CIUDAD DE CÓRDOBA, SIENDO APROXIMADAMENTE LAS 14:45 HS, SE PROCEDIÓ A DETENER AL SEÑOR JORGE VICENTE WORONA AL FRENTE DE SU DOMICILIO SITO EN LA CALLLE CONGRESO 5496 DEL BARRIO VILLA LIBERTADOR, EL MISMO NO OPUSO RESISTENCIA ALGUNA, OFRECIENDO LAS INSTALACIONES DE SU VIVIENDA PARA LA CONFECCION DEL ACTA DE PROCEDIMIENTO. EL SEÑOR WORONA QUEDO EN CARATER DE DETENIDO COMUNICADO Y A DISPOSICION DEL JUZGADO INTERVINIENTE, DISPONIÉNDOSE SU TRASLADO A LA UNIDAD OPERACIONAL CORDOBA DE LA PSA PARA LABRAR LAS ACTUACIONES DE RIGOR, Y A POSTERIORI SU TRASLADO A LA ALCAIDÍA DE TRIBUNALES FEDERALES DE ESTA CIUDAD.</t>
  </si>
  <si>
    <t>QUIEBRA</t>
  </si>
  <si>
    <t>584-18681-95</t>
  </si>
  <si>
    <t>INFORMO SOBRE PEDIDO DE CAPTURA: SIENDO LAS 14:30 HS SE ESTABLECE COMUNICACION TELEFONICA CON LA DRA. JULIA VILLANUEVA AC. DEL JUZGADO EN LO COMERCIAL Nº23 QUIEN ENTERADA DE LOS HECHOS COMUNICA QUE EL PEDIDO DE CAPTURA QUEDO SIN EFECTO POR MODIFICACION DE LEY DE QUIEBRAS, POR LO QUE LA IMPUTADA PUEDE SEGUIR VIAJE.</t>
  </si>
  <si>
    <t>SECTOR PERGOLA DE LA TERMINAL A</t>
  </si>
  <si>
    <t>SIENDO LA HORA INDICADA LOS OFICIALES FERNANDEZ Y PEREZ SORPRENDEN INFRAGANTI AL CONTRAVENTOR EN CUESTION OFRECIENDO SERVICIO DE TRANSPORTE PUBLICO DE PASAJEROS A VIVA VOZ A PASAJEROS QUE TRANSITABAN POR EL SECTOR.</t>
  </si>
  <si>
    <t>SECRETARIA PENAL Nº 3</t>
  </si>
  <si>
    <t>ROSELLI ANTONIO JOSE Y OTROS P.SS.AA. PRIVACION ILEGÍTIMA DE LA LIBERTAD AGRAVADA, IMPOSICIÓN DE TORMENTOS AGRAVADOS Y HOMICIDIO AGRAVADO.</t>
  </si>
  <si>
    <t>EN REFERENCIA A ORDENES DE SERVICIO N° 70/10 Y 71/10 EMITIDAS POR LA URSA II DEL CENTRO, SIENDO LAS 18:00 HS. SE INICIA EL TRASLADO DEL DETENIDO EN LOS MÓILES DE DOTACIÓN MERCEDES BENZ SPRINTER, DOMINIO GTJ-661 PERTENECIENTE A LA U.O.E.S.A. II DEL CENTRO Y MOVIL DE DOTACIÓN FORD RANGER DOMINIO GTJ-667 PERTENECIENTE A LA U.O.S.P. CBA. SE LO LLEVA EN PRIMERA INSTANCIA A MEDICINA LEGAL DEPENDIENTE DE LA DIRECCION GENERAL POLICÍA JUDICIAL - MINISTERIO PÚBLICO FISCAL PARA REALIZAR EL CORRESPONDIENTE PRECARIO MÉDICO Y DE ALLI A SEDE DE LA ALCAIDÍA DE LOS TRIBUNALES FEDERALES DONDE QUEDÓ ALOJADO. AL REGRESO SE HACE ENTREGA EN LA DIVISIÓN ANTECEDENTES PERSONALES DE LA POLICÍA DE LA PROVINCIA DE CBA. LAS TOMAS DE HUELLAS DACTILARES DEL CAUSANTE. REGRESANDO A ESTA JURIDICCIÓN A LAS 20:40 HS SIN NOVEDAD</t>
  </si>
  <si>
    <t>DRA. GABRIELA ESTAEBAN</t>
  </si>
  <si>
    <t>SIENDO LA FECHA Y LA HORA ANTES MENCIONADA SE RECIBE COMUNICACION TELEFONICA POR PARTE DEL OFICIAL TAVERA MARIO ENCARGADO DEL PREEMBARQUE NACIONAL INFORMANDO QUE AL PASAR UN PASAJERO DE SEXO MASCULINO POR EL ARCO DETECTOR DE METALES ACTIVO LA ALARMA DEL MISMO POR LO QUE EL OFICIAL AYALA MARTINEZ LE EFECTUA UN CHEQUEO MANUAL AL PASAJERO Y OBSERVO QUE EN EL BOLSILLO DELANTERO IZQUIERDO DEL PANTALON TENIA UN BULTO POR LO QUE LE SOLICITA QUE EXHIBA EL CONTENIDO, MOSTRANDO EL OBJETO SIENDO UN ELEMENTO ENVUELTO CON CINTA DE PAPEL COLOR BLANCO MANIFESTANDO EL PASAJERO QUE CONTENIA MARIHUANA. ACTO SEGUIDO SE CONVOCAN AL LUGAR A LOS DOS TESTIGOS HABILES, PARA POSTERIORMENTE EFECTUAR EL TRASLADO DEL CAUSANTE Y DE LOS INTERVINIENTES A LA GUARDIA DE PREVENCION UBICADA EN EL SECTOR C DE ESTE AEROPUERTO METROPOLITANO DONDE EL PERITO DE TURNO EFECTUO A LA SUSTANCIA UN REACTIVO QUIMICO MARCA NIK QUE ARROJO RESULTADO POSITIVO PARA MARIHUANA. SIENDO LAS 18:10 HORAS SE ESTABLECE COMUNICACION TELEFONICA CON LA JUDICATURA ACTUANTE A QUIEN SE LE INFORMA LO SUCEDIDO DISPONIENDO: SE PROCEDA A LA DETENCION EN CARACTER DE COMUNICADO, PRECARIO MEDICO DE ENTRADA, TRES JUEGOS DE FICHAS PARA ANEXAR A LA CAUSA, FOTOS DEL IMPUTADO, DE LA SUSTANCIA Y DEL PESAJE, CERTIFICADO DE REINCIDENCIA 353 BIS, IDGE, ARTICULO 86 Y 197 CPPN, CONSTATACION DE DOMICILIO FEHACIENTE, SECUESTRO DE LA SUSTANCIA, ENVIO AL LABORATORIO QUIMICO PFA DE LA SUSTANCIA SECUESTRADA, DECLARACION TESTIMONIAL A LOS INTERVINIENTES, INFORMAR A LA FISCALIA DE LA PREVENCION INSTRUIDA Y EN CASO DE QUE EL CAUSANTE NO REGISTRE IMPEDIMENTOS LEGALES VIGENTES SE PROCEDA A LA SOLTURA DEL MISMO, CASO CONTRARIO SE REALICE NUEVA COMUNICACION CON EL LETRADO, CIERRE Y ELEVACION. SE AMPLIARA CON EL RESULTADO DE REINCIDENCIA. SE INFORMA SEGUN PU Nº 1349 SIENDO LAS 0315 HORAS DEL DIA 9 DEL CORRIENTE MES Y AÑO SE PROCEDE A LA LIBERACION DEL CAUSANTE SIN NOVEDAD.</t>
  </si>
  <si>
    <t>AR 1688</t>
  </si>
  <si>
    <t>AEROPARQUE- C.A.B.A.</t>
  </si>
  <si>
    <t>1348/10</t>
  </si>
  <si>
    <t>TERMINAL DE PASAJEROS</t>
  </si>
  <si>
    <t>SIENDO LAS 03:15 HORAS, OBTENIENDO LA REINCIDENCIA CON RESULTADO NEGATIVO, AL NO MEDIAR IMPEDIMENTO LEGAL ALGUNO Y DE ACUERDO A LO ORDENADO POR LA JUDICATURA INTERVINIENTE, SE PROCEDE A LA LIBERACION DEL CAUSANTE, RETIRANDOSE ESTE DE ESTA DEPENDENCIA POR SUS PROPIOS MEDIOS, CONFORME A LOS TRATOS RECIBIDOS SIN NOVEDAD.</t>
  </si>
  <si>
    <t>INSTRUCCION Nº 5</t>
  </si>
  <si>
    <t>FERNANDEZ EDUARDO ALBERTO</t>
  </si>
  <si>
    <t>SUPUESTA INFRACCION AL ARTICULO Nº 162 DEL CPP</t>
  </si>
  <si>
    <t>SECTOR ARRIBO DE PASAJEROS/ENTREGA DE EQUIPAJES</t>
  </si>
  <si>
    <t>EN EL DIA DE LA FECHA SE RECIBE DENUNCIA DEL SEÑOR BLANCO WALTER HUGO DNI Nº 21138354 MANIFESTANDO QUE LE HURTARON DE SU BOLSO 16.000 PESOS EN EL VUELO Nº 1782 DE LA EMPRESA AEROLINEAS ARGENTINAS PROVENIENTE DE AEROPARQUE QUE FUE DESPACHADO POR BODEGA CON Nº DE MARBETE Nº550950</t>
  </si>
  <si>
    <t>CORRIENTES</t>
  </si>
  <si>
    <t>JUZGADO FEDERAL DE VILLA MARIA CORDOBA</t>
  </si>
  <si>
    <t>EDUARDO SANTIAGO CAEIRO</t>
  </si>
  <si>
    <t>EXHORTO DEL JUZGADO FEDERAL Nº 3 DE CORDOBA EN AUTOS: ROSELLI ANTONIO JOSE Y OTROS P.SS.AA. PRIVACION ILEGITIMA DE LA LIBERTAD AGRAVADA, IMPOSICION DE TORMENTOS AGRAVADOS Y HOMICIDIO AGRAVADO - SRIO Nº 20.219</t>
  </si>
  <si>
    <t>608/2010</t>
  </si>
  <si>
    <t>SUMARIO 08/10</t>
  </si>
  <si>
    <t>ORDEN DE ALLANAMIENTO / DETENCION</t>
  </si>
  <si>
    <t>CIUDAD DE OLIVA, PROVINCIA DE CORDOBA</t>
  </si>
  <si>
    <t>EN EL DIA DE LA FECHA SE RECEPCIONÓ OFICIO JUDICIAL DEL JUZGADO FEDERAL DE VILLA MARIA A CARGO DEL DOCTOR MARIO GARZÓN, SECRETARIA A CARGO DEL DR. EDUARDO CAEIRO, A INSTANCIAS DEL EXHORTO LIBRADO POR EL JUZGADO FEDERAL Nº 3 DE LA CIUDAD DE CORDOBA EN EL DIA DE AYER EN EL MARCO DE LA CAUSA 20.219, A LOS EFECTOS DE ALLANAR Y DETENER AL CIUDADANO JOSE FILIBERTO OLIVIERI EN LA CIUDAD DE OLIVA, PROVINCIA DE CORDOBA</t>
  </si>
  <si>
    <t>2592/10</t>
  </si>
  <si>
    <t>JUZGADO DE INSTRUCCION N° 3 DE LA CIUDAD DE PTO. IGUAZU</t>
  </si>
  <si>
    <t>RIVERO</t>
  </si>
  <si>
    <t>PABLO JOSE</t>
  </si>
  <si>
    <t>DR. NESTOR ARIEL TUHAY</t>
  </si>
  <si>
    <t>CERCANIAS DEL PREEMBARQUE Nº 1</t>
  </si>
  <si>
    <t>PRIMER PISO SECTOR RESTAURANTE</t>
  </si>
  <si>
    <t>SIENDO LAS 11:30 HS SE PRESENTA EL DENUNCIANTE, RADICANDO UNA DENUNCIA POR SUPUESTO ROBO EN LA CAJA FUERTE DEL RESTAURANTE UBICADO EN LA PLANTA ALTA DE ESTA AEROESTACION DE LA SUMA DE PESOS CATORCE MIL APROXIMADAMENTE DANDOSE INTERVENCION AL JUZGADO QUIEN ORDENA CONTINUAR CON LAS ACTUACIONES Y SU POSTERIOR ELEVACION. SEGUN PU 2592 DEL DIA 30/04/2010 SIENDO LAS 10:30 APROXIMADAMENTE REALIZANDO UN RECORRIDO PERIMETRAL EN CABECERA DE PISTA 3-1 DE RUTINA SE PRODUCE EL HALLAZGO POR PARTE DEL OF MAYOR ROBERTO H. DIAZ DE UNA BOLSA DE PLASTICO QUE POSTERIORMENTE REALIZA UN ACTA DE HALLAZGO EN LA GUARDIA DE PREVENCION EN PRESENCIA DE TESTIGOS SEGUIDAMENTE AL OF MAYOR DIAZ LE LLAMA LA ATENCION PORQUE LOS ELEMENTOS HALLADOS GUARDABAN SIMILITUD CON LA CAUSA DENUNCIADA EL DIA 9 DE MARZO DEL CORRIENTE AÑO CARATULADA SUPUESTO ROBO CON INTERVENCION DEL JUZGADO DE INSTRUCCION Nº 3 DE LA CIUDAD DE PUERTO IGUAZU SECRETARIA DEL DR. TUHAY POR LA CUAL SITO AL SR GABRIEL BERNAL QUIEN SE HIZO PRESENTE Y RECONOCIO LOS ELEMENTOS COMO LOS QUE ESTABAN DENTRO DE LA CAJA FUERTE DEL DIA 8 DE MARZO Y SIENDO LOS ELEMENTOS LOS SUSTRAIDOS. SE DEJA CONSTANCIA QUE SE ESTABLECIO COMUNICACION TELEFONICA CON EL DR. TUHAY QUIEN ORDENO QUE LOS ELEMENTOS JUNTO CON LAS ACTAS SE ELEVEN A SEDE TRIBUNALICIA PARA AGREGAR A LA CAUSA YA INICIADA</t>
  </si>
  <si>
    <t>REALIZANDO CONTROL DEL CORREO PARA EL VUELO MENCIONADO EL JEFE DE TURNO Y SUPERVISOR AL PASAR UNA SACA OBSERVAN EN LA PANTALLA DE RAYOS X DOS FIGURAS DE FORMA IRREGULAR DISTRIBUIDAS UNA AL LADO DE LA OTRA, APARENTEMENTE DENTRO DE UN BOLSO Y QUE DE ACUERDO A LAS IMAGENES SERIAN SUSTANCIAS DE TIPO ORGANICA.SE DA INTERVENCION A LA MAGISTRATURA ACTUANTE QUIEN DISPONE SE INTERDICTE LA SACA, SE REALICEN LAS ACTUACIONES CORREPONDIENTES Y SE ELEVE SOLICITUD DE APERTURA EL DIA 09 DE MARZO.DICHA SOLICITUD FUE PRESENTADA EL DIA DE LA FECHA A LAS 0830 HS.</t>
  </si>
  <si>
    <t>Nievas</t>
  </si>
  <si>
    <t>Hurto agravado</t>
  </si>
  <si>
    <t>Hurto Agravado</t>
  </si>
  <si>
    <t>AEROPUERTO USHUAIA-AEROPUERTO AEROPARQUE</t>
  </si>
  <si>
    <t>SIENDO LAS 11:20 HORAS SE PRESENTA UNA PERSONA DE NACIONALIDAD CANADIENSE, PARA RADICAR DENUNCIA POR UN HECHO DEL FALTANTE DE ELEMENTOS DE SU PERTENENCIA DESPACHADOS EN EQUIPAJE DE BODEGA EL DIA 08/03/10 EN EL AEROPUERTO DE USUAHIA Y EL QUE HABRIA ARRIBADO A LAS 01:15 HORAS APROXIMADAMENTE DEL DIA 09/03/10 EN EL AEROPARQUE JORGE NEWBERY DE LA C.A.B.A., AL MOMENTO DE LA PRESENTACION DEL DENUNCIANTE SE LE CONSULTA SI SABE LEER Y ESCRIBIR EL IDIOMA ESPAÑOL A LO QUE ADUCE QUE NO, SOLAMENTE LO HABLA LIMITADAMENTE, POR ESTE MOTIVO SE SOLICITA LA PRESENCIA DE UN INTERPRETE PRECARIO DEL IDIOMA INGLES Y UNA VEZ QUE SE HACE PRESENTE EL INTERPRETE SE LE HACE LECTURA DE LAS FORMALIDADES DE RIGOR PARA LOS DENUNCIANTES, UN INSTANTE DESPUES SE REALIZA COMUNICACION CON LA AUTORIDAD JUDICIAL INTERVINIENTE A QUIEN SE LE INFORMA DE LOS HECHOS Y QUIEN DISPONE: 1º SE RECEPCIONE DENUNCIA, 2º SE INICIEN ACTUACIONES DE RIGOR POR HURTO AGRAVADO Y 3º SE ELEVEN LAS MISMAS AL FINALIZAR A ESA DEPENDENCIA, A LO QUE SE LE DA ESTRICTO CUMPLIMIENTO, ASIMISMO SE DEJA ASENTADO QUE EL DENUNCIANTE SE HABRIA PERCATADO DEL FALTANTE DE SUS ELEMENTOS EN MOMENTO EN QUE LE ERA ENTREGADO SU EQUIPAJE DESPACHADO POR BODEGA EN LA CINTA DEL AEROPARQUE JORGE NEWBERY DE LA C.A.B.A. Y QUE NO HABRIA RADICADO LA DENUNCIA EN ESE AEROPUERTO POR EL ESCASO TIEMPO QUE LE QUEDABA AL MOMENTO DE QUE LA EMPRESA AEREA ATENDIERA SU SOLICITUD POR EL RECLAMO DE LO SUCEDIDO Y LA CUAL NO LE TOMA EL MISMO Y LE INDICA QUE RADIQUE DENUNCIA EN LA POLICIA, POR ESTE MOTIVO Y ANTE LA PREMURA DEL TIEMPO DECIDE RADICAR LA DENUNCIA EN EL DESTINO FINAL DE SU VIAJE.</t>
  </si>
  <si>
    <t>RODRIGUEZ VICTOR DAVID P/SUP. INF.ART 164 DEL CPA</t>
  </si>
  <si>
    <t>EXPEDIENTE Nº 50/10</t>
  </si>
  <si>
    <t>SUPUESTA INFRACCION AL ARTICULO Nº 164 DEL CPA</t>
  </si>
  <si>
    <t>EN EL DIA DE LA FECHA SE PROCEDE AL TRASLADO AL HOSPITAL PSIQUIATRICO SAN FRANCISCO DE ASIS DE LA CIUDAD DE CORRIENTES AL DETENIDO RODRIGUEZ VICTOR DAVID,A FIN DE SER SOMETIDO A UNA PERICIA PSIQUIETRICA ORDENADA POR EL JUZGADO INTERVENIENTE. DE ACUERDO A ORDEN DE SERVICIO Nº 017/10 DE FECHA 09/03/10 DE ESTA UOSP CORRIENTES.</t>
  </si>
  <si>
    <t>SE AMPLIA PARTE Nº 1258, EL DIA 09 DE MARZO DE 2010 SE RECEPCIONA OFICIO JUDICIAL Nº 30/10 DEL JUZGADO FEDERAL Nº 2 DE JUJUY A CARGO DEL DR. CARLOS M. OLIVERA PASTOR, CARATULADO EXHORTO DEL SR. JUEZ DEL JUZGADO FEDERAL Nº 1 BAHIA BLANCA, PCIA DE BUENOS AIRES - MINISTERIO PUBLICO FISCAL S/SOLICITA EN CAUSA Nº 05/07, STRIKER, MARJANOV, OTERO, GANDOLFO, MEDIANTE EL CUAL ORDENA REALIZAR ALLANAMIENTO EL DIA 10 DE MARZO DE 2010 A PARTIR DE LAS 08:00 HASTA LAS 20:00 HS., DEL INMUEBLE UBICADO EN CALLE SENADOR PEREZ Nº 102, DE LA CIUDAD DE SAN SALVADOR DE JUJUY, ESQUINA INDEPENDENCIA, A LOS FINES DE PROCEDER AL SECUESTRO DE TODA DOCUMENTACION QUE PUDIERA TENER RELACION DIRECTA O INDIRECTA CON LA CAUSA PRINCIPAL Nº 05/07, DEL REGISTRO DEL JUZGADO EXHORTANTE, - LA MISMA SE CUMPLIMENTARÁ SEGUN ORDEN DE SERVICIO Nº 008/2010 DE FECHA 09-MAR-10, DE ESTA UOCN Y DC.</t>
  </si>
  <si>
    <t>NOFAL DE CATTANEO</t>
  </si>
  <si>
    <t>FISCAL C/BIRSS DEBORAH S/AV. INF. LEY 22.415</t>
  </si>
  <si>
    <t>SOLICITUD DE DILIGENCIAS EN CAPITAL FEDERAL</t>
  </si>
  <si>
    <t>EN EL DÍA DE LA FECHA SE RECEPCIONARON DOS OFICIOS JUDICIALES EMANADOS DEL JUZGADO FEDERAL Nº 3 DE LA CIUDAD DE MENDOZA SECRETARIA PENAL D, A TRAVÉS DE LOS CUALES SE SOLICITA COLABORACION EN EL MARCO DE LA CAUSA -FISCAL C/DEBORAH BIRSS S/INF. LEY 22.415- QUE SE TRAMITA EN DICHO JUZGADO Y QUE ESTÁ VINCULADO A NARCOTRÁFICO REALIZADO POR CIUDADANOS CANADIENSES, DICHAS DILIGENCIAS DEBERÁN SER REALIZADAS EN CAPITAL FEDERAL, EN LA AGENCIA DE VIAJES OATD TURISMO SITA EN CALLE VIAMONTE 861, Y EN EL GRAN HOTEL BUENOS AIRES.-</t>
  </si>
  <si>
    <t>EDUARDO CAEIRO</t>
  </si>
  <si>
    <t>EXHORTO DEL JUZGADO FEDERAL Nº 3 DE CORDOBA EN AUTOS: ROSELLI ANTONIO JOSE P.SS.AA. PRIVACION ILEGITIMA DE LA LIBERTAD AGRAVADA, IMPOSICION DE TORMENTOS AGRAVADOS Y HOMICIDIO AGRAVADO - SRIO Nº 20.219</t>
  </si>
  <si>
    <t>CUMPLIENDO MANDATO ESPECIAL DEL JUZGADO FEDERAL DE VILLA MARIA A INSTANCIAS DEL JUZGADO FEDERAL Nº 3 DE LA CIUDAD DE CORDOBA EXPEDIENTE 20.219, SIENDO APROXIMADAMENTE LAS 13:10 HS SE PROCEDIO A LA DETENCIÓN DEL SEÑOR JOSE FILIBERTO OLIVIERI EN SU DOMICILIO SITO EN CALLE LA RIOJA 443, Bº SAGRADO CORAZÓN DE LA CIUDAD DE OLIVA, EL MISMO NO OPUSO RESISTENCIA OFRECIENDO LAS INSTALACIONES DE SU VIVIENDA PARA LA CONFECCION DEL ACTA DE PROCEDIMIENTO. EL SEÑOR OLIVIERI QUEDO EN CARATER DE DETENIDO COMUNICADO Y A DISPOSICION DEL JUZGADO INTERVINIENTE, DISPONIENDOSE SU TRASLADO A LA UNIDAD OPERACIONAL CORDOBA DE LA PSA PARA LABRAR LAS ACTUACIONES DE RIGOR Y A POSTERIORI SU TRASLADO A LA ALCAIDIA DE TRIBUNALES FEDERALES DE ESTA CIUDAD</t>
  </si>
  <si>
    <t>CERCANIAS DEL HANGAR, DE LA EMPRESA MACAIR JET S.A</t>
  </si>
  <si>
    <t>CALLE PERIMETRAL SECTOR DE HANGARES</t>
  </si>
  <si>
    <t>EN EL DIA DE LA FECHA SIENDO LA HORA MENCIONADA, SE HACE PRESENTE EL DENUNCIANTE A LOS EFECTOS DE DEJAR CONSTANCIA EL EXTRAVIO DE SU PERMISO PERSONAL DE SEGURIDAD AEROPORTUARIO TEMPORAL.HECHO OCURRIDO EL DIA 8 DEL ACTUAL EN LAS INMEDIACIONES DE LA HANGAR DE LA EMPRESA MACAIR JET S.A EN HORAS DE LA MAÑANA.</t>
  </si>
  <si>
    <t>DRA. LORNA HERNANDEZ DE LUNA</t>
  </si>
  <si>
    <t>DAÑOS EN LA CERCA PERIMETRAL PLASTICA</t>
  </si>
  <si>
    <t>DOS LUGARES 1- SECTOR SUDESTE LINDANTE AL BARRIO BORGES Y 2- SECTOR SUDOESTE LINDANTE CON EL PARAJE LA VERNACHA</t>
  </si>
  <si>
    <t>EN EL DIA DE LA FECHA EL SR. CALDERON SERGIO EMPLEADO DE LA EMPRESA AA 2000 RADICO DENUNCIA EN ESTA DEPENDENCIA SOBRE DAÑOS EFECTUADOS EN LA CERCA PLASTICA PERIMETRAL. EL MISMO MIENTRAS REALIZABA RECORRIDO PERIMETRAL DE RUTINA EN EL HORARIO DE LAS SIETE Y CUARENTA, DETECTA CORTES EN LA CERCA PERIMETRAL PLASTICA SOBRE DOS SECTORES AMBOS CORTES DE APROXIMADAMENTE UN METRO VEINTE DE ANCHO POR SESENTA CM. DE ALTO. RECIBIDA LA DENUNCIA DOY INTERVENCION A LA JUSTICIA FEDERAL, COMUNICANDO TELEFONICAMENTE DICHA NOVEDAD AL SR. FISCAL DR. PEDRO SIMON, QUIEN INSTRUYE REALIZAR LAS ACTUACIONES CORRESPONDIENTES Y ELEVARLAS A LA BREVEDAD.-</t>
  </si>
  <si>
    <t>FUERA DE LAS INSTALACIONES DE AEROPARQUE</t>
  </si>
  <si>
    <t>EN EL DIA DE LA FECHA SE PRESENTA EL SEÑOR RINALDI FERNANDO ENRIQUE, MANIFESTANDO EL EXTRAVIO DE LA PERMISO PERSONAL DE SEGURIDAD AEROPORTUARIA TEMPORAL DEL ANTES MENCIONADO, CON MISMA FECHA FUERA DE LAS INSTALACIONES DEL AEROPUERTO.</t>
  </si>
  <si>
    <t>DRA.MIRTA RUBIN</t>
  </si>
  <si>
    <t>ROSELLI ANTONIO JOSE Y OTROS P.SS.AA. PRIVACION ILEGITIMA DE LA LIBERTAD AGRAVADA IMPOSICION DE TORMENTOS AGRAVADOS Y HOMICIDIO AGRAVADO</t>
  </si>
  <si>
    <t>EXPTE 20.219</t>
  </si>
  <si>
    <t>EN RELACION A LA ORDEN DE SERVICIO N 073/10 EMITIDA POR LA URSA II DEL CENTRO SIENDO LAS 17:11 HORAS SE INICIA EL TRASLADO DEL DETENIDO EN LOS MOVILES DE DOTACION MERCEDEZ SPRINTER DOMINIO GTJ 661 PERTENECIENTE A L A UOESA II DEL CENTRO Y FORD RANGER DOMINIO GTJ 667 PERTENECIENTE A LA UOSP CORDOBA SE LO LLEVA PRIMERA INSTANCIA A MEDICINA LEGAL DEPENDIENTE DE LA DIRECCION GENERAL DE POLICIA JUDICIAL -MINISTERIO PUBLICO FISCAL PARA REALIZAR EL CERTIFICADO MEDICO CORRESPONDIENTE Y DE ALLI A LA SEDE DE LA ALCALDIA DE TRIBUNALES FEDERALES DONDE QUEDO ALOJADO.AL REGRESO SE HACE ENTREGA EN LA DIVISION DE ANTECEDENTES PERSONALES DE L POLICIA DE LA PROVINCIA DE CORDOBA LAS TOMAS DE LAS HUELLAS DACTILARES DEL DETENIDO REGRESANDO A ESTA UOSP A LAS 19:25 HRS SIN NOVEDAD.</t>
  </si>
  <si>
    <t>SIENDO LAS 17:15 HORAS SE HACE PRESENTE UNA PERSONA PARA RADICAR UNA DENUNCIA POR UN HECHO DE CARÁCTER DELICTIVO INDICANDO QUE EN EL DIA DE LA FECHA EN EL AEROPUERTO DE IGUAZU, DESPACHO UN TOTAL DE DOS VALIJAS, PARA LUEGO ABORDAR EL VUELO Nº LA 4025 DE LA EMPRESA LAN, A LAS 14.20 HORAS CON DESTINO A ESTE AEROPUERTO METROPOLITANO. SIENDO A LAS 15:50 HORAS ARRIBA A ESTE AEROPARQUE, Y UNA VEZ EN EL SECTOR DE ARRIBOS "A1", NOTA QUE LA VALIJA TIPO CARRY-ON CON MARBETE NRO. LA 266582, SE ENCUENTRA CON SU CIERRE ABIERTO Y FORZADO, SIN EL CANDADO QUE TENIA COLOCADO, Y AL COTEJAR EL CONTENIDO SE PERCATA DEL FALTANTE DE UN ESTUCHE COLOR NEGRO CON UNA CÁMARA FOTOGRÁFICA DIGITAL DE MARCA SONY MODELO CYBERSHOT, UNA TARJETA DE MEMORIA DE LA MISMA MARCA DE 1 GB DE MEMORIA Y DOS BATERÍAS DOBLE A RECARGABLES. MOTIVO POR EL CUAL SE HACE PRESENTE PARA RADICAR LA CORRESPONDIENTE DENUNCIA PENAL. SIENDO LAS 18:10 HORAS SE ENTABLA COMUNICACIÓN CON LA JUDICATURA ACTUANTE QUIEN ORDENA FOTOGRAFÍAS E INFORME DEL ELEMENTO VIOLENTADO, LABRAR ACTUACIONES DE RIGOR, ADJUNTAR LA NOMINA DEL PERSONAL DE HANDLING Y VIGILANCIA INTERVINIENTE EN LA CARGA Y DESCARGA DEL EQUIPAJE DESPACHADO, ADJUNTANDO ESTADÍSTICAS DE HECHOS DE SIMILARES CARACTERÍSTICAS EN VUELOS PROCEDENTES DE IGUAZÚ Y PERSONAL INTERVINIENTE, CIERRE Y ELEVACIÓN.-</t>
  </si>
  <si>
    <t>LA 4025</t>
  </si>
  <si>
    <t>SE PROCEDE A LA RETENCION DE DOS SACAS COLECTORAS DEL CORREO OFICIAL SEGUN CONSTA EN ACTA DE RETENCION Nº 118/10, QUE ORIGINA LA PREV.SUM. Nº 023/10. LA 1ª IDENTIFICADA CON MARBETE Nº SLA0163406D555800VAE, PRECINTO Nº B059523 CON UN PESO DECLARADO DE 9,500 KG. CON DESTINO USHUAIA. LA 2ª SACA IDENTIFICADA CON MARBETE Nº SLA0169072E555700RGL, PRECINTO Nº B059551, CON UN PESO DECLARADO DE 9,900 KG. CON DESTINO RIO GALLEGOS, AMBAS AMPARADAS EN GUIA DE CARGA AEREA Nº 9327762-3, LAS QUE IBAN A SER DESPACHADAS A TRAVES DE LA EMPRESA DE CARGAS AEREA JET PAQ. LA RETENCION SE REALIZA ANTE LA PRESUNCION DE QUE PUDIERAN CONTENER ALGUN ELEMENTO DE INFRACCION A LAS LEYES 22.415 Y/O 23.737. QUEDANDO LAS MISMAS CERRADAS Y PRECINTADAS EN GUARDA EN ESTA UOSP, SER COMUNICO TELEFONICAMENTE CON EL JUZGADO INTERVINIENTE Y LA APERTURA SE REALIZARA EN PRESENCIA DEL PERSONAL DEL CORREO ARGENTINO. CON CONOCIMIENTO DEL JUOSP.</t>
  </si>
  <si>
    <t>RODRIGUEZ VICTOR DAVID P/SUP. INF. RT.164 DEL CPA</t>
  </si>
  <si>
    <t>SUPUESTA INFRACCION AL ARTICULOI Nº 164 DEL CPA</t>
  </si>
  <si>
    <t>EN EL DIA DE LA FECHA SE PROCEDE AL TRASLADO AL HOSPITAL PSIQUIATRICO SAN FRANCISCO DE ASIS DE LA CIUDAD DE CORRIENTES AL DETENIDO RODRIGUEZ VICTOR DAVID. A FIN DE SER SOMETIDO A UNA PERICIA PSIQUIATRICA ORDENADA POR EL JUZGADO INTERVINIENTE. DE ACUERDO A ORDEN DE SERVICIO Nº 018/10 DE FECHA 10/03/10 DE ESTA UOSP CORRIENTES.</t>
  </si>
  <si>
    <t>1374/10</t>
  </si>
  <si>
    <t>SE PROCEDE A LA APERTURA DE DOS SACAS COLECTORAS DEL CORREO OFICIAL, SEGUN ACTA DE RETENCION Nº 0118/10, PERTENECIENTE A LA PREV. SUM. Nº 023/10, EN PRESENCIA DE UN TESTIGO HABIL, MEDIDA COORDINADA PREVIAMENTE CON EL JUZGADO DE TURNO. LA 1ª SACA COLECTORA MARBETE SLA0163406D555800VAE, PRECINTO N º B059523, CONTIENE DOS PIEZAS POSTALES, LA 1ª IDENTIFICADA COMO EP693229320AR, LA CUAL QUEDA RETENIDA, RTTE: AMALIA VARGAS, AV. LAS AMERICAS Nº 1132-Bº EL MILAGRO-SALTA-CP 4400, DESTINATARIO: SRA CLARA CALDERON, CALLE AKOINIK Nº 809-Bº VINTRUP-USHUAIA-CP 9410. LA 2ª PIEZA POSTAL IDENTIFICADA COMO EP693229333AR, LA CUAL QUEDA RETENIDA, RTTE: AMELIA VARGAS, AV. LAS AMERICAS Nº 1132-Bº EL MILAGRO-SALTA-CP 4400, DESTINATARIO: SR. ALCIRO QUISPE, CALLE AKOINIK Nº 767-Bº VINTRUP- CP9410- TIERRA DEL FUEGO- USHUAIA LA 2ª SACA COLECTORA MARBETE SLA0169072E555700RGL, PRECINTO Nº B059551, CONTIENE DOS PIEZAS POSTALES: LA 1ª IDENTIFICADA COMO EP702482375AR, LA CUAL QUEDA RETENIDA, RTTE: CASILDA ARMELLA, AV. LIBERTADOR Nº 246-PROV. JUJUY- JUJUY- ABRA PAMPA- CP4640, DESTINATARIO: SR.VICENTE FLORES, AV. LOS MINEROS Nº PAB 7 BIS HAB. Nº 19-PROV. DE SANTA CRUZ- L. RIO TURBIO- CP9407 Y LA 2ª PIEZA POSTAL IDENTIFICADA COMO EP658935428AR, ES LIBERADA PARA SU REDESPACHO. LAS ENCOMIENDAS RETENIDAS QUEDAN EN DEPOSITO JUDICIAL DE ESTA UNIDAD A LA ESPERA DEL OFICIO QUE AUTORICE SU APERTURA. CON CONOCIMIENTO DEL JUOSP.</t>
  </si>
  <si>
    <t>DR.JAVIER KRAUSE MAYOL</t>
  </si>
  <si>
    <t>MUELLE 13</t>
  </si>
  <si>
    <t>MIENTRAS PERSONAL DE LA UOCN Y DELITOS COMPLEJOS REALIZABA UN CONTROL DE LOS EQUIPAJES DESPACHADOS DEL VUELO IB 6842, NOTA A TRAVES DE LOS RX EN EL INTERIOR DE UN CARRY ON NEGRO LA PRESENCIA DE UNA SUSTANCIA DEL TIPO ORGANICA, SIN PODER DETERMINAR FEHACIENTEMENTE DE QUE ELEMENTO SE TRATABA. SE PROCEDE A CONVOCAR LA PRESENCIA DE DOS TESTIGOS HABILES, SE DA AVISO AL JEFE DE TURNO Y SE COMISIONA A PERSONAL POLICIAL JUNTO A UNO DE LOS TESTIGOS A DIRIGIRSE A LA ZONA DE EMBARQUE A FIN DE DAR CON LA DUEÑA DEL EQUIPAJE. UNA VEZ CONTACTADA LA PASAJERA Y EN EL SECTOR DONDE SE ENCONTRABA EL EQUIPAJE CONSULTADA SOBRE SI LE PERTENECIA RESPONDE AFIRMATIVAMENTE, ES ALLI QUE SE DISPONE SE TRASLADE POR RAZONES DE SEGURIDAD, COMODIDAD Y URGENCIA A TODOS LOS INTERVINIENTES JUNTO A LA VALIJA AL TURNO. PREVIA AUTORIZACION DEL JUZGADO INTERVINIENTE SE PROCEDE A LA APERTURA DE LA VALIJA ENCONTRANDO UN PORTA SOBRETODO NEGRO Y EN SU INTERIOR UNA MOCHILA GRANDE NEGRA, MARCA TRAVEL B 737, CONTENIENDO VARIAS PRENDAS DE VESTIR Y AL VACIARLA NO CONCUERDA SU PESO CON EL FORMATO POR LO QUE SE LE REALIZA UN CORTE A LA ALTURA DEL ESPALDAR ENCONTRANDO UN PAQUETE DE COLOR NEGRO ENVUELTO EN CINTA AISLADORA NEGRA DE 63 CM POR 37 CM POR 5 CM CON UNA SUSTANCIA PULVERULENTA DE COLOR BLANCA, LA CUAL SOMETIDA A PRUEBA DE CAMPO ARROJA RESULTADO POSITIVO COCAINA, ANTE LA REQUISA PERSONAL Y DE LOS EFECTOS QUE PORTARA LA MISMA AL MOMENTO DE CONTACTARLA DIO RESULTADO NEGATIVO A LA PRESENCIA DE SUSTANCIA PROHIBIDA. SE INFORMA SEGUN PU Nº 1394 QUE EL DIA 10/3/10 SE PROCEDIO AL TRASLADO DE LA DETENIDA A PRIMERA HORA A SEDE JUDICIAL.</t>
  </si>
  <si>
    <t>1215/10</t>
  </si>
  <si>
    <t>SE PROCEDE A LA APERTURA DE UNA ENCOMIENDA DEL CORREO OFICIAL RETENIDA EL DIA 02/03/10 INFORMADA EN PU Nº 1209/10, EN PRESENCIA DE SU PROPIETARIA, SRA. MARIA S. RODRIGUEZ BLANCA, SEGUN ACTA DE APERTURA Nº 121/10, CORRESPONDIENTE A LA PREV SUMA. Nº 019/10. LA APERTURA SE REALIZA CON CONOCIMIENTO DEL MAGISTRADO QUE INSTRUYE. LA PROPIETARIA FUE NOTIFICADA POR EL CORREO OFICIAL QUE SU ENCOMIENDA ESTUVO RETENIDA EN ESTA UNIDAD. LA ENCOMIENDA EP698118759AR, RTTE. MARIA S. RODRIGUWEZ BLANCA, Bº LIMACHE, ET. 1, MZA. 6, CASA Nº 12, C.P. 4.400, SALTA Y DEST. RODRIGUEZ, HECTOR A. PJE. GARAY, Nº 355, 9015, PICO TRUNCADO, SANTA CRUZ, CONTIENE: 5 PAQUETES DE HOJAS DE COCA CON UN PESO TOTAL DE 1.246 GRS., LOS CUALES QUEDAN SECUESTRADOS Y SERAN ENTREGADOS A LA ADMINISTRACION DE ADUANA DE SALTA POR SUPUESTA INFRACCION A LA LEY 22.415, TAMBIEN CONTIENE: UNA CHOMBA, 4 PARES DE MEDIAS, ELEMENTOS DE USO PERSONAL Y AL NO INFRINJIR NORMATIVAS VIGENTES DICHOS ELEMENTOS JUNTO CON LA ENOMIENDA SON ENTREGADAS AL CORREO OFICIAL PARA SE REDESPACHO. CON CONOCIMIENTO DEL JUOSP.</t>
  </si>
  <si>
    <t>MOSTRADORES DEL CHECK- IN</t>
  </si>
  <si>
    <t>EL DENUNCIANTE REALIZO EL DESPACHO DE SU EQUIPAJE POR BODEGA Y AL ARRIBAR A SU DESTINO ENCONTRO SU EQUIPAJE CON SU CIERRE CORRIDO Y EL CANDADO QUE HABIA COLOCADO ABIERTO Y CONSTATANDO EL FALTANTE DE VARIOS ELEMENTOS PERSONALES.</t>
  </si>
  <si>
    <t>AF 417</t>
  </si>
  <si>
    <t>Secretaria N 07</t>
  </si>
  <si>
    <t>AMANDA RUIZ RAMIREZ</t>
  </si>
  <si>
    <t>EN EL DIA DE LA FECHA SE RECIBE OFICIO JUDICIAL ORDENANDO TAREAS A FIN DE IDENTIFICAR AL CHOFER DEL VEHICULO COLOR BLANCO MARCA FIAT DOMINIO GOC-390. CON EL FIN DE QUE PRESTE DECLARACION TESTIMONIAL.</t>
  </si>
  <si>
    <t>ARRIBO DE PASAJEROS</t>
  </si>
  <si>
    <t>EN EL DIA DE LA FECHA SE PRESENTA LA SRA MARIA LAURA AVILA PARA RADICAR UNA DENUNCIA JUDICIAL AMPLIANDO DENUNCIA DE EXTRAVIO 03/10 RADICADA EN ESTA UNIDAD EL DIA CINCO DEL CORRIENTE POR LA PERDIDA DE UNA CARTERA, Y SOLICITANDO SE LE AUTORIZE VER ARCHIVO FILMICO DE CAMARAS OPERADA POR LA EMPRESA LONDON SUPPLY, QUIENES ACCEDEN VOLUNTARIAMENTE A MOSTRARLE LAS IMAGENES EN LAS CUALES APARENTEMENTE SE VE A UNA MUJER RETIRARSE CON LA CARTERA.-</t>
  </si>
  <si>
    <t>POSICION 6</t>
  </si>
  <si>
    <t>EN REFERENCIA A ORDEN DE SERVICIO N° 074/10 EMITIDA POR LA U.R.S.A. II DEL CENTRO RELACIONADA A DISPOSITIVO DE SEGURIDAD PARA VALORES DEL BANCO CENTRAL DE LA REPÚBLICA ARGENTINA, SE EFECTUÓ CUSTODIA A LOS VALORES TRANSPORTADOS EN EL VUELO DE LA ARMADA ARGENTINA FOCKER F28 MATRICULA 5T20, RETIRÁNDOSE LA CAPSULA A LAS 12:30 HS SIN NOVEDAD</t>
  </si>
  <si>
    <t>INFRACCION A LOS ARTICULOS 78 Y 85 DECRETO LEY 8031/73</t>
  </si>
  <si>
    <t>SECTOR ISLA TERMINAL A</t>
  </si>
  <si>
    <t>PERGOLA ARRIBOS TERMINAL A</t>
  </si>
  <si>
    <t>EN MOMENTOS EN QUE PERSONAL POLICIAL REALIZABA UNA RECORRIDA, SORPRENDEN A UNA PERSONA DE SEXO MASCULINO OFRECIENDO SERVICIO DE MALETERO A DIFERENTES PERSONAS QUE CIRCULABAN POR EL SECTOR, SIN ESTAR HABILITADO PARA REALIZAR DICHA ACTIVIDAD.</t>
  </si>
  <si>
    <t>SECTOR DENOMINADO PUNTO DE ENCUENTRO DE LA TERMINAL A</t>
  </si>
  <si>
    <t>SECTOR DE HALL DE ARRIBOS DE LA TERMINAL A</t>
  </si>
  <si>
    <t>QUE LUEGO DE ARRIBAR AL TERRITORIO NACIONAL Y RETIRAR SU EQUIPAJES DE LA CINTA DE EQUIPAJES DE LA TERMINAL A, ENTRE LOS CUALES SE ENCUENTRA UN MALETIN DE MANO DE COLOR NEGRO, DEPOSITA LOS MISMOS EN UN CARRO PORTA MALETAS. SEGUIDAMENTE SE CONDUCE AL HALL DE ARRIBOS CON EL FIN DE ENCONTRARSE CON SU GUIA TURISTICO, DEJANDO LOS EQUIPAJES MENCIONADOS A UN LADO SUYO FUERA DE SU VISTA. QUE CUANDO VUELVE SU VISTA AL CARRO, SE PERCATA DEL FALTANTE DEL MALETIN EN CUESTION</t>
  </si>
  <si>
    <t>BRITISH AIRWAYS</t>
  </si>
  <si>
    <t>BA 247</t>
  </si>
  <si>
    <t>SE AMPLIA PARTE N 1358/10. A PARTIR DE LAS 10:05 HS DEL DIA 10 DE MARZO DE 2010 SE INICIA ALLANAMIENTO SITO EN CALLE SENADOR PEREZ N°102 DE LA CIUDAD DE SAN SALVADOR DE JUJUY, EN CUMPLIMIENTO AL OFICIO N° 30/10 DEL JUZGADO FEDERAL Nº 2 DE JUJUY A CARGO DEL DR. CARLOS M. OLIVERA PASTOR Y MEDIANTE O.S. N°008/10. A CONTINUACION SE DETALLA LOS ELEMENTOS SECUESTRADOS: DORMITORIO PRINCIPAL: CÉDULA DE IDENTIDAD DE LA P.F.A. N° 3.822.252 A NOMBRE DE ALEJANDRO OSVALDO MARJANOV, 4 FOJAS CONTENIENDO ALOCUCION DEL CTE. COM/CDO. CPO. EJ. IV DEL 29-DE SET-89, UN SOBRE ABIERTO DIRIGIDO AL CNEL. ALEJANDRO MARJANOV EL QUE ENVIADO POR EL ESTADO MAYOR GRAL. DEL EJERCITO, CONTENIENDO EN SU INTERIOR UNA NOTA U1 00305/37 DE FECHA 20 DE OCTUBRE DE 1990 DE CARACTER CONFIDENCIAL, FOTOCOPIA DE LA LIBRETA DE ENROLAMIENTO DE ALEJANDRO MARJANOV N° 4.260.719, ESCUDO DE COMANDO DE BAHIA BLANCA, UNA TARJETA DE PRESENTACION A NOMBRE FRANCISCO EDUARDO MACHINANDIARENA, GRAL. DE BRIGADA, CREDENCIAL DEL CIRCULO DE MILITAR N° 1194900 A NOMBRE DE ALEJANDRO MARJANOV HEGUI, CUATRO JUEGOS DE FICHAS DACTILARES SIN USO, UN SOBRE TAMAÑO OFICIO CONTENIENDO CERTIFICADO DE SOCIO VITALICIO DEL CIRCULO MILITAR DE FECHA 16-JUN-05, A NOMBRE DE ALEJANDRO MARJANOV.</t>
  </si>
  <si>
    <t>1380/10</t>
  </si>
  <si>
    <t>SE INFORMA QUE SE PROCEDIO AL TRASLADO DE LA DETENIDA EL DIA 10/03/10 A PRIMERA HORA A SEDE JUDICIAL.-</t>
  </si>
  <si>
    <t>SE AMPLIA PARTE N° 1392/1O, SE CONTINUÓ CON LA REQUISA DEL INMUEBLE: EN UNA BIBLIOTECA SE SECUESTRARON LOS SIGUIENTES LIBROS:LISTA NEGRA LA VUELTA DE LOS 70, HISTORIA DE LAS COMUNICACIONES DEL E.A. TOMO II, TERRORISM IN ARGENTINA, ARTÍCULO PERIODÍSTICO LA LEY, HOLOCAUSTO, UNA CARPETA CON EL ESCRITO FLIA. MARJANOV CONTENIENDO DIFERENTE TIPO DE DOCUMENTACIÓN. EN OTRA HABITACIÓN SE SECUESTRÓ LO SIGUIENTE: RECORTE PERIODISTICO DE PAG. 12, BOLETÍN INFORMATIVO N°3/07, CUATRO FOJAS CONTENIENDO LISTADO DE SOCIOS ACTIVOS, UNA AGENDA DE CUERO MARRÓN MARCA SICOM, UNA FOTOGRAFÍA ANTIGUA DE PROMOCIÓN DEL EJERCITO, SEIS FOJAS CONTENIENDO NOTA DIRIGIDA AL JUEZ DR. ALCINDO ALVAREZ CANALE, UNA REVISTRA DE NOMBRE ESTRELLA ROJA DEL ERP, DOCUMENTO HISTORICO N° 32 IETE FOJAS CONTENIENDO RELATO REFERENTE AL EXPTE. N° 05/07 SECRETARIA DE DDHH, UNA FOTOCOPIA CONTENIENDO ESCRITO NO COMPLETO DONDE MENCIONA A UN TAL RIVERA CARLOS ROBERTO, UNA HOJA CONTENIENDO NOTA DIRIGIDA AL CNEL. MARJANOV DE FECHA 23-JUN-08, DOS COPIAS DE ARTICULOS DEL DIARIO PAGINA 12 EL CUAL HACE ALUSION AL GRAL. CAMPS, UNA CARPETA CONTENIENDO DOCUMENTACION VARIA DEL CAUSANTE. SE PROCEDE A GUARDAR LOS ELEMENTOS SECUESTRADOS EN UNA CAJA DE CARTÓN LA QUE ES CERRADA CON UNA FAJA DE SEGURIDAD, FINALIZANDO EL ALLANAMIENTO A HS. 12:30. LAS ACTUACIONES Y LOS ELEMENTOS SECUESTRADOS SERÁN REMITIDOS EN HORAS DE LA TARDE AL JUZGADO, SEGÚN LO ORDENADO TELEFÓNICAMENTE POR EL SECRETARIO DR. JUAN GONZALEZ DE PRADA.</t>
  </si>
  <si>
    <t>206/10</t>
  </si>
  <si>
    <t>POLICA DE SEGURIDAD AERPORTUARIA SOLICITA APERTURA DE ENCOMIENDA.-</t>
  </si>
  <si>
    <t>SE PROCEDE A LA APERTURA DE CINCO ENCOMIENDAS DEL CORREO OFICIAL, SEGUN ACTA DE APERTURA Nº 122/10, QUE FUE RETENIDA EL 12/01/10, SEGUN CONSTA EN ACTA Nº 007/10, DE LA PREV SUM. Nº 001/10, EN VIRTUD DE LO ORDENADO MEDIANTE EL OFICIO JUDICIAL Nº 070/10 DEL MAGISTRADO ACTUANTE Y EN PRESENCIA DE UN TESTIGO HABIL. LA 1ª EP651459945AR, RTTE. GLADYS TOCONAS , CALLE MANUEL ALBERTI Nº 187, C.P. 4640, ABRA PAMPA Y DEST. STA. MELINA MAMANI, HIELOS CONTINENTALES, CASA Nº 91, YACIMIENTOS RIO TURBIO, PCIA. SANTA CRUZ, CONTIENE: 12 PAQUETES DE HOJAS DE COCA CON UN PESO TOTAL DE 3.026 GRS. LA 2 ª EP703562980AR, RTTE. GRISELDA I. SANCHEZ, PJE. 2, Nº 3440, VILLAJ. DE REYES S.S. DE JUJY, C.P. 4600 Y DEST. JUAN CARLOS BAZAN, CALLE LA RIOJA Nº 170, Bº SANTA CRUZ, RIO TURBI, SANTA CRUZ, C.P. 9407, CEL. Nº 22966-15306664, CONTIENE: 3 PAQUETES DE HOJAS DE COCA CON UN PESO TOTAL DE 757 GRS. LA 3ª EP701093881AR, RTTE. MONICA ROJAS, R. GOYENECHE Nº 225, C.P. 4610, PERICO, JUJUY Y DEST. OMAR ROJAS, TORELLI,N º1710, C.P. 9410, USHUAIA, TIERRA DEL FUEGO, CONTIENE: 6 PAQUETES DE HOJAS DE COCA CON UN PESO TOTAL DE 1.469 GRS.. LA 4ª EP692061866AR, RTTE. YDITH F. MENDEZ, SAN LUCA 1091, Bº LA MERCED, C.P. 4612, PALAPALA, JUJUY Y DEST. RAUL S. RAMOS, INDIO YAMANA 1201, Bº FELIPE VARELA, C.P. 9410, USHUAIA, TIERRA DEL FUEGO, CONTIENE: 1.030 GRS. DE MAIZ Y 6 PAQUETES DE HOJAS DE COCA CON UN PESO TOTAL DE 1.464 GRS. Y LA 5ª EP701093759AR, RTTE. MARIELA CRISTINA, CACHAMBI, CALLE LOS ALISOS Nº 172, Bº MALVINAS ARGENTINAS, LA PAMPITAS, PERICO, C.P. 4610 Y DEST. HUGO ALEJANDRO MARTINEZ, CALLE TORIELLI 1710, USHUAIA, TIERRA DEL FUEGO, C.P. 9410, CONTIENE: 3 REMERAS, 3 CALZONCILLOS, 9 PARES DE MEDIAS Y 4 C.D. DE MUSICA. LAS ENCOMIENDAS SERAN PUESTAS A DISPOSICION DE LA ADUANA DE SALTA POR SUPUESTA INFRACCION A LA LEY 22.415, CODIGO ADUANERO Y LAS ACTUACIONES REMITIDAS A SEDE JUDICIAL. CON CONOCIMIENTO DEL JUOSP.</t>
  </si>
  <si>
    <t>ARRIBOS B</t>
  </si>
  <si>
    <t>EN MOMENTOS EN QUE EL OF. ELLINGHAUS SE ENCONTRABA CUMPLIENDO SUS FUNCIONES LABORALES EN EL PUESTO ARRIBOS B, SE HACE PRESENTE EL OF. VENERI CESAR EN DICHO PUESTO AMENAZANDOLO QUE SI A PARTIR DEL DIA DE LA FECHA LO ENCONTRABA DESALINEADO O MAL PARADO LO IBA A SANCIONAR Y QUE SI NO LE HABIA QUEDADO CLARO LO QUE LE DECIA LO ESPERABA EN EL CANARIO PARA AGREDIRLO, ESTO DESPUES DE HABER RECIBIDO EN VARIAS OPORTUNIDADES DISTINTAS AMENAZAS DE PARTE DE VENERI, POR LO QUE DECIDE REALIZAR LA CORRESPONDIENTE DENUNCIA.</t>
  </si>
  <si>
    <t>1177/10</t>
  </si>
  <si>
    <t>127/10</t>
  </si>
  <si>
    <t>SE PROCEDIO A LA APERTURA DE UNA ENCOMIENDA DEL CORREO OFICIAL, SEGUN ACTA DE APERTURA Nº 123/10, QUE FUE RETENIDA EL DIA 28/02/10, INFORMADA EN PU 1162/10, CORRESPONDIENTE A LA PREV. SUM. Nº 017/10, EN VIRTUD DE LO ORDENADO MEDIANTE EL OFICIO JUDICIAL Nº 545/10 DEL MAGISTRADO ACTUANTE Y EN PRESENCIA DE UN TESTIGO HABIL. LA ENCOMIENDA IDENTIFICADA COMO EP033345066AR, RTTE. PABLO TARIFA, Bº GRAL. SAVIO C/CONSTITUCION Nº 382, PALPALA-JUJUY, C.P. 4612 Y DEST. LUIS SAAVEDRA, Bº LAGO ARGENTINO C/71, Nº 1771, EL CALAFATE, STA. CRUZ, C.P. C.P. 9405, CONTIENE: 1 PANTALON DE GIMNASIA, 1 PANTALON PARA DAMA, 1 CAMPERA PARA DAMA, 1 CAMISA PARA HOMBRE Y 10 PAQUETES DE HOJAS DE COCA CON UN PESO TOTAL DE 2.513 GRS. LA ENCOMIENDA SERA PUESTA A DISPOSICION DE LA ADUANA DE SALTA POR SUP. INFRACC. A LA LEY 22.415, CODIGO ADUANERO Y LAS ACTUACIONES REMITIDAS A SEDE JUDICIAL. CON CONOCIMIENTO DEL JUOSP.</t>
  </si>
  <si>
    <t>AV. S/ PSTA. INF. LEY 26364</t>
  </si>
  <si>
    <t>SE RECEPCIONO OFICIO Nº 2441/10 DE FECHA, 10 DE MARZO DE 2.010, EMITIDO POR EL JUZGADO FEDERAL DE PRIMERA INSTANCIA DE LA CIUDAD DE RIO GRANDE, PROVINCIA DE TIERRA DEL FUEGO, ANTARTIDA E ISLAS DEL ATLANTICO SUR, EN EL QUE SE SOLICITA A ESTA PREVENSION QUE SE REALICE EL ANALISIS DEL CONTENIDO DE UN DISKETTE APORTADO POR LA EMPRESA PRESTADORA DE SERVICIOS DE TELEFONIA MOVIL ANTES MENCIONADA. ASIMISMO SE REQUIERE SE PROCEDA A IDENTIFICAR A LA PERSONA QUE EFECTUABA LA LIMPIEZA DE LA TERMINAL EL DIA 23/01/10 ENTRE LAS 07.00 Y LAS 08:00 HORAS DE LA MAÑANA, CUANDO PARTEN LOS OMNIBUS DE LARGA DISTANCIA.</t>
  </si>
  <si>
    <t>SE PROCEDE A LA RETENCION DE UN TROZO DE TRONCO DE CARDON DE 70 CM DE ALTO POR 60 CM DE ANCHO CON VARIAS RAMIFICACIONES, LABRANDOSE EL ACTA DE INFRACCION DE MEDIOAMBIENTO Nº 0670, DE ACUERDO A LO PRESCRIPTO POR LA LEY PROVINCIAL Nº 7070, SE INFORMA AL MAGISTRADO DE TURNO, EL CUAL DISPONE QUE EL CARDON SEA ENTREGADO A LA SECRETARIA DE POLITICA AMBIENTAL DE LA PROVINCIA DE SALTA, PARA SU GUARDA, NO PUDIENDO ESTA DISPONER DEL ELEMENTO SECUESTRADO, EN RAZON DE QUE SE ENCUENTRA BAJO LA ORBITA DEL JUZGADO FEDERAL DE SALTA Nº 2 . CON CONOCIMIENTO DEL JUOSP.</t>
  </si>
  <si>
    <t>GALLO PULO, CLAUDIA</t>
  </si>
  <si>
    <t>EL DENUNCIANTE MANIFIESTA QUE EL DIA 03/03/10 TOMA EL VUELO Nº 4113 DE LA EMPRESA LAN ARGENTINA SALTA-AEROPARQUE Y AL RETIRASE DEL AEROPUERTO HACIA SU DOMICILIO PARTICULAR, SE DIO CUENTA QUE EN UNOS DE SUS EQUIPAJES LE FALTABA UN ALHAJERO CONTENIENDO BIJOUTERIE VARIOS ,COMO ASI TAMBIEN UNA CADENA Y AROS DE ORO Y UNA CADENA DE ACERO QUIRURGICO.</t>
  </si>
  <si>
    <t>SE AMPLIA PARTE Nº 1397 , SE INFORMA QUE TODAS LAS ACTUACIONES Y DOCUMENTACION SECUESTRADA DE ACUERDO AL OFICIO JUDICIAL Nº 30/10 FUE ENTREGADA AL JUZGADO FEDERAL Nº 2 A CARGO DEL DR.M.OLIVERA PASTOR- SECRETARIA PENAL Nº 4 A CARGO DEL DR.JUAN GONZALEZ DE PRADA. DANDO POR TERMINADAS LAS TAREAS ENCOMENDADAS DE ACUERDO A ORDEN DE SERVICIO Nº 008/10 DE ESTA U.O.C.N Y D.C DEL NORTE Y ORDEN DE SERVICIO Nº 0037/10 DE LA URSA III DEL NORTE.</t>
  </si>
  <si>
    <t>PEINE DE ESTACIONAMIENTO LINDANTE CON LA CALLE DE ACCESO A LA PLAYA DE LA TERMINAL B.</t>
  </si>
  <si>
    <t>ESTACIONAMIENTO PARA PERSONAL</t>
  </si>
  <si>
    <t>FINALIZADA SU JORNADA LABORAL LA DENUNCIANTE SE DIRIGE A SU VEHICULO PARTICULAR MARCA CHEVROLET, MODELO CORSA, COLOR GRIS, DOMINIO GXK-651, CIRCUNSTANCIA EN LA QUE SE PERCATA QUE EL MISMO POSEÍA EL VIDRIO TRASERO (LUNETA) ASTILLADO Y CON UN AGUJERO. LUEGO DE SUBIRSE AL VEHICULO, AL CERRAR LA PUERTA DEL MISMO EL VIDRIO MENCIONADO DE DESINTEGRA. LUEGO SE RETIRA DEL AEROPUERTO.</t>
  </si>
  <si>
    <t>SECRETARIA DE JUZGADO FEDERAL N° 4</t>
  </si>
  <si>
    <t>MIGUEL SAMSON</t>
  </si>
  <si>
    <t>INGRESO DE PERSONAS NO AUTORIZADAS AL SECTOR RESTRINGIDO</t>
  </si>
  <si>
    <t>SECTOR CENTRAL</t>
  </si>
  <si>
    <t>PISTA</t>
  </si>
  <si>
    <t>SIENDO LA HORA 19:20 SE DIVISA SOBRE LA PISTA A CUATRO INDIVIDUOS MOTIVO POR EL CUAL SE DIRIJE PERSONAL DE ESTA UOSP INTERCEPTANDOLOS A LOS MISMOS QUIENES MANIFIESTAN SER: DAVID ALBERTO CRUZ DE 17 AÑOS, SERGIO MATIAS FRIAS DE 12 AÑOS, ADOLFO RUBEN MOYA DE 10 AÑOS Y MARTIN MANUEL ERNESTO DIAZ DE 9 AÑOS, SE ESTABLECE COMUNICACION TELEFONICA CON EL JUZGADO DE TURNO, QUIEN ORDENA SE REALICE CONSTATACION DE DOMICILIO DE CADA UNO DE LOS MENORES, Y SE HAGA ENTREGA EN ESTA UOSP A LOS PADRES DE LOS MISMOS. SE AMPLIARA</t>
  </si>
  <si>
    <t>QUE AL ARRIBAR A ESTE MEDIO EL DENUNCIANTE SE DIRIGE A LA CINTA NÚMERO 7 DE LA TERMINAL "A", DONDE RETIRA SUS TRES EQUIPAJES DESPACHADOS POR BODEGA DE AERONAVE. QUE AL RECIBIR LOS MISMOS PROCEDE A LA APERTURA DEL IDENTIFICADO BAJO MARBETE 0083SA055947, MOMENTO EN EL QUE SE PERCATA DEL FALTANTE.</t>
  </si>
  <si>
    <t>SA226</t>
  </si>
  <si>
    <t>QUE EL DIA DE LA FECHA SE HACE PRESENTE EL DENUNCIANTE A LOS EFECTOS DE RADICAR FORMAL DENUNCIA, INFORMANDO QUE AL ARRIBO DEL VUELO, RECIBE SU EQUIPAJE SIENDO ESTE UNA MOCHILA COLOR NEGRO Y GRIS DE TRES CUERPOS MARCA COMECIAL QUICK SILVER LA QUE FUE ROTULADA CON MARBETE NRO. LA 296168, PERCATANDOSE DE QUE DENTRO DEL INTERIOR DEL MISMO FALTABA UNA RIÑONERA DE COLOR AZUL, LA CUAL CONTENIA UN PENDRIVE MARCA KINSTON DE OCHO GB DE CAPACIDAD, DOSCIENTOS PESOS ARGENTINOS DENTRO DE UNA BILLETERA DE CUERO COLOR MARRON. POR TAL MOTIVO EL DAMNIFICADO REALIZO EL RECLAMO ADMINISTRATIVO EN LA EMPRESA AEROCOMERCIAL DE VUELO, YA QUE NO POSEE SEGURO QUE LO AMPARE ANTE EL HECHO MENCIONADO Y POSTERIORMENTE LA PRESENTE DENUNCIA.</t>
  </si>
  <si>
    <t>ESTACIONAMIENTO DE SCAN VAN</t>
  </si>
  <si>
    <t>CORREO OFICIAL BS AS</t>
  </si>
  <si>
    <t>SE PROCEDE A LA RETENCION DE TRES SACAS COLECTORAS DEL CORREO OFICIAL, SEGUN CONSTA EN ACTA DE RETENCION DE CARGA NRO. 0124/10, CON PREVENCION SUMARIA NRO. 026/10, LA PRIMERA IDENTIFICADA CON MARBETE SLA169069E555700RGL, PRECINTO B059560, CON UN PESO DECLARADO DE 4,600 KGS CON DESTINO A LA CIUDAD DE RIO GALLEGOS, LA SEGUNDA SACA CON MARBETE SLA0169067E555700RGL, PRECINTO B059532, CON DESTINO A LA CIUDAD DE RIO GALLEGOS, CON UN PESO DE 19,400 KGS Y LA TERCERA SACA CON MARBETE SLA0172890E555600CRD, PRECINTO B059591, CON UN PESO DECLARADO DE 16,000 KGS, AMBAS AMPARADAS EN GUIA DE CARGA AEREA NRO 9327777-4, LA QUE IBAN A SER DESPACHADAS A TRAVES DE LA EMPRESA DE CARGA AEREA JET PAQ. LA RETENCION SE REALIZA ANTE LA PRESUNCION DE QUE PUDIERAN CONTENER ALGUN ELEMENTO DE INFRACCION A LAS LEY 22.415 Y/O 23.737. QUEDANDO LAS MISMAS CERRADAS Y PRECINTADAS EN GUARDA DE ESTA UOSP, SE COMUNICO TELEFONICAMENTE CON EL JUZGADO INTERVINIENTE Y LA APERTURA SE REALIZARA EN PRESENCIA DEL PERSONAL DEL CORREO ARGENTINO. CON CONOCIMIENTO DEL JEFE DE LA UOSP.</t>
  </si>
  <si>
    <t>EN EL DIA DE LA FECHA SE HACE PRESENTE LA DENUNCIANTE A EFECTOS DE RADICAR FORMAL DENUNCIA, DE QUE AL LLEGAR AL SECTOR DE ARRIBOS A2 DE ESTE AEROPUERTO, RECIBE SU EQUIPAJE SIENDO ESTE UNA MOCHILA SIN DATOS DE MARCA COMERCIAL O COLOR, ROTULADA CON MARBETE AR 55-75-16, LA CUAL POSEIA SU CREMALLERA ABIERTA, Y AL REVISAR EN SU INTERIOR, SE PERCATA DEL FALTANTE DE UN TELEFONO CELULAR MARCA COMERCIAL APPLE, MODELO IPHONE 3G, SIN MAS DATOS DECLARADOS, EL MISMO SE ENCUENTRA ASEGURADO, PERO NO APORTA LA COMPAÑIA ASEGURADORA, COMO ASI TAMPOCO EL NUMERO DE POLIZA.REALIZO EL RECLAMO ADMINISTRATIVO EN LA EMPRESA AEROLINEAS ARGENTINAS, Y POSTERIORMENTE LA DENUNCIA EN ESTA GUARDIA DE PREVENCION.</t>
  </si>
  <si>
    <t>AU 2681</t>
  </si>
  <si>
    <t>IDEM ANTERIOR.</t>
  </si>
  <si>
    <t>QUE EL DIA DE LA FECHA SIENDO LA HORA 15:00 SE IMPLEMENTA OPERATIVO DE CONTROL DE SEGURIDAD AEROPORTUARIA EN LA AEROESTACION MILITAR AEROPARQUE, POR PARTIDA DE LA SRA. PRESIDENTA DE LA NACION CON DESTINO A LA REPUBLICA DE CHILE, SEGUN ORDEN DE SERVICIO NRO. 192/10 DE ESTA UOSP METROPOLITANA Y ORDEN DE SERVICIO NRO. 149/10 URSA I DEL ESTE. PERSONAL AFECTADO PROPIO DE ESTA UNIDAD, DIVISION CANES Y MOVILES DE DOTACION SCAN VAN SPRINTER, FORD RANGER. SIENDO LAS 17:50 HORAS ARRIBA LA SRA. PRESIDENTA DE LA NACION EN HELICOPTERO MATRICULA H-03, RETIRANDOSE EN AERONAVA MATRICULA T-01 A LAS 18:00 SIN NOVEDAD.</t>
  </si>
  <si>
    <t>EN CUMPLIMIENTO DE LA ORDEN DE SERVICIO NRO. 0016/10 Y SIENDO LAS 23:40 HORAS LOCAL ARRIBA AERONAVE AIRBUS A 320 MATRICULA LV-BTM PERTENECIENTE A LAN ARGENTINA Y EN CUYAS BODEGAS 12, 13, 31, 32, 41 Y 42 SE EMBARCAN UN TOTAL DE 122 PIEZAS CON UN PESO TOTAL DE 5176 KILOGRAMOS DE METAL-MTD, PERTENECIENTES A LA MINERA CERRO VANGUARDIA. DESPEGANDO EL MISMO A LAS 00:40 HORAS LOCAL</t>
  </si>
  <si>
    <t>4M 4425</t>
  </si>
  <si>
    <t>AEROPUERTO GRAL MOSCONI-COMODORO RIVADAVIA</t>
  </si>
  <si>
    <t>AEROPUERTO JORGE NEWBERY-CAPITAL FEDERAL</t>
  </si>
  <si>
    <t>INFRACCION A LA LEY PENAL CAMBIARIA</t>
  </si>
  <si>
    <t>INFRACCIÓN A LA LEY PENAL CAMBIARIA</t>
  </si>
  <si>
    <t>PREEMBARQUE INTERNACIONAL DENOMINADO 1/16.</t>
  </si>
  <si>
    <t>TERMINAL A DE ESTE AEROPUERTO</t>
  </si>
  <si>
    <t>AL PASAR EL PASAJERO EN CUESTIÓN POR EL ARCO DETECTOR DE METALES HACE SONAR LA ALARMA SONORA, POR LO QUE EL PERSONAL POLICIAL DESTACADO EN EL SECTOR PROCEDE A REALIZARLE EL CONTROL DE RUTINA, DETECTANDO QUE EL MISMO POSEÍA EN LA ESPALDA A LA ALTURA DE LA CINTURA BULTOS DE GRAN TAMAÑO EN FORMA OCULTA. QUE EN TAL SENTIDO EL PERSONAL POLICIAL LE CONSULTA QUE LLEVABA, A LO QUE EL PASAJERO CONTESTA DINERO. SE TRASLADA AL PASAJERO A LA GUARDIA DE PREVENCIÓN EN PRESENCIA DE TESTIGOS, Y SE MANTIENE COMUNICACIÓN TELEFÓNICA CON EL JUZGADO NACIONAL EN LO PENAL ECONÓMICO EN TURNO, CIRCUNSTANCIA EN LA CUAL DICHO MAGISTRADO INDICÓ QUE SE LE DEBÍA DAR INTERVENCIÓN AL BANCO CENTRAL DE LA REPÚBLICA ARGENTINA. LUEGO EN APLICACIÓN DE LOS ARTÍCULOS 184 Y 230 BIS DEL CÓDIGO PROCESAL PENAL DE LA NACIÓN SE PROCEDE A LA REQUISA DEL PASAJERO, DETECTÁNDOSE OCULTO ENTRE SUS ROPAS LA EXISTENCIA DE 71.790 REALES. SEGUIDAMENTE SE MANTIENE COMUNICACIÓN CON EL INSPECTOR JACOBO CATUGO, PERTENECIENTE AL BANCO CENTRAL, QUIEN INDICO QUE SE REALICE ACTA DE PROCEDIMIENTO, SECUESTRO DEL DINERO, DEVOLVER AL PASAJERO LA SUMA EQUIVALENTE A DIEZ MIL DÓLARES (POR SER LA CANTIDAD ADMITIDA POR LA LEY), NOTIFICARLO DEL INICIO DE LA CAUSA Y ELEVAR TODO LO ACTUADO JUNTO CON EL SECUESTRO DEL DINERO AL ASIENTO DE ESE BANCO.</t>
  </si>
  <si>
    <t>VARIG</t>
  </si>
  <si>
    <t>AMPLIANDO PARTE URGENTE NRO 1407/2010, INFORMO QUE A HORAS 23:00 DEL DIA 10-MAR-10, FINALIZO LA CONSTATACION DE DOMICILIO Y ENTREGA DE LOS MENORES A SUS RESPECTIVOS PADRES, DANDO ESTRICTO CUMPLIMIENTO CON LO ORDENADO POR EL JUZGADO INTERVINIENTE.</t>
  </si>
  <si>
    <t>DR RAFAEL LEAL</t>
  </si>
  <si>
    <t>PUESTO DE CONTROL Y REGISTRO FIJO UNO</t>
  </si>
  <si>
    <t>EN CIRCUNSTANCIAS QUE SE REALIZABA EL CONTROL RUTINARIO EN DICHO PUESTO, SE HIZO PRESENTE UN MASCULINO DE LA EMPRESA INTERCARGO, QUIEN DEPOSITO UNA MOCHILA SOBRE LA MAQUINA DE RAYOS X EN LA QUE SE OBSERVO A TRAVES DE LA PANTALLA UN ELEMENTO ELECTRONICO, POR LO QUE EL PERSONAL POLICIAL SE SOLICITA QUE EXHIBA EL MISMO, EXTRAYENDO EL PERSONAL DE INTERCARGO UN RELOJ. CONSULTADO SI LO HABIA REGISTRADO EN EL LIBRO DE INGRESO DE OBJETOS ELECTRONICOS, EL MISMO INFORMA QUE NO LO HABIA REGISTRADO, MANIFESTANDO EN FORMA ESPONTANEA QUE LO HABIA COMPRADO EN LA ZONA OPERATIVA DE ESTE AEROPUERTO INTERNACIONAL A CIENTO CINCUENTA PESOS. QUE MANTENIDA COMUNICACION CON EL JUZGADO INTERVINIENTE DISPUSO SE LABREN ACTUACIONES DE RIGOR, SE PROCEDA AL SECUESTRO DEL RELOJ Y QUE EL CAUSANTE QUEDE EN CALIDAD DE AFECTADO A ACTUACIONES Y SE RETIRE UNA VEZ FINALIZADAS LAS MISMAS.</t>
  </si>
  <si>
    <t>SECTOR ESTE DEL ESTACIONAMIENTO</t>
  </si>
  <si>
    <t>SIENDO LAS 0930 HORAS LOCAL SE PRESENTA EN ESTA UNIDAD OPERACIONAL PREVENTIVA EL SEÑOR ROJAS CASTRO CON DNI Nº 25756657 QUIEN EXPONE QUE EL DIA 07 DE MARZO DEL CORRIENTE AÑO REGRESO DE LA CIUDAD DE BUENOS AIRES Y SE ENCONTRO CON QUE LE FALTABA LA RUEDA DE AUXILIO DE SU VEHICULO EL CUAL HABIA DEJADO ESTACIONADO EN PLAYA DE ESTACIONAMIENTO EL DIA 05 DE MARZO DEL CORRIENTE AÑO.</t>
  </si>
  <si>
    <t>AEROPARQUE JORGE NEWBERY</t>
  </si>
  <si>
    <t>1410/10</t>
  </si>
  <si>
    <t>OFICINA TURNO POLICIAL</t>
  </si>
  <si>
    <t>SE PROCEDE A LA APERTURA DE TRES SACAS COLECTORAS DEL CORREO OFICIAL, SEGUN CONSTA EN ACTA DE RETENCION DE CARGA NRO. 0124/10, CON PREVENCION SUMARIA NRO. 026/10, LA PRIMERA IDENTIFICADA CON MARBETE SLA169069E555700RGL, PRECINTO B059560, CON UN PESO DECLARADO DE 4,600 KGS CON DESTINO A LA CIUDAD DE RIO GALLEGOS, CONTIENE UNA PIEZA IDENTIFICADA COMO EP658935428AR, CON REMITENTE: ELEUTERIA CHAVEZ, CALLE CHILE Nº 150, PERICO, JUJUY, C.P. 4610, DESTINATARIO: JUAN CARLOS CARDOZO, CALLE ANTARTIDA ARGENTINA Nº 107, 28 DE NOVIEMBRE, PCIA DE SANTA CRUZ, RIO GALLEGOS, C.P. 9408, RETIRA DE CORREO, LA CUAL QUEDA RETENIDA. LA SEGUNDA SACA CON MARBETE SLA0169067E555700RGL, PRECINTO B059532, CON DESTINO A LA CIUDAD DE RIO GALLEGOS, CON UN PESO DE 19,400 KGS, CONTIENE CUATRO PIEZAS IDENTIFICADAS COMO EP669752505AR, CON REMITENTE: SABINA PORTAL, MARQUEZ CAMPERO Nº 252, LA QUIACA, JUJUY C.P. 4650, DESTINATARIO: JUANA PORTAL, CORREO CENTRAL EL CALAFATE, SANTA CRUZ, C.P. 9405, LA CUAL QUEDA RETENIDA. LAS OTRAS TRES PIEZAS IDENTIFICADAS COMO EP669752496AR, EP684827934AR Y EP684829918AR SON ENTREGADAS AL SR OLARTE PARA SU REDESPACHO POR NO SER DE INTERES. Y LA TERCERA SACA CON MARBETE SLA0172890E555600CRD, PRECINTO B059591, CON UN PESO DECLARADO DE 16,000 KGS, CON DESTINO A LA CIUDAD DE COMODORO RIVADAVIA, CONTIENE UNA PIEZA IDENTIFICADA COMO EP669757017AR, CON REMITENTE: ADELAIDA MARTINEZ, LA QUIACA, C.P. 4650, DESTINATARIO: LUIS ALFREDO GASPAR, REGIMIENTO DE CABALLERIA TANQUE 9, PUERTO DESEADO, SANTA CRUZ, C.P. 9050, LA CUAL QUEDA RETENIDA. LAS RETENCIONES SE REALIZAN ANTE LA PRESUNCION DE QUE PUDIERAN CONTENER ALGUN ELEMENTO EN INFRACCION A LA LEY 22.415 Y/O 23.737. QUEDANDO LAS MISMAS CERRADAS EN GUARDA DE ESTA UOSP, SE COMUNICO TELEFONICAMENTE CON EL JUZGADO INTERVINIENTE Y LAS APERTURAS SE REALIZARAN CON LA AUTORIZACION DEL MAGISTRADO. CON CONOCIMIENTO DEL JUOSP.</t>
  </si>
  <si>
    <t>DR. ALBERTO GRAU</t>
  </si>
  <si>
    <t>RODRIGUEZ VICTOR DAVID P/ SUP. INF ART.16 DEL C.P.A.</t>
  </si>
  <si>
    <t>EXPTE. 50/10</t>
  </si>
  <si>
    <t>SUPUESTA INFRACION AL ARTICULO Nº 164 DEL C.P.A.</t>
  </si>
  <si>
    <t>EN EL DIA DE LA FECHA SE RECEPCIONO EN LA UOSP CRR. OFICIO JUDICIAL DIRIGIDO AL DR. MARCOS ESQUENAZI, JEFE DEPARTAMENTO MEDICO PSICOLOGICO DE ESTA REGIONAL IV DEL LITORAL, EL CUAL EN SU PARTE PERTINENTE ORDENA SE REALICE CON CARACTER DE URGENTE EN EL DIA DE LA FECHA UN AMPLIO INFORME SOBRE EL IMPUTADO VICTOR DAVID RODRIGUEZ, EL CUAL SE ENCUENTRA DETENIDO EN LA U.O.S.P. CORRIENTE , DEBIDO A SU ESTADO ACTUAL DE SALUD Y ALOS FINES DE DETERMINAR EN QUE CONDICIONES MENTALES SE ENCUENTRA EL NOMBRADO</t>
  </si>
  <si>
    <t>SIENDO LA HORA Y FECHA MENCIONADA, SE HACE PRESENTE EN ESTA GUARDIA EL DENUNCIANTE MANIFESTANDO EL EXTRAVIO DE SU PERMISO PERSONAL DE SEGURIDAD AEROPORTUARIA TEMPORARIO, EMITIDO POR ESTA POLICIA DE SEGURIDAD. SE LABRA DENUNCIA DE EXTRAVIO Nº 122/10.</t>
  </si>
  <si>
    <t>SIENDO LA HORA Y FECHA ANTES MENCIONADA, SE HACE PRESENTE EL DENUNCIANTE EN ESTE AEROPUERTO METROPOLITANO CON EL FIN DE REALIZAR EL CHECK-IN PARA ABORDAR EL VUELO CITADO CON ANTERIORIDAD, LUEGO DE EFECTUAR EL DESPACHO DE SU EQUIPAJE, SE DIRIGIO A EMBARCAR, ARRIBANDO UNAS HORAS MAS TARDE EN EL AEROPUERTO DE LA CIUDAD DE CORDOBA. PASADAS UNAS HORAS, AL LLEGAR AL HOTEL, SE PERCATA DEL FALTANTE DE DINERO EN EFECTIVO, EL CUAL SE ENCONTRABA DENTRO DEL EQUIPAJE QUE HABIA DESPACHADO EN LA CIUDAD DE PROCEDENCIA. EN EL DIA DE LA FECHA SE PRESENTA EN ESTA GUARDIA PARA EFECTUAR LA CORRESPONDIENTE DENUNCIA.</t>
  </si>
  <si>
    <t>AU 2506</t>
  </si>
  <si>
    <t>SE HACE PRESENTE EN ESTA DEPENDENCIA EL SEÑOR GERMAN REVOL LOZADA MANIFESTANDO EL EXTRAVIO DE UN PERMISO PERSONAL AEROPORTUARIO DE SEGURIDAD CON ACOMPAñAMIENTO Nº 8048 EN INSTALACIONES DE ESTE AEROPUERTO EN EL DIA DE LA FECHA.SE CONFECCIONA ACTA DE EXTRAVIO Nº 05/10</t>
  </si>
  <si>
    <t>GOMEZ</t>
  </si>
  <si>
    <t>CINTIA GRACIELA</t>
  </si>
  <si>
    <t>EDUARDO GRIOGLIO</t>
  </si>
  <si>
    <t>BOTTARO HORACIO ALBERTO S /SU DENUNCIA INF. ART.90 C.P.</t>
  </si>
  <si>
    <t>EXPTE. 91/09</t>
  </si>
  <si>
    <t>EN EL DIA DE LA FECHA SE RECEPCIONO OFICIO NRO. 121/2010 DE LA FISCALIA FEDERAL Nº 2 SOLICITANDO INFORME RESPECTO DEL PERSONAL QUE SE DESEMPEÑABA EN ESTA UOSP DURANTE EL AÑO 2007 INDICANDO EL RANGO DE JERARQUIA, SITUACION DE REVISTA ACTUAL Y DOMICILIO PARTICULAR DE CADA AGENTE.-</t>
  </si>
  <si>
    <t>JUZGADO FEDERAL DE SAN RAFAEL</t>
  </si>
  <si>
    <t>Acosta</t>
  </si>
  <si>
    <t>Raul</t>
  </si>
  <si>
    <t>DR. PUIG DÈNGOLA EDUARDO</t>
  </si>
  <si>
    <t>ROBO EN GRADO DE TENTATIVA</t>
  </si>
  <si>
    <t>UOSP MALARGUE</t>
  </si>
  <si>
    <t>RADIOESTACIÒN V.O.R. SISTEMA PRINCIPAL DE RADIOAYUDA AL ATERRIZAJE, LATERAL NOR-ESTE DE LA PISTA DE DESPEGUE Y ATERRIZAJE PRINCIPAL</t>
  </si>
  <si>
    <t>SECTOR ESTE DENTRO DEL PERÌMETRO DEL AEROPUERTO</t>
  </si>
  <si>
    <t>SIENDO LAS 09:30 HS APROXIMADAMENTE, SE RECIBE TELEFÒNICAMENTE POR PARTE DE PERSONAL DE FUERZA AÈREA ARGENTINA COMISIONADO EN A.N.A.C., LA NOVEDAD DE QUE LA PUERTA DE ENTRADA A LA RADIOESTACIÒN V.O.R., SE ENCONTRABA ABIERTA Y SU CERRADURA VIOLENTADA. ACTO SEGUIDO ME HAGO PRESENTE EN EL LUGAR DEL HECHO JUNTO A LA OFICIAL AYUDANTE CAMPOS, ADRIANA, JEFE DE TURNO, DONDE SE ME NOTIFICA NUEVAMENTE DE QUE LA PUERTA HABÌA SIDO ENCONTRADO ABIERTA, QUE NO FALTABA NADA EN EL INTERIOR DEL EDIFICIO PARA LO CUAL YA HABÌA INGRESADO EL PERSONAL ANTES MENCIONADO Y SE VERIFICA LA ROTURA DE LA CERRADURA Y UNA LIGERA PRESIÒN POR PALANCA DE FUERZA. SE REALIZA TOMA DE FOTOGRAFÌA DIGITAL Y SE PROCEDE A LA BÙSQUEDA DE RASTROS Y HUELLAS DE VALOR IDENTIFICATIVO, TANTO EN EL INTERIOR COMO EN LOS ALREDEDORES, NO OBTENIENDO RESULTADO POSITIVO. SIENDO LAS 10:30 HS APROXIMADAMENTE, ME COMUNICO CON LA AUTORIDAD JUDICIAL DE TURNO, SIENDO EL DR. FRANCISCO MALDONADO, A QUIEN SE LE IMPONEN DE LOS HECHOS Y DISPONE: 1º SE CARATULE EL HECHO COMO ROBO EN GRADO DE TENTATIVA, 2º SE LABREN LAS ACTUACIONES DE RIGOR DANDO ORIGEN AL SUMARIO DE PREVENCIÒN Nº 01/10 DE ORDEN INTERNO Y 3º SE ELEVEN LAS MISMAS UNA VEZ FINALIZADAS, A LO QUE SE DA ESTRICTO CUMPLIMIENTO.</t>
  </si>
  <si>
    <t>PRIMER PISO, LOCAL 22 DEL DUTY FRE SHOP, DE LA TERMINAL A</t>
  </si>
  <si>
    <t>SE RECIBE COMUNICACION POR PARTE DEL PERSONAL DE INTERBAIRES INFORMANDO QUE EN EL LOCAL 22 DE ESA EMPRESA, UNA TRIPULANTE DE LA EMPRESA AVIANCA HABIA COMETIDO UN ILICITO, POR LO QUE SE REQUERIA PRESENCIA POLICIAL. POR LO CUAL, SE COMISIONA A PERSONAL POLICIAL AL LUGAR, EL CUAL AL ARRIBAR SE CONTACTO CON PERSONAL DE ESA EMPRESA QUIEN INFORMO QUE LA TRIPULANTE POSEIA UNA POTE PEQUEÑO DE CREMA EL CUAL NO HABIA ABONADO. ATENTO A ELLO SE CONVOCA LA PRESENCIA DE TESTIGOS Y SE TRASLADAN TODOS LOS INTERVINIENTES A LA GUARDIA DE PREVENCION. DANDO INTERVENCION JUDICIAL EN LA QUE SE DISPUSO EL LABRADO DE ACTUACIONES DE RIGOR Y QUE FINALIZADAS LAS MISMAS, LA CAUSANTE DE NO CONTAR CON IMPEDIMENTOS LEGALES, SE RETIRE DE ESTE MEDIO. SEGUN PU Nº 1444 SE INFORMA QUE EL DIA 11/03/10 SIENDO LAS 2330 HORAS SE RECEPCIONA EL INFORME DE REINCIDENCIA Y ESTADISTICA CRIMINAL EL CUAL INDICA QUE POR SOBRE LA DETENIDA NO PESA RESTRICCIONES NI ANTECEDENTES, POR LO QUE LA CAUSANTE HACE ABANDONO DE LA GUARDIA DE PREVENCION POR SUS PROPIOS MEDIOS.</t>
  </si>
  <si>
    <t>ALBERTO GRAU</t>
  </si>
  <si>
    <t>RODRIGUEZ VICTOR DAVD P/SUP. INF. ART. 164 DEL C.P.A</t>
  </si>
  <si>
    <t>EXPTE. Nº 50/10</t>
  </si>
  <si>
    <t>SUPUESTA INFRACCION AL ART. 164 DEÑ C.P.A.</t>
  </si>
  <si>
    <t>SE INFORMA QUE SE DIO CUMPLIMIENTO A LO ORDENADO POR EL JUZGADO INTERVINIENTE ARROJANDO COMO RESULTADO QUE EL IMPUTADO PRESENTA UNA PERSONALIDAD DE BAJO NIVEL INTELECTUAL, RASGOS DELIRANTE Y PARANOIDES, PERO EN EL MOMENTO ACTUAL PUEDE DECLARAR, SIENDO DE PREVEER RESPUESTAS PUERILES Y DE MARCADO TINTE DELIRANTE. PROBABLE REACCION DE ANGUSTIA Y SUSCEPTIBILIDAD AL INTERROGATORIO. DCHO INFORME FUE ENTREGADO EN MESA DE ENTRADA DEL JUZGADO INTERVINIENTE CONFORME A LO REQUERIDO</t>
  </si>
  <si>
    <t>DRA. MARIANA BUTELER DE BARROS</t>
  </si>
  <si>
    <t>BODEGA</t>
  </si>
  <si>
    <t>QUE EL DIA 08 MAR 10 EL DENUNCIANTE DESPACHA SU VALIJA BAJO MARBETE N° 20234 EN EL SECTOR DE CHEK-IN QUE LA EMPRESA AÉREA TIENE DESIGNADO EN ESTA TERMINAL, PARA A POSTERIOR ABORDAR EL VUELO DE REFERENCIA. AL ARRIBAR A SU DESTINO FINAL Y LUEGO DE RETIRAR SU EQUIPAJE, OBSERVA QUE SU VALIJA TENIA LOS CIERRES EN OTRA POSICION POR LO QUE PROCEDE A REVISAR SU CONTENIDO CONSTATANDO EL FALTANTE DENUNCIADO</t>
  </si>
  <si>
    <t>04-892</t>
  </si>
  <si>
    <t>OFICINA DE SENASA HALL PLANTA BAJA</t>
  </si>
  <si>
    <t>SECTOR DE ARRIBOS A2</t>
  </si>
  <si>
    <t>SIENDO LA HORA Y FECHA ANTES MENCIONADA, SE HACE PRESENTE LA ENCARGADA DE LA DELEGACION SENASA AEROPARQUE A FIN DE INFORMAR QUE EN EL DÍA DE LA FECHA RECIBIO UN LLAMADO TELEFONICO EN SU DOMICILIO, POR PARTE DE UN AGENTE DE SENASA EN DONDE LE DAN LA NOVEDAD DE QUE HABIA DESAPARECIDO UN SOBRE CON DINERO EL CUAL SE ENCONTRABA SOBRE EL ESCRITORIO DE LA OFICINA PRINCIPAL UBICADA EN EL SECTOR A2 PLANTA BAJA. AL REALIZAR LA BUSQUEDA POR EL LOCAL Y AL OBTENER RESULTADOS NEGATIVOS RADICÓ LA CORRESPONDIENTE DENUNCIA. COMUNICADA LA JUDICATURA SOBRE DICHO EPISODIO, ESTA SOLICITO TESTIMONIAL AL PERSONAL DEL TURNO ENTRANTE Y DEL TURNO SALIENTE, CIERRE Y ELEVACION.</t>
  </si>
  <si>
    <t>SENASA</t>
  </si>
  <si>
    <t>PRIMER PISO, LOCAL 22 DEL DUTY FREE SHOP, DE LA TERMINAL A</t>
  </si>
  <si>
    <t>SE RECIBE COMUNICACION POR PARTE DEL PERSONAL DE INTERBAIRES INFORMANDO QUE EN EL LOCAL 22 DE ESA EMPRESA, UNA PASAJERA HABIA SUSTRIDO UN PRODUCTO COSMETICO DE ESE LOCAL, RETIRANDOSE DEL MISMO SIN ABOMNARLO. POR LO QUE SE REQUERIA PRESENCIA POLICIAL. EN VIRTUD A ELLO, SE COMISIONA A PERSONAL POLICIAL AL LUGAR, EL CUAL AL ARRIBAR SE CONTACTO CON PERSONAL DE ESA EMPRESA QUIEN INFORMO LOS PORMENORES DE LOS HECHOS ACAECIDOS. ANTE LA POSIBLE COMISION DE UN DELITO DE ACCION PUBLICA SE CONVOCA LA PRESENCIA DE TESTIGOS Y SE TRASLADAN TODOS LOS INTERVINIENTES A LA GUARDIA DE PREVENCION. DANDOSE INTERVENCION JUDICIAL EN LA QUE SE DISPUSO EL LABRADO DE ACTUACIONES DE RIGOR Y FINALIZADAS LAS MISMAS, LA CAUSANTE DE NO CONTAR CON IMPEDIMENTOS LEGALES, SE RETIRE DE ESTE MEDIO. SE INFORMA SEGUN PU Nº 1445 QUE SIENDO LAS 2310 HORAS SE RETIRA DE ESTA DEPENDENCIA POLICIAL, POR SUS PROPIOS MEDIOS, LA DENUNCIANTE POR NO PRESENTAR RESTRICCION ALGUNA SOBRE SU LIBRE CIRCULACION.</t>
  </si>
  <si>
    <t>SE PROCEDE A LA RETENCION DE UNA SACA COLECTORA DEL CORREO OFICIAL SEGUN CONSTA EN ACTA DE RETENCION DE CARGA Nº 0128/10, CORRESPONDIENTE A LA PREVENCION SUMARIA Nº 027/10, IDENTIFICADA CON MARBETE Nº SLA0168884E636300NQN, PRECINTO Nº B059528, CON UN PESO DECLARADO DE 15,700 KGS, DESTINO NEUQUEN, AMPARADA EN GUIA AEREA Nº 9327787-0, DEL SERVICIO DE CARGA DE JET PAQ, LA QUE IBA A SER DESPACHADA A TRAVES DE LA EMPRESA DE CARGA AEREA JET PAQ. LA RETENCION SE REALIZA ANTE LA PRESUNCION DE QUE PUDIERA CONTENER ALGUN ELEMENTO EN INFRACCION A LA LEY 22.415 Y/O 23.737. QUEDANDO LA MISMA CERRADA Y PRECINTADA EN GUARDA DE ESTA UOSP, SE COMUNICO TELEFONICAMENTE CON EL JUZGADO INTERVINIENTE, Y LA APERTURA SE REALIZARA EN PRESENCIA DEL PERSONAL DEL CORREO ARGENTINO, CON CONOCIMIENTO DE DEL JUOSP.</t>
  </si>
  <si>
    <t>EN EL DIA DE LA FECHA ARRIBA A ESTE AEROPUERTO T-01 CON LA SEÑORA PRESIDENTA DE LA NACION Y COMITIVA S/N, AERONAVE PROXIMA A PARTIR A LA CIUDAD DE RIO GALLEGOS</t>
  </si>
  <si>
    <t>DR. JUAN CARLOS BENINATI</t>
  </si>
  <si>
    <t>AVERIGUACION CONTENIDO DE SACA POR PRESUNTA INFRACCION A LA LEY 23.737.</t>
  </si>
  <si>
    <t>AVERIGUACION CONTENIDO DE SACA POR PRESUNTA INFRACCION A LA LEY 23.737</t>
  </si>
  <si>
    <t>EN EL DIA DE LA FECHA REALIZANDO CONTROL DE CORREO PARA EL VUELO MENCIONADO EL JEFE DE TURNO EN COMPAÑIA DEL SUPERVISOR OBSERVAN EN LA PANTALLA DE RAYOS X VARIO OBJETOS CON FORMAS DE FRASCOS Y POMOS CONTENIENDO ALGO INDETERMINADO EN SU INTERIOR QUE DE ACUERDO A LAS IMAGENES SERIA COMPATIBLE CON SUSTANCIAS DEL TIPO ORGANICA, SEGUIDAMENTE LAS SACAS SON INSPECCIONADAS POR EL CAN AXEL EL CUAL INDICA ALERTA POSITIVO PARA LA PRESENCIA DE SUSTANCIAS ESTUPEFACIENTES. SE DA INTERVENCION AL JUZGADO NOMBRADO ANTERIORMENTE SIENDO ATENDIDO POR EL SECRETARIO QUIEN ORDENA LA INTERDICCION Y EL ENVIO DE LA SOLICITUD DE APERTURA PARA EL DIA 12/03/10, PERMANECIENDO LA SACA EN CUSTODIA EN ESTA UOSP.</t>
  </si>
  <si>
    <t>ALCOBA BARBA HANS S/INF. ARTS. 292 DEL C.P.</t>
  </si>
  <si>
    <t>ALCOBA BARBA HANS S/INF. ARTS 292 DEL C.P.</t>
  </si>
  <si>
    <t>ORDEN DE CAPTURA.</t>
  </si>
  <si>
    <t>OFICINA CONTIGUA A LA GUARDIA DE PREVENCION</t>
  </si>
  <si>
    <t>OFICINA CENTRAL DE LA D.N.M. DE EZEIZA.</t>
  </si>
  <si>
    <t>SE RECIBE DEL PERSONAL DE LA D.N.M AL CIUDADANO EN CUESTION DADO QUE PESA SOBRE EL MISMO, UNA MEDIDA RESTRICTIVA QUE SE ENCUENTRA VIGENTE, DE ACUERDO AL RELEVEMIENTO DEL SISTEMA INFORMATICO DE ESE ORGANISMO. SE ENTABLA COMUNICACION CON EL JUZGADO SOLICITANTE, QUE ANTE LA NOVEDAD DISPONE LA DETENCION DEL CAUSANTE EN CALIDAD DE COMINICADO, SE REALICEN DILIGENCIAS PERTINENTES Y CULMINADAS LAS MISMAS SE TRASLADE AL CAUSANTE A LA U-28 DEL SERVICIO PENITENCIARIO FEDERAL. DEBIENDO REMITIRSE LAS ACTUACIONES LABRADAS A PRIMERA HORA DEL DIA DOCE DEL CORRIENTE MES Y AÑO. SIENDO LAS VEINTIDOS HORAS, EL CAUSANTE ES TRASLADADO A LA UNIDAD 28 DEL SERVICIO PENITENCIARIO FEDERAL. PTO.</t>
  </si>
  <si>
    <t>PZ 702</t>
  </si>
  <si>
    <t>PLATAFORMA OPERATIVA-AERONAVE</t>
  </si>
  <si>
    <t>SE CONFECCIONA EL PRESENTE A FIN DE INFORMAR QUE SIENDO LAS 21:40 HS LOCAL: ARRIBO LA AERONAVE PRESIDENCIAL T-01 PROCEDENTE DE EL CALAFATE SOLO CON LA TRIPULACION SIN NOVEDAD.ASIMISMO SE INFORMA QUE LA MECIONADA AERONAVE PERNOCTARA EN ESTE AEROPUERTO HASTA NUEVA ORDEN.</t>
  </si>
  <si>
    <t>1430/10</t>
  </si>
  <si>
    <t>PRIMER PISO, LOCAL 22 DEL DUTY FRE SHOP</t>
  </si>
  <si>
    <t>SIENDO LAS VEINTITRES HORAS, TREINTA MINUTOS, DEL DIA 11 DEL CORRIENTE MES Y AÑO, UNA VEZ REGRESADA LA COMISION POLICIAL A REINCIDENCIA Y ESTADISTICA CRIMINAL, LA MISMA INFORMA QUE POR SOBRE LA HABIDA NO PESA RESTRICCION ALGUNA EMANADA POR AUTORIDAD COMPETENTE U ORGANISMO JUDICIAL CON RESPECTO A SU LIBRE CIRCULACION, MOTIVO POR EL CUAL, LA CAUSANTE HACE ABANDONO DE ESTA PREVENCION POR SU PROPIOS MEDIOS. PTO.</t>
  </si>
  <si>
    <t>AVIANCA</t>
  </si>
  <si>
    <t>1437/10</t>
  </si>
  <si>
    <t>PRIMER PISO, LOCAL 22 DEL DUTY FREE SHOP</t>
  </si>
  <si>
    <t>QUE SIENDO LAS VEINTITRES HORAS DIEZ MINUTOS, LA CAUSANTE SE RETIRA DE ESTA DEPENDENCIA POLICIAL POR SUS PROPIOS MEDIOS, EN VIRTUD A QUE UNA VEZ RECIBIDO EL INFORME DE REINCIDENCIA, LA MISMA NO PRESENTA RESTRICCCION ALGUNA SOBRE SU LIBRE CIRCULACION. PTO.</t>
  </si>
  <si>
    <t>BAÑO DE DAMAS DEL HALL CENTRAL O ZONA DE CHECK IN DE LA EMPRESA AEROLINEAS ARGENTINAS</t>
  </si>
  <si>
    <t>QUE SIENDO LA HORA Y FECHA ANTES MENCIONADA SE HACE PRESENTE LA DAMNIFICADA A EFECTOS DE REALIZAR UNA DENUNCIA POR UN HECHO DE CARÁCTER DELICTIVO. EN DONDE SIENDO LAS 01:30HS DEL PRESENTE DIA LUEGO DE HABER UTILIZADO LOS SANITARIOS LOS CUALES ESTÁN UBICADOS EN EL SECTOR DE HALL CENTRAL, Y DE DIRIGIRSE HACIA EL ESTACIONAMIENTO DESCUBIERTO O PARKING NORTE, A EFECTOS DE RETIRAR SU VEHICULO AUTOMOTOR MARCA DAITHATSU MODELO CHARADE DOMINIO BGW055, SE PERCATO DE QUE SU TELÉFONO CELULAR LO HABÍA DEJADO OLVIDADO DENTRO DE UNO DE LOS BOXS DEL BAÑO DE DAMAS. LUEGO DE HABER BUSCADO POR TODO EL SANITARIO EL TELÉFONO CELULAR, ESTE NO SE LOGRO ENCONTRAR</t>
  </si>
  <si>
    <t>RODRIGUEZ VICTOR DAVID P/SUP. INFR. ART.164 DEL CPA</t>
  </si>
  <si>
    <t>EN EL DIA DE LA FECHA SE PROCEDE AL TRASLADO DEL DETENIDO AL JUZGADO FEDERAL DE 1º INSTANCIA CORRIENTES A CARGO DE DR. CARLOS SOTO DAVILA PARA FIRMAR DOCUMENTACION A LA CAUSA RODRIGUEZ VICTOR DAVID P/SUP. INF. ART.164 DEL CPA. POSTERIORMENTE SE TRASLADARA AL DETENIDO AL HOSPITAL SAN FRANCISCO DE ASIS DE LA CIUDAD DE CORRIENTES . DE ACUERDO A ORDEN DE SERVICIO Nº 019/10 DE ESTA U.O.S.P. CORRIENTES.</t>
  </si>
  <si>
    <t>1439/10</t>
  </si>
  <si>
    <t>OFICINA SUMARIOS POLICIALES</t>
  </si>
  <si>
    <t>SE PROCEDE A LA APERTURA DE UNA SACA COLECTORA DEL CORREO OFICIAL SEGUN CONSTA EN ACTA DE RETENCION DE CARGA Nº 0128/10, CORRESPONDIENTE A LA PREVENCION SUMARIA Nº 027/10, IDENTIFICADA CON MARBETE Nº SLA0168884E636300NQN, PRECINTO Nº B059528, LA CUAL CONTIENE DOS PIEZAS POSTALES IDENTIFICADAS COMO: EP666289765AR, RTTE. TRINIDAD AGUIRRE, CARLOS PELLEGRINI 221, Bº FLORIDA, C.P. 4.612, PALPALA JUJUY Y DEST. SRA. ELADIA FLORES, AV SAN MARTIN 2.700, LOS HORNOS, PLOTTIE, C.P. 8.316, PCIA. NEUQUEN, LA CUAL QUEDA RETENIDA Y LA EP686237011AR ES ENTREGADA AL SR. OLARTE PARA SU REINCERCION EN EL SISTEMA DE CORREOS POR NO SER DE INTERES, LA RETENCION SE REALIZA ANTE LA PRESUNCION DE QUE PUDIERA CONTENER ALGUN ELEMENTO EN INFRACCION A LA LEY 22.415 Y/O 23.737. QUEDANDO LA MISMA CERRADA EN GUARDA DE ESTA UOSP, SE COMUNICO TELEFONICAMENTE CON EL JUZGADO INTERVINIENTE, Y LA APERTURA SE REALIZARA CON LA AUTORIZACION DEL MAGISTRADO ACTUANTE, CON CONOCIMIENTO DE DEL JUOSP.</t>
  </si>
  <si>
    <t>SE HACE PRESENTE EN EL DIA DE LA FECHA EN ESTA DEPENDENCIA EL DENUNCIANTE MANIFESTANDO EL EXTRAVIO DE UN PERMISO PERSONAL AEROPORTUARIO, VENCIDO, DENTRO DE LAS INSTALACIONES DE ESTE AEROPUERTO NO PUDIENDO PRECISAR EL LUGAR EXACTO. SE CONFECCIONA ACTA DE EXTRAVIO Nº 06/10.</t>
  </si>
  <si>
    <t>JUZGADO FEDERAL N° 2 DE JUJUY</t>
  </si>
  <si>
    <t>DR. FEDERICO ZURUETA</t>
  </si>
  <si>
    <t>COMODORO LUIS GUIDO JOFFRE S/DENUNCIA P/SUPUESTA USURPACION DE TIERRA</t>
  </si>
  <si>
    <t>FRANJA DE TIERRA ENTRE RUTA NACIONAL 66 Y AEROPUERTO JUJUY</t>
  </si>
  <si>
    <t>PREDIOS LINDANTES AL AEROPUERTO JUJUY</t>
  </si>
  <si>
    <t>INFORMO QUE EN EL DÍA DE LA FECHA SIENDO LA HORA 11:20 SE PRESENTA EN ESTA UOSP JUJUY EL COMODORO LUIS FERNANDO GUIDO JOFFRE QUIEN SE DESEMPEÑA COMO JEFE DEL AEROPUERTO JUJUY A EFECTOS DE RADICAR UNA DENUNCIA POR SUPUESTA USURPACIÓN DE TIERRAS QUE HABRIÁN SIDO DONADAS A LA FUERZA AEREA ARGENTINA Y QUE COLINDAN CON EL AEROPUERTO JUJUY. SE REALIZA UNA COMUNICACIÓN TELEFONICA CON LA FISCALIA FEDERAL Nº 1 DE TURNO A CARGO DEL DR. DOMINGO BATULE, RESPONDIENDO LA LLAMDA EL DR. SEBASTIÁN JURE SECRETARIO DE LA FISCALIA DE TURNO, ORDENANDO SE REALICE LA IDENTIFICACIÓN DE LAS PERSONAS QUE SE ENCUENTREN EN EL PREDIO EN CUESTIÓN, SE REALICEN TOMAS FOTOGRAFICAS, QUE EL DENUNCIANTE APORTE COPIAS DE LA DOCUMENTACIÓN RESPALDATORIA DE LA TITULARIDAD DE LAS TIERRAS, Y SE ELEVE EL SUMARIO CORRESPONDIENTE A LA FISCALIA DE MENCIÓN.</t>
  </si>
  <si>
    <t>Juzgado Nacional en lo Penal Económico Nº 08</t>
  </si>
  <si>
    <t>Secretaria N 16</t>
  </si>
  <si>
    <t>DRA. MONICA MARTA IGUIÑIZ</t>
  </si>
  <si>
    <t>N.N. S/INTERVENCIONES TELEFONICAS - INFRACCION LEY 22.415</t>
  </si>
  <si>
    <t>990/08</t>
  </si>
  <si>
    <t>CUERPO MEDICO FORENSE DE LA CORTE SUPREMA DE JUSTICIA DE LA NACION</t>
  </si>
  <si>
    <t>FUERA DE ESTA JURISDICCION AEROPORTUARIA</t>
  </si>
  <si>
    <t>SIENDO LA HORA Y FECHA MENCIONADA, SE ENVIA COMISION CON DESTINO AL CUERPO MEDICO FORENSE CITO EN LA CALLE LAVALLE Nº 1429 DE ESTA CIUDAD AUTÓNOMA DE BUENOS AIRES, CON EL FIN DE CUMPLIMENTAR EL PEDIDO EMANADO POR LA JUDICATURA INTERVINIENTE, MEDIANTE OFICIO, QUE REZA: SE PROCEDA A REALIZAR UN PROFUNDO EXAMEN MEDICO A CARLOS MECHETTI - DNI Nº 11.634.086, QUE DEBERA LLEVARSE A CABO A LA MAYOR BREVEDAD POSIBLE, DEBIENDO REMITIRSE LOS RESULTADOS A LOS ESTADOS DEL TRIBUNAL EN EL DIA DE LA FECHA. SE AMPLIARA AL REGRESO DE LA COMISION.</t>
  </si>
  <si>
    <t>Gremiales</t>
  </si>
  <si>
    <t>ARGUELLO HORACIO MARIO</t>
  </si>
  <si>
    <t>ALTURA SECTOR SALIDA DE ARRIBO INTERNACIONAL</t>
  </si>
  <si>
    <t>CALLE PRINCIPAL DE CIRCULACION</t>
  </si>
  <si>
    <t>INFORMO QUE SIENDO APROXIMADAMENTE 07:40 HS PERSONAL DE LA EMPRESA CONCESIONARIA DE REMIS - SERVICIO DIFERENCIAL - INTENTO REALIZAR UN CORTE EN LA CALLE PRINCIPAL DE ESTA AEROESTACION A LA ALTURA DE LA SALIDA DE ARRIBOS INTERNACIONALES, POR TAL MOTIVO SE DIRIGE PERSONAL DE ESTA UOSP, TRATANDO DE DISUADIR LA POSTURA DE LOS MANIFESTANTES, SIMULTANEAMENTE SE PROCEDIO A DAR INTERVENCION AL JUZGADO DE TURNO SIENDO ATENDIDO POR EL DR. MIGUEL SANSON PROSECRETARIO DE LA SECRETARIA PENAL Nº IV, QUIEN SOLICITA QUE SE REALICE UNA NUEVA COMUNICACION EN UN TRANSCURSO DE 30 MINUTOS Y QUE REALIZARIA LA CONSULTA CON EL JUEZ, CONTINUANDO CON LOS HECHOS QUE MOTIVAN LA INTERVENCION POLICIAL SE ENTABLESE DIALOGO CON LOS MANIFESTANTES QUIENES ADUCIAN QUE OTROS SERVICIOS SEMIPUBLICO DE PASAJEROS -TAXIS- NO SE ENCONTRABA AUTORIZADO, SE LE SOLICITA QUE DEPONGAN SU ACTITUD DEBIDO A QUE NO PUEDEN OBSTRUIR LA CIRCULACION Y QUE ESE ES UN PROBLEMA COMERCIAL, ANTE ESTA SITUACION LOS MANIFESTANTES DECIDEN ACATAR LO SOLICITADO VOLVIENDO A PERMITIR LA LIBRE CIRCULACION SIN HABERSE PRODUCIDO NINGUN TIPO DE INCIDENTE. A HS 08:20 SE ESTABLECE UNA NUEVA COMUNICACION CON EL JUZGADO DE TURNO INFORMANDOLE LO OCURRIDO AL DR. SANSON, QUIEN ORDENA QUE POR NO HABERSE REGISTRADO NOVEDADES NO SE REALICEN ACTUACIONES Y/O PREVENCIONES SUMARIAS.-</t>
  </si>
  <si>
    <t>CARRANZA LUIS Y CARRANZA PABLO S/AMENAZAS</t>
  </si>
  <si>
    <t>EN LA CALLE PROXIMO A LA SALIDA DEL SECTOR ARRIBO INTERNACIONAL</t>
  </si>
  <si>
    <t>A HORAS NUEVE SE PRESENTO EN ESTA UNIDAD OPERACIONAL EL SR. OSCAR DOMINGO HERRERA, QUIEN SE DESEMPEÑA COMO REMISERO DE LA EMPRESA SERVICIOS DIFERENCIALES DE TAXI Y REMISES EN ESTE AEROPUERTO, MANIFESTANDO QUE LOS SEÑORES LUIS CARRANZA Y PABLO CARRANZA, CHOFERES DE TAXI INDEPENDIENTES, LO AMENAZARON CON PROVOCARLES DAÑOS FISICOS CON SU VEHICULO. SE REALIZA COMUNICACION TELEFONICA CON LA FISCALIA DE TURNO QUIEN ORDENA SE LABREN LAS ACTUACIONES DE RIGOR.</t>
  </si>
  <si>
    <t>DRA. MARIANA CERVERA</t>
  </si>
  <si>
    <t>LEGAJO DE ESPEJO FIESTA DANIEl</t>
  </si>
  <si>
    <t>2198/10</t>
  </si>
  <si>
    <t>-----</t>
  </si>
  <si>
    <t>PREEMBARQUE INTERNACIONAL , SECTOR PUERTA Nº 3</t>
  </si>
  <si>
    <t>DOS EFECTIVOS DE LA UOESA DEL NORTE REALIZARON CUSTODIA DEL EXPULSADO, DANDO CUMPLIMIENTO A LA ORDEN DE SERVICIO Nº 041/10 DE LA URSA III DEL NORTE. LA RECEPCION, CUSTODIA Y POSTERIOR EMBARQUE FUE SOLICITADA POR LA DELEGACION SALTA DE MIGRACIONES, SEGUN DISPOSICION 06/08 DEL JEFE DEL ESCUADRON 52 DE GENDARMERIA NACIONAL TARTAGAL, COMO DELEGADO DE LA DIRECCION NACIONAL DE MIGRACIONES, JUNTAMENTE CON LO DISPUESTO POR EL MAGISTRADO ACTUANTE EN SU OFICIO Nº 343/10 - ES-. AL CAUSANTE SE LE REALIZO LA REVISION MEDICA DE RIGOR ANTE EL FACULTATIVO DE TURNO EN EL AEROPUERTO, DR. ERNESTO DELGADO M.P. 4341, QUIEN EXPIDIO EL CERTIFICADO CORRESPONDIENTE SIN NOVEDAD. LA CUSTODIA Y POSTERIOR EMBARQUE SE DESARROLLO SIN INCONVENIETES HASTA EL MOMENTO DE SU PARTIDA. CON CONOCIMIENTO DEL JUOSP.</t>
  </si>
  <si>
    <t>SL 250</t>
  </si>
  <si>
    <t>INFORMO QUE SE REALIZA INTERDICCION EN PRESUNTA INFRACCIONA A LA LEY 22415, SE HACE ENTREGA DE LA MERCADERIA AL PERSONAL DE LA AFIP- DGA QUIEN PROCEDE AL COBRO DE LA POLIZA BAJO ACTA Nº 2010029004089. VALOR TOTAL DE LA MERCADERIA DOLARES ESTADOUNIDENSES MIL CIEN.</t>
  </si>
  <si>
    <t>DR GRAU FEDERICO ALBERTO</t>
  </si>
  <si>
    <t>RODRIGUEZ VICTOR DAVID P/SUP. INF. ART. 164 CPA</t>
  </si>
  <si>
    <t>50/10</t>
  </si>
  <si>
    <t>SUPUESTA INFRACCION AL ARTICULO Nº164 DEL CPA</t>
  </si>
  <si>
    <t>EN EL DIA DE LA FECHA SE RECIBE DEL JUZGADO FEDERAL DE 1º INSTANCIA DE LA PROVINCIA DE CORRIENTES OFICIO Nº 419 REFERENTE AL EXP. CARATULADO RODRIGUEZ VICTOR DAVID P/ SUP.INF. ART. 164 DEL C.P.A. DONDE SE HA PROCEDIDO A CONCEDERLE LA LIBERTAD AL CIUDADANO VICTOR DAVID RODRIGUEZ D.N.I. 13.460.232 QUIEN SE HALLA ALOJADO EN ESTA U.O.S.P. CORRIENTES.</t>
  </si>
  <si>
    <t>DRA.MARIA VIRGINIA DUFFY</t>
  </si>
  <si>
    <t>JEFATURA DE POLICIA DE TUCUMAN CCD S/SECUESTRO Y DESAPARICIONES -SEGUNDO GRUPO</t>
  </si>
  <si>
    <t>EXPEDIENTE 795/4</t>
  </si>
  <si>
    <t>SE INFORMA QUE A PARTIR DEL DIA DE LA FECHA SE PROCEDE A DAR CUMPLIMIENTO A LO ORDENADO SEGUN ORDEN DE SERVICIO Nº 038/10 A LOS FINES DE DAR CUMPLIMIENTO MEMORANDO Nº 297/10, PRODUCIDO POR EL DEPARTAMENTO OPERACIONES POLICIALES - C.E.A.C. SEGÚN PU 1688 SE AMPLIA PARTE Nº 1463, INFORMANDO QUE SE PROCEDE A DAR POR CUMPLIMENTADO LO ORDENADO EN EL EMORANDO Nº 297/10, PRODUCIDO POR EL DEPARTAMENTO OPERACIONES POLICIALES - C.E.A.C., MEDIANTE ORDEN DE SERVICIO Nº 038/10 DE LA URSA III DEL NORTE. EL INFORME DE LO ACONTECIDO SERA ELEVADO A LA INSTANCIA SUPERIOR. SEGÚN PU 2227 SE AMPLIA EL P.R. GENERADOR N° 1463/10, EL CUAL DA CUMPLIMIENTO DE LO ORDENADO EN MEMORANDO N° 297/10, PRODUCIDOPOR EL CEAC - DOPA, INFORMANDO QUE SE DA INICIO A O.S. N° 059/10 (URSA III DEL NORTE), POR LO QUE SIENDO HS. 09:15, PERSONAL DE LA UOCN Y DC DEL NORTE, CENTRAL Y DE LA UOA DE ESTA PSA, SE DIRIGEN AL DOMICILIO UBICADO EN CALLE MENDOZA 2459, DONDE SE PROCEDE A LA DETENCION DEL CIUDADANO RICARDO OSCAR SANCHEZ. SIMULTANEAMENTE EN EL DOMICILIO DE AV. INDEPENDENCIA 316, SE LLEVA A CABO LA DETENCION DEL CIUDADANO LUIS ALBERTO SOSA Y EN EL DOMICILIO DE CALLE BOLIVAR 3276 SE HACE LO PROPIO CON EL CIUDADANO JUAN ALBERTO ABRAHAM. EN TODOS LOS CASOS SE LES REALIZA A LOS DETENIDOS LA LECTURA DE DERECHOS Y GARANTIAS, LABRANDOSE LAS ACTAS DE DETENCION CORRESPONDIENTES, TODO ELLO EN PRESENCIA DE TESTIGOS HABILES. FINALIZADOS ESTOS ACTOS SE REALIZA EL TRASLADO DE LOS MISMOS EN MOVILES NO IDENTIFICABLES, HACIA DEPENDENCIAS DE LA UOSP TUCUMAN, DONDE SE LES EFECTUA TOMAS FOTOGRAFICAS Y DE HUELLAS DACTILARES. SIENDO HS. 11:50, SE REALIZA EL TRASLADO DE LOS DETENIDOS SANCHEZ Y SOSA Y A HS. 12:25 SE EFECTUA EL TRASLADO DEL DETENIDO ABRAHAM, TODOS ELLOS A DEPENDENCIAS DEL JUZGADO FEDERAL DE TUCUMAN. SEGUN PR 2240 AMPLIANDO P.R. GENERADOR N° 1463/10, EL CUAL DA CUMPLIMIENTO DE LO ORDENADO EN MEMORANDO N° 297/10, PRODUCIDO POR EL CEAC - DOPA, Y EN RELACION A O.S. N° 059/10 (URSA III DEL NORTE), INFORMO QUE PERSONAL DE LA UOCN Y DC DEL NORTE, CENTRAL Y DE LA UOA DE ESTA PSA, SIENDO HS. 07:50, SE DIRIGEN AL DOMICILIO UBICADO EN CALLE ALFONSINA STORNI N° 64, DONDE SE PROCEDE A LA DETENCION DEL CIUDADANO ROLANDO REYES QUINTANA. SE LE REALIZA AL DETENIDO LA LECTURA DE DERECHOS Y GARANTIAS, LABRANDOSE LAS ACTAS CORRESPONDIENTES, TODO ELLO EN PRESENCIA DE TESTIGOS HABILES. FINALIZADOS ESTOS ACTOS SE REALIZA EL TRASLADO DEL MISMO EN MOVILES NO IDENTIFICABLES, HACIA DEPENDENCIAS DE LA UOSP TUCUMAN, DONDE SE LE EFECTUAN TOMAS FOTOGRAFICAS Y DE HUELLAS DACTILARES. SIENDO HS. 09:40, SE EFECTUA EL TRASLADO DEL DETENIDO A DEPENDENCIAS DEL JUZGADO FEDERAL DE TUCUMAN. SEGUN PR 2246 AMPLIANDO P.R. GENERADOR N° 1463/10, EL CUAL DA CUMPLIMIENTO DE LO ORDENADO EN MEMORANDO N° 297/10, PRODUCIDO POR EL CEAC - DOPA, EN RELACION A O.S. N° 059/10 (URSA III DEL NORTE), INFORMO QUE SIENDO HS. 09:15, PERSONAL DE LA UOCN Y DC DEL NORTE, CENTRAL Y DE LA UOA DE ESTA PSA, SE DIRIGEN AL DOMICILIO UBICADO EN AV. JULIO A. ROCA N° 527, CIUDAD DE TAFI VIEJO, TUCUMAN, SE PROCEDE A LA DETENCION DEL CIUDADANO RAMON CESAR JODAR. SE LE REALIZA LECTURA DE DERECHOS Y GARANTIAS, LABRANDOSE LAS ACTAS CORRESPONDIENTES, TODO ELLO EN PRESENCIA DE TESTIGOS HABILES. FINALIZADOS ESTOS ACTOS SE REALIZA EL TRASLADO DEL MISMO EN MOVIL NO IDENTIFICABLE, HACIA DEPENDENCIAS DE LA UOSP TUCUMAN, DONDE SE LE EFECTUA TOMAS FOTOGRAFICAS Y DE HUELLAS DACTILARES. SIENDO HS. 11:00, SE REALIZA EL TRASLADO DEL IMPUTADO A DEPENDENCIAS DEL JUZGADO FEDERAL DE TUCUMAN.</t>
  </si>
  <si>
    <t>1441/10</t>
  </si>
  <si>
    <t>POLIC. SEGURIDAD AEROPORTUARIA OF. INSP. ANDRES AVELINO GALEANO JEFE UOSP RCIA. S/SOLIC. ORDEN APERTURA DE ENCOMIENDA.</t>
  </si>
  <si>
    <t>OFICINA DE LA JEFATURA DE ESTA UOSP.</t>
  </si>
  <si>
    <t>EN EL DIA DE LA FECHA SE DA CUMPLIMIENTO A LA ORDEN DE APERTURA DE ENCOMIENDA LIBRADA POR EL JUZGADO ACTUANTE, SE PROCEDIO A LA APERTURA DE LAS DOS SACAS INTERDICTADAS EL DIA 11/03/10 ENCONTRANDO EN LA PRIMERA UNA CAJA CON RTTE ROSA DIMENNA, ROLDAN Nº 75 RESISTENCIA, CHACO Y DESTINATARIO MARIA EUGENIA DIMENNA, ROSA DE WILSON Nº 1608, DPTO ARRIBA, PUERTO DESEADO, SANTA CRUZ, CONTENIENDO POTES PLASTICOS Y POMOS DE PRODUCTOS COSMETICOS Y UNA TOALLA, SE REALIZA PRUEBA DE CAMPO CON COCA TEST A ALGUNOS DE ELLOS DANDO RESULTADO NEGATIVO, LA SEGUNDA SACA CONTENIA UN PAQUETE CON DOS CAJAS CON IGUAL RTTE Y DESTINATARIO QUE LA ANTERIOR, EN AMBAS SE ENCONTRARON POTES Y POMOS DE PRODUCTOS COSMETICOS, SE REALIZA PRUEBA DE CAMPO CON COCA TEST DANDO RESULTADO NEGATIVO. TAMBIEN DOS SOBRES DE PAPEL MADERA CONTENIENDO DOCUMENTACION PRIVADA. SE INFORMA DE LO ACTUADO AL JUZGADO INTERVINIENTE ORDENANDO SE PROSIGA LAS ACTUACIONES Y SE ENTREGUE LAS SACAS AL CORREO PARA QUE CONTINUE SU CURSO.</t>
  </si>
  <si>
    <t>BENTOS</t>
  </si>
  <si>
    <t>WALTER RICARDO</t>
  </si>
  <si>
    <t>DR. MARCELO GARNICA</t>
  </si>
  <si>
    <t>INTERIOR DEL SALON</t>
  </si>
  <si>
    <t>HALL DE ARRIBOS CABOTAJE</t>
  </si>
  <si>
    <t>SIENDO LAS 14:50 HORAS APROXIMADAMENTE EN MOMENTOS EN QUE SALIA EL PASAJE CORRESPONDIENTE AL VUELO AR 1416 CON ITINERARIO BUENOS AIRES- MENDOZA EN SECTOR DE ARRIBOS, EL OF. AYTE. MASTRANTONIO OBSERVA EN UN CARRO DE EQUIPAJES DE AA2000, LA PRESENCIA DE UN MALETÍN DE CUERO DE COLOR NEGRO SIN MARBETE IDENTIFICATORIO E INFORMANDO LA NOVEDAD. POSTERIORMENTE SE APERSONA EN EL LUGAR EL JEFE DE TURNO Y SE COMIENZA CON EL PROCEDIMIENTO NORMALIZADO PARA ESTOS FINES, DANDOSE INTERVENCIÓN A PERSONAL DEL TURNO G.E.D.EX., QUIEN REALIZA UNA INSPECCION DE RUTINA DANDO RESULTADO NEGATIVO PARA LA PRESENCIA DE EXPLOSIVOS, ENTREGANDO EL HALLAZGO AL SERVICIO DE GUARDIA. EL JEFE DE TURNO INFORMA EL RESULTADO DE LOS CONTROLES AL JEFE DE OPERACIONES Y ESTE A SU VEZ INFORMA A LA AUTORIDAD JUDICIAL LO SUCEDIDO. PREVIAMENTE SE INTENTÓ COMUNICACIÓN AL JUZGADO INTERVINIENTE SI PODER LOGRARLO.</t>
  </si>
  <si>
    <t>1239/10</t>
  </si>
  <si>
    <t>DR. GRAU ALBERTO FEDERICO</t>
  </si>
  <si>
    <t>SUP. INF. AL ARTICULO Nº 164 DEL C.P.A.</t>
  </si>
  <si>
    <t>EN EL DIA DE LA FECHA SE RECEPCIONA OFICIO Nº 418 DEL JUZGADO FEDERAL, SECRETARIA PENAL Nº 2 DE LA PROVINCIA DE CORRIENTES. REF: INCIDENTE CARATULADO: JEFE DEL CENTRO DE VIGILANCIA AEROESPACIAL RESISTENCIA S/ VEHICULO EN DEVOLUCION EN EXP. 50/10. EN EL CUAL SE A DISPUESTO LA ENTREGA DEFINITIVA AL SR. JEFE DEL CENTRO DE VIGILANCIA AEROESPACIAL DE RESISTENCIA . EN EL ESTADO FISICO Y MECANICO QUE SE ENCUENTRA EL VEHICULO MARCA JEPP IKA DOMINIO XFY 533 EL CUAL SE ENCONTRABA SECUESTRADO EN ESTA UNIDAD OPERACIONAL .</t>
  </si>
  <si>
    <t>DRA MARIANA BUTELER DE BARROS</t>
  </si>
  <si>
    <t>CONTENEDOR DE LA EMPRESA INTERCARGO SAC EN SECTOR NORTE DE PLATAFORMA</t>
  </si>
  <si>
    <t>CONTENEDOR USADO COMO VESTIDOR POR LA EMPRESA INTERCARGO S.A.C.</t>
  </si>
  <si>
    <t>QUE EN EL DíA DE LA FECHA, SIENDO LAS 17:00 HRS SE PRERSENTA ANTE EL SERVICIO DE GUARDIA DE ESTA UOSP EL DENUNCIANTE QUE SE DESEMPEÑA COMO OPERADOR DE RAMPA DE LA EMPRESA INTERCARGO S.A.C, AL INGRESAR A LOS VESTIDORES, QUE ESTA POSEE EN EL SECTOR NORTE DE PLATAFORMA EN UN CONTENEDOR, EN EL CUAL EL PERSONAL POSEE COFRES PARA GUARDAR SUS ELEMENTOS PERSONALES. ALABRIR SU COFRE OBSERVO QUE TODAS SUS PERTENENCIAS ESTABAN DESORDENADAS, Y QUE ADEMAS ENCONTRO UN (01) ENVASE DE PERFUME CON LA INSCRIPCIóN 212 SEXY MEN CAROLINA HERRERA, COLOR BORRA VINO, SIN CONTENIDO EN SU INTERIOR, MANIFESTANDO EL DICENTE QUE NO ES DE SU PROPIEDAD Y QUE NO FUE INTRODUCIDO POR EL EN SU COFRE. DADAS ESTAS CIRCUNSTANCIAS DE ANOMALIA PUDO CONSTATAR QUE LAS BISAGRAS DEL COFRE, LAS CUALES SE PUEDEN OBSERVAR DESDE SU INTERIOR, SE ENCONTRABAN FORZADAS. EL DENUNCIANTE DECLARA QUE SU COFRE YA HA SIDO VIOLENTADO EN VARIAS OPORTUNIDADES Y QUE TALES CIRCUNSTANCIAS SE MANIFIESTAN SIEMPRE QUE HA TENIDO PROBLEMAS O DISCUSIONES CON UN COMPAñERO DE TRABAJO QUE SE DESEMPEñA COMO TRACTORISTA O MALETERO DE LA EMPRESA EMPLEADORA DE HANDLING Y A QUIEN IDENTIFICA COMO MATíAS KESSLER, YA QUE EL DíA 11 DEL CORRIENTE MES Y AñO APROXIMADAMENTE A LAS 16:00 HS , EL DENUNCIANTE TUVO UNA DISCUSIóN CON EL CITADO EMPLEADO EN LA CUAL LE MANIFESTó QUE DEJARA DE PONER LEYENDAS O ESCRITOS AGRAVIANTES O INSULTANTES HACIA SU PERSONA EN LAS PAREDES, ASCENSORES, BAñOS Y/O CUALQUIER LUGAR DE ESTA AEROESTACION O DE LA EMPRESA EMPLEADORA</t>
  </si>
  <si>
    <t>INTERCARGO</t>
  </si>
  <si>
    <t>MONICA MARTA IGUIÑIZ</t>
  </si>
  <si>
    <t>N.N - INTERVENCIONES TELEFONICAS - S/INFRACCION LEY 22.415</t>
  </si>
  <si>
    <t>EN EL DIA DE LA FECHA DANDO CUMPLIMIENTO A OFICIO EMANADO POR EL JUZGADO INTERVENIENTE SE PROCEDE AL TRASLADO DE LOS DETENIDOS, VISCARDIS, CAMARERO, ROBERTO, RENZI Y ROBLEDO, A SEDE JUDICIAL, FINALIZANDO EL MISMO A LAS 00:30 HS DEL DIA 13-03-2010 AL SER ALOJADOS PARA REALIZAR EL TRAMITE DE LIBERTAD EN EL DEPARTAMENTO CENTRAL DE LA POLICIA FEDERAL ARGENTINA. SE INFORMA SEGUN PU Nº 1479 SIENDO LAS 2300 HORAS REGRESA DEL JUZGADO NACIONAL EN LO PENAL ECONOMICO Nº 8 LA COMISION ENVIADA A SOLICITUD DE LA JUDICATURA APORTANDO OFICIO MEDIANTE EL CUAL SE PROCEDIO EN SEDE DE LA POLICIA FEDERAL ARGENTINA, A LA LIBERACION DEL SEÑOR CARLOS MECHETTI BAJO CAUCION REAL DE ACUERDO A LO DISPUESTO POR EL JUEZ A CARGO DE LA CAUSA.</t>
  </si>
  <si>
    <t>1355/10</t>
  </si>
  <si>
    <t>POLIC. SEGURIDAD AEROPORTUARIA SUBINSPECTOR GUSTAVO A. FERNANDEZ I/C DE UOSP RCIA. S/SOLIC. ORDEN APERTURA DE ENCOMIENDA</t>
  </si>
  <si>
    <t>OFICINA JEFATURA DE ESTA UOSP</t>
  </si>
  <si>
    <t>EN EL DIA DE LA FECHA SE DA CUMPLIMIENTO A LA ORDEN DE APERTURA DE ENCOMIENDA LIBRADA POR EL JUZGADO ACTUANTE. SE PROCEDIO A LA APERTURA DE LA SACA INTERDICTADA EL DIA 08/03/2010 ENCONTRANDO UN PAQUETE CON REMITENTE ZULMA INSAURRALDE, PEATONAL PERON 171, RESISTENCIA, CHACO, Y DESTINATARIO ING. SANDRA N. RAMIREZ, AV. EZEQUIEL BUSTILLO, KM 9500, INSTITUTO BALSEIRO, CENTRO ATOMICO BARILOCHE, SAN CARLOS DE BARILOCHE, CONTENIENDO DOS PAQUETES, EL PRIMERO CON DOS PAQUETES DE CAFE BONAFIDE DE 1 KG. C/U Y SEMILLAS DE MANGO. EL SEGUNDO UN BOLSO MEDIANO PARA PC. SE INFORMA DEL RESULTADO AL JUZGADO INTERVINIENTE, ORDENANDO SE PROSIGAN LAS ACTUACIONES Y SE ENTREGUE LA SACA AL CORREO ARGENTINO PARA QUE CONTINUE SU CURSO.</t>
  </si>
  <si>
    <t>Juzgado Nacional en lo Penal Económico Nº 01</t>
  </si>
  <si>
    <t>Beron de Astrada</t>
  </si>
  <si>
    <t>Ezequiel</t>
  </si>
  <si>
    <t>VALERIA ROSITO</t>
  </si>
  <si>
    <t>LOIACONO, MATIAS Y OTROS S/ TENTATIVA DE CONTRABANDO DE ESTUPEFACIENTES</t>
  </si>
  <si>
    <t>CALLE AVELLANEDA Nº 2324 1°P DE LA LOCALIDAD DE 3 DE FEBRERO, PROVINCIA DE BUENOS AIRES.</t>
  </si>
  <si>
    <t>EN EL DÍA DE LA FECHA MEDIANTE ORDEN DE SERVICIO N° 158 SE PROCEDIÓ AL ALLANAMIENTO EN EL DOMICILIO SITO EN LA CALLE AVELLANEDA 2324, PRIMER PISO, DE LA LOCALIDAD DE TRES DE FEBRERO CON EL OBJETIVO DE PROCEDER A LA DETENCIÓN DE HÉCTOR GASTÓN RODRÍGUEZ CON D.N.I. Nº 30.826.402 EN CUMPLIMIENTO DE LA ORDEN DE DETENCIÓN LIBRADA POR S.SA DR. EZEQUIEL BERON DE ASTRADA TITULAR DEL JUZGADO NACIONAL EN LO PENAL ECONÓMICO N° 1, SECRETARIA N° 2, A CARGO DE LA DRA. VALERIA ROSITO EN RELACIÓN A LA CAUSA N° 5745. UNA VEZ EN LA FINCA Y AL ACCIONAR EL TIMBRE DE LLAMADA LA PERSONA EN CUESTIÓN SALE POR UN PORTÓN CONTINUO A LA CASA Y SE ACERCA PREGUNTADO "QUE PASA" MOTIVO POR EL CUAL SE LE REALIZA LA LECTURA DE DERECHOS AL CAUSANTE, SE CONSTATA SU IDENTIDAD Y SE LE HACE SABER QUE SE ENCUENTRA DETENIDO / COMUNICADO. EL DETENIDO ES TRASLADADO A ESTA UNIDAD OPERACIONAL DE CONTROL DEL NARCOTRAFICO Y EL DELITO COMPLEJO DEL ESTE PARA TOMARLE LAS HUELLAS DACTILARES, REVISACIÓN MÉDICA Y SU POSTERIOR TRASLADO A EL COMPLEJO PENITENCIARIO Nº 2 - MARCOS PAZ - DEL SERVICIO PENITENCIARIO FEDERAL.</t>
  </si>
  <si>
    <t>1453/10</t>
  </si>
  <si>
    <t>QUE EN EL DIA DE LA FECHA SIENDO LA HORA 13:40, SE RECIBIO POR PARTE DE LA URSAI DEL ESTE, DE LA JUDICATURA MENCIONADA, OFICIO JUDICIAL EL CUAL REZA - A FIN DE SOLICITARLE QUE SE PROCEDA EN EL DIA DE LA FECHA, AL TRASLADO A ESTE JUZGADO Y SECRETARIA, DEL DETENIDO CARLOS MECHETTI DNI 11.634.086 QUE SE ENCUENTRA ALOJADO EN DICHA DEPENDENCIA, A DISPOSICION DE ESTE JUZGADO Y SECRETARIA. POR LO ANTERIORMENTE EXPUESTO, SEGUIDAMENTE Y SIENDO LA HORA 14:10, LUEGO DE ARRIBADO A ESTE AEROPUERTO, FINALIZADO EL CONTROL MEDICO CUERPO MEDICO FORENSE AL DETENIDO, SE PROCEDERA A DAR ESTRICTO CUMPLIMIENTO AL MANDATO JUDICIAL EN HORAS 15:00, MOMENTO EN EL CUAL SE ENVIA COMISION CON EL FIN DE CUMPLIMENTAR LO SOLICITADO POR LA JUDICATURA ACTUANTE. SE AMPLIARA CON REGRESO DE LA COMISION.</t>
  </si>
  <si>
    <t>SE PROCEDE A LA RETENCION DE UNA SACA COLECTORA DEL CORREO OFICIAL SEGUN CONSTA EN ACTA DE RETENCION DE CARGA Nº 131/10, QUE ORIGINA PREV.SUM. 028/10, LA SACA IDENTIFICADA CON MARBETE SLA0163396D555800VAE, PRECINTO B 102016, CON DESTINO A LA CIUDAD DE USHUAIA, CON UN PESO DECLARADO DE 14,800 KG. AMPARADA EN GUIA AEREA Nº 9327798-4, LA QUE SERIA DESPACHADA A TRAVES DEL LA EMPRESA DE CARGA AEREA JET PAQ, LA RETENCION SE REALIZA ANTE LA PRESUNCION DE QUE PUDIERA CONTENER ALGUN ELEMENTO EN INFRACCION A LAS LEYES 22415 Y/O 23737, QUEDANDO LA MISMA CERRADA Y PRECINTADA EN GUARDA EN ESTA UOSP, SE COMUNICO TELEFONICAMENTE CON EL JUZGADO INTERVINIENTE, Y LA APERTURA SE REALIZARA EN PRESENCIA DEL PERSONAL DEL CORREO OFICIAL. EL VUELO Nº 2458 TIENE PREVISTO LLEGAR A HORAS 22 APROXIMADAMENTE. CON CONOCIMIENTO DEL JUOSP.</t>
  </si>
  <si>
    <t>SIENDO LA HORA Y FECHA ANTES MENCIONADA SE HACE PRESENTE EN ESTA GUARDIADE PREVENCION EL DENUNCIANTE MANIFESTANDO QUE EN EL AEROPUERTO DE LA CIUDAD DE IGUAZU HABIA DESPACHADO UNA VALIJA CON MARBETE Nº 453308 Y UNA VEZ ARRIBADO A ESTE AEROPUERTO Y EN MOMENTOS DE RETIRARLA DE LA CINTA DE EQUIPAJES SE PERCATA QUE SU VALIJA SE ENCONTRABA CON EL CIERRE ROTO COMO ASI TAMBIEN DEL FALTANTE DEL CANDADO QUE TENIA COLOCADO Y EN ESE MOMENTO PROCEDE A VERIFICAR EL CONTENIDO DE LA VALIJA, EN DONDE SE PERCATA DEL FALTANTE DE UNA CAMARA FOTOGRAFICA DIGITAL Y DE UN PERFUME MARCA ONA SAENZ. LUEGO SE DIRIGIO A LA MEPRESA AEROCOMERCIAL A LOS FINES DE RADICAR EL RECLAMO CORRESPONDIENTE, PARA LUEGO DIRIGIRSE A ESTA GUARDIA DE PREVENCION A RADICAR SU DENUNCIA PENAL.</t>
  </si>
  <si>
    <t>N.N. S/INTERVENCIONES TELEFONICAS-INFRACCION LEY 22.415</t>
  </si>
  <si>
    <t>JUZGADO NACIONAL EN LO PENAL ECONOMICO Nº8</t>
  </si>
  <si>
    <t>SIENDO LA FECHA Y HORA MENCIONADA, SE ENVIA COMISION CON DESTINO AL TRIBUNAL ACTUANTE, CON EL FIN DE CUMPLIMENTAR EL PEDIDO EMANADO POR LA POR EL MISMO, MEDIANTE OFICIO, QUE REZA: -SE PROCEDA EN EL DIA DE LA FECHA, AL TRASLADO A ESTE JUZGADO Y SECRETARIA, DE LA DETENIDA SILVIA BIBIANA TOMASSINI, QUE SE ENCUENTRA ALOJADA EN DICHA DEPENDENCIA-. SE AMPLIARA EL PARTE AL REGRESO DE LA COMISION.- SE INFORMA SEGUN PU Nº 1480 SIENDO LAS 2235 HORAS REGRESA DEL JUZGADO NACIONAL EN LO PENAL ECONOMICO Nº 8 LA COMISION ENVIADA A SOLICITUD DE LA JUDICATURA APORTANDO OFICIO MEDIANTE EL CUAL SE PROCEDIO EN SEDE DE LA POLICIA FEDERAL ARGENTINA, A LA LIBERACION DE LA SEÑORA SILVIA TOMASSINI BAJO CAUCION JURATORIA DE ACUERDO A LO DISPUESTO POR SU SEÑORIA. SE INFORMA SEGUN PU Nº 1535 DEL DIA 15/03/10 SIENDO LAS 0915 HORAS POR ORDEN DEL JUZGADO NACIONAL EN LO PENAL ECONOMICO Nº 8 INTERVINIENTE SE PROCEDE A CONCEDER LA EXCARCELACION BAJO CAUCION JURATORIA DE LA IMPUTADA EN DEPENDENCIA DE LA POLICIA FEDERAL ARGENTINA.</t>
  </si>
  <si>
    <t>IGUIÑIZ MONICA</t>
  </si>
  <si>
    <t>NN INTERVENCIONES TELEFONICAS S/INF. LEY 22.415</t>
  </si>
  <si>
    <t>MAQUINAS RX D.G.A.</t>
  </si>
  <si>
    <t>LA CAUSA ANTERIORMENTE MENCIONADA SE DESPRENDE DE UNA INVESTIGACION LLEVADA ADELANTE SOBRE EL POSIBLE INGRESO ILEGAL AL PAIS DE CIUDADANOS DE ORIGEN CHINOS, DANDO LUGAR AL DESARROLLO DE TAREAS CON EL FIN DE INVESTIGAR LA INTRODUCCION AL TERRITORIO NACIONAL DE MERCADERIA EXTRANJERA COMO EQUIPAJE DESPACHADO ELUDIENDO LA DECLARACION ADUANERA LO CUAL SE PERMITIA POR MEDIO DE COIMAS LAS CUALES PODIAN LLEGAR HASTA QUINIENTOS DOLARES, ESTO ULTIMO SE DESPRENDE DE ESCUCHAS TELEFONICAS. EN EL MARCO DE LA CAUSA Y EN VIRTUD EN HABER TOMADO CONOCIMIENTO QUE UNA PASAJERA INVESTIGADA ARRIBARIA EL DIA 10 DE MARZO, SE IMPLEMENTO UN DISPOSITIVO DE MONITOREO DE LOS MOVIMIENTOS, POSIBILITANDO LA DETENCION DE DOS PERSONAS DE SEXO FEMENINO QUIENES HABRIAN ABONADO UNA SUMA DE DINERO EN DOLARES AL PERSONAL DE ADUANA Y A UN MALETERO PARA INGRESAR AL PAIS SIN DECLARAR LA MERCADERIA QUE HABRIAN ADQUIRIDO EN EL EXTERIOR. DE ESTAS DETENCIONES SE DESPRENDIO LA ORDEN DE ALLANAMIENTO Y DE DETENCION. APARTE DE ESTAS DOS FEMENINAS DENOMINADAS BAGALLERAS SE DETUVO A: UN OFICIAL AYUDANTE DE LA P.S.A., UN EMPLEADO CIVIL DE P.S.A., UN MALETERO Y CINCO EMPLEADOS DE LA DIRECCION GENERAL DE ADUANAS. EN LOS ALLANAMIENTOS REALIZADOS SE REALIZARON SECUESTROS DE DIVERSOS ELEMENTOS DE IMPORTANCIA PARA LA CAUSA. SE INFORMA SEGUN PU Nº 1478 QUE SIENDO LAS 2030 HORAS DEL DIA 12-03-10 SE CUMPLIMENTA LA ORDEN DE ALLANAMIENTO EMANADA POR EL JUZGADO INTERVINIENTE LIBRADAS PARA LAS OFICINAS DE LA DGA UBICADAS EN LA TERMINAL A DEL ARRIBO INTERNACIONAL DEL AEROPUERTO MINISTRO PISTARINI A FIN DE PROCEDER AL SECUESTRO DE LOS LIBROS, REGISTROS, CONSTANCIAS DE PAGO Y PAPELES VINCULADOS AL PAGO DE LOS DERECHOS ADUANEROS, QUE FUERAN REALIZADOS POR TODOS LOS PASAJEROS DEL AÑO 2008 A LA FECHA. SIENDO LAS 2330 HORAS DEL DIA 12-03-10 FINALIZA LA MISMA SECUESTRANDOSE DOCUMENTACION VARIA DE INTERES PARA LA CAUSA. SE INFORMA SEGUN PU Nº 1493 QUE SEGUN LO ORDENADO POR S.SA. SE DEBE PROCEDER AL SECUESTRO DE DOCUMENTACION, PAPELES DE TRABAJO, ARCHIVOS INFORMATICOS E INTERCAMBIO DE CORREO ELECTRONICO CON EL HECHO ILICITO. DICHO ALLANAMIENTO SE REALIZA EN EL DOMICILIO SITO EN LA CALLE PAYSANDU 989 DEL PARTIDO DE ITUZAINGO DOMICILIO DE LA DETENIDA TOMASSINI SILVIA, ARROJANDO COMO RESULTADO NEGATIVO EN EL SECUESTRO DE ELEMENTOS DE INTERES PARA LA CAUSA. SE INFORMA SEGUN PU Nº 1494 SEGUN LO ORDENADO POR S. SA. EL PERSONAL INTERVINIENTE SE CONSTITUYE EN LA SUCURSAL BANCO NACION UBICADO EN EL AEROPUERTO MINISTRO PISTARINI PROCEDIENDO A PONERSE EN CONTACTO CON LA JEFA DE TURNO SEÑORA ALEJANDRA CAPUYA INFORMANDOLE LA MEDIDA ORDENADA POR LA JUDICATURA ACTUANTE, LA CUAL FACILITA LA DOCUMENTACION REQUERIDA.</t>
  </si>
  <si>
    <t>AA 955</t>
  </si>
  <si>
    <t>1477/10</t>
  </si>
  <si>
    <t>SIENDO LAS 20:30HS DEL DIA 12-03-10 CON MOTIVO DE DAR ESTRICTO CUMPLIMIENTO DE LA ORDEN DE ALLANAMIENTO, EMANADA POR EL JUZGADO INTERVINIENTE, LIBRADA PARA LAS OFICINAS DE LA DGA UBICADAS EN LA TERMINAL "A" DEL ARRIBO INTERNACIONAL DEL AEROPUERTO INTERNACIONAL MINISTRO PISTARINI, A FIN DE PROCEDER AL SECUESTRO DE LOS LIBROS, REGISTROS, CONSTANCIAS DE PAGO Y PAPELES VINCULADOS AL PAGO DE LOS DERECHOS ADUANEROS, QUE FUERAN REALIZADOS POR TODOS LOS PASAJEROS DEL 2008 A LA FECHA, TODO FRENTE A DOS TESTIGOS HABILES, SIENDO LAS 23:30HS DEL DIA 12-03-10 FINALIZA LA MISMA, SECUESTRANDOSE DOCUMENTACION VARIA DE INTERES PARA LA CAUSA.</t>
  </si>
  <si>
    <t>1473/10</t>
  </si>
  <si>
    <t>JUZGADO NACIONAL EN LO PENAL ECONOMICO Nº 8</t>
  </si>
  <si>
    <t>SIENDO LAS 23:00 HORAS REGRESA, DEL JUZGADO NACIONAL EN LO PENAL ECONOMICO Nº 8, LA COMISION ENVIADA A SOLICITUD DE LA JUDICATURA APORTANDO OFICIO MEDIANTE EL CUAL SE PROCEDIO, EN SEDE DE PFA, A LA LIBERACION DEL SEÑOR CARLOS MECHETTI BAJO CAUCION REAL DE ACUERDO A LO DISPUESTO SU SEÑORIA.-</t>
  </si>
  <si>
    <t>1476/10</t>
  </si>
  <si>
    <t>SIENDO LAS 22:35 HORAS REGRESA, DEL JUZGADO NACIONAL EN LO PENAL ECONOMICO Nº 8, LA COMISION ENVIADA A SOLICITUD DE LA JUDICATURA APORTANDO OFICIO MEDIANTE EL CUAL SE PROCEDIO, EN SEDE DE PFA, A LA LIBERACION DE LA SEÑORA SILVIA BIBIANA TOMASSINI BAJO CAUCION JURATORIA DE ACUERDO A LO DISPUESTO POR SU SEÑORIA.-</t>
  </si>
  <si>
    <t>DR. LUCIO LOPEZ</t>
  </si>
  <si>
    <t>TERMINAL III, PRIMER PISO.</t>
  </si>
  <si>
    <t>SIENDO LAS 22:10 HORAS SE RECIBE COMUNICACIÓN VÍA TELEFÓNICA DEL OF. PERALTA ISASI, ENCARGADO DE PREEMBARQUE NACIONAL, EL CUAL INFORMA QUE DURANTE EL CONTROL DE INGRESO PARA EL VUELO ANTES MENCIONADO, AL PASAR UN PASAJERO DE SEXO MASCULINO SE LE REALIZA UN CHEQUEO MANUAL Y SE LE SOLICITA QUE EXHIBA LO QUE LLEVA EN EL BOLSILLO DELANTERO DERECHO, ANTE LO CUAL SACA DEL INTERIOR DE DICHO BOLSILLO DOS PAQUETES PEQUEÑOS DE COLOR ROJO, AL PREGUNTARLE AL PASAJERO POR EL CONTENIDO DE LOS MISMOS, MANIFESTÓ "ES MARIHUANA", SE SOLICITÓ LA PRESENCIA DE DOS TESTIGOS HÁBILES Y SE TRASLADÓ AL PASAJERO A LA SALA DE REQUISA DONDE, EL MISMO EXTRAE DEL INTERIOR DEL BOLSILLO IZQUIERDO DOS OBJETOS, UNO ENVUELTO EN PAPEL FILM DE COLOR ROJO Y OTRO ENVUELTO EN UN NYLON COLOR BLANCO, MANIFESTANDO" ES MAS MARIHUANA". SEGUIDAMENTE SE TRASLADA AL CAUSANTE Y A TODOS LOS PARTICIPANTES HASTA LA GUARDIA PREVENTIVA", EN DONDE EN PRESENCIA DE LOS TESTIGOS EL OF. JONATHAN ABELLAN, PERITO DE TURNO PROCEDE A APERTURAR LOS ENVOLTORIOS MENCIONADOS, OBSERVANDO EN EL INTERIOR DE CADA UNO DE LOS MISMOS, UNA SUSTANCIA DE COLOR VERDOSO, SE LE SOLICITO A LOS TESTIGOS QUE ESCOJAN AL AZAR DOS DE LOS CUATRO PAQUETES, A LOS CUALES SE LE EFECTUÓ UN TEST ORIENTATIVO DE CAMPO CON LA UTILIZACIÓN DE REACTIVOS QUÍMICOS, RESULTADO POSITIVO ORIENTATIVO PARA LA SUSTANCIA MARIHUANA. SE REALIZA COMUNICACIÓN CON LA JUDICATURA ACTUANTE QUIEN DISPONE QUE PERMANEZCA EL DETENIDO EN CARÁCTER DE COMUNICADO, CERTIFICADO DE MEDICO PRECARIO DE ENTRADA, TRES JUEGOS DE FICHAS DACTILOSCÓPICAS PARA ANEXAR A LA CAUSA, FOTOS DE LA SUSTANCIA Y DEL PESAJE, SE REALICE CERTIFICADO DE REINCIDENCIA 353 BIS, IDGE, ARTICULO 86 Y 197 CPPN, LECTURA DE ART. 258 Y 259 CPPN, ARTICULO 26 Y 41 CPN, CONSTATACIÓN DE DOMICILIO, SECUESTRO DE LA SUSTANCIA, ENVÍO AL LABORATORIO QUÍMICO DE POLICÍA FEDERAL ARGENTINA DE LA SUSTANCIA SECUESTRADA, DECLARACIÓN TESTIMONIAL A LOS TESTIGOS Y EN CASO DE QUE EL CAUSANTE NO REGISTRE IMPEDIMENTOS LEGALES VIGENTES, SE REALICE LA SOLTURA DEL MISMO, CASO CONTRARIO SE ENTABLE NUEVA COMUNICACIÓN CON EL LETRADO, CIERRE Y ELEVACIÓN DE LAS ACTUACIONES. SIENDO LAS 06:53 HORAS Y POR NO MEDIAR IMPEDIMENTOS LEGALES SE PROCEDE A LA SOLTURA DEL DETENIDO CONFORME CON LOS TRATOS RECIBIDOS.</t>
  </si>
  <si>
    <t>AU 2882</t>
  </si>
  <si>
    <t>AEROPARQUE, CABA.</t>
  </si>
  <si>
    <t>DR. KRAUSE MAYOL</t>
  </si>
  <si>
    <t>MANGA DE EMBARQUE N° 05</t>
  </si>
  <si>
    <t>QUE EN CIRCUNSTANCIAS DEL EMBARQUE DEL VUELO DE MENCION, EN LA SALA DE EMBARQUE NUMERO 5, UN PASAJERO SE DESCONPENSA Y SE DESMAYA. QUE AL ARRIBAR EL SERVICIO MEDICO DE SANIDAD AL LUGAR, SE DECIDE SU TRASLADO AL HOSPITAL DE EZEIZA. QUE SE LE REALIZA UNA PLACA RADIOGRAFICA EN EL HOSPITAL EN LA CUAL SE DESPRENDE QUE EL PASAJERO SE ENCONTRABA INGESTADO Y QUE DEBIA SER OPERADO DE URGENCIA PARA RETIRAR DE SU INTERIOR LOS CUERPOS EXTRAÑOS YA QUE ALGUNO DE ESTOS PODRIA HABERSE DESARMADO EN SU INTERIOR. QUE POR MEDIO DE UNA CIRUGIA SE LE EXTRAJERON LAS CAPSULAS CONTENIENDO SUSTANCIA ESTUPEFACIENTE. QUE EL DETENIDO PERMANECE ALOJADO EN EL HOSPITAL HASTA SU ALTA.</t>
  </si>
  <si>
    <t>1474/10</t>
  </si>
  <si>
    <t>-------------</t>
  </si>
  <si>
    <t>SE PROCEDE A LA APERTURA DE UNA SACA COLECTORA DEL CORREO OFICIAL SEGUN CONSTA EN ACTA DE RETENCION DE CARGA Nº 131/10, CORRESPONDIENTE A LA PREV.SUM. 028/10, LA SACA IDENTIFICADA CON MARBETE SLA0163396D555800VAE, PRECINTO B 102016, CON DESTINO A LA CIUDAD DE USHUAIA, LA CUAL CONTIENE DOS PIEZAS POSTALES IDENTIFICADAS COMO LA 1º EP686237039AR, CON RTTE MATIAS WALTER SANACATO, PJE TUMBAYA Nº 980, Bº EL JARDIN, PERICO, JUJUY, C.P. 4.608, Y DEST. JUAN JOSE QUIROGA, YOWEN 2147, Bº LA CUMBRE, USHUAIA, TIERRA DEL FUEGO, C.P. 9.410, LA CUAL QUEDA RETENIDA, LA 2º IDENTIFICADA COMO EP666289788AR, ES ENTREGADA AL SR. OLARTE HECTOR PARA SU REINSERCION EN EL SISTEMA DE CORREOS POR NO SER DE INTERES, LA RETENCION SE REALIZA ANTE LA PRESUNCION DE QUE PUDIERA CONTENER ALGUN ELEMENTO EN INFRACCION A LA LEY 22.415 Y/O 23.737 QUEDANDO LA MISMA CERRADA Y EN GUARDA EN ESTA UOSP, SE COMUNICO TELEFONICAMENTE CON EL JUZGADO INTERVINIENTE, Y LA APERTURA SE REALIZARA CON LA AUTORIZACION DEL MAGISTRADO ACTUANTE. CON CONOCIMIENTO DEL JUOSP.</t>
  </si>
  <si>
    <t>FERNANDEZ, EDUARDO ALBERTO</t>
  </si>
  <si>
    <t>SUPUESTA INFRACCION AL ART. 162 DEL CODIGO PENAL</t>
  </si>
  <si>
    <t>ARRIBO. ENTREGA DE EQUIPAJES</t>
  </si>
  <si>
    <t>EN EL DIA DE LA FECHA SE PRESENTA EL SEÑOR AUAT, JORGE EDUARDO DNI Nº 10.450.593 DENUNCIANDO QUE LE SUSTRAJERON DE SU VALIJA UN LIBRO, UN PERFUME Y UN ANTEOJO LA CUAL SE ENCONTRABA EN LA BODEGA DEL AVION</t>
  </si>
  <si>
    <t>BOX DE PC Nº 12 DEL LOCAL DE LA EMPRESA TELECOM.</t>
  </si>
  <si>
    <t>LOCAL DE LA EMPRESA TELECOM ARGENTINA S.A</t>
  </si>
  <si>
    <t>A LA HORA DE MENCION, EL DENUNCIANTE SE ENCONTRABA DENTRO DEL LOCUTORIO DE LA EMPRESA TELECOM, MAS PRECISAMENTE EN LA MAQUINA 12, Y ES ALLI QUE DEPOSITA A SU DERECHA UN CARRO PORTA MALETAS CON SUS EQUIPAJES. QUE TRANSCURRIDOS UNOS MINUTOS EL DENUNCIANTE SE PERCATA DEL FALTANTE DE UNA CARTERA NEGRA DE HOMBRE, MARCA SAMSONITE, POR LO QUE DECIDE EFECTUAR LA DENUNCIA CORRESPONDIENTE.</t>
  </si>
  <si>
    <t>4M-4521</t>
  </si>
  <si>
    <t>RAFAEL LEAL</t>
  </si>
  <si>
    <t>EN EL LOCAL 20 DE EMPRESA INTERBAIRES</t>
  </si>
  <si>
    <t>EN EL DIA Y HORA DE MENCION, SE HACE PRESENTE EN EL ASIENTO DE ESTA DEPENDENCIA POLICIAL, PERSONAL DE LA EMPRESA SEGURIDAD ARGENTINA, EL CUAL INFORMA QUE EN EL LOCAL NRO 20, PERTENECIENTE A LA EMPRESA INTERBAIRES, SE HALLABA UN PASAJERO EL CUAL HABIA TRASPASADO LA LINEA DE CAJAS DEL MENCIONADO LOCAL, EGRESANDO DEL MISMO SIN ABONAR UNA BOTELLA DE VIDRIO CON LA INSCRIPCION LONDON DRY GIN MARCA BEEFEATER, MOTIVO POR EL CUAL UNA VEZ CONSTATADO LO ANTERIORMENTE CITADO, SE PROCEDIO A RECIBIR FORMAL DENUNCIA A LA EMPRESA DAMNIFICADA DANDO INTERVENCION AL JUZGADO FEDERAL EN TURNO, EL CUAL DISPUSO 1) QUE SE NOTIFIQUE AL CAUSANTE DE LA FORMACION DE LA CAUSA QUEDANDO AFECTADO A ACTUACIONES, 2) SE SECUESTRE Y ENTREGE EN FORMA DEFINITIVA EL ELEMENTO EN CUESTION, A LA EMPRESA DE REFERENCIA, 3) QUE EL IMPUTADO FIJE DOMICILIO EN EL TERRITORIO NACIONAL, 4) QUE SE LE REQUIERA A LA OFICINA INTERPOL, SITA EN ESTA AEROESTACION PEDIDO DE ANTECEDENTES, 5) QUE SE REALICEN TODAS LAS DILIGENCIAS NO PREVISTAS Y QUE SE CONSIDERE ILUSTRATIVA PARA LAS PRESENTES ACTUACIONES, 6) QUE UNA VEZ FINALIZADO Y EN CUANTO NO SURJA ALGUNA MEDIDA QUE RESTRINJA SU LIBERTAD EL CAUSANTE SE RETIRE DE LA DEPENDECIA POR SU PROPIOS MEDIOS. UNA VEZ FINALIZADO LO ANTES DESCRIPTO EL CAUSANTE SE RETIRA DE ESTA DEPENDENCIA POR SU PROPIOS MEDIOS CONFORME CON LOS TRATOS RECIBIDOS.</t>
  </si>
  <si>
    <t>LOPEZ LUCIO</t>
  </si>
  <si>
    <t>PREEMBARQUE CABOTAJE TERMINAL III PRIMER PISO.</t>
  </si>
  <si>
    <t>SIENDO LAS 12:20 HORAS SE RECIBE COMUNICACIÓN VÍA TELEFÓNICA DEL OF. PELETEIRO LUIS, ENCARGADO DE PREEMBARQUE NACIONAL, EL CUAL INFORMA QUE DURANTE EL CONTROL DE INGRESO PARA EL VUELO AU 2606, AL PASAR UN PASAJERO DE SEXO MASCULINO SE LE REALIZA UN CHEQUEO MANUAL Y SE LE SOLICITA QUE EXHIBA LO QUE LLEVA EN EL BOLSILLO TRASERO DERECHO DEL PANTALON, ANTE LO CUAL SACA DEL INTERIOR DE DICHO BOLSILLO UNA BOLSA TRANSPARENTE. AL PREGUNTARLE AL PASAJERO POR EL CONTENIDO DE LA MISMA, MANIFESTÓ "ES PARA CONSUMO PERSONAL". SE SOLICITÓ LA PRESENCIA DE DOS TESTIGOS HÁBILES Y SE TRASLADÓ AL PASAJERO A LA SALA DE REQUISA DONDE, EL PERITO DE TURNO, OF. PEREZ, PROCEDE A APERTURAR EL ENVOLTORIO MENCIONADO, OBSERVANDO EN EL INTERIOR UNA SUSTANCIA DE COLOR VERDOSO, SE LE EFECTUÓ UN TEST ORIENTATIVO DE CAMPO CON LA UTILIZACIÓN DE REACTIVOS QUÍMICOS, RESULTADO POSITIVO ORIENTATIVO PARA LA SUSTANCIA MARIHUANA. SE REALIZA COMUNICACIÓN CON LA JUDICATURA ACTUANTE QUIEN DISPONE QUE PERMANEZCA EL DETENIDO EN CARÁCTER DE COMUNICADO, CON LA CORRESPONDIENTE LECTURA DE DERECHOS, CERTIFICADO DE MEDICO PRECARIO DE ENTRADA, TRES JUEGOS DE FICHAS DACTILOSCÓPICAS PARA ANEXAR A LA CAUSA, FOTOS DE LA SUSTANCIA Y DEL PESAJE. SE REALICE CERTIFICADO DE REINCIDENCIA 353 BIS, IDGE, ARTICULO 86 Y 197 CPPN, LECTURA DE ART. 258 Y 259 CPPN, ARTICULO 26 Y 41 CPN, CONSTATACIÓN DE DOMICILIO, SECUESTRO DE LA SUSTANCIA, ENVÍO AL LABORATORIO QUÍMICO DE POLICÍA FEDERAL ARGENTINA DE LA SUSTANCIA SECUESTRADA, DECLARACIÓN TESTIMONIAL A LOS TESTIGOS Y DEL PERSONAL POLICIAL INETERVINIENTE Y EN CASO DE QUE EL CAUSANTE NO REGISTRE IMPEDIMENTOS LEGALES VIGENTES EN EL SISTEMA IDGE, SE REALICE LA SOLTURA DEL MISMO, CASO CONTRARIO SE ENTABLE NUEVA COMUNICACIÓN CON EL LETRADO, CIERRE Y ELEVACIÓN DE LAS ACTUACIONES. SIENDO LA HORA 17:20 HORAS Y NO REGISTRANDO IMPEDIMENTOS LEGALES EN EL SISTEMA IDGE Y DE ACUERDO A LO ORDENADO POR LA JUDICATURA INTERVINIENTE, SE PROCEDE A LA SOLTURA DEL CAUSANTE.</t>
  </si>
  <si>
    <t>AU 2606</t>
  </si>
  <si>
    <t>AEROPARQUE - CABA</t>
  </si>
  <si>
    <t>PREEMBARQUE CABOTAJE TERMINAL III DEL PRIMER PISO</t>
  </si>
  <si>
    <t>SIENDO LAS 17:20 HORAS SE RECIBE COMUNICACIÓN VÍA TELEFÓNICA DEL OF. PELETEIRO LUIS, ENCARGADO DE PREEMBARQUE NACIONAL, EL CUAL INFORMA QUE DURANTE EL CONTROL DE INGRESO PARA EL VUELO AR 2688 CON DESTINO A LA CIUDAD DE BARILOCHE, AL PASAR UN PASAJERO DE SEXO MASCULINO SE LE REALIZA UN CHEQUEO MANUAL Y SE LE SOLICITA QUE EXHIBA LO QUE LLEVA EN EL BOLSILLO DELANTERO DERECHO DEL PANTALON, NEGANDOSE, MANIFESTANDO "SI LO SACO ESTOY AL HORNO" POR LO QUE NUEVAMENTE SE SOLICITA QUE EXHIBA EL OBJETO, EXHIBIENDO DEL INTERIOR DE DICHO BOLSILLO UNA BOLSA TRANSPARENTE QUE EN SU INTERIOR SE PODIA OBSERVAR UNA SUSTANCIA ENVUELTA EN UNA BOLSA PLASTICA TRANSPARENTE. SE SOLICITÓ LA PRESENCIA DE DOS TESTIGOS HÁBILES Y SE TRASLADÓ AL PASAJERO A LA SALA DE REQUISA DONDE EL PERITO DE TURNO, OF. PEREZ, PROCEDE A APERTURAR EL ENVOLTORIO MENCIONADO, OBSERVANDO EN EL INTERIOR UNA SUSTANCIA DE COLOR BLANCUZCA DE CONSISTENCIA COMPACTA, EFECTUANDO UN TEST ORIENTATIVO DE CAMPO CON LA UTILIZACIÓN DE REACTIVOS QUÍMICOS, RESULTADO POSITIVO ORIENTATIVO PARA LA SUSTANCIA CLORHIDRATO DE COCAINA. AL MOMENTO DE PROCEDER DE A LA REQUISA DEL CAUSANTE ES ENCONTRADO EN EL INTERIOR DE LA ROPA INTERIOR COLOCADA DOS BOLSAS DE NYLON COLOR BLANCA Y OTRA VERDE, CONTENIENDO AMBAS UNA SUSTANCIA DE APARENTE ORIGEN VEGETAL, EN FORMA DE PICADURA, CONSULTADO EL PASAJERO SOBRE EL CONTENIDO DE DICHAS BOLSAS EL PASAJERO MANIFIESTA QUE LAS MISMAS CONTIENEN "MARIHUANA", A LO QUE EL OF PEREZ REALIZA EL TEST ORIENTATIVO DE CAMPO CON LA UTILIZACIÓN DE REACTIVOS QUÍMICOS PARA CADA UNA DE LAS BOLSAS DE NYLON, RESULTADO AMBOS REACTIVO POSITIVO ORIENTATIVO PARA LA SUSTANCIA MARIHUANA. SE REALIZA EL PESAJE DE LOS TRES PAQUETES ARROJANDO PAQUETE Nº 1 (CLORHIDRATO DE COCAINA), 5,4 GRAMOS, PAQUETE Nº 2 ( BOLSA DE NYLON BLANCA) 5 GRAMOS Y PAQUETE Nº3 ( BOLSA DE NYLON VERDE 3,1 ). SE REALIZAN LAS ACTUACIONES DE RIGOR. SE AMPLIARA ANTE RESULTADO DE REINCIDENCIA. SE INFORMA SEGUN PU Nº 1498 POR DISPOSICION DEL DR. LOPEZ Y SIENDO LAS 1045 HORAS SE ENTABLA COMUNICACION TELEFONICA CON EL DR. SALDAÑA TITULAR DEL JUZGADO DE INSTRUCCION Nº 1 DE EL DORADO, PROVINCIA DE MISIONES, EN RELACION A LA CAUSA Nº 1023/05 POR EL DELITO DE SIMPLE TENENCIA DE MATERIALES EXPLOSIVOS ART. 189 BIS INCISO 1º TERCER PARRAFO DEL CODIGO PENAL, RESOLVIENDO EL MAGISTRADO NOTIFICAR AL CAUSANTE, QUIEN DEBERA APERSONARSE ANTE DICHO JUZGADO EN EL TERMINO DE SETENTA Y DOS HORAS DE RECIBIDA LA CORRESPONDIENTE CEDULA DE NOTIFICACION Y SE PROCEDA A LA LIBERACION DEL DETENIDO. SIENDO LAS 1145 HORAS SE EFECTUA LA LIBERACION DEL CAUSANTE SIN NOVEDAD. SE INFORMA EN PU Nº 1500 SE DEJA CONSTANCIA QUE CON EL RESULTADO DE REINCIDENCIA EFECTUADO AL IMPUTADO VILLANUEVA FIGURA LA CAUSA Nº 1023/05 POR EL DELITO DE SIMPLE TENENCIA DE MATERIAL EXPLOSIVO ART. 189 BIS INC. 1º, 3º PARRAFO DEL CPNA, ANTE LO CUAL SE LE INFORMA AL DR. LUCIO LOPEZ QUIEN DISPONE QUE ANTES DE EFECTUAR LA LIBERACION POR LA CAUSA INFRACCION A LA LEY 23.737 SE ENTABLE COMUNICACION CON EL JUZGADO EL CUAL HABIA SOLICITADO LA CAPTURA Y DETENCION DEL CAUSANTE, SIENDO LAS 1045 SE REALIZA LA CONSULTA TELEFONICA DISPONIENDO LA JUDICATURA LA LIBERACION DEL DETENIDO PREVIA NOTIFICACION A COMPARECER ANTE DICHA SEDE JUDICIAL.</t>
  </si>
  <si>
    <t>AU 2688</t>
  </si>
  <si>
    <t>DRA. PAULA GALLO PULO</t>
  </si>
  <si>
    <t>---------------</t>
  </si>
  <si>
    <t>--------------</t>
  </si>
  <si>
    <t>------------</t>
  </si>
  <si>
    <t>A HORAS 20,40 SE PRESENTA EL SR. DIEGO SEBASTIAN VARA A EFECTOS DE RADICAR UNA DENUNCIA, DONDE MANIFIESTA QUE UNA VEZ ARRIBADO AL AEROPUERTO DE SALTA, PROCEDENTE DEL AEROPUERTO JORGE NEWBERY, AL RETIRAR SU EQUIPAJE DESPACHADO POR BODEGA, SE DA CUENTA DEL FALTANTE DE UNA NOTEBOOK, EL JEFE DE TURNO SE COMUNICA POR TELEFONO CON LA FISCALIA FEDERAL DE SALTA Nº 2, QUIEN ORDENA SE REALICEN LAS ACTUACIONES CORRESPONDIENTES Y SEAN ELEVADAS A LA BREVEDAD.</t>
  </si>
  <si>
    <t>SEGUN LO ORDENADO POR S.SA. SE DEBE PROCEDER AL SECUESTRO DE DOCUMENTACION, PAPELES DE TRABAJO, ARCHIVOS INFORMATICOS E INTERCAMBIO DE CORREO ELECTRÓNICO CON EL HECHO ILICITO. DICHO ALLANAMIENTO SE REALIA EN EL DOMICILIO, EN LA CALLE PAYSANDÚ 989, DEL PARTIDO DE ITUZAINGO. ARROJANDO COMO RESULTADO NEGATIVO EN EL SECUESTRO DE ELEMENTOS DE INTERES PARA LA CAUSA.</t>
  </si>
  <si>
    <t>SEGUN LO ORDENADO POR S.SA. EL PERSONAL INTERVINIENTE SE CONSTITUYE EN LA SUC. BCO NACION, UBICADO EN EL AEROPUERTO INTERNACIONAL MINISTRO PISTARINI PROCEDIENDO A PONERSE EN CONTACTO CON LA JEFA DE TURNO SRA. ALEJANDRA CAPUYA DNI Nº 27.674.539. INFORMANDOLE DE LA MEDIDA ORDENA POR S.SA.LA CUAL DE MANERA AMABLE Y SENCILLA FACILITA LA DOCUMENTACION REQUERIDA.</t>
  </si>
  <si>
    <t>DR. LOPEZ LUCIO</t>
  </si>
  <si>
    <t>PREEMBARQUE CABOTAJE TERMINAL III</t>
  </si>
  <si>
    <t>SIENDO LA FECHA Y HORA ANTES MENCIONADA SE RECIBE COMUNICACION TELEFONICA POR PARTE DEL OFICIAL TAVERA MARIO ENCARGADO DEL PREEMBARQUE NACIONAL INFORMANDO QUE AL PASAR UN PASAJERO DE SEXO MASCULINO POR EL ARCO DETECTOR DE METALES ACTIVO LA ALARMA DEL MISMO POR LO QUE EL OFICIAL AYALA MARTINEZ LE EFECTUO UN CHEQUEO MANUAL AL MASCULINO Y OBSERVO QUE EN EL BOLSILLO DELANTERO DERECHO DEL PANTALON TENIA UN BULTO Y SE LE SOLICITO QUE EXHIBA EL CONTENIDO, RESULTANDO SER ESTE UNA BOLSITA DE NYLON COLOR AMARILLO, MANIFESTANDO EL PASAJERO QUE EL CONTENIDO ERA MARIHUANA. ACTO SEGUIDO SE CONVOCAN AL LUGAR A LOS DOS TESTIGOS HABILES, Y SE DIRIGEN TODOS LOS INTERVINIENTES A LA SALA DE REQUISA CITA EN DICHO PREEMBARQUE DONDE LA PERITO DE TURNO EFECTUO A LA SUSTANCIA UN REACTIVO QUIMICO MARCA NIK QUE ARROJO RESULTADO POSITIVO PARA MARIHUANA. SEGUIDAMENTE SE COMIENZA CON LAS ACTUACIONES DE RIGOR. SE AMPLIARA CON RESULTADO DE REINCIDENCIA. SE INFORMA SEGUN PU Nº 1497 SIENDO LAS 0825 HORAS CON EL RESULTADO DE REINCIDENCIA Y AL NO MEDIAR IMPEDIMENTO LEGAL ALGUNO SE CUMPLIMENTA LO ORDENADO POR LA JUDICATURA INTERVINIENTE PROCEDIENDO A LA LIBERACION DEL DETENIDO SIN NOVEDAD.</t>
  </si>
  <si>
    <t>POSICION NRO 10</t>
  </si>
  <si>
    <t>SIENDO LAS DIECINUEVE HORAS DIEZ MINUTOS SE RECIBE EN ESTA DEPENDENCIA COMUNICACION TELEFONICA POR PARTE DE UNA OPERADORA DEL SISTEMA DE EMERGENCIAS 911, EN LA QUE DABA CUENTA QUE EN ESE ORGANISMO SE HABIA RECIBIDO UNA LLAMADA PROVENIENTE DEL NRO 1165849307, EN LA QUE UNA PERSONA DE SEXO MASCULINO INFORMABA QUE UN AVION QUE PARTIA DE ESTA AEROSTACION A LAS VEINTE HORAS EL DIA 13/03/10, CON DESTINO A BRASIL LLEVABA UNA BOMBA EN SU INTERIOR. POR TAL MOTIVO EL JEFE DE TURNO CONVOCA AL COMITE DE OPERACIONES DE EMERGENCIA, COE, Y SE DIRIGE A LA POSICION NRO 10 DONDE SE ENCONTRABA LA UNICA AERONAVE QUE PARTIA A LAS VEINTE HORAS CON DESTINO A BRASIL SIENDO ESTA DE LA EMPRESA GOL Y DISPONE SE TRASLADE LA MISMA A LA ZONA ZULU UNO, QUE UNA VEZ EN DICHA POSICION LA AERONAVE QUE NO POSEIA PASAJE NI TRIPULACION EN SU INTERIOR, SOLAMENTE POSEIA LOS EQUIPAJES EN SU BODEGA, ES SOMETIDA POR PARTE DEL GRUPO GEDEX Y LA SECCION CANES A LOS PROCEDIMIENTOS DE RIGOR TENDIENTES A DETERMINAR LA PRESENCIA DE ARTEFACTOS EXPLOSIVOS DANDO COMO RESULTADO NEGATIVO AL HALLAZGO DE ALGUN ELEMENTO EXPLOSIVO. QUE EN VIRTUD A QUE DE ESTA AEROSTACION A LAS VEINTIUNA HORAS PARTIA UNA AERONAVE DE LA EMPRESA AEROLINES ARGENTINAS VUELO NRO AR1248, CON DESTINO A LA CIUDAD DE SAN PABLO, BRASIL Y POR LA PROXIMIDAD HORARIA DE PARTIDA AL VUELO DE LA EMPRESA GOL SE REALIZA SOBRE LA MISMA UN CHEQUEO PREVENTIVO POR PARTE DEL GRUPO GEDEX Y LA SECCION CANES ARROJANDO RESULTADO NEGATIVO AL HALLAZGO DE ALGUN ELEMENTO QUE PONGA EN RIEZGO LA SEGURIDAD DE LA AVIACION, QUEDANDO AMBAS AERONAVES ESTERILIZADAS Y LIBRES PARA CONTINUAR CON SU ITINERARIO.</t>
  </si>
  <si>
    <t>G37453</t>
  </si>
  <si>
    <t>1495/10</t>
  </si>
  <si>
    <t>UNA VEZ RECIBIDO EL RESULTADO DE REINCIDENCIA, DANDO EL MISMO RESULTADO NEGATIVO Y AL NO MEDIAR IMPEDIMENTO LEGAL ALGUNO, SE PROCEDE A CUMPLIMENTAR LO ORDENADO POR LA JUDICATURA INTERVINIENTE, LIBERANDO AL SR. BARRRIONUEVO,CESAR DAVID, EN HORAS 08:25, RETIRANDOSE DE ESTA GUARDIA, CONFORME POR LOS TRATOS RECIBIDOS Y POR SUS PROPIOS MEDIOS.</t>
  </si>
  <si>
    <t>AR 2882</t>
  </si>
  <si>
    <t>1491/10</t>
  </si>
  <si>
    <t>POR DISPOSICION DEL DR. LUCIO LOPEZ Y SIENDO LAS 10:45 HS. SE ENTABLA COMUNICACION VIA TELEFONICA CON S. SA. DR. ROBERTO HORACIO SALDAÑA, TITULAR DEL JUZGADO DE INSTRUCCION Nº 1 DE EL DORADO, PCIA. DE MISIONES, EN RELACION A LA CAUSA Nº 1023/05 POR EL DELITO DE SIMPLE TENENCIA DE MATERIALES EXPLOSIVOS ART. 189 BIS INC. 1RO. TERCER PARRAFO DEL CODIGO PENAL, Y RESOLVIENDO EL MAGISTRADO NOTIFICAR AL CAUSANTE, VILLANUEVA DIEGO FERNANDO, QUE DEBERA APERSONARSE ANTE DICHO TRIBUNAL EN EL TERMINO DE SETENTA Y DOS HORAS DE RECIBIDA LA CORRESPONDIENTE CEDULA DE NOTIFICACION, Y SE PROCEDA A LA LIBERACION, SIENDO LAS 11:45 HS SE EFECTUA LA LIBERACION DEL MISMO RETIRANDOSE DE ESTA GUARDIA CONFORME CON LOS TRATOS RECIBIDOS Y POR SUS PROPIOS MEDIOS</t>
  </si>
  <si>
    <t>AR 2688</t>
  </si>
  <si>
    <t>EN EL DIA DE LA FECHA LA SRA. NANCY GOMEZ MASSART A HS. 12:45 SE PRESENTA ANTE EL JEFE DE TURNO DONDE RADICA UNA DENUNCIA EN LA CUAL EXPONE QUE LA MISMA DESPACHO EL DIA 14/03/10 UNA MOCHILA POR MOSTRADOR DE LA EMPRESA AEROLINEAS ARGENTINAS A HS. 05:10 APROXIMADAMENTE PARA EL VUELO Nº 2450 CON DESTINO AL AEROPUERTO INTERNACIONAL SALTA, AL ARRIBAR A DESTINO, RETIRO SU MOCHILA DIRIGIENDOSE AL HOTEL DONDE SE DIO CUENTA QUE LE FALTABA DINERO QUE SE ENCONTRABA EN UN BOLSILLO INTERIOR DE LA PARTE SUPERIOR DE LA MISMA POR UNA CANTIDAD DE PESOS UN MIL. EL JEFE DE TURNO A HS. 13:13 SE COMUNICA POR TELEFONO CON LA FISCALIA FEDERAL Nº 2 DE TURNO, QUIEN ORDENA SE PROCEDA A REALIZAR LAS ACTUACIONES DEL CASO Y SE ELEVEN LAS ACTUACIONES A LA BREVEDAD. CON CONOCIMIENTO DEL JUOSP.</t>
  </si>
  <si>
    <t>AR2450</t>
  </si>
  <si>
    <t>1498/10</t>
  </si>
  <si>
    <t>EL PRESENTE PARTE ES AMPLIACION DE LOS PARTES 1491 Y 1498, SE DEJA CONSTANCIA QUE EN EL RESULTADO DE REINCIDENCIA EFECTUADO AL IMPUTADO VILLANUEVA DIEGO FERNANDO, FIGURA LA CAUSA Nº 1023/05 POR EL DELITO DE SIMPLE TENENCIA DE MATERIAL EXPLOSIVO ART. 189 BIS INC. 1RO TERCER PARRAFO DEL CPNA, ANTE LO CUAL SE LE INFORMA AL DR. LUCIO LOPEZ QUIEN DISPONE QUE ANTES DE EFECTUAR LA LIBERACION POR LA CAUSA INF LEY 23737 SE ENTABLE COMUNICACION CON EL JUZGADO EL CUAL HABIA SOLICITADO LA CAPTURA Y DETENCION DEL CAUSANTE, SIENDO LAS 10:45 SE ENTABLO COMUNICACION CON EL DR. SALDAÑA ROBERTO QUIEN ORDENO LIBERACION, PREVIA NOTIFICACION A COMPARECER ANTE EL JUZGADO INSTRUCCION Nº 1 DE EL DORADO PCIA DE MISIONES POR CONSIGUIENTE SIENDO LAS 11:45 SE PROCEDE A LA LIBERACION DISPUESTA POR AMBAS JUDICATURAS</t>
  </si>
  <si>
    <t>FISCALIA PENAL DE INSTRUCCION DE LA Iª NOMINACION</t>
  </si>
  <si>
    <t>Reinoso Cuello</t>
  </si>
  <si>
    <t>Adriana</t>
  </si>
  <si>
    <t>FERNANDO VALLADARES</t>
  </si>
  <si>
    <t>LESIONES RECIPROCAS</t>
  </si>
  <si>
    <t>FRENTE DE LAS INSTALACIONES DEL DESCANSO UOSP TUC.</t>
  </si>
  <si>
    <t>EN EL DIA DE LA FECHA A HORAS13:50 APROXIMADAMENTE SE PRESENTA ANTE MI EL SR. CABRAL MARCOS ANTONIO A EFECTOS DE MANIFESTAR QUE HABIA SIDO AGREDIDO FISICAMENTE POR SU COMPAÑERO LABORAL SR. TUTTOLOMONDO, AMBOS DEPENDIENTES DE LA DIRECCION PROVINCIAL DE AERONAUTICA. EN MOMENTOS EN QUE EL PRIMERO RELATABA LO SUCEDIDO, SE APERSONA EL SR. TUTTOLOMONDO PRODUCIENDOSE UN INTERCAMBIO DE PALABRAS, REACCIONANDO EL SR. CABRAL CON UN GOLPE DE PUÑO SOBRE EL ROSTRO DE TUTTOLOMONDO. SE PUSO EN CONOCIMIENTO DE TAL SITUACION AL JUZGADO PROVINCIAL DE TURNO QUIEN ORDENA SE LABREN LAS ACTUACIONES DE RIGOR POR LESIONES RECIPROCAS SIN TOMAR MEDIDAS PRIVATIVAS DE LA LIBERTAD DE LOS INVOLUCRADOS.</t>
  </si>
  <si>
    <t>JUZGADO NACIONAL CRIMINAL DE INSTRUCCION Nº 1</t>
  </si>
  <si>
    <t>SECRETARIA Nº 105</t>
  </si>
  <si>
    <t>Baños</t>
  </si>
  <si>
    <t>Alberto</t>
  </si>
  <si>
    <t>HERNAN PABLO CANESSA</t>
  </si>
  <si>
    <t>DECLARACION TESTIMONIAL FECHA 04 MAYO 2004</t>
  </si>
  <si>
    <t>NOTIFICACION PEDIDO DE PARADERO</t>
  </si>
  <si>
    <t>N C</t>
  </si>
  <si>
    <t>SE RECIBE DE LA OFCINA INTERPOL POLICIA FEDERAL ACTA REFERENTE SOLICITUD DE PARADERO VIGENTE A REQUERIMIENTO DEL JUZGADO NACIONAL CRIMINAL INSTRUCCION NRO 1 SECRETARIA NRO 105 ACTO SEGUIDO SE NOTIFICA AL CAUSANTE QUE DEBE COMPARECER A SEDE TRIBUNALICIA SITO EN CALLE TALCAHUANO 550 CAPITAL FEDERAL EN EL TERMINO DE CINCO DIAS HABILES DE LABRADA DICHA NOTIFICACION.-</t>
  </si>
  <si>
    <t>FISCALIA NACIONAL CRIMINAL DE INSTRUCCION Nº 18</t>
  </si>
  <si>
    <t>RUILOPEZ</t>
  </si>
  <si>
    <t>Marcelo Alberto</t>
  </si>
  <si>
    <t>ANGELA PAGANO MATA</t>
  </si>
  <si>
    <t>VEREDA SECTOR CHECK-IN AEROLINEAS ARGENTINAS</t>
  </si>
  <si>
    <t>SIENDO LAS 12:50 HS SE PRESENTA LA SRA. QUIROGA BEREDEAL MARIA ISABEL, MANIFESTANDO QUE EL DIA 09 DE MARZO DEL CORRIENTE AÑO A LAS 05:30 HS SE ENCONTRABA HOSPEDADA EN EL HOTEL COLON DE ESTA CIUDAD AUTONOMA DE BUENOS AIRES, SOLICITANDO AL EMPLEADO DEL HOTEL EL SERVICIO DE RADIO TAXI A FIN DE DIRIGIRSE A ESTE AEROPARQUE METROPOLITANO, PRESENTANDOSE UN VEHICULO DE COLOR AMARILLO Y NEGRO EL CUAL POSEIA EL LA PUERTA Nº DE LICENCIA 35888 Y PERTENECIA A LA EMPRESA CAITA, COLOCANDO EN EL BAUL DEL VEHICULO, UNA VALIJA VERDE, CONJUNTAMENTE CON UNA MOCHILA COLOR NEGRA MARCA MC KINLEY DE TAMAÑO MEDIANO, DEL TIPO TREKKING, EL CUAL EN SU INTERIOR TENIA UN ORDENADOR MARCA ACER COLOR AZUL TIPO NETBOOK, UN LIBRO FISCH PATHOLOGY, UNA BIKINI, UNA CARTERA DE VIAJE PEQUEÑA, SIENDO LAS 06:05 HS AL LLEGAR AL AEROPARQUE METROPOLITANO EL TAXISTA SE DETIENE EN LA VEREDA DEL SECTOR DE CHECK-IN DE LA EMPRESA AEROLINEAS ARGENTINAS DONDE COMENZO A DESEMBARCAR LOS EQUIPAJES PARA FINALMENTE ABONAR EL SERVICIO, PERCATANDOSE DE LA FALTA DE LA MOCHILA ANTES MENCIONADA, POR LO QUE CORRIO AL TAXISTA NO PUDIENDO ALCANZARLO DEBIDO A QUE SALIO RAPIDAMENTE DEL LUGAR, Y DEBIDO A QUE DEBIA EMBARCAR EL VUELO Nº 1782 DE LA EMPRESA AEROLINEAS ARGENTINAS CON DESTINO A CORRIENTES, NO RADICO LA CORRESPONDIENTE DENUNCIA POR LO QUE SE INICIARON LAS ACTUACIONES DE RIGOR.</t>
  </si>
  <si>
    <t>INFORMO QUE MIENTRAS PERSONAL POLICIAL SE ENCONTRABA EFECTUANDO UN CONTROL DE RUTINA SOBRE LOS EQUIPAJES DESPACHADOS A BODEGA, MEDIANTE MAQUINA DE RAYOS X, SE DETECTA EN EL INTERIOR DE UN EQUIPAJE EN EL DOBLE FONDO DEL MISMO Y EN SUS CORTORNOS, LA PRESENCIA DE SUSTANCIA ORGANICA DE BAJA DENSIDAD. POR TAL MOTIVO SE CONVOCA LA PRESENCIA DE DOS TESTIGOS Y SE COMISIONA PERSONAL POLICIAL A LA SALA DE EMBARQUE A LOS EFECTOS DE DAR CON EL PASAJERO PROPIETARIO DEL EQUIPAJE EN CUESTION. UNA VEZ QUE SE DA CON EL PASAJERO, SE INVITA AL MISMO AL SECTOR DEL PATIO DE VALIJAS DONDE EL PASAJERO RECONOCE COMO DE SU PROPIEDAD EL EQUIPAJE. RAZON POR LA CUAL SE TRASLADAN TODOS LO INTERVINIENTES, A LA GUARDIA DE PREVENCION Y SE MANTIENE COMUNICACION CON EL JUZGADO SOLICITANDO AUTORIZACION DE REQUISA. SEGUIDAMENTE EN UN CUARTO EMPLAZADO EN LA GUARDIA SE COMIENZA CON LA REQUISA DEL EQUIPAJE, ENCONTRANDO EN EL INTERIOR DEL MISMO UNA MOCHILA, LA CUAL SE VACIA EN TODO SU CONTENIDO, PERCATANDOSE QUE EN DOBLE FONDO DE LA MISMA HABIA DOS PAQUETES. SEGUIDAMENTE SE CORTA EL FORRO INTERIOR SEPARANDO DE LA MOCHILA HALLANDO DOS PAQUETES DE NYLON TRANSPARENTE QUE CONTIENE SUSTANCIA PULVERULENTA, QUE SOMETIDA A PRUEBA PARA COCAINA, ARROJA RESULTADO POSITIVO. CONTINUANDO CON LA REQUISA DEL EQUIPAJE SE ENCUENTRA EN LA PARED DEL CONTORNO DERECHO TRES PAQUETES DE NYLON TRANSPARENTE Y CONTENIENDO SUSTANCIA PULVERULENTA, QUE SOMETIDA A PRUEBA DE CAMPO PARA COCAINA, ARROJA RESULTADO POSITIVO. A CONTINUACION SE REALIZA LA REQUISA DEL CONTORNO IZQUIERDO, HALLANDO TRES PAQUETES DE NYLON TRANSPARENTE CONTENIENDO SUSTANCIA PULVERULENTA, QUE SOMETIDAD A PRUEBA PARA COCAINA ARROJA RESULTADO POSITIVO. POR ULTIMO SE REQUISA EL FONDO DEL EQUIPAJE HALLANDO EN EL DOBLE FONDO TRES PAQUETES DE NYLON TRANSPARENTE CONTENIENDO SUSTANCIA PULVERULENTA, QUE SOMETIDA A PRUEBA PARA COCAINA ARROJA RESULTADO POSITIVO. SE INFORMA SEGUN PU Nº 1538 DEL DIA 15/03/10 SIENDO LAS 0730 HORAS SE EFECTUO EL TRASLADO DEL DETENIDO A SEDE JUDICIAL.</t>
  </si>
  <si>
    <t>FALSIFICACION DE DOCUMENTOS</t>
  </si>
  <si>
    <t>ARRIBOS INTERNACIONALES - PLANTA BAJA</t>
  </si>
  <si>
    <t>ARRIBOS INTERNACIONALES SECTOR A1</t>
  </si>
  <si>
    <t>QUE EN EL DIA DE LA FECHA SIENDO LA HORA 16:20, SE RECIBIO COMUNICACIÓN TELEFONICA DEL SUPERVISOR DE TURNO DE LA DIRECCION NACIONAL DE MIGRACIONES QUIEN INFORMA QUE EN MOMENTOS DE ESTAR REALIZANDOSE LOS TRAMITES MIGRATORIOS DE INGRESO AL PAIS PARA EL VUELO ANTES MENCIONADO SE HACE PRESENTE UN PASAJERO CON PASAPORTE DE LA REPUBLICA CHECA APARENTEMENTE APOCRIFO. EL CIUDADANO ES DIRIGIDO POR PERSONAL POLICIAL HASTA ESTA GUARDIA DE PREVENCION, REALIZANDOSE LA COMUNICACIÓN TELEFONICA CON LA JUDICATURA ACTUANTE QUIEN DISPONE: SE REALICE EL SECUESTRO DEL APARENTE PASAPORTE APOCRIFO, SE REALICEN LAS DIFERENTES ACTUACIONES DE RIGOR Y DE NO POSEER IMPEDIMENTO LEGALES SE PROCEDA LA SOLTURA DEL CAUSANTE. SIENDO LAS 02:20 HORAS Y AL NO PRESENTAR IMPEDIMENTOS LEGALES EN EL CERTIFICADO EMITIDO POR REINCIDENCIA Y DE ACUERDO A LO ORDENADO POR LA JUDICATURA INTERVINIENTE SE PROCEDE A LA LIBERACION DEL CAUSANTE.</t>
  </si>
  <si>
    <t>AR 1241</t>
  </si>
  <si>
    <t>DR. GUILLERMO BRUGO</t>
  </si>
  <si>
    <t>TENTATIVA DE CONTRABANDO DE ESTUPEFACIENTE</t>
  </si>
  <si>
    <t>EL PERSONAL POLICIAL DETECTA UNA VALIJA TIPO CARRYON CON SUSTANCIA ORGÁNICA SIN PODER DETERMINAR FEHACIENTEMENTE DE QUE ELEMENTO SE TRATABA. SE INFORMA LA NOVEDAD AL SUSCRIPTO QUIEN ENTERADO, DISPONE SE TRASLADEN A TODOS LO INTERVINIENTES AL TURNO, DONDE PREVIA AUTORIZACIÓN JUDICIAL SE PROCEDE A LA REQUISA DE LA VALIJA EN CUESTIÓN, HALLÁNDOSE EN SU INTERIOR DOS CHALECOS, DOS CAMPERAS Y TRES MOCHILAS, EXTRAYÉNDOSE DE CADA UNO DE LOS CHALECOS CUATRO PAQUETES RECTANGULARES DE PLÁSTICO TRANSPARENTE CONTENIENDO UN LIQUIDO TRANSPARENTE QUE ARROJA RESULTADO POSITIVO A LAS PRUEBAS DE CAMPO PARA COCAÍNA. DE CADA UNA DE LAS CAMPERAS SE EXTRAEN CUATRO PAQUETES RECTANGULARES DE PLÁSTICO TRANSPARENTE CONTENIENDO UN LÍQUIDO TRANSPARENTE QUE ARROJA RESULTADO POSITIVO A LAS PRUEBAS DE CAMPO PARA COCAÍNA. LUEGO SE EXTRAJO DE UNA DE LAS MOCHILAS UN PAQUETE OCULTO EN EL ESPALDAR DE LA MOCHILA, EL CUAL ARROJA RESULTADO POSITIVO A LAS PRUEBAS DE CAMPO PARA COCAÍNA REALIZADAS. DE OTRA DE LAS MOCHILAS SE EXTRAJO DOS PAQUETES, UNO DE ELLOS DEL ESPALDAR Y EL OTRO DE LA BASE O PISO DE LA MOCHILA. POR ULTIMO DE LA MOCHILA RESTANTE SE EXTRAEN DOS PAQUETES, LOS CUALES CONTENÍAN SUSTANCIA PULVERULENTA COLOR BLANCO, DE LA CUAL SE EXTRAE UNA PEQUEÑA CANTIDAD LA QUE SOMETIDA A REACTIVO DE CAMPO PARA COCAÍNA ARROJA RESULTADO POSITIVO, HACIENDO UNA SUMATORIA TOTAL DE VEINTIÚN PAQUETES. SE MANTUVO COMUNICACIÓN CON EL JUZGADO INTERVINIENTE INFORMANDO LOS RESULTADOS, POR LO QUE INDICA QUE SE PROCEDA A LA DETENCIÓN E INCOMUNICACIÓN DE LA CAUSANTE. SE INFORMA SEGUN PU Nº 1537 DEL DIA 15/03/10 SIENDO LAS 0730 HORAS SE PROCEDE AL TRASLADO DE LA DETENIDA A SEDE JUDICIAL.</t>
  </si>
  <si>
    <t>JUZGADO DE INSTRUCCIÓN Nº 1 - NEUQUEN</t>
  </si>
  <si>
    <t>Mauricio</t>
  </si>
  <si>
    <t>DR BERGER JULIAN EDUARDO</t>
  </si>
  <si>
    <t>S/DENUNCIA ROBO</t>
  </si>
  <si>
    <t>INFORMO QUE EN EL DIA DE LA FECHA SE PRESENTA DENUNCIANTE POR EL FALTANTE DE UN ELEMENTO EN UN BOLSO DESPACHADO POR BODEGA REALIZANDO RECLAMO EN EMPRESA AUSTRAL LINEAS AEREAS CON NUMERO 28289</t>
  </si>
  <si>
    <t>PLATAFORMA OPERATIVO</t>
  </si>
  <si>
    <t>EN EL DIA DE LA FECHA DESPEGA AERONAVE T-01 CON SRA PRESIDENTA DE LA NACION, SR EX PRESIDENTE NESTOR KIRCHNER Y COMITIVA S/N</t>
  </si>
  <si>
    <t>DRA. ANGELA PAGANO MATA</t>
  </si>
  <si>
    <t>SIENDO LA FECHA Y HORA ANTES MENCIONADA SE HACE PRESENTE UNA PERSONA PARA RADICAR UNA DENUNCIA INDICANDO QUE EL DIA 14 DEL CORRIENTE MES Y AÑO, DESPACHO SU EQUIPAJE EN EL AEROPUERTO DE TUCUMAN PARA ABORDAR EL VUELO LA 4155 DE LA EMPRESA LAN CON DESTINO A ESTE AEROPUERTO METROPOLITANO. SIENDO LAS 20:05 ARRIBA A ESTA AEROESTACION, DONDE NOTA QUE SU EQUIPAJE SE ENCONTRABA ABIERTO Y SIN REVISARLO RUMBO AL HOTEL DONDE SE ENCUENTRA HOSPEDADA. UNA VEZ ALLI, PUDO VERIFICAR EL FALTANTE DE UNA COMPUTADORA NOTEBOOK MARCA COMPAQ MODELO CQ 40- 702. SIENDO LAS 12:15 SE ENTABLA COMUNICACION CON LA JUDICATURA ACTUANTE QUIEN ORDENA SE REALICE TESTIMONIAL DEL PERSONAL DE RAMPA INTERVINIENTE EN LOS AEROPUERTOS DE PROCEDENCIA Y DESTINO, CIERRE Y ELEVACION.-</t>
  </si>
  <si>
    <t>LA 4155</t>
  </si>
  <si>
    <t>SIENDO LAS 10:00 HS DEL DIA DE LA FECHA INFORMO PARTIDA DE LA AERONAVE T-01 HACIA AEROPUERTO EL CALAFATE CO DOS PASAJEROS PERTENECIENTES A CEREMONIAL Y PROTOCOLO DE LA NACION.</t>
  </si>
  <si>
    <t>perimetro aeropuerto</t>
  </si>
  <si>
    <t>INFORMO SIENDO LAS DOCE HORAS CON DIECISEIS MINUTOS -12:16-ARRIBA EN VUELO PRESINDENCIAL TANGO 01 LA SRA PRESIDENTA DE LA NACION CRISTINA FERNANDEZ DE KIRCHNER Y COMITIVA. ASIMISMO INFORMO QUE DICHO TRASLADO DESDE ESTA JURISDICCION SE REALIZO POR CAMINO ALTERNATIVO EN RAZON DE ENCONTRARSE MANIFESTANDO GREMIO SUTEF -DOCENTES- CON INTENCION DE HACERLE ENTREGA DE PETITORIO CON DEMANDAS DE AUMENTOS SALARIALES.RETIRANDOSE DICHA COMITIVA SIN NOVEDAD DE ESTA JURISDICCION. SE AMPLIARA A SU PARTIDA-</t>
  </si>
  <si>
    <t>T01</t>
  </si>
  <si>
    <t>USHUAIA-TDF</t>
  </si>
  <si>
    <t>JUZGADO DE INSTRUCCION N° 5 DE CORREINTES</t>
  </si>
  <si>
    <t>DR. EDUARDO ALBERTO FERNANDEZ</t>
  </si>
  <si>
    <t>SUP. INF. ART.. 164 CPA</t>
  </si>
  <si>
    <t>EN EL DIA DE LA FECHA SE RESEPCIONA EN ESTA UNIDAD OPERACIONAL UNA DENUNCIA POR SUP. INF. AL ART. 164 DEL CPA, REFERENTE AL SUPUESTO ROBO EN UNA VALIJA, CON ROTURA DE LA MISMA, SIENDO LOS ELEMENTOS DENUNCIADOS COMO FALTANTES, UN PAR DE ZAPATILLAS Y UNA CAMISA, NUEVA, EN SU EMVOLTORIO ORIGINAL, DANDOSE INTERVENCION AL JUZGADO ANTES MENCIONADO.</t>
  </si>
  <si>
    <t>DIRECTO, SIN ESCALAS</t>
  </si>
  <si>
    <t>VUELO AR1291</t>
  </si>
  <si>
    <t>QUE SIENDO LA FECHA Y HORA MENCIONADA SE HACE PRESENTE UNA PERSONA PARA RADICAR UNA DENUNCIA POR UN HECHO DE CARACTER DELICTIVO INDICANDO QUE EN EL DIA DE LA FECHA SIENDO LAS 08:40 HORAS HIZO EL ARRIBO DEL VUELO Nº AR 1291 PROCEDENTE DE LA CIUDAD DE SANTIAGO DE CHILE. PASADO UNOS MINUTOS Y YA ESTANDO EN EL HALL DE ESTE AEROPARQUE SE PERCATA QUE HABIA OLVIDADO SU NOTEBOOK EN EL ASIENTO DEL AVION, Y AL REGRESAR Y CONSULTAR CON PERSONAL DE LA EMPRESA LE INFORMAN QUE LA BUSQUEDA ARROJO RESULTADO NEGATIVO. MOTIVO POR EL CUAL, EL PASAJERO CONVENCIDO DE LA SUSTRACCION DE LA NOTEBOOK SE DIRIGE A ESTA GUARDIA DE PREVENCION A RADICAR LA DENUNCIA PENAL. SIENDO LAS 12:15 HORAS SE ENTABLA COMUNICACION CON LA JUDICATURA ACTUANTE QUIEN ORDENA CIERRE Y ELEVACION DE ACTUACIONES.-</t>
  </si>
  <si>
    <t>AR 1291</t>
  </si>
  <si>
    <t>EN CUMPLIMIENTO DE LA ORDEN DE SERVICIO NRO. 0018/10 Y SIENDO LAS 13:00 HORAS ARRIBA AERONAVE MD 83 MATRICULA LV-BOR PERTENECIENTE A LA EMPRESA AUSTRAL LINEAS AEREAS Y EN CUYAS BODEGAS 4 Y 5 SE EMBARCAN 107 BULTOS CON UN PESO DE 2200 KILOGRAMOS DE METAL-MTD- PERTENECIENTES A LA EMPRESA MINERA SANTA CRUZ. DESPEGANDO LA AERONAVE DESDE ESTE AEROPUERTO A LAS 14:00 HORAS.</t>
  </si>
  <si>
    <t>AU 2631</t>
  </si>
  <si>
    <t>AEROPUERTI JORGE NEWBERY-CAPITAL FEDERAL</t>
  </si>
  <si>
    <t>MONICA TORRES S/DENUNCIA</t>
  </si>
  <si>
    <t>SECTOR BAÑOS DE DAMAS DE LA EMPRESA DE CATERING GATE GOURMET</t>
  </si>
  <si>
    <t>QUE SIENDO LA FECHA Y HORA INDICADA, LA DENUNCIANTE SE ENCONTRABA CUMPLIENDO CON SUS FUNCIONES LABORALES EN LA EMPRESA GATE GOURMET. EN TALES CIRCUNSTANCIAS, INGRESA AL BAÑO DE DICHA EMPRESA ENCONTRANDOSE EN EL INTERIOR DEL MISMO A UNA COMPAÑERA DE TRABAJO, SRA. MELISA RASGIDO, QUIEN DE FORMA INESPERADA TOMA POR EL CUELLO A LA DENUNCIANTE Y LA INSULTA A VIVA VOZ. EN VIRTUD A ELLO LA DENUNCIANTE LA EMPUJA HACIA ATRAS Y COMIENZA UN INTERCAMBIO DE GOLPES Y MANOTAZOS. QUE TRANSCURRIDOS VARIOS MINUTOS Y DADO A LOS GRITOS Y/O RUIDOS PRODUCIDOS, SE HACEN PRESENTES EN EL LUGAR VARIOS COMPAÑEROS DE TRABAJO Y LE CONSULTAN A LA DENUNCIANTE SOBRE LO SUCEDIDO, RESPONDIENDO LA MISMA QUE HABIA SIDO ATACADA POR RASGIDO Y QUE SOLO SE DEFENDIO, POR LO QUE LUEGO DE UNOS DIAS SE PRESENTA EN LA GUARDIA POLICIAL A FIN DE RADICAR LA DENUNCIA.</t>
  </si>
  <si>
    <t>-------------------------</t>
  </si>
  <si>
    <t>INFORMO QUE PARTIO DE ESTA AEROSTACION EL TANGO 01, TRASLADANDO A LA SEÑORA PRESIDENTA DE LA NACION Y COMITIVA SIN NOVEDAD. ASI MISMO INFORMO QUE SE PUDO OBSERVAR EN EL PUESTO ACCESO OSCAR- ACCESO PLATAFORMAINTEGRANTES DEL SUTEF- DOCENTES- MANIFESTANDO DEMANDA DE AUMENTOS SALARIALES. POSTERIORMENTE DEL DESPEGUE DE LA AERONAVE ANTES ENUNCIADA, POSTERIORMENTE DICHO GREMIO SE RETIRAN DEL LUGAR SIN NOVEDAD</t>
  </si>
  <si>
    <t>1153/10</t>
  </si>
  <si>
    <t>CIUDAD DE ELDORADO MISIONES</t>
  </si>
  <si>
    <t>JUZGADO FEDERAL DE PRIMERA INSTANCIA DE LA CIUDAD DE ELDORADO</t>
  </si>
  <si>
    <t>INFORMO TRASLADO DEL DETENIDO SR. JUAN CARLOS ALMIRON BRIZUELA PASAPORTE NRO 4257499 DE NACIONALIDAD PARAGUAYA NACIDO EL 10 DE MAYO DE 1986 DE 23 AÑOS DE EDAD DE ESTADO CIVIL SOLTERO, A SEDE TRIBUNALICIA SEGUN OFICIO Nº 534/2010 DEL JUZGADO FEDERAL DE LA CIUDAD DE ELDORADO A EFECTOS DE CUMPLIMENTAR TRAMITES PROCESALES PENDIENTES DE PRODUCCION EL DIA DE LA FECHA CONFORME A ORDEN DE SERVICIO Nº 21 DEL AÑO 2010</t>
  </si>
  <si>
    <t>VEREDA SECTOR B</t>
  </si>
  <si>
    <t>SIENDO LAS 10:30 HS. SE TOMA CONOCIMIENTO DE QUE EN LA VEREDA DEL SECTOR B SE ENCUENTRA SOBRE UN CARRO PORTAEQUIPAJES UNA BOLSA DE PLASTICO CON INSCRIPCION DUTY FREE, SE IMPLEMENTA EL PROCEDIMIENTO DE RIGOR, REALIZANDOSE EL PERIMETRO DE SEGURIDAD, SE DA AVISO A BOMBEROS PFA, SANIDAD Y SE SOLICITA LA PRESENCIA DE GEDEX, QUIEN UNA VEZ EN EL LUGAR REQUIERE SE AGRANDE EL MENCIONADO PERIMETRO, PROCEDIENDO A ENCENDER EL MEDIO TECNICO SABRE 4000, SE TOMAN MUESTRAS Y SE ANALIZAN EN EL MISMO, ARROJANDO RESULTADO NEGATIVO, MOTIVO POR EL CUAL SE PROCEDE A LA APERTURA MANUAL, DESCARTANDO TODO TIPO DE AMENAZA CON EXPLOSIVO. EL ELEMENTO ES TRASLADADO AL TURNO DE GUARDIA Y PREVENCION A FIN DE CONFECCIONAR EL ACTA DE HALLAZGO N° 584/10.</t>
  </si>
  <si>
    <t>TERCER JUZGADO CORRECCIONAL PRIMERA CIRCUNSCRIPCION JUDICIAL DE MENDOZA</t>
  </si>
  <si>
    <t>PAGUA</t>
  </si>
  <si>
    <t>DARIO</t>
  </si>
  <si>
    <t>DR JUAN JOSE GUARDAMAGNA</t>
  </si>
  <si>
    <t>INFRACCION LEY 13.944 EXPTE N° 584-8253-97</t>
  </si>
  <si>
    <t>NOTIFICACION POR PEDIDO DE CAPTURA</t>
  </si>
  <si>
    <t>INFORMO SE RECEPCIONA DE LA OFICINA DE INTERPOL ACTA PEDIDO DE CAPTURA VIGENTE DEL SR. SERGIO ALEJANDRO FONTANA SIENDO LAS 14:00 HORAS SE ESTABLECE COMUNICACION TELEFONICA CON EL JUZGADO SOLICITANTE DE LA MEDIDA SIENDO ATENTIDO POR LA SRA MARCELA RIQUELME AUX. MESA DE ENTRADA QUIEN ENTERADA DE LOS HECHOS COMUNICA QUE POR ORDEN DEL SR. JUAN JOSE GUARDAMAGNA SECRETARIO DE DICHO JUZGADO SE NOTIFIQUE AL CAUSANTE QUE DEBE COMPARECER ANTE SEDE TRIBUNALICIA EN EL TERMINO DE QUINCE DIAS HABILES DE LABRADA EL ACTA DE NOTIFICACION.</t>
  </si>
  <si>
    <t>SIENDO LA FECHA Y HORA INDICADA SE DA CUMPLIMIENTO A LA ORDEN DE SERVICIO NRO 0149/2010 DE LA URSA I DEL ESTE REFERENTE A CONTROL DE SEGURIDAD AEROPORTUARIA POR ARRIBO DE VUELO PRESIDENCIAL PROCEDENTE DE LA CIUDAD DE USHUAIA SIENDO LAS 17:30 HS ARRIBA A LA AEROESTACION MILITAR LA SRA PRESIDENTE DE LA NACION EN AERONAVE MATRICULA T-01 SIENDO LAS 17:35 HS SE RETIRA DE LA JURISDICCION LA PRIMER MANDATARIA EN EL HELICOPTERO H-03 SIN NOVEDAD.</t>
  </si>
  <si>
    <t>USUHAIA</t>
  </si>
  <si>
    <t>SIENDO LAS 1700 HORAS DEL DIA 12 DE MARZO, LA SEÑORA ADRIANA GARBAGNOLI, ESPOSA DEL SUBJEFE DE UOSP SUBINSPECTOR ADOLFO PEDERNERA, SE ENCONTRABA REALIZANDO COMPRAS EN UN LUGAR CENTRICO DE ESTA CIUDAD, CUANDO ES ABORDADA POR UNA PERSONA FEMENINA QUE COMENTA ACERCA DE LOS PRECIOS Y CALIDAD DE LAS ROPAS. ACTO SEGUIDO LE DICE QUE TIENE UNA CONOCIDA QUE VENDE ROPA DE BUENA CALIDAD Y A BUEN PRECIO QUE LA RECIBE DE EEUU. COMENTANDO AL FINAL DE DICHA CHARLA QUE ES LA SOBRINA DE UNA DE LAS DETENIDAS EN EZEIZA POR EL CONTRABANDO DE MERCADERIA. SEGUIDAMENTE LE DA UNA TARJETA PERSONAL DE LA SUPUESTA VENDEDORA DONDE CONSTA LOS SIGUIENTES DATOS: GRACIELA ESCURRA - GASCON 1920 PISO 12 UNIDAD 4 CELULAR 0223-154474519 MAR DEL PLATA.</t>
  </si>
  <si>
    <t>CALLE DE RODAJE SECTOR CABECERA 2 5 PUNTO AISLADO DE ESTACIONAMIENTO AERONAVESD</t>
  </si>
  <si>
    <t>PUESTO ACCESO AERONAVES</t>
  </si>
  <si>
    <t>EL DIA DE LA FECHA SE PRODUCE CARGA DE MMPP COMPUESTO POR 30 BULTOS SEGUN SIGUIENTE DETALLE 5 CAJAS CONTENIENDO 250 DETONADORES ELECTRICOS TEC I RENAR NRO C 2B4111-02-DI NRO 09038ICO4-006531-V Y 25 CAJAS CONTENIENDO 1250 CARAGS HUECAS TC47HP RENAR Nº C 0098 25 AMPARADO BAJO REMITO Nº 0002-00000677 DE GEOLOG S.A. SON EMBARCADAS EN AERONAVE CESSNA C414 CON LA SIGUIENTE TRIPULACION MAURO GERK DNI 33.885.218 Y OSCAR GERK DNI 13.160.894 DESPEGANDO A LAS 16:40 HS S/N</t>
  </si>
  <si>
    <t>LV JPZ</t>
  </si>
  <si>
    <t>ASIENTOS HABIDOS EN EL SECTOR DE ARRIBOS PROXIMOS AL STAND DE INFORMES AA2000</t>
  </si>
  <si>
    <t>PERSONAL DEL C.O.C INFORMA QUE DOS MASCULINOS QUE HABRIAN INGRESADO A ESTE MEDIO, SE ESTARIAN RETIRANDO CON ELEMENTOS QUE NO PORTABAN AL MOMENTO DE SU LLEGADA. EL CUAL HABRIA SUSTRAIDO POR UNO DE LOS MASCULINOS, A UN PASAJERO ARRIBADO A ESTE MEDIO QUE SE ENCONTRABA EN EL SECTOR DE ARRIBOS, MAS PRECISAMENTE EN LOS ASIENTOS PROXIMOS AL STAND DE INFORMES DE AA2000. SEGUIDO A ELLO, SE COMISIONA PERSONAL POLICIAL Y CON LA COLABORACION DE LOS OFICIALES DEL C.O.C SE IDENTIFICA A ESTOS DOS MASCULINOS Y AL PASAJERO DAMNIFICADO SE LO INVITA A EFECTUAR LA CORRESPONDIENTE DENUNCIA. EN VIRTUD A ELLO, SE DA INTERVENCION JUDICIAL MEDIANTE LA CUAL SE DISPONE SE LABREN ACTUACIONES DE RIGOR Y LUEGO DE REALIZAR LAS DILIGENCIAS PERTINENTES SE HAGA ENTREGA A SU PROPIETARIO DE LOS ELEMENTOS SUSTRAIDOS. DILIGENCIA LA CUAL SE EFECTUA EN PRESENCIA DE LOS TESTIGOS DEL PROCEDIMIENTO. PERMANECIENDO EL MASCULINO DE APELLIDO PEREZ, QUE PORTABA EL MALETIN APREHENDIDO EN CALIDAD DE COMUNICADO HASTA SU TRASLADO A PRIMERA HORA DEL DIA 16/03/10. EN TANTO, CON EL OTRO MASCULINO DE APELLIDO IBARRA, SE DISPUSO SEA IDENTIFICADO Y DE NO CONTAR CON IMPEDIMENTOS SE RETIRE DE ESTE MEDIO POR SUS PROPIOS MEDIOS. SE INFORMA SEGUN PU Nº 1550 DEL DIA 16/03/10 QUE A LAS 0730 HORAS SE EFECTUO EL TRASLADO DEL APREHENDIDO DE APELLIDO PEREZ A LA SEDE JUDICIAL Y SE INFORMA ADEMAS QUE EL DIA 15/03/10 EL OTRO MASCULINO DE APELLIDO IBARRA AFECTADO A ACTUACIONES POR NO MEDIAR IMPEDIMENTO LEGAL HIZO ABONDONO DE LA DEPENDENCIA POLICIAL POR SUS PROPIOS MEDIOS. SE INFORMA SEGUN PU Nº 1576 AMPLIACION DEL PU 1550 DEL DIA 16/03/10 SIENDO LAS 1510 HORAS REGRESO LA COMISION POLICIAL DEL JUZGADO JUNTO CON EL DETENIDO Y SIENDO LAS 1615 HORAS DEL DIA DE LA FECHA SE PROCEDE A LA LIBERACION DEL DETENIDO DE APELLIDO PEREZ RETIRANDOSE DE LA DEPENDENCIA POLICIAL POR SUS PROPIOS MEDIOS.</t>
  </si>
  <si>
    <t>SECTOR NRO. 5 DE LA PLATAFORMA COMERCIAL</t>
  </si>
  <si>
    <t>INFORMO ARRIBO DE AERONAVE CESSNA C414 DE LA EMPRESA CEDMA SRL TRANSPORTANDO MMPP EXPLOSIVOS SIENDO ESTOS 5 CAJAS CONTENIENDO 250 DETONADORES ELECTRICOS TEC I //RENAR Nº C2 B111-02-DI Nº 090038ICO4-V// Y 25 CAJAS CON 1250 CARGAS HUECAS TC 47 HP // RENAR Nº C 009825 // AMPARADA BAJO GUIA REMOVIDO NRO 171 CONSIGNADA A GEOLOG S.A. SIENDO LA CARGA UN TOTAL DE 30 BULTOS CON UN PESO DE 600 KG. FINALIZANDO EL PROCEDIMIENTO S/N.</t>
  </si>
  <si>
    <t>Fiscalía Nacional en lo Penal Económico Nº 08</t>
  </si>
  <si>
    <t>DRA. MONICA IGUIÑIZ</t>
  </si>
  <si>
    <t>NN S/INTERVENCION TELEFONICA S/INFR. LEY 22.415</t>
  </si>
  <si>
    <t>JUZGADO NACIONAL EN LO PENAL ECONOMICO N8</t>
  </si>
  <si>
    <t>EN EL DIA DE LA FECHA SIENDO LAS 9:15 HORAS POR ORDEN DEL JUZGADO NACIONAL EN LO PENAL ECONOMICO N 8 A CARGO DEL DR. GUSTAVO MEIROVICH, SECRETARIA N 16 DE LA DRA. MONICA IGUIÑIZ, SE PROCEDE A CONCEDER LA EXCARCELACION BAJO CAUCION JURATORIA DE LA IMPUTADA, EN DEPENDENCIA DE LA PFA.-</t>
  </si>
  <si>
    <t>1508/10</t>
  </si>
  <si>
    <t>TENTATIVA DE CONTRABANDO DE ESTUEFACIENTE</t>
  </si>
  <si>
    <t>TERMINAL B DE ESTE AEROPUERTO</t>
  </si>
  <si>
    <t>QUE SIENDO LAS SIETE HORAS TREINTA MINUTOS DEL DIA QUINCE DEL CORRIENTE MES Y AÑO, EN CUMPLIMIENTO A LO ORDENADO POR SUS S.SA SE PROCEDIO A EFECTUAR EL TRASLADO DE LA DETENIDA A SEDE JUDICIAL.-</t>
  </si>
  <si>
    <t>1506/10</t>
  </si>
  <si>
    <t>PATIO DE VALIJA</t>
  </si>
  <si>
    <t>QUE SIENDO LAS SIETE HORAS TREINTA MINUTOS DEL DIA QUINCE DEL CORRIENTE MES Y AÑO, SE PROCEDIO A EFECTUAR EL TRASLADO DEL DETENIDO HACIA LA SEDE DEL JUZGADO INTERVINIENTE EN CUMPLIMIENTO A LO ORDENADO.</t>
  </si>
  <si>
    <t>LUCIO LOPEZ</t>
  </si>
  <si>
    <t>SIENDO LA FECHA Y HORA ANTES MENCIONADA SE RECIBE COMUNICACIÓN VÍA TELEFÓNICA POR PARTE DEL OF. GABRIEL MARTÍNEZ, CONTROL Nº 501.329 ENCARGADO DE PREEMBARQUE INTERNACIONAL, INFORMANDO QUE EN MOMENTOS EN QUE EL OF. LINARES LÓPEZ FEDERICO SE ENCONTRABA EFECTUANDO EL CONTROL DE INGRESO DE PASAJEROS, UN PASAJERO DE SEXO MASCULINO PASA POR EL ARCO DETECTOR DE METALES Y ACCIONA LA ALARMA DEL MISMO, POR LA CUAL EL OFICIAL LE EFECTÚO UN CHEQUEO MANUAL Y NOTÓ QUE A LA ALTURA DEL BOLSILLO DELANTERO DERECHO DEL PANTALÓN TENIA UNA ZONA ABULTADA. POR LO QUE LE SOLICITA QUE EXHIBA EL CONTENIDO, EL PASAJERO, SACA DEL INTERIOR, UN OBJETO ENVUELTO EN UNA BOLSA PLÁSTICA TIPO NYLON TRANSPARENTE, MANIFESTANDO EL PASAJERO QUE SE TRATABA DE MARIHUANA. ACTO SEGUIDO SE SOLICITÓ LA PRESENCIA DE DOS TESTIGOS, PARA POSTERIORMENTE TRASLADAR AL CAUSANTE Y A TODOS LOS INTERVINIENTES HASTA EL PUESTO DE GUARDIA, DONDE SE EFECTUÓ EL TEST ORIENTATIVO MARCA NIK PARA MARIHUANA, ARROJANDO RESULTADO POSITIVO. SIENDO LAS 14:20 HORAS SE ENTABLA COMUNICACIÓN TELEFÓNICA CON LA JUDICATURA ACTUANTE A QUIEN SE LE INFORMO LO SUCEDIDO ORDENANDO: SE PROCEDA A LA DETENCIÓN DEL PASAJERO EN CARÁCTER DE COMUNICADO, CERTIFICADO MEDICO PRECARIO DE ENTRADA, CONSTANCIA DE LECTURA DEL ART. 36 DE LA CONVENCIÓN DE VIENA, SE CURSE NOTA AL CONSULADO ESPAÑOL, TRES JUEGOS DE FICHAS DACTILOSCÓPICAS PARA ANEXAR A LA CAUSA, FOTOS DE LA SUSTANCIA Y DEL PESAJE, SE REALICE CERTIFICADO DE REINCIDENCIA 353 BIS, IDGE, ARTICULO 86 Y 197 CPPN, LECTURA DE ART. 258 Y 259 CPPN, QUE SE FIJE DOMICILIO EN LA DEFENSORÍA OFICIAL, DEBIDO A QUE SE TRATA DE UN TURISTA SIN DOMICILIO, ACTA DE APERTURA Y SECUESTRO DE LA SUSTANCIA, ENVÍO DE LA SUSTANCIA SECUESTRADA AL LABORATORIO QUÍMICO DE LA POLICÍA FEDERAL ARGENTINA, DECLARACIÓN TESTIMONIAL AL PERSONAL ACTUANTE Y A LOS TESTIGOS; SE LABRE CONSTANCIA PARA EL IMPUTADO CONTENIENDO LOS DATOS DEL JUZGADO INTERVINIENTE, Nº DE CAUSA INTERNA A LOS FINES QUE TENGA CONOCIMIENTO DE CÓMO Y DONDE SE SUSTANCIAN LAS ACTUACIONES Y EN CASO DE QUE EL CAUSANTE NO REGISTRE IMPEDIMENTOS LEGALES VIGENTES, SE REALICE LA SOLTURA DEL MISMO. SE INFORMA SEGUN PU Nº 1547 SIENDO LAS 0410 HORAS SE PROCEDE A DEJAR EN LIBERTAD AL DETENIDO CUMPLIMENTANDO LO DISPUESTO POR EL JUZGADO INTERVINIENTE, POR NO REGISTRAR IMPEDIMENTO LEGAL ALGUNO.</t>
  </si>
  <si>
    <t>PU 8108</t>
  </si>
  <si>
    <t>AEROPARQUE - C.A.B.A.</t>
  </si>
  <si>
    <t>PUNTO DE INSPECCION Y REGISTRO.</t>
  </si>
  <si>
    <t>SIENDO LA FECHA Y HORA ANTES MENCIONADA EFECTUANDO UN CONTROL DE INGRESO DE PASAJEROS AL EMBARQUE DEL VUELO AU 2694 CON DESTINO A EL CALAFATE EN EL PUNTO DE INSPECCION Y REGISTRO AL PASAR UN PASAJERO DE SEXO MASCULINO POR EL ARCO DETECTOR SE ACCIONA LA ALARMA POR LO CUAL EL OFICIAL DORNA PATRICIO LE EFECTUO UN CHEQUEO A DICHO PASAJERO NOTANDO EN EL BOLSILLO DELANTERO DERECHO DEL PANTALON UN BULTO, POR LO QUE LE SOLICITA AL PASAJERO QUE MUESTRE EL CONTENIDO, Y EN ESE MOMENTO EL PASAJERO MANIFIESTA QUE SON DOS PORROS. INMEDIATAMIENTE SE SOLICITA LA PRESENCIA DE DOS TESTIGOS, Y POSTERIORMENTE SE TRASLADA AL CAUSANTE Y A TODOS LOS INTERVINIENTES A LA SALA DE REQUISA, SE EFECTUO EL TEST ORIENTATIVO MARCA NIK PARA MARIHUANA, ARROJANDO RESULTADO POSITIVO. SIENDO LAS 17:55 HORAS SE ENTABLA COMUNICACION TELEFONICA CON EL JUZGADO EN TURNO A QUIEN SE LE INFORMA LO SUCEDIDO ORDENANDO PROCEDIMIENTO DE RIGOR Y EN CASO DE QUE EL CAUSANTE NO REGISTRE IMPEDIMENTOS SE REALICE LA SOLTURA. SE INFORMA SEGUN PU Nº 1548 DEL DIA 16 DE MARZO DEL 2010 SIENDO LAS 0350 HORAS SE CUMPLIMENTA LO ORDENADO POR LA JUDICATURA ACTUANTE PROCEDIENDO A LA LIBERACION DEL DETENIDO DEBIDO A QUE NO REGISTRA IMPEDIMENTO LEGAL.</t>
  </si>
  <si>
    <t>AU 2694</t>
  </si>
  <si>
    <t>Parcio de Seleme</t>
  </si>
  <si>
    <t>Eva</t>
  </si>
  <si>
    <t>DR. MANUEL GUTIERREZ</t>
  </si>
  <si>
    <t>PSA S/AVERIGUACION DE TRANSPORTE DE SUSTANCIAS PELIGROSAS</t>
  </si>
  <si>
    <t>CINTA TRANSPORTADORA</t>
  </si>
  <si>
    <t>DROGUERIA MEDIVEN</t>
  </si>
  <si>
    <t>HOSPITAL DISTRITAL JOSE FORMENTI EL CALAFATE</t>
  </si>
  <si>
    <t>SIENDO LAS 21:30 HORAS LOCAL UNA VEZ FINALIZADO EL CONTROL DE CARGA DE CORREO DESPACHADO DEL VUELO AUSTRAL 2837 CON DESTINO A LA CIUDAD DE BUENOS AIRES MIENTRA PERSONAL DE LA EMPRESA AEROHANDLING MANIPULA UNA CAJA DE CARTON LA MISMA SE ENCONTRABA HUMEDA Y SE ROMPE Y EMANA UN OLOR FUERTE, Y AL OBSERVAR EN SU INTERIOR SE COMPRUEBA QUE EL CONTENIDO NO COINCIDE CON LA GUIA DE CARGA DECLARADA A JET PAQ. SE PROCEDE A VALLAR LA ZONA Y SE INFORMA LA NOVEDAD EL JEFE DE LA UNIDAD REGIONAL Y AL AL JUZGADO FEDERAL DE PRIMERA INSTANCIA, QUIEN ORDENA EL SECUESTRO DE LA CAJA Y SU CONTENIDO.</t>
  </si>
  <si>
    <t>AEROPUERTO COMODORO RIVADAVIA</t>
  </si>
  <si>
    <t>INFRACCION AL ARTICULO 282 DEL CPN</t>
  </si>
  <si>
    <t>A LA IZQUIERDA DEL SECTOR DE ARRIBOS DE PASAJEROS</t>
  </si>
  <si>
    <t>BANCO DE LA NACION ARGENTINA</t>
  </si>
  <si>
    <t>QUE LLEGADA A ESTE MEDIO, SE DIRIGE HACIA AL BANCO DE LA NACION ARGENTINA A LOS EFECTOS DE CAMBIAR DINERO EN VALOR DE REALES POR PESOS ARGENTINOS, REALIZANDO EL CAMBIO DE QUINIENTOS CINCUENTA REALES, OBTENIENDO UN MIL CIENTO CUARENTA Y CUATRO PESOS ARGENTINOS, EN BILLETES DE DIFERENTES VALORES. QUE FINALIZADO EL TRAMITE CORRESPONDIENTE, HABIENDO RECIBIDO EL MISMO EN CONFORMIDAD, TOMA UN TAXI Y CON DESTINO A LA CIUDAD DE BUENOS AIRES HACE ABANDONO DE ESTE MEDIO. QUE UNA VEZ ALLI, SE DISPONE A ABONAR EL VIAJE, ENTREGANDO TRES BILLETES DE CIEN PESOS ARGENTINOS, SOBRE LOS CUALES EL CHOFER DEL TAXI, LE INFORMO QUE NO ERAN AUTENTICOS, POR LO QUE ABONA CON OTROS BILLETES EL IMPORTE DEL VIAJE. POSTERIORMENTE DESCIENDE DEL RODADO Y TOMA CONTACTO CON UN AMIGO Y JUNTOS DE DIRIGEN HACIA LA RECEPCION DEL HOTEL EN DONDE SE ALOJARIA A LOS EFECTOS DE PAGAR SU ESTADIA, CIRCUNSTANCIA EN LA CUAL, AL MOMENTO DE ABONAR LE HACEN NOTAR QUE LOS BILLETES DE CIEN PESOS ARGENTINOS CON LOS QUE SE DIPONIA A ABONAR, ERAN FALSOS. QUE HABIENDO RECORDADO QUE EL CAMBIO DE DINERO LO HABIA REALIZADO EN ESTE MEDIO, SE HACE PRESENTE EN ESTA PREVENCION A LOS EFECTOS DE REALIZAR DENUNCIA DEL HECHO.</t>
  </si>
  <si>
    <t>G3 7458</t>
  </si>
  <si>
    <t>NAC. EN LO PENAL ECONOMICO Nº 8</t>
  </si>
  <si>
    <t>DRA MONICA MARTA IGUIÑIZ</t>
  </si>
  <si>
    <t>EN EL DÍA 15 DE MARZO DEL 2010 SIENDO LAS 20:20 HORAS PERSONAL DE CONSIGNA EN CUSTODIA EN EL HOSPITAL RIVADAVIA DEL DETENIDO BORGIALLI DINO EN RELACION A LA CAUSA Nº 990/08 CARATULADA "N.N.-INTERVENCIONES TELEFONICAS-S INF. LEY 22.415", COMUNICA QUE PERSONAL MEDICO DE DICHO HOSPITAL Y FAMILIARES SOLICITAN EL TRASLADO DEL DETENIDO DESDE ESE HOSPITAL HACIA EL HOSPITAL ALEMÁN PARA SER ATENDIDO POR SU OBRA SOCIAL OSDE BINARIO. SIENDO LAS 20:30 HRS. SE EFECTÚA COMUNICACIÓN TELEFÓNICA CON LA DRA. IGUINIZ MONICA MARTA, TITULAR DE LA SECRETARIA Nº 16 DEL JUZGADO NACIONAL EN LO PENAL ECONOMICO Nº 8 A/C DE S. SA. DR. GUSTAVO MIEROVICH, INFORMÁNDOLE ACERCA DEL PEDIDO REALIZADO, Y QUIEN PREVIA CONSULTA CON EL DR. MIEROVICH AUTORIZA EL TRASLADO, EFECTUÁNDOSE EL MISMO EN EL DIA 16 DE MARZO DEL 2010 A LAS 01:10 AL HOSPITAL ALEMÁN CITO EN BERUTI 2557 DE ESTA CIUDAD AUTÓNOMA, EN LA UNIDAD CORONARIA DEL MISMO. SE INFORMA SEGUN PU Nº 1642 DEL DIA 18/03/10 SIENDO LAS 1330 HORAS SE HIZO PRESENTE EN EL HOSPITAL ALEMAN EL SEÑOR JUEZ A CARGO DEL JUZGADO PENAL ECONOMICO Nº 8, EL CUAL CONCEDIO LA EXCARCELACION BAJO CAUCION REAL AL IMPUTADO.</t>
  </si>
  <si>
    <t>1540/10</t>
  </si>
  <si>
    <t>PUNTO DE CONTROL DE REGISTRO</t>
  </si>
  <si>
    <t>EL PRESENTE PARTE ES REFERENTE A LA AMPLIACION DEL PARTE Nº 1540 EN EL CUAL SE PROCEDE A DEJR EN LIBERTAD SEGUN LO ORDENADO POR LA JUDICATURA INTERVINIENTE AL NO REGISTRAR IMPEDIMENTO ALGUNO EN EL DIA 16 DE MARZO DEL 2010 Y SIENDO LAS 04:10 HS SE RETIRA DE ESTA DEPENDENCIA, CONFORME CON LOS TRATOS RECIBIDOS, CON LA TOTALIDAD DE SUS PERTENENCIAS Y POR SUS PROPIOS MEDIOS EL SR. O´CONNOR JAIME</t>
  </si>
  <si>
    <t>1542/10</t>
  </si>
  <si>
    <t>EL PRESENTE PARTE ES REFERENTE A LA AMPLIACION DEL PARTE Nº 1542 EN LO CUAL SE PROCEDE A CUMPLIR CON LO ORDENADO POR LA JUDICATURA INTERVINIENTE A DEJAR EN LIBERTAD AL SR. PALACIO FERNANDO CARLOS AL NO REGRISTRAR IMPEDIMENTO LEGAL ALGUNO SIENDO EL DIA 16 DE MARZO DEL 2010 A LAS 03:50 SE RETIRA DE ESTA GUARDIA CONFORME CON LOS TRATOS RECIBIDOS LA TOTATLIDAD DE SUS PERTENENCIAS Y POR SUS PROPIOS MEDIOS.</t>
  </si>
  <si>
    <t>AR 2694</t>
  </si>
  <si>
    <t>FISCALIA NACIONAL CORRECCIONAL Nº 3</t>
  </si>
  <si>
    <t>CICCHETTI</t>
  </si>
  <si>
    <t>DRA. GABRIELA SANCHEZ NEGRETTE</t>
  </si>
  <si>
    <t>ESTACIONAMIENTO DESCUBIERTO</t>
  </si>
  <si>
    <t>EN EL DIA 15 DE MARZO SIENDO LAS 21:00 HS SE HACE PRESENTE EL DAMNIFICADO A FIN DE REALIZAR UNA DENUNCIA POR UN HECHO DE CARACTER DELITO. EN DONDE UNA VEZ ARRIBADO A ESTE AEROPARQUE METROPOLITANO SE DIRIGIO A ALMORZAR Y AL FINALIZAR FUE HASTA EL ESTACIONAMIENTO DESCUBIERTOCON EL FIN DE HACER USO DEL VEHICULO ALQUILADO A LA EMPRESA SHERWIN WILLIAMS. SEGUIDAMENTE ABORDA EL VEHICULO SIENDO ESTE UN RENAULT MODELO MEGANE COLOR GRIS PLATA DOMINIO FNB 512, COLOCANDO EN EL ASIENTO TRASERO UN MALETIN COLOR NEGRO CON LA INSCRIPCION HP, CONTENIENDO UNA LAPTOP Y UNA VALIJA COLOR GRIS LUEGO JUNTO AL CHOFER DEL REMIS PARTIO POR AV RAFAEL OBLIGADO EN DIRECCION AL INDU CLUB. RAPIDAMENTE EL CHOFER SE PERCATA QUE UNA DE LAS RUEDAS SE ENCONTRABA BAJA MOTIVO POR LO CUAL CRUZO LA AV RAFAEL OBLIGADO E INGRESO A LA DARSENA PARA INGRESAR AL ESTACIONAMIENTO ALLI DETUVO SU MARCHA Y AMBOS DESCENDIMOS PARA COMENZAR CON LA TAREA DE RECAMBIO DE NEUMATICO, EN ESE MOMENTO SE ACERCO UN VEHICULO COLOR NEGRO MARCA RENAULT MODELO CLIO CON VIDRIOS POLARIZADOS A LO QUE VIO QUE SE ENCONTRABAN TRES PERSONAS DE SEXO FEMENINO UNA DE ELLAS PREGUNTA DONDE QUEDA EL OBELISCO A LO QUE LE INDICO LA DIRECCION Y COMO DEBE IR DANDOLE LA ESPALDA AL REMIS SEGUIDAMENTE AL FINALIZAR EL RECAMBIO DE NEUMATICO ABORDARON NUEVAMENTE EL REMIS Y RETOMANDO LA MARCHA PASADO UNOS VEINTE MINUTOS SE PERCATA DE LA FALTA DEL MALETIN NEGRO.</t>
  </si>
  <si>
    <t>LA4271</t>
  </si>
  <si>
    <t>1533/10</t>
  </si>
  <si>
    <t>BANCOS HABIDOS EN EL SECTOR DE ARRIBOS PROXIMOS AL STAND DE INFORMES AA2000</t>
  </si>
  <si>
    <t>SIENDO LAS SIETE HORAS TREINTA MINUTOS DEL DIA DIECISEIS DEL CORRIENTE MES Y AÑO. DANDO CUMPLIMIENTO A LO ORDENADO POR EL AGENTE FISCAL, SE EFECTUÓ EL TRASLADO DEL APREHENDIDO HACIA LA SEDE DE LA UNIDAD FUNCIONAL INTERVINIENTE. EN EL MISMO TENER ES DABLE INFORMAR QUE EL SR. IBARRA, QUE SE ENCONTRABA AFECTADO A ACTUACIONES, FINALIZADAS LAS DILIGENCIAS PERTINENTES, EL DÍA QUINCE DEL CORRIENTE MES Y AÑO, HIZO ABANDONO DE ESTA DEPENDENCIA POR SUS PROPIOS MEDIOS. PTO. SEGUN PU 1533 SE TRALADA AL IMPUTADO A SEDE JUDICIAL, SEGUN PU 1576 REGRESA COMISION DEL JUZGADIO</t>
  </si>
  <si>
    <t>COLONIA PENAL DE CANDELARIA, CANDELARIA PROVINCIA DE MISIONES</t>
  </si>
  <si>
    <t>INFORMO TRASLADO DEL DETENIDO SR.JUAN CARLOS ALMIRON BRIZUELA PAS Nº4257499 DE NACIONALIDAD PARAGUAYA FECHA DE NAC 10 MAY 1986 DE 23 AÑOS DE ESTADO CIVIL SOLTERO A LA UNIDAD 17 COLONIA PENAL DE CANDELARIA PROVINCIA DE MISIONES PARA SU ALOJAMIENTO SIENDO EL OFICIO JUDICIAL Nº 536/10 ORDENADO POR EL DR. GUERRERO A/C DE LA SECRETARIA Nº 1 DEL JUZGADO FEDERAL DE ELDORADO CONFORME A ORDEN DE SERVICIO Nº 050 DE LA URSA IV DEL LITORAL</t>
  </si>
  <si>
    <t>BAR DEL HALL CENTRAL</t>
  </si>
  <si>
    <t>HALL SECTOR A</t>
  </si>
  <si>
    <t>EN EL DIA 16 DEL CORRIENTE MES Y AÑO SIENDO LAS 03:05 SE APERSONA LA SRA. MARIA SALVADOR GENIS A FIN DE REALIZAR LA DENUNCIA DE DELITO, MANIFESTANDO QUE EL DIA 15 DEL CORRIENTE MES Y AÑO A LAS 18:10 HS APROXIMADAMENTE REALIZO EL DESPACHO DE SUS VALIJAS PARA EL VUELO AR 1212 CON DESTINO A MONTEVIDEO DE LA EMPRESA AEROLINEAS ARGENTINAS, SEGUIDAMENTE SE DIRIGIO AL BAR DE LA PLANTA BAJA A LA ESPERA DEL EMBARQUE DEL VUELO PASADO CUARENTA MINUTOS SE LE ACERCA UN HOMBRE DE ACENTO PORTUGUES PRGUNTANDO POR LA EMPRESA LAN CHILE Y LUEGO VARING A LO QUE LE INDICA QUE SE ENCONTRABA UNOS METROS MAS ADELANTES RAPIDAMENTE SE GIRA AL RESPALDO DE SU SILLA A EFECTO DE BUSCAR UNA DOCUMENTACION EN SU CARTERA MOMENTO EN EL CUAL SE PERCATA LA FALTA DE LA MISMA</t>
  </si>
  <si>
    <t>PORTON DE INGRESO A LA EMPRESA HANGAR 1</t>
  </si>
  <si>
    <t>SIENDO LAS 10 HS.EL OF.PANNUNZIO OSCAR REALIZANDO UNA RECORRIDA DE RUTINA ENCUENTRA UN PERMISO PERSONAL AEROPORTUARIO DE SEGURIDAD CON ACOMPAÑAMIENTO Nº8048 DENUNCIADO POR EXTRAVIO EL DIA 11 DE MARZO DEL 2010 POR EL SEÑOR REVOL LOZADA GERMAN D.N.I.16763701 SEGUN ACTA DE EXTRAVIO Nº05/10 Y PARTE URGENTE Nº1425/10.INCORPORANDOSE LA MISMA AL STOCK DE PERMISOS PERSONALES AEROPORTUARIOS.SE REALIZA ACTA DE HALLAZGO Nº03/10</t>
  </si>
  <si>
    <t>NAC. DE 1º INST. EN LO CRIM CORR FEDERAL Nº 9</t>
  </si>
  <si>
    <t>Secretaria N 17</t>
  </si>
  <si>
    <t>Torres</t>
  </si>
  <si>
    <t>Sergio Daniel</t>
  </si>
  <si>
    <t>DRA. MARIA SUSANA SPINA</t>
  </si>
  <si>
    <t>PREEMBARQUE CABOTAJE TERMINAL III.</t>
  </si>
  <si>
    <t>SIENDO LA FECHA Y HORA ANTES MENCIONADA SE RECIBE COMUNICACION TELEFONICA POR PARTE DEL OFICIAL KADY JORGE ENCARGADO DEL PREEMBARQUE NACIONAL INFORMANDO QUE AL PASAR UN PASAJERO DE SEXO MASCULINO POR EL ARCO DETECTOR DE METALES ACTIVO LA ALARMA DEL MISMO POR LO QUE EL OFICIAL DI MUCCIO LE EFECTUA UN CHEQUEO MANUAL AL MASCULINO Y OBSERVO QUE EN EL BOLSILLO DELANTERO IZQUIERDO DEL PANTALON TENIA UNA PROTUBERANCIA POR LO QUE LE SOLICITA QUE EXHIBA EL CONTENIDO, RESULTANDO SER ESTE UNA MARQUILLA DE CIGARRILLOS, LA CUAL CONTENIA EN SU INTERIOR UN OBJETO ENVUELTO, MANIFESTANDO EL PASAJERO QUE EL CONTENIDO ERA MARIHUANA. ACTO SEGUIDO SE CONVOCAN AL LUGAR A LOS DOS TESTIGOS HABILES, Y SE DIRIGEN TODOS LOS INTERVINIENTES A LA SALA DE REQUISA CITA EN DICHO PREEMBARQUE DONDE EL PERITO DE TURNO EFECTUO A LA SUSTANCIA UN REACTIVO QUIMICO MARCA NIK QUE ARROJO RESULTADO POSITIVO PARA MARIHUANA. SEGUIDAMENTE SE COMIENZA CON LAS ACTUACIONES DE RIGOR. SE AMPLIARA CON RESULTADO DE REINCIDENCIA. SE INFORMA SEGUN PU Nº 1579 SIENDO LAS 1800 HORAS SE CUMPLIMENTA LO ORDENADO POR LA JUDICATURA ACTUANTE PROCEDIENDO A LA LIBERACION DEL DETENIDO POR NO REGISTRAR IMPEDIMENTO LEGAL ALGUNO.</t>
  </si>
  <si>
    <t>LA 4438</t>
  </si>
  <si>
    <t>SECTOR SUDOESTE LINDANTE AL PARAJE LA VERNACHA</t>
  </si>
  <si>
    <t>EN EL DIA DE LA FECHA SE PRESENTA EN ESTA DEPENDENCIA EL SR. CALDERON SERGIO, EMPLEADO DE LA EMPRESA AA 2000 QUIEN RADICA DENUNCIA RELACIONADA CON DAÑOS EFECTUADOS EN LA CERCA PLASTICA PERIMETRAL. EL MISMO MIENTRAS REALIZABA UN RECORRIDO DE RUTINA EN VEHICULO DE LA EMPRESA CONSECIONARIA DE ESTE AERODROMO, EN EL HORARIO DE 08:10 DETECTA LA NOVEDAD EN EL SECTOR LINDANTE AL PARAJE LA VERNACHA. RECIBIDA LA DENUNCIA SE DA INTERVENCION A LA JUSTICIA FEDERAL, REALIZANDO COMUNICACION TELEFONICA CON EL SR. FISCAL FEDERAL DR. PEDRO SIMON, QUIEN ORDENA REALIZAR LAS ACTUACIONES CORRESPONDIENTES Y ELEVARLAS A LA BREVEDAD.-</t>
  </si>
  <si>
    <t>1543/10</t>
  </si>
  <si>
    <t>NAC. DE 1º INST. EN LO CORRECCIONAL Nº 3</t>
  </si>
  <si>
    <t>GUICHANDUT</t>
  </si>
  <si>
    <t>NEGRETTE GABRIELA SANCHEZ</t>
  </si>
  <si>
    <t>AERONAVE MATRICULA LV BEG ARRIBADA PROCEDENTE DE MENDOZA, VUELO NRO. AR 2401.</t>
  </si>
  <si>
    <t>QUE EL DIA DE LA FECHA SE HACE PRESENTE EL DENUNCIANTE, A LOS EFECTOS DE DEJAR CONSTANCIA DEL HURTO DE SU TELEFONO CELULAR, QUE EN PRIMERA INSTANCIA DEJO OLVIDADO EN EL REVISTERO TRASERO DEL ASIENTO 3A DE LA AERONAVE DEL VUELO, SIENDO QUE VIAJO SENTADO EN EL ASIENTO 4A, Y AL DESCENDER DE LA AERONAVE Y DIRIGIRSE AL SECTOR DE ARRIBOS A2, LE SOLICITA AL PERSONAL DE LA EMPRESA AEROLINEAS ARGENTINAS QUE MODULEN A VIGILANCIA H.A.S. PARA RECUPERARLE SU TELEFONO MOVIL. PASADOS UNOS MINUTOS Y ANTE DICHA SOLICITUD, LE FUE INFORMADO QUE EL TELEFONO NO ESTABA. SE ACERCA A ESTA GUARDIA, EN DONDE SE ARBITRARON LOS MEDIOS PARA SOLICITAR EL LISTADO DEL PERSONAL INTERVINIENTE.</t>
  </si>
  <si>
    <t>AR 2401</t>
  </si>
  <si>
    <t>FISCALIA FEDERAL N° 1 DE MENDOZA</t>
  </si>
  <si>
    <t>GARNICA FACUNDO</t>
  </si>
  <si>
    <t>CALLE GRAL PAZ A LA ALTURA CABERA SUR Y LA ENTRADA PARQUE DE DESCANSO LOS APOSTOLES DE EL ALGARROBAL</t>
  </si>
  <si>
    <t>CERCANIA DE CABECERA SUR ENTRE EL PERIMETRO Y LA CALLE GRAL PAEZ DEL ALGARROBAL</t>
  </si>
  <si>
    <t>SIENDO LAS 10:27 HORAS EL OF. JEFE ALENDA RECIBE EN EL TELEFONO DIRECTO DE LA GUARDIA DE PREVENCION DE ESTA UOSP MENDOZA UNA DENUNCIA ANONIMA, EN CUAL UNA MUJER DICE PRESENCIAR TODOS LOS DIAS DURANTE EL ULTIMO AÑO APROXIMADAMENTE MIENTRAS SE DIRIJE AL TRABAJO EN UN HORARIO ENTRE LAS 06:00 Y 07:00 HORAS UN POSIBLE ILICITO FRENTE AL PERIMETRO DEL AEROPUERTO CERCANO AL PARQUE DE DESCANSO DE LOS APOSTOLES, SOBRE CALLE GRAL PAZ. LA CUAL MANIFIESTA VER PERSONAS QUE CAMBIAN DE UN AUTO A OTRO BIDONES VARIOS, QUE ELLA MANIFIESTA SON DE COMBUSTIBLE, LA MISMA DESCRIBE LOS VEHICULOS QUE PARTICIPAN, LOS CUALES SERIAN UN POLARA BLANCO, UN RENAULT 19 BORDO Y UN FALCON CREMITA, TAMBIEN INFORMA QUE ELLA ES DOCENTE Y QUE UN ALUMNO DE ELLA DICE QUE SU TIO, DE APELLLIDO CORDOBA, VENDE GASOIL. POR ESTE MOTIVO SE LE DA INTERVENCION A LA AUTORIDAD JUDICIAL INTERVINIENTE, QUIEN ORDENA SE INICIEN ACTUACIONES SUMARIALES, REALIZAR INVESTIGACIONES CON PERSONAL DE ESTA POLICIA Y ELEVAR ACTUACIONES. CONSULTADA EL AREA DE INTELIGENCIA CRIMINAL SOBRE LOS DATOS QUE APORTA LA MUJER, EN UN PRINCIPIO CONCORDARIA EL APELLIDO CORDOBA CON PERSONAL QUE TRABAJA EN LA AEROPLANTA DE ESTE AEROPUERTO.</t>
  </si>
  <si>
    <t>WALTER LOPEZ DA SILVA</t>
  </si>
  <si>
    <t>N.N. S/LEY DE ESTUPEFACIENTES</t>
  </si>
  <si>
    <t>EL DIA 16 DE MARZO DE 2010 SE RECEPCIONA OFICIO JUDICIAL Nº 786/09 DEL JUZGADO FEDERAL DE PRIMERA INSTANCIA DE SAN CARLOS DE BARILOCHE, REFERENTE A CAUSA 6539/07, CARATULADO N.N. S/LEY DE ESTUPEFACIENTES, A CARGO DEL DR. LEONIDAS J. G. MOLDES, SECRETARIA EN LO CRIMINAL Y CORRECCIONAL A CARGO DEL DR. WALTER LOPEZ DA SILVA, A FIN DE HACERLE SABER A LA U.O.N.C. Y D.C. DE LA PATAGONIA QUE DEBERA CONTINUAR CON LAS TAREAS INVESTIGATIVAS QUE OPORTUNAMENTE SE ENCOMENDARA A FIN DE CONSTATAR LA MATERIALIDAD E INDIVIDUALIZAR A LOS CULPABLES Y SI ESTOS ESTARIAN COMETIENDO DELITOS PREVISTOS POR LA LEY 23.737. SEGUN PR AMPLIATORIO 1578, SE RECEPCIONA MEMORANDO Nº 0352/10 DE FECHA 15 DE MARZO DE 2010, PRODUCIDO POR EL JEFE DE U.O.N.C. Y D.C. DE LA PATAGONIA CON CONOCIMIENTO DEL JEFE DE UNIDAD REGIONAL V, PARA DIRECTOR C.E.A.C., DONDE SOLICITA PEDIDO DE COLABORACION EN CAUSA 6539/07, CARATULADO N.N. S/LEY DE ESTUPEFACIENTE, QUE SE TRAMITA ANTE EL JUZGADO FEDERAL DE PRIMERA INSTANCIA DE SAN CARLOS DE BARILOCHE A CARGO DEL DR. LEONIDAS J. G. MOLDES, SECRETARIA A CARGO DEL DR. WALTER LOPEZ DA SILVA, A FIN DE REQUERIR LAS SIGUIENTES TAREAS DE CARACTER INVESTIGATIVO. TAREAS INVESTIGATIVAS Y REGISTRO FOTOGRAFICO SOBRE EL RESIDENCIAL SAN CARLOS - HOTEL SITO EN CALLE REPUBLICA DE SIRIA 459 SAN SALVADOR DE JUJUY, TELEFONO DE CONTACTO 0388-422-2286, A LOS EFECTOS DE CERTIFICAR LA ESTADIA A PARTIR DEL DIA 5 DE MARZO AL DIA DE LA FECHA DEL CIUDADANO QUIEN RESPONDE BAJO EL NOMBRE DE MARIO HECTOR MARIN Y/O LA PAREJA DEL MISMO ELSA BEATRIZ DAMANES, VEHICULOS EN LOS QUE SE MOVILIZARIAN FORD MONDEO O BMW, COMO ASI TAMBIEN PERSONAS QUE LOS HUBIERAN FRECUENTADOS DURANTE SU ESTADIA. IDENTIFICAR AMBIENTE Y REGISTRO FOTOGRAFICO DEL DOMICILIO SITO EN CALLE ABRA PAMPA 1.440 SAN SALVADOR DE JUJUY, COMO DE SUS MORADORES, PERSONAS QUE PODRIAN RESPONDER BAJO LOS APELLIDOS DE MARIN T/O SANCHEZ. IDENTIFICAR AMBIENTE Y REGISTRO FOTOGRAFICO DEL DOMICILIO COMO DE SUS MORADORES DE LA VIVIENDA SITO EN CALLE 23 DE AGOSTO 480 DE LA LOCALIDAD DE SAN PEDRO DE JUJUY PROVINCIA DE JUJUY, ESTAS TAREAS SE REALIZARAN BAJO LA OREN DE SERVICIO Nº 009/10 DE ESTA U.O.N.C. Y D.C. DEL NORTE, COMO ASI TAMBIEN SE COMENZARAN A REALIZAR APARTIR DEL 20 DE MARZO DE 2010 DEBIDO A QUE TODO EL PERSONAL SE ENCUENTRA EN OTRAS TAREAS DE INVESTIGACION EN LAS PROVINCIAS DE TUCUMAN Y JUJUY, LAS CUALES ESTA BAJO LA ORDEN DE SERVICIO Nº 038/10 A LOS FINES DE DAR CUMPLIMIENTO A MEMORANDO Nº 297/10, PRODUCIDO POR EL DEPARTAMENTO OPERACIONES POLICIALES - C.E.A.C. SEGUN PR AMPLIATORIO 1786/10, SE INFORMA QUE DICHAS TAREAS INVESTIGATIVAS DEBERIAN HABERCE CUMPLIMENTADO ENTRE LOS DIAS 20 AL 26 DE MARZO DE 2010, BAJO ORDEN DE SERVICIO Nº 009/10 DE FECHA 16 DE MARZO DE 2010, LAS CUALES FUERON POSTERGADAS DEBIDO A QUE PERSONAL DE LA U.O.N.C. Y D.C. V DE LA PATAGONIA, INFORMO QUE DURANTE ESA FECHA LAS PERSONAS INVESTIGADAS NO SE ENCONTRABAN EN LA PROVINCIA DE SAN SALVADOR DE JUJUY. DICHAS TAREAS DARAN INICIO EL DIA 26 DE MARZO DEL CORRIENTE AÑO APARTIR DE HORAS 08:00 HASTA EL DIA 01 DE ABRIL DE 2010, SEGUN ORDEN DE SERVICIO Nº 010/10 DE FECHA 25 DE MARZO DE 2010, EMITIDA POR ESTA U.O.C.N. Y D.C. DEL NORTE. SEGUN PU 1904 SE AMPLIA PARTE N° 1786/10, INFORMANDO QUE SE PROCEDE A DAR POR CUMPLIMENTADO A LO SOLICITADO EN MEMORANDO N° 0352/10 DE FECHA 15 DE MARZO PRODUCIDO POR EL JEFE DE LA UOCN Y DC DE LA PATAGONIA, MEDIANTE O.S. N° 010/10 DE ESTA UOCN Y DC. EL INFORME DE LO ACONTECIDO SERA ELEVADO A LA INSTANCIA SUPERIOR.</t>
  </si>
  <si>
    <t>Senestrari</t>
  </si>
  <si>
    <t>Enrique</t>
  </si>
  <si>
    <t>ZAMORA HECTOR DANIEL S/DENUNCIA</t>
  </si>
  <si>
    <t>Z-4-08</t>
  </si>
  <si>
    <t>EN EL DIA DE LA FECHA SE RECEPCIONÓ OFICIO JUDICIAL DE LA FISCALIA FEDERAL Nº 1 DE CORDOBA A CARGO DEL DR. SENESTRARI DIRIGIDO A NOMBRE DEL SEÑOR INTERVENTOR DE LA PSA, SOLICITANDO QUE SE DESIGNE PERSONAL A LOS FINES DE DILIGENCIAR ORDENES DE PRESENTACION PARA LAS SIGUIENTES AUTORIDADES Y/O DEPENDENCIAS: 1. JEFE DEL ESTADO MAYOR GENERAL DE LA FUERZA AEREA ARGENTINA. 2. JEFE DE LA POLICIA DE LA PROVINCIA DE BUENOS AIRES. 3. JEFE DEL ESTADO MAYOR GENERAL DEL EJERCITO. 4. INTENDENTE DE LA CIUDAD DE CORDOBA. 5. SOCIO GERENTE PINTURERIA CEYRA SOC. DE HECHO CUIT 30618419947. 6. GERENTE FIRMA KONRAD SRL CUIT 30709167223. 7. GERENTE FIRMA COMPLEJO GERONTOLOGICO DEL SOL SRL CUIT 30656116109 Y A LA SRA ANA EUGENIA TROD CUIT 27144554553. LO SOLICITADO OBEDECE A QUE SI BIEN EN LA PRESENTE CAUSA YA SE ENCUENTRA COMISIONADO EL AGENTE RENE CARDHEILAC, CONTROL 501.801, PERTENECIENTE A LA UNIDAD OPERACIONAL CORDOBA, LA CANTIDAD DE MEDIDAS A REALIZAR, Y LA UBICACIÓN DE LAS DEPENDENCIAS, TORNA NECESARIO CONTAR CON MÁS PÈRSONAL PARA POSIBILITAR EL DESARROLLO EXITOSO DE LAS MISMAS. AL RESPECTO DE LA CAUSA -ZAMORA HECTOR DANIEL S/DENUNCIA- SE INFORMÓ PROCEDIMIENTO REALIZADO EL DIA 22/04/09 A TRAVÉS DE SIPAP 09/09. COLABORACION A SOLICITUD DEL JUZGADO INTERVINIENTE.-</t>
  </si>
  <si>
    <t>DR VMIGUEL ANGEL GUERRERO</t>
  </si>
  <si>
    <t>COLONIA PENAL DE CANDELARIA PROVINCIA DE MISIONES</t>
  </si>
  <si>
    <t>INFORMO SIENDO LAS 14:10 HS SE CUMPLIMENTO OFICIO JUDICIAL Nº 536/10 REFERENTE A TRASLADO DETENIDO A LA UNIDAD 17 COLONIA PENAL CANDELARIA DEL SERVICIO PENITENCIARIO FEDERAL</t>
  </si>
  <si>
    <t>POLICIA DE SEGURIDAD AEROPORTURARIA SOLICITA APERTURA DE ENCOMIENDA-</t>
  </si>
  <si>
    <t>140/10</t>
  </si>
  <si>
    <t>SE PROCEDE A LA APERTURA DE CUATRO ENCOMIENDAS, LAS QUE FUERAN RETENIDAS DE ACUERDO AL PU 1187/10 DE FECHA 01/03/10, CORRESPONDIENTE A LA PREVENCION SUMARIA Nº 018/10, EN PRESENCIA DE UN TESTIGO HABIL, MEDIDA AUTORIZADA MEDIANTE OFICIO JUDICIAL Nº 091/10. LA 1ª ENCOMIENDA: Nº EP659033331AR, RTTE: ROMINA CRUZ, LIBERTAD Nº 14, LA ESPERANZA, SAN PEDRO DE JUJUY, PROV. JUJUY. CP. 4.500 Y DEST: HECTOR O. CRUZ, Bº ALBORADA, CASA Nº 11, PICO TRUNCADO, PROV. SANTA CRUZ, CP. 9.015, CONTIENE DOCE PAQUETES DE HOJAS DE COCA, CON UN PESO DE 2.070 GRS. LA 2ª ENCOMIENDA Nº EP684827625AR, RTTE: SR. ARIEL CHARCA, M.16,L.23,GL BALCON, ALTO COMEDERO, S.S.DE JUJUY, PROV. DE JUJUY, CP. 4.600, Y DEST: SRA. FRANCISCA CHARCAS, PAB. 10, HABITACION Nº 26, RIO TURBIO, PROV. DE SANTA CRUZ, CP. 9.407, CONTIENE UN PULLOVER AZUL NUEVO, UNA CHOMBA AZUL NUEVA Y SEIS PAQUETES DE HOJAS DE COCA CON UN PESO DE 1.782 GRS. LA 3ª ENCOMIENDA EP658101755AR, RTTE: SRA. DELGADO, PAOLA LEONOR, CALLE BARCENA Nº 351, Bº ALTE. BROWN, CP. 4.600, S.S. DE JUJUY Y DEST: SR. DELGADO BURGOS LEONCIO, CP. 5.460, SAN JOSE DE JACHA, SAN JUAN, CONTIENE 388 GRS. DE PAN EN MAL ESTADO, Y TRES PAQUETES DE HOJAS DE COCA, CON UN PESO DE 740 GRS. LA 4ª ENCOMIENDA Nº EP680796145AR, FUE ENTREGADA AL CORREO OFICIAL PARA SU REDESPACHO SEGUN CONSTA EN ACTA DE APERTURA 111/10, E INFORMADA EN PU Nº 1339/10. LAS ENCOMIENDAS SERAN PUESTAS A DISPOSICION DE LA ADUANA DE SALTA POR SUPUESTA INFRACCION A LA LEY 22.415 DEL CODIGO ADUANERO Y LAS ACTUACIONES RREMITIDAS A SEDE JUDICIAL. CON CONOCIMIENTO DEL JUOSP.</t>
  </si>
  <si>
    <t>JUZGADO FEDERAL DE SANTA FE</t>
  </si>
  <si>
    <t>MIÑO</t>
  </si>
  <si>
    <t>FRANCISCO</t>
  </si>
  <si>
    <t>BUSANICHE MATEO</t>
  </si>
  <si>
    <t>DOMONI SILVINA S/INF. LEY 22415</t>
  </si>
  <si>
    <t>257/09</t>
  </si>
  <si>
    <t>DOMONI SILVINA S/INF. LEY 22.415</t>
  </si>
  <si>
    <t>CIUDAD DE SANTE FE</t>
  </si>
  <si>
    <t>EN EL DÍA DE LA FECHA SE RECIBE OFICIO JUDICIAL NRO. 570 DEL JUZGADO ACTUANTE DONDE HACE SABER QUE EN FECHA 5 DE MARZO DEL AÑO EN CURSO SE HA RESUELTO ARCHIVAR LAS ACTUACIONES DE MENCIÓN. LAS TAREAS INVESTIGATIVAS SE INICIARON MEDIANTE ORDEN DE SERVICO NRO. 120/09 URSA IV, SIPAP PR:DOC4 0033/09 DE FECHA 18/05/09. EN EL TRANSCURSO DE LA INVESTIGACIÓN NO SE OBSERVARON CONDUCTAS DE INFRACCIÓN A LA LEY 23.737</t>
  </si>
  <si>
    <t>1550/10</t>
  </si>
  <si>
    <t>QUE SIENDO APROXIMADAMENTE LAS QUINCE HORAS DIEZ MINUTOS, REGRESO LA COMISION POLICIAL JUNTO AL DETENIDO Y OFICIO JUDICIAL DECRETANDO SU LIBERTAD DESDE ESTA DEPENDENCIA. POR TAL MOTIVO SIENDO LAS DIECISEIS HORAS QUINCE MINUTOS Y HABIENDOSE CUMPLIMENTADO LAS DILIGENCIAS DE RIGOR, EL CAUSANTE HACE ABANDONO DE ESTA DEPENDENCIA SIN NOVEDAD.-</t>
  </si>
  <si>
    <t>1253/10</t>
  </si>
  <si>
    <t>141/10</t>
  </si>
  <si>
    <t>SE PROCEDE A LA APERTURA DE CINCO ENCOMIENDAS, RETENIDAS EL 03/03/10 INFORMADAS EN PU 1242 PERTENECIENTE A LA PREV. SUM. Nº 020/10, ACTA DE RETENCION Nº 098/10, EN PRESENCIA DE UN TESTIGO HABIL, MEDIDA AUTORIZADA MEDIANTE OFICIO JUDICIAL S/Nº, LA 1ª ENCOMIENDA Nº EP684829626AR, RTTE: PAULINA RODRIGUEZ, CALLE EL PONGO, MZA P.A.6, LOTE 11, SECTOR B4, Bº ALTO COMEDERO, CP. 4.600, PROV. DE JUJUY, Y DEST: SR. CARMELO LLAVES, Bº LOS ÑIRES, CALLE JORGE NEWVERY, MZA 7, LOTE 3D, LOCALIDAD DE RIO TURBIO, CP. 9.407, PROV. DE SANTA CRUZ, CONTIENE PRENDAS VARIAS PARA MUJER, ARTICULOS DE ELECTRONICA, Y DOS PAQUETES DE HOJAS DE COCA, CON UN PESO DE 765 GRS. LA CUAL QUEDA SECUESTRADA. LA 2ª ENCOMIENDA Nº EP702482313AR, RTTE: SR. BARCONTI M. SEBASTIAN, D.N.I Nº 32941695, ESTANISLAO SEVALLO, S/Nº, Bº 31 DE AGOSTO Y DEST: SR. NESTOR ALFREDO CORTEZ, D.N.I Nº 28618220, CALLE GOBERNADOR GREGORES Nº 866, CIUDAD EL CALAFATE, DPTO LAGO ARGENTINO, CP. 9.405, CONTIENE PRENDAS VARIAS, CALZADO Y UN QUESO, LOS CUALES SON DEVUELTOS PARA SU REDESPACHO, Y CUATRO PAQUETES DE HOJAS DE COCA CON UN PESO DE 983 GRS. LOS CUALES QUEDAN SECUESTRADOS. LA 3ª ENCOMIENDA Nº EP666289669AR, RTTE: SRA. PASTORA PANTOJA, CALLE HUMAHUACA Nº 855, Bº 23 DE AGOSTO, PALPALA, JUJUY, CP. 4.612 Y DEST: SRA. ROCIO BELEN RODRIGUEZ, PLAYERO ROJIZO 103, CHACRA 11, RIO GRANDE, TIERRA DEL FUEGO, CP. 9.420, CONTIENE PRENDAS DE VESTIR, ROPAS DE CAMA VARIAS. LA CUAL QUEDA SECUESTRADA. LA 4ª ENCOMIENDA Nº EP701780426AR, RTTE: ARMINDA CIARES, FINCA ALFREDO APRILE, LA OVEJERIA, MONTERRICO, JUJUY, CP. 4.608, Y DEST: RUIZ JAIRO, POSTE RESTANTE, EL CALAFATE, SANTA CRUZ, CP. 9.405, CONTIENE GRAN CANTIDAD DE POCHOCLO, Y OCHO PAQUETES DE HOJAS DE COCA, CON UN PESO DE 1968 GRS. LA CUAL QUEDA SECUESTRADA. LA 5ª ENCOMIENDA Nº EP701780409AR, RTTE: APOLINAR TARIFA, CALLE BOLIVIA Nº 85, MONTERRICO, JUJUY, CP 4.608, Y DEST:GERADO FERMIN TORREZ, POSTE RESTANTE, PEDRO LURO, BS AS, CP. 8.148, CONTIENE SEIS PAQUETES DE HOJAS DE COCA, CON UN PESO DE 1740 GRS. LA CUAL QUEDA SECUESTRADA. LAS ENCOMIENDAS SERAN PUESTAS A DISPOSICION DE LA ADUANA DE SALTA. POR SUPUESTA INFRACCION A LA LEY 22415 DEL CODIGO ADUANERO, Y LAS ACTUACIONES REMITIDAS A SEDE JUDICIAL.</t>
  </si>
  <si>
    <t>1564/10</t>
  </si>
  <si>
    <t>DE ACUERDO A PARTE RESERVADO 1564/10, SE RECEPCIONA MEMORANDO Nº 0352/10 DE FECHA 15 DE MARZO DE 2010, PRODUCIDO POR EL JEFE DE U.O.N.C. Y D.C. DE LA PATAGONIA CON CONOCIMIENTO DEL JEFE DE UNIDAD REGIONAL V, PARA DIRECTOR C.E.A.C., DONDE SOLICITA PEDIDO DE COLABORACION EN CAUSA 6539/07, CARATULADO N.N. S/LEY DE ESTUPEFACIENTE, QUE SE TRAMITA ANTE EL JUZGADO FEDERAL DE PRIMERA INSTANCIA DE SAN CARLOS DE BARILOCHE A CARGO DEL DR. LEONIDAS J. G. MOLDES, SECRETARIA A CARGO DEL DR. WALTER LOPEZ DA SILVA, A FIN DE REQUERIR LAS SIGUIENTES TAREAS DE CARACTER INVESTIGATIVO. TAREAS INVESTIGATIVAS Y REGISTRO FOTOGRAFICO SOBRE EL RESIDENCIAL SAN CARLOS - HOTEL SITO EN CALLE REPUBLICA DE SIRIA 459 SAN SALVADOR DE JUJUY, TELEFONO DE CONTACTO 0388-422-2286, A LOS EFECTOS DE CERTIFICAR LA ESTADIA A PARTIR DEL DIA 5 DE MARZO AL DIA DE LA FECHA DEL CIUDADANO QUIEN RESPONDE BAJO EL NOMBRE DE MARIO HECTOR MARIN Y/O LA PAREJA DEL MISMO ELSA BEATRIZ DAMANES, VEHICULOS EN LOS QUE SE MOVILIZARIAN FORD MONDEO O BMW, COMO ASI TAMBIEN PERSONAS QUE LOS HUBIERAN FRECUENTADOS DURANTE SU ESTADIA. IDENTIFICAR AMBIENTE Y REGISTRO FOTOGRAFICO DEL DOMICILIO SITO EN CALLE ABRA PAMPA 1.440 SAN SALVADOR DE JUJUY, COMO DE SUS MORADORES, PERSONAS QUE PODRIAN RESPONDER BAJO LOS APELLIDOS DE MARIN T/O SANCHEZ. IDENTIFICAR AMBIENTE Y REGISTRO FOTOGRAFICO DEL DOMICILIO COMO DE SUS MORADORES DE LA VIVIENDA SITO EN CALLE 23 DE AGOSTO 480 DE LA LOCALIDAD DE SAN PEDRO DE JUJUY PROVINCIA DE JUJUY, ESTAS TAREAS SE REALIZARAN BAJO LA OREN DE SERVICIO Nº 009/10 DE ESTA U.O.N.C. Y D.C. DEL NORTE, COMO ASI TAMBIEN SE COMENZARAN A REALIZAR APARTIR DEL 20 DE MARZO DE 2010 DEBIDO A QUE TODO EL PERSONAL SE ENCUENTRA EN OTRAS TAREAS DE INVESTIGACION EN LAS PROVINCIAS DE TUCUMAN Y JUJUY, LAS CUALES ESTA BAJO LA ORDEN DE SERVICIO Nº 038/10 A LOS FINES DE DAR CUMPLIMIENTO A MEMORANDO Nº 297/10, PRODUCIDO POR EL DEPARTAMENTO OPERACIONES POLICIALES - C.E.A.C.</t>
  </si>
  <si>
    <t>1555/10</t>
  </si>
  <si>
    <t>PREEMBARQUE NACIONAL - TERMINAL III -</t>
  </si>
  <si>
    <t>EN HORAS 18:00, SEGÚN LO DISPUESTO POR LA JUDICATURA INTERVINIENTE, YA OBTENIDOS LOS RESULTADOS DE REINCIDENCIA SIENDO ESTOS NEGATIVOS, Y AL NO MEDIAR IMPEDIMENTO LEGAL ALGUNO, SE PROCEDE A LA LIBERACION DEL SR. RODRIGUES RAMALHO RAMON, RETIRANDOSE DE ESTA GUARDIA PREVENTIVA POR SUS PROPIOS MEDIOS, CONFORME A LOS TRATOS RECIBIDOS, SIN NOVEDAD.</t>
  </si>
  <si>
    <t>SIENDO LAS DIEZ HORAS DEL DIA DE LA FECHA EL SR. RIVERO JUNTAMENTE AL SR. SUAREZ, SE DIRIGEN HACIA EL ESTACIONAMIENTO DE LA TERMINAL B, UNA VEZ EN SU VEHICULO PARTICULAR AMBOS DEPOSITAN EN EL ASIENTO TRASERO DEL RODADO DOS MALETINES UNO PROPIEDAD DEL SR. RIVERO Y OTRO PROPIEDAD DEL SR. SUAREZ, SEGUIDAMENTE EL SR. RIVERO SE DIRIGE AL SECTOR DE PAGO DE ESTADIA DE ESTACIONAMIENTO QUEDANDO EL SR. SUAREZ EN LA CALLE JUNTO AL RODADO PERO FUERA DE ESTE. QUE EN ESE INSTANTE SE ACERCA AL SR. SUAREZ UNA PERSONA DE SEXO FEMENINO DE TEZ TRIGUEÑA, CON ACENTO EXTRANJERO DE LA CUAL NO APORTA MAS DATOS, LA CUAL LE FORMULA MUCHAS PREGUNTAS, LUEGO ABORDA UN VEHICULO DE COLOR NEGRO CLIO Ó NEON DE CUATRO PUERTAS Y SE RETIRA RAUDAMENTE DEL SECTOR. QUE UNA VEZ QUE EL SR. RIVERO REGRESA DE ABONAR EL ESTACIONAMIENTO AMBOS HACEN ABANDONO DE ESTE AEROPUERTO EN SU VEHICULO PARTICULAR SIENDO ESTE UN CITROEN C3. QUE AL LLEGAR A LA CIUDAD AUTONOMA DE BUENOS AIRES SE PERCATAN DEL FALTANTE DE AMBOS MALETINES CON TODO SU CONTENIDO.</t>
  </si>
  <si>
    <t>SE PERCATO DEL FALTANTE EN SU DOMICILIO, DESCONOCE EL LUGAR DEL HECHO</t>
  </si>
  <si>
    <t>QUE EL DIA INDICADO ARRIBO A ESTE MEDIO, LUEGO SE RETIRO A SU DOMICILIO Y EN EL, SE PERCATO DEL FALTANTE DEL ELEMENTO DESCRIPTO. QUE NO SE PRESENTO ANTES A REALIZAR LA DENUNCIA YA QUE LA COMPUTADORA ERA PROPIEDAD DE LA EMPRESA PARA LA QUE TRABAJA. QUE A PEDIDO DE LA MISMA EL DIA DE LA FECHA SE HIZO PRESENTE EN ESTA PREVENCION.</t>
  </si>
  <si>
    <t>AV 87</t>
  </si>
  <si>
    <t>Colombia</t>
  </si>
  <si>
    <t>BOGOTA</t>
  </si>
  <si>
    <t>EN EL DIA DE LA FECHA SE RECEPCIONA DENUNCIA DE EXTRAVIO NRO 04/10 REFERENTE A UNA CAMPERA DE COLOR MARRON MARCA OXFORD CONTENIENDO EN EL BOLSILLO INTERIOR UN DOCUMENTO NACIONAL DE IDENTIDAD NRO 14.626.427, CEDULA DE IDENTIDAD NRO 10.654.055 CARNET DE CONDUCTOR Y TARJETA DE CREDITO VISA DEL BANCO PROVINCIA DICHOS ELEMENTOS SE ENCUENTRAN A NOMBRE DEL DENUNCIANTE</t>
  </si>
  <si>
    <t>PERITO MORENO</t>
  </si>
  <si>
    <t>JUZGADO FEDERAL DE 1RA INSTANCIA CRIM. Y CORREC. DE POSADAS</t>
  </si>
  <si>
    <t>RAMON CLAUDIO</t>
  </si>
  <si>
    <t>DR. KOROL PABLO MARTIN</t>
  </si>
  <si>
    <t>SR. JEFE DE LA REGION ADUANERA DE POSADAS S/SOLICITA APERTURA DE ENCOMIENDAS POR PRESUNTA INFRACCION A LA LEY 23.737</t>
  </si>
  <si>
    <t>6621/10</t>
  </si>
  <si>
    <t>POSICION 26</t>
  </si>
  <si>
    <t>SIENDO LA HORA ANTES MENCIONADA, SE IMPLEMENTA MEMORANDO Nº 317/10 (FAX PROCEDENTE DEL CEAC) Y ORDEN DE SERVICIO Nº 206/10 (DE ESTA UOSP METROPOLITANA) CON MOTIVO DE EFECTUAR MEDIDAS DE SEGURIDAD NECESARIAS PARA EL DESPLAZAMIENTO DENTRO DE LAS INSTALACIONES AEROPORTUARIAS DEL DETENIDO MENCIONADO CON ANTERIORIDAD, QUIEN SERA TRASLADADO POR POLICIA FEDERAL A CARGO DEL AGENTE CARLOS JOSE ZORZANO Y DEL SUBOFICIAL LARA HORACIO JORGE, QUE DEBERA SER EMBARCADO EN EL VUELO ANTES MENCIONADO, DE ACUERDO A OFICIO JUDICIAL Nº 929/2010 DE FECHA 16/03/2010, PRODUCIDO POR LA JUDICATURA INTERVINIENTE. SIENDO LAS 18:20, SE EFECTUA EL DESPEGUE DE LA AERONAVE MATRICULA LV BAT SIN NOVEDAD.</t>
  </si>
  <si>
    <t>AR 1758</t>
  </si>
  <si>
    <t>FISCALIA DE INVESTIGACION PROVINCIAL N° 10</t>
  </si>
  <si>
    <t>IRALA</t>
  </si>
  <si>
    <t>LILIANA BEATRIZ</t>
  </si>
  <si>
    <t>JUAN MARTIN BOGADO</t>
  </si>
  <si>
    <t>SUPUESTA LESIONES Y DAÑO</t>
  </si>
  <si>
    <t>SOBRE LA CINTA ASFALTICA.</t>
  </si>
  <si>
    <t>CAMINO DE INGRESO AL AEROPUERTO.</t>
  </si>
  <si>
    <t>EN EL DIA DE LA FECHA SE PRODUCE UN ACCIDENTE EN EL QUE UN VEHICULO MARCA VOLKSWAGEN BORA CHAPA PATENTE HUK 589 COLISIONA CON EL ESPEJO RETROVISOR IZQUIERDO EN LA MANO IZQUIERDA DE UNA PERSONA QUE TRANSITABA CAMINANDO. AMBAS PERSONAS SE SIENTEN DAMNIFICADAS Y RADICAN LAS DENUNCIAS. SE INFORMA DE LO OCURRIDO A LA FISCALIA DE TURNO QUIEN ORDENA SE LLEVE A LA PERSONA QUE SUFRIO EL GOLPE EN LA MANO A MEDICINA LEGAL, EL INFORME SERA RETIRADO EL DIA 17/03/2010 A LAS 10 HORAS.</t>
  </si>
  <si>
    <t>ABUSO DE ARMA Y LESIONES</t>
  </si>
  <si>
    <t>COLECTORA DE EZEIZA PEGADA A LA PARTE EXTERNA DEL AEROPUERTO</t>
  </si>
  <si>
    <t>QUE EL DIA 12/03/10 EN HORAS DE LA MAÑANA MIENTRAS EL DAMNIFICADO CUMPLIA SUS FUNCIONES, DETUVO EL MICRO EN LA COLECTORA DE EZEIZA PEGADO A LA PARTE EXTERIOR DEL AEROPUERTO CON EL FIN DE TOMAR MATE Y PREPARARSE PARA SU PROXIMO VIAJE CUANDO ES ABORDADO POR UN REMISERO CONOCIDO DE VISTA POR EL SR. CANTERO, EL CUAL LO GOLPEA EN LA CARA Y LO INTIMIDA CON UN ARMA DE FUEGO Y LO OBLIGA A CIRCULAR CON EL MICRO POR LA COLECTORA Y LE EFECTUA UN DISPARO EN SU PIERNA DERECHA Y SEGÚN LO RELATADO A PERSONAL POLICIAL DE LA DEPENDENCIA DISTRITAL ESTE 3RA. DE CIUDAD EVITA DONDE SE INICIARON LAS ACTUACIONES, EL AGRESOR DESCIENDE DEL MICRO A LA ALTURA DE AUTOPISTA RICHIERI Y CAMINO DE CINTURA Y SE RETIRA ABORDO DE UN RENAULT 19 GRIS. CONSULTADO SOBRE EL MOTIVO DE LA AGRESION DIJO QUE SERIA POR UN CHOQUE QUE EL DAMNIFICADO LE HABRIA PRODUCIDO AL VEHICULO DEL AGRESOR HACIA UNA SEMANA Y PRETENDIA QUE ESTE LE PAGUE LOS DAÑOS OCASIONADOS, ANTE LO QUE EL SR. CANTERO DICE DESCONOCER EL HECHO. LAS ACTUACIONES JUDICIALES FUERON INICIADAS EN LA DISTRITAL 3º DE CIUDAD EVITA DE LA POLICIA DE LA PROVINCIA DE BUENOS AIRES Y POR ORDEN DE LA JUDICATURA ACTUANTE, SE GIRARON LAS DILIGENCIAS A LA POLICIA DE SEGURIDAD AEROPORTUARIA.</t>
  </si>
  <si>
    <t>LUCHESSI VIVIANA NOEMI S/INF. ARTS 863,865, INC. G - 866,871 y 872 DEL C.A Y ART 14 PRIMER PARRAFO DE LA LEY 23.737.</t>
  </si>
  <si>
    <t>Nº 225 J</t>
  </si>
  <si>
    <t>EN EL DIA DE LA FECHA SE PROCEDE A IMPLEMENTAR LAS MEDIDAS DE SEGURIDAD CORRESPONDIENTES PARA EL DESPLAZAMIENTO DE LA DETENIDA, DENTRO DE LAS INSTALACIONES AEROPORTUARIAS, QUIEN POSTERIORMENTE EMBARCARA EL VUELO AR 2898 DE AEROLINEAS ARGENTINAS, DICHO TRASLADO ESTUVO A CARGO DEL SUBALCAIDE ALFREDO MACIOCHA Y CUSTODIA DE LA AYUDANTE DE PRIMERA SCUDERI ANALIA DEL SERVICIO PENITENCIARIO FEDERAL, CON DESTINO A LA CIUDAD DE USHUAIA.DESPEGANDO EL MISMO A LAS 9:10 HS DE ESTA AEROESTACION SIN NOVEDAD.</t>
  </si>
  <si>
    <t>AR 2898</t>
  </si>
  <si>
    <t>JUZGADO DE INSTRUCCION DE 1ª NOMINACION - DISTRITO JUDICIAL SUR</t>
  </si>
  <si>
    <t>DR GUILLERMO GONZALEZ</t>
  </si>
  <si>
    <t>SUAREZ ALEJANDRA MARIA ITATI S/HURTO</t>
  </si>
  <si>
    <t>MOSTRADOR DE CONTROL FITOZOOSANITARIO</t>
  </si>
  <si>
    <t>DURANTE EL ARRIBO DEL VUELO AR 1852, MIENTRAS LA FUNCIONARIA MARGOT VALLEJOS DE FUN.BA.PA. BARRERA FITOZOOSANITARIA REALIZABA EL CONTROL OBSERVA QUE EN EL INTERIOR DE LA CARTERA DE LA SRA SUAREZ SE ENCONTRABAN DOS CHALECOS SALVAVIDAS PERTENECIENTES A LA AERONAVE MENCIONADA. ACTO SEGUIDO SE TRASLADA A LA CAUSANTE A EL TURNO DE PREVENCION. SE REALIZAN LAS COMUNICACIONES CON EL JUZGADO INTERVINIENTE QUIEN DISPONE LA INMEDIATA DETENCION E INCOMUNICACION DE LA NOMBRADA Y SEA TRASLADADA A DEPENDENCIAS DE LA ALCALDIA LOCAL. SE AMPLIARA. EN EL MARCO DEL PRESENTE SE EFECTUA PU Nº 1613 AMPLIANDO EL PRESENTE, HACIENDO CONSTAR QUE SIENDO LAS 2000 HS SE PROCEDIO A LA ENTREGA DE LA DETENIDA SRA. SUAREZ, A LA POLICIA DE LA PROVINCIA DE TIERRA DEL FUEGO, SEGUN LO ORDENADO POR EL JUZGADO INTERVINIENTE, PREVIO PRECARIO MEDICO, ACTA DE ENTREGA DE LA DETENIDA Y SUS PERTENENCIAS, QUEDANDO EN CUSTODIA DE LA MENCIONADA FUERZA PROVINCIAL.</t>
  </si>
  <si>
    <t>JORGE NEWERY BUENOS AIRES</t>
  </si>
  <si>
    <t>USHUAIA PCIA DE TDF</t>
  </si>
  <si>
    <t>PRE-EMBARQUE DE AEROPARQUE</t>
  </si>
  <si>
    <t>EN EL DIA DE LA FECHA SE CONFECCIONA EXPOSICION POLICIAL Nº 04/10 REFERENTE AL EXTRAVIO DE UNA RIÑONERA DE COLOR NEGRA SIN MARCA CONTENIENDO EN SU INTERIOR PASAPORTE DE NACIONALIDAD ISRAELI A NOMBRE DE BASHI YONA Nº 12092859, CIEN DOLARES EN EFECTIVO, UN PEINE, DINERO EN EFECTIVO PESOS ARGENTINOS SIN RECORDAR EL MONTO Y MEDICAMENTOS VARIOS.</t>
  </si>
  <si>
    <t>CHRISTIAN VERGARA VAGO</t>
  </si>
  <si>
    <t>LUCHÉSSI VIVIANA NOEMÍ S/INF ART. 863, 865 INC G), 866, 871 Y 872 DEL CA Y ART. 14, PRIMER PARRAFO DE LA LEY 23737</t>
  </si>
  <si>
    <t>ARRIBO</t>
  </si>
  <si>
    <t>INFORMO QUE EN DÍA DE LA FECHA SIENDO LAS 12:50 HS LOCAL ARRIBO EN VUELO AR 2898 PROCEDENTE DE LA CIUDAD DE BUENOS AIRES LA CIUDADANA VIVIANA NOEMÍ LUCHÉSSI, DNI 30.839.859 EN CARÁCTER DE DETENIDA, SIENDO TRASLADADA POR PERSONAL DEL SERVICIO PENITENCIARIO NACIONAL A CARGO DEL SUBALCAIDE ALFREDO ARIEL MACIOCHA DNI 24.259.007 Y AYUDANTE 1 ERA. ANALIA SCUDERI DNI 24.011.291 RETIRÁNDOSE LOS MISMOS DE LA JURISDICCIÓN EN MOVIL NRO 203 DEL SERVICIO PENITENCIARIO PROVINCIAL SIN NOVEDAD ALGUNA</t>
  </si>
  <si>
    <t>BUENOS AIRES JORGE NEWBERY</t>
  </si>
  <si>
    <t>NN-INTERVENCIONES TELEFONICAS-S/INF LEY 22415</t>
  </si>
  <si>
    <t>AV. DE LOS INMIGRANTES 1950 - 2º PISO</t>
  </si>
  <si>
    <t>JUZGADO NACIONAL EN LO PENAL ECONOMICO Nº 08</t>
  </si>
  <si>
    <t>SIENDO LAS 11:00 HS SE COMISIONA PERSONAL POLICIAL AL JUZGADO NACIONAL EN LO PENAL ECONOMICO Nº 08 PARA PROCEDER A LA DETENCION DEL SR. LUCANO, POR ORDEN DE LA JUDICATURA MENCIONADA, PROCEDIENDO A LA REALIZACION DE TRES JUEGOS DE FICHAS DECADACTILARES Y DEJANDO UNA CUSTODIA POLICIAL HASTA LA POSTERIOR DECLARACION INDAGATORIA. SIENDO LAS 16:00 HS SE REALIZA TRASLADO A ESTA UNIDAD DEL DETENIDO LUCANO. SE INFORMA SEGUN PU Nº 1619 SIENDO LAS 0820 HORAS Y DE ACUERDO A LO ORDENADO POR LA JUDICATURA ACTUANTE SE PROCEDE AL TRASLADO DEL DETENIDO HASTA LA SEDE JUDICIAL. SE INFORMA SEGUN PU Nº 1643 SIENDO LAS 1245 HORAS LA JUDICATURA ACTUANTE RESOLVIO CONCEDER LA EXCARCELACION BAJO CAUCION REAL DEL IMPUTADO, LA CUAL SE EFECTUO EN EL DEPARTAMENTO CENTRAL DE LA POLICIA FEDERAL ARGENTINA, SEGUN LO ORDENADO POR SU SEÑORIA.</t>
  </si>
  <si>
    <t>NAC DE 1º INST EN LO CRIMINAL DE INST Nº 36</t>
  </si>
  <si>
    <t>SECRETARIA Nº 123</t>
  </si>
  <si>
    <t>MARTINEZ</t>
  </si>
  <si>
    <t>GISELLE</t>
  </si>
  <si>
    <t>DRA. DAIANA FORINO</t>
  </si>
  <si>
    <t>DILEXA S.A. Y OTROS</t>
  </si>
  <si>
    <t>SE RECEPCIONA POR PARTE DE LA DNM AL CAUSANTE DEBIDO A QUE PESA SOBRE EL MISMO UNA ORDEN DE CAPTURA SOLICITADA POR EL JUZGADO DESCRIPTO PRECEDENTEMENTE. QUE MANTENIDA COMUNICACION TELEFONICA CON EL MISMO, DISPUSO LA DETENCION DEL CAUSANTE DEBIDO A ENCONTRARSE DICHA CAPTURA VIGENTE, SE LABREN ACTUACIONES DE RIGOR Y FINALIZADAS LAS MISMAS SE PROCEDA AL TRASLADO DEL DETENIDO A LA UNIDAD 28 DEL SPF. QUE SIENDO LAS DIECISIETE HORAS QUINCE MINUTOS SE PROCEDIO AL TRASLADO DEL DETENIDO A LA UNIDAD 28 DEL SPF.</t>
  </si>
  <si>
    <t>4M 4521</t>
  </si>
  <si>
    <t>SANDRA LOMBARDI</t>
  </si>
  <si>
    <t>4054/93</t>
  </si>
  <si>
    <t>INFORMO QUE SIENDO LAS 16:10 HS SE PRESENTA EN EL MOSTRADOR DE CONTROL DE RED LINCE EL SEÑOR HARO MIRANDA JOSE JULIO DNI Nº92243521 SOBRE QUIEN RECAE UN PEDIDO DE CAPTURA MEDIANTE REGISTRO DE RED LINCE Nº 38216, POR LO QUE SE PROCEDE A ENTABLAR COMUNICACION TELEFONICA AL APARTADO 02964-435000 PERTENECIENTE AL CONMUTADOR DE LOS TRIBUNALES DE LA PROVINCIA DE TIERRA DEL FUEGO, SIENDO ATENDIDO POR EL DR. EDUARDO LOPEZ QUIEN LUEGO DE SER INFORMADO DE LA SITUACION ORDENA SE DEJE CONTINUAR CON SU VIAJE PROGRAMADO AL CIUDADANO HARO MIRANDA Y SE LO NOTIFIQUE QUE DEBE REALIZAR PRESENTACION ANTE EL JUZGADO INTERVINIENTE A LA BREVEDAD Y FIJAR DOMICILIO REAL, POR LO QUER PROCEDE A REALIZAR NOTIFICACION AL CIUDADANO NOMBRADO QUIEN FIJA DOMICILIO REAL EN LA CALLE DIAZ CHARA 314 DE LA CIUDAD DE RIO GRANDE</t>
  </si>
  <si>
    <t>FLT-447ALL</t>
  </si>
  <si>
    <t>CECCONI CLAUDIA</t>
  </si>
  <si>
    <t>INFRACCION AL ARTICULO 85 DEL DECRETO LEY 8031/73</t>
  </si>
  <si>
    <t>PERGOLA Nº 03</t>
  </si>
  <si>
    <t>A LA HORA Y LUGAR DE MENCION, PERSONAL POLICIAL OBSERVA A UNA PERSONA DE SEXO MASCULINO REALIZANDO TAREAS DE ASISTENCIA A PASAJEROS, SIN POSEER HABILITACION CORRESPONDIENTE, POR LO QUE PERSONAL POLICIAL PROCEDE A LA IDENTIFICACION DEL MISMO Y POSTERIOR TRASLADO A ESTA DEPENDENCIA A LOS EFECTOS DE LABRAR LAS ACTUACIONES QUE DIERAN LUGAR. UNA VEZ CULMINADAS LAS DILIGENCIAS EL CAUSANTE SE RETIRA POR SUS PROPIOS MEDIOS CONFORME CON LOS TRATOS RECIBIDOS.</t>
  </si>
  <si>
    <t>JUZGADO DE INSTRUCCION 1° NOMINACION</t>
  </si>
  <si>
    <t>DR MAXIMO GONZALEZ</t>
  </si>
  <si>
    <t>EN MOMENTO DE REALIZAR CONTROL DE PREEMBARQUE DEL VUELO Nº 1872 DE LA EMPRESA AEROLINEAS ARGENTINAS SE DETECTA AL SR. CLEMENTE LAMAS, QUE EN EL INTERIOR DE SU EQUIPAJE DE MANO PORTABA UN CHALECO SALVAVIDAS DE EMERGENCIA PERTENECIENTE A LA EMPRESA AEROLINEAS ARGENTINAS , SEGUIDAMENTE SE LO TRASLADA A LA OFICINA DEL TURNO DE PREVENCION A FIN DE REALIZAR LAS CONSULTAS CON EL MAGISTRADO INTERVINIENTE QUIEN DISPONE SE LABRE ACTA DEJANDO CONSTANCIA, SE REMITA EL ELEMENTO A LA EMPRESA Y QUE EL CIUDADANO CONTINUE CON SU VIAJE PROGRAMADO. ASIMISMO INDICA AL JEFE DE UNIDAD QUE NO SE JUDICIALIZARA EL HECHO.</t>
  </si>
  <si>
    <t>SE PROCEDE A LA RETENCION DE DOS SACAS COLECTORAS DEL CORREO OFICIAL SEGUN CONSTA EN ACTA DE RETENCION DE CARGA Nº 131/10, QUE ORIGINA PREV.SUM. Nº 031/10, LA PRIMERA SACA IDENTIFICADA CON MARBETE SLA0163711D555600CRD, PRECINTO Nº B111.336, CON UN PESO DE 3,300 KG. CON DESTINO COMODORO RIVADAVIA. LA SEGUNDA SACA IDENTIFICADA CON MARBETE Nº SLA163712D555600CRD, PRECINTO Nº B111327, CON UN PESO DE 2,600 KG. CON DESTINO COMODORO RIVADAVIA, AMPARADAS EN GUIA AEREA 9327836-0, LAS QUE SERIAN DESPACHADAS A TRAVES DE LA EMPRESA DE CARGA AEREA JET PAQ. LA RETENCION SE REALIZA ANTE LA PRESUNCION DE QUE PUDIERAN CONTENER ALGUN ELEMENTO EN INFRACCION A LAS LEYES 22.415 Y/O 23.737. QUEDANDO LAS MISMAS CERRADAS Y PRECINTADAS EN GUARDA EN ESTA USOP, SE COMUNICO TELEFONICAMENTE CON EL JUZGADO INTERVINIENTE, Y LA APERTURA SE REALIZARA EN PRESENCIA DEL PERSONAL DEL CORREO OFICIAL.</t>
  </si>
  <si>
    <t>CLAUDIA CECCONI</t>
  </si>
  <si>
    <t>PERGOLA Nº 02</t>
  </si>
  <si>
    <t>A LA HORA Y LUGAR DE MENCION, PERSONAL POLICIAL OBSERVA A UNA PERSONA DE SEXO MASCULINO REALIZANDO TAREAS DE VENTA AMBULANTE DE SUSTANCIAS ALIMENTICIAS A TRANSEUNTES, SIN HABER CUMPLIDO CON LOS REQUISITOS EXIGIDOS POR LA AUTORIDAD, POR LO QUE PERSONAL POLICIAL PROCEDE A LA IDENTIFICACION DEL MISMO, SECUESTRO DE LA MERCADERIA Y POSTERIOR TRASLADO A ESTA DEPENDENCIA A LOS EFECTOS DE LABRAR LAS ACTUACIONES QUE DIERAN LUGAR. UNA VEZ CULMINADAS LAS DILIGENCIAS EL CAUSANTE SE RETIRA POR SUS PROPIOS MEDIOS CONFORME CON LOS TRATOS RECIBIDOS.</t>
  </si>
  <si>
    <t>1594/10</t>
  </si>
  <si>
    <t>GUILLERMO GONZALEZ</t>
  </si>
  <si>
    <t>AMPLIANDO PARTE 1594/2010 SIENDO LAS 20:00 HS SE PROCEDIO A LA ENTREGA DE LA DETENIDA SRA. SUAREZ, A LA POLICIA DE LA PROVINCIA DE TIERRA DEL FUEGO, SEGUN LO ORDENADO POR EL JUZGADO INTERVINIENTE, PREVIO PRECARIO MEDICO, ACTA DE ENTREGA DE LA DETENIDA Y SUS PERTENENCIAS QUEDANDO EN CUSTODIA DE LA MENCIONADA FUERZA PROVINCIAL.</t>
  </si>
  <si>
    <t>EN CUMPLIMIENTO DE LA ORDEN DE SERVICIO 0019/10 Y SIENDO LAS 00:45 HORAS LOCAL ARRIBA AERONAVE AIR BUS A 320 MATRICULA LV-BRY PERTENECIENTE A LA EMPRESA LAN ARGENTINA Y EN CUYAS BODEGAS NUMERO 13, 31, 32,41 Y 42 SE EMBARCAN UN TOTAL DE 127 BULTOS CON UN PESO DE 5480 KILOGRAMOS DE METAL-MTD- PERTENECIENTES A LA EMPRESA MINERA TRITON S.A.. LA MENCIONADA AERONAVE DESPEGA DESDE ESTE AEROPUERTO A LAS 01:52 HORAS LOCAL.</t>
  </si>
  <si>
    <t>SIENDO LA FECHA Y HORA ANTES MENCIONADA SE RECIBE COMUNICACION TELEFONICA POR PARTE DEL OFICIAL PELETEIRO LUIS ENCARGADO DEL PREEMBARQUE NACIONAL INFORMANDO QUE AL PASAR UN PASAJERO DE SEXO MASCULINO POR EL ARCO DETECTOR DE METALES ACTIVO LA ALARMA DEL MISMO POR LO QUE EL OFICIAL DORNA LE EFECTUO UN CHEQUEO MANUAL AL PASAJERO Y OBSERVO QUE EN EL BOLSILLO LATERAL DERECHO DEL PANTALON TENIA UNA PROTUBERANCIA POR LO QUE LE SOLICITO QUE EXHIBA EL CONTENIDO RESULTANDO SER ESTE UNA BOLSITA DE NYLON, LA CUAL CONTENIA EN SU INTERIOR UNA SUSTANCIA, MANIFESTANDO EL PASAJERO QUE ERA MARIHUANA. ACTO SEGUIDO SE CONVOCAN AL LUGAR A LOS DOS TESTIGOS HABILES, Y SE DIRIGEN TODOS LOS INTERVINIENTES A LA SALA DE REQUISA CITA EN DICHO PREEMBARQUE DONDE SE LE PREGUNTA AL PASAJERO SI LLEVABA CONSIGO ALGUNA OTRA SUSTANCIA ILEGAL A LO CUAL RESPONDIO QUE NO, PROCEDIENDOSE A CHEQUEARLO EXTRAYENDOSE DEL BOLSILLO LATERAL IZQUIERDO DEL PANTALON DOS ENVOLTORIOS CONTENIENDO MAS SUSTANCIA. ACTO SEGUIDO SE HIZO PRESENTE EL PERITO DE TURNO Y EFECTUO A LOS TRES ENVOLTORIOS UN REACTIVO QUIMICO MARCA NIK LOS CUALES ARROJARON RESULTADO POSITIVO PARA MARIHUANA RESPECTIVAMENTE. ACTO SEGUIDO SE COMENZO CON LAS ACTUACIONES DE RIGOR. SE AMPLIARA CON RESULTADO DE REINCIDENCIA. SE INFORMA SEGUN PU Nº 1616 SIENDO LAS 0620 HORAS SE CUMPLIMENTA LO ORDENADO POR LA JUDICATURA ACTUANTE PROCEDIENDO A LA LIBERACION DEL DETENIDO POR NO REGISTRAR IMPEDIMENTO LEGAL ALGUNO.</t>
  </si>
  <si>
    <t>AU 2836</t>
  </si>
  <si>
    <t>1615/10</t>
  </si>
  <si>
    <t>EN HORAS 06:20, SEGÚN LO DISPUESTO POR LA JUDICATURA INTERVINIENTE, YA OBTENIDOS LOS RESULTADOS DE REINCIDENCIA SIENDO ESTOS NEGATIVOS, Y AL NO MEDIAR IMPEDIMENTO LEGAL ALGUNO, SE PROCEDE A LA LIBERACION DEL SR. BECERRA FERNANDO RAUL, RETIRANDOSE DE ESTA GUARDIA PREVENTIVA POR SUS PROPIOS MEDIOS, CONFORME A LOS TRATOS RECIBIDOS, SIN NOVEDAD.</t>
  </si>
  <si>
    <t>AR2836</t>
  </si>
  <si>
    <t>PISTA, PLATAFORMA Y CALLES DE RODAJE</t>
  </si>
  <si>
    <t>AERÓDROMO</t>
  </si>
  <si>
    <t>INFORMA ARO-AIS QUE SIENDO LAS 07:30 HS. SE PROCEDE A CERRAR TEMPORALMENTE EL AERÓDROMO POR ENCONTRARSE BAJO MÍNIMO METEOROLÓGICO, SIENDO LA VISIBILIDAD ACTUAL DE 50 MTS., INFORMADO POR EL SEÑOR HUGO ORTIZ OPERADOR DE LA OFICINA DE PLAN DE VUELO, NECESITANDO PARA SU REAPERTURA UNA VISIBILIDAD MÍNIMA DE 1500 MTS.</t>
  </si>
  <si>
    <t>1601/10</t>
  </si>
  <si>
    <t>SIENDO LAS 08:20 HS Y DE ACUERDO A LO ORDENADO POR LA JUDICATURA ACTUANTE, EL SR.LUCANO OMAR ALEJANDRO ES TRASLADADO POR COMISION POLICIAL COMPUESTA POR EL OF. MARQUEZ ITALO, OF. AMUD, EDGARDO Y OF. DUARTE RAMON, HASTA LA SEDE DEL JUZGADO NACIONAL EN LO PENAL ECONOMICO Nº 08, EGRESANDO DE JURISDICCION SIN NOVEDAD.</t>
  </si>
  <si>
    <t>PISTA, PLATAFORMA Y CALLE DE RODAJE</t>
  </si>
  <si>
    <t>INFORMA ARO-AIS QUE SIENDO LAS 11:45 HS. SE PROCEDE A LA REAPERTURA DEL AERÓDROMO CON CONDICIONES APTAS PARA OPERACIONES AÉREAS.</t>
  </si>
  <si>
    <t>SECTOR DE ARRIBOS DE PASAJEROS</t>
  </si>
  <si>
    <t>LOCAL NUMERO 20 DEL FREE SHOP</t>
  </si>
  <si>
    <t>EL JEFE DE SEGURIDAD DE LA EMPRESA INTERBAIRES, SE ENCONTRABA EN EL SECTOR DE CAMARAS DE SEGURIDAD, CIRCUNSTANCIA EN LA CUAL, RECIBE COMUNICACION VIA RADIOFRECUENCIA POR PARTE DEL VIGILADOR APOSTADO EN EL LOCAL NUMERO 20 DEL SECTOR DE ARRIBOS DE LA TERMINAL A, QUIEN LE MANIFIESTA QUE UNA PASAJERA TENIA EN EL BUCHE DEL CARRO PORTAMALETAS Y DEBAJO DE SU CARTERA, UN PRODUCTO DE DICHO LOCAL. ATENTO A ELLO, EL JEFE DE SEGURIDAD COMIENZA A EFECTUAR UN SEGUIMIENTO DE LA PASAJERA EN CUESTION, OBSERVANDOLA QUE ESTA UNA VEZ QUE ABONA LOS PRODUCTOS COMPRADOS EN EL LOCAL, HACE ABANDONO DEL MISMO. CON EL PRODUCTO MENCIONADO HABIDO EN EL BUCHE DEL CARRO. ATENTO A ELLO, EL JEFE DE SEGURIDAD, SE HACE PRESENTE EN EL LUGAR OBSERVANDO EN ESE ACTO, FRENTE A LA LINEA DE CAJAS, AL VIGILADOR CON UN PRODUCTO EN SUS MANOS Y A LA PASAJERA. SEGUIDAMENTE, EL JEFE DE SEGURIDAD LE CONSULTA A LA PASAJERA SI HABIA OLVIDADO ABONAR ALGUN PRODUCTO, A LO QUE LA MISMA LE MANIFESTO QUE NO, QUE ESE PRODUCTO YA ESTABA EN EL BUCHE DEL CARRO. SEGUIDAMENTE, SE SOLICITA LA PRESENCIA DE PERSONAL DE ESTA FUERZA, QUIEN MINUTOS DESPUES SE CONSTITUYO EN EL LUGAR Y EN POSTERIOR INVITO A LAS DOS PARTES AL ASIENTO DE ESTA GUARDIA DE PREVENCION A LOS EFECTOS DE LABRAR LAS DILIGENCIAS QUE DIERAN A LUGAR. SEGUIDAMENTE,SE MANTUVO COMUNICACION TELEFONICA CON EL JUZGADO FEDERAL EN TURNO, QUIEN DISPUSO SE DILIGENCIE NOTA AL REGISTRO NACIONAL DE REINCIDENCIA, SOLICITANDO ANTECEDENTES DE LA PASAJERA Y UNA VEZ OBTENIDO EL RESULTADO, EN CASO DE QUE NO PRESENTE IMPEDIMENTOS LEGALES QUE RESTRINJAN SU LIBRE CIRCULACION, LA MISMA SE RETIRE DE ESTA DEPENDENCIA. SE AMPLIARA UNA VEZ RECIBIDO EL RESULTADO DE REINCIDENCIA. /// PU 1651 INFORMO QUE EL DIA 18/03/10, SIENDO LAS 20:00HS, UNA VEZ RECEPCIONADA LA RESPUESTA DEL REGISTRO NACIONAL DE REINCIDENCIA Y ESTADISTICAS CRIMINAL, DONDE CONSTA QUE SOBRE LA CAUSANTE NO PESA IMPEDIMENTO LEGAL QUE RESTRINJA SU LIBRE CIRCULACION LA MISMA SE RETIRA DE ESTE DEPENDENCIA POR SUS PROPIOS MEDIOS.</t>
  </si>
  <si>
    <t>1611/10</t>
  </si>
  <si>
    <t>SE PROCEDE A LA APERTURA DE DOS SACAS COLECTORAS DEL CORREO OFICIAL, EN PRESENCIA DE TESTIGO HABIL, SEGUN CONSTA EN ACTA DE RETENCION Nº 141/10, QUE ORIGINA LA PREV. SUM. Nº 031/10, LA 1º SACA IDENTIFICADA CON MARBETE SLA0163711D555600CRD, PRECINTO Nº B111336, CONTIENE UNA PIEZA POSTAL IDENTIFICADA COMO EP693147118AR RTTE: ANA PERNAS, CORDOBA 1.600, SALTA CAPITAL, CP. 4400, DEST: NELSON DOMES, CALLE CODIGO 2424 Nº 775, Bº DON BOSCO, CP. 9.003, COMODORO RIVADAVIA, CHUBUT, LA CUAL QUEDA RETENIDA. LA SEGUNDA SACA IDENTIFICADA CON MARBETE Nº SLA0163712D555600CRD, PRECINTO Nº B111327, CONTIENE UNA PIEZA POSTAL IDENTIFICADA COMO EP049148355AR, RTTE: JORGE ANIBAL FIGUEROA, PICHANAL, CP. 4.534, DEST: EDUARDO VILLA COMODORO RIVADAVIA, CP. 9.000, CHUBUT, RETIRA EN EL CORREO, LA CUAL QUEDA RETENIDA, LA RETENCION SE REALIZA ANTE LA PRESUNCION DE QUE PUDIERAN CONTENER ALGUN ELEMENTO EN INFRACCION A LAS LEYES 22.415 Y/O 23.737. QUEDANDO LAS MISMAS CERRADAS EN GUARDA EN ESTA USOP, SE COMUNICO TELEFONICAMENTE CON EL JUZGADO INTERVINIENTE, Y LA APERTURA SE REALIZARA CON LA AUTORIZACCION DEL MAGISTRADO ACTUANTE. CON CONOCIMIENTO DE JUOSP.-</t>
  </si>
  <si>
    <t>BRUNO LABORDA GUILLERMO ENRIQUE Y OTROS P.SS.AA HOMICIDIO AGRAVADO, PRIVACION DE LA LIBERTAD AGRAVADA.</t>
  </si>
  <si>
    <t>EXPTE. 14.573</t>
  </si>
  <si>
    <t>DOMICILIO EN CALLE ACONQUIJA Nº 2064 BARRIO PARQUE CAPITAL, CIUDAD DE CORDOBA, PROVINCIA DE CORDOBA.</t>
  </si>
  <si>
    <t>SIENDO EL DIA 18 DE MARZO DEL CORRIENTE AÑO SE RECEPCIONO OFICIO JUDICIAL EMITIDO POR EL JUZGADO FEDERAL Nº 3 A CARGO DEL DR. ALEJANDRO SANCHEZ FREYTES, SECRETARIA DE DERECHOS HUMANOS A CARGO DE LA DRA. MIRTA RUBIN DIRECCIONADO AL SR. INTERVENTOR DE LA POLICIA DE SEGURIDAD AEROPORTUARIA DR. JULIO POSTIGLIONE A FIN DE SOLICITAR COMISIONAR PERSONAL PARA REALIZAR TAREAS INVESTIGATIVAS CON LA FINALIDAD DE ESTABLECER SI EL SR. ITALO CESAR PASQUINI M.I 4.852.659 RESIDE EN LA VIVIENDA UBICADA EN LA CALLE ACONQUIJA Nº 2064 BARRIO PARQUE CAPITAL, CIUDAD DE CORDOBA, PROVINCIA DE CORDOBA, Y EN CASO NEGATIVO INVESTIGAR CUAL ES SU ACTUAL RESIDENCIA.</t>
  </si>
  <si>
    <t>INFRACCION A LOS ARTICULOS 78 Y85 DECRETO LEY 8031/73</t>
  </si>
  <si>
    <t>ACCESO PEATONAL</t>
  </si>
  <si>
    <t>EN MOMENTOS QUE PERSONAL POLICIAL SE ENCONTRABA EFECTUANDO UNA RECORRIDA EN PREVENCION DE DELITOS Y FALTAS, OBSERVAN A UNA PERSONA DE SEXO MASCULINO, QUE SE ENCONTRABA OFRECIENDO SERVICIO DE TAXI, A DIFERENTES PERSONAS QUE TRANSITABAN POR EL SECTOR, PERSONAL POLICIAL LE INFORMA PREVIAMENTE Y EN REITERADAS OPORTUNIDADES, QUE NO PODIA EJERCER DICHA ACTIVIDAD, POR INFRINGIR LOS ARTS, 2 Y 7 DE LA RESOLUCION 269/98 DE LA SECRETARIA DE TRANSPORTE DE LA NACION. A TAL EFECTOS EL INFRACTOR ES CONDUCIDO AL SERVICIO DE SANIDAD DE ESTE AEROPUERTO Y LUEGO A LA OFICINA DE CONTRAVENCIONES, A LOS EFECTOS DE LABRAR LAS ACTUACIONES QUE DIERAN A LUGAR.</t>
  </si>
  <si>
    <t>FISCALIA GENERAL ANTE LA CAMARA FEDERAL DE APELACIONES DE CORDOBA</t>
  </si>
  <si>
    <t>LOZADA</t>
  </si>
  <si>
    <t>ALBERTO C</t>
  </si>
  <si>
    <t>Denuncia p.s.i. Ley 26.364</t>
  </si>
  <si>
    <t>Expt. Nº 00021/10</t>
  </si>
  <si>
    <t>AEROPUERTO DE EZEIZA - AEROPUERTO DE AEROPARQUE DE LA CIUDAD AUTONOMA DE BUENOS AIRES. AEROPUERTO DE CORDOBA, PROVINCIA DE CORDOBA.</t>
  </si>
  <si>
    <t>EN EL DIA DE LA FECHA SE RECEPCIONO OFICIO JUDICIAL EMANADO POR EL FISCAL GENERAL ANTE LA CAMRA FEDERAL DE APELACIONES DE LA CIUDAD DE CORDOBA DR. ALBERTO G. LOZADA A FIN DE SOLICITAR UN INFORME DE EGRESOS DE LAURA VICTORIA MIRANDA DNI 34.455.930 QUIEN POSEE PASAPORTE NACIONAL Y DE LA COMUNIDAD EUROPEA, QUIEN EL DIA 15 DE MARZO DEL CORRIENTE AÑO ABORDO EN EL AEROPUERTO DE CORDOBA EL VUELO LAN Nº 4213 A LAS 16:40 HORAS Y POSTERIORMENTE ABORDA EN EL AEROPUERTO INTERNACIONAL DE EZEIZA EL VUELO DE AMERICA AIRLINES Nº 996 A LAS 21:30 HORAS CON DESTINO A LA CIUDAD DE DALLAS, EEUU. ASIMISMO SE SOLICITA SE ESPECIFIQUE QUE DOCUMENTACION ABORDO, LOS MENCIONADOS VUELOS Y QUE TIPO Y CANTIDAD DE EQUIPAJE LLEVABA Y SE APORTEN LAS FILMACIONES DE LA MENCIONADA, TANTO DEL AEROPUERTO DE CORDOBA, AEROPARQUE Y EZEIZA.</t>
  </si>
  <si>
    <t>DR. FACUNDO GARNICA</t>
  </si>
  <si>
    <t>INFRACCION LEY 25.743</t>
  </si>
  <si>
    <t>SALA DE CONTROL DE EQUIPAJE</t>
  </si>
  <si>
    <t>SIENDO LAS 15:05 HS. EL OFICIAL MARIO FARIAS, CUMPLIENDO FUNCIONES EN EL PREEMBARQUE INTERNACIONAL, MIENTRAS CONTROLABA POR RAYOS X EQUIPAJE FACTURADO DETECTA EN EL INTERIOR DE UN EQUIPAJE UNOS ELEMENTOS QUE NO SE PUEDE DETERMINAR, LE PIDE AL OFICIAL PEREZ, MIGUEL QUE LE REALICE UNA INSPECCION Y REGISTRO A DICHO EQUIPAJE. DICHO OFICIAL LLAMA AL PROPIETARIO DEL EQUIPAJE Y DOS TESTIGOS PARA PROCEDER LA APERTURA DEL MISMO, AL ABRIRLO SE ENCUENTRA TRECE PIEDRAS CON IMPRESIONES APARENTEMENTE DE FOSILES VARIAS, SE REALIZA COMUNICACION CON EL JUZGADO FEDERAL DE TURNO AL QUE SE LE INFORMA LOS HECHOS Y QUIEN DISPONE 1-SE LE RETENGAN LOS ELEMENTOS BAJO LA LEY NACIONAL 25743 DE CONSERVACION Y PROTECCION ARQUEOLOGICA Y PALEONTOLOGICA. 2-SE DEJEN CONSTANCIA DE LAS ACTUACIONES Y SE ELEVEN LOS ELEMENTOS RETENIDOS Y ACTAS DE INFRACCION Nº 0407 A LA ENTIDAD COMPETENTE SIENDO ESTE EL MUSEO DE CIENCIAS NATURALES Y ANTROPOLOGICAS JUAN CORNELIO MOYANO DE LA CIUDAD DE MENDOZA, A LO QUE SE LE DARA ESTRICTO CUMPLIMIENTO.</t>
  </si>
  <si>
    <t>1546/10</t>
  </si>
  <si>
    <t>QUE EN EL DIA DE LA FECHA SIENDO LAS 13:30 HS EL OF. MURANO JUAN QUE SE ENCONTRABA EN LA CONSIGNA DEL HOSPITAL ALEMAN REALIZANDO LA CUSTODIA DEL CAUSANTE, INFORMA QUE SE HIZO PRESENTE S.SA. A/C DEL JUZGADO INTERVINIENTE, CONCEDIO A LA EXCARCELACION BAJO CAUCION REAL AL IMPUTADO. SIENDO LA HORA 14:30 REGRESA LA COMISION SIN NOVEDAD.</t>
  </si>
  <si>
    <t>1619/10</t>
  </si>
  <si>
    <t>SIENDO LAS 12:45HS LA JUDICATURA ACTUANTE RESOLVIÓ CONCEDER LA EXCARCELACIÓN BAJO CAUCIÓN REAL DEL IMPUTADO OMAR ALEJANDRO LUCANO LA CUAL SE EFECTUÓ EN EL DTO CENTRAL DE LA POLICÍA FEDERAL ARGENTINA, SEGÚN LO ORDENADO POR SU SEÑORIA. REGRESANDO LA COMISION A CARGO DEL OFICIAL AMUD EDGARDO SIN NOVEDAD A ESTA JURISDICCIÓN</t>
  </si>
  <si>
    <t>DÁRSENA NRO. 2 NORTE, POSICION NRO. 11</t>
  </si>
  <si>
    <t>SIENDO LAS 07:59 HS DEL DÍA 17-MAR-10 EL DENUNCIANTE INGRESA AL AEROPUERTO INTERNACIONAL CÓRDOBA EN SU VEHÍCULO PARTICULAR, ESTACIONANDO EL MISMO EN EL ESTACIONAMIENTO PÚBLICO, PARA A POSTERIOR EMBARCARSE CON DESTINO A LA CIUDAD DE BUENOS AIRES, REGRESANDO A ESTA CIUDAD DE CÓRDOBA VIA AÉREA EL DÍA 18-MAR-10 APROXIMADAMENTE A LAS 19:50 HS. LUEGO DE DESCENDER DE LA AERONAVE SE DIRIGIRSE HACIA SU RODADO, ESTACIONADO DESDE EL DÍA ANTERIOR, OBSERVANDO QUE AL MISMO LE FALTABA LA ANTENA DE RADIO ORIGINAL LA CUAL ESTABA ENROSCADA EN LA BASE DE LA MISMA, SOBRE EL TECHO DEL VEHÍCULO.</t>
  </si>
  <si>
    <t>FISCALIA EN LO CRIMINAL DE INSTRUCCION N° 16</t>
  </si>
  <si>
    <t>ABRALDES</t>
  </si>
  <si>
    <t>SANDRO</t>
  </si>
  <si>
    <t>SCHYGIEL ILEANA</t>
  </si>
  <si>
    <t>DARSENA DE INGRESO AL AEROPUERTO, SOBRE AV R. OBLIGADO, MARGEN COSTANERA RIO DE LA PLATA.</t>
  </si>
  <si>
    <t>EN EL DIA DE LA FECHA SE HACE PRESENTE , EL DAMNIFICADO SEÑOR MIRANDA HERNAN FEDERICO QUIEN RADICA FORMAL DENUNCIA, MANIFESTANDO QUE AL LLEGAR A ESTE AEROPARQUE METROPOLITANO PARA ABORDAR EL VUELO ANTES MENCIONADO, LUEGO DE DESCENDER DEL TAXI QUE LO TRAJO HASTA DICHO LUGAR, EL TAXISTA SALIO RAUDAMENTE LLEVANDOSE UNA MOCHILA DE MARCA COMERCIAL TOPPER, DE MEDIANO TAMAÑO CON SUS PERTENENCIAS, NO PUDIENDO APORTAR DATOS DEL VEHICULO.</t>
  </si>
  <si>
    <t>AR 1720</t>
  </si>
  <si>
    <t>SANTA FE</t>
  </si>
  <si>
    <t>SE PROCEDE A LAS RETENCIONES DE DOS SACAS COLECTORAS DEL CORREO OFICIAL SEGUN CONSTA EN ACTA DE RETENCION DE CARGAS Nº 0146/10, QUE ORIGINA LA PREVENCION SUM Nº 032/10, LA 1º SACA IDENTIFICADA CON MARBETE SLA0163254D555900RGA, PRECINTO Nº B102970, CON UN PESO DECLARADO DE 2,200 KGS, CON DESTINO A LA CIUDAD DE RIO GRANDE, LA 2º SACAS IDENTIFICADA CON MARBETE SAL0172899E555600CRD, PRECINTO Nº B102030, CON UN PESO DECLARADO DE 3,600 KGS, CON DESTINO A LA CIUDAD DE COMODORO RIVADAVIA. AMPARADAS EN GUIA AEREA Nº 9327852-2,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CON EL JUZGADO INTERVINIENTE.Y LAS APERTURAS SE REALIZARAN EN PRESENCIA DEL PERSONAL DEL CORREO OFICIAL.</t>
  </si>
  <si>
    <t>DRA. ESTELA NANCY MARINICH</t>
  </si>
  <si>
    <t>AVERIGUACION DE CONTENIDO DE SACA</t>
  </si>
  <si>
    <t>REALIZANDO CONTROL DE CORREO PARA EL VUELO MENCIONADO LOS OFICIALES DETALLADOS, AL PASAR SACAS OBSERVAN EN LA PANTALLA DE RAYOS X FIGURAS DE FORMAS IRREGULARES EN DOS DE LAS MISMAS, DISTRIBUIDAS EN UNA DE ELLAS EN UN RECIPIENTE DE METAL Y EN LA OTRA DENTRO DE UNA CAJA APARENTEMENTE DE CARTON. QUE DE ACUERDO A LAS IMAGENES SERIAN SUSTANCIAS DE TIPO ORGANICA. SE DA INTERVENCION A LA MAGISTRATURA ACTUANTE QUIEN DISPONE SE INTERDICTE LAS SACAS, SE ELEVE LA SOLICITUD DE APERTURA DE LAS MISMAS EL DIA 19 DE MARZO. SE DEJA ACLARADO QUE EL VUELO ANTES MENCIONADO CANCELO SU DESTINO EN RESISTENCIA POR RAZONES DE TRIPULACION VENCIDA SIN REEMPLAZO A LAS 22.40 HORAS</t>
  </si>
  <si>
    <t>BOGADO JUAN MARTIN</t>
  </si>
  <si>
    <t>ROBO CON ABUSO DE ARMA BLANCA</t>
  </si>
  <si>
    <t>A 1500 METROS PUESTO SABRE</t>
  </si>
  <si>
    <t>PARQUIZADO SECTOR DE LOS PINOS</t>
  </si>
  <si>
    <t>EN CIRCUNSTANCIA QUE EL DENUNCIANTE SE ENCONTRABA REALIZANDO GIMNASIA FUE INTERCEPTADO POR DOS INDIVIDUOS DE SEXO MASCULINO QUE SE MOVILIZABAN EN UNA MOTOCICLETA AZUL TIPO HONDA BIZ QUIENES EXHIBIENDOLE UN CUCHILLO TIPO CARNICERO LE SUSTRAJERON LAS PERTENENCIAS DANDOSE A LA FUGA CON DIRECCION AL BARRIO LOS PINOS LINDANTE AL PREDIO DE ESTE AEROPUERTO.</t>
  </si>
  <si>
    <t>INFRACCION AL ARTICULO 85 DECRETO LEY 8031/73</t>
  </si>
  <si>
    <t>ENTRE LA PERGOLA QUE CONDUCE DE LA TERMINAL A A LA TERMINAL B</t>
  </si>
  <si>
    <t>INFORMO QUE MIENTRAS PERSONAL POLICIAL SE ENCONTRABA EFECTUANDO UNA RECORRIDA CON MOTIVOS DE SEGURIDAD, OBSERVAN A UNA PERSONA DE SEXO MASCULINO REALIZANDO TAREAS DE VENTA AMBULANTE DE COMIDA A TRANSEUNTES, SIN HABER CUMPLIDO CON LOS REQUISITOS EXIGIDOS POR LA AUTORIDAD DE COMPETENCIA PARA EJERCER DICHA TAREA. POR TAL MOTIVO SE CONDUCE AL MISMO AL SERVICIO DE SANIDAD DE ESTE AEROPUERTO Y LUEGO A LA OFICINA DE CONTRAVENCIONES, A LOS EFECTOS DE LABRAR LAS ACTUACIONES QUE DIERAN A LUGAR.</t>
  </si>
  <si>
    <t>NAC. EN LO PENAL ECONOMICO Nº 7</t>
  </si>
  <si>
    <t>DRA. MARIA INES CARBAJALES</t>
  </si>
  <si>
    <t>INFORMO QUE MIENTRAS PERSONAL POLICIAL SE ENCONTRABA EFECTUANDO UN CONTROL RUTINARIO MEDIANTE MAQUINA DE RAYOS X EMPLAZADA EN EL SECTOR, DETECTA EN EL INTERIOR DE UN EQUIPAJE SUSTANCIA ORGANICA DE BAJA DENSIDAD, DE LA CUAL NO PUEDE DETERMINAR FEHACIENTEMENTE DEL ELEMENTO QUE SE TRATA. POR TAL MOTIVO SE CONVOCA LA PRESENCIA DE DOS TESTIGOS Y SE COMISIONA PERSONAL POLICIAL A LA SALA DE EMBARQUE DE PASAJEROS, A LOS EFECTOS DE DAR CON EL PROPIETARIO DEL EQUIPAJE EN CONFLICTO. UNA VEZ QUE SE LOGRA DAR CON EL PROPIETARIO DEL EQUIPAJE, SE INVITA AL MISMO AL PATIO DE VALIJAS, LUGAR DONDE RECONOCE COMO DE SU PROPIEDAD EL EQUIPAJE EN CUESTION. SEGUIDAMENTE SE TRASLADA A TODOS LOS NOMBRADOS A LA GUARDIA DE PREVENCION. A CONTINUACION SE MANTIENE COMUNICACION CON EL JUZGADO, QUIEN AUTORIZA LA REQUISA DEL EQUIPAJE. SEGUIDAMENTE EN UN CUARTO DE LA GUARDIA DE PREVENCION PERSONAL POLICIAL COMIENZA LA REQUISA DEL EQUIPAJE HALLANDO OCULTO EN EL DOBLE FONDO DE LA PARED DONDE SE ENCUENTRA LA MANIJA RETRACTIL DEL EQUIPAJE CUARENTA Y UN PAQUETES DE DIMENSIONES PEQUEÑAS, CONFECCIONADOS CON NYLON TRANSPARENTES, QUE CONTIENE SUSTANCIA PULVERULENTA DE COLOR BLANCA. SEGUIDAMENTE LOS TESTIGOS ELIGEN AL AZAR VEINTIUN PAQUETES, A LOS CUALES SE LOS SOMETE A PRUEBA DE CAMPO PARA COCAINA, ARROJANDO EN TODOS LOS CASOS RESULTADO POSITIVO. A CONTINUACION SE MANTIENE COMUNICACION CON EL JUZGADO, INFORMANDO LOS RESULTADOS, INDICANDO QUE SE PROCEDA A LA DETENCION DEL CAUSANTE Y SE ELEVE TODO LO ACTUADO, JUNTAMENTE CON EL DETENIDO EL DIA 19/03/10. SE INFORMA SEGUN PU Nº 1654 SIENDO LAS 0730 HORAS SE PROCEDIO AL TRASLADO DEL DETENIDO A SEDE TRIBUNALICIA.</t>
  </si>
  <si>
    <t>China</t>
  </si>
  <si>
    <t>CANTON</t>
  </si>
  <si>
    <t>1627/10</t>
  </si>
  <si>
    <t>INFORMO QUE EL DIA 18/03/10, SIENDO LAS 20:00HS, UNA VEZ RECEPCIONADA LA RESPUESTA DEL REGISTRO NACIONAL DE REINCIDENCIA Y ESTADISTICAS CRIMINAL, DONDE CONSTA QUE SOBRE LA CAUSANTE NO PESA IMPEDIMENTO LEGAL QUE RESTRINJA SU LIBRE CIRCULACION LA MISMA SE RETIRA DE ESTE DEPENDENCIA POR SUS PROPIOS MEDIOS.</t>
  </si>
  <si>
    <t>FISCALIA PENAL CONTRAVENCIONAL Y DE FALTAS DE C.A.B.A. - ZONA A - DISTRITO NORTE</t>
  </si>
  <si>
    <t>MOROSI</t>
  </si>
  <si>
    <t>DRA. PIÑEIRO LUCIANA</t>
  </si>
  <si>
    <t>TENENCIA ILEGAL DE ARMA DE FUEGO DE USO CIVIL</t>
  </si>
  <si>
    <t>MAQUINA DE RX, DE LA EMPRESA LAN ARGENTINA, UBICADA EN EL PATIO DE VALIJAS.</t>
  </si>
  <si>
    <t>SIENDO LA HORA Y FECHA ANTES CONSIGNADA, PERSONAL DE LA EMPRESA HAS QUE SE ENCONTRABA ESCANEANDO EN LA MAQUINA DE RAYOS ANTES MENCIONADA, SOLICITA LA PRESENCIA DE PERSONAL POLICIAL, DEBIDO A QUE OBSERVABA UN ARMA DE FUEGO EN EL INTERIOR DE UNA VALIJA. SEGUIDAMENTE EL OFICIAL VIROCHE, SOLICITO LA PRESENCIA DEL PASAJERO, A QUIEN SE LE CONSULTO SI LLEVABA UN ARMA, RESPONDIENDO EL MISMO QUE SI Y QUE SOLO TENIA LA CREDENCIAL DE LEGITIMO USUARIO VENCIDA Y QUE LOS DEMAS PAPELES SE ENCONTRABAN EN LA CIUDAD DE CORDOBA. SEGUIDAMENTE SE APERTURO LA VALIJA Y SE CONSTATO QUE SE TRATABA DE UNA PISTOLA SEMI - AUTOMATICA, MARCA BERSA, CALIBRE 22LR, Nº DE SERIE 187718, CON SU CARGADOR COLOCADO CON DIEZ MUNICIONES CAL.22 LR SEGUIDAMENTE EL OFICIAL VIROCHE DA LA NOVEDAD AL JEFE DE TURNO, QUIEN ORDENA SE TRASLADEN A TODOS LOS INTERVINIENTES A LA GUARDIA DE PREVENCION. SIENDO LAS 09:10 HS SE MANTIENE COMUNICACION TELFONICA CON LA JUDICATURA ACTUANTE: QUIEN DISPONE, LECTURA DE DERECHO, DETENCION EN CARACTER DE COMUNICADO,MEDICO DE INGRESO, CONSTACION DE DOMICILIO, , ART. 86 BIS, IDGE, 3 JUEGOS DE FICHAS, ART.353,SECUESTRO DEL ARMA Y DE LOS CARGADORES PARA QUE SE CONSTATE LA APTITUD Y FUNCIONAMIENTO, FOTOGRAFIAS DEL ARMA, DECLARACION TESTIMONIAL Y NUEVA COMUNICACION CON RESULTADO DEL ART.353 A FIN DE QUE EL CAUSANTE SEA REMITIDO A LA FISCALIA ACTUANTE. SIENDO LAS 17:00 HS SE PROCEDE A TRASLADAR AL CAUSANTE A LA SEDE DE LA FISCALIA ACTUANTE, RETIRANDOSE DE ESTA DEPENDENCIA SIN NOVEDAD.</t>
  </si>
  <si>
    <t>ERTOP CINAR TENTATIVA DE CONTRABANDO</t>
  </si>
  <si>
    <t>S/TENTATIVA DE CONTRABANDO</t>
  </si>
  <si>
    <t>EN EL DIA DE LA FECHA SE RECIBE OFICIO JUDICIAL ORDENANDO TAREAS INVESTIGATIVAS SOBRE LA DOCUMENTACION Y EL TELEFONO CELULAR NOKIA MODELO 6555 CODE Nº 0550423 CON CHIP SIMKART Nº 050515009102, SECUESTRO QUE SE LLEVARA A CABO EL DIA 13-03-10, LUEGO QUE EL IMPUTADO FUE TRASLADADO AL HOSPITAL POR QUE SE HABIA DESCOMPESADO Y SE ENCONTRABA CON CONVULSIONES APOSTERIORI SE PUDO DETERMINAR QUE SE ENCONTRABA INGESTADO</t>
  </si>
  <si>
    <t>1650/10</t>
  </si>
  <si>
    <t>DANDO CUMPLIMIENTO A LO ORDENADO POR S.SA. SIENDO APROXIMADAMENTE LAS SIETE HORAS TREINTA MINUTOS DEL DIA DE LA FECHA SE PROCEDIO AL TRASLADO DEL DETENIDO EN AUTOS HACIA SEDE TRIBUNALICIA.-</t>
  </si>
  <si>
    <t>1646/10</t>
  </si>
  <si>
    <t>SE PROCEDE A LA APERTURA DE DOS SACAS COLECTORAS DEL CORREO OFICIAL EN PRESENCIA DE TESTIGO HABIL, SEGUN CONSTA EN ACTA DE RETENCION DE CARGAS Nº 0146/10, QUE ORIGINA LA PREVENCION SUM Nº 032/10, LA 1º SACA IDENTIFICADA CON MARBETE SLA0163254D555900RGA, PRECINTO Nº B102970, CONTIENE: DOS PIEZAS POSTALES IDENTIFICADAS COMO: EP684829201AR, RTTE: SAIQUITA FABIANA MICAELA, MZA 2 LOTE 25, Bº EL CHINGO, LOCALIDAD DE S.S. DE JUJUY, PCIA. DE JUJUY, CP. 4.600, DEST: SAIQUITA MILTON SAUL, POSTE RESTANTE SUCURSAL RIO GRANDE CP. 9.420, PCIA DE TIERRA DEL FUEGO, LA CUAL QUEDA RETENIDA Y EP693145275AR, ES ENTREGADA AL SR. OLARTE PARA SU REDESPACHO POR NO SER DE INTERES. LA 2º SACA IDENTIFICADA CON MARBETE SAL0172899E555600CRD, PRECINTO Nº B102030, CONTIENE UNA PIEZA POSTAL IDENTIFICADA COMO EP659037639AR, RTTE: RAQUEL DIAZ, LIOBERTAD Nº 14, LA ESPERANZA, SAN PEDRO DE JUJUY, CP. 4.500, PCIA DE JUJUY, DEST: ROMINA CRUZ, AV. 25 DE MAYO Nº 1.152, PICO TRUNCADO, CP. 9.015, SANTA CRUZ LA CUAL QUEDA RETENIDA, LA RETENCION SE REALIZA ANTE LA PRESUNCION DE QUE PUDIERAN CONTENER ALGUN ELEMENTO EN INFRACCION A LAS LEYES 22.415 Y/O 23.737, QUEDANDO LAS MISMAS CERRADAS EN GUARDA EN ESTA UOSP. SE COMUNICO TELEFONICAMENTE CON EL JUZGADO INTERVINIENTE.Y LAS APERTURAS SE REALIZARAN CON LA AUTORIZACION DEL MAGISTRADO ACTUANTE. CON CONOCIMIENTO DEL JUOSP.-</t>
  </si>
  <si>
    <t>DRA. MONTENEGRO</t>
  </si>
  <si>
    <t>GUTIERREZ CABRERA, JOSE LUIS - EJECUCION DE PENA PRIVATIVA DE LIBERTAD.</t>
  </si>
  <si>
    <t>EXPULSION.</t>
  </si>
  <si>
    <t>SIENDO LAS 07:10 HORAS SE PRESENTA EN ESTA JURISDICCION UNA COMISION DEL ESTABLECIMIENTO Nº 2 DEL SERVICIO PENITENCIARIO DE CORDOBA, TRASLADANDO AL CAUSANTE PARA SER EXPULSADO DEL PAIS. SE LE REALIZA EL CONTROL MEDICO CORRESPONDIENTE POR PARTE DE MEDICOS DE TURNO DE ECCO, QUEDANDO BAJO LA CUSTODIA DEL PERSONAL DEL GEP DE LA UOESA II DEL CENTRO. A LAS 09:35 PARTE DE ESTA AEROESTACION.</t>
  </si>
  <si>
    <t>MARIA INES CARABAJALES</t>
  </si>
  <si>
    <t>N.N. S/DENUNCIA</t>
  </si>
  <si>
    <t>EL DIA 16 DE MARZO EN LA HORA ESPECIFICADA SE RECIBE EN EL TURNO DE PREVENCION, LLAMADO TELEFONICO DE UNA PERSONA, QUE POR SU VOZ SERIA DEL SEXO MASCULINO, QUIEN SOLICITO LOS TELEFONOS DEL JUZGADO EN LO PENAL ECONOMICO Nº 8 MANIFESTANDO QUE QUERIA ADVERTIR ACERCA DE UNA TRIPULANTE DE LA EMPRESA AMERICAN AIRLINES QUE INGRESARIA MERCADERIA AL PAIS EVADIENDO LOS CONTROLES ADUANEROS. DEBIDO A ELLO EL JEFE DE TURNO LE SUMINISTRA LOS TELEFONOS DEL JUZGADO EN LO PENAL ECONOMICO Nº 8 Y EL TELEFONO DE LA JEFATURA DE ESTA UNIDAD, MANTENIENDO COMUNICACION TELEFONICA CON LA DRA. MARIA INES CARABAJALES TITULAR DE LA SECRETARIA Nº 14 DEL JUZGADO EN LO PENAL ECONOMICO Nº 7, ANOTICIANDOLO DE LO SUCEDIDO. SEGUIDO A ELLO EL SEÑOR JEFE DE UOSP EZEIZA, COMISIONADO MAYOR GONZALO MARTINEZ, RECIBE LLAMADO TELEFONICO DE UNA PERSONA QUE PRESUMIBLEMENTE SERIA LA MISMA QUE LLAMO A LA GUARDIA DE PREVENCION, QUIEN DICE SER IMPORTADOR INSCRIPTO EN AFIP CON REPRESENTACION EXCLUSIVA DE LA MARCA TOMMY HILFIGER, MANIFESTANDO INTENCIONES DE DENUNCIAR DE MANERA ANONIMA QUE UNA TRIPULANTE DE AMERICAN AIRLINES DE NOMBRE ELOISA BLANCO, INGRESA AL PAIS ENTRE DOS Y TRES VECES POR SEMANA CON DOS O TRES VALIJAS CADA VEZ TRANSPORTANDO PRODUCTOS DE DICHA MARCA. ATENTO A ELLO EL SEÑOR JEFE DE LA UOSP EZEIZA MANTIENE COMUNICACION CON EL JUZGADO INTERVINIENTE QUIEN DISPONE SE REALICE MONITOREO DE MANERA ENCUBIERTA DE LOS INGRESOS DE LA SRA BLANCO Y SE REALICE NUEVA CONSULTA EN CASO DE QUE LA MISMA INGRESE AL PAIS.</t>
  </si>
  <si>
    <t>BRUGO GUILLERMO</t>
  </si>
  <si>
    <t>SANCHEZ BADENES ENRIQUE JOSE S/ CONTRABANDO DE ESTUPEFACIENTES</t>
  </si>
  <si>
    <t>TTE. GRAL. J.D. PERON 1554 EN DONDE SE CONSTITUYE UN HOTEL DE NOMBRE SIENA</t>
  </si>
  <si>
    <t>EN EL DIA DE LA FECHA SE RECIBE OFICIO SOLICITANDO EL ANALISIS DE LA DOCUMENTACION SECUESTRADA PARA DETERMINAR LA TITULARIDAD DE LOS NUMEROS TELEFONICOS QUE ALLI SE MENCIONAN. SE DEBERA CONSTITUIRSE EN EL DOMICILIO ANTES DETALLADO A LOS EFECTOS DE RECABAR INFORMACION SOBRE LAS LLAMADAS REALIZADAS DESDE LA HABITACION DONDE SE HABRIA HOSPEDADO EL IMPUTADO. COMO ASI TAMBIEN REGISTROS FILMICOS Y FORMA DE PAGO, LA CAUSA SE INICIO EL 14-3-10 CON LA DETENCION DEL IMPUTADO EN MOMENTOS QUE INTENTABA PARTIR EN EL VUELO DE AR 1160, DE AEROLINEAS ARGENTINA CON DESTINO BARCELONA ESPAÑA</t>
  </si>
  <si>
    <t>DR. WALTER LOPEZ DA SILVA</t>
  </si>
  <si>
    <t>S/ DENUNCIA SRA. LALOUX GRISELDA</t>
  </si>
  <si>
    <t>TORRE DE CONTROL</t>
  </si>
  <si>
    <t>DEPENDENCIA DE A.N.A.C.</t>
  </si>
  <si>
    <t>SIENDO LAS 13:15 HORAS, SE PRESENTA EN ESTA DEPENDENCIA LA SEÑORA LALOUX GRISELDA, DNI 28.029.003, FORMULANDO UNA DENUNCIA POR SER INTERRUMPIDA Y DISTRAIDA DE SUS ACTIVIDADES LABORALES, EL DÍA 16 DE MARZO DE 2010 MOMENTOS EN QUE SE DESEMPEÑABA COMO CONTROLADORA DE TRANSITO AEREO EN LA TORRE DE CONTROL DE ESTE AEROPUERTO, POR EL OFICIAL AYUDANTE HECTOR FABIAN CASAMAJON NUMERARIO DE ESTA POLICA DE SEGURIDAD AEROPORTUARIA, QUIEN SE APERSONO EN DICHO LUGAR CON EL FIN DE HACERLE FIRMAR UN ACTA DE INFRACCION, CONFECCIONADA A SU PERSONA. ASIMISMO SE INFORMA, QUE SIENDO LAS 20:25 HORAS DEL DIA 18 DE MARZO DEL CORRIENTE, LA DENUNCIANTE EFECTUO UNA AMPLIACION DE DENUNCIA RECTIFICANDO EL HORARIO EN QUE EL OFICIAL AYUDANTE CASAMAJON, SE HIZO PRESENTE EN LA DEPENDENCIA DE LA TORRE DE CONTROL. QUE POR ESTE HECHO SE LE DA INTERVENCION AL MAGISTRADO INTERVINIENTE DIPOSNIENDO QUE SE LABREN LAS ACTUACIONES CORRESPONDIENTES Y SEAN ELEVADAS POSTERIORMENTE AL JUZGADO.</t>
  </si>
  <si>
    <t>DRA. MARIA SPINA.</t>
  </si>
  <si>
    <t>EN EL DIA DE LA FECHA, SIENDO LAS 09:40 HORAS APROXIMADAMENTE, SE RECIBIÓ COMUNICACIÓN POR PARTE DEL OF. MARTINEZ, ENCARGADO DEL PREEMBARQUE INTERNACIONAL, EL CUAL INFORMA QUE MIENTRAS SE REALIZABA EL CONTROL DE INGRESO DE PASAJEROS DEL VUELO PU 160 DE LA EMPRESA PLUNA, CON DESTINO A LA CIUDAD DE MONTEVIDEO, AL PASAR UN PASAJERO DE SEXO FEMENINO LA OF. RECIO PROCEDE A REALIZAR EL CHEQUEO EL CUAL ARROJA QUE EN EL BOLSILLO DELANTERO DERECHO DEL PANTALÓN POSEIA UN TUBO PLASTICO COLOR NEGRO CON TAPA COLOR BLANCA. LA CUAL CONTENIA UNA SUSTANCIA COMPACTA DE COLOR VERDOSA DE ORIGEN VEGETAL ENVUELTO EN UN NYLON DE COLOR TRANSPARENTE JUNTO A TRES RESTOS DE CIGARRILLOS. AL PREGUNTARLE SOBRE LA SUSTANCIA LA PASAJERA MANIFESTÓ" ES MARIHUANA". INMEDIATAMENTE ES INFORMADO EL OF. MARTINEZ QUIEN SOLICITÓ LA PRESENCIA DE DOS TESTIGOS HÁBILES. UNA VEZ APERSONADO EL JEFE DE TURNO EN EL LUGAR LA PASAJERA EXTRAE VOLUNTARIAMENTE DEL BOLSILLO DELANTERO IZQUIERDO DOS PAQUETES ENVUELTOS CADA UNO DE ELLOS CON UN NYLON TRANSPARENTE EN DONDE SE PODÍA VISUALIZAR UNA SUSTANCIA CON LAS MISMAS CARACTERÍSTICAS A LA ANTERIORMENTE DESCRIPTA. SEGUIDAMENTE SE TRASLADA A TODOS LOS PRESENTES A LA GUARDIA DE PREVENCION DONDE EL PERITO EFECTUÓ EL TEST ORIENTATIVO DE CAMPO CON LA UTILIZACIÓN DE REACTIVO QUÍMICO MARCA NIK PARA MARIHUANA SOBRE DOS DE LOS PAQUETES, ARROJANDO EN AMBOS CASOS RESULTADO POSITIVO ORIENTATIVO PARA LA SUSTANCIA MARIHUANA. SE REALIZO EL PESAJE DE LA SUSTANCIA ARROJANDO: NUEVE COMA UNO (9,1 GRS) CON ENVOLTORIO, NUEVE COMA OCHO (9,8 GRS) CON ENVOLTORIO Y DOS COMA CERO (2,0 GRS) SIN RECIPIENTE CONTENEDOR. SIENDO LAS 11:00 HORAS SE ENTABLA COMUNICACIÓN CON LA JUDICATURA ACTUANTE QUIEN ORDENA ACTUACIONES DE RIGOR. SE AMPLIARA EL PARTE AL RECEPCIONAR LOS RESULTADOS DE REINCIDENCIA. SE INFORMA SEGUN PU Nº 1689 SIENDO LAS 1950 HORAS SE CUMPLIMENTA LO ORDENADO POR LA JUDICATURA INTERVINIENTE PROCEDIENDO A LA LIBERACION DE LA DETENIDA POR NO REGISTRAR IMPEDIMENTO LEGAL ALGUNO.</t>
  </si>
  <si>
    <t>PU 160</t>
  </si>
  <si>
    <t>SIENDO LA HORA Y FECHA INDICADA SE DA CUMPLIMIENTO A LA ORDEN DE SERVICIO NRO 215/10 DE ESTA UOSP SEGUN ORDEN DE SERVICIO NRO 173/10 DE LA URSA I DEL ESTE CONTROL DE SEGURIDAD AEROPORTUARIA POR PARTIDA DE VUELO PRESIDENCIAL EN AERONAVE T-01 CON DESTINO LA CIUDAD DE NEUQUEN.</t>
  </si>
  <si>
    <t>GOMEZ ELICARAS JORGE AMADEO S/DCIA HURTO AEROPUERTO TRELEW AÑO 2010</t>
  </si>
  <si>
    <t>SECTOR DE ARRIBOS</t>
  </si>
  <si>
    <t>SIENDO LAS 12:55 HORAS SE PRESENTA EN LA GUARDIA PREVENTIVA EL SR. GOMEZ ELICARAS JORGE AMADEO EN CARACTER DE PASAJERO DEL VUELO Nº AR 2810 PROCEDENTE DE LA CIUDAD DE BUENOS AIRES - AEROPARQUE, QUIEN RADICA DENUNCIA POR FALTANTE DE UNA NOTEBOOK MARCA HP PAVILION Y SU RESPECTIVO CARGADOR, DICHOS ELEMENTOS SE ENCONTRABAN DENTRO DE UNA MOCHILA COLOR NEGRA VIVOS AZULES MARCA TARGUS DESPACHADA POR BODEGA MARBETE Nº AR 77-35-33, SE DA INTERVENCION AL MINISTERIO PUBLICO FISCAL TRELEW.</t>
  </si>
  <si>
    <t>POLICIA DE SEGURIDAD AEROPORTUARIA S/ ORDEN DE REQUISA</t>
  </si>
  <si>
    <t>POSICION DE AERONAVES NRO.24</t>
  </si>
  <si>
    <t>PLATAFORMA OPERATIVA SECTOR NORTE</t>
  </si>
  <si>
    <t>SIENDO LAS 09:20HS APROXIMADAMENTE, SE REALIZA UN CONTROL DE SEGURIDAD DE RUTINA, COMENZANDO EL MISMO POR EL SECTOR NORTE DE LA PLATAFORMA OPERATIVA, DICHO CONTROL ES MOTIVADO POR LAS DENUNCIAS RECEPTADAS EN ESTA UNIDAD OPERACIONAL DE SEGURIDAD PREVENTIVA Y EN LAS UNIDADES DE LA POLICÍA DE SEGURIDAD AEROPORTUARIA DEL RESTO DEL PAÍS, EN LO REFERENTE A LA SUSTRACCIÓN DE ELEMENTOS DEL INTERIOR DE EQUIPAJES FACTURADOS LOS CUALES SON DESPACHADOS POR BODEGA, SIENDO LAS 09:30HS APROXIMADAMENTE EL PERSONAL POLICIAL INTERVINIENTE, LOS CUALES SE ENCONTRABAN EN LA PLATAFORMA OPERATIVA A LA ESPERA QUE TERMINE LA OPERATORIA DE CARGA DE EQUIPAJE DEL VUELO, OBSERVAN QUE UN PERSONAL DE LA EMPRESA INTERCARGO, QUIEN SE ENCONTRABA SENTADO EN EL ASIENTO DEL CONDUCTOR DE UNA CINTA TRANSPORTADORA MÓVIL, LA CUAL ES UTILIZADA PARA LA CARGA Y DESCARGA DE LOS EQUIPAJES EN LA BODEGA DE LAS AERONAVES IDENTIFICADA CON LOS NÚMEROS INTERNOS 05-51, MANIFESTABA UNA ACTITUD NERVIOSA Y ESQUIVA HACIA EL PERSONAL POLICIAL, OBSERVANDO QUE SACABA ELEMENTOS DEL INTERIOR DE SUS ROPAS Y LOS COLOCABA DEBAJO DEL ASIENTO DE LA CINTA ANTES MENCIONADA, ANTE TAL SITUACIÓN Y UNA VEZ FINALIZADA LA OPERATORIA DE SERVICIOS AL VUELO, EL PERSONAL POLICIAL DE MARRAS EFECTÚA UN CONTROL EN FORMA GENERAL SOBRE LOS VEHÍCULOS Y PERSONAL QUE ASISTIERON A LA AERONAVE COMENZANDO POR LA CINTA ANTES MENCIONADA LA CUAL SE ENCONTRABA A CARGO DEL DETENIDO, EN DICHO CONTROL SE OBSERVA QUE EN EL ASIENTO DEL CHOFER, EL CUAL ES DE PLÁSTICO RÍGIDO, HABIA DOS (02) PERFUMES, UNO MARCA SEDUCTION BLACK Y EL OTRO MARCA GA. DISIMULADOS ENTRE DIARIOS. ANTE TAL SITUACIÓN SE LE CONSULTA AL RESPONSABLE DEL EQUIPO SOBRE LA PROCEDENCIA DE ESTOS PERFUMES, MANIFESTANDO QUE CUANDO SE HIZO CARGO DEL TURNO, LOS MISMOS SE ENCONTRABAN ALLÍ. CABE DESTACAR QUE EL RESTO DEL CONTROL SOBRE LA TOTALIDAD DEL PERSONAL INTERVINIENTE EN LA OPERATORIA Y ATENCIÓN DEL VUELO COMO ASÍ TAMBIÉN LOS EQUIPOS Y VEHÍCULOS AFECTADOS AL SERVICIO ARROJÓ RESULTADO NEGATIVO. SEGUIDAMENTE SE TRASLADÓ EL PERSONAL INTERVINIENTE, EL CHOFER DE LA CINTA TRANSPORTADORA, Y LOS TESTIGOS HASTA LA OFICINA DE GUARDIA DE ESTA UNIDAD DE OPERACIONAL DE SEGURIDAD PREVENTIVA. SIENDO LAS 10:10 HS SE ESTABLECE COMUNICACIÓN TELEFÓNICA CON EL JUZGADO FEDERAL INTERVINIENTE QUIEN UNA VEZ INTERIORIZADA DE LA SITUACIÓN DISPONE, QUE EL ENCARTADO QUEDE EN CALIDAD DE DETENIDO INCOMUNICADO, SE LABREN LAS ACTUACIONES CORRESPONDIENTES, SE PROCEDA AL FICHAJE DEL CAUSANTE PARA LA OBTENCIÓN DE SU REGISTRO PRONTUARIAL, Y SE ELEVE A ESA INSTANCIA JUDICIAL LA SOLICITUD GENÉRICA DE REQUISA SOBRE LAS INSTALACIONES QUE LA EMPRESA EMPLEADORA TIENE DESIGNADO PARA SU PERSONAL COMO VESTIDORES . D.R.I.C.A. - AMPLIACION -SIENDO LAS 16:30HS APROXIMADAMENTE, SE ESTABLECE COMUNICACIÓN TELEFÓNICA CON EL JUZGADO FEDERAL INTERVINIENTE A QUIEN SE LE INFORMA DEL RESULTADO DE LA ORDEN DE REQUISA DE FECHA 19-MAR-10 QUIEN ORDENÓ A ESTA INSTRUCCIÓN QUE A PARTIR DE ESE MOMENTO CON LAS PREVENCIONES DE LEY EL DETENIDO RECUPERA SU LIBERTAD DESDE ESTA DEPENDENCIA POLICIAL, DEBIENDO COMUNICAR ANTE EL JUZGADO FEDERAL INTERVINIENTE CUALQUIER CAMBIO DE DOMICILIO Y FIJAR DOMICILIO LEGAL A EFECTOS DE PRESENTARSE ANTE LA PRIMERA CITACIÓN QUE SE LE CURSE</t>
  </si>
  <si>
    <t>SIENDO LAS 13:40 MINUTOS ARRIBO A ESTE AEROPUERTO DE LA CIUDAD DE NEUQUEN LA SEÑORA PRESIDENTA, DIRIGIENDOSE LUEGO EN HELICOPTERO HACIA DIQUE BALLESTER, PARTICIPANTE DEL SISTEMA DE SEGURIDAD LA UOESA V Y LA UOSP NEUQUEN, EL OPERATIVO SE REALIZÓ SIN NOVEDAD</t>
  </si>
  <si>
    <t>POLICIA DE SEGURIDAD AEROPORTUARIA S/ ORDEN DE REQUISA.</t>
  </si>
  <si>
    <t>PLATAFORMA NORTE EN SECTOR DE CONTENEDORES UTILIZADOS POR INTERCARGO SAC. COMO VESTUARIOS.</t>
  </si>
  <si>
    <t>ATENTO A LA ORDEN DE SERVICIO Nº 080/10 DEL 19MAR10, Y A ORDEN DE REQUISA DEL JUZGADO INTERVINIENTE SE PROCEDE A INICIAR LA REQUISA DEL VESTUARIO DEL PERSONAL DE LA EMPRESA INTERCARGO SAC. DONDE SE ENCUENTRAN CINCUENTA Y DOS COFRES GUARDAOBJETOS,EN PRESENCIA DE DOS TESTIGOS HABILES.</t>
  </si>
  <si>
    <t>SIENDO LAS 16:30 HS ARRIBA DESDE DIQUE BALLESTER LA SRA PRESIDENTA DE LA NACION EN HELICOPTERO, RETIRANDOSE LUEGO EN TANGO 01 HACIA EL AEROPARQUE JORGE NEWBERY, DURANTE LA JORNADA EXISTIERON MANIFESTACIONES EN LA ZONA DE INGRESO DEL AEROPUERTO - TAQUILLA, POR PARTE DEL MOVIMIENTO BARRIAL MTD MOVIMIENTO TECHO DIGNO, ATEN, QUIENES ENTREGARON UN PETITORIO POR INTERMEDIO DE PERSONAL DE PRESIDENCIA Y SE MANIFESTARON CORTANDO EL INGRESO DE VEHICULOS AL ARRIBO DEL T-01 LUEGO SE RETIRARON SIN OCASIONAR DISTURBIOS. LA PARTIDA DEL T01 SE CUSTODIO MEDIANTE DISPOSITIVO DE SEGURIDAD CON PERSONAL DE UOSP NEUQUEN MAS PERSONAL DE UOESA V, OPERATIVO SIN NOVEDAD</t>
  </si>
  <si>
    <t>CABA - AEROPARQUE</t>
  </si>
  <si>
    <t>Dr. Walter Lopez Da Silva</t>
  </si>
  <si>
    <t>nn s/ley de estupefacientes</t>
  </si>
  <si>
    <t>AMPLIANDO PARTE RESERVADO NRO 0038/09 DE FECHA 10/11/09 Y EN REFERENCIA A LA CAUSA MENCIONADA UT SUPRA, Y A LOS EFECTOS DE UNA ACTUALIZACION DE LAS TAREAS INVESTIGATIVAS LLEVADAS ADELANTE EN LA MISMA, SE INFORMA QUE SE CONTINUA TRABAJANDO EN TORNO AL CIUDADANO LUIS TERRILE DNI 18.096.713, TELEFONO NRO 011-61544491 (OBSERVADO JUDICIALMENTE EN LA ACTUALIDAD), QUIEN SE RELACIONA DIRECTAMENTE CON HERMENEGILDO RETAMAR (A) RUBEN, DNI 12.470.229 EL CUAL A LA FECHA SE ENCONTRARIA REALIZANDO ACTIVIDADES ILICITAS RELACIONADAS CON LA LEY DE ESTUPEFACIENTES, VINCULANDOSE CON DISTINTAS PERSONAS, ENTRE ELLOS CON UNA PERSONA DE NOMBRE MARIO HECTOR MARIN DNI 8.498.842, QUIEN POSEE EL TELEFONO NRO. 011-38537264 (OBSERVADO JUDICIALMENTE EN LA ACTUALIDAD) ESTA PERSONA SERIA ORIUNDA DE LA LOCALIDAD DE MORENO EN LA PROVINCIA DE BUENOS AIRES PERO EN LA ACTUALIDAD SE ENCONTARARIA EN LA PROVINCIA DE JUJUY, DONDE ESTARIA COORDINANDO POSIBLES EMBARQUES DE SUSTANCIAS ESTUPEFACIENTES (COCAINA) HACIA BUENOS AIRES, POR TAL MOTIVO SE SOLICITO A LA UOCN DC III DEL NORTE, COLOBORACION A LOS EFECTOS DE INVIDIDUALIZAR TANTO A MARIO HECTOR MARIN COMO ASI TAMBIEN EL POSIBLE ENTORNO DELICTIVO DEL MISMO. EN OTRO ORDEN DE COSAS SIEMPRE EN RELACION A HERMENEGILDO RETAMAR (A) RUBEN, ESTE SE RELACIONARIA TAMBIEN CON FINES DE ACTIVIDADES ILEGALES CON OTRA PERSONA DE APELATIVO RIKY, TELEFONO NRO 011-38842551(OBSERVADO JUDICIALMENTE EN LA ACTUALIDAD) , ESTA PERSONA SERIA ORIUNDA DE LA LOCALIDAD DE MONTE GRANDE, EN LA PROVINCIA DE BUENOS AIRES, Y SOBRE QUIEN SE REALIZAN TAREAS INVESTIGATIVAS TENDIENTES A IDENTIFICARLO, POR OTRO LADO, ESTE ULTIMO SE VINCULA TELEFONICAMENTE CON PERSONAS DEL LITORAL ARGENTINO, CON QUIENES ESTARIA COORDINANDO POSIBLES EMBARQUES DE SUSTANCIAS ESTUPEFACIENTES ( MARIHUANA), HACIA BUENOS AIRES, RESPECTO DE ELLO Y PARICULARMENTE COMO RESULTADO DE LAS ESCUCHAS YA MENCIONADAS SE SOLICITO COLABORACION AL PERSONAL DE LA UOCN DC IV DEL LITORAL, A LOS EFECTOS DE PODER REALIZAR TRANSCIPCIONES EN LOS AUDIOS DE IDIOMA GUARANI, (UTILIZADO POR LOS INTERLOCUTORES A LOS EFECTOS DE PODER DESPISTAR LA PESQUIZA POLICIAL) , COMO ASI TAMBIEN DISCRETAS TAREAS INVESTIGATIVAS EN LA PROVINCIA DE MISIONES Y ALEDAÑAS A ESTA, TENDIENTES A IDENTIFICAR LOS POSIBLES ACTORES DE LA ORGANIZACIÓN DELICTIVA Y VEHICULOS EN LOS QUE SE LLEVARIAN ADELANTE LOS EMBARQUES DE SUSTANCIAS PROHIBIDAS .</t>
  </si>
  <si>
    <t>1668/10</t>
  </si>
  <si>
    <t>SIENDO LAS 16:30HS APROXIMADAMENTE, SE ESTABLECE COMUNICACIÓN TELEFÓNICA CON EL JUZGADO FEDERAL INTERVINIENTE A QUIEN SE LE INFORMA DEL RESULTADO DE LA ORDEN DE REQUISA DE FECHA 19-MAR-10 QUIEN ORDENÓ A ESTA INSTRUCCIÓN QUE A PARTIR DE ESE MOMENTO CON LAS PREVENCIONES DE LEY EL DETENIDO RECUPERA SU LIBERTAD DESDE ESTA DEPENDENCIA POLICIAL, DEBIENDO COMUNICAR ANTE EL JUZGADO FEDERAL INTERVINIENTE CUALQUIER CAMBIO DE DOMICILIO Y FIJAR DOMICILIO LEGAL A EFECTOS DE PRESENTARSE ANTE LA PRIMERA CITACIÓN QUE SE LE CURSE</t>
  </si>
  <si>
    <t>SIENDO LA HORA Y FECHA MENCIONADA SE DA CUMPLIMIENTO A LA ORDEN DE SERVICIO NRO 215/10 DE ESTA UOSP SEGUN ORDEN DE SERVICIO 173/10 DE LA URSA I DEL ESTE CONTROL DE SEGURIDAD AEROPORTUARIA POR ARRIBO DE VUELO PRESIDENCIAL EN AERONAVE T-01 PROCEDENTE DE LA CIUDAD DE NEUQUEN CON DESTINO CIUDAD DE BUENOS AIRES.RETIRANDOSE EN H-03 18:00 HS SIN NOVEDAD.</t>
  </si>
  <si>
    <t>1672/10</t>
  </si>
  <si>
    <t>EN RELACION A LA ORDEN DE SERVICIO Nº 080/10 DE FECHA 19-MAR-10 SE PROCEDIÓ A DAR CUMPLIMIENTO A LO ORDENADO POR EL JUZGADO FEDERAL INTERVINIENTE SEGÚN ORDEN DE REQUISA DE FECHA 19-MAR-2010 DEL REGISTRO DE LA SECRETARÍA PENAL, MEDIANTE LA CUAL ORDENA SE PROCEDA A LA REQUISA DE CINCUENTA Y DOS COFRES QUE EL PERSONAL DE LA EMPRESA INTERCARGO SAC POSEE EN UN CONTENEDOR METALICO QUE SE USA COMO VESTUARIO.FINALIZANDO TAL MEDIDA A LAS 16:50 HORAS APROXIMADAMENTE.</t>
  </si>
  <si>
    <t>INF. ART. 85 DECRETO LEY 8031/73</t>
  </si>
  <si>
    <t>PARKING TERMINAL A</t>
  </si>
  <si>
    <t>QUE SIENDO LA HORA INDICADA PERSONAL POLICIAL DE CONTRAVENCIONES Y FALTAS MIENTRAS SE ENCONTRABA REALIZANDO UN RECORRIDA POR EL SECTOR DE MENCION CONSTATA QUE UNA PERSONA DE SEXO MASCULINO SE ENCONTRABA REALIZANDO TAREAS DE VENTA AMBULANTE DE SUSTANCIA ALIMENTICIA A TRANSEUNTES SIN HABER CUMPLIDO CON LOS REQUISITOS EXIGIDOS POR LA AUTORIDAD COMPETENTE. POR TAL MOTIVO SE PROCEDE A LA IDENTIFICACION DEL MASCULINO, APREHENSION PREVENTIVA Y SECUESTRO DE LOS ELEMENTOS EN CUESTION. SEGUIDAMENTE SE PROCEDIO AL TRASLADO DEL CAUSANTE HACIA LAS OFICINAS DE CONTRAVENCIONES Y FALTAS A EFECTOS DE REALIZAR LAS ACTUACIONES QUE CORRESPONDAN. EN LAS ACTUACIONES CONTRAVENCIONALES NO SE DEJA CONSTANCIA DE LA CANTIDAD DE ALIMENTOS SECUESTRADOS.</t>
  </si>
  <si>
    <t>JUZGADO INST. DE PRIMERA NOM. - D.J.N. - PROV. TDF</t>
  </si>
  <si>
    <t>DRA. SANDRA LOMBARDI</t>
  </si>
  <si>
    <t>ORQUEDA F.S. S/DCIA S/PSTA INF ARTS. 292 Y 248</t>
  </si>
  <si>
    <t>SIENDO LAS 18:40 HS SE PRESENTA EN EL MOSTRADOR DE CONTROL MIGRATORIO DE ESTA PSA LA CIUDADANA SILVIA INES CASERTA SOBRE LA CUAL RECAE UN PEDIDO DE PARADERO SEGUN EL SISTEMA LINCE INSTITUCIONAL DE REGISTRO NRO 261317 EN CAUSA DE REFERENCIA MENCIONADA UT SUPRA, EN VIRTUD DE LOS AUTOS MENCIONADOS LA CITADA CIUDADANA FIJO DOMICILIO REAL EN LA CALLE SANTA FE Nº 727 BARRIO MUTUAL DE RIO GRANDE PROV. TIERRA DEL FUEGO.</t>
  </si>
  <si>
    <t>INFRACCION ART. 85 DECRETO LEY 8031/73</t>
  </si>
  <si>
    <t>ESTACIONAMIENTO DE EMPLEADOS DEL AEROPUERTO.</t>
  </si>
  <si>
    <t>QUE SIENDO LA HORA ANTES INDICADA PERSONAL PERTENECIENTE A LA OFICINA DE CONTRAVENCIONES Y FALTAS MIENTRAS SE ENCONTRABA EN UNA RECORRIDA DE RUTINA POR EL SECTOR ANTES DESCRIPTO CONSTATA QUE UNA PERSONA DE SEXO MASCULINO SE ENCONTRABA REALIZANDO TAREAS DE VENTA AMBULANTE DE SUSTANCIAS ALIMENTICIAS A DIFERENTES TRANSEUNTES SIN HABER CUMPLIDO PREVIAMENTE CON LOS REQUISITOS EXIGIDOS POR LA AUTORIDAD COMPETENTE PARA EJERCER DICHA TAREA. POR TAL MOTIVO SE PROCEDE A LA IDENTIFICACION DEL MASCULINO, APREHENSION PREVENTIVA DEL MISMO Y LUEGO AL SECUESTRO DE LOS ELEMENTOS EN CUESTION. SEGUIDAMENTE SE PROCEDE A TRASLADAR AL CAUSANTE HACIA LA OFICINA DE CONTRAVENCIONES A LOS EFECTOS DE REALIZAR LAS ACTUACIONES CORRESPONDIENTES.- EN LAS ACTUACIONES CONTRAVENCIONALES NO ESPECIFICA LAS SUSTANCIAS ALIMENTICIAS SECUESTRADAS.</t>
  </si>
  <si>
    <t>JUZGADO DE INSTRUCCION Nº 45</t>
  </si>
  <si>
    <t>SECRETARIA Nº 122</t>
  </si>
  <si>
    <t>FONTBONA</t>
  </si>
  <si>
    <t>MARIA DOLORES</t>
  </si>
  <si>
    <t>DRA LINDA LILIAN GARCIA</t>
  </si>
  <si>
    <t>ACTA POR PEDIDO DE CAPTURA</t>
  </si>
  <si>
    <t>INFORMO EN EL CONTROL DE DOCUMENTOS DE PASAJEROS SE DETECTA A TRAVES DEL SISTEMA INTERPOL PEDIDOS DE CAPTURA VIGENTE DEL JUZGADO DE INSTRUCCION NRO 45 DE LA SRA NANCY MABEL RONCERO Y DEL SR DANIL OMAR RONCERO AMBOS POR LA MISMA CAUSA JUDICIAL ANTE EL HECHO INTERPOL LABRA DOS ACTAS Y ESTAS SON ENTREGADAS AL JEFE DE TURNO SEGUIDAMENTE SIENDO LAS 14:50 HORAS SE ESTABLECE COMUNICACION CON EL JUZGADO SOLICITANTE DE LAS MEDIDAS SIENDO ATENDIDO POR EL SR FERNANDO PRAGACCINI QUIEN NOS COMUNICA TELEFONICAMENTE A LAS 15:40 HORAS QUE POR DISPOSIOCION DE LA DRA LINDA LILIAN GARCIA A CARGO DE LA SECRETARIA 122 DE DICHO JUZGADO QUE NO LE INTERESA LA CAUSA Y ORDENA QUE SE TOMEN LOS DATOS PERSONALES Y FIJEN DOMICILIO Y SE LABRE UN ACTA DE LO ACTUADO Y QUE LA MISMA SEA ELEVADA A SEDE TRIBUNALICIA Y QUE LOS CAUSANTES PROSIGAN VIAJE.</t>
  </si>
  <si>
    <t>LOIZA, GERMAN Y LOIZA GABRIEL S/DAÑOS Y LESIONES - DTE. PETRONIO SERGIO Y ORTIZ GASTON</t>
  </si>
  <si>
    <t>NOTIFICACION</t>
  </si>
  <si>
    <t>EN EL DIA DE LA FECHA, DURANTE EL CONTROL DE RUTINA DEL VUELO AR-1857, SE IDENTIFICA AL CIUDADANO GABRIEL MARCELO LOIZA GOMEZ, D.N.I. Nº 32.769.051, SOBRE EL CUAL RECAE UNA SOLICITUD DE PARADERO. REALIZADA COMUNICACION TELEFONICA CON SSA., LA MISMA MANIFIESTA QUE EL CAUSANTE FIJE DOMICILIO REAL, EVENTUAL, CONTINUE VIAJE Y QUE AL REGRESAR A LA CIUDAD SE PRESENTE ANTE EL TRIBUNAL. ACTO SEGUIDO, SE NOTIFICA AL CIUDADANO LOIZA GOMEZ, FIJANDO EL MISMO DOMICILIO REAL, EVENTUAL, TELEFONO DE CONTACTO, FECHA ESTIMADA DE RETORNO, COMO ASI TAMBIEN SE INFORMA AL MISMO LO DISPUESTO POR SSA QUE AL REGRESO DE SU VIAJE SE HAGA PRESENTE ANTE EL JUZGADO QUE INTERVIENE, LABRANDOSE ACTA DE NOTIFICACION 04/2010.</t>
  </si>
  <si>
    <t>AR-1857</t>
  </si>
  <si>
    <t>JUZGADO DE 1RA INSTANCIA EN TODOS LOS FUEROS</t>
  </si>
  <si>
    <t>AGOSTINO</t>
  </si>
  <si>
    <t>HECTOR RICARDO</t>
  </si>
  <si>
    <t>DRA. BLANCA YAMILI ALDERETE</t>
  </si>
  <si>
    <t>SOSA MARIO NORBERTO S/ABUSO SEXUAL</t>
  </si>
  <si>
    <t>EXPTE Nº 670</t>
  </si>
  <si>
    <t>EN EL DIA DE LA FECHA SE DIO CUMPLIMIENTO A LA ORDEN DE SERVICIO Nº 044/10 DE LA URSA III DEL NORTE, CON MOTIVO DE REFORZAR LA CUSTODIA DEL DETENIDO, MARIO NORBERTO SOSA, DNI Nº 11.197.660, EN COLABORACION CON LOS EFECTIVOS DE LA DIRECCION DE UNIDAD DE DETENCION DE NEUQUEN, SEGUN OBRA EN OFICIO Nº 356/10 DEL JUZGADO DE PRIMERA INSTANCIA DE TODOS LOS FUEROS DE RINCON DE LOS SAUCES. EN EL VUELO DE LA EMPRESA LAN Nº 4113 CON DESTINO BUENOS AIRES, CON POSTERIOR TRASBORDO A LA CIUDAD DE NEUQUEN. LA CUSTODIA SEGUIDA DEL EMBARQUE SE DESARROLLO SIN NOVEDAD.</t>
  </si>
  <si>
    <t>1463/10</t>
  </si>
  <si>
    <t>SE AMPLIA PARTE Nº 1463, INFORMANDO QUE SE PROCEDE A DAR POR CUMPLIMENTADO LO ORDENADO EN EL MEMORANDO Nº297/10, PRODUCIDO POR EL DEPARTAMENTO OPERACIONES POLICIALES - C.E.A.C., MEDIANTE ORDEN DE SERVICIO Nº 038/10 DE LA URSA III DEL NORTE. EL INFORME DE LO ACONTECIDO SERA ELEVADO A LA INSTANCIA SUPERIOR.</t>
  </si>
  <si>
    <t>1662/10</t>
  </si>
  <si>
    <t>DR. MATIAS BUENAVENTURA</t>
  </si>
  <si>
    <t>SIENDO LAS 19:50, CON LOS RESULTADOS DE REINCIDENCIA OBTENIDOS, Y AL NO MEDIAR IMPEDIMENTO LEGAL ALGUNO, ATENTO A LO DISPUESTO POR LA JUDICATURA INTERVINIENTE, SE PROCEDE A LA LIBERACION DE LA SRITA ALEJANDRA DE MARIA VARELA, RETIRANDOSE DE ESTA GUARDIA PREVENTIVA POR SUS PROPIOS MEDIOS, CONFORME A LOS TRATOS RECIBIDOS, SIN NOVEDAD</t>
  </si>
  <si>
    <t>SE PROCEDE A LA RETENCION DE UNA SACA COLECTORA DEL CORREO OFICIAL SEGUN CONSTA EN ACTA DE RETENCION DE CARGA Nº 0150/10, QUE ORIGINA PREV. SUMARIA Nº 033/10. LA SACA IDENTIFICADA CON MARBETE SAL0170775E606000BHI, PRECINTO Nº B111337, CON UN PESO DE 4,300KGS, CON DESTINO A LA CIUDAD DE BAHIA BLANCA, AMPARADA EN GUIA AREA Nº 2327858-1, LA QUE SERIA DESPACHADA A TRAVES DE LA EMPRESA DE CARGA AEREA JET PAQ, LA RETENCION SE REALIZA ANTE LA PRESUNCION DE QUE PUDIERA CONTENER ALGUN ELEMENTO EN INFRACCION A LA LEY 22.415 Y/O 23.737, QUEDANDO LA MISMA CERRADA Y PRECINTADA EN GUARDA EN ESTA UOSP. SE COMUNICO TELEFONICAMENTE CON EL JUZGADO INTERVINIENTE, Y LA APERTURA SE REALIZARA EN PRESENCIA DEL PERSONAL DEL CORREO OFICIAL.</t>
  </si>
  <si>
    <t>NAC. DE 1º INST. EN LO CORRECCIONAL Nº 13</t>
  </si>
  <si>
    <t>SECRETARIA Nº 79</t>
  </si>
  <si>
    <t>DR. EDUARDO RICO</t>
  </si>
  <si>
    <t>RESISTENCIA A LA AUTORIDAD</t>
  </si>
  <si>
    <t>PLATAFORMA OPERATIVA - PUERTA DE EGRESO DEL PREEMBARQUE B</t>
  </si>
  <si>
    <t>PREEMBARQUE SECTOR B</t>
  </si>
  <si>
    <t>SIENDO LAS 14:45 DEL DIA 19 DEL CORRIENTE MES Y AÑO , EL OF HOZ DE VILLA, INFORMA VIA RADIAL QUE UNA PERSONA DE SEXO MASCULINO, COPILOTO DE LA EMPRESA AUSTRAL, QUIEN POSTERIORMENTE FUE IDENTIFICADO COMO EDUARDO DANIEL VIETRI, QUIEN, LUEGO DE ACTIVAR LA ALARMA DEL ARCO DETECTOR DE METALES DEL PREEMBARQUE B, SE NIEGA AL CHEQUEO RESPECTIVO POR PARTE DEL OF. CAMACHO, CONTINUANDO CON EL INGRESO AL SECTOR RESTRINGIDO DIRIGIÉNDOSE HACIA LA PLATAFORMA OPERATIVA, POR LO QUE EL OF. HOZ DE VILA, ENCARGADO DEL PUESTO, LUEGO DE SER ANOTICIADO DE LOS HECHOS, VA EN BUSQUEDA DE ESTA PERSONA, SOLICITANDO QUE EXHIBA SU PERMISO AEROPORTUARIO, HACIENDO ENTREGA DE LA MISMA LUEGO DE LA INSISTENCIA DEL OF., QUIEN LUEGO DE COMPROBAR EL PPSA, INVITA AL SR. VIETRI A INGRESAR NUEVAMENTE AL PREEMBARQUE B A FIN DE REALIZAR LAS ACTUACIONES DE RIGOR PARA ESTOS HECHOS, MOMENTOS EN QUE EL SR. VIETRI SE ABALANZA SOBRE EL OF. HOZ DE VILA, EMPUJANDOLO INTENTANDO, POR MEDIO DE LA FUERZA, QUITARLE EL PPSA, RAZON POR EL CUAL, EL OF HOZ DE VILA REDUCE AL CAUSANTE A FIN DE EVITAR QUE CONTINUE CON LA AGRESIÓN, DIRIGIÉNDOLO HASTA EL INTERIOR DEL PREEMBARQUE B. DONDE, CON LA PRESENCIA DE DOS TESTIGOS HABILES POSTERIORMENTE MENCIONADOS, SON DIRIGIDOS JUNTO AL SR. VIETRI A FIN DE REALIZAR LAS ACTUACIONES DE RIGOR. SE REALIZA COMUNICACIÓN TELEFONICA CON LA JUDICATURA ACTUANTE QUIEN DISPONE: SE REALICEN LAS ACTUACIONES PREVENCIONALES DE RIGOR, Y DE NO REGISTRAR IMPEDIMENTOS LEGALES, SE PROCEDA A LA SOLTURA DEL MISMO. SIENDO LA HORA 20:22 HORAS DEL DIA 19 DEL CORRIENTE MES Y AÑO, Y NO REGISTRANDO IMPEDIMENTOS LEGALES EL CAUSANTE, ATENTO A LO DISPUESTO POR LA JUDICATURA INTERVINENTE, SE PROCEDE A LA SOLTURA DEL SR. VIETRI, RETIRANDOSE DE ESTA GUARDIA PREVENTIVA POR SUS PROPIOS MEDIOS, CONFORME A LOS TRATOS RECIBIDOS, SIN NOVEDAD.</t>
  </si>
  <si>
    <t>FISCALIA FEDERAL CATAMARCA</t>
  </si>
  <si>
    <t>Moreno</t>
  </si>
  <si>
    <t>LABID MORCOS</t>
  </si>
  <si>
    <t>SIENDO LA HORA 19:30 SE PRESENTA LA SEÑORA CECILIA PONESSA DE MONTIVERO, PERSONAL DEL SERVICIO METEOROLOGICO NACIONAL, MANIFESTANDO QUE LE HABIAN SUSTRAIDO LA RUEDA DE AUXILIO Y EL CRIKET DEL BAUL DE SU AUTO, MODELO W GOL COUNTRY, DOMINIO GNS-556, DE COLOR GRIS METALIZADO, EL CUAL SE ENCONTRABA ESTACIONADO EN LA PLAYA DE ESTACIONAMIENTO DE ESTE AEROPUERTO.</t>
  </si>
  <si>
    <t>DRA ALDERETE</t>
  </si>
  <si>
    <t>SOSA MARIO S/ABUSO SEXUAL</t>
  </si>
  <si>
    <t>GUARDIA PREVENCION-PLATAFORMA OPERATIVA - AVION</t>
  </si>
  <si>
    <t>EN EL DIA DE LA FECHA SE PROCEDE A DAR CUMPLIMIENTO A LA ORDEN DE SERVICIO Nº 222/10 SEGUN CONTROL DE ESTA POLICIA CON MOTIVO DE TRASLADO DEL DETENIDO MARIO NORBERTO SOSA, SEGUN MEMORANDO Nº 340/10 PRODUCIDO POR CEAC -DEPARTAMENTO OPERACIONES POLICIALES EN REFERENCIA A LA ORDEN DE SERVICIO Nº 174/10 POR MEMORANDO Nº 406/10 EMITIDO POR LA URSA III DEL NORTE. SIENOD LAS 20:45HS ARRIBO A ESTE AEROPARQUE EL VUELO Nº LA 4113 PROCEDENTE DE LA CIUDAD DE SALTA, EL CUAL TRASLADO AL IMPUTADO NORBERTO MARIO SOSA JUNTO CON LA RESPECTIVA CUSTODIA LA CUAL ESTUVO A CARGO DEL OF. AY. NELSON MARTINEZ NUMERARIO DE LA POLICIA DE LA PCIA DE NEUQUEN. FINALMENTE, EN EL DIA DE LA FECHA SIENDO LAS 07:00 ES EMBARCADO EN EL VUELO ANTES MENCIONADO, DESPEGANDO SIN NOVEDAD DESDE ESTE AEROPARQUE.</t>
  </si>
  <si>
    <t>AU 2652</t>
  </si>
  <si>
    <t>PUNTO DE INSPECCION, CONTROL Y REGISTRO DENOMINADO PREEMBARQUE DEL B</t>
  </si>
  <si>
    <t>CIRCUNSTANCIA EN EL QUE PERSONAL POLICIAL ASIGNADO EN EL PREEMBARQUE DE LA TERMINAL B, SE ENCONTRABA REALIZANDO UN CONTROL DE RUTINA A LOS PASAJEROS Y PERSONAL AEROPORTUARIO, SE HACE PRESENTE EN EL CITADO PUNTO DE INSPECCION UNA PERSONA CON PERMISO PERSONAL PERMANENTE, DE NOMBRE MARTIN STAROPOLI, JUNTAMENTE CON UNA PERSONA LA CUAL PORTABA CONSIGO UN PERMISO DE SEGURIDAD CON ACOMPAÑAMIENTO NUMERO 7037, DE NOMBRE NICOLAS PRIMERANO, OBSERVANDO EL FUNCIONARIO POLICIAL QUE DICHO PERMISO SE ENCONTRABA VENCIDO. ES POR ELLO QUE CONSULTA AL PERSONAL DE CREDENCIALES DE ESTA UNIDAD OPERACIONAL SI TENIA CONOCIMIENTO SOBRE ESTE PERMISO, INFORMANDO EL MISMO QUE ESTA SE ENCONTRABA DENUNCIADA COMO EXTRAVIADA, MOTIVO POR EL CUAL SE TRASMITE LA NOVEDAD AL JEFE DE TURNO, QUIEN DISPUSO EL TRASLADO DE LOS MISMOS AL ASIENTO DE ESTA GUARDIA DE PREVENCION A LOS EFECTOS DE LABRAR LAS DILIGENCIAS QUE DIERAN A LUGAR. SEGUIDAMENTE SE MANTIENE COMUNICACION TELEFONICA CON EL JUZGADO FEDERAL EN TURNO, EL CUAL ORDENA QUE SE LABREN ACTUACIONES EN CAUSA AVERIGUACION DE ILICITO, SE REALICE COMPULSA DE ANTECEDENTES CON INTERPOL EZEIZA, CONSTATACION DE DOMICILIO DE LOS CAUSANTES Y UNA VEZ FINALIZADAS LAS MISMAS SE RETIREN DE ESTA DEPENDENCIA POLICIAL POR SUS PROPIOS MEDIOS. QUE UNA VEZ RECIBIDO EL RESULTADO DE INTERPOL, EL MISMO INFORMA QUE EL SEÑOR STAROPOLI, PRESENTA UN PEDIDO DE PARADERO EN CAUSA CARATULADA PEDIDO JUDICIAL, CAUSA NUMERO 48.269, SOLICITADA POR EL JUZGADO NACIONAL EN LO CORRECCIONAL NUMERO 04 DE C.A.B.A., SECRETARIA NUMERO 67. QUE EN VIRTUD A LO SUSCITADO, EL JEFE DE TURNO, ENTABLA UNA NUEVA COMUNICACION CON EL JUZGADO FEDERAL, QUIEN DISPUSO QUE SE NOTIFIQUE AL CAUSANTE A COMPARECER AL MAGISTRADO SOLICITANTE DEL PARADERO Y SE ELEVE AL MISMO CONSTANCIA DE LO OCURRIDO, FOTOCOPIA SIMPLE DE CONSTATACION DE DOMICILIO Y RESULTADO DE INTERPOL. EN POSTERIOR LOS CAUSANTES, HABIENDO FIRMADO LAS ACTUACIONES INSTRUIDAS EN ESTA PREVENCION, SE RETIRAN DE ESTA DEPENDENCIA POR SUS PROPIOS MEDIOS. PTO.-</t>
  </si>
  <si>
    <t>BAÑOS</t>
  </si>
  <si>
    <t>Alberto Julio</t>
  </si>
  <si>
    <t>DR. FEDERICO GONZALEZ</t>
  </si>
  <si>
    <t>EN EL DIA 19 DEL CORRIENTE MES Y AÑO SIENDO LAS 21:15 SE APERSONA EL SR MATAMALA MARCELO IVAN EN ESTA GUARDIA DE PREVENCION A FIN DE RADICAR LA DENUNCIA DE UN HECHO DELICTIVO, MANIFESTANDO QUE EL DIA 17 DEL CORRIENTE MES Y AÑO A LAS 10:00 HORAS APROXIMADAMENTE REALIZO EL DESPACHO DE SU VALIJA EN EL AEROPUERTO DE LA CIUDAD DE COMODORO RIVADAVIA CON DESTINO A ESTE AEROPUERTO METROPOLITANO. UNA VEZ ARRIBADO, SIENDO LAS 14:30 HORAS, SE APERSONO EN EL SECTOR ARRIBOS A2 DE ESTE AEROPARQUE A FIN DE RETIRAR EL EQUIPAJE DESPACHADO POR BODEGA, PERCATANDOSE AL RECIBIR SU VALIJA QUE LA MISMA SE ENCONTRABA APERTURADA SIN LOS CANDADOS QUE POSEIA, ENCONTRANDOSE CON EL FALTANTE EN SU INTERIOR DE LOS ELEMENTOS QUE SE DETALLAN POSTERIORMENTE, REALIZANDO EL RECLAMO ADMINISTRATIVO CORRESPONDIENTE EN LA EMPRESA AEROLINEAS ARGENTINAS.</t>
  </si>
  <si>
    <t>AU 2833</t>
  </si>
  <si>
    <t>1690/10</t>
  </si>
  <si>
    <t>----------------------</t>
  </si>
  <si>
    <t>SE PROCEDE A LA APERTURA DE UNA SACA COLECTORA DEL CORREO OFICIAL SEGUN CONSTA EN ACTA DE RETENCION Nº 0150/10, PERTENECIENTE A LA PREV. SUM. Nº 033/10, LA SACA COLECTORA MARBETE SLA0170775E606000BHI, PRECINTO Nº B111.337, CONTIENE UNA PIEZA POSTAL IDENTIFICADA COMO EP686237277AR, RTTE: IRMA MARTINES, FCA JOSE RODRIGUEZ- CHAMICAL-CIUDAD PERICO -JUJUY- CP. 4610. DEST: JUAN VARGAS, ILARIO ASCASUBI, CP. 8.142 -BAHIA BLANCA- BUENOS AIRES- RETIRA DEL CORREO, LA CUAL QUEDA RETENIDA Y EN DEPOSITO JUDICIAL DE ESTA UNIDAD A LA ESPERA DEL OFICIO QUE AUTORICE SU APERTURA.</t>
  </si>
  <si>
    <t>SECTOR ARRIBOS, CAJERO AUTOMATICO HSBC, DE LA TERMINAL A.</t>
  </si>
  <si>
    <t>QUE EL DIA QUINCE DEL CORRIENTE MES Y AÑO SIENDO LA UNA HORA EL DENUNCIANTE INGRESA AL CAJERO HSBC Y REALIZA UNA TRANSACCION CON SU TARJETA AMERICAN EXPRESS, QUE LUEGO SE RETIRA DEL SECTOR DEJANDO OLVIDADA SU TARJETA EN EL CAJERO, QUE UNA VEZ EN LA CIUDAD DE BUENOS AIRES, SE PERCATA DEL OLVIDO Y DA DE BAJA LA TARJETA TELEFONICAMENTE, CONSULTANDO EN ESE ACTO EL SALDO DE SU CUENTA PERCATANDOSE QUE DE SU CUENTA FALTABA LA SUMA DE 2000 DOLARES ESTADOUNIDENSES, POR LO QUE SE PRESENTA EN LA GUARDIA POLICIAL A FIN DE RADICAR LA CORRESPONDIENTE DENUNCIA.</t>
  </si>
  <si>
    <t>TA8004</t>
  </si>
  <si>
    <t>EZEIZA, BUENOS AIRES.</t>
  </si>
  <si>
    <t>EXPTE 670 FOLIO 78 AÑO 2010</t>
  </si>
  <si>
    <t>PLATAFORMA OPERATIVA A SECTOR PUBLICO</t>
  </si>
  <si>
    <t>SIENDO LAS 09:00HS ATERRIZA VUELO AU 2652 TRASLADANDO AL DETENIDO EL SR. MARIO NORBERTO SOSA DNI 26995045 NACIDO EL 27 DE OCTUBRE DE 1978 EN COLONIA SANTA ROSA, DEPARTAMENTO ORAN PROVINCIA DE SALTA CUSTODIADO POR EL OF. AY. NELSON MARTINEZ LEG 534319 DE POLICIA DE LA PROVINCIA DEL NEUQUEN Y PERSONAL A SUS ORDENES OF. AY. JORGE MORALES LEG 592567 QUIENES LO TRASLADA DESDE SU LUGAR DE DETENCION EN LA BRIGADA DE INVESTIGACIONES DE LA UR. Nº 2 DE LA CIUDAD DE SAN RAMON DE LA NUEVA ORAN PROVINCIA DE SALTA PARA SER ALOJADO EN LA UNIDAD DE DETENCION Nº 11 DE LA CIUDAD DE NEUQUEN, SIENDO ACOMPAÑADOS HASTA EL SECTOR DE GARITA DE PEAJE A LAS 09:30 HS QUIENES SE RETIRAN SIN NOVEDAD CUMPLIMENTANDO MEMORANDO Nº 340/10 PRODUCIDO POR CEAC - DEPARTAMENTO OPERACIONES POLICIALES</t>
  </si>
  <si>
    <t>EL DIA DE LA FECHA SIENDO LA HORA INDICADA, EN CIRCUNSTANCIA QUE LOS OFICIALES VILAS Y ROBLES SE ENCONTRABAN PATRULLANDO EL SECTOR DE PERGOLA DE LA TERMINAL A DE ESTE MEDIO OBSERVAN Y SORPRENDEN INFRAGANTI A UN MASCULINO OFRECIENDO SERVICIO DE TRANSPORTE A VIVA VOZ A PASAJEROS RECIEN ARRIBADOS AL PAIS. POR TAL MOTIVO SE LABRA LA PRESENTE.</t>
  </si>
  <si>
    <t>INF. ART. 86 DECRETO LEY 8031/73</t>
  </si>
  <si>
    <t>PLAYA DE ESTACIONAMIENTOS PARA EMPLEADOS, ENTRE LOS ESTACIONAMIENTOS DE REMISES PARA LA EMPRESA VIP CAR Y TAXI EZEIZA.</t>
  </si>
  <si>
    <t>QUE SIENDO LA HORA INDICADA Y EN MOMENTOS EN QUE PERSONAL POLICIAL PERTENECIENTE A LA OFICINA DE CONTRAVENCIONES Y FALTAS CONSTATAN QUE EN EL INTERIOR DE UN LOCAL DE COMIDAS SE ENCONTRABA UNA PERSONA DE SEXO MASCULINO MANIFESTANDO SER EL DUEÑO, QUE DICHO LOCAL SE ENCUENTRA EN EL SECTOR ANTES MENCIONADO, QUIEN REALIZABA TAREAS DE VENTA DE SUSTANCIA ALIMENTICIAS RAZON POR LA CUAL PERSONAL POLICIAL LE SOLICITA AL MASCULINO QUE EXHIBA LA DOCUMENTACION QUE LO HABILITE PARA REALIZAR TAL ACTIVIDAD MANIFESTANDO EL MISMO QUE NO POSEIA DICHA DOCUMENTACION. POR TAL MOTIVO SE PROCEDE A AL IDENTIFICACION Y APREHENSION PREVENTIVA DEL CAUSANTE Y LUEGO SE LO TRASLADA HACIA EL ASIENTO DE LA OFICINA DE CONTRAVENCIONES Y FALTAS A EFECTOS DE REALIZAR LAS ACTUACIONES CORRESPONDIENTES. EN LAS ACTUACIONES CONTRAVENCIONALES NO ESPECIFICAN LA CANTIDAD DE SUSTANCIAS ALIMENTICIAS SECUESTRADAS.</t>
  </si>
  <si>
    <t>SALIDA DE LA TERMINAL DE CARGAS, EN CERCANIAS DE LA ESTACION DE SERVICIO PETROBRAS.</t>
  </si>
  <si>
    <t>QUE SIENDO LA HORA INDICADA PERSONAL POLICIAL DE CONTRAVENCIONES Y FALTAS MIENTRAS REALIZABA UNA RECORRIDA DE RUTINA POR EL SECTOR ANTES DESCRIPTO CONSTATAN A UNA PERSONA DE SEXO MASCULINO QUIEN SE ENCONTRABA REALIZANDO TAREAS DE VENTA AMBULANTE DE SUSTANCIA ALIMENTICIA A DIFERENTES TRANSEUNTES POR UNA SUMA DE DINERO A CONVENIR. SIN POSEER LOS REQUISITOS EXIGIDOS POR LA AUTORIDAD DE COMPETENCIA PARA REALIZAR DICHA TAREA. EN TALES CIRCUNSTANCIAS SE PROCEDIO A LA IDENTIFICACION, APREHENSION PREVENTIVA DEL CAUSANTE Y SECUESTRO DE LOS ELEMENTOS EN CUESTION Y LUEGO SE TRASLADA AL CAUSANTE HACIA EL ASIENTO DE LA OFICINA DE CONTRAVENCIONES A EFECTOS DE REALIZAR LAS CORRESPONDIENTES ACTUACIONES. LAS ACTUACIONES CONTRAVENCIONALES NO ESPECIFICAN LA CANTIDAD DE SUSTANCIAS ALIMENTICIAS SECUESTRADAS.</t>
  </si>
  <si>
    <t>AVERIGUACION CAUSALES DE ACCIDENTE</t>
  </si>
  <si>
    <t>PLANTA DE COMBUSTIBLE DE LA EMPRESA YPF, CERCANA AL PUESTO BARRERA NORTE DE ESTA POLICIA.</t>
  </si>
  <si>
    <t>EL DIA DE LA FECHA SIENDO APROXIMADAMENTE LAS NUEVE HORAS SE RECIBE EN ESTA GUARDIA DE PREVENCION, COMUNICACION VIA RADIAL DE PARTE DEL OFICIAL CAGNONATTI, QUE SE ENCONTRABA APOSTADO EN EL PUESTO PSA, BARRERA NORTE, EN LA CUAL INFORMABA QUE EN LA PLANTA DE LA EMPRESA YPF SE HABIA PRODUCIDO UN ACCIDENTE EN EL CUAL ESTARIAN INVOLUCRADOS DOS OPERARIOS Y UN CAMION CISTERNA. QUE EN VIRTUD A LO INFORMADO EL OFICIAL LLANES SE DIRIGE AL SECTOR COMPROBANDO POR DICHOS DE TESTIGOS QUE HABIA ESTALLADO UNA CUBIERTA DE UN CAMION PRODUCIENDO GOLPES EN LOS DOS OPERARIOS, LOS CUALES A LA LLEGADA DEL OFICIAL LLANES FUERON TRASLADADOS AL HOSPITAL ZONAL DE EZEIZA, CON POLITRAUMATISMOS, AMBOS FUERA DE PELIGRO. ANOTICIADO EL JUZGADO INTERVINIENTE DISPONE SE LABREN ACTUACIONES DE RIGOR. SE DEJA CONSTANCIA QUE AL MOMENTO SOLO SE CONOCE POR ESTA PREVENCION LOS NOMBRES Y APELLIDOS DE LOS ACCIDENTADOS SIENDO ESTOS: GUSTAVO FACCIANO Y ENRIQUE ZALASAR, AMBOS EMPLEADOS DE LA EMPRESA DIESEL BROWN, MECANICOS TERCERIZADOS PARA LA EMPRESA YPF.</t>
  </si>
  <si>
    <t>Dr. FEDERICO GONZALEZ</t>
  </si>
  <si>
    <t>SE PRESENTA UNA PERSONA PARA RADICAR UNA DENUNCIA INDICANDO QUE EL DIA 6 DEL CORRIENTE MES Y AÑO, DESPACHO UNA MOCHILA COLOR ROJO Y VERDE CON INSCRIPCION MONTAGNE, CON Nº DE MARBETE AR 146476, PARA LUEGO ABORDAR EL VUELO AR 2458 CON DESTINO A LA CIUDAD DE SALTA. EN MOMENTOS EN QUE SE ENCONTRABA EN EL SECTOR DE PREEMBARQUE, ES INFORMADO POR LA LINEA AEREA QUE HABIA UNA NOVEDAD CON LA MOCHILA RAZON POR LA CUAL REGRESA AL CHECK IN, EN DONDE LE MUESTRAN QUE LA MISMA SE ENCONTRABA ABIERTA, Y VERIFICANDO QUE NO EXISTIA NINGUN FALTANTE PROCEDIO A EMBARCAR. UNA VEZ ARRIBADO Y SIENDO LAS 19:20 HORAS, FUERA DEL AEROPUERTO DE SALTA, AL PRETENDER ABONAR UN TAXIMETRO, SE PERCATO DEL FALTANTE DE QUINIENTOS SESENTA PESOS ARGENTINOS QUE HABIA GUARDADO EN LA MOCHILA EN CUESTION. RAZON POR LA CUAL EN EL DIA DE LA FECHA SE PRESENTA EN ESTA GUARDIA A RADICAR LA CORRESPONDIENTE DENUNCIA PENAL. SIENDO LAS 19:45 HORAS SE ENTABLA COMUNICACION CON LA JUDICATURA ACTUANDO QUIEN ORDENA CIERRE Y ELEVACION DE ACTUACIONES.-</t>
  </si>
  <si>
    <t>EN EL PISO DEL PARKING</t>
  </si>
  <si>
    <t>QUE LUEGO DE ARRIBAR AL PAIS, CARGO SUS EQUIPAJES EN EL BAUL DE UN VEHICULO FAMILIAR. QUE AL ARRIBAR A SU DOMICILIO SE PERCATA DE HABER OLVIDADO UNA CARTERA TIPO BOLSO COLOR BLANCA. QUE EL ELEMENTO FUE ENTREGADO EN LA GUARDIA DE PREVENCION POR PERSONAL DE SEGURIDAD ARGENTINA DONDE SE LABRO LA CORRESPONDIENTE ACTA DE HALLAZGO. QUE AL PRESENTARSE EL PASAJERO EN LA GUARDIA DE PREVENCION A RETIRAR EL ELEMENTO HALLADO, SE PERCATA DEL FALTANTE DE LOS ELEMENTOS DESCRIPTOS EN EL PUNTO CORRESPONDIENTE.-</t>
  </si>
  <si>
    <t>JJ 700</t>
  </si>
  <si>
    <t>INF ART 85 DECRETO LEY 8031/73</t>
  </si>
  <si>
    <t>ESTACIONAMIENTO PARA EMPLEADOS TERMINAL A</t>
  </si>
  <si>
    <t>QUE SIENDO LA HORA INDICADA PERSONAL POLICIAL DE CONTRAVENCIONES Y FALTAS OBSERVAN A UNA PERSONA DE SEXO MASCULINO QUE SE ENCONTRABA EN EL SECTOR DE MENCION REALIZANDO TAREAS DE VENTA AMBULANTE DE SUSTANCIAS ALIMENTICIAS SIN HABER CUMPLIDO PREVIAMENTE CON LOS REQUISITOS EXIGIDOS POR LA AUTORIDAD COMPETENTE POR TAL MOTIVO SE PROCEDE A LA IDENTIFICACI0N DEL CAUSANTE APREHENSION PREVENTIVA DEL MISMO Y SECUESTRO DE LOS ELEMENTOS EN CUESTION. PARA LUEGO SER TRASLADADO HACIA LA OFICINA DE CONTRAVENCIONES A EFECTOS DE REALIZAR LAS ACTUACIONES QUE CORRESPONDAN. EN LAS ACTUACIONES CONTRAVENCIONALES NO SE ESPECIFICA LA CANTIDAD DE SUSTANCIAS ALIMENTICIAS SECUESTRADAS.</t>
  </si>
  <si>
    <t>SECTOR ARRIBOS TERMINAL A</t>
  </si>
  <si>
    <t>QUE SIENDO LA HORA INDICADA PERSONAL POLICIAL QUE SE ENCONTRABA CUMPLIENDO SERVICIO DE GUARDIA ORDINARIA OBSERVA Y SORPRENDE A UNA PERSONA DE SEXO MASCULINO QUE SE ENCONTRABA OFRECIENDO SERVICIO DE TRANSPORTE PUBLICO A VIVA VOZ A DIFERENTES PASAJEROS RECIEN ARRIBADOS AL PAIS. SIN POSEER LA HABILITACION PARA EJERCER DICHA ACTIVIDAD. POR TAL MOTIVO SE PROCEDE A LA IDENTIFICACION DEL CAUSANTE QUIEN LUEGO FUE TRASLADADO HACIA LA GUARDIA DE PREVENCION A EFECTOS DE REALIZAR LA CORRESPONDIENTE ACTA.</t>
  </si>
  <si>
    <t>JUZGADO DE GARANTIAS Nº 4 DE SAN MARTIN</t>
  </si>
  <si>
    <t>BRIZUELA</t>
  </si>
  <si>
    <t>RAMON ALBERTO</t>
  </si>
  <si>
    <t>CAUSA 43997</t>
  </si>
  <si>
    <t>RIZZO CORALLO CARLOS ANTONIO S/DETENCION</t>
  </si>
  <si>
    <t>INFORMO QUE SIENDO LAS 18:45 HS SE PRESENTA EN EL MOSTRADOR DE CONTROL RED LINCE EL SR. RIZZO CORALLO CARLOS ANTONIO DNI 4.539.172 SOBRE QUIEN RECAE UN PEDIDO DE CAPTURA CONFORME REGISTRO RED LINCE Nº 37749 POR LO QUE SE PROCEDE ENTABLAR COMUNICACION TELEFONICA CON EL APARTADO TELEFONICO NRO 0221-47245800 PERTENECIENTE A LOS TRIBUNALES DE SAN MARTIN SIENDO ATENDIDO POR PERSONAL DE GUARDIA POLICIAL QUIENES INFORMAN QUE LAS CAUSAS FUERON ABSORVIDAS POR LOS JUZGADOS DE GARANTIAS, SIENDO LAS 19:56 HS DEL DIA DE LA FECHA SE ENTABLA COMUNICACION AL 011-1544167177 DEL JUZGADO DE GARANTIA DE TURNO SIENDO ATENTIDO POR LA SRA. RIVERA ANDREA AUXILIAR LETRADA QUIEN CONSULTO CON EL JUEZ DE TURNO Y SIENDO LAS 20:40 HS INFORMA QUE EL DR. RAMON ALBERTO BRIZUELA JUEZ DEL JUZGADO DE GARANTIA Nº 4 EN TURNO QUE SE PROCEDA A LA DETENCION DEL NOMBRADO EN CARACTER DE COMUNICADO HASTA EL DIA LUNES A LAS 08:00 HS DE LA MAÑANA. QUE SIENDO LAS 1400 HS DEL DIA 22-03-2010 EL NOMBRADO QUIEN SE ENCONTRABA DETENIDO COMUNICADO POR ORDEN DEL MAGISTRADO INTERVINIENTE ES PUESTO EN LIBERTAD POR ORDEN DEL DR. MARIANO A PORTO MEDIANTE OFICIO JUDICIAL S/N DE FECHA 22-03-2010, LO QUE FUERA INFORMADO EN PARTE URGENTE Nº 1750 DE FECHA 23-03-2010 AMPLIATORIO DEL PRESENTE PRODUCIDO POR LA UNIDAD OPERACION RIO GRANDE.</t>
  </si>
  <si>
    <t>JUZGADO DE INSTRUCCION FORMAL DE 6TA. NOMINACION - DISTRITO JUDICIAL CENTRO</t>
  </si>
  <si>
    <t>ALVARADO SOLA</t>
  </si>
  <si>
    <t>JOSE MARIA</t>
  </si>
  <si>
    <t>NO</t>
  </si>
  <si>
    <t>SE CONFECCIONA EL PRESENTE A LOS EFECTOS DE INFORMAR QUE EN EL DIA DE LA FECHA A LAS 01:45 HS SE REALIZO LA DETENCION DEL CIUDADANO MARTIN ALBERTO CAPECE DNI: 29.489.260, SOBRE QUIEN PESA ORDEN DE CAPTURA ORDENADA POR EL DR JOSE MARIA ALVARADO SOLA TITULAR DEL JUZGADO DE INSTR. FORMAL 6TA. NOMINACION DIST. JUD. DEL CENTRO-SALTA, Y CON CONOCIMIENTO DEL JUZGADO FEDERAL DE PRIMERA INSTANCIA DE LA PROVINCIA DE SANTA CRUZ A CARGO DE LA DRA. ANA CECILIA ALVAREZ Y DE LA FISCALIA FEDERAL DE RIO GALLEGOS A CARGO DE LA DRA PATRICIA KLOSTER. ORDENANDO EL MAGISTRADO LOCAL QUE SE REMITAN LOS ACTUADOS Y AL DETENIDO AL JUZGADO FEDERAL DE RIO GALLEGOS EN HORAS DE LA MAÑANA.- QUE EL NOMBRADO SE HIZO PRESENTE EN LA GUARDIA DE PREVENCION DE ESTA UNIDAD OPERACIONAL A REALIZAR UNA DENUNCIA POR AMENAZAS Y REQUERIA LA PRESENCIA DE AUTORIDADES JUDICIALES, POR TAL MOTIVO SE LO TRASLADO A LA FISCALIA FEDERAL DE RIO GALLEGOS DONDE SE PUDO CONTATAR A TRAVES DE UN INFORME DE LA POLICIA DE LA PROVINCIA DE SALTA QUE EL CITADO TENIA UNA CAPTURA VIGENTE POR UN HECHO REALIZADO EL DIA 09 DE MARZO DE 2010, QUE AL MOMENTO DE HACERSE PRESENTE EN LA GUARDIA DE PREVENCION EL NOMBRADO CAPECE SE ENCONTRABA INDOCUMENTADO POR LO QUE DEBIO SER CORROBORADA SU IDENTIDAD MEDIANTE LEGAJO Nº 16362167 DE LA POLICIA FEDERAL ARGENTINA DE ESTA CIUDAD.</t>
  </si>
  <si>
    <t>DR VILLANUEVA,GUSTAVO</t>
  </si>
  <si>
    <t>SECTOR CARGA</t>
  </si>
  <si>
    <t>EN EL DIA DE LA FECHA EN MOMENTOS QUE SE REALIZABA EL CONTROL DE CARGAS DEL VUELO DE LINEAS AEREA AUSTRAL Nº 2657 CON DESTINO A LA CIUDAD DE BUENOS AIRES SE OBSERVA EN LA PANTALLA DE MONITOR DE RAYOS X UNA CAJA DE ZAPATOS CONTENIENDO UNA PRESUNTA ARMA DE FUEGO CON DOS CARGADORES SIN MUNICION A LO QUE SE PROCEDE REALIZAR ACTA DE PROCEDIMIENTO Y DAR INTERVENCION AL JUZGADO FEDERAL Nº2 QUIEN DISPONE QUE SE RETENGA LA CAJA Y SE MANTENGA EN ESTA UNIDAD OPERACIONAL HASTA QUE EL TITULAR DE LA MISMA PRESENTE LA DOCUMENTACION CORRESPONDIENTE. CABE AGREGAR QUE EN ESTE PROCEDIMIENTO NO SE OTORGA NUMERO DE CAUSA POR CUANTO EL JUZGADO ENTIENDE QUE HASTA EL MOMENTO SE COMETIO UNA INFRACCION Y NO SE CONFIGURA EL HECHO EN DELITO. ASIMISMO SE INFORMA QUE EL DIA 25-03-10 SE HACE PRESENTE EL SR. VITALE RICARDO DANIEL DNI 10.660.552 CONL A DOCUMENTACION DEL ARMA Y ACREDITA SER EL PROPIETARIO Y QUE LA MISMA SE ENCUENTRA EN REGLA, HACIENDOSE EFECTIVA LA DEVOLUCION DEL ARMA PREVIA CONSUTA CON EL MAGISTRADO INTERVINIENTE, TODO ELLO CONFORME LO INFORMADO EN PARTE URGENTE Nº 1784 DE FECHA 25-03-10 AMPLIATARIO DEL PRESENTE.</t>
  </si>
  <si>
    <t>QUE AL MOMENTO EN QUE EL DENUNCIANTE SE ENCONTRABA EN LA CINTA TRANSPORTADORA DE EQUIPAJES, SE HIZO DE SUS VALIJAS, LAS CUALES CONSISTIAN DE DOS EQUIPAJES TIPO CARRY ON DE COLOR NEGRO DE MEDIANAS DIMENSIONES, CON LA INSCRIPCION AMERICA TURIS. EN TAL SITUACION EL DENUNCIANTE SE PERCATO DE QUE A UNA DE LAS VALIJAS LE FALTABA SU PRECINTO PLASTICO Y LA OTRA PRESENTABA LA ROTURA DE SU CANDADO METALICO. QUE APERTURADAS AMBAS VALIJAS, UNA DE ELLAS PRESENTABA EL FALTANTE DE UNA PELOTA DE FUTBOL DE COLOR NARANJA CON LA INSCRIPCION BARCELONA Y UN BILLETE DE CINCUENTA PESOS DE LA REPUBLICA ARGENTINA Y LA RESTANTE PRESENTABA EL FALTANTE EN SU INTERIOR DE DOS CAJAS DE BOMBONES DE LAS CUALES NO RECUERDA CARACTERISTICAS PARTICULARES, POR LO QUE SE ACERCO A LA GUARDIA DE PREVENCION A FIN DE RADICAR LA CORRESPONDIENTE DENUNCIA.</t>
  </si>
  <si>
    <t>MARIÑO SOLEDAD</t>
  </si>
  <si>
    <t>LOCAL D1 DEL SHOP GALLERY</t>
  </si>
  <si>
    <t>EN EL DIA DE LA FECHA SE HACE PRESENTE EL DENUNCIANTE SR RATALINO CRISTIAN JAVIER, CON MOTIVO DE RADICAR FORMAL DENUNCIA, MANIFESTANDO QUE SIENDO APROXIMADAMENTE LAS 12:50 HS, MIENTRAS CUMPLIA FUNCIONES DE VIGILANCIA EN EL LOCAL DENOMINADO D1 DE LA FIRMA SHOP GALLERY, UBICADO EN EL HALL DEL PREEMBARQUE TERMINAL III, SE OBSERVO QUE UNA DE LAS CAJERAS DE LA FIRMA REFERIDA PERTENECIENTE A LA EMPRESA INTERBAIRES S.A. LUEGO DE REALIZAR UNA VENTA DE UNOS AURICULARES, MARCA COMERCIAL SONY, NO SE APORTA MODELO, POR UN VALOR DE 22 PESOS, LA MISMA ENTREGA EL PRODUCTO, Y EL VUELTO SIN EL TICKET DE COMPRA, EL CUAL DESTRUYE LUEGO DE QUE SE RETIRA EL CLIENTE ARROJANDOLO EN EL CESTO DE BASURA, Y POSTERIORMENTE PROCEDIO A ANULAR LA COMPRA. EL DENUNCIANTE PONE EN AVISO A SU ENCARGADO, EL SR DE BONIS MARCELO, Y SE DIRIGEN A PONER EN CONOCIMIENTO A LA ENCARGADA DEL LOCAL, LA SRA ASTRID NANDIN, LA CUAL REALIZA LA EXTRACCION DEL TIKET FISCAL DE LA CAJA, EL ARQUEO E INVENTARIO DE PRODUCTOS, OBTENIENDO COMO RESULTADO EL FALTANTE DE LOS AURICULARES ANTERIORMENTE MENCIONADOS. SE ENTABLA COMUNICACION TELEFONICA CON LA JUDICATURA ACTUANTE A QUIEN SE LE INFORMA LO SUCEDIDO DISPONIENDO LECTURA DE DERECHOS Y QUE SE NOTIFIQUE DE LA CAUSA A LA EMPLEADA.</t>
  </si>
  <si>
    <t>VEREDA ARRIBO A2</t>
  </si>
  <si>
    <t>SIENDO LAS 18:15 HORAS SE REALIZA PERIMETRO DE SEGURIDAD PARA POSTERIOR CONTROL ANTI EXPLOSIVO A UN BULTO ABANDONADO, EL MISMO DIO RESULTADO NEGATIVO Y FINALIZANDO EL PROCEDIMIENTO 18:38 HS CON POSTERIOR CONFECCION DEL ACTA DE HALLAZGO Nº 642/10.</t>
  </si>
  <si>
    <t>SIENDO LAS 17:00 HS SE REALIZA CONTROL DE SEGURIDAD AEROPORTUARIA POR PARTIDA DE LA SRA PRESIDENTE DE LA NACION SEGUN ORDEN DE SERVICIO DE LA URSA I DEL ESTE Nº 175 Y ORDEN DE SERVICIO Nº 223 DE ESTA UOSP, ARRIBANDO LA MISMA A LA AEROESTACION EN H-03 A LAS 19:09 Y DESPEGANDO CON DESTINO A PERU EN AERONAVE T-01 A LAS 19:19 HS SIN NOVEDAD.</t>
  </si>
  <si>
    <t>AEROPARQUE METROPOLITANO AEROPUERTO DE PUNTA DEL ESTE</t>
  </si>
  <si>
    <t>EN EL DIA DE LA FECHA SE HACE PRESENTE EL DENUNCIANTE PARA RADICAR FORMAL DENUNCIA DE QUE EL DIA 18 DE MARZO DE 2010, SE HIZO PRESENTE EN ESTE AEROPUERTO, A FIN DE ABORDAR EL VUELO DE LA COMPAÑIA PLUNA Nº PU 114 CON DESTINO A LA CIUDAD DE PUNTA DEL ESTE, QUE PARTIO A LAS 22:15. UNA VEZ ARRIBADO EN LA CIUDAD DE DESTINO, SE DIRIGE A RETIRAR SU VALIJA LA CUAL TENIA UN FALTANTE DE UNA CAMARA FOTOGRAFICA POWER SHOT SD 790 IS DIGITAL ELPH 10 MP, NO APORTA NUMERO DE SERIE. POSTERIORMENTE SE DIRIGE A LA COMPAÑIA A HACER EL RECLAMO CORRESPONDIENTE.</t>
  </si>
  <si>
    <t>PU 114</t>
  </si>
  <si>
    <t>BUENOS AIRES - CABA</t>
  </si>
  <si>
    <t>DILIGENCIA DEJANDO CONSTANCIA</t>
  </si>
  <si>
    <t>BOX DE INGRESO AL TERRITORIO NACIONAL</t>
  </si>
  <si>
    <t>QUE SIENDO LAS TRECE HORAS DEL DIA DE LA FECHA, PERSONAL DE LA D.N.M. REMITE A ESTA DEPENDENCIA A UNA PERSONA DE SEXO FEMENINO, QUIEN SEGUN EL SISTEMA INFORMATICO DEL CITADO ORGANISMO REGISTRA UNA ORDEN DE CAPTURA VIGENTE, EMITIDA POR EL DEPARTAMENTO DE INTERPOL ASUNTOS INTERNACIONALES. QUE MANTENIDA COMUNICACION CON EL JUZGADO INTERVINIENTE EL MISMO DISPUSO QUE SE CONSULTE MEDIANTE NOTA A LA OFICINA DE INTERPOL ASUNTOS INTERNACIONALES DE ESTE PAIS SOBRE LA VIGENCIA DE LA MEDIDA. QUE UNA VEZ RECIBIDOS LOS RESULTADOS DE LA COMPULSA SE CONSTATA QUE MEDIANTE CIRCULAR NUMERO A-2714/12-2006 EMITIDA POR EL PAIS EMISOR DE LA CAPTURA SIENDO ESTE LUXEMBURGO, LA MISMA CADUCO EN FECHA 28 DE NOVIEMBRE DE 2009. ATENTO A ELLO SE INFORMA AL JUZGADO INTERVINIENTE DE LOS HECHOS SUCEDIDOS QUIEN INDICA QUE SE PROCEDA A PERMITIR LA LIBRE CIRCULACION DE LA CAUSANTE DESDE EL ASIENTO DE ESTA DEPENDENCIA, MEDIDA QUE SE HACE EFECTIVA EN EL HORARIO DE LAS 16:50 HORAS Y QUE A SU VEZ NO SE LABREN ACTUACIONES JUDICIALES, DEBIENDOSE LABRAR SOLO ACTUACIONES INTERNAS.-</t>
  </si>
  <si>
    <t>JJ 8000</t>
  </si>
  <si>
    <t>EZEIZA, PCIA. DE BS. AS.</t>
  </si>
  <si>
    <t>INFRACCION AL ART 194 DEL C.P.N.</t>
  </si>
  <si>
    <t>SECTOR DE LA MANGA NUMERO OCHO</t>
  </si>
  <si>
    <t>QUE SIENDO LAS 10:30 HORAS SE RECEPCIONA COMUNICACION TELEFONICA DE PARTE DE LA OFICINA DE PLAN DE VUELO DE ESTE AEROPUERTO EN LA CUAL SE INFORMA QUE PERSONAL DE BRITISH AIRWAYS SOLICITABA LA PRESENCIA DE PERSONAL POLICIAL EN LA MANGA NUMERO OCHO DE ESTE MEDIO. QUE APERSONADO PERSONAL POLICIAL SE ENTREVISTO CON EL COMANDANTE DE LA AERONAVE QUIEN MANIFESTO QUE AL MOMENTO DE OPERAR LA AERONAVE PARA POSICIONARLA EN LA MANGA DE REFERENCIA SUJETOS CON UNIFORMES DE INTERCARGO Y DE CIVIL EXHIBIERON BANDERAS CON LA LEYENDA APA TE APOYAMOS Y A SU VEZ EFECTUARON GESTOS OBSCENOS HACIA LA CABINA DE LA AERONAVE, CON LO CUAL DETUVO LA MARCHA DE LA MISMA HASTA QUE LOS SUJETOS DESISTIERON DE SU ACCIONAR. QUE DICHOS SUJETOS ESTUVIERON EN TODO MOMENTO EN LOS SECTORES DE PLATAFORMA HABILITADOS PARA LA CIRCULACION DE PEATONES, SEGUN SE DESPRENDE DE LOS REGISTROS FILMICOS. QUE MANTENIDA COMUNICACION JUDICIAL SE INDICO QUE SE LABREN ACTUACIONES POR INFRACCION AL ARTICULO 194 DEL C.P.N Y QUE SE TOME DECLARACION TESTIMONIAL A LA TRIPULACION DE BRITISH AIRWAYS Y AL PERSONAL DE RAMPA QUE ATENDIO EL VUELO. QUE SE SOLICITEN LOS CORRESPONDIENTES REGISTROS FILMICOS. QUE HASTA EL MOMENTO NO SE DEBERA IMPUTAR A NINGUNA PERSONA.-</t>
  </si>
  <si>
    <t>Reino Unido</t>
  </si>
  <si>
    <t>EZEIA, PCIA. DE BS. AS.</t>
  </si>
  <si>
    <t>SIENDO LA FECHA Y HORA ANTES MENCIONADA SE RECIBE COMUNICACION TELEFONICA POR PARTE DEL OFICIAL DIEGUEZ GABRIEL, ENCARGADO DEL PREEMBARQUE NACIONAL, INFORMANDO QUE AL PASAR UN PASAJERO DE SEXO MASCULINO POR EL ARCO DETECTOR DE METALES ACTIVO LA ALARMA DEL MISMO POR LO QUE EL OFICIAL DORNA LE EFECTUO UN CHEQUEO MANUAL AL PASAJERO Y OBSERVO QUE EN EL BOLSILLO DELANTERO IZQUIERDO DEL PANTALON TENIA UNA PROTUBERANCIA POR LO QUE LE SOLICITO QUE EXHIBA EL CONTENIDO RESULTANDO SER ESTE UNA BOLSITA DE NYLON, LA CUAL CONTENIA EN SU INTERIOR UNA SUSTANCIA, MANIFESTANDO EL PASAJERO QUE ERA MARIHUANA. ACTO SEGUIDO SE CONVOCAN AL LUGAR A LOS DOS TESTIGOS HABILES, Y SE DIRIGEN TODOS LOS INTERVINIENTES A LA SALA DE REQUISA CONTIGUA A DICHO PREEMBARQUE. ACTO SEGUIDO SE HIZO PRESENTE LA PERITO DE TURNO Y EFECTUO A LA SUSTANCIA UN REACTIVO QUIMICO MARCA NIK EL CUAL ARROJO RESULTADO POSITIVO PARA MARIHUANA. SEGUIDAMENTE SE COMENZO CON LAS ACTUACIONES DE RIGOR. SE AMPLIARA CON RESULTADO DE REINCIDENCIA. SE INFORMA SEGUN PU Nº 1721 SIENDO LAS 0710 HORAS SE CUMPLIMENTA LO ORDENADO POR LA JUDICATURA ACTUANTE PROCEDIENDO A LA LIBERACION DEL DETENIDO POR NO MEDIAR IMPEDIMENTO LEGAL ALGUNO.</t>
  </si>
  <si>
    <t>AR1538</t>
  </si>
  <si>
    <t>SOBRE LA CALLE FRENTE A LA PUERTA DENOMINADA UNO DE LA TERMINAL A</t>
  </si>
  <si>
    <t>A LA HORA Y LUGAR MENCIONADO, UN VEHICULO TAXI QUE CIRCULABA POR EL SECTOR DE MENCION EMBISTIO A UNA PERSONA DE SEXO MASCULINO. A TAL EVENTO SE COMISIONA PERSONAL POLICIAL A LOS FINES DE TRASLADAR A TODOS LOS INTERVINIENTES A LA GUARDIA. UNA VEZ EN EL SECTOR SE UBICA AL CONDUCTOR DEL RODADO, SE LO IDENTIFICA, Y EL PERSONAL POLICIAL ES INFORMADO QUE EL DAMNIFICADO DEL HECHO FUE TRASLADADO AL HOSPITAL DE EZEIZA POR PERSONAL DE SANIDAD DEL AEROPUERTO. QUE MANTENIDA COMUNICACION TELEFONICA CON LA UNIDAD DE INTERVENCION, EL MISMO DISPONE SE NOTIFIQUE AL CONDUCTOR DEL RODADO DE LOS ARTICULOS 60, 89 Y 92, SE CERTIFIQUE DOMICILIO, SE UBIQUE AL DAMNIFICADO Y SE LE RECIBA DECLARACION TESTIMONIAL. UNA VEZ CUMPLIMETADAS LAS DILIGENCIAS EL IMPUTADO SE RETIRA DE ESTA DEPENDENCIA POLICIAL POR SUS PROPIOS MEDIOS.</t>
  </si>
  <si>
    <t>1719/10</t>
  </si>
  <si>
    <t>TERMINAL DE VUELOS NACIONALES - TERMINAL III</t>
  </si>
  <si>
    <t>EN HORAS 07:10, SEGÚN LO DISPUESTO POR LA JUDICATURA INTERVINIENTE, YA OBTENIDOS LOS RESULTADOS DE REINCIDENCIA SIENDO ESTOS NEGATIVOS, Y AL NO MEDIAR IMPEDIMENTO LEGAL ALGUNO, SE PROCEDE A LA LIBERACION DEL SR. MATEUS SANTOS DA SILVA, RETIRANDOSE DE ESTA GUARDIA PREVENTIVA POR SUS PROPIOS MEDIOS, CONFORME A LOS TRATOS RECIBIDOS, SIN NOVEDAD.</t>
  </si>
  <si>
    <t>QUEK CHOON KUAN S/CONTRABANDO DE ESTUPEFACIENTES</t>
  </si>
  <si>
    <t>EN EL DIA DE LA FECHA SE RECIBE OFICIO JUDICIAL ORDENANDO TAREAS INVESTIGATIVAS SOBRE LA DOCUMENTACION, TELEFONOS CELULARES, CHIPS Y TARJETAS DE MEMORIA SECUESTRADOS CUANDO SE INICIO LA CAUSA EL DIA 18-3-10 EN DONDE SE PRODECE LA DETENCION DEL IMPUTADO CUANDO INTENTABA PARTIR EN LE VUELO DE AF 417 DE AIR FRANCE CON DESTINO PARIS FRANCIA</t>
  </si>
  <si>
    <t>JUZGADO FEDERAL DE PRIMERA INSTACIA DE RIO GALLEGOS</t>
  </si>
  <si>
    <t>MANUEL BONIN</t>
  </si>
  <si>
    <t>MARTIN ALBERTO CAPECE S/ DETENCION - FISCALIA FEDERAL</t>
  </si>
  <si>
    <t>SE CONFECCIONA EL PRESENTE A LOS EFECTOS DE INFORMAR QUE EN EL DIA DE LA FECHA SE EFECTUO SIN NOVEDAD EL TRASLADO DEL DETENIDO MARTIN ALBERTO CAPECE A LA UNIDAD PENITENCIARIA FEDERAL NRO 15 EN CUMPLIMIENTO A OFICIO JUDICIAL NRO 276/10. ASIMISMO SE INFORMA QUE LA TOTALIDAD DE LAS DILIGENCIAS PROCESALES FUERON REALIZADAS POR UOCN Y DC DE LA PATAGONIA RIO GALLEGOS, PARTICIPANDO ESTA UOSP EN COLABORACION A LOS EFECTOS DE BRINDAR SEGURIDAD Y TRASLADO AL DETENIDO.</t>
  </si>
  <si>
    <t>FRENTE A MOSTRADOR NRO 5.</t>
  </si>
  <si>
    <t>TELEFONO PUBLICO</t>
  </si>
  <si>
    <t>SIENDO LA HORA MENCIONADA LA DENUNCIANTE SE DIRIJE A UNO DE LOS TELEFONOS PUBLICOS SITOS FRENTE AL MOSTRADOR NRO 5, LUGAR EN DONDE LUEGO DE REALIZAR UNA LLAMADA TELEFONICA, OLVIDA SU BILLETERA. QUE LUEGO DE UNOS INSTANTES REGRESA AL LUGAR, PERCATANDOSE QUE LA BILLETERA NO SE ENCONTRABA. QUE CONSULTADO EL C.O.C. INFORMA QUE LUEGO QUE LA DAMNIFICADA SE RETIRARA DEL SECTOR SE ACERCAN AL MISMO UN PERSONAL DE LA EMPRESA SEGURIDAD ARGENTINA S.A. Y LUEGO UN PERSONAL DE LA EMPRESA DE MALETEROS SIGLO XXI. ANOTICIADA LA UNIDAD FUNCIONAL INTERVINIENTE, DISPONE SE IDENTIFIQUE A AMBOS MASCULINOS Y SE LOS NOTIFIQUE QUE SE ENCUENTRAN IMPUTADOS EN LAS PRESENTES ACTUACIONES. QUE PERSONAL POLICIAL COMISIONADO LOGRA DAR CON EL MASCULINO DE LA EMPRESA SIGLO XXI, A QUIEN SE NOTIFICA QUE SE ENCUENTRA IMPUTADO EN LA CAUSA, NO PUDIENDO EL PERSONAL POLICIAL DAR CON EL PERSONAL DE LA EMPRESA SEGURIDAD ARGENTINA SA YA QUE EL MISMO SE HABIA RETIRADO AL FINALIZAR SU TURNO LABORAL. QUE SIENDO EL DIA 22 DEL CORRIENTE MES Y AÑO SE HACE PRESENTE EN ESTA GUARDIA EL SUPERVISOR DE LA EMPRESA SASA, QUIEN SE DIRIGE AL C.O.C. E IDENTIFICA MEDIANTE LAS FILMACIONES DEL HECHO AL VIGILADOR, A QUIEN RECONOCE COMO MAYORGA JOSE LUIS. QUE SIENDO LAS DIEZ HORAS DEL DIA DE LA FECHA SE HACE PRESENTE EN ESTA GUARDIA EL SR. MAYORGA A QUIEN SE NOTIFICA QUE SE ENCUENTRA IMPUTADO EN LAS PRESENTES ACTUACIONES.</t>
  </si>
  <si>
    <t>DR. MANUEL E. BONNIN</t>
  </si>
  <si>
    <t>MARTIN ALBERTO CAPECE S/ DETENCION -FISCALIA FEDERAL</t>
  </si>
  <si>
    <t>SE INFORMA QUE EL 20 DE MARZO DEL CORRIENTE AÑO, SIENDO LAS 15:00 HORAS SE HIZO PRESENTE EN LA UOSP RIO GALLEGOS NN MASCULINO QUIEN DIJO LLAMARSE MARTIN CAPECE DNI. 29.489.260, A EFECTOS DE DENUNCIAR HABER RECIBIDO AMENAZAS. POSTERIOMENTE SE LO TRASLADADO HASTA LA FISCALÍA FEDERAL DE RIO GALLEGOS A/C DRA PATRICIA B. KLOSTER. A LOS FINES DE RADICAR LA DENUNCIA ACTO SEGUIDO DEBIDO A QUE SOBRE EL DENUNCIANTE PESABA UNA ORDEN DE DETENCIÓN DEL JUZGADO DE INSTRUCCIÓN 6TA. NOMINACIÓN DE SALTA, SU SEÑORIA ORDENA LA DETENCIÓN DEL MISMO Y SU POSTERIOR ALOJAMIENTO EN LA U 15 DE ESA CIUDAD. EL MISMO ES ENTREGADO SIN NOVEDAD.</t>
  </si>
  <si>
    <t>MAURICIO JOSE DONATI</t>
  </si>
  <si>
    <t>SRIO. AV. LEY 23737 ..........</t>
  </si>
  <si>
    <t>411 / 09</t>
  </si>
  <si>
    <t>SRIO. AV.LEY 23737 .......</t>
  </si>
  <si>
    <t>EN EL DIA DE LA FECHA SE RECIBE OFICIO JUDICIAL NRO. 399 DEL JUZGADO ACTUANTE DONDE HACE SABER QUE EN FECHA 4 DE MARZO DEL AÑO EN CURSO POR RESOLUCION NRO. 100 ARCHIVA LAS ACTUACIONES DE MENCION. LAS TAREAS INVESTIGATIVAS SE INICIARON MEDIANTE ORDEN DE SERVICIO NRO. 387/2009 URSA IV, SIPAP PR:DC4 0115/09 DE FECHA 09/11/2009. EN EL TRANSCURSO DE LA INVESTIGACIÓN NO SE OBSERVARON CONDUCTAS DE INFRACCIÓN A LA LEY 23737</t>
  </si>
  <si>
    <t>JUZGADO DE INSTRUCCION Nº 18</t>
  </si>
  <si>
    <t>SECRETARIA Nº 156</t>
  </si>
  <si>
    <t>CONLAZO ZAVALIA</t>
  </si>
  <si>
    <t>ROXANA MACIOCIO</t>
  </si>
  <si>
    <t>INFORMO QUE EN EL CONTROL DE DOCUMENTOS DE PASAJEROS SE DETECTA A TRAVES DEL SISTEMA INTERPOL PEDIDO DE PARADERO VIGENTE POR PARTE DEL JUZGADO DE INSTRUCCION Nº18 SECRETARIA Nº156 DEL SEÑOR RODRIGUEZ MARIO ALEJANDRO EL PERSONAL DE INTERPOL LABRA EL ACTA LA MISMA ES RECEPCIONADA POR EL JEFE DE TURNO DEL DIA DE LA FECHA QUIEN PROCEDE A NOTIFICAR AL CAUSANTE QUE DEBE COMPARECER ANTE EL JUZGADO SOLICITANTE DE LA MEDIDA EN EL TERMINO DE 5 DIAS HABILES DE LABRADA DICHA NOTIFICACION.</t>
  </si>
  <si>
    <t>OTAZO, JOSE JAVIER</t>
  </si>
  <si>
    <t>FISCAL FEDERAL DE CTES. S/REMITE ACTUACIONES.</t>
  </si>
  <si>
    <t>43/09</t>
  </si>
  <si>
    <t>EN EL DIA DE LA FECHA SE RECEPCIONA OFICIO Nº 106 DEL JUZGADO FEDERAL DE 1RA. INSTANCIA DE LA CIUDAD DE CORRIENTES, POR MEDIO DEL CUAL SE SOLICITA A LA POLICIA DE SEGURIDAD AEROPORTUARIA, LA CUSTODIA DURANTE EL TRASLADO DE RESTOS OSEOS EXHUMADOS EN UN CEMENTERIO DE ESTA CIUDAD, DESDE LA SEDE JUDICIAL DE REFERENCIA HASTA LA ENTREGA DE LOS MISMOS EN LA SEDE DEL EQUIPO ARGENTINO DE ANTROPOLOGIA FORENSE SITO EN AV. RIVADAVIA Nº 2443, 2º PISO, DPTO Nº 4 DE LA CAPITAL FEDERAL. EL CUMPLIMIENTO DE LA MANDA JUDICIAL DEBERA EFECTIVIZARSE EL DIA VEINTICUATRO DE MARZO DE DOS MIL DIEZ.</t>
  </si>
  <si>
    <t>PERGOLA DE TAXI</t>
  </si>
  <si>
    <t>INFORMO QUE MIENTRAS PERSONAL POLICIAL SE ENCONTRABA REALIZANDO UNA RECORRIDA OBSERVAN Y OYEN A UNA PERSONA DE SEXO MASCULINO OFRECIENDO SERVICIO DE TRANSPORTE PUBLICO A DIFERENTES PASAJEROS QUE SE ENCONTRABAN EN EL SECTOR, SIN POSEER EL MISMO LOS PERMISOS PERTINENTES. ACTO SEGUIDO EL INFRACTOR ES CONDUCIDO AL SERVICIO DE SANIDAD Y LUEGO A LA OFICINA DE CONTRAVENCIONES, A LOS EFECTOS DE LABRAR LAS ACTUACIONES QUE DIERAN A LUGAR.</t>
  </si>
  <si>
    <t>PREEMBARQUE CABOTAJE SECTOR B PLANTA BAJA</t>
  </si>
  <si>
    <t>EN EL DIA DE LA FECHA EN EL PREEMBARQUE B DE ESTE AEROPUERTO SIENDO LAS 19:00 HORAS APROXIMADAMENTE UN PASAJERO ACCIONA LA ALARMA DEL MARCO DETECTOR DE METALES, RAZON POR LA CUAL EL FUNCIONARIO POLICIAL DEL PUESTO PROCEDE A REALIZAR EL CHEQUEO MANUAL CORRESPONDIENTE, NOTANDO QUE EN SU BOLSILLO DELANTERO DERECHO POSEIA UN BULTO, RAZON POR LA CUAL EL FUNCIONARIO LE PIDE QUE EXHIBA EL CONTENIDO SIENDO ESTE UNA PEQUEÑA BOLSA DE NYLON TRANSPARENTE CON UNA SUSTANCIA COLOR VERDE, POR LO CUAL SE PROCEDE A DAR LA NOVEDAD Y EN PRESENCIA DE LOS DOS TESTIGOS, CON LA UTILIZACION DE REACTIVOS QUIMICOS ARROJANDO RESULTADO POSITIVO PARA MARIHUANA, CON UN PESAJE DE 4.5 GRAMOS. POSTERIORMENTE SE DIRIGEN TODOS LOS INTERVINIENTES A LA GUARDIA DE PREVENCION A FIN DE CUMPLIMENTAR TODAS LAS DILIGENCIAS CORRESPONDIENTES. SE INFORMA SEGUN PU Nº 1743 SIENDO LAS 0350 HORAS SE CUMPLIMENTA LO ORDENADO POR LA JUDICATURA ACTUANTE PROCEDIENDO A LA LIBERACION DEL DETENIDO POR NO MEDIAR IMPEDIMENTO LEGAL ALGUNO.</t>
  </si>
  <si>
    <t>8R 5318</t>
  </si>
  <si>
    <t>267/10</t>
  </si>
  <si>
    <t>SE PROCEDE A LAS RETENCIONES DE CUATRO SACAS COLECTORAS DEL CORREO OFICIAL SEGUN CONSTA EN ACTA DE RETENCION DE CARGA Nº 0155/10, QUE ORIGINA LA PREVENCION SUMARIA Nº 034/10, LA 1º SACA IDENTIFICADA CON MARBETE SLA0168994E636300NQN, PRECINTO Nº B103864, CON UN PESO DECLARADO DE 18,00 KGS., CON DESTINO LA CIUDAD DE NEUQUEN, LA 2º SACA IDENTIFICADA CON MARBETE SLA0161761D555700RGL, PRECINTO Nº B111348, CON UN PESO DECLARADO DE 5,100 KGS., CON DESTINO LA CIUDAD DE RIO GALLEGOS, LA 3º SACA IDENTIFICADA CON MARBETE SLA0168993E636300NQN, PRECINTO B103880, CON UN PESO DECLARADO DE 12,900 KGS. CON DESTINO LA CIUDAD DE NEUQUEN Y LA 4º SACA IDENTIFICADA CON MARBETE SLA0169009E555700RGL, PRECINTO Nº B103760, CON UN PESO DECLARADO DE 20,00 KGS., CON DESTINO LA CIUDAD DE RIO GALLEGOS. AMPARADAS EN GUIA AEREA Nº 9327887-2, LAS QUE SERIAN DESPACHADAS A TRAVEZ DE LA EMPRESA DE CARGA AEREA JET-PAQ. LAS RETENCIONES SE REALIZAN ANTE LA PRESUNCION DE INFRACCION A LAS LEYES 22.415 Y/O 23.737, QUEDANDO LAS MISMAS CERRADAS Y PRECINTADAS EN GUARDA EN ESTA UOSP. SE COMUNICO TELEFONICAMENTE CON EL JUZGADO INTERVINIENTE Y LAS APERTURAS SE REALIZARAN EN PRESENCIA DEL PERSONAL DEL CORREO OFICIAL. SEGúN AMPLIACIóN PU 1749 SE PROCEDE A LAS APERTURAS DE CUATRO SACAS LA 1º SACA IDENTIFICADA CON MARBETE SLA0168994E636300NQN, PRECINTO Nº B103864, CONTIENE 2 PIEZAS POSTALES IDENTIFICADA COMO: EP657457823AR, RTTE. SALVATIERRA OMAR DAVID, LOTEO YONAR, MZA A, C.4, CAMPO QUIJANO, SALTA C.P. 4407, DEST. CALISAYA CLAUDIA, SAN PATRICIO DEL CHAÑAR, PCIA DE NEUQUEN, POSTE RESTANTE, C.P. 8305, LA CUAL QUEDA RETENIDA. LA EP693147682AR, ES ENTREGADA AL SR. OLARTE PARA SU REINSERCION AL CIRCUITO POSTAL POR NO SER DE INTERES PARA EL PROCEDIMIENTO. LA 2º SACA IDENTIFICADA CON MARBETE SLA0169009E555700RGL, PRECINTO Nº B103760, CONTIENE 4 PIEZAS IDENTIFICADAS COMO: EP705771186AR, RTTE. PELOC CLEOTILDE, DR. BALDI, 1504, CUYAYA, S.S. DE JUJUY, C.P. 4600 DEST. SRA. APAZA CECILIA, NICOLAS SALVATORI 968, PCIA. DE SANTA CRUZ, LOCALDAD CALAFATE, C.P. 9405. EP669757290AR, RTTE. SRA. IGNACIA PORTAL, SOLDADO MARI O GUTIERREZ, LA QUIACA, PCIA. DE JUJUY, DEST. CELSO MARTINEZ, AVDA. LIBERTADOR Nº 1133, CALAFATE, SANTA CRUZ, C.P. 9405. EP686237351AR. RTTE. ELEUTERIA CHAVEZ, CHILE Nº 150, PERICO, JUJUY, C.P. 4610 DEST. JUAN CARLOS CARDOZO, RETIRA EN CORREO, 28 DE NOVIEMBRE, PCIA. DE SANTA CRUZ, C.P. 9408. Y EP666289862AR RTTE. BRIGIDA FLORES, BLAS PARERA Nº 564, Bº 25 DE MAYO, PALPALA, JUJUY, C.P. 4612, DEST. ABON ESTEBAN ALFREDO, SAN MARTIN 433, 28 DE NOVIEMBRE, SANTA CRUZ, C.P. 9408, LAS CUALES QUEDAN RETENIDAS. LA 3º SACA IDENTIFICADA CON MARBETE SLA0168993E636300NQN, PRECINTO B103880, CONTIENE 4 PIEZAS IDENTIFICADAS COMO EP666289859AR, RTTE. V.G. CALAPEÑA, 23 DE AGOSTO Nº 988, Bº 23 DE AGOSTO, PALPALA, PCIA DE JUJUY, C.P. 4612, DEST. GABINO GUTIERREZ, CORREO SENILLOSA, PCIA. DE NEUQUEN, C.P. 8320. EP669757272AR, RTTE. PORTAL JERONIMO, CALLE MINEROS DEL AGUILAR Nº 509, LA QUIACA, PCIA. DE JUJUY, C.P. 4650, DEST. JACINTO CONDORI, CALLE CHILE 179, Bº COSTANERA, LA MARQUE, RIO NEGRO, C.P 8363. EP722138380AR, RTTE. MARIA CUSSI, EL CARMEN, C.P. 4603, Bº 1º DE MAYO, L.5 M.75, PCIA. DE JUJY, DEST. SRA. LUCIA CUSSI, INGENIERO JACOBASI, C.P.8418, EVARISTO CARRIEGO Nº 362, PCIA. DE RIO NEGRO, LAS CUALES QUEDAN RETENIDAS. Y LA EP666289880AR, ES ENTREGADA AL SR. OLARTE PARA SU REINSERCION AL CIRCUITO POSTAL POR NO SER DE INTERES PARA EL PROCEDIMIENTO. Y LA 4º SACA IDENTIFICADA CON MARBETE SLA0161761D555700RGL, PRECINTO Nº B111348, CONTIENE UNA PIEZA IDENTIFICADA COMO EP669757269AR, RTTE. NIEVES VILTE, LA QUIACA, PCIA. DE JUJUY C.P. 4650, DEST. SRA. SIVIA TINTE, RAMON Y CAJAL Nº 1215, RIO GALLEGOS, SANTA CRUZ, C.P. 9400, LA MISMA QUEDA RETENIDA. LAS RETENCIONES SE REALIZAN ANTE LA PRESUNCION DE QUE PUDIERAN CONTENER ALGUN ELEMENTO EN INFRACCION A LA LEY 22.415 Y/O 23.737, QUEDANDO LAS MISMAS CERRADAS Y EN GUARDA EN ESTA UOSP. SE COMUNICO TELEFONICAMENTE CON EL JUZGADO INTERVINIENTE Y LAS APERTURAS SE REALIZARAN CON LA AUTORIZACION DEL MAGISTRADO ACTUANTE. SEGúN AMPLIACIóN PU 2859 SE PROCEDE A LAS APERTURAS DE 09 ENCOMIENDAS DEL CORREO OFICIAL SEGUN ACTA DE APERTURA DE CARGAS Nº 239/10, DE EP669757272AR, RTTE. PORTAL JERONIMO, CALLE MINEROS DEL AGUILAR Nº 509, LA QUIACA, PCIA. DE JUJUY, C.P. 4650, Y DEST. JACINTO CONDORI, CALLE CHILE 179, Bº COSTANERA, LA MARQUE, RIO NEGRO, C.P 8363, CONTIENE: 4 PAQUETES DE HOJAS DE COCA, PESO TOTAL 0.983 GRS. LA EP669757290AR, RTTE. SRA. INACIA PORTAL, SOLDADO MARI O GUTIERREZ, LA QUIACA, PCIA. DE JUJUY, Y DEST. CELSO MARTINEZ, AVDA. LIBERTADOR Nº 1133, CALAFATE, SANTA CRUZ, C.P. 9405, CONTIENE: 4 PAQUETES DE HOJAS DE COCA, PESO TOTAL 0.990 GRS. QUE SE SECUESTRA, EL RESTO DE LA ENCOMIENDA SERA ENTREGADA PARA SU REDESPACHO. LA EP705771186AR, RTTE. PELOC CLEOTILDE, DR. BALDI, 1504, CUYAYA, S.S. DE JUJUY, C.P. 4600, Y DEST. SRA. APAZA CECILIA, NICOLAS SALVATORI 968, PCIA. DE SANTA CRUZ, LOC. CALAFATE, C.P. 9405, CONTIENE: 4 PAQUETES DE HOJAS DE COCA, PESO TOTAL 1.000 GRS. QUE SE SECUESTRA, EL RESTO DE LA ENCOMIENDA SERA ENTREGADA PARA SU REDESPACHO. LA EP669757269AR, RTTE. NIEVES VILTE, LA QUIACA, PCIA. DE JUJUY C.P. 4650, Y DEST. SRA. SIVIA TINTE, RAMON Y CAJAL Nº 1215, RIO GALLEGOS, SANTA CRUZ, C.P. 9400, CONTIENE: 4 PAQUETES DE HOJAS DE COCA, PESO TOTAL 1.049 GRS. QUE SE SECUESTRA, EL RESTO DE LA ENCOMIENDA SERA ENTREGADA PARA SU REDESPACHO. LA EP686237351AR. RTTE. ELEUTERIA CHAVEZ, CHILE Nº 150, PERICO, JUJUY, C.P. 4610, Y DEST. JUAN CARLOS CARDOZO, RETIRA EN CORREO, 28 DE NOVIEMBRE, PCIA. DE SANTA CRUZ, C.P. 9408, CONTIENE: 3 PAQUETES DE HOJAS DE COCA, PESO TOTAL 0.750 GRS. Y LA EP657457823AR, RTTE. SALVATIERRA OMAR DAVID, LOTEO YONAR, MZA A, C.4, CAMPO QUIJANO, SALTA C.P. 4407, Y DEST. CALISAYA CLAUDIA, SAN PATRICIO DEL CHAÑAR, PCIA DE NEUQUEN, POSTE RESTANTE, C.P. 8305, CONTIENE: 40 PAQUETES DE HOJAS DE COCA, PESO TOTAL 10.041 GRS. LAS EP722138380AR, EP666289859AR Y EP666289862AR SERAN ENTREGADAS PARA SU REDESPACHO. LOS SECUESTROS Y LAS ENCOMIENDAS SERAN PUESTAS A DISPOSICION DE LA ADUANA DE SALTA POR SUPUESTA INFRACCION A LA LEY 22.415 DEL CODIGO ADUANERO Y LAS ACTUACIONES SERAN REMITIDAS A SEDE JUDICIAL</t>
  </si>
  <si>
    <t>1740/10</t>
  </si>
  <si>
    <t>BIONDI KARINA</t>
  </si>
  <si>
    <t>SIENDO LAS 03:50 HS SE PROCEDE A LA LIBERACION DEL SEÑOR MAGALLANES DANDO CUMPLIMIENTO A LO ORDENADO POR EL JUZGADO NACIONAL EN LO CRIMINAL Y CORRECIONAL Nº9 POR NO MEDIAR IMPEDIMENTO LEGAL DE ACUERDO A LOS RESULTADOS APORTADOS POR EL REGISTRO NACIONAL DE REINCIDENCIA.</t>
  </si>
  <si>
    <t>LORNA HERNANDEZ DE LUNA HETCHEVERTZ</t>
  </si>
  <si>
    <t>SECTOR SURESTE Y SUROESTE DEL PREDIO, ALTURA DE CABECERA 03, A APROXIMADAMENTE TRES MIL METROS DE LA AEROESTACION</t>
  </si>
  <si>
    <t>SIENDO LAS DIEZ HORAS CON DIEZ MINUTOS SE PRESENTA EL CIUDADANO SERGIO GUSTAVO CALDERON, EMPLEADO DE LA EMPRESA AEROPUERTOS ARGENTINA 2000, DENUNCIANDO QUE MIENTRAS REALIZABA UN RECORRIDO DE RUTINA POR EL CAMINO PERIMETRAL DEL AEROPUERTO, AL LLEGAR AL PRIMER TRAMO DE LA CERCA PERIMETRAL PLÁSTICA, QUE SE ENCUENTRA A LA ALTURA DE LA CABECERA "03" Y LINDANTE CON EL PARAJE LA VERNACHA, PUDO DETECTAR QUE LA PARTE INFERIOR DE LA MENCIONADA CERCA PERIMETRAL SE ENCONTRABA DESPRENDIDA DE LOS ALAMBRES QUE FORMAN PARTE DE UNA ANTERIOR REPARACIÓN Y DEJANDO VER UN HUECO DE UN METRO DE ALTO POR UN METRO CON CUARENTA CENTÍMETROS DE ANCHO. SIGUIENDO CON SU RECORRIDO, Y AL LLEGAR AL SECTOR OPUESTO LINDANTE CON EL Bº AMPLIACIÓN BORGES, DETECTA OTRO PAÑO INFERIOR DE LA CERCA PERIMETRAL TAMBIÉN DESPRENDIDO DE LA MISMA FORMA Y CON SIMILARES CARACTERÍSTICAS QUE EL ANTES MENCIONADO. TOMADO CONOCIMIENTO DE ESTA NOVEDAD, ME DIRIJO AL LUGAR DEL HECHO DONDE PROCEDO A CONSTATAR LO DENUNCIADO, REALIZANDO UNA INSPECCION OCULAR EN EL SECTOR Y NO PUDIENDOSE DETECTAR NINGUN TIPO DE HUELLAS. FINALIZADA LA INSPECCION, LA EMPRESA AA2000 PROCEDIO A REPARAR LA CERCA DAÑADA EN FORMA INMEDIATA Y UTILIZANDO EL MISMO SISTEMA DE GANCHOS DE ALAMBRE. SE DA INTERVENCION AL JUZGADO FEDERAL DE SANTIAGO DEL ESTERO, COMUNICANDO LA NOVEDAD AL SR. FISCAL FEDERAL DR. PEDRO SIMON, QUIEN ORDENA DAR INICIO A LAS ACTUACIONES CORRESPONDIENTES Y QUE LAS MISMAS SEAN ELEVADAS A LA BREVEDAD. CON CONOCIMIENTO DEL INTERINAMENTE A CARGO DE LA UOSP.</t>
  </si>
  <si>
    <t>1741/10</t>
  </si>
  <si>
    <t>SE PROCEDE A LAS APERTURAS DE CUATRO SACAS COLECTORAS DEL CORREO OFICIAL SEGUN CONSTA EN ACTA DEJANDO CONSTANCIA Nº 0156/10, QUE ORIGINA LA PREVENCION SUMARIA Nº 034/10, LA 1º SACA IDENTIFICADA CON MARBETE SLA0168994E636300NQN, PRECINTO Nº B103864, CONTIENE 2 PIEZAS POSTALES IDENTIFICADA COMO: EP657457823AR, RTTE. SALVATIERRA OMAR DAVID, LOTEO YONAR, MZA A, C.4, CAMPO QUIJANO, SALTA C.P. 4407, DEST. CALISAYA CLAUDIA, SAN PATRICIO DEL CHAÑAR, PCIA DE NEUQUEN, POSTE RESTANTE, C.P. 8305, LA CUAL QUEDA RETENIDA. LA EP693147682AR, ES ENTREGADA AL SR. OLARTE PARA SU REINSERCION AL CIRCUITO POSTAL POR NO SER DE INTERES PARA EL PROCEDIMIENTO. LA 2º SACA IDENTIFICADA CON MARBETE SLA0169009E555700RGL, PRECINTO Nº B103760, CONTIENE 4 PIEZAS IDENTIFICADAS COMO: EP705771186AR, RTTE. PELOC CLEOTILDE, DR. BALDI, 1504, CUYAYA, S.S. DE JUJUY, C.P. 4600 DEST. SRA. APAZA CECILIA, NICOLAS SALVATORI 968, PCIA. DE SANTA CRUZ, LOCALDAD CALAFATE, C.P. 9405. EP669757290AR, RTTE. SRA. IGNACIA PORTAL, SOLDADO MARI O GUTIERREZ, LA QUIACA, PCIA. DE JUJUY, DEST. CELSO MARTINEZ, AVDA. LIBERTADOR Nº 1133, CALAFATE, SANTA CRUZ, C.P. 9405. EP686237351AR. RTTE. ELEUTERIA CHAVEZ, CHILE Nº 150, PERICO, JUJUY, C.P. 4610 DEST. JUAN CARLOS CARDOZO, RETIRA EN CORREO, 28 DE NOVIEMBRE, PCIA. DE SANTA CRUZ, C.P. 9408. Y EP666289862AR RTTE. BRIGIDA FLORES, BLAS PARERA Nº 564, Bº 25 DE MAYO, PALPALA, JUJUY, C.P. 4612, DEST. ABON ESTEBAN ALFREDO, SAN MARTIN 433, 28 DE NOVIEMBRE, SANTA CRUZ, C.P. 9408, LAS CUALES QUEDAN RETENIDAS. LA 3º SACA IDENTIFICADA CON MARBETE SLA0168993E636300NQN, PRECINTO B103880, CONTIENE 4 PIEZAS IDENTIFICADAS COMO EP666289859AR, RTTE. V.G. CALAPEÑA, 23 DE AGOSTO Nº 988, Bº 23 DE AGOSTO, PALPALA, PCIA DE JUJUY, C.P. 4612, DEST. GABINO GUTIERREZ, CORREO SENILLOSA, PCIA. DE NEUQUEN, C.P. 8320. EP669757272AR, RTTE. PORTAL JERONIMO, CALLE MINEROS DEL AGUILAR Nº 509, LA QUIACA, PCIA. DE JUJUY, C.P. 4650, DEST. JACINTO CONDORI, CALLE CHILE 179, Bº COSTANERA, LA MARQUE, RIO NEGRO, C.P 8363. EP722138380AR, RTTE. MARIA CUSSI, EL CARMEN, C.P. 4603, Bº 1º DE MAYO, L.5 M.75, PCIA. DE JUJY, DEST. SRA. LUCIA CUSSI, INGENIERO JACOBASI, C.P.8418, EVARISTO CARRIEGO Nº 362, PCIA. DE RIO NEGRO, LAS CUALES QUEDAN RETENIDAS. Y LA EP666289880AR, ES ENTREGADA AL SR. OLARTE PARA SU REINSERCION AL CIRCUITO POSTAL POR NO SER DE INTERES PARA EL PROCEDIMIENTO. Y LA 4º SACA IDENTIFICADA CON MARBETE SLA0161761D555700RGL, PRECINTO Nº B111348, CONTIENE UNA PIEZA IDENTIFICADA COMO EP669757269AR, RTTE. NIEVES VILTE, LA QUIACA, PCIA. DE JUJUY C.P. 4650, DEST. SRA. SIVIA TINTE, RAMON Y CAJAL Nº 1215, RIO GALLEGOS, SANTA CRUZ, C.P. 9400, LA MISMA QUEDA RETENIDA. LAS RETENCIONES SE REALIZAN ANTE LA PRESUNCION DE QUE PUDIERAN CONTENER ALGUN ELEMENTO EN INFRACCION A LA LEY 22.415 Y/O 23.737, QUEDANDO LAS MISMAS CERRADAS Y EN GUARDA EN ESTA UOSP. SE COMUNICO TELEFONICAMENTE CON EL JUZGADO INTERVINIENTE Y LAS APERTURAS SE REALIZARAN CON LA AUTORIZACION DEL MAGISTRADO ACTUANTE.</t>
  </si>
  <si>
    <t>1708/10</t>
  </si>
  <si>
    <t>JUZGADO DE GARANTIAS Nº 01 DE SAN MARTIN</t>
  </si>
  <si>
    <t>PORTO</t>
  </si>
  <si>
    <t>MARIANO ANDRES</t>
  </si>
  <si>
    <t>DR. JUAN SILVESTRINI</t>
  </si>
  <si>
    <t>RIZZO CORALLO CARLOS ANTONIO S/ LESIONES CULPOSAS</t>
  </si>
  <si>
    <t>SIENDO LAS 14:00 HS DEL DIA 22/03/2010 EL DETENIDO RIZZO CORALLO CARLOS DNI 4.539.172 SOBRE QUIEN PESARA UN PEDIDO DE CAPTURA EN RED LINCE Nº 37749 Y FUERA DETENIDO EN ESTA UOSP EL DIA 20/03/2010 A LAS 20:40 HS. RECUPERO SU LIBERTAD CONFORME ASI LO DISPUSIERA S.SA DR. MARIANO ANDRES PORTO MEDIANTE OFICIO JUDICIAL S/Nº DE FECHA 22/03/2010 ASIMISMO SE INFORMA QUE EL TRIBUNAL COMPETENTE EN LOS AUTOS DE REFERENCIA ES EL JUZGADO DE GARANTIAS Nº 1 DE SAN MARTIN PCIA. BUENOS AIRES TEL CONTACTO Nº 011-47132794.</t>
  </si>
  <si>
    <t>RUGGERO</t>
  </si>
  <si>
    <t>ALEJANDRO J. C.</t>
  </si>
  <si>
    <t>PAULA LUDUEÑA CAMPOS</t>
  </si>
  <si>
    <t>URRA, EDMUNDO PATRICIO - BIASOTTO, MARCELO FABIAN - PERALTA, DIEGO CLEMENTE S/INFRACCION LEY 23.737</t>
  </si>
  <si>
    <t>POR SOLICITUD DE LA SECRETARIA DEL TRIBUNAL ORAL EN LO CRIMINAL FEDERAL DE LA PROVINCIA DE SANTA CRUZ, MEDIANTE OFICIO JUDICIAL NRO 200/10 DE FECHA 22/03/10 SOLICITA A LA U O CN Y DC "RIO GALLEGOS" QUE DEBERA REALIZAR GRABACIONES MAGNETOFONICAS PARA SER REPRODUCIDAS EN EL AUDIENCIA DE DEBATE Y JUICIO, LAS CUALES DEBERAN SER COMPACTAS EN UN UNICO SOPORTE RELACIONADOS A COPIAS DE FOJAS 28, 68, 81, 82, 85 / 88, 93, 97, 98/102 DEL CUADERNILLO DE COMUNICACIONES ASIMISMO SOBRE EL ABONADO 02966 - 616278 CASSETTE 05 LADO A, CASSETTE 09 LADO B, CASSETTE 10 LADO B, CASSETTE 11 LADO A Y CASSETTE 12 LADO A, PARA SER COMPACTADOS EN UNA SOLA CINTA</t>
  </si>
  <si>
    <t>POSICION ZULU</t>
  </si>
  <si>
    <t>CALLE DE RODAJE</t>
  </si>
  <si>
    <t>BAKER ATLAS</t>
  </si>
  <si>
    <t>EN CUMPLIMIENTO DE LA ORDEN DE SERVICIO 0020/10 Y SIENDO LAS 10:25 HORAS LOCAL ARRIBA AERONAVE MARCA PIPER PA 31-350 MATRICULA LV-BCZ PERTENECIENTE A LA EMPRESA DUBROVNIK SERVICIOS AEREOS, SIENDO LAS 12:25 HORAS LA MENCIONADA AERONAVE SE DIRIJE A POSICION ZULU, LUGAR EN EL CUAL SE REALIZARA LA CARGA DE EXPLOSIVOS ENVIADOS POR LA EMPRESA BAKER ATLAS A LA CIUDAD DE RIO GRANDE, A LAS 14: 02 HORAS CON EL MOVIL DE DOTACION SE REALIZA ACOMPAÑAMIENTO DEL VEHICULO MARCA FORD F 100 PATENTE FRP 920 DE LA EMPRESA TCE BUS SRL EN LA QUE SE TRANSPORTAN LOS EXPLOSIVOS HASTA EL LUGAR DESIGNADO PARA REALIZAR LA OPERATORIA. UNA VEZ FINALIZADO EL PROCEDIEMIENTO SE HACE ESPERA DEL DESPEGUE DE LA MENCIONADA AERONAVE, EN ZONA SE SEGURIDAD Y SE REGRESA. LA AERONAVE DESPEGA A LAS 14:23 HORAS.</t>
  </si>
  <si>
    <t>LV-BCZ</t>
  </si>
  <si>
    <t>AEROPUERTO RIO GRANDE</t>
  </si>
  <si>
    <t>1647/10</t>
  </si>
  <si>
    <t>POLIC.SEG.AEROPORTUARIA UR IV DEL LITORAL OPERACIONAL RESISTENCIA.INSPECTOR ANDRES A GALEANO S/SOLIC.ORDEN APERTURA DE ENCOMIENDA</t>
  </si>
  <si>
    <t>SE DA CUMPLIMIENTO A LA ORDEN DE APERTURA EMANADA POR EL JUZGADO ACTUANTE, DE LAS SACAS INTERDICTADAS EL DIA 18/03/2010, ENCONTRANDO EN EL INTERIOR DE LA SACA IDENTIFICADA CON PRECINTO Nº Y640878, UNA CAJA DE CARTON DE 35X30X20 CMS APROXIMADAMENTE, EN LA CUAL FIGURA COMO REMITENTE FSA CLORINDA, AMARILLA OSMAR, DIRECCION: COCHABAMBA Y LINIERS Y COMO DESTINATARIO: YESICA RAQUEL RUIZ DNI 32473100, DIRECCION: CORDOBA Nº 1800 PROVINCIA DE SANTA CRUZ - PUERTO SANTA CRUZ. CON Nº DE ENVIO EP 687336086. EN CUYO INTERIOR SE ENCONTRABA UNA LATA METALICA DE PINTURA DE 18X16 CMS SELLADA CON ENDUIDO Y RECUBIERTA CON CORTES DE CARTON, TELGOPOR, RESTOS DE CEBOLLAS Y AJOS CORTADOS, LA QUE CONTENIA MARIHUANA ENVUELTA EN PLASTICO COLOR NEGRO. ASI TAMBIEN LA SACA IDENTIFICADA CON PRECINTO Nº U975848 ENCONTRANDOSE EN SU INTERIOR DOS ENCOMIENDAS CON ALIMENTOS Y ARTICULOS PERSONALES.SIN ELEMENTOS DE INTERES A LA CAUSA. TODO LO SECUESTRADO SERA REMITIDO AL JUZGADO ACTUANTE CONJUNTAMENTE CON LAS ACTUACIONES, Y LO QUE NO ES DE INTERES SERAN DEVUELTAS A CORREO ARGENTINO PARA LA PROSECUCION DE SU TRAMITE</t>
  </si>
  <si>
    <t>CINTA DE EQUIPAJE Nº 6 DEL ARRIBO.</t>
  </si>
  <si>
    <t>SECTOR RESTRINGIDO TERMINAL A.</t>
  </si>
  <si>
    <t>LA DAMNIFICADA ARRIBA AL PAIS Y EN EL MOMENTO DE RETIRAR SU EQUIPAJE DE LA CINTA TRANSPORTADORA NOTA QUE EL CANDADO QUE LE HABIA COLOCADO A SU VALIJA TIPO CARRY ON DE TELA COLOR BORDEAUX SE ENCONTRABA QUEBRADO Y EL CIERRE APERTURADO, PROCEDIENDO A REVISAR EN EL LUGAR SUS PERTENENCIAS Y PERCATANDOSE DEL FALTANTE DE ALGUNA DE ELLAS. SE DIRIGE A LAS OFICINAS DE COPA A REALIZAR EL CORRESPONDIENTE RECLAMO Y POSTERIORMENTE A RADICAR LA DENUNCIA EN EL TURNO DE PREVENCION.</t>
  </si>
  <si>
    <t>JUZGADO CORRECCIONAL Nº 1 DE CORRIENTES</t>
  </si>
  <si>
    <t>AROMI DE SOMMER</t>
  </si>
  <si>
    <t>GABRIELA</t>
  </si>
  <si>
    <t>PRES. INF. AL ART. 189 BIS DEL CPN</t>
  </si>
  <si>
    <t>SALIDA DE PLAYA DE ESTACIONAMIENTO</t>
  </si>
  <si>
    <t>SIENDO LAS 10:50 HS. SE PRESENTA EN EL PUESTO DE AVANZADA, DENOMINADO CHARLIE, EL SR. GANCIO, REMISERO DE ESTE AEROPUERTO, DENUNCIANDO QUE EN LA PLAYA DE ESTACIONAMIENTO SE ENCONTRARIA UNA PERSONA ARMADA, EL OF. TULIAN, APOSTADO EN DICHO PUESTO, DA AVISO A LA GUARDIA Y ACTUA, DESDE EL TURNO, NOS DIRIGIMOS TRES OFIALES, EN APOYO, EN EL LUGAR CONSTATAMOS QUE DENTRO DE UN VEHICULO CHEVROLET CORSA, COLOR GRIS PLATA, DOMINIO EBW 886, SE ENCONTRABA UNA PERSONA A LA QUE SE ORDENA QUE BAJE, REALIZADO EL CACHEO, SE CONSTATA QUE ENTRE SUS ROPAS A LA ALTURA DE LA CINTURA HABIA UN ARMA TIPO REVOLVER CAL. 22 LARGO CON CINCO PROYECTILES, DE UNA CARGA TOTAL DE OCHO. PREGUNTADO POR LA DOCUMENTACION DE LA MISMA, MANIFIESTA QUE NO POSEE, POR LO QUE SE LO CUSTODIA HASTA LA GUARDIA, DONDE SE DA AVISO AL JUZGADO EN TURNO, QUIEN ORDENA QUE EL CIUDADANO QUINTANA PERMANEZCA EN CUSTODIA, COMUNICADO, HASTA TANTO SE DETERMINE LA INFORMACION DEL REGISTRO DE ARMAS. ENCUADRANDOLO SUP. INF. ART. 189 BIS DEL CPN. POSTERIORMENTE SE TOMA DENUNCIA AL SR. GANCIO POR SUPUESTA INTIMIDACION Y EXHIBICION DE ARMA.</t>
  </si>
  <si>
    <t>SUP. INF. ART. 149 BIS DEL CPN</t>
  </si>
  <si>
    <t>SALIDA DE LA PLAYA DE ESTACIONAMIENTO</t>
  </si>
  <si>
    <t>A LAS 14:05 HS. HABIENDO RECIBIDO LOS DATOS LOGRADOS EN EL REGISTRO DE ARMAS, SU SEÑORIA, ORDENA LA LIBERTAD DEL SR. QUINTANA, SUPEDITADO A LA CAUSA, DEBIENDO FIJAR DOMICILIO, MANIFESTANDO EL YA DADO. SIENDO LA HORA 14:15 HS. EL SR. QUINTANA RADICA UNA DENUNCIA POR SUPUESTAS AMENAZAS DIRIGIDAS HACIA SU PERSONA, POR PARTE DE EL SR. GANCIO Y OTRAS PERSONAS QUE SE ENCONTRARIAN CON EL, AL MOMENTO EN QUE ESTE SE RETIRABA DEL AEROPUERTO. SE ESTABLECE COMUNICACION TELEFONICA CON LA SRA. JUEZA DEL JUZGADO CORRECCIONAL Nº1 A QUIEN SE LA PONE EN CONOCIMIENTO DEL HECHO. LA QUE INSTRUYE SE REALICEN LAS ACTUACIONES CORRESPONDIENTES Y SEAN REMITIDAS AL JUZGADO DE REFERENCIA</t>
  </si>
  <si>
    <t>SIENDO LA HORA Y FECHA MENCIONADA SE DA CUMPLIMIENTO A LA ORDEN DE SERVICIO NRO 182/10 ( FAX PROCEDENTE DE LA URSA I DEL ESTE) REFERENTE AL CONTROL DE SEGURIDAD AEROPORTUARIA POR ARRIBO DE VUELO PRESIDENCIAL EN AERONAVE T-01 PROCEDENTE DE LA CIUDAD DE LIMA, REPUBLICA DE PERU. SIENDO LA HORA 20:55 ARRIBA LA SRA. PRESIDENTE DE LA NACION EN LA AERONAVE MATRICULA T-01 A LA AEROESTACION MILITAR DE ESTE AEROPARQUE, RETIRANDOSE LA PRIMER MANDATARIA EN AERONAVE H-03 A LA HORA 20:57 HS SIN NOVEDAD.</t>
  </si>
  <si>
    <t>SECTOR Nº 5 DE LA PLATAFORMA COMERCIAL</t>
  </si>
  <si>
    <t>SIENDO LAS 18:15 HS DEL DIA DE LA FECHA , ARRIBO A ESTA CIUDAD AERONAVE MATRICULA LV-BCZ DE LA CIUDAD DE COMODORO RIVADAVIA, TRANPORTANDO MERCANCIAS PELIGROSAS-EXPLOSIVOS- SEGUN EL SIGUIENTE DETALLE: 04 CAJAS CONTENIENDO 200 CARGAS HUECAS, Nº RENAR C5009826 UN0441, UNA CAJA CONTENIENDO 01 DETONADOR ELECTRICO Nº RENAR C2B-4199-02 UN00267, UNA CAJA CONTENIENDO 30 MTS DE CORDON DETONANTE OWEN Nº RENAR A26270 01 UN0269, UNA CAJA CONTENIENDO 14 492-51 BI DIRECCIONAL BOOSTER Nº RENAR C1-C34261 UN0349 Y UNA CAJA CON 1 INST 2315XA LOCALIZADOR MAGNETICO DE CUPLAS, CONSIGNADO A BAKER HUGES ARGENTINAS S.R.L., SIN NOVEDAD</t>
  </si>
  <si>
    <t>POLICIA DE SEGURIDAD AEROPORTUARIA S/ORDEN DE REQUISA</t>
  </si>
  <si>
    <t>PUESTO DE INSPECCION Y REGISTRO DENOMINADO PASO</t>
  </si>
  <si>
    <t>QUE SIENDO LAS 02:40HS DEL DIA DE LA FECHA SE HACE PRESENTE EL CAUSANTE EN EL PUESTO DE INSPECCION , SEGUIDAMENTE SE REALIZA UN CONTROL DE INSPECCION PREVENTIVO EN EL QUE SE LE RETIENE SU PERMISO PERSONAL PERMANENTE DEBIDO A QUE ESTA PERSONA SE ENCUENTRA EN INFRACCION A LA DISPOSICION Nº 172 ARTICULO Nº 99 INC E POR ENCONTRARSE LA MISMA AFECTADA A ACTUACIONES EN ESTA U.O.S.P CBA</t>
  </si>
  <si>
    <t>N.N. S/ AVERIGUACION DE CONTRABANDO</t>
  </si>
  <si>
    <t>COURRIER FEDEX</t>
  </si>
  <si>
    <t>MUNIER EL ARIDI, TELEFONO 4951-6467, BARTOLOME MITRE 1840, CABA</t>
  </si>
  <si>
    <t>NABIH EL ARIDI, TEL 584144310824, CALLE COMERCIO C/C FARRIAR NRO 96-62, VALENCIA, VENEZUE</t>
  </si>
  <si>
    <t>SIENDO LAS CERO HORAS APROXIMADAMENTE DEL DIA DE LA FECHA, SE RECIBE COMUNICACION EN ESTA DEPENDENCIA POR PARTE DEL OFICIAL AYUDANTE MIGUEL DUARTE, ANOTICIANDO QUE EN MOMENTOS DE REALIZAR UN CONTROL RUTINARIO AL VUELO DE MENCION EN CONJUNTO CON PERSONAL DE LA DIRECCION GENERAL DE ADUANAS EN LA FIGURA DE LOS FUNCIONARIOS MARIANO ALVAREZ LEGAJO NRO 28.662-1, JUAN SUAREZ LEGAJO NRO. 23.840.-6 Y LUIS PEREZ LEGAJO NRO. 24.583-6, OBSERVA EN LA MAQUINA DE RX, DENTRO DE UNA CAJA DE CARTON DESPACHADA BAJO GUIA AEREA NRO. 871090941578, SUB NRO. 0404, DE LA EMRESA FEDEX, BULTOS CON FORMA DE PASTILLAS. QUE UNA VEZ EN ESTA DEPENDENCIA Y AUTORIZADA LA REQUISA, SE PROCEDE A APERTURAR LA CAJA OBSERVANDO UNA ESTUFA DE CALOR SECO, LA QUE UNA VEZ ABIERTA DEJA VER EN SU INTERIOR TRES BOLSAS DE PASTILLAS DE COLOR ROSA Y TRES BOLSAS DE PASTILLAS DE COLOR CELESTE, POSTERIORMENTE SE LE REALIZAN REACTIVOS A LAS PASTILLAS DE COLOR CELESTE ARROJANDO LAS MISMAS RESULTADOS POSITIVOS DE HEROINA, SEGUIDAMENTE SE LE REALIZAN REACTIVOS A LAS PASTILLAS DE COLOR ROSADO ARROJANDO RESULTADOS POSITIVOS A HEROINA Y BARBITURICOS, SE DEJA CONSTANCIA QUE TANTO A LAS PASTILLAS DE COLOR CELESTE Y A LAS ROSADAS SE LAS SOMETIO A REACTIVOS PARA DIFERENTES SUSTANCIAS ARROJANDO TODAS RESULTADOS NEGATIVOS, COCAINA, MORFINA, CODEINA. ANOTICIADO EL JUZGADO INTERVINIENTE DISPONE SE LABREN ACTUACIONES DE RIGOR Y SEDE AVISO A LA DIVISION DELITOS COMPLEJOS DE ESTA POLICIA.- EL TIPO DE SUSTANCIA SECUESTRADA SE ENCUENTRA A DETERMINAR POR LOS LABORATORIOS DE LA GENDARMERIA NACIONAL Y EL DE ADUANA.</t>
  </si>
  <si>
    <t>FEDEX</t>
  </si>
  <si>
    <t>FX046</t>
  </si>
  <si>
    <t>Venezuela</t>
  </si>
  <si>
    <t>NN S/TENTATIVA DE CONTRABANDO DE ESTUPEFACIENTES</t>
  </si>
  <si>
    <t>BARTOLOME MITRE 1840- GRAN HOTEL ORIENTAL</t>
  </si>
  <si>
    <t>EN EL DIA DE LA FECHA SE PRODUJO LA DETENCION DE IMPUTADO EN EL MARCO DE LA CAUSA 158E/10 QUIEN ESTARIA IMPLICADO POR DESPACHAR CON LA MODALIDAD COURRIER EL DIA 24/3/10 UNA ENCOMIENDA CON ESTUPEFACIENTE . ADEMAS EN EL ALLANAMIENTO SE SECUESTRO ELEMENTOS DE INTERES PARA LA CAUSA</t>
  </si>
  <si>
    <t>Secretaria N 18</t>
  </si>
  <si>
    <t>DR. JUAN MANUEL GRANGEAT</t>
  </si>
  <si>
    <t>SIENDO LA FECHA Y HORA ANTES MENCIONADA SE RECIBE COMUNICACION TELEFONICA POR PARTE DEL OFICIAL DIEGUEZ GABRIEL, ENCARGADO DEL PREEMBARQUE NACIONAL, INFORMANDO QUE AL PASAR UN PASAJERO DE SEXO MASCULINO POR EL ARCO DETECTOR DE METALES ACTIVO LA ALARMA DEL MISMO POR LO QUE EL OFICIAL LOPEZ LE EFECTUO UN CHEQUEO MANUAL AL PASAJERO Y OBSERVO QUE EN EL BOLSILLO DELANTERO DERECHO DEL PANTALON TENIA UNA PROTUBERANCIA POR LO QUE LE SOLICITO QUE EXHIBA EL CONTENIDO RESULTANDO SER ESTE UNA BOLSITA DE NYLON, LA CUAL CONTENIA EN SU INTERIOR UNA SUSTANCIA, MANIFESTANDO EL PASAJERO QUE ERA MARIHUANA, POR LO QUE SE CONVOCAN AL LUGAR A LOS DOS TESTIGOS HABILES, Y SE DIRIGEN TODOS LOS INTERVINIENTES A LA SALA DE REQUISA CONTIGUA A DICHO PREEMBARQUE. ACTO SEGUIDO SE HIZO PRESENTE LA PERITO DE TURNO Y EFECTUO A LA SUSTANCIA UN REACTIVO QUIMICO MARCA NIK EL CUAL ARROJO RESULTADO POSITIVO PARA MARIHUANA. SEGUIDAMENTE SE COMENZO CON LAS ACTUACIONES DE RIGOR. EL IMPUTADO SE ENCONTRABA EN COMPAÑÍA DE SU HIJO MENOR DE NUEVE AÑOS DE EDAD LLAMADO SALAS MAGGI RODRIGO ALEJANDRO, QUIEN FUE ACOMPAÑADO EN TODO MOMENTO POR LA OFICIAL ORCAIZAGUIRRE NATALIA. POR ORDEN DE LA JUDICATURA INTERVINIENTE, SE EFECTUO COMUNICACIÓN TELEFONICA CON LA DRA. MARINA DIETRI, A/C DE LA GUARDIA PERMANENTE DEL CONSEJO DEL MENOR Y LA FAMILIA, QUIEN DISPUSO: SE HAGA ENTREGA DEL MENOR AL FAMILIAR MAS DIRECTO QUE ESTE DOMICILIADO EN ESTA CIUDAD AUTÓNOMA, RESULTANDO SER ESTE, SU ABUELO PATERNO, EL SR. SALAS FRANCISCO JAVIER DNI Nº 13.335.234, DOMICILIADO EN LA CALLE JUNCAL Nº 2845 PISO PRIMERO DPTO. B, C.A.B.A. SE LABRA ACTA DEJANDO CONSTANCIA DE LA ENTREGA DEL MENOR CITADO ANTERIORMENTE. SE AMPLIARA CON RESULTADO DE REINCIDENCIA. SE INFORMA SEGUN PU Nº 1767 SIENDO LAS 0220 HORAS SE CUMPLIMENTA LO ORDENADO POR LA JUDICATURA ACTUANTE PROCEDIENDO A LA LIBERACION DEL DETENIDO POR NO REGISTRAR IMPEDIMENTO LEGAL ALGUNO.</t>
  </si>
  <si>
    <t>AR 1420</t>
  </si>
  <si>
    <t>EL ARIDI MASUD MUNIER S/AV. DE CONTRABANDO</t>
  </si>
  <si>
    <t>BARTOLOME MITRE 1840 CABA- GRAN HOTEL ORIENTAL- HABITACION Nº 308</t>
  </si>
  <si>
    <t>REF. ORDEN DE SERVICIO Nº 217. EN EL DIA DE LA FECHA SE CUMPLIMENTO EL ALLANAMIENTO ORDENADO POR LA JUDICATURA INTERVINIENTE EN EL MARCO DE LA CAUSA DE REFERENCIA EN LA HABITACION DEL GRAN HOTEL ORIENTAL DONDE SE HABRIA ALOJADO EL IMPUTADO DE NOMBRE EL ARIDI MASUD MUNIER DETENIDO HORAS ANTES. NO SE ENCONTRO EN EL LUGAR SUSTANCIAS ESTUPEFACIENTES.</t>
  </si>
  <si>
    <t>1764/10</t>
  </si>
  <si>
    <t>SIENDO 02:20 HORAS SE ENTABLA COMUNICACION CON LA JUDICATURA ACTUANTE NOTIFICANDOLE EL RESULTADO DE REINCIDENCIA, ORDENANDO EL DR. JUAN GRANGEAT, LA LIBERACION DEL IMPUTADO, CIERRE Y ELEVACION DE ACTUACIONES.-</t>
  </si>
  <si>
    <t>INFRACCION A LA LEY 23.737 5 C TRANSPORTE</t>
  </si>
  <si>
    <t>PUESTO DENOMINADO TRANSITO 6/10</t>
  </si>
  <si>
    <t>QUE SIENDO LA HORA INDICADA Y EN MOMENTOS EN QUE SE REALIZABA EL CONTROL MEDIANTE MAQUINA DE RAYOS X A LOS PASAJEROS EN TRANSITO ARRIBADO EN EL VUELO DE MENCION, UNA PASAJERA DE SEXO FEMENINO QUIEN LLEVABA CONSIGO UNA CARTERA SIMIL CUERO DE VARIOS COLORES EN FORMA CUADRICULADA Y UN BOLSO SIMIL CUERO TERMICO COLOR VERDE CON LA INSCRIPCION ROUTE 66 LAS CUALES INTRODUCE EN LA MAQUINA DE RAYOS X DONDE PERSONAL POLICIAL QUE SE ENCONTRABA OPERANDO DICHA MAQUINA OBSERVA IMAGENES DE BAJA DENSIDAD DE FORMA RECTANGULAR, SIN PODER PRECISAR DE QUE TIPO DE SUSTANCIA SE TRATABA. SEGUIDAMENTE Y LUEGO DE IDENTIFICAR A LA PASAJERA LA MISMA ES TRASLADADA HACIA EL TURNO DE PREVENCION PARA POSTERIORMENTE PROCEDER A LA REQUISA DE SUS EFECTOS COMO DE SU PERSONA, PREVIA AUTORIZACION DEL JUZGADO INTERVINIENTE. QUE DICHA REQUISA ARROJO EL SIGUIENTE RESULTADO UN TOTAL DE 15 PAQUETES LOS CUALES SE NUMERARON DEL 1 AL 15 RESPECTIVAMENTE Y SE ENCUENTRAN COMPUESTOS POR UN NYLON TRANSPARENTE Y POR DEBAJO DE ESTA UNA SUSTANCIA DE COLOR BLANCA PULVERULENTA A LA QUE SE LE PRACTICA UNA PRUEBA DE CAMPO PARA COCAINA LA CUAL ARROJA EN TODOS LOS CASOS RESULTADO POSITIVO COCAINA Y UN TOTAL DE 2514 GRAMOS. EN VIRTUD A ELLO SE INFORMA DE DICHO RESULTADO AL JUZGADO INTERVINIENTE QUIEN DISPONE QUE LA PASAJERA PERMANEZCA EN ESTE TURNO DE PREVENCION DETENIDA EN CALIDAD DE INCOMUNICADA. SEGUIDAMENTE Y EN VIRTUD A LO INFORMADO POR LA COMPAÑIA AEROCOMERCIAL SOBRE QUE LA PASAJERA EN CUESTION SE ENCONTRABA VIAJANDO ACOMPAÑADA DE UNA PERSONA DE SEXO FEMENINO DE NOMBRE JUDITE ANDRE BALOI PASAPORTE DE LA REPUBLICA DE MOZAMBIQUE NUMERO AD086096, EL JUZGADO INTERVINIENTE INDICO QUE SE PROCEDA A LA BUSQUEDA DE LA PASAJERA BALOI Y QUE SE LE REALICE REQUISA POR SOBRE SU PERSONA Y SUS EFECTOS PERSONALES A FIN DE DAR CON ALGUN ELEMENTO PROHIBIDO. QUE UNA VEZ UBICADA LA PASAJERA BALOI QUIEN SE ENCONTRABA EN TRAMITES PARA EMBARCAR EN EL VUELO SA 0227 DE LA EMPRESA SOUTHDAFRICAN AIRWAYS Y A QUIEN SE LA IDENTIFICA MEDIANTE PASAPORTE DE LA REPUBLICA DE MOZAMBIQUE N° AD086096, SE LE REALIZA DICHA REQUISA LA CUAL ARROJA RESULTADO NEGATIVO EN CUANTO A LA PRESENCIA DE ELEMENTOS PROHIBIDOS. EN VIRTUD A ELLO EL JUZGADO INTERVINIENTE DISPUSO QUE LA PASAJERA BALOI PROSIGA CON SU RUTINA DE VIAJE Y QUE SE CONTINUE CON LAS ACTUACIONES DE RIGOR EN CUANTO A LA PASAJERA DETENIDA.- SE INFORMA SEGUN PU N° 1772 QUE SIENDO LAS 0740 HS DEL DIA 25 DE MARZO DEL CORRIENTE AÑO LA DETENIDA FUE TRASLADADA A SEDE JUDICIAL.</t>
  </si>
  <si>
    <t>1762/10</t>
  </si>
  <si>
    <t>QUE SEGUN DIRECTIVAS IMPARTIDAS POR EL JUZGADO INTERVINIENTE PERSONAL DE LA DIVISION DE DELITOS COMPLEJOS CONTRA EL NARCOTRAFICO, DE ESTA UNIDAD OPERACIONAL, SE HACE PRESENTE EN ESTE TURNO DE PRVENCION A EFECTOS DE HACER ENTREGA DEL CAUSANTE QUIEN PERMANECE DETENIDO EN ESTA POLICIA DE SEGURIDAD A DISPOSICION DEL JUZGADO QUE ENTIENDE EN LA CAUSA.-</t>
  </si>
  <si>
    <t>Valencia</t>
  </si>
  <si>
    <t>TRAYECTO DESDE LA PERGOLA DE PARTIDAS NUMERO TRES DE LA TERMINAL A HACIA LA ESTACION DE SERVICIO PETROBRAS.-</t>
  </si>
  <si>
    <t>QUE SIENDO LA HORA INDICADA EL DENUNCIANTE SE DIRIGIA LUEGO DE HABER TOMADO CONTACTO CON UN FAMILIAR RECIEN ARRIBADO AL TERRITORIO NACIONAL LLEVANDO CONSIGO EL FAMILIAR ANTES DICHO UN CARRO PORTA EQUIPAJES DONDE PORTABA SUS VALIJAS Y DONDE EL DENUNCIANTE COLOCA EN EL BUCHE DEL MISMO UNA CARTERA DE HOMBRE DE COLOR NEGRO CONTENIENDO EN SU INTERIOR UNA PISTOLA BROWNING 9MM NUMERO DE SERIE 11-234-154 PROVISTA POR LA P.F.A UNA CHAPA DE PECHO DE LA P.F.A. CON NUMERO 5286 CON SU RESPECTIVA CREDENCIAL POLICIAL A NOMBRE DEL DENUNCIANTE Y PAPELES VARIOS. QUE UNA VEZ EN SU VEHICULO Y EN MOMENTOS EN QUE PROCEDE A COLOCAR LAS PERTENENCIAS DE SU FAMILIAR EN DICHO VEHICULO SE PERCATA DEL FALTANTE DE LA CARTERA ANTES DESCRIPTA Y SU CONTENIDO. POR TAL MOTIVO SE HACE PRESENTE EN ESTE TURNO A EFECTOS DE RADICAR LA CORRESPONDIENTE DENUNCIA.-</t>
  </si>
  <si>
    <t>1769/10</t>
  </si>
  <si>
    <t>QUE EN EL DIA DE LA FECHA SIENDO LAS SIETE HORAS TREINTA MINUTOS EL DETENIDO EN AUTOS FUE TRASLADADO A SEDE JUDICIAL SIN NOVEDAD.-</t>
  </si>
  <si>
    <t>1768/10</t>
  </si>
  <si>
    <t>QUE SIENDO LAS SIETE HORAS CUARENTA MINUTOS LA DETENIDA FUE TRASLADA A SEDE JUDICIAL SIN NOVEDAD.-</t>
  </si>
  <si>
    <t>1763/10</t>
  </si>
  <si>
    <t>REF. ORDEN DE SERVICIO Nª 215. EN EL DIA DE LA FECHA SE PROCEDIO A DAR CUMPLIMIENTO A LA ORDEN DE DETENCION EMANADA POR EL JUZGADO INTERVINIENTE EN EL MARCO DE LA PREVENCION SUMARIA INICIADA POR LA UOSP EZEIZA. NOTA. SE AMPLIA EL PARTE URGENTE CON MOTIVO DE RECTIFICAR EL NOMBRE DEL IMPUTADO EN AUTOS.</t>
  </si>
  <si>
    <t>RUTA E53, A LA ALTURA DE LA ESTACION DE SERVICIO ESSO, EN EL EXTREMO SUR DEL PREDIO AEROPORTUARIO.</t>
  </si>
  <si>
    <t>A LAS 07:50 HORAS UN GRUPO DE VEINTE PERSONAS APROXIMADAMENTE, EMPLEADOS DE LA ANAC, AGREMIADOS EN LA CTA CENTRAL DE TRABAJADORES DE LA ARGENTINA, INICIARON UN CORTE SOBRE LA RUTA E53, CON QUEMA DE CUBIERTAS Y EXHIBICION DE PANCARTAS. EL RECLAMO ES POR EL PASE A PLANTA PERMANENTE DE LOS CONTRATADOS, RETROACTIVIDAD DE SUELDOS AL 1 DE ENERO DE 2010 Y REENCASILLAMIENTO. EL CORTE ES INTERMITENTE OCASIONANDO QUE ALGUNOS PASAJEROS NO LLEGUEN A TIEMPO PARA EMBARCAR EN SUS VUELOS PROGRAMADOS, MANTENIENDOSE EL AEROPUERTO OPERATIVO EN TODO MOMENTO. A LAS 09:25 HORAS SE PUSO EN CONOCIMIENTO AL JUZGADO DE TURNO QUIEN DISPUSO SE LO MANTENGA INFORMADO DE LA SITUACION. LA COLUMNA SE DESPLAZO A LAS 09:45 HACIA EL FRENTE DE LA AEROESTACION, FINALIZANDO LA CONCENTRACION A LAS 10:15 HORAS SIN NOVEDAD. A LAS 10:20 HORAS SE INFORMA LA FINALIZACION DE LA MANIFESTACION AL JUZGADO DE TURNO.</t>
  </si>
  <si>
    <t>DR. CLAUDIA CECCONI</t>
  </si>
  <si>
    <t>INFRACCION AL ARTICULO 78 Y 85 DECRETO LEY 8031/73</t>
  </si>
  <si>
    <t>INFORMO QUE EN UNA RECORRIDA PERSONAL POLICIAL OBSERVA Y ESCUCHA A UNA PERSONA DE SEXO MASCULINO OFRECIENDO TRANSPORTE PUBLICO A VIVA VOZ, A PASAJEROS RECIEN ARRIBADOS. QUE AL SER CONSULTADO EL MASCULINO SI POSEE LOS PERMISOS PERTINENTES PARA DICHA ACTIVIDAD, EL MISMO DIJO QUE NO. POR TAL MOTIVO EL MISMO ES CONDUCIDO AL SERVICIO DE SANIDAD Y LUEGO A LA OFICINA DE CONTRAVENCIONES Y FALTAS A LABRAR LAS ACTUACIONES QUE DIERAN A LUGAR</t>
  </si>
  <si>
    <t>DR.MAURICIO JOSE DONATI</t>
  </si>
  <si>
    <t>SRIO.AV.INF.LEY 2373 -BUZON DE LA VIDA -</t>
  </si>
  <si>
    <t>402/09</t>
  </si>
  <si>
    <t>SRIO.AV.LEY 23737 ......</t>
  </si>
  <si>
    <t>EN EL DIA DE LA FECHA SE RECIBE OFICIO NRO. 342 DE FECHA 04/03/2009 DEL JUZGADO ACTUANTE DONDE HACE SABER QUE EN FECHA 01/03/2009 POR RESOLUCION NRO. 70 ORDENO EL ARCHIVO DE LAS ACTUACIONES DE MENCION. LAS TAREAS INVESTIGATIVAS SE INICIARON MEDIANTE ORDEN DE SERVICIO NRO. 386/2009 DEL 09/11/2009, SIPAP PR:DC4 0114/09 DE FECHA 09/11/2009. EN EL TRANSCURSO DE LA INVESTIGACION NO SE OBSERVARON CONDUCTAS DE INFRACCION A LA LEY 23737.</t>
  </si>
  <si>
    <t>FISCALIA FEDERAL Nº 1 DE ROSARIO</t>
  </si>
  <si>
    <t>DIGIOVANI</t>
  </si>
  <si>
    <t>SRIO AV. INF. LEY 23737 ......</t>
  </si>
  <si>
    <t>64403/09 // 319/09</t>
  </si>
  <si>
    <t>SRIO. AV. INF. LEY 23737 ......</t>
  </si>
  <si>
    <t>CIUDAD DE FUNES Y ALREDEDORES.</t>
  </si>
  <si>
    <t>EN EL DIA DE LA FECHA SE RECIBE OFICIO NRO. 116 DE FECHA 18/02/2010 DE LA FISCALIA ACTUANTE DONDE COMUNICA QUE POR RESOLUCION NRO. 677 DEL JUZGADO FEDERAL NRO. 4 DE ROSARIO, SECRETARIA NRO. 1, HA DISPUESTO QUE A LAS ACTUACIONES DE MENCION SE ACUMULEN LAS ACTUACIONES --SRIO. AV. INF. LEY 23737 - AERODROMO ROSARIO --- EXPTE. NRO. 571/09 DE LA FISCALIA FEDERAL NRO. 2 DE ROSARIO.</t>
  </si>
  <si>
    <t>1599/10</t>
  </si>
  <si>
    <t>INFORMO: EN DÍA DE LA FECHA SIENDO LAS 12:10 HS LOCAL PARTE EN VUELO AR 1853, CON DESTINO AL AEROPARQUE METROPOLITANO JORGE NEWBERY DE LA CIUDAD DE BUENOS AIRES, LA CIUDADANA VIVIANA NOEMÍ LUCHÉSSI, DNI 30.839.859 EN CARÁCTER DE DETENIDA, SIENDO TRASLADADA POR PERSONAL DEL SERVICIO PENITENCIARIO NACIONAL A CARGO DEL SUBALCALDE ALFREDO ARIEL MACIOCHA, DNI 24.259.007 Y AYUDANTE 1ERA. ANALIA SCUDERI DNI 24.011.291. EN VUELO SIN ESCALA, ESTIMANDO EL ARRIBO A DESTINO A LAS 15:15 HS, SIN OTRA NOVEDAD.</t>
  </si>
  <si>
    <t>AR 1863</t>
  </si>
  <si>
    <t>USHUAIA - TDF</t>
  </si>
  <si>
    <t>1710/10</t>
  </si>
  <si>
    <t>DR GUSTAVO VILLANUEVA</t>
  </si>
  <si>
    <t>SE EFECTUA COTEJO DE ARMAMENTO Y DOCUMENTACION Y SE ENTREGA ARMAMENTO SEGUN CONSTA EN ACTA DE PROCEDIMIENTO Nº 223/10 EN PRESENCIA DE TESTIGOS HABILES RETENIDA POR ORDEN DEL JUZGADO FEDERAL EN LO PENAL Nº 2 EL DIA 20 DE MARZO POR INFRACCION A LA LEY DE ARMAS Y EXPLOSIVOS Nº 20429 SEGUN CONSTA EN ACTA DE PROCEDIMIENTO Nº 217/10. CABE AGREGAR QUE NO SE CUENTA CON NUMERO DE CAUSA POR CUANTO EL JUZGADO ENTENDIO QUE NO SE CONFIGURO UN HECHO DELICTIVO.</t>
  </si>
  <si>
    <t>1578/10</t>
  </si>
  <si>
    <t>AMPLIANDO PARTE RESERVADO 1786/10, SE INFORMA QUE DICHAS TAREAS INVESTIGATIVAS DEBERIAN HABERCE CUMPLIMENTADO ENTRE LOS DIAS 20 AL 26 DE MARZO DE 2010, BAJO ORDEN DE SERVICIO Nº 009/10 DE FECHA 16 DE MARZO DE 2010, LAS CUALES FUERON POSTERGADAS DEBIDO A QUE PERSONAL DE LA U.O.N.C. Y D.C. V DE LA PATAGONIA, INFORMO QUE DURANTE ESA FECHA LAS PERSONAS INVESTIGADAS NO SE ENCONTRABAN EN LA PROVINCIA DE SAN SALVADOR DE JUJUY. DICHAS TAREAS DARAN INICIO EL DIA 26 DE MARZO DEL CORRIENTE AÑO APARTIR DE HORAS 08:00 HASTA EL DIA 01 DE ABRIL DE 2010, SEGUN ORDEN DE SERVICIO Nº 010/10 DE FECHA 25 DE MARZO DE 2010, EMITIDA POR ESTA U.O.C.N. Y D.C. DEL NORTE.</t>
  </si>
  <si>
    <t>SUMARIO POR PRESUNTA INFRACCION A LA LEY 26.364 FISCALIA DE CAMARA-</t>
  </si>
  <si>
    <t>S-57-09</t>
  </si>
  <si>
    <t>EN EL DIA DE LA FECHA SE RECEPCIONO OFICIO JUDICIAL DE LA FISCALIA FEDERAL Nº 1 DE LA CIUDAD DE CORDOBA, DIRIGIO AL JEFE DE LA REGION II DEL CENTRO, A LOS EFECTOS DE INFORMAR QUE LA ACTUACIONES CARATULADAS - SUMARIO POR PRESUNTA INFRACCION LEY 26.364- FUERON REMITIDAS CON FECHA 24 DE FEBRERO DE 2010 A LA SECRETARIA PENAL DEL JUZGADO FEDERAL Nº 1 SOLICITANDO LA INCOMPETENCIA DE LA JUSTICIA FEDERAL PARA SU ENTENDIMIENTO, EN VIRTUD DE QUE A TRAVEZ DEL RESULTADO DE LA INVESTIGACION NO SE LOGRO DETERMINAR PRESUNTAS MANIOBRAS A LOS ARTICULOS 145 BIS Y TER DEL CODIGO PROCESAL, INCORPORADAS POR LA LEY 26.364, SOLICTANDOM POR DICHA RAZON EL CESE DE COMISION DEL PERSONAL DE ESTA INSTITUCION DESIGANDO PARA LA CAUSA, INFORMADO POR SIPAP 44/09 DE FECHA 18 DE DICIEMBRE DE 2009</t>
  </si>
  <si>
    <t>DR LEAL RAFAEL</t>
  </si>
  <si>
    <t>AEROPUERTO DE CARACAS AEROPUERTO DE EZEIZA</t>
  </si>
  <si>
    <t>INFORMO QUE EL DIA 16/03/10 LA DENUNCIANTE ARRIBO A ESTA AEROSTACION Y LUEGO DE RETIRAR SUS EQUIPAJES SE DIRIGE A SU DOMICILIO PARTICULAR, SIN NOTAR ALGUNA NOVEDAD SOBRE LOS MISMOS. UNA VEZ EN EL DOMICILIO PARTICULAR APERTURA UNO DE SUS EQUIPAJES PERCATANDOSE DEL FALTANTE DEL ELEMENTO.</t>
  </si>
  <si>
    <t>AR 1377</t>
  </si>
  <si>
    <t>CARACAS</t>
  </si>
  <si>
    <t>SEGUNDO JUZGADO DE INSTRUCCION DE SAN RAFAEL</t>
  </si>
  <si>
    <t>Peñasco</t>
  </si>
  <si>
    <t>Pablo Guido</t>
  </si>
  <si>
    <t>BITTAR, ABDON</t>
  </si>
  <si>
    <t>ROBO AGRAVADO</t>
  </si>
  <si>
    <t>POLICIA DE LA PCIA</t>
  </si>
  <si>
    <t>SE RECIBE ORDEN DE ALLANAMIENTO EMITIDA POR EL TITULAR DEL SEGUNDO JUZGADO DE INSTRUCCION DE LA CIUDAD DE SAN RAFAEL, EL DR. PEÑAZCO, PABLO GUIDO, FACULTANDO PARA PROCEDER Y ALLANAR EL DIA VIERNES 26 DE MARZO DEL CORRIENTE AÑO DESDE LAS 07:30 HS. HASTA LAS 20:30 HS. EN EL DOMICILIO DE: N.N. SITO EN CALLE EUGENIO IZSAKY OESTE Nª 358 DEL DEPARTAMENTO DE MALARGÜE, PROVINCIA DE MENDOZA. A FIN DE PROCEDER AL SECUESTRO DE TEJIDO DE ALAMBRE, TIPO ROMBOIDAL, EL QUE TIENE UNA MARCA IDENTIFICATIVA DE PINTURA DE COLOR AMARILLA EN EL CENTRO DEL PAÑO DE TEJIDO DEL MISMO. ASIMISMO INFORMO QUE ESTA ORDEN SE LIBRA DEBIDO A LA PREVENCION SUMARIA 04/09 DE ORDEN INTERNO Y PARTE URGENTE 16/09 EMITIDO POR ESTA UOSP- MALARGÜE</t>
  </si>
  <si>
    <t>BEILAQUE</t>
  </si>
  <si>
    <t>DR.MAURICIO DONATI</t>
  </si>
  <si>
    <t>SRIO AV LEY 23737 - GRANADERO BAIGORRIA -</t>
  </si>
  <si>
    <t>155/10</t>
  </si>
  <si>
    <t>SRIO. AV. LEY 23737 GRANADERO BAIGORRIA</t>
  </si>
  <si>
    <t>INTERSECCION CALLES VIETTI Y SAN MARTIN.</t>
  </si>
  <si>
    <t>CIUDAD DE GRANADERO BAIGORRIA</t>
  </si>
  <si>
    <t>SE RECIBE COMUNICACION TELEFONICA DEL JUZGADO ACTUANTE PARA EL CUMPLIMIENTO DE LA MEDIDA JUDICIAL ORDENADA EN OFICIO 586 LIBRADO EN LOS AUTOS DE MENCION, A LLEVARSE A CABO EN EL DÍA DE LA FECHA CON EL OBJETO DE PROCEDER AL SECUESTRO DE LOS REGISTROS FILMICOS CORRESPONDIENTES A LOS DÍAS 18, 19 Y 20 DEL CORRIENTE MES EN RELACION AL SISTEMA DE FILMACION DE UNA ESTACION DE SERVICIO SITA EN LA INTERSECCIÓN DE CALLES VIETTI Y SAN MARTIN DE LA LOCALIDAD DE GRANADERO BAIGORRIA, SANTA FE, LA CUAL GIRA COMERCIALMENTE BAJO LA INSIGNIA PETROBRAS.</t>
  </si>
  <si>
    <t>DRA.CLAUDIA CECCONI</t>
  </si>
  <si>
    <t>INFRACCION A LOS ARTS. 78 Y 85 DEL DECRETO LEY 8031/73</t>
  </si>
  <si>
    <t>SECTOR ESTACIONAMIENTO DE EMPLEADOS DENOMINADA PLAYA 3.</t>
  </si>
  <si>
    <t>EL OFICIAL SPINO Y OFICIAL PEREZ REALIZAN UNA RECORRIDA POR EL ESTACIONAMIENTO DE EMPLEADOS Y OBSERVAN A UNA PERSONA DE SEXO MASCULINO REALIZANDO TAREAS DE VENTA AMBULANTE DE SUSTANCIAS ALIMENTICIAS A TRANSEUNTES, LOS OFICIALES LE SOLICITAN LA HABILITACION PARA DICHA TAREA Y EL VENDEDOR DICE QUE NO LA POSEE. POR TAL MOTIVO SE INICIAN ACTUACIONES CONTRAVENCIONALES.</t>
  </si>
  <si>
    <t>Dr Carbajales</t>
  </si>
  <si>
    <t>El ARIDI MASUD, Munier S/AV. DE CONTRABANDO</t>
  </si>
  <si>
    <t>NN S/AVERIGUACION DE CONTRABANDO</t>
  </si>
  <si>
    <t>PUESTO DE GUARDIA</t>
  </si>
  <si>
    <t>SIENDO LA HORA MENCIONADA SE RECIBE DETENIDO POR PARTE DE PERSONAL DE LA UOESA I, EL CUAL PERMANECERA EN ESTA DEPENDENCIA SEGUN LO ORDENADO POR LA JUDICATURA ACTUANTE, EL MISMO SERA TRASLADADO A LA SEDE JUDICIAL EL DIA 26 DEL CORRIENTE A LAS 9:30 HORAS POR ORDEN DE LA JUDICATURA SEGUN TELETIPOGRAMA.</t>
  </si>
  <si>
    <t>INFRACCION A LOS ARTS. 78 Y 85 DEL DECRETO LEY 8031/73.</t>
  </si>
  <si>
    <t>PERGOLA Nº 3</t>
  </si>
  <si>
    <t>LOS OFICIALES VIOR Y FERNANDEZ EN UNA RECORRIDA POR LA PERGOLA Nº 3 DE LA TERMINAL A, OBSERVAN A UNA PERSONA DE SEXO MASCULINO OFRECIENDO SERVICIO DE TRANSPORTE PUBLICO A VIVA VOZ A PASAJEROS RECIEN ARRIBADOS, LE INFORMAN DE LA INFRACCION COMETIDA Y SE LE INICIAN ACTUACIONES CONTRAVENCIONALES.</t>
  </si>
  <si>
    <t>B° LA ALBORADA, EL BERMEJO, GUAYMALLEN, MENDOZA - ATRAS DEL HOTEL EJERCITO DE LOS ANDES</t>
  </si>
  <si>
    <t>SIENDO LAS 16:40 HORAS EL OFICIAL STOHER RECIBE UNA LLAMADA EN EL TELEFONO DIRECTO DE LA GUARDIA DE ESTA UNIDAD OPERACIONAL QUE EN EL IDENTIFICADOR DE LLAMADAS QUEDA REGISTRADO EL SIGUIENTE NUMERO 6804502, Y UNA PERSONA DE SEXO FEMENINO QUIEN DICE LLAMARSE MARIA ISABEL FUNES ACLARANDO QUE PODRIA ESTAR DANDO UN NOMBRE FALSO, MANIFIESTA QUE EN EL BARRIO LA ALBORADA DETRAS DEL HOTEL EJERCITO DE LOS ANDES CERCANO AL AEROPUERTO TODOS LOS DIAS HAY GENTE VENDIENDO COMBUSTIBLE EN UN TORINO BLANCO Y EN UN POLAR BLANCO, UTILIZANDO UNOS BIDONES NEGROS, Y QUE LAS PERSONAS PERTENECERIAN A LA AEROPLANTA DE COMBUSTIBLE POR LAS ROPAS QUE UTILIZAN DE COLOR AZUL ELECTRICO, POR ESTE MOTIVO SE REALIZO COMUNICACION CON LA AUTORIDAD JUDICIAL EN TURNO, COMUNICANDO LA NOVEDAD DE ESTE LLAMADO TELEFONICO, Y QUIEN DISPONE QUE SE ADJUNTEN LAS ACTUACIONES A LA CAUSA ELEVADA PARA FECHA 22/03/10 CON NUMERACION INTERNA DE ESTA UOSP 14/10 CARATULADA AVERIGUACION DE ILICITO, DEBIDO A LA SIMILITUD DE LAS LLAMADAS RECIBIDAS, DANDO ESTRICTO CUMPLIMIENTO A LO SOLICITADO POR EL SEÑOR SECRETARIO.</t>
  </si>
  <si>
    <t>DIEGO SPILLOTI</t>
  </si>
  <si>
    <t>DIAZ NELIDA ESMERALDA S/DENUNCIA</t>
  </si>
  <si>
    <t>BAÑO DE DAMAS PROXIMO A UN KIOSCO HALL PUBLICO</t>
  </si>
  <si>
    <t>SE PRESENTA LA SRA NELIDA ESMERALDA DIAZ , DNI Nº F 6417683 DUPLICADO, Y PREGUNTADA QUE FUERA RESPECTO DE LOS MOTIVOS DE SU DENUNCIA , DIJO QUE EL DIA 19 DE MARZO DEL CORRIENTE AÑO Y EN CIRCUNSTANCIAS QUE SE ENCONTRABA EN EL AEROPUERTO METROPOLITANO JORGE NEWBERY A LA ESPERA DE ABORDAR UN VUELO CON DESTINO AL AEROPUERTO INTERNACIONAL RIO GRANDE , SE DISPUSO A IR AL BAÑO EL CUAL SE ENCONTRABA PROXIMO A UN KIOSCO , Y QUE MIENTRAS SE ENCONTRABA DENTRO DE UNO DE LOS BOXES DEJO LA PUERTA ENTREABIERTA DEL MISMO DEJANDO JUNTO A LA MISMA Y APOYADA EN EL PISO, UNA BOLSA DE PLASTICA ESTAMPADA CON VIVOS COLOR LILA Y AZUL, QUE CONTENIA DOS REMERAS DE COLOR NEGRO, UNA DE ELLAS CON LUNARES BLANCOS, ROPA INTERIOR , LA CANTIDAD DE PESOS UN MIL DOCUMENTACION ORIGINAL PARA EFECTUAR TODA LA TRAMITACION DE SU JUBILACION , CITACIONES JUDICIALES A SU NOMBRE , CERTIFICADO DE DEFUNCION Y COPIA DE DNI A NOMBRE DE SU DIFUNTO HERMANO NORBERTO DIAZ POR TRAMITES DE HERENCIA, RECETAS MEDICAS A SU NOMBRE Y UN CELULAR ABONADO Nº 0297-154429641A SU NOMBRE DE LA COMPAÑIA CLARO ARGENTINA</t>
  </si>
  <si>
    <t>MARIA DE LOS ANGELES LOGUZZO</t>
  </si>
  <si>
    <t>0002/10</t>
  </si>
  <si>
    <t>BAÑO DE MUJERES - SECTOR RESTRINGIDO</t>
  </si>
  <si>
    <t>COLGADA DEL PERCHERO DEL BAÑO DE MUJERES SECTOR RESTRINGIDO</t>
  </si>
  <si>
    <t>BAÑOS DE MUJERES DE ARRIBO</t>
  </si>
  <si>
    <t>EN EL DIA DE LA FECHA SE CONFECCIONA DENUNCIA POLICIAL Nº 0005/10 POR EL EXTRAVIO DE UNA CARTERA DE CUERO COLOR MARRON MARCA BRANDY CONTENIENDO EN SU INTERIOR UN NECESER DE VIAJE CON ELEMENTOS DE HIGIENE VARIOS, UNA BILLETERA, LA CUAL CONTENIA EN SU INTERIOR UNA TARJETA DE DEBITO A NOMBRE DE LA DAMNIFICADA, DINERO EN EFECTIVO TRECIENTOS VEINTE PESOS ARGENTINOS, UN DNI, UN REGISTRO DE CONDUCIR UN CARNET DE LA OBRA SOCIAL TODAS A SU NOMBRE, UNA MAQUINA FOTOGRAFICA DIGITAL MARCA SANYO DE COLOR NEGRO Y PLATEADO, UN TELEFONO CELULAR MARCA MOTOROLA MODELO V220, UN TELEFONO MOVIL NEXTEL MARCA MOTOROLA.</t>
  </si>
  <si>
    <t>PREEMBARQUE DE VUELOS INTERNACIONALES</t>
  </si>
  <si>
    <t>SIENDO LA FECHA Y HORA ANTES MENCIONADA SE RECIBE COMUNICACION TELEFONICA POR PARTE DEL OFICIAL FLORES, ENCARGADO DEL PREEMBARQUE INTERNACIONAL, INFORMANDO QUE AL PASAR UN PASAJERO DE SEXO MASCULINO POR EL ARCO DETECTOR DE METALES ACTIVO LA ALARMA DEL MISMO POR LO QUE EL OFICIAL LEDESMA LE EFECTUO UN CHEQUEO MANUAL AL PASAJERO Y OBSERVO QUE EN EL BOLSILLO DELANTERO IZQUIERDO DEL PANTALON TENIA UNA PROTUBERANCIA POR LO QUE LE SOLICITO QUE EXHIBA EL CONTENIDO RESULTANDO SER ESTE UNA BOLSITA DE NYLON, LA CUAL CONTENIA EN SU INTERIOR UNA SUSTANCIA, MANIFESTANDO EL PASAJERO QUE ERA MARIHUANA. ACTO SEGUIDO SE CONVOCAN AL LUGAR A LOS DOS TESTIGOS HABILES, Y SE DIRIGEN TODOS LOS INTERVINIENTES A LA SALA DE REQUISA CONTIGUA A DICHO PREEMBARQUE. ACTO SEGUIDO SE HIZO PRESENTE EL PERITO DE TURNO Y EFECTUO A LA SUSTANCIA UN REACTIVO QUIMICO MARCA NIK EL CUAL ARROJO RESULTADO POSITIVO PARA MARIHUANA. SIENDO LAS 19.00 HORAS, SE ENTABLO COMUNICACIÓN TELEFONICA CON LA JUDICATURA INTERVINIENTE QUIEN ORDENO LA DETENCION Y CON LOS RESULTADOS DE REINCIDENCIA, DE NO MEDIAR IMPEDIMENTOS LEGALES VIGENTES, PROCEDER A LA LIBERACION. SEGUIDAMENTE SE COMENZO CON LAS ACTUACIONES DE RIGOR. SE AMPLIARA CON RESULTADO DE REINCIDENCIA. SE INFORMA SEGUN PU Nº 1809 SIENDO LAS 0330 HORAS SE CUMPLIMENTA LO ORDENADO POR EL JUZGADO ACTUANTE PRECEDIENDO A LA LIBERACION DEL DETENIDO POR NO REGISTRAR IMPEDIMENTO LEGAL ALGUNO.</t>
  </si>
  <si>
    <t>PU 8320</t>
  </si>
  <si>
    <t>AEROPARQUE - CABA.</t>
  </si>
  <si>
    <t>DIEGO DPILLOTI</t>
  </si>
  <si>
    <t>LUNA ALBERTO ARNALDO S/DENUNCIA</t>
  </si>
  <si>
    <t>ALEDAÑO A PORTON LA ANONIMA</t>
  </si>
  <si>
    <t>EL ADMINISTRADOR DEL AEROPUERTO DENUNCIA QUE SIENDO LAS 06:25 HORAS DEL DIA DE LA FECHA , PERSONAL DE OPERACIONES DE LA EMPRESA AA2000 REALIZANDO RECORRIDO DE PISTA Y PERIMETRAL DETECTA ROTURA DEL ALAMBRADO PERIMETRAL IDENTIFICANDO CINCO POSTES DE HORMIGON ROTOS, UN ESQUINERO ROTO Y PARTE DEL MURETE INFERIOR COMO ASI TAMBIEN UN TOTAL DE 40 METROS DE ALAMBRADO DAÑADO EN SU ESTRUCTURA LOS DAÑOS SE ENCUENTRAN ALEDAÑOS AL PORTON DE EMERGENCIA LA ANONIMA EN EL SECTOR SUDESTE DEL PREDIO DE ESTE AEROPUERTO.</t>
  </si>
  <si>
    <t>JUZGADO FEDERAL N° 4 DE ROSARIO</t>
  </si>
  <si>
    <t>MAURICIO J DONATI</t>
  </si>
  <si>
    <t>SRIO AV LEY 23737</t>
  </si>
  <si>
    <t>INTERSECCION CALLE VIETTI Y SAN MARTIN</t>
  </si>
  <si>
    <t>EN EL MARCO DE LA MEDIDA ORDENADA POR OFICIO NRO. 586 DEL JUZGADO ACTUANTE, SE EFECTUA EL PROCEDIMIENTO EN LA ESTACION DE SERVICIO PETROBRAS SITA EN LA INTERSECCION DE LAS MENCIONADAS CALLES. AL SOLICITAR AL ENCARGADO DE LA ESTACION EL MATERIAL FILMICO REQUERIDO POR OFICIO, ENTREGO LA CPU DONDE SE GUARDAN LOS REGISTROS DE LAS OCHO CAMARAS DE SEGURIDAD SIN OPONER RESISTENCIA A LA MEDIDA. SE PROCEDIO AL SECUESTRO DE LA CPU Y EN COMUNICACION CON EL SECRETARIO DEL JUZGADO Y LA FISCALIA INTERVINIENTE SE LLEVO EL MATERIAL SECUESTRADO JUNTO AL ACTA DE PROCEDIMIENTO Y EL OFICIO DEBIDAMENTE CONFORMADOS A LA FISCALIA FEDERAL NRO. 2 A CARGO DE LA INSTRUCCIÓN, TAL LO ORDENADO POR EL JUZGADO INTERVINIENTE.</t>
  </si>
  <si>
    <t>JUZGADO FEDERAL DE SAN LUIS</t>
  </si>
  <si>
    <t>Maqueda</t>
  </si>
  <si>
    <t>Juan Esteban</t>
  </si>
  <si>
    <t>FRIAS MARIANO</t>
  </si>
  <si>
    <t>162/2010</t>
  </si>
  <si>
    <t>UOSP SAN LUIS</t>
  </si>
  <si>
    <t>A 400 MTRS DE CABECERA 01</t>
  </si>
  <si>
    <t>PERIMETRO SUR</t>
  </si>
  <si>
    <t>SIENDO APROXIMADAMENTE LAS 21:15 HS DEL DIA 25 DE MARZO DE 2010 Y EFECTUANDO RECORRIDO PERIMETRAL HASTA CABECERA 01, DANDO SEGURIDAD AL ATERRIZAJE DEL VUELO DE SOL LINEAS AEREAS CON MOVIL N° 024 LAND CRUISER DOMINIO CNR 232 CONDUCIDO POR EL OFICIAL PACHECO GUSTAVO Y ACOMPAÑADO POR EL OFICIAL CASORIA LUCAS AL ENCONTRARSE A UNOS 400 MTRS APROXIMADAMENTE DE CABECERA 01 RECIBEN EL IMPACTO DE UN PROYECTIL EN EL PARABRISAS DEL MOVIL POR LO CUAL SE DIRIGEN HASTA CABECERA 01 E INFORMAN DE LO SUCEDIDO AL JEFE DE TURNO EL CUAL INMEDIATAMENTE SE COMUNICA CON LA SECCIONAL 6 DE LA POLICIA DE LA PROVINCIA SIENDO ATENDIDO POR LA AUXILIAR COYADO LA CUAL INFORMA QUE ENVIARA A LA BREVEDAD EL MOVIL N° 0-159 EL CUAL REALIZA UN RECORRIDO POR EL LUGAR ARROJANDO EL MISMO UN SALDO NEGATIVO. 21:40 HS SE ESTABLECE COMUNICACION CON EL SECRETARIO DEL JUZGADO FEDERAL DR. MARIANO FRIAS, EL CUAL DISPONE QUE EL HECHO SEA CARATULADO DAÑOS Y SE INICIEN LAS ACTUACIONES SUMARIALES CORRESPONDIENTES. POR LOS DAÑOS RECIBIDOS EL MOVIL QUEDA FUERA DE SERVICIO. D.R.I.C.A. - DEBIDO A LA OSCURIDAD, FALTA DE INDICIOS Y POR TOMAR DISTANCIA PREVENTIVA AL MOMMENTO DEL HECHO NO SE PUDO DETERMINAR FEHACIENTEMENTE EL TIPO DE PROYECTIL, PERO PODRÍA SUPONERSE QUE SE TRATÓ DE UNA PIEDRA SEGUN CONSULTA CON JEFE DE ESA U.O.S.P.</t>
  </si>
  <si>
    <t>1803/10</t>
  </si>
  <si>
    <t>EN HORAS 03:30, SEGÚN LO DISPUESTO POR LA JUDICATURA INTERVINIENTE, YA OBTENIDOS LOS RESULTADOS DE REINCIDENCIA SIENDO ESTOS NEGATIVOS, Y AL NO MEDIAR IMPEDIMENTO LEGAL ALGUNO, SE PROCEDE A LA LIBERACION DEL SR. MATIAS VOLCO, RETIRANDOSE DE ESTA GUARDIA PREVENTIVA POR SUS PROPIOS MEDIOS, CONFORME A LOS TRATOS RECIBIDOS, SIN NOVEDAD.</t>
  </si>
  <si>
    <t>DE 1º INST EN LO PENAL CONT Y DE FALTAS Nº 12</t>
  </si>
  <si>
    <t>SECRET. NORTE EQUIPO E</t>
  </si>
  <si>
    <t>DR. JORGE D´ALLOTA</t>
  </si>
  <si>
    <t>DAÑOS Y AMENAZAS</t>
  </si>
  <si>
    <t>VEREDA ARRIBOS A1</t>
  </si>
  <si>
    <t>SIENDO LA FECHA Y HORA ANTES MENCIONADA, EN MOMENTOS EN QUE LA DENUNCIANTE SE ENCONTRABA TRABAJANDO COMO CHOFER DE TAXI JUNTO A SU VEHICULO MARCA VOLSKWAGEN MODELO SURAN DOMINIO IKR 730, EN LA FILA DE TAXIS DEL SECTOR A1, ASCIENDE AL MISMO UN PASAJERO A QUIEN LA CHOFER LE SOLICITO QUE COLOQUE SU EQUIPAJE EN EL BAUL REACCIONANDO EL PASAJERO SIN SENTIDO, GRITANDO, INSULTANDOLA E INTENTANDO GOLPEARLA. LUEGO DESCENDIO DEL TAXI Y COMENZO A RAYARLE EL VEHICULO TAXIMETRO. SEGUIDAMENTE LA DAMNIFICADA SE HIZO PRESENTE EN ESTA GUARDIA PARA RADICAR LA CORRESPONDIENTE DENUNCIA, HACIENDOSE PRESENTE TAMBIEN EL PASAJERO AGRESOR EN COMPAÑIA DE UN OFICIAL DE ESTA POLICIA AEROPORTUARIA. SIENDO LAS 00:10 HORAS SE ENTABLA COMUNICACION CON LA JUDICATURA INTERVINIENTE QUIEN ORDENA SE LABREN LAS ACTUACIONES DE RIGOR, Y OBTENIDO EL RESULTADO DE REINCIDENCIA SE TRASLADE AL DETENIDO A LAS OFICINAS DEL JUZGADO SITA EN LA CALLE CABILDO 3067 PISO 1º DE ESTA CIUDAD AUTONOMA, PARTIENDO LA COMISION A LAS 08:45 HORAS. SE INFORMA SEGUN PU Nº 1826 SIENDO LAS 1050 HORAS REGRESA LA COMISION POLICIAL DEL JUZGADO PENAL CONTRAVENCIONAL Y DE FALTAS Nº 12, QUEDANDO EL DETENIDO A DISPOSICION DE LA JUDICATURA ACTUANTE.</t>
  </si>
  <si>
    <t>PU 179</t>
  </si>
  <si>
    <t>BONNIN MANUEL</t>
  </si>
  <si>
    <t>AFIP - DGA S/DENUNCIA</t>
  </si>
  <si>
    <t>2111/10</t>
  </si>
  <si>
    <t>EN EL MARCO DE LA CAUSA 2111/10 LLEVADA ADELANTE POR ADUANA RIO GALLEGOS, CARATULADA "AFIP / DGA S/ DENUNCIA", MEDIANTE OFICIO EL JUZGADO FEDERAL DE PRIMERA INSTANCIA DE RIO GALLEGOS ORDENA A LA U O C N Y DC V "DE LA PATAGONIA" - RIO GALLEGOS REALIZAR ESCUCHA Y TRANSCRIPCION DE LOS SOPORTES OBTENIDOS SOBRE EL NUMERO DE ABONADO 02902 - 497710 POR EL TERMINO DE QUINCE DIAS PRESTAMOS COLABORACION A LA AFIP-DGA</t>
  </si>
  <si>
    <t>JUZGADO PENAL ECONOMICO Nº 8</t>
  </si>
  <si>
    <t>MONICA MARTA IGUIÑEZ</t>
  </si>
  <si>
    <t>INF. ART.302 CP</t>
  </si>
  <si>
    <t>INFORMO QUE EN EL CONTROL DE DOCUMENTOS DE PASAJEROS SE DETECTA A TRAVES DE SISTEMA INTERPOL PEDIDO DE PARADERO VIGENTE SOLICITADO POR EL JUZGADO PENAL ECONOMICO Nº8 SECRETARIA Nº 16 DEL SEÑOR DANIEL BASISTY SE RECEPCIONA ACTA DE INTERPOL Y SE PROCEDE A NOTIFICAR AL CAUSANTE QUE DEBE COMPARECER ANTE EL JUZGADO SOLICITANTE DE LA MEDIDA EN EL TERMINO DE CINCO DIAS HABILES DE LABRADA DICHA NOTIFICACION. SE HACE SABER QUE EL CAUSANTE TAMBIEN REGISTRA OTRO PEDIDO DE PAREDERO POR LA MISMA CAUSA EN EL JUZGADO PENAL ECONIMICO Nº7 SECRETARIA Nº14.</t>
  </si>
  <si>
    <t>PREEMBARQUE DE CABOTAJE TERMINAL III</t>
  </si>
  <si>
    <t>QUE SIENDO LA HORA ANTES MENCIONADA, SE RECIBE COMUNICACIÓN POR PARTE DEL OF. DIEGUEZ, ENCARGADO DEL PREEMBARQUE NACIONAL, EL CUAL INFORMA QUE AL PASAR UN PASAJERO DE SEXO MASCULINO POR EL ARCO DETECTOR DE METALES, EL OFICIAL CAMACHO LE REALIZA UN CHEQUEO EN FORMA MANUAL NOTANDO QUE A LA ALTURA DEL BOLSILLO IZQUIERDO DEL PANTALÓN, TENIA UN BULTO SOSPECHOSO, POR LO QUE LE SOLICITÓ AL MASCULINO QUE EXHIBA EL CONTENIDO DEL MISMO, RESPONDIENDO EL PASAJERO "ES MARIHUANA", SACANDO UN ENVOLTORIO DE CELOFÁN TRANSPARENTE CONTENIENDO SEIS CIGARRILLOS ARMADOS MANUALMENTE INMEDIATAMENTE SE SOLICITA LA PRESENCIA DE DOS TESTIGOS HABILES Y SE DIRIGEN A LA SALA DE REQUISA, DONDE MINUTOS DESPUES SE HACE PRESENTE LA OFICIAL QUIROGA, PERITO DE TURNO, QUIEN SOLICITA A UNO DE LOS TESTIGOS QUE ELIJA UN DE LOS SEIS CIGARRILLOS AL CUAL SE LE EFECTUA EL TEST ORIENTATIVO DE CAMPO MARCA NIK PARA MARIHUANA, ARROJANDO RESULTADO POSITIVO ORIENTATIVO PARA LA SUSTANCIA MARIHUANA. SIENDO LAS 09:05 SE ENTABLA COMUNICACIÓN CON LA JUDICATURA ACTUANTE QUIEN ORDENA SE LABREN ACTUACIONES DE RIGOR. SE AMPLIARA EL PARTE AL RECIBIR EL RESULTADO DE REINCIDENCIA. SE INFORMA SEGUN PU Nº 1841 SIENDO LAS 1735 HORAS SE CUMPLIMENTA LO ORDENADO POR EL JUZGADO INTERVINIENTE PROCEDIENDO A LA LIBERACION DEL DETENIDO POR NO REGISTRAR IMPEDIMENTO LEGAL ALGUNO.</t>
  </si>
  <si>
    <t>LA 4150</t>
  </si>
  <si>
    <t>AEROPUERTO METROPOLITANO JORGE NEWBERY</t>
  </si>
  <si>
    <t>EN EL DIA DE LA FECHA SE DIO CUMPLIMIENTO A LA ORDEN DE SERVICIO Nº 186/2010 REFERENTE AL CONTROL DE VUELO PRESIDENCIAL, ARRIBANDO LA SEÑORA PRESIDENTA DE LA NACION EN EL HELICOPTERO DE MATRICULA H 03 A LAS 11:15 HORAS, PARA LUEGO PARTIR CON DESTINO A LA REPUBLICA DE BOLIVIA A LAS 11:30 HORAS EN LA AERONAVE MARICULA T 03. FINALIZANDO EL OPERATIVO SIN NOVEDAD.-</t>
  </si>
  <si>
    <t>LOPEZ DA SILVA</t>
  </si>
  <si>
    <t>WALTER</t>
  </si>
  <si>
    <t>GRECA HUGO HORACIO</t>
  </si>
  <si>
    <t>CABRAL, RUBEN ALEJANDRO S/LEY DE ESTUPEFACIENTES</t>
  </si>
  <si>
    <t>7869/10</t>
  </si>
  <si>
    <t>EN EL MARCO DE LA CAUSA 7869/10 CARATULADA "CABRAL, RUBEN ALEJANDRO S/ LEY DE ESTUPEFACIENTES", MEDIANTE OFICIO JUDICIAL NRO 456/10 DE FECHA 17-03-10 DEL JUZGADO FEDERAL DE BARILOCHE, EL CUAL FUERA RECIBIDO EL DIA 25-03-2010 SE ORDENA A LA U O C N Y DC V "DE LA PATAGONIA" LA EXPLOTACION DE LOS DATOS DE INTERES A LA PESQUISA QUE PUDIERA CONTENER EL TELEFONO Y CHIP DE TELEFONIA MOVIL INCAUTADO A RUBEN ALEJANDRO CABRAL. QUIEN FUERA DETENIDO POR GENDARMERIA NACIONAL EN CONTROL VEHICULAR EL DIA 11 DE MARZO 2010 EN LA LOCALIDAD DEL HOYO PCIA DEL CHUBUT TRASLADANDO SUSTANCIA ESTUPEFACIENTE, COCAINA.</t>
  </si>
  <si>
    <t>BRUNO LABORDA GUILLERMO ENRIQUE Y OTROS P.SS.AA. HOMICIDIO AGRAVADO, PRIVACION ILEGITIMA DE LA LIBERTAD AGRAVADA</t>
  </si>
  <si>
    <t>SUMARIO 09/10</t>
  </si>
  <si>
    <t>ACONQUIJA 2064 Bº PARQUE CAPITAL, CORDOBA</t>
  </si>
  <si>
    <t>EN EL DIA DE LA FECHA SE RECEPCIONO OFICIO JUDICIAL DIRIGIDO AL INTERVENTOR DE LA PSA A LOS FINES DE FACULTAR A PERSONAL DE ESTA UNIDAD PARA ALLANAR LA FINCA SITA EN ACONQUIJA 2064, CORDOBA, DOMICILIO DEL SEÑOR ITALO PASQUINI, M.I. 4.852.659, A FIN DE PROCURAR SU DETENCION</t>
  </si>
  <si>
    <t>BITTAR ABDON</t>
  </si>
  <si>
    <t>INMUEBLE UBICADO EN CALLE EUGENIO IZSAKY OESTE 358 CUIDAD DE MALARGÜE, PROVINCIA DE MENDOZA</t>
  </si>
  <si>
    <t>EN EL DIA DE LA FECHA SIENDO LAS NUEVE HORAS CON CINCO MINUTOS SE PROCEDE A DAR CUMPLIMIENTO AL OFICIO JUDICIAL, ORDEN DE ALLANAMIENTO EMITIDA POR EL SEGUNDO JUZGADO INTERVINIENTE. ORDENANDO EL SECUESTRO DE TEJIDO DE ALAMBRE DE TIPO ROMBOIDAL QUE TIENE UNA MARCA IDENTIFICATIVA DE PINTURA COLOR AMARILLA, EN EL CENTRO DE LOS PAÑOS. DICHO PROCEDIMIENTO SE REALIZA EN FORMA CONJUNTA CON PERSONAL DE CIENTIFICA E INVESTIGACIONES DE LA POLICIA DE LA PROVINCIA DE MENDOZA. SE INGRESA AL DOMICILIO EN PRESENCIA DE LOS TESTIGOS HABILES CONSTATANDO QUE NO HAY MORADORES EN LA MISMA , SE RELIZA COMUNICACION TELEFONICA CON EL DR. PEÑAZCO A QUIEN SE LE IMPONE LOS HECHOS ACONTECIDOS HASTA EL MOMENTO Y QUE LA VIVIENDA SE ENCUENTRA DESHABITADA, QUIEN DISPONE SE LLEVE A CABO EL SECUESTRO DE LOS METROS DE ALAMBRADO DE REFERENCIA, SE LABREN LAS ACTUACIONES DE RIGOR Y QUE LA UNIDAD DE INVESTIGACIONES DE LA POLICIA DE LA PROVINCIA DE MENDOZA IDENTIFIQUE Y CITE AL PROPIETARIO DE LA VIVIENDA.UNA VES CUMPLIMENTADO EL OFICIO EL ELEMENTO SECUESTRADO QUEDA EN RESGUARDO EN LA UNIDAD OPERACIONAL MALARGÜE. DANDO CUMPLIMIENTO A ORDEN DE SERVICIO 83/10 EMITIDA POR LA URSA II DEL CENTRO.</t>
  </si>
  <si>
    <t>1797/10</t>
  </si>
  <si>
    <t>JUZGADO PENAL ECONOMICO Nº 7 SECRETARIA 14</t>
  </si>
  <si>
    <t>SIENDO LA HORA MENCIONADA EN CUMPLIENTO A LO ORDENADO POR LA JUDICATURA ACTUANTE SE TRASLADA AL IMPUTADO A LA SEDE DEL JUZGADO PENAL ECONOMICO Nº 7 SECRETARIA 14 SITO EN LA CALLE AV. DE LOS INMIGRANTES 1950 PISO 2º CIUDAD AUTONOMA DE BUENOS AIRES.-</t>
  </si>
  <si>
    <t>1810/10</t>
  </si>
  <si>
    <t>SIENDO LAS 10:50 HORAS REGRESA LA COMISION DEL JUZGADO PENAL CONTRAVENCIONAL Y DE FALTAS Nº 12 SECRETARIA EQUIPO NORTE E SITA EN LA CALLE CABILDO 3067 PISO 1º DE ESTA CIUDAD AUTONOMA, QUEDANDO EL DETENIDO A DISPOSICION DE LA JUDICATURA.-</t>
  </si>
  <si>
    <t>SECRETARIA CIVIL Y COMERCIAL FEDERAL USHUAIA</t>
  </si>
  <si>
    <t>DR LAURA V. UBERTAZZI</t>
  </si>
  <si>
    <t>HABILITACIONES NROS 80,81 Y 82H Y 85,86 Y 87 H DEL JUZGADO FEDERAL</t>
  </si>
  <si>
    <t>INFORMO QUE EN EL DIA DE LA FECHA EN VUELO 5U -725 DE LA EMPRESA LINEAS AEREAS DEL ESTADO -LADE DEL DIA 26-03-10 SE ENVIA SOBRE CERRADO A LA SECRETARIA DE LA EXCMA CAMARA DE APELACIONES DE COMODORO RIVADAVIA PROVINCIA DE CHUBUT CONTENIENDO EN SU INTERIOR DOCUMENTACION REFERENTE A HABILITACIONES NROS 80, 81 Y 83 H Y 85, 86 Y 87 H BAJO GUIA DE CARGA 022-28004071 CONFORME LO ORDENADO POR OFICIO SIN NUMERO DE FECHA 26-03-10 PROCEDENTE DEK JUZGADO FEDERAL DE PRIMERA INSTANCIA DE USHUAIA SECRETARIA CIVIL Y COMERCIAL ASI MISMO SE INFORMA QUE SE ESTIMA EL ARRIBO DEL VUELO A LA CIUDAD DE COMODORO RIVADAVIA A LA 16:45 HS</t>
  </si>
  <si>
    <t>5U-725</t>
  </si>
  <si>
    <t>CARBAJALES MARIA INES</t>
  </si>
  <si>
    <t>INF.ART.302 CP</t>
  </si>
  <si>
    <t>CAUSA Nº1437</t>
  </si>
  <si>
    <t>INFORMO QUE EN EL CONTROL DE DOCUMENTOS DE PASAJEROS SE DETECTA A TRAVES DEL SISTEMA INTERPOL PEDIDO DE PARADERO VIGENTE SOLICITADO POR EL JUZGADO PENAL ECONOMICO Nº7 SECRETARIA Nº 14 DEL SEÑOR DANIEL BASISTY SE RECEPCIONA ACTA DE INTERPOL Y SE PROCEDE A NOTIFICAR AL CAUSANTE QUE DEBE COMPARECER ANTE EL JUZGADO SOLICITANTE DE LA MEDIDA EN EL TERMINO DE CINCO DIAS HABILES DE LABRADA LA NOTIFICACION EL CAUSANTE TAMBIEN REGISTRA OTRO PEDIDO DE PARADERO POR MISMA CAUSA EN EL JUZGADO PENAL ECONOMICO Nº8 SECRETARIA Nº16</t>
  </si>
  <si>
    <t>PUERTO IGUAZU -MISIONES</t>
  </si>
  <si>
    <t>EN CUMPLIMIENTO A LA ORDEN DE SERVICIO NRO 002/10 Y SIENDO LAS 10:10 HS LOCAL ARRIBA AERONAVE MD 83 MATRICULA LV-BOH, PERTENECIENTE A LA EMPRESA AUSTRAL LINEAS AEREAS Y EN CUYAS BODEGAS SE EMBARCAN UN TOTAL DE 101 BULTOS CON UN PESO DE 1916 KILOGRAMOS DE METAL-MTD- PERTENECIENTE A LA EMPRESA MINERA SANTA CRUZ CON DESTINO EL AEROPUERTO JORGE NEWBERY DE CAPITAL FEDERAL. EL MISMO DESPEGA A LAS 11:29 HORAS LOCAL.</t>
  </si>
  <si>
    <t>AEROPUERTO GRAL MOSCONI CRV</t>
  </si>
  <si>
    <t>INF ART 78 Y 85 DEL DEC LEY 8031/73</t>
  </si>
  <si>
    <t>SIENDO LA HORA INDICADA EL OF AYUDANTE VILAS MARIANO OBSERVA Y SORPRENDE A UNA PERSONA DE SEXO MASCULINO OFRECIENDO SERVICIO DE TRANSPORTE A VIVA VOZ A PASAJEROS RECIEN ARRIBADOS AL PAIS, POR LO QUE SE PROCEDEN A LABRAR LAS CORRESPONDIENTES ACTUACIONES CONTRAVENCIONALES.</t>
  </si>
  <si>
    <t>DMN 191.660/09</t>
  </si>
  <si>
    <t>GUARDIA DE PREVENCION-AERONAVE</t>
  </si>
  <si>
    <t>SIENDO LA HORA ANTES MENCIONADA, SE IMPLEMENTA MEMORANDO Nº 364/10 (FAX PROCEDENTE DEL CEAC) Y ORDEN DE SERVICIO Nº 229/10 (DE ESTA UOSP METROPOLITANA) CON MOTIVO DE EFECTUAR MEDIDAS DE SEGURIDAD NECESARIAS PARA EL DESPLAZAMIENTO DENTRO DE LAS INSTALACIONES AEROPORTUARIAS DE LA DETENIDA MENCIONADA CON ANTERIORIDAD, QUIEN FUE TRASLADADA POR PERSONAL DE POLICIA FEDERALA ESTA DEPENDENCIA, QUE DEBERA SER EMBARCADA EN EL VUELO ANTES MENCIONADO, DE ACUERDO A ORDEN DE EXPULSION Nº DNM 191.660/09 ORDENADO POR EL TRIBUNAL ACTUANTE. SIENDO LAS 14:10 HORAS, SE EFECTUA EL DESPEGUE DE LA AERONAVE SIN NOVEDAD.</t>
  </si>
  <si>
    <t>AR 1262</t>
  </si>
  <si>
    <t>PUNTO AISLADO DE ESTACIONAMIENTO DE AERONAVES - CALLE DE RODAJE SECTOR CABECERA</t>
  </si>
  <si>
    <t>PLATAFORMA - PUESTO ACCESO HANGARES</t>
  </si>
  <si>
    <t>SE CONFECCIONA EL PRESENTE A LOS EFECTOS DE INFORMAR QUE EN EL DIA DE LA FECHA SIENDO LAS 14:30 HS. LOCAL SE PRODUCE EL EMBARQUE DE MMPP COMPUESTO POR 26 BULTOS CONTENIENDO 1300 CARGAS HUECAS TC-47 HP Nº C-50096 26 MERCADERIA AMPARADA POR REMITO Nº 0002-00000683 DE GEOLOG S.A. Y REMITO Nº 003-00008898 DE E.T.A. S.A. LAS MISMAS SON EMBARCADAS EN ACFT CESSNA C 414 MATRICULA LV JPZ. DESPEGANDO DE ESTE AEROPUERTO HACIA LA CIUDAD DE RIO GRANDE SIENDO LA HORA 14:45 SIN NOVEDAD.</t>
  </si>
  <si>
    <t>CIUDAD RIO GRANDE</t>
  </si>
  <si>
    <t>CUMPLIENDO CON EL MANDATO ESPECIAL DEL JUZGADO FEDERAL Nº 3 DE CORDOBA, SIENDO APROXIMADAMENTE LAS 14:20 HS SE PROCEDIO A DETENER AL SEÑOR ITALO CESAR PASQUINI EN SU DOMICILIO EN ACONQUIJA 2064 Bº PARQUE CAPITAL, EL MISMO NO OPUSO RESISTENCIA ALGUNA OFRECIENDO LAS INSTALACIONES DE SU VIVIENDA PARA LA CONFECCION DEL ACTA DE PROCEDIMIENTO. EL SEÑOR PASQUINI QUEDO EN CARACTER DE DETENIDO COMUNICADO Y A DISPOSICION DEL JUZGADO INTERVINIENTE, DISPONIENDOSE SU TRASLADO A LA UNIDAD OPERACIONAL CORDOBA DE LA PSA PARA LABRAR LAS ACTUACIONES DE RIGOR, Y A POSTERIORI SU TRASLADO A LA ALCAIDIA DE TRIBUNALES FEDERALES DE ESTA CIUDAD. D.R.I.C.A. - SE PROCEDE AL TRASLADO DEL DETENIDO SEGúN ORDEN DE SERVICO 088/10 HACIA ALCAIDIA DE TRIBUNALES FEDERALES DE CBA.</t>
  </si>
  <si>
    <t>LORNA HERNANDEZ LUNA ETCHEBERTZ</t>
  </si>
  <si>
    <t>DENUNCIA DE LA POLICIA DE SEGURIDAD AEROPORTUARIA SOBRE HURTO DE DINERO</t>
  </si>
  <si>
    <t>5190/10</t>
  </si>
  <si>
    <t>HALL DE ARRIBOS-EN SECTOR PUBLICO JUNTO A LA PUERTA DE SALIDA DE PASAJEROS-SOBRE EL LADO IZQUIERDO DE LA OFICINA DE AEROLINEAS ARGENTINAS.</t>
  </si>
  <si>
    <t>EN EL DIA DE LA FECHA EL JEFE DE UNIDAD OF. MAYOR PAUL IBAÑEZ RADICA UNA DENUNCIA EN SEDE DEL JUZGADO FEDERAL DE SANTIAGO DEL ESTERO EN RELACION A LO MANIFESTADO EXPONTANEAMENTE EN FORMA VERBAL POR EL OF. AYUDANTE HUGO OSVALDO SANDEZ LEGAJO Nº 501744,NUMERARIO DE ESTA UOSP SANTIAGO DEL ESTERO, EL CUAL MANIFIESTA QUE EL DIA 21 DE MARZO DE 2010 QUE SIENDO LAS 03:00 HORAS , Y ENCONTRANDOSE APOSTADO EN LA OFICINA DE GUARDIA SE DIRIGIO AL BAÑO QUE SE ENCUENTRA EN SALONES DE ARRIBOS Y VIO UN BILLETE UNICO DE CIEN PESOS DENTRO DE LA URNA DE DONACIONES PARA LA CAMPAÑA HAITI TE NECESITA QUE FUE COLOCADA POR AA2000, PROPONIENDOSE A SACARLO Y VOLVERLO A COLOCAR UNA VEZ EXTRAIDO EL MISMO ,SE DIRIGIO E INGRESO AL BAÑO LUEGO DIJO QUE SE OLVIDO DE COLOCAR NUEVAMENTE EL BILLETE EN LA URNA CUANDO RECORDO SE PERCATO QUE LO HABIA EXTRAVIADO. HASTA EL MOMENTO EL JUSGADO NO TOMO NINGUNA MEDIDA POR LO QUE EL OF SANDEZ SE ENCUENTRA EN LIBERTAD PRESTANDO SERVICIOS EN LA UOSP SDE EN FORMA NORMAL SEGÚN AMPLIACION PU Nº 3306 EL DIA 02/06/2010 SE RECEPCIONO COPIA DE LA RESOLUCION DE SU SEÑORIA EN LA CUAL RESUELVE DESESTIMAR LA DENUNCIA RADICADA Y ORDENA SU ARCHIVO.</t>
  </si>
  <si>
    <t>1420/10</t>
  </si>
  <si>
    <t>SE PROCEDE A LA APERTURA DE TRES ENCOMIENDAS DEL CORREO OFICIAL, RETENIDAS EL 10/03/10 INFORMADAS EN PU Nº 1410/10, SEGUN ACTA DE APERTURA Nº 158/10, CORRESPONDIENTE A LA PREV. SUMARIA Nº 026/10, EN VIRTUD DE LO ORDENADO MEDIANTE EL OFICIO JUDICIAL S/N DEL MAGISTRADO ACTUANTE Y EN PRESENCIA DE UN TESTIGO HABIL. LA 1ª IDENTIFICADA COMO EP658935428AR, CONTIENE: 10 PAQUETES DE HOJAS DE COCA CON UN PESO TOTAL DE 2.440GRS. LA 2ª IDENTIFICADA COMO EP669752505AR, CONTIENE: UN PAR DE ZAPATOS NUEVOS PARA DAMA COLOR NEGRO, DOS JUEGOS DE SABANAS DE COLOR CELESTE Y AMARILLO Y SEIS PAQUETES DE HOJAS DE COCA CON UN PESO TOTAL DE 1.499 GRS. Y LA 3ª IDENTIFICADA COMO EP669757017AR, CONTIENE: DIECINUEVE MAMELUCOS NUEVOS DE COLOR VERDE, SEIS PARES DE MEDIAS SOQUETES PARA NIÑA Y SEIS PARES DE MEDIAS SOQUETES PARA NIÑO. LAS ENCOMEINDAS SERAN PUESTAS A DISPOSICION DE LA ADUANA DE SALTA POR SUP. INFRACCION A LA LEY 22.415 DEL CODIGO ADUANERO Y LAS ACTUACIONES SERAN REMITIDAS A SEDE JUDICIAL.-</t>
  </si>
  <si>
    <t>General - No Delictivo</t>
  </si>
  <si>
    <t>PISTA DE ATERRIZAGE 01 - 17 Y PLATAFORMA COMERCIAL</t>
  </si>
  <si>
    <t>SIENDO HS. 17:05 EL SR. MESON GUILLERMO, EMPLEADO DE ANDES LINEAS AEREAS, INFORMA QUE LA AERONAVE DE DICHA EMPRESA, MODELO MD 83, MATRICULA LV-BTH, QUE HABIA DESPEGADO DE SALTA A HS. 16:45, CON DESTINO A LA CIUDAD DE CORDOBA, CON CIENTO VEINTIOCHO PASAJEROS A BORDO, REGRESA A ESTE AEROPUERTO EN SITUACION DE EMERGENCIA, AL HABERCELE PLANTADO UN MOTOR. SE INICIO ACCIONES PREVENTIVAS DE EMERGENCIA, CON PRECENCIA DE PERSONAL DE BOMBEROS, SERVICIO MEDICO Y EFECTIVOS DE PSA, LA AERONAVE ATERRIZO SIN INCONVENIENTES A HS. 17:15, ENCONTRANDOSE LOS PASAJEROS Y LA TRIPULACION SIN NOVEDAD, LA EMPRESA ANDES LINEAS AEREAS, TRASLADO A LA CIUDAD DE CORDOBA EL PASAJE COMPLETO EN OTRA AERONAVE MODELO MD 87, MATRICULA LV - BZR, PROPIEDAD DE LA MISMA EMPRESA, LA CUAL PARTIO A HS. 19:08.-</t>
  </si>
  <si>
    <t>HALLAZGO DE ESTUPEFACIENTE</t>
  </si>
  <si>
    <t>MAQUINA EXPENDEDORA DE CAFE DEL PRIMER PISO SECTOR PUBLICO TERMINAL A</t>
  </si>
  <si>
    <t>HALL PUBLICO</t>
  </si>
  <si>
    <t>EN MOMENTOS EN QUE EL SR. MAXIMILIANO VERÓN, OPERARIO DE LA EMPRESA DE LIMPIEZA SERZA SA, SE ENCONTRABA LIMPIANDO LA MAQUINA EXPENDEDORA DE CAFÉ, DETECTA UN CIGARRILLO JUNTO A UN TIJERA, DANDO AVISO A PERSONAL POLICIAL. SE PROCEDE A REALIZAR UNA PRUEBA DE CAMPO SOBRE EL CIGARRILO CON RESULTADO POSITIVO PARA MARIHUANA. SIENDO LAS 13:20 HORAS SE ENTABLA COMUNICACIÓN CON LA JUDICATURA INTERVINIENTE QUIEN ORDENA SE REALICE ACTA DE PROCEDIMIENTO, TESTIMONIAL DE LOS INTERVINIENTES, SECUESTRO Y FOTOS DE LA TIJERA Y LA SUSTANCIA, REGISTRO FILMICO, ENVIO DE LA SUSTANCIA AL LABORATORIO DE PFA, CIERRE Y ELEVACION DE LAS ACTUACIONES.</t>
  </si>
  <si>
    <t>1377/10</t>
  </si>
  <si>
    <t>S/SUPUESTA INFRACCION A LA LEY 22.415 Y 23.737</t>
  </si>
  <si>
    <t>199/10</t>
  </si>
  <si>
    <t>-----------------</t>
  </si>
  <si>
    <t>SE PROCEDE A LA APERTURA DE TRES ENCOMIENDAS DEL CORREO OFICIAL, RETENIDAS EL 10/03/10 INFORMADAS EN PU 1374/10SEGUN ACTA DE APERTURA Nº 159/10, CORRESPONDIENTE A LA PREV. SUMARIA Nº 023/10, EN VIRTUD DE LO ORDENADO MEDIANTE EL OFICIO JUDICIAL S/Nº DEL MAGISTRADO ACTUANTE Y EN PRESENCIA DE UN TESTIGO HABIL. LA 1ª ENCOMIENDA IDENTIFICADA COMO EP693229320AR, CONTIENE: UNA BOLSA DE PLASTICO CONTENIENDO CUARENTA ENBOLTORIOS DE TIPO GELATINOSO, COLOR NEGRO , LAS CUALES SE LES REALIZARON TODAS LAS PRUEBAS DE CAMPO, DANDO COMO RESULTADO NEGATIVO Y CINCO PAQUETES DE HOJAS DE COCA CON UN PESO TOTAL DE 2.549 GRS. LA 2ª EP693229333AR, CONTIENE: UNA CAJA DE CARTON CONTENIENDO CINCUENTA Y TRES ENBOLTORIOS DE TIPO GELATINOSO , DE COLOR NEGRO, LAS CUALES SE LES REALIZARON TODAS LAS PRUEBAS DE CAMPO, DANDO COMO RESULTADO NEGATIVO Y SEIS PAQUETES DE HOJAS DE COCA CON UN PESO TOTAL DE 2.788 GRS. Y LA 3ª EP702482375AR, CONTIENE: DOS CAMPERAS DE LANA NUEVA PARA HOMBRE, DOS SUETER DE LANA NUEVA PARA HOMBRE, DOS REMERAS NUEVA MANGA LARGA PARA HOMBRE Y SEIS PAQUETES DE HOJAS DE COCA CON UN PESO TOTAL DE 1.467 GRS. LAS ENCOMIENDAS SERAN PUESTAS A DISPOSICION DE LA ADUANA DE SALTA POR SUP. INFRACCION A LA LEY 22.415 DEL CODIGO ADUANERO Y LAS ACTUACIONES SERAN REMITIDAS A SEDE JUDICIAL.</t>
  </si>
  <si>
    <t>1814/10</t>
  </si>
  <si>
    <t>EN HORAS 17:35 OBTENIDOS LOS RESULTADOS DE REINCIDENCIA Y DE NO MEDIAR IMPEDIMENTO LEGAL ALGUNO, Y ATENTO A LO DISPUESTO POR LA JUDICATURA INTERVINIENTE, DEL CAUSANTE, RETIRANDOSE DE ESTA GUARDIA PREVENTIVA POR SUS PROPIOS MEDIOS, CONFORME A LOS TRATOS RECIBIDOS, SIN NOVEDAD</t>
  </si>
  <si>
    <t>POSICION Nº 5</t>
  </si>
  <si>
    <t>EN EL DIA DE LA FECHA Y SIENDO LAS 15:50 HORAS, ARRIBA LA AERONAVE MATRICULA LV - JPZ DE LA EMPRESA CEDMA SRL PROCEDENTE DE LA CIUDAD DE RIO GALLEGOS TRANSPORTANDO MERCANCIAS PELIGROSAS -EXPLOSIVOS- LAS CUALES SE DETALLAN A CONTINUACION: 26 BULTOS CONTENIENDO 1300 CARGAS HUECAS TC- 47 HP - Nº RENAR C 50096 26 - MERCANCIA AMPARADA POR GUIA REMOVIDO Nº 191, DE FECHA 26 MAR-10. CONSIGNADA A GEOLOG S.A. RIO GRANDE. DICHA CARGA REGISTRA UN PESO BRUTO DE 600 KGRS - DICHO PRODEDIMIENTO FINALIZO SIN NOVEDAD</t>
  </si>
  <si>
    <t>LV- JPZ</t>
  </si>
  <si>
    <t>DRA. CECCONI</t>
  </si>
  <si>
    <t>PERGOLA ARRIBOS</t>
  </si>
  <si>
    <t>SIENDO LA HORA INDICADA EL OF AYUDANTE ORTIZ MAXIMILIANO OBSERVA Y OYE A UNA PERSONA DE SEXO MASCULINO OFRECIENDO SERVICIO DE TRANSPORTE A VIVA VOZ A PASAJEROS RECIEN ARRIBADOS, POR LO QUE POSTERIORMENTE SE INICIAN LAS CORRESPONDIENTES ACTUACIONES CONTRAVENCIONALES.</t>
  </si>
  <si>
    <t>PASSOS MAGALHAES, VANESA SOFIA S/DCONTRABANDO DE ESTUPEFACIENTES</t>
  </si>
  <si>
    <t>QUE SIENDO LA FECHA Y HORA ANTES INDICADA, PERSONAL POLICIAL DE ESTA DEPENDENCIA DETECTO A TRAVES DE LA MAQUINA DE RAYOS X, QUE EN EL INTERIOR DE UNA MOCHILA DE VIAJE DE GRANDES DIMENSIONES HABIA UN PAQUETE CONTENIENDO SUSTANCIA DE BAJA DENSIDAD, SIN PODER DETERMINAR DE QUE TIPO DE SUSTANCIA SE TRATABA. APERTURADA LA MOCHILA EN CUESTION SE PUDO CONSTATAR LA PRESENCIA DE UN PAQUETE DE NYLON TRANSPARENTE CONTENIENDO SUSTANCIA PULVERULENTA DE COLOR BLANCO EN UN DOBLE FONDO HABIDO EN EL ESPALDAR DE LA MOCHILA. QUE SOMETIDA UNA MUESTRA DE LA SUSTANCIA A PRUEBA DE CAMPO CON REACTIVO QUIMICO PARA COCAINA, LA MISMA ARROJO RESULTADO POSITIVO. QUE TRASLADADA LA CAUSANTE AL HOSPITAL DE EZEIZA MADRE TERESA DE CALCUTA, DONDE SE LE EFECTUARON PLACAS RADIOGRAFICAS, LAS MISMAS ARROJARON RESULTADO NEGATIVO ANTE LA PRESENCIA DE CUERPOS EXTRAÑOS EN SU ORGANISMO. LA DETENIDA PERMANECERA ALOJADA EN ESTA DEPENDENCIA EN CALIDAD DE DETENIDA-INCOMUNICADA HASTA EL DIA 27/03/2010 CUANDO SERA REMITIDA A SEDE JUDICIAL JUNTO CON LA TOTALIDAD DE LOS SECUESTRO EFECTUADOS, SALVO LA SUSTANCIA Y MUESTRAS PARA LABORATORIO DE SUSTANCIA, QUE PERMANECERAN EN ESTA DEPENDENCIA PARA SER POSTERIORMENTE DILIGENCIADAS.</t>
  </si>
  <si>
    <t>INF.ART.85 DEL DECRETO LEY 8031/73</t>
  </si>
  <si>
    <t>NIVEL CERO DEL ESTACIONAMIENTO DETRAS DE LA U.O.S.P. EZEIZA.</t>
  </si>
  <si>
    <t>PLAYA DE ESTACIONAMIENTO DE LA TERMINAL A</t>
  </si>
  <si>
    <t>SIENDO LAS 18:50HS EL COMISIONADO MAYOR MARTINEZ Y EL SUBINSPECTOR SAVIO, OBSERVAN A UNA PERSONA DE SEXO MASCULINO OFRECIENDO SERVICIO DE TAXI Y LUEGO CAMINANDO JUNTO A PASAJEROS RECIÉN ARRIBADOS AL PAÍS, DIRIGIÉNDOSE A SU VEHICULO PARTICULAR, DEL CUAL SE DESCONOCEN MAS DATOS, EL CUAL SE ENCONTRABA EN EL NIVEL CERO DEL PLAYA DE LA TERMINAL A, MAS PRECISAMENTE EN LA COCHERA ASIGNADA A LA EMPRESA "AVIS". SEGUIDAMENTE SE VERIFICA QUE EL CONDUCTOR DEL VEHICULO NO POSEÍA LAS HABILITACIONES NECESARIAS PARA EFECTUAR ESTE TIPO DE ACTIVIDAD, POR LO QUE SE PROCEDEN A LABRAR LAS CORRESPONDIENTES ACTUACIONES CONTRAVENCIONALES.</t>
  </si>
  <si>
    <t>1825/10</t>
  </si>
  <si>
    <t>SIENDO LA HORA 18:00, SE PROCEDE AL TRASLADO Y POSTERIOR ALOJAMIENTO DEL CAUSANTE DESDE LA SEDE DE LA JUDICATURA ACTUANTE HASTA EL DEPARTAMENTO CENTRAL DE POLICIA FEDERAL ARGENTINA, DANDO ASI CUMPLIMIENTO A LO ORDENADO POR LA JUDICATURA INTERVINIENTE. SIENDO LA HORA 19 : 20 REGRESA LA COMISION DE TRASLADO DEL CAUSANTE SIN NOVEDAD.</t>
  </si>
  <si>
    <t>BRUNO LABORDA, GUILLERMO ENRIQUE Y OTROS P.SS.AA. HOMICIDIO AGRAVADO, PRIVACION ILEGITIMA DE LA LIBERTAD AGRAVADA.</t>
  </si>
  <si>
    <t>ATENTO A LA ORDEN DE SERVICIO NUMERO 088/10 DE FECHA DEL 26 DE MARZO DE 2010 Y SIENDO LAS 16:10HORAS ARRIBA A ESTA JURISDICCION UNA COMISION DE LA UOESA II DEL CENTRO CON EL CAUSANTE, EL CUAL ES REMITIDO AL SERVICIO MEDICO DE ECCO PARA LA CONFECCION DEL PRECARIO MEDICO DE INGRESO. POSTERIOR A SU FICHAJE SE REALIZA EL MISMO DE SALIDA Y SE PROCEDE AL TRASLADO DEL DETENIDO A MEDICINA LEGAL, SIENDO LAS 17:50 HORAS SE LO TRASLADA HASTA LA ALCAIDIA DE TRIBUNALES FEDERALES PARA SU ALOJAMIENTO. SIENDO LAS 20:30 HORAS REGRESA COMISION POLICIAL SIN NOVEDAD</t>
  </si>
  <si>
    <t>1818/10</t>
  </si>
  <si>
    <t>EN EL DIA DE LA FECHA SE DIO CUMPLIMIENTO A LA ORDEN DE SERVICIO Nº 186/2010 REFERENTE AL CONTROL DE VUELO PRESIDENCIAL POR ARRIBO DE LA SEÑORA PRESIDENTE DE LA NACION ARRIBANDO LA MISMA A ESTA AEROESTACION A LAS 20:30 HORAS EN AERONAVE T-01 Y DESPEGANDO DE JURISDICCION A LAS 20:40 HORAS EN HELICOPTERO H-03 SIN NOVEDAD.</t>
  </si>
  <si>
    <t>GRANGEAT</t>
  </si>
  <si>
    <t>PREEMBARQUE NACIONAL, TERMINAL III</t>
  </si>
  <si>
    <t>MEDIANTE CONTROL DE RUTINA EN EL PREEMBARQUE NACIONAL TERMINAL III, UN PASAJERO DE SEXO MASCULINO AL PASAR POR EL MARCO DETECTOR DE METALES ACTIVA LA ALARMA, AL SOLICITARLE QUE VACIE EL CONTENIDO DE SUS BOLSILLOS, EXTRAE DEL BOLSILLO DE SU CAMPERA UNA BOLSA DE NYLON CONTENIENDO EN SU INTERIOR UNA SUSTANCIA DE ORIGEN VEGETAL COLOR VERDOSA DE CONSISTENCIA PASTOSA, DANDO LOS REACTIVOS POSITIVOS PARA MARIHUANA , POSTERIORMENTE SE HACE COMUNICACION A LA JUDICATURA Y ESTA ORDENA SE PROCEDA A REALIZAR LAS ACTUACIONES DE RIGOR Y DANDO COMUNICACION EN CASO DE POSEER IMPEDIMENTO LEGAL, DE LO CONTRARIO PROCEDER A LA SOLTURA. SEGUN PU AMPL 1853 SE PROCEDIO A LA SOLTURA DEL CAUSANTE POR NO POSEER IMPEDIMENTOS LEGALES</t>
  </si>
  <si>
    <t>AVERIGUACION ROBO</t>
  </si>
  <si>
    <t>SECTOR SUDOESTE DEL AEROPUERTO FRENTE A RUTA NACIONAL Nº40.</t>
  </si>
  <si>
    <t>-------------------------------------------------------</t>
  </si>
  <si>
    <t>SIENDO LAS 04:40 HS. EL PERSONAL DESIGNADO PARA REALIZAR LA RECORRIDA PERIMETRAL EN EL MOVIL 23 DE DOTACION, NOTAN EL FALTANTE DE 01 UN PAÑO DE TEJIDO DE ALAMBRE ROBOIDAL DEL CERCO PERIMETRAL. APROXIMADAMENTE A 150 MTS DEL PUNTO DE INGRESO A LA AEROESTACION EN DIRECCION SUR DEL MISMO, DANDO LA NOVEDAD AL JEFE DE TURNO QUIEN ORDENA QUE SE REALIZE UNA INSPECCION OCULAR DEL LUGAR Y SE TOMEN FOTOGRAFIAS DEL MISMO, SE LE DA AVISO AL JEFE DE BASE DE AEROPUERTOS ARGENTINA 2000 PARA QUE INICIEN LA REPARACION, Y SE REALIZARON LAS COMUNICACIONES PERTINENTES CON EL JUZGADO DE TURNO, EL CUAL DISPONE 1- SE INICIEN LAS ACTUACIONES DE RIGOR. 2- QUE LAS MISMAS SE ELEVEN DURANTE LA SEMANA, A LO QUE SE LE DA ESTRICTO CUMPLIMIENTO D.R.I.C.A. - NO HAY DENUNCIA, SE TRATA DE UN DELITO DE ACCION PUBLICA PERSEGUIBLE DE OFICIO. SE ACTUO DE OFICIO DANDOSE INICIO A LAS ACTUACIONES MEDIANTE ACTA DE PRCEDIMIENTO CORRESPONDIENTE CON MISMA FECHA Y SIENDO LAS 0530 HS.</t>
  </si>
  <si>
    <t>1851/10</t>
  </si>
  <si>
    <t>SEGUN LO ORDENADO POR LA JUDICATURA ACTUANTE POR NO MEDIAR IMPEDIMENTO LEGAL SEGUN RESULTADO OBTENIDO POR EL REGISTRO NACIONAL DE REINCIDENCIA SE PROCEDE A LA LIBERACION DEL SR. FERRONI A LAS 04:30 HORAS SIN NOVEDAD</t>
  </si>
  <si>
    <t>SECTOR ESTACIONAMIENTO DE TAXIS Y REMISSES</t>
  </si>
  <si>
    <t>SE HACE PRESENTE EL SEÑOR JOSE RAMÓN FERNANDEZ, TAXISTA QUE OPERA EN ESTE AEROPUERTO, QUIEN EXPONE EL EXTRAVÍO DE SU PERMISO PERSONAL AEROPORTUARIO DE SEGURIDAD PERMANENTE Nº 302793, CON VIGENCIA HASTA EL 22 DE ABRIL DE 2010.</t>
  </si>
  <si>
    <t>AV. DE CIRCUNVALACION Y CANAL</t>
  </si>
  <si>
    <t>SIENDO LAS DIEZ HORAS CON VEINTE MINUTOS, EL SP JORGE RIQUELME JEFE DE TURNO DEL AERODROMO SANTIAGO DEL ESTERO, INFORMA QUE LA AERONAVE PA-31 MATRICULA LV-WJD SE DECLARA EN EMERGENCIA DEBIDO A LA PERDIDA DE POTENCIA EN UNO DE SUS MOTORES, PIDIENDO AUTORIZACION PARA ATERRIZAR EN ESTE AERODROMO. FALTANDO CINCO MILLAS, LA AERONAVE SE COMUNICA NUEVAMENTE INFORMANDO QUE PROCEDERA A REALIZAR UN ATERRIZAJE DE EMERGENCIA POR HABERSE PLANTADO SUS DOS MOTORES. LA AERONAVE ATERRIZA, EN DIRECCION SUDESTE DE ESTE AERODROMO, EN INMEDIACIONES DEL Bº JUAN DIAZ DE SOLIS Y LA AV. DE CIRCUNVALACION, DISTANTE A QUINCE KILOMETROS APROXIMADAMENTE DE ESTE AERODROMO, QUEDANDO DENTRO DE UN CANAL DE RIEGO QUE CRUZA POR EL LUGAR. ESTA AERONAVE DESPEGO DE LA PROVINCIA DE CORRIENTES CON DETINO A LA PROVINCIA DE SALTA TRASLADANDO UN TRIPULANTE Y TRES PAX. SE PUSO TELEFONICAMENTE EN CONOCIMIENTO DEL HECHO AL SR JUEZ FEDERAL DR. GUILLERMO MOLINARI, INFORMANDOLE LO ACONTECIDO MANIFESTANDO EL MISMO QUE LA POLICIA DE LA PROVINCIA SE ENCUENTRA A CARGO DEL PROCEDIMIENTO.</t>
  </si>
  <si>
    <t>LV-WJD</t>
  </si>
  <si>
    <t>ESN - ESQUINA - CORRIENTES</t>
  </si>
  <si>
    <t>DRA. MARIANA ZABALA DUFFAU</t>
  </si>
  <si>
    <t>TAKASHI HIRASAWA Y SHINOBU KODAMA S/TENTATIVA DE CONTRABANDO.</t>
  </si>
  <si>
    <t>TAKASHI HIRASAWA Y SHINOBU KODAMA S/ TENTATIVA DE CONTRABANDO</t>
  </si>
  <si>
    <t>PREEMBARQUE PRIMER PISO DE LA TERMINAL A</t>
  </si>
  <si>
    <t>QUE SIENDO LA HORA INDICADA, SE PRESENTA ANTE EL CONTROL RURINARIO UN PASAJERO, QUIEN SOMETE A INSPECCION UNA MOCHILA, DENTRO DE LA CUAL SE OBSERVA UN BULTO DE FORMA RECTANGULAR DE SUSTANCIA ORGÁNICA DE BAJA DENSIDAD. QUE SIMULTÁNEAMENTE EN OTRO DE LOS EQUIPOS DE RX DEL MISMO PUNTO DE INSPECCIÓN SE HACE PRESENTE UN PASAJERO EL CUAL SOMETE A INSPECCION UNA MOCHILA EN LA CUAL SE DETECTA UN BULTO DE FORMA RECTANGULAR DE SUSTANCIA ORGÁNICA DE BAJA DENSIDAD SIN PODER DETERMIANR DE QUE ELEMENTO SE TRATABA. SEGUIDAMENTE SE SOLICITAN TESTIGOSS Y SE IDENTIFICA A LOS PASAJEROS. POR TAL MOTIVO SE SOLICITAN LAS AUTORIZACIONES PARA LA REQUISA SOBRE LOS PASAJEROS Y SUS EQUIPAJES. DE LAS MISMAS SURGE QUE EN EL INTERIOR DE CADA UNA DE LAS MOCHILAS SE ENCONTRABA UN PAQUETE DE COLOR NEGRO CONTENIENDO AMBOS SUSTANCIA PULVERULENTA DE COLOR BLANCO, LA QUE SOMETIDA A PRUEBA DE CAMPO ARROJO RESULTADO POSITIVO COCAINA EN LOS DOS CASOS.EN VIRTUD A ELLO SE ANOTICIA AL JUZGADO INTERVINIENTE QUIEN INDICA QUE LOS PASAJEROS PERMANEZCAN DETENIDOS EN CALIDAD DE INCOMUNICADOS Y QUE SE REALICEN LAS ACTUACIONES PERTINENTES. EL ITINERARIO COMPLETO DE LOS DETENIDOS ERA BUENOS AIRES-MADRID-MOSCU- TOKIO. SE INFORMA SEGUN PU Nº 1872 SIENDO LAS 0730 HORAS SE PROCEDIO AL TRASLADO DE LOS DETENIDOS A LA SEDE JUDICIAL</t>
  </si>
  <si>
    <t>UX-042</t>
  </si>
  <si>
    <t>Japón</t>
  </si>
  <si>
    <t>TOKIO</t>
  </si>
  <si>
    <t>SRIO AV LEY 23737 -GRANADERO BAIGORRIA-</t>
  </si>
  <si>
    <t>INTERSECCION VIETTI Y SAN MARTIN</t>
  </si>
  <si>
    <t>EN EL MARCO DE LA CAUSA DE REFERENCIA MEDIANTE OFICIO NRO. 253 DE FECHA 27/03/2010 DE LA FISCALIA FEDERAL NRO. 2 DE ROSARIO A CARGO DE LA DRA. LILIANA BETTIOLO A CARGO DE LA INSTRUCCION, ORDENA SE RESTITUYA LA CPU SECUESTRADA EN LA CITADA ESTACION DE SERVICIO EL DIA 25/03/2010 POR OFICIO JUDICIAL 586 DEL JUZGADO ACTUANTE, LAS TAREAS EN EL DIA DE LA FECHA SE REALIZARAN MEDIANTE ORDEN DE SERVICIO NRO 0068 DE LA URSA IV DEL LITORAL. EL PRESENTE PARTE ES AMPLIATORIO DEL NRO. PARTE 1806 DE FECHA 25/03/2010.</t>
  </si>
  <si>
    <t>EN CERCANIAS DE LA MANGA Nº 2</t>
  </si>
  <si>
    <t>QUE EN MOMENTOS EN QUE SE ENCONTRABA EL SEÑOR JORGE MUTKA DESEMPEÑANDO SUS FUNCIONES LABORALES A CARGO DE UN CAMION DE LA EMPRESA GATE GOUMERT, LAS CUALES CONSTABAN EN ABASTECER DE COMIDA AL VUELO LA 480 DE LA EMPRESA LAN CHILE, SE DESPRENDE UNA PLATAFORMA QUE CONECTA DICHO CAMION CON LA AERONAVE EN CUESTION, LO QUE MOTIVO LA CAIDA DE LA MISMA JUNTAMENTE CON EL SEÑOR JORGE MUTKA, EL CUAL FUE ASISTIDO POR PERSONAL MEDICO DE SANIDAD DE ESTE AEROPUERTO EL CUAL PARA UNA MEJOR ASISTENCIA DISPUSO SU TRASLADO AL HOSPITAL ZONAL DE EZEIZA.</t>
  </si>
  <si>
    <t>NAC DE 1º INST EN LO CRIMINAL DE INST Nº 13</t>
  </si>
  <si>
    <t>Dra. KEHOE GLORIA MARIA</t>
  </si>
  <si>
    <t>QUE EL DIA 27 DE MARZO DEL CORRIENTE AÑO SIENDO LAS 12:30 HORAS APROXIMADAMENTE EN MOMENTOS DE ESTAR EL SEÑOR JOHN DUFFUS ESPERANDO EMBARCAR EN EL HORARIO DE LAS 16:00 HORAS HACIA LA CIUDAD DE IGUAZU, DESCONOCIENDO TANTO LA EMPRESA AEREA COMO EL NUMERO DE VUELO, PERMANECIENDO EN PATIO DE COMIDAS MIENTRAS ALMORZABA Y MIRABA UN PARTIDO DE FUTBOL POR TV SE PERCATO DE QUE SU MOCHILA LA CUAL SE ENCONTRABA APOLLADA SOBRE EL SUELO HABIA DESAPARECIDO.</t>
  </si>
  <si>
    <t>EN EL PREEMBARQUE NACIONAL TERMINAL III, UN PASAJERO DE SEXO MASCULINO, AL PASAR POR EL MARCO DETECTOR DE METALES ACTIVA LA ALARMA, EXTRAYENDO DEL BOLSILLO IZQUIERDO DE SU PANTALON UNA SERVILLETA DE PAPEL COLOR BLANCA CON UNA SUSTANCIA DE COLOR VERDOSO DE APARENTE ORIGEN VEGETAL CON UN PESO DE 5,3 GRS. CON EL ENVOLTORIO, DANDO EL REACTIVO POSITIVO PARA MARIHUANA. YA EN LA GUARDIA DE PREVENCION, EN MOMENTOS DE REALIZARSE LA REQUISA DEL CAUSANTE, SE DETECTO UN OBJETO ENVUELTO EN UNA BOLSA DE NYLON TRANSPARENTE COLOR BLANCA EN EL BOLSILLO TRASERO DERECHO DEL PANTALÓN, CONTENIENDO UNA SUSTANCIA PULVERULENTA DE COLOR BLANCA, DANDO EL REACTIVO DE CAMPO POSITIVO PARA COCAINA. CONTINUANDO CON LA REQUISA DE LOS EQUIPAJES, SE DETECTO, EN EL INTERIOR DE UN NECESSER, UN POTE DE CREMA DEL CUAL SE EXTRAJO DOS PAQUETES ENVUELTOS CADA UNO EN SERVILLETA DE PAPEL Y NYLON TRANSPARENTE, CONTENIENDO SUSTANCIA DE COLOR VERDOSA DE ORIGEN VEGETAL CON UN PESO DE 15,2 GRS. Y DE 18,0 GRS CON ENVOLTORIO RESPECTIVAMENTE; SE PROCEDIÓ A APERTURAR UN SEGUNDO POTE DE CREMA, DE DONDE SE EXTRAJO UN PAQUETE ENVUELTO EN SERVILLETA DE PAPEL Y NYLON TRANSPARENTE, CONTENIENDO SUSTANCIA SIMILAR A LA ANTES NOMBRADA CON PESO DE 13,3 GRS. CON ENVOLTORIO. SE PROCEDIÓ A APERTURAR EL ENVASE DE TALCO, DE DONDE SE EXTRAJO UN PAQUETE ENVUELTO EN SERVILLETA DE PAPEL Y NYLON TRANSPARENTE, CONTENIENDO SUSTANCIA SIMILAR A LA ANTES NOMBRADA CON PESO DE 17,9 GRS CON ENVOLTORIO. PRACTICADO EL REACTIVO DE CAMPO ARROJANDO RESULTADO POSITIVO PARA MARIHUANA, TOTALIZANDO EL PESAJES DE LAS SUSTANCIAS 69.7 GRS PARA MARIHUANA Y 5,0 GRS PARA COCAINA. SIENDO LA HORA 16:30 SE REALIZA COMUNICACIÓN A LA JUDICATURA Y ESTA ORDENA SE PROCEDA A REALIZAR LAS ACTUACIONES DE RIGOR Y DANDO COMUNICACION EN CASO DE POSEER IMPEDIMENTO LEGAL, DE LO CONTRARIO PROCEDER A LA SOLTURA. SIENDO LA HORA 00:15 DEL DIA DE LA FECHA, YA CON LOS RESULTADOS OBTENIDOS DE REINCIDENCIA NACIONAL, Y ATENTO A LO ORDENADO POR LA JUDICATURA ACTUANTE, SE PROCEDE A LA LIBERACIÓN DEL CAUSANTE, RETIRANDOSE DE LA JURISDICCIÓN SIN NOVEDAD.</t>
  </si>
  <si>
    <t>AU2848</t>
  </si>
  <si>
    <t>DR. MAURICIO DONATI</t>
  </si>
  <si>
    <t>SRIO. AV. LEY 23.737-GRANADERO BAIGORRIA-</t>
  </si>
  <si>
    <t>SRIO. AV. LEY 23.737</t>
  </si>
  <si>
    <t>EN EL MARCO DE LA CAUSA DE REFERENCIA SE DIO CUMPLIMIENTO AL OFICIO 253 DE FECHA 27/03/2010 DE LA FISCALIA FEDERAL NRO. 2 DE ROSARIO A CARGO DE LA INSTRUCCION, SE RESTITUYO LA CPU SECUESTRADA EN LA CITADA ESTACION DE SERVICIO EL DIA 25/03/2010 POR OFICIO JUDICIAL 586 DEL JUZGADO ACTUANTE. DANDO CUMPLIMIENTO A LA ORDEN DE SERVICIO NRO 0068/2010 URSA IV DEL LITORAL. EL PRESENTE PARTE ES AMPLIATORIO DEL PARTE NRO. 1859 DEL DIA DE LA FECHA.</t>
  </si>
  <si>
    <t>SECTOR DE SALA VIP</t>
  </si>
  <si>
    <t>INFORMO QUE EN CUMPLIMIENTO A LA ORDEN DE OPERCIONES Nº 049/10 DE LA URSA III DEL NORTE, SE DESARROLLO SIN NOVEDAD EL PROCEDIMIENTO DE REFUERZO DE CUSTODIA DE LOS SEÑORES EMBAJADORES, LOS MISMOS PARTIERON HACIA SU DESTINO EN DIFERENTES DIAS Y VUELOS, ESTOS MOVIMIENTOS SE DETALLAN ACONTINUACION: EL SR. MOHAMMED ELISSA ALQATTAM ALZAABI, EMBAJADOR DE LOS EMIRATOS ARABES, EL 26/03/10 A LAS 20:35 HS., EN EL VUELO Nº 4139 DE LA EMPRESA LAN ARGENTINA CON DESTINO FINAL EL AEROPARQUE METROPOLITANO. EL SR. HICHAM HAMDAN, EMBAJADOR DEL LIBANO, EL 27/03/10 A LAS 10:15 HS., EN EL VUELO Nº 2451 DE AUSTRAL LINEAS AEREAS CON DESTINO FINAL EL AEROPARQUE METROPOLITANO. Y EN EL DIA DE LA FECHA, EL SR. ABDULGADER ELKHAIR, EMBAJADOR DE LIBIA, A LAS 15:15 HS., EN EL VUELO Nº 1455 DE AEROLINEAS ARGENTINAS, CON DESTINO FINAL EL AEROPARQUE METROPOLITANO, EL SR. SAUD ABDULAZIZ AL-ROOMI, EMBAJADOR DE KUWAIT, EL SR. ALI MOHAMMED OSMAN KAMAL, FUNCIONARIO DE LA EMBAJADA DE KUWAIT, EL SR. ISSEMOU OULD MOUNIR, EMBAJADOR DE LA MISION DE LA LIGA DE ESTADOS ARABES, EL SR. ESAM ABID AL THAGAFI, EMBAJADOR DE ARABIA SAUDITA Y EL SR. RIAD AL SINEH, EMBAJADOR DE SIRIA, A LAS 18:25 HS., EN EL VUELO Nº 4115 DE LAN ARGENTINA, CON DESTINO FINAL EL AEROPARQUE METROPOLITANO. EL OPERATIVO CONTÓ CON LA PARTICIPACION DE CINCO EFECTIVOS DE LA UOESA DEL NORTE Y TRES EFECTIVOS DE ESTA UOSP SALTA.-</t>
  </si>
  <si>
    <t>JUZGADO DE INSTRUCCION DE SEGUNDA NOMINACION DE ROSARIO</t>
  </si>
  <si>
    <t>ROBENAS</t>
  </si>
  <si>
    <t>ALEJANDRA</t>
  </si>
  <si>
    <t>PROCAJLO HERNAN ISMAEL</t>
  </si>
  <si>
    <t>PEDIDO DE CAPTURA</t>
  </si>
  <si>
    <t>INFORMO QUE EN EL CONTROL DE DOCUMENTOS DE PASAJEROS SE DETECTA A TRAVES DEL SISTEMA INTERPOL PEDIDO DE CAPTURA VIGENTE DE FECHA 03/06/1976 SOLICITADO POR EL JUZGADO DE INSTRUCCION 2DA DENOMINACION DE ROSARIO DEL SEÑOR ALCIDES FRANCISCO COCENTINO SE RECEPCIONA ACTA DE INTERPOL Y SE ESTABLESE COMUNICACION TELEFONICA CON EL JUZGADO SOLICITANTE DE LA MEDIDA SIENDO ATENDIDO POR EL DR. PROCAJLO HERNAN ISMAEL A/C DE LA SECRETARIA Nº2 DE DICHO JUZGADO QUIEN ENFORMADO DE LOS HECHOS MANIFIESTA NO INTERESARLE LA CAUSA Y QUE EL CAUSANTE PROSIGA SU VIAJE.</t>
  </si>
  <si>
    <t>PUERTO IGUAZU- MISIONES</t>
  </si>
  <si>
    <t>MARCH</t>
  </si>
  <si>
    <t>R</t>
  </si>
  <si>
    <t>MUÑIZ</t>
  </si>
  <si>
    <t>ASOS.ILIC.ROBOS</t>
  </si>
  <si>
    <t>INFORMO QUE EN EL CONTROL DE VUELOS DE PASAJEROS SE DETECTA A TRAVES DEL SISTEMA INTERPOL PEDIDO DE PARADERO VIGENTE DE FECHA 14/03/1978 SOLICITADO POR EL JUEZ PENAL DR. R MARCH DEL SEÑOR ALCIDES FRANCISCO COCENTINO SE RECEPCIONA ACTA DE INTERPOL Y AL NO POSEER DATOS DE JUZGADO SOLICITANTE DE LA MEDIDA SE ESTABLECE COMUNICACION TELEFONICA CON EL SECRETARIO DE TURNO DEL JUZGADO DE INSTRUCCION Nº3 DE LA CIUDAD DE PUERTO IGUAZU SIENDO ATENDIDO POR EL DR. NESTOR ARIEL TUHAY QUIEN ENTERADO DE LOS HECHOS DISPONE TENEINDO EN CUENTA LA EDAD DEL CAUSANTE Y LA FECHA DE LA MEDIDA QUE EL MISMO FIJE DOMICILIO Y SE TOME TODOS SUS DATOS PERSONALES ASI COMO TAMBIEN LOS DE SU ACOMPAÑANTE Y QUE QUEDA SUPEDITADO A RESPONSABILIDAD DEL CAUSANTE LA PROSECUCION DE LOS TRAMITES ANTE LAS AUTORIDADES SOLICITANTE DE LA MEDIDA.</t>
  </si>
  <si>
    <t>SECTOR DE CONTROL MIGRATORIOS PARA PASAJEROS DE SALIDA DEL PAIS</t>
  </si>
  <si>
    <t>SIENDO LAS 18:20 HORAS SE HACE PRESENTE EL OFICIAL CERRUTI AL SERVICIO DE GUARDIA AVISANDO LA NOVEDAD DE QUE EN EL SECTOR DE PEEMBARQUE INTERNACIONAL EN MIGRACIONES DE SALIDA DEL VUELO Nº 933 DE LAN CHILE, HAY UN IMPEDIMENTO PARA VIAJAR A UN CIUDADANO POLACO POR LO QUE SOLICITA LA CUSTODIA POLICIAL LA CUAL ACUDE OFICIAL FEDERICI A LA OFICINA DE MIGRACIONES A SOLICITAR LA INFORMACION PERTINENTE , DONDE TOMA CONOCIMIENTO DE LOS HECHOS , EL CUAL INMEDIATAMENTE LE INFORMA LA NOVEDAD AL JEFE DE TURNO DEL DIA DE LA FECHA, QUIEN INMEDIATAMENTE SE COMUNICA TELEFONICAMENTE CON EL SECRETARIO PENAL DE TURNO, Y QUIEN UNA VEZ EN CONOCIMIENTO DE LOS HECHOS DISPONE: 1º SE CORROBORE EL PEDIDO DEL PARADERO POR INTERPOL, 2º SE INFORME A LA EMBAJADA DE POLONIA, QUE PERMANEZCA EN CARACTER DE DEMORADO Y QUE SE VUELVA A HACER COMUNICACION UNA VEZ TENIDO EL INFORME DE INTERPOL. ACTO SEGUIDO SE REALIZA COMUNICACION CON LA DELEGACIÓN DE INTERPOL DEL AEROPUERTO INTERNACIONAL EZEIZA SIENDO ATENDIDO POR EL ESCRIBIENTE TADEO A QUIEN SE LE INFORMA LOS HECHOS OCURRIDOS Y QUIEN DESPUES DE 30 MINUTOS DE REALIZADA LA CONSULTA NOS INFORMA QUE EL CIUDADANO POLACO EN CUESTION NO TIENE NINGUNA CAUSA O IMPEDIMENTO SOLICITADO, POR LO QUE ANTE ESTA RESPUESTA Y SIENDO LAS 20:05 HORAS SE REALIZA NUEVAMENTE COMUNICACIÓN CON EL SECRETARIO PENAL A QUIEN SE LE INFORMA LOS RESULTADOS DE LAS CONSULTAS REALIZADAS Y QUIEN DISPONE: 1º SE PERMITA AL CIUDADANO POLACO RETIRARSE UNA VEZ QUE SE ENCUENTRE EN PODER DE ESTA GUARDIA DE PREVENCIÓN EL INFORME PROVENIENTE DE INTERPOL, A LO QUE SE DA ESTRICTO CUMPLIMIENTO, SIENDO LAS 21:24 HORAS SE RECIBE EL INFORME PROVENIENTE DE LA DELEGACIÓN DE INTERPOL VIA FAX POR LO QUE SE LE INFORMA AL CIUDADANO POLACO QUE SE PUEDE RETIRAR, DANDO CUMPLIMIENTO A LO DISPUESTO POR EL SECRETARIO PENAL.</t>
  </si>
  <si>
    <t>SANTIAGO</t>
  </si>
  <si>
    <t>Fiscalía Federal Nº 02 de Lomas de Zamora</t>
  </si>
  <si>
    <t>POSICION 17 PROXIMO AL DENOMINADO DESTACAMENTO PISTA DE BOMBEROS PFA</t>
  </si>
  <si>
    <t>QUE UN EFECTIVO DE BOMBEROS PFA OBSERVO A DOS MASCULINOS EMPLEADOS DE MANTENIMIENTO DE AEROPUERTOS ARGENTINA 2000 QUE SE DISPONIAN A RETIRAR EL RADIADOR DE UN VEHICULO IDENTIFICADO CON INSCRIPCIONES DE LA EMPRESA VARIG. POR TAL MOTIVO INFORMO LA NOVEDAD A ESTA PREVENCION. QUE EN COMUNICACION CON EL JUZGADO INTERVININTE SE DISPUSO SE NOTIFIQUE A LOS CAUSANTES DE LA INICIACION DE LA CAUSA EN LA CUAL SE ENCUENTRAN EN CALIDAD DE IMPUTADOS, DEBIENDO ADEMAS SECUESTRAR EL VEHICULO A EFECTOS DE REALIZAR UNA PERICIA MECANICA. QUE TRANSCURRIDAS UNAS HORAS Y YA HABIENDOSE RETIRADO LOS IMPUTADOS DE LA GUARDIA DE PREVENCION, PERSONAL APOPSTADO EN EL FIJO UNO INFORMA QUE POR ESE SECTOR UN TERCER EMPLEADO DE AA 2000 SE ENCONTRABA CON INTENCIONES DE HACER ABANDONO DE LA ZONA OPERATIVA PORTANDO UN RADIADOR, EL CUAL FUERA DECLARADO AL MOMENTO DE SU INGRESO SEGUN CONSTA EN EL LIBRO DE REGISTRO DE OBJETOS. QUE ENTERADO EL JUZGADO DE ESTA NOVEDAD DISPUSO QUE SE PROCEDA A LA IDENTIFICACION DE ESTE TERCER MASCULINO Y SE SECUESTRE EL RADIADOR A EFECTOS DE SER PARTE DE LAS PERICIAS DISPUESTAS EN PRIMERA INSTANCIA.</t>
  </si>
  <si>
    <t>TENENCIA DE ESTUPEFACIENTE PARA CONSUMO</t>
  </si>
  <si>
    <t>PUESTO FIJO N° 01</t>
  </si>
  <si>
    <t>SIENDO LA HORA INDICADA, EN MOMENTOS EN QUE SE REALIZABA EN EL PUESTO FIJO 1 UN CONTROL DE RUTINA SOBRE LOS VEHICULOS QUE INGRESAN A LA ZONA RESTRINGIDA, SE HACE PRESENTE EN EL SECTOR UN VEHICULO DE LA EMPRESA ANDES CON DOS OCUPANTES MASCULINOS. QUE AL DESCENDER AMBOS MASCULINOS SON SOMETIDOS A CHEQUEO RUTINARIO POR PARTE DEL OFICIAL MARTINEZ Y EN FORMA SIMULTANEA LA OFICIAL LOPEZ INSPECCIONABA EL VEHICULO EN CUESTION, OBSERVANDO EN LA PARTE TRASERA DEL MISMO, UNA CAJA DE PEQUEÑAS DIMENSIONES CONTENIENDO PAPEL PARA ARMAR CIGARRILLOS, POR LO QUE EN VIRTUD A LO OBSERVADO LA OFICIAL LOPEZ ANOTICIA AL OFICIAL MARTINEZ QUIEN DISPONE QUE AMBOS MASCULINOS PASEN A TRAVES DE LA MAQUINA DE RAYOS X SUS CALZADOS. UNA VEZ QUE EL IMPUTADO SE QUITA EL CALZADO SE OBSERVA DENTRO DE SU ZAPATILLA DERECHA, UN BULTO ENVUELTO EN NYLON DE COLOR BLANCO SEMITRANSPARENTE EL CUAL DEJABA VER UN CONTENIDO SIMILAR A LA YERBA MATE. QUE SOMETIDA LA SUSTANCIA A REACTIVO DE CAMPO PARA MARIHUANA ARROJA RESULTADO POSITIVO, CON UN PESAJE DE DOS GRAMOS. UNA VEZ ANOTICIADO LA UNIDAD FUNCIONAL INTERVINIENTE DISPONE SE IMPUTE AL CAUSANTE EN LAS PRESENTES ACTUACIONES CARATULADAS TENENCIA DE ESTUPEFACIENTES PARA CONSUMO Y UNA VEZ FINALIZADAS LAS MISMAS EL IMPUTADO SE RETIRE DE ESTA DEPENDENCIA POR SUS PROPIOS MEDIOS.</t>
  </si>
  <si>
    <t>DRA.MARIA INES CARBAJALES</t>
  </si>
  <si>
    <t>CASTRO ALONZO MARCO S/ CONTRABANDO DE ESTUPEFACIENTE.</t>
  </si>
  <si>
    <t>PATIO DE VALIJAS.</t>
  </si>
  <si>
    <t>QUE EL DIA INDICADO LOS OFICIALES INTERVINIENTES DETECTAN EN DOS EQUIPAJES DESPACHADOS A BODEGA POR EL DETENIDO, POR LO QUE SE LO IDENTIFICA, Y POSTERIORMENTE SE LE SOLICITA EN EL PATIO DE VALIJAS, RECONOCIENDO DICHOS EQUIPAJES COMO PROPIOS. ANTE TAL HECHO SE MANTUVO COMUNICACION TELEFONICA CON EL JUZGADO INTERVINIENTE QUIEN ENTERADO AUTORIZA LA REQUISA DEL DETENIDO Y LA DE AMBOS EQUIPAJES IDENTIFICADOS COMO VALIJA 1 Y VALIJA 2. POR TAL MOTIVO RESULTANTE DE LA REQUISA DE LA VALIJA 1 SE HALLARON SIETE PAQUETES DE DIVERSAS MEDIDAS A LOS CUALES DE LOS IDENTIFICO COMO PAQUETE A, PAQUETE B, PAQUETE C, PAQUETE D, PAQUETE E, PAQUETE K, Y PAQUETE L, LOS CUALES EN SU TOTALIDAD POSEIAN EN SU INTERIOR SUSTANCIA PULVERULENTA COLOR BLANCA, QUE SOMETIDA A RECTIVOS QUIMICOS PARA COCAINA MARCA COCA TEST, ARROJARON EN TODAS LAS OCACIONES RESULTADOS POSITIVOS COCAINA. SEGUIDAMENTE COMO RESULTANTE DE LA REQUISA EFECTUADA A LA DENOMINADA VALIJA 2 SE DETECTO DENTRO DEL CUELLO DE UNA CAMPERA OTRO PAQUETE DENOMINADO EN ADELANTE COMO PAQUETE F. EL CUAL SOMETIDO A REACTIVO QUIMICO MARCA COCA TEST ARROJO RESULTADO POSITIVO COCAINA. LUEGO SE PROCEDIO A LA REQUISA DEL EQUIPAJE DE MANO, QUE CONSTA DE UN PEQUEÑO MALETIN DE CUERO COLOR NEGRO, DEL CUAL SE EXTRAJERON OCULTOS ENTRE SUS COMPARTIMIENTOS DOS PAQUETES IDENTIFICADOS COMO PAQUETE G, Y PAQUETE H, LOS CUALES POSEIAN EN SU INTERIOR SUSTANCIA PULVERULENTA COLOR BLANCA, QUE SOMETIDA AL REACTIVO ANTES CITADO ARROJO RESULTADO POSITIVO. FINALMENTE SE PROCEDIO A LA REQUISA DEL PASAJERO HALLANDO DOS PAQUETES DENTRO DE SUS ZAPATILLAS DENOMINANDO A LOS MISMOS COMO PAQUETE I, ZAPATILLA DERECHA Y PAQUETE J ZAPATILLA IZQUIERDA, LOS CUALES ARROJARON RESULTADOS POSITIVOS. LUEGO SE PROCEDIO A NOTIFICAR AL JUZGADO INTEVINIENTE DE LOS RESULTADOS OBTENIDOS, INDICANDO S.SA. SE LABREN ACTUACIONES DE RIGOR BAJO LA CARATULA ANTES CITADA, SE DETENGA E INCOMUNIQUE AL PASAJERO, SE DELEGUEN TAREAS INVESTIGATIVAS, Y SE ELEVE LO ACTUADO JUNTO CON LOS SECUESTROS AL ASIENTO DE LA SECRETARIA INTERVINIENTE EL DIA LUNES 29 DEL CORRIENTE MES Y AÑO A PRIMERA HORA. A CONTINUACION SE PROCEDIO AL PESAJE DE LA SUSTANCIA EL CUAL DIO COMO RESULTADO UN TOTAL DE 4000 GRAMOS. SEGUIDAMENTE SE CONDUJO AL DETENIDO AL HOSPITAL DE EZEIZA DONDE LE EFECTUARON PLACAS RADIOGRAFICAS TENDIENTES A DETERMINAR UNA POSIBLE INGESTA, ARROJANDO RESULTADO NEGATIVO. SE INFORMA SEGUN PU Nº 1873 SIENDO LAS 0730 HORAS SE PROCEDE A TRASLADAR AL DETENIDO A LA SEDE JUDICIAL.</t>
  </si>
  <si>
    <t>STAND DE MANUEL TIENDA LEON</t>
  </si>
  <si>
    <t>QUE SIENDO LA HORA INDICADA EL DENUNCIANTE SE HACE PRESENTE EN EL LOCAL DE LA EMPRESA DE TRANSPORTE MANUEL TIENDA LEON A EFECTOS DE CONTRATAR SERVICIO DE REMIS DE DICHA EMPRESA ABONANDO POR ADELANTADO DICHO SERVICIO RETIRANDO EL DINERO DEL INTERIOR DE UN SOBRE DE PAPEL EL CUAL POSEE LA INSCRIPCION TRAVEL ACE Y LUEGO PROCEDE A RETIRARSE DEJANDO OLVIDADO EN EL MOSTRADOR DE DICHO LOCAL EL SOBRE DE MENCION EL CUAL CONTENIA EN SU INTERIOR DINERO EN EFECTIVO POR VALOR A DOS MIL DOSCIENTOS DOLARES ESTADOUNIDENSES. QUE UNA VEZ QUE EL DENUNCIANTE LLEGA A SU DOMICILIO SE PERCATA DE DICHO FALTANTE POR LO QUE SE COMUNICA TELEFONICAMENTE CON LA EMPRESA DE MENCION DONDE LE INFORMAN QUE EL SOBRE EXTRAVIADO SE ENCONTRABA EN PODER EL SUPERVISOR DE DICHA EMPRESA. SEGUIDAMENTE EL DENUNCIANTE SE HACE PRESENTE EN ESTE AEROPUERTO INTERNACIONAL Y EN MOMENTOS EN QUE EL SUPERVISOR LE HACE ENTREGA DEL SOBRE DE MENCION EL DENUNCIANTE SE PERCATA DE QUE EN EL INTERIOR DEL MISMO SOLO HABIA LA SUMA DE SESENTA Y UN DOLARES ESTADOUNIDENSES. POR TAL MOTIVO SE HACE PRESENTE EN ESTE TURNO DE PREVENCION A EFECTOS DE RADICAR LA CORRESPONDIENTE DENUNCIA</t>
  </si>
  <si>
    <t>1857/10</t>
  </si>
  <si>
    <t>QUE DE ACUERDO A LO ORDENADO POR S.SA. SIENDO LAS SIETE HORAS TREINTA MINUTOS SE PROCEDIO AL TRASLADO DE LOS DETENIDOS EN AUTOS HACIA SEDE JUDICIAL.</t>
  </si>
  <si>
    <t>1870/10</t>
  </si>
  <si>
    <t>QUE EN VIRTUD A LO ORNEDADO PREVIAMENTE POR EL JUZGADO INTERVINIENTE SIENDO APROXIMADAMENTE LAS SIETE HORAS TREINTA MINUTOS SE PROCEDIO A TRASLADAR AL DETENIDO EN AUTOS HACIA SEDE JUDICIAL.</t>
  </si>
  <si>
    <t>GLORIA MARIA KEHOE</t>
  </si>
  <si>
    <t>TRANSPORTE PUBLICO - FUERA DE JURISDICCION</t>
  </si>
  <si>
    <t>TRAYECTO DEL AEROPUERTO, HACIA EL HOTEL AIRES DE RECOLETA PLAZA</t>
  </si>
  <si>
    <t>AL ARRIBAR AL HOTEL, LA PASAJERA EN CUESTION SE PERCATA QUE LE FALTA UNA NOTEBOOK , QUE VIO POR ULTIMA VEZ AL SER REGISTRADO EL CONTENIDO DE SUS MALETAS POR ADUANA, EN EL ARRIBO INTERNACIONAL DE ESTA AERO-ESTACION. NO PUDIENDO PRECISAR EN QUE LUGAR LE FUERA SUSTRAIDO LA COMPUTADORA QUE SE MENCIONA UT SUPRA.</t>
  </si>
  <si>
    <t>AR-1253</t>
  </si>
  <si>
    <t>FISCALIA FEDERAL - USHUAIA</t>
  </si>
  <si>
    <t>DRA LAURA V, UBERTAZZI</t>
  </si>
  <si>
    <t>SIENDO LAS 10:00 HORAS LOCAL SE ENTREGA EN LA EXCELENTISIMA CAMARA FEDERAL DE APELACIONES DE COMODORO RIVADAVIA A CARGO DE LA DRA MARIA TERESA SERRA UN SOBRE CERRADO CONTENIENDO EN SU INTERIOR HABILITACIONES NRO 80, 81 82 H 85, 86 Y 87 H, ENVIADA POR LA UNIDAD OPERACIONAL DE USHUAIA.</t>
  </si>
  <si>
    <t>INFORMO QUE SIENDO LAS 09:25 HS ARRIBA A ESTE AEROPUERTO LA AERONAVE MATRICULA LV- BIX DE LA EMPRESA AEROLINEAS ARGENTINA PROCEDENTE DE LA CIUDAD DE BUENOS AIRES LA CUAL SEGÚN INFORMA PERSONAL DE LA EMPRESA PRESENTA UN IMPACTO DE AVE EN LA ZONA FRONTAL DENOMINADA RADOME PROVOCANDO HUNDIMIENTO DE DICHA ZONA POR LO QUE LA EMPRESA DETERMINA DEJAR FUERA DE SERVICIO A LA AERONAVE Y REUBICAR A LOS PASAJEROS</t>
  </si>
  <si>
    <t>1720/1</t>
  </si>
  <si>
    <t>PASSOS MAGALHAES, VANESA SOFIA S/CONTRABANDO DE ESTUPEFACIENTES</t>
  </si>
  <si>
    <t>GRAND HOTEL ORLY PARAGUAY 474 CABA</t>
  </si>
  <si>
    <t>EN EL DIA DE LA FECHA SE RECIBE OFICIO JUDICIAL ORDENANDOSE TAREAS INVESTIGATIVAS EN EL HOTEL EN EL QUE SE ALOJO LA IMPUTADA VANESSA SOFIA PASSOS MAGALHAES, QUIEN FUERA DETENIDA CUANDO INTENTABA SALIR DEL PAIS EL 26-3-10 EN EL VUELO UX 042, DE LA EMPRESA AEROCOMERCIAL AIR EUROPA ,CON DESTINO MADRID-ESPAÑA CON ESTUPEFACIENTE EN EL INTERIOR DE UNA MOCHILA ,ADEMAS SE SOLICITO REGISTROS FILMICOS SI LOS HUBIERA PARA SER ENVIADOS AL TRIBUNAL , COMO ASI TAMBIEN SE INVESTIGUE EN LA TOTALIDAD DE LA DOCUMENTACION , TELEFONOS CELULARES, CHIPS Y TARJETAS DE MEMORIA SECUESTRADAS A LA IMPUTADA</t>
  </si>
  <si>
    <t>NAC DE 1º INST EN LO CRIMINAL DE INST Nº 19</t>
  </si>
  <si>
    <t>SECRETARIA Nº 159</t>
  </si>
  <si>
    <t>Pagano Mata</t>
  </si>
  <si>
    <t>Rodrigo</t>
  </si>
  <si>
    <t>DR. FERRO H ALEJANDRO</t>
  </si>
  <si>
    <t>INFORMO QUE EN EL CONTROL DE DOCUMENTOS DE PASAJEROS SE DETECTA A TRAVEZ DEL SISTEMA DE INTERPOL PEDIDO DE PARADERO VIGENTE POR PARTE DEL JUZGADO NACIONAL CRIMINAL DE INSTRUCCION NRO 19 SECRETARIA NRO 159 DEL SEÑOR FERNANDO ALBERTO PEÑA EL PERSONAL DE INTERPOL LABRA EL ACTA LA MISMA ES RECEPCIONADA POR EL JEFE DE TURNO DEL DIA DE LA FECHA QUIEN PROCEDE A NOTIFICAR AL CAUSANTE QUE DEBE COMPARECER ANTE EL JUZGADO SOLICITANTE DE LA MEDIDA EN EL TERMINO DE CINCO DIAS HABILES DE LABRADA DICHA NOTIFICACION, FIJANDO DOMICILIO EN CALLE GALLO NRO 1008 BANFIELD PROVINCIA DE BUENOS AIRES.</t>
  </si>
  <si>
    <t>FISCALIA FEDERAL 2 DE ROSARIO</t>
  </si>
  <si>
    <t>BETTIOLO</t>
  </si>
  <si>
    <t>Liliana</t>
  </si>
  <si>
    <t>ALFREDO BOGLIOLI</t>
  </si>
  <si>
    <t>SRIO AV S/LEY 23737</t>
  </si>
  <si>
    <t>598/08</t>
  </si>
  <si>
    <t>SRIO. AV. S/LEY 23737</t>
  </si>
  <si>
    <t>EN EL DIA DE LA FECHA SE RECEPCIONA OFICIO NRO. 62 DE LA FISCALIA ACTUANTE DONDE AUTORIZA A PERSONAL DE ESTA UNIDAD A TOMAR VISTAS DE LAS ACTUACIONES Y LA DOCUMENTAL RESERVADA EN SECRETARÍA EN EL MARCO DEL PRESENTE EXPTE NRO. 598/08 DE LA FISCALIA FEDERAL NRO. 2- NRO. 1029B DEL JUZGADO FEDERAL NRO. 3 AMBOS DE ROSARIO, INFORMADO EN SIPAP PR DOC4 005/09. EN LA DOCUMENTAL OBRA LA RESOLUCIÓN 1642 DEL 29/12/09 DEL JUZGADO FEDERAL ACTUANTE EN LA QUE RESUELVE ACUMULAR A LAS PRESENTES ACTUACIONES EL EXPTE NRO. 675/09B DEL JUZGADO FEDERAL NRO. 3 DE ROSARIO QUE SON LLEVADAS ADELANTE POR ESTA UNIDAD INFORMADAS EN SIPAP PR DOC4 090/09</t>
  </si>
  <si>
    <t>KEHOE GLORIA MARIA</t>
  </si>
  <si>
    <t>AVERIGUACION DE IDENTIDAD, LEY 23.950</t>
  </si>
  <si>
    <t>COMERCIO TIENDA DE CAFE - ARRIBOS A1</t>
  </si>
  <si>
    <t>EN EL DIA DE LA FECHA SE LE PROCEDE A IDENTIFICAR A UNA PERSONA EN EL COMERCIO TIENDA DE CAFE, UBICADO EN EL SECTOR DE ARRIBOS A1, LA CUAL NO POSEIA DOCUMENTO DE IDENTIDAD ALGUNO CONSIGO, ADEMAS DE POSEER ENTRE SUS PERTENENCIAS UNA VARILLA DE MADERA FORRADA CON CINTA AHILADORA NEGRA CON UN GANCHO EN UNO DE SUS EXTREMOS, Y UNA NOTEBOOK FUERA DE SERVICIO DE LA CUAL NO POSEIA ELEMENTOS QUE ABALEN LA PROPIEDAD DE LA MISMA.SE ENTABLO COMUNICACION CON EL JUZGADO NACIONAL EN LO CORRECCIONAL Nº13 A/C DE LA DRA GUICHANDUT, LA CUAL DISPONE QUE SE PROCEDA AINICIAR ACTUACIONES POR AVERIGUACION DE IDENTIDAD, LEY 23.950. CON RESULTADO DE IDG SE ENTABLO COMUNICACION CON EL JUZGADO NACIONAL EN LO CRIMINAL DE ROGATORIA, EL CUAL DISPONE QUE SE PROCEDA A LA DETENCION POR POSECION DE CAUSA PENDIENTE. UN PEDIDO DE DETENCION VIGENTE CARATULADO ROBO A NOMBRE DE BARON DIEGO ADOLFO SIN MAS DATOS. SOLICITADO POR EL CONVENIO POLICIAL TUCUMANO, FISCALIA DE INSTRUCCION 5TA. NOM. JUD.INSTR. 1RA. NUM EXPETE 92.058 CON FECHA 01/07/2000 EN LA PROVINCIA DE TUCUMAN LA CAUSA SE INICIA COMO AVERIGUACION DE IDENTIDAD Y LUEGO EL JUZGADO DETERMINA Q QUEDE PROCESADO POR INFRACCION AL ART 190 DEL CPN PU 1894 CON EL RESULTADO DE LA CONSTATACION DE IMPEDIMENTOS IDGE INTERPOL, SE PROCEDIO A ENTABLAR COMUNICACION TELEFONICA CON EL JUZGADO DE ROGATORIA, AL NO PODERSE ENTABLAR COMUNICACION CON EL JUZGADO SOLICITANTE DEL PEDIDO DE DETENCION DE LA PROVINCIA DE TUCUMAN SOBRE EL IMPUTADO. SEGUIDAMENTE Y SEGUN LAS DIRECTIVAS EMANADAS SE PROCEDE A INICIAR ACTUACIONES JUDICIALES CAUSA INTERNA NRO. 131-A/10 CARATULADA -ESTABLECER PEDIDO DE DETENCION LEY 20.711-, DETENCION EN CARCATER DE COMUNICADO Y DEMAS DILIGENCIAS DE RIGOR, ESTABLECIENDO NUEVA COMUNICACION CON EL RESULTADO DE LAS MISMAS.</t>
  </si>
  <si>
    <t>TRAYECTO ENTRE LA CINTA Nº 7 Y EL HALL PUBLICO DE PASAJEROS</t>
  </si>
  <si>
    <t>QUE SIENDO LA FECHA Y HORA ANTEDICHA, SE HIZO PRESENTE EN ESTA DEPENDENCIA LA DAMNIFICADA QUIEN MANIFESTABA QUE AL MOMENTO DE HABER ARRIBADO A ESTE MEDIO TOMO SUS EQUIPAJES DE LAS CINTAS TRANSPORTADORAS, PORTANDO EN DICHA OCASION COMO EQUIPAJE DE MANO UN BOLSO NEGRO SIN MARCA A LA VISTA. QUE LUEGO DE EFECTUADOS LOS TRAMITES MIGRATORIOS Y ADUANEROS SE DIRIGIO AL HALL PUBLICO DE PASAJEROS, LUGAR EN EL CUAL SE PERCATO DEL FALTANTE DE DICHO BOLSO. QUE CONSULTADO EL PERSONAL DE ADUANA POR PARTE DE LA DAMNIFICADA SI HABIA ENCONTRADO EL BOLSO FALTANTE EL MISMO MANIFESTO QUE NO. QUE EFECTUADA UNA BUSQUEDA DEL BOLSO A TRAVES DEL RECORRIDO EFECTUADO POR LA DENUNCIANTE LA MISMA ARROJO RESULTADO NEGATIVO.-</t>
  </si>
  <si>
    <t>LOS OFICIALES FERNANDEZ Y BILLORDO EN UNA RECORRIDA POR LA TERMINAL A, SECTOR PERGOLA ARRIBOS, OBSERVAN A UNA PERSONA DE SEXO MASCULINO QUE SE ENCONTRABA OFRECIENDO SERVICIO DE TRANSPORTE PUBLICO, A VIVA VOZ, A PASAJEROS RECIEN ARRIBADOS.POR TAL MOTIVO SE LE COMUNICA LA INFRACCION COMETIDA AL INFRACOR Y SE LO CONDUCE AL SERVICIO DE SANIDAD, POSTERIORMENTE SE LO TRASLADA A LA OFICINA DE CONTRAVENCIONES Y FALTAS PARA LABRAR LAS ACTUACIONES CORRESPONDIENTES.</t>
  </si>
  <si>
    <t>INFRACCIONA LOS ARTS. 78 Y 85 DEL DECRETO LEY 8031/73</t>
  </si>
  <si>
    <t>EL OFICIAL GUAGLIANONE EN UNA RECORRIDA POR LA TERMINAL A, SECTOR PERGOLA ARRIBOS, OBSERVA A UNA PERSONA DE SEXO MASCULINO QUIEN SE ENCONTRABA OFRECIENDO SERVICIO DE TRANSPORTE PUBLICO A VIVA VOZ, A PASAJEROS RECIEN ARRIBADOS.TODO ESTO EN PRESENCIA DEL TESTIGO HABIL SR. CORREA FORTUNATO. POR TAL MOTIVO SE LE COMUNICA LA INFRACCION, SE LO CONDUCE AL SERVICIO DE SANIDAD Y POSTERIOR TRASLADO A LA OFICINA DE CONTRAVENCIONES Y FALTAS PARA LABRAR LAS ACTUACIONES CORRESPONDIENTES.</t>
  </si>
  <si>
    <t>JORGE MARIANO FRIAS</t>
  </si>
  <si>
    <t>AVERIGUACION DE SUSTRACCION DE ELEMENTOS</t>
  </si>
  <si>
    <t>SE RECEPCIONO EN ESTA UNIDAD, UNA DENUNCIA POR PARTE DEL SR. ROBERTO CARLOS BAIGORRIA GOMEZ, D.N.I 25.565.784, DEL FALTANTE DE UNA BILLETERA DE CUERO CONTENIENDO EN SU INTERIOR UNA CEDULA AUTOMOTOR DE SU VEHICULO, DOSCIENTOS NOVENTA PESOS APROXIMADAMENTE, UN REGISTRO A SU NOMBRE Y ELEMENTOS VARIOS SIN VALOR COMERCIAL, LA MISMA SE ENCONTRABA DENTRO DE UNA MOCHILA DE SU PROPIEDAD LA CUAL HABIA SIDO DESPACHADA EN LOS MOSTRADORES DE LA EMPRESA AEROLINEAS ARGENTINAS EN EL AEROPUERTO JORGE NEWBERY EL DIA 28 DE MARZO DEL CORRIENTE CON DESTINO SAN LUIS, Y QUE LUEGO YA EN SU DOMICILIO NOTA DICHO FALTANTE, POR LO QUE REGRESA A ESTE AEROPUERTO NO ENCONTRANDO A NADIE RESPONSABLE DE LA EMPRESA AEREA POR LO QUE PERSONAL DE SEGURIDAD DE A.A 2000, LE RECOMIENDA QUE SE PRESENTE EL DIA 29 DEL CORRIENTE Y REALIZE EL RECLAMO EN DICHA COMPAÑIA Y LUEGO EN LA P.S.A , ANTE ESTO SE INFORMA AL DR. JORGE MARIANO FRIAS DEL HECHO EN SI Y CARATULA EL MISMO COMO AVERIGUACION DE SUSTRACCION DE ELEMENTOS Y ELEVE EN CONSULTA LA PREVENCION EL DIA MIERCOLES 31 DE MARZO DEL CORRIENTE.</t>
  </si>
  <si>
    <t>GRANGEAT JUAN MANUEL</t>
  </si>
  <si>
    <t>INFRACCION AL ART. 194 CP</t>
  </si>
  <si>
    <t>CERCANIAS A LA POSICION Nº 18 DE LA PLATAFORMA</t>
  </si>
  <si>
    <t>SIENDO LAS 23:20 HS DEL DIA 28 DEL CORRIENTE MES Y AÑO, EL OFICIAL NESTOR SANCHEZ REALIZA COMUNICACION RADIAL, SOLICITANDO LA PRESENCIA DEL ENCARGADO DE TURNO, POR TENER LA NOVEDAD DE QUE UNA PERSONA DEL SEXO MASCULINO, HABRIA SALTADO EL CERCO PERIMETRAL DE ESTE AEROPUERTO EN LAS CERCANIAS A LA POSICION Nº 18 DE LA PLATAFORMA. POSTERIORMENTE SE PROCEDE A LA DEMORA DEL MISMO, Y POR ORDEN DEL JUZGADO A LA DETENCION Y ACTUACIONES DE RIGOR POR INFRACCION AL ART 194 DEL CPN. EN EL DIA DE LA FECHA, 29 DE MARZO DE 2010 A LAS 11:00 HS APROXIMADAMENTE, EN VIRTUD DE LO DISPUESTO POR EL JUZGADO INTERVINIENTE SE PROCEDIO A DEJAR EN LIBERTAD AL CAUSANTE POR NO POSEER IMPEDIMENTO LEGAL DE LIBERTAD SEGUN LO INFORMADO POR EL REGISTRO DE REINCIDENCIAS E IDGE DE LA PFA.</t>
  </si>
  <si>
    <t>MARIANA ZABALA DUFFAU</t>
  </si>
  <si>
    <t>AROMAS, COLORANTES DE LOS ANDES SAC ALFA ARGENTINA S/AVERIGUACION DE CONTRABANDO</t>
  </si>
  <si>
    <t>PUNTO DE INSPECCION, MAQUINA DE RAYOS X,</t>
  </si>
  <si>
    <t>TCA</t>
  </si>
  <si>
    <t>EN EL DIA DE LA FECHA SIENDO LAS 9:00 HS APROXIMADAMENTE SE RECIBE COMUNICACIÓN DEL OFICIAL PAVÓN Y EL OFICIAL SÁNCHEZ, INFORMANDO QUE A TRAVÉS DEL CONTROL DE PUNTO DE INSPECCIÓN DE LA MAQUINA DE RAYOS "X" DEL PUESTO TCA, SE DETECTARON 8 (OCHO) BARRILES CILÍNDRICOS, CONTENIENDO EN SU INTERIOR UNA SUSTANCIA DE ORIGEN DUDOSO. MOTIVO POR EL CUAL SE HICIERON PRESENTES EL AUXILIAR DE CRIMINALÍSTICA Y EL JEFE DE TURNO, REALIZANDO EL PROCEDIMIENTO CORRESPONDIENTE, Y ARROJANDO COMO RESULTADO EN TODOS LOS CASOS REACTIVO NEGATIVO PARA DIFERENTES SUSTANCIAS DE ESTUPEFACIENTES. PROCEDIENDOSE A NUEVA COMUNICACIÓN CON LA JUDICATURA ACTUANTE LA CUAL ORDENA SE TRASLADE AL JUZGADO TODO LO ACTUADO HASTA EL MOMENTO. SEGUN INFORMA PARTE 2524 DE LA URSA II EN EL DIA DE LA FECHA SE RECEPCIONA OFICIO JUDICIAL SOLICITANDO QUE LA MERCADERIA SECUESTRADA EN DICHA CAUSA DEBERÁ SER ENTREGADA A LA ADUANA A FIN DE SER SOMETIDA A LOS CORRESPONDIENTES CONTROLES ADUANEROS, LA QUE EN CASO DE CORRESPONDER HARA ENTREGA DE LA MISMA A LA FIRMA ALFA ARGENTINA S.A. O A QUIEN CORRESPONDA, CABE ACLARAR QUE LA MISMA ES LA PROSECUCIÓN DE LA CAUSA INTERNA -AROMAS COLORANTES DE LOS ANDES SAC ALFA ARGENTINA S/AVERIGUACIÓN DE CONTRABANDO- PREVENCION SUMARIAL N°130-A-09 DE FECHA 29 DE MARZO DE 2010 JUZGADO INTERVINIENTE NACIONAL EN LO PENAL ECONOMICO N°07 S.SA. DR RAFAEL CAPUTO, SECRETARIA N°13 DRA MARIANA DUFFAU, FISCALIA N°4 DRA. MARIA LUZ RIVAS DIEZ, SECRETARIA DRA. XIMENA RODRIGUEZ FONTELA. SEGUN PU 2546 SIENDO LA HORA Y EL DIA SE PROCEDE A LA ENTREGA POR PARTE DE ESTA POLICIA DE UN TOTAL DE OCHO BARRILES CON SUS REPECTIVAS ETIQUETAS DE CARGA LOS CUALES PESAN 28.8 KG. C/U CON MARBETE COLOCADO Nº 044-35464413 1/8, Nº 044-35464413 2/8, Nº 044-35464413 3/8, Nº 044-35464413 4/8, Nº 044-35464413 5/8, Nº044-35464413 6/8, Nº044-35464413 6/8, Nº044-35464413 7/8, Nº044-35464413 8/8, EL DESTINO DE DICHA CARGA ERA LA CIUDAD DE CORDOBA. LA PRESENTE ENTREGA SE REALIZA AL SR. MONTEROS ANTONIO, TITULAR DEL DNI 21.558.431, EN CALIDAD DE GUARDA DEL SECTOR BODEGA. LOS ELEMENTOS SECUESTRADOS SON ENTREGADOS A LA AUTORIDAD ADUANERA, QUIEN HARA ENTREGA DE LA MISMA A LA FIRMA ALFA ARGENTINA S.A. O A QUIEN CORRESPONDA. POR ORDEN DEL JUZGADO FEDERAL N°3 DE CORDOBA A CARGO DEL DR. ALEJANDRO SANCHEZ FREYTES, SECRETARIA PENAL A CARGO DE MARIANA BUTELER DE BARROS SEGUN CAUSA JUDICIAL 20.479 CARATULADA AROMAS COLORANTES DE LOS ANDES S.A.C. S/AVERIGUACION INFRACCION LEY 23.737.</t>
  </si>
  <si>
    <t>1885/10</t>
  </si>
  <si>
    <t>EL INICIO DE ACTUACION SE INICIO CON LA CAUSA 129A-/10 DONDE SE IDENTIFICA Y SE PIDE ANTECEDENTES DEL IMPUTADO ARROJANDO QUE SOBRE EL MISMO PESA UN PEDIDO DE CAPTURA , EL JUZGADO DE TUCUMAN ES POR ELLO SE SE INICIA LA CAUSA INTERNA NRO. 131-A/10 CARATULADA -ESTABLECER PEDIDO DE DETENCION LEY 20.711-, DETENCION EN CARCATER DE COMUNICADO Y DEMAS DILIGENCIAS DE RIGOR, ESTABLECIENDO NUEVA COMUNICACION CON EL RESULTADO DE LAS MISMAS.</t>
  </si>
  <si>
    <t>FEDERICO GONZALEZ</t>
  </si>
  <si>
    <t>ROBO MODALIDAD ARREBATO</t>
  </si>
  <si>
    <t>ESTACIONAMIENTO VEHICULOS ALQUILER VEREDA SECTOR A2</t>
  </si>
  <si>
    <t>VEREDA SECTOR A 2</t>
  </si>
  <si>
    <t>QUE HOY DÍA DE LA FECHA SIENDO APROXIMADAMENTE LAS 15:30 HORAS, EL DENUNCIANTE ARRIBA JUNTO A SU FAMILIA DEL VUELO ANTES MENCIONADO. UNA VEZ EN LA VEREDA DEL SECTOR A2 A FIN DE ABORDAR UN VEHICULO DE ALQUILER, DISPONIÉNDOSE A CARGAR EN EL BAÚL DEL VEHICULO LOS DIFERENTES EQUIPAJES, MOMENTOS EN EL CUAL APARECE UN VEHICULO MARCA FORD FOCUS COLOR AZUL OSCURO QUE INGRESA A LA DÁRSENA RÁPIDAMENTE, Y DEL CUAL DESCENDIÓ RÁPIDAMENTE UNA PERSONA SUSTRAYENDO AL DENUNCIANTE UN MALETÍN, EGRESANDO RÁPIDAMENTE DE LA DARSE DÁNDOSE A LA FUGA. UNO DE LOS FAMILIARES DEL DENUNCIANTE OBSERVO QUE UNA PERSONA DE SEXO MASCULINO, QUE HABIA DESCENDIDO DEL VEHICULO, LA HABIA DISTRAIDO REALIZANDO PREGUNTAS SOBRE DIFERENTES VUELOS, POR LO QUE EL DENUNCIANTE LO INCREPA, MANIFESTANDO EL MASCULINO "NEGOCIEMOS, NEGOCIEMOS" EN INCREPADO, MOMENTOS EN EL CUAL SE HACE PRESENTE PERSONAL POLICIAL, HACIÉNDOSE CARGO DE LA SITUACIÓN A ESTE MASCULINO, DIRIGIÉNDOSE TODOS LOS INTERVINIENTES HASTA LA GUARDIA DE PREVENCIÓN A FIN DE REALIZAR LAS ACTUACIONES PREVENCIONALES CORRESPONDIENTES. SE ENTABLA COMUNICACIÓN TELEFONICA CON LA JUDICATURA ACTUANTE, QUE DISPONE: SOLICITAR REGISTRO FÍLMICO CON ENVÍO A LA DIVISIÓN APOYO TECNOLÓGICO PFA, DE LLEGAR A OBSERVARSE EL DOMINIO DEL VEHICULO SOLICITAR REGISTRO AUTOMOTOR SACTA, DETENCIÓN DEL CAUSANTE EN CARÁCTER DE INCOMUNICADO, ARTICULO 86 DEL RJCACC Y 197 CPPN, NOTA CONSULADO DE COLOMBIA PARA INFORMAR DE LA DETENCIÓN, AMBIENTAL 26 Y 41 CP, MEDICO LEGISTA PFA, FOTOGRAFÍAS DEL DETENIDO, CONSTATACIÓN DE DOMICILIO, IMPEDIMENTOS POR IDGE, ARTICULO 353 BIS CPPN, PLANILLA PRONTUARIAL PFA, TRASLADO A LA U-28 S.P.F. Y EL SUMARIO A PRIMERA HORA EN EL JUZGADO, CIERRE Y ELEVACIÓN. SIENDO LA HORA 00:10 DEL DIA 29-03-2010, EL CAUSANTE ES LLEVADO HASTA LA U-28 DEL SPF, QUEDANDO ALOJADO ALLI. SIENDO LA HORA 08:00 DEL DÍA 29 DEL CORRIENTE MES Y AÑO, SE PROCEDE A LA ELEVACIÓN DE LAS ACTUACIONES REALIZADAS EN ESTA UOSP.</t>
  </si>
  <si>
    <t>LA4113</t>
  </si>
  <si>
    <t>AVERIGUACION DE ENCUBRIMIENTO</t>
  </si>
  <si>
    <t>LA CAUSA 133-A/10 COMIENZA CON LAS ACTUACIONES DE LA CAUSA 129-A/10 -IDENTIFICACION DE PERSONAS -Y 131-A/10-PEDIDO DE CAPTURA-, SIENDO LAS 09:20 HS ORDENA LA LIBERACIÓN DEL DETENIDO, AL SER PUESTO EN LIBERTAD EL DETENIDO NO RECONOCE COMO SUYOS LA TOTALIDAD DE LOS ELEMENTOS SECUESTRADOS AL MOMENTO DE SU APREHENSIÓN, MOTIVO POR EL CUAL SE PROCEDE A ESTABLECER COMUNICACIÓN TELEFÓNICA CON EL DR. EDUARDO RICO TITULAR DE LA SECRETARIA Nº79 DEL JUZGADO NACIONAL DE PRIMERA INSTANCIA EN LO CORRECCIONAL Nº 13 , EL CUAL ORDENA QUE SE MANTENGAN SECUESTRADOS LOS ELEMENTOS, SE DE INICIO A UNA NUEVA PREVENCIÓN SUMARIA POR "AVERIGUACION DE ENCUBRMIENTO" ( SUMARIO INTERNO Nº 133-A/10) Y NO SE TOME TEMPERAMENTO ALGUNO CON EL IMPUTADO, RETIRÁNDOSE EL CAUSANTE POR SUS PROPIOS MEDIOS DE ESTA DEPENDENCIA.</t>
  </si>
  <si>
    <t>JUZGADO NACIONAL EN LO CRIMINAL DE INSTRUCCION Nº 34</t>
  </si>
  <si>
    <t>SECRETARIA Nº 117</t>
  </si>
  <si>
    <t>Salva</t>
  </si>
  <si>
    <t>Federico Marcelo</t>
  </si>
  <si>
    <t>DE ROSA VERONICA</t>
  </si>
  <si>
    <t>LAROTONDA LEONARDO Y OTROS S/ DELITO DE ACCION PUBLICA</t>
  </si>
  <si>
    <t>4441/09</t>
  </si>
  <si>
    <t>CALLE PERON 3281 DE LA LOCALIDAD DE SAN JUSTO - CALLE REP. PORTUGAL 2725 PLANTA ALTA DE LA LOCALIDAD DE I. CASANOVA - CALLE BERMEJO 3134 DE LA LOCALIDAD DE SAN JUSTO - CALLE CNEL. ZELADA 2522 U. 124 DE LA LOCALIDAD DE LA FERRERE - CALLE ARENALES 3583 4°P A DE C.A.B.A.- CALLE MILLAN 31 2° A DE LA LOCALIDAD DE V. MADERO - CALLE SANTO DOMINGO 888 DE LA LOCALIDAD DE MARTINEZ - CALLE TUYUTI 1243 DE LA LOCALIDAD DE TAPIALES - CALLE PEDERNERA 580 DE LA LOCALIDAD DE V. MADERO</t>
  </si>
  <si>
    <t>C.A.B.A. Y GRAN BUENOS AIRES</t>
  </si>
  <si>
    <t>SE INVSTIGA EN AUTOS LA ACTIVIDAD DESARROLLADA POR UNA BANDA DELICTIVA QUE CONSISTIRIA EN LA SUSTRACCION DE VEHICULOS EN LA VIA PUBLICA PARA POSTERIORMENTE PROCEDER A LA ADULTERACION DE SU DOCUMENTACION Y/O NUMEROS REGISTRALES, FINALIZANDO CON LA VENTA DE LOS MISMOS MEDIANTE LA FABRICACION DE AUTOMOTORES MELLIZOS O COMERCIALIZANDO SUS AUTOPARTES. POR LO QUE EL DIA DE LA FECHA SE REALIZARON ALLANAMIENTOS REFERENTE A ORDEN DE SERVICIO Nº 192 ORDENADO POR LA JUDICATURA INTERVINIENTE EN EL MARCO DE LA CAUSA DE REFERENCIA CON LOS SIGUIENTES RESULTADOS. EN LA FINCA UBICADA EN LA CALLE PERON 3281 DE LA LOCALIDAD DE SAN JUSTO CON RESULTADO NEGATIVO. EN LA FINCA UBICADA EN LA CALLE REP. PORTUGAL 2725 PLANTA ALTA DE LA LOCALIDAD DE I. CASANOVA CON RESULTADO NEGATIVO. EN LA FINCA UBICADA EN LA CALLE BERMEJO 3134 DE LA LOCALIDAD DE SAN JUSTO CON RESULTADO NEGATIVO. EN LA FINCA UBICADA EN LA CALLE CNEL. ZELADA 2522 U. 124 DE LA LOCALIDAD DE LA FERRERE CON RESULTADO NEGATIVO. EN LA FINCA UBICADA EN LA CALLE ARENALES 3583 4°P A DE C.A.B.A. CON RESULTADO NEGATIVO. EN LA FINCA UBICADA EN LA CALLE MILLAN 31 2° A DE LA LOCALIDAD DE V. MADERO CON RESULTADO NEGATIVO. EN LA FINCA UBICADA EN LA CALLE PEDERNERA 580 DE LA LOCALIDAD DE V. MADERO CON RESULTADO POSITIVO.EN LA FINCA UBICADA EN LA CALLE SANTO DOMINGO 888 DE LA LOCALIDAD DE MARTINEZ CON RESULTADO POSITIVO. EN LA FINCA UBICADA EN LA CALLE TUYUTI 1243 DE LA LOCALIDAD DE TAPIALES CON RESULTADO POSITIVO. DETALLANDOSE LOS ELEMENTOS SECUESTRADOS EN EL CAMPO CORRESPONDIENTE.-</t>
  </si>
  <si>
    <t>AEROPUERTO MIAMI AEROPUERTO SAN PABLO AEROPUERTO EZEIZA</t>
  </si>
  <si>
    <t>EN REFERENCIA A DECLARACIONES REALIZADAS POR UNA PERSONA DE SEXO MASCULINO, EN EL MEDIO TELEVISIVO TODO NOTICIA, EN LAS CUALES SEÑALABA HABER SIDO VICTIMA DE LA ROTURA DE SU EQUIPAJE Y EL FALTANTE DE SUS PERTENENCIAS, AGREGANDO QUE A VARIOS PASAJEROS LA HABIA OCURRIDO LO MISMO. ANTE TAL NOVEDAD SE CONSULTO A LA EMPRESA TAM SOBRE LOS HECHOS DIFUNDIDOS Y SE LOGRO DETERMINAR QUE EL PASAJERO QUE APARECE EN LOS MEDIOS PERIODISTICOS Y REALIZA LAS DECLARACIONES SE LLAMARIA GERARDO HORACIO BUSCHETARI, QUIEN REALIZO EL RECLAMO DE EQUIPAJE EL DIA 27/03/10, DIA EN QUE ARRIBO EN EL VUELO TAM 8006 PROVENIENTE DE MIAMI CON ESCALA EN BRASIL. EL JUZGADO ORDENA SE LABREN LAS ACTUACIONES CORRESPONDIENTES Y SE INVITE AL SR. BUSCHETARI A REALIZAR UNA DECLARACION TESTIMONIAL A EFECTOS DE RATIFICAR SUS DICHOS ANTE LOS MEDIOS.-</t>
  </si>
  <si>
    <t>TAM 8006</t>
  </si>
  <si>
    <t>36/10</t>
  </si>
  <si>
    <t>SE AMPLIA PARTE N 36/10, DE ACUERDO A LAS ULTIMAS TAREAS INVESTIGATIVAS, EL JUEZ FEDERAL INTERVINIENTE ORDENA SE ACUMULE EL EXPTE. 778/09 CARATULADO AVERIGUACION INFRACCION A LA LEY 23.737 Y 22.415 AL EXPTE. 220/08 CARATULADO CALATAYUD, RAUL DANTE S/ CONTRABANDO, YA QUE LOS HECHOS INFORMADOS GUARDAN RELACION CON EL HECHO INVESTIGADO EN ESTE ÚLTIMO EXPTE. DE MANERA QUE LA CAUSA 778/09 HA SIDO UNIFICADA A LA 220/08 DEL MISMO JUZGADO DANDOSE POR FINALIZADO EL PARTE N° 36/10.</t>
  </si>
  <si>
    <t>CALATAYUD, RAUL DANTE S/ CONTRABANDO</t>
  </si>
  <si>
    <t>220/08</t>
  </si>
  <si>
    <t>EN EL DIA DE LA FECHA, 30 DE MARZO DE 2010, SE RECEPCIONA NOTIFICACION POR PARTE DEL JUZGADO, LA MISMA ORDENA CONTINUAR TAREAS INVESTIGATIVAS LUEGO DE QUE SU SA. ACUMULARA LA CAUSA N° 778/09 CARATULADA AVERIGUACION INFRACCION A LA LEY 23.737 Y 22.415 A LA CAUSA N°220/08 CARATULADA CALATAYUD, RAUL DANTE S/ CONTRABANDO. DE MANERA QUE ESTE PARTE INICIA LA MENCIONADA CAUSA. POR OTRA PARTE SE RECIBIÓ OFICIOS JUDICIALES N° 741, 742 Y 743/10 DE FECHA 25 DE MARZO DE 2010, DIRIGIDOS A LAS EMPRESAS DE TELEFONIA:MOVISTAR, PERSONAL Y CLARO, COMO ASI TAMBIEN OFICIO JUDICIAL N° 740/10 PARA LA DIRECCION DE OBSERVACIONES JUDICIALES A FIN DE PROCEDER A LA INTERVENCION TELEFONICA DE DOS LINEAS FIJAS Y DOS CELULARES, PERTENECIENTES A LAS PERSONAS INVESTIGADAS, LAS MENCIONADAS INTERVENCIONES AUN NO SE HICIERON EFECTIVAS. SEGUN PU 2122 EN EL DIA DE LA FECHA, 08 DE ABRIL DE 2010, SE RECEPCIONA OFICIO JUDICIAL N° 868/10 DE FECHA 07-ABR-10, REFERENTE AL EXPTE. 220/08 CARATULADO CALATAYUD RAUL DANTE Y OTROS S/CONTRABANDO, EN EL CUAL EL TRIBUNAL DISPUSO QUE CON FECHA 03 DE MARZO DEL CORRIENTE, ACUMULAR EL EXPTE. N° 778/09 CARATULADO MARIANO BELLUCCO AVERIGUACION INFRACCION A LA LEY 23737 Y 22415, A LA CAUSA DE REFERENCIA. SE AMPLIA PARTE N° 2122 MEDIANTE EL PU 2390. FECHA: 22 DE ABRIL DE 2010. TAREAS REALIZADAS SEGUN O.S. N° 13/10 EMITIDA POR ESTA UNIDAD. INFORMO QUE CON FECHA 12 DE ABRIL DEL CORRIENTE AÑO, SE HICIERON EFECTIVAS LAS INTERVENCIONES TELEFONICAS SOLICITADAS. A SU VEZ SE RECIBIERON LAS SABANAS TELEFONICAS. POR ULTIMO INFORMO QUE SE SOLICITÓ A LA DRICA DEL NORTE, ENTRECRUZAMIENTO DE LAS LINEAS OBSERVADAS MEDIANTE EL PROGRAMA I 2.</t>
  </si>
  <si>
    <t>SE AMPLIA PARTE N° 1786/10, INFORMANDO QUE SE PROCEDE A DAR POR CUMPLIMENTADO A LO SOLICITADO EN MEMORANDO N° 0352/10 DE FECHA 15 DE MARZO PRODUCIDO POR EL JEFE DE LA UOCN Y DC DE LA PATAGONIA, MEDIANTE O.S. N° 010/10 DE ESTA UOCN Y DC. EL INFORME DE LO ACONTECIDO SERA ELEVADO A LA INSTANCIA SUPERIOR.</t>
  </si>
  <si>
    <t>1807/10</t>
  </si>
  <si>
    <t>EN EL DIA DE LA FECHA SE EFECTUA COMUNICACION CON EL JUZGADO FEDERAL SOLICITANDO NUMERO DE CAUSA DE LAS ACTUACIONES SUMARIALES NUMERO INTERNO 001/2010 CARATULADA DAÑOS. INFORMANDO QUE EL NUMERO DE CAUSA ES: P.S.A. S/DENUNCIA EXP. N° 162/2010.</t>
  </si>
  <si>
    <t>EN EL DIA DE LA FECHA ATERRIZA AERONAVE PRESIDENCIAL FOKER F-28 MATRICULA T-03 TRASLADANDO AL SR. MINISTRO DE SALUD DE LA NACION DR. JUAN MANZUR Y COMITIVA, QUIENES REALIZARAN DIVERSAS ACTIVIDADES EN LA PROVINCIA EN TORNO A LA CAMPAÑA DE LUCHA CONTRA EL DENGUE, REGRESANDO VIA TERRESTRE A ESTE AEROPUERTO PARA SOBREVOLAR EN HELICOPTERO, PERTENECIENTE A LA DIRECCION PROVINCIAL DE AVIACION CIVIL DE LA PROVINCIA DE SAN MIGUEL DE TUCUMAN MATRICULA LV-AZJ, SOBRE LAS LOCALIDADES AFECTADAS POR EL DESBORDE DEL RIO SALADO.EL MISMO TIENE PREVISTO EL DESPEGE HACIA LA CIUDAD DE BUENOS AIRES A LAS 19:00 HS APROXIMADAMENTE.</t>
  </si>
  <si>
    <t>SANTIAGO DEL ESTERO</t>
  </si>
  <si>
    <t>MAURICIO J. DONATI</t>
  </si>
  <si>
    <t>SRIO. AV. LEY 23737 -GRANADERO BAIGORRIA-</t>
  </si>
  <si>
    <t>SRIO. AV. LEY 23737</t>
  </si>
  <si>
    <t>CALLE 2 Y 12, CALLE CAPITONEJOS AL 500, CALLE 13</t>
  </si>
  <si>
    <t>CIUDAD DE GRANADERO BAIGORRIA - SANTA FE</t>
  </si>
  <si>
    <t>EN EL DIA DE LA FECHA SE RECIBE OFICIO NRO. 269 DE LA FISCALIA ACTUANTE ORDENANDO TAREAS INVESTIGATIVAS TENDIENTES A CONFIRMAR: A- SI LOS DOMICILIOS UBICADOS EN CALLE 2 Y 12 Y OTROS DE GRANADERO BAIGORRIA SE REALIZAN ACTIVIDADES EN INFRACCIÓN A LA LEY 23737, EN LAS QUE TENDRÍA ACTUACIÓN UNA PERSONA DE NOMBRE ARIEL, B- EN EL DOMICILIO DE CALLE CAPITONEJOS AL 500 DE GRANADERO BAIGORRIA DONDE HABITARÍA UNA PERSONA DE NOMBRE KELLY QUIEN REALIZARÍA ACTIVIDADES EN INFRACCIÓN A LA LEY 23737, C- EN EL DOMICILIO DE CALLE 13 DE GRANADERO BAIGORRIA EN LA QUE HABITARÍA UNA PERSONA DE NOMBRE GUSTAVO Y REALIZARÍA CONDUCTAS REÑIDAS CON LA LEY 23737, D- LOS INTEGRANTES DE LA FAMILIA CANTERO QUIENES COMERCIALIZARIAN ESTUPEFACIENTES EN ZONA SUR DE ROSARIO. EL PRESENTE PARTE ES AMPLIATORIO DEL PARTE NRO. 1863 DEL DIA 28/03/2010.</t>
  </si>
  <si>
    <t>DONATI MAURICIO JOSE</t>
  </si>
  <si>
    <t>SRIO. AV. LEY 23737 -........-</t>
  </si>
  <si>
    <t>32/2010</t>
  </si>
  <si>
    <t>SRIO. AV. LEY 23737 -..........-</t>
  </si>
  <si>
    <t>CALLE CHUBUT A LA ALTURA DEL 200 - CIUDAD DE RUFINO - PROVINCIA DE SANTA FE</t>
  </si>
  <si>
    <t>EN EL DÍA DE LA FECHA SE RECIBE OFICIO NRO. 229 DE LA FISCALIA ACTUANTE DONDE ORDENA REALIZAR TODAS LAS MEDIDAS INVESTIGATIVAS POSIBLES PARA ESCLARECER EL HECHO QUE SE VINCULA A LA VENTA DE ESTUPEFACIENTE AL DOMICILIO DE CALLE CHUBUT A LA ALTURA DEL 200 DE LA CIUDAD DE RUFINO, EN LA PROVINCIA DE SANTA FE. PU 3067 EN EL DÍA DE LA FECHA 21 - MAYO - 10 SE RECIBE OFICIO NRO. 1043 DEL JUZGADO ACTUANTE INFORMANDO QUE MEDIANTE RESOLUCIÓN NRO. 303 DE FECHA 14MAY2010 SE DISPUSO EL ARCHIVO DE LA CAUSA. LAS TAREAS INVESTIGATIVAS SE DESARROLLARON POR ORDEN DE SERVICIO NRO. 070/2010 DE FECHA 30/03/2010 URSA IV DEL LITORAL Y EN EL TRANSCURSO DE LA INVESTIGACIÓN SE PUDO IDENTIFICAR EL DOMICILIO DENUNCIADO EN LAS INMEDIACIONES DEL LUGAR SINDICADO EN LA DENUNCIA, CON LAS DOS PERSONAS DENUNCIADAS VIVIENDO EN EL LUGAR. NO SE CORROBORARON LAS CONDUCTAS DENUNCIADAS EN INFRACCIÓN A LA LEY 23.737, LO QUE GENERO EL ARCHIVO. EL PRESENTE PARTE RESERVADO ES AMPLIATORIO DEL PARTE RESERVADO NRO. 1913 REGISTRO PSA 1548/10 DE FECHA 30MAR2010.</t>
  </si>
  <si>
    <t>EN EL DIA DE LA FECHA DESPEGA AERONAVE PRESIDENCIAL FOKER F-28 MATRICULA T-03 CON DESTINO AEROPARQUE JORGE NEWBERY SIN NOVEDAD.TRASLADANDO AL SR. MINISTRO DE SALUD DE LA NACION DR.JUAN MANZUR Y COMITIVA QUIENES REALIZARON DIVERSAS ACTIVIDADES EN LA PROVINCIA EN TORNO A LA CAMPAÑA DE LUCHA CONTRA EL DENGUE.</t>
  </si>
  <si>
    <t>EN EL PREEMBARQUE NACIONAL TERMINAL III, UN PASAJERO DE SEXO MASCULINO, AL PASAR POR EL MARCO DETECTOR DE METALES ACTIVA LA ALARMA, EXTRAYENDO DEL BOLSILLO DELANTERO DERECHO DE SU PANTALON UNA CAJA DE CIGARRILLOS NOTÁNDOSE EN EL INTERIOR DE LA MISMA UNA BOLSITA PLÁSTICA TRANSPARENTE CONTENIENDO SUSTANCIA VEGETAL PRENSADA DE COLOR VERDOSA CON PESO DE 20,5 GRS. AL QUE SE LE PRACTICO REACTIVO QUÍMICO PARA MARIHUANA ARROJANDO RESULTADO POSITIVO. SE TRASLADA AL CAUSANTE, TESTIGOS Y DEMAS INTERVINIENTES HASTA LA GUARDIA DE PREVENCIÓN A FIN DE CONTINUAR CON LAS ACTUACIONES DE RIGOR. SIENDO LA HORA 07:30 SE REALIZA COMUNICACIÓN A LA JUDICATURA Y ESTA ORDENA SE PROCEDA A REALIZAR LAS ACTUACIONES DE RIGOR Y DANDO COMUNICACION EN CASO DE POSEER IMPEDIMENTO LEGAL, DE LO CONTRARIO PROCEDER A LA SOLTURA DEL MISMO. SIENDO LA HORA 16:05 DEL DIA DE LA FECHA, YA CON LOS RESULTADOS OBTENIDOS DE REINCIDENCIA NACIONAL, Y ATENTO A LO ORDENADO POR LA JUDICATURA ACTUANTE, SE PROCEDE A LA LIBERACIÓN DEL CAUSANTE, RETIRANDOSE DE LA JURISDICCIÓN SIN NOVEDAD.</t>
  </si>
  <si>
    <t>LA 4270</t>
  </si>
  <si>
    <t>JUZGADO FEDERAL PRIM. INST.ZAPALA</t>
  </si>
  <si>
    <t>Caro</t>
  </si>
  <si>
    <t>Ruben Omar</t>
  </si>
  <si>
    <t>CARLOS R GARCILAZO</t>
  </si>
  <si>
    <t>DELITO CONTRA LA PROPIEDAD</t>
  </si>
  <si>
    <t>UOSP SAN MARTIN DE LOS ANDES</t>
  </si>
  <si>
    <t>CABECERA DE PISTA 2-4</t>
  </si>
  <si>
    <t>PISTA ATERRIZAJE</t>
  </si>
  <si>
    <t>SIENDO APROXIMADAMENTE LAS 12:20HS DEL DIA DE LA FECHA SE PROCEDE A INTERCEPTAR A LOS CIUDADANOS, SR LEZCANO RENZO ALEJANDRO DNI 30.842.781 , LAS CUALES HABRIAN INGRESADO A LA ZONA RESTRINGIDA SALTANDO EL ALAMBRE PERIMETRAL, MOTIVO POR EL CUAL SE TRASLADA A LOS MISMOS A INSTALACIONDES DE LA GUARDIA DE PREVENCION DONDE SE REALIZAN LAS COMUNICACIONES CON EL SECRETARIO DEL JUZGADO FEDERAL DE ZAPALA DR. GARCILAZO QUIEN DISPONE DAR INICIO A LAS ACTUACIONES DE RIGOR POR DELITOS CONTRA LA PROPIEDAD Y QUE LOS CAUSANTES SE ENCUENTRAN DETENIDOS.</t>
  </si>
  <si>
    <t>EN EL PREEMBARQUE NACIONAL TERMINAL III, UN PASAJERO DE SEXO MASCULINO, AL PASAR POR EL MARCO DETECTOR DE METALES ACTIVA LA ALARMA, EXTRAYENDO DEL BOLSILLO IZQUIERDO DE SU PANTALON UNA CAJA DE CIGARRILLOS NOTÁNDOSE EN EL INTERIOR DE LA MISMA CUATRO CIGARRLLOS ARMADOS MANUALMENTE POSIBLEMENTE DE MARIHUANA , PRACTICANDOSE REACTIVO QUÍMICO PARA MARIHUANA ARROJANDO RESULTADO POSITIVO. SE TRASLADA AL CAUSANTE, TESTIGOS Y DEMAS INTERVINIENTES HASTA LA GUARDIA DE PREVENCIÓN A FIN DE CONTINUAR CON LAS ACTUACIONES DE RIGOR. SIENDO LA HORA 13:40 SE REALIZA COMUNICACIÓN A LA JUDICATURA Y ESTA ORDENA SE PROCEDA A REALIZAR LAS ACTUACIONES DE RIGOR Y DANDO COMUNICACION EN CASO DE POSEER IMPEDIMENTO LEGAL, DE LO CONTRARIO PROCEDER A LA SOLTURA DEL MISMO. SEGUN PU 1928 SE PROCEDIO A LA LIBERACION POR NO POSEER IMPEDIMENTOS</t>
  </si>
  <si>
    <t>LA4348</t>
  </si>
  <si>
    <t>INFRACCION A LOS ARTS. 78 Y 79 DEL DECRETO LEY 8031/73</t>
  </si>
  <si>
    <t>LOS OFICIALES ORTIZ Y OTTRIA EN UNA RECORRIDA QUE EFECTUABAN POR LA TERMINAL A SECTOR PERGOLA, OBSERVAN Y OYEN A UNA PERSONA DE SEXO MASCULINO QUE SE ENCONTRABA OFRECIENDO SERVICIO DE TRANSPORTE PUBLICO A VIVA VOZ, A PASAJEROS RECIEN ARRIBADOS, POR LO QUE SE INICIAN LAS ACTUACIONES CONTRAVENCIONALES CORRESPONDIENTES.</t>
  </si>
  <si>
    <t>ISLA DE EQUIPAJES DE LA EMPRESA AEROLINEAS ARGENTINAS</t>
  </si>
  <si>
    <t>ISLA DE EQUIPAJES</t>
  </si>
  <si>
    <t>EN EL DÍA DE LA FECHA, SIENDO APROXIMADAMENTE LAS 06:50 HORAS, EL DENUNCIUANTE DESPACHANDO EN LOS MOSTRADORES DE LA EMPRESA AEROLINEAS ARGENTINAS, UN VALIJA DE TAMAÑO GRANDE, DE COLOR MARRON, MARCA COMERCIAL AIR EXPRESS, EN PERFECTO ESTADO, LUEGO DE UN PROBLEMA COMERCIAL, SON UBICADOS EN VUELO Nº AR 2898 PARA EL MISMO DESTINO. SIENDO LA HORA 13:45 HS, PERSONAL DE PATRULLA PLATAFORMA INFORMA LA NOVEDAD DEL EQUIPAJE DEL DENUNCIANTE SE ENCUENTRA APERTURADO Y ROTO POR LO QUE ES CONVOCADO AL PATIO DE VALIJAS. YA EN EL PATIO DE VALIJAS, EL DENUNCIANTE OBSERVA QUE EL LATERAL DERECHO DE LA MISMA, SE ENCONTRABA CORTADA, PERCATÁNDOSE DEL FALTANTE DE EL ELEMENTO QUE POSTERIORMENTE SE DETALLA, DIRIGIÉNDOSE A LA GUARDIA DE PREVENCION A FIN DE RADICAR LA DENUNCIA DEL HECHO. SE ENTRABLA COMUNICACIÓN TELEFONICA A LA JUDICATURA ACTUANTE QUIEN DISPONE: TESTIMONIAL AL PERSONAL DE VIGILANCIA Y HANDLING QUE SE ENCONTRABA PRESTANDO SERVICIOS EN EL LUGAR, FOTOGRAFIAS, CIERRE Y ELEVACION.</t>
  </si>
  <si>
    <t>ISLA DE EQUIPAJES DE AEROLINEAS ARGENTINAS</t>
  </si>
  <si>
    <t>EN EL DÍA DE LA FECHA, SIENDO APROXIMADAMENTE LAS 06:50 HORAS, EL DENUNCIUANTE DESPACHANDO EN LOS MOSTRADORES DE LA EMPRESA AEROLINEAS ARGENTINAS, UN VALIJA DE TAMAÑO GRANDE, DE COLOR MARRÓN, MARCA COMERCIAL SPORT QUIMERA, EN PERFECTO ESTADO, LUEGO DE UN PROBLEMA COMERCIAL, SON UBICADOS EN VUELO Nº AR 2898 PARA EL MISMO DESTINO. SIENDO LA HORA 13:45 HS, PERSONAL DE PATRULLA PLATAFORMA INFORMA LA NOVEDAD DEL EQUIPAJE DEL DENUNCIANTE SE ENCUENTRA APERTURADO Y ROTO POR LO QUE ES CONVOCADO AL PATIO DE VALIJAS. YA EN EL PATIO DE VALIJAS, EL DENUNCIANTE OBSERVA QUE EL LATERAL DERECHO DE LA MISMA, SE ENCONTRABA CORTADA, PERCATÁNDOSE DEL FALTANTE DE EL ELEMENTO QUE POSTERIORMENTE SE DETALLA, DIRIGIÉNDOSE A LA GUARDIA DE PREVENCION A FIN DE RADICAR LA DENUNCIA DEL HECHO. SE ENTRABLA COMUNICACIÓN TELEFONICA A LA JUDICATURA ACTUANTE QUIEN DISPONE: TESTIMONIAL AL PERSONAL DE VIGILANCIA Y HANDLING QUE SE ENCONTRABA PRESTANDO SERVICIOS EN EL LUGAR, FOTOGRAFIAS, CIERRE Y ELEVACION.</t>
  </si>
  <si>
    <t>299/10</t>
  </si>
  <si>
    <t>PREVENSION SUMARIA</t>
  </si>
  <si>
    <t>SE PROCEDE A LAS RETENCIONES DE DOS SACAS COLECTORAS DEL CORREO OFICIAL SEGUN CONSTA EN ACTA DE RETENCION DE CARGAS Nº 0165/10, QUE ORIGINA LA PREVENCION SUMARIA Nº 035/10, LA PRIMERA SACA IDENTIFICADA CON MARBETE SLA0169042E555700RGL, PRECINTO Nº B034071, CON UN PESO DECLARADO DE 11,100 KGS, CON DESTINO LA CIUDAD DE RIO GALLEGOS, LA SEGUNDA SACA IDENTIFIOCADA CON PRECINTO Nº B034002, SIN MARBETE SIN PESO DECLARADO Y SIN DESTINO. AMPARADAS EN GUIA AEREA Nº 9327960-5, LAS QUE SERIAN DESPACHADAS A TRAVES DE LA EMPRESA DE CARGA AEREA JET-PAQ, LAS RETENCIONES SE REALIZAN ANTE LA PRESUNCION DE QUE PUDIERAN CON TENER ALGUN ELEMENTO EN INFRACCION A LAS LEYES 22.415 Y/O 23.737, QUEDANDO LAS MISMAS CERRADAS Y PRECINTADAS EN GUARDA EN ESTA UOSP. SE COMUNICO TELEFONICAMENTE CON EL JUZGADO INTERVINIENTE Y LAS APERTURAS SE REALIZARAN EN PRECENCIA DEL PERSONAL DEL CORREO OFICIAL. SEGÚN AMPLIACION PU Nº 1972/10 SE PROCEDE A LA APERTURA DE DOS SACAS COLECTORAS DEL CORREO OFICIAL SEGUN ACTA DE RETENCION DE CARGAS Nº 0165/10, PREV.SUM. Nº 035/10, LA 1RA SACA MARBETE SLA0169042E555700RGL, PRECINTO Nº B034071, CONTIENE TRES PIEZAS POSTALES IDENTIFICADAS COMO 1° EP704670889AR,RTTE: CANCHI JUAN DAVID, ALBERDI 444, ORAN-SALTA, CP 4530, DEST: CANCHI NESTOR, BS AS N 151, EL CALAFATE, SANTA CRUZ, CP 9405, LA CUAL QUEDA RETENIDA. LA 2 Y 3 EP656098585AR Y EP666289553AR, SON LIBERADAS PARA SU REDESPACHO. LA 2 SACA, MARBETE EP6884829467AR, CONTIENE CINCO PIEZAS POSTALES, LA 1 EP684829467AR, RTTE: MENDEZ CESAR ALBERTO, MZA 15, LOTE 2, B C. VERDE, S.S.JUJUY, CP 4600, DEST: MENDEZ TEODORO , POSTE RESTANTE, OFICINA CORREO, PUERTO DE SANTA CRUZ, CP 9300, LA 2 EP858101865AR, RTTE: CORONEL RUBEN, B BELGRANO, J. MORO 350, JUJUY, DEST: URSAGAZTI ELENA, AV. LOS MINEROS 1437, B DON BOASCO, CASA N 70- KIOSCO CRI- SA RU - RIO TURBIO, SANTA CRUZ, CP 9407, LAS CUALES QUEDAN RETENIDAS. 3,4,5 EP669757502AR, EP691905549AR Y EP698124269AR SON LIBERADAS PARA SU REDESPACHO. LASENCOMIENDAS RETENNIDAS QUEDAN EN GUARDA EN EL DEPOSITO JUDICIAL DE ESTA UNIDAD A LA ESPERA DEL OFICIO JUDICIAL QUE AUTORICE SU APERTURA- SEGÚN AMPLIACION PU Nº 2995/10 SE PROCEDE A LA APERTURA DE TRES ENCOMIENDAS DEL CORREO OFICIAL SEGUN ACTA DE APERTURA Nº 253/10, PREV.SUM. Nº 035/10, EN VIRTUD DE LO ORDENADO EN OFICIO JUDICIAL Nº 612/10, DEL MAGISTRADO ACTUANTE Y EN PRESENCIA DE UN TESTIGO HABIL. LA 1RA EP704670889AR, RTTE: CANCHI JUAN DAVID, ALBERDI 444, ORAN-SALTA, CP 4530, Y DEST: CANCHI NESTOR, BS. AS. Nº 151, EL CALAFATE, SANTA CRUZ, CP 9405, CONTIENE: DOS PAQUETES DE HOJAS DE COCA CON UN PESO TOTAL DE 1.000 GRS. Y NUEVE SOBRES DE HIERBAS MEDICINALES DE INDUSTRIA BOLIVIANA. LA 2ª EP684829467AR, RTTE: MENDEZ CESAR ALBERTO, MZA 15, LOTE 2, Bº C. VERDE, S.S.JUJUY, CP 4600, Y DEST: MENDEZ TEODORO, POSTE RESTANTE, OFICINA CORREO, PUERTO DE SANTA CRUZ, CP 9300, CONTIENE: DOS PAQUETES DE HOJAS DE COCA CON UN PESO TOTAL DE 500 GRS. Y LA 3ª EP858101865AR, RTTE: CORONEL RUBEN, Bº BELGRANO, J. MORO 350, JUJUY, Y DEST: URSAGAZTI ELENA, AV. LOS MINEROS 1437, Bº DON BOSCO, CASA Nº 70- KIOSCO CRI- SA RU - RIO TURBIO, SANTA CRUZ, CP 9407, CONTIENE: QUINCE PAQUETES DE HOJAS DE COCA CON UN PESO TOTAL DE 3.600 GRS. LAS ENCOMIENDAS SERAN PUESTAS A DISPOSICION DE LA ADUANA DE SALTA POR SUPUESTA INFRACCION A LA LEY 22.415, CODIGO ADUANERO, Y LAS ACTUACIONES SERAN REMITIDAS A SEDE JUDICIAL.</t>
  </si>
  <si>
    <t>LOCUTORIO PRIMER PISO</t>
  </si>
  <si>
    <t>SIENDO LAS 12:00 HORAS MIENTRAS QUE EL DAMNIFICADO SE ENCONTRABA EN EL TELECENTRO DEL PRIMER PISO, DEJA DETRAS DE EL, SOBRE UN CARRO PORTA-EQUIPAJE UN MALETIN PORTA NOTEBOOK, EL CUAL DESCUIDA AL MOMENTO DE ACERCARSE A LA CAJA CON EL FIN DE ABONAR EL SERVICIO, INMEDIATAMENTE SE PERCATA DE LA SUSTRACCION DE DICHO MALETIN, POR LO QUE SE HACE PRESENTE EN ESTA GUARDIA DE PREVENCION A FIN DE REALIZAR LA DENUNCIA CORRESPONDIENTE</t>
  </si>
  <si>
    <t>SIENDO LAS 18:00 HS SE IMPLEMENTA CONTROL DE SEGURIDAD POR PARTIDA DE LA SRA PRESIDENTE DE LA NACION, SEGUN ORDEN DE SERVICIO Nº 231 DE ESTA UNIDAD OPERACIONAL ARRIBANDO LA MISMA A ESTA AEROESTACION, EN EL HELICOPTERO MATRICULA H-03 A LAS 20:05 HS Y PARTIENDO EN AERONAVE MATRICULA T-01 A LAS 20:16 HS SIN NOVEDAD.</t>
  </si>
  <si>
    <t>EN EL DIA DE LA FECHA ARRIBA A ESTE AEROPUERTO T-01 CON LA SRA PRESIDENTA DE LA NACION Y COMITIVA S/N PERNOCTANDO AERONAVE EN ESTE AEROPUERTO.</t>
  </si>
  <si>
    <t>1918/10</t>
  </si>
  <si>
    <t>SE PROCEDE A LA LIBERACION DEL IMPUTADO POR NO POSEER IMPEDIMENTO LEGAL EN EL REGISTRO NACIONAL DE REINCIDENCIA, SEGUN LO ORDENADO POR LA JUDICATURA ACTUANTE.</t>
  </si>
  <si>
    <t>PREEMBARQUE NACIONAL -TERMINAL III</t>
  </si>
  <si>
    <t>SIENDO LAS 22:30 HS SE RECIBE COMUNICACIÓN TELEFONICA DEL OFICIAL PELETEIRO LUIS, ENCARGADO DEL PREEMBARQUE NACIONAL, TERMINAL III, EL CUAL INFORMA QUE REALIZANDO EL CONTROL DE RUTINA, EL OFICIAL DORNA PATRICIO, EN MEDIO DE UN CHEQUEO MANUAL, HABRIA ENCONTRADO UN BULTO EN EL BOLSILLO DELANTERO IZQUIERDO DEL PANTALON DEL PASAJERO, QUE AL EXHIBIRLO, SE OBSERVO UN ENVOLTORIO QUE CONTENIA UNA SUSTANCIA DE CONSISTENCIA COMPACTA DE COLOR VERDOSA. MOTIVO POR EL CUAL SE PROSIGUE CON EL CHEQUEO MANUAL Y LA ALTURA DE LA CINTURA SE ENCUENTRA UNA ZONA ABULTADA QUE AL EXHIBIRLA EL CAUSANTE SE APRECIAN OTROS DOS ENVOLTORIOS DE NYLON CONTENIENDO UNA SUSTANCIA DE LAS MISMAS CARACTERISTICAS QUE LA ANTERIOR, SEGUIDAMENTE SE HACE PRESENTE EL PERITO DE TURNO, Y CON LA PRESENCIA DE LOS TESTIGOS SE PROCEDE A REALIZAR EL TEST ORIENTATIVO CORRESPONDIENTE, RESULTANDO ESTE POSITIVO PARA LA SUSTANCIA MARIHUANA. POSTERIORMENTE SE PROCEDE A ENTABLAR COMUNICACIÓN CON EL JUZGADO FEDERAL EN TURNO EL CUAL DISPONE SE REALICEN LAS ACTUACIONES DE RIGOR Y SE TRASLADE AL DETENIDO A LA U29 A PRIMERA HORA DE LA MAÑANA Y EL SUMARIO A SEDE JUDICIAL. SE INFORMA QUE EL PESAJE TOTAL DE LA SUSTANCIA ESTUPEFACIENTE FUE DE 61.6 GRAMOS. SE INFORMA SEGUN PU Nº 1942, QUE SIENDO LAS 0830HS DEL DIA 31/03/10 EL IMPUTADO FUE TRASLADADO A LA UNIDAD 29 QUEDANDO A DISPOSICION DE LA MISMA.</t>
  </si>
  <si>
    <t>AU2882</t>
  </si>
  <si>
    <t>AERODORMO</t>
  </si>
  <si>
    <t>INFORMA ARO -AIS QUE SIENDO LAS 07:30 SE PROCEDE A CERRAR TEMPORALMENTE EL AERODROMO POR ENCONTRARSE BAJO MINIMO METEREOLOGICO, SIENDO LA VISIBILIDAD ACTUAL DE 400 MTS, INFORMADO POR EL SEÑOR ORTIZ HUGO OPERADOR DE LA OFICINA DE PLAN DE VUELO, NECESITANDO PARA SU REAPERTURA UNA VISIBILIDAD MINIMA DE 1500MTS.</t>
  </si>
  <si>
    <t>PRESUNTO HURTO NN</t>
  </si>
  <si>
    <t>ZONA DE ARRIBOS</t>
  </si>
  <si>
    <t>SIENDO LAS 01:30 HS SE HACE PRESENTE EN ESTA UNIDAD EL SR. OSCAR DANIEL GARCIA DNI NRO 23.879.425 A RADICAR UNA DENUNCIA POR EL PRESUNTO HURTO DE ELEMENTOS DE COMUNICACION QUE TRAIA EN UNA MOCHILA DESPACHADA POR BODEGA DEL VUELO LAN ARGENTINA PROCEDENTE DE LA CIUDAD DE BUENOS AIRES. INTERVINIENDO EN ESTE HECHO EL JUZGADO FEDERAL DE PRIMERA INSTANCIA DE COMODORO RIVADAVIA ORDENANDO REMITIR LAS ACTUACIONES A LA FISCALIA FEDERAL A CARGO DEL DR.NOLVERTO BELLVER.</t>
  </si>
  <si>
    <t>CALLE LINDANTE CON LA PERGOLA DE ARRIBOS.</t>
  </si>
  <si>
    <t>PERSONAL POLICIAL OBSERVO QUE UN VEHICULO TAXI, MARCA HYUNDAI, MODELO ELANTRA, DOMINIO COX - 362, LICENCIA 127, HABÍA ESTACIONADO EN EL SECTOR HABILITADO A LOS VEHÍCULOS PARA DISCAPACITADOS, EMPLAZADO EN LA CURVA DE LA PÉRGOLA DE ARRIBOS, LUEGO DE RECORRER VEINTE METROS MARCHA ATRÁS EN CONTRA MANO, PONIENDO EN RIESGO A TERCEROS Y COMETIENDO A SU VEZ UNA INFRACCIÓN DE TRANSITO. LUEGO EL PERSONAL POLICIAL OYE QUE EL CONDUCTOR DEL VEHICULO, EL CUAL YA HABÍA DESCENDIDO DEL MISMO, OFRECE A VIVA VOZ SERVICIO DE TRANSPORTE PUBLICO A DOS PASAJEROS QUE SE HALLABAN EN EL LUGAR Y PROCEDE A DEPOSITAR EN EL BAÚL DE SU RODADO LOS EQUIPAJES DE LOS CITADOS PASAJEROS. SE LE SOLICITA AL CONDUCTOR QUE EXHIBA ALGUNA DOCUMENTACIÓN QUE ACREDITE SU IDENTIDAD, NEGÁNDOSE EL MISMO. EN VIRTUD A QUE ESTABA INCURRIENDO EN UNA INFRACCIÓN A LOS ARTÍCULOS 78 Y 85 DEL DECRETO LEY 8031/73, POR NO ACATAR UNA DISPOSICIÓN LEGALMENTE TOMADA Y A SU VEZ NEGARSE A IDENTIFICARSE, SE LE SOLICITA A LOS PASAJEROS QUE CONTRATEN A OTRO SERVICIO DE TAXI EN LOS LUGARES AUTORIZADOS, MOTIVO POR EL CUAL EL CONDUCTOR COMIENZA A EFECTUAR IMPROPERIOS A VIVA VOZ CONTRA EL PERSONAL POLICIAL. LUEGO EL PERSONAL POLICIAL LE SOLICITA AL CONDUCTOR QUE LO ACOMPAÑE AL ASIENTO DE LA GUARDIA DE PREVENCIÓN A LOS EFECTOS DE LABRAR LAS ACTUACIONES PERTINENTES MOMENTO EN EL QUE EL MISMO ENCIENDE SU VEHICULO E INTENTA ABANDONAR EL SECTOR, AVANZADO CON SU RODADO UNOS CENTÍMETROS. SE LE INFORMA LA NOVEDAD AL JEFE DE TURNO, QUIEN MANTIENE COMUNICACIÓN CON EL JUZGADO FEDERAL EN TURNO, EL CUAL DISPUSO SE INICIEN ACTUACIONES POR RESISTENCIA A LA AUTORIDAD, SE NOTIFIQUE DEL INICIO DE LA CAUSA AL IMPUTADO Y EN CASO DE SER NECESARIO SE EMPLEE LA FUERZA PUBLICA PARA TRASLADAR AL MISMO. SE LE SOLICITA NUEVAMENTE AL CAUSANTE QUE SE TRASLADE POR SU VOLUNTAD A LA GUARDIA DE PREVENCIÓN, HACIENDO CASO OMISO A DICHA SOLICITUD, DEPONIENDO SU ACTITUD LUEGO DE CUARENTA MINUTOS. SE SOLICITA AL CONCESIONARIO AEROPUERTOS ARGENTINA 2000 UNA SILLA DE RUEDAS PARA TRASLADAR AL CAUSANTE YA QUE EL MISMO POSEÍA UNA DISCAPACIDAD MOTORA, PERO ESTA NO ES USADA POR EL MISMO. UNA VEZ EN LA GUARDIA POLICIAL SE INICIAN LAS ACTUACIONES JUDICIALES DISPONIENDO EL JUZGADO INTERVINIENTE PRECARIO MEDICO DE INGRESO, CONSTATACION DE DOMICILIO, SE ENVIE NOTA A INTERPOL A FIN DE CONSTATAR SI EL CAUSANTE REGISTRA IMPEDIMENTO LEGAL ALGUNO, Y EN CASO DE QUE EL DETENIDO NO REGISTRE ANTECEDENTES SE PROCEDA A LA SOLTURA DEL MISMO. ADEMAS SE INICIAN ACTUACIONES CONTRAVENCIONALES Nº 040-C/10 CARATULADA INFRACCION A LOS ARTICULOS 78 Y 79 DECRETO LEY 8031/73 Y SE LE LABRO UNA INFRACCION DE TRANSITO. POSTERIORMENTE SE PROCEDE A LA LIBERACION DEL DETENIDO POR NO REGISTRAR IMPEDIMENTO LEGAL ALGUNO, RETIRANDOSE DE LA GUARDIA DE PREVENCION S/N.</t>
  </si>
  <si>
    <t>ROBO CALIFICADO EN EL GRADO DE TENTATIVA POR SU COMISIÓN EN DESPOBLADO Y BANDA</t>
  </si>
  <si>
    <t>TAQUILLA DE SALIDA DE ESTE AEROPUERTO Y AUTOPISTA TENIENTE GENERAL RICHIERI</t>
  </si>
  <si>
    <t>PUESTO TAQUILLA PSA</t>
  </si>
  <si>
    <t>PERSONAL POLICIAL DE TAQUILLA, INTERCEPTA EN EL SECTOR DE SALIDA A UN VEHICULO MARCA FORD MODELO FOCUS DOMINIO GEO-640, CON SEIS OCUPANTES (FRANCIS YOLANDA GARZÓN SÁNCHEZ, ERIK CHAVEZ SARMIENTO, DIEGO ACERO CHITIVA, YOGANI BIBIANI CHITIVA, ORLANDO CHITIVA, JAVIER EDUARDO VILLARTE) EL CUAL SEGÚN LA ORDEN DE SERVICIO DEL CEAC Nº 190/2010 SE ENCONTRARÍA INVOLUCRADO EN LA CAUSA NUMERO 215-A/09 INSTRUIDA POR LA UNIDAD OPERACIONAL DE SEGURIDAD PREVENTIVA METROPOLITANA. POR TAL MOTIVO PROCEDE A SOLICITAR REFUERZOS Y SEGUIDAMENTE INFORMA LA NOVEDAD AL JEFE DE TURNO, QUIEN ENTERADO COMISIONA A PERSONAL POLICIAL A LOS EFECTOS QUE REALICEN UNA RECORRIDA POR LA AUTOPISTA TENIENTE GENERAL RICHIERI A LOS EFECTOS DE VERIFICAR LA EXISTENCIA DE VEHICULO ESTACIONADO POR PINCHADURA DE NEUMÁTICO. QUE AL REALIZAR DICHA RECORRIDA EL PERSONAL POLICIAL A APROXIMADAMENTE TRES KILÓMETROS DE LA SALIDA DEL AEROPUERTO VISUALIZA A UN VEHICULO MARCA CHEVROLET MODELO CORSA DOMINIO HVM-785, CON CUATRO OCUPANTES JEAN PIERRE MENDOZA, RICHARD EDISON ARCINIEGAS CORTEZ, DIEGO MAURICIO NUÑEZ OREJARENA, Y CARLOS ORLANDO ALBARRACIN SANCHEZ, Y A UNOS CINCUENTA METROS MAS ADELANTE UN VEHICULO CHEVROLET ASTRA EN EL CUAL UNO DE LOS OCUPANTES SE ENCONTRABA CAMBIANDO UN NEUMÁTICO. QUE SEGUIDAMENTE POR RAZONES DE SEGURIDAD SE PROCEDE A REALIZAR UN CONTROL SOBRE LOS VEHÍCULOS DETECTÁNDOSE EN AMBOS ELEMENTOS CORTO PUNZANTES Y BOLSOS PORTA NOTEBOOKS VACÍOS. SE MANTIENE COMUNICACIÓN CON LA UNIDAD FUNCIONAL EN TURNO, DISPONIÉNDOSE SE PROCEDA A LA APREHENSIÓN DE LOS OCUPANTES DE LOS VEHÍCULOS, SE LABREN ACTUACIONES DE RIGOR Y SEAN TRASLADADOS AL ASIENTO DE LA UFI A PRIMERA HORA DEL DÍA TREINTA Y UNO DEL CORRIENTE.</t>
  </si>
  <si>
    <t>AV DE ILICITO</t>
  </si>
  <si>
    <t>REPUBLICA DE URUGUAY</t>
  </si>
  <si>
    <t>EL DIA 30 DE MARZO DE 2010 SE HACE PRESENTE LA DENUNCIANTE MANIFESTANDO QUE UNA PERSONA DE APELLIDO ESCOBAR MATOS RESIDENTE EN URUGUAY MANTIENE A LA HERMANA TRABAJANDO DE PROSTITUTA EN EL PUENTE COLON CON INTENCIONES DE LLEVARLA A ESPAÑA A REALIZAR LA MISMA LABOR,DENUNCIANDO EN ESTE MISMO ACTO QUE DICHA PERSONA LE HABIA OFRECIDO TRABAJAR PARA EL, POR ELLO ES QUE DECLARA QUE LA INTENCIONES DE ESTE HOMBRE SERIA RECLUTAR PERSONAS PARA DICHO FIN</t>
  </si>
  <si>
    <t>CASTRO ALONZO, MARCO S/CONTRABANDO DE ESTUPEFACIENTES</t>
  </si>
  <si>
    <t>MARCO JUAN CASTRO S/TENTATIVA DE CONTRABANDO DE ESTUPEFACIENTES</t>
  </si>
  <si>
    <t>OFICINAS DE LA UNIDAD OPERACIONAL DE DELITOS COMPLEJOS Y CONTROL DE NARCOTRAFICO DE LA REGIONAL I</t>
  </si>
  <si>
    <t>EN EL DIA DE LA FECHA SE RECIBE OFICIO JUDICIAL ORDENANDO TAREAS INVESTIGATIVAS SOBRE LA DOCUMENTACION, TELEFONO CELULAR Y CHIPS SECUESTRADOS AL IMPUTADO MARCO JUAN CASTRO ALONZO EL DIA 28-3-10 QUIEN INTETABA SALIR EN EL VUELO AR 1160 DE AEROLINEAS ARGENTINAS CON DESTINO BARCELONA -ESPAÑA CON UN VALIJA CON ESTUPEFACIENTE EN SU INTERIOR</t>
  </si>
  <si>
    <t>AERODROMO</t>
  </si>
  <si>
    <t>INFORMO QUE SIENDO LAS 11:30 SE PROCEDE A LA REAPERTURA DEL AERODORMO CON CONDICIONES APTAS PARA OPERACIONES AEREAS</t>
  </si>
  <si>
    <t>1929/10</t>
  </si>
  <si>
    <t>UNIDAD 29</t>
  </si>
  <si>
    <t>SIENDO LAS 08:30HORAS, SEGÚN LO ORDENADO POR LA JUDICATURA ACTUANTE SE TRASLADA AL SENORCERNEAS GUSTAVO MATIAS A LA DEPENDENCIA DE LA UNIDAD 29, SITA EN LA CALLE COMODORO PY 2002 DE ESTA CIUDAD AUTONOMA, QUEDANDO A DISPOSICION DE LA MISMA. SIENDO LAS 10:00 HS REGRESA LA COMISION A ESTA UOSP SIN NOVEDAD.-</t>
  </si>
  <si>
    <t>MANUEL E BONNIN</t>
  </si>
  <si>
    <t>INTERDICCION SACA DE CORREO/PRES INFRACCION LEY 20429</t>
  </si>
  <si>
    <t>SE INFORMA QUE EN EL DIA DE LA FECHA EN EL CONTROL DE RAYOS X DEL SECTOR PATIO DE VALIJAS DEL VUELO AU 2880 SE DETECTA UNA SACA DE CORREO ARGENTINO EN TRANSITO A USHUAIA CON UNA CAJA CONTENIENDO EN SU INTERIOR TRES ARMAS DE PUÑO, DOS APARENTEMENTE NEUMATICAS Y UNA DE ELLAS ARMA DE FUEGO, TOMANDO INTERVENCION EN ESTE HECHO EL JUZGADO FEDERAL DE PRIMERA INSTANCIA DE RIO GALLEGOS ORDENANDO SE EFECTUE EL SECUESTRO DE LA BOLSA CONTENEDORA Y REMITIR LO ACTUADO Y SECUESTRADO A CEDE JUDICIAL. POR TAL MOTIVO NO SE CUENTA CON INFORMACION REFERENTE A LAS ARMAS YA QUE LAS MISMAS SE ENCUENTRAN EN EL INTERIOR DE LA BOLSA CONTENEDORA LA CUAL NO FUE APERTURADA.</t>
  </si>
  <si>
    <t>PELLIZON, DANIEL CARLOS S/ ART 145 TER C.P.</t>
  </si>
  <si>
    <t>160/10</t>
  </si>
  <si>
    <t>CAMARA DE APELACIONES EN LO PENAL DE LOS TRIBUNALES PROVINCIALES DE ROSARIO -</t>
  </si>
  <si>
    <t>CIUDAD DE ROSARIO - PROVINCIA DE SANTA FE.</t>
  </si>
  <si>
    <t>EN EL DIA DE LA FECHA SE RECIBE OFICIO NRO. 634 DEL JUZGADO FEDERAL ACTUANTE EN EL QUE ORDENA REALIZAR FILMACION DE DECLARACIONES TESTIMONIALES DE DOS MENORES QUE SERAN RECIBIDAS A TRAVÉS DE LA MODALIDAD PREVISTA POR EL ART. 250 BIS DEL CPPN -CAMARA GESEL - AL PRESENTARSE EL PERSONAL A REALIZAR LA MEDIDA A LA HORA 11:30 MEDIANTE ORDEN DE SERVICIO NRO. 073/2010 LA DRA. BETTIOLO, TITULAR DE LA FISCALIA FEDERAL N° 2 DE ROSARIO, INFORMA QUE LOS MEDIOS CON QUE CUENTA LA DEPENDENCIA JUDICIAL FUNCIONAN CORRECTAMENTE POR LO QUE NO ES NECESARIO QUE PERSONAL DE LA PSA REALICE LAS FILAMCIONES SOLICITADAS.</t>
  </si>
  <si>
    <t>Dra CLAUDIA CECCONI</t>
  </si>
  <si>
    <t>INFRACCION A LOS ARTS 72 Y 74 INC A DEL DEC LEY 8031/73</t>
  </si>
  <si>
    <t>EL OFICIAL AYUDANTE FORMENTO DETECTA LA PRESENCIA DE UNA PERSONA DE SEXO MASCULINO EL CUAL SE ENCONTRABA EN EL SECTOR DE MENCION HACIENDO ADEMANES CON LAS MANOS, PROFIRIENDO INSULTOS Y GRITOS A PERSONAS QUE SE ENCONTRABAN EN EL LUGAR. POSTERIORMENTE SE INICIAN LAS ACTUACIONES CONTRAVENCIONALES DE RIGOR.</t>
  </si>
  <si>
    <t>INFRACCION AL ART.83 CC DE CABA</t>
  </si>
  <si>
    <t>INFRACCION AL ART. 83 CC DE CABA</t>
  </si>
  <si>
    <t>EN EL DIA DE LA FECHA, SIENDO LAS 10:10 HORAS APROXIMADAMENTE, MIENTRAS EL OFICIAL SILVA, ENCARGADO DE TURNO, SE ENCONTRABA REALIZANDO UNA RECORRIDA POR LOS PUESTOS, OBSERVA UNA PERSONA DE SEXO MASCULINO QUE SE ENCONTRABA EN LA VEREDA DEL SECTOR A1 REALIZANDO LA VENTA AMBULANTE DE PRODUCTOS ALIMENTICIOS, MOTIVO POR EL CUAL SE LO TRASLADA JUNTO A DOS TESTIGOS HASTA LA GUARDIA DE PREVENCION. SIENDO LAS 11:15 SE ENTABLA COMUNICACION CON LA JUDICATURA ACTUANTE QUIEN DISPONE SE CONFECCIONE ACTA SEGUN ART. 83 DEL CODIGO CONTRAVENCIONAL DE ESTA CIUDAD AUTONOMA, FOTOS DE LA MERCADERIA, SE RECOMIENDE AL CONTRAVENTOR QUE CESE CON SU ACTIVIDAD NO AUTORIZADA, CIERRE Y ELEVACION DE ACTUACIONES. SIENDO LAS 12:10 HORAS, EL SEÑOR PELLETTI SE RETIRA DE ESTA DEPENDENCIA SIN NOVEDAD.-</t>
  </si>
  <si>
    <t>MARIANA ZABALA DUFAU</t>
  </si>
  <si>
    <t>HIRASAWA, TAKASHI KODAMA, SHINOBU S/CONTRABANDO DE ESTUPEFACIENTES</t>
  </si>
  <si>
    <t>HIRASAWA, TAKASHI KODAMA SHINOBU S/CONTRABANDO DE ESTUPEFACIENTES</t>
  </si>
  <si>
    <t>UNIDAD OPERACIONAL DE DELITOS COMPLEJOS Y CONTROL DE NARCOTRAFICO REGIONAL I</t>
  </si>
  <si>
    <t>EN EL DIA DE LA FECHA SE RECIBE OFICIO JUDICIAL ORDENANDO TAREAS INVESTIGATIVAS SOBRE LA DOCUMENTACION, CELULARES Y CHIPS SECUESTRADOS A LOS IMPUTADOS TAKASHI HIRASAWA Y SHINOBU KODAMA EN DIA 27-3-10 CUANDO INTENTABAN SALIR DEL PAIS LLEVANDO MOCHILAS CON ESTUPEFACIENTE EN SU INTERIOR.</t>
  </si>
  <si>
    <t>PUNTO AISLADO DE ESTACIONAMIENTO DE AERONAVE - CALLE DE RODAJE SECTOR CABECERA 25</t>
  </si>
  <si>
    <t>PUESTO ACCESO HANGARES</t>
  </si>
  <si>
    <t>SE CONFECCIONA EL PRESENTE A LOS EFECTOS DE INFORMAR QUE EN EL DIA DE LA FECHA SIENDO LAS 14:30 HS LOCAL SE PRODUCE EL EMBARQUE DE MMPP COMPUESTO POR 26 BULTOS CONTENIENDO 1300 CARGAS HUECAS TC- 47 HP (RENR Nº C-50098/26 ) MERCADERIA AMPARADA POR REMITO Nº 0002-00000686 DE GEOLOG S.A. LAS MISMAS SON EMBARCADAS EN ACRFT CESSNA C-414 MATRICULA LV-JPZ, DESPEGANDO DE ESTE AEROPUERTO, A LAS 14. 30 HS , HACIA LA CIUDAD DE RIO GRANDE, SIN NOVEDAD</t>
  </si>
  <si>
    <t>PUERTA Nº 3 SECTOR INTERNACIONAL</t>
  </si>
  <si>
    <t>EN EL DIA DE LA FECHA SIENDO APROXIMADAMENTE LAS 11:30 HS. MIENTRAS SE EFECTUABA EL CONTROL PREVENTIVO DE PASAJEROS Y EQUIPAJES DE MANO EN EL PREEMBARQUE INTERNACIONAL, AL PASAJE DE VUELO Nº 250 DE LA EMPRESA AEROSUR CON DESTINO SANTA CRUZ DE LA SIERRA BOLIVIA, EL OF. AYTE. MARCOS ARIAS, AL REALIZAR CACHEO PREVENTIVO SOBRE EL PASAJERO SR. MARCELO ALBERTO ALANIZ DNI 25.199.518, DETECTA EN EL BOLSILLO LATERAL DERECHO DE SU BERMUDA, UN PAQUETE DE CIGARRILLO MARCA PHILIPS MORRIS DE 10 UNIDADES, CON UN ENVOLTORIO DE PLASTICO DEL TAMAÑO DE UN CIGARRILLO CONTENIENDO UNA SUSTANCIA PARECIDA A LA DE PICADURA DE MARIHUANA, AL CONSULTARLE AL PASAJERO DE QUE SE TRATABA LA SUSTANCIA EL MISMO MANIFIESTA QUE EFECTIVAMENTE ERA PICADURA DE MARIHUANA PARA CONSUMO PERSONAL, EL CITADO OFICIAL INFORMA INMEDIATAMENTE LA NOVEDAD AL JEFE DE TURNO OF. MAY. RAUL BORDA, EL QUE A SU VEZ LA TRASMITE AL JEFE DE UNIDAD. ACTO SEGUIDO EL OF. JEFE JAVIER SARMIENTO INFORMA TELEFONICAMENTE LA NOVEDAD A LA DRA FALU DE TURNO EN EL DIA DE LA FECHA, QUIEN DISPONE SE REALIZE REQUISA EN SU PERSONA Y EN EL EQUIPAJE QUE TRANSPORTABA EL MISMO, SE REALICEN LAS ACTUACIONES PREVENCIONALES CORRESPONDIENTES, Y SI SOLO LLEVA LA CANTIDAD MINIMA LEGAL SE LE PERMITA EMBARCAR A SU DESTINO. A HS 12:10 EL OF. AYTE. JOSE CUFRE REALIZA UNA PRUEBA DE CAMPO PARA MARIHUANA CON REACTIVO MARCA IDENTA, LA QUE ARROJA UN RESULTADO POSITIVO, EL MISMO OFICIAL PROCEDE A PESAR LA SUSTANCIA, QUE PESA APROXIMADAMENTE 01 GRAMO, EN BALANZA DE DOTACION MARCA ACCULAB V 3.000, QUE NO LLEGA A REGISTRARSE YA QUE LA BALANZA MARCA PESAJE DE UN GRAMO HASTA TRES KILOS, POR LO QUE EL PESO DE LA SUSTANCIA SERIA MENOS DE UN GRAMO. A HS 12:30 SE REALIZA UNA REQUISA PERSONAL DE URGENCIA EN LA PERSONA Y EQUIPAJE DEL SR. ALANIZ, CON RESULTADO SIN NOVEDAD, EN TODO LO ACTUADO OFICIARON COMO TESTIGOS HABILES LOS SEÑORES: NORBERTO ESCALANTE DNI 31.714.198 Y FERNANDO VERA DNI 26.003.401. A HS 12:50 EL OF. JEFE SARMIENTO INFORMA TELEFONICAMENTE TODO LO ACONTECIDO Y SUS RESULTADOS A LA DRA. FALU, LA QUE DISPONE SE DEJE EMBARCAR AL PASAJERO ALANIZ, Y SE REMITAN LAS ACTUACIONES A LA BREVEDAD A SEDE JUDICIAL.</t>
  </si>
  <si>
    <t>UOSP SAN RAFAEL</t>
  </si>
  <si>
    <t>SIENDO LAS 14:00 HORAS SE PRESENTA EL SEÑOR MERELO JORGE MARCELO DNI.Nº 21.807.443 A REALIZAR ACTA EXPOSICION DE EXTRAVIO CORRESPONDIENTE A LA PERDIDA DE 02 DOS PERMISOS PERSONALES AEROPORTUARIOS 01 UN PERMISO PERSONAL AEROPORTUARIO DE SEGURIDAD PERMANENTE Nº 322058 CORRESPONDIENTE A LA EMPRESA ARSA/AUSTRAL Y 01 UN PERMISO PERSONAL AEROPORTUARIO DE FACILITACION Nº 322059 CORRESPONDIENTE AL AEROCLUB SAN RAFAEL.</t>
  </si>
  <si>
    <t>UNIDAD FISCAL DEPARTAMENTAL N° 3 - OFICINA FISCAL N° 6 DE MENDOZA.</t>
  </si>
  <si>
    <t>RIVAS</t>
  </si>
  <si>
    <t>RAUL</t>
  </si>
  <si>
    <t>HURTO SIMPLE</t>
  </si>
  <si>
    <t>P-25.554/10</t>
  </si>
  <si>
    <t>BARRIO SANTA TERESITA M-H C-20</t>
  </si>
  <si>
    <t>SIENDO LAS 12:00 HORAS SE PRESENTA ANTE ESTA OFICINA DE GUARDIA DE PREVENCION UNA PERSONA QUE SE DESEMPEÑA COMO COCINERO DE LA EMPRESA FOOD PATAGONIA DE ESTE AEROPUERTO. EL MISMO PRESENTA DENUNCIA RADICADA EN LA UNIDAD FISCAL N° 03 LAS HERAS-LAVALLE OFICINA FISCAL N°06 CON EXPEDIENTE P-25.554/10 DONDE MANIFIESTA LA SUSTRACCION DE UNA MOCHILA DE SU PROPIEDAD LA CUAL SE ENCONTRABA EN SU DOMICILIIO PARTICULAR Y DENTRO DE LA MISMA TENIA SU PERMISO DE SEGURIDAD AEROPORTUARIA N° 272301. ASI MISMO SE INFORMA QUE EN LA DENUNCIA PRESENTADA POR EL EXPONENTE DENTRO DE LOS BIENES AFECTADOS SE DESCRIBE EL PRESENTE PERMISO SUSTRAIDO.</t>
  </si>
  <si>
    <t>DRA. CLAUDIA BARRIOS</t>
  </si>
  <si>
    <t>SECTOR DE DESCANSO DE LA EMPRESA SERZA, PLANTA BAJA, LINDANTE CON EL BANCO NACION DE LA TERMINAL B.</t>
  </si>
  <si>
    <t>QUE EN MOMENTOS QUE LA DENUNCIANTE SE DIRIGIA AL SECTOR DE DESCANSO, ES INTERCEPTADA POR SU ENCARGADA DE TURNO MARIA MORALES -SIN MAS DATOS-, QUIEN LE INFORMA A LA DENUNCIANTE QUE DEBIA FIRMAR UNA SUSPENCION DE EMPLEO. ANTE ELLO LA DENUNCIANTE EFECTUA UN DESCARGO LO QUE A POSTERIOR DESENCADENO EN QUE LA SRA. MORALES LE MANIFESTARA A LA DENUNCIANTE: NO VIAJES CONMIGO EN EL MISMO COLECTIVO, PORQUE TE VOY A PEGAR, SI PUDIERA TE PEGARIA AHORA. SIC, ANTE LO CUAL SE ACERCO A LA GUARDIA DE PREVENCION A RADICAR LA CORRESPONDIENTE DENUNCIA.</t>
  </si>
  <si>
    <t>SIENDO LAS 14:10 HORAS SE PRESENTA EL EXPONENTE ANTE ESTA OFICINA DE GUARDIA DE PREVENCION QUIEN SE DESEMPEÑA COMO TECNICO DE MANTENIMIENTO DE LA EMPRESA AEREA LAN ARGENTINA EN ESTA AEROESTACION PARA RADICAR UNA EXPOSICION SOBRE EL EXTRAVIO DE SU PERMISO DE SEGURIDAD AEROPORTUARIO N° 327564 EL CUAL SE PRODUJO EN EL MOMENTO QUE DESEMPEÑABA SUS TAREAS LABORALES DE RUTINA EN ESTA AEROESTACION SIN PODER ESPECIFICAR LA HORA Y EL LUGAR EN QUE SE PRODUJO EL HECHO ACONTECIDO.</t>
  </si>
  <si>
    <t>VEREDA DE CHECK IN</t>
  </si>
  <si>
    <t>QUE EN EL DÍA DE LA FECHA SE PRESENTA UNA PERSONA PARA RADICAR UNA DENUNCIA DE CARÁCTER DELICTIVO INDICANDO QUE APROXIMADAMENTE A LAS 10: 00 HORAS ABORDO UN TAXÍMETRO MARCA PEUGEOT, DEL CUAL NO RECUERDA MODELO NI DOMINIO, EN LA CALLE PELLEGRINI 507 DE ESTA CIUDAD AUTÓNOMA, CON DESTINO A ESTE AEROPUERTO METROPOLITANO. UNA VEZ ARRIBADO APROXIMADAMENTE A LAS 10:25 HORAS, Y AL MOMENTO DE DESCENDER DEL VEHICULO, RETIRO DOS DE LOS TRES EQUIPAJES QUE HABÍA COLOCADO EN EL BAÚL DEL MISMO, Y AL PERCATARSE DEL FALTANTE DE UNO DE EQUIPAJES MENCIONADOS, EL CUAL CONTENÍA UNA CÁMARA FOTOGRÁFICA MARCA NIKON MODELO N90, UNA CÁMARA FOTOGRÁFICA MARCA LUMIX DEL CUAL NO RECUERDA MODELO NI NUMERO DE SERIE, UN PAR DE LENTES DE LECTURA, UN PAR DE LENTES DE SOL, DOS LIBROS, UNA ALMOHADA DE VIAJE Y CINCO PELÍCULAS DVD, EL DENUNCIANTE SE ACERCA AL TAXÍMETRO, MOMENTO EN EL CUAL EL CHOFER ACELERA DÁNDOSE A LA FUGA. MOTIVO POR EL CUAL SE PRESENTA EN ESTA GUARDIA PARA RADICAR LA CORRESPONDIENTE DENUNCIA PENAL. SIENDO LAS 19:15 HORAS SE ENTABLA COMUNICACIÓN CON LA JUDICATURA ACTUANTE QUIEN DISPONE: SOLICITAR REGISTRO FÍLMICO PARA SER ENVIADO A APOYO TECNOLÓGICO DE LA PFA, CIERRE Y ELEVACIÓN DE ACTUACIONES.-</t>
  </si>
  <si>
    <t>AR 2836</t>
  </si>
  <si>
    <t>HOTEL DEL PRADO, HABITACION Nº 102 PARAGUAY 2385 CABA</t>
  </si>
  <si>
    <t>REF. ORDEN DE SERVICIO Nº 236. EN EL DIA DE LA FECHA SE PROCEDIO A DAR CUMPLIMIENTO A LA ORDEN DE ALLANAMIENTO ORDENADO POR EL JUZGADO INTERVINIENTE EN LA HABITACION Nº 102 DEL HOTEL DEL PRADO DE LA CABA, CON RESULTADO NEGATIVO.</t>
  </si>
  <si>
    <t>DRA. KEHOE</t>
  </si>
  <si>
    <t>NIVEL 4</t>
  </si>
  <si>
    <t>ESTACIONAMIENTO MULTINIVEL</t>
  </si>
  <si>
    <t>EN EL DÍA DE LA FECHA, SIENDO LAS 17:25 HORAS, LA DENUNCIANTE ARRIBA A ESTE AEROPUERTO, Y COLOCO SUS PERTENENCIAS EN UN CARRO DE EQUIPAJES PARA DIRIGIRSE HACIA EL ESTACIONAMIENTO SUR CUBIERTO MULTINIVEL. YA SIENDO LAS 18:00 HORAS, LA DENUNCIANTE DESESTIBA SUS PERTENENCIAS DEL CARRO DE EQUIPAJE COLOCÁNDOLOS EN EL INTERIOR DEL VEHICULO Y SE DIRIGE HACIA EL DOMICILIO DE SU SR. PADRE, DONDE AL LLEGAR SE PERCATA DEL FALTANTE DE SU BOLSO, POR DICHA RAZÓN, REGRESA HASTA EL ESTACIONAMIENTO MULTINIVEL, NO ENCONTRANDO SUS PERTENENCIAS, HACIÉNDOSE PRESENTE EN ESTA GUARIDA DE PREVENCIÓN A LOS EFECTOS DE RADICAR LA DENUNCIA DE LO OCURRIDO. SE REALIZAN LAS ACTUACIONES DE RIGOR. SE INFORMA SEGUN PU Nº 1978 DEL DIA 01/04/10 SIENDO LAS 1500 HORAS SE PRESENTA EN LA GUARDIA DE PREVENCION LA DENUNCIANTE QUIEN MANIFIESTA QUE RECIBIO UN LLAMADO TELEFONICO POR PARTE DE UN EMPLEADO DE LA EMPRESA AEROPUERTOS ARGENTINA 2000, QUIEN LE INFORMO QUE HABIA UN HALLAZGO DE SUS PERTENENCIAS. SE ENTABLA COMUNICACION TELEFONICA CON LA JUDICATURA ACTUANTE QUIEN DISPUSO SE LE HAGA ENTREGA DE LAS PERTENENCIAS HALLADAS A LA DENUNCIANTE Y SE AMPLIE DENUNCIA INFORMANDO LOS ELEMENTOS NO RECUPERADOS O FALTANTES A SABER UNA CAMARA DIGITAL MARCA CANON, UN REPRODUCTOR DE MUSICA MARCA APPLE, UN REPRODUCTOR DE DVD PORTATIL, DOS CELULARES MARCA NOKIA, VEINTE DISCOS DVD, SETENTA Y SEIS DOLARES ESTADOUNIDENSES, Y DOCE PESOS ARGENTINOS.</t>
  </si>
  <si>
    <t>LA 4113</t>
  </si>
  <si>
    <t>EN EL DIA DE LA FECHA SIENDO LAS 15:18 HS ARRIBA LA AERONAVE MATRICULA LV-JPZ DE LA EMPRESA CEDMA SRL PROCEDENTE DE LA CIUDAD DE RIO GALLEGOS TRANSPORTANTO MERCANCIAS PELIGROSAS - EXPLOSIVOS AMPARADA BAJO GUIA DE REMOVIDO Nº 198 DE FECHA 31-03-2010, LAS CUALES SE DETALLAN A CONTINUACION, 26 CAJAS CONTENIENDO 1300 CARGAS HUECAS TC47HP, RENAR Nº C5 0098/26 MERCADERIA AMPARADA POR REMITO Nº 0002-00000686 DE GEOLOG SA CERTIFICADO DE INSCRIPCION MINISTERIO DE JUSTICIA SEGURIDAD Y DERECHOS HUMANOS REGISTRO NACIONAL DE ARMAS Nº 24597 - PESO BRUTO TOTAL 600 KG DICHO PROCEDIMIENTO FINALIZO SIN NOVEDAD.</t>
  </si>
  <si>
    <t>DANDO CUMPLIMIENTO A ORDEN DE SERVICIO NRO 0023/10 DE ESTA UOSP Y SIENDO LAS 00:25 HORA LOCAL ARRIBA AERONAVE MATRICULA LV-BOI DE LA EMPRESA LAN ARGENTINA PROCEDENTE DE AEROPUERTO JORGE NEWBERY EN CUYAS BODEGAS 11,12 Y 13 SE DESPACHAN 70 PIEZAS CON UN PESO BRUTO DE 3.010 KILOGRAMOS DE METAL - MTD- PERTENECIENTES A LA EMPRESA CERRO VANGUARDIA. EL VUELO DESPEGA A LAS 01:16 SIN NOVEDAD.</t>
  </si>
  <si>
    <t>NIVEL 1º</t>
  </si>
  <si>
    <t>SIENDO LA HORA 21:15 POR PERSONAL DE VIGILANCIA PRIVADA DESTACADO EN EL ESTACIONAMIENTO LOCALIZA UNA CAJA DE CARTON, DE PEQUEÑO TAMAÑO, APOYADO SOBRE EL PARABRISAS DE UN VEHICULO TOYOTA MODELO COROLLA, UBICADO EL NIVEL Nº 1 DEL ESTACIONAMIENTO MULTINIVEL (ESTACIONAMIENTO SUR). SIENDO LA HORA 21:30 SE HACE PRESENTE EL OF. SCORTIO AL LUGAR DE HALLAZGO, QUIEN LUEGO DE UNA INSPECCION VISUAL DEL OBJETO, SOLICITA LA PRESENCIA DE PERSONAL DE GEDEX DE LA UOSP EZEIZA A CAUSA DE LA INEXISTENCIA DE MEDIOS TÉCNICOS EN ESTA UOSP PARA REALIZAR EL CONTROL CORRESPONDIENTE. SIENDO LA HORA 22:30 HORAS SE HACE PRESENTE EL OF. CHAMORRO (PERSONAL DE GEDEX UOSP EZEIZA) REALIZANDO CONTROL POR MEDIO TECNICO DEL HALLAZGO CON RESULTADO NEGATIVO. SIENDO LA HORA 23:20 HS SE LABRA ACTA DE HALLAZGO Nº CORRESPONDIENTE A UNA PLAQUETA CONTROLADORA DE VOLTAJE. SIENDO LA HORA 23:55 SE HACE PRESENTE EL SR. SALVADOR INDOMITO MANIFESTANDO SER PROPIETARIO DE DEL ELEMENTO HALLADO, LABRÁNDOSE EL CORRESPONDIENTE ACTA DE ENTREGA.</t>
  </si>
  <si>
    <t>ALEJANDRA F. DA SILVA ABELLA Y DEBORA S. CAMPORA S/ENTATIVA DE CONTRABANDO DE ESTUPEFACIENTES</t>
  </si>
  <si>
    <t>ALEJANDRA F. DA SILVA ABELLA Y DEBORA S. CAMPORA S/TENTATIVA DE CONTRABANDO DE ESTUPEFACIENTES.</t>
  </si>
  <si>
    <t>PATIO SUR</t>
  </si>
  <si>
    <t>PATIO DE VALIJAS DE LA TERMINAL B</t>
  </si>
  <si>
    <t>MIENTRAS SE EFECTUABA EL CONTROL DE RUTINA SOBRE LOS EQUIPAJES DESPACHADOS PARA EL VUELO DE MENCION, SE OBSERVA QUE DENTRO DE UN EQUIPAJE TIPO MOCHILA SE HALLA ELEMENTOS DE SUSTANCIA ORGANICA, NO PUEDIENDO ESPECIFICAR QUE TIPO DE ELEMENTO SE TRATA. POR TAL MOTIVO, SE PROCEDE A UBICAR A LA PASAJERA FIGURANTE EN EL MARBETE LA CUAL UNA VEZ INDIVIDUALIZADA, LA MISMA VIAJABA CON UNA AMIGA. SEGUIDAMENTE SON INVITADAS AL SECTOR DEL PATIO DE VALIJAS, DONDE LA AMIGA DE LA FIGURANTE EN EL MARBETE MANIFIESTA DE MANERA ESPONTANEA QUE ESA MOCHILA ERA DE SU PROPIEDAD, PERO QUE ESTABA A NOMBRE DE SU AMIGA EN VIRTUD A QUE VIAJABAN JUNTAS. ACTO SEGUIDO Y PREVIA AUTORIZACION JUDICIAL, SE PROCEDE A LA REQUISA DE LA MOCHILA DE LA CUAL SE DESPRENDE QUE UN TOTAL DE 18 PAQUETES ENVUELTOS EN CINTA DE EMBALAR COLOR GRIS, DISPUESTAS EN LA PARTE DE SU ESPALDAR Y BASE DE LA MOCHILA, ARROJANDO EN TODOS LOS CASOS POSITIVO COCAINA CON RESPECTO A SU CONTENIDO, SIENDO ESTE SUSTANCIA PULVERULENTA COLOR BLANCA HABIDA EN TODOS LOS PAQUETES. SE PROCEDIO A LA DETENCION DE LAS PASAJERAS Y QUE LO ACTUADO SEA ELEVADO A SEDE JUDICIAL EL DIA 02 DE ABRIL A LAS 8:30 HS.- SE INFORMA SEGÚN P.U 1985 EL TRASLADO DE LAS DETENIDAS A SEDE TRIBUNALICIA. SE INFORMA SEGÚN P.U. 2001 QUE EL DIA 02/04/2010 SE PROCEDIÓ AL ALOJAMIENTO EN DEPENDENCIAS DE LA UOSP EZEIZA A LAS DETENIDAS, QUEDANDO ALOJADAS HASTA EL 03/04/2010, MOMENTO EN QUE SE TRASLADARAN A SEDE JUDICIAL. SE INFORMA SEGUN P.U. 2002 QUE SIENDO LAS 1050 DEL 03/04/2010 SE PROCEDIÓ AL TRASLADO DE LAS DETENIDAS AL TRIBUNAL CORRESPONDIENTE</t>
  </si>
  <si>
    <t>QUINTO PISO</t>
  </si>
  <si>
    <t>ESTACIONAMIENTO SUR - MULTINIVEL</t>
  </si>
  <si>
    <t>SIENDO LA HORA Y FECHA ANTES MENCIONADA, SE RECIBE COMUNICACION POR PARTE DEL SR. QUINTEROS, SUPERVISOR DE SEGURIDAD DE LA EMPRESA AEROPUERTOS ARGENTINA 2000, INDICANDO QUE EN EL LUGAR CITADO CON ANTERIORIDAD, SE ENCONTRABA UN BOLSO DE MANO POR LO CUAL SE PROCEDIO A DAR AVISO AL OFICIAL ALBUERNE DE LA SECCION GEDEX. SIENDO LAS 10:50 HORAS SE ENTABLA COMUNICACION CON EL CABO 1º LEGUIZA DE BOMBEROS DE LA PFA Y CON LA DRA. MARTINO, DE SANIDAD DEL GRUPO EMERGER, QUIENES SE HICIERON PRESENTES EN EL LUGAR EN HORAS 10:55. SIENDO LAS 11:00 HORAS, EL OFICIAL ALBUERNE COMIENZA CON EL PROCEDIMIENTO, RESULTANDO ESTE NEGATIVO. SIENDO LAS 11:10 HORAS, FINALIZA EL PROCEDIMIENTO SIN NOVEDAD. SE LABRA ACTA DE HALLAZGO Nº 730/10 EN PRESENCIA DEL HALLANTE SR. FERREYRA EDUARDO MARTIN, DNI: 27.739.738, VIGILADOR DE LA EMPRESA SEGURIDAD ARGENTINA. DICHO BOLSO POSEE UN TAMAÑO PEQUEÑO Y ES DE LA MARCA COMERCIAL "PUMA" CONTIENE EN SU INTERIOR: ROPA DE NIÑO, REVISTAS VARIAS, UTILES ESCOLARES VARIOS, UN ESTUCHE COLOR NEGRO CON LA INSCRIPCION "LG" VACIO, UNA LIBRETA UNIVERSITARIA UCES A NOMBRE DE ILEANA ALONSO, UN PASAPORTE Nº 30.175.763 A NOMBRE DE ILEANA ALONSO, UN DNI Nº 47.573.440 A NOMBRE DE SANTIAGO MATAMOROS Y UN PASAPORTE A NOMBRE DE SANTIAGO MATAMOROS, UNA LIBRETA DE FAMILIA "MATAMOROS-ALONSO", UNA AUTORIZACION PARA VIAJAR MATAMOROS SANTIAGO, UN LIBRO "LA MISTERIOSA LLAMA", UNA CARTUCHERA COLOR LILA CONTENIENDO TRES TARJETAS VISA, UNA TARJETA AMERICAN EXPRESS, UNA TARJETA MASTERCARD, DOS TARJETAS SWISS MEDICAL, UNA LICENCIA DE CONDUCIR, UNA LICENCIA DE CONDUCIR CALIFORNIA USA, UNA CEDULA DE IDENTIDAD PFA MERCOSUR, TODO A NOMBRE DE ALONSO ILEANA.</t>
  </si>
  <si>
    <t>SECTOR SURESTE Y SUROESTE DEL PREDIO ALTURA CABECERA 03 APROXIMADAMENTE A TRES MIL METROS DE LA AEROESTACION</t>
  </si>
  <si>
    <t>EN EL DIA DE LA FECHA SIENDO LAS DIEZ HORAS SE PRESENTA EL SEÑOR SERGIO CALDERON EMPLEADO DE LA EMPRESA AA 2000 DENUNCIANDO QUE MIENTRAS REALIZABA UN RECORRIDO DE RUTINA POR PERIMETRO DEL AEROPUERTO, AL LLEGAR AL PRIMER TRAMO DE LA CERCA PERIMETRAL PLASTICA, QUE SE ENCUENTRA A LA ALTURA DE LA CABERA 03 Y LINDANTE CON EL PARAJE LA VERNACHA, PUDO DETECTAR QUE LA PARTE INFERIOR DE LA MENCIONADA CERCA SE ENCONTRABA DESPRENDIDA DE LOS ALAMBRES QUE FORMAN PARTE DE LA ANTERIOR REPARACION SIGUIENDO CON SU RECORRIDO Y AL LLEGAR AL SECTOR OPUESTO LINDANTE CON EL BARRIO BORGES DETECTA OTRO PAÑO INFERIOR DE LA CERCA PERIMETRAL TAMBIEN DESPRENDIDO DE LA MISMA FORMA Y CON SIMILARES CARACTERISTICAS QUE EL ANTES MENCIONADO. TOMADO CONOCIMIENTO DE ESTA NOVEDAD ME DIRIJO AL LUGAR DEL HECHO DONDE PROCEDO A CONSTATAR LO DENUNCIADO, REALIZANDO UNA INSPECCION OCULAR EN EL SECTOR Y NO PUDIENDOSE DETECTAR NINGUN TIPO DE HUELLAS. FINALIZADA LA INSPECCION LA EMPRESA AA 2000 PROCEDIO A REPARAR LA CERCA EN FORMA INMEDIATA, UTILIZANDO EL MISMO SISTEMA DE GANCHOS DE ALAMBRE. SE DA INTERVENCION AL JUZGADO SANTIAGO DEL ESTERO, COMNICANDO LA NOVEDAD AL SEÑOR FISCAL FEDERAL DR. PEDRO SIMON, QUIEN ORDENA DAR INICIO A LAS ACTUACIONES CORRESPONDIENTES Y LAS MISMAS SEAN ELEVADAS A LA BREVEDAD.</t>
  </si>
  <si>
    <t>1924/10</t>
  </si>
  <si>
    <t>............</t>
  </si>
  <si>
    <t>..........</t>
  </si>
  <si>
    <t>oficina de sumarios policiales</t>
  </si>
  <si>
    <t>SE PROCEDE A LA APERTURA DE DOS SACAS COLECTORAS DEL CORREO OFICIAL SEGUN ACTA DE RETENCION DE CARGAS Nº 0165/10, PREV.SUM. Nº 035/10, LA 1RA SACA MARBETE SLA0169042E555700RGL, PRECINTO Nº B034071, CONTIENE TRES PIEZAS POSTALES IDENTIFICADAS COMO 1° EP704670889AR,RTTE: CANCHI JUAN DAVID, ALBERDI 444, ORAN-SALTA, CP 4530, DEST: CANCHI NESTOR, BS AS N 151, EL CALAFATE, SANTA CRUZ, CP 9405, LA CUAL QUEDA RETENIDA. LA 2 Y 3 EP656098585AR Y EP666289553AR, SON LIBERADAS PARA SU REDESPACHO. LA 2 SACA, MARBETE EP6884829467AR, CONTIENE CINCO PIEZAS POSTALES, LA 1 EP684829467AR, RTTE: MENDEZ CESAR ALBERTO, MZA 15, LOTE 2, B C. VERDE, S.S.JUJUY, CP 4600, DEST: MENDEZ TEODORO , POSTE RESTANTE, OFICINA CORREO, PUERTO DE SANTA CRUZ, CP 9300, LA 2 EP858101865AR, RTTE: CORONEL RUBEN, B BELGRANO, J. MORO 350, JUJUY, DEST: URSAGAZTI ELENA, AV. LOS MINEROS 1437, B DON BOASCO, CASA N 70- KIOSCO CRI- SA RU - RIO TURBIO, SANTA CRUZ, CP 9407, LAS CUALES QUEDAN RETENIDAS. 3,4,5 EP669757502AR, EP691905549AR Y EP698124269AR SON LIBERADAS PARA SU REDESPACHO. LASENCOMIENDAS RETENNIDAS QUEDAN EN GUARDA EN EL DEPOSITO JUDICIAL DE ESTA UNIDAD A LA ESPERA DEL OFICIO JUDICIAL QUE AUTORICE SU APERTURA-</t>
  </si>
  <si>
    <t>UBERTAZI</t>
  </si>
  <si>
    <t>LAURA V.</t>
  </si>
  <si>
    <t>BEATRIZ ADRIANA TRANI</t>
  </si>
  <si>
    <t>CAUSA NRO 2277 CARATULADA ´´MANSILLA MARIO HECTOR, RETAMAR ALCIDES, BERDUN CARLOSALBERTO, GUTIERREZ FACUNDO MATIAS, ROSSETTI BRUNO, REPUCCI ALFREDO DANIEL, LOPEZ PATRICIA NOEMI S/ INFRACCION LEY 23737´´</t>
  </si>
  <si>
    <t>INFORMO QUE EN EL DIA DE LA FECHA EN VUELO 5U-481 DE LA EMPRESA LINEAS AEREAS DEL ESTADO-LADE DEL DIA 01/04/10 SE ENVIA EN CAJA CERRADA A LA EXCMA. CAMARA FEDERAL DE APELACIONES DE COMODORO RIVADAVIA PROVINCIA DE CHUBUT, CONTENIENDO EN SU INTERIOR DOCUMENTACION REFERENTE A LA CAUSA NRO 2277 ´´MANSILLA MARIO HECTOR, RETAMAR ALCIDES, BERDUN CARLOS ALBERTO, GUTIERREZ FACUNDO MATIAS, ROSSETTI BRUNO, REPUCCI ALFREDO DANIEL, LOPEZ PATRICIA NOEMI S/INFRACCION LEY 23737´´ BAJO GUIA DE CARGA NRO 022-28004082 CONFORME LO ORDENADO POR OFICIO SIN NUMERO DE FECHA 31/3/10 PROCEDENTE DEL JUZGADO FEDERAL DE USHUAIA, SECRETARIA PENAL NRO 2. ASIMISMO SE INFORMA QUE SE ESTIMA EL ARRIBO DEL VUELO A LA CIUDAD DE COMODORO RIVADAVIA A LAS 17:00HS.</t>
  </si>
  <si>
    <t>5U 481</t>
  </si>
  <si>
    <t>RIO GALLEGOS-PERITO MORENO</t>
  </si>
  <si>
    <t>DRA. LILIANA DALEIA</t>
  </si>
  <si>
    <t>CONTRABANDO DE ESTUPEFACIENTES</t>
  </si>
  <si>
    <t>SECTOR RESTRINGIDO DE LA TERMINAL A</t>
  </si>
  <si>
    <t>MIENTRAS SE EFECTUABA EL CONTROL EN EL PATIO DE VALIJAS A LOS EQUIPAJES DESPACHADOS DEL VUELO MENCIONADO, SE OBSERVA QUE EN EL INTERIOR DE UNA VALIJA SE HALLA ELEMENTOS DE SUSTANCIA ORGANICA DE BAJA DENSIDAD, NO PUDIENDO DETERMINAR FEHACIENTEMENTE DEL ELEMENTO DEL QUE SE TRATA. POR TAL MOTIVO, SE PROCEDE A UBICAR A LA PASAJERA FIGURANTE EN EL MARBETE, LA CUAL UNA VEZ IDENTIFICADA SE LA INVITA AL PATIO DE VALIJAS Y ES ALLI QUE, EN PRESENCIA DE LOS TESTIGOS CITADOS Y PERSONAL INTERVINIENTE, RECONOCE COMO DE SU PROPIEDAD EL EQUIPAJE EN CUESTION. POR TAL MOTIVO, Y PREVIA AUTORIZACION JUDICIAL, SE PROCEDE A LA REQUISA DEL EQUIPAJE, EL CUAL UNA VEZ VACIO, SU PESO NO ERA COINCIDENTE AL NORMAL EN ESTE TIPO DE EQUIPAJES. POR TAL MOTIVO SE OBSERVA QUE DICHA VALIJA PRESENTA UN DOBLE FONDO, FORMADO POR UNA CAPA PLASTICA COLOR NEGRA, LA QUE QUITADA SE OBSERVAN TRES BULTOS ROTULADOS COMO PAQUETE A, PAQUETE B Y PAQUETE C, CONTENIENDO CADA UNO DE ESTOS SUSTANCIA PULVERULENTA Y SUSTANCIA BLANCUZCA, LOS CUALES ARROJO RESULTADO POSITIVO PARA HEROINA EN DOS DE LOS PAQUETES Y POSITIVO COCAINA EN EL RESTANTE. SEGUIDAMENTE SE PROCEDE A LA REQUISA DEL EQUIPAJE DE MANO, EL CUAL PRESENTABA LAS MISMA CARACTERISTICAS QUE EL EQUIPAJE DESPACHADO, AL CUAL AL EFECTUARLE UN CORTE EN EL FORRO INTERNO DEL MISMO, SE OBSERVA UNA CAPA SIMILAR A LA DEL EQUIPAJE DESPACHADO, Y DEBAJO DE ESTA UN TOTAL DE TRES PAQUETES, ROTULADOS PAQUETE D, PAQUETE E Y PAQUETE F, DE LOS CUALES DOS DE ESTOS ARROJARON RESULTADO POSITIVO COCAINA Y EL RESTANTE POSITIVO HEROINA. SEGUIDAMENTE SE PROCEDE A LA DETENCION DE LA CAUSANTE Y LAS DILIGENCIAS PERTINENTES, LAS CUALES UNA VEZ FINALIZADAS SERAN ELEVADAS A LA MAGISTRATURA INTERVINIENTE EL DIA 02 DE ABRIL A PRIMERA HORA. CABE DESTACAR QUE EN ESTE PROCEDIMIENTO EL SECUESTRO TOTAL DE CLORHIDRATO DE COCAINA FUE DE 3388 GRAMOS, Y EL TOTAL DEL SECUESTRO DE HEROINA FUE DE 580 GRAMOS. SE INFORMA SEGUN PU Nº 1986 SIENDO LAS 0730 HORAS SE PROCEDIO AL TRASLADO DE LA DETENIDA A SEDE JUDICIAL.</t>
  </si>
  <si>
    <t>UX 044</t>
  </si>
  <si>
    <t>EN CUMPLIMIENTO DE LA ORDEN DE SERVICIO 0025/10 Y SIENDO LAS 15:50 HORAS LOCAL ARRIBA AERONAVE BOEING 737, MATRICULA LV-BNS PERTENECIENTE A LA EMPRESA AEROLINEAS ARGENTINAS Y EN CUYAS BODEGAS SE EMBARCAN 107 SACAS CON UN PESO DE 2000 KILOGRAMOS DE METAL-MTD- PERTENECIENTE A LA EMPRESA MINERA CERRO VANGUARDIA CON DESTINO EL AEROPUERTO JORGE NEWBERY DE CAPITAL FEDERAL. EL MISMO DESPEGA A LAS 16:52 HORAS LOCAL.</t>
  </si>
  <si>
    <t>AR 1639</t>
  </si>
  <si>
    <t>DOCTOR MIGUEL MAZAL</t>
  </si>
  <si>
    <t>FERNANDO FABIAN VARGAS S/DENUNCIA</t>
  </si>
  <si>
    <t>ARRIBOS DENOMINADO CABOTAJE</t>
  </si>
  <si>
    <t>INFORMO SIENDO LAS 17:20 HORAS SE PRESENTA UNA PERSONA QUE RADICA UNA DENUNCIA POR UN SUPUESTO HECHO DELICTIVO QUE AL ARRIBAR AL AEROPUERTO INTERNACIONAL CATARATAS DEL IGUAZU SE DA CUENTA QUE UNA DE LAS VALIJAS DESPACHADAS POR BODEGA HABIA SIDO VIOLENTADA DANDO INTERVENCION AL JUZGADO DE TURNO</t>
  </si>
  <si>
    <t>1964/10</t>
  </si>
  <si>
    <t>SIENDO LAS 15:00 HORAS, SE HACE PRESENTE EN ESTA GUARDIA DE PREVENCION LA DAMNIFICADA SRA. ILEANA ALONSO DNI Nº 30.175.763, QUIEN HABIENDO RECIBIDO UN LLAMADO TELEFONICO POR PARTE DEL SR. QUINTEROS CARLOS, SUPERVISOR DE SEGURIDAD DE LA EMPRESA AEROPUERTOS ARGENTINA 2000, A CERCA DEL HALLAZGO DE UN BOLSO EN EL ESTACIONAMIENTO SUR DE ESTE AEROPUERTO METROPOLITANO, EL CUAL RESULTO SER EL OBJETO QUE DIO ORIGEN A LA PREVENCION SUMARIA Nº 140-A/10 CARATULADA "HURTO NN", REGISTRO PSA Nº 1590. POR TAL MOTIVO, SIENDO LAS 15:35 HORAS, SE ENTABLA COMUNICACIÓN CON EL DR. EDUARDO M. RICO SECRETARIO AD-HOC DE LA SECRETARIA Nº 79 DEL JUZGADO NACIONAL EN LO CORRECCIONAL Nº 13 A/C DE S. SA. DRA. PATRICIA SUSANA GUICHANDUT, FISCALIA CORRECCIONAL Nº 3 A/C DEL DR. GUILLERMO CICCHETTI, SECRETARIA DE LA DRA. SANCHEZ NEGRETTE, QUIEN DISPUSO: SE ELABORE INFORME TECNICO DEL BOLSO Y LOS ELEMENTOS HALLADOS CONTENIDOS EN SU INTERIOR, TOMAS FOTOGRAFICAS DE LOS MISMOS Y ENTREGA A LA DAMNIFICADA, ELEVANDO LAS ACTUACIONES A LA FISCALIA INTERVINIENTE. SIENDO LAS 17:00 HORAS SE EFECTUA LA ENTREGA DE LOS ELEMENTOS ENCONTRADOS, DEJANDOSE CONSTANCIA MEDIANTE AMPLIACION DE LA DENUNCIA DE LOS ELEMENTOS DE SU PROPIEDAD FALTANTES A SABER: CAMARA DIGITAL MARCA CANON, REPRODUCTOR DE MUSICA MARCA APPLE, UN REPRODUCTOR DE DVD PORTATIL, DOS CELULARES MARCA NOKIA, SETENTA Y SEIS DOLARES ESTADOUNIDENSES. DOCE PESOS ARGENTINOS Y VEINTE DISCOS DVD.</t>
  </si>
  <si>
    <t>PRIMER NIVEL DE ESTACIONAMIENTO MULTINIVEL</t>
  </si>
  <si>
    <t>SIENDO LA SIETE HORAS TREINTA MINUTOS DEL DIA DE LA FECHA EL DENUNCIANTE SE ENCUENTRA CON SU MADRE, LA CUAL ARRIBO AL TERRITORIO NACIONAL EN EL VUELO DE LA EMPRESA LAN ANTES MENCIONADO. SIENDO LAS SIETE HORAS CUARENTA Y DOS MINUTOS EL DENUNCIANTE DEJA OLVIDADO EN LA CAJA DE PAGO DEL ESTACIONAMIENTO MULTINIVEL DE LA TERMINAL A, DE ESTE AEROPUERTO INTERNACIONAL, DENTRO DEL BUCHE DE UN CARRO PORTAMALETAS, UNA BOLSA DE COLOR PLATEADA CONTENIENDO EN SU INTERIOR ROPA INTERIOR VARIAS Y UN ARNES PARA TRANSPORTAR BEBES. QUE LUEGO SE RETIRA A SU DOMICILIO PARTICULAR EN DONDE SE PERCATA DEL FALTANTE DE LA BOLSA EN CUESTION. POSTERIORMENTE SE DIRIGE NUEVAMENTE A ESTE AEROPUERTO, Y SIENDO LAS OCHO HORAS TREINTA MINUTOS APROXIMADAMENTE, SE APERSONA A LA GUARDIA DE PREVENCION DE ESTA POLICIA, DONDE CONSULTA SI LA BOLSA EN CUESTION FUE REGISTRADA COMO HALLAZGO, RECIBIENDO COMO RESPUESTA POR PARTE DEL PERSONAL POLICIAL QUE NO SE HABIA REGISTRADO UN HALAZGO DE TALES CARACERISTICAS, MOMENTO EN EL CUAL EL DENUNCIANTE OBSERVA EL RECIPIENTE DE BASURA UBICADO EN LA RECEPCION DE ESTA GUARDIA DE PREVENCION LUGAR EN DONDE HALLA LA BOLSA EN CUESTION, LA CUAL CONTENIA EN SU INTERIOR ROPA INTERIOR FEMENINA VARIA, PERCATANDOSE DEL FALTANTE DE UN ARNES PARA EL TRANSPORTE DE BEBES, MOTIVO POR EL CUAL RADICA LA CORRESPONDIENTE DENUNCIA. QUE RECIBIDA DECLARACION TESTIMONIAL AL PERSONAL DE VIGILANCIA QUE TRANSPORTO AL HALLAZGO HASTA ESTA DEPENDENCIA, MANIFESTO, QUE SE ENTREVISTO DENTRO DE ESTA DEPENDENCIA CON UN PERSONAL POLICIAL AL CUAL EL VIGILADOR CONOCE COMO CHICHO, EL QUE LE REFIRIO QUE EL CONTENIDO DE LA BOLSA ERA BASURA Y QUE LO ARROJARA A LA BASURA POR LO QUE EL VIGILADOR ARROJA LA BOLSA A LA BASURA Y SE RETIRA DE ESTA GUARDIA. QUE SEGUN LAS DESCRIPCIONES APORTADAS POR EL VIGILADOR EL PERSONAL POLICIAL QUE ORDENO SE ARROJE LA BOLSA A LA BASURA SE TRATARIA DEL OFICIAL DOMINGO ALEGRE. ANOTICIADO EL JUZGADO INTERVINIENTE DISPONE SE NOTIFIQUE AL OFICIAL AYUDANTE ALEGRE DOMINGO DE LA INICIACION DE LA CAUSA, NO QUEDANDO EL OFICIAL ALEGRE IMPUTADO EN LA MISMA.</t>
  </si>
  <si>
    <t>4M4521</t>
  </si>
  <si>
    <t>FISCALIA DE INVESTIGACION PROVINCIAL N° 1 DE RESISTENCIA - CHACO.</t>
  </si>
  <si>
    <t>SOUCASSE</t>
  </si>
  <si>
    <t>ALFREDO</t>
  </si>
  <si>
    <t>CAROLINA ROMERO</t>
  </si>
  <si>
    <t>SUPUESTO ROBO CON ARMA</t>
  </si>
  <si>
    <t>CERCA DEL BICIVELODROMO</t>
  </si>
  <si>
    <t>CAMINO PERIMETRAL</t>
  </si>
  <si>
    <t>EN EL DIA DE LA FECHA, SIENDO LAS 18.15 HORAS SE PRESENTA LA MENOR MENCIONADA AL PUSTO SABRE Y REALIZA DENUNCIA VERBAL SOBRE EL ROBO DE LA MOTOCICLETA EN LA QUE CIRCULABA EN LA ZONA DEL BICIVELODROMO, JUNTO A SU CARTERA Y CELULAR LG, RAZON POR LA CUAL SE REALIZA RASTRILLAJE EN MOVIL DE DOTACION CON RESULTADO NEGATIVO. SIENDO LAS 20.25 RADICA LA DENUNCIA EN ESTA UOSP EL PADRE DE LA DAMNIFICADA. SE DA INTERVENCION A LA FISCALIA ACTUANTE DISPONIENDO EL MAGISTRADO SE REALICEN LAS DILIGENCIAS CORRESPONDIENTES, SE DE COMUNICACIÓN AL COMANDO RADIOLECTRICO DE LA POLICIA PROVINCIAL CON LOS DATOS DEL VEHICULO Y SE ELEVE LO ACTUADO A ESA FISCALIA EL DIA LUNES 05 DE ABRIL.</t>
  </si>
  <si>
    <t>DRA. CECONI</t>
  </si>
  <si>
    <t>INFRACCION ATS. 78 Y 85</t>
  </si>
  <si>
    <t>QUE EL DIA DE MENCION EN EL HORARIO INDICADO EL PERSONAL POLICIAL INTERVINIENTE OBSERVA A UN MASCULINO EN EL SECTOR YA DESCRIPTO OFRECIENDO SERVICIO DE TRANSPORTE PUBLICO A VIVA VOZ, A PASAJEROS RECIEN ARRIBADOS AL PAIS. HABIDA CUENTA DE ELLO Y SIENDO QUE DICHO ACCIONAR VIOLATORIO A LO NORMADO, PROCEDE A LA IDENTIFICACION Y APREHENSION PREVENTIVA DEL CAUSANTE, SOLICITANDO PARA TAL DILIGENCIA UN TESTIGO Y TRASLADANDO AL CAUSANTE A SANIDAD EN PRIMER TERMINO Y LUEGO A LA GUARDIA DE PREVENCION A FIN DE RADICAR LA CORRESPONDIENTE DILIGENCIA CONTRAVENCIONAL. ES TODO CONSTE.-</t>
  </si>
  <si>
    <t>DR SANTIAGO FRENCH</t>
  </si>
  <si>
    <t>ESTACIONAMIENTO SCAN - VAN</t>
  </si>
  <si>
    <t>COREO OFICIAL SALTA</t>
  </si>
  <si>
    <t>SE PROCEDE A LA RETENCION DE UNA SACA COLECTORA DEL COOREO OFICIAL SEGUN CONSTA EN ACTA DE RETENCION DE CARGA N° 169/10, CORRESPONDIENTE A LA PREVENCION SUMARIA N° 037/10, LA SACA IDENTIFICADA CON MARBETE N° SLA0170754E606000BHI, PRECINTO N° B034073, CON UN PESO DECLARADO DE 9,70 KGS., CON DESTINO A LA CIUDAD DE BAHIA BLANCA AMPARADA EN GUIA AEREA N° 9342432-1, LA QUE SERIA DESPACHADA A TRAVES DE LA EMPRESA DE CARGA AEREA JET PAQ. LA RETNCION SE REALIZA ANTE LA PRESUNCION DE INFRACCION A LAS LEYES 22415Y/O 23737, QUEDANDO LA MISMA CERRADA Y PRECINTADA EN GUARDA EN ESTA UOSP. SE COMUNICO TELEFONICAMENTE CON EL JUZGADO INTERVINIENTE Y LA APERTURA SE REALIZARA EN PRESENCIA DEL PERSONAL DEL CORREO OFICIAL.</t>
  </si>
  <si>
    <t>INFRACCION A LOS ATRS. 78 Y 85 DEL CODIGO CONTRAVENCIONAL</t>
  </si>
  <si>
    <t>INF. A LOS ART. 78 Y 85 DEL C.C.P.</t>
  </si>
  <si>
    <t>QUE EL DIA INDICADO EL PERSONAL INTERVINIENTE DETECTA IN FRAGANTI AL IMPUTADO OFRECIENDO SERVICIO DE TRASNPORTE PUBLICO A VIVA VOZ A PASAJEROS RECIEN ARRIBADOS AL PAIS, POR LO QUE LUEGO DE VARIAS ADVERTENCIAS UNA VEZ CONVOCADO EL TESTIGO DEL PROCEDIMIENTO Y ATENTO A QUE EL IMPUTADO INFRINGIO CON SU ACCIONAR LOS ARTICULOS DEL CODIGO CONTRAVENCIONAL YA CITADO, TRASLADANDO AL SUJETO A LA GUARDIA DE PREVENCION A FIN DE LABRAR LAS ACTUACIONES QUE DIERAN A LUGAR. ES TODO CONSTE.</t>
  </si>
  <si>
    <t>UOSP MERLO</t>
  </si>
  <si>
    <t>0020 HS SE RECIBE COMUNICACION DEL AER. LA PLATA SUBOF. RUPEREZ A LOS EFECTOS DE SOLICITAR FACTIBILIDAD DE POSIBLE VUELO SANITARIO. SE REALIZAN COORDINACIONES CON ANAC Y ADMINISTRACION OTORGANDOSE LA MISMA. 0415 ATERRIZA AERONAVE LV- MRT DEL GOBIERNO DE LA PCIA DE BS AS PARA EL TRASLADO DEL ACCIDENTADO SR GUSTAVO DANIEL CORRADINI DNI 17.745.884 CON DOMICILIO EN CALLE MAIPÚ 1341 MORENO BS AS ACOMPAÑADO POR EL SR FABIAN ANTONIO NICOLAUZIG DNI 18.204.934. DESPEGUE HORA 0500 SIN NOVEDAD.</t>
  </si>
  <si>
    <t>LA PLATA</t>
  </si>
  <si>
    <t>1968/10</t>
  </si>
  <si>
    <t>ALEJANDRA F. DA SILVA ABELLA Y DEBORA S. CAMPORA S/TENTATIVA DE CONTRABANDO DE ESTUPEFACIENTES</t>
  </si>
  <si>
    <t>QUE DE ACUERDO A LO ORDENADO POR S.SA. SIENDO LAS SIETE HORAS TREINTA MINUTOS SE PROCEDIO AL TRASLADO DE LAS DETENIDAS HACIA SEDE JUDICIAL.-</t>
  </si>
  <si>
    <t>1975/10</t>
  </si>
  <si>
    <t>MUELLE 32 DE LA ISLA NUMERO 02</t>
  </si>
  <si>
    <t>QUE SIENDO APROXIMADAMENTE LAS SIETE HORAS TREINTA MINUTOS SE PROCEDIO AL TRASLADO DE LA CAUSANTE HACIA SEDE JUDICIAL SEGUN LO ORDENADO POR S.SA.</t>
  </si>
  <si>
    <t>HALL DE LA TERMINAL A</t>
  </si>
  <si>
    <t>QUE SIENDO LA HORA INDICADA PERSONAL POLICIAL CONSTATA QUE EN EL LUGAR ANTES MENCIONADO SE ENCONTRABA UNA PERSONA DE SEXO MASCULINO REALIZANDO TAREAS DE VENTA AMBULANTE DE SUSTANCIAS ALIMENTICIAS A TRANSEUNTES POR UNA SUMA DE DINERO A CONVENIR. POR TAL MOTIVO SE PROCEDE A LA APREHENSION DEL MASCULINO, SECUESTRO DE LOS ELEMENTOS EN CUESTION Y LUEGO SE TRASLADA AL MISMO HACIA EL ASIENTO DEL TURNO DE PREVENCION A EFECTOS DE REALIZAR LAS ACTUACIONES CORRESPONDIENTES. NO SE ESPECIFICA LA CANTIDAD DE SUSTANCIA ALIMENTICIA SECUESTRADA EN ACTUACION CONTRAVENCIONAL</t>
  </si>
  <si>
    <t>EN EL DIA DE LA FECHA DESPEGA T-01 CON LA SRA PRESIDENTA DE LA NACION Y COMITIVA S/N</t>
  </si>
  <si>
    <t>CIUDAD DE USHUAIA</t>
  </si>
  <si>
    <t>SALON PRINCIPAL PRIMER PISO</t>
  </si>
  <si>
    <t>SIENDO LAS 07:30 HS DEL DIA 01/04/2010 EL OFICIAL BONACCI LUIS FARID REALIZANDO PATRULLA, ENCUENTRA EN LA COFITERIA DE ESTE AEROPUERTO UNA NOTEBOOK,MARCA LENOVO, MODELO THINKPAD, COLOR NEGRO,Nº DE SERIE 7453EDY, CON ETIQUETA DE CERTIFICACION COLOR ROSADO Y VERDE DE LA EMPRESA MOCROSOFT NUMERACION X 14-39713 CON BATERIA INCORPORADA</t>
  </si>
  <si>
    <t>INFORMO SIENDO LAS 12:17 HS. ARRIBA EN VUELO PRESIDENCIAL , TANGO 01,LA SRA. PRESIDENTA DE LA NACION CRISTINA FERNANDEZ DE KIRCHNER Y COMITIVA RETIRANDOSE DICHA COMITIVA DE LA JURISDICCION SIN NOVEDAD.-</t>
  </si>
  <si>
    <t>JUZGADO NACIONAL CRIMINAL DE INSTRUCCION Nº 39</t>
  </si>
  <si>
    <t>SECRETARIA Nº 135</t>
  </si>
  <si>
    <t>BOTTO</t>
  </si>
  <si>
    <t>ALBERTO MUFATTI</t>
  </si>
  <si>
    <t>GONZALEZ RUBEN DAVID Y OTROS S VEJACIONES</t>
  </si>
  <si>
    <t>34.292/01</t>
  </si>
  <si>
    <t>SECTOR DE CONTROL MIGRATORIO DE INGRESO DE PASAJEROS AL TERRITORIO NACIONAL.</t>
  </si>
  <si>
    <t>ARRIBO DE LA TERMINAL B.</t>
  </si>
  <si>
    <t>QUE SIENDO LA HORA Y FECHA ANTEDICHA PERSONAL DE LA D.N.M. REMITIO MEDIANTE NOTA DE ESTILO AL CAUSANTE POR MEDIAR UNA ORDEN DE CAPTURA VIGENTE SOBRE SU PERSONA DE ACUERDO A LO INFORMADO POR DICHO ORGANISMO Y A SU VEZ TAMBIEN POR INTERPOL EZEIZA DE ACUERDO A COMPULSA OPORTUNAMENTE REALIZADA. QUE CONSULTADO EL SECRETARIO DEL JUZGADO INTERVINIENTE, EL MISMO INDICO QUE LA MEDIDA ESTABA PRESCRIPTA Y QUE POR LO TANTO EL CASUANTE DEBE FIJAR DOMICILIO Y UNA VEZ FINALIZADAS LAS DILIGENCIAS, EL MISMO DEBE RETIRARSE DE ESTA DEPENDENCIA. DEBIENDO COMPARECER A SEDE JUDICIAL EL DIA 05/04/2010 EN HORAS DE LA MAÑANA, Y SE ENVIEN A SEDE JUDICIAL LAS ACTUACIONES LABRADAS EN ESTA DEPENDENCIA. SIENDO LAS 1300 HORAS EL CAUSANTE SE RETIRO DE ESTA DEPENDENCIA POR SUS PROPIOS MEDIOS Y CONFORME CON LOS TRATOS RECIBIDOS.-</t>
  </si>
  <si>
    <t>AR 1141</t>
  </si>
  <si>
    <t>JORE D´AMORE</t>
  </si>
  <si>
    <t>AEROPUERTO DE SAN PABLO AEROPUERTO DE EZEIZA</t>
  </si>
  <si>
    <t>QUE SIENDO LA FECHA Y HORA ANTEDICHA EL DENUNCIANTE ARRIBO A ESTE AEROPUERTO. QUE LUEGO DE EFECTUADOS LOS TRAMITES MIGRATORIOS DE RIGOR, EL MISMO SE DIRIGIO HACIA LA CINTA TRANSPORTADORA DE EQUIPAJES NUMERO 08, EN DONDE RETIRO SU EQUIPAJE DE LA MISMA. EN TAL SITUACION SE PERCATO DE QUE UN BOLSO DEPORTIVO DE COLOR NEGRO DE SU PROPIEDAD CON LA INSCRIPCION DIOR PARFUMS PRESENTABA EL FALTANTE DE UN PRECINTO PLASTICO OPORTUNAMENTE COLOCADO EN EL CIERRE TIPO CREMALLERA DEL BOLSO EN EL AEROPUERTO DE PARTIDA. QUE APERTURADO DICHO BOLSO SE PERCATO DEL FALTANTE DE UN PAR DE ZAPATILLAS DEPORTIVAS DE SU PROPIEDAD. NO POSEE COBERTURA DE SEGUROS.NO HABIA ROTURA DE CIERRES O DEL CUERPO DEL BOLSO.-</t>
  </si>
  <si>
    <t>NAC DE 1º INST EN LO CRIMINAL DE INST Nº 38</t>
  </si>
  <si>
    <t>SECRETARIA Nº 132</t>
  </si>
  <si>
    <t>Vilma Susana</t>
  </si>
  <si>
    <t>DR. REY.</t>
  </si>
  <si>
    <t>EN EL DIA DE LA FECHA COMPARECE EL SEÑOR DIBARBORA PABLO A FIN RADICAR UNA DENUNCIA POR HURTO DE UN PERFUME, EL CUAL HABIA COLOCADO EN SU EQUIPAJE DESPACHADO POR BODEGA.</t>
  </si>
  <si>
    <t>AR 1505</t>
  </si>
  <si>
    <t>INFORMO PARTIDA VUELO PRESIDENCIAL TANGO 01 TRASLADANDO A LA SRA. PRESIDENTE DE LA NACION Y COMITIVA SIN NOVEDAD.-</t>
  </si>
  <si>
    <t>EN EL DIA DE LA FECHA ARRIBA T-01 CON LA SRA PRESIDENTA DE LA NACION Y COMITIVA S/N. LA AERONAVE PRESIDENCIAL PERNOCTARA EN ESTE AEROPUERTO.</t>
  </si>
  <si>
    <t>IARA SILVESTRE</t>
  </si>
  <si>
    <t>PUERTA DE ARRIBOS</t>
  </si>
  <si>
    <t>DURANTE EL VUELO DE LA EMPRESA AEROLINEAS ARGENTINAS Y DURANTE EL CONTROL DISPUESTO POR ORDEN DE SERVICIO 01/10 SE OBSERVO QUE ERAN TRANSPORTADOS POR DOS CIUDADANOS DE ORIGEN BRASILERO ARMAMENTOS QUE NO HABIAN SIDO CONTROLADOS POR EL ORGANISMO COMPETENTE R.E.N.A.R A SU INGRESO A ESTE PAIS. SE REALIZARON LAS COMUNICACIONES PERTINENTES CON LA SECRETARIA DEL JUZGADO DE TURNO QUIEN DETERMINO QUE DADO QUE ERA RESPONSABILIDAD DE LA EMPRESA INFORMAR COMO ASI TAMBIEN TRAMITAR QUE LOS CIUDADANOS BRASILEROS CUMPLIERAN CON LOS REQUISITOS PARA EL INGRESO DE ARMAMENTOS A ESTE PAIS, PERMITIRLE EL INGRESO DE LOS MISMOS DEJANDO CONSTANCIA DE LO DETERMINADO POR SU SEÑORIA EN LA CORRESPONDIENTE ACTA DE PROCEDIMIENTO. CABE DESTACAR QUE LOS CIUDADANOS MANIFESTARON QUE LE DIA LUNES 5 DE ABRIL EN EL VUELO 1640 DE AEROLINEAS ARGENTINAS PARTIRAN CON DESTINO A AEROPARQUE PARA LUEGO ESE MISMO DIA ABORDAR UN AVION DE LA MISMA EMPRESA CON DESTINO A BRASIL.</t>
  </si>
  <si>
    <t>VIEDMA</t>
  </si>
  <si>
    <t>JORGE HUARTE</t>
  </si>
  <si>
    <t>INCIDENTE DE BUSQUEDA</t>
  </si>
  <si>
    <t>Nº 5385 / 13</t>
  </si>
  <si>
    <t>AVENIDA LURO Nº 3537</t>
  </si>
  <si>
    <t>REF. ORDEN DE SERVICIO Nº 242 EN EL DÍA DE LA FECHA POR ORDEN DE LA JUDICATURA INTERVINIENTE EN EL MARCO DE LA CAUSA DE REFERENCIA SIENDO LA 08:00 HS. SE REALIZA DISPOSITIVO DE VIGILANCIA FIJA EN INMEDIACIONES DE LA AVENIDA LURO Y CALLE ESPAÑA DE ESTE MEDIO, CON EL FIN DE LOGRAR LA DETENCIÓN DEL CIUDADANO EDUARDO ADOLFO MUELAS DNI 16.926.586. SIENDO LAS 19:40 HS SE LOGRA LA APREHENSIÓN DEL NOMBRADO EN LA AVENIDA LURO Nº 3537 NO OFRECIENDO RESISTENCIA ALGUNA, QUEDANDO ESTE ALOJADO EN LA UNIDAD OPERACIONAL DE MAR DEL PLATA PARA SER TRASLADADO AL DÍA SIGUIENTE AL JUZGADO INTERVINIENTE. SEGUN PU N° 2256 SE INFORMA QUE SIENDO LAS 1445 DEL DIA 15/4/10 SE TRASLADA AL DETENIDO AL HOSPITAL REGIONAL DE AGUDOS, SE LE REALIZA ELECTROCARDIOGRAMA, ANALISIS DE SANGRE Y PLACA RADIOGRAFICA, SIENDO LAS 18 00 REGRESA LA COMISION. SEGUN PARTE N° 2271 SE INFORMA QUE SIENDO LAS 11 30 DEL DIA 16/4/10 SE TRASLADA AL DETENIDO AL JUZGADO FEDERAL N°3 SECRETARIA N° 8 PARA TOMAR CONOCIMIENTO DE SU SITUACION PROCESAL. SIENDO LAS 13 00 REGRESA LA COMISION S/N. SEGUN PU N° 2318 SE INFORMA QUE SIENDO LAS 10 20 DEL DIA 19/4/10 SE TRASLADA AL DETENIDO AL COMPLEJO JUAN VUCETICH DE LA POLICIA DE LA PROVINCIA DE BS. AS. PARA PRUEBA PSICOLOGICA. POR ERROR DEL JUZGADO NO FUE ATENDIDO YA QUE EL TURNO ERA PARA EL 19/5/10. SIENDO LAS 11 05 REGRESA LA COMISION. SEGUN AMPLIACION PU Nº 2573 DE LA UOSP MAR DEL PLATA 30-4-10 SIENDO LAS 07:30 HS, SE DA CUMPLIMIENTO A LA ORDEN DE SERVICIO 033/10 SE TRASLADA AL DETENIDO MUELAS EDUARDO ADOLFO A LA COMISARIA CUARTA PARA SU REVISACION MEDICA. POSTERIORMENTE A LAS 08:20 HS REGRESA LA COMISION A LA UNIDAD SIN NOVEDAD DONDE SE LE TOMAN LAS HUELLAS DACTILARES AL DETENIDO. LUEGO A LAS 09:20 HS SE CANCELA TRANSITORIAMENTE EL TRASLADO DEL DETENIDO POR RECIBIR EL JEFE DE LA G.O.C.N. Y D.C. MAR DEL PLATA SUBINSPECTOR ALEJANDRO GIUGOVAZ UNA COMUNICACION TELEFONICA DEL DR. PABLO HUARTE, A CARGO DE LA SECRETARIA PENAL Nº 8, DONDE INFORMA QUE EL ABOGADO DEFENSOR DEL DETENIDO PRESENTO UN RECURSO DE HABEAS CORPUS SEGUN PU Nº 3015 SE INFORMA QUE SIENDO LAS 10:30 HS. DEL DÍA 19/05/2010 CUMPLIENDO O/S Nº 036/10 SE TRASLADA AL DETENIDO EDUARDO ADOLFO MUELAS DNI Nº 16926586 AL COMPLEJO JUAN VUCETICH DE LA POLICIA DE LA PCIA. DE BS.AS. PARA REALIZARLE UNA PERICIA PSICOLÓGICA ORDENADA POR EL MAGISTRADO ACTUANTE. SIENDO LAS 13:00 HS. REGRESA COMISIÓN CON EL DETENIDO, EL CUÁL ES ALOJADO NUEVAMENTE EN EL CALABOZO DE ÉSTA UOSP SIN NOVEDAD. SEGUN PU Nº 3292 SE INFORMA QUE EL DIA 01/06/2010 SIENDO LAS 17.40 HS, SE CUMPLIMENTA ORDEN DE SERVICIO Nº043/10 GENERADA POR LA UOSP MDP LA CUAL POR ORDEN DE LA JUDICATURA INTERVINIENTE, SE TRASLADA AL CIUDADANO EDUARDO ADOLFO MUELAS DNI Nº 16926586 HACIA LA UNIDAD PENAL Nº 15 DE BATAN, REGRESANDO DE LA COMISION PARA TAL FIN A LAS 20.05 HORAS SIN NOVEDAD.</t>
  </si>
  <si>
    <t>DR. REY</t>
  </si>
  <si>
    <t>EN EL DIA DE LA FECHA SE HIZO PRESENTE EL DENUNCIANTE INFORMANDO QUE AL ARRIBO DEL VUELO MENCIONADO SE PERCATA DEL FALTANTE DE UN APARATO DE TELEFONIA MOVIL DE LA EMPRESA NEXTEL, EL CUAL SE ENCONTRABA DENTRO DE UNA MOCHILA DE SU PROPIEDAD QUE HABIA DESPACHADO CON MARBETE AR7146-47. NO APORTA NUMERO DE SERIE DEL TELEFONO SUSTRAIDO Y MANIFIESTA POSEER SEGURO DE LA EMPRESA DE TELECOMUNICACIONES.</t>
  </si>
  <si>
    <t>AR1209</t>
  </si>
  <si>
    <t>ZABALA MARIANA</t>
  </si>
  <si>
    <t>DA SILVA ABELLA ALEJANDRA Y CAMPORA DEBORA S/CONTRABANDO DE ESTUPEFACIENTES</t>
  </si>
  <si>
    <t>CALLE GUARDIA VIEJA 3959 5°P C CALLE VENEZUELA 4111 6°P A</t>
  </si>
  <si>
    <t>REF. ORDEN DE SERVICIO Nº 240 EN EL DÍA DE LA FECHA SE REALIZARON DOS ALLANAMIENTOS ORDENADO POR LA JUDICATURA INTERVINIENTE EN EL MARCO DE LA CAUSA DE REFERENCIA CON LOS SIGUIENTES RESULTADOS. EN LA FINCA UBICADA EN LA CALLE VENEZUELA 4111 6°P A CON RESULTADO POSITIVO Y EN LA FINCA UBICADA EN LA CALLE GUARDIA VIEJA 3959 5°P C CON RESULTADO POSITIVO EN AMBOS CASOS SE SECUESTRARON DOCUMENTACIÓN IMPORTANTE DE INTERES PARA LA CAUSA.</t>
  </si>
  <si>
    <t>1985/10</t>
  </si>
  <si>
    <t>QUE DE ACUERDO A LO ORDENADO POR S.SA. SIENDO LAS DIECINUEVE HORAS DEL DIA DOS DEL CORRIENTE MES Y AÑO SE PROCEDIO AL ALOJAMIENTO EN ESTA DEPENDENCIA DE LAS DETENIDAS DE AUTOS, QUEDANDO ALOJADAS HASTA EL DIA DE LA FECHA A LAS ONCE HORAS, MOMENTO EN QUE SE TRASLADARAN LAS MISMAS NUEVAMENTE A SEDE JUDICIAL, DE ACUERDO A LO ORDEMADO POR S.SA.-</t>
  </si>
  <si>
    <t>2001/10</t>
  </si>
  <si>
    <t>CUMPLO EN INFORMAR QUE SIENDO LAS DIEZ HORAS, CINCUENTA MINUTOS, DEL DIA DE LA FECHA, SE PROCEDIO AL TRASLADO DE LAS DETENIDAS DE AUTOS AL ASIENTO DEL TRIBUNAL INTERVINIENTE.-</t>
  </si>
  <si>
    <t>FISCALIA FEDERAL N° 2 DE SANTA FE</t>
  </si>
  <si>
    <t>CASA DE DERECHOS HUMANOS S/SU DENUNCIA INF. ART. 149 BIS</t>
  </si>
  <si>
    <t>EN EL DIA DE LA FECHA SE RECEPCIONO OFICIO NRO. 168/10 DE LA FISCALIA FEDERAL Nº 2 DONDE SOLICITA QUE SE INVESTIGUE LOS HECHOS DENUNCIADOS EN AUTOS CARATULADOS CASA DE DERECHOS HUMANOS S/SU DENUNCIA INF. ART. 149 BIS. AL MISMO OFICIO SE ACOMPAÑA COPIA DE LA DENUNCIA RECIBIDA POR DICHA FISCALIA.</t>
  </si>
  <si>
    <t>1982/10</t>
  </si>
  <si>
    <t>SE PROCEDE A LA APERTURA DE UNA SACA COLECTORA DEL CORREO OFICIAL, CORRESPONDIENTE A LA PREVENCION SUMARIA N° 037/10, IDENTIFICADA CON MARBETE N° SLA0170754E606000BHI, PRECINTO N° B034073, CON UN PESO DECLARADO DE 9,7 KGS., CON DESTINO A LA CIUDAD DE BAHIA BLANCA. LA MISMA CONTIENE UNA PIEZA POSTAL IDENTIFICADA COMO EP656098775AR, RTTE. MARIELA FARFAN, GOYENECHE, MZA 1C, LOTE 5, PERICO, JUJUY Y DESTINATARIO FRANCISCO GALLARDO, CALLE 4-ENTRE 2 Y 3-, PEDRO LURO, BAHIA BLANCA, LA CUAL QUEDA RETENIDA. LA RETENCION SE REALIZA ANTE LA PRESUNCION DE QUE PUDIERA CONTENER ELEMENTOS EN INFRACCION A LAS LEYES 22.415 Y/O 23.737, QUEDANDO LA MISMA CERRADA Y PRECINTADA EN ESTA UOSP. SE COMUNICO TELEFONICAMENTE CON EL JUZGADO INTERVINIENTE Y LA APERTURA SE REALIZARA CON LA AUTORIZACION DEL MAGISTRADO ACTUANTE.</t>
  </si>
  <si>
    <t>NAC. DE 1º INST. EN LO CORRECCIONAL Nº 2</t>
  </si>
  <si>
    <t>SECRETARIA Nº 59</t>
  </si>
  <si>
    <t>Angulo de Quinn</t>
  </si>
  <si>
    <t>DR. SABINO</t>
  </si>
  <si>
    <t>PATIO DE COMIDAS PRIMER PISO.</t>
  </si>
  <si>
    <t>EN EL DIA DE LA FECHA SIENDO LA HORA ANTES MENCIONADA LA DENUNCIANTE SE HACE PRESENTE EN EL CAFÉ DEL PRIMER PISO DE ESTE AEROPUERTO JUNTO A SUS FAMILIARES A FIN DE ESPERAR EL EMBARQUE DEL VUELO ANTES MENCIONADO, DEJANDO SU CARTERA CON LAS PERTENENCIAS QUE POSTERIORMENTE SE DETALLAN SOBRE EL RESPALDO DE LA SILLA EN LA CUAL ESTABA UBICADA, PERDIENDO DEL RADIO DE SU CUSTODIA LA MISMA. LUEGO DE UNOS INSTANTES SE PERCATA DEL FALTANTE DE LA MISMA, HACIÉNDOSE PRESENTE EN ESTA GUARDIA DE PREVENCIÓN A FIN DE RADICAR LA DENUNCIA DE LO SUCEDIDO. SE ENTABLA COMUNICACIÓN TELEFONICA CON LA JUDICATURA ACTUANTE QUIEN DISPONE SE REALICEN LAS ACTUACIONES DE RIGOR.</t>
  </si>
  <si>
    <t>AR1208</t>
  </si>
  <si>
    <t>SE CONFECCIONA EL PRESENTE A LOS EFECTOS DE INFORMAR QUE EN EL DIA DE LA FECHA SIENDO LAS 16:50, SE PRODUCE EL EMBARQUE DE LA CIUDADANA NORMA GRACIELA CARRILLO, DNI 25201349, EN VUELO AR 1881, CON DESTINO A LA CIUDAD AUTÓNOMA DE BUENOS AIRES, AMPARADA BAJO NOTA 168/10 DE FECHA 01/ABR/10 DE LA SECRETARIA DE ESTADO DE DERECHOS HUMANOS DE SANTA CRUZ, VICTIMA DEL DELITO DE TRATA DE PERSONAS.</t>
  </si>
  <si>
    <t>CIUDAD AUTÓNOMA DE BUENOS AIRES</t>
  </si>
  <si>
    <t>SE PROCEDE A DAR CUMPLIMIENTO A LA COLABORACION PEDIDA POR EL CEAC, MEMORANDO Nº 33/10 CON REFERENCIA LA NOTA Nº 168/10 DE LA SECRETARIA DE ESTADO DE DERECHOS HUMANOS DEL MINISTERIO DE GOBIERNO DE LA PROVINCIA DE SANTA CRUZ A FIN DE DAR RECEPCION,CUSTODIA Y ENTREGA DE LA SRTA NILDA GRACIELA CARRILLO DNI 25.201.349 SIN NOVEDAD.</t>
  </si>
  <si>
    <t>AR 1881</t>
  </si>
  <si>
    <t>PRIMER PISO TERMINAL A</t>
  </si>
  <si>
    <t>INFORMO QUE MIENTRAS PERSONAL POLICIAL EFECTUABA UN CONTROL DE RUTINA EN EL CITADO PUESTO, UN PASAJERO DEPOSITA EN LA CINTA DE LA MAQUINA DE RAYOS X EMPLAZADA EN EL SECTOR, SU EQUIPAJE DE MANO. EN ESTE CONTEXTO EL OPERADOR DE LA MAQUINA DE RAYOS X DETECTA EN EL INTERIOR DEL BOLSO UNA FIGURA, LA CUAL NO PUEDE DETERMINAR QUE ELEMENTO SE TRATA. E INVITA AL PASAJERO A QUE RETIRE LA FIGURA DEL BOLSO, LA QUE RESULTA UNA ESTATUA EN FORMA DE AGUILA Y SE SOMETE LA MISMA, A LA MAQUINA DE RAYOS X NO PUDIENDO ESTABLECER DE QUE MATERIAL SE ENCONTRABA CONFECCIONADA. POR TAL MOTIVO SE CONVOCA A DOS TESTIGOS Y SE TRASLADA AL PASAJERO AL TURNO DE PREVENCION. SEGUIDAMENTE SE MANTIENE COMUNICACION CON EL JUZGADO QUIEN AUTORIZA LA REQUISA DE LA ESTATUA. LUEGO SE PROCEDE A LA ROTURA DE PARTE DE LA ESTATUA HALLANDO EN SU INTERIOR DOS PAQUETES DE NYLON TRANSPARENTE CONTENIENDO SUSTANCIA PULVERULENTA DE COLOR BLANCA, QUE SOMETIDA A PRUEBA DE CAMPO PARA COCAINA ARROJA RESULTADO POSITIVO, A SU VEZ SE DEJA VER UN TERCER PAQUETE, EL CUAL NO SE PUEDE SEPARAR DEL RESTO DE LA ESTATUA, EN VIRTUD A QUE EL MISMO PUEDE SUFRIR UNA ROTURA Y PROVOCAR EL DERRAME DE LA SUSTANCIA HABIDA EN SU INTERIOR, QUE AL SOMETER A LA SUSTANCIA A PRUEBA DE CAMPO PARA COCAINA, ARROJANDO RESULTADO POSITIVO. SEGUIDAMENTE PERSONAL DE LA EMPRESA IBERIA TRASALADA AL TURNO EL EQUIPAJE DESPACHADO A BODEGA POR EL PASAJERO, QUE AL SOMETER AL MISMO A LA REQUISA SE DETECTA EN EL DOBLE FONDO DEL EQUIPAJE, EN SU ESPALDAR Y SU BASE SUSTANCIA PULVERULENTA DE COLOR BLANCA, QUE SOMETIDA A PRUEBA DE CAMPO PARA COCAINA ARROJA RESULTADO POSITIVO. SE MANTIENE NUEVA COMUNICACION CON EL JUZGADO, QUIEN DISPONE QUE SE PROCEDA A LA DETENCION DEL PASAJERO EN CALIDAD DE INCOMUNICADO, SE SECUESTRE LA SUSTANCIA ESTUPEFACIENTE Y SE ELEVE LO ACTUADO EL DIAL LUNES CINCO DEL MES EN CURSO. PARA UN MEJOR PROVEER ASIENTO EL PESAJE TOTAL DE SUSTANCIA HABIDA EN LA ESTATUA AGUILA, CON EL ELEMENTO CONTENEDOR Y LOS PAQUETE I Y II: SIENDO DE 4978 GRAMOS Y DEL TOTAL DE LA SUSTANCIA HABIDA EN LA VALIJA, DENOMINADA ESTRUCTURA: UN PESO DE 3228 GRAMOS. CABE DESTACAR QUE LA CANTIDAD DE SUSTANCIA ESTUPEFACIENTE SECUESTRADA ARROJO UN TOTAL DE 8206 GRAMOS. SE INFORMA SEGUN PU Nº 2025 SIENDO LAS 0745 HORAS SE CUMPLIMENTA LO ORDENADO POR LA JUDICATURA ACTUANTE PROCEDIENDO AL TRASLADO DEL DETENIDO A SEDE JUDICIAL.</t>
  </si>
  <si>
    <t>DR. JORGE D´AMORE</t>
  </si>
  <si>
    <t>AEROPUERTO MIAMI AEROPUERTO EZEIZA</t>
  </si>
  <si>
    <t>QUE SIENDO LA HORA INDICADA Y UNA VEZ QUE LA DENUNCIANTE FINALIZARA CON LOS TRAMITES DE INGRESO AL TERRITORIO NACIONAL RETIRA SU EQUIPAJE DESPACHADO A BODEGA SIENDO ESTE UNA VALIJA DEL TIPO CARRY-ON COLOR MARRÓN, CON LA INSCRIPCIÓN ESXC LA CUAL POSEE SISTEMA DE SEGURIDAD INCORPORADO MEDIANTE COMBINACIÓN NUMÉRICA, PARA LUEGO RETIRARSE HACIA SU DOMICILIO. QUE UNA VEZ EN EL MISMO Y CUANDO PROCEDE A APERTURAR SU VALIJA SE PERCATA DEL FALTANTE DETALLADO. POR TAL MOTIVO SE HACE PRESENTE EN ESTE TURNO DE PREVENCIÓN A EFECTOS DE RADICAR LA CORRESPONDIENTE DENUNCIA.-</t>
  </si>
  <si>
    <t>LA4521</t>
  </si>
  <si>
    <t>PERZAN MARIA</t>
  </si>
  <si>
    <t>PREEMBARQUE Nº 2</t>
  </si>
  <si>
    <t>INFORMO QUE EN EL CONTROL DE DOCUMENTACION DE PASAJEROS SE DETECTA A TRAVES DEL SISTEMA INFORMATICO DE LA OFICINA INTERPOL PEDIDO DE PARADERO VIGENTE SOLICITADO POR EL JUZGADO NACIONAL CRIMINAL DE INSTRUCCION Nº 3 SECRETARIA Nº 110 DE LA CIUDAD AUTONOMA DE BUENOS AIRES DEL SR. WALTER HUGO ESPADA SE PROCEDE A NOTIFICAR AL CAUSANTE QUE DEBE COMPARECER ANTE EL JUZGADO SOLICITANTE DE LA MEDIDA EN EL TERMINO DE CINCO DIAS HABILES DE LABRADA LA NOTIFICACION EL CAUSANTE MANIFIESTA DOMICILIARSE EN CALLE SEGUROLA Nº 2378 CIUDAD AUTONOMA DE BUENOS AIRES</t>
  </si>
  <si>
    <t>SIENDO LAS HORAS DIECISEIS CON DIEZ MINUTOS DESPEGA T-01 CON SEÑORA PRESIDENTA DE LA NACION, SEÑOR EX PRESIDENTE DE LA NACION DR. NESTOR KIRCHNER Y COMITIVA SON NOVEDAD CON DESTINO A LA CIUDAD DE BUENOS AIRES.-</t>
  </si>
  <si>
    <t>TENTATIVA DE ROBO CON ARMA</t>
  </si>
  <si>
    <t>BARRIO LOS PINOS, LINDANTE AL AEROPUERTO, FUERA DE LA JURISDICCION DE ESTA UNIDAD.</t>
  </si>
  <si>
    <t>A 300 MTS APROXIMADAMENTE DEL PERIMETRO DEL AEROPUERTO</t>
  </si>
  <si>
    <t>TOMADO CONOCIMIENTO DE UNA DENUNCIA DE INTENTO DE SUSTRACCION DE UN CICLOMOTOR, RADICADA EN EL PUESTO SABRE UBICADO APROXIMADAMENTE A 3000 METROS DEL TURNO DE ESTA UNIDAD PERSONAL POLICIAL, EN BASE A LAS DESCRIPCIONES APORTADAS POR EL DENUNCIANTE, REALIZAN EN EL MOVIL DE DOTACION RASTRILLAJE VISUALIZANDO AL SUPUESTO AUTOR DEL HECHO QUIEN AL VER EL MOVIL POLICIAL SE DIRIGE HACIA FUERA DE LA JURISDICCION EN DONDE SE INICIA LA PERSECUCION A PIE LOGRANDOSE LA DEMORA DE ESTE INDIVIDUO Y POSTERIOR SECUESTRO DEL ARMA UTILIZADA, EN PRESENCIA DEL TESTIGO DEL HECHO.SE REALIZA COMUNICACION CON LA FISCALIA INTERVINIVENTE Y EL JUZGADO DEL MENOR Nº 4 A CARGO DE LA DRA MARISA LAURA LEHMANN.POSTERIORMENTE SE REALIZA CONTROL MEDICO EN LA DIVISION MEDICINA LEGAL DE LA POLICIA DEL CHACO.SE CITA A LA MADRE DEL MENOR QUIEN SE PRESENTA EN ESTA UNIDAD INMEDIATAMENTE.ASIMISMO Y DE ACUERDO A LO DISPUESTO POR LOS MAGISTRADOS INTERVINIENTES EL DEMORADO FUE ALOJADO EN LA COMISARIA SECCIONAL 4TA DE LA POLICIA DEL CHACO, POR NO CONTAR ESTA UNIDAD CON CALABOZO.LO ACTUADO Y LOS ELEMENTOS SECUESTRADOS SE ELEVARÁN A LOS MAGISTRADOS INTERVINIENTES EL DIA 05/04/10.EN TODO MOMENTO SE DA CUMPLIMIENTO A LA ORDEN DE SERVICIO Nº 123/08 URSA IV DEL LITORAL.</t>
  </si>
  <si>
    <t>SIENDO LAS 18:00 HORAS, SE IMPLEMENTA ORDEN DE SERVICIO Nº 208/2010 (FAX PROCEDENTE DE LA URSA I DEL ESTE) CON MOTIVO DE BRINDAR SEGURIDAD EN EL ARRIBO DE LA SRA. PRESIDENTE DE LA NACION, DEL VUELO PROCEDENTE DE LA CIUDAD DE EL CALAFATE. SIENDO LAS 18:50 HORAS ATERRIZA LA MANDATARIA EN AERONAVE MATRICULA TANGO-01. EN HORAS 18:55, SE RETIRA DE ESTE AEROPUERTO METROPOLITANO EN HELICOPTERO MATRICULA H-02. SIENDO LAS 19:10 HORAS, FINALIZA EL OPERATIVO SIN NOVEDAD.</t>
  </si>
  <si>
    <t>AVERIGUACION DE TENTATIVA DE HURTO</t>
  </si>
  <si>
    <t>LOCAL N 20, DUTY FREE SHOP, PLANTA BAJA.</t>
  </si>
  <si>
    <t>SE APERSONA UN VIGILADOR DE LA EMPRESA SASA, SOLICITANTO LA PRESENCIA DE PERSONAL POLICIAL EN EL SECTOR, EN VIRTUD A QUE UNA PASAJERA SE HABIA RETIRADD DEL LOCAL SIN ABONAR DOS PRODUCTOS DE PERFUMERIA, QUE HABIA INTRODUCIDO DENTRO DE UNA CARTERA. ATENTO A ELLO, CONSTITUIDA LA COMISION POLICIAL, SE DISPUSO EL TRASLADO DE LA PASAJERA, JUNTO A SUS PERTENENCIAS HACIA LA GUARDIA. DONDE CON LAS AUTORIZACIONES JUDICIALES PERTINENTES SE LLEVA A CABO LA REQUISA DEL EQUIPAJE DE MANO DE LA QUE SURGE LA EXISTENCIA DE DOS PERFUMES. ATENTO A LO CUAL, S.SA. DISPUSO LAS DILIGENCIAS A CUMPLIMENTAR, QUE SE SECUESTREN LOS ELEMENTOS SUSTRAIDOS, Y UNA VEZ FINALIZADAS LAS MISMAS, Y NOTIFICADA DEL INICIO DE LA CAUSA LA CAUSANTE SE RETIRE DE ESTE MEDIO. SE INFORMA SEGUN PU N° 2017 LA CORRECCION DEL PARTE N° 2014 EN EL CUAL DEBERIA DECIR N° DE CAUSA 182-E/10, CON CARATULA JUDICIAL AVERIGUACION DE TENTATIVA DE HURTO Y SE LE AGREGAN LOS DATOS CORRESPONDIENTES AL DENUNCIANTE. SE INFORMA EN PU N° 2024 SIENDO LAS 0750 HORAS SE CUMPLIMENTA LO ORDENADO POR EL JUZGADO INTERVINIENTE, PROCEDIENDO A LA LIBERACION DE LA DETENIDA POR NO REGISTRAR IMPEDIMENTO LEGAL ALGUNO.</t>
  </si>
  <si>
    <t>DR. EDUARDO VILLANUEVA</t>
  </si>
  <si>
    <t>OFICINA TURNO PSA</t>
  </si>
  <si>
    <t>DURANTE CONTROL DE RUTINA DE EQUIPO DE RX DE DOTACIÓN NO SE PUEDE IDENTIFICAR EL CONTENIDO DE UNA SACA DE CORREO ARGENTINO DE PRECINTO Nº J065851, CON UN PESO DE 7,400 KG, SE PONE EN CONOCIMIENTO AL DR EDUARDO VILLANUEVA SECRETARIO DEL JUZGADO PENAL Nº 2 QUIEN DISPONE INSPECCIONAR LA SACA CON CANES DE LA DIVISION TOXICOMANIA DE LA POLICIA DE LA PROVINCIA DE NEUQUEN. SE REALIZA LA INSPECCION CON CAN DETECTOR DANDO INDICATIVO DE SOSPECHOSO EN INSPECCIÓN DEL TIPO PUNTO A PUNTO POR LO CUAL S.SA. DISPONE EL SECUESTRO DE LA SACA PARA SU POSTERIOR APERTURA. EL DÍA 04 DE ABRIL 2010 A LAS 20.00 HS SE PRESENTA EL DR. EDUARDO VILLAFAÑE REALIZANDO ESTE LA APERTURA DE LA SACA Y ENCONTRANDO EN SU INTERIOR SIETE PIEZAS UNA DE LAS CUALES ERA UNA CAJA DE ENCOMIENDAS, LA CUAL FUE ABIERTA POR EL DR. EDUARDO VILLAFAÑE ENCONTRANDO MATERIAL SUPUESTAMENTE ALIMENTICIO, AL NO ESTAR EN PRESENCIA DE ILICITO, EL SECRETARIO DEL JUZGADO PROCEDE A CERRAR NUEVAMENTE LA ENCOMIENDA Y LA SACA ORDENANDO SU ENTREGA A LA EMPRESA JET PAQ.</t>
  </si>
  <si>
    <t>CIUDAD AUTONOMA BUENOS AIRES</t>
  </si>
  <si>
    <t>AL ARRIBAR EL PASAJERO JUNTO A SU ESPOSA A ESTE MEDIO, EGRESAN DEL SECTOR DE ARRIBOS Y UN MASCULINO DE MEDIANA ESTATURA, TEZ MORENA, LE OFRECE SERVICIO DE TAXI, EL CUAL ACEPTA. POR LO QUE ESTE LOS CONTACTA CON OTRO MASCULINO DE 1.80 MTS, DE UNOS 25 AÑOS QUIEN LOS CONDUCE HACIA UN TAXI DEL QUE NO SE APORTAN DATOS. UNA VEZ EN EL MISMO, LOS PASAJEROS NO SE PONEN DE ACUERDO CON EL CHOFER DADO QUE ESTE ULTIMO, LUEGO DE QUE LE ABONARAN EN DOLARES LES ENTREGARAN MENOS CAMBIO DEL CORRESPONDIENTE. POR LO QUE LOS PASAJEROS DESCIENDEN DEL TAXI PERCATANDOSE DEL FALTANTE DE UNA BILLETERA. POR LO QUE SE CONTACTAN CON PERSONAL POLICIAL Y LOS ACOMPAÑA A EFECTUAR LA DENUNCIA. A CUENTA DE ELLO, LA UNIDAD INTERVINIENTE DISPONE SE NOTIFIQUE DEL INICIO DE LA CAUSA A LOS DOS MASCULINOS QUE LE OFRECIERAN SERVICIO A LOS PASAJEROS EN CUESTION. QUIENES FINALIZADAS LAS DILIGENCIAS SE RETIRAN DE ESTE MEDIO.</t>
  </si>
  <si>
    <t>JJ8020</t>
  </si>
  <si>
    <t>BUENOS AIRES-EZEIZA</t>
  </si>
  <si>
    <t>LOCAL 20 DEL DUTY FREE SHOP, P.B</t>
  </si>
  <si>
    <t>EL PRESENTE PARTE SE REALIZA COMO CORRECCION DEL PARTE 2014 EN EL CUAL DEBERIA DECIR NUMERO DE CAUSA 182-E/10 Y CARATULA AVERIGUACION DE TENTATIVA DE HURTO Y SE LE AGREGAN DATOS CORRESPONDIENTES AL DENUNCIANTE. HABIDA CUENTA QUE SE APERSONA UN VIGILADOR DE LA EMPRESA SASA, SOLICITANDO LA PRESENCIA DE PERSONAL POLICIAL EN EL SECTOR, EN VIRTUD A QUE UNA PASAJERA SE HABIA RETIRADD DEL LOCAL SIN ABONAR DOS PRODUCTOS DE PERFUMERIA, QUE HABIA INTRODUCIDO DENTRO DE UNA CARTERA. ATENTO A ELLO, CONSTITUIDA LA COMISION POLICIAL, SE DISPUSO EL TRASLADO DE LA PASAJERA, JUNTO A SUS PERTENENCIAS HACIA LA GUARDIA. DONDE CON LAS AUTORIZACIONES JUDICIALES PERTINENTES SE LLEVA A CABO LA REQUISA DEL EQUIPAJE DE MANO DE LA QUE SURGE LA EXISTENCIA DE DOS PERFUMES. ATENTO A LO CUAL, SSA DISPUSIERON LAS DILIGENCIAS A CUMPLIMENTAR Y UNA VEZ FINALIZADAS LAS MISMAS, Y HABIENDO SIDO DEBIDAMENTE NOTIFICADA, LA CAUSANTE SE RETIRE DE ESTE MEDIO.</t>
  </si>
  <si>
    <t>LILINA NAVARRO</t>
  </si>
  <si>
    <t>SECTOR VERDE CONTIGUO A LA PLAYA PUBLICA DE ESTACIONAMIENTO, HACIA EL SUR, DEBAJO DE HILERA DE ARBOLES.</t>
  </si>
  <si>
    <t>EL DENUNCIANTE MANIFIESTA QUE ESTACIONO EL VEHICULO A LAS 05:30 HORAS Y LO RETIRO A LAS 13:30 HORAS, AL MOVERLO PERCIBE UN RUIDO EXTRAÑO, SE BAJA Y OBSERVA QUE EL SOPORTE DE LA RUEDA DE AUXILIO ESTABA ABIERTO Y QUE FALTABA LA RUEDA QUE SE ENCONTRABA EN ESE LUGAR. ADEMAS OBSERVA QUE EL PARAGOLPES PRESENTABA UN CORTE Y RAYADURAS VARIAS, LAS CUALES PRESUME FUERON REALIZADOS PRODUCTO DE LA EXTRACCION FORZADA DE LA RUEDA DE AUXILIO.</t>
  </si>
  <si>
    <t>AL EFECTUAR EL CONTROL EN EL ARRIBO DEL CITADO VUELO, LA D.G.A DETUVO A UN PASAJERO QUE TRANSPORTABA 3.350 GRAMOS DE EXTASIS OCULTOS EN LOS LATERALES DE SU VALIJA. QUE CUMPLIMENTADAS LAS DILIGENCIAS ORDENADAS, PERSONAL DE ESE ORGANISMO DEJA EN CUSTODIA DE ESTA DEPENDENCIA AL DETENIDO EN AUTOS HASTA LAS SIETE HORAS DEL 05/04/10 CUANDO SERA RETIRADO PARA SU TRASLADO A SEDE JUDICIAL. SE INFORMA SEGUN PU N° 2023 QUE SIENDO LAS 0730 HS DEL DIA 05/04/10, PERSONAL DE ADUANA RETIRA AL DETENIDO PARA EFECTUAR SU TRASLADO A SEDE JUDICIAL.</t>
  </si>
  <si>
    <t>UFI N° 4</t>
  </si>
  <si>
    <t>Gomez</t>
  </si>
  <si>
    <t>Andrea</t>
  </si>
  <si>
    <t>DR.CARLOS RUSSO</t>
  </si>
  <si>
    <t>ROBO/HURTO NN</t>
  </si>
  <si>
    <t>AEROPARQUE JORGE NEWBERY AEROPUERTO MAR DEL PLATA</t>
  </si>
  <si>
    <t>EN EL DÍA DE LA FECHA SIENDO LAS 00:40HS SE HACE PRESENTE EN EL TURNO PSA LA SRTA. NATALIA MICHELACCI PARA RADICAR UNA DENUNCIA SOBRE EL FALTANTE DE EFECTOS PERSONALES DE LAS DOS VALIJAS POR ELLA DESPACHADAS EN BODEGA EN VUELO DE AUSTRAL AU2610 PROCEDENTE DE CABA, LAS CUALES TIENEN SIGNOS DE HABER SIDO VIOLENTADAS Y ARRANCADOS SUS CANDADOS.SEGUN SUS DICHOS LAS MISMAS FUERON DESPACHADAS APROXIMADAMENTE A LAS 21HS. EN EL MOSTRADOR DE LA EMPRESA EN EL AEROPARQUE JORGE NEWBERY Y SEGUN SU PRESUNCIÓN HABRIAN SIDO VIOLADAS ALLÍ YA QUE ESTUVIERON POR LO MENOS DOS HORAS HASTA LA SALIDA DEL VUELO.</t>
  </si>
  <si>
    <t>FISCALIA NACIONAL CRIMINAL DE INSTRUCCION Nº 4</t>
  </si>
  <si>
    <t>CAAMAÑO IGLESIA PAIZ</t>
  </si>
  <si>
    <t>CRISTINA</t>
  </si>
  <si>
    <t>DR. MARIANO HERNAN DOMINGUEZ</t>
  </si>
  <si>
    <t>CONTROL POR MEDIOS TECNICOS DE EQUIPAJE DESPACHADO A BODEGA</t>
  </si>
  <si>
    <t>QUE EL DÍA 4 DE ABRIL A LA HORA ANTES MENCIONADA, EN MOMENTOS QUE EL PERSONAL DE VIGILANCIA DE LA EMPRESA PRIVADA HAS SE ENCONTRABA REALIZANDO EL ESCANEO DE LOS EQUIPAJES DESPACHADOS PARA EL VUELO ANTES DICHO, DETECTA A TRAVÉS DEL EQUIPO DE RX UNA VALIJA LA CUAL EN SUS INTERIOR CONTENÍA UN ARMA DE FUEGO, SOLICITANDO LA PRESENCIA DEL DUEÑO DEL EQUIPAJE PARA QUE SE APERSONE EN EL PATIO DE VALIJAS Y PUDIESE ACLARAR TAL SITUACIÓN SUSCITADA, NO ARBITRANDO LA EMPRESA AÉREA LOS MEDIOS NECESARIOS A FIN DE UBICAR AL PASAJERO, ABANDONANDO ESTE EL PAÍS. POR LO QUE SE TRASLADARÍA EL EQUIPAJE EN CUESTIÓN HASTA LAS OFICINAS DE RECLAMOS DE EQUIPAJES DE LA DE LA EMPRESA AÉREA QUEDANDO EN RESGUARDO DE LOS MISMOS EL EQUIPAJE. SIENDO LAS 23:30HS DEL DÍA CUATRO DE ABRIL DEL CORRIENTE AÑO, EL JEFE DE TURNO DEL DÍA DE LA FECHA ES ANOTICIADO DE DE LO ANTES RELATADO, CONVOCANDO TESTIGOS HÁBILES HASTA EL SECTOR A2 A FIN DE COMENZAR CON LAS ACTUACIONES DE RIGOR. SIENDO LAS 01.30 HORAS SE ENTABLA COMUNICACIÓN TELEFÓNICA CON LA JUDICATURA ACTUANTE QUIEN DISPONE: SECUESTRO DEL EQUIPAJE EN CUESTIÓN FOTOGRAFÍA DE LA PANTALLA DEL MEDIO TÉCNICO POR EL CUAL FUE DETECTADO EL ARMA, QUE PERMANEZCA EN RESGUARDO DE ESTA UNIDAD EL SECUESTRO, DECLARACIÓN TESTIMONIAL DE LOS INTERVINIENTES, CIERRE Y ELEVACIÓN DE LO ACTUADO EL DÍA LUNES A LA SEDE JUDICIAL. NO SE CONSIGNA LOS DATOS DEL ARMAMENTO YA QUE LA MISMA SE ENCUENTRA DENTRO DEL EQUIPAJE SECUESTRADO NO PUDIENDOSE PRECISAR SI SE TRATA DE UN ARMA REAL , O UN REPLICA</t>
  </si>
  <si>
    <t>AR 1974</t>
  </si>
  <si>
    <t>DRA. MARIA MARTA DE LA RETA</t>
  </si>
  <si>
    <t>LIN YU YUE P/ART 296 C.P</t>
  </si>
  <si>
    <t>1105-L</t>
  </si>
  <si>
    <t>BOX DE CONTROL MIGRATORIO SALIDA</t>
  </si>
  <si>
    <t>SE RECEPCIONA DE PARTE DE LA D.N.M A LA PASAJERA DADO QUE PRESENTA UNA MEDIDA RESTRICTIVA VIGENTE. POR LO CUAL SE MANTIENE COMUNICACION CON EL DR. CARELLI, SECRETARIO DEL JUZGADO FEDERAL DE LA PROVINCIA DE MENDOZA EN TURNO QUE A SU VEZ SE COMUNICA CON LA DRA. MARIA MARTA DE LA RETA, SECRETARIA DEL TRIBUNAL DE ESA PROVINCIA QUE DICTARA LA MEDIDA EN CUESTION INDICANDOSE SE PROCEDA A LA DETENCION DE LA CAUSANTE EN CALIDAD DE COMUNICADA, ORDENANDO DEMAS DILIGENCIAS A CUMPLIMENTAR Y QUE A PRIMERA HORA DEL DIA 05/04/10 SE MANTENGA NUEVA COMUNICACION PARA RECIBIR LAS DIRECTIVAS RESPECTO DEL TEMPERAMENTO A SEGUIR. SE INFORMA SEGUN PU Nº 2028 SIENDO LAS 1130 HORAS DEL DIA DE LA FECHA SE CUMPLIMENTA LO ORDENADO POR LA JUDICATURA ACTUANTE Y SE PROCEDE A LIBERAR A LA CAUSANTE.</t>
  </si>
  <si>
    <t>MH-202</t>
  </si>
  <si>
    <t>BEIJING</t>
  </si>
  <si>
    <t>2019/10</t>
  </si>
  <si>
    <t>SIENDO LAS SIETE HORAS TREINTA MINUTOS DEL 05/04/10 PERSONAL DE ADUANA RETIRA AL DETENIDO PARA EFECTUAR SU TRASLADO A A SEDE JUDICIAL.</t>
  </si>
  <si>
    <t>AMSTERDAM</t>
  </si>
  <si>
    <t>2017/10</t>
  </si>
  <si>
    <t>UNA VEZ FINALIZADAS LAS DILIGENCIAS ORDENADAS Y NO MEDIANDO IMPEDIMENTO ALGUNO LA CAUSANTE SIENDO LAS SIETE HORAS CINCUENTA MINUTOS SE RETIRA DE ESTE MEDIO.</t>
  </si>
  <si>
    <t>2008/10</t>
  </si>
  <si>
    <t>SIENDO LAS SIETE HORAS, CUARENTA Y CINCO MINUTOS EL DETENIDO ES TRASLADADO HACIA SEDE JUDICIAL DE ACUERDO A LAS DIRECTIVAS IMPARTIDAS O OPRTUNAMENTE POR S.SA</t>
  </si>
  <si>
    <t>FISCALIA FEDERAL DE ZAPALA</t>
  </si>
  <si>
    <t>GARCILAZO CARLOS RAUL</t>
  </si>
  <si>
    <t>N.N S/ DELITO CONTRA LA SEGURIDAD PUBLICA.</t>
  </si>
  <si>
    <t>EXP. 4831/09</t>
  </si>
  <si>
    <t>ACCIDENTE DE AVIACION.</t>
  </si>
  <si>
    <t>ACCIDENTE DE AVIACION</t>
  </si>
  <si>
    <t>SIENDO LAS 10:00 HS DEL DIA DE LA FECHA SE RECEPCIONA EN ESTA UNIDAD OPERACIONAL OFICIO Nº 277/10 ORIGINADO POR LA SECRETARIA FISCAL DEL JUZGADO FEDERAL DE ZAPALA, A CARGO DEL DR. CARLOS RAUL GARCILAZO, MEDIANTE EL CUAL SE INFORMA DEL ARCHIVO DE LA CAUSA INT. 0001-09 INICIADA POR ESTA DEPENDENCIA POLICIAL, CARATULADA COMO: EXPT Nº 4831/09 - "N.N S/ DELITO CONTRA LA SEGURIDAD PUBLICA". SE DISPONE EL ARCHIVO DE LA MISMA BAJO EL REGISTRO Nº 89 - F 28 AÑO 2010; POR NO CONSTITUIR DELITO EL HECHO INVESTIGADO, CONFORME LO NORMADO EN ART. Nº 195 - 2º PARRAFO DEL C..P.P.N.</t>
  </si>
  <si>
    <t>2022/10</t>
  </si>
  <si>
    <t>BOX MIGRATORIOS DE CONTROL MIGRATORIO - SALIDA-</t>
  </si>
  <si>
    <t>SIENDO LAS ONCE HORAS TREINTA MINUTOS DEL DIA DE LA FECHA SE PROCEDE A LIBERAR A LA CAUSANTE, QUIEN SE RETIRO DE ESTA DEPENDENCIA POR SUS PROPIOS MEDIOS.</t>
  </si>
  <si>
    <t>KUALUMPUR</t>
  </si>
  <si>
    <t>DRA BEATRIZ ADRIANA TRANI</t>
  </si>
  <si>
    <t>SIENDO LAS 13:00 HORAS LOCAL SE TRASLADA HACIA LA EXCELENTISIMA CAMARA FEDERAL DE APELACIONES DE COMODORO RIVADAVIA A CARGO DEL DR. ALDO E. SUAREZ UNA CAJA CERRADA CONTENIENDO EN SU INTERIOR DOCUMENTACION RESPECTO CAUSA Nº 2.277 CONTENIENDO 01 CUERPO DE 19 FS Y OTRO LEGAJO DE TESTIMONIOS DE LOS AUTOS PRINCIPALES EN 03 CUERPOS A 483 FS, PROCEDENTE DE LA UNIDAD OPERACIONAL USHUAIA.</t>
  </si>
  <si>
    <t>PUESTO BASE-AERONAVE</t>
  </si>
  <si>
    <t>SIENDO LA HORA Y FECHA ANTES MENCIONADAS SE DA CUMPLIMIENTO A LA ORDEN DE SERVICIO Nº201/10 Y MEMORANDO 394/10 PRODUCIDO POR EL C.E.A.C REFERENTE A LA EXPULSION DEL SR. JULIAN BARBOZA CACERES CON DOCUMENTO PARAGUAYO Nº4.898.278, QUIEN SE ENCUENTRA EN TRAMITE DE EXPULSION DEL TERRITORIO NACIONAL AUTORIZADO PORL EL JUZGADO DE EJECUCION Nº2 DE CAPITAL FEDERAL , EN VIRTUD A LA ORDEN DE EXPULSION DICTADA MEDIANTE DISPOSICION DNM Nº187677/09, PREVIO CONTROL MEDICO EN EL SERVICIO DE ASISTENCIA MEDICA EMERGER, FUE TRASLADADO A LA TERMINAL INTERNACIONAL DE PASAJEROS Y EMBARCADO EN EL VUELO ANTES MENCIONADO, DESPEGANDO ESTE A LAS 13:30HS SIN NOVEDAD</t>
  </si>
  <si>
    <t>AR1262</t>
  </si>
  <si>
    <t>GOMEZ ELICARAS JORGE AMADEO S/DENUNCIA HURTO - TRELEW</t>
  </si>
  <si>
    <t>GOMEZ ELICARAS JORGE AMADEO S/DENUNCIA HURTO - AEROPUERTO TRELEW AÑO 2010</t>
  </si>
  <si>
    <t>INFORMO EN EL DIA DE LA FECHA EL MINISTERIO PUBLICO FISCAL DE LA CIUDAD DE TRELEW, PROCEDE A ASIGNAR NUMERO DE CAUSA Y CARATULA JUDICIAL A INFORMACION SUMARIA INTERNA NUMERO 0002/2010 INFORMADA MEDIANTE PU NUMERO 1358 DE FECHA 19 DE MARZO DE 2010.</t>
  </si>
  <si>
    <t>BORRUTO Mariel</t>
  </si>
  <si>
    <t>PSA S/AVERIGUACION</t>
  </si>
  <si>
    <t>613/10</t>
  </si>
  <si>
    <t>EN EL DIA DE LA FECHA SE RECIBE OFICIO JUDICIAL NRO 2828/10 PROCEDENTE DEL JUZGADO FEDERAL DE PRIMERA INSTANCIA DE RIO GRANDE DONDE SE DISPONE SE ARBITREN LOS MEDIOS NECESARIOS E INTENSIFIQUE LA INVESTIGACION RESPECTO A LAS LINEAS TELEFONICAS PRETENECIENTES AL SR. PEREZ LUIS ARMANDO DNI Nº 21.737.806 PRINCIPALMENTE LAS LLAMDAS ENTRANTES Y SALIENTES DEL ABONADO EN CUESTION.</t>
  </si>
  <si>
    <t>DRA. BORRUTO MARIEL E.</t>
  </si>
  <si>
    <t>P.S.A. S/ AVERIGUACION</t>
  </si>
  <si>
    <t>ATENTO LO DISPUESTO POR EL JUZGADO INTERVINIENTE EN EL MARCO DE LA CAUSA DE REFERENCIA, MEDIANTE OFICIO JUDICIAL Nº 2828/10, DE FECHA 25 DE MARZO DE 2.010 DONDE EL MAGISTRADO DISPONE "SE ARBITREN LOS MEDIOS NECESARIOS PARA INTESIFICAR LA INVESTIGACION RESPECTO DE LAS LINEAS TELEFONICAS ACTIVAS PERTENECIENTES AL SR. LUIS ARMANDO PEREZ, DNI Nº: 21.737.806, PRINCIPALMENTE LAS LLAMADAS ENTRANTES Y SALIENTES DEL ABONADO EN CUESTION". AL RESPECTO SE INFORMA QUE LAS MISMAS SERAN LLEVADAS A CABO POR EL PERSONAL DE LA U.O.C.N.Y D.C. V RIO GRANDE.</t>
  </si>
  <si>
    <t>LA EXPONENTE MANIFIESTA QUE EL DIA 03-04-2010 SE PERCATO DEL FALTANTE DE SU PERSMISO PERSONAL PERMANENTE NO RECORDANDO NI LA HORA NI EL LUGAR DEL EXTRAVIO, CABE DESTACAR QUE TAMPOCO RECUERDA EL NUMERO DE CREDENCIAL NI LOS SECTORES PERMITIDOS. DRICA II - CREDENCIAL Nº 323745, FECHA VENC. 09/11/2010</t>
  </si>
  <si>
    <t>BOLDRINI, CARLOS</t>
  </si>
  <si>
    <t>FISCAL S/AV. HURTO EN PERJU. DEL AEROPUERTO MALARGÜE</t>
  </si>
  <si>
    <t>A-13.906</t>
  </si>
  <si>
    <t>ROBO HURTO</t>
  </si>
  <si>
    <t>INFORMO CON FECHA 05 ABR 2010 SE RECEPCIONA OFICIO JUDICIAL DE FECHA 29 MAR 2010, EMANADO DEL JUZGADO FEDERAL DE SAN RAFAEL, A EFECTOS DE PONER EN CONOCIMIENTO COPIA DE RESOLUSION RECAIDA EN AUTOS CARATULADO, QUEDANDO SOBRESEIDOS LOS CIUDADANOS JUAN CARLOS VERA- DNI: 11.532.998, JAVIER ALEJANDRO CASTRO- DNI: 16.459.234 Y LEANDRO ARGENTINO LLANOS- DNI: 17.223.427, DECLARANDO QUE LA FORMACION DE LA PRESENTE CAUSA NO AFECTA EL BUEN NOMBRE Y EL HONOR QUE HUBIERAN GOZADO LOS CITADOS. ASIMISMO QUEDAN DESAFECTADOS DE LA INVESTIGACION LOS 72 ROLLIZOS DE MADERA DE ALAMO QUE SE ENCUENTRAN DEPOSITADOS EN PLAYA DE ESTACIONAMIENTO DE ESTE AEROPUERTO. POR LO EXPUESTO, A DICHOS ELEMENTOS SE LE REMUEVE SU CUSTODIA POR PARTE DE ESTA FUERZA DE SEGURIDAD. CABE DESTACAR QUE LA CAUSA DE MARRAS REGISTRA UNA FECHA DE INICIO DEL 17 MAR 06 RAZON POR LA CUAL NO SE CUENTA CON PARTE URGENTE O POLICIAL CORRESPONDIENTE.</t>
  </si>
  <si>
    <t>U.F.I. Nº 2 DE TIGRE</t>
  </si>
  <si>
    <t>AMALLO</t>
  </si>
  <si>
    <t>JOSE</t>
  </si>
  <si>
    <t>ROBO CALIFICADO - BARRIO DEL SOL</t>
  </si>
  <si>
    <t>2094/10</t>
  </si>
  <si>
    <t>OFICINA DE LA DIRECCION GENERAL DE MIGRACIONES.</t>
  </si>
  <si>
    <t>SIENDO APROXIMADAMENTE LAS NUEVE HORAS, SE RECEPCIONA NOTA POR PARTE DE LA DIRECCIÓN NACIONAL DE MIGRACIONES, EN LA CUAL SOLICITA LA CUSTODIA DEL CAUSANTE, QUIEN FUERA HABIDO EN UNO DE LOS BOXES MIGRATORIOS, MIENTRAS SE CONTROLABAN LOS PASAJEROS, CON INTENCIÓN DE INGRESAR AL TERRITORIO NACIONAL, RESULTANDO DE LA COMPULSA DEL DOCUMENTO ANTE EL SISTEMA INTEGRAL DE CAPTURA MIGRATORIA (S.I.CA.M) QUE EL MISMO SE ENCUENTRA REQUERIDO MEDIANTE PEDIDO DE CAPTURA VIGENTE POR LA UNIDAD FISCAL DE INSTRUCCIÓN NRO. 2, DESCENTRALIZADA DE TIGRE. ATENTO A ELLO QUIEN SUSCRIBE SEGUIDAMENTE, SIENDO LAS DIEZ HORAS CUARENTA MINUTOS PROCEDE A MANTENER COMUNICACIÓN TELEFÓNICA CON EL DR. JOSÉ IGNACIO AMALLO, TITULAR DE LA UNIDAD FUNCIONAL DE INSTRUCCIÓN NRO. 2, DESCENTRALIZADA DE TIGRE, A QUIEN UNA VEZ INTERIORIZADO DE LO ANTES DESCRIPTO DISPUSO: 1) QUE SE APREHENDA AL CAUSANTE EN CARÁCTER DE INCOMUNICADO, 2) SE HAGA ENTREGA DEL SR. VENEZIA A LA DIRECCIÓN DEPARTAMENTAL DE INVESTIGACIONES SAN ISIDRO, DE LA PROVINCIA DE BUENOS AIRES 3) SE LABREN ACTUACIONES DE RIGOR EN VIRTUD A DEJAR DEBIDA CONSTANCIA LOS HECHOS, 4) SE SECUESTRE AL CAUSANTE CUALQUIER TIPO DE APARATO CELULAR MÓVIL QUE POSEA ENTRE SUS PERTENENCIAS, 5) SE PONGA EN CONOCIMIENTO DE LOS HECHOS AL JUZGADO DE GARANTÍA Nº 3 DEL DEPARTAMENTO JUDICIAL SAN ISIDRO. SIENDO LAS CATORCE HORAS VEINTE MINUTOS SE ENTREGA AL CAUSANTE A PERSONAL DE LA DIRECCIÓN DEPARTAMENTAL DE INVESTIGACIONES SAN ISIDRO, DE LA PROVINCIA DE BUENOS AIRES, JUNTAMENTE CON LA TOTALIDAD DE SUS EFECTOS PERSONALES.</t>
  </si>
  <si>
    <t>G37654</t>
  </si>
  <si>
    <t>Secretaria N 19</t>
  </si>
  <si>
    <t>Ercolini</t>
  </si>
  <si>
    <t>Julian Daniel</t>
  </si>
  <si>
    <t>REINALDO ROTA</t>
  </si>
  <si>
    <t>AVERIGUACION DE INFRACCION AL ART. 282 DEL CPN</t>
  </si>
  <si>
    <t>MOSTRADOR DE LA EMPRESA GLOBAL EXCHANGE</t>
  </si>
  <si>
    <t>PLANTA ALTA</t>
  </si>
  <si>
    <t>SIENDO LA HORA ANTES MENCIONADA, DEL DIA 02 DE ABRIL DEL CORRIENTE AÑO, ARRIBAN A ESTE AEROPUERTO, PROCEDENTE DE LA CIUDAD DE RIO DE JANEIRO BRASIL, EL DENUNCIANTE CONJUNTAMENTE CON LA SRA.KELLY MOREIRA CONCALVES CON CEDULA DE IDENTIDAD Nº12.354.189-8, QUIENES AL ARRIBAR SE DIRIJEN AL PRIMER PISO DE ESTE AEROPUERTO AL MOSTRADOR DE LA EMPRESA GLOBAL EXCHANGE, DONDE CAMBIARON SESENTA REALES QUE AL CAMBIO CORRESPONDIAN A NOVENTA Y NUEVES PESOS CON SESENTA CENTAVOS, RECIBIENDO UN BILLETE DE CIEN PESOS ARGENTINOS. SEGUIDAMENTE SE RETIRARON DEL AEROPUERTO ABONANDO SU REMIS Y SU HOSPEDAJE EN EL HOTEL IBIS, CON TARJETA DE CREDITO. EL DOMINGO 04 DE ABRIL DEL CORRIENTE AÑO SE DIRIJIERON A UN ESTABLECIMIENTO DE COMIDAS CERCANO A LA PLAZA DORREGO, DONDE EN EL MOMENTO DE ABONAR LO QUISIERON HACER CON EL BILLETE DE CIEN PESOS QUE LE HABIAN DADO EN LA CASA DE CAMBIO E INMEDIATAMENTE LA CAJERA, DELANTE DE ELLOS, LES DIJOS QUE SE TRATABA DE UNA FOTOCOPIA . EN EL DIA DE LA FECHA SE HICIERON PRESENTES EN LA CASA DE CAMBIO PARA EXPLICAR LO OCURRIDO, DONDE FUERON ATENDIDOS POR UN SR. QUIEN DIJO QUE LA SITUACION PLANTEADA ERA IMPOSIBLE PORQUE SE PAGA EL IMPORTE EXACTO AL CAMBIO. EN EL DIA DE LA FECHA SE PRSENTA EL DAMNIFICADO ANTE ESTA GUARDIA DE PREVENCION QUIEN LE DA INTERVENCION AL JUZGADO NACIONAL DE PRIMERA INSTANCIA EN LO CRIMINAL Y CORRECCIONAL FEDERAL Nº 10, QUIEN INICIA LAS AVERIGUACIONES DE INFRACCION AL ART. 282 C.P.N.</t>
  </si>
  <si>
    <t>AR 1251</t>
  </si>
  <si>
    <t>QUE EL DÍA INDICADO A LA HORA CITADA LA DENUNCIANTE LUEGO DE ARRIBAR A ESTE MEDIO, PROCEDIÓ A REALIZAR EL CONTROL MIGRATORIO PARA POSTERIORMENTE DIRIGIRSE AL SECTOR DE ARRIBOS DE EQUIPAJES YA CITADO, TOMANDO CONTACTO CON SU EQUIPAJE DESPACHADO A BODEGA, PERCATÁNDOSE EN ESE ACTO DEL FALTANTE DEL CANDADO QUE ORIGINALMENTE POSEÍA SU MALETA. POR LO QUE LA DENUNCIANTE PROCEDIÓ IN SITU, A REALIZAR UN CHEQUEO DE SUS PERTENENCIAS, NOTANDO EL FALTANTE DE LOS ELEMENTOS DESCRIPTOS EN EL PRESENTE PARTE. ANTE TAL CIRCUNSTANCIA PREVIO RECLAMO ANTE LA EMPRESA CONTRATADA, SE HIZO PRESENTE EN ESTA GUARDIA DE PREVENCIÓN, A FIN DE RADICAR LA CORRESPONDIENTE DENUNCIA PENAL DE LOS HECHOS ACAECIDO. ES TODO CONSTE.-</t>
  </si>
  <si>
    <t>JJ8018</t>
  </si>
  <si>
    <t>FORTALEZA</t>
  </si>
  <si>
    <t>INFRACCION A LOS ART 78 Y 85 DECRETO LEY 8031/73</t>
  </si>
  <si>
    <t>PERGOLA ARRIBOS INTERNACIONALES</t>
  </si>
  <si>
    <t>QUE SIENDO LA HORA INDICADA PERSONAL POLICIAL QUE SE ENCONTRABA EN EL SECTOR CONSTATA QUE UNA PERSONA DE SEXO MASCULINO SE ENCONTRABA OFRECIENDO SERVICIO DE TRANSPORTE PUBLICO A VIVA VOZ A PASAJEROS RECIÉN ARRIBADOS AL PAÍS. POR TAL MOTIVO SE PROCEDE A LA IDENTIFICACIÓN Y APREHENSIÓN PREVENTIVA DEL MASCULINO PARA LUEGO TRASLADARLO HACIA LA GUARDIA DE PREVENCIÓN A EFECTOS DE REALIZAR LAS CORRESPONDIENTES ACTUACIONES</t>
  </si>
  <si>
    <t>ESTACONAMIENTO SCAN VAN</t>
  </si>
  <si>
    <t>SE PROCEDE A LA RETENCION DE UNA SACA COLECTORA DEL CORREO OFCIAL SEGUN CONSTA EN ACTA DE RETENCION DE CARGAS Nº 175/10, CORRESPONDIENTE A LA PREVENCION SUMARIA Nº 038/10, LA SACA IDENTIFCADA CON MARBETE Nº SLA0163356D555800VAE, CON PRECINTO Nº U974177, CON UN PESO DECLARADO DE 5,400 KGS., CON DESTINO A LA CIUDAD DE USHUIA, AMPARADA EN GUIA AEREA Nº 9342457-5, LA QUE SERIA DESPACHADA ATRAVES DE LA EMPRESA DE CARGA AEREA JET PAQ. LA RETENCION SE REALIZA ANTE LA PRESUNCION DE INFRACCION A LAS LEYES 22.415 Y/O 23.737, QUEDANDO LA MISMA CERRADA Y PRECINTADA EN GUARDA EN ESTA UOSP. SE COMUNICO TELEFONICAMENTE CON EL JUZGADO INTERVINIENTE Y LA APERTURA SE RALIZARA EN PRESENCIA DEL PERSONAL DEL CORREO OFICIAL.</t>
  </si>
  <si>
    <t>PATIO DE VALIJAS - AERONAVE</t>
  </si>
  <si>
    <t>HOSPITAL REGIONAL RIO GALLEGOS</t>
  </si>
  <si>
    <t>INSTITUTO MALBRAN</t>
  </si>
  <si>
    <t>SECONFECCIONA EL PRESENTE A EFECTOS DE INFORMAR SOBRE EL TRANSPORTE DE MMPP EN EL VUELO AU 2883 (GAL-AER) CON DESTINO FINAL AEROPARQUE JORGE NEWBERY. LA MMPP TRANSPORTADA SERIAN DOS MUESTRAS BIOLOGICAS TIPO B UN3373; CLASE 6.2 ENVASADAS EN DOS BULTO CERRADOS HERMETICAMENTE Y CONTENIDOS EN DOS CAJAS ACORDE A SU TRASLADO SEGUN ESPECIFICA EL GRUPO E INST. DE EMB 650. EL PESO DE ESTAS CAJAS SERIAN DE 1;350 KG Y 0,200 KG, CON NRO. GUIA DE CARGA AEREA 9364184-4 Y 9364183-3 RESPECTIVAMENTE DE LA EMPRESA JET PAQ. ESTAS MUESTRAS TIENEN COMO DESTINO FINAL EL INSTITUTO MALBRAN DE LA CIUDAD AUTONOMA DE BUENOS AIRES. EL VUELO AU 2883 CON LA MENCIONADA MMPP DESPEGO A LAS 03:35 HS.</t>
  </si>
  <si>
    <t>2046/10</t>
  </si>
  <si>
    <t>OFICINA DE TURNO POLICIAL PREVENTIVO</t>
  </si>
  <si>
    <t>SE PROCEDE A LA APERTURA DE UNA SACA COLECTORA DEL CORREO OFCIAL SEGUN CONSTA EN ACTA DE RETENCION DE CARGAS Nº 175/10, CORRESPONDIENTE A LA PREVENCION SUMARIA Nº 038/10, LA SACA COLECTORA IDENTIFCADA CON MARBETE Nº SLA0163356D555800VAE, CON PRECINTO Nº U974177, CONTIENE UNA PIEZA POSTAL IDENTIFICADA COMO EP666278459AR, REMITENTE ABAN ROMINA DOMICILIO BLAS PARERA Nº 564 Bº 25 DE MAYO, PALPALA JUJUY, DESTINATARIO ABAN ROLANDO, DOMICILIO LUCAS BRIDPES Nº 982, USHUAIA TIERRA DEL FUEGO, CP. Nº 9410, LA CUAL QUEDA RETENIDA Y EN DEPOSITO JUDICIAL EN ESTA UNIDAD A LA ESPERA DEL OFICIO JUDICIAL QUE AUTORICE SU APERTURA.</t>
  </si>
  <si>
    <t>EN UNA RECORRIDA POR LA TERMINAL A, SECTOR PERGOLA TAXI, EL OFICIAL AYUDANTE OTTRIA, OBSERVA A UNA PERSONA SE SEXO MASCULINO QUIEN SE ENCONTRABA TRASLADANDO A PASAJEROS RECIEN ARRIBADOS AL PAIS, CARECIENDO DE LA HABILITACION Y/O PERMISO DE LA AUTORIDAD COMPETENTE PARA REALIZAR SERVICIO DE TRANSPORTE, POR LO QUE SE INICIAN LAS ACTUACIONES CONTRAVENCIONALES.</t>
  </si>
  <si>
    <t>DENTRO DEL OMNIBUS</t>
  </si>
  <si>
    <t>COLECTIVO DE LA LINEA 518</t>
  </si>
  <si>
    <t>QUE EN LA FECHA Y HORA ANTEDICHA EL DENUNCIANTE TOMO EL COLECTIVO DE LA LINEA 518, EN LA LOCALIDAD DE TRISTAN SUAREZ, PCIA. DE BS. AS., MAS PRECISAMENTE EN EL BARRIO DE SANTA MARTA, CON DESTINO A ESTE AEROPUERTO INTERNACIONAL, A LOS EFECTOS DE COMENZAR CON SU JORNADA LABORAL. EN TALES CIRCUNSTANCIAS POSEIA SUJETO EN SU CINTURA UN TELEFONO CELULAR DE LA EMPRESA NEXTEL. ASIMISMO EL DENUNCIANTE MANIFESTO QUE EL COLECTIVO SE ENCONTRABA CON GRAN CANTIDAD DE PASAJEROS. QUE AL MOMENTO EN QUE DESCENDIO DEL COLECTIVO EN ESTE AEROPUERTO INTERNACIONAL SE PERCATO DEL FALTANTE DEL TELEFONO CELULAR ANTES CITADO. QUE NO SE PERCATO DE NINGUNA MANIOBRA SOSPECHOSA POR PARTE DE ALGUN PASAJERO DE DICHO COLECTIVO, ASI COMO TAMPOCO RECUERDA DE PERSONAS SOSPECHOSAS O POSIBLES AUTORES DEL HECHO DENUNCIADO.-</t>
  </si>
  <si>
    <t>HALL DE ARRIBOS.</t>
  </si>
  <si>
    <t>EN UNA RECORRIDA POR LA TERMINAL B, SECTOR HALL DE ARRIBOS, EL OFICIAL ELLINGHAUS OBSERVA A UNA PERSONA DE SEXO MASCULINO QUIEN SE ENCONTRABA OFRECIENDO SERVICIO DE TRANSPORTE PUBLICO A PASAJEROS RECIEN ARRIBADOS. CARECIENDO DE LA HABILITACION PARA REALIZAR DICHA TAREA, POR LO QUE SE INICIAN LAS ACTUACIONES CONTRAVENCIONALES DE RIGOR.</t>
  </si>
  <si>
    <t>Dr Walter Lopez Da Silva</t>
  </si>
  <si>
    <t>NN S/ Delito contra la propiedad</t>
  </si>
  <si>
    <t>7689/09</t>
  </si>
  <si>
    <t>EN EL DIA DE LA FECHA ESTA U.O.C.N Y D.C V "DE LA PATAGONIA" RECEPCIONO OFICIO JUDICIAL Nº 550 / 2010 DE FECHA 29 DE MARZO DE 2010 DEL JUZGADO FEDERAL DE SAN CARLOS DE BARILOCHE, DONDE EN EL MARCO DE LA CAUSA Nº 7689/09 CARATULADA "NN S/ DELITO CONTRA LA PROPIEDAD" ORDENA LA REALIZACION DE TAREAS DE INVESTIGACION, POR EL LAPSO DE 30 DIAS, TENDIENTES A ESCLARECER EL HECHO DENUNCIADO POR SERGIO LIBRETTI, EMPLEADO DE VISA ARGENTINA S.A.</t>
  </si>
  <si>
    <t>VILLATTE ADOLFO R.</t>
  </si>
  <si>
    <t>FONTANA PEGER DIEGO S/ FALSIFICACION DE DOCUMENTO</t>
  </si>
  <si>
    <t>897/09 A</t>
  </si>
  <si>
    <t>FONTANA PEGER DIEGO S/FALSIFICACION DE DOCUMENTO</t>
  </si>
  <si>
    <t>EN EL DIA DE LA FECHA SE RECIBE OFICIO JUDICIAL NRO. 1066 DEL JUZGADO ACTUANTE DONDE ORDENA CITAR A DIEGO FONTANA PEGER, PERSONAL DE LA UNIDAD OPERACIONAL DE SEGURIDAD PREVENTIVA ROSARIO, PARA QUE COMPAREZCA ANTE ESE TRIBUNAL SITO EN OROÑO 940 -PB- EL DÍA 28/04/2010 A LAS 09:30 HORAS CON LA FINALIDAD DE PRESTAR DECLARACION INDAGATORIA MUNIDO DEL DOCUMENTO DE IDENTIDAD Y BAJO APERCIBIMIENTO DE LEY. TAMBIEN SE ORDENA EXTRAER CINCO JUEGOS DE FICHAS DACTILOSCOPICAS DEL NOMBRADO. DANDO CUMPLIMIENTO A LAS MEDIDAS ORDENADAS, SE ELEVAN AL JUZGADO ACTUANTE.</t>
  </si>
  <si>
    <t>JUZGADO NACIONAL EN LO CORRECCIONAL Nº 2</t>
  </si>
  <si>
    <t>SABINO MIGUEL ANGEL</t>
  </si>
  <si>
    <t>PREEMBARQUE TERMINAL III</t>
  </si>
  <si>
    <t>EN EL DIA DE LA FECHA SIENDO LAS 13:05 HORAS SE RECIBE COMUNICACIÓN POR PARTE DEL PERSONAL DE LA EMPRESA AUSTRAL, QUIEN MANIFIESTA QUE EN EL VUELO ANTES MENCIONADO HABRIA UNA PASAJERA HACIENDO DISTURBIOS. AL ABANDONAR LA AERONAVE EN EL TRAYECTO DESDE LA POSICION 7 HASTA LA POSICION 5 LA IMPUTADA SE AUTOINFRINGE LESIONES LEVES CONTRA UNA COLUMNA EN LA FRENTE, CONTINUANDO SU CAMINO POR EL PRIMER PISO DE LA TERMINAL III LA IMPUTADA, FUE OCASIONANDO DISTURBIOS, ARROJANDO TACHOS DE BASURA Y CARTELES DE PROMOCION, POR LO CUAL, AL INTENTAR SER CALMADA POR LOS OFICIALES INTERVINIENTES, INTENTA AGREDIR A UNO DE ELLOS, Y COMO CONSECUENCIA ES REDUCIDA Y DETENIDA. SE REALIZA COMUNICACION CON LA JUDICATURA ACTUANTE LA CUAL ORDENA, LECTURA DE DERECHOS, DOSAGE DE SANGRE Y ORINA NO COMPULSIVO, IDGE, CONSTATACION DE DOMICILIO, FOTOGRAFIAS A LA IMPUTADA, TRES JUEGOS DE FICHAS, Y NUEVA COMUNICACION CON EL RESULTADO DE LAS DILIGENCIAS. SE INFORMA SEGUN PU Nº 2069 QUE SIENDO LAS 2205 HORAS SE CUMPLIMENTA LO ORDENADO POR LA JUDICATURA ACTUANTE, PROCEDIENDO A LA LIBERACION DE LA DETENIDA POR NO REGISTRAR IMPEDIMENTO LEGAL ALGUNO.</t>
  </si>
  <si>
    <t>AU 2473</t>
  </si>
  <si>
    <t>SAN MIGUEL DE TUCUMAN</t>
  </si>
  <si>
    <t>CIUDAD DE SANTA FE</t>
  </si>
  <si>
    <t>EL DÍA 05/04/2010 SE PROCEDIO A DAR CUMPLIMIENTO A LA ORDEN DE SERVICIO NRO. 075/2010 URSA IV, MEDIANTE EL OFICIO JUDICIAL NRO. 168 DE LA FISCALIA ACTUANTE RECEPCIONADO EL 03/04/10 EN LA UOSP SAUCE VIEJO. APERSONADOS EN LA CASA DE DERECHOS HUMANOS SITA EN CALLE LISANDRO DE LA TORRE 2643, PRIMER PISO OFICINA 1 DE LA CIUDAD DE SANTA FE, SE TIENE ACCESO AL CPU DONDE FUERA RECIBIDO EL CORREO ELECTRONICO EN CUESTIÓN, Y SE EXTRAE COPIA DEL CODIGO DE FUENTE PARA SU ANALISIS. SE CONTINUA CON LAS TAREAS TENDIENTES A INVESTIGAR LOS HECHOS DENUNCIADOS. EL PRESENTE PARTE ES AMPLIATORIO DEL PARTE NRO. 2003 SVO DE FECHA 03/04/10</t>
  </si>
  <si>
    <t>LEY Nº 25.871</t>
  </si>
  <si>
    <t>EN EL DIA DE LA FECHA SIENDO LAS 18:40 SE DA CUMPLIMIETO A LA ORDEN DE SERVICIO Nº 234/10 DE LA UOSP METROPOLITANA. IMPLEMENTANDO LAS MEDIDAS DE SEGURIDAD NECESARIAS PARA EL DESPLAZAMIENTO DENTRO DE LAS INSTALACIONES AEROPORTUARIAS DE PERSONAL DE ASUNTOS MIGRATORIOS DE PFA, Y DEL CIUDADANO ALEX SEBASTIAN PALAZUELO CABRERA, PARTIENDO POSTERIORMENTE EN EL VUELO AR 1210 DE LA COMPAÑIA AEROLINEAS ARGENTINAS CON DESTINO REPUBLICA DE URUGUAY.</t>
  </si>
  <si>
    <t>AR 1210</t>
  </si>
  <si>
    <t>DR. ARGUELLO</t>
  </si>
  <si>
    <t>FISCAL FEDERAL Nº II S/SOLICITA INVESTIGACION P/ACCIDENTE AEREO</t>
  </si>
  <si>
    <t>209/10</t>
  </si>
  <si>
    <t>CUMPLIMIENTO OFICIO S/N. EXPEDIENTE 209/10 - FISCAL FEDERAL Nº II S/SOLICITA INVESTIGACION P/ACCIDENTE AEREO</t>
  </si>
  <si>
    <t>YERBA BUENA - CALLE C.C. VIGIL Nº 2208 Y EN LA LOCALIDAD DE BENJAMIN ARAOZ SOBRE CALLE MENDOZA S/N</t>
  </si>
  <si>
    <t>INFORMO QUE SEGÚN LO ORDENADO EN ORDEN DE SERVICIO Nº 055/10 DE LA URSA III DEL NORTE. CUMPLIMENTANDO MANDATO JUDICIAL REFERENTE A LO DISPUESTO EN EL MARCO DEL EXPEDIENTE Nº 209/10 FISCAL FEDERAL Nº II S/SOLICITA INVESTIGACIÓN P/ACCIDENTE AÉREO. A HORAS 18:30 SE DA POR FINALIZADA COMISIÓN, HABIÉNDOSE NOTIFICADO A HORAS 17:00 DEL DIA DE LA FECHA AL SEÑOR CARLOS VARELA DE ACUERDO A LO DISPUESTO EN OFICIO JUDICIAL Y LLEVÁNDOSE A CABO TAMBIEN LAS ACTUACIONES DE RIGOR EN ESTRICTO CUMPLIMIENTO DE LO ORDENADO POR EL JUZGADO INTERVINIENTE. RESPECTO A TIPO DE PERSONA SE CALIFICA AL SR VARELA COMO SD DEBIDO A QUE NO SE ENCONTRABA EN LA AERONAVE CUANDO OCURRIO EL ACCIDENTE, SIENDO ESTE EL PROPIETARIO DE LA MISMA.</t>
  </si>
  <si>
    <t>EN EL CONTROL DEL EQUIPAJE DE BODEGA DEL VUELO AR 1713 DE LA EMPRESA AEROLINEAS ARGENTINAS SE DETECTA EN TRES EQUIPAJES FACTURADOS LA PRESENCIA DE CORNAMENTAS TROZADAS DE CIERVO Y UN JUEGO DE CUCHILLO Y TENEDOR CON EMPUÑADURA DE TARSO DE ÑANDU, LAS CUALES SON DECOMISADAS DEBIDO A NO POSEER DOCUMENTACION DE RESPALDO QUE AVALE SU TRANSPORTE Y SU ORIGEN. SE MANTUVO COMUNICACION TELEFONICA CON EL SECRETARIO DEL JUZGADO DE TURNO INDICANDO QUE POR NO CONSTITUIR DELITO SE LABRE ACTA DE PROCEDIMIENTO Y SE PROCEDA AL DECOMISO DE LOS ELEMENTOS.- LOS INFRACTORES SON CARTER BOBY PASAPORTE USA N° 454560433, HUFF RODERICK ALLEN PASAPORTE USA N° 221963124 Y DARRYL MADDUX PASAPORTE USA N° 400924406.</t>
  </si>
  <si>
    <t>AR 1713</t>
  </si>
  <si>
    <t>2064/10</t>
  </si>
  <si>
    <t>EN HORAS 22:05, SEGÚN LO DISPUESTO POR LA JUDICATURA INTERVINIENTE, YA OBTENIDOS LOS RESULTADOS DE REINCIDENCIA SIENDO ESTOS NEGATIVOS, Y AL NO MEDIAR IMPEDIMENTO LEGAL ALGUNO, SE PROCEDE A LA LIBERACION DE LA SRA. ROMINA ESTRADA,DE ESTA GUARDIA PREVENTIVA POR SUS PROPIOS MEDIOS, CONFORME A LOS TRATOS RECIBIDOS, SIN NOVEDAD.</t>
  </si>
  <si>
    <t>MONICA IGUIÑIZ</t>
  </si>
  <si>
    <t>MAQUINA DE RAYOS X DEL PATIO DE VALIJAS DE LA TERMINAL A</t>
  </si>
  <si>
    <t>SIENDO LA HORA Y DIA ANTES INDICADO MOMENTOS EN QUE EL OFICIAL PARMA SE ENCONTRABA REALIZANDO EL CHEQUEO POR MEDIO DE RX EN EL PATIO DE VALIJAS DE LA TERMINAL A, DE ESTE MEDIO, JUNTAMENTE CON LA OFICIAL FERNANDEZ, DE LAS VALIJAS DESPACHADAS A BODEGA DEL VUELO AF417, DETECTAN DENTRO DE UNA VALIJA SUSTANCIA ORGANICA SIN PODER DETERMINAR DE QUE TIPO DE SUSTANCIA SE TRATABA, QUE EN VIRTUD A LO OBSERVADO, EL OFICIAL PARMA SE DIRIGE A LA PUERTA DE EMBARQUE Nº 4, EN DONDE INDIVIDUALIZA A UNA PERSONA DE SEXO MASCULINO ACOMPAÑADO DE UNA PERSONA DE SEXO FEMENINO, QUE UNA VEZ INDIVIDUALIZADO EL MASCULINO SU NOMBRE ERA COICIDENTE CON EL MARBETE DE LA VALIJA EN CUESTION. UNA VEZ EN LA GUARDIA SE APERTURA EL EQUIPAJE DE MENCION ENCONTRANDO EN SU INTERIOR DIEZ PAQUETES LOS CUALES CONTENIAN SUSTANCIA DE COLOR BLANCO LA QUE SOMETIDA A REACTIVO PARA COCAINA ARROJAN EN TODOS LOS CASOS RESULTADO POSITIVO. ANOTICIADO EL JUZGADO INTERVINIENTE DISPONE SE DETENGA AL MASCULINO Y A LA FEMENINA EN CARACTER DE INCOMUNICADOS, SE CARATULE LO ACTUADO TENTATIVA DE CONTRABANDO DE ESTUPEFACIENTES, SE DE CUENTA DEL INICIO DE LA CAUSA A PERSONAL DE LA DIVISION NARCOTRAFICO Y DELITOS COMPLEJOS Y SE TRASLADE LO ACTUADO JUNTAMENTE CON LOS DETENIDOS A SEDE JUDICIAL EL DIA 07-04-10 EN HORAS DE LA MAÑANA. CABE DESTACAR QUE LA TOTALIDAD DE LA SUSTANCIA ESTUPEFACIENTE SECUESTRADA ARROJO UN PESO DE 10882 GRAMOS. SE INFORMA SEGUN PU Nº 2076 SIENDO LAS 0700 HORAS SE PROCEDIO A TRASLADAR A LOS DOS DETENIDOS A SEDE JUDICIAL. SE INFORMA SEGUN PU Nº 2106 SIENDO LAS 2117 HORAS LA UOSP METROPOLITANA RECEPCIONA A LA DETENIDA EN CARACTER DE COMUNICADA POR PARTE DE LA GUARDIA DE LA UOSP EZEIZA. SE INFORMA SEGUN PU Nº 2108 SE CUMPLIMENTA OFICIO JUDICIAL PARA TRASLADAR Y ALOJAR AL DETENIDO EDWARDS EN LA U-28 DEL SPF Y A LA DETENIDA MASON SE LA TRASLADE A LA UOSP METROPOLITANA. SE INFORMA SEGUN PU Nº 2116 SIENDO LAS 1130 HORAS SE CUMPLIMENTA LA ORDEN JUDICIAL PROCEDIENDOSE AL TRASLADO DE LA DETENIDA A SEDE JUDICIAL. SE INFORMA SEGUN PU Nº 2117 EL JUEZ DISPONE LA LIBERACION DE LA DETENIDA DESDE SEDE JUDICIAL DECLARANDO LA FALTA DE MERITO.</t>
  </si>
  <si>
    <t>FEDERAL DE 1ERA INSTANCIA Nº 1 DE TUCUMAN</t>
  </si>
  <si>
    <t>SEC. DERECHOS HUMANOS</t>
  </si>
  <si>
    <t>BEJAS</t>
  </si>
  <si>
    <t>Raul Daniel</t>
  </si>
  <si>
    <t>DRA. MARIA VIRGINIA DUFFY</t>
  </si>
  <si>
    <t>JEFATURA DE POLICIA DE TUCUMAN CCD S/SECUESTROS Y DESAPARICIONES</t>
  </si>
  <si>
    <t>495/04</t>
  </si>
  <si>
    <t>SIENDO LA HORA INDICADA LA DNM SOLICITA LA CUSTODIA Y PUESTA A DISPOSICION JUDICIAL DEL PASAJERO EN CUESTION, POR REGISTRAR EN SU SISTEMA ORDEN DE CAPTURA, ANOTICIADO EL JUZGADO INTERVINIENTE DISPONE SE DETENGA AL PASAJERO EN CARACTER DE COMUNICADO Y SE TRASLADE AL DETENIDO A LA UNIDAD 28 DEL SERVICIO PENITENCIARIO FEDERAL PARA QUE LUEGO ESE ORGANISMO TRASLADE AL MISMO A LA SEDE TRIBUNALICIA EN LA PROVINCIA DE TUCUMAN. SE DEJA CONSTANCIA QUE SE DIO AVISO DE LO ACONTECIDO AL JUZDADO FEDERAL EN TURNO DE JURISDICCION EL CUAL AVALO SE CUMPLAN LAS DIRECTIVAS DEL JUZGADO INTERVINIENTE. SE INFORMA SEGUN PU Nº 2075 DEL DIA 06/04/10 SIENDO LAS 2300 HORAS SE PROCEDIO AL TRASLADO DEL DETENIDO A LA U-28 DEL SERVICIO PENITENCIARIO FEDERAL.</t>
  </si>
  <si>
    <t>JJ8011</t>
  </si>
  <si>
    <t>ORLANDO HECTOR MEDINA</t>
  </si>
  <si>
    <t>VERTICE SUROESTE, PROXIMO A LA RUTA PROVINCIAL 303</t>
  </si>
  <si>
    <t>EN EL DIA DE LA FECHA A HORAS 23:00 INICIAN EL RECORRIDO PERIMETRAL EN EL MOVIL DE DOTACION EL OF. PPAL. MOLINA MIGUEL A., CONTROL NRO. 500666 Y EL OF. PPAL. GEREZ CESAR, CONTROL NRO. 500669. A HORAS 23:40 APROXIMADAMENTE SE COMUNICA VIA RADIAL EL OF. PPAL. MOLINA MIGUEL INFORMANDOME DEL FALTANTE DE SIETE PAÑOS METALICOS DEL TIPO ROMBOIDAL DE APROXIMADAMENTE TRES METROS CADA UNO, EN EL PERIMETRO OESTE, PROXIMO AL VERTICE SUROESTE DE ESTE AEROPUERTO A UNOS CUARENTA METROS APROXIMADAMENTE DE LA RUTA PROVINCIAL 303. LOS OFICIALES ANTES MECIONADOS PROCEDIERON A REALIZAR UN RASTRILLAJE POR LA ZONA EN BUSCA DE INDICIOS QUE PUDIERAN AYUDAR AL ESCLARECIMIENTO DEL HECHO, ARROJANDO ESTO RESULTADO NEGATIVO. SE DA LA NOVEDAD AL JEFE DE UNIDAD Y SE REALIZA LA COMUNICACION TELEFONICA AL JUZGADO CORRESPONDIENTE, LABRANDOSE LAS ACTUACIONES DE RIGOR.</t>
  </si>
  <si>
    <t>SIENDO LAS 01:19 HORA LOCAL ARRIBA AERONAVE MATRICULA LV-BGI DE LA EMPRESA LAN ARGENTINA PROCEDENTE DE AEROPUERTO JORGE NEWBERY EN CUYAS BODEGAS 12,13,31,32 Y 42 SE DESPACHAN 128 CAJAS CON UN PESO DE 5.526 KILOGRAMOS DE METAL - MTD - PERTENECIENTES A LA EMPRESA MINERA TRITON ARGENTINA S.A. EL VUELO DESPEGA A LAS 02:50 HORA LOCAL SIN NOVEDAD. SE DIO CUMPLIMIENTO A LA ORDEN DE SERVICIO NRO. 0026/2010 DE ESTA U.O.S.P.</t>
  </si>
  <si>
    <t>2072/10</t>
  </si>
  <si>
    <t>OFICINA DIRECCION NACIONAL DE MIGRACIONES</t>
  </si>
  <si>
    <t>QUE SIENDO LAS VEINTITRES HORAS DEL DIA 06/04/2010, SE PROCEDIO AL TRASLADO DEL DETENIDO AL ASIENTO DE LA U-28 DEL S.P.F., SIENDO ALOJADO EL MISMO EN EL ASIENTO DE DICHA DEPENDENCIA, QUEDANDO BAJO CUSTODIA DE DICHO ORGANISMO.-</t>
  </si>
  <si>
    <t>2070/10</t>
  </si>
  <si>
    <t>SIENDO LAS SIETE HORAS DEL DIA DE LA FECHA, SE PROCEDIO A TRASLADAR A LOS DOS DETENIDOS A SEDE JUDICIAL.</t>
  </si>
  <si>
    <t>VIA PUBLICA</t>
  </si>
  <si>
    <t>INFORMO EN EL DIA DE LA FECHA SE PRESENTA EL CIUDADANO LEANDRO JAVIER SPARROW, DNI 20.752.383 INFORMANDO EL EXTRAVIO DE UN PERMISO PERSONAL DE SEGURIDAD AEROPORTUARIA DE FACILITACION -PILOTO DEL AEROCLUB USHUAIA- A SU NOMBRE, PRESENTANDO ACTA DE EXTRAVIO NRO. 039/2010-CU3RA. -COMISARIA USHAUAIA 3RA POLICIA PROVINCIA DE TIERRA DEL FUEGO- DE FECHA, 16/03/2010.-</t>
  </si>
  <si>
    <t>DA SILVA ABELLA ALEJANDRA F, CAMPORA DEBORA SABRIN S/CONTRABANDO DE ESTUPEFACIENTES</t>
  </si>
  <si>
    <t>ALEJANDRA F DA SILVA ABELLA Y DEBORA S CAMPORA S/TENTATIVA DE CONTRABANDO DE ESTUPEFACIENTES</t>
  </si>
  <si>
    <t>EN EL DIA DE LA FECHA SE RECIBE OFICIO JUDICIAL ORDENANDO TAREAS INVESTIGATIVAS SOBRE LAS FILMACIONES DEL COC, LOS CELULARES, CHIPS , MEMORIAS Y MAQUINA DE FOTOS SECUESTRADOS, QUE SE DESPRENDEN DE LA DETENCION DE DA SILVA ABELLA ALEJANDRA FABIANA - CAMPORA DEBORA SABRINA EL DIA 01/04/2010. EL PU ORIGINARIO ES EL 1968 CON DOS AMPLIACIONES EL 2001 Y 2002</t>
  </si>
  <si>
    <t>SIENDO LAS 09:00 HORAS, SE IMPLEMENTA MEMORANDO Nº 034/10 (PROCEDENTE DEL CEAC), ORDEN DE SERVICIO Nº 209/10 (PROCEDENTE DE LA URSA I DEL ESTE) Y ORDEN DE SERVICIO Nº 235/10 (DE ESTA UOSP METROPOLITANA) CON MOTIVO DE BRINDAR SEGURIDAD A LA PARTIDA DE LA SRA PRESIDENTE DE LA NACION DESDE ESTE AEROPUERTO METROPOLITANO HACIA LA LOCALIDAD DE VEDIA. SIENDO LAS 11:38 HORAS SE HACE PRESENTE LA MANDATARIA EN HELICOPTERO MATRICULA H-03, PARTIENDO EN AERONAVE MATRICULA LV- WEW EN HORAS 11:47. SIENDO LAS 12:00 HORAS, FINALIZA EL OPERATIVO SIN NOVEDAD.</t>
  </si>
  <si>
    <t>LOCALIDAD DE VEDIA</t>
  </si>
  <si>
    <t>INFRACCION AL ART 85 DEL DEC LEY 8031/73</t>
  </si>
  <si>
    <t>INFRACCION AL ART 85 DEL DEC. LEY 8031/73</t>
  </si>
  <si>
    <t>EN UNA RECORRIDA LOS OFICIALES INTERVINIENTES DETECTAN LA PRESENCIA DE UNA PERSONA DE SEXO MASCULINO EL CUAL SE ENCONTRABA VENDIENDO PRODUCTOS ALIMENTICIOS SIN LA HABILITACION CORRESPONDIENTE.</t>
  </si>
  <si>
    <t>DRA CLAUDIA CECCONI</t>
  </si>
  <si>
    <t>INFR. A LOS ARTS 78 Y 85 DEL DEC LEY 8031/73</t>
  </si>
  <si>
    <t>INFR A LOS ARTS 78 Y 85 DEL DEC LEY 8031/73</t>
  </si>
  <si>
    <t>PERGOLA TAXI DE ARRIBOS DE LA TERMINAL A</t>
  </si>
  <si>
    <t>EN MOMENTOS QUE LOS OFICIALES INTERVINIENTES SE ENCONTRABAN DE GUARDIA ORDINARIA CONSTATAN LA PRESENCIA DE UNA PERSONA DE SEXO MASCULINO EL CUAL SE ENCONTRABA OFRECIENDO SERVICIO PUBLICO DE TRANSPORTE A VIVA VOZ, POR LO QUE SE INICIAN LAS ACTUACIONES CONTRAVENCIONALES DE RIGOR.</t>
  </si>
  <si>
    <t>ARRIBADO A LAS INSTALACIONES DE ESTE MEDIO, AL MOMENTO DE RETIRAR SU EQUIPAJE DESPACHADO OBSERVA QUE EL MISMO SE ENCONTRABA CON EL FALTANTE DE UN CANDADO DE SEGURIDAD EL CUAL HABIA SIDO COLOCADO POR SU PROPIETARIO EN LA CIUDAD DE ORIGEN DEL VUELO. ANTE ESTE HECHO, PROCEDE A LA APERTURA DEL MISMO Y LUEGO DE UNA REVISION DEL MISMO SE PERCATA DEL FALTANTE DE SUS PERTENENCIAS, POR LO QUE EL DAMNIFICADO SE PRESENTA EN LA GUARDIA POLICIAL A FIN DE RADICAR LA CORRESPONDIENTE DENUNCIA.</t>
  </si>
  <si>
    <t>Israel</t>
  </si>
  <si>
    <t>TEL AVIV</t>
  </si>
  <si>
    <t>EN EL DIA DE LA FECHA SE PRESENTA EL DECLARANTE EN ESTA U.O.S.P CBA A LOS EFECTOS DE PONER EN CONOCIMIENTO DEL EXTRAVIO DE SU PERMISO PERSONAL PERMANETE N° 309643 CON FECHA DE VENCIMIENTO 13-06-2011 CON TODOS LOS SECTORES, CABE DESTACAR QUE EL EXPONENTE NO PUEDE PRESISAR NI LA FECHA NI EL LUGAR DEL EXTRAVIO.</t>
  </si>
  <si>
    <t>LILIANA MARTA DALEIA</t>
  </si>
  <si>
    <t>SILVA ROBERTO CESAR S/CONTRABANDO DE ESTUPEFACIENTES</t>
  </si>
  <si>
    <t>S/TENTATIVA CONTRABANDO DE ESTUPEFACIENTES</t>
  </si>
  <si>
    <t>CALLE CHILE A LA ALTURA 1450 Y/O 1452</t>
  </si>
  <si>
    <t>EN EL DIA DE LA FECHA SE RECIBE OFICIO JUDICIAL ORDENANDO TAREAS INVESTIGATIVAS SOBRE EL TELEFONO CELULAR, CHIP SECUESTRADOS Y DETERMINAR LA EXISTENCIA DE UN HOTEL EN LA CALLE CHILE. ESTA CAUSA DA ORIGEN EL DIA 03/04/2010 INFORMADA POR PU 2008/10, DONDE SE DETIENE A SILVA ROBERTO CESAR.</t>
  </si>
  <si>
    <t>SECTOR DE PLATAFORMA NORTE, POSICION DE ESTACIONAMIENTO Nº 14.</t>
  </si>
  <si>
    <t>ATENTO A SU ORDEN DE SERVICIO Nº 101/10 DEL 07ABR10, REFERENTE A LA IMPLEMENTACION DEL DISPOSITIVO DE SEGURIDAD POR EL TRASLADO DE VALORES POR DEL BANCO CENTRAL DE LA REPUBLICA ARGENTINA, INGRESARON A LA POSICION DE ESTACIONAMIENTO DE LA AERONAVE DE FUERZA AEREA ARGENTINA HERCULES TC-56, CUATRO UNIDADES BLINDADAS Y UNA COMBI CON EL PERSONAL QUE REALIZA EL ACARREO DE LAS SACAS. EL PROCEDIMIENTO FINALIZO SIN NOVEDAD.</t>
  </si>
  <si>
    <t>PALOMAR</t>
  </si>
  <si>
    <t>´´D.I.C. Y N.C.U. S/AVERIG. PTA. INFRAC. LEY 23.737</t>
  </si>
  <si>
    <t>ARANA MIGUEL ANGEL S/NOTIFICACION</t>
  </si>
  <si>
    <t>CONTROL DE DOCUMENTACION</t>
  </si>
  <si>
    <t>EN EL DIA DE LA FECHA DURANTE CONTROL DE RUTINA DEL VUELO AR 2872, SE IDENTIFICA A MIGUEL ANGEL ARANA D.N.I N° 4.299.911, SOBRE QUIEN PESA VIGENTE UNA PROHIBICION DE SALIDA DE LA PCIA Y DEL PAIS, REGISTRO LINCE 277283. PROMOVIDA CONSULTA CON EL JUZGADO FEDERAL DE USHUAIA EN LA PERSONA DEL SEÑOR SECRETARIO DR. ERNESTO MENDIETA, QUIEN DISPONE A TRAVEZ DE S.SA. QUE EL CAUSANTE CONTINUE SU VIAJE, SE LO NOTIFIQUE QUE DEBERA COMPARECER UNA VEZ POR SEMANA A LA DELEGACION DE POLICIA FEDERAL MAS CERCANA AL DOMICILIO DE SU ESTADIA SITO EN CALLE AVENIDA SABATTINI N° 885 EN LA CIUDAD DE VILLA MARIA PCIA DE CORDOBA. SE LABRO ACTA DE NOTIFICACION 05/10</t>
  </si>
  <si>
    <t>AR-2872</t>
  </si>
  <si>
    <t>PLATAFORMA SUR</t>
  </si>
  <si>
    <t>SIENDO LAS 08:55 HS DEL DÍA DE LA FECHA, MIENTRAS EL DENUNCIANTE PRESTABA FUNCIONES PARA LA EMPRESA DE CAUDALES VIGENCIA DUQUE S.A, INGRESA CON EL CAMIÓN MERCEDES BENZ 1215 MÓVIL 26 EL CUAL POSEE LA INSCRIPCIÓN VIGENCIA A PLATAFORMA DEL AEROPUERTO JORGE NEWBERY PARA ABORDAR EL VUELO Nº 1506 DE LA EMPRESA AEROLÍNEAS ARGENTINAS. SIENDO LAS 09:20 HS EL DENUNCIANTE ACOMPAÑADO POR EL SR. FERNANDO VILLALBA, TAMBIÉN PERSONAL DE LA MENCIONADA EMPRESA, DESCIENDEN DEL VEHICULO EN EL QUE SE ENCONTRABAN PARA DIRIGIRSE A LA BODEGA DE LA AERONAVE LUGAR DONDE LE ENTREGAN A PERSONAL DE RAMPA DOS (02) SACAS VERDES, UNA (01) IDENTIFICADA COMO Nº 2393 CON MARBETE Nº AR 74-88-80 Y CERRADA CON PRECINTO Nº 657725, LA SACA RESTANTE BOLSA Nº T0802 IDENTIFICADA CON MARBETE Nº AR 74-88-81 Y CERRADA CON PRECINTO Nº 691067. UNA VEZ ENTREGADAS LAS MENCIONADAS SACAS, EL DENUNCIANTE PROCEDE A EMBARCAR EN LA AERONAVE PERMANECIENDO EN EL LUGAR EL SR. VILLALBA HASTA QUE SE CIERRAN LAS BODEGAS DE DICHA AERONAVE. SIENDO LAS 11:00HS ARRIBAN A LA CIUDAD DE CÓRDOBA DESCIENDE DEL AVIÓN Y PROCEDE A RETIRAR LAS SACAS DESPACHADAS. UNA VEZ EN EL LUGAR, OBSERVA LA DESCARGA DE VALIJAS Y LE HACEN ENTREGA DE LA BOLSA IDENTIFICADA COMO 2393, AL RECLAMAR LA BOLSA RESTANTE LE INFORMAN QUE EN BODEGA NO QUEDABA NADA POR LO CUAL SE DIRIGE A LA CINTA DE ARRIBOS PARA OBSERVAR SI SE ENCONTRABA ALLÍ, AL NO ENCONTRARLA, SE DIRIGE NUEVAMENTE A LA BODEGA DONDE PERSONAL DE RAMPA LE PERMITE EL INGRESO Y OBSERVA QUE EL INTERIOR ESTABA VACÍO. CABE DESTACAR QUE LA SACA FALTANTE CONTENÍA EN SU INTERIOR 100.000 REALES SEGÚN LO DECLARADO EN REMITO DE TRANSPORTE Nº 706357, DE DICHA COMPAÑÍA. ACTO SEGUIDO SE DIIO PARTICIPACION AL JUZGADO FEDERAL N 1 A CARGO DEL DR. BUSTOS FIERRO EN LA PERSONA DE SU PROSECRETARIA DRA SUSANA BAGGI QUIEN PUESTA EN CONOCIMIENTO DEL HECHO ORDENO QUE LAS ACTUACIONES SEAN DERIVADAS AL MINISTERIO PUBLICO FISCAL DE LA JUSTICIA ORDINARIA, POR LO QUE LA PREVENCION SE CONTACTO CON LA UNIDAD JUDICIAL DIECISIETE DE LA POLICIA DE LA PROVINCIA DE CORDOBA DEPENDIENTE DEL MINISTERIO PUBLICO FISCAL, CON EL AYUDANTE DE FISCAL SR. GABRIEL OLIVA QUIEN UNA VEZ ENTERADO DEL HECHO DISPUSO QUE SE LABREN LAS ACTUACIONES DE RIGOR Y FINALIZADAS ESTAS SEAN ELEVADAS. TIENE PARTICIPACION LA FISCALIA DE INSTRUCCCION DEL DISTRITO JUDICIAL TRES TURNOSIETE SECRETARIA A CARGO DE LA DRA. SUSANA CAEIRO. D.R.I.C.A. AMPLIACION CBA_2010_2109_PU DEL 07/04 ATENTO A QUE LA DRA. SUSANA BAGGI, PROSECRETARIA DEL JUZGADO FEDERAL Nº 1, HABIA DERIVADO LAS ACTUACIONES DEL SUMARIO 17/10 A LA JUSTICIA ORDINARIA, SIENDO LAS 21:10 HORAS SE COMUNICO EL DR. RAUL GARZON, FISCAL DE LA UNIDAD JUDICIAL Nº 17, PARA MANIFESTAR QUE DECLARA LA INCOMPETENCIA DE JURISDICCIÓN, INDICANDO QUE CORRESPONDE A LA JUSTICIA FEDERAL ENTENDER EN LA CAUSA. A LAS 22:26 HORAS LA DRA. BAGGI DEL JUZGADO FEDERAL Nº 1, INFORMA QUE RECEPCIONARA LO ACTUADO DE ACUERDO A LO SOLICITADO POR EL DR. GARZON D.R.I.C.A. AMPLIACION CBA_2010_2130_PU DEL 08/04 SIENDO LAS 17:15HS DEL DIA DE LA FECHA LA DRA SUSANA BAGGI,PROSECRETARIA PENAL DEL JUZGADO FEDERAL Nº 1 DE LA CIUDAD DE CORDOBA MANTIENE COMUNICACION TELEFONICA CON EL SUBINSPECTOR RUBEN MANCARDO QUIEN LE ORDENA QUE RECABE LA MAYOR CANTIDAD DE DATOS QUE SE PUEDAN APORTAR A ESTA CAUSA A LOS FINES DE ESCLARECER EL HECHO,REUNIENDO LO RECABADO EN AMBAS JURIDICCIONES , AEROPARQUE - CORDOBA , Y QUE EN HORAS DE LA MAÑANA DEL DIA 09-04-2010 SE REMITAN LAS ACTUACIONES A ESE JUZGADO PARA EVALUAR SU DERIVACION A LA JUSTICIA ORDINARIA.</t>
  </si>
  <si>
    <t>CAUDALES VIGENCIA DUQUE S.A.</t>
  </si>
  <si>
    <t>SIENDO LAS 14:30 HORAS, SE IMPLEMENTA MEMORANDO Nº 034/10 (PROCEDENTE DEL CEAC), ORDEN DE SERVICIO Nº 209/10 (PROCEDENTE DE LA URSA I DEL ESTE) Y ORDEN DE SERVICIO Nº 235/10 (DE ESTA UOSP METROPOLITANA) CON MOTIVO DE BRINDAR SEGURIDAD EN LA LLEGADA DE LA SRA. PRESIDENTE DE LA NACION, DEL VUELO PROCEDENTE DE LA LOCALIDAD DE VEDIA. SIENDO LAS 15:08 HORAS ATERRIZA LA MANDATARIA EN AERONAVE MATRICULA LVWEW. EN HORAS 15:14, SE RETIRA DE ESTE AEROPUERTO METROPOLITANO EN HELICOPTERO MATRICULA H-03. SIENDO LAS 15:20 HORAS, FINALIZA EL OPERATIVO SIN NOVEDAD.</t>
  </si>
  <si>
    <t>LOCALIDAD VEDIA</t>
  </si>
  <si>
    <t>EN UNA RECORRIDA POR LA TERMINAL A, SECTOR HALL DE ARRIBOS, LOS OFICIALES FERNANDEZ Y NIETO OBSERVAN Y OYEN A UNA PERSONA DE SEXO MASCULINO OFRECIENDO SERVICIO DE TRANSPORTE PUBLICO, A VIVA VOZ, A PASAJEROS RECIEN ARRIBADOS.CARECIENDO EL MISMO DE LA HABILITACION PARA REALIZAR DICHA TAREA.</t>
  </si>
  <si>
    <t>DRA. LILIANA MARTA DALEIA</t>
  </si>
  <si>
    <t>BESTIT CARUNCHO, ADRIANA S/CONTRABANDO DE ESTUPEFACIENTES</t>
  </si>
  <si>
    <t>S/CONTRABANDO DE ESTUPEFACIENTES</t>
  </si>
  <si>
    <t>EN EL DIA DE LA FECHA SE RECIBE OFICIO JUDICIAL ORDENANDO TAREAS INVESTIGATIVAS SOBRE LOS TELEFONOS CELULARES SECUESTRADOS.LA CAUSA SE INICIO EL DIA 01/04/2010 CON EL PU 1975/10, DONDE SE DETIENE A BENTIT CARUNCHO ADRIANA.</t>
  </si>
  <si>
    <t>JUZGADO DE INSTRUCCION N° 1</t>
  </si>
  <si>
    <t>SUAREZ</t>
  </si>
  <si>
    <t>ROXANA ANDREA</t>
  </si>
  <si>
    <t>Dra ELSA PASTORINO</t>
  </si>
  <si>
    <t>RETENCION INDEBIDA</t>
  </si>
  <si>
    <t>IDENTIFICACION DE PERSONAS</t>
  </si>
  <si>
    <t>CONTORL DOCUMENTACION</t>
  </si>
  <si>
    <t>MIENTRAS SE REALIZABA CONTROL DE IDENTIFICACION PARA EL VUELO ANTES MENCIONADO SE DETECTA AL PASAJERO ESTEBAN RAUL DNI 27.189.094 EL CUAL FIGURA CON PEDIDO DE CAPTURA EN LA RED INSTITUCIONAL LINCE BAJO NRO 19.975 INMEDIATAMENTE SE EFECTUA COMUNICACION CON EL JUZGADO INTERVINIENTE A NOMBRE DE LA DRA. ELSA PASTORINO QUIEN DESPUES DE CONSTATAR EN LOS REGISTROS DE ESE JUZGADO NO ENCONTRANDO NINGUN IMPEDIMENTO A NOMBRE DEL IMPUTADO, AUTORIZA A QUE ESTE CONTINUE CON SU VIAJE PROGRAMADO.</t>
  </si>
  <si>
    <t>AU 2851</t>
  </si>
  <si>
    <t>MOSTRADOR DE CHECKIN DE LA EMPRESA AUSTRAL LINEAS AEREAS</t>
  </si>
  <si>
    <t>AEROPUERTO DE USHUAIA</t>
  </si>
  <si>
    <t>SE CONFECCIONA DENUNCIA DE EXTRAVIO Nº 0005/10 POR LA PERDIDA DE UN DOCUMENTO NACIONAL DE IDENTIDAD Nº 26.584.436, NO RECUERDA EL LUGAR, PERCATANDOCE DE LA FALTA DEL MISMO AL REALIZAR EL CHECK IN PARA EL VUELO NRO 2898, CON DESTINO A EL CALAFATE, DE LA EMPRESA AUSTRAL LINEAS AEREAS EN EL AEROPUERTO DE USHUAIA.-</t>
  </si>
  <si>
    <t>N/D</t>
  </si>
  <si>
    <t>Fiscalía Nacional en lo Penal Económico Nº 04</t>
  </si>
  <si>
    <t>RIVAS DIEZ</t>
  </si>
  <si>
    <t>MARIA LUZ</t>
  </si>
  <si>
    <t>RODRIGUEZ FONTELLA XIMENA</t>
  </si>
  <si>
    <t>N.N. S/DENUNCIA S/INF. LEY 22.415</t>
  </si>
  <si>
    <t>SECTORES DE ADUANA Y COMPAÑIAS TELEFONICAS</t>
  </si>
  <si>
    <t>AEROPUERTO EZEIZA Y COMPAÑIAS TELEFONICAS</t>
  </si>
  <si>
    <t>EN EL DIA DE LA FECHA POR ORDEN DE LA JUDICATURA CORRESPONDIENTE SE INICIAN TAREAS INVESTIGATIVAS A FIN DE DETERMINAR QUIENES ERAN LOS GUARDAS ADUANEROS QUE SE ENCONTRABAN EN LOS PUESTOS DE CONTROL DE SCANNER EN LOS DÍAS SEÑALADOS COMO ASI TAMBIEN SI EXISTE ALGUNA LINEA TELEFONICA A NOMBRE DE MARIA ELOISA BLANCO. SIN MAYORES DATOS EN EL DICA</t>
  </si>
  <si>
    <t>WALTER DA SILVA</t>
  </si>
  <si>
    <t>S/DENUNCIA JUAN LUIS PERALTA</t>
  </si>
  <si>
    <t>SIENDO LAS 15 HS DEL DIA DE LA FECHA, SE HACE PRESENTE EN ESTA DEPENDENCIA POLICIAL EL CIUDADANO JUAN LUIS PERALTA, PERSONAL CIVIL DE ESTA POLICIA DE SEGURIDAD AEROPORTUARIA, PARA RADICAR UNA DENUNCIA, EN LA CUAL MANIFIESTA QUE EL DIA 05 DE ABRIL DEL 2010 RECIBIO UN MENSAJE DE TEXTO EN SU TELEFONO CELULAR, EN EL CUAL DICE QUE A LA PERSONA QUE LE ENVIA EL MENSAJE LE ESTARIAN PAGANDO UNA SUMA DE DINERO PARA QUE LO LASTIME A EL O A SU FAMILIA Y QUE LO LLAME SI LA FAMILIA LE IMPORTA, MANIFESTANDO ADEMAS QUE SE COMUNICO CON EL NUMERO DE CELULAR QUE FIGURA COMO REMITENTE DEL MENSAJE, DONDE ES ATENDIDO POR UNA PERSONA QUIEN LE REPITIO LO MISMO QUE ESTABA ESCRITO EN EL TEXTO DEL MENSAJE Y LE PEDIA ADEMAS UN TELEFONO DONDE PODER ENVIARLE LAS FOTOS DE LAS PERSONAS QUE ESTABAN PAGANDO EL TRABAJO.</t>
  </si>
  <si>
    <t>DR. MIGUEL MAZAL</t>
  </si>
  <si>
    <t>PRIMER PISO AEROESTACION AEROPUERTO IGUAZU EN CERCANIAS DEL PREEMBARQUE Nº 1</t>
  </si>
  <si>
    <t>INFORMO SE REMITIO EL DIA 6 DE ABRIL DEL CORRIENTE AL JUZGADO DE INSTRUCCION Nº 3 SECRETARIA DEL DR. MIGUEL MAZAL DECLARACION TESTIMONIAL DE LA SRA LILI ALBERTINA FERNADEZ MOLOCHO DE NACIONALIDAD PERUANA PASAPORTE Nº 4839651 CONFECCIONADA Y RECEPCIONADA EN LA UOSP METROPOLITANA CON ASIENTO EN EL AEROPARQUE JORGE NEBWERY DE LA CIUDAD AUTONOMA DE BUENOS AIRES EL DIA 3 DE FEBRERO DEL CORRIENTE EL CUAL FUE RECEPCIONADA VIA FAX POR ESTA UNIDAD POR LO CUAL SE ESTABLECIO COMUNICACION TELEFONICA CON EL SECRETARIO DR. MAZAL QUIEN ENTERADO DE LOS HECHOS ORDENO EN ESA OPORTUNIDAD QUE UNA VEZ RECIBIDA POR ESTA UOSP IGUAZU EL ORIGINAL DE LA DECLARACION TESTIMONIAL SEA ELEVADA PARA SU CONSIDERACION</t>
  </si>
  <si>
    <t>DR. REINALDO D. J. ROTA</t>
  </si>
  <si>
    <t>ESTACIONAMIENTO NORTE CONTIGUO AL SECTOR DE CARGAS</t>
  </si>
  <si>
    <t>SIENDO LA HORA Y FECHA MENCIONADA, SE RECIBE COMUNICACIÓN POR PARTE DEL OF. HOZ DE VILA ALEJANDRO MANIFESTANDO QUE DE UN CONTROL DE PATRULLAJE, FUERON HALLADAS DOS CAJAS DE ENCOMIENDAS APERTURADAS DENTRO DE UN VEHICULO ABANDONADO EL CUAL SE ENCUENTRA SITUADO PROXIMO AL SECTOR DE CARGAS. POR LO CUAL SE CONVOCA A DOS TESTIGOS HABILES Y SE EFECTUA EL TRASLADO DE DICHAS CAJAS HACIA LA GUARDIA PREVENTIVA. SIENDO LAS 16:25 HORAS, SE ENTABLA COMUNICACIÓN CON LA JUDICATURA ACTUANTE QUIEN DISPONE: SECUESTRO DE LOS ELEMENTOS, LISTADO DEL PERSONAL DE JET PAQ QUE OPERO EN EL DIA SEGÚN CONSTA EN ETIQUETA DE LAS DOS CAJAS SECUESTRADAS, REGISTRO FILMICO, VISTAS FOTOGRAFICAS, CROQUIS, NOTA A LA EMPRESA SOLICITANDO LISTADO DEL PERSONAL QUE TRABAJO ENTRE EL 5/3 Y EL 6/3, CIERRE Y ELEVACION.</t>
  </si>
  <si>
    <t>MARTA IGUIÑIZ</t>
  </si>
  <si>
    <t>EDWARD JAMES, MASON CHARLOTTE ALEXANDRAS S/CONTRABANDO DE ESTUPEFACIENTES</t>
  </si>
  <si>
    <t>PUESTO BASE, GUARDIA DE PREVENCION</t>
  </si>
  <si>
    <t>SIENDO LA HORA MENCIONADA SE RECIBE DETENIDO POR PARTE DE LA GUARDIA DE LA UOSP EZEIZA A CARGO DEL OFICIAL FERNANDEZ GROSSO, LA CUAL POR ORDEN DEL JUZGADO ACTUANTE PERMANECERA EN NUESTRA DEPENDENCIA EN CARACTER DE COMUNICADA Y A DISPOSICION DE ESTE JUZGADO Y SECRETARIA. LA MISMA ES ACOMPAÑADA POR UNA BOLSA CON UNA MUDA DE ROPA.</t>
  </si>
  <si>
    <t>2076/10</t>
  </si>
  <si>
    <t>LA COMISIÓN DE TRASLADO DE LOS DETENIDOS RECIBIÓ OFICIO JUDICIAL PARA QUE SE TRASLADE Y ALOJE AL DETENIDO JAMES EDWARDS EN LA UNIDAD 29 DEL SERVICIO PENITENCIARIO FEDERAL Y LA DETENIDA CHARLOTTE ALEXANDRA MASON EN LA UNIDAD OPERACIONAL DE SEGURIDAD PREVENTIVA METROPOLITANA, DANDOSE CUMPLIMIENTO A DICHO OFICIO SIN NOVEDAD.</t>
  </si>
  <si>
    <t>2095/10</t>
  </si>
  <si>
    <t>FISCALIA DE INSTRUCCION N° 3</t>
  </si>
  <si>
    <t>CAEIRO</t>
  </si>
  <si>
    <t>SUSANA</t>
  </si>
  <si>
    <t>ATENTO A QUE LA DRA. SUSANA BAGGI, PROSECRETARIA DEL JUZGADO FEDERAL Nº 1, HABIA DERIVADO LAS ACTUACIONES DEL SUMARIO 17/10 A LA JUSTICIA ORDINARIA, SIENDO LAS 21:10 HORAS SE COMUNICO EL DR. RAUL GARZON, FISCAL DE LA UNIDAD JUDICIAL Nº 17, PARA MANIFESTAR QUE DECLARA LA INCOMPETENCIA DE JURISDICCIÓN, INDICANDO QUE CORRESPONDE A LA JUSTICIA FEDERAL ENTENDER EN LA CAUSA. A LAS 22:26 HORAS LA DRA. BAGGI DEL JUZGADO FEDERAL Nº 1, INFORMA QUE RECEPCIONARA LO ACTUADO DE ACUERDO A LO SOLICITADO POR EL DR. GARZON</t>
  </si>
  <si>
    <t>LOCAL SPORT PLANET</t>
  </si>
  <si>
    <t>EN CIRCUNSTANCIAS QUE LA DENUNCIANTE SE ENCONTRABA CUMPLIENDO CON SUS FUNCIONES LABORALES COMO VENDEDORA EN EL LOCAL SPORT PLANET, SITO EN EL HALL DE LA TERMINAL A DE ESTE MEDIO, OBSERVA QUE UNA PERSONA DE SEXO FEMENINO, ACOMPAÑADA POR UNA MENOR DE EDAD, HABIA TOMADO UNA CAMISETA PARA NIÑO. QUE LUEGO DE UNOS MINUTOS LA FEMENINO SE RETIRA DEL LOCAL, POR LO QUE LA DENUNCIANTE SE DIRIGE A VERIFICAR EL MOSTRADOR DE LAS CAMISETAS PERCATANDOSE DEL FALTANTE DE LA CAMISETA QUE HABIA TOMADO LA FEMENINO EN CUESTION, COMO ASI TAMBIEN DE DOS REMERAS PARA NIÑO. A TAL EVENTO DIO LA NOVEDAD A PERSONAL POLICIAL QUE SE ENCONTRABA EN DICHO HALL, PROCEDIENDO A REALIZAR, JUNTO CON LA DENUNCIANTE, UNA RECORRIDA POR LAS INMEDIACIONES DEL LUGAR, DANDO CON LA FEMENINO EN CUESTION, INVITANDO EL PERSONAL POLICIAL A AMBAS AL TURNO DE PREVENCION. QUE MANTENIDA COMUNICACION TELEFONICA CON LA UNIDAD FUNCIONAL INTERVINIENTE, DISPUSO SE TOME FORMAL DENUNCIA, SE IDENTIFIQUE A LA FEMENINO EN CUESTION, NO QUEDANDO EN CARACTER DE IMPUTADA Y SE PROCEDA A CONSTATAR EL DOMICILIO DE LA MISMA. QUE UNA VEZ CONSTATADO SE RETIRE DE ESTA DEPENDENCIA POLICIAL. UNA VEZ CONSTATADO EL DOMICILIO Y AL NO POSEER IMPEDIMENTOS LEGALES, LA FEMENINO EN CUESTION SE RETIRA DE ESTA DEPENDENCIA POLICIAL POR SUS PROPIOS MEDIOS Y CONFORME CON LOS TRATOS RECIBIDOS</t>
  </si>
  <si>
    <t>SAPOSNICOFF, BEATRIZ ANA S/DENUNCIA</t>
  </si>
  <si>
    <t>PARQUE NACIONAL IGUAZU</t>
  </si>
  <si>
    <t>INFORMO SIENDO LAS 23:20 HORAS SE PRESENTA UNA PERSONA QUE RADICA UNA DENUNCIA POR UN SUPUESTO HECHO DELICTIVO, MANIFESTANDO QUE MIENTRAS REALIZABA UN PASEO DENTRO DEL PARQUE NACIONAL IGUAZU ACOMPAÑADO DE SU ESPOSO SE DIRIJEN AL SALTO DENOMINADO BOSETTI LLEGANDO AL LUGAR DECIDE GUARDAR UNA CAMARA FILMADORA DENTRO DE SU MOCHILA, UNA VEZ FINALIZADO EL RECORRIDO SE DIRIGEN AL HOTEL DONDE SE ALOJABAN Y AL LLEGAR AL LUGAR SE PERCATA QUE LA CAMARA ANTES MENCIONADA NO SE ENCONTRABA EN EL INTERIOR DE SU MOCHILA.</t>
  </si>
  <si>
    <t>MONICA M. IGUIÑIZ</t>
  </si>
  <si>
    <t>EDWARDS JAMES Y MASON CHARLOTTE ALEXANDRA S/CONTRABANDO DE ESTUPEFACIENTES</t>
  </si>
  <si>
    <t>OFICINA UNIDAD OPERACIONAL DE DELITOS COMPLEJOS Y CONTROL DE NARCOTRAFICO DE LA REGIONAL I</t>
  </si>
  <si>
    <t>EN EL DIA DE LA FECHA SE RECIBE OFICIO JUDICIAL ORDENANDO TAREAS INVESTIGATIVAS. SOBRE LOS CELULARES SECUESTRADOS, A LOS IMPUTADOS JAMES EDWARDS Y CHARLOTTE ALEXANDRA MASON EL DIA 6-4/10 DONDE QUEDARON DETENIDOS CUANDO INTENTABAN EGRESAR DEL PAIS EN EL VUELO N º AF 417, CON DESTINO PARIS, REPUBLICA DE FRANCIA CON VALIJAS CON ESTUPEFACIENTES EN SU INTERIOR SEGÚN FUERA INFORMADO POR PU Nª2070 DE LA UOSP EZEIZA</t>
  </si>
  <si>
    <t>POSICION Nº5</t>
  </si>
  <si>
    <t>CARGA DE MERCADERIAS PELIGROSAS EL DIA 08 DE ABRIL DE 2010, ENTRE LAS 07:00 HS A 08:30 HS EN LA POSICION Nº5 EN LA PLATAFORMA OPERATIVA POR LA EMPRESA BAKER HUGHES, HACIA LA CIUDAD DE COMODORO RIVADAVIA, PCIA DE CHUBUT. EL MENCIONADO TRANSPORTE ESTARA A CARGO DE LA EMPRESA DUBROVNIK SERVICIOS AEREOS, EN UNA AERONAVE MARCA PIPER PA 32-300 LANCE II MATRICULA LV-MNF, SIENDO EL COMANDANTE EL SR.SILENZI JUAN Y COPILOTO EL SR. NACCARATO LEONARDO. RESPONSABLE DEL TRANSPORTE SR. CARLOS SUAREZ DE LA EMPRESA BAKER HUGHES, EL VEHICULO EN EL QUE REALIZARA EL TRANSPORTE HASTA EL LUGAR DE CARGA ES UNA F-100 DOBLE CABINA, DOMINIO HTK 890, LA CARGA TIENE UN PESO TOTAL DE 94,00 KG Y SE TRATA DE 4 CAJAS DE 200 CARGAS HUECAS, 01 CAJA DE DETONADORES ELECTRICOS, 01 CAJA DE 30 MTS DE CORDON DETONANTE, 01 CAJA CON 14 HMX BIODIRECCIONAL</t>
  </si>
  <si>
    <t>LV-MNF</t>
  </si>
  <si>
    <t>2106/10</t>
  </si>
  <si>
    <t>SIENDO LA HORA 11:30 HS APROXIMADAMENTE, SE RECIBE COMUNICACION TELEFONICA CON EL DR. PETERSEN RAUL, QUIEN DISPUSO: TRASLADO A SEDE DEL JUZGADO ACTUANTE DE LA PERSONA QUE POSTERIORMENTE SE DETALLA, SIENDO LA HORA 11:45 EGRESA DE JURISDICCION LA COMISION, SIN NOVEDAD</t>
  </si>
  <si>
    <t>2116/10</t>
  </si>
  <si>
    <t>SEDE DE LA JUDICATURA ACTUANTE</t>
  </si>
  <si>
    <t>SIENDO LA HORA ANTES MENCIONADA, REGRESA LA COMISION DESDE LA SEDE DE LA JUDICATURA INTERVINENTE HACIENDO ENTREGA LO RESUELTO POR S.SA. DR GUSTAVO MERIOVICH QUIEN DECLARO LA FALTA DE MERITO DE LA PERSONA IMPUTADA QUE POSTERIORMENTE SE HACE MENCION, DISPONIENDO LA LIBERTAD DE LA MISMA DESDE LOS ESTRADOS DEL JUZGADO.</t>
  </si>
  <si>
    <t>POSICI0N ZULU</t>
  </si>
  <si>
    <t>BAKER HUGHES ARGENTINA S.R.L.</t>
  </si>
  <si>
    <t>SIENDO LAS 12:38 HORA LOCAL ARRIBA AERONAVE PIPER PA A 32R-300 CHEROKKE LANCE MATRICULA LV-MNF PARA LA EMPRESA DE TRANSPORTE AEREO DUBROVNIK SERVICIOS AEREOS S.A. PROCEDENTE DEL AEROPUERTO DE RIO GRANDE A REALIZAR DESCARGA DE MERCANCIAS PELIGROSAS. SE DIRIGE A POSICION ZULU Y DESCARGA EL SIGUIENTE MATERIAL EXPLOSIVO: 4 CAJAS DE CARGA ETA TC47HP BARRACUDA HMX 10120988- CARGAS MOLDEADAS-, 1 CAJA DE PYX INITIATOR H067781600 -DETONADOR ELECTRICO , 1 CAJA DE CORDON DETONANTE OWEN 80 HMX F180600800, 1 CAJA DE 492-51 BOOSTER HMX BI-DIR H067592400 PARA LA EMPRESA BAKER HUGHES ARGENTINA S.R.L. SE DIRIGEN A POSICION ZULU EL MOVIL DE DOTACION Y EL VEHICULO PICK UP FORD DOMINIO FRP 920 Y CESAR ENCINA DNI 10.142.544 Y JUAN ARCE DNI 14715947 DE LA EMPRESA DE TRANSPORTE DE MERCANCIAS PELIGROSAS TC BUS S.R.L., Y LUIS ESCUDERO DNI 20237269 DE LA EMPRESA BAKER. RECIBEN LA CARGA SIN NOVEDAD. A LAS 13:15 HORA LOCAL SE RETIRAN EL VEHICULO MENCIONADO Y LAS PERSONAS DE LA JURISDICCION P.S.A. SIN NOVEDAD. SE DIO CUMPLIMIENTO A ORDEN DE SERVICIO NRO. 0027/2010 DE ESTA U.O.S.P.</t>
  </si>
  <si>
    <t>AEROPUERTO RIO GRANDE - RIO GRANDE- TIERRA DEL FUEGO</t>
  </si>
  <si>
    <t>AEROPUERTO GRAL MOSCONI - COMODORO RIVADAVIA - CHUBUT</t>
  </si>
  <si>
    <t>ROBO.</t>
  </si>
  <si>
    <t>SALA DE ARRIBOS, EN LA CINTA TRANSPORTADORA DE EQUIPAJES.</t>
  </si>
  <si>
    <t>EL DENUNCIANTE MANIFIESTA QUE AL RETIRAR SU EQUIPAJE DE LA CINTA TRANSPORTADORA DE LA TERMINAL B DE EZEIZA, VERIFICA QUE SU VALIJA DE TELA COLOR NEGRO MARCA PRIMICIA, DE 50 CM DE ALTURA X 30 CM DE ANCHO X 30 CM DE PROFUNDIDAD, PRESENTABA PARTE DE LAS COSTURAS FORZADAS Y LAS RUEDAS Y MANIJA DE TRANSPORTE DETERIORADAS. AL REALIZAR LA APERTURA DE SU VALIJA CONSTATA EL FALTANTE DE LOS OBJETOS DETALLADOS. AL DIRIJIRSE A LAS OFICINAS DE LA PSA PARA RADICAR LA DENUNCIA SE PERCATA QUE ESTABA PROXIMO A PARTIR SU VUELO HACIA CORDOBA AR1418, POR LO CUAL DECIDE RADICAR LA DENUNCIA EN ESTA JURISDICCION.</t>
  </si>
  <si>
    <t>AR1133</t>
  </si>
  <si>
    <t>RAMAROSANDRATANA MAMINIRINA S/INF. LEY 23737</t>
  </si>
  <si>
    <t>S/INFRACCION A LA LEY 23737, 5, C, TRANSPORTE</t>
  </si>
  <si>
    <t>EN EL DIA DE LA FECHA SE RECIBE OFICIO JUDICIAL ORDENANDO TAREAS INVESTIGATIVAS SOBRE LOS TELEFONOS CELULARES SECUESTRADOS EL DIA 24-3-10 EN EL MARCO DE LA CAUSA DONDE QUEDO DETENIDA MAMINIRINA RAMAROSANDRATANA CUANDO ERA CONTROLADO EL VUELO DE 5L210 DE AEROSUR PROCEDENTE DE BOLIVIA INTENTANDO ABORDAR LUEGO EL VUELO DE SOUTH AFRICAN SA 227 CON DESTINO JOHANNESBURGO SUDAFRICA,QUIEN LLEVABA COMO EQUIPAJE DE MANO UN CARTERA CON DOBLE FONDO DE PAQUETES DE COCAINA ,OPORTUNAMENTE FUE INFORMADO POR PU 1768 DE LA UOSP EZEIZA</t>
  </si>
  <si>
    <t>1902/10</t>
  </si>
  <si>
    <t>EN EL DIA DE LA FECHA, 08 DE ABRIL DE 2010, SE RECEPCIONA OFICIO JUDICIAL N° 868/10 DE FECHA 07-ABR-10, REFERENTE AL EXPTE. 220/08 CARATULADO CALATAYUD RAUL DANTE Y OTROS S/CONTRABANDO, EN EL CUAL EL TRIBUNAL DISPUSO QUE CON FECHA 03 DE MARZO DEL CORRIENTE, ACUMULAR EL EXPTE. N° 778/09 CARATULADO MARIANO BELLUCCO AVERIGUACION INFRACCION A LA LEY 23737 Y 22415, A LA CAUSA DE REFERENCIA.</t>
  </si>
  <si>
    <t>DONDE RETIRAN LAS CARGAS, ENCOMIENDAS Y CORREO</t>
  </si>
  <si>
    <t>PLAYON DE EQUIPOS DE RAMPA</t>
  </si>
  <si>
    <t>SE PRESENTA EN LA GUARDIA DE PREVENCION EL SR. SANTIAGO VOGEL D.N.I Nº 20.678.999 QUIEN RADICA UNA DENUNCIA SOBRE UN SUPUESTO HECHO DELICTIVO QUE HABIA TRANSCURRIDO EL DIA 7 DEL CORRIENTE MES Y AÑO DEL FALTANTE DE CARNE ENVASADA AL VACIO EN VUELO PROVENIENTE DEL AEROPARQUE JORGE NEBWERY EN EL VUELO 4024 DE LA EMPRESA LAN LAS MISMAS ESTABAN EN CAJAS DE CARTON EN EL DIA DE LA FECHA EL FALTANTE FUE DE FRUTAS VERDURAS Y PAN CONGELADO EN EL VUELO 4024 DE LA EMPRESA LAN PROVENIENTE DE LA CIUDAD AUTONOMA DE BUENOS AIRES LAS MISMAS TAMBIEN ESTABAN EN CAJAS DE CARTON SE DA INTERVENCION AL JUZGADO DE INSTRUCCION Nº 3 DE LA CIUDAD DE PUERTO IGUAZU SEC. Nº 2 QUIEN ENTERADO DE LOS HECHOS ORDENA QUE SE TOME LA DENUNCIA CARATULANDOLA COMO JUAN SANTIAGO VOGEL SOBRE DENUNCIA ELEVANDO LO ACTUADO A SEDE TRIBUNALICIA</t>
  </si>
  <si>
    <t>CARGAS JET</t>
  </si>
  <si>
    <t>CIUDAD AUTONAMA DE BUENOS AIRES</t>
  </si>
  <si>
    <t>DONATTI MAURICIO J</t>
  </si>
  <si>
    <t>ACTUACIONES POR SEPARADO CAUSA: CESAR JORGE ALBERTO S/ TENTATIVA DE CONTRABANDO -CAUSA NRO 5776 PROVENIENTE DEL JNPE NRO 1 CAPITAL FEDERAL-</t>
  </si>
  <si>
    <t>171/2010</t>
  </si>
  <si>
    <t>CESAR J. ALBERTO S/ TENTATIVA DE CONTRABANDO.</t>
  </si>
  <si>
    <t>EN EL DIA DE LA FECHA SE RECIBE OFICIO NRO. 295 DE LA FISCALIA A CARGO DE LA INSTRUCCION DONDE ORDENA INVESTIGAR LOS HECHOS DENUNCIADOS EN LA CAUSA. LAS ACTUACIONES QUE OBRAN EN EL EXPTE CORRESPONDEN AL DILIGENCIAMIENTO HECHO POR ESTA UNIDAD OPERACIONAL DE CONTROL DEL NARCOTRAFICO Y EL DELITO COMPLEJO IV DEL LITORAL, ORDENADO MEDIANTE MEMORANDO NRO. 366/10 CEAC - DIRECTOR, A LA EXCMA. CAMARA FEDERAL DE APELACIONES DE LA CIUDAD DE ROSARIO PROVINCIA DE SANTA FE, CON FECHA 30/03/2010. LAS TAREAS INVESTIGATIVAS SE CUMPLIMENTAN BAJO LA ORDEN DE SERVICIO NRO. 0078 DE LA URSA IV DEL LITORAL.</t>
  </si>
  <si>
    <t>AVERIGUACIÓN DE ILÍCITO</t>
  </si>
  <si>
    <t>EN EL DIA DE LA FECHA SE INICIA PREVENCIÓN SUMARIA, TOMANDO CONOCIMIENTO VÍA MEMO N° 196 SE PROCEDE A REALIZAR TAREAS INVESTIGATIVAS ORDENADO POR LA FISCALIA CORRESPONDIENTE A LOS EFECTOS DE CONSTATAR LA VERACIDAD DE LOS HECHOS DENUNCIADOS MEDIANTE COMUNICACIÓN DE MAIL RECIBIDA EN EL MINISTERIO DE JUSTICIA SEGURIDAD Y DERECHOS HUMANOS, MAIL PROCEDENTE DE LA CASILLA EMAIL: "CONTRA LOS VIVOS.COM", QUE REZA TEXTUALMENTE "EN EL AEROPARQUE HAY 3 DELINCUENTES QUE LE SACAN PLATA A LOS TAXISTA EL QUE MAS RECAUDA ES EL MONO ESE ESTA ALA MAÑANA ALA TARDE TITO GOMEZ ALIAS EL RONCO Y EL SAPO DE APELLIDO PEREZ ENTRE LOS TRES SOBORNAN A LA PCA" SE CLASIFICO DE ESTA MANERA A ESPERA DE LA NUEVA CLASIFICACION YA QUE SE TRATARIA DE UN PRESUNTO COHECHO</t>
  </si>
  <si>
    <t>Defraudacion</t>
  </si>
  <si>
    <t>2109/10</t>
  </si>
  <si>
    <t>SIENDO LAS 17:15HS DEL DIA DE LA FECHA LA DRA SUSANA BAGGI,PROSECRETARIA PENAL DEL JUZGADO FEDERAL Nº 1 DE LA CIUDAD DE CORDOBA MANTIENE COMUNICACION TELEFONICA CON EL SUBINSPECTOR RUBEN MANCARDO QUIEN LE ORDENA QUE RECABE LA MAYOR CANTIDAD DE DATOS QUE SE PUEDAN APORTAR A ESTA CAUSA A LOS FINES DE ESCLARECER EL HECHO, REUNIENDO LO RECABADO EN AMBAS JURIDICCIONES , AEROPARQUE - CORDOBA , Y QUE EN HORAS DE LA MAÑANA DEL DIA 09-04-2010 SE REMITAN LAS ACTUACIONES A ESE JUZGADO PARA EVALUAR SU DERIVACION A LA JUSTICIA ORDINARIA.</t>
  </si>
  <si>
    <t>IGUIÑIZ MONICA M.</t>
  </si>
  <si>
    <t>RENZI WALTER S/INF. LEY 22.415</t>
  </si>
  <si>
    <t>CALLE CNEL. MAURE 4902</t>
  </si>
  <si>
    <t>LANUS - PROVINCIA DE BUENOS AIRES</t>
  </si>
  <si>
    <t>EN EL DIA DE LA FECHA REF. ORDEN DE SERVICIO 254/10 SE REALIZA UN ALLANAMIENTO ORDENADO POR LA JUDICATURA INTERVINIENTE EN EL MARCO DE LA CAUSA DE REFERENCIA A FIN DE SECUESTRAR EFECTOS, DOCUMENTACION, INTERCAMBIO DE CORREOS ELECTRONICOS, QUE PUDIERAN TENER VINCULACION CON EL INGRESO ILEGAL DE MERCADERIA, COMO ASI TAMBIEN, EL SECUESTRO DE LOS TELEVISORES QUE SEAN OBJETO DEL DELITO INVESTIGADO, DANDO ESTE RESULTADO NEGATIVO. SIENDO LAS 15:15 HS. SE HIZO PRESENTE EL SR. JORGE BORELLA, DNI N° 27.530.365 QUIEN RESULTA SER PROPIETARIO DE LA VIVIENDA QUIEN MANIFESTO ESPONTANEAMENTE RESPECTO DE LOS TELEVISORES EN CUESTION QUEDANDO ESTE RELATO PLASMADO EN ACTA.</t>
  </si>
  <si>
    <t>CINTA DE ARRIBO DE EQUIPAJES DENOMINADA NUMERO 1</t>
  </si>
  <si>
    <t>UNA VEZ LLEGADA A LAS INSTALACIONES DE ESTE MEDIO, RETIRA SU EQUIPAJE DESPACHADO A BODEGA Y POSTERIORMENTE HACE ABANDONO DE ESTA AEROSTACION DIRIGIENDOSE AL DOMICILIO DE SU HERMANA, SITO EN LA LOCALIDAD DE BANFIELD. QUE UNA VEZ EN ESE DOMICILIO, TOMA SU VALIJA Y SE PERCATA DEL FALTANTE DEL CANDADO COLOCADO POR LA DENUNCIANTE EN LA CIUDAD DE ORIGEN DEL VUELO. ANTE ESTE HECHO, PROCEDE A LA APERTURA DE LA VALIJA Y SE PERCATA DEL FALTANTE DE UNA CONSOLA DE NINTENDO MODELO WII. PTO.-</t>
  </si>
  <si>
    <t>DL 101</t>
  </si>
  <si>
    <t>BALTIMOR</t>
  </si>
  <si>
    <t>ATLANTA</t>
  </si>
  <si>
    <t>SIENDO LAS 17:30 HORAS, SE IMPLEMENTA OPERATIVO DE SEGURIDAD PRESIDENCIAL CON MOTIVO DE LA PARTIDA DE LA SRA PRESIDENTE DE LA NACION DESDE ESTE AEROPUERTO METROPOLITANO HACIA LA CIUDAD DE WASHINGTON -ESTADOS UNIDOS DE NORTEAMERICA -. SIENDO LAS 20:35 HS SE HACE PRESENTE LA MANDATARIA EN HELICOPTERO MATRICULA H-03, PARTIENDO EN HORAS 20.45 EN AERONAVE MATRICULA T-01.SIENDO LAS 20:50 HORAS, FINALIZA EL OPERATIVO SIN NOVEDAD.</t>
  </si>
  <si>
    <t>SIENDO LAS 23:30HS. ARRIBA A LA CIUDAD DE MENDOZA EL SR. VICEPERSIDENTE ING. JULIO CESAR CLETO COBOS, INTERINAMENTE A CARGO DE LA PRESIDENCIA DE LA NACION ARGENTINA, RETIRANDOSE EL MISMO DE DICHA AEROESTACION SIN NOVEDAD</t>
  </si>
  <si>
    <t>LA-4252</t>
  </si>
  <si>
    <t>AEROPARQUE - BUENOS AIRES</t>
  </si>
  <si>
    <t>AEROPUERTO PLUMERILLO - MENDOZA</t>
  </si>
  <si>
    <t>SECTORES DE ESTACIONAMIENTO DE AERONAVES FRENTE A LA T.C.A</t>
  </si>
  <si>
    <t>QUE EN VIRTUD A LA ORDEN DE SERVICIO N° 033/10 RELACIONADA CON EL OPERTATIVO DE SEGURIDAD MOTIVADO CON EL ARRIBO Y POSTERIOR PARTIDA DEL SEÑOR PRESIDENTE DE LA REPUBLICA DE CHILE DR. SEBASTIAN PIÑERA EN VUELO ESPECIAL, EL MISMO SE DESARROLLO SIN NOVEDAD Y DE ACUERDO A LO PREVIAMENTE COORDINADO. CULMINANDO CON LA PARTIDA DEL VUELO ESPECIAL DEL SR. PRESIDENTE DE CHILE Y TODA SU COMITIVA, SIENDO DICHO TRASLADO REALIZADO EN UN VUELO PRIVADO CUYA AERONAVE NO CORRESPONDIA A NINGUNA COMPAÑIA AEROCOMERCIAL.</t>
  </si>
  <si>
    <t>BUENOS AIRES-MTO. PISTARINI</t>
  </si>
  <si>
    <t>PLATAFORMA OPERATIVA CHIVATOS</t>
  </si>
  <si>
    <t>QUE EN VIRTUD A LA ORDEN DE SERVICIO N° 035/10 RELACIONADA CON EL OPERTATIVO DE SEGURIDAD MONTADO EN VIRTUD CON EL ARRIBO DE AVANZADA DEL SEÑOR PRESIDENTE DE LA FEDERACION RUSA, DN. DIMITRY A. MEDVEDEV EN VUELO ESPECIAL; EL MISMO SE DESARROLLO SIN NOVEDAD Y DE ACUERDO A LO PREVIAMENTE COORDINADO. ARRIBANDO EL MISMO A ESTA AEROESTACION, A LAS VEINTIDOS HORAS, VEINTICINCO MINUTOS, DEL DIA 08 DEL CORRIENTE MES Y AÑO. FINALIZANDO EL OPERTAIVO EN CUESTION, A LAS CERO HORAS, VEINTICINCO MINUTOS DEL DIA 09 DEL MES Y AÑO EN CURSO, SIN NOVEDAD ALGUNA .</t>
  </si>
  <si>
    <t>RSD035</t>
  </si>
  <si>
    <t>Rusia</t>
  </si>
  <si>
    <t>MOSCU</t>
  </si>
  <si>
    <t>BUENOS AIRES-MTO PISTARINI</t>
  </si>
  <si>
    <t>NACIONAL CRIMINAL DE INSTRUCCION Nº 38</t>
  </si>
  <si>
    <t>DR. GABRIEL GONZALO REY</t>
  </si>
  <si>
    <t>HURTO DE MERCADERIA EN TRANSITO</t>
  </si>
  <si>
    <t>MAQUINA DE RAYOS X</t>
  </si>
  <si>
    <t>PATIO DE VALIJAS AEROLINEAS ARGENTINAS VUELOS REGIONALES</t>
  </si>
  <si>
    <t>SIENDO LA FECHA Y HORA MENCIONADA, SE RECIBE COMUNICACIÓN POR PARTE DEL ENCARGADO DE TURNO OF. MONZA POR NOVEDAD SURGIDA EN EL PATIO DE VALIJAS RESPECTO A QUE EL OF. RIVAROLA, QUIEN ESTABA EFECTUANDO CONTROL DE EQUIPAJE DESPACHADO A BODEGA POR MAQUINA DE RX, ENCONTRO DENTRO DE LA MAQUINA DE RX, LA CUAL HABIA SIDO UTILIZADA POR ULTIMA VEZ POR PERSONAL DE LA EMPRESA HAS, UNA VALIJA DE UN VUELO QUE HORAS ANTES HABÍA PARTIDO. SE EFECTUO CONSULTA CON EL JEFE DE TURNO DE LA EMPRESA HAS Y CON EL PERSONAL DE TRAFICO DE LA EMPRESA AEROLINEAS ARGENTINAS A CERCA DE LA NOVEDAD Y EN LOS DOS CASOS MANIFESTARON QUE NO HABÍAN RECIBIDO NOVEDAD ALGUNA. SEGUIDAMENTE, SE CONVOCO AL LUGAR A DOS TESTIGOS Y SE EFECTUO EL TRASLADO DE LA VALIJA ANTES HALLADA Y DE LOS OPERADORES DE LA MAQUINA DE RX QUE ESCANEARON EL EQUIPAJE EN CUESTION, A LA GUARDIA DE PREVENCION. SIENDO LAS 00:15 HORAS DEL DIA 09 DE ABRIL DEL CORRIENTE, SE MANTUVO COMUNICACIÓN CON LA JUDICATURA ACTUANTE QUIEN DISPUSO: PERMANEZCAN DETENIDOS EN CARÁCTER DE INCOMUNICADOS, CONSTATACION DE DOMICILIO, TRASLADO A LA UNIDAD 28 DEL SERVICIO PENITENCIARIO FEDERAL, SECUESTRO DE LA VALIJA Y QUE PERMANEZCA EN LA DEPENDENCIA, SECUESTRO DE LOS ELEMENTOS PERSONALES Y ELEVACION DE LAS ACTUACIONES A LAS 08:30 HORAS. SIENDO LAS 05:30 HORAS, CUMPLIMENTADAS LAS DILIGENCIAS, SE EFECTUA EL TRASLADO DE LOS TRES DETENIDOS A LA UNIDAD 28 SIN NOVEDAD.</t>
  </si>
  <si>
    <t>AR1264</t>
  </si>
  <si>
    <t>INFORMO QUE EN EL DIA DE LA FECHA SIENDO LAS 03:30 HS LOCAL SE PRODUCE EL EMBARQUE DE MMPP COMPUESTO POR UN BULTO DE 34,350 KG DE 0,47X0,20X0,36 CM DE CLASE 7, MATERIAL RADIOCTIVO , MERCADERIA AMPARADA POR GUIA Nº 9371327-0, EN EL VUELO DE LA EMPRESA AUSTRAL Nº 2882 DESPEGANDO A LAS 03:10 HS CON DESTINO LA CIUDAD AUTONOMA DE BUENOS AIRES SIN NOVEDAD</t>
  </si>
  <si>
    <t>DUFFI, MARIA VIRGINIA</t>
  </si>
  <si>
    <t>ROBO DE CERCA PERIMETRAL</t>
  </si>
  <si>
    <t>LINDANTE CON LA LOCALIDAD DE DELFIN GALLO</t>
  </si>
  <si>
    <t>SECTOR SUDESTE DEL PERIMETRO</t>
  </si>
  <si>
    <t>EN EL DIA DE LA FECHA A HS 06.20 DURANTE RECORRIDO PERIMETRAL DE RUTINA REALIZADO POR EL OF. PPAL. VALDEZ ROQUE Y OF. MY. WALTER FERREYRA, SE DETECTO EL FALTANTE DE TRES PAÑOS DE TELA METALICA ROMBOIDAL DE TRES METROS CADA UNO APROXIMADAMENTE EN EL SECTOR SUDESTE DEL AEROPUERTO. SE PROCEDIO A REALIZAR UN RASTRILLAJE POR LA ZONA EN BUSCA DE INDICIOS QUE AYUDEN A ESCLARECER EL HECHO, ARROJANDO ESTOS RESULTADO NEGATIVO.SE REALIZA COMUNICACION TELEFONICA CON EL JUZGADO DE TURNO QUIEN ORDENA SE LABREN LAS ACTUACIONES DE RIGOR CON SU POSTERIOR ELEVACION.</t>
  </si>
  <si>
    <t>FISCALIA NACIONAL EN LO CORRECCIONAL Nº 4</t>
  </si>
  <si>
    <t>DRA. VIVIANA MARCELA SAA</t>
  </si>
  <si>
    <t>PRIMER PISO DE ESTE AEROPUERTO</t>
  </si>
  <si>
    <t>SIENDO APROXIMADAMENTE 07:45 HORAS DEL DÍA DE LA FECHA, SE RECIBE UNA COMUNICACIÓN POR PARTE DEL OF. KADY JORGE, ENCARGADO DEL PREEMBARQUE NACIONAL, QUIEN SE ENCONTRABA CUMPLIENDO SU ACTIVIDAD EN DICHO PUNTO DE INSPECCION, INFORMANDO QUE SIENDO APROXIMADAMENTE LAS 06:50, EN MOMENTOS DE ENCONTRARSE EL OFICIAL LINARES FEDERICO, CUMPLIENDO SUS FUNCIONES DE CONTROL DE PASAJEROS, SE LE ACERCA UNA PERSONA DE SEXO MASCULINO, QUE POR SU ACENTO, SERIA DE NACIONALIDAD FRANCESA, QUIEN CON SU ESCASO CASTELLANO, LE CONSULTÓ SI SE HABÍA ENCONTRADO UNA MOCHILA DE COLOR NEGRA, A LO QUE EL OFICIAL LE RESPONDIÓ QUE ALLÍ NO HABÍA QUEDADO NINGÚN OBJETO Y DADO QUE SU VUELO ESTABA PRONTO A PARTIR, SE DIRIGIÓ RÁPIDAMENTE HACIA LAS PUERTAS DE EMBARQUE, NO PUDIENDO, EL PERSONAL POLICIAL, RECABAR NINGÚN TIPO DATOS EN LO QUE SE REFIERE A SU NOMBRE NI VUELO, DADO EL GRAN CAUDAL DE PASAJEROS QUE SE ENCONTRABAN INGRESANDO A DICHO SECTOR. SE COMISIONA A LOS OFICIALES LINARES Y KADY HACIA LA SALA DE VIDEO PARA CONSTATAR LO SUCEDIDO. DICHA DILIGENCIA, DA COMO RESULTADO SEGÚN LAS IMÁGENES APORTADAS, QUE OTRO PASAJERO RETIRA EL BOLSO DESCRITO POR EL DAMNIFICADO, NO PERCATÁNDOSE EL MISMO DE ELLO. SIENDO LAS 11:40 HORAS SE EFECTÚA COMUNICACIÓN CON LA JUDICATURA INTERVINIENTE, QUIEN DISPONE: SE ENVIÉ REGISTRO FÍLMICO, TESTIMONIAL AL PERSONAL INTERVINIENTE, CIERRE Y ELEVACIÓN DE ACTUACIONES.-</t>
  </si>
  <si>
    <t>EL EXPONENTE MANIFIESTA QUE PERDIO SU PERMISO PERSONAL AEROPORTUARIO NRO. 309560 CON LOS SECTORES 3-4-5- Y CON VIGENCIA AL 12 JUNIO 2010 NO PUDIENDO PRECISAR EL DIA Y LUGAR DEL EXTRAVIO</t>
  </si>
  <si>
    <t>NACIONAL DE 1º INSTANCIA EN LO CRIMINAL Y CORRECCIONAL FEDERAL Nº 10</t>
  </si>
  <si>
    <t>Secretaria N 20</t>
  </si>
  <si>
    <t>DR.GUSTAVO ENRIQUE CRISTOFANI</t>
  </si>
  <si>
    <t>PUNTO DE INSPECCION, MAQUINAS RAYOS X</t>
  </si>
  <si>
    <t>PREEMBARQUE NACIONAL TERMINAL TRES</t>
  </si>
  <si>
    <t>SIENDO LAS 08:50 HS EN EL MOMENTO DE REALIZARSE UN CONTROL DE RUTINA EN EL PREEMBARQUE NACIONAL DENOMINADO TERMINAL III, EL OFICIAL LUIS GABRIEL CAMARASA, DETECTA EN EL BOLSILLO IZQUIERDO DE LA CAMPERA DEPORTIVA DE UN PASAJERO, UNA BOLSITA DE NYLON COLOR NEGRA Y AL PREGUNTARLE SOBRE SU CONTENIDO ESTE MANIFIESTA QUE ES MARIHUANA. SE SOLICITARON TESTIGOS HABILES, QUIENES PRESENCIARON TODO EL PROCEDIMIENTO. EL AUXILIAR EN CRIMINALISTICA JONATHAN ABELLAN EFECTUO LA PRUEBA DE CAMPO SOBRE LA SUSTANCIA DANDO COMO RESULTADO ORIENTATIVO POSITIVO PARA LA SUSTANCIA MARIHUANA. POSTERIORMENTE SE REALIZÓ EL PESAJE DANDO UN TOTAL DE VEINTISEIS COMA UNO GRAMOS CON ENVOLTORIO. SE SECUESTRARON EFECTOS PERSONALES. EL DR. CRISTOFANI, A CARGO DE LA SECRETARIA NRO. 20 DEL JUZGADO FEDERAL NRO. 10, FUE ANOTICIADO DEL HECHO, DISPONIENDO ACTUACIONES DE RIGOR SEGUN PU Nº 2150 AL NO TENER NINGUNA MEDIDA QUE IMPIDA LA LIBRE CIRCULACION EL IMPUTADO SE RETIRA DE SEDE POLICIAL , CONFORME CON LOS TRATOS RECIBIDOS</t>
  </si>
  <si>
    <t>AR2872</t>
  </si>
  <si>
    <t>DR. GARCILAZO CARLOS RAUL</t>
  </si>
  <si>
    <t>SAN MARTIN DE LOS ANDES PROVINCIA DE NEUQUEN</t>
  </si>
  <si>
    <t>DE TAREAS DE RECOLECCIÓN DE INFORMACIÓN SE PUDO OBSERVAR UNA PRESUNTA COMISIÓN DE DELITO EN EL ÁMBITO DE JURISDICCIÓN DE ESTA FUERZA DE SEGURIDAD, MAS PRECISAMENTE EN EL HALL PUBLICO DE LA TERMINAL AÉREA DE SAN MARTÍN DE LOS ANDES PCIA. DE NEUQUÉN, DONDE PODRÍA EXISTIR UNA INFRACCIÓN A LA LEY DE PATRIMONIO CULTURAL. DETERMINADA POR LA VENTA DE PRODUCTOS Y SUBPRODUCTOS PROVENIENTES DE YACIMIENTOS ARQUEOLÓGICOS Y PALEONTOLÓGICOS NACIONALES E INTERNACIONALES. COMO CONSECUENCIA DE TODO ELLO, ESTA U O C N Y D C DE LA PATAGONIA, REALIZO Y ELEVO AL JUZGADO DE JURISDICCIÓN UN SUMARIO PREVENTIVO INFORMANDO LAS NOVEDADES MENCIONADAS PRECEDENTEMENTE.</t>
  </si>
  <si>
    <t>CAEIRO, Susana</t>
  </si>
  <si>
    <t>114/10</t>
  </si>
  <si>
    <t>SIENDO LAS 14:50 HS. DEL DÍA DE LA FECHA, SE HIZO ENTREGA EN SEDE DEL JUZGADO FEDERAL, LA PREVENCION SUMARIA DE REFERENCIA, DICHA INSTANCIA MEDIANTE NOTA DE RIGOR Y POR DISPOCICION DE S.S., QUE CONSIDERÓ QUE EL HECHO PREVENIDO NO ATRAE LA COMPETENCIA DE EXEPCIÓN, ORDENÓ DERIVAR LAS ACTUACIONES A SEDE DE LA UNIDAD JUDICIAL NRO. 17 DEPENDIENTE DEL MINISTERIO PUBLICO FISCAL DE LA PROVINCIA DE CORDOBA, SIENDO RECEPCIONADO POR ESA A LAS 15:40 HORAS APROXIMADAMENTE D.R.I.C.A. - PARTE RELACIONADO CON CBA_2010_2095_PU PERO NO FUE AMPILADO EN ESTE YA QUE EL DIA 12/04 EN QUE SE ELEVO EL 2095 NO SE ENCONTRABA EN PENDIENTES DE VERIFICACION A PESAR DE EMITIRSE EL 09/04. D.R.I.C.A. - AMPLIACION CBA_2010_2218_PR, SE RECEPCIONA OFICIO JUDICIAL DE FECHA 13 DE ABRIL DEL CORRIENTE AÑO ELEVADO AL SR. DIRECTOR DE LA DIRECCION SUPERIOR DE POLICIA AEROPORTUARIA -SUB DE ASUNTOS JURIDICOS ENVIADO SEGUN CORREO AEROPORTUARIO N° 1111 RGHO 122030 ABR 2010 EN EL CUAL SE SOLICITA SE CONTEMPLE LA POSIBILIDAD DE AFECTAR PERSONAL A TAREAS INVESTIGATIVAS EN RELACION AL HECHO QUE SE INVESTIGA</t>
  </si>
  <si>
    <t>2147/10</t>
  </si>
  <si>
    <t>SIENDO LAS 18:00 HS, SEGÚN LO DISPUESTO POR LA JUDICATURA INTERVINIENTE, YA OBTENIDOS LOS RESULTADOS DE REINCIDENCIA SIENDO ESTOS NEGATIVOS, Y AL NO MEDIAR IMPEDIMENTO LEGAL ALGUNO, SE PROCEDE A LA LIBERACION DEL SR. CARLOS YAMIL NUÑEZ DE ESTA GUARDIA PREVENTIVA POR SUS PROPIOS MEDIOS, CONFORME A LOS TRATOS RECIBIDOS, SIN NOVEDAD.</t>
  </si>
  <si>
    <t>FRIAS, JORGE MARIANO</t>
  </si>
  <si>
    <t>195/2010</t>
  </si>
  <si>
    <t>PORTON DEL ALAMBRADO PERIMETRAL,SECTOR DE RODAJE SUR, LINDANTE AL B 292 VIVIENDAS, A UNOS 200 MTS CABECERA SUR 01</t>
  </si>
  <si>
    <t>SIENDO LAS 15.30 HORAS APROXIMADAMENTE SE RECIBE DENUNCIA POR PERSONAL DE MANTENIMIENTO DE AEROPUERTOS ARGENTINA 2000, EN LA PERSONA DEL SR. MAURICIO PESCE, QUIEN INFORMA QUE EN RECORRIDO PERIMETRAL OBSERVA ROTURA DE LA TELA DEL PORTON UBICADO EN EL SECTOR DE RODAJE SUR, LINDANTE AL BARRIO 292 VIVIENDAS, A DOSCIENTOS METROS DE LA CABECERA SUR 01. POSTERIORMENTE SE REALIZA COMUNICACION TELEFONICA CON EL JUZGADO FEDERAL EN TURNO, A CARGO DEL DR. ESTEBAN MAQUEDA, SIENDO ATENDIDO POR SU SECRETARIO EL DR. MARIANO FRIAS, QUIEN DISPONE SE INICEN LAS ACTUACIONES DE RIGOR Y POSTERIORMENTE SE ELEVE PARA LA PROSECUCION DE LAS MISMAS. D.R.I.C.A. - AMPLIACION LUI_2010_2186_PU NUMERO DE CAUSA OTORGADA POR JUZGADO INTERVIMIENTE CAUSA N 195/2010</t>
  </si>
  <si>
    <t>MARTIN JOSE MIGUEL DE URRIETA</t>
  </si>
  <si>
    <t>AMENAZAS Y LESIONES LEVES</t>
  </si>
  <si>
    <t>CONTROL DE RED LINCE</t>
  </si>
  <si>
    <t>SE NOTIFICA UNA PERSONA DE SEXO FEMENINO QUIEN RESULTA SER Y LLAMARSE CISNEROS PATRICIA VANESA QUE SE IDENTIFICA CON DNI Nº 27.383.488, DE NACIONALIDAD ARGENTINA SOBRE QUIEN RECAE UNA SOLICITUD DE PARADERO SEGUN CONSTA EN EL SISTEMA DE RED LINCE ,BAJO REGISTRO N Nº 245652 EN TRAMITE POR ANTE EL JUZGADO CIVIL, COMERCIAL,Y LABORAL CRIMINAL,CORRECCIONAL,MENORES EL CALAFATE PROVINCIA DE SANTA CRUZ QUE EN MERITO A LO EXPUESTO SE NOTIFICA A LA CIUDADANA CISNEROS QUE DEBERA FIJAR DOMICILIO REAL A LOS FINES QUE LE HARAN SABER , FIJANDO COMO DOMICILIO REAL LA CALLE MOSCONI Nº 1063 DE LA CIUDAD DE RIO GRANDE PROVINCIA DE TIERRA DEL FUEGO.</t>
  </si>
  <si>
    <t>OFICINA CORREO ARGENTINO</t>
  </si>
  <si>
    <t>MARIA DEL CARMEN VARGA, AV. CORRIENTE 2505, BUENOS AIRES, ARGENTINA</t>
  </si>
  <si>
    <t>ERRUKINE SANCHEZ, AV. ZUBEROA NRO 52, PISO 5 D ó O, BILBAO, ESPAÑA</t>
  </si>
  <si>
    <t>SIENDO LA HORA Y DIA INDICADO MOMENTOS EN QUE LOS OFICIALES SCHIMDT, CANGINI Y FARIAS, SE ENCONTRABAN CUMPLIENDO CON LAS FUNCIONES DE POLICIA ADICIONAL REALIZANDO UN ESCANEO DEL CORREO DESPACHADO PARA EL VUELO DE MENCION, MOMENTO EN QUE DIVISAN EN LA PANTALLA DE LA MAQUINA DE RX, DENTRO DE UNA SACA DE CORREO SUSTANCIA ORGANICA, QUE ANOTICIADO EL JEFE DE TURNO, CONVOCA LA PRESENCIA DE LA SECCION CANES, EN LA PERSONA DE LOS OFICIALES PERRONE Y ARGAÑARAS, QUE UNA VEZ EN EL SECTOR SE APERTURA LA SACA Y SE SEPARA EL CONTENIDO IDENTIFICANDO EL CAN ANTINARCOTICOS DE NOMBRE CORI COMO SOSPECHOSA UNA BOLSA DE COLOR AZUL CON LA INSCRIPCION CORREO ARGENTINO, LUEGO SE SOMETE A CONTROL DE RX COMPROBANDO QUE LA BOLSA DE COLOR AZUL ERA LA QUE CONTENIA LA SUSTANCIA ORGANICA. LA CUAL UNA VEZ APERTURADA DEJA VER TRES CORPIÑOS LOS CUALES POSEIAN DOS PAQUETES CADA UNO, UNO DENTRO DE CADA UNA DE SUS TAZAS, SIENDO UN TOTAL DE SEIS PAQUETES, LOS QUE SOMETIDOS A REACTIVO DE CAMPO PARA COCAINA ARROJAN RESULATADO POSITIVO, ARROJANDO UN PESAJE DE, PAQUETE A 40 GRAMOS, PAQUETE B 38 GRAMOS, PAQUETE C 38 GRAMOS, PAQUETE D 38 GRAMOS, PAQUETE E 38 GRAMOS Y PAQUETE F 38 GRAMOS, SE DEJA CONSTANCIA QUE EL CONTENIDO RESTANTE DE LA SACA DE CORREO CONTINUO CON SU VIAJE POR NO PRESENTAR DUDAS.PTO.-</t>
  </si>
  <si>
    <t>184/10</t>
  </si>
  <si>
    <t>SE PROCEDE A LA RETENCION DE CUATRO SACAS DEL CORREO OFICIAL SEGÚN CONSTA EN ACTA DE RETENCION DE CARGAS Nº 177/10, QUE ORIGINA LA PREVENCION SUMARIA Nº 039/10, LA PRIMERA CON MARBETE Nº SLA0168975E636300NQN , PRECINTO Nº Y752236, CON UN PESO DECLARADO DE 3,00 KGS, CON DESTINO A LA CIUDAD DE NEUQUÉN, LA SEGUNDA CON MARBETE Nº SLA0163345D555800VAE, PRECINTO Nº C485456, CON DESTINO A LA CIUDAD DE USHUAIA CON UN PESO 8,700 KGS., LA TERCERA CON MARBETE Nº SLA0163730D555600CRD, PRECINTO Nº B034093, CON UN PESO DECLARADO DE 4,300 KGS, CON DESTINO A LA CIUDAD DE COMODORO RIVADAVIA Y LA CUARTA CON MARBETE Nº SLA0170692E606000BHI , PRECINTO N º C485427, CON DESTINO A LA CIUDAD DE BAHÍA BLANCA, CON UN PESO DECLARADO DE 8,900 KGS.- AMPARADAS EN GUIA AEREA: Nº 9342510-2 , LAS QUE SERIAN DESPACHADAS ATRAVES DE LA EMPRESA DE CARGA AEREA JET PAQ. LAS RETENCIONES SE RALIZAN ANTE PRESUNCION DE INFRACCION A LAS LEYES 22.4154 Y/O 23.737, QUEDANDO LA MISMA CERRADAS Y PRECINTADAS EN GUARDA EN ESTA UOSP. SE COMUNICO TELEFONICAMENTE AL JUZGADO INTERVINIENTE Y LAS APERTURAS SE REALIZARAN EN PRESENCIA DEL PERSONAL DEL CORREO OFICIAL. SEGÚN AMPLIACION DEL PU 2163 SE PROCEDE A LA APERTURA DE CUATRO SACAS LA PRIMERA SACA IDENTIFICADA CON MARBETE SLA0168975E636300NQN, PRECINTO Y752236, CON UN PESO DECLARADO DE 3,00 KGS., CON DESTINO LA CIUDAD DE NEUQUEN, CONTIENE UNA PIEZA IDENTIFICADA COMO EP666278025AR, RTTE. FERMINA MAMANI, CON DOMICILIO EN CALLE FELIPE HEREDIA Nº 166, Bº 18 DE NOVIEMBRE, PALPALA PROV. DE JUJUY, DEST. SR. CONDORI JACINTO, CON DOMICILIO EN CALLE CHILE Nº 179, LA MARQUE PROV. DE RIO NEGRO, CP. 8363, LA CUAL QUEDA RETENIDA. LA SEGUNDA SACA MARBETE SLA0163345D555800VAE, PRECINTO C485456, CON UN PESO DECLARADO DE 8,700 KGS. CON DESTINO LA CIUDAD DE USHUAIA, CONTIENE DOS PIEZAS POSTALES, LA PRIMERA IDENTIFICADA COMO EP657331037AR, RTTE. JUAN QUIQUINTE CON DOMICILIO EN CALLE LAVALLE Nº 643 CAPITAL PROV. DE SALTA, CP. 4400, DEST. GRACIELA DEL MILAGRO MONTERO, CON DOMICILIO EN CALLE YOWEN Nº 2163, USHUAIA PROV. DE TIERRA DEL FUEGO, CP. 9410, LA CUAL QUEDA RETENIDA. LA SEGUNDA IDENTIFICADA COMO EP675749690AR, RTTE CARMEN SEVERINA CALA, CON DOMICILIO EN CALLE HUMBERTO AGÜERO Nº 265, Bº CORONEL ARIAS, CAPITAL PROV. DE JUJUY, CP. 4600, DEST. ROSARIO NATALIA CALA, CON DOMICILIO EN CALLE KUANIP Nº 2022, Bº LATINOAMERICANO, PROV. DE TIERRA DEL FUEGO, USHUAIA, CP. 9410, LA CUAL ES ENTREGADA PARA SU REDESPACHO POR NO SER DE INTERES A LA CAUSA. LA TERCERA SACA, MARBETE SLA0163730D555600CRD, PRECINTO Nº B034093, CON UN PESO DECLARADO DE 4,300 KGS., CON DESTINO LA CIUDAD DE COMODORO RIVADAVIA, CONTIENE DOS PIEZAS POSTALES, LA PRIMERA IDENTIFICADA COMO EP6700303804AR, RTTE. HUGO RAUL FERNANDEZ, CON DOMICILIO EN CALLE GORRITI Nº 54, TARTAGAL PROV. DE SALTA, CP. 4560, DEST. DAMIAN EZEQUIEL FERNANDEZ, CON DOMICILIO EN CALLE ANIBAL FORCALA Nº 529, COMODORO RIVADAVIA, PROV. DE CHUBUT, CP. 9000, LA CUAL ES ENTREGADA PARA SU REDESPACHO POR NO SER DE INTERES A LA CAUSA. LA SEGUNDA PIEZA IDENTIFICADA COMO EP679570762AR, RTTE. HILDA G. RAMOS, CON DOMICILIO EN AV. SARMIENTO ESQUINA MITRE, Bº 19 DE DICIEMBRE, AGUARAY PROV. DE SALTA, CP. 4566, DEST. MATIAS I. RAMOS, CON DOMICILIO EN CALLE SAN MARTIN Nº 180, COMODORO RIVADAVIA, PROV. DE CHUBUT, CP. 9000, (RETIRA EN SUCURSAL CORREO), LA CUAL ES ENTREGADA PARA SU REDESPACHO POR NO SER DE INTERES A LA CAUSA, LA CUARTA SACA SLA0170692E606000BHI, PERCINTO C485427, CON UN PESO DECLARADO DE 8,900 KGS. CON DEST. LA CIUDAD DE BAHIA BLANCA, CONTIENE UNA PIEZA POSTAL IDENTIFICADA COMO EP691905861AR, RTTE. SOLEDAD SANTOS, CON DOMICILIO EN CALLE JUAN BAUTISTA ALBERDI Nº 377, LA QUIACA PROV. DE JUJUY, CP. 4650, DEST. JUAN CARLOS GASPAR, CON DOMICILIO EN LOCALIDAD DE PEDRO LURO PROV. DE BS. AS., LA CUAL QUEDA RETENIDA. LAS RETENCIONES SE REALIZAN ANTE PRESUNCION DE QUE CONTENGAN ELEMENTOS EN INFRACCION A LAS LEYES 22.415 Y/O 23.737. QUEDANDO LAS MISMAS CERRADAS Y EN GUARDA EN ESTA UOSP. SE COMUNICO TELEFONICANMENTE CON EL JUZGADO INTERVINIENTE Y LAS APERTURAS SE REALIZARAN CON LA AUTORIZACION DEL MAGISTRADO ACTUANTE. SEGÚN AMPLIACION PU 2854 SE PROCEDE A LA APERTURA DE TRES ENCOMIENDAS DEL CORREO OFICIAL SEGUN ACTA DE APERTURA DE CARGAS Nº 238/10, CORRESPONDIENTE A PREVENCION SUMARIA 039/10, EN VIRTUD DE LO ORDENADO MEDIANTE OFICIO JUDICIAL Nº 1000/10 DEL MAGISTRADO ACTUANTE, Y EN PRESENCIA DE UN TESTIGO HABIL, LA PRIMERA ENCOMIENDA EP691905861AR, RTTE. SOLEDAD SANTOS, CALLE JUAN BAUTISTA ALBERDI Nº 377, LA QUIACA PROV. DE JUJUY, CP. 4650, DEST. JUAN CARLOS GASPAR, PEDRO LURO C.P. 8148, BS. AS., CONTIENE: 15 PARES DE ZAPATILLAS DE DIFERENTES COLOR Y NUMEROS, Y 33 POMADAS MARCA MENTISAN DE INDUSTRIA BOLIVIANA. LA SEGUNDA ENCOMIENDA EP666278025AR, RTTE. SRA FERMINA MAMANI, CALLE FELIPE HEREDIA 166, BARRIO 13 DE NOVIEMBRE, PALPALA, PROV. DE JUJUY, Y DEST. SR. CONDORI JACINTO, CALLE CHILE 179, LA MARQUE, PROV. DE RIO NEGRO, C.P. 8363, CONTIENE: 7 PAQUETES DE HOJAS DE COCA, CON UN PESO TOTAL DE 1.730 GRS. Y LA TERCER ENCOMIENDA EP657331037AR, RTTE. SR. JUAN QUIQUINTE, LAVALLE 643, SALTA, C.P. 4400, Y DEST. SRA. GRACIELA DEL MILAGRO MONTERO, YOWEN 2163, C.P. 9410, USHUAIA, TIERRA DEL FUEGO, CONTIENE: 4 PAQUETES DE HOJAS DE COCA, CON UN PESO TOTAL DE 1.920 GRS. LAS ENCOMIENDAS SERAN PUESTAS A DISPOSICION DE LA ADUANA DE SALTA POR SUPUESTA INFRACCION A LA LEY 22.415 DEL CODIGO ADUANERO Y LAS ACTUACIONES SERAN REMITIDAS A SEDE JUDICIAL.</t>
  </si>
  <si>
    <t>FISCALIA DE INSTRUCCION Nº 4</t>
  </si>
  <si>
    <t>DR. MARIO HERNAN DOMINGUEZ</t>
  </si>
  <si>
    <t>EQUIPAJE DESPACHADO A BODEGA DESDE USHUAIA</t>
  </si>
  <si>
    <t>EL DÍA 08 DEL CORRIENTE MES Y AÑO EN EL VUELO Nº AR 1857 DE LA EMPRESA AEROLÍNEAS ARGENTINAS ARRIBA LA DENUNCIANTE A ESTE AEROPUERTO, SECTOR ARRIBOS A2, RECIBIENDO SU EQUIPAJE LUEGO DE ESPERAR TREINTA MINUTOS EN LA CINTA DEL ARRIBO ANTES MENCIONADO. UNA VEZ RECIBIDO EL EQUIPAJE QUE CONSISTÍA EN UNA VALIJA TIPO CARRY ON, DE COLOR AZUL, LA CUAL TENIA COLOCADO MARBETE Nº AR 75-92-15, SE RETIRA DEL ARRIBO DIRIGIÉNDOSE A SU HOGAR, DONDE SE PERCATA DEL FALTANTE DEL CANDADO METÁLICO CON CODIFICACIÓN NUMÉRICA QUE HABÍA COLOCADO ENTRE LAS MANILLAS DE LOS CIERRES METÁLICOS DEL EQUIPAJE, FALTÁNDOLE EN EL INTERIOR DEL EQUIPAJE LOS ELEMENTOS QUE SE DESCRIBEN POSTERIORMENTE EN ESTE PARTE URGENTE. EN EL DÍA DE LA FECHA SE HACE PRESENTE EN ESTA GUARDIA DE PREVENCIÓN A FIN DE RADICAR LA DENUNCIA DEL HECHO</t>
  </si>
  <si>
    <t>AR1857</t>
  </si>
  <si>
    <t>GUSTAVO ENRIQUE CRISTOFANI</t>
  </si>
  <si>
    <t>SIENDO LA HORA Y FECHA CONSIGNADA ANTERIOMENTE, EN MOMENTOS EN QUE EL OF. MIGUEL PIÑEIRO SE ENCONTRABA CHEQUEANDO A LOS PASAJEROS DEL VUELO ANTES MENCIONADO, AL PASAR UN MASCULINO SE LE ACTIVA LA ALARMA DEL ARCO DETECTOR DE METALES, POR LO CUAL EL OFICIAL PROCEDE A CHEQUEARLO MANUALMENTE Y A LA ALTURA DEL BOLSILLO LATERAL DERECHO DEL PANTALON NOTA UN BULTO, SEGUIDAMENTE LE SOLICITA QUE EXTRAIGA EL CONTENIDO DEL BOLSILLO Y EL PASAJERO EXTRAE UNA BOLSA DE NYLON TRASPARENTE Y AL PREGUNTARLE AL PASAJERO ACERCA DEL CONTENIDO EL MISMO MANIFESTO ES MARIHUANA, SEGUIDAMENTE EL OF. PIÑEIRO LE INFORMA LA NOVEDAD AL OF. DIEGUEZ, ENCARGADO DE PUESTO, QUIEN SOLICITA LA PRESENCIA DE DOS TESTIGOS E INFORMA LA NOVEDAD AL OF. BARRERA, JEFE DE TURNO. SEGUIDAMENTE SE HACE PRESENTE EN EL PREEMBARQUE EL OF. ABELLAN, AUX EN CRIMINALISTICA, QUIEN REALIZA EL CORRESPONDIENTE REACTIVO DE CAMPO PARA MARIHUANA, ARROJANDO ESTE RESULTADO POSITIVO. ACTO SEGUIDO A FIN DE CONTINUAR CON LAS DILIGENCIAS DE RIGOR SE TRASLADAN A TODOS LOS INTERVINIETNES A LA GUARDIA DE PREVENCION,SIENDO LAS 20:00 HS SE PROCEDE A ENTABLAR COMUNICACION CON EL DR. CRISTOFANI, QUIEN DISPONE SE REALICEN LAS DILIGENCIAS DE RIGOR Y DE NO MEDIAR IMPEDIMENTOS LEGALES SE PROCEDA A LA SOLTURA DEL IMPUTADO. SEGUN PU 2162 SIENDO LAS 02.45 SE PROCEDE A LA LIBERACION DEL DETENIDO POR ORDEN DE LA JUDICATURA ACTUANTE POR NO PRESENTAR IMPEDIMENTO LEGAL.</t>
  </si>
  <si>
    <t>TENT. CONT. ESTUPEFACIENTES</t>
  </si>
  <si>
    <t>PATIO DE VALIJAS TERMINAL B</t>
  </si>
  <si>
    <t>QUE SIENDO LA HORA INDICADA MIENTRAS SE CONTROLABAN LOS EQUIPAJES DESPACHADOS A BODEGA POR LOS PASAJEROS DEL VUELO ANTES MENCIONADO, PERSONAL POLICIAL OBSERVA POR MEDIO DE LAS IMÁGENES DE LA MAQUINA DE RAYOS X QUE EN EL INTERIOR DE UNA CAJA DE CARTÓN RECTANGULAR DE MEDIANAS DIMENSIONES DENOMINADA CAJA I - COMO ASI TAMBIEN EN UNA SEGUNDA CAJA DE CARTON EN FORMA DE CUBO DE GRANDES DIMENSIONES DENOMINADA CAJA II - LA EXISTENCIA DE UNA SUSTANCIA DEL TIPO ORGÁNICA, SIN PRECISAR DE QUE ELEMENTO SE TRATABA. POR TAL MOTIVO SE PROCEDE A LA BÚSQUEDA DEL PASAJERO A QUIEN SE LO IDENTIFICA MEDIANTE SU PASAPORTE Y QUIEN RECONOCE COMO DE SU PERTENENCIA DICHAS CAJAS. SEGUIDAMENTE SE LO TRASLADA HACIA EL TURNO DE PREVENCIÓN JUNTO CON LOS TESTIGOS, PERSONAL POLICIAL INTERVINIENTE Y LAS CAJAS EN CUESTIÓN. QUE LUEGO DE AUTORIZADA LA REQUISA, DE LA CUALES SE DESPRENDEN QUE LA DENOMINADA CAJA I CONTENÍA EN SU INTERIOR OCHO PAQUETES DE PLÁSTICO TRANSPARENTES SELLADOS AL VACÍO A LOS CUALES SE LOS DENOMINA COMO PAQUETE 1 AL PAQUETE 8 CONSTITUIDOS DE LA SIGUIENTE MANERA PAPEL CARBÓNICO Y POR DEBAJO DE ESTE UNA SUSTANCIA PULVERULENTA COLOR BLANCA EN TODOS LOS CASOS. QUE LUEGO SE TOMA EL PAQUETE 1 Y SE RETIRA UNA PEQUEÑA PORCIÓN DE LA SUSTANCIA A LA QUE SE LE REALIZA UNA PRUEBA DE CAMPO PARA COCAINA MARCA PEN TEST Y ARROJA RESULTADO POSITIVO. SEGUIDAMENTE SE TOMA LA DENOMINADA CAJA II DE LA CUAL SE OBTIENEN OCHO PAQUETES DE SIMILARES CARACTERÍSTICAS A LOS ANTES MENCIONADOS LOS CUALES SE DENOMINAN COMO PAQUETE 9 AL PAQUETE 16 RESPECTIVAMENTE. SEGUIDAMENTE SE EXTRAE UNA PEQUEÑA PORCIÓN DE LA SUSTANCIA HABIDA EN EL PAQUETE 9 Y SE LE REALIZA UNA PRUEBA DE CAMPO PARA COCAINA MARCA PEN TEST ARROJANDO RESULTADO POSITIVO. QUE LUEGO DE ELLO SE INFORMA AL JUZGADO EN TURNO SOBRE LOS RESULTADOS OBTENIDOS INDICANDO S.SA. SE REALICE PRUEBAS DE CAMPO PARA COCAINA A LA TOTALIDAD DE LOS PAQUETES HALLADOS, SE FORMALICE LA DETENCIÓN DEL PASAJERO, SE REALICEN LAS DILIGENCIAS DE RUTINA, SE INFORME A LA DIVISIÓN NARCOTRÁFICO Y DELITOS COMPLEJOS SOBRE LA INICIACION DE LA CAUSA, SE INFORME SOBRE LA DETENCIÓN DEL PASAJERO AL CONSULADO DE LA REPUBLICA DOMINICANA COMO ASÍ TAMBIÉN A LA FISCALÍA EN TURNO, SE TRASLADE AL DETENIDO HACIA EL HOSPITAL MADRE TERESA DE CALCUTA Y SE ELEVE TODO LO ACTUADO JUNTO A LA TOTALIDAD DE LOS SECUESTROS EL DÍA LUNES DOCE DEL CORRIENTE MES Y AÑO A PRIMERA HORA A SEDE JUDICIAL. SEGUN PU 2198 EN CUMPLIMIENTO A LO ORDENADO, SIENDO LAS 07:.30 HORAS DEL DIA 12/04/10 SE PROCEDIO A EFECTIVIZAR EL TRASLADO DEL DETENIDO EN AUTO A SEDE JUDICIAL</t>
  </si>
  <si>
    <t>AR-1160</t>
  </si>
  <si>
    <t>CAJERO AUTOMATICO HSBC</t>
  </si>
  <si>
    <t>QUE SIENDO LA FECHA INDICADA EL DENUNCIANTE ARRIBA A ESTA AEROESTACIÓN Y LUEGO DE FINALIZAR CON LOS TRAMITES CORRESPONDIENTES DE INGRESO AL TERRITORIO NACIONAL SE HACE PRESENTE EN EL CAJERO DE MENCIÓN DONDE LUEGO DE EXTRAER UNA SUMA DE DINERO SE RETIRA DE ESTE AEROPUERTO INTERNACIONAL DEJANDO SU TARJETA DE DEBITO OLVIDADA EN DICHO CAJERO AUTOMÁTICO. QUE AL DÍA SIGUIENTE SE PERCATA DEL OLVIDO DE LA TARJETA DE ANTES MENCIONADA QUE EL DÍA VEINTE SE COMUNICA TELEFÓNICAMENTE CON PERSONAL DEL BANCO PARA DENUNCIAR EL EXTRAVIO DE DICHA TARJETA DONDE LE INFORMAN QUE EL DÍA DIECISIETE SE HABÍAN REGISTRADO CUATRO EXTRACCIONES DE DINERO UNA POR 711, 61 PESOS ARGENTINOS, LA SEGUNDA POR 136 EUROS, LA TERCERA POR 136 EUROS Y LA CUARTA POR 79 EUROS. MANIFESTANDO EL DENUNCIANTE QUE SOLO LA PRIMERA EXTRACCIÓN HABÍA SIDO REALIZADA POR EL. POR TAL MOTIVO PERSONAL DE BANCO LE INDICA QUE REALICE LA CORRESPONDIENTE DENUNCIA. CUANDO EL PERSONAL POLICIAL PREGUNTA POR QUE NO REALIZO LA DENUNCIA CON ANTERIORIDAD DIJO QUE EN LA COMISARIA DONDE SE PRESENTO LE DIJERON QUE LA DEBIA REALIZAR EN SEDE AEROPORTUARIA,Y QUE LO PODIA HACER AL MOMENTO DE PARTIR DEL PAIS</t>
  </si>
  <si>
    <t>SE CONFECCIONA EL PRESENTE A EFECTOS DE INFORMAR QUE DE ACUERDO A LO SOLICITADO POR EL TITULAR DE LA SECRETARIA DE ESTADO DE DERECHOS HUMANOS, DE LA PROVINCIA DE SANTA CRUZ EN NOTA Nº 188/10, DE FECHA 09 DE ABRIL DE 2010, Y SIENDO LAS 02:45 HORAS DEL DIA DE LA FECHA ,SE PRESENTA EL SEÑOR DIEGO ESTEBAN ABOGADO DE LA SECRETARIA EN CUESTION Y LA OFIAL VALENZUELA DE LA POLICIA DE LA PROVINCIA DE SANTA CRUZ, CON LA CIUDADANA YOLANDA YESICA IVANA RIOS DNI 32.987.265 PROCEDIENDOSE A REALIZAR CUSTODIA Y EMBARQUE DE LA MENCIONADA CIUDADANA, EN VUELO DE LA EMPRESA LAN ARGENTINA Nº LA 4423 CON DESTINO A LA CIUDAD AUTONOMA DE BUENOS AIRES PARTIENDO DE ESTE AEROPUERTO A LAS 03:05 HORAS, SIENDO LAS 06:05 HORAS LA ESTIMA DE ARRIBO AL AEROPUERTO JORGE NEWBERY .</t>
  </si>
  <si>
    <t>LA 4423</t>
  </si>
  <si>
    <t>CIUDA AUTONOMA DE BUENOS AIRES</t>
  </si>
  <si>
    <t>INFRACCION ART. 189 DEL C.P.</t>
  </si>
  <si>
    <t>SECTOR RESTINGIDO TERMINAL A</t>
  </si>
  <si>
    <t>MIENTRAS PERSONAL POLICIAL EFECTUABA LA SUPERVISIÓN DEL CONTROL DE LOS EQUIPAJES DESPACHADOS A BODEGA DEL VUELO , REALIZADO POR PERSONAL DE LA EMPRESA HIG ASSISTANCE SERVICE ES INFORMADO POR DICHO PERSONAL QUE TENIAN UNA IMAGEN EN LA MAQUINA DE RAYOS "X" COMPATIBLE CON LA ESTRUCTURA DE UN ARMA DE FUEGO EN EL INTERIOR DE UNA VALIJA DEL TIPO CARRY-ON .POR LO QUE SE PROCECE A CONTACTAR A LA PASAJERA CUYO DATOS FIGURABAN EN EL MARBETE DEL EQUIPAJE ,LUEGO IDENTIFICAR A LA PASAJERA QUIEN RECONOCIERA QUE ESE EQUIPAJE COMO DE SU PERTENENCIA, PERSONAL INTERVINIENTE Y TESTIGOS SE DIRIGEN AL TURNO DE PREVENCIÓN A EFECTOS DE REALIZAR LA REQUISA DE LA VALIJA, PREVIA AUTORIZACIÓN DEL JUZGADO , SE HALLO UN ARMA DE FUEGO TIPO REVOLVER CON CUATRO MUNICIONES EN SU TAMBOR, SEGUIDAMENTE SE PONE EN CONOCIMIENTO AL JUZGADO SOBRE EL RESULTADO DE DICHA REQUISA DISPONIENDO S.SA. QUE SE PROCEDA A LA DETENCIÓN DE LA PASAJERA EN CARÁCTER DE INCOMUNICADA, SE REALICE CONSTATACIÓN DE ANTECEDENTES A TRAVÉS DE INTERPOL EZEIZA, INTERPOL CAVIA REGISTRO NACIONAL DE REINCIDENCIA Y ESTADÍSTICA CRIMINAL, SE CONSTANTE DOMICILIO SE REALICE ENTREGA DE LA MENOR AL PADRE, SE SOLICITE REGISTROS FÍLMICOS AL C.O.C. SOBRE LOS MOVIMIENTOS REALIZADOS POR LA CAUSANTE, SE RECIBA DECLARACIÓN TESTIMONIAL A TODOS LOS INTERVINIENTES Y SE ELEVE LO ACTUADO JUNTO CON LA DETENIDA A SEDE JUDICIAL EL DÍA LUNES DOCE DEL CORRIENTE MES Y AÑO.- SEGUN PU 2199 SIENDO LAS 7.30 HS DEL 12/4/2010 SE TRASLADO A LA DETENIDA HACIA LA SEDE JUDICIAL. PROMEDIANDO LAS 13 HS REGRESA LA DETENIDA JUNTAMENTE CON OFICIO ORDENANDO LA INMEDIATA LIBERTAD.</t>
  </si>
  <si>
    <t>JJ-8015</t>
  </si>
  <si>
    <t>D´AMORE JORGE</t>
  </si>
  <si>
    <t>CINTA TRANSPORTADORA DE EQUIPAJES NUMERO SIETE</t>
  </si>
  <si>
    <t>HALL DE ARRIBOS DE PASAJEROS</t>
  </si>
  <si>
    <t>QUE SIENDO LA FECHA Y HORA ANTEDICHA, LA DENUNCIANTE ARRIBO A ESTE MEDIO EN EL VUELO ANTES REFERIDO. QUE AL MOMENTO EN QUE RETIRO SU EQUIPAJE DE LA CINTA TRANSPORTADORA DE EQUIPAJES DE MENCION SE PERCATO DEL FALTANTE DEL CANDADO METALICO COLOCADO EN EL AEROPUERTO DE ORIGEN Y LA ROTURA DEL PESTILLO METALICO DEL CIERRE DE TIPO CREMALLERA. ASIMISMO AL APERTURAR LA VALIJA EN CUESTION SE PERCATO DEL FALTANTE DE VARIOS ELEMENTOS PERSONALES. POSTERIORMENTE RADICO RECLAMO ANTE LA EMPRESA IBERIA. NO POSEE CIBERTURA DE SEGUROS. NO ACREDITA LA PREEXISTENCIA DE LOS FALTANTES.-</t>
  </si>
  <si>
    <t>GINEBRA</t>
  </si>
  <si>
    <t>2156/10</t>
  </si>
  <si>
    <t>SIENDO LAS 02:45 HS SE PROCEDE A LA LIBERACION DEL DETENIDO. POR ORDEN DE LA JUDICATURA ACTUANTE, POR NO PRESENTAR IMPEDIMENTO LEGAL, SEGUN RESULTADO RECIBIDO POR PARTE DE LA DIRECCION NACIONAL DE REINCIDENCIA.</t>
  </si>
  <si>
    <t>2154/10</t>
  </si>
  <si>
    <t>PUERTA N° 1</t>
  </si>
  <si>
    <t>OFICINA DEL TURNO POLICIAL PREVENTIVO</t>
  </si>
  <si>
    <t>SE PROCEDE A LA APERTURA DE CUATRO SACAS COLECTORAS DEL CORREO OFICIAL SEGÚN CONSTA EN ACTA DE RETENCION Nº 0177/10, QUE ORIGINA PREVENCION SUMARIA 039/10, LA PRIMERA SACA IDENTIFICADA CON MARBETE SLA0168975E636300NQN, PRECINTO Y752236, CON UN PESO DECLARADO DE 3,00 KGS., CON DESTINO LA CIUDAD DE NEUQUEN, CONTIENE UNA PIEZA IDENTIFICADA COMO EP666278025AR, RTTE. FERMINA MAMANI, CON DOMICILIO EN CALLE FELIPE HEREDIA Nº 166, Bº 18 DE NOVIEMBRE, PALPALA PROV. DE JUJUY, DEST. SR. CONDORI JACINTO, CON DOMICILIO EN CALLE CHILE Nº 179, LA MARQUE PROV. DE RIO NEGRO, CP. 8363, LA CUAL QUEDA RETENIDA. LA SEGUNDA SACA MARBETE SLA0163345D555800VAE, PRECINTO C485456, CON UN PESO DECLARADO DE 8,700 KGS. CON DESTINO LA CIUDAD DE USHUAIA, CONTIENE DOS PIEZAS POSTALES, LA PRIMERA IDENTIFICADA COMO EP657331037AR, RTTE. JUAN QUIQUINTE CON DOMICILIO EN CALLE LAVALLE Nº 643 CAPITAL PROV. DE SALTA, CP. 4400, DEST. GRACIELA DEL MILAGRO MONTERO, CON DOMICILIO EN CALLE YOWEN Nº 2163, USHUAIA PROV. DE TIERRA DEL FUEGO, CP. 9410, LA CUAL QUEDA RETENIDA. LA SEGUNDA IDENTIFICADA COMO EP675749690AR, RTTE CARMEN SEVERINA CALA, CON DOMICILIO EN CALLE HUMBERTO AGÜERO Nº 265, Bº CORONEL ARIAS, CAPITAL PROV. DE JUJUY, CP. 4600, DEST. ROSARIO NATALIA CALA, CON DOMICILIO EN CALLE KUANIP Nº 2022, Bº LATINOAMERICANO, PROV. DE TIERRA DEL FUEGO, USHUAIA, CP. 9410, LA CUAL ES ENTREGADA PARA SU REDESPACHO POR NO SER DE INTERES A LA CAUSA. LA TERCERA SACA, MARBETE SLA0163730D555600CRD, PRECINTO Nº B034093, CON UN PESO DECLARADO DE 4,300 KGS., CON DESTINO LA CIUDAD DE COMODORO RIVADAVIA, CONTIENE DOS PIEZAS POSTALES, LA PRIMERA IDENTIFICADA COMO EP6700303804AR, RTTE. HUGO RAUL FERNANDEZ, CON DOMICILIO EN CALLE GORRITI Nº 54, TARTAGAL PROV. DE SALTA, CP. 4560, DEST. DAMIAN EZEQUIEL FERNANDEZ, CON DOMICILIO EN CALLE ANIBAL FORCALA Nº 529, COMODORO RIVADAVIA, PROV. DE CHUBUT, CP. 9000, LA CUAL ES ENTREGADA PARA SU REDESPACHO POR NO SER DE INTERES A LA CAUSA. LA SEGUNDA PIEZA IDENTIFICADA COMO EP679570762AR, RTTE. HILDA G. RAMOS, CON DOMICILIO EN AV. SARMIENTO ESQUINA MITRE, Bº 19 DE DICIEMBRE, AGUARAY PROV. DE SALTA, CP. 4566, DEST. MATIAS I. RAMOS, CON DOMICILIO EN CALLE SAN MARTIN Nº 180, COMODORO RIVADAVIA, PROV. DE CHUBUT, CP. 9000, (RETIRA EN SUCURSAL CORREO), LA CUAL ES ENTREGADA PARA SU REDESPACHO POR NO SER DE INTERES A LA CAUSA, LA CUARTA SACA SLA0170692E606000BHI, PERCINTO C485427, CON UN PESO DECLARADO DE 8,900 KGS. CON DEST. LA CIUDAD DE BAHIA BLANCA, CONTIENE UNA PIEZA POSTAL IDENTIFICADA COMO EP691905861AR, RTTE. SOLEDAD SANTOS, CON DOMICILIO EN CALLE JUAN BAUTISTA ALBERDI Nº 377, LA QUIACA PROV. DE JUJUY, CP. 4650, DEST. JUAN CARLOS GASPAR, CON DOMICILIO EN LOCALIDAD DE PEDRO LURO PROV. DE BS. AS., LA CUAL QUEDA RETENIDA. LAS RETENCIONES SE REALIZAN ANTE PRESUNCION DE QUE CONTENGAN ELEMENTOS EN INFRACCION A LAS LEYES 22.415 Y/O 23.737. QUEDANDO LAS MISMAS CERRADAS Y EN GUARDA EN ESTA UOSP. SE COMUNICO TELEFONICANMENTE CON EL JUZGADO INTERVINIENTE Y LAS APERTURAS SE REALIZARAN CON LA AUTORIZACION DEL MAGISTRADO ACTUANTE.</t>
  </si>
  <si>
    <t>COMPARECE ANTE ESTA OFICINA DE GUARDIA EL SR. YARADE PARA FORMULAR UNA DENUNCIA Y MANIFIESTA QUE EL DIA DE LA FECHA EMBARCO EN VUELO Nº 4110 DE LAN ARGENTINA A HS. 08:30 DESDE AEROPARQUE HACIA LA CIUDAD DE SALTA Y AL RETIRAR SU EQUIPAJE CON MARBEETE Nº 319284 DE LA CINTA TRANSPORTADORA DEL SALON DE ARRIBOS, ADVIRTIO EL FALTANTE DE UNA CAMARA DE FOTOS DIGITAL SIN ESTUCHE NI EMBALAJE. TAMBIEN MANIFIESTA QUE REALIZO EL PERTINENTE RECLAMO EN LA MENCIONADA EMPRESA AEREA Y QUIEN LO ATENDIO FUE EL SR. JAIME VILLARPANDO DNI Nº 27.585.268, ENCARGADO DEL SERVICIO DE EQUIPAJES DE LAN ARGENTINA. TAMBIEN MANIFIESTA QUE DESEA QUE ESTE HECHO SE INVESTIGADO.</t>
  </si>
  <si>
    <t>SE CONFECCIONA EL PRESENTE A LOS EFECTOS DE INFORMAR QUE EN EL DIA DE LA FECHA SIENDO LAS 17:00 HORAS LOCAL SE PRODUCE EL EMBARQUE DE LA SEÑORITA MONICA GRACIELA BECKER DNI Nº 32.983.631 DANDO CUMPLIMIENTO A LA NOTA DE COLABORACION Nº 192/10 EMANADA POR LA SECRETARIA DE ESTADO DE DERECHOS HUMANOS DE LA PROVINCIA DE SANTA CRUZ DE FECHA 09 DE ABRIL DEL CORRIENTE. ASIMISMO INFORMO QUE SE COORDINO CON EL OFICIAL AYUDANTE FERNANDO CARRIZO AUXILIAR DE TURNO DE LA UOSP AEROPARQUE, PARA QUE RECEPCIONE Y CUSTODIE A LA ANTES MENCIONADA HASTA SU EMBARQUE EN EL VUELO Nº 1708 DE AEROLINEAS ARGENTINAS CON DESTINO FINAL LA CIUDAD DE ROSARIO, PROVINCIA DE SANTA FE, DICHO VUELO PARTE A LAS 21:00 HOARAS ARRIBANDO 22:10 DONDE LA RECIBIRA LA DRA. ANALIA AUCIA, DE LA DELEGACION DE DERECHOS HUMANOS DE LA PROVINCIA DE SANTAS FE.</t>
  </si>
  <si>
    <t>SECRETARIA DE ESTADO DE DD.HH. DE SANTA CRUZ</t>
  </si>
  <si>
    <t>AERONAVE- GUARDIA DE PREVENCION</t>
  </si>
  <si>
    <t>SIENDO LAS 15:51 HORAS SE RECEPCIONA VIA FAX, PROCEDENTE DE LA UNIDAD OPERACIONAL RIO GALEGOS, LA NOTA 129/10 DE LA SECRETARIA DE ESTADO DE DERECHOS HUMANOS DE LA PROVINCIA DE SANTA CRUZ SOLICITANDO COLABORACION DE CUSTODIA Y TRASLADO, REFERENTE AL ARRIBO Y POSTERIOR EMBARQUE DE LA SEÑORA MONICA GRACIELA BECKER, DNI Nº 32.983.631, LA CUAL ARRIBO A ESTE AEROPUERTO METROPOLITANO EN EL VUELO Nº 1881 DE LA EMPRESA AEROLINEAS ARGENTINAS A LAS 19:50 HORAS, PROCEDENTE DE LA CIUDAD DE RIO GALLEGOS, DONDE FUE RECIBIDA Y TRASLADADA HASTA LA GUARDIA DE PREVENCION POR EL OF. RIJTER. MINUTOS MAS TARDE SE HICIERON PRESENTES LA DRA. ROSA ACOSTA DNI Nº 5.661.311, DE LA SECRETARIA DE DD HH DE LA PROV DE SANTA FE, LA DRA. ALEJANDRA GOMEZ DNI Nº 14.287.796 DE LA SECRETARIA DE DD HH DE LA CIUDAD DE SANTA FE, Y EL SR. RICARDO MAGGIO DNI Nº 14.873.485. COORDINADOR DE PLATAFORMA DE DD HH DE LA CIUDAD DE SANTA FE, QUIENES SE ENTREVISTARON CON LA SRA. BECKER. SIENDO LAS 20: 35, EL OF HADAD, ENCARGADO DE TURNO, ACOMPAÑO A LA SRA. BECKER HASTA EL SECTOR DE EMBARQUE, PARA ABORDAR EN EL VUELO Nº 1708 DE LA EMPRESA AEROLINEAS ARGENTINAS, CON DESTINO A LA CIUDAD DE ROSARIO, PROV. DE SANTA FE, PARTIENDO LA AERONAVE A LAS 21:15 HORAS SIN NOVEDAD.-</t>
  </si>
  <si>
    <t>DRA. MARIEL BORRUTO</t>
  </si>
  <si>
    <t>P.S.A. S/PREVENCION</t>
  </si>
  <si>
    <t>SIENDO LAS 19:18 HS DESPEGABA AEROLINEAS ARGENTINA, VUELO Nº 2849 INFORMA EL SEÑOR TERCERO ARIEL EDUARDO JEFE DE BASE DE AA2000 QUE RECIBIO UN LLAMADO DE LA TORRE DE CONTROL DANDO LA NOVEDAD QUE EL COPILOTO PINDEX GABRIEL L.P. 59617 DEL VUELO ANTES MENCIONADO AVISTO PERSONAS EN LA CERCANIA DE LA CABECERA 25. RAZON POR LA CUAL FUERON TRAIDOS HASTA LAS OFICINAS DE ESTA DEPENDENCIA POLICIAL, MIENTRAS AGUARDAN QUE SE PRESENTEN SUS PADRES A RETIRARLOS POR ORDEN DE SU SEÑORIA LA DRA. LILIAN HERRAEZ. SIENDO RETIRADO EL ULTIMO MENOR A LAS 21:30 HORAS.</t>
  </si>
  <si>
    <t>FEDERAL CRIMINAL Y CORRECCIONAL DE POSADAS</t>
  </si>
  <si>
    <t>DR. COROL</t>
  </si>
  <si>
    <t>GOMEZ VERONICA MARIELA S/INF. LEY 23.737.</t>
  </si>
  <si>
    <t>CONTIGUA A LA GUARDIA DE PREVENCION DE PSA</t>
  </si>
  <si>
    <t>OFICINA DE MIGRACIONES</t>
  </si>
  <si>
    <t>LA DNM REMITIO A ESTA DEPENDENCIA A LA CAUSANTE, EN VIRTUD A QUE LA MISMA PRESENTABA UNA ORDEN DE CAPTURA, SOLICITADA POR EL JUZGADO FEDERAL DE LA PROVINCIA DE MISIONES. POR TAL MOTIVO, UNA VEZ EFECTUADA SU DETENCION, SE PROCEDE A MANTENER COMUNICACION TELEFONICA CON EL JUZGADO SOLICITANTE, NO PUEDIENDO HACER EFECTIVA DICHA COMUNICACION. ATENTO A ELLO, SE PROCEDE A INFORMAR AL JUZGADO FEDERAL EN TURNO SOBRE LA DETENCION LLEVADA A CABO POR ESTA POLICIA EN SU JURISDICCION, EL CUAL AVALA LO ACTUADO Y DISPONE QUE SE INTENTE COMUNICACION CON EL JUZGADO SOLICITANTE Y EN CASO DE SER POSITIVO, SE RETRASMITA LO DISPUESTO POR LA JUDICATURA SOLICITANTE. SEGUIDAMENTE, SE LOGRA COMUNICACION TELEFONICA CON LA DRA. ALICIA BORCHES, TITULAR DE LA SECRETARIA NUMERO 02 DEL JUZGADO FEDERAL EN LO CRIMINAL Y CORRECCIONAL DE LA PROVINCIA DE MISIONES, LA CUAL INIDICO, PREVIA CONSULTA Y POR ASI HABERLO DISPUESTO S.SA, SE PROCEDA A LA LIBERACION DE LA CAUSANTE, Y SE LA NOTIFIQUE PARA QUE COMPAREZCA AL ASIENTO DE ESE JUZGADO LA PRIMER SEMANA DEL MES JUNIO DEL AÑO 2010 Y QUE LA MISMA CONTINUE CON SU ITINERARIO PROGRAMADO DE VIAJE. SEGUIDAMENTE SE INFORMO LO ACTUADO AL JUZGADO FEDERAL DE LOMAS DE ZAMORA Y POSTERIORMENTE LA CAUSANTE, UNA VEZ NOTIFICADA, SE RETIRA DE ESTA DEPENDENCIA POLICIAL CONFORME CON LOS TRATOS RECIBIDOS. PTO.-</t>
  </si>
  <si>
    <t>LA 1640</t>
  </si>
  <si>
    <t>DRA VILMA VALLE RUIZ DIAZ</t>
  </si>
  <si>
    <t>INFORMO QUE EN EL CONTROL DE EQUIPAJES DESPACHADOS A BODEGA SE DETECTA DOS VALIJAS QUE CONTIENEN EN SU INTERIOR MERCADERIA EN INFRACCION A LA LEY 22415 DE ADUANA ANTE EL HECHO SE IDENTIFICA A PROPIETARIO DE LAS VALIJAS Y SE CONFECCIONA ACTA DE INTERDICION DE DICHOS EQIPAJES ACTO SEGUIDO SE ENTREGA AL PERSONAL DE LA AFIP- DGA SR. CARLOS F. CASTRO LEGAJO NRO 27475-5 LOS EQUIPAJES Y LA MERCADERIA EN INFRACCION QUIEN PROCEDE AL SECUESTRO DE LAS MISMA MEDIANTE ACTA DE SECUESTRO NRO 002/10. VALOR ESTIMADO DE LA MERCADERIA SECUESTRADA ES DE MIL QUINIENTOS DOLARES ESTADOUNIDENSES</t>
  </si>
  <si>
    <t>PTO IGUAZU - MISIONES</t>
  </si>
  <si>
    <t>DR. BALLESTRERO NICOLAS</t>
  </si>
  <si>
    <t>RAMOS FABIO LEONARDO ATENTADO, RESISTENCIA A LA AUTORIDAD</t>
  </si>
  <si>
    <t>RAMOS FABIO LEONARDO, ATENTADO RESISTENCIA A LA AUTORIDAD</t>
  </si>
  <si>
    <t>acceso al estacionamiento</t>
  </si>
  <si>
    <t>EN EL DIA DE LA FECHA SE PROCEDIO A LA DEMORA DEL CIUDADANO RAMOS FAVIO LEONARDO. EN CIRCUNSTANCIAS DE DAR APOYO A PERSONAL DE LA DIRECCION PROVINCIAL DE TRANSPORTE MIENTRAS REALIZABA UN CONTROL DE RUTINA EN EL SECTOR DE ACCESO A ESTE AEROPUERTO (ESTACIONAMIENTO) SE INDIVIDUALIZO AL CAUSANTE CONDUCIENDO UN VEHICULO POR EL PLAYÓN UBICADO FRENTE A LA UNIDAD OPERACIONAL CON INTENCIONES DE CIRCULAR POR LA AVENIDA ACCESO ROQUE SÁNCHEZ GALDEANO. HABIENDO SIDO ADVERTIDO CON ANTERIORIDAD POR LA PREVENCION QUE EN SU APARENTE ESTADO DE EBRIEDAD NO PODRIA CONDUCIR. A LO QUE HIZO CASO OMISO POR LO QUE EN CIRCUNSTANCIA DE SER IDENTIFICADO DESCIENDE DEL VEHICULO INTENTANDO EVADIR AL PERSONAL POLICIAL QUIEN LO DEMORA Y TRASLADA AL TURNO. DANDO INTERVENCIÓN JUDICIAL EL SR. SECRETARIO DR. BALLESTRERO NICOLAS , POR DISPOSICIÓN DE SS. SE NOTIFIQUE DE DERECHOS Y GARANTIAS, Y SE LE REALICE PRECARIO MEDICO AL CAUSANTE, QUEDANDO AFECTADO A ACTUACIONES SUMARIAS. QUE SIENDO LAS 13.50 HS REGRESA LA COMISION DESPUES DE HABER REALIZADO EL PRECARIO MEDICO AL CAUSANTE, QUIEN FUE ASISTIDO EN EL HOSPITAL REGIONAL DE USHUAIA POR LA DRA NATALIA RUTUSNU MN Nº 108828 QUIEN EXPIDE CERTIFICADO MEDICO EN EL CUA CONSTA ALIENTO ETILICO -SI- Y LESION EN MUÑECA. ASIMISMO COTEJADA LA BASE DE DATOS DE ESTA UNIDAD OPERACIONAL EL CAUSANTE SE ENCONTRARIA CUMPLIENDO REGLAS DE CONDUCTA ART. 76 TER EN FUNCION DEL ARTICULO 27 BIS DEL CODIGO PENAL SEGUN RADIOGRAMA POLICIAL Nº 190/09 DE D.D.I.P.U. EN EL MARCO DE LA CAUSA 1793 CARATULADA -RAMOS FABIO LEONARDO S/SUSPENSION DE JUICIO A PRUEBA- EN TRAMITE POR ANTE EL JUZGADO DE EJECUCION DE SENTENCIA DEL DISTRITO JUDICIAL SUR, TIERRA DEL FUEGO -ASUNTO Nº 789 R GHO 182230 ABR 09-. POR LO QUE PROMOVIDA CONSULTA CON EL JUZGADO DE INSTRUCCION INTERVINIENTE EN LA PERSONA DEL DR. BALLESTRERO COMO ASI TAMBIEN LO PROPIO ANTE EL JUZGADO DE EJECUCION DE SENTENCIA A CARGO DEL DR. MAXIMILIAN GARCIA ARPON EN LA PERSONA DE LA SECRETARIA DRA. MARIA ALONSO DISPONIENDO AMBOS QUE AL NO EXISTIR OTRA RESTRICCION EL CAUSANTE QUEDA EN LIBERTAD. RETIRANDOSE EL MISMO SIN OTRA NOVEDAD.</t>
  </si>
  <si>
    <t>FILA DE ASIENTOS EMPLAZADOS EN EL HALL DE PARTIDAS</t>
  </si>
  <si>
    <t>MOSTRADOR 46 HALL TERMINAL A</t>
  </si>
  <si>
    <t>INFORMO QUE MIENTRAS LA DENUNCIANTE SE ENCONTRABA SENTADA EN UNO DE LOS ASIENTOS DE LA HILERA DE ASIENTOS EMPLAZADA A LA ALTURA DEL MOSTRADOR NRO. 46, DONDE DEJA A SU LADO UN CARRO PORTA MALETAS, CON SUS EQUIPAJES, ENTRE LOS CUALES SE ENCUENTRA UNA CARTERA DE COLOR NEGRO, QUE PIERDE DE VISTA POR UNOS INSTANTES Y CUANDO VUELVE LA VISTA HACIA A LA MISMA SE PERCATA DEL FALTANTE DE ESTA.-</t>
  </si>
  <si>
    <t>OKINAWA</t>
  </si>
  <si>
    <t>EN EL DÍA DE LA FECHA SE RADICA EN ÉSTA PREVENCIÓN UNA DENUNCIA POR PARTE DEL SR. JUAN MARCELO MASINI DNI Nº 24539041 AUXILIAR DE MANTENIMIENTO DE AA2000 QUIEN MANIFIESTA QUE AL REALIZAR RECORRIDA DE RUTINA NOTA EL FALTANTE DE DOS PAÑOS DE ALAMBRE ROMBOIDAL PERTENECIENTES AL ALAMBRADO PERIMETRAL EN SECTOR O-23 SEGÚN GRILLA ESQUEMÁTICA DE ÉSTE AEROPUERTO.NO SE ENCONTRARON ELEMENTOS DE CORTE NI SE OBSERVARON HUELLAS EN EL LUGAR, COMO TAMPOCO SE OBTUVO DATOS DE INTERÉS.SE REALIZA COMUNICACIÓN CON UFI Nº 5 DE TURNO A CARGO DEL DR.MARIANO MOYANO EL QUE DISPONE ACTIUACIONES DE RIGOR Y ELEVACION A UFI Nº 20 DETERMINACION DE AUTORES.</t>
  </si>
  <si>
    <t>JUZGADO DE INSTRUCCIÓN Nº 5 - NEUQUEN</t>
  </si>
  <si>
    <t>Benavidez</t>
  </si>
  <si>
    <t>DRA.- PATRICIA MARIA BRIZUELA</t>
  </si>
  <si>
    <t>VEREDA / PERGOLA</t>
  </si>
  <si>
    <t>PUERTA DE INGRESO A EDIFICIO</t>
  </si>
  <si>
    <t>EN EL DIA DE LA FECHA SIENDO LA HORA 14:45 SE PRESENTA EL DENUNCIANTE SR. WALTER CARLOS HOYOS D.N.I 30.587.936 A REALIZAR LA CORRESPONDIENTE DENUNCIA. EL MISMO REALIZA TAREAS LABORALES PARA EMPRESA PEHUEN PACK- EMBALAJE DE EQUIPAJES- UBICADA EN EL ACCESO DEL HALL CENTRAL SECTOR CHEK IN. QUIEN DICE EN LA DENUNCIA QUE A LA HORA 05:00 UBICA EN LA VEREDA PUBLICA DEL EDIFICIO UNA VALIJA TIPO CARRION DE COLOR NEGRA VACIA MARCA PRIMICIA EN CARACTER DE PROPAGANDA DE LA EMPRESA PEHUEN PACK Y A LA HORA 07:40 CUANDO VA A RETIRARLA SE PERCATA QUE LA MISMA NO SE ENCUENTRA. SE DA INTERVENCION AL JUZGADO DE INTRUCCION Nº 5 DR. MARCELO GEMAN BENAVIDEZ QUIEN ORDENA SE REALIZEN ACTUACIONES DE RIGOR</t>
  </si>
  <si>
    <t>PEHUEN PACK</t>
  </si>
  <si>
    <t>SECRETARIA PENAL A</t>
  </si>
  <si>
    <t>CARELLI ALBERTO DANIEL</t>
  </si>
  <si>
    <t>FISCAL C/DURAN VELAZQUEZ, JHONNY A. S/AV. INF LEY 22415</t>
  </si>
  <si>
    <t>90291-A</t>
  </si>
  <si>
    <t>INFRACCION A LA LEY 22415</t>
  </si>
  <si>
    <t>INFRACCION 22415</t>
  </si>
  <si>
    <t>MOSTRADORES DE LAN AIRLINES</t>
  </si>
  <si>
    <t>HALL PUBLICO DE PASAJEROS - MOSTRADORES DE EMPRESAS AÉREAS</t>
  </si>
  <si>
    <t>SIENDO LAS 11:05 HORAS, MIENTRAS SE REALIZABA EL CONTROL DE RUTINA DEL VUELO LA 931 SE OBSERVA UN BULTO DESPACHADO DE GRAN TAMAÑO Y AL NO PODER REALIZAR EL CONTROL DE RX CON EQUIPOS DE ESTA UNIDAD EL OFICIAL DELGADO RICARDO LE SOLICITA COLABORACION A PERSONAL DE ISCAMEN, PARA HACER USO DEL EQUIPO DE RX QUE UTILIZA ESTE ORGANISMO PARA LOS CONTROLES FITOSANITARIOS POR SER DE MAYOR TAMAÑO, AL PASAR EL ELEMENTO MENCIONADO, SE OBSERVAN UNAS FIGURAS GEOMETRICAS RECTANGULARES, POR LO ANTERIORMENTE EXPUESTO SE CITA AL PROPIETARIO DEL EQUIPAJE QUIEN INMEDIATAMENTE SE HACE PRESENTE EN EL LUGAR DE DICHO CONTROL. ACTO SEGUIDO SE TRASLADA AL EQUIPAJE JUNTAMENTE CON EL PROPIETARIO AL HALL DE ARRIBO DE VUELOS DE CABOTAJE EN DONDE PRIMERAMENTE SE UTILIZA EL EQUIPO DE RX DE ISCAMEN PARA VER IMÁGENES DEL BULTO EN PRESENCIA DE LOS TESTIGOS CONVACADOS PARA TAL FIN Y EL SEÑOR NICOLAS FRANCO PERSONAL DE ADUANAS QUIEN SE APROXIMO A LOS EFECTOS DE PRESTAR COLABORACIÓN, ASIMISMO Y MIENTRAS SE TRASLADABA AL PASAJEROS A REALIZAR EL CONTROL DE SU EQUIPAJE DESPACHADO SE PRESENTA EN LAS INMEDIACIONES DEL PREEMBARQUE INTERNACIONAL UNA PERSONA LA CUAL, DE ACUERDO A LAS OBSERVACIONES REALIZADAS POR EL JEFE DE PREEMBARQUE, HABIA ESTADO ACOMPAÑANDO AL PASAJERO MIENTRAS EL MISMO SE ENCARGABA DEL DESPACHO DE SU EQUIPAJE Y EL CUAL AL SER CONSULTADO SOBRE SU VÍNCULO CON EL ANTERIOR, EL MISMO MANIFESTÓ QUE EL ERA UN REMISERO QUE SE HABIA ENCARGADO DE TRASLADARLO DURANTE SU ESTADIA EN ESTA PROVINCIA, DESDE EL ARRIBO DEL SR. DURAN VIA TERRESTRE EN TRANSPORTE PUBLICO DE PASAJEROS EL 06-04-10 A LAS 10:00 HS APROXIMADAMENTE POR LA EMPRESA CHEVALLIER. POSTERIORMENTE Y SIENDO LAS 11:30 HORAS SE REALIZA COMUNICACION CON EL SECRETARIO PENAL DE TURNO, PREVIO AVISO AL TURNO URSA II DEL CENTRO, QUIEN DE ACUERDO A LO INFORMADO DISPONE QUE SE REALICE LA APERTURA DE DICHO TV DE LCD Y QUE SE REALICE UNA NUEVA COMUNICACIÓN UNA VEZ REALIZADA DICHA APERTURA. SIENDO LAS 12:40 HORAS Y POSTERIORMENTE DE HABER REALIZADO LA APERTURA DE DICHO TV SE ENCUENTRA EN EL INTERIOR DEL MISMO TRES BOLSAS DE PAPEL METALICO LAS CUALES AL SER ABIERTAS CONTENIAN CADA CUAL, UNA BOLSA DE NYLON TRANSPARENTE SELLADAS Y EN SU INTERIOR UNA SUSTANCIA PULVURULENTA DE COLOR BLANCA, ACTO SEGUIDO SE PROCEDIO A RETIRAR UNA MUESTRA DE CADA UNA DE LAS TRES BOLSAS EN PRESENCIA DE LOS TESTIGOS A LAS CUALES SE LE REALIZARON MUESTRAS DE CAMPO PARA COCAINA MARCA COCATEST, LAS CUALES ARROJARON RESULTADO POSITIVO PARA ESA SUSTANCIA, SIENDO LAS 12:55 HORAS SE REALIZA NUEVA COMUNICACIÓN CON EL SECRETARIO PENAL A QUIEN SE LE INFORMAN LOS HECHOS OCURRIDOS Y A QUIEN SE LE MANIFESTO QUE UNA VEZ QUE SE TUVIERA EL PESAJE DE LA SUSTANCIA ENCONTRADA SE LE REALIZARÍA UNA NUEVA COMUNICACIÓN, SIENDO LAS 13:30 HORAS SE REALIZA UNA NUEVA COMUNICACIÓN CON EL SECRETARIO PENAL A QUIEN SE LE COMUNICA LA CANTIDAD DE SUSTANCIA TRANSPORTADA Y LA MEDIDA DE LAS CORRESPONDIENTES ENVOLTURAS Y QUIEN ANTE LOS HECHOS INFORMADOS DISPONE: 1° QUE EL PASJERO ANTERIORMENTE DETALLADO QUEDE EN CALIDAD DE DETENIDO INCOMUNICADO POR INFRACCION A LA LEY 22.415, SE REALICEN LAS ACTUACIONES DE RIGOR PARA SER ELEVADAS A LAS BREVEDAD Y QUE EL DETENIDO SEA TRASLADADO A LA U32, ASIMISMO Y ANTE LOS HECHOS RELATADOS EL SECRETARIO PENAL TAMBIÉN DISPUSO: 1° INDIVIDUALIZAR AL REMISERO EL CUAL HABIA HECHO EL TRASLADO DEL DETENIDO DURANTE SU ESTADIA EN ESTA PROVINCIA, 2° SE REALIZARA LA CORRESPONDIENTE CONSTATACIÓN DE DOMICILIO Y 3° SE CITARA A COMPARECER AL REMISERO EN CALIDAD DE TESTIGO A ESA SECRETARIA PENAL PARA EL DÍA LUNES 12 DE ABRIL DEL CORRIENTE AÑO A LAS 12:30 HORAS, A LO QUE SE DA ESTRICTO CUMPLIMIENTO, POR ULTIMO CABE DESTACAR QUE EL PASAJERO REALIZARIA LAS SIGUIENTES CONEXIONES: VUELO 931 DE MENDOZA A SANTIAGO DE CHILE, VUELO IBERIA 6830 DESDE SANTIAGO DE CHILE HACIA MADRID ESPAÑA, LUEGO DE MADRID A GRANADA ESPAÑA EN EL VUELO DE IBERIA 276, ASIMISMO SE INFORMA QUE SI DE LA REQUIZA EXISTIERAN ELEMENTOS UTILES PARA LA CAUSA SE AMPLIARAN APORTUNAMENTE, A CONTINUACION SE TRATO DE ENTABLAR COMUNICACIÓN TELEFONICA CON ALGÚN MIENBRO DE LA EMBAJADA DE COLOMBIA Y AL NO PODER REALIZARLA Y SIENDO LAS 17:09 HORAS SE ENVIO VIA FAX AL N° 01143138563 UNA NOTA EN LA CUAL SE COMUNICA LA SITUACIÓN JUDICIAL DEL CIUDADANO DE ESE PAIS D.R.I.C.A. - AMPLIACION DOZ_2010_2178_PU. SIENDO LAS 20:15 HORAS, SE PROCEDIO A REALIZAR EL TRASLADO DEL DETENIDO INCOMUNICADO A LAS INSTALACIONES DE LA DEPENDENCIA DE LA U32 DE ACUERDO A LO DISPUESTO POR EL SECRETARIO PENAL EN EL MARCO DE LA CAUSA DE ORDEN INTERNO 17/10 DE ESTA UNIDAD OPERACIONAL, SIENDO LAS 21:20 HORAS ARRIBA EL PERSONAL DESTINADO A REALIZAR EL TRASLADO ANTERIORMENTE MENCIONADO SIN NOVEDAD D.R.I.C.A. - AMPLIACION DOZ_2010_2182_PU. SIENDO LAS 09:15 HORAS DEL DIA SIGUIENTE SE RETIRA EN COMISION EL PERSONAL DESTINADO A REALIZAR EL TRASLADO DE LOS ELEMENTOS SECUESTRADOS UTILES PARA LA CAUSA DE ORDEN INTERNO 17/10 DE ACUERDO A LO DISPUESTO POR EL SECRETARIO PENAL, SIENDO LAS 11:30 HORAS REGRESA EL PERSONAL HABIENDO REALIZANDO DICHO TRASLADO SIN NOVEDAD, DANDO CUMPLIMIENTO A ORDEN DE SERVICIO N°93/10 DE UOSP MENDOZA. ASIMISMO SE INFORMA EN EL PRESENTE LA CARATULA Y EL N° DE CAUSA DISPUESTA POR EL JUZGADO DE TURNO</t>
  </si>
  <si>
    <t>MARIEL BORRUTO</t>
  </si>
  <si>
    <t>GUILLERMO EDUARDO GONZALEZ S/ DENUNCIA</t>
  </si>
  <si>
    <t>GUILLERMO EDUARDO GONZALEZ S / DENUNCIA</t>
  </si>
  <si>
    <t>FINAL DE CABECERA 25</t>
  </si>
  <si>
    <t>PISTA DE ATERRIZAJE</t>
  </si>
  <si>
    <t>SIENDO LA HORA 13:00 DEL DIA DE LA FECHA SE HACE PRESENTE EN LA OFICINA DE GUARDIA DE ESTA POLICIA DE SEGURIDAD AEROPORTUARIA EL SR GUILLERMO EDUARDO GONZALEZ, EMPLEADO DE LA EMPRESA AA2000, A LOS EFECTOS DE RADICAR UNA DENUNCIA SOBRE DAÑOS, QUIEN EN LA MISMA RELATA QUE SIENDO LAS 07:35 HS LOCAL, EN MOMENTOS EN QUE REALIZA SU RECORRIDO HABITUAL POR LA PISTA DE ATERRIZAJE DETECTA DAÑOS EN EL SISTEMA DE BALIZAMIENTO NOCTURNO UBICADO A LOS COSTADOS DE LA MISMA, DETALLANDO QUE LA TULIPA NRO 67 SE ENCUENTRA DESCABEZADA Y DESPARRAMADA SOBRE LA PISTA, Y QUE LAS TULIPAS 69 Y 71 SE ENCONTRABAN DESCABEZADAS. LA 73 DESCABEZADA AUNQUE COMPLETA, COMO ASI TAMBIEN SE ENCONTRARON HUELLAS DE ZAPATOS O ZAPATILLAS ALREDEDOR DE LAS MISMAS. SIENDO LAS 14:30 EL JEFE DE UNIDAD O. MY ACOSTA REALIZA UNA RECORRIDA POR EL SECTOR Y OBSERVA EL CERCO PERIMETRAL ROTO Y ENCUENTRA UNA DE LAS TULIPAS FALTANTES, PONIENDOLA A RESGUARDO COMO PRUEBA PARA SU POSTERIOR ANALISIS. SE INFORMA LO SUCEDIDO AL JUZGADO INTERVINIENTE EL CUAL ORDENA SE REALICEN LAS ACTUACIONES DE RIGOR Y SU POSTERIOR ELEVACION.</t>
  </si>
  <si>
    <t>JUZGADO INSTRUCCION SEGUNDA NOMINACION DISTRITO JUDICIAL SUR PROV. TIERRA DEL FUEGO A.e.I.A.S</t>
  </si>
  <si>
    <t>RAMOS FABIO LEONARDO DESOBEDIENCIA Y RESISTENCIA A LA AUTORIDAD.</t>
  </si>
  <si>
    <t>RAMOS FABIO LEONARDO DESOBEDIENCIA RESISTENCIA A LA AUTORIDAD</t>
  </si>
  <si>
    <t>OFICINA GUARDIA PREVENTIVA</t>
  </si>
  <si>
    <t>AEROESTACION</t>
  </si>
  <si>
    <t>INFORMO SIENDO LAS 13:50 HS. REGRESA COMISIÓN LUEGO DE REALIZAR PRECARIO MEDICO DEL CIUDADANO FABIO LEONARDO RAMOS, QUIEN FUE ASISTIDO EN EL HOSPITAL REGIONAL USHUAIA POR LA DRA. NATALIA RATUSNU MN N° 108828 QUIEN LE EXPIDIÓ CERTIFICADO MEDICO PARA ACTUACIÓN POLICIAL , DONDE CONSTA ALIENTO ETÍLICO (SI) Y LESIÓN EN MUÑECA. ASI MISMO COTEJADA LA BASE DE DATOS DE ESTA UOSP EL CAUSANTE SE ENCONTRARÍA CUMPLIENDO REGLAS DE CONDUCTA ART.76 TER EN FUNCIÓN DEL ART 27BIS DEL C.P. SEGÚN RADIOGRAMA 190/09 D.D.I.P.U. EN LA CAUSA 1793 CARATULADA RAMOS FABIO LEONARDO S/SUSPENSIÓN DE JUICIO A PRUEBA EN TRAMITE POR EL JUZGADO DE EJECUCIÓN DE SENTENCIA DEL DISTRITO JUDICIAL SUR, TIERRA DEL FUEGO (ASUNTO NRO 789 R GHO 182230 ABR 09). POR LO QUE PROMOVIDA CONSULTA CON EL JUZGADO DE INSTRUCCIÓN INTERVINIENTE EN LA PERSONA DEL SECRETARIO BALLESTRERO COMO ASÍ TAMBIÉN LO PROPIO ANTE EL JUZGADO DE EJECUCIÓN DE SENTENCIA A CARGO DEL DR MAXIMILIANO GARCÍA ARPON EN LA PERSONA DE LA SECRETARIA DRA MARÍA ALONSO DISPONIENDO AMBOS QUE AL NO EXISTIR OTRA RESTRICCIÓN EL CAUSANTE QUEDA EN LIBERTAD. RETIRÁNDOSE EL MISMO SIN OTRA NOVEDAD.-</t>
  </si>
  <si>
    <t>VILMA VALLE RUIZ DIAZ</t>
  </si>
  <si>
    <t>INFORMO QUE EN EL CONTROL DE EQUIPAJES DESPACHADO A BODEGA SE DETECTA UNA VALIJA QUE CONTIENE EN SU INTERIOR MERCADERIA EN INFRACCION A LA LEY 22415 DE ADUANA ANTE EL HECHO SE IDENTIFICA AL PROPIETARIO DE LA VALIJA Y SE CONFECCIONA ACTA DE INTERDICCION DE DICHO EQUIPAJE ACTO SEGUIDO SE ENTREGA AL PERSONAL DE LA AFIP DGA SR. JUAN A. VALIENTE JEFE DE OFICINA EL EQUIPAJE Y LA MERCADERIA EN INFRACCION QUIEN PROCEDE AL COBRO DE LOS IMPUESTOS CORRESPONDIENTES BAJO POLIZA NRO 2010029004245 POR UN VALOR DE UN MIL NOVECIENTOS CUARENTA PESOS. DETALLE DE LA MERCADERIA: UNA CAMARA FOTOGRAFICA MARCA NIKON - DOS NOTEBOOK MARCA HP LAS MISMAS FUERON LIBERADOS POR EL PERSONAL DE LA AFIP DGA UNA VEZ HECHO EFECTIVO EL PAGO DE LA POLIZA.</t>
  </si>
  <si>
    <t>2174/10</t>
  </si>
  <si>
    <t>UNIDAD DE DETENCION JUDICIAL U 32</t>
  </si>
  <si>
    <t>SIENDO LAS 20:15 HORAS, SE PROCEDIO A REALIZAR EL TRASLADO DEL DETENIDO INCOMUNICADO A LAS INSTALACIONES DE LA DEPENDENCIA DE LA U32 DE ACUERDO A LO DISPUESTO POR EL SECRETARIO PENAL EN EL MARCO DE LA CAUSA DE ORDEN INTERNO 17/10 DE ESTA UNIDAD OPERACIONAL, SIENDO LAS 21:20 HORAS ARRIBA EL PERSONAL DESTINADO A REALIZAR EL TRASLADO ANTERIORMENTE MENCIONADO SIN NOVEDAD</t>
  </si>
  <si>
    <t>ZONA CHIVATOS</t>
  </si>
  <si>
    <t>SECTOR RESTRINGUIDO DE ESTE AEROPUERTO</t>
  </si>
  <si>
    <t>INFORMO EN VIRTUD A LA ORDEN DE SERVICIO NRO. 036/10, LA CUAL CONSTA DE MONTAR UN OPERATIVO DE SEGURIDAD CON MOTIVO DEL ARRIBO DEL GRUPO DE AVANZADA DE LA COMITIVA DEL SR. PRESIDENTE DE LA FEDERACION RUSA, EN UN VUELO PRIVADO, EL MISMO SE LLEVO A CABO CON PERSONAL DE LA UNIDAD OPERACIONAL DE SEGURIDAD PREVENTIVA EZEIZA, PERSONAL DE GEDEX Y PERSONAL DEL GEAT. QUE LA COMITIVA ARRIBO A ESTE AEROPUERTO SIENDO LAS 15:00 HS, SE RETIRO, SIENDO LAS 20:20 HS, SIN NOVEDAD.</t>
  </si>
  <si>
    <t>IL-76</t>
  </si>
  <si>
    <t>JUZGADO DE MENORES 2° NOMINACION</t>
  </si>
  <si>
    <t>RALLE BUSTOS</t>
  </si>
  <si>
    <t>SILVIA</t>
  </si>
  <si>
    <t>DRA. LUCRECIA LIZARRAGA</t>
  </si>
  <si>
    <t>....</t>
  </si>
  <si>
    <t>HALLAZGO DE MENOR</t>
  </si>
  <si>
    <t>SEGUN MAPA GRILLADO C-3</t>
  </si>
  <si>
    <t>CABECERA DE PISTA 02 - 20</t>
  </si>
  <si>
    <t>EL SR SERGIO RAMOS PERSONAL DE A.A. 2000, INFORMA A HS. 18:15 AL JEFE DE TURNO LA PRESENCIA DE UN MENOR EN CABECERA DE PISTA 02-20, EL CUAL HABIA SIDO DETECTADO POR EL PILOTO DE LA EMPRESA AEREA DE LAN ARGENTINA, QUIEN DIO AVISO A TORRE DE CONTROL, SE PRESUPONE QUE EL NIÑO EN CUESTION INGRESO AL PERIMETRO DEL AEROPUERTO POR UN SECTOR DEL ALAMBRADO DONDE LA TELA METALICA NO ESTA FIJA AL SUELO POR NO TENER BASE DE CEMENTO, SE SOLICITA COLABORACION A LA UOESA, QUIENES SE DIRIGEN AL SECTOR Y TRASLADAN AL MENOR A LA OFICINA DEL TURNO POLICIAL, SE REALIZA LA COMUNICA CON EL JUZGADO DE MENORES DE LA SEGUNDA NOMINACION A CARGO DE LA DRA. RALLE, QUIEN ORDENA UNA COMISION PARA BUSCAR A LOS PADRES DEL MENOR Y ACENTAR TODAS LAS ACTUACIONES EN EL LIBRO DE GUARDIA. LOS PADRES LLEGAN AL AEROPUERTO A HS. 19:30, Y SE RETIRAN A HS. 20:10 CON SU HIJO, PREVIO CHEQUEO POR PARTE DEL MEDICO DE GUARDIA DEL AEROPUERTO, PARA CONSTATAR EL ESTADO DE SALUD DEL MISMO.</t>
  </si>
  <si>
    <t>DRA. VILMA VALLE RUIZ DIAZ</t>
  </si>
  <si>
    <t>INFORMO QUE EN EL CONTROL DE EQUIPAJES DESPACHADO A BODEGA SE DETECTA UNA VALIJA QUE CONTIENE EN SU INTERIOR MERCADERIA EN INFRACCION A LA LEY 22415 ADUANA. ANTE EL HECHO SE IDENTIFICA AL PROPIETARIO DE LA VALIJA Y SE CONFECCIONA ACTA DE INTERDICCION DE DICHO EQUIPAJE. ACTO SEGUIDO SE ENTREGA AL PERSONAL DE LA AFIP DGA SR. JUAN A. VALIENTE JEFE DE OFICINA EL EQUIPAJE Y LA MERCADERIA EN INFRANCCION QUIEN PROCEDE AL COBRO DE LOS IMPUESTOS CORRESPONDIENTE BAJO POLIZA NRO 20100029004247 POR UN VALOR DE TRES MIL TRESCIENTOS SESENTA Y CINCO CON NOVENTA PESOS. DETALLE DE LA MERCADERIA UNA COMPUTADORA MARCA APPLE IMAC MB 952 LLA, LA MISMA FUE LIBERADA POR EL PERSONAL DE LA AFIP DGA UNA VEZ HECHO EFECTIVO EL PAGO DE LA POLIZA.</t>
  </si>
  <si>
    <t>CIUDAD AUTONOMA DE BS AS</t>
  </si>
  <si>
    <t>FISCAL C/DURAN VELAQUEZ, JHONNY A. S/AV. INF LEY 22415</t>
  </si>
  <si>
    <t>TRIBUNALES FEDERALES DE LA PROVINCIA DE MENDOZA, SITA EN CALLE AV. ESPAÑA ESQUINA PEDRO MOLINA CIUDAD MENDOZA</t>
  </si>
  <si>
    <t>SIENDO LAS 09:15 HORAS SE RETIRA EN COMISION EL PERSONAL DESTINADO A REALIZAR EL TRASLADO DE LOS ELEMENTOS SECUESTRADOS UTILES PARA LA CAUSA DE ORDEN INTERNO 17/10 DE ACUERDO A LO DISPUESTO POR EL SECRETARIO PENAL, SIENDO LAS 11:30 HORAS REGRESA EL PERSONAL HABIENDO REALIZANDO DICHO TRASLADO SIN NOVEDAD, DANDO CUMPLIMIENTO A ORDEN DE SERVICIO N°93/10 DE UOSP MENDOZA. ASIMISMO SE INFORMA EN EL PRESENTE LA CARATULA Y EL N° DE CAUSA DISPUESTA POR EL JUZGADO DE TURNO</t>
  </si>
  <si>
    <t>DRA. LILIANA NAVARRO</t>
  </si>
  <si>
    <t>INVESTIGACION POR PRESUNTA INF. LEY 23.737</t>
  </si>
  <si>
    <t>JUZGADO FEDERAL Nº 3 DE MENDOZA A CARGO DEL DR. WALTER BENTO SUBROGANTE, SECRETARIA PENAL D A CARGO DE LA DRA. NORMA NOFAL DE CATTANEO, PROVINCIA DE MENDOZA. JUZGADO FEDERAL DE PASO DE LOS LIBRES, PROVINCIA DE CORRIENTES.</t>
  </si>
  <si>
    <t>SIENDO EL DIA 9 DE ABRIL DEL CORRIENTE AÑO LA PREVENCION RECEPCIONO POR PARTE DEL JUZGADO FEDERAL Nº 1 A CARGO DEL DR. RICARDO BUSTOS FIERRO, SECRETARIA PENAL A CARGO DE LA DRA. LILIANA NAVARRO DOS OFICIOS DE FECHA 8 DE ABRIL DEL CORRIENTE AÑO, SIENDO EL PRIMERO DIRECCIONADO AL JUZGADO FEDERAL Nº 3 A CARGO DEL DR. WALTER BENTO SUBROGANTE, SECRETARIA PENAL D A CARGO DE LA DRA. NORMA NOFAL DE CATTANEO, CON LA FINALIDAD DE SOLICITAR A ESE JUZGADO COPIA CERTIFICADA DE LAS ACTUACIONES COMO ASI TAMBIEN ACCESO A LOS ELEMENTOS SECUESTRADOS PARA SU POSTERIOR ANALISIS, CON RESPECTO AL HECHO ACONTECIDO EL DIA 13 DE FEBRERO DEL CORRIENTE AÑO DONDE SE PROCEDIO A LA DETENCION DE LA SRA. DEBORAH BIRSS DE NACIONALIDAD CANADIENSE, QUEDANDO AUTORIZADO PARA LA REALIZACION DE LAS MENCIONADAS TAREAS EL OF. JEFE MARCELO MEDICO Y/O OF. JEFE DANIEL ZARATE. AMPLIANDO PARRAFO ANTERIOR CON RESPECTO AL SEGUNDO OFICIO EL MISMO SE ENCUENTRA DIRECCIONADO AL SR. TITULAR DEL JUZGADO FEDERAL DE PASO DE LOS LIBRES, CON ASIENTO EN LA PROVINCIA DE CORRIENTES CON LA FINALIDAD DE SOLICITAR A ESE JUZGADO COPIA CERTIFICADA DE LAS ACTUACIONES COMO ASI TAMBIEN ACCESO A LOS ELEMENTOS SECUESTRADOS PARA SU POSTERIOR ANALISIS, CON RESPECTO AL HECHO ACONTECIDO EL DIA 25 DE FEBRERO DEL CORRIENTE AÑO DONDE SE PRODUJO LA DETENCION DE DOS CIUDADANAS DE NACIONALIDAD CANADIENSE, QUEDANDO AUTORIZADO PARA LA REALIZACION DE LAS MENCIONADAS TAREAS EL COMISIONADO MAYOR JULIO MORALES, JEFE DE LA UNIDAD REGIONAL DE SEGURIDAD AEROPORTUARIA IV DEL LITORAL.</t>
  </si>
  <si>
    <t>SIENDO LAS 12:20 HORAS DEL DÌA DE LA FECHA SE PRESENTA EL OFICIAL INSPECTOR PABLO ARIEL ASSEM DNI 22.824.953 Y EL AGENTE SEBASTIAN ALBERTO VELEZ DNI 31.551.935 DE LA POLICIA FEDERAL ARGENTINA DELEGACION BARILOCHE, PARA REALIZAR EL TRASLADO DEL DETENIDO PABLO JAVIER LOPEZ DNI 29.735.008 A LA CIUDAD AUTONOMA DE BUENOS AIRES EN EL VUELO DE LA EMPRESA AEROLINEAS ARGENTINAS Nº 2683, EN CUMPLIMIENTO DE MANDATO JUDICIAL SIN NUMERO ORDENADO POR EL JUZGADO NACIONAL EN LO CRIMINAL DE INSTRUCCION Nº 41, SECRETARIA Nº 112 A CARGO DEL DOCTOR CHRISTIAN MAGNONE EN RELACION A LA CAUSA Nº 17546/05 LOPEZ Y OTROS S/ ROBO. ASIMISMO SE CONSTATO FORMULARIO DE TRASLADO DE LA EMPRESA AEROLINEAS ARGENTINA, CUYA CONFECCION FUE REALIZADA OPORTUNAMENTE POR EL COMISARIO CLAUDIO C. CHAZARRETA JEFE DELAGACION S.C. BARILOCHE DELITOS FEDERALES Y COMPLEJOS DE LA POLICIA FEDERAL ARGENTINA. LA CUSTODIA DEL DETENIDO FUE EFECTUADA EN INSTALACIONES DE ESTE AEROPUERTO POR PERSONAL DE LA UOESA DE LA PATAGONIA OFICIAL MAYOR RICARDO RIQUELME Y OFICIAL AYUDANTE RAUL BENAVIDES. EL VUELO DE REFERENCIA PRESENTÒ DEMORA DE ARRIBO Y POSTERIOR SALIDA, APROXIMADAMENTE DE 20 MINUTOS, DESPEGANDO DE ESTE AEROPUERTO A LAS 13:15 HORAS</t>
  </si>
  <si>
    <t>2151/10</t>
  </si>
  <si>
    <t>SIENDO LAS 13.30 HORAS, INFORMO AMPLIO MI PARTE 2151 DEL 09/ABRIL/2010, A EFECTOS DE INFORMAR NUMERO DE CAUSA OTORGADA POR JUZGADO INTERVIMIENTE CAUSA N 195/2010 .</t>
  </si>
  <si>
    <t>SATOSHI HAMANA S/CONTRABANDO DE ESTUPEFACIENTES</t>
  </si>
  <si>
    <t>HALL RESTRINGIDO TERMINAL A</t>
  </si>
  <si>
    <t>EN MOMENTOS DE EFECTUARSE EL CONTROL RUTINARIO, DENTRO DE UN EQUIPAJE SE DETECTA LA PRESENCIA DE VARIOS BULTOS COMPUESTOS DE SUSTANCIA ORGANICA DE BAJA DENSIDAD. POR LO CUAL SE CONVOCAN DOS TESTIGOS Y OBTENIDAS LAS AUTORIZACIONES JUDICIALES, SE EFECTUA LA REQUISA PERTINENTE DE LA QUE SURGEN UN TOTAL DE SIETE PAQUETES Y DOS PANTALONES DE JEANS. PAQUETES DE CUYO CONTENIDO SE REALIZO PRUEBA DE CAMPO PARA ESTUPEFACIENTES LA QUE ARROJO RESULTADO POSITIVO PARA COCAINA EN TODOS LOS CASOS. CABE ACLARAR QUE LOS PANTALONES SE ENCONTRABAN EN CONDICIONES SIMILARES A HABER SIDO ALMIDONADOS POR LO QUE SE LES EFECTUO PRUEBA DE CAMPO QUE TAMBIEN ARROJO RESULTADO POSITIVO COCAINA. EN VIRTUD A LO DISPUESTO S.SA EL CAUSANTE PERMANECE DETENIDO DEBIENDO SER REMITIDO A PRIMERA HORA DEL DIA 13/04/10 A SEDE JUDICIAL. SEGUN PU 2203 SIENDO LAS 9AM DEL 13/04/10 SE TRASLADA AL DETENIDO A SEDE JUDICIAL.</t>
  </si>
  <si>
    <t>UX042</t>
  </si>
  <si>
    <t>DESDE BOX DE LA EMPRESA GLOBAL EXCHANGE, UBICADO EN EL PRIMER PISO, SECTOR PUBLICO, HASTA VEREDA DE ARRIBOS A2.</t>
  </si>
  <si>
    <t>SIENDO LA FECHA Y HORA ANTES MENCIONADA SE HACE PRESENTE EL DENUNCIANTE, APODERADO LEGAL DE LA EMPRESA GLOBAL EXCHANGE, MANIFESTANDO QUE HABIA RECIBIDO UNA COMUNICACION DE PARTE DEL DIRECTOR DE OPERACIONES DE LA EMPRESA, EL CUAL LE INFORMA UNA NOVEDAD SURGIDA CON UNA DE LAS EMPLEADAS DE NOMBRE SABRINA GONZALEZ, CUANDO LA MISMA SIENDO LAS 06:10 HS RECIBE EN SU LUGAR DE TRABAJO UN LLAMADO TELEFONICO DE UNA PERSONA QUE SE IDENTIFICA COMO EL SR. CESAR GOMEZ, DIRECTOR DE OPERACIONES DE LA EMPRESA, EL CUAL LE ORDENA QUE CIERRE LA CAJA, JUNTE TODA LA RECAUDACION, INTRODUZCA LA MISMA EN UN BOLSIN Y LLEVE LA MISMA A LA VENTILLA Nº 3, UBICADA EN LA PLANTA BAJA DEL AEROPUERTO, DONDE IBA A SER RETIRADA. SEGUIDAMENTE LA EMPLEADA JUNTO LA RECAUDACION POR UN TOTAL DE 147.991.45 PESOS ARGENTINOS, LA INTRODUJO EN EL BOLSIN Y SE DIRIGIO HACER LA ENTREGA AL SECTOR DE ARRIBOS A2, EN DONDE SE LE ACERCAN EN MOTO DOS PERSONAS DE SEXO MASCULINO VESTIDOS CON EL UNIFORME DE LA EMPRESA PROSEGUR Y LE PREGUNTAN SI ERA SABRINA GONZALEZ, LE PIDEN LA RECAUDACION Y LE ENTREGAN A CAMBIO UN COMPROBANTE CON EL LOGO DE LA EMPRESA FIRMADO POR EL SR. CESAR GOMEZ, EN EL CUAL NO CONSTA EL MONTO DE LA ENTRAGA NI NADA AL RESPECTO ES POR ESO QUE EL DENUNCIANTE SE HACE PRESENTE EN ESTA GUARDIA A FIN DE RADICAR LA DENUNCIA CORRESPONDIENTE. SIENDO LAS 12:25 HS SE ENTABLA COMUNICACION TELEFONICA CON LA JUDICATURA ACTUANTE, LA CUAL ORDENA SE REALICEN LAS DILIGENCIAS DE RIGOR, Y EN CASO DE SURGIR ALGUNA NOVEDAD REALICE NUEVA COMUNICACION. SIENDO LAS 14:30 HS SE REALIZA NUEVA COMUNICACION CON LA JUDICATURA A QUIEN SE LE INFORMA LOS RESULTADOS DE LAS DILIGENCIAS ORDENADAS, DISPONIENDO CIERRE Y ELEVE.</t>
  </si>
  <si>
    <t>GLOBAL EXCHANGE</t>
  </si>
  <si>
    <t>MANSILLA, MARIO HECTOR, RETAMAR, ALCIDES, BERDUN, CARLOS ALBERTO, GUTIERREZ, FACUNDO MATIAS, ROSSETTI, BRUNO, REPUCCI, ALFREDO DANIEL, LOPEZ, PATRICIA NOEMI S/INF LEY 23737</t>
  </si>
  <si>
    <t>INFORMO EN EL DIA DE LA FECHA EN VUELO SU-417 DE LA EMPRESA AEROCOMERCIAL LINEAS AEREAS DEL ESTADO SE ENVIA EN CAJA CERRADA A LA EXCMA. CAMARA DE APELACIONES DE LA CIUDAD DE COMODORO RIVADAVIA -PCIA. DE CHUBUT- CONTENIENDO EN SU INTERIOR DOCUMENTACION REFERENTE A LA CAUSA 2277 SOBRE INCIDIDENTE DE EXCARCELACION DE FACUNDO MATIAS GUTIERREZ EN UN CUERPO A FS 23, BAJO GUIA DE CARGA NRO. 022-28004115 CONFORME A LO ORDENADO POR OFICIO JUDICIAL SIN NUMERO DE FECHA 08-ABR-10 PROCEDENTE DEL JUZGADO FEDERAL DE PRIMERA INSTANCIA USHUAIA. ASIMISMO INFORMO QUE ESTIMA ARRIBO EN LA CIUDAD DE COMODORO RIVADAVIA A LAS 21:00 HS.</t>
  </si>
  <si>
    <t>SU417</t>
  </si>
  <si>
    <t>RIO GALLEGOS - CALAFATE</t>
  </si>
  <si>
    <t>ALTURA AVENIDA SAN MARTIN.</t>
  </si>
  <si>
    <t>EN MOMENTO EN QUE EL DENUNCIANTE SE ENCONTRABA FRENADO EN LA AV. SAN MARTIN EN SU MOTOCICLETA,POR LA CONGESTION EN EL TRANSITO SIENTE UN FUERTE FORCEGEO EN UNA DE SUS ALFORJAS ,LUGAR DONDE SE ENCONTRABA ALOJADO EL ELEMENTO SUSTRAIDO, SE DA CUENTA QUE DOS INDIVIDUOS MASCULINOS EN OTRA MOTO,LE SUSTRAEN DICHO ELEMENTO.</t>
  </si>
  <si>
    <t>S/DENUNCIA</t>
  </si>
  <si>
    <t>LA DENUNCIA SE REALIZA VIA MAIL</t>
  </si>
  <si>
    <t>EL COMISIONADO MAYOR GONZALO D. MARTINEZ, JEFE DE ESTA UNIDAD OPERACIONAL, DA INICIO A LAS ACTUACIONES POR S/ DENUNCIA A RAIZ QUE RECIBE DE LA ADMINISTRACIóN EZEIZA DE SEGURIDAD DE LA EMPRESA AEROPUERTO ARGENTINA 2000,NOTA Nº 05/10 MEDIANTE LA CUAL PONE EN CONOCIMIENTO QUE EN EL DíA DE LA FECHA EL DEPARTAMENTO DE ATENCIóN AL CLIENTE EZEIZA RECIBE A TRAVéS DE LA PAGINA WEB BAJO EL NúMERO 000000000005234 LA SIGUIENTE CONSULTA: APELLIDO MAGGIOR LUCA, EMAIL : LUCAMANGGIOR@HOTMAIL.COM TELéFONO 0039-231-4658 FECHA 12-04-2010 - 08:16:26 AM MENSAJE "MACAGNO LEONARDO, VANESSA X, SALEN DE EZEIZA CON ALIJO DE COCAINA, SE PRESUME HACIA ESPAÑA O ITALIA DIA DEL 18 AL 20. DE NADA" ; SIENDO LAS 16:30 HORAS, SE RECEPCIONA DE LA DIRECCIóN GENERAL DE RELACIONES INSTITUCIONALES UN MEMORANDO Nº 725/2010 EN E L CUAL SE ADJUNTA COPIA DEL MAIL RECIBIDO A LA CASILLA DE CORREO INFO@PSA.GOV.AR MENSAJE: "LEONARDO MACAGNO, VANESSA X, SALEN DE EZEIZA, PRESUMIBLEMENTE DEL 16 AL 21 ABRIL, DESTINO EUROPA, BARCELONA O MADRID. TRAFICANTES HABITUALES, COCAINA , BOLAS EN LOS INTESTINOS. ROGAMOS INTERVENCION. GRACIAS."ES POR ELLO QUE SE MANTIENE NUEVA COMUNICACIóN CON LA DRA. MóNICA IGUIÑIZ, A EFECTOS DE INFORMARLA DE LOS HECHOS DISPONIENDO LA SECRETARIA PREVIA CONSULTA S. SA. NO REALICE NINGUNA MEDIDA HASTA QUE SEAN ELEVADOS LOS ACTUADOS Y EN MERITO DE ESTOS SE IMPONDRáN DIRECTIVAS AL RESPECTO.</t>
  </si>
  <si>
    <t>CARELLI, DANIEL ALBERTO</t>
  </si>
  <si>
    <t>MOSTRADORES DE MIGRACIONES</t>
  </si>
  <si>
    <t>QUE SIENDO LAS 17:40 HS DURANTE EL CONTROL DEL VUELO LA 933 CON DESTINO A SANTIAGO DE CHILE Y CONEXIONES, SE PRESENTA PERSONAL DE MIGRACIONES COMUNICANDO QUE EN EL SISTEMA DE DICHO ORGANISMO RESULTA POR PEDIDO DE INTERPOL UNA ORDEN DE CAPTURA A NOMBRE DEL CAUSANTE CON NUMERO DE EXPEDIENTE DNM 8171362006. LAS AUTORIDADES MIGRATORIA HACEN ENTRGA DE DICHA PERSONA A ESTA UNIDAD OPERACIONAL, EL MISMO TENIA COMO DESTINO FINAL LA CIUDAD DE LIMA REPUBLICA DEL PERU, CON EL SIGUIENTE ITINERARIO. SANTIAGO-LIMA EN VUELO LA 530. ACTO SEGUIDO SIENDO LAS 17:50 HS SE REALIZA COMUNICACION CON EL JUZGADO FEDERAL N°1 A/C DEL DR. BENTO, WALTER RICARDO, SECRETARIA PENAL A A/C DEL DR. CARELLI, ALBERTO DANIEL A QUIEN SE LE INFORMA DE LOS HECHOS, QUIEN DISPONE, 1-LA PERSONA MENCIONADA PERMANEZCA DETENIDA Y COMUNICADA. 2- SE ELEVE INFORME DE DATOS FILIATORIOS A DICHO JUZGADO VIA FAX. PARA REALIZAR LAS COMUNICACIONES CON INTERPOL, QUEDANDO A LA ESPERA DE SU LLAMADO.SIENDO LAS 20:20 SE RECIBE LLAMADO DEL DOCTOR CARELLI , QUIEN COMUNICA QUE SE HAGA CIERRE DE LAS ACTUACIONES Y SE LIBERE AL APRENDIDO YA QUE INTERPOL ARGENTINA DETERMINODESDE NOVIEMBRE DEL 2009 SE ENCUENTRA LEVANTADA LA CAUSA Y QUE EL ERROR SE DEBE A QUE MIGRACIONES NO FUE NOTIFICADA EN TIEMPO Y FORMA A LA QUE SE LE DARA EXTRICTO CUMPLIMIENTO.</t>
  </si>
  <si>
    <t>2157/10</t>
  </si>
  <si>
    <t>EN CUMPLIMIENTO A LO ORDENADO, SIENDO LAS 07:.30 HORAS DEL DIA 12/04/10 SE PROCEDIO A EFECTIVIZAR EL TRASLADO DEL DETENIDO EN AUTO A SEDE JUDICIAL. PTO.</t>
  </si>
  <si>
    <t>2160/10</t>
  </si>
  <si>
    <t>EN VIRTUD A LO ORDENADO, SIENDO LAS 07:30 HORAS DEL DIA 12/04/10 SE EFECTIVIZO EL TRASLADO DE LA DETENIDA HACIA SEDE JUDICIAL. QUE PROMEDIANDO LAS 13:00 HORAS REGRESA LA DETENIDA, JUNTAMENTE CON OFICIO QUE ORDENA LA INMEDIATA LIBERTAD DE LA MISMA, POR LO QUE CUMPLIMENTADAS LAS DILIGENCIAS PERTINENTES, SIENDO LAS 14:30 HORAS LA CAUSANTE SE RETIRO DE ESTE MEDIO. PTO</t>
  </si>
  <si>
    <t>INSTALACIONES DE LA EMPRESA GATE GOURMET</t>
  </si>
  <si>
    <t>VESTUARIOS</t>
  </si>
  <si>
    <t>ENCONTRANDOSE LA DENUNCIANTE EN EL SECTOR DE VESTUARIO DE LA EMPRESA, INGRESAN DOS FEMENINOS DE NOMBRES MARTA Y MONICA TORRES DE LA MISMA EMPRESA -NO APORTANDOSE MAS DATOS- , MANIFESTANDOLE LA SRA. MARTA TORRES AMENAZAS VERBALES Y DESAGRAVIOS CONTRA SU PERSONA REFIRIENDOLE QUE LA IBA A MATAR. PTO.-</t>
  </si>
  <si>
    <t>DUFFI MARIA VIRGINIA</t>
  </si>
  <si>
    <t>INFORMO QUE EL DIA 12 DE ABRIL DE 2010 SIENDO HS 21:30 SE PRESENTA LA SEÑORITA MARIA ALICIA POZZI DNI N° 32191548, EMPLEADA DE LAN ARGENTINA, QUIEN RADICA DENUNCIA N° 069/10 POR HURTO DE MP4 PROPIEDAD DE LA EMPRESA PARA LA CUAL TRABAJA, MANIFESTANDO QUE DEJO EL ELEMENTO EN CUESTION EN EL PREEMBARQUE EN LA PUERTA DE SALIDA A LA MANGA, POR UN TIEMPO ESTIMADO DE TREINTA MINUTOS, AL REGRESAR AL SECTOR SE ENCUENTRA CON LA NOVEDAD DEL FALTANTE. RECIBIDA LA DENUNCIA SE REALIZO UN RASTRILLAJE POR EL PREEMBARQUE, LUGAR DONDE SE DETECTO EL FALTANTE Y TAMBIEN POR ZONAS PROXIMAS: PAÑOL ARSA, BAÑOS PUBLICOS Y RESTRINGIDOS Y SE REFORZO LOS PUNTOS DE INSPECCION CHARLIE Y BRAVO PARA EL CONTROL DEL PERSONAL DEL AEROPUERTO RESULTANDO ESTO NEGATIVO. SE DIO INTERVENCION AL JUZGADO DE TURNO INTERVINIENTE QUIEN ORDENO SE LABREN LAS ACTUACIONES CORRESPONDIENTES PARA SU POSTERIOR ELEVACION.</t>
  </si>
  <si>
    <t>ELADIO SOTO BUSTO Y MANUEL SOTO BUSTO S/ CONTRABANDO DE ESTUPEFACIENTES</t>
  </si>
  <si>
    <t>SECTOR DE PREEMBARQUE Y CERCANIAS DE LA PUERTA A DE ESA TERMINAL</t>
  </si>
  <si>
    <t>AL SOMETERSE AL CONTROL RUTINARIO, UN MASCULINO ACTIVA LA ALARMA DEL PORTICO DETECTOR DE METALES, POR LO QUE SE LE EFECTUA UN REGISTRO POR SOBRE SUS ROPAS, PUDIENDO DETECTARSE UN BULTO EXTRAÑO EN LA ZONA INGUINAL. POR LO CUAL ES TRASLADADO A LA GUARDIA JUNTO A TESTIGOS, Y EN ESA INSTANCIA, EL MISMO REFIERE QUE VIAJA JUNTO A SU HERMANO, EL CUAL SE ENCONTRABA POR EMBARCAR EN EL VUELO EN CUESTION. COMISIONANDOSE PERSONAL POLICIAL LOCALIZARON AL PASAJERO SR. MANUEL SOTO BUSTO EN CERCANIAS DE LA PUERTA DE EMBARQUE A DE LA TERMINAL B. SEGUIDAMENTE CONTANDO YA CON LAS AUTORIZACIONES PERTINENTES, SE EFECTUA LA REQUISA SOBRE EL PRIMER MASCULINO DE LA QUE SURGEN UN TOTAL DE DIEZ CAPSULAS CONTENIDAS EN FILM Y OCULTAS EN SUS GENITALES POR LO QUE SE ORDENA DETENCION Y TRASLADO JUNTO AL SEGUNDO MASCULINO HACIA EL HOSPITAL ZONAL. DONDE EL PERSONAL MEDICO INFORMA, LUEGO DE ESTUDIOS REALIZADOS, QUE AMBOS PASAJEROS SE ENCONTRABAN INGESTADOS. HABIDA CUENTA SE LABRAN ACTUACIONES PERTINENTES, PERMANECIENDO LOS PASAJEROS EN LA UNIDAD DE TERAPIA INTENSIVA DEL HOSPITAL ZONAL MADRE TERESA DE CALCUTA. EFECTUANDOSE LOS SECUESTROS QUE DIERAN LUGAR. Y FINALIZADOS LOS MISMOS SE ELEVEN LAS DILIGENCIAS A SEDE JUDICIAL. AMPLIATORIOS DE ELADIO SOTO BUSTOS PARTE Nº 2210 -2221-2237 ELADIO SOTO BUSTOS ENTRE SUS ROPAS 10 CAPSULAS 114 GRAMOS DEP 01 13/4/10 9:40 HS 08 CAPSULAS 94 GRAMOS DEP. 02 13/04/10 12:35 HS 4 CAPSULAS 48 GRS DEP. 03 13/04/10 14:20 HS 5 CAPSULAS 58 GRS DEP. 04 13/04/10 14:50 HS 4 CAPSULAS 48 GRS DEP. 05 13/04/10 18:40 HS 3 CAPSULAS 34 GRS DEP. 06 13/04/10 21:30 HS 4 CAPSULAS 46 GRS DEP. 07 14/04/10 09:05 HS 2 CAPSULAS 26 GRS TOTAL 40 CAPSULAS 468 GRS AMPLIATORIOS DE MANUEL SOTO BUSTOS PARTE Nº 2210 -2221-2237 -2266-2283 DEP 01 13/04/10 1:58 HS 03 CAPSULAS 36 GRAMOS DEP. 02 13/04/10 13:50 HS 4 CAPSULAS 46 GRS DEP. 03 13/04/10 14:05 HS 2 CAPSULAS 24 GRS DEP. 04 13/04/10 15:50 HS 13 CAPSULAS 150 GRS DEP. 05 13/04/10 19:30 HS 6 CAPSULAS 66 GRS DEP. 06 13/04/10 21:00 HS 6 CAPSULAS 68 GRS DEP. 07 14/04/10 09:30 HS 11 CAPSULAS 128 GRS DEP. 08 14/04/10 10:10 HS 13 CAPSULAS 50 GRS DEP. 09 14/04/10 17:40 HS 13 CAPSULAS 150 GRS DEP. 10 - 15/04/10 17:30 HS 09 CAPSULAS 104GRS DEP.11 15/4/10 09 CAPSULAS 104 GRS DEP.12 05 CAPSULAS 60 GRS TOTAL 94 CAPSULAS 986 GRS SEGUN AMPLIACION PU Nº 2314 DEL DIA 19/4/10 SE LO TRASLADO AL DETENIDO ELADIO SOTO BUSTO A SEDE JUDICIAL, MIESTRAS TANTO AL DETENIDO MANUEL SOTO BUSTO SE LO TRASLADO AL CUERPO MEDICO FORENSE , LUEGO QUEDA ALOJADO EN UOSP METROLITANA SEGUN AMPLIACION PU 2327 DEL DIA 19/4/10 SE PROCEDIO AL TRASLADO DEL DETENIDO MANUEL SOTO BUSTO, POR REQUERIMIENTO DEL DR. SILVA PERTENECIENTE AL CUERPO MEDICO FORENSE, EL CUAL MANTUVO COMUNICACION CON EL JUZGADO INTERVINIENTE, INFORMANDO QUE EL DETENIDO SUFRE UN TRASTORNO INDUCIDO POR SUSTANCIAS TOXICAS, SOBRE UN TRASTORNO GRAVE DE PERSONALIDAD. MOTIVO POR EL CUAL SE PROCEDIO AL TRASLADO A LA UNIDAD DE DETENCION N° 20 DEL HOSPITAL SIQUIATRICO BORDA, DONDE QUEDARA ALOJADO A DISPOSICION DEL JUZGADO. LA REGIONAL I INFORMA TELEFONICAMNETE QUE CARECE DE ACTA TOTAL O PARCIAL DE LAS DEPOSICIONES ,,POR LO CUAL LOS PESAJES Y CANTIDAD DE CAPSULAS AQUÍ DETALLADOS SON PRODECENTES DE LOS PARTES URGENTES AMPLIATORIOS</t>
  </si>
  <si>
    <t>2188/10</t>
  </si>
  <si>
    <t>SIENDO LAS NUEVE HORAS DEL DIA 13/04/10 SE PROCEDE A EFECTIVIZAR EL TRASLADO DEL DETENIDO JUNTAMENTE CON LAS ACTUACIONES HACIA SEDE JUDICIAL EN CUMPLIMIENTO A LO ORDENADO POR S.SA</t>
  </si>
  <si>
    <t>CONTROL PSA PATIO DE VALIJAS</t>
  </si>
  <si>
    <t>INSTITUTO MALBRAN CIUDAD AUTONOMA DE BUENOS AIRES</t>
  </si>
  <si>
    <t>SE CONFECCIONA EL PRESENTE A LOS EFECTOS DE INFORMAR SOBRE EL TRANSPORTE DE MM PP -MERCANCIA PELIGROSA-, SERIAN DOS MUESTRAS BIOLOGICAS TIPO B UN 3373, CLASE 6.2 EN EL VUELO 2882-3 CON DESTINO FINAL AEROPARQUE. EMBALADOS EN DOS BULTOS CERRADOS HERMETICAMENTE Y CONTENIDOS EN DOS CAJAS ACORDE A SU TRASLADO, SEGUN ESPECIFICA EL GRUPO E INSTRUCCION DE EMBALAJE 850.CON UN PESO DE 1,950 KGR NUMERO GUIA DE CARGA AEREA NRO 9371428-3 Y LA RESTANTE CON UN PESO DE 0,500 KGR GUIA DE CARGA AEREA NRO 9371427-2 DE LA EMPRESA JET -PAQ. CON DESTINO FINAL EL INSTITUTO MALBRAN.</t>
  </si>
  <si>
    <t>PTA. INF. AL ART. 164 DEL C.P.N</t>
  </si>
  <si>
    <t>POSICIONES DE ESTACIONAMIENTO DE AERONAVES 24 Y 25</t>
  </si>
  <si>
    <t>PERSONAL DEL PUESTO DE GUARDIA FIJO UNO INFORMA, QUE DE ACUERDO A LO VERTIDO POR PERSONAL DE LA EMPRESA AEROHANDLING, ENTRE LAS POSICIONES 24 Y 25 HABRIA VARIOS BULTOS ABANDONADOS NO BRINDANDO MAYORES DATOS AL RESPECTO. POR LO CUAL SE CONSTITUYE PERSONAL POLICIAL EN ESE SECTOR, CONVOCANDO DOS TESTIGOS, OBSERVANDOSE CINCO CAJAS Y UNA SACA CON SIGNOS DE HABER SIDO APERTURADAS. EN VIRTUD A ELLO Y MANTENIDAS LAS COMUNICACIONES JUDICIALES PERTINENTES, SE INDICO SE PROCEDA AL SECUESTRO DE LOS ELEMENTOS Y DE SER POSIBLE SE REALICE UN RELEVANTAMIENTO DE RASTROS, DEBIENDO A SU VEZ ARBITRARSE LOS MEDIOS MEDIANTE LAS EMPRESAS DE CORREO PARA DETERMINAR LA PROCEDENCIA DE LOS ELEMENTOS. AL NO PODER EFECTUARSE EL LEVANTAMIENTO DE RASTRO SEGUIDAMENTE SE EFECTUO EL SECUESTRO CORRESPONDIENTE. CONTINUANDOSE CON EL LABRADO DE LAS DEMAS DILIGENCIAS ORDENADAS. PTO</t>
  </si>
  <si>
    <t>EN EL DIA DE LA FECHA SE PRESENTA LA EXPONENTE A EFECTOS DE PONER EN CONOCIMIENTO DEL EXTRAVIO DE UN PERMISO PERSONAL AEROPORTUARIO PERMANENTE NRO. 318192 CON ASIGNACION DE SECTORES 1-3-4-5, FECHA DE VENCIMIENTO 01-SET-10 Y DE UNA MAIFRER, AMBA DOCUMENTACION A NOMBRE DE LA CAUSANTE, NO PUDIENDO PRECISAR EL DÍA NI EL LUGAR DEL EXTRAVIO.</t>
  </si>
  <si>
    <t>INCIDENTE DE EXCARCELACION DE FACUNDO MATIAS GUTIERREZ</t>
  </si>
  <si>
    <t>SIENDO LAS 10:15 HORAS LOCAL SE TRASLADA A LA EXCELENTISIMA CAMARA FEDERAL DE APELACIONES DE LA CIUDAD DE COMODORO RIVADAVIA A CARGO DEL DR. ALDO E. SUAREZ UN SOBRE CERRADO CONTENIENDO EN SU INTERIOR DOCUMENTACION RESPECTO A LA CAUSA NRO 2277, INCIDENTE DE EXCARCELACION DE FACUNDO MATIAS GUTIERREZ, ENVIADA POR LA UNIDAD OPERACIONAL SEGURIDAD PREVENTIVA DE USHUAIA.</t>
  </si>
  <si>
    <t>DALEIA LILIANA M.</t>
  </si>
  <si>
    <t>CARREÑO, RONNY S/ CONTRABANDO DE ESTUPEFACIENTES</t>
  </si>
  <si>
    <t>SALTA 92 HOTEL ESCORIAL AV. CORRIENTES 818 - HOTEL LAS NACIONES EE.UU. 1450 PLANTA 4 C</t>
  </si>
  <si>
    <t>EN EL DIA DE LA FECHA SE RECIBE OFICIO JUDICIAL ORDENANDO TAREAS INVESTIGATIVAS EN LOS DOMICILIOS MENCIONADOS COMO ASI TAMBIEN CONSTATAR LA PARTICIPACION DE TERCERAS PERSONAS, ANALISIS DE TELEFONO CELULAR, CHIPS, DOMICILIOS DE ABONADOS, NUMEROS TELEFONICOS QUE SURJA DE LOS REGISTROS. DICHAS INVESTIGACIONES NACEN EN EL MARCO DE LA CAUSA DONDE SE PRODUCE LA DETENCION DE RONNY CARREÑO CUANDO INTENTABA TRANSPORTAN EN EL INTERIOR DE UN ORGANO MARCA CASIO CTK 2100 ,PAQUETES CON ESTUPEFACIENTE SALIENDO DE ARGENTINA EN EL VUELO AR 1160 DE AEROLINEAS ARGENTINAS CON DESTINO BARCELONA ESPAÑA . DATOS QUE FUERAN INFORMADOS OPORTUNAMENTE POR PU Nº 2198-2157. DE LA UOSP EZEIZA</t>
  </si>
  <si>
    <t>2202/10</t>
  </si>
  <si>
    <t>PROCEDO A INFORMAR LAS DEPOSICIONES EFECTUADAS DE LOS DETENIDOS ALOJADOS EN EL HOSPITAL ZONAL MADRE TERESA DE CALCUTA: DETENIDO ELADIO SOTO BUSTOS-13/04/10 9:40 HS 08 CAPSULAS 94 GRAMOS -13/04/10 12:35 HS 04 CAPSULAS 48 GRAMOS DETENIDO MANUEL SOTO BUSTOS-13/04/10 11:58 HS 03 CAPSULAS 36 GRAMOS</t>
  </si>
  <si>
    <t>NN S/LEY DE ESTUPEFACIENTES</t>
  </si>
  <si>
    <t>PROVINCIAS DE MISIONES , CORRIENTES Y ENTRE RIOS</t>
  </si>
  <si>
    <t>EN EL MARCO DE LA CAUSA 6539/07 SE RECIBIO OFICIO Nº 632/2010, DE FECHA 13 DE ABRIL DEL CORRIENTE AÑO. EN EL CUAL SE HACE SABER QUE PERSONAL DE ESTA UOCN DC V O QUIEN ESTA DESIGNE, SE ENCUENTRA AUTORIZADO A REALIZAR AMPLIAS TAREAS INVESTIGATIVAS DE ACUERDO A LO NORMADO EN EL ART. 32 DE LA LEY 23737, EN LOS TERRITORIOS DE LAS PROVINCIAS DE MISIONES, CORRRIENTES Y ENTRE RIOS, ELLO CON EL FIN DE REALIZAR EL SEGUIMIENTO A UN TRANSPORTE DE CARGA O VEHICULAR CON SUSTANCIA ESTUPEFACIENTE QUE PUDIERA REALIZARSE DESDE LA LOCALIDAD DE GOBERNADOR ROCA, A LA CIUDAD DE OBERA, PROVINCIA DE MISIONES CON DESTINO A LA CIUDAD DE FEDERACION, PROVINCIA DE ENTRE RIOS Y LOS SITIOS EN QUE PUDIERA CIRCULAR EL TRANSPORTE INVESTIGADO</t>
  </si>
  <si>
    <t>FISCAL C/ DURAN VELASQUEZ JHONNY A. S/AV. INF. LEY 22.415</t>
  </si>
  <si>
    <t>90.291-A</t>
  </si>
  <si>
    <t>EN EL DIA DE LA FECHA SE RECEPCIONO OFICIO JUDICIAL DEL JUZGADO Nº1 DE MENDOZA EN EL MARCO DE LA CAUSA FISCAL C/DURAN VELASQUEZ JHONNY A. S/AV. INF. LEY 22.415 DIRECCIONADO AL SR. SUBINTERVENTOR DE SEGURIDAD AEROPORTUARIA COMPLEJA VICECOMODORO TELPUK, A FIN DE SOLICITARLE SE SIRVA ARBITRAR LOS MEDIOS NECESARIOS A EFECTOS DE CONSTATAR SI EL CIUDADANO DURAN VELASQUEZ ESTUVO ALOJADO Y CON QUIEN EN EL HOTEL 26 DE SETIEMBRE Y EN EL HOTEL LA GIRALDA, AMBOS DE LA CIUDAD DE BUENOS AIRES, CORROBORAR SI SE VISITO CON OTRAS PERSONAS EN DICHOS HOTELES, TOMAR FOTOGRAFIAS DEL LUGAR Y LAS PERSONAS INDIVIDUALIZADAS, Y SOLICITAR COPIA DE LOS VIDEOS DE CAMARAS DE SEGURIDAD SI LOS HUBIERE</t>
  </si>
  <si>
    <t>FISCALIA GENERAL Y DE COORDINACIÓN - NEUQUEN</t>
  </si>
  <si>
    <t>Dra. Maria Patricia BRIZUELA</t>
  </si>
  <si>
    <t>VEREDA</t>
  </si>
  <si>
    <t>PUERTA DE ACCESO A HALL CENTRAL</t>
  </si>
  <si>
    <t>RELATO: DE ACUERDO A LAS IMAGENES OBTENIDAS EN EL SISTEMA DE GRABACIÓN DEL CCTV DE ÉSTA TERMINAL AÉREA, SE OBSERVO LA ACTITUD SOSPECHOSA DE UN MASCULINO NN QUE HABRIA COMETIDO EL HURTO DE LA VALIJA DE PROPAGANDA UTILIZADA POR LA EMPRESA DAMNIFICADA. DE LAS CONSULTAS EFECTUADAS A LA DRA. LUCERO, DISPONE SE EFECTUE COPIA DEL MATERIAL FILMICO ALMACENADO EN EL SISTEMA DE GRABACIÓN, SE TOME DECLARACION TESTIMONIAL AL TURNO DE LA GUARDIA PREVENTIVA Y DE EXISTIR UNA PERSONA COMO REFERENTE DE LOS TAXISTA EN ÉL AEROPUERTO, Y QUE PUEDA APORTAR INFORMACIÓN EN FORMA RESERVADA, PRESTARA DECLARACIÓN SOBRE SU ACTIVIDAD EN EL AEROPUERTO Y SI CONOCE A LOS TAXISTAS DEL ÁMBITO AEROPORTUARIO, PARA POSTERIORMENTE MOSTRAR LAS IMAGENES DEL VIDEO EN PROCURA DE IDENTIFICAR AL SOSPECHOSO. DE SER HÁBIDO SE PROCEDA A SU APREHENSIÓN Y COMUNICACION AL JUZGADO INTERVINIENTE. EL PARTE URGENTE ORIGINARIO ES EL 2173</t>
  </si>
  <si>
    <t>NAC DE 1º INST EN LO CRIMINAL DE INST Nº 15</t>
  </si>
  <si>
    <t>SECRETARIA Nº 146</t>
  </si>
  <si>
    <t>Cresseri</t>
  </si>
  <si>
    <t>Rodolfo Carlos</t>
  </si>
  <si>
    <t>MUERTE P/CAUSA D</t>
  </si>
  <si>
    <t>INFORMO QUE EN EL CONTROL DE DOCUMENTACION DE PASAJEROS SE DETECTA A TRAVES DEL SISTEMA DE INTERPOL PEDIDO DE PARADERO VIGENTE POR PARTE DEL JUZGADO NACIONAL EN LO CRIMINAL DE INSTRUCCION Nº15 SEC. Nº146 DEL SEÑOR RODRIGUEZ TRAVERSO MARCELO FABIAN SE RECIBE ACTA DE INTERPOL Y SE PROCEDE A NOTIFICAR AL CAUSANTE QUE DEBE COMPARECER ANTE EL JUZGADO SOLICITANTE DE LA MEDIDA EN EL TERMINO DE CINCO DIAS HABILES DE LABRADA DICHA NOTIFICACION.</t>
  </si>
  <si>
    <t>JUZGADO NACIONAL EN LO CIVIL Nº 7</t>
  </si>
  <si>
    <t>IPARRAGUIRRE</t>
  </si>
  <si>
    <t>DIEGO</t>
  </si>
  <si>
    <t>MARCELA SOMER</t>
  </si>
  <si>
    <t>LEY 22914</t>
  </si>
  <si>
    <t>NOTIFICACION PEDIDO DE CAPTURA</t>
  </si>
  <si>
    <t>INFORMO QUE EN EL CONTROL DE DOCUMENTACION DE PASAJEROS SE DETECTA A TRAVES DEL SISTEMA DE INTERPOL PEDIDO DE CAPTURA VIGENTE POR PARTE DEL JUZGADO EN LO CIVIL Nº 7 SECRETARIA Nº 14 DEL SEÑOR RODRIGUEZ TRAVERSO MARCELO FABIAN SE RECIBE ACTA DE INTERPOL Y SE ESTABLESE COMUNICACION TELEFONICA CON DICHO JUZGADO SIENDO ATENDIDO POR LA DRA. MARCELA SOMER A/C DE LA SECRETARIA DE DICHO JUZGADO QUIEN INFORMA QUE NO POSEE REGISTRO DE LA CAUSA Y QUE EL JUZGADO PERMANECE CERRADO Y NO PUEDE TOMAR NINGUNA MEDIDA ACTO SEGUIDO SE REALIZA COMUNICACION TELEFONICA CON EL DR. MIGUEL MAZAL SECRETARIO DEL JUZGADO DE INSTRUCCION Nº3 DE LA CIUDAD DE PUERTO IGUAZU QUIEN ENTERADO DE LOS HECHOS DISPONE SE NOTIFIQUE AL CAUSANTE QUE DEBE COMPARECER ANTE EL JUZGADO SOLICITANTE DE LA MEDIDAD A REGULARIZAR SU SITUACION A LA BREVEDAD.</t>
  </si>
  <si>
    <t>CAEIRO, SUSANA</t>
  </si>
  <si>
    <t>BUENOS AIRES-CORDOBA</t>
  </si>
  <si>
    <t>QUE EN EL DIA DE LA FECHA SE RECEPCIONA OFICIO JUDICIAL DE FECHA 13 DE ABRIL DEL CORRIENTE AÑO ELEVADO AL SR. DIRECTOR DE LA DIRECCION SUPERIOR DE POLICIA AEROPORTUARIA -SUB DE ASUNTOS JURIDICOS ENVIADO SEGUN CORREO AEROPORTUARIO N° 1111 RGHO 122030 ABR 2010 EN EL CUAL SE SOLICITA SE CONTEMPLE LA POSIBILIDAD DE AFECTAR PERSONAL A TAREAS INVESTIGATIVAS EN RELACION AL HECHO QUE SE INVESTIGA</t>
  </si>
  <si>
    <t>SIENDO EL DIA Y HORA INDICADO ANTERIORMENTE, LA DENUNCIANTE ARRIBO AL TERRITORIO NACIONAL Y SE DIRIGIO HACIA EL SECTOR DE PERGOLA DE ARRIBOS DE LA TERMINAL A, QUE EN ESE LUGAR SE ENCUENTRA CON UN MASCULINO JOVEN DE TEZ TRIGUEÑA VESTIDO CON CAMPERA DE COLOR BLANCO, DEL CUAL NO APORTA MAS DATOS, EL CUAL LE OFRECE SERVICIO DE TRANSPORTE, QUE LA FEMENINA, ACCEDE ACORDANDO UN PRECIO PARA EL VIAJE HASTA LA CIUDAD AUTONOMA DE BUENOS AIRES DE CINCUENTA DOLARES AMERICANOS, QUE LA FEMENINA LE HACE ENTREGA AL MASCULINO, UN BILLETE DE CIEN DOLARES, REFIRIENDOLE EL MASCULINO QUE EL BILLETE QUE LE HABIA ENTREGADO ERA DE UN DOLAR Y SE LO DEVUELVE Y NO DE CIEN, QUE LA FEMENINA ESTABA CONFUNDIDA Y EN ESE MOMENTO LE HACE ENTREGA AL MASCULINO OTRO BILLETE DE CIEN DOLARES, DEVOLVIENDOLE EL MASCULINO CINCUENTA DOLARES. SEGUIDAMENTE LA FEMENNINA ABORDA UN VEHICULO TAXI CAPITAL MARCA PEUGEOT 504, EN EL CUAL ABANDONA ESTE MEDIO. QUE EN CAMINO A LA CIUDAD AUTONOMA DE BUENOS AIRES, PASANDO EL PRIMER PEAJE DE LA AUTOPISTA RICHIERI, LA DENUNCIANTE LE MANIFIESTA AL TAXISTA QUE QUERIA VOLVER AL AEROPUERTO PORQUE HABIA SIDO VICTIMA DE UN ILICITO. SEGUIDAMENTE REGRESA LA DENUNCIANTE EN COMPAÑIA DEL TAXISTA Y SE HACEN PRESENTE EN ESTA GUARDIA RADICANDO LA CORRESPONDIENTE DENUNCIA.</t>
  </si>
  <si>
    <t>PZ700</t>
  </si>
  <si>
    <t>SIENDO LAS 07:00 HORAS, SE IMPLEMENTA OPERATIVO DE SEGURIDAD PRESIDENCIAL CON MOTIVO DEL ARRIBO DE LA SRA PRESIDENTE DE LA NACION A ESTE A ESTE AEROPUERTO METROPOLITANO PROVENIENTE DE LOS ESTADOS UNIDOS DE AMERICA. SIENDO LA HORA 07:46 HS. ARRIBA LA PRIMERA MANDATARIA EN LA AERONAVE MATRICULA T-01, RETIRANDOSE LUEGO DE ESTE AEROPARQUE METROPOLITANO EN AERONAVE H-02 A LA HORA 07:54 HS, FINALIZANDO DE ESTA FORMA EL OPERATIVO SIN NOVEDAD.</t>
  </si>
  <si>
    <t>INFORMO A TRAVES DEL PRESENTE LAS SIGUENTES DEPOSICIONES: DETENIDO MANUEL SOTO BUSTOS DEP. 02 13/04/10 13:50 HS 4 CAPSULAS 46 GRS DEP. 03 13/04/10 14:05 HS 2 CAPSULAS 24 GRS DEP. 04 13/04/10 15:50 HS 13 CAPSULAS 150 GRS DEP. 05 13/04/10 19:30 HS 6 CAPSULAS 66 GRS DEP. 06 13/04/10 21:00 HS 6 CAPSULAS 68 GRS DETENIDO ELADIO SOTO BUSTOS DEP. 02 13/04/10 12:35 HS 4 CAPSULAS 48 GRS DEP. 03 13/04/10 14:20 HS 5 CAPSULAS 58 GRS DEP. 04 13/04/10 14:50 HS 4 CAPSULAS 48 GRS DEP. 05 13/04/10 18:40 HS 3 CAPSULAS 34 GRS DEP. 06 13/04/10 21:30 HS 4 CAPSULAS 46 GRS</t>
  </si>
  <si>
    <t>averiguacion de ilicito</t>
  </si>
  <si>
    <t>QUE SIENDO LA HORA INDICADA EL DENUNCIANTE ARRIBA A ESTA AEROESTACIÓN Y LUEGO DE FINALIZAR LOS TRAMITES CORRESPONDIENTES A DICHO ARRIBO SE DIRIGE AL CAJERO AUTOMÁTICO QUE SE ENCUENTRA EN EL SECTOR DE MENCIÓN DONDE REALIZA UNA EXTRACCIÓN DE DINERO Y LUEGO SE RETIRA DEL MISMO. QUE LUEGO SE PERCATA DEL OLVIDO DE SU TARJETA EN EL CAJERO DE MENCIÓN POR LO QUE REGRESA AL MISMO DONDE ENCUENTRA A UNA PERSONA DE SEXO MASCULINO QUE SE ENCONTRABA REALIZANDO UNA EXTRACCIÓN DE DINERO Y LE CONSULTA SI HABÍA ENCONTRADO UNA TARJETA MANIFESTANDO EL MASCULINO QUE OBSERVO QUE EL CAJERO RETUVO UNA TARJETA DE COLOR AZUL. QUE NO CONFORME CON LA RESPUESTA DEL MASCULINO EL DENUNCIANTE PERMANECIÓ EN EL LUGAR Y OBSERVA QUE AL FINALIZAR CON LA TRANSACCIÓN EL CAJERO DEVUELVE UNA TARJETA QUE EL DENUNCIANTE RECONOCE COMO DE SU PROPIEDAD POR LO QUE EN FORMA INMEDIATA LE SUSTRAJO DE LAS MANOS AL MASCULINO DICHA TARJETA Y EL DINERO EXTRAÍDO. SEGUIDAMENTE EL MASCULINO SE RETIRA DEL LUGAR EN ESTADO DE NERVIOSISMO Y A PASOS ACELERADOS Y EL DENUNCIANTE SE HACE PRESENTE EN EL TURNO DE PREVENCIÓN Y RADICA LA CORRESPONDIENTE DENUNCIA.-</t>
  </si>
  <si>
    <t>AV-087</t>
  </si>
  <si>
    <t>SE CONFECCIONA EL PRESENTE A LOS EFECTOS DE INFORMAR QUE EN EL DIA DE LA FECHA, SIENDO LAS 03:35 HS LOCAL, SE REALIZA EL EMBARQUE EN EL VUELO AU 2883, DE LA EMPRESA AUSTRAL LINEAS AEREAS, DE LA SEÑORITA LUCILA PEREIRA MARTINEZ, CI PARAGUAYA NRO 4.559.558, CON DESTINO A AEROPARQUE. ARRIBARA APROXIMADAMENTE A LAS 06:40. EL MISMO SE REALIZA EN CUMPLIMIENTO A LO SOLICITADO EN NOTA DE COLABORACIÓN NRO 201/10, DE FECHA 13 DE ABRIL DE 2010, EMANADA POR EL TITULAR DE LA SECRETARÍA DE ESTADO DE DERECHOS HUMANOS DE LA PROVINCIA DE SANTA CRUZ, SEÑOR HUMBERTO J. QUIÑONEZ. A TAL EFECTO SE COORDINÓ CON EL OFICIAL JEFE ALEJANDRO SILVA, JEFE DE TURNO DE LA UOSP AEROPARQUE, PARA QUE RECEPCIONE Y CUSTODIE A LA ANTES MENCIONADA, DONDE EL SEÑOR RICARDO MAGIO, RESIDENTE DE LA CIUDAD AUTONOMA DE BUENOS AIRES Y MIEMBRO DE LA SECRETARÍA ANTES MENCIONADA, REALIZARÁ LA COORDINACIÓN CON PERSONAL DE LA UOSP AEROPARQUE PARA QUE LA CIUDADANA EN CUESTIÓN SEA EMBARCADA EN EL VUELO DE LA EMPRESA AEROLÍNEAS ARGENTINAS AR 2504 CON DESTINO A LA CIUDAD DE CÓRDOBA, QUE PARTE DE AEROPARQUE A LAS 07:55 HS ARRIBANDO A LAS 09:55 HS APROXIMADAMENTE, DONDE SERÁ RECEPCIONADA POR LA SRA MARISA CORDOBA, PERSONAL DE LA SECRETARÍA DE DERECHOS HUMANOS DE LA PROVINCIA DE CÓRDOBA.</t>
  </si>
  <si>
    <t>RAUL FERNANDO SANCHEZ</t>
  </si>
  <si>
    <t>SIENDO LAS 10.16 HRS ARRIBO A ESTA AEROSTACION EN EL VUELO AR 2405 DE AEROLINEAS ARGENTINAS LA SEÑORITA LUCILA PEREYRA MARTINEZ C.I. 4.559.558 EN CALIDAD DE TESTIGO SOBRE UNA CAUSA DE TRATA DE PERSONAS SIENDO RECIBIDA POR LOS SEÑORES HORACIO SALUSSO DNI 20.532.528 Y CARINA MARTINEZ DNI N 23.427.829 AMBOS PERTENECIENTES AL PROGRAMA DE ASISTENCIA DE VICTIMA DEL DELITO OFICINA DEPENDIENTE DE LA SECRETARIA DE DERECHOS HUMANOS DE LA PROVINCIA DE CORDOBA A CARGO DEL DR. RAUL FERNANDEZ SANCHEZ. LA COMISION SE RETIRO DE LA AEROESTACION A LAS 11:00 HRS SIN NOVEDAD</t>
  </si>
  <si>
    <t>CALLE DE INGRESO A RAMPA DE MOVIMIENTOS, FRENTE A PLAYON DE YPF, Y SECTOR SUR DE PLATAFORMA OPERATIVA.</t>
  </si>
  <si>
    <t>EN RELACION A ORDEN DE SERVICIO DE LA URSA II DEL CENTRO Nº 108/10, ARRIBO A ESTA AEROESTACION LA AERONAVE FOCKER F28 DE FUERZA AEREA ARGENTINA, MATRICULA TC55, LA CUAL FUE ESTACIONADA EN POSICION 6. INGRESARON CUATRO UNIDADES BLINDADAS DE PROSEGUR PARA EL MOVIMIENTO DE VALORES. EL VUELO PARTIÓ DE ESTA JURISDICCION A LAS 11:47 HORAS FINALIZANDO EL OPERATIVO SIN NOVEDAD.</t>
  </si>
  <si>
    <t>CIUDAD DE BUENOS AIRES - PALOMAR</t>
  </si>
  <si>
    <t>INFORMO EN EL DIA DE LA FECHA ATERRIZO AERONAVE DE FUERZA AEREA TC55 TRASLADANDO VALORES DEL BANCO CENTRAL DE LA REPUBLICA ARGENTINA, DANDOSE CUMPLIMIENTO A LA ORDEN DE SERVICIO Nº 0010/10 DE FECHA 14/04/2010 REFERENTE OPERATIVO DE SEGURIDAD, LA MISMA FINALIZA SIN NOVEDAD</t>
  </si>
  <si>
    <t>TC55</t>
  </si>
  <si>
    <t>1688/10</t>
  </si>
  <si>
    <t>MENDOZA 2459 - AV. INDEPENDENCIA 316 - BOLIVAR 3276</t>
  </si>
  <si>
    <t>SAN MIGUEL DE TUCUMAN - TUCUMAN</t>
  </si>
  <si>
    <t>SE AMPLIA EL P.R. GENERADOR N° 1463/10, EL CUAL DA CUMPLIMIENTO DE LO ORDENADO EN MEMORANDO N° 297/10, PRODUCIDO POR EL CEAC - DOPA, INFORMANDO QUE SE DA INICIO A O.S. N° 059/10 (URSA III DEL NORTE), POR LO QUE SIENDO HS. 09:15, PERSONAL DE LA UOCN Y DC DEL NORTE, CENTRAL Y DE LA UOA DE ESTA PSA, SE DIRIGEN AL DOMICILIO UBICADO EN CALLE MENDOZA 2459, DONDE SE PROCEDE A LA DETENCION DEL CIUDADANO RICARDO OSCAR SANCHEZ. SIMULTANEAMENTE EN EL DOMICILIO DE AV. INDEPENDENCIA 316, SE LLEVA A CABO LA DETENCION DEL CIUDADANO LUIS ALBERTO SOSA Y EN EL DOMICILIO DE CALLE BOLIVAR 3276 SE HACE LO PROPIO CON EL CIUDADANO JUAN ALBERTO ABRAHAM. EN TODOS LOS CASOS SE LES REALIZA A LOS DETENIDOS LA LECTURA DE DERECHOS Y GARANTIAS, LABRANDOSE LAS ACTAS DE DETENCION CORRESPONDIENTES, TODO ELLO EN PRESENCIA DE TESTIGOS HABILES. FINALIZADOS ESTOS ACTOS SE REALIZA EL TRASLADO DE LOS MISMOS EN MOVILES NO IDENTIFICABLES, HACIA DEPENDENCIAS DE LA UOSP TUCUMAN, DONDE SE LES EFECTUA TOMAS FOTOGRAFICAS Y DE HUELLAS DACTILARES. SIENDO HS. 11:50, SE REALIZA EL TRASLADO DE LOS DETENIDOS SANCHEZ Y SOSA Y A HS. 12:25 SE EFECTUA EL TRASLADO DEL DETENIDO ABRAHAM, TODOS ELLOS A DEPENDENCIAS DEL JUZGADO FEDERAL DE TUCUMAN.</t>
  </si>
  <si>
    <t>POSICION 53, 54 Y 55</t>
  </si>
  <si>
    <t>EL DIA DE LA FECHA SIENDO LA HORA INDICADA ARRIBA EL SR. PRESIDENTE DE LA FEDERACION RUSA Y COMITIVA SIN NOVEDAD</t>
  </si>
  <si>
    <t>PLATAFORMA - AERONAVE</t>
  </si>
  <si>
    <t>EN EL DIA DE LA FECHA SE PROCEDE A IMPLEMENTAR LAS MEDIDAS DE SEGURIDAD PARA DAR CUMPLIMIENTO A LA ORDEN DE SERVICIO Nº 239/10, REFERENTE AL MEMORANDO Nº 434/10 - FAX PROCEDENTE DEL CEAC Y ORDEN DE SERVICIO Nº 226/10 PROCEDENTE DE LA URSA I DEL ESTE. DICHAS MEDIDAS CONFORMAN EL DESPLAZAMIENTO DENTRO DE LAS INSTALACIONES DEL AEROPUERTO DE LA CIUDADANA DUARTE GASPARINA, FINALIZANDO EN EL EMBARCO A LA REPUBLICA DE PARAGUAY, A LAS 13:30 HS APROXIMADAMENTE. SIN NOVEDAD</t>
  </si>
  <si>
    <t>SECTOR DENOMINADO ISLA, SITO ENTRE LA CALLE DE RODAJE C Y D.</t>
  </si>
  <si>
    <t>SE RECIBE COMUNICACION TELEFONICA POR PARTE DE PERSONAL POLICIAL DEL PATIO DE VALIJAS QUIEN DA CUENTA QUE FUE ANOTICIADO POR PERSONAL DE LA EMPRESA H.A.S. QUE SE ENCONTRABAN VARIAS CAJAS DENTRO DE UN TACHO DE TRASLADO DE EQUIPAJES DE LA EMPRESA UNITED AIRLINES Y UNA SACA DE CORREO DENTRO DE UN TACHO DE TRASLADO DE EQUIPAJES DE LA EMPRESA AEROLINEAS ARGENTINAS, EN EL SECTOR DESCRIPTO CON ANTERIORIDAD, SIN PERSONAL QUE CUSTODIE LA MISMA. A TAL EVENTO SE COMISIONA A PERSONAL POLICIAL QUIEN UNA VEZ EN EL LUGAR CONSTATA QUE EN DICHO LUGAR SE ENCONTRABAN UN TOTAL DE SIETE CAJAS DE CARTON SIN PRESENTAR DAÑO ALGUNO NI SIGNOS DE VIOLENCIA VISIBLES, Y UNA SACA DE COLOR BLANCA, LA CUAL SE ENCONTRABA ABIERTA, CONTENIENDO EN SU INTERIOR PAPELES Y BOLSAS VARIAS. QUE MANTENIDA COMUNICACION CON EL JUZGADO INTERVINIENTE, DISPUSO SE LABREN ACTUACIONES SUMARIAS CARATULADA ROBO, SE PROCEDA AL SECUESTRO DE LAS CAJAS Y POSTERIOR ENTREGA DE LAS MISMAS A PERSONAL DE LAS EMPRESAS, QUIENES DEBERAN IDENTIFICAR LA CARGA COMO DE SU PROPIEDAD.</t>
  </si>
  <si>
    <t>Atlanta</t>
  </si>
  <si>
    <t>Buenos Aires</t>
  </si>
  <si>
    <t>DALEIA LILIANA</t>
  </si>
  <si>
    <t>CARREÑO RONNY S/CONTRABANDO DE ESTUPEFACIENTES</t>
  </si>
  <si>
    <t>ESTADOS UNIDOS 1450, B° SAN CRISTOBAL, PISO 4° DPTO C, CABA</t>
  </si>
  <si>
    <t>REF. ORDEN DE SERVICIO Nº 276 EN EL DÍA DE LA FECHA SE REALIZO UN ALLANAMIENTO EN LA FINCA UBICADA EN LA CALLE ESTADOS UNIDOS 1450 B° SAN CRISTOBAL - C.A.B.A. ORDENADO POR LA JUDICATURA INTERVINIENTE EN EL MARCO DE LA CAUSA DE REFERENCIA CON RESULTADO POSITIVO. EN DICHO DPTO SE ESTABLECIO COMUNICACION CON EL JUZGADO INTERVINIENE LO CUAL ORDENO LA DETENCIÓN EN CARÁCTER DE INCOMUNICADO, Y AL FINALIZAR SE CIERRE EL INMUEBLE, SE COLOQUEN FAJAS DE SEGURIDAD Y LAS LLAVES SEAN ENTREGADAS JUNTO CON LO ACTUADO A LA JUDICATURA INTERVINIENTE. EL DETENIDO QUEDO ALOJADO EN LA UOSP EZEIZA PARA LUEGO SER TRASLADADO AL JUZGADO.</t>
  </si>
  <si>
    <t>2221/10</t>
  </si>
  <si>
    <t>INFORMO A TRAVES DEL PRESENTE LAS SIGUENTES DEPOSICIONES: DETENIDO MANUEL SOTO BUSTOS DEP. 07 14/04/10 09:30 HS 11 CAPSULAS 128 GRS DEP. 08 14/04/10 10:10 HS 13 CAPSULAS 50 GRS DEP. 09 14/04/10 17:40 HS 13 CAPSULAS 150 GRS DETENIDO ELADIO SOTO BUSTOS DEP. 07 14/04/10 09:05 HS 2 CAPSULAS 26 GRS</t>
  </si>
  <si>
    <t>OFICINA CENTRAL DNM</t>
  </si>
  <si>
    <t>SIENDO LAS DIECINUEVE HORAS CUARENTA MINUTOS APROXIMADAMENTE, SE APERSONA EN ESTA GUARDIA PERSONAL DE LA DIRECCION NACIONAL DE MIGRACIONES SOLICITANDO LA PRESENCIA DE PERSONAL POLICIAL EN SU OFICINA, DEBIDO A QUE UNA PERSONA DE SEXO MASCULINO QUE HABIA ARRIBADO AL PAIS EN EL VUELO MH201, EL DIA DE LA FECHA A LAS QUINCE HORAS APROXIMADAMENTE SIN NINGUNA DOCUMENTACION QUE ACREDITE SU IDENTIDAD, QUE EN VIRTUD A ELLO ESTABA POR SER EMBARCADA EN EL VUELO MH202, REGRESANDO A LA CIUDAD DE DESTINO, QUE EN VIRTUD A QUE EL MASCULINO NO QUERIA REGRESAR A MALASIA, COMENZO A AUTOINFLINGIRSE CORTADURAS EN EL PECHO, LAS CUALES FUERON SUPERFICIALES Y NO NECESITARON ATENCION MEDICA. POR TAL MOTIVO SE LO TRASLADA A SANIDAD Y ANOTICIADO EL JUZGADO INTERVINIENTE DISPONE SE LO DETENGA EN CARACTER DE INCOMUNICADO Y SE LO TRASLADE A SEDE JUDICIAL EL DIA DE LA FECHA EN HORAS DE LA MAÑANA. SEGUN PU Nº 2248 SIENDO LAS SIETE HORAS, TREINTA MINUTOS, EL DETENIDO EN AUTOS ES TRASLADADO A SEDE TRIBUNALICIA SIN NOVEDAD. SEGUN PU Nº 2263SIENDO LAS DIECISIETE HORAS TREINTA MINUTOS, REGRESA LA COMISION, JUNTAMENTE CON EL DETENIDO EN AUTOS, PARA LUEGO SER TRASLADADO AL CUERPO MEDICO FORENSE. QUE SIENDO LAS DIECIOCHO HORAS SALE LA COMISION, JUNTO CON EL DETENIDO, CON DESTINO AL CUERPO MEDICO FORENSE. FINALMENTE SIENDO LAS VEINTIUNA HORAS SE HIZO PRESENTE DICHA COMISION, JUNTO CON EL DETENIDO, INFORMANDO QUE DEBIDO A UNA MANIFESTACION EN CAPITAL FEDERAL, NO PUDIERON LLEGAR A DESTINO, MOTIVO POR EL CUAL PROCEDIO A REGRESAR A ESTA DEPENDENCIA. EN VIRTUD A ELLO, SE PROCEDERA A REALIZAR EL TRASLADO DEL DETENIDO AL CUERPO MEDICO FORENSE, A PRIMERA HORA DEL DIA DIECISEIS DEL CORRIENTE. SEGUN PU Nº 2265 SIENDO LAS 07:45 HORAS SE PROCEDE AL TRASLADO DEL DETENIDO EN AUTOS AL CUERPO MEDICO FORENSE Y POSTERIORMENTE A LA UNIDAD DE DETENCION NRO. 28.</t>
  </si>
  <si>
    <t>MH201</t>
  </si>
  <si>
    <t>KUALALUMPUR</t>
  </si>
  <si>
    <t>2227/10</t>
  </si>
  <si>
    <t>ALFONSINA STORNI N° 64</t>
  </si>
  <si>
    <t>AMPLIANDO P.R. GENERADOR N° 1463/10, EL CUAL DA CUMPLIMIENTO DE LO ORDENADO EN MEMORANDO N° 297/10, PRODUCIDO POR EL CEAC - DOPA, Y EN RELACION A O.S. N° 059/10 (URSA III DEL NORTE), INFORMO QUE PERSONAL DE LA UOCN Y DC DEL NORTE, CENTRAL Y DE LA UOA DE ESTA PSA, SIENDO HS. 07:50, SE DIRIGEN AL DOMICILIO UBICADO EN CALLE ALFONSINA STORNI N° 64, DONDE SE PROCEDE A LA DETENCION DEL CIUDADANO ROLANDO REYES QUINTANA. SE LE REALIZA AL DETENIDO LA LECTURA DE DERECHOS Y GARANTIAS, LABRANDOSE LAS ACTAS CORRESPONDIENTES, TODO ELLO EN PRESENCIA DE TESTIGOS HABILES. FINALIZADOS ESTOS ACTOS SE REALIZA EL TRASLADO DEL MISMO EN MOVILES NO IDENTIFICABLES, HACIA DEPENDENCIAS DE LA UOSP TUCUMAN, DONDE SE LE EFECTUAN TOMAS FOTOGRAFICAS Y DE HUELLAS DACTILARES. SIENDO HS. 09:40, SE EFECTUA EL TRASLADO DEL DETENIDO A DEPENDENCIAS DEL JUZGADO FEDERAL DE TUCUMAN.</t>
  </si>
  <si>
    <t>EQUIPAJE DESPACHADO POR BODEGA</t>
  </si>
  <si>
    <t>QUE UNA VEZ ARRIBADA AL HOTEL DE LA CIUDAD DE MADRID, LA DENUNCIANTE PROCEDE A LA APERTURA DE SU VALIJA Y SE PERCATA DEL FALTANTE DE SUS PERTENENCIAS. ASIMISMO SE INFORMA QUE CONSULTADA SOBRE LA HORA APROXIMADA DEL MOMENTO EN QUE SE PERCATA DEL HECHO, LA MISMA MANIFIESTA NO RECORDARLO</t>
  </si>
  <si>
    <t>AV. JULIO A. ROCA 527</t>
  </si>
  <si>
    <t>TAFI VIEJO - TUCUMAN</t>
  </si>
  <si>
    <t>AMPLIANDO P.R. GENERADOR N° 1463/10, EL CUAL DA CUMPLIMIENTO DE LO ORDENADO EN MEMORANDO N° 297/10, PRODUCIDO POR EL CEAC - DOPA, EN RELACION A O.S. N° 059/10 (URSA III DEL NORTE), INFORMO QUE SIENDO HS. 09:15, PERSONAL DE LA UOCN Y DC DEL NORTE, CENTRAL Y DE LA UOA DE ESTA PSA, SE DIRIGEN AL DOMICILIO UBICADO EN AV. JULIO A. ROCA N° 527, CIUDAD DE TAFI VIEJO, TUCUMAN, SE PROCEDE A LA DETENCION DEL CIUDADANO RAMON CESAR JODAR. SE LE REALIZA LECTURA DE DERECHOS Y GARANTIAS, LABRANDOSE LAS ACTAS CORRESPONDIENTES, TODO ELLO EN PRESENCIA DE TESTIGOS HABILES. FINALIZADOS ESTOS ACTOS SE REALIZA EL TRASLADO DEL MISMO EN MOVIL NO IDENTIFICABLE, HACIA DEPENDENCIAS DE LA UOSP TUCUMAN, DONDE SE LE EFECTUA TOMAS FOTOGRAFICAS Y DE HUELLAS DACTILARES. SIENDO HS. 11:00, SE REALIZA EL TRASLADO DEL IMPUTADO A DEPENDENCIAS DEL JUZGADO FEDERAL DE TUCUMAN.</t>
  </si>
  <si>
    <t>2238/10</t>
  </si>
  <si>
    <t>SIENDO LAS SIETE HORAS, TREINTA MINUTOS, EL DETENIDO EN AUTOS ES TRASLADADO A SEDE TRIBUNALICIA SIN NOVEDAD. PTO.-</t>
  </si>
  <si>
    <t>FISCALIA FEDERAL N° 2 DE ROSARIO</t>
  </si>
  <si>
    <t>BOGLIOLI ALFREDO</t>
  </si>
  <si>
    <t>SRIO AV. LEY 23737 -IMP VANINA -GDRO BAIGORRIA-</t>
  </si>
  <si>
    <t>93656/2010</t>
  </si>
  <si>
    <t>SRIO AV LEY 23737 -IMP VANINA -GDRO BAIGORRIA-</t>
  </si>
  <si>
    <t>CIUDAD DE GRANADERO BAIGORRIA - PROVINCIA DE SANTA FE.</t>
  </si>
  <si>
    <t>EN EL DIA DE LA FECHA SE RECIBE OFICIO JUDICIAL NRO. 318 DE LA FISCALIA ACTUANTE DONDE ORDENA REALIZAR TAREAS DE INTELIGENCIA NECESARIAS A FIN DE DETERMINAR, CON LAS RESERVAS DEL CASO, SI EN CALLES DANTE ALIGHIERI Y PASTEUR DE GRANADERO BAIGORRIA SE REALIZAN CONDUCTAS REÑIDAS CON LA LEY 23737. EN CASO AFIRMATIVO INDICAR BAJO QUÉ MODALIDAD Y A SUS PRESUNTOS RESPONSABLES. LAS TAREAS INVESTIGATIVAS SE REALIZAN MEDIANTE ORDEN DE SERVICIO NRO. 088/2010 URSA IV DEL LITORAL.</t>
  </si>
  <si>
    <t>POSICION 53,54 Y 55</t>
  </si>
  <si>
    <t>SE INFORMA QUE EN EL DIA DE LA FECHA SE CUMPLIO CON LA ORDEN DE SERVICIO NRO 041/10, LA CUAL HACE REFERENCIA A LA PARTIDA DEL SR. PRESIDENTE DE LA FEDERACION RUSA, SR. DMITRY A. MEDVEDEV Y COMITIVA, DANDO POR FINALIZADA SU VISITA OFICIAL A NUESTRO PAIS. EL OPERATIVO SE REALIZO CON PERSONAL DE LA UOSP-EZEIZA , PERSONAL DEL GEDEX Y PERSONAL DEL GEAT Y FINALIZO SIN NOVEDAD.</t>
  </si>
  <si>
    <t>PABLO HUARTE</t>
  </si>
  <si>
    <t>DEL VALLE CARABAJAL GRACIELA, NAZAR CRISTIAN Y OTROS S/INF. A LA LEY 26 364</t>
  </si>
  <si>
    <t>HOSPITAL INTERZONAL MAR DEL PLATA</t>
  </si>
  <si>
    <t>SIENDO LAS 14:42HS DEL DÍA DE LA FECHA CUMPLIENDO O/S 024/10 SE TRASLADA AL DETENIDO EDUARDO ADOLFO MUELAS DNI 16926586 AL HOSPITAL REGIONAL DE AGUDOS PARA SER ATENDIDO.FUE REVISADO POR LA DRA. CAROLINA ITURRALDE MP.Nº94409 Y SE LE REALIZA ELECTROCARDIOGRAMA, ANÁLISIS DE SANGRE Y PLACA RADIOGRÁFICA, NO PRESENTANDO CUADRO CARDIOLÓGICO. SE LE INDICA ALPRAZOLAN 1 MG. POR NOCHE.SIENDO LAS 18:05 HS. REGRESA COMISIÓN CON DETENIDO EN MOVIL DE DOTACIÓN , SIENDO ALOJADO NUEVAMENTE EN EL CALABOZO DE ÉSTA UOSP E INFORMANDO AL DR. PABLO HUARTE LAS NOVEDADES PERTINENTES.</t>
  </si>
  <si>
    <t>BODEGA AVION</t>
  </si>
  <si>
    <t>EN EL DIA DE LA FECHA SIENDO LAS 19:00 HRS EL DENUNCIANTE SE PRESENTA ANTE EL SERVICIO DE GUARDIA PREVENTIVA MANIFESTANDO QUE EMBARCO EN EL AEROPUERTO JORGE NEWBERY EN EL VUELO 4214 DE LAN ARGENTINA DESPACHANDO POR BODEGA SU MOCHILA MARCA OGIO CON MARBETE LA 507259 CONTENIENDO EN SU INTERIOR UN GPS MARCA GARMIN MODELO NUVI 200. CUANDO LLEGA AL AEROPUERTO CORDOBA Y AL RECIBIR LA MISMA PROCEDE A REVISAR SU INTERIOR NOTANDO EL FALTANTE DEL GPS.</t>
  </si>
  <si>
    <t>CORDOBA CAPITAL</t>
  </si>
  <si>
    <t>2248/10</t>
  </si>
  <si>
    <t>SIENDO LAS DIECISIETE HORAS TREINTA MINUTOS, REGRESA LA COMISION, JUNTAMENTE CON EL DETENIDO EN AUTOS, PARA LUEGO SER TRASLADADO AL CUERPO MEDICO FORENSE. QUE SIENDO LAS DIECIOCHO HORAS SALE LA COMISION, JUNTO CON EL DETENIDO, CON DESTINO AL CUERPO MEDICO FORENSE. FINALMENTE SIENDO LAS VEINTIUNA HORAS SE HIZO PRESENTE DICHA COMISION, JUNTO CON EL DETENIDO, INFORMANDO QUE DEBIDO A UNA MANIFESTACION EN CAPITAL FEDERAL, NO PUDIERON LLEGAR A DESTINO, MOTIVO POR EL CUAL PROCEDIO A REGRESAR A ESTA DEPENDENCIA. EN VIRTUD A ELLO, SE PROCEDERA A REALIZAR EL TRASLADO DEL DETENIDO AL CUERPO MEDICO FORENSE, A PRIMERA HORA DEL DIA DIECISEIS DEL CORRIENTE. PTO.</t>
  </si>
  <si>
    <t>PLAYA DE ESTACIONAMIENTO AEROPUERTO BARILOCHE</t>
  </si>
  <si>
    <t>SIENDO LAS 22:00 HORAS SE PRESENTA EL SEÑOR RODRIGO ALEJANDRO MARQUARDT DNI 30391804 EMPLEADO DE LA EMPRESA AVIS RENT A CAR QUE OPERA EN ESTE AEROPUERTO, PARA REALIZAR UNA DENUNCIA POR ROBO QUE SE EFECTUARA SOBRE DOS VEHICULOS UNO MARCA VW GOL DOMINIO HEU 822 AL CUAL SE LE FORZARON LAS DOS PUERTAS DELANTERAS Y SE LE ROMPIERA EL ESTEREO EL CUAL QUEDO TIRADO DENTRO DEL VEHICULO, EL OTRO UN VW GOL COUNTRY DOMINIO HEU 821 AL CUAL SE LE FORZO LA PUERTA DEL CONDUCTOR Y SE LE EXTRAJERA EL ESTEREO DEL MISMO.</t>
  </si>
  <si>
    <t>2263/10</t>
  </si>
  <si>
    <t>SIENDO LAS 07:45 HORAS SE PROCEDE AL TRASLADO DEL DETENIDO EN AUTOS AL CUERPO MEDICO FORENSE Y POSTERIOR TRASALDO A LA UNIDAD DE DETENCION NRO. 28. PTO.</t>
  </si>
  <si>
    <t>2237/10</t>
  </si>
  <si>
    <t>INFORMO A TRAVES DEL PRESENTE LAS SIGUENTES DEPOSICIONES: DETENIDO MANUEL SOTO BUSTOS: DEP. 10 - 15/04/10 17:30 HS - 09 CAPSULAS - 104GRS</t>
  </si>
  <si>
    <t>SIENDO LAS 07:55 HORA LOCAL ARRIBA AERONAVE AIRBUS 320 MATRICULA LV-BTM DE LAN ARGENTINA PROCEDENTE DE AEROPUERTO JORGE NEWBERY EN CUYAS BODEGAS 13,31,32,41 Y 42 SE DESPACHAN 124 CAJAS CON UN PESO 5.401 KILOGRAMOS DE METAL - MTD- PERTENECIENTES A LA EMPRESA MINERA TRITON ARGENTINA S.A. EL VUELO DESPEGA A LAS 08:55 HORA LOCAL SIN NOVEDAD. SE DIO CUMPLIMIENTO A LA ORDEN DE SERVICIO NRO. 0028/2010 DE ESTA U.O.S.P.</t>
  </si>
  <si>
    <t>4M 4427</t>
  </si>
  <si>
    <t>EN EL DIA DE LA FECHA SIENDO LA HORA 1150 SE REALIZA CONSULTA DE SITUACION OPERACIONAL DEL AEROPUERTO INFORMANDO LA AUTORIDAD ANAC LOCAL QUE EL MISMO SE ENCUENTRA TRANSITORIAMENTE CLAUSURADO PARA OPERACIONES IFR VUELOS EN CONDICIONES INSTRUMENTALES Y NOCTURNOS SOLO AFECTANDO LA OPERACION DEL VUELO REGULAR DE LA HORA 22 LOS DIAS JUEVES. LA CAUSA SEGUN INFORMA LA AUTORIDAD LOCAL ES LA FALTA DE VERIFICACION DE LA RADIOAYUDA VOR DEL AEROPUERTO QUE HABIENDO SIDO SOLICITADA EN ENERO DEL CORRIENTE AÑO PREVIO AL VENCIMIENTO DE LA MISMA AUN NO HA SIDO VERIFICADA. LA FECHA ESTIMADA PARA LA VERIFICACION ES ENTRE LA PRIMERA O SEGUNDA SEMANA DE MAYO DEL CORRIENTE AÑO.</t>
  </si>
  <si>
    <t>Incidente Aereo No Delictivo</t>
  </si>
  <si>
    <t>SIENDO LAS 10 HORAS CON DIEZ MINUTOS, SE ACTIVA PLAN DE EMERGENCIA DE AEROPUERTO DEBIDO A QUE AERONAVE CESSNA C-182 MATRICULA PG-379 PERTENECIENTE A LA FUERZA AEREA ARGENTINA, TRIPULADA POR TTE JUAN MATIAS SERVI, PRESENTA HUMO EN LA CABINA, PRODUCIENDOSE EL ATERRIZAJE DE EMERGENCIA EN LA PISTA DE ESTE AEROPUERTO SIN NOVEDAD. LA AERONAVE, SE DIRIGIO RODANDO POR PISTA HACIA II BRIGADA AEREA. EL AEROPUERTO PERMANECIO CERRADO OPERATIVAMENTE POR ESPACIO DE 30 MINUTOS.</t>
  </si>
  <si>
    <t>PARANA</t>
  </si>
  <si>
    <t>DEL VALLE CARABAJAL GRACIELA, NAZAR CRISTIAN Y OTROS S/INF. A LA LEY 26.364</t>
  </si>
  <si>
    <t>UOSP MAR DEL PLATA //JUZGADO FEDERAL Nº3</t>
  </si>
  <si>
    <t>SIENDO LAS 11 30 HORAS EN EL DIA DE LA FECHA SE CUMPLIMENTO ORDEN DE SERVICIO Nº 025/10 GENERADA POR ESTA UOSP TRASLADANDO AL DETENIDO EDUARDO ADOLFO MUELAS DNI 16926586 AL JUZGADO FEDERAL Nº 3 SECRETARIA PENAL Nº8 PARA TOMAR CONOCIMIENTO SOBRE SU SITUACION PROCESAL.REGRESANDO LA COMISION A LAS 13 00 HS SIN NOVEDAD, QUEDANDO EL DETENIDO ALOJADO EN EL CALABOZO DE ESTA UOSP. SEGUN LO CONSULTADO POR EL JEFE DE ESTA UNIDAD OLIVIERI DANIEL AL JEFE G.O.C.N. Y D.C. MAR DEL PLATA GIUGOVAZ ALEJANDRO, EL SECRETARIO DE LA CAUSA LE MANIFESTO EN FORMA EXTRAOFICIAL QUE EL SR MUELAS SERIA TRASLADADO DE ESTA UNIDAD, QUEDANDO A LA ESPERA DEL OFICIO CORRESPONDIENTE.</t>
  </si>
  <si>
    <t>DRA.VILMA VALLE RUIDIAZ</t>
  </si>
  <si>
    <t>INFORMO QUE EN EL CONTROL DE EQUIPAJES DESPACHADOS A BODEGA SE DETECTA UNA VALIJA QUE CONTIENE EN SU INTERIOR MERCADERIA EN INFRACCION A LA LEY 22.415 ADUANA. ANTE EL HECHO SE IDENTIFICA AL PROPIETARIO DE LA VALIJA Y SE CONFECCIONA ACTA DE INTERDICCION DE DICHO EQUIPAJE ACTO SEGUIDO SE ENTREGA AL PERSONAL DE LA AFIP DGA SR. RUBEN MORALES LEGAJO NRO 18093-9 EL EQUIPAJE Y LA MERCADERIA EN INFRACCION QUIEN PROCEDE AL COBRO DE LOS IMPUESTOS CORRESPONDIENTES BAJO POLIZA NRO 2010029004276. VALOR DE LA MERCADERIA OCHOCIENTOS DOLARES ESTADOUNIDENSES. DETALLE DE LA MERCADERIA UNA NOTEBOOK MARCA TOSHIBA NRO DE SERIE Y9661043K DE PROCEDENCIA EXTRANJERA Y CUATRO CAMARAS DE SEGURIDAD DE PROCEDENCIA EXTRANJERA LAS MISMAS FUERON LIBERADAS POR EL PERSONAL AFIP DGA UNA VEZ HECHO EFECTIVO EL PAGO DE LA POLIZA.</t>
  </si>
  <si>
    <t>DRA. VILMA VALLE RUIDIAZ</t>
  </si>
  <si>
    <t>INFORMO QUE EN EL CONTROL DE EQUIPAJES DESPACHADOS A BODEGA SE DETECTA UNA VALIJA QUE CONTIENE EN SU INTERIOR MERCADERIA EN INFRACCION A LA LEY 22.415 ADUANA. ANTE EL HECHO SE IDENTIFICA AL PROPIETARIO DE LA VALIJA Y SE CONFECCIONA ACTA DE INTERDICCION DE DICHO EQUIPAJE ACTO SEGUIDO SE ENTREGA AL PERSONAL DE LA AFIP DGA SR. RUBEN MORALES LEGAJO NRO 18093-9 EL EQUIPAJE Y LA MERCADERIA EN INFRACCION QUIEN PROCEDE AL COBRO DE LOS IMPUESTOS CORRESPONDIENTES BAJO POLIZA NRO 2010029004274. VALOR DE LA MERCADERIA QUINIENTOS CINCUENTA DOLARES ESTADOUNIDENSES. DETALLE DE LA MERCADERIA UNA NOTEBOOK MARCA TOSHIBA NRO DE SERIE X93583 DE PROCEDENCIA EXTRANJERA LA MISMA FUE LIBERADA POR EL PERSONAL AFIP DGA UNA VEZ HECHO EFECTIVO EL PAGO DE LA POLIZA.</t>
  </si>
  <si>
    <t>POSICION 53</t>
  </si>
  <si>
    <t>EL DIA 15-04-2010 A LAS 20:00HS ARRIBA EL PRIMER MINISTRO DE LA REPUBLICA SOCIALISTA DE VIETNAM SIN NOVEDAD</t>
  </si>
  <si>
    <t>PABLOVSKY</t>
  </si>
  <si>
    <t>DANIEL RODOLFO</t>
  </si>
  <si>
    <t>VIVIANA MARCELA SAA</t>
  </si>
  <si>
    <t>HELADERIA PERSICO</t>
  </si>
  <si>
    <t>SIENDO LA HORA 17:55 HORAS SE HACE PRESENTE LA PERSONA POSTERIORMENTE DETALLADA MANIFESTANDO QUE EN MOMENTOS QUE SE ENCONTRABA SENTADO JUNTO A UNA COMPAÑERA EN EL LUGAR ANTES MENCIONADO COLGO EN EL RESPALDO DE LA SILLA UNA MOCHILA COLOR GRIS, PERDIENDO DEL RADIO DE SU CUSTODIA LA MISMA. LUEGO DE UNOS CUARENTA MINUTOS SE PERCATA DEL FALTANTE DE LA MISMA POR LO QUE SE HACE PRESENTE EN ESTA GUARDIA DE PREVENCION A FIN DE RADICAR LA DENUNCIA DEL HECHO.</t>
  </si>
  <si>
    <t>JUZGADO CORRECCIONAL DE 1RA NOMINACION DE CATAMARCA</t>
  </si>
  <si>
    <t>FORNER</t>
  </si>
  <si>
    <t>MARCELO MIGUEL</t>
  </si>
  <si>
    <t>DRA. LINA RAQUEL LOBO</t>
  </si>
  <si>
    <t>HOMICIDIO CULPOSO AGRAVADO P/CONDUCCION. IMPRUDENTE Y ANTIREGLAMENTARIA DE VEHICULO - CAPTURA NACIONAL E INTERNACIONAL</t>
  </si>
  <si>
    <t>132/04</t>
  </si>
  <si>
    <t>POSICION Nº 19 PLATAFORMA OPERATIVA</t>
  </si>
  <si>
    <t>SIENDO LA HORA 13:30 HORAS SE HACE PRESENTE EN ESTA GUARDIA EL OF. PRINCIPAL DIEGO R CARRIZO, PERSONA DE INTERPOL AEROPARQUE MANIFESTANDO QUE A BORDO DEL VUELO ANTES MENCIONADO SE ENCONTRABA UN PASAJERO MASCULINO DE NOMBRE MASCAREÑO VICTOR ALEJANDRO EL CUAL HABÍA INGRESADO AL PAIS EN HORAS DE LA MADRUGADA POR EL AEROPUERTO INTERNACIONAL DE EZEIZA PROCEDENTE DE LA REPUBLICA DE NICARAGUA, QUIEN REGISTRABA EN LA BASE DE DATOS IDGE UN PEDIDO DE CAPTURA INTERNACIONAL. SE COMISIONO A PERSONAL POLICIAL HASTA LA POSICIÓN Nº 19 DE LA PLATAFORMA DONDE SE ENCONTRABA LA AERONAVE Y CON PREVIA AUTORIZACIÓN DEL COMANDANTE SE SOLICITO AL PASAJERO QUE DESCIENDA DE LA MISMA TRASLADANDOSE AL MISMO HASTA ESTA GUARDIA DE PREVENCION. SIENDO LA HORA 14:00 SE REALIZA COMUNICACIÓN TELEFÓNICA CON LA JUDICATURA ACTUANTE EN LA CIUDAD DE SAN FERNANDO DEL VALLE DE CATAMARCA QUIEN ORDENO SE PROCEDA A LA DETENCIÓN DEL CAUSANTE, LECTURA DE DERECHOS Y QUE POSTERIORMENTE LA SECRETARIA DEL JUZGADO INTERVINENTE REALIZARIA COMUNICACIÓN TELEFONICA CON NUEVAS DIRECTIVAS. SIENDO LA HORA 18:10 HORAS SE RECIBE COMUNICACIÓN TELEFÓNICA CON S.SA. DR. MARCELO MIGUEL FORNER DE LA JUDICATURA ACTUANTE QUIEN DISPONE DEJAR SIN EFECTO LA DETENCION POR MEDIO DE OFICIO DILIGENCIADO A ESTA GUARDIA POLICIAL, SOLTURA, NOTIFICACIÓN A PRESENTARSE EN LA PRIMERA HORA DEL DIA LUNES EN LA SEDE DEL JUZGADO, CIERRE Y ELEVACIÓN. SIENDO LA HORA 19:05 SE PROCEDE A LA SOLTURA DEL CAUSANTE HACIENDOLE ENTREGA DE TODOS LOS ELEMENTOS PERSONALES SECUESTRADOS.</t>
  </si>
  <si>
    <t>AR1440</t>
  </si>
  <si>
    <t>SAN FERNANDO DEL VALLE DE CATAMARCA</t>
  </si>
  <si>
    <t>SIENDO LAS 19:30 HORAS DEL DIA DE LA FECHA, LA AMINISTRACION NACIONAL DE AVIACION CIVIL -ANAC- BARILOCHE, PROCEDE AL CIERRE DE ESTE AEROPUERTO POR ENCONTRARSE FUERA DE SERVICIO EL SISTEMA DME-VOR. POR TAL MOTIVO LOS VUELOS SOLO PUEDEN OPERAR CON SALIDA EN VISUAL, HASTA EL HORARIO DE CREPUSCULO, INFORMACION BRINDADA POR JEFE DE TURNO DE TRANSITO AEREO SUBOFICIAL PRINCIPAL JOSÉ PRIOTI: ASIMISMO SE INFORMA QUE DICHO CIERRE AFECTO LA OPERATORIA DE LOS VUELOS AUSTRAL 2688/89 Y 2694/95 LOS CUALES FUERON CANCELADOS NO ARRIBANDO A ESTE AEROPUERTO.</t>
  </si>
  <si>
    <t>DRA. MARIA EUGENIA GARRIDO</t>
  </si>
  <si>
    <t>ROBO CALIFICADO</t>
  </si>
  <si>
    <t>CERCANIAS ESTACION EL JAGUEL, EN CERCA DE LA ROTONDA HABITUALMENTE LLAMADA ROTONDA DE CANNING, PCIA. BS AS</t>
  </si>
  <si>
    <t>EN MOMENTOS DE FINALIZAR EL RECORRIDO, EN ESTE AEROPUERTO, QUEDAN A BORDO DE LA UNIDAD 175 DE LA LINEA DE COLECTIVOS 51, DOS MASCULINOS. ES ALLI, QUE NO QUEDANDO MAS PASAJEROS A BORDO, DICHOS MASCULINOS SE DIRIGEN HACIA EL CONDUCTOR Y UNO DE ELLOS SIMULANDO TENER UN ARMA DE FUEGO, LE INDICA AL CONDUCTOR QUE SALGA TRANQUILAMENTE DEL AEROPUERTO Y EFECTUE NORMALMENTE EL RECORRIDO SIN DETENERSE A RECOGER PASAJEROS. QUE AL LLEGAR AL SECTOR INDICADO LE ORDENAN QUE DETENGA LA UNIDAD Y UNO DE LOS MASCULINOS EN CUESTION, DESCIENDE DEL RODADO Y COMIENZA A PROFERIR GOLPES CON UN ELEMENTO -SIN PODER PRECISARSE DE QUE TIPO- SOBRE EL LATERAL DEL RODADO, DONDE SE ENCUENTRA LA CAJA RECAUDADORA DE LA MAQUINA EXPENDEDORA DE BOLETOS. UNA VEZ APERTURADA LA MISMA, EL MASCULINO EN CUESTION RETIRA LA RECAUDACION. SEGUIDO A ELLO LE INDICAN AL CONDUCTOR QUE CONTINUE LA MARCHA EN SENTIDO A LA INTERSECCION DE LA RUTA 205 Y ANTES DE LLEGAR ALLI, CON EL COCHE EN MOVIMIENTO DESCIENDEN DEL MISMO Y SE DAN A LA FUGA EN SENTIDO CONTRARIO AL QUE VENIAN CIRCULANDO. POR INDICACION DEL UN TAL FEDERICO DE ASUNTOS LEGALES DE LA EMPRESA LE DICE A DENUNCIANTE QUE REALICE LA DENUCIA EN LA COMISARIA DEL BARRIO 1. HACIENDOSE PRESENTE EN LA COMISARIA 4° DE LA POLICIA BONAERENSE Y EN LA MISMA LE DICEN QUE YA QUE EL HECHO SE INICIO EN ESTA DEPENDENCIA DEBIA REALIZAR LA DENUNCIA EN LA POLICIA DE JURIDICCION, POR LO QUE SE HACE PRESENTE EN ESTA DEPENDENCIA A REALIZARLA.</t>
  </si>
  <si>
    <t>DR. AUGUSTO PELOSO</t>
  </si>
  <si>
    <t>MANGA N 12 DE LA ESTE AEROPUERTO INTERNACIONAL</t>
  </si>
  <si>
    <t>AL ARRIBAR EL VUELO, EL DENUNCIANTE CONSULTA A LA TRIPULACION ACERCA DE UNO DE SUS EQUIPAJES DE MANO, EL CUAL POR CUESTIONES DE TAMAÑO NO SE PODIA TRANSPORTAR EN LA CABINA. ANTE ELLO LE INFORMA QUE EL MISMO HABIA SIDO DESPACHADO POR BODEGA EN EL AEROPUERTO DE CHILE POR LO QUE SOLICITA QUE SE LO ENTREGUEN DADO QUE ALLI TRANSPORTABA EL PASAPORTE Y DEMAS PERTENENCIAS. SIENDO INFORMADO QUE SERIA ENTREGADO JUNTO A LOS DEMAS EQUIPAJES DESPACHADAS. NO CONFORME SOLICITA QUE SE LO ENTREGUEN POR LO QUE PERSONAL CON UNIFORME COLOR VERDE DESCIENDE POR LA MANGA Y POSTERIORMENTE LE HACE ENTREGA DEL MISMO PUDIENDO NOTAR EL FALTANTE DE ALGUNAS PERTENENCIAS. POR LO QUE OFUSCADO EL PASAJERO EXIGE EXPLICACIONES Y AL CABO DE ALGUNOS MINUTOS UN SUPERVISOR DE LA AEROLINEA LE HACE ENTREGA DE LAS PERTENENCIAS FALTANTES, DETECTANDOSE UNICAMENTE EL FALTANTE DE DINERO EN EFECTIVO. PTO.</t>
  </si>
  <si>
    <t>LA 461</t>
  </si>
  <si>
    <t>QUE A LAS 16:20 HORAS DEL DIA 16/04/10 SE PRODUJO LA DEPOSICION 11 POR PARTE DE MANUEL SOTO BUSTO, DE 09 CAPSULAS, EFECTUANDOSE REACTIVO SOBRE UNA DE ELLAS LO QUE ARROJO RESULTADO POSITIVO COCAINA Y UN PESO TOTAL DE 104 GRAMOS. QUE EL MISMO DIA A LAS 18:00 EL MISMO DETENIDO EFECTUO LA DEPOSICION 12 DE 05 CAPSULAS, EFECTUANDOSE REACTIVO DE CAMPO SOBRE UNA DE ELLAS QUE ARROJO RESULTADO POSITIVO COCAINA Y SE OBTUVO UN PESO TOTAL DE 60 GRAMOS.</t>
  </si>
  <si>
    <t>JUZGADO FEDERAL EN LO CRIMINAL Y CORRECCIONAL Nº 3 DE MAR DEL PLATA</t>
  </si>
  <si>
    <t>SECRETARIA PENAL Nº 8</t>
  </si>
  <si>
    <t>DR.JORGE PABLO HUARTE</t>
  </si>
  <si>
    <t>SCHMIDT,GUILLERMO JAVIER S/ARRESTO PREVENTIVO CON FINES DE EXTRADICION</t>
  </si>
  <si>
    <t>HIDRANTE Nº12</t>
  </si>
  <si>
    <t>PLATAFORMA -GUARDIA DE PREVENCION</t>
  </si>
  <si>
    <t>SIENDO LA FECHA Y HORA ANTES MENCIONADA, SE DA CUMPLIMIENTO AL MEMORANDO Nº 452/10 (FAX PROCEDENTE DEL C.E.A.C , DPTO OPERACIONES POLICIALES) Y ORDEN DE SERVICIO Nº 237/10 (FAX PROCEDENTE DE LA U.R.S.A I DEL ESTE) CON MOTIVO DE EFECTUAR MEDIDAS DE SEGURIDAD NECESARIAS PARA EL DESPLAZAMIENTO DENTRO DE LAS INSTALACIONES AEROPORTUARIAS DEL DETENIDO MENCIONADO CON POSTERIORIDAD, QUIEN SERA TRASLADADO POR POLICIA FEDERAL A CARGO DEL SARGENTO PRIMERO DE BENEDETTI ALEJANDRO Y DEL CABO DOMENICO JAVIER Y ESTA COMISION ARRIBÓ EN EL VUELO DE LA EMPRESA AEROLINEAS ARGENTINAS EN EL HORARIO DE LAS 00:05 DEL DIA 17 DE ABRIL DEL CORRIENTE AÑO. SIENDO LAS 00:30 HORAS FINALIZA EL OPERATIVO SIN NOVEDAD.</t>
  </si>
  <si>
    <t>Dra. Maria Florencia GONZALEZ</t>
  </si>
  <si>
    <t>GUALA, TOMAS ALEJANDRO S/CAPTURA</t>
  </si>
  <si>
    <t>B/C</t>
  </si>
  <si>
    <t>CONTROL DOCUMENTOS</t>
  </si>
  <si>
    <t>SIENDO LAS 04:10 HS SE PROCEDE A IDENTIFICAR EN CONTROL PREEMBARQUE AL CIUDADANO TOMAS ALEJANDRO GUALA DNI Nº 25.602.008 QUIEN PESA PEDIDO DE CAPTURA EN RED LINCE BAJO REGISTRO Nº 35921, ACTO SEGUIDO SE ESTABLECE COMUNICACION CON EL JUZGADO NRO 2 DE RIO GALLEGOS ,DE TURNO, SIENDO ATENDIDOS POR EL OFICIAL DE JUSTICIA SANCHEZ QUIEN DELEGA LA CONSULTA AL DEPARTAMENTO DE JUDICIALES DE SANTA CRUZ COMISARIA 1RA, EN PERSONA DEL AUXILIAR PALACIOS, EL CUAL REALIZA CONSULTA EN BASE DE DATOS ACTUALIZADOS, MANIFESTANDO QUE EL IMPUTADO ESTA REGISTRADO CON PRONTUARIO Nº 323357 Y LA CAUSA FIGURA COMO LEVANTAMIENTO, SE NOTIFICA AL CAUSANTE PUDIENDO CONTINUAR CON SU VIAJE PROGRAMADO</t>
  </si>
  <si>
    <t>AEROPARQUE METROPOLITANO BS. AS.</t>
  </si>
  <si>
    <t>NAC. DE 1º INST. EN LO CRIM CORR FEDERAL Nº 11</t>
  </si>
  <si>
    <t>SECRETARIA Nº 21</t>
  </si>
  <si>
    <t>Bonadio</t>
  </si>
  <si>
    <t>Claudio</t>
  </si>
  <si>
    <t>DRA. CAROLINA LORES ARNAIZ</t>
  </si>
  <si>
    <t>INFRACCION AL ARTICULO 194 DEL CPN</t>
  </si>
  <si>
    <t>SECTOR DE HANGARES</t>
  </si>
  <si>
    <t>SECTOR BANDA LUGONES</t>
  </si>
  <si>
    <t>SIENDO LA FECHA Y HORA MENCIONADA, SE RECIBE COMUNICACIÓN POR PARTE DE PERSONAL DE AEROPUERTOS ARGENTINA 2000, RESPECTO A QUE EN EL SECTOR BANDA LUGONES, DONDE SE ENCONTRABA CUMPLIENDO FUNCIONES DE VIGILANCIA UN PERSONAL DE LA EMPRESA SASA, SE LE ACERCA UNA PERSONA DE SEXO MASCULINO, QUIEN NO SABIA DONDE SE ENCONTRABA Y A LA CUAL SE LE PERCIBIA UN ALTO ALIENTO ETILICO, HABIENDO INGRESADO A ESTE AEROPUERTO METROPOLITANO, SALTANDO LA REJA PERIMETRAL, A LA ALTURA DEL EX MUSEO AERONAUTICO, POR LO CUAL SE COMISIONA A LOS OFICIALES FARIAS Y MARQUEZ HACIA EL LUGAR MENCIONADO, HACIENDOSE LOS NOMBRADOS CARGO DE LA SITUACION. SIENDO LAS 05:55 HORAS, SE EFECTUA COMUNICACIÓN CON LA JUDICATURA INTERVINIENTE QUIEN ORDENA: CARATULAR LA CAUSA COMO INFRACCION AL ART. 194 CPN, MEDICO, DETENIDO EN CARÁCTER DE COMUNICADO, LECTURA DE DERECHOS, TRES JUEGOS DE FICHAS PARA ANEXAR A LA CAUSA, REINCIDENCIA, CONSTATACION DE DOMICILIO, FOTOS, TESTIMONIALES E IDGE Y DE NO MEDIAR IMPEDIMENTO LEGAL ALGUNO, PROCEDER A LA LIBERACION. SE AMPLIARA CON RESULTADO DE REINCIDENCIA. SEGUN AMPLIACION N° 2295 SE LE DIO LA LIBERACION LA IMPUTADO</t>
  </si>
  <si>
    <t>11391 S/INF LEY 24769</t>
  </si>
  <si>
    <t>CAPTURA RED LINCE</t>
  </si>
  <si>
    <t>PUNTO DE INSPECCION</t>
  </si>
  <si>
    <t>EN EL CONTROL DE RUTINA DE PREEMBARQUE DEL VUELO 1701 DE AEROLINEAS ARGENTINAS MEDIANTE EL SISTEMA RED LINCE Y BAJO EL REGISTRO NRO 270436 SE DETECTA EL PEDIDO DE CAPTURA SOBRE EL SEÑOR JORGE ALFREDO PITT. QUE DATA DEL OCTUBRE DEL 2008,PROCEDIENDOSE A ACTUAR EN CONSECUENCIA Y REALIZAR LAS ACTUACIONES JUDICIALES CORRESPONDIENTES, DANDO CUMPLIMIENTO A LO ESTABLECIDO POR EL JUZGADO INTERVINIENTE EN CUANTO A CUMPLIMENTAR LO ORDENADO EN LA BASE REFERENTE A LOS ART 26 Y 41 DEL CPN. ASIMISMO MEDIANTE COMUNICACION TELEFONICA MANTENIDA CON LA MAGISTRATURA ACTUANTE ORDENO REALIZAR FOTOGRAFIAS, FICHAS DACTILOSCOPICAS ANTECEDENTES DE REINCIDENCIA DEL CAUSANTE. SEGUN MAPLIACION PU 2296 HABIENDO INFORMADO AL JUZGADO INTERVINIENTE EL CUMPLIMIENTO DE LAS MEDIDAS QUE DISPUSIERA EL MISMO Y PREVIA LECTURA Y RATIFICACION POR ANTE EL CAUSANTE, LOS TESTIGOS Y ACTUANTES DEL ACTA DE PROCEDIMIENTO CORRESPONDIENTE Y DEMAS FORMALIDADES DE LEY DISPUESTA POR LA MAGISTRATURA, A TRAVES DE LA DOCTORA CRISTINA BISLIZ ACTUAL SECRETARIA DE DICHA MAGISTRATURA, PROCEDE EL CAUTELADO A RECUPERAR SU ESTADO DE LIBERTAD EFECTUADO QUE LE FUERE EL EXAMEN MEDICO DE EGRESO, ELEVANDOSE POSTERIORMENTE LAS ACTUACIONES</t>
  </si>
  <si>
    <t>QUE EN EL HORARIO INDICADO, SE IMPLEMENTARON LAS MEDIDAS DE SEGURIDAD PREVENTIVAS TENDIENTES A LA PROTECCION DE LA INTERGRIDAD FISICA Y AL NORMAL DESENVOLVIMIENTO DE LAS ACCIONES COMPETENTES A LA PARTIDA DEL PRIMER MINISTRO DE LA REPUBLICA SOCIALISTA DE VIETNAM Y COMITIVA CULMINANDO DICHO PROCEDIMIENTO SIN NOVEDADES EMERGENTES QUE INFORMAR.ES TODO CONSTE.-</t>
  </si>
  <si>
    <t>Vietnam</t>
  </si>
  <si>
    <t>DR.MIGUEL ANGEL GUERRERO</t>
  </si>
  <si>
    <t>INFORMO QUE EN EL CONTROL DE EQUIPAJES DESPACHADOS POR BODEGA SE DETECTAN DOS EQUIPAJES CON MARBETE Nº LA 565526 Y 565525 QUE CONTENDRIAN EN SU INTERIOR MERCADERIA EN PRESUNTA INFRACCION A LA LEY 22.415 SE IDENTIFICA AL PROPIETARIO DE LAS MISMAS Y SE REALIZA LA APERTURA ANTE LA PRESENCIA DE LOS TESTIGOS CONVOCADOS A TAL FIN PROCEDIENDOSE A LABRAR ACTA DE INTERDICCION Y SE HACE ENTREGA DE DICHA MERCADERIA AL PERSONAL DE AFIP-DGA SR. EDGARDO CARRANZA LEG Nº 25.477-1 QUIEN PROCEDE AL SECUESTRO DE LA MISMA BAJO ACTA Nº 003/10. VALOR APROXIMADO DE LA MERCADERIA UN MIL NOVECIENTOS DOLARES ESTADOUNIDENSES</t>
  </si>
  <si>
    <t>PUERTO IGUAZU - MISIONES</t>
  </si>
  <si>
    <t>2287/10</t>
  </si>
  <si>
    <t>HABIENDO INFORMADO AL JUZGADO INTERVINIENTE EL CUMPLIMIENTO DE LAS MEDIDAS QUE DISPUSIERA EL MISMO Y PREVIA LECTURA Y RATIFICACION POR ANTE EL CAUSANTE, LOS TESTIGOS Y ACTUANTES DEL ACTA DE PROCEDIMIENTO CORRESPONDIENTE Y DEMAS FORMALIDADES DE LEY DISPUESTA POR LA MAGISTRATURA, A TRAVES DE LA DOCTORA CRISTINA BISLIZ ACTUAL SECRETARIA DE DICHA MAGISTRATURA, PROCEDE EL CAUTELADO A RECUPERAR SU ESTADO DE LIBERTAD EFECTUADO QUE LE FUERE EL EXAMEN MEDICO DE EGRESO, ELEVANDOSE POSTERIORMENTE LAS ACTUACIONES.</t>
  </si>
  <si>
    <t>2286/10</t>
  </si>
  <si>
    <t>EN HORAS 14:15, SEGÚN LO DISPUESTO POR LA JUDICATURA INTERVINIENTE, YA OBTENIDOS LOS RESULTADOS DE REINCIDENCIA SIENDO ESTOS NEGATIVOS, Y AL NO MEDIAR IMPEDIMENTO LEGAL ALGUNO, SE PROCEDE A LA LIBERACION DEL SR. DE LASA GONZALO, RETIRANDOSE DE ESTA GUARDIA PREVENTIVA POR SUS PROPIOS MEDIOS, CONFORME A LOS TRATOS RECIBIDOS, SIN NOVEDAD.-</t>
  </si>
  <si>
    <t>IV BRIGADA AEREA DE MENDOZA</t>
  </si>
  <si>
    <t>SIENDO LAS 10:45 HORAS ARRIBA A ESTE AEROPUERTO EL PRIMER MINISTRO DE LA REPUBLICA SOCIALISTA DE VIETNAM EN AERONAVE BOING 777 DE BANDERA DE ESE PAIS, POR ESTE MOTIVO SE DESARROLLA OPERATIVO DE SEGURIDAD SEGUN ORDEN DE SERVICIO Nº 112/10 EMITIDA POR LA URSA II DEL CENTRO, PERO LOS CONTROLES PREVISTOS NO FUERON REALIZADOS POR QUE LA AERONAVE FUE POSICIONADA EN LA PLATAFORMA MILITAR DE LA IV BRIGADA AEREA, SIENDO LAS 15:35 HORAS APROXIMADAMENTE Y CON INTERVENCION DEL OFICIAL DE FUERZA AEREA DE LA IV Bº AEREA MAYOR LOBEIRA Y POR EXPRESO PEDIDO DEL COMANDANTE DE LA AERONAVE, SE REALIZA EL CONTROL DE RAYOS X Y DETECCION DE EXPLOSIVOS A SETENTA CAJAS DE VINO QUE HABRIA RECIBIDO LA COMITIVA COMO OBSEQUIO, LAS MISMAS FUERON CARGADAS POR PERSONAL DE LA EMPRESA INTERCARGO DESDE LA IV Bº AEREA Y TRAIDAS A LA PLATAFORMA OPERATIVA DE LA AEROESTACION CIVIL, Y UNA VEZ TERMINADO DICHO CONTROL EL MISMO PERSONAL DE INTERCARGO SE LAS LLEVA NUEVAMENTE HASTA LA PLATAFORMA MILITAR, SIENDO LAS 16:05 HORAS DESPEGA LA AERONAVE MENCIONADA DESDE LA PLATAFORMA MILITAR</t>
  </si>
  <si>
    <t>HV-N6868</t>
  </si>
  <si>
    <t>AEROPUERTO DE EZEIZA</t>
  </si>
  <si>
    <t>SAN FRANCISCO</t>
  </si>
  <si>
    <t>HALL CENTRAL MOSTRADORES DE EMPRESAS</t>
  </si>
  <si>
    <t>SIENDO LAS 19:30 HORAS SE PRESENTAN ANTE ESTA OFICINA DE GUARDIA PASAJEROS OFUSCADOS CONSULTANDO LOS MOTIVOS DE LAS DEMORAS EN LOS VUELOS CON DESTINO A AEROPARQUE DEL DIA DE LA FECHA. INMEDIATAMENTE SE LES INFORMA QUE NO SE TRATA DE UN PROBLEMA QUE INVOLUCRE A LA POLICIA DE SEGURIDAD AEROPORTUARIA SINO QUE SE DEBE A RAZONES EXTERNAS A ESTA FUERZA. POR LO QUE EL OF. PPAL. CRISTIAN CUELLO AUXILIAR DE TURNO SALIENTE DEL DIA DE LA FECHA SE COMUNICA CON LA ANAC SIENDO ATENDIDO EN LA PERSONA DEL SR. TELLO, CLAUDIO QUIEN INFORMA QUE SE PRODUJO UN PROBLEMA TECNICO CON EL CAMION HIDRANTE POR LO QUE SE BAJO LA CATEGORIZACION DEL AEROPUERTO A NIVEL 4 LO QUE SIGNIFICA QUE EL AEROPUERTO NO PUEDE OPERAR CON AERONAVES DE GRAN PORTE. RAZON POR LA CUAL LAS COMPAÑIAS AEREAS DECIDEN CANCELAR O DERIVAR LOS VUELOS PROGRAMADOS PARA EL DIA DE LA FECHA A AEROPUERTOS ALTERNATIVOS. TANTO LOS PASAJEROS DEL VUELO CANCELADO DE LA EMPRESA LAN ARGENTINA NUMERO LA 4249 COMO LOS PASAJEROS DEL VUELO DERIVADO DE AUSTRAL AU 2425 NO HAN OCASIONADO PROBLEMAS NI SE HAN PRESENTADO DISCUCIONES. ASIMISMO POR INFORMACION OTORGADA POR OPERARIOS DE AUSTRAL EL VUELO NUMERO AU 2424 FUE DERIVADO A LA PROVINCIA DE SAN JUAN EN DONDE LOS PASAJEROS SERAN TRASLADADOS VIA TERRESTRE A LA PROVINCIA DE MENDOZA Y A SU VEZ AQUELLOS PASAJEROS QUE DEBIAN EMBARCAR EN VUELO AU 2425 EN ESTA AEROESTACION ESTAN SIENDO TRASLADADOS VIA TERRESTRE A LA PROVINCIA DE SAN JUAN PARA SER DESPACHADOS A AEROPARQUE. ADEMAS SE INFORMA QUE EL PERNOCTE DE LA EMPRESA AEROLINEAS ARGENTINAS NUMERO AR 2428 EL CUAL ARRIBABA 23:30 HORAS A ESTA AEROESTACION TAMBIEN SE ENCUENTRA CANCELADO. POR ULTIMO LA EMPRESA LAN ARGENTINA DISPUSO UNICAMENTE EL TRASLADO A LA PROVINCIA DE MENDOZA VIA TERRESTRE DE AQUELLOS PASAJEROS DEL VUELO DERIVADO A LA PROVINCIA DE SAN JUAN NUMERO LA4248 NO ASI DE AQUELLOS QUE DEBIAN EMBARCAR EN VUELO NUMERO LA4249 YA QUE EL MISMO FUE CANCELADO.</t>
  </si>
  <si>
    <t>LORNA HERNANDEZ DE LUNA ETCHEVERZ</t>
  </si>
  <si>
    <t>DAÑO EN BALIZA Nº 02 DE PLATAFORMA NORTE</t>
  </si>
  <si>
    <t>PLATAFORMA NORTE UBICADA FRENTE A INSTALACIONES DEL ANAC</t>
  </si>
  <si>
    <t>SIENDO LAS VEINTE HORAS SE HACE PRESENTE EN LA OFICINA DE GUARDIA EL SR. SERGIO GUSTAVO CALDERON, AUXILIAR DE OPERACIONES DE LA EMPRESA AEROPUERTOS ARGENTINA 2000 QUIEN ENCONTRÁNDOSE EN EL DÍA DE LA FECHA DE TURNO, PROCEDIÓ A DENUNCIAR INFORMO SOBRE EL DAÑO DE UNA BALIZA QUE ESTABA UBICADA EN PLATAFORMA OPERATIVA SECTOR 4 NORTE. SIENDO LAS VEINTE HORAS CON DIEZ MINUTOS SE DA CONOCIMIENTO DE ESTE HECHO EN FORMA TELEFÓNICA AL JUEZ FEDERAL DE SANTIAGO DEL ESTERO, DR. GUILLERMO MOLINARI, QUIEN ORDENA SE REALICEN LAS ACTUACIONES CORRESPONDIENTES. AL DIRIGIRME AL LUGAR Y EFECTUAR TOMAS FOTOGRAFICAS, SE PRESENTA EL SEÑOR SERGIO CALDERON QUIEN INFORMA QUE EL MISMO HABIA RETIRADO EL ARTEFACTO PARA SU REPARACION.</t>
  </si>
  <si>
    <t>SALIDA VEHICULAR</t>
  </si>
  <si>
    <t>TAQUILLA</t>
  </si>
  <si>
    <t>QUE EL DÍA DE LA FECHA SIENDO LA HORA INDICADA PERSONAL APOSTADO EN EL PUESTO TAQUILLA, INFORMA QUE LA EMPRESA AA2000, DEMORO UN VEHICULO MARCA VOLKSWAGEN, MODELO POLO COLOR GRIS, DOMINIO COLOCADO GSJ 153, DEL CUAL SE DESPRENDE UN PEDIDO POR PARTE DEL C.O.C., DE DAR INTERVENCIÓN POLICIAL EN CASO DE SER HABIDO. MOTIVO POR EL CUAL EL JEFE DE TURNO PREVIA COMUNICACIÓN CON EL C.O.C., QUIEN LE INFORMA AL SUSCRIPTO QUE TANTO EL VEHICULO COMO LAS TRES OCUPANTES, SON PARTICIPES DE HECHOS DELICTIVOS PERPETRADOS EN ESTA JURISDICCIÓN. A TAL EVENTO EL JEFE DE TURNO TRASLADA A LAS FEMENINAS Y AL RODADO AL ASIENTO DE LA GUARDIA DE PREVENCIÓN. A CONTINUACIÓN SE MANTUVO COMUNICACIÓN CON LA FISCALÍA INTERVINIENTE, INDICADO EL FISCAL QUE SE PROCEDA A LA APREHENSIÓN DE LAS FEMENINAS, REQUISA PERSONAL Y DEL RODADO, TESTIMONIAL AL PERSONAL DEL COC, INCAUTACIÓN PREVENTIVA DEL VEHICULO, SE ELEVE LO ACTUADO JUNTO CON LAS APREHENDIDAS EL DIA LUNES PRÓXIMO. ACTO SEGUIDO SE PROCEDIÓ AL TRASLADO DE LAS APREHENDIDAS A SANIDAD DE ESTE MEDIO, DONDE SE DESPRENDE QUE LA APREHENDIDA CÁCERES RETAMALES AÍDA DE LOS ÁNGELES, PORTA ENTRE SU ROPA INTERIOR UN PORTADOCUMENTOS CON DOCUMENTACIÓN A NOMBRE DE UN CIUDADANO AMERICANO, JUNTO CON EFECTOS DE VALOR DETALLADOS EN EL PRESENTE PARTE. ES TODO CONSTE.- SEGUN AMPLIACION PU Nº 2310 QUE SIENDO LAS SIETE HORAS, SE PROCEDIO A LA REMISION DE LAS APREHENDIDAS EN UN MOVIL DE DOTACION, EN CALIDAD DE COMUNICADAS, JUNTAMENTE CON UN SOBRE CONTENIENDO LA DOCUMENTACION PERSONAL DE LAS APREHENDIDAS, LA CUAL FUERA OPORTUNAMENTE ECUESTRADA EN AUTOS SEGUN AMPLIACION PU N° 2377 QUE EL DIA 19/04/2010 SIENDO 20 HS SE PROCEDIO A LA LIBERACION DE LAS TRES APREHNDIDAS DESDE EL ASIENTO DE ESTA GUARDIA DE PREVENCION.-</t>
  </si>
  <si>
    <t>INFORMO SIENDO LAS 20:00 HORAS DEL DIA 17/04/2010 SE COMUNICA PERSONAL DE PLAN DE VUELO DE TURNO DEL AEROPUERTO SAN JUAN, INFORMANDO QUE EL AEROPUERTO DE MENDOZA HABIA VAJADO LA CATEGORIA A CUATRO Y QUE POR CONSIGUIENTE LOS VUELOS DESTINADOS AL MISMO ARRIBARIAN AL AEROPUERTO DE SAN JUAN SIENDO LAS 20:10 HORAS ARRIBA VUELO 9903 DE LA EMPRESA LAN ARGENTINA CON 112 PASAJEROS PROVENIENTES DE AEROPARQUE, LOS MISMOS SON EMBARCADOS EN COLECTIVOS Y TRASLADADOS A LA PROVINCIA DE MENDOZA VIA CARRETERA, NO SE REALIZA EMBARQUE, DESPEGANDO EL VUELO CON DESTINO AEROPARQUE. SIENDO LAS 23:35 HORAS ATERRIZA VUELO 2424 DE LA EMPRESA AUSTRAL CON 125 PASAJEROS SE PROCEDE A LA MISMA METODOLOGIA TRASLADANDOLOS EN COLECTIVO A LA PROVIBNCIA DE MENDOZA, SE REALIZA EMBARQUE CON 96 PASAJEROS DESPEGANDO VUELO DE LA EMPRESA AUSTRAL 2425 CON DESTINO AEROPARQUE. FINALIZANDO LA ACTIVIDAD AEREA EN EL AEROPUERTO SAN JUAN SIN NOVEDAD. SE DEJA CONSTANCIA QUE EL JEFE DE AEROPUERTO COMODORO SORIA, INFORMO QUE LA ACTIVIDAD DEL AEROPUERTO MENDOZA SE RESTABLECE A PARTIR DE LAS 06:00 HORAS DEL DIA 18/04/2010.</t>
  </si>
  <si>
    <t>POR LA INFORMACION RECIBIDA POR PLAN DE VUELO OFICINA MENDOZA MENSAJE NOTAM SERIE NUMERO 50717 SE ENCUENTRA OPERATIVO CATEGORIA 6 A PARTIR DE LAS 06:00 HORAS DEL DIA 18 DE ABRIL DE 2010</t>
  </si>
  <si>
    <t>DRA. GRACIELA GUERSCOVICH</t>
  </si>
  <si>
    <t>TENT. CONT. ESTUPEFAC.</t>
  </si>
  <si>
    <t>PREMBARQUE TERMINAL B</t>
  </si>
  <si>
    <t>QUE SIENDO LA HORA INDICADA SE HACE PRESENTE EN EL PUESTO DE MENCIÓN UN PASAJERO QUIEN COLOCA SOBRE LA CINTA TRANSPORTADORA DE LA MAQUINA DE RAYOS X SU EQUIPAJE DE MANO SIENDO ESTA UNA MOCHILA DE PEQUEÑAS DIMENSIONES EN LA CUAL SE OBSERVA LA EXISTENCIA DE SUSTANCIA DEL TIPO ORGÁNICA. SEGUIDAMENTE SE SOLICITA AL PASAJERO QUE VACÍE EL CONTENIDO DE LA MOCHILA Y UNA VEZ VACÍA SE VUELVE A CONTROLAR OBSERVÁNDOSE LA MISMA IMAGEN. POR TAL MOTIVO Y UNA VEZ EN EL TURNO DE PREVENCIÓN SE SOLICITA AUTORIZACIÓN PARA LA REQUISA Y UNA VEZ AUTORIZADA DICHA REQUISA SE EXTRAE DEL INTERIOR DE LA MOCHILA DE MENCIÓN UN PAQUETE CONSTITUIDO POR PLÁSTICO NEGRO AL QUE SE LE REALIZA UNA PRUEBA DE CAMPO PARA COCAÍNA LA CUAL ARROJA RESULTADO POSITIVO COCAÍNA. EN VIRTUD A ELLO SE DA AVISO AL JUZGADO INTERVINIENTE QUIEN DISPONE QUE EL PASAJERO PERMANEZCA DETENIDO EN CALIDAD DE INCOMUNICADO SE REALICEN LAS ACTUACIONES DE RIGOR Y QUE EL DÍA LUNES DIECINUEVE DEL CORRIENTE MES Y AÑO A PRIMERA HORA EL DETENIDO JUNTO CON LA SUSTANCIA Y LA TOTALIDAD DE LOS ELEMENTOS SECUESTRADOS SEAN TRASLADADOS HACIA SEDE JUDICIAL.- SEGUN PU Nº 2309 SE LO TRASLADA A LA SEDE JUDICIAL</t>
  </si>
  <si>
    <t>AR-1132</t>
  </si>
  <si>
    <t>TRIBUNAL ORAL FEDERAL</t>
  </si>
  <si>
    <t>SANDES ANGEL, RISSO NATALIA, PERALTA DIEGO S/INFRACCION LEY 23737</t>
  </si>
  <si>
    <t>0001/2009</t>
  </si>
  <si>
    <t>SE CONFECCIONA EL PRESENTE A LOS EFECTOS DE INFORMAR QUE EN EL DIA DE LA FECHA SIENDO LAS 10.45 HS EMBARCA LA SRA, NATALIA SOLEDAD RISSO DNI 28.845.607 Y SU HIJO MENOR DE EDAD BENICIO ALFONSO FLORES DNI 49.647.791 DANDO CUMPLIMIENTO A LA ORDEN DE SERVICIO NRO 0015/2010 COLABORACION EN TRASLADO DE DETENIDO DE FECHA 16 DE ABRIL DEL CORRIENTE, QUE LA DETENIDA ERA TRASLADADA POR POLICIA FEDERAL EN EL MARCO DE LO ORDENADO MEDIANTE OFICIO JUDICIAL NRO 276 DE FECHA 12-04-2010 Y NRO 282 DE FECHA 13-04-2010 AMBOS DEL TRIBUNAL ORAL FEDERAL DE SANTA CRUZ DIRIGIDO A POLICIA FEDERAL ARGENTINA. ASIMISMO SE INFORMA QUE SE COORDINO CON OF. AY. LOPEZ ESCRIBIENTE DE TURNO DE LA UOSP AEROPARQUE, INFORMANDO QUE PERSONAL DE POLICIA FEDERAL ESPERARIA A LA CAUSANTE.</t>
  </si>
  <si>
    <t>BANCOS ENFRENTE A MCDONALD</t>
  </si>
  <si>
    <t>SIENDO LAS TRECE HORAS EL DENUNCIANTE SE HACE PRESENTE EN ESTE AEROPUERTO A LOS FINES DE AVERIGUAR SOBRE LA PARTIDA DE UN VUELO DE LA EMPRESA LUFHTANSA, YA QUE PARTIRIA ESE DIA , AL SENTARSE EN UNO DE LOS BANCOS DE DICHA TERMINAL DEJA A SU LADO UN MALETIN PORTA NOTEBOOK DE COLOR NEGRO. QUE LUEGO DE UNOS MINUTOS SE PERCATA DEL FALTANTE DE DICHO MALETIN. EN VIRTUD A ELLO SE HACE PRESENTE EN ESTA DEPENDENCIA Y RADICA LA CORRESPONDIENTE DENUNCIA.</t>
  </si>
  <si>
    <t>AVION - PLATAFORMA</t>
  </si>
  <si>
    <t>EN EL DIA DE LA FECHA, SIENDO LAS 14:00 HS, SE INICIA CONTROL DE SEGURIDAD, POR PARTIDA DE LA SEÑORA PRESIDENTE DE LA NACION ARGENTINA, LA MISMA ARRIBA A ESTA AEROESTACION A LAS 16:33 HS, EN EL HELICOPTERO MATRICULA H02, DESPEGANDO EN AERONAVE, MATRICULA T01, CON DESTINO A LA REPUBLICA DE VENEZUELA, A LAS 16:45 Y FINALIZANDO EL DISPOSITIVO A LAS 16:50 HS.SIN NOVEDAD</t>
  </si>
  <si>
    <t>DIEGO SIPILOTTI</t>
  </si>
  <si>
    <t>CERCANIAS A LA CABECERA Nº 25 DE ESTE AEROPUERTO</t>
  </si>
  <si>
    <t>SIENDO LAS 18.40 HS DEL DIA DE LA FECHA PERSONAL DE AEROPUERTOS ARGENTINA 2000 INFORMA QUE SE OBSERVAN PERSONAS EN CERCANIAS DE LA CABECERA Nº 25, SIENDO LAS 18.45 HS DOS NUMERARIOS DE ESTA UNIDAD OPERACIONAL SE HACEN PRESENTES EN EL LUGAR TRASLADADOS EN EL VEHICULO DE AA2000 CONDUCIDO POR EL SR. PAEZ Y CONSTATAN LA PRESENCIA DE TRES PERSONAS QUE PRESUMIBLEMENTE SERIAN MENORES DE EDAD, RAZON POR LA CUAL SE LOS ESCOLTA HASTA LAS OFICINAS DE ESTA DEPENDENCIA POLICIAL PARA OBTENER MAS INFORMACION, SIENDO LAS 19.00 HS SE ENTABLA COMUNICACION TELEFONICA CON EL DR. SPILOTTI A CARGO DE LA SECRETARIA CRIMINAL Y CORRECCIONAL DEL JUZGADO FEDERAL DE ESTA CIUDAD, QUIEN ORDENA SE HAGA ENTREGA DE LOS MENORES A SUS RESPECTIVOS PADRES, SIENDO LAS 19.10 HS SE HACE PRESENTE EL SR. ANIBAL ACOSTA A RETIRAR A SU HIJA AGOSTINA ACOSTA DE 15 AÑOS DE EDAD Y PREVIA AUTORIZACION DEL DR. SPILOTTI RETIRA TAMBIEN A LA MENOR MARIA FLORENCIA LAGOS DE 17 AÑOS DE EDAD, SIENDO LAS 19.32 HS SE HACE PRESENTE LA SR. GUILLERMINA ITUARTE PARA RETIRAR A SU HIJO IVAN AGUSTIN GRAVA DE 13 AÑOS DE EDAD.</t>
  </si>
  <si>
    <t>FISCALIA EN LO CRIMINAL DE INSTRUCCION N° 2</t>
  </si>
  <si>
    <t>ORMAECHEA</t>
  </si>
  <si>
    <t>PABLO RAUL</t>
  </si>
  <si>
    <t>DR SEBASTIAN EDUARDO MARTINEZ</t>
  </si>
  <si>
    <t>EN EL DIA DE LA FECHA SE HACE PRESENTE UNA PERSONA PARA RADICAR UNA DENUNCIA, INDICANDO QUE SIENDO LAS SIENDO APROXIMADAMENTE LAS 23:20 HORAS ARRIBO A ESTE AEROPUERTO METROPOLITANO EN VUELO NRO. AR 1213 DE LA EMPRESA AEROLÍNEAS ARGENTINAS, PROCEDENTE DE LA CIUDAD DE MONTEVIDEO URUGUAY DONDE DESPACHO UNA VALIJA TIPO CARRY ON COLOR GRIS DE MARCA "BACHILLER" CON Nº DE MARBETE AR 82-57-11, PARA LUEGO EMBARCAR Y PARTIR CON DESTINO A ESTA CIUDAD AUTONOMA A LAS 22:30 HORAS. AL LLEGAR A DESTINO SE PERCATO QUE DICHO EQUIPAJE SE ENCONTRABA MAS LIVIANO, MOTIVO POR EL CUAL VERIFICO SU CONTENIDO NOTANDO EL FALTANTE DE UNA CÁMARA FILMADORA PEQUEÑA DE MARCA CANON MODELO G10 CUYO NUMERO DE SERIE NO RECUERDA, LA CUAL TIENE UN VALOR DE REPOSICIÓN DE SETECIENTOS DÓLARES ESTADOUNIDENSES APROXIMADAMENTE, QUE SE ENCONTRABA DENTRO DE UN ESTUCHE DE LA MISMA MARCA DE COLOR NEGRO CON MEDIDAS APROXIMADAS DE 25*15*15 CENTÍMETROS, UN TRÍPODE PEQUEÑO PORTÁTIL, CABLES DE CONEXIÓN, DOS TARJETAS DE MEMORIA UNA DE CUATRO GB DE CAPACIDAD Y OTRA DE DOS GB, CUYAS MARCAS NO RECUERDA. ACTO SEGUIDO REALIZO CORRESPONDIENTE RECLAMO EN LA EMPRESA AEROCOMERCIAL, EL CUAL FUE ASIGNADO CON NÚMERO DE REFERENCIA AEPAR 40893/19ABR10/0238GMT SIENDO ATENDIDO POR EL SR. SERGIO CRESPO. PASADO UNOS MINUTOS SE HACE PRESENTE EN ESTA GUARDIA DE PREVENCION A RADICAR LA CORRESPONDIENTE DENUNCIA PENAL. SIENDO LAS 00:50 HORAS SE ENTABLA COMUNICACIÓN CON LA JUDICATURA INTERVINIENTE QUIEN DISPONE: SE SOLICITE REGISTRO FÍLMICO SI EXISTIERE, NOMINA DEL PERSONAL DE RAMPA INTERVINIENTE, CIERRE Y ELEVACIÓN.-</t>
  </si>
  <si>
    <t>AR 1213</t>
  </si>
  <si>
    <t>CASA DE CAMBIO BANCO NACION, SECTOR ARRIBOS</t>
  </si>
  <si>
    <t>SIENDO LA HORA Y DIA INDICADO LA DENUNCIANCIANTE SE DIRIGE A LA TERMINAL A DE ESTE MEDIO A REALIZAR UNA EXTRACCION DE EFECTIVO EN EL CAJERO AUTOMATICO DE MENCION Y DADO A QUE LA MISMA NO CONOCIA EL FUNCIONAMIENTO DEL CAJERO SOLICITA AL PERSONAL DE VIGILANCIA DE ESA ENTIDAD BANCARIA QUE LA AYUDARA CON LA EXTRACCION. SE RETIRA UNOS METROS LA DENUNCIANTE SE PERCATA QUE SE HABIA OLVIDADO LA TARJETA EN EL CAJERO, POR LO QUE REGRESA AL MISMO OBSERVANDO QUE EL VIGILADOR DEL BANCO QUE LA HABIA AYUDADO EN PRIMERA INSTANCIA, SE ENCONTRABA OPERANDO DICHO CAJERO. QUE AL FINALIZAR LA OPERACION EL MASCULINO SE RETIARA DEL CAJERO Y SE DIRIGE HACIA DONDE LA DENUNCIANTE SE ENCONTRABA, RAZON POR LA CUAL LA DENUNCIANTE LE CONSULTA SOBRE SU TARJETA RESPONDIENDOLE EL MASCULINO QUE EL NO SABIA QUE EL HABIA RETIRADO CIEN PESOS CON UNA TARJETA DE SU PROPIEDAD, QUE EN VIRTUD A QUE LA DENUNCIANTE OBSERVO QUE LA TARJETA QUE EL VIGILADOR POSEIA EN LA MANO ERA SIMILAR A LA SUYA, LE MANIFIESTA QUE ERA SU TARJETA, MOTIVO POR EL CUAL EL MASCULINO LE MANIFIESTA QUE LO PERDONE QUE NO LO VOLVERIA A HACER, DEVOLVIENDOLE EN ESE ACTO LA SUMA DE NOVECIENTOS PESOS ARGENTINOS, Y LUEGO DE UNOS MINUTOS SU TARJETA. ANOTICIADO LA UNIDAD FUNCIONAL INTERVINIENTE DISPUSO SE NOTIFIQUE AL PERSONAL DE VIGILANCIA EN CUESTION QUE SE ENCUENTRA IMPUTADO EN LAS PRESENTES ACTUACIONES. QUE EN VIRTUD A QUE LA DENUCIANTE SE APERSONO EN ESTA GUARDIA HORAS DESPUES DE PRODUCIDO EL HECHO EL VIGILADOR EN CUESTION HABIA FINALIZADO SU JORNADA LABORAL Y RETIRADO A SU DOMICILIO, POR LO CUAL SE DESCONOCEN DATOS DEL MISMO HASTA EL MOMENTO.</t>
  </si>
  <si>
    <t>2302/10</t>
  </si>
  <si>
    <t>QUE SIENDO LAS SIETE HORAS DEL DIA DE LA FECHA SE PROCEDIO A LA REMISION EN UN MOVIL DE DOTACION A SEDE JUDICIAL DEL DETENIDO JUNTO CON LA TOTALIDAD DE LOS ELEMENTOS SECUESTRADOS EN AUTOS.-</t>
  </si>
  <si>
    <t>2299/10</t>
  </si>
  <si>
    <t>QUE EL DÍA DE LA FECHA SIENDO LAS SIETE HORAS, SE PROCEDIO A LA REMISION DE LAS APREHENDIDAS EN UN MOVIL DE DOTACION, EN CALIDAD DE COMUNICADAS, JUNTAMENTE CON UN SOBRE CONTENIENDO LA DOCUMENTACION PERSONAL DE LAS APREHENDIDAS, LA CUAL FUERA OPORTUNAMENTE SECUESTRADA EN AUTOS.-</t>
  </si>
  <si>
    <t>SECRETARIA N° 58</t>
  </si>
  <si>
    <t>DRA. DIANA E DELEST</t>
  </si>
  <si>
    <t>INFRACCION LEY 13944</t>
  </si>
  <si>
    <t>584-12066-96</t>
  </si>
  <si>
    <t>PREEMBARQUE PUERTA NRO 1</t>
  </si>
  <si>
    <t>INFORMO QUE EN EL CONTROL DE DOCUMENTACION DE PASAJEROS SE DETECTA A TRAVES DEL SISTEMA DE INTERPOL EL PEDIDO DE CAPTURA VIGENTE SOLICITADO POR EL JUZGADO NACIONAL DE PRIMERA INSTANCIA EN LO CRIMINAL DE INSTRUCCION NRO 2 SECRETARIA NRO 58 DEL SEÑOR EUGENIO FELIX DI PUGLIA PUGLIESE ANTE EL HECHO PERSONAL DE INTERPOL LABRA UN ACTA Y ESTA ES ENTREGADA AL JEFE DE TURNO ACTO SEGUIDO SE ESTABLECE COMUNICACION TELEFONICA CON LA DRA. DIANA DE LEST A/C DE LA SECRETARIA NRO 59 DE DICHO JUZGADO QUIEN ENTERADO DE LOS HECHOS ORDENA SE NOTIFIQUE AL CAUSANTE A QUE COMPAREZCA ANTE SEDE TRIBUNALICIA EL DIA MIERCOLES 21 DE ABRIL DEL PRESENTE AÑO Y FIJE DOMICILIO . A CONTINUACION EL JEFE DE TURNO DA CUMPLIMIENTO A LO ORDENADO POR LA SECRETARIA LABRANDO EL ACTA DE NOTIFICACION CORRESPONDIENTE Y UNA VEZ RUBRICADA POR LOS INTERVINIENTES EL CAUSANTE PROSIGUE SU VIAJE.</t>
  </si>
  <si>
    <t>Av S/Psta Inf. Ley 26.364</t>
  </si>
  <si>
    <t>UOCN Y DC - RIO GRANDE</t>
  </si>
  <si>
    <t>MOTIVA EL PRESENTE LA RECEPCION DE OFICIO Nº 2537 / 10 DE FECHA 15 DE ABRIL DE 2010, RECEPCIONADO EL DIA 16 DE ABRIL DEL 2010 EN EL UOCN Y DC - RIO GRANDE DE TRAMITE POR ANTE EL JUZGADO FEDERAL DE LA CIUDAD DE RIO GRANDE, A FIN DE SOLICITAR EL ANALISIS DEL CONTENIDO DEL DISKETTE APORTADO POR LA EMPRESA TELECOM, PARA LA PROSECUCION DE LAS TAREAS INVESTIGATIVAS EN LA PRESENTE CAUSA JUDICIAL.</t>
  </si>
  <si>
    <t>2266/10</t>
  </si>
  <si>
    <t>INFORMO QUE EN EL DIA DE LE FECHA SIENDO APROXIMADAMENTE LAS 12:00 HS, SE PROCEDIO AL TRASLADO DEL DETENIDO ELADIO SOTO BUSTO A SEDE JUDICIAL, CON LA TOTALIDAD DE LOS SECUESTROS EFECTUADOS EN AUTOS, ASI TAMBIEN INFORMO QUE EL DETENIDO MANUEL SOTO BUSTO FUE TRASLADADO AL CUERPO MEDICO FORENSE Y LUEGO SERA REMITIDO A LA UNIDAD OPERACIONAL JORGE NEWERY, CON ASIENTO EN EL AEROPUERTO METROPOLITANO DE LA C.A.B.A, DONDE PERMANECERA ALOJADO A DISPOSICION DE JUZGADO INTERVINIENTE.</t>
  </si>
  <si>
    <t>NO DISPONIBLE PARA ESTADISTICA</t>
  </si>
  <si>
    <t>1980/10</t>
  </si>
  <si>
    <t>DRA CARPLINA ROMERO</t>
  </si>
  <si>
    <t>130/24-06.04.10</t>
  </si>
  <si>
    <t>SE RECEPCIONA AMPLIACION DE DENUNCIA EXPTE POLICIAL Nº 991-E/05-04-10. EXPTE JUDICIAL Nº 130/24-06.04.10- REFERENTE A PREVENSION SUMARIA Nº 16/10 DE ESTA UNIDAD.QUE FUERA RADICADA POR EL SEÑOR DARIO HECTOR ALMIRON EN EL DEPARTAMENTO INVESTIGACIONES COMPLEJAS DE LA POLICIA DE LA PROV. DEL CHACO , COPIA DE RADIOGRAMA DE LA DIRECCION GENERAL DE INVESTIGACIONES COMPLEJAS DONDE SOLICITA EL SECUESTRO DE LA MOTOCICLETA HONDA BIZ 100 CC MOTOR Nº HA07E-1423474 CHASIS Nº 9C2HA07001R423474 Y LA INDIVIDUALIZACION Y APREHENSION DE DOS SUJETOS, COPIA DE LA ELEVACION A LA COMISARIA SEC 4TA METROPOLITANA POR JURISDICCION Y COPIA DE LA COMISARIA SEC. 4TA A LA POLICIA DE SEGURIDAD AEROPORTUARIA PARA LA PROSECUCION DEL TRAMITE CORRESPONDIENTE</t>
  </si>
  <si>
    <t>SECTOR ESTE, CERCA DE ARBOLEDA.</t>
  </si>
  <si>
    <t>PLAYA DE ESTACIONAMIENTO</t>
  </si>
  <si>
    <t>SIENDO LAS 1205 HORA LOCAL SE RECEPCIONA EXPOSICION POLICIAL Nº 0007/10 AL SEÑOR HECTOR ALEJANDRO PONCE EMPLEADO DE LA EMPRESA AUSTRAL POR EL CHOQUE DE SU VEHÍCULO FORD KA DOMINIO EAU-366 ASEGURADO EN COMPAÑIA DE SEGUROS BERNARDINO RIVADAVIA COOPERATIVA LTDA POLIZA Nº 23/141504 EL CUAL SE ENCONTRABA ESTACIONADO EN PLAYA DE ESTACIONAMIENTO SECTOR ESTE Y ES EMBESTIDO POR UN VEHICULO FORD FIESTA DOMINIO GLD-289, EL CUAL POSEE SEGURO DE LA SEGUNDA, CONDUCIDO POR EL SEÑOR ARAYA CARLOS MANUEL CON DNI Nº 25.414.988, DONDE AL HACER MARCHA ATRAS EMBISTIO AL VEHICULO DEL SEÑOR PONCE EN LA PARTE DEL LADO DEL CONDUCTOR ABOLLANDO EL GUARDABARRO DELANTERO, NO RESULTANDO HERIDOS COMO ASI TAMPOCO VICTIMAS, SOLO DAÑOS MATERIALES MENORES.</t>
  </si>
  <si>
    <t>DEL VALLE CARABAJAL GRACIELA, NAZAR CRISTIAN Y OTROS S/INF. A LA LEY 23364</t>
  </si>
  <si>
    <t>COMPLEJO VUCETICH DE LA POLICIA DE LA PCI. BS.AS.</t>
  </si>
  <si>
    <t>SIENDO LAS 10:20 HS. DEL DÍA DE LA FECHA CUMPLIENDO O/S Nº 027/10 SE TRASLADA AL DETENIDO EDUARDO ADOLFO MUELAS DNI Nº 16926586 AL COMPLEJO JUAN VUCETICH DE LA POLICIA DE LA PCIA. DE BS.AS. PARA REALIZARLE UNA PRUEBA PSICOLÓGICA ORDENADA POR EL MAGISTRADO ACTUANTE.AL PRESENTARSE EN DICHO COMPLEJO NO ES ATENDIDO DEBIDO A UN ERROR DEL JUZGADO INTERVINIENTE, YA QUE LA FECHA DEL TURNO ES PARA EL 19 DE MAYO DEL CORRIENTE. SIENDO LAS 11:05 HS. REGRESA COMISIÓN CON EL DETENIDO, EL CUÁL ES ALOJADO NUEVAMENTE EN EL CALABOZO DE ÉSTA UOSP SIN NOVEDAD.</t>
  </si>
  <si>
    <t>SIENDO LA HORA INDICADA SE INICIA POR PARTE DEL SINDICATO DE SENASA Y ATE MANIFESTACION EN TAQUILLA CORTANDO 3 VIAS DE ACCESO HACIA EL AEROPUERTO, PRESTANDO COLABORACION AUTOPISTAS AL SUR, FINALIZANDO DICHA MEDIDA A LAS 15:00HS SIN NOVEDAD</t>
  </si>
  <si>
    <t>JUZGADO DE INSTRUCCION Nº 10 DE CAPITAL FEDERAL</t>
  </si>
  <si>
    <t>SECRETARIA Nº 130</t>
  </si>
  <si>
    <t>Caunedo</t>
  </si>
  <si>
    <t>Fernando Mario</t>
  </si>
  <si>
    <t>JUAN JOSE ALVAREZ</t>
  </si>
  <si>
    <t>584-17650-94</t>
  </si>
  <si>
    <t>ACTA DEJANDO CONSTANCIA</t>
  </si>
  <si>
    <t>INFORMO QUE EN EL CONTROL DE DOCUMENTACION DE PASAJEROS SE DETECTA A TRAVES DEL SISTEMA DE INTERPOL PEDIDO DE CAPTURA VIGENTE POR PARTE DEL JUZGADO DE INSTRUCCION NRO 10 SECRETARIA NRO 130 DE LA SRA. KARINA SILVIA REGGIERI ANTE EL HECHO EL PERSONAL DE INTERPOL LABRA ACTA DEL REQUERIMIENTO, POSTERIORMENTE HACE ENTREGA DE LA MISMA AL JEFE DE TURNO DEL DIA DE LA FECHA. ACTO SEGUIDO ESTE MANTIENE COMUNICACION TELEFONICA CON EL DR. JUAN JOSE ALVAREZ A/C DE LA SECRETARIA NRO 130 DE DICHO JUZGADO QUIEN INFORMADO DE LOS HECHOS COMUNICA QUE LA CAUSA QUE PESA SOBRE LA SRA. KARINA SILVIA REGGIERI SE ENCUENTRA SOBRESEIDA A PARTIR DE LA FECHA 22 AGOSTO DE 1996 Y ORDENA QUE LA CAUSANTE PROSIGA VIAJE. A CONTINUACION EL JEFE DE TURNO DANDO CUMPLIMIENTO A LO REQUERIDO POR SEÑOR SECRETARIO DE DICHO JUZGADO LABRA ACTA DEJANDO CONSTANCIA DEL HECHO Y LA SRA. KARINA SILVIA REGGIERI PROSIGUE VIAJE.</t>
  </si>
  <si>
    <t>MARIANA BEROIZ</t>
  </si>
  <si>
    <t>AVERIGUACION PTA. INF. LEY 26364- ELBA MARIA SANTANA GIMENEZ</t>
  </si>
  <si>
    <t>BOLIVAR N° 3041 2° PISO DEPARTAMENTO C</t>
  </si>
  <si>
    <t>MAR DEL PLATA, PCIA DE BUENOS AIRES</t>
  </si>
  <si>
    <t>REFERENCIA ORDEN DE SERVICIO N° 286/10. EN EL DIA DE LA FECHA SE PROCEDIO A EFECTUAR EL ALLANAMIENTO Y ORDEN DE DETENCION ORDENADA POR LA JUDICATURA INTERVINIENTE EN EL DOMICILIO CITADO. DANDO COMO RESULTADO LA DETENCION DEL IMPUTADO Y EL SECUESTRO DE DOCUMENTACION Y ALHAJAS. SEGUN PU Nº 2407 DE LA UOSP MAR DEL PLATA SE DIO CUMPLIMIENTO A LA O.S Nº 029/10 PERSONAL DEL G.O.C.N Y D.C DE MAR DEL PLATA , JUNTO A PERSONAL DEL AREA PREVENTIVA DE ESTA UOSP, SIENDO LAS 10:45 HS, PROCEDIERON AL TRASLADO DEL DETENIDO RAMALLO NESTOR OSCAR AL JUZGADO FEDERAL EN LO CORRECIONAL Y CRIMINAL Nº 3 DE ESTA CIUDAD, REGRESANDO LA COMISION A LAS 14:20 HS CON LA NOVEDAD QUE AL DETENIDO RAMALLO SE LE DICTO ARRESTO DOMICILIARO FUERA DE ESTA UNIDAD.</t>
  </si>
  <si>
    <t>INFRACCION AL ART. 85 DEL DECRETO LEY 8031/73</t>
  </si>
  <si>
    <t>HANGARES DE AEROLINEAS ARGENTINAS</t>
  </si>
  <si>
    <t>LOS OFICIALES ROMEO Y PEREZ EN UN CONTROL PREVENTIVO POR EL SECTOR HANGARES DE AEROLíNEAS ARGENTINAS DETECTAN LA PRESENCIA DE UNA PERSONA DE SEXO FEMENINO, VENDIENDO SUSTANCIAS ALIMENTICIAS A TRANSEúNTES, POR UNA SUMA DE DINERO A CONVENIR, SIN HABER CUMPLIDO PREVIAMENTE CON LOS REQUISITOS EXIGIDOS POR LA AUTORIDAD DE COMPETENCIA PARA EJERCER DICHA TAREA, HABIDA CUENTA DE ELLO ES QUE SE PROCEDE A LA IDENTIFICACIóN, APREHENSIóN PREVENTIVA DE LA CAUSANTE Y SECUESTRO DE LOS ELEMENTOS EN CUESTIóN. NO SE REGISTRA ACTA DE SECUESTRO DE ELEMENTOS EN EL DICA</t>
  </si>
  <si>
    <t>JUZGADO NACIONAL EN LO CRIMINAL Y CORRECCIONAL Nº 8</t>
  </si>
  <si>
    <t>JULIO GONZALO MIRANDA</t>
  </si>
  <si>
    <t>DECLARACION INDAGATORIA</t>
  </si>
  <si>
    <t>13984/07</t>
  </si>
  <si>
    <t>INFORMO QUE EN EL CONTROL DE DOCUMENTACION DE PASAJEROS SE DETECTA A TRAVES DEL SISTEMA DE INTERPOL PEDIDO DE PARADERO VIGENTE SOLICITADO POR JUZGADO NACIONAL EN LO CRIMINAL Y CORRECCIONAL NRO 8 SECRETARIA NRO 16 DE LA SRA. KARINA SILVIA REGGIERI ANTE EL HECHO PERSONAL DE INTERPOL CONFECCIONA ACTA Y LA ENTREGA AL JEFE DE TURNO DEL DIA DE LA FECHA ACTO SEGUIDO EL JEFE DE TURNO CONFECCIONA ACTA, DANDO CUMPLIMIENTO A LO REQUERIDO POR EL JUZGADO SOLICITANTE DE LA MEDIDA, Y NOTIFICA A LA SRA KARINA SILVIA REGGIERI QUE DEBE COMPARECER ANTE LOS MAGISTRADOS SOLICITANTE DE LA MEDIDA DENTRO DE LOS CINCO DIAS HABILES DE LABRADA LA MISMA.</t>
  </si>
  <si>
    <t>SUB INSPECTOR FLAVIO SAVIO, OBSERVA Y OYE A UNA PERSONA DE SEXO MASCULINO, QUE SE ENCONTRABA OFRECIENDO SERVICIO DE TRANSPORTE PUBLICO, A VIVA VOZ, A DIFERENTES PERSONAS QUE TRANSITABAN POR EL SECTOR DE LA PéRGOLA DE ARRIBOS DE LA TERMINAL "A", INFORMADO PREVIAMENTE Y EN REITERADAS OPORTUNIDADES, QUE NO PODíA EJERCER ESA ACTIVIDAD, POR INFRINGIR LOS ARTS. 2 Y 7 DE LA RESOLUCIóN 269/98 DE LA SECRETARIA DE TRANSPORTE DE LA NACIóN. SE NOTIFICA AL INFRACTOR QUE SE INICIO CAUSA POR INFRINGIR DICHOS ARTíCULOS REALIZANDO SE CONSTATACIóN DE DOMICILIO Y ANTECEDENTES PENALES. LUEGO DE ELLO SE PRECEDE A LA LIBERACIóN DEL INFRACTOR</t>
  </si>
  <si>
    <t>2314/10</t>
  </si>
  <si>
    <t>INFORMO QUE EN EL DIA DE LE FECHA SIENDO APROXIMADAMENTE LAS 19:00 HS, SE PROCEDIO AL TRASLADO DEL DETENIDO MANUEL SOTO BUSTO, POR REQUERIMIENTO DEL DR. SILVA PERTENECIENTE AL CUERPO MEDICO FORENSE, EL CUAL MANTUVO COMUNICACION CON EL JUZGADO INTERVINIENTE, INFORMANDO QUE EL DETENIDO SUFRE UN TRASTORNO INDUCIDO POR SUSTANCIAS TOXICAS, SOBRE UN TRASTORNO GRAVE DE PERSONALIDAD. MOTIVO POR EL CUAL SE PROCEDIO AL TRASLADO A LA UNIDAD DE DETENCION N° 20 DEL HOSPITAL SIQUIATRICO BORDA, DONDE QUEDARA ALOJADO A DISPOSICION DEL JUZGADO.</t>
  </si>
  <si>
    <t>FRENTE DE LA CABINA DE TRAFICO DE AEROLINEAS ARGENTINAS</t>
  </si>
  <si>
    <t>SIENDO LA HORA MENCIONADA ANTERIORMENTE SE IMPLEMENTA PERIMETRO POR CONTROL DE BULTO SOSPECHOSO CON PERSONAL DE LA GUARDIA DE PREVENCION DANDO AVISO AL PERSONAL DE GEDEX, ARROJANDO RESULTADO NEGATIVO CON LA UTILIZACION DE SABRE 4000, DANDO AVISO A PERSONAL DE BOMEBROS DE LA PFA, SANIDAD EMERGER. Y LIBERANDO EL SECTOR LUEGO DEL PROCEDIEMIENTO REALIZADO POR PERSONAL IDONEO A LAS 23:35 HS. POSTERIORMENTE SE TRASLADA EL BULTO EL CUAL ES UN BOLSO TIPO CHORIZO DE COLOR NEGRO DE MATERIAL CORDURA DE DIMENSIONES MEDIANAS CONTENIENDO EN SU INTERIOR UN PARAGUA, UNA CAJA DE ALFAJORES HABANNA, UNA CAJA DE BARRAS DE CHOCOLATE ALICIA, MEDICAMENTOS VARIOS. Y SE REALIZO EL HALLAZGO CORRESPONDIENTE CON EL Nº 893/10.</t>
  </si>
  <si>
    <t>CALLE DE INGRESO AL PUESTO MONTACARGAS, VEINTE METROS ANTES DEL INGRESO A DICHO PORTON</t>
  </si>
  <si>
    <t>EN CIRCUNSTANCIAS QUE SE ENCONTRABAN LOS INTERVINIENTES RECORRIENDO LAS INSTALACIONES DE ESTE MEDIO, OBSERVAN ESTACIONADO UN VEHICULO MARCA FIAT, MODELO SIENA, COLOR BORDEAUX, , CON VIDRIOS POLARIZADOS, CON DOMINIO COLOCADO GML 265, EN LA CALLE DE INGRESO AL MONTACARGA, PUDIENDO DIVISAR QUE EN INTERIOR DEL MISMO, MAS PRECISAMENTE EN LA PARTE TRASERA, SE ENCONTRABAN DOS PERSONAS PRACTICANDO SEXO ORAL. A TAL EVENTO SE IDENTIFICAN A LOS CAUSANTES, RESULTANDO SER UNO DE ELLOS NUMERARIO DE LA POLICIA FEDERAL ARGENTINA. EN ESTE CONTEXTO, SE REALIZA COMUNICACION CON EL JUZGADO FEDERAL Nº 1, SEC Nº 1 DISPONIENDO S.SA. QUE NO ES UN HECHO QUE ATENTE CONTRA EL ESTADO NACIONAL, MOTIVO POR EL CUAL SE MANTIENE COMUNICACION TELEFONICA CON LA U.F.I. Nº 1, INDICANDO SE PROCEDA A LABRAR ACTA DE PROCEDIMIENTO RELATANDO LO SUCITADO, SE TOME DECLARACION TESTIMONIAL A LOS CAUSANTES, SE CURSE NOTA INTERPOL Y REINCIDENCIA, QUE LOS CAUSANTES PERMANEZCAN DURANTE EL LABRADO DE LAS ACTUACIONES APREHENDIDOS - COMUNICADOS. QUE UNA VEZ FINALIZADA LAS ACTUACIONES Y RECIBIDO LOS RESULTADOS DE REINCIDENCIA Y ESTADISTICA CRIMINAL, SE PROCEDA A LA LIBERACION DE LOS CAUSANTES. SEGUIDAMENTE LUEGO DE RECIBIR LOS RESULTADOS DE INTERPOL EZEIZA Y REINCIDENCIA, DONDE SE DESPRENDE QUE LOS CAUSANTES NO POSEEN IMPEDIMENTOS LEGALES, SE PROCEDE A LA LIBERACION DE LOS MISMOS, RETIRANDOSE DE ESTA DEPENDENCIA POLICIAL POR SUS PROPIOS MEDIOS Y CONFORME CON LOS TRATOS RECIBIDOS.</t>
  </si>
  <si>
    <t>NAC. EN LO PENAL ECONOMICO Nº 1</t>
  </si>
  <si>
    <t>DRA. GRACIELA GUERSCOVICK</t>
  </si>
  <si>
    <t>EN CIRCUNSTANCIAS QUE SE LLEVABA A CABO EL CONTROL EN EL PUESTO PREEMBARQUE DE LA TERMINAL B, SE HIZO PRESENTE UNA PERSONA DE SEXO MASCULINO QUE LUEGO DE EFECTUARLE UN CHEQUEO SOBRE SUS ROPAS ARROJANDO RESULTADO NEGATIVO EN CUANTO ELEMENTOS PROHIBIDOS, PRESENTANDO EL PASAJERO EN CUESTION UNA ACTITUD NERVIOSA, CONTESTANDO LAS PREGUNTAS DE RIGOR REALIZADAS POR PERSONAL POLICIAL EN FORMA EVASIVA, POR LO QUE AMERITO QUE DIERA LA NOVEDAD AL JEFE DE TURNO. MANTENIDA COMUNICACION TELEFONICA CON EL JUZGADO INTERVINIENTE, ORDENA EL CONTROL DEL PASAJERO A TRAVES DEL BODY SCAN DE ADUANA Y SE INFORME LOS RESULTADOS OBTENIDOS. EN VIRTUD A ELLO SE PROCEDE A TRASLADAR AL PASAJERO EL SECTOR DE ADUANA DONDE PERSONAL FACULTATIVO PROCEDE A REALIZAR EL CONTROL A TRAVES DEL BODY SCAN, DONDE PERSONAL ADUANERO PUEDE OBSERVAR ELEMENTOS EXTRAÑOS EN SU INTERIOR. A TAL EVENTO SE PROCEDE A TRASLADAR AL MISMO AL HOSPITAL ZONAL DE EZEIZA, DONDE SE LE REALIZAN PLACAS RADIOGRAFICAS, ARROJANDO RESULTADO POSITIVO EN CUANTO ELEMENTOS EXTRAÑOS EN SU ORGANISMO. QUE ENTERADO EL JUZGADO INTERVINIENTE, DISPUSO SE LABREN ACTUACIONES SUMARIAS, SE PROCEDA A LA DETENCION DEL CAUSANTE, QUE LAS DILIGENCIAS DE RIGOR SE VAYAN REALIZANDO A MEDIDA QUE LA JEFA DE TERAPIA INTENSIVA AUTORICE. SEGUN PU Nº 2346 //2359 // 2372// 2388//2384 DEP HORA CAPSULAS PESO EN GRAMOS 1 0:00 13 120 2 8:20 7 64 3 9:43 17 160 4 10:00 13 120 5 11:10 19 176 6 14:15 4 38 7 17:10 9 84 8 19:00 17 158 9 8:10 16 152 10 10:45 7 70 11 15:10 2 18 TOTALES 124 1160 PU 2404 CUMPLO EN INFORMAR QUE EN EL HORARIO DE LAS 14:00 HORAS EL DETENIDO FUE DADO DE ALTA DEBIDO A QUE NO REGISTRA CUERPOS EXTRAÑOS EN SU ORGANISMO CON LO CUAL SE PROCEDIO A SU REMISION AL ASIENTO DE ESTA DEPENDENCIA INGRESANDO A LA MISMA EN EL HORARIO APROXIMADO DE LAS 14:30 HS. QUE EL DETENIDO DEBERA SER REMITIDO A SEDE JUDICIAL EN EL DIA 23/04/201 EN HORAS DE LA MAÑANA. PU Nº 2415 QUE SIENDO LAS SEIS HORAS TREINTA MINUTOS, SE PROCEDIO A TRASLADAR AL DETENIDO A SEDE JUDICIAL, JUNTAMENTE CON LA SUSTANCIA SECUESTRADA.</t>
  </si>
  <si>
    <t>2729/1140</t>
  </si>
  <si>
    <t>BEROIZ, MARIANA</t>
  </si>
  <si>
    <t>AVERIGUACION PTA. INF. LEY 26.364 - ELBA MARIA SANTANA GIMENEZ</t>
  </si>
  <si>
    <t>JUZGADO FEDERAL EN LO CRIMINAL Y CORRECIONAL Nº 3</t>
  </si>
  <si>
    <t>INFORMO QUE SIENDO LAS 08:00 HS DEL DIA DE LA FECHA Y EN CUMPLIMIENTO DE LA O/S Nº 290/10 GENERADA POR LA U.O.C.N. Y D.C DE LA URSA 1 DEL ESTE, PERSONAL DEL G.O.C.N Y D.C DE MAR DEL PLATA, PROCEDE AL TRASLADO DEL DETENIDO RAMALLO, NESTOR OSCAR DNI Nº 7.381.703 AL JUZGADO FEDERAL Nº 3. SEGUN PU 2345 INFORMO QUE SIENDO LAS 15:00 HS DEL DIA DE LA FECHA Y EN CUMPLIMIENTO DE LA O/S Nº 290/10 GENERADA POR LA U.O.C.N. Y D.C DE LA URSA 1 DEL ESTE, PERSONAL DEL G.O.C.N Y D.C DE MAR DEL PLATA, REGRESA A ESTA UNIDAD CON EL DETENIDO RAMALLO, NESTOR OSCAR DNI Nº 7.381.703 SIN NOVEDAD Y QUEDANDO ALOJADO EN EL CALABOZO DE ESTA UOSP.</t>
  </si>
  <si>
    <t>FIJO 1</t>
  </si>
  <si>
    <t>EL VEHICULO SALIO DEL PUESTO FIJO 1</t>
  </si>
  <si>
    <t>SIENDO LAS 19:50 SE RECIBE MODULACION VIA RADIO FRECUENCIA DEL COC QUIEN DA CUENTA SOBRE MOVIMIENTOS EFECTUADOS POR UN VEHICULO RENAULT EXPRESS BLANCO, DOMINIO COLOCADO DRN 381 PERTENENCIENTE A LA EMPRESA DE CARGAS CMS EL CUAL HABIA EGRESADO DE LA ZONA DE PLATAFORMA OPERATIVA POR EL PUESTO FIJO 1 DIRIGIENDOSE HACIA LA PLAYA DE ESTACIONAMIENTO DE LA TERMINAL B, OBSERVANDO QUE DICHO VEHICULO ESTACIONO AL LADO DE UN RENAULT SCENIC DE COLOR GRIS OSCURO, DOMINIO COLOCADO EMA 189, EL CUAL SE HALLABA EN EL PEINE Nº 4, POSTERIORMENTE DEL RODADO EXPRESS DESCIENDEN 2 MASCULINOS QUIENES RETIRAN DEL RODADO EXPRESS VARIOS BULTOS Y QUE POSTERIOREMENTE LOS DEPOSITAN EN EL BAUL DEL SCENIC, EFECTUANDO ESTE ACCIONAR EN REITERADAS OPORTUNIDADES Y QUE LUEGO ASCIENDEN NUEVAMENTE AL RODADO EXPRESS RETIRANDOSE DEL LUGAR. ACTO SEGUIDO SE COMISIONA PERSONAL POLICIAL A LOS EFECTOS DE INDIVIDUALIZAR AL PROPIETARIO DEL VEHICULO SCENIC, TRANSCURRIDOS UNOS MINUTOS SE HACE PRESNTE UN MASCULINO QUIEN DICE SER EL PROPIETARIO DE DICHO VEHICULO, POR LO QUE SE PROCEDIO A CONVOCAR LA PRESENCIA DE DOS TESTIGOS HABILES. SE LE SOLICITA AL PROPIETARIO QUE ABRA EL BAUL ACCEDIENDO EL MISMO EN FORMA VOLUNTARIA OBSERVANDOSE VARIOS ELEMENTOS, LUEGO SE LE SOLICITA QUE APERTURE LA PUERTA TRASERA DONDE SE OBSERVAN 2 SACAS DE COLOR BEIGE HABIDAS UNA AL LADO DE LA OTRA, ASI MISMO EL CAUSANTE PORTA UN BOLSO DE COLOR GRIS POR LO QUE SE LE SOLICITA QUE LO EXHIBA EN PRESENCIA DE LOS TESTIGOS OBSERVANDO EN SU INTERIOR UNA CANTIDAD IMPORTANTE DE CELULARES, A CONTINUACION SE PROCEDE A RETIRAR LA ALFOMBRA DE GOMA DEL PISO DE LA PARTE TRASERA DEL LADO DEL ACOMPÑANTE, OBSERVANDOSE UN HABITACULO PROPIO DEL VEHICULO DONDE SE OBSERVA UNA BOLSA TRANSPARENTE CONTENIENDO UNA SUSTANCIA PASTOSA DE COLOR VERDE,LA CUAL ARROJO UN PESAJE TOTAL DE 62 GRS. DE MARIHUANA, Y JUNTO A LA MISMA SE DEJA VER UN RECIPIENTE TRANSPARENTE DE FORMA CIRCULAR CONTENIENDO EN SU INTERIOR UNA SUSTANCIA SÍMIL PASTO DE COLOR VERDE, LA CUAL ARROJO UN PESAJE DE 68 GRS. CONTINUANDO CON EL PROCEDIMIENTO SE RETIRA UNA PEQUEÑA CANTIDAD DE SUSTANCIA SIMIL PASTO COLOR VERDE EN EL INTERIOR DE UN TROZO DE PAPEL DISPUESTO EN FORMA DE CIGARRILLO, DANDO COMO RESULTADO POSITIVO MARIHUANA EL CUAL NO POSEE PESO CON EXACTITUD POR POSEER UN PESO INFERIOR A LOS 2 GRAMOS. DE LA MISMA FORMA SE PROCEDE CON EL LADO DEL CONDUCTOR DONDE SE OBSERVA OTRO HABITACULO IGUAL AL ANTERIOR CONTENIENDO EN SU INTERIOR VARIOS ELEMENTOS ELECTRONICOS. ACTO SEGUIDO SE TRASLADAN TODOS LOS INTERVINETES JUNTAMENTE CON EL CAUSANTE HACIA EL TURNO DE PREVENCION. PERMANECIENDO EL PROPIETARIO DEL VEHICULO DETENIDO INCOMUNICADO.- SEGUN PU AMPLIATORIO 2335 SIENDO LAS 10:00HS EL DETENIDO EN AUTOS FUE TRSLADADO A SEDE JUDICIAL.- SEGUN 2337 SE CARGO TODA LA INFORMACION EN ESTE PARTE.- PESAJE TOTAL DE MARIHUNA INCAUTADA 130 GRAMOS.-</t>
  </si>
  <si>
    <t>2334/10</t>
  </si>
  <si>
    <t>PUESTO FIJO 1</t>
  </si>
  <si>
    <t>SIENDO LAS 10:00HS EL DETENIDO EN AUTOS FUE TRSLADADO A SEDE JUDICIAL</t>
  </si>
  <si>
    <t>SUMARIO INSTRUIDO S/PTO. DELITO DE ACCION PUBLICA</t>
  </si>
  <si>
    <t>FRENTE A LOS BOMBEROS DE P.F.A.</t>
  </si>
  <si>
    <t>EL DIA 19-4-10 SIENDO LAS 15:30HS SE RECIBE NOTA 07/10 POR PARTE SR. ALFREDO STAINNEKKER JEFE DE SEGURIDAD EZEIZA AA2000 10 EN REFERENCIA A UNA CAMIONETA NISSAN MISTRAL DE COLOR VERDE PATENTE DEL PARAGUAY APZ 804, TOTALMENTE SUCIA, CON RESTOS DE TIERRA COLORADA, CON SEMEJANZA A LA EXISTENTE EN LA PROVINCIA DE MISIONES QUE SE ENCUENTRA EN EL PARKING MULTINIVEL 0 (CERO) DE LA TERMINAL A , FRENTE A LOS BOMBEROS DE P.F.A. APROXIMADAMENTE DESDE EL MES DE JUNIO DE 2009 , ES POR ELLO QUE SE MANTUVO COMUNICACION CON EL JUZGADO INTERVINIENTE A QUIEN SE LE INFORMA DE LOS HECHOS, EL CUAL DISPONE REGISTRO VEHICULAR ,LEVANTAMIENTO DE RASTROS, INCAUTACION DE TODA LA DOCUMENTACION Y ELEMENTOS DE INTERES VINCULADO CON KIRSTEN KLOES Y THOMAS FEISS GEORGE COMO TAMBIEN SE PROCEDA AL SECUESTROS DE LA UNIDAD.-</t>
  </si>
  <si>
    <t>SIENDO LAS 19:50 SE RECIBE MODULACION VIA RADIO FRECUENCIA DEL COC QUIEN DA CUENTA SOBRE MOVIMIENTOS EFECTUADOS POR UN VEHICULO RENAULT EXPRESS BLANCO, DOMINIO COLOCADO DRN 381 PERTENENCIENTE A LA EMPRESA DE CARGAS CMS EL CUAL HABIA EGRESADO DE LA ZONA DE PLATAFORMA OPERATIVA POR EL PUESTO FIJO 1 DIRIGIENDOSE HACIA LA PLAYA DE ESTACIONAMIENTO DE LA TERMINAL B, OBSERVANDO QUE DICHO VEHICULO ESTACIONO AL LADO DE UN RENAULT SCENIC DE COLOR GRIS OSCURO, DOMINIO COLOCADO EMA 189, EL CUAL SE HLLABA EN EL PEINE Nº 4, POSTERIORMENTE DEL RODADO EXPRESS DESCIENDEN 2 MASCULINOS QUIENES RETIRAN DEL RODADO EXPRESS VARIOS BULTOS Y QUE POSTERIOREMENTE LOS DEPOSITAN EN EL BAUL DEL SCENIC, EFECTUANDO ESTE ACCIONAR EN REITERADAS OPORTUNIDADES Y QUE LUEGO ASCIENDEN NUEVAMENTE AL RODADO EXPRESS RETIRANDOSE DEL LUGAR. ACTO SEGUIDO SE COMISIONA PERSONAL POLICIAL A LOS EFECTOS DE INDIVIDUALIZAR AL PROPIETARIO DEL VEHICULO SCENIC, TRANSCURRIDOS UNOS MINUTOS SE HACE PRESNTE UN MASCULINO QUIEN DICE SER EL PROPIETARIO DE DICHO VEHICULO, POR LO QUE SE PROCEDIO A CONVOCAR LA PRESENCIA DE DOS TESTIGOS HABILES. SE LE SOLICITA AL PROPIETARIO QUE ABRA EL BAUL ACCEDIENDO EL MISMO EN FORMA VOLUNTARIA OBSERVANDOSE VARIOS ELEMENTOS, LUEGO SE LE SOLICITA QUE APERTURE LA PUERTA TRASERA DONDE SE OBSERVAN 2 SACAS DE COLOR BEIGE HABIDAS UNA AL LADO DE LA OTRA, ASI MISMO EL CAUSANTE PORTA UN BOLSO DE COLOR GRIS POR LO QUE SE LE SOLICITA QUE LO EXHIBA EN PRESENCIA DE LOS TESTIGOS OBSERVANDO EN SU INTERIOR UNA CANTIDAD IMPORTANTE DE CELULARES, A CONTINUACION SE PROCEDE A RETIRAR LA ALFOMBRA DE GOMA DEL PISO DE LA PARTE TRASERA DEL LADO DEL ACOMPÑANTE, OBSERVANDOSE UN HABITACULO PROPIO DEL VEHICULO DONDE SE OBSERVA UNA BOLSA TRANSPARENTE CONTENIENDO UNA SUSTANCIA PASTOSA DE COLOR VERDE,LA CUAL ARROJO UN PESAJE TOTAL DE 130 GS DE MARIHUANA, DE LA MISMA FORMA SE PROCEDE CON EL LADO DEL CONDUCTOR DONDE SE OBSERVA OTRO HABITACULO IGUAL AL ANTERIOR CONTENIENDO EN SU INTERIOR VARIOS ELEMENTOS ELECTRONICOS. ACTO SEGUIDO SE TRASLADAN TODOS LOS INTERVINETES JUNTAMENTE CON EL CAUSANTE HACIA EL TURNO DE PREVENCION.</t>
  </si>
  <si>
    <t>JUZGADO DE DISTRICTO EN LO CRIMINAL Y CORRECCIONAL Nº 10 DE BARILOCHE</t>
  </si>
  <si>
    <t>JOOS</t>
  </si>
  <si>
    <t>GREGOR</t>
  </si>
  <si>
    <t>DRA. ALICIA NIETO</t>
  </si>
  <si>
    <t>PAREDES CORTEZ MARCELINO GILBERTO PSA LESIONES CULPOSAS</t>
  </si>
  <si>
    <t>EXTE Nº 33/02</t>
  </si>
  <si>
    <t>SIENDO LA FECHA Y HORA INDICADA SE RECIBE DE MIGRACIONES MEDIANTE NOTA DE ESTILO AL SR. GILBERTO PAREDES CORTEZ QUIEN REGISTRA ORDEN DE CAPTURA SOLICITADA POR EL JUZGADO MENCIONADO, QUIEN DISPONE SE NOTIFIQUE AL CAUSANTE QUE DEBERA COMPARECER ANTE DICHO JUZGADO DENTRO DE LAS 72HS DE NOTIFICADO. SIENDO LAS 20:00HS EL CAUSANTE SE RETIRA DE ESTA DEPENDENCIA.</t>
  </si>
  <si>
    <t>LA 445</t>
  </si>
  <si>
    <t>DRA. MARIA GARRIDO</t>
  </si>
  <si>
    <t>A SU ARRIBO AL PAIS EL DENUNCIANTE JUNTO A SU NOVIA , ACCEDEN AL SERVICIO DE TAXI OFRECIDO POR UN MASCULINO Y SE TRASLADAN HACIA UN HOTEL EN LA C.A.B.A PREVIO ACUERDO DEL PAGO DE 310 PESOS POR EL VIAJE. AL LLEGAR A DESTINO ABONAN TAL IMPORTE. QUE EN EL DIA DE LA FECHA, EL DENUNCIANTE RECONOCE AL CHOFER DEL TAXI Y AL CONSIDERAR EXCESIVO EL IMPORTE DEL VIAJE SOLICITA INTERVENCION POLICIAL. MANTENIDAS LAS COMUNICACIONES JUDICIALES SE ORDENA IDENTIFICAR AL CHOFER DEL RODADO E INICIAR ACTUACIONES. PTO.- SEGUN ORDENA AL JUZGADO SE PROCEDE A LA IDENTIFICACION DEL CHOFER DEL TAXI QUE RESULTA SER VALENZA CLAUDIO NORBERTO.</t>
  </si>
  <si>
    <t>TRANSPORTE AEREO DEL MERCOSUR</t>
  </si>
  <si>
    <t>JJ8008</t>
  </si>
  <si>
    <t>MALDONADO IRMA TERESA S/DENUNCIA - PTA. INF 25.087</t>
  </si>
  <si>
    <t>EN EL DIA DE LA FECHA SE HACE PRESENTE ESPONTÁNEAMENTE EL CIUDADANO ÁNGEL RICARDO CASTILLO, D.N.I. N° 17.757.017, QUIEN POSEE PASAJE EN VUELO AR-2872, CON DESTINO AL AEROPARQUE JORGE NEWBERY. CONSULTADO EN BASE DE IMPEDIMENTOS LOCAL Y EN EL SISTEMA (RED LINCE) POSEE PROHIBICIÓN DE SALIDA DE LA PROVINCIA DE TIERRA DEL FUEGO, REGISTRO LINCE N° 259650. EL MISMO EXHIBE CEDULA DE NOTIFICACIÓN DEL PODER JUDICIAL DE LA PROVINCIA, DE FECHA 22 DE OCTUBRE DE 2007, EN LA QUE POR DISPOSICIÓN DE S.SA. SE ENCUENTRA SOBRESEÍDO EN LA PRESENTE CAUSA, DEJANDO SIN EFECTO LAS MEDIDAS RESTRICTIVAS ORDENADAS SOBRE SU PERSONA. REALIZADA COMUNICACIÓN TELEFÓNICA CON EL JUZGADO INTERVINIENTE EN LA PERSONA DEL SECRETARIO PSL JORGE NICOLÁS BALLESTRERO, CONFIRMA EL SOBRESEIMIENTO DEL CAUSANTE EN LA FECHA INDICADA. POR LO QUE A CONTINUACIÓN, EL CAUSANTE SE RETIRA DEL TURNO ESTA PREVENCIÓN SIN OTRA NOVEDAD. REAIZANDOSE ACTA DEJANDO CONSTANCIA N° 11/2010</t>
  </si>
  <si>
    <t>BUENOS AIRES - AEROPARQUE JORGE NEWBERY</t>
  </si>
  <si>
    <t>2331/10</t>
  </si>
  <si>
    <t>INFORMO QUE SIENDO LAS 15:00 HS DEL DIA DE LA FECHA Y EN CUMPLIMIENTO DE LA O/S Nº 290/10 GENERADA POR LA U.O.C.N. Y D.C DE LA URSA 1 DEL ESTE, PERSONAL DEL G.O.C.N Y D.C DE MAR DEL PLATA, REGRESA A ESTA UNIDAD CON EL DETENIDO RAMALLO, NESTOR OSCAR DNI Nº 7.381.703 SIN NOVEDAD Y QUEDANDO ALOJADO EN EL CALABOZO DE ESTA UOSP.</t>
  </si>
  <si>
    <t>2330/10</t>
  </si>
  <si>
    <t>CUMPLO EN INFORMAR LAS DEPOSICIONES EFECTUADAS POR EL DETENIDO EN EL DIA DE LA FECHA , A SABER: NRO. 1 A LAS 00:00 HORAS, 13 CAPSULAS CON UN PESO DE 120 GRAMOS, NRO. 2 A LAS 08:20 HS, 7 CAPSULAS CON UN PESO TOTAL DE 64 GRAMOS, NRO.3 A LAS 09:43 HS, 17 CAPSULAS CON UN PESO TOTAL DE 160 GRAMOS, NRO 4, A LAS 10:00 HS, 13 CAPSULAS CON UN PESO TOTAL DE 120 GRAMOS, NRO. 5 A LAS 11:10 HORAS, 19 CAPSULAS CON UN PESO TOTAL DE 176 GRAMOS. NRO 6 A LAS 14:15 HORAS, 04 CAPSULAS CON UN PESO TOTAL DE 38 GRAMOS. DE CADA UNA DE LAS DEPOSICIONES SE EXTRAJO SUSTANCIA DE CAPSULAS SELECCIONADAS AL AZAR, DE CUYO CONTENIDO SE OBTUVO RESULTADO POSITIVO COCAINA AL SER SOMETIDA A PRUEBA DE CAMPO CON REACTIVOS QUIMICOS</t>
  </si>
  <si>
    <t>OFICIAL AYUDANTE VíCTOR KALENBERG, SECUNDADO EN LA OPORTUNIDAD POR EL FUNCIONARIO POLICIAL OFICIAL AYUDANTE JUAN GUZZO EN UNA RECORRIDA QUE EFECTUABA POR EL ESPIGóN INTERNACIONAL "A", SECTOR HALL DE ARRIBOS DE PASAJEROS, EN PREVENCIóN Y REPRESIóN DE DELITOS Y FALTAS, OBSERVA Y SORPRENDE IN FRAGANTI, A UNA PERSONA DE SEXO MASCULINO, QUE SE ENCONTRABA OFRECIENDO SERVICIO DE TRANSPORTE PúBLICO, A VIVA VOZ, A PASAJEROS RECIéN ARRIBADOS AL PAíS , INFORMADO PREVIAMENTE Y EN REITERADAS OPORTUNIDADES, QUE NO PODíA EJERCER ESA ACTIVIDAD, CONTRARIANDO LA NORMATIVA LEGAL VIGENTE A LOS ARTS. 2 Y 7 DE LA RESOLUCIóN 269/98 DE LA SECRETARIA DE TRANSPORTE DE LA NACIóN, HACE CASO OMISO Y CONTINUO CON EL OFRECIMIENTO, SE PROCEDE A IDENTIFICAR AL INFRACTOR, REALIZANDO CONSTATACIóN DE DOMICILIO Y ANTECEDENTES PENALES. LUEGO DE ELLO SE PROCEDE A LA LIBERACIóN DEL INFRACTOR</t>
  </si>
  <si>
    <t>OFICIAL AYUDANTE VíCTOR KALENBERG, SECUNDADO EN LA OPORTUNIDAD POR EL FUNCIONARIO POLICIAL OFICIAL AYUDANTE JUAN PABLO GUZZO SON ANOTICIADOS POR EL OFICIAL PRINCIPAL VíCTOR SAMPAYO, QUIEN SE ENCUENTRA DE GUARDIA EN EL CENTRO DE CONTROL OPERATIVO, QUIEN OBSERVA A UNA PERSONA DE SEXO MASCULINO QUE SE ACERCABA INSISTENTEMENTE A PERSONAS QUE TRANSITABAN POR EL SECTOR DENOMINADO HALL DE ARRIBOS DE PASAJEROS, DE LA TERMINAL A. EL CUAL SE ENCONTRABA OFRECIENDO SERVICIO DE TRANSPORTE PUBLICO A VIVA VOZ, ES POR ELLO QUE SE LO NOTIFICA DE SE INICIARA LA CAUSA N º 51 , PROCEDIENDO A REALIZAR CONSTATACIóN DE DOMICILIO Y ANTECEDENTES PENALES LUEGO DE ELLO SE PROCEDE A LIBERAR AL INFRACTOR</t>
  </si>
  <si>
    <t>LOS OFICIALES JUAN FERNANDEZ Y SEBASTIAN VIOR EN UN CONTROL PREVENTIVO PROCEDIERON A CONSTATAR LA PRESENCIA DE UNA PERSONA DE SEXO MASCULINO, QUIEN SE ENCONTRABA EN LA PéRGOLA DENOMINADA CON EL NUMERO TRES (3) DE LA TERMINAL "A", OFRECIENDO SERVICIO DE TRANSPORTE PUBLICO A VIVA VOZ, A PASAJEROS RECIéN ARRIBADOS AL PAíS, HABIDA CUENTA DE ELLO Y SIENDO QUE DICHO ACCIONAR ES VIOLATORIO POR INFRINGIR A LOS ARTS. 2 Y 7 DE LA RESOLUCIóN 269/98 DE LA SECRETARIA DE TRANSPORTE DE LA NACIóN, ES QUE SE PROCEDE A LA IDENTIFICACIóN Y APREHENSIóN PREVENTIVA DEL CAUSANTE, CONSTATACIóN DE DOMICILIO Y ANTECEDENTES LUEGO DE ELLO SE PROCEDE A LA LIBERACIóN DEL CAUSANTE</t>
  </si>
  <si>
    <t>MOSMAN, DIEGO JAVIER S/ROBO EN GRADO DE TENTATIVA. DAMN: LOCAL FULL CELULAR</t>
  </si>
  <si>
    <t>NOTIFICACION 06/10</t>
  </si>
  <si>
    <t>EN EL DIA DE LA FECHA, DURANTE CONTROL DE RUTINA DEL PREEMBARQUE DEL VUELO AR-1881, SE INDIVIDUALIZA E IDENTIFICA AL CIUDADANO DIEGO JAVIER MOSMAN, D.N.I. N° 28.955.264, EL CUAL POSEE UNA SOLICITUD DE PARADERO SEGÚN RADIOGRAMA 897/08 OCPATF, PROVENIENTE DE LA OFICINA CONVENIO POLICIAL ARGENTINO DE LA POLICÍA DE TIERRA DEL FUEGO, EN EL MARCO DE LA CAUSA N° 16339, CARATULADA "MOSMAN, DIEGO JAVIER S/ROBO EN GRADO DE TENTATIVA. DAMN: LOCAL FULL CELULAR", EN TRAMITE POR ANTE EL JUZGADO DE REFERENCIA, REGISTRO LINCE N° 270525. SE REALIZA COMUNICACIÓN TELEFÓNICA CON EL JUZGADO INTERVINIENTE EN LA PERSONA DEL SECRETARIO PSL JORGE NICOLÁS BALLESTRERO, QUIEN MANIFIESTA QUE LA MEDIDA SE ENCUENTRA VIGENTE Y QUE POR DISPOSICIÓN DE S.SA. EL CAUSANTE FIJE DOMICILIO REAL Y EVENTUAL Y QUE DEBERÁ PRESENTARSE ANTE LOS ESTRADOS DE DICHO TRIBUNAL A LAS 09:00 HS DEL DÍA 21 DEL CORRIENTE MES Y AÑO, BAJO APERCIBIMIENTO DE SER DECLARADO EN REBELDÍA Y ORDENAR SU DETENCIÓN ART. 261 C.P.P.P. A CONTINUACIÓN, SE REALIZA ACTA DE RIGOR, NOTIFICANDO AL CAUSANTE MEDIANTE ACTA DE NOTIFICACIÓN 06/10, RETIRÁNDOSE DEL TURNO DE PREVENCIÓN SIN OTRA NOVEDAD.</t>
  </si>
  <si>
    <t>AR-1881</t>
  </si>
  <si>
    <t>Fernando Rota</t>
  </si>
  <si>
    <t>Investigacion Preliminar Nº 15</t>
  </si>
  <si>
    <t>ciudad de Ushuaia</t>
  </si>
  <si>
    <t>SE RECEPCIONA OFICIO Nº 115 DE FECHA 19 DE ABRIL DE 2010, PROCEDENTE DE LA FISCALIA FEDERAL DE LA CIUDAD DE USHUAIA, EL CUAL AUTORIZA A RATIFICAR O DESCARTAR LA HIPOTESIS DELICTUAL INFORMADA, CONSISTENTE EN DETERMINAR SI EXISTE UNA ORGANIZACION CRIMINAL, RADICADA EN LA CIUDAD DE USHUAIA, LA CUAL SE DEDICARIA AL INGRESO VIA AEREA, DE SUSTANCIAS ESTUPEFACIENTES, UTILIZANDO PARA ELLO EL AEROPUERTO INTERNACIONAL MALVINAS ARGENTINAS</t>
  </si>
  <si>
    <t>2313/10</t>
  </si>
  <si>
    <t>JOSE MARTIN MIGUEL DE ARRIETA</t>
  </si>
  <si>
    <t>YPF CONFLICTO GREMIAL</t>
  </si>
  <si>
    <t>ACCESO AEROPUERTO</t>
  </si>
  <si>
    <t>EN EL DIA DE LA FECHA EMPLEADOS DE YPF DE LA AEROPLANTA DE ESTE AEROPUERTO, PARAN SUS ACTIVIDADES EN RECLAMO PARA QUE EL TITULAR DE LA EMPRESA PERMISIONARIA, CLAUDIO BOTTARO, FIRME CONVENIO CON GREMIO DE CAMIONEROS, DADO QUE EN LA ACTUALIDAD SE ENCUENTRAN ADHERIDOS AL GREMIO DE LOS PETROLEROS, Y DICHO CAMBIO SIGNIFICARIA UN INCREMENTO EN SU SUELDO. EN ACCESO VEHICULAR A LA AEROSTACION QUEDA ESTACIONADO CAMION POR VOLUNTAD PROPIA DEL CHOFER DEL MISMO EN APOYO AL RECLAMO DE LOS TRABAJADORES DE LA AEROPLANTA. ACOMPAÑADO POR GREMIALISTAS Y EMPLEADOS DE LA AEROSTACION. SIN ENTORPECER EL NORMAL FUNCIONAMIENTO DEL AEROPUERTO. ASIMISMO SE INFORMA QUE LOS VUELOS RESTANTES DEL DIA DE LA FECHA SERAN ABASTECIDOS POR EL SR BOTTARO. SE DEJA CONTANCIA QUE HASTA EL MOMENTO NO SE PRESENTARON INCIDENTES</t>
  </si>
  <si>
    <t>INFRACCION A LOS ARTS 78 Y 85 DECRETO LEY 8031/73</t>
  </si>
  <si>
    <t>LOS OFICIALES JUAN GUZZO, Y DIEGO RODOLFO ZUMPANO, EN UNA RECORRIDA QUE EFECTUABA POR LA TERMINAL A, SECTOR PéRGOLA TRES, EN PREVENCIóN Y REPRESIóN DE DELITOS Y FALTAS, OBSERVAN Y SORPRENDEN IN FRAGANTI, A UNA PERSONA DE SEXO MASCULINO, QUE SE ENCONTRABA OFRECIENDO SERVICIO DE TRANSPORTE PúBLICO, A VIVA VOZ, A PASAJEROS RECIéN ARRIBADOS AL PAíS, FUERA DE LOS LUGARES HABILITADOS A TAL EFECTO, INFORMADO PREVIAMENTE Y EN REITERADAS OPORTUNIDADES, QUE NO PODíA EJERCER ESA ACTIVIDAD, CONTRARIANDO LA NORMATIVA LEGAL VIGENTE A LOS ARTS. 2 Y 7 DE LA RESOLUCIóN 269/98 DE LA SECRETARIA DE TRANSPORTE DE LA NACIóN, HACE CASO OMISO Y CONTINUO CON EL OFRECIMIENTO, SE PROCEDE A IDENTIFICAR AL INFRACTOR, COMO ASí TAMBIéN SE LE INFORMA DEL INICIO DE CAUSA CONTRAVENCIONAL Nº 053-C/10, CONSTATACIóN DE DOMICILIO, ANTECEDENTES PENALES . LUEGO DE ELLO SE RETIRA EL INFRACTOR DE LA DEPENDENCIA POLICIAL .</t>
  </si>
  <si>
    <t>FERNANDEZ ELENA ROSA</t>
  </si>
  <si>
    <t>S/ DCIA PTA ESTAFA</t>
  </si>
  <si>
    <t>CONTROL SISTEMA INSTITUCIONAL RED LINCE</t>
  </si>
  <si>
    <t>SIENDO LAS 16:25 HS DURANTE CONTROL DE RUTINA DEL PREEMBARQUE DEL VUELO LADE 439, SE INDIVIDUALIZA E IDENTIFICA AL CIUDADANO MIRANDA GOMEZ, PABLO ESTEBAN - DNI 92.763.394 SOBRE EL CUAL POSEE ORDEN DE CAPTURA. BAJO REGISTRO EN RED LINCE NRO 199682. SE PROCEDE A REALIZAR COMUNICACION CON EL JUZGADO DE INSTRUCCION DE TURNO DE LA CIUDAD DE RIO GALLEGOS, PROVINCIA DE SANTA CRUZ, EN LA PERSONA DEL DR. ZANETA. QUIEN INDICA QUE EL SR MIRANDA GOMEZ FIJE DOMICILIO REAL Y SE PRESENTE ANTE LOS ESTRADOS DEL TRIBUNAL INTERVINIENTE A LA BREVEDAD, EN EL MARCO DE LA CAPTURA IMPUESTA OPORTUNAMENTE EN LOS AUTOS DE REFERENCIA. POSTERIORMENTE PROSIGUE VIAJE HACIA LA CIUDAD DE RIO GALLEGOS</t>
  </si>
  <si>
    <t>FISCALIA NAC. DE INSTRUCCION Nº 2</t>
  </si>
  <si>
    <t>HERRERA - h</t>
  </si>
  <si>
    <t>LUCIO EDUARDO</t>
  </si>
  <si>
    <t>DR. SEBASTIAN EDUARDI MARTINEZ</t>
  </si>
  <si>
    <t>VEREDA DE INGRESO AL HALL CENTRAL</t>
  </si>
  <si>
    <t>SIENDO LA HORA 18:45 SE HACE PRESENTE LA PERSONA POSTERIORMENTE DETALLADA MANIFESTANDO QUE EN MOMENTOS QUE SE ENCONTRABA DESESTIBANDO EL EQUIPAJE DEL BAÚL DE UN TAXI EN EL SECTOR ANTES MENCIONADO, HACE ENTREGA AL CHOFER DEL MISMO CIEN PESOS ARGENTINOS PARA ABONAR EL SERVICIO DE TRASLADO, TOMANDO ESTE UN SOBRE DE NEOPRENE QUE CONTENÍA LOS ELEMENTOS POSTERIORMENTE DETALLADOS, SUBIÉNDOSE AL TAXÍMETRO Y RETIRÁNDOSE DEL AEROPARQUE JUNTO A SUS PERTENENCIAS Y EL VUELTO DEL SERVICIO DE TRASLADO, POR LO QUE SE HACE PRESENTE EN ESTA GUARDIA DE PREVENCION A FIN DE RADICAR LA DENUNCIA DEL HECHO.</t>
  </si>
  <si>
    <t>AR 2478</t>
  </si>
  <si>
    <t>CUMPLO EN INFORMAR NUEVAS DEPOSICIONES REALIZADAS POR EL DETENIDO EN AUTOS, SIENDO ESTAS: DEPOSICION NRO. 7, EFECTUADA A LAS 17:10 HS., DE 09 CAPSULAS, PESO TOTAL 84 GRS. Y DEPOSICION NRO. 8, EFECTUADA A LAS 19:00 HS., DE 17 CAPSULAS, PESO TOTAL 158 GRS.</t>
  </si>
  <si>
    <t>SIENDO LAS 22:15 HORAS, SE IMPLEMENTA OPERATIVO DE SEGURIDAD PRESIDENCIAL CON MOTIVO DE LA LLEGADA DE LA SRA PRESIDENTE DE LA NACION DEL VUELO PROCEDENTE DE LA REPUBLICA DE VENEZUELA. SIENDO LAS 23:55 HORAS, ARRIBA A ESTE AEROPUERTO METROPOLITANO LA MANDATARIA EN AERONAVE MATRICULA T-01, RETIRANDOSE EN HORAS 00:05 DEL DIA 21 DE ABRIL DEL CORRIENTE AÑO EN HELICOPTERO MATRICULA H-01. SIENDO LAS 00:15 HORAS, FINALIZA EL OPERATIVO SIN NOVEDAD.</t>
  </si>
  <si>
    <t>SE PROCEDE A LA RETENCION DE UNA SACA COLECTORA DEL CORREO OFICIAL, SEGUN CONSTA EN ACTA DE RETENCION DE CARGA Nº 0190/10 QUE ORIGINA LA PREVENCION SUMARIA Nº 042/10, IDENTIFICADA CON PRECINTO Nº A541228, SIN INDENTIFICACION DE MARBETE Y DESTINO, AMPARADA EN GUIA AEREA Nº 9342641-0, LA QUE SERIA DESPACHADA A TRAVES DE LA EMPRESA DE CARGA AEREA JET PAQ, LA RETENCION SE REALIZO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t>
  </si>
  <si>
    <t>UNA PASAJERA REFIERE HABER EXTRAVIADO UN CELULAR QUE PREVIAMENTE HABIA SOMETIDO A CONTROL DE RX. POR LO CUAL SE EFECTUA UNA BUSQUEDA SIN PODER DAR CON EL MISMO Y SE CONSULTA AL PERSONAL DEL C.O.C SOBRE EL TEMA. EN ESOS INSTANTES LAS PASAJERA SE RETIRA DEL SECTOR A FIN DE ABORDAR SU VUELO. LUEGO DE UNOS MINUTOS EL C.O.C INFORMA QUE UN PASAJERO QUE TRASPASARA EL CONTROL LUEGO DE DICHA PASAJERA, HABRIA TOMADO UN ELEMENTO DE COLOR ROJO QUE PODRIA SER EL TELEFONO EN CUESTION. SE INTENTA SIN EXITO INDIVIDUALIZAR AL MISMO POR EL SECTOR DE EMBARQUE. EN EL MARCO DE LOS HECHOS SE DA INTERVENCION JUDICIAL DISPONIENDOSE EL LABRADO ACTUACIONES PERTINENTES. PTO.-</t>
  </si>
  <si>
    <t>CONTINENTAL AIRLINES</t>
  </si>
  <si>
    <t>CO52</t>
  </si>
  <si>
    <t>BUENOS AIRES-MTO.PISTARINI</t>
  </si>
  <si>
    <t>HOUSTON</t>
  </si>
  <si>
    <t>EN CUMPLIMIENTO DE LA ORDEN DE SERVICIO 0030/10 Y SIENDO LAS 07:55 HORAS LOCALARRIBA AERONAVE AIRBUS A 320, MATRICULA LV-BFY DE LA EMPRESA LAN ARGENTINA Y EN CUYAS BODEGAS 31, 32, 41 Y 42 SE EMBARCAN UN TOTAL DE 99 BULTOS CON UN PESO 3656 KILOGRAMOS DE METAL-MTD- PERTENECIENTES A LA EMPRESA MINERA SANTA CRUZ CON DESTINO EL AEROPUERTO JORGE NEWBERY DE CAPITAL FEDERAL. DESPEGANDO EL MISMO A LAS 09:06 HORAS LOCAL.</t>
  </si>
  <si>
    <t>AEROPUERTO GRAL. ENRIQUE MOSCONI- COMODORO RIVADAVIA</t>
  </si>
  <si>
    <t>INFRACCION AL ART 78 DEC. LEY 8031/73</t>
  </si>
  <si>
    <t>CALLE DE LA PERGOLA TRES</t>
  </si>
  <si>
    <t>LO OFICIALES JUAN PABLO GUZZO, Y DIEGO ZUMPANO,EN UNA RECORRIDA QUE EFECTUABAN EN CONJURACIóN DE DELITOS Y FALTAS, OBSERVAN A UNA PERSONA DE SEXO MASCULINO QUE SE ENCONTRABA EN EL INTERIOR DE UN VEHíCULO TAXI, EL CUAL MANEJABA, OFRECIENDO SERVICIO DE TRANSPORTE PUBLICO A DIFERENTES PERSONAS QUE TRANSITABAN POR EL LUGAR A VIVA VOZ Y ADEMANES CON LAS MANOS, POR EL SECTOR DENOMINADO CALLE DE PéRGOLA TRES, DE LA TERMINAL A, SIENDO SU ACCIONAR VIOLATORIO DE LA NORMATIVA LEGAL VIGENTE; POR INFRINGIR A LOS ARTS. 2 Y 7 DE LA RESOLUCIóN 269/98 DE LA SECRETARIA DE TRANSPORTE DE LA NACIóN. ES POR ELLO QUE SE PROCEDE A IDENTIFICARLO, SE LE INFORMA QUE SE INICIO CAUSA CONTRAVENCIONAL Nº 54C/10. SE REALIZA CONSTATACIóN DE DOMICILIO Y ANTECEDENTES , LUEGO DE ELLO EL INFRACTOR SE RETIRA DE LA DEPENDENCIA POLICIAL</t>
  </si>
  <si>
    <t>EN RELACION A LA ORDEN DE SERVICIO Nª 03/10 DE FECHA 21-ABRIL-2010, QUE FUERA ENVIADA A ESA REGIONAL VIA FAX, SIENDO LAS 11:20 HS ATERRIZA TC-69 DE LA FUERZA AEREA ARGENTINA, EN RELACION AL TRANSPORTE DE CAUDALES DEL TESORO REGIONAL A CARGO DEL B. C. R. A., DESPEGANDO A LAS 12:15 HS., SIN NOVEDAD.-</t>
  </si>
  <si>
    <t>FAG 344</t>
  </si>
  <si>
    <t>EL PALOMAR - PROV. DE BUENOC AIRES</t>
  </si>
  <si>
    <t>2361/10</t>
  </si>
  <si>
    <t>SE PROCEDE A LA APERTURA DE UNA SACA COLECTORA DEL CORREO OFICIAL, MEDIDA COORDINADA PREVIAMENTE CON EL MAGISTRADO ACTUANTE. SEGUN ACTA DE RETENCION Nº 0190/10, PREV.SUM. Nº 042/10, LA SACA IDENTIFICADA CON MARBETE SLA9125280RGL, PRECINTO Nº A541228, CONTIENE CUATRO PIEZAS POSTALES IDENTIFICADAS COMO 1º EP657466272AR, 2º EP680915823 3º EP683786411AR, LAS CUALES SON LIBERADAS PARA SU REDESPACHO. LA 4º EP702480555AR, RTTE: S.E. CALLE R. ROJAS Nº 44, Bº 23 DE AGOSTO- ABRA PAMPA-CP.4640- JUJUY. DEST:SRA DANIELA TOCONAS, Bº LOS ZUPINOS, LOTE 41, MZA 180, RIO TURBIO-CP.9407- PCIA DE SANTA CRUZ, LA CUAL QUEDA RETENIDA ANTE LA PRESUNCION DE QUER PUDIERA CONTENER ALGUN ELEMENTO EN INFRACCION A LAS LEYES 22415 Y/O 23737, Y EN GUARDA EN EL DEPOSITO JUDICIAL DE ESTA UNIDAD A LA ESPERA DEL OFICIO JUDICIAL QUE AUTORICE SU APERTURA.</t>
  </si>
  <si>
    <t>2359/10</t>
  </si>
  <si>
    <t>CUMPLO EN INFORMAR QUE EL DIA DE LA FECHA SE EFECTUARON NUEVAS DEPOSICIONES REALIZADAS POR EL DETENIDO EN AUTOS, SIENDO ESTAS: DEPOSICION NRO. 08, EFECTUADA A LAS 08:10 HS., DE 16 CAPSULAS, PESO TOTAL 152 GRS. Y DEPOSICION NRO. 09, EFECTUADA A LAS 10:45 HS., DE 07 CAPSULAS, PESO TOTAL 70 GRS.</t>
  </si>
  <si>
    <t>EL DIA 19 DEL CORRIENTE MES Y AÑO LA DENUNCIANTE ARRIBA A LA HORA INDICADA, EN EL VUELO INDICADO ANTERIORMENTE, QUE UNA VEZ CULMINADOS LOS TRAMITES CORREPONDIENTES, SE DIRIGE HACIA LA CINTA DE EQUIPAJES A FIN DE RETIRAR SU CARRION DE TELA COLOR BEIGE, OBSERVANDO QUE EL MISMO SE ENCONTRABA SIN ENVOLTORIO DE PROTECCION COLOCADO EN EL AEROPUERTO DE PROCEDENCIA Y QUE PRESENTABA UN CORTE LONGITUDINAL EN LA PARTE SUPERIOR, POR LO QUE PROCEDIO A VERIFICAR SU CONTENIDO, ENCONTRANDO TODOS LOS ELEMENTOS REVUELTOS Y MEZCLADOS, NOTANDO EL FALTANTE DE LOS ELEMENTOS.</t>
  </si>
  <si>
    <t>MOSTRADORES DEL NUMERO 68 A 72</t>
  </si>
  <si>
    <t>DESPACHO DE LA EMPRESA TACA</t>
  </si>
  <si>
    <t>QUE LA DENUNCIANTE SE ENCONTRABA HACIENDO LA FILA JUNTO A SUS EQUIPAJES DEPOSITADOS SOBRE EL SUELO A UN LADO DE SU PERSONA. QUE AL AVANZAR LA FILA LA PASAJERA SE PERCATA DEL FALTANTE DE SU BOLSO.-</t>
  </si>
  <si>
    <t>LR7022</t>
  </si>
  <si>
    <t>QUE EL DIA DIECINUEVE DE ABRIL DEL CORRIENTE AÑO SIENDO LAS VEINTE HORAS SE PROCEDIO A LA LIBERACION DE LAS TRES APREHNDIDAS DESDE EL ASIENTO DE ESTA GUARDIA DE PREVENCION.-</t>
  </si>
  <si>
    <t>DR. SPILOTI DIEGO</t>
  </si>
  <si>
    <t>S/INFRANCCION LEY 23737</t>
  </si>
  <si>
    <t>2034/09</t>
  </si>
  <si>
    <t>SIENDO LAS 15:10 HS. SE PRESENTA EN EL SECTOR DE CONTROL MIGRATORIO DE ESTA UNIDAD, LA SRA ANDREA MANUELA TULIAN ACOMPAÑANDO A SU HIJO MENOR DE EDAD OMAR ABDUL MUSABER DNI Nº 42.167.391 EL CUAL VIAJARIA A LA CIUDAD DE RIO GALLEGOS EN COMPAÑIA DE SU PADRINO SR. DESIDELIO CHOQUE IBARRA DNI Nº 17.340.607, A LO CUAL SE SOLICITO IDENTIFICACION A LA SRA TULIAN Y AL INGRESAR SUS DATOS EN EL SISTEMA RED LINCE ARROJA UNA SOLICITUD DE PARADERO CON COMPARENDO, SEGUN REGISTRO 281425. CONFORME A LO ORDENADO POR EL JUZGADO FEDERAL DE 1º INSTANCIA DE RIO GRANDE A CARGO DE LA DRA. HERRAEZ, LILIAN QUIEN ORDENA FIJAR DOMICILIO REAL Y COMPAREZCA ANTE LOS ESTRADOS DENTRO DE LAS 48 HS. DE NOTIFICADA, LABRANDOSE LA CORRESPONDIENTE ACTA. CABE ACLARAR QUE LA MENCIONADA PERSONA NO VIAJABA EN EL VUELO DE LA EMPRESA LADE.</t>
  </si>
  <si>
    <t>FISCALIA FEDERAL N° 1 DE FORMOSA</t>
  </si>
  <si>
    <t>DRA GHISELA GOMEZ</t>
  </si>
  <si>
    <t>PREEMBARQUE TERMINAL A</t>
  </si>
  <si>
    <t>MIENTRAS SE REALIZABA EL CONTROL DE RUTINA DEL VUELO REGULAR EL OPERADOR DE RX OBSERVA UNA CAJA DE CARTON CON MARBETE N° AR 038668, CON ELEMENTOS QUE NO PUEDE DISTINGUIR, SE SOLICITA LA PRESENCIA DE SU PROPIETARIO QUIEN DICE SER ADOLFO SOSA, EL CUAL AUTORIZA LA APERTURA DE DICHA CAJA EN PRESENCIA DE LOS TESTIGOS HABILES, QUE SE TRATABA DE ELEMENTOS DE ELECTRONICA DE DUDOSA PROCEDENCIA, SIN EL CORRESPONDIENTE AVAL ADUANERO, PROCEDIENDOSE A LA INTERDICCION DE DICHA CAJA POR PRESUNTA INFRACCION A LA LEY 22415, INTERVINIENDO EL JUZGADO FEDERAL N° 1 DE FORMOSA- ///////////SEGUN PU 2399 EN EL DIA DE LA FECHA SE PROCEDIO A REALIZAR LA ENTREGA DE LAS ACTUACIONES AL JUZGADO FEDERAL N° 1 DE FORMOSA, DISPONIENDO SU SEÑORIA A TRAVES DE SU SECRETARIA QUE LA MERCADERIA INTERDICTADA SEA ENTREGADA A LA ADUANA AFIP FORMOSA, RECIBIENDO DICHO ORGANISMO LAS MERCADERIAS SECUESTRADAS PARA LA PROSECUCION DE LA CAUSA.</t>
  </si>
  <si>
    <t>HIDRANTE NUMERO 8</t>
  </si>
  <si>
    <t>SALA VIP ESPECIAL- PLATAFORMA COMERCIAL</t>
  </si>
  <si>
    <t>SIENDO LAS 17:45 SE IMPLEMENTA OPERATIVO DE SEGURIDAD PARA EL DESPLAZAMIENTO, DENTRO DE LAS INSTALACIONES DE ESTE AEROPUERTO, DE LA COMITIVA DE EMBAJADORES DE LA UNION EUROPEA, QUIENES PARTIERON EN EL VUELO DE LA EMPRESA LAN ARGENTINA NUMERO 4276, MATRICULA LV-BRA A LAS 19:30 HS, FINALIZANDO DE ESTA FORMA EL OPERATIVO SIN NOVEDAD, ASI MISMO SE INFORMA AL JEFE DE TURNO DE LA UNIDAD OPERACIONAL NEUQUEN QUE EL VUELO SE CONTROLO Y PARTIO SIN NOVEDAD DE ESTA UNIDAD.</t>
  </si>
  <si>
    <t>SIENDO LAS 21:20 HS ARRIBAN EN VUELO DE LAN ARGENTINA Nº 4276 COMITIVA DE JEFES DE MISION DE ESTADOS MIEMBROS DE LA UNION EUROPEA SEGUN CONSTA EN MEMORANDO 0130/2010 EMITIDO POR ESTA UOSP, EN CUMPLIMIENTO DE ORDEN DE SERVICIO NRO 0013/2010. EL OPERATIVO SE REALIZÓ SIN NOVEDAD.</t>
  </si>
  <si>
    <t>APERTURA DE ENCOMIENDA SOL / POLICIA DE SEGURIADAD AEROPORTUARIA</t>
  </si>
  <si>
    <t>303/10</t>
  </si>
  <si>
    <t>SE PROCEDE A LA RETENCION DE TRES SACAS COLECTORAS DEL CORREO OFICIAL, SEGUN CONSTA EN ACTA DE RETENCION DE CARGAS Nº 192/10, QUE ORIGINA LA PREVENCION SUMARIA Nº 043/10. LA 1º SACA IDENTIFICADA CON MARBETE Nº SLA0163332D555800VAE, PRECINTO Nº Y733381, CON UN PESO DE 6,800 KGS., CON DESTINO USHUAIA. LA 2º IDENTIFICADA CON MARBETE Nº SLA0163326D555800VAE, PRECINTO Nº A541293, CON UN PESO DE 6,500 KGS., CON DESTINO USHUAIA Y LA 3º IDENTIFICADA CON MARBETE Nº SLA9125685D50500BUE, PRECINTO Nº A541246, CON UN PESO DE 12,500 KGS., CON DESTINO BUENOS AIRES, AMPARADAS EN GUIA AEREA Nº 9342659-4, LAS QUE SERIA DESPACHADAS ATRAVES DE LA EMPREESA DE CARGA AEREA JET PAQ, LAS RETENCIONES SE REALIZAN ANTE LA PRESUNCION DE QUE PUDIERAN CONTENER ALGUN ELEMENTO EN INFRACCION A LAS LEYES 22.415 Y/O 23.737, QUEDANDO LAS MISMAS CERRADAS Y PRECINTADAS EN GUARDA EN ESTA UOSP.SE COMUNICO TELEFONICAMENTE AL JUZGADO INTERVINIENTE, Y LAS APERTURAS SE REALIZARAN EN PRESENCIA DEL PERSONAL DEL CORREO OFICIAL. SEGÚN AMPLIACION PU 2420/10 SE PROCEDE A LA APERTURA DE TRES SACAS COLECTORAS DEL CORREO OFICIAL, SEGUN CONSTA EN ACTA DE RETENCION DE CARGAS Nº 192/10, QUE ORIGINA LA PREVENCION SUMARIA Nº 043/10. LA 1º SACA IDENTIFICADA CON MARBETE Nº SLA0163332D555800VAE, PRECINTO Nº Y733381, CON UN PESO DE 6,800 KGS., CON DESTINO USHUAIA, CONTIENE UNA PIEZA POSTAL IDENTIFICADA COMO EP658931029AR , REMITENTE JULIO SANACATO DOM. SARMIENTO 421 Bº PROGRESO PERICO JUJUY CP 4610, DESTINATARIO SR. JOSE GUTIERREZ DOM. BRAUVOIR 2469 USHUAIA TIERRA DEL FUEGO CP 9410, LA CUAL QUEDA RETENIDA. LA 2º IDENTIFICADA CON MARBETE Nº SLA0163326D555800VAE, PRECINTO Nº A541293, CON UN PESO DE 6,500 KGS., CON DESTINO USHUAIA LA CUAL CONTIENE DOS PIEZAS POSTALES IDENTIFICADA COMO EP669756665AR Y EP669756714AR LAS CUALES SON ENTREGADAS PARA SU REDESPACHO POR NO SER DE INTERES A LA CAUSA Y LA 3º IDENTIFICADA CON MARBETE Nº SLA9125685D50500BUE, PRECINTO Nº A541246, CON UN PESO DE 12,500 KGS., CON DESTINO BUENOS AIRES, CONTIENE SIETE PIEZAS POSTALES IDENTIFICADAS COMO EP0444187255AR, EP670303923AR, EP656099489AR, EP711709608AR, EP658931032AR, EP659036704AR Y EP670303910AR, LAS CUALES SON ENTREGADAS PARA SU REDESPACHO POR NO SER DE INTERES PARA LA CAUSA. LA RETENCION SE REALIZA ANTE LA PRESUNCION DE QUE CONTENGA ELEMENTOS EN INFRACCION A LAS LEYES 22.415 Y/O 23.737, QUEDANDO LA MISMA CERRADAS Y EN GUARDA EN ESTA UOSP.SE COMUNICO TELEFONICAMENTE AL JUZGADO INTERVINIENTE, Y LA APERTURA SE REALIZARA CON LA AUTORIZACION DEL MAGISTRADO ACTUANTE SEGÚN AMPLIACION PU Nº 3244/10 SE PROCEDE A LA APERTURA DE UNA ENCOMIENDA DEL CORREO OFICIAL, SEGUN CONSTA EN ACTA DE APERTURA Nº 272/10, EN VIRTUD DE LO ORDENADO EN OFICIO JUDICIAL S/Nº, DEL MAGISTRADO ACTUANTE Y EN PRESENCIA DE UN TESTIGO HABIL. LA ENCOMIENDA SE INDENTIFICA COMO EP658931029AR , RTTE. JULIO SANACATO, SARMIENTO 421, Bº PROGRESO, PERICO JUJUY, CP 4610, DEST. JOSE GUTIERREZ, BEAUVOIR 2469, USHUAIA, TIERRA DEL FUEGO, CP 9410, CONTIENE: ONCE PAQUETES DE HOJAS DE COCA CON UN PESO TOTAL DE 2.766 GRS. LA ENCOMIENDA SERA PUESTA A DISPOSICION DE ADUANA DE SALTA POR SUPUESTA INFRACCION A LA LEY 22.415, CODIGO ADUANERO, Y LAS ACTUACIONES SERAN REMITIDAS A SEDE JUDICIAL.</t>
  </si>
  <si>
    <t>2372/10</t>
  </si>
  <si>
    <t>CUMPLO EN INFORMAR QUE EL DIA DE LA FECHA SE EFECTUO UNA NUEVA DEPOSICION REALIZADA POR EL DETENIDO EN AUTOS, SIENDO ESTAS: DEPOSICION NRO. 11, EFECTUADA A LAS 15:10 HS. DE DOS CAPSULAS DE IDENTICAS CARACTERISITICAS A LA YA CITADAS , ARROJANDO UN PESO DE DIECIOCHO GRAMOS, QUE SEGUN LO EXPRESADO POR LOS FACULTATIVOS SERIA LA ULTIMA QUE EL DETENIDO POSEE EN SU INTERIOR.</t>
  </si>
  <si>
    <t>ESTACION DE EXPENDIO DE COMBUSTIBLE PETROBRAS</t>
  </si>
  <si>
    <t>COMENZO DENTRO DE LAS INSTALACIONES del AEROPUERTO FINALIZANDO FUERA DE LA JURIDICCION EN LA AUTOPISTA EZEIZA - CAÑUELAS</t>
  </si>
  <si>
    <t>QUE EL DIA INDICADO, EL DENUNCIANTE MIENTRAS CONDUCIA UN COLECTIVO DE LA LINEA 51, INTERNO 113, EN MOMENTOS DE EGRESAR DE ESTE MEDIO FUE ABORDADO POR EL UNICO PASAJERO QUE QUEDABA DENTRO DEL RODADO, QUIEN LE EXHIBIO UN ARMA DE FUEGO QUE PORTABA EN SU CINTURA, INDICANDOLE QUE CONTINUE LA MARCHA, QUE LO UNICO QUE QUERIA ERA EL DINERO DE LA RECAUDACION, HABIDO EN LA MAQUINA DE BOLETOS. QUE A LA ALTURA DEL BARRIO UNO, DE EZEIZA, EL NN, PROCEDE A SOLICITARLE AL CHOFER QUE DETENGA EL COLECTIVO, DESCENDIENDO EL MASCULINNO A FIN DE APERTURAR POR LA PARTE EXTERNA DEL RODADO, LA BATEA QUE CONTIENE EL DINERO RECAUDADO. A CONTINUACION UNA VEZ SUSTRAIDO EL DINERO LE SOLICITA AL CHOFER QUE LO TRASLADE POR LA AUTOPISTA, EZEIZA CAÑUELAS POR UNOS DIEZ MINUTOS, PARA POSTERIOMENTE, DESCENDER DEL RODADO Y ESCAPAR. SEGUIDAMENTE EL DENUNCIANTE SE PRESENTO EN LA COMISARIA CUARTA DEL BARRIO UNO . EZEIZA SEDE DE LA POLICIA DE LA PROVINCIA DE BUENOS AIRES , SITIO DONDE LO DERIVARON A ESTA POLICIA A FIN DE RADICAR LA DENUNCIA CORRESPONDIENTE.</t>
  </si>
  <si>
    <t>QUE SIENDO LA HORA INDICADA MIENTRAS SE EFECTUABA EL CONTROL DE LO EQUIPAJES DESPACHADOS A BODEGA POR LOS PASAJEROS DEL VUELO DE MENCIÓN, PERSONAL POLICIAL OBSERVA LA EXISTENCIA DE SUSTANCIA ORGÁNICA DISTRIBUIDOS EN VARIOS BULTOS EN EL INTERIOR DE UNA VALIJA TIPO CARRY-ON. SEGUIDAMENTE Y LUEGO DE IDENTIFICAR A LA PASAJERA PROPIETARIA DE DICHA VALIJA SE TRASLADA A LA MISMA HACIA EL SECTOR DE CONTROL DE EQUIPAJES DONDE LA PASAJERA RECONOCE COMO DE SU PERTENENCIA LA VALIJA EN CUESTIÓN. QUE LUEGO DE ELLO SE PROCEDE A TRASLADAR A LA PASAJERA, TESTIGOS Y PERSONAL INTERVINIENTE HACIA EL TURNO DE PREVENCIÓN DONDE EL JEFE DE TURNO SOLICITA AUTORIZACIÓN AL JUZGADO DE TURNO PARA REALIZAR LA REQUISA DEL EQUIPAJE. QUE UNA VEZ AUTORIZADA LA REQUISA SE OBSERVA QUE EN EL INTERIOR DE LA VALIJA EN CUESTIÓN ERAN HABIDAS CINCO VELAS RECTANGULARES LAS CUALES SE IDENTIFICAN COMO VELA 1, VELA 2, VELA 3, VELA 4 VELA 5 Y TRES BOLAS DE VELA IDENTIFICADAS COMO BOLA 1, BOLA 2 Y BOLA 3. QUE LUEGO SE REALIZA UNA INCISIÓN A LA VELA 1 DONDE SE DEJA VER UNAS FINAS CAPAS DE CINTA, NYLON BLANCO Y DEBAJO UNA SUSTANCIA COLOR BLANCA A LA CUAL SE LE REALIZA UNA PRUEBA DE CAMPO PARA COCAÍNA Y ARROJA RESULTADO POSITIVO COCAÍNA Y POSTERIORMENTE SE PROCEDE DE IGUAL MANERA CON LAS IDENTIFICADAS VELA 2, VELA 3 VELA 4 Y VELA 5 ARROJANDO EN TODOS LOS CASOS POSITIVO COCAÍNA. SEGUIDAMENTE SE TOMA LA BOLA 1 SE LE REALIZA UNA INCISIÓN DEJÁNDOSE VER EN EL INTERIOR UN CUBO DE CINTA COLOR MARRÓN CONTENIENDO UNA SUSTANCIA BLANCA GRANULADA CON PARTÍCULAS CELESTES A LA CUAL SE SOMETE A UNA PRUEBA DE CAMPO CON REACTIVOS PARA OPIO ALCALOIDES, CODEÍNA, ANFETAMINAS, ARROJANDO RESULTADO POSITIVO ANFETAMINAS CONTINUANDO CON EL MISMO PROCEDIMIENTO CON LOS IDENTIFICADOS COMO BOLA 2 Y BOLA 3 ARROJANDO EN TODOS LOS CASOS POSITIVO ANFETAMINAS. SEGUIDAMENTE SE ANOTICIA DE DICHOS RESULTADOS AL JUZGADO EN TURNO QUIEN DISPONE SE INICIEN ACTUACIONES CARATULADAS TENT. CONT. ESTUPEFACIENTES, QUE LA PASAJERA PERMANEZCA DETENIDA EN CALIDAD DE INCOMUNICADA, REALIZAR LAS DILIGENCIAS DE RIGOR QUE CORRESPONDAN, SE ANOTICIE A PERSONAL DE LA DIVISIÓN NARCOTRÁFICO Y DELITOS COMPLEJOS DE ESTA POLICÍA Y QUE SE ELEVE TODO LO ACTUADO, SECUESTRO, EFECTOS Y DETENIDA EL DÍA VEINTIDÓS DEL CORRIENTE MES Y AÑO A PRIMERA HORA A SEDE JUDICIAL.- SEGUN PU AMPLIATORIO 2287, SIENDO SIETE HORAS LA DETENIDA JUNTO A TODO LO ACTUADO Y LA TOTALIDAD DE LOS SECUESTROS, FUE TRASLADADA A SEDE JUDICIAL SIN NOVEDAD.-</t>
  </si>
  <si>
    <t>2386/10</t>
  </si>
  <si>
    <t>QUE EN EL DIA DE LA FECHA SIENDO LAS SIETE HORAS LA DETENIDA JUNTO A TODO LO ACTUADO Y LA TOTALIDAD DE LOS SECUESTROS, FUE TRASLADADA A SEDE JUDICIAL SIN NOVEDAD.-</t>
  </si>
  <si>
    <t>CUMPLO RECTIFICAR EL PRESENTE PARTE EN VIRTUD A QUE DONDE DICE DEPOSICION NRO. 08, DEBE DECIR DEPOSICION N° 09 EFECTUADA A LAS 08:10 HS., DE 16 CAPSULAS, PESO TOTAL 152 GRS. Y DONDE DICE DEPOSICION NRO. 09, DEBE DECIR DEPOSICION N° 10, EFECTUADA A LAS 10:45 HS., DE 07 CAPSULAS, PESO TOTAL 70 GRS.</t>
  </si>
  <si>
    <t>349/10</t>
  </si>
  <si>
    <t>AMPLIACION PARTE N 349/10, FECHA 22 DE ABRIL DE 2010. TAREAS SEGUN O.S. N° 024/09 GENERADA POR ESTA UNIDAD. DE LAS INTERVENCIONES REALIZADAS A LAS PERSONAS INVESTIGADAS SE PUDO APRECIAR QUE LAS MISMAS TIENEN LA SOSPECHA DE QUE ESTARIAN SIENDO OBSERVADOS POR ALGUNA FUERZA DE SEGURIDAD, YA QUE LUEGO DE REALIZAR TAREAS ENCUBIERTAS Y CON ABSOLUTA DISCRECION SOBRE LOS DOMICILIOS, SE PUDO PUDO DETERMINAR QUE DESDE HACE UN MES LOS MISMOS NO VIAJAN A LA CIUDAD DE SALTA COMO LO HACIAN USUALMENTE. TAMBIEN LLAMA LA ATENCION QUE, NO UTILIZAN LOS TELEFONOS COMO SOLIAN HACERLO, ES POR ELLO QUE SE SOLICITÓ AL TRIBUNAL ACTUANTE, LA BAJA DE LAS LÍNEAS INTERVENIDAS YA QUE NO APORTAN NOVEDADES SIGNIFICATIVAS A LA CAUSA. ACTUALMENTE ESTA UNIDAD SE ENCUENTRA REALIZANDO ANALISIS DE LAS SABANAS TELEFONICAS A FIN DE DETERMINAR CUALES SON LOS NUEVOS TELEFONOS UTILIZADOS. SE AMPLIARA CUANDO SURJA ALGUNA NOVEDAD.</t>
  </si>
  <si>
    <t>SE AMPLIA PARTE N° 2122. FECHA: 22 DE ABRIL DE 2010. TAREAS REALIZADAS SEGUN O.S. N° 13/10 EMITIDA POR ESTA UNIDAD. INFORMO QUE CON FECHA 12 DE ABRIL DEL CORRIENTE AÑO, SE HICIERON EFECTIVAS LAS INTERVENCIONES TELEFONICAS SOLICITADAS. A SU VEZ SE RECIBIERON LAS SABANAS TELEFONICAS. POR ULTIMO INFORMO QUE SE SOLICITÓ A LA DRICA DEL NORTE, ENTRECRUZAMIENTO DE LAS LINEAS OBSERVADAS MEDIANTE EL PROGRAMA I 2.</t>
  </si>
  <si>
    <t>PLATAFORMA OPERATIVA, DIRECCION GENERAL DE AVIACION CIVIL</t>
  </si>
  <si>
    <t>EN EL DIA DE LA FECHA DESPEGA LA AERONAVE LQ-ZRB, TIPO BE - 90 KING BI-TURBO HELICE PERTENECIENTE A LA DIRECCION GENERAL DE AVIACION CIVIL DE LA PROVINCIA DE SANTIAGO DEL ESTERO TRASLADANDO AL SEÑOR MINISTRO DE JUSTICIA, SEGURIDAD Y DERECHOS HUMANO, DR JULIO ALAK Y COMITIVA QUIENES PARTICIPARON DE LA VISITA PROTOCOLAR CON MOTIVO DE LA SEGUNDA REUNION DEL CONSEJO FEDERAL DE JUSTICIA E INAUGURACION DE LA OBRA REMODELACION DEL PALACIO DE JUSTICIA DE SANTIAGO DEL ESTERO. LOS MISMOS ARRIBARON A NUESTRA PROVINCIA EN EL DIA DE AYER EN EL VUELO COMERCIAL Nº 1494 DE AEROLINEAS ARGENTINAS, SEGUN LO INFORMADO A ESA URSA III DEL NORTE EN TXT Nº 0585 R GHO 211840 BBR 10</t>
  </si>
  <si>
    <t>2337/10</t>
  </si>
  <si>
    <t>CALLE PASAJE MARTIN FIERRO NUMERO 5773, DPTO. C., VERSALLES, C.A.B.A.</t>
  </si>
  <si>
    <t>EN CUMPLIMIENTO DE LA ORDEN DE ALLANAMIENTO LIBRADA POR DR. CLAUDIO BONADIO, A CARGO DEL JUZGADO NACIONAL EN LO CRIMINAL Y CORRECCIONAL FEDERAL N° 11, SE PROCEDE AL ALLANAMIENTO DE LA FINCA UBICADA EN LA CALLE MARTIN FIERRO N° 5773, CABA, DANDO COMO RESULTADO POSITIVO. DETALLANDO LOS ELEMENTOS SECUESTRADOS EN EL CAMPO QUE CORRESPONDE.- EN RELACION AL PU 2334 CORRESPONDIENTE A LA CAUSA N° 214-E/10 CARATULADA TENTATIVA DE HURTO, SIENDO EL DIA 19 DE ABRIL DE CORRIENTE AÑO, SE VIERON MOVIMIENTOS SOSPECHOSOS EFECTUADOS POR UN VEHICULO PERTENECIENTE A LA EMPRESA DE CARGAS EN EL ESTACIONAMIENTO DE LA TERMINAL B, UNA VEZ QUE LLEGA EL SR CRISTIAN BYRNE,PROPIETARIO DEL DICHO VEHICULO, SE HACE PRESENTE PERSONAL DE ESTA POLICIA Y LE SOLICITA QUE APERTURE EL BAUL Y LAS PUERTAS DEL VEHICULO, OBSERBANDOSE ELEMENTOS ELECTRONICOS Y UNA BOLSA CONTENIENDO MARIHUANA CON UN PESAJE TOTAL DE 130 GRAMOS. ACTO SEGUIDO SE PROCEDE A TRASLADAR TODOS LOS INTERVINETES JUNTAMENTE CON EL PROPIETARIO DEL VEHICULO HACIA EL TURNO DE PREVENCION. QUEDANDO EL SOSPECHOSO COMO DETENIDO INCOMUNICADO.-</t>
  </si>
  <si>
    <t>ROBO/HURTO Y DAÑOS EN CERCA PLASTICA PERIMETRAL</t>
  </si>
  <si>
    <t>SECTOR LINDANTE CON ASENTAMIENTO LA VERNACHA Y SECTOR LINDANTE CON BARRIO BORGES</t>
  </si>
  <si>
    <t>EN EL DIA DE LA FECHA SIENDO LAS 11:07 HS SE PRESENTA EL SEÑOR SERGIO CALDERON, EMPLEADO DE LA EMPRESA AA2000 DENUNCIANDO QUE MIENTRAS REALIZABA RECORRIDO DE RUTINA DETECTO EL FALTANTE DE UN TRAMO DE CERCA PLASTICA PERIMETRAL DE APROXIMADAMENTE 1.20 X 1.00 MTS. EN EL SECTOR LINDANTE CON EL ASENTAMIENTO LA VERNACHA Y DAÑOS SOBRE LA CERCA PLASTICA PERIMETRAL EN EL SECTOR LINDANTE CON EL BARRIO BORGES. TOMANDO CONOCIMIENTO DE ESTA NOVEDAD ME DIRIJO A LOS LUGARES DE LOS HECHOS, PROCEDIENDO A CONSTATAR LO DENUNCIADO, REALIZANDO UNA INSPECCION OCULAR NO PUDIENDO DETECTAR NINGUN TIPO DE HUELLAS O ELEMENTOS QUE PUEDAN HABER SIDO EMPLEADOS EN LA COMISION DE LOS DELITOS. SE DA INTERVENCION AL JUZGADO FEDERAL DE SANTIAGO DEL ESTERO, COMUNICANDOME TELEFONICAMENTE CON EL SR. FISCAL FEDERAL DR. PEDRO SIMON, QUIEN ORDENA DAR INICIO A LAS ACTUACIONES CORRESPONDIENTES PARA LUEGO SER ELEVADAS A LA BREVEDAD.</t>
  </si>
  <si>
    <t>2379/10</t>
  </si>
  <si>
    <t>EN EL DIA DE LA FECHA SE PROCEDIO A REALIZAR LA ENTREGA DE LAS ACTUACIONES AL JUZGADO FEDERAL N° 1 DE FORMOSA, DISPONIENDO SU SEÑORIA A TRAVES DE SU SECRETARIA QUE LA MERCADERIA INTERDICTADA SEA ENTREGADA A LA ADUANA - AFIP FORMOSA, RECIBIENDO DICHO ORGANISMO LAS MERCADERIAS SECUESTRADAS PARA LA PROSECUCION DE LA CAUSA.-</t>
  </si>
  <si>
    <t>QUE ARRIBADA A ESTA AEROSTACION, LUEGO DE LOS TRAMITES MIGRATORIOS Y ADUANEROS DE RIGOR, SE DIRIGE AL SECTOR DE PERGOLA DE LA TERMINAL A, A LOS EFECTOS DE ABORDAR EN UN TAXI. EN TAL CIRCUNSTANCIA DOS MASCULINOS QUE SE ENCONTRABAN EN EL SECTOR LE OFRECEN UN SERVICIO DE TAXI HACIENDO PARAR UN VEHICULO TAXI DE CAPITAL FEDERAL. EN ESTE CONTEXTO CARGAN LAS PERTENENCIAS DE LA DENUNCIANTE Y UNO DE LOS MASCULINOS LA INVITA A SACARSE UNA FOTO CON EL, ACCEDIENDO LA DENUNCIANTE A DICHO REQUERIMIENTO, DEJANDO EL BOLSO DE MANO QUE PORTABA EN LA OPORTUNIDAD EN MANOS DEL SEGUNDO MASCULINO. QUE LUEGO DE EMPRENDER LA MARCHA EN EL TAXI, MOMENTOS ANTES DE SALIR DE ESTE AEROPUERTO INTERNACIONAL, SE PERCATA DEL FALTANTE DE LA COMPUTADORA QUE SE ENCONTRABA EN DICHO BOLSO. EN VIRTUD A ELLO SE HIZO PRESENTE EN ESTA DEPENDENCIA A RADICAR LA DENUNCIA.</t>
  </si>
  <si>
    <t>Fiscalía Nacional en lo Penal Económico Nº 01</t>
  </si>
  <si>
    <t>GUERCOVICH GRACIELA</t>
  </si>
  <si>
    <t>OTERO PASTORIZA, FELIX IGNACIO S/ TENTATIVA DE CONTRABANDO DE ESTUPEFACIENTES</t>
  </si>
  <si>
    <t>EN EL DIA DE LA FECHA SE RECIBE OFICIO JUDICIAL A FIN DE NOTIFICAR QUE PERSONAL DE ESTA UNIDAD DEBERA PROCEDER A RETIRAR FOTOCOPIAS DE TARJETAS Y MANUSCRITOS A LOS EFECTOS DE ESTABLECER SI LOS NROS. DE TELEFONOS SON DE ESTE PAIS, DE SER ASI ESTABLECER LA TITULARIDAD, Y SI ESTAN ACTIVOS. RESPECTO A LAS DIRECCIONES REALIZAR VISTAS FOTOGRAFICAS.</t>
  </si>
  <si>
    <t>APERTURA DE ENCOMIENDA SOL/ POLICIA DE SEGURIDAD AEROPORTUARIA</t>
  </si>
  <si>
    <t>304/10</t>
  </si>
  <si>
    <t>SE PROCEDE A LA RETENCION DE UNA ENCOMIENDA AMPARADA EN GUIA AEREA Nº 9367921-3, CON UN PESO APROXIMADO DE 2,35KGS., SIN IDENTIFICACION DE MARBETE Y PRECINTO, REMITENTE SR.GREGORIO CHOQUE , DOMICILIO EN PASAJE JUAN CABOT Nº 135 , Bº MOSCONI , SALTA CAPITA , CP. 4400, DESTINATARIO EL SR. JOSE TOMAS CHOQUE , DOMICILIO EN CALLE 22 Nº 1082 EL CALAFATE PROVINCIA DE SANTA CRUZ, CP9450.LA QUE SERIA DESPACHADA A TRAVES DE LA EMPRESA DE CARGA AEREA JET-PAQ. LA RETENCION SE REALIZA ANTE LA PRESUNCION DE INFRACCION A LAS LEYES 22.415 Y/O 23.737, QUEDANDO LA MISMA CERRADA Y SELLADA CON PAPEL MADERA Y CINTA DE EMBALAJE. EL SR LEDESMA GUILLERMO EMPLEADO DE JET-PAQ , INFORMARA AL REMITENTE . SEGUN CONSTA EN ACTA DE RETENCION DE CARGAS Nº 0195/10, QUE ORIGINA LA PREVENCION SUMARIA Nº044/10. SE COMUNICO TELEFONICAMENTE CON EL JUZGADO INTERVINIENTE Y LA APERTURA SE REALIZARA CON LA AUTORIZACION DEL MAGISTRADO DE TURNO. SEGÚN AMPLIACION PU Nº 3182 SE PROCEDE A LA APERTURA DE UNA ENCOMIENDA DE LA EMPRESA AEREA JET PAQ, SEGUN CONSTA EN ACTA DE APERTURA DE CARGA Nº 266/10, QUE ORIGINA LA PREV. SUM. Nº 044/10, EN VIRTUD DE LO ORDENADO MEDIANTE OFICIO JUDICIAL Nº 1381/10, DEL MAGISTRADO ACTUANTE Y EN PRESENCIA DE UN TESTIGO HABIL, AMPARADA EN GUIA AEREA Nº 9367921-3, RTTE. SR.GREGORIO CHOQUE, PASAJE JUAN CABOT Nº 135, Bº MOSCONI, SALTA CAPITAL, C.P. 4400, Y DES. JOSE TOMAS CHOQUE, CALLE 22 Nº 1082, EL CALAFATE PROV. SANTA CRUZ, C.P. 9405. CONTIENE: 7 PAQUETES DE HOJAS DE COCA, CON UN PESO TOTAL DE 1.734 GRS. LA ENCOMIENDA SECUESTRADA SERA PUESTA A DISPOSICION DE LA ADUANA DE SALTA POR SUPUESTA INFRACCION AL CODIGO ADUANERO, LEY 22.415, Y LAS ACTUACIONES REMITIDAS A SEDE JUDICIAL</t>
  </si>
  <si>
    <t>2346/10</t>
  </si>
  <si>
    <t>CUMPLO EN INFORMAR QUE EN EL HORARIO DE LAS 14:00 HORAS EL DETENIDO FUE DADO DE ALTA DEBIDO A QUE NO REGISTRA CUERPOS EXTRAÑOS EN SU ORGANISMO CON LO CUAL SE PROCEDIO A SU REMISION AL ASIENTO DE ESTA DEPENDENCIA INGRESANDO A LA MISMA EN EL HORARIO APROXIMADO DE LAS 14:30 HS. QUE EL DETENIDO DEBERA SER REMITIDO A SEDE JUDICIAL ENE L DIA 23/04/201 EN HORAS DE LA MAÑANA. JUNTO CON LA SUSTANCIA PROPIA DE LAS DEPOSICIONES. SIENDO UN TOTAL DE ONCE DEPOSICIONES, 124 CAPSULAS, 1160 GRAMOS. DE PTO.-</t>
  </si>
  <si>
    <t>1448/10</t>
  </si>
  <si>
    <t>APERTURA DE ENCOMIENDA S/SUP. INFRACCION A LA LEY 22.415 Y/O 23.737</t>
  </si>
  <si>
    <t>201/2010</t>
  </si>
  <si>
    <t>OFICINA DE OPERACIONES POLICIALES</t>
  </si>
  <si>
    <t>SE PROCEDE A LA APERTURA DE UNA ENCOMIENDA DEL CORREO OFICIAL SEGUN CONSTA EN ACTA DE APERTURA Nº 0194/10, CORRESPONDIENTE A LA PREVENCION SUMARIA Nº 027/10, EN PRESENCIA DE UN TESTIGO HABIL, SEGUN LO DISPUESTO POR EL MAGISTRADO QUE INSTRUYE, EN OFICIO JUDICIAL Nº 366/10. LA ENCOMIENDA IDENTICADA COMO EP666289765AR CONTIENE: 7 PAQUETES DE HOJAS DE COCA CON UN PESO TOTAL DE 1.987 GRS. LA ENCOMIENDA SERA PUESTA A DISPOSICION DE LA ADUANA DE SALTA POR SUPUESTA INFRACCION A LA LEY 22.415 Y LAS ACTUACIONES REMITIDAS A SEDE JUDICIAL.</t>
  </si>
  <si>
    <t>INCIDENTE DE ARRESTO DOMICILIARIO DE NESTOR OSCAR RAMALLO</t>
  </si>
  <si>
    <t>13.912/3</t>
  </si>
  <si>
    <t>INFORMO QUE EN CUMPLIMIENTO DE LA O.S Nº 029/10 PERSONAL DEL G.O.C.N Y D.C DE MAR DEL PLATA , JUNTO A PERSONAL DEL AREA PREVENTIVA DE ESTA UOSP, SIENDO LAS 10:45 HS, PROCEDIERON AL TRASLADO DEL DETENIDO RAMALLO NESTOR OSCAR AL JUZGADO FEDERAL EN LO CORRECIONAL Y CRIMINAL Nº 3 DE ESTA CIUDAD, REGRESANDO LA COMISION A LAS 14:20 HS CON LA NOVEDAD QUE AL DETENIDO RAMALLO SE LE DICTO ARRESTO DOMICILIARO FUERA DE ESTA UNIDAD. REFERENTE A PU 2321, CAUSA JUDICIAL 14002, TRATA DE PERSONAS.</t>
  </si>
  <si>
    <t>pto acc hangares</t>
  </si>
  <si>
    <t>GEOLOG S.A.</t>
  </si>
  <si>
    <t>SE CONFECCIONA EL PRESENTE A LOS EFECTOS DE INFORMAR SOBRE EL TRANSPORTE DE MMPP EN EL VUELO DE LA EMPRESA CEDMAE AERONAVE CESNA C414 MATRICULA LV-JPZ CON DESTINO FINAL LA CUIDAD DE RIO GRANDE PCIA DE TIERRA DEL FUEGO , LA MERCANCIA TRANSPORTADA CONSISTE EN 33 CAJAS CONTENIENDO : 15 CARGAS DE PODER POLIFECTOS PC 2010 RENAR Nº C4B6561 01,30 IGNITOR P/CART. ACCIONAMIENTO RENAR Nº A2 418401, 30IGNITOR SECUNDARIO P/CART. ACC RENAR Nº C2B4128 01, 1300 CARGAS HUECAS TC 47 HP RENAR Nº C50098 26 Y2 CORDON DTON. RDX 80 GR FOMARCORD RENAR Nº A2 4184 01, SEGUN REMITO Nº 0002-00000693 DE GEOLOG S.A. POR UN TOTAL DE 640 KILOS , ASIMISMO SE INFORMA AL TURNO DE UOSP RIO GRANDE</t>
  </si>
  <si>
    <t>1332/10</t>
  </si>
  <si>
    <t>173/2010</t>
  </si>
  <si>
    <t>SE PROCEDE A LA APERTURA DE DOS ENCOMIENDAS DEL CORREO OFICIAL, SEGUN ACTA DE APERTURA Nº 0193/10, CORRESPONDIENTE A LA PREVENCION SUMARIA Nº 022/10, EN PRESENCIA DE UN TESTIGO HABIL Y SEGUN LO DISPUESTO POR EL MAGISTRADO QUE INTRUYE EN OFICIO JUDICIAL Nº 367/10. LA 1ª EP701780430AR CONTIENE:4 PAQUETES DE HOJAS DE COCA CON UN PESO TOTAL DE 986 GRS. LA 2ª EP684828395AR CONTIENE: 5 PAQUETES DE HOJAS DE COCA CON UN PESO TOTAL DE 2.000 GRS. LAS ENCOMIENDAS SERAN PUESTA A DISPOSICION DE LA ADUANA DE SALTA POR SUPUESTA INFRACCION A LA LEY 22.415 Y LAS ACTUACIONES REMITIDAS A SEDE JUDICIAL.</t>
  </si>
  <si>
    <t>pòsicion de estacionamiento Nº5</t>
  </si>
  <si>
    <t>plataforma comercial</t>
  </si>
  <si>
    <t>SIENDO LAS 15:40 ARRIBA AERONAVE CESSNA C414 MATRICULA LV-JPZ TRANSPORTANDO 33 BULTOS CUYO PESO BRUTO ES DE 640 KG Y EL CONTENIDO DE LOS MISMOS ES 15 CARGAS DE PODER POLIFECTOS PC 2010 RENAR Nº C4B 6561 01,30 IGNITOR P/CARTUCHO DE ACCIONAMIENTO RENAR Nº C2B 016201, 30IGNITOR SECUNDARIO PARA CARTUCHO DE ACCIONAMIENTO RENAR Nº C2B 4128 01, 1300 CARGAS HUERCAS TC 47 HP RENAR Nº C5 0098 26 Y DOS DE CORDON DETONANTES RDX 80GRS FAMARCORD RENAR Nº A24184 01, AMPARADO CON REMITO Nº 0002-00000693 DE GEOLOG S.A. DICHO MATERIAL ES TRASLADADO A LOS POLVORINES DE LA EMPRESA APACHE EN EL VEHICULO FORD F-4000 DOMINIO GDC828 CONDUCIDO POR JORGE MOISES LICENCIA CNRT Nº 32.768.627 CON CUSTODIA DE G.N.A.</t>
  </si>
  <si>
    <t>SIENDO LAS ONCE HORAS VEINTE MINUTOS SE HACE PRESENTE EL SEÑOR MARCHETTI GUSTAVO DANIEL DNI Nº 23.478.025 AUXILIAR DE MANTENIMIENTO DE LA EMPRESA AEROPUERTOS ARGENTINA 2000 A RADICAR UNA DENUNCIA , QUIEN MANIFIESTA QUE REALIZANDO CONTROL DE RUTINA NOTA EL FALTANTE DE UN PAÑO DE ALAMBRE ROMBOIDAL PERTENECIENTE AL ALAMBRADO PERIMETRAL EN SECTOR O 23 SEGUN GRILLA ESQUEMATICA DE ESTE AEROPUERTO.NO SE ENCONTRARON ELEMENTOS DE CORTE NI SE OBSERVARON HUELLAS EN EL LUGAR ,COMO TAMPOCO SE OBTUVIERON DATOS DE INTERES.SE REALIZA COMUNICACION A LA UFI Nº 7 DE TURNO A CARGO DEL DR LODOLA JUAN PABLO EL QUE DISPONE ACTUACIONES DE RIGOR Y ELEVACION A LA UFI DETERMINACION DE AUTORES.</t>
  </si>
  <si>
    <t>SIENDO APROXIMADAMENTE 15:30 HORAS ATERRIZA EN ESTE AEROPUERTO INTERNACIONAL VUELO Nº 1684 DE LA EMPRESA AEROLINEAS ARGENTINAS PROCEDENTE DE LA CIUDAD AUTONOMA DE BUENOS AIRES, PROGRAMADO SU DESPEGUE DE ESTE AEROPUERTO HACIA AEROPARQUE A LAS 20:25 HORAS COMO VUELO Nº 1689, SIENDO ESTE REPROGRAMADO PARA EL DIA DE MAÑANA POR PROBLEMAS OPERATIVOS.</t>
  </si>
  <si>
    <t>1684/1689</t>
  </si>
  <si>
    <t>DR. AUGUSTO PELOSSO</t>
  </si>
  <si>
    <t>AVERIGUACION TENTATIVA DE HURTO</t>
  </si>
  <si>
    <t>POSICION NRO 35, SECTOR CHIVATOS</t>
  </si>
  <si>
    <t>SIENDO LA HORA INDICADA SE RECIBE EN ESTA DEPENDENCIA COMUNICACIÓN TELEFONICA POR PARTE DE PERSONAL DE LA EMPRESA DE VIGILANCIA PRIVADA LONGPORT DANDO CUENTA DE QUE EN LA POSICION NRO 35, DE ESTE MEDIO SE HABIA PRODUCIDO UN ILICITO, YA QUE EN UNA AERONAVE DE LA EMPRESA DELTA QUE SE ENCONTRABA ESTACIONADA EN LA POSICION 35, SE HABIA ENCONTRADO UN PERFUME DENTRO DE UNA ASPIRADORA Y NO SE ENCONTRABAN LOS PRECINTOS ROTOS DE UN CARRO PORTA PRODUCTOS PARA SER COMERCIALIZADOS DENTRO EN VUELO. QUE APERSONADO EN EL LUGAR EL JEFE DE TURNO OBSERVA QUE SOLO SE ENCONTRABA UNA PERSONA DE VIGILANCIA DE LA EMPRESA LONGPORT EN EL LUGAR CON UNA CAJA DE PERFUME MARCA GUCCI CERRADA, QUE AL ASCENDER A LA AERONAVE DE LA EMPRESA DELTA, LA CUAL SE ENCONTRABA ESTACIONADA EN DICHA POSICION COMPRUEBA QUE EFECTIVAMENTE UNO DE LOS CARROS PORTA PRODUCTOS PARA SER VENDIDOS UNA VEZ EN VUELO, ESTABA SIN SUS CORRESPONDIENTES PRECINTOS, QUE EN ESE MOMENTO SE HACEN PRESENTES EN EL SECTOR LOS EMPLEADOS DE LA EMPRESA DE LIMPIEZA TODOLI QUE HABIAN ATENDIDO EL VUELO, JUNTAMENTE CON LA SUPERVISORA DE DICHA EMPRESA LA CUAL MANIFESTO 0PQUE HABIA ENCONTRADO DICHO PERFUME DENTRO DE UNA DE LAS ASPIRADORAS QUE PERSONAL A SU CARGO OPERABA Y QUE EN ESE MOMENTO DOS DE LOS EMPLEADOS SE HABIAN AUTO ADJUDICADO EL HECHO, SEGUIDAMENTE SE APERSONO EN EL LUGAR PERSONAL DE LA EMPRESA INTERCARGO JUNTAMENTE CON PERSONAL DE LA EMPRESA USS, QUIEN TRASLADO A LOS DOS EMPLEADOS DE TODOLI A LA BASE DE DICHA EMPRESA. SEGUIDAMENTE SE HACE PRESENTE EN EL SECTOR EL PERSONAL DE LA EMPRESA INTERCARGO QUIEN SE LO IDENTIFICA COMO DURSI JORGE, MANIFESTANDO QUE EL HABIA TRASLADADO A LOS DOS EMPLEADOS DE TODOLI HACIA LA BASE DE DICHA EMPRESA. SEGUIDAMENTE SE NOTIFICA AL SR. DURSI QUE DEBIA COMPARECER AL ASIENTO DE ESTA GUARDIA DE PREVENCION A LOS EFECTOS DE RECIBIRSELE DECLARACION TESTIMONIAL. SEGUIDAMENTE SE TRASLADA A TODOS LOS INTERVINIENTES AL TURNO Y SE MANTIENE COMUNICACION TELEFONICA CON EL JUZGADO INTERVINIENTE QUIEN DISPONE SE RECIBA DECLARACION TESTIMONIAL AL PERSONAL INTERVINIENTE, SE SOLICITE A LA EMPRESA DELTA QUE HAGA INVENTARIO DE LOS ELEMENTOS HABIDOS EN EL CARRO, SE SOLICITE A LA EMPRESA TODOLI NOMINA DE TODO EL PERSONAL DE LA EMPRESA QUE ATENDIERA DICHA AERONAVE Y SE LEVE LO ACTUADO EL DIA VEINTITRES DEL CORRIENTE MES Y AÑO EN HORAS DE LA MAÑANA. SE DEJA CONSTANCIA QUE AL MOMENTO DEL LABRADO DEL PRESENTE EL SR. DURSI NO SE PRESENTO EN ESTA DEPENDENCIA, COMO ASI TAMPOCO SE IDENTIFICO A LOS DOS MASCULINOS DE LA EMPRESA TODOLI QUE SE HABRIAN ADJUDICADO EL HECHO.-</t>
  </si>
  <si>
    <t>QUE SIENDO LAS SEIS HORAS TREINTA MINUTOS, SE PROCEDIO A TRASLADAR AL DETENIDO A SEDE JUDICIAL, JUNTAMENTE CON LA SUSTANCIA SECUESTRADA. PTO.</t>
  </si>
  <si>
    <t>SIENDO LAS 09:50 HS. COMITIVA DE JEFES DE MISION DE ESTADOS MIEMBROS DE LA UNION EUROPEA EMBARCAN EN DOS VUELOS CONTRATADOS A LA EMPRESA AMERICAN JET LV-WTD Y LV-WTV CON DESTINO A LA LOCALIDAD DE EL PORTON SEGUN CONSTA EN MEMORANDO Nº 0130/2010 EMITIDO POR ESTA UOSP Y EN CUMPLIMIENTO DE ORDEN DE SERVICIO Nº 0014/2010 EL OPERATIVO SE REALIZO SIN NOVEDAD</t>
  </si>
  <si>
    <t>LOCALIDAD DE EL PORTON - PROVINCIA DE NEUQUEN</t>
  </si>
  <si>
    <t>2383/10</t>
  </si>
  <si>
    <t>OFICINA EL TURNO POLICIAL PREVENTIVO</t>
  </si>
  <si>
    <t>SE PROCEDE A LA APERTURA DE TRES SACAS COLECTORAS DEL CORREO OFICIAL, SEGUN CONSTA EN ACTA DE RETENCION DE CARGAS Nº 192/10, QUE ORIGINA LA PREVENCION SUMARIA Nº 043/10. LA 1º SACA IDENTIFICADA CON MARBETE Nº SLA0163332D555800VAE, PRECINTO Nº Y733381, CON UN PESO DE 6,800 KGS., CON DESTINO USHUAIA, CONTIENE UNA PIEZA POSTAL IDENTIFICADA COMO EP658931029AR , REMITENTE JULIO SANACATO DOM. SARMIENTO 421 Bº PROGRESO PERICO JUJUY CP 4610, DESTINATARIO SR. JOSE GUTIERREZ DOM. BRAUVOIR 2469 USHUAIA TIERRA DEL FUEGO CP 9410, LA CUAL QUEDA RETENIDA. LA 2º IDENTIFICADA CON MARBETE Nº SLA0163326D555800VAE, PRECINTO Nº A541293, CON UN PESO DE 6,500 KGS., CON DESTINO USHUAIA LA CUAL CONTIENE DOS PIEZAS POSTALES IDENTIFICADA COMO EP669756665AR Y EP669756714AR LAS CUALES SON ENTREGADAS PARA SU REDESPACHO POR NO SER DE INTERES A LA CAUSA Y LA 3º IDENTIFICADA CON MARBETE Nº SLA9125685D50500BUE, PRECINTO Nº A541246, CON UN PESO DE 12,500 KGS., CON DESTINO BUENOS AIRES, CONTIENE SIETE PIEZAS POSTALES IDENTIFICADAS COMO EP0444187255AR, EP670303923AR, EP656099489AR, EP711709608AR, EP658931032AR, EP659036704AR Y EP670303910AR, LAS CUALES SON ENTREGADAS PARA SU REDESPACHO POR NO SER DE INTERES PARA LA CAUSA. LA RETENCION SE REALIZA ANTE LA PRESUNCION DE QUE CONTENGA ELEMENTOS EN INFRACCION A LAS LEYES 22.415 Y/O 23.737, QUEDANDO LA MISMA CERRADAS Y EN GUARDA EN ESTA UOSP.SE COMUNICO TELEFONICAMENTE AL JUZGADO INTERVINIENTE, Y LA APERTURA SE REALIZARA CON LA AUTORIZACION DEL MAGISTRADO ACTUANTE.</t>
  </si>
  <si>
    <t>2425/10</t>
  </si>
  <si>
    <t>MORAN ORUE, GILDA GRACIELA. S/AV INF. LEY 26364</t>
  </si>
  <si>
    <t>RELATO: EN EL DIA DE LA FECHA SIENDO LAS 08:30 HS EN RECORRIDO DE RUTINA EN EL SECTOR DE HALL PUBLICO DE ESTA AEROESTACION SE INDIVIDUALIZA A LA SEÑORITA MORAN ORUE GILDA GRACIELA QUIEN SE ENCONTRABA EN UN ESTADO DE NERVIOSISMO Y LLANTO DADO QUE QUERIA REGRESAR A BUENOS AIRES, ESCAPANDOSE DE UN MASCULINO - VICTOR- QUE LA TRAJO A ESTA CIUDAD EL DIA 15/04/10 JUNTO A DOS CHICAS MAS MARIXA Y AGUSTINA PARA TRABAJAR EN UN LOCAL NOCTURNO BLACK-AND-WHITE, EL CUAL HABIA COSTEADO LOS GASTOS DE SU PASAJE BS.AS -USHUAIA, QUIEN LE DECIA QUE NO SE PODRIA IR HASTA TANTO NO LE PAGARA LA TOTALIDAD DEL PASAJE Y LIBRETA SANITARIA. SE DIO INTERVENCION AL JUZ. FEDERAL Y FISCALIA FEDERAL,DISPONIENDO SE LE RECIBA DECLARACION TESTIMONIAL. SEGUN PU 2425 INFORMO FINALIZADA LA DECLARACION TESTIMONIAL DE LA SRITA MORAN ORUE GILDA GRACIELA Y SEGUN LO DISPUESTO POR LA FISCALIA FEDERAL SE HACEN PRESENTE SIENDO LAS 11:30 LA LICENCIADA EIRIZ MARICEL Y SIENDO LAS 12:00 HS. LA LICENCIADA ADRIANA NOELIA TURN -PERTENECIENTES A LA SUBSECRETARIA DE INFANCIA ADOLENSCENCIA Y FAMILIA PROVINCIAL QUIENES LUEGO DE ENTREVISTAR A LA SRITA MORAN COMUNICAN A ESTA PREVENCION QUE SE HA COORDINADO QUE LA CAUSANTE CONTINUE VIAJE EN VUELO AR 2898 CON DESTINO FINAL EL AEROPARQUE JORGE NEWBERY EN DONDE SERA RECIBIDA POR UNA TRABAJADORA SOCIAL DE LA SECRETARIA NACIONAL DE NIÑEZ ADOLESCENCIA Y FAMILIA QUIENES LE BRINDARAN LUGAR DE ALOJAMIENTO Y ASISTENCIA. ACTO SEGUIDO SIENDO LAS 14:30 HS. LA CAUSANTE ES EMBARCADA EN EL VUELO DE REFERENCIA. REALIZANDO COMUNICACION TELEFONICA A LA FISCALIA Y JUZGADO INTERVINIENTE A SUS EFECTOS.-</t>
  </si>
  <si>
    <t>SIENDO LAS 08:00 HORAS, SE IMPLEMENTA OPERATIVO DE SEGURIDAD PRESIDENCIAL CON MOTIVO DE LA PARTIDA DE LA SRA PRESIDENTE DE LA NACION HACIA LA CIUDAD DE PORTEÑA - PROVINCIA DE CORDOBA-. SIENDO LAS 11:55 HORAS, SE HACE PRESENTE EN ESTE AEROPUERTO METROPOLITANO LA MANDATARIA EN HELICOPTERO MATRICULA H-01, PARTIENDO EN HORAS 12:05 EN AERONAVE MATRICULA T-10. SIENDO LAS 12:18 HORAS, SE EFECTUA LA PARTIDA DE LA AERONAVE MATRICULA T-01 CON DESTINO A LA CIUDAD DE SAUCE VIEJO - PROVINCIA DE SANTA FE. EN HORAS 12:25 FINALIZA EL OPERATIVO SIN NOVEDAD.</t>
  </si>
  <si>
    <t>PORTEÑA - PROVINCIA DE CORDOBA</t>
  </si>
  <si>
    <t>MANSILLA, MARIO HECTOR, RETAMAR ,ALCIDES, BERDUN CARLOS ALBERTO, GUTIERREZ, FACUNDO MATIAS, ROSSETTI, BRUNO, REPUCCI, ALFREDO DANIEL, LOPEZ PATRICIA NOEMI S/INF. LEY 23737.-</t>
  </si>
  <si>
    <t>INFORMO EN EL DIA DE LA FECHA EN VUELO 5U-725 DE LA EMPRESA AEROCOMERCIAL LÍNEAS AÉREAS DEL ESTADO SE ENVÍA EN SOBRE CERRADO A LA EXCMA. CÁMARA DE APELACIONES DE LA CIUDAD DE COMODORO RIVADAVIA -PCIA. DE CHUBUT CONTENIENDO EN SU INTERIOR DOCUMENTACIÓN REFERENTE A LA CAUSA 2277 SOBRE INCIDENTE DE NULIDAD Y SEPARACIÓN DE CAUSA RESPECTO DE GONZÁLEZ, GRACIELA MABEL PRESENTADO POR EL DEFENSOR OFICIAL, EN DOS CUERPOS A FS.246 JUNTO CON OTRO LEGAJO DE TESTIMONIOS DE LOS AUTOS PRINCIPALES EN UN CUERPO A FS. 50 CON GUÍA DE CARGA NRO. 022-28004126 CONFORME A LO ORDENADO POR OFICIO JUDICIAL SIN NUMERO DE FECHA 22-ABR-10 PROCEDENTE DEL JUZGADO FEDERAL DE PRIMERA INSTANCIA USHUAIA. ASIMISMO INFORMO QUE ESTIMA ARRIBO EN LA CIUDAD DE COMODORO RIVADAVIA A LAS 16:30 HS</t>
  </si>
  <si>
    <t>5U 725</t>
  </si>
  <si>
    <t>RIO GALLEGOS SANTA CRUZ</t>
  </si>
  <si>
    <t>COMODORO RIVADAVIA CHUBUT</t>
  </si>
  <si>
    <t>2421/10</t>
  </si>
  <si>
    <t>INFORMO FINALIZADA LA DECLARACION TESTIMONIAL DE LA SRITA MORAN ORUE GILDA GRACIELA Y SEGUN LO DISPUESTO POR LA FISCALIA FEDERAL SE HACEN PRESENTE SIENDO LAS 11:30 LA LICENCIADA EIRIZ MARICEL Y SIENDO LAS 12:00 HS. LA LICENCIADA ADRIANA NOELIA TURN -PERTENECIENTES A LA SUBSECRETARIA DE INFANCIA ADOLENSCENCIA Y FAMILIA PROVINCIAL QUIENES LUEGO DE ENTREVISTAR A LA SRITA MORAN COMUNICAN A ESTA PREVENCION QUE SE HA COORDINADO QUE LA CAUSANTE CONTINUE VIAJE EN VUELO AR 2898 CON DESTINO FINAL EL AEROPARQUE JORGE NEWBERY EN DONDE SERA RECIBIDA POR UNA TRABAJADORA SOCIAL DE LA SECRETARIA NACIONAL DE NIÑEZ ADOLESCENCIA Y FAMILIA QUIENES LE BRINDARAN LUGAR DE ALOJAMIENTO Y ASISTENCIA. ACTO SEGUIDO SIENDO LAS 14:30 HS. LA CAUSANTE ES EMBARCADA EN EL VUELO DE REFERENCIA. REALIZANDO COMUNICACION TELEFONICA A LA FISCALIA Y JUZGADO INTERVINIENTE A SUS EFECTOS.-</t>
  </si>
  <si>
    <t>RUTA ACCESO PRINCIPAL</t>
  </si>
  <si>
    <t>PUENTE JORGE NEWBERY, A LA ALTURA DEL PREDIO DE LA AFA Y EN SENTIDO A ESTE AEROPUERTO.</t>
  </si>
  <si>
    <t>SE HIZO PRESENTE EN LA OFICINA DEL GEDEX, UBICADA EN LA TERMINAL DE CARGAS ARGENTINAS Y SE ENTREVISTO CON EL INSPECTOR CANCINO, UNA PERSONA DE SEXO MASCULINO, MANIFESTANDO SER CHOFER DE CAMIONES, QUIEN DA CUENTA QUE EN CIRCUNSTANCIAS EN QUE CIRCULABA POR LA AUTOPISTA RICHIERI, SENTIDO A ESTE AEROPUERTO, INTENTA PASAR A UN RODADO CITROEN C4 COLOR NEGRO, CON VIDRIOS POLARIZADOS Y CUYO DOMINIO COMIENZA CON LA LETRA H, OCUPADO SOLO POR SU CONDUCTOR. QUE AL MOMENTO DE QUERER SOBREPASARLO, EL CONDUCTOR DEL RODADO LE EXHIBE UN ARMA DE FUEGO PLATEADA Y LE INDICA A QUE DETENGA SU MARCHA. MOTIVO POR EL CUAL, EL CHOFER DEL CAMION PROCEDE A SOBREPASARLO COMPLETAMANTE, Y ES ALLI QUE ESCUCHA EL DISPARO DE UN ARMA DE FUEGO, SIN PODER DIVISAR HACIA DONDE SE DIRIGIO EL DISPARO. QUE ANTE ESTE HECHO, EL CHOFER DEL CAMION, SE COLOCA DELANTE DEL RODADO CITROEN EVITANDO ASI QUE ESTE SE COLOQUE A SU PAR, CULMINANDO SU RECORRIDO A UNOS DOSCIENTOS CINCUENTA METROS DEL PUESTO TAQUILLA, INGRESANDO EL CAMION PERSEGUIDO AL SECTOR DE TCA. SEGUIDAMENTE EL CHOFER DEL CAMION, LE MANIFIESTA AL INSPECTOR CANCINO QUE EL RODADO CITROEN C4 DETUVO SU MARCHA Y ESTACIONO SOBRE LA BANQUINA A UNOS DOSCIENTOS METROS DE TAQUILLA. POR TAL MOTIVO EL OFICIAL CANCINO LE DA AVISO AL TURNO DE PREVENCION Y POSTERIOMENTE SOLICITA EL APOYO DEL GRUPO GEAT, QUIENES SE ENCONTRABAN PATRULLANDO LAS INMEDIACIONES DE ESTE MEDIO. QUE UNA VEZ EN TAQUILLA, LOGRAN DAR CON UN VEHICULO CORSA, COLOR NEGRO, Y CON EL CHOFER DEL MISMO, IDENTIFICADO POR EL OFICIAL GOMEZ, PERTENECIENTE AL GRUPO GEAT. POSTERIOMENTE EL CHOFER DEL CORSA FUE INVITADO AL ASIENTO DE ESTA PREVENCION, LUGAR EN DONDE EL CHOFER DEL CAMION MANIFESTO QUE ESE NO ERA EL AUTO INVOLUCRADO NI SU CHOFER. SIENDO LAS NUEVE HORAS APROXIMADAMENTE SE PONE EN CONOCIMIENTO A LA UFI LA CUAL DISPONE SE RECIBA DENUNCIA DEL CONDUCTOR DEL CAMION, DECLARACION TESTIMONIAL AL PERSONAL POLICIAL ACTUANTE, SE REALICE UNA PERICIA AL CAMION Y POSTERIOR ENTREGA A SU PROPIETARIO. QUE AL MOMENTO DE REALIZAR LA PERICIA SE DETERMINA QUE EL PROYECTIL SE ENCONTRARIA EN EL INTERIOR DEL TANQUE DE COMBUSTIBLE Y QUE EL MISMO NO SE PUEDE EXTRAER YA QUE SE NECESITAN HERRAMIENTAS ESPECIALES, CONSULTANDOSE AL DAMNIFICADO DONDE REPARARIA EL TANQUE DE COMBUSTIBLE A LO QUE EL MISMO RESPONDE QUE LO REPARARIA AL ARRIBAR A LA CIUDAD DE CORDOBA. POR TAL MOTIVO SE MANTIENE COMUNICACION CON LA DRA. GARRIDO, PERTENECIENTE A UFI INTERVINIENTE, QUIEN DISPONE QUE UNA VEZ QUE EL DENUNCIENTE LLEGUE A LA CIUDAD DE CORDOBA, DEBERA DIRIGIRSE A LA UNIDAD OPERACIONAL DE CORDOBA DE ESTA POLICIA A LOS EFECTOS DE COORDINAR CON EL PERSONAL POLICIAL DE ESTA UNIDAD LA EXTRACCION DEL PROYECTIL Y UNA VEZ OBTENIDO DICHO ELEMENTO SE PROCEDA AL SECUESTRO Y POSTERIOR REMISION AL ASIENTO DE ESTA UFI.</t>
  </si>
  <si>
    <t>TRIBUNAL ORAL EN LO PENAL ECONOMICO Nº 03</t>
  </si>
  <si>
    <t>LEGAJO DE EJECUCION DE LA PENA CASTRO ALVAREZ FERNANDO S/INF. LEY 22415</t>
  </si>
  <si>
    <t>NRO: 30 EN CAUSA 1547</t>
  </si>
  <si>
    <t>S.P.F.</t>
  </si>
  <si>
    <t>PUNTOS DE INSPECCION</t>
  </si>
  <si>
    <t>JURISDICCION AEROPORTUARIA</t>
  </si>
  <si>
    <t>SE CONFECCIONA EL PRESENTE A LOS EFECTOS DE INFORMAR QUE EN EL DIA DE LA FECHA SIENDO LAS 11:00 HS LOCAL SE HACE PRESENTE EN ESTA GUARDIA DE PREVENCION PERSONAL DEL SERVICIO PENITENCIARIO FEDERAL PARA REALIZAR EL TRASLADO DEL INTERNO CASTRO ALVAREZ FERNANDO AL JUZGADO ANTES MENCIONADO Y SER NOTIFICADO DE LA EXPULSION DEL PAIS DICHO INTERNO POSEE OTRO NOMBRE Y APELLIDO SIENDO ESTE FERNANDEZ FERRER FERNANDO</t>
  </si>
  <si>
    <t>EN EL DIA DE LA FECHA ATERRIZO 15:40 HS. EN HELICOPTERO LQ-BII LA SEÑORA PRESIDENTA DE LA NACION DESPEGANDO LUEGO A LAS 15:50 HS. EN AVION TANGO 01 CON DESTINO CALAFATE. SE CUMPLIMENTO ORDEN DE SERVICIO NRO. 18/10 DE ESTA UNIDAD SIN NOVEDADES-</t>
  </si>
  <si>
    <t>PELOSO AUGUSTO</t>
  </si>
  <si>
    <t>AV SOBRE DELITO DE ACCION PUBLICA</t>
  </si>
  <si>
    <t>EN EL DIA DE LA FECHA SE RECIBE EN EL CORREO ELECTRONICO OFICIAL DEL COMISIONADO MAYOR MARCELO PULTERA, JEFE DE LA UNIDAD OPERACIONAL DE CONTROL DEL NARCOTRAFICO Y EL DELITO COMPLEJO CENTRAL, EN CUYO ASUNTO RESA: PROSTITUCION INFANTIL EN LA RGENTINA, CUYO REMITENTE O DE SERIA INFOARROBAAYUDAALMENOR.ORG., EN CUYO CUERPO PRINCIPAL RESA: POR FAVOR QUE ALGUIEN HAGA ALGO ... ESTO SUCEDE EN BUENOS AIRES, ES EVIDENTE POR LA FORMA DE HABLAR. LOS QUE ESTAN EN EL PODER, QUE HAGAN ALGO, POR FAVOR.. - HTTP://WWW.PORINGA.NET/POSTS/VIDEOS/1535788/LINDAS-PENDEJITAS-DE-ARGENTEENS.HTML. AL INGRESAR A LA PAGINA SE PUEDE VISUALIZAR UN VIDEO DONDE SE OBSERVA A DOS PERSONAS DEL SEXO FEMENINO DE APARIENCIA MENORES DE EDAD POSANDO DESNUDAS EN UNA ESPECIE DE SECION FOTOGRAFICA. ASIMISMO EL JUZGADO INTERVINIENTE DISPONE QUE SE LABREN LAS CONSTANCIAS DEL CASO Y QUE SE PRESERVE EL CONTENIDO DEL VIDEO, SE PROCURE LA OBTENCION DE UNA COPIA E INCORPORARLA EN LO ACTUADO EN SOBRE CERRADO. LA CAUSA ES DE PORNOGRAFIA INFANTIL POR INTERNET.</t>
  </si>
  <si>
    <t>MINISTERIO DE FAMILIA DE NEUQUEN</t>
  </si>
  <si>
    <t>MARTIN</t>
  </si>
  <si>
    <t>SONIA</t>
  </si>
  <si>
    <t>SANTIAGO MARQUEZ GAUNA</t>
  </si>
  <si>
    <t>M, P.A.Y.P.J.J S/HOMICIDIO</t>
  </si>
  <si>
    <t>EXPTE Nº CR-002/10</t>
  </si>
  <si>
    <t>SECTOR PUESTO BRAVO</t>
  </si>
  <si>
    <t>SIENDO LA HORA 16:30 SE PRESENTA PERSONAL DEL MINISTERIO DE FAMILIA DE LA PROVINCIA DE RIO NEGRO SEÑOR DIEGO MIGUEL CATALAN DNI 26.009.834 QUIEN ES PSICOLOGO OPERADOR DE DICHO MINISTERIO, ACOMPAÑANDO A MENOR SEÑOR PABLO ANDRES MONTECINO DNI 37.047.159 EL CUAL ES TRASLADADO PARA SER INTERNADO EN EL INSTITUTO DE MENORES ROCA DE FLORESTA EN LA PROVINCIA DE BUENOS AIRES, SIENDO LA HORA 16:55 DESPEGO VUELO AUSTRAL LINEAS AEREAS CON DESTINO AEROPARQUE JORGE NEWBERY CON LAS PERSONAS ANTES MENCIONADAS</t>
  </si>
  <si>
    <t>AEP-JORGE NEWBERY</t>
  </si>
  <si>
    <t>NEU-NEUQUEN</t>
  </si>
  <si>
    <t>AEP-JORGE NEWBERY CIUDAD AUTONOMA DE BUENOS AIRES</t>
  </si>
  <si>
    <t>1545/09</t>
  </si>
  <si>
    <t>LOS OFICIALES FERNANDEZ Y ROMEO OBSERVAN A UNA PERSONA DE SEXO MASCULINO QUE PRESUNTAMENTE TENDRIA ORDEN DE DETENCION EMANADA POR EL JUZGADO DE PAZ DE EZEIZA, RAZON POR LA CUAL SE INVITA A ESTA PERSONA A LA OFICINA PARA CONSTATAR ESTA MEDIDA, MEDIANTE OFICIO DE FECHA 14/4/10 EL CUAL ORDENA LA DETENCION DEL CAUSANTE.</t>
  </si>
  <si>
    <t>1205/09</t>
  </si>
  <si>
    <t>INFRACCION A LOS ARTS. 78 Y 85 DECRETO LEY 8031/73</t>
  </si>
  <si>
    <t>LOS OFICIALES ROMEO Y FERNANDEZ OBSERVAN A UNA PERSONA DE SEXO MASCULINO QUIEN PRESUNTAMENTE TENDRIA ORDEN DE DETENCION, SE LO INVITA A QUE LOS ACOMPAÑE A LA OFICINA DE CONTRAVENCIONES Y FALTAS PARA CORROBORAR DICHA MEDIDA. MEDIANTE EL OFICIO DE FECHA 12/04/10 QUIEN ORDENA LA DETENCION.</t>
  </si>
  <si>
    <t>DRA. MARIA INES GAMBIRASI</t>
  </si>
  <si>
    <t>AMORIN CANDIDO, SERGIO GUSTAVO S/EXTRADICION</t>
  </si>
  <si>
    <t>15.602/03</t>
  </si>
  <si>
    <t>SIENDO LA FECHA Y HORA ANTES MENCIONADA, SE DA CUMPLIMIENTO AL MEMORANDO Nº 472/10 (PROCEDENTE DEL C.E.A.C, DPTO OPERACIONES POLICIALES), ORDEN DE SERVICIO Nº 247/10 (PROCEDENTE DE LA URSA I DEL ESTE - OPERACIONES POLICIALES) Y ORDEN DE SERVICIO Nº 243/10 (PROCEDENTE DE ESTA UOSP METROPOLITANA) CON MOTIVO DE IMPLEMENTAR MEDIDAS DE SEGURIDAD NECESARIAS PARA EL DESPLAZAMIENTO DENTRO DE LAS INSTALACIONES AEROPORTUARIAS DEL DETENIDO AMORIN CANDIDO, QUIEN SIENDO LAS 16:15 HORAS, HACE SU ARRIBO A ESTA GUARDIA DE PREVENCION CON COMISION DE INTERPOL ARGENTINA, A CARGO DEL CABO 1º FERNANDEZ JUNTO CON EL AGENTE VEGA, LOS CUALES HACEN ENTREGA DEL DETENIDO MENCIONADO CON ANTERIORIDAD, A PERSONAL DE INTERPOL MONTEVIDEO, COMISION A CARGO DEL COMISARIO ADEL BERTULLO SIENDO ACOMPAÑADO POR EL AGENTE DE 2º DANIEL MARCHISSIO. CUMPLIMENTANDO LAS DILIGENCIAS MIGRATORIAS Y SIENDO LAS 17:35 HORAS SE EFECTUA EL ACOMPAÑAMIENTO HACIA LA POSICION Nº 4, ABORDANDO AERONAVE MATRICULA CX-CRD. SIENDO. LAS 18:20 HORAS EFECTUA EL DESPEGUE DE LA AERONAVE, FINALIZANDO EL OPERATIVO SIN NOVEDAD.</t>
  </si>
  <si>
    <t>PU172</t>
  </si>
  <si>
    <t>1530/09</t>
  </si>
  <si>
    <t>LOS OFICIALES ROMEO Y FERNANDEZ OBSERVAN A UNA PERSONA DE SEXO MASCULINO QUIEN PRESUNTAMENTE TENDRIA ORDEN DE DETENCION, ES TRASLADADO A LA OFICINA DE CONTRAVENCIONES Y FALTAS PARA CORROBORAR DICHA MEDIDA, MEDIANTE OFICIO DE FECHA 31/03/10 ORDENA LA DETENCION.</t>
  </si>
  <si>
    <t>EN EL DIA DE LA FECHA SIENDO LAS 16:00 HS SE RECEPCIONARON CINCO OFICIOS DE ORDENES DE PRESENTACION DE FECHA 31-03-10, EMANADAS POR EL JUZGADO FEDERAL INTERVINIENTE A LOS EFECTOS DE SER DILIGENCIADAS ANTE EL SR. JEFE DEL ESTADO MAYOR GENERAL DEL EJERCITO, EL SR. JEFE DEL ESTADO MAYOR GENERAL DE LA FUERZA AEREA, EL SR. JEFE DE LA POLICIA DE LA PROVINCIA DE BUENOS AIRES FACULTANDO AL OFICIAL GUILLERMO SMITH LEGAJO 502.519 A DILIGENCIAR DICHOS OFICIOS Y AL OFICIAL RENE CARDEILHAC LEGAJO 501.801. LOS DOS RESTANTES AL SR GERENTE DE LA FIRMA PINTURERIAS CEYRA SOC. DE HECHO, Y AL SR GERENTE DE LA FIRMA KONRAD SRL -</t>
  </si>
  <si>
    <t>PERGOLA TAXI DE ARRIBOS</t>
  </si>
  <si>
    <t>EN UNA RECORRIDA LOS OFICIALES SCHIAFFINO Y ORTIZ OBSERVAN A UNA PERSONA DE SEXO MASCULINO OFRECIENDO SERVICIO DE TRANSPORTE PUBLICO A VIVA VOZ A PASAJEROS RECIEN ARRIBADOS, AL CUAL SE LE ADVIERTE EN VARIAS OPORTUNIDADES QUE NO PODIA REALIZAR DICHA ACTIVIDAD,POR INFRIGIR LOS ARTICULOS 2 Y 7 DE LA RESOLUCION 269/98 DE LA SECRETARIA DE TRASPORTE, HACE CASO OMISO A LAS ADVERTENCIAS A LO QUE SE PROCEDE A SU APREHENSION. AVERIGUACION DE ANTECEDENTES , CONSTATACION DE DOMICILIO LUEGO DE ELLO EL INFRACTOR SE RETIRA S/N</t>
  </si>
  <si>
    <t>EN EL DIA DE LA FECHA ARRIBA T-01 CON LA SRA PRESIDENTA DE LA NACION Y COMITIVA PROCEDENTE DE SANTA FE S/N AERONAVE PROXIMA A PARTIR A LA CIUDAD DE RIO GALLEGOS.-</t>
  </si>
  <si>
    <t>EN UNA RECORRIDA LOS OFICIALES ORTIZ Y SCHIAFFINO OBSERVAN A UNA PERSONA DE SEXO MASCULINO OFRECIENDO SERVICIO DE TRANSPORTE PUBLICO A VIVA VOZ A PASAJEROS RECIEN ARRIBADOS. ADVIRTIENDO AL MISMO EN REITERADAS OPORTUNIDADES, QUE SU ACCIONAR ES VIOLATORIO POR INFRIGIR LOS ARTICULOS 2 Y 7 DE LA RESOLUCION 269/08 DE LA SECRETARIA DE TRASPORTE DE LA NACION. SE PROCEDE A LLEGAR AL INFRACTOR PARA HACERLE AVERIGUACION DE ANTECEDENTES , CONSTATACION DE DOMICILIO, LUEGO DE ELLO EL INFRACTOR SE RETIRA DE LA DEPENDENCIA</t>
  </si>
  <si>
    <t>EN UNA RECORRIDA LOS OFICIALES ORTIZ Y SCHIAFFINO OBSERVAN A UNA PERSONA DE SEXO MASCULINO OFRECIENDO SERVICIO DE TRANSPORTE PUBLICO A VIVA VOZ A PASAJEROS RECIEN ARRIBADOS. ADVIRTIENDO AL MISMO EN REITERADAS OPORTUNIDADES, QUE SU ACCIONAR ES VIOLATORIO POR INFRIGIR LOS ARTICULOS 2 Y 7 DE LA RESOLUCION 269/08 DE LA SECRETARIA DE TRASPORTE DE LA NACION, AL INSISTIR CON ESTA ACTIVIDAD SE LO APREHENDE.</t>
  </si>
  <si>
    <t>CUBRIA</t>
  </si>
  <si>
    <t>EDUARDO JOSE</t>
  </si>
  <si>
    <t>DRA. MARIANA CECILIA NOBILE</t>
  </si>
  <si>
    <t>CINTA TRANSPORTADORA DE EQUIPAJES</t>
  </si>
  <si>
    <t>SIENDO LA FECHA Y HORA ANTES MENCIONADA, SE HACE PRESENTE EL DENUNCIANTE A FIN DE MANIFESTAR QUE EL DIA 19 DE ABRIL DEL CORRIENTE AÑO, LUEGO DE HABER ARRIBADO EL VUELO ANTES MENCIONADO, EN MOMENTOS DE EFECTUAR EL RETIRO DE SU EQUIPAJE DE LA CINTA TRANSPORTADORA DE EQUIPAJES, SE PERCATA DE QUE SU BOLSO SE ENCONTRABA ABIERTO Y CON EL FALTANTE DE UNA CAMARA DIGITAL. CABE DESTACAR QUE EL BOLSO NO PRESENTABA SIGNOS DE VIOLENCIA COMO ASI TAMPOCO CONTABA CON SISTEMAS DE SEGURIDAD SIENDO ESTOS PRECINTO/CANDADO.</t>
  </si>
  <si>
    <t>AR 1737</t>
  </si>
  <si>
    <t>FALU, MARIA ISABEL</t>
  </si>
  <si>
    <t>TRUJILLO OSPINA, HUGO ARMANDO SOBRE PEDIDO DE EXTRADICION</t>
  </si>
  <si>
    <t>964/09</t>
  </si>
  <si>
    <t>POR PLATAFORMA COMERCIAL, HASTA AERONAVE</t>
  </si>
  <si>
    <t>SE DESARROLLO EL OPERATIVO DE CUSTODIA Y EMBARQUE, DEL DETENIDO CIUDADANO COLOMBIANO TRUJILLO OSPINA, EN CUMPLIMIENTO AL OFICIO 467/10 DEL MAGISTRADO ACTUANTE Y A LA ORDEN DE SERVICIO Nº 072/10 DE LA URSA III DEL NORTE. EL DETENIDO INGRESO A LAS 16:10 HS. A ESTE AEROPUERTO, CUSTODIADO POR PERSONAL DEL SERVICIO PENITENCIARIO DE SALTA A CARGO DEL SGTO. 1º JUAN RIVELLI Y FUE UBICADO EN LA OFICINA DE OPERACIONES POLICIALES PARA LA REALIZACION DEL TRAMITE CORRESPONDIEMNTE. A LAS 17:50 HS. SE HICIERON PRESENTE EN LA MENCIONADA OFICINA EL OF. AY. HUGO SORIA LEG. 2846, D.N.I. 31.906.440 Y EL CABO MARTIN AGUERO LEG. 30802, D.N.I. 25.239.048, PERSONAL PERTENECIENTE AL DEPARTAMENTO INTERPOL DE LA POLICIA FEDERAL ARGENTINA, ENCARGADOS DE LA CUSTODIA Y TRASLADO DEL DETENIDO HASTA EL AEROPARQUE METROPOLITANO, EN EL VUELO Nº AR 2496 DE LA EMPRESA AEROLINEAS ARGENTINAS, QUE DESPEGÓ A LAS 18:40 HS. .EL OPERATIVO SE DESARROLLO SIN NOVEDAD, CONTANDO CON EL APOYO Y COLABORACION DE 10 EFECTIVOS DE LA UOESA DEL NORTE.</t>
  </si>
  <si>
    <t>DRA. FALU</t>
  </si>
  <si>
    <t>EXTRADICION</t>
  </si>
  <si>
    <t>SE DA CUMPLIMENTO A LA ORDEN DE SERVICIO Nº 244/10 DE ESTA UOSP REFERENTE AL CONTROL DE POLICIA DE SEGURIDAD AEROPORTUARIA CON MOTIVO DEL TRASLADO DE DETENIDO. ARRIBANDO A ESTA AEROESTACION EN EL VUELO MENCIONADO EL CUAL ES CUSTODIADO POR PERSONAL DE LA SECCION INVESTIGACION FEDERAL DE FUGITIVOS DEPARTAMENTO INTERPOL DE LA POLICIA FEDERAL ARGENTINA. RETIRANDOSE DE JURISDICCION A LAS 20:50 HORAS SIN NOVEDAD. ASI MISMO SE INFORMA QUE EL VUELO QUE FIGURA EN DICHA ORDEN DE SERVICIO FUE CAMBIADO POR EL MENCIONADO EN EL ITEM CORRESPONDIENTE</t>
  </si>
  <si>
    <t>TENTATIVA DE ROBO CALIFICADO POR EL EMPLEO DE ARMAS</t>
  </si>
  <si>
    <t>IPP N° 07-01-002997-10</t>
  </si>
  <si>
    <t>EL DIA 23ABR10 SE RECEPCIONO MEMORANDO N° 859/10 EMITIDO URSA II CENTRO A LOS FINES QUE LA UOSP CORDOBA DE CUMPLIMIENTO A FOTOCOPIA SIMPLE DE OFICIO JUDICIAL DE FECHA 23ABR10 EMITIDO POR LA UNIDAD FUNCIONAL DE INSSTRUCCION N 01 DESCENTRALIZADA DE EZEIZA A CARGO DEL SR, AGENTE FISCAL DR. RICARDO BRUZONE QUIEN ORDENA SE ARBITREN LOS MEDIOS NECESARIOS A FIN DE LLEVAR A CABO LAS PERICIAS PERTINENTES RESPECTO DEL VEHICULO CAMION MARCA WOLSKWAGEN MODELO COTELATION 19-320 DOMINIO HJO 379 PARA PROCEDER AL SECUESTRO DEL PROYECTIL DE ARMA DE FUEGO AQUE SE ENCUENTRA ALOJADO EN EL INTERIOR DEL TANQUE DE COMBUSTIBLE DEL CITADO RODADO,LABRANDOSE LAS ACTUACIONES CORRESPONDIENTES Y QUE FINALIZADAS LAS MISMAS SEAN REMITIDAS A LA SEDE JUDICIAL DE REFERENCIA</t>
  </si>
  <si>
    <t>WHEWELL ALLISTER- BERGKOTTE LEVET S/ AVERIGUACION DE ACCIDENTE AÈREO P-28 LV-LDP</t>
  </si>
  <si>
    <t>A 4KM DEL ESTE DE LA CABECERA 2.9</t>
  </si>
  <si>
    <t>SIENDO LAS 19:25 HORAS DEL DIA 23 DE ABRIL DE DOS MIL DIEZ SE PRESENTA EN ESTA SEDE POLICIAL EL SEÑOR JUAN SILENZI, DNI Nº 22.053.356, DE PROFECION PILOTO, SOLICITANDO INFORMACION DE UN PASAJERO QUE CONTRATÓ UN VUELO A FIN DE REALIZAR UN PASEO, MANIFESTANDO SU PREOCUPACION, DADO QUE EL PILOTO DE LA AERONAVE MATRICULA LV-LDP, SEÑOR ALISTER WHEWELL, DNI 23.686.661, DE NACIONALIDAD ARGENTINA, NO RESPONDIA A SUS LLAMADOS TELEFÒNICOS Y TAMPOCO RESPONDIA A LOS LLAMADOS DE LA TORRE DE CONTROL DEL AEROPUERTO BARILOCHE, ACLARANDO TAMBIEN QUE LA AUTONOMIA DE VUELO DE DICHA AERONAVE ERA DE APROXIMADAMENTE DOS HORAS. SEGUN LOS REGISTROS DE LOS LIBROS DE CONTROL DE VUELOS PRIVADOS DEL PUESTO PREEMBARQUE, EL PASAJERO EN CUESTION RESULTÒ SER EL SEÑOR BERGKOTTE LEVENT SALIM PASAPORTE Nº NYBK99J45, DE NACIONALIDAD HOLANDESA, POTERIORMENTE SE PROCEDE A LA BUSQUEDA DE LA AERONAVE SIN NOVEDADES CON RESPECTO A LA BUSQUEDA O DETECCION DE LA AERONAVE, SE COORDINA RETOMAR LAS ACTIVIDADES, SEGUN PARTE 2450 A LAS 07:00 HORAS DEL DIA 24 DE ABRIL DEL CORRIENTE. SIENDO LAS 08:42 HS. DEL DIA 24/04/2010 FUE DETECTADA LA AERONAVE SINIESTRADA PA-28 MATRICULA LV-LDP LA CUAL FUE LOCALIZADA A 4 KM HACIA EL ESTE DE LA CABECERA 2.9, LA AERONAVE SE ENCONTRABA SINIESTRADA Y SUS DOS OCUPANTES FALLECIDOS. SEGUN PARTE 2529 SIENDO LAS 13:00 HORAS DEL DÍA 26 DEL MES DE ABRIL DE 2010, SE PROCEDE AL CIERRE Y ELEVACION DE ACTUACIONES, ENTREGANDO EN DICHO ACTO ELEMENTOS SECUESTRADOS DE INTERES PARA LA CAUSA, Y EFECTOS PERSONALES DEL SEÑOR BERGKOTTE LEVENT AL JUZGADO FEDERAL DE SAN CARLOS DE BARILOCHE. SIENDO LAS 16:30 SUBINSPECTOR RODRIGUEZ PROCEDE AL REGISTRO DEL VEHICULO DE MENCION, SECUESTRANDO ELEMENTOS QUE CONSTAN EN ACTA DE PROCEDIMENTO Nº 223/2010, LOS CUALES SON REMITIDOS AL JUZGADO INTERVINIENTE EL DÍA 27 DE ABRIL. EN MISMA FECHA SON RECEPCIONADOS OFICIOS Nº 706/2010 EL CUAL OREDENA LA REVOCACION DE LA ENTREGA A LOS FAMILIARES, DEL CUERPO DE QUIEN EN VIDA FUERA ALASDAIR WHEWELL Y SU TRASLADO A LA MORGUE JUDICIAL, DILIGENCIA QUE FUE CUMPLIMENTADA EN HORAS DE LA TARDE DEL MISMO DÌA, CONSTANDO EN ACTA DE PROCEDIMIENTO Nº 228/2010; OFICIO Nº 712/2010 EL QUE DISPONE SE PROCEDA A LA REMOCION Y TRASLADO A DEPENDENCIAS DE ÉSTA UOSP DE LOS RESTOS DE LA AERONAVE SINIESTRADA, DANDOSE CUMPLIMIENTO AL MISMO EL DÌA 28 SEGÚN CONSTA EN ACTA DE PROCEDIMIENTO Nº 230/2010; OFICIO Nº 712/2010 SOBRE INVESTIGACION PARA ESTABLECER DONDE LEVENT BERGKOTTE ADQUIRIÓ UNA NAVAJA Y UN AEROSOL DE GAS PIMIENTA, HECHO QUE FUE CUMPLIMENTADO EL DÌA 28 DE ABRIL Y QUE CONSTA EN NOTA Nº 117/2010 DE LA UOCN Y DC V DE LA PATAGONIA, SIENDO LAS 14:00 HORAS SE ELEVAN AL JUZGADO FEDERAL A SOLICITUD DE ÉSTE, UN CD CON FOTOGRAFÍAS DIGITALES EN RELACION A LA CAUSA, ACTA DE PROCEDIMIENTO Nº 228/2010, ACTA DE PROCEDIMIENTO Nº 230/2010, NOTA Nº 117/2010 Y ACTA DE CONSTATACION. ALA TOTALIDAD DE LOS OFICIOS MENCIONADOS PRESEDENTEMENTE SE ENCUENTRAN EN EL MARCO DE LA CAUSA Nº 7932/2010 CARATULADA "WHEWELL ALASDAIR Y OTRO S/ ACCIDENTE AÉREO", QUE SE TRAMITA POR ANTE LE JUZGADO FEDERAL DE SAN CARLOS DE BARILOCHE A CARGO DEL DOCTOR LEONIDAS MOLDES. LAS DOS PERSONAS FIGUARN COMO SD YA QUE NO HAY CLASIFICACION DE OCCISO.</t>
  </si>
  <si>
    <t>292/10</t>
  </si>
  <si>
    <t>SE PROCEDE A LA RETENCION DE DOS SACAS COLECTORAS DEL CORREO OFICIAL, SEGUN CONSTA EN ACTA DE RETENCION DE CARGAS Nº 198/10, QUE ORIGINA LA PREVENCION SUMARIA Nº 045/10. LA 1ª SACA IDENTIFICADA CON MARBETE Nº SLA0170677E606000BHI, PRECINTO Nº Y736542 CON UN PESO DE 6,400 KGS, CON DESTINO A BAHIA BLANCA Y LA 2ª IDENTIFICADA CON MARBETE Nº SLA0172959E555600SRD, PRECINTO Nº A541248, CON UN PESO DE 10,600 KGS, CON DESTINO A COMODORO RIVADAVIA, AMPARADAS EN GUIA AEREA Nº 93412678-2, LAS QUE SERIAN DESPACHADAS ATRAVES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 SEGÚN AMPLIACION PU Nº 2475/10 SE PROCEDE A LA APERTURA DE DOS SACAS COLECTORAS DEL CORREO OFICIAL SEGUN CONSTA EN ACTA DE RETENCION DE CARGAS Nº 198/10, CORRESPONDIENTE A LA PREVENCION SUMARIA Nº 045/10, LA PRIMERA SACA IDENTIFICADA COMO SLA0170677E606000BHI, PRECINTO Nº Y7365421, CONTIENE DOS PIEZAS POSTALES, LA PRIMERA IDENTIFICADA COMO EP702480595AR, RTTE. SRA. RODRIGUEZ SANDRA DOMICILIO ENTRE RIOS ESQUINA 5 Nº 400, ABRA PAMPA, JUJUY, CP. 4640, DTTRIO. SRA. RODRIGUEZ JUANA SOLEDAD, DOMICILIO CALLE Nº 7 Nº 766, Bº BONACITA, PEDRO LURO BAHIA BLANCA, CP. 8148, LA CUAL QUEDA RETENIDA. LA SEGUNDA IDENTIFICADA COMO EP669756864AR, RTTE, SRA. ROSALIA RAMOS DOMICILIO, BELGRANO Nº 318, LA QUIACA JUJUY, CP. 4650, DTTRIO. SR. MARCELO GODOY CORREO CENTRAL, PEDRO LURO BS. AS., CP. 8148, LA CUAL QUEDA RETENIDA. LA SEGUNDA SACA IDENTIFICADA COMO,SLA172959E555600CRD, PRECINTO Nº A541248, CONTIENE UNA PIEZA POSTAL IDENTIFICADA COMO EP69811891AR, RTTE. SRA. MARIA FLORES DOMICILIO Bº SANTA CECILIA MZ. LCQ SALTA CAPITAL, CP. 4400, DTTRIO. SRA. SUSANA FLORES DOMICILIO OHIGGINS Nº 1830, PERITO MORENO SANTA CRUZ, CP. 9040, LA CUAL QUEDA RETENIDA Y EN DEPOSITO JUDICIAL EN ESTA UNIDAD A LA ESPERA DEL OFICIO JUDICIAL QUE AUTORICE SU APERTURA. SEGÚN AMPLIACION PU Nº 3001/10 SE PROCEDE A LA APERTURA DE TRES ENCOMIENDAS DEL CORREO OFICIAL SEGUN CONSTA EN ACTA DE APERTURA Nº 254/10, PREV. SUM. Nº 045/10, EN VIRTUD DE LO ORDENADO EN OFICIO JUDICIAL Nº 1319/10, DEL MAGISTRADO ACTUANTE Y EN PRESENCIA DE UN TESTIGO HABIL. LA 1ª EP702480595AR, RTTE. SRA. RODRIGUEZ SANDRA, ENTRE RIOS ESQUINA 5 Nº 400, ABRA PAMPA, JUJUY, CP. 4640, Y DEST. SRA. RODRIGUEZ JUANA SOLEDAD, CALLE Nº 7 Nº 766, Bº BONACINA, PEDRO LURO BAHIA BLANCA, CP. 8148, CONTIENE: DOS PAQUETES DE HOJAS DE COCA CON UN PESO TOTAL DE 987 GRS. LA 2ª EP669756864AR, RTTE, SRA. ROSALIA RAMOS, BELGRANO Nº 318, LA QUIACA JUJUY, CP. 4650, Y DEST. SR. MARCELO GODOY, CORREO CENTRAL, PEDRO LURO BS. AS., CP. 8148, CONTIENE: DIEZ PARES DE ZAPATILLAS. Y LA 3ª EP698118918AR, SE REALIZO LA APERTURA EL DIA 30/04/10 EN PRESENCIA DE SU PROPIETARIA SRA. MARIA DE LOS ANGELES FLORES, DNI 25.159.988, SEGUN CONSTA EN ACTA DE APERTURA DE CARGAS Nº 212/10, INFORMADO EN PU Nº 2576/10, LA MISMA FUE ENTREGADA AL CORREO OFICIAL PARA SU REDESPACHO POR NO SER DE INTERES PARA EL PROCEDIMIENTO. LAS ENCOMIENDAS SECUESTRADAS SERAN PUESTAS A DISPOSICION DE LA ADUANA DE SALTA POR SUPUESTA INFRACCION A LA LEY 22.415, CODIGO ADUANERO, Y LAS ACTUACIONES REMITIDAS A SEDE JUDICIAL.</t>
  </si>
  <si>
    <t>SIENDO LAS 18:15 HS PARTE DESDE ESTE AEROPUERTO LA AERONAVE T-02 FOCKER F 28 TRASLADANDO AL SR. MINISTRO DE SALUD DE LA NACION DR. JUAN LUIS MANZUR Y COMITIVA TENIENDO PREVISTA UNA ESCALA TECNICA EN EL AEROPUERTO DE LA CIUDAD DE COMODORO RIVADAVIA Y DESTINO FINAL EL AEROPARQUE JORGE NEWBERY</t>
  </si>
  <si>
    <t>T 02</t>
  </si>
  <si>
    <t>ENTREGA DE EQUIPAJE EXTRAVIADO</t>
  </si>
  <si>
    <t>PROVINCIA DE CATAMARCA</t>
  </si>
  <si>
    <t>UNA VEZ ARRIBADO A LAS INSTALACIONES DE ESTE MEDIO, PROCEDE A RETIRAR SUS EQUIPAJES DESPACHADOS A BODEGA, LAS CUALES, HABIENDO TRANSCURRIDO UN TIEMPO PRUDENCIAL, LA EMPRESA QUANTAS LE INFORMA QUE SUS VALIJAS SE ENCONTRABAN EN LA CIUDAD DE SYDNEY Y QUE EN LO SUCESIVO ARRIBARIAN A ESTA AEROSTACION POR LA EMPRESA AEROLINEAS ARGENTINAS Y QUE DICHA EMPRESA SE ENCARGARIA DEL TRASLADO AL DOMICILIO FIJADO POR EL CAUSANTE. QUE EL DIA 31 DE MARZO, RECIBE EN EL AEROPUERTO DE LA CIUDAD DE CATAMARCA UNO DE SUS EQUIPAJES Y UNA VEZ QUE DA CON EL MISMO, YA EN SU DOMICILIO, SE PERCATA DEL FALTANTE DE ALGUNA DE SUS PERTENENCIAS, MOTIVO POR EL CUAL, RADICA LA DENUNCIA DEL HECHO OCURRIDO, AGREGANDO ADEMAS QUE AL DIA DE LA FECHA NO HA RECIBIDO SU EQUIPAJE RESTANTE.</t>
  </si>
  <si>
    <t>QF 017</t>
  </si>
  <si>
    <t>SYDNEY</t>
  </si>
  <si>
    <t>EN EL DIA DE LA FECHA AUSTRAL LINEAS AEREAS INFORMA QUE SU VUELO NRO 2458 QUE DEBIA ARRIBAR A ESTE AEROPUERTO A HS. 21:20 TIENE PREVISTO SU ARRIBO A ESTA TERMINAL AEREA A HS 00:00 DEL DIA 25/04/2010</t>
  </si>
  <si>
    <t>PLANTA BAJA, SECTOR PRIMARIO ADUANERO DE LA TERMINAL A</t>
  </si>
  <si>
    <t>ARRIBADO A ESTE MEDIO, PROCEDE A DIRIGIRSE AL SECTOR DE CINTAS DE ARRIBOS DE EQUIPAJES, LUGAR EN DONDE UNA VEZ QUE DA CON SU VALIJA, SE PERCATA DE QUE LA MISMA TENIA EL FALTANTE DE SU CANDADO METALICO COLOCADO EN LA CIUDAD DE ORIGEN DEL VUELO. QUE UNA VEZ EN SU DOMICILIO, PROCEDE A LA APERTURA DEL EQUIPAJE Y SE PERCATA DEL FALTANTE DE UN PEN DRIVE.</t>
  </si>
  <si>
    <t>2444/10</t>
  </si>
  <si>
    <t>SIENDO LAS 08:42 HS. FUE DETECTADA LA AERONAVE SINIESTRADA PA-28 MATRICULA LV-LDP LA CUAL FUE LOCALIZADA A 4 KM HACIA EL ESTE DE LA CABECERA 2.9. EL OFICIAL SANTIAGO REYNOSO JUNTO AL PREVENTOR DE LA CAUSA OFICIAL WALTER VELEZ, EL OFICIAL HEGEN Y PERSONAL DE LA UOESA V BARILOCHE: OFICIAL ARIEL CORNELIO, OFICIAL BENAVIDEZ PROCEDEN A TRASLADARSE AL LUGAR DEL HECHO CONSTATANDO QUE LA AERONAVE SE ENCONTRABA SINIESTRADA Y SUS DOS OCUPANTES FALLECIDOS DENTRO DE LA MISMA. SE ESTABLECE EL PERIMETRO DE SEGURIDAD Y SE TOMARON LAS FOTOGRAFIAS DEL LUGAR QUEDANDO COMO CONSIGNA EN EL LUGAR PERSONAL DE LA UNIDAD OPERACIONAL Y DE LA UOESA V PATAGONICA. EL JEFE DE UOSP SE COMUNICA CON EL JUEZ FEDERAL QUIEN DISPONE QUE SE AGUARDE LA LLEGADA DE LA JUNTA DE INVESTIGACIONES DE ACCIDENTES AEREOS Y QUE NO SE REMUEVAN LOS CUERPOS HASTA TANTO LA MISMA LO MANIFIESTE POR ESCRITO. SE RECIBE VIA FAX DE LA JUNTA MENCIONADA DIRIGIDA AL JUEZ INTERVINIENTE DONDE DETERMINA LA LIBERACION DE LOS OCCISOS PARA SER RETIRADOS POR LAS AUTORIDADES COMPETENTES. POSTERIORMENTE PERSONAL DE BOMBEROS VOLUNTARIOS DE ESTA LOCALIDAD: OFICIAL 2DO GERARDO HUGO Y OFICIAL 1ERO LORENZO GUERNICA A CUERPO DEL MENCIONADO CUERPO PROCEDEN A LA REMOCION DE LOS CADAVERES Y POSTERIOR TRASLADO DE LOS MISMO A LA MORGUE JUDICIAL DEL HOSPITAL ZONAL BARILOCHE PARA LA REALIZACION DE LAS AUTOPCIAS CORRESPONDIENTES QUEDANDO DE CONSIGNA EN DICHO LUGAR LOS OFICIAL SATURNI Y PATIGORE. ASIMISMO EL JUEZ INTERVINIENTE ORDENA QUE SE NOTIFIQUE A LOS FAMILIARES DE LOS OCCISOS QUE ESTOS NO DEBERAN SER CREMADOS HASTA TANTO NO HUBIERA OTRA RESOLUCION DE SU PARTE. REALIZADAS DICHAS AUTOPCIAS POR EL DR. JUAN MANUEL PINIERO BAUER MEDICO LEGISTA MP 1434 MN 67491. POSTERIORMENTE SU SEÑORIA LA ENTREGA DEL OCCISO WHEWELL Y SUS EFECTOS PERSONALES A LOS FAMILIARES DEL MISMO EN TANTO QUE EL OCCISO BERGKOTTE PERMANECERA EN DICHA MORGUE HASTA TANTO LO DISPONGA DICHO JUZGADO. LA DILIGENCIA DESCRIPTAS FINALIZARON A LA 21:20 APROXIMADAMENTE. ASIMISMO SE INFORMA QUE SE CONTINUAN CON LAS ACTUACIONES DE RIGOR.</t>
  </si>
  <si>
    <t>SECTOR DE PARTIDAS</t>
  </si>
  <si>
    <t>MOSTRADOR DE DELTA AIRLINES.</t>
  </si>
  <si>
    <t>SE PRESENTA EL SR JUAN PABLO PENTUCCI MANIFESTANDO QUE SIENDO APROXIMADAMENTE 17:45 HS, SE ENCONTRABA EN LOS MOSTRADORES DE DELTA VERIFICANDO SI ESA COMPAÑÍA CONTABA CON PLAZAS DISPONIBLES PARA VIAJAR EN EL VUELO DE LAS VEINTE HORAS, TREINTA MINUTOS DEL MISMO DÍA. EN ESAS CIRCUNSTANCIAS, SE ENCONTRABA TRANSPORTANDO UNA MALETA TIPO CARRY-ON Y SOBRE LA MISMA UN BOLSO DE MANO PEQUEÑO DE COLOR NEGRO, LAS CUALES ESTABAN A SU LADO AL MOMENTO DE EFECTUAR LA RESPECTIVA CONSULTA CON EL PERSONAL DE DELTA, QUITA POR UNOS INSTANTES LA VISTA Y ATENCIÓN DE LAS MISMAS CUANDO TORNA NUEVAMENTE LA VISTA SOBRE SUS PERTENENCIAS, NOTA EL FALTANTE DEL BOLSO PEQUEÑO DE COLOR NEGRO.-</t>
  </si>
  <si>
    <t>EN EL DÍA DE LA FECHA , SIENDO LAS 20:00 HORAS SE HACE PRESENTE EN EL TURNO PSA EL SR. EDUARDO DANIEL VILLALBA PARA RADICAR UNA DENUNCIA SOBRE EL FALTANTE DE EFECTOS PERSONALES EN UNA VALIJA POR ÉL DESPACHADA EN BODEGA EN VUELO DE AUSTRAL AU2610 PROCEDENTE DE CABA, EL CUÁL PRESENTA SIGNOS DE HABER SIDO VIOLENTADO Y ARRANCADO UN PRECINTO.SEGÚN SUS DICHOS LA VALIJA HABÍA SIDO DESPACHADA POR BODEGA YA QUE CONTENÍA HERRAMIENTAS Y OBJETOS DE TRABAJO QUE NO PODÍA LLEVAR A BORDO, COMO SE LO INDICARON EN EL PREEMBARQUE.SE REALIZA LA COMUNICACIÓN CON LA UFI Nº7 A CARGO DEL DR. JUAN PABLO LÓDOLA QUIEN DISPONE ACTUACIONES DE RIGOR Y POSTERIOR ELEVACIÓN A LA FISCALÍA Nº 20 DE DETERMINACIÓN DE AUTORES.</t>
  </si>
  <si>
    <t>AU2610</t>
  </si>
  <si>
    <t>CIUDAD AUTONOMA DE BUENOS AIRES.</t>
  </si>
  <si>
    <t>HOTEL DE NOMBRE COMERCIAL CHE LAGARTO.</t>
  </si>
  <si>
    <t>SE PRESENTA LA ALEXANDER PAUL CHRISTIAAN KLIJSEN MANIFESTANDO QUE EL DíA DOS DEL MES DE MARZO DEL CORRIENTE AñO ARRIBO A ESTA AEROSTACIóN, SIENDO APROXIMADAMENTE LAS CERO HORAS TREINTA MINUTOS, EN EL VUELO G37662 DE LA EMPRESA AEROCOMERCIAL GOL, PROVENIENTE DE LA CIUDAD DE SAN PABLO- REPUBLICA FEDERATIVA DE BRASIL. QUE UNA VEZ FINALIZADO CON LOS TRAMITES DE INGRESO AL TERRITORIO NACIONAL SE PRESENTA EN EL SECTOR DE CINTAS DE EQUIPAJES, A EFECTOS DE RECOGER SU EQUIPAJE DEL TIPO CARRY-CON EL CUAL CONTENíA ELEMENTOS PERSONALES Y PRENDAS DE VESTIR VARIAS. QUE AL NOTAR QUE HABíA FINALIZADO EL INGRESO DE EQUIPAJES DEL VUELO ANTES DESCRIPTO SIN PODER VISUALIZAR EL DE SU PERTENENCIA SE HACE PRESENTE EN EL SECTOR DE RECLAMOS DE EQUIPAJES DE LA EMPRESA DE MENCIóN, LUGAR DONDE RADICA EL CORRESPONDIENTE RECLAMO BAJO NUMERO DE PROCESO EZEG310320-WT Y LUEGO SE RETIRA DE ESTE AEROPUERTO INTERNACIONAL HACIA EL HOTEL ,QUE EL ONCE DE MARZO PERSONAL DE GOL LE HACE ENTREGA DE DICHO EQUIPAJE EN EL HOTEL , ES ALLí DONDE SE PERCATA DE EL FALTANTE .</t>
  </si>
  <si>
    <t>G37662</t>
  </si>
  <si>
    <t>DRA MARIANA CECILIA NOBILE</t>
  </si>
  <si>
    <t>SIENDO LA HORA Y FECHA MENCIONADA SE HACE PRESENTE EN ESTA GUARDIA LA DENUNCIANTE MANIFESTANDO QUE EL DIA 24 DE ABRIL DEL CORRIENTE AÑO EFECTUO EL DESPACHO DE SU VALIJA PARA EL VUELO CITADO ANTERIORMENTE EN EL AEROPUERTO DE COMODORO RIVADAVIA. UNA VEZ ARRIBADA EN ESTE AEROPARQUE METROPOLITANO, EN MOMENTOS DE RECOGER SU EQUIPAJE DE LA CINTA TRANSPORTADORA DEL SECTOR ARRIBOS A2, SE PERCATO DE QUE SU MOCHILA SE ENCONTRABA CON SUS CIERRES ABIERTOS OBSERVANDO EL FALTANTE DE UNA BILLETERA, LA CUAL SE HALLABA EN EL INTERIOR DEL MECIONADO EQUIPAJE.</t>
  </si>
  <si>
    <t>AR 2631</t>
  </si>
  <si>
    <t>PENAL CONTRAVENCIONAL Y DE FALTAS N° 15</t>
  </si>
  <si>
    <t>LETNER</t>
  </si>
  <si>
    <t>GUSTAVO ADOLFO</t>
  </si>
  <si>
    <t>HALL CENTRAL DE PARTIDAS DE LA EMPRESA AEROLINEAS ARGENTINAS.</t>
  </si>
  <si>
    <t>EL DIA 24 DE ABRIL DEL AñO DOS MIL DIEZ, SIENDO LAS 16:15 HORAS, COMPARECE ESPONTáNEAMENTE ANTE ESTA UNIDAD LUCAS LEONARDO SERANTES QUIEN DESEA RADICAR UNA DENUNCIA MANIFESTANDO QUE EL DíA DE LA FECHA SIENDO APROXIMADAMENTE LAS 15:45 HORAS EN MOMENTOS EN QUE ME ENCONTRABA EN EL HALL CENTRAL DE PARTIDAS DE AEROLíNEAS ARGENTINAS, DE LA PLANTA BAJA DE ESTE AEROPUERTO, SE ME ACERCA Y ME ENFRENTA EL SR. CRISTIAN FONTANA, EX DELEGADO DE TRAFICO DE LA EMPRESA AEROLíNEAS ARGENTINAS DICIéNDOME EN FORMA DESPECTIVA, SINTIéNDOME AMEDRENTADO Y AMENAZADO SIC" CARNERO HIJO DE PUTA, VOS VENIS DE RAMPA, EN DONDE CHOREABAS Y VENIS A CHOREAR ACA, ESTAS GARCANDO A TUS COMPAÑEROS AL HACER HORAS EXTRAS, QUE BUSCAS QUE TE CAGUE A TROMPADAS ?, ANDA A LLORARLE A LA JEFATURA FORRO, TOMATELAS. POR TAL MOTIVO DI AVISO AL JEFE DE TURNO DE AEROLINEAS ARGENTINAS, EL CUAL ME INDICO QUE ME DIRIGIESE A LA POLICIA DE SEGURIDAD AEROPORTUARIA A RADICAR LA DENUNCIA CORRESPONDIENTE.-</t>
  </si>
  <si>
    <t>PANELLI</t>
  </si>
  <si>
    <t>HUMBERTO EMILIO</t>
  </si>
  <si>
    <t>PATIO DE COMIDAS DEL AEROPUERTO JORGE NEWBERY</t>
  </si>
  <si>
    <t>SIENDO LAS VEINTE HORAS CON CUARENTA MINUTOS COMPARECE ANTE ESTA GUARDIA DE PREVENCION LA SRA MONTORO MIRNEI DE NACIONALIDAD BRASILERA A RADICAR UNA DENUNCIA DE QUE: SIENDO APROXIMADAMENTE LAS DIESCISIETE HORAS Y ENCONTRANDOSE JUNTO A SU ESPOSO, EN EL PATIO DE COMIDAS DEL AEROPUERTO JORGE NEWBERY, Y QUE AL MOMENTO DEL PAGO DE LO COSUMIDO, SE PERCATA DEL FALTANTE DE SU BOLSO DE MANO, CONTENIENDO EN SU INTERIOR ,DOS PASAPORTES, A NOMBRES DE MONTORO MIRNEI Y MONTORO EDSON, CON LAS VISAS DE MIGRACIONES DE ENTRADA AL PAIS, LA CANTIDAD DE MIL DOLARES ESTADOUNIDENSES,DOS TARJETAS DE CREDITOS, UNA TARJETA PLAN SALUD, UN PAR DE GAFAS DE SOL, Y UN CELULAR COLOR NEGRO, MARCA NOKIA.DICHA PERSONA SOLICITA LA PRESENCIA DE EFECTIVOS DE PSA DE ESE AEROPUERTO Y DEBIDO A QUE TENIA QUE ABORDAR EL VUELO CON DESTINO A MENDOZA, SE DECIDE A ERRADICAR LA DENUNCIA EN ESTA UNIDAD OPERACIONAL MENDOZA. POSTERIORMENTE SE REALIZA COMUNICACION CON LA OFICINA FISCAL N° 05 SUBROGANTE DE LA OFICINA FISCAL N°14 A CARGO DEL AYUDANTE FISCAL DR PANELLI HUMBERTO, AL CUAL SE LE INFORMA DE LO ACONTECIDO. QUIEN DISPONE: QUE SE LE TOME LA CORRESPONDIENTE DENUNCIA, QUE SE REALICE PARTE URGENTE INTERNO PSA Y QUE SE LE EMITA A LOS DAMNIFICADOS UNA COPIA DE LA CONSTANCIA DE SUSTRACCION DE LOS ELEMENTOS. SE CONFECCIONE MEMORANDUM A LA UNIDAD OPERACIONAL AEROPARQUE, PARA RECABAR DATOS PARA EL ESCLARECIMIENTO DEL HECHO, Y POSTERIOR ELEVACION DE LAS ACTUACIONES A LA UNIDAD FISCAL N°14. A LO CUAL SE LE DA ESTRICTO CUMPLIMIENTO. POSTERIORMENTE A ELLO ,SE REALIZA COMUNICACION CON LA OFICIAL AYUDANTE QUIROGA MARIA, SUMARIANTE DEL DIA DE LA FECHA, EN LA UOSP AEROPARQUE, A CARGO DEL OFICIAL JEFE PAVON DARIO, A LOS CUALES SE LES DA LA NOVEDAD DE LO SUCEDIDO MEDIANTE MEMORANDUM N° 443/10</t>
  </si>
  <si>
    <t>NIVEL 4 DEL MULTINIVEL</t>
  </si>
  <si>
    <t>PARKING SUR</t>
  </si>
  <si>
    <t>SIENDO LA HORA Y FECHA ANTES MECIONADA SE APERSONA EN ESTA GUARDIA DE PREVENCION EL SR LITWINOW JORGE ALEJANDRO MANIFESTANDO QUE EL DIA 23 DEL CORRIENTE MES Y AÑO A LAS 9:10 HORAS ESTACIONO EN EL PARKING SUR DE ESTE AEROPUERTO METROPOLITANO SU VEHICULO PARA EMBARCAR EN EL VUELO Nº AR 2682 CON DESTINO A LA CIUDAD DE BARILOCHE. DECLARANDO QUE AL REGRESAR A BUENOS AIRES EN EL VUELO Nº LA 4351, OBSERVO QUE HABIAN SIDO SUSTRAIDOS DE FORMA VIOLENTA DE SU VEHICULO MARCA CITROEN - MODELO C4, Nº DE DOMINIO GWR-247, LOS BURLETES EXTERNOS DE LAS CUATRO PUERTAS Y AMBAS TAPAS QUE CUBREN LOS COSTADOS DE LOS ESPEJOS RETROVISORES.</t>
  </si>
  <si>
    <t>LA 4351</t>
  </si>
  <si>
    <t>INVESTIGACION POR INSUBORDINACION EN VUELO</t>
  </si>
  <si>
    <t>QUE EL DIA 25ABR10 SIENDO LAS 04:15 HRS. APROXIMADAMENTE SE PRESENTA ANTE EL SERVICIO DE GUARDIA PREVENTIVA EL SR. MIGUELEZ MACHIN DAVID FERMIN COMANDANTE DEL VUELO COPA AIRLINES A EFECTOS DE RADICAR UNA DENUNCIA MANIFESTANDO QUE EL DÍA 24DE ABRIL DEL CORRIENTE AÑO MINUTOS ANTES DE CERRAR LA PUERTA DEL VUELO Nº 463 DE LA EMPRESA COPA SALIENDO DE LA CIUDAD DE PANAMÁ LA ENCARGADA DE CABINA ZAVALA LE INFORMA AL DENUNCIANTE QUE UNA FAMILIA UBICADA EN EL FILA 25 SE MOSTRABA MOLESTA PORQUE SU ASIENTO NO SE RECLINABA Y SE HABÍAN CAMBIADO A CLASE EJECUTIVA DONDE HABÍA ASIENTOS LIBRES. SE LLAMA A PERSONAL DE TRÁFICO PARA QUE SOLUCIONARA LA SITUACIÓN Y ANTE LA NEGATIVA DEL PASAJERO SE LLAMA A PERSONAL DE SEGURIDAD, QUIENES LOGRAN QUE EL MISMO REGRESE A SU ASIENTO Y SE LE INFORMA A TRAVÉS DE LA ENCARGADA DE CABINA QUE POR RAZONES DE SEGURIDAD NO PODÍAN PRESENTAR PROBLEMAS DURANTE EL VUELO. TRANSCURRIDOS DOS HORAS Y DIEZ MINUTOS DE VUELO LA ENCARGADA DE CABINA LE INFORMA QUE EL SEÑOR ALBERTO CHIANALINO IMPLICADO EN LOS INCONVENIENTES SE HABÍA CAMBIADO NUEVAMENTE A UN ASIENTO EN CLASE EJECUTIVA. EL DENUNCIANTE LE SOLICITA A LA ENCARGADA DE CABINA QUE LE NOTIFIQUE AL PASAJERO QUE PARA EVITAR INCONVENIENTES REGRESARA A SU ASIENTO, AL HACERLO, EL MISMO, ADUCE QUE ESTABA TENIENDO PROBLEMAS CARDIACOS PRODUCTO DE LA TENSIÓN, LA ENCARGADA DE CABINA LE OFRECE LLAMAR A UN FACULTATIVO Y EL SEÑOR DICE QUE EL ES MEDICO Y SABE LO QUE DICE. DE TODAS FORMAS SE SOLICITA UN FACULTATIVO PRESENTÁNDOSE EL DOCTOR MENOYO DANIEL QUIEN LO REVISA Y LO ENCUENTRA BIEN, CON LA PRESIÓN APENAS ELEVADA (155/100) POR LO CUAL LA ENCARGADA DE CABINA LE SOLICITA NUEVAMENTE QUE REGRESE A SU ASIENTO. POSTERIORMENTE AL HACER CASO OMISO, EL DENUNCIANTE, SE PRESENTA PARA HABLAR CON EL MISMO Y LE EXPLICA QUE EL HECHO QUE HUBIERA ASIENTOS LIBRES EN EJECUTIVA NO SIGNIFICABA QUE ELLOS LO PUDIERAN OCUPAR SINO EL RESTO DE LOS PASAJEROS PODÍAN HACER LO MISMO Y LE RECUERDA QUE ANTES DE SALIR SE LE HABÍA ACLARADO QUE NO PODÍA PRESENTAR PROBLEMAS EN VUELO POR RAZONES DE SEGURIDAD. EL PASAJERO LEVANTANDO EL TONO LE DICE QUE NUNCA LE DIERON OPCIÓN DE ELEGIR ASIENTO Y QUE NO IBA A VOLVER A SU ASIENTO. AL OBSERVAR QUE NO CAMBIARIA DE ACTITUD EL DENUNCIANTE DA POR TERMINADA LA CONVERSACIÓN CON EL MISMO COMUNICÁNDOLE QUE EN LA CIUDAD DE CÓRDOBA LO ESPERARÍA PERSONAL DE SEGURIDAD. CABE DESTACAR QUE PROCEDE A REALIZAR LA DENUNCIA DEBIDO A QUE DE PERMITIR HECHOS DE ESTA ÍNDOLE PUEDEN LLEGAR A PROBLEMAS MAYORES COMO MOTÍN POR PARTE DEL RESTO DE LOS PASAJEROS EN VUELO.A CONTINUACION SE INFORMO AL JUZGADO FEDERAL DE TURNO EN LA PERSONA DE SU SECRETARIA DRA. NAVARRO QUIEN PUESTA EN CONOCIMIENTO DEL HECHO DISPONE QUE EL CAUSANTE FIJE DOMICILIO ANTE TESTIGOS Y SE RETIRE DE LAS DEPENDENCIAS POLICIALES Y SE INICIEN ACTUACIONES SUMARIALES POR INVESTIGACION INSUBORDINACION EN VUELO.ACTO SEGUIDO FUE LLEVADO ALSERVICIO MEDICO PRIVADO PARA CONTROL CLINICO Y SE CONFECCIONO ACTA DE FIJACION DE DOMICILIO RETIRANDOSE EL SR. CHIANALINO APROXIMADAMENTE A LAS 05:50 HRS. DEL SERVICIO DE GUARDIA PREVENTIVA</t>
  </si>
  <si>
    <t>GURRERO MIGUEL ANGEL</t>
  </si>
  <si>
    <t>PREEMBARQUE PUERTA Nº1</t>
  </si>
  <si>
    <t>INFORMO QUE EN EL CONTROL DE EQUIPAJES DE MANO EN LA PUERTA DE EMBARQUE Nº 1 SOBRE LOS PASAJEROS A EMBARCAR EN EN VUELO LA 4025 DE LA EMPRESA LAN ARGENTINA SE DETECTA UN EQUIPAJE QUE CONTENDRIA EN SU INTERIOR MERCADERIA EN INFRACCION A LA LEY 22.415 EL PROPIETARIO PROCEDE A LA APERTURA DEL MISMO CONSTATANDO LA EXISTENCIA DE DICHA MERCADERIA SE PROCEDE A LABRAR EL ACTA DE INTERDICCION Y SE HACE ENTREGA DE DICHA MERCADERIA AL PERSONAL DE LA AFIP-DGA SR. ADRIANA LINERA LEGAJO Nº 18540-0 QUIEN PROCEDE AL SECUESTRO DE LA MERCADERIA BAJO ACTA Nº 004/10 VALOR APROXIMADO DE LA MERCADERIA CUATROCIENTOS DOLARES ESTADOUNIDENSES</t>
  </si>
  <si>
    <t>SE CONFECCIONA EL PRESENTE A LOS EFECTOS DE INFORMAR QUE EN EL DIA DE LA FECHA, SIENDO LAS 14:51 HS LOCAL, SE PRODUCE EL DESPEGUE DE LA AERONAVE T-01 CON LA TRIPULACION COMPLETA, SIN NOVEDAD.</t>
  </si>
  <si>
    <t>ARRIBO SECTOR A2-VEREDA SECTOR A2</t>
  </si>
  <si>
    <t>PLATAFORMA COMERCIAL-POSICION 6</t>
  </si>
  <si>
    <t>SIENDO LA HORA Y EL DIA ANTES MENCIONADO SE DA CUMPLIMIENTO A LA ORDEN DE SERVICIO Nº244/2010 ORIGINADA POR URSA Y MEMORANDO Nº 462/10 ORIGINADA POR CEAC, IMPLEMENTANDO MEDIDAS DE SEGURIDAD PARA EL ARRIBO DE LA COMITIVA DE EMBAJADORES DE LA UNION EUROPEA, QUIENES ARRIBARON EN EL VUELO DE LA EMPRESA LAN ARGENTINA Nº 4349, SIN NOVEDAD.</t>
  </si>
  <si>
    <t>AERONAVE T-01</t>
  </si>
  <si>
    <t>SIENDO LAS 17:05 HS LOCAL, DESPEGA ACFT T-01, TRASLADANDO A LA SRA PRESIDENTA DE LA NACION Y COMITIVA, CON DESTINO A LA CIUDAD AUTONOMA DE BUENOS AIRES, S/N.</t>
  </si>
  <si>
    <t>SIENDO LAS 18:30 HORAS, SE IMPLEMENTA DISPOSITIVO DE SEGURIDAD MOTIVO DE LA LLEGADA DE LA SRA. PRESIDENTE DE LA NACION, DEL VUELO PROCEDENTE DE LA LOCALIDAD DE CALAFATE. SIENDO LAS 19:37 HORAS ARRIBA LA MANDATARIA EN AERONAVE MATRICULA T-01. EN HORAS 19:43, SE RETIRA DE ESTE AEROPUERTO METROPOLITANO EN HELICOPTERO MATRICULA H-03. SIENDO LAS 19:50 HORAS, FINALIZA EL OPERATIVO SIN NOVEDAD.</t>
  </si>
  <si>
    <t>CALAFATE</t>
  </si>
  <si>
    <t>EN CUMPLIMIENTO DE LA ORDEN DE SERVICIO NRO. 0031/10 Y SIENDO LAS 07:50 HORAS LOCAL ARRIBA AERONAVE AIR BUS A 320, MATRICULA LV-BGI PERTENECIENTE A LA EMPRESA LAN ARGENTINA Y EN CUYAS BODEGAS 31, 32, 41 Y 42 SE EMBARCAN UN TOTAL DE 92 BULTOS CON UN PESO DE 3516 KILOGRAMOS DE METAL-MTD- PERTENECIENTES A LA EMPRESA MINERA SANTA CRUZ CON DESTINO EL AEROPUERTO JORGE NEWBERY DE LA CIUDAD DE CAPITAL FEDERAL. DESPEGANDO EL MISMO A LAS 09:01 HORAS LOCAL.</t>
  </si>
  <si>
    <t>SIENDO LAS 10:00 HORAS LOCAL SE TRASLADA A LA EXELENTISIMA CAMARA FEDERAL DE APELACIONES DE COMODORO RIVADAVIA A CARGO DEL DR. ALDO E SUAREZ UN SOBRE CERRADO CONTENIENDO EN SU INTERIOR DOCUMENTACION RESPECTO DE LA CAUSA NRO 2277 EN DOS CUERPOS A FS 246 JUNTO A OTRO LEGAJO DE TESTIMONIALES DE LOS AUTOS PRINCIPALES EN UN CUERPO A FS 50, ENVIADOS POR LA UNIDAD OPERACIONAL USHUAIA.</t>
  </si>
  <si>
    <t>DRA. DIANA DELEST</t>
  </si>
  <si>
    <t>TERCER NIVEL DEL ESTACIONAMIENTO CUBIERTO DE ESTE AEROPUERTO</t>
  </si>
  <si>
    <t>EN EL DIA DE LA FECHA SIENDO LAS 2:45 HS, SE RECIBE COMUNICACION TELEFONICA DEL SUPERVISOR DE LA EMPRESA DE SEGURIDAD DE LA EMPRESA AA2000, EL SR POZZI ROBERTO EL CUAL INFORMA QUE ALREDEDOR DE LAS 00:00 HS, SE RECIBE COMUNICACION EN EL SECTOR DE INFORMACION AL PASAJERO DE UNA PERSONA QUE MANIFIESTA HABERSE OLVIDADO UNA MOCHILA CON UNA NOTEBOOK EN SU INTERIOR, EN EL TERCER PISO DEL ESTACIONAMIENTO CUBIERTO, SEGUIDAMENTE SE LE DA AVISO AL ENCARGADO DE TURNO DE LA EMPRESA SECURITA, EL SR MACAGÑAN, PARA QUE SE DIRIJA A DICHO LUGAR A FIN DE LOCALIZAR LA MOCHILA, AL LLEGAR AL LUGAR SE ENCONTRO CON EL VIGILADOR PEREYRA , QUIEN MANIFIESTA QUE LA MOCHILA ESTARIA ABIERTA Y SIN LA NOTEBOOK EN SU INTERIOR, Y QUE DESDE QUE SE ENCONTRO LA MOCHILA, EN EL LUGAR SOLO ESTUVIERON EL Y EL VIGILADOR ALARCON, EL MISMO ALARCON COMENTO QUE EL HABIA GUARDADO LA NOTEBOOK EN SU MOCHILA DEL VESTUARIO. SEGUIDAMENTE EL SR POZZI AUTORIZA EL INGRESO AL VESTUARIO DE LA EMPRESA SECURITA Y EN PRESENCIA DE DOS TESTIGOS HABILES SE PROCEDE A APERTURAR LA MOCHILA, OBSERVANDOSE EN SU INTERIOR UNA NOTEBOOK MARCA COMERCIAL OLIVIETTI, UN CARGADOR DE TELEFONO CELULAR Y UNA CAMPERA COLOR AZUL. SIENDO LAS 03:40 HS SE PROCEDE A REALIZAR COMUNICACIÓN TELEFÓNICA CON LA DRA. DIANA DELEST, A CARGO DE LA SECRETARIA Nº 58 DEL JUZGADO INTERVINIENTE, A QUIEN SE LE INFORMA LO ACONTECIDO DISPONIENDO LA DOCTORA: LECTURA DE DERECHOS Y DETENCIÓN EN CARÁCTER DE COMUNICADO DEL SR. JUAN JOSÉ ALARCON, PRECARIO DE ENTRADA A LA DEPENDENCIA, TESTIMONIAL DEL PERSONAL INTERVINIENTE, CONSTATACIÓN DE DOMICILIO, CONTROL SISTEMA DE INTERPOL, EN EL MISMO ACTO, CUANDO EL IMPUTADO ESTE EN LIBERTAD, DEBERÁ FIJAR DOMICILIO. SI ESTUVIERE DETENIDO, SE INFORMARA A LA PERSONA QUE INDIQUE, SU LUGAR DE DETENCIÓN. SEGUN PU AMPLIATORIO 2476 SIENDO LAS 13.50 HS SE PROCEDE A LA LIBERACION DEL IMPUTADO SEGUN LO ORDENADO POR EL JUZGADO ACTUANTE Y POR NO PESENTAR IMPEDIMENTO LEGAL ALGUNO EN RESULTADO OBTENIDO DE LA DIRECCION NACIONAL DE REINCIDENCIA. SEGUN PU 2483SE PROCEDE A LA ENTREGA DE LA MOCHILA OLVIDADA A SU DUEÑO, EL SEÑOR HAYLAN JOSE DANIEL. CIPFA 14618995N JUNTO CON LOS SIGUIENTES ELEMENTOS, UNA NOTEBOOK COLOR GRIS Y NEGRA, MARCA COMERCIAL OLIVIETTI, Nº DE SERIE 635U40014-00 EM-2. ELEMENTOS VARIOS DE HIGIENE PERSONAL. TRES CAJAS DE ALFAJORES. MODEM MARCA COMERCIAL HUAWE DE LA EMPRESA CLARO, MODELO E17556.ID 9ISE1756, UN CARGADOR DE NOTEBOOK NEGRO, Nº DE SERIE 05W07500398901 1. UN CARGADOR DE CELULAR COLOR NEGRO . UN ADAPTADOR PHILLIPS DE MAQUINA DE AFEITAR. UN TENSOMETRO DIGITAL MARCA COMERCIAL SANITAS Y UN CABLE CONECTOR.</t>
  </si>
  <si>
    <t>MUTINIVEL</t>
  </si>
  <si>
    <t>SE IMPLEMENTA PERIMETRO DE SEGURIDAD CON COLABORACION DE BOMBEROS PFA, SERVICIO DE SANIDAD, POR EL HALLAZGO DE BULTO SOSPECHOSO EL CUAL POSTERIORMENTE ES CHEQUEADO CON EQUIPO SABRE 4000 POR PARTE DE GEDEX DE TURNO OBTENIENDO RESULTADO NEGATIVO, FINALIZANDO EL CONTROL A LAS 11:30 SIN NOVEDAD. POR ULTIMO SE REALIZA EL ACTA DE HALLAZGO Nº 965/10 DE LA MOCHILA DE COLOR NEGRA CON MARCA COMERCIAL SAMSONITE CONTENIENDO EN SU INTERIOR DOCUMENTACION VARIAS Y UNA NOTEBOOK MARCA HP. DICHO HALLAZGO ES RETIRADO POR EL DUEÑO A LAS 12:52 HORAS SIN NOVEDAD</t>
  </si>
  <si>
    <t>GUERSCOVICH GRACIELA</t>
  </si>
  <si>
    <t>PRESUNTO CONTRABANDO DE ESTUPEFACIENTES</t>
  </si>
  <si>
    <t>PATIO DE VALIJAS, SECTOR ADUANA UTILIZANDO EL EQUIPO DE RAYOS X DENOMINADO BODDY-SCAN</t>
  </si>
  <si>
    <t>EL DIA 25-04-10 SE RECIBE UN LLAMADO CORRESPONDIENTE A LA DIRECCION DE OPERACIONES PERTENECIENTE A LA POLICIA DE LA PROV. DE BS.AS. INFORMANDOMEDIANTE EL ENVIO DE UN FAX COMUNICA QUE RECIBIO UN LLAMADO TELEFONICO ANONIMO AL 911 DE UN POSIBLE VIAJE QUE SALDRIA A LAS 18 HS. DE UNA PERSONA DE NOMBRE PABLO LIA CON DESTINO A ESPAÑA LA CUAL TRANSPORTARIA SUSTANCIAS DE ESTUPEFACIENTES, SE PROCEDE A INFORMAR AL JEFE DE ESTA UNIDAD OPERACIONAL QUIEN SE COMUNICA CON LA JUDICATURA INTERVINIENTE ORDENANDO LA REQUISA DE LA PERSONA Y SU EQUIPAJE OBTENIENDO RESULTADO NEGATIVO. EL SR LIA CONTINUA VIAJE A MADRID EN EL CAMPO TIPO DE PERSONA DENE DECIR DENUNCIADO.</t>
  </si>
  <si>
    <t>LA EXPONENTE MANIFIESTA HABER EXTRAVIADO SU PERMISO PERSONAL DE SEGURIDAD PERMANENTE Nº 321464 CON FECHA DE VENCIMIENTO 05/10/11, CON TODOS LOS SECTORES AUTORIZADOS PARA SU INGRESO, NO PUDIENDO PRECISAR EL MOMENTO NI EL LUGAR DONDE LO EXTRAVIÓ.</t>
  </si>
  <si>
    <t>EL EXPONENTE MANIFIESTA HABER EXTRAVIADO SU PERMISO PERSONAL DE SEGURIDAD AEROPORTUARIA PERMANENTE Nº 316031 CON FECHA DE VENCIMIENTO 10/08/11, CON TODOS LOS SECTORES AUTORIZADOS PARA SU INGRESO, NO PUDIENDO PRECISAR EL MOMENTO NI EL LUGAR DONDE LO EXTRAVIÓ.</t>
  </si>
  <si>
    <t>SE PRESENTA PATRICIA LORENA LIÑAN, A REALIZAR LA DENUNCIA , MANIFESTANDO QUE EL DíA 24-4-10 ARRIBO AL PAíS EN VUELO Nº 997 DE LA EMPRESA AMERICAN AIRLINES, PROCEDENTE DE LA CIUDAD DE DALLAS, EEUU, HABIéNDOSE EMBARCADO PREVIAMENTE EN LA CIUDAD DE LAS VEGAS EN VUELO Nº 1996 (LAS VEGAS -DALLAS), DESPACHANDO LA TOTALIDAD DE SU EQUIPAJE DE BODEGA CON DESTINO LA REPUBLICA ARGENTINA, SIN TOMAR CONTACTO CON LOS MISMO EN MOMENTOS DE SU CONEXIóN. LUEGO DE REALIZAR LOS TRAMITES ,SE HIZO PRESENTE EN LAS CINTAS DE ARRIBOS DE EQUIPAJES DE LA TERMINAL "B" A EFECTOS DE HACERSE DE SUS DOS VALIJAS DESPACHADAS A BODEGA BAJO MARBETES AA 06 80 78 Y AA06 80 79. QUE AL NO ARRIBAR SUS EQUIPAJES HACE EL RECLAMO EN LA COMPAñíA, DONDE SE LE INFORMA QUE ARRIBARíAN AL PAíS EL DíA 25-4-10 Y LE SERIAN ENTREGADOS EN SU DOMICILIO, ES POR ELLO QUE SE PRESENTA EN SU DOMICILIO UNA PERSONA DE SEXO MASCULINO, SIN VESTIMENTA IDENTIFICATORIA ALGUNA, HACIéNDOLE ENTREGA DE SUS EQUIPAJES ARRIBADOS EN EL DíA DE LA FECHA., CUANDO LO ABRE SE PERCATA QUE EL CANDADO ESTABA ROTO ES ALLí DONDE NOTA LE FALTANTE DE SUS PERTENENCIAS</t>
  </si>
  <si>
    <t>LAS VEGAS</t>
  </si>
  <si>
    <t>2445/10</t>
  </si>
  <si>
    <t>PUERTA Nº UNO</t>
  </si>
  <si>
    <t>SE PROCEDE A LA APERTURA DE DOS SACAS COLECTORAS DEL CORREO OFICIAL SEGUN CONSTA EN ACTA DE RETENCION DE CARGAS Nº 198/10, CORRESPONDIENTE A LA PREVENCION SUMARIA Nº 045/10, LA PRIMERA SACA IDENTIFICADA COMO SLA0170677E606000BHI, PRECINTO Nº Y7365421, CONTIENE DOS PIEZAS POSTALES, LA PRIMERA IDENTIFICADA COMO EP702480595AR, RTTE. SRA. RODRIGUEZ SANDRA DOMICILIO ENTRE RIOS ESQUINA 5 Nº 400, ABRA PAMPA, JUJUY, CP. 4640, DTTRIO. SRA. RODRIGUEZ JUANA SOLEDAD, DOMICILIO CALLE Nº 7 Nº 766, Bº BONACITA, PEDRO LURO BAHIA BLANCA, CP. 8148, LA CUAL QUEDA RETENIDA. LA SEGUNDA IDENTIFICADA COMO EP669756864AR, RTTE, SRA. ROSALIA RAMOS DOMICILIO, BELGRANO Nº 318, LA QUIACA JUJUY, CP. 4650, DTTRIO. SR. MARCELO GODOY CORREO CENTRAL, PEDRO LURO BS. AS., CP. 8148, LA CUAL QUEDA RETENIDA. LA SEGUNDA SACA IDENTIFICADA COMO,SLA172959E555600CRD, PRECINTO Nº A541248, CONTIENE UNA PIEZA POSTAL IDENTIFICADA COMO EP69811891AR, RTTE. SRA. MARIA FLORES DOMICILIO Bº SANTA CECILIA MZ. LCQ SALTA CAPITAL, CP. 4400, DTTRIO. SRA. SUSANA FLORES DOMICILIO OHIGGINS Nº 1830, PERITO MORENO SANTA CRUZ, CP. 9040, LA CUAL QUEDA RETENIDA Y EN DEPOSITO JUDICIAL EN ESTA UNIDAD A LA ESPERA DEL OFICIO JUDICIAL QUE AUTORICE SU APERTURA.</t>
  </si>
  <si>
    <t>2468/10</t>
  </si>
  <si>
    <t>DRA SAA VIVIANA MARCELA</t>
  </si>
  <si>
    <t>SE PROCEDE A LA LIBERACION DEL IMPUTADO SEGUN LO ORDENADO POR EL JUZGADO ACTUANTE Y POR NO PESENTAR IMPEDIMENTO LEGAL ALGUNO EN RESULTADO OBTENIDO DE LA DIRECCION NACIONAL DE REINCIDENCIA.</t>
  </si>
  <si>
    <t>NO ESPECIFICA EN QUE LUGAR DEL AEROPUERTO LO PERDIO</t>
  </si>
  <si>
    <t>EN EL DIA DE LA FECHA SE HACE PRESENTE EL SEÑOR ZAPATA CARLOS ALBERTO, SUBOFICIAL DE PREFECTURA NAVAL ARGENTINA, MANIFESTANDO EL EXTRAVIO DE UN PERMISO DE SEGURIDAD AEROPORTUARIO A SU NOMBRE, VENCIDO, HECHO QUE SE PRODUJO EN INSTALACIONES DE ESTE AEROPUERTO.</t>
  </si>
  <si>
    <t>PREFECTURA NAVAL ARGENTINA</t>
  </si>
  <si>
    <t>EN LA FECHA SE LLEVA A CABO DISPOSITIVO DE SEGURIDAD TESORO REGIONAL, DE ACUAERDO A ORDEN DE SERVICIO Nº 021/10 DE ESTA UOSP, EL TRASLADO AEREO DE LOS VALORES, SE REALIZO EN AERONAVE HERCULES MATRICULA TC-69 POSTERIOR AL DESPEGUE DE LA CITADA AERONAVE SIENDO LAS 14:45 HS. FINALIZA EL OPERATIVO. SIN NOVEDDAD</t>
  </si>
  <si>
    <t>PARANA ENTRE RIOS</t>
  </si>
  <si>
    <t>DRA. AMANDA RUIZ RAMIREZ</t>
  </si>
  <si>
    <t>VANESSA BERRA Y LEANDRO RUBEN MACAGNO S/TENTATIVA DE CONTRABANDO DE ESTUPEFACIENTES</t>
  </si>
  <si>
    <t>PRIMER PISO DE LA TERMINAL A, SECTOR DE PARTIDAS INTERNACIONALES</t>
  </si>
  <si>
    <t>SIENDO LA HORA INDICADA SE HACE PRESENTE EN EL TURNO DE PREVENCION PERSONAL DE LA DIRECCION NACIONAL DE MIGRACIONES A EFECTOS DE INFORMAR QUE ERAN HABIDOS EN LOS BOX MIGRATORIOS UNA PASAJERA DE SEXO FEMENINO Y UN PASAJERO DE SEXO MASCULINO LOS CUALES SE ENCONTRABAN A PUNTO DE EMBARCAR EN EL VUELO MENCIONADO, QUIENES REGISTRABAN UNA ALERTA MIGRATORIA DONDE DISPONE QUE SE EXTREMEN LAS MEDIDAS DE CONTROL ENTRE LOS DIAS 16 Y 21 DEL MES EN CURSO EN VIRTUD A QUE LOS NOMBRADOS PODRIAN PORTAR SUSTANCIA ESTUPEFACIENTE Y QUE SE DIERA INMEDIATO AVISO A ESTA POLICIA. MOMENTO EN EL CUAL PERSONAL POLICIAL SE DIRIGE HACIA DICHOS BOX DONDE SE ENTREVISTA CON PERSONAL DE MIGRACIONES QUIENES APORTAN PASAPORTES DE LOS CAUSANTES E IMPRESIONES DE LAS ALERTAS MENCIONADAS, ANTE TAL EVENTO EL JEFE DE TURNO MANTIENE COMUNICACION TELEFONICA CON LA FISCALIA SOLICITANTE, SIMULTANEAMENTE PERSONAL POLICICAL SE DIRIGE AL PATIO DE VALIJAS A FIN DE DAR CON LOS EQUIPAJES DESPACHADOS DE LOS CAUSANTES, SIENDO INFORMADO POR PERSONAL DE LA COMPAÑIA QUE DICHOS EQUIPAJES YA SE ENCONTRABAN EN LA BODEGA DEL AVION Y QUE EL MISMO YA SE ENCONTRABA CERRADO Y EN CASO DE TENER QUE BAJARLOS DEL VUELO OCACIONARIA LA CANCELACION DEL MISMO DADO QUE HASTA EL MOMENTO NO SE HABIA PODIDO MANTENER COMUNICACION TELEFONICA CON LA FISCALIA SOLICITANTE SE PERMITIO QUE EL VUELO CONTINUARA CON SU ITINERARIO DE VIAJE. UNA VEZ MANTENIDA LA COMUNICACION CON LA FISCALIA SOLICITANTE Y AUTORIZADO POR EL JUZGADO INTERVINIENTE SE PROCEDE A LA REQUISA DE LOS PASAJEROS EN CUESTION, SOLICITANDO LA PRESENCIA DE DOS TESTIGOS HABILES SE LOS DIRIGE HACIA EL TURNO DE PREVENCION, DE LA REQUISA REALIZADA AL MASCULINO ARROJA RESULTADO NEGATIVO EN CUANTO A LA PRESENCIA DE ELEMENTOS PROHIBIDOS, ACTO SEGUIDO SE PROCEDE CON LA PASAJERA LA CUAL ARROJA MISMO RESULTADO, MOMENTOS EN EL CUAL UNA DE LAS TESTIGOS INFORMA QUE LA PASAJERA HABRIA EXTRAIDO DE UNO DE LOS BOLSILLOS DE SU CAMPERA, MOMENTOS ANTES DE LA REQUISA DE DICHA CAMPERA, UN ELEMENTO QUE LE RESULTO EXTRAÑO EL CUAL INTRODUJO EN EL INTERIOR DE UNA MOCHILA DE COLOR VERDE Y VIVOS NEGROS CON LA INSCRIPCION QUECHUA, ACTO SEGUIDO SE PROCEDE A RETIRAR EL OBJETO EN CUESTION DE LA MOCHILA MENCIONADA, TRATANDOSE DE UN ENVOLTORIO DE LATEX EN EL CUAL ERA HABIDA UNA SUSTANCIA DE COLOR BLANCA, MANIFESTANDO EL PASAJERO MACAGNO QUE DICHO ENVOLTORIO ERA DE SU PROPIEDAD Y QUE EL MISMO ERA PARA CONSUMO PERSONAL, ACTO SEGUIDO EL PERITO DE TURNO PROCEDE A REALIZAR UN CORTE SOBRE EL LATEX, DEJANDOSE VER DEBAJO UNA SUTANCIA DE COLOR BLANCA PULVERULENTA QUE SOMETIDA A PRUEBA DE CAMPO ARROJARA RESULTADO POSITIVO DE COCAINA. POR LO QUE SE PROCEDE A REALIZAR LAS ACTUACIONES CORRESPONDIENTES, QUEDANDO LOS CAUSANTES DETENIDOS INCOMUNICADOS POR ORDEN DEL JUZGADO INTERVINIENTE.- SEGUN PU AMPLIATORIO N° 2487 SIENDO LAS DIECIOCHO HORAS, CINCUENTA MINUTOS DEL DIA DE LA FECHA SE PROCEDIO AL ALOJAMIENTO DE LOS DETENIDOS EN AUTOS EN EL ASIENTO DE ESTA DEPENDENCIA, PREVIO EXAMEN MEDICO PRECARIO EN SANIDAD DE ESTE MEDIO, QUIENES SE ENCUENTRAN EN CALIDAD DE COMUNICADOS, POR DISPOSICION DE S.SA., QUEDANDO LOS MISMOS A REQUERIMIENTO JUDICIAL. PTO.- SEGUN PU AMPLIATORIO 2539 QUE SIENDO APROXIMADAMENTE LAS SIETE HORAS. TREINTA MINUTOS DEL DIA 29/04/10, DANDO CUMPLIMIENTO A LO ORDENADO POR S.SA SE PROCEDE AL TRASLADO DE LOS DETENIDOS EN AUTO HACIA SEDE JUDICIAL.- SEGUN PU AMPLIATORIO 2549: PROCEDO A INFORMAR QUE EN EL DIA DE LA FECHA SIENDO LAS NUEVE HORAS TREINTA MINUTOS ARRIBARON AL PAIS LOS DOS EQUIPAJES DEL TIPO MOCHILA DE MONTAÑA DESPACHADOS POR LOS IMPUTADOS EL DIA DE SU DETENCION, LOS CUALES FUERON REQUIZADOS SIN NOVEDAD. CABE DESTACAR QUE ESTOS EQUIPAJES CONTINUARON SU CURSO EL DIA EN QUE SE INICIARON LAS ACTUACIONES CON MOTIVO DE QUE EL VUELO YA SE ENCONTRABA CERRADO.-</t>
  </si>
  <si>
    <t>1696/10</t>
  </si>
  <si>
    <t>APERTURA DE ENCOMIENDA S/SUP INFRACCION A LA LEY 22.415 Y/O 23.737</t>
  </si>
  <si>
    <t>242/2010</t>
  </si>
  <si>
    <t>SE PROCEDE A LA APERTURA DE UNA ENCOMINEDA DEL CORREO OFICIAL, EN VIRTUD DE LO DISPUESTO POR EL MAGISTRADO ACTUANTE EN OFICIO Nº 392/10 Y EN PRESENCIA DE UN TESTIGO HABIL. LA ENCOMIENDA IDENTIFICADA COMO EP686237277AR, CONTIENE: 11 PAQUETES DE HOJAS DE COCA CON UN PESO TOTAL DE 2.700 GRS. LA ENCOMIENDA SERA PUESTA A DISPOSICION DE ADUANA POR SUPUESTA INFRACCION A LA LEY 22.415 Y LAS ACTUACIONES REMITIDAS A SEDE JUDICIAL.</t>
  </si>
  <si>
    <t>2476/10</t>
  </si>
  <si>
    <t>SE PROCEDE A LA ENTREGA DE LA MOCHILA OLVIDADA A SU DUEÑO, EL SEÑOR HAYLAN JOSE DANIEL. CIPFA 14618995N JUNTO CON LOS SIGUIENTES ELEMENTOS, UNA NOTEBOOK COLOR GRIS Y NEGRA, MARCA COMERCIAL OLIVIETTI, Nº DE SERIE 635U40014-00 EM-2. ELEMENTOS VARIOS DE HIGIENE PERSONAL. TRES CAJAS DE ALFAJORES. MODEM MARCA COMERCIAL HUAWE DE LA EMPRESA CLARO, MODELO E17556.ID 9ISE1756, UN CARGADOR DE NOTEBOOK NEGRO, Nº DE SERIE 05W07500398901 1. UN CARGADOR DE CELULAR COLOR NEGRO . UN ADAPTADOR PHILLIPS DE MAQUINA DE AFEITAR. UN TENSOMETRO DIGITAL MARCA COMERCIAL SANITAS Y UN CABLE CONECTOR.</t>
  </si>
  <si>
    <t>1655/10</t>
  </si>
  <si>
    <t>DRA. MARIA, ISABEL FALU</t>
  </si>
  <si>
    <t>241/2010</t>
  </si>
  <si>
    <t>SE PROCEDE A LA APERTURA DE DOS ENCOMIENDAS DEL CORREO OFICIAL EN VIRTUD DE LO DISPUESTO POR EL MAGISTRADO ACTUANTE EN OFICIO Nº 274/10 Y EN PRESENCIA DE UN TESTIGO HABIL. LA 1ª EP684829201AR CON REMITENTE A NOMBRE DE FABIANA MICAELA SAIQUITA, DOM. MZA 2 LOTE 25, Bº EL CHINGO, S.S. DE JUJUY, C.P. 4600 Y DESTINATARIO SR. MILTON SAúL SAIQUITA, POSTE RESTANTE, SUC. RIO GRANDE, C.P. 9420, TIERRA DEL FUEGO CONTIENE: TRES PAQUETES DE HOJAS DE COCA CON UN PESO TOTAL DE 735 GRS., TRES CDS Y DOS REMERAS. LA 2ª EP659037639AR CON REMITENTE A NOMBRE DE RAQUEL DIAZ, LIBERTAD Nº 14. LA ESPERANZA, SAN PEDRO DE JUJUY, C.P. 4500 Y DESTINATARIO A NOMBRE DE ROMINA CRUZ, AVENIDA 25 DE MAYO Nº 1152, PICO TRUNCADO, C.P. 8015, STA. CRUZ CONTIENE: ONCE PAQUETES DE HOJAS DE COCA CON UN PESO TOTAL DE 1.765 GRS Y UN PONCHITO DE LANA. LAS ENCOMIENDAS SERAN PUESTA A DISPOSICION DE LA ADUANA POR SUPUESTA INFRACCION A LA LEY 22.415 Y LAS ACTUACIONES ELEVADAS A SEDE JUDICIAL.</t>
  </si>
  <si>
    <t>GARNICA MARCELO</t>
  </si>
  <si>
    <t>SALIDA DEL EDIFICIO, FRENTE A PREEMBARQUE DE CABOTAJE</t>
  </si>
  <si>
    <t>SIENDO LAS 15:40 HORAS SE COMUNICA A LA GUARDIA EL OFICIAL CUELLO AVISANDO QUE HAY UN MALETIN DE COLOR NEGRO EN UN CARRO PORTA EQUIPAJE SOBRE LA VEREDA DEL PULMON SUR EL CUAL FUE HALLADO POR EL SEÑOR JOSUE VILLAR PERTENECIENTE A LA EMPRESA SERZA POR TAL MOTIVO SE REALIZA COMUNICACION TELEFONICA CON EL JUZGADO DE TURNO ENTABLANDO COMUNICACION TELEFONICA CON EL SECRETARIO PENAL EL CUAL DISPONE 1° SE REALICE EL PROCEDIMIENTO DE RUTINA PARA TALES CASOS, 2° EN CASO DE DAR RESULTADO NEGATIVO CON EL CONTROL DEL PERSONAL DE GEDEX DEJAR ASENTADO MEDIANTE ACTA DE USO INTERNO DE ESTA UOSP EL HECHO 3° EN CASO DE RESULTAR POSITIVO REALIZAR UNA NUEVA COMUNICACION DANDO ESTRICTO CUMPLIMIENTO. EL PERSONAL DE GEDEX PROCEDE AL CONTROL DEL MALETIN DANDO RESULTADO NEGATIVO. POSTERIORMENTE SE CONTROLA POR RAYOS X ENCONTRANDOSE SIN NOVEDAD. SE LABRA ACTA DE HALLAZGO N° 61/10 DE ORDEN INTERNO, SE REALIZA NUEVAMENTE COMUNICACION CON EL JUZGADO INFORMANDO QUE EL PROCEDIMIENTO ESTA SIN NOVEDAD. SIENDO LAS 16:40 HORAS SE PRESENTA LA DUEÑA DEL MALETIN A QUIEN SE LO ENTREGA MEDIANTE ACTA N° 61/10 .</t>
  </si>
  <si>
    <t>PLATAFORMA AEROPUERTO VIEJO</t>
  </si>
  <si>
    <t>EL DIA DE LA FECHA SE DIO CUMPLIMIENTO A LA ORDEN DE SERVICIO Nº 19/10 DE ESTA UNIDAD DONDE SE INCREMENTARON LAS MEDIDAS DE SEGURIDAD CON EL FIN DE PROTEGER VALORES DEL TESORO REGIONAL, A LAS 15:25HS ARRIBA LA AERONAVE MATRICULA TC-69, C130 DE LA FUERZA AEREA ARGENTINA EL QUE TRASLADA VALORES DEL TESORO REGIONAL A LA PROVINCIA DE MISIONES EL QUE FUERA DESCARGADO Y TRANSPORTADO HASTA LA BOBEDA DEL BANCO DE LA NACION ARGENTINA POR VIA TERRESTRE DEJANDO LOS VEHICULOS LA JURISDICCION AEROPORTUARIA A LAS 16:30HS SIN NOVEDAD. EL VUELO ANTES MENCIONADO DESPEGO CON DESTINO EL PALOMAR PROVINCIA DE BUENOS AIRES A LAS 16:30HS.</t>
  </si>
  <si>
    <t>TC-69</t>
  </si>
  <si>
    <t>CIUDAD DE CORRIENTES</t>
  </si>
  <si>
    <t>2480/10</t>
  </si>
  <si>
    <t>BOX MIGRATORIOS</t>
  </si>
  <si>
    <t>QUE SIENDO LAS DIECIOCHO HORAS, CINCUENTA MINUTOS DEL DIA DE LA FECHA SE PROCEDIO AL ALOJAMIENTO DE LOS DETENIDOS EN AUTOS EN EL ASIENTO DE ESTA DEPENDENCIA, PREVIO EXAMEN MEDICO PRECARIO EN SANIDAD DE ESTE MEDIO, QUIENES SE ENCUENTRAN EN CALIDAD DE COMUNICADOS, POR DISPOSICION DE S.SA., QUEDANDO LOS MISMOS A REQUERIMIENTO JUDICIAL. PTO.-</t>
  </si>
  <si>
    <t>ZELARAYAN MARCELO</t>
  </si>
  <si>
    <t>CAMIONETA ESTACIONADA FRENTE A LA SALIDA DEL SALON DE PREEMBARQUE CABOTAJE</t>
  </si>
  <si>
    <t>A HORAS 21:30 SE PRESENTA EL SR. ACOSTA GUSTAVO EMPLEADO DE AEROPUERTO ARGENTINA 2000, A RADICAR UNA DENUNCIA POR HURTO DE UN RIFLE AIRE COMPRIDO CALIBRE 5 1/2, USADO PARA EL CONTROL AVIAR, EL MISMO FUE SUSTRAIDO DE LA CAMIONETA FORD RANGER DOMINIO HNP349, PERTENECIENTE A A.2000, LA CUAL ES USADA PARA REALIZAR RECORRIDOS PERIMETRALES, PISTA Y MANTENIMIENTO, ESTA SE ENCONTRABA ESTACIONADA EN LA PLATAFORMA PROXIMA A LA SALIDA DEL PREEMBARQUE CABOTAJE. INMEDIATAMENTE SE IMPLEMANTO UN DISPOSITIVO DE BUSQUEDA DEL ELEMENTO DENUNCIADO, REVISANDO LAS INSTALACIONES Y PERIMETRO PROXIMO A LA AEROESTACION, TAMBIEN SE REALIZO UNA REQUISA VOLUNTARIA EXAUSTIVA A TODO EL PERSONAL QUE EN ESE MOMENTO SE ENCONTRABA DESEMPEÑANDO TAREAS EN EL AEROPUERTO, ARROJANDO ESTO RESULTADO NEGATIVO. SE ESTABLECIO COMUNICACION TELEFONICA CON LA FISCALIA DE TURNO, QUIEN ORDENO SE REALIZARAN LAS ACTUACIONES DE RIGOR Y SE ELEVEN CON POSTERIORIDAD.</t>
  </si>
  <si>
    <t>------------------</t>
  </si>
  <si>
    <t>SECTOR ARRIBO DE CABOTAJE</t>
  </si>
  <si>
    <t>EL SR. SERGIO RAMOS, AUX.DE OPERACIONES DE A.A 2000,ENCONTRO UN BOLSO DE TELA DE AVION, CONTENIENDO UN LIBRO Y UN C.D. EN UN CARRO EN EL SECTOR DE ARRIBO DE CABOTAJE-PERGOLA-ENTREGANDO EN PUESTO DE INSPECCION Nº 1, AL JEFE DE TURNO OF.MY. MIGUEL FABIAN.</t>
  </si>
  <si>
    <t>PUERTA DE INSPECCION Nº 1</t>
  </si>
  <si>
    <t>MIENTRAS PERSONAL DE ESTA UOSP OF. AYTE. JOSE LLANOS SE ENCONTRABA EN UN CONTROL PREVENTIVO DE EQUIPAJES DESPACHADO POR BODEGA CON EQUIPO DE RAYOS X DE DOTACION SCAN VAN EN VUELO 2472 AUSTRAL LINEAS AEREAS, SE PROCEDE A LA RETENCION DE DOS BOLSOS, SEGUN CONSTA EN ACTA DE RETENCION Nº 0203/10 QUE ORIGINA LA PREVENCION SUMARIA NRO. 046/10, EL PRIMER BOLSO IDENTIFICADO CON MARBETE AEP AR 87-77-49 CON DESTINO A BUENOS AIRES, EL SEGUNDO BOLSO IDENTIFICADO CON MARBETE AEP AR 87-75-50 CON DESTINO A BUENOS AIRES. LA RETENCION SE REALIZA POR INFRACCION A LA LEY 22.415. SE PROCEDIO A LA APERTURA DE LOS MISMOS EN PRESENCIA DE LA PROPIETARIA SRA. ANALIA BALBOA Y DE LA TESTIGO SRA. NANCY PASTRANA, SE CONSTATA QUE EN AMBOS BOLSOS CONTENIAN EN TOTAL TREINTA Y UN PARES DE ZAPATILLAS, AL SOLICITARLE LA FACTURA DE COMPRA LA MISMA MANIFIESTA NO TENERLA. SE COMUNICO TELEFONICAMENTE AL JUZGADO INTERVINIENTE. LOS MISMOS QUEDAN EN RESGUARDO EN ESTA UOSP SALTA PARA LUEGO DERIVARLOS A LA ADUANA SALTA.</t>
  </si>
  <si>
    <t>Nº 2418 CARAT. DIC Y NCU S/AV. PTA. INF. LEY 23.737</t>
  </si>
  <si>
    <t>PRE EMBARQUE</t>
  </si>
  <si>
    <t>EN EL DIA DE LA FECHA SIENDO LAS 11:10 HS. EN EL VUELO AR 2853 DE LA EMPRESA AEROLINEAS ARGENTINAS SE INDENTIFICA AL CIUDADANO SAUL, PABLO FABRICIO, SOBRE QUIEN PESA UNA PROHIBICION DE SALIDA DE LA PROVINCIA, SEGUN REGISTRO DE LA RED LINCE Nº 269.395, REALIZADO COMUNICACION TELEFONICA CON EL SECRETARIO DE TURNO EN LA PERSONA DEL DR. ERNESTO MENDIETA, QUIEN MANIFIESTA QUE EL CAUSANTE ESTA AUTORIZADO A VIAJAR, DEBIDO A QUE SE A DISPUESTO EL LEVANTAMIENTO DE LA PROHIBICION DE SALIDA DE LA PROVINCIA POR EL TERMINO QUE COMPRENDE ENTRE LOS DIAS 27 DE ABRIL Y EL 2 DE MAYO DEL CORRIENTE AÑO , INFORMANDO EL ANTES MENCIONADO SECRETARIO QUE LA CAUSA INCIAL Nº 2418, SE REGISTRA ACTUALMENTE CON EL Nº 19.017 CARATULADA RAMOS GABRIELA RAQUEL, SAUL PABLO FABRICIO Y LIZARRAGA LISANDRO MATIAS S/INF. A LA LEY 23.737</t>
  </si>
  <si>
    <t>AR 2853</t>
  </si>
  <si>
    <t>S/E</t>
  </si>
  <si>
    <t>SE CONFECCIONA EL PRESENTE A LOS EFECTOS DE INFORMAR QUE EN EL DIA DE LA FECHA, SIENDO LAS 19:50 HS LOCAL SE PRODUCE EL ARRIBO DE LA AERONAVE T-01. LA AERONAVE ARRIBA CON TRIPULACIÓN, SIN NOVEDAD. NOTA: NO SE REALIZÓ EL PRESENTE PARTE EN TIEMPO Y FORMA POR ERROR EN SISTEMA SICOPOL.</t>
  </si>
  <si>
    <t>PEDRO O. DIANI</t>
  </si>
  <si>
    <t>JEFATURA DE POLICIA CCD S/EXHORTO, DEL EXTE. NRO. 795/04 Y CONEXOS CARATULADO: JEFATURA DE POLICIA CCD S/SECUESTROS Y DESAPARICIONES 2DO. GRUPO, EN TRAMITE POR ANTE EL JUZGADO FEDERAL NRO. 1 DE TUCUMAN A CARGO DEL DR. RAUL DANIEL BEJAS - SECRETARIA DE DERECHOS HUMANOS DE LA DRA. MARIA VIRGINIA DUFFY.</t>
  </si>
  <si>
    <t>5252/2010</t>
  </si>
  <si>
    <t>CALLE 3 DE FEBRERO 2149 - 7º PISO - DPTO. B C.A.B.A.</t>
  </si>
  <si>
    <t>AMPLIANDO PARTE RESERVADO NRO. 1463 DE FECHA 14-MAR-2010 DE LA D.O.C.N. Y D.C. DEL NORTE: EN EL DIA DE LA FECHA SE HACE PRESENTE PERSONAL POLICIAL DE ESTA UNIDAD EN EL DOMICILIO ANTERIORMENTE INDICADO, DE ACUERDO A LO ORDENADO POR EL JUZGADO INTERVINIENTE MEDIANTE OFICIO JUDICIAL, DONDE FUERON ATENDIDOS POR LA SRA. RENE MABEL SIDELNIK - DNI NRO. 5.681.429, QUIEN MANIFIESTA SER LA SEÑORA DEL IMPUTADO EN AUTOS, INFORMANDO QUE HACE APROXIMADAMENTE 4 MESES QUE SU MARIDO NO VIVE MAS ALLI, PRODUCTO DE UNA DISCUCION, ESTE TESTIMONIO FUE CORROBORADO POR EL SR. CARLOS GALLO ENCARGADO DEL EDIFICIO, LUEGO DE QUE UNA COMISION POLICIAL LO NOTIFICARA ANTERIORMENTE.</t>
  </si>
  <si>
    <t>JEFATURA DE POLICIA CCD S/EXHORTO, RELACIONADO CON EL EXPTE. NRO. 795/04 Y CONEXOS CARATULADO: JEFATURA DE POLCIA DE TUCUMAN CCD S/SECUESTRO Y DESAPARICIONES - 2DO. GRUPO, JUZGADO EXHORTANTE FEDERAL NRO. 1 DE TUCUMAN, A CARGO DEL DR. RAUL DANIEL BEJAS, SECRETARIA DE DRECHOS HUMANOS DE LA DRA. MARIA VIRGINIA DUFFY</t>
  </si>
  <si>
    <t>CALLE RUIZ HUIDOBRO 3640 - 6TO. PISO A C.A.B.A.</t>
  </si>
  <si>
    <t>AMPLIANDO PARTE RESERVADO NRO. 1463 DE FECHA 14-MAR-10 ORIGINADO POR LA D.O.C.N. Y D.C. DEL NORTE: INFORMO QUE PERSONAL POLICIAL DE ESTA UNIDAD SE HISO PRESENTE EN EL DOMICILIO INDICADO, QUIENES SON ATENDIDOS POR LA SRA. MARIA ISABEL COSTILLA - DNI. NRO. 12.733.835, NACIDA EL 23/ENE/1957, QUIEN RESULTA SER LA SEÑORA DEL IMPUTADO, INFORMANDO QUE SU MARIDO SE ENCONTRABA DE VIAJE, DICHA INFORMACION FUE CORROBORADA POR EL TESTIGO SR. ALFREDO BIODORO ENCARGADO DEL EDIFICIO EN CUESTION.</t>
  </si>
  <si>
    <t>HOTEL AMERIAN, CALLE RECONQUISTA 699.</t>
  </si>
  <si>
    <t>EL DAMNIFICADO SE DIRIGE HACIA EL SECTOR DE CINTAS DE ARRIBOS DE EQUIPAJES A LOS EFECTOS DE RETIRAR SU EQUIPAJE DESPACHADO. QUE LUEGO DE ESPERARLO POR UNA MEDIA HORA APROXIMADAMENTE Y AL NO DAR CON EL MISMO, SE DIRIGE HACIA EL MOSTRADOR DE RECLAMOS, DONDE LE ES INFORMADO QUE SU VALIJA NO ARRIBO EN ESE VUELO Y QUE EL MISMO LLEGARA EL DIA 24 DE ABRIL, COMO ASI TAMBIEN LE INFORMARON QUE LA VALIJA SERA LLEVADA AL LUGAR EN DONDE EL DENUNCIANTE FIJARA DOMICILIO. QUE EL DIA 24 DE ABRIL, EN EL HOTEL EN DONDE SE ENCONTRABA ALOJADO, EL DENUNCIANTE TOMA CONTACTO CON SU EQUIPAJE Y QUE LUEGO DE APERTURARLO Y REVISARLO, SE PERCATA DEL FALTANTE DE VARIAS DE SUS PERTENENCIAS.</t>
  </si>
  <si>
    <t>AF 418</t>
  </si>
  <si>
    <t>JUZGADO EXHORTANTE: JUZGADO FEDERAL NRO. 1 DE TUCUMAN A CARGO DEL DR. RAUL DANIEL BEJAS - SECRETARIA DE DRECHOS HUMANOS DE LA DRA. MARIA VIRGINIA DUFFY - EXPTE. NRO. 795 Y CONEXOS - CARATULADO: JEFATURA DE POLICIA DE TUCUMAN CCD S/SECUESTROS Y DESAPARICIONES 2DO. GRUPO</t>
  </si>
  <si>
    <t>CALLE FONROUGE 180 LOMAS DE ZAMORA - PCIA. DE BUENOS AIRES</t>
  </si>
  <si>
    <t>AMPLIANDO PARTE RESERVADO NRO. 1463 DE FECHA 14-MAR-2010 ORIGINADO POR LA U.O.C.N. Y D.C. DEL NORTE: INFORMO QUE PERSONAL DE ESTA DIVISION, SE CONSTITUYO EN EL DOMICILIO ANTERIORMENTE SEÑALADO, CONSTATANDOSE QUE EN DICHO INMUEBLE NO HABITA EL IMPUTADO EN AUTOS, PERO SI SU HIJO. SE SIGUE ADELANTE CON LAS INVESTIGACIONES HASTA TANTO DAR CON EL IMPUTADO</t>
  </si>
  <si>
    <t>EXPTE. NRO. 795 Y CONEXOS - CARATULADO: JEFATURA DE POLICIA DE TUCUMAN CCD S/SECUESTROS Y DESAPARICIONES 2DO. GRUPO, JUZGADO EXHORTANTE: FEDERAL NRO. 1 DE TUCUMAN A CARGO DEL DR. RAUL DANIEL BEJAS - SECRETARIA DE DERECHOS HUMANOS DE LA DRA. MARIA VIRGINIA DUFFY.</t>
  </si>
  <si>
    <t>1616/10</t>
  </si>
  <si>
    <t>CALLE E. POLICASTRO NRO. 2471 - P.B. - LOCALIDAD DE ADROGUE - PCIA. BUENOS AIRES</t>
  </si>
  <si>
    <t>AMPLIANDO PARTE RESERVADO NRO. 1463 DE FECHA 14-MAR-2010 ORIGINADO POR LA D.O.C.N. Y D.C. DEL NORTE: EN EL DIA DE LA FECHA PERSONAL DE ESTA UNIDAD, SE CONSTITUYO AL DOMICILIO INDICADO EN EL OFICIO DE REFERENCIA, CONSTATANDOSE QUE LOS DATOS DEL IMPUTADO VERTIDOS POR EL JUZGADO INTERVINIENTE NO CORRESPONDIAN A LA PERSONA EXISTENTE EN EL LUGAR, DATOS OBTENIDOS MEDIANTE FOTOGRAFIAS ENVIADAS POR DICHA SEDE JUDICIAL.</t>
  </si>
  <si>
    <t>CABRAL RUBEN ALEANDRO S/ LEY DE ESTUPEFACIENTES</t>
  </si>
  <si>
    <t>LOCALIDADES DE EL HOYO PROVINCIA DEL CHUBUT, LOCALIDAD DEL BOLSON Y SAN CARLOS DE BARILOCHE EN LA PROVINCIA DE RIO NEGRO Y LOCALIDAD DE EZEIZA ,PROVICIA DE BUENOS AIRES</t>
  </si>
  <si>
    <t>EN EL DIA DE LA FECHA SE RECEPCIONO OFICIO Nº: 693/2010, DE FECHA 23 DE ABRIL DE 2.010, EN EL MARCO DE LA CAUSA 7869/10 DE TRAMITE POR ANTE EL JUZGADO FEDERAL DE SAN CARLOS DE BARILOCHE, DONDE SE HACE SABER QUE SE ENCUENTRA AUTORIZADA ESTA UOCNDC V, A REALIZAR AMPLIAS TAREAS INVESTIGATIVAS, POR EL TERMINO DE 30 DIAS, QUE INCLUYAN OBSERVACIONES Y SEGUIMIENTOS PARA DETERMINAR SI SE REALIZAN ACCIONES EN INFRACCION A LA LEY 23.737. ASIMISMO SE HACE SABER QUE DE ACUERDO EN LO NORMADO EN EL ART. 32, DE LA MENCIONADA LEY SOBRE LAS TAREAS INVESTIGATIVAS A REALIZAR EN LA LOCALIDAD DE EZEIZA, PROVINCIA DE BUENOS AIRES, SE LIBRO OFICIO AL JUZGADO FEDERAL EN LO CRIMINAL Y CORRECCIONAL EN TURNO DE LOMAS DE ZAMORA .</t>
  </si>
  <si>
    <t>VIA PUBLICA- PASAJE H´OGIGUINS Y PASAJE CABILDO- SAN MIGUEL DE TUCUMAN- TUCUMAN.</t>
  </si>
  <si>
    <t>EN EL DIA DE LA FECHA A HS. 14:00 SE PRESENTA LA CIUDADANA RAMONA DEL VALLE GORDILLO, DNI Nº 10.708.676, PERSONAL DE ANAC, QUIEN PRESENTA CONSTANCIA DE DENUNCIA POLICIAL EMITIDA POR LA POLICIA DE LA PROVINCIA DE TUCUMAN, COMISARIA SECCIONAL TRECE, EN LA CUAL SE MANIFIESTA SOBRE EL ROBO EN LA VIA PUBLICA DE UN PERMISO PERSONAL AEROPORTUARIO A SU NOMBRE Nº 331788.</t>
  </si>
  <si>
    <t>LAROTONDA LEONARDO Y OTROS S/DELITO DE ACCION PUBLICA</t>
  </si>
  <si>
    <t>AV. DEL LIBERTADOR N° 2471 , OLIVOS. SAN MARTIN N° 4443 DPTO B, RAMOS MEJIA. COUNTRY EL VENADO, LOTE D 20, CANNING.</t>
  </si>
  <si>
    <t>GRAN BUENOS AIRES</t>
  </si>
  <si>
    <t>SE INVESTIGA EN AUTOS LA ACTIVIDAD DESARROLLADA POR UNA BANDA DELICTIVA QUE CONSISTIRIA EN LA SUSTRACCION DE VEHICULOS EN LA VIA PUBLICA PARA POSTERIORMENTE PROCEDER A LA ADULTERACION DE SU DOCUMENTACION Y/O NUMEROS REGISTRALES, FINALIZANDO CON LA VENTA DE LOS MISMOS MEDIANTE LA FABRICACION DE AUTOMOTORES MELLIZOS O COMERCIALIZANDO SUS AUTOPARTES. POR LO QUE EN EL DIA DE LA FECHA SE REALIZARON TRES ALLANAMIENTOS: EN LA FINCA UBICADA EN LA AV. DEL LIBERTADOR N° 2471 DE OLIVOS, EN LA FINCA UBICADA EN LA CALLE SAN MARTIN 443 DPTO B DE RAMOS MEJIA Y EN LA FINCA UBICADA EN EL LOTE D 20 DEL COUNTRY EL VENADO DE LA LOCALIDAD DE CANNING. REFERENTE ORDEN DE SERVICIO N° 319/10 ORDENADOS POR LA JUDICATURA INTERVINIENTE EN EL MARCO DE LA CAUSA DE REFERENCIA, EN CONJUNTO CON LA POLICIA DE LA PROVINCIA DE BUENOS AIRES. DETALLANDOSE LOS OBJETOS SECUESTRADOS EN EL CAMPO CORRESPONDIENTE.</t>
  </si>
  <si>
    <t>JEFATURA DE POLICIA CCD S/EXHORTO - DEL JUZGADO FEDERAL NRO. 1 DE TUCUMAN A CARGO DEL DR. RAUL DANIEL BEJAS - SECRETARIA DE DERECHOS HUMANOS DE LA DRA. MARIA VIRGINIA DUFFY - EXPTE. NRO. 795/04 Y CONEXOS CARATULADO: JEFATURA DE POLICIA DE TUCUMAN CCD S/SECUESTROS Y DESAPARICIONES 2DO. GRUPO.</t>
  </si>
  <si>
    <t>5252/10</t>
  </si>
  <si>
    <t>AV. BELGRANO 3981 - P.B. - DPTO. 2 - CABA.</t>
  </si>
  <si>
    <t>AMPLIANDO PARTE RESERVADO NRO. 1463 DE FECHA 14-MAR-2010 DE LA U.O.C.N. Y D.C. DEL NORTE: EN EL DIA DE LA FECHA PERSONAL POLICIAL DE ESTA UNIDAD, EN CUMPLIMIENTO A LA ORDEN DE DETENCION EMANADA POR EL JUZGADO INTERVINIENTE, SE HACEN PRESENTE EN EL DOMICILIO INDICADO, PROCEDIENDOSE JUNTO CON LOS TESTIGOS A LA DETENCION DEL CAPITAN RETIRADO DEL EJERCITO ARGENTINO MIGUEL D´ URSI. POSTERIORMENETE SE TRASLADO AL IMPUTADO A LA UNIDAD OPERACIONAL DE SEGURIDAD PREVENTIVA METROPOLITANA A EFECTOS DE PROCEDER CON LA REVISACION MEDICA, TOMA DE FOTOGRAFIAS Y CINCO JUEGOS DE FICHAS DACTILOSCOPICAS. LUEGO ES TRASLADADO POR ORDEN JUDICIAL A LA UNIDAD NRO. 28 DEL SERVICIO PENITENCIARIO FEDERAL A FIN DE QUE DICHO ORGANISMO PROCEDA EN FORMA INMEDIATA Y URGENTE AL TRASLADO A LA CIUDAD DE SAN MIGUEL DE TUCUMAN.</t>
  </si>
  <si>
    <t>FERNANDO ROTA</t>
  </si>
  <si>
    <t>INVESTIGACION PRELIMINAR Nº 15/10</t>
  </si>
  <si>
    <t>CIUDAD DE USHUAIA PROVINCIA DE TIERRA DEL FUEGO, ANTARTIDA E ISLAS DEL ATLANTICO SUR</t>
  </si>
  <si>
    <t>EN EL MARCO DE LA INVESTIGACION PRELIMINAR Nº: 15/10 DE TRAMITE POR ANTE LA FISCALIA FEDERAL DE USHUAIA, SE RECEPCIONO OFICIOI Nº: 126/2.010, DE FECHA 27 DE ABRIL DE 2.010, DONDE SE HACE SABER QUE, HASTA EL MOMENTO, EL JUZGADO FEDERAL DE USHUAIA NO REMITIO LA CAUSA SEGUIDA CONTRA DARIO GABRIEL GUTIERREZ, LA CUAL FUERA REQUERIDA "AD EFFECTUM VIVENDI" Y CON CARÁCTER DE URGENTE , MEDIANTE OFICIO PRESENTADO EL 22 DE ABRIL ULTIMO EN LA MESA DE ENTRADAS DE ESE JUZGADO. ASIMISMO Y A FIN DE QUE ESTA PREVENCION CUENTE CON LOS ELEMENTOS QUE LE PERMITAN COMENZAR CON EL ANALISIS PERTINENTE SE ADJUNTAN AL MISMO JUEGO DE FOTOCOPIAS QUE LA FISCALIA FEDERAL PODSEE EN RESGUARDO, LAS CUALES LLEGAN HASTA LA FOJA 372, HACIENDO SABER ASIMISMO QUE NI BIEN EL JUZGADO FEDERAL CUMPLA CON LA REQUISITORIA EFECTUADA, SE REMITIRAN FOTOCOPIAS DE LAS FOJAS QUE RESTAN.</t>
  </si>
  <si>
    <t>CORAZZA</t>
  </si>
  <si>
    <t>ARNALDO</t>
  </si>
  <si>
    <t>DELIA LIMAUSIN DE SANTIAGO</t>
  </si>
  <si>
    <t>EXPTE. NRO. 795/04 Y CONEXOS - CARATULADO: JEFATURA DE POLICIA DE TUCUMAN CCD S/SECUESTROS Y DESAPARICIONES 2DO. GRUPO, JUZGADO EXHORTANTE: FEDERAL NRO. 1 DE TUCUMAN A CARGO DEL DR. RAUL DANIEL BEJAS - SECRETARIA DE DERECHOS HUMANOS DE LA DRA. MARIA VIRGINIA DUFFY.</t>
  </si>
  <si>
    <t>EXHORTO NRO. 2966/10</t>
  </si>
  <si>
    <t>CALLE NRO. 7 - 1215 - DPTO. 1 LA PLATA - PCIA. DE BUENOS AIRES</t>
  </si>
  <si>
    <t>PERSONAL POLICIAL DE ESTA UNIDAD, EN CUMPLIMIENTO A LA ORDEN DE DETENCION EMANADA POR EL JUZGADO INTERVINIENTE, SE HACEN PRESENTE EN EL DOMICILIO INDICADO, PROCEDIENDOSE JUNTO CON LOS TESTIGOS A LA DETENCION DEL CORONEL RETIRADO DEL EJERCITO ARGENTINO CAMILO COLOTTI. POSTERIORMENTE ES TRASLADADO A LA UNIDAD OPERACIONAL DE SEGURIDAD PREVENTIVA METROPOLITANA A LOS EFECTOS DE PROCEDER CON LA REVISACION MEDICA, TOMA DE FOTOGRAFIAS Y CINCO JUEGOS DE FICHAS DACTILOSCOPICAS. LUEGO ES TRASLADADO POR ORDEN JUDICIAL A LA UNIDAD NRO. 28 DEL SERVICIO PENITENCIARIO FEDERAL A FIN DE QUE DICHO ORGANISMO EN FORMA INMEDIATA Y URGENTE, TRASLADE AL IMPUTADO A LA CIUDAD DE SAN MIGUEL DE TUCUMAN.</t>
  </si>
  <si>
    <t>2495/10</t>
  </si>
  <si>
    <t>POR INCONVENIENTES CON EL SISTEMA SE ENVIA NUEVAMENTE EL PRESENTE: AMPLIANDO PARTE RESERVADO NRO. 1463 DE FECHA 14-MAR-2010 DE LA D.O.C.N. Y D.C. DEL NORTE: EN EL DIA DE LA FECHA SE HACE PRESENTE PERSONAL POLICIAL DE ESTA UNIDAD EN EL DOMICILIO ANTERIORMENTE INDICADO, DE ACUERDO A LO ORDENADO POR EL JUZGADO INTERVINIENTE MEDIANTE OFICIO JUDICIAL, DONDE FUERON ATENDIDOS POR LA SRA. RENE MABEL SIDELNIK - DNI NRO. 5.681.429, QUIEN MANIFIESTA SER LA SEÑORA DEL IMPUTADO EN AUTOS, INFORMANDO QUE HACE APROXIMADAMENTE 4 MESES QUE SU MARIDO NO VIVE MAS ALLI, PRODUCTO DE UNA DISCUCION, ESTE TESTIMONIO FUE CORROBORADO POR EL SR. CARLOS GALLO ENCARGADO DEL EDIFICIO, LUEGO DE QUE UNA COMISION POLICIAL LO NOTIFICARA ANTERIORMENTE.</t>
  </si>
  <si>
    <t>2496/10</t>
  </si>
  <si>
    <t>POR INCONVENIENTES EN EL SISTEMA SE ENVIA NUEVAMENTE EL PRESENTE: AMPLIANDO PARTE RESERVADO NRO. 1463 DE FECHA 14-MAR-10 ORIGINADO POR LA D.O.C.N. Y D.C. DEL NORTE: INFORMO QUE PERSONAL POLICIAL DE ESTA UNIDAD SE HISO PRESENTE EN EL DOMICILIO INDICADO, QUIENES SON ATENDIDOS POR LA SRA. MARIA ISABEL COSTILLA - DNI. NRO. 12.733.835, NACIDA EL 23/ENE/1957, QUIEN RESULTA SER LA SEÑORA DEL IMPUTADO, INFORMANDO QUE SU MARIDO SE ENCONTRABA DE VIAJE, DICHA INFORMACION FUE CORROBORADA POR EL TESTIGO SR. ALFREDO BIODORO ENCARGADO DEL EDIFICIO EN CUESTION.</t>
  </si>
  <si>
    <t>SECRETARIA Nº 22</t>
  </si>
  <si>
    <t>DRA. LAURA MARIA CHARNIS</t>
  </si>
  <si>
    <t>PUESTO PAMPA</t>
  </si>
  <si>
    <t>EXTREMO NORTE SOBRE CALLE PAMPA</t>
  </si>
  <si>
    <t>SIENDO LA FECHA Y HORA MENCIONADA, EN MOMENTOS DE ESTAR DESARROLLÁNDOSE UN OPERATIVO DE CONTROL DE RUTINA EN EL PUNTO DE INGRESO Y EGRESO DE TRANSPORTES DENOMINADO PUESTO PAMPA, AL PASAR UNO DE LOS EMPLEADOS DE LA EMPRESA ARSA SU BOLSO POR LA MAQUINA DE RAYOS SCAN VAN Y AL EFECTUARLE UN CHEQUEO MANUAL EL OFICIAL NISI, NOTO UNA PROTUBERANCIA EN EL BOLSILLO DERECHO DELANTERO DE SU PANTALÓN A LO CUAL LE SOLICITO QUE EXHIBA EL CONTENIDO RESULTANDO SER ESTE UNA BOLSITA DE NYLON TRANSPARENTE, LA CUAL SE ENCONTRABA DENTRO DE UNA MARQUILLA DE CIGARRILLOS, Y QUE CONTENÍA EN SU INTERIOR UNA SUSTANCIA DE CONSISTENCIA PASTOSA, AL PREGUNTARLE POR EL ORIGEN DE LA SUSTANCIA, EL CAUSANTE MANIFESTÓ QUE SE TRATABA DE MARIHUANA. LUEGO SE CONVOCAN AL LUGAR DOS TESTIGOS HÁBILES, Y FINALMENTE SE HIZO PRESENTE EN DICHO PUESTO LA PERITO DE TURNO Y EFECTUO A LA SUSTANCIA UN REACTIVO QUIMICO MARCA NIK EL CUAL ARROJO RESULTADO POSITIVO PARA MARIHUANA. EN HORAS 15:30, SE ENTABLO COMUNICACIÓN TELEFONICA CON LA JUDICATURA INTERVINIENTE QUIEN ORDENO LA DETENCIÓN Y CON LOS RESULTADOS DE REINCIDENCIA E INTERPOL, DE NO MEDIAR IMPEDIMENTOS LEGALES VIGENTES, PROCEDER A LA LIBERACIÓN. SEGUIDAMENTE SE COMENZÓ CON LAS ACTUACIONES DE RIGOR. SEGUN AMPLIACION PU 2519 SIENDO LAS 23:49 HS DEL DIA 27 DE ABRIL DE 2010, POR NO MEDIAR IMPEDIMENTO LEGAL SEGUN RESULTADOS OBTENIDOS POR LA DIRECCION NACIONAL DE REINCIDENCIA SE PROCEDE A LA SOLTURA DEL DETENIDO, SIN NOVEDAD.</t>
  </si>
  <si>
    <t>2443/10</t>
  </si>
  <si>
    <t>EL DIA 27-ABR-10 SE RECEPCIONO MEMORANDO N° 878/10 EMITIDO LA URSA II DEL CENTRO MEDIANTE EL CUAL SE ELEVO FOTOCOPIA SIMPLE DE OFICIO JUDICIAL DE FECHA 27-ABR-10 EMITIDO POR LA UNIDAD FUNCIONAL DE INSTRUCCION NRO. 01 DESCENTRALIZADA DE EZEIZA A CARGO DEL AGENTE FISCAL DRA. MARIA E. GARRIDO CON IPP NRO. 07-01-002997-10 INSTRUIDA POR EL DELITO DE TENTATIVA DE ROBO CALIFICADIO POR EL EMPLEO DE ARMAS, MEDIANTE EL CUAL SE ORDENA SE ARBITREN LOS MEDIOS NECESARIOS A FIN DE LLEVAR A CABO LAS PERICIAS PERTINENTES RESPECTO DEL VEHICULO CAMION MARCA VOLSKSWAGEN MODELO COTELATION 19-320 DOMINIO HJU-379 PARA PROCEDER AL SECUESTRO DEL PROYECTIL DE ARMA DE FUEGO QUE SE ENCUENTRA ALOJADO EN EL INTERIOR DEL TANQUE PRINCIPAL DE COMBUSTIBLE DEL CITADO RODADO, LABRANDOSE LAS ACTUACIONES CORRESPONDIENTES Y FINALIZADAS LAS MISMAS SEAN REMITIDAS A LA SEDE JUDICIAL DE REFERENCIA. DE ESTA FORMA SE RECTIFICA OFICIO JUDICIAL DE FECHA 23-ABR-10 EMITIDO POR LA MISMA CAUSA E INSTRUCCION, EL CUAL FUERA ELEVADO OPORTUNAMENTE POR LA U.R.S.A. II DEL CENTRO A ESTA U.O.S.P MEDIANTE MEMORANDO NRO. 859/10, POR CONTENER EL MISMO UN ERROR EN EL DOMINIO DEL RODADO A PERITAR.///////////////SEGUN PU 2530 EN EL DIA DE LA FECHA PERSONAL DE LA UNIDAD OPERACIONAL DA CUMPLIMIENTO A LA ORDEN DE SERVICIO N 078/10 DE FECHA 28 ABR 10 REALIZANDO LA PERICIA A VEHICULO CAMION MARCA VOLKSWAGEN MODELO COTELATION 19-320 DOMINIO HJU 379, A FINES DE EXTRAER UN PROYECTIL DE ARMA DE FUEGO QUE SE ENCUENTRA EN EL INTERIOR DEL TANQUE DE COMBUSTIBLE DEL CITADO RODADO, QUE FUERA ORDENADO POR LA UNIDAD FUNCIONAL DE INSTRUCCION N° 1 ESCENTRALIZADA DE EZEIZA SEGUN FOTOCOPIA SIMPLE DE OFICIO JUDICIAL DE FECHA 27 ABR 10 EN LOS AUTOS CARATULADOS TENTATIVA DE ROBO CALIFICADO POR EL EMPLEO DE ARMAS. PARA TAL FIN LA COMISION SE HIZO PRESENTE EN LA AVENIDA MALAGUEÑO 4500 BARRIO FERREYRA DE LA CIUDAD DE CORDOBA, PREDIO PERTENECIENTE A LA EMPRESA RIGAR S.R.L. DONDE SE ENCONTRABA ESTACIONADO EL CAMION. A LAS 10:50 HRS APROXIMADAMENTE PERSONAL DEL TALLER DE MANTENIMIENTO DE LA EMPRESA RETIRO EL TANQUE DE MATERIAL PLASTICO DEL LATERAL DEL RODADO Y LUEGO DE VACIAR EL CONTENIDO DE COMBUSTIBLE SE EXTRAJO DICHO PROYECTIL COLOR DORADO, GUARDANDOSE EL MISMO EN UN SOBRE PAPEL MADERA SELLADO, LACRADO Y FIRMADO POR LOS INTERVINIENTES E IDENTIFICADO CON LA LETRA -A- . ACTO SEGUIDO, SIENDO LAS 11:45 HRS. LA COMISION REGRESA A LA UNIDAD OPERACIONAL SIN NOVEDAD. SE AMPLIO CON PARTE URGENTE 2530</t>
  </si>
  <si>
    <t>FEDERAL Nº 3 DE ROSARIO</t>
  </si>
  <si>
    <t>VILLATTE ADOLFO</t>
  </si>
  <si>
    <t>SRIO AV LEY 23737 -IMP ......-</t>
  </si>
  <si>
    <t>542/2008</t>
  </si>
  <si>
    <t>SRIO AV LEY 23737 -CALLE BOLIVIA-</t>
  </si>
  <si>
    <t>INVESTIGACION DELEGADA EN DICIEMBRE DE 2008 POR OFICIO NRO. 1484 DE LA FISCALIA FEDERAL NRO. 2 DE ROSARIO, A/C DRA LILIANA BETTIOLO, DONDE ORDENO INVESTIGAR A DOS HERMANOS QUE HABITAN UNA VIVIENDA DE CALLE BOLIVIA A LA ALTURA DEL 2200 EN LA CIUDAD DE ROSARIO, DONDE COMERCIALIZARIAN ESTUPEFACIENTE. LAS TAREAS INVESTIGATIVAS SE ESTABLECIERON EN ORDEN DE SERVICIO NRO. 203/08, DEL 18/12/2008, URSA IV DEL LITORAL. EN EL TRANSCURSO DE LA INVESTIGACION SE INDIVIDUALIZARON A LOS HERMANOS EN EL DOMICILIO MENCIONADO EN LA DENUNCIA, SIN CORROBORARSE LOS HECHOS QUE DIERAN ORIGEN A LA INVESTIGACION. EN EL DIA DE LA FECHA LA FISCALIA FEDERAL A CARGO DE LA INSTRUCCION, CONFORME AL ART 196 C.P.P.N., INFORMA QUE CON FECHA 12 DE ABRIL DEL CORRIENTE AÑO POR RESOLUCION NRO. 501 DEL JUZGADO FEDERAL NRO 3 DE ROSARIO, ORDENÓ EL ARCHIVO DE LA PRESENTE INVESTIGACION.</t>
  </si>
  <si>
    <t>ESTACIONAMIENTO DE SCAN-VAN</t>
  </si>
  <si>
    <t>PLATAFORMA PATIO DE VALIJAS</t>
  </si>
  <si>
    <t>SE PROCEDE A LA RETENCION DE DOS SACAS COLECTORAS DEL CORREO OFICIAL, SEGUN CONSTA EN ACTA DE RETENCION DE CARGAS Nº 204/10, QUE ORIGINA LA PREVENCION SUMARIA Nº 047/10. LA PRIMERA IDENTIFICADA CON MARBETE, SLA9125562E555700RGL, PRECINTO Nº C772396, CON UN PESO DECLARADO DE 12,00 KGS. CON DESTINO LA CIUDAD DE RIO GALLEGOS, LA SEGUNDA SACA IDENTIFICADA CON MARBETE SLA0172970E555600CRD, PRECINTO Nº J045661, CON UN PESO DECLARADO DE 14,400 KGS., CON DESTINO LA CIUDAD DE COMODORO RIVADAVIA, LAS QUE SERIAN DESPACHADAS A TRAVES DE LA EMPRESA DE CARGA AEREA LAN CARGO, LA RETENCION SE REALIZA ANTE LA PRESUNCION DE QUE PUDIERAN CONTENER EN SU INTERIOR ALGUN ELEMENTO EN INFRACCION A LA LEY 22.415 Y/O 23.737, QUEDANDO LAS MISMAS CERRADAS Y PRECINTADAS EN GUARDA EN ESTA UOSP. SE COMUNICO TELEFONICAMENTE AL JUZGADO INTERVINIENTE Y LAS APERTURAS SE REALIZARAN EN PRESENCIA DEL PERSONAL DEL CORREO OFICIAL.</t>
  </si>
  <si>
    <t>CINTA TRANSPORTADORA DE EQUIPAJE NUMERO CINCO</t>
  </si>
  <si>
    <t>QUE ARRIBADA A ESTA AEROSTACION, LUEGO DE REALIZAR LOS TRAMITES MIGRATORIOS DE RIGOR, SE DIRIGE HACIA LA CINTA TRANSPORTADORA DE EQUIPAJES, LUGAR DONDE RETIRA SUS EQUIPAJES DESPACHADOS A BODEGA, PERCATANDOSE QUE UNA VALIJA DE SU PROPIEDAD, SE ENCONTRABA CON LA COSTURA CORTADA EN EL SECTOR DE CIERRE, POR LO QUE PROCEDE A APERTURAR LA MISMA Y CONSTATA EL FALTANTE, REALIZANDO POSTERIORMENTE LOS TRAMITES DE RECLAMO. EN EL DIA DE LA FECHA SE HIZO PRESENTE EN ESTE MEDIO A RADICAR LA DENUNCIA PENAL ,YA QUE EL HECHO FUE EL 11/02/2010</t>
  </si>
  <si>
    <t>EN CUMPLIMIENTO DE LA ORDEN DE SERVICIO NRO. 0032/10 Y SIENDO LAS 22:15 HORAS LOCAL ARRIBA AERONAVE MD 83, MATRICULA LV-BOA PERTENECIENTE A LA EMPRESA AUSTRAL LINEAS AEREAS Y EN CUYAS BODEGAS 3, 4 Y 5 SE EMBARCAN UN TOTAL DE 121 SACAS CON UN PESO DE 2400 KILOGRAMOS DE METAL- MTD- PERTENACIENTES A LA EMPRESA CERRO VANGUARDIA, CON DESTINO AL AEROPUERTO JORGE NEWBERY DE CAPITAL FEDERAL. EL MISMO DESPEGA A LAS 23:10 HORAS LOCAL.</t>
  </si>
  <si>
    <t>FISCALIA FEDERAL LA RIOJA</t>
  </si>
  <si>
    <t>GRANILLO VALDEZ VIRGINIA</t>
  </si>
  <si>
    <t>HURTO DE TULIPA</t>
  </si>
  <si>
    <t>CABECERA 21 NORTE</t>
  </si>
  <si>
    <t>EN EL DIA DE LA FECHA PERSONAL DE A.A.2000 EN RECORRIDO DE PISTA PROGRAMADO DETECTO EL FALTANTE DE UNA TULIPA CORRESPONDIENTE A LA BALIZA N° 9 DE LA PISTA DE ATERRIZAJE DE ESTE AERODROMO EL DIA 28 DE ABRIL SE LABRA ACTA DEJANDO CONSTANCIA YA QUE LA SRA. ESTELA MERCEDES GOMEZ D.N.I. Nº 23.889.913 EMPLEADA DE AEROPUERTOS 2000 PRODECE A DESESTIMAR LA DENUNCIA REALIZADA YA QUE EN UNA NUEVA RECORRIDA SE DETECTAN RESTOS DE LA BALIZA SOBRE EL SUELO.</t>
  </si>
  <si>
    <t>CARLOS RAUL GARCILAZO</t>
  </si>
  <si>
    <t>EXORTO DEL SR JUEZ FEDERAL SUBROGANTE DR RAUL DANIEL BEJAS A CARGO DEL JUZGADO FEDERAL NRO 1 DE SAN MIGUEL DE TUCUMAN - SECRETARIA DE DERECHOS HUMANOS , LIBRADO EN LA CAUSA CARATULADA - JEFATURA DE POLICIA CCD S/ SECUERTO Y DESAPARICIONES - 2DO GRUPO - EXPTE 795/04 Y CONEXOS-</t>
  </si>
  <si>
    <t>EXP Nº 5380-131-2010</t>
  </si>
  <si>
    <t>TENIENTE CORONEL PEREZ ESQUINA LA UNION CASA NRO 48</t>
  </si>
  <si>
    <t>CIUDAD DE SAN MARTIN DE LOS ANDES</t>
  </si>
  <si>
    <t>SIENDO LAS 20:40 DEL DIA DE LA FECHA SE PROCEDE DAR CUMPLIMIENTO A OFICIO JUDICIAL NRO 369/10 PROCEDENTE DEL JUZGADO FEDERAL DE PRIMERA INSTANCIA DE LA CIUDAD DE ZAPALA A CARGO DEL DR RUBEN OMAR CARO, SECRETARIA PENAL A CARGO DEL DR CARLOS RAUL GARCILAZO, POR MEDIO DEL CUAL SE ORDENA LA DETENCION DEL CIUDADANO JUAN BAUTISTA DURAN DNI 11.472.651 EN CARACTER DE COMUNICADO Y SU POSTERIOR TRASLADO A DEPENDENCIAS DEL JUZGADO ACTUANTE A LOS EFECTOS DE SER PUESTO A DISPOSICION DEL TRIBUNAL INTERVINIENTE. EL TRASLADO DEL SEÑOR DURAN SERA EFECTUADO A PARTIR DE LAS 04:00 HS DEL DIA 28 DE ABRIL DEL CORRIENTE AÑO EN MOVIL DE DOTACION DE LA URSA V DE LA PATAGONIA SEGUN PU 2532 ORDENA S.S. DR RUBEN OMAR CARO DISPONE LA INMEDIATA LIBERTAD DEL CIUDADANO JUAN BAUTISTA DURAN DNI 11.472.651. ASIMISMO SE INFORMA QUE LAS ACTUACIONES REALIZADAS SERA REMITIDAS AL JUZGADO FEDERAL NRO 1 DE LA CIUDAD DE RAUL DANIEL BEJAS, SECRETARIA DE DERECHOS HUMANOS A CARGO DE LA DRA VIRGINIA</t>
  </si>
  <si>
    <t>2510/10</t>
  </si>
  <si>
    <t>HALL PUBLICO TERMINAL C</t>
  </si>
  <si>
    <t>SIENDO LAS 23:49 HS DEL DIA 27 DE ABRIL DE 2010, POR NO MEDIAR IMPEDIMENTO LEGAL SEGUN RESULTADOS OBTENIDOS POR LA DIRECCION NACIONAL DE REINCIDENCIA SE PROCEDE A LA SOLTURA DEL DETENIDO, SIN NOVEDAD.</t>
  </si>
  <si>
    <t>EN CUMPLIMIENTO DE LA ORDEN DE SERVICIO NRO. 0032/10 Y SIENDO LAS 01:15 HORAS LOCAL ARRIBA AERONAVE AIR BUS A 320, MATRICULA LV-BRA PERTENECIENTE A LA EMPRESA LAN ARGENTINA Y EN CUYAS BODEGAS SE EMBARCAN UN TOTAL DE 120 BULTOS CON UN PESO DE 2700 KILOGRAMOS DE METAL-MTD- PERTENECIENTES A LA EMPRESA MINERA CERRO VANGUARDIA CON DESTINO EL AEROPUERTO JORGE NEWBERY DE CAPITAL FEDERAL. DESPEGA EL MISMO A LAS 03:12 HORAS LOCAL.</t>
  </si>
  <si>
    <t>AROMAS COLORANTES DE LOS ANDES S.A.C. S/AVERIGUACION INFRACCION LEY 23.737</t>
  </si>
  <si>
    <t>N°20.478</t>
  </si>
  <si>
    <t>EN EL DIA DE LA FECHA SE RECEPCIONA OFICIO JUDICIAL SOLICITANDO QUE LA MERCADERIA SECUESTRADA EN DICHA CAUSA DEBERÁ SER ENTREGADA A LA ADUANA A FIN DE SER SOMETIDA A LOS CORRESPONDIENTES CONTROLES ADUANEROS, LA QUE EN CASO DE CORRESPONDER HARA ENTREGA DE LA MISMA A LA FIRMA ALFA ARGENTINA S.A. O A QUIEN CORRESPONDA, CABE ACLARAR QUE LA MISMA ES LA PROSECUCIÓN DE LA CAUSA INTERNA -AROMAS COLORANTES DE LOS ANDES SAC ALFA ARGENTINA S/AVERIGUACIÓN DE CONTRABANDO- PREVENCION SUMARIAL N°130-A-09 DE FECHA 29 DE MARZO DE 2010 JUZGADO INTERVINIENTE NACIONAL EN LO PENAL ECONOMICO N°07 S.SA. DR RAFAEL CAPUTO, SECRETARIA N°13 DRA MARIANA DUFFAU, FISCALIA N°4 DRA. MARIA LUZ RIVAS DIEZ, SECRETARIA DRA. XIMENA RODRIGUEZ FONTELA</t>
  </si>
  <si>
    <t>642/10</t>
  </si>
  <si>
    <t>EN EL DIA DE FECHA, SE PRESENTA EL OF.SUB-AYTE. PABLO LEAL, LEGAJO Nº 16703 DE LA POLICIA DE LA PROVINCIA DE SALTA, PARA DAR CUMPLIMIENTO, AL OFICIO JUDICIAL S/N,DE LA FISCALIA CORRECCIONAL Nº 6, A CARGO DEL DR.RODRIGO GONZALEZ MIRALPEIX, DEL MINISTERIO PUBLICO DE LA PROVINCIA DE SALTA, PARA RETIRAR UN ARMAMENTO, SEGUN CONSTA EN ACTA DE ENTREGA Nº 205/10, IDENTIFICADO COMO:REVOLVER CALIBRE 22MM.CORTO,MARCA ITALO CON NUMERACION VISIBLE Nº 6856, Y SEIS MUNICIONES CAL.22MM.CON PUNTA DE PLOMO. EL MENCIONADO ARMAMENTO FUE SECUESTRADO EL 04/02/10 SEGUN ACTA DE SECUESTRO Nº 031/10, QUE ORIGINÓ LA PREVENCION SUMARIA Nº 08/10, REGISTRO INTERNO DE ESTA UNIDAD OPERACIONAL. LA INTERVENCION EN LA CAUSA DEL MINISTERIO PUBLICO PROVINCIAL, SE PRODUJO EN VIRTUD DE LO DISPUESTO POR EL MAGISTRADO FEDERAL QUE INTRUYE EN LA MISMA.</t>
  </si>
  <si>
    <t>LEGAJO DE: ORTEGA ARANCIBIA, JOSE EDWIN</t>
  </si>
  <si>
    <t>2308/10</t>
  </si>
  <si>
    <t>PUERTA Nº 3, PREEMBARQUE INTERNACIONAL</t>
  </si>
  <si>
    <t>SE PRESENTA EL SUB-OFICIAL DE G.N. MANUEL MIRANDA, CON EL CIUDADANO DE NACIONALIDAD BOLIVIANA, JOSE EDWIN, ORTEGA ARANCIBIA, SOBRE QUIEN RECAYERA LA DISPOSICION 51006/10, DEL REGISTRO DE LA DIRECCION NACIONAL DE MIGRACIONES, EN DONDE SE DISPONE LA EXPULSION DEL TERRITORIO NACIONAL C/PROHIBICION DE REINGRESO EN CARACTER PERMANENTE, ORDENADO POR EL JUZGADO DE EJECUCION DE SENTENCIA DEL TRIBUNAL ORAL CRIMINAL FEDERAL DE SALTA.SE DA CUMPLIMIENTO A ORDEN DE SERVICIO Nº 074/10 S/N, CON LA COLABORACION DE DOS EFECTIVOS DE LA UOESA DEL NORTE.</t>
  </si>
  <si>
    <t>POSICIÓN DE ESTACIONAMIENTO Nº 13.</t>
  </si>
  <si>
    <t>ATENTO A ORDEN DE SERVICION 126/10 SIENDO LAS 13:20 ATERRIZÒ EL HÈRCULES C130 DE FUERZA AÉREA ARGENTINA, MATRÍCULA TC69, TRANSPORTANDO QUINCE TACHOS CON MONEDAS DEL BANCO CENTRAL DE LA REPÚBLICA ARGENTINA. SE PROCEDIÓ A REALIZAR EL CONTROL PREVENTIVO DE SEGURIDAD JUNTO AL PERSONAL DE LA UOESA II DEL CENTRO. INGRESARON A PLATAFORMA DOS CAMIONES Y UN VEHÍCULO MONTACARGAS. LUEGO DE FINALIZADA LA DESCARGA LOS VEHÍCULOS SE RETIRARON DE LA AEROESTACIÓN Y LA AERONAVE DESPEGÓ SIN NOVEDAD.</t>
  </si>
  <si>
    <t>REFERENTE A ORDEN DE SERVICIO 002/2010 PRODUCIDA POR ESTA UNIDAD OPERACIONAL SAN LUIS, INFORMO EN EL DIA DE LA FECHA, ARRIBA A ESTE AEROPUERTO SAN LUIS EL SEÑOR EMBAJADOR DE LOS ESTADOS UNIDOS MEXICANOS S. E. DON FRANCISCO DEL RIO Y COMITIVA, LUEGO DE SER RECIBIDO POR PERSONAL DE CEREMONIAL Y PROTOCOLO DEL GOBIERNO DE LA PROVINCIA DE SAN LUIS, SE RETIRAN DE LA JURISDICCION SIN NOVEDAD.</t>
  </si>
  <si>
    <t>2450/10</t>
  </si>
  <si>
    <t>SIENDO LAS 13:00 HORAS DEL DÍA 26 DEL MES DE ABRIL DE 2010, SE PROCEDE AL CIERRE Y ELEVACION DE ACTUACIONES, ENTREGANDO EN DICHO ACTO ELEMENTOS SECUESTRADOS DE INTERES PARA LA CAUSA, Y EFECTOS PERSONALES DEL SEÑOR BERGKOTTE LEVENT AL JUZGADO FEDERAL DE SAN CARLOS DE BARILOCHE, ASIMISMO POSTERIOR A LA ENTREGA MENCIONADA SE RECEPCIONA OFICIO Nº 702/10 ORDEN DE REGISTRO HABITACION Nº 211 DEL HOTEL PREMIER DE ESTA CIUDAD , Y OFICIO Nº 703/10 ORDEN DE REGISTRO DEL AUTOMOTOR CHEVROLET CORSA DOMINIO IDL-282. SIENDO LAS 13:15 HORAS SE CONSTITUYE EL PREVENTOR DE LA CAUSA EN EL HOTEL MENCIONADO, EFECTUANDO EL REGISTRO ORDENADO, PORCEDIENDO AL SECUESTRO Y RETENCION DE ELEMENTOS QUE CONSTAN EN ACTA DE PROCEDIMIENTO 222/2010, LOS CUALES FUERON REMITIDOS AL JUZGADO FEDERAL. SIENDO LAS 16:30 SUBINSPECTOR RODRIGUEZ PROCEDE AL REGISTRO DEL VEHICULO DE MENCION, SECUESTRANDO ELEMENTOS QUE CONSTAN EN ACTA DE PROCEDIMENTO Nº 223/2010, LOS CUALES SON REMITIDOS AL JUZGADO INTERVINIENTE EL DÍA 27 DE ABRIL. EN MISMA FECHA SON RECEPCIONADOS OFICIOS Nº 706/2010 EL CUAL OREDENA LA REVOCACION DE LA ENTREGA A LOS FAMILIARES, DEL CUERPO DE QUIEN EN VIDA FUERA ALASDAIR WHEWELL Y SU TRASLADO A LA MORGUE JUDICIAL, DILIGENCIA QUE FUE CUMPLIMENTADA EN HORAS DE LA TARDE DEL MISMO DÌA, CONSTANDO EN ACTA DE PROCEDIMIENTO Nº 228/2010; OFICIO Nº 712/2010 EL QUE DISPONE SE PROCEDA A LA REMOCION Y TRASLADO A DEPENDENCIAS DE ÉSTA UOSP DE LOS RESTOS DE LA AERONAVE SINIESTRADA, DANDOSE CUMPLIMIENTO AL MISMO EL DÌA 28 SEGÚN CONSTA EN ACTA DE PROCEDIMIENTO Nº 230/2010; OFICIO Nº 712/2010 SOBRE INVESTIGACION PARA ESTABLECER DONDE LEVENT BERGKOTTE ADQUIRIÓ UNA NAVAJA Y UN AEROSOL DE GAS PIMIENTA, HECHO QUE FUE CUMPLIMENTADO EL DÌA 28 DE ABRIL Y QUE CONSTA EN NOTA Nº 117/2010 DE LA UOCN Y DC V DE LA PATAGONIA, SIENDO LAS 14:00 HORAS SE ELEVAN AL JUZGADO FEDERAL A SOLICITUD DE ÉSTE, UN CD CON FOTOGRAFÍAS DIGITALES EN RELACION A LA CAUSA, ACTA DE PROCEDIMIENTO Nº 228/2010, ACTA DE PROCEDIMIENTO Nº 230/2010, NOTA Nº 117/2010 Y ACTA DE CONSTATACION. ALA TOTALIDAD DE LOS OFICIOS MENCIONADOS PRESEDENTEMENTE SE ENCUENTRAN EN EL MARCO DE LA CAUSA Nº 7932/2010 CARATULADA "WHEWELL ALASDAIR Y OTRO S/ ACCIDENTE AÉREO", QUE SE TRAMITA POR ANTE LE JUZGADO FEDERAL DE SAN CARLOS DE BARILOCHE A CARGO DEL DOCTOR LEONIDAS MOLDES.</t>
  </si>
  <si>
    <t>DRA. MARIA E GARRIDO</t>
  </si>
  <si>
    <t>IPP:07-01-002997-10</t>
  </si>
  <si>
    <t>EN EL DIA DE LA FECHA PERSONAL DE LA UNIDAD OPERACIONAL DA CUMPLIMIENTO A LA ORDEN DE SERVICIO N 078/10 DE FECHA 28 ABR 10 REALIZANDO LA PERICIA A VEHICULO CAMION MARCA VOLKSWAGEN MODELO COTELATION 19-320 DOMINIO HJU 379, A FINES DE EXTRAER UN PROYECTIL DE ARMA DE FUEGO QUE SE ENCUENTRA EN EL INTERIOR DEL TANQUE DE COMBUSTIBLE DEL CITADO RODADO, QUE FUERA ORDENADO POR LA UNIDAD FUNCIONAL DE INSTRUCCION N° 1 DESCENTRALIZADA DE EZEIZA SEGUN FOTOCOPIA SIMPLE DE OFICIO JUDICIAL DE FECHA 27 ABR 10 EN LOS AUTOS CARATULADOS TENTATIVA DE ROBO CALIFICADO POR EL EMPLEO DE ARMAS. PARA TAL FIN LA COMISION SE HIZO PRESENTE EN LA AVENIDA MALAGUEÑO 4500 BARRIO FERREYRA DE LA CIUDAD DE CORDOBA, PREDIO PERTENECIENTE A LA EMPRESA RIGAR S.R.L. DONDE SE ENCONTRABA ESTACIONADO EL CAMION. A LAS 10:50 HRS APROXIMADAMENTE PERSONAL DEL TALLER DE MANTENIMIENTO DE LA EMPRESA RETIRO EL TANQUE DE MATERIAL PLASTICO DEL LATERAL DEL RODADO Y LUEGO DE VACIAR EL CONTENIDO DE COMBUSTIBLE SE EXTRAJO DICHO PROYECTIL COLOR DORADO, GUARDANDOSE EL MISMO EN UN SOBRE PAPEL MADERA SELLADO, LACRADO Y FIRMADO POR LOS INTERVINIENTES E IDENTIFICADO CON LA LETRA -A- . ACTO SEGUIDO, SIENDO LAS 11:45 HRS. LA COMISION REGRESA A LA UNIDAD OPERACIONAL SIN NOVEDAD.</t>
  </si>
  <si>
    <t>SEBASTIAN EDUARDO MARTINEZ</t>
  </si>
  <si>
    <t>SIENDO LA HORA Y FECHA CONSIGNADA ANTERIORMENTE SE HACE PRESENTE EL DENUNCIANTE, MANIFESTANDO QUE EL DIA 25 DEL CORRIENTE DESPACHO POR BODEGA EN EL AEROPUERTO DE LA CIUDAD DE PUNTA DEL ESTE SU EQUIPAJE, UNA VEZ ARRIBADO A BUENOS AIRES RETIRO SU EQUIPAJE Y SE RETIRO A SU DOMICILIO EN DONDE SE PERCATO QUE EL CANDADO DE SU VALIJA, HABIA SIDO VIOLENTADO Y AL REVISAR SUS PERTENENCIAS SE PERCATA DEL FALTANTE DE DOS PARES DE ZAPATILLAS. POR TAL MOTIVO SE HACE PRESENTE EN EL DIA DE LA FECHA A RADICAR SU DENUNCIA. SIENDO LAS 16:35 SE MANTIENE COMUNICACION TELEFONICA CON LA JUDICATURA ACTUANTE, QUIEN DISPONE SE REALICEN LAS ACTUACIONES DE RIGOR.</t>
  </si>
  <si>
    <t>AR1237</t>
  </si>
  <si>
    <t>EXORTO DEL SR JUEZ FEDERAL SUBROGANTE DR RAUL DANIEL BEJAS A CARGO DEL JUZGADO FEDERAL NRO 1 DE SAN MIGUEL DE TUCUMAN - SECRETARIA DE DERECHOS HUMANOS, LIBRADO EN LA CAUSA CARATULADA - JEFATURA DE POLICIA DE POLICIA CCD S/ SECUESTRO Y DESAPARICIONES - 2DO GRUPO - EXPTE 795/04 Y CONEXOS -</t>
  </si>
  <si>
    <t>5380-131-2010</t>
  </si>
  <si>
    <t>JUZGADO FEDERAL DE PRIMERA INSTANCIA DE LA CIUDAD DE ZAPALA</t>
  </si>
  <si>
    <t>CIUDAD DE ZAPALA</t>
  </si>
  <si>
    <t>SIENDO LAS 12:00 DEL DIA DE LA FECHA, S.S. DR RUBEN OMAR CARO DISPONE LA INMEDIATA LIBERTAD DEL CIUDADANO JUAN BAUTISTA DURAN DNI 11.472.651. ASIMISMO SE INFORMA QUE LAS ACTUACIONES REALIZADAS SERA REMITIDAS AL JUZGADO FEDERAL NRO 1 DE LA CIUDAD DE RAUL DANIEL BEJAS, SECRETARIA DE DERECHOS HUMANOS A CARGO DE LA DRA VIRGINIA DUFFY.</t>
  </si>
  <si>
    <t>DRA LILIANA NAVARRO</t>
  </si>
  <si>
    <t>- SCAN VAN SECTOR PATIO DE VALIJAS</t>
  </si>
  <si>
    <t>EN EL DIA DE LA FECHA EL JEFE DE TURNO DE ESTA UNIDAD OPERACIONAL ,CONFECCIONA ACTA DE PROCEDIMIENTO EN VIRTUD QUE SIENDO LAS 16:30HORAS APROXIMADAMENTE, EL OFICIAL PRINCIPAL RENE EDUARDO VALVERDI, MIENTRAS SE ENCONTRABA EN UN CONTROL DE RUTINA EN EL PATIO DE VALIJAS, PUESTO DENOMINADO SCAN VAN, DEL VUELO Nº 943 DE LA EMPRESA LAN CHILE CON DESTINO A LA CIUDAD MILÁN, ITALIA, VÍA SANTIAGO DE CHILE Y MADRID, OBSERVA A TRAVÉS DEL MONITOR DE RX QUE DENTRO DE UNA CAJA COLOR NEGRA PLÁSTICA DE APROXIMADAMENTE 1 METRO DE LARGO POR 65 CM DE ALTURA POR 25 CM DE ANCHO, HABÍA PARTES DE UNA BICICLETA Y UNA GRAN CANTIDAD DE ELEMENTOS APARENTEMENTE FRASCOS DE LÍQUIDOS Y COMPRIMIDOS SUPERPUESTOS LOS CUALES LE LLAMARON LA ATENCIÓN. POR TAL MOTIVO PROCEDIÓ A SEPARAR E IDENTIFICAR LA VALIJA EN CUESTIÓN, SOLICITANDO LA PRESENCIA EN EL SECTOR DE PERSONAL DE LA EMPRESA LAN CHILE PARA UBICAR AL PASAJERO PROPIETARIO DE LA VALIJA. UNA VEZ EN EL SECTOR E INDIVIDUALIZADO EL PASAJERO IDENTIFICADO COMO LUCAS COCHA, DE NACIONALIDAD ARGENTINO, QUIEN INTERIORIZADO DEL PROCEDIMIENTO QUE SE IBA A LLEVAR A CABO ACCEDIÓ VOLUNTARIAMENTE A LA APERTURA DE LA VALIJA . ACTO SEGUIDO EN PRESENCIA DE LOS TESTIGOS HABILES , VERIFICAN EN SU INTERIOR LA EXISTENCIA DE APARENTEMENTE MEDICAMENTOS DEL TIPO DE COMPLEJOS VITAMÍNICOS, LOS QUE RESULTARON SER: POLPER B 12 EN SOLUCIÓN EXTEMPORANEA BEBIBLE, PHARMAFORT (GINSENG G 115, VITAMINAS A, COMPLEJO B C D E) , REDOXON VITAMINA CANEMIDOX (ACIDO FOLICO, VITAMINA B1 B2 B6 B12 Y NICOTINAMIDA), ENVASES PLÁSTICOS DE GEL MARCA GU ENERGY GEL DE 32 GRS CADA UNO, DIGERIBLE (COMPUESTO DE AMINOÁCIDOS, VITAMINAS C Y E Y ELECTROLYTES); ENVASES DE GEL DIGERIBLE MARCA GU CHOMPS DE DE 60 GRS CADA UNO (COMPLEJO DE AMINOÁCIDOS, VITAMINAS C Y E Y ELECTROLYTES); UN FRASCO DE COMPRIMIDOS AMINOÁCIDOS MARCA UNIVERSAL AMINO. EL PASAJERO MANIFESTÓ QUE UTILIZA ESTOS MEDICAMENTOS EN RAZÓN DE SU PROFESIÓN DE ATLETA, COMO TRIATLÓN Y QUE SU VIAJE ES A LOS FINES DE INTEGRAR UN EQUIPO DE COMPETICIÓN EUROPEO. POSTERIORMENTE SE LE EXPLICÓ AL PASAJERO Y A LOS TESTIGOS AFECTADOS, DE LA REALIZACIÓN DE REACTIVOS RESPECTO DE LA POSIBILIDAD DE LA EXISTENCIA DE ALGUNA SUSTANCIA PROHIBIDA CONTENIDA EN ALGUNOS DE LOS MEDICAMENTOS TRANSPORTADOS, POR LO QUE SE REALIZARON PRUEBAS DE CAMPO CON UTILIZACIÓN DE REACTIVOS A LAS ANFETAMINAS, EFEDRINA Y COCAÍNA EN TODOS LOS MEDICAMENTOS TRANSPORTADOS; Y SE REGISTRARON NOVEDADES RESPECTO DEL MEDICAMENTO O COMPLEJO VITAMÍNICO DENOMINADO POLPER B 12, EL CUAL, REALIZADA LA PRUEBA DE CAMPO REGISTRO POSITIVO PRESUNTIVO A LAS ANFETAMINAS COMO ASÍ TAMBIÉN POSITIVO PRESUNTIVO RESPECTO DE LA EFEDRINA; POR LO EXPUESTO Y EN VIRTUD DE LAS TAREAS INVESTIGATIVAS ES QUE SE PROCEDE A ADQUIRIR EL MISMO COMPLEJO VITAMÍNICO QUE MANIFESTÓ RESULTADO POSITIVO A LA PRUEBA DE CAMPO ANTES MANIFESTADA, EN LA FARMACIA DENOMINADA FARMACITY UBICADA EN ESTA AEROESTACIÓN, REALIZANDO SOBRE EL PRODUCTO LAS MISMAS PRUEBAS DE CAMPO Y ARROJANDO IDÉNTICO RESULTADO. TALES CIRCUNSTANCIAS HACEN PRESUMIR LA EXISTENCIA EN ESTE PRODUCTO DE UN COMPONENTE QUE REACCIONA A LAS PRUEBAS DE CAMPO HACIENDO PRESUMIR LA EXISTENCIA DE SUSTANCIAS PROHIBIDAS. POR TODO LO EXPUESTO ES QUE SE COMUNICA TELEFÓNICAMENTE CON EL JUZGADO FEDERAL Nº 1 EN LA PERSONA DE SU PROSECRETARIA ADMINISTRATIVA DRA. SUSANA BAGGI, QUIEN INFORMADA DE TODO LO SUCEDIDO, DISPONE QUE ANTE LA INEXISTENCIA DE UN HECHO ILÍCITO, SE LABRE UN ACTA DE RIGOR DEJANDO PLASMADO LAS CIRCUNSTANCIAS DEL CASO Y QUE CULMINADO ESTO, EL PASAJERO CONTINÚE CON SU RUTINA. EL PASAJERO PRESENTÓ FACTURA DE COMPRA DE LOS MEDICAMENTOS, ADJUNTANDO COPIA DE LA MISMA A LA PRESENTE ACTUACIÓN. CABE DESTACAR QUE LAS ACTUACIONES REALIZADAS TRAJERON COMO CONSECUENCIA LA PÉRDIDA DEL VUELO DEL PASAJERO, Y QUE ANTE TAL SITUACIÓN PERSONAL DE ESTA FUERZA ACOMPAÑO AL MISMO A LA EMPRESA AÉREA EN CUESTIÓN A LOS FINES DE EVALUAR LA POSIBILIDAD DE SU REUBICACIÓN EN OTRO VUELO DE SU PREFERENCIA, EMBARCANDO EL CAUSANTE EN EL VUELO LA 943 DEL DIA JUEVES 29 ABR 10. NO SIENDO PARA MÁS SIENDO LAS 20:50 HRS. SE DA POR FINALIZADA LA PRESENTE.</t>
  </si>
  <si>
    <t>LA 943</t>
  </si>
  <si>
    <t>MILAN</t>
  </si>
  <si>
    <t>LESIONES LEVES Y AMENAZAS</t>
  </si>
  <si>
    <t>CHECK IN DE TAM AIRLINES</t>
  </si>
  <si>
    <t>MOSTRADOR NUMERO 47</t>
  </si>
  <si>
    <t>SE RECIBE MODULACION RADIAL POR PARTE DE LA PATRULLA DE LA TERMINAL A, SOLICITANDO REFUERZOS EN VIRTUD A QUE HABIA SUSCITADO UNA PELEA ENTRE PASAJEROS Y PERSONAL DE LA EMPRESA TAM. ANTE ESTE HECHO, SE LOGRA INDIVIDUALIZAR A LOS PASAJEROS QUE INICIARON LA PELEA Y AL PERSONAL DE TAM QUE FUERA AGREDIDO, POR TAL MOTIVO, SE MANTIENE COMUNICACION TELEFONICA CON LA UFI DE TURNO, LA CUAL DISPUSO, LA APREHENCION DEL MASCULINO SERAFIN PUORTO EN CALIDAD DE APREHENDIDO - COMUNICADO ; UNA VEZ RECIBIDO EL RESULTADO DE REINCIDENCIA, SE RETIRE DE ESTA DEPENDENCIA POLICIAL POR SUS PROPIOS MEDIOS, EN CUANTO AL SEGUNDO MASCULINO FRANCO SIMONE, SE DEBERA REALIZAR CONSTATACION DE DOMICILIO, SE RETIRARA DE ESTA SEGUN AMPLIACION PU Nº 2538 SIENDO LAS TRES HORAS CINCUENTA MINUTOS, UNA VEZ OBTENIDO EL RESULTADO DE REINCIDENCIA, EN EL CUAL FIGURA QUE SOBRE EL HABIDO NO EXISTE IMPEDIMENTO LEGAL EMANADO POR AUTORIDAD COMPETENTE QUE RESTRINJA SU LIBRE CIRCULACION, EL APREHENDIDO EN AUTOS, SE RETIRA DE ESTA DEPENCENDIA POLICIAL POR SUS PROPIOS MEDIOS</t>
  </si>
  <si>
    <t>0294/10</t>
  </si>
  <si>
    <t>SE PROCEDE A LA RETENCION DE DOS SACAS COLECTORAS DEL CORREO OFICIAL, SEGUN CONSTA EN ACTA DE RETENCION DE CARGAS Nº 0206/10, QUE ORIGINA LA PREVENCION SUMARIA Nº 048/10. LA PRIMERA IDENTIFICADA CON MARBETE SLA9126041D555700RGL, PRECINTO Nº C813207, CON UN PESO DECLARADO DE 24,300 KGS., CON DESTINO A LA CIUDAD DE RIO GALLEGOS, LA SEGUNDA SACA CON MARBETE SLA0163312D555800VAE, PRECINTO Nº C772368, CON UN PESO DECLARADO DE 8,900 KGS., CON DESTINO A LA CIUDAD DE USHUAIA,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 SEGÚN AMPLIACION PU Nº 2575/10 SE PROCEDE A LA APERTURA DE 02 SACAS COLECTORAS DEL CORREO OFICIAL, SEGUN CONSTA EN ACTA DE RETENCION DE CARGAS Nº 0206/10, QUE ORIGINA LA PREVENCION SUMARIA Nº 048/10. LA 1º IDENTIFICADA CON MARBETE SLA9126041D555700RGL, PRECINTO Nº C813207, CONTIENE 05 CINCO PIEZAS POSTALES, LA 1º IDENTIFICADA COMO EP6675745857AR, LA CUAL QUEDA RETENIDA, LA 2º IDENTIFICADA COMO EP657330368AR, LA CUAL QUEDA RETENIDA, Y LAS IDENTIFACADAS COMO EP657330399AR, EP680796278AR Y EP657462678AR, SON ENTREGADAS AL SR. ARIAS PARA SU REDESPACHO. LA 2º SACA CON MARBETE SLA0163312D555800VAE, PRECINTO Nº C772368, CONTIENE 02 PIEZAS POSTALES LA 1º IDENTIFICADA COMO EP669756011AR, LA CUAL QUEDA RETENIDA, LA 2º EP669757003AR, LA CUAL QUEDA RETENIDA, QUEDANDO LAS MISMAS EN GUARDA EN DEPOSITO JUDICIAL DE ESTA UNIDAD, SE COMUNICO TELEFONICAMENTE CON EL JUZGADO INTERVINIENTE Y LA APERTURA SE REALIZARA CON LA AUTORIZACION DEL MAGISTRADO ACTUANTE. SEGÚN AMPLIACION PU Nº 3044/10 SE PROCEDE A LA APERTURA DE CUATRO ENCOMIENDAS DEL CORREO OFICIAL SEGUN ACTA DE APERTURA Nº 257/10, PREVENCION SUMARIA Nº 048/10, EN VIRTUD DE LO ORDENADO EN OFICIO JUDICIAL Nº 1386/10 DEL MAGISTRADO ACTUANTE Y EN PRESENCIA DE UN TESTIGO HABIL. LA 1ª EP675745857AR, RTTE: ANGELA CALA, PEAT. 20, Nº 322, 1- B, CNEL. ARIAS, S.S. DE JUJUY, C.P. 4.600 Y DEST. FELIPE S. CALA, Bº LOS ÑIRES C/Nº 3, EXTEA, RIO TURBIO, PCIA. DE SANTA CRUZ, C.P. 9407, CONTIENE: NUEVE PAQUETES DE HOJAS DE COCA CON UN PESO TOTAL DE 2.185 GRS., LA 2ª EP657330368AR, RTTE: MINERVA PAZ, PJE. RITA TORENA Nº 1447, VILLA MITRE, SALTA Y DEST. HORACIO J. ROMANO, ALMIRANTE BRAW Y LEANDRO ALEM, EL CALAFATE, STA. CRUZ, CHACRA PICHIÑNCO, CONTIENE: UNA CAMPERA PARA HOMBRE DE COLOR AZUL CON RAYAS DE COLOR VERDE, UN BUZO PARA HOMBRE DE COLOR GRIS Y CUATRO PAQUETES DE HOJAS DE COCA CON UN PESO TOTAL DE 980 GRS., LA 3ª EP669756011AR, RTTE.: AMALIA VARGAS, LA QUIACA, JUJUY Y DEST. ALCIRA QUISPE, ARAINIC Nº 767, Bº VINTRUP, C.P. 9410, USHUAIA, TIERRA DEL FUEGO, CONTIENE: SEIS PAQUETES DE HOJAS DE COCA CON UN PESO TOTAL DE 1.755 GRS. Y LA 4ª EP669757003AR, RTTE.: AMALIA VARGAS, LA QUIACA, PCIA. DE JUJUY Y DEST. CLARA CALDERON, CALLE ARANIC 809, Bº VINTRUE, C.P. 9410, USHUAIA, C.P. 9410, CONTIENE: UNA MANTA NUEVA DE COLOR BORDO Y MARRON CLARO Y NUEVE PAQUETES DE HOJAS DE COCA CON UN PESO TOTAL DE 2.285 GRS. LAS ENCOMIENDAS SERAN PUESTAS A DISPOSICION DE LA ADUANA DE SALTA POR SUPUESTA INFRACCION A LA LEY 22.415, CODIGO ADUANERO Y LAS ACTUACIONES SERAN REMITIDAS A SEDE JUDICIA</t>
  </si>
  <si>
    <t>DRA.VIVIANA MARCELA SAA</t>
  </si>
  <si>
    <t>SECTOR Nº4</t>
  </si>
  <si>
    <t>ESTACIONAMIENTO DESCUBIERTO O PARKING NORTE</t>
  </si>
  <si>
    <t>SIENDO LA HORA Y FECHA MENCIONADA SE HACE PRESENTE EN ESTA GUARDIA DE PREVENCION LA DENUNCIANTE MANIFESTANDO QUE EL DIA 28 DE ABRIL DEL CORRIENTE AÑO ARRIBO EN ESTE AEROPUERTO METROPOLITANO Y SE DIRIGIO AL SECTOR CUATRO DEL ESTACIONAMIENTO DESCUBIERTO PARA ABORDAR SU VEHICULO Y DIRIGIRSE A SU DOMICILIO. UNA VEZ CERCA DE SU MORADA SE PERCATO DE QUE LE FALTABA SU CARTERA. RAPIDAMENTE REGRESO AL SECTOR DEL PARKING ANTES MECIONADO A BUSCARLA, OBTENIENDO RESULTADO NEGATIVO.</t>
  </si>
  <si>
    <t>2535/10</t>
  </si>
  <si>
    <t>CUMPLO EN INFORMAR QUE SIENDO LAS TRES HORAS CINCUENTA MINUTOS, UNA VEZ OBTENIDO EL RESULTADO DE REINCIDENCIA, EN EL CUAL FIGURA QUE SOBRE EL HABIDO NO EXISTE IMPEDIMENTO LEGAL EMANADO POR AUTORIDAD COMPETENTE QUE RESTRINJA SU LIBRE CIRCULACION, EL APREHENDIDO EN AUTOS, SE RETIRA DE ESTA DEPENCENDIA POLICIAL POR SUS PROPIOS MEDIOS Y CONFORME CON LOS TRATOS RECIBIDOS. PTO.-</t>
  </si>
  <si>
    <t>2487/10</t>
  </si>
  <si>
    <t>QUE SIENDO APROXIMADAMENTE LAS SIETE HORAS. TREINTA MINUTOS DEL DIA 29/04/10, DANDO CUMPLIMIENTO A LO ORDENADO POR S.SA SE PROCEDE AL TRASLADO DE LOS DETENIDOS EN AUTO HACIA SEDE JUDICIAL. PTO.-</t>
  </si>
  <si>
    <t>SOTO BUSTO ELADIO Y SOTO BUSTO MANUEL S/CONTRABANDO DE ESTUPEFACIENTES</t>
  </si>
  <si>
    <t>EN EL DIA DE LA FECHA SE RECIBE OFICIO JUDICIAL ORDENANDO TAREAS INVESTIGATIVAS SOBRE EN LA FORMA QUE FUE ADQUIRIDO EL PASAJE DE LOS IMPUTADOS, Y QUIEN REALIZO DICHO TRAMITE. COMO ASI TAMBIEN SOLICITAR AL HOTEL CENTRAL SITO EN SOLIS 192 DE CABA LOS REGISTROS FILMICOS DESDE 5 DIAS PREVIOS AL ALOJAMIENTO HASTA EL MOMENTO EN QUE SE PRODUJERA SU DETENCION. RELACIONADO CON PU 2202 CORRESPONDIENTE A LA CAUSA N° 199-E/10 CARATULADA "SOTO BUSTO ELADIO Y SOTO BUSTO MANUEL S/CONTRABANDO DE ESTUPEFACIENTES", EN EL CUAL SE DETECTARON DIEZ CAPSULAS CONTENIENDO COCAINA, QUEDANDO SOTO BUSTO ELADIO Y SU HERMANO SOTO BUSTO MANUEL DETENIDOS INCOMUNICADOS.-</t>
  </si>
  <si>
    <t>2514/10</t>
  </si>
  <si>
    <t>SE PROCEDE A LA APERTURA DE DOS SACAS COLECTORAS DEL CORREO OFICIAL, MEDIDA COORDINADA PREVIAMENTE CON EL JUZGADO DE TURNO. LA 1ªSACA IDENTIFICADA CON MARBETE SLA9125662E555700RGL, PRECINTO Nº C772396, CONTIENE DOS PIEZAS POSTALES LA 1ª IDENTIFICADA COMO EP657467539AR, LA 2ª IDENTIFICADA COMO EP698118935AR, LAS CUALES QUEDAN LIBERADAS PARA SU REDESPACHO POR NO SER DE INTERES PARA EL PROCEDIMIENTO.LA 2ª SACA IDENTIFICADA CON MARBETE SLA0172970E555600CRD, PRECINTO Nº J045661, CONTIENE UNA PIEZA POSTAL IDENTIFICADA COMO EP702480618AR, RTTE: AMBROSIO TOLABA, RIVADAVIA Nº 311- Bº 12 DE OCTUBRE-ABRA PAMPA - JUJUY- CP. 4640-DEST: GRACIELA VALERIO, PJE RASTRO DEL ÑANDU-MORONA 246-SOLAR 12- LAS HERAS -PCIA DE SANTA CRUZ- CP. 9017, LA CUAL QUEDA RETENIDA, EN DEPOSITO JUDICIAL DE ESTA UNIDAD A LA ESPERA DEL OFICIO QUE AUTORICE SU APERTURA.</t>
  </si>
  <si>
    <t>Infraccion a la Ley de Propiedad Intelectual</t>
  </si>
  <si>
    <t>DR MANUEL PIZARRO</t>
  </si>
  <si>
    <t>PSTA INFRACCION LEY 11723 Y 22362</t>
  </si>
  <si>
    <t>PRESUNTA INFRACCION A LA LEY NRO. 11723 DE PROPIEDAD INTELECTUAL Y NRO. 22362 DE MARCAS Y DESIGNACIONES ARTICULO NRO. 39</t>
  </si>
  <si>
    <t>PRESUNTA INFRACCION A LEY NRO. 11723 DE PROPIEDAD INTELECTUAL Y NRO. 22362 DE MARCAS Y DESIGNACIONES ART. 39</t>
  </si>
  <si>
    <t>SCANNER DE FUNBAPA</t>
  </si>
  <si>
    <t>SIENDO LAS 08:15 HORAS LOCAL Y EN MOMENTOS EN QUE SE REALIZABA EL CONTROL DE EQUIPAJES ARRIBADOS DEL VUELO DE LA EMPRESA LAN ARGENTINA NRO. 4426 PROCEDENTE DE LA CIUDAD DE CAPITAL FEDERAL, SE OBSERVA EN EL MONITOR DEL SCANNER DE FUNBAPA UN NUMERO NO PRECISADO DE CD Y DVD MOTIVO POR EL CUAL SE SOLICITA A SU PROPIETARIO QUE PROCEDA A LA APERTURA DE LA MISMA, CORROBORANDO QUE SE TRATARIA DE UNA INFRACCION A LA LEY NRO. 11723 Y NRO. 22362. INTERVIENE EN ESTE HECHO EL JUZGADO FEDERAL DE PRIMERA INSTANCIA DE COMODORO RIVADAVIA ORDENANDO REMITIR LAS ACTUACIONES EL DIA LUNES.</t>
  </si>
  <si>
    <t>4M 4426</t>
  </si>
  <si>
    <t>SE HACE PRESENTE EN ESTA DEPENDENCIA EL SEÑOR DEL GIUDICE NICOLAS ALEJANDRO D.N.I.33257659 PILOTO DE LA EMPRESA ALAS ARGENTINA S.R.L.MANIFESTANDO EL EXTRAVIO DE CREDENCIAL AEROPORTUARIA VENCIDA A SU NOMBRE,NO PUDIENDO PRECISAR FECHA Y HORA DE LO ACONTECIDO.SE CONFECCIONA ACTA DE EXTRAVIO Nº09-10</t>
  </si>
  <si>
    <t>SECRETARIA PENAL</t>
  </si>
  <si>
    <t>SIENDO LA HORA Y EL DIA ANTES MENCIONADO SE PROCE A LA ENTREGA, DE ACUERDO A OFICIO JUDICIAL ANTES MENCIONADO, POR PARTE DE LA POLICIA DE SEGURIDAD AEROPORTUARIA DE UN TOTAL DE OCHO BARRILES CON SUS REPECTIVAS ETIQUETAS DE CARGA LOS CUALES PESAN 28.8 KG. C/U CON MARBETE COLOCADO Nº 044-35464413 1/8, Nº 044-35464413 2/8, Nº 044-35464413 3/8, Nº 044-35464413 4/8, Nº 044-35464413 5/8, Nº044-35464413 6/8, Nº044-35464413 6/8, Nº044-35464413 7/8, Nº044-35464413 8/8, EL DESTINO DE DICHA CARGA ERA LA CIUDAD DE CORDOBA. LA PRESENTE ENTREGA SE REALIZA AL SR. MONTEROS ANTONIO, TITULAR DEL DNI 21.558.431, EN CALIDAD DE GUARDA DEL SECTOR BODEGA. LOS ELEMENTOS SECUESTRADOS SON ENTREGADOS A LA AUTORIDAD ADUANERA, QUIEN HARA ENTREGA DE LA MISMA A LA FIRMA ALFA ARGENTINA S.A. O A QUIEN CORRESPONDA.</t>
  </si>
  <si>
    <t>PERGOLA ARRIBOS A</t>
  </si>
  <si>
    <t>LA OFICIAL AYUDANTE HANEMANN KARINA EN UNA RECORRIDA POR LA TERMINAL A, SECTOR PERGOLA ARRIBOS, OBSERVA Y OYE A UNA PERSONA DE SEXO MASCULINO QUE SE ENCONTRABA OFRECIENDO SERVICIO DE TRANSPORTE PUBLICO A VIVA VOZ, A PASAJEROS RECIEN ARRIBADOS. SIENDO ADVERTIDO EN REITERADAS OPORTUNIDADES QUE NO PODIA REALIZAR DICHA LABOR, HACIENDO CASO OMISO A LAS ADVERTENCIAS DEL PERSONAL POLICIAL SE PROCEDE A LA IDENTIFICACION Y APREHENSION DEL CAUSANTE.</t>
  </si>
  <si>
    <t>WHEWELL, ASLADAIR Y OTRO S/ACCIDENTE AEREO</t>
  </si>
  <si>
    <t>7932/10</t>
  </si>
  <si>
    <t>SE INFORMA QUE EN EL DIA DE LA FECHA SE RECEPCIONO OFICIO Nº: 722/10, DE FECHA 28 DE ABRIL DE 2.010, EN EL MARCO DE LA CAUSA Nº: 7932/10, CARATULADA "WHEWELL, ALASDAIR Y OTRO S/ ACCIDENTE AEREO", DE TRAMITE POR ANTE EL JUZGADO FEDERAL DE PRIMERA INSTANCIA DE SAN CARLOS DE BARILOCHE. A RAZON DE HABERSE DETECTADO LA PRESENCIA DE UN ARMA BLANCA DENTRO DE VUELO DE LA AERONAVE MATRICULA LV-LDP LA QUE PODRIA IMPORTAR UNA VULNERACION DE LA SEGURIDAD AEROPORTUARIA, TAMBIEN SE DISPONE PROFUNDIZAR E INFORMAR DE QUE MODO PUDO HABER SUCEDIDO.</t>
  </si>
  <si>
    <t>PROCEDO A INFORMAR QUE EN EL DIA DE LA FECHA SIENDO LAS NUEVE HORAS TREINTA MINUTOS ARRIBARON AL PAIS LOS DOS EQUIPAJES DEL TIPO MOCHILA DE MONTAÑA DESPACHADOS POR LOS IMPUTADOS EL DIA DE SU DETENCION, LOS CUALES FUERON REQUIZADOS SIN NOVEDAD.- CABE DESTACAR QUE ESTOS EQUIPAJES CONTINUARON SU CURSO EL DIA EN QUE SE INICIARON LAS ACTUACIONES CON MOTIVO DE QUE EL VUELO YA SE ENCONTRABA CERRADO.-</t>
  </si>
  <si>
    <t>7116/08</t>
  </si>
  <si>
    <t>EN EL MARCO DE LA CAUSA Nº: 7116/08, CARATULADA "NN S/ LEY DE ESTUPEFACIENTES " DE TRAMITE POR ANTE EL JUZGADO FEDERAL DE PRIMERA INSTANCIA DE SAN CARLOS DE BARILOCHE SE RECEPCIONO OFICIO Nº. 731/10, DE FECHA 28 DE ABRIL DE 2.010, EN EL QUE SE DISPONE LA INTERVENCION TELEFONICA DEL ABONADO Nº: 011-15-5060-7727, POR EL TERMINO DE 30 (TREINTA) DIAS A PARTIR DE LA FECHA DE EMISION DEL MENCIONADO OFICIO, CON EL FIN DE PROCEDER A LA GRABACION DE LA TOTALIDAD DE LAS LLAMADAS ENTRANTES Y SALIENTES, PUDIENDO IMPONERSE DEL RESULTADO DE LA MEDIDA DISPUESTA, AL PERSONAL QUE AL EFECTO SE DESIGNE Y ELEVAR EL INFORME CORRESPONDIENTE A LA FISCALIA FEDERAL, ANTE ESE TRIBUNAL EN DONDE SE TRAMITAN LAS ACTUACIONES DE CONFORMIDAD A LO ESTABLECIDO EN EL ARTICULO 196 DEL C.P.P.N.ASI MISMO SE INFORMA QUE LA MENCIONADA CAUSA FUE INFORMADA CON ANTERIORIDAD A LA IMPLEMENTACION DE ESTE SICOPOL, MEDIANTE PR:DOC5 0046/09 DE FECHA 04/12/2.009.</t>
  </si>
  <si>
    <t>POSICION Nº1 DE LA PLATAFORMA COMERCIAL.</t>
  </si>
  <si>
    <t>SIENDO LAS 15:10 ARRIBA AERONAVE CESSNA C414 MATRICULA LV-JPZ TRANSPORTANDO 29 BULTOS CUYO PESO BRUTO ES DE 600 KG Y EL CONTENIDO DE LOS MISMOS ES 150 CARGAS HUERCAS TC 31 HP 4SPF -RENAR C50098 26 RENAR Nº C5 0098 26-, 1 ROLLO CORDON DETONANTE RDX 80GR FORMACORD -RENAR A2 4184 01-, 4 UNIDADES DE PERCUCION -3050-134A- D.I. 08073ICO4-208563-F, AMPARADO CON REMITO Nº 0002-00000694 DE GEOLOG S.A. DICHO MATERIAL ES TRASLADADO EN EL VEHICULO FORD F-4000 DOMINIO GDC828 CONDUCIDO POR HEINZE MARTIN GUILLERMO LICENCIA CNRT Nº 24.915.459 CON CUSTODIA DE G.N.A. DICHO PROCEDIMIENTO FINALIZO SIN NOVEDAD.</t>
  </si>
  <si>
    <t>SECRETARIA Nº 16</t>
  </si>
  <si>
    <t>IGUIÑIZ MONICA MARTA</t>
  </si>
  <si>
    <t>HAMANA, SATOSHI S/CONTRABANDO DE ESTUPEFACIENTES</t>
  </si>
  <si>
    <t>SATOSHI HAMANA S/ CONTRABANDO DE ESTUPEFACIENTES</t>
  </si>
  <si>
    <t>EN EL DIA DE LA FECHA SE RECIBE OFICIO JUDICIAL ORDENANDO TAREAS INVESTIGATIVAS SOBRE LOS TELEFONOS CELULARES QUE LE FUERAN SECUESTRADOS AL IMPUTADO SATOSHI HAMANA. EN RELACION AL PU 2188 Y EN EL MARCO DE LA CAUSA 196-E/10 "SATOSHI HAMANA S/CONTRABANDO DE ESTUPEFACIENTES" SE DETECTO DENTRO DE UN EQUIPAJE BULTOS COMPUESTOS DE SUSTANCIA ORGANICA DE BAJA DENSIDAD, QUE RESULTARON SER COCAINA, DICHO EQUIPAJE PERTENECIA A DICHO IMPUTADO, EL CUAL PERMANCIO COMO DETENIDO INCOMUNICADO.</t>
  </si>
  <si>
    <t>APERTURA DE ENCOMIENDA SOL.POLICIA DE SEGURIDAD AEROPORTURIA</t>
  </si>
  <si>
    <t>261/2010</t>
  </si>
  <si>
    <t>SE PROCEDE A LA APERTURA DE DOS ENCOMIENDAS SEGUN ACTA DE APERTURA Nº 208/10, PREV.SUM. Nº 031/10.EN VIRTUD DE LO ORDENADO EN EL OFICIO JUDICIAL Nº 552/10.DEL MAGISTRADO ACTUANTE Y EN PRESENCIA DE UN TESTIGO HABIL. LA 1ª ENCOMIENDA Nº EP693147118AR, RTTE: ANA PERNAS, CORDOBA 1600, SALTA-CAP- CP. 4400, DEST: NELSON DAMES, CALLE CODIGO 2424, Nº 775- Bº DON BOSCO- CP.9003, COMODORO RIVADAVIA-CHUBUT, CONTIENE: 37 PAQUETES CON HOJAS DE COCA, CON UN PESO TOTAL DE 1480 GRS. SIN ENVOLTORIO DE EMBALAJE INCLUIDO. LA 2ª ENCOMIENDA Nº EP049148355AR, RTTE: JORGE ANIBAL FIGUEROA, PICHANAL-4534-SALTA, DEST: EDUARDO VILLA-RETIRAR EN EL CORREO-COMODORO RIVADAVIA- 9000-CHUBUT,CONTIENE:3 PAQUETES CON HOJAS DE COCA, CON UN PESO TOTAL DE 2245 GRS. SIN ENVOLTORIO DE EMBALAJE INCLUIDO. LAS ENCOMIENDAS SERAN PUESTAS A DISPOSICION DE LA ADUANA DE SALTA POR SUP. INFRACCION A LA LEY 22.415, CODIGO ADUANERO Y LAS ACTUACIONES REMITIDAS A SEDE JUDICIAL.</t>
  </si>
  <si>
    <t>FORNARI IGNACION CARLOS</t>
  </si>
  <si>
    <t>RAMODIBE, MASHUDU WELHEMINAH S/TENTATIVA DE CONTRABANDO DE ESTUPEFACIENTES</t>
  </si>
  <si>
    <t>HOTEL MIKI Y/O HOTEL MIKY</t>
  </si>
  <si>
    <t>EN EL DIA DE LA FECHA SE RECIBE OFICIO JUDICIAL EN EL MARCO DE LA CAUSA MENCIONADA A LOS FINES DE REALIZAR TAREAS INVESTIGATIVAS TENDIENTES A UBICAR EL DOMICILIO EXACTO DEL HOTEL MENCIONADO Y SI ES FRECUENTADO POR UNA PERSONA DE SEXO MASCULINO DE NOMBRE PRINCE ORIUNDO DE GHANA Y UNA MUJER ARGENTINA DE NOMBRE SHARON. DE SER UBICADOS SE DEBERA DETERMINAR DONDE RESIDEN Y TRABAJAN. SE SOLICITA QUE SE DETERMINE A QUE PAISES CORRESPONDEN LOS TELEFONOS CONSIGNADOS EN FORMA MANUSCRITA EN LOS PAPELES DE INTERES. LA CAUSA FUE INICIADA POR ADUANA</t>
  </si>
  <si>
    <t>PTO ACCESO HANGARES</t>
  </si>
  <si>
    <t>SE CONFECCIONA EL PRESENTE A LOS EFECTOS DE INFORMAR SOBRE EL TRANSPORTE DE MMPP EN EL VUELO DE LA EMPRESA CEDEMA, EN AERONAVE CESSNA C-414 MATRICULA LV-JPZ, CON DESTINO FINAL LA CIUDAD DE RIO GRANDE, PCIA DE TIERRA DEL FUEGO. LA MERCANCIA TRANSPORTADA CONSISTE EN 29 CAJAS CONTENIENDO: 150 CARGAS HUECAS TG 31 H 4 SPF -RENAR C800098 28-,1200 CARGAS HUECAS TC 47 HP-RENAR C5 0098 26-, UN ROLLO DE CORDON DETONANTE RDX 80 GR FOMACORD - RENAR A2 4184 01-, 4 UNIDADES DETONADORES DE PERCUCION-3050-134A-DJ.080731C04-208563-F, SEGUN REMITO Nº 0002-00000694 DE GEOLOG S.A. POR UN TOTAL DE 800 KG. ASIMISMO SE INFORMO A LA GUARDIA DE LA UOSP RIO GRANDE.</t>
  </si>
  <si>
    <t>ADRIAN</t>
  </si>
  <si>
    <t>INFRACCION AL ARTICULO 83 C.C.F.C.A.B.A</t>
  </si>
  <si>
    <t>ESTACIONAMIENTO AEROPUERTO ARGENTINA 2000</t>
  </si>
  <si>
    <t>EL OFICIAL DE TRANSITO REALIZABA SU RECORRIDA HABITUAL, CUANDO ENCUENTRA AL SR. MARTINEZ GERARDO JESUS CON CEDULA DE IDENTIDAD Nº 7.621.571, REALIZANDO TAREA LUCRATIVAS NO AUTORIZADAS, EXPENDIENDO PRODUCTOS ALIMENTICIOS QUE NO CUMPLEN CON LAS DISPOSICIONES EN MATERIA BROMATOLOGICA. EL MISMO ES TRASLADO A LA GUARDIA DE PREVENCION DANDOLE INTERVENCION A LA FISCALIA PENAL EN LO CONTRAVENCIONAL Y DE FALTAS DE TURNO QUIEN ORDENA: FOTOS, CROQUIS,INVENTARIO E INTERVENCION A BROMATOLOGIA. SE SECUESTRA LA MERCADERIA HASTA SER ENTREGADA A BROMATOLOGIA.</t>
  </si>
  <si>
    <t>2004/10</t>
  </si>
  <si>
    <t>151/2010</t>
  </si>
  <si>
    <t>SE PROCEDE A LA APERTURA DE UNA ENCOMIENDA SEGUN ACTA DE APERTURA DE CARGA Nº 209/10, PREV. SUM. N° 037/10, EN VIRTUD DE LO ORDENADO EN EL OFICIO JUDICIAL Nº 941/10, DEL MAGISTRADO ACTUANTE Y EN PRESENCIA DE UN TESTIGO HABIL. LA ENCOMIENDA Nº EP656098775AR, RTTE: MARIELA FARFAN GOYENECHE, MZA 1C, LOTE 5, PERICO, JUJUY - DEST: FRANCISCO GALLARDO, CALLE 4-ENTRE 2 Y 3-, PEDRO LURO, BAHIA BLANCA, CP. 8148. CONTIENE 28 PAQUETES CON HOJAS DE COCA. CON UN PESO TOTAL DE 3800 GRS. SIN ENVOLTORIO DE EMBALAJE INCLUIDO. LA ENCOMIENDA SERA PUESTA A DISPOSICION DE LA ADUANA DE SALTA POR SUP. INFRACCION A LA LEY 22415, CODIGO ADUANERO Y LAS ACTUACIONES REMITIDAS A SEDE JUDICIAL.</t>
  </si>
  <si>
    <t>PLANTA DE COMBUSTIBLE YPF</t>
  </si>
  <si>
    <t>SIENDO LAS 18:50 HORAS APROXIMADAMENTE EL OF. JEFE RIBEIRO ATIENDE UNA LLAMADA TELEFÓNICA REALIZADA POR UNA MUJER LA CUAL LE SOLICITA HABLAR CON EL JEFE DE LA POLICÍA DE SEGURIDAD AEROPORTUARIA, ACTO SEGUIDO EL JEFE DE UNIDAD OPERACIONAL ATIENDE DICHA LLAMADA E INMEDIATAMENTE COMIENZA A EXPLAYARSE DICIENDO EN PRIMER LUGAR LAS SIGUIENTES PALABRAS: ES ALEVOSO EL ROBO QUE SE REALIZA EN LA PLANTA DE YPF DE ESE AEROPUERTO, QUE SE ROBAN COMBUSTIBLE Y LO MEZCLAN CON ACEITE Y SE LO VENDEN A UNA FABRICA DE BRILLAPISOS DE NOMBRE CARRERA, QUE NO DA SU NOMBRE PORQUE TEME POR SU SEGURIDAD Y LA DE SU ESPOSO, EL CUAL ES EMPLEADO DE LA AEROPLANTA ABASTECEDORA DE COMBUSTIBLE, Y QUE DICHO ROBO ES PERPETRADO ENTRE LAS 18:00 HS Y LAS 06:00 HS, POR DOS COMPAÑEROS DE SU ESPOSO LOS CUALES TIENEN UN POLARA BLANCO Y UN RENAULT 19 BORDO, SIENDO LAS 19:10 HORAS EL JEFE DE UOSP ENTABLA COMUNICACION CON EL SECRETARIO PENAL EN TURNO A QUIEN LE INFORMA DE LOS HECHOS OCURRIDOS Y QUIEN ANTE LA INFORMACION DE QUE ESTA SITUACIÓN SE HA REPETIDO EN DOS OCASIONES CON INTERVENCION DE OTRA SECRETARIA, DISPONE: 1° SE REALICE ACTA DE PROCEDIMIENTO Y 2° QUE LA MISMA SEA ELEVADA A ESA SECRETARIA PENAL B, A LO QUE SE DA ESTRICTO CUMPLIMIENTO. SIENDO LAS 19:50 HORAS SE VUELVE A RECIBIR UNA LLAMADA ANONIMA EN EL TELEFONO DE LA GUARDIA DE PREVENCION DE ESTA UNIDAD OPERACIONAL SIENDO ATENDIDA POR EL PERSONAL CIVIL MANZUR MARCELO DICHA COMUNICACIÓN ES REALZIADA POR UN MASCULINO, QUIEN DICE SER VECINO DEL SEÑOR CORDOBA QUE TRABAJA EN LA ESTACION DE SERVICIO DEL AEROPUERTO, Y QUE LE DABA VERGUENZA LO QUE HACE ESTE SEÑOR CON EL COMBUSTIBLE QUE SE LLEVABA A SU CASA AL SALIR DE SU TURNO A LAS 06:00 HORAS DE LA MAÑANA, POR ESTE SE VUELVE A REALIZAR UNA NUEVA COMUNICACIÓN CON LA SECRETARIA PENAL EN TURNO A QUIEN SE LE INFORMA DE LA NUEVA LLAMADA RECIBIDA Y QUIEN DISPONE: 1° SE INCORPORE ESTA NUEVA COMUNICACION AL ACTA DE PROCEDIMIENTO, PARA SER EVALUADA POR ESE JUZGADO, SIENDO LAS 20:15 HORAS SE RECIBE UNA NUEVA LLAMADA AL TELEFONO DE LA GUARDIA DE PREVENCION DE ESTA UOSP REALIZADA POR EL MISMO MASCULINO ANTERIORMENTE MENCIONADO QUIEN AMPLIA QUE EL SEÑOR CORDOBA ADEMAS TIENE UN TORINO BLANCO Y NO UN POLARA COMO HABIA MENCIONADO SU ESPOSA QUIEN HABRIA SIDO QUIEN REALIZO LA PRIMERA LLAMADA.</t>
  </si>
  <si>
    <t>Y.P.F.</t>
  </si>
  <si>
    <t>D.I.C. Y N.C.U. S/PRESUNTA INFRACCION LEY 23.737</t>
  </si>
  <si>
    <t>AV. S/ INFRACCION LEY 23.737</t>
  </si>
  <si>
    <t>MAQUINAS DE RAYOS X Y CINTAS DE ARRIBOS</t>
  </si>
  <si>
    <t>INFORMO SIENDO LAS 20:00 HS AL ARRIBO DEL VUELO AR1856 SE PROCEDIO A REALIZAR EXHAUSTIVO CONTROLES TANTO EN EQUIPAJE DE MANO COMO DESPACHADO POR BODEGA EN CONJUNTO CON PERSONAL DE ADUANA UTILIZANDO MAQUINA DE RAYOS X Y CAN DETECTOR DE ESTUPEFACIENTES TODO ELLO CONFORME A LO ORDENADO POR SU SSA MEDIANTE OFICIO S/N DE FECHA 29 DE ABRIL DEL 2010 . ARROJANDO RESULTADO NEGATIVO RESPECTO DE INFRACCION A LA LEY 23737. LABRANDOSE ACTA DE PROCEDIMIENTO 011-10.-</t>
  </si>
  <si>
    <t>AR1856</t>
  </si>
  <si>
    <t>EL OF. JONATHAN AYALA SE ENCONTRABA CHEQUEANDO A LOS PASAJEROS DE VUELO EL CUAL SE ENCONTRABA DEMORADO POR CUESTIONES OPERATIVAS DE LA EMPRESA, AL PASAR UN MASCULINO SE ACTIVA LA ALARMA DEL ARCO DETECTOR DE METALES, POR LO CUAL EL OFICIAL PROCEDE A CHEQUEARLO MANUALMENTE Y A LA ALTURA DEL BOLSILLO FRONTAL DERECHO DEL PANTALON NOTA LO QUE SERIA UNA CAJA DE CIGARRILLOS, SEGUIDAMENTE LE SOLICITA QUE EXTRAIGA Y MUESTRE EL CONTENIDO DE DICHA CAJA OBSERVANDO EN EL INTERIOR DE LA MISMA TRES CIGARRILLOS ARMADOS MANUALMENTE Y AL PREGUNTARLE AL PASAJERO ACERCA DEL CONTENIDO EL MISMO MANIFESTO ES MARIHUANA, SEGUIDAMENTE EL OF. AYALA LE INFORMA LA NOVEDAD AL OF. PABLA BENITEZ, ENCARGADA DE PUESTO, QUIEN SOLICITA LA PRESENCIA DE DOS TESTIGOS E INFORMA LA NOVEDAD AL OF. BARRERA, JEFE DE TURNO. SEGUIDAMENTE SE HACE PRESENTE EN EL PREEMBARQUE EL OF. ABELLAN, AUX EN CRIMINALISTICA, QUIEN REALIZA EL CORRESPONDIENTE REACTIVO DE CAMPO PARA MARIHUANA, ARROJANDO ESTE RESULTADO POSITIVO. ACTO SEGUIDO A FIN DE CONTINUAR CON LAS DILIGENCIAS DE RIGOR SE TRASLADAN A TODOS LOS INTERVINIETNES A LA GUARDIA DE PREVENCION, YA EN LA GUARDIA DE PREVENCION SE PROCEDE A REALIZAR EL PESAJE DE LA SUSTANCIA ARROJANDO ESTA UN PESO TOTAL DE CERO COMA NUEVE GRAMOS. SIENDO LAS 15:40 HS SE PROCEDE A ENTABLAR COMUNICACION CON EL ECRETARIO DE LA JUDICATURA ACTUANTE, QUIEN DISPONE SE REALICEN LAS DILIGENCIAS DE RIGOR Y DE NO MEDIAR IMPEDIMENTOS LEGALES SE PROCEDA A LA SOLTURA DEL IMPUTADO. SEGUN AMPLIATORIO Nº 2567 SIENDO LAS 23:15 HS DEL DIA 29 DE ABRIL DE 2010, Y POR NO MEDIAR IMPEDIMENTO LEGAL SEGUN RESULTADOS OBTENIDOS POR LA DIRECCION NACIONAL DE REINCIDENCIA SE PROCEDE A LA SOLTURA DEL DETENIDO, SIN NOVEDAD.</t>
  </si>
  <si>
    <t>LA 4348</t>
  </si>
  <si>
    <t>EN EL DIA DE LA FECHA SIENDO LAS 1600 SE REALIZA CONSULTA DE SITUACION OPERACIONAL DEL AEROPUERTO INFORMANDO LA AUTORIDAD DEL ANAC LOCAL QUE EL MISMO SE ENCUENTRA HABILITADO PARA OPERACIONES IFR VUELOS EN CONDICIONES INSTRUMENTALES Y NOCTURNOS SEGUN NOTAM DE FECHA 29-04-10 2118 YA QUE EN EL DIA DE LA FECHA SE REALIZO LA VERIFICACION DE LA RADIOAYUDA VOR DEL AEROPUERTO QUEDANDO EL MISMO HABILITADO RETOMANDO LOS VUELOS REGULARES.</t>
  </si>
  <si>
    <t>SIENDO LA HORA Y FECHA CONSIGNADA ANTERIOMENTE, EN MOMENTOS EN QUE EL OF. MANUEL MATIAS ROUQUETTE SE ENCONTRABA CHEQUEANDO A LOS PASAJEROS DEL VUELO ANTES MENCIONADO QUE SE ENCONTRABA CON UNA DEMORA POR CUESTIONES OPERATIVAS COMERCIALES, AL PASAR UN MASCULINO SE ACTIVA LA ALARMA DEL ARCO DETECTOR DE METALES POR LO CUAL EL OFICIAL PROCEDE A CHEQUEARLO MANUALMENTE Y A LA ALTURA DEL BOLSILLO FRONTAL IZQUIERDO DEL PANTALON NOTA UNA CAJA DE CIGARRILLOS. SEGUIDAMENTE LE SOLICITA QUE EXTRAIGA Y MUESTRE EL CONTENIDO DE LA MISMA, OBSERVANDOSE EN EL INTERIOR DE LA CAJA DE CIGARRILLOS LO QUE SERIA UNA PORCION DE UN CIGARRILLO ARMADO MANUALMENTE MANIFESTANDO EL PASAJERO "ES UN FASITO" (SIC). SEGUIDAMENTE EL OF. ROUQUETTE INFORMA LA NOVEDAD AL OF. PABLA BENITEZ, ENCARGADA DE PUESTO, QUIEN SOLICITA LA PRESENCIA DE DOS TESTIGOS E INFORMA LA NOVEDAD AL OF. BARRERA, JEFE DE TURNO. SEGUIDAMENTE SE HACE PRESENTE EN EL PREEMBARQUE EL OF. ABELLAN, AUX EN CRIMINALISTICA, QUIEN REALIZA EL CORRESPONDIENTE REACTIVO DE CAMPO PARA MARIHUANA, ARROJANDO ESTE RESULTADO POSITIVO. ACTO SEGUIDO A FIN DE CONTINUAR CON LAS DILIGENCIAS DE RIGOR SE TRASLADAN A TODOS LOS INTERVINIETNES A LA GUARDIA DE PREVENCION, YA EN LA GUARDIA DE PREVENCION SE PROCEDE A REALIZAR EL PESAJE DE LA SUSTANCIA ARROJANDO ESTA UN PESO TOTAL DE CERO COMA DOS GRAMOS. SIENDO LAS 19:30 HS SE PROCEDE A ENTABLAR COMUNICACION CON LA SECRETARIA DE LA JUDICATURA ACTUANTE, QUIEN DISPONE SE REALICEN LAS DILIGENCIAS DE RIGOR Y DE NO MEDIAR IMPEDIMENTOS LEGALES SE PROCEDA A LA SOLTURA DEL IMPUTADO. QUEDANDO EL CAUSANTE COMO DETENIDO COMUNICADO SEGUN PU 2568 SIENDO LAS 05:50 HS DEL DIA 30 DE ABRIL DE 2010, Y POR NO MEDIAR IMPEDIMENTO LEGAL SEGUN RESULTADOS OBTENIDOS POR LA DIRECCION NACIONAL DE REINCIDENCIA SE PROCEDE A LA SOLTURA DEL DETENIDO, RETIRANDOSE DE ESTA GUARDIA DE PREVENCION SIN NOVEDAD.</t>
  </si>
  <si>
    <t>AR 2476</t>
  </si>
  <si>
    <t>EN EL DIA DE LA FECHA SIENDO LAS 21 30 HORAS SE HACE PRESENTE EN ESTE TURNO PSA LA SRA ALICIA NOEMI NOVELLI PARA RADICAR UNA DENUNCIA SOBRE EL FALTANTE DE EFECTO PERSONAL EN EQUIPAJE DESPACHADO EN BODEGA EN VUELA AR 2737 PROCENDE DE IGUAZU CON DESTINO CABA, LA PERSONA SE PERCATA DEL FALTANTE DEL ELEMENTO COMO ASI TAMBIEN DEL CANDADO PRINCIPAL Y LA ROTURA DEL CIERRE DEL BULTO, EN SU DOMICILIO PARTICULAR DE LA CIUDAD DE MAR DEL PLATA AL CUAL ARRIBO POR INTERMEDIO DE LA EMPRESA MANUEL TIENDA LEON CON DICHO EQUIPAJE EN SU PODER Y A SU RESGUARDO. SE REALIZA LA COMUNICACION EL DR. GOMEZ URSO FACUNDO A CARGO DE LA UFI N 8 QUIEN DISPONE ACTUACIONES DE RIGOR COMO ASI TAMBIEN SOLICITA QUE SE ENVIE EL PEDIDO DE PERSONAL DE RAMPA QUE ATENDIO DICHO VUELO TANTO SEA EN IGUAZU COMO ASI TAMBIEN EN EL AEROPARQUE METROPOLITANO JORGE NEWBERY PARA SER POSTERIORMENTE ELEVADO A DICHA FISCALIA.</t>
  </si>
  <si>
    <t>AR 2737</t>
  </si>
  <si>
    <t>SE PROCEDE A LA RETENCION DE TRES SACAS COLECTORAS DEL CORREO OFICIAL, SEGUN CONSTA EN ACTA DE RETENCION DE CARGAS Nº 0210/10, QUE ORIGINA LA PREVENCION SUMARIA 049/10. LA PRIMER SACA IDENTIFICADA CON MARBETE Nº SLA9126039D555700RGL, PRECINTO Nº C813248, CON UN PESO 5,700 KGS, CON DESTINO A RIO GALLEGOS, LA SEGUNDA MARBETE Nº SLA 0172977E555600CRD, PRECINTO Nº C813263 CON DESTINO A COMODORO RIVADAVIA CON UN PESO DE 1,300 KGS, Y LA TERCERA MARBETE Nº SLA 9126039D55700RGL, PRECINTO Nº C813248 CON UN PESO DE 5,700 KGS CON DESTINO A RIO GALLEGOS, AMPARADAS EN GUIA AEREA Nº 9342737-5,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INTERVINIENTES Y LAS APERTURAS SE REALIZARAN EN PRESENCIA DEL PERSONAL DEL CORREO OFICIAL. SEGÚN AMPLIACION PU 2645/10 SE PROCEDE A LA APERTURA DE TRES SACAS COLECTORAS DEL CORREO OFICIAL, MEDIDA COORDINADA PREVIAMENTE CON EL JUZGADO DE TURNO. LA 1ª SACA MARBETE Nº SLA9126039D555700RGL, CONTIENE UNA PIEZA POSTAL IDENTIFICADA COMO EP702480621AR, RTTE: EMILIO RAMOS, LAVALLE Nº 47-Bº 23 DE AGOSTO-ABRA PAMPA- JUJUY, DEST: DANIELA TOCONAS, Bº LOS PINOS- MZNA 180-LOTE 41-YACIMIENTO RIO TURBIO- CP.9407-PCIA DE SANTA CRUZ, LA MISMA QUEDA RETENIDA. LA 2ª SACA MARBETE Nº SLA 172977E555600CRD, CONTIENE UNA PIEZA POSTAL EP675748487AR, RTTE: MARIA C. CORBALAN, AV. CARLOS GARDEL Nº 1788, SAN PEDRITO- CP. 4600-S.S.JUJUY, DEST: M.FERNANDO CORBALAN, MARTIN FIERRO Nº 1050- PUERTO DESEADO-SANTA CRUZ, LA MISMA QUEDA RETENIDA. LA 3ª SACA MARBETE Nº SLA 0163144D555900RGA, CONTIENE 3 PIEZAS POSTALES IDENTIFICADAS COMO: 1ª EP675748399AR, 2ª EP698443625AR, LAS MISMAS QUEDAN LIBERADAS PARA SU REDESPACHO, LA 3ª EP701118535AR, RTTE: PAULA FABIAN, SAN A.COBRES- SALTA, DEST: ALEJANDRA FABIAN, ALM.GUILLERMO BROWN Nº 1685, RIO GRANDE- T.DEL FUEGO-CP.9420, LA MISMA QUEDA RETENIDA. LAS ENCOMIENDAS RETENIDAS QUEDAN EN GUARDA EN EL DEPOSITO JUDICIAL DE ESTA UNIDAD A LA ESPERA DEL OFICIO QUE AUTORICE SU APERTURA. SEGUN AMPLIACION PU 2970/10 SE PROCEDE A LA APERTURA DE TRES ENCOMIENDAS DEL CORREO OFICIAL, SEGUN ACTA DE APERTURA Nº 252/10, CORRESPONDIENTE A LA PREV. SUM. Nº 049/10, EN VIRTUD DE LO ORDENADO MEDIANTE OFICIO JUDICIAL Nº 1317/10 DEL MAGISTRADO ACTUANTE Y EN PRESENCIA DE UN TETIGO HABIL. LA 1ª EP702480621AR, RTTE: EMILIO RAMOS, LAVALLE Nº 47-Bº 23 DE AGOSTO-ABRA PAMPA- JUJUY, Y DEST: DANIELA TOCONAS, Bº LOS PINOS- MZNA 180-LOTE 41-YACIMIENTO RIO TURBIO- CP.9407-PCIA DE SANTA CRUZ, CONTIENE: 17 PAQUETES DE HOJAS DE COCA CON UN PESO TOTAL DE 3.659 GRS. LA 2ª EP675748487AR, RTTE: MARIA C. CORVALAN, AV. CARLOS GARDEL Nº 1788, SAN PEDRITO- CP. 4600-S.S.JUJUY, Y DEST: M.FERNANDO CORVALAN, MARTIN FIERRO Nº 1050- PUERTO DESEADO-SANTA CRUZ, CONTIENE: 2 PAQUETES DE HOJAS DE COCA CON UN PESO TOTAL DE 437 GRS. LA 3ª EP701118535AR, RTTE: PAULA FABIAN, SAN A.COBRES- SALTA, Y DEST: ALEJANDRA FABIAN, ALM.GUILLERMO BROWN Nº 1685, RIO GRANDE- T.DEL FUEGO-CP.9420, CONTIENE: 2 PAQUETES DE HOJAS DE COCA CON UN PESO TOTAL DE 972 GRS. LAS ENCOMIENDAS SERAN PUESTAS A DISPOSICION DE LA ADUANA DE SALTA POR PRESUNTA INFRACCION A LA LEY 22.415, CODIGO ADUANERO, Y LAS ACTUACIONES SERAN REMITIDAS A SEDE JUDICIAL.</t>
  </si>
  <si>
    <t>2562/10</t>
  </si>
  <si>
    <t>SIENDO LAS 23:15 HS DEL DIA 29 DE ABRIL DE 2010, Y POR NO MEDIAR IMPEDIMENTO LEGAL SEGUN RESULTADOS OBTENIDOS POR LA DIRECCION NACIONAL DE REINCIDENCIA SE PROCEDE A LA SOLTURA DEL DETENIDO, SIN NOVEDAD.</t>
  </si>
  <si>
    <t>2564/10</t>
  </si>
  <si>
    <t>SIENDO LAS 05:50 HS DEL DIA 30 DE ABRIL DE 2010, Y POR NO MEDIAR IMPEDIMENTO LEGAL SEGUN RESULTADOS OBTENIDOS POR LA DIRECCION NACIONAL DE REINCIDENCIA SE PROCEDE A LA SOLTURA DEL DETENIDO, RETIRANDOSE DE ESTA GUARDIA DE PREVENCION SIN NOVEDAD.</t>
  </si>
  <si>
    <t>ROBO-HURTO</t>
  </si>
  <si>
    <t>IV BRIGADA AEREA</t>
  </si>
  <si>
    <t>AEROPLANTE DE COMBUSTIBLE</t>
  </si>
  <si>
    <t>SIENDO LAS 06:30 HORAS MIENTRAS SE REALIZABA RECORRIDA PERIMETRAL DANDO CUMPLIMIENTO A LA ORDEN DE SERVICIO 125/10 SEGÚN LO SOLICITADO EN ORDEN DE SERVICIO 31/10 DEL CEAC Y ATENTO A DENUNCIAS ANONIMAS RECIBIDAS EN ESTA UOSP SE DECIDE CONTROLAR PERSONAL Y VEHICULOS DE AQUELLAS PERSONAS QUE SE ENCONTRABAN CUMPLIENDO SERVICIO EN EL DIA DE LA FECHA EN LA PLANTA DE COMBUSTIBLE YPF LA CUAL SE ENCUENTRA DENTRO DE LA JURISDICCION DE ESTE AEROPUERTO, POR LO QUE EL JEFE DE TURNO SE DIRIGE A LA OFICINA DE TURNO DE LA AEROPLANTA Y CONSULTANDO ACERCA DEL PERSONAL QUE REALIZO EL TURNO NOCHE INFORMANDOLE QUE SE TRATARIA DE UN SOLO EMPLEADO. INMEDIATAMENTE SE TOMA CONTACTO CON DICHA PERSONA COMUNICANDOLE QUE SE LE REALIZARIA UNA INSPECCION Y REGISTRO DE RUTINA TANTO A SU PERSONA COMO AL VEHICULO PARTICULAR, CONSULTADO SI SE NIEGA MANIFIESTA QUE NO TIENE INCONVENIENTE ALGUNO POR LO QUE SE SOLICITA LA PRESENCIA DE UN TESTIGO. SE DEJA ASENTADO QUE POR LA HORA DE DICHO PROCEDIMIENTO SOLO SE PUDO CONSEGUIR UN SOLO TESTIGO HABIL. DE ESTA MANERA SE DA INICIO A LA CORRESPONDIENTE INSPECCION Y AL REGISTRO PRIMERO A SU PERSONA Y A CONTINUACION A SU VEHICULO. AL INSPECCIONAR DICHO VEHICULO SE ENCUENTRAN EN SU INTERIOR VEINTE BIDONES CONTENIENDO COMBUSTIBLE Y UN TELEVISOR. CONSULTADO POR LOS ELEMENTOS ENCONTRADOS MANIFIESTA QUE DICHO TELEVISOR SERIA DE SU PROPIEDAD PERO QUE EL COMBUSTIBLE SERIA JP 1 PRODUCTO DEL RESIDUO DE LAS PURGAS DE LOS TANQUES CISTERNAS. CONSULTADO SI SU ENCARGADO INMEDIATO TIENE CONOCIMIENTO DE LA SITUACION MANIFIESTA QUE NO POR LO QUE SE REALIZA COMUNICACIÓN TELEFONICA CON ESTA PERSONA LA CUAL SE PRESENTA EN ESTA OFICINA DE GUARDIA TOMANDO CONOCIMIENTO DE LOS HECHOS PERO MANIFESTANDO QUE NO DESEA REALIZAR DENUNCIA ALGUNA POR LO ACONTECIDO Y SIENDO LAS 07:15 HORAS SE REALIZA COMUNICACION CON EL SECRETARIO PENAL DE TURNO A QUIEN SE LE INFORMA DE LOS HECHOS OCURRIDOSY QUIEN DISPONE. 1-SE PROCEDA A REALIZAR LA APRENCION DEL CAUSANTE QUEDANDO EL MISMO EN CALIDAD DE APREHENDIDO COMUNICADO 2- SE REALICE LA AVERIGUACIONES DE MEDIDAS PENDIENTES. 3- SE PROCEDA A LA CONSTATACION DE DOMICILIO. 4- SE LE DEVUELVA EL CONTENIDO DE LOS VIDONES A YPF, MEDIANTE ACTA Y CON TESTIGOS. Y 5- SE REALICE SECUESTRO DE LOS VIDONES COMO ELEMENTOS DE PRUEBA, A LO QUE SE DA ESTRICTO CUMPLIMIENTO, ASIMISMO EL SECRETARIO PENAL EN TURNO NOS INFORMA QUE LA CAUSA ES CARATULADA COMO ROBO-HURTO HASTA TANTO SE REALICE LA DECLARACION TESTIMONIAL DEL APREHENDIDO Y DE ESTA MANERA SE DETERMINE LA CARATULA DEFINITIVA. SEGUN PU AMPLIACION NUMERO 2584 SIENDO LAS 09:43 SE REALIZO LA CORRESPONDIENTE CONSTATACIÓN DEL DOMICILIO DE ACUERDO A LO INFORMADO A TRAVES DE ORDEN DE SERVICIO N° 126/10 DE FECHA 30 DE ABRIL DE 2010, DEL APREHENDIDO DE ACUERDO A LO DISPUESTO POR EL SECRETARIO PENAL, LA CUAL ARROJO RESULTADO POSITIVO, ASIMISMO SE PROCEDIO A RETIRARA LA IDENTIFICACION PERMANENTE N° 333905-6790/2010, DICHO ACTO SE REALIZO DEBIDO POR HABER COMETIDO UNA INFRACCION GRAVISIMA DE ACUERDO AL ARTICULO 99 INCISO E DE LA DISPOSICION 172/10 DEL REGLAMENTO DE REGISTRO Y CONTROL DE INGRESO, CIRCULACION Y/O PERMANENCIAS DE PERSONAS Y VEHICULOS EN LAS INSTALACIONES AEROPORTUARIAS, POR LO CUAL SE LABRA LA CORRESPONDIENTE ACTA DE INFRACCION N° DOZ-00001 DE FECHA 30 DE ABRIL DE 2010 A LAS 11:00 HS, ASIMISMOY SIENDO LAS 14:00 HS Y DE ACUERDO A LO ORDENADO POR EL DR. GARNICA SE PROCEDIO A LIBERAR AL APREHENDIDO.</t>
  </si>
  <si>
    <t>DEL VALLE CARBAJAL, GRACIELA - NAZAR, CRISTIAN JESUS Y OTROS S/INF. LEY 26364</t>
  </si>
  <si>
    <t>EN EL DIA DE LA FECHA SIENDO LAS 07:30 HS, DANDO CUMPLIMIENTO A LA ORDEN DE SERVICIO 033/10 SE TRASLADA AL DETENIDO MUELAS EDUARDO ADOLFO A LA COMISARIA CUARTA PARA SU REVISACION MEDICA. POSTERIORMENTE A LAS 08:20 HS REGRESA LA COMISION A LA UNIDAD SIN NOVEDAD DONDE SE LE TOMAN LAS HUELLAS DACTILARES AL DETENIDO. LUEGO A LAS 09:20 HS SE CANCELA TRANSITORIAMENTE EL TRASLADO DEL DETENIDO POR RECIBIR EL JEFE DE LA G.O.C.N. Y D.C. MAR DEL PLATA SUBINSPECTOR ALEJANDRO GIUGOVAZ UNA COMUNICACION TELEFONICA DEL DR. PABLO HUARTE, A CARGO DE LA SECRETARIA PENAL Nº 8, DONDE INFORMA QUE EL ABOGADO DEFENSOR DEL DETENIDO PRESENTO UN RECURSO DE HABEAS CORPUS.</t>
  </si>
  <si>
    <t>2536/10</t>
  </si>
  <si>
    <t>SE PROCEDE A LA APERTURA DE 02 SACAS COLECTORAS DEL CORREO OFICIAL, SEGUN CONSTA EN ACTA DE RETENCION DE CARGAS Nº 0206/10, QUE ORIGINA LA PREVENCION SUMARIA Nº 048/10. LA 1º IDENTIFICADA CON MARBETE SLA9126041D555700RGL, PRECINTO Nº C813207, CONTIENE 05 CINCO PIEZAS POSTALES, LA 1º IDENTIFICADA COMO EP6675745857AR, LA CUAL QUEDA RETENIDA, LA 2º IDENTIFICADA COMO EP657330368AR, LA CUAL QUEDA RETENIDA, Y LAS IDENTIFACADAS COMO EP657330399AR, EP680796278AR Y EP657462678AR, SON ENTREGADAS AL SR. ARIAS PARA SU REDESPACHO. LA 2º SACA CON MARBETE SLA0163312D555800VAE, PRECINTO Nº C772368, CONTIENE 02 PIEZAS POSTALES LA 1º IDENTIFICADA COMO EP669756011AR, LA CUAL QUEDA RETENIDA, LA 2º EP669757003AR, LA CUAL QUEDA RETENIDA, QUEDANDO LAS MISMAS EN GUARDA EN DEPOSITO JUDICIAL DE ESTA UNIDAD, SE COMUNICO TELEFONICAMENTE CON EL JUZGADO INTERVINIENTE Y LA APERTURA SE REALIZARA CON LA AUTORIZACION DEL MAGISTRADO ACTUANTE.</t>
  </si>
  <si>
    <t>2475/10</t>
  </si>
  <si>
    <t>SE PROCEDE A LA APERTURA DE UNA ENCOMIENDA DEL CORREO OFICIAL, IDENTIFICADA COMO EP698118918AR EN PRESENCIA DE SU PROPIETARIA QUIEN PRESENTÓ LAS FACTURAS CORRESPONDIENTES A LA MERCADERIA CONTENIDA EN LA MISMA, ESTA MEDIDA FUE AUTORIZADA TELEFÓNICAMENTE POR EL MAGISTRADO INTERVINIENTE. LA ENCOMIENDA CONTIENE:4 CAMISETAS, 2 VESTIDOS DE BAUSTISMO, 2 SWETERS, 7 CAMPERAS PARA DAMA, 2 SACOS PARA DAMA, 2 BUZOS PARA NIÑO, 2 PANTALOINES DEPORTIVOS, 2 REMERAS PARA CABALLEROS, , 12 PARES DE MEDIAS PARA NIÑO, 2 PANTALONES PARA CABALLEROS 2 PARES DE ZAPATILLAS Y 2 ACOLCHADOS. UNA VEZ VERIFICADO EL CONTENIDO Y SU CONCORDANCIA CON LAS FACTURAS DE COMPRAS, SE DEJA CONSTANCIA EN ACTA DE APERTURA Nº 212/10 Y SE INFORMA TELEFÓNICAMENTE DE LO ACTUADO AL JUEZ INSTRUCTOR, EL QUE DISPONE SE ENTREGUE LA ENCOMIENDA AL CORREO OFICIAL PARA SU REINSERCION EN EL CIRCUITO POSTAL.</t>
  </si>
  <si>
    <t>VEREDA HALL A2</t>
  </si>
  <si>
    <t>SIENDO LA HORA MENCIONADA SE REALIZA PERIMETRO PRIMARIO PARA POSTERIOR CONTROL DE BULTO SOSPECHOSO POR PARTE DEL PERSONAL DE GEDEX DE TURNO, ARROJANDO EL MISMO RESULTADO NEGATIVO CON LA UTILIZACION DE EQUIPO SABRE 4000, POSTERIORMENTE SE REALIZA ACTA DE HALLAZGO Nº 1002 EL CUAL ES UN MALETIN DE COLOR NEGRO CONTENIENDO PAPELES VARIOS, DOS PEN DRIVER, Y MEDICAMENTOS VARIOS. FINALIZANDO TODO EL ACTO A LAS 12:23 HORAS SIN NOVEDAD.</t>
  </si>
  <si>
    <t>U.F.I. - INTEGRIDAD SEXUAL</t>
  </si>
  <si>
    <t>DE LAFUENTE</t>
  </si>
  <si>
    <t>ALDO GUSTAVO</t>
  </si>
  <si>
    <t>MASERATI EMILIANO</t>
  </si>
  <si>
    <t>164/10</t>
  </si>
  <si>
    <t>ESMERALDA 973, PISOS 1, 6, 4 DEPARTAMENTO E Y 7 DEPARTAMENTO 53</t>
  </si>
  <si>
    <t>EN EL DIA DE LA FECHA PERSONAL DE ESTA UNIDAD SE HIZO PRESENTE EN LA UFI INTERVINIENTE EN DONDE SE LE ENCOMENDARON TAREAS INVESTIGATIVAS EN LOS DOMICILIOS INDICADOS A FIN DE ESTABLECER SI ALLI SE EJERCE LA PROSTITUCION POR PARTE DE MENORES O DE MAYORES MEDIANTE MEDIOS COERCITIVOS E IDENTIFICAR A LOS ENCARGADOS DEL LUGAR.</t>
  </si>
  <si>
    <t>CATALANO ELISA</t>
  </si>
  <si>
    <t>LEGAJO DE OJOPI JUAREZ JESUS</t>
  </si>
  <si>
    <t>703/10</t>
  </si>
  <si>
    <t>SE PRESENTA EL STO. 1º DE G.N. RICARDO FREITES , CON EL CIUDADANO DE NACIONALIDAD BOLIVIANA, OJOPI SUAREZ JESUS, SOBRE QUIEN RECAYERA LA DISPOSICION 020728, DEL REGISTRO DE LA DIRECCION NACIONAL DE MIGRACIONES, EN DONDE SE DISPONE LA EXPULSION DEL TERRITORIO NACIONAL C/PROHIBICION DE REINGRESO EN CARACTER PERMANENTE, ORDENADO POR EL JUZGADO DE EJECUCION DE SENTENCIA DEL TRIBUNAL ORAL CRIMINAL FEDERAL DE SALTA.SE DA CUMPLIMIENTO A ORDEN DE SERVICIO Nº 076/10 S/N, CON LA COLABORACION DE DOS EFECTIVOS DE LA UOESA DEL NORTE.</t>
  </si>
  <si>
    <t>EN EL DIA DE LA FECHA SE PRESENTO ANTE EL SERVICIO DE GUARDIA PREVENTIVA EL EXPONENTE QUE CUMPLE FUNCIONES DE OPERADOR DE RAMPA DE LA EMPRESA AERO HANDLING MANIFESTANDO QUE EXTRAVIO SU PERMISO PERSONAL DE SEGURIDAD AEROPORTUARIO N 327226 CON VENCIMIENTO EL DIA 06/05/10 HABILITADO CON LOS SECTORES 1-4-5 NO PUDIENDO PRECISAR EL LUGAR Y MOMENTO EN QUE EXTRAVIO DICHO DOCUMENTO</t>
  </si>
  <si>
    <t>2571/10</t>
  </si>
  <si>
    <t>SIENDO LAS 09:43 SE REALIZO LA CORRESPONDIENTE CONSTATACIÓN DEL DOMICILIO DE ACUERDO A LO INFORMADO A TRAVES DE ORDEN DE SERVICIO N° 126/10 DE FECHA 30 DE ABRIL DE 2010, DEL APREHENDIDO DE ACUERDO A LO DISPUESTO POR EL SECRETARIO PENAL, LA CUAL ARROJO RESULTADO POSITIVO, ASIMISMO SE PROCEDIO A RETIRARA LA IDENTIFICACION PERMANENTE N° 333905-6790/2010, DICHO ACTO SE REALIZO DEBIDO POR HABER COMETIDO UNA INFRACCION GRAVISIMA DE ACUERDO AL ARTICULO 99 INCISO E DE LA DISPOSICION 172/10 DEL REGLAMENTO DE REGISTRO Y CONTROL DE INGRESO, CIRCULACION Y/O PERMANENCIAS DE PERSONAS Y VEHICULOS EN LAS INSTALACIONES AEROPORTUARIAS, POR LO CUAL SE LABRA LA CORRESPONDIENTE ACTA DE INFRACCION N° DOZ-00001 DE FECHA 30 DE ABRIL DE 2010 A LAS 11:00 HS, ASIMISMO YSIENDO LAS 14:00 HS Y DE ACUERDO A LO ORDENADO POR EL DR. GARNICA SE PROCEDIO A LIBERAR AL APREHENDIDO.</t>
  </si>
  <si>
    <t>ERLIJ, WALTER CLAUDIO S/ LEY 25743</t>
  </si>
  <si>
    <t>EXPTE.5351-Fº127-AÑO 2010</t>
  </si>
  <si>
    <t>CIUDAD DE SAN ARTIN DE LOS ANDES, PROVINCIA DE NEUQUEN</t>
  </si>
  <si>
    <t>EN EL DIA DE LA FECHA EN ESTA UOCN Y DC V DE LA PATAGONIA, SE RECEPCIONARON OFICIOS NUMEROS 388/10 Y 389/10 AMBOS DE FECHA 30 DE ABRIL DE 2010, DONDE EN EL MARCO DE LA CAUSA "ERLIJ, WALTER CLAUDIO-S/LEY 25743, EXPTE. Nº 5351-Fº 127-AÑO 2010" EN TRAMITE POR ANTE EL JUZGADO FEDERAL DE ZAPALA, A CARGO DEL JUEZ FEDERAL DR. RUBEN OMAR CARO, SECRETARIA PENAL A CARGO DEL DR. CARLOS RAUL GARCILAZO, SE ORDENA EL ALLANAMIENTO DEL INMUEBLE DONDE SE DOMICILIARIA WALTER CLAUDIO ERLIJ, DNI 14.456.306, QUE SE ENCUENTRA UBICADO EN LA CALLE 3 DE CABALLERIA Nº 1091 DE LA LOCALIDAD DE SAN MARTIN DE LOS ANDES, PROVINCIA DE NEUQUEN, Y DEL LOCAL COMERCIAL DENOMINADO "LUZ CLARITA", UBICADO EN EL HALL PUBLICO DEL SECTOR PLANTA BAJA DE LA TERMINAL AEREA DEL AEROPUERTO DE LA CIUDAD DE SAN MARTIN DE LOS ANDES RESPECTIVAMENTE, DEBIENDO EN AMBOS CASOS PROCEDER AL SECUESTRO, UNICAMENTE DE PIEZAS CONSISTENTES EN : AMONITES, TRONCOS PETRIFICADOS, DIENTES FOSILIZADOS DE TIBURON, FOSILES EN AMBAR Y PUNTAS DE FLECHAS, ETC.., EN RELACION A LA PRESUNTA INFRACCION A LA LEY 25.743 DE PROTECCION DEL PATRIMONIO ARQUEOLOGICO Y PALEONTOLOGICO. MEDIDA QUE DEBERA SER CUMPLIMENTADA EL DIA 03/05/10 A PARTIR DE LAS 09:00 HS. TODO ELLO EN ESTRICTA SUJECION A LOS ARTS. 224, 225, 226, 228,231 Y 233 DEL CPPN, PUDIENDO HACER USO DE LA FUERZA PÚBLICA CON LA DEBIDA MODERACION Y EN SU CASO REQUERIR EL AUXILIO DE UN CERRAJERO PARA CUMPLIR EL COMETIDO</t>
  </si>
  <si>
    <t>TRIBUNAL ORAL EN LO PENAL ECONOMICO N° 1</t>
  </si>
  <si>
    <t>CONTRABANDO DE EXPORTACION AGRAVADO EN FUNCION DE LA NATURALEZA DE LA MERCADERIA ESTUPEFACIENTES.</t>
  </si>
  <si>
    <t>1714/08</t>
  </si>
  <si>
    <t>SIENDO LAS 11:30 HS SE HACE PRESENTE PERSONAL DE LA PFA TRASLADANDO A LA DETENIDA GOMEZ SEVERO SHEILA, ACTO SEGUIDO SE PROCEDE A IMPLEMENTAR LAS MEDIDAS DE SEGURIDAD NECESARIAS PARA EL DESPLAZAMIENTO DENTRO DE LAS INSTALACIONES AEROPORTUARIAS DE DICHA DETENIDA, SEGUN ORDEN DE SERVICIO Nº 428/10 - MEMORANDO 495/10. CON MOTIVO DE EXPULSION Y HACER EFECTIVO EL ABANDONO DE LA JURISDICCION DE LA MISMA. SIENDO LAS 13:30 HS DESPEGA DE ESTA AEROESTACION. SIN NOVEDAD.</t>
  </si>
  <si>
    <t>AR 1206</t>
  </si>
  <si>
    <t>2528/10</t>
  </si>
  <si>
    <t>REFERENTE A ORDEN DE SERVICIO 002/2010 PRODUCIDA POR ESTA UNIDAD OPERACIONAL SAN LUIS, INFORMO EN EL DIA DE LA FECHA, PARTIO DESDE ESTE AEROPUERTO SAN LUIS CON DESTINO HACIA LA CIUDAD AUTONOMA DE LA CIUDAD DE BUENOS AIRESEL SEÑOR EMBAJADOR DE LOS ESTADOS UNIDOS MEXICANOS S. E. DON FRANCISCO DEL RIO Y COMITIVA SIN NOVEDAD.</t>
  </si>
  <si>
    <t>ARGENTINA</t>
  </si>
  <si>
    <t>PERGOLA TRES DE LA TERMINAL A.</t>
  </si>
  <si>
    <t>LOS OFICIAL JUAN FERNANDEZ, Y DANIEL MAUAD, CONSTATAN LA PRESENCIA DE UNA PERSONA DE SEXO MASCULINO, QUIEN SE ENCONTRABA EN INSTALACIONES DE ESTA AEROSTACIóN MAS PRECISAMENTE EN EL SECTOR DENOMINADO PéRGOLA TRES DE ARRIBOS DE LA TERMINAL "A", OFRECIENDO SERVICIO DE TRANSPORTE PúBLICO DESDE EL INTERIOR DE UN VEHíCULO TIPO TAXI, MARCA CHEVROLET, MODELO CORSA, DOMINIO GLN 841, LICENCIA Nº 18.263.660, A VIVA VOZ, A PASAJEROS RECIéN ARRIBADOS AL PAíS, SIENDO ADVERTIDO EL MISMO EN REITERADAS OPORTUNIDADES DE QUE NO PODíA REALIZAR DICHA LABOR, ES POR ELLO QUE SE DA SE LE INICIO A LA CAUSA Nº 62, SE HACE CONSTATACIóN DE DOMICILIO, ANTECEDENTES PENALES . LUEGO DE ELLO SE EL INFRACTOR SE RETIRA POR SUS MEDIOS</t>
  </si>
  <si>
    <t>CABECERA 1-3 CERCANO AL CERCO PERIMETRAL</t>
  </si>
  <si>
    <t>CABECERA 1-3</t>
  </si>
  <si>
    <t>SIENDO LAS 10:30 APROXIMADAMENTE REALIZANDO UN RECORRIDO PERIMETRAL EN CABECERA DE PISTA 3-1 DE RUTINA SE PRODUCE EL HALLAZGO POR PARTE DEL OF MAYOR ROBERTO H. DIAZ DE UNA BOLSA DE PLASTICO QUE POSTERIORMENTE REALIZA UN ACTA DE HALLAZGO EN LA GUARDIA DE PREVENCION EN PRESENCIA DE TESTIGOS SEGUIDAMENTE AL OF MAYOR DIAZ LE LLAMA LA ATENCION PORQUE LOS ELEMENTOS HALLADOS GUARDABAN SIMILITUD CON LA CAUSA DENUNCIADA EL DIA 9 DE MARZO DEL CORRIENTE AÑO CARATULADA SUPUESTO ROBO CON INTERVENCION DEL JUZGADO DE INSTRUCCION Nº 3 DE LA CIUDAD DE PUERTO IGUAZU SECRETARIA DEL DR. TUHAY POR LA CUAL SITO AL SR GABRIEL BERNAL QUIEN SE HIZO PRESENTE Y RECONOCIO LOS ELEMENTOS COMO LOS QUE ESTABAN DENTRO DE LA CAJA FUERTE DEL DIA 8 DE MARZO Y SIENDO LOS ELEMENTOS LOS SUSTRAIDOS. SE DEJA CONSTANCIA QUE SE ESTABLECIO COMUNICACION TELEFONICA CON EL DR. TUHAY QUIEN ORDENO QUE LOS ELEMENTOS JUNTO CON LAS ACTAS SE ELEVEN A SEDE TRIBUNALICIA PARA AGREGAR A LA CAUSA YA INICIADA</t>
  </si>
  <si>
    <t>FOOT PATAGONIA S.A.</t>
  </si>
  <si>
    <t>PERSONAL POLICIAL ABOCADO AL CONTROL DE EQUIPAJES DESPACHADOS A LA BODEGA DETECTO EN EL INTERIOR DE UNA VALIJA TIPO CARRY-ON DE MEDIANAS DIMENSIONES FIGURAS RECTANGULARES CONTENIENDO SUSTANCIA ORGANICA SIN PODER DETERMINAR DE QUE TIPO DE SUSTANCIA SE TRATABA. QUE UNA VEZ APERTURADA LA VALIJA SE DETECTO QUE EN EL INTERIOR DE LA MISMA OBRABA UN MALETIN DE COLOR NEGRO DEL TIPO PORTANOTEBOOK. QUE UNA VEZ REGISTRADO DICHO MALETIN SE DETECTO QUE EN UN DOBLE FONDO HABIDO EN EL INTERIOR DE SU TAPA, EN UN SEPARADOR INTERNO Y EN SU CONTRATAPA OBRABA EN CADA UNO DE DICHOS LUGARES UN PAQUETE CONFECCIONADO CON CINTA DE EMBALAR TRANSPARENTE CONTENIENDO SUSTANCIA DE COLOR BLANCO, LA CUAL SOMETIDA A PRUEBA DE CAMPO CON REACTIVO PARA COCAINA MARCA COCA TEST-PEN TEST ARROJO RESULTADO POSITIVO. QUE POR DISPOSICION JUDICIAL EL DETENIDO FUE TRASLADADO AL HOSPITAL DE EZEIZA MADRE TERESA DE CALCUTA, Y FUA ALLI QUE EL MISMO PRESENTO LA INGESTA DE CUERPOS EXTRAÑOS EN SU ORGANISMO SEGUN PLACAS RADIOGRAFICAS, POR LO CUAL PERMANECERA EN OBSERVACION EN LA SALA DE TERAPIA INTENSIVA DE DICHO NOSOCOMIO. QUE LAS ACTUACIONES Y SECUESTROS SERAN REMITIDOS A SEDE JUDICIAL EL DIA LUNES 03/05/2010 SEGÚN PU N º 2614 EL DETENIDO PRESENTA A SU VEZ LA INGESTA DE CUERPOS EXTRAÑOS, SEGUN SE DESPRENDE DE CERTIFICADO MEDICO DEL HOSPITAL DE EZEIZA.- SEGÚN PARTES AMPLIATORIOS Nº 2614, 2624, 2629 EL IMPUTADO REALIZO LAS SIGUENTES DEPOSICIONES DEP N° 1 3 - TRES CAPSULAS 36 GRAMOS DEP N° 2 4 - CUATRO CAPSULAS 48 GRAMOS DEP N° 3 3 - TRES CAPSULAS 36 GRAMOS DEP N° 4 5 - CINCO CAPSULAS 60 GRAMOS DEP N° 5 5 - CINCO CAPSULAS 60 GRAMOS DEP N° 6 4 - CUATRO CAPSULAS 48 GRAMOS DEP N° 7 5 - CINCO CAPSULAS 60 GRAMOS DEP N° 8 1 - UNA CAPSULA 12 GRAMOS DEP N° 9 1 - UNA CAPSULAS 12 GRAMOS TOTAL 31 CAPSULAS 372 GRAMOS PU 2648 EL IMPUTADO ES DADO DE ALTA EL 3/5/10, TRASLADANDOLO AL UNIDAD PENITENCIARIA Nº 28</t>
  </si>
  <si>
    <t>NESTOR ARIEL TUHAY</t>
  </si>
  <si>
    <t>HURTO Y ESTAFA - ENCUBRIMIENTO</t>
  </si>
  <si>
    <t>0000947 - 0000113</t>
  </si>
  <si>
    <t>PREMBARQUE Nº 1</t>
  </si>
  <si>
    <t>INFORMO QUE EN EL CONTROL DE DOCUMENTACION SE DETECTA A TRAVES DEL SISTEMA INTERPOL EL PEDIDO DE CAPTURA VIGENTE SOLICITADO POR EL JUZGADO CORRECCIONAL Nº 1 SECRETARIA DR ZAIN RESTENCIA PROVINCIA DE CHACO Y JUZGADO DE INSTRUCCION Nº 3 SECRETARIA DR JAZMIN DE RESISTENCIA PROVINCIA DE CHACO DEL SEÑOR VICTOR HUGO MOLINA ANTE EL HECHO PERSONAL DE INTERPOL LABRA UN ACTA Y ESTE ES ENTREGADO AL JEFE DE TURNO ACTO SEGUIDO SE ESTABLECE COMUNICACION TELEFONICA CON LOS JUZGADOS SOLICITANTES SIENDO ATENDIDO POR EL OFICIAL AYUDANTE MOLINA QUIEN INFORMA QUE DICHOS JUZGADOS PASARON A PERTENECER A LA FIZCALIA DE INVESTIGACION Nº 3 DE RESISTENCIA PROVINCIA DE CHACO CITADAS EN AVENIDA 9 DE JULIO Nº 236 Y QUE DICHA FIZCALIA SE ENCUENTRA EN ASUETO ADMINISTRATIVO HASTA EL DIA LUNES 03 DEL CORRIENTE MES Y AÑO POR TAL MOTIVO SE ESTABLECE COMUNICACION TELEFONIOCA CON EL DR NESTOR ARIEL TUHAY A/C DE LA SECRETARIA Nº 1 DEL JUZGADO DE INSTRUCCION Nº 3 DE LA CIUDAD DE PUERTO IGUAZU MISIONES QUIEN ENTERADO DE LOS HECHOS DISPONE QUESE NOTIFIQUE AL CAUSANTE Y QUE EL MISMO COMPAREZCA ANTE LOS JUZGADOS SOLICITANTES DE LA MEDIDA EN EL TERMINO DE DIEZ DIAS HABILES DE LABRADA LA PRESENTE ACTA PARA REGULARIZAR SU SITUACION JUDICIAL</t>
  </si>
  <si>
    <t>DRA.CLAUDIOA CECCONI</t>
  </si>
  <si>
    <t>INFRACCION A LOS ARTS 78 Y 85 DEL DECRETO LEY 8031/73</t>
  </si>
  <si>
    <t>HALL DE ARRIBOS, FRENTE AL BANCO DE LA NACION ARGENTINA</t>
  </si>
  <si>
    <t>LOS OFICIALES DANIEL MAUAD, PATRICIA GUAGLIANONE Y JUAN FERNANDEZ, CONSTATAN LA PRESENCIA DE UNA PERSONA DE SEXO MASCULINO, QUIEN SE ENCONTRABA EN INSTALACIONES DE ESTA AEROSTACIóN MAS PRECISAMENTE EN EL SECTOR DENOMINADO HALL DE ARRIBOS DE LA TERMINAL "A", OFRECIENDO SERVICIO DE TRANSPORTE PúBLICO, A VIVA VOZ, A PASAJEROS RECIéN ARRIBADOS AL PAíS, SIENDO ADVERTIDO EL MISMO EN REITERADAS OPORTUNIDADES DE QUE NO PODíA REALIZAR DICHA LABOR, SIENDO QUE SU ACCIONAR ES VIOLATORIO POR INFRINGIR LOS ARTS. 2 Y 7 DE LA RESOLUCIóN 269/98 DE LA SECRETARIA DE TRANSPORTE DE LA NACIóN, HACE CASO OMISO A LAS ADVERTENCIAS , CONTINUANDO CON SU ACCIONAR, EN VIRTUD DE ELLO ES QUE SE PROCEDE A LA IDENTIFICACIóN Y APREHENSIóN PREVENTIVA DEL CAUSANTE, CONSTACION DE DOMICILIO Y ANTECEDENTES PENALES LUEGO DE ELLO EL INFRACTOR SE RETIRA POR SUS PROPIOS MEDIOS.</t>
  </si>
  <si>
    <t>KM 27 AUTOPISTA TTE. GRAL. RICCHIERI</t>
  </si>
  <si>
    <t>SE RECIBE COMUNICACION VIA RADIO FRECUENCIA POR PARTE DEL PUESTO TAQUILLA DANDO CUENTA QUE HABIA UN CHOQUE EN LA AUTOPISTA. EN ESTE CONTEXTO QUIEN SUSCRIBE SE HACE PRESENTE EN EL LUGAR, PUDIENDO OBSERVAR QUE ERA HABIDO EN EL LUGAR SOBRE EL CARRIL AL TRANSITO RAPIDO, CIUDAD AUTONOMA DE BUENOS AIRES, JUNTA AL GUARDA RAIL UNA CAMIONETA PEUGEOT PARTNER COLOR BLANCA CON DOMINIO COLOCADO IQF693, PERTENECIENTE A LA EMPRESA POSADA DE LAS AGUILAS, LA CUAL SE ENCONTRABA VISIBLEMENTE GOLPEADA EN EL SECTOR LATERAL IZQUIERDO, ENCONTRANDOSE EN SU INTERIOR EL CONDUCTOR CON HERIDAS VISIBLES EN SU ROSTRO Y EN ESTADO CONSCIENTE. LUEGO FUE TRASLADADO POR PERSONAL MEDICO AL HOSPITAL ZONAL EZEIZA. SEGUIDAMENTE QUIEN SUSCRIBE MANTUVO COMUNICACION TELEFONICA CON LA JUDICATURA INTERVINIENTE, QUIEN DISPUSO SE LABREN ACTUACIONES DE RIGOR. SE DEJA CONSTANCIA QUE SE PROCEDIO AL REMOLQUE DE LA CAMIONETA EN CUESTION AL PUESTO LIMA.</t>
  </si>
  <si>
    <t>MAQUINA DE RAYOS X ADUANA</t>
  </si>
  <si>
    <t>CONTROL DE CARGA DE ARRIBO</t>
  </si>
  <si>
    <t>EN EL DIA DE LA FECHA EN CONTROL DE CARGA ARRIBADA Y DANDO CUMPLIMIENTO A LA ORDEN DE SERVICIO 13/09 DE ESTA UOSP, SE INDIVIDUALIZA UNA CAJA QUE CONTENDRIA MATERIAL ORGANICO. SE REALIZA COMUNICACION TELEFONICA CON EL JUZAGDO FEDERAL DE USHUAIA Y A LA FISCALIA. SS. DISPONE SE CONTROLE DICHA CAJA POR MEDIO DE CAN ANTINARCOTICOS. SE PRESENTA EL GUIA DE CAN, CON EL CAN ROCO DE LA DGA SR. ARMENDARIZ JORGE LEGAJO N° 17175-1.CONTROLANDO LA CAJA DANDO COMO RESULTADO NEGATIVO. SE INFORMA DEL RESULTADO AL JUZGADO , INDICANDO EL MISMO QUE LA CAJA QUEDE A RESGUARDO DE ESTA PREVENCION Y A DISPOSICION DEL MISMO, PARA QUE EL DIA LUNES SEA ENTREGADA A SU DESTINATARIO PREVIA VERIFICACION DEL CONTENIDO.-SE LABRA ACTA DE PROCEDIMIENTO Y ACTA DE RETENCION.-</t>
  </si>
  <si>
    <t>AR-1856</t>
  </si>
  <si>
    <t>JUZGADO DE INSTRUCCION N° 1 - GOYA - CORRIENTES</t>
  </si>
  <si>
    <t>LOPEZ LECUBE</t>
  </si>
  <si>
    <t>LUCIO RAUL</t>
  </si>
  <si>
    <t>DR. JORGE ANTONIO SOTO</t>
  </si>
  <si>
    <t>TESTA, MARIO EDUARDO P/DEPOSITARIO INFIEL</t>
  </si>
  <si>
    <t>OFICINA DE LA DNM.</t>
  </si>
  <si>
    <t>CONTROL MIGRATORIO</t>
  </si>
  <si>
    <t>SIENDO LAS NUEVE HORAS TREINTA MINUTOS DEL DIA DE LA FECHA, SE RECIBE POR PARTE DE LA DIRECCION NACIONAL DE MIGRACIONES AL CIUDADANO ITALIANO MARIO TESTA, POR PESAR SOBRE EL MISMO UNA ORDEN DE CAPTURA CARATULADA TESTA MARIO EDUARDO P/DEPOSIATRIO INFIEL. SEGUIDAMENTE SE MANTIENE COMUNICACION TELEFONICA CON EL DR. LOPEZ LECUBE TITULAR DEL JUZGADO SOLICITANTE, QUIEN DISPONE SE MANTENGA NUEVA COMUNICACION EL DIA PRIMERO DE MAYO DEL CORRIENTE MES Y AÑO EN HORAS DE LA MAÑANA A LOS EFECTOS DE RECIBIR DIRECTIVAS CON RESPECTO AL CASO. QUEDANDO EL DETENIDO ALOJADO EN ESTA DEPENDENCIA HASTA NUEVO AVISO. SEGUN PU Nº 2609 SEGUN LO DISPUESTO POR LA JUDICATURA SOLICITANTE, SIENDO LAS DIECISEIS HORAS DEL DIA 1 DE MAYO, SE PROCEDE A LA LIBERACION DEL CAUSANTE, PREVIA CONSTATACION DE DOMICILIO FIJADO POR EL MISMO EN EL PAIS, NOTIFICACION CON COMPARECENCIA Y RESULTADO DE REINCIDENCIA. SOBRE ESTE ULTIMO, UNA VEZ OBTENIDA LA RESPUESTA SE PROCEDE A DAR LA LIBERTAD DEL IMPUTADO</t>
  </si>
  <si>
    <t>Iermini</t>
  </si>
  <si>
    <t>Alicia Mercedes</t>
  </si>
  <si>
    <t>DEFRAUDACIONES REITERADAS</t>
  </si>
  <si>
    <t>OFICINA DE LA D.N.M.</t>
  </si>
  <si>
    <t>LA D.N.M. REMITE A ESTA DEPEDENDENCIA AL PASAJERO LOLATO, EN VIRTUD A QUE EL MISMO REGISTRA UNA ORDEN DE CAPTURA VIGENTE SOLICITADA POR EL JUZGADO DE INSTRUCCION NUMERO 13 DE C.A.B.A. SEGUIDAMENTE, SE COMUNICA A ESTE DEPEDENCIA POLICIAL EL DR. CATULO RUIZ, ABOGADO DEL CAUSANTE, QUIEN MANIFESTO QUE LA CAUSA QUE PESA SOBRE EL HABIDO FUE GIRADA AL JUZGADO NACIONAL EN LO CRIMINAL DE INSTRUCCION NUMERO 48, SECRETARIA NUMERO 145 DE C.A.B.A. POR TAL MOTIVO, EL JEFE DE TURNO PROCEDE A MANTENER COMUNICACION TELEFONICA CON EL DR. NESTOR ABEL PANTANO, TITULAR DE LA SECRETARIA NUMERO 145 DEL JUZGADO NACIONAL EN LO CRIMINAL DE INSTRUCCION NUMERO 48 A CARGO DEL JUEZ DRA. ALICIA MERCEDES IERMINI, A QUIEN PONE EN CONOCIMIENTO DE LA MEDIDA RESTRICTIVA QUE PESA SOBRE EL HABIDO, INDICANDO EL MISMO, PREVIA CONSULTA CON S.SA, QUE LA CAUSA SE ENCUENTRA SIN EFECTO Y QUE SE LABRE DILIGENCIA DEJANDO CONSTANCIA PARA REGISTRO INTERNO DE ESTA DEPENDENCIA. MOTIVO POR EL CUAL, EL CAUSANTE, SIENDO LAS OCHO HORAS, CINCUENTA MINUTOS DEL DIA DE LA FECHA, SE RETIRA DE ESTA DEPENDENCIA POLICIAL POR SUS PROPIOS MEDIOS Y CONFORME CON LOS TRATOS RECIBIDOS. PTO.-</t>
  </si>
  <si>
    <t>JJ 8002</t>
  </si>
  <si>
    <t>BAHIA.-</t>
  </si>
  <si>
    <t>SIENDO LAS 12:10 HS ATERRIZA AERONAVE OFICIAL DE PRESIDENCIA, MATRICULA T10 CON EL DR NESTOR KIRCHNER, MINISTRO DEL INTERIOR DR. RANDAZZO Y COMITIVA POR ACTO DEL DIA DEL TRABAJADOR EN LA CIUDAD DE PARANA</t>
  </si>
  <si>
    <t>BUEOS AIRES</t>
  </si>
  <si>
    <t>PARANA-ENTRE RIOS</t>
  </si>
  <si>
    <t>2603/10</t>
  </si>
  <si>
    <t>CUMPLO EN INFORMAR QUE EN VIRTUD A LO DISPUESTO POR LA JUDICATURA SOLICITANTE, SIENDO LAS DIECISEIS HORAS DEL DIA 1 DE MAYO, SE PROCEDE A LA SOLTURA DEL CAUSANTE, PREVIA CONSTATACION DE DOMICILIO FIJADO POR EL MISMO EN EL PAIS, NOTIFICACION CON COMPARECENCIA Y RESULTADO DE REINCIDENCIA. SOBRE ESTE ULTIMO, UNA VEZ OBTENIDA LA RESPUESTA DE DICHO ORGANISMO, EL MISMO NO PRESENTA IMPEDIMENTOS LEGALES DQUE RESTRINJAN SU LIBRE CIRCULACION, MOTIVO POR EL CUAL, EL HABIDO SE RETIRA DE ESTA DEPENDENCIA POLICIAL POR SUS PROPIOS MEDIOS Y CONFORME CON LOS TRATOS RECIBIDOS. PTO.-</t>
  </si>
  <si>
    <t>2608/10</t>
  </si>
  <si>
    <t>SIENDO LAS 17:10 HS DESPEGA AERONAVE OFICIAL DE PRESIDENCA, MATRICULA T10 CON DESTINO AEROPARQUE CON EL DR NESTOR KIRCHNER, SR MINISTRO DEL INTERIOR, DR RANDAZZO Y COMITIVA QUIENES PARTICIPARON DEL ACTO DEL DIA DEL TRABAJOR EN LA CIUDAD DE PARANA</t>
  </si>
  <si>
    <t>INF. AL ART. 78 Y 85 DEC LEY 8031/73</t>
  </si>
  <si>
    <t>EN CIRCUNSTANCIAS QUE EL INTRERVINIENTE SE ENCONTRABA RECORRIENDO EN EL SECTOR ANTEDICHO OBSERVA A DOS PERSONAS DEL GENERO MASCULINO, QUIENES SE ENCONTRABAN OFRECIENDO SERVICIO DE TRANSPORTE PUBLICA A VIVA VOZ A PASAJEROS RECIEN ARRIBADOS AL PAIS. HABIDO CUENTA DE ELLO Y SIENDO QUE DICHO ACCIONAR ES VIOLATORIO SE PROCEDE A LA IDENTIFICACION Y APREHENCION DE LOS CAUSANTES.-</t>
  </si>
  <si>
    <t>INF. AL ART. 78 Y 85 DEC. LEY 8031/73</t>
  </si>
  <si>
    <t>ISLA DE ESTACIONAMIENTO</t>
  </si>
  <si>
    <t>EN CIRCUNSTANCIAS QUE EL INTERVINIENTE SE ENCONTRABA RECORRIENDO EL SECTOR ANTEDICHO CONSTATA LA PRESENCIA DE DOS PERSONAS DE SEXO MASCULINOS QUIENES SE ENCONTRABAN OFRECIENDO SIMULTANEAMENTE Y EN REITERADAS OPORTUNIDADES, SERVICIO DE TRANSPORTE PUBLICO A VIVA VOZ A DIFERENTES PERSONAS QUE TRANSITABAN POR EL SECTOR. HABIDA CUENTA DE ELLO Y SIENDO QUE DICHO ACCIONAR ES VIOLATORIO SE PROCEDE A LA IDENTIFICACION Y APREHENSION DE AMBOS.-</t>
  </si>
  <si>
    <t>JUZGADO DE INSTRUCCION EN LO PENAL Nº 1 DE JUJUY</t>
  </si>
  <si>
    <t>ALVAREZ PRADO</t>
  </si>
  <si>
    <t>GASTON MERCAU</t>
  </si>
  <si>
    <t>AMENAZAS ART 149 BIS DEL CPN</t>
  </si>
  <si>
    <t>INFORMO QUE SIENDO LA HORA 18:30 MINUTOS, SE PRESENTA EL SR. VICTOR MIGUEL BRAVO, ADMINISTRADOR DE LA EMPRESA AA 2000, A RADICAR DENUNCIA POR AMENAZA INFERIDA SEGUN EL, POR EL SR. DANIEL VALDEZ, EX CONCESIONARIO DE CONFITERIA AEROPUERTO, MEDIANTE LLAMADO TELEFONICO AL TELEFONO 0388-15484022 DE LA EMPRESA PERSONAL DE SU PROPIEDAD, MANIFESTANDOLE TEXTUALMENTE -PUTO TE VOY A MATAR-. SE REALIZA LLAMADO AL JUZGADO DE INSTRUCCION EN LO PENAL Nº 1, DR. CARLOS FARFAN QUIEN ORDENA SE RECIBA LA MISMA Y SE DE INTERVENCION A SEC. Nº 21 DE LA POLICIA DE LA PCIA DE JUJUY DE CIUDAD PERICO</t>
  </si>
  <si>
    <t>2594/10</t>
  </si>
  <si>
    <t>QUE EN EL DIA DE LA FECHA, REGRESADA LA COMISION DEL HOSPITAL ZONAL EZEIZA, INFORMA LAS DEPOSICIONES DEL DETENIDO: 1535 HS, TRES CAPSULAS, CON PESO TOTAL DE TREINTA Y SEIS GRAMOS.</t>
  </si>
  <si>
    <t>GODOY JESUS ALBERTO S/CONTRABANDO DE ESTUPEFACIENTES</t>
  </si>
  <si>
    <t>SE RECEPCIONA DE LA DNM AL CAUSANTE, QUIEN REGISTRA UNA ORDEN DE CAPTURA SOLICITADA POR EL JUZGADO INTERVINIENTE. QUE MANTENIDA COMUNICACION TELEFONICA CON EL MISMO, DISPUSO LA DETENCION , Y TRASLADO PARA EL DIA 03/05/10, A SEDE JUDICIAL. SEGUN AMPLIATORIO Nº 2630 SE LO TRASLADA A SEDE JUDICIAL</t>
  </si>
  <si>
    <t>FISCALIA DE INVESTIGACION PROVINCIAL N° 4 DE RESISTENCIA - CHACO.</t>
  </si>
  <si>
    <t>GRIFFIT DE BARRETO</t>
  </si>
  <si>
    <t>MASTORI SILVIA</t>
  </si>
  <si>
    <t>DAMNIFICADO-LESIONES.</t>
  </si>
  <si>
    <t>CAMINO DE INGRESO A 1500 METROS DE LA RUTA Nº 11 Y A 1300 METROS DE LA AEROSTACION.</t>
  </si>
  <si>
    <t>SE RECIBE COMUNICACION TELEFONICA DE UN PERSONAL DE ESTA UNIDAD QUE SALIENDO DEL SERVICIO DE GUARDIA OBSERVA UNA PERSONA TENDIDA EN LA CINTA ASFALTICA. EL JEFE DE TURNO SE DIRIGE AL LUGAR EN EL MOVIL DE DOTACION, ENCONTRANDO A UN MENOR QUE HABIA CAIDO CON SU BICICLETA GOLPEANDO LA CABEZA EN EL SUELO, ESTA PERSONA SE ENCONTRABA EN COMPANIA DE SU PADRE EL SEñOR PALACIOS JOSé MARIA, D.N.I. Nº 21.468.606, DE 40 AñOS DE EDAD, NACIDO EL DíA 22/02/1970, DE ESTADO CIVIL SOLTERO, DE OCUPACIóN EMPRESARIO, DOMICILIADO EN MENDOZA Nº 1051 DE LA CIUDAD DE RESISTENCIA, TELéFONO PARTICULAR Nº 472014 Y CELULAR Nº 15664163. LUEGO SE HACE PRESENTE LA AMBULANCIA DE FEMECHACO TRASLADANDO AL ACCIDENTADO AL HOSPITAL JULIO C. PERRANDO DONDE LE DIAGNOSTICAN TRAUMATISMOS LEVES EN CODO IZQUIERDO, RODILLAS Y COLUMNA CERVICAL. SE INFORMA A LA FISCALIA EN TURNO Y SE INICIAN ACTUACIONES.</t>
  </si>
  <si>
    <t>NAC. DE 1º INST. EN LO CRIM CORR FEDERAL Nº 12</t>
  </si>
  <si>
    <t>SECRETARIA Nº 23</t>
  </si>
  <si>
    <t>DR. SLUPSKI</t>
  </si>
  <si>
    <t>SIENDO LAS 18:50 HORAS AL MOMENTO DE REALIZAR UN CHEQUEO A UN MASCULINO EL OFICIAL SE PERCATA QUE ENTRE SUS PERTENENCIAS QUE POSEIA EN SU BOLSILLO SE ENCONTRABA UNA BOLSA DE NYLON CON UNA SUSTANCIA DE ORIGEN VEGETAL DE COLOR VERDOSO POR LO QUE EL OFICIAL LE CONSULTA Y EL MISMO MANIFESTO DE QUE ERA MARIHUANA, SEGUIDAMENTE SE PIDIO LA PRESENCIA DE 2 TESTIGOS Y A CONTINUACION TODOS LOS INTERVINIENTES SE DIRIGIERON A LA GUARDIA DE PREVENCION A REALIZAR LAS ACTUACIONES. SIENDO LAS 19:20 HORAS SE ENTABLA COMUNICACION CON EL SECRETARIO DEL JUZGADO EL CUAL DISPONE: MANTENER AL IMPUTADO EN CARACTER DE DETENIDO COMUNICADO, 3 JUEGOS DE FICHAS DACTILOSCOPICAS, FOTOS DEL PROCEDIMIENTO E IMPUTADO, ART 86 RJECC, REINCIDENCIA, IDGE, ART 26 Y ART 41, ENVIAR AL LABORATORIO LA SUSTANCIA SECUESTRADA. CONSTATACION DE DOMICILIO, PRECARIO DE ENTRADA Y EN CASO DE NO MEDIAR IMPEDIMENTO LEGAL CON EL RESULTADO OBTENIDO POR LA DIRECCION NACIONAL DE REINCIDENCIA PROCEDER A LA SOLTURA. SEGUN AMPLIATORIOS 2622/2619 SIENDO LAS 03:20 HORAS POR ORDEN DE LA JUDICATURA ACTUANTE, AL NO MEDIAR IMPEDIMENTO LEGAL VIGENTE SEGÚN LOS RESULTADOS APORTADOS POR LA DIRECCION DE REGISTRO NACIONAL DE REINCIDENCIA, SE PROCEDE A DEJAR EN LIBERTAD AL SR. AREVALO SEBASTIAN ALBANO.</t>
  </si>
  <si>
    <t>AR1424</t>
  </si>
  <si>
    <t>JUZGADO NACIONAL CORRECCIONAL Nº 4</t>
  </si>
  <si>
    <t>SECRETARIA Nº 67</t>
  </si>
  <si>
    <t>Ponte</t>
  </si>
  <si>
    <t>Francisco Carlos</t>
  </si>
  <si>
    <t>PEDROSO JULIO AUGUSTO</t>
  </si>
  <si>
    <t>VEREDA - SECTOR DE SERVICIO DE TAXI</t>
  </si>
  <si>
    <t>SE PRESENTA MILLER MOLLY A FIN DE RADICAR FORMAL DENUNCIA , MANIFESTANDO QUE LUEGO DE RECOGER SU EQUIPAJE SE DIRIGE HACIA LA VEREDA CON EL FIN DE ABORDAR UN VEHICULO TAXíMETRO. PASADOS UNOS MINUTOS HIZO EL ASCENSO AL VEHICULO TAXíMETRO, MOMENTO EN EL CUAL SE PERCATE DE QUE SU MOCHILA COLOR GRIS LA CUAL HABíA DEJADO APOYADA EN EL SUELO Y JUNTO A ELLA , YA NO ESTABA. SEGUN PU AMPLIATORIO 2906 CON FECHA 14 DE MAYO DE 2010, HABIENDO SOLICITADO LAS FILMACIONES RELACIONADAS AL HECHO, SE COMPROBO QUE LA DENUNCIANTE HABIA DEJADO OLVIDADO SU MOCHILA GRIS DENTRO DEL SECTOR DENOMINADO ARRIBOS NACIONALES A1, RETIRANDOSE DEL SECTOR. POSTERIORMENTE PERSONAL DE LA EMPRESA LAN ARGENTINA LINEAS AEREAS RECOJE LA MOCHILA Y LA TRASLADA HASTA SU OFICINA DE RECLAMO DE EQUIPAJES UBICADA EN EL SECTOR DENOMINADO ARRIBOS NACIONALES A2. CONSULTADO PERSONAL DE LA EMPRESA MANIFIESTA QUE LA SRA. CARBALO LORENA, EMPLEADA DE LAN ARGENTINA, SE COMUNICO VIA MAIL CON LA DENUNCIANTE, PROCEDIENDO A LA DEVOLUCION LA MOCHILA EL DIA 02 DE MAYO DE 2010.-</t>
  </si>
  <si>
    <t>LA 4245</t>
  </si>
  <si>
    <t>2617/10</t>
  </si>
  <si>
    <t>SIENDO LAS 03:20 HORAS POR ORDEN DE LA JUDICATURA ACTUANTE, AL NO MEDIAR IMPEDIMENTO LEGAL VIGENTE SEGÚN LOS RESULTADOS APORTADOS POR LA DIRECCION DE REGISTRO NACIONAL DE REINCIDENCIA, SE PROCEDE A DEJAR EN LIBERTAD AL SR. AREVALO SEBASTIAN ALBANO. SIN NOVEDAD</t>
  </si>
  <si>
    <t>NAC. EN LO PENAL ECONOMICO Nº 2</t>
  </si>
  <si>
    <t>INFORMO QUE MIENTRAS PERSONAL POLICIAL SE ENCONTRABA EFECTUANDO CONTROLES SOBRE LOS EQUIPAJES DESPACHADOS A BODEGA, MEDIANTE LA MAQUINA DE RAYOS X, SE DETECTA DENTRO DE UNA VALIJA TIPO CARRY ON SUSTANCIA ORGANICA QUE NO PUEDEN DETERMINAR FEHACIENTEMENTE DEL ELEMENTO QUE SE TRATA. POR TAL MOTIVO SE PROCEDE A CONVOCAR A DOS TESTIGOS Y DAR CON EL PROPIETARIO DEL EQUIPAJE .SE MANTIENE COMUNICACION TELEFONICA CON EL JUZGADO INTERVINIENTE, QUIEN AUTORIZA LA REQUISA DEL EQUIPAJE. ENCONTRANDO DEBAJO DEL FORRO QUE RECUBRE TODO EL INTERIOR DE LA VALIJA UNA PLANCHA DE PLASTICO DEJANDOSE VER POR DEBAJO DE ESTA UN PAQUETE. EN VIRTUD A ELLO PERSONAL POLICIAL EFECTUA UN CORTE SOBRE EL MISMO EXTRAYENDO UNA PEQUEÑA PORCION DE SUSTANCIA PULVERULENTYA, QUE SOMETIDA A PRUEBA DE CAMPO PARA COCAINA, ARROJA RESULTADO POSITIVO. A CONTINUACION SE DA LA NOVEDAD AL JUZGADO, QUIEN DISPONE QUE SE PROCEDA A LA DETENCION DEL CAUSANTE Y SE ELEVE LO ACTUADO JUNTAMENTE CON TODOS LOS SECUESTROS. SEGÚN EL PU Nº 2632 EL DIA TRES DE MAYO DEL CORRIENTE AÑO, Y POR DISPOSICION JUDICIAL SE EFECTUO EL TRASLADO A SEDE TRIBUNAL DEL DETENIDO EN AUTOS</t>
  </si>
  <si>
    <t>MADRID A TRAVEZ DE UX 1044</t>
  </si>
  <si>
    <t>INFORMO QUE MIENTRAS PERSONAL POLICIAL SE ENCONTRABA EFECTUANDO UN CONTROL PREVENTIVO SOBRE LOS EQUIPAJES DESPACHADOS A BODEGA, MEDIANTE LA MAQUINA DE RAYOS X, EMPLAZADA EN EL SECTOR, DETECTAN DENTRO DE UNA VALIJA TIPO CARRY ON SUSTANCIA ORGANICA QUE NO PUEDEN DETERMINAR FEHACIENTEMENTE DEL ELEMENTO QUE SE TRATA. POR TAL MOTIVO SE PROCEDE A CONVOCAR A DOS TESTIGOS Y LUEGO PERSONAL POLICIAL JUNTO A UNO DE LOS TESTIGOS, SE DIRIGEN A LA SALA DE EMBARQUE DE PASAJEROS, CON EL FIN DE DAR CON EL PROPIETARIO DEL EQUIPAJE EN CONFLICTO. UNA VEZ QUE SE LOGAR DAR CON EL PASAJERO EN CUESTION, SE LO INVITA AL PATIO DE VALIJAS DONDE RECONOCE COMO DE SU PROPIEDAD EL EQUIPAJE. EN ESTE CONTEXTO, SE TRASLADA A TODOS LOS INTERVINIENTES AL ASIENTO DE LA GUARDIA DE PREVENCION, A LOS EFECTOS DE LABRAR LAS ACTUACIONES QUE DIERAN A LUGAR. UNA VEZ EN LA GUARDIA, SE MANTIENE COMUNICACION TELEFONICA CON EL JUZGADO INTERVINIENTE, QUIEN AUTORIZA LA REQUISA DEL EQUIPAJE. LUEGO SE PROCEDE A LA REQUISA DEL EQUIPAJE, DONDE EN PRIMER TERMINO SE APERTURA EL MISMO RETIRANDO TODOS LOS ELEMENTOS HABIDOS EN SU INTERIOR, SEGUIDAMENTE SE QUITA EL FORRO QUE RECUBRE TODO EL INTERIOR DE LA VALIJA Y POR ULTIMO UNA PLANCHA DE PLASTICO DEJANDOSE VER POR DEBAJO DE ESTA UN PAQUETE. EN VIRTUD A ELLO PERSONAL POLICIAL EFECTUA UN CORTE SOBRE EL MISMO EXTRAYENDO UNA PEQUEÑA PORCION DE SUSTANCIA PULVERULENTA, QUE SOMETIDA A PRUEBA DE CAMPO PARA COCAINA, ARROJA RESULTADO POSITIVO. A CONTINUACION SE DA LA NOVEDAD AL JUZGADO, QUIEN DISPONE QUE SE PROCEDA A LA DETENCION DEL CAUSANTE Y SE ELEVE LO ACTUADO EL DIA LUNES TRES DEL ACTUAL MES Y AÑO, JUNTAMENTE CON TODOS LOS SECUESTROS. SEGÚN PU 2631 DEL 3-5-10 EL DETENIDO ES TRASLADADO A SEDE JUDICIAL PERSONAL DEL COC INFORMA QUE EN MOMENTOS PREVIOS A EMBARCAR, AL IMPUTADO SE LO OBSERVÓ EN COMPAÑIA DE UNA PERSONA DE SEXO FEMENINO. LA CUAL, AL SER IDENTIFICADA, ACREDITÓ IDENTIDAD CON PASAPORTE DE PARAGUAY Nº 0-4403 A NOMBRE DE MONICA ADDARIO DAVALOS, MANIFESTANDO CUMPLIR FUNCIONES EN LA CANCILLERIA DEL PARAGUAY. LA JUDICATURA INTERVINIENTE DISPUSO QUE LA MISMA PROSIGA CON SU VIAJE YA QUE SE LE REALIZARON LOS CONTROLES POLICIALES, CON RESULTADO NEGATIVO Y ADEMAS QUE SOLAMENTE SE LA OBSERVÓ HABLANDO CON EL IMPUTADO</t>
  </si>
  <si>
    <t>SIENDO LAS 18:50 HORAS AL MOMENTO DE REALIZAR UN CHEQUEO A UN MASCULINO EL OFICIAL SE PERCATA QUE ENTRE SUS PERTENENCIAS QUE POSEIA EN SU BOLSILLO SE ENCONTRABA UNA BOLSA DE NYLON CON UNA SUSTANCIA DE ORIGEN VEGETAL DE COLOR VERDOSO POR LO QUE EL OFICIAL LE CONSULTA Y EL MISMO MANIFESTO DE QUE ERA MARIHUANA, SEGUIDAMENTE SE PIDIO LA PRESENCIA DE 2 TESTIGOS Y A CONTINUACION TODOS LOS INTERVINIENTES SE DIRIGIERON A LA GUARDIA DE PREVENCION A REALIZAR LAS ACTUACIONES. SIENDO LAS 19:20 HORAS SE ENTABLA COMUNICACION CON EL SECRETARIO DEL JUZGADO EL CUAL DISPONE: MANTENER AL IMPUTADO EN CARACTER DE DETENIDO COMUNICADO, 3 JUEGOS DE FICHAS DACTILOSCOPICAS, FOTOS DEL PROCEDIMIENTO E IMPUTADO, ART 86 RJECC, REINCIDENCIA, IDGE, ART 26 Y ART 41, ENVIAR AL LABORATORIO LA SUSTANCIA SECUESTRADA. CONSTATACION DE DOMICILIO, PRECARIO DE ENTRADA Y EN CASO DE NO MEDIAR IMPEDIMENTO LEGAL CON EL RESULTADO OBTENIDO POR LA DIRECCION NACIONAL DE REINCIDENCIA PROCEDER A LA SOLTURA.</t>
  </si>
  <si>
    <t>BUENOAS AIRES</t>
  </si>
  <si>
    <t>SEGUNDO SUBSUELO DEL PARKING MULTINIVEL</t>
  </si>
  <si>
    <t>LUEGO DE ARRIBAR SE , TRASLADA CON SUS EQUIPAJES EN UN CARRO PORTA MALETAS Y SE DIRIGE AL LOCAL DE MAC CAFE, DESPLAZANDOSE POSTERIORMENTE AL SECTOR DE PERGOLA Y ABORDANDO UN VEHICULO DE ALQUILER DONDE CARGA SUS EQUIPAJES Y SE RETIRA HACIA LA CIUDAD AUTONOMA DE BUENOS AIRES. RECORRIDOS 20 MINUTOS DE VIAJE SE PERCATA DEL FALTANTE POR LO QUE REGRESA AL AEROPUERTO , NO PUDIENDO DAR CON EL BOLSO FALTANTE</t>
  </si>
  <si>
    <t>AA909</t>
  </si>
  <si>
    <t>CUMPLO EN INFORMAR EL DETALLE DE LAS DEPOSICIONES EFECTUADAS POR EL DETENIDO EN AUTOS, A SABER: DEPOSICION N° 2 CUATRO CAPSULAS EL DIA 1/5 17:25 HORAS, PESO TOTAL 48 GRAMOS, DEPOSICION N° 3 TRES CAPSULAS EL DIA 1/5 18:00 HORAS, PESO TOTAL 36 GRAMOS, DEPOSICION N° 4 CINCO CAPSULAS EL DIA 1/5 19:15 HORAS, PESO TOTAL 60 GRAMOS, DEPOSICION N° 5 CINCO CAPSULAS EL DIA 1/5 20:30 HORAS, PESO TOTAL 60 GRAMOS, DEPOSICION N° 6 CUATRO CAPSULAS EL DIA 2/5 09:20 HORAS, PESO TOTAL 48 GRAMOS, DEPOSICION N° 7 CINCO CAPSULAS EL DIA 2/5 10:25 HORAS, PESO TOTAL 60 GRAMOS, DEPOSICION N° 8 UNA CAPSULA EL DIA 2/5 11:15 HORAS, PESO TOTAL 12 GRAMOS. PTO.-</t>
  </si>
  <si>
    <t>DRA SILVIA MASTORI</t>
  </si>
  <si>
    <t>DAMNIFICADO - LESIONES CULPOSAS</t>
  </si>
  <si>
    <t>DAMNIFICADO LESIONES CULPOSAS</t>
  </si>
  <si>
    <t>CAMINO DE INGRESO A 1500 MTS DE LA RUTA Nº 11 Y A 1300 MTS DE LA AEROESTACION</t>
  </si>
  <si>
    <t>EN CIRCUNSTANCIAS DE REALIZAR RECORRIDAS PREVENTIVAS POR PARQUIZADO EL PERSONAL DE TURNO OBSERVA DOS PERSONAS TENDIDAS SOBRE LA CINTA ASFALTICA. DANDO LA NOVEDAD AL JEFE DE TURNO QUIEN REALIZA LAS COORDINACIONES PARA LA ASISTENCIA MEDICA DE UNO DE LOS ACCIDENTADOS POR PARTE DEL SERVICIO MEDICO DE FEMECHACO EMERGENCIAS DESTACADO EN ESTE AEROPUERTO. QUIEN PERMANECE CON EL ACCIDENTADO HASTA LA LLEGADA DEL SERVICIO DE AMBULANCIAS 107.EL QUE ES TRASLADADO AL HOSPITAL PERRANDO A TRAVES DEL SERVICIO DE AMBULANCIAS 107 A CARGO DE LA DRA PAOLA LOPEZ, DONDE SE LE DIAGNOSTICA TRAUMATISMO DE TORAX Y HOMBRO DERECHO, SE LE REALIZA RX DONDE NO SE EVIDENCIA OTRAS LESIONES, DIAGNOSTICO DADO POR EL DR OBREGON CRISTIAN Y EL SEÑOR LEZCANO SE RETIRA DEL LUGAR POR SUS PROPIOS MEDIOS SIN SER ATENDIDO POR EL SERVICIO MEDICO FEMECHACO, SIN LESIONES APARENTES . AMBAS PERSONAS SE TRASLADABAN EN BICICLETAS DE CARRERA Y EN EL MISMO SENTIDO Y SE ACCIDENTARON AL ESQUIVAR A UN MENOR QUE CRUZABA LA CINTA ASFALTICA EN ESE MOMENTO. SE DA INTERVENCION A LA FISCALIA DE INVESTIGACION PROVINCIAL Nº 4 QUIEN INFORMADO DEL HECHO ORDENA SE TRASLADE AL ACCIDENTADO AL SERVICIO MEDICO SE REALICEN LAS ACTUACIONES CORRESPONDIENTES Y SE ELEVE LO ACTUADO A ESA FISCALIA</t>
  </si>
  <si>
    <t>DRA. SABRINA FANELLO</t>
  </si>
  <si>
    <t>CINTA DE RETIRO DE EQUIPAJES N° 03</t>
  </si>
  <si>
    <t>QUE AL RETIRAR SU EQUIPAJE, NOTA QUE HABIA SIDO VIOLENTADO EL CANDADO CON EL QUE SE HABIA CERRADO EL MISMO, EFECTUANDO UNA REVISION MEDIANTE LA CUAL NOTO EL FALTANTE DE PARTE DE SUS PERTENENCIAS.REALIZANDO EL CORRESPONDIENTE RECLAMO ANTE LA EMPRESA AEROCOMERCIAL, RETIRANDOSE A SU DOMICILIO Y EFECTUANDO LA FORMAL DENUNCIA EN EL DIA DE LA FECHA .-</t>
  </si>
  <si>
    <t>CINTAS DE RETIRO DE EQUIPAJES/OFICINA DE RECLAMOS DE EQUIPAJE DE AEROLINEAS ARGENTINAS</t>
  </si>
  <si>
    <t>SE HACE PRESENTE LA DAMNIFICADA A FIN DE RADICAR FORMAL DENUNCIA , MANIFESTANDO QUE ARRIBO A LAS INSTALACIONES DE LA TERMINAL "B" DE ESTE AEROPUERTO INTERNACIONAL EN EL VUELO SIN ESCALA Nº AR 1303 DE LA EMPRESA AEROCOMERCIAL AEROLíNEAS ARGENTINAS, PROCEDENTE DE LA CIUDAD DE MIAMI, ESTADOS UNIDOS DE AMéRICA. . SE DIRIGE HACIA EL SECTOR DE CINTAS DE ARRIBOS DE EQUIPAJES EMPLAZADO EN LA PLANTA BAJA DE DICHA TERMINAL, A LOS EFECTOS DE RETIRAR SUS EQUIPAJES DESPACHADOS, TRANSCURRIDO UNOS CUARENTA Y CINCO MINUTOS APROXIMADAMENTE Y AL NO DAR CON SU VALIJA, SE DIRIGE HACIA EL MOSTRADOR DE RECLAMOS DE EQUIPAJES EMPLAZADO EN EL SECTOR, LUGAR EN DONDE FUE ATENDIDO UN SEñOR DE APELLIDO ALVAREZ, PERSONAL DE AEROLíNEAS ARGENTINAS, QUIEN LE EXHIBIó SU VALIJA INFORMANDOLE QUE LA MISMA HABíA LLEGADO CON LA NOVEDAD DE QUE EL CIERRE DE SU COMPARTIMIENTO PRINCIPAL SE ENCONTRABA A MEDIO ABRIR Y ROTO. ANTE ESTE HECHO, LA DENUNCIANTE, PROCEDE A LA APERTURA DEL EQUIPAJE Y UNA VEZ ABIERTO OBSERVA QUE SUS PERTENENCIAS NO ESTABAN DISPUESTAS DE LA FORMA EN QUE ELLA LAS HABíA COLOCADO, NOTANDO LOS FALTANTES.</t>
  </si>
  <si>
    <t>PERGOLA DE ASCENSO Y DESCENSO DE PASAJEROS- TERMINAL B</t>
  </si>
  <si>
    <t>SE HACE PRESENTE EL DAMNIFICADO A FIN DE RADICAR FORMAL DENUNCIA, MANIFESTANDO QUE LUEGO DE REALIZAR EL CHECK IN DEL VUELO AR1302 EN LA TERMINAL B, SE DIRIGE AL BANCO PIANO SITO EN LA TERMINAL A, SALIENDO DE AHí ES INTERCEPTADO POR CUATRO INDIVIDUOS DE SEXO MASCULINOS, QUIENES LE DICEN QUE LOS TRASLADARíAN A LA TERMINAL B Y QUE ESTO ERA UN SERVICIO DEL AEROPUERTO, ACCEDIENDO VOLUNTARIAMENTE EL DENUNCIANTE Y SU HERMANA A ABORDAR EL VEHICULO, SIENDO INVITADO SIMULTáNEAMENTE POR OTRO DE LOS SUJETOS, EL CUAL SE ABRíA LA PUERTA DEL AUTO. QUE ARRIBANDO AL ESPIGON "B", EL CONDUCTOR DEL VEHICULO ANTES MENCIONADO LE SOLICITA EL IMPORTE DE VEINTICINCO DóLARES, A LOS QUE EL DENUNCIANTE ACCEDE A ABONAR, DESCENDIENDO POSTERIORMENTE DEL RODADO JUNTAMENTE CON SU HERMANA, PERCATáNDOSE EN ESE MOMENTO DEL FALTANTE DE NOVENTA DóLARES QUE HABíA COLOCADO EN EL BOLSILLO DE SU PANTALóN. SEGUIDAMENTE EL FISCAL ORDENA SE RECABE INFORMACIóN DEL COC, PARA DAR CON LOS MASCULINOS , ES POR ELLO QUE SE LOGRA IDENTIFICAR A SUAREZ, QUIEN QUEDA AFECTADO A ACTUACIONES Y SE LE INCAUTA DóLARES ESTADOUNIDENSES, LUEGO DE ELLO SE RETIRA DE ESTA DEPENDENCIA</t>
  </si>
  <si>
    <t>AR 1302</t>
  </si>
  <si>
    <t>BUENOS AIRES MTO PISTARINI</t>
  </si>
  <si>
    <t>2624/10</t>
  </si>
  <si>
    <t>CUMPLO EN INFORMAR EL DETALLE DE LAS DEPOSICIONES EFECTUADAS POR EL DETENIDO EN AUTOS, A SABER: DEPOSICION N° 9 UNA CAPSULA EL DIA 2/5 18:25 HORAS, PESO TOTAL 12 GRAMOS. PTO.-</t>
  </si>
  <si>
    <t>2615/10</t>
  </si>
  <si>
    <t>DANDO CUMPLIMIENTO A LO ORDENADO, SIENDO LAS 7:30 HORAS DEL 03/05/10, SE PROCEDIO AL TRASLADO DEL DETENIDO A SEDE JUDICIAL. PTO.-</t>
  </si>
  <si>
    <t>2621/10</t>
  </si>
  <si>
    <t>INFORMO QUE A LAS 07:30 HORAS DEL DIA TRES DE MAYO, DEL CORRIENTE AÑO SE EFECTUO POR DISPOSICION JUDICIAL EL TRASLADO DEL DETENIDO A SEDE TRIBUNAL</t>
  </si>
  <si>
    <t>2620/10</t>
  </si>
  <si>
    <t>INFORMO QUE EL DIA TRES DE MAYO DEL CORRIENTE AÑO, Y POR DISPOSICION JUDICIAL SE EFECTUO EL TRASLADO A SEDE TRIBUNAL DEL DETENIDO EN AUTOS</t>
  </si>
  <si>
    <t>SIENDO LAS 07:56 HORA LOCAL ARRIBA AERONAVE MATRICULA LV-BHU DE LA EMPRESA LAN ARGENTINA PROCEDENTE DE AEROPUERTO JORGE NEWBERY EN CUYAS BODEGAS 31,32,41 Y 42 SE DESPACHAN 121 CAJAS CON UN PESO BRUTO DE 2.789 KILOGRAMOS DE METAL - MTD- PERTENECIENTES A LA EMPRESA CERRO VANGUARDIA. EL VUELO DESPEGA CON DESTINO A AEROPUERTO JORGE NEWBERY A LAS 08:58 HORA LOCAL SIN NOVEDAD. SE DIO CUMPLIMIENTO A LA ORDEN DE SERVICIO NRO 0033/2010.</t>
  </si>
  <si>
    <t>SE HALLO UNA VALIJA COLOR GRIS SOBRE LA VEREDA EXTERIOR ADYACENTE A LA AVENIDA COSTANERA, SE CONVOCO AL PESONAL DE GEDEX DE ESTA UNIDAD, A BOMBEROS DE LA PFA Y AL SERVICIO DE SANIDAD. SE EFECTUO CONTROL ANTIEXPLOSIVO CON RESULTADO NEGATIVO. SE CONFECCIONO ACTA DE HALLAZGO Nº 1019/10.-</t>
  </si>
  <si>
    <t>JUZGADO EN LO CRIMINAL Y CORRECCIONAL N° 1 DE SAN MARTIN</t>
  </si>
  <si>
    <t>DANIEL OMAR</t>
  </si>
  <si>
    <t>DRA. MARIA ISABEL ROMANO</t>
  </si>
  <si>
    <t>SANTA CRUZ EVA Y OTROS S/INFR ARTS 139, 146 Y 239 DEL CPN</t>
  </si>
  <si>
    <t>CALLE ALTUBE 1908 LOCALIDAD DE JOSE C. PAZ - PCIA. DE BUENOS AIRES</t>
  </si>
  <si>
    <t>TAREAS INVESTIGATIVAS - EL DIA 30-ABR-10 Y 01-MAY-10, PERSONAL DE ESTA UNIDAD, POR ORDEN DEL TITULAR DEL JUZGADO FEDERAL EN LO CRIMINAL Y CORRECCIONAL NRO. 1 DE SAN MARTIN A CARGO DEL DR. DANIEL O. GUTIERREZ, SECRETARIA NRO. 1 DE LA DRA. MARIA ISABEL ROMANO, EN EL MARCO DE LA CAUSA NRO. 3971 SIN CARATULA, SE PROCEDIO A REALIZAR TAREAS INVESTIGATIVAS EN EL DOMICILIO DE LA CALLE ALTUBE 1908 DE LA LOCALIDAD DE JOSE C. PAZ, PCIA. DE BUENOS AIRES, AFIN DE CONSTATAR SI EL SR. JORGE JULIAN SANTA CRUZ - DNI. NRO. 34.507.300, RECIDE ACTUALMENTE EN EL DOMICILIO ANTERIORMENTE MENCIONADO. DE LAS TAREAS DESARROLLADAS EN EL LUGAR, LAS MISMAS ARROJARON RESULTADOS POSITIVOS. ALLANAMIENTO - EL DIA 06/MAY/10 SE PROCEDIO AL ALLANAMIENTO EN EL DOMICILIO ANTES MENCIONADO SEGUN LO SOLICITADO POR OFICIO DEL DIA 05/MAY, PARA EL LEVANTAMIENTO DE MUESTRAS PARA ADN DE JORGE SANTA CRUZ, QUIEN NO SE OPUSO A ENTREGAR ELEMENTOS PERSONALES PARA SU POSTERIOR ANÁLISIS. LAS MUESTRAS FUERON ENTREGADAS EN BOLSAS HERMETICAMENTE CERRADAS AL JUZGADO.</t>
  </si>
  <si>
    <t>2601/10</t>
  </si>
  <si>
    <t>RETENCION DE CAJA</t>
  </si>
  <si>
    <t>EN EL DIA DE LA FECHA SIENDO LAS 10:50HS SE PRESENTA EN ESTA PREVENCION EL SR. ARIZNABARRETA HECTOR PARA RETIRO DE CAJA EN CUESTION. SE INFORMA AL JUZGADO INTERVINIENTE DISPONIENDO QUE SE REALICE TEST ORIENTATIVO DE CAMPO ANTINARCOTICO, SE INFORMA A LA FISCALIA FEDERAL DEL HECHO. SE CONVOCA A DOS TESTIGOS HABILES, SE REALIZA TEST ORIENTATIVO , CON RESULTADO NEGATIVO. SE PROCEDE A LA ENTREGA DE LA CAJA A SU PROPIETARIO SE LABRA ACTA DE ENTREGA Y PROCEDIMIENTO.SE INFORMA AL JUZGADO INTERVINIENTE Y A LA FISCALIA FEDERAL.-</t>
  </si>
  <si>
    <t>2651/10</t>
  </si>
  <si>
    <t>DR. CARLOS RAUL GARCILAZO</t>
  </si>
  <si>
    <t>ERLIJ WALTER CLAUDIO - S/LEY 25743</t>
  </si>
  <si>
    <t>EXP 5351- Fº 127 - AÑO 2010</t>
  </si>
  <si>
    <t>CALLE 3 DE CABALLERIA 1091</t>
  </si>
  <si>
    <t>DOMICILIO PARTICULAR SITO EN LA CIUDAD DE SAN MARTIN DE LOS ANDES PCIA DEL NEUQUEN Y EN EL LOCAL QUE ESTA EN EL AEROPUERTO</t>
  </si>
  <si>
    <t>EN EL DIA DE LA FECHA SE REALIZA ALLANAMIENTO Y SECUESTRO DE PIEZAS EN EL DOMICILIO PARTICULAR DEL SEÑOR ERLIJ WALTER CLAUDIO DNI NRO 14.456.306 SITO EN LA CALLE 3 DE CABALLERIA NRO 1091 DE LA CIUDAD DE SAN MARTIN DE LOS ANDES PCIA DEL NEUQUEN, DE ACUERDO A LO ORDENADO POR EL JUZGADO FEDERAL DE ZAPALA EN OFICIO NRO 388/10 SEGUN PARTE URGENTE 2651 SE REALIZA ALLANAMIENTO Y SECUESTRO DE PIEZAS EN EL LOCAL COMERCIAL LUZ CLARITA PERTENECIENTE AL SEÑOR ERLIJ WALTER CLAUDIO DNI NRO 14.456.306 SITO EN EL HALL CENTRAL DEL AEROPUERTO DE SAN MARTIN DE LOS ANDES PCIA DEL NEUQUEN, DE ACUERDO A LO ORDENADO POR EL JUZGADO FEDERAL DE ZAPALA EN OFICIO NRO 389/10</t>
  </si>
  <si>
    <t>CALLE 1, N° 431, DEPARTAMENTO 2 ENTRE 40 Y 41</t>
  </si>
  <si>
    <t>LA PLATA, PROVINCIA DE BUENOS AIRES</t>
  </si>
  <si>
    <t>EN EL DIA DE LA FECHA SE PROCEDIO A DAR CUMPLIMIENTO A LA ORDEN DE ALLANAMIENTO EN EL DOMICILIO CITADO , SECUESTRANDOSE DOCUMENTOS Y PAPELES VARIOS. CON RESULTADO NEGATIVO EN LA BUSQUEDA DE SUSTANCIAS ESTUPEFACIENTES,Y/O PRECURSORES QUIMICOS.</t>
  </si>
  <si>
    <t>2566/10</t>
  </si>
  <si>
    <t>SE PROCEDE A LA APERTURA DE TRES SACAS COLECTORAS DEL CORREO OFICIAL, MEDIDA COORDINADA PREVIAMENTE CON EL JUZGADO DE TURNO. LA 1ª SACA MARBETE Nº SLA9126039D555700RGL, CONTIENE UNA PIEZA POSTAL IDENTIFICADA COMO EP702480621AR, RTTE: EMILIO RAMOS, LAVALLE Nº 47-Bº 23 DE AGOSTO-ABRA PAMPA- JUJUY, DEST: DANIELA TOCONAS, Bº LOS PINOS- MZNA 180-LOTE 41-YACIMIENTO RIO TURBIO- CP.9407-PCIA DE SANTA CRUZ, LA MISMA QUEDA RETENIDA. LA 2ª SACA MARBETE Nº SLA 172977E555600CRD, CONTIENE UNA PIEZA POSTAL EP675748487AR, RTTE: MARIA C. CORBALAN, AV. CARLOS GARDEL Nº 1788, SAN PEDRITO- CP. 4600-S.S.JUJUY, DEST: M.FERNANDO CORBALAN, MARTIN FIERRO Nº 1050- PUERTO DESEADO-SANTA CRUZ, LA MISMA QUEDA RETENIDA. LA 3ª SACA MARBETE Nº SLA 0163144D555900RGA, CONTIENE 3 PIEZAS POSTALES IDENTIFICADAS COMO: 1ª EP675748399AR, 2ª EP698443625AR, LAS MISMAS QUEDAN LIBERADAS PARA SU REDESPACHO, LA 3ª EP701118535AR, RTTE: PAULA FABIAN, SAN A.COBRES- SALTA, DEST: ALEJANDRA FABIAN, ALM.GUILLERMO BROWN Nº 1685, RIO GRANDE- T.DEL FUEGO-CP.9420, LA MISMA QUEDA RETENIDA. LAS ENCOMIENDAS RETENIDAS QUEDAN EN GUARDA EN EL DEPOSITO JUDICIAL DE ESTA UNIDAD A LA ESPERA DEL OFICIO QUE AUTORICE SU APERTURA.</t>
  </si>
  <si>
    <t>INFORMO POR MEDIO DEL PRESENTE QUE EL DETENIDO ALOJADO EN EL HOSPITAL ZONAL DE EZEIZA OBTUVO EN EL DIA DE LA FECHA, SIENDO APROXIMADAMENTE LAS TRECE HORAS, SU ALTA MEDICA, SIENDO TRASLADADO EN PRIMERA INSTANCIA AL ASIENTO DE ESTA GUARDIA DE PREVENCION Y FINALMENTE DANDO CUMPLIMIENTO A LO DISPUESTO POR EL JUZGADO INTERVINIENTE A LA UNIDAD NUMERO 28 DEL SPF.-</t>
  </si>
  <si>
    <t>FERREIRO PELLA</t>
  </si>
  <si>
    <t>SABRINA FANELLO</t>
  </si>
  <si>
    <t>SE DESCONOCE CON CERTEZA PUDIENDO TRATARSE DE LA COMPAÑIA DE MUJERES , SALON DE DESCANSO PREEMBARQUE TERMINAL A.-</t>
  </si>
  <si>
    <t>SE PRESENTA LA DAMNIFICADA A FIN DE RADICAR FORMAL DENUNCIA . MANIFESTANDO QUE QUE SE PERCATO EN SU DOMICILIO DE LA FALTA DE LA CHAPA IDENTIFICATORIA NUMERO "00583" PERTENECIENTE A LA POLICíA DE SEGURIDAD AEROPORTUARIA JUNTO CON EL CORRESPONDIENTE PORTA CHAPA Y LA CREDENCIAL POLICIAL CORRESPONDIENTE A LA SEñORA NORMA BEATRIZ GARCIA, NUMERO "00000206".AGREGANDO QUE LA MISMA SE ENCONTRABA EN UN BOLSO, AL QUE PERDIó DE VISTA CUANDO LO DEJARA EN LA COMPAñíA FEMENINA DE LA PUERTA Nº 49 , Y EN LA SALA DE DESCANSO DEL PREEMBARQUE 1/16</t>
  </si>
  <si>
    <t>2679/10</t>
  </si>
  <si>
    <t>JUZGADO FEDERAL N° 2 DE FORMOSA</t>
  </si>
  <si>
    <t>DR EDGAR JUVENAL DANTIAK</t>
  </si>
  <si>
    <t>RETENCION</t>
  </si>
  <si>
    <t>MAQUINA DE RX</t>
  </si>
  <si>
    <t>ANDREANI</t>
  </si>
  <si>
    <t>CORREO ANDREANI</t>
  </si>
  <si>
    <t>EN EL DÍA DE LA FECHA MIENTRAS SE REALIZABA EL DISPOSITIVO DE PREEMBARQUE DEL VUELO DEL VUELO REGULAR, SE DETECTA MEDIANTE LA MÁQUINA DE RAYOS X, UNA SACA DEL CORREO PRIVADO ANDREANI CERRADA CON PRECINTOS, DESPACHADA POR BODEGA A TRAVÉS DE LA EMPRESA JET PAQ, EL OPERADOR DE LA MAQUINA DE RX OBSERVA UNOS BULTOS DE FORMA IRREGULAR DE ALTA DENSIDAD PRESUNTAMENTE ORGANICO, LA CUAL AL NO PODER PRECISARSE FEHACIENTEMENTE SU CONTENIDO, SE PROCEDE A LA RETENCIÓN DE LA MISMA, SOLICITÁNDOSE A TAL EFECTO LA PRESENCIA DE DOS (02) TESTIGOS HÁBILES, SE PROCEDE A LA RETENCION DE LA SACA POR PRESUNTA INFRACCIÓN A LA LEY Nº 23.737, DÁNDOSE INTERVENCIÓN AL JUZGADO FEDERAL Nº 2 DE FORMOSA DISPONIENDO S.SA A TRAVÉS DE SU SECRETARÍA QUE EL ELEMENTO RETENIDO SEA ELEVADO JUNTO CON EL ACTA CORRESPONDIENTE A SEDE TRIBUNALICIA EN HORAS DE LA MAÑANA. SEGUN PU 2679 SE INFORMA QUE SE PROCEDE A LLEVAR A SEDE JUDICIAL LA SACA RETENIDA, AUTORIZANDO SSA. A TRAVÉS DE SU SECRETARIA MEDIANTE OFICIO JUDICIAL Nº 656 LA APERTURA DE LA SACA CORRESPONDIENTE EN ESTA UNIDAD OPERACIONAL. AL REALIZARSE LA APERTURA DE LA MISMA ANTE DOS TESTIGOS HÁBILES SE OBSERVA EN EL INTERIOR DE ELLA UNA BOLSA CON DOCUMENTACIONES VARIAS, Y TRES BOLSAS QUE RESULTARON CONTENER MERCADERÍAS VARIAS. LABRÁNDOSE EL ACTA CORRESPONDIENTE PARA LA ENTREGA Y RECEPCIÓN A LA EMPRESA DE CORREOS DE LA SACA CON LOS ELEMENTOS SECUESTRADOS.</t>
  </si>
  <si>
    <t>2640/10</t>
  </si>
  <si>
    <t>LOCAL COMERCIAL LUZ CLARITA</t>
  </si>
  <si>
    <t>AEROPUERTO SAN AMRTIN DE LOS ANDES PCIA DEL NEUQUEN</t>
  </si>
  <si>
    <t>EN EL DIA DE LA FECHA SE REALIZA ALLANAMIENTO Y SECUESTRO DE PIEZAS EN EL LOCAL COMERCIAL LUZ CLARITA PERTENECIENTE AL SEÑOR ERLIJ WALTER CLAUDIO DNI NRO 14.456.306 SITO EN EL HALL CENTRAL DEL AEROPUERTO DE SAN MARTIN DE LOS ANDES PCIA DEL NEUQUEN, DE ACUERDO A LO ORDENADO POR EL JUZGADO FEDERAL DE ZAPALA EN OFICIO NRO 389/10</t>
  </si>
  <si>
    <t>273/2010</t>
  </si>
  <si>
    <t>SIENDO LAS 17:30 HORAS APROXIMADAMENTE, EL PERSONAL DE SEGURIDAD DE AEROPUERTOS ARGENTINA 2000, PERTENECIENTE A LA EMPRESA SASA, MIGUEL RODRIGUEZ, ME INFORMA DE QUE SE OBSERVA UNA CORTINA DE HUMO EN EL SECTOR SUDESTE DEL ALAMBRADO PERIMETRAL, POR LO QUE ORDENO SE DESPLACE EN EL MOVIL 024, EL OFICIAL AYUDANTE ARIEL PARENZUELA Y LA OFICIAL AYUDANTE MARIA FERNANDA LUCERO, A EFECTOS DE CONSTATAR Y VERIFICAR LA GRAVEDAD DEL PROBABLE INCENDIO. SIENDO LAS 17:40 HORAS LA OFICIAL AYUDANTE LUCERO, ME INFORMA QUE SE HABRIA INICIADO FUEGO APARENTEMENTE CON LA UTILIZACION DE UNA GOMA DE AUTO, LA QUE FUERA COLOCADA POR DEBAJO DEL MURETE, UBICADO EN EL SECTOR SUDESTE A LA ALTURA DEL Bº AEROFERRO, A UNOS QUINIENTOS (500) METROS DE LA CABECERA 01, POR LO QUE EN ESE MOMENTO ME COMUNICO CON TORRE DE VUELO SOLICITANDO QUE LLAME AL PERSONAL DE BOMBEROS DE LA PROVINCIA DE SAN LUIS, CON ASIENTO EN ESTE AEROPUERTO, A QUE SE DIRIJAN A APAGAR EL FUEGO. SIENDO LAS 17:50 HORAS SE HACE PRESENTE EN EL LUGAR PERSONAL DE BOMBEROS A CARGO DEL OFICIAL PEREZ, QUIENES EXTINGUEN EL FUEGO, PARA RETIRARSE A POSTERIORMENTE. SIENDO LAS 18:30 HORAS REALIZO COMUNICACION TELEFONICA CON EL JUZGADO FEDERAL DE SAN LUIS, COMUNICANDOME CON EL SECRETARIO PENAL DR. JORGE MARIANO FRIAS, A QUIEN INFORMO DE LOS HECHOS, QUIEN POSTERIORMENTE DISPONE: 1) SE INICIEN LAS ACTUACIONES SUMARIALES, 2) SE SOLICITE UN INFORME A PERSONAL DE BOMBEROS DE LA POLICIA DE LA PROVINCIA Y 3) SE ELEVEN LA ACTUACIONES PARA LA PROSECUCION DEL TRAMITE. SEGUN PU AMPLIATORIO 2823 SE AGREGO CAUSA JUDICIAL POR EL JUZGADO INTERVINIENTE.-</t>
  </si>
  <si>
    <t>SUBSUELO</t>
  </si>
  <si>
    <t>EN EL DIA DE LA FECHA SIENDO LAS ONCE HORAS CON VEINTE MINUTOS APROXIMADAMENTE SE ESCUCHAN UNA SERIE DE EXPLOSIONES QUE PROVIENEN DEL SECTOR DE MANTENIMIENTO DE LA EMPRESA AEROPUERTO ARGENTINA 2000 UBICADO EN EL SUBSUELO DE ESTA AEROESTACION EN SECTOR RESTRINGIDO, SEGUIDAMENTE DE UNA DENSA HUMAREDA, ME CONSTITUYO EN EL LUGAR Y CONSTATO LA EXPLOSION DE MATERIAL DE PIROTECNICA Y DE QUE HABIA UN LESIONADO SIENDO ESTE RAMIRO MARTINEZ PERSONAL DE MANTENIMIENTO DE A.A 2000, EL MISMO FUE ATENDIDO POR LA DOCTORA NORMA ALICIA VERA MP 4308 QUIEN MANIFIESTA QUE LAS LESIONES SUFRIDAS POR EL SEÑOR MARTINEZ SON DE CARACTER LEVE, EL PACIENTE ES TRASLADADO EN AMBULANCIA HASTA EL SANATORIO IOT DE ESTA CAPITAL DONDE SE LE REALIZAN CURACIONES Y LE DAN EL ALTA. SIENDO LAS 18:30HS MANTENGO COMUNICACION TELEFONICA CON LA DRA. LIDIA BEATRIZ KRUCHOWSKI TITULAR DE LA SECRETARIA Nº 1 DEL JUZGADO DE INSTRUCCION Nº 2 LA QUE IMPUESTA DE LA NOVEDAD DISPONE NO SE LABREN ACTUACIONES JUDICIALES EN RAZON DE NO CORRESPONDER POR TRATARSE DE UN ACCIDENTE LABORAL Y PERSONAL SIN LA INTERVENCION DE TERCERAS PERSONAS Y SE ELEVE LO ACTUADO A ESE TRIBUNAL.</t>
  </si>
  <si>
    <t>EN ADYACENCIAS AL PATIO DE VALIJAS DE LA TERMINAL A DE ESTE AEROPUERTO</t>
  </si>
  <si>
    <t>MODULO DE DESCANSO DEL PERSONAL DE INTERCARGO</t>
  </si>
  <si>
    <t>SE HACE PRESENTE EL DENUNCIANTE AFIN DE RADICRA FORMAL DENUNCIA , MANIFESTANDO QUE EN SU CARACTER DE SUPERVISOR, LE INFORMA EN BUENOS TERMINOS A UNO DE LOS EMPLEADOS A SU CARGO QUE NO CORRESPONDIA DESCANSO, QUE DEBIA TRABAJAR, RECIBIENDO INSULTOS Y AMENAZAS DE PARTE DE DICHO EMPLEADO TALES COMO: TE VOY A CAGAR A TROMPADAS, GIL DE MIERDA, AFUERA NO SOS NADA SIC., POR LO QUE EL SUPERVISOR PROCEDE A TRANQUILIZAR AL EMPLEADO DEL CUAL SOLO APORTA SU PELLIDO: GUZMAN. LEGAJO Nº 2552, CABE DESTACAR QUE EL DENUNCIANTE SE HIZO PRESENTE EN ESTA GUARDIA DE PREVENCION EN VIRTUD A QUE TEME POR SU INTEGRIDAD FISICA Y LA DE SU FAMILIA.</t>
  </si>
  <si>
    <t>SIENDO LAS 18:00 HORAS, SE IMPLEMENTA DISPOSITIVO DE SEGURIDAD SEGÚN ORDEN DE SERVICIO Nº 249/10 DE ESTA UOSP Y ORDEN DE SERVICIO Nº 270/2010 ( URSA I DEL ESTE) POR MOTIVO DE LOS ARRIBOS Y PARTIDAS DE LAS COMITIVAS PRESIDENCIALES Y FUNCIONARIOS DEL GOBIERNO DE LA CUMBRE UNASUR. SIENDO LAS 21:35 HORAS ARRIBA LA COMITIVA OFICIAL DE LA REPUBLICA DE ECUADOR, VUELO PROVENIENTE DE DICHO ESTADO SOBERANO EN AERONAVE MATRICULA FAE-051 A LA AEROESTACION MILITAR AEROPARQUE, RETIRANDOSE LUEGO POR VIA TERRESTRE A LAS 21:45 HS, SIN NOVEDAD. SE AMPLIARA ANTE LA LLEGADA DE UNA NUEVA COMITIVA.</t>
  </si>
  <si>
    <t>340/10</t>
  </si>
  <si>
    <t>SE PROCEDE A LA RETENCION DE TRES SACAS COLECTORAS DEL CORREO OFICIAL, SEGUN CONSTA EN ACTA DE RETENCION DE CARGA Nº 0216/10, QUE ORIGINA LA PREVENCION SUMARIA Nº 050/10, LA PRIMER SACA IDENTIFCADA CON MARBETE Nº SLA9126205E555700RGL, PRECINTO Nº C827860, CON UN PESO DE 1,500 KGS., CON DESTINO A LA CIUDAD DE RIO GALLEGOS, LA SEGUNDA MARBETE Nº SLA9126190D505000BUE, PRECINTO Nº C827872, CON UN PESO DE 20,100 KGS., CON DESTINO A LA CIUDAD DE BUENOS AIRES Y LA TERCERA CON MARBETE Nº SLA9126189D505000BUE, PRECINTO Nº C827866, CON UN PESO DE 28,300 KGS., CON DESTINO A LA CIUDAD DE BUENOS AIRES, AMPARADAS EN GUIA AEREA Nº 9342769-2,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 SEGÚN AMPLIACION PU Nº 2664/10 SE PROCEDE A LA APERTURA DE TRES SACAS COLECTORAS DEL CORREO OFICIAL, SEGUN CONSTA EN ACTA DE RETENCION DE CARGA Nº 0216/10, QUE ORIGINA LA PREVENCION SUMARIA Nº 050/10, LA PRIMER SACA IDENTIFCADA CON MARBETE Nº SLA9126205E555700RGL, PRECINTO Nº C827860, CONTIENE, 01 PIEZA IDENTIFICADA COMO EP 049148418AR, QUEDA RETENIDA, LA SEGUNDA MARBETE Nº SLA9126190D505000BUE, PRECINTO Nº C827872, CONTIENE 02 PIEZAS LA 1º EP675748337AR Y EP675748270AR, QUEDAN RETENIDAS, Y LA TERCERA SACA CON MARBETE Nº SLA9126189D505000BUE, PRECINTO Nº C827866, CONTIENE 02 PIEZAS, LA 1º EP675748310AR Y LA 2º EP675748249AR, QUEDAN RETENIDAS, QUEDANDO LAS MISMAS CERRADAS Y PRECINTADAS EN GUARDA EN ESTA UOSP. SE COMUNICO TELEFONICAMENTE AL JUZGADO INTERVINIENTE Y LAS APERTURAS SE REALIZARAN CON LA AUTORIZACION DEL MAGISTRADO ACTUANTE. SEGÚN AMPLIACION PU Nº 3155/10 SE PROCEDE A LA APERTURA DE CINCO ENCOMIENDAS DEL CORREO OFICIAL, SEGUN CONSTA EN ACTA DE APERTURA DE CARGA Nº 0265/10, QUE ORIGINA LA PREVENCION SUMARIA Nº 050/10, EN VIRTUD DE LO ORDENADO MEDIANTE OFICO JUDICIAL Nº 721/10, DEL MAGISTRADO ACTUANTE Y EN PRESENCIA DE UN TESTIGO HABIL, LA 1ª EP 049148418AR, RTTE. NOELIA G. GUANTAY, AV. PUCARA Nº 106, PICHANAL, PCIA. DE SALTA, C.P. 4534, Y DEST. DARIO EDUARDO SOLER, PREFECTURA NAVAL Nº 2272, EL CALAFATE, PCIA. DE SANTA CRUZ. C.P. 9505, CONTIENE: DOS PAQUETES DE HOJAS DE COCA CON UN PESO TOTAL DE 998 GRS., LA 2ª EP675748337AR, RTTE. TEOFILA MAMANI, AV. EXODO Y DORREGO, S.S. DE JUJUY, C.P. 4600, Y DEST. ALICIA CRUZ, AV. LIBERTADOR Nº 132, RETIRO, CAPITAL BS. AS., C.P. 1104, CONTIENE: 196 CORPIÑOS Y 114 BOMBACHAS, LA 3ª EP675748270AR, RTTE. TEOFILA MAMANI, AV. EXODO Y DORREGO, JUJUY CAPITAL, C.P. 4600, Y DEST. MIRIAN TEJERINA, AV. LIBERTADOR Nº 132, RETIRO, CAPITAL BS. AS., C.P. 1104, CONTIENE: 100 CORPIÑOS Y 488 BOMBACHAS, LA 4ª EP675748310AR, RTTE. SANTUSA MENDOZA, AV. EXODO Y DORREGO, JUJUY CAPITAL, C.P. 4600, Y DEST. MIRIAN TEJERINA, AV. LIBERTADOR Nº 132, RETIRO, CAPITAL BS. AS., C.P. 1104, CONTIENE: 34 POMADAS MARCA MENTISAN INSDUSTRIA BOLIVIANA, 25 POMADAS DE VASELINA PERFUMADA DE INDUSTRIA PERUANA Y 250 BOMBACHAS, Y LA 5ª EP675748249AR, RTTE. VICTOR TORRES, CON DOMICILIO EN CHIPA S.S. DE JUJUY, C.P. 4600, Y DEST. OMAR ARMELLA, A RETIRAR EN POSTE RESTANTE DE EZPELETA, BS. AS., CONTIENE: 12 PARES DE ZAPATILLAS DE DIFERENTES TIPOS Y MODELO Y 60 CAMISETAS DE FUTBOL DE DISTINTOS COLORES. LAS ENCOMIENDAS SECUESTRADAS SERAN PUESTAS A DISPOSICION DE LA ADUANA DE SALTA POR SUPUESTA INFRACCION AL CODIGO ADUANERO, LEY 22.415, Y LAS ACTUACIONES REMITIDAS A SEDE JUDICIAL.</t>
  </si>
  <si>
    <t>SIENDO LAS 23:20 HORA LOCAL ARRIBA AERONAVE MATRICULA LV-BRA DE LA EMPRESA LAN ARGENTINA PROCEDENTE DE AEROPARQUE JORGE NEWBERY EN CUYAS BODEGAS 31,32 Y 42 SE DESPACHAN 121 CAJAS CON UN PESO BRUTO DE 2.797 KILOGRAMOS DE METAL -MTD- PERTENECIENTES A LA EMPRESA MINERA CERRO VANGUARDIA CON DESTINO AL AEROPUERTO JORGE NEWBERY. EL VUELO DESPEGA A LAS 00:20 HORA LOCAL SIN NOVEDAD. SE DIO CUMPLIMIENTO A LA ORDEN DE SERVICIO NRO. 0034/2010</t>
  </si>
  <si>
    <t>2656/10</t>
  </si>
  <si>
    <t>SIENDO LAS 23:35 HORAS ARRIBA A LA AEROESTACION MILITAR AEROPARQUE PRIMER MANDATARIO DE LA REPUBLICA DE CHILE EN AERONAVE BOING 737 MATRICULA 921 DE LA FUERZA AEREA DE DICHO ESTADO SOBERANO. SIENDO LA HORA 23:47, SE RETIRA EL MENCIONADO PRIMER MANDATARIO POR VIA TERRESTRE SIN NOVEDAD. SE AMPLIARA ANTE LA LLEGADA DE UNA NUEVA COMITIVA.</t>
  </si>
  <si>
    <t>2659/10</t>
  </si>
  <si>
    <t>SIENDO LAS 00:05 HORAS ARRIBA A LA AEROESTACION MILITAR AEROPARQUE EL PRIMER MANDATARIO DE LA REPUBLICA FEDERATIVA DE BRASIL EN AERONAVE MATRICULA VC-2-2590, VUELO PROCEDENTE DE DICHO ESTADO SOBERANO. SIENDO LA HORA 00:15, SE RETIRA EL PRIMER MANDATARIO JUNTO A LA COMITIVA OFICIAL POR VIA TERRESTRE SIN NOVEDAD. SE AMPLIARA ANTE LA LLEGADA DE UNA NUEVA COMITIVA.</t>
  </si>
  <si>
    <t>2660/10</t>
  </si>
  <si>
    <t>SIENDO LAS 00:50 HORAS DEL DIA DE LA FECHA ARRIBA A LA AEROESTACION MILITAR AEROPARQUE PRIMER MANDATARIO DE LA REPUBLICA DE BOLIVIA EN AERONAVE CITATION X. SIENDO LA HORA 01:00, SE RETIRA EL MENCIONADO PRIMER MANDATARIO JUNTO A LA COMITIVA OFICIAL POR VIA TERRESTRE SIN NOVEDAD. SE AMPLIARA ANTE LA LLEGADA DE UNA NUEVA COMITIVA</t>
  </si>
  <si>
    <t>2661/10</t>
  </si>
  <si>
    <t>SIENDO LAS 06:45 HORAS DEL DIA DE LA FECHA ARRIBA A LA AEROESTACION MILITAR AEROPARQUE PRIMER MANDATARIO DE LA REPUBLICA BOLIVARIANA DE VENEZUELA EN AERONAVE MATRICULA 0001, VUELO PROCEDENTE DE DICHO ESTADO SOBERANO. SIENDO LA HORA 07:05, SE RETIRA EL MENCIONADO PRIMER MANDATARIO CON LA COMITIVA OFICIAL POR VIA TERRESTRE SIN NOVEDAD.</t>
  </si>
  <si>
    <t>2657/10</t>
  </si>
  <si>
    <t>SE PROCEDE A LA APERTURA DE TRES SACAS COLECTORAS DEL CORREO OFICIAL, SEGUN CONSTA EN ACTA DE RETENCION DE CARGA Nº 0216/10, QUE ORIGINA LA PREVENCION SUMARIA Nº 050/10, LA PRIMER SACA IDENTIFCADA CON MARBETE Nº SLA9126205E555700RGL, PRECINTO Nº C827860, CONTIENE, 01 PIEZA IDENTIFICADA COMO EP 049148418AR, QUEDA RETENIDA, LA SEGUNDA MARBETE Nº SLA9126190D505000BUE, PRECINTO Nº C827872, CONTIENE 02 PIEZAS LA 1º EP675748337AR Y EP675748270AR, QUEDAN RETENIDAS, Y LA TERCERA SACA CON MARBETE Nº SLA9126189D505000BUE, PRECINTO Nº C827866, CONTIENE 02 PIEZAS, LA 1º EP675748310AR Y LA 2º EP675748249AR, QUEDAN RETENIDAS, QUEDANDO LAS MISMAS CERRADAS Y PRECINTADAS EN GUARDA EN ESTA UOSP. SE COMUNICO TELEFONICAMENTE AL JUZGADO INTERVINIENTE Y LAS APERTURAS SE REALIZARAN CON LA AUTORIZACION DEL MAGISTRADO ACTUANTE.</t>
  </si>
  <si>
    <t>2663/10</t>
  </si>
  <si>
    <t>SIENDO LAS 08:45 HORAS DEL DIA DE LA FECHA ARRIBA A LA AEROESTACION MILITAR EL PRESIDENTE DE LA REPUBLICA DEL PARAGUAY EN AERONAVE MATRICULA US60PY PROCEDENTE DE DICHO ESTADO SOBERANO. RETIRANDOSE DE JURISDICCION EN VEHICULO OFICIAL A LAS 08:50 HORAS. POSTERIORMENTE SIENDO LAS HORAS 09:53 ARRIBA A ESTA AEROESTACION EL SR. PRESIDENTE DE LA REPUBLICA ORIENTAL DEL URUGUAY EN HELICOPTERO MATRICULA M-091 PROCEDENTE DE LA ROU, Y SE RETIRA EL MENCIONADO EN VEHICULO OFICIAL POR VIA TERRESTRE A LAS 09:57 HORAS SIN NOVEDAD.</t>
  </si>
  <si>
    <t>PERGOLA TRES DE LA TERMINAL A</t>
  </si>
  <si>
    <t>LOS OFICIALES ROMEO Y HANEMANN EN UNA RECORRIDA POR LA TERMINAL A, SECTOR PERGOLA TRES, OBSERVAN A UNA PERSONA DE SEXO MASCULINO REALIZANDO EL SERVICIO DE MALETERO,SE LE CONSULTA SI POSEE LA HABILITACION DEL CONCESIONARIO PARA REALIZAR DICHA TAREA, QUIEN RESPONDE QUE NO. POR TAL MOTIVO SE LE INFORMA DE LA FALTA COMETIDA Y SE LO CONDUCE A LA OFICINA DE CONTRAVENCIONES Y FALTAS.</t>
  </si>
  <si>
    <t>2051/10</t>
  </si>
  <si>
    <t>185/10</t>
  </si>
  <si>
    <t>SE PROCEDE A LA APERTURA DE UNA ENCOMIENDA DEL CORREO OFICIAL SEGUN LO DISPUESTO POR EL MAGISTRADO ACTUANTE EN OFICIO JUDICIAL Nº 999/10 Y EN PRESENCIA DE UN TESTIGO HÁBIL. EL ACTO QUEDO ASENTADO EN ACTA DE APERTURA Nº 220/10. LA ENCOMIENDA IDENTIFICADA COMO EP666278459AR, CONTIENE: 9 PAQUETES DE HOJAS DE COCA CON UN PESO TOTAL DE 2.100 GRS. LUEGO DE VERIFICADO SU CONTENIDO, LA MISMA SERÁ PUESTA A DISPOSICIÓN DE LA ADUANA DE SALTA POR SUPUESTA INFRACCIÓN A LA LEY 22.415 Y LAS ACTUACIONES REMITIDAS A SEDE JUDICIAL.</t>
  </si>
  <si>
    <t>2650/10</t>
  </si>
  <si>
    <t>INFORMO QUE EN DÍA DE LA FECHA SE PROCEDIÓ A LLEVAR A SEDE JUDICIAL LA SACA RETENIDA, AUTORIZANDO SSA. A TRAVÉS DE SU SECRETARIA MEDIANTE OFICIO JUDICIAL Nº 656 LA APERTURA DE LA SACA CORRESPONDIENTE EN ESTA UNIDAD OPERACIONAL. AL REALIZARSE LA APERTURA DE LA MISMA ANTE DOS TESTIGOS HÁBILES SE OBSERVA EN EL INTERIOR DE ELLA UNA BOLSA CON DOCUMENTACIONES VARIAS, Y TRES BOLSAS QUE RESULTARON CONTENER MERCADERÍAS VARIAS. LABRÁNDOSE EL ACTA CORRESPONDIENTE PARA LA ENTREGA Y RECEPCIÓN A LA EMPRESA DE CORREOS DE LA SACA CON LOS ELEMENTOS SECUESTRADOS.</t>
  </si>
  <si>
    <t>EN CIRCUNSTANCIAS QUE SE EFECTUABA EL CONTROL PREVENTIVO DE LOS EQUIPAJES DESPACHADOS A BODEGA, SE OBSERVA EN EL INTERIOR DE UN EQUIPAJE UN BULTO CON SUSTANCIA ORGANICA DE BAJA DENSIDAD, NO PUDIENDO DETERMINAR FEHACIENTEMENTE DE QUE ELEMENTO SE TRATABA. QUE OBTENIDA LAS AUTORIZACIONES JUDICIALES, SE PROCEDE A LA REQUISA DE DICHO EQUIPAJE, OBTENIENDO COMO RESULTADO, UN BULTO CONFECCIONADO POR CUATRO PAQUETES DE SIMILARES CARACTERISTICAS, LOS CUALES CONTENIAN SUSTANCIA PULVERULENTA COLOR BLANCA, QUE SOMETIDA A REACTIVO DE CAMPO PARA COCAINA, ARROJO RESULTADO POSITIVO. ENTERADO EL JUZGADO INTERVINIENTE DISPUSO, SE PROCEDA A LA DETENCION DE LA CAUSANTE, SE LABREN ACTUACIONES DE RIGOR, FINALIZADAS LAS ACTUACIONES SE PROCEDA AL TRASLADO DE LA DETENIDA A LA UNIDAD 28 DEL SPF, SE ELEVE TODO LO ACTUADO A PRIMERA HORA DEL DIA CINCO DEL MES Y AÑO EN CURSO. SEGÚN AMPLIACION PU 2692 SE INFORMA QUE A LAS 23:30 HS SE TRASLADA A LA DETENIDA LA UNIDAD 28 DEL SPF</t>
  </si>
  <si>
    <t>SIENDO LAS 15:00 HORAS SE IMPLEMENTA EL DISPOSITIVO DE SEGURIDAD CON EL PERSONAL MENCIONADO. A LAS 17:24 HORAS DEL DIA DE LA FECHA ARRIBA A LA AEROESTACION MILITAR EL PRESIDENTE DE LA REPUBLICA DE CHILE VIA TERRESTRE EN VEHICULO OFICIAL. POSTERIORMENTE SIENDO LAS 17:40 HORAS DESPEGA DE DICHA AEROESTACION MILITAR EL MENSIONADO SR. PRESIDENTE EN LA AERONAVE MATRICULA 921, CON DESTINO A LA REPUBLICA DE CHILE, SIN NOVEDAD</t>
  </si>
  <si>
    <t>SIENDO LAS 15:00 SE IMPLEMENTA EL DISPOSITIVO DE SEGURIDAD CON EL PERSONAL MENCIONADO. POSTERIORMENTE SIENDO LAS 17.39 HORAS ARRIBA A LA AEROESTACION MILITAR VIA TERRESTRE EN VEHICULO OFICIAL EL SR. PRESIDENTE DE LA REPUBLICA ORIENTAL DEL URUGUAY. LUEGO A LAS 17:50 HORAS ARRIBA EN VEHICULO OFICIAL VIA TERRESTRE EL SR. PRESIDENTE DE LA REPUBLICA FEDERATIVA DE BRASIL, PARTIENDO AMBOS A LAS 18:00 HORAS EN AERONAVE MATRICULA NC-22590 CON DESTINO A LA REPUBLICA ORIENTAL DEL URUGUAY. SIN NOVEDAD</t>
  </si>
  <si>
    <t>SIENDO LAS 15:00 SE IMPLEMENTA EL DISPOSITIVO DE SEGURIDAD CON EL PERSONAL MENCIONADO. POSTERIORMENTE SIENDO LAS 18:05 HORAS ARRIBA A LA AEROSTACIÓN MILITAR VIA TERRESTRE EN VEHICULO OFICIAL EL SR. PRESIDENTE DE LA REPUBLICA DEL PARAGUAY. PARTIENDO A LAS 18:28 HORAS EN AERONAVE MATRICULA N560 PY CON DESTINO A LA REPUBLICA DEL PARAGUAY. SIN NOVEDAD</t>
  </si>
  <si>
    <t>SIENDO LAS 15:00 SE IMPLEMENTA EL DISPOSITIVO DE SEGURIDAD CON EL PERSONAL MENCIONADO. POSTERIORMENTE SIENDO LAS 18:02 HORAS ARRIBA A LA AEROSTACIÓN MILITAR VIA TERRESTRE EN VEHICULO OFICIAL EL SR. PRESIDENTE DE LA REPUBLICA BOLIVARIANA DE VENEZUELA. PARTIENDO A LAS 18:35 HORAS EN AERONAVE MATRICULA 0001 CON DESTINO A LA REPUBLICA BOLIVARIANA DE VENEZUELA DEL PARAGUAY. SIN NOVEDAD</t>
  </si>
  <si>
    <t>SIENDO LAS 15:00 SE IMPLEMENTA EL DISPOSITIVO DE SEGURIDAD CON EL PERSONAL MENCIONADO. POSTERIORMENTE SIENDO LAS 17:41 HORAS ARRIBA A LA AEROSTACIÓN MILITAR VIA TERRESTRE EN VEHICULO OFICIAL EL SR PRESIDENTE DEL ESTADO PLURINACIONAL DE BOLIVIA. PARTIENDO A LAS 18:54 HORAS EN AERONAVE MATRICULA N977CP CON DESTINO AL ESTADO PLURINACIONAL DE BOLIVIA. SIN NOVEDAD</t>
  </si>
  <si>
    <t>SIENDO LAS 15:00 SE IMPLEMENTA EL DISPOSITIVO DE SEGURIDAD CON EL PERSONAL MENCIONADO. POSTERIORMENTE SIENDO LAS 18:42 HORAS ARRIBA A LA AEROSTACIÓN MILITAR VIA TERRESTRE EN VEHICULO OFICIAL EL SR PRESIDENTE DE LA REPUBLICA DEL ECUADOR PARTIENDO A LAS 19:05 HORAS EN AERONAVE MATRICULA FAE 051 CON DESTINO A LA REPUBLICA DEL ECUADOR. FINALIZANDO DICHO DISPOSITO DE SEGURIDAD Y RETIRANDOSE EL PERSONAL SIN NOVEDAD.</t>
  </si>
  <si>
    <t>Fiscalía Nacional en lo Penal Económico Nº 02</t>
  </si>
  <si>
    <t>EN MOMENTOS QUE SE EFECTUABA EL CONTROL A LOS PASAJEROS DEL VUELO AR 1132 ATRAVIESA EL ARCO DETECTOR DE METALES , ACTIVANDO LA ALARMA SONORA , UNA PERSONA DE SEXO MASCULINO, MOTIVO POR EL CUAL EL OFICIAL ZANDONADI, PROCEDE A EFECTUARLE UNA REQUIZA MANUAL POR SOBRE SUS ROPAS, DETECTANDO DEBAJO DE LAS MISMAS BULTOS QUE NO SE CORRESPONDIAN CON LA FISONOMIA DEL MASCULINO, POR TAL MOTIVO, EL OF. ZANDONADI PROCEDE A INFORMAR LA NOVEDAD AL JEFE DE TURNO, QUIEN DISPONE SE TRASLADE AL PASAJERO AL ASIENTO DE ESTA GUARDIA, UNA VEZ ALLI SE PROCEDE A EFECTUAR LA REQUIZA DEL PASAJERO COMPROBANDO QUE BAJO SUS ROPAS ADHERIDO AL CUERPO TRANSPORTABA NUEVE PAQUETES CONFORMADOS POR CINTA ADHESIVA DE TELA COLOR BLANCO, DE LAS SIGUIENTES MEDIDAS PROMEDIO, VEINTE POR VEINTE POR UNO DE ESPESOR EN CENTIMETROS, ARROJANDO TODOS RESULTADO POSITIVO A REACTIVO DE CAMPO PARA COCAINA, ANOTICIADO EL JUZGADO INTERVINIENTE DISPONE SE LABREN ACTUACIONES DE RIGOR. SEGÚN PU AMPLIATORIO Nº 2693 SE LO TRASLADA A SEDE JUDICIAL</t>
  </si>
  <si>
    <t>2683/10</t>
  </si>
  <si>
    <t>INFORMO QUE SIENDO LAS VEINTITRES TREINTA HORAS EN CUMPLIMIENTO A LO ORDENADO SE PROCEDIO AL TRASLADO DE LA DETENIDA EN AUTOS A LA UNIDAD 28 DEL SPF.</t>
  </si>
  <si>
    <t>2691/10</t>
  </si>
  <si>
    <t>DANDO CUMPLIMIENTO A LO ORDENADO, A LAS SIETE HORAS, TREINTA MINUTOS DEL DIA 05/05/10 SE PROCEDIO A EFECTUAR EL TRASLADO DEL DETENIDO A SEDE JUDICIAL. PTO.-</t>
  </si>
  <si>
    <t>ROSITO VALERIA</t>
  </si>
  <si>
    <t>HOLOVACHUK, JOSE ANTONIO S/ TENTATIVA DE CONTRABANDO DE ESTUPEFACIENTES</t>
  </si>
  <si>
    <t>CALLE COCHABAMBA N° 1310</t>
  </si>
  <si>
    <t>EN EL DIA DE LA FECHA SE RECIBE OFICIO JUDICIAL ORDENANDO SE INICIEN TAREAS INVESTIGATIVAS EN EL DOMICILIO DE LA CALLE COCHABAMBA 1310 DE LA CABA , EN EL MARCO DE LA CAUSA Nº 233-E/10 DE DONDE FUERA DETENIDO JOSé ANTONIO HOLOVACHUK, CUANDO INTENTABA SALIR DEL PAIS TRANSPORTANDO ESTUPEFACIENTE CON LA MODALIDAD DOBLE FONDO EN UN MALETIN , E INGESTADO. SEGUN LO INFORMADO OPORTUNAMIENTE POR PU 2694-2614-2624-2629 DE LA UOSP EZEIZA</t>
  </si>
  <si>
    <t>EN EL DIA DE LA FECHA SE PRESENTO ANTE EL SERVICIO DE GUARDIA PREVENTIVA EL EXPONENTE MANIFESTANDO QUE EXTRAVIO SU PERMISO PERSONAL DE SEGURIDAD AEROPORTUARIO PERMANENTE N 311198 CON ACCESO A LOS SECTORES 5 Y 6 EN VIGENCIA HASTA 25 JUN 2010 NO PUDIENDO PRECISAR LUGAR Y FECHA DE SU EXTRAVIO.</t>
  </si>
  <si>
    <t>PLAYA DE ESTACIONAMIENTO JURISDICCION AEROPORTUARIA</t>
  </si>
  <si>
    <t>SE CONFECCIONA EL PRESENTE A LOS EFECTOS DE INFORMAR QUE EN EL DIA DE LA FECHA SIENDO LAS 01:00 HS LOCAL SE PROCEDE A PRESTAR COLABORACION A LOS INSPECTORES DEL MINISTERIO DE TRABAJO EMPLEO Y SEGURIDAD SOCIAL A FIN DE REALIZAR CONTROLES DE DOCUMENTACION A VEHICULOS Y CHOFERES DE TAXIS Y REMISES, EN EL MARCO DEL PLAN NACIONAL DE REGULARIZACION DEL TRABAJO, DICHA COLABORACION POLICIAL ES PARA RESGUARDAR LA SEGURIDAD DE LOS INSPECTORES Y PRESTAR COLABORACION EN LO QUE RESPECTE AL MARCO DE LA LEY SEGUN ORDEN DE SERVICIO Nº 0019/10 DE ESTA UNIDAD OPERACIONAL Y POR NOTA Nº 020/10 DEL MINISTERIO DE TRABAJO EMPLEO Y SEGURIDAD SOCIAL. SE EFECTUARON OCHENTA Y DOS ACTAS DE CONSTATACION VEHICULAR Y DE CHOFERES.</t>
  </si>
  <si>
    <t>MOSTRADOR NRO 20 DEL CHECK-IN DE AEROLINEAS ARGENTINAS.</t>
  </si>
  <si>
    <t>HALL SECTOR A 1</t>
  </si>
  <si>
    <t>SIENDO LA HORA Y FECHA MENCIONADA, SE RECIBE COMUNICACIÓN VIA HT POR PARTE DEL OF. ARIZA MAXIMILIANO INFORMANDO LA PRESENCIA DE UN ELEMENTO SOSPECHOSO, EL MISMO CONSISTIA EN UNA CAJA DE WHISKY VACIA, UBICADO SOBRE LA CINTA DE EQUIPAJES DEL MOSTRADOR NRO 20 DEL CHECK-IN DE AEROLÍNEAS ARGENTINAS SITUADO EN EL SECTOR A1 DE ESTE AEROPUERTO METROPOLITANO. POR LO CUAL SE PROCEDE A REALIZAR EL PERÍMETRO DE SEGURIDAD Y SE APERSONA LA OF. CIERI ANDREA, OFICIAL DEL GEDEX, PARA REALIZAR EL OPERATIVO DE RUTINA CORRESPONDIENTE, EL CUAL ARROJO RESULTADO NEGATIVO. SIENDO LAS 13:00 HORAS FINALIZA EL OPERATIVO SIN NOVEDAD.</t>
  </si>
  <si>
    <t>INFORMO ATERRIZO AERONAVE DE LA FUERZA AEREA ARGENTINA MATRICULA FAG403 TRASLADANDO VALORES PROVENIENTES DEL BANCO CENTRAL DE LA REPUBLICA ARGENTINA, DANDOSE CUMPLIMIENTO A LA ORDEN DE SERVICIO N° 0013/10 REFERENTE A OPERATIVO DE SEGURIDAD, CULMINANDO EL MISMO SIN NOVEDAD</t>
  </si>
  <si>
    <t>FAG403</t>
  </si>
  <si>
    <t>LA RIOJA</t>
  </si>
  <si>
    <t>HALLAZGO AUTOMOTOR</t>
  </si>
  <si>
    <t>CALLE 6</t>
  </si>
  <si>
    <t>PLAYA DE LA TERMINAL B</t>
  </si>
  <si>
    <t>SE RECIBE NOTA Nº 08/10 DE AA2000 DIRIGIDO AL JEFE DE UOSP EZEIZA,EN REFERENCIA A UN VEHICULO ABANDONADO EN LA PLAYA DE ESTACIONAMIENTO DE LA TERMINAL B EL CUAL ESTARIA ALLI APROXIMADAMENTE DESDE EL MES DE JULIO DE 2009 , ES POR ELLO QUE SE COMISIONA PERSONAL A FIN DE VERIFICAR ESTOS DICHOS , ENCONTRANDO EN EL LUGAR UN PEUGEOT 505 COLOR GRIS OSCURO DOMINIO FCM 498, PERCATANDOSE QUE DICHA PATENTE NO CONCUERDA CON EL MODELO DE DICHO RODADO, POR LO QUE PROCEDE A OBSERVAR LOS NUMEROS GRABADOS EN LOS CRISTALES SIENDO ESTOS RMO 128, POSTERIORMENTE EL JEFE DE UNIDAD SOLICITA MEDIANTE INTERNET UN RPA, ARROJANDO COMO RESULTADO EL DOMINIO RMO 128 UN VEHICULO MARCA PEUGEOT MODELO 505 SRD TU DE COLOR GRIS, MOTOR 628797, CHASIS 2078385 EL CUAL POSEE PEDIDO DE SECUESTRO. POR EL DELITO DE HURTO DE AUTOMOTOR DESDE LA DEPENDENCIA ALTE BROWN 1º DE ADROGUE, MANTENIENDOSE COMUNICACIÓN TELEFONICA CON DICHA DEPENDENCIA INFORMANDO ESTA, QUE EL PEDIDO ESTA VIGENTE, QUE LA DENUNCIA FORMAL FUE HECHA POR FERNANDO ADRIAN EPIFANIO, EL 30/12/08 QUE INTERVINO LA UFI Nº DE LOMAS DE ZAMORA A CARGO DEL AGENTE FISCAL DR. TONEGUZZO. ES POR ELLO QUE SE MANTIENE COMUNICACION CON EL JUZGADO INTERVINIENTE, QUE AL SER INFORMADO DE LAS TAREAS REALIZADAS ORDENA SE LABREN ACTUACIONES, INSPECCION TECNICA, LEVANTAMIENTO DE RASTRO, SE REALICE GESTIONES A FIN DE COMUNICARSE CON EL PROPIETARIO PARA INFORMARLE SOBRE EL HALLAZGO, DEBIENDO ELEVAR TODO LO ACTUADO EL DIA 05-05-2010 A PRIMERA HORAA SEDE JUDICIAL</t>
  </si>
  <si>
    <t>PERGOLA ARRIBOS DE LA TERMINAL A</t>
  </si>
  <si>
    <t>EN UNA RECORRIDA QUE EFECTUABA POR EL SECTOR PERGOLA DE ARRIBOS DE LA TERMINAL A, OBSERVA A UNA PERSONA DE SEXO MASCULINO EL CUAL SE ENCONTRABA OFRECIENDO SERVICIO DE TRASPORTE PUBLICO A VIVA VOS A PASAJEROS RECIEN ARRIBADOS AL PAIS, SIENDO ESTE ADVERTIDO QUE DICHO ACCOINAR EL VIOLATORIO, HACIENDO CASO OMISO A LAS ADVERTENCIAS DEL PERSONAL POLICIAL. SEGUIDAMENTE A LA IDENTIFICACION Y APREHENSION DEL CAUSANTE EL CUAL ES CONDUCIDO A LA OFICINA DE CONTRAVENCIONES Y FALTAS DONDE SE LABRA EL SUMARIO CONTRAVENCIONAL NUMERO 067-C/10.</t>
  </si>
  <si>
    <t>INFORMO QUE EN EL DIA DE LA FECHA A HS. 11:00 SE DA INICIO A OPERATIVO DE SEGURIDAD PREVENTIVA, SEGUN ORDEN DE SERVICIO NRO. 009/10 DE UOSP LA RIOJA, POR ARRIBO DE AERONAVE CON CAUDALES PARA EL BANCO CENTRAL DE LA REPUBLICA ARGENTINA. FINALIZANDO EL MISMO A HS 14:00 SIN NOVEDAD</t>
  </si>
  <si>
    <t>SIENDO LAS 01:40 HORA LOCAL ARRIBA AERONAVE MATRICULA LV-BRY DE LAN ARGENTINA PROCEDENTE DE AEROPUERTO JORGE NEWBERY EN CUYAS BODEGAS 31,32 Y 42 SE DESPACHAN 121 CAJAS CON UN PESO BRUTO DE 2.883 KILOGRAMOS DE METAL - MTD- PERTENECIENTES A LA EMPRESA MINERA TRITON ARGENTINA S.A. CON DESTINO A AEROPUERTO JORGE NEWBERY. EL VUELO DESPEGA A LAS 02:54 HORA LOCAL SIN NOVEDAD. SE DIO CUMPLIMIENTO A LA ORDEN DE SERVICIO NRO. 0035/2010.</t>
  </si>
  <si>
    <t>ESMA D/DELITO DE ACCIÓN PUBLICA</t>
  </si>
  <si>
    <t>HALL DE ARRIBOS DE CABOTAJE</t>
  </si>
  <si>
    <t>DE ACUERDO A LO DISPUESTO POR LA ORDEN DE SERVICIO 049/10, SE PROCEDIO A IMPLEMENTAR MEDIDAS DE SEGURIDAD PREVENTIVAS PERTINENTES, AL ARRIBO DEL DETENIDO JULIO ALBERTO POCH, DANDO PROTECCION AL PERSONAL AUTORIZADO DE INTERPOL Y EL NORMAL DESPLAZAMIENTO DENTRO DE LA JURISDICCION AEROPORTUARIA Y POSTERIORMENTE AL EGRESO DEL DETENIDO DE ESTA UNIDAD OPERACIONAL. ASI MISMO EL PERSONAL POLICIAL ASIGNADO A LA MANGA DE ARRIBO NUMERO 12 EFECTUO EL ACOMPAÑAMIENTO AL DETENIDO, JUNTO CON PERSONAL DE INTERPOL PARA AGILIZAR EL PROCEDIMIENTO DEL TRASLADO. FINALIZADO ESTO SE EGRESO AL DETENIDO POR EL SECTOR DE ARRIBOS DE CABOTAJE DE LA TERMINAL B. RELACIONADA CON UNA CAUSA DE LESA HUMANIDAD.-</t>
  </si>
  <si>
    <t>SIENDO LAS 07:55 HORA LOCAL ARRIBA AERONAVE MATRICULA LV-BET DE LAN ARGENTINA PROCEDENTE DE AEROPUERTO JORGE NEWBERY EN CUYAS BODEGAS 31.32 Y 41 SE DESPACHAN 121 CAJAS CON UN PESO BRUTO DE 2.904 KILOGRAMOS DE METAL - MTD- PERTENECIENTES A LA EMPRESA MINERA TRITON ARGENTINA S.A. CON DESTINO A AEROPUERTO JORGE NEWBERY. EL VUELO DESPEGA A LAS 09:10 HORA LOCAL SIN NOVEDAD. SE DIO CUMPLIMIENTO A LA ORDEN DE SERVICIO NRO 0035/2010.</t>
  </si>
  <si>
    <t>FRENTE AL SNAK BAR UBICADO EN EL HALL CENTRAL SECTOR SUR DEL AROPUERTO</t>
  </si>
  <si>
    <t>SIENDO LAS 06:50 HS APROXIMADAMENTE LA DENUNCIANTE SE ENCONTRABA SENTADA TOMANDO UN CAFE EN EL SNAK BAR MOMENTO EN QUE SE APROXIMA UNA MUJER DE CABELLO RUBIOS HACIENDOLE PREGUNTAS VARIAS, AL CABO DE UNOS MINUTOS OBSERVA QUE LA MOCHILA QUE TENIA A SU COSTADO ESTA CORRIDA DE LUGAR, CERCA DE UN HOMBRE EN ACTITUD SOSPECHOSA, POR LO QUE DECIDE LEVANTARSE Y DIRIGIRSE AL EMBARQUE, UNA VEZ AHI LE INFORMA LO SUCEDIDO AL OF. FARIAS QUIEN DA AVISO AL JEFE DE TURNO EL CUAL DISPONE SE PROCEDA A IDENTIFICAR AL HOMBRE SOSPECHOSO, QUIEN MANIFIESTA QUE NO TIENE NINGUN TIPO DE IDENTIFICACION POR LO QUE LO HACE EN FORMA VERBAL, ANTE ESTA SITUACION SE REALIZA COMUNICACION CON LA AUTORIDAD JUDICIAL DE TURNO, SIENDO ATENDIDO POR LA AUXILIAR CINTIA FIGUEROA, A QUIEN SE LE INFORMA LOS HECHOS, Y HACIENDOLE HINCAPIE DE QUE NO HAY FORMA DE IDENTIFICARLO Y QUE LA MUJER AFECTADA NO DESEA REALIZAR DENUNCIA FORMAL POR NO FALTARLE ELEMENTO ALGUNO POR LO QUE LA AUTORIDAD JUDICIAL DISPONE QUE SE LO DEJE RETIRAR POR NO HABER DELITO ALGUNO A LO QUE SE DA ESTRICTO CUMPLIMIENTO. RETIRANDOSE SIN NOVEDAD EL INDIVIDUO INVOLUCRADO.</t>
  </si>
  <si>
    <t>INSTALACIONES DEL AEROPUERTO PRESUME EN LAS INMEDIACIONES DEL HANGAR EMPRESA AERORUTAS S.A.</t>
  </si>
  <si>
    <t>SE HACE PRESENTE LA SRA.MARIA DOLORES SCHWEIKOFSKI D.N.I.21161587 EMPLEADA DE LA EMPRESA AERORUTAS S.A. MANIFESTANDO EL EXTRAVIO DE UNA CREDENCIAL AEROPORTUARIA EN VIGENCIA A SU NOMBRE SIN PODER PRESISAR LUGAR EXACTO EN PREDIO DEL AEROPUERTO.SE CONFECCIONA ACTA DE EXTRAVIO Nº10/10.-</t>
  </si>
  <si>
    <t>EN CONTROL DE EQUIPAJES DESPACHADOS POR BODEGA MEDIANTE EQUIPO DE RAYOS X MOVIL-SCANVAN</t>
  </si>
  <si>
    <t>INFORMO QUE EN EL CONTROL DE EQUIPAJES DESPACHADOS POR POR BODEGA SE DETECTA UN EQUIPAJE CON MARBETE LA 217377 QUE CONTENDRIA EN SU INTERIOR MERCADERIAS EN PRESUNTA INFRACCION A LA LEY 22.415 SE IDENTIFICA AL PROPIETARIO DEL MISMO Y SE REALIZA LA APERTURA ANTE LA PRESENCIA DE LOS TESTIGOS CONVOCADOS A TAL FIN PROCEDIENDOSE A LABRAR ACTA DE INTERDICCION Y SE HACE ENTREGA DE LOS ELEMENTOS INTERDICTADOS AL PERSONAL DE AFIP DGA SEÑOR RUBEN MORALES QUIEN PROCEDE AL COBRO DE POLIZA DE LAS MISMAS BAJO ACTA NRO 2010029004374 VALOR APROXIMADO DE LA MERCADERIA PESOS DOS MIL CUATROCIENTO CINCUENTA Y SIETE</t>
  </si>
  <si>
    <t>PUERTO IGUAZU-MISIONES</t>
  </si>
  <si>
    <t>SEGUN ORDEN DE SERVICIO N° 043/10. INFORMO QUE A HORAS 15:10 ARRIBA EN ESTE AEROPUERTO C 130 PERTENECIENTE A LA FUERZA AEREA ARGENTINA TRANSPORTANDO CAUDALES DEL BANCO DE LA NACION ARGENTINA. SE REALIZO LOS OPERATIVOS DE SEGURIDAD PERTINENTES, SALIENDO A HORAS 16:00 VIA TERRESTE LOS CAMIONES QUE TRANSPORTAN LOS VALORES SIN REGISTRARSE NOVEDAD. ASIMISMO INFORMO QUE SIENDO 16:25 HORAS, PARTIO EL VUELO CITADA CON DESTINO AL AEROPUERTO DE SALTA.</t>
  </si>
  <si>
    <t>JULIETA BETINA PEREZ DEL CERRO S/DENUNCIA</t>
  </si>
  <si>
    <t>QUE EL DIA CINCO DE MAYO DEL AÑO EN CURSO, LA DENUNCIANTE SE ENCONTRABA EN SU DOMICILIO PARTICULAR CUANDO SE HIZO PRESENTE EN EL MISMO, SU EX PAREJA, DE NOMBRE DANIEL EDUARDO NOSITI, MANIFESTANDOLE A LA DENUNCIANTE QUE SI NO LE DEVOLVIA UN DINERO QUE EL LE HABIA PRESTADO CUANDO ESTABAN JUNTOS PARA COMPRAR UN VEHICULO, SE HARIA PRESENTE EN EL LUGAR DE TRABAJO DE LA DENUNCIANTE, SIENDO ESTE EL LOCAL DE NOMBRE COMERCIAL LOS ROBLES, SITO EN LAS INSTALACIONES DE ESTE MEDIO Y QUE LA IBA A ESCRACHAR Y PONER PANCARTAS EN CONTRA DE LA SEÑORA PEREZ DEL CERRO. ANTE ESTA MANIFESTACION, LA DENUNCIANTE, LE DICE AL SEÑOR NOSITI QUE LE DIERA UN POCO MAS DE TIEMPO PARA PODER DEVOLVERLE EL DINERO EN CUESTION PERO QUE EN ESE MOMENTO SE SINTIO PRESIONADA POR NOSITI, MOTIVO POR EL CUAL, SE HACE PRESENTE EN ESTA DEPEDENCIA A LOS EFECTOS DE RADICAR LA DENUNCIA CORRESPONDIENTE. PTO.-</t>
  </si>
  <si>
    <t>SIENDO LA HORA ANTES MENCIONADA SE IMPLEMENTA OPERATIVO DE SEGURIDAD PARA EL ARRIBO DE LA SRA. PRESIDENTA DE LA NACION, LA CUAL ARRIBO EN EL VUELO H01 A LAS 18:05HS A LA AEROESTACION MILITAR Y POSTERIORMENTE PARTIO EN EL VUELO T01 CON DESTINO CALAFATE SIN NOVEDAD.</t>
  </si>
  <si>
    <t>CALLE DE RODAJE OESTE</t>
  </si>
  <si>
    <t>SIENDO HS 17:50 FINALIZA OPERATIVO CUSTODIA DE CAUDALES, SEGUN ORDEN DE SERVICIO Nº 083/10, SIN NOVEDAD. PERSONAL INTERVINIENTE: DE LA UOESA DEL NORTE Y UOSP SALTA, AERONAVE TRANSPORTADORA DE LOS CAUDALES: HERCULES C-130 MATRICULA TC-70 DE LA FUERZA AEREA ARGENTINA.</t>
  </si>
  <si>
    <t>FAG408</t>
  </si>
  <si>
    <t>INFRACCION AL ART.85 DEL DECRETO LEY 8031/73</t>
  </si>
  <si>
    <t>FRENTE A LA PARADA DE REMISES</t>
  </si>
  <si>
    <t>LOS OFICAILES DIEGO DELL`ERBA, Y ALEJANDRO ROMEO, CONSTATAN LA PRESENCIA DE UNA PERSONA DE SEXO MASCULINO, QUIEN SE ENCONTRABA EN EL ESTACIONAMIENTO FRENTE A LA PARADA DE REMISES, REALIZANDO TAREAS DE VENTA AMBULANTE DE SUSTANCIAS ALIMENTICIAS A TRANSEúNTES, POR UNA SUMA DE DINERO A CONVENIR, SIN HABER CUMPLIDO PREVIAMENTE CON LOS REQUISITOS EXIGIDOS POR LA AUTORIDAD DE COMPETENCIA PARA EJERCER DICHA TAREA, HABIDA CUENTA DE ELLO ES QUE SE PROCEDE A LA IDENTIFICACIóN, APREHENSIóN PREVENTIVA DEL CAUSANTE Y SECUESTRO DE LOS ELEMENTOS.</t>
  </si>
  <si>
    <t>EN EL DIA DE LA FECHA ARRIBA AERONAVE T-01 CON SRA PRESIDENTA DE LA NACION, EX PRESIDENTE Y COMITIVA SIN NOVEDAD. AERONAVE PROXIMA A PARTIR A LA LOCALIDAD DE RIO GALLEGOS</t>
  </si>
  <si>
    <t>SE CONFECCIONA EL PRESENTE PU A FIN DE INFORMAR QUE EN EL DIA DE LA FECHA SIENDO LAS 22 17 HORA LOCAL SE PRODUCE EL ARRIBO DE LA AERONAVE T 01 CON TRIPULACION SOLAMENTE SIN NOVEDAD</t>
  </si>
  <si>
    <t>TENTATIVA DE CONTRABANDO DE ESDTUPEFACIENTES</t>
  </si>
  <si>
    <t>EFECTUANDOSE EL CONTROL PREVENTIVO EN EQUIPAJES EN TRANSITO CON DESTINO A EUROPA, SURGE QUE EN UNA VALIJA SE HALLABA SUSTANCIA ORGANICA DE BAJA DENSIDAD, SIN PODER ESPECIFICAR DE QUE ELEMENTO SE TRATARIA. A TAL EVENTO, UNA VEZ AUTORIZADA LA REQUISA JUDICIAL, SE PROCEDE A LA APERTURA DE LA VALIJA EN CUESTION, LA CUAL UNA VEZ RETIRADA LA TOTALIDAD DE SU CONTENIDO, SE OBSERVA UN DOBLE FONDO, ENCONTRANDOSE UN BULTO RECTANGULAR ENVUELTO EN CINTA DE EMBALAR COLOR PIEL. QUE AL SER SOMETIDA A PRUEBA DE CAMPO CON REACTIVO PARA COCAINA, LA MISMA ARROJA COMO RESULTADO POSITIVO. SEGÚN PU Nº 2731 SIENDO LAS 02 HORAS, EL DETENIDO EN AUTOS FUE TRASLADADO A LA UNIDAD NUMERO 28 DEL SERVICIO PENITENCIARIO FEDERAL PARA SU POSTERIOR ALOJAMIENTO.-</t>
  </si>
  <si>
    <t>G3 7470</t>
  </si>
  <si>
    <t>AF 417 PARIS</t>
  </si>
  <si>
    <t>PLANTA BAJA, SECTOR ADUANERO</t>
  </si>
  <si>
    <t>CINTA Nº 8 DE ARRIBO DE EQUIPAJES</t>
  </si>
  <si>
    <t>SE HACE PRESENTE EL DAMNIFICADO AFIN DE REALIZAR FORMAL DENUNCIA , MANIFESTANDO QUE LUEGO DE ARRIBAR SE DIRIGIó HACIA LA CINTA DENOMINADA NUMERO 08 DEL SECTOR DE ARRIBOS DE LA TERMINAL A , A LOS EFECTOS DE RETIRAR SUS CUATRO EQUIPAJES DESPACHADOS A BODEGA, QUE LUEGO DE ESPERAR 1 HORA APROXIMADAMENTE , NOTANDO LA FALTA DEL CANDADO OBSERVA QUE SUS PERTENENCIAS SE ENCONTRABAN TODAS REVUELTAS, MOTIVO POR EL CUAL EFECTúA UNA REVISIóN DE SU CONTENIDO Y SE PERCATA DEL FALTANTE DE VARIAS ELEMENTOS DE SUS PERTENENCIA</t>
  </si>
  <si>
    <t>SECTOR DE ADUANA</t>
  </si>
  <si>
    <t>CINTA DE ARRIBO DE EQUIPAJES TERMINLA B</t>
  </si>
  <si>
    <t>SE PRESENTA EL DAMNIFICADO A FIN DE RADICAR FORMAL DENUNCIA , MANIFESTANDO QUE AL ARRIBAR , SE DIRIGIó A LA CINTA DE EQUIPAJES Nº 08 DE LA TERMINAL B , LUGAR DONDE TOMA CONTACTO CON SUS EQUIPAJES OPORTUNAMENTE DESPACHADOS A BODEGA, ENTRE LOS CUALES SE ENCONTRABA UNA MALETA DE TIPO CARRIóN DE COLOR NEGRO DE GRAN TAMAñO, MARCA PRANDY, DESPACHADA BAJO MARBETE Nº AR 91174 A NOMBRE DE CICALA ROBERTO , CUANDO DA CON ELLA SE PERCATA DEL FALTANTE DE VARIOS ELEMENTOS DE SU PERTENENCIA</t>
  </si>
  <si>
    <t>2728/10</t>
  </si>
  <si>
    <t>CUMPLO EN INFORMAR QUE SIENDO LAS 02 HORAS, EL DETENIDO EN AUTOS FUE TRASLADADO A LA UNIDAD NUMERO 28 DEL SERVICIO PENITENCIARIO FEDERAL PARA SU POSTERIOR ALOJAMIENTO.-</t>
  </si>
  <si>
    <t>DRA. SABRINA M. FANELLO</t>
  </si>
  <si>
    <t>CAMINO A DRACONIS</t>
  </si>
  <si>
    <t>DENOMINADO PORTON 02.-</t>
  </si>
  <si>
    <t>SIENDO APROXIMADAMENTE LAS VEINTIUNA HORAS, CINCUENTA MINUTOS, EL JEFE DE TURNO RECIBE COMUNICACION VIA NEXTEL POR PARTE DEL ENCARGADO DE TURNO DEL DIA DE LA FECHA, QUIEN LE MANIFIESTA QUE HABIAN SIDO DIVISADOS DOS SUJETOS CON INTENCIONES DE QUERER INGRESAR A ESTE PREDIO A TRAVES DEL CERCO PERIMETRAL. ANTE ESTE HECHO, EL SUSCRIPTO PROCEDE A DIRIGIRSE HACIA EL LUGAR UBICADO EN CERCANIAS DEL PORTON DOS, OBSERVANDO ALLI LA PRESENCIA DE UN MOVIL DE LA EMPRESA DRACONIS, MOMENTO EN EL CUAL EL CHOFER DEL MISMO LE INFORMA QUE MINUTOS ANTES OBSERVO A DOS PERSONAS VESTIDOS CON PRENDAS BUZOS OSCUROS Y CON SU CARA CUBIERTA CON CAPUCHA Y PAÑUELOS DE COLOR BLANCO, QUIENES HABIAN INTENTADO SALTAR EL CERCO PERIMETRAL DE ESTE MEDIO Y AL VER EL MOVIL DE LA CITADA EMPRESA, ESTOS SUJETOS DECISTIERON DE SU ACCIONAR, ESCONDIENDOSE EN UNOS PASTIZALES HABIDOS EN EL SECTOR, MOTIVO POR EL CUAL, EL JEFE DE TURNO LE INDICO AL CHOFER DE DRACONIS A QUE SE RETIRAR DEL LUGAR A LOS EFECTOS DE RESGUARDAR SU INTEGRIDAD FISICA Y PORTERIORMENTE SE QUEDA EN EL LUGAR CON EL FIN DE CORROBORAR LOS DICHOS DEL PERSONAL DE DRACONIS. DE MANERA SIMULTANEA, EL JEFE DE TURNO SOLICITA EL APOYO DE DOS MOVILES DE DOTACION A LOS EFECTOS DE REALIZAR UNA RECORRIDA POR EL SECTOR Y SUS ADYACENCIAS CON EL FIN DE DAR CON LOS SUJETOS EN CUESTION. QUE MIENTRAS SE LLEVABA A CABO EL RECORRIDO PREVENTIVO, OBSERVAN QUE EL VEHICULO DE LA EMPRESA DRACONIS QUE CIRCULABA DELANTE DE UNO DE LOS MOVILES POLICIALES, DETIENE SU MARCHA DE FORMA ABRUPTA Y LUEGO RETOMA EN SENTIDO CONTRARIO AL QUE CIRCULABA, MOTIVO POR EL CUAL, UNA VEZ CONTACTADO EL CHOFER DEL MISMO Y ENTREVISTADO, EL MISMO MANIFESTO QUE REALIZO DICHA MANIOBRA EN VIRTUD A QUE HABIA DIVISADO A UN SUJETO DENTRO DEL PREDIO DE ESTE MEDIO, CUYAS VESTIMENTAS ERAN LAS MISMAS REFERIDAS EN PRIMERA INSTANCIA. ATENTO A ELLO, SE INFORMO DE LO ACONTECIDO AL PERSONAL DE TORRE DE CONTROL, CONTROL TERRESTRE Y PERSONAL DE AEROPUERTOS ARGENTINAS 2000, QUIENES TRANSITAN DE FORMA HABITUAL POR DICHO SECTOR. POR TAL MOTIVO, QUIEN SUSCRIBE DISPONE EFECTUAR UN RASTRILLAJE A PIE, DENTRO Y FUERA DEL AEROPUERTO, JUNTAMENTE CON PERSONAL DE CANES Y DEL GEAT, SEGUIDAMENTE SE MANTUVO COMUNICACION TELEFONICA CON EL JUZGADO FEDERAL EN TURNO, QUIEN DISPUSO SE INICIEN ACTUACIONES SUMARIAS CARATULADAS AVERIGUACION DE ILICITO, SE CONTINUE EL RASTRILLAJE INICIADO Y CULMINADA LAS DILIGENCIAS SE ELEVEN LO ACTUADO A SEDE JUDICIAL. QUE SIENDO LAS DOS HORAS DEL DIA 07 DE MAYO DEL AÑO EN CURSO, SE DIO POR FINALIZADO EL RASTRILLAJE EFECTUADO ARROJANDO COMO RESULTADO NEGATIVO CON RESPECTO A LA PRESENCIA DE LOS SUJETOS</t>
  </si>
  <si>
    <t>2542/10</t>
  </si>
  <si>
    <t>SE PROCEDE A LA APERTURA DE UNA ENCOMIENDA DEL CORREO OFICIAL EN PRESENCIA DE SU PROPIETARIA, AMBROSIA TOLABA, SEGUN ACTA DE APERTURA Nº 221/10, QUE FUE RETENIDA EL 27/04/10, SEGUN ACTA DE RETENCION DE CARGA Nº 204/10, LA APERTURA SE REALIZA CON CONOCIMIENTO DEL MAGISTRADO QUE INSTRUYE. LA PROPIETARIA FUE NOTIFICADA POR EL CORREO OFICIAL QUE SU ENCOMIENDA FUE RETENIDA EN ESTA UNIDAD. LA ENCOMIENDA EP702480618AR,RTTE: AMBROSIA TOLABA, RIVADAVIA Nº 311, Bº 12 DE OCTUBRE -ABRA PAMPA-JUJUY- DEST: SRTA GRACIELA VALERIO, PARAJE RASTRO DEL ÑANDU, MANZANA 246, SOLAR 12-PCIA DE SANTA CRUZ-CP. 9017, CONTIENE: PRENDAS VARIAS PARA USO FLIAR, CUATRO CAMPERAS, CUATRO BUZOS, CINCO TRICOTAS. DICHA ENCOMIENDA NO CONTIENE ALGUN ELEMENTO EN INFRACCION A LAS LEYES 22415 Y/O 23737 Y SERA ENTREGADA AL CORREO OFICIAL PARA SU REDESPACHO.</t>
  </si>
  <si>
    <t>JUZGADO DE MENORES 1° NOMINACION</t>
  </si>
  <si>
    <t>MARIA DEL PILAR</t>
  </si>
  <si>
    <t>CACERES, EDUARDO A.</t>
  </si>
  <si>
    <t>INTERSECCION CON PISTA DE ATERRIZAJE</t>
  </si>
  <si>
    <t>CALLE DE RODAJE NORTE</t>
  </si>
  <si>
    <t>INFORMO QUE EL DÍA 06-MAY-10 SIENDO LAS HORAS 13:45 EL OF. AYTE. MIGUEL ANGEL DIAZ LEGAJO Nº 501.321 QUE SE DESEMPEÑABA COMO JEFE DE TURNO DETECTA UN PERSONA EN CALLE DE RODAJE NORTE PROCEDIENDO A LA INTERCEPCIÓN DE LA PERSONA RESULTANDO SER ESTA UNA MENOR QUE DECÍA LLAMARSE GISELA ROSARIO ROMERO DE 17 AÑOS DE EDAD, SIN RECORDAR SU NÚMERO DE DOCUMENTO Y CON DOMICILIO SEGÚN SUS DICHOS EN CALLE GUEMES DE CIUDAD PERICO NO RECORDANDO LA NUMERACIÓN. ASIMISMO MANIFIESTA QUE ERA PERSEGUIDA POR UN INDIVIDUO EN BICICLETA, Y QUE DEBIDO A ESTO INGRESO AL PREDIO SALTANDO LA TELA METÁLICA, DESCONOCIENDO QUE ERA EL AEROPUERTO. SIENDO LA HORA CATORCE CON CINCO MINUTOS SE EFECTÚA UNA LLAMADA TELEFÓNICA AL JUZGADO DE MENORES N° 1 DE JUJUY, A CARGO DE LA JUEZA DRA. MARÍA DEL PILAR MEDINA, A QUIEN SE PONE EN CONOCIMIENTO DE LO ACONTECIDO CON LA MENOR, A LO QUE LA MAGISTRADA ORDENA QUE LA MENOR SEA ENTREGADA AL PERSONAL DE LA SECCIONAL DE LA POLICÍA DE LA PROVINCIA DE JUJUY, DE CIUDAD PERICO, A EFECTOS QUE LOS MISMOS ENTREGUEN A LA MENOR A SU MADRE Y QUE LA MISMA DETERMINE SI REALIZARÁ LA DENUNCIA CORRESPONDIENTE EN LA SECCIONAL DE POLICÍA. POSTERIORMENTE PERSONAL SE DIRIGE A LA ZONA UBICADA EN EL LATERAL ESTE DEL AEROPUERTO A EFECTOS DE REALIZAR UNA INSPECCIÓN OCULAR EN EL SECTOR EN DONDE SUPUESTAMENTE HABRÍA INGRESADO LA MENOR, Y CONSTATAR LA POSIBLE PRESENCIA DEL INDIVIDUO QUE LA PERSEGUÍA, DANDO ESTA COMO RESULTADO QUE LA MENOR HABRÍA INGRESADO POR DEBAJO DE LA TELA EN EL HUECO DEJADO POR LA ROTURA DEL ALCANTARILLADO, NO DIVISÁNDOSE LA PRESENCIA DE NINGUNA PERSONA EN LOS ALREDEDORES.SIENDO LAS 16:50 HORAS Y DANDO CUMPLIMIENTO A LO ORDENADO POR LA MAGISTRADA INTERVINIENTE SE PROCEDE A TRASLADAR A LA MENOR A LA CIUDAD DE PERICO A EFECTOS DE PROCEDER A LA ENTREGA DE LA MISMA A LA POLICIA DE LA PROVINCIA DE JUJUY, SIENDO RECIBIDA POR EL OFICIAL PRINCIPAL MATEO VILTE PERTENECIENTE A LA SECCCIONAL Nº 58 DE LA CITADA FUERZA</t>
  </si>
  <si>
    <t>POSICION DE ESTACIONAMIENTO 1</t>
  </si>
  <si>
    <t>INFORMO QUE EL DÍA 06 DE MAYO DE 2010 SE REALIZO UN OPERATIVO DE SEGURIDAD POR EL ARRIBO A LA PROVINCIA DE JUJUY DE CAUDALES PERTENECIENTES AL BANCO CENTRAL DE LA REPUBLICA ARGENTINA, EL CUAL SE DIO INICIO ALAS 14:00 HORAS LOCAL, DE ACUERDO A LO ESTABLECIDO EN ORDEN DE SERVICIO Nº 42/10 DE FECHA 06 DE MAYO DE 2010, ORIGINADA POR ESTA UOSP JUJUY. LA AERONAVE PERTENECIENTE A LA FUERZA AEREA ARGENTINA MATRICULA TC 70 ARRIBÓ AL AEROPUERTO JUJUY A LAS 18:05 LOCAL, REALIZANDOSE EL PROCEDIMIENTO DE CARGA DE VALORES EN EL CAMION TRANSPORTADOR CON TOTAL NORMALIDAD RETIRANDOSE EL VEHÍCULO DE MENCIÓN CON LA CAPSULA DE CUSTODIA DE ESTA JURISDICCION A LAS 18:50 LOCAL, REPLEGANDO EL PERSONAL AFECTADO A LAS 19:00 HORAS LOCAL DANDO POR FINALIZADA LA ORDEN DE SERVICIO CON PERSONAL Y MATERIALES SIN NOVEDAD.</t>
  </si>
  <si>
    <t>TC 70</t>
  </si>
  <si>
    <t>LEGAJO DE : CHAVARRIA LLANO JUAN DOMINGO</t>
  </si>
  <si>
    <t>2306/10-ES-</t>
  </si>
  <si>
    <t>PREEMBARQUE INTERNACIONAL- PUERTA Nº 3-</t>
  </si>
  <si>
    <t>DOS EFECTIVOS DE LA UOESA III DEL NORTE REALIZARON CUSTODIA Y EMBARQUE DEL EXPULSADO, DANDO CUMPLIMIENTO A LA ORDEN DE SERVICIONº 086/10 DE LA URSA III DEL NORTE. LA RECEPCION, CUSTODIA Y POSTERIOR EMBARQUE FUE SOLICITADA POR LA DELEGACION SALTA DE MIGRACIONES, SEGUN DISPOSICION Nº 052549,. LA CUSTODIA Y POSTERIOR EMBARQUE SE DESARROLLO SIN INCONVENIENTES HASTA EL MOMENTO DE PARTIDA.</t>
  </si>
  <si>
    <t>SL 251</t>
  </si>
  <si>
    <t>ACTUACIONES RESERVADAS EN LA CAUSA N° 9934 CARATULADA MAFFIOLY MARIANO RUBEN S/CONTRABANDO DE ESTUPEFACIENTES</t>
  </si>
  <si>
    <t>S/CONTRABANO DE ESTUPEFACIENTES</t>
  </si>
  <si>
    <t>CALLE MARCELO T DE ALVEAR 1657</t>
  </si>
  <si>
    <t>REF. ORDEN DE SERVICIO N° 356/10. EN EL DIA DE LA FECHA PERSONAL DE ESTA UNIDAD SE HACE PRESENTE EN EL JUZGADO INTERVINIENTE A FIN DE RETIRAR ORDEN DE ALLANAMIENTO PARA EL DIA DE LA FECHA EN EL LUGAR INDICADO. UNA VEZ QUE PERSONAL SE HACE PRESENTE EN SEDE JUDICIAL SSA. DEJA SIN EFECTO DICHA ORDEN.</t>
  </si>
  <si>
    <t>INFRACCION AL ART. 85 DEL DECRETO LEY 803173</t>
  </si>
  <si>
    <t>EL COMISIONADO MAYOR MARTINEZ GONZALO EN UNA RECORRIDA POR LA TERMINAL A SECTOR HALL DE ARRIBOS, OBSERVA A UNA PERSONA DE SEXO MASCULINO REALIZANDO TAREAS DE VENTA AMBULANTE DE SUSTANCIAS ALIMENTICIAS, SIENDO QUE EL MISMO CARECE DE LA HABILITACION PARA REALIZAR DICHA TAREA. POR TAL MOTIVO SE PROCEDE A LA IDENTIFICACION Y APREHENSION DEL CAUSANTE.-</t>
  </si>
  <si>
    <t>PLATAFORMA OPERATIVA, DIRECCION GENERAL DE AVIACION CIVIL DE SANTIAGO DEL ESTERO</t>
  </si>
  <si>
    <t>EN EL DIA DE LA FECHA, SIENDO LAS 16:30 HS LOCAL DESPEGA DE ESTE AERODROMO AERONAVE LEAR JET LV-CCO TRASLADANDO AL MINISTRO DE PLANIFICACION FEDERAL ARQ JULIO DE VIDO Y SU COMITIVA EL CUAL HABIA ARRIBADO A LAS 13:05 HS LOCAL, A ESTE AERODROMO SEGUN LO INFORMADO EN TXT 0692 R GHO 071608 MAY 10 A ESA URSA III DEL NORTE, CON MOTIVO DE VISITA PROTOCOLAR EN CASA DE GOBIERNO DE ESTA PROVINCIA.</t>
  </si>
  <si>
    <t>JUNTO A LOS BOX MIGRATORIOS DE SALIDA DE LA DNM DE EZEIZA</t>
  </si>
  <si>
    <t>LOCAL 22 DEL DUTTY FREE SHOP</t>
  </si>
  <si>
    <t>QUE EL DIA INDICADO A LA HORA INDICADA, PERSONAL DE LA EMPRESA DAMNIFICADA INFORMA QUE UNA PASAJERA HABIA EGRESADO DEL LOCAL CITADO SIN ABONAR UN PAR DE LENTES DE SOL, CUYOS DATOS SE DETALLAN UT SUPRA. POR TAL MOTIVO EL JEFE DE TURNO SE CONSTITUYE EN EL SECTOR POR LA DENUNCIA VERBAL Y CONSTATA EL HECHO. UNA VEZ EN LA GUARDIA DE PREVENCION, EL SUSCRIPTO MANTUVO COMUNICACION TELEFONICA CON EL MAGISTRADO INTERVINIENTE QUIEN DISPUSO LA DETENCION DE LA CAUSANTE EN CARACTER DE INCOMUNICADA, SE SECUESTRE EL ELEMENTO HURTADO, SE LABREN ACTUACIONES DE RIGOR, SE TRASLADE A LA DETENIDA UNA VEZ CUMPLIMENTADAS LAS DILIGENCIAS A LA UNIDAD 28, DEL SPF, DEBIENDO ELLOS TRASLADAR A LA CAUSANTE EL DIA LUNES DIEZ DEL CORRIENTE MES Y AÑO A SEDE JUDICIAL, DEBIENDOSE ELEVAR LO ACTUADO EL MISMO DIA. ES TODO CONSTE. SEGUN PU AMPLIATORIO 2759 INFORMO POR MEDIO DEL PRESENTE QUE EL DIA SIETE DEL CORRIENTE MES Y AÑO SIENDO APROXIMADAMENTE LAS DIECISEIS HORAS LA DETENIDA FUE TRASLADADA A LA UNIDAD 28 DEL SPF SIN NOVEDAD.-</t>
  </si>
  <si>
    <t>JJ 8009</t>
  </si>
  <si>
    <t>EZIEZA BS. AS.</t>
  </si>
  <si>
    <t>SAO PAULO</t>
  </si>
  <si>
    <t>CONTRABANDO DE DIVISAS</t>
  </si>
  <si>
    <t>PUNTO DE INSPECCION DE PREEMBARQUE</t>
  </si>
  <si>
    <t>CONTROL PREVENTIVO-RAYOS X-</t>
  </si>
  <si>
    <t>EN EL DIA DE LA FECHA DURANTE UN CONTROL DE RUTINA EN EL SECTOR DE PREEMBARQUE -MAQUINA DE RAYOS X- DEL VUELO AR-2872 DE LA EMPRESA AEROLINEAS ARGENTINAS. SE INDIVIDUALIZA A LA SEÑORA ADRIANA MARTA MARTINEZ SOSA -PRESIDENTA DE LA EMPRESA DE SEGUROS- QUIEN TRANSPORTABA EN SU EQUIPAJE DE MANO UNA SUMA CONSIDERABLE DE DINERO, MANIFESTANDO APROXIMADAMENTE NOVENTA Y CINCO MIL PESOS 95.000 PESOS-.SE INFORMA AL PERSONAL DE LA DIRECCION GENERAL DE ADUANAS EN LA PERSONA DEL AGENTE ADUANERO SEÑORA LAMBORGUESE MONICA DNI N° 13.753.166, QUIEN SOLICITA A LA SEÑORA QUE LA ACOMPAÑE A SU OFICINA. SE REALIZA COMUNICACION TELEFONICA CON EL JUZGADO FEDERAL DE USHUAIA EN LA PERSONA DEL SEÑOR SECRETARIO DR. ERNESTO MENDIETA, MANIFESTANDO QUE ADUANAS REALICE LA VERIFICACION DE LA DOCUMENTACION RESPALDATORIA Y QUE DE SURGIR NOVEDAD, ADUANAS SE COMUNICARIA CON EL. SEGUIDAMENTE SE PRESENTA EN LA OFICINA DE LA D.G.A. EL SEÑOR ANIBAL MARIO ERCOLE DNI N° 12.112.509 ACREDITANDO SER APODERADO DE LA EMPRESA DE SEGUROS A QUIEN LA ADUANA HACE ENTREGA DEL DINERO. CONTINUANDO SU VIAJE LA SEÑORA MARTINEZ SOSA.-</t>
  </si>
  <si>
    <t>FISCALIA NACIONAL EN LO CORRECCIONAL Nº 1</t>
  </si>
  <si>
    <t>DRA. LAURA ADRIANA SOULE</t>
  </si>
  <si>
    <t>POSICION Nº 22 DE LA PLATAFORMA AEROCOMERCIAL</t>
  </si>
  <si>
    <t>AERONAVE MATRICULA BIX</t>
  </si>
  <si>
    <t>SE PRESENTA EL SR PIZZOLITTO JUAN GABRIEL A FIN DE RADICAR FORMAL DENUNCIA , MANIFESTANDO QUE SIENDO LAS 12:20 HORAS, DEL DíA 7-5-10 ME ENCONTRABA CUMPLIENDO FUNCIONES COMO MECáNICO DE LA EMPRESA AEROLíNEAS ARGENTINAS, DENTRO DE LA AERONAVE, CUYA MATRICULA ES BIX DE DICHA EMPRESA, QUE SE ENCONTRABA EN EL HIDRANTE 22, CON EL FIN DE REALIZARLE LA INSPECCIóN DE RUTINA, POR LO QUE SACO MI PINZA MULTIUSO, MARCA LEATHERMAN WAVE, PARA UTILIZARLA EN TAREAS DE MANTENIMIENTO EN LA PARTE DENOMINADA GALLEY, LUGAR DONDE SE ENCUENTRA LA COCINA, POR LO QUE DEJO APOYADA DICHA PINZA EN LA MESADA DE LA MISMA, POSTERIORMENTE ME RETIRO PARA QUE PERSONAL DE SERZA S.A. PUDIERA REALIZAR SUS RESPECTIVA TAREAS DE LIMPIEZA EN EL AVIóN, DIRIGIéNDOME HACIA OTRA AERONAVE. PASADO UNOS DIEZ MINUTOS ME PERCATO DEL FALTANTE DE DICHA HERRAMIENTA POR LO QUE REGRESA AL LUGAR ANTES MENCIONADO NO PUDIENDO DAR CON ELLA.</t>
  </si>
  <si>
    <t>FRENTE A ZONA DE MOSTRADORES</t>
  </si>
  <si>
    <t>ASIENTO DE ESPERA DE PASAJEROS</t>
  </si>
  <si>
    <t>SIENDO LAS DIEZ HORAS DEL DIA 06/05/2010 SE PRODUCE EL HALLAZGO POR PARTE DE LA SRA LAURA ANA GUADALUPE BOUCHET,DNI 22.026.723 EN EL HALL PRINCIPAL - ASIENTO DE ESPERA DE PASAJEROS - DEL SIGUIENTE ELEMENTO : 1 UNO TELEFONO CELULAR MARCA MOTOROLA DE COLOR NEGRO CON DETALLES AZUL,POR TAL MOTIVO SE REALIZA ACTA CORRESPONDIENTE.</t>
  </si>
  <si>
    <t>OFICINAS DE OFICIOS JUDICIALES DE LA DIRECCION GENERAL DE ASUNTOS JURIDICOS DE LA PSA</t>
  </si>
  <si>
    <t>QUE EL DIA INDICADO EN HORAS DE LA MAÑANA EN MOMENTOS QUE SE ENCONTRABA EN LAS OFICINAS DETALLADAS, SE PERCATA DEL FALTANTE DE LOS ELEMENTOS DESCRIPTOS, LOS CUALES SE ENCONTRABAN EN EL INTERIOR DE UNA BILLETERA DE CUERO COLOR MARRON MARCA PRUNE, LA DENUNCIANTE MANIFIESTA HABER TENIDO CONTACTO POR ULTIMA VEZ CON SUS ELEMENTOS EN HORAS DE LA MAÑANA EN LA ESTACION DE SUBTE CARLOS PELEGRINI AL MOMENTO DE ABONAR UNA COMPRA, DESCONOCIENDO EL LUGAR PRECISO DEL HECHO.</t>
  </si>
  <si>
    <t>SE PROCEDE A LA RETENCION DE CUATROS SACAS COLECTORAS DEL CORREO OFICIAL, SEGUN CONSTA EN ACTA DE RETENCION DE CARGAS Nº 0223/10, QUE ORIGINA LA PREVENCION SUMARIA Nº 051/10. LA 1ª SACA IDENTIFICADA CON MARBETE Nº SLA0170255E121200BSS, PRECINTO Nº Y351673, CON UN PESO DE 0,900 KGS. CON DESTINO A LA CUIDAD DE POSADAS, CONTIENE UNA PIEZA POSTAL, LA 2ª SACA IDENTIFICADA CON MARBETE Nº SLA0170650E606000BHI, PRECINTO Nº Y351436, CON DESTINO A LA CUIDAD DE BAHIA BLANCA, CON UN PESO DE 11,300 KGS., CONTIENE DOS PIEZAS POSTALES, LA 3ª SACA IDENTIFICADA CON MARBETE Nº SLA9126196E555700RGL, PRECINTO Nº C594476, CON UN PESO DE 18,00 KGS., CON DESTINO A LA CUIDAD DE RIO GALLEGOS, CONTIENE CINCO PIEZAS POSTALES Y LA 4ª SACA MARBETE Nº SLA0172989E555600CRD, PRECINTO Nº C594495, CON UN PESO DE 22,600 KGS., CON DESTINO A LA CUIDAD DE COMODORO RIVADAVIA, LAS QUE CONTENDRIAN ENTRE CUATRO O CINCO PIEZAS POSTALES, AMPARADAS EN GUIA AEREA Nº 9368333-2,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t>
  </si>
  <si>
    <t>2749/10</t>
  </si>
  <si>
    <t>INFORMO POR MEDIO DEL PRESENTE QUE EL DIA SIETE DEL CORRIENTE MES Y AÑO SIENDO APROXIMADAMENTE LAS DIECISEIS HORAS LA DETENIDA FUE TRASLADADA A LA UNIDAD 28 DEL SPF SIN NOVEDAD.-</t>
  </si>
  <si>
    <t>CAVALLINI</t>
  </si>
  <si>
    <t>RAUL MARIA</t>
  </si>
  <si>
    <t>CZIZIK NICOLAS</t>
  </si>
  <si>
    <t>EN EL TRAYECTO DESDE EL AEROPUERTO EZEIZA TERMINAL DE OMNIBUS MADERO-AEROPARQUE</t>
  </si>
  <si>
    <t>SE PRESENTA EL SR. PANIAGUA GREGORIO A FIN DE RADICAR DENUNCIA FORMAL MANIFESTANDO QUE SIENDO 06:20 HORAS DEL DíA 8-5-10 TOMA UN MICRO DE LA FIRMA MANUEL TIENDA LEóN EN EL AEROPUERTO INTERNACIONAL DE EZEIZA, CON DESTINO FINAL EL AEROPUERTO METROPOLITANO JORGE NEWBERY, HACIENDO ESCALA EN LA TERMINAL DE óMNIBUS DE MADERO SITO EN RETIRO, CAPITAL FEDERAL. AL MOMENTO DE DESPACHAR SUS EQUIPAJES LOS CUALES ERAN UN TOTAL DE DIEZ LE ENTREGAN UN COMPROBANTE POR CADA UNO DE ELLOS ASEGURáNDOSE QUE TODO LOS EQUIPAJES SEAN COLOCADOS EN LA BODEGA DE DICHO óMNIBUS. SIENDO LAS 07:00 HORAS EL óMNIBUS REALIZA LA ESCALA PREESTABLECIDA EN LA TERMINAL MENCIONADA ANTERIORMENTE Y DESCIENDEN UNOS CUATRO PASAJEROS Y ASCIENDEN DOCE. A LAS 07:45 HORAS LLEGO AL AEROPARQUE Y COMIENZA A DESCENDER LOS EQUIPAJES SE PERCATA QUE EL QUE POSEíA EL MARBETE Nº 729082 NO SE ENCONTRABA LA CUAL ERA UNA VALIJA MEDIANA TIPO CARRY-ON. POR LO QUE SE HACE PRESENTE EN ESTA GUARDIA DE PREVENCION A FIN DE RADICAR LA CORRESPONDIENTE DENUNCIA. SEGUN PU 2762 SE MODIFICARON DATOS DE LA FISCALIA INTERVINIENTE YA QYE FIGURABA LA FISCALIA DE INSTRUCCION Nº 4</t>
  </si>
  <si>
    <t>JUZGADO NACIONAL DE INSTRUCCION Nº 36</t>
  </si>
  <si>
    <t>GUILLERMINA</t>
  </si>
  <si>
    <t>GOSSN AGUSTIN PABLO</t>
  </si>
  <si>
    <t>SECTOR ARRIBOS NACIONALES - HALL A2</t>
  </si>
  <si>
    <t>EN EL DIA DE LA FECHA SIENDO LAS 13:30 HS, SE HACE PRESENTE EL SEÑOR LOCURIO HECTOR, PARA RADICAR FORMAL DENUNCIA DE QUE EN EL DIA DE LA FECHA AL ARRIBAR A ESTA AEROESTACION METROPOLITANA, SE DIRIGE A RETIRAR SU MALETA LA CUAL HABIA DESPACHADO POR BODEGA. EL DAMNIFICADO SE PERCATA DE QUE LA CINTA DE SEGURIDAD DE LA MALETA ESTABA SUELTA Y FALTABA EL CANDADO QUE TENIA COMO MEDIO DE SEGURIDAD ADICIONAL, TENIENDO LA MISMA FALTANTES DE SU PROPIEDAD.</t>
  </si>
  <si>
    <t>LA 4021</t>
  </si>
  <si>
    <t>2760/10</t>
  </si>
  <si>
    <t>EN EL TRAYECTO DESDE EL AEROPUERTO EZEIZA Y LA TERMINLA DE OMNIBUS MADERO</t>
  </si>
  <si>
    <t>RECTIFICO DATOS DE LA FISCALIA ACTUANTE. EN LUGAR DE LA FISCALIA DE INSTRUCCION N° 4 A CARGO DE LA DRA. CAAMAÑO CRISTINA IGLESIAS PAIZ. SECRETARIA UNICA A CARGO DEL DR. DOMINGUEZ MARIANO HERNAN CORRESPONDERÍA LA FISCALIA DE INSTRUCCION N° 3 A CARGO DEL DR. CAVALLINI RAUL MARIA. SECRETARIA UNICA A CARGO DEL DR. CZIZIK NICOLAS.</t>
  </si>
  <si>
    <t>PLATAFORMA OPERATIVA DE ESTE AERODROMO</t>
  </si>
  <si>
    <t>EN EL DIA DE LA FECHA SIENDO LAS 16:40 HS LOCAL ATERRIZA EN ESTE AERODROMO AERONAVE FOCKER F-28, MATRICULA T03 TRASLADANDO AL SEÑOR MINISTRO DEL INTERIOR DR. FLORENCIO RANDAZO CON MOTIVO DE PARTICIPAR DE LA CEREMONIA DE LANZAMIENTO DE LA TEMPORADA TURISTICA INVERNAL 2010 EN LA CIUDAD DE TERMAS DE RIO HONDO DE ESTA PROVINCIA. ASI MISMO INFORMO QUE SIENDO LAS 16:45 HS LOCAL EL SEÑOR MINISTRO SE TRASLADO HACIA DICHA CIUDAD EN HELICOPTERO MATRICULA LQ- IBZ, PERTENECIENTE A LA DIRECCION GENERAL DE AVIACION CIVIL DE ESTA PROVINCIA</t>
  </si>
  <si>
    <t>EN EL DIA DE LA FECHA, SIENDO LAS 18:20 HS LOCAL ATERRIZA AERONAVE LEAR JET LV-BZJ, LA CUAL PERNOCTARA EN ESTE AERODROMO, TRASLADANDO AL GOBERNADOR DE LA PROVINCIA DE BUENOS AIRES SR DANIEL OSVALDO SCIOLI CON MOTIVO DE PARTICIPAR DE LA CEREMONIA DE LANZAMIENTO DE TEMPORADA TURISTICA INVERNAL 2010 EN LA CIUDAD DE TERMAS DE RIO HONDO DE ESTA PROVINCIA. ASI MISMO INFORMO QUE SIENDO LAS 18:30 HS LOCAL EL SR GOBERNADOR ES TRASLADADO HACIA DICHA CIUDAD EN HELICOPTERO MATRICULA LQ-IBZ, PERTENECIENTE A DIRECCION GENERAL DE AVIACION CIVIL DE ESTA PROVINCIA</t>
  </si>
  <si>
    <t>INFORMO DESPEGA TANGO 02 CON MINISTRO DE SALUD DE LA NACION DR. JUAN MANZUR Y COMITIVA CON DESTINO A LA CIUDAD DE BUENOS AIRES, ARRIBADO A ESTE AEROPUERTO EL DIA 07 DE MAYO 2010. FINALIZA OPERATIVO DE SEGURIDAD DE ACUERDO A ORDEN DE SERVICIO N° 17/2010 DE ESTA UOSP SIN NOVEDAD.</t>
  </si>
  <si>
    <t>CARAFFA HECTOR OMAR Y OTROS S/HOMICIDIO</t>
  </si>
  <si>
    <t>Nº 19529</t>
  </si>
  <si>
    <t>INFORMO QUE EN EL DIA DE LA FECHA SIENDO LAS 20:00 HS ARRIBO EN EL VUELO AR 1856 PROVENIENTE DE LA CIUDAD DE BUENOS AIRES CON ESCALA INTERMEDIA EN LA CIUDAD DE RIO GALLEGOS EL CIUDADANO ZAPATA, GUSTAVO ADRIAN EN CARACTER DE DETENIDO COMUNICADO, ACOMPAÑADO POR LOS CUSTODIOS SUBOFICIAL ESCRIBIENTE RAMON AURELIO LEZCANO D.N.I. Nº 21.490.908 Y CABO 1º JOSE LUIS SUAREZ CARCAMO D.N.I. Nº 26.509.121 NUMERARIOS DE LA DIVISION ROBOS Y HURTOS DE LA CIUDAD DE USHUAIA DE LA POLICIA DE TIERRA DEL FUEGO, RETIRANDOSE DE LA JURISDICCION SIN NOVEDAD</t>
  </si>
  <si>
    <t>AR 1856</t>
  </si>
  <si>
    <t>JUZGADO EN LO CRIMINAL DE INSTRUCCION Nº 2</t>
  </si>
  <si>
    <t>Gorostiaga</t>
  </si>
  <si>
    <t>DR.ANA CARINA CARRERO</t>
  </si>
  <si>
    <t>DEFRAUDACION</t>
  </si>
  <si>
    <t>INFORMO QUE EN EL CONTROL DE DOCUMENTACION DE PASAJEROS SE DETECTA A TRAVES DEL SISTEMA DE INTERPOL PEDIDO DE CAPTURA VIGENTE SOLICITADO POR EL JUZGADO CRIMINAL DE INSTRUCCION Nº2 SECRETARIA Nº 107 DE LA SRA VANINA LORENA SILVA DUARTE SE RECEPCIONA ACTA DE INTERPOL Y AL NO PODER ESTABLECER COMUNICACIÓN TELEFÓNICA CON EL JUZGADO SOLICITANTE DE LA MEDIDA SE ESTABLECE COMUNICACIÓN TELEFÓNICA CON EL ABONADO Nº 03757-15444581 PERTENECIENTE AL DR. NESTOR ARIEL TUHAY A/C DE LA SECRETARIA DEL JUZGADO DE INSTRUCCION Nº3 DE LA CIUDAD DE PUERTO IGUAZU, QUIEN ENTERADO DE LOS HECHOS ORDENA SE MANTENGA DEMORADA A LA CAUSANTE Y SE AGOTEN LAS VÍAS POSIBLES DE COMUNICACIÓN CON EL JUZGADO SOLICITANTE DE LA MEDIDA A CONTINUACION SIENDO LAS 20:30 HS SE ESTABLESE COMUNICACION TELEFONICA CON LA DRA. ANA CARINA CARRERO A/C DE LA SECRETARIA Nº107 DEL JUZGADO SOLICITANTE DE LA MEDIDA QUIEN DISPONE SE NOTIFIQUE A LA CAUSANTE QUE DEBERÁ COMPARECER EL DÍA MARTES 11 DE MAYO DEL CORRIENTE AÑO A SEDE JUDICIAL. QUEDANDO EN LIBERTAD A LAS 21:00 HS</t>
  </si>
  <si>
    <t>AU 2735</t>
  </si>
  <si>
    <t>S/INFRACCION A LA LEY 23737 -C.P.N.A.</t>
  </si>
  <si>
    <t>S/ INFRACCION LEY N 23737</t>
  </si>
  <si>
    <t>PREEMBARQUE DE CABOTAJE HALL DE PLANTA ALTA</t>
  </si>
  <si>
    <t>SIENDO APROXIMADAMENTE LAS 18.05 HORAS EN EL CONTROL DE PREEMBARQUE DEL VUELO AUSTRAL LINEAS AEREAS NRO 2687 EL OFICIAL PATIGORE PUDO OBSERVAR A UNA PERSONA DE SEXO MASCULINO EN ACTITUD SOSPECHOSA AL MOMENTO DE SOLICITARLE RETIRARA LOS ELEMENTOS QUE PORTABA EN SU BOLSILLO, AL ADVERTIR ESTA SITUACION EL OFICIAL SOLICITA LA PRESENCIA DE DOS TESTIGOS, CON LOS CUALES TRASLADA AL PASAJERO A UNO DE LOS BAÑOS PUBLICOS DEL PREEMBARQUE Y REALIZA UN REGISTRO MINUCIOSO, EL CUAL ARROJA RESULTADO NEGATIVO, REGRESANDO LUEGO AL PREEMBARQUE CONJUNTAMENTE CON LOS TESTIGOS, Y EL PASAJERO, EL OFICIAL PUDO OBSERVAR QUE EN EL PISO, CERCANO AL PORTICO DETECTOR SE ENCONTRABA UN ELEMENTO ENVUELTO EN NYLON, EL CUAL FUE SOMETIDO A UNA PRUEBA DE CAMPO CON REACTIVO PARA MARIHUANA LA QUE ARROJO RESULTADO POSITIVO, Y UN PESO TOTAL DE 6 GRAMOS, INTERVINIENDO EN ESTE HECHO EL DR LEONIDAS MOLDE A CARGO DEL JUZGADO FEDERAL DE PRIMERA INSTANCIA DE S.C. DE BARILOCHE QUIEN ORDENA EL SECUESTRO Y FOTOGRAFIAS DEL ELEMENTO Y DEL IMPUTADO, SE LO NOTIFIQUE DE CAUSA Y QUE CONTINUE CON SU VIAJE.</t>
  </si>
  <si>
    <t>QUE EN SIENDO LAS 15:00 HS. DEL DIA DE LA FECHA, PERSONAL DETECTO A TRAVES DE LA MAQUINA DE RAYOS X UBICADA EN EL PATIO DE VALIJAS DE LA TERMINAL A DE ESTE MEDIO AL MOMENTO DEL DESPACHO DE EQUIPAJES DEL VUELO DE REFERENCIA QUE EN EL INTERIOR HUECO DE LAS GUIAS METALICAS DE LA MANIJA RETRACTIL DE UNA VALIJA TIPO CARRY ON OBRABAN PAQUETES SIN PODER DETERMINAR DE QUE TIPO DE ELEMENTO SE TRATABA. QUE APERTURADA LA VALIJA DE MENCION SE DETECTO LA PRESENCIA EN EL LUGAR ANTES CONSIGNADO DE CATORCE PAQUETES SIMILARES CONTENIENDO BILLETES DE 500 EUROS SIENDO DICHOS IDENTIFICADOS COMO PAQUETE A, PAQUETE B, PAQUETE C, PAQUETE D, PAQUETE E, PAQUETE F, PAQUETE G, PAQUETE H, PAQUETE I, PAQUETE J, PAQUETE K, PAQUETE L, PAQUETE M Y PAQUETE N. QUE EL DETENIDO QUEDARA ALOJADO EN ESTA DEPENDENCIA EN CALIDAD DE DETENIDO-INCOMUNICADO, JUNTO CON EL DINERO SECUESTRADO, EL CUAL SERA REMITIDO AL BANCO CIUDAD DE C.A.B.A. EL DIA LUNES 10/05/2010. QUE DEL SECUESTRO DE LOS RESTANTES ELEMENTOS PERSONALES DEL DETENIDO Y DE LA PERSONA DEL MISMO, ARROJO RESULTADO NEGATIVO ANTE LE PRESENCIA DE ELEMENTOS, SIENDO UN TOTAL DE BILLETES DE EURO QUINIENTOS OCHENTA Y TRES, CONFORMANDO UN TOTAL DE DOSCIENTOS NOVENTA Y UN MIL QUINIENTOS EUROS. SEGUN PU Nº 2788 SE LO TRASLADO A SEDE JUDICIAL</t>
  </si>
  <si>
    <t>5L 211</t>
  </si>
  <si>
    <t>SIENDO EL DIA SIETE DEL CORRIENTE MES Y AÑO A LAS SIETE HORAS CUARENTA Y CINCO MINUTOS, LA DENUNCIANTE ARRIBA AL TERRITORIO NACIONAL COMPROBANDO QUE LOS DOS EQUIPAJES QUE HABIA DESPACHADO EN EL AEROPUERTO DE ORIGEN NO HABIAN ARRIBADO. QUE EL DIA OCHO DEL CORRIENTE MES Y AÑO SIENDO LAS CATORCE HORAS DIEZ MINUTOS SE HACE PRESENTE EN DOMICILIO DE LA DENUNCIANTE, UN MASCULINO QUIEN SE PRESENTA COMO EMPLEADO DE LA EMPRESA AMERICAN AIRLINES HACIENDOLE ENTREGA DE SUS EQUIPAJES QUE LA DENUNCIANTE AL APERTURARLOS SE PERCATA DEL FALTANTE DE PARTE DE SU CONTENIDO. POR TAL MOTIVO LA MISMA SE HACE PRESENTE EN ESTE AEROPUERTO Y RADICA LA PRESENTE DENUNCIA.-</t>
  </si>
  <si>
    <t>AA997</t>
  </si>
  <si>
    <t>NUEVA ORLEANS</t>
  </si>
  <si>
    <t>EN EL DIA DE LA FECHA SIENDO LAS 21:20 HS SE RECIBE COMUNICACION RADIAL POR PARTE DEL OFICIAL DUARTE QUIEN INFORMA QUE EN MOMENTOS DE DESEMPEÑARSE COMO AUXILIAR DE TRANSITO DESTACADO EN LA VEREDA DEL CHECK IN, SECTOR A1 OBSERBO QUE UNA PERSONA DE SEXO MASCULINO DE CONTEXTURA FISICA ROBUSTA SE ENCONTRABA AGREDIENDO A UN GRUPO DE CHOFERES DE VEHICULOS TAXIMETROS, RAZON POR LA CUAL SE ACERCA AL LUGAR E INTENTA DIALOGAR CON EL MASCULINO, RECIBIENDO POR PARTE DE ESTE AGRESIONES VERBALES Y UN EMPUJON. MOTIVO POR EL CUAL CON AYUDA DE TRES CHOFERES LOGRA REDUCIRLO Y SOLICITA APOYO, ACERCANDOSE AL LUGAR DE FORMA INMEDIATA LOS OFICIALES VALLE Y SAN JUAN, PARA LUEGO TRASLADAR AL MASCULINO JUNTO A TRES CHOFERES HACIA LA GUARDIA DE PREVENCION. SIENDO LAS 00.15 SE ENTABLA COMUNICACIÓN CON LA JUDICATURA ACTUANTE QUIEN DISPONE: LECTURA DE DERECHOS, INFORME MEDICO DETALLADO DEL IMPUTADO Y DEL PERSONAL POLICIAL, CONSULTA SISTEMA DE CONTROL DE INTERPOL, CONSTATACION DE DOMICILIO, PLANILLA PRONTUARIAL, INFORME AL CONSULADO ESPAÑOL, REGISTRO FILMICO Y ENVIO A APOYO TECNOLOGICO DE LA PFA, DECLARACION TESTIMONIAL DEL PERSONAL INTERVINIENTE Y DE LOS TESTIGOS Y DE NO MEDIAR IMPEDIMENTO LEGAL SE PROCEDE A LA LIBERACION. SIENDO LAS 06.00 HS OBTENIDO RESULTADO DE IDGE Y AL SER ESTO NEGATIVO SE PROCEDE A LA LIBERACION DEL SR. ALEJO MEDINA GASPAR LORENZO, RETIRANDOSE DE ESTA DEPENDENCIA CONFORME DE LOS TRATOS RECIBIDOS SIN NOVEDAD.-</t>
  </si>
  <si>
    <t>PATAGONIA SPIRIT S.A. S/INF . ART 184. INC. 5 DEL C.P.</t>
  </si>
  <si>
    <t>N/CN/C</t>
  </si>
  <si>
    <t>INFORMO: EN EL DIA DE LA FECHA EN VUELO T-33 470, DE LA EMPRESA AEROCOMERCIAL LÍNEAS AÉREAS DEL ESTADO -LADE- SE ENVIAN BAJO GUIA DE CARGA N° 022-28004152, DOS(02) CAJAS Y SOBRE ELEVACIÓN, EN RELACIÓN A CAUSA N° 18.730, CARATULADA "PATAGONIA SPIRIT S.A. S/INF. ART 184 INC. 5 DEL C.P.", CONFORME A LO DISPUESTO POR S.SA. DR. FEDERICO H. CALVETE, A CARGO DEL JUZGADO FEDERAL DE LA CIUDAD DE USHUAIA. ASIMISMO INFORMO: SE ESTIMA ARRIBO A LA CIUDAD DE COMODORO RIVADAVIA A LAS 15:00 HS.</t>
  </si>
  <si>
    <t>T-33470</t>
  </si>
  <si>
    <t>DRA VIRGINIA GRANILLO VALDEZ</t>
  </si>
  <si>
    <t>INFRACCION LEY 25743 PROTECCION DE PATRIMONIO ARQUEOLOGICO Y PALENTOLOGICO</t>
  </si>
  <si>
    <t>EL DIA 7 DE MAYO DEL 2010 A HS 1400 MIENTRAS REALIZABA UN CONTROL PREVENTIVO POR MEDIO DE LA MAQUINA DE RAYOS X EN LOS EQUIPAJES FACTURADOS EL OF AY ALVAREZ EDUARDO DETECTO UN ELEMENTO QUE LE LLAMO LA ATENCION. MOTIVO POR EL CUAL SE PROCEDIO A IDENTIFICAR AL PROPIETARIO PARA REALIZAR UN CONTROL MANUAL EN SU EQUIPAJE. COMO RESULTADO DEL MENCIONADO CONTROL, SE ENCONTRARON DOS PIEDRAS DE REGULARES DIMENSIONES QUE SE TRATARIA PRESUMIBLEMENTE DE ELEMENTOS QUE PODRIAN PERTENECER AL PATRIMONIO CULTURAL. SE ESTABLECE COMUNICACION TELEFONICA CON EL JUZGADO FEDERAL DE TURNO QUIEN ORDENA RETENER LOS ELEMENTOS, LABRAR UN ACTA DE SECUESTRO Y DEJAR SEGUIR VIAJE AL PASAJERO. EN EL PROCEDIMIENTO NO SE CONTO CON TESTIGOS HABILES. SEGUN PU 2827 EL DIA 11/05/2010 A HS 12:00, SE PRESENTA EN ESTA UOSP LA RIOJA LA SEÑORA VERONICA MARIANA VARGAS, DNI Nº 21733080, QUIEN MANIFIESTA SER DIRECTORA DE PATRIMONIO CULTURAL Y MUSEO PERTENECIENTE A LA SECRETARIA PROVINCIAL DE CULTURA PARA OBSERVAR DOS PIEZAS CON LA PRESENCIA DE PRESUMIBLES RESTOS FOSILES EN LAS MISMAS, LAS CUALES PODRIAN PERTENECER AL PATRIMONIO CULTURAL. SE ESTABLECE COMUNICACION TELEFONICA CON EL JUZGADO FEDERAL DE TURNO QUIEN ORDENA ENTREGAR LOS ELEMENTOS Y LABRAR UN ACTA DE ENTREGA PARA QUE SE REALICEN LOS ESTUDIOS CORRESPONDIENTES DE LOS MISMOS. A HS 12:14 SE PROCEDE A LA ENTREGA DE LOS ELEMENTOS SECUESTRADOS A LA SEÑORA VERONICA MARIANA VARGAS, LABRANDOSE ACTA DE ENTREGA Nº 0007/2010 SIN REGISTRARSE NOVEDADES.</t>
  </si>
  <si>
    <t>2764/10</t>
  </si>
  <si>
    <t>EN EL DIA DE LA FECHA, SIENDO LAS 13:43 HORA LOCAL, DESPEGO SIN NOVEDAD AERONAVE LEAR JET 60, MATRICULA LV-BZJ CON DESTINO AEROPARQUE JORGE NEWBERY, TRASLADANDO AL SR. GOBERNADOR DE LA PROVINCIA DE BUENOS AIRES D. DANIEL OSVALDO SCIOLI Y SU SRA ESPOSA, QUIENES ASISTIERON AL LANZAMIENTO DE LA TEMPORADA INVERNAL 2010 EN LA CIUDAD DE TERMAS DE RIO HONDO.</t>
  </si>
  <si>
    <t>TRIBUNAL DE JUICIO EN LO CRIMINAL DISTRITO JUDICIAL SUR PCIA. TIERRA DEL FUEGO A.e.I.A.S</t>
  </si>
  <si>
    <t>Zavalia</t>
  </si>
  <si>
    <t>PROSECRETARIA JORGE D. NOVARINO</t>
  </si>
  <si>
    <t>BERNAL, PESDRO MANUEL Y OTROS S/DEFRAUDACION CONTRA LA ADMINISTRACION PUBLICA</t>
  </si>
  <si>
    <t>1140/07</t>
  </si>
  <si>
    <t>INFORMO: EN EL DÍA DE LA FECHA SIENDO LAS 13:30 HS. ARRIBA EN VUELO AR-2898 DE LA EMPRESA AEROCOMERCIAL AUSTRAL LÍNEAS AÉREAS, PROVENIENTE DE LA CIUDAD DE BUENOS AIRES - AEROPARQUE JORGE NEWBERY, EL CIUDADANO HÉCTOR VALENTÍN ECHT, D.N.I. N° 11.293.696 EN CARÁCTER DE DETENIDO, ACOMPAÑADO POR LA CUSTODIA POLICIAL COMPUESTA POR EL SARGENTO 1° JORGE GUILLERMO NAVARRO, D.N.I. N° 18.637.915 Y EL SUBOFICIAL ESCRIBIENTE CARLOS ALBERTO LIENDRO D.N.I. N° 21.312.398 NUMERARIOS DE LA POLICÍA DE LA PROVINCIA DE TIERRA DEL FUEGO. RETIRÁNDOSE LOS MISMOS DE LA JURISDICCIÓN SIN OTRA NOVEDAD.</t>
  </si>
  <si>
    <t>DR. NICOLAS CZIZIK</t>
  </si>
  <si>
    <t>SE HACE PRESENTE EL DAMNIFICADO A FIN DE RADICAR FORMAL DENUNCIA , MANIFESTANDO QUE SIENDO APROXIMADAMENTE LAS 05:45 HORAS APROXIMADAMENTE, SE HACE PRESENTE EN EL AEROPUERTO DE LA CIUDAD DE SALTA, PCIA DE SALTA, CON EL FIN DE EFECTUAR EL DESPACHO DE SUS EQUIPAJES PARA ABORDAR EL VUELO Nº AR 2461 DE LA EMPRESA AEROLINEAS ARGENTINAS. ALLí DESPACHA UN (01) BOLSO COLOR NEGRO CON VIVOS EN COLOR AZUL Y CELESTE AL CUAL SE LE COLOCO EL MARBETE DE IDENTIFICACIóN Nº AR 93-96-76 JUNTO A OTRO BOLSO DE COLOR AZUL AL CUAL SE LE FUE COLOCADO EL MARBETE DE IDENTIFICACIóN Nº AR 93-96-77., ARRIBANDO EN ESTE AEROPUERTO METROPOLITANO POR EL SECTOR DE ARRIBOS NACIONALES DENOMINADO A2 A LAS 08:30 HORAS APROXIMADAMENTE. RETIRA SU EQUIPAJE PERCATáNDOSE QUE LOS CIERRES LATERALES ESTABAN ABIERTOS, SIN PRESENTAR VIOLENCIA EN LOS MISMOS, NOTANDO ELEMENTOS FALTANTES DE SU EQUIPAJE</t>
  </si>
  <si>
    <t>AR 2621</t>
  </si>
  <si>
    <t>SE CONFECCIONA EL PRESENTE A LOS EFECTOS DE INFORMAR QUE EN EL DIA DE LA FECHA SIENDO LAS 14:00 HS LOCAL SE PRODUCE LA PARTIDA DE LA AERONAVE T-01 CON DESTINO EL CALAFATE SIN NOVEDAD</t>
  </si>
  <si>
    <t>T- 01</t>
  </si>
  <si>
    <t>HERNAN PANDIELA</t>
  </si>
  <si>
    <t>AL REALIZAR EL CONTROL DE INSPECCIÓN DE LOS EQUIPAJES DE BODEGA PERSONAL POLICIAL DETECTA DOS VALIJAS TIPO CARRYON CON SUSTANCIA ORGÁNICA EN LOS CONTORNOS, SIN PODER DETERMINAR DE QUE ELEMENTO SE TRATABA, POR LO QUE INFORMAN LA NOVEDAD AL SUSCRIPTO QUIEN DISPONE DE TRASLADE AL PASAJERO PROPIETARIO AL PATIO DE VALIJAS, DONDE UNA VEZ CONSTITUIDO EL MISMO RECONOCE COMO DE SU PROPIEDAD LOS EQUIPAJES EN CUESTIÓN. SE LO TRASLADA AL TURNO DE PREVENCIÓN EN PRESENCIA DE TESTIGOS DONDE PREVIA AUTORIZACIÓN JUDICIAL SE PROCEDE A LA REQUISA DE LOS EQUIPAJES DETECTANDO EN CADA UNO DE ELLOS ESTRUCTURAS PLÁSTICAS QUE ABARCABAN TODO EL CONTORNO Y CONTENÍAN EN SU INTERIOR SUSTANCIA LA CUAL SOMETIDA A PRUEBA DE CAMPO PARA COCAÍNA ARROJA RESULTADO POSITIVO. INFORMADO EL JUZGADO DE ELLO, DISPUSO LA DETENCIÓN DEL PASAJERO EN CARÁCTER DE INCOMUNICADO Y SU TRASLADO A LA UNIDAD 28 DEL SERVICIO PENITENCIARIO FEDERAL. SEGUN PU Nº 2787 SE LO TRASLADA AL JUZGADO</t>
  </si>
  <si>
    <t>ROMA AZ 156</t>
  </si>
  <si>
    <t>Bélgica</t>
  </si>
  <si>
    <t>BRUSELAS</t>
  </si>
  <si>
    <t>DESPEGA T-01 CON LA SEÑORA PRESIDENTA DE LA NACION Y COMITIVA SIN NOVEDAD</t>
  </si>
  <si>
    <t>2763/10</t>
  </si>
  <si>
    <t>EN EL DIA DE LA FECHA, SIENDO LAS 17:00 HORA LOCAL, DESPEGO SIN NOVEDAD DESDE ESTE AERODROMO AERONAVE FOCKER F-28, MATRICULA T02, TRASLADANDO AL SEÑOR MINISTRO DEL INTERIOR DR. FLORENCIO RANDAZO, QUIEN PARTICIPO DEL LA CEREMONIA DE LANZAMIENTO DE LA TEMPORADA TURISTICA INVERNAL 2010 EN LA CIUDAD DE TERMAS DE RIO HONDO DE ESTA PROVINCIA.</t>
  </si>
  <si>
    <t>T-02</t>
  </si>
  <si>
    <t>RANDLE</t>
  </si>
  <si>
    <t>SEBASTIAN</t>
  </si>
  <si>
    <t>SECTOR A2</t>
  </si>
  <si>
    <t>SECTOR ARRIBOS NACIONALES</t>
  </si>
  <si>
    <t>SIENDO LA HORA Y FECHA MENCIONADA SE HACE PRESENTE EN ESTA GUARDIA DE PREVENCION LA SRA GARCIA ANGELICA GRISELDA MANIFESTANDO QUE EL DIA 09 DE MAYO DEL CORRIENTE AÑO ARRIBO EN ESTE AEROPUERTO METROPOLITANO Y LUEGO DE RETIRAR SU EQUIPAJE DESPACHADO Y COLOCARLO EN UN CARRO PORTA EQUIPAJE JUNTO A SU CARTERA , SE DIRIGIO A LA VEREDA DEL SECTOR DE ARRIBOS NACIONALES A2 A LOS EFECTOS DE ENCONTRARSE CON UN AMIGO QUE LA LLEVARIA A SU DOMICILIO. MIENTRAS SE ENCONTRABA A LA ESPERA EN EL SECTOR ANTES MENCIONADO SE ACERCA UNA PERSONA DE SEXO MASCULINO QUE LUEGO DE PREGUNTARLE CUANTO SALDRIA UN TAXI HASTA CAPITAL SE ALEJO VELOZMENTE. POSTERIORMENTE AL BUSCAR SU CARTERA LA DENUNCIANTE SE PERCATO DE QUE LA MISMA HABÍA DESAPARECIDO.POR LO CUAL SE HACE PRESENTE EN ESTA GUARDIA A REALIZAR LA CORRESPONDIENTE DENUNCIA.</t>
  </si>
  <si>
    <t>AEROESTACIÓN MILITAR</t>
  </si>
  <si>
    <t>SIENDO LAS 16:00 HORAS, SE IMPLEMENTA OPERATIVO DE SEGURIDAD PRESIDENCIAL CON MOTIVO DE LA LLEGADA DE LA SRA. PRESIDENTE DE LA NACIÓN, DEL VUELO PROCEDENTE DE LA CIUDAD DEL CALAFATE. SIENDO LAS 18:23 HORAS ATERRIZA LA MANDATARIA EN AERONAVE MATRÍCULA T-01. EN HORAS 18:30, SE RETIRA DE ESTE AEROPUERTO METROPOLITANO EN HELICÓPTERO MATRÍCULA H-01. SIENDO LAS 18:45 HORAS, FINALIZA EL OPERATIVO SIN NOVEDAD.</t>
  </si>
  <si>
    <t>doctor walter lopez da silva</t>
  </si>
  <si>
    <t>infraccion ley 23737</t>
  </si>
  <si>
    <t>FRENTE A LA ZONA DE INGRESO AL PREEMBARQUE DE CABOTAJE</t>
  </si>
  <si>
    <t>SIENDO LAS 17:00 HORAS OFICIAL MAYOR DANIELA FERRERA Y AYUDANTE ENRIQUE RAMÓN NORDENSTROM FUERON CONTACTADOS P0R EL SEÑOR. OSCAR ALFREDO SAUMA, QUIEN TRABAJA EN LA EMPRESA REX ARGENTINA S.A. LA CUAL REALIZA TAREAS DE LIMPIEZA EN ESTE AEROPUERTO, TRAYENDO EN SUS MANOS UN FRASCO DE VIDRIO DE UN PERFUME VACÍO CON LA INSCRIPCIÓN REEF BLACK SPIRIT CON TAPA DORADA, EL CUAL EN EL INTERIOR DE LA MISMA CONTENÍA DOS PASTILLAS DEL TAMAÑO DE UNA MONEDA DE 10 CENTAVOS Y UNOS 8 MM DE ESPESOR. DICHO ELEMENTO FUERON HALLADOS EN EL CESTO DE BASURA UBICADO EN EL SECTOR DEL HALL PLANTA, POR SU COMPAÑERA DE TRABAJO SEÑORA NORMA BEATRIZ SONDA, PROCEDIÉNDOSE A REALIZAR REACTIVO DE CAMPO NIK PARA COCAÍNA DANDO COMO RESULTADO POSITIVO Y ACTO SEGUIDO SE REALIZA COCA-TEST COCAINE DETECTIONS SPRAY DANDO COMO RESULTADO POSITIVO, ASIMISMO SE PROCEDE AL PESAJE DE LAS LA SUSTANCIA, EN BALANZA PROVISTA A ESA UNIDAD OPERACIONAL MARCA METRIC, ARROJANDO COMO RESULTADO LA CANTIDAD DE CUATRO GRAMOS, EN PRESENCIA DE LOS TESTIGOS SAUMA, OSCAR ALFREDO, DNI Nº 10.728.828, Y SEÑORA SONDA, NORMA BEATRIZ, DNI Nº 27.504.665, POSTERIORMENTE SE DA LA NOVEDAD AL JEFE DE TURNO OFICIAL AYUDANTE MARTIN FLAVIO FERNANDEZ , EL CUAL A SU VEZ REALIZA LO PROPIO CON EL JEFE UOSP, ASIMISMO REALIZA TAMBIÉN COMUNICACIÓN AL JUZGADO FEDERAL A LAS 17:12 HORAS, CON EL DR. WALTER LOPEZ DA SILVA, QUIEN DISPONE QUE SE REALICEN LAS ACTUACIONES DE RIGOR Y SE REMITAN LAS MISMAS AL JUZGADO INTERVINIENTE, ASIMISMO SE INFORMA QUE NO SE PUDO DETERMINAR QUIEN PUDO HABER ARROJADO DICHOS ELEMENTOS EN EL LUGAR MENCIONADO.</t>
  </si>
  <si>
    <t>AUXILIAR SILVA LUCAS</t>
  </si>
  <si>
    <t>HALL CENTRAL DEL EDIFICIO FRENTE A MOSTRADORES</t>
  </si>
  <si>
    <t>MOSTRADORES DE LA EMPRESA AEROLINEAS ARGENTINA</t>
  </si>
  <si>
    <t>SIENDO APROXIMADAMENTE LAS 22:00 INFORMA EL OF. FARIAS DE QUE EN LOS MOSTRADORES DE AEROLINEAS ARGENTINA SE ENCONTRABA UN HOMBRE A LOS GRITOS E INSULTOS, LE INFORMA AL JEFE DE TURNO EL CUAL DISPONE DE QUE SE APROXIME AL INDIVIDUO EN CUESTION Y SE LO CALME, QUE LE PREGUNTE QUE LE SUCEDE O EN QUE SE LO PUEDE AYUDAR. AL LLEGAR AL HOMBRE ESTE GRITA DE QUE LE FALTA ALGO DEL BOLSO DE BODEGA, SE LE PREGUNTA QUE LE FALTA PERO NO RESPONDE, SE LO INVITA SI QUIERE REALIZAR DENUNCIA POR LO QUE NIEGA Y SE DA LA VUELTA Y SE RETIRA DEL EDIFICIO SIN DECIR QUE LE FALTABA, Y SIN QUERER REALIZAR DENUNCIA ALGUNA. EL JEFE DE TURNO SE ACERCA A LA EMPRESA AEREA Y LE CONSULTA SOBRE EL ALTERCADO LOS CUALES RESPONDEN QUE LE RECLAMABA UNA CAMARA DE FOTOS QUE LE FALTABA DE SU EQUIPAJE PERO NO PUDIERON ACLARAR MAS, ANTE ESTE HECHO SE HACE COMUNICACION TELEFONICA CON LA OFICINA FISCAL N°5 DE TURNO A CARGO DEL DR. PANELLI HUMBERTO SIENDO ATENDIDO POR EL AUXILIAR SILVA LUCAS, EL CUAL DISPONE NO INICIAR NINGUN TIPO DE ACTUACION PERO SI QUE SE DEJE CONSTANCIA EN EL LIBRO DE NOVEDADES POR LO QUE SE DA ESTRICTO CUMPLIMIENTO A LO ORDENADO POR LA AUTORIDAD JUDICIAL.</t>
  </si>
  <si>
    <t>AEROPARQUE JORGE NEWBERY BUENOS AIRES</t>
  </si>
  <si>
    <t>AEROPUERTO EL PLUMERILLO MENDOZA</t>
  </si>
  <si>
    <t>2780/10</t>
  </si>
  <si>
    <t>SIENDO LA 23:45 HORAS DEL DÍA NUEVE DEL CORRIENTE MES Y AÑO DE ACUERDO A LO DISPUESTO POR EL JUZGADO INTERVINIENTE SE PROCEDIÓ AL TRASLADO DEL DETENIDO DE AUTOS A LA UNIDAD 28 DEL SERVICIO PENITENCIARIO FEDERAL SIN NOVEDAD.</t>
  </si>
  <si>
    <t>2769/10</t>
  </si>
  <si>
    <t>QUE EN SIENDO LAS 07:00 HS. DEL DIA DE LA FECHA, SEGUN LO ORDENADO POR S.SA. SE PROCEDIO AL TRASLADO DEL DETENIDO HACIA SEDE JUDICIAL.-</t>
  </si>
  <si>
    <t>DR. ERNESTO F MENDIETA</t>
  </si>
  <si>
    <t>PATAGONIA SPIRIT S.A. S/INF. ART. 184 INC. 5 DEL C.P.</t>
  </si>
  <si>
    <t>SIENDO LAS 10:30 HORAS LOCAL SE PROCEDE A LA ENTREGA DE DOS CAJAS CERRADAS DE COLOR MARRON A LA EXCELENTISIMA CAMARA FEDERAL DE APELACIONES A CARGO DEL DR. ALDO E SUAREZ, REMITIDAS POR LA UNIDAD OPERACIONAL USHUAIA. DICHAS CAJAS CONTIENEN EN SU INTERIOR DOCUMENTACION RESPECTO A LA CAUSA Nº 18.730 CARATULADA: PATAGONIA SPIRIT S.A. S/INF 184 INC. 5 DEL C.P.</t>
  </si>
  <si>
    <t>SECRETARIA DE LEYES ESPECIALES</t>
  </si>
  <si>
    <t>DR. ZELAYA RAMON ALBERTO</t>
  </si>
  <si>
    <t>1791/07</t>
  </si>
  <si>
    <t>JC</t>
  </si>
  <si>
    <t>BARRIO SEOC III</t>
  </si>
  <si>
    <t>SE RECEPCIONA EN ESTA UNIDAD REGIONAL III UN LLAMADO TELEFÓNICO ANÓNIMO EL DÍA 25 DE OCTUBRE DE 2007 A HS 11:45, EN EL CUAL SE DENUNCIA QUE EL SR. LUÍS ANTONIO JUÁREZ Y SU CONCUBINA SUSANA DEL VALLE CARABAJAL SE ENCONTRARÍAN EN INFRACCIÓN A LA LEY 23.737 YA QUE ESTARÍAN RECIBIENDO ESTUPEFACIENTES POR MEDIO DE ENCOMIENDAS PARA DISTRIBUIRLAS EN LUGARES DE CONCURRENCIA DE JÓVENES. EL DÍA 01 DE NOVIEMBRE DE 2007 SE REALIZA LA CORRESPONDIENTE DENUNCIA EN EL JUZGADO FEDERAL DE PROVINCIA DE TUCUMAN FISCALÍA Nº 1 DEL DR FERRER, EMILIO. QUIEN RECIBIDA LA MISMA PROCEDE A DAR INGRESO COMO EXPTE N 1791/07, CARATULADO "POLICÍA DE SEGURIDAD AEROPORTUARIA S/PRESENTACIÓN DE DENUNCIA ANONIMA", ELEVANDO LAS ACTUACIONES AL SECRETARIO DE LEYES ESPECIALES DEL JUZGADO FEDERAL Nº 2 DR. ALBERTO ZELAYA, DISPONIÉNDO QUE PERSONAL DE ESTA UOCN Y DC III DEL NORTE SE ABOQUE A LAS TAREAS INVESTIGATIVAS EN FORMA RESERVADA CONFORME A OFICIO JUDICIAL S/Nº DE FECHA 07 DE DICIEMBRE DE 2007 A TALES EFECTOS SE DISPONE POR ORDEN DE SERVICIO Nº 75/07 ELEVADA OPORTUNAMENTE EL DÍA 10 DE DIC DE 2007 POR PARTE RESERVADO Nº 01/07 AL DIRECTOR DEL CEAC. SE DEJA CONSTANCIA QUE DICHO PARTE NO SE ENCUENTRA EN EL SISTEMA SI.CO.POL Y SIPAP DEBIDO A QUE SU CONFECCIÓN Y COMUNICACIÓN SE REALIZABAN POR OTROS MEDIOS. RETOMÁNDOSE EN LA FECHA DE ACUERDO A LA ORDEN DE SERVICIO NRO 015/2010 DE FECHA 05 DE MAYO DE 2010 SE REALIZARAN TAREAS INVESTIGATIVAS PARA RECABAR MAYOR INFORMACIÓN EN RELACIÓN A LA CAUSA MENCIONADA.</t>
  </si>
  <si>
    <t>2758/10</t>
  </si>
  <si>
    <t>SE PROCEDE A LA APERTURA DE CUATRO SACAS COLECTORAS DEL CORREO OFICIAL, LAS QUE CONSTAN EN ACTA DEJANDO CONSTANCIA Nº 0225/10, LAS MISMAS FUERON RETENIDAS EL DIA 07/05/10, SEGUN CONSTA EN ACTA DE RETENCION DE CARGAS Nº 0223/10, QUE ORIGINA LA PREVENCION SUMARIA Nº 051/10. LA 1ª SACA IDENTIFICADA CON MARBETE Nº SLA0170255E121200PSS, PRECINTO Nº Y351673, CONTIENE UNA PIEZA IDENTIFICADA COMO EP668109926, RTTE. LAMAS GRISELDA ISABEL, SANTA CATALINA Nº 621, C.P. 4600, S.S. DE JUJUY Y DEST. MANUEL HUMBERTO ESCALADA, BARRIO DEL EJERCITO, CASA Nº 12, C.P. 3366, BERNARDO DE IRIGOYEN, MISIONES, LA CUAL QUEDA RETENIDA. LA 2ª SACA IDENTIFICADA CON MARBETE Nº SLA0170650E606000BHI, PRECINTO Nº Y351436, CONTIENE DOS PIEZAS POSTALES. LA 1ª EP669756365AR, RTTE.ABELINA VIDAURRE, 4650 LA QUIACA, PCIA. DE JUJUY Y DEST. ROSALIA VIDAURRE, CORREO CENTRAL, POSTE RESTANTE, C.P. 8142, HILARIO ASCASUBI, BS. AS., Y LA 2ª EP669756382AR, RTTE. CARINA BENITEZ, LEVANTAMIENTO DE QUERA 358, C.P. 4650, LA QUIACA, JUJUY Y DEST. MARCELO GODOY, PEDRO LURO, C.P. 8148, BS. AS. LAS CUALES QUEDAN RETENIDAS. LA 3ª SACA IDENTIFICADA CON MARBETE Nº SLA9126196E555700RGL, PRECINTO Nº C594476, CONTIENE SIETE PIEZAS POSTALES. LA 1ª EP675746795AR, RTTE. MARIA TORRES, PJE. GEORGIAS DEL SUR Nº 904, Bº MALVINAS, SAN SALVADOR DE JUJUY, C.P. 4.600 Y DEST. ALICIA LIZARRAGA, CALLE LOS INMIGRANTES, CASA Nº 6, Bº LOS PICHES, EL CALAFATE, STA. CRUZ, C.P. 9405, LA CUAL QUEDA RETENIDA Y LAS SEIS RESTANTES IDENTIFICADAS COMO EP657454172AR, EP675746818AR, EP657464095AR, EP691004788AR, EP668109603AR Y EP668110005AR, SON ENTREGADAS AL SR. ARIAS DEL CORREO OFICIAL PARA SU REDESPACHO. Y LA 4ª SACA MARBETE Nº SLA0172989E555600CRD, PRECINTO Nº C594495, CONTIENE CUATRO PIEZAS POSTALES. LA 1ª EP657454155AR, RTTE. FLORES MARIA, Bº SANTA CECILIA, M. L. C9, SALTA CAPITAL, C.P. 4.400, Y DEST. SUSANA FLORES, OHIGGINS 1830, PERITO MORENO, PCIA. STA CRUZ, C.P. 9040, LA 2ª EP669756396AR, RTTE. ANDREA CHOROLQUE, PJE. TIERRA DEL FUEGO, Bº STA. TERESITA, LA QUIACA, PCIA. DE JUJUY Y DEST. SABINO GREGORIO, PCIA. DE SANTA CRUZ, C.P. 9041, CORREO CENTRAL, POSTE RESTANTE, LOS ANTIGUOS Y LA 3ª EP702480745AR, RTTE. NELSON PUCA, LOCALIDAD CORANZULI, CALLE LOS TROPEROS S/N, PROV. DE JUJY Y DEST. NESTOR ARMANDO QUISPE, PCIA. SANTA CRUZ, CUIDAD CALETA OLIVIA, Bº VISTA HERMOSA, CALLE PERITO MORENO Nº 1319, C.P. 9011, LAS CUALES QUEDAN RETENIDAS Y LA 4ª EP691004774AR, ES ENTREGADA AL SR. ARIAS PARA SU REDESPACHO POR NO SER DE INTERES PARA EL PROCEDIMIENTO. LAS ENCOMIENDAS RETENIDAS QUEDAN EN GUARDA EN EL DEPOSITO JUDICIAL DE ESTA UNIDAD A LA ESPERA DEL OFICIO JUDICIAL PARA SU APERTURA.SE COMUNICO TELEFONICAMENTE AL JUZGADO INTERVINIENTE.-</t>
  </si>
  <si>
    <t>DENTRO DE LAS INSTALACIONES DE DEL AEROPUERTO</t>
  </si>
  <si>
    <t>SIENDO LAS 12:40HS DEL DIA DE LA FECHA SE PRESENTA EN ESTA OFICINA DE GUARDIA LA SRA. ELSA NOEMI PAEZ CON DNI N° 13.609.511 QUIEN SE DESEMPEñA COMO EMPLEADA DE LA EMPRESA REX S.A. PARA RADICAR LA EXPOSICION DEL EXTRAVIO DE SU CREDENCIAL AEROPORTUARIA, LO CUAL SE PRODUJO DENTRO DE LAS INSTALACIONES DE ESTE AEROPUERTO, EL DIA VIERNES SIETE DEL CORRIENTE MES, Y AL NO TRABAJAR DURANTE EL FIN DE SEMANA SE PRESENTA EN EL DIA DE LA FECHA, SIN PODER ESPECIFICAR LA HORA NI EL LUGAR DE ESTE HECHO ACONTECIDO.</t>
  </si>
  <si>
    <t>SE INFORMA QUE SIENDO LAS 13:40 HORAS LOCAL SE REALIZA CUSTODIA DE CAUDALES EN PLATAFORMA OPERATIVA EN CUMPLIMIENTO A LA ORDEN DE SERVICIO Nº 017 /10 PARA BANCO NACION DE LA REPUBLICA ARGENTINA EN VUELO HERCULES C-130 MATRICULA TC-70 DE LA FUERZA AEREA ARGENTINA FINALIZANDO EL OPERATIVO 15:00 SIN NOVEDAD</t>
  </si>
  <si>
    <t>TC-70</t>
  </si>
  <si>
    <t>CIUADAD AUTONOMA DE BUENOS AIRES</t>
  </si>
  <si>
    <t>CIUDAD SANTA ROSA PROVINCIA DE LA PAMPA</t>
  </si>
  <si>
    <t>NEUQUEN PROVINCA DE NEUQUEN</t>
  </si>
  <si>
    <t>PLATAFORMA COMERCIAL-POSICION Nº31</t>
  </si>
  <si>
    <t>MIGRACIONES, CHECK-IN,</t>
  </si>
  <si>
    <t>SIENDO LA HORA Y EL DIA ANTES MENCIONADO SE DA CUMPLIMIENTO AL MEMORANDO Nº 541/10 EMITIDO POR EL CEACC Y ORDEN DE SERVICIO Nº 281/10 EMITIDA POR LA URSA 1 DEL ESTE, IMPLEMENTANDO MEDIDAS DE SEGUREDAD PARA EL DESPLAZAMIENTO DENTRO DE LAS INSTALACIONES DE ESTE AEROPUERTO DE LA SECCION ASUNTOS MIGRATORIOS DEL DPTO. ASUNTOS EXTRANJEROS DE P.F.A., SARGENTO 1RO. MACOVECCHIO LEGAJO Nº 53042, Y DE LA CIUDADANA LUCIA LORENA LOPEZ ROMAN, LA CUAL ES EXPULSADA DEL TERRITORIO NACIONAL POR ASI HABERLO AUTORIZADO EL TRIBUNAL ORAL EN LO CRIMINAL FEDERAL Nº 3 DE CAPITAL FEDERAL, EN VIRTUD A LA ORDEN DE EXPULSION DICTADA MEDIANTE DISPOSICION DNM Nº29.283-2010, SE LE REALIZA PRECARIO MEDICO DE INGRESO Y EGRESO EN CUSTODIA DEL OF.DE FILIPPI MARIANA, SIN NOVEDAD.</t>
  </si>
  <si>
    <t>Dr DIEGO SPILOTTI</t>
  </si>
  <si>
    <t>INVESTIGACION PENAL PREPARATORIA S/PSTA. INF. LEY 26.364</t>
  </si>
  <si>
    <t>107961/2010</t>
  </si>
  <si>
    <t>S/C</t>
  </si>
  <si>
    <t>INFORMO QUE EL DIA DE LA FECHA SE RECEPCIONO EN ESTA UNIDAD OPERACIONAL 3 -TRES- OFICIOS JUDICIALES S/Nº PROCEDENTES DEL PROCURADOR FISCAL DR MARCELO ALEJANDRO RAPPOPORT, EN EL MARCO DE LA CAUSA DE MARRAS, EN DONDE SE SOLICITA EN EL PRIMER OFICIO SE REALICEN TAREAS INVESTIGATIVAS EN TORNO A LOCALES NOCTURNOS DENOMINADOS WISKERIAS- PIZZERIAS CON EL OBJETO DE DETECTAR CONDUCTAS REÑIDAS CON LA LEY 26.364, ASIMISMO EN 2DO OFICIO SE REQUIERE LA TOTALIDAD DE DOCUMENTECION DE LAS PERSONAS QUE HAN PUBLICADO AVISOS CLASIFICADOS PROMOCIONANDO SERVICIOS DE ACOMPAÑANTES EN EL DIARIO EL SUREÑO DE RIO GRANDE. Y EN EL ULTIMO OFICIO, INDICA QUE SE REALICEN PEDIDOS A LAS EMPRESAS PRESTATARIAS DE TELEFONIA CELULAR SOLICITANDO LA TITULARIDAD DE LAS TARJETAS SIM COMO ASI TAMBIEN IMEI DE LOS SIGUIENTES ABONADOS: 02964-15602333, 02964 15524237, 02964 15493738, 02964 15520413, 02964 15507651, 02964 15499013, 02964 15533274, 02964 15613589, 02964015488319, 02964 15524237, 02964 15522670, 02964 15500278, 02964 15497240, 02964 15541773, 02964 15418715, 02964 15534696, 02964 15480238, 02964 15544808, 02964 15500806, 02964 15544082, 02964 15541564, 02964 15544130, 02964 15544184, 02964 15615256, 02964 15529983, 02964 15471838, 02964 15507651, 02964 15532319, 02964 15540171, 02964 15542511, 02964 15493271, 02964 15540288, 02964 15543693, 02964 15543691, 02964 15526795, 02964 15555544, 02964 15515682, 02964 15568109, 02964 15490349, 02964 15534863, 011 69364695.-</t>
  </si>
  <si>
    <t>BAÑOS DE MUJERES LINDANTES CON LOS MOSTRADORES DEL CHEK-IN</t>
  </si>
  <si>
    <t>HALL CENTRAL-SECTOR A1</t>
  </si>
  <si>
    <t>SIENDO LA HORA Y EL DIA ANTES MENCIONADO EL JEFE DE TURNO, OF. JEFE SILVA ALEJANDRO RECIBE COMUNICACION VIA FRECUENCIA RADIAL POR PARTE DEL OF. MAYOR PABLO LAHORE, ENCARGADO DE TURNO, EL CUAL COMUNICA QUE EN EL BAÑO DE MUJERES DEL HALL CENTRAL, SECTOR A1, UNA OPERADORA DE LA EMPRESA SERZA SA, LLAMADA VARGAS MARCELINA, HABIA ENCONTRADO EN UNO DE LOS BOXES UNA BOLSA. RAPIDAMENTE SE PROCEDE A INFORMARLE AL ENCARGADO DE TURNO QUE IMPLEMENTE UN PERIMETRO DE SEGURIDAD A LOS EFECTOS DE REALIZAR OPERATIVO DE GEDEX. POSTERIORMENTE A FINES DE CUMPLIMENTAR EL PROTOCOLO DE SEGURIDAD VIGENTE, SE ENTABLA COMUNICACION CON EL CABO 1RO.LEGUIZA LEONARDO LP 25668 DEL CUARTEL DE BOMBEROS DE LA PFA, SECCION AEROPARQUE, CON EL SERVICIO MEDICO DE EMERGENCIA EMERGER A CARGO DEL DR. SANCHEZ MARCELO MN 18287, Y PARALELAMENTE SE CONVOCA AL OF. MAYOR WEISBERGER GUSTAVO, QUIEN SE ENCUENTRA DE TURNO EN ESTA UNIDAD OPERACIONAL A CARGO DEL GRUPO DE DESACTIVACION DE EXPLOSIVOS PERTENECIENTE A LA UOESA 1 DEL ESTE, EL CUAL REALIZA UN PROCEDIMIENTO PARA DESCARTAR LA POSIBLE EXISTENCIA DE ARTEFACTOS EXPLOSIVOS. SIENDO LAS 11:25 HS SE DA POR FINALIZADO EL OPERATIVO AL INFORMAR EL OF. WEISBERGER QUE EL OBJETO ENCONTRADO POR LA OPERARIA DE LA EMPRESA SERZA SA EN EL BOX DEL BAÑO DE MUJERES SE TRATABA DE UN PORTA NOTEBOOK CONTENIENDO UNA NOTEBOOK MARCA ACER, TOTALMENTE DETERIORADA. FINALMENTE SE INVITA A LA SRA. MARCELINA VARGAS A QUE SE APERSONE A LA GUARDIA DE PREVENCON DE ESTA POLICIA, CITA EN EL SECTOR C, PLANTA BAJA, DE ESTE AEROPUERTO, PARA REALIZAR LA CORRESPONDIENTE ACTA DE HALLAZGO A LA CUAL SE LE FUE ASIGNADA EL Nº 1088/10.</t>
  </si>
  <si>
    <t>SUBROGANTE DR. JIMENEZ</t>
  </si>
  <si>
    <t>ACTA DE SECUESTRO DE ARMAMENTO</t>
  </si>
  <si>
    <t>SE PROCEDE A LA ENTREGA DE UN PISTOLA SEMIAUTOMATICA, MARCA PRIETO BERETTA GARDONE, V.T., CALIBRE 7.65 MM., SERIE Nº 820753, CON UN CARGADOR Y SIETE MUNICIONES, QUE FUE SECUESTRADA EL DIA 23/12/08, SEGUN ACTA DE SECUESTRO DE ARMAMENTO Nº 0246/08, INFORMADO EN PARTE URGENTE Nº 0291/08. ESTA MEDIDA FUE ORDENADA MEDIANTE OFICIO JUDICIAL S/N, EN LA CAUSA Nº 39724/09, DEL JUZGADO DE INSTRUCCION FORMAL QUINTA NOMINACION A CARGO DEL DR. PABLO DAVID ARANCIBIA, SECRETARIA A CARGO DE M. VICTORIA MONTOYA Q., AL SR. HIPOLITO DEL VALLE SANTILLAN, D.N.I. Nº 8.173.564, CON DOMICILIO EN LA CALLE SAN LORENZO Nº 42, DEPARTAMENTO CAFAYATE, SALTA, QUE LUEGO DE VERIFICADA SU IDENTIDAD ES RETIRADA PÒR EL MISMO.-</t>
  </si>
  <si>
    <t>INTERPOL CHILE S/DENUNCIA</t>
  </si>
  <si>
    <t>ARRIBOS TERMINAL B</t>
  </si>
  <si>
    <t>OFICINA DE INTERPOL EZEIZA</t>
  </si>
  <si>
    <t>QUE SIENDO LA HORA ANTES DESCRIPTA EL OFICIAL BARBAGELATA, RECIBE DE LA DIVISIÓN ASUNTOS INTERNACIONALES DEL DEPARTAMENTO INTERPOL VIA FAX SÍMIL UN RADIOGRAMA PROCEDENTE DE INTERPOL CHILE, DONDE INFORMA SOBRE UNA CIUDADANA DE NACIONALIDAD CHILENA DE NOMBRE JENNIFER ANDREA MERINO PEÑA DOCUMENTO NACIONAL DE IDENTIDAD 16.628.774K QUIEN POSIBLEMENTE ESTARÍA TRANSPORTANDO DROGA EN FORMA DE OVOIDE U OCULTAS EN UNA CÁMARA FOTOGRÁFICA O NOTEBOOK Y QUE POSIBLEMENTE ESTARÍA PARTIENDO DESDE ESTE MEDIO HACIA LA CIUDAD DE MADRID - ESPAÑA. POR TAL MOTIVO EL SUSCRIPTO COMISIONA A PERSONAL POLICIAL A LOS MOSTRADORES DE AEROLINEAS ARGENTINAS A FIN DE CORROBORAR SI CONSTAN REGISTROS DE RESERVA A NOMBRE DE LA MENCIONADA, DANDO COMO RESULTADO NEGATIVO. QUE LUEGO SE DIO INTERVENCIÓN AL JUZGADO ANTES DETALLADO ORDENANDO S.SA. SE INICIEN LAS ACTUACIONES ANTES MENCIONADAS, SE RECIBA DECLARACIÓN TESTIMONIAL AL OFICIAL BARBAGELATA, SE ADJUNTE COPIA DEL RADIOGRAMA, SE REMITAN COPIAS A LAS COMPAÑÍAS AÉREAS CON DESTINO A LA CIUDAD DE MADRID Y SE ELEVE TODO LO ACTUADO AL ASIENTO DE ESE JUZGADO EL DÍA ONCE DEL CORRIENTE MES Y AÑO. POR ULTIMO SE COMISIONA PERSONAL DE LA DIVISIÓN NARCOTRÁFICOS Y DELITOS COMPLEJOS, HACIA LAS OFICINAS DE LAS EMPRESAS AEROCOMERCIALES QUE POSEEN PARTIDA EN EL DÍA DE LA FECHA CON DESTINO A LA CIUDAD DE MADRID, A FIN CONSTATAR SI LA CIUDADANA DE EN CUESTIÓN POSEE RESERVAS HACIA EL DESTINO ANTES DESCRIPTO. NO DANDO MAS DETALLES EL ACTA DE ESTA ULTIMA ACCION.-</t>
  </si>
  <si>
    <t>2756/10</t>
  </si>
  <si>
    <t>PUNTO DE ACCESO Y CONTROL</t>
  </si>
  <si>
    <t>OFICINA TURNO DE GUARDIA DE LA UNIDAD OPERACIONAL</t>
  </si>
  <si>
    <t>SIENDO LAS VEINTE HORAS DEL DIA DE A FECHA, SE ENTREGA ELEMENTO HALLADO EN ESTE AERPUERTO Y QUE FUERA INFORMADO MEDIANTE PU 2756/10 1 UN TELEFONO CELULAR MARCA MOTOROLA DE COLOR NEGRO CON DETALLES AZUL, AL CIUDADAN0 PABLO CERMINATO DNI 25170432, HABIENDO VERIFICADO QUE ES EL PROPIETARIO DEL ELEMENTO HALLADO MEDIANTE COMUNICACION TELEFONICA CON UN CONTACTO REGISTRADO EN EL DIRECTORIO DEL TELEFONO. ASISMISMO SE REALIZA ACTA CORRESPONDIENTE.</t>
  </si>
  <si>
    <t>SE PROCEDE A LA RETENCION DE UNA SACA COLECTORA DEL CORREO OFICIAL, SEGUN CONSTA EN ACTA DE RETENCION DE CARGAS Nº 0228/10, QUE ORIGINA LA PREVENCION SUMARIA Nº 052/10. LA SACA IDENTIFICADA CON MARBETE Nº SLA0161817D555700RGL, PRECINTO Nº Y351427, CON UN PESO DECLARADO DE 9,600 KGS., CON DESTINO A LA CIUDAD DE RIO GALLEGOS, CONTENDRIA UNA PIEZA POSTAL, LA CUAL SERIA DESPACHADA ATRAVES DE LA EMPRESA DE CARGA AEREA JET PAQ. LA RETENCIÓN SE REALIZA ANTE LA PRESUNCIÓN DE QUE PUDIERA CONTENER ALGUN ELEMENTO EN INFRACCIÓN A LAS LEYES 23737 Y/O 22.415, QUEDANDO LA MISMA CERRADA Y PERCINTADA EN GUARDA EN ESTA UOSP. SE COMUNICO TELEFONICAMENTE AL JUZGADO INTERVINIENTE Y LA APERTURA SE REALIZARA EN PRESENCIA DEL PERSONAL DEL CORREO OFICIAL</t>
  </si>
  <si>
    <t>DR. ADRIAN MARTI</t>
  </si>
  <si>
    <t>SIENDO LAS 15: 30 HORAS, DEL DIA 10/05/10, SE DETECTO UN VEHICULO CITROEN, MODELO C4, CHAPA NUMERO GTX 820, EL CUAL ES DE FIGURACION EN ORDEN DE SERVICIO 0190/10, EL CUAL INDICA EN CASO DE SER HABIDO EL MISMO, SE DEBERA MANTENER COMUNICACION CON EL COC, A LOS EFECTOS DE VISUALIZAR LOS MOVIMIENTOS EFECTUADOS POR LOS OCUPANTES, YA QUE EL MISMO SE ENCONTRARIA INVOLUCRADO EN CAUSA NUMERO 074-A/10 DAÑOS, CON FECHA 27/02/10, INICIADA EN LA UOSP METROPOLITANA. SEGUIDAMENTE, SE RECIBEN DIRECTIVAS TRASMITIDAS POR LA UOSP METROPOLITANA, LAS CUALES CONSTAN DE IDENTIFICAR A SUS OCUPANTES, DE LOS CUALES LA ACOMPAÑANTE EXHIBIÓ UNA CEDULA VERDE CONTROL Nº 33237392, A NOMBRE DE LA FEMENINA DE MENCIÓN, CORRESPONDIENTE AL RODADO MARCA CITROEN, DOMINIO GTX 820 MODELO C4 1.6IX, TIPO SEDAN 4 PTAS, CHASIS Nº 8BCLDN6AK8G531042 Y MOTOR Nº 10DBW60000133 Y MANIFESTO SER TITULAR DE UNA EMPRESA DE ALQUILER DE AUTOS, DE NOMBRE COMERCIAL RENT-A-CARS Y QUE EL VEHICULO ERA UTILIZADO CON ESA FINALIDAD. DE ACUERDO A LO ORDENADO POR EL DR. MARTIN, SECRETARIO DE LA FISCALIA PENAL CONTRAVENCIONAL Y DE FALTAS NORTE DE CABA. QUE UNA VEZ IDENTIFICADOS SUS OCUPANTES Y NO HABIENDOSE PRESENTADO INCONVENIENTE ALGUNO, LOS MISMOS SE RETIREN CONTINUANDO CON SU ITINERARIO. LAS ACTUACIONES FUERON REMITIDAS A LA UOSP METROPOLITANA VIA FAX.-</t>
  </si>
  <si>
    <t>INSTALACIONES DEL AEROPÙERTO</t>
  </si>
  <si>
    <t>SE HACE PRESENTE LA SEÑORITA BURGUES, MARIA SILVIA EMPLEADA ADMINISTRATIVA DE LA EMPRESA AVIATION MAINTENANCE, CON PODER ESPECIAL CERTIFICADO POR ESCRIBANO PUBLICO, MANIFESTANDO EL EXTRAVIO EN EL AEROPUERTO, SIN PRECISAR LUGAR EXACTO DE UN CERTIFICADO DE AERONAVEGABILIDAD, UN CERTIFICADO DE MATRICULACION, UN CERTIFICADO DE PROPIEDAD, UN HISTORIAL DE PLANEADOR, DOS HISTORIALES DE HELICES Y DOS HISTORIALES DE MOTORES, TODO DE LA AERONAVE MARCA PIPPER PA-31 MATRICULA LV-JFZ PROPIEDAD DEL SEÑOR RAMIREZ SABINO RUBEN DNI 16.090.747.</t>
  </si>
  <si>
    <t>2451/10</t>
  </si>
  <si>
    <t>ACTUACIONES COMPLEMENTARIAS DE CAUSA 226-E/10, HURTO</t>
  </si>
  <si>
    <t>SIENDO LAS 16:40 HORAS, DEL DIA 10/05/10, SE DETECTO EN LA TAQUILLA UN VEHICULO MARCA TOYOTA, MODELO COROLLA, DOMINIO NUMERO DKV 620, EL CUAL POSEIA UN ALERTA DE HURTO, AVISADO EL JEFE DE TURNO MANTUVO COMUNICACION TELEFONICA CON EL COC CON MOTIVO DE RECABAR INFORMACION SOBRE EL MENCIONADO VEHICULO, INFORMANDO EL PERSONAL DEL COC QUE EL MISMO SE ENCONTRARIA INVOLUCRADO EN CAUSA NUMERO 226-E/10 CARATULADA HURTO, CON FECHA 24/04/10, DONDE RESULTARE DAMNIFICADO EL SR PENTUCCI JUAN PABLO E IMPUTADO N.N. POR TAL MOTIVO Y EN PRESENCIA DE LOS TESTIGOS SE PROCEDIO A IDENTIFICAR A SUS OCUPANTES Y TRASLADARLOS A LA GUARDIA DE PREVENCION. DONDE SE MANTUVO COMUNICACION TELEFONICA CON LA U.F.I., LA CUAL ENTERADA DE LOS HECHOS ORDENO SE REALICE LA INCAUTACION PREVENTIVA DEL VEHICULO Y SE NOTIFIQUE A LOS CAUSANTES DE LAS ACTUACIONES LABRADAS Y SE ELEVE TODO LO ACTUADO JUNTO A LOS APREHENDIDOS A SEDE JUDICIAL EL DIA 11/05/10 A PRIMERA HORA. SEGUN PU AMPLIATORIO 2830 QUE SIENDO LAS VEINTE HORAS CINCUENTA MINUTOS POR ORDEN DEL MAGISTRADO INTERVINIENTE, SE PROCEDIO A LA LIBERACION DE LOS DETENIDOS, PREVIO INFORME SOCIO AMBIENTAL Y LABRADO DE LA DILIGENCIA QUE SE SOLICITO CUMPLIMENTAR, DEBIENDO ELEVAR LAS ACTUACIONES COMPLEMENTARIAS DEL PRESENTE SUMARIO EL DIA MIERCOLES DOCE DEL CORRIENTE MES Y AÑO.-</t>
  </si>
  <si>
    <t>S/CARATULA</t>
  </si>
  <si>
    <t>S/ INFRACCION A LEY 23737</t>
  </si>
  <si>
    <t>S/ INFRACION A LEY Nº 23737</t>
  </si>
  <si>
    <t>SIENDO LAS 10:30 HORAS SE PROCEDE A CONFECCIONAR ACTA DE REGISTRO DE PREEMBARQUE Nº 0256/10 AL PASAJERO DE CIUDADANIA ESPAÑOLA, RAMIREZ LOPEZ CARLOS LUIS PAS. Nº AE946553, PUESTO QUE AL PASAR POR EL CONTROL DE RX UNA MOCHILA DE COLOR NEGRO CON GRIS Y AL NO PODER VISUALIZAR SU CONTENIDO EN EL MONITOR SOLICITO AL OF. AY. IGNACIO PATIGORE QUE REALICE LA APERTURA DEL EQUIPAJE DE MANO DEL PASAJERO ANTES NOMBRADO, AL REALIZAR LA APERTURA SE ENCUENTRA CON UNAS SUSTANCIAS QUE NO PUEDE DETERMINAR POR LO QUE SE SOLICITA LA PRESENCIA DE DOS TESTIGOS HABILES, ARROJANDO RESULTADO POSITIVO, SUPUESTA INFRACCION A LEY Nº 23737, SE REALIZA COMUNICACION CON EL JUZGADO FEDERAL DR. WALTER DA SILVA QUIEN DETERMINA QUE SE SECUESTREN LOS ELEMENTOS, SE SAQUEN HUELLAS Y FOTOS AL IMPUTADO SE LE NOTIFIQUE DE CAUSA Y QUE SIGA CON SU VIAJE PROGRAMADO.</t>
  </si>
  <si>
    <t>CUIDAD AUTONOMA DE BUENOS AIRES</t>
  </si>
  <si>
    <t>JUZGADO EN LO CRIMINAL Y CORRECCIONAL FEDERAL Nº 3 DE LA PLATA</t>
  </si>
  <si>
    <t>SECRETARIA ESPECIAL</t>
  </si>
  <si>
    <t>EDGARDO HORACIO SALATINO</t>
  </si>
  <si>
    <t>EXHORTO DEL SR. JUEZ DEL JUZGADO FEDERAL NRO. 1 DE BAHIA BLANCA - PCIA. BS.AS., S/EXPTE. 05/07 - INVESTIGACION DE DELITOS DE LESA HUMANIDAD COMETIDOS BAJO JURISDICCION DEL COMANDO V CUERPO DE EJERCITO - A CARGO DEL DR. SANTIAGO ULPIANO MARTINEZ -JUEZ FEDERAL SUBROGANTE, SECRETARIA DE DERECHOS HUMANOS.</t>
  </si>
  <si>
    <t>EXHORTO NRO. 212</t>
  </si>
  <si>
    <t>BARRIO CERRADO LOS BOSQUECITOS, LOCALIDAD DE BRANDSEN, PROVINCIA DE BUENOS AIRES</t>
  </si>
  <si>
    <t>INFORMO QUE PERSONAL POLICIAL DE ESTA UNIDAD, EN EL DIA DE LA FECHA PROCEDIO A LA DETENCION DEL SR. GUILLERMO JULIO GONZALEZ CHIPONT, EN PROXIMIDADES DE SU DOMICILIO. POSTERIORMENTE SE EFECTUO EL ALLANAMIENTO DE SU DOMICILIO SITO EN LA LOCALIDAD DE BRANDSEN, PROVINCIA DE BUENOS AIRES, EN EL BARRIO CERRADO DE NOMBRE LOS BOSQUECITOS. DE ACUERDO A LO ORDENADO POR EL JUZGADO INTERVINIENTE, EL IMPUTADO ES TRASLADADO AL TURNO DE PREVENCION DE LA UOSP EZEIZA A EFECTOS DE EXTRAERSELE JUEGOS DE FICHAS DACTILOSCOPICAS Y EFECTUARSELE LA CORRESPONDIENTE REVISACION MEDICA, PARA LUEGO SER TRASLADADO A LA UNIDAD PENAL NRO. 4 DEL SERVICIO PENITENCIARIO BONAERENSE DE LA CIUDAD DE BAHIA BLANCA, CUSTODIADO POR PERSONAL POLICIAL DE ESTA UNIDAD Y CON EL APOYO DE OTRO MOVIL Y PERSONAL A DESIGNAR POR EL C.E.A.C. DONDE QUEDARA ALOJADO A DISPOSICION DEL JUZGADO FEDERAL NRO. 1 DE BAHIA BLANCA A CARGO DEL DR. SANTIAGO ULPIANO MARTINEZ- JUEZ FEDERAL SUBROGANTE, SECRETARIA DE DERECHOS HUMANOS.</t>
  </si>
  <si>
    <t>SECUESTRO DE EQUINOS</t>
  </si>
  <si>
    <t>ENTRE POSTE Nº 266 Y Nº 267</t>
  </si>
  <si>
    <t>ENTRE ALAMBRADO PERIMETRAL Y CERCO OLIMPICO DE SEGURIDAD</t>
  </si>
  <si>
    <t>INFORMO QUE EN EL DÍA DE LA FECHA SIENDO LA HORA 10:40 EN CIRCUNSTANCIAS QUE PERSONAL DE ESTA UOSP REALIZABA UN RECORRIDO POR EL CAMINO PERIMETRAL DE ESTE AEROPUERTO EN EL MOVIL DE DOTACIÓN OBSERVA LA PRESENCIA DE TRES EQUINOS TRATANDOSE DE UNA YEGUA DE COLOR OSCURO, UNA CON PELAJE ALAZAN TOSTADO CON CRINES RUBIA Y UNA CRIA AL PIE DE APROXIMADAMENTE DE TRES A CUATRO MESES,LAS QUE ESTABAN ATADAS A UNOS ARBUSTOS DEL LADO INTERNO DEL ALAMBRADO PERIMETRAL Y SITUADO ENTRE LOS POSTES Nº 266 Y Nº 267. SIENDO LA HORA ONCE CON CINCO MINUTOS, SE PROCEDE A DAR INTERVENCIÓN A LA FISCALÍA FEDERAL Nº 1 A CARGO DEL DR. DOMINGO BATULE, QUIEN ORDENA SE REALICE EL SECUESTRO DE LOS ANIMALES EN CUESTIÓN CON LA COLABORACIÓN DE LA SECCIÓN DE CABALLERÍADE LA POLICÍA DE LA PROVINCIA DE JUJUY, SIENDO APROXIMADAMENTE LA HORA 11:45 SE HACE PRESENTE PERSONAL DE LA SECCIÓN DE CABALLERÍA DIRIGIENDOSE AL LUGAR EN DONDE SE ENCONTRABAN LOS EQUINOS Y SE PROCEDE AL SECUESTRO DE LOS ANIMALES DE MENCIÓN EN PRESENCIA DE DOS TESTIGOS. POSTERIORMENTE SIENDO LA HORA 12:30 EL PERSONAL ACTUANTE DE ESTA UOSP JUJUY PROCEDE A REALIZAR LA ENTREGA DE LOS ANIMALES AL OFICIAL AYUDANTE HORACIO GUERRA PERSONAL DE LA SECCIÓN DE CABALLERÍA DE LA POLICÍA DE LA PROVINCIA DE JUJUY, PARA QUE ESTOS SEAN TRANSPORTADOS EN CUSTODIA A LOS CORRALES QUE ESTA FUERZA POSEE, DANDO CUMPLIMIENTO A LO ORDENADO POR EL SEÑOR FISCAL DE TURNO, FINALIZANDO EL PROCEDIMIENTOCON PERSONAL Y MATERIALES SIN NOVEDAD. SEGÚN AMPLIACION PU 2915 INFORMO QUE EL DÍA 13 DE MAYO DE 2010 SE PRESENTA EL SEÑOR ROBERTO CARLOS QUIEN DICE SER PROPIETARIO DE LOS TRES EQUINOS SECUESTRADOS EL DÍA 11-05-2010 DENTRO DE LA JURISDICCIÓN, SE REALIZA COMUNICACIÓN TELEFÓNICA CON EL DR. DOMINGO BATULE FISCAL FEDERAL Nº 1 DE JUJUY QUIEN DETERMINA QUE EL SUPUESTO PROPIETARIO PRESENTE UNA NOTA SOLICITANDO LA DEVOLUCIÓN DE LOS ANIMALES JUNTO A UN DOCUMENTO O TITULO QUE ACREDITE SU PROPIEDAD, LUEGO DE LA CONSTATACION DEL DOMICILIO SE PROCEDE A HACER ENTREGA DE LOS ANIMALES.</t>
  </si>
  <si>
    <t>EN EL DIA DE LA FECHA SIENDO LAS 15:00 HS. SE RECEPCIONA OFICIO JUDICIAL DE FECHA 26-04-10 EMANADO DEL JUZGADO FEDERAL INTERVINIENTE A LOS EFECTOS DE SER REMITIDO ANTE EL SR. GERENTE DE LA FIRMA COMPLEJO GERONTOLOGICO DEL SOL S.R.L., FACULTANDO AL OFICIAL RENE CARDEILHAC LEGAJO 501.801. A DILIGENCIAR DICHO OFICIO, QUE ORDENARE REQUERIRLE DE CONFORMIDAD A LO NORMADO EN EL ART. 232 DEL CPPN ENTREGUE EN FORMA INMEDIATA EL LEGAJO PERSONAL DE CLAUDIA MILAGROS ORTIZ DNI 26.450.054. EN EL MARCO DE LA CAUSA ZAMORA HECTOR DANIEL S DENUNCIA, EXPTE. Z-04-08, SOBRE DELITOS CONTRA LA ADMINISTRACION PUBLICA.</t>
  </si>
  <si>
    <t>DR NICOLAS BALLESTRERO</t>
  </si>
  <si>
    <t>VARGAS TORICO J.L. Y DELGADILLO S/ AV. USURPACION Y LESIONES</t>
  </si>
  <si>
    <t>SALAZAR WALTER GASTON S/PARADERO</t>
  </si>
  <si>
    <t>SE INFORMA QUE EL DIA DE LA FECHA SIENDO LAS 13:45 HS MIENTRAS SE REALIZABA CONTROL DE DOCUMENTOS EN PREEMBARQUE SE IDENTIFICA AL CIUDADANO WALTER GASTON SALAZAR DNI 13880047 SOBRE EL CUAL RECAE PEDIDO DE PARADERO EN RED LINCE BAJO REGISTRO NRO 206190, SE ESTABLECE COMUNICACION CON EL JUZGADO INTERVINIENTE SIENDO ATENDIDO POR EL SECRETARIO DR BALLESTRERO, NICOLAS QUIEN DISPONE DE LABRE ACTA DE FIJACION DE DOMICILIO RESPECTIVA Y CONTINUE CON EL VIAJE PROGRAMADO.</t>
  </si>
  <si>
    <t>EXPEDIENTE CARATULADO RODRIGUEZ VICTOR DAVID P/SUP.INF.ART.164 DEL C.P.A.</t>
  </si>
  <si>
    <t>EN EL DIA DE LA FECHA SE RECEPCIONO OFICIO Nº 912 DEL JUZGADO FEDERAL REQUIRIENDO SE NOTIFIQUE AL SR. EDUARDO SEBASTIAN LOPEZ D.N.I.Nº 34.093.091 Y AL SR.HECTOR LIMA D.N.I.Nº 13.987.679 A COMPARECER ANTE LOS ESTRADOS JUDICIALES EL DIA 17 DE MAYO A LAS 09:30 Y 10:00 HS.RESPECTIVAMENTE A PRESTAR DECLARACION TESTIMONIAL. ASIMISMO SE SOLICITA UN INFORME SOCIO AMBIENTAL TENDIENTE A VERIFICAR LA EDAD, EDUCACION, COSTUMBRE, CONDICIONES DE VIDA, MEDIOS DE SUBSISTENCIA Y ANTECEDENTE DEL IMPUTADO VICTOR DAVID RODRIGUEZ D.N.I.Nº 13.460.232.RELACIONADO CON P.U.Nº 1239 DE FECHA 03/03/2010.</t>
  </si>
  <si>
    <t>2774/10</t>
  </si>
  <si>
    <t>EN EL DIA DE LA FECHA A HS 12:00, SE PRESENTA EN ESTA UOSP LA RIOJA LA SEÑORA VERONICA MARIANA VARGAS, DNI Nª 21733080, QUIEN MANIFIESTA SER DIRECTORA DE PATRIMONIO CULTURAL Y MUSEO PERTENECIENTE A LA SECRETARIA PROVINCIAL DE CULTURA PARA OBSERVAR DOS PIEZAS CON LA PRESENCIA DE PRESUMIBLES RESTOS FOSILES EN LAS MISMAS, LAS CUALES PODRIAN PERTENECER AL PATRIMONIO CULTURAL. SE ESTABLECE COMUNICACION TELEFONICA CON EL JUZGADO FEDERAL DE TURNO QUIEN ORDENA ENTREGAR LOS ELEMENTOS Y LABRAR UN ACTA DE ENTREGA PARA QUE SE REALICEN LOS ESTUDIOS CORRESPONDIENTES DE LOS MISMOS. A HS 12:14 SE PROCEDE A LA ENTREGA DE LOS ELEMENTOS SECUESTRADOS A LA SEÑORA VERONICA MARIANA VARGAS, LABRANDOSE ACTA DE ENTREGA Nº 0007/2010 SIN REGISTRARSE NOVEDADES.</t>
  </si>
  <si>
    <t>TUHAY NESTOR ARIEL</t>
  </si>
  <si>
    <t>ARRIBO DENOMINADO INTERNACIONAL</t>
  </si>
  <si>
    <t>INFORMO QUE SIENDO LAS 17:40 HS SE PRESENTA UNA PERSONA QUE RADICA UNA DENUNCIA POR UN SUPUESTO HECHO DELICTIVO, AL PRESENTARSE A SU LUGAR HABITUAL DE TRABAJO EN EL CUAL SE DESEMPEÑA COMO VENDEDOR DE EXCURCIONES PARA LA EMPRESA FOUR TURIST TRAVEL SE PERCATA DEL FALTANTE DE UN CARTEL PUBLICITARIO CON PEDESTAL DE METAL REGULABLE, MANIFESTANDO TAMBIEN EL DENUNCIANTE QUE SE RETIRO EL DIA 10 DEL CORRIENTE A LAS 19:15 HS REGRESANDO EL DIA DE LA FECHA A LAS 09:50 HS. DANDOSE INTERVENCION AL JUZGADO DE TURNO. PU 3019 SE INFORMA QUE EL DIA 18 DE MAYO 2010 SIENDO LAS 10,00 HS. SE PRESENTA EL SR. SEGOVIA RODOLFO ENRIQUE PERSONAL DE A A 2000 QUIEN MANIFIESTA QUE EN LA OFICINA QUE POSEEN EN CONJUNTO MIGRACIONES Y ADUANA EN ZONA RESTRINGIDA DESEMBARQUE DE PASAJEROS SE ENCONTRARIA UN CARTEL PUBLICITARIO DE VINILICO SIN SU RESPECTIVO PEDESTAL DE METAL REGULABLE EL MISMO APARENTEMENTE GUARDARIA RELACION CON LA DENUNCIA N° 110/10 DE FECHA 11 DEL CORRIENTE MES Y AÑO. A CONTINUACION SIENDO LAS 13,00 HS Y UNA VEZ RECONOCIDO EL HALLAZGO POR EL DAMNIFICADO SE ESTABLECE COMUNICACION TELEFONICA CON EL JUZGADO INTERVINIENTE QUIEN ENTERADO DE LOS HECHOS ORDENA A QUE SE REALICE LA ENTREGA DEL ELEMENTO EN CUESTION EN CARACTER DE DEPOSITARIO JUDICIAL Y QUE SE CONTINUE CON LAS ACTUACIONES CORRESPONDIENTES.</t>
  </si>
  <si>
    <t>NAC. DE 1º INST. EN LO CORRECCIONAL Nº 4</t>
  </si>
  <si>
    <t>DR. JULIO AUGUSTO PEDROSO</t>
  </si>
  <si>
    <t>QUE EN EL DÍA DE LA FECHA, SE HACE PRESENTE UNA PERSONA QUE DESEA REALIZAR UNA DENUNCIA, INDICANDO QUE SIENDO APROXIMADAMENTE LAS 10:50HS HORAS SE HIZO PRESENTE JUNTO A SU PAREJA SR. SALINAS CRISTIAN ADRIÁN, A ESTE AEROPARQUE METROPOLITANO A FIN DE QUE EL MISMO ABORDARA EL VUELO NRO. 1778, CON DESTINO LA CIUDAD DE FORMOSA, DE LA EMPRESA AEROLÍNEAS ARGENTINAS, CON HORARIO DE PARTIDA 12:35 HORAS. SIENDO LAS 11:20 HORAS, SE DIRIGIERON AL PATIO DE COMIDAS. PASADO UNOS MINUTOS ESTANDO SENTADA EN UNA DE LAS MESAS SACO SU CELULAR DEL BOLSILLO DE SU CAMPERA QUE SE ENCONTRABA COLOCADA EN EL RESPALDO DE LA SILLA PARA FIJARSE LA HORA Y LO VOLVIO A GUARDAR EN DICHO LUGAR. UNOS MINUTOS DESPUES, UNA PERSONA TROPIEZA CONTRA EL RESPALDO DE LA SILLA DONDE SE ENCONTRABA UBICADA, Y OBSERVA QUE EN LA MESA QUE SE ENCONTRABA DETRAS SE SIENTAN TRES PERSONAS, SEGUIDAMENTE SE LEVANTO PARA VER EN LA PANTALLA DE INFORMACIÓN DE LOS VUELOS, QUEDANDO SU PAREJA SENTADA EN LA MESA AL REGRESAR, BUSCA NUEVAMENTE EL CELULAR PERCATANDOSE DEL FALTANTE DEL MISMO. EN ESE MOMENTO SE ACERCA UN PERSONAL POLICIAL A QUIEN SE LE INFORMO LO SUCEDIDO, INMEDIATAMENTE EL POLICÍA ME CONSULTA SI EN LA MESA DE ATRÁS HABÍA ALGUIEN Y LA DAMINIFICADA SEÑALO HABIA TRES PERSONAS, DICHO POLICÍA SE ACERCA A LA MESA EN CUESTIÓN Y OBSERVA QUE SOLO ESTABAN SENTADAS DOS PERSONAS, UN MASCULINO Y UN FEMINO. RAZON POR LA CUAL, CON LA INTENCION DE ESCLARECER EL ASUNTO, SE LOS SOLICITA A ESTAS DOS PERSONAS QUE SE DIRIJAN A LA GUARDIA DE PREVENCION. SIENDO LAS 12:40 LA SRA. CORVALAN REALIZA LA DENUNCIA PENAL POR HURTO SIN PODER CONFIRMAR SI SE TRATABA O NO DE ESTAS PERSONAS, LAS QUE SUSTRAJERON EL TELEFONO CELULAR. SIENDO LAS 13:00 HORAS SOLICITANDO AL COC AER QUE SE VERIFIQUE EL EPISODIO MEDIANTE EL SISTEMA DE CAMARAS, SE PUEDE OBSERVAR A ESTAS TRES PERSONAS REALIZANDO MOVIMIENTOS SOSPECHOSOS, Y DANDOLE UNO DE ELLOS, MASCULINO, UN OBJETO DE COLOR NEGRO, A UNA FEMENINO QUE RAPIDAMENTE GUARDO EL OBJETO Y SE FUE DEL LUGAR. SIENDO LAS 14.10 HORAS SE REALIZA COMUNICACIÓN CON LA JUDICATURA ACTUANTE A QUIEN SE LE INFORMA LO SUCEDIDO Y DISPONE QUE EN PRESENCIA DE 2 TESTIGOS MASCULINOS Y 2 FEMENINOS SE PROCEDA A LA LECTURA DE DERECHOS, REQUISA PERSONAL Y SE REALICE NUEVA COMUNICACIÓN. SIENDO LAS 14:35 HORAS SE REALIZA LA SEGUNDA COMUNICACIÓN INFORMANDOLE QUE LA REQUISA ARROJO RESULTADO NEGATIVO, DISPONIENDO LA MISMA: DETENCION, MEDICO LEGISTA, IDGE, SOLICITUD A MIGRACIONES DE DATOS OBRANTES EN SU SISTEMA INFORMATICO, CONSTATACION DE DOMICILIO, INFORMAR A LOS CONSULADOS, REGISTRO FILMICO Y ENVIO A APOYO TECNOLOGICO, TRES JUEGOS DE FICHAS, ART. 36 DE LA CONVENCION DE VIENA, DE NO MEDIAR IMPEDIMENTOS SE PROCEDA A LA SOLTURA, CIERRE Y ELEVACION. SIENDO LAS 19:00 HORAS AL NO MEDIAR IMPEDIMENTOS VIGENTES SEGÚN SISTEMA IDGE DE INTERPOL, SE PROCEDE A LA LIBERACION DE IAN CARLOS MANSILLA MARINAO Y DE ANA ISABEL HOLGUIN.-</t>
  </si>
  <si>
    <t>AR1778</t>
  </si>
  <si>
    <t>2818/10</t>
  </si>
  <si>
    <t>QUE SIENDO LAS VEINTE HORAS CINCUENTA MINUTOS POR ORDEN DEL MAGISTRADO INTERVINIENTE, SE PROCEDIO A LA LIBERACION DE LOS DETENIDOS, PREVIO INFORME SOCIO AMBIENTAL Y LABRADO DE LA DILIGENCIA QUE SE SOLICITO CUMPLIMENTAR, DEBIENDO ELEVAR LAS ACTUACIONES COMPLEMENTARIAS DEL PRESENTE SUMARIO EL DIA MIERCOLES DOCE DEL CORRIENTE MES Y AÑO. ES TODO CONSTE.----------------------------------------------------</t>
  </si>
  <si>
    <t>QUE AL MOMENTO DE EFECTUARSE UN CONTROL PREVENTIVO MEDIANTE MAQUINA DE RAYOS X SE DETECTA EN EL INTERIOR DE UN EQUIPAJE DEL TIPO CARRYON LA EXISTENCIA DE SUSTANCIA ORGANICA DE BAJA DENSIDAD. ACTO SEGUIDO SE PROCEDE A LA APERTURA HALLANDO ENTRE LAS VESTIMENTAS HABIDAS EN SU INTERIOR UN COLCHON INFLABLE, DESINFLADO EL CUAL CONTENIA EN SU INTERIOR CINCO PAQUETES ALARGADOS DE PLASTICO TRANSPARENTE CONTENIENDO EN SU INTERIOR SUSTANCIA ESTUPEFACIENTE COCAINA. ACTO SEGUIDO SE TOMAN LOS DATOS FILIATORIOS DEL CAUSANTE PERMANECIENDO DETENIDO EN CARÁCTER DE INCOMUNICADO. QUE UNA VEZ FINALIZADAS LAS ACTUACIONES SIENDO APROXIMADAMENTE LAS CERO DOS HORAS DEL DIA DOCE DEL CORRIENTE MES Y AÑO EL DETENIDO FUE TRASLADADO A LA UNIDAD 28 DEL SPF DESDE DONDE SE TRASLADARA A PRIMERA HORA A SEDE JUDICAL. IGUALMENTE SE INFORMA QUE EL DETENIDO FUE TRASLADADO AL HOSPITAL DE EZEIZA DONDE PREVIOS ESTUDIOS EFECTUADOS POR EL PERSONAL MEDICO SE DESCARTO LA INGESTA DE CUERPOS EXTRAÑOS.</t>
  </si>
  <si>
    <t>FRENTE AL MOSTRADOR XIII DE VENTAS DE AEROLINEAS</t>
  </si>
  <si>
    <t>EN EL DIA DE LA FECHA SIENDO LAS 08:25 HS SE RECIBE COMUNICACION POR PARTE DEL OF. GUZZANTI DANDO AVISO DE LA PRESENCIA DE UN BULTO SOSPECHOSO FRENTE AL MOSTRADOR XIII DE VENTAS DE AEROLINEAS ARGENTINAS. ACTO SEGUIDO CON PRESENCIA DEL SARGENTO DE BOMBEROS PAGANI RUBEN LP Nº 25287, EL CABO LOPEZ GAGGIETTI LP Nº 25240 DE PFA Y LA DOCTORA LOPEZ MARIANA MATRICULA Nº 91408 DE SANIDAD EMERGER SE PROCEDE A IMPLEMENTAR PERIMETRO PARA POSTERIOR CONTROL DE EXPLOSIVOS POR PARTE DEL PERSONAL DE TURNO DE GEDEX FINALIZANDO EL MISMO A LAS 8:35 HS SIN NOVEDAD, Y REALIZANDO POSTERIORMENTE ACTA DE HALLAZGO 1106/10.</t>
  </si>
  <si>
    <t>DENUNCIA P.S.I. LEY 26.364</t>
  </si>
  <si>
    <t>EXPTE. N°00021/10</t>
  </si>
  <si>
    <t>AEROPUERTO INTERNACIONAL EZEIZA - AEROPARQUE JORGE NEWBERY - AEROOPUERTO CORDOBA - PCIA. DE CORDOBA</t>
  </si>
  <si>
    <t>SE INFORMA QUE EN REFERENCIA A LA CAUSA ANTES CITADA SE ELEVARON TODAS LAS ACTUACIONES A LA FISCALIA INTERVINIENTE, QUEDANDO PENDIENTES DEL REQUERIMIENTO ORIGINAL DOS NOTAS CURSADAS A TRAVÉS DE LA U.O.S.P. EZEIZA A LA EMPRESA LAN ARGENTINA A FIN DE OBTENER MAYOR INFORMACION RESPECTO DEL REQUERIMIENTO EFECTUADO POR EL SR. FISCAL.- EN RELACION AL PR 1633 Y EN EL MARCO DE LA CAUSA DENUNCIA P.S.I., LEY 26.364 (EXPTE. N° 0021/10) EN EL CUAL SE PIDIO BAJO OFICIO JUDICIAL EMANADO POR EL FISCAL GENERAL ANTE LA CAMRA FEDERAL DE APELACIONES DE LA CIUDAD DE CORDOBA DR. ALBERTO G. LOZADA UN INFORME DE EGRESOS DE LAURA VICTORIA MIRANDA DNI 34.455.930.-</t>
  </si>
  <si>
    <t>2652/10</t>
  </si>
  <si>
    <t>SIENDO LAS 14:00 HORAS INFORMO AMPLIO MI PARTE NUMERO 2652/2010 DEL 03 DE MAYO DEL 2010 A EFECTOS DE INFORMAR NUMERO DE CAUSA OTORGADA POR JUZGADO FEDERAL INTERVINIENTE CAUSA N 273/2010.</t>
  </si>
  <si>
    <t>2812/10</t>
  </si>
  <si>
    <t>PUERTA NRO 01</t>
  </si>
  <si>
    <t>OFICINA DELTURNO POLICIAL PREVENTIVO</t>
  </si>
  <si>
    <t>SE PROCEDE A LA APERTURA DE UNA SACA COLECTORA DEL CORREO OFICIAL, SEGUN CONSTA EN ACTA DE RETENCION DE CARGAS Nº 0228/10, QUE ORIGINA LA PREVENCION SUMARIA Nº 052/10. LA SACA IDENTIFICADA CON MARBETE Nº SLA0161817D555700RGL, PRECINTO N° Y351427, CONTIENE UNA PIEZA POSTAL IDENTIFICADA COMO EP658938217AR. LA CUAL QUEDA RETENIDA. QUEDANDO LA MISMA CERRADA Y PERCINTADA EN GUARDA EN ESTA UOSP. SE COMUNICO TELEFONICAMENTE AL JUZGADO INTERVINIENTE Y LA APERTURA SE REALIZARA CON LA AUTORIZACION DEL MAGISTRADO ACTUANTE.</t>
  </si>
  <si>
    <t>2795/10</t>
  </si>
  <si>
    <t>SE PROCEDE A LA APERTURA DE UNA ENCOMIENDA DEL CORREO OFICIAL EN PRESENCIA DE SU PROPIETARIA LA SRA. MARIA DE LOS ANGELES FLORES, SEGUN ACTA DE APERTURA Nº 0236/10, QUE FUE RETENIDA EL 07/05/2010, SEGUN CONSTA EN ACTA DE RETENCION DE CARGAS Nº 0223/10, QUE ORIGINA LA PREVENCION SUMARIA Nº 051/10. LA APERTURA SE REALIZA CON CONOCIMIENTO DEL MAGISTRADO QUE INSTRUYE. LA PROPIETARIA FUE NOTIFICADA POR EL CORREO OFICIAL QUE SU ENCOMIENDA FUE RETENIDA EN ESTA UNIDAD. LA ENCOMIENDA Nº EP657454155AR, CON REMITENTE A NOMBRE DE MARIA DE LOS ANGELES FLORES, Bº SANTA CECILIA, M-L-C9, CP. 4400 SALTA CAPITAL Y DEST. SRA. SUSANA FLORES, OHIGGINS, PERITO MORENO, PROV. DE SANTA CRUZ, CP 9040, CONTIENE: ROPAS VARIAS PARA DAMAS Y NIÑOS, CON FACTURA Nº 00007677, CUATRO VAQUEROS Y SEIS PARES DE MEDIAS, CON FACTURA Nº 00000997 Y VARIOS ACCESORIOS PARA DAMAS CON FACTURA Nº 00012029. DICHA ENCOMIENDA NO CONTIENE ALGUN ELEMENTO EN INFRACCION A LAS LEYES 22.415 Y/O 23.737, Y SERA ENTREGADA AL CORREO OFICIAL PARA SU REDESPACHO.</t>
  </si>
  <si>
    <t>DRA. MARI ISABEL FALU</t>
  </si>
  <si>
    <t>PLATAFORMA BODEGA PATIO DE VALIJAS</t>
  </si>
  <si>
    <t>SE PROCEDE A LA RETENCIÓN DE UNA SACA COLECTORA DEL CORREO OFICIAL SEGÚN CONSTA EN ACTA DE RETENCIÓN Nº 0233/10 QUE ORIGINA LA PREVENCIÓN SUMARIA Nº 053/10, IDENTIFICADA COMO SLA0163157D555900RGA, PRECINTO Nº Y351435, CON UN PESO DECLARADO DE 8,100 KGS., CON DESTINO LA CIUDAD DE RÍO GRANDE, LA QUE SERIA DESPACHADA A TRAVÉS DE LA EMPRESA DE CARGA AÉREA JET-PAQ, AMPARADA EN GUÍA AÉREA Nº 9368382-2, LA RETENCIÓN SE REALIZA ANTE LA PRESUNCIÓN DE QUE PUDIERA CONTENER EN SU INTERIOR ALGÚN ELEMENTO EN INFRACCIÓN A LA LEY 22.415 Y/O 23.737, QUEDANDO LA MISMA CERRADA Y PRECINTADA EN GUARDA EN ESTA UOSP, SE COMUNICO TELEFÓNICAMENTE AL JUZGADO INTERVINIENTE, LA APERTURA SE REALIZARA EN PRESENCIA DEL PERSONAL DEL CORREO OFICIAL.</t>
  </si>
  <si>
    <t>PLATAFORMA MILITAR - AERONAVE</t>
  </si>
  <si>
    <t>SE INFORMA QUE EN EL DIA DE LA FECHA SIENDO LAS 14:40 HS LOCAL, SE PRODUCE EL ARRIBO DE LA AERONAVE TC-70 CON NRO DE VUELO FAG 422 TRASLADANDO NUMERARIOS DEL BORA, LA AERONAVE ESTACIONA EN PLATAFORMA MILITAR -HANGAR ANTARTICO- REALIZANDO PERSONAL DE ESTA UOSP EL PRIMER ANILLO DE SEGURIDAD A LA AERONAVE Y LA SEGURIDAD PERIMETRAL. BRINDANDO LA SEGURIDAD FUERA DE LOS LIMITES DE LA JURISDICCION LA POLICIA FEDERAL Y LA POLICIA DE LA PROVINCIA, FINALIZANDO A LAS 15:30 HS SIN NOVEDAD</t>
  </si>
  <si>
    <t>FAG 422</t>
  </si>
  <si>
    <t>JET-PAQ</t>
  </si>
  <si>
    <t>SE PROCEDE A LA RETENCION DE UNA ENCOMIENDA IDENTIFICADA COMO SAA0200871-1, CON UN PESO DECLARADO DE 2,044 KGS., CON RTTE. A NOMBRE DE SRA. ROSARIO R. DE VALDEZ, DOMICILIO EN SAN LUIS Nº 95- Bº 9 DE JULIO PALPALA JUJUY CP. 4612, Y DEST. SR. FABIAN H. VALDEZ DOMICILIO COLON Nº 17 Bº PERITO MORENO SANTA CRUZ CP. 9040, LA QUE SERIA DESPACHADA A TRAVES DE LA EMPRESA DE CARGA AEREA JET-PAQ. LA RETENCION SE REALIZA ANTE LA PRESUNCIOIN DE QUE PUDIERA CONTENER ALGUN ELEMENTO EN INFRACCION A LA LEY 22.415 Y/O 23.737, QUEDANDO LA MISMA CERRADA Y PRECINTADA EN ESTA UOSP, EL SR. LOPEZ EMPLEADO DE JET-PAQ INFORMARA AL RTTE. SEGUN CONSTA EN ACTA DE RETENCION DE CARGAS Nº .234/10, QUE ORIGINA LA PREVENCION SUMARIA Nº 054/10. SE COMUNICO TELEFONICAMENTE CON EL JUZGADO INTERVINIENTE Y LA APERTURA SE REALIZARA CON LA AUTORIZACION DEL MAGISTRADO DE TURNO.</t>
  </si>
  <si>
    <t>PERGOLA A</t>
  </si>
  <si>
    <t>QUE ARRIBADA A ESTA AEROSTACION CON UN VEHICULO TAXI DE LA CIUDAD AUTONOMA DE BUENOS AIRES, DESCIENDE DEL VEHICULO, DESCARGANDO POSTERIORMENTE SUS PERTENENCIAS DEL BAUL, DEJANDO OLVIDADO EN EL ASIENTO DELANTERO DEL INTERIOR DEL VEHICULO TAXI, UNA VALIJA TIPO CARRY ON COLOR NEGRO DE PEQUEÑAS DIMENSIONES. SEGUIDAMENTE EL CHOFER SUBE AL VEHICULO RETIRANDOSE, POR LO QUE LA DENUNCIANTE PROCEDE A INGRESAR AL HALL DE LA TERMINAL A DE ESTE MEDIO, LUGAR DONDE SE PERCATA DEL FALTANTE DEL EQUIPAJE MENCIONADO PRECEDENTEMENTE. A TAL EVENTO SE DIRIGE AL ASIENTO DE ESTA GUARDIA DE PREVENCION A RADICAR LA DENUNCIA.</t>
  </si>
  <si>
    <t>INFORMO QUE EN EL DIA DE FECHA ARRIBA A LAS 09:50 HS EL SEÑOR EMBAJADOR DE LA COMUNIDAD DE ISRAEL EN VUELO REGULAR DE LA EMPRESA AEROLINEAS ARGENTINAS Nº1782. ABANDONANDO LA JURISDICCION AEROPORTUARIA A LAS 10:20 HS. CULMINANDO EL DISPOSITIVO DE SEGURIDAD SIN NOVEDAD. DANDO CUMPLIMIENTO A LA ORDEN DE SERVICIO Nº 022/10 DE ESTA UOSP.</t>
  </si>
  <si>
    <t>Martinez</t>
  </si>
  <si>
    <t>Santiago Ulpiano</t>
  </si>
  <si>
    <t>EN VIRTUD DE LA ORDEN DE SERVICIO Nº 051/10 DE ESTA UNIDAD OPERACIONAL CONFORME A LA ORDEN DE SERVICIO Nº 41/10 DEL CEAC, SE CUMPLIMENTO EL TRASLADO DE GONZALEZ CHIPONT GUILLERMO JULIO REGRESANDO LA COMISION DE LA CIUDAD DE BAHIA BLANCA A LA HORA INDICADA SIN NOVEDAD</t>
  </si>
  <si>
    <t>2163/10</t>
  </si>
  <si>
    <t>CONTROL CON SCAN VAN</t>
  </si>
  <si>
    <t>SE PROCEDE A LA APERTURA DE TRES ENCOMIENDAS DEL CORREO OFICIAL SEGUN ACTA DE APERTURA DE CARGAS Nº 238/10, CORRESPONDIENTE A PREVENCION SUMARIA 039/10, EN VIRTUD DE LO ORDENADO MEDIANTE OFICIO JUDICIAL Nº 1000/10 DEL MAGISTRADO ACTUANTE, Y EN PRESENCIA DE UN TESTIGO HABIL, LA PRIMERA ENCOMIENDA EP691905861AR, RTTE. SOLEDAD SANTOS, CALLE JUAN BAUTISTA ALBERDI Nº 377, LA QUIACA PROV. DE JUJUY, CP. 4650, DEST. JUAN CARLOS GASPAR, PEDRO LURO C.P. 8148, BS. AS., CONTIENE: 15 PARES DE ZAPATILLAS DE DIFERENTES COLOR Y NUMEROS, Y 33 POMADAS MARCA MENTISAN DE INDUSTRIA BOLIVIANA. LA SEGUNDA ENCOMIENDA EP666278025AR, RTTE. SRA FERMINA MAMANI, CALLE FELIPE HEREDIA 166, BARRIO 13 DE NOVIEMBRE, PALPALA, PROV. DE JUJUY, Y DEST. SR. CONDORI JACINTO, CALLE CHILE 179, LA MARQUE, PROV. DE RIO NEGRO, C.P. 8363, CONTIENE: 7 PAQUETES DE HOJAS DE COCA, CON UN PESO TOTAL DE 1.730 GRS. Y LA TERCER ENCOMIENDA EP657331037AR, RTTE. SR. JUAN QUIQUINTE, LAVALLE 643, SALTA, C.P. 4400, Y DEST. SRA. GRACIELA DEL MILAGRO MONTERO, YOWEN 2163, C.P. 9410, USHUAIA, TIERRA DEL FUEGO, CONTIENE: 4 PAQUETES DE HOJAS DE COCA, CON UN PESO TOTAL DE 1.920 GRS. LAS ENCOMIENDAS SERAN PUESTAS A DISPOSICION DE LA ADUANA DE SALTA POR SUPUESTA INFRACCION A LA LEY 22.415 DEL CODIGO ADUANERO Y LAS ACTUACIONES SERAN REMITIDAS A SEDE JUDICIAL. PARTES ANTERIORES PARTE Nº 2154/10 SE PROCEDE A LA RETENCION DE CUATRO SACAS DEL CORREO OFICIAL SEGÚN CONSTA EN ACTA DE RETENCION DE CARGAS Nº 177/10, QUE ORIGINA LA PREVENCION SUMARIA Nº 039/10, LA PRIMERA CON MARBETE Nº SLA0168975E636300NQN , PRECINTO Nº Y752236, CON UN PESO DECLARADO DE 3,00 KGS, CON DESTINO A LA CIUDAD DE NEUQUÉN, LA SEGUNDA CON MARBETE Nº SLA0163345D555800VAE, PRECINTO Nº C485456, CON DESTINO A LA CIUDAD DE USHUAIA CON UN PESO 8,700 KGS., LA TERCERA CON MARBETE Nº SLA0163730D555600CRD, PRECINTO Nº B034093, CON UN PESO DECLARADO DE 4,300 KGS, CON DESTINO A LA CIUDAD DE COMODORO RIVADAVIA Y LA CUARTA CON MARBETE Nº SLA0170692E606000BHI , PRECINTO N º C485427, CON DESTINO A LA CIUDAD DE BAHÍA BLANCA, CON UN PESO DECLARADO DE 8,900 KGS.- AMPARADAS EN GUIA AEREA: Nº 9342510-2 , LAS QUE SERIAN DESPACHADAS ATRAVES DE LA EMPRESA DE CARGA AEREA JET PAQ. LAS RETENCIONES SE RALIZAN ANTE PRESUNCION DE INFRACCION A LAS LEYES 22.4154 Y/O 23.737, QUEDANDO LA MISMA CERRADAS Y PRECINTADAS EN GUARDA EN ESTA UOSP. SE COMUNICO TELEFONICAMENTE AL JUZGADO INTERVINIENTE Y LAS APERTURAS SE REALIZARAN EN PRESENCIA DEL PERSONAL DEL CORREO OFICIAL. PARTE 2163/10 SE PROCEDE A LA APERTURA DE CUATRO SACAS LA PRIMERA SACA IDENTIFICADA CON MARBETE SLA0168975E636300NQN, PRECINTO Y752236, CON UN PESO DECLARADO DE 3,00 KGS., CON DESTINO LA CIUDAD DE NEUQUEN, CONTIENE UNA PIEZA IDENTIFICADA COMO EP666278025AR, RTTE. FERMINA MAMANI, CON DOMICILIO EN CALLE FELIPE HEREDIA Nº 166, Bº 18 DE NOVIEMBRE, PALPALA PROV. DE JUJUY, DEST. SR. CONDORI JACINTO, CON DOMICILIO EN CALLE CHILE Nº 179, LA MARQUE PROV. DE RIO NEGRO, CP. 8363, LA CUAL QUEDA RETENIDA. LA SEGUNDA SACA MARBETE SLA0163345D555800VAE, PRECINTO C485456, CON UN PESO DECLARADO DE 8,700 KGS. CON DESTINO LA CIUDAD DE USHUAIA, CONTIENE DOS PIEZAS POSTALES, LA PRIMERA IDENTIFICADA COMO EP657331037AR, RTTE. JUAN QUIQUINTE CON DOMICILIO EN CALLE LAVALLE Nº 643 CAPITAL PROV. DE SALTA, CP. 4400, DEST. GRACIELA DEL MILAGRO MONTERO, CON DOMICILIO EN CALLE YOWEN Nº 2163, USHUAIA PROV. DE TIERRA DEL FUEGO, CP. 9410, LA CUAL QUEDA RETENIDA. LA SEGUNDA IDENTIFICADA COMO EP675749690AR, RTTE CARMEN SEVERINA CALA, CON DOMICILIO EN CALLE HUMBERTO AGÜERO Nº 265, Bº CORONEL ARIAS, CAPITAL PROV. DE JUJUY, CP. 4600, DEST. ROSARIO NATALIA CALA, CON DOMICILIO EN CALLE KUANIP Nº 2022, Bº LATINOAMERICANO, PROV. DE TIERRA DEL FUEGO, USHUAIA, CP. 9410, LA CUAL ES ENTREGADA PARA SU REDESPACHO POR NO SER DE INTERES A LA CAUSA. LA TERCERA SACA, MARBETE SLA0163730D555600CRD, PRECINTO Nº B034093, CON UN PESO DECLARADO DE 4,300 KGS., CON DESTINO LA CIUDAD DE COMODORO RIVADAVIA, CONTIENE DOS PIEZAS POSTALES, LA PRIMERA IDENTIFICADA COMO EP6700303804AR, RTTE. HUGO RAUL FERNANDEZ, CON DOMICILIO EN CALLE GORRITI Nº 54, TARTAGAL PROV. DE SALTA, CP. 4560, DEST. DAMIAN EZEQUIEL FERNANDEZ, CON DOMICILIO EN CALLE ANIBAL FORCALA Nº 529, COMODORO RIVADAVIA, PROV. DE CHUBUT, CP. 9000, LA CUAL ES ENTREGADA PARA SU REDESPACHO POR NO SER DE INTERES A LA CAUSA. LA SEGUNDA PIEZA IDENTIFICADA COMO EP679570762AR, RTTE. HILDA G. RAMOS, CON DOMICILIO EN AV. SARMIENTO ESQUINA MITRE, Bº 19 DE DICIEMBRE, AGUARAY PROV. DE SALTA, CP. 4566, DEST. MATIAS I. RAMOS, CON DOMICILIO EN CALLE SAN MARTIN Nº 180, COMODORO RIVADAVIA, PROV. DE CHUBUT, CP. 9000, (RETIRA EN SUCURSAL CORREO), LA CUAL ES ENTREGADA PARA SU REDESPACHO POR NO SER DE INTERES A LA CAUSA, LA CUARTA SACA SLA0170692E606000BHI, PERCINTO C485427, CON UN PESO DECLARADO DE 8,900 KGS. CON DEST. LA CIUDAD DE BAHIA BLANCA, CONTIENE UNA PIEZA POSTAL IDENTIFICADA COMO EP691905861AR, RTTE. SOLEDAD SANTOS, CON DOMICILIO EN CALLE JUAN BAUTISTA ALBERDI Nº 377, LA QUIACA PROV. DE JUJUY, CP. 4650, DEST. JUAN CARLOS GASPAR, CON DOMICILIO EN LOCALIDAD DE PEDRO LURO PROV. DE BS. AS., LA CUAL QUEDA RETENIDA. LAS RETENCIONES SE REALIZAN ANTE PRESUNCION DE QUE CONTENGAN ELEMENTOS EN INFRACCION A LAS LEYES 22.415 Y/O 23.737. QUEDANDO LAS MISMAS CERRADAS Y EN GUARDA EN ESTA UOSP. SE COMUNICO TELEFONICANMENTE CON EL JUZGADO INTERVINIENTE Y LAS APERTURAS SE REALIZARAN CON LA AUTORIZACION DEL MAGISTRADO ACTUANTE</t>
  </si>
  <si>
    <t>DR. WALTER DA SILVA</t>
  </si>
  <si>
    <t>S/ INFRACCION A LA LEY Nº 23737</t>
  </si>
  <si>
    <t>PREEMBARQUE CABOTAJE</t>
  </si>
  <si>
    <t>SIENDO LAS 15:00 HS Y EN MOMENTOS EN LOS QUE SE REALIZABA EL CONTROL DE PASAJEROS DEL VUELO N1685 DE LA LíNEA AEREA AEROLíNEAS ARGENTINAS, EL OFICIAL AYUDANTE FABIAN CASAMAJON PROCEDE A REALIZAR EL CONTROL SOBRE UNA PERSONA DE SEXO MASCULINO QUE AL TRANSPONER EL MARCO DETECTOR DE METALES ESTE SE ACTIVA, POR TAL MOTIVO SE LE REALIZA UN REGISTRO DE SUS PERTENENCIAS Y SOBRE EL, RESULTANDO DE ESTO QUE EN UNO DE LOS BOLSILLOS DE SU PANTALON POSEíA UNA BOLSITA DE PLASTICO TRANSPARENTE CON UNA SUSTANCIA VEGETAL DE COLOR VERDE, INMEDIATAMENTE SE SOLICITA LA PRESENCIA DE DOS TESTIGOS,MANIFESTANDO EL PASAJERO QUE SE TRATABA DE MARIHUANA, EL JEFE DE TURNO REALIZA COMUNICACIóN CON EL SECRETARIO DEL JUZGADO FEDERAL DR. WALTER LóPEZ DA SILVA A QUIEN LE IMPONE LA NOVEDAD SURGIDA, QUIEN DISPONE SE LO NOTIFIQUE DE CAUSA, SE TOMEN FOTOGRAFíAS DE LA SUSTANCIA Y DEL IMPUTADO, HUELLAS DACTILOSCóPICAS DEL IMPUTADO, Y UNA VEZ FINALIZADA LAS ACTUACIONES SE LO LIBERE PARA QUE CONTINúE CON SU VIAJE PROGRAMADO. SE PROCEDE A LA LECTURA DE NOTIFICACIóN DE CAUSA AL IMPUTADO, AL SECUESTRO DE LA SUSTANCIA, 16:30 HS: SE PROCEDE A LA LIBERACIóN DEL IMPUTADO.</t>
  </si>
  <si>
    <t>AEROPARQUE-BUENOS AIRES</t>
  </si>
  <si>
    <t>GDE_AP_0018_10_PASAJERO PERTURBADOR</t>
  </si>
  <si>
    <t>ASIENTO 22B</t>
  </si>
  <si>
    <t>AERONAVE MATRICULA LV-BXA AUSTRAL LINEAS AÉREAS</t>
  </si>
  <si>
    <t>SIENDO LAS 19:15 HORAS Y POR REQUERIMIENTO DEL COMANDANTE DE LA AERONAVE AUTRAL LINEAS AÉREAS MATRICULA LV-BXA, PERSONAL DE ESTA UNIDAD OPERACIONAL DE PSA SUBE A BORDO DE LA AERONAVE A FIN DE BAJAR A UN PASAJERO PERTURBADOR, EL CUAL SE ENCONTRARIA BAJO LOS EFECTOS DEL ALCOHOL. QUE SIENDO LAS 19:20 HORAS PERSONAL DE ESTA UOSP PROCEDE A BAJAR AL PASAJERO PROCEDIENDO A SU INMEDIATA IDENTIFICACION Y POSTERIOR REMISION HASTA SERVICIO MEDICO DEL AEROPUERTO DONDE EL MEDICO DE GUARDIA DR. OSCAR A. BUSTAMANTE - MP 13091/8 C.M. CBA - MPMM 1480 TDF, CERTIFICA QUE EL CIUDADANO SE ENCUENTRA EN ESTADO DE EMBRIAGUEZ AGUDA, EXTENDIENDO CERTIFICADO MEDICO CORRESPONDIENTE. SE PROCEDIO A NOTIFICAR AL FISCAL FEDERAL Y AL SECRETARIO CRIMINAL FEDERAL A LOS FINES CORRESPONDIENTES. POSTERIORMENTE Y SIENDO LAS 19:50 HORAS SE EFECTUO LA ENTREGA DEL CIUDADANO AL CIUDADANO LENTI, MIGUEL ALEJANDRO - DNI 16.654.975 QUIEN SE DESEMPEÑA COMO TRANSPORTISTA DE LA EMPRESA AMI CON LA CUAL EL PASAJERO MANTIENE RELACION LABORAL, HACIENDOSE RESPONSABLE DEL CITADO PASAJERO.</t>
  </si>
  <si>
    <t>BANCO NACION</t>
  </si>
  <si>
    <t>SE HACE PRESENTE EL DAMNIFICADO A FIN DE REALIZAR FORMAL DENUNCIA , MANIFESTANDO QUE EL DIA 8-5-10 ARRIBO A ESTE PAIS, LUEGO DE REALIZAR LOS TRAMITES MIGRATORIOS Y ADUANEROS DE RIGOR, SE DIRIGIO A LA CASA DE CAMBIO DEL BANCO NACION, LUGAR DONDE CAMBIO TRESCIENTOS DOLARES DE LOS EEUU, RECIBIENDO UN TOTAL DE MIL CIENTO SESENTA Y CUATRO PESOS ARGENTINOS ,QUE EL DIA 12-5-10 EGRESA DEL PAIS Y ES POR ELLO QUE SE DIRIGE AL BANCO NACION A FIN DE REALIZAR EL CAMBIO DE 250 PESOS ARGENTINOS POR DOLARES , EN ESTE MOMENTO EL CAJERO DE DICHO BANCO LE INFORMA QUE LE HABIA ENTREGADO 2 BILLETES FALSOS 1- DE CINCUENTA PESOS Y 1- DE CIEN PESOS , DICIENDOLE EL DAMNIFICADO QUE ESOS BILLETES LE HABIAN SIDO ENTREGADOS EL 8-5-10 EN EL MISMO BANCO A LO QUE EL CAJERO MANIFIESTA QUE EL NO PODIA REALIZAR LA OPERACIÓN CON ESOS BILLETES .</t>
  </si>
  <si>
    <t>2848/10</t>
  </si>
  <si>
    <t>SE PROCEDE A LA APERTURA DE UNA SACA COLECTORA DEL CORREO OFICIAL, SEGÚN CONSTA EN ACTA DE RETENCION DE CARGA Nº 0233/10, QUE ORIGINA LA PREV.SUM. Nº 053/10 Y ACTA DEJANDO CONTANCIA Nº 0235/10, LA SACA IDENTIFICADA COMO SLA0163157D555900RGA, PRECINTO Nº Y351435, CONTIENE DOS PIEZAS POSTALES LA 1º EP690988025AR, ES ENTREGADA AL SR. ARIAS PARA SU REDESPACHO, LA 2º EP668109890AR, RTTE: SR. ORLANDO CARIAGA, ALBERTI Nº 418, Bº CORONEL ARIAS, JUJUY, CP. 4600. DEST: ELISEO CRUZ, KEKOMBOSH Nº 395, Bº AUSTRAL, RIO GRANDE, TIERRA DEL FUEGO, CP. 9420, LA CUAL QUEDA RETENIDA. LA MISMA QUEDA CERRADA Y PRECINTADA EN GUARDA EN DEPÓSITO JUDICIAL DE ESTA UOSP. SE COMUNICO TELEFÓNICAMENTE AL JUZGADO INTERVINIENTE Y LA APERTURA SE REALIZARA CON LA AUTORIZACIÓN DEL MAGISTRADO ACTUANTE.</t>
  </si>
  <si>
    <t>1749/10</t>
  </si>
  <si>
    <t>S/SUPUESTA INFRACCION A LA LEY 22.415 Y 23.737.</t>
  </si>
  <si>
    <t>SE PROCEDE A LAS APERTURAS DE 09 ENCOMIENDAS DEL CORREO OFICIAL SEGUN ACTA DE APERTURA DE CARGAS Nº 239/10, DE LA PREV. SUM. Nº 034/10, EN VIRTUD DE LO ORDENADO MEDIANTE OFICIO JUDICIAL Nº 410/10 DEL MAGISTRADO ACUTANTE EN PRESENCIA DE UN TESTIGO HABIL, LA EP669757272AR, RTTE. PORTAL JERONIMO, CALLE MINEROS DEL AGUILAR Nº 509, LA QUIACA, PCIA. DE JUJUY, C.P. 4650, Y DEST. JACINTO CONDORI, CALLE CHILE 179, Bº COSTANERA, LA MARQUE, RIO NEGRO, C.P 8363, CONTIENE: 4 PAQUETES DE HOJAS DE COCA, PESO TOTAL 0.983 GRS. LA EP669757290AR, RTTE. SRA. INACIA PORTAL, SOLDADO MARI O GUTIERREZ, LA QUIACA, PCIA. DE JUJUY, Y DEST. CELSO MARTINEZ, AVDA. LIBERTADOR Nº 1133, CALAFATE, SANTA CRUZ, C.P. 9405, CONTIENE: 4 PAQUETES DE HOJAS DE COCA, PESO TOTAL 0.990 GRS. QUE SE SECUESTRA, EL RESTO DE LA ENCOMIENDA SERA ENTREGADA PARA SU REDESPACHO. LA EP705771186AR, RTTE. PELOC CLEOTILDE, DR. BALDI, 1504, CUYAYA, S.S. DE JUJUY, C.P. 4600, Y DEST. SRA. APAZA CECILIA, NICOLAS SALVATORI 968, PCIA. DE SANTA CRUZ, LOC. CALAFATE, C.P. 9405, CONTIENE: 4 PAQUETES DE HOJAS DE COCA, PESO TOTAL 1.000 GRS. QUE SE SECUESTRA, EL RESTO DE LA ENCOMIENDA SERA ENTREGADA PARA SU REDESPACHO. LA EP669757269AR, RTTE. NIEVES VILTE, LA QUIACA, PCIA. DE JUJUY C.P. 4650, Y DEST. SRA. SIVIA TINTE, RAMON Y CAJAL Nº 1215, RIO GALLEGOS, SANTA CRUZ, C.P. 9400, CONTIENE: 4 PAQUETES DE HOJAS DE COCA, PESO TOTAL 1.049 GRS. QUE SE SECUESTRA, EL RESTO DE LA ENCOMIENDA SERA ENTREGADA PARA SU REDESPACHO. LA EP686237351AR. RTTE. ELEUTERIA CHAVEZ, CHILE Nº 150, PERICO, JUJUY, C.P. 4610, Y DEST. JUAN CARLOS CARDOZO, RETIRA EN CORREO, 28 DE NOVIEMBRE, PCIA. DE SANTA CRUZ, C.P. 9408, CONTIENE: 3 PAQUETES DE HOJAS DE COCA, PESO TOTAL 0.750 GRS. Y LA EP657457823AR, RTTE. SALVATIERRA OMAR DAVID, LOTEO YONAR, MZA A, C.4, CAMPO QUIJANO, SALTA C.P. 4407, Y DEST. CALISAYA CLAUDIA, SAN PATRICIO DEL CHAÑAR, PCIA DE NEUQUEN, POSTE RESTANTE, C.P. 8305, CONTIENE: 40 PAQUETES DE HOJAS DE COCA, PESO TOTAL 10.041 GRS. LAS EP722138380AR, EP666289859AR Y EP666289862AR SERAN ENTREGADAS PARA SU REDESPACHO. LOS SECUESTROS Y LAS ENCOMIENDAS SERAN PUESTAS A DISPOSICION DE LA ADUANA DE SALTA POR SUPUESTA INFRACCION A LA LEY 22.415 DEL CODIGO ADUANERO Y LAS ACTUACIONES SERAN REMITIDAS A SEDE JUDICIAL.- PARTES ANTERIORES PARTE 1741/10 SE PROCEDE A LAS RETENCIONES DE CUATRO SACAS COLECTORAS DEL CORREO OFICIAL SEGUN CONSTA EN ACTA DE RETENCION DE CARGA Nº 0155/10, QUE ORIGINA LA PREVENCION SUMARIA Nº 034/10, LA 1º SACA IDENTIFICADA CON MARBETE SLA0168994E636300NQN, PRECINTO Nº B103864, CON UN PESO DECLARADO DE 18,00 KGS., CON DESTINO LA CIUDAD DE NEUQUEN, LA 2º SACA IDENTIFICADA CON MARBETE SLA0161761D555700RGL, PRECINTO Nº B111348, CON UN PESO DECLARADO DE 5,100 KGS., CON DESTINO LA CIUDAD DE RIO GALLEGOS, LA 3º SACA IDENTIFICADA CON MARBETE SLA0168993E636300NQN, PRECINTO B103880, CON UN PESO DECLARADO DE 12,900 KGS. CON DESTINO LA CIUDAD DE NEUQUEN Y LA 4º SACA IDENTIFICADA CON MARBETE SLA0169009E555700RGL, PRECINTO Nº B103760, CON UN PESO DECLARADO DE 20,00 KGS., CON DESTINO LA CIUDAD DE RIO GALLEGOS. AMPARADAS EN GUIA AEREA Nº 9327887-2, LAS QUE SERIAN DESPACHADAS A TRAVEZ DE LA EMPRESA DE CARGA AEREA JET-PAQ. LAS RETENCIONES SE REALIZAN ANTE LA PRESUNCION DE INFRACCION A LAS LEYES 22.415 Y/O 23.737, QUEDANDO LAS MISMAS CERRADAS Y PRECINTADAS EN GUARDA EN ESTA UOSP. SE COMUNICO TELEFONICAMENTE CON EL JUZGADO INTERVINIENTE Y LAS APERTURAS SE REALIZARAN EN PRESENCIA DEL PERSONAL DEL CORREO OFICIAL. PARTE 1749/10 SE PROCEDE A LAS APERTURAS DE CUATRO SACAS LA 1º SACA IDENTIFICADA CON MARBETE SLA0168994E636300NQN, PRECINTO Nº B103864, CONTIENE 2 PIEZAS POSTALES IDENTIFICADA COMO: EP657457823AR, RTTE. SALVATIERRA OMAR DAVID, LOTEO YONAR, MZA A, C.4, CAMPO QUIJANO, SALTA C.P. 4407, DEST. CALISAYA CLAUDIA, SAN PATRICIO DEL CHAÑAR, PCIA DE NEUQUEN, POSTE RESTANTE, C.P. 8305, LA CUAL QUEDA RETENIDA. LA EP693147682AR, ES ENTREGADA AL SR. OLARTE PARA SU REINSERCION AL CIRCUITO POSTAL POR NO SER DE INTERES PARA EL PROCEDIMIENTO. LA 2º SACA IDENTIFICADA CON MARBETE SLA0169009E555700RGL, PRECINTO Nº B103760, CONTIENE 4 PIEZAS IDENTIFICADAS COMO: EP705771186AR, RTTE. PELOC CLEOTILDE, DR. BALDI, 1504, CUYAYA, S.S. DE JUJUY, C.P. 4600 DEST. SRA. APAZA CECILIA, NICOLAS SALVATORI 968, PCIA. DE SANTA CRUZ, LOCALDAD CALAFATE, C.P. 9405. EP669757290AR, RTTE. SRA. IGNACIA PORTAL, SOLDADO MARI O GUTIERREZ, LA QUIACA, PCIA. DE JUJUY, DEST. CELSO MARTINEZ, AVDA. LIBERTADOR Nº 1133, CALAFATE, SANTA CRUZ, C.P. 9405. EP686237351AR. RTTE. ELEUTERIA CHAVEZ, CHILE Nº 150, PERICO, JUJUY, C.P. 4610 DEST. JUAN CARLOS CARDOZO, RETIRA EN CORREO, 28 DE NOVIEMBRE, PCIA. DE SANTA CRUZ, C.P. 9408. Y EP666289862AR RTTE. BRIGIDA FLORES, BLAS PARERA Nº 564, Bº 25 DE MAYO, PALPALA, JUJUY, C.P. 4612, DEST. ABON ESTEBAN ALFREDO, SAN MARTIN 433, 28 DE NOVIEMBRE, SANTA CRUZ, C.P. 9408, LAS CUALES QUEDAN RETENIDAS. LA 3º SACA IDENTIFICADA CON MARBETE SLA0168993E636300NQN, PRECINTO B103880, CONTIENE 4 PIEZAS IDENTIFICADAS COMO EP666289859AR, RTTE. V.G. CALAPEÑA, 23 DE AGOSTO Nº 988, Bº 23 DE AGOSTO, PALPALA, PCIA DE JUJUY, C.P. 4612, DEST. GABINO GUTIERREZ, CORREO SENILLOSA, PCIA. DE NEUQUEN, C.P. 8320. EP669757272AR, RTTE. PORTAL JERONIMO, CALLE MINEROS DEL AGUILAR Nº 509, LA QUIACA, PCIA. DE JUJUY, C.P. 4650, DEST. JACINTO CONDORI, CALLE CHILE 179, Bº COSTANERA, LA MARQUE, RIO NEGRO, C.P 8363. EP722138380AR, RTTE. MARIA CUSSI, EL CARMEN, C.P. 4603, Bº 1º DE MAYO, L.5 M.75, PCIA. DE JUJY, DEST. SRA. LUCIA CUSSI, INGENIERO JACOBASI, C.P.8418, EVARISTO CARRIEGO Nº 362, PCIA. DE RIO NEGRO, LAS CUALES QUEDAN RETENIDAS. Y LA EP666289880AR, ES ENTREGADA AL SR. OLARTE PARA SU REINSERCION AL CIRCUITO POSTAL POR NO SER DE INTERES PARA EL PROCEDIMIENTO. Y LA 4º SACA IDENTIFICADA CON MARBETE SLA0161761D555700RGL, PRECINTO Nº B111348, CONTIENE UNA PIEZA IDENTIFICADA COMO EP669757269AR, RTTE. NIEVES VILTE, LA QUIACA, PCIA. DE JUJUY C.P. 4650, DEST. SRA. SIVIA TINTE, RAMON Y CAJAL Nº 1215, RIO GALLEGOS, SANTA CRUZ, C.P. 9400, LA MISMA QUEDA RETENIDA. LAS RETENCIONES SE REALIZAN ANTE LA PRESUNCION DE QUE PUDIERAN CONTENER ALGUN ELEMENTO EN INFRACCION A LA LEY 22.415 Y/O 23.737, QUEDANDO LAS MISMAS CERRADAS Y EN GUARDA EN ESTA UOSP. SE COMUNICO TELEFONICAMENTE CON EL JUZGADO INTERVINIENTE Y LAS APERTURAS SE REALIZARAN CON LA AUTORIZACION DEL MAGISTRADO ACTUANTE</t>
  </si>
  <si>
    <t>POSICION 3</t>
  </si>
  <si>
    <t>EN CUMPLIMIENTO DE LA ORDEN DE SERVICIO 0038/10 SE PROCEDE A EMBARCAR EN LA AERONAVE MD 83 MATRICULA LV-BXA, PERTENECIENTE A LA EMPRESA AUSTRAL LINEAS AEREAS, EN LAS BODEGAS 4 Y 5 UN TOTAL DE 108 SACAS CON UN PESO DE 2000 KILOGRAMOS DE METAL -MTD- PERTENECIENTES A LA EMPRESA MINERA SANTA CRUZCON DESTINO FINAL EL AEROPUERTO INTERNACIONAL JORGE NEWBERY DE CAPITAL FEDERAL. EL MISMO DESPEGA DESDE ESTE AEROPUERTO A LAS 06:15 HORAS LOCAL.</t>
  </si>
  <si>
    <t>SIENDO LA HORA INDICADA LOS OFICIALES AYUDANTES ESQUIVEL Y GUTIERREZ ENCONTRANDOSE REALIZANDO EL CHEQUEO DE EQUIPAJES DESPACHADOS A BODEGA DEL VUELO DE MENCION OBSERVAN DENTRO DE UNA VALIJA TIPO CARRION DE COLOR ROJO, A TRAVES DE LA PANTALLA DE LA MAQUINA DE RAYOS X, SUSTANCIA DEL TIPO ORGANICA. QUE UNA VEZ QUE SE DIO CON EL DUEÑO DE LA VALIJA DE NOMBRE EUSEBIO ROJAS Y JUNTOS CON LOS TESTIGOS SE DIRIGEN A LA GUARDIA DE PREVENCION. UNA VEZ EN LA MISMAA Y EN PRESENCIA DE LOS TESTIGOS SE PROCEDE A APERTURAR LA VALIJA EN CUESTION Y RETIRANDOSE TODO SU CONTENIDO Y ENTREGANDOSELA A LOS TESTIGOS A FIN DE COMPROBAR DE QUE OBSERVEN QUE ESTA TENIA UN PESO EXCESIVO. POR LO CUAL SE PROCEDIO A EFECTUAR UN CORTE SOBRE EL FORRO, RETIRADO EL PAQUETE DEL SECTOR DENOMINADO INFERIOR SE OBSERVA QUE DENTRO DEL MISMO SE ENCONTRABAN CUATRO CILINDROS METALICOS DE 35 CENTIMETROS DE LARGO POR 2 CENTIMETROS DE DIAMETRO LOS CUALES SE IDENTIFICAN COMO CILINDRO A, B, C, D RESPECTIVAMENTE, CONTINUANDO SE RETIRA DE LA VALIJA EL PAQUETE IDENTIFICADO COMO SUPERIOR SIMILARES CARACTERISTICAS QUE EL ANTERIOR DEL CUAL SE EXTRAEN CUATRO CILINDROS METALICOS DE IGUALES MEDIDAS QUE LOS ANTERIORES LOS CUALES SE IDENTIFICAN COMO CILINDRO E, F,G, H, RETIRADO EL PAQUETE QUE SE ENCONTRABA ADOSADO AL LATERAL INTERNO IZQUIERDO DE LA VALIJA SE EXTRAEN DEL MISMO SIETE CILINDROS METALICOS DE 70 CENTIMETROS DE LARGO POR 2 CENTIMETROS DE DIAMETRO LOS CUALES SE IDENTIFICAN COMO CILINDRO I, J, K, L, M, N, Ñ, RETIRADO EL PAQUETE QUE SE ENCONTRABA ADOSADO AL LATERAL INTERNO DERECHO DE LA VALIJA SE EXTRAEN DEL MISMO SIETE CILINDROS METALICOS DE 70 CENTIMETROS DE LARGO POR 2 CENTIMETROS DE DIAMETRO LOS CUALES SE IDENTIFICAN COMO CILINDRO O, P, Q, R, S, T,U. SE DETIENE AL PASAJERO EN CARACTER DE INCOMUNICADO Y SIENDO EL DIA DE LA FECHA A LAS SIETE HORAS SE TRASLADA AL MISMO A SEDE JUDICIAL.-</t>
  </si>
  <si>
    <t>LH511</t>
  </si>
  <si>
    <t>Irlanda</t>
  </si>
  <si>
    <t>DUBLIN</t>
  </si>
  <si>
    <t>POSICION NRO 13</t>
  </si>
  <si>
    <t>EN RELACION A LA ORDEN DE SERVICIO NRO 052/10, SE IMPLEMENTARON LAS MEDIDAS DE SEGURIDAD REFERENTES AL CASO Y SE REALIZO CONTROL VEHICULAR TENDIENTE A RESGUARDAR LA INTEGRIDAD FISICA Y LA NORMAL OPERATORIA EN EL AMBITO AEROPORTUARIO DURANTE EL ARRIBO Y PERMANENCIA DENTRO DE LA JURIDISCCION DEL SHEIK DOCTOR SULTAN BIN CALIFA BIN ZAYED AL NAHYAN. , POR LO CUAL SE DIO CUMPLIMIENTO A TODO LO DISPUESTO EN ORDEN DE SERVICIO NRO 039/10. FINALIZANDO EL OPERATIVO SIENDO LAS DOS HORAS, SIN NOVEDAD.</t>
  </si>
  <si>
    <t>EN CUMPLIMIENTO DE LA ORDEN DE SERVICIO NRO. 0038/10 Y SIENDO LAS 07:23 HORAS LOCAL ARRIBA AERONAVE AIR BUS A 320, MATRICULA LV-BTM, PERTENECIENTE A LA EMPRESA LAN ARGENTINA Y EN CUYAS BODEGAS 31 Y 32 SE EMBARCAN UN TOTAL DE 80 BULTOS CON UN PESO DE 1728 KILOGRAMOS DE METAL- MTD- PERTENECIENTES A LA EMPRESA MINERA SANTA CRUZ CON DESTINO EL AEROPUERTO INTERNACIONAL JORGE NEWBERY DE CAPITAL FEDERAL. EL MISMO DESPEGA A LAS 08:35 HORAS LOCAL.</t>
  </si>
  <si>
    <t>AEROPUERTO INTERNACIONAL JORGE NEWBERY- CAPITAL FEDERAL</t>
  </si>
  <si>
    <t>PERGOLA DE ARRIBOS TERMINAL A.</t>
  </si>
  <si>
    <t>LOS OFICIALES JUAN FERNANDEZ, Y MARIANO VILAS OBSERVAN Y OYEN A UNA PERSONA DE SEXO MASCULINO, QUIEN DESPUéS DE OFRECER SERVICIO DE TRANSPORTE PUBLICO A VIVA VOZ, TRASLADA AL GRUPO DE PASAJEROS HACIA UN VEHíCULO TAXI CAPITAL, POR ESTE MOTIVO LOS FUNCIONARIOS ANTES MENCIONADOS, PROCEDEN A LA IDENTIFICACIóN Y APREHENSIóN PREVENTIVA , SE HACE CONSTATACIóN DE DOMICILIO Y ANTECEDENTES, LUEGO DE ELLO SE RETIRA DE LA DEPENDENCIA .</t>
  </si>
  <si>
    <t>SIENDO LAS 08:30 HORAS, SE IMPLEMENTA OPERATIVO DE SEGURIDAD PRESIDENCIAL CON MOTIVO DE LA PARTIDA DE LA SRA PRESIDENTE DE LA NACION. SIENDO LAS 11:05 HORAS, SE HACE PRESENTE EN ESTE AEROPUERTO METROPOLITANO LA MANDATARIA EN HELICOPTERO MATRICULA H-01, PARTIENDO EN HORAS 11:15 HACIA LA CIUDAD DE ROSARIO EN AERONAVE MATRICULA T-01. SIENDO LAS 11:20 HORAS FINALIZA EL OPERATIVO SIN NOVEDAD.</t>
  </si>
  <si>
    <t>POR EL PRESENTE INFORMO SE DA CUMPLIMIENTO A MI O.S. 018/10. SIENDO 11:45 HS ARRIBA A ESTE AEROPUERTO ROSARIO T-01 TRANSPORTANDO LA SEÑORA PRESIDENTE. SIENDO LAS 11:55 DESPEGA LA SEÑORA PRESIDENTE CON DESTINO CIUDAD DE VICTORIA, ENTRE RIOS, EN HELICOPTERO DE LA PROVINCIA DE CORDOBA MATRICULA LQ-CCZ. PERMANECIENDO EN ESTE AEROPUERTO LA AERONAVE T-01 HASTA NUEVO ARRIBO DE LA SEÑORA PRESIDENTE DESDE LA CIUDAD DE VICTORIA Y POSTERIOR DESPEGUE A CAPITAL FEDERAL, APROXIMADAMENTE A LAS 14:00 HORAS</t>
  </si>
  <si>
    <t>CAPITA FEDERAL</t>
  </si>
  <si>
    <t>VICTORIA</t>
  </si>
  <si>
    <t>NIVEL CERO DEL ESTACIONAMIENTO MULTINIVEL.</t>
  </si>
  <si>
    <t>PARKING A</t>
  </si>
  <si>
    <t>QUE LLEGADO A ESTE MEDIO, PROCEDE A DIRIGIRSE HACIA EL PARKING A JUNTO A SU SEÑOR ESPOSO, QUIEN LA HABIA VENIDO A BUSCAR EN SU VEHICULO PARTICULAR EL CUAL SE ENCONTRABA ESTACIONADO EN DICHO SECTOR, QUE LUEGO DE CARGAR EN EL BAUL SUS EQUIPAJES, DEJA OLVIDADO EN EL BUCHE DEL CARRO PORTAMALETAS UNA CARTERA DE MANO. QUE LUEGO DE PASAR UNOS CINCO MINUTOS APROXIMADAMENTE, SE PERCATA DEL FALTANTE DE LA CARTERA, MOTIVO POR EL CUAL REGRESA AL ESTACIONAMIENTO DANDOSE CUENTA EN ESE INSTANTE EL FALTANTE DE SU CARTERA.</t>
  </si>
  <si>
    <t>LA 4521</t>
  </si>
  <si>
    <t>EZEIZA - ARGENTINA</t>
  </si>
  <si>
    <t>2868/10</t>
  </si>
  <si>
    <t>SIENDO LAS 14:25 ATERRIZA EN ESTE AEROPUERTO PROCEDENTE DE LA CIUDAD DE VICTORIA HELICOPTERO DE LA GOBERNACION DE CORDOBA TRANSPORTANDO A LA SEÑORA PRESIDENTE. SIENDO LAS 14:40 HORAS DESPEGA T-01 TRANSPORTANDO A LA SEÑORA PRESIDENTE CON DESTINO CAPITAL FEDERAL. SE CUMPLIMENTO MI O.S. 018/10 SIN NOVEDAD</t>
  </si>
  <si>
    <t>LOS OFICIALES KARINA HANEMANN, Y PAMELA CAFFERATA, OBSERVAN Y SORPRENDEN IN FRAGANTI A UNA PERSONA DE SEXO MASCULINO, QUIEN SE ENCONTRABA REALIZANDO EL SERVICIO DE MALETERO, A QUIEN SE LE SOLICITA LA HABILITACIóN PARA PRESTAR TAL SERVICIO, CARECIENDO EL MISMO DE LA HABILITACIóN Y/O PERMISO DE LA ADMINISTRACIóN DEL AEROPUERTO PARA REALIZAR DICHA TAREA. SE PROCEDE A LA APREHENSIóN , CONSTATACIóN DE DOMICILIO Y ANTECEDENTES , LUEGO DE ELLO SE RETIRA DE LA LA DEPENDENCIA POLICIAL</t>
  </si>
  <si>
    <t>EL OFICIAL OTTRIA EN UNA RECORRIDA POR LA TERMINAL A, SECTOR PERGOLA ARRIBOS, OBSERVA A UNA PERSONA DE SEXO MASCULINO OFRECIENDO SERVICIO DE TRANSPORTE PUBLICO A VIVA VOZ A PASAJEROS RECIEN ARRIBADOS. SIENDO ESTE ACCIONAR VIOLATORIO, SE PROCEDE A LA IDENTIFICACION Y APREHENSION DEL CAUSANTE.-</t>
  </si>
  <si>
    <t>EN EL DIA DE LA FECHA SIENDO LAS 11:00 HS ATERRIZA T-03 TRANSPORTANDO AL SR. MINISTRO DE PLANIFICACION FEDERAL INGENIERO JULIO DEVIDO Y COMITIVA REALIZANDOSE DISPOSITIVO DE SEGURIDAD INFORMADO POR ORDEN DE SERVICIO NUMERO 05-10 DESPEGANDO DE ESTE AEROPUERTO CON DESTINO A LA CIUDAD DE BUENOS AIRES A LAS 17:05 HS. DICHO DISPOSITIVO SE REALIZO SIN NOVEDAD</t>
  </si>
  <si>
    <t>T-03</t>
  </si>
  <si>
    <t>DR PABLO MOLINA</t>
  </si>
  <si>
    <t>UESPROJU CTES C/TAREAS INVESTIGSATIVAS C/SUP INF. LEYES 22415 Y 23737 Y S/ INTERVENCION TELEFONICA</t>
  </si>
  <si>
    <t>EXPTE 470/09</t>
  </si>
  <si>
    <t>SE COMUNICA TELEFONICAMENTE EL COMANDANTE FERNANDEZ A CARGO DEL ESCUADRON 51 DE GENDARMERIA NACIONAL, SOLICITANDO COLABORACION A ESTA UNIDAD OPERACIONAL PARA REALIZAR UNA INSPECCION CON LA MAQUINA DE RAYOS X HEIMANN 6040A, A UN COMPRESOR DE AIRE, DE ACUERDO A LO ORDENADO A ESA FUERZA DE SEGURIDAD POR EL JUZGADO FEDERAL DE LA CIUDAD DE CORRIENTES. SE REALIZA LA INSPECCION DEL MENCIONADO ELEMENTO CON LA MAQUINA DE RAYOS X, A CARGO DEL OFICIAL MAYOR STRUMIA GUSTAVO, OBSERVANDO EN LA IMAGEN QUE EN EL INTERIOR DEL CILINDRO SE DISTINGUEN FIGURAS RECTANGULARES DE DIVERSOS TAMAÑOS, NO PUDIENDO DETERMINAR FEHACIENTEMENTE SI SE TRATA DE SUSTANCIAS ORGANICAS, DEBIDO AL ESPESOR DEL MATERIAL DEL CILINDRO. LUEGO SE REALIZA A PEDIDO DEL PERSONAL ACTUANTE DE GENDARMERIA NACIONAL UNA INSPECCION CON EL CAN AXEL, A CARGO DEL OFICIAL MAYOR ESCOBAR VICTOR, AL VEHICULO PEUGEOT PARTNER DOMINIO COLOCADO GTE 394, CONSTATANDO QUE DEBAJO DEL ASIENTO DEL ACOMPAÑANTE EXISTE UNA BOLSA DE POLIETILENO DE COLOR BLANCA CONTENIENDO EN SU INTERIOR UNA SUSTANCIA VERDE PARDUZCA, SECUESTRANDO DICHA SUSTANCIA PERSONAL DE GENDARMERIA. EL CONDUCTOR DEL RODADO CONJUNTAMENTE CON LOS ELEMENTOS SECUESTRADOS Y LOS TESTIGOS, TODOS ELLOS A CARGO DEL ALFERES ATILIO PEREYRA DE LA UNIDAD ESPECIAL DE INVESTIGACIONES Y PROCEDIMIENTOS JUDICIALES CORRIENTES DE GENDARMERIA, FUERON TRASLADADOS AL ESCUADRON 51 RESISTENCIA DE DICHA FUERZA DE SEGURIDAD PARA REALIZAR LA PRUEBA DE CAMPO CORRESPONDIENTE Y LA APERTURA DEL COMPRESOR, DE ACUERDO A LO ORDENADO POR EL MAGISTRADO ACTUANTE. PU 2993 MEDIANTE NOTA RECEPCIONADA EL DIA 18 MAY 10 DE LA UNIDAD ESPECIAL DE INVESTIGACIONES Y PROCEDIMIENTOS CORRIENTES DE GENDARMERIA NACIONAL EN LA QUE INFORMA LA INTERDICCION DE APROXIMADAMENTE 6 KG. DE MARIHUANA, EL SECUESTRO DE UN VEHICULO MARCA PEUGEOT MODELO PARTNER DOMINIO GTE 394, EL COMPRESOR ANTES MENCIONADO Y LA DETENCION DEL SR. WALTER OSCAR VALLEJOS DNI 20.922.834 DOMICILIADO EN EL BARRIO NUEVO 169 VIV SECTOR 60 MZA C CASA N° 13 DE LA CIUDAD DE CORRIENTES CAPITAL.</t>
  </si>
  <si>
    <t>SIENDO LAS 14:40 HORAS SE IMPLEMENTA OPERATIVO DE SEGURIDAD PRESIDENCIAL CON MOTIVO DE LA LLEGADA DE LA SRA PRESIDENTE DE LA NACION , DEL VUELO PROCEDENTE DE LA CUIDAD DE ROSARIO . SIENDO LAS 15:07 HORAS ATERRIZA LA MANDATARIA EN AERONAVE MATRICULA T-01 . 15:15 HORAS SE RETIRA DE ESTE AEROPUERTO METROPOLITANO EN HELICOPTERO MATRICULA H-01 . 15:20 HORAS FINALIZA EL OPERATIVO SIN NOVEDAD.</t>
  </si>
  <si>
    <t>SECRETARIA Nº 24</t>
  </si>
  <si>
    <t>DR.DIEGO IGLECIAS</t>
  </si>
  <si>
    <t>INFRACCIÓN LEY 23.737</t>
  </si>
  <si>
    <t>PUESTO ECO.</t>
  </si>
  <si>
    <t>PUNTO DE CONTROL DE INGRESO Y EGRESO DE PERSONAL.</t>
  </si>
  <si>
    <t>SIENDO LA FECHA Y HORA ANTES MENCIONADA, EN MOMENTOS DE ESTAR DESARROLLÁNDOSE UN OPERATIVO DE CONTROL PREVENTIVO EN EL PUNTO DE INGRESO Y EGRESO DE PERSONAL DENOMINADO PUESTO ECO FRENTE A DOS TESTIGOS, MIENTRAS EGRESABA EL PERSONAL DE LA EMPRESA AEROHANDLING, AL PASAR UNO DE LOS EMPLEADOS Y AL EFECTUARLE UN CHEQUEO MANUAL EL OFICIAL MURANO JUAN, NOTO UNA PROTUBERANCIA EN EL BOLSILLO IZQUIERDO DELANTERO DE SU PANTALÓN POR LO QUE LE SOLICITO QUE EXHIBA EL CONTENIDO RESULTANDO SER ESTE UN MONEDERO CONTENIENDO UNA BOLSITA DE NYLON TRANSPARENTE, LA CUAL PRESENTABA EN SU INTERIOR UNA SUSTANCIA DE CONSISTENCIA VERDE PASTOSA. SEGUIDAMENTE, AL PREGUNTARLE POR EL ORIGEN DE LA SUSTANCIA, EL CAUSANTE MANIFESTÓ QUE SE TRATABA DE MARIHUANA. ACTO SEGUIDO SE HIZO PRESENTE LA PERITO DE TURNO Y EFECTUO A LA SUSTANCIA UN REACTIVO QUIMICO MARCA NIK EL CUAL ARROJO RESULTADO POSITIVO PARA MARIHUANA. SIENDO LAS 15:43 HORAS, SE ENTABLO COMUNICACIÓN TELEFONICA CON LA JUDICATURA INTERVINIENTE QUIEN ORDENO LAS DILIGENCIAS DE RIGOR Y CON LOS RESULTADOS DE REINCIDENCIA, DE NO MEDIAR IMPEDIMENTOS LEGALES VIGENTES, PROCEDER A LA LIBERACIÓN. SE AMPLIARA CON RESULTADO DE REINCIDENCIA. SEGUN AMPLIACION PU 2882 SIENDO LAS 23.50 SE PROCEDE A LA LIBERACION DEL CAUSANTE</t>
  </si>
  <si>
    <t>DESEMBARCO DE VUELOS INTERNACIONALES</t>
  </si>
  <si>
    <t>SIENDO LAS DIECINUEVE HORAS CON DIEZ MINUTOS, SE HACE PRESENTE EN ESTA GUARDIA DE PREVENCION, EL SR. PAZ, MANIFESTANDO EL EXTRAVIO DE SU PERMISO PERSONAL AEROPORTUARIO SNA, Y UNA TARJETA MAIFER. DRICA II - Nº DE CREDENCIAL 312161 CON VENCIMIENTO 02/07/2010</t>
  </si>
  <si>
    <t>CINTIA FIGUEROA</t>
  </si>
  <si>
    <t>HALL CENTRAL DEL EDIFICIO</t>
  </si>
  <si>
    <t>HALL CENTRAL DEL EDIFICIO DETRAS DEL CAJERO DE BANCO NACION</t>
  </si>
  <si>
    <t>SE PRESENTA EN ESTA GUARDIA DE PREVENCION EL SEÑOR MOSCARDINI DE 37 AÑOS DE EDAD D.N.I 22851934 QUIEN DESEA RADICAR UNA DENUNCIA POR EL HURTO DE UN BOLSO , QUE OLVIDO EN EL ASIENTO DEL CAFE UBICADO EN EL HALL CENTRAL DEL AEROPUERTO</t>
  </si>
  <si>
    <t>AR 1421</t>
  </si>
  <si>
    <t>PLATAFORMA-BODEGA-PATIO DE VALIJAS</t>
  </si>
  <si>
    <t>CORREO OFIACIAL SALTA</t>
  </si>
  <si>
    <t>CORREO OFICIAL BS.AS.</t>
  </si>
  <si>
    <t>SE PROCEDE A LA RETENCION DE UNA SACA COLECTORA DEL CORREO OFICIAL , SEGUN CONSTA EN ACTA DE RETENCION Nº 0241/10, QUE ORIGINA LA PREVENCION SUMARIA Nº 056/10, IDENTIFICADA COMO SLA9126409E555700RGL, PRECINTO Nº C797276, CON UN PESO DECLARADO DE 8,500KGS. CON DESTINO LA CIUDAD DE RIO GALLEGOS, CONTIENE TRES PIEZAS POSTALES, LA QUE SERIA DESPACHADA A TRAVEZ DE LA EMPRESA DE CARGA AEREA JET-PAQ, AMPARADA EN GUIA AEREA Nº 9368412-4, LA RETENCION SE REALIZA ANTE LA PRESUNCION DE QUE PUDIERAN CONTENER EN SU INTERIOR ALGUN ELEMENTO EN INFRACCION A LA LEY 22.415 Y/O 23.737. QUEDANDO LA MISMA CERRADA Y PRECINTADA EN GUARDA EN ESTA UOSP. SE COMUNICO TELEFONICAMENTE AL JUZGADO INTERVINIENTE. LA APERTURA SE REALIZARA EN PRESENCIA DEL PERSONAL DEL CORREO OFICIAL</t>
  </si>
  <si>
    <t>BS.AS.</t>
  </si>
  <si>
    <t>2878/10</t>
  </si>
  <si>
    <t>SIENDO LAS 23:50 HS SE PROCEDE A LA LIBERACION DEL DETENIDO SEGUN LO DISPUESTO POR LA JUDICATURA ACTUANTE Y POR NO MEDIAR IMPEDIMENTO LEGAL SEGUN RESULTADOS DEL REGISTRO NACIONAL DE REINCIDENCIA. SIN NOVEDAD.</t>
  </si>
  <si>
    <t>POSICION DE ESTACIONAMIENTO N° 26 ALFA</t>
  </si>
  <si>
    <t>ATENTO A ORDEN DE SERVICIO NRO. 0135/10 DE FECHA 13-MAY-10 EMANADA POR LA URSA II DEL CENTRO, SIENDO LAS 19:20 HS ARRIBO Y ESTACIONO EN POSICION 26 ALFA AERONAVE DE LA FUERZA AÈREA ARGENTINA MATRICULA T10 PROCEDENTE DE LA CIUDAD DE BUENOS AIRES, TRASLADANDO AL DIPUTADO NACIONAL NÈSTOR KIRCHNER Y COMITIVA, SE DISPUSO DISPOSITIVO DE SEGURIDAD CONJUNTAMENTE CON PERSONAL DE LA UOESA CENTRO, RETIRANDOSE LA CAPSULA DE LA TERMINAL AÈREA A LAS 19:35 HS. SIENDO LAS 00:15 HS. REGRESA COMITIVA ABORDANDO LA AERONAVEDE DE MENCION LA CUAL DESPEGA HACIA LA CIUDAD DE RIO GALLEGOS A LAS 00.28 HS SIN NOVEDAD.</t>
  </si>
  <si>
    <t>T10</t>
  </si>
  <si>
    <t>AVION AIRBUS 340-200 MATRICULA LV-ZRA</t>
  </si>
  <si>
    <t>HANGAR N° 03, UNIDAD MANTENIMIENTO MAYOR INTERNACIONAL DE AEROLINEAS ARGENTINAS.</t>
  </si>
  <si>
    <t>QUE SIENDO APROXIMADAMENTE LAS DIECINUEVE HORAS CUARENTA Y CINCO MINUTOS, SE RECIBE COMUNICACIÓN TELEFÓNICA POR PARTE DEL OFICIAL PRINCIPAL FRANCHINO, DE LA POLICÍA BONAERENSE PERTENECIENTE DE LA COMISARIA CUARTA DEL BARRIO JUSTICIALISTA UNO DE EZEIZA; DANDO CUENTA QUE SIENDO LAS DIECINUEVE HORAS VEINTE MINUTOS, HABÍA RECIBIDO COMUNICACIÓN TELEFÓNICA POR PARTE DEL PERSONAL FACULTATIVO DEL HOSPITAL ZONAL EZEIZA, PONIENDOLO EN CONOCIMIENTO DEL DECESO OCURRIDO EN DICHO NOSOCOMIO, DE UN PERSONAL TECNICO DE LA EMPRESA AEROLINEAS ARGENTINAS, QUIEN APROXIMADAMENTE SIENDO LAS DIECISÉIS HORAS CUARENTA Y CINCO MINUTOS, HABRIA SUFRIDO UN ACCIDENTE EN CIRCUNSTANCIA QUE CUMPLIA SUS FUNCIONES LABORALES DE MANTENIMIENTO EN UNA AERONAVE, EN LOS HANGARES DE LA EMPRESA AEROLINEAS ARGENTINAS, SITO EN ESTE AEROPUERTO INTERNACIONAL. QUE UNA VEZ EN EL DESTACAMENTO POLICIAL SE TOMA CONTACTO CON EL CITADO FRANCHINO, CON EL DR. ALBERTO LUIS GARAY (PERSONAL MEDICO DE AEROLINEAS ARGENTINAS, MATRICULA NACIONAL N° 39928) Y EL SUPERVISOR DE HANGARES DE AEROLINEAS ARGENTINAS; QUIENES PUSIERON EN CONOCIMIENTO A QUIEN SUSCRIBE, QUE EL ACCIDENTE HABÍA OCURRIDO EN CIRCUNSTANCIAS QUE EL DAMNIFICADO MARIO CALDERONE SE ENCONTRABA REALIZANDO TAREAS DE MANTENIMIENTO SOBRE EL SISTEMA DE COMPUERTA DEL TREN DE NARIZ DE LA AERONAVE AIR BUS 340 - 200, MATRICULA N° LV - ZRA Y QUE ACCIDENTALMENTE SE CERRARON DICHAS COMPUERTAS, OPRIMIENDO EL CUERPO DEL DAMNIFICADO A LA ALTURA DEL ABDOMEN. SEGUIDAMENTE SE HACE PRESENTE EN EL LUGAR UNA AMBULANCIA DEL SERVICIO SANITARIO DE AEROLINEAS ARGENTINAS, A CARGO DEL MENCIONADO GARAY Y OTRA AMBULANCIA DE SEGURIDAD E HIGIENE DE LA MISMA EMPRESA, A CARGO DEL SEÑOR ROBERTO CACERES, TRASLADANDO AL LESIONADO HACIA EL HOSPITAL ZONAL EZEIZA. QUE LUEGO DE DOS HORAS APROXIMADAMENTE DE SU INTERNACION, SE PRODUCE EL DECESO DEL SEÑOR CALDERONE. ASIMISMO INFORMAN QUE SE ENCONTRABA EL JEFE DE TURNO TECNICO DE NOMBRE OSCAR FRANCO, SIENDO EL MISMO RESPONSABLE DE TODA LA OPERATORIA EN EL LUGAR Y MOMENTO DEL HECHO. QUE MANTENIDA COMUNICACIÓN TELEFÓNICA CON EL JUZGADO INTERVINIENTE INDICA QUE SE AVERIGÜE SI SE HABÍA MANTENIDO LA ESTERILIDAD DEL ESCENARIO DE LOS HECHOS Y QUE UNA VEZ CONSTATADO LO ANTEDICHO, SE MANTENGA UNA NUEVA COMUNICACIÓN TELEFÓNICA A LOS EFECTOS DE INDICAR EL TEMPERAMENTO A SEGUIR. SEGUIDAMENTE QUIEN SUSCRIBE COMISIONA UN MOVIL POLICIAL A LOS EFECTOS DE CONSTATAR SI EN EL LUGAR HABIAN MANTENIDO LA ESTERILIDAD DEL ESCENARIO, LOGRANDO COTEJAR UNA VEZ EN EL LUGAR, EL PERSONAL POLICIAL COMISIONADO, QUE EL SECTOR DE LA AERONAVE SE ENCONTRABA VALLADO Y QUE PERSONAL DE LA EMPRESA AEROLINEAS ARGENTINAS HABIDO EN EL LUGAR, LE INFORMA QUE EL UNICO MOVIMIENTO QUE SE REALIZO FUE EL DESCENSO DE LOS CRICKET PARA QUE LA AERONAVE QUEDE DEPOSITADA SOBRE EL TREN DE ATERRIZAJE. EN VIRTUD A ELLO, QUIEN SUSCRIBE, MANTIENE UNA NUEVA COMUNICACIÓN TELEFÓNICA CON LA DRA. FANELLO, A LOS EFECTOS DE ANOTICIARLA DE LO CITADO PRECEDENTEMENTE, INDICANDO QUE SE DE INTERVENCIÓN A LA SECCION HOMICIDIOS DE LA POLICÍA FEDERAL ARGENTINA PARA LA INSTRUCCIÓN DE LA CAUSA. EN EFECTO QUIEN SUSCRIBE MANTIENE COMUNICACIÓN CON EL SARGENTO PRIMERO ROBERT GINES, LEGAJO PERSONAL N° 5120, A QUIEN SE LE INFORMA LO DISPUESTO SOBRE EL JUZGADO INTERVINENTE, A QUIEN SE LE REALIZO FORMAL ENTREGA DE LA CUSTODIA DE LA AERONAVE AIR BUS 340 200 MATRICULA LV-ZRA Y DEL LUGAR ESCENARIO DE LOS HECHOS AL OFICIAL PRINCIPAL MARTIN DE CRISTOBAL DE LA P.F.A.. QUE SIENDO LAS TRES HORAS, FINALIZADAS LAS ACTUACIONES POR PERSONAL DE LA P.F.A., SE CONSIGNA PERSONAL POLICIAL PARA RESGUARDAR LA AERONAVE HASTA QUE SE REALICE LA INSPECCIÓN TECNICA REQUERIDA POR EL JUZGADO INTERVINIENTE.</t>
  </si>
  <si>
    <t>EN EL DIA DE LA FECHA SE INTERNACIONALIZA EL AEROPUERTO PARA EL ARRIBO DE UN VUELO CHARTER INTERNACIONAL MATRICULA LV-BYW DE LA EMPRESA AEROVIP PROVENIENTE DE BRASIL CON EQUIPO DE FUTBOL DEL CLUB ESTUDIANTES DE LA PLATA CON 63 PASAJEROS Y 6 TRIPULANTES - SIENDO LAS 03.30 HS. DESPEGA CON DESTINO AEROPARQUE CON 21 PASAJEROS Y 6 TRIPULANTES.-</t>
  </si>
  <si>
    <t>NJ9306</t>
  </si>
  <si>
    <t>PORTO ALEGRE - BRASIL</t>
  </si>
  <si>
    <t>SAUCE VIEJO</t>
  </si>
  <si>
    <t>755/10</t>
  </si>
  <si>
    <t>SE AMPLIA PARTE N° 755, CON FECHA 14-MAY-2010 SE INFORMA QUE LAS TAREAS INVESTIGATIVAS FUERON INICIADAS SEGUN ORDEN DE SERVICIO N° 046/09 PRODUCIDA POR ESTA UNIDAD DE FECHA 26-NOV-09, LUEGO DE UNA AMENAZA DE BOMBA REALIZADA A LA EMPRESA AEREA LAN ARG. EL DIA 24-NOV-09. POR DICHAS TAREAS SE ESTABLECIO QUE PARTICIPARON DOS PERSONAS UNA FEMENINA QUE FUE IDENTIFICADA COMO YANINA SANCHEZ D.N.I. 22.785.851 DOS Y UN MASCULINO SIN IDENTIFICAR POR LO CUAL EL TRIBUNAL LIBRO OFICIO JUDICIAL Nº 232/10, DEL JUZGADO FEDERAL DE SALTA Nº 1 A CARGO DEL DR. JULIO LEONARDO BAVIO, SECRETARIA PENAL Nº 2 DR. SANTIAGO FRENCH, EN EL EXPTE 907/09 CARATULADO SANCHEZ YANINA MARIEL S/AMENAZA, A LOS EFECTOS DE PROFUNDIZAR CON LAS TAREAS INVESTIGATIVAS QUE SE VIENEN DESARROLANDO A LOS FINES DE PODER ESTABLECER LA IDENTIDAD DEL MENCIONADO QUE APARECE EN LA FILMACION RESERVADA EN AUTOS, DE DICHAS TAREAS REALIZADAS SE PUDO ESTABLECER LA IDENTIDAD DEL MISMO TRATANDOSE DE RUBEN DARIO TURLIONE D.N.I. 22.214.348 EL CUAL RESIDE EN CALLE ALVARADO 2145 DE SALTA CAPITAL, NACIDO EL 21-SET-1971 QUIEN POSEE ANTECEDENTES POR S/HURTO CALIFICADO EN CAUSA N° RP373742 DE FECHA 12-FEB-2000.- DICHAS DILIGENCIAS FUERON ELEVADAS AL TRIBUNAL ACTUANTE EN INFORME DE FECHA 14-MAY-2010. SE AMPLIARA A POSTERIOR DE ACUERDO A LAS TAREAS A CUMPLIMENTAR QUE ORDENE S.S.</t>
  </si>
  <si>
    <t>2881/10</t>
  </si>
  <si>
    <t>SE PROCEDE A LA APERTURA DE UNA SACA COLECTORA DEL CORREO OFICIAL, SEGUN CONSTA EN ACTA DE RETENCION Nº 0241/10 Y ACTA DEJANDO CONSTANCIA Nº 0249/10, QUE ORIGINA LA PREVENCION SUMARIA Nº 056/10. LA SACA IDENTIFICADA COMO COMO SLA9126409E555700RGL, PRECINTO Nº C797276, CONTIENE TRES PIEZAS POSTALES. LA 1ª EP705770455AR, RTTE. MARIA INES ESCALANTE, MZA 186, LOTE 16, EL ARENAL, SAN SALVADOR DE JUJUY, C.P. 4.600 Y DEST. CLAUDIA DEL VALLE CAÑIZARES, DOMICILIO CORONEL ROSALES Nº 337, EL CALAFATE, SANTA CRUZ, C.P. 9.405, LA CUAL QUEDA RETENIDA Y LAS DOS RESTANTES IDENTIFICADAS COMO EP706539910AR Y EP055221770AR, SON ENTREGADAS AL SR. ARIAS DEL CORREO OFICIAL PARA SU REDESPACHO. LA RETENCION SE REALIZA ANTE LA PRESUNCION DE QUE PUDIERA CONTENER ALGUN ELEMENTO EN INFRACCION A LAS LEYES 22.415 Y/O 23.737, QUEDANDO LA MISMA CERRADA Y EN GUARDA EN ESTA UOSP. SE COMUNICO TELEFONICAMENTE AL JUZGADO INTERVINIENTE Y LA APERTURA SE REALIZARA CON LA AUTORIZACION DEL MAGISTRADO ACTUANTE.-</t>
  </si>
  <si>
    <t>DAÑO</t>
  </si>
  <si>
    <t>TERMINAL DE CARGAS, SECTOR COLINDANTE CON EL ANAC</t>
  </si>
  <si>
    <t>EN EL DIA DE LA FECHA SE PRESENTA EL DENUNCIANTE MANIFESTANDO QUE EN EL MOMENTO DE RETIRAR UNA CARGA COMPUESTA DE TRES LOTES CONFORMANDO UNA TOTAL DE CIENTO NUEVE BULTOS , EN EL SECTOR DE CARGAS SE PERCATA QUE EN UNOS DE ESOS BULTOS IDENTIFICADO COMO UNA CAJA DE DE CARTON RECTANGULAR DE 80CM X 50CM X 20 ESTABA ROTA EN LA CINTA DE EMBALAJE DEL CLIENTE IDENTIFICADO COMO MUSIMUNDO. EL DENUNCIANTE AL ADVERTIR QUE LA CAJA ESTABA ROTA PROCEDIO AL PESAJE DE LA MISMA MANIFESTANDO QUE EN EL MOMENTO DE DESPACHARLA EN EL AEROPARQUE METROPOLITANO LA MISMA HABIA ARROJADO UN PESO DE 7,960KG Y QUE AL REALIZAR EL PESAJE EN EN LA EMPRESA LAN CARGO EN ESTA AEROSTACION ARROJO UN PESO DE 7,850KG.</t>
  </si>
  <si>
    <t>PLATAFORMA COMERCIAL-POSICION Nº 31</t>
  </si>
  <si>
    <t>MIGRACIONES-CHECK-IN</t>
  </si>
  <si>
    <t>SIENDO LA HORA Y EL DIA ANTES MENCIONADO SE IMPLEMENTAN MEDIDAS DE SEGURIDAD PARA EL DESPLAZAMIENTO DENTRO DE LAS INSTALACIONES DE ESTE AEROPUERTO DE LA SECCION ASUNTOS MIGRATORIOS DEL DEPTO. ASUNTOS EXTRANJEROS DE PFA, SARGENTO 1RO. MARCOVECCHIO LEGAJO Nº 53042, Y DE LA CIUDADANA VERA CHAMORRO NANCY GRACIELA, LA CUAL ES EXPULSADA DEL TERRITORIO NACIONAL POR ASI HABERLO AUTORIZADO EL TRIBUNAL ORAL EN LO CRIMINAL FEDERAL DE POSADAS, EN VIRTUD A LA ORDEN DE EXPULSION DICTADA MEDIANTE DISPOSICION DNM Nº 85856/09. SE LE REALIZA PRECARIO MEDICO DE INGRESO Y EGRESO EN CUSTODIA DEL OF. AYUDANTE DE FILIPPI MARIANA, SIN NOVEDAD.</t>
  </si>
  <si>
    <t>2794/10</t>
  </si>
  <si>
    <t>AMPLIANDO EL PARTE NRO 2794 DE FECHA 10/05/2010 EN RELACIÓN A LA CAUSA NRO 1791/07, CARATULADA POLICIA DE SEGURIDAD AEROPORTUARIA S/PRESENTACIÓN DE DENUNCIA ANONIMA, QUE SE TRAMITA POR ANTE EL JUZGADO FEDERAL NRO 2 DE TUCUMÁN A CARGO DEL JUEZ FEDERAL DR. MARIO AGUSTIN RACEDO, POR PRESUNTA INFRACCIÓN A LA LEY 23.737. DE ACUERDO A LA ORDEN DE SERVICIO NRO 015/10 DE FECHA 05/05/10 SE REALIZARON TAREAS INVESTIGATIVAS PARA RECABAR MAYOR INFORMACIÓN EN RELACION A LA CAUSA MENCIONADA, OBTENINDOSE LA SIGUIENTE INFORMACION. EL MATRIMONIO LUIS ANTONIO JUAREZ DNI:22264895, Y SUSANA DEL VALLE CARABAJAL DNI NRO:24432855, HABRIAN ADQUIRIDO UN VEHÍCULO MARCA CITROEN MODELO C4, MODELO 2009, TAMBIEN HABRÍAN ADQUIRIDO UN VEHICULO MARCA FIAT PALIO MODELO 2009, QUE ESTARIA SIENDO UTILIZADO COMO TAXI, A LA FECHA SERÍAN TRES LOS VEHICULOS EN SERVICIO DE TAXI, DE PROPIEDAD DE ESTA FAMILIA. ESTOS TRES VAHÍCULOS SOLO CONCURREN AL DOMICILIO DE JAUREZ-CARABAJAL POR LAS NOCHES ENTRE LAS 22 Y 23 HS, APARENTEMENTE SERÍA PARA RENDIR LA RECAUDACIÓN DIARIA DE DICHOS TAXIS. EN EL DOMICILIO DE CALLE MAIPU AL 1400 DE SAN MIGUEL DE TUCUMÁN, QUE SERÍA DE LA MADRE DE JUAREZ, EMPEZO A FUNCIONAR UN TALLER, DE RECTIFICACION DE MOTORES DE MOTOVEHICULOS, EL CUAL SERÍA PROPIEDAD DE JUAREZ. SE PUDO AVERIGUAR QUE DICHO EMPREDIMIENTO ESTARIA SIENDO DEFICITARIO, POR LO CUAL APARENTEMENTE SERÍA CERRADO, Y SOLO CONTINUARÍAN CON LA ADMINISTRACIÓN DE LOS VEHÍCULOS QUE FUNCIONAN COMO TAXI. EN LAS OBSERVACIONES REALIZADAS EN EL DOMICILIO DONDE ESTARIA FUNCIONANDO LA RECTIFICADORA, SE PUDO OBSERVAR, EL MOVIMIENTO CONSIDERADO NORMAL PARA UN ESTABLECIMIENTO DE ESTE TIPO. EN LAS OBSERVACIONES REALIZADAS EN EL DOMICILIO DE LA FANILIA JUAREZ-CARABAJAL, SITO EN EL BARRIO SEOC III, DE SAN MIGUEL DE TUCUMÁN, EL MOVIMIENTO PASO A SER EL DE UNA FAMILIA DE BARRIO, YA NO SE REGISTRAN LOS MOVIMIENTOS NOCTURNOS DE OTROS VEHÍCULOS QUE SE INFORMARON AL INICIO DE LA INVESTIGACIÓN, COMO TAMPOCO SE OBSERVARON, LAS ASIDUAS VISITAS DE LOS VEHÍCULOS DE ROBOS Y HURTOS PERTENECIENTES A LA POLICIA DE LA PROVINCIA DE TUCUMÁN. LOS VIAJES DE LA SEÑORA SUSANA DEL VALLE CARABAJAL A LA PROVINCIA DE BS AS, CONTINUAN DE LA MISMA FORMA ESPORÁDICA, SIENDO EN MICRO DE LINEA, SIN COMPAÑÍA, TRANSPORTANDO VALIJAS DE GRAN PORTE Y RETORNANDO SOLO CON EQUIPAJE DE MANO,ESTA SEÑORA TAMBIEN SE REALIZO DIFERENTES TIPOS DE CIRUJIAS EN SU CUERPO, CAMBIANDO SU FISONOMÍA Y ASPECTO EN FORMA CONTINUA Y NOTORIA. LO ANTEDICHO FUE ELEVADO AL JUZGADO FEDERAL NRO 2 DE TUCUMÁN A CARGO DEL DR, MARIO AGUSTÍN RACEDO, MEDIANTE INFORME DEL DÍA 14/05/10</t>
  </si>
  <si>
    <t>JUZGADO DE EJECUCION DE SENTENCIAS - DISTRITO CENTRO Y SUR - SALTA</t>
  </si>
  <si>
    <t>MASCARELLO</t>
  </si>
  <si>
    <t>DRA. CRISTINA ESCRIBAS</t>
  </si>
  <si>
    <t>VIOLACION CALIFICADA</t>
  </si>
  <si>
    <t>15696/4</t>
  </si>
  <si>
    <t>SE PRESENTA COMITIVA DE LA GENDARMERIA NACIONAL, A CARGO DEL SGTO 1º RICARDO FREITES, CON EL CIUDADANO DE NACIONALIDAD BOLIVIANA SALGADO MAMANI JORGE, SOBRE QUIEN RECAYERA DISPOSICION MIGRATORIA Nº 12790/2009, CONCORDANTE CON OFICIO EJECUTORIO S/Nº DEL MAGISTRADO ACTUANTE, EN DONDE SE DISPONE LA EXPULSION DEL TERRITORIO NACIONAL CON PROHIBICION DE REINGRESO EN CARACTER PERMANENTE. LA RECEPCION, CUSTODIA Y POSTERIOR EMBARQUE EN ESTA JURISDICCION, FUE REALIZADA POR CINCO EFECTIVOS DE LA UOESA DEL NORTE, EN CUMPLIMIENTO A LA ORDEN DE SERVICIO Nº 091/10 DE LA URSA III DEL NORTE. EL PROCEDIMIENTO SE DESARROLLO SIN NOVEDAD</t>
  </si>
  <si>
    <t>5L250</t>
  </si>
  <si>
    <t>ADOLFO VILLATTE</t>
  </si>
  <si>
    <t>POTALIVO, DOROTY I Y OTS S/ ESTUPEFACIENTES</t>
  </si>
  <si>
    <t>734/08 A</t>
  </si>
  <si>
    <t>EN EL DIA DE LA FECHA SE RECEPCIONA OFICIO NRO 2291 DEL JUZGADO FEDERAL NRO 3 DE ROSARIO REQUIRIENDO TOMAR LAS HUELLAS DACTILARES DE LA PERSONA IDENTIFICADA, CON LA TOTALIDAD DE LOS DATOS PERSONALES, DEBIENDO CONCURRIR AL DOMICILIO DE LA MENCIONADA. LAS TAREAS SE ORDENARON EN ORDEN DE SERVICIO NRO 107/2010 URSA IV DEL LITORAL. EL PRESENTE PARTE ES AMPLIATORIO DEL SIPAP PR DOC4 080/09 DEL 01/09/2009. LA PERSONA DOROTY INES POTALIVO RESULTO SER EL REMITENTE EN LA ENCOMIENDA NRO. 120821A004542882 DE LA EMPRESA UPS SUCURSAL ROSARIO, LA CUAL FUERA RETENIDA EL 21/08/2008 EN LA UOSP EZEIZA. LA MISMA CONTENIA COCAINA OCULTA EN EL INTERIOR DE UNA ESTATUA DE CABEZA DE CABALLO, CON DESTINO A ESPAÑA.</t>
  </si>
  <si>
    <t>EN EL DIA DE LA FECHA SE CONFECCIONA DENUNCIA DE EXTRAVIO Nº0007/10 POR LA PERDIDA DE UN PERMISO PERSONAL AEROPORTUARIO PERMANENTE CON FECHA DE VENCIMIENTO EL 19/04/2010, PORTANDO EN ESE MOMENTO CREDENCIAL PROVISORIA, DADO QUE SE ENCUENTRA EN TRAMITE LA RENOVACION DEL MISMO</t>
  </si>
  <si>
    <t>MARCELO ALESSO</t>
  </si>
  <si>
    <t>SRIO AV INF LEY 23737 -PJE 1707 NRO. 7685 - PANCHO-</t>
  </si>
  <si>
    <t>386/09 B</t>
  </si>
  <si>
    <t>SRIO AV INF LEY 23737 -PANCHO-</t>
  </si>
  <si>
    <t>EN EL DIA DE LA FECHA SE RECEPCIONA OFICIO JUDICIAL NRO. 2243, INFORMANDO EL JUZGADO FEDERAL ACTUANTE QUE DISPUSO DEL ARCHIVO DE LA MENCIONADA CAUSA. ES DE MENCIONAR QUE EL INICIO DE LA INVESTIGACION SE INFORMO EN SIPAP PR DOC4 0039/09. LA FISCALIA FEDERAL NRO 2 DE ROSARIO EN OFICIO 608 DEL 28/05/2009 ORDENO REALIZAR TAREAS DE INVESTIGACION, OBSERVACION Y VIGILANCIA, TENDIENTES A CORROBORAR, SIN PONER EN RIESGO LA INVESTIGACION, CONDUCTAS REPRIMIDAS POR LA LEY 23737 EN EL DOMICILIO Y LA PERSONA DENUNCIADOS. LAS TAREAS SE ORDENARON EN ORDEN DE SERVICIO NRO. 145/2009 URSA IV DEL LITORAL DE FECHA 03/06/2009. EN EL TRANSCURSO DE LA INVESTIGACIÓN NO SE CORROBORARON LAS CONDUCTAS DENUNCIADAS.</t>
  </si>
  <si>
    <t>PEDROZO A. JULIO</t>
  </si>
  <si>
    <t>LEY 13.944</t>
  </si>
  <si>
    <t>INFORMO QUE EN EL CONTROL DE DOCUMENTACION DE PASAJEROS SE DETECTA A TRAVES DEL SISTEMA INTERPOL EL PEDIDO DE CAPTURA VIGENTE SOLICITADO POR EL JUZGADO NACIONAL CORRECCIONAL NRO 4 SECRETARIA NRO 67 DEL SEÑOR JORGE OSCAR VIDAL ANTE EL HECHO PERSONAL DE INTERPOL LABRA UN ACTA Y LA MISMA ES ENTREGADA AL JEFE DE TURNO ACTO SEGUIDO SE ESTABLECE COMUNICACION TELEFONICA CON LA DOCTORA LAURA RAPOLLA PROSECRETARIA DE DICHO JUZGADO QUIEN ENTERADA DE LOS HECHOS ORDENA POR DISPOSICION DEL DOCTOR JULIO PEDROZO A/C DE LA SECRETARIA NRO 67 SE NOTIFIQUE AL CAUSANTE QUE COMPAREZCA ANTE SEDE TRIBUNALICIA EN EL TERMINO DE CINCO DIAS HABILES Y QUE EL MISMO PROSIGA SU VIAJE PREVIA REALIZACION FICHAS DACTILOSCOPICAS Y CONSTATACION DE DOMICILIO VIA COMUNICACION TELEFONICA.</t>
  </si>
  <si>
    <t>2618/10</t>
  </si>
  <si>
    <t>CON FECHA 14 DE MAYO DE 2010, HABIENDO SOLICITADO LAS FILMACIONES RELACIONADAS AL HECHO, SE COMPROBO QUE LA DENUNCIANTE HABIA DEJADO OLVIDADO SU MOCHILA GRIS DENTRO DEL SECTOR DENOMINADO ARRIBOS NACIONALES A1, RETIRANDOSE DEL SECTOR. POSTERIORMENTE PERSONAL DE LA EMPRESA LAN ARGENTINA LINEAS AEREAS RECOJE LA MOCHILA Y LA TRASLADA HASTA SU OFICINA DE RECLAMO DE EQUIPAJES UBICADA EN EL SECTOR DENOMINADO ARRIBOS NACIONALES A2. CONSULTADO PERSONAL DE LA EMPRESA MANIFIESTA QUE LA SRA. CARBALO LORENA, EMPLEADA DE LAN ARGENTINA, SE COMUNICO VIA MAIL CON LA DENUNCIANTE, PROCEDIENDO A LA DEVOLUCION LA MOCHILA EL DIA 02 DE MAYO DE 2010.-</t>
  </si>
  <si>
    <t>SE AMPLIA PARTE DE FECHA 13-05-10 REFERENTE A TAREAS INVESTIGATIVAS SEGUN ORDEN DE SERVICIO N° 013/10. SE COMIENZA INVESTIGANDO LA CAUSA 778/09 CARATULADA AVERIGUACION LEY 23737 Y/O 22415 , LA MISMA FUE INICIADA EN CONSECUENCIA DE UN PARTE DE INFORMACION PRODUCIDO POR LA DRICA III DEL NORTE DONDE SE INDICA QUE UNA PERSONA DE NACIONALIDAD ITALIANA DEBIA EMBARCAR A BS.AS CON CONEXION A MADRID EL CUAL NO SE PRESENTO. SE ESTABLECIO QUE RESIDE EN SALTA, REGISTRA VARIOS CRUCES FRONTERIZOS, VINCULANDOSE CON PERSONAS CON ANTECEDENTES PENALES. EL 03-03-10 EL TRIBUNAL ORDENA ACUMULAR LA CAUSA CON LA 220/08 CARATULADA CALATAYUD RAUL DANTE S/CONTRABANDO, YA QUE ESTA PERSONA ESTA VINCULADA FAMILIARMENTE CON EL INVESTIGADO.- ESTA UNIDAD SE ENCUENTRA REALIZANDO OBSERVACIONES TELEFONICAS, EL DIA 10-05-10 SE RECEPCIONO EL ENTRECRUZAMIENTO SOLICITADO, ALLI SURJE QUE UNA DE LAS LINEAS NO TIENE RELACIÓN CON LA CAUSA, SE PUDO ESTABLECER OTROS NUMEROS QUE PODRIAN ESTAR VINCULADO A LA INVESTIGACION POR LO CUAL SE SOLICITO LLAMADAS Y SMS ENTRANTE Y SALIENTES PARA SU POSTERIOR ANALISIS.</t>
  </si>
  <si>
    <t>A LA ALTURA DE LOS MOSTRADORES 41 Y 50</t>
  </si>
  <si>
    <t>INTERIOR CONFITERIA DE NOMBRE GIANNI VITTORIO</t>
  </si>
  <si>
    <t>QUE SIENDO LA HORA ANTES INDICADA LA DENUNCIANTE ARRIBO A ESTE AEROPUERTO A EFECTOS DE DESPEDIR A UN FAMILIAR QUE SE ENCONTRABA POR EMBARCAR EN UN VUELO DEL CUAL DESCONOCE EMPRESA Y NUMERO. SEGUIDAMENTE SE DIRIGEN HACIA LA CONFITERIA DE MENCION DONDE LUEGO DE HABER TRANSCURRIDO UN TIEMPO DE TREINTA MINUTOS LA DENUNCIANTE EGRESA HACIA LA PERGOLA A EFECTOS DE PODER FUMAR LLEVANDO CONSIGO SU CARTERA. QUE LUEGO INGRESA NUEVAMENTE HACIA EL INTERIOR DE LA CONFITERIA DE MENCION DEJANDO APOYADO EN EL RESPALDAR DE LA SILLA QUE OCUPA LA CARTERA MENCIONADA. QUE LUEGO DE APROXIMADAMENTE TREINTA MINUTOS CUANDO LA DENUNCIANTE INTENTA IR AL BAÑO SE PERCATA DEL FALTANTE DE LA CARTERA MENCIONADA. EN VIRTUD A ELLO DA AVISO A PERSONAL DE VIGILANCIA QUIEN INFORMA SOBRE LO SUCEDIDO A PERSONAL POLICIAL QUIEN INVITA A LA DENUNCIANTE AL TURNO DE PREVENCION A EFECTOS DE QUE RADIQUE LA DENUNCIA CORRESPONDIENTE.-</t>
  </si>
  <si>
    <t>ALESSO MARCELO</t>
  </si>
  <si>
    <t>SRIO AV S/LEY 23737 -ANTEQUERA 612, 614, 618 SORRENTO AL 1300-</t>
  </si>
  <si>
    <t>289/10 B</t>
  </si>
  <si>
    <t>URSA IV DEL LITORAL</t>
  </si>
  <si>
    <t>EN EL DIA DE LA FECHA SE RECIBE OFICIO NRO. 349 DE LA FISCALIA FEDERAL NRO. 2 A CARGO DE LA DRA LILIANA BETTIOLO DONDE ORDENA REALIZAR TODAS LAS MEDIDAS INVESTIGATIVAS POSIBLES PARA ESCLARECER LOS HECHOS DENUNCIADOS. SE RECIBE COPIA DE LA DENUNCIA HECHA EN FORMA ANONIMA DONDE IMPLICA A LOS DOMICILIOS DE CALLE ANTEQUERA NRO. 612, 614 Y 618 DE LA CIUDAD DE ROSARIO, DONDE SE ESTARÍAN COMETIENDO DELITOS TIPIFICADOS EN LA LEY 23737. SE REALIZARAN TAREAS INVESTIGATIVAS MEDIANTE ORDEN DE SERVICIO NRO. 109/2010 DE LA URSA IV DEL LITORAL.</t>
  </si>
  <si>
    <t>LOS OFICIALES ZUMPANO Y LONGHINI, EN UNA RECORRIDA POR LA TERMINAL A, SECTOR PERGOLA ARRIBOS, OBSERVAN Y OYEN A UNA PERSONA DE SEXO MASCULINO OFRECIENDO SERVICIO DE TRANSPORTE PUBLICO A VIVA VOZ ,A PASAJEROS. FUERA DE LOS LUGARES HABILITADOS A TAL EFECTO. SIENDO INFORMADO EN REITERADAS OCASIONES QUE NO PODIA REALIZAR DICHO ACCIONAR, HACIENDO CASO OMISO A LAS ADVERTENCIAS SE PROCEDE A LA APREHENSION, CONSTATACION DE DOMICILIO , COMO ASI TAMBIEN ANTECEDENTES PENALES. LUEGO DE FINALIZADO ESTOS TRAMITES EL INFRACTOR SE RETIRA POR SUS PROPIOS MEDIOS.-</t>
  </si>
  <si>
    <t>SIENDO LA FECHA Y HORA ANTES MENCIONADA, EN MOMENTOS EN QUE LOS OFICIALES ZUMPANO Y ALVAREZ SE ENCONTRABAN EN UNA RECORRIDA POR EL SECTOR DE LA PERGOLA DE ARRIBOS DE LA TERMINAL A, OBSERVAN Y SORPRENDEN A UNA PERSONA DE SEXO MASCULINO, LA CUAL SE HALLABA OFRECIENDO SERVICIO DE TRANSPORTE PUBLICO A VIVA VOZ A LOS PASAJEROS FUERA DE LOS LUGARES HABILITADOS PARA TAL FIN, POR LO CUAL SE PROCEDE AL TRASLADO DE LOS INTERVINIENTES A LA OFICINA DE CONTRAVENCIONES Y FALTAS DONDE SE LABRA LA CORRESPONDIENTE ACTA.</t>
  </si>
  <si>
    <t>JUEZ FEDERAL DISPONE APERTURA DE ENCOMIENDAS</t>
  </si>
  <si>
    <t>SUPUESTA INFRACCION LEY 22.415 Y/O 23.737</t>
  </si>
  <si>
    <t>SARDO SEBASTIAN MIGUEL</t>
  </si>
  <si>
    <t>VALDIVIEZO ARNALDO EZEQUIEL</t>
  </si>
  <si>
    <t>INFORMO QUE EN EL DÍA DE LA SIENDO LAS 15 40 HORAS EN CIRCUNSTANCIAS QUE PERSONAL DE ESTA UOSP JUJUY SE ENCONTRABA REALIZANDO EL CONTROL DEL VUELO Nº 2499 DE LA EMPRESA AUSTRAL LINEAS AEREAS CON DESTINO A BUENOS AIRES, EL OFICIAL PRINCIPAL DANIEL ENRIQUE LUCAS LEGAJO Nº 500.937, APOSTADO EN ESE MOMENTO EN SECTOR DE RAYOS X CONTROL DE EQUIPAJE DE BODEGA Y CARGAS, OBSERVA LA PRESENCIA DE UNA CAJA DE CARTON, ENVUELTA EN PAPEL DE COLOR MARRON, PEGADA CON CINTA DE EMBALAJE TRANSPARENTE, LA CUAL ERA DESPACHADA COMO CARGA A TRAVES DE LA EMPRESA JET PAQ, LA CUAL AL SER SOMETIDA A CONTROL POR RAYOS X, SE OBSERVO EN LA PANTALLA DE LA MISMA QUE LA CAJA EN CUESTIÓN CONTENÍA EN SU INTERIOR ELEMENTOS QUE POR SUS CARACTERISTICA RESULTABAN SOSPECHOSAS Y/O EN INFRACCIÓN A LA LEY 22.415 Y/O 23.737. SE REALIZA UNA CONSULTA TELEFONICA CON EL DR. DOMINGO BATULE, FISCAL FEDERAL A CARGO DE LA FISCALÍA FEDERAL Nº 1 DE JUJUY, QUIEN DISPUSO SE REALIZARA LA RETENCIÓN DE LA CARGA SOSPECHOSA Y SE SOLICITE LA AUTORIZACIÓN DE APERTURA AL JUZGADO FEDERAL DE TURNO. ANTE ESTA SITUACIÓN SE CONVOCO LA PRESENCIA DE UN TESTIGO Y SE PROCEDE A RETENER EL BULTO EN CUESTIÓN, SIENDO ESTE UNA CAJA DE CARTÓN CON UNA INSCRIPCIÓN EN UNO DE SUS LATERALES QUE DICE RTE: SARDO SEBASTIÁN MIGUEL - S.S. DE JUJUY, RVE: VALDIVIEZO ARNALDO EZEQUIEL - COMODORO RIVADAVIA, DESPACHADA BAJO GUÍA AÉREA Nº 9381502-4 FACTURA Nº 0150-00005943 DE FECHA 14-05-2010, QUEDANDO EL BULTO EN CUSTODIA DE ESTA UOSP JUJUY HASTA QUE EL JUZGADO FEDERAL Nº 2 A CARGO DEL DR. CARLOS OLIVERA PASTOR SECRETARÍA PENAL Nº 4 A CARGO DEL DR. FEDERICO ZURUETA AUTORICE LA APERTURA DEL MISMO. SEGÚN AMPLIACION PU Nº 3168/10 INFORMO QUE EN EL DÍA DE LA FECHA SIENDO LAS 14:50 HORAS, PERSONAL DE ESTA UOSP JUJUY PROCEDE A DAR CUMPLIMIENTO A OFICIO JUDICIAL Nº 549 EXPEDIENTE Nº 4/10 CARATULADO JUEZ FEDERAL Nº 2 DISPONE APERTURA DE ENCOMIENDA, DE FECHA 21 DE MAYO DE 2010, PROCEDIENDOLA PREVENCIÓN A LA APERTURA DE UNA ENCOMIENDA NO ACOMPAÑADA, QUE FUERA DEMORADA POR PERSONAL DE ESTA UOSP CON FECHA 14/05/2010, A LOS EFECTOS SE CONVOCA LA PRESENCIA DE DOS TESTIGOS HABILES ENCONTRANDOSE EN SU INTERIOR CALZADOS, CD DE JUEGO Y VCD MPG 4 DE PELICULAS, DEJANDO CONSTANCIA QUE LOS ELEMETOS SON DE ORIGEN EXTRANJERO SIN LA DOCUMENTACIÓN QUE AVALE SU LEGAL INGRESO AL PAIS Y QUE LOS CD Y VCD NO SON ORIGINALES. EL SECUESTRO SERA PUESTO A DISPOSICION DE LA ADUANA POR ORDEN DEL MAGISTRADO INTERVINIENTE</t>
  </si>
  <si>
    <t>INFORMO QUE EL DÍA 13 DE MAYO DE 2010 SE PRESENTA EN ESTA UNIDAD OPERACIONAL EL SEÑOR ROBERTO CARLOS ESTRADA DNI 31581340 DOMICILIADO EN CALLE PELEGRINI Nº 246 DEL Bº SAN ROQUE DE LA CIUDAD DE PERICO QUIEN DICE SER PROPIETARIO DE LOS TRES EQUINOS SECUESTRADOS POR ESTA UOSP JUJUY EL DÍA 11-05-2010 DENTRO DE LA JURISDICCIÓN, SE REALIZA COMUNICACIÓN TELEFÓNICA CON EL DR. DOMINGO BATULE FISCAL FEDERAL Nº 1 DE JUJUY QUIEN DETERMINA QUE EL SUPUESTO PROPIETARIO PRESENTE UNA NOTA SOLICITANDO LA DEVOLUCIÓN DE LOS ANIMALES EN CUESTIÓN DONDE CONSTE LOS DATOS DESCRIPTOS DE LOS MISMOS Y LOS DATOS PERSONALES DEL INTERESADO COMO ASÍ TAMBIÉN QUE PRESENTE ALGÚN DOCUMENTO O TITULO QUE ACREDITE SU PROPIEDAD, QUE SE REALICE POSTERIORMENTE LA CONSTATACIÓN DE DOMICILIO DEL PRESUNTO DUEÑO Y QUE UNA VEZ REALIZADA LAS DILIGENCIAS ORDENADAS SE EFECTUE UNA NUEVA COMUNICACIÓN TELEFONICA CON ESA FISCALIA FEDERAL Nº 1. EL DÍA 14 DE MAYO DE 2010 PERSONAL DE ESTA UOSP PROCEDE A REALIZAR LA CONSTATACIÓN DE DOMICILIO DEL SR ROBERTO CARLOS ESTRADA, Y UNA POSTERIOR COMUNICACIÓN TELEFONICA CON EL FISCAL FEDERAL Nº 1 DE JUJUY INFORMANDO DE LAS DILIGENCIAS REALIZADAS Y QUE EL SEÑOR ESTRADA TENÍA DOMICILIO SEGÚN LO HABÍA DECLARADO, SEGUIDAMENTE EL DR. BATULE ORDENA QUE LOS EQUINOS EN CUESTIÓN SEAN ENTREGADOS A SU PROPIETARIO. SIENDO LAS 18:15 HORAS EL OFICIAL MAYOR EDUARDO ANTONIO SCHIRADO PROCEDE A DAR CUMPLIMIENTO A LO ORDENADO POR EL FISCAL FEDERAL Nº 1 DE JUJUY ENTREGANDO LOS EQUINOS QUE SE ENCONTRABAN EN CUSTODIA DEL CUERPO DE CABALLERÍA DE LA UNIDAD REGIONAL 6 DE LA POLICIA DE LA PROVINCIA DE JUJUY, A SU PROPIETARIO SR. ROBERTO CARLOS ESTRADA PREVIA RECOMENDACIONES DE LOS PELIGROS POTENCIALES QUE REPRESENTA LA PRESENCIA DE LOS EQUINOS EN PROXIMIDADES AEROPORTUARIAS.</t>
  </si>
  <si>
    <t>PERGOLA CRUCE DE LA TERMINAL B</t>
  </si>
  <si>
    <t>SIENDO LA FECHA Y HORA ANTES MENCIONADA, SE RECIBE COMUNICACION VIA HT POR PARTE DEL OFICIAL SOSA VAZQUEZ QUIEN SE ENCONTRABA CUMPLIENDO SUS FUNCIONES EN EL CENTRO DE CONTROL OPERATIVO, INFORMANDO QUE UNA PERSONA DE SEXO MASCULINO SE ACERCABA INSISTENTEMENTE A PERSONAS QUE TRANSITABAN POR EL LUGAR. POR TAL MOTIVO LOS OFICIALES SACOR Y HANEMANN SE DIRIGIERON A DICHO SECTOR CONSTATANDO LA FALTA, OBSERVANDO QUE EL MISMO SE HALLABA OFRECIENDO SERVICIO DE TRANSPORTE PUBLICO A VIVA VOZ. POR TAL MOTIVO, SE PROCEDE AL TRASLADO DE LOS INTERVINIENTES A LA OFICINA DE CONTRAVENCIONES Y FALTAS PARA LABRAR LA CORRESPONDIENTE ACTA DE INFRACCION.</t>
  </si>
  <si>
    <t>DR. SPILOTTI DIEGO - POR SUBROGANCIA LEGAL</t>
  </si>
  <si>
    <t>EN EL DIA DE LA FECHA Y EN EL MARCO DE LOS AUTOS DE MARRA, SE RECIBE OFICIO JUDICIAL Nº 2887/10 FECHADO EL 14-MAY-2010 PROCEDENTE DEL TRIBUNAL FEDERAL CITADO UT SUPRA, OFICIO EL CUAL AUTORIZA A ESTA UNIDAD OPERACIONAL RIO GRANDE DE P.S.A. A REQUERIR A LAS COMPAÑIAS DE TELEFONIA TITULARIDADES, REGISTRO ADMINISTRATIVO COMPLETO, LISTADO DE LLAMADAS ENTRANTES Y SALIENTES CON SU CORRESPONDIENTE ACTIVACION DE ANTENA, INCLUYENDO NUMEROS DE ORIGEN Y DESTINO DE LOS MENSAJES DE TEXTO, IMEI DE TRÁFICO TODO DESDE EL 01-OCT-2009 RESPECTO DE LOS SIGUIENTES ABONADOS Nº 2964490981 / 3722568031 / 0725447912 / 1136561215 / 1137607796 / 1151009255 Y 2235000212, TODO ELLO EN EL MARCO DE LA INVESTIGACION INICIADA Y ORDENADA OPORTUNAMENTE POR EL JUZGADO FEDERAL INTERVINIENTE MEDIANTE OFICIO 2828/10 VINCULADO RESPECTO DE LAS LINEAS TELEFONICAS PERTENECIENTE AL SR. LUIS ARMANDO PEREZ DNI 21.737.806</t>
  </si>
  <si>
    <t>INFRACCION A LOS ARTS.78 Y 85 DEL DECRETO LEY 8031/73</t>
  </si>
  <si>
    <t>EN CERCANIA A PUERTA 49</t>
  </si>
  <si>
    <t>PERGOLA DE LA TERMINAL B</t>
  </si>
  <si>
    <t>SIENDO LA FECHA Y HORA ANTES MENCIONADA, EN MOMENTOS EN QUE EL OFICIAL ROMEO SE ENCONTRABA EN UNA RECORRIDA POR LA PERGOLA DE LA TERMINAL B, OBSERVA Y SORPRENDE A UNA PERSONA DE SEXO MASCULINO LA CUAL SE ENCONTRABA OFRECIENDO SERVICIO DE TRANSPORTE PUBLICO A VIVA VOZ A LOS PASAJEROS FUERA DE LOS LUGARES HABILITADOS PARA TAL FIN, POR LO CUAL PREVIA REVISION MEDICA Y EN PRESENCIA DEL TESTIGO HABIL SE PROCEDE AL TRASLADO DE LOS INTERVINIENTES A LA OFICINA DE CONTRAVENCIONES Y FALTAS DONDE SE LABRAR LA CORRESPONDIENTE ACTA DE INFRACCION.</t>
  </si>
  <si>
    <t>PERGOLA ARRIBOS TERMINAL B</t>
  </si>
  <si>
    <t>SIENDO LA FECHA Y HORA ANTES MENCIONADA, EN MOMENTOS EN QUE EL OFICIAL GUZZO SE ENCONTRABA EN UNA RECORRIDA POR EL SECTOR PERGOLA DE ARRIBOS DE LA TERMINAL B, OBSERVA Y SORPRENDE A UNA PERSONA DE SEXO MASCULINO, LA CUAL SE ENCONTRABA OFRECIENDO SERVICIO DE TRANSPORTE PUBLICO A VIVA VOZ A LOS PASAJEROS FUERA DE LOS LUGARES HABILITADOS PARA TAL FIN, POR LO CUAL SE PROCEDE AL TRASLADO DE LOS INTERVINIENTES A LA OFICINA DE CONTRAVENCIONES Y FALTAS DONDE SE LABRA LA CORRESPONDIENTE ACTA.</t>
  </si>
  <si>
    <t>JUZGADO DE INSTRUCCION 14° NOMINACION</t>
  </si>
  <si>
    <t>SIENDO LAS 20:30 HORAS SE PRESENTA PERSONAL DE LA POLICIA FEDERAL ARGENTINA INSPECTOR HUGO SANTARSIERI DNIº 25.848.500, Y EL SARGENTO GUILLERMO VICTOR SARMIENTO DNI Nº 17.731.524, CON EL FIN DE TRASLADAR AL DETENIDO SEÑOR CRISTOBAL FIGUEROA TUMURIS DNI Nº 92.662.314, POR ORDEN DEL JUZGADO NACIONAL EN LO CRIMINAL DE INSTRUCCION Nº 14 SEC. Nº 143, DE CAPITAL FEDERAL SEGUN OFICIO Nº E. 12-10-0009/2010 -RGC S/ EXORTO EN 14.051.2010 A ORIGEN, DICHO TRASLADO SE EFECTUÒ EN EL VUELO DE LA EMPRESA AEROLINEAS ARGENTINAS Nº AR 1695, CON DESTINO A LA CIUDAD AUTONOMA DE BUENOS AIRES, EL CUAL DESPEGÒ DE ESTA AEROESTACION A LAS 21:30 SIN NOVEDAD.</t>
  </si>
  <si>
    <t>JUZGADO EN LO PENAL TRIBUTARIO Nº 1</t>
  </si>
  <si>
    <t>LOPEZ BISCAYART</t>
  </si>
  <si>
    <t>JAVIER</t>
  </si>
  <si>
    <t>DRA. ANABELLA ESPOSITO</t>
  </si>
  <si>
    <t>BANHEL SRL S/EVASION SIMPLE</t>
  </si>
  <si>
    <t>1449/06</t>
  </si>
  <si>
    <t>OFICNA DE MIGRACIONES</t>
  </si>
  <si>
    <t>LA DNM REMITE A ESTA DEPENDENCIA AL PASAJERO MENCIONADO, QUIEN REGISTRA UNA ORDEN DE CAPTURA SOLICITADA POR EL JUZGADO NACIONAL EN LO PENAL TRIBUTARIO NUMERO 01 DE CABA, EN EL MARCO DE LA CAUSA ANTEDICHA. POR TAL MOTIVO, UNA VEZ EFECTUADA SU DETENCION, EL JEFE DE TURNO DILIGENCIA NOTA A LA SECCCION INTERPOL AEROPUERTO A LOS EFECTOS DE CONSTATAR ANTECENDENTES DEL HABIDO. QUE RECIBIDA LA RESPUESTA POR PARTE DE INTERPOL, SURGE, APARTE DE LA CAPTURA EN CURSO, UNA ORDEN DE CAPTURA SOLICITADA POR EL JUZGADO NACIONAL EN LO PENAL ECONOMICO NUMERO 04, SECRETARIA NUMERO 07, EN CAUSA CARATULADA MIXSER SRL S/AV. DE CONTRABANDO, Y UN COMPARENDO SOLICITADO POR EL JUZGADO NACIONAL EN LO PENAL ECONOMICO NUMERO 08, SECRETARIA NUMERO 15, EN CAUSA CARATULADA KERISON TRUST S.A. Y PLAZA CYCLES S.A. S/INFRACION LEY 22.415, AMBAS JUDICATURAS PERTENECIENTES A LA CIUDAD AUTONOMA DE BUENOS AIRES. POR TAL MOTIVO, EL JEFE DE TURNO, PROCEDE A MANTENER COMUNICACION TELEFONICA CON LA DRA. ANABELLA ESPOSITO, TITULAR DE LA SECRETARIA UNICA PERTENECIENTE AL JUZGADO NACIONAL EN LO PENAL TRIBUTARIO NUMERO 01, A QUIEN PONE EN CONOCIMIENTO DE LA MEDIDA RESTRICTIVA QUE PESA SOBRE EL HABIDO, INDICANDO LA MISMA, PREVIA CONSULTA CON S.SA., SE PROCEDA A LA DENTECION DEL CAUSANTE EN CALIDAD DE INCOMUNICADO Y QUE FINALIZADAS LAS DILIGENCIAS DE RIGOR, EL MISMO SEA TRASLADADO AL ASIENTO DE ESA JUDICATURA. QUE EN RELACION A LA ORDEN DE CAPTURA SOLICITADA POR EL JUZGADO NACIONAL EN LO PENAL ECONOMICO NUMERO 04, SECRETARIA NUMERO 07, SE ENTABLO COMUNICACION TELEFONICA CON LA DRA. AMANDA RUIZ RAMIREZ, TITULAR DE LA SECRETARIA NUMERO 04, A QUIEN SE LA PONE EN CONOCIMIENTO DE LA MEDIDA SOLICITADA POR ESE JUZGADO, INDICANDO LA MISMA, PREVIA CONSULTA CON S.SA., QUE NO ES DE INTERES PARA ESE JUZGADO LA DETENCION DEL HABIDO, Y QUE LA CAPTURA SOLICITADA PRECEDENTEMENTE SE ENCUENTRA SIN EFECTO. DE IGUAL MODO, SE MANTUVO COMUNICACION TELEFONICA CON LA DRA. LILIANA DALEIA, TITULAR DE LA SECRETARIA NUMERO 15, PRETENECIENTE AL JUZGADO NACIONAL EN LO PENAL ECONOMICO NUMERO 08, A QUIEN PONE EN CONOCIMENTO DEL COMPARENDO SOLICTADO POR ESE JUZGADO, INDICANDO LA MISMA, PREVIA CONSULTA Y POR ASI HABERLO DISPUESTO S.A., NO LE ES DE INTERES LA DETENCION DEL CAUSANTE, Y QUE EL DIA LUNES 17 DE MAYO SE ELEVE A ESE JUZGADO, FOTOCOPIA SIMPLE DE LAS DILIGENCIAS ELEVADAS AL JUZGADO NACIONAL EN LO PENAL TRIBUTARIO. POR ULTIMO, SE INFORMA QUE SIENDO LAS DIECISEIS HORAS, EL CAUSANTE ES TRASLADADO A SEDE JUDICIAL DEL JUZGADO NACIONAL EN LO PENAL TRIBURARIO NUMERO 01.-</t>
  </si>
  <si>
    <t>CY 278Y</t>
  </si>
  <si>
    <t>EN EL DIA DE LA FECHA PARTIO DE ESTA CIUDAD EN VUELO REGULAR N° 1787 DE AEROLINEAS ARGENTINAS EL SR EMBAJADOR DE LA COMUNIDAD DE ISRAEL CON DESTINO A LA CIUDAD AUTONOMA DE BUENOS AIRES, HORA DE DESPEGUE 18:30. CULMINANDO EL DISPOSITIVO DE SEGURIDAD DISPUESTO EN ORDEN DE SERVCIO N° 24/10 DE ESTA UOSP SIN NOVEDAD.</t>
  </si>
  <si>
    <t>JUZGADO DE INSTRUCCION 2° NOMINACION</t>
  </si>
  <si>
    <t>DRA. MARCHISIO</t>
  </si>
  <si>
    <t>S/DCIA S/PTAS AMENAZAS</t>
  </si>
  <si>
    <t>EN EL DIA DE LA FECHA Y SIENDO LAS 18:35 HS SE PROCEDE A NOTIFICAR AL CIUDADANO JOSE LUIS TEDESCO, DNI Nº 12.819.094 CIUDADANO SOBRE QUIEN RECAE UN PEDIDO DE PARADERO SEGUN EL SISTEMA RED LINCE BAJO EL REGISTRO Nº 215568 VINCULADO A LA CAUSA CARATULADA -S/DCIA S/PTAS AMENAZAS- RAZON POR LA CUAL Y EN VIRTUD DE LOS AUTOS DE REFERENCIA SE NOTIFICO AL CIUDADANO TEDESCO PARA QUE FIJE DOMICILIO REAL, FIJANDOLO EN CALLE ISLAS DE LOS ESTADOS Nº 844, PLANTA BAJA, DPTO B, BARRIO CHACRA II DE LA CIUDAD DE RIO GRANDE. SIENDO LAS 18:50 HORAS EL CIUDADANO ANTES CITADO EMBARCO EN EL VUELO AU 2849 CON DESTINO A BUENOS AIRES -AEROPARQUE-</t>
  </si>
  <si>
    <t>SIENDO LA HORA ANTES MENCIONADA SE IMPLEMENTA OPERATIVO DE SEGURIDAD PARA EL ARRIBO DE LA SRA. PRESIDENTA DE LA NACION, LA CUAL ARRIBO EN VUELO H01 A LAS 20:18 HS A LA AEROESTACION MILITAR Y POSTERIORMENTE PARTIO EN EL VUELO T01 A LAS 20:30 HS CON DESTINO AL REINO DE ESPAÑA. SIENDO LAS 20:35 SE DA POR FINALIZADO EL OPERATIVO SIN NOVEDAD.</t>
  </si>
  <si>
    <t>PANDIELLA HERNAN</t>
  </si>
  <si>
    <t>Nº 21198</t>
  </si>
  <si>
    <t>EN EL HORARIO INDICADO EL PERSONAL DESTACADO EN EL LUGAR DEL HECHO DETECTO MEDIANTE IMAGENES DE RX, QUE DENTRO DEL EQUIPAJE DESCRIPTO, SE ENCUENTRA ALOJADA SUSTANCIA DE BAJA DENCIDAD, POR LO QUE SE CONVOCA LA PRESENCIA DE LA PROPIETARIA DEL EQUIPAJE EN CUESTION. QUIEN EN PRESENCIA DE LAS TESTIGOS CONVOCADAS, Y DEL PERSONAL QUE LA TRASLADA EN SILLA DE RUEDAS, MANIFIESTA QUE DICHO EQUIPAJE ES DE SU PROPIEDAD. ANTE TAL CIRCUNSTANCIA QUIEN SUSCRIBE INVITA A LA TOTALIDAD DE LOS INTERVINIENTES AL ASIENTO DE LA GUARDIA. QUE LUEGO DE SOLICITAR AUTORIZACION AL MAGISTRADO INTERVINIENTE SE PROCEDIO A LA REQUISA DEL EQUIPAJE Y DE LA PASAJERA, ARROJANDO EL EQUIPAJE UN PAQUETE UBICADO EN EL DOBLE FONDO DE LA MALETA, QUE CONTIENE SUSTANCIA PULVERULENTA COLOR BLANCA, QUE EXPUESTA A REACTIVOS QUIMICOS PARA COCAINA ARROJO RESULTADOS POSITIVOS. CON RESPECTO A LA REQUISA DE LA DETENIDA ARROJO RESULTADOS NEGATIVOS. UNA VEZ ENTERADO EL MAGISTRADO INTERVINIENTE DE LOS RESULTADOS OBTENIDOS, INDICO QUE SE LABREN ACTUACIONES DE RIGOR, SE DETENGA E INCOMUNIQUE A LA DETENIDA, SEA CONDUCIDA AL HOSPITAL MADRE TERESA DE CALCUTA A FIN DE PRACTICARCELE, ESTUDIOS TENDIENTES A DETERMINAR UNA POSIBLE INGESTA, Y QUE SE INFORME SI EN RELACION AL ESTADO DE INCAPACIDAD QUE LA MISMA PRESENTA, PUEDE PERMANECER ALOJADA EN ESTA DEPENDENCIA O RECOMIENDA INTERNACION, COMO ASI TAMBIEN SE PROCEDA A SOLICITARLE A PERSONAL DE COMPLEJAS DE ESTA POLICIA QUE REALICE LAS TAREAS INVESTIGATIVAS. ASIMISMO SE DEJA CONSTANCIA QUE SIENDO APROXIMADAMENTE LAS 22:30 HS SEGÚN LO ORDENADO POR S.SA. SE PROCEDE A ELEVAR LAS ACTUACIONES Y LA DETENIDA EN AUTOS. P.U. 2935 DE DC1, LA JUDICATURA ACTUANTE ORDENO UN ALLANAMIENTO REALIZADO POR PERSONAL DE COMPLEJAS DE ESTA REGIONAL EN EL DOMICILIO DE LA DETENIDA DONDE SE DETUVO A DOS PERSONAS. P.U. 2936 DE UOSP EZEIZA, LOS TRES DETENIDOS SON REMITIDOS A LA GUARDIA DE UOSP EZEIZA DONDE A LAS 0950 HORAS DEL DIA 16 DE MAYO SE TRASLADA A ANA MARIA SANTILLI DE CERCACI Y NICOLAS EDUARDO CERCACI AL HOSPITAL ZONAL DONDE QUEDAN ALOJADOS A DISPOSICION DEL JUZGADO Y A CYNTHIA VANESA CERCACI A LA UNIDAD PENITENCIARIA Nº 28 MEDIANTE OICIO JUDICIAL. P.U. 2961 DE UOSP EZEIZA, LOS DETENIDOS ALOJADOS EN EL HOSPITAL ZONAL FUERON DADOS DE ALTA EL DIA 18 DE MAYO EN HORAS 1500 Y TRASLADADOS A LA JUDICATURA ACTUANTE.</t>
  </si>
  <si>
    <t>INFORMO SIENDO LAS 23,20 HS. DEL DIA 15-MAY-10 SE RECEPCIONA OFICIO J Nº 824/10 S.R.H P FECHADO 15-MAY-10 PROVENIENTE DEL DEPARTAMENTO DE INFORMACIONES POLICIALES DE LA POLICIA DE LA PROVINCIA DE FORMOSA,INFORMANDO DESDE EL EXPTE JUDICIAL Nº 296/10 REGISTRO DE LA SECCION ROBOS Y HURTO RELACIONADO CON EL SUMARIO DE PREVENCION Nº 63/10 SRH CARATULADO HURTO, CON INTERVENCION DEL JUZGADO DE INSTRUCCION Y CORRECCIONAL Nº 4 DE FORMOSA QUE HABIENDOSE REALIZADO DOS ALLANAMIENTOS RELACIONADOS CON LA CAUSA .SE HACE CONSTAR QUE AL DILIGENCIAR LA ORDEN JUDICIAL EN EL DOMICILIO DE RESIDENCIA DE LA CIUDADANA GRACIELA VIVIANA ZALAZAR, SE ENCONTRABA EN EL LUGAR SU ESPOSO RICARDO RAMON ESCOBAR,CON DOMICILIO EN EL CITADO INMUEBLE,Y HALLANDOSE EVIDENCIAS EN EL LUGAR SE PRODUJO LA DETENCION DE LA MISMA COMO ASI TAMBIEN LA DETENCION DEL OFICIAL AYUDANTE RICARDO RAMON ESCOBAR LEGAJO Nº 501.424 NUMERARIO DE ESTA UNIDAD,QUEDANDO EN CARACTER DE INCOMUNICADO A DISPOSICION DEL JUZGADO INTERVINIENTE.ASIMISMO INFORMO QUE EL OFICIAL AYUDANTE ESCOBAR SE ENCUENTRA CON ETP SUJETO A DICTAMEN DE LA JUNTA MEDICA NACIONAL SEGUN MEMORANDO 106/10 DMP REG IV FECHADO 01-MAR-10</t>
  </si>
  <si>
    <t>PANDIELLA</t>
  </si>
  <si>
    <t>ANA MARIA SANTILLI DE CERCACI S/ AV. DE CONTRABANDO DE ESTUPEFACIENTES</t>
  </si>
  <si>
    <t>CALLE GOLETA STA. CRUZ 6520</t>
  </si>
  <si>
    <t>REF. ORDEN DE SERVICIO N° 388 EN EL DIA DE LA FECHA SE REALIZA UN ALLANAMIENTO ORDENADO POR LA JUDICATURA INTERVINIENTE EN EL MARCO DE LA CAUSA DE REFERENCIA OBTENIENDO EL SIGUIENTE RESULTADO: SE SECUESTRAN 4 CELULARES, 1 NOTEBOOK Y DOCUMENTACION DE INTERES. SE PROCEDE TAMBIEN A LA DETENCION DE DOS PERSONAS LAS CUALES SON TRASLADADAS A LA SEDE JUDICIAL PARA SU INDAGATORIA. TERMINANDO ESTAS ALOJADAS EN LA UOSP DE EZEIZA.</t>
  </si>
  <si>
    <t>2932/10</t>
  </si>
  <si>
    <t>QUE SIENDO APROXIMADAMENTE LAS SIETE HORAS LOS TRES DETENIDOS SON REMITIDOS NUEVAMENTE HACIA EL ASIENTO DE ESTA GUARDIA DE PREVENCION DESDE DONDE SIENDO LAS NUEVE HORAS CINCUENTA MINUTOS SE PROCEDE AL TRASLADO DE LOS DETENIDOS ANA MARIA SANTILLI DE CERCACI Y NICOLAS EDUARDO CERCACI HACIA EL HOSPITAL ZONAL MADRE TERESA DE CALCUTA DONDE QUEDARAN ALOJADOS A DISPOSICION DEL JUZGADO INTERVINIENTE COMO ASI TAMBIEN SE TRASLADA A LA DETENIDA CYNTHIA VANESA CERCACI HACIA LA UNIDAD PENITENCIARIA NUMERO 28 SEGUN LO ORDENADO POR S.SA. MEDIANTE OFICIO JUDICIAL.-</t>
  </si>
  <si>
    <t>PUERTAS AUTOMATICAS</t>
  </si>
  <si>
    <t>SECTOR ARRIBOS TERMINAL B</t>
  </si>
  <si>
    <t>MOMENTOS EN QUE EL PERSONAL POLICIAL SE ENCONTRABA REALIZANDO UNA RECORRIDA POR LA TERMINAL B, OBSERVA A UNA PERSONA DE SEXO MASCULINO EL CUAL SE ENCONTRABA, OFRECIENDO SERVCIO DE TRANSPORTE PUBLICO A VIVA VOZ A PASAJEROS RECIEN ARRIBADOS AL PAIS. SEGUIDAMENTE EL INFRACTOR ES CONDUCIDO A LA OFICINA DE CONTRAVENCIONES Y FALTAS, DONDE SE PROCEDE A LABRAR LAS PRESENTES ACTUACIONES.</t>
  </si>
  <si>
    <t>COMPARECE ANTE ESTA OFICINA DEL TURNO POLICIAL PREVENTIVO LA SRA. IRENE PETRONA CARI PARA FORMULAR UNA DENUNCIA Y MANIFIESTA QUE EL DIA 15/05/2010 EMBARCO EN EL VUELO Nº 2458 DE AEROLINEAS ARGENTINAS A HS. 19:10 DESDE EL AEROPUERTO METROPOLITANO JORGE NEWBERY CON DESTINO LA CIUDAD DE SALTA Y DESPUES DE RETIRAR SU EQUIPAJE CON MARBETE Nº AR33-76-68 DE LA CINTA TRANSPORTADORA DEL SALON DE ARRIBOS DE EL AEROPUERTO DE SALTA Y YA EN SU DOMICILIO PARTICULAR ADVIRTIO EL FALTANTE DE UN SACON DE CUERO CON PIEL EN EL CUELLO CON SOLAPA, UNA AGENDA ROJA CON DATOS PERSONALES, UN PANTALON DE GIMNASIA AZUL MARINO Y UNA REMERA NEGRA MANGAS LARGAS DE GIMNASIA, LA DICENTE MANIFIESTA QUE REALIZO EL PERTINENTE RECLAMO EN LA MENCIONADA EMPRESA AEREA, Y DESEA QUE ESTE HECHO SEA INVESTIGADO. LA FISCALIA FEDERAL DE SALTA Nº 1 ORDENA QUE SE REALICEN LAS ACTUACIONES CORRESPONDIENTES Y SEAN ELEVADAS A LA BREVEDAD.</t>
  </si>
  <si>
    <t>NAC DE 1º INST EN LO CRIMINAL DE INST Nº 24</t>
  </si>
  <si>
    <t>SECRETARIA N° 131</t>
  </si>
  <si>
    <t>Ramos Padilla</t>
  </si>
  <si>
    <t>Juan Martin</t>
  </si>
  <si>
    <t>GODOY ALFREDO</t>
  </si>
  <si>
    <t>78036/2000</t>
  </si>
  <si>
    <t>PREEMBARQUE PUERTA NRO UNO</t>
  </si>
  <si>
    <t>INFORMO QUE EN EL CONTROL DE DOCUMENTACI0N DE PASAJEROS SE DETECTA A TRAVES DEL SISTEMA DE INTERPOL EL PEDIDO DE PARADERO VIGENTE SOLICITADO POR EL JUZGADO NACIONAL DE INSTRUCCION NRO 24 SECRETARIA NRO 131 DE LA SRA LUISA MAYO ALONSO ANTE EL HECHO PERSONAL DE INTERPOL CONFECCIONA ACTA Y LA ENTREGA AL JEFE DE TURNO EL CUAL CONFECCIONA ACTA DE NOTIFICACION DANDO CUMPLIMIENTO A LO REQUERIDO POR EL JUZGADO SOLICITANTE DE LA MEDIDA Y SE NOTIFICA A LA CAUSANTE QUE DEBE COMPARECER ANTE EL MAGISTRADO SOLICITANTE DE LA MEDIDA DENTRO DE LOS CINCO DIAS HABILES DE LABRADA LA MISMA PARA REGULARIZAR SU CITUACION JUDICIAL</t>
  </si>
  <si>
    <t>JUZGADO NACIONAL DE INSTRUCCION N° 39</t>
  </si>
  <si>
    <t>Botto</t>
  </si>
  <si>
    <t>Ernesto Raul</t>
  </si>
  <si>
    <t>MUFFATTI MARCELO ALBERTO</t>
  </si>
  <si>
    <t>TENENCIA ILEGAL DE ARMAS DE FUEGO DE USO CIVIL CONDICIONAL</t>
  </si>
  <si>
    <t>PATIO DE VALIJAS DE LA EMPRESA LAN ARGENTINA</t>
  </si>
  <si>
    <t>EN EL DIA DE LA FECHA SIENDO LAS 14:30 HS APROXIMADAMENTE SE RECIBE COMUNICACION DEL OF. DENEGRI, INFORMANDO QUE PERSONAL DE LA COMPAÑIA HAS, EN MOMENTOS DE ESTAR REALIZANDO EL CONTROL DE EQUIPAJE CORRESPONDIENTE A TRAVES DEL ESCANEO CON MAQUINA DE RX, INTERPRETARON QUE EN UNA VALIJA PODRIA HABER UN REVOLVER DE TAMAÑO MEDIANO, MOTIVO POR EL CUAL SE PROCEDE A COMUNICAR A LA EMPRESA PARA QUE A LA BREVEDAD UBIQUEN AL PASAJERO PARA PRECISAR SI SE TRATABA DE UN ARMA DE FUEGO O DE UNA REPLICA. POSTERIORMENTE SE PRESENTA EL DUEÑO DE LA VALIJA Y EN PRESENCIA DE DOS TESTIGOS HABILES SE APERTURA EL QUIPAJE EN CUESTION, CONFIRMANDO LA PRESENCIA DEL ARMA, SE PROCEDE A SOLICITAR LA DOCUMENTACION DE LA TENENCIA DE DICHO ARMAMENTO Y CREDENCIAL DE LEGITIMO USUARIO. EL IMPUTADO MANIFIESTA NO TENER DICHA DOCUMENTACION, YA QUE EL ARMA EN CUESTION PERTENECIA A UN PARIENTE QUE HABRIA FALLECIDO RECIENTEMENTE, Y LA TRASLADABA PARA REALIZAR EL TRAMITE CORRESPONDIENTE EN LA PROVINCIA DE TUCUMAN. ACTO SEGUIDO SE TRASLADA A LOS INTERVINIENTES Y EL EQUIPAJE EN CUESTION A LA GUARDIA DE PREVENCION. POSTERIORMENTE SE ENTABLA COMUNICACION CON EL JUZGADO INTERVINIENTEN EL CUAL ORDENA COMENZAR CON LAS ACTUACIONES DE RIGOR Y ENTABLAR NUEVA COMUNICACION UNA VEZ OBTENIDOS LOS RESULTADOS DEL REGISTRO NACIONAL DE REINCIDENCIA. SE INFORMA EN PU Nº 2942 QUE SIENDO LAS 2250HS OBTENIDOS LOS RESULTADOS DE REINCIDENCIA SE REALIZA COMUNICACION CON EL DR. MUFFATTI A CARGO DE LA SECRETARIA Nº 135 DEL JUZGADO NACIONAL EN LO CRIMINAL DE INSTRUCCION DE S. SA DR. ERNESTO RAUL BOTTO A QUIEN SE LE INFORMA QUE EL PREVENIDO NO POSEE IMPEDIMENTO LEGAL VIGENTE, QUIEN DISPONE SE LE NOTIFIQUE AL SR. BULOS SOBRE SU SITUACION PROCESAL Y QUE DEBERA COMPADECER ANTE LA SEDE TRIBUNAL EL DIA 18 DE MAYO DEL CORRIENTE AÑO, CIERRE Y ELEVACION DE ACTUACIONES A PRIMERA HORA DEL DIA 17 DE MAYO DEL CORRIENTE AÑO. SIENDO LAS 2305HS SE PROCEDE A LA LIBERACION DEL SR. BULOS ALFREDO CONFORME A LOS TRATOS RECIBIDOS.</t>
  </si>
  <si>
    <t>2940/10</t>
  </si>
  <si>
    <t>SIENDO LAS 22.50 HORAS, OBTENIDOS RESULTADOS DE REINCIDENCIA SE REALIZA NUEVA COMUNICACION CON EL DR. MUFFATTI A CARGO DE LA SECRETARIA NRO 135 DEL JUZGADO NACIONAL EN LO CRIMINAL DE INSTRUCCION DE S.SA DR. ERNESTO RAUL BOTTO, A QUIEN SE LE INFORMA QUE EL PREVENIDO NO POSEE IMPEDIMENTO LEGAL VIGENTE, QUIEN DISPONE SE LE NOTIFIQUE AL SR. BULOS SOBRE SU SITUACION PROCESAL Y QUE DEBERA COMPARECER ANTE LA SEDE TRIBUNALICIA EL DIA MARTES 18 DEL CORRIENTE MES Y AÑO EN EL HORARIO DE 10.00 HORAS, CIERRE Y ELEVACION DE ACTUACIONES A PRIMERA HORA DEL DIA LUNES 17 DE MAYO DEL CORRIENTE AÑO. SIENDO LAS 23.05 HORAS EN PRESENCIA DE DOS TESTIGOS HABILES SE PROCEDE A LA LIBERACION DEL SR. ALFREDO FARID BULOS, DNI Nº 6.980.050 RETIRANDOSE DE ESTA DEPENDENCIA CONFORME CON LOS TRATOS RECIBIDOS, SIN NOVEDAD</t>
  </si>
  <si>
    <t>PLATAFORMA COMERCIAL- PATIO DE VALIJAS- BODEGA DE AERONAVE</t>
  </si>
  <si>
    <t>LA DENUNCIANTE, UNA VEZ LLEGADA A DESTINO, SIENDO ESTE EL AEROPUERTO DE LA CIUDAD DE SANTIAGO DE CHILE, AL MOMENTO DE DAR CON SUS EQUIPAJES DESPACHADOS A BODEGA DE AERONAVE, OBSERVA QUE UNO DE ESTOS SE ENCONTRABA CON EL CANDADO APERTURADO, EL CUAL FUERA COLOCADO EN LA CIUDAD DE ORIGEN DEL VUELO. ATENTO A ELLO, PROCEDE A LA APERTURA DE SU VALIJA Y LUEGO DE EFECTUAR UNA REVISION DE SU CONTENIDO, SE PERCATA DEL FALTANTE DE SU CAMARA FILMADORA.</t>
  </si>
  <si>
    <t>LA422</t>
  </si>
  <si>
    <t>PLATAFORMA COMERCIAL - PATIO DE VALIJAS - BODEGA DE AERONAVE</t>
  </si>
  <si>
    <t>UNA VEZ ARRIBADO A LAS INSTALACIONES DE ESTE MEDIO, PROCEDE A RETIRAR SUS DOS VALIJAS DESPACHADAS A BODEGA DE AERONAVE. QUE UNA VEZ QUE TOMA CONTACTO VISUAL CON LAS MISMAS, OBSERVA QUE AMBAS PRESENTABAN ROTURAS EN LOS CIERRES DEL COMPARTIMIENTO PRINCIPAL DE DICHAS VALIJAS, MOTIVO POR EL CUAL Y DE A UNA POR VEZ, PROCEDE A LA APERTURA DE AMBAS VISUALIZANDO Y CONSTATANDO EN ESE MISMO ACTO QUE SUS CONTENIDOS SE ENCONTRABAN TODOS REVUELTOS Y CON FALTANTES DE VARIAS DE SUS PERTENENCIAS.</t>
  </si>
  <si>
    <t>MILAN / ALITALIA AZ 1027</t>
  </si>
  <si>
    <t>ROMA / AEROLINEAS ARGENTINAS AR 1141</t>
  </si>
  <si>
    <t>SIENDO LAS OCHO HORAS CON VEINTE MINUTOS, SE HACE PRESENTE EN ESTA GUARDIA DE PREVENCIÓN, LA SRTA. KIFNER, SILVIA LA CUAL MANIFIESTA EL EXTRAVIO DE SU PERMISO PERSONAL AEROPORTUARIO PERMANENTE NUMERO 330273-DOZ CON VENCIMIENTO EL DIA 17/02/2011, CON INGRESO A LOS SECTORES RESTRINGIDOS 1-4-5-.</t>
  </si>
  <si>
    <t>INFRACCION AL ART. 85 DECRETO LEY 8031/73</t>
  </si>
  <si>
    <t>ISLA</t>
  </si>
  <si>
    <t>SIENDO LA HORA Y FECHA MENCIONADA, EN MOMENTOS DE ESTAR EFECTUANDO UNA RECORRIDA POR LA TERMINAL A, SECTOR ISLA, LA OFICIAL HANEMANN OBSERVA A UNA PERSONA DE SEXO MASCULINO QUE SE ENCONTRABA REALIZANDO SERVICIO DE MALETERO, CARECIENDO EL MISMO DE LA HABILITACION REQUERIDA PARA TAL FIN. POR TAL MOTIVO, SE PROCEDE AL TRASLADO DE LOS INTERVINIENTES A LA OFICINA DE CONTRAVENCIONES Y FALTAS PARA LABRAR LA CORRESPONDIENTE ACTA.</t>
  </si>
  <si>
    <t>ESTEBAN, YAMILA</t>
  </si>
  <si>
    <t>PLATAFORMA OPERATIVA, CESTO DE BASURA EN LAS PROXIMIDADES DE LA PUERTA C</t>
  </si>
  <si>
    <t>EL DIA DE LA FECHA SIENDO APROXIMADAMENTE LAS 09:30 HORAS, EL OFICIAL JEFE STOHER REALIZA COMUNICACION TELEFONICA CON EL DENUNCIANTE PARA COMUNICARLE QUE EL DIA DIECISEIS DE MAYO DEL CORRIENTE AÑO, SEGUN ACTA DE HALLAZGO INTERNA N° 71/10, SE ENCONTRARON ELEMENTOS DE SU PROPIEDAD, LOS MISMOS FUERON ENCONTRADOS POR EL SR. VICTOR GUSTAVO CHAVEZ EN UN CESTO DE BASURA EN LAS INMEDIACIONES DEL PATIO DE VALIJAS, DENTRO DE UNA BOLSA DE COLOR NEGRA. A LAS DIEZ HORAS CON TREINTA MINUTOS DE HOY , SE HACE PRESENTE EL DENUNCIANTE, Y AL MOSTRARLE LOS ELEMENTOS MENCIONADOS, MANIFIESTA QUE SON DE SU PROPIEDAD, Y QUE HABIA PENSADO QUE LOS MISMOS FUERON OLVIDADOS EN EL HOTEL DONDE SE ALOJO EN LA CIUDAD DE MAR DEL PLATA. EL DENUNCIANTE HABRIA DESPACHADO LOS ELEMENTOS SUSTRAIDOS EN EQUIPAJE DE BODEGA EN EL VUELO DE REFERENCIA. POR TAL MOTIVO DECIDE RADICAR DENUNCIA POR LA SUSTRACCIÓN DE DICHOS ELEMENTOS. POSTERIORMENTE SE REALIZA COMUNICACION CON LA AUTORIDAD JUDICIAL SIENDO ATENDIDO POR LA AUXILIAR DEL AYUDANTE FISCAL YAMILA ESTEBAN QUIEN DISPONE QUE SE LE TOME LA DENUNCIA, SE SOLICITE A LA LINEA AEREA NOMINA DEL PERSONAL DE RAMPA, SE INICIEN ACUACIONES POR HURTO, Y SE ELEVEN LAS ACTUACIONES A ESA OFICINA FISCAL, A LO QUE SE LE DA ESTRICTO CUMPLIMIENTO. POSTERIOR A ELLO SE ENVIA MEMORANDO N° 524/10 DE ORDEN INTERNO DE ESTA UOSP, A LA UNIDAD OPERACIONAL METROPOLITANA , PARA QUE SE REALICEN LAS ACTUACIONES DE RIGOR, PARA EL ESCLARECIMIENTO DEL HECHO, SIENDO RECIBIDO POR EL OF. PPAL . RODRIGUEZ</t>
  </si>
  <si>
    <t>EN RELACION A LA ORDEN DE SERVICIO NUMERO 053/10 EMITIDA POR LA UOSP DE EZEIZA, CON MOTIVO DEL TRANSITO EN VUELO DE LINEA EN EL AEROPUERTO INTERNACIONAL DE EZEIZA DEL SEÑOR PRESIDENTE DE LA REPUBLICA DEL PARAGUAY DR. FERNANDEZ LUGO MENDEZ, CUMPLO EN INFORMAR QUE EL MANDATARIO ARRIBO JUNTO A SU COMITIVA EN EL DIA DE LA FECHA A LAS OCHO HORAS TREINTA MINUTOS, EN EL VUELO DE LA EMPRESA TAM, PERMANECIENDO EN JURISDICCION DE ESTA FUERZA HASTA LAS TRECE HORAS, VEINTE MINUTOS DEL DIA DE LA FECHA, MOMENTO EN QUE EL SEÑOR PRESIDENTE Y COMITIVA HICIERON ABANDONO DE ESTE MEDIO, EMBARCANDO EL VUELO IB 6843 DE LA EMPRESA IBERIA, CULMINANDO EL OPERATIVO MONTADO AL RESPECTO, SIN NOVEDAD. PTO.-</t>
  </si>
  <si>
    <t>PZ 703</t>
  </si>
  <si>
    <t>MADRID,</t>
  </si>
  <si>
    <t>2936/10</t>
  </si>
  <si>
    <t>CUMPLO EN INFORMAR QUE LOS DETENIDOS ANA MARIA SANTILLI DE CERCACI Y NICOLAS EDUARDO CERCACI, QUIENES SE ENCONTRABAN ALOJADOS EN EL HOSPITAL ZONAL DE EZEIZA, MADRE TERESA DE CALCUTA, FUERON DADOS DE ALTA MEDICA EN EL DIA DE LA FECHA A LAS QUINCE HORAS, MOTIVO POR EL CUAL, SE MANTUVO UNA NUEVA COMUNICACION TELEFONICA CON EL DR. HERNAN PANDIELLA, TITULAR DE LA SECRETARIA NUMERO 4 DEL JUZGADO INTERVINIENTE, QUIEN PREVIA CONSULTA CON S. SA., DISPONE QUE LOS DETENIDOS SEAN TRASLADADOS AL ASIENTO DE LA JUDICATURA QUE ENTIENDE EN LA CAUSA A LAS QUINCE HORAS, CUARENTA Y CINCO MINUTOS, REALIZANDOSE DICHO TRASLADO SIN NOVEDAD.</t>
  </si>
  <si>
    <t>DR FERNANDO COSTABEL</t>
  </si>
  <si>
    <t>CABEZUELO VIVIANA S/DENUNCIA PRESUNTO ROBO EN EQUIPAJE FACTURADO</t>
  </si>
  <si>
    <t>SE CONFECCIONA EL PRESENTE A LOS EFECTOS DE INFORMAR QUE EN EL DIA DE LA FECHA A LAS 12:30 HS LOCAL SE PRESENTA EN ESTA GUARDIA DE PREVENCION LA SEÑORA VIVIANA CABEZUELO DNI 21919831 CON LA FINALIDAD DE RADICAR UNA DENUNCIA POR PRESUNTO ROBO/HURTO EN EQUIPAJE FACTURADO OCURRIDO EN EL VUELO AEROLINEAS ARGENTINA AR 2882 DEL DIA 15/05/2010.-</t>
  </si>
  <si>
    <t>2933/10</t>
  </si>
  <si>
    <t>SIENDO LAS 16 HORAS SE ESTABLECE COMUNICACION TELEFONICA CON EL DEPARTAMENTO DE INFORMOCIONES SECCION ROBOS Y HURTOS -D2- DE LA POLICIA DE LA PROVNCIA DE FORMOSA,INFORMANDONOS QUE APROXIMADAMENTE A LAS 14 HORAS QUEDAN EN LIBERTAD BAJO OFICIO Nº 716-10 DEL JUZGADO DE INSTRUCCION Y CORRECCIONAL Nº 4 ACARGO DEL DOCTOR HECTOR RICARDO SUHR , SECRETARIA DE LA DOCTORA SANDRA ADRIANA PENNICE, ORDENANDO LA EXCARCELACION BAJO CAUCION JURATORIA EN LA REFERIDA CAUSA DEL OFICIAL AYUDANTE ESCOBAR RICARDO Y ZALAZAR SANTOS DEMETRIO.ASI TAMBIEN POR GENTILEZA DEL DEPARTAMENTO MENCIONADO REMITE VIA FAX EL MENCIONADO OFICIO.</t>
  </si>
  <si>
    <t>FISCALIA FEDERAL Nº 1</t>
  </si>
  <si>
    <t>TORANZOS</t>
  </si>
  <si>
    <t>RICARDO</t>
  </si>
  <si>
    <t>DR. FERNANDO DAVALOS</t>
  </si>
  <si>
    <t>COMPARECE ANTE ESTA OFICINA DEL TURNO POLICIAL PREVENTIVO, EL SR. FRANCISCO GUMERSINDO LOPEZ SOTO, DNI 22.946.108, PARA FORMULAR UNA DENUNCIA, EL CUAL MANIFIESTA: QUE VIAJO DE SANTA CRUZ BOLIVIA EN EL VUELO Nº 250 DE LA EMPRESA AEROSUR, DESPACHANDO SU EQUIPAJE EN PERFECTO ESTADO, Y AL LLEGAR A ESTE AEROPUERTO Y AL RETIRAR EL EQUIPAJE DE LA CINTA ENCONTRO EL MISMO VIOLENTADO, CON LA CINTA ROTA Y SEMIABIERTO EL CIERRE, ADEMAS FALTABA LA CORREA QUE RODEABA EL EQUIPAJE POR LA PARTE CENTRAL, AL MOMENTO DE VERIFICAR EL CONTENIDO SE DA CUENTA QUE LE FALTABA UN TELEFONO CELULAR USADO MARCA NOKIA 6300, IMEI: 359811013219230, DE COLOR NEGRO Y GRIS.</t>
  </si>
  <si>
    <t>DRA. MARIA INES GAMBIRASSI</t>
  </si>
  <si>
    <t>MAQUINA DE RAYOS X NUMERO DOS</t>
  </si>
  <si>
    <t>SIENDO LA FECHA Y HORA ANTES MENCIONADA SE RECIBE COMUNICACION TELEFONICA POR PARTE DEL OFICIAL AVILA PROTO MIGUEL, ENCARGADO DEL PREEMBARQUE INTENACIONAL, INFORMANDO QUE AL PASAR UN PASAJERO DE SEXO MASCULINO POR EL ARCO DETECTOR DE METALES ACTIVO LA ALARMA DEL MISMO POR LO QUE EL OFICIAL LUNA LE EFECTUA UN CHEQUEO MANUAL AL MASCULINO Y OBSERVO QUE EN LA MANO DERECHA LLEBAVA UN PASTILLERO POR LO QUE LE SOLICITA QUE EXHIBA EL CONTENIDO DEL MISMO.ANTE LO CUAL EL PASAJERO LO ABRE Y MANIFIESTA QUE ERA MARIHUANA.ACTO SEGUIDO SE CONVOCAN AL LUGAR DOS TESTIGOS HABILES Y SE DIRIGEN TODOS LOS INTEVINIENTES A LA SALA DE REQUISA, SITA EN DICHO PREEMBARQUE, DONDE EL PERITO DE TURNO EFECTUO A LA SUSTANCIA UN REACTIVO MARCA NIK QUE ARROJO RESULTADO POSITIVO PARA MARIHUANA.SEGUIDAMENTE SE COMIENZA CON LAS ACTUACIONES DE RIGOR.SE AMPLIARA CON RESULTADOS DE REINCIDENCIA SEGUN P.U. 2975 SE INFORMA QUE SIENDO LAS O100 HORAS DEL DIA 18-05-2010 POR NO MEDIAR IMPEDIMENTOS LEGALES SE PROCEDE A LIBERAR AL IMPUTADO SEGUN LO ORDENADO POR LA JUDICATURA ACTUANTE.</t>
  </si>
  <si>
    <t>INFRACCION AL ARTICULO 194 DEL C.P.N.</t>
  </si>
  <si>
    <t>SECTOR DE INGRESO VEHICULAR</t>
  </si>
  <si>
    <t>ACCESO HANGARES RESTRINGIDOS DE LA EMPRESA AEROLINEAS ARGENTINAS</t>
  </si>
  <si>
    <t>SIENDO LA HORA INDICADA PERSONAL DEL PUESTO HANGARES RESTRINGIDO INFORMA SOBRE UNA MANIFESTACIÓN DE APARENTEMENTE 20 PERSONAS EN EL SECTOR MENCIONADO, QUIENES POR SU VESTIMENTA PERTENECERIAN A LA EMPRESA TODOLI HNOS., LOS CUALES SE ENCONTRABAN REALIZANDO UN RECLAMO SALARIAL IMPIDIENDO EL INGRESO DE PERSONAS DE ESA EMPRESA AL SECTOR DE HANGARES, SIN OBSTRUIR EL PASO A VEHÍCULOS, PROVEEDORES O DEMÁS PERSONAS DE OTRAS EMPRESAS. SE MANTIENE COMUNICACIÓN CON EL JUZGADO EN TURNO QUIEN DISPONE SE LABREN ACTUACIONES, CROQUIS Y PLACAS FOTOGRÁFICAS Y SE INFORME EN CASO DE QUE SE OBSTACULICE EL PASO A PERSONAS O VEHÍCULOS AJENAS A LA EMPRESA TODOLI. SE COMISIONA A PERSONAL POLICIAL DE ESTA UNIDAD A LOS EFECTOS DE CUMPLIMENTAR LAS DIRECTIVAS, IDENTIFICÁNDOSE AL SR. SERGIO MARTINO COMO QUIEN ENCABEZA LA MANIFESTACIÓN. SIENDO LAS DIECISIETE HORAS, TREINTA MINUTOS FINALIZA LA MANIFESTACIÓN SIN NOVEDAD.</t>
  </si>
  <si>
    <t>2645/10</t>
  </si>
  <si>
    <t>APERTURA DE ENCOMIENDA SOL. POLICIA DE SEGURIDAD AEROPORTUARIA.</t>
  </si>
  <si>
    <t>SE PROCEDE A LA APERTURA DE TRES ENCOMIENDAS DEL CORREO OFICIAL, SEGUN ACTA DE APERTURA Nº 252/10, CORRESPONDIENTE A LA PREV. SUM. Nº 049/10, EN VIRTUD DE LO ORDENADO MEDIANTE OFICIO JUDICIAL Nº 1317/10 DEL MAGISTRADO ACTUANTE Y EN PRESENCIA DE UN TETIGO HABIL. LA 1ª EP702480621AR, RTTE: EMILIO RAMOS, LAVALLE Nº 47-Bº 23 DE AGOSTO-ABRA PAMPA- JUJUY, Y DEST: DANIELA TOCONAS, Bº LOS PINOS- MZNA 180-LOTE 41-YACIMIENTO RIO TURBIO- CP.9407-PCIA DE SANTA CRUZ, CONTIENE: 17 PAQUETES DE HOJAS DE COCA CON UN PESO TOTAL DE 3.659 GRS. LA 2ª EP675748487AR, RTTE: MARIA C. CORVALAN, AV. CARLOS GARDEL Nº 1788, SAN PEDRITO- CP. 4600-S.S.JUJUY, Y DEST: M.FERNANDO CORVALAN, MARTIN FIERRO Nº 1050- PUERTO DESEADO-SANTA CRUZ, CONTIENE: 2 PAQUETES DE HOJAS DE COCA CON UN PESO TOTAL DE 437 GRS. LA 3ª EP701118535AR, RTTE: PAULA FABIAN, SAN A.COBRES- SALTA, Y DEST: ALEJANDRA FABIAN, ALM.GUILLERMO BROWN Nº 1685, RIO GRANDE- T.DEL FUEGO-CP.9420, CONTIENE: 2 PAQUETES DE HOJAS DE COCA CON UN PESO TOTAL DE 972 GRS. LAS ENCOMIENDAS SERAN PUESTAS A DISPOSICION DE LA ADUANA DE SALTA POR PRESUNTA INFRACCION A LA LEY 22.415, CODIGO ADUANERO, Y LAS ACTUACIONES SERAN REMITIDAS A SEDE JUDICIAL. PU ORIGINARIO Nº 2566/10 SE PROCEDE A LA RETENCION DE TRES SACAS COLECTORAS DEL CORREO OFICIAL, SEGUN CONSTA EN ACTA DE RETENCION DE CARGAS Nº 0210/10, QUE ORIGINA LA PREVENCION SUMARIA 049/10. LA PRIMER SACA IDENTIFICADA CON MARBETE Nº SLA9126039D555700RGL, PRECINTO Nº C813248, CON UN PESO 5,700 KGS, CON DESTINO A RIO GALLEGOS, LA SEGUNDA MARBETE Nº SLA 0172977E555600CRD, PRECINTO Nº C813263 CON DESTINO A COMODORO RIVADAVIA CON UN PESO DE 1,300 KGS, Y LA TERCERA MARBETE Nº SLA 9126039D55700RGL, PRECINTO Nº C813248 CON UN PESO DE 5,700 KGS CON DESTINO A RIO GALLEGOS, AMPARADAS EN GUIA AEREA Nº 9342737-5,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INTERVINIENTES Y LAS APERTURAS SE REALIZARAN EN PRESENCIA DEL PERSONAL DEL CORREO OFICIAL. AMPLIACION DEL ORIGINARIO - PU Nº 2645/10 SE PROCEDE A LA APERTURA DE TRES SACAS COLECTORAS DEL CORREO OFICIAL, MEDIDA COORDINADA PREVIAMENTE CON EL JUZGADO DE TURNO. LA 1ª SACA MARBETE Nº SLA9126039D555700RGL, CONTIENE UNA PIEZA POSTAL IDENTIFICADA COMO EP702480621AR, RTTE: EMILIO RAMOS, LAVALLE Nº 47-Bº 23 DE AGOSTO-ABRA PAMPA- JUJUY, DEST: DANIELA TOCONAS, Bº LOS PINOS- MZNA 180-LOTE 41-YACIMIENTO RIO TURBIO- CP.9407-PCIA DE SANTA CRUZ, LA MISMA QUEDA RETENIDA. LA 2ª SACA MARBETE Nº SLA 172977E555600CRD, CONTIENE UNA PIEZA POSTAL EP675748487AR, RTTE: MARIA C. CORBALAN, AV. CARLOS GARDEL Nº 1788, SAN PEDRITO- CP. 4600-S.S.JUJUY, DEST: M.FERNANDO CORBALAN, MARTIN FIERRO Nº 1050- PUERTO DESEADO-SANTA CRUZ, LA MISMA QUEDA RETENIDA. LA 3ª SACA MARBETE Nº SLA 0163144D555900RGA, CONTIENE 3 PIEZAS POSTALES IDENTIFICADAS COMO: 1ª EP675748399AR, 2ª EP698443625AR, LAS MISMAS QUEDAN LIBERADAS PARA SU REDESPACHO, LA 3ª EP701118535AR, RTTE: PAULA FABIAN, SAN A.COBRES- SALTA, DEST: ALEJANDRA FABIAN, ALM.GUILLERMO BROWN Nº 1685, RIO GRANDE- T.DEL FUEGO-CP.9420, LA MISMA QUEDA RETENIDA. LAS ENCOMIENDAS RETENIDAS QUEDAN EN GUARDA EN EL DEPOSITO JUDICIAL DE ESTA UNIDAD A LA ESPERA DEL OFICIO QUE AUTORICE SU APERTURA</t>
  </si>
  <si>
    <t>INFRACCION AL ART. 189 BIS DEL CPN</t>
  </si>
  <si>
    <t>CONFITERIA AIR COFFE</t>
  </si>
  <si>
    <t>EN CIRCUNSTANCIAS QUE SE LLEVABA A CABO A TRAVES DE LA MAQUINA DE RAYOS X, EL CONTROL DE EQUIPAJES DE MANO DE PASAJEROS EN EL PUESTO DE MENCION, EL OPERADOR OBSERVA A TRAVES DE LA PANTALLA, QUE EN EL INTERIOR DE UN BOLSO ERA HABIDO UN OBJETO DE SIMILARES CARACTERISTICAS A LAS DE UN ARMA DE FUEGO TIPO PISTOLA. EN ESTE CONTEXTO EL OPERADOR DETIENE EL ANDAR DE LA MAQUINA DE RAYOS X DEBIDO AL INTENSO FLUJO DE PASAJEROS, CON EL FIN DE IDENTIFICAR AL PROPIETARIO DEL EQUIPAJE EN CONFLICTO, Y PROCEDE A CONSULTARLE A LAS PERSONAS QUE SE ENCONTRABAN EN LAS ADYACENCIAS DE LA MAQUINA, QUIEN ERA EL PROPIETARIO DEL BOLSO EN CUESTION, POR LO QUE PROCEDE A CONSULTAR A UN PASAJERO QUE HABRIA SIDO EL PROPIETARIO DEL BOLSO INSPECCIONADO, SOLICITANDOLE QUE SE SOMETA NUEVAMENTE AL CONTROL DE MAQUINA DE RAYOS, ARROJANDO QUE EL MISMO NO ERA EL QUE POSEIA EL ELEMENTO SIMIL AL ARMA DE FUEGO. QUE LUEGO DE REALIZAR UNA INTENSA BUSQUEDA POR LOS SECTORES RESTRINGIDOS DE LA TERMINAL Y CON REFUERZO DEL C.O.C., SE LOGRA DAR EN EL LOCAL AIR COFFE, FRENTE A LA SALA DE EMBARQUE 05 DE LA TERMINAL A,SE LOGRA DAR AL PASAJERO EN CUESTION Y SU BOLSO. A TAL EVENTO, EN PRESENCIA DE TESTIGOS, SE PROCEDE EN APLICACION AL ART. 184 - 230 BIS DEL CPPN, A LA REQUISA DEL BOLSO EN CUESTION, HALLANDO EN EL COMPARTIMIENTO PRINCIPAL, DENTRO DE UN ESTUCHE UN ARMA DE FUEGO ENVUELTA EN UNA BOLSA DE NYLON. QUE MANTENIDA COMUNICACION TELEFONICA CON EL JUZGADO INTERVINIENTE, DISPUSO LA DETENCION DEL CAUSANTE, SE PROCEDA AL SECUESTRO DEL ARMA EN CUESTION, SE REALICEN ACTUACIONES DE RIGOR, QUE UNA VEZ FINALIZADA LAS MISMAS SE TRASLADE AL DETENIDO A LA UNIDAD 28 DEL SPF Y SE ELEVE TODO LO ACTUADO A PRIMERA HORA DEL DIA 18 DEL CORRIENTE A SEDE JUDICIAL. SEGUN PU Nº 2976, SE INFORMA QUE SIENDO LAS 03.00 HS, SE PROCEDE AL TRASLADO DEL DETENIDO A LA UNIDAD 28 DEL SPF.</t>
  </si>
  <si>
    <t>300 METROS APROXIMADANENTE DEL INGRESO AL AEROPUERTO</t>
  </si>
  <si>
    <t>SECTOR NORTE</t>
  </si>
  <si>
    <t>EN EL DIA DE LA FECHA SIENDO HORAS 21:30 REALIZANDO RECORRIDO PERIMETRAL DE RUTINA LOS OF. AYTE BARRAZA Y OF. PPAL GARCIA DETECTARON EL FALTANTE DE 2 PAÑOS Y 1/2 DE TELA METALICA ROMBOIDAL CON LA TOTALIDAD 7 1/2 METROS APROX. EN EL SECTOR NORTE ZONA CEMENTERIO DEL COCHUCHAL PASANDO LA ACEQUIA DE RIEGO. SE PROCEDE A EFECTUAR RASTRILLAJE EN ZONA ALEDAÑA E INSPECCION VISUAL DEL SECTOR BUSCANDO INDICIOS QUE AYUDEN A ESCLARECER EL HECHO ARROJANDO ESTOS RESULTADOS NEGATIVOS. SE REALIZA COMUNICACION CON EL JUZADO DE TURNO QUIEN ORDENA SE LABREN LAS ACTUACIONES DE RIGOR CON SU POSTERIOR ELEVACION</t>
  </si>
  <si>
    <t>2968/10</t>
  </si>
  <si>
    <t>SIENDO LAS 00:10 HS SE PROCEDE A LA LIBERACION DEL DETENIDO SEGUN LO DISPUESTO POR LA JUDICATURA ACTUANTE, Y POR NO MEDIAR IMPEDIMENTO LEGAL SEGUN RESULTADOS DEL REGISTRO NACIONAL DE REINCIDENCIA. SIN NOVEDAD.</t>
  </si>
  <si>
    <t>2973/10</t>
  </si>
  <si>
    <t>1/16 PRIMER PISO TERMINAL A</t>
  </si>
  <si>
    <t>QUE SIENDO LAS TRES HORAS SE PROCEDE AL TRASLADO DEL DETENIDO EN AUTOS A LA UNIDAD 28 DEL SPF.</t>
  </si>
  <si>
    <t>INFRACCION AL ART. 78 DECRETO LEY 8031/73</t>
  </si>
  <si>
    <t>SIENDO LA FECHA Y HORA ANTES MENCIONADA, EN MOMENTOS EN QUE LOS OFICIALES SACOR Y LONGHINI SE ENCONTRABAN EN UNA RECORRIDA POR EL SECTOR CITADO CON ANTERIORIDAD, OBSERVAN Y SORPRENDEN A UNA PERSONA DE SEXO MASCULINO, LA CUAL SE ENCONTRABA OFRECIENDO SERVICIO DE TRANSPORTE PUBLICO A VIVA VOZ A LOS PASAJEROS FUERA DE LOS LUGARES HABILITADOS PARA TAL FIN, POR LO CUAL SE PROCEDE AL TRASLADO DE LOS INTERVINIENTES A LA OFICINA DE CONTRAVENCIONES Y FALTAS PARA LABRAR LA CORRESPONDIENTE ACTA.</t>
  </si>
  <si>
    <t>CARDONA, JONATAN DAVID S/DAÑOS: DTE. CABALLERO HECTOR RICARDO</t>
  </si>
  <si>
    <t>ACTA DEJANDO CONSTANCIA 15/2010</t>
  </si>
  <si>
    <t>INFORMO, EN EL DIA DE LA FECHA, DURANTE UN CONTROL DE RUTINA EN EL SECTOR DE PREEMBARQUE DEL VUELO N° AR-2853, DE LA EMPRESA AEROCOMERCIAL AUSTRAL LÍNEAS AÉREAS, SE INDIVIDUALIZA E IDENTIFICA AL CIUDADANO DAVID JONATAN CARDONA, D.N.I. N° 29.936.664, SOBRE QUIEN PESA UNA SOLICITUD DE AVERIGUACIÓN DE PARADERO, SEGÚN RADIOGRAMA NRO. 33/06 O.C.P.A.T.F. PROVENIENTE DE LA OFICINA CONVENIO POLICIAL ARGENTINO DE LA POLICÍA DE LA PROVINCIA DE TIERRA DEL FUEGO, DE FECHA 22/02/2006, EN RELACIÓN A LA CAUSA Y JUZGADO DE REFERENCIA, REGISTROS DE RED LINCE Nº 242906 Y Nº 242958. SE PROMUEVE CONSULTA TELEFÓNICA ANTE EL JUZGADO INTERVINIENTE, EN LA PERSONA DE SU SECRETARIO DR. BALLESTRERO, MANIFESTANDO QUE LA MEDIDA SE ENCUENTRA SIN EFECTO, POR LO QUE EL CAUSANTE SE RETIRA DEL TURNO DE PREVENCIÓN, CONTINUANDO SU VIAJE CON NORMALIDAD, REALIZÁNDOSE ACTA DEJANDO CONSTANCIA NRO. 15/2010.</t>
  </si>
  <si>
    <t>AR-2853</t>
  </si>
  <si>
    <t>USHAUIA - TDF</t>
  </si>
  <si>
    <t>SIENDO LA FECHA Y HORA ANTES MENCIONADA, EN MOMENTOS EN QUE LOS OFICIALES ZUMPANO Y FERNANDEZ SE ENCONTRABAN EN UNA RECORRIDA POR EL SECTOR MENCIONADO CON ANTERIORIDAD, OBSERVARON Y SORPRENDIERON A UNA PERSONA DE SEXO MASCULINO, LA CUAL SE ENCONTRABA OFRECIENDO SERVICIO DE TRANSPORTE PUBLICO A VIVA VOZ A LOS PASAJEROS SIN POSEER LA CORRESPONDIENTE HABILITACION, POR LO CUAL PREVIA REVISION MEDICA Y EN PRESENCIA DEL TESTIGO HABIL, SE PROCEDE AL TRASLADO DE LOS INTERVINIENTES A LA OFICINA DE CONTRAVENCIONES Y FALTAS DONDE SE LABRA LA CORRESPONDIENTE ACTA Y SE COMIENZA CON LAS ACTUACIONES DE RIGOR.</t>
  </si>
  <si>
    <t>PUERTAS AUTOMATICAS DE LA PERGOLA DE ARRIBOS</t>
  </si>
  <si>
    <t>SIENDO LA FECHA Y HORA ANTES MENCIONADA, EN MOMENTOS EN QUE EL OFICIAL GUZZO SE ENCONTRABA CUMPLIENDO SERVICIO DE GUARDIA EN EL SECTOR MENCIONADO CON ANTERIORIDAD,OBSERVA Y SORPRENDE A UNA PERSONA DE SEXO MASCULINO LA CUAL SE ENCONTRABA OFRECIENDO SERVICIO DE TRANSPORTE PUBLICO A VIVA VOZ A LOS PASAJEROS SIN POSEER LA CORRESPONDIENTE HABILITACION, POR LO CUAL PREVIA REVISION MEDICA Y EN PRESENCIA DEL TESTIGO HABIL SE PROCEDE AL TRASLADO DE LOS INTERVINIENTES A LA OFICINA DE CONTRAVENCIONES Y FALTAS DONDE SE LABRA LA CORRESPONDIENTE ACTA Y SE COMIENZA CON LAS ACTUACIONES DE RIGOR.</t>
  </si>
  <si>
    <t>HALL ARRIBOS SECTOR A2</t>
  </si>
  <si>
    <t>SIENDO LAS 11.30 HS SE RECIBE COMUNICACION RADIAL DEL OF. GUZZANTI INFORMANDO SOBRE EL HALLAZGO DE UNA CAJA DE CARTON BLANCO UBICADA SOBRE EL PISO DEBAJO DE UNA MESA DEL BAR DENOMINADO BELLINI, UBICADO EN HALL SECTOR PUBLICO A2, NO PUDIENDO PRECISAR SU ORIGEN, POR LO CUAL SE INICIA PROCEDINIENTO CON OFICIAL SCORTIO GUILLERMO DEL GEDEX, EN PRESENCIA DE BOMBEROS P.F.A. Y PERSONAL DE EMERGER, FINALIZANDO EL MISMO A LAS 11.48 HS SIN NOVEDAD. SE REALIZA ACTA DE HALLAZGO NUMERO 1149/10.-</t>
  </si>
  <si>
    <t>INFRACCION AL ART 85 DEC LEY 8031/73</t>
  </si>
  <si>
    <t>SIENDO LA FECHA Y HORA ANTES MENCIONADA, EN MOMENTOS EN QUE LOS OFICIALES VILA JOAQUIN Y VILA MARIANO SE ENCONTRABAN EN UNA RECORRIDA POR EL SECTOR MENCIONADO CON ANTERIORIDAD, OBSERVAN Y SORPRENDEN A UNA PERSONA DE SEXO MASCULINO, LA CUAL SE ENCONTRABA REALIZANDO SERVICIO DE MALETERO A LOS PASAJEROS SIN POSEER LA CORRESPONDIENTE HABILITACION, POR LO CUAL PREVIA REVISION MEDICA, SE PROCEDE AL TRASLADO DE LOS INTERVINIENTES A LA OFICINA DE CONTRAVENCIONES Y FALTAS DONDE SE LABRA LA CORRESPONDIENTE ACTA Y SE COMIENZA CON LAS ACTUACIONES DE RIGOR.</t>
  </si>
  <si>
    <t>DR MAXIMILIANO DAVIES</t>
  </si>
  <si>
    <t>TERMINAL DE CARGAS, SECTOR CARGAS AEREAS - LAN</t>
  </si>
  <si>
    <t>EN EL DIA DE LA FECHA SE PRESENTO ANTE EL SERVICIO DE GUARDIA PREVENTIVA MANIFESTANDO EL DENUNCIANTE QUE SIENDO LAS 08:30HS APROXIMADAMENTE DEL DÍA DE LA FECHA SE ENCONTRABA EJERCIENDO SU PRESTACIÓN LABORAL CORRESPONDIENTE A LA EMPRESA OCA SRL EN EL SECTOR DE CARGAS DE ESTA AEROESTACIÓN A LOS FINES DE RETIRAR UNA CARGA PROVENIENTE DE BUENOS AIRES ( AEROPUERTO JORGE NEWBERY) EN EL VUELO 4200 DE LAN ARGENTINA . EN LA CUAL DENTRO DE LA TOTALIDAD DEL CONTENIDO DE LA MENCIONADA CARGA, UNO DE ESTOS BULTOS, CARACTERIZADO COMO UNA CAJA DE CARTÓN RECTANGULAR DE APROXIMADAMENTE 50 CM DE ANCHO POR 40 CM DE LARGO POR 30 CM DE ALTURA, SE PRESENTABA ROTA, CON LA CINTA DE EMBALAJE DAÑADA, Y CON UN CORTE EN LA PARTE LATERAL DE LA MISMA, ADEMÁS AL REALIZAR EL PESAJE LUEGO DEL ARRIBO LA MISMA PRESENTÓ UNA DIFERENCIA RESPECTO DE SU PESO ASENTADO ANTES DE LA PARTIDA DE SU LUGAR DE ORIGEN, PARTIÓ CON UN PESO DE 7,480 KG Y EN SU PESAJE POSTERIOR AL ARRIBO ARROJÓ UN PESAJE DE 6,450 KG. ACTO SEGUIDO SE DIO PARTICIPACION AL JUZGADO FEDERAL DE TURNO QUIEN ORDENO SE INICIEN LAS ACTUACIONES SUMARIALES NRO. 23/10 CARATULADAS DAÑO Y AL FINALIZAR LAS MISMAS SEAN ELEVADAS PARA LA PROSECUCION DEL TRAMITE.</t>
  </si>
  <si>
    <t>2876/10</t>
  </si>
  <si>
    <t>SE RECEPCIONA NOTA DEL JEFE DE LA UNIDAD ESPECIAL DE INVESTIGACIONES Y PROCEDIMIENTOS JUDICIALES CORRIENTES DE GENDARMERIA NACIONAL ARGENTINA SEGUNDO COMANDANTE MARCELO A. MAGGIOLO. INFORMANDO QUE SE CONCRETO LA INTERDICCION DE CASI 6,00 KGS DE MARIHUANA, EL SECUESTRO DEL VEHICULO MARCA PEUGEOT MODELO PARTNER DOMINIO COLOCADO GTE 394, UN COMPRESOR DE COLOR NARANJA MARCA NIWA, MODELO ANW2/24-VOLTA 220 50 HZ POWER 2HP SEED 2850 PM, PRESSURE 8 BAR CAPACITY 198 L/MM TANK 24 L YEAR, Y LA DETENCION DEL CONDUCTOR DEL RODADO QUIEN SERIA WALTER OSCAR VALLEJOS DNI Nº 20.922.834 DE 40 AÑOS DE EDAD DOMICILIADO EN BARRIO NUEVO 169 VIVIENDAS CORRIENTES. DESDE LA INVESTIGACION EN LA CAUSA JUDICIAL MENCIONADA. COPIA DE CERTIFICADO DE RECONOCIMIENTO A LA LABOR REALIZADA POR PARTE DE PERSONAL Y CAN ANTINARCOTICOS DE ESTA UNIDAD OPERACIONAL. Y COPIA DE NOTA Nº 060-4008/05 DONDE SOLICITA COLABORACION DE ESTA UNIDAD OPERACIONAL PARA EL USO DE EQUIPO DE RAYOS X. DANDO POR FINALIZADO PARTE URGENTE Nº 2876 DE FECHA 13/MAY/10</t>
  </si>
  <si>
    <t>1972/10</t>
  </si>
  <si>
    <t>SE PROCEDE A LA APERTURA DE TRES ENCOMIENDAS DEL CORREO OFICIAL SEGUN ACTA DE APERTURA Nº 253/10, PREV.SUM. Nº 035/10, EN VIRTUD DE LO ORDENADO EN OFICIO JUDICIAL Nº 612/10, DEL MAGISTRADO ACTUANTE Y EN PRESENCIA DE UN TESTIGO HABIL. LA 1RA EP704670889AR, RTTE: CANCHI JUAN DAVID, ALBERDI 444, ORAN-SALTA, CP 4530, Y DEST: CANCHI NESTOR, BS. AS. Nº 151, EL CALAFATE, SANTA CRUZ, CP 9405, CONTIENE: DOS PAQUETES DE HOJAS DE COCA CON UN PESO TOTAL DE 1.000 GRS. Y NUEVE SOBRES DE HIERBAS MEDICINALES DE INDUSTRIA BOLIVIANA. LA 2ª EP684829467AR, RTTE: MENDEZ CESAR ALBERTO, MZA 15, LOTE 2, Bº C. VERDE, S.S.JUJUY, CP 4600, Y DEST: MENDEZ TEODORO, POSTE RESTANTE, OFICINA CORREO, PUERTO DE SANTA CRUZ, CP 9300, CONTIENE: DOS PAQUETES DE HOJAS DE COCA CON UN PESO TOTAL DE 500 GRS. Y LA 3ª EP858101865AR, RTTE: CORONEL RUBEN, Bº BELGRANO, J. MORO 350, JUJUY, Y DEST: URSAGAZTI ELENA, AV. LOS MINEROS 1437, Bº DON BOSCO, CASA Nº 70- KIOSCO CRI- SA RU - RIO TURBIO, SANTA CRUZ, CP 9407, CONTIENE: QUINCE PAQUETES DE HOJAS DE COCA CON UN PESO TOTAL DE 3.600 GRS. LAS ENCOMIENDAS SERAN PUESTAS A DISPOSICION DE LA ADUANA DE SALTA POR SUPUESTA INFRACCION A LA LEY 22.415, CODIGO ADUANERO, Y LAS ACTUACIONES SERAN REMITIDAS A SEDE JUDICIAL. PARTE ORIGINARIO Nº 1924/10 SE PROCEDE A LAS RETENCIONES DE DOS SACAS COLECTORAS DEL CORREO OFICIAL SEGUN CONSTA EN ACTA DE RETENCION DE CARGAS Nº 0165/10, QUE ORIGINA LA PREVENCION SUMARIA Nº 035/10, LA PRIMERA SACA IDENTIFICADA CON MARBETE SLA0169042E555700RGL, PRECINTO Nº B034071, CON UN PESO DECLARADO DE 11,100 KGS, CON DESTINO LA CIUDAD DE RIO GALLEGOS, LA SEGUNDA SACA IDENTIFIOCADA CON PRECINTO Nº B034002, SIN MARBETE SIN PESO DECLARADO Y SIN DESTINO. AMPARADAS EN GUIA AEREA Nº 9327960-5, LAS QUE SERIAN DESPACHADAS A TRAVES DE LA EMPRESA DE CARGA AEREA JET-PAQ, LAS RETENCIONES SE REALIZAN ANTE LA PRESUNCION DE QUE PUDIERAN CON TENER ALGUN ELEMENTO EN INFRACCION A LAS LEYES 22.415 Y/O 23.737, QUEDANDO LAS MISMAS CERRADAS Y PRECINTADAS EN GUARDA EN ESTA UOSP. SE COMUNICO TELEFONICAMENTE CON EL JUZGADO INTERVINIENTE Y LAS APERTURAS SE REALIZARAN EN PRECENCIA DEL PERSONAL DEL CORREO OFICIAL. AMPLIACION PARTE ORIGINARIO PU Nº 1972/10 SE PROCEDE A LA APERTURA DE DOS SACAS COLECTORAS DEL CORREO OFICIAL SEGUN ACTA DE RETENCION DE CARGAS Nº 0165/10, PREV.SUM. Nº 035/10, LA 1RA SACA MARBETE SLA0169042E555700RGL, PRECINTO Nº B034071, CONTIENE TRES PIEZAS POSTALES IDENTIFICADAS COMO 1° EP704670889AR,RTTE: CANCHI JUAN DAVID, ALBERDI 444, ORAN-SALTA, CP 4530, DEST: CANCHI NESTOR, BS AS N 151, EL CALAFATE, SANTA CRUZ, CP 9405, LA CUAL QUEDA RETENIDA. LA 2 Y 3 EP656098585AR Y EP666289553AR, SON LIBERADAS PARA SU REDESPACHO. LA 2 SACA, MARBETE EP6884829467AR, CONTIENE CINCO PIEZAS POSTALES, LA 1 EP684829467AR, RTTE: MENDEZ CESAR ALBERTO, MZA 15, LOTE 2, B C. VERDE, S.S.JUJUY, CP 4600, DEST: MENDEZ TEODORO , POSTE RESTANTE, OFICINA CORREO, PUERTO DE SANTA CRUZ, CP 9300, LA 2 EP858101865AR, RTTE: CORONEL RUBEN, B BELGRANO, J. MORO 350, JUJUY, DEST: URSAGAZTI ELENA, AV. LOS MINEROS 1437, B DON BOASCO, CASA N 70- KIOSCO CRI- SA RU - RIO TURBIO, SANTA CRUZ, CP 9407, LAS CUALES QUEDAN RETENIDAS. 3,4,5 EP669757502AR, EP691905549AR Y EP698124269AR SON LIBERADAS PARA SU REDESPACHO. LASENCOMIENDAS RETENNIDAS QUEDAN EN GUARDA EN EL DEPOSITO JUDICIAL DE ESTA UNIDAD A LA ESPERA DEL OFICIO JUDICIAL QUE AUTORICE SU APERTURA.</t>
  </si>
  <si>
    <t>salta - capital</t>
  </si>
  <si>
    <t>SE AMPLIA PARTE RESERVADO Nº 2890 DE FECHA 14 DE MAYO DE 2010, RELACIONADO CON LA CAUSA 907/09, CARATULADA SANCHEZ YANINA MARIEL S/AMENAZA, TRAMITADA ANTE EL JUZGADO FEDERAL DE SALTA Nº 1 A CARGO DEL DR. JULIO LEONARDO BAVIO, SECRETARIA PENAL Nº 2 A CARGO DEL DR. SANTIAGO FRENCH. REFERENTE AL INFORME PRESENTADO EL DIA 14 DE MAYO DE 2010 AL TRIBUNAL SOBRE LA IDENTIDAD DEL MASCULINO QUE APARECIA EN LAS FILMACIONES OBRANTES EN LA CAUSA JUNTO A YANINA SANCHEZ. EN EL DIA DE LA FECHA EL DR. FRENCH MINIFESTO QUE LA CAUSA FUE SOLICITADA A LA CAMARA Y UNA VEZ OBTENIDA, EL JUEZ LIBRARA OFICIO PARA REALIZARLE UNA SITACION AL MASCULINO DE NOMBRE RUBEN DARIO TURLIONE, DNI Nº 22.214.348 A LOS EFECTOS DE TOMARLE DECLARACION INDAGATORIA. EN CASO DE NO PRESENTARSE EL DIA Y HORA A ESTABLECER, SE LIBRARA ORDEN PARA QUE COMPARESCA POR MEDIO DE LA FUERZA PUBLICA. SE AMPLIARA A POSTERIOR DE ACUERDO A LO QUE S.S. ORDENE CUMPLIMENTAR. PARTE INICIAL SIPAP 0031/09 DONDE SE INFORMA INICIO DE TAREAS INVESTIGATIVAS PARA DAR CON LOS AUTORES DE AMENAZA TELEFONICA DE BOMBA A LA EMPRESA LAN ARG ESCALA SALTA EL 24/11/09</t>
  </si>
  <si>
    <t>POSICION Nº 13</t>
  </si>
  <si>
    <t>EN EL DIA DE LA FECHA SE DIO CUMPLIMIENTO A LA ORDEN DE SERVICIO Nº 055/10 REFERENTE A LA PARTIDA DEL S.A. SHEIK DOCTOR SULTAN BIN CALIFA ALNEHAYAN DEL ESTADO DE EMIRATOS ARABES UNIDOS Y COMITIVA EN UN VUELO PRIVADO CON DESTINO A LA CIUDAD DE DAKAR, EL OPERATIVO FINALIZO SIN NOVEDAD.-</t>
  </si>
  <si>
    <t>Emiratos Árabes Unidos</t>
  </si>
  <si>
    <t>SE PROCEDE A LA APERTURA DE TRES ENCOMIENDAS DEL CORREO OFICIAL SEGUN CONSTA EN ACTA DE APERTURA Nº 254/10, PREV. SUM. Nº 045/10, EN VIRTUD DE LO ORDENADO EN OFICIO JUDICIAL Nº 1319/10, DEL MAGISTRADO ACTUANTE Y EN PRESENCIA DE UN TESTIGO HABIL. LA 1ª EP702480595AR, RTTE. SRA. RODRIGUEZ SANDRA, ENTRE RIOS ESQUINA 5 Nº 400, ABRA PAMPA, JUJUY, CP. 4640, Y DEST. SRA. RODRIGUEZ JUANA SOLEDAD, CALLE Nº 7 Nº 766, Bº BONACINA, PEDRO LURO BAHIA BLANCA, CP. 8148, CONTIENE: DOS PAQUETES DE HOJAS DE COCA CON UN PESO TOTAL DE 987 GRS. LA 2ª EP669756864AR, RTTE, SRA. ROSALIA RAMOS, BELGRANO Nº 318, LA QUIACA JUJUY, CP. 4650, Y DEST. SR. MARCELO GODOY, CORREO CENTRAL, PEDRO LURO BS. AS., CP. 8148, CONTIENE: DIEZ PARES DE ZAPATILLAS. Y LA 3ª EP698118918AR, SE REALIZO LA APERTURA EL DIA 30/04/10 EN PRESENCIA DE SU PROPIETARIA SRA. MARIA DE LOS ANGELES FLORES, DNI 25.159.988, SEGUN CONSTA EN ACTA DE APERTURA DE CARGAS Nº 212/10, INFORMADO EN PU Nº 2576/10, LA MISMA FUE ENTREGADA AL CORREO OFICIAL PARA SU REDESPACHO POR NO SER DE INTERES PARA EL PROCEDIMIENTO. LAS ENCOMIENDAS SECUESTRADAS SERAN PUESTAS A DISPOSICION DE LA ADUANA DE SALTA POR SUPUESTA INFRACCION A LA LEY 22.415, CODIGO ADUANERO, Y LAS ACTUACIONES REMITIDAS A SEDE JUDICIAL. PARTE ORIGINARIO 2445/10 SE PROCEDE A LA RETENCION DE DOS SACAS COLECTORAS DEL CORREO OFICIAL, SEGUN CONSTA EN ACTA DE RETENCION DE CARGAS Nº 198/10, QUE ORIGINA LA PREVENCION SUMARIA Nº 045/10. LA 1ª SACA IDENTIFICADA CON MARBETE Nº SLA0170677E606000BHI, PRECINTO Nº Y736542 CON UN PESO DE 6,400 KGS, CON DESTINO A BAHIA BLANCA Y LA 2ª IDENTIFICADA CON MARBETE Nº SLA0172959E555600SRD, PRECINTO Nº A541248, CON UN PESO DE 10,600 KGS, CON DESTINO A COMODORO RIVADAVIA, AMPARADAS EN GUIA AEREA Nº 93412678-2, LAS QUE SERIAN DESPACHADAS ATRAVES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 PARTE Nº 2475/10 (AMPLIACION) SE PROCEDE A LA APERTURA DE DOS SACAS COLECTORAS DEL CORREO OFICIAL SEGUN CONSTA EN ACTA DE RETENCION DE CARGAS Nº 198/10, CORRESPONDIENTE A LA PREVENCION SUMARIA Nº 045/10, LA PRIMERA SACA IDENTIFICADA COMO SLA0170677E606000BHI, PRECINTO Nº Y7365421, CONTIENE DOS PIEZAS POSTALES, LA PRIMERA IDENTIFICADA COMO EP702480595AR, RTTE. SRA. RODRIGUEZ SANDRA DOMICILIO ENTRE RIOS ESQUINA 5 Nº 400, ABRA PAMPA, JUJUY, CP. 4640, DTTRIO. SRA. RODRIGUEZ JUANA SOLEDAD, DOMICILIO CALLE Nº 7 Nº 766, Bº BONACITA, PEDRO LURO BAHIA BLANCA, CP. 8148, LA CUAL QUEDA RETENIDA. LA SEGUNDA IDENTIFICADA COMO EP669756864AR, RTTE, SRA. ROSALIA RAMOS DOMICILIO, BELGRANO Nº 318, LA QUIACA JUJUY, CP. 4650, DTTRIO. SR. MARCELO GODOY CORREO CENTRAL, PEDRO LURO BS. AS., CP. 8148, LA CUAL QUEDA RETENIDA. LA SEGUNDA SACA IDENTIFICADA COMO,SLA172959E555600CRD, PRECINTO Nº A541248, CONTIENE UNA PIEZA POSTAL IDENTIFICADA COMO EP69811891AR, RTTE. SRA. MARIA FLORES DOMICILIO Bº SANTA CECILIA MZ. LCQ SALTA CAPITAL, CP. 4400, DTTRIO. SRA. SUSANA FLORES DOMICILIO OHIGGINS Nº 1830, PERITO MORENO SANTA CRUZ, CP. 9040, LA CUAL QUEDA RETENIDA Y EN DEPOSITO JUDICIAL EN ESTA UNIDAD A LA ESPERA DEL OFICIO JUDICIAL QUE AUTORICE SU APERTURA.</t>
  </si>
  <si>
    <t>DRA.MARIA INES GAMBIRASSI</t>
  </si>
  <si>
    <t>PUNTO DE INGRESO Y EGRESO DEL PERSONAL QUE SE DESEMPEÑA EN LOS HANGARES.</t>
  </si>
  <si>
    <t>SIENDO LA FECHA Y HORA ANTES MENCIONADA, EN MOMENTOS DE ESTAR DESARROLLÁNDOSE UN OPERATIVO DE CONTROL DE RUTINA EN EL PUNTO DE INGRESO Y EGRESO DEL PERSONAL QUE SE DESEMPEÑA EN EL SECTOR DE HANGARES, DENOMINADO PUESTO BRAVO, AL INGRESAR EL PERSONAL DE LA EMPRESA AEROLÍNEAS ARGENTINAS, UNO DE LOS EMPLEADOS PASO SU BOLSO POR LA MAQUINA DE RAYOS SCAN VAN Y AL EFECTUARLE UN CHEQUEO MANUAL EL OFICIAL MOHAMED CRISTIAN, NOTO UNA PROTUBERANCIA EN EL BOLSILLO DERECHO DELANTERO DE SU PANTALÓN POR LO QUE LE SOLICITO QUE EXHIBA EL CONTENIDO RESULTANDO SER ESTE UNA BOLSITA DE NYLON, LA CUAL CONTENÍA EN SU INTERIOR UNA SUSTANCIA COLOR VERDE DE CONSISTENCIA PASTOSA. SEGUIDAMENTE, AL PREGUNTARLE POR EL ORIGEN DE LA SUSTANCIA, EL CAUSANTE MANIFESTÓ QUE SE TRATABA DE MARIHUANA. ACTO SEGUIDO SE CONVOCAN AL LUGAR DOS TESTIGOS HÁBILES. UNA VEZ ARRIBADOS AL LUGAR LOS TESTIGOS, EL CAUSANTE Y PERSONAL POLICIAL SE DIRIGEN HACIA LA OFICINA UBICADA EN DICHO PUESTO, MINUTOS DESPUES SE PRESENTO LA PERITO DE TURNO Y EFECTUO A LA SUSTANCIA UN REACTIVO QUIMICO MARCA NIK EL CUAL ARROJO RESULTADO POSITIVO PARA MARIHUANA. SIENDO LAS 22:50 HORAS, SE ENTABLO COMUNICACIÓN TELEFONICA CON LA JUDICATURA INTERVINIENTE. FINALMENTE SE COMENZÓ CON LAS ACTUACIONES DE RIGOR. SE AMPLIARA CON RESULTADO DE REINCIDENCIA. SEGUN P.U. Nº 3005 EL IMPUTADO ES LIBERADO YA QUE EL MISMO NO POSEE IMPEDIMENTOS LEGALES, SE RETIRA POR SUS PROPIOS MEDIOS CON LOS ELEMENTOS PERSONALES QUE ESTABAN EN RESGUARDO DE LA UNIDAD.</t>
  </si>
  <si>
    <t>SE PROCEDE A LA RETENCIÓN DE DOS SACAS COLECTORAS DEL CORREO OFICIAL, SEGÚN CONSTA EN ACTA DE RETENCIÓN DE CARGAS Nº 0255/10, QUE ORIGINA LA PREVENCIÓN SUMARIA 058/10, LA 1ª SACA IDENTIFICADA CON MARBETE SLA0168916E636300NQN, PRECINTO Nº C797821, CON UN PESO DECLARADO DE 4,300 KGS, CON DESTINO A LA CIUDAD DE NEUQUEN, CONTIENE UNA PIEZA POSTAL, LA 2ª SIN MARBETE IDENTIFICADA CON PRECINTO Nº C481797, SIN PESO NI DESTINO DECLARADO, CONTIENE DOS PIEZAS POSTALES. LAS MISMAS SERIAN DESPACHADAS A TRAVÉS DE LA EMPRESA DE CARGA AÉREA JET PAQ. LA RETENCIÓN SE REALIZA ANTE LA PRESUNCIÓN DE QUE PUDIERAN CONTENER ALGÚN ELEMENTO EN INFRACCIÓN A LA LEY 23.737 Y/O 22.415, QUEDANDO LAS MISMAS CERRADAS Y PRECINTADAS EN GUARDA EN ESTA UOSP. SE COMUNICO TELEFÓNICAMENTE AL JUZGADO INTERVINIENTE, Y LA APERTURA SE REALIZARA EN PRESENCIA DEL PERSONAL DEL CORREO OFICIAL. SEGÚN AMPLIACION PU Nº 3039/10 SE PROCEDE A LA APERTURA DE DOS SACAS COLECTORAS DEL CORREO OFICIAL SEGÚN CONSTA EN ACTA DE RETENCIÓN DE CARGAS Nº 0255/10, QUE ORIGINA LA PREVENCIÓN SUMARIA Nº 058/10, LA SACA IDENTIFICADA CON MARBETE Nº SLA0168916E636300NQN, PRECINTO Nº C797821, CON UN PESO DECLARADO DE 4,300 KGS. CONTIENE 01 PIEZA POSTAL IDENTIFICADA COMO EP661585157AR, QUEDA RETENIDA, LA 2º SACA SIN MARBETE NI PESO DECLARADO, CON PRECINTO Nº V481797, CONTIENE DOS PIEZAS POSTALES, LA 1º EP661585174AR, QUEDA RETENIDA Y LA 2º EP679570025AR, ES ENTREGADA AL SR. ARIAS NÉSTOR RUBÉN PARA SU REDESPACHO, QUEDANDO LAS MISMAS CERRADAS Y PRECINTADAS EN ESTA UOSP. SE COMUNICO TELEFÓNICAMENTE AL JUZGADO INTERVINIENTE Y LAS APERTURAS SE REALIZARAN CON LA AUTORIZACIÓN DEL MAGISTRADO ACTUANTE.</t>
  </si>
  <si>
    <t>3003/10</t>
  </si>
  <si>
    <t>TERMINAL SUR- PUNTO DE INGRESO Y EGRESO DEL PERSONAL QUE SE DESEMPEÑA EN LOS HANGARES.</t>
  </si>
  <si>
    <t>SIENDO LAS 08:15 HORAS SE REALIZA NUEVA COMUNICACION CON LA DRA. MARIA INES GAMBIRASSI A CARGO DE LA SECRETARIA Nº 01 DEL JUZGADO NACIONAL EN LO CRIMINAL Y CORRECCIONAL FEDERAL Nº 01 DE LA DRA. MARIA SERVINI DE CUBRIA, A QUIEN SE LE INFORMA QUE EL CAUSANTE NO REGISTRA IMPEDIMENTOS LEGALES VIGENTES, POR LO CUAL DISPONE QUE SE PROCEDA A LA LIBERACION. SIENDO LAS 08:30 HORAS SE PROCEDE A LA LIBERACION DEL SEÑOR HORACIO MIGUEL DELFINO DNI Nº 33.300.265, RETIRANDOSE DE ESTA DEPENDENCIA CONFORME CON LOS TRATOS RECIBIDOS, SIN NOVEDAD.-</t>
  </si>
  <si>
    <t>SECTOR MOSTRADORES CHEK-IN EMPRESA ANDES LINEAS AEREAS</t>
  </si>
  <si>
    <t>INFORMO QUE EN EL DIA DE LA FECHA, LA EMPRESA ANDES LINEAS AEREAS CANCELA EL VUELO Nº 853 PROCEDENTE DE JUJUY ESCALA SALTA, SALIENDO DIRECTAMENTE DE JUJUY A BS. AS., LOS 58 PAX QUE TENDRIAN QUE HABER SALIDO EN ESTA ESCALA FUERON REUBICADOS EN EL VUELO Nº 2451 DE LA EMPRESA AEROLINEAS ARGENTINAS, SIENDO LA 06:45 HS. APROX. PERSONAL DE RAMPA DE LA EMPRESA ANDES LINEAS AEREAS, REALIZAN UNA MANIFESTACION EN EL HALL PUBLICO DE ESTE AEROPUERTO, MOSTRADORES DE CHEK-IN DE DICHA EMPRESA, CONJUNTAMENTE CON EL GREMIO APA, LOS CUALES SE MANIFIESTAN PACIFICAMENTE CON PANCARTAS, ENCABEZADA POR EL SR. ARMANINO JUAN DNI 29.334.946, PERTENECIENTE A LA EMPRESA AEROHANDLING -PRESIDENTE DEL CUERPO DE DELEGADOS DE APA EN SALTA-, PERSONAL ADHERIDO WALTER SEGOVIA DNI 21.319.736, ADAN SAFE DNI 26.289.114, JOSE ERAZZU DNI 23.312.285, LUCAS ORTIZ DNI 26.897.435 Y VICTOR VILLEGAS DNI 11.539.038. DE ACUERDO A LO MANIFESTADO POR EL SR. JUAN CARLOS GUARENTE, GERENTE ESCALA EN SALTA DE LA EMPRESA ANDES, EL VUELO Nº 890 PROCEDENTE DE CBA. CON 91 PAX. ESTARIA DEMORADO. SE INFORMA TELEFONICAMENTE DE LO ACONTECIDO A LA SECRETARIA DE TURNO DEL JUZGADO FEDERAL DE SALTA Nº 2 DRA. MARIA ISABEL FALU. SE CUENTA CON LA PRESENCIA DE 8 EFECTIVOS DE LA UOESA III DEL NORTE, 13 EFECTIVOS DE LA UOSP SALTA COMO REFUERZOS Y 8 EFECTIVOS DEL TURNO POLICIAL DIURNO, EN CUMPLIMIENTO DE LA ORDEN DE SERVICIO 094/10 DE LA URSA III DEL NORTE.</t>
  </si>
  <si>
    <t>2318/10</t>
  </si>
  <si>
    <t>COMPLEJO VUCETICH DE LA POLICIA DE LA PCIA. BS.AS.</t>
  </si>
  <si>
    <t>SIENDO LAS 10:30 HS. DEL DÍA DE LA FECHA CUMPLIENDO O/S Nº 036/10 SE TRASLADA AL DETENIDO EDUARDO ADOLFO MUELAS DNI Nº 16926586 AL COMPLEJO JUAN VUCETICH DE LA POLICIA DE LA PCIA. DE BS.AS. PARA REALIZARLE UNA PERICIA PSICOLÓGICA ORDENADA POR EL MAGISTRADO ACTUANTE.. SIENDO LAS 13:00 HS. REGRESA COMISIÓN CON EL DETENIDO, EL CUÁL ES ALOJADO NUEVAMENTE EN EL CALABOZO DE ÉSTA UOSP SIN NOVEDAD.</t>
  </si>
  <si>
    <t>3006/10</t>
  </si>
  <si>
    <t>INFORMO QUE A HS 13:10 DEL DIA DE LA FECHA, ARRIBA CON DEMORA A ESTE AEROPUERTO VUELO DE LA EMPRESA ANDES LINEAS AEREAS Nº 890 PROCEDENTE DE CORDOBA. CON 90 PAX Y SIN NOVEDAD. ASIMISMO INFORMO QUE A HS 13:40 SE LEVANTA EL PARO DE ACTIVIDADES REALIZADO POR PERSONAL DE RAMPA DE DICHA EMPRESA, SEGUIDAMENTE SE INFORMA TELEFONICAMENTE A LA DR. MARIA ISABEL FALU, DE TURNO EN EL JUZGADO FEDERAL DE SALTA Nº2, DEL LEVANTAMIENTO DEL PARO. POR INFORMACIÓN DEL GERENTE DE ANDES SR. JUAN CARLOS GUARENTE, EL VUELO DE REGRESO A CORDOBA CON Nº 891, ESTARIA PARTIENDO DE ESTA TERMINAL A LAS HS. 15:00.</t>
  </si>
  <si>
    <t>COORDENADA AEROPORTUARIA O23 ALTURA CALLE VUELTA DE OBLIGADO INTERSECCION CALLE LAS DALIAS.</t>
  </si>
  <si>
    <t>ALAMBRADO PERIMETRAL</t>
  </si>
  <si>
    <t>SIENDO LAS 0715 HORAS SE DETECTA EN RECORRIDA PERIMETRAL EL FALTANTE DE CUATRO PAÑOS DE ALAMBRE ROMBOIDAL CORRESPONDIENTES AL ALAMBRADO PERIMETRAL EN EL SECTOR O23 SEGUN GRILLA ESQUEMÁTICA DE ÉSTE AEROPUERTO. SE DÁ AVISO A AA2000 Y SIENDO LAS 11:40 HORAS SE HACE PRESENTE EN EL TURNO EL SR. ALEJANDRO GABRIEL DELAETER DNI Nº 30506.696 PARA RADICAR LA DENUNCIA CORREPONDIENTE.NO SE ENCONTRARON ELEMENTOS DE CORTE NI SE OBSERVARON HUELLAS EN EL LUGAR, COMO TAMPOCO SE OBTUVIERON OTROS DATOS DE INTERÉS. SE REALIZA COMUNICACIÓN A LA UFI Nº 5 DE TURNO A CARGO DEL DR. MOYANO, MARIANO EL QUE DISPONE ACTUACIONES DE RIGOR Y ELEVACIÓN A LA UFI DE DETERMINACIÓN DE AUTORES.</t>
  </si>
  <si>
    <t>HALLAZGO</t>
  </si>
  <si>
    <t>DESMBARQUE SECTOR INTERNACIONAL</t>
  </si>
  <si>
    <t>INFORMO QUE SIENDO LAS 10:00 HS DEL DIA 18 DEL CORRIENTE MES Y AÑO SE PRESENTA EL DENUNCIANTE INFORMANDO EL HALLAZGO DE UN CARTEL PUBLICITARIO DE VINILICO SIN SU RESPECTIVO PEDESTAL DE METAL REGULABLE EL MISMO APARENTEMENTE GUARDARIA RELACION CON LA DENUNCIA Nº 110/10 PU 2828 DE FECHA 11 DEL CORRIENTE MES Y AÑO RADICADA EN ESTA GUARDIA DE PREVENCION A CONTINUACION SIENDO LAS 13:30 HS Y UNA VEZ RECONOCIDO EL HALLAZGO POR EL DAMNIFICADO SE ESTABLECE COMUNICACION TELEFONICA CON EL JUZGADO INTERVINIENTE QUIEN ENTERADO DE LOS HECHOS ORDENA A QUE SE REALICE LA ENTREGA DEL ELEMENTO EN CUESTION EN CARACTER DE DEPOSITARIO JUDICIAL Y QUE SE CONTINUE CON LAS ACTUACIONES CORRESPONDIENTES.</t>
  </si>
  <si>
    <t>DRA. SANDRA GOÑI</t>
  </si>
  <si>
    <t>QUE EL DIA INDICADO EN MOMENTOS QUE SE EFECTUABA EL CONTROL DE EQUIPAJE DESPACHADOS A BODEGA PARA EL VUELO DE MENCION PERSONAL POLICIAL DETECTA MEDIANTE MAQUINA DE RAYOS X DENTRO DEL EQUIPAJE CITADO SUSTANCIA ORGANICA DENTRO DE SU CONTORNO, SEGUIDAMENTE LUEGO DE HALLAR AL PROPIETARIO DEL EQUIPAJE QUIEN LO RECONOCIO COMO PROPIO QUIEN SUSCRIBE MANTUVO COMUNICACION TELEFONICA CON EL JUZGADO INTERVINIENTE, EL CUAL AUTORIZO LA REQUIZA DEL EQUIPAJE Y DEL PASAJERO. ARROJANDO LA REQUIZA DEL EQUIPAJE CUATRO PAQUETES ALOJADOS EN LA TOTALIDAD DEL CONTORNO DEL MISMO QUE EXPUESTOS A REACTIVO QUIMICO PARA COCAINA ARROJARON EN LAS CUATRO OCACIONES RESULTADO POSITIVO. SE IDENTIFICO A LA SUSTANCIA COMO PAQUETE 1, PAQUETE 2, PAQUETE 3 Y PAQUETE 4 ARROJANDO EL SIGUIENTE PESAJE, PAQ 1 220 GRAMOS, PAQ 2 844 GRAMOS, PAQ 3 214 GRAMOS, PAQ 4 770 GRAMOS. SEGUIDAMENTE SE INFORMARON LOS RESULTADOS OBTENIDOS A SU SSA QUIEN DISPUSO SE LABREN ACTUACIONES DE RIGOR CON LA CARATULA CITADA, SE DETENGA EN CALIDAD DE INCOMUNICADO AL PASAJERO, SE HAGA ENTREGA DE LAS TAREAS INVESTIGATIVAS A COMPLEJAS, Y SE ELEVE LO ACTUADO JUNTO CON EL DETENIDO EL DIA JUEVES 20 DEL CORRIENTE MES Y AÑO A CEDE TRIBUNAL. ES TODO CONSTE. SEGUN Nº 3035 DEL DIA 20-05-2010 A HORAS 0700, SE PROCEDIO AL TRASLADO DEL DETENIDO A SEDE JUDICIAL.</t>
  </si>
  <si>
    <t>DE 1º INST EN LO PENAL CONT Y DE FALTAS Nº 27</t>
  </si>
  <si>
    <t>Maria Areceli</t>
  </si>
  <si>
    <t>DR. JORGE BOERR</t>
  </si>
  <si>
    <t>ESTACIONAMIENTO CUBIERTO</t>
  </si>
  <si>
    <t>TERCER PISO ESTACIONAMIENTO SUR</t>
  </si>
  <si>
    <t>EN EL DIA DE LA FECHA SIENDO LAS 11:00 HORAS SE HACE PRESENTE EN ESTA GUARDIA DE PREVENCION UNA PERSONA QUE DESEA RADICAR UNA DENUNCIA, INDICANDO QUE EL DIA 17 DEL CORRIENTE MES Y AÑO, SIENDO APROXIMADAMENTE LAS 10:00 HORAS SE HIZO PRESENTE EN ESTE AEROPUERTO PARA ABORDAR EL VUELO AR 2528 DE LA EMPRESA AEROLINEAS ARGENTINAS CON DESTINO A LA CIUDAD DE CORDOBA, PARTIENDO A LAS 11:05 HORAS, DEJANDO ESTACIONADO SU VEHICULO PICK UP, MARCA TOYOTA MODELO HILUX, DOMINIO HTO 685, EN EL TERCER PISO DEL ESTACIONAMIENTO SUR DE ESTE AEROPUERTO. EL DIA 18 DEL CORRIENTE MES Y AÑO, REGRESA A ESTA CIUDAD AUTONOMA EN EL VUELO AR2531 A LAS 17:00 HORAS, POR LO QUE SE DIRIGIO A SU VEHICULO PARA RETIRARSE DE ESTE AEROPUERTO. AL MOMENTO DE ENCONTRARSE FRENTE A SU VEHICULO OBSERVA QUE AMBAS PUERTAS DEL LATERAL IZQUIERDO SE ENCONTRABAN RAYADAS CON UN ELEMENTO PUNZANTE. MOTIVO POR EL CUAL REALIZA EL RECLAMO EN LAS OFICINAS DE AA 2000, PARA LUEGO REALIZAR LA CORRESPONDIENTE DENUNCIA PENAL. SIENDO LAS 12:00 HORAS SE ENTABLA COMUNICACIÓN CON LA DRA. GABRIELA MORELLI A CARGO DEL EQUIPO C DE LA UNIDAD FISCAL NORTE EN TURNO CON EL JUZGADO PENAL, CONTRAVENCIONAL Y DE FALTAS Nº 27, QUIEN INFORMADA DE LOS HECHOS, DISPONE: SE REALICEN VISTAS FOTOGRAFICAS DEL VEHICULO, INFORME TECNICO, NOMINA DEL PERSONAL DE SEGURIDAD ACTUANTE LOS DIAS 17 Y 18 DEL CORRIENTE MES Y AÑO, CIERRE Y ELEVACION DE ACTUACIONES.-</t>
  </si>
  <si>
    <t>DRA. CLAUDIA CECCONI</t>
  </si>
  <si>
    <t>SIENDO LA FECHA Y HORA MENCIONADA EN MOMENTOS EN QUE LOS OFICIALES ROMEO Y PEREZ EFECTUABAN UNA RECORRIDA POR EL HALL DE LA TERMINAL A, OBSERVAN Y SORPRENDEN IN FRAGANTI A UNA PERSONA DE SEXO MASCULINO EL CUAL SE ENCONTRABA OFRECIENDO SERVICIO DE TRASPORTE PUBLICO A VIVA VOZ, A PASAJEROS RECIEN ARRIBADOS AL PAIS, FUERA DE LOS LUGARES HABILITADOS. POR LO QUE SE PROCEDE A IDENTIFICAR AL INFRACTOR, EL CUAL ES TRASLADADO A LA OFICINA DE CONTRAVENCIONES Y FALTAS DONDE SE LABRA LA CORRESPONDIENTE ACTA, DANDO COMIENZO A LAS ACTUACIONES DE RIGOR.</t>
  </si>
  <si>
    <t>SALAS VIP</t>
  </si>
  <si>
    <t>INFORMO QUE EN EL DIA DE LA FECHA A HRS 21:55, ARRIBA A ESTE AEROPUERTO AERONAVE TANGO 02, TRASLADANDO AL SR. LLARREGUI LUIS, SECRETARIO DE PROVINCIAS DEL MINISTERIO DEL INTERIOR, JUNTO A UNA COMITIVA DE FUNCINARIOS DEL A.N.S.E.S. SE IMPLEMENTO DISPOSITIVO DE SEGURIDAD FINALIZANDO EL MISMO SIN NOVEDAD, DICHA COMITIVA TIENE PREVISTO LA PARTIDA EN EL DIA DE MAÑANA A HORAS 17:00 APROXIMADAMENTE</t>
  </si>
  <si>
    <t>TANGO 02</t>
  </si>
  <si>
    <t>SIENDO LA HORA Y FECHA ANTES MENCIONADA, EL OF. KADY JORGE, ENCARGADO DE LA TERMINAL TRES, SE ENCONTRABA REALIZANDO EL CHEQUEO DE LOS PASAJEROS DEL VUELO AR 2838, EL CUAL SE ENCONTRABA DEMORADO POR CUESTIONES OPERATIVAS DE LA EMPRESA, AL PASAR UN MASCULINO SE ACTIVA LA ALARMA DEL ARCO DETECTOR DE METALES, POR LO CUAL EL OFICIAL PROCEDE AL CHEQUEO DEL PASAJERO, CON EL FIN DE DETERMINAR EN QUE PARTE DE SU CUERPO SE ENCONTRABA EL ELEMENTO QUE ACCIONABA LA ALARMA SONORA. AL REALIZAR ESTE PROCEDIMIENTO, ENCUENTRA QUE A LA ALTURA DEL BOLSILLO DELANTERO IZQUIERDO DE SU CAMPERA, TENIA UN BULTO SOSPECHOSO, POR LO QUE SE LE SOLICITÒ QUE EXHIBA EL CONTENIDO DEL MISMO, EN ESE MOMENTO RETIRA EL CONTENIDO, LO COLOCA SOBRE LA MESA QUE SE ENCUENTRA CONTIGUA A LA MAQUINA DE RAYOS X, EXTRAYENDO UNA MARQUILLA DE CIGARRILLOS MARCA COMERCIAL MALBORO, OBSERVANDOSE DENTRO, CIGARRILLOS ARMADOS MANUALMENTE, SE LE CONSULTA POR EL CONTENIDO DE LOS MISMOS, RESPONDIENDO QUE SE TRATABA DE MARIHUANA. INMEDIATAMENTE EL OFICIAL ACTUANTE SOLICITÒ LA PRESENCIA DE DOS TESTIGOS HÀBILES E INFORMO LA NOVEDAD AL OF. OSCAR BARRERA, JEFE DE TURNO. SEGUIDAMENTE SE HACE PRESENTE EN LA TERMINAL LA OF. DE FILIPPI MARIANA, AUXILIAR EN PERICIAS, QUIEN REALIZA EL TEST ORIENTATIVO DE CAMPO PARA MARIHUANA, NIK, ARROJANDO ÈSTE RESULTADO POSITIVO. ACTO SEGUIDO A FIN DE CONTINUAR CON LAS DILIGENCIAS DE RIGOR, SE TRASLADAN TODOS LOS INTERVINIENTES A LA GUARDIA DE PREVENCION, DONDE SE PROCEDE AL PESAJE DE LA SUSTANCIA, ARROJANDO UN PESO TOTAL DE 1.7 GRAMOS, SE SECUESTRA LA SUSTANCIA, JUNTO CON SU ENVOLTORIO Y EL REACTIVO DE CAMPO UTILIZADO. SIENDO LAS 21:20 HORAS SE REALIZA COMUNICACION CON LA SECRETARIA DE LA JUDICATURA ACTUANTE, QUIEN DISPONE SE REALICEN LAS DILIGENCIAS DE RIGOR Y DE NO REGISTRAR ANTECEDENTES, SE PROCEDA A LA SOLTURA DEL IMPUTADO. SEGUN P.U. 3034 EL IMPUTADO FUE LIBERADO A LAS 0700 HS DEL DIA 20-05-2010 YA QUE EL MISMO NO POSEE IMPEDIMENTOS LEGALES. SE RETIRO POR SUS PROPIOS MEDIOS CON LOS ELEMENTOS PERSONALES QUE ESTABAN EN RESGUARDO DE LA UNIDAD.</t>
  </si>
  <si>
    <t>AR 2838</t>
  </si>
  <si>
    <t>JUZGADO FEDERAL EN LO CRIMINAL Y CORRECCIONAL N° 2</t>
  </si>
  <si>
    <t>INF LEY 23.737 DEL CPN</t>
  </si>
  <si>
    <t>INF LEY 23.737</t>
  </si>
  <si>
    <t>QUE EL DIA INDICADO PERSONAL POLICIAL DETECTA MEDIANTE MAQUINA DE RX, DENTRO DE UN EQUIPAJE EN TRANSITO A NOMBRE DEL IMPUTADO, IMAGENES DE SUSTANCIA ORGANICA. UNA VEZ QUE EL SUSCRIPTO TOMA CONOCIMIENTO DE LA NOVEDAD SURGIDA, CONVOCA DOS TESTIGOS, IDENTIFICA AL PASAJERO Y TRASLADA A TODOS LOS INTERVINIENTES A LA GUARDIA DE PREVENCION A FIN DE REALIZAR LA REQUIZA PERTINENTE, PREVIA AUTORIZACION DE LA JUSTICIA EN UN CUARTO DESTINADO PARA TAL FIN EL PERSONAL POLICIAL DETECTA DENTRO DEL EQUIPAJE DESCRIPTO DOS ALBUMES DE FOTOS CON UN PESO IRREGULAR, PERCATANDOSE QUE ENTRE SUS PAGINAS, HACIENDO LAS VECES DE SPESOR DE PAGINA ERA HABIDA UNA SUSTANCIA COLOR BLANCA GOMOSA QUE EXPUESTA A REACTIVOS QUIMICOS PARA COCAINA ARROJO RESULTADOS POSITIVOS COCAINA, DEL MISMO MODO SE HALLO SUSTANCIA DENTRO DE CINCO FRASCOS DE ELEMENTOS DE HIGIENE, QUE EXPUESTOS A REACTIVOS, EN LOS CINCO CASOS ARROJARON RESULTADOS POSITIVOS COCAINA, SEGUIDAMENTE SE DETECTA QUE DENTRO DE DOS BANDEJAS, TIPO DESALLUNO, ENTRE EL ACRILICO QUE HACE LAS VECES DE SUPERFICIE DE LAS MISMAS ERA HABIDA UNA SUSTANCIA LIQUIDA QUE EXPUESTA A REACTIVOS PARA COCAINA ARROJO RESULTADOS POSITIVOS COCAINA. FINALMENTE DENTRO DEL CONTORNO DERECHO DEL MENCIONADO EQUIPAJE SE HALLO UNA LAMINA DE SUSTANCIA GOMOSA QUE HACE LAS VECES DE LATERAL DE EQUIPAJE QUE EXPUESTA A REACTIVOS QUIMICOS PARA COCAINA ARROJO RESULTADOS POSITIVOS, IDENTIFICANDO DICHOS ELEMENTOS COMO, ALBUM A, UN PESO DE 1952 GRAMOS, ALBUM B, UN PESO DE 2024 GRAMOS, FRASCO 1, UN PESO DE 588 GRAMOS, FRASCO 2, UN PESO DE 490 GRAMOS, FRASCO 3, UN PESO DE 482 GRAMOS, FRASCO 4, UN PESO DE 470 GRAMOS, FRASCO 5, UN PESO DE 250 GRAMOS, BANDEJA 1, UN PESO DE 612 GRAMOS, BANDEJA 2 UN PESO DE 772 GRAMOS, Y PAQUETE CONTORNO UN PESO DE 730 GRAMOS, POSTERIORMENTE SE DIO LA NOVEDAD DE LOS RESULTADOS OBTENIDOS AL MAGISTRADO INTERVINIENTE, INDICANDO SSA, SE LABREN ACTUACIOENS DE RIGOS BAJO LA CARATULA MENCIONADA, SE DETENGA E INCOMUNIQUE AL CAUSANTE Y UNA VEZ CUMPLIMENTADAS LAS DILIGENCIAS SE TRASLADE AL MISMO A LA UNIDAD 28 DEL SPF, DEBIENDO ELEVAR LO ACTUADO EL DIA JUEVES 20 DEL CORRIENTE MES Y AÑO A PRIMERA HORA. ES TODO CONSTE.-------------------------</t>
  </si>
  <si>
    <t>SANTA CRUZ DE LA SIERRA VUELO AR 1363</t>
  </si>
  <si>
    <t>NAC DE 1º INST EN LO CRIMINAL DE INST Nº 39</t>
  </si>
  <si>
    <t>DR. MARCELO ALBERTO MUFFATTI</t>
  </si>
  <si>
    <t>UBICADO ENTRE EL ESTACIONAMIENTO NORTE Y LA TERMINAL DE CARGAS DEL AEROPARQUE METROPOLITANO</t>
  </si>
  <si>
    <t>LOCAL DE COMIDAS IL LEGNO</t>
  </si>
  <si>
    <t>SIENDO LA HORA Y EL DIA ANTES MENCIONADO, EL OFICIAL BARRERA, JEFE DE TURNO, RECIBE UN LLAMADO VIA NEXTEL DEL OF. WEISBERGER, COMUNICANDO QUE EN EL RESTAURANTE IL LEGNO, HABÍAN PRODUCIDO UN ROBO A MANO ARMADA. INMEDIATAMENTE EL OFICIAL BARRERA, SE HACE PRESENTE EN EL LUGAR DEL HECHO, DONDE SE ENTREVISTA CON EL ENCARGADO DEL RESTAURANTE, CABALLERO ENRIQUE MARCELO, QUIEN LE INFORMA QUE CUANDO SE ENCOTRABA REALIZANDO EL CIERRE DE CAJA DEL LOCAL, INGRESA UN MASCULINO, QUIEN LE PIDE PERMISO PARA PASAR AL BAÑO. PASADOS UNOS SEGUNDOS EL MISMO SALE DEL BAÑO Y SORPRENDE AL ENCARGADO HACIENDO EL CIERRE DE LA CAJA, EN ESE MOMENTO SE LEVANTA SU ROPA EXHIBIENDO UN ARMA QUE TENIA EN SU ABDOMEN Y DICIENDOLE "DAME LA PLATA, QUEDATE TRANQUILO" SIC. ENTREGANDOLE EL ENCARGADO UN SOBRE COLOR MADERA CON LA RECAUDACION DEL TURNO DIA Y TODA LA PLATA QUE TENIA EN LA CAJA CORRESPONDIENTE AL TURNO NOCHE, EN ESE INSTANTE EL MASCULINO LE DICE "DAME UNA BOLSA", EN DONDE INTRODUJO TODA LA RECAUDACION, SEGUIDAMENTE AGARRÒ DOS TELEFONOS NEXTEL QUE SE ENCONTRABAN ARRIBA DE LA MESA, DANDOSE A LA FUGA. POSTERIORMENTE EL ENCARGADO LLAMO AL COCINERO QUE SE ENCONTRABA EN LA COCINA Y LE DIJO QUE LO HABIAN ROBADO. CUANDO EL ENCARGADO SALIO A LA CALLE YA NO VIO A NADIE. ES EN ESE MOMENTO DONDE SE ENCUENTRA CON EL OFICIAL WEISBERGER Y ESTE SE COMUNICA CON EL JEFE DE TURNO. SIENDO LAS 00:50 HORAS SE REALIZA COMUNICACIÓN CON LA JUDICATURA ACTUANTE QUIEN DISPONE: SE RECIBA LA DENUNCIA, TESTIMONIAL DEL COCINERO, SOLICITUD Y ENVIO DE REGISTRO FILMICO AL JUZGADO, SE NOTIFIQUE AL DENUNCIANTE PARA QUE SE DIRIJA AL DEPARTAMENTO DE INDIVIDUALIZACION CIENTIFICA DE PERSONAS DE LA P.F.A. A LOS EFECTOS DE REALIZARSE IDENTIKIT DEL AUTOR DEL HECHO, CIERRE Y ELEVACION DE LO ACTUADO.</t>
  </si>
  <si>
    <t>3031/10</t>
  </si>
  <si>
    <t>SIENDO LAS 07:00 HORAS POR ASI DISPUESTO LA JUDICATURA ACTUANTE, POR NO POSEER ANTECEDENTES PENALES SE PROCEDE A LA LIBERACION DEL SR.GONZALO IÑAQUI ANDUEZA, RETIRANDOSE DE ESTA DEPENDENCIA SIN NOVEDAD.</t>
  </si>
  <si>
    <t>3020/10</t>
  </si>
  <si>
    <t>PATIO DE VALIJAS DE DICHA TERMINAL</t>
  </si>
  <si>
    <t>QUE SIENDO APROXIMADAMENTE LAS SIETE HORAS SEGUN LO ORDENADO POR S.SA SE PROCEDIO AL TRASLADO DEL DETENIDO HACIA SEDE JUDICIAL.-</t>
  </si>
  <si>
    <t>EN CUMPLIMIENTO DE LA ORDEN DE SERVICIO NRO. 0039/10 Y SIENDO LAS 07:45 HORAS LOCAL ARRIBA AERONAVE AIR BUS A 320 MATRICULA LV-BFO, PERTENECIENTE A LA EMPRESA LAN ARGENTINA Y EN CUYAS BODEGAS 31, 32 Y 42 SE EMBARCAN UN TOTAL DE 95 CAJAS CON UN PESO DE 2185 KILOGRAMOS DE METAL-MTD- PERTENECIENTES A LA EMPRESA MINERA TRITON ARGENTINA S.A. CON DESTINO LA CIUDAD DE CAPITAL FEDERAL. EL MISMO DESPEGA DESDE ESTE AEROPUERTO SIENDO LAS 08:40 HORAS LOCAL.</t>
  </si>
  <si>
    <t>SE CONFECCIONA EL PRESENTE, A LOS EFECTOS DE INFORMAR SOBRE EL TRANSPORTE DE MERCANCIA PELIGROSA EN EL VUELO DE LA EMPRESA AUSTRAL 2883, CON DESTINO FINAL AEROPARQUE JORGE NEWBERY, LA MMPP TRANSPORTADA SERIAN DOS MUESTRAS BIOLOGICAS TIPO B UN 3373 CLASE 6.2 EMBALADAS EN DOS BULTOS CERRADOS HERMETICAMENTE Y CONTENIDOS EN DOS CAJAS ACORDE A SU TRASLADO SEGUN ESPECIFICA EL GRUPO E INSTRUCCION DE EMBALAJE 650. EL PESO DE ESTAS CAJAS SERIAN DE 1,750 KG, CUYOS NUMEROS DE GUIA DE CARGA AEREA SON 83968559-1 Y 9396854-3 RESPECTIVAMENTE DE LA EMPRESA JET PAQ,ESTAS MUESTRA TIENEN COMO DESTINO FINAL EL INSTITUTO MALBRAN DE LA CIUDAD DE BUENOS AIRES.</t>
  </si>
  <si>
    <t>SIENDO LA HORA MENCIONADA SE IMPLEMENTA CONTROL DE SEGURIDAD POR ARRIBO DE LA SRA PRESIDENTE, LA CUAL ARRIBA A ESTA AEROESTACION A LAS 09:18 HORAS EN AERONAVE MATRICULA T-01 Y SE RETIRA VIA TERRESTRE A LAS 09:23 HORAS SIN NOVEDAD. FINALIZANDO EL DISPOSITVO A LAS 09:45 HORAS.</t>
  </si>
  <si>
    <t>3004/10</t>
  </si>
  <si>
    <t>SE PROCEDE A LA APERTURA DE DOS SACAS COLECTORAS DEL CORREO OFICIAL SEGÚN CONSTA EN ACTA DE RETENCIÓN DE CARGAS Nº 0255/10, QUE ORIGINA LA PREVENCIÓN SUMARIA Nº 058/10, LA SACA IDENTIFICADA CON MARBETE Nº SLA0168916E636300NQN, PRECINTO Nº C797821, CON UN PESO DECLARADO DE 4,300 KGS. CONTIENE 01 PIEZA POSTAL IDENTIFICADA COMO EP661585157AR, QUEDA RETENIDA, LA 2º SACA SIN MARBETE NI PESO DECLARADO, CON PRECINTO Nº V481797, CONTIENE DOS PIEZAS POSTALES, LA 1º EP661585174AR, QUEDA RETENIDA Y LA 2º EP679570025AR, ES ENTREGADA AL SR. ARIAS NÉSTOR RUBÉN PARA SU REDESPACHO, QUEDANDO LAS MISMAS CERRADAS Y PRECINTADAS EN ESTA UOSP. SE COMUNICO TELEFÓNICAMENTE AL JUZGADO INTERVINIENTE Y LAS APERTURAS SE REALIZARAN CON LA AUTORIZACIÓN DEL MAGISTRADO ACTUANTE.</t>
  </si>
  <si>
    <t>SIENDO LA FECHA Y HORA ANTES MENCIONADA, EN MOMENTOS EN QUE LOS OFICIALES ZUMPANO Y ZALAZAR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</si>
  <si>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JUZGADO DE EJECUCION DISTRITO JUDICIAL SUR USHUAIA</t>
  </si>
  <si>
    <t>Garcia Arpon</t>
  </si>
  <si>
    <t>Maximiliano</t>
  </si>
  <si>
    <t>DRA. MARIA ALEJANDRA ALONSO</t>
  </si>
  <si>
    <t>GOMEZ JORGE MATIAS S/LEGAJO DE EJECUCION</t>
  </si>
  <si>
    <t>N°1932</t>
  </si>
  <si>
    <t>INFORMO: EN EL DIA DE LA FECHA SIENDO LAS 11:50HS PARTE EN VUELO AR-1853 SIN ESCALA ESTIMANDO SU ARRIBO A DESTINO 15:00HS, EL CIUDADANO GOMEZ JORGE MATIAS EN CARACTER DE DETENIDO SIENDO TRASLADADO POR PERSONAL DEL SERVICIO PENITENCIARIO PROVINCIAL DE TIERRA DEL FUEGO A CARGO DEL ADJUNTOR HECTOR CEFERINO RAMOS DNI N° 26.850.747 Y EL CABO 1° DANIEL WALTER MONCADA DNI N° 32.192.563.ASI MISMO INFORMO QUE DICHA COMITIVA CONTINUARA TRASLADO EN VUELO AR-1420 HACIA LA CIUDAD DE MENDOZA.-</t>
  </si>
  <si>
    <t>AR-1853</t>
  </si>
  <si>
    <t>INFRACCION ARTS.78 Y 85 DEL DECRTEO LEY 8031/73</t>
  </si>
  <si>
    <t>SIENDO LA FECHA Y HORA ANTES MENCIONADA, EN MOMENTOS EN QUE LOS OFICIALES GUGLIANONE Y FERNANDEZ SE ENCONTRABAN REALIZANDO UNA RECORRIDA POR EL SECTOR MENCIONADO,OBSERVARON EN REITERADAS OCASIONES A UNA PERSONA DE SEXO MASCULINO, LA CUAL SE ENCONTRABA OFRECIENDO SERVICIO DE TRANSPORTE PUBLICO A VIVA VOZ FUERA DE LOS LUGARES HABILITADOS SIN POSEER LA CORRESPONDIENTE HABILITACION,SE LE INFORMA AL MISMO EN REITERADAS OCASIONES QUE NO PODIA EJERCER DICHO ACCIONAR. EL CUSANTE HIZO CASO OMISO A LAS ADVERTENCIAS POR LO TANTO SE PROCEDIO, PREVIA REVISION MEDICA AL TRASLADO DE LOS INTERVINIENTES A LA OFICINA DE CONTRAVENCIONES Y FALTAS DONDE SE LABRA LA CORRESPONDIENTE ACTA Y SE COMIENZA CON LAS ACTUACIONES DE RIGOR.</t>
  </si>
  <si>
    <t>2575/10</t>
  </si>
  <si>
    <t>294/10</t>
  </si>
  <si>
    <t>SE PROCEDE A LA APERTURA DE CUATRO ENCOMIENDAS DEL CORREO OFICIAL SEGUN ACTA DE APERTURA Nº 257/10, PREVENCION SUMARIA Nº 048/10, EN VIRTUD DE LO ORDENADO EN OFICIO JUDICIAL Nº 1386/10 DEL MAGISTRADO ACTUANTE Y EN PRESENCIA DE UN TESTIGO HABIL. LA 1ª EP675745857AR, RTTE: ANGELA CALA, PEAT. 20, Nº 322, 1- B, CNEL. ARIAS, S.S. DE JUJUY, C.P. 4.600 Y DEST. FELIPE S. CALA, Bº LOS ÑIRES C/Nº 3, EXTEA, RIO TURBIO, PCIA. DE SANTA CRUZ, C.P. 9407, CONTIENE: NUEVE PAQUETES DE HOJAS DE COCA CON UN PESO TOTAL DE 2.185 GRS., LA 2ª EP657330368AR, RTTE: MINERVA PAZ, PJE. RITA TORENA Nº 1447, VILLA MITRE, SALTA Y DEST. HORACIO J. ROMANO, ALMIRANTE BRAW Y LEANDRO ALEM, EL CALAFATE, STA. CRUZ, CHACRA PICHIÑNCO, CONTIENE: UNA CAMPERA PARA HOMBRE DE COLOR AZUL CON RAYAS DE COLOR VERDE, UN BUZO PARA HOMBRE DE COLOR GRIS Y CUATRO PAQUETES DE HOJAS DE COCA CON UN PESO TOTAL DE 980 GRS., LA 3ª EP669756011AR, RTTE.: AMALIA VARGAS, LA QUIACA, JUJUY Y DEST. ALCIRA QUISPE, ARAINIC Nº 767, Bº VINTRUP, C.P. 9410, USHUAIA, TIERRA DEL FUEGO, CONTIENE: SEIS PAQUETES DE HOJAS DE COCA CON UN PESO TOTAL DE 1.755 GRS. Y LA 4ª EP669757003AR, RTTE.: AMALIA VARGAS, LA QUIACA, PCIA. DE JUJUY Y DEST. CLARA CALDERON, CALLE ARANIC 809, Bº VINTRUE, C.P. 9410, USHUAIA, C.P. 9410, CONTIENE: UNA MANTA NUEVA DE COLOR BORDO Y MARRON CLARO Y NUEVE PAQUETES DE HOJAS DE COCA CON UN PESO TOTAL DE 2.285 GRS. LAS ENCOMIENDAS SERAN PUESTAS A DISPOSICION DE LA ADUANA DE SALTA POR SUPUESTA INFRACCION A LA LEY 22.415, CODIGO ADUANERO Y LAS ACTUACIONES SERAN REMITIDAS A SEDE JUDICIAL. PARTE ORIGINARIO PU Nº 2536 SE PROCEDE A LA RETENCION DE DOS SACAS COLECTORAS DEL CORREO OFICIAL, SEGUN CONSTA EN ACTA DE RETENCION DE CARGAS Nº 0206/10, QUE ORIGINA LA PREVENCION SUMARIA Nº 048/10. LA PRIMERA IDENTIFICADA CON MARBETE SLA9126041D555700RGL, PRECINTO Nº C813207, CON UN PESO DECLARADO DE 24,300 KGS., CON DESTINO A LA CIUDAD DE RIO GALLEGOS, LA SEGUNDA SACA CON MARBETE SLA0163312D555800VAE, PRECINTO Nº C772368, CON UN PESO DECLARADO DE 8,900 KGS., CON DESTINO A LA CIUDAD DE USHUAIA,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 AMPLIACION DEL ORIGINARIO PU Nº 2575/10 SE PROCEDE A LA APERTURA DE 02 SACAS COLECTORAS DEL CORREO OFICIAL, SEGUN CONSTA EN ACTA DE RETENCION DE CARGAS Nº 0206/10, QUE ORIGINA LA PREVENCION SUMARIA Nº 048/10. LA 1º IDENTIFICADA CON MARBETE SLA9126041D555700RGL, PRECINTO Nº C813207, CONTIENE 05 CINCO PIEZAS POSTALES, LA 1º IDENTIFICADA COMO EP6675745857AR, LA CUAL QUEDA RETENIDA, LA 2º IDENTIFICADA COMO EP657330368AR, LA CUAL QUEDA RETENIDA, Y LAS IDENTIFACADAS COMO EP657330399AR, EP680796278AR Y EP657462678AR, SON ENTREGADAS AL SR. ARIAS PARA SU REDESPACHO. LA 2º SACA CON MARBETE SLA0163312D555800VAE, PRECINTO Nº C772368, CONTIENE 02 PIEZAS POSTALES LA 1º IDENTIFICADA COMO EP669756011AR, LA CUAL QUEDA RETENIDA, LA 2º EP669757003AR, LA CUAL QUEDA RETENIDA, QUEDANDO LAS MISMAS EN GUARDA EN DEPOSITO JUDICIAL DE ESTA UNIDAD, SE COMUNICO TELEFONICAMENTE CON EL JUZGADO INTERVINIENTE Y LA APERTURA SE REALIZARA CON LA AUTORIZACION DEL MAGISTRADO ACTUANTE.</t>
  </si>
  <si>
    <t>EN EL DIA DE LA FECHA SE PRESENTA EL DECLARANTE , EMPLEADO DE LA FUERZA AEREA ARGENTINA , BOMBERO VOLUNTARIO, A LOS FINES DE PONER EN CONOCIMIENTO DEL EXTRAVIO DE SU PERMISO PERSONAL PERMANENTE SNA N° 333034 CON LOS SECTORES 1,2,3,4,5, Y 6 CON VENCIMIENTO EL DIA 17/03/11, NO PUDIENDO PRECISAR EL LUGAR NI LA FECHA DEL EXTRAVIO.</t>
  </si>
  <si>
    <t>SECTOR ISLA</t>
  </si>
  <si>
    <t>PERGOLA TERMINAL A</t>
  </si>
  <si>
    <t>SIENDO LA FECHA Y HORA ANTES MENCIONADA, EN MOMENTOS EN QUE LOS OFICIALES NIETO Y ZUMPANO SE ENCONTRABAN EN UNA RECORRIDA POR EL SECTOR MENCIONADO CON ANTERIORIDAD, OBSERVAN Y SORPRENDEN A UNA PERSONA DE SEXO MASCULINO, LA CUAL SE ENCONTRABA OFRECIENDO SERVICIO DE TRANSPORTE PUBLICO A VIVA VOZ A LOS PASAJEROS SIN POSEER LA CORRESPONDIENTE HABILITACION, POR LO CUAL PREVIA REVISION MEDICA SE PROCEDE AL TRASLADO DE LOS INTERVINIENTES A LA OFICINA DE CONTRAVENCIONES Y FALTAS DONDE SE LABRA LA CORRESPONDIENTE ACTA Y SE COMIENZA CON LAS ACTUACIONES DE RIGOR.</t>
  </si>
  <si>
    <t>EN FECHA Y HORAS INDICADA, EL PERSONAL POLICIAL DETECTO QUE DENTRO DE UN EQUIPAJE DE GRANDES DIMENSIONES ERA TRANSPORTADO UN BULTO DE SUSTANCIA DEL TIPO ORGANICA DE BAJA DENSIDAD. POR LO CUAL LO SEPARAN DEL RESTO, CONVOCAN TESTIGOS, SE TRANSMITE LA NOVEDAD Y SE ARBITRAN LOS MEDIOS PARA DAR CON EL PROPIETARIO, DADO QUE ANOTICIADO EL JUZGADO INTERVINIENTE DISPUSO LA REQUISA DEL MISMO, EL PASAJERO FUE IDENTIFICADO EN EL PREEMBARQUE 1/16 Y POSTERIORMENTE TRASLADADO HACIA EL PATIO DE VALIJAS DONDE RECONOCE AL EQUIPAJE EN CUESTION COMO DE SU PROPIEDAD. COMO RESULTADO DE LA REQUISA SURJE UN PAQUETE EN CUYO INTERIOR SE DETECTA SUSTANCIA QUE AL SER SOMETIDA A PRUEBA DE CAMPO ARRROJO RESULTADO POSITIVO COCAINA. POR LO QUE EL PASAJERO PERMANECE DETENIDO HASTA LA FINALIZACION DE LAS DILIGENCIAS Y SIENDO LAS DIECISISTE HORAS, EL MISMO, ES TRASLADADO A SEDE JUDICIAL. PTO.-</t>
  </si>
  <si>
    <t>3030/10</t>
  </si>
  <si>
    <t>EN EL DIA DE LA FECHA SIENDO HS 17:50, DESPEGA DE ESTE AEROPUERTO AERONAVE TANGO 02, TRASLADANDO AL SR. LLARREGUI LUIS, SECRETARIO DE PROVINCIAS DEL MINISTERIO DEL INTERIOR, JUNTO A UNA COMITIVA DE FUNCIONARIOS DEL A.N.S.E.S. SE IMPLEMENTO DISPOSITIVO DE SEGURIDAD FINALIZANDO EL MISMO SIN NOVEDAD.</t>
  </si>
  <si>
    <t>PLATAFORMA COMERCIAL- PATIO DE VALIJAS - BODEGA DE AERONAVE</t>
  </si>
  <si>
    <t>QUE UNA VEZ ARRIBADO A ESTA AEROSTACION, EN VUELO ANTES MENCIONADO, INICIALMENTE POR LA EMPRESA LUFTHANSA LH 504 PROCEDENTE DE MUNICH ALEMANIA, CON ESCALA EN BRASIL, LUEGO DE EFECTUAR LOS TRAMITES MIGRATORIOS Y ADUANEROS DE RIGOR, SE RETIRO DE ESTE MEDIO CON DESTINO AL HOTEL DONDE SE HOSPEDARIA DURANTE SU ESTADIA EN EL PAIS. EN ESTE CONTEXTO, UNA VEZ EN EL HOTEL, PROCEDE A APERTURAR UNO DE SUS EQUIPAJES DESPACHADOS A BODEGA, PERCATANDOSE DEL FALTANTE DE UNA COMPUTADORA PORTATIL QUE POSEIA EN EL MISMO. EN VIRTUD A ELLO, EN EL DIA DE LA FECHA, POR MOTIVOS DE QUE REGRESABA A SU PAIS DE ORIGEN, SE HACE PRESENTE EN EL ASIENTO DE ESTA GUARDIA DE PREVENCION A RADICAR LA DENUNCIA PENAL.</t>
  </si>
  <si>
    <t>DRA. ALONSO ALEJANDRA</t>
  </si>
  <si>
    <t>GOMEZ, JORGE MATIAS S/LEGAJO DE EJECUCION</t>
  </si>
  <si>
    <t>1932/09</t>
  </si>
  <si>
    <t>PLATAFORMA OPERATIVA, PUESTO BRAVO HASTA LA TAQUILLA DE INGRESO/EGRESO DEL AEROPUERTO</t>
  </si>
  <si>
    <t>ARRIBA A ESTA PROVINCIA SIN NOVEDAD EL DETENIDO Y SU CORRESPONDIENTE CUSTODIA DEL SERVICIO PENITENCIARIO DE TIERRA DEL FUEGO, POR LO QUE SE IMPLENTA EL OPERATIVO DE SEGURIDAD DE ACUERDO A LO INFORMADO A TRAVÉS DE ORDEN DE SERVICIO N° 157/10 DE FECHA 20 DE MAYO DE 2010. INMEDIATAMENTE LA COMITIVA PERTENECIENTE AL SERVICIO PENITENCIARIO DE ESTA PROVINCIA DE MENDOZA PROCEDIO A HACERSE CARGO DE LA CUSTODIA Y SIENDO LAS 20:30 HORAS PARTEN CON EL DETENIDO HACIA EL COMPLEJO PENITENCIARIO SAN FELIPE DE LA CIUDAD DE MENDOZA, RETIRANDOSE LOS MISMOS SIN NOVEDAD. SE INFORMA ADEMAS QUE DICHO TRASLADO SE REALIZA DE ACUERDO A LO DISPUESTO POR EL JUEZ INTERVINIENTE DESDE EL SERVICIO PENITENCIARIO DE TIERRA DEL FUEGO, ANTARTIDA E ISLAS DEL ATLANTICO SUR HASTA EL COMPLEJO PENITENCIARIO ANTERIORMENTE DETALLADO.</t>
  </si>
  <si>
    <t>MARIA ISABEL FALU</t>
  </si>
  <si>
    <t>SE PROCEDE A LA RETENCIÓN DE UNA SACA COLECTORA DEL CORREO OFICIAL SEGÚN CONSTA EN ACTA DE RETENCIÓN DE CARGA Nº 258/10 QUE ORIGINA LA PREV. SUM. 059/10, LA SACA IDENTIFICADA CON MARBETE SLA0161676D636300NQN, PRECINTO C772560, CON UN PESO DECLARADO DE 5,200 KGS. AMPARADA EN GUÍA AÉREA Nº 9368515-2, LA QUE SERIA DESPACHADA A TRAVES DE LA EMPRESA DE CARGA AÉREA JET-PAQ, LA RETENCIÓN SE REALIZA ANTE LA PRESUNCIÓN DE QUE PUDIERAN CONTENER ALGÚN ELEMENTO EN INFRACCIÓN A LAS LEYES 22.415 Y/O 23.737, LA MISMA QUEDA CERRADA Y PRECINTADA EN GUARDA EN ESTA UOSP, SE COMUNICO TELEFÓNICAMENTE CON EL JUZGADO INTERVINIENTE. Y LA APERTURA SE REALIZARA EN PRESENCIA DEL PERSONAL DEL CORREO OFICIAL. SEGÚN AMPLIACION PU Nº 3073 SE PROCEDE A LA APERTURA DE UNA SACA COLECTORA DEL CORREO OFICIAL, SEGÚN CONSTA EN ACTA DE RETENCIÓN DE CARGA Nº 258/10 Y ACTA DEJANDO CONSTANCIA Nº 259/10 DE APERTURA DE SACA, QUE ORIGINA LA PREVENCIÓN SUMARIA Nº 059/10 , LA SACA IDENTIFICADA CON MARBETE SLA0161676D636300NQN, PRECINTO Nº C772560, CONTIENE UNA PIEZA POSTAL IDENTIFICADA COMO EP666278961, RTTE. GENARO VILTE, DOMICILIO EN CALLE MADRE SELVA Nº 1070 Bº ALTO, PALPALA PROVINCIA DE JUJUY, DESTINATARIO GUSTAVO MARCOS VILTE, CORREO CENTRAL NEUQUÉN, LA CUAL QUEDA RETENIDA, ANTE LA PRESUNCIÓN DE QUE PUDIERA CONTENER ALGÚN ELEMENTO EN INFRACCIÓN A LA LEY 23.737 Y/O 22.415, QUEDANDO LA MISMA CERRADA Y EN GUARDA DE ESTA UOSP. SE COMUNICO TELEFÓNICAMENTE AL JUZGADO INTERVINIENTE Y LA APERTURA SE REALIZARA CON LA AUTORIZACIÓN DEL MAGISTRADO ACTUANTE</t>
  </si>
  <si>
    <t>JUZGADO FEDERAL EN LO CRIMINAL Y CORRECCIONAL N° 3 DE MORON</t>
  </si>
  <si>
    <t>SALAS</t>
  </si>
  <si>
    <t>JUAN PABLO</t>
  </si>
  <si>
    <t>AMABILE, ROBERTO DANIEL</t>
  </si>
  <si>
    <t>MIROSEVICH, DOMINGO OMAR Y OTROS S/INF. LEY 23.737</t>
  </si>
  <si>
    <t>3355 Y 3783</t>
  </si>
  <si>
    <t>REALIZANDO CONTROL EN EL PUESTO PREEMBARQUE, EN EL CORRESPONDIENTE CHEQUEO DE DOCUMENTOS EFECTUADO POR RED LINCE FIGURA EN LOS REGISTROS DEL SISTEMA MENCIONADO QUE LA SRA. CARMEN ESTER LEMOS DNI 20.888.571 POSEE ORDEN DE CAPTURA. POR LO CUAL SE DA LA NOVEDAD AL TURNO DE LA URSA I DEL ESTE Y SE ESTABLECE COMUNICACION TELEFONICA CON EL TITULAR DE LA SECRETARIA Nº 10 DEL JUZGADO INTERVINIENTE DR. ROBERTO DANIEL AMABILE QUIEN ORDENA SE PROCEDA A LA INMEDIATA LIBERTAD DE LA NOMBRADA DEBIDO A QUE LA MISMA ESTABA SOBRESEIDA. ASIMISMO EL LETRADO INFORMA QUE LAS CAUSAS Nº 3355 Y Nº 3783 ESTAN RELACIONADAS ENTRE SI. SE CONFECCIONA ACTA PLASMANDO LO SUCEDIDO.</t>
  </si>
  <si>
    <t>BAHIA BLANCA - BUENOS AIRES</t>
  </si>
  <si>
    <t>AEROPARQUE - CAPITAL FEDERAL - BUENOS AIRES</t>
  </si>
  <si>
    <t>EXTRADICIÓN INTERNACIONAL SOLICITADA AL DEPARTAMENTO DE JUSTICIA DE ESTADOS UNIDOS EN RELACIÓN A MIRANDA ROBERTO EN AUTOS N° 8998/D FISCALC/RODRIGUEZ ANDINO S/LEY 23737</t>
  </si>
  <si>
    <t>11237-D</t>
  </si>
  <si>
    <t>PLATAFORMA, PUESTO BRAVO HASTA LA TAQUILLA DE EGRESO/INGRESO DE ESTE AEROPUERTO</t>
  </si>
  <si>
    <t>ARRIBA A ESTA PROVINCIA SIN NOVEDAD EL DETENIDO Y SU CORRESPONDIENTE CUSTODIA DEL DEPARTAMENTO INTERPOL, POR LO QUE SE IMPLENTA EL OPERATIVO DE SEGURIDAD DE ACUERDO A LO INFORMADO A TRAVÉS DE ORDEN DE SERVICIO N° 154/10 DE FECHA 20 DE MAYO DE 2010. INMEDIATAMENTE LA COMITIVA A CARGO DE LA POLICIA FEDERAL ARGENTINA CON SEDE EN ESTA PROVINCIA DE MENDOZA PROCEDIO A HACERSE CARGO DE LA CUSTODIA Y SIENDO LAS 22:30 HORAS PARTEN CON EL DETENIDO HACIA LA DEPENDENCIA DE LA UNIDAD FEDERAL DE DETENCION U-32 SITO EN CALLE AVENIDA ESPAÑA Y PEDRO MILINA DE ESTA CIUDAD DE MENDOZA, DE ACUERDO A LO DISPUESTO POR EL JUEZ FEDERAL INTERVINIENTE</t>
  </si>
  <si>
    <t>EN CUMPLIMIENTO DE LA ORDEN DE SERVICIO Nº 0040/10 Y SIENDO LAS 01:44 HORAS LOCAL ARRIBA AERONAVE AIR BUS A 320 MATRICULA LV-BFO, PERTENECIENTE A LA EMPRESA LAN ARGENTINA Y EN CUYAS BODEGAS 31 Y 32 SE EMBARCAN UN TOTAL DE 79 CAJAS CON UN PESO TOTAL DE 1794 KILOGRAMOS DE METAL -MTD- PERTENECIENTES A LA EMPRESA MINERA TRITON ARGENTINA S.A. CON DESTINO A LA CIUDAD DE CAPITAL FEDERAL. EL MISMO DESPEGA DESDE ESTE AEROPUERTO SIENDO LAS 03:12 HORAS LOCAL.</t>
  </si>
  <si>
    <t>AEROPUERTO GRAL. E. MOSCONI - COMODORO RIVADAVIA</t>
  </si>
  <si>
    <t>BETKER DIEGO EMILIO S/CONTRABANDO DE ESTUPEFACIENTES</t>
  </si>
  <si>
    <t>CALLE 12 DE OCTUBRE Nº 797 ENTRE CALLES CASTRO CHAVEZ Y GARCIA FERNANDEZ</t>
  </si>
  <si>
    <t>MONTE GRANDE, PARTIDO DE ESTEBAN ECHEVERRIA, PROVINCIA DE BUENOS AIRES.</t>
  </si>
  <si>
    <t>REF- ORDEN DE SERVICIO N° 411/10 SE REALIZO UN ALLANAMIENTO EN LA FINCA UBICADA EN LA CALLE 12 DE OCTUBRE Nº 797, MONTE GRANDE, PROVINCIA DE BUENOS AIRES ORDENADO POR LA JUDICATURA INTERVINIENTE EN LA CAUSA DE REFERENCIA. LA REQUISA DE LOS SECTORES DENOMINADOS PATIO, BAÑO, LIVING, HABITACION 1, HABITACION 2, COCINA, LAVADERO, PASILLO, BAÑO A Y COCINA A, ARROJARON RESULTADO NEGATIVO AL HALLAZGO DE SUSTANCIAS ESTUPEFACIENTES Y ELEMENTOS QUE PUDIERAN RESULTAR DE INTERES PARA LA CAUSA. DE LA DENOMINADA HABITACION 1 A SE SECUESTRO LA FACTURA QUE SE DETALLA COMO ELEMENTO SECUESTRADO, ARROJANDO TAMBIEN RESULTADO NEGATIVO EN CUANTO AL HALLAZGO DE SUSTANCIAS ESTUPEFACIENTES O A LA DETENCION DE PERSONAS.</t>
  </si>
  <si>
    <t>SECTOR DE COURRIER</t>
  </si>
  <si>
    <t>JOHN POL ROSSET GARCIA - CALLE MORENO 2114 - ROSARIO - ARG C.P. 2000 TEL. 5434161649214</t>
  </si>
  <si>
    <t>JOLITA STEMELIAKAITE - TYZENHAUZU ST. 14-13 VILNIUS LITHUANIA C.P. 02107</t>
  </si>
  <si>
    <t>MIENTRAS SE EFECTUABA EL CONTROL DE RUTINA SOBRE LA CARGA DE COURRIER SE DETECTA QUE EN LOS LATERALES DE CAJAS HABIDAS EN EL INTERIOR DE UNA CAJA MAS GRANDE, ERA HABIDA SUSTANCIA ORGANICA DE BAJA DENSIDAD POR LO QUE JUNTAMENTE CON EL PERSONAL DE ADUANA ALLI PRESENTE, APARTAN EL BULTO DEL CONTROL Y CONVOCAN TESTIGOS. LUEGO CON LAS AUTORIZACIONES PERTINENTES SE TRASLADA LA CAJA JUNTO A LOS INTERVINIENTES HACIA ESTA DEPENDENCIA DONDE SE LLEVA A CABO LA REQUISA, PREVIAMENTE AUTORIZADA, DE LA QUE SE DESPRENDEN DOCE PAQUETES PEQUEÑOS HABIDOS EN EL INTERIOR DE SEIS CAJAS. QUE SOMETIDOS OPORTUNAMENTES A REACTIVO DE CAMPO SE OBTUVO RESULTADO POSITIVO COCAINA. SE EFECTUARON LOS CORRESPONDIENTES SECUESTROS Y DILIGENCIAS ORDENADAS. PTO.- SE DEJA CONSTANCIA QUE EL COURRIER SE ORIGINO EN ROSARIO, ARGENTINA, DESCONOCIENDO EL MEDIO DE TRANSPORTE POR EL CUAL ARRIBO A EZEIZA</t>
  </si>
  <si>
    <t>IB6842</t>
  </si>
  <si>
    <t>Lituania</t>
  </si>
  <si>
    <t>VILNA</t>
  </si>
  <si>
    <t>EN CUMPLIMIENTO DE LA ORDEN DE SERVICIO NRO. 0040/10 Y SIENDO LAS 07:30 HORAS LOCAL ARRIBA AERONAVE AIR BUS A320, MATRICULA LV-BSJ, PERTENECIENTE A LA EMPRESA LAN ARGENTINA Y EN CUYAS BODEGAS 12, 13 Y 31 SE EMBARCAN UN TOTAL DE 79 CAJAS CON UN PESO DE 1881 KILOGRAMOS DE METAL- MTD- PERTENECIENTES ALA EMPRESA MINERA TRITON ARGENTINA S.A., CON DESTINO FINAL EL AEROPUERTO JORGE NEWBERY DE CAPITAL FEDERAL. EL MISMO DESPEGA A LAS 08:31 HORAS LOCAL.</t>
  </si>
  <si>
    <t>AEROPUERTO GRAL. MOSCONI- COMDORO RIVADAVIA</t>
  </si>
  <si>
    <t>OVASTAVINO</t>
  </si>
  <si>
    <t>NORMA G.SANCHEZ</t>
  </si>
  <si>
    <t>YLLACONZA ESTRADA GIAN CARLOS P.S.A ROBO</t>
  </si>
  <si>
    <t>EN REFERENCIA A ORDEN DE SERVICIO NRO.145/10 DE FECHA 21 MAY 2010 PRESONAL DESIGNADO PARA LA CUSTODIA DEL CIUDADANO PERUANO YLLACONZA ESTRADA QUE ESTUVO ALOJADO EN EL SERVICIO DE GUARDIA DE LA UOSP LO TRASLADO HASTA LA AERONAVE CORRESPONDIENTE AL VUELO LP 2422 QUE PARTIO A LAS 09:25 HRS. DESSDE ESETQ AEROESTACION CON DESTINO FINAL CIUDAD DE LIMA.DICHO CIUDADANO FUE EXPULSADO DEL PAIS POR LA DIRECCION NACIONAL DE MIGRACIONES DELEGACION CORDOBA SEGUN DISPOSICION DNM NRO.045845 -EXPTE N 20768-2010 DE FECHA 20 MAY 2010.</t>
  </si>
  <si>
    <t>SRIO AV LEY 23737 -CALLE CHUBUT -RUFINO-</t>
  </si>
  <si>
    <t>32/10</t>
  </si>
  <si>
    <t>SRIO AV LEY 23737 -........-</t>
  </si>
  <si>
    <t>EN EL DIA DE LA FECHA SE RECIBE OFICIO NRO. 1043 DEL JUZGADO ACTUANTE INFORMANDO QUE MEDIANTE RESOLUCION NRO. 303 DE FECHA 14MAY2010 SE DISPUSO EL ARCHIVO DE LA CAUSA. LAS TAREAS INVESTIGATIVAS SE DESARROLLARON POR ORDEN DE SERVICIO NRO. 070/2010 DE FECHA 30/03/2010 URSA IV DEL LITORAL Y EN EL TRANSCURSO DE LA INVESTIGACION SE PUDO IDENTIFICAR EL DOMICILIO DENUNCIADO EN LAS INMEDIACIONES DEL LUGAR SINDICADO EN LA DENUNCIA, CON LAS DOS PERSONAS DENUNCIADAS VIVIENDO EN EL LUGAR. NO SE CORROBORARON LAS CONDUCTAS DENUNCIADAS EN INFRACCIÓN A LA LEY 23.737, LO QUE GENERO EL ARCHIVO. EL PRESENTE PARTE RESERVADO ES AMPLIATORIO DEL PARTE RESERVADO NRO. 1913 REGISTRO PSA 1548/10 DE FECHA 30MAR2010.</t>
  </si>
  <si>
    <t>SANCHEZ FREYTES</t>
  </si>
  <si>
    <t>ALEJANDRO</t>
  </si>
  <si>
    <t>DR.MAXIMILIANO DAVIES</t>
  </si>
  <si>
    <t>EN EL DIA DE LA FECHA SE PRESENTO ANTE EL SERVICIODE GUARDIA EL DENUNCIANTE MANIFESTANDO QUE SIENDO LAS 14:00 HS APROXIMADAMENTE DEL DÍA 20 DE MAYO DEL CORRIENTE AÑO, DESPACHA, EN EL VUELO LA 4218 DE LA EMPRESA LAN EL CUAL PARTÍA DEL AEROPUERTO JORGE NEWBERY A LAS 19:55 HS CON DESTINO FINAL LA CIUDAD DE CÓRDOBA, UN (01) BOLSO TIPO PORTA TRAJE DE 0.40 X 0.50 CM. APROXIMADAMENTE COLOR NEGRO MARCA PRIMICIA, IDENTIFICADO CON MARBETE Nº LA 727134CONTENIENDO EN SU INTERIOR EFECTOS PERSONALES Y UN TRAJE COLOR GRIS OSCURO MARCA FABRIZI, EL CUAL EN UNO DE SUS BOLSILLOS CONTENÍA DOS (02) CELULARES SIN USO Y SIN TARJETA SIM, MARCA BLACK BERRY AL ARRIBAR A LA CIUDAD DE CÓRDOBA, EL DENUNCIANTE RETIRA SU BOLSO Y POSTERIORMENTE SE DIRIGE A SU DOMICILIO EN SU VEHICULO PARTICULAR, UNA VEZ ALLÍ OBSERVA QUE A SU EQUIPAJE LE HABÍAN CORTADO EL PRECINTO DE SU CIERRE Y AL ABRIRLO OBSERVA UN CORTE EN EL INTERIOR DEL MISMO Y NOTA LA FALTA DE LOS TELÉFONOS CELULARES ANTES MENCIONADOS. ACTO SEGUIDO SE DIO PARTICIPACION AL JUZGADO DE TURNO QUIEN ORDENA SE INICIEN LAS ACTUACIONES SUMARIALES NRO.24/10 CARATULADAS ROBO Y AL FINALIZAR LAS MISMAS SEAN ELEVADAS A LA UNIDAD JUDICIAL 17 DEL MINISTERIO PUBLICO FISCAL POR SER UN HECHO QUE NO AFECTA LOS INTERESES DE LA NACION</t>
  </si>
  <si>
    <t>TURNO POLICIA PREVENTIVA</t>
  </si>
  <si>
    <t>SE PROCEDE A LA APERTURA DE UNA SACA COLECTORA DEL CORREO OFICIAL, SEGÚN CONSTA EN ACTA DE RETENCIÓN DE CARGA Nº 258/10 Y ACTA DEJANDO CONSTANCIA Nº 259/10 DE APERTURA DE SACA, QUE ORIGINA LA PREVENCIÓN SUMARIA Nº 059/10 , LA SACA IDENTIFICADA CON MARBETE SLA0161676D636300NQN, PRECINTO Nº C772560, CONTIENE UNA PIEZA POSTAL IDENTIFICADA COMO EP666278961, RTTE. GENARO VILTE, DOMICILIO EN CALLE MADRE SELVA Nº 1070 Bº ALTO, PALPALA PROVINCIA DE JUJUY, DESTINATARIO GUSTAVO MARCOS VILTE, CORREO CENTRAL NEUQUÉN, LA CUAL QUEDA RETENIDA, ANTE LA PRESUNCIÓN DE QUE PUDIERA CONTENER ALGÚN ELEMENTO EN INFRACCIÓN A LA LEY 23.737 Y/O 22.415, QUEDANDO LA MISMA CERRADA Y EN GUARDA DE ESTA UOSP. SE COMUNICO TELEFÓNICAMENTE AL JUZGADO INTERVINIENTE Y LA APERTURA SE REALIZARA CON LA AUTORIZACIÓN DEL MAGISTRADO ACTUANTE.</t>
  </si>
  <si>
    <t>ERNESTO MENDIETA</t>
  </si>
  <si>
    <t>MENDIETA, MARIA JULIETA S/PSTA. INF. LEY 23.737</t>
  </si>
  <si>
    <t>BAÑO DE LISIADOS</t>
  </si>
  <si>
    <t>BAÑO FEMENINO,SALA DE ESPERA, VUELOS DE CABOTAJE</t>
  </si>
  <si>
    <t>AL MOMENTO DE FINALIZAR EL PREEMBARQUE DEL VUELO 1853, DURANTE EL CHEQUEO PREVENTIVO DE LOS SANITARIOS, SE ENCUENTRA EN EL INODORO DEL BAÑO FEMENINO PARA LISIADOS UNA BOLSITA CONTENIENDO UNA SUSTANCIA VERDE PARDUZCA, SE SOLICITA LA PRESENCIA DE TRES TESTIGOS Y PERSONAL DE ESTA PREVENCION INDIVIDUALIZA A UNA FEMENINA QUE HABIA UTILIZADO EL MISMO, LA CUAL YA SE ENCONTRABA EMBARCADA, RESULTANDO SER LA SRTA. MARIA JULIETA MENDIETA QUIEN MANIFIESTA EN FORMA ESPONTANEA QUE ELLA ERA LA PROPIETARIA DE LA MENCIONADA BOLSITA, SE PROCEDE A SU DESEMBARCO Y SE EFECTUA COMUNICACION CON EL SECRETARIO DEL JUZGADO FEDERAL QUIEN DISPONE LECTURA DE DERECHOS Y GARANTIAS Y REACTIVO DE LA SUSTANCIA HALLADA. SE REALIZA TEST DE CAMPO NIK ARROJANDO RESULTADO POSITIVO A MARIHUANA, CON UN PESO DE 2 GRAMOS. SE INFORMA LO ACTUADO AL JUZGADO INTERVINIENTE, QUEDANDO ESTA PREVENCION A LA ESPERA DE LA ORDEN DEL JUEZ INTERVINIENTE PARA LA REQUISA DE LA PERSONA Y DEL EQUIPAJE. PARTE Nº 3090/10 SIENDO LAS 16.40 HS SE RECEPCIONA OFICIO JUDICIAL EN EL MARCO DE LAS PRESENTES ACTUACIONES EL CUAL DISPONE SE PROCEDA A LA REQUIZA PERSONAL, EQUIPAJE Y REALIZACION DE MUESTRAS RADIOGRAFICAS EN EL HOSPITAL ZONAL, SOBRE LA POSIBLE INGESTA DE ALGUN ELEMENTO QUE CONTENGA ESTUPEFACIENTES POR PARTE DE LA IMPUTADA. SE REALIZA TRASLADO DE LA CAUSANTE AL NOSOCOMIO LOCAL SIENDO ATENDIDA POR LA DRA. SILVINA GONZALEZ M.P. Nº 593 EXTENDIENDO CERTIFICADO SIN NOVEDAD. SIENDO LAS 18.40 HS SE REGISTRA LOS EQUIPAJES DESPACHADO Y DE MANO RESULTANDO ESTE NEGATIVO. FINALIZADAS LAS ACTUACIONES EL MAGISTRADO DISPONE QUE LA IMPUTADA CONTINUE CON SU VIAJE PROGRAMADO.</t>
  </si>
  <si>
    <t>AR 1853</t>
  </si>
  <si>
    <t>SIENDO LA HORA ANTES MENCIONADA SE IMPLEMENTA OPERATIVO DE SEGURIDAD DE LA SEÑORA PRESIDENTE DE LA NACION, INGRESANDO VIA TERESTRE A LAS 11:40HS A LA AEROESTACION MILITAR PARA SU POSTERIOR SALIDA A LAS 11:52 HS EN AERONAVE T-01 CON DESTINO A LA CIUDAD DE CORDOBA SIN NOVEDAD</t>
  </si>
  <si>
    <t>DE GAMAS SOLER</t>
  </si>
  <si>
    <t>IGNACIO</t>
  </si>
  <si>
    <t>DR. ANDRES LEONELLI</t>
  </si>
  <si>
    <t>GARRAMUÑO JORGE S/DENUNCIA USURPACION</t>
  </si>
  <si>
    <t>18493/2005</t>
  </si>
  <si>
    <t>PRE-EMBARQUE</t>
  </si>
  <si>
    <t>PUESTO CONTROL PRE-EMBARQUE</t>
  </si>
  <si>
    <t>EN UN CONTROL DE RUTINA DEL VUELO AR 2898 REALIZADO POR LA OF. PRINCIPAL MARIA SOLEDAD LEYBA SE INDIVIDUALIZA E IDENTIFICA A LA CIUDADANA SOTO MARCELA ALEJANDRA D. N. I. Nº 17.596.173, SOBRE QUIEN PESA UN PEDIDO DE PARADERO Y COMPARENDO SEGUN REGISTRO DE LA RED LINCE Nº 285100, REALIZADO COMUNICACION CON EL JUZGADO INTERVINIENTE EN LA PERSONA DEL SECRETARIO DR. ANDRES LEONELLI, MANIFIESTA QUE SE NOTIFIQUE A LA CAUSANTE QUE DEBERA PRESENTARSE A LOS 3 DIAS DE SU REGRESO A ESTA CIUDAD A LOS EFECTOS DE PRESTAR DECLARACION INDAGATORIA, REALIZANDOSE ACTA DE NOTIFICACION Nº007/10</t>
  </si>
  <si>
    <t>EN REFERENCIA A SU ORDEN DE SERVICIO NRO. 143/10 DE FECHA 20 MAYO 2010 EN EL DIA DE LA FECHA ARRIBO A ESTA AEROESTACION EL AVION PRESIDENCIAL TANGO 01 CON LA SRA. PRESIDENTA CRISTINA FERNANDEZ DE KIRCHNER CON MOTIVO DE LA INAUGURACION DE LA CENTRAL TERMOELECTRICA DE CICLO COMBINADO DE PILAR Y DEL PENULTIMO TRAMO DE LA AUTOPISTA CORDOBA -ROSARIO. PREVIO AL AVION PRESIDENCIAL ARRIBO A LAS 11:12 HRS EL TANGO 02 CON LA COMITIVA QUE ACOMPAÑARIA A LA SRA. PRESIDENTA HASTA LA LOCALIDAD DE PILAR PARA EL ACTO DE INAUGURACION DE LAS OBRAS MENCIONADAS. A LAS 13:10 HRS. APROXIMADAMENTE PARTIO LA SRA. PRESIDENTA EN COMPANIA DEL SR.- GOBERNADOR DE LA PROVINCIA -DR. SCHIARETTI EN EL HELICOPTERO DE LA DIRECCION GENERAL DE AERONAUTICA Y EN OTRO HELICOPTERO SUS ASISTENTES PERSONALES. SIENDO LAS 15:30 HRS. ARRIBARON LAS DOS AERONAVES CON LAS AUTORIDADES MENCIONADAS, DESPEGANDO EL TANGO 01 A LAS 15:40 HRS. Y EL TANGO 02 A LAS 16:27 HRS. APROXIMADAMENTE. EL AVION TANGO 01 QUEDO APARCADO EN POSICION 26 Y EL TANGO 02 EN POSICION 25 .CABE DESTACAR QUE EL OPERATIVO DE SEGURIDAD SE DESARROLLO CON TOTAL NORMALIDAD.</t>
  </si>
  <si>
    <t>TC-01</t>
  </si>
  <si>
    <t>SIENDO LA HORA ANTES MENCIONADA SE IMPLEMENTA OPERATIVO DE SEGURIDAD DE LA SEÑORA PRESIDENTE DE LA NACION, ARRIBANDO EN T-01 A LAS 16:45HS A LA AEROESTACION MILITAR PARA SU POSTERIOR SALIDA A LAS 16:50HS EN H-01, FINALIZANDO EL MISMO A LAS 16:55HS SIN NOVEDADES.</t>
  </si>
  <si>
    <t>SIENDO LA FECHA Y HORA ANTES MENCIONADA SE RECIBE COMUNICACION TELEFONICA POR PARTE DEL OFICIAL MONZA PABLO, ENCARGADO DEL PREEMBARQUE NACIONAL, INFORMANDO QUE AL PASAR UN PASAJERO DE SEXO MASCULINO POR EL ARCO DETECTOR DE METALES, ACTIVO LA ALARMA DEL MISMO POR LO QUE EL OFICIAL KADY JORGE LE EFECTUA UN CHEQUEO MANUAL AL MASCULINO Y OBSERVO QUE EN EL BOLSILLO DELANTERO IZQUIERDO DEL PANTALON TENIA UNA PROTUBERANCIA POR LO QUE LE SOLICITA QUE EXHIBA EL CONTENIDO, RESULTANDO SER ESTE UNA MARQUILLA DE CIGARRILLOS, LA CUAL CONTENIA EN SU INTERIOR UNA SUSTANCIA COLOR VERDE Y DOS CIGARRILLOS ARMADOS. AL PREGUNTARLE SOBRE EL ORIGEN DE LA SUSTANCIA EL CAUSANTE MANIFESTO QUE ERA MARIHUANA. ACTO SEGUIDO SE CONVOCAN AL LUGAR A LOS DOS TESTIGOS HABILES, Y SE DIRIGEN TODOS LOS INTERVINIENTES A LA SALA DE REQUISA CITA EN DICHO PREEMBARQUE DONDE EL PERITO DE TURNO EFECTUO A LA SUSTANCIA UN REACTIVO QUIMICO MARCA NIK QUE ARROJO RESULTADO POSITIVO PARA MARIHUANA. SEGUIDAMENTE SE COMIENZA CON LAS ACTUACIONES DE RIGOR. SE AMPLIARA CON RESULTADO DE REINCIDENCIA SEGUN P.U. 3089 SIENDO LAS 2315 HORAS, EL DETENIDO FUE LIBERADO YA QUE NO POSEIA IMPEDIMENTOS LEGALES. EL MISMO SE RETIRO CON LOS ELEMENTOS PERSONALES QUE ESTABAN EN RESGUARDO DE LA UNIDAD OPERACIONAL.</t>
  </si>
  <si>
    <t>LA 4138</t>
  </si>
  <si>
    <t>DENTRO DE LA SALA DE EMBARQUE TERMINAL III</t>
  </si>
  <si>
    <t>SIENDO LAS 16:00 HS APROXIMADAMENTE EN EL SECTOR SALA DE ESPERA DEL PREEMBARQUE NACIONAL UNA PERSONA DE SEXO MASCULINO MANIFIESTA HABER SIDO VICTIMA DE UN HURTO DENTRO DE DICHO SECTOR. COMO EL DAMNIFICADO SE ENCONTRABA PROXIMO A ABORDAR SU VUELO, NO FORMALIZA DENUNCIA EN ESTE AEROPUERTO MOTIVO POR EL CUAL SE INICIA DE OFICIO LA MENCIONADA CAUSA COORDINANDO CON PSA DE DESTINO A FIN DE RECIBIRLE DECLARACION TESTIMONIAL AL DAMNIFICADO.</t>
  </si>
  <si>
    <t>AU 2686</t>
  </si>
  <si>
    <t>S/DCIA INF ART 194 DEL CP</t>
  </si>
  <si>
    <t>CONTROL DE MIGRACIONES</t>
  </si>
  <si>
    <t>ARRIBOS INTERNACIONALES</t>
  </si>
  <si>
    <t>SIENDO LAS 19:00 HS APROXIMADAMENTE FUE ENTREGADO A ESTA DEPENDENCIA POLICIAL POR PARTE DE LA DIRECCION NACIONAL DE MIGRACIONES EL PASAJERO SCHMIDT EMILIO ERNESTO, EL CUAL PRESENTA PEDIDO DE CAPTURA A REQUERIMIENTO DEL JUZGADO FEDERAL CORRECCIONAL Nº2, CON EL QUE SE ESTABLECE COMUNICACION TELEFONICA, EN LA QUE DISPONE QUE SE NOTIFIQUE AL SR SCHMIDT QUE SE PRESENTE EL DIA 26 DE MAYO DE 2010 EN HORAS DE LA MAÑANA EN LA SEDE DEL JUZGADO REQUIRIENTE CON EL FIN DE REGULARIZAR SU SITUACION LEGAL, RETIRANDOSE ESTE DE LA DEPENDENCIA POR SUS PROPIOS MEDIOS SIN NOVEDAD.</t>
  </si>
  <si>
    <t>AR 1263</t>
  </si>
  <si>
    <t>3082/10</t>
  </si>
  <si>
    <t>SIENDO LAS 23:15 SE PROCEDE A LA LIBERACION DEL DETENIDO POR ORDEN DEL JUZGADO INTERVINIENTE AL NO MEDIAR IMPEDIMENTO LEGAL SEGUN LA DIRECCION NACIONAL DE REINCIDENCIA. SIN NOVEDAD.</t>
  </si>
  <si>
    <t>3076/10</t>
  </si>
  <si>
    <t>MENDIETA, MARIA JULIETA S/PTA. INF. LEY 23.737</t>
  </si>
  <si>
    <t>MENDIETA MARIA JULIETA S/PRESUNTA INFRACCION LEY 23.737</t>
  </si>
  <si>
    <t>BAÑO FEMENINO - SALA DE ESPERA - VUELOS DE CABOTAJE</t>
  </si>
  <si>
    <t>AMPLIANDO LO RELATADO ANTERIORMENTE, INFORMO: ESTA PREVENCIÓN, RECIBIÓ OFICIO JUDICIAL, EMITIDO POR EL TRIBUNAL INTERVINIENTE, ORDEN DE REQUISA Y SECUESTRO, DISPONIENDO SE PROCEDA A LA REQUISA PERSONAL Y SOBRE EL EQUIPAJE PERTENECIENTE A LA CAUSANTE. ASIMISMO LA REALIZACIÓN DE PLACAS RADIOGRÁFICAS SOBRE LA MISMA, TENIENDO POR OBJETO PRESERVAR SU SALUD, COMO ASÍ TAMBIÉN PROCEDER AL SECUESTRO DE SUSTANCIAS ESTUPEFACIENTES. ASIMISMO SE RECIBE OFICIO JUDICIAL DIRIGIDO AL DIRECTOR DEL HOSPITAL REGIONAL USHUAIA, DONDE DISPONE LA REALIZACIÓN DE PLACAS RADIOGRÁFICAS ABDOMINALES Y/O ALTERNATIVAMENTE LA QUE LOS PROFESIONALES A SU CARGO RECOMIENDEN SOBRE LA PERSONA A FIN DE DETERMINAR LA POSIBLE INGESTA POR PARTE DE LA NOMBRADA DE ALGÚN ELEMENTO Y/O CAPSULA CONTENIENDO SUSTANCIA ESTUPEFACIENTE QUE HAGA CORRER EN RIESGO SU SALUD, MEDIDA A LLEVARSE A CABO POR PERSONAL DEL DEPARTAMENTO DE RAYOS DEL NOSOCOMIO. ESTA PREVENCIÓN DIO CUMPLIMIENTO A LO ORDENADO POR S.SA., ARROJANDO RESULTADO NEGATIVO SOBRE LA REQUISA PERSONAL Y SOBRE SU EQUIPAJE COMO ASÍ TAMBIÉN EN PLACAS RADIOGRÁFICAS LLEVADAS A CABO EN EL HOSPITAL REGIONAL. SE INFORMÓ A LA FISCALÍA FEDERAL USHUAIA, Y AL TRIBUNAL INTERVINIENTE, DISPONIENDO ESTE SE REALICEN LAS ACTUACIONES CORRESPONDIENTES, Y QUE LA CAUSANTE CONTINÚE VIAJE.</t>
  </si>
  <si>
    <t>SIENDO LAS 09:30 HS SE COMUNICA VIA NEXTEL PERSONAL DE SEGUERIDAD PRIVADA -SASA- SR. GOMEZ, JUAN ALBERTO, OPERARIO DE DICHA EMPRESA, INFORMANDO HABER HALLADO EN UN CARRO PORTAEQUIPAJE 01 SOBRE DE PEQUEÑAS DIMENSIONES, DICHO CARRO SE ENCONTRABA EN EL FRENTE DE EDIFICIO, INMEDIATAMENTE SE APERSONA EN EL LUGAR EL OF. AYTE. TOMASELLI, MARCELO PARA CONSTATAR DICHO HALLAZGO, UNA VEZ EN EL LUGAR TOMA CONTACTO CON EL JEFE DE TURNO VIA NEXTEL INFORMANDO EN DETALLE AL RESPECTO DE UN SOBRE ABIERTO EN EL CUAL SE PODIA OBSERVAR APARENTEMENTE UNA SUMA IMPORTANTE DE DINERO Y DOCUMENTACION VARIAS, ACTO SEGUIDO EL OF. TOMASELLI SE DIRIGE A LA GUARDIA DE PREVENCION CON DICHOS ELEMENTOS Y 01 UN TESTIGO PARA REALIZAR EL ACTA DE HALLAZGO CORRESPONDIENTE CON N° 77/10, EN LA CUAL SE DETALLA 01 UN SOBRE BLANCO CON LA INSCRIPCION GATE1ONE QUE CONTIENE EN SU INTERIOR 01 UN DOCUMENTO DE IDENTIDAD Y 01 UNA CEDULA DE LA POLICIA FEDERAL N° 43.627.509 A NOMBRE DE LUNA PAULA, 01 UN DOCUMENTO DE IDENTIDAD Y 01 UNA CEDULA DE LA POLICIA FEDERAL N° 21.909.484 A NOMBRE DEL SR. LUNA ADRIAN, 01 UN DOCUMENTO DE IDENTIDAD Y 01 UNA CEDULA DE LA POLICIA N° 21.141.359 A NOMBRE DE LA SRA. GRIMALDI VANESA, 01 UNA LIBRETA DE FAMILIA, TARJETAS DE EMBARQUE VUELA LAN N° 4240, 01 UN ITINERARIO DE VIAJE DE LA EMPRESA GATE1ONE Y LA SUMA DE PESOS 10.000 DIEZ MIL. CABE ACLARAR QUE EN MOMENTOS DE REALIZAESE DICHO ACTA SE PRESENTA EL PROPIETARIO DEL MENCIONADO SOBRE, EL CUAL SE IDENTIFICA CORROBORANDO TODOS SUS DATOS, QUEDANDO A LA ESPERA DE QUE SE FINALICEN LAS ACTUACIONES PERTINENTES, UNA VEZ QUE EL PROPIETARIO CONSTATA SUS PERTENENCIAS FINALIZAN LAS ACTUACIONES CON TOTAL NORMALIDAD.</t>
  </si>
  <si>
    <t>SIENDO LA HORA ANTES MENCIONADA LA DENUNCIANTE ARRIBA A ESTA AEROESTACIÓN EN EL VUELO PROCEDENTE DE MADRID ESPAÑA Y LUEGO DE FINALIZAR CON LOS TRÁMITES CORRESPONDIENTES AL INGRESO AL PAÍS, SE DIRIGE A RECOGER SUS EQUIPAJES SIENDO ESTOS UNA VALIJA DE COLOR VERDE Y GRIS, UN BOLSO TIPO PLAYERO FLOREADO Y UN BOLSO DE COLOR NEGRO. QUE UNA VEZ FINALIZADOS DICHOS TRAMITES SE DIRIGE HACIA EL ENCUENTRO CON SUS FAMILIARES Y LUEGO DE TOMAR CONTACTO CON ELLOS SE DIRIGEN HACIA EL SECTOR DONDE SE ENCONTRABA ESTACIONADO SU VEHICULO PARTICULAR CARGANDO DICHAS VALIJAS EN EL INTERIOR DEL VEHICULO. QUE EN MOMENTOS EN QUE EMPRENDEN SU PARTIDA SE PERCATAN DEL FALTANTE DEL TICKET DE ESTACIONAMIENTO Y A EFECTOS DE REALIZAR UNA BÚSQUEDA MAS TRANQUILA DETIENEN LA MARCHA DEL VEHICULO Y DESCIENDEN DEL MISMO Y EN TALES CIRCUNSTANCIAS LA DENUNCIANTE DEJA APOYADO EN EL SUELO O SOBRE UNA CAMIONETA DE COLOR NEGRO DE LA CUAL NO RECUERDA MAS DATOS EL BOLSO EN CUESTIÓN Y LUEGO EMPRENDEN LA PARTIDA HACIA SU DOMICILIO. QUE UNA VEZ TRANSCURRIDOS APROXIMADAMENTE TREINTA MINUTOS DE VIAJE LA DENUNCIANTE ADVIERTE EL OLVIDO DEL BOLSO NEGRO Y EMPRENDEN EL REGRESO HACIA ESTE AEROPUERTO SIN PODER DAR CON ELEMENTO FALTANTE. Y LUEGO DE ELLO SE HACE PRESENTE EN ESTE TURNO DE PREVENCIÓN A EFECTOS DE RADICAR LA PRESENTE DENUNCIA.</t>
  </si>
  <si>
    <t>UX401</t>
  </si>
  <si>
    <t>TENT. CONT. ESTUPEFAC</t>
  </si>
  <si>
    <t>QUE SIENDO LA HORA INDICADA MIENTRAS SE EFECTUABA EL CONTROL RUTINARIO DE LOS EQUIPAJES DESPACHADOS A BODEGA POR LOS PASAJERO DEL VUELO DE MENCIÓN PERSONAL POLICIAL OBSERVA MEDIANTE EL MONITOR DE LA MAQUINA DE RAYOS X EN EL INTERIOR DE UNA VALIJA VARIAS FIGURAS RECTANGULARES CONTENIENDO SUSTANCIA ORGÁNICA DE BAJA DENSIDAD SEGUIDAMENTE SEPARAN EL EQUIPAJE EN CUESTIÓN SIENDO ESTE UNA VALIJA TIPO CARRY-ON DE GRANDES DIMENSIONES ENVUELTA EN FILM DE NYLON COLOR VERDE. SEGUIDAMENTE SE PROCEDE LA BÚSQUEDA DEL PASAJERO A QUIEN SE LO LOGRA IDENTIFICAR MEDIANTE SU PASAPORTE ESPAÑOL EN LA MANGA NUMERO TRES. QUE UNA VEZ IDENTIFICADO EL PASAJERO SE LO INVITA HACIA EL SECTOR DEL PATIO DE VALIJAS DONDE RECONOCE COMO DE SU PROPIEDAD LA VALIJA EN CUESTIÓN. EN VIRTUD A ELLO SE TRASLADAN TODOS LOS ALLÍ PRESENTES, HACIA EL TURNO DE PREVENCIÓN. DONDE SE SOLICITA AUTORIZACIÓN PARA LA REQUISA DEL EQUIPAJE EN CUESTIÓN LA CUAL UNA VEZ AUTORIZADA SE OBSERVA EN EL INTERIOR DE DICHA VALIJA UNA MOCHILA MARCA NIKE COLOR NEGRO Y QUE EN SU INTERIOR ERA HABIDO UN CAMBIADOR PARA NIÑOS MARCA NEUREKA EL CUAL ESTABA COMPUESTO POR UNA CAPA DE CUERINA DE COLOR NEGRO DONDE SE OBSERVA QUE EN SU INTERIOR Y LUEGO DE UN CORTE SOBRE LA CAPA DE MENCIÓN OBRABA UN UNA CAPA DE GOMA ESPUMA DE COLOR VIOLETA LA QUE UNA VEZ RETIRADA SE LOGRA DIVISAR UN PAQUETE CONFECCIONADO CON NYLON COLOR NEGRO, PAQUETE 1. SEGUIDAMENTE SE LE REALIZA UN PEQUEÑO CORTE AL DENOMINADO PAQUETE 1 Y SE PUEDE APRECIAR LA EXISTENCIA DE UNA SUSTANCIA DE CONSISTENCIA GOMOSA DE COLOR BLANCO, REALIZÁNDOLE UNA PRUEBA DE CAMPO PARA COCAÍNA MARCA COCA TEST -PEN TEST ARROJANDO RESULTADO POSITIVO. SEGUIDAMENTE PERSONAL POLICIAL TOMA LA MOCHILA ANTES DESCRIPTA Y LE PRACTICA UN CORTE SOBRE LA TELA DE LA MISMA DONDE SE PUEDE APRECIAR LA PRESENCIA DE UNA GOMA ESPUMA DE COLOR AMARILLO Y POR DEBAJO DE ESTA UN PAQUETE CONFECCIONADO POR NYLON COLOR NEGRO, PAQUETE 2. AL QUE SE LE REALIZA UN CORTE Y SE PUEDE OBSERVAR UNA SUSTANCIA DE IGUALES CARACTERÍSTICAS A LA DEL PAQUETE ANTES DESCRIPTO. SEGUIDAMENTE EL PAQUETE 2 ES SOMETIDO AL MISMO PROCEDIMIENTO QUE AL ANTES MENCIONADO ARROJANDO RESULTADO POSITIVO. QUE CONTINUANDO CON LA REQUISA SE OBSERVA UN BOLSO DE COLOR NEGRO MARCA PUMA Y JUNTO A EL UNA ALFOMBRA PLÁSTICA DE COLORES. SEGUIDAMENTE EL AUXILIAR JUDICIAL PROCEDIÓ A LA REQUISA DEL MENCIONADO BOLSO REALIZANDO VARIOS CORTES SOBRE LA TELA DE COLOR NEGRO OBSERVANDO EN EL INTERIOR DEL MISMO UNA CAPA DE GOMA ESPUMA DE COLOR AMARILLO Y POR DEBAJO DE ESTA UN PAQUETE CONFECCIONADO CON CINTA DE NYLON COLOR NEGRO, PAQUETE 3 Y UN PAQUETE CONFECCIONADO DE IGUALES CARACTERÍSTICAS, PAQUETE 4 Y QUE LUEGO SE LE REALIZA A CADA UNO DE LOS PAQUETES MENCIONADOS UNA PEQUEÑA INCISIÓN Y SE OBSERVA QUE EN EL INTERIOR DE LOS MISMOS UNA SUSTANCIA DE CONSISTENCIA GOMOSA TRANSPARENTE A LA QUE SE REALIZA UNA PRUEBA DE CAMPO PARA COCAÍNA LAS CUALES ARROJAN RESULTADO POSITIVOS EN CADA CASO. QUE CONTINUANDO CON EL PROCEDIMIENTO SE PROCEDE CON LA MENCIONADA ALFOMBRA A LA CUAL SE REALIZA UN CORTE Y SE OBSERVA QUE EN EL INTERIOR DE LA MISMA HARÁ HABIDO UN PAQUETE CONFECCIONADO DE IGUAL MANERA A LOS ANTES DESCRIPTOS, PAQUETE 5. AL CUAL SE LE REALIZA UN CORTE Y SE DEJA OBSERVAR QUE EN SU INTERIOR ERA HABIDA UNA SUSTANCIA DE CONSISTENCIA GOMOSA DE COLOR BLANCO LA QUE SOMETIDA A UNA PRUEBA DE CAMPO PARA COCAÍNA LA MISMA ARROJO RESULTADO POSITIVO. QUE UNA VEZ OBTENIDOS DICHOS RESULTADOS EL JUZGADO INTERVINIENTE DISPONE POR ORDEN DE S.SA LA DETENCIÓN DEL PASAJERO EN CALIDAD DE INCOMUNICADO, ACTUACIONES DE RIGOR Y QUE EL MISMO UN VEZ FINALIZADAS DICHAS DILIGENCIAS SEA TRASLADADO HACIA LA UNIDAD PENITENCIARIA FEDERAL NUMERO 28 Y QUE LAS ACTUACIONES SEAN ELEVADAS A SEDE JUDICIAL EL DÍA 24 DEL CORRIENTE MES Y AÑO, QUE SIENDO LAS DIECISIETE HORAS Y UNA VEZ CULMINADAS LAS DILIGENCIAS SE PROCEDIÓ AL TRASLADO DEL DETENIDO HACIA LA U-28 DEL S.P.F.-</t>
  </si>
  <si>
    <t>ACTA DE HALLAZGO</t>
  </si>
  <si>
    <t>BAÑOS FEMENINOS HALL PLANTA ALTA</t>
  </si>
  <si>
    <t>INFORMO EL DIA 22 DE MAYO DE 2010 SIENDO LAS 20:50 HS SE PRODUCE EL HALLAZGO DE UN (01) CARGADOR DE PISTOLA MARCA SIG SAUER P226 CONTENIENDO CATORCE (14) PROYECTILES MARCA SPEER LUGER CALIBRE 9 MM EL MISMO FUE HALLADO EN EL CONTENEDOR DE BASURA DEL BAÑO FEMENINO UBICADO EN LA PARTE PÚBLICA DEL HALL PLANTA ALTA DE ESTA AEROSTACIÓN POR LA SRA. PEREIRA ZULMA BEATRIZ D.N.I. Nº 27.596.510 PERSONAL DE LA EMPRESA SERZA A CONTINUACION SE ESTABLECE COMUNICACIÓN TELEFÓNICA CON EL ABONADO Nº 03751-15511378, SIENDO ATENDIDO EN LA PERSONA DEL DR. MIGUEL ÁNGEL GUERRERO A CARGO DE LA SECRETARIA DEL JUZGADO FEDERAL DE PRIMERA INSTANCIA DE LA CIUDAD DE ELDORADO QUIEN ENTERADO DEL HECHO ORDENA QUE SE REALICE UN ACTA DE HALLAZGO Y QUE EL MISMO PERMANEZCA EN RESGUARDO DE ESTA DEPENDENCIA POLICIAL.</t>
  </si>
  <si>
    <t>TRAYECTO DESDE EL AEROPUERTO HASTA EL DOMICILIO DE LA DENUNCIANTE.</t>
  </si>
  <si>
    <t>QUE SIENDO LAS 21:50 HS. DEL DIA DE LA FECHA LA DENUNCIANTE SE HIZO PRESENTE EN ESTA DEPENDENCIA MANIFESTANDO QUE EN EL DIA 21/05/2010 EN EL HORARIO DE LAS 14:30 HS. APROX. TOMO UN REMIS DE COLOR GRIS DEL CUAL NO RECUERDA MAS CARACTERISTICAS. EN EL SECTOR PERGOLA DE TAXIS DE LA TERMINAL A, LA DENUNCIANTE CARGO EN EL INTERIOR DEL REMIS SUS PERTENENCIAS CONSISTENTES EN UN PORTANOTEBOOK DE COLOR NEGRO Y EN EL BAUL DEL MISMO DOS VALIJAS DE COLOR NEGRO. POSTERIORMENTE ARRIBO A DESTINO SITO EN LA CALLE BELISARIO HUEYO NUMERO 160 AVELLANEDA, PCIA. DE BS. AS. Y FUE ALLI QUE EL CHOFER DEL REMIS, DE QUIEN DESCONOCE CARACTERISTICAS FISICAS, LE ENTREGO LAS MALETAS HABIDAS EN EL BAUL DEL RODADO Y SE RETIRO EL LUGAR CON SU MALETIN DE COLOR NEGRO ANTES CITADO. NO POSEE SEGURO SOBRE LOS FALTANTES Y SE QUEDARA EN EL PAIS HASTA EL DIA 27/05/2010 EN EL DOMICILIO ANTES REFERIDO.</t>
  </si>
  <si>
    <t>INFRACCION A LA LEY 23.737 DEL CPN</t>
  </si>
  <si>
    <t>QUE EN EL CITADO PUNTO DE INSPECCION AL MOMENTO DE LLEVARSE A CABO EL PROCEDIMIENTO RUTINARIO DE CONTROL A LOS EQUIPAJES DESPACHADOS A BODEGA DEL VUELO AR 1363 PROCEDENTE DE LA CIUDAD DE SANTA CRUZ DE LA SIERRA BOLIVIA, EL PERSONAL POLICIAL ABOCADO A DICHA TAREA OBSERVA A TRAVES DE LA MAQUINA DE RAYOS X, QUE EN EL FONDO DE UNA VALIJA SE ENCONTRABAN VARIOS BULTOS DE FORMA RECTANGULAR DE SUSTANCIA ORGANICA, NO PUDIENDO CONSTATAR FEHACIENTEMENTE DE QUE TIPO DE ELEMENTO SE TRATARIA, MOTIVO POR EL CUAL, UNA VEZ INDIVIDUALIZADO SU PROPIETARIO, EL MISMO CONFIRMA QUE SE ENCUENTRA COMO PASAJERO EN TRANSITO PROCEDENTE DE LA CIUDAD DE SANTA CRUZ DE LA SIERRA PARA SU POSTERIOR EMBARQUE AL VUELO AR 1140 DE AEROLINEAS ARGENTINAS, CON DESTINO A LA CIUDAD DE ROMA - ITALIA. SEGUIDAMENTE, EN PRESENCIA DE LOS TESTIGOS Y PERSONAL POLICIAL INTERVINIENTE, SE PROCEDE A LA APERTURA DEL EQUIPAJE EN CUESTION, HALLANDOSE PRENDAS DE VESTIR VARIAS Y DEBAJO DE ESTA UN BULTO DE FORMA RECTANGULAR CONFORMADO POR UNA CAMISA. QUE UNA VEZ QUITADA LA CAMISA, SE OBSERVA QUE DENTRO DE ESTA SE HALLABAN UN TOTAL DE SEIS PAQUETES CONFORMADOS CON PAPEL DE REGALO PLATEADO Y UNIDOS ENTRE SI POR CINTA DE EMBALAR TRANSPARENTE. ACTO SEGUIDO SE PROCEDE A EFECTUAR A CADA UNO DE LOS PAQUETES HALLADOS UNA PEQUEÑA INSICION, ENCONTRANDO EN EL INTERIOR DE CADA UNO DE ESTOS SUSTANCIA PULVERULENTA COLOR BLANCA, LA QUE SOMETIDA A PRUEBA DE CAMPO CON REACTIVO PARA COCAINA ARROJO EN TODOS LOS CASOS POSITIVO. SE DIO INTERVENCION AL JUZGADO FEDERAL DE LOMAS DE ZAMORA EN TURNO, EL CUAL DISPUSO LA DETENCION DEL CAUSANTE EN CALIDAD DE INCOMUNICADO Y UNA VEZ FINALIZADAS LAS DILIGENCIAS DE RIGOR, EL MISMO SEA TRASLADADO A LA UNIDAD DE ALOJAMIENTO DE DETENIDOS DEL SERVICIO PENITENCIARIO FEDERAL. SIENDO LAS SIETE HORAS TREINTA MINUTOS, EL DETENIDO EN AUTOS ES TRASLADADO A LA UNIDAD 28 DEL S.P.F. PTO.-</t>
  </si>
  <si>
    <t>AR 1363</t>
  </si>
  <si>
    <t>EZEIZA AR 1140 2245 HORAS</t>
  </si>
  <si>
    <t>DR GUILLERMO JORGE GONZALEZ</t>
  </si>
  <si>
    <t>MANCINELLI. MARIA ROSANA S/DCIA ESTAFA</t>
  </si>
  <si>
    <t>RED LINCE</t>
  </si>
  <si>
    <t>HALL PLANTA ALTA DEL EDIFICO</t>
  </si>
  <si>
    <t>SECTOR CONTROL RED LINCE</t>
  </si>
  <si>
    <t>SIENDO LAS 06:15 HORAS EN MOMENTO QUE SE REALIZABA CONTROL DE RED LINCE DEL VUELO AUSTRAL Nº 2831 CON DESTINO A AEROPARQUE CIUDAD DE BUENOS AIRES SE PORECEDE A IDENTIFICAR A UNA PERSONA DE NOMBRE MIGUEL LEONARDO CON DNI Nº 32.976.116, EL CUAL LE SURGE UN REQUERIMIENTO DE DETENCION SOBRE SU PERSONA, BAJO REGISTRO INTERNO Nº 280206, ORDENADO POR EL JUZGADO DE PRIMERA NOMINACION DISTRITO JUDICIAL SUR DE TIERRA DEL FUEGO. EN LOS AUTOS CARATULADOS MANCINELLI MARIA S/DCIA ESTAFA. REALIZADO LAS COMUNICACIONES DE RIGOR SE PROCEDE A CONTACTARSE CON EL JUZGADO INTERVINIENTE EL CUAL ORDENA LA LIBERACION DEL CIUDADANO Y QUE ENVIARA EL OFICIO JUDICIAL CON EL LEVANTAMIENTO DE LA MEDIDA.</t>
  </si>
  <si>
    <t>GARRAMUÑO JORGE A. S/DCIA. USURPACION</t>
  </si>
  <si>
    <t>LOPEZ MAMANI DAVID S/RESTRICCION DE LIBERTAD</t>
  </si>
  <si>
    <t>CERCANIAS DE LAS INSTALACIONES DE LA UNIDAD OPERACIONAL, COSTADO DE LA PLAYA ESTACIONAMIENTO</t>
  </si>
  <si>
    <t>INFORMO SIENDO LAS 09:00 HS EN RECORRIDA DE RUTINA POR JURISDICCIÓN EN MÓVIL DE DOTACIÓN SE OBSERVA QUE EN EL SECTOR DESCAMPADO UBICADO A UNOS 150 METROS FRENTE A LAS INSTALACIONES DE ESTA UOSP, SE ENCONTRABA UN CIUDADANO, IDENTIFICADO COMO LOPEZ MAMANI, DAVID SOBRE QUIEN PESA, SEGÚN REGISTRO LINCE NRO 285096 PEDIDO DE PARADERO CON COMPARENDO. ATENTO A ELLO ES CONDUCIDO AL TURNO DE PREVENCION, SE DA INTERVENCIÓN AL JUZGADO DE INSTRUCCIÓN EN LA PERSONA DEL SR SECRETARIO DR. GUILLERMO GONZALEZ, QUIEN DISPONE SE NOTIFIQUE AL CAUSANTE PARA QUE COMPAREZCA DENTRO DE LAS 72 HS. HÁBILES ANTE EL TRIBUNAL INTERVINIENTE A PRIMER AUDIENCIA, PARA PRESTAR DECLARACIÓN INDAGATORIA, BAJO APERCIBIMIENTO DE LO ESTABLECIDO EN EL ARTICULO 255 2DO PÁRRAFO DEL CPP. SE LABRO ACTA DE NOTIFICACION NRO 007/2010, RETIRÁNDOSE POSTERIORMENTE EL CAUSANTE-</t>
  </si>
  <si>
    <t>SECRETARIA N° 165 - CAPITAL FEDERAL</t>
  </si>
  <si>
    <t>Zamudio</t>
  </si>
  <si>
    <t>Mauricio Adolfo</t>
  </si>
  <si>
    <t>PONS FERANDO</t>
  </si>
  <si>
    <t>INFORMO QUE EN EL CONTROL DE DOCUMENTACION DE PASAJEROS SE DETECTA A TRAVES DEL SISTEMA DE INTERPOL EL PEDIDO DE PARADERO VIGENTE SOLICITADO POR EL JUZGADO DE INSTRUCCION NRO 21 SECRETARIA NRO 165 A/C DEL DR FERNANDO PONS ANTE EL HECHO PERSONAL DE INTERPOL CONFECCIONA ACTA Y LA ENTREGA AL JEFE DE TURNO EL CUAL CONFECCIONA ACTA DE NOTIFICACION DANDO CUMPLIMIENTO A LO REQUERIDO POR EL JUZGADO SOLICITANTE DE LA MEDIDA Y SE NOTIFICA AL CAUSANTE QUE DEBE COMPARECER ANTE EL MAGISTRADO SOLICITANTE DE LA MEDIDA DENTRO DE LOS CINCO DIAS HABILES DE LABRADA LA MISMA PARA REGULARIZAR SU SITUACION JUDICIAL</t>
  </si>
  <si>
    <t>INFRACCION ART. 85 DEL DECRETO LET 8031/73</t>
  </si>
  <si>
    <t>SIENDO LA HORA Y FECHA MENCIONADA, EN MOMENTOS EN QUE LOS OFICIALES SACOR Y LONGHINI EFECTUABAN UNA RECORRIDA POR EL SECTOR CITADO, OBSERVAN A UNA PERSONA DE SEXO MASCULINO REALIZANDO SERVICIO DE MALETERO SIN POSEER LA CORRESPONDIENTE HABILITACION. POR TAL MOTIVO, PREVIA REVISION MEDICA, SE DIRIGEN LOS INTERVINIENTES A LA OFICINA DE CONTRAVENCIONES Y FALTAS, DONDE SE EFECTUA LA CORRESPONDIENTE ACTA Y SE INICIAN LAS ACTUACIONES DE RIGOR</t>
  </si>
  <si>
    <t>JUZGADO NACIONAL DE 1RA. INSTANCIA EN LO COMERCIAL N° 21</t>
  </si>
  <si>
    <t>SECRETARIA N° 42</t>
  </si>
  <si>
    <t>PAEZ CASTAÑEDA</t>
  </si>
  <si>
    <t>GERMAN</t>
  </si>
  <si>
    <t>CARREIRA GONZALEZ GUILLERMO</t>
  </si>
  <si>
    <t>INFORMO QUE EN EL CONTROL DE DOCUMENTACIÓN DE PASAJEROS SE DETECTA A TRAVES DEL SISTEMA DE INTERPOL EL PEDIDO DE PARADERO VIGENTE SOLICITADO POR EL JUZGADO NACIONAL DE PRIMERA INSTANCIA EN LO COMERCIAL Nº 21 SECRETARIA NRO 42 A/C DEL DR PAEZ CASTAÑEDA GERMAN ANTE EL HECHO PERSONAL DE INTERPOL CONFECCIONA ACTA Y LA ENTREGA AL JEFE DE TURNO EL CUAL CONFECCIONA ACTA DE NOTIFICACIÓN DANDO CUMPLIMIENTO A LO REQUERIDO POR EL JUZGADO SOLICITANTE DE LA MEDIDA Y SE NOTIFICA AL CAUSANTE QUE DEBE COMPARECER ANTE EL MAGISTRADO SOLICITANTE DE LA MEDIDA DENTRO DE LOS CINCO DIAS HABILES DE LABRADA LA MISMA PARA REGULARIZAR SU SITUACION JUDICIAL</t>
  </si>
  <si>
    <t>SIENDO LA HORA Y FECHA MENCIONADA, EN MOMENTOS EN QUE LOS OFICIALES FRANCIA Y GARCIA CARRANZA EFECTUABAN UNA RECORRIDA POR EL SECTOR CITADO, OBSERVAN A UNA PERSONA DE SEXO MASCULINO QUE SE ENCONTRABA OFRECIENDO SERVICIO DE TRASNPORTE PUBLICO A VIVA VOZ A PASAJEROS SIN POSEER LA CORRESPONDIENTE HABILITACION, POR TAL MOTIVO, PREVIA REVISION MEDICA, SE DIRIGEN LOS INTERVINIENTES A LA OFICINA DE CONTRAVENCIONES Y FALTAS, DONDE SE LABRA LA CORRESPONDIENTE ACTA Y SE COMIENZA CON LAS ACTUACIONES DE RIGOR.</t>
  </si>
  <si>
    <t>SIENDO LA FECHA Y HORA MENCIONADA, EN MOMENTOS EN QUE LOS OFICIALES CAMPOLO Y SOMMER EFECTUABAN UNA RECORRIDA POR EL SECTOR CITADO, OBSERVAN A UNA PERSONA DE SEXO MASCULINO OFRECIENDO SERVICIO DE TRANSPORTE PUBLICO A VIVA VOZ A PASAJEROS SIN POSEER LA HABILITACION PARA TAL FIN. POR TAL MOTIVO, PREVIA REVISION MEDICA, SE DIRIGEN LOS INTERVINIENTES A LA OFICINA DE CONTRAVENCIONES Y FALTAS DONDE SE LABRA LA CORRESPONDIENTE ACTA Y SE INICIAN ACTUACIONES DE RIGOR.</t>
  </si>
  <si>
    <t>MIRTA CAMPOSTULA</t>
  </si>
  <si>
    <t>QUE EL DIA DE LA FECHA EN EL HORARIO INDICADO, PERSONAL POLICIAL DESTACADO EN EL LUGAR INDICADO, OBSERVA A TRAVEZ DE RAYOS X, SUSTANCIA ORGANICA EN EL INTERIOR DE DOS CAJAS DE CARTON DE GRANDES DIMENCIONES DESPACHADAS A NOMBRE DE LA MISMA PERSONA POR TAL MOTIVO, EL JEFE DE TURNO HABIENDO RECIBIDO LA NOVEDAD, ORDENA SE INDIVIDUALICE AL PASAJERO, SE CONVOQUE LA PRESENCIA DE DOS TESTIGOS Y POSTERIORMENTE SE TRASLADEN TODOS LOS INTERVINIENTES AL ASIENTO DE ESTA GUARDIA DE PREVENCION. A CONTINUACION PREVIA AUTORIZACION JUDICIAL SE PROCEDE A LA REQUIZA DE LAS MENCIONADAS CAJAS Y DEL PASAJERO EN CUESTION, HALLANDO DENTRO DE LA PRIMER CAJA UN ORGANO ELECTRONICO, QUEDANDO ESTA VACIA CON UN PESO ANORMAL AL DE UNA CAJA EN ESTAS CONDICIONES, SEGUIDAMENTE SE PROCEDE AL DESARME DE LA MISMA HALLANDOSE ENTRE LAS LAMINAS DE CARTON QUE LAS COMPONEN NUEVE PAQUETES IDENTIFICADOS DEL UNO AL NUEVE INCLUSIVE CON PRESUNTA SUSTANCIA ESTUPEFACIENTE, QUE EXPUESTOS A REACTIVO QUIMICO PARA COCAINA ARROJARON RESULTADOS POSITIVOS EN TODOS LOS CASOS, DEL MISMO MODO SE PROCEDIO CON LA SEGUNDA CAJA HALLANDOSE DOS VELADORES, QUEDANDO ESTA VACIA CON UN PESO ANORMAL AL DE UNA CAJA EN ESTAS CONDICIONES, SEGUIDAMENTE SE PROCEDIO AL DESARME DE LA MISMA HALLANDOSE SEIS PAQUETES DE SIMILARES CARACTERISTICAS A LOS ANTES CITADOS, LOS CUALES EN SU TOTALIDAD ARROJARON RESULTADOS POSITIVOS, POSTERIORMENTE SE INFORMA A SSA. DE LOS RESULTADOS OBTENIDOS INDICANDO, SE LABREN ACTUACIONES DE RIGOR BAJO LA CARATULA CITADA, SE DETENGA EN CALIDAD DE INCOMUNICADO AL SUJETO, UNA VEZ CUMPLIMENTADAS LAS DILIGENCIAS SE TRASLADE AL CAUSANTE A LA UNIDAD 28 DEL SERVICIO PENITENCIARIO FEDERAL DEBIENDO ELEVAR LO ACTUADO EL DIA LUNES VEINTICUATRO DEL CORRIENTE MES Y AÑO.SE DEJA CONSTANCIA QUE SE EFECTUO LA REQUIZA DEL PASAJERO Y DE SUS EFECTOS PERSONALES ARROJANDO EN AMBOS CASOS RESULTADO NEGATIVO ES TODO. CONSTE.------------------------------------------------------ SEGUN P.U. 3112 SIENDO LAS 2400 HORAS SE PROCEDIO AL TRASLADO DEL DETENIDO A LA U 28 DEL SPF.</t>
  </si>
  <si>
    <t>PUERTA DE SALIDA</t>
  </si>
  <si>
    <t>SALON DE ARRIBOS</t>
  </si>
  <si>
    <t>SIENDO LAS 19:00 HS DEL DIA DE LA FECHA EN EL SECTOR DE ARRIBOS SE HALLA UN (1) PORTAFOLIOS DE COLOR NEGRO MARCA CASE LOGIC CONTENIENDO EN SU INTERIOR UNA (1) COMPUTADORA NOTEBOOCK MARCA HP PAVILION CON UN ADAPTADOR PARA MEMORIA MARCA MICRO SD, UN (1) CABLE PARA CONEXIÓN Y SU CORRESPONDIENTE FUENTE Nº DE SERIE CT :W92C40FLLVF2OB MARCA HP, UNA (1) PLANCHA PARA PELO MARCA GA.MA. ITALI DE COLOR NEGRA, UN (1) ESTUCHE COLOR GRIS MARCA NATURA TENIENDO EN SU INTERIOR ELEMENTOS COSMÉTICOS VARIOS, UN (1) ESTUCHE DE LENTES COLOR NEGRO CON VIVOS AZULES CONTENIENDO EN SU INTERIOR UN PAR DE ANTEOJOS SIN MARCA, UN (1) PAR DE OJOTAS DE COLOR BLANCO MARCA HAWAIANAS Nº 35/36, UN (1) CONTROL REMOTO MARCA HP SERIE Nº CP04-50738-G-211895-REVB., EL CUAL NO HA SIDO RECLAMADO POR PASAJERO ALGUNO LABRANDOSE LA CORRESPONDIENTE DILIGENCIA DE HALLAZGO.</t>
  </si>
  <si>
    <t>HALL ARRIBOS</t>
  </si>
  <si>
    <t>SIENDO LA HORA Y FECHA MENCIONADA, EN MOMENTOS EN QUE EL OFICIAL GUZZO EFECTUABA UNA RECORRIDA POR EL SECTOR CITADO, OBSERVA A UNA PERSONA DE SEXO MASCULINO OFRECIENDO SERVICIO DE TRANSPORTE PUBLICO A VIVA VOZ A PASAJEROS CARECIENDO DE LA HABILITACION CORRESPONDIENTE PARA TAL FIN. POR LO CUAL, PREVIA REVISION MEDICA, SE DIRIGEN LOS INTERVINIENTES A LA OFICINA DE CONTRAVENCIONES Y FALTAS DONDE SE LABRA LA CORRESPONDIENTE ACTA Y SE COMIENZA CON LAS ACTUACIONES DE RIGOR.</t>
  </si>
  <si>
    <t>SECRETARIA PENAL E</t>
  </si>
  <si>
    <t>DRA. IVANA ARAMENDI</t>
  </si>
  <si>
    <t>SECTOR SUDOESTE DEL AEROPUERTO FRENTE A RUTA NACIONAL N° 40</t>
  </si>
  <si>
    <t>SIENDO LAS 20:10 EL PERSONAL DESIGNADO PARA REALIZAR LA RECORRIDA PERIMETRAL EN EL MOVIL 24 DE DOTACION,NOTAN LA ROTURA TOTAL DE 02 PAÑOS DE TEJIDO DE ALAMBRE ROMBOIDAL DEL CERCO PERIMETRAL APROXIMADAMENTE A 180 METROS DEL PUNTO DE INGRESO A LA AEROESTACION EN DIRECCION SUR DEL MISMO, DANDO LA NOVEDAD AL JEFE DE TURNO QUIEN ORDENA QUE PERMANEZCA EN EL LUGAR ,PRESERVANDO EL LUGAR DEL HECHO ACTO SEGUIDO SE INFORMA LA SITUACION AL JEFE DE UOSP MENDOZA QUIEN DISPONE SE REALICE LA INSPECCION OCULAR DEL LUGAR DEL HECHO Y SE TOMEN FOTOGRAFIAS DEL MISMO COMO ASI TAMBIEN SE REALICEN COMUNICACIONES PERTINENTES CON EL JUZGADO DE TURNO, SIENDO LAS 20:20 SE REALIZA COMUNICACION TELEFONICA ,SIENDO ATENDIDO POR LA SECRETARIA DE TURNO A QUIEN SE LE IMPONE LOS HECHOS ANTERIORMENTE DETALLADOS Y QUIEN DISPONE 1- SE INICIEN LAS ACTUACIONES DE RIGOR 2- SE ELEVEN LAS ACTUACION UNA VEZ FINALIZADAS LAS MISMAS EN EL TRANSCURSO DE LA SEMANA, A LO QUE DOY ESTRICTO CUMPLIMIENTO. DEBIDO A QUE PERSONAL APOSTADO EN ESE SECTOR COMUNICA QUE ESCUCHA POSIBLES DETONACIONES DE ARMA DE FUEGO, SE REPLIEGA DEL LUGAR DE LOS HECHOS Y SE PIDE COLABORACION A PERSONAL DE DOESA MENDOZA ,UNA VEZ DESPLEGADO TAL PERSONAL SE CONSTATA QUE EL LUGAR ESTE SIN NOVEDAD Y SE PROCEDE A LEVANTAR TOMAS FOTOGRAFICAS UTILES PARA LA CAUSA , MANTENIENDO LA CONSIGNA EN MOVIL 24 HASTA QUE PERSONAL DE MANTENIMIENTO AEROPUERTO 2000 REPARE LA TELA,RECIBO COMUNICACION DE EL JEFE DE BASE DE AEROPUERTOS 2000 QUE LA MISMA SE REALIZARA EL DIA DE MAÑANA,ESTO ES INFORMADO A LA DR. A/C DE LA SECRETARIA PENAL E QUIEN DISPONE 3- QUE NO QUEDE PERSONAL DE CONSIGNA EN EL LUGAR PERO SE REALICE RECORRIDAS CON MAYOR PERIOCIDAD A LO HABITUAL</t>
  </si>
  <si>
    <t>MAQUINA DE RAYOS</t>
  </si>
  <si>
    <t>QUE EN MOMENTOS DE LLEVARSE A CABO EL CONTROL RUTINARIO DE PASAJEROS, SE HACE PRESENTE LA CAUSANTE QUIEN DEPOSITA SU MOCHILA EN LA MAQUINA DE RAYOS X MEDIANTE LA CUAL SE OBSERVA LA EXISTENCIA DE SUSTANCIA ORGANICA EN SU INTERIOR. QUE UNA VEZ OBTENIDA LA AUTORIZACION DE REQUISA SE PROCEDE A LA APERTURA DE LA MOCHILA SE VACIA EN SU TOTALIDAD Y SE LE EFECTUA UN CORTE POR LAS COSTURAS DE SU PARTE POSTERIOR O ESPALDA HALLANDOSE ENTRE LAS COSTURAS UN PAQUETE QUE OCUPA TODA LA SUPERFICIE DE LA ESPALDA DE LA MOCHILA. QUE SE DISPUSO LA DETENCION EN CALIDAD DE INCOMUNICADA DE LA PASAJERA QUIEN DEBERA PERMANECER ALOJADA EN ESTA DEPENDENCIA HASTA EL DIA VEINTICUATRO DEL CORRINTE MES Y AÑO QUE DEBERA SER TRASLADADA A PRIMERA HORA A SEDE JUDICIAL. QUE LA DETENDA FUE TRASLADADA AL HOSPITAL ZONAL DE EZEIZA ARROJANDO RESULTADO NEGATIVO LA INGESTA DE CUERPOS EXTRAÑOS EN SU INTERIOR.- SEGUN PU 3113 SE TRASLADÓ A LA DETENIDA A SEDE JUDICIAL EL DÍA 24/05.</t>
  </si>
  <si>
    <t>GRAN CANARIA</t>
  </si>
  <si>
    <t>INCIDENTE AEREO</t>
  </si>
  <si>
    <t>POSICION Nº 28-CALLE TRES ESTE</t>
  </si>
  <si>
    <t>SIENDO LA HORA Y FECHA MENCIONADA, SE RECIBE COMUNICACIÓN DE LA OFICIAL VALDIVIESO QUE SE ENCONTRABA EN EL PREEMBARQUE NACIONAL DENOMINADO SECTOR B, INFORMANDO QUE EN LA PISTA DE ATERRIZAJE HABÍA DESPISTADO UNA AERONAVE. POR LO CUAL, SE COMISIONA AL LUGAR PERSONAL DE PATRULLA PLATAFORMA QUIENES UNA VEZ ALLÍ COMUNICAN QUE SE TRATABA DE UNA AERONAVE DEL TIPO EJECUTIVO, LEAR JET, MODELO 60, MATRICULA LV-CCO, PROCEDENTE DE LA CIUDAD DE IGUAZÚ, DE LA EMPRESA BAIRES FLY, QUE EN SU INTERIOR YA NO SE ENCONTRABAN NI TRIPULACIÓN NI PASAJEROS, SOLO PERSONAL DE AEROPUERTOS ARGENTINA 2000, DE BOMBEROS DE LA PFA Y PERSONAL MEDICO DE EMERGENCIAS PERTENECIENTE A LA ANAC, AGUARDANDO AUTORIZACIÓN DE LA TORRE DE CONTROL PARA EL INGRESO A LA ZONA DEL SINIESTRO. ACTO SEGUIDO SE SOLICITA VÍA FRECUENCIA RADIAL AUTORIZACIÓN A LA TORRE DE CONTROL PARA PODER INGRESAR AL LUGAR DEL SINIESTRO, DONDE PERSONAL DE BOMBEROS DESCARTO DERRAME DE COMBUSTIBLE Y EL OFICIAL BARRERA SE DIRIGIO A LA TERMINAL SUR DE PASAJEROS, A FIN DE IDENTIFICAR A LOS PASAJEROS DE LA AERONAVE DESPISTADA, ENCONTRÁNDOSE LOS MISMOS SIN RESGUARDO ALGUNO POR LA EMPRESA AÉREA NI DE AEROPUERTOS ARGENTINA 2000, SE LES CONSULTA POR SU ESTADO DE SALUD Y MANIFIESTAN ENCONTRARSE BIEN YSE IDENTIFICA A LA TRIPULACIÓN. SIENDO LAS 18:45 HS SE ENTABLA COMUNICACIÓN CON LA JUDICATURA ACTUANTE QUIEN ORDENA: SOLICITAR AL COMANDANTE DE LA AERONAVE INFORME TÉCNICO INFORMATIVO ACERCA DE LAS POSIBLES CAUSAS QUE OCASIONARON EL DESPISTE. SE COMISIONA PERSONAL POLICIAL QUE SE DESEMPEÑA EN LA PATRULLA PLATAFORMA PARA IDENTIFICAR AL PERSONAL DE RAMPA DE AEROPUERTOS ARGENTINA 2000, QUE REALIZO LA EVACUACIÓN DE LOS PASAJEROS, TAMBIÉN SE IDENTIFICO AL OPERADOR DE LA TORRE DE CONTROL AL CUAL SE LE CONSULTO EL HORARIO EN EL QUE TOMO CONOCIMIENTO DE LO SUCEDIDO, RESPONDIENDO LAS 18:05 HORAS. SIENDO LAS 19:45 HORAS SE HACE PRESENTE EN LUGAR DEL SINIESTRO UN INSPECTOR DE LA JUNTA NACIONAL DE ACCIDENTE DE AVIACIÓN CIVIL, QUIEN LUEGO DE OBSERVAR LO SUCEDIDO LIBERA LA AERONAVE. SE REALIZA NUEVA COMUNICACIÓN CON LA DRA. MARIA INES GAMBIRASSI, INFORMÁNDOLE LO ANTES MENCIONADO Y QUE YA SE ENCONTRABAN REALIZANDO LAS TAREAS DE REMOCIÓN DE LA AERONAVE. SIENDO LAS 01:50 HORAS SE LE INFORMA A LA JUDICATURA ACTUANTE QUE: 01:20 HORAS SE LOGRÒ REMOVER LA AERONAVE Y QUE 01:45 COMENZÒ A OPERAR LA AEROESTACIÒN.</t>
  </si>
  <si>
    <t>BAIRES FLY</t>
  </si>
  <si>
    <t>IGUAZÙ</t>
  </si>
  <si>
    <t>3105/10</t>
  </si>
  <si>
    <t>QUE EN EL DIA DE LA FECHA SIENDO LAS CERO HORAS VEINTICINCO MINUTOS SE PROCEDIO AL TRASLADO DEL DETENIDO HACIA LA UNIDAD NUMERO 28 DEL SPF, DANDO CUMPLIMENTO A LO DISPUESTO POR EL JUZGADO INTERVINIENTE. .-</t>
  </si>
  <si>
    <t>3110/10</t>
  </si>
  <si>
    <t>QUE EL DIA DE LA FECHA SIENDO LAS SIETE HORAS QUINCE MINUTOS SE PROCEDIO AL TRASLADO DE LA DETENIDA Y SECUESTRO A SEDE JUDICIAL. SIN NOVEDADES QUE INFORMAR</t>
  </si>
  <si>
    <t>VERONICA ALABARAT</t>
  </si>
  <si>
    <t>JOSE RAFAEL LIRA S/DENUNCIA HURTO</t>
  </si>
  <si>
    <t>MOSTRADOR ATENCION AL PUBLICO DE JET PAQ</t>
  </si>
  <si>
    <t>SIENDO LAS 09:15 HORAS SE RECIBE DENUNCIA POR PARTE DEL SEÑOR JOSE RAFAEL LIRA, CIPF 31.136.058, EMPLEADO DE LA EMPRESA JET PAQ DE ESTA CIUDAD, MANIFESTANDO QUE AL LLEGAR EN EL DIA DE LA FECHA EN HORARIO DE LA MAÑANA APROXIMADAMENTE A LAS 09:00 HORAS, CONSTATA EN SU MOSTRADOR EL FALTANTE DEL MONITOR DE LCD QUE SE ENCONTRABA SOBRE LA CPU, PROPIEDAD DE LA EMPRESA PARA LA CUAL TRABAJA, MANIFESTANDO EN DICHA DENUNCIA QUE LA ULTIMA VEZ QUE TRABAJO EN EL MONITOR FUE EL DIA 23 DEL CORRIENTE HASTA LAS 11:45 HORAS . ACTO SEGUIDO SE DA INTERVENCION AL MINISTERIO PUBLICO FISCAL DE TRELEW, ESTANDO DE TURNO LA SECRETARIA DE TURNO, QUIEN ORDENA SE PROCEDA A LABRAR LAS ACTUACIONES DE RIGOR, SE TOMEN DECLARACIONES TESTIMONIALES A LAS PERSONAS QUE ESTUBIERON ENTRE EL MEDIO DIA DE AYER Y EL MEDIO DIA DE HOY Y SE INICIEN LAS INVESTIGACIONES PERTINENTES Y LUEGO DE CONCLUIDA LAS MISMAS, SEAN REMITIDAS AL MINISTERIO PUBLICO FISCAL. PU Nº 3279/10 AMPLIATORIO EL DIA 01/06/2010 SE ELEVAN ACTUACIONES PREVENTIVAS NRO 003/10 AL MINISTERIO PUBLICO FISCAL DE LA CIUDAD DE TRELEW RECIBIENDO NRO DE CAUSA Y CARATULAS CONSIGNADAS PRECEDENTEMENTE.</t>
  </si>
  <si>
    <t>FISCALIA NACIONAL DE INSTRUCCION Nº 5</t>
  </si>
  <si>
    <t>TRONCOSO</t>
  </si>
  <si>
    <t>CESAR AUGUSTO</t>
  </si>
  <si>
    <t>DR ROLANDO MOURUT DE BEAUVERGER</t>
  </si>
  <si>
    <t>AEROPUERTO DE MONTEVIDEO - AEROPARQUE METROPOLITANO</t>
  </si>
  <si>
    <t>EN EL DIA DE LA FECHA EL SR DE URIBELARREA ANTONIO ARRIBA A ESTE AEROPUERTO METROPOLITANO A LAS 13:30 HS APROXIMADAMENTE. LUEGO DE REALIZAR LOS TRAMITES MIGRATORIOS Y RETIRAR SUS EQUIPAJES, SE DIRIGE AL CONTROL DE ADUANERO, DONDE AL COLOCAR LOS EQUIPAJES EN EL SCANER SE PERCATA DE QUE UNA DE SUS VALIJAS TENIA PRENDAS SALIENTES POR SUS COSTADOS, MOTIVO POR EL CUAL PROCEDE A APERTURAR DICHO EQUIPAJE CORROBORANDO QUE EL SISTEMA DE APERTURA DE LA VALIJA ESTABA FORZADO Y CON EL FALTANTE DE UN PERFUME. ACTO SEGUIDO SE DIRIGE A REALIZAR EL RECLAMO A LA COMPAÑIA, EN LA CUAL SE HACE LA APERTURA DE LA VALIJA RESTANTE LA CUAL TAMBIEN POSEIA UN FALTANTE DE ROPAS VARIAS.</t>
  </si>
  <si>
    <t>PU 165</t>
  </si>
  <si>
    <t>INFRACCION ART 85 DEL DEC. LEY 8031/73</t>
  </si>
  <si>
    <t>SIENDO LA FECHA Y HORA MENCIONADA, EN MOMENTOS EN QUE LOS OFICIALES VILAS Y ZALAZAR, EFECTUABAN UNA RECORRIDA POR EL SECTOR CITADO, OBSERVAN A UNA PERSONA DE SEXO MASCULINO EL CUAL SE ENCONTRABA EN EL INTERIOR DE UN VEHICULO TRANSPORTANDO UNA PERSONA EN LA PARTE TRASERA DEL MISMO, RAZON POR LA CUAL EL PERSONAL POLICIAL ACTUANTE PROCEDE A SOLICITAR AL CONDUCTOR LA DOCUMENTACION DEL RODADO COMO ASI TAMBIEN LA HABILITACION CORRESPONDIENTE PARA EL TRANSPORTE DE PASAJEROS CARECIENDO DE ESTA ULTIMA. POR TAL MOTIVO, PREVIA REVISION MEDICA, SE DIRIGEN LOS INTERVINIENTES A LA OFICINA DE CONTRAVENCIONES Y FALTAS DONDE SE LABRA LA CORRESPONDIENTE ACTA Y SE INICIAN ACTUACIONES DE RIGOR. CABE DESTACAR QUE EL VEHICULO ERA MARCA VOLKSWAGEN, MODELO PASSAT, SEDAN CUATRO PUERTAS COLOR AZUL, Nº DE DOMINIO BHD - 032.</t>
  </si>
  <si>
    <t>3106/10</t>
  </si>
  <si>
    <t>OFICINA DE GUARDIA PSA</t>
  </si>
  <si>
    <t>A LOS 24 DíAS DEL MES DE MAYO DE 2010 Y SIENDO LAS 17:20 HORAS EL FUNCIONARIO POLICIAL QUE SUSCRIBE OFICIAL AYUDANTE RODRIGUEZ CRISTIAN JUAN ALBERTO (PLACA 3612), JEFE DE TURNO DEL DíA DE LA FECHA; PROCEDE A LABRAR LA PRESENTE ACTA A EFECTOS DE DEJAR DEBIDA CONSTANCIA QUE SE PROCEDE A LA ENTREGA DE LOS ELEMENTOS HALLADOS EN EL DIA 23 DEL CORRIENTE MES Y AñO: UN (01) PORTAFOLIOS DE COLOR NEGRO MARCA CASE LOGIC CONTENIENDO EN SU INTERIOR UNA (01) NOTEBOOK MARCA HP PAVILION CON UN ADAPTADOR PARA MEMORIA MARCA MICRO SD, UN (01) CABLE PARA CONEXIóN Y SU CORRESPONDIENTE FUENTE Nº DE SERIE CT: W92C40FLLVF2OB MARCA HP, UNA (01) PLANCHA PARA PELO MARCA GA.MA. ITALY DE COLOR NEGRA, UN (01) ESTUCHE DE COLOR GRIS MARCA NATURA TENIENDO EN SU INTERIOR ELEMENTOS COSMéTICOS VARIOS, UN (01) ESTUCHE DE LENTES COLOR NEGRO CON VIVOS AZULES CONTENIENDO EN SU INTERIOR UN PAR DE ANTEOJOS SIN MARCA, UN (01) PAR DE OJOTAS DE COLOR BLANCO MARCA HAWAIANAS Nº 35/36, UN (01) CONTROL REMOTO MARCA HP SERIE Nº CP04-50738-G-211895-REVB A SU RESPECTIVA DUEñA YANINA ANAHI RODRIGUEZ, QUIEN SE IDENTIFICA MEDIANTE D.N.I. (ORIGINAL) Nº 36.708.600. LA CUAL PRESENTA FACTURA DE LA NOTEBOOK Y REALIZA EL ENCENDIDO DE LA MISMA CON LA CLAVE PERSONAL.QUIEN RECIBE EN CONFORMIDAD DESPUES DE REALIZAR LA VERIFICACION DE LA EXISTENCIA DE TODAS SUS PERTENENCIAS COMO TAMBIEN EL FUNCIONAMIENTO DE LA NOTEBOOK.SIENDO LAS 17:50 HS SE RETIRA LA NOMBRADA ANTERIORMENTE CON LAS PERTENENCIAS EN SU PODER.</t>
  </si>
  <si>
    <t>MATUHUS</t>
  </si>
  <si>
    <t>EDUARDO FELIX</t>
  </si>
  <si>
    <t>AMADO REYNALS, ALBERTO LEONARDO P/EJEC. DE SENT.</t>
  </si>
  <si>
    <t>9743/E</t>
  </si>
  <si>
    <t>DESDE LA TAQUILLA DE INGRESO/EGRESO DEL AEROPUERTO HASTA PUESTO BRAVO, PLATAFORMA OPERATIVA</t>
  </si>
  <si>
    <t>EMBARCA DESDE ESTA PROVINCIA SIN NOVEDAD EL DETENIDO Y SU CORRESPONDIENTE CUSTODIA DEL SERVICIO PENITENCIARIO DE TIERRA DEL FUEGO, POR LO QUE SE IMPLEMENTA EL OPERATIVO DE SEGURIDAD DE ACUERDO A LO INFORMADO A TRAVES DE OREDEN DE SERVICIO 164/10 DE FECHA 25 DE MAYO</t>
  </si>
  <si>
    <t>Palmaghini</t>
  </si>
  <si>
    <t>Fabiana</t>
  </si>
  <si>
    <t>DRA MARIA BOBES</t>
  </si>
  <si>
    <t>13111/98</t>
  </si>
  <si>
    <t>NOTIFICACIÓN POR PEDIDO DE PARADERO</t>
  </si>
  <si>
    <t>INFORMO QUE EN EL CONTROL DE DOCUMENTACIÓN DE PASAJEROS DEL VUELO NRO 4021 DE LA EMPRESA LAN SE DETECTA A TRAVÉS DEL SISTEMA DE INTERPOL EL PEDIDO DE PARADERO VIGENTE SOLICITADO POR EL JUZGADO CRIMINAL DE INSTRUCCIÓN NRO 14 SECRETARIA NRO 143 DE LA SEÑORA GRACIELA MARGARITA GIANCHETTA ANTE EL HECHO PERSONAL DE INTERPOL REALIZA UN ACTA Y ENTREGA AL JEFE DE TURNO EL CUAL CONFECCIONA ACTA DE NOTIFICACIÓN DANDO CUMPLIMIENTO A LO REQUERIDO POR EL JUZGADO SOLICITANTE DE LA MEDIDA Y SE NOTIFICA A LA CAUSANTE QUE DEBERÁ COMPARECER ANTE DICHO JUZGADO DENTRO DE LOS CINCO DÍAS HÁBILES DE LABRADA LA MISMA PARA REGULARIZAR SU SITUACIÓN JUDICIAL.</t>
  </si>
  <si>
    <t>EN CONTROL DE EQUIPAJES DESPACHADOS POR BODEGA MEDIANTE EQUIPO DE RAYOS X MÓVIL SCANVAN.</t>
  </si>
  <si>
    <t>INFORMO QUE EN EL CONTROL DE EQUIPAJES DESPACHADOS POR BODEGA SE DETECTA UN EQUIPAJE CON MARBETE NRO LA533598 QUE CONTENDRÍA EN SU INTERIOR MERCADERÍAS EN PRESUNTA INFRACCIÓN A LA LEY 22415 SE IDENTIFICA AL PROPIETARIO DEL MISMO Y SE REALIZA LA APERTURA ANTE LA PRESENCIA DE LOS TESTIGOS CONVOCADOS A TAL FIN PROCEDIÉNDOSE A LABRAR ACTA DE INTERDICCION Y SE HACE ENTREGA DE LOS ELEMENTOS INTERDICTADOS AL PERSONAL DE AFIP DGA MARIO L. MONTERO QUIEN PROCEDE AL SECUESTRO DE LAS MISMAS BAJO ACTA NRO 005/2010 VALOR APROXIMADO DE LAS MERCADERIAS PESOS SIETE MIL DOSCIENTOS.</t>
  </si>
  <si>
    <t>JUZGADO CRIMINAL DE INSTRUCCION Nº 24</t>
  </si>
  <si>
    <t>RAMOS PADILLA</t>
  </si>
  <si>
    <t>JUAN MARIA</t>
  </si>
  <si>
    <t>DR ALFREDO GODOY</t>
  </si>
  <si>
    <t>ROB.POB.BAND.REI</t>
  </si>
  <si>
    <t>INFORMO QUE EN EL CONTROL DE DOCUMENTACIÓN DE PASAJEROS DEL VUELO NRO 2725 DE LA EMPRESA AUSTRAL LINEAS AÉREAS SE DETECTA A TRAVÉS DEL SISTEMA DE INTERPOL EL PEDIDO DE PARADERO VIGENTE SOLICITADO POR EL JUZGADO CRIMINAL DE INSTRUCCIÓN NRO 24 SECRETARIA NRO 131 DE LA SEÑORA SILVANA ELIZABETH MENENDEZ ANTE EL HECHO PERSONAL DE INTERPOL REALIZA UN ACTA Y ENTREGA AL JEFE DE TURNO EL CUAL CONFECCIONA ACTA DE NOTIFICACIÓN DANDO CUMPLIMIENTO A LO REQUERIDO POR EL JUZGADO SOLICITANTE DE LA MEDIDA Y SE NOTIFICA A LA CAUSANTE QUE DEBERÁ COMPARECER ANTE DICHO JUZGADO DENTRO DE LOS CINCO DÍAS HÁBILES DE LABRADA LA MISMA PARA REGULARIZAR SU SITUACIÓN JUDICIAL.</t>
  </si>
  <si>
    <t>DR.ADOLFO PIENDIBENE</t>
  </si>
  <si>
    <t>FALSIFICACION DE MONEDA</t>
  </si>
  <si>
    <t>LOCAL DE LA FIRMA FARMACITY</t>
  </si>
  <si>
    <t>SIENDO LA HORA Y FECHA MENCIONADA SE HACE PRESENTE EN ESTA GUARDIA DE PREVENCIÓN LA SRA CARRERAS DANN DANIELA MANIFESTANDO QUE EL DIA 20/05/2010 EN HORAS 09:00 SE DIRIGIO HACIA EL LOCAL DE LA FIRMA FARMACITY UBICADO EN LA PLANTA ALTA DE ESTE AEROPUERTO METROPOLITANO A LOS EFECTOS DE COMPRAR ALGUNOS PRODUCTOS. UNA VEZ EN LA CAJA LA DENUNCIANTE SACO DE SU CARTERA UN BILLETE DE 100 PESOS ARGENTINOS Y SE LO ENTREGO AL CAJERO DEL MENCIONADO LOCAL YA QUE EL MISMO LE HABÍA DICHO QUE TENIA CAMBIO. ACTO SEGUIDO EL CAJERO LE DEVUELVE EL BILLETE MANIFESTANDOLE QUE NO TENIA CAMBIO. POR LO CUAL LA DENUNCIANTE TOMO EL DINERO Y LO GUARDO NUEVAMENTE EN SU BILLETERA. SEGUIDAMENTE SE RETIRA HACIA EL PREEMBARQUE A LOS EFECTOS DE ABORDAR UN VUELO CON DESTINO A LA CIUDAD DE COMODORO RIVADAVIA DEL CUAL NO RECUERDA EMPRESA NI NUMERO DE VUELO. UNA VEZ ARRIBADA EN DICHA CIUDAD SE PERCATO DE QUE EL BILLETE QUE LE HABÍA SIDO ENTREGADO EN ESTE AEROPUERTO JORGE NEWBERY ERA FALSO.SIENDO LAS 11:20 HORAS SE ESTABLECE COMUNICACION TELEFONICA CON LA JUDICATURA ACTUANTE A QUIEN SE LE INFORMA LO SUCEDIDO DISPONIENDO:NOMINA DEL PERSONAL DEL LOCAL FARMACITY, SOLICITAR REGISTRO FILMICO Y ENVIAR EL SECUESTRO A ESCOPOMETRIA.</t>
  </si>
  <si>
    <t>MARIA ALEJANDRA ALONSO</t>
  </si>
  <si>
    <t>INFORMO: EN EL DÍA DE LA FECHA, SIENDO LAS 16:40 HS. ARRIBA EN VUELO AR-2872, DE LA EMPRESA AEROCOMERCIAL AUSTRAL LINEAS AEREAS, COMITIVA INTEGRADA POR EL ADJUTOR HÉCTOR CEFERINO RAMOS, DNI N° 26.850.747 Y EL CABO 1° DANIEL WALTER MONCADA DNI N° 31.543.779, AMBOS PERSONAL DEL SERVICIO PENITENCIARIO DE LA POLICÍA DE LA PROVINCIA DE TIERRA DEL FUEGO, TRASLADANDO AL DETENIDO ALBERTO LEONARDO AMADO REYNALS, D.N.I. N° 24.647.329, EN RELACIÓN A LO INFORMADO OPORTUNAMENTE MEDIANTE MEMORANDO 206/2010. RETIRÁNDOSE LOS MISMOS DE ESTA JURISDICCIÓN SIN OTRA NOVEDAD.</t>
  </si>
  <si>
    <t>EL CALAFATE - SANTA CRUZ</t>
  </si>
  <si>
    <t>SIENDO LAS 13:00 HORAS, SE IMPLEMENTA OPERATIVO CON MOTIVO DE BRINDAR SEGURIDAD POR LA LLEGADA DEL PRESIDENTE DE LA REPUBLICA BOLIVARIANA DE VENEZUELA, DR. HUGO CHAVEZ, SIENDO LAS 15:20 HS HACE SU ARRIBO A ESTA CIUDAD EN AERONAVE MATRICULA 0001. CABE DESTACAR QUE SIENDO LAS 14:55 HS A BORDO DE LA AERONAVE MATRICULA YV-2485 DESEMBARCÓ LA PRIMERA PARTE DE LA COMITIVA DE DICHO PRESIDENTE, POSTERIORMENTE SE RETIRA POR VIA TERRRESTRE EL MANDATARIO JUNTO CON SU COMITIVA EN EL HORARIO DE LAS 15:40 HS. SE AMPLIARA CON HORARIO DE PARTIDA.</t>
  </si>
  <si>
    <t>REPUBLICA BOLIVARIANA DE VENEZUELA</t>
  </si>
  <si>
    <t>SIENDO LAS 13:00 HORAS, SE IMPLEMENTA OPERATIVO CON MOTIVO DE BRINDAR SEGURIDAD POR LA LLEGADA DEL PRESIDENTE DE ECUADOR, EL CUAL ARRIBO EN HORAS 15:25 EN AERONAVE MATRICULA FAE-051. RETIRANDOSE DE ESTE AEROPUERTO METROPOLITANO A LAS 15:42 HS POR VIA TERRESTRE. SE AMPLIARA CON HORARIO DE PARTIDA.</t>
  </si>
  <si>
    <t>REPUBLICA DE ECUADOR</t>
  </si>
  <si>
    <t>SIENDO LAS 13:00 HORAS, SE IMPLEMENTA OPERATIVO CON MOTIVO DE BRINDAR SEGURIDAD POR LA LLEGADA DEL PRESIDENTE DE LA REPUBLICA DE CHILE, EL CUAL ARRIBO, JUNTO CON SU COMITIVA, EN HORAS 16:00 EN AERONAVE MATRICULA 911. RETIRANDOSE DE ESTE AEROPUERTO METROPOLITANO A LAS 16:15 HS POR VIA TERRESTRE. SE AMPLIARA CON HORARIO DE PARTIDA.</t>
  </si>
  <si>
    <t>REPUBLICA DE CHILE</t>
  </si>
  <si>
    <t>SIENDO LAS 13:00 HORAS, SE IMPLEMENTA OPERATIVO CON MOTIVO DE BRINDAR SEGURIDAD POR LA LLEGADA DEL PRESIDENTE DE BRASIL, JOSE IGNACIO LULA DA SILVA, EL CUAL ARRIBO EN HORAS 16:15 EN AERONAVE MATRICULA VC-I 2101. RETIRANDOSE DE ESTE AEROPUERTO METROPOLITANO A LAS 16:30 HS POR VIA TERRESTRE. SE AMPLIARA CON HORARIO DE PARTIDA.</t>
  </si>
  <si>
    <t>REPUBLICA DE BRASIL</t>
  </si>
  <si>
    <t>SIENDO LAS 13:00 HORAS, SE IMPLEMENTA OPERATIVO CON MOTIVO DE BRINDAR SEGURIDAD POR LA LLEGADA DEL PRESIDENTE DE PARAGUAY, EL CUAL ARRIBO EN HORAS 16:37 EN AERONAVE MATRICULA N45ME. RETIRANDOSE DE ESTE AEROPUERTO METROPOLITANO A LAS 16:50 HS POR VIA TERRESTRE. SE AMPLIARA CON HORARIO DE PARTIDA.</t>
  </si>
  <si>
    <t>REPUBLICA DEL PARAGUAY</t>
  </si>
  <si>
    <t>GAVETA SUPERIOR SOBRE EL ASIENTO 33 D</t>
  </si>
  <si>
    <t>QUE UNA VEZ EMBARCADA EN LA AERONAVE EN EL AEROPUERTO DE ORIGEN, LA DENUNCIANTE DEPOSITO EN LA GAVETA DE SU ASIENTO, JUNTO CON SUS PERTENENCIAS, SU COMPUTADORA PORTATIL, DURMIENDOSE LUEGO POR UN LAPSO APROXIMADO DE CUATRO HORAS DURANTE EL VIAJE. QUE ARRIBADA A ESTA AEROSTACION, EN CIRCUNSTANCIAS EN QUE SE DISPONIA A DESCENDER LA TOTALIDAD DE LOS PASAJEROS A BORDO DE LA AERONAVE, PROCEDE A RETIRAR SUS PERTENENCIAS PERCATANDOSE DEL FALTANTE DE LA COMPUTADORA. A TAL EVENTO DA LA NOVEDAD AL COMANDANTE, QUIEN LE INFORMA QUE DEBIA HABER DADO LA NOVEDAD ANTES DE QUE DESCIENDAN LOS PASAJEROS. A TAL EVENTO, LUEGO DE REALIZAR LOS TRAMITES MIGRATORIOS Y ADUANEROS DE RIGOR, SE DIRIGE AL ASIENTO DE ESTA DEPENDENCIA POLICIAL A RADICAR LA CORRESPONDIENTE DENUNCIA.</t>
  </si>
  <si>
    <t>AR 1183</t>
  </si>
  <si>
    <t>Nueva Zelanda</t>
  </si>
  <si>
    <t>AUCKLAND</t>
  </si>
  <si>
    <t>SE PROCEDE A LA RETENCIÓN DE UNA SACA COLECTORA DEL CORREO OFICIAL, SEGÚN CONSTA EN ACTA DE RETENCIÓN Nº 263/10, QUE ORIGINA LA PREVENCIÓN SUMARIA 060/10, IDENTIFICADA COMO SLA0163186D555900RGA, PRECINTO Nº C822790, CON UN PESO DECLARADO DE 7,200 KGS., CON DESTINO LA CIUDAD DE RÍO GRANDE, CONTIENE 02 PIEZAS POSTALES LA QUE SERIA DESPACHADA ATRAVÉS DE LA EMPRESA DE CARGA AÉREA JET-PAQ, AMPARADAS EN GUÍA AÉREA Nº 9368552-4. LA RETENCIÓN SE REALIZA ANTE LA PRESUNCIÓN DE QUE PUDIERAN CONTENER EN SU INTERIOR ALGÚN ELEMENTO EN INFRACCIÓN A LA LEY 22.415 Y/O 23.737. QUEDANDO LA MISMA CERRADA Y PRECINTADA EN GUARDA EN ESTA UOSP. SE COMUNICO TELEFÓNICAMENTE AL JUZGADO INTERVINIENTE. LA APERTURA SE REALIZARA EN PRESENCIA DEL PERSONAL DEL CORREO OFICIAL. SEGÚN AMPLIACION PU 3143/10 SE PROCEDE A LA APERTURA DE UNA SACA COLECTORA DEL CORREO OFICIAL, SEGÚN CONSTA EN ACTA DE RETENCIÓN Nº 263/10 Y ACTA DEJANDO CONSTANCIA Nº 264/10, QUE ORIGINA LA PREVENCIÓN SUMARIA 060/10, LA SACA IDENTIFICADA COMO SLA0163186D555900RGA, PRECINTO Nº C822790, CONTIENE 02 PIEZAS POSTALES. LA 1ª IDENTIFICADA COMO EP698255689AR, RTTE. ROBERTO CALANI, DOMICILIADO EN RICARDO LEVENE Nº 750, SALTA CAPITAL, C.P. 4400 Y DEST. ROMINA IRENE ROCHA, DOMICILIADA EN SARMIENTO Nº 2849, RIO GRANDE, TIERRA DEL FUEGO, C.P. 9420, LA CUAL QUEDA RETENIDA Y LA 2ª IDENTIFICADA COMO EP661587864AR ES ENTREGADA AL SR. ARIAS DEL CORREO OFICIAL PARA SU REDESPACHO. LA RETENCIÓN SE REALIZA ANTE LA PRESUNCIÓN DE QUE PUDIERA CONTENER EN SU INTERIOR ALGÚN ELEMENTO EN INFRACCIÓN A LA LEY 22.415 Y/O 23.737. QUEDANDO LA MISMA CERRADA EN GUARDA EN ESTA UOSP. SE COMUNICO TELEFÓNICAMENTE AL JUZGADO INTERVINIENTE. LA APERTURA SE REALIZARA CON LA AUTORIZACION DEL MAGISTRADO ACTUANTE.</t>
  </si>
  <si>
    <t>EN EL DIA DE LA FECHA SIENDO LAS 21:40 HS, ARRIBA VIA TERRESTRE A LA AEROESTACION MILITAR AEROPARQUE EL SEÑOR PRESIDENTE DE LA REPUBLICA DE BOLIVIA , PARTIENDO A LAS 21:52 HS EN AERONAVE MATRICULA YV-2480 SIN NOVEDADES QUE INFORMAR.</t>
  </si>
  <si>
    <t>3130/10</t>
  </si>
  <si>
    <t>AMPLIANDO PU Nº 3130/10 INFORMO QUE EN EL DIA DE LA FECHA SIENDO LAS 21:41 HS ARRIBA VIA TERRESTRE A LA AEROESTACION MILITAR AEROPARQUE EL SR PRESIDENTE DE LA REPUBLICA DE PARAGUAY, PARTIENDO A LAS 22:00 HS EN AERONAVE MATRICULA N45ME SIN NOVEDADES QUE INFORMAR.</t>
  </si>
  <si>
    <t>EN EL DIA DE LA FECHA SIENDO LAS 22:10 HS ARRIBA VIA TERRESTRE A LA AEROESTACION MILITAR AEROPARQUE EL SR PRESIDENTE DE LA REPUBLICA DE URUGUAY, PARTIENDO A LAS 22:30 HS EN HELICOPTERO MATRICULA 091 SIN NOVEDADES QUE INFORMAR.</t>
  </si>
  <si>
    <t>3128/10</t>
  </si>
  <si>
    <t>AMPLIANDO PU Nº 3128/10 INFORMO QUE EN EL DIA DE LA FECHA SIENDO LAS 22:31 HS ARRIBA VIA TERRESTRE A LA AEROESTACION MILITAR AEROPARQUE EL SR PRESIDENTE DE LA REPUBLICA DE CHILE, PARTIENDO A LAS 23:00 HS EN AERONAVE MATRICULA 911. SIN NOVEDADES QUE INFORMAR.</t>
  </si>
  <si>
    <t>3127/10</t>
  </si>
  <si>
    <t>AMPLIANDO PU Nº 3127/10 INFORMO QUE EN EL DIA DE LA FECHA SIENDO LAS 22:53 HS ARRIBA VIA TERRESTRE A LA AEROESTACION MILITAR AEROPARQUE EL SR PRESIDENTE DE LA REPUBLICA DE ECUADOR, PARTIENDO A LAS 23:25 HS EN AERONAVE MATRICULA FAE-051. SIN NOVEDADES QUE INFORMAR.</t>
  </si>
  <si>
    <t>SECTOR SUR-OESTE DEL INGRESO A LA AEROESTACION FRENTE A LA RUTA NACIONAL N 40</t>
  </si>
  <si>
    <t>SIENDO LAS 00:30 HORAS MIENTRAS SE REALIZABA UNA RECORRIDA EN EL MOVIL 24 SE OBSERVA TRES PAÑOS DE ALAMBRADO PERIMETRAL CORTADOS Y ARROLLADOS EN EL SECTOR SUR-OESTE DEL INGRESO A LA AEROESTACION. SE REALIZA LA COMUNICACION CON LA AUTORIDAD JUDICIAL DE TURNO QUIEN ORDENA QUE SE REALIZEN LAS ACTUACIONES CORRESPONDIENTES, LUEGO SE LE INFORMA AL JEFE DE BASE DE AEROPUERTOS ARGENTINA 2000 EL CUAL MANDA A PERSONAL DE MANTENIMIENTO A RETIRAR LOS PAÑOS DAÑADOS PARA SU POSTERIOR COLOCACION EN LA MAÑANA, DICHA TAREA FUE ASISTIDA POR PERSONAL DE LA DOESA FINALIZANDO A LAS 01:48 HORAS .</t>
  </si>
  <si>
    <t>LAURA ADRIANA SOULE</t>
  </si>
  <si>
    <t>SALA DE EMBARQUE DE LA TERMINAL III</t>
  </si>
  <si>
    <t>SIENDO LAS 05:20 HORAS SE RECIBE COMUNICACIÓN TELEFONICA DEL PREEMBARQUE NACIONAL TERMINAL III, INFORMANDO QUE UNA PASAJERA SE PRESENTO MANIFESTADO QUE DURANTE LA ESPERA DE SU VUELO LE HABIAN SUSTRAIDO UN TELEFONO CELULAR. ACTO SEGUIDO SE PRESENTA EN LA GUARDIA DE PREVENCION PARA ATESTIGUAR LO SUCEDIDO, PERO DEBIDO A QUE SU VUELO ESTABA PROXIMO A PARTIR, SE APERSONARIA EN EL TURNO DE LA POLICÍA DE SEGURIDAD AEROPORTUARIA DE DESTINO PARA PRESTAR DECLARACIÓN TESTIMONIAL, LA CUAL SERÁ ADJUNTADA A LAS PRESENTES ACTUACIONES.</t>
  </si>
  <si>
    <t>INFORMO DIA 25 DE MAYO 2010 SIENDO LAS 21:40 HORAS ARRIBA VIA TERRESTRE A LA AEROESTACION MILITAR AEROPARQUE EL SEÑOR PRESIDENTE DE LA REPUBLICA FEDERATIVA DE BRASIL, PARTIENDO A LAS 21:57 HORAS, EN AERONAVE MATRICULA VC-I 2101, SIN NOVEDAD.</t>
  </si>
  <si>
    <t>3132/10</t>
  </si>
  <si>
    <t>CONTROL POLICIAL PUERTA Nº 1</t>
  </si>
  <si>
    <t>SE PROCEDE A LA APERTURA DE UNA SACA COLECTORA DEL CORREO OFICIAL, SEGÚN CONSTA EN ACTA DE RETENCIÓN Nº 263/10 Y ACTA DEJANDO CONSTANCIA Nº 264/10, QUE ORIGINA LA PREVENCIÓN SUMARIA 060/10, LA SACA IDENTIFICADA COMO SLA0163186D555900RGA, PRECINTO Nº C822790, CONTIENE 02 PIEZAS POSTALES. LA 1ª IDENTIFICADA COMO EP698255689AR, RTTE. ROBERTO CALANI, DOMICILIADO EN RICARDO LEVENE Nº 750, SALTA CAPITAL, C.P. 4400 Y DEST. ROMINA IRENE ROCHA, DOMICILIADA EN SARMIENTO Nº 2849, RIO GRANDE, TIERRA DEL FUEGO, C.P. 9420, LA CUAL QUEDA RETENIDA Y LA 2ª IDENTIFICADA COMO EP661587864AR ES ENTREGADA AL SR. ARIAS DEL CORREO OFICIAL PARA SU REDESPACHO. LA RETENCIÓN SE REALIZA ANTE LA PRESUNCIÓN DE QUE PUDIERA CONTENER EN SU INTERIOR ALGÚN ELEMENTO EN INFRACCIÓN A LA LEY 22.415 Y/O 23.737. QUEDANDO LA MISMA CERRADA EN GUARDA EN ESTA UOSP. SE COMUNICO TELEFÓNICAMENTE AL JUZGADO INTERVINIENTE. LA APERTURA SE REALIZARA CON LA AUTORIZACION DEL MAGISTRADO ACTUANTE.</t>
  </si>
  <si>
    <t>INFORMO DIA 26 DE MAYO 2010 SIENDO LAS 09:52 HORAS ARRIBA VIA TERRESTRE A LA AEROESTACION MILITAR AEROPARQUE EL SEÑOR PRESIDENTE DE LA REPUBLICA BOLIVARIANA DE VENEZUELA, PARTIENDO A LAS 10:32 HORAS, EN AERONAVE MATRICULA 0001, SIN NOVEDAD.</t>
  </si>
  <si>
    <t>JUZGADO FEDERAL DE PRIMERA INSTANCIA - RAWSON</t>
  </si>
  <si>
    <t>Sastre</t>
  </si>
  <si>
    <t>Hugo Ricardo</t>
  </si>
  <si>
    <t>A CARGO JUZGADO FEDERAL DR. RODOLFO MARIANO MIQUELARENA</t>
  </si>
  <si>
    <t>ACTA DE APERTURA</t>
  </si>
  <si>
    <t>EN CONTROL DE RUTINA A LA CARGA Y CORREO DE LA EMPRESA JET PAQ, ARRIBADOS EN VUELO DE LA EMPRESA AEROLINEAS ARGENTINA, SE INSPECCIONO MEDIANTE EL EQUIPO DE RAYOS X DEL EMBARQUE DE ESTA UOSP, UNA SACA DE CORREO CONTENIENDO EN SU INTERIOR, UNA CAJA DE MEDIANAS DIMENSIONES 30X20X25CM APROX. EN DONDE SE DECLARABA EN SU GUIA AEREA DOCUMENTACION Y EN EL CONTROL DE EQUIPO DE RAYOS X SE INTERPRETABA Y ACUSABA MATERIAL ORGANICO EN FORMA DE PAQUETES COMPACTOS. ACTO SEGUIDO SE DA INTERVENCION AL JUZGADO FEDERAL DE RAWSON, HACIENDOSE PRESENTE EN ESTA UOSP EL TITULAR A CARGO PARA REALIZAR LA APERTURA DEL BULTO. REALIZADA LA APERTURA EN PRESENCIA DE LOS FUNCIONARIOS JUDICIALES, POLICIALES Y TESTIGOS, SE COMPRUEBA QUE LA MISMA ESTABA DIRIGIDA AL SR. WALTER TORRES, CON DOMICILIO EN CALLE A. P. BELL, MANZANA 1303, LOTE 6 Bº CODEPRO III, DE LA CIUDAD DE PUERTO MADRYN, PROVINCIA DEL CHUBUT C.P. 9120, SIN REMITENTE A LA VISTA EN LA ENCOMIENDA NI EN LA GUIA DE CARGA. TODO ESTO DESPACHADO EN CORREO ARGENTINO EXPRESO CTP SALTA, EL DIA 22 DE MAYO DE 2010 MARBETE SLA0172490E555500REL PRECINTO C822781, PESO APROXIMADO 2,770 KG., CON GUIA AEREA DE LA EMPRESA JET PAQ NUMERO 8255854-5 DE FECHA 26 DE MAYO DE 2010. Y QUE EN SU INTERIOR SE TRANSPORTABA SEIS (06) SOBRES DE JUGO MARCA INCA, UN (01) PANTALÓN DE GIMNASIA, CUATRO (04) ENVOLTORIOS DE NYLON DE APROXIMADAMENTE 250 GRAMOS CADA UNO, CON PRESUNTAS HOJAS DE ERYTHROXYLON COCA Y CINCO (05) PEQUEÑOS ENVOLTORIOS DE NYLON CON UNA SUSTANCIA (POLVO) DE COLOR PLOMIZO APARENTEMENTE BICARBONATO DE SODIO DE 20 GRAMOS APROXIMADAMENTE CADA UNO, EL CUAL REACCIONO EN FORMA NEGATIVA AL NARCO TEST DE COCAINA Y HEROÍNA, LOS CUALES FUERON REALIZADOS A SOLICITUD DEL JUEZ FEDERAL. ACTO SEGUIDO SS ORDENA SE CIERRE EL BULTO Y SE ENTREGUE EL MISMO A LA EMPRESA TRANSPORTADORA, PARA CONTINUAR CON LA ENTREGA AL DESTINATARIO.</t>
  </si>
  <si>
    <t>LA IMPUTADA ES INTERCEPTADA ANTES DE LLEGAR AL PUNTO DE INSPECCION Y CONTROL DENOMINADO PREEMBARQUE 1/16</t>
  </si>
  <si>
    <t>PERSONAL DEL SECTOR DE COBRO DE TASA AEROPORTUARIA INFORMA A LOS EFECTIVOS POLICIALES DEL PUNTO DE INSPECCION 1/16, QUE UNA FEMENINO HABRIA ATRAVESADO EL CONTROL EFECTUADO POR AA2000 SIN PRESENTAR LA DOCUMENTACION PERTINENTE. ANTE ELLO SE IDENTIFICO A LA FEMENINO EN CUESTION ANTES DE QUE ATRAVIESE EL CONTROL POLICIAL Y SEGUIDAMENTE SE ENTABLARON LAS COMUNICACIONES JUDICIALES PERTINENTES, MEDIANTE LAS CUALES SE DISPUSO LA EFECTIVA IDENTIFICACION DE LA PERSONA Y DE NO CONTAR CON IMPEDIMENTOS LEGALES, SE RETIRE DE ESTA DEPENDENCIA POR SUS PROPIOS MEDIOS. ATENTO A ELLO, SIENDO APROXIMADAMENTE LAS 19 HORAS DEL 26/05/10 LA CAUSANTE SE RETIRO DE ESTA DEPENDENCIA POR SUS PROPIOS MEDIOS.PTO.-</t>
  </si>
  <si>
    <t>2664/10</t>
  </si>
  <si>
    <t>SE PROCEDE A LA APERTURA DE CINCO ENCOMIENDAS DEL CORREO OFICIAL, SEGUN CONSTA EN ACTA DE APERTURA DE CARGA Nº 0265/10, QUE ORIGINA LA PREVENCION SUMARIA Nº 050/10, EN VIRTUD DE LO ORDENADO MEDIANTE OFICO JUDICIAL Nº 721/10, DEL MAGISTRADO ACTUANTE Y EN PRESENCIA DE UN TESTIGO HABIL, LA 1ª EP 049148418AR, RTTE. NOELIA G. GUANTAY, AV. PUCARA Nº 106, PICHANAL, PCIA. DE SALTA, C.P. 4534, Y DEST. DARIO EDUARDO SOLER, PREFECTURA NAVAL Nº 2272, EL CALAFATE, PCIA. DE SANTA CRUZ. C.P. 9505, CONTIENE: DOS PAQUETES DE HOJAS DE COCA CON UN PESO TOTAL DE 998 GRS., LA 2ª EP675748337AR, RTTE. TEOFILA MAMANI, AV. EXODO Y DORREGO, S.S. DE JUJUY, C.P. 4600, Y DEST. ALICIA CRUZ, AV. LIBERTADOR Nº 132, RETIRO, CAPITAL BS. AS., C.P. 1104, CONTIENE: 196 CORPIÑOS Y 114 BOMBACHAS, LA 3ª EP675748270AR, RTTE. TEOFILA MAMANI, AV. EXODO Y DORREGO, JUJUY CAPITAL, C.P. 4600, Y DEST. MIRIAN TEJERINA, AV. LIBERTADOR Nº 132, RETIRO, CAPITAL BS. AS., C.P. 1104, CONTIENE: 100 CORPIÑOS Y 488 BOMBACHAS, LA 4ª EP675748310AR, RTTE. SANTUSA MENDOZA, AV. EXODO Y DORREGO, JUJUY CAPITAL, C.P. 4600, Y DEST. MIRIAN TEJERINA, AV. LIBERTADOR Nº 132, RETIRO, CAPITAL BS. AS., C.P. 1104, CONTIENE: 34 POMADAS MARCA MENTISAN INSDUSTRIA BOLIVIANA, 25 POMADAS DE VASELINA PERFUMADA DE INDUSTRIA PERUANA Y 250 BOMBACHAS, Y LA 5ª EP675748249AR, RTTE. VICTOR TORRES, CON DOMICILIO EN CHIPA S.S. DE JUJUY, C.P. 4600, Y DEST. OMAR ARMELLA, A RETIRAR EN POSTE RESTANTE DE EZPELETA, BS. AS., CONTIENE: 12 PARES DE ZAPATILLAS DE DIFERENTES TIPOS Y MODELO Y 60 CAMISETAS DE FUTBOL DE DISTINTOS COLORES. LAS ENCOMIENDAS SECUESTRADAS SERAN PUESTAS A DISPOSICION DE LA ADUANA DE SALTA POR SUPUESTA INFRACCION AL CODIGO ADUANERO, LEY 22.415, Y LAS ACTUACIONES REMITIDAS A SEDE JUDICIAL. PARTE ORIGINARIO Nº 2657/10 SE PROCEDE A LA RETENCION DE TRES SACAS COLECTORAS DEL CORREO OFICIAL, SEGUN CONSTA EN ACTA DE RETENCION DE CARGA Nº 0216/10, QUE ORIGINA LA PREVENCION SUMARIA Nº 050/10, LA PRIMER SACA IDENTIFCADA CON MARBETE Nº SLA9126205E555700RGL, PRECINTO Nº C827860, CON UN PESO DE 1,500 KGS., CON DESTINO A LA CIUDAD DE RIO GALLEGOS, LA SEGUNDA MARBETE Nº SLA9126190D505000BUE, PRECINTO Nº C827872, CON UN PESO DE 20,100 KGS., CON DESTINO A LA CIUDAD DE BUENOS AIRES Y LA TERCERA CON MARBETE Nº SLA9126189D505000BUE, PRECINTO Nº C827866, CON UN PESO DE 28,300 KGS., CON DESTINO A LA CIUDAD DE BUENOS AIRES, AMPARADAS EN GUIA AEREA Nº 9342769-2,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 AMPLIACION DEL ORIGINARIO PU Nº 2664/10 SE PROCEDE A LA APERTURA DE TRES SACAS COLECTORAS DEL CORREO OFICIAL, SEGUN CONSTA EN ACTA DE RETENCION DE CARGA Nº 0216/10, QUE ORIGINA LA PREVENCION SUMARIA Nº 050/10, LA PRIMER SACA IDENTIFCADA CON MARBETE Nº SLA9126205E555700RGL, PRECINTO Nº C827860, CONTIENE, 01 PIEZA IDENTIFICADA COMO EP 049148418AR, QUEDA RETENIDA, LA SEGUNDA MARBETE Nº SLA9126190D505000BUE, PRECINTO Nº C827872, CONTIENE 02 PIEZAS LA 1º EP675748337AR Y EP675748270AR, QUEDAN RETENIDAS, Y LA TERCERA SACA CON MARBETE Nº SLA9126189D505000BUE, PRECINTO Nº C827866, CONTIENE 02 PIEZAS, LA 1º EP675748310AR Y LA 2º EP675748249AR, QUEDAN RETENIDAS, QUEDANDO LAS MISMAS CERRADAS Y PRECINTADAS EN GUARDA EN ESTA UOSP. SE COMUNICO TELEFONICAMENTE AL JUZGADO INTERVINIENTE Y LAS APERTURAS SE REALIZARAN CON LA AUTORIZACION DEL MAGISTRADO ACTUANTE.</t>
  </si>
  <si>
    <t>VAADIA JONATHAN DAVID S/ EXTRADICION</t>
  </si>
  <si>
    <t>SIENDO LAS 15:20 HS. SE HIZO PRESENTE UNA COMISION POLICIAL DEPENDIENTE DE LA POLICIA FEDERAL ARGENTINA A CARGO DEL SUBINSPECTOR VIZGARRA A EFECTOS DE DAR CUMPLIMIENTO A OFICIO JUDICIAL DE FECHA 26-MAY-10 MEDIANTE EL CUAL SE ORDENA HACER ENTREGA DEL SR JONATHAN DAVID VAADIA, PASAPORTE DE ISRAEL N° 10255776Y PASAPORTE DE LOS ESTADOS UNIDOS DE AMERICA N°712304472, EN CALIDAD DE DETENIDO, A LA COMISION DEL DEPARTAMENTO INTERPOL DEPENDIENTE DE LA POLICIA FEDERAL ARGENTINA LA CUAL ARRIBARA A ESTA AEROESTACION EN EL VUELO 2530 DE LA EMPRESA AEROLINEAS ARGENTINAS APROXIMADAMENTE A LAS 15:20 HS. CABE DESTACAR QUE A COLABORACION SE LE PERMITIO A LA CUSTODIA Y AL CAUSANTE PERMANECER DENTRO DE LA OFICINA DE LA GUARDIA PREVENTIVA DE LA UOSP CBA HASTA LA ENTREGA DEL DETENIDO A LA COMISION DEL DEPARTAMENTO INTERPOL INTEGRADA POR EL OFICIAL AYUDANTE FEDERICO ABRAHAN Y CABO 1° MANUEL FERNANDEZ, PERSONAL ENCARGADOS DE CUSTODIAR AL NOMBRADO DESDE ESTA CIUDAD DE CORDOBA HASTA EL AEROPUERTO DE EZEIZA CON DESTINO FINAL EL PAIS DE ISRAEL</t>
  </si>
  <si>
    <t>HOSTEL UNIVERSITARIO KLODGES, HABITACION NRO. 16</t>
  </si>
  <si>
    <t>PARAGUAY 3358 C.A.B.A.</t>
  </si>
  <si>
    <t>REFERENTE ORDEN DE SERVICIO NRO. 423/10 - EN EL DIA DE LA FECHA SE PROCEDE A DAR CUMPLIMIENTO A LA ORDEN DE ALLANAMIENTO, DETENCION Y SECUESTRO, EMANADA DEL JUZGADO INTERVINIENTE EN LA CAUSA DE REFERENCIA, PROCEDIENDOSE A LA DETENCION DE LA INVESTIGADA EN LA RECEPCION DE LA RESIDENCIA ESTUDIANTIL QUE FUNCIONA EN LA DIRECCION INDICADA, SECUESTRANDOSE LOS ELEMENTOS QUE LLEVABA CONSIGO QUE SE DETALLAN EN EL PRESENTE COMO OBJETOS SECUESTRADOS, PROCEDIENDOSE POSTERIORMENTE AL ALLANAMIENTO DE LA HABITACION NRO. 16 DONDE SE PROCEDIO A SECUESTRAR: UNA CAMARA DIGITAL MARCA CANON, UNA NOTEBOOK MARCA SONY, UN TELEFONO CELULAR MARCA NOKIA CON CHIP COLOCADO MOVISTAR, UN CHIP DE LA EMPRESA PERSONAL, DOCUMENTACION Y PAPELES DE INTERES PARA LA CAUSA, ROPA Y EFECTOS PERSONALES Y DE HIGIENE. SEGUN P.U. 3184 EN REFERENCIA A ORDEN DE SERVICIO Nº 314/10, EN LE DIA DE LA FECHA 27/05/2010, SE PROCEDIO AL TRASLADO DE LA DETENIDA A SEDE JUDICIAL Y DESDE ALLI POR ORDEN DE LA JUDICATURA A LA U29 DEL SPF, APROXIMADAMENTE A LAS 1445 HS.</t>
  </si>
  <si>
    <t>DR. MAXIMILIANO DAVIS</t>
  </si>
  <si>
    <t>POSICION Nº21</t>
  </si>
  <si>
    <t>SIENDO LA HORA Y EL DIA ANTES MENCIONADO SE IMPLEMENTA OPERATIVO DE SEGURIDAD A PEDIDO DEL DEPARTAMENTO INTERPOL CON RELACION A LA CAUSA Nº15.938/10 CARATULADA VAADIA, JONATHAN DAVID S/EXTRADICION, QUE SE TRAMITA ANTE EL JUZGADO FEDERAL Nº 02 DE LA PROVINCIA DE CORDOBA, PARA EL ARRIBO DEL MENCIONADO A CARGO DEL CABO PRIMERO FERNANDEZ MANUEL JUNTO AL AYUDANTE ABRAHAM FEDERICO, EFECTIVOS DE INTERPOL. SIENDO LAS 17:50 HS SE RETIRAN DE ESTA DEPENDENCIA, EL DETENIDO JUNTO A LA COMISION POLICIAL DE INTERPOL SIN NOVEDAD.</t>
  </si>
  <si>
    <t>AR-2531</t>
  </si>
  <si>
    <t>POSICION 12</t>
  </si>
  <si>
    <t>SALA VIP AA2000</t>
  </si>
  <si>
    <t>SIENDO LA HORA Y EL DIA ANTES MENCIONADO SE IMPLEMENTA OPERATIVO DE SEGURIDAD PARA EL ACOMPAÑAMIENTO Y DESPLAZAMIENTO DEL SR. ENRIQUE IGLESIAS, SECRETARIO DEL BANCO INTERAMERICANO DE DESARROLLO, DENTRO DE LAS INSTALACIONES DE ESTA AEROESTACION CON MOTIVO DE SU PARTIDA A LA CIUDAD DE SAN PABLO. SE LO ASISTIO EN LA SALA VIP DE AEROPUERTOS ARGENTINA 2000 Y SE LO ESCOLTO HASTA EL PIE DE LA AERONAVE MATRICULA Nº LV-CAA, FINALIZANDO 16:40 HS SIN NOVEDAD.</t>
  </si>
  <si>
    <t>AR 1244</t>
  </si>
  <si>
    <t>POSICION Nº26</t>
  </si>
  <si>
    <t>SALA VIP AA 2000</t>
  </si>
  <si>
    <t>SIENDO LA HORA Y EL DIA ANTES MENCIONADO SE IMPLEMENTA OPERATIVO DE SEGURIDAD PAR EL ACOMPAÑAMIENTO Y DESPLAZAMIENTO DEL SR. EMBAJADOR DE JORDANIA EN CHILE, IBRAHIM AWANDEH,DENTRO DE LAS INSTALACIONES DE ESTA AEROESTACION CON MOTIVO DE SU PARTIDA A LA CIUDAD DE SANTIAGO DE CHILE. SE LO ASISTIO EN LA SALA VIP DE AEROPUERTOS ARGENTINA 2000 Y SE LO ESCOLTO HASTA EL PIE DE LA AERONAVE MATRICULA LV-BIX, FINALIZANDO 18:40 HS SIN NOVEDAD.</t>
  </si>
  <si>
    <t>AR 1288</t>
  </si>
  <si>
    <t>PERGOLA 3</t>
  </si>
  <si>
    <t>REALIZANDO EL SERVICIO DE MALETERO, SE LE SOLICITA LA HABILITACION PARA DICHA TAREA, QUIEN RESPONDE QUE NO POSEE. SIENDO LA FECHA Y HORA ANTES MENCIONADA, EN MOMENTOS EN QUE LOS OFICIALES ZUMPANO Y HANEMANN SE ENCONTRABAN EN UNA RECORRIDA POR EL SECTOR MENCIONADO CON ANTERIORIDAD, OBSERVAN Y SORPRENDEN A UNA PERSONA DE SEXO MASCULINO, LA CUAL SE ENCONTRABA REALIZANDO SERVICIO DE MALETERO SIN POSEER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</si>
  <si>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AVERIGUACION CONTENIDO DE SACA DE CORREO POR SUPUESTA INFRACCION A LA LEY 23.737</t>
  </si>
  <si>
    <t>REALIZANDO CONTROL PARA EL VUELO MENCIONADO EL JEFE DE TURNO Y SUPERVISOR AL PASAR UNA SACA OBSERVAN EN LA PANTALLA DE RAYOS X VARIAS FIGURAS DE FORMAS CIRCULARES DISTRIBUIDAS APARENTEMENTE DENTRO DE UNA CAJA Y QUE DE ACUERDO A LAS IMAGENES SERIAN SUSTANCIAS DE TIPO ORGANICA. SE REALIZA CONTROL CON CAN AXEL ANTINARCOTICOS QUIEN DA UNA ALERTA POSITIVA A LA PRESENCIA DE SUSTANCIAS ESTUPEFACIENTES EN REITERADAS OPORTUNIDADES. SE REALIZA COMUNICACION TELEFONICA CON LA MAGISTRATURA ACTUANTE QUIEN DISPONE SE INTERDICTE LA SACA Y SE REALICEN LAS ACTUACIONES A EFECTOS DE SOLICITAR LA APERTURA DE LA MISMA EL DIA VEINTISIETE DEL CORRIENTE MES Y AÑO.</t>
  </si>
  <si>
    <t>RESISTENCIA-CHACO</t>
  </si>
  <si>
    <t>INFORMO QUE EN EL DÍA DE LA FECHA SIENDO LAS 14:50 HORAS, PERSONAL DE ESTA UOSP JUJUY PROCEDE A DAR CUMPLIMIENTO A OFICIO JUDICIAL Nº 549 EXPEDIENTE Nº 4/10 CARATULADO JUEZ FEDERAL Nº 2 DISPONE APERTURA DE ENCOMIENDA, DE FECHA 21 DE MAYO DE 2010, PROCEDIENDOLA PREVENCIÓN A LA APERTURA DE UNA ENCOMIENDA NO ACOMPAÑADA, QUE FUERA DEMORADA POR PERSONAL DE ESTA UOSP CON FECHA 14/05/2010 POR RESULTAR SOSPECHOSA DE CONTENER ELEMENTOS EN SUPUESTA INFRACCIÓN A LA LEY 22415/23737, SIENDO ESTA UNA CAJA DE CARTON ENVUELTA EN PAPEL DE COLOR MARRON, DESPACHADA BAJO GUIA Nº 9381502-4, A LOS EFECTOS SE CONVOCA LA PRESENCIA DE DOS TESTIGOS HABILES ENCONTRANDOSE EN SU INTERIOR CALZADOS, CD DE JUEGO Y VCD MPG 4 DE PELICULAS, DEJANDO CONSTANCIA QUE LOS ELEMETOS SON DE ORIGEN EXTRANJERO SIN LA DOCUMENTACIÓN QUE AVALE SU LEGAL INGRESO AL PAIS Y QUE LOS CD Y VCD NO SON ORIGINALES. SIENDO LAS 15:26 HORAS SE PROCEDE A REALIZAR COMUNICACIÓN TELEFONICA CON EL JUZGADO FEDERAL Nº 2 DE JUJUY SECRETARIA PENAL Nº 4 A CARGO DEL DR. FEDERICO ZURUETA Y SE INFORMA DE LOS RESULTADOS SOBRE EL CUMPLIMIENTO DEL OFICIO MENCIONADO UT SUPRA, ORDENANDO ESTE QUE SE DE INTERVENCIÓN AL SR. FISCAL FEDERAL Nº 1 DE JUJUY DR. DOMINGO BATULE A LOS EFECTOS QUE SEA ESTE QUIEN DETERMINE SI SE PROMUEVE ACCION PENAL Y POSTERIORMENTE QUE LA PREVENCIÓN REALICE UNA NUEVA COMUNICACION TELEFONICA CON ESA SECRETARIA E INFORME SOBRE LA DESICIÓN DE LA FISCALIA. SIENDO LAS 17:50 HORAS SE ESTABLECE COMUNICACIÓN TELEFONICA CON EL FISCAL FEDERAL Nº 1 DE JUJUY A QUIEN SE INFORMA SOBRE EL CUMPLIMIENTO DE OFICIO JUDICIAL EN REFERENCIA A LA APERTURA DE ENCOMIENDA Y SOBRE LO EXPUESTO POR EL DR. FEDERICO ZURUETA, ORDENANDO EL SEÑOR FISCAL FEDERAL QUE LA MERCADERÍA EN CUESTIÓN SEA PUESTA A DISPOSICIÓN DE LA DIRECCIÓN GENERAL DE ADUANA POR INFRACCIÓN A LA LEY 22415 DEBIDO A QUE EL MONTO DE LA MERCADERÍA NO SUPERARÍA A LA SUMA DE 100.000 PESOS Y QUE NO SE PROMUEVA ACCION PENAL. SIENDO LAS 18:00 HORAS SE PROCEDE A INFORMAR TELEFONICAMENTE AL SEÑOR SECRETARIO PENAL Nº 4 SOBRE LO DISPUESTO POR EL DR. BATULE, ORDENANDO QUE SE DE CUMPLIMIENTO A LO DISPUESTO POR EL FISCAL Y QUE LA MERCADERÍA Y SUMARIO SEAN ENTREGADOS A LA DIRECCIÓN GENERAL DE ADUANA NO ELEVANDOSE AL JUZGADO FEDERAL Nº 2 DE JUJUY</t>
  </si>
  <si>
    <t>SIENDO LAS 19:30 HORAS, SE IMPLEMENTA OPERATIVO CON MOTIVO DE BRINDAR SEGURIDAD POR LA PARTIDA DEL PRESIDENTE DE HONDURAS, EL SR. ZELAYA. EN HORAS 22:05 LLEGA EL MANDATARIO VIA TERRESTRE A ESTE AEROPUERTO METROPOLITANO. SEGUIDAMENTE EN EL HORARIO DE LAS 22:30 HORAS SE EFECTUA LA PARTIDA DEL MISMO EN AERONAVE MATRICULA YV-1495 CON DESTINO HONDURAS. SIENDO LAS 22:50 HORAS FINALIZA EL OPERATIVO SIN NOVEDAD.</t>
  </si>
  <si>
    <t>Honduras</t>
  </si>
  <si>
    <t>REPUBLICA DE HONDURAS</t>
  </si>
  <si>
    <t>DR. MIGUEL ANGEN GERRERO</t>
  </si>
  <si>
    <t>INFORMO EN EL DIA 26 DE MAYO DE 2010 SIENDO LAS 18:33 HORAS SE RECIBE UNA LLAMADA TELEFÓNICA ANÓNIMA DE UNA PERSONA DE SEXO MASCULINO, N/N, QUIEN MANIFIESTA QUE EN EL ÚLTIMO VUELO DEL DÍA DE LA FECHA IRIA A PASAR UN LCD QUE CONTENDRÍA EN SU INTERIOR DROGA. SIENDO 20:30 HS. SE ESTABLECE COMUNICACIÓN TELEFÓNICA CON EL JUZGADO DE JURISDICCION SIENDO ATENDIDO POR EL DR. MIGUEL ÁNGEL GUERRERO QUIEN ENTERADO DE LOS HECHOS ORDENA SE LE MANTENGA INFORMADO DE LAS NOVEDADES QUE SURJAN AL RESPECTO. SIENDO LAS 21:00 HS SE REALIZAN LOS CONTROLES DE RUTINA EN EL PREEMBARQUE DEL ULTIMO VUELO DEL DIA DE LA FECHA AU 2737 CON DESTINO A LA CIUDAD AUTONOMA DE BUENOS AIRES, DOCUMENTOS PERSONALES, EQUIPAJES DE MANO, CARGA Y CORREO Y DE LOS EQUIPAJES DESPACHADOS POR BODEGA DANDO RESULTADO NEGATIVO RESPECTO A LA DENUNCIA ANONIMA RECIBIDA.</t>
  </si>
  <si>
    <t>JUZGADO FEDERAL DE POSADAS</t>
  </si>
  <si>
    <t>CLAUDIO RAMON</t>
  </si>
  <si>
    <t>DRA. FIERRO MARIA TRINIDAD</t>
  </si>
  <si>
    <t>POSIBLE INFRACCION LEY 22415</t>
  </si>
  <si>
    <t>EN EL 26 DE JUNIO DEL CORRIENTE AÑO EL OFICIAL PRINCIPAL CECILIO ORTIZ, JEFE DE TURNO, EN CIRCUNSTANCIAS QUE REALIZABA LA APERTURA DEL PORTON DE ACCESO DE AERONAVES PARTICULARES A LA JURISDICCION AEROPORTUARIA EN LA ZONA DENOMINADA AEROPUERTO VIEJO, SE APERSONA EL SR. AÑAIS DANIEL PILOTO PRIVADO, QUIEN LE MANIFIESTA QUE EN LA AERONAVE MAT. TC-79 PERTENECIENTE A LA FUERZA AEREA ARGENTINA, QUE SE ENCONTRABA ESTACIONADA LINDANTE AL PORTON ANTES MENCIONADO, EL PERSONAL DE FUERZA AEREA HABIA CARGADO BULTOS, LOS CUALES SERIAN EQUIPOS ELECTRONICOS, MOSTRANDO UNA FILMACION EFECTUADA POR EL, EN LA CUAL SE OBSERVABA AL PERSONAL DE FUERZA AEREA CARGANDO CAJAS SIMILARES EN TAMAÑO A PANTALLAS O PLASMAS. SEGUIDAMENTE, SE APERSONA EL JEFE DE TURNO JUNTAMENTE CON EL OFICIAL PRINCIPAL RAMON HORACIO RAYMUNDO, HABLAN CON EL COMANDANTE DE LA AERONAVE MENCIONADA PRIMER TENIENTE SILVIO PUENTE, A FIN DE EFECTUAR UN CONTROL PREVENTIVO EN LA MISMA, QUIEN MANIFIESTA NO TENER INCONVENIENTES EN QUE SE SUPERVISE LA AERONAVE, SIENDO ACOMPAÑADO POR EL ENCARGADO DE CARGA DE DESPACHO, DONDE A SIMPLE VISTA, SE OBSERVA SOBRE LOS ASIENTOS, CUATRO BULTOS RECUBIERTOS EN PAPEL MADERA, PREGUNTANDO AL ENCARGADO SI LAS CAJAS CONTENIAN PLASMAS, DIJO QUE SI, AL SERLE REQUERIDA LA DOCUMENTACION RESPALDATORIA DE LA ADQUISICIÓN DE LOS MISMOS, MANIFESTO CARECER DE ELLA Y DESCONOCER QUIEN LOS TRASLADO AL LUGAR. ATENTO A ESTO SE PROCEDE A LA DESCARGA DE LOS BULTOS MENCIONADOS LOS QUE SON TRASLADADOS HASTA LA GUARDIA DE PREVENCION DE LA UNIDAD OPERACIONAL REQUIRIENDO LA PRESENCIA DE TESTIGOS HABILES A TAL EFECTO. CONTROLANDO LOS BULTOS EN CUESTION MEDIANTE EL EQUIPO DE R-X, ARROJANDO LAS IMAGENES CONCORDANTES CON EQUIPOS ELECTRONICOS. ASIMISMO, SE MANTIENE COMUNICACION TELEFONICA CON EL JUZGADO INTERVINIENDO, EN LA PERSONA DE LA DRA. MARIA TRINIDAD FIERRO, AC/ DE LA SECRETARIA Nº 3, QUIEN INFORMADA DE LOS HECHOS, DISPONE QUE SE PROCEDA A CITAR A LOS PROPIETARIOS O RESPONSABLES DE LOS BULTOS DE MENCION Y REALIZAR LA APERTURA Y CONTROL CORRESPONDIENTE, CASO CONTRARIO SE EFECTUE LA APERTURA JUDICIAL. POR LO ANTES EXPUESTO Y EN RAZON DE CARECER DE LA DOCUMENTACION QUE ACREDITE SU LEGAL ADQUISICIÓN, SE PRECEDE A INTERDICAR LOS MISMOS POR PRESUNTA INFRACCION A LA LEY Nº 22415, MERCADERIA ESTA QUE SERA PUESTA A DISPOSICION DE LA AFIP DGA DE LA CIUDAD DE POSADAS. EL DIA DE LA FECHA, 06 DE JULIO DE 2010, SE PROCEDE A DAR CUMPLIMIENTO AL OFICIO JUDICIAL NRO. 3-3049 DEL JUZGADO FEDERAL DE PRIMERA INSTANCIA EN LO CRIMINAL Y CORRECCIONAL DE POSADAS, QUE EN SU PARTE PERTINENTE AUTORIZA LA APERTURA DE CUATRO (04) BULTOS EN REFERENCIA AL EXPEDIENTE NRO. 3-6938/10 CARATULADA POLICÍA DE SEGURIDAD AEROPORTUARIA S/SOLICITUD APERTURA DE ENCOMIENDA (ACTA DE INTERDICCIÓN 026/10). Y EN CUMPLIMIENTO DE ORDEN DE SERVICIO NRO. 027/10 (UOSP POSADAS), SE TRASLADA LOS CUATRO BULTOS A SEDE DEL DEPOSITO DE ADUANA DONDE SE REALIZA LA APERTURA DE LOS MISMOS MEDIANTE ACTA DE APERTURA NRO. 048/10 (UOSP POSADAS), UNA VEZ CORROBORADO QUE DICHA MERCADERÍA NO POSEÍA EL AVAL ADUANERO CORRESPONDIENTE SE PROCEDE A LA ENTREGA DE LA MERCADERIA EN CUESTION EN EL DEPOSITO MEDIANTE ACTA DE ESTILO NRO. 049/10(UOSP POSADAS) A LA ADMINISTRACIÓN ANTES MENCIONADA. QUEDANDO REGISTRADA BAJO D.N. 46/10 NUMERO 1252 Y LOTE 2010-046-001313.</t>
  </si>
  <si>
    <t>APROXIMADAMENTE A 50 MTS. DEL ACC, SOBRE LA BANQUINA DEL CAMINO PERIMETRAL EN EL SECTOR F9 CUADRANTE D SEGUN PLANIMETRIA - PLAN DE EMERGENCIA AEROPORTUARIO</t>
  </si>
  <si>
    <t>SIENDO LAS 23:20HS APROXIMADAMENTE EL JEFE DE TUNO PSA RECIBE UNA COMUNICACIÓN VÍA NEXTEL DEL OFICIAL RITONDALE EL CUAL SE ENCONTRABA EN UN SECTOR PRÓXIMO AL ACC, LUGAR DONDE SE ENCUENTRA DEPOSITADO UN CONTENEDOR Y UN CARRO CISTERNA PROPIEDAD DE LA EMPRESA INGECO CONTRATADA POR AEROPUERTOS 2000 PARA LA REFACCION DEL ALAMBRADO PERIMETRAL, YA QUE HABRÍA UNA ANORMALIDAD DADO QUE EL MENCIONADO CARRO SE ENCONTRABA SIN RUEDAS. ANTE ESTA NOVEDAD EL PERSONAL PREVENTIVO SE DIRIGIO HACIA EL LUGAR Y UNA VEZ ALLÍ PUDO OBSERVAR QUE EFECTIVAMENTE AL CARRO CISTERNA LE FALTABAN SUS DOS RUEDAS, DETECTÁNDOSE ADEMÁS UN HUECO EN EL PAÑO DEL ALAMBRADO PERIMETRAL, COMO ASÍ TAMBIÉN QUE EL CONTENEDOR PRESUMIBLEMENTE HABRÍA SIDO ABIERTO DADO QUE EN EL SECTOR, MAS PRECISAMENTE EN EL PISO, SE ENCONTRABA UN CANDADO CON EVIDENTES SIGNOS DE VIOLENCIA. POSTERIORMENTE SE DIO AVISO A PERSONAL DE AEROPUERTOS ARGENTINA 2000 EN LA PERSONA DEL SR. BERNASCONI PARA QUE SE HAGA PRESENTE EN EL LUGAR, COMO ASÍ TAMBIÉN SE LE INFORMA TELEFÓNICAMENTE A LA POLICÍA DE LA PROVINCIA CÓRDOBA PARA QUE LOS MISMOS CORROBOREN DEL LADO EXTERNO DEL PAÑO SI SE ENCONTRABAN ELEMENTOS QUE PODÍAN RELACIONARSE CON EL HECHO OCURRIDO. UNA VEZ PRESENTE EL SEÑOR BERNASCONI EN EL LUGAR DEL HECHO, CONFIRMA QUE EFECTIVAMENTE FALTABAN LAS RUEDAS DEL CARRO ADEMAS DE LAS VARILLAS DE HIERRO, QUE SEGÚN SUS DICHOS, SE ENCONTRABAN DEPOSITADAS EN LA PARTE SUPERIOR EXTERNA DEL CONTENEDOR ANTES MENCIONADO NO PUDIENDO PRECISAR EL FALTANTE DE ELEMENTOS EN EL INTERIOR DEL MISMO. SIENDO LAS 00:00 HS. APROXIMADAMENTE SE HACE PRESENTE EL MÓVIL 5346 DE LA POLICÍA DE LA PROVINCIA DE CÓRDOBA A CARGO DEL SARGENTO OVIEDO, QUIEN INFORMA QUE YA HABÍAN RECORRIDO EL CAMINO PERTENECIENTE A LA EX VILLA EL OCHO SIN OBTENER RESULTADO POSITIVO. ANTE TAL SITUACION SU PUSO EN CONOCIMIENTO AL JUZGADO FEDERAL INTERVINIENTE QUIEN LUEGO DE INTERIORIZARCE DE LO ACAECIDO DISPUSO SE LABREN LAS ACTUACIONE DE RIGOR . SEGUN CBA_2010_3197_PU EL DIA 27 DEL CORRIENTE A LAS 1800 HS SE PRESENTO EL EXPONENTE AMPLIANDO DETALLES DE LOS ELEMENTOS SUSTRAIDOS.</t>
  </si>
  <si>
    <t>SALIDA DE LA TERMINAL DE CARGAS ARGENTINAS</t>
  </si>
  <si>
    <t>QUE SIENDO LAS DIECINUEVE HORAS APROXIMADAMENTE SE RECIBE COMUNICACION TELEFONICA POR PARTE DEL SISTEMA 911, EN LA QUE DAN CUENTA SOBRE UN HECHO DELICTIVO SUFRIDO POR UN MASCULINO EN EL SECTOR DE SALIDA DE LA TCA, MOTIVO POR EL CUAL SE HACEN PRESENTE EN EL SECTOR PERSONAL POLICIAL DE ESTA UNIDAD, DANDO CON EL MASCULINO DAMNIFICADO AL QUE SE INVITA A RADICAR DENUNCIA FORMAL EN LA CUAL REFIERE QUE SE ENCONTRABA AGUARDANDO LA SALIDA DE UN CAMION AL CUAL LE REALIZARIA CUSTODIA VEHICULAR, EN SU VEHICULO PARTICULAR, PEUGEOT MODELO PARTNER DE COLOR GRIS, DOMINIO HXT 202, JUNTO CON SU COMPAÑERO DE NOMBRE HECTOR EUSEBIO SOSA -SIN OTRO DATO- ES ALLI QUE DISCUTE CON DICHA PERSONA, LO QUE DERIVO EN FORCEJEOS Y AMENAZAS, CULMINANDO ESE ACTO CON LA TOMA POR PARTE DEL SEÑOR SOSA, DEL ARMAMENTO PROVISTO POR LA EMPRESA DE SEGURIDAD PARA LA CUAL PRESTAN SERVICIOS, SIENDO ESTA DE NOMBRE GRUPO TEAMSEG, SITUACION QUE PROVOCO UN ALTERCADO ENTRE AMBOS, LO QUE TRAJO COMO CONSECUENCIA QUE EL DENUNCIANTE TOMARA LAS LLAVES DEL VEHICULO, EN TANTO EL SR. SOSA REFIRIO UNA LESION EN SU PIERNA, COMUNICANDO LA SITUACION A LAS AUTORIDADES DE LA EMPRESA. QUE TRASNCURRIDOS UNOS INSTANTES SE APERSONO EL SUPERVISOR DE DICHA EMPRESA, EL SEÑOR BORJA-SIN MAS DATOS- TRASLADANDO AL SUPUESTO LESIONADO, RESGUARDANDO EL ARMA EN CUESTION, EN INSTALACIONES DE LA EMPRESA DE MENCION.</t>
  </si>
  <si>
    <t>VEREDA SECTOR ARRIBOS INTERNACIONALES</t>
  </si>
  <si>
    <t>SIENDO LA HORA Y LA FECHA MENCIONADA SE HACE PRESENTE EN ESTA GUARDIA DE PREVENCION EL SR. RABASEDAS ALFREDO OSCAR MANIFESTANDO QUE EN EL HORARIO DE LAS 06:35 HORAS ARRIBO EN ESTE AEROPUERTO METROPOLITANO Y LUEGO DE RETIRAR SU EQUIPAJE DESPACHADO Y COLOCARLO EN UN CARRO PORTA EQUIPAJE JUNTO A SU MALETIN, SE DIRIGIO A LA VEREDA DEL SECTOR DE ARRIBOS INTERNACIONALES A LOS EFECTOS DE ESPERAR UN REMIS QUE LO RECOGERIA POR DICHO SECTOR, EN MOMENTOS DE ENCONTRARSE A LA ESPERA SE ACERCA UNA PERSONA DE SEXO MASCULINO QUE LUEGO DE PREGUNTARLE SI EN EL VUELO QUE HABÍA ARRIBADO VENIA UNA MUJER CON UNA NIÑA SE ALEJO VELOZMENTE. POSTERIORMENTE AL BUSCAR SU MALETIN EL DENUNCIANTE SE PERCATO DE QUE EL MISMO HABÍA DESAPARECIDO.</t>
  </si>
  <si>
    <t>AR 1257</t>
  </si>
  <si>
    <t>IGNACIO CARLOS FORNARI</t>
  </si>
  <si>
    <t>SUMARIO 12/10</t>
  </si>
  <si>
    <t>CHACABUCO 1180, CAPITAL, PROVINCIA DE CORDOBA</t>
  </si>
  <si>
    <t>EN EL DIA DE LA FECHA SE RECEPCIONO OFICIO JUDICIAL DEL JUZGADO NACIONAL EN LO PENAL ECONOMICO Nº 1 DE FECHA 10 DE MAYO, REMITIDO A ESTA UNIDAD POR LA U.O.C.N.D.C. I DEL ESTE, EN VIRTUD DEL CUAL SE SOLICITA COLABORACION EN LA CAUSA RAMODIBE, MASHUDU WELHEMINAH S/TENTATIVA DE CONTRABANDO DE ESTUPEFACIENTES, A LOS FINES DE VERIFICAR SI EL DOMICILIO CHACABUCO 1180 DE LA CIUDAD DE CORDOBA EXISTE, Y EN CASO AFIRMATIVO SE IDENTIFIQUE A SUS OCUPANTES. AMPLIANDO SEGUN DOCN2_2010_3212_PR - CUMPLIMENTANDO CON LO SOLICITADO POR EL JUZGADO SE PROCEDIO, EL 28 DE MAYO A LAS 1200 HS, POR MEDIO DE DISCRETAS TAREAS INVESTIGATIVAS A CORROBAR LA EXISTENCIA DEL DOMICILIO REFERENCIADO.DE LAS CITADAS TAREAS INVESTIGATIVAS SE PUDO ESTABLECER QUE LA MENCIONADA ALTURA NO EXISTE, SURGIENDO LA ALTURA 1172 E INMEDIATAMENTE LUEGO DE ESTA LA ALTURA 1184, DANDO DE ESTA MANERA FINALIZADA LAS MENCIONADAS TAREAS</t>
  </si>
  <si>
    <t>EN EL DIA DE LA FECHA Y SIENDO LAS 10:30 HORAS, EL OFICIAL SANTANDER DIEGO EDGAR, NUMERARIO DE LA UNIDAD OPERACIONAL MENDOZA, DE COMISION DE SERVICIO EN ESTA UNIDAD, INFORMA DEL EXTRAVIO DE SU PERMISO PERSONAL DE SEGURIDAD AEROPORTUARIA, POR LO QUE SE CONFECCIONA ACTA DE EXPOSION DE EXTRAVIO. DRICA II - N° CREDENCIAL 318257, F.VENC. 01/09/2011</t>
  </si>
  <si>
    <t>2403/10</t>
  </si>
  <si>
    <t>APERTURA DE ENCOMIENDA SOL/POLICIA DE SEGURIDAD AEROPORTUARIA</t>
  </si>
  <si>
    <t>SE PROCEDE A LA APERTURA DE UNA ENCOMIENDA DE LA EMPRESA AEREA JET PAQ, SEGUN CONSTA EN ACTA DE APERTURA DE CARGA Nº 266/10, QUE ORIGINA LA PREV. SUM. Nº 044/10, EN VIRTUD DE LO ORDENADO MEDIANTE OFICIO JUDICIAL Nº 1381/10, DEL MAGISTRADO ACTUANTE Y EN PRESENCIA DE UN TESTIGO HABIL, AMPARADA EN GUIA AEREA Nº 9367921-3, RTTE. SR.GREGORIO CHOQUE, PASAJE JUAN CABOT Nº 135, Bº MOSCONI, SALTA CAPITAL, C.P. 4400, Y DES. JOSE TOMAS CHOQUE, CALLE 22 Nº 1082, EL CALAFATE PROV. SANTA CRUZ, C.P. 9405. CONTIENE: 7 PAQUETES DE HOJAS DE COCA, CON UN PESO TOTAL DE 1.734 GRS. LA ENCOMIENDA SECUESTRADA SERA PUESTA A DISPOSICION DE LA ADUANA DE SALTA POR SUPUESTA INFRACCION AL CODIGO ADUANERO, LEY 22.415, Y LAS ACTUACIONES REMITIDAS A SEDE JUDICIAL. PARTE ORIGINARIO Nº 2403/10 SE PROCEDE A LA RETENCION DE UNA ENCOMIENDA AMPARADA EN GUIA AEREA Nº 9367921-3, CON UN PESO APROXIMADO DE 2,35KGS., SIN IDENTIFICACION DE MARBETE Y PRECINTO, REMITENTE SR.GREGORIO CHOQUE , DOMICILIO EN PASAJE JUAN CABOT Nº 135 , Bº MOSCONI , SALTA CAPITA , CP. 4400, DESTINATARIO EL SR. JOSE TOMAS CHOQUE , DOMICILIO EN CALLE 22 Nº 1082 EL CALAFATE PROVINCIA DE SANTA CRUZ, CP9450.LA QUE SERIA DESPACHADA A TRAVES DE LA EMPRESA DE CARGA AEREA JET-PAQ. LA RETENCION SE REALIZA ANTE LA PRESUNCION DE INFRACCION A LAS LEYES 22.415 Y/O 23.737, QUEDANDO LA MISMA CERRADA Y SELLADA CON PAPEL MADERA Y CINTA DE EMBALAJE. EL SR LEDESMA GUILLERMO EMPLEADO DE JET-PAQ , INFORMARA AL REMITENTE . SEGUN CONSTA EN ACTA DE RETENCION DE CARGAS Nº 0195/10, QUE ORIGINA LA PREVENCION SUMARIA Nº044/10. SE COMUNICO TELEFONICAMENTE CON EL JUZGADO INTERVINIENTE Y LA APERTURA SE REALIZARA CON LA AUTORIZACION DEL MAGISTRADO DE TURNO.</t>
  </si>
  <si>
    <t>SEDE JUDICIAL: AV DE LOS INMIGRANTES 1950. PISO 2 - UNIDAD PENAL N° 29: COMODORO PY 2002</t>
  </si>
  <si>
    <t>REFERENCIA ORDEN DE SERVICIO N° 314. EN EL DIA DE LA FECHA SE PROCEDIO AL TRASLADO DE LA DETENIDA ANGIE JEANNETH SANCLEMENTE VALENCIA, PASAPORTE COLOMBIANO N° 22505400, DE NACIONALIDAD COLOMBIANA, ESTADO CIVIL SOLTERA DE OCUPACION MODELO CON DIRECCION EN LA CALLE JUAN DE LA BARRERA 56 COLONIA CONDESA, MEXICO D.F. DESDE LA UNIDAD OPERACIONAL MINISTRO PISTARINI HASTA SEDE JUDICIAL. Y DESDE ALLI POR ORDEN DE SSA. HASTA LAS INSTALACIONES DE LA UNIDAD PENAL N° 29, APROXIMADAMENTE A LA HORA 14:45 DEL DIA DE LA FECHA.</t>
  </si>
  <si>
    <t>EXPOSICION</t>
  </si>
  <si>
    <t>VIA PUBLICA DEL BARRIO AERONAUTICO</t>
  </si>
  <si>
    <t>INFORMO QUE SIENDO LAS 16:30 HS SE PRESENTA EL EXPONENTE ANTE ESTA GUARDIA DE PREVENCION PARA EXPONER QUE EN EL DIA 26 DEL CORRIENTE MES Y AÑO EN MOMENTOS EN QUE SU VEHICULO DE USO PARTICULAR MARCA CHEVROLET MODELO CORSA WAGON DOMINIO CTF 626 SE ENCONTRABA ESTACIONADO FRENTE A SU DOMICILIO FUE ENVESTIDO EN LA PARTE DELANTERA DERECHA OCASIONANDOLE DAÑOS EN OPTICA PARAGOLPE Y GUARDABARRO DELANTERO POR UN VEHICULO MARCA MERCEDES BENZ MODELO L 608 D/35 DOMINIO WSX 642 PERTENECIENTE A LA FUERZA AEREA ARGENTINA SIENDO CONDUCIDO POR EL SEÑOR ULICES ANTONIO ROMERO MIENTRAS TRANSITABA POR LA VIA PUBLICA</t>
  </si>
  <si>
    <t>DE ACUERDO ORDEN DE SERVICIO N° 100 /10 DE LA URSA III DEL NORTE, A HORAS 12:00 SE IMPLEMENTO DISPOSITIVO DE SEGURIDAD PARA LA VISITA DEL DR. NESTOR KIRCHNER Y GOBERNADORES, ATERRIZANDO DESDE HORAS 14:00 HASTA HORAS 16:45 LOS SIGUIENTES VUELOS: LV-YLC PROCEDENTE DE LA PROVINCIA DE LA RIOJA, LV-YHC PROCEDENTE DE LA PROVINCIA DE SAN JUAN, LV-BIV PROCEDENTE DE SAN FERNANDO PROVINCIA DE BUENOS AIRES, LV-CAK PROCEDENTE DE LA PROVINCIA DE BUENOS AIRES, LV-ZZR PROCEDENTE DE LA PROVINCIA DE BUENOS DE AIRES, LV-BPL PROCEDENTE DE LA PROVINCIA DE BUENOS AIRES, LV-HEL PROCEDENTE DE PARANA PROVINCIA DE ENTRE RIOS, LV-LTB PROCEDENTE DE LA PROVINCIA DE JUJUY, LV-WTE PROCEDENTE DE LA PROVINCIA DE BUENOS AIRES, LV-BXD PROCEDENTE DE LA PROVINCIA DE SALTA, LV-BPO PROCEDENTE DE LA PROVINCIA DE SANTA ROSA LA PAMPA, LV-BZJ PROCEDENTE DE LA PROVINCIA DE FORMOSA Y T-10 PROCEDENTE DE LA PROVINCIA DE BUENOS AIRES. A HORAS 17:00 SE RETIRA DE ESTE AEROPUERTO LA COMITIVA SIN REGISTRARSE NOVEDADES. ASI MISMO INFORMO QUE EL DISPOSITIVIO DE SEGURIDAD ESTUVO CONFORMADO CON PERSONAL DE TURNO Y REFUERZO SEGUN ORGEN DE SERVICIO.</t>
  </si>
  <si>
    <t>FISCALIA FEDERAL - COMODORO</t>
  </si>
  <si>
    <t>EXPOSICION POLICIAL VOR</t>
  </si>
  <si>
    <t>ANAC</t>
  </si>
  <si>
    <t>300 METROS DE RUTA PROVINCIAL Nº 1 A 10 KM DEL AEROPUERTO</t>
  </si>
  <si>
    <t>VOR</t>
  </si>
  <si>
    <t>SIENDO LAS 17:05 HORAS LOCAL SE PRSENTA EL SEÑOR JUAN COSTA EMPLEADO DE FUERZA AEREA DE COMISION EN ANAC PARA REALIZAR UNA EXPOSCION POLICIAL SOBRE LA ROTURA DEL PRECINTO QUE SE ENCUENTRA EN LA PUERTA DE CASETA DEL EQUIPO VOR, CONSULTADO AL FISCAL FEDERAL DE COMODORO RIVADAVIA ORDENA QUE SE TOME UNA EXPOSICION POLICIAL.</t>
  </si>
  <si>
    <t>SALA DE DESCANSO PB</t>
  </si>
  <si>
    <t>OFICINAS DE DIRECCION NACIONAL DE MIGRACIONES</t>
  </si>
  <si>
    <t>SIENDO LAS 14:10 HORAS SE HACE PRESENTA LA SRA. FUENTEALBA MARIA CELESTE, INSPECTORA DE LA DIRECCION NACIONAL DE MIGRACIONES, INDICANDO QUE EN MOMENTO DE ESTAR FESTEJANDO EL CUMPLEAÑOS DEL JEFE DE SECTOR JUNTO A OTROS INTEGRANTES DE DICHA ENTIDAD, SE DIRIGIO A LA COCINA CONTIGUA A SU OFICINA PARA LAVAR ELEMENTOS DE COCINA, SACANDOSE SU RELOJ PULSERA Y COLOCANDOLO ARRIBA DE LA HELADERA. MINUTOS MAS TARDE SE PERCATA QUE LO HABIA DEJADO OLVIDADO, MOTIVO POR EL CUAL REGRESA A BUSCARLO, RESULTANDO NEGATIVA SU BUSQUEDA. CONSULTANDO A SUS COMPAÑEROS SI ALGUIEN LO HABIA VISTO, INDICANDOLES ESTOS QUE NO. RAZON POR LA CUAL SE HACE PRESENTE EN ESTA GUARDIA DE PREVENCION A FIN DE RADICAR LA DENUNCIA. SIENDO LAS 15:50 SE ENTABLA COMUNICACION CON LA FISCALIA ACTUANTE QUIEN INFORMADA DE LOS HECHOS, DISPONE: NOMINA DE PERSONAL QUE ESTUVO PRESENTE EN ESA REUNION, REGISTRO FILMICO INTERNO Y EXTERNO DE LA OFICINA SI EXISTIERE Y ENVIO A APOYO TECNOLOGICO DE LA PFA, CIERRE Y ELEVACION DE ACTUACIONES.-</t>
  </si>
  <si>
    <t>INFRACCION A LOS ARTS 78 Y 85 DEL DEC. LEY 8031/73</t>
  </si>
  <si>
    <t>SIENDO LA FECHA Y HORA ANTES MENCIONADA, EN MOMENTOS EN QUE LOS OFICIALES VILAS JOAQUIN Y VILAS MARIANO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</si>
  <si>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LAS 16:00 HORAS SE DA COMIENZO AL OPERATIVO DE SEGURIDAD REFERENTE A LA PARTIDA DE LA SEÑORA PRESIDENTE DE LA NACION, CRISTINA FERNANDEZ DE KIRCHNER, LA CUAL ARRIBO A ESTA AEROESTACION EN EL HELICOPTERO DE MATRICULA H01 A LAS 18:51 HORAS PARA LUEGO ABORDAR LA AERONAVE MATRICULA T01, PARTIENDO DE ESTE AEROPUERTO A LAS 19:09 HORAS CON DESTINO A LA REPUBLICA FEDERATIVA DEL BRASIL. FINALIZANDO EL OPERATIVO A LAS 19:15 HORAS SIN NOVEDAD.-</t>
  </si>
  <si>
    <t>INFRACCION A LOS ARTS 78 Y 85 DEC LEY 8031/73</t>
  </si>
  <si>
    <t>PERGOLA DE ARRIBOS DEL ESPIGON INTERNACIONAL</t>
  </si>
  <si>
    <t>SIENDO LA FECHA Y HORA ANTES MENCIONADA, EN MOMENTOS EN QUE LOS OFICIALES VILAS MARIANO Y DE LUIS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</si>
  <si>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3188/10</t>
  </si>
  <si>
    <t>AMPLIANDO PARTE URGENTE N°3188/10 INFORMO ENTRE HORAS 19:50 Y HORAS 21:20 PARTIERON, VUELOS CON GOBERNADORES INVITADOS AL ACTO EN ESTA PROVINCIA, ORGANIZADO POR EL DOCTOR NESTOR KIRSHNER, SE IMPLEMENTO EL DISPOSITIVO DE SEGURIDAD PREVISTO CON PERSONAL DE TURNO Y REFUERZOS SIN REGISTRARSE NOVEDADES.</t>
  </si>
  <si>
    <t>APROXIMADAMENTE A 50 MTS. DEL ACC SOBRE LA BANQUINA DEL CAMINO PERIMETRAL EN EL SECTOR F9 CUADRANTE D SEGUN PLANIMIETRIA -PLAN DE EMERGENCIA AEROPUERTO</t>
  </si>
  <si>
    <t>EN AMPLAICION A PARTE URGENTE NRO.3172 DE FECHA 27 MAY 10 SIENDO APROXIMADAMENTE LAS 18:00 HRS. SE PRESENTO ANTE EL SERVICIO DE GUARDIA EL EXPONENTE A LOS FINES DE REALIZAR UNA AMPLIACION DE LOS ELEMENTOS SUSTRAIDOS DEL CONTENEDOR QUE POSEE LA EMPRESA INGECO S.A. EN EL CAMINO PERIMETRAL EN PROXIMIDADES DEL ACC. CABE DESTACAR QUE EL FALTANTE DEL MATERIAL FUE CORROBORADO EN EL TRANSCURSO DE LA TARDE EN RAZON QUE CUANDO SE DETECTO ESTA ANOMALIA ERAN APROXIMADAMENTE LAS 23:20 HRS. DE LA NOCHE DEL 26 MAY 10Y NO SE PODIA VERIFICAR FEHACIENTEMENTE LA CANTIDAD DE LO SUSTRAIDO</t>
  </si>
  <si>
    <t>IVANA ARAMENDI</t>
  </si>
  <si>
    <t>PROXIMO AL ALAMBRADO PERIMETRAL QUE SEPARA SECTOR MILITAR DE ZONA RESTRINGIDA</t>
  </si>
  <si>
    <t>AEROPLANTA DE COMBUSTIBLE YPF</t>
  </si>
  <si>
    <t>SIENDO LAS 19:10 HORAS RECIBE EL RESPONSABLE DEL INFORME UNA LLAMADA TELEFONICA EN ESTA OFICINA DE GUARDIA DE PREVENCION EN LA LINEA 0261.4487208 LA CUAL FIGURA EN EL IDENTIFICADOR DE LLAMADAS COMO ANONIMO, REALIZADA POR UNA MUJER DICIENDO LAS SIGUIENTES PALABRAS: SIGUE EL ROBO DE COMBUSTIBLE, LO HACEN EN EL HORARIO DE CAMBIO DE TURNO ENTRE LAS 06:00 HS Y 07:00 HS , A UNO DE LOS EMPLEADOS LO LLEVA UNA MUJER Y GUARDAN LOS BIDONES ENTRE EL ASIENTO TRASERO Y EL TUBO DE GAS DEL VEHICULO. SE LE PREGUNTA SI SABE QUIENES SON A LO QUE RESPONDE: LUIS, CARLITOS, WALTER Y UN AUTO SENDA, CARGAN CINCO BIDONES DE VEINTE LITROS, CADA 2 SEMANAS VENDEN DIEZ MIL LITROS. A LO QUE SE LE CONSULTA POR QUE NO REALIZA LA DENUNCIA CORRESPONDIENTE A LO CUAL CONTESTA: ME CONOCEN Y ME PUEDEN MATAR. A LAS 19:10 SE REALIZA COMUNICACION TELEFONICA CON LA SECRETARIA PENAL EN TURNO A QUIEN SE LE INFORMA DE LOS HECHOS OCURRIDOS Y QUIEN DISPONE: 1° SE INICIEN ACTUACIONES DE RIGOR POR HURTO; 2° QUE LAS MISMAS SEAN ELEVADAS UNA VEZ FINALIZADAS 3° SE RELICEN TAREAS INVESTIGATIVAS Y DE VIGILANCIA SOBRE PERSONAS, VEHICULOS E INSTALACIONES QUE SEAN UTILES PARA LA CAUSA</t>
  </si>
  <si>
    <t>SE PROCEDE A LA RETENCION DE UNA SACA COLECTORA DEL CORREO OFICIAL, SEGUN CONSTA EN ACTA DE RETENCION DE CARGA Nº 0268/10, QUE ORIGINA LA PREVENCION SUMARIA Nº 061/10. LA SACA IDENTIFICADA CON MARBETE Nº SLA0170629E606000BHI, PRECINTO Nº C822800, CON UN PESO DE 10,300 KGS. CON DESTINO A LA CIUDAD DE BAHIA BLANCA, CONTIENE DOS PIEZAS POSTALES, AMPARADA EN GUIA AEREA Nº 9368594-4, LA QUE SERIA DESPACHADA A TRAVES DE LA EMPRESA DE CARGA AEREA JET PAQ. LA RETENCION SE REALIZA ANTE LA PRESUNCION DE QUE PUDIERAN CONTENER ALGUN ELEMENTO EN INFRACCION A LA LEY 22.415 Y/O 23.737, QUEDANDO LA MISMA CERRADA Y PRECINTADA EN GUARDA EN ESTA UOSP. SE COMUNICO TELEFONICAMENTE AL JUZGADO INTERVINIENTE Y LA APERTURA SE REALIZARA EN PRESENCIA DEL PERSONAL DEL CORREO OFICIAL.</t>
  </si>
  <si>
    <t>DRA SABRINA FANELLO</t>
  </si>
  <si>
    <t>AVERIGUACION DELITO DE ACCION PUBLICA</t>
  </si>
  <si>
    <t>PUNTOS DE INSPECCION Y REGISTRO DE PASAJEROS, EQUIPAJE DESPACHADO POR BODEGA, CARGAS Y COURRIER</t>
  </si>
  <si>
    <t>QUE EN EL DIA DE LA FECHA INDICADA SE RECIBE EN LA OFICINA DE LA DIRECCION DE PREVENTIVA DE LA POLICIA DE SEGURIDAD AEROPORTUARIA CORREO ELECTRONICO POR PARTE DE LA OFICINA GLOBAL DE LA ADMINISTRACION DE SEGURIDAD DEL TRANSPORTE DE LOS ESTADOS UNIDOS DE AMERICA DONDE CONSTA SOBRE UNA POTENCIAL AMENAZA A LA AVIACION CIVIL DURANTE EL MES DE MAYO POR GRUPOS TERRORISTAS, LOS CUALES USARIAN PARA LOS ATAQUES A LAS AERONAVES MATERIAL EXPLOSIVO C-4 MEZCLADO CON YESO DANDOLE LA FORMA DE YESO ORTOPEDICO. POR TAL MOTIVO SE DIO INTERVENCION AL JUZGADO ANTES DESCRIPTO QUIEN ORDENO SE EXTREMEN LAS MEDIDAS DE SEGURIDAD. SEGUIDAMENTE Y DE ACUERDO A LO ORDENADO POR S.SA. SE EXTREMARON LOS CONTROLES DE PASAJEROS, EQUIPAJES DESPACHADOS A BODEGA, CARGAS Y CURRIER. SE DEJA CONSTANCIA QUE SE LABRO EL PRESENTE PARTE POR ORDEN DEL SUBJEFE DE LA UNIDAD OPERACIONAL DE SEGURIDAD PREVENTIVA EZEIZA.-</t>
  </si>
  <si>
    <t>EN CUMPLIMIENTO DE LA ORDEN DE SERVICIO NRO. 0044/10 Y SIENDO LAS 02:05 HORAS LOCAL ARRIBA AERONAVE AIR BUS A 320, MATRICULA LV-BTM, PERTENECIENTE A LA EMPRESA LAN ARGENTINA Y EN CUYAS BODEGAS 31, 32 Y 42 SE EMBARCAN UN TOTAL DE 101 CAJAS CON UN PESO DE 2235 KILOGRAMOS DE METAL- MTD- PERTENECIENTE A LA EMPRESA MINERA SANTA CRUZ, CON DESTINO LA CIUDAD DE BUENOS AIRES. EL MISMO DESPEGA DESDE ESTE AEROPUERTO A LAS 02:56 HORAS LOCAL.</t>
  </si>
  <si>
    <t>UNIDAD FISCAL NORTE - EQUIPO C.</t>
  </si>
  <si>
    <t>MORELLI</t>
  </si>
  <si>
    <t>DR.SERGIO H. FORTUNA</t>
  </si>
  <si>
    <t>SIENDO LA HORA Y EL DIA ANTES MENCIONADO SE HACE PRESENTE EN ESTA GUARDIA DE PREVENCION UNA PERSONA QUE DESEA REALIZAR UNA DENUNCIA, INDICANDO QUE AL ARRIBAR A ÈSTE AEROPARQUE EN VUELO PROCEDENTE DE LA CIUDAD DE MENDOZA, AL MOMENTO DE TOMAR SU VALIJA DE LA CINTA TRANSPORTADORA EN EL ARRIBO, SE PERCATO DE QUE LA MISMA TENIA EL CIERRE VIOLENTADO Y FORZADO. ACTO SEGUIDO SE ACERCO A LA OFICINA DE RECLAMOS DE LA EMPRESA AEROLINEAS ARGENTINA Y REALIZO EL RECLAMO CORRESPONDIENTE. SE LE PREGUNTO SI TENIA ALGUN FALTANTE EN SU VALIJA, CONTESTÒ QUE NO.</t>
  </si>
  <si>
    <t>AR1421</t>
  </si>
  <si>
    <t>3199/10</t>
  </si>
  <si>
    <t>SE PROCEDE A LA APERTURA DE UNA SACA COLECTORA DEL CORREO OFICIAL SEGÚN CONSTA EN ACTA DE RETENCIÓN Nº 0268/10 QUE ORIGINA LA PREVENCIÓN SUMARIA 061/10, LA SACA IDENTIFICADA CON MARBETE Nº SLA0170299E606000BHI, PRECINTO Nº C822800 CON UN PESO DECLARADO DE 10,300 KGS., CON DESTINO LA CIUDAD DE BAHÍA BLANCA CONTIENE TRES PIEZAS POSTALES LA 1º IDENTIFICADA COMO EP724485016AR, LA 2º EP669752006AR, QUEDAN RETENIDAS, LA 3º EC966771123AR, ES ENTREGADA AL SR. ARIAS NESTOR RUBEN PARA SU REDESPACHO, LAS ENCOMIENDAS RETENIDAS QUEDAN EN GUARDA Y EN DEPOSITO JUDICIAL EN ESTA UNIDAD, SE COMUNICO TELEFÓNICAMENTE CON EL JUZGADO INTERVINIENTE Y LA APERTURA SE REALIZARA CON LA AUTORIZACIÓN DEL MAGISTRADO ACTUANTE.</t>
  </si>
  <si>
    <t>SOULE ADRIANA</t>
  </si>
  <si>
    <t>VEREDA DEL SECTOR A2</t>
  </si>
  <si>
    <t>EN EL DIA DE LA FECHA SIENDO LAS 08:20 HORAS APROXIMADAMENTE, SE HACE PRESENTE UNA SEÑORA ACOMPAÑADA POR SU MARIDO CON MOTIVO DE RADICAR UNA DENUNCIA, POR LA SUSTRACCION DE UNA CARTERA, AL MOMENTO DE ENCONTRARSE EN LA VEREDA DEL SECTOR A2 CUANDO SE DISPONIAN A TOMAR UN TAXIMETRO.</t>
  </si>
  <si>
    <t>LA 4221</t>
  </si>
  <si>
    <t>SIENDO LAS 10:28 HORA LOCAL ARRIBA AERONAVE DE LA EMPRESA AUSTRAL LINEASA AEREAS PROCEDENTE DE AEROPUERTO JORGE NEWBERY, EN CUYAS BODEGAS 4 Y 5 SE DESPACHAN 50 BULTOS CON UN PESO BRUTO DE 1.000 KILOGRAMOS DE MTD PERTENECIENTES A LA EMPRESA MINERA SANTA CRUZ CON DESTINO AL AEROPUERTO JORGE NEWBERY. EL VUELO DESPEGA A LAS 11:20 HORA LOCAL SIN NOVEDAD. SE DIO CUMPLIMIENTO A LA ORDEN DE SERVICIO NRO 0044/2010</t>
  </si>
  <si>
    <t>PASARELA PEATONAL</t>
  </si>
  <si>
    <t>SIENDO LA FECHA Y HORA ANTES MENCIONADA, EN MOMENTOS EN QUE LOS OFICIALES CARABAJAL Y CAFFERATA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</si>
  <si>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CHACABUCO 1180, CIUDAD CORDOBA, PROVINCIA CORDOBA</t>
  </si>
  <si>
    <t>CUMPLIMENTANDO CON LO SOLICITADO POR EL JUZGADO NACIONAL EN LO PENAL ECONOMICO Nº 01, SE PROCEDIO POR MEDIO DE DISCRETAS TAREAS INVESTIGATIVAS A CORROBAR LA EXISTENCIA DEL DOMICILIO UBICADO EN CALLE CHACABUCO 1180 DE ESTA CIUDAD DE CÓRDOBA. AMPLIANDO PARRAFO ANTERIOR DE LAS CITADAS TAREAS INVESTIGATIVAS SE PUDO ESTABLECER QUE LA MENCIONADA ALTURA NO EXISTE, SURGIENDO LA ALTURA 1172 E INMEDIATAMENTE LUEGO DE ESTA LA ALTURA 1184, DANDO DE ESTA MANERA POR FINALIZADAS LAS MENCIONADAS TAREAS.</t>
  </si>
  <si>
    <t>1309/10</t>
  </si>
  <si>
    <t>A-714/09</t>
  </si>
  <si>
    <t>EN EL DIA DE LA FECHA SE RECEPCIONA OFICIO JUDICIAL NRO 1045/2010 DEL JUZGADO FEDERAL ACTUANTE DONDE DISPONE REALIZAR TAREAS INVESTIGATIVAS SOBRE UNA TARJETA DE RADIO TAXI SAN CRISTOBAL QUE CONTIENE AL DORSO NÚMEROS TELEFÓNICOS LA QUE FORMA PARTE DE LOS ELEMENTOS SECUESTRADOS EN EL MARCO DE LA CAUSA JUDICIAL 714/09 EN LA CUAL SE ENCUENTRA PROCESADO VÍCTOR BONIFACIO GIMENEZ QUINTANA POR ESTIMARLO EN PRINCIPIO RESPONSABLE DEL DELITO DE TRANSPORTE DE ESTUPEFACIENTES.</t>
  </si>
  <si>
    <t>MOURRUT DE BEAUVERGER</t>
  </si>
  <si>
    <t>PATIO DE VALIJAS - PLATAFORMA COMERCIAL - BODEGA DE AERONAVE.</t>
  </si>
  <si>
    <t>SE HACE PRESENTE EL SR. BOZAS A FIN DE RADICAR UNA DENUNCIA POR HURTO DE PERTENENCIAS LAS CUALES FUERON COLOCADAS DENTRO DE SU EQUIPAJE DESPACHADO EL DIA 17 DE MARZO, DICHO EQUIPAJE FUE DESPACHADO POR EXCEDER EL PESO PERMITIDO EN LA CABINA DE PASAJEROS, ES POR ESO QUE DEJA EN SU INTERIOR ELEMENTOS DE VALOR LOS CUALES FUERON SUSTRAIDOS POSTERIORMENTE. SIENDO LAS 14:00 HORAS SE ENTABLA COMUNICACION CON LA FISCALIA ACTUANTE EL CUAL DISPONE CIERRE Y ELEVACION DE LO ACTUADO</t>
  </si>
  <si>
    <t>AR 1538</t>
  </si>
  <si>
    <t>JUZGADO DE EJECUCION TRIBUNAL ORAL FEDERAL DE JUJUY</t>
  </si>
  <si>
    <t>DRA. CATALANO ELISA</t>
  </si>
  <si>
    <t>LEGAJO DE JULIO ROBIN ALBA BURGOS</t>
  </si>
  <si>
    <t>712/10</t>
  </si>
  <si>
    <t>SE PRESENTA EL SUB. OFICIAL PRINCIPAL DE GENDARMERÍA NACIONAL MIRANDA MANUEL CON EL CIUDADANO DE NACIONALIDAD BOLIVIANA SR. JULIO ROBIN ALBA BURGOS SOBRE QUIEN RECAYERA LA DISPOSICIÓN 25972 DE DNM, A RESUELTO LA EXPULSIÓN DEL TERRITORIO NACIONAL CON PROHIBICIÓN DE REINGRESO AL PAÍS, SE DA CUMPLIMIENTO A ORDEN DE SERVICIO 0101/10, CON LA COLABORACIÓN DE 04 EFECTIVOS DE LA UOESA DEL NORTE.</t>
  </si>
  <si>
    <t>SIENDO EL DIA DE LA FECHA EL DENUNCIANTE ARRIBA A ESTE MEDIO Y RETIRA LOS EQUIPAJES DESPACHADOS A BODEGA EN EL AEROPUERTO DE PROCEDENCIA. QUE AL LLEGAR A SU AUTOMOVIL SE PERCATA DE QUE UNO DE SUS EQUIPAJES, UNA VALIJA DEL TIPO CARRION DE COLOR NEGRO DE MEDIANAS DIMENSIONES, PESABA MENOS QUE CUANDO FUE DESPACHADA, MOTIVO POR EL CUAL LA APERTURA Y SE PERCATA DE QUE FALTABAN DEL INTERIOR DE LA MISMA VARIAS PRENDAS DE VESTIR DE LAS QUE NO APORTA CANTIDAD NI DESCRIPCION, SIENDO EL TOTAL FALTANTE DE TRES KILOGRAMOS DE ROPA.</t>
  </si>
  <si>
    <t>ASIENTO 47A</t>
  </si>
  <si>
    <t>QUE SIENDO LAS 13:15 HS. DEL DIA DE LA FECHA, LA DENUNCIANTE SE HIZO PRESENTE EN ESTA DEPENDENCIA MANIFESTANDO QUE EN OCASION DE HABER ARRIBADO A ESTE AEROPUERTO EN EL VUELO DE MENCION EN EL DIA 27/05/2010 DEJO OLVIDADO SOBRE EL ASIENTO QUE OCUPABA EN EL VUELO, UN ESTUCHE DE COLOR NEGRO CONTENIENDO UNA CAMARA FOTOGRAFICA DIGITAL MARCA NIKON DE LA CUAL NO APORTA EL MODELO. SEGUIDAMENTE SE RETIRO A SU DOMICILIO Y EN EL DIA DE LA FECHA EN EL HORARIO DE LAS 12:30 HS. SE HIZO PRESENTE EN LAS OFICINAS DE RECLAMOS DE EQUIPAJES LA EMPRESA IBERIA EN DONDE SE LE HIZO ENTREGA DEL ESTUCHE DE MENCION, CONSTATANDO EL FALTANTE DE LA CAMARA DE MENCION. QUE SOLO RECUERDA EL NOMBRE DEL EMPLEADO QUE LE HIZO ENTREGA DEL ESTUCHE ANTES REFERIDO, SIENDO ESTE RAUL. NO POSEE SEGURO SOBRE EL FALTANTE. PTO.-</t>
  </si>
  <si>
    <t>IB 6845</t>
  </si>
  <si>
    <t>EZEIZA-PCIA. DE BS. AS.</t>
  </si>
  <si>
    <t>ESTACIONAMIENTO NORTE, PARKING 6 - B</t>
  </si>
  <si>
    <t>SIENDO LAS 14:32 HS, ARRIBA A ESTE AEROPUERTO EL SR. CORDEIRO.POSTERIORMENTE JUNTO A SU EQUIPAJE Y UN AMIGO SE DIRIGEN AL SECTOR DE ESTACIONAMIENTO NORTE, NO PUDIENDO PRECISAR EL HORARIO EXACTO. AL MOMENTO DE COLOCAR SU EQUIPAJE EN EL VEHICULO, DEJA OLVIDADO UN MALETIN EN EL BUCHE DEL CARRO PORTAEQUIPAJE, MINUTOS DESPUES DE RETIRARSE DEL AEROPUERTO SE PERCATA DEL OLVIDO POR LO QUE INMEDIATAMENTE RETORNA AL LUGAR DEL HECHO, NO ENCONTRANDO EL MALETIN OLVIDADO, POR LO QUE CONSULTA CON PERSONAL DE VIGILANCIA, Y AL OBTENER RESULTADO NEGATIVO, SE DIRIGE A LA GUARDIA DE PREVENCION A RADICAR LA DENUNCIA CORRESPONDIENTE. SIENDO LAS 16:50 HS SE ENTABLA COMUNICACION CON LA DRA SOULE, SECRETARIA DE LA FISCALIA ACTUANTE, LA CUAL DISPONE REGISRTO FILMICO, Y TESTIMONIAL DEL PERSONAL DE VIGILANCIA PRIVADA QUE SE ENCONTRABA EN EL SECTOR.</t>
  </si>
  <si>
    <t>SAN PAULO</t>
  </si>
  <si>
    <t>3167/10</t>
  </si>
  <si>
    <t>POLIC. SEG. AEROPORTUARIA INSPECTOR ANDRES AVELINO GALEANO S/SOLIC. ORDEN APERTURA DE ENCOMIENDA</t>
  </si>
  <si>
    <t>AVERIGUACION CONTENIDO DE SACA POR PRESUNTA INFRACCION A LA LEY 23737</t>
  </si>
  <si>
    <t>OFICINA DIVISION INFORMACION CRIMINAL</t>
  </si>
  <si>
    <t>SE DA CUMPLIMIENTO A LA ORDEN DE APERTURA DE ENCOMIENDA LIBRADA POR EL JUZGADO ACTUANTE, PROCEDIENDOSE A LA APERTURA DE UNA SACA INTERDICTADA EL DIA 26/05/10 ENCONTRANDO EN LA MISMA UNA CAJA EN LA QUE FIGURA COMO REMITENTE ARNALDO RAFAEL VALLEJOS DIRECCION MORENO 671 TELEFONO 03783429980 CODIGO POSTAL 3400 LOCALIDAD CORRIENTES PROVINCIA CORRIENTES Y COMO DESTINATARIO ISOLDE BIERE DE PAZOS DIRECCION BARRIO HOSPITAL CASA N° 15 DON BOSCO KM 8 TE: 02974535743 CODIGO POSTAL 9003 LOCALIDAD COMODORO RIVADAVIA PROVINCIA CHUBUT, LA QUE CONTENIA DOS CAJAS DE ALFAJORES MARCA PANAMBI, UNA BARRA DE CHOCOLATE NESTLE, UNA BOLSA CON HIERBAS NATURALES, PRENDAS DE VESTIR Y ELEMENTOS PERSONALES VARIOS. SE REALIZA PRUEBA DE CAMPO CON REACTIVO PARA COCAINA Y PARA MARIHUANA DANDO AMBOS RESULTADO NEGATIVO. SE INFORMA DE LO ACTUADO AL JUZGADO INTERVINIENTE QUIEN DISPONE SE ENTREGUE LA SACA CON LA CAJA AL CORREO PARA QUE CONTINUE SU CURSO Y LO ACTUADO SE ELEVE EL DIA 31/05/10 A ESE JUZGADO.</t>
  </si>
  <si>
    <t>CIUDAD DE SALTA</t>
  </si>
  <si>
    <t>SE AMPLIA PARTE RESERVADO Nº 2996 DE FECHA 18-05-10, REFERENTE AL EXPTE. Nº 907/09, CARATULADO SANCHEZ YANINA MARIEL S/ AMENAZAS, TRAMITADO ANTE EL JUZGADO FEDERAL DE SALTA Nº 1 A CARGO DEL DR. JULIO LEONARDO BAVIO, SECRETARIA PENAL Nº 2 A CARGO DEL DR. SANTIAGO FRENCH. EN EL DIA DE LA FECHA SE RECEPCIONA OFICIO Nº 1485/10, LIBRADO POR EL JUZGADO FEDERAL Nº 1 DE SALTA, EL CUAL ORDENA NOTIFICAR AL CIUDADANO RUBEN DARIO TURLIONE, DNI 22.214.348, DOMICILIADO EN CALLE ALVARADO Nº 2145 DE ESTA CIUDAD, A LOS FINES DE PRESTAR DECLARACION INDAGATORIA EN LA CAUSA. EL MISMO SE ENCUENTRA IMPLICADO JUNTO A YANINA SANCHEZ, EN EL LLAMADO TELEFONICO REALIZADO EN EL MES DE NOVIEMBRE A LA EMPRESA DE L.A.N. POR UNA SUPUESTA AMENAZA DE BOMBA. EL DIA DE LA FECHA A HORAS 17:30, SE DIO CUMPLIMIENTO AL MANDATO JUDICIAL, HACIENDO EFECTIVA LA NOTIFICACION AL CAUSANTE. EL PERSONAL DE ESTA UOCN Y DC DEL NORTE SE TRASLADO HASTA EL DOMICILIO EN EL MOVIL DE DOTACION DE LA UOSP SALTA, CON DOMINIO IKR 734, FORD RANGER CON CHOFER DE LA UOSP. PARTE INICIAL SIPAP 0031/09 DONDE SE INFORMA INICIO DE TAREAS INVESTIGATIVAS PARA DAR CON LOS AUTORES DE AMENAZA TELEFONICA DE BOMBA A LA EMPRESA LAN ARG ESCALA SALTA EL 24/11/09</t>
  </si>
  <si>
    <t>SALA DE EMBARQUE INTERNACIONAL</t>
  </si>
  <si>
    <t>EN EL DIA DE LA FECHA SIENDO LAS 17:00 HORAS SE HACE PRESENTE EN LA GUARDIA DE PREVENCION UNA PERSONA QUE DESEA REALIZAR UNA DENUNCIA. LA MISMA MANIFIESTA QUE SIENDO LAS 16:35 HORAS APROXIMADAMENTE LUEGO DE REALIZAR EL PREEMBARQUE PARA ABORDAR EL VUELO ANTES MENCIONADO, SE DIRIGIO AL SECTOR DE CAFETERIA PARA AGUARDAR EL EMBARQUE, Y LUEGO DE ABONAR LO QUE HABIA CONSUMIDO SE DIRIGIO CON SU HIJA Y SUS BOLSOS A UNO DE LOS MOSTRADORES DE LA EMPRESA AEREA CON LA QUE VIAJARIA, EN LA CUAL LE COMUNICAN UNA DEMORA EN EL HORARIO DE PARTIDA DE SU VUELO, MOTIVO POR EL CUAL SE DIRIGEN NUEVAMENTE A LA CAFETERIA PARA SEGUIR AGUARDANDO, Y AL MOMENTO DE ABRIR EL BOLSO PARA SACAR EL TELEFONO CELULAR, SE PERCATA DE QUE SU BILLETERA HABIA SIDO SUSTRAIDA, POR LO QUE INMEDIATAMENTE CONTACTA A LA POLICIA Y LOS MISMOS SE DIRIGIERON A INSPECCIONAR LOS BAÑOS, UNO DE ELLOS ENCUENTRA LA BILLETERA Y CORROBORAN JUNTO A LA PASAJERA SOLO LA SUSTRACCION DE DINERO EN EFECTIVO.</t>
  </si>
  <si>
    <t>LA 4634</t>
  </si>
  <si>
    <t>OFICINA DE TRAFICO DE LA EMPRESA DE REMISES WORLD CAR SA</t>
  </si>
  <si>
    <t>ESTACIONAMIENTO VEHICULAR DE PERSONAL AEROPORTUARIO</t>
  </si>
  <si>
    <t>SIENDO LA HORA Y FECHA MENCIONADA, EN MOMENTOS EN QUE LOS DENUNCIANTES SE ENCONTRABAN EN LA OFICINA DE LA EMPRESA WOLD CAR, PARA LA CUAL TRABAJAN AMBOS, RECIBEN COMUNICACION VIA NEXTEL AL MOVIL DE LA EMPRESA, POR PARTE DE UNO DE LOS CHOFERES DE LA FIRMA DE NOMBRE RAUL ALBERTO CABALLERO DNI NRO. 26.565.525, EL CUAL SE ENCONTRABA SUSPENDIDO MOMENTANEAMENTE DE SUS FUNCIONES LABORALES REFIRIENDOLES AMENAZAS TALES COMO ESTO NO VA A QUEDAR ASI YO SE DONDE VIVEN LOS DOS SIC, VOY A CAGAR A TIROS A TODOS, NO SABEN CON QUIEN SE ESTAN METIENDO SIC. MOTIVO POR EL CUAL LOS DENUNCIANTES SE DIRIGEN A ESTA GUARDIA Y RADICAN LA CORRESPONDIENTE DENUNCIA.</t>
  </si>
  <si>
    <t>SIENDO LAS 21:00 HORAS SE IMPLEMENTA EL OPERATIVO PRESIDENCIAL POR ARRIBO DE LA SEÑORA PRESIDENTE DE LA NACION CRISTINA FERNANDEZ DE KIRCHNER, ARRIBANDO A ESTE AEROPUERTO METROPOLITANO A LAS 22:25 HORAS EN LA AERONAVE PRESIDENCIAL MATRICULA T-01 PROCEDENTE DE LA CIUDAD DE RIO DE JANEIRO, REPUBLICA FEDERATIVA DE BRASIL, PARA LUEGO ABORDAR Y RETIRARSE DE LA JURISDICCION EN EL HELICOPTERO MATRICULA H-01 A LAS 22:32 HORAS. FINALIZANDO EL OPERATIVO A LAS 22:35 HORAS SIN NOVEDAD.-</t>
  </si>
  <si>
    <t>INFRACCION A LA LEY 23.737, ARTICULO 5, INCISO C.-</t>
  </si>
  <si>
    <t>QUE SIENDO LAS 20:15 HS, PERSONAL POLICIAL DETECTO A TRAVES DE LA MAQUINA DE RAYOS X UBICADA EN EL SECTOR DEL PATIO DE VALIJAS, QUE EN EL INTERIOR DE UN BOLSO DE GRANDES DIMENSIONES OBRABAN TRES FIGURAS RECTANGULARES Y A SU VEZ EN EL INTERIOR DE CADA UNA DE DICHAS FIGURAS OBRABAN FIGURAS CIRCULARES DE SUSTANCIA ORGANICA DE BAJA DENSIDAD. QUE APERTURADO EL CITADO BOLSO SE PUDO CONSTATAR LA PRESENCIA DE TRES CAJAS DE ALFAJORES DE CARTON CERRADAS CON FILM TRANSPARENTE CON LA LEYENDA HAVANNA, DISIMULADAS ENTRE PRENDAS DE VESTIR VARIAS. QUE APERTURADAS TODAS LAS CAJAS CITADAS SE CONSTATO LA EXISTENCIA EN EL INTERIOR DE CADA UNA DE ELLAS 24 BULTOS ENVUELTOS EN PAPEL METALIZADO CON LA LEYENDA HAVANNA, TODOS ELLOS DISIMULADOS COMO SI FUERAN ALFAJORES. QUE EFECTUADA UNA PRUEBA DE CAMPO CON REACTIVO QUIMICO A UNO DE LOS REFERIDOS BULTOS DE CADA UNA DE LAS TRES CAJAS ARROJO RESULTADO POSITIVO COCAINA. QUE EL DETENIDO PERMENCERA ALOJADO EN ESTA DEPENDENCIA HASTA QUE SE FINALICEN LAS ACTUACIONES, DEBIENDO POSTERIORMENTE SER REMITIDO A LA U-28 DEL S.P.F. QUE LAS ACTUACIONES SERAN ELEVADAS A SEDE JUDICIAL EL DIA 31/05/2010. EL CONTROL SE REALIZO SOBRE EL VUELO AR1363 PROVENIENTE DE SANTA CRUZ DE LA SIERRA. SEGUN PU 3233 DEL 29/05/2010 EL IMPUTADO FUE TRASLADADO A LA U28 SIN NOVEDAD.</t>
  </si>
  <si>
    <t>SANTA CRUZ DE LA SIERRA / AR 1363</t>
  </si>
  <si>
    <t>EZEIZA / AR 1132</t>
  </si>
  <si>
    <t>INFRACCION A LA LEY 23.737 ATR. 5 INC C</t>
  </si>
  <si>
    <t>QUE SIENDO LAS 20:15 HS, PERSONAL POLICIAL OBSERVO A TRAVES DEL EQUIPO DE RAYOS X UBICADO EN EL SECTOR DEL PATIO DE VALIJAS, QUE EN EL INTERIOR DE UN BOLSO DE GRANDES DIMENSIONES DE COLOR AZUL SE HALLABAN TRES FIGURAS RECTANGULARES Y EN EL INTERIOR DE CADA UNA DE DICHAS FIGURAS SE OBSERVABAN FORMAS CIRCULARES DE SUSTANCIA ORGANICA. QUE UNA VEZ ABIERTO EL BOLSO SE PUDO CONSTATAR LA PRESENCIA DE TRES CAJAS DE ALFAJORES DE CARTON CERRADAS CON FILM TRANSPARENTE CON LA LEYENDA HAVANNA, DISIMULADAS ENTRE PRENDAS DE VESTIR VARIAS. QUE APERTURADAS TODAS LAS CAJAS CITADAS SE CONSTATO LA EXISTENCIA EN EL INTERIOR DE CADA UNA DE ELLAS 24 BULTOS ENVUELTOS EN PAPEL METALIZADO CON LA LEYENDA HAVANNA, TODOS ELLOS DISIMULADOS COMO SI FUERAN ALFAJORES. QUE EFECTUADA UNA PRUEBA DE CAMPO CON REACTIVO QUIMICO A UNO DE LOS REFERIDOS BULTOS DE CADA UNA DE LAS TRES CAJAS ARROJO RESULTADO POSITIVO COCAINA. QUE LAS ACTUACIONES SERAN ELEVADAS A SEDE JUDICIAL EL DIA 31/05/2010, EL DIA DE LA FECHA SIENDO LAS SIETE HORAS SE TRASLADA AL DETENIDO DE AUTOS A LA U28 DEL SPF. PTO.- EL CONTROL FUE REALIZADO SOBRE EL VUELO 1363 PROVENIENTE DE SANTA CRUZ DE LA SIERRA.</t>
  </si>
  <si>
    <t>DR. MARIA ISABL FALU</t>
  </si>
  <si>
    <t>SE PROCEDE A LA RETENCIÓN DE DOS SACAS COLECTORAS DEL CORREO OFICIAL, SEGÚN CONSTA EN ACTA DE RETENCIÓN DE CARGAS Nº 0270/10, QUE ORIGINA LA PREVENCIÓN SUMARIA 062/10, LA 1ª SACA IDENTIFICADA CON MARBETE SLA0210536D555800VAE, PRECINTO Nº C822038, CON UN PESO DECLARADO DE 23,600 KGS, CON DESTINO A LA CIUDAD DE USHUAIA, LA CUAL CONTENDRIA TRES PIEZAS POSTALES, Y LA 2ª SACA IDENTIFICADA CON MARBETE SLA9127257E555700RGL, PRECINTO Nº C809401, CON UN PESO DECLARADO DE 9,200 KGS, CON DESTINO A LA CIUDAD DE RIO GALLEGOS, LA CUAL CONTENDRIA CINCO PIEZAS POSTALES, LAS CUALES SERIAN DESPACHADAS ATRAVÉS DE LA EMPRESA DE CARGA AEREA JET PAQ. LA RETENCIÓN SE REALIZA ANTE LA PRESUNCIÓN DE QUE PUDIERAN CONTENER ALGÚN ELEMENTO EN INFRANCIÓN A LA LEY 23.737 Y/O 22.415, QUEDANDO LAS MISMAS CERRADAS Y PRECINTADAS EN GUARDA EN ESTA UOSP. SE COMUNICO TELEFONICAMENTE AL JUZGADO INTERVINIENTE, Y LA APERTURA SE REALIZARÁ EN PRESERNCIA DEL PERSONAL DEL CORREO OFICIAL.</t>
  </si>
  <si>
    <t>3229/10</t>
  </si>
  <si>
    <t>DR. MARIA ISABEL FALU</t>
  </si>
  <si>
    <t>SE PROCEDE A LA APERTURA DE DOS SACAS COLECTORAS DEL CORREO OFICIAL, SEGÚN CONSTA EN ACTA DE RETENCIÓN DE CARGA Nº 270/10 Y ACTA DEJANDO CONSTANCIA Nº 271/10 DE APERTURA DE SACA, QUE ORIGINA LA PREVENCIÓN SUMARIA Nº 062/10 , LA 1ª SACA IDENTIFICADA CON MARBETE SLA0210536D555800VAE, PRECINTO N° C822038, CONTIENE TRES PIEZAS POSTALES IDENTIFICADA COMO EP658939376, RTTE. MOLINA JOSÉ DANIEL, DOMICILIO EN CALLE YAVI Nº 254, PERICO PROVINCIA DE JUJUY, DESTINATARIO HERRERA FELIPE, EL CALAFATE PROVINCIA DE SANTA CRUZ Y EP702480895, RTTE. MAMANI, DOMICILIO EN CALLE LAS HERAS S/N, ABRAPAMPA PROVINCIA DE JUJUY, DESTINATARIO SEGUNDO MAMANI, DOMICILIO EN PABELLÓN N: 2 AB N: 5 (6407) YACIMIENTO RÍO TURBIO PROVINCIA DE SANTA CRUZ, LAS MISMAS QUEDAN RETENIDAS, Y LA 3ª IDENTIFICADA COMO EP659036995, ES ENTREGADA AL SR. ARIAS EMPLEADO DE CORREO OFICIAL PARA REDESPACHO; LA 2ª SACA IDENTIFICADA CON MARBETE, SLA9127257E555700RGL, PRECINTO N° C809401, CON UN PESO DECLARADO DE 9,200 KGS, CON DESTINO LA CIUDAD DE RIO GALLEGO CONTIENE CINCO (05) PIEZAS POSTALES IDENTIFICADA COMO EP711096936, RTTE. ANGÉLICA NOEMÍ ZERPA, PROVINCIA DE SALTA, DESTINATARIO ROSA HERMINIA GUTIERREZ, USHUAIA PROVINCIA DE TIERRA DEL FUEGO, Y EP693126625, RTTE. RODRIGUEZ ROXANA JUDITH, DOMICILIO GORRITI 221 PROVINCIA DE SALTA - CAPITAL, DESTINATARIO ANCO MIRIAM, DOMICILIO CORREO ARGENTINO USHUAIA PROVINCIA DE TIERRA DEL FUEGO TELÉFONO 0291-15408168, LAS MISMAS QUEDAN RETENIDAS, Y LA 3ª IDENTIFICADA COMO EP693126577, LA 4ª IDENTIFICADA COMO EP711096882 Y LA 5ª IDENTIFICADA COMO EP661587918, SON ENTREGADAS AL SR. ARIAS EMPLEADO DE CORREO OFICIAL PARA REDESPACHO, ANTE LA PRESUNCIÓN DE QUE PUDIERA CONTENER ALGÚN ELEMENTO EN INFRACCIÓN A LA LEY 23.737 Y/O 22.415, QUEDANDO LAS MISMAS CERRADAS Y EN GUARDA DE ESTA UOSP. SE COMUNICO TELEFÓNICAMENTE AL JUZGADO INTERVINIENTE Y LA APERTURA SE REALIZARA CON LA AUTORIZACIÓN DEL MAGISTRADO ACTUANTE.</t>
  </si>
  <si>
    <t>MAGGI OSCAR EMILIO S/ DENUNCIA DE PRESUNTO HURTO</t>
  </si>
  <si>
    <t>CINTA DE EQUIPAJES ARRIBOS CABOTAJE</t>
  </si>
  <si>
    <t>ARRIBOS CABOTAJE</t>
  </si>
  <si>
    <t>EN EL DIA DE LA FECHA SE PRESENTA EL SEÑOR MAGGI OSCAR EMILIO, CPFA NRO 16.009.445-N, QUIEN RADICA DENUNCIA POR EL FALTANTE DE DOS CAMPERAS COLOR NEGRO MARCA THE NORTH FACE, Y ROTURA DE SU EQUIPAJE DESPACHADO EN BODEGA, EN EL VUELO DE LA EMPRESA LAN ARGENTINAS MARBETE NRO LA-054424, SE LABRAN ACTUACIONES DANDO INTERVENCION AL JUZGADO FEDERAL DE SAN CARLOS DE BARILOCHE SECRETARIA DEL DOCTOR WALTER LOPEZ DA SILVA, QUIEN ORDENA SE LABREN ACTUACIONES DE RIGOR Y SE SOLICITE DECLARACION TESTIMONIAL A QUIENES PARTICIPARON EN EL SERVICIO DE CARGA, EN LA CIUDAD DE ORIGEN DEL VUELO EN CUESTION, POR LO CUAL SE EMITE MEMORANDO NRO 158/10 AL JEFE DE TURNO DEL DIA DE LA FECHA DE LA UOSP METROPOLITANA CON EL REQUERIMIENTO MENCIONADO A FIN DE CUMPLIMENTAR ACTUACIONES .</t>
  </si>
  <si>
    <t>DR.MARCELO ALBERTO MUFFATI</t>
  </si>
  <si>
    <t>AMENAZAS COACTIVAS</t>
  </si>
  <si>
    <t>OFICINA DE TRAFICO DE LA EMPRESA AEROLINEAS ARGENTINAS.</t>
  </si>
  <si>
    <t>SIENDO LA FECHA Y HORA ANTES MENCIONADA, EN MOMENTOS EN QUE EL SR. MATIAS ALEJANDRO MACIA SE ENCONTRABA TRABAJANDO COMO VIGILADOR DE LA EMPRESA HAS, CUMPLIENDO SERVICIO EN EL SECTOR DE TRAFICO DE AEROLINEAS ARGENTINAS DE ESTE AEROPUERTO METROPOLITANO. SE APERSONO UN PASAJERO DE SEXO MASACULINO EL CUAL INGRESO DE FORMA VIOLENTA A DICHO SECTOR POR LO QUE EL DENUNCIANTE LE EXPLICO EN BUENOS TERMINOS QUE NO PODIA ENTRAR, ANTE ESTO EL PASAJERO LE CONTESTO A LOS GRITOS SIC. "VOS NO SOS NADIE CORRETE, USTEDES ME VAN A DEVOLVER TODO O SE PUDRE". ACTO SEGUIDO PROCEDIO A EMPUJAR AL DENUNCIANTE Y SEGUIDAMENTE INTENTO GOLPEARLO, LO CUAL FUE EVITADO POR OTRO EMPLEADO QUE INGRESABA EN ESE MOMENTO A LA OFICINA DE TRAFICO DE AEROLINEAS. FINALMENTE SE TRASLADARON TODOS LOS INTERVINIENTES A LA GUARDIA DE PREVENCION, SE ENTABLO COMUNICACION CON LA JUDICATURA ACTUANTE LA CUAL DISPUSO: LECTURA DE DERECHOS, IDGE, MEDICO PRECARIO DE INGRESO Y EN CASO DE QUE EL CAUSANTE NO REGISTRE IMPEDIMENTOS LEGALES VIGENTES SE PROCEDA A LA SOLTURA DEL MISMO. SIENDO LAS 15:40 HORAS Y POR NO MEDIAR IMPEDIMENTOS LEGALES SE PROCEDE A LA SOLTURA DEL DETENIDO CONFORME CON LOS TRATOS RECIBIDOS.</t>
  </si>
  <si>
    <t>3227/10</t>
  </si>
  <si>
    <t>UNA VEZ FINALIZADAS LAS DILIGENCIAS ORDENADAS POR EL JUZGADO INTERVINIENTE, SIENDO LAS SIETE HORAS DEL DÍA DE LA FECHA, EL DETENIDO DE AUTOS ES REMITIDO A LA UNIDAD 28 DEL SERVICIO PENITENCIARIO FEDERAL SIN NOVEDAD.</t>
  </si>
  <si>
    <t>MADRID-REINO DE ESPAÑA</t>
  </si>
  <si>
    <t>DR, MIGUEL ANGEL GUERRERO</t>
  </si>
  <si>
    <t>MERLO RAMIREZ VICTOR S/CONTRABANDO DE IMPORTACION DE ESTUPEFACIENTES CALIFICADO Y TRANSPORTE DE ESTUPEFACIENTES EN CONCURSO IDEAL</t>
  </si>
  <si>
    <t>EN MOMENTOS EN QUE SE REALIZABA UN CONTROL RUTINARIO DE EQUIPAJES DESPACHADOS POR BODEGA SOBRE EL VUELO Nº 2725 DE LA EMPRESA AEROLINEAS ARGENTINAS MEDIANTE EQUIPO DE RAYOS X SCAN VAN EMPLAZADO EN LA PLATAFORMA OPERATIVA PATIO DE VALIJAS OBSERVARON LOS OFICIALES AYUDANTES SIMPLICIO CARRILLO Y JOSE VIERA DE LINARES UN EQUIPAJE DE COLOR NEGRO CON VIVOS GRISES TIPO CARRI-ON MARCA ESTELO CON MARBETE DE LA EMPRESA AEROLINEAS Nº AR-07-44-57 A NOMBRE DE MERLO RAMIREZ/VICT Y AL NO PODER VISUALIZAR CON CLARIDAD SU CONTENIDO SE SOLICITA LA PRESENCIA DEL CITADO QUIEN RESULTO SER VICTOR MERLO RAMIREZ DE NACIONALIDAD PARAGUAYA PASAPORTE Nº 3239751 CONSULTADO SOBRE EL CONTENIDO DE SU EQUIPAJE MANIFIESTA QUE SOLO OBJETOS PERSONALES (ROPAS) EN VIRTUD AL ART. 230 BIS DEL C.P.P.N Y CON EL CONSENTIMIENTO DEL PROPIETARIO SE PROCEDE A LA APERTURA DEL MISMO CON LA PRESENCIA DE TESTIGOS HABILES CONVOCADOS A TAL FIN AL VER VARIAS PRENDAS QUE PARECIAN SER ALMIDONADAS SE TRASLADA LA VALIJA CON LA TOTALIDAD DE SU CONTENIDO JUNTO CON LOS TESTIGOS A LA GUARDIA DE PREVENCION POR RAZONES DE COMODIDAD Y URGENCIA EN DONDE SE PROCEDE A EXTRAER LA TOTALIDAD DEL CONTENIDO INDUMENTARIA Y SE REALIZA UNA PRUEBA DE CAMPO CON COCAINE DETECTION SPRAY SOBRE LAS ROPAS ALMIDONADAS ARROJANDO RESULTADO POSITIVO PRESUNTIVO CLORHIDRATO COCAINA SEGUIDAMNTE SE ESTABLECE COMUNICACION TELEFONICA CON EL DR. MIGUEL ANGEL GUERRERO SECRETARIO DEL JUZGADO FEDERAL DE PRIMERA INSTANCIA DE LA CIUDAD DE ELDORADO QUIEN ENTERADO DE LOS HECHOS ORDENA SE REALICE EL PROCEDIMIENTO DE RIGOR Y QUE SE ESTABLEZCA COMUNICACION CON GENDARMERIA NACIONAL ESCUADRON 13 DE IGUAZU A EFECTOS DE SOLICITAR PERITO PARA DETERMINAR LA CANTIDAD DE ESTUPEFACIENTE CON LA QUE SE ENCUENTRA IMPREGNADA LAS PRENDAS Y QUE EL SR. VICTOR MERLO RAMIREZ QUEDE DETENIDO EN CARACTER DE COMUNICADO Y SEA ALOJADO EN ESTA UNIDAD OPERACIONAL IGUAZU DE P.S.A, SE SECUESTRE EL EQUIPAJE CONTENEDOR LAS PRENDAS DE ROPAS IMPREGNADAS CON LA SUSTANCIA TODA DOCUMENTACION Y ELEMENTOS QUE PUEDA APORTAR A LA CAUSA Y SE TRASLADE A SEDE TRIBUNALICIA EL DIA LUNES 31 DE MAYO DEL CORRIENTE AÑO EL PESO TOTAL DE LAS PRENDAS IMPREGANDAS ES DE NUEVE MIL SEICIENTOS VEINTISEIS GRAMOS SIENDO LAS 17 HS SE PRESENTA EL OFICIAL PERITO DE GENDARMERIA NACIONAL PRIMER ALFEREZ FARIAS QUIEN EXTIENDE UN ACTA DONDE DETERMINA MEDIANTE PRUEBA DE CAMPO MARCA EPOT SOBRE PRENDAS INPREGANDAS DANDO COMO RESULTADO POSITIVO PARA COCAINA Y DERIVADOS FIRMADA POR EL PERITO INTERVINIENTE LOS TESTIGOS Y EL DETENIDO NO DETERMINANDO EL PESO DE LA SUSTANCIA ESTUPEFACIENTE PU N° 4484 SIENDO LAS 13:00 HS DEL DIA 26 DE JULIO DE 2010 SE PROCEDIO A LA ENTREGA AL PERSONAL DEL SERVICIO PENITENCIARIO FEDERAL AL DETENIDO ALOJADO EN DEPENDENCIA DE ESTA UNIDAD OPERACIONAL SR VICTOR MERLO RAMIREZ PAS NRO 3.239.751 DE NACIONALIDAD PARAGUAYA FECHA DE NACIMIENTO 09 MARZO 1979 DE 31 AÑOS DE EDAD DESOCUPADO ESTADO CIVIL SOLTERO AL AY PPAL RUBEN O GONZALEZ CRED NRO 25467 DEL SERVICIO PENITENCIARIO PARA POSTERIOR TRASLADO AL COMPLEJO PENITENCIARIO FEDERAL DEVOTO CIUDAD AUTONOMA DE BUENOS AIRES CONFORME AL OFICIO 1796/2010 DEL JUZGADO FEDERAL DE PRIMERA INSTANCIA DE LA CIUDAD DEL ELDORADO SECRETARIA DEL DR MIGUEL ANGEL GUERRERO.-</t>
  </si>
  <si>
    <t>DR. GUILLERMO GONZALEZ</t>
  </si>
  <si>
    <t>LOPEZ CABRERA, MATIAS GABRIEL S/PTO. ENCUBRIMIENTO</t>
  </si>
  <si>
    <t>CONTROL PRE-EMBARQUE</t>
  </si>
  <si>
    <t>EN EL DIA DE LA FECHA EN UN CONTROL DE RUTINA DEL VUELO AR 2898, EN EL EQUIPAJE DE MANO DEL CIUDADANO LOPEZ CABRERA, MATIAS GABRIEL, SE DETECTA UN CHALECO SALVAVIDAS DE EMERGENCIAS, REALIZADO CONSULTA AL SR. SFERCO, EDGARDO SUPERVISOR DE LA EMPRESA AEROLINEAS ARGENTINAS, QUIEN MANIFIESTA QUE DICHO CHALECO PERTENECE A LA EMPRESA ANTES CITADA, SEGUIDAMENTE SE LO TRASLADA A LA OFICINA DE TURNO DE PREVENCION A FIN DE REALIZAR LAS CONSULTAS CON EL MAGISTRADO INTERVINIENTE, QUIEN DISPONE SE PROCEDA A LA NOTIFICACION DE DERECHOS Y GARANTIAS, SE REALIZEN TOMAS FOTOGRAFICAS DEL ELEMENTO EN CUESTION , QUE FIJE DOMICILIO, SE REALICE ACTA DE RESGUARDO DEL ELEMENTO, CON POSTERIOR ENTREGA A LA EMPRESA Y SE PROCEDA A TOMAR DECLARACION TESTIMONIAL AL PERSONAL DE PRE EMBARQUE Y QUE EL CIUDADANO CONTINUE CON SU VIAJE PROGRAMADO</t>
  </si>
  <si>
    <t>VILMA VALLE RUIDIAZ</t>
  </si>
  <si>
    <t>PATIO VALIJAS</t>
  </si>
  <si>
    <t>INFORMO QUE EN EL CONTROL DE EQUIPAJES DESPACHADOS POR BODEGA SE DETECTA UN EQUIPAJE CON MARBETE NRO LA 091774 QUE CONTENDRIA EN SU INTERIOR MERCADERIA EN PRESUNTA INFRACCION A LA LEY 22415 SE IDENTIFICA AL PROPIETARIO DEL MISMO Y SE REALIZA LA APERTURA ANTE LA PRESENCIA DE LOS TESTIGOS CONVOCADOS A TAL FIN PROCEDIENDOSE A LABRAR ACTA DE INTERDICCION Y SE HACE ENTREGA DE LOS ELEMENTOS INTERDICTADOS AL PERSONAL DE LA AFIP DGA SR. GIL GONZALEZ LEGAJO NRO 24679-4 QUIEN PROCEDE AL SECUESTRO DE LA MISMA BAJO ACTA NRO 006/2010. VALOR APROXIMADO DE LA MERCADERIA TRES MIL DOSCIENTOS CINCUENTA DOLARES ESTADOUNIDENSES.</t>
  </si>
  <si>
    <t>SALA DE ARRIBOS DE CABOTAJE</t>
  </si>
  <si>
    <t>EN EL DIA LA FECHA SE PRESENTA LA DENUNCIANTE ANTE EL SERVICIO DE GUARDIA MANIFESTANDO QUE AL MOMENTO DE RETIRAR SU EQUIPAJE DE LA CINTA TRANSPORTADORA DE EQUIPAJE UBICADA EN LA SALA DE CABOTAJE DETECTA QUE EL CANDADO QUE SUJETA EL CIERRE DE SU VALIJA SE ENCONTRABA ROTO. ANTE TAL SITUACION PROCEDE A VERIFICAR EL EQUIPAJE CONSTANTANDO QUE DEL INTERIOR DEL MISMO FALTABAN TRES PERFUMES , UNA CAMARA DE FOTOS Y UN CELULAR.SEGUIDAMENTE SE ESTABLECIO COMUNICACION TELEFONICA CON EL JUZGADO FEDERAL DE TURNO QUIEN DISPUSO SE LABREN LAS ACTUIACIONES SUMARIALES DE RIGOR, ACTO SEGUIDO SE ENVIO VIA FAX A LA U.O.S.P EZEIZA MEDIANTE MEMORANDO N° 21/10 EL PEDIDIO DE TOMA DE DECLARACIONES DECLARACIONES TESTIMONIALES EN RELACION AL HECHO SUSCITADO.</t>
  </si>
  <si>
    <t>1133/1418</t>
  </si>
  <si>
    <t>BODEGA DE AERONAVE MATRICULA EC-IZY</t>
  </si>
  <si>
    <t>QUE PERSONAL POLICIAL, ES ANOTICIADO SOBRE UN POSIBLE ILICITO QUE SE HABRIA COMETIDO EN EL INTERIOR DE LA BODEGA DE UNA AERONAVE, MOTIVO POR EL CUAL SE APERSONO EN EL SECTOR, LUGAR DONDE UN EMPLEADO DE LA EMPRESA PROSEGUR LE MANIFESTO AL PERSONAL POLICIAL ALLI PRESENTE QUE HABIA VISUALIZADO AL EMPLEADO DE LA EMPRESA INTERCARGO, CUANDO ESTE INTRODUCIA UN BULTO EN EL INTERIOR DE UN CARRO PORTA MALETAS UBICADO EN EL INTERIOR DE LA AERONAVE, REALIZANDO MANIOBRAS FUERA DE LO HABITUAL, MOTIVO POR EL CUAL EL PERSONAL POLICIAL INDIVIDUALIZO AL EMPLEADO DE LA EMPRESA INTERCARGO AL CUAL LE REALIZO UNA REQUISA POR SOBRE SUS ROPAS, PERCATANDOSE QUE EL MISMO POSEIA UNA PROTUBERANCIA A LA ALTURA ABDOMINAL, MOTIVO POR EL CUAL CONVOCO LA PRESENCIA DE DOS TESTIGOS HABILES, E INFORMO DE LO SUCEDIDO AL JEFE DE TURNO, QUIEN SE APERSONO EN EL SECTOR DE LOS HECHOS E INVITO A TODOS LOS INTERVINIENTES A ESTA GUARDIA DE PREVENCION. SITIO DONDE LUEGO DE REALIZAR UNA REQUISA AL EMPLEADO DE INTERCARGO, SE PUDO CONSTATAR QUE EL MISMO LLEVABA EN EL INTERIOR DE DOS FAJAS LUMBARES, OCULTAS ENTRE SUS ROPAS TRES BULTOS COMPUESTOS POR SOBRES CARTAS VARIAS, QUE ANTE TAL SITUACION EL SUSCRIPTO MANTUVO COMUNICACIÓN TELEFÓNICA CON EL JUZGADO FEDERAL EN TURNO QUIEN DISPUSO SE PROCEDA A LA DETENCION E INCOMUNICACION DEL EMPLEADO DE LA EMPRESA INTERCARGO, SE REALICEN LOS SECUESTROS PERTINENTES, SE REALICE REQUIZA SOBRE EL COFRE DEL CAUSANTE Y SOBRE SU AUTOMOVIL Y UNA VEZ CULMINADAS LAS DILIGENCIAS SE REMITA AL DETENIDO A LA UNIDAD 28, TRASLADO QUE SE CUMPLIMENTO A LAS DIECISIETE HORAS TREINTA MINUTOS DEL DÍA DE LA FECHA, SE DEJA CONSTANCIA QUE DE LA REQUISA DEL COFRE SE OBTUVO RESULTADO NEGATIVO, Y EN CUANTO DE LA REQUISA DEL RODADO DE SU PROPIEDAD SE SECUESTRARON DOS ELEMENTOS DE INETERES PARA LA CAUSA SIENDO ESTOS UN GPS Y UN TELEFONO CELULAR.</t>
  </si>
  <si>
    <t>DEMORA EN CINTA NUMERO 06</t>
  </si>
  <si>
    <t>BODEGA DE AERONAVE - PLATAFORMA COMERCIAL - PATIO DE VALIJAS</t>
  </si>
  <si>
    <t>QUE SIENDO EL DIA 29 DEL CORRIENTE MES Y AÑO LA DENUNCIANTE SE EMBARCA EN EL VUELO DE MENCIÓN DONDE PERSONAL DE LA EMPRESA AEROCOMERCIAL LE INDICA QUE LA VALIJA QUE TRANSPORTABA COMO EQUIPAJE DE MANO ERA DEMASIADO GRANDE Y QUE NO PODÍA SER LLEVADA COMO TAL Y QUE DEBÍA SER DESPACHADA COMO EQUIPAJE A BODEGA POR LO QUE LA DENUNCIANTE ACCEDE A DICHA SOLICITUD Y HACE ENTREGA DE LA VALIJA EN CUESTIÓN RECIBIENDO UN TICKET IDENTIFICADO CON SU NUMERO DE ASIENTO. PERDIENDO DE VISTA Y SIN MAS CONTACTO CON SU VALIJA HASTA EL ARRIBO A ESTE AEROPUERTO. QUE UNA VEZ ARRIBADO EL VUELO DE MENCIÓN Y EN MOMENTOS EN QUE RECOGE SUS EQUIPAJES DESPACHADOS A BODEGA Y MIENTRAS ESPERABA LA VALIJA EN CUESTIÓN NOTA QUE LA CINTA TRANSPORTADORA SE DETIENE Y QUE LUEGO DE VARIOS MINUTOS LA CINTA VUELVE A SU FUNCIONAMIENTO Y SE HACE DE LA VALIJA EN CUESTIÓN SIENDO ESTA DE COLOR GRIS Y MARCA SAMSONITE, QUE UNA VEZ APERTURADA LA MISMA SE PERCATA DEL FALTANTE DE LOS ELEMENTOS DETALLADOS.</t>
  </si>
  <si>
    <t>LA2429</t>
  </si>
  <si>
    <t>SIENDO LAS 06:20 HORA LOCAL DESPEGA AERONAVE MATRICULA LV-AYD DE LA EMPRESA AUSTRAL LINEAS AEREAS CON DESTINO A AEROPUERTO JORGE NEWBERY EN CUYAS BODEGAS 4 Y 5 SE DESPACHAN 50 BULTOS CON UN PESO BRUTO DE 1.000 KILOGRAMOS DE METAL - MTD - PERTENECIENTES A LA EMPRESA CERRO VANGUARDIA. SE DIO CUMPLIMIENTO A ORDEN DE SERVICIO NRO 0045/2010.</t>
  </si>
  <si>
    <t>AEROPUERTO GENERAL MOSCONI - COMODORO RIVADAVIA</t>
  </si>
  <si>
    <t>SIENDO LAS 07:40 HORA LOCAL ARRIBA AERONAVE MATRICULA LV-BHI DE LA EMPRESA LAN ARGENTINA PROCEDENTE DE AEROPUERTO JORGE NEWBERY EN CUYAS BODEGAS 31,32 Y 42 SE DESPACHAN 121 CAJAS CON UN PESO BRUTO DE 2.747 KILOGRAMOS DE METAL - MTD - PERTENECIENTES A LA EMPRESA MINERA CERRO VANGUARDIA CON DESTINO AL AEROPUERTO JORGE NEWBERY. EL VUELO DESPEGA A LAS 08:42 HORA LOCAL SIN NOVEDAD. SE DIO CUMPLIMIENTO A LA ORDEN DE SERVICIO NRO. 0045/2010</t>
  </si>
  <si>
    <t>SIENDO LA FECHA Y HORA ANTES MENCIONADA, EN MOMENTOS EN QUE LOS OFICIALES VILAS JOAQUIN Y FLEITAS SE ENCONTRABAN EN UNA RECORRIDA POR EL SECTOR MENCIONADO CON ANTERIORIDAD, OBSERVAN Y SORPRENDEN A UNA PERSONA DE SEXO MASCULINO, LA CUAL SE ENCONTRABA OFRECIENDO SERVICIO DE MALETERO A LOS PASAJEROS, SIENDO QUE DICHA PERSONA NO SE ENCUENTRA EN LA LISTA DE MALETEROS HABILITADOS ENTREGADA A ESTA DEPENDENCIA POR LA FIRMA SIGLO XXI.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</si>
  <si>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2420/10</t>
  </si>
  <si>
    <t>SE PROCEDE A LA APERTURA DE UNA ENCOMIENDA DEL CORREO OFICIAL, SEGUN CONSTA EN ACTA DE APERTURA Nº 272/10, EN VIRTUD DE LO ORDENADO EN OFICIO JUDICIAL S/Nº, DEL MAGISTRADO ACTUANTE Y EN PRESENCIA DE UN TESTIGO HABIL. LA ENCOMIENDA SE INDENTIFICA COMO EP658931029AR , RTTE. JULIO SANACATO, SARMIENTO 421, Bº PROGRESO, PERICO JUJUY, CP 4610, DEST. JOSE GUTIERREZ, BEAUVOIR 2469, USHUAIA, TIERRA DEL FUEGO, CP 9410, CONTIENE: ONCE PAQUETES DE HOJAS DE COCA CON UN PESO TOTAL DE 2.766 GRS. LA ENCOMIENDA SERA PUESTA A DISPOSICION DE ADUANA DE SALTA POR SUPUESTA INFRACCION A LA LEY 22.415, CODIGO ADUANERO, Y LAS ACTUACIONES SERAN REMITIDAS A SEDE JUDICIAL. PARTES ANTERIORES PARTE 2383/10 SE PROCEDE A LA RETENCION DE TRES SACAS COLECTORAS DEL CORREO OFICIAL, SEGUN CONSTA EN ACTA DE RETENCION DE CARGAS Nº 192/10, QUE ORIGINA LA PREVENCION SUMARIA Nº 043/10. LA 1º SACA IDENTIFICADA CON MARBETE Nº SLA0163332D555800VAE, PRECINTO Nº Y733381, CON UN PESO DE 6,800 KGS., CON DESTINO USHUAIA. LA 2º IDENTIFICADA CON MARBETE Nº SLA0163326D555800VAE, PRECINTO Nº A541293, CON UN PESO DE 6,500 KGS., CON DESTINO USHUAIA Y LA 3º IDENTIFICADA CON MARBETE Nº SLA9125685D50500BUE, PRECINTO Nº A541246, CON UN PESO DE 12,500 KGS., CON DESTINO BUENOS AIRES, AMPARADAS EN GUIA AEREA Nº 9342659-4, LAS QUE SERIA DESPACHADAS ATRAVES DE LA EMPREESA DE CARGA AEREA JET PAQ, LAS RETENCIONES SE REALIZAN ANTE LA PRESUNCION DE QUE PUDIERAN CONTENER ALGUN ELEMENTO EN INFRACCION A LAS LEYES 22.415 Y/O 23.737, QUEDANDO LAS MISMAS CERRADAS Y PRECINTADAS EN GUARDA EN ESTA UOSP.SE COMUNICO TELEFONICAMENTE AL JUZGADO INTERVINIENTE, Y LAS APERTURAS SE REALIZARAN EN PRESENCIA DEL PERSONAL DEL CORREO OFICIAL. PARTE Nº 2420/10 SE PROCEDE A LA APERTURA DE TRES SACAS COLECTORAS DEL CORREO OFICIAL, SEGUN CONSTA EN ACTA DE RETENCION DE CARGAS Nº 192/10, QUE ORIGINA LA PREVENCION SUMARIA Nº 043/10. LA 1º SACA IDENTIFICADA CON MARBETE Nº SLA0163332D555800VAE, PRECINTO Nº Y733381, CON UN PESO DE 6,800 KGS., CON DESTINO USHUAIA, CONTIENE UNA PIEZA POSTAL IDENTIFICADA COMO EP658931029AR , REMITENTE JULIO SANACATO DOM. SARMIENTO 421 Bº PROGRESO PERICO JUJUY CP 4610, DESTINATARIO SR. JOSE GUTIERREZ DOM. BRAUVOIR 2469 USHUAIA TIERRA DEL FUEGO CP 9410, LA CUAL QUEDA RETENIDA. LA 2º IDENTIFICADA CON MARBETE Nº SLA0163326D555800VAE, PRECINTO Nº A541293, CON UN PESO DE 6,500 KGS., CON DESTINO USHUAIA LA CUAL CONTIENE DOS PIEZAS POSTALES IDENTIFICADA COMO EP669756665AR Y EP669756714AR LAS CUALES SON ENTREGADAS PARA SU REDESPACHO POR NO SER DE INTERES A LA CAUSA Y LA 3º IDENTIFICADA CON MARBETE Nº SLA9125685D50500BUE, PRECINTO Nº A541246, CON UN PESO DE 12,500 KGS., CON DESTINO BUENOS AIRES, CONTIENE SIETE PIEZAS POSTALES IDENTIFICADAS COMO EP0444187255AR, EP670303923AR, EP656099489AR, EP711709608AR, EP658931032AR, EP659036704AR Y EP670303910AR, LAS CUALES SON ENTREGADAS PARA SU REDESPACHO POR NO SER DE INTERES PARA LA CAUSA. LA RETENCION SE REALIZA ANTE LA PRESUNCION DE QUE CONTENGA ELEMENTOS EN INFRACCION A LAS LEYES 22.415 Y/O 23.737, QUEDANDO LA MISMA CERRADAS Y EN GUARDA EN ESTA UOSP.SE COMUNICO TELEFONICAMENTE AL JUZGADO INTERVINIENTE, Y LA APERTURA SE REALIZARA CON LA AUTORIZACION DEL MAGISTRADO ACTUANTE</t>
  </si>
  <si>
    <t>SIENDO LA FECHA Y HORA ANTES MENCIONADA, EN MOMENTOS EN QUE LOS OFICIALES GUZZO Y ZALAZAR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</si>
  <si>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HORA Y FECHA MENCIONADAS, EL OFICIAL ALBARRACIN RECIBE UN LLAMADO VIA FRECUENCIA HT POR PARTE DEL OFICIAL CEPEDA QUIEN SE ENCONTRABA DE TURNO EN EL CENTRO DE OPERACIONES Y CONTROL, A FIN DE QUE INTERCEPTE A UN VEHICULO PARTICULAR MARCA VW MODELO POINTER DOMINIO AWM984, POR TAL MOTIVO PROCEDE A DETENER EL VEHICULO Y SE APROXIMA A LA TAQUILLA EL OFICIAL VILAS, PERTENECIENTE A LA OFICINA DE CONTRAVENCIONES Y FALTAS, QUIEN LE SOLICITA AL MASCULINO QUE CONDUCIA EL VEHICULO QUE LE EXHIBA LA HABILITACION PARA EL TRANSPORTE DE PASAJEROS O REMIS Y EL CUAL RESPONDE QUE NO LA POSEE. SEGUIDAMENTE,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 EL PASAJERO SE RETIRA DEL AEROPUERTO ABORDANDO UN VEHICULO HABILITADO.</t>
  </si>
  <si>
    <t>SIENDO LA FECHA Y HORA ANTES MENCIONADA, EN MOMENTOS EN QUE LOS OFICIALES VILAS JOAQUIN Y FLEITAS SE ENCONTRABAN EN UNA RECORRIDA POR EL SECTOR MENCIONADO CON ANTERIORIDAD, OBSERVAN Y SORPRENDEN A UNA PERSONA DE SEXO MASCULINO, LA CUAL SE ENCONTRABA OFRECIENDO SERVICIO DE MALETERO A PASAJEROS Y EL CUAL NO FIGURABA EN EL LISTADO DE MALETEROS HABILITADOS DE LA EMPRESA SIGLO XXI.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</si>
  <si>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FECHA Y HORA ANTES MENCIONADA, EN MOMENTOS EN QUE EL OFICIAL FLEITAS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</si>
  <si>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SRIO AV LEY 23737 - IMP. MAURO MIGUEZ, RUBEN I. BUSTAMANTE´MENCHO´,´ALEJANDRO´, OCTAVIO DAL´ARMELIA, ´POLLO´O ´COLO´, JORGELINA TINTES, CARLOS AVALOS-</t>
  </si>
  <si>
    <t>87/09 A</t>
  </si>
  <si>
    <t>LOCALIDAD DE VENADO TUERTO Y ALEDAÑAS</t>
  </si>
  <si>
    <t>EN EL DÍA DE LA FECHA SE PROCEDIÓ A SOLICITAR LAS CORRESPONDIENTES ORDENES DE ALLANAMIENTO EN EL MARCO DE LA CAUSA DE REFERENCIA DEBIDAMENTE FUNDAMENTADAS. SE DIO COMIENZO A LAS TAREAS INVESTIGATIVAS A PARTIR DEL DÍA 16MAR2009 CON LA RECEPCIÓN DEL OFICIO NRO 164/09 DE LA FISCALÍA FEDERAL NRO 2 DE ROSARIO, SE ORDENARON LAS TAREAS POR ORDEN DE SERVICIO 055/2009 DEL 16MAR2009, URSA IV DEL LITORAL. DE LOS AVANCES EN LAS PESQUISAS SE PUDO ESTABLECER LA CONFIRMACIÓN E INDIVIDUALIZACIÓN DEL PROVEEDOR, LOS DISTRIBUIDORES Y LOS ENCARGADOS DE LA VENTA DE ESTUPEFACIENTES, POR TAL MOTIVO SE SOLICITARON LAS CORRESPONDIENTES ORDENES DE ALLANAMIENTO PARA SEIS DOMICILIOS EN LA LOCALIDAD DE VENADO TUERTO Y VILLA CAÑAS, PARA EL DÍA MIÉRCOLES 02 DE JUNIO DE 2010. LOS INVOLUCRADOS SERIAN MIGUENZ MAURO ANDRÉS, DNI 28334617, ASCAINI CARLOS ANDRÉS, DNI 24373544, LEGUIZAMON CARINA VERÓNICA, DNI 24733418, EL ALIAS PÁJARO Y ALEJANDRO. EL PRESENTE PARTE RESERVADO ES AMPLIATORIO DEL SIPAP DOC4 0015/09 DE FECHA 16 MARZO 2009.</t>
  </si>
  <si>
    <t>SIENDO LAS 12:20 HORA LOCAL ARRIBA AERONAVE MATRICULA LV - BGV DE LA EMPRESA AUSTRAL LINEAS AEREAS PROCEDENTE DE AEROPUERTO JORGE NEWBERY EN CUYAS BODEGAS 4 Y 5 SE DESPACHAN 71 BULTOS CON UN PESO BRUTO DE 1.420 KILOGRAMOS DE METAL - MTD - PERTENECIENTES A LA EMPRESA MINERA CERRO VANGUARDIA CON DESTINO AL AEROPUERTO JORGE NEWBERY. EL VUELO DESPEGA A LAS 13:30 HORA LOCAL SIN NOVEDAD. SE DIO CUMPLIMIENTO A LA ORDEN DE SERVICIO 0045/2010</t>
  </si>
  <si>
    <t>1486/10</t>
  </si>
  <si>
    <t>AUAT JORGE EDUARDO S/DCIA. P/SUP. INFRACCION AL ART. 164 DEL CPA-CAPITAL</t>
  </si>
  <si>
    <t>INFORMO QUE EL OFICIAL MAYOR CLAUDIO RAFAEL TOLEDO, CONTROL NUMERO 501.486 FUE CITADO A PRESTAR DECLARACION TESTIMONIAL EL DIA 8 DE JULIO DEL PRESENTE AÑO A LAS 09:30 HS. EN EL MARCO DE LA CAUSA CARATULADA AUAT JORGE EDUARDO S/DCIA. P/SUP. INFRACCION AL ART. 164 DEL CPA. DE TRAMITE ANTE LOS ESTRADOS UT-SUPRA REFERIDO.</t>
  </si>
  <si>
    <t>NAC DE 1º INST EN LO CRIMINAL DE INST Nº 22</t>
  </si>
  <si>
    <t>SECRETARIA N° 148</t>
  </si>
  <si>
    <t>Rongo</t>
  </si>
  <si>
    <t>CESAR A. LOPEZ CABANILLA</t>
  </si>
  <si>
    <t>PREEMBARQUE PUERTA Nº 1</t>
  </si>
  <si>
    <t>INFORMO QUE EN EL CONTROL DE DOCUMENTACION DE PASAJEROS SE DETECTA A TRAVES DEL SISTEMA INTERPOL EL PEDIDO DE CAPTURA VIGENTE SOLICITADO POR EL JUZGADO NACIONAL DE PRIMERA INSTANCIA CRIMINAL INSTRUCCION Nº 22 SECRETARIA 148 DEL SEÑOR ALEJANDRO ROBERTO MERENZON ANTE EL HECHO PERSONAL DE INTERPOL LABRA UN ACTA Y LA MISMA ES ENTREGADA AL JEFE DE TURNO ACTO SEGUIDO SE ESTABLECE COMUNICACION TELEFONICA CON EL DR CESAR LOPEZ CABANILLA A CARGO DE LA SECRETARIA Nº 148 DEL JUZGADO SOLICITANTE DE LA MEDIDA QUIEN ENTERADO DE LOS HECHO DISPONE QUE SE NOTIFIQUE AL CAUSANTE Y QUE EL MISMO SE PRESENTE ANTE SEDE TRIBUNALICIA PROSIGUIENDO SU VIAJE DEBIDO QUE AL JUZGADO NO LE INTERESA LA CAUSA Y POSTERIORMENTE SE ELEVE TODO LO ACTUADO A SEDE TRIBUNALICIA.</t>
  </si>
  <si>
    <t>CAROVANO JUAN PABLO</t>
  </si>
  <si>
    <t>PREEMBARQUE PUERTA N°1</t>
  </si>
  <si>
    <t>INFORMO QUE EN EL CONTROL DE DOCUMENTACION DE PASAJEROS SE DETECTA A TRAVES DEL SISTEMA DE INTERPOL EL PEDIDO DE PARADERO VIGENTE SOLICITADO POR EL JUZGADO NACIONAL CRIMINAL DE INSTRUCCION N°42 SEC N°116 DEL SR. ALEJANDRO ROBERTO MERENZON ACTO SEGUIDO SE RECIBE ACTA DE INTERPOL Y SE PROCEDE A NOTIFICAR AL CAUSANTE QUE DEBE COMPARECER ANTE EL JUZGADO SOLCITANTE DE LA MEDIDA DENTRO DE LOS CINCO DIAS HABILES DE LABRADA LA MISMA CUMPLIMENTANDO ASI LO REQUERIDO POR EL JUZGADO SOLICITANTE DE LA MEDIDA.</t>
  </si>
  <si>
    <t>CANESSA HERNAN PABLO</t>
  </si>
  <si>
    <t>ACTA DEJANDO CONSTANCIA COMUNICACION TELEFONICA</t>
  </si>
  <si>
    <t>INFORMO QUE EN EL CONTROL DE DOCUMENTACION DE PASAJEROS SE DETECTA A TRAVES DEL SISTEMA INTERPOL EL PEDIDO DE CAPTURA VIGENTE SOLICITADO POR EL JUZGADO NACIONAL DE PRIMERA INSTANCIA CRIMINAL INSTRUCCION Nº 2 SECRETARIA Nº 105 DEL SEÑOR ALEJANDRO ROBERTO MERENZON ANTE EL HECHO PERSONAL DE INTERPOL LABRA UN ACTA Y LA MISMA ES ENTREGADA AL JEFE DE TURNO ACTO SEGUIDO SE ESTABLECE COMUNICACION TELEFONICA CON EL DR HERNAN PABLO CANESSA A CARGO DE LA SECRETARIA Nº 105 DEL JUZGADO SOLICITANTE DE LA MEDIDA QUIEN INFORMA QUE LA CAUSA SE TRAMITA ANTE EL JUZGADO NACIONAL DE INSTRUCCION Nº 49 SECRETARIA DE SENTENCIAS Nº 207 A CONTINUACION SE ESTABLECE COMUNICACION TELEFONICA CON LA SECRETARIA Nº 207 SIENDO ATENDIDO POR LA PERSONA DE LA DRA MARIA DEL CARMEN LAVALLE PROSECRETARIA DEL JUZGADO Nº 49 QUIEN INFORMA QUE NO LE INTERESA LA CAUSA Y QUE EL CAUSANTE PROSIGA SU VIAJE</t>
  </si>
  <si>
    <t>NAC DE 1º INST EN LO CRIMINAL DE INST Nº 40</t>
  </si>
  <si>
    <t>SECRETARIA N° 139</t>
  </si>
  <si>
    <t>CANTISANI</t>
  </si>
  <si>
    <t>INES</t>
  </si>
  <si>
    <t>DR. MARIANO ITURRALDE</t>
  </si>
  <si>
    <t>ARGENCARD S.A. RIGANTI ROBERTO S/D ESTAFA</t>
  </si>
  <si>
    <t>BOXES MIGRATORIOS</t>
  </si>
  <si>
    <t>QUE EN DIA INDICADO LA DNM EZEIZA REMITIO MEDIANTE NOTA DE CUSTODIA AL PASAJERO DE MENCION POR RECAER SOBRE EL MISMO UNA ORDEN DE CAPTURA VIGENTE. POR TAL MOTIVO SE MANTUVO COMUNICACION CON EL JUZGADO SOLICITANTE, INDICANDO ESTE QUE NO ES DE SU INTERES LA DETENCION DEL CAUSANTE, DEBIENDO NOTIFICARLO QUE DEBERÁ COMPARECER ANTE ESA SEDE JUDICIAL EN EL TERMINO DE TRES DIAS HABILES, A EFECTOS DE REGULARIZAR SU SITUACIÓN JUDICIAL, MOTIVO POR EL CUAL SE COMENZO CON LAS ACTUACIONES SOLICITADAS POR LA JUDICATURA INTERVINIENTE A SABER, INTERPOL, REINCIDENCIA, MEDICO.UNA VEZ FINALIZADAS LAS ACTUACIONES CORRESPONDIENTES EL CAUSANTE HACE ABANDONO DE ESTA DEPENDENCIA SIN NOVEDAD.</t>
  </si>
  <si>
    <t>NAC DE 1º INST EN LO CRIMINAL DE INST Nº 31</t>
  </si>
  <si>
    <t>SECRETARIA N° 119</t>
  </si>
  <si>
    <t>Castañera</t>
  </si>
  <si>
    <t>Susana</t>
  </si>
  <si>
    <t>LE PERA NATALIA</t>
  </si>
  <si>
    <t>INFORMO QUE EN EL CONTROL DE DOCUMENTACION DE PASAJEROS SE DETECTA A TRAVES DEL SISTEMA INTERPOL EL PEDIDO DE CAPTURA VIGENTE SOLICITADO POR EL JUZGADO DE INSTRUCCION Nº 31 SECRETARIA Nº 119 DEL SEÑOR ALEJANDRO ROBERTO MERENZON ANTE EL HECHO PERSONAL DE INTERPOL LABRA UN ACTA Y LA MISMA ES ENTREGADA AL JEFE DE TURNO ACTO SEGUIDO SE ESTABLECE COMUNICACION TELEFONICA CON LA DRA NATALIA LE PERA A CARGO DE LA SECRETARIA Nº 119 DEL JUZGADO SOLICITANTE DE LA MEDIDA QUIEN INFORMA QUE NO LE INTERESA LA CAUSA AL JUZGADO POR ESTAR LA MISMA SOBRESEIDA Y QUE EL CAUSANTE PROSIGA SU VIAJE</t>
  </si>
  <si>
    <t>NEIRA ADAN ENOC S/ROBO</t>
  </si>
  <si>
    <t>CALLE BRUZONE Nº 1596, LUIS GUILLON, ESTEBAN ECHEVERRIA, PCIA. DE BS. AS.</t>
  </si>
  <si>
    <t>DOMICILIO DEL IMPUTADO</t>
  </si>
  <si>
    <t>QUE EN EL DIA DE LA FECHA Y DANDO ESTRICTO CUMPLIMIENTO A LO ORDENADO POR EL JUZGADO INTERVINIENTE SE PROCEDIO AL ALLANAMIENTO DE LA VIVIENDA DEL DETENIDO EN AUTOS, ARROJANDO EL PROCEDIMIENTO COMO UNICO ELEMENTO HALLADO DE INTERES PARA LA CAUSA UNA CAJA DE CARTON CON LA INSCRIPCIÓN HP PAVILLON DV5-1183CL CONTENIENDO LOS ELEMENTOS DESCRIPTOS EN ELEMENTOS SECUESTRADOS.</t>
  </si>
  <si>
    <t>DRA VANESA RISETTI</t>
  </si>
  <si>
    <t>PRES.DEFRA.BANCO</t>
  </si>
  <si>
    <t>INFORMO QUE EN EL CONTROL DE DOCUMENTACION DE PASAJEROS SE DETECTA A TRAVES DEL SISTEMA INTERPOL EL PEDIDO DE CAPTURA VIGENTE SOLICITADO POR EL JUZGADO FEDERAL Nº 2 SECRETARIA Nº 4 DEL JORGE MANUEL AZARETZKY ANTE EL HECHO PERSONAL DE INTERPOL LABRA UN ACTA Y LA MISMA ES ENTREGADA AL JEFE DE TURNO ACTO SEGUIDO SE ESTABLECE COMUNICACION TELEFONICA CON LA DRA VANESA RISETTI A CARGO DE LA SECRETARIA Nº 3 DEL JUZGADO SOLICITANTE DE LA MEDIDA QUIEN ENTERADA DE LOS HECHO DISPONE QUE NO LE INTERESA LA CAUSA AL JUZGADO DEBIDO A QUE NO TIENE REGISTRO DEL REQUERIMIENTO DISPONIENDO NOTIFICAR AL IMPUTADO Y QUE EL MISMO SE PRESENTE ANTE LA JUZGADO MENCIONADO ANTERIORMENTE PROSIGUIENDO SU VIAJE Y SE ELEVE TODO LO ACTUADO A SEDE TRIBUNALICIA.</t>
  </si>
  <si>
    <t>CARLOS OKULOVICH AMA LUBRICARTS</t>
  </si>
  <si>
    <t>NICOLA MARINARO</t>
  </si>
  <si>
    <t>EN EL DIA DE LA FECHA SE PROCEDE A RECHAZAR ENCOMIENDA PERTENECIENTE AL CORREO ARGENTINO AMPARADA POR NUMERO DE ENCOMIENDA EP695857588 ESCANEADA POR EQUIPO DE RX OBSERVANDOSE DOS BOTELLAS SIMIL PLASTICO NO PUDIENDO PRECISAR SU CONTENIDO EL CUAL SERIA LIQUIDO ACTUANDO CONFORME AL ANEXO 18 MERCANCIAS PELIGROSAS O.A.C.I EN VIRTUD DE DESCONOCER LA SUSTANCIA TRANSPORTADA SE PROCEDIO AL RECHAZO PREVENTIVO DE LA MISMA POR SEGURIDAD DE LA AVIACION AL NO CONTAR CON LA DECLARACION DE CONTENIDO QUE NOS PERMITA DETERMINAR SI SE TRATA DE UNA MERCANCIA PELIGROSA O NO</t>
  </si>
  <si>
    <t>SE PROCEDE A LA RETENCION DE UNA SACA COLECTORA DEL CORREO OFICIAL, SEGUN CONSTA EN ACTA DE RETENCION DE CARGA Nº 0274/10, QUE ORIGINA LA PREVENCION SUMARIA Nº 063/10. LA SACA IDENTIFICADA CON MARBETE Nº SLA0192369D505000BUE, PRECINTO Nº F916455, CON UN PESO DE 11,00 KGS. CON DESTINO A LA CIUDAD DE BUENOS AIRES, CONTIENE TRES PIEZAS POSTALES, AMPARADA EN GUIA AEREA Nº 9388713-5, LA QUE SERIA DESPACHADA A TRAVES DE LA EMPRESA DE CARGA AEREA JET PAQ. LA RETENCION SE REALIZA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t>
  </si>
  <si>
    <t>SIENDO LA HORA Y EL DÍA ANTES MENCIONADO, EL ENCARGADO DE TURNO OF. MAYOR PABLO LAHORE, RECIBE COMUNICACIÓN VÍA FRECUENCIA RADIAL DEL OF. GASTÓN HOZ DE VILA, EL CUAL COMUNICA QUE UN PERSONAL DE SEGURIDAD DE LA EMPRESA SASA, LE HABÍA INFORMADO QUE EN LA VEREDA DEL SECTOR B, SE ENCONTRABA UN CARRO TRANSPORTADOR DE VALIJAS CON UNA CAJA COLOR MADERA. RÁPIDAMENTE SE IMPLEMENTA UN PERÍMETRO DE SEGURIDAD A LOS EFECTOS DE REALIZAR OPERATIVO GEDEX. SE ENTABLA COMUNICACIÓN CON EL SR. SALAZAR DANIEL, MN 43894, PERTENECIENTE AL SERVICIO MEDICO DE EMERGENCIAS EMERGER DEL AEROPUERTO Y CON EL CON EL CABO PRIMERO LEGUIZA LEONARDO, LP 25668, PERTENECIENTE AL CUARTEL DE BOMBEROS DE LA PFA, Y PARALELAMENTE SE CONVOCA AL OF. JEFE WALTER ALBUERNE , QUIEN SE ENCUENTRA DE TURNO EN ESTA UNIDAD OPERACIONAL A CARGO DE LA SECCIÓN GEDEX, EL CUAL REALIZA UN PROCEDIMIENTO PARA DESCARTAR LA POSIBLE EXISTENCIA DE ARTEFACTOS EXPLOSIVOS. SIENDO LAS 22:45 HORAS APROXIMADAMENTE SE DA POR FINALIZADO EL OPERATIVO, ARROJANDO RESULTADO NEGATIVO PARA POSIBLE ARTEFACTO EXPLOSIVO, TRATÁNDOSE DE SEIS BOTELLAS DE VIDRIO PEQUEÑAS, QUE CONTENÍAN PURÉ DE TOMATE. FINALMENTE SE INVITA AL VIGILADOR DE LA EMPRESA SASA, QUIEN RESULTO SER PABLO JULIO SAYAZO, A LA GUARDIA DE PREVENCIÓN DE ESTA POLICÍA, PARA REALIZAR LA CORRESPONDIENTE ACTA DE HALLAZGO A LA CUAL SE LE FUE ASIGNADA EL Nº 1278/10.</t>
  </si>
  <si>
    <t>3269/10</t>
  </si>
  <si>
    <t>SE PROCEDE A LA APERTURA DE UNA SACA COLECTORA DEL CORREO OFICIAL, SEGUN CONSTA EN ACTA DE RETENCION DE CARGA Nº 0274/10, QUE ORIGINA LA PREVENCION SUMARIA Nº 063/10. LA SACA IDENTIFICADA CON MARBETE Nº SLA0192369D505000BUE, PRECINTO Nº F916455, CON UN PESO DE 11,00 KGS. CON DESTINO A LA CIUDAD DE BUENOS AIRES, CONTIENE TRES PIEZAS POSTALES, LA 1º EP658939416AR, LA 2º EP722659791AR, SON ENTREGADAS AL SR. ARIAS PARA SU REDESPACHO Y LA 3º EP658939433, RTTE DIONISIA BAEZ PERICO JUJUY DEST. NELSON ARMELLA, RETIRO SUCURSAL ESPELETA CP. Nº 1882 BS. AS., QUEDA RETENIDA, LA RETENCION SE REALIZA ANTE LA PRESUNCION DE QUE PUDIERA CONTENER ALGUN ELEMENTO EN INFRACCION A LA LEY 22.415 Y/O 23.737, QUEDANDO LA MISMA CERRADA Y PRECINTADA EN GUARDA EN ESTA UOSP. SE COMUNICO TELEFONICAMENTE AL JUZGADO INTERVINIENTE Y LA APERTURA SE REALIZARA CON LA AUTORIZACION DEL MAGISTRADO ACTUANTE.</t>
  </si>
  <si>
    <t>HALL DE ARRIBOS DE LA TERMINAL B</t>
  </si>
  <si>
    <t>SIENDO LA FECHA Y HORA ANTES MENCIONADA, EN MOMENTOS EN QUE EL OFICIAL GUZZO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</si>
  <si>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FISCALIA NACIONAL DE INSTRUCCION Nº 47</t>
  </si>
  <si>
    <t>SOLINIME</t>
  </si>
  <si>
    <t>MURACA SERGIO</t>
  </si>
  <si>
    <t>DESDE EL DESPACHO DE EQUIPAJE EN TUCUMAN, HASTA LA ENTREGA DE EQUIPAJE EN AEROPARQUE.</t>
  </si>
  <si>
    <t>PATIO DE VALIJAS - PLATAFORMA COMERCIAL - BODEGA DE LA AERONAVE.</t>
  </si>
  <si>
    <t>SIENDO LAS 10:30 HORAS SE PRESENTA EL SR. NACUL JUAN CARLOS PARA REALIZAR UNA DENUNCIA POR UN HECHO DE CARACTER DELICTIVO, EL MISMO MANIFIESTA QUE EN HORAS DE LA MAÑANA DESPACHO EN EL AEROPUERTO DE TUCUMAN UNA VALIJA TIPO CARRY ON COLOR AZUL, MARCA COMERCIAL VIAGGIO DE TAMAÑO MEDIANO, Y QUE AL ARRIBAR EN ESTE AEROPUERTO METROPOLITANO, AL RETIRAR SU EQUIPAJE, INMEDIATAMENTE PROCEDE A TOMAR SU BILLETERA, LA CUAL HABIA SIDO DESPACHADA DENTRO DE LA VALIJA Y SE PERCATA DE QUE LA MISMA TENIA UN FALTANTE DE MIL QUINIENTOS PESOS ARGENTINOS, SEGUIDAMENTE PROCEDE A CONTROLAR SU EQUIPAJE, EL MISMO NO TENIA OTRO FALTANTE Y SE DIRIGE A REALIZAR EL RECLAMO A LA COMPAÑIA AEREA, TENIENDO UNA RESPUESTA NEGATIVA DE SU PARTE, MOTIVO POR EL CUAL SE HACE PRESENTE EN ESTA GUARDIA DE PREVENCION, DONDE SE INICIAN LAS ACTUACIONES DE RIGOR.</t>
  </si>
  <si>
    <t>LA 4151</t>
  </si>
  <si>
    <t>SANCHEZ YANINA MARIEL - TURLIONE RUBEN DARIO S/AMENAZA</t>
  </si>
  <si>
    <t>AMPLIANDO PARTE RESERVADO Nº 3222 DE FECHA 28/05/2010. EN EL DIA DE LA FECHA SEGUN LO INFORMADO POR PERSONAL DEL JUZGADO SE HIZO PRESENTE EN SEDE JUDICIAL EL CIUDADANO DE NOMBRE RUBEN DARIO TURLIONE, DNI Nº 22.214.348, JUNTO A SU ABOGADO DEFENSOR CON MOTIVO DE LA CITACION QUE TENIA PARA EL DIA DE LA FECHA A HS. 08:00. EL MISMO SE ABTUVO A DECLARAR Y SU ABOGADO SOLICITO LA CAUSA PARA SABER DE QUE SE TRATA. EL JUZGADO ACCEDIO AL PEDIDO Y LIBRO OFICIO Nº 1819/10 A ESTA UNIDAD A LOS EFECTOS DE REALIZARLE A RUBEN DARIO TURLIONE UNA NUEVA CITACION PARA EL DIA VIERNES 04 DE JUNIO DEL CORRIENTE AÑO A LAS 11:00 HS. ESTO TIENE RELACION CON EL EXPTE 907/09, CARATULADO SANCHEZ YANINA MARIEL - TURLIONE RUBEN DARIO S/AMENAZAS. PARTE INICIAL SIPAP 0031/09 DONDE SE INFORMA INICIO DE TAREAS INVESTIGATIVAS PARA DAR CON LOS AUTORES DE AMENAZA TELEFONICA DE BOMBA A LA EMPRESA LAN ARG. ESCLA SALTA EL 24/11/09</t>
  </si>
  <si>
    <t>3114/10</t>
  </si>
  <si>
    <t>JOSE RAFAEL LIRA S/DCIA PRESUNTO HURTO AEROPUERTO TRELEW AÑO 2010.</t>
  </si>
  <si>
    <t>MOSTRADOR PUBLICO DE JET PAQ</t>
  </si>
  <si>
    <t>EN EL DIA DE LA FECHA SE ELEVAN ACTUACIONES PREVENTIVAS NUMERO INTERNO 003/2010 AL MINISTERIO PUBLICO FISCAL DE LA CIUDAD DE TRELEW, RECIBIENDO NUMERO DE CAUSA JUDICIAL 25440 Y CARATULA JOSE RAFAEL LIRA S/DENUNCIA HURTO.</t>
  </si>
  <si>
    <t>PENAL DE LA DRA. MARIAN BEROEZ</t>
  </si>
  <si>
    <t>AVERIGUACION PTA. INFRACCION LEY 26.364</t>
  </si>
  <si>
    <t>INDEPENDENCIA 1142 - MAR DEL PLATA -BS.AS. SANTIAGO DEL ESTERO Y GASCON - MAR DEL PLATA. BS. AS. RIVADAVIA 11470 - MAR DEL PLATA BS. AS. MARCONI 3070 MAR DEL PLATA. BAS. AS. AYACUCHO 3600 MAR DEL PLATA - BS. AS.</t>
  </si>
  <si>
    <t>EN EL DIA DE LA FECHA SE RECEPCIONA EN ESTA UNIDAD, PROVENIENTE DE LA U.O.C.N. Y D.C. URSA 1 DEL ESTE, OFICIO JUDICIAL SOLICITANDO SE EFECTUEN TAREAS DE CARACTER INVESTIGATIVO EN LA CIUDAD DE MAR DEL PLATA, PROVINCIA DE BUENOS AIRES, SOBRE LOS DOMICILIOS Y PERSONAS DETALLADOS EN EL OFICIO DE REFERENCIA.</t>
  </si>
  <si>
    <t>EN EL DIA DE LA FECHA LA DENUNCIANTE MANIFIESTA QUE AL TRAMITAR UN PERMISO PERMANENTE PARA LA EMPRESA SERVICIOS Y EMPRENDIMIENTOS AERONAUTICOS EL SISTEMA REQUIERE UN PERMISO DE FACILITACION DE LA EMPRESA LAPA VENCIDO EL AÑO 2004 EL CUAL ADUCE EXTRAVIO NO PUDIENDO PRECISAR DADO EL TIEMPO TRANSCURRIDO EL LUGAR EXACTO Y LA FECHA EN QUE SE PRODUZCO EL MISMO.</t>
  </si>
  <si>
    <t>3251/10</t>
  </si>
  <si>
    <t>LOCALIDAD DE VENADO TUERTO Y ALEDAÑAS, PROVINCIA DE SANTA FE</t>
  </si>
  <si>
    <t>EN EL DIA DE LA FECHA SE RECEPCIONAN OFICIOS JUDICIALES ORDENANDO REALIZAR ALLANAMIENTOS SIMULTANEOS EN EL MARCO DE LA CAUSA DE REFERENCIA, BAJO LOS NUMEROS: 2928 LA VIVIENDA UBICADA EN CALLE 66 NRO. 343 DE VILLA CAÑAS, NRO 2929 ESTABLECIMIENTO LAS DOS HERMANAS EN LA LOCALIDAD DE SANTA ISABEL SOBRE R.P. N° 94, NRO 2930 LA VIVIENDA UBICADA EN CALLE SAENZ PEÑA 1415 DE VENADO TUERTO, NRO 2931 LA VIVIENDA UBICADA EN CALLE URUGUAY 1337 DE VENADO TUERTO, NRO 2932 LA VIVIENDA UBICADA EN CALLE CABRAL AL 200 ´GALPON´ Y NRO 2933 LA VIVIENDA UBICADA EN CALLE CABRAL AL 200 ´VIVIENDA FAMILIAR´. PARA DAR EL CUMPLIMIENTO EL DIA 02 DE JUNIO DE 2010 ENTRE LAS 07:30HS Y 13:00HS.</t>
  </si>
  <si>
    <t>ANDIA MARIELA</t>
  </si>
  <si>
    <t>INFRACCION A LA LEY ADUANERA, DECRETO 1606/2001</t>
  </si>
  <si>
    <t>SECTOR INTERNACIONAL DE LA AEROESTACION</t>
  </si>
  <si>
    <t>SIENDO APROXIMADAMENTE LAS 10:50 HORAS MIENTRAS SE REALIZABA UN CONTROL DE RUTINA EN EL PREEMBARQUE, INFORMA EL OFICIAL VALPREDA QUE A UN PASAJERO AL QUE LE ESTABA REALIZANDO UN CONTROL MANUAL, POR HABER SONADO EN EL MARCO DETECTOR DE METALES LE DETECTA EN LOS BOLSILLOS DELANTEROS DEL PANTALON, UNA SUMA DE DINERO, POR TAL MOTIVO SE LE CONSULTA CUAL ES EL MONTO QUE LLEVA A LO QUE RESPONDE QUE TRASLADA LA SUMA DE CINCUENTA MIL PESOS ARGENTINOS, POR LO TANTO SE LE INFORMA QUE ESTA EN FALTA CON EL CODIGO ADUANERO, EN EL CUAL SE ESTABLECE COMO MONTO MAXIMO LA SUMA DE DIEZ MIL DOLARES O SU EQUIVALENTE, EL PASAJERO DICE ESTAR EN CONOCIMIENTO DE LA SITUACION PERO POR ESTAR APURADO DECIDIO PASAR POR EL CONTROL DE SEGURIDAD. POR TAL MOTIVO SE REALIZA COMUNICACION TELEFONICA CON LA AUTORIDAD JUDICIAL EN TURNO SIENDO ESTA LA DRA. ANDIA MARIELA DE LA SECRETARIA PENAL C A QUIEN SE LE INFORMA LOS HECHOS Y QUIEN DISPONE 1/ QUE SE NOTIFIQUE A LAS AUTORIDADES ADUANERAS. 2/ QUE LAS ACTUACIONES SEAN CONFECCIONADAS SI CORRESPONDEN POR LA ADUANA Y 3/ QUE SE INFORME EL PROCEDIMIENTO REALIZADO, POR LO QUE SE DA ESTRICTO CUMPLIMIENTO. UN MOMENTO DESPUES SE LE INFORMA AL RESPONSABLE DE TURNO DE LA ADUANA QUIEN LUEGO DE OBSERVAR LA DOCUMENTACION PRESENTADA POR EL PASAJERO DE DONDE PROVENIA EL DINERO, DECIDE DEJAR SIN EFECTO LA CONTRAVENCION SOBRE EL EXCEDENTE DE DINERO. POR TAL MOTIVO SE REALIZA UNA NUEVA COMUNICACION CON LA SECRETARIA INFORMANDO LA DECISION DEL PERSONAL DE ADUANA Y QUIEN AVALA TAL DECISION.</t>
  </si>
  <si>
    <t>FISCALIA PENAL DE INSTRUCCION DE LA VIIª NOMINACION</t>
  </si>
  <si>
    <t>Suasnabar</t>
  </si>
  <si>
    <t>Arnoldo</t>
  </si>
  <si>
    <t>FARIAS EDUARDO</t>
  </si>
  <si>
    <t>SIENDO HORAS 17:30 SE PRESENTA EL SR. FERNANDEZ MENDEZ ROBERTO DE LA EMPRESA SOUTH POLE S.A. A RADICAR UNA DENUNCIA POR ROBO DE UNA RUEDA DE AUXILIO , KIT DE SEGURIDAD Y ROTURA DE CERRADURA DEL BAUL DE UN VEHICULO SEDAN CUATRO PUERTAS MARCA CHEVORLET CORSA DOMINIO IDD-465 PERTENECIENTE A LA EMPRESA . SE PROCEDE A REALIZAR INSPECCION VISUAL AL RODADO OBSERVANDO LOS DAÑOS PRODUCIDOS AL MISMO Y CONSTATANDO LOS FALTANTES.SE ESTABLECE COMUNICACION TELEFONICA A LA OFICINA DE AUTORES DECONOCIDOS DE LA JUSTICIA PROVINCIAL QUIEN ORDENO SE REALIZARAN ACTUACIONES DE RIGOR Y SE ELEVEN CON POSTERIORIDAD. SEGUN LA DENUNCIA, FERNANDEZ NOTO EL DAÑO Y EL FALTANTE AL LLEGAR A UN LAVADERO, DESPUES DE SALIR DEL AEROPUERTO</t>
  </si>
  <si>
    <t>GUSTAVO LLERAL</t>
  </si>
  <si>
    <t>UOSP PUERTO MADRYN</t>
  </si>
  <si>
    <t>EDIFICIO DE ANAC</t>
  </si>
  <si>
    <t>EN EL DIA DE LA FECHA SE RECIBE DENUNCIA ESPONTANEA DE LA SRA. ALBA AIDA SEGUEL, QUIEN SE NO QUIERE REALIZARLA POR ESCRITO, POR LO QUE SE ACTUA DE OFICIO, DANDO INTERVENCION AL JUZGADO FEDERAL DE RAWSON, INFORMANDO AL MAGISTRADO INTERVINIENTE QUE POR LAS CARACTERISTICAS DEL HECHO SE TRATARIA DE UN PRESUNTO HURTO DE DOS ROLLOS DE CABLE DE CORRIENTE ELECTRICA EN LAS OFICINAS DE LA ANAC, LUGAR DONDE LA DENUNCIANTE TRABAJA COMO ADMINISTRATIVA, INFORMANDO EL MAGISTRADO INTERVINIENTE SE LABREN LAS ACTUACIONES DE RIGOR Y SEAN REMITIDAS A ESE JUZGADO. EL DIA 07/06/2010 SE LABRA PARTE URGENTE NRO 3464 AMPLIATORIO DEL PRESENTE EN EL CUAL SE INFORMA QUE SIENDO LAS 14.30 HS ESTA PREVENCION HACE ENTREGA DE LA CAUSA 001/10 REG INTERNO , POR PRESUNTO HURTO.</t>
  </si>
  <si>
    <t>JUZGADO DE INST. N° 6 - PENAL DE S. C. DE BARILOCHE</t>
  </si>
  <si>
    <t>Gaimaro Pozzi</t>
  </si>
  <si>
    <t>Miguel</t>
  </si>
  <si>
    <t>DR. CARLOS MARIA RAYCE</t>
  </si>
  <si>
    <t>S/DELITO CONTRA LA PROPIEDAD HURTO REITERADO</t>
  </si>
  <si>
    <t>PLANTA BAJA</t>
  </si>
  <si>
    <t>EN EL DIA DE LA FECHA SE PRESENTA PERSONAL DE LA EMPRESA ALAMO RENT A CAR, QUIEN RADICA DENUNCIA POR EL ROBO DE TRES CUBIERTAS DE AUXILIO DE LOS SIGUIENTES VEHICULOS VOLKSWAGEN GOL 1.6, DOMINIO ILQ-258, AÑO 2009 Y VOLKSWAGEN GOL 1.6 DOMINIO ILQ-257,AÑO 2009 Y VEHICULO VOLKSWAGEN GOL 1.6 DOMINIO ILQ 245 AÑO 2009, LOS CUALES PERTENECEN A LA RENTADORA MENCIONADA, SE DA INTERVENCION AL JUZGADO FEDERAL DE SAN CARLOS DE BARILOCHE, QUIEN DERIVA LA CAUSA AL JUZGADO PROVINCIAL N° 6, INDICANDO EL SECRETARIO DEL MISMO, REALIZAR LAS ACTUACIONES DE RIGOR, SOLICITANDO ADEMAS, UNA PERICIA CRIMINALISTICA EN COORDINACION CON PERSONAL DEL GABINETE DE CRIMINALISTICA DE LA POLICIA DE LA PROVINCIA DE RIO NEGRO, CON EL CUAL SE ACUERDA EN EL DIA DE MAÑANA 02 DE JUNIO REALIZAR DICHO REQUERIMIENTO, A FIN DE CUMPLIMENTAR LAS ACTUACIONES. PU 3365/10 AMPLIACION SE INFORMA QUE EL DIA 02/06/2010 EN HORAS DE LA MAÑANA SE PRESENTA EN ESTA UOSP EL SUBCOMISARIO WALTER MUÑOZ JEFE DEL GABINETE CRIMINALISTICO DE LA POLICIA RIO NEGRO PERICIANDO LOS VEHICULOS IDENTIFICADOS CON DOMINIOS ILQ 257 Y ILQ 258</t>
  </si>
  <si>
    <t>Nº 5385/13</t>
  </si>
  <si>
    <t>UNIDAD PENAL Nº 15 RUTA 88 KM 8,5</t>
  </si>
  <si>
    <t>BATAN</t>
  </si>
  <si>
    <t>EN EL DIA DE LA FECHA SIENDO LAS 17 40 HORAS SE CUMPLIMENTA ORDEN DE SERVICIO 043/ 10 GENERADA POR ESTA UOSP LA CUAL POR ORDEN DE LA JUDICATURA INTERVINIENTE DA TRASLADO AL CIUDADANO EDUARDO ADOLFO MUELAS DNI 16.926.586. HACIA LA UNIDAD PENAL Nº 15 DE BATAN, REGRESANDO LA COMISION DESTINADA PARA TAL FIN A LAS 20 05 HORAS A ESTA UNIDAD SIN NOVEDAD.</t>
  </si>
  <si>
    <t>QUE SIENDO LAS 18:35 HS. PERSONAL POLICIAL ABOCADO AL CONTROL MEDIANTE RAYOS X DE LOS EQUIPAJES DESPACHADOS DETECTARON EN EL INTERIOR DE UN CARRY ON DE GRANDES DIMENSIONES VARIAS FIGURAS RECTANGULARES CONTENIENDO SUSTANCIA ORGANICA DE BAJA DENSIDAD. QUE AL MOMENTO EN QUE FUE CONTACTADA LA PROPIETARIA DEL EQUIPAJE EN LA MANGA NUMERO 11, LA MISMA PORTABA UN EQUIPAJE DE MANO DE COLOR NEGRO DE TIPO CARRY ON, PERSONAL POLICIAL DETECTO QUE LA MISMA FUE SALUDADA POR UN EMPLEADO DE MANTENIMIENTO DE LA EMPRESA AA2000, EL CUAL FUE DEMORADO Y POSTERIORMENTE DESAFECTADO POR ORDEN JUDICIAL DEBIDO A QUE NO SE REGISTRARON ELEMENTOS DE INTERES PARA LA CAUSA NI FILMACIONES QUE LO VINCULEN CON LA DETENIDA AL MOMENTO EN QUE SE DETECTO DICHO PROCEDER. QUE APERTURADOEL CARRY ON DE GRANDES DIMENSIONES EL MISMO PRESENTABA DOS PAQUETES EN UN DOBLE FONDO SOBRE LA BASE DEL MISMO Y DOS PAQUETES EN SU CONTORNO. QUE APERTURADO EL CARRY ON DE MANO DE COLOR NEGRO EL MISMO PRESENTABA UN PAQUETE EN UN DOBLE FONDO EN SU TAPA Y UN PAQUETE EN UN DOBLE FONDO EN UN DIVISOR INTERNO DE COMPARTIMIENTOS. QUE LOS SEIS PAQUETES POSEIAN PRESUNTAMENTE CLORHIDRATO DE COCAINA SEGUN PRUEBAS DE CAMPO. QUE LA DETENIDA PERMANECERA EN ESTA DEPENDENCIA HASTA EL DIA 02/06/2010 EN HORAS DE LA MAÑANA CUANDO SERA REMITIDA A SEDE JUDICIAL JUNTO CON LAS ACTUACIONES JUDICIALES. EL TOTAL DE LO INCAUTADO FUE DE 3406 GRS DE COCAINA. SEGUN PU Nº 3304 LA IMPUTADA FUE TRASLADADA A SEDE JUDICIAL EN HORAS 0800 DEL DIA 02-06-2010.-</t>
  </si>
  <si>
    <t>2894/10</t>
  </si>
  <si>
    <t>APERTURA DE ENCOMIENDA S/SUP. INFRACCION A LA LEY 22.415 Y 23.737</t>
  </si>
  <si>
    <t>401/10</t>
  </si>
  <si>
    <t>SE PROCEDE A LA APERTURA DE UNA ENCOMIENDA DEL CORREO OFICIAL, SEGUN CONSTA EN ACTA DE APERTURA DE CARGA Nº 277/10, QUE ORIGINA LA PREVENCION SUMARIA Nº 056/10, EN VIRTUD DE LO ORDENADO MEDIANTE OFICIO JUDICIAL NRO 754/10, DEL MAGISTRADO ACTUANTE Y EN PRESENCIA DE UN TESTIGO HABIL. LA ENCOMIENDA SE IDENTIFICA COMO: EP705770455AR, RTTE. MARIA INES ESCALANTE, MAZ. 186, LOTE 16, EL ARENAL, S.S. DE JUJUY, C.P. 4.600 Y DEST. CLAUDIA DEL VALLE CAÑIZARES, CORONEL ROSALES Nº 337, EL CALAFATE, SANTA CRUZ, C.P. 9.405, CONTIENE: 15 PAQUETES DE HOJAS DE COCA CON UN PESO TOTAL DE 3.696 GRS. LA ENCOMIENDA SECUESTRADA SERA PUESTA A DISPOSICION DE ADUANA DE SALTA POR SUPUESTA INFRACCION AL CODIGO ADUANERO, LEY 22.415, Y LAS ACTUACIONES REMITIDAS A SEDE JUDICIAL. SEGÚN PU ORIGINARIO Nº 2881 SE PROCEDE A LA RETENCION DE UNA SACA COLECTORA DEL CORREO OFICIAL , SEGUN CONSTA EN ACTA DE RETENCION Nº 0241/10, QUE ORIGINA LA PREVENCION SUMARIA Nº 056/10, IDENTIFICADA COMO LA9126409E555700RGL, PRECINTO Nº C797276, CON UN PESO DECLARADO DE 8,500KGS. CON DESTINO LA CIUDAD DE RIO GALLEGOS, CONTIENE TRES PIEZAS POSTALES, LA QUE SERIA DESPACHADA A TRAVEZ DE LA EMPRESA DE CARGA AEREA JET-PAQ, AMPARADA EN GUIA AEREA Nº 9368412-4, LA RETENCION SE REALIZA ANTE LA PRESUNCION DE QUE PUDIERAN CONTENER EN SU INTERIOR ALGUN ELEMENTO EN INFRACCION A LA LEY 22.415 Y/O 23.737. QUEDANDO LA MISMA CERRADA Y PRECINTADA EN GUARDA EN ESTA UOSP. SE COMUNICO TELEFONICAMENTE AL JUZGADO INTERVINIENTE. LA APERTURA SE REALIZARA EN PRESENCIA DEL PERSONAL DEL CORREO OFICIAL SEGÚN PU AMPLIACION DEL ORIGINARIO, Nº 2894 SE PROCEDE A LA APERTURA DE UNA SACA COLECTORA DEL CORREO OFICIAL, SEGUN CONSTA EN ACTA DE RETENCION Nº 0241/10 Y ACTA DEJANDO CONSTANCIA Nº 0249/10, QUE ORIGINA LA PREVENCION SUMARIA Nº 056/10. LA SACA IDENTIFICADA COMO COMO SLA9126409E555700RGL, PRECINTO Nº C797276, CONTIENE TRES PIEZAS POSTALES. LA 1ª EP705770455AR, RTTE. MARIA INES ESCALANTE, MZA 186, LOTE 16, EL ARENAL, SAN SALVADOR DE JUJUY, C.P. 4.600 Y DEST. CLAUDIA DEL VALLE CAÑIZARES, DOMICILIO CORONEL ROSALES Nº 337, EL CALAFATE, SANTA CRUZ, C.P. 9.405, LA CUAL QUEDA RETENIDA Y LAS DOS RESTANTES IDENTIFICADAS COMO EP706539910AR Y EP055221770AR, SON ENTREGADAS AL SR. ARIAS DEL CORREO OFICIAL PARA SU REDESPACHO. LA RETENCION SE REALIZA ANTE LA PRESUNCION DE QUE PUDIERA CONTENER ALGUN ELEMENTO EN INFRACCION A LAS LEYES 22.415 Y/O 23.737, QUEDANDO LA MISMA CERRADA Y EN GUARDA EN ESTA UOSP. SE COMUNICO TELEFONICAMENTE AL JUZGADO INTERVINIENTE Y LA APERTURA SE REALIZARA CON LA AUTORIZACION DEL MAGISTRADO ACTUANTE.-</t>
  </si>
  <si>
    <t>2842/10</t>
  </si>
  <si>
    <t>S/SUP. INFRACCION A LA LEY 22.415 Y 23.737</t>
  </si>
  <si>
    <t>398/10</t>
  </si>
  <si>
    <t>SE PROCEDE A LA APERTURA DE UNA ENCOMIENDA DEL CORREO OFICIAL, SEGUN CONSTA EN ACTA DE APERTURA DE CARGA Nº 278/10, QUE ORIGINA LA PREVENCION SUMARIA Nº 052/10, EN VIRTUD DE LO ORDENADO MEDIANTE OFICIO JUDICIAL Nº 1000/10, DEL MAGISTRADO ACTUANTE Y EN PRESENCIA DE UN TESTIGO HABIL. LA ENCOMIENDA SE IDENTIFICA COMO EP658938217AR, CON REMITENTE SIN DATOS Y DEST. AVELINO LEIVAS, L.E. 7.327.844, HERNAN CORTES 1957, RIO GALLEGOS, SANTA CRUZ, C.P. 9.400, CONTIENE: DOS CAJAS CON JUEGO DE SABANAS DE TRES PIEZAS, UN ACOLCHADO TIPO POLAR Y 16 PAQUETES DE HOJAS DE COCA CON UN PESO TOTAL DE 3.945 GRS. LA ENCOMIENDA SECUESTRADA SERA PUESTA A DISPOSICION DE LA ADUANA DE SALTA POR SUPUESTA INFRACCION AL CODIGO ADUANERO, LEY 22.415 Y LAS ACTUACIONES REMITIDAS A SEDE JUDICIAL. SEGÚN PU ORIGINARIO Nº 2812 SE PROCEDE A LA RETENCION DE UNA SACA COLECTORA DEL CORREO OFICIAL, SEGUN CONSTA EN ACTA DE RETENCION DE CARGAS Nº 0228/10, QUE ORIGINA LA PREVENCION SUMARIA Nº 052/10. LA SACA IDENTIFICADA CON MARBETE Nº SLA0161817D555700RGL, PRECINTO Nº Y351427, CON UN PESO DECLARADO DE 9,600 KGS., CON DESTINO A LA CIUDAD DE RIO GALLEGOS, CONTENDRIA UNA PIEZA POSTAL, LA CUAL SERIA DESPACHADA ATRAVES DE LA EMPRESA DE CARGA AEREA JET PAQ. LA RETENCIÓN SE REALIZA ANTE LA PRESUNCIÓN DE QUE PUDIERA CONTENER ALGUN ELEMENTO EN INFRACCIÓN A LAS LEYES 23737 Y/O 22.415, QUEDANDO LA MISMA CERRADA Y PERCINTADA EN GUARDA EN ESTA UOSP. SE COMUNICO TELEFONICAMENTE AL JUZGADO INTERVINIENTE Y LA APERTURA SE REALIZARA EN PRESENCIA DEL PERSONAL DEL CORREO OFICIAL. SEGÚN PU Nº 2842, AMPLIACION DEL ORIGINARIO SE PROCEDE A LA APERTURA DE UNA SACA COLECTORA DEL CORREO OFICIAL, SEGUN CONSTA EN ACTA DE RETENCION DE CARGAS Nº 0228/10, QUE ORIGINA LA PREVENCION SUMARIA Nº 052/10. LA SACA IDENTIFICADA CON MARBETE Nº SLA0161817D555700RGL, PRECINTO N° Y351427, CONTIENE UNA PIEZA POSTAL IDENTIFICADA COMO EP658938217AR. LA CUAL QUEDA RETENIDA. QUEDANDO LA MISMA CERRADA Y PERCINTADA EN GUARDA EN ESTA UOSP. SE COMUNICO TELEFONICAMENTE AL JUZGADO INTERVINIENTE Y LA APERTURA SE REALIZARA CON LA AUTORIZACION DEL MAGISTRADO ACTUANTE.</t>
  </si>
  <si>
    <t>3293/10</t>
  </si>
  <si>
    <t>QUE SIENDO LAS 08:00 HS. DE LA FECHA ANTEDICHA PERSONAL POLICIAL PROCEDIO AL TRASALDO DE LA DETENIDA EN AUTOS A SEDE JUDICIAL.</t>
  </si>
  <si>
    <t>ZELAYA , ALBERTO</t>
  </si>
  <si>
    <t>DENUNCIA ANONIMA</t>
  </si>
  <si>
    <t>EN EL DIA DE LA FECHA SE LABRAN ACTUACIONES POR UNA DENUNCIA TELEFONICA DE UNA PERSONA NO IDENTIFICADA RECIBIDA EL DIA 31 DE MAYO DEL 2010 A HORAS 21:00 A TRAVES DE LA LINEA TELEFONICA OFICIAL DE ESTA UOSP TUCUMAN, MANIFESTANDO EL INTERLOCUTOR QUE EN UN VUELO PROCEDENTE DE MIAMI CON ESCALA EN SANTA CRUZ DE LA SIERRA CON DESTINO TUCUMAN, ARRIBARIA UN CIUDADANO DE NOMBRE AVELLANEDA CLAYPOLE, MAXIMO DNI N 10.012.103, ROBUSTO, CANOSO, MAYOR DE EDAD, QUE SUPUESTAMENTE ESTARIA INVOLUCRADO EN DELITOS DE NARCOTRAFICO Y LAVADO DE DINERO. ANTE ESTA SITUACION SE LLEVARON A CABO TAREAS DE RECOLECCION DE INFORMACION PARA TRATAR DE CONFIRMAR LOS DICHOS DENUNCIADOS. DE LAS TAREAS DESARROLLADAS SE CONFIRMO QUE EL MENCIONADO NO SE ENCONTRABA EN LISTADOS DE PASAJEROS A ARRIBAR A ESTA PROVINCIA EN EL DIA 31-MAY-10 Y SUBSIGUIENTES, COMO ASI TAMPOCO EXISTEN VUELOS COMERCIALES Y NO REGULARES PROVENIENTES DEL LUGAR REFERENCIADO POR EL DENUNCIANTE. NO OBSTANTE SE PUDO CONFIRMAR QUE EL CIUDADANO MENCIONADO INGRESO AL PAIS POR LA PROVINCIA DE SALTA, PROVENIENTE DE SANTA CRUZ DE LA SIERRA EN VUELO DE AEROSUR EL DIA 31-MAY-10 A HORAS 12:10. SE INTENTO ENTABLAR COMUNICACION TELEFONICA CON EL JUZGADO DE TURNO CON RESULTADO NEGATIVO, LOGRANDO LA MISMA RECIEN EN EL DIA DE LA FECHA. DURANTE LOS DIAS 1 Y 2 DE JUNIO SE REALIZARON TAREAS DE RECOLECCION DE INFORMACION REFERENTE A LA PERSONA MENCIONADA, RESULTADOS QUE FUERON PUESTOS A CONOCIMIENTO DEL JUZGADO INTERVINIENTE MEDIANTE COMUNICACION TELEFONICA, ORDENANDO EL MAGISTRADO SE CIERREN LAS ACTUACIONES Y SE ELEVEN LAS MISMAS PARA SU RESOLUCION.</t>
  </si>
  <si>
    <t>1835/10</t>
  </si>
  <si>
    <t>HALL DE ARRIBOS-SECTOR PUBLICO</t>
  </si>
  <si>
    <t>EN RELACION A LA DENUNCIA EFECTUADA POR ESTA POLICIA DE SEGURIDAD AEROPORTUARIA ANTE EL JUZGADO FEDERAL DE SANTIAGO DEL ESTERO, DEL CUAL ES TITULAR EL DR. GUILLERMO MOLINARI, DEBIDO A LAS MANIFESTACIONES VERBALES ESPONTANEAS DEL OFICIAL AYUDANTE HUGO OSVALDO SANDEZ, LEGAJO Nº 501744, QUIEN SUSTRAJO UN BILLETE DE CIEN PESOS DE LA URNA DE DONACIONES PARA LA CAMPAÑA HAITI TE NECESITA, LA CUAL ESTABA UBICADA EN EL SALON DE ARRIBOS DE ESTA AEROESTACION Y DANDO INICIO AL EXPTE Nº 5190/2010, EN EL DIA DE LA FECHA SE RECEPCIONO COPIA DE LA RESOLUCION DE SU SEÑORIA EN LA CUAL RESUELVE DESESTIMAR LA DENUNCIA RADICADA Y ORDENA SU ARCHIVO.</t>
  </si>
  <si>
    <t>BODEGA DEL CORREO ARGENTINO</t>
  </si>
  <si>
    <t>PATRICIO FAUSTINO COSTA</t>
  </si>
  <si>
    <t>PHILIP MOSSES</t>
  </si>
  <si>
    <t>EFECTUANDOSE UN CONTROL PREVENTIVO, SE DETECTA EN EL INTERIOR DE UNA SACA, LA CUAL CONTENÍA DOS CAJAS, EN UNA DE LAS MISMAS, LA PRESENCIA DE SUSTANCIA ORGÁNICA. SE TRASLADO LOS ELEMENTOS EN CUESTIÓN A LA GUARDIA DE PREVENCIÓN. EN COMUNICACIÓN TELEFÓNICA CON LA JUDICATURA LA MISMA AUTORIZO LA REQUISA. A CONTINUACIÓN SE PROCEDIO A LA APERTURA DE LA SACA, DE LA CUAL SE RETIRARON DOS CAJAS. SE ABRIO UNA DE LAS CAJAS, HALLANDO EN SU INTERIOR PRENDAS DE VESTIR DE BEBE Y DOS CAJAS DE CARTÓN. SE ABRE UNA DE LAS CAJAS OBSERVANDO QUE CONTENÍA UNA MAQUINA DE CORTAR CABELLO ELÉCTRICA, DICHA CAJA AL SER VACIADA PRESENTABA UN PESO NO ACORDE, REALIZANDOSE UN CORTE EN LA TAPA Y CONTRATAPA DE LA MISMA, HALLÁNDOSE EN EL INTERIOR DE AMBAS SUSTANCIA PULVERULENTA CON RESULTADO POSITIVO COCAINA. LUEGO SE TOMO LA OTRA CAJA, OBSERVANDOSE EN SU INTERIOR, UNA MANIJA PORTÁTIL PARA BAÑO, LA CUAL AL EFECTUARLE UNA INCISIÓN SE OBSERVO EN SU INTERIOR UN PAQUETE DE NYLON TRANSPARENTE EN FORMA DE TUBO Y EN EL INTERIOR DEL MISMO SUSTANCIA PULVERULENTA DE COLOR BLANCA, QUE SOMETIDA A REACTIVO PARA COCAÍNA, ARROJO RESULTADO POSITIVO. LA ENCOMIENDA FUE DESPACHADA ORIGINALMENTE EN LA CIUDAD DE LUJAN PROVINCIA DE BUENOS AIRES. REMITENTE - SAN JOSE Nº 645 LUJAN PCIA. DE BS. AS. TEL 02323-428659 DESTINATARIO - Nº 100 MERIDIAN COURT ROYAL CANL ASHTUWN 15 DUBLIN IRLANDA.</t>
  </si>
  <si>
    <t>LH 0511</t>
  </si>
  <si>
    <t>FRANKFURT / LH 4984</t>
  </si>
  <si>
    <t>NAC DE 1º INST EN LO CRIMINAL DE INST Nº 27</t>
  </si>
  <si>
    <t>SECRETARIA Nº 124</t>
  </si>
  <si>
    <t>DRA MARIA FERNANDA MARTINEZ</t>
  </si>
  <si>
    <t>INFORMO QUE EN EL CONTROL DE DOCUMENTACION DE PASAJEROS DEL VUELO NRO 4029 DE LA EMPRESA LAN ARGENTINA SE DETECTA A TRAVES DEL SISTEMA DE INTERPOL EL PEDIDO DE PARADERO VIGENTE SOLICITADO POR EL JUZGADO CRIMINAL DE INSTRUCCION NRO 27 SECRETARIA NRO 124 DE LA SRA CLAUDIA VERONICA GEROSA ANTE EL HECHO PERSONAL DE INTERPOL REALIZA UN ACTA Y ENTREGA AL JEFE DE TURNO EL CUAL CONFECCIONA ACTA DE NOTIFICACION DANDO CUMPLIMIENTO A LO REQUERIDO POR EL JUZGADO SOLICITANTE DE LA MEDIDA Y SE NOTIFICA A LA CAUSANTE QUE DEBERA COMPARECER ANTE DICHO JUZGADO DENTRO DE LOS CINCO DIAS HABILES DE LABRADA LA MISMA PARA REGULARIZAR SU SITUACION JUDICIAL.</t>
  </si>
  <si>
    <t>STAND DE TAXIS DE CAPITAL FEDERAL</t>
  </si>
  <si>
    <t>SIENDO LA FECHA Y HORA ANTES MENCIONADA, EN MOMENTOS EN QUE LOS OFICIALES LENCINA Y MARTINEZ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</si>
  <si>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AMPLIANDO PARTE RESERVADO Nº 3312 DE FECHA 02 DE JUNIO DE 2010, EL CUAL OBEDECE A UN LLAMADO TELEFONICO DE UNA AMENAZA DE BOMBA REALIZADO A LA EMPRESA LAN, EN LAS OFICINAS UBICADAS EN EL AEROPUERTO SALTA, EL DIA 24 DE NOVIEMBRE DE 2009, DONDE SE ABRIO UNA CAUSA BAJO EL Nº EXPTE Nº 907/09, CARATULADO SANCHEZ YANINA MARIEL - TURLIONE RUBEN DARIO S/AMENAZAS. EN EL DIA DE LA 02 DE JUNIO DE 2010, SE DIO CUMPLIMIENTO AL OFICIO JUDICIAL Nº 1519/10 DE FECHA 01 DE JINIO DE 2010, LIBRADO POR EL JUZFADO FEDERAL DE SALTA Nº 1 A CARGO DEL DR. JULIO LEONARDO BAVIO, SECRETARIA PENAL Nº A CARGO DEL DR. SANTIAGO FRENCH, DONDE SE REALIZO UNA CEDULA DE NOTIFICACION A RUBEN DARIO TURLIONE, DNI Nº 22.214.348, A LOS FINES DE PRESTAR DECLARACION INDAGATORIA EN LA SEDE DEL JUZGADO, EL DIA 04 DE JUNIO DE 2010A LAS 11:00 HS. A SOLICITUD DEL TRIBUNAL INTERVINIENTE, QUEDANDO EL MISMO NOTIFICADO DE LO DISPUESTO POR S.S. PARTE INICIAL SIPAP 0031/09 DONDE SE INFORMA INICIO DE TAREAS INVESTIGATIVAS PARA DAR CON LOS AUTORES DE AMENAZA TELEFONICA DE BOMBA A LA EMPRESA LAN ARG. ESCLA SALTA EL 24/11/09</t>
  </si>
  <si>
    <t>PSA S/INV. INFRACCION A LA LEY 23.737</t>
  </si>
  <si>
    <t>97.233/2010 INV. PREL.Nº15</t>
  </si>
  <si>
    <t>EN EL DIA DE LA FECHA Y EN EL MARCO DE LA CAUSA 97.233/2010, FUE RECEPCIONADO EN LA UOSP USHUAIA OFICIO JUDICIAL Nº 185/2010 DE LA FISCALIA FEDERAL DE LA CIUDAD DE USHUAIA, SIENDO DABLE INFORMAR QUE DICHA CAUSA JUDICIAL TIENE ORIGEN EN LA INVESTIGACION PRELIMINAR Nº 15, LLEVADA ADELANTE EN DICHA FISCALIA FEDERAL E INFORMADA OPORTUNAMENTE BAJO REGISTRO PSA Nº 1900. AHORA BIEN, EN REFERENCIA AL OFICIO MENCIONADO UT SUPRA, SE INFORMA QUE EN EL MISMO, SE AUTORIZO LA INTERVENCION TELEFONICA POR EL TERMINO DE TREINTA DIAS (ESCUCHA DIRECTA) DE LOS ABONADOS TELEFONICOS Nº 02901-15400055 Y Nº 02901-15524654. ASIMISMO EN EL MARCO DE LA PRESENTE CAUSA JUDICIAL EL JUZGADO FEDERAL DE LA CIUDAD DE USHUAIA A DISPUESTO LEVANTAR EL SECRETO BANCARIO DE LOS CIUDADANOS CARLOS MARIA BAEZ ALMIRON DNI 92.711.512 ; ALMA MARIA BAEZ DNI 92.711.511 ; LUIS MATTERSON DNI 23.925.349 ; MARTINIANO CABRERA DNI 7.846.066 ; JULIANA LOSA DNI 25.616.831 ; GUSTAVO DAVID GUTIERREZ DNI 26.939.932 Y JUAN CARLOS MATTO DNI 94.192.791</t>
  </si>
  <si>
    <t>ACTUACIONES SUMARIALES 895/10 PROVENIENTE DE ACTUACIONES 27/10 REMITIDO POR LA P.S.A. - JUZGADO FEDERAL Nº 3</t>
  </si>
  <si>
    <t>895/10</t>
  </si>
  <si>
    <t>TERMINAL DE CARGA - SECTOR TCA</t>
  </si>
  <si>
    <t>EN EL DIA DE LA FECHA SE PRESENTA ANTE ESTA INSTRUCCION EL DENUNCIANTE MANIFESTANDO QUE RECIBIO UN LLAMADO TELEFONICO DE UN COMPAÑERO DE SECTOR COMUNICANDOLE QUE PARTE DE LA CARGA QUE ARRIBABA AL SECTOR TCA SE ENCONTRABA CON SU ENVOLTORIO ROTO. ANTE TAL SITUACION PROCEDIO A CONTROLAR DICHA CAJA CONSTATANDO LA ROTURA DEL ENVOLTORIO Y OBSERVANDO QUE DEL INTERIOR DEL MISMO FALTABA UN CELULAR, MOTIVO POR EL CUAL ESTA PREVENCION SE COMUNICO CON EL JUZGADO FEDERAL DE TURNO QUIEN DISPUSO SE LABREN LAS ACTUCIONES DE RIGOR Y UNA VEZ FINALIZADAS SEAN ELEVADAS A LA UNIDAD JUDICIAL 17 DEPENDIENTE LA POLICIA DE LA PROVINCIA DE CBA, POR CONSIDERAR EL CITADO FUNCIONARIO QUE EL DELITO QUE SE INVESTIGA NO AFECTA LOS INTERESES DE LA NACION Y SI LOS DE UN PARTICULAR. SEGUN CBA_2010_3383_PU CON FECHA 03 DEL CORRIENTE MES SIENDO LAS 19:00 HS SE HIZO PRESENTE UNA COMISION DE LA POLICIA DE LA PROVINCIA DE CORDOBA A CARGO DEL CABO 1° CARLOS GONZALEZ A EFECTOS DE DAR CUMPLIMIENTO A OFICIO JUDICIAL DE FECHA 03-JUN-10, DE TRÁMITE POR ANTE LA FISCALÍA DE INSTRUCCIÓN DEL DISTRITO III TURNO 1° DE LA CIUDAD DE CÓRDOBA, MEDIANTE EL CUAL SE SOLICITÓ A ESTA U.O.S.P. CBA. AUTORIZAR EL INGRESO DEL CABO 1° CARLOS GONZALEZ A LOS LUGARES RESTRINGIDOS DEL AEROPUERTO CÓRDOBA A LOS FINES DE REALIZAR ACTA DE INSPECCION OCULAR DEL LUGAR DEL HECHO INVESTIGADO EN LAS ACTUACIONES DE MENCIÓN , QUIENES LUEGO DE INTERIORIZAR AL PERSONAL P.S.A. DE LA TAREA ENCOMENDADA FUERON ACOMPAÑADOS HASTA EL SECTOR NORTE DE LA PLATAFORMA OPERATIVA, LUGAR FÍSICO EN EL CUAL SE ENCUENTRA UN CONTENEDOR PERTENECIENTE A LA EMPRESA INTERCARGO EL CUAL ES UTILIZADO COMO VESTUARIO POR SUS EMPLEADOS. SEGUIDAMENTE SIENDO APROXIMADAMENTE LAS 20:45 HS. LOS EFECTIVOS COMISIONADOS,UNA VEZ EN EL LUGAR, SOLICITARON A LOS EMPLEADOS DE LA EMPRESA INTERCARGO INGRESAR AL INTERIOR DEL CONTENEDOR A EFECTOS DE LLEVAR A CABO LA INSPECCION OCULAR, A LO QUE ACCEDIERON DE CONFORMIDAD Y EN FORMA TOTALMENTE VOLUNTARIA. UNA VEZ FINALIZADA DICHA TAREA, LA CUAL ARROJO SEGUN SUS DICHOS RESULTADO NEGATIVO DE APORTE PARA LA CAUSA, LA COMISION PROCEDIÓ A RETIRARSE APROXIMADAMENTE A LAS 21:00 HS.</t>
  </si>
  <si>
    <t>DR RICARDO DANIEL CARREÑO</t>
  </si>
  <si>
    <t>PORTACION DE ARMA CIVIL</t>
  </si>
  <si>
    <t>PUNTO INSPECCION Y REGISTRO</t>
  </si>
  <si>
    <t>SIENDO LAS 17:40 HS LOCAL SE PROCEDE A LA IDENTIFICACION DEL CIUDADANO DE NOMBRE CARRIZO JOSE JULIAN CON DNI Nº 11.982.900, CUANDO EN MOMENTOS QUE SE REALIZABA EL CONTROL DE RUTINA EN EL PUNTO DE INSPECCION Y REGISTRO LA OFICIAL PRINCIPAL MARIA VILDOZA LEGAJO Nº 502339, INTERPRETA EN EL MONITOR DE RAYOS X LA IMAGEN DE UN ARMA DE FUEGO, SE PROCEDE A SOLICITAR CREDENCIALES CORRESPONDIENTES, DONDE EL CIUDADANO MANIFIESTA NO POSEER POR TAL MOTIVO ES TRASLADADO A LA GUARDIA PREVENTIVA CON EL FIN DE REALIZAR LAS COMUNICACIONES PERTINENTES CON EL JUZGADO FEDERAL DE COMODORO RIVADAVIA QUIEN DISPONE QUE SE REALICE LAS COMUNICACIONES CON EL MINISTERIO PUBLICO FISCAL DE LA PCIA DEL CHUBUT QUIEN DISPONE QUE SE NOTIFIQUE AL CIUDADANO POR EL USO DE TENECIA DE ARMA DE FUEGO Y EL SECUESTRO DEL MISMO. QUEDANDO EN LIBERTAD.</t>
  </si>
  <si>
    <t>POLICIA DE SEGURIDAD AEROPORTUARIA SOLICITA APERTURA DE ENCOMIENDA.</t>
  </si>
  <si>
    <t>394/10</t>
  </si>
  <si>
    <t>SE PROCEDE A LA APERTURA DE 7 ENCOMIENDAS DEL CORREO OFICIAL, SEGUN CONSTA EN ACTA DE APERTURA Nº 280/10, QUE ORIGINA LA PREV. SUM. 051/10, EN VIRTUD DE LO ORDENADO EN OFICIO JUDICIAL Nº 1017/10, DEL MAGISTRADO ACTUANTE Y EN PRESENCIA DE UN TESTIGO HABIL. LA 1ª EP669756396AR, RTTE. ANDREA CHOROLQUE, PJE. TIERRA DEL FUEGO, Bº STA. TERESITA, LA QUIACA, PCIA. DE JUJUY Y DEST. SABINO GREGORIO, PCIA. DE SANTA CRUZ, C.P. 9041, CORREO CENTRAL, POSTE RESTANTE, LOS ANTIGUOS, CONTIENE 2 PAQUETES DE HOJAS DE COCA CON UN PESO TOTAL DE 496 GRS. Y EL RESTO DE LA ENCOMIENDA SERA ENTREGADA AL CORREO OFICIAL PARA SU REDESPACHO, LA 2ª EP668109926, RTTE. LAMAS GRISELDA ISABEL, SANTA CATALINA Nº 621, C.P. 4600, S.S. DE JUJUY Y DEST. MANUEL HUMBERTO ESCALADA, BARRIO DEL EJERCITO, CASA Nº 12, C.P. 3366, BERNARDO DE IRIGOYEN, MISIONES, CONTIENE 2 PAQUETES DE HOJAS DE COCA CON UN PESO TOTAL DE 497 GRS, EL RESTO DE LA ENCOMIENDA SERA ESTREGADA AL CORREO OFICIAL PARA SU RESDESPACHO, LA 3ª EP675746795AR, RTTE. MARIA TORRES, PJE. GEORGIAS DEL SUR Nº 904, Bº MALVINAS, SAN SALVADOR DE JUJUY, C.P. 4.600 Y DEST. ALICIA LIZARRAGA, CALLE LOS INMIGRANTES, CASA Nº 6, Bº LOS PICHES, EL CALAFATE, STA. CRUZ, C.P. 9405, CONTIENE: 8 PAQUETES DE HOJAS DE COCA CON UN PESO TOTAL DE 1.931 GRS., LA 4ª EP702480745AR, RTTE. NELSON PUCA, LOCALIDAD CORANZULI, CALLE LOS TROPEROS S/N, PROV. DE JUJUY Y DEST. NESTOR ARMANDO QUISPE, PCIA. SANTA CRUZ, CUIDAD CALETA OLIVIA, Bº VISTA HERMOSA, CALLE PERITO MORENO Nº 1319, C.P. 9011, CONTIENE 12 PAQUETES DE HOJAS DE COCA CON UN PESO TOTAL DE 2.885 GRS., LA 5ª EP669756365AR SERA ENTREGA AL CORREO OFICIAL PARA SU REDESPACHO POR NO CONTENER ELEMENTOS DE INTERES PARA EL PROCEDIMIENTO, LA 6ª EP669756382AR, RTTE. CARINA BENITEZ, LEVANTAMIENTO DE QUERA 358, C.P. 4650, LA QUIACA, JUJUY Y DEST. MARCELO GODOY, PEDRO LURO, C.P. 8148, BS. AS., CONTIENE: 11 PARES DE ZAPATILLAS Y 14 CD DE MUSICA Y LA 7ª EP657454155AR, SE EFECTUO SU APERTURA EN PRESENCIA DEL PROPIETARIO SEGUN ACTA DE APERTURA DE CARGA Nº 236/10 Y FUE ENTREGADA AL CORREO OFICIAL PARA SU REDESPACHO. LAS ENCOMIENDAS SECUESTRADAS SERAN PUESTAS A DISPOSICION DE LA ADUANA DE SALTA POR SUPUESTA INFRACCION AL CODIGO ADUANERO, LEY 22.415 Y LAS ACTUACIONES REMITIDAS A SEDE JUDICIAL. SEGÚN PU ORIGINARIO Nº 2758 SE PROCEDE A LA RETENCION DE CUATROS SACAS COLECTORAS DEL CORREO OFICIAL, SEGUN CONSTA EN ACTA DE RETENCION DE CARGAS Nº 0223/10, QUE ORIGINA LA PREVENCION SUMARIA Nº 051/10. LA 1ª SACA IDENTIFICADA CON MARBETE Nº SLA0170255E121200BSS, PRECINTO Nº Y351673, CON UN PESO DE 0,900 KGS. CON DESTINO A LA CUIDAD DE POSADAS, CONTIENE UNA PIEZA POSTAL, LA 2ª SACA IDENTIFICADA CON MARBETE Nº SLA0170650E606000BHI, PRECINTO Nº Y351436, CON DESTINO A LA CUIDAD DE BAHIA BLANCA, CON UN PESO DE 11,300 KGS., CONTIENE DOS PIEZAS POSTALES, LA 3ª SACA IDENTIFICADA CON MARBETE Nº SLA9126196E555700RGL, PRECINTO Nº C594476, CON UN PESO DE 18,00 KGS., CON DESTINO A LA CUIDAD DE RIO GALLEGOS, CONTIENE CINCO PIEZAS POSTALES Y LA 4ª SACA MARBETE Nº SLA0172989E555600CRD, PRECINTO Nº C594495, CON UN PESO DE 22,600 KGS., CON DESTINO A LA CUIDAD DE COMODORO RIVADAVIA, LAS QUE CONTENDRIAN ENTRE CUATRO O CINCO PIEZAS POSTALES, AMPARADAS EN GUIA AEREA Nº 9368333-2, LAS QUE SERIAN DESPACHADAS A TRAVES DE LA EMPRESA DE CARGA AEREA JET PAQ. LAS RETENCIONES SE REALIZAN ANTE LA PRESUNCION DE QUE PUDIERAN CONTENER ALGUN ELEMENTO EN INFRACCION A LAS LEYES 22.415 Y/O 23.737, QUEDANDO LAS MISMAS CERRADAS Y PRECINTADAS EN GUARDA EN ESTA UOSP. SE COMUNICO TELEFONICAMENTE AL JUZGADO INTERVINIENTE Y LAS APERTURAS SE REALIZARAN EN PRESENCIA DEL PERSONAL DEL CORREO OFICIAL. SEGÚN PU Nº 2795 AMPL DEL ORIGINARIO SE PROCEDE A LA APERTURA DE CUATRO SACAS COLECTORAS DEL CORREO OFICIAL, LAS QUE CONSTAN EN ACTA DEJANDO CONSTANCIA Nº 0225/10, LAS MISMAS FUERON RETENIDAS EL DIA 07/05/10, SEGUN CONSTA EN ACTA DE RETENCION DE CARGAS Nº 0223/10, QUE ORIGINA LA PREVENCION SUMARIA Nº 051/10. LA 1ª SACA IDENTIFICADA CON MARBETE Nº SLA0170255E121200PSS, PRECINTO Nº Y351673, CONTIENE UNA PIEZA IDENTIFICADA COMO EP668109926, RTTE. LAMAS GRISELDA ISABEL, SANTA CATALINA Nº 621, C.P. 4600, S.S. DE JUJUY Y DEST. MANUEL HUMBERTO ESCALADA, BARRIO DEL EJERCITO, CASA Nº 12, C.P. 3366, BERNARDO DE IRIGOYEN, MISIONES, LA CUAL QUEDA RETENIDA. LA 2ª SACA IDENTIFICADA CON MARBETE Nº SLA0170650E606000BHI, PRECINTO Nº Y351436, CONTIENE DOS PIEZAS POSTALES. LA 1ª EP669756365AR, RTTE.ABELINA VIDAURRE, 4650 LA QUIACA, PCIA. DE JUJUY Y DEST. ROSALIA VIDAURRE, CORREO CENTRAL, POSTE RESTANTE, C.P. 8142, HILARIO ASCASUBI, BS. AS., Y LA 2ª EP669756382AR, RTTE. CARINA BENITEZ, LEVANTAMIENTO DE QUERA 358, C.P. 4650, LA QUIACA, JUJUY Y DEST. MARCELO GODOY, PEDRO LURO, C.P. 8148, BS. AS. LAS CUALES QUEDAN RETENIDAS. LA 3ª SACA IDENTIFICADA CON MARBETE Nº SLA9126196E555700RGL, PRECINTO Nº C594476, CONTIENE SIETE PIEZAS POSTALES. LA 1ª EP675746795AR, RTTE. MARIA TORRES, PJE. GEORGIAS DEL SUR Nº 904, Bº MALVINAS, SAN SALVADOR DE JUJUY, C.P. 4.600 Y DEST. ALICIA LIZARRAGA, CALLE LOS INMIGRANTES, CASA Nº 6, Bº LOS PICHES, EL CALAFATE, STA. CRUZ, C.P. 9405, LA CUAL QUEDA RETENIDA Y LAS SEIS RESTANTES IDENTIFICADAS COMO EP657454172AR, EP675746818AR, EP657464095AR, EP691004788AR, EP668109603AR Y EP668110005AR, SON ENTREGADAS AL SR. ARIAS DEL CORREO OFICIAL PARA SU REDESPACHO. Y LA 4ª SACA MARBETE Nº SLA0172989E555600CRD, PRECINTO Nº C594495, CONTIENE CUATRO PIEZAS POSTALES. LA 1ª EP657454155AR, RTTE. FLORES MARIA, Bº SANTA CECILIA, M. L. C9, SALTA CAPITAL, C.P. 4.400, Y DEST. SUSANA FLORES, OHIGGINS 1830, PERITO MORENO, PCIA. STA CRUZ, C.P. 9040, LA 2ª EP669756396AR, RTTE. ANDREA CHOROLQUE, PJE. TIERRA DEL FUEGO, Bº STA. TERESITA, LA QUIACA, PCIA. DE JUJUY Y DEST. SABINO GREGORIO, PCIA. DE SANTA CRUZ, C.P. 9041, CORREO CENTRAL, POSTE RESTANTE, LOS ANTIGUOS Y LA 3ª EP702480745AR, RTTE. NELSON PUCA, LOCALIDAD CORANZULI, CALLE LOS TROPEROS S/N, PROV. DE JUJY Y DEST. NESTOR ARMANDO QUISPE, PCIA. SANTA CRUZ, CUIDAD CALETA OLIVIA, Bº VISTA HERMOSA, CALLE PERITO MORENO Nº 1319, C.P. 9011, LAS CUALES QUEDAN RETENIDAS Y LA 4ª EP691004774AR, ES ENTREGADA AL SR. ARIAS PARA SU REDESPACHO POR NO SER DE INTERES PARA EL PROCEDIMIENTO. LAS ENCOMIENDAS RETENIDAS QUEDAN EN GUARDA EN EL DEPOSITO JUDICIAL DE ESTA UNIDAD A LA ESPERA DEL OFICIO JUDICIAL PARA SU APERTURA.SE COMUNICO TELEFONICAMENTE AL JUZGADO INTERVINIENTE.-</t>
  </si>
  <si>
    <t>SRIO AV LEY 23737 IMP MAURO MIGUEZ, RUBEN I. BUSTAMANTE MENCHO ALEJANDRO OCTAVIO DALL ARMELIA POLLO O COLO, JORGELINA TINTES CARLOS AVALOS</t>
  </si>
  <si>
    <t>87/09</t>
  </si>
  <si>
    <t>CALLE 66 NRO 343 VILLA CAÑAS PROVINCIA DE SANTA FE</t>
  </si>
  <si>
    <t>EN EL DIA DE LA FECHA SE PROCEDE A CUMPLIMENTAR OFICIO JUDICIAL NRO. 2829, RELACIONADO CON EL ALLANAMIENTO AL DOMICILIO UBICADO EN LA CALLE 66 NRO. 343 DE VIÑA CAÑAS PROVINCIA DE SANTA FE, UNA VEZ ASEGURADO EL DOMICILIO SE PROCEDE A DAR CUMPLIMIENTO A LO DETERMINADO INDIVIDUALIZANDO A LOS MORADORES Y PROCEDIENDO A REGISTRAR LA FINCA EN BUSCA DE TODO ELEMENTO QUE PUDIERA TENER RELACION A LA CAUSA, INCAUTANDO ELEMENTOS DETALLADOS EN EL PRESENTE, SIENDO IDENTIFICADOS LOS MORADORES COMO KARINA LEGUIZAMON D.N.I. 24.733.418 PROPIETARIA DE LA CASA Y MADRE DE LOS MENORES MAURICIO DAMIAN ASCAINI Y LISANDRO GABRIEL ASCAINI.</t>
  </si>
  <si>
    <t>ROBO SIMPLE</t>
  </si>
  <si>
    <t>ARRIBO DESEMBARQUE INTERNACIONAL</t>
  </si>
  <si>
    <t>SE PRESENTA EN LA GUARDIA DE PREVENCION EL DENUNCIANTE,A LOS EFECTOS DE RADICAR UNA DENUNCIA POR LA SUSTRACCION DE ELEMENTOS EN SU EQUIPAJE FACTURADO EN EL VUELO DE LAN ARGENTINA DESPACHADO CON MARBETE LA215104 DICHO EQUIPAJE SE ENCONTRABA ABIERTO Y SIN EL CANDADO.SE DA ORIGEN AL MEMO 591/10 REFERENTE A SOLICITAR INVESTIGACION DE ROBO DE EQUIPAJE A LA UOSP METROPOLITANA ESTANDO COMO JEFE DE TURNO EL OF MARASCO. AMPLIACION DOZ_2010_3354_PU - POR ESTE MOTIVO SE REALIZA COMUNICACION CON LA AUTORIDAD JUDICIAL DE TURNO SIENDO ATENDIDO POR EL AYUDANTE FISCAL,EL CUAL DISPUSO QUE SE REALICEN LAS ACTUACIONES POR ROBO SIMPLE Y UNA VEZ FINALIZADAS LAS MISMAS SEAN ELVADAS A LO QUE SE LE DA ESTRICTO CUMPLIMIENTO</t>
  </si>
  <si>
    <t>AEROPARQUE CIUDAD DE BUENOS AIRES</t>
  </si>
  <si>
    <t>SRIO AV LEY 23737 IMP MAURO MIGUEZ RUBEN I. BUSTAMANTE MENCHO ALEJANDRO OCTAVIO DALL ARMELIA POLLO O COLO JORGELINA TINTES, CARLOS AVALOS</t>
  </si>
  <si>
    <t>CALLE CABRAL Nº 220 ENTRE CALLE SARMIENTO Y URUGUAY DE VENADO TUERTO PROVINCIA DE SANTA FE</t>
  </si>
  <si>
    <t>EN EL DIA DE LA FECHA SE PROCEDE A CUMPLIMENTAR OFICIO JUDICIAL NRO. 2933, RELACIONADO CON EL ALLANAMIENTO AL DOMICILIO UBICADO EN LA CALLE CABRAL Nº 220 DE CALLE SARMIENTO Y URUGUAY DE VENADO TUERTO PROVINCIA DE SANTA FE, UNA VEZ ASEGURADO EL DOMICILIO SE PROCEDE A DAR CUMPLIMIENTO A LO DETERMINADO POR EL JUZGADO ACTUANTE INDIVIDUALIZANDO AL MORADOR DE LA FINCA Y PROCEDIÉNDOSE AL REGISTRO DE LA MISMA EN BUSCA DE TODO ELEMENTO QUE PUDIERA TENER RELACIÓN A LA CAUSA.</t>
  </si>
  <si>
    <t>EN CONTROL PREVENTIVO DE LOS EQUIPAJES DESPACHADOS A BODEGA, SE OBSERVO QUE UN CARRY ON RIGIDO COLOR AZUL DE GRANDES DIEMNCIONES CONTENIA SUSTANCIA ORGANICA DE BAJA DENSIDAD, SIN PODER DETERMINAR DE QUE ELEMENTO SE TRATABA. QUE UNA VEZ UBICADO EL PASAJERO Y OBTENIDA LAS AUTORIZACIONES JUDICIALES, SE PROCEDIO A LA REQUISA DE DICHO EQUIPAJE, OBTENIENDO COMO RESULTADO DIEZ PAQUETES QUE CONTENIAN SUSTANCIA PULVERULENTA, LA CUAL SOMETIDA A REACTIVO DE CAMPO PARA COCAINA, ARROJO RESULTADO POSITIVO. QUE MANTENIDA COMUNICACION CON EL JUZGADO INTERVINIENTE, EL MISMO DISPUSO LA DETENCION DEL PASAJERO, SE REALICEN ACTUACIONES DE RIGOR, DEBIENDO ELEVAR TODO LO ACTUADO, JUNTAMENTE CON EL DETENIDO A PRIMERA HORA DEL DIA JUEVES 03 DEL MES Y AÑO EN CURSO. SE INFORMA EN P.U. Nº 3342 QUE EN HORAS 0700 DEL DIA 03/10/2010 SE PROCEDIO AL TRASLADO DEL DETENIDO A SEDE JUDICIAL JUNTO CON TODO LO ACTUADO.</t>
  </si>
  <si>
    <t>PARIS / AF 2244</t>
  </si>
  <si>
    <t>SRIO AV LEY 23.737 IMP. MAURO MIGUEZ, RUBEN I BUSTAMANTE MENCHO, ALEJANDRO, OCTAVIO DALL ARMELIA, POLLO O COLO, JORGELINA TINTES, CARLOS AVALOS.</t>
  </si>
  <si>
    <t>CALLE SAENZ PEÑA Nº 1415 DE LA CIUDAD DE VENADO TUERTO - SANTA FE</t>
  </si>
  <si>
    <t>EN EL DIA DE LA FECHA SE PROCEDE A DAR CUMPLIMIENTO A ORDEN DE ALLANAMIENTO Nº 2930 DEL JUZGADO INTERVINIENTE INGRESANDO EN LA VIVIENDA MENCIONADA PROCEDIENDOSE AL SECUESTRO DE LOS ELEMENTOS DE INTERES A LA CAUSA Y A LA DETENCION DE DOS PERSONAS.</t>
  </si>
  <si>
    <t>FALSIFICACION</t>
  </si>
  <si>
    <t>LOCALES COMERCIALES EMPRESA INTERBAIRES S.A.</t>
  </si>
  <si>
    <t>DENTRO DE LAS INSTALACIONES DE ESTE AEROPUERTO INTERNACIONAL</t>
  </si>
  <si>
    <t>EN CIRCUNSTANCIAS EN LAS QUE EL DENUNCIANTE SE ENCONTRABA CUMPLIENDO SUS FUNCIONES LABORALES COMO GERENTE DE LA EMPRESA INTERBAIRES S.A., RECIBE COMUNICACION TELEFONICA POR PARTE DEL GERENTE DE INVESTIGACIONES DE LA EMPRESA FERT DATA CONO SUR - REPRESENTANTE DE MASTER CARD - QUIEN INFORMA QUE LAS OPERACIONES REALIZADAS CON CUATRO TARJETAS DE CREDITO DE ESA FIRMA CUYOS Nº SON 5523 1600 0005 4154, 5523 1600 0006 2157, 5155 9091 1601 6639 Y 5482 9399 0220 9456, SON APOCRIFAS Y REPORTADAS COMO FALSIFICADAS POR EL MIEMBRO EMISOR, SIENDO ESTE UN BANCO DE LA REPUBLICA DEL BRASIL CUYO NOMBRE DESCONOCE. A TAL EVENTO EL DENUNCIANTE PROCEDE A REALIZAR UNA CONSULTA EN EL SISTEMA INFORMATICO DE TICKETS DE LA EMPRESA INTERBAIRES, ARROJANDO COMO RESULTADO QUE HABIAN REALIZADO CON LAS TARJETAS DE CREDITO EN CUESTION VARIAS COMPRAS EN LOS LOCALES QUE SE ENCUENTRAN EN ESTE AEROPUERTO INTERNACIONAL. LOS NOMBRES DE LOS CLIENTES QUE EFECTUARON LAS COMPRAS SON LUCIANO CASTRO LIMA, DE NACIONALIDAD BRASILEÑA DOCUMENTO BRASILEÑO Nº 12167645-6 Y CARLOS ANDRE MALTEZ JARDIM, BRASILEÑO DOCUMENTO BRASILEÑO Nº 10434471-8.</t>
  </si>
  <si>
    <t>SRIO AV LEY 23737 IMP MAURO MIGUEZ, RUBEN I BUSTAMANTE MENCHO ALEJANDRO OCTAVIO DALL ARMELIA POLLO O COLO, JORGELINA TINTES, CARLOS AVALOS</t>
  </si>
  <si>
    <t>ESTABLECIMIENTO LAS DOS HERMANAS</t>
  </si>
  <si>
    <t>LOCALIDAD SANTA ISABEL MARGEN DERECHA DE LA RUTA PROVINCIAL NRO 94 ACCEDIENDO DE LA RUTA NACIONAL NRO 8 A 9 KM APROXIMADAMENTE DE LA LOCALIDAD DE VILLA CAÑAS</t>
  </si>
  <si>
    <t>EN EL DIA DE LA FECHA SE PROCEDE A CUMPLIMENTAR OFICIO JUDICIAL NRO. 2929, RELACIONADO CON EL ALLANAMIENTO AL ESTABLECIMIENTO LAS DOS HERMANAS, UNA VEZ LLEGADO AL LUGAR SE PROCEDE A VERIFICAR LA EXISTENCIA DE ELEMENTOS RELACIONADOS CON DELITOS TIPIFICADOS EN LA LEY 23737 Y OTROS DATOS DE INTERES PARA LA CAUSA. EN EL LUGAR SE IDENTIFICA A LOS MORADORES QUIENES RESULTARON SER MARTA HAYDEE PETRICIO, DNI Nº 12068355, CASERA DE LA VIVIENDA PRINCIPAL, DE NACIONALIDAD ARGENTINA, DE 52 AÑOS DE EDAD, SOLTERA, DOMICILIADA EN LA FINCA OBJETO DE LA MEDIDA Y AL SEÑOR DOMINGO NESTOR SOTO, DNI Nº 7362382, ARGENTINO, DE 65 AÑOS DE EDAD, DIVORCIADO, DE OCUPACIÓN CASERO DEL LUGAR, CON DOMICILIO IDEM AL ANTERIOR. ASIMISMO SE PROCEDE A IDENTIFICAR A LOS PROPIETARIOS DEL ESTABLECIMIENTO QUIENES RESULTARON SER PATRICIO PODESTA, DNI 12154759, Y CÁRLOS GUILLERMO COVERNTON, DNI Nº 28055583. DE LA REQUIZA EN EL LUGAR, EL MISMO DA COMO RESULTADO NEGATIVO.</t>
  </si>
  <si>
    <t>SALA DE EMBARQUE Nº 5</t>
  </si>
  <si>
    <t>EN CIRCUNSTANCIAS QUE SE ENCONTRABA EN TRANSITO EN ESTE MEDIO HABIENDO ARRIVADO EN VUELO DE LA EMPRESA TAM Nº PZ703, PROCEDENTE DE LA CIUDAD DE ASUNCION DEL PARAGUAY, A LA ESPERA DE EMBARCAR EN EL VUELO DE LA EMPRESA IBERIA Nº IB 6844, TOMA ASIENTO EN UNA DE LAS HILERAS DE ASIENTOS UBICADA EN LA SALA DE EMBARQUE 05 DE PASAJEROS, RECOSTANDOSE EN LA MISMA, TAPANDOSE SU ROSTRO CON UNA CAMPERA Y DEPOSITANDO SU BOLSO DE MANO COLOR NEGRO A UN LADO SUYO SOBRE LOS ASIENTOS QUE OCUPABA, QUEDANDOSE DORMIDA POR UN LAPSO DE TIEMPO DE TRES HORAS APROXIMADAMENTE PERDIENDO DE VISTA EL BOLSO EN CUESTION DURANTE ESE PERIODO. QUE AL DESPERTAR SE PERCATA QUE DEL INTERIOR DE DICHO BOLSO LE HABIAN SUSTRAIDO SU BILLETERA Y SU CELULAR.</t>
  </si>
  <si>
    <t>SRIO AV LEY 23737-IMP.MAURO MIGUEZ, RUBEN I, BUSTAMANTE MENCHO, ALEJANDRO, OCTAVIO DALL ARMELIA, POLLO O COLO, JORGELINA TINTES, CARLOS AVALOS</t>
  </si>
  <si>
    <t>CALLE CABRAL AL 200, GALPON SIN NUMERACION CATASTRAL VISIBLE ENTRE CALLE SARMIENTO Y GARIBALDI DE LA CIUDAD DE VENADO TUERTO PROVINCIA DE SANTA FE</t>
  </si>
  <si>
    <t>SE PROCEDE AL CUMPLIMIENTO DEL OFICIO JUDICIAL Nº 2932 DEL JUZGADO INTERVINIENTE ALLANANDO EL GALPON UBICADO ENTRE LAS CALLES SARMIENTO Y GARIBALDI PROPIEDAD DEL CIUDADANO ALEXIS SZAKATS REALIZANDO EL SECUESTRO DE ELEMENTOS RELACIONADOS CON LA CAUSA.</t>
  </si>
  <si>
    <t>MAXIMILIANO CALLIZO</t>
  </si>
  <si>
    <t>S/PTA. INF. LEY 23.737</t>
  </si>
  <si>
    <t>DE LAS TAREAS INVESTIGATIVAS REALIZADAS EN EL MARCO DE LA CAUSA SURGE QUE EL INVESTIGADO CARLOS RENE MATA VELA EN EL DIA DE LA FECHA COMPRO UN CARRY ON Y SE LO ENTREGO A PANDEMILLA, QUIEN LUEGO SE ENCONTRO CON DOS INDIVIDUOS DE TEZ MORENA, YENDOSE EN UN TAXI SIN PODER SER SEGUIDOS POR PERSONAL DE ESTA UNIDAD. DE TAREAS REALIZADAS A POSTERIORI SE DETERMINO QUE PANDEMILLA TENIA RESERVA EN EL VUELO MH 202 DEL DIA DE LA FECHA, POR LO CUAL EL MAGISTRADO INTERVINIENTE ORDENO SEGUIMIENTO, LIBRANDO ORDEN DE REQUISA PERSONAL DEL PASAJERO Y SU EQUIPAJE EL CUAL ARROJO RESULTADO POSITIVO. SE ORDENAN ALLANAMIENTOS POSTERIORES EN DOMICILIOS INVESTIGADOS EN EL MARCO DE LA CAUSA. SE INFORMA EN P.U. Nº 3374 DEL DIA 04/06/2010 QUE EN HORAS 0830 PERSONAL DE LA UOSP EZEIZA EFECTUO EL TRASLADO DEL DETENIDO DESDE LA UNIDAD A LA U-28.</t>
  </si>
  <si>
    <t>CIUDAD DEL CABO / MH 376</t>
  </si>
  <si>
    <t>KUALA LUMPUR / CHINA - CANTON</t>
  </si>
  <si>
    <t>SRIO AV. LEY 23737 IMP MAURO MIGUEZ, RUBEN I BUSTAMANTE, MENCHO, ALEJANDRO OCTAVIO DALL, ARMELIA, POLLO O COLO, JORGELINA TINTES CÁRLOS ÁVALOS</t>
  </si>
  <si>
    <t>CALLE URUGUAY Nº 1337 DE LA CIUDAD DE VENADO TUERTO PROVINCIA DE SANTA FE</t>
  </si>
  <si>
    <t>EN EL DIA DE LA FECHA SE PROCEDE A CUMPLIMENTAR OFICIO JUDICIAL NRO. 2931, RELACIONADO CON EL ALLANAMIENTO AL DOMICILIO UBICADO EN LA CALLE URUGUAY Nº 1337 DE LA CIUDAD DE VENADO TUERTO PROVINCIA DE SANTA FE, UNA VEZ ASEGURADO EL DOMICILIO SE PROCEDE A DAR CUMPLIMIENTO A LO DETERMINADO POR EL JUZGADO ACTUANTE INDIVIDUALIZANDO A LOS MORADORES DE LA FINCA Y PROCEDIÉNDOSE AL REGISTRO DE LA MISMA EN BUSCA DE TODO ELEMENTO QUE PUDIERA TENER RELACIÓN A LA CAUSA.</t>
  </si>
  <si>
    <t>EN CIRCUNSTANCIAS QUE SE LLEVABA A CABO EL CONTROL EN EL PUESTO PREEMBARQUE 1/16, SE HACE PRESENTE UNA EMPLEADA DE LA EMPRESA AEROPUERTOS ARGENTINA 2000, JUNTAMENTE CON UN PASAJERO, EL CUAL EN MOMENTOS QUE SE ENCONTRABA EFECTUANDO LA FILA DE LOS BOX DEL CONTROL MIGRATORIO DE SALIDA, SE EMPIEZA A DESCOMPENSAR. A TAL EVENTO EL PERSONAL POLICIAL INVITA AL PASAJERO A SENTARSE, QUIEN ACCEDE A DICHA SOLICITUD Y PRESENTA ESTADO DE NERVIOSISMO. SEGUIDAMENTE SE HACE PRESENTE PERSONAL DE SANIDAD QUIEN LE REALIZA LOS PRIMEROS AUXILIOS MEDICOS SOBRE EL CAUSANTE. SEGUIDAMENTE EL PASAJERO COMIENZA A CONVULSIONAR Y ADMITE QUE SE ENCUENTRA INGESTADO, POR LO QUE PERSONAL MEDICO PROCEDE A TRASLADARLO AL HOSPITAL ZONAL DE EZEIZA, LUGAR DONDE LE PRACTICAN PLACAS RADIOGRAFICAS CONSTATANDO LA INGESTA DE CUERPOS EN EL INTERIOR DEL ORGANISMO DEL PASAJERO. CONSECUENTEMENTE Y DADO EL ESTADO CRITICO, PERSONAL MEDICO PROCEDE AL TRASLADO DEL PASAJERO A LA SALA DE CIRUGIA, CON EL FIN DE INTERVENIRLO QUIRURGICAMENTE. MANTENIDA LA COMUNICACION TELEFONICA CON EL JUZGADO INTERVINIENTE, DISPUSO LA DETENCION DEL CAUSANTE, SE LABREN ACTUACIONES DE RIGOR, SE PROCEDA A NOTIFICAR AL CAUSANTE EN FOJA APARTE Y SE ELEVE LO ACTUADO EL DIA JUEVES 3 DEL CORRIENTE EN HORAS DEL MEDIO DIA. SE INFORMA EN PU Nº 3341 QUE DE LA EXTRACCION QUIRURGICA QUE SE LE REALIZO AL DETENIDO A LAS 21 30HS DEL DIA 02/06/2010, SE LE EXTRAJERON UN TOTAL DE 78 CAPSULAS, LAS MISMAS ARROJARON UN PESO TOTAL DE 1306 GRAMOS. SE INFORMA EN PU Nº 3413 DEL DIA 04/06/2010 QUE AL DETENIDO SE LE REALIZO UNA TOMOGRAFIA COMPUTADA DONDE SE HALLO UNA CAPSULA MAS DE IDENTICAS CARACTERISTICAS A LAS CITADAS ANTERIORMENTE POR LO CUAL SE LO SOMETIO A UNA NUEVA INTERVENCION QUIRURGICA. ARROJANDO LA CAPSULA EXTRAIDA UN PESO DE 16 GRAMOS.</t>
  </si>
  <si>
    <t>3340/10</t>
  </si>
  <si>
    <t>QUE SIENDO LAS CINCO HORAS TREINTA MINUTOS DEL DIA DE LA FECHA, REGRESA LA COMISION DEL PERITO PROVENIENTE DEL HOSPITLA ZONAL EZEIZA, QUIEN INFORMA QUE DE LA EXTRACCION QUIRURJICA QUE SE LE REALIZO AL DETENIDO A LAS VEINTIUNA HORAS TREINTA MINUTOS DEL DIA DOS DEL CORRIENTE, SE LE EXTRAJERON UN TOTAL DE 78 CAPSULAS ARROJANDO UN PESO TOTAL DE MIL TRESCIENTOS SEIS GRAMOS 1306 GRMS.</t>
  </si>
  <si>
    <t>3332/10</t>
  </si>
  <si>
    <t>INFORMO POR ESTE MEDIO, QUE SIENDO LAS SIETE HORAS SE PROCEDIO AL TRASLADO DEL DETENIDO EN AUTOS A SEDE JUDICIAL, JUNTAMENTE CON TODO LO ACTUADO.</t>
  </si>
  <si>
    <t>SIENDO LAS 01:35 HORA LOCAL ARRIBA AERONAVE MATRICULA LV-BSJ DE LA EMPRESA LAN ARGENTINA PROCEDENTE DE AEROPUERTO JORGE NEWBERY EN CUYAS BODEGAS 31,32 Y 42 SE DESPACHAN 117 CAJAS CON UN PESO BRUTO DE 2.902 KILOGRAMOS DE METAL - MTD - PERTENECIENTES A LA EMPRESA MINERA TRITON ARGENTINA S.A. EL VUELO DESPEGA A LAS 03:05 HORA LOCAL CON DESTINO A AEROPUERTO JORGE NEWBERY SIN NOVEDAD. SE DIO CUMPLIMIENTO A ORDEN DE SERVICIO NRO 0047/2010.</t>
  </si>
  <si>
    <t>SIENDO LAS 07:25 HORA LOCAL ARRIBA AERONAVE MATRICULA LV-BTM DE LA EMPRESA LAN ARGENTINA PROCEDENTE DE AEROPUERTO JORGE NEWBERY EN CUYAS BODEGAS 31,32,41,42 Y 53 SE DESPACHAN 117 CAJAS CON UN PESO BRUTO DE 2.959 KILOGRAMOS DE METAL - MTD- PERTENECIENTES A LA EMPRESA MINERA TRITON ARGENTINA S.A. CON DESTINO AL AEROPUERTO JORGE NEWBERY. EL VUELO DESPEGA A LAS 08:29 HORA LOCAL SIN NOVEDAD. SE DIO CUMPLIMIENTO A LA ORDEN DE SERVICIO NRO. 0047/2010.</t>
  </si>
  <si>
    <t>AEROPUERTO GENERAL MOSCONI - COMODORO RIVAVIA</t>
  </si>
  <si>
    <t>3330/10</t>
  </si>
  <si>
    <t>SE PRESENTA EN LA GUARDIA DE PREVENCION EL DENUNCIANTE,A LOS EFECTOS DE RADICAR UNA DENUNCIA POR LA SUSTRACCION DE ELEMENTOS EN SU EQUIPAJE FACTURADO EN EL VUELO DE LAN ARGENTINA DESPACHADO CON MARBETE LA215104 DICHO EQUIPAJE SE ENCONTRABA ABIERTO Y SIN EL CANDADO.POR ESTE MOTIVO SE REALIZA COMUNICACION CON LA AUTORIDAD JUDICIAL DE TURNO SIENDO ATENDIDO POR EL AYUDANTE FISCAL,EL CUAL DISPUSO QUE SE REALICEN LAS ACTUACIONES POR ROBO SIMPLE Y UNA VEZ FINALIZADAS LAS MISMAS SEAN ELVADAS A LO QUE SE LE DA ESTRICTO CUMPLIMIENTO,SE DA ORIGEN AL MEMO 591/10 REFERENTE A SOLICITAR INVESTIGACION DE ROBO DE EQUIPAJE A LA UOSP METROPOLITANA ESTANDO COMO JEFE DE TURNO EL OF MARASCO</t>
  </si>
  <si>
    <t>3291/10</t>
  </si>
  <si>
    <t>S/dELITO CONTRA LA PROPIEDAD HURTO REITERADO</t>
  </si>
  <si>
    <t>AMPLIANDO EL PARTE URGENTE 3291 DE FECHA 01/06/2010 EL CUAL DICE: "EN EL DIA DE LA FECHA SE PRESENTA PERSONAL DE LA EMPRESA ALAMO RENT A CAR, QUIEN RADICA DENUNCIA POR EL ROBO DE DOS CUBIERTAS DE AUXILIO DE LOS SIGUIENTES VEHICULOS VOLKSWAGEN GOL 1.6, DOMINIO ILQ-258, AÑO 2009 Y VOLKSWAGEN GOL 1.6 DOMINIO ILQ-257,AÑO 2009, LOS CUALES PERTENECEN A LA RENTADORA MENCIONADA, SE DA INTERVENCION AL JUZGADO FEDERAL DE SAN CARLOS DE BARILOCHE, QUIEN DERIVA LA CAUSA AL JUZGADO PROVINCIAL N° 6 , INDICANDO EL SECRETARIO DEL MISMO, REALIZAR LAS ACTUACIONES DE RIGOR, SOLICITANDO ADEMAS UNA PERICIA CRIMINALISTICA, EN COORDINACION CON PERSONAL DEL GABINETE DE CRIMINALISTICA DE LA POLICIA DE LA PROVINCIA DE RIO NEGRO, CON EL CUAL SE ACUERDA EN EL DIA DE MAÑANA 02 DE JUNIO REALIZAR DICHO REQUERIMIENTO, AFIN DE CUMPLIMENTAR LAS ACTUACIONES". SE INFORMA QUE EN EL RELATO DE MENCION INVOLUNTARIAMENTE SE OMITIO CONSIGNAR EL FALTANTE DE UNA CUBIERTA DE AUXILIO DEL VEHICULO MARCA VOLKSWAGEN GOL 1.6, DOMINIO ILQ 245, CONSTANDO ESTA INFORMACION EN LA DENUNCIA PERTINENTE. ASIMISMO INFORMO QUE EL DIA 02 DE JUNIO EN HORAS DE LA MAÑANA SE HIZO PRESENTE EN ESTA DEPENDENCIA POLICIAL EL SUBCOMISARIO WALTER MUÑOZ, JEFE DEL GABINETE CRIMINALISTICO DE LA POLICIA DE RIO NEGRO, PERICIANDO LOS VEHICULOS IDENTIFICADOS CON DOMINIO ILQ 257 Y ILQ 258.</t>
  </si>
  <si>
    <t>DESDE LA AERONAVE HASTA LA PLAYA DE ESTACIONAMIENTO</t>
  </si>
  <si>
    <t>EN EL DÍA DE LA FECHA SE PRESENTO EN EL TURNO DE PREVENCIÓN LA SRTA MARÍA SOLEDAD KUZMUK, AUXILIAR DE ABORDO DE LA EMPRESA SOL LINEAS AÉREAS MANIFESTANDO EL EXTRAVÍO DE SU PERMISO PERSONAL AEROPORTUARIO DE FACILITACIÓN, HECHO QUE SE HABRÍA PRODUCIDO EN SU DESPLAZAMIENTO DESDE LA AERONAVE HASTA LA PLAYA DE ESTACIONAMIENTO, CONFECCIONÁNDOSE ACTA DE EXTRAVÍO.</t>
  </si>
  <si>
    <t>2858/10</t>
  </si>
  <si>
    <t>399/10</t>
  </si>
  <si>
    <t>SE PROCEDE A LA APERTURA DE UNA ENCOMIENDA DEL CORREO OFICIAL, SEGÚN CONSTA EN ACTA DE APERTURA DE CARGA Nº 281/10, QUE ORIGINA LA PREV.SUM. Nº 053/10, EN VIRTUD DE LO ORDENADO MEDIANTE OFICIO JUDICIAL Nº 1020/10, DEL MAGISTRADO ACTUANTE Y EN PRESENCIA DE UN TESTIGO HABIL. LA ENCOMIENDA SE IDENTIFICA COMO EP668109890AR, RTTE. ORLANDO CARIAGA, ALBERTI Nº 418, Bº CORONEL ARIAS, S.S. DE JUJUY Y DEST. ELICEO CRUZ, CONTIENE: CUATRO MANTAS TIPO POLAR, UN ACOLCHADO Y CINCO PAQUETES DE HOJAS DE COCA CON UN PESO TOTAL DE 1.122 GRS. LA ENCOMIENDA SECUESTRADA SERA PUESTA A DISPOSICION DE ADUANA DE SALTA POR SUPUESTA INFRACCION AL CODIGO ADUANERO, LEY 22.415 Y LAS ACTUACIONES REMITIDAS A SEDE JUDICIAL. PU ORIGINARIO Nº 2848 SE PROCEDE A LA RETENCIÓN DE UNA SACA COLECTORA DEL CORREO OFICIAL SEGÚN CONSTA EN ACTA DE RETENCIÓN Nº 0233/10 QUE ORIGINA LA PREVENCIÓN SUMARIA Nº 053/10, IDENTIFICADA COMO LA0163157D555900RGA, PRECINTO Nº Y351435, CON UN PESO DECLARADO DE 8,100 KGS., CON DESTINO LA CIUDAD DE RÍO GRANDE, LA QUE SERIA DESPACHADA A TRAVÉS DE LA EMPRESA DE CARGA AÉREA JET-PAQ, AMPARADA EN GUÍA AÉREA Nº 9368382-2, LA RETENCIÓN SE REALIZA ANTE LA PRESUNCIÓN DE QUE PUDIERA CONTENER EN SU INTERIOR ALGÚN ELEMENTO EN INFRACCIÓN A LA LEY 22.415 Y/O 23.737, QUEDANDO LA MISMA CERRADA Y PRECINTADA EN GUARDA EN ESTA UOSP, SE COMUNICO TELEFÓNICAMENTE AL JUZGADO INTERVINIENTE, LA APERTURA SE REALIZARA EN PRESENCIA DEL PERSONAL DEL CORREO OFICIAL SEGÚN PU Nº 2858 AMPL PU ORIGINARIO SE PROCEDE A LA APERTURA DE UNA SACA COLECTORA DEL CORREO OFICIAL, SEGÚN CONSTA EN ACTA DE RETENCION DE CARGA Nº 0233/10, QUE ORIGINA LA PREV.SUM. Nº 053/10 Y ACTA DEJANDO CONTANCIA Nº 0235/10, LA SACA IDENTIFICADA COMO SLA0163157D555900RGA, PRECINTO Nº Y351435, CONTIENE DOS PIEZAS POSTALES LA 1º EP690988025AR, ES ENTREGADA AL SR. ARIAS PARA SU REDESPACHO, LA 2º EP668109890AR, RTTE: SR. ORLANDO CARIAGA, ALBERTI Nº 418, Bº CORONEL ARIAS, JUJUY, CP. 4600. DEST: ELISEO CRUZ, KEKOMBOSH Nº 395, Bº AUSTRAL, RIO GRANDE, TIERRA DEL FUEGO, CP. 9420, LA CUAL QUEDA RETENIDA. LA MISMA QUEDA CERRADA Y PRECINTADA EN GUARDA EN DEPÓSITO JUDICIAL DE ESTA UOSP. SE COMUNICO TELEFÓNICAMENTE AL JUZGADO INTERVINIENTE Y LA APERTURA SE REALIZARA CON LA AUTORIZACIÓN DEL MAGISTRADO ACTUANTE.</t>
  </si>
  <si>
    <t>DR RODOLFO MARIANO MIQUELARENA</t>
  </si>
  <si>
    <t>POLICIA DE SEGURIDAD AEROPORTUARIA REMITE ACTUACIONES TAXISTAS Y REMISEROS</t>
  </si>
  <si>
    <t>393-229-2010-P</t>
  </si>
  <si>
    <t>PRESUNTO DELITO DE ACCION PUBLICA ART 182 CPPN</t>
  </si>
  <si>
    <t>A LOS EFECTOS DE LA DENUNCIA PUBLICA QUE SE LLEVO A CABO EN EL DIARIO LOCAL DE LA PROVINCIA DEL CHUBUT EN EL DIA DE LA FECHA, EN DONDE EL ADMINISTRADOR DEL AEROPUERTO TRELEW PERTENECIENTE A LA EMPRESA LONDON SUPPLY, SENOR AGUSTIN OLLER, MANIFIESTA QUE LOS TAXISTA Y REMISEROS QUE CONCURREN A LA ESTACIÓN AÉREA TRELEW, MALTRATAN E INTIMIDAN A LOS PASAJEROS, LE ARREBATAN EL EQUIPAJE, SE PELEAN ENTRE ELLOS Y HOSTIGAN HASTA LOS QUE VIAJAN EN TRANSPORTE DE TURISMO, ESTA JEFATURA INICIA SUMARIO PREVENTIVO SEGÚN ARTICULO 183 DEL CPPN, POR LA POSIBLE COMISION DE DELITO DE ACCION PUBLICA. SE DA INTERVENCION A LA AUTORIDAD JUDICIAL PERTINENTE, ORDENANDO ESTE, SE CONTINUE CON LAS ACTUACIONES DE RIGOR PU NRO 3615/10 DE FECHA 14/06/10 SE INFORMA QUE EL DIA DE LA FECHA EL JUZGADO INTERVINIENTE ASIGNA NUMERO DE CAUSA Y CARATULA JUDICIAL CONSIGNADAS PRECEDENTEMENTE.</t>
  </si>
  <si>
    <t>DRA. SILVANA ZOLORZA</t>
  </si>
  <si>
    <t>PUESTO DE INSPECCION Y REGISTRO</t>
  </si>
  <si>
    <t>PLANTA ALTA-TERMINAL III</t>
  </si>
  <si>
    <t>SE RECIBE COMUNICACIÓN DEL OF. JORGE KADY, ENCARGADO DE LA TERMINAL TRES, INFORMANDO QUE AL PASAR UN PASAJERO DEL SEXO MASCULINO POR EL ARCO DETECTOR DE METALES, ACTIVÓ LA ALARMA DEL MISMO, POR LO CUAL EL OF. OSVALDO FERNÁNDEZ PROCEDE AL CHEQUEO MANUAL Y OBSERVA QUE EN CADA UNO DE SUS BOLSILLOS DELANTEROS DEL JEAN, SALÍA UNA PROTUBERANCIA, POR LO QUE SE LE SOLICITA QUE EXHIBA SU CONTENIDO, A LO CUAL ACCEDIÓ Y SUSTRAJO DEL BOLSILLO IZQUIERDO UNA BOLSA DE NYLON CON UNA SUSTANCIA FRAGMENTADA DE COLOR BLANCA Y DE SU BOLSILLO DERECHO, UNA BOLSITA CON MOTIVOS INFANTILES CONTENIENDO CINCO CIGARRILLOS DE ARMADO MANUAL. AL PREGUNTARLE EL ORIGEN DE LAS SUSTANCIAS, CONTESTO SIC. "MARIHUANA Y MERCA". UNA VEZ SITUADOS EN LA OFICINA DE REQUISA SE REALIZARON LAS PRUEBAS ORIENTATIVAS DE CAMPO TANTO PARA MARIHUANA COMO PARA COCAÍNA, DANDO AMBAS POSITIVAS. SEGUIDAMENTE SE REALIZAN LAS ACTUACIONES DE RIGOR. SE INFORMA SEGUN P.U. Nº 3390 EN HORAS 2130 SE PROCEDIO A LA LIBERACION DEL CAUSANTE YA QUE NO POSEIA IMPEDIMENTOS LEGALES, EL MISMO SE RETIRA DE LA UNIDAD CON SUS ELEMENTOS PERSONALES QUE ESTABAN EN RESGUARDO.</t>
  </si>
  <si>
    <t>AU 2528</t>
  </si>
  <si>
    <t>DRA CECCONI CLAUDIA</t>
  </si>
  <si>
    <t>ESTACIONAMIENTO DE LA TERMINAL A</t>
  </si>
  <si>
    <t>SIENDO LA FECHA Y HORA ANTES MENCIONADA, EN MOMENTOS EN QUE LOS OFICIALES CARABAJAL Y CAFFERATA SE ENCONTRABAN EN UNA RECORRIDA POR EL SECTOR MENCIONADO CON ANTERIORIDAD, OBSERVAN A UN PASAJERO QUE ESTABA POR INGRESAR A UN VEHICULO EL CUAL SE ENCONTRABA FUERA DE LOS LUGARES HABILITADOS PARA TAL FIN, POR LO CUAL SE LE INFORMA AL CONDUCTOR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</si>
  <si>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S/PTA. INF. LEY 23737</t>
  </si>
  <si>
    <t>HOTEL EUROPEO SARMIENTO 2010 HABITACION 112, DEAN FUNES 573, HOTEL IDEAL, 24 DE NOVIEMBRE 175 HABITACION 2, HOTEL CARDTON, JUAN PERON 1555 HABITACION 242, HOTEL CARDTON, JUAN PERON 1555 HABITACION 487, SUIPACHA 1373 DPTO 5 D, SUIPACHA 1373 DPTO 9 G.</t>
  </si>
  <si>
    <t>EN EL MARCO DE LA CAUSA DE REFERENCIA SE REALIZARON SIETE ALLANAMIENTOS POR ORDEN DE LA JUDICATURA INTERVINIENTE, CON EL SIGUIENTE RESULTADO. CALLE SARMIENTO 2010 HAB. 112 HOTEL EUROPEO: DETENIDO FATMIR PRESEVA, SECUESTROS: 1 CELULAR, EFECTOS PERSONALES, DINERO EN EFECTIVO, DOCUMENTACION DE INTERES. CALLE DEAN FUNES 573: RESULTADO NEGATIVO. CALLE 24 DE NOVIEMBRE 175 HAB. 2 HOTEL IDEAL: DETENCION DE DANCEY MANASEL CABRERA ALBERTO, SECUESTRO: 5 CELULARES, 1 NETBOOK HP, DOCUMENTACION DE INTERES. CALLE JUAN PERON 1555 HAB. 242 HOTEL CARDTON: DETENCION DE REXHA DENIS, SECUESTRO: 3 CELULARES, 1 NOTEBOOK, DOCUMENTACION DE INTERES, DINERO EN EFECTIVO, EFECTOS PERSONALES. CALLE JUAN PERON 1555 HAB. 487 HOTEL CARDTON: DETENCION DE MATA VELA, SECUESTRO: 3 CELULARES DOCUMENTACION DE INTERES, COCAINA 5,3 GRS, 1 CIGARILLO DE MARIHUANA. CALLE SUIPACHA 1373 DPTO 5 D:SECUESTRO DE ANFETAMINAS Y COCAINA, DOCUMENTACION DE INTERES Y EFECTOS PERSONALES. CALLE SUIPACHA 1373 DPTO 9 G: DETENCION DE MAGDELYN GIL AGRAMONTE. SECUESTRO: DINERO EN EFECTIVO, 2 CAMARAS FOTOGRAFICAS, 1 GABINETE COMPUTADORA, 2 CELULARES, DOCUMENTACION DE INTERES. REF. ORDEN DE SERVICIO N° 448/10 SE INFORMA QUE SIENDO LAS 17:30 HS. DEL DIA 03/06/10 PERSONAL DE ESTA UNIDAD EFECTUÓ EL TRASLADO DE LOS DETENIDOS DESDE LA UOSP EZEIZA HASTA LA UNIDAD 28 DEL S.P.F.</t>
  </si>
  <si>
    <t>3338/10</t>
  </si>
  <si>
    <t>SE INFORMA QUE EN EL DIA DE LA FECHA, SIENDO LAS 08.30 HS., PERSONAL DE LA UOSP MINISTRO PISTARINI EFECTUO EL TRASLADO DEL IMPUTADO DESDE ESTE AEROPUERTO HASTA LA UNIDAD 28.</t>
  </si>
  <si>
    <t>202 MH</t>
  </si>
  <si>
    <t>3331/10</t>
  </si>
  <si>
    <t>EN EL DIA DE LA FECHA SIENDO LAS 16:30 HORAS, SE PROCEDE A CUMPLIMENTAR OFICIO JUDICIAL NRO. 3003 EN LOS AUTOS CARATULADOS MIGUENZ Y OTROS S/LEY 23.737 EXPTE Nº 87/09A DE ENTRADA EN EL JUZGADO FEDERAL Nº 3, SECRETARIA A, A CARGO DEL DR. CARLOS VERA BARROS, EN EL CUAL SE A DISPUESTO EL TRASLADO DEL DETENIDO NESTOR MIGUEL CASALANGUIDA, D.N.I. Nº 12.907.628, A LA ALCAIDIA MAYOR U.R. II DE LA POLICIA DE LA PROVINCIA DE SANTA FE.</t>
  </si>
  <si>
    <t>3333/10</t>
  </si>
  <si>
    <t>CALLE SAENZ PEÑA Nº 1415 DE LA CIUDAD DE VENADO TUERTO</t>
  </si>
  <si>
    <t>EN EL DIA DE LA FECHA SIENDO LAS 16:30 HORAS, SE PROCEDE A DAR CUMPLIMIENTO AL OFICIO JUDICIAL Nº 3003, DE FECHA 03-JUN-10, EN LOS AUTOS CARATULADOS MIGUENZ MAURO Y OTROS S/ LEY 23.737 EXPTE Nº 87/09A, DE ENTRADA EN EL JUZGADO FEDERAL Nº 3, SECRETARIA A, A CARGO DEL DR. CARLOS VERA BARROS, EN EL CUAL SE A DISPUESTO EL TRASLADO DE LOS DETENIDOS MAURO MIGUENZ, D.N.I. Nº 28.334.617 Y ANDREA ALBELO, D.N.I. Nº 30.533.449 A LA ALCAIDIA MAYOR DE LA U.R. II Y ALCAIDIA DE MUJERES DE U.R.II RESPECTIVAMENTE, AMBAS DE LA POLICIA DE LA PROVINCIA DE SANTA FE.</t>
  </si>
  <si>
    <t>JUZGADO NACIONAL CRIMINAL DE INSTRUCCION Nº 32</t>
  </si>
  <si>
    <t>SECRETARIA Nº 114</t>
  </si>
  <si>
    <t>BRUNIARD</t>
  </si>
  <si>
    <t>Carlos Manuel</t>
  </si>
  <si>
    <t>DR. SANTIAGO PONCIO</t>
  </si>
  <si>
    <t>BARRA</t>
  </si>
  <si>
    <t>PLANTA ALTA-SECTOR INTERNACIONAL</t>
  </si>
  <si>
    <t>SIENDO LA HORA Y EL DIA ANTES MENCIONADO, EL OF. WALTER ROMANO, ENCARGADO DEL PREEMBARQUE INTERNACIONAL, RECIBE DENUNCIA VERBAL DE UNA CAMARERA DE LA EMPRESA AMUSH SA, INFORMANDOLE QUE UNA PASAJERA SE HABIA RETIRADO DE LA MESA SIN ABONAR, POR LO CUAL SALIO A LOCALIZARLA SIN EXITO. EL ENCARGADO COMUNICA LA NOVEDAD LA ENCARGADO DE TURNO OF. MAYOR PABLO LAHORE,QUIEN A SU VEZ INFORMA AL SUBINSPECTOR NESTOR CASTRO DE LO OCURRIDO, QUIENES DECIDEN SALIR A BUSCAR A LA FEMENINA, DESPUES DE UNOS MINUTOS TOMAN CONOCIMIENTO QUE DICHA MUJER HABIA EMBARCADO CON DESTINO A LA CIUDAD DE SANTIAGO DE CHILE EN UN VUELO DE AEROLINEAS ARGENTINA, POR LO QUE SE DECIDIO ARRIBAR A LA POSICION DE DICHA AERONAVE. UNA VEZ ALLI SE LE COMUNICO VIA RADIAL AL COMANDANTE DE LA SITUACION, EL CUAL GENTILMENTE COLABORÒ, PERMITIENDO EL ASCENSO DE LA DENUNCIANTE JUNTO A PERSONAL POLICIAL Y A UN TESTIGO HABIL, AL ENCONTRARSE DENTRO, SE UBICA A LA PASAJERA Y SE LA INVITA A QUE SE DESPLAZE AL FONDO DE LA AERONAVE. UNA VEZ EN EL LUGAR SE LA CONSULTA POR EL HECHO EN CUESTION, MANIFESTANDO QUE CREIA QUE SU ESPOSO HABIA PAGADO SU CUENTA, QUE NO TENIA PROBLEMA DE ABONAR LO QUE HABIA CONSUMIDO EN DICHA EMPRESA. EN ESE PRECISO MOMENTO. SE PROCEDE A ENTABLECER COMUNICACION CON EL JUZGADO NACIONAL EN PRIMERA INSTANCIA EN LO CORRECCIONAL Nº 07, A/C DEL DR. EDUARDO CARLOS FERNANDEZ, SECRETARIA Nº56 DEL DR. ARIEL TORRES, PONIENDO EN CONOCIMIENTO AL SECRETARIO DE LOS HECHOS ACAECIDOS, ENTENDIENDO QUE SE TRATARIA DE UNA ESTAFA Y QUE ERA COMPETENCIA DEL JUZGADO DE INSTRUCCION DE TURNO, POR LO CUAL SE ENTABLA COMUNICACION CON EL JUZGADO DE PRIMERA INSTANCIA EN LO CRIMINAL DE INSTRUCCION Nº32 A/C DEL DR.CARLOS MANUEL BRUNIARD, SECRETARIA Nº 114 DEL DR. SANTIAGO PONCIO, QUIEN DISPONE QUE SI LA PASAJERA TENIA INTENCION DE PAGAR, LO HAGA, SOLUCIONANDO EL PROBLEMA DEL MEJOR MODO POSIBLE Y QUE SE ARCHIVE LAS ACTUACIONES LABRADAS EN SEDE POLICIAL. ACTO SEGUIDO LA PASAJERA ABONO SU TICKET DANDO POR FINALIZADO EL PROCEDIMIENTO.</t>
  </si>
  <si>
    <t>AR1284</t>
  </si>
  <si>
    <t>SIENDO LAS 14:00 HS SE DA COMIENZO AL OPERATIVO DE SEGURIDAD REFERENTE A LA PARTIDA DE LA SEÑORA PRESIDENTA DE LA NACION, CRISTINA FERNANDEZ DE KIRCHNER, LA CUAL ARRIVO A ESTE AEROESTACION EN EL HELICOPTERO MATRICULA H01 A LAS 19:00 HS PARA LUEGO ABORDAR LA AERONAVE MATRICULA T01, PARTIENDO DE ESTE AEROPUERTO A LAS 19:12 HS CON DESTINO A LA CIUDAD DE EL CALAFATE. FINALIZANDO EL OPERATIVO A LAS 19:15 HS</t>
  </si>
  <si>
    <t>NAC. DE 1º INST. EN LO CRIM CORR FEDERAL Nº 2</t>
  </si>
  <si>
    <t>DRA. RISETI VANESA</t>
  </si>
  <si>
    <t>VUELO PROCEDENTE DE CORDOBA, DESTINO AEROPARQUE JORGE NEWBERY.</t>
  </si>
  <si>
    <t>BODEGA, PLATAFORMA, PATIO DE VALIJAS.</t>
  </si>
  <si>
    <t>SIENDO LA HORA Y FECHA ANTES MENCIONADA SE HACE PRESENTE EN ESTA GUARDIA DE PREVENCION EL DENUNCIANTE MANIFESTANDO QUE EN EL DIA DE LA FECHA EFECTUÓ EL DESPACHO DE SU VALIJA PARA EL VUELO CITADO ANTERIORMENTE EN EL AEROPUERTO DE CORDOBA. UNA VEZ ARRIBADO EN ESTE AEROPARQUE METROPOLITANO, EN MOMENTOS DE RECOGER SU EQUIPAJE DE LA CINTA TRANSPORTADORA DEL SECTOR DE ARRIBOS A2, SE PERCATO DEL FALTANTE DE DOS TELEFONOS CELULARES, LOS CUALES SE HALLABAN EN EL INTERIOR DEL MECIONADO EQUIPAJE. EL MISMO NO FUE FORZADO, NI DAÑADO EN SUS CIERRES.</t>
  </si>
  <si>
    <t>AR 1507</t>
  </si>
  <si>
    <t>DIV.INV. COMP.. Y NARCOCRIM USHUAIA S/AV. PTA. INF. ART. 282. C.P.</t>
  </si>
  <si>
    <t>EXPEDIENTE Nº 19124</t>
  </si>
  <si>
    <t>INFORMO, EN EL DÍA DE LA FECHA, SIENDO LAS 21:05 PARTE EN VUELO AR-1857 DE LA EMPRESA AEROCOMERCIAL AEROLÍNEAS ARGENTINAS, CON DESTINO A LA CIUDAD DE BUENOS AIRES (AEROPARQUE JORGE NEWBERY), EL CIUDADANO OSCAR MARCOS ACEVEDO, D.N.I. N° 22.066.923 EN CALIDAD DE DETENIDO, CON CUSTODIA A CARGO DEL SERVICIO PENITENCIARIO FEDERAL, ADJUTOR PRINCIPAL NÉSTOR DANIEL RIGONATTO, D.N.I. N° 29.444.375, LEGAJO N° 32062 Y AY. DE 2DA. FERNANDO GABRIEL LÓPEZ, D.N.I. N° 22.229.849, LEGAJO N° 31145.REALIZANDO ESTA PREVENCIÓN APOYO A COMISIÓN DE TRASLADO DE DETENIDO HASTA EL MOMENTO DEL EMBARQUE, CONFORME A LO ESPECIFICADO EN ORDEN DE SERVICIO 10/10 DE ESTA U.O.S.P. ASIMISMO INFORMO, QUE SE ESTIMA ARRIBO A LA AEROESTACIÓN DE DESTINO A LAS 00:20 HS.</t>
  </si>
  <si>
    <t>AR 1857</t>
  </si>
  <si>
    <t>SIN ESCALA</t>
  </si>
  <si>
    <t>3325/10</t>
  </si>
  <si>
    <t>ACTUACIONES SUMARIALES 895/10 PROVENIENTE DE ACTUACIONES 27/10 REMITIDO POR LA P.S.A. - JUZGADO FEDERAL N° 3</t>
  </si>
  <si>
    <t>SECTOR TCA</t>
  </si>
  <si>
    <t>EN EL DIA DE LA FECHA SIENDO LAS 19:00 HS SE HIZO PRESENTE UNA COMISIONDE LA POLICIA DE LA PROVINCIA DE CORDOBA A CARGO DEL CABO 1° CARLOS GONZALEZ A EFECTOS DE DAR CUMPLIMIENTO A OFICIO JUDICIAL DE FECHA 03-JUN-10, DE TRÁMITE POR ANTE LA FISCALÍA DE INSTRUCCIÓN DEL DISTRITO III TURNO 1° DE LA CIUDAD DE CÓRDOBA, MEDIANTE EL CUAL SE SOLICITÓ A ESTA U.O.S.P. CBA. AUTORIZAR EL INGRESO DEL CABO 1° CARLOS GONZALEZ A LOS LUGARES RESTRINGIDOS DEL AEROPUERTO CÓRDOBA A LOS FINES DE REALIZAR ACTA DE INSPECCION OCULAR DEL LUGAR DEL HECHO INVESTIGADO EN LAS ACTUACIONES DE MENCIÓN, QUIENES LUEGO DE INTERIORIZAR AL PERSONAL P.S.A. DE LA TAREA ENCOMENDADA FUERON ACOMPAÑADOS HASTA EL SECTOR NORTE DE LA PLATAFORMA OPERATIVA, LUGAR FÍSICO EN EL CUAL SE ENCUENTRA UN CONTENEDOR PERTENECIENTE A LA EMPRESA INTERCARGO EL CUAL ES UTILIZADO COMO VESTUARIO POR SUS EMPLEADOS. SEGUIDAMENTE SIENDO APROXIMADAMENTE LAS 20:45 HS. LOS EFECTIVOS COMISIONADOS,UNA VEZ EN EL LUGAR, SOLICITARON A LOS EMPLEADOS DE LA EMPRESA INTERCARGO INGRESAR AL INTERIOR DEL CONTENEDOR A EFECTOS DE LLEVAR A CABO LA INSPECCION OCULAR, A LO QUE ACCEDIERON DE CONFORMIDAD Y EN FORMA TOTALMENTE VOLUNTARIA. UNA VEZ FINALIZADA DICHA TAREA, LA CUAL ARROJO SEGUN SUS DICHOS RESULTADO NEGATIVO DE APORTE PARA LA CAUSA, LA COMISION PROCEDIÓ A RETIRARSE APROXIMADAMENTE A LAS 21:00 HS.</t>
  </si>
  <si>
    <t>EN EL DIA DE LA FECHA ARRIBA AERONAVE TANGO-01 CON LA SEÑORA PRESIDENTA DE LA NACION ,Y EL SR EX PRESIDENTE DE LA NACION NESTOR KIRCHNER Y COMITIVA S/NOVEDAD AERONAVE PROXIMA A PARTIR A LA CIUDAD DE RIO GALLEGOS</t>
  </si>
  <si>
    <t>PLATAFPORMA OPERATIVA AERONAVE</t>
  </si>
  <si>
    <t>SIENDO LAS 22:55 HS LOCAL ARRIBA A ESTE AEROPUERTO AVION PRESIDENCIAL T-01 SOLAMENTE CON SU TRIPULACION PROCEDENTE DE LA LOCALIDAD DE4 EL CALAFATE PERNOCTANDO EN ESTA CIUDAD SIN NOVEDAD.</t>
  </si>
  <si>
    <t>SE PROCEDE A LA RETENCIÓN DE UNA SACA COLECTORA DEL CORREO OFICIAL, SEGÚN CONSTA EN ACTA DE RETENCIÓN DE CARGAS Nº 0283/10, QUE ORIGINA LA PREVENCIÓN SUMARIA 064/10, LA SACA IDENTIFICADA CON MARBETE SLA9127519E555700RGL, PRECINTO Nº D044147, CON UN PESO DECLARADO DE 7,600 KGS, CON DESTINO A LA CIUDAD DE RIO GALLEGO, CONTENDRIA TRES PIEZAS POSTALES, LA CUAL SERIA DESPACHADA ATRAVÉS DE LA EMPRESA DE CARGA AEREA JET PAQ. LA RETENCIÓN SE REALIZA ANTE LA PRESUNCIÓN DE QUE PUDIERAN CONTENER ALGÚN ELEMENTO EN INFRANCIÓN A LA LEY 23.737 Y/O 22.415, QUEDANDO LA MISMA CERRADA Y PRECINTADA EN GUARDA EN ESTA UOSP. SE COMUNICO TELEFONICAMENTE AL JUZGADO INTERVINIENTE, Y LA APERTURA SE REALIZARÁ EN PRESERNCIA DEL PERSONAL DEL CORREO OFICIAL.</t>
  </si>
  <si>
    <t>JUZGADO FEDERAL N° 1 DE SAN ISIDRO</t>
  </si>
  <si>
    <t>Arroyo Salgado</t>
  </si>
  <si>
    <t>Sandra</t>
  </si>
  <si>
    <t>DR. ADOLFO GUILLERMO VAZQUEZ</t>
  </si>
  <si>
    <t>AIMI GUSTAVO S/DENUNCIA POR AMENAZAS</t>
  </si>
  <si>
    <t>EN EL AEROPUERTO INTERNACIONAL DE MENDOZA SE PRODUJO UN ALTERCADO ENTRE LOS PILOTOS A CARGO DE LA AERONAVE GULSTREAM MATRICULA N353MA SITUACION QUE SE TRASLADA EN EL REGRESO DE LA MISMA HACIA BUENOS AIRES CULMINANDO CON PRESUNTAS AMENAZAS DE LAS CUALES RESULTA DAMNIFICADO EL SR. AIMI, GUSTAVO, QUIEN FUERA INCREPADO VERBALMENTE POR EL SR. COLAUTTI, HERNAN.</t>
  </si>
  <si>
    <t>SAN FERNANDO</t>
  </si>
  <si>
    <t>NAC. DE 1º INST. EN LO CORRECCIONAL Nº 8</t>
  </si>
  <si>
    <t>DR. EDUARDO CESAR BOSSIE</t>
  </si>
  <si>
    <t>CAFETERIA DE LA EMPRESA BELLINI.</t>
  </si>
  <si>
    <t>HALL PLANTA ALTA.</t>
  </si>
  <si>
    <t>SIENDO LA HORA Y FECHA MENCIONADA SE HACE PRESENTE EN ESTA GUARDIA DE PREVENCION LA DAMNIFICADA MANIFESTANDO QUE MIENTRAS SE ENCONTRABA EN LA CAFETERIA DE LA EMPRESA BELLINI, SITA EN LA PLANTA ALTA DE ESTE AEROPUERTO METROPOLITANO, APOYO SU CARTERA EN EL PISO Y MINUTOS DESPUES CUANDO QUIZO TOMARLA, SE PERCATO DEL FALTANTE DE LA MISMA, SIN PODER APRECIAR QUIEN SE LA PUDO HABER SUSTRAIDO, COMO ASI TAMPOCO TESTIGOS PRESENCIALES DEL HECHO.</t>
  </si>
  <si>
    <t>3370/10</t>
  </si>
  <si>
    <t>DR. JAVIER CUPITO</t>
  </si>
  <si>
    <t>EL DIA 03 DE JUNIO DEL CORRIENTE AÑO SIENDO LAS 21:30 HORAS, SEGÚN LO DISPUESTO POR LA JUDICATURA INTERVINIENTE, YA OBTENIDOS LOS RESULTADOS DE REINCIDENCIA SIENDO ESTOS NEGATIVOS, Y AL NO MEDIAR IMPEDIMENTO LEGAL ALGUNO, SE PROCEDE A LA LIBERACION DEL SR. GONZALO OSCAR BARRERA, RETIRANDOSE DE ESTA GUARDIA PREVENTIVA POR SUS PROPIOS MEDIOS, CONFORME A LOS TRATOS RECIBIDOS, SIN NOVEDAD.</t>
  </si>
  <si>
    <t>AR 2528</t>
  </si>
  <si>
    <t>DRA.MARIANA CERVERA</t>
  </si>
  <si>
    <t>LEGAJO DE ZABALA ARDAYA, JUAN CARLOS</t>
  </si>
  <si>
    <t>932/10-ES-</t>
  </si>
  <si>
    <t>SE PRESENTA EL SUB.OFICIAL PRINCIPAL DE GENDARMERIA NACIONAL MIRANDA MANUEL, CON EL CIUDADANO DE NACIONALIDAD BOLIVIANA SR. ZABALA ARDAYA JUAN CARLOS, SOBRE QUIEN RECAYERA LA DISPOSICION Nº 69734 DE DNM. A RESUELTO LA EXPULSION DEL TERRITORIO NACIONAL CON PROHIBICION DE REINGRESO AL PAIS, SE DA CUMPLIMIENTO A ORDEN DE SERVICIO Nº 0108/10, CON LA COLABORACION DE 04 EFECTIVOS DE LA UOESA DEL NORTE. AL MOMENTO DE LA PARTIDA, SIN NOVEDAD.</t>
  </si>
  <si>
    <t>SECTOR CORRESPONDIENTE AL CENTRO AEREO CORDOBA</t>
  </si>
  <si>
    <t>EN EL DIA DE LA FECHA SE PRESENTA ANTE ESTA INSTRUCCION EL DENUNCIANTE MANIFESTANDO QUE EN MOMENTO DE REALIZAR UNA INSPECCION TECNICA DE RUTINA EN EL SECTOR DE MENCION Y AL MOMENTO DE SALIR DEL EDIFICIO OBSERVO EL FALTANTE DE UNA ANTENA TIPO PARABOLICA QUE SE ENCONTRABA ARRIBA DEL TECHO Y QUE ERA UTILIZADA COMO ENLACE WI-FI 2.4 GHZ. SEGUIDADMENTE PROCEDIO A REALIZAR UN CONTROL MAS EXHAUSTIVO EN EL SECTOR CONSTATANDO QUE LOS CABLES QUE SUJETABAN LA MISMA SE ENCONTRABAN ROTOS. CABE DESTACAR QUE LA ANTENA MENCIONADA SE ENCONTRABA SOBRE UNA TORRE METALICA TRIANGULAR SUJETADA CON ABRAZADERAS METALICAS Y TORNILLOS, NOTANDO ADEMAS EL FALTANTE DE CABLE COAXIL QUE SE ENCONTRABA CONECTADO A LA MISMA. SEGUIDAMENTE SE ESTABLECIO COMUNICACION TELEFONICA CON EL JUZGADO FEDERAL DE TURNO QUIEN DISPUSO SE LABREN LAS ACTUACIONES DE RIGOR Y UNA VEZ FINALIZADAS LAS MISMAS SEAN ELEVADAS A JUZGADO FEDERAL DE MARRAS. DRICA II- SEGUN DENUNCIA SE DETECTO LA SUSTRACCION EL 02-JUN A LAS 1100 HS APROXIMADAMENTE</t>
  </si>
  <si>
    <t>AV. DE ILICITO</t>
  </si>
  <si>
    <t>DESDE LA VEREDA DE LA PERGOLA DE TAXIS DE LA TERMINAL A HASTA CIUDAD AUTONOMA DE BUENOS AIRES.</t>
  </si>
  <si>
    <t>PERGOLA DE TAXIS TERMINAL A</t>
  </si>
  <si>
    <t>QUE EL DIA INDICADO EL DAMNIFICADO FUE ABORDADO EN EL SECTOR DE PERGOLA TAXI TERMINAL A POR UN MASCULINO DE UNOS CINCUENTA Y CINCO AÑOS DE EDAD, ENTRECANO, VESTIDO EN LA OCASION CON PANTALON Y CAMPERA DE JEANS, EL CUAL LE MANIFESTO AL MISMO PERTENECER A LA D.E.A., INVITANDOLO A QUE ASCIENDA A UN VEHICULO TAXI DEL CUAL NO APORTA DATOS, CONDUCIDO POR ESTE SUPUESTO AGENTE DE LA D.E.A., EL CUAL LO TRASLADA HACIA LA CIUDAD AUTONOMA DE BS.AS., PROCEDIENDO UNA VEZ ALLI A SUSTRAERLE DE LA MANO DEL DAMNIFICADO LA SUMA DE CUATROCIENTOS DOLARES Y CIENTO VEINTICINCO PESOS. UNA VEZ PERPETRADO EL HECHO EL TAXISTA SE RETIRO DEL LUGAR DEJANDO A LA VICTIMA DEL DELITO EN UN PUNTO NO DETERMINADO DE LA CIUDAD DE BS. AS. SEGUIDAMENTE Y EN VIRTUD A QUE EL MISMO DEBIA EMBARCAR EN UN VUELO CON DESTINO A BARCELONA EN EL DIA DE LA FECHA A LAS DIECISEIS HORAS, REGRESO A ESTE MEDIO A FIN DE RADICAR LA PRESENTE DENUNCIA.- CABE MENCIONAR QUE EL DAMNIFICADO ARRIBO EL DIA 03-JUN-10, A HORAS 1600 AL AEROPUERTO DE EZEIZA EN VUELO Nº AR 1363 DE LA EMPRESA AEROLINEAS ARGENTINAS PROCEDENTE DE SANTA CRUZ DE LA SIERRA, BOLIVIA. Y EL DIA 04-JUN-10 DEBIA ABORDAR UN VUELO CON DESTINO A BARCELONA, ESPAÑA.-</t>
  </si>
  <si>
    <t>BARBERO Federico</t>
  </si>
  <si>
    <t>CINTA DE ARRIBOS DE EQUIPAJE DE BODEGA</t>
  </si>
  <si>
    <t>SIENDO LAS 14:15 HORAS APROXIMADAMENTE SE PRESENTA EN LA OFICINA DE GUARDIA EL DENUNCIANTE A RADICAR UNA DENUNCIA POR EL FALTANTE DE ROPAS VARIAS EN SU EQUIPAJE DESPACHADO POR BODEGA, ASIMISMO INFORMA QUE REALIZO EL DESPACHO EN EL AEROPUERTO DE NEW YORK Y NO TUVO CONTACTO CON EL MISMO HASTA LLEGAR AL AEROPUERTO DE MENDOZA. POR TAL MOTIVO SE REALIZA COMUNICACION TELEFONICA CON LA AUTORIDAD JUDICIAL INTERVINIENTE EN TURNO QUIEN DISPONE: 1° SE RECIBA DENUNCIA Y SE INICIE ACTUACIONES DE RIGOR POR ROBO SIMPLE, 2° SE REALICE UNA INSPECCION OCULAR SOBRE EL EQUIPAJE Y 3° SE ELEVEN LAS ACTUACIONES AL FINALIZAR.</t>
  </si>
  <si>
    <t>MIGUEL MAZAL</t>
  </si>
  <si>
    <t>ARRIBO DENOMINADO CABOTAJE</t>
  </si>
  <si>
    <t>INFORMO QUE SIENDO LAS 16:00 HS SE PRESENTA UNA PERSONA QUE RADICA UNA DENUNCIA POR UN SUPUESTO HECHO DELICTIVO ADUCIENDO QUE MIENTRAS SE ENCONTRABA EN SU LUGAR DE TRABAJO EN LA EMPRESA FOURT TURIST TRAVEL QUE REALIZA EL SERVICIO PRE Y POST AEREO EN ESTA AEROESTACION, SIENDO APROXIMADAMENTE LAS 13:00 HS PROCEDIO A GUARDAR EL DINERO RECAUDADO UN TOTAL DE 900 PESOS EN UNA CAJA DE METAL SIN LLAVE DEPOSITANDO LA MISMA EN UN ARMARIO QUE POSEE LA EMPRESA ANTES MENSIONADA, POSTERIORMENTE SE DIRIGE HACIA EL RESTAURANT SITUADO EN PLANTA ALTA PARA ALMORZAR Y REGRESANDO APROXIMADAMENTE A LAS 14:40 HS A SU LUGAR DE TRABAJO DIRIGIENDOSE HACIA EL ARMARIO ANTES MENCIONADO OBSERVA QUE LA CAJA DE METAL NO ESTABA EN LA MISMA UBICACION EN LA CUAL LA HABIA DEJADO POR TAL MOTIVO PROCEDE A LA APERTURA DE LA MISMA Y REALIZA EL CONTEO DEL DINERO QUE HABIA GUARDADO, RESULTANDO DEL MISMO UN FALTANTE DE SEISCIENTOS PESOS TODOS ELLOS EN BILLETES DE CIEN PESOS, NO OBSERVANDO SIGNOS DE VIOLENCIA EN LA CAJA DE METAL NI EN EL ARMARIO DONDE SE ENCONTRABA LA MISMA. SE DA INTERVENCION AL JUZGADO DE TURNO</t>
  </si>
  <si>
    <t>MARIA ELENA BENITEZ S/TENTATIVA DE CONTRABANDO DE ESTUPEFACIENTES</t>
  </si>
  <si>
    <t>PUNTO DE INSPECCION Y REGISTRO 1/16</t>
  </si>
  <si>
    <t>QUE AL MOMENTO DE REALIZARSE EL CONTROL DE PASAJEROS SE HACE PRESENTE UNA PASAJERA QUE ATRAVIESA EL ARCO DETECTOR DE METALES HACIENDO ACTIVAR LA ALARMA SONORA Y LUMINICA DEL MISMO, MOTIVO POR EL CUAL PROCEDE A REALIZAR UN CHEQUEO POR SOBRE SUS ROPAS, NOTANDO EL PERSONAL POLICIAL UN BULTO A LA ALTURA DE SU BOLSILLO IZQUIERDO, RESULTANDO SER UNA CAPSULA CONTENIENDO EN SU INTERIOR SUSTANCIA ESTUPEFACIENTE, MANIFESTANDO ADEMAS LA PASAJERA QUE SE ENCONTRABA INGESTADA Y QUE TENIA MAS CAPSULAS EN SU ZONA VAGINAL. POR TAL MOTIVO LA CAUASANTE ES TRASLADADA AL HOSPITAL DE EZEIZA DONDE SE INFORMA LUEGO DE PRACTICARSELE PLACAS RADIOGRAFICAS QUE SE ENCONTRABA INGESTADA, RETIRANDO ADEMAS DE SU ZONA VAGINAL UNA CAPSULA DE GRANDES DIMENSIONES CONTENEINDO SUSTANCIA ESTUPEFACIENTE. QUE LA DETENIDA PERMANECERA EN EL HOSPITAL HASTA QUE TERMINE DE EVACUAR LOS CUERPOS DE SU INTERIOR.- CABE AGREGAR QUE UNA VEZ ARRIBADA A LA CIUDAD DE SAN PABLO LA PASAJERA CONTINUARIA SU PERIPLO EN VUELO LX 093 A ZURICHI Y FINALMENTE ABORDARIA EL VUELO LX 728 CON DESTINO A LA CIUDAD DE AMSTERDAN.- SE INFORMA EN P.U. 3418 DEL 05/06/2010 EFECTUO DEPOSICIONES 1 A 7. SE INFROMA EN P.U. 3420 DEL 05/06/2010 EFECTUO DEPOSICIONES 8 A 10. SE INFROMA EN P.U. 3426 DEL 05/06/2010 EFECTUO DEPOSICIOMES 11 Y 12. SE INFROMA EN P.U. 3429 DEL 06/06/2010 EFECTUO DEPOSICION 13. SE INFORMA EN P.U. 3439 DEL 07/06/2010 EFECTUO DEPOSICIONES 14 A 17. SE INFORMA EN P.U. 3467 DEL 07/06/2010 EFECTUO DEPOSICIONES 18 A 22. SE INFORMA EN P.U. 3479 DEL 08/06/2010 EFECTUO DEPOSICIONES 23 A 24. SE INFORMA EN P.U. 3481 DEL 08/06/2010 EN HORAS 1120 SE EFECTUO TRASLADO DE LA DETENIDA A SEDE DEL TRIBUNAL.</t>
  </si>
  <si>
    <t>JJ8019</t>
  </si>
  <si>
    <t>SAN PABLO / LX 093 - SUIZA , ZURICH LX 728</t>
  </si>
  <si>
    <t>SECTORES PUBLICOS Y RESTRINGIDOS</t>
  </si>
  <si>
    <t>INFORMO QUE EN EL DIA DE LA FECHA A HS 17:10 ARRIBO PROCEDENTE DE IGUAZU VUELO DE LA EMPRESA ANDES LINEAS AEREAS, CON DELEGACION DEL EQUIPO DE FUTBOL DEL CLUB CENTRAL NORTE DE SALTA. SE PROCEDE A DAR CUMPLIMIENTO A LA ORDEN DE SERVICIO Nº 111/10, DESPLEGANDO EL PERSONAL AFECTADO, 08 PERSONAL DE TURNO, 06 DE DESTINO INTERNO Y 08 DE REFUERZO, A SECTORES RESTRINGIDOS Y PUBLICOS DE ESTE AEROPUERTO, CONTANDO CON EL APOYO DE 08 PERSONAL DE LA UOESA DEL NORTE, 07 DE UOCN Y DC DEL NORTE. SE EFECTUO COORDINACIONES CON POLICIA DE LA PROV.DE SALTA Y DIRECCION GRAL DE TRANSITO PARA LA CUSTODIA DE LA DELEGACION DESDE LA SALIDA DEL AEROPUERTO HACIA LA CIUDAD DE SALTA, FINALIZANDO EL OPERATIVO DE SEGURIDAD TENDIENTE A GARANTIZAR LA SEGURIDAD ANTES, DURANTE, EL ARRIBO Y PERMANENCIA EN EL AMBITO DE ESTA UOSP SALTA A HORAS 18:00 SIN NOVEDAD.</t>
  </si>
  <si>
    <t>SIENDO LA FECHA Y HORA ANTES MENCIONADA, EN MOMENTOS EN QUE LOS OFICIALES HANEMANN, SACOR Y LONGHINI SE ENCONTRABAN EN UNA RECORRIDA POR EL SECTOR MENCIONADO CON ANTERIORIDAD, OBSERVAN Y SORPRENDEN A UNA PERSONA DE SEXO MASCULINO, LA CUAL SE ENCONTRABA REALIZANDO SERVICIO DE MALETERO, CARECIENDO DE LA HABILITACION CORRESPONDIENTE.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</si>
  <si>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EDUARDO ALBERTO</t>
  </si>
  <si>
    <t>DR.EDUARDO CESAR BOSSIE</t>
  </si>
  <si>
    <t>SIENDO LA HORA Y EL DÍA ANTES MENCIONADO, SE HACE PRESENTE EN ESTA GUARDIA DE PREVENCIÓN EL DAMNIFICADO, QUIEN AL ARRIBAR A ESTA AEROESTACIÓN Y ENCONTRANDOSE EN EL OMNIBUS QUE LO TRASLADABA AL SECTOR DE ARRIBOS DENOMINADO A2 DE ESTE MEDIO, SE PERCATA DEL OLVIDO DE SU MÁQUINA FOTOGRÁFICA DENTRO DE LA AERONAVE, POR TAL RAZÓN, CUANDO LLEGÒ AL SECTOR DE ARRIBOS, SE APERSONO AL MOSTRADOR DE RECLAMOS DE LA EMPRESA AÈREA, Y MENCIONÒ LO OCURRIDO, A LO CUAL LE RESPONDIERON QUE CHEQUIARÍAN LA AERONAVE. LUEGO DE ESPERAR UNOS QUINCE MINUTOS SE ACERÓ PERSONAL DE LA EMPRESA DE VIGILANCIA HAS, TRAYENDO EL ESTUCHE DE LA MAQUINA FOTOGRÀFICA VACIO, POR TAL RAZÓN, REALIZÓ EL RECLAMO CORRESPONDIENTE Y POSTERIORMENTE RADICÓ LA DENUNCIA PENAL EN ESTA DEPENDENCIA.</t>
  </si>
  <si>
    <t>AR 1779</t>
  </si>
  <si>
    <t>QUE LUEGO DE REALIZAR AL DETENIDO HOSPITALIZADO UNA SERIE DE ESTUDIOS MEDICOS, LA DRA. SORRENTINO JEFA DE LA TERAPIA INTENSIVA DEL NOSOCOMIO DONDE EL DETENIDO SE ENCUENTRA INTERNADO DECIDIO TRASLADAR AL CAUSANTE A UN SITIO DE DIAGNOSTICO, DONDE REALIZARON UNA TOMOGRAFIA COMPUTADA AL DETENIDO, HALLANDO UNA CAPSULA MAS, DE IDENTICAS CARACTERISTICAS A LAS ANTES CITADAS. POR TAL MOTIVO NUEVAMENTE EN EL HOSPITAL MADRE TERESA DE CALCUTA EL DETENIDO FUE INTERVENIDO QUIRURGICAMENTE NUEVAMENTE A FIN DE EXTRAERLE LA CAPSULA DE MENCION, LA CUAL ARROJO UN PESO DE DIECISEIS GRAMOS. ES TODO CONSTE.----------------------------------------------------------------------------------</t>
  </si>
  <si>
    <t>EN EL DIA DE LA FECHA AL EFECTUAR CONTROLES DE RUTINA POR EQUIPO DE RX SE OBSERVA UN EQUIPO APARENTEMENTE LCD MARBETE Nº AR11-67-13 A NOMBRE DEL SR. CARLOS ALBERTO SORDO AL QUE SE REQUIERE SU PRESENCIA Y UNA VEZ HABIDO SE LE SOLICITA LA DOCUMENTACION RESPALDATORIA DEL EQUIPO EN CUESTION, FACTURA DE COMPRA, AVAL ADUANERO ESTAMPILLADO FISCAL QUE ACREDITE EL LEGAL INGRESO AL PAIS, EL CUAL CARECIA DE LA DOCUMENTACION REQUERIDA PROCEDIENDOSE A LA INTERDICCION PREVENTIVA EN PRESUNTA INFRACCION A LA LEY 22415 A LOS FINES DE DAR INTERVENCION A LA AUTORIDAD ADUANERA CORRESPONDIENTE PU 3460/10 EN EL DIA DE LA FECHA 07 JUNIO DE 2010 SE HACE ENTREGA AL PERSONAL DE LA ADMINISTRACION NACIONAL DE ADUANAS, SRA JOSEFA LASTRA LEGAJO N° 29113-07 MEDIANTE ACTA DE ENTREGA 36/10 DE ESTA UNIDAD OPERACIONAL DE LA MERCADERIA INTERDICTADA MEDIANTE ACTA DE ESTILO NRO 34/10 QUEDANDO LA MERCADERIA INTERDICTADA AL RESGUARDO DE LA MENCIONADA ADMINISTRACION CON EL FIN DE LA PROSECUCION DEL TRAMINTE ADMINISTRATIVO CORRESPONDIENTE.-</t>
  </si>
  <si>
    <t>SECRETARIA Nº 56</t>
  </si>
  <si>
    <t>DR.ARIEL TORRES</t>
  </si>
  <si>
    <t>VEREDA DE PARTIDAS A1</t>
  </si>
  <si>
    <t>SIENDO LA HORA Y EL DÍA ANTES MENCIONADO, EL OF. GUSTAVO WEISBERGER, QUE SE ENCONTRABA DE RECORRIDA POR EL SECTOR CITADO, OBSERVA ESTACIONADO UN VEHICULO MARCA VOLKSWAGEN, MODELO POLO CLASSIC, COLOR ROJO, CON VIDRIOS POLARIZADOS, DOMINIO FTU 177, CON DOS PERSONAS DEL SEXO MASCULINO EN SU INTERIOR, DE LOS CUALES UNO, EL ACOMPAÑANTE, EN FORMA REITERADA INGRESABA AL HALL DE PASAJEROS Y VOLVÍA AL VEHICULO HABLANDO CONTINUAMENTE POR TELÉFONO CELULAR, POR LO CUAL SOLICITA APOYO POLICIAL A LOS EFECTOS DE PROCEDER A LA IDENTIFICACIÓN DE LOS MISMOS, APERSONÁNDOSE EN EL LUGAR EL OF. PABLO LAHORE, AMBOS SOLICITARON A DICHAS PERSONAS QUE EXHIBIERAN SUS DOCUMENTOS, A LO QUE RESPONDIERON QUE NO POSEÍAN, Y AL CONSULTARLES POR SUS PRESENCIAS EN LAS INSTALACIONES DEL AEROPUERTO, ÉSTOS MANIFESTARON QUE ESPERABAN UNOS FAMILIARES QUE VENÍAN EN UN VUELO DE LA EMPRESA LAN CHILE PROCEDENTE DE LA CIUDAD DE CUZCO, PERÚ, A LO QUE EL PERSONAL POLICIAL LE INFORMA QUE NO OPERA VUELOS CON ESE DESTINO EN ESTE AEROPARQUE, CONTESTAN DICIENDO QUE SE HABÍAN EQUIVOCADO DE AEROPUERTO. SEGUIDAMENTE EL PERSONAL POLICIAL CONSULTA VÍA TELEFÓNICA AL PERSONAL POLICIAL QUE SE ENCUENTRA EN EL AEROPUERTO INTERNACIONAL DE EZEIZA, A LOS FINES DE CONSTATAR SI ESTABA PRÓXIMO A ARRIBAR ALGÚN VUELO DE LA CIUDAD DE CUZCO DE LA EMPRESA LAN CHILE, INFORMANDO QUE EL ULTIMO VUELO PROCEDENTE DE DICHA CIUDAD HABÍA ARRIBADO A LAS 18:00 HS APROXIMADAMENTE. AL NO PODER JUSTIFICAR SU PRESENCIA DENTRO DE LA JURISDICCIÓN AEROPORTUARIA, SE LOS INVITA A LA GUARDIA DE PREVENCIÓN JUNTO A DOS TESTIGOS HÁBILES. SIENDO LAS 22:20 HS, SE ESTABLECE COMUNICACIÓN CON LA JUDICATURA ACTUANTE QUIEN DISPONE: SE LABREN LAS ACTUACIONES DE RIGOR POR AVERIGUACIÓN DE IDENTIDAD, ART. 1 DE LA LEY 23.950, QUEDANDO AMBAS PERSONAS ALOJADAS EN ESTA DEPENDENCIA HASTA QUE SE CUMPLIMENTEN LAS DILIGENCIAS CORRESPONDIENTES, DE NO PRESENTAR IMPEDIMENTOS ALGUNO POR IDEG INTERPOL, SE PROCEDA A LA LIBERACIÓN DE LOS APREHENDIDOS. SIENDO LAS 02:00 HS POR NO MEDIAR IMPEDIMENTO LEGAL ALGUNO, SE PROCEDE A LA SOLTURA DE AMBOS MASCULINOS. ASIMISMO SE DEJA CONSTANCIA QUE SE REMITIO EL VEHICULO ANTERIORMENTE MENCIONADO POR TENER SU CEDULA VERDE VENCIDA.</t>
  </si>
  <si>
    <t>3406/10</t>
  </si>
  <si>
    <t>POR MEDIO DEL PRESENTE INFORMO LAS DEPOSICIONES EFECTUADAS POR LA DETENIDA ALOJADA EN EL HOSPITAL DE EZIEZA: DEP. N° 01 04/06/10 20:25 HS 01 CAPSULA 12 GRAMOS DEP. N° 02 04/06/10 21:30 HS 03 CAPSULAS 38 GRAMOS DEP. N° 03 04/06/10 23:00HS 02 CAPSULAS 24 GRAMOS DEP. N° 04 05/06/10 00:00 HS 03 CAPSULAS 38 GRAMOS DEP. N° 05 05/06/10 01:05 HS 03 CAPSULAS 38 GRAMOS DEP. N° 06 05/06/10 02:10 HS 03 CAPSULAS 38 GRAMOS DEP. N° 07 05/06/10 06:00 HS 01 CAPSULA 12 GRAMOS</t>
  </si>
  <si>
    <t>PLATAFORMA-BODEGA-PATIO DE VALIJA</t>
  </si>
  <si>
    <t>SEAL CARGAS SALTA</t>
  </si>
  <si>
    <t>SEAL CARGAS BS. AS.</t>
  </si>
  <si>
    <t>SE PROCEDE A LA RETENCIÓN DE CINCO ENCOMIENDAS DESPACHADAS POR SEAL CARGAS, SEGÚN CONSTA EN ACTA DE RETENCIÓN 289/10 QUE ORIGINA LA PREVENCIÓN SUMARIA 065/10, LAS ENCOMIENDAS AMPARADAS EN GUÍA AÉREA 0003-00001540 LA CUAL CONSTA DE 28 BULTOS, LAS QUE SERIAN DESPACHADAS A TRAVÉS DE LA EMPRESA DE CARGA AÉREA ANDES CARGAS, LA 1º IDENTIFICADA COMO AWB-03-1540 BULTO 22 PESO 5,400 KGS., LA 2º AWB-03-1540 BULTO 20 PESO 6,300 KGS., LA 3º AWB-03-1540 BULTO 10 PESO 6,100 KGS., LA 4º AWB-03-1540 BULTO 19 PESO 6,00 KGS., Y LA 5º AWBV-03-1540 BULTO 21 PESO 5,900 KGS., LA RETENCION SE REALIZA ANTE LA PRESUNCIÓN DE QUE PUDIERAN CONTENER ALGÚN ELEMENTO EN INFRACCIÓN A LA LEY 22.415 Y/O 23.737. QUEDANDO LAS MISMAS CERRADAS Y EN GUARDA EN ESTA UOSP, SE COMUNICO TELEFÓNICAMENTE AL JUZGADO INTERVINIENTE Y LA APERTURA SE REALIZARA CON LA AUTORIZACIÓN DEL MAGISTRADO ACTUANTE.</t>
  </si>
  <si>
    <t>3418/10</t>
  </si>
  <si>
    <t>POR MEDIO DEL PRESENTE INFORMO LAS DEPOSICIONES EFECTUADAS POR LA DETENIDA ALOJADA EN EL HOSPITAL DE EZIEZA: DEP. Nº 08 05/06/10 06:40 HS 01 CAPSULA 12 GRAMOS DEP. Nº 09 05/06/10 07:35 HS 02 CAPSULAS 26 GRAMOS DEP. Nº 10 05/06/10 10:30 HS 09 CAPSULAS 114 GRAMOS</t>
  </si>
  <si>
    <t>3387/10</t>
  </si>
  <si>
    <t>PUERTA NRO 1</t>
  </si>
  <si>
    <t>SE PROCEDE A LA APERTURA DE UNA SACA COLECTORA DEL CORREO OFICIAL, SEGÚN CONSTA EN ACTA DE RETENCIÓN DE CARGAS Nº 0283/10, QUE ORIGINA LA PREVENCIÓN SUMARIA 064/10, LA SACA IDENTIFICADA CON MARBETE SLA9127519E555700RGL, PRECINTO Nº D044147, CONTIENE TRES PIEZAS POSTALES, LA 1º IDENTIFICADA COMO EP007580619AR, ES ENTREGADA AL SR. ARIAS PARA SU REDESPACHO, LA 2º EP661586529AR RTTE. LUIS HEREDIA, DOMICILIO EN R. SANCHO 3202 Bº ISLAS MALVINAS S.S. DE JUJUY CP 4600, DEST. ANGELICA HEREDIA DE COLMENARES DOMICILIO CALLE ENTRE RIOS CASA 95 Bº DON BOSCO PROV. DE SANTA CRUZ CP 9408, QUEDA RETENIDA LA 3º EP683785098AR RTTE. SR. ARIEL CASTRO DOMICILIO EN CALLE MEXICO 974 CP 4600 S. S. DE JUJUY, DEST. SR. DARIO CASTRO DOMICILIO EN CAMPAÑA DEL DESIERTO 1626 EL CALAFATE CP 9405, SANTA CRUZ QUEDA RETENIDA. LA RETENCIÓN SE REALIZA ANTE LA PRESUNCIÓN DE QUE PUDIERAN CONTENER ALGÚN ELEMENTO EN INFRANCIÓN A LA LEY 23.737 Y/O 22.415, QUEDANDO LA MISMA CERRADA Y PRECINTADA EN GUARDA EN ESTA UOSP. SE COMUNICO TELEFONICAMENTE AL JUZGADO INTERVINIENTE, Y LA APERTURA SE REALIZARÁ EN CON LA AUTORIZACION DEL MAGISTRADO ACTUANTE.</t>
  </si>
  <si>
    <t>BODEGA DE AERONAVE-PLATAFORMA COMERCIAL-PATIO DE VALIJAS</t>
  </si>
  <si>
    <t>QUE ARRIBADO A ESTA AEROSTACION, EL DAMNIFICADO SE DIRIGIO HACIA LAS CINTAS TRANSPORTADORAS DE EQUIPAJES, A LOS EFECTOS DE RETIRAR SUS EQUIPAJES DESPACHADOS A BODEGA, PERCATANDOSE DE LA AUSENCIA DEL CANDADO EN UNO DE SUS EQUIPAJES, POR LO QUE PROCEDE A LA APERTURA DEL MISMO CONSTATANDO EL FALTANTE DE ELEMENTOS DE SU INTERIOR. A TAL EVENTO SE DIRIGE AL ASIENTO DE ESTA GUARDIA DE PREVENCION A RADICAR LA DENUNCIA.</t>
  </si>
  <si>
    <t>JJ 8008</t>
  </si>
  <si>
    <t>3420/10</t>
  </si>
  <si>
    <t>POR MEDIO DEL PRESENTE INFORMO LAS DEPOSICIONES EFECTUADAS POR LA DETENIDA ALOJADA EN EL HOSPITAL DE EZIEZA: DEP. Nº 11 05/06/10 13:30 HS 06 CAPSULAS 74 GRAMOS DEP. Nº 12 05/06/10 16:00 HS 06 CAPSULAS 76 GRAMOS</t>
  </si>
  <si>
    <t>INFRACCION AL ART. 79 DEL DEC. LEY 8031/73</t>
  </si>
  <si>
    <t>SIENDO LA FECHA Y HORA ANTES MENCIONADA, EN MOMENTOS EN QUE EL OFICIAL JULIO GOMEZ SE DIRIGE HACIA UNA PERSONA DE SEXO FEMENINO DE LA EMPRESA AEROPORTUARIA SERZA A LA QUE CONVOCA COMO TESTIGO HABIL NEGANDOSE A TAL EFECTO, RAZON POR LA CUAL EL PERSONAL POLICIAL LE SOLICITA QUE LE ENTREGUE LA CREDENCIAL OPERATIVA EXPEDIDA POR ESTA POLICIA NEGANDOSE NUEVAMENTE LA CAUSANTE A DICHO REQUERIMIENTO. POR LO TANTO SE PROCEDE A LA IDENTIFICACION, APREHENSION PREVENTIVA DE LA CAUSANTE. ACTO SEGUIDO SE LA TRASLADA AL SERVICIO DE SANIDAD Y LUEGO A LA OFICINA DE CONTRAVENCIONES Y FALTAS DONDE SE LABRA LA CORRESPONDIENTE ACTA Y SE EFECTUA CONSTATACION DE ANTECEDENTES PENALES DE LA INFRACTORA. LUEGO DE REALIZADO ESTOS TRAMITES LA CAUSANTE SE RETIRA POR SUS PROPIOS MEDIOS.-</t>
  </si>
  <si>
    <t>DE INSTRUCCION 1ERA NOMINACION DE CALETA OLIVIA</t>
  </si>
  <si>
    <t>S/DENUNCIA LESIONES LEVES</t>
  </si>
  <si>
    <t>700/07</t>
  </si>
  <si>
    <t>EN EL DIA DE LA FECHA Y SIENDO LAS 18:45 HS SE PROCEDE A NOTIFICAR A LA CIUDADANA GONZALEZ NATALIA LORENA, TITULAR DEL DNI Nº 27.931.474 CIUDADANA SOBRE QUIEN RECAE UN PEDIDO DE PARADERO SEGUN EL SISTEMA RED LINCE BAJO EL REGISTRO Nº 272568 VINCULADO AL EXPEDIENTE 700/07 CARATULADA S/DCIA. S/LESIONES LEVES, RAZON POR LA CUAL SE NOTIFICO A LA CIUDADANA GONZALEZ NATALIA LORENA PARA QUE FIJE DOMICILIO REAL, HACIENDOLO EN LA CALLE EL MAITEN 1038 Bº AEROPUERTO DE LA CIUDAD DE RIO GRANDE PROVINCIA DE TIERRA DEL FUEGO Y DOMICILIO TRANSITORIO EN CALLE CARLOS CALVO 1430 DE CAPITAL FEDERAL.</t>
  </si>
  <si>
    <t>3426/10</t>
  </si>
  <si>
    <t>POR MEDIO DEL PRESENTE INFORMO LAS DEPOSICIONES EFECTUADAS POR LA DETENIDA ALOJADA EN EL HOSPITAL DE EZIEZA: DEP. Nº 13 05/06/10 20:10 HS 04 CAPSULAS 50 GRAMOS</t>
  </si>
  <si>
    <t>SIENDO LAS 00:00 HORAS SE DA CUMPLIMIENTO A LA ORDEN DE SERVICIO Nº 336/10 DE LA URSA I DEL ESTE REFERENTE AL OPERATIVO DE SEGURIDAD PARA EL ARRIBO DEL EX MANDATARIO DE LOS ESTADOS UNIDOS DE NORTEAMERICA, EL SR. WILLIAN J. CLINTON, EL CUAL ARRIBÓ A ESTE AEROPUERTO METROLITANO A LA 01:30 HORAS EN LA AERONAVE DE MATRICULA VP-CNI, RETIRANDOSE DE JURISDICCION VIA TERRESTRE A LAS 01:50 HORAS. FINALIZANDO EL OPERATIVO DE SEGURIDAD A LAS 02:00 HORAS SIN NOVEDAD.- OBSERVACIONES: OFICIAL MEDINA DIEGO MARTIN SE LE REASIGNO NUEVO Nº DE CONTROL, SIENDO EL ACTUAL 504.453 EN REEMPLAZO DEL Nº 205.432</t>
  </si>
  <si>
    <t>SRA. VANESA RISETTI</t>
  </si>
  <si>
    <t>PREEMBARQUE NACIONAL TERMINAL A</t>
  </si>
  <si>
    <t>SE RECIBE COMUNICACION TELEFONICA POR PARTE DEL OFICIAL TAVERA MARIO ENCARGADO DEL PREEMBARQUE NACIONAL INFORMANDO QUE AL PASAR UN PASAJERO DE SEXO MASCULINO POR EL ARCO DETECTOR DE METALES ACTIVO LA ALARMA DEL MISMO POR LO QUE EL OFICIAL LOPEZ MAXIMILIANO LE EFECTUA UN CHEQUEO MANUAL, OBSERVANDO QUE EN EL BOLSILLO DERECHO DEL PANTALON TENIA UNA PROTUBERANCIA POR LO QUE LE SOLICITA QUE EXHIBA EL CONTENIDO, RESULTANDO SER ESTE, DOS BOLSITAS DE NYLON TRANSPARENTE CONTENIENDO DOS CIGARRILLOS ARMADOS MANUALMENTE Y UNA SUSTANCIA COLOR VERDE DE CONSISTENCIA PASTOSA. AL PREGUNTARLE SOBRE EL CONTENIDO EL PASAJERO MANIFESTO QUE ERA MARIHUANA. SE EFECTUO A LA SUSTANCIA UN REACTIVO QUIMICO MARCA IDENTA QUE ARROJO RESULTADO POSITIVO PARA MARIHUANA. SEGUIDAMENTE SE COMIENZA CON LAS ACTUACIONES DE RIGOR. SE INFORMA EN P.U. Nº 3433 DEL DIA 06/06/2010 EN HORAS 1555 SE EFECTUO LA LIBERACION DEL DETENIDO POR NO PESAR IMPEDIMENTO LEGAL ALGUNO. EL MISMO SE RETIRO CON SUS ELEMENTOS PERSONALES QUE ESTABAN EN RESGUARDO DE LA UNIDAD.</t>
  </si>
  <si>
    <t>LA 4200</t>
  </si>
  <si>
    <t>SE CONFECCIONA EL PRESENTE A LOS EFECTOS DE INFORMAR QUE EN EL DIA DE LA FECHA SIENDO LAS 14:20 HS LOCAL SE PRODUCE LA PARTIDA DE LA AERONAVE T-01 CON DESTINO EL CALAFATE, SOLO TRIPULACION SIN NOVEDAD.</t>
  </si>
  <si>
    <t>3431/10</t>
  </si>
  <si>
    <t>EL DIA SEIS DE JUNIO DEL CORRIENTE AÑO EN HORAS 15:55, SEGÚN LO DISPUESTO POR LA JUDICATURA INTERVINIENTE, YA OBTENIDOS LOS RESULTADOS DE REINCIDENCIA SIENDO ESTOS NEGATIVOS, Y AL NO MEDIAR IMPEDIMENTO LEGAL ALGUNO, SE PROCEDE A LA LIBERACION DEL SR. VILLA MARIANO, RETIRANDOSE DE ESTA GUARDIA PREVENTIVA POR SUS PROPIOS MEDIOS, CONFORME A LOS TRATOS RECIBIDOS, SIN NOVEDAD.</t>
  </si>
  <si>
    <t>INFRACCIÓN A LA LEY 23.737</t>
  </si>
  <si>
    <t>PUNTO DE INSPECCIÓN Y REGISTRO</t>
  </si>
  <si>
    <t>TRANSITO 6/10 TERMINAL A</t>
  </si>
  <si>
    <t>AL PRESENTARSE LA PASAJERA EN EL PUESTO DE INSPECCIÓN Y REGISTRO, COLOCA SUS PERTENENCIAS EN LA MAQUINA DE RAYOS X NOTANDO EL PERSONAL POLICIAL OPERADOR DE DICHA MAQUINA SUSTANCIA ORGÁNICA EN EL FONDO Y EN LOS LATERALES DE LA VALIJA, SIN PODER DETERMINAR QUE ELEMENTO SE OBSERVABA. DICHA DUDA AMERITO SOLICITAR LA PRESENCIA DE TESTIGOS Y EL TRASLADO DE LA PASAJERA AL TURNO DE PREVENCIÓN, DONDE SE EFECTUÓ LA REQUISA AL CUERPO DE LA MISMA Y DE TODAS SUS PERTENENCIAS, DETECTÁNDOSE EN UNA VALIJA TIPO CARRY ON QUE PORTABA, UN PAQUETE EN EL FONDO O BASE Y UN PAQUETE EN CADA LATERAL, OCULTOS MEDIANTE EL SISTEMA DE DOBLE FONDO, LOS CUALES CONTENÍAN SUSTANCIA PULVERULENTA LA CUAL FUE SOMETIDA A REACTIVO DE CAMPO PARA COCAÍNA ARROJANDO RESULTADO POSITIVO. INFORMADO EL JUZGADO DE LO ANTEDICHO, DISPUSO LA DETENCIÓN DE LA PASAJERA EN CARÁCTER DE INCOMUNICADA Y QUE LA MISMA SEA TRASLADADA EL DÍA DE MAÑANA A PRIMERA HORA A SEDE JUDICIAL. EL VUELO CONTROLADO EN EL TRANSITO 6/10 FUE EL AZ 681 DE ALITALIA CON DESTINO ROMA. SE INFORMA EN P.U. 3441 DEL DIA 07/06/2010 EN HORAS 0700 SE TRASLADO A LA DETENIDA EN AUTOS A SEDE JUDICIAL. SE INFORMA EN P.U. 3465 DEL DIA 07/06/2010 EN HORAS 1300 REGRESA COMICION POLICIAL CON DETENIDA QUIEN DEBERA PERMANECER EN DEPENDENCIA HASTA EL DIA 08/06/2010, CUANDO DEBERA SER TRASLADAD NUEVAMENTE. SE INFORMA EN P.U. 3480 DEL 08/06/2010 EN HORAS 0700, LA DETENIDA FUE TRASLADADA A SEDE JUDICIAL.</t>
  </si>
  <si>
    <t>ASUNCIÓN</t>
  </si>
  <si>
    <t>EZEIZA // AZ 681</t>
  </si>
  <si>
    <t>EN EL DIA DE LA FECHA DESPEGA T-01 CON LA SRA. PRESIDENTA DE LA NACION Y COMITIVAS CON DESTINO A LA CIUDAD DE BUENOS AIRES S/N</t>
  </si>
  <si>
    <t>INFRACCION AL ARTICULO 164 DEL CODIGO PENAL DE LA NACION</t>
  </si>
  <si>
    <t>BODEGA - PLATAFORMA - PATIO DE VALIJAS</t>
  </si>
  <si>
    <t>ARRIBADO A ESTE AEROPUERTO, EL DENUNCIANTE SE DIRIGE A LA CINTA TRANSPORTADORA DE EQUIPAJE NUMERO SIETE, UBICADA EN EL SECTOR DE ARRIBOS DE LA TERMINAL A, A LOS EFECTOS DE RETIRAR SU VALIJA IDENTIFICADA CON MARBETE NUMERO LA329931. AL TOMAR CONTACTO CON LA MISMA SE PERCATA QUE EL CANDADO QUE LA CERRABA ESTABA ROTO, MOTIVO POR EL CUAL REVISA SU CONTENIDO, DETECTANDO LOS FALTANTES. LUEGO REALIZA EL RECLAMO ANTE LA COMPAÑÍA AÉREA Y POSTERIORMENTE RADICA LA DENUNCIA PENAL ANTE LA AUTORIDAD POLICIAL.</t>
  </si>
  <si>
    <t>DR. MURACA SERGIO</t>
  </si>
  <si>
    <t>BODEGA DE AERONAVE-PLATAFORMA-CINTA DE ARRIBOS NACIONALES.</t>
  </si>
  <si>
    <t>SIENDO LA HORA Y FECHA MENCIONADA SE HACE PRESENTE EL DAMNIFICADO EN ESTA GUARDIA DE PREVENCION, MANIFESTANDO QUE EL DIA 06 DE JUNIO DEL CORRIENTE AÑO, EFECTUO EL DESPACHO DE SU VALIJA PARA EL VUELO CITADO ANTERIORMENTE EN EL AEROPUERTO DE IGUAZU. UNA VEZ ARRIBADO EN ESTE AEROPARQUE METROPOLITANO, EN MOMENTOS DE RECOGER SU EQUIPAJE DE LA CINTA TRANSPORTADORA DEL SECTOR DE "ARRIBOS A2", SE PERCATO DE QUE SU VALIJA SE ENCONTRABA CON LOS CIERRES ABIERTOS Y EL FILM DE SEGURIDAD ROTO, OBSERVANDO EL FALTANTE DE UNA CAMARA DE FOTOS DIGITAL, LA CUAL SE HALLABA EN EL INTERIOR DEL MECIONADO EQUIPAJE.</t>
  </si>
  <si>
    <t>SIENDO LAS 18:30 HS SE IMPLEMENTA OPERATIVO DE SEGURIDAD PARA DAR CUMPLIMIENTO A LA ORDEN DE SERVICIO Nº 332/10 EMITIDA POR LA URSA I DEL ESTE, CON MOTIVO DE LA LLEGADA DE LA PRESIDENTE DE LA NACION ARGENTINA, LA SEÑORA CRISTINA FERNANDEZ DE KIRCHNER, EN AERONAVE PRESIDENCIAL T-01, LA MISMA ARRIBO A ESTE AEROPUERTO METROPOLITANO A LAS 19:54, Y SE RETIRO EN HELICOPTERO CON MATRICULA H-01 A LAS 20:03 HS, FINALIZANDO EL OPERATIVO DE SEGURIDAD A LAS 20:08 HS, SIN NOVEDAD.</t>
  </si>
  <si>
    <t>POR MEDIO DEL PRESENTE INFORMO LAS DEPOSICIONES EFECTUADAS POR LA DETENIDA ALOJADA EN EL HOSPITAL DE EZIEZA: DEP. Nº 14 06/06/10 07:40 HS 01 CAPSULAS 12 GRAMOS DEP. Nº 15 06/06/10 10:00 HS 03 CAPSULAS 38 GRAMOS DEP. N° 16 06/06/10 12:00 HS 05 CAPSULAS 62 GRAMOS DEP. N° 17 06/06/10 14:10 HS 03 CAPSULAS 36 GRAMOS</t>
  </si>
  <si>
    <t>EN MOMENTOS QUE SE EFECTUABA EL CONTROL SOBRE LOS EQUIPAJES DESPACHADOS A BODEGA, PERSONAL POLICIAL DETECTA A TRAVÉS DE LA MAQUINA DE RAYOS X, EN LOS CONTORNOS DE UN EQUIPAJE LA PRESENCIA DE SUSTANCIA ORGÁNICA, QUE NO PUEDE DETERMINAR DE QUE ELEMENTO SE TRATA. EN VIRTUD A ELLO SE CONVOCA A DOS TESTIGOS. A CONTINUACIÓN PERSONAL POLICIAL LOGRA DAR CON LA PROPIETARIA DEL EQUIPAJE EN LA SALA DE EMBARQUE DE LA MANGA A DE LA TERMINAL B. EN ESTE CONTEXTO SE TRASLADA A LA PROPIETARIA DEL EQUIPAJE, LA CUAL PORTABA UN BOLSO DE MANO, AL SECTOR DEL PATIO DE VALIJA, DONDE RECONOCE COMO DE SU PROPIEDAD EL EQUIPAJE EN DUDA. A TAL EVENTO, PERSONAL POLICIAL SOMETE AL CONTROL DE RAYOS X LA MOCHILA QUE PORTABA LA PASAJERA, DETECTANDO EN EL MISMO TAMBIÉN SUSTANCIA ORGÁNICA. SEGUIDAMENTE SE TRASLADA A TODOS LOS INTERVINIENTES A LA GUARDIA DE PREVENCIÓN, DONDE UNA VEZ EN LA MISMA SE MANTIENE COMUNICACIÓN TELEFÓNICA CON EL JUZGADO INTERVINIENTE, SOLICITANDO AUTORIZACION DE REQUISA SOBRE LOS EQUIPAJES EN CUESTION. LUEGO SE APERTURA EL EQUIPAJE DESPACHADO A BODEGA, HALLANDO EN LOS CONTORNOS DE AMBOS LATERALES CUATRO PAQUETES. CONTINUANDO CON LA REQUISA SE ENCUENTRA EN EL DOBLE FONDO DOS PAQUETES MAS, LOS CUALES SE SOMETE A LA TOTALIDAD DE LOS MISMOS A PRUEBA DE CAMPO PARA COCAINA ARROJANDO RESULTADO POSITIVO. SEGUIDAMENTE SE REQUISA LA MOCHILA HALLANDO EN CADA UNO DE LOS CONTORNOS UN PAQUETE Y EN EL DOBLE FONDO DOS PAQUETES MAS, SOMETIENDO LA TOTALIDAD DE LOS MISMOS A REACTIVO DE COCAINA ARROJANDO RESULTADO POSITIVO EN TODOS LOS CASOS. SE MANTIENE COMUNICACIÓN CON EL JUZGADO, EL CUAL DISPONE QUE SE LABREN ACTUACIONES DE RIGOR Y SE PROCEDA A LA DETENCIÓN DE LA PASAJERA, Y SE ELEVE LO ACTUADO Y LA DETENIDA EL DIA 07/06/2010. SE INFORMA EN P.U. NRO. 3443 DEL DIA 07/06/10, SIENDO LAS 0710 HS, SE PROCEDE AL TRASLADO DE LA DETENIDA A SEDE JUDICIAL.</t>
  </si>
  <si>
    <t>3434/10</t>
  </si>
  <si>
    <t>PUNTO DE CONTROL, INSPECCIÓN Y REGISTRO TRANSITO 6/10</t>
  </si>
  <si>
    <t>QUE SIENDO LAS 07:00 HS SE PROCEDIO AL TRASLADO DE LA DETENIDA EN AUTOS A SEDE JUDICIAL.-</t>
  </si>
  <si>
    <t>PZ703</t>
  </si>
  <si>
    <t>DESDE DESPACHO POR BODEGA DE AEROPUERTO RIO GALLEGOS HASTA ARRIBOS A2 DE ESTE AEROPUERTO METROPOLITANO.</t>
  </si>
  <si>
    <t>BODEGA DE AERONAVE - PLATAFORMA COMERCIAL - CINTAS DE EQUIPAJE</t>
  </si>
  <si>
    <t>SIENDO LAS 7:00 HORAS SE PRESENTA UNA PERSONA CON MOTIVO DE DENUNCIAR UN HECHO DELICTIVO, LA MISMA MANIFIESTA QUE EN EL DIA DE LA FECHA SIENDO LAS 03:40 HORAS SE PRESENTO EN EL AEROPUERTO DE RIO GALLEGOS PARA ABORDAR UN VUELO CON DESTINO A ESTE AEROPUERTO METROPOLITANO, ARRIBANDO LA MISMA A LAS 06:05 HORAS. UNA VEZ ARRIBADA EN ESTE AEROPUERTO SE DIRIJE A RETIRAR SU EQUIPAJE DESPACHADO Y NOTO QUE EN SU BOLSO TENIA EL FALTANTE DE UN TELEFONO CELULAR. ACTO SEGUIDO SE HACE PRESENTE EN ESTA GUARDIA DE PREVENCION PARA RADICAR FORMAL DENUNCIA.</t>
  </si>
  <si>
    <t>3440/10</t>
  </si>
  <si>
    <t>QUE SIENDO LAS 07:10 HS SE PROCEDIO AL TRASLADO DE LA DETENIDA EN AUTOS A SEDE JUDICIAL</t>
  </si>
  <si>
    <t>BODEGA DE AERONAVE - PLATAFORMA COMERCIAL - CINTAS DE EQUIPAJES.</t>
  </si>
  <si>
    <t>QUE SIENDO LA HORA INDICADA EL DENUNCIANTE ARRIBO A ESTA AEROESTACIÓN Y EN MOMENTOS EN QUE SE DISPONE A RECOGER SU EQUIPAJE DESPACHADO A BODEGA SIENDO EL MISMO UN BOLSO, SE PERCATA DE QUE EL MISMO PRESENTABA UN PESO INFERIOR AL QUE POSEÍA EN MOMENTOS QUE LO DESPACHARA A BODEGA. QUE LUEGO PROCEDE A LA APERTURA DEL MISMO PERCATÁNDOSE DEL FALTANTE DE LOS ELEMENTOS DETALLADOS. POR TAL MOTIVO Y LUEGO DE RADICAR EL CORRESPONDIENTE RECLAMO ANTE LA COMPAÑÍA DE MENCIÓN SE HACE PRESENTE EN ESTE TURNO DE PREVENCIÓN Y RADICA LA CORRESPONDIENTE DENUNCIA MANIFESTANDO EN LA MISMA QUE NO POSEE COBERTURA DE SEGURO SOBRE LOS ELEMENTOS DENUNCIADOS COMO FALTANTES.</t>
  </si>
  <si>
    <t>intalaciones del aeropuerto</t>
  </si>
  <si>
    <t>INFORMO QUE EN DIA DE LA FECHA A HORAS 09:05. SE PRESENTA EL SEÑOR ALBARRACIN HECTOR D. A LOS EFECTOS DE EXPONER EL EXTRAVIO DE SU PERMISO PERSONAL DE SEGURIDAD AEROPORTUARIO -TEMPORAL -, EL MISMO FUE EXTRAVIADO EL DIA 06/06/10 EN LAS INTALACIONES DE ESTE AEROPUERTO, AL MOMENTO QUE SE ENCONTRABA DE TURNO EN LA EMPRESA INTERCARGO.</t>
  </si>
  <si>
    <t>FISCALIA PENAL DE INSTRUCCION DE LA VIIIª NOMINACION</t>
  </si>
  <si>
    <t>Gianonni</t>
  </si>
  <si>
    <t>DRA. VOLACHEC NORMA</t>
  </si>
  <si>
    <t>INFORMO QUE EN EL MOMENTO DE ARRIBAR A ESTE AEROPUERTO PROCEDENTE DE LA CIUDAD DE BUENOS AIRES EN VUELO DE AEROLINEAS ARGENTINAS, N° 2472, EL SEÑOR DE ANGELI, PABLO AUGUSTO, CON DNI N° 8.090.558, RADICA UNA DENUNCIA POR EL ROBO SUFRIDO EN EQUIPAJE DESPACHADO POR BODEGA CON MARBETE N° 90-57-57, DE LOS SIGUIENTES ELEMENTOS, UNA CAMARA FOTOGRAFICA DE MARCA "NIXON", UNA CALCULADORA DE MARCA "CASIO" Y UN PULOVER DE MARCA "RALPH LAURENT", SE DIO INTERVENCION A LA FISCALIA PENAL DE INSTRUCCIÓN DE LA VIII NOMINACION A CARGO DE LA DRA. GIANONNI ADRIAN, LA CUAL DISPONE QUE SE LABREN LAS ACTUACIONES PERTINENTES Y SEAN ELEVADAS CON POSTERIORIDAD PARA SU CONSIDERACION.</t>
  </si>
  <si>
    <t>DR ANDRES BASSO</t>
  </si>
  <si>
    <t>CERCANIAS AL EDIFICIO CIPE</t>
  </si>
  <si>
    <t>VEHICULO ESTACIONADO EN CALLE CERCANA A LAS OFICINAS DE PATRIMONIOS Y SUMINISTROS DE LA PSA EN EL AEROPUERTO DE EZEIZA.</t>
  </si>
  <si>
    <t>QUE SIENDO LA HORA INDICADA EL DENUNCIANTE ESTACIONA EN EL LUGAR ANTES DESCRIPTO EL MÓVIL DE DOTACIÓN, VEHICULO MARCA VOLKSWAGEN MODELO VENTO DOMINIO COLOCADO IHX-482 DE COLOR AZUL. QUE LUEGO DESCIENDE DEL MISMO Y SE DIRIGE HACIA LA OFICINA ANTES DESCRIPTA DEJANDO OLVIDADO EN EL INTERIOR DEL VEHICULO EL TELÉFONO CELULAR DESCRIPTO. QUE LUEGO DE UNOS MINUTOS EL DENUNCIANTE SE DIRIGE HACIA EL AUTOMÓVIL PERCATÁNDOSE DEL FALTANTE DEL TELÉFONO ANTES MENCIONADO. POR TAL MOTIVO SE HACE PRESENTE EN ESTE TURNO A REALIZAR LA CORRESPONDIENTE DENUNCIA PENAL.</t>
  </si>
  <si>
    <t>FISCAL DR DANIEL CARREÑO</t>
  </si>
  <si>
    <t>DAÑO A LA PROPIEDAD PRIVADA</t>
  </si>
  <si>
    <t>SECTOR OESTE DE LA PLAYA DE ESTACIONAMIENTO</t>
  </si>
  <si>
    <t>PLAYA DE ESTACIONAMIENTO CONCESIONADA A AA2000</t>
  </si>
  <si>
    <t>SIENDO LAS 10:30 HORAS LOCAL SE PROCEDE A REALIZAR UN ACTA DE PROCEDIMIENTO Nº 0013/10 DEBIDO A LOS HECHOS RELACIONADOS CON EL FALTANTE DE LOGOS DE MARCA DE VEHICULOS OCURRIDAS EL DIA 05 DE JUNIO 2010 POSTERIORMENTE SE PRESENTARON A ESTA UNIDAD LOS SEÑORES FRANCO MARIO QUIEN EXPONE EL FALTANDE DEL LOGO DE SU VEHICULO MARCA VOLKSWAGEN Y EL SEÑOR RIDOLFI DIEGO QUIEN EXPONE EL FALTANTE DE NUEVE LOGOS DE MARCA DE LA FLOTA DE VEHICULOS DE SU EMPRESA ANDES RENTA A CAR SA. ESTACIONADOS EN ESTE AEROPUERTO EN PLAYA CONSECIONADA POR AA2000. REALIZADAS LAS COMUNICACIONES DE RIGOR EL JUZGADO FEDERAL DE COMODORO RIVADAVIA SE DECLARA INCOMPETENTE DEBIDO A QUE NO ES UN HECHO DE DELITO FEDERAL, Y ORDENA LA COMUNICACION CON EL MINISTERIO PUBLICO FISCAL DE LA PCIA DEL CHUBUT QUIEN ORDENA QUE SE REALICE LAS ACTUACIONES DE RIGOR Y QUE SE ELEVEN EL SUMARIO CORRESPODIENTE.</t>
  </si>
  <si>
    <t>JUZGADO CORRECCIONAL 6° NOMINACION</t>
  </si>
  <si>
    <t>GIAVEDONI</t>
  </si>
  <si>
    <t>DR. EDUARDO SCHLATTER</t>
  </si>
  <si>
    <t>BARRACAS PROVINCIALES</t>
  </si>
  <si>
    <t>SECTOR ASIGNADO A LA EMPRESA RAPAZ</t>
  </si>
  <si>
    <t>EN EL DÍA DE LA FECHA SE RECIBE DENUNCIA DEL SEÑOR COCCO NAZARENO, EMPLEADO DE LA EMPRESA RAPAZ, ENCARGADA DEL CONTROL DE FAUNA DE ESTA AEROPUERTO, DEL FALTANTE DE UN RIFLE DE AIRE COMPRIMIDO QUE SE ENCONTRABA EN EL SECTOR QUE OCUPA ESA EMPRESA, EN LA ZONA DE LAS BARRACAS PROVINCIALES DENTRO DEL AEROPUERTO. EL MISMO, DENUNCIA QUE SE PERCATO DEL FALTANTE AL LLEGAR AL LUGAR DE TRABAJO APROXIMADAMENTE A LAS 08:00 HS, PERO LUEGO DE REALIZAR LAS CONSULTAS PERTINENTES A SU COMPAÑERO DE TRABAJO QUE HABÍA ESTADO ALLÍ EL DÍA ANTERIOR Y AL ENCARGADO DE LA EMPRESA, PARA CORROBORAR QUE NO LA HAYAN SACADO ELLOS, DECIDE REALIZAR LA DENUNCIA CORRESPONDIENTE</t>
  </si>
  <si>
    <t>RAPAZ</t>
  </si>
  <si>
    <t>S/ AMENAZA ANONIMA</t>
  </si>
  <si>
    <t>STAN DE ATENCION AL CLIENTE</t>
  </si>
  <si>
    <t>SIENDO LAS 15:00 HORAS SE PRESENTA EL SEÑOR WALTER ALFREDO LLANQUILEO, PARA RADICAR UNA DENUNCIA POR AMENAZAS HACIA SU PERSONA, EL CUAL MANIFIESTA QUE DICHO HECHO SE PRODUJO EL DIA 06/06/10 A LAS 19.35 HS APROXIMADAMENTE MEDIANTE LLAMADO TELEFONICO ANONIMO RECEPCIONADO EN EL STAND DE ATENCION AL CLIENTE PERTENECIENTE A LA EMPRESA AA 2000 POR LA RECEPCIONISTA DE LA MENCIONADA EMPRESA, SE DA INMEDIATA INTERVENCION AL JUZGADO FEDERAL, SECRETARIO DOCTOR WALTER LOPEZ DA SILVA QUIEN DISPONE SE ELEVE LA DENUNCIA SIN REALIZAR NINGUN OTRO PROCEDIMIENTO POR PARTE DE LA PREVENCION, PARA QUE EL JUZGADO PROSIGA CON LAS INVESTIGACIONES.</t>
  </si>
  <si>
    <t>SIENDO LA FECHA Y HORA ANTES MENCIONADA, EN MOMENTOS EN QUE LOS OFICIALES SACOR Y LONGHINI SE ENCONTRABAN EN UNA RECORRIDA POR EL SECTOR MENCIONADO CON ANTERIORIDAD, OBSERVAN Y SORPRENDEN A UNA PERSONA DE SEXO MASCULINO, LA CUAL SE ENCONTRABA REALIZANDO SERVICIO DE MALETERO CARECIENDO DE LA HABILITACION CORRESPONDIENTE,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</si>
  <si>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3415/10</t>
  </si>
  <si>
    <t>TURNO PSA</t>
  </si>
  <si>
    <t>EL DIA DE LA FECHA SE HACE ENTREGA AL PERSONAL DE LA ADMINISTRACIÓN NACIONAL DE ADUANAS, SRA. JOSEFA BEATRIZ LASTRA, LEGAJO Nº 29113-07, CUYOS DATOS CONSTAN EL PERSONAS INVOLUCRADAS, MEDIANTE ACTA DE ENTREGA Nº 36/10 DE ESTA UNIDAD OPERACIONAL DE LA MERCADERÍA QUE FUERA INTERDICTADA MEDIANTE ACTA DE ESTILO Nº 34/10, UOSP POSADAS. LA MERCADERÍA INTERDICTADA CON COPIA DE LO ACTUADO QUEDA EN RESGUARDO DE LA MENCIONADA ADMINISTRACIÓN CON EL FIN DE LA PROSECUCIÓN DEL TRAMITE ADMINISTRATIVO QUE CORRESPONDA.</t>
  </si>
  <si>
    <t>EL DENUCIANTE MANIFIESTA EL EXTRAVIO DEL PERMISO PERSONAL AEROPORTUARIO DE SEGURIDAD PERMANENTE VENCIDO, EL DIA 06 DE JUNIO DE 2010, ENTRE LAS DIECIOCHO Y LAS VEINTE HORAS DENTRO DE LAS INSTALACIONES DEL AEROPUERTO, NO PUDIENDO PRECISAR EL LUGAR EXACTO DONDE LO EXTRAVIO.</t>
  </si>
  <si>
    <t>3290/10</t>
  </si>
  <si>
    <t>EN EL DIA DE LA FECHA SE RECIBE DENUNCIA ESPONTANEA DE LA SRA. ALBA AIDA SEGUEL, QUIEN SE NO QUIERE REALIZARLA POR ESCRITO, POR LO QUE SE ACTUA DE OFICIO, DNDO INTERVENCION AL JUZGADO FEDERAL DE RAWSON, INFORMANDO AL MAGISTRADO INTERVINIENTE QUE POR LAS CARACTERISTICAS DEL HECHO SE TRATARIA DE UN PRESUNTO HURTO DE DOS ROLLOS DE CABLE DE CORRIENTE ELECTRICA EN LAS OFICINAS DE LA ANAC, EN DONDE LA DENUNCIANTE TRABAJA COMO ADMINISTRATIVA, INFORMANDO EL MAGISTRADO INTERVINIENTE SE LABREN LAS ACTUACIONES DE RIGOR Y SEAN REMITIDAS A ESE JUZGADO. ASIMISMO SE INFORMA QUE EL DIA 07/06/2010 SIENDO LAS 14:30 HS ESTA PREVENCION HACE ENTREGA EN SEDE JUDICIAL DE CAUSA 001/10 -REG INTERNO- POR PRESUNTO HURTO.</t>
  </si>
  <si>
    <t>QUE EN EL DIA DE LA FECHA SIENDO APROXIMADAMENTE LAS TRECE HORAS, REGRESO A ESTA DEPENDENCIA LA COMISION POLICIAL JUNTAMENTE CON LA DETENIDA EN AUTOS, LA QUE POR DISPOSICION JUDICIAL DEBERA PERMANECER EN ESTA DEPENDENCIA, EN CARACTER DE DETENIDA INCOMUNICADA HASTA EL DIA 8/06/10, DIA EN QUE A PRIMERA HORA SERA TRASLADADA A SEDE TRIBUNAL. ES TODO CUANTO DEBO INFORMAR</t>
  </si>
  <si>
    <t>3439/10</t>
  </si>
  <si>
    <t>POR MEDIO DEL PRESENTE INFORMO LAS DEPOSICIONES EFECTUADAS POR LA DETENIDA ALOJADA EN EL HOSPITAL DE EZIEZA: DEP. Nº 18 06/06/10 22:00 HS 02 CAPSULAS 26 GRAMOS DEP. N° 19 06/06/10 23:10 HS 01 CAPSULA 12 GRAMOS DEP. N° 20 07/06/10 07:00 HS 03 CAPSULAS 38 GRAMOS DEP. N° 21 07/06/10 08:50 HS 03 CAPSULAS 38 GRAMOS DEP. N° 22 07/06/10 10:10 HS 02 CAPSULAS 26 GRAMOS</t>
  </si>
  <si>
    <t>FEDERAL Nº 1 DE JUJUY</t>
  </si>
  <si>
    <t>CARDOZO</t>
  </si>
  <si>
    <t>MARIANO WENCESLAO</t>
  </si>
  <si>
    <t>DRA. CATALDI MARÍA ALEJANDRA</t>
  </si>
  <si>
    <t>S/INFRACIÓN A LA LEY 25743 LEY DE PROTECCION DEL PATRIMONIO ARQUEOLOGICO Y PALEONTOLOGICO</t>
  </si>
  <si>
    <t>INFORMO QUE EN EL DÍA DE LA FECHA EN CIRCUNSTANCIAS QUE SE REALIZABA LOS CONTROLES PREVIOS AL EMBARQUE DEL VUELO DE AUSTRAL LINEAS AEREAS, SE OBSERVA EN UN BOLSO LA PRESENCIA DE ELEMENTOS QUE POR SUS CARACTERISTICAS PODRÍAN INCURRIR EN INFRACIÓN A LAS LEYES VIGENTES, POR LO QUE SOLICITA A LA PROPIETARIA DEL MISMO, SRA PALMIRA SCERBO DE NACIONALIDAD CANADIENSE, QUE APERTURE EL BOLSO DE MENSIÓN CONSTATANDOSE QUE EN EL INTERIOR DEL MISMO SE ENCONTRABA ELEMENTOS QUE PODRÍAN ESTAR EN INFRACCIÓN A LA LEY 25743 LEY DE PROTECCION DEL PATRIMONIO PALEONTOLOGICO, QUIEN MANIFIESTA QUE ESTOS ELEMENTOS ERAN UN REGALO DE SU HERMANA QUIEN SE ENCONTRABA EN EL SECTOR PUBLICO DE ESTE AEROPUERTO, POR LO QUE SE PROCEDE A BUSCAR DICHA PERSONA, TRATANDOSE DE LA SRA. MIRTHA LUCILA VARGAS ARCE, A LA QUE SE LE PREGUNTA SI POSEE ALGUNA AUTORIZACIÓN PARA EL TRASLADO DE LAS PIEZAS, RESPONDIENDO ESTA QUE A LAS HACHAS DE PIEDRA LAS TIENE EN SU PODER DESDE HACE 45 AÑOS HABIENDOLAS ENCONTRADO EN LUMARA DEPARTAMENTO DE COCHINOCA DE LA PROVINCIA DE JUJUY Y QUE NO CONTABA CON NINGUNA AUTORIZACIÓN, SE PROCEDE A REALIZAR UNA COMUNICACION TELEFONICA CON EL FISCAL FEDERAL Nº 1 DE JUJUY DE TURNO, NO PUDIENDO LOGRAR LA MISMA, POR LO QUE SE EFECTUA UNA COMUNICACIÓN TELEFONICA CON LA SECRETARÍA PENAL Nº 2 DEL JUZGADO FEDERAL Nº 1 DE JUJUY RESPONDIENDO LA DRA CATALDI, A QUIEN SE LE INFORMA SOBRE LOS HECHOS, ORDENANDO ESTA QUE SE PROCEDA AL SECUESTRO DE LOS ELEMENTOS SE IDENTIFIQUE A LA HERMANA DE LA PASAJERA Y QUE LA PASAJERA EMBARQUE EN SU VUELO Y SE REALICE LA COMUNICACIÓN TELEFONICA CON EL FISCAL DE TURNO. SIENDO LAS 17:05 HORAS APROXIMADAMENTE SE ESTABLECE UNA COMUNICACIÓN TELEFONICA CON EL FISCAL FEDERAL DE TURNO Y SE LE INFORMA SOBRE LO ORDENADO POR LA DRA. CATALDI, ORDENANDO ESTE QUE SE DE CUMPLIMIENTO A LO DISPUESTO POR LA SECRETARIA PENAL Y SE ELEVEN LAS ACTUACIONES JUNTO A LOS ELEMENTOS SECUESTRADOS A ESA FISCALIA.</t>
  </si>
  <si>
    <t>POSICION 72</t>
  </si>
  <si>
    <t>SIENDO LA HORA Y EL DÍA ANTES MENCIONADO, SE IMPLEMENTA OPERATIVO DE SEGURIDAD PARA EL ARRIBO DEL VUELO SANITARIO N 601CV PROCEDENTE DE LA REPUBLICA DE VENEZUELA, DEL SR. GUSTAVO CERATTI, QUIEN SE RETIRÓ DE ESTA AEROESTACIÓN CON MÓVILES DEL SERVICIO DE EMERGENCIAS MEDICAS ASSIST-CARD Y CUSTODIADO POR LA POLCÍA FEDERAL ARGENTINA SIN NOVEDAD.</t>
  </si>
  <si>
    <t>N601CV</t>
  </si>
  <si>
    <t>DRA. IGUIÑIZ MONICA</t>
  </si>
  <si>
    <t>MAFFIOLY RUBEN MARIANO S/CONTRABANDO DE ESTUPEFACIENTES</t>
  </si>
  <si>
    <t>MARCELO T. ALVEAR 1657</t>
  </si>
  <si>
    <t>REF. ORDEN DE SERVICIO N° 455/10. EN EL DIA DE LA FECHA PERSONAL DE ESTA UNIDAD SE HACE PRECENTE EN EL DOMICILIO ANTES MENCIONADO REALIZANDO UN AMBIENTAL ANTES DE CUMPLIMENTAR LA ORDEN DE ALLANAMIENTO, DANDO CUENTA QUE LA PERSONA A LA CUAL SE IVA A DETENER NO SE ENCONTRABA EN EL DOMICILIO DESDE HACE UNO DIAS. MEDIANTE COMUNICACION TELEFONICA SE LE DA LA NOVEDAD A SSA. LA CUAL DEJA SIN EFECTO DICHA ORDEN. SE INFORMA EN P.U. 3495, POR ORDEN DE SERVICIO Nº 464/10 SE REALIZO VIGILANCIA EN EL DOMICILIO CITADO. SIENDO LAS 1730 HORAS, SE IDENTIFICA A LA NOMBRADA, SE LA DETIENE Y LA MISMA SERA TRASLADADA A PRIEMRA HORA DEL DIA 09/06/2010 A SEDE DEL TRIBUNAL. SE INFROMA EN P.U. 3509, SIENDO LAS 0900 HORAS DEL DIA 09/06/2010, LA DETENIDA FUE TRASLADADA A SEDE JUDICIAL. EN HORAS 1300 SE LA TRASLADO A LA UOSP METROPOLITANA, DONDE PERMACERIA ALOJADA. SE INFORMA EN P.U. 3511, QUE SE PROCEDE AL ALOJAMIENTO DE LA DETENIDA EN LA UOSP METROPOLITANA. SE INFORMA EN P.U. 3569, EN HORAS 0945 DEL DIA 11/06/2010, SE PROCEDIO AL TRASLADO DE LA DETENIDA A SEDE JUDICIAL.</t>
  </si>
  <si>
    <t>ALCAIDIA MAYOR DE LA UR II</t>
  </si>
  <si>
    <t>EN EL DIA DE LA FECHA SE RECEPCIONA LOS OFICIOS NRO 3077/10 Y NRO 3078/10 EN LOS AUTOS CARATULADOS SRIO AV LEY 23.737 IMP. MAURO MIGUEZ, RUBEN I BUSTAMANTE MENCHO, ALEJANDRO, OCTAVIO DALL ARMELIA, POLLO O COLO, JORGELINA TINTES, CARLOS AVALOS, DEL JUZGADO INTERVINIENTE, QUE ESTABLECEN LA INMEDIATA LIBERACION DE LOS IMPUTADOS, QUE SE ENCUENTRAN DETENIDOS/ALOJADOS EN LA ALCAIDIA MAYOR UR II Y ALCAIDIA DE MUJERES DE UR II RESPECTIVAMENTE, AMBAS DE LA POLICIA DE LA PROVINCIA DE SANTA FE</t>
  </si>
  <si>
    <t>EN EL DIA DE LA FECHA SE RECEPCIONA OFICIO NRO 3084/10 EN LOS AUTOS CARATULADOS SRIO AV LEY 23.737 IMP. MAURO MIGUEZ, RUBEN I BUSTAMANTE MENCHO, ALEJANDRO, OCTAVIO DALL ARMELIA, POLLO O COLO, JORGELINA TINTES, CARLOS AVALOS, DEL JUZGADO INTERVINIENTE, QUE DISPONE LA INMEDIATA LIBERTAD DEL IMPUTADO, QUE SE ENCUENTRA DETENIDO/ALOJADO EN LA ALCAIDIA MAYOR DE UR II DE LA POLICIA DE LA PROVINCIA DE SANTA FE</t>
  </si>
  <si>
    <t>SIENDO LA FECHA Y HORA ANTES MENCIONADA, EN MOMENTOS EN QUE LOS OFICIALES HANEMANN Y LONGHINI SE ENCONTRABAN EN UNA RECORRIDA POR EL SECTOR MENCIONADO CON ANTERIORIDAD, OBSERVAN Y SORPRENDEN A UNA PERSONA DE SEXO MASCULINO, LA CUAL SE ENCONTRABA OFRECIENDO SERVICIO DE MALETERO, FUERA DE LOS LUGARES HABILITADOS SIENDO QUE EL INFRACTOR NO FIGURA EN LAS LISTAS DEL EPRSONAL HABILITADO,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</si>
  <si>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AEROESTACION MILITAR.</t>
  </si>
  <si>
    <t>SIENDO LAS 21:00 HORAS, SE IMPLEMENTA OPERATIVO DE SEGURIDAD CON MOTIVO DE LA PARTIDA DEL SR BILL CLINTON. SIENDO LAS 22:50 HORAS, SE HACE PRESENTE POR VIA TERRESTRE JUNTO A COMITIVA Y CON CUSTODIA DE LA PFA EN ESTE AEROPUERTO METROPOLITANO. EN HORAS 23:20 SE EFECTUA LA PARTIDA DEL EX MANDATARIO Y COMITIVA EN AERONAVE MATRICULA VP-CNI CON DESTINO ESTADOS UNIDOS.SIENDO LAS 23:30 HORAS FINALIZA EL OPERATIVO SIN NOVEDAD.</t>
  </si>
  <si>
    <t>DR. DIEGO SPILLOTI</t>
  </si>
  <si>
    <t>MUZZICATO EDGARDO S/INF 162 EN CONCURSO IDEAL ART 190 CPN</t>
  </si>
  <si>
    <t>MUZZICATO EDGARDO S/INF.162 EN CONCURSO IDEAL ART. 190 CPN</t>
  </si>
  <si>
    <t>UBICADA EN EL SECTOR DE ARRIBOS</t>
  </si>
  <si>
    <t>MAQUINA DE RAYOS X DE AFIP ADUANA</t>
  </si>
  <si>
    <t>INFORMO QUE SIENDO LAS 18:30 HS EN EL SECTOR DE ARRIBOS, AL MOMENTOS DE SCANEAR LOS BOLSOS DE LOS PASAJEROS ARRIBADOS, UTILIZANDO LA MAQUINAS RX DE ADUANA PERSONAL DE ESTA PSA VISUALIZA EN UN EQUIPAJE, VARIOS TUBOS PEQUEÑOS SIMILARES A LOS DE GAS COMPRIMIDOS, AL APERTURAR EL MISMO SE CONSTATA QUE SON DOS CHALECOS SALVAVIDAS, CON LAS INSCRIPCION DE AEROLINEAS ARGENTINAS, ACTO SEGUIDO SE TRASLADA AL PROPIETARIO DEL EQUIPAJE EN CUESTION, HACIA LAS OFICINA DE ESTA UNIDAD OPERACIONAL, ACOMPAÑADOS DE DOS TESTIGOS HABILES. POSTERIORMENTE SE REALIZAN LAS COMUNICACIONES DE RIGOR AL JUZGADO FEDERAL Y A LA FISCALIA FEDERAL. QUEDANDO POR ORDEN DE SU SEÑORIA EL CIUDADANO MUZZICATO EDGARDO IMPUTADO Y AFECTADO A LAS ACTUACIONES SUMARIALES INICIADA POR ESTA UNIDAD OPERACIONAL. SIENDO LAS 20:30 HS SE TRASLADA AL IMPUTADO HACIA EL HOSPITAL REGIONAL DONDE POR NO HABER MEDICO LEGISTA NO SE PUEDE REALIZAR EL PRECARIO MEDICO, A TAL EFECTO SU SEÑORIA DISPONE L A LIBERTAD DEL IMPUTADO.</t>
  </si>
  <si>
    <t>3467/10</t>
  </si>
  <si>
    <t>POR MEDIO DEL PRESENTE INFORMO LAS DEPOSICIONES EFECTUADAS POR LA DETENIDA ALOJADA EN EL HOSPITAL DE EZIEZA: DEP. Nº 23 07/06/10 19:45 HS 01 CAPSULA 12 GRAMOS DEP. N° 24 07/06/10 21:15 HS 01 CAPSULA 14 GRAMOS</t>
  </si>
  <si>
    <t>3465/10</t>
  </si>
  <si>
    <t>INFORMO QUE EN EL DIA DE LA FECHA, SIENDO LAS SIETE HORAS, LA DETENIDA EN AUTOS FUE TRASLADADA AL ASIENTO DEL JUZGADO INTERVINIENTE.-</t>
  </si>
  <si>
    <t>3479/10</t>
  </si>
  <si>
    <t>POR MEDIO DEL PRESENTE INFORMO QUE LA DETENIDA FUE DADA DE ALTA POR LAS AUTORIDADES MEDICAS, PROCEDIENDOSE AL TRASLADO DE LA MISMA A SEDE TRIBUNAL A FIN DE SER INDAGADA. DICHO TRASLADO SE EFECTUO A LAS ONCE HORAS VEINTE MINUTOS DEL DIA DE LA FECHA DEL DIA DE LA FECHA</t>
  </si>
  <si>
    <t>SIENDO LAS DOCE HORAS CON CINCO MINUTOS SE HACE PRESENTE EN ESTA GUARDIA DE PREVENCION EL SR. MALDONADO DOMINGO RAUL, MANIFESTANDO EL EXTRAVIO DE SU PERMISO PERSONAL AEROPORTUARIO NUMERO 322384 CON VENCIMIENTO 20-OCT-2010, VALIDO PARA AEROPUERTO DE MENDOZA, EL MISMO FUE EXTRAVIADO FUERA DE JURISDICCION SIN PODER PRECISAR LUGAR U HORA APROXIMADA.</t>
  </si>
  <si>
    <t>JUZGADO FEDERAL DE 1RA. INSTANCIA - BARILOCHE</t>
  </si>
  <si>
    <t>NN S/ LEY DE ESTUPEFACIENTES</t>
  </si>
  <si>
    <t>7991/10</t>
  </si>
  <si>
    <t>CIUDAD DE SAN CARLOS DE BARILOCHE Y ALREDEDORES.</t>
  </si>
  <si>
    <t>SE LABRA EL PRESENTE CON MOTIVO DE INFORMAR QUE EL JUZGADO FEDERAL DE PRIMERA INSTANCIA DE SAN CARLOS DE BARILOCHE MEDIANTE OFICIO JUDICIAL NRO 991/2010 DE FECHA 07 DE JUNIO DE 2010 Y EN EL MARCO DE LA CAUSA DE MARRAS ORDENA REALIZAR AMPLIAS TAREAS INVESTIGATIVAS, POR EL TERMINO DE 60 DIAS, HACIENDO SABER QUE LAS ACTUACIONES SE ENCUENTRAN EN SEDE JUDICIAL PARA SU COMPULSA. ES MENESTER INFORMAR QUE LA PRESENTE CAUSA NO FUE INICIADA POR ESTA FUERZA, DESCONOCIENDOSE SI HUBIERON DETENCIONES Y EL ESTADO EN QUE SE ENCUENTRA LA MISMA. SIENDO ESTO CUANTO SE PUEDE INFOMRAR HASTA EL MOMENTO.</t>
  </si>
  <si>
    <t>PLATAFORMA DE AVIACION CIVIL</t>
  </si>
  <si>
    <t>NO CORRESPONDE DATOS DE CORREO / COURRIER</t>
  </si>
  <si>
    <t>INFORMO QUE EN EL DIA DE LA FECHA A HORAS: 13:15 ARRIBO A ESTE AEROPUERTO, EN EL SECTOR PLATAFORMA DE AVIACION CIVIL, AERONAVE T10, PROCEDENTE DE BUENOS AIRES, CON CUSTODIA DEL DR. KIRCHNER, A CARGO DEL COMISARIO HECTOR PATRIGNIANI, Y EL SR. JUAN MANUEL AVAL MEDINA, VICE JEFE DEL GABINETE DE LA NACION. A HORAS 14:10, ARRIBO EL LEAR JEAT MATRICULA LV- BXD, PROCEDENTE DE BUENOS AIRES, CON EL DOCTOR NESTOR KIRCHNER, EL GOBERNADOR DE SALTA DR. URTUBEY JUAN MANUEL Y 04 EFECTIVOS DE SEGURIDAD PERSONAL, RETIRANDOSE POR VIA TERRESTRE HACIA LA CIUDAD DE SALTA A HORAS 14:18; SIN NOVEDAD. PERSONAL AFECTADO SEGÚN ORDEN DE SERVICIO Nº 114/10, DE LA UOSP SALTA: 08 NUMERARIOS DE TURNO POLICIAL, 07 DE DESTINOS INTERNOS, 08 DE REFUERZO Y 08 EFECTIVOS DE LA U. O. E. S. A DEL NORTE.</t>
  </si>
  <si>
    <t>SECTOR CAMPO</t>
  </si>
  <si>
    <t>EL OFICIAL MAYOR HERNAN CAPOZUCCA MANIFIESTA QUE DURANTE EL DESARROLLO DE PATRULLA POR CAMPOS DEL AEROPUERTO EXTRAVÍO SU PERMISO PERSONAL AEROPORTUARIO DE IDENTIFICACIÓN, LABRÁNDOSE ACTA AL EFECTO.</t>
  </si>
  <si>
    <t>MOSTRADOR DE HALL CENTRAL</t>
  </si>
  <si>
    <t>EN EL DÍA DE LA FECHA CUANDO SE DISPONÍA A EFECTUAR EL CHECK-IN EL SEÑOR MARCELO DEULOFEU EN COMPAÑÍA DE LA SEÑORA ADRIANA ROMERO PARA EL VUELO Nº 1751 DE LA EMPRESA AEROLÍNEAS ARGENTINAS TRASLADANDO COMO EQUIPAJE PARA DESPACHAR DOS BULTOS RECTANGULARES ENVUELTOS CON PAPEL MADERA DE DISTINTO TAMAÑO Y POR TRATARSE DE DOS TELEVISORES PLASMAS DE CINCUENTA Y CUARENTA Y DOS PULGADAS LES INFORMA PERSONAL DE DICHA EMPRESA QUE DEBEN PRESENTAR LOS PAPELES CORRESPONDIENTES ANTE LA P.S.A. QUIENES SE PRESENTAN Y EXHIBEN UN PRESUPUESTO Nº 1163 COMO FACTURA DE COMPRA EMITIDO POR CASA SONY CYBER SHOT CDE DE CIUDAD DEL ESTE, PARAGUAY Y EN RAZÓN DE NO POSEER LA DOCUMENTACIÓN LEGAL DE INGRESO AL PAÍS Y EL AVAL ADUANERO CORRESPONDIENTE SE PROCEDE A LA INTERDICTAR LA MERCADERÍA MENCIONADA POR PRESUNTA INFRACCIÓN A LA LEY 22.415, SEGÚN ACTA DE ESTILO Nº 037/10, ASIMISMO EN ESTE ACTO SE HACE ENTREGA DE LA MERCADERÍA A PERSONAL DE ADMINISTRACIÓN NACIONAL DE ADUANAS DE POSADAS.</t>
  </si>
  <si>
    <t>POSADAS - MISIONES</t>
  </si>
  <si>
    <t>CIUDA DE SALTA</t>
  </si>
  <si>
    <t>INFORMO EL DIA 08 DE JUNIO DE 2010, SE RECIBE OFICIO S/N EL CUAL HACE REFERENCIA QUE SE DAN POR CONCLUIDAS LAS DILIGENCIAS DE INVESTIGACION ENCOMENDADAS A ESTA U.O.N.C. Y D.C. DEL NORTE. PARTE INICIAL SIPAP 0031/09 DONDE SE INFORMA INICIO DE TAREAS INVESTIGATIVAS PARA DAR CON LOS AUTORES DE AMENAZA TELEFONICA DE BOMBA A LA EMPRESA LAN ARG. ESCLA SALTA EL 24/11/09 - TOMANDO INTERVENCION LA FISCALIA FEDERAL N2 DE SALTA A CARGO DEL DR. JOSE VILLALBA, SECRETARIA DEL SUSCRIPTO BAJO OFICIO Nº 601/09, DE FECHA 25 DE NOVIEMBRE DE 2009, EN LOS AUTOS CARATULADOS: AVERIGUACION ILICITO, EXPTE Nº 54/09, EN DONDE ENCOMIENDA A ESTA U.O.N.C. Y D.C. DEL NORTE QUE PRACTIQUE LAS TAREAS DE INVESTIGACION A FIN DE ESTABLECER EL O LOS AUTORES DE LA AMENAZA EFECTUADA, DICHA FISCALIA DA TRASLADO AL JUZGADO FEDERAL Nº 1 A CARGO DEL DR. JULIO LEONARDO BAVIO SECRETARIA FEDERAL Nº 2 A CARGO DEL DR. SANTIAGO FRENCH PARA CONTINUAR CON DICHAS TAREAS, DANDO INICIO ASI AL EXPTE Nº 907/09 DE FECHA 02 DE FEBRERO DE 2010, CARATULADO SANCHEZ YANINA MARIEL - TURLIONE RUBEN DARIO S/AMENAZA.</t>
  </si>
  <si>
    <t>JUZGADO PRIMERA INSTANCIA DE FAMILIA Y MINORIDAD N° 2 - USHUAIA</t>
  </si>
  <si>
    <t>SECRETARIA DE FAMILIA</t>
  </si>
  <si>
    <t>Mellien</t>
  </si>
  <si>
    <t>Marco</t>
  </si>
  <si>
    <t>MARIA EUGENIA DIAZ</t>
  </si>
  <si>
    <t>QUISPE RICARDO SEBASTIAN C/ ROLDAN, YANINA LORENA S/INTERDICCION DE SALIDA</t>
  </si>
  <si>
    <t>Expte Nº 1317</t>
  </si>
  <si>
    <t>LUZ MARINA Y CANDELA SOLEIL QUISPE S/RESTICCION DE LIBERTAD</t>
  </si>
  <si>
    <t>CONTROL DOCUMENTACION</t>
  </si>
  <si>
    <t>EN EL DIA DE LA FECHA EN UN CONTROL DE RUTINA DEL PREEMBARQUE DEL VUELO AR 2872 SE PROCEDE A LA INDIVIDUALIZACION DE LA SEÑORITA ROLDAN YANINA LORENA Y DE SUS HIJAS MENORES LUZ MARINA Y CANDELA SOLEIL QUISPE, SOBRE QUIENES RECAE INTERDICCION DE SALIDA DE LA PCIA. SE ENTABLA COMUNICACION TELEFONICA CON EL JUZGADO INTERVINIENTE QUIEN DISPONE QUE LAS MENORES NO CONTINUEN VIAJE Y LA SEÑORITA ROLDAN SE PRESENTE EN EL DIA DE MAÑANA EN DICHO JUZGADO A REGULARIZAR LA SITUACION DE LAS MISMAS. SE LABRA ACTA DE NOTIFICACION N° 009/10 Y LA MISMA FIJA DOMICILIO REAL Y EVENTUAL. RETIRANDOSE POSTERIORMENTE LA NOMBRADA Y SUS HIJAS SIN NOVEDAD</t>
  </si>
  <si>
    <t>AR 2872</t>
  </si>
  <si>
    <t>DR. VICTOR DARDO HERRERO</t>
  </si>
  <si>
    <t>MENENDEZ LUCIANO BENJAMIN Y OTROS P.SS.AA HOMICIDIO, PRIVACION ILEGITIMA DE LA LIBERTAD, TORMENTOS, VIOLACION DE DOMICILIO.</t>
  </si>
  <si>
    <t>EXPTE. 1828/2000</t>
  </si>
  <si>
    <t>CALLE HIPOLITO IRIGOYEN NRO. 1821 Y/O CALLE HIPOLITO HIRIGOYEN 1823 - CIUDAD ESTE O NORTE, CONCORDIA - PROVINCIA DE ENTRE RIOS.</t>
  </si>
  <si>
    <t>DANDO CUMPLIMIENTO A LO SOLICITADO EN EL OFICIO DE REFERENCIA, PERSONAL POLICIAL DE ESTA UNIDAD PROCEDE A DAR INICIO CON LAS TAREAS INVESTIGATIVAS EN LOS DOMICILIOS MENCIONADOS EN EL PRESENTE, CON EL FIN DE OBTENER EL PARADERO DEL CIUDADANO MIGUEL ANGEL CHIARELLO, QUIEN UNA VEZ INDIVIDUALIZADO DEBERA SER TRASLADADO AL JUZGADO INTERVINIENTE A EFECTOS DE RECIBIRLE DECLARACION INDAGATORIA EN LA PRESENTE CAUSA.</t>
  </si>
  <si>
    <t>MARCELO T DE ALVEAR 1657</t>
  </si>
  <si>
    <t>REF ORDEN DE SERVICIO N° 461. EN EL DIA DE LA FECHA EL JUZGADO INTERVINIENTE ORDENA SE ESTABLEZCA UNA VIGILANCIA FIJA EN EL DOMICILIO CITADO A FIN DE PODER DAR CON EL PARADERO DE LA IMPUTADA. SIENDO LAS 17:30 HS. SE IDENTIFICA EN LA PUERTA DEL DOMICILIO A LA NOMBRADA, SE LE COMUNICA A SSA. DE ESTE HECHO ORDENANDO SU DETENCION PARA SER TRASLADADA A PRIMERAS HORAS DEL DIA DE MAÑANA A SEDE TRIBUNALICIA.</t>
  </si>
  <si>
    <t>3487/10</t>
  </si>
  <si>
    <t>INFORMO QUE EN EL DIA DE LA FECHA A HORAS 18:55 DESPEGA DEL SECTOR DE PLATAFORMA DE AVIACION CIVIL, DE ESTE AEROPUERTO LA AERONAVE LV-BXD, DESTINO BUENOS AIRES, CON EL DOCTOR KIRCHNER NESTOR Y LA AERONAVE T 10, DESTINO BUENOS AIRES, A HORAS 19:00, CON EL VICE JEFE DE LA NACION SR. JUAN MANUEL AVAL MEDINA. PERSONAL AFECTADO SEGÚN ORDEN DE SERVICIO Nº 114/10 DE LA UOSP SALTA: 08 NUMERARIOS DE TURNO POLICIAL, 07 DE DESTINOS INTERNOS, 08 DE REFUERZO Y 08 EFECTIVO DE LA U.O.E.S.A DEL NORTE</t>
  </si>
  <si>
    <t>DRA. DUFFI MARIA VIRGINIA</t>
  </si>
  <si>
    <t>SECTOR NOROESTE, CONOCIDO COMO COCHUCHAL.</t>
  </si>
  <si>
    <t>A HORAS 18:30 SE PRESENTA EL SR. ACOSTA LUIS, EMPLEADO DE LA EMPRESA AEROPUERTOS ARGENTINA 2000 A RADICAR UNA DENUNCIA POR FALTANTE DE CERCA PERIMETRAL EN EL SECTOR NOROESTE DE ESTE AEROPUERTO, CONOCIDA LA ZONA COMO COCHUCHAL, POR UNA CANTIDAD DE 12 METROS APROXIMADAMENTE DE TELA METALICA TIPO ROMBOIDAL. INMEDIATAMENTE SE ESTABLECE COMUNICACION CON EL MOVIL QUE SE ENCONTRABA EN ESOS MOMENTOS REALIZANDO UN RECORRIDO PERIMETRAL DE RUTINA CONDUCIDO POR EL OF. PPAL. GEREZ CESAR, Y CUSTUDIO OF. AYTE. VILDOZO VICTOR, QUE SE DIRIJAN AL LUGAR DE LOS HECHOS PARA REALIZAR UN RASTRILLAJE POR LA ZONA EN BUSCA DE INDICIOS QUE PUDIERAN AYUDAR A ESCLARECER LOS HECHOS, ARROJANDO ESTOS RESULTADO NEGATIVO. SE ESTABLECE COMUNICACION TELEFONICA CON EL JUZGADO DE TURNO QUIEN ORDENA SE LABREN LAS ACTUACIONES DE RIGOR Y SE ELEVEN CON POSTERIORIDAD.-</t>
  </si>
  <si>
    <t>SE PROCEDE A LA RETENCION DE UNA SACA COLECTORA DEL CORREO OFICIAL, SEGUN CONSTA EN ACTA DE RETENCION DE CARGAS Nº 0296/10, QUE ORIGINA LA PREVENCION SUMARIA Nº 066/10. LA SACA IDENTIFICADA CON MARBETE Nº SLA0161664D636300NQN, PRECINTO Nº D054906, CON UN PESO DE 6,000 KGS, CON DESTINO A LA CIUDAD DE NEUQUEN, LA QUE SERIA DESPACHADA A TRAVEZ DE LA EMPRESA DE CARGA AEREA JET PAQ. LA RETENCION SE REALIZA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t>
  </si>
  <si>
    <t>AV. 9 DE JULIO Y CALLE ARROYO.</t>
  </si>
  <si>
    <t>TRAYECTO DESDE VEREDA PERGOLA DE LA TERMINAL A HASTA CIUDAD AUTONOMA DE BUENOS AIRES</t>
  </si>
  <si>
    <t>QUE EL DAMNIFICADO ABORDO EN ESTE MEDIO UN VEHICULO TAXI DE CAPITAL OFRECIDO A VIVA VOZ POR SU CONDUCTOR EN EL SECTOR DE PERGOLA DE ARRIBOS DE LA TERMINAL A DE ESTE MEDIO, SIN RECORDAR DATOS O CARACTERISTICAS DEL VEHICULO, DESCRIBIENDO AL CONDUCTOR DEL VEHICULO, DE UNOS TREINTA Y CINCO AÑOS DE EDAD, DE CABELLO CORTO COLOR CLARO. QUE AL ARRIBAR A LA CIUDAD AUTONOMA DE BUENOS AIRES EL DENUNCIANTE DESCIENDE DEL VEHICULO A EFECTOS DE DIRIGIRSE A UN CAJERO AUTOMATICO DEJANDO SUS PERTENENCIAS ABORDO DEL VEHICULO Y A RESGUARDO DE SU CONDUCTOR. QUE AL REGRESAR EL DENUNCIANTE SE PERCATA QUE EL TAXISTA SE HABIA RETIRADO DEL LUGAR CON SUS PERTENENCIAS. POR LO QUE EL DAMINIFICADO DECIDE REGRESAR AL AEROPUERTO A FIN DE RADICAR LA CORRESPONDIENTE DENUNCIA PENAL.</t>
  </si>
  <si>
    <t>AVERIGUACION DE POSIBLE DELITO DE ACCION PUBLICA</t>
  </si>
  <si>
    <t>STAND DE INFORMES DE AA 2000</t>
  </si>
  <si>
    <t>UNA EMPLEADA DE AA2000 RECIBE UN LLAMADO TELEFONICO DEL NUMERO DE ABONADO 4786-7219 RESULTANDO EMISOR UN MASCULINO EL CUAL NO SE IDENTIFICA QUE MANIFIESTA QUE SE DEBERA EVITAR LA SALIDA DEL VUELO DE LA EMPRESA AEROLINEAS ARGENTINAS N·AR 1954 CON DESTINO A LA CIUDAD DE JOHANNESBURGO, SE ENTABLOCOMUNICACION CON LA JUDICATURA INTERVINIENTE QUIEN DISPUSO SE REFUERZE LOS CONTROLES DE SEGURIDAD SOBRE EL PASAJE Y SUS EQUIPAJES DEL VUELO EN CUESTION Y SE RECIBA DECLARACION TESTIMONIAL A LA EMPLEADA AEROPORTUARIA QUIEN RECIBIO EL LLAMADO, Y QUE SE LABRE CONSTANCIA INTERNA EN CASO DE NO CONSTATARSE NINGUN ILICITO. SIENDO LAS 18 50HS EL VUELO CITADO ABANDONO ESTE AEROPUERTO SIN NOVEDAD. SIENDO LAS 19.00 HS, SE EFECTUA NUEVA COMUNICACION CON LA JUDICATURA INTERVINIENTE QUIEN DISPONE QUE LAS ACTUACIONES SEAN ELEVADAS A SEDE JUDICIAL BAJO LA CARATULA AVERIGUACION DE POSIBLE DELITO DE ACCION PUBLICA.</t>
  </si>
  <si>
    <t>PRIMER PISO - TERMINAL A - LOCAL INTERBAIRES</t>
  </si>
  <si>
    <t>LOCAL 22 DEL DUTY FREE SHOP</t>
  </si>
  <si>
    <t>QUE EL DIA INDICADO EL DENUNCIANTE ES ADVERTIDO POR PERSONAL DE CAMARAS DEL MENCIONADO LOCAL, QUE UNA PASAJERA SE ENCONTRABA REALIZANDO MANIOBRAS DISTRACTIVAS CON UN PAR DE ANTEOJOS, LOS CUALES SE HABRIA COLOCADO EN LA CABEZA. QUE AL MOMENTO DE LLEGAR AL SECTOR DE CAJAS, NO ABONO LOS MISMOS. POR LO QUE SE DIO INTERVENCION A LA PSA, QUIEN MANTUVO COMUNICACION TELEFONICA CON EL MAGISTRADO INTERVINIENTE, ORDENANDO QUE SE RECIBA LA DENUNCIA, SE LABREN ACTUACIONES DE RIGOR, BAJO LA CARARULA CITADA, Y SE ELEVE TODO LO ACTUADO JUNTO CON LA DETENIDA EL DIA DE LA FECHA A SEDE JUDICIAL.</t>
  </si>
  <si>
    <t>CAMARA EN LO PENAL SALA IV</t>
  </si>
  <si>
    <t>CENTRO JUDICIAL DE SAN MIGUEL DE TUCUMAN</t>
  </si>
  <si>
    <t>HORACIO LAZARO</t>
  </si>
  <si>
    <t>DR. JOSE FRANCISCO LUQUE</t>
  </si>
  <si>
    <t>ROLDAN SERGIO GUSTAVO Y OTROS S/HOMICIDIO AGRAVADO - INCIDENTE DE LIBERTAD CONDICIONAL</t>
  </si>
  <si>
    <t>23290/01-125</t>
  </si>
  <si>
    <t>QUE SIENDO LA HORA INDICADA ARRIBO EN EL VUELO DE MENCION EL PASAJERO SERGIO GUSTAVO ROLDAN, SOBRE QUIEN PESA UNA ORDEN DE CAPTURA EMANADA POR LA JUDICATURA ANTES NOMBRADA. QUE DE ACUERDO A LA ORDEN DE SERVICIO NUMERO 337/2010 Y EN VIRTUD AL OFICIO JUDICIAL NUMERO 879 SE PROCEDE A LA DETENCION DEL MENCIONADO. QUE UNA VEZ INFORMADA LA JUDICATURA SOBRE EL ARRIBO DEL CIUDADANO DE MENCION DISPUSO QUE EL MISMO PERMANEZCA ALOJADO EN ESTA DEPENDENCIA DETENIDO EN CALIDAD DE COMUNICADO HASTA TANTO SE HAGA PRESENTE PERSONAL DE LA POLICIA DE LA PROVINCIA DE TUCUMAN QUIENES SE ENCARGARAN DE TRASLADAR AL CAUSANTE HACIA ESA PROVINCIA, SE LABREN ACTUACIONES DE RIGOR, NOTA AL REGISTRO NACIONAL DE REINCIDENCIA Y ESTADISTICA CRIMINAL, NOTA A INTERPOL CAVIA E INTERPOL EZEIZA, CINCO JUEGOS DE FICHAS DACTILOSCOPICAS. SEGUN P.U 3519 SE INFORMA QUE SE MONTA OPERATIVO DE SEGURIDAD EN EL VUELO ANTES CITADO EN EL CUAL ADEMAS DEL DETENIDO ROLDAN SERGIO REGRESABAN 9 BARRAS BRAVAS MAS QUE NO FUERON ADMITIDOS EN LA REPUBLICA DE SUDAFRICA, SIENDO ELLOS TUCCI LUIS DNI 20.573.653, DE RESPINIS PABLO MARCELO DNI 20.583.871, GOMEZ DIEGO MARTIN DNI 28.213.803, BRACAMONTE ANDRES ALEJANDRO DNI 22.087.961, NAVARRO JULIO CESAR DNI 16.382.024, TAGLIARINO EMILIANO DNI 26.518.316, DUARTE JUAN MARCELO DNI 23.904.227, GONZALEZ MARIANO GASTON DNI 30.921.740, ALVAREZ PABLO ALEJANDRO DNI 23.327.153. EL OPERATIVO FINALIZA 00.30HS DEL DIA 09/06/2010 S/N. SEGUN P.U Nº 3548 SE INFORMA QUE SE HACE PRESENTE EN EL TURNO DE PREVENCION UNA COMISION DE LA POLICIA DE LA PROVINCIA DE TUCUMAN A LOS EFECTOS DE TRASLADAR AL DETENIDO HACIA LA MENCIONADA PROVINCIA. SIENDO LAS 5.00HS DEL DIA 11/6/2010 SE RETIRA LA COMISION POLICIAL CON EL DETENIDO Y LA TOTALIDAD DE LOS EFECTOS PERSONALES DEL MISMO.</t>
  </si>
  <si>
    <t>PZ-700</t>
  </si>
  <si>
    <t>N° 2 DE ROSARIO</t>
  </si>
  <si>
    <t>DRA. MARIA VICTORIA GASTELLU</t>
  </si>
  <si>
    <t>SRIO AV INF LEY 23737-IMP CHELIA CARLOS Y OTS-</t>
  </si>
  <si>
    <t>086/2010</t>
  </si>
  <si>
    <t>SRIO AV INF LEY 23737 -CHELIA Y OTS-</t>
  </si>
  <si>
    <t>LOCALIDADES DE ROSARIO, GRANADERO BAIGORRIA, VENADO TUERTO Y ALEDAÑAS. PROVINCIA DE SANTA FE.</t>
  </si>
  <si>
    <t>EN EL DíA DE LA FECHA SE RECIBE OFICIO NRO. 354 DE LA FISCALíA A CARGO DE LA INSTRUCCIóN DONDE ORDENA REALIZAR TAREAS DE INVESTIGACIóN TENDIENTES A CORROBORAR O DESESTIMAR LOS HECHOS DENUNCIADOS Y DETERMINAR SI LAS PERSONAS DENUNCIADAS REALIZAN CONDUCTAS EN INFRACCIóN A LA LEY 23737. LA DENUNCIA ES REALIZADA POR UNA PERSONA CON ANTECEDENTES PENALES DE NOMBRE VíCTOR VENANCIO GESPONE, ANTE LA DRA. COSIDOY. EN FECHA 2/10/2009 LA DRA. LAURA COSIDOY, INTEGRANTE DEL TRIBUNAL ORAL NRO. 1 DE ROSARIO, PRESENTA LA DENUNCIA ANTE EL MINISTERIO PúBLICO FISCAL. LAS PERSONAS DENUNCIADAS SON CARLOS ALBERTO CHELIA Y SU ENTORNO FAMILIAR, DE VENADO TUERTO; JAVIER INSAURRALDE, DOMICILIADO EN ROSARIO Y DAVID ZACARíAS DOMICILIADO EN GRANADERO BAIGORRIA, QUIENES TENDRíAN VINCULACIóN CON LA COMERCIALIZACIóN DE ESTUPEFACIENTES. LAS TAREAS INVESTIGATIVAS SE REALIZAN POR ORDEN DE SERVICIO NRO. 134/2010.- LOS DATOS VOLCADOS EN EL PRESENTE FUERON RECABADOS DEL TOMADO VISTA DEL EXPEDINETE N° 91272/10.-</t>
  </si>
  <si>
    <t>EN LA FECHA SE LLEVO A CABO DISPOSITIVO DE SEGURIDAD TESORO REGIONAL, DE ACUERDO A ORDEN DE SERVICIO Nº 027/10 DE ESTA UOSP.EL TRASLADO AEREO DE LOS VALORES SE REALIZO EN AERONAVE FOQUER DE FUERZA AEREA TC-55. POSTERIOR AL DESPEGUE DE LA CITADA AERONAVE Y SIENDO LAS 12:55 HS FINALIZO OPERATIVO SIN NOVEDAD.</t>
  </si>
  <si>
    <t>3495/10</t>
  </si>
  <si>
    <t>REF. ORDEN DE SERVICIO N° 464.SE INFORMA QUE EN EL DIA DE LA FECHA LA DETENIDA FUE TRASLADADA A SEDE JUDICIAL A LAS 09:00 HS. Y LUEGO DE HABERLE TOMADO SSA. DECLARACION INDAGATORIA, SIENDO LAS 13:00 HS. SE LA TRASLADO A LA UNIDAD OPERACIONAL DE SEGURIDAD PREVENTIVA METROPOLITANA ,DONDE PERMANECERA ALOJADA A DISPOSICION DE SSA.</t>
  </si>
  <si>
    <t>denuncia anonima s/infracción ley 23737</t>
  </si>
  <si>
    <t>38/10</t>
  </si>
  <si>
    <t>EL DIA 09 DE JUNIO DE 2010 SE RECEPCIONA MEMORANDO N° 1072/10 PRODUCIDO POR EL SUBJEFE DE LA URSA III DEL NORTE, EL CUAL DA TRASLADO AL OFICIO JUDICIAL N° 1613/10 DE FECHA 08-JUN-10 EN RELACIÓN AL EXPTE 38/10 CARATULADO DENUNCIA ANONIMA S/INFRACCIÓN LEY 23737, DEL REGISTRO DEL JUZGADO FEDERAL N°1, A CARGO DEL DR. LEONARDO BAVIO, SECRETARIA PENAL N°2 A CARGO DEL DR. SANTIAGO FRENCH, EN EL QUE SE SOLICITA QUE PERSONAL PERTENECIENTE A ESTA UNIDAD COMPAREZCA ANTE EL TRIBUNAL, PROCEDA A TOMAR VISTA DE LAS PRESENTES ACTUACIONES Y ASUMA LA INVESTIGACION CORRESPONDIENTE.- POR TAL MOTIVO ESTA UNIDAD GENERO ORDEN DE SERVICIO 019/10 DE FECHA 09-JUN-10 A LOS FINES DE CUMPLIMENTAR DICHO MANDATO JUDICIAL. NO SE TIENE AL MOMENTO DEL PRESENTE, MAS DATOS DEL EXPEDIENTE.</t>
  </si>
  <si>
    <t>MAFFIOL Y RUBEN MARIANO S/CONTRABANDO DE ESTUPEFACIENTES.</t>
  </si>
  <si>
    <t>GUARDIA DE PREVENCION - CELDAS CABECERA SUR.</t>
  </si>
  <si>
    <t>SIENDO LAS 13:00 HS SE HACE PRESENTE EN ESTA GUARDIA DE PREVENCION PERSONAL DE LA DOCNYDC-URSA 1, CON MOTIVO DEL TRASLADO DE LA IMPUTADA BENTANCOUR PAULA CON EL FIN DE PROCEDER AL ALOJAMIENTO EN LAS DEPENDENCIAS DE ESTA UNIDAD. SIN NOVEDAD.</t>
  </si>
  <si>
    <t>ATENTO A ORDEN DE SERVICIO N° 157/10 EMANADA DE LA URSA II DEL CENTRO DE FECHA 09-JUN -10 EN RELACION A OPERATIVO DE SEGURIDAD DE LA AERONAVE DE LA FUERZA AEREA ARGENTINA TC 55 N° FAA 504 EL CUAL PORTABA VALORES PARA EL BANCO DE LA NACION ARGENTINA SE DEJA CONSTANCIA QUE EL OPERATIVO DE MENCION FINALIZO A LAS 14.45HS SIN NOVEDAD.</t>
  </si>
  <si>
    <t>FAA 504</t>
  </si>
  <si>
    <t>DRA. DALEIA LILIANA MARTA</t>
  </si>
  <si>
    <t>SILVA ROBERTO CESAR S/CONTRABANDO DE ESTUPEFACIENTES.</t>
  </si>
  <si>
    <t>5020/2010</t>
  </si>
  <si>
    <t>CALLE SAN JOSE Y CHILE - BARRIO DE MONSERRAT - CABA</t>
  </si>
  <si>
    <t>INFORMO QUE PERSONAL DE ESTA UNIDAD JUNTO CON PERSONAL DE LA ADUANA EN CUMPLIMIENTO A LO SOLICITADO EN EL OFICIO DE REFERENCIA, DESDE EL DIA DE LA FECHA SE ENCUENTRAN ABOCADOS A LAS TAREAS DE CARACTER INVESTIGATIVO LLEVADAS A CABO EN EL BARRIO DE MONSERRAT, C.A.B.A., DONDE FUNCIONARIA UNA AGENCIA DE TURISMO DE NOMBRE PEZZATI VIAJES, UBICADO ENTRE LA CALLE SAN JOSE Y CHILE.</t>
  </si>
  <si>
    <t>IGUINIZ MONICA</t>
  </si>
  <si>
    <t>ACTUACIONES COMPLEMENTARIAS RELACIONADAS CON LA CAUSA 9934 MAFFIOLY RUBEN MARIANO S/CONTRABANDO DE ESTUPEFACIENTES</t>
  </si>
  <si>
    <t>MARCELO T. DE ALVEAR 1657, PLANTA BAJA DEPARTAMENTO 2.</t>
  </si>
  <si>
    <t>CON REFERENCIA A LA ORDEN DE SERVICIO NRO. 466/10 INFORMO QUE EN EL DIA DE LA FECHA SE REALIZO ALLANAMIENTO EN LA FINCA INDICADA, CON RESULTADO NEGATIVO EN CUANTO AL HALLAZGO DE SUSTANCIA ESTUPEFACIENTE Y ELEMENTOS DE INTERES PARA LA CAUSA, POR LO CUAL NO SE REALIZO SECUESTRO ALGUNO.</t>
  </si>
  <si>
    <t>PATIO DE VALIJAS - PLATAFORMA COMERCIAL - BODEGA DE AERONAVE - TRANSPORTE DEL EQUIPAJE HASTA HOTEL</t>
  </si>
  <si>
    <t>EN EL DIA DE LA FECHA SE HACE PRESENTE UNA PERSONA CON MOTIVO DE DENUNCIAR UN HECHO DE CARACTER DELICTIVO. LA MISMA MANIFIESTA QUE EL DIA 3 DE JUNIO SE HIZO PRESENTE EN ESTE AEROPUERTO METROPOLITANO CON EL FIN DE ABORDAR EL VUELO AU 2528, CON DESTINO A LA CIUDAD DE CÓRDOBA, SEGUIDAMENTE SE DIRIJE A DESPACHAR SU EQUIPAJE. AL ARRIBAR EN LA CIUDAD DE DESTINO, SE DIRIGIÓ A RETIRAR SU BOLSO, Y SE PERCATA DE QUE DICHO BOLSO NO HABIA LLEGADO, POR LO QUE SE DIRIGIÓ A LA COMPAÑIA AEREA A HACER EL RECLAMO CORRESPONDIENTE, DONDE LE INFORMARON QUE SU EQUIPAJE HABIA QUEDADO EN BUENOS AIRES, Y QUE AL DÍA SIGUIENTE ELLOS SE LO ENVIARÍAN AL LUGAR DONDE SE HOSPEDARIA. AL DIA SIGUIENTE EN HORAS DE LA MAÑANA LE ENVÍAN EL EQUIPAJE AL HOTEL ORFEO, DONDE ESTABA HOSPEDADO Y AL REVISAR SU EQUIPAJE SE PERCATA DEL FALTANTE DE ALGUNAS PERTENENCIAS, MOTIVO POR EL CUAL SE PRESENTA EN EL DÍA DE LA FECHA EN ESTA DEPENDENCIA POLICIAL A FIN DE RADICAR FORMAL DENUNCIA.</t>
  </si>
  <si>
    <t>3368/10</t>
  </si>
  <si>
    <t>INFORMO EN EL DIA DE LA FECHA, ESTA JEFATURA FINALIZO Y ELEVO SUMARIO PREVENTIVO 0004/2010 AL JUZGADO FEDERAL DE INSTRUCCIÓN DE RAWSON PROVINCIA DE CHUBUT. SE AMPLIARA DICHO PARTE AL RECIBIR NUMERO Y CARATULA JUDICIAL-.</t>
  </si>
  <si>
    <t>SIENDO LA FECHA Y HORA ANTES MENCIONADA, EN MOMENTOS EN QUE LOS OFICIALES KALENBERG Y CAFFERATA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</si>
  <si>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DESDE LA MANGA DE LA AERONAVE HASTA EL SECTOR PUBLICO TERMINAL A</t>
  </si>
  <si>
    <t>EL DIA 08 DE JUNIO DE 2010, SE MONTA OPERATIVO DE SEGURIDAD SEGUN ORDEN DE SERVICIO Nº 337 EMANADA POR LA REGIONAL I DEL ESTE, QUE SIENDO LA HORA INDICADA ARRIBA EL VUELO DE MENCION EN EL CUAL REGRESABAN AL PAIS 10 BARRABRAVAS POR NO SER ADMITIDOS EN SUDAFRICA, DE LOS CUALES UNO DE ELLOS TIENE PEDIDO DE CAPTURA, REALIZANDO REFUERZO DE SEGURIDAD EN EL SECTOR RESTRINGIDO DE LA TERMINAL A Y EN EL SECTOR PUBLICO DE LA MISMA A FIN DE EVITAR INCIDENTES. CULMINANDO A LAS 00:30HS. SIN NOVEDAD</t>
  </si>
  <si>
    <t>PZ 700</t>
  </si>
  <si>
    <t>DENUNCIA S/HURTO</t>
  </si>
  <si>
    <t>PLATAFORMA DE HANGARES DE LA EMPRESA AEROLINEAS ARGENTINAS</t>
  </si>
  <si>
    <t>EL DIA 04 DEL CORRIENTE MES Y AÑO, EN HORAS DE LA MAÑANA EL DENUNCIANTE RECIBE COMUNICACION TELEFONICA POR PARTE DEL JEFE DE TALLER DE LA EMPRESA INTERCARGO S.A.C., QUIEN DA CUENTA QUE PERSONAL DE VIGILANCIA DE LA EMPRESA USS LE ANOTICIO SOBRE UN FALTANTE DE DOS BATERIAS DE 12 VOLTS DE 100 AMPERES CADA UNA, PERTENECIENTES A UNA TIJERA PARA CARGA DE CONTENEDORES IDENTIFICADA COMO UNIDAD 0126 PROPIEDAD DE LA EMPRESA INTERCARGO S.A.C., NO PUEDIENDO DETERMINAR LA FECHA Y LA HORA DEL HECHO, POR LO QUE DECIDE PRESENTARSE EN EL DIA DE LA FECHA EN ESTA DEPENDENCIA POLICIAL A FINES DE REALIZAR FORMAL DENUNCIA.</t>
  </si>
  <si>
    <t>VERA LIMA ANIBAL ROBERTO S/EXTRADICCION EXPTE.14-V-06</t>
  </si>
  <si>
    <t>DESDE LA SALA DE EMBARQUE POR LA MANGA HASTA LA AERONAVE</t>
  </si>
  <si>
    <t>EMBARCA DESDE ESTA PROVINCIA SIN NOVEDAD EL DETENIDO Y SU CORRESPONDIENTE CUSTODIA DE INTERPOL POLICIA FEDERAL ARGENTINA DE BUENOS AIRES POR LO QUE SE IMPLEMENTA EL OPERATIVO DE SEGURIDAD DE ACUERDO A LO INFORMADDO A TRAVES DE ORDEN DE SERVICIO 121/10 DE FECHA 09 JUNIO 2010</t>
  </si>
  <si>
    <t>AEROPARQUE - CIUDAD AUTONOMA DE BUENOS AIRES</t>
  </si>
  <si>
    <t>AEROAPRQUE - CIUDAD AUTONOMONA DE BUENOS AIRES</t>
  </si>
  <si>
    <t>Intimidacion Publica</t>
  </si>
  <si>
    <t>INF. AL ART. 211 DEL C.P.N.</t>
  </si>
  <si>
    <t>DEBAJO DE LOS ASIENTOS UBICADOS ENTRE EL SECTOR DE INFORMES DE AA2000 Y EL STAND DE TAXIS EZEIZA</t>
  </si>
  <si>
    <t>QUE SIENDO LAS 19:50 PERSONAL POLICIAL DESTACADO EN LA PATRULLA DEL LUGAR MENCIONADO DETECTO LA PRESENCIA DE UN BULTO SOSPECHOSO. POR TAL MOTIVO, SE ESTABLECIO EL PERIMETRO DE SEGURIDAD CON EL FIN DE AISLAR DICHO OBJETO Y SE DIO AVISO AL C.O.C. SOBRE LOS HECHOS NO PUDIENDO DETERMINAR ESTE LAS CIRCUNSTANCIAS EN QUE FUE DEPOSITADO EL BULTO EN CUESTION, POR LO QUE SE DIO INTERVENCION AL G.E.D.E.X. Y AL PERSONAL DE BOMBEROS DE LA P.F.A., QUIENES EFECTUARON LOS PROCEDIMIENTOS DE RIGOR OBTENIENDO RESULTADO NEGATIVO EN CUANTO A QUE EL BULTO NO REPRESENTABA NINGUN RIESGO PARA LA SEGURIDAD PUBLICA NI DE LA AVIACION, ASI COMO TAMPOCO CONTENIA SUSTANCIAS PROHIBIDAS. POR TAL MOTIVO, EL JUZGADO INTERVINIENTE DISPUSO QUE SE LABRE LA CORRESPONDIENTE ACTA DE PROCEDIMIENTO, SE CARATULE INFRACCION AL ART. 211 DEL CPN, SE SECUESTRE EL ELEMENTO, SE SOLICITE INFORME TECNICO AL PERSONAL DEL GEDEX, CIERRE Y ELEVACION.</t>
  </si>
  <si>
    <t>DR. JORGE GARCIA DUVINI</t>
  </si>
  <si>
    <t>YU MING YING S/FALSIFICACION DE DOCUMENTO</t>
  </si>
  <si>
    <t>18206/05</t>
  </si>
  <si>
    <t>SIENDO LA HORA INDICADA SE RECEPCIONA POR PARTE DE LA DNM NOTA DE CUSTODIA S/N REFERENTE A LA ORDEN DE CAPTURA EMITIDA POR LA JUDICATURA CITADA, DE LA CIUDADANA NATURALIZADA ARGENTINA MENCIONADA. POR TAL MOTIVO, SE EFECTUA COMUNICACION CON EL JUZGADO SOLICITANTE DE LA MEDIDA QUIEN DISPUSO SE DETENGA A LA CAUSANTE EN CALIDAD DE COMUNICADA, Y SE LA TRASLADE A SEDE JUDICIAL EL DIA 10 DEL CORRIENTE MES Y AÑO A PRIMERA HORA JUNTAMENTE, SE EXTRAIGAN FICHAS DACTILOSCOPICAS, SE REALICE CONSULTA CON EL REGISTRO NACIONAL DE REINCIDENCIA E INTERPOL, FOTOGRAFIA FRENTE Y PERFIL. SEGUN PU N· 3529, SE INFORMA QUE SIENDO LAS 07.00 HS DEL DIA 10/06/2010, LA CAUSANTE FUE REMITIDA A LA SEDE DEL JUZGADO SOLICITANTE JUNTO CON LAS ACTUACIONES SUMARIAS.</t>
  </si>
  <si>
    <t>EN CUMPLIMIENTO DE LA ORDEN DE SERVICO NRO. 0049/10 Y SIENDO LAS 01:22 HORAS LOCAL ARRIBA AERONAVE AIR BUS A 320, MATRICULA LV-BFO, PERTENECIENTE A LA EMPRESA LAN ARGENTINA Y EN CUYAS BODEGAS 11, 12, 31, 32 Y 42 SE EMBARCAN UN TOTAL DE 242 CAJAS CON UN PESO DE 5453 KILOGRAMOS DE METAL-MTD- PERTENECIENTES A LA EMPRESA MINERA CERRO VANGUARDIA CON DESTINO EL AEROPUERTO INTERNACIONAL JORGE NEWBERY DE CAPITAL FEDERAL. EL MENCIONADO VUELO DESPEGA DE ESTA CIUDAD SIENDO LAS 03:05 HORAS LOCAL.</t>
  </si>
  <si>
    <t>NAC DE 1º INST EN LO CRIMINAL DE INST Nº 33</t>
  </si>
  <si>
    <t>SECRETARIA N° 170</t>
  </si>
  <si>
    <t>Otero</t>
  </si>
  <si>
    <t>Eliseo Ruben</t>
  </si>
  <si>
    <t>DR. MARTIN HERNANDEZ</t>
  </si>
  <si>
    <t>POR EL DELITO DE LESIONES GRAVES Y LEVES EN RIÑA</t>
  </si>
  <si>
    <t>38996/06</t>
  </si>
  <si>
    <t>SIENDO LA HORA MENCIONADA SE RECEPCIONA NOTA ESTILO POR PARTE DE LA DNM LA CUAL SOLICITA CUSTODIA POLICIAL SOBRE UNA PERSONA DE SEXO FEMENINO SOBRE LA CUAL RECAE UNA ORDEN DE CAPTURA. POR LO TANTO CON EL FIN DE EFECTIVIZAR LO SOLICITADO SE TRASLADA A LA PASAJERA A LA GUARDIA PREVENTIVA Y SE ENTABLA COMUNICACION CON EL JUZGADO SOLICITANTE DE LA MEDIDA QUIEN DISPONE SE NOTIFIQUE A LA MISMA QUE DEBERA COMPARECER AL MAGISTRADO SOLICITANTE DENTRO DE LOS TRES DIAS DE NOTIFICADA, CONSTATACION DE DOMICILIO Y DE SER CONSTATADO POSITIVAMENTE SE PROCEDA A LA LIBERACION DE LA MISMA. SIENDO LA 1.30 HORAS DEL DIA 10-06-10 SE RETIRA DE ESTA DEPENDENCIA POR SUS PROPIOS MEDIOS CONFORME CON LOS TRATOS RECIBIDOS.</t>
  </si>
  <si>
    <t>TA025</t>
  </si>
  <si>
    <t>MAQUINA DE RX COURRIER</t>
  </si>
  <si>
    <t>BODEGA DE EXPORTACION</t>
  </si>
  <si>
    <t>JOHN POL ROSSET GARCIA, MORENO 2114 ROSARIO, ARGENTINA C.P. 2000</t>
  </si>
  <si>
    <t>SIYABONGA PHAKATHI, 107 SMITH STREET DURBAN FLAT 86 SUDAFRICA C.P. 4001</t>
  </si>
  <si>
    <t>QUE SIENDO LAS 01:30 HS. PERSONAL POLICIAL UBICADO EN LA BODEGA DE EXPORTACION DETECTO QUE EL INTERIOR DE UNA CARGA COMPUESTA DE UNA CAJA DE CARTON CERRADA MEDIANTE FAJA DE LA EMPRESA DHL OBRABAN VARIAS FIGURAS DE SUSTANCIA ORGANICA SIN PODER DETERMINAR DE QUE TIPO DE SUSTANCIA SE TRATABA. ATENTO A ELLO, LUEGO DE APERTURADA LA CAJA EN CUESTION SE PUDO CONSTATAR QUE OBRABABAN CUATRO CAJAS DE CARTON CONTENIENDO ELEMENTOS ELECTRONICOS PARA COMPUTADORAS Y QUE EN DOS LOS BORDES DE CADA UNA DE LAS CITADAS CAJAS OBRABA UN PEQUEÑO PAQUETE CONFECCIONADOS CON PAPEL MADERA, HACIENDO UN TOTAL DE OCHO PAQUETES DE IGUALES CARACTERISTICAS DISTRIBUIDOS DE A DOS POR CAJA, LOS CUALES CONTENIAN SUSTANCIA GOMOSA DE COLOR BLANCO QUE AL SER SOMETIDA A REACTIVO QUIMICO EN CADA UNO DE LOS REFERIDOS PAQUETES ARROJO RESULTADO POSITIVO COCAINA. QUE DEBIDO A LA NATURALEZA DEL PROCEDIMIENTO NO HAY IMPUTADOS. QUE DE LOS DATOS DE LA GUIA AEREA SE DESPRENDE LA SIGUIENTE INFORMACION: GUÍA N° 1293596231, ENVIADA POR EL NUMERO DE CUENTA 730056692 A NOMBRE DEL REMITENTE JOHN POL ROSSET GARCIA, DIRECCIÓN MORENO 2114 - ROSARIO -ARGENTINA, CÓDIGO POSTAL 2000, TEL/FAX 5434161649214, PARA EL DESTINATARIO SIYABONGA PHAKATHI, DIRECCIÓN DE ENTREGA 107, SIMTH STREET DURBAN FLAT 86, PAÍS DE SUDÁFRICA, CÓDIGO POSTAL NUMERO 4001, PERSONA A CONTACTAR SIYABONGA PHAKATHI, FECHA 08/06/2010. PTO.-</t>
  </si>
  <si>
    <t>EZEIZA // ESPAÑA, MADRID</t>
  </si>
  <si>
    <t>DURBAN</t>
  </si>
  <si>
    <t>3525/10</t>
  </si>
  <si>
    <t>QUE SIENDO LAS 07:00 HS. DEL DIA DE LA FECHA, LA CAUSANTE FUE REMITIDA A SEDE DEL JUZGADO SOLICITANTE DE LA MEDIDA RESTRICTIVA DE ACUERDO A LO OPORTUNAMENTE INDICADO, EN UN MOVIL DE DOTACION DE ESTA DEPENDENCIA, JUNTO CON LAS ACTUACIONES SUMARIAS. PTO.-</t>
  </si>
  <si>
    <t>3499/10</t>
  </si>
  <si>
    <t>SE PROCEDE A LA APERTURA DE UNA SACA COLECTORA DEL CORREO OFICIAL, SEGÚN CONSTA EN ACTA DE RETENCIÓN DE CARGA Nº 296/10 Y ACTA DEJANDO CONSTANCIA Nº 297/10 DE APERTURA DE SACA, QUE ORIGINA LA PREVENCIÓN SUMARIA Nº 066/10, LA SACA IDENTIFICADA CON MARBETE SLA0161664D636300NQN, PRECINTO N° D054906, CONTIENE TRES PIEZAS POSTALES. LA 1ª EP723218521AR, RTTE. ANDRADA, LIDIA, Bº TOMAS SANCHEZ, TARTAGAL Y DEST. ROMERO SOLEDAD, NEUQUEN, POSTE RESTANTE, C.P. 8.300, QUEDA RETENIDA Y LAS DOS RESTANTES IDENTIFICADAS COMO EP679570100AR Y EP723218518AR, SON ENTREGADAS AL SR. ARIAS EMPLEADO DE CORREO OFICIAL PARA REDESPACHO, LA RETENCION SE REALIZA ANTE LA PRESUNCIÓN DE QUE PUDIERA CONTENER ALGÚN ELEMENTO EN INFRACCIÓN A LA LEY 23.737 Y/O 22.415, QUEDANDO LA MISMA CERRADA Y EN GUARDA EN ESTA UOSP. SE COMUNICO TELEFÓNICAMENTE AL JUZGADO INTERVINIENTE Y LA APERTURA SE REALIZARA CON LA AUTORIZACIÓN DEL MAGISTRADO ACTUANTE.</t>
  </si>
  <si>
    <t>SE PROCEDE A LA RETENCIÓN DE DOS SACAS COLECTORAS DEL CORREO OFICIAL, SEGÚN CONSTA EN ACTA DE RETENCIÓN DE CARGAS Nº 0298/10, QUE ORIGINA LA PREVENCIÓN SUMARIA 067/10, LA SACA IDENTIFICADA CON MARBETE SLA0210560D55800VAE, PRECINTO Nº J 038150, CON UN PESO DECLARADO DE 22,500 KGS, CON DESTINO A LA CIUDAD DE USUAHIA, CONTENDRIA CINCO PIEZAS POSTALES, LA SACA IDENTIFICADA CON MARBETE SLA0212311D555900RGA, PRECINTO Nº U 949718, CON UN PESO DECLARADO DE 4,400 KGRS, CON DESTINO A LA CIUDAD DE RIO GRANDE, CONTENDRIA UNA PIEZA POSTAL, LAS MISMAS ESTAN AMPARADAS EN GUÍA DE CARGA Nº 9388821-1, DESPACHADAS ATRAVÉS DE LA EMPRESA DE CARGA AEREA JET PAQ. LA RETENCIÓN SE REALIZA ANTE LA PRESUNCIÓN QUE PUDIERAN CONTENER ALGÚN ELEMENTO EN INFRACCIÓN A LA LEY 23.737 Y/O 22.415, QUEDANDO LAS MISMAS CERRADAS Y PRECINTADAS EN GUARDA EN ESTA UOSP. SE COMUNICO LA RETENCION, TELEFONICAMENTE AL JUZGADO INTERVINIENTE, Y LA APERTURA SE REALIZARÁ EN PRESENCIA DEL PERSONAL DEL CORREO OFICIAL.</t>
  </si>
  <si>
    <t>DR. MURANO ESTEBAN</t>
  </si>
  <si>
    <t>CHECK-IN DE AEROLINEAS ARGENTINAS.</t>
  </si>
  <si>
    <t>HALL SECTOR A1 - SECTOR A2-</t>
  </si>
  <si>
    <t>SIENDO LAS 07:50 HORAS EX EMPLEADOS DE LA EMPRESA HAS INICIAN UNA PROTESTA CON PANFLETEADA EN LA PARTE EXTERNA DEL PUESTO "ECO" ARENGANDO AL PERSONAL SALIENTE DE DICHA EMPRESA, QUE SEGUN LA INFORMACION RECOGIDA PODRIAN CORTAR LA AV COSTANERA. EN HORAS 07:51 SE EFECTÚA COMUNICACIÓN CON EL OFICIAL AYUDANTE GABIO DE LA COMISARÍA Nº 51, A QUIEN SE LO PONE EN AUTOS DE LA SITUACION MANIFESTANDO ESTE QUE SU SUPERIOR INMEDIATO YA ESTABA EN CONOCIMIENTO Y QUE HABÍA DISPUESTO EL ENVIÓ DE MÓVILES AL LUGAR CITADO ANTERIORMENTE. EN EL HORARIO DE LAS 08:00 HORAS LOS MANIFESTANTES PROCEDEN A CORTAR LA AV. COSTANERA EN SU TOTALIDAD, PROVOCANDO ESTO INCONVENIENTES EN EL TRANSITO. CONSECUENTEMENTE ESTA GUARDIA DE PREVENCIÓN DISPUSO: CONTROL DE TRANSITO VEHICULAR DE INGRESO A DARSENAS DE ESTE AEROPARQUE, EGRESO DE PASAJEROS DE ARRIBOS A1 POR SECTOR B Y C Y SE REFORZO PUNTOS DE COMUNICACION DE LA PARTE PUBLICA CON LA RESTRINGIDA (-PUESTO ECO - SECTOR A2- SECTOR B).YA EN HORAS 09:15 LOS MANIFESTANTES, LOS CUALES TAMBIÉN ESTABAN ACOMPAÑADOS POR PERSONAL DE LA CTA., INGRESAN A LA JURISDICCIÓN, EN EL HALL CHECK-IN DE AEROLÍNEAS ARGENTINAS PARA CONTINUAR CON LA PROTESTA. POR LO CUAL SE DISPUSO REFUERZO EN LAS GABETAS DE INGRESO DE EQUIPAJE DEL MENCIONADO SECTOR. SIENDO LAS 09:16 HORAS SE EFECTÚA COMUNICACIÓN TELEFÓNICA CON EL JUZGADO FEDERAL Nº 02 SECRETARIA N º 04 A CARGO DE DR. MURANO ESTEBAN A QUIEN SE LE INFORMA DE LOS ACONTECIMIENTOS Y EL CUAL DISPONE QUE SE LE INFORME UNA VEZ FINALIZADA LA MANIFESTACIÓN DE NO MEDIAR DE NINGÚN TIPO DE HECHO DELICTIVO. SIENDO LAS 10:00 HORAS LOS MANIFESTANTES EGRESAN DE ESTE AEROPUERTO RUMBO A LA AVENIDA COSTANERA, FINALIZANDO LA ACTIVIDAD DE PROTESTA.</t>
  </si>
  <si>
    <t>FISCALIA FEDERAL DE PRIMERA INSTANCIA N° 1 DE MAR DEL PLATA.</t>
  </si>
  <si>
    <t>KISHIMOTO</t>
  </si>
  <si>
    <t>CLAUDIO RODOLFO</t>
  </si>
  <si>
    <t>DRA. FAIENZO ANDREA SILVINA</t>
  </si>
  <si>
    <t>VERA GUSTAVO JAVIER S/DCIA. PTA. INF. LEY 26364</t>
  </si>
  <si>
    <t>CALLE FLUCHO NRO. 4071, CALLE SALTA NRO. 1393 - BERUTI NRO. 3574 Y CALLE SARMIENTO 2812 DE LA CIUDAD DE MAR DEL PLATA, PROVINCIA DE BUENOS AIRES.</t>
  </si>
  <si>
    <t>INFORMO QUE PERSONAL POLICIAL, EN EL DIA DE LA FECHA PROCEDE A DAR INICIO A LAS TAREAS INVESTIGATIVAS ORDENADAS POR LA FISCALIA FEDERAL DE 1RA. INSTANCIA NRO. 1 DE MAR DEL PLATA, SOBRE LOS DOMICILIOS ANTERIOMENTE MENCIONADOS.TENDIENTES A DETERMINAR SI EN LOS MISMOS SE LLEVAN A CABA ACTIVDADES VIOLATORIAS DE LA LAY 26.364 - REFERENTE A TRATAS DE PERSONAS.</t>
  </si>
  <si>
    <t>EN EL DÍA DE LA FECHA DURANTE EL CONTROL DE CARGAS ARRIBADAS DEL VUELO 2652 DE AEROLINEAS ARGENTINAS SE OBSERVA EN EL EQUIPO DE RAYOS X UN OFIDIO DENTRO DE UNA ENCOMIENDA AGRUPADA EN LA SACA COLECTORA DE CORREO ARGENTINO PRECINTO Nº C-397.264, SE PROCEDE A SOLICITAR LA PRESENCIA DEL RESPONSABLE DE JET PAQ SR PETER JAMES, DWDING BARRON, RUN Nº 17.702.232-2 (C.I. DE CHILE) Y DEL RESPONSABLE DE CORREO ARGENTINO Y SR. JORGE, NAVARRETE D.N.I. Nº 25.308.453, ENCARGADO DE CORREO ARGENTINO. SE PROCEDE A LA APERTURA DE LA SACA DE CORREO LA CUAL INCLUYE UNA CAJA CON INSCRIPCIÓN DE CRISTAL - FRAGIL, SIN REMITENTE Y DESTINATARIO EMILIANO JUBETE, DOMICILIO: ALEJANDRO AGUADO Nº 2461, DE LA CIUDAD DE NEUQUÉN CAPITAL. SE PROCEDE A CONVOCAR LA PRESENCIA DEL SEÑOR SR. HORACIO, CARUZZO, D.N.I. Nº 10.673.637, COORDINADOR CUERPO DE GUARDAFAUNA Y DEL DESTINATARIO. SE PROCEDE A LA APERTURA DE LA CAJA POR PARTE DEL SR. EMILIANO JUBETE Y SE VERIFICA QUE EN SU INTERIOR SE ENCONTRABA UN OFIDIO VIVO SIN NINGUNA DOCUMENTACION DE ORIGEN AUTORIZANDO EL TRANSPORTE. POSTERIORMENTE SE PROCEDE AL DECOMISO DEL ANIMAL Y ENTREGA AL COORDINADOR DE GUARDAFAUNA PARA PROSECUCION DEL TRAMITE</t>
  </si>
  <si>
    <t>FALSIFICACION DE DOCUMENTO</t>
  </si>
  <si>
    <t>LA DIRECCION NACIONAL DE MIGRACIONES REMITE A ESTA DEPEDENCIA A UNA PERSONA QUIEN AL MOMENTO DE EFECTUAR EL INGRESO AL TERRIOTORIO NACIONAL EXHIBE UN PASAPORTE ARGENTINO EL CUAL SE PRESUME APOCRIFO POR SUSTITUCION DE IDENTIDAD, DE ACUERDO A LO INFORMADO POR LA D.N.M. POR LO CUAL, UNA VEZ EN LA GUARDIA DE PREVENCION, SE ENTABLA COMUNICACION CON LA JUDICATURA INTERVINIENTE QUIEN DISPONE QUE SE PROCEDA A LA DETENCION DEL PASAJERO EN CALIDAD DE INCOMUNICADO, INFORME DEL REGISTRO NACIONAL DE REINCIDENCIA Y ESTADISTICA CRIMINAL, NOTA INTERPOL CAVIA E INTERPOL EZEIZA, CONSTATACION DE DOMICILIO, 5 JUEGOS DE FICHAS DACTILOSCOPICAS, TESTIMONIAL A LOS TESTIGOS DEL PROCEDIMIENTO, INFORME PERICIAL COMPLETO A LA DOCUMENTACION REMITIDA, TOMAS FOTOGRAFICAS DEL DETENIDO Y LA DOCUMENTACION, NOTA AL CONSULADO PERUANO Y ELEVACION DEL ACTUADO JUNTO CON EL DETENIDO. SEGUN PU Nº 3550 SE INFORMA QUE SIENDO LA HORA 07.00 DEL DIA 11/06/2010, SE PROCEDE A TRASLADAR AL DETENIDO A SEDE JUDICIAL JUNTO A SUS PERTENENCIAS.</t>
  </si>
  <si>
    <t>AZ 681</t>
  </si>
  <si>
    <t>SPILLOTI DIEGO</t>
  </si>
  <si>
    <t>GUERETA LUCAS RAMON OTROS S/PSTA. INF. A LA LEY 23.737</t>
  </si>
  <si>
    <t>2092/09</t>
  </si>
  <si>
    <t>SCANNER HEIMANN 6040</t>
  </si>
  <si>
    <t>CONTROL EQUIPO RAYOS X</t>
  </si>
  <si>
    <t>SIENDO LAS 13:45 HS HORAS DEL DíA DE LA FECHA SE HACE PRESENTE EN EL SERVICIO DE GUARDIA DE ESTA UNIDAD OPERACIONAL DE SEGURIDAD PREVENTIVA UNA COMISIóN DE LA POLICíA DE LA PROVINCIA DE TIERRA DEL FUEGO A CARGO DEL COMISARIO ACUñA HORACIO, JEFE DE LA DIVISIóN COMPLEJA Y NARCOCRIMINALIDAD DE RíO GRANDE, ACOMPAñADOS POR EL FISCAL FEDERAL DE LA CIUDAD DE RIO GRANDE DR. RAPOPORT MARCELO, MUñIDOS DE OFICIO Nº 2690/10 DE FECHA 10 DE JUNIO DE 2010 DEL JUZGADO FEDERAL DE PRIMERA INSTANCIA DE LA CIUDAD DE RíO GRANDE A CARGO DE LA DRA. LILIAN HERRAEZ, ORDENANDO A ESTA POLICíA DE SEGURIDAD AEROPORTUARIA VERIFIQUE A TRAVEZ DEL SCANNER LA ENCOMIENDA CON LOS SIGUIENTES DATOS: RTTE. SEBASTIAN LAUTARO DIAZ, AV BELGRANO 1705 D, TEL. 0111554700809, BS. AS., CAP. FEDERAL Y EL DESTINATARIO: DEST. MARIA INES CAUCAMAN, PIONEROS FUEG. 333, PB, "B" TEL. 02964-445886, RG. TDF; Y CON STIKERS CON LA INSCRIPCIóN KG 2.925. A FIN DE DETECTAR SI LA MISMA CONTIENE O NO SUSTANCIA ESTUPEFACIENTE. QUE LOS MISMOS SE ENCUENTRAN ACOMPAñADOS POR DOS (02) TESTIGOS QUIENES RESULTAN SER. 1)BARRIOS FERNANDO EMANUEL, DNI Nº 26.990.965 Y 2) VEGA EDUARDO DANIEL DNI Nº 23.956.646. QUE DE ACUERDO A LO ORDENADO MEDIANTE OFICIO Nº 2690/10 Y EN PRESENCIA DE DE LOS TESTIGOS ANTES MENCIONADOS, SE PROCEDIO A OBSERVAR EN LA MAQUINA DE RAYOS X ELEMENTOS CLASIFICADOS COMO GRUPO 1 COLOR NARANJA POR LA TEXTURA OBSERVADA EN LA FIGURA QUE REFLEJA EL MONITOR DE LA MAQ. DE RAYOS X SERIA UNA INDUMENTARIA TEXTIL. TERMINADO EL TRAMITE SE RETIRA EL SR FISCAL Y LA COMISION POLICIAL SIN NOVEDAD.</t>
  </si>
  <si>
    <t>EN LA ISLA DE TAXI DE LA CALLE DE LA PERGOLA.</t>
  </si>
  <si>
    <t>SECTOR DE ARRIBOS TERMINAL A.</t>
  </si>
  <si>
    <t>UNA VEZ QUE LA DAMNIFICADA EFECTÚO LOS TRAMITES DE INGRESO AL TERRITORIO NACIONAL, HABIENDO ARRIBADO LA MISMA EN EL DIA DE LA FECHA A HORAS 1100 EN VUELO BA 247 DE LA EMPRESA BRITISH AIRWAYS PROCEDENTE DE LONDRES INGLATERRA, SE DIRIGIÓ AL SECTOR DE LA PÉRGOLA DE TAXIS DONDE TOMA CONTACTO CON TRES MASCULINOS, LOS CUALES LE OFRECEN SERVICIO DE TRANSPORTE PUBLICO, LUEGO CONDUCEN A LA DAMNIFICADA A LA CALLE DE LA PÉRGOLA DE TAXIS, DONDE DOS DE LOS MASCULINOS ENTABLAN UNA CHARLA CON LA PASAJERA, DISTRAYÉNDOLA, MOMENTO EN QUE EL TERCER MASCULINO LE SUSTRAE DEL BOLSO QUE TENIA DEPOSITADO EN EL CANASTO DEL CARRO PORTA MALETAS DONDE TENIA SUS PERTENECÍAS, UN BILLETE DE CINCUENTA EUROS. SITUACIÓN QUE FUE ADVERTIDA POR PERSONAL POLICIAL DE C.O.C. A TAL EFECTO PERSONAL DEL C.O.C, LE DA AVISO AL PERSONAL POLICIAL DE PATRULLA QUE SE HACE PRESENTE EN EL SECTOR, PREVIA CONVOCATORIA DE DOS TESTIGOS HABILES. SEGUIDAMENTE SE TRASLADA A TODOS LOS INTERVINIENTES A LA GUARDIA DE PREVENCION. UNA VEZ EN LA GUARDIA DE PREVENCIÓN SE MANTIENE COMUNICACIÓN CON EL MAGISTRADO INTERVINIENTE, QUIEN DISPONE QUE SE PROCEDA A LA APREHENSIÓN DE LOS TRES MASCULINOS, QUE SE LE HAGA ENTREGA DEL BILLETE EN CUESTIÓN A SU PROPIETARIA, Y QUE EL 11/06/10, A PRIMERA HORA, SE TRASLADE A LOS APREHENDIDOS A SE DE JUDICIAL. SE INFORMA EN P.U. 3551 QUE EL DIA 11/06/2010 A HORAS 0700 SE EFECTUO TRASLADO DE LOS TRES APREHENDIDOS A SEDE JUDICIAL. SE INFORMA EN P.U. 3573 QUE EL DIA 11/06/10 A HORAS 1500 REGRESAN DE SEDE JUDICIAL LOS APREHENDIDOS QUIENES DEBERAN PERMANECER ALOJADOS EN ESTA DEPENDENCIA POR ORDEN DE LA JUDICATURA ACTUANTE. POSTERIORMENTE SE RECIBE OFICIO JUDICIAL DISPONIENDO INMEDIATA LIBERTAD DEL IMPUTADO VICTOR HUGO CASTILLO, MIENTRAS QUE ENRIQUE FABIANO Y LEONARDO AUGIER PERMANECEN ALOJADOS EN ESTA DEPENDENCIA. SE INFORMA EN P.U. 3635 QUE EL DIA 15/06/10 SIENDO LAS 0630 HORAS SE PROCEDIO AL TRASLADO DE LOS APREHENDIDOS ENRIQUE FABIANO Y LEONARDO AUGIER A SEDE JUDICIAL.</t>
  </si>
  <si>
    <t>SE PROCEDE A LA RETENCIÓN DE UNA SACA COLECTORA DEL CORREO OFICIAL SEGÚN CONSTA EN ACTA DE RETENCIÓN Nº 0299/10 QUE ORIGINA LA PREVENCIÓN SUMARIA Nº 068/10. LA SACA IDENTIFICADA COMO SLA0191852D505000BUE PRECINTO Nº U949074 CON UN PESO DECLARADO DE 9,300 KGS. CON DESTINO LA CIUDAD DE BS. AS. LA RETENCIÓN SE REALIZA POR LA INTERPRETACIÓN DE IMÁGENES DEL OPERADOR DEL EQUIPO DE RAYOS X, Y EN PRESENCIA DEL SR. LEDESMA GUILLERMO POR LO QUE ESTARÍAMOS ANTE UNA SUPUESTA INFRACCIÓN AL ARTICULO 189 BIS DEL CÓDIGO PENAL DE LA NACIÓN Y A LA LEY DE ARMAS, , LA SACA QUEDA CERRADA, PRECINTADA Y EN GUARDA EN ESTA UOSP, SE COMUNICO TELEFÓNICAMENTE CON EL JUZGADO DE TURNO Y LA APERTURA SE REALIZARA CON LA AUTORIZACIÓN DEL MAGISTRADO ACTUANTE.</t>
  </si>
  <si>
    <t>PTO. DELITO DE TENTATIVA DE CONTRABANDO DE ESTUPEFACIENTES</t>
  </si>
  <si>
    <t>PATIO DE VALIJAS MAQUINA RX</t>
  </si>
  <si>
    <t>EN CONTROL DE EQUIPAJES DESPACHADOS A BODEGA, SE DETECTO EN MAQUINA DE RAYOS X QUE EN EL INTERIOR DE UN CARRY ON ERA HABIDA SUSTANCIA ORGANICA DE BAJA DENSIDAD. QUE UNA VEZ UBICADO EL PASAJERO Y OBTENIDA LA AUTORIZACION PARA LA REQUISA, SE APERTURA EL EQUIPAJE HALLANDO EN SU INTERIOR UN BOLSO DE MANO COLOR NEGRO, QUE UNA VEZ VACIO DE CONTENIDO DENOTABA UN SOBREPESO, POR LO QUE SE PROCEDE A LA REQUISA DEL MISMO ARROJANDO COMO RESULTADO, UBICADOS COMO DOLBE FONDO, CINCO PAQUETES CONFECCIONADOS CON CINTA TIPO AISLADORA DE COLOR NEGRO, LOS CUALES CONTENIAN UNA SUSTANCIA PULVERULENTA COLOR BLANCO, LA CUAL, UNA VEZ SOMETIDA A PRUEBA DE CAMPO PARA COCAINA ARROJO RESULTADO POSITIVO. EL JUZGADO INTERVINIENTE DISPUSO, SE PROCEDA A LA DETENCION DEL CAUSANTE, DEBIENDOSE REALIZAR LOS SECUESTROS DE RIGOR, Y ELEVAR TODO LO ACTUADO A PRIMERA HORA DEL DIA 11 DEL CORRIENTE. SE INFORMA EN P.U. Nº 3552 DIA 11/06/2010 EN HORAS 0700, EL DETENIDO FUE TRASLADADO A SEDE JUDICIAL.</t>
  </si>
  <si>
    <t>3505/10</t>
  </si>
  <si>
    <t>SECTOR DE MIGRACIONES</t>
  </si>
  <si>
    <t>INFORMO QUE SE HACE PRESENTE EN ESTE TURNO DE PREVENCIÓN UNA COMISION DE LA POLICIA DE LA PROVINCIA DE TUCUMÁN, A LOS EFECTOS DE TRASLADAR AL DETENIDO HACIA LA MENCIONADA PROVINCIA, EN VIRTUD A LA ORDEN DE CAPTURA LIBRADA EN SU CONTRA. QUE SIENDO LAS CINCO HORAS LA COMISIÓN POLICIAL SE RETIRA DE ESTA DEPENDENCIA, CON EL DETENIDO Y LA TOTALIDAD DE LOS EFECTOS DEL MISMO, SIN NOVEDAD.</t>
  </si>
  <si>
    <t>SALA VIP ARRIBOS DE LA EMPRESA AEROPUERTO ARGENTINA 2000</t>
  </si>
  <si>
    <t>EN REFERENCIA A LO DISPUESTO EN ORDEN DE SERVICIO NRO. 065/10 SE INFORMA QUE SOLAMENTE ARRIBO COMITIVA DE PROTOCOLO Y SEGURIDAD DE LA REPUBLICA ARABE DE SIRIA, INFORMANDO LOS MISMOS QUE EL SEÑOR PRESIDENTE DE LA REPUBLICA ARABE DE SIRIA ARRIBARIA EL DIA DOS DE JULIO DEL AÑO EN CURSO, EN VUELO PRIVADO.</t>
  </si>
  <si>
    <t>3541/10</t>
  </si>
  <si>
    <t>INFORMO QUE SIENDO LA HORA IINDICADA SE PROCEDIO A TRASLADAR A SEDE JUDICIAL, AL DETENIDO EN AUTOS.-</t>
  </si>
  <si>
    <t>3545/10</t>
  </si>
  <si>
    <t>EN LA ISLA DE TAXI DE LA CALLE DE LA PERGOLA</t>
  </si>
  <si>
    <t>INFORMO QUE SIENDO LA HORA INDICADA, SE PROCEDIO A TRASLADAR A LOS TRES APREHENDIDOS EN AUTOS A SEDE JUDICIAL</t>
  </si>
  <si>
    <t>3547/10</t>
  </si>
  <si>
    <t>INFORMO QUE A LA HORA INDICADA SE PROCEDIO AL TRASLADO DEL DETENIDO EN AUTOS A SEDE JUDICIAL.</t>
  </si>
  <si>
    <t>LOIACONO MATIAS Y OTROS S/CONTRABANDO DE ESTUPEFACIENTES</t>
  </si>
  <si>
    <t>ESTACIONAMIENTO DEL SHOPPING DEVOTO CALLE VARELA ALTURA 4800</t>
  </si>
  <si>
    <t>REF. ORDENES DE SERVICIOS N° 475 Y 476. SE INFORMA QUE EN EL DIA DE LA FECHA SE DIO CUMPLIMIENTO A LA ORDEN DE CAPTURA NACIONAL E INTERNACIONAL QUE PESABA RESPECTO DE JAVIER CESPEDES, ALIAS CHATO, EN MOMENTOS QUE PERSONAL DE ESTA UNIDAD REALIZABA TAREAS INVESTIGATIVAS EN EL DOMICILIO DE LA MADRE DEL MISMO, SITO EN DUPUY 1103 DE C.A.B.A., REALIZANDO EL SEGUIMIENTO DE UN VEHICULO QUE SALE DEL LUGAR, CONDUCIDO POR NN MASCULINO - QUE POSTERIRMENTE FUE IDENTIFICADO COMO CESPEDES- Y CON UNA FEMENINA DE ACOMPAÑANTE, PROCEDIENDO A LA DETENCION DEL MISMO Y EL SECUESTRO DEL VEHICULO. CON RELACION AL DETENIDO Y AL VEHICULO SECUESTRADO, LOS MISMOS SE ENCUENTRAN ALOJADOS EN LAS DEPENDENCIAS DE LA UOSP EZEIZA A DISPOSICION DE S.SA. SE INFORMA EN P.U. NRO. 3620, EL DETENIDO FUE TRASLADADO A SEDE JUDICIAL EL DIA 14/06/2010 EN HORAS 0700.</t>
  </si>
  <si>
    <t>PLATAFORMA OPERATIVA AEROPUERTO ASTOR PIAZZOLLA - MAR DEL PLATA</t>
  </si>
  <si>
    <t>EN EL DIA DE LA FECHA, SIENDO LAS 07:45 HS, QUIEN SUSCRIBE RECIBE , DE PARTE DEL JEFE DE BASE DE LA EMPRESA AEROPUERTOS ARGENTINA 2000 S.A. LA INFORMACION DE UNA SITUACION ECO PRODUCIDA EN EL VUELO AR 1603 DE AEROLINEAS ARGENTINAS, EL CUAL SE ENCONTRABA EN EL AIRE CON CUARENTA Y SIETE PASAJEROS Y TRIPULACION COMPLETA, HABIA PARTIDO DE ESTE AEROPUERTO A LA HORA 07:30, APROX. CON DESTINO A LA C.A.B.A. POR DATOS PROPORCIONADOS POR DICHA COMPAÑIA AEREA, EL COMANDANTE ADVIERTE EL ALERTA DE UN CENSOR QUE ACUSABA PERDIDA CONSIDERABLE DE COMBUSTIBLE, PARA LO CUAL, LUEGO DE EFECTUAR PROCEDIMIENTOS TECNICOS, DECIDE REGRESAR AL AEROPUERTO DE LA CIUDAD DE MAR DEL PLATA, INMEDIATAMENTE SE ACTIVA EL PLAN DE EMERGENCIA LOCAL, PERMANECIENDO ALERTA Y A LA ESPERA DEL ATERRIZAJE, PRODUCIENDOSE ESTE, EN FORMA NORMAL Y SIN NINGUN TIPO DE CONSECUENCIAS A LA HORA 08:02. ACTO SEGUIDO LA AERONAVE ES POSICIONADA EN PLATAFORMA OPERATIVA PARA REVISACION TECNICA, DECOLANDO DE ESTE AEROPUERTO A LA HORA 09:35, CON DESTINO A LA C.A.B.A. CON EL MISMO PASAJE Y TRIPULACION, CON NORMALIDAD Y SIN NOVEDADES.</t>
  </si>
  <si>
    <t>AR 1603</t>
  </si>
  <si>
    <t>DR. FERNANDEZ MORENO MARIO A.</t>
  </si>
  <si>
    <t>MINISTERIO PUBLICO FISCAL S/SOLICITA EN CAUSA NRO. 05/07 - AGUIRRE VICTOR RAUL</t>
  </si>
  <si>
    <t>05/07 - INC. 220</t>
  </si>
  <si>
    <t>CALLE 18 DE NOVIEMBRE NRO. 23 DEL BARRIO ALMIRANTE BROWN O EN CALLE GUEMES NRO. 827, AMBOS DE LA CIUDAD DE SAN SALVADOR DE JUJUY, PROVINCIA DE JUJUY.</t>
  </si>
  <si>
    <t>EN EL DIA DE LA FECHA PERSONAL POLICIAL DE ESTA UNIDAD, PROCEDE A DAR CUMPLIMIENTO A LO SOLICITADO POR EL JUZGADO FEDERAL NRO. 1 DE BAHIA BLANCA, CON RELACION A LAS TAREAS INVESTIGATIVAS SOBRE LOS DOMICILIOS ANTERIORMENTE MENCIONADOS, A LOS EFECTOS DE VERIFICAR SI EN LOS MISMOS RECIDE EL CIUDADANO VICTOR RAUL AGUIRRE.</t>
  </si>
  <si>
    <t>3533/10</t>
  </si>
  <si>
    <t>SE PROCEDE A LA APERTURA DE DOS SACAS COLECTORAS DEL CORREO OFICIAL, SEGÚN CONSTA EN ACTA DE RETENCIÓN DE CARGAS Nº 0298/10, Y ACTA DEJANDO CONSTANCIA Nº 0300/10, QUE ORIGINA LA PREVENCIÓN SUMARIA 067/10. LA SACA IDENTIFICADA CON MARBETE SLA0210560D55800VAE, PRECINTO Nº J038150, CONTIENE SEIS PIEZAS POSTALES: LA 1ª EP656098126AR, RTTE. NOEMI MERCADO, PERU Nº 601, Bº LA PAZ, PERICO JUJUY, C.P. 4610 Y DEST. FLORA PALAGUERRA, AKAINYK 795, Bº BILTRUS, USHUAIA, TIERRA DEL FUEGO, C.P. 9410 Y LA 2ª EP656098112AR, RTTE. CELIA MERCADO, PERU 601, Bº LA PAZ, PERICO, JUJUY, C.P. 4610 Y DEST. RAMON ANDRADE, AKAINIK 809, Bº BILTRUS, USHUAIA, TIERRA DEL FUEGO, C.P. 9410, LAS CUALES QUEDAN RETENIDAS Y LAS CUATRO RESTANTES IDENTIFICADAS COMO EP656098466AR, EP661586736AR, EP711648577AR Y EP725099169AR, SON ENTREGADAS AL SR. ARIAS DEL CORREO OFICIAL PARA SU REDESPACHO. LA 2ª SACA SLA0212311D555900RGA, PRECINTO Nº U 949718, CONTIENE UNA PIEZA POSTAL IDENTIFICADA COMO EP711678550AR, RTTE. GABINA MAMANI, DORREGO 434, Bº GRAL. SAVIO, PALPALA, PROVINCIA DE JUJUY Y DEST. ALEJANDRO BILLOLDO, VUKASOVICH Nº 2552, RIO GRANDE TIERA DEL FUEGO, C.P. 9410, QUEDA RETENIDA. LAS RETENCIONES SE REALIZAN ANTE LA PRESUNCION DE QUE PUDIERAN CONTENER ALGUN ELEMENTO EN INFRACCION A LAS LEYES 22.415 Y/O 23.737, QUEDANDO LA MISMA CERRADA Y EN GUARDA EN ESTA UOSP. SE COMUNICO TELEFONICAMENTE AL JUZGADO INTERVINIENTE Y LA APERTURA SE REALIZARA CON LA AUTORIZACION DEL MAGISTRADO ACTUANTE.</t>
  </si>
  <si>
    <t>3546/10</t>
  </si>
  <si>
    <t>SE PROCEDE A LA APERTURA DE UNA SACA COLECTORA DEL CORREO OFICIAL SEGÚN CONSTA EN ACTA DE RETENCIÓN Nº 0299/10 Y ACTA DEJANDO CONSTANCIA Nº 0301/10, QUE ORIGINA LA PREVENCIÓN SUMARIA Nº 068/10. LA SACA IDENTIFICADA COMO SLA0191852D505000BUE PRECINTO Nº U949074 CONTIENE CINCO PIEZAS POSTALES: LA 1ª EP710826713AR, RTTE. ELBIO ROLANDO ROMERO, PASAJE GUERRERO 1.690, T.E. 038878-428133, CIUDAD DE ORAN, PROVINCIA DE SALTA, C.P. 4530 Y DEST. ANGEL BLASON, AVENIDA M0LINA ARBOTEA Nº 2329, LOMAS DE ZAMORA, BS. AS., C.P. Nº 1832, LA CUAL QUEDA RETENIDA. JEFE DE TURNO OF. MY. MIGUEL MAITA SE COMUNICA TELEFONICAMENTE CON EL DR. SANTIAGO FRENCH, SECRETARIO DEL JUZGADO FEDERAL DE SALTA Nº 1, A CARGO DEL DR. JULIO LEONARDO BAVIO, QUIEN DISPONE SE EFECTUE LA CITACION DEL CAUSANTE PARA VERIFICACION DE LA DOCUMENTACION DEL ARMA SECUESTRADA Y SE REMITAN LAS ACTUACIONES A SEDE JUDICIAL. Y LAS CUATROS ENCOMIENDAS RESTANTES IDENTIFICADAS COMO EP725099186AR, EP665828407AR, EP655124743AR Y EC081279375AR, SON ENTREGADAS AL SR. ARIAS PARA SU REDESPACHO. LA RETENCION DE LA ENCOMIENDA SE REALIZA ANTE UNA SUPUESTA INFRACCION AL ARTICULO 189 BIS. DEL CODIGO PENAL DE LA NACION Y A LA LEY DE ARMAS. LA ENCOMIENDA QUEDA CERRADA Y EN GUARDA EN ESTA UOSP.</t>
  </si>
  <si>
    <t>ALARCON</t>
  </si>
  <si>
    <t>JUAN JOSE</t>
  </si>
  <si>
    <t>DR ARIEL ANGEL MONASTEROLO</t>
  </si>
  <si>
    <t>DEPOSITO DE CATERING DE SOL LINEAS AEREAS</t>
  </si>
  <si>
    <t>SE PRESENTO EN ESTA UOSP EL GERENTE DE RECURSOS HUMANOS DE LA EMPRESA DAMNIFICADA A EFECTOS DE DENUNCIAR QUE UN EMPLEADO DE ESA EMPRESA RETIRO SIN AUTORIZACION CATERING DEL DEPOSITO DE LA EMPRESA SOL. LOS ELEMENTOS SUSTRAIDOS SERIAN PAQUETES DE GALLETITAS TIPO SNACK MARCA SALADIX, NO PRECISANDO CANTIDAD EN LA DENUNCIA. LA DENUNCIA LA EFECTÚA A RAÍZ DE LA NOTA ENVIADA POR ESTA UOSP A LA EMPRESA INFORMANDO DEL RETIRO DE LOS ELEMENTOS POR PARTE DEL EMPLEADO DESDE EL ÁREA RESTRINGIDA AL ÁREA PUBLICA, DENTRO DE LOS CONTROLES DE PREVENCIÓN EFECTUADO POR EL PERSONAL QUE CUMPLE FUNCIONES EN EL PUESTO 2. LA NOTA A LA EMPRESA SE ORIGINA DEBIDO A QUE ESTA UNIDAD NO TENIA CONOCIMIENTO SI ESTABA O NO A AUTORIZADO A RETIRAR DICHOS ELEMENTOS.</t>
  </si>
  <si>
    <t>GAVETA SUPERIOR DE LA CABINA DE PASAJEROS</t>
  </si>
  <si>
    <t>AL DESCENDER DE LA AERONAVE, EL DAMNIFICADO SE APERSONA EN LA CINTA DE RETIRO DE EQUIPAJES N° 1 DE LA TERMINAL A, Y UNA VEZ ALLI REALIZA LA APERTURA DE SU EQUIPAJE DE MANO -BOLSO PORTA NOTEBOOK- NOTANDO EL FALTANTE DE SU NOTEBOOK, SIENDO LA ULTIMA VEZ QUE TUVO CONTACTO CON DICHO ELEMENTO FUE DENTRO DE LA AERONAVE EN EL AEROPUERTO DE ESPAÑA.</t>
  </si>
  <si>
    <t>SE AMPLIA PARTE RESERVADO Nº 2907 DE FECHA 14 DE MAYO DE 2010, RELACIONALDO AL EXPTE Nº 20/10, CARATULADO CALAYATUD RAUL DANTE S/CONTRABANDO, DE ACUERDO A ORDEN DE SERVICIO Nº 013/10. EL DIA 08 DE JUNI DE 2010, SE SOLICITA MEDIANTE INFORME AL JUEZ FEDERAL DE SALTA Nº 1 A CARGO DEL DR. JULIO LEONARDO BAVIO, SECRETARIA PENAL Nº 2 A CARGO DEL DR. SANTIAGO FRENCH, LA PRORROGA DE LAS INTERVENCIONES TELEFONICAS POR LAPSO DE TREINTA DIAS, ADEMAS SE SOLICITO INTERVENCION TELEFONICA DE DOS LINEAS, QUE SERIAN USADAS POR DANTE CALATAYUD Y MARIANO BELLUCCO, SE SOLICITO LA BAJA DE TRES LINEAS INTERVENIDAS, POR NO APORTAR INFORMACION RELEVANTE PARA LA CAUSA. SE ENVIO SABANA TELEFONICAS A LA DRICA PARA QUE GESTIONE EL ENTRECRUZAMIENTO DE LAS MISMAS. EL DIA 11 DE JUNIO DE 2010, SE DILIGENCIO OFICIO JUDICIAL Nº 1636/10 DE FECHA 8 DE JUNIO DE 2010, LIBRADO POR EL JUZGADO FEDERAL DE SALTA Nº 1, DIRIGIDO A LA ADUANA SALTA, A LOS FINES DE SOLICITAR SI LOS INVESTIGADOS TIENEN ALGUN TIPO DE TRAMITE DE IMPORTACION O EXPORTACION DE MERCADERIA O VEHICULOS.</t>
  </si>
  <si>
    <t>DR. CARLOS RODOLFO LEIVA</t>
  </si>
  <si>
    <t>INFORMO QUE EN EL CONTROL DE DOCUMENTACIÓN DE PASAJEROS DEL VUELO NRO 4029 DE LA EMPRESA LAN ARGENTINA SE DETECTA A TRAVÉS DEL SISTEMA DE INTERPOL EL PEDIDO DE PARADERO VIGENTE SOLICITADO POR EL JUZGADO CRIMINAL CORRECCIONAL FEDERAL NRO 5 SECRETARIA NRO 9 DEL SEÑOR JOSÉ MANUEL BARBERO ANTE EL HECHO PERSONAL DE INTERPOL REALIZA UN ACTA Y ENTREGA AL JEFE DE TURNO EL CUAL CONFECCIONA ACTA DE NOTIFICACIÓN DANDO CUMPLIMIENTO A LO REQUERIDO POR EL JUZGADO SOLICITANTE DE LA MEDIDA Y SE NOTIFICA AL CAUSANTE QUE DEBERÁ COMPARECER ANTE DICHO JUZGADO DENTRO DE LOS CINCO DÍAS HÁBILES DE LABRADA LA MISMA PARA REGULARIZAR SU SITUACIÓN JUDICIAL.</t>
  </si>
  <si>
    <t>3510/10</t>
  </si>
  <si>
    <t>SE AMPLIA PARTE RESERVADO Nº 3510 DE FECHA 09 DE JUNIO DE 2010, RELACIONADO AL EXPTE. 38/10, CARATULADO DENUNCIA ANONIMA S/INFRACCION LEY 23737 DEL REGISTRO DEL JUZGADO FEDERAL DE SALTA Nº 1 A CARGO DEL DR. JULIO LEONARDO BAVIO, SECRETARIA PENAL Nº 2 A CARGO DEL DR. SANTIAGO FRENCH, SE INFORMA QUE EL DIA 10 DE JUNIO DE 2010, SE PRESENTO EL JEFE Y SUB JEFE DE LA U.O.C.N. Y D.C. DEL NORTE EN LA SEDE JUDICIAL , A LOS EFECTOS DE TOMAR CONOCIMIENTO DEL EXPTE. Nº 38/10, EL CUAL TRATA DE UNA DENUNCIA ANONIMA, REALIZADA POR EMAIL, AL CORREO DE LA FISCALIA FEDERAL DE SALTA Nº 2 Y AL CORREO DEL JUEZ FEDERAL Nº 1 DR. BAVIO, DONDE UNA PERSONA QUE HABRIA ESTADO DETENIDA EN LA UNIDAD CARCELARIA Nº 16 DE CERRILLOS EN SALTA POR INFRACCION A LA LEY 23737, DENUNCIA QUE SE ENCUENTRAN DETENIDAS OTRAS PERSONAS DE DIFERENTES NACIONALIDADES EUROPEA, QUE INTEGRAN UNA BANDA QUE SE DEDICARIAN AL TRANSPORTE DE DROGA, LA CUAL ERA INGRESADA AL PAIS POR BOLIVIA, COLOMBIA Y PERU, PARA LUEGO SER SACADA HACIA EUROPA. DEBIDO A QUE EL EXPTE CONSTA DE APROXIMADAMENTE CIEN FOJAS, SE AMPLIARA A POSTERIOR, UNA VEZ RECABADA MAS INFORMACION.</t>
  </si>
  <si>
    <t>ACTA DE EXTRAVÍO</t>
  </si>
  <si>
    <t>INFORMO EL DÍA 11 DEL CORRIENTE MES Y AÑO SIENDO LAS 15:40 HS SE HACE PRESENTE LA SEÑORA RAQUEL NORMA RODRIGUEZ DE NACIONALIDAD ARGENTINA QUIEN ACREDITA IDENTIDAD CON UNA LICENCIA DE CONDUCIR DE LA PROVINCIA DE BUENOS AIRES DONDE CONSTA EN NUMERO 3985478 QUE ES EL MISMO NÚMERO DEL DOCUMENTO NACIONAL DE IDENTIDAD QUIEN DESEA EXPONER A CERCA DEL EXTRAVIÓ DE UN DOCUMENTO NACIONAL DE IDENTIDAD A NOMBRE DE LA MISMA HECHO ESTE OCURRIDO EN EL AEROPUERTO JORGE NEWBERY DE LA CIUDAD AUTÓNOMA DE BUENOS AIRES.</t>
  </si>
  <si>
    <t>EDWARDS, JAMES Y MASON CHARLOTTE ALEXANDRA S/CONTRABANDO DE ESTUPEFACIENTES</t>
  </si>
  <si>
    <t>ALOJADA EN LA UNIDAD</t>
  </si>
  <si>
    <t>SIENDO LA HORA Y EL DIA ANTES MENCIONADO, SE REALIZA EL TRASLADO DE LA SRA. PAULA YOLANDA BENTANCOUR, DE ESTA UNIDAD OPERACIONAL A LA SEDE DE LA JUDICATURA ACTUANTE SIN NOVEDAD.</t>
  </si>
  <si>
    <t>LOIACONO MATIAS GUILLERMO Y OTROS S/CONTRABANDO DE ESTUPEFACIENTES</t>
  </si>
  <si>
    <t>TIMOTEO GORDILLO 4455 DTO 5</t>
  </si>
  <si>
    <t>CON REFERENCIA A ORDEN DE SERVICIO NRO 481/10 EN EL DIA DE LA FECHA SE PROCEDIO A DAR CUMPLIMIENTO A LA ORDEN DE ALLANAMIENTO Y SECUESTRO EMANADA POR EL JUZGADO INTERVINIENTE EN LA CAUSA DE REFERENCIA, SECUESTRANDOSE LOS ELEMENTOS ABAJO DETALLADOS.</t>
  </si>
  <si>
    <t>DR. ESTEBAN MURANO</t>
  </si>
  <si>
    <t>PREEBARQUE NACIONAL TERMINAL III.</t>
  </si>
  <si>
    <t>SE RECIBE COMUNICACIÓN DEL OFICIAL JORGE KADY, ENCARGADO DE LA TERMINAL III, INFORMANDO QUE AL PASAR UN MASCULINO POR EL MARCO DETECTOR DE METALES, ÉSTE SE ACTIVÓ Y SE PROCEDIÓ AL CHEQUEO CORRESPONDIENTE, OBSERVANDO QUE EN EL BOLSILLO DELANTERO DERECHO DEL CHALECO QUE VESTIA, HABÍA UNA PROTUBERANCIA. SE LE INDICÓ QUE EXHIBIERA LO QUE LLEVABA ANTE DOS TESTIGOS HÁBILES Y COLOCÓ SOBRE LA MESA CONTIGUA A LA MÁQUINA DE RAYOS X, UNA BOLSA DE NYLON COLOR BLANCA, EN LA CUAL SE OBSERVABA EN SU INTERIOR UN OBJETO ENVUELTO EN PAPEL DE DIARIO. SE LE REQUIRIÓ QUE ABRIESE EL ENVOLTORIO, PARA DISTINGUIR SU CONTENIDO, Y UNA VEZ ABIERTO SE OBSERVÓ UNA SUSTANCIA COLOR VERDOSA COMPACTA. SE REALIZO REACTIVO DE CAMPO PARA MARIHUANA, DANDO ÉSTE POSITIVO. EN HORAS 20:13, SEGÚN LO DISPUESTO POR LA JUDICATURA INTERVINIENTE, AL NO MEDIAR IMPEDIMENTO LEGAL ALGUNO, SE PROCEDE A LA LIBERACION DEL SR. JERONIMO JUAN CLEMENTE VICENTIN MASSA, RETIRANDOSE DE ESTA GUARDIA PREVENTIVA POR SUS PROPIOS MEDIOS, CONFORME A LOS TRATOS RECIBIDOS, JUNTO CON LOS ELEMENTOS DE VALOR QUE SE ENCONTRABAN EN RESGUARDO DE LA UNIDAD.</t>
  </si>
  <si>
    <t>LA 4344</t>
  </si>
  <si>
    <t>PREEMBARQUE NACIONAL TERMINAL III.</t>
  </si>
  <si>
    <t>SE RECIBE COMUNICACIÓN VÍA TELEFÓNICA DEL OFICIAL JORGE KADY, ENCARGADO DE TERMINAL III, QUIÉN INFORMA QUE AL MOMENTO DE REALIZARCE EL CONTROL HABITUAL DE PASAJEROS, AL PASAR UNA PERSONA DEL SEXO MASCULINO POR EL MARCO DETECTOR DE METALES, LO ACTIVA, POR TAL MOTIVO SE PROCEDE AL CHEQUEO CORRESPONDIENTE Y AL SOLICITARLE QUE EXHIBA TODO LO QUE LLEVABA EN SUS BOLSILLOS, SACA DEL BOLSILLO DERECHO DE SU PANTALÓN, UNA BOLSA DE NYLON TRANSPARENTE, LA CUAL CONTENÍA UNA SUSTANCIA VERDOSA COMPACTA, SE LE PREGUNTÓ POR EL ORIGEN DE DICHA SUSTANCIA, A LO QUE RESPONDIÓ QUE ERA SIC. MARIHUANA. SE REALIZÓ EL REACTIVO DE CAMPO ORIENTATIVO PARA MARIHUANA ARROJANDO RESULTADO POSITIVO. SIENDO LAS 18:20 HS SE PROCEDE A LA SOLTURA DEL DETENIDO POR NO MEDIAR IMPEDIMENTOS LEGALES, RETIRANDOSE CONFORME A LOS TRATOS RECIBIDOS CON LA TOTALIDAD DE SUS EFECTOS PERSONALES Y DE VALOR SECUESTRADOS AL RESGUARDO DE LA UNIDAD.</t>
  </si>
  <si>
    <t>AR 1440</t>
  </si>
  <si>
    <t>CATAMARCA</t>
  </si>
  <si>
    <t>EL 11-06-10 APROXIMADAMENTE A LAS 15:00 REGRESAN DE SEDE JUDICIAL LOS APREHENDIDOS QUIENES DEBERAN PERMANECER ALOJADOS EN ESTA DEPENDENCIA POR DISPOSICION DEL JUZGADO DE GARANTIAS N° 2 DE LOMAS DE ZAMORA. SEGUIDO A ELLO, SE RECEPCIONA OFICIO QUE DISPONE LA INMEDIATA LIBERTAD DE VICTOR HUGO CASTILLO, LA CUAL SE HACE EFECTIVA DESDE ESTA DEPENDENCIA A LAS 18:15 HORAS DEL 11-06-10. MIENTRAS QUE ENRIQUE CARLOS FABIANO Y LEONARDO AUGIER PERMANECEN ALOJADOS EN ESTA DEPENDENCIA.-</t>
  </si>
  <si>
    <t>DR. FERNANDEZ EDUARDO</t>
  </si>
  <si>
    <t>A 50 METROS HACIA EL NORTE</t>
  </si>
  <si>
    <t>PISTA, EN SU INTERSECCION CON CALLE PRINCIPAL DE RODAJE</t>
  </si>
  <si>
    <t>INFORMO QUE EN MOMENTOS EN QUE SE INICIABA UN SIMULACRO DE ACCIDENTE AEREO DENTRO DE ESTE AEROPUERTO SE PRODUCE LA CAÍDA DEL CABO DANIEL ARMANDO OJEDA, QUIEN PERTENECE AL CUERPO DE BOMBEROS DE LA POLICÍA DE LA PROVINCIA DE CORRIENTES CON DESTACAMENTO EN ESTE AEROPUERTO, EL CUAL APARENTEMENTE SE HABRÍA RESBALADO DE LA PARTE TRASERA DE LA AUTOBOMBA QUE LO TRANSPORTABA, QUEDANDO TENDIDO EN LA PISTA, A APROXIMADAMENTE 50 METROS DEL CRUCE CON LA CALLE DE RODAJE PRINCIPAL, SUFRIENDO TRAUMATISMO DE CRÁNEO CON OTORRAGIA Y PERDIDA DE CONOCIMIENTO SEGÚN EL DIAGNOSTICO PRESUNTIVO REALIZADO POR PERSONAL MEDICO INTERVINIENTE, QUIEN DETERMINO SU INMEDIATO TRASLADO A UN NOSOCOMIO DE ESTA CIUDAD. EL MENCIONADO SIMULACRO FUE ORGANIZADO POR LA ANAC E INFORMADO A ESA REGIONAL POR ORDEN DE SERVICIO 028 DE FECHA 11 DE JUN DE 2010. SE INFORMA ASÍ MISMO LA IMPOSIBILIDAD DE ESTABLECER COMUNICACIÓN CON EL JUZGADO Y FISCALÍA DE TURNO. PARTE N° 3583 / AñO 2010 INFORMO QUE SE ESTABLECIÓ COMUNICACIÓN TELEFÓNICA CON LA JUEZA DE INSTRUCCIÓN Nº 5 DRA. LAURA BEATRIZ VARELA QUIEN IMPUESTA DE LA SITUACIÓN INFORMADA A ESA UNIDAD REGIONAL MEDIANTE PU Nº 3574/10 DISPONE QUE LAS ACTUACIONES SUMARIAS SEAN LLEVADAS A CABO POR LA COMISARIA DE LA JURISDICCIÓN CORRESPONDIENTE DE LA POLICÍA DE LA PROVINCIA DE CORRIENTES. PARTE N° 3585 / AñO 2010 INFORMO QUE EN EL DÍA DE LA FECHA, DE ACUERDO A LO DISPUESTO POR LA JUEZA DE INSTRUCCIÓN Nº 5 DRA. LAURA BEATRÍZ VARELA, SE REMITEN ACTUACIONES INICIADAS EN VIRTUD DE LO INFORMADO A ESA UNIDAD REGIONAL MEDIANTE PU Nº 3574/10, A LA COMISARIA 9NA DE LA POLICÍA DE LA PROVINCIA DE CORRIENTES. NOTA EL DÍA 13 DEL CORRIENTE MES Y AÑO SEGÚN LO TRASCENDIDO SE PUDO SABER DEL DECESO DEL SEÑOR OJEDA DANIEL ARMANDO A LAS 1130HS EN EL HOSPITAL ESCUELA DE LA CIUDAD DE CORRIENTES</t>
  </si>
  <si>
    <t>INFRACCION A LOS ARTS 78 Y 85 DEL DEC LEY 8031/73</t>
  </si>
  <si>
    <t>SIENDO LA FECHA Y HORA ANTES MENCIONADA, EN MOMENTOS EN QUE LOS OFICIALES SAVIO Y BRAVO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</si>
  <si>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INFRACCION AL ART 78 DEL DEC LEY 8031/73</t>
  </si>
  <si>
    <t>SIENDO LA FECHA Y HORA ANTES MENCIONADA, EN MOMENTOS EN QUE LOS OFICIALES SACOR Y HANEMANN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</si>
  <si>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FECHA Y HORA ANTES MENCIONADA, EN MOMENTOS EN QUE EL OFICIAL GONZALO MARTINEZ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</si>
  <si>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INFRACCION A LOS ARTICULOS 78 Y 85 DEL DEC. LEY 8031/73</t>
  </si>
  <si>
    <t>SIENDO LA FECHA Y HORA ANTES MENCIONADA, EN MOMENTOS EN QUE LOS OFICIALES VILAS MARIANO Y VILAS JOAQUIN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 E</t>
  </si>
  <si>
    <t>FRENTE A PARADA DE TAXIS DE C.A.B.A</t>
  </si>
  <si>
    <t>SIENDO LA FECHA Y HORA ANTES MENCIONADA, EN MOMENTOS EN QUE EL OFICIAL ROMEO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</si>
  <si>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SE PROCEDE A LA RETENCIÓN DE TRES SACAS COLECTORAS DEL CORREO OFICIAL, SEGÚN CONSTA EN ACTA DE RETENCIÓN DE CARGAS Nº 0302/10, QUE ORIGINA LA PREVENCIÓN SUMARIA 069/10, LA PRIMERA SACA IDENTIFICADA CON MARBETE, SLA9127733E555700RGL, PRECINTO N° U949276, CON UN PESO DECLARADO DE 16,900 KGS , CON DESTINO LA CIUDAD DE RIO GALLEGOS, CONTENDRIA SIETE PIEZAS POSTALES, LA SEGUNDA SACA IDENTIFICADA CON MARBETE SLA0210567D555800VAE, PRECINTO Nº U949085, CON UN PESO DECLARADO DE 10,400 KGS, CON DESTINO A LA CIUDAD DE USUHAIA, CONTENDRIA DOS PIEZA Y LA TERCERA SACA IDENTIFICADA CON MARBETE SLA0212745D555600CRD, PRECINTO Nº U949757, CON UN PESO DECLARADO DE 2,400 KGS., CON DESTINO A LA CIUDAD DE COMODORO RIVADAVIA, CONTENDRIA UNA PIEZA, LAS TRES SACAS SE ENCUENTRAN AMPARADAS EN GUÍA DE CARGA Nº 9388852-4, DESPACHADAS ATRAVÉS DE LA EMPRESA DE CARGA AEREA JET PAQ. LA RETENCIÓN SE REALIZA ANTE LA PRESUNCIÓN QUE PUDIERAN CONTENER ALGÚN ELEMENTO EN INFRACCIÓN A LA LEY 23.737 Y/O 22.415, QUEDANDO LAS MISMAS CERRADAS Y PRECINTADAS EN GUARDA EN ESTA UOSP. SE COMUNICO LA RETENCION, TELEFONICAMENTE AL JUZGADO INTERVINIENTE, Y LA APERTURA SE REALIZARÁ EN PRESENCIA DEL PERSONAL DEL CORREO OFICIAL.</t>
  </si>
  <si>
    <t>FISCALIA DE INSTRUCCION DISTRITO III</t>
  </si>
  <si>
    <t>CHIRINO</t>
  </si>
  <si>
    <t>ALICIA</t>
  </si>
  <si>
    <t>ZANELLO,EDUARDO</t>
  </si>
  <si>
    <t>DEPOSITO DE INSUMOS DE LA EMPRESA ZERZA UBICADO EN EL SECTOR RESTRINGIDO Y DESACTIVADO DE LA TERMINAL VIEJA</t>
  </si>
  <si>
    <t>SIENDO LAS 14:00 HS APROXIMADAMENTE DEL DÍA DE LA FECHA, LA DENUNCIANTE INGRESA A SU LUGAR DE TRABAJO, DEJANDO EN EL DEPOSITO DE INSUMOS DE LA EMPRESA SERZA UBICADO EN EL SECTOR RESTRINGIDO Y DESACTIVADO DE ESTA AEROSTACIÓN, UNA CARTERA BLANCA Y NEGRA CONTENIENDO EN SU INTERIOR EFECTOS PERSONALES Y UNA BILLETERA COLOR MARRÓN CLARO CON BEIGE. AL MOMENTO DE RETIRARSE A LAS 22:05 HS. APROXIMADAMENTE Y ESTANDO EN LA PARADA DE COLECTIVOS DE ESTA AEROSTACIÓN OBSERVA QUE DEL INTERIOR DE SU CARTERA LE FALTABA LA BILLETERA LA CUAL CONTENÍA EN SU INTERIOR LA SUMA DE PESOS ARGENTINOS CINCUENTA ($50.00), UNA (01) TARJETA DE DEBITO DEL BANCO SANTANDER RÍO, UNA (01) TARJETA DE DEBITO BANCOR, UNA (01) CARNET DE LA OBRA SOCIAL DE CONDUCTORES DE CAMIONEROS, TODO LO MENCIONADO A NOMBRE DE LA DENUNCIANTE. EL TURNO CORRESPONDIENTE A LA FISCALIA DE INSTRUCCION DISTRITO III ES EL Nº2</t>
  </si>
  <si>
    <t>3574/10</t>
  </si>
  <si>
    <t>INFORMO QUE SE ESTABLECIO COMUNICACION TELEFONICA CON LA JUEZA DE INSTRUCCION Nº 5 DRA. LAURA BEATRIZ VARELA QUIEN IMPUESTA DE LA SITUACION INFORMADA A ESA UNIDAD REGIONAL MEDIANTE PU Nº 3574/10 DISPONE QUE LAS ACTUACIONES SUMARIAS SEAN LLEVADAS A CABO POR LA COMISARIA DE LA JURISDICCION CORRESPONDIENTE DE LA POLICIA DE LA PROVINCIA DE CORRIENTES.</t>
  </si>
  <si>
    <t>PLATAFORMA AEROCOMERCIAL</t>
  </si>
  <si>
    <t>EN EL DIA DE LA FECHA, SIENDO LAS 10:00 HORAS SE DA CUMPLIMIENTO A LA ORDEN DE SERVICIO Nº 267/10 REFERENTE AL CONTROL DE SEGURIDAD POR LA LLEGADA DEL PRESIDENTE DEL GOBIERNO DE CANARIAS, EL SR. D. PAULINO RIVERO BAUTE, EL CUAL ARRIBO A LAS 10:33 HORAS EN EL VUELO Nº PU 159 PROCEDENTE DE LA CIUDAD DE CARRASCO, REPUBLICA ORIENTAL DEL URUGUAY. REALIZANDO EL CONTROL DE SEGURIDAD EN PLATAFORMA, SALA VIP Y PARTE PUBLICA, RETIRANDOSE EL SR. RIVERO BAUTE DE JURISDICCION AEROPORTUARIA A LAS 10:55 HORAS SIN NOVEDAD.-</t>
  </si>
  <si>
    <t>PU 159</t>
  </si>
  <si>
    <t>CARRASCO</t>
  </si>
  <si>
    <t>3583/10</t>
  </si>
  <si>
    <t>INFORMO QUE EN EL DIA DE LA FECHA, DE ACUERDO A LO DISPUESTO POR LA JUEZA DE INSTRUCCION Nº 5 DRA. LAURA BEATRIZ VARELA, SE REMITEN ACTUACIONES INICIADAS EN VIRTUD DE LO INFORMADO A ESA UNIDAD REGIONAL MEDIANTE PU Nº 3574/10, A LA COMISARIA 9NA DE LA POLICIA DE LA PROVINCIA DE CORRIENTES.</t>
  </si>
  <si>
    <t>NAC DE 1º INST EN LO CRIMINAL DE INST Nº 16</t>
  </si>
  <si>
    <t>ROFRANO</t>
  </si>
  <si>
    <t>ESTAFA-FALSIFICACIÓN</t>
  </si>
  <si>
    <t>NOTIFICACIÓN POR PEDIDO DE CAPTURA</t>
  </si>
  <si>
    <t>INFORMO QUE EN EL CONTROL DE DOCUMENTACIÓN DE PASAJEROS SE DETECTA A TRAVÉS DEL SISTEMA INTERPOL EL PEDIDO DE DETENCIÓN VIGENTE SOLICITADO POR EL JUZGADO DE INSTRUCCIÓN Nº 16 SECRETARIA Nº 111 DEL SEÑOR EDUARDO ALFREDO PISCOPPO. ANTE EL HECHO PERSONAL DE INTERPOL LABRA UN ACTA Y LA MISMA ES ENTREGADA AL JEFE DE TURNO. ACTO SEGUIDO SE ESTABLECE COMUNICACION TELEFONICA CON EL DR. FERNANDO CASTRO A CARGO DE LA SECRETARIA Nº 111 DEL JUZGADO SOLICITANTE DE LA MEDIDA QUIEN ENTERADO DE LOS HECHOS DISPONE QUE SE NOTIFIQUE AL CAUSANTE QUE COMPAREZCA EN EL TERMINO DE 72 HS ANTE SEDE TRIBUNALICIA, SE REALICEN HUELLAS DACTILARES Y CONSTATACION DE DOMICILIO TELEFONICAMENTE Y QUE EL MISMO PROSIGA SU VIAJE. SEGUIDAMENTE SE REALIZA CONSTATACIÓN TELEFÓNICA CON EL ABONADO Nº 02257-461164 SIENDO ATENDIDO POR EL SR. MARCELO FABRICO RECEPCIONISTA DEL HOSTAL DEL SOL A QUIEN SE LE PREGUNTA SI EL SR. ALFREDO EDUARDO PSICOPPO RESIDE EN ESE DOMICILIO SITO EN AVENIDA CHIOZZA Nº 1566 SAN BERNARDO PCIA DE BUENOS AIRES, RESPONDIENDO AFIRMATIVAMENTE. SEGUIDAMENTE SE REALIZAN HUELLAS DACTILARES AL CAUSANTE, QUIEN UNA VEZ NOTIFICADO PROSIGUE SU VIAJE.</t>
  </si>
  <si>
    <t>CIUDAD DE PUERTO IGUAZÚ</t>
  </si>
  <si>
    <t>UN BAR DEL CUAL NO APORTA DATOS</t>
  </si>
  <si>
    <t>CIUDAD DE KANSAS ESTADOS UNIDOS DE NORTE AMERICA</t>
  </si>
  <si>
    <t>QUE EL DIA INDICADO LA DAMNIFICADA MIENTRAS DESAYUNABA EN UN BAR DE LA CIUDAD DE KANSAS EEUU, SE PERCATO DEL FALTANTE DE LOS ELEMENTOS DETALLADOS, POR TAL MOTIVO Y POR SUGERENCIA DE LA EMPRESA DE SEGUROS QUE POSEE LA DAMNIFICADA UNA VEZ ARRIBADA A ESTE PAIS, EN EL VUELO DE LA EMPRESA DELTA DL 101 CON HORARIO DE ARRIBO DE LAS 0930 HORAS PROCEDENTE DE EEUU, SE HIZO PRESENTE EN ESTA GUARDIA A FIN DE RADICAR LA DENUNCIA PENAL AL SOLO EFECTO DE COBRAR EL SEGURO POR LOS ELEMENTOS SUSTRAIDOS.</t>
  </si>
  <si>
    <t>INF. ART 293 DEL CPN</t>
  </si>
  <si>
    <t>ARRIBOS DE PASAJEROS</t>
  </si>
  <si>
    <t>QUE EL DIA DE LA FECHA LA DNM EZEIZA MEDIANTE NOTA Y FORMAL DENUNCIA REMITE AL CAUSANTE, PRESUMIENDO FALSEDAD IDEOLOGICA EN LA DOCUMENTACION APORTADA. POR TAL MOTIVO, SIENDO LAS 12.45 HORAS MANTUVO COMUNICACION CON EL JUZGADO INTERVINIENTE QUIEN DISPUSO, SE LABREN ACTUACIONES DE RIGOR BAJO LA CARATULA DETALLADA, SE DETENGA E INCOMUNIQUE AL PASAJERO, CONSTATACION DE DOMICILIO, SE CURSE NOTA ALA DIRECCION NACIONAL DE MIGRACIONES A LOS EFECTOS DE QUE INFORMEN MOVIMIENTOS MIGRATORIOS DE AMBOS PASAPORTES, DECLARACIONES TESTIMONIALES A PERSONAL DE MIGRACIONES INTERVINIENTE Y TESTIGOS, INFORME PERICIAL DE LOS DOCUMENTOS EN CUESTION, NOTA AL CONSULADO PERUANO Y SE ELEVE LO ACTUADO JUNTO CON EL DETENIDO A SEDE TRIBUNALICIA EL DIA LUNES CATORCE DEL CORRIENTE MES Y AÑO. SE INFORMA EN PU Nº 3607 QUE SIENDO LAS 07.50 HORAS DEL DIA 14/06/2010 SE PROCEDIO AL TRASLADO DEL DETENIDO JUNTO CON LAS ACTUACIONES SUMARIAS Y LA DOCUMENTACION OPORTUNAMENTE SECUESTRADA A LA SEDE TRIBUNALICIA.</t>
  </si>
  <si>
    <t>EN EL DIA DE LA FECHA SIENDO LAS 15:30 HS SE DA CUMPLIMIENTO A LA ORDEN DE SERVICIO Nº 268/10 REFERENTE AL CONTROL DE SEGURIDAD POR LA PARTIDA DEL PRESIDENTE DE LA UNION DEMOCRATICA INTERNACIONAL D. JOHN HOWARD EN EL VUELO AR 1256 DE AEROLINEAS ARGENTINAS CON DESTINO A RIO DE JANEIRO. REALIZANDO EL CONTROL DE SEGURIDAD EN PARTE PUBLICA, SALA VIP Y PLATAFORMA COMERCIAL. SIENDO LAS 17:15 HS PARTE DICHO VUELO DESDE ESTE AEROPUERTO CON DESTINO FINAL A LA CIUDAD DE RIO DE JANEIRO. FINALIZANDO EL OPERATIVO A LAS 17:30 HS SIN NOVEDAD</t>
  </si>
  <si>
    <t>PUNTO DE INSPECCION Y REGISTRO MAQUINA DE RX</t>
  </si>
  <si>
    <t>PREEMBARQUE 1/16 TERMINAL A</t>
  </si>
  <si>
    <t>UNA PASAJERA DEPOSITA UN CARRY-ON, SOBRE LA CINTA TRANSPORTADORA DE EQUIPAJE DE LA MAQUINA DE RAYOS X DONDE SE VISUALIZA EN EL INTERIOR DEL MISMO LA EXISTENCIA DE SUSTANCIA ORGÁNICA DE BAJA DENSIDAD. LUEGO SE TRASLADAN LA PASAJERA, TESTIGOS Y PERSONAL POLICIAL AL TURNO DE PREVENCIÓN. SE PROCEDE A LA REQUISA DEL EQUIPAJE EN CUESTIÓN, PREVIA AUTORIZACIÓN DEL JUZGADO INTERVINIENTE. UNA VEZ APERTURADO DICHO CARRY-ON SE RETIRA LA PLACA QUE OCUPA EL FONDO Y SE OBSERVA POR DEBAJO DE ESTA UN ENVOLTORIO DE COLOR NEGRO Y PAPEL CARBÓNICO - PAQUETE 1 - EL CUAL SE RETIRA Y POR DEBAJO DE ESTE SE OBSERVAN TRES PAQUETES CONFORMADOS DE IGUAL MANERA A LOS QUE SE LOS DENOMINA PAQUETE 2 - PAQUETE 3 - PAQUETE 4. QUE CONTINUANDO CON LA REQUISA DEL CARRY ON SE RETIRAN DOS PLACAS QUE RECUBREN LOS LATERALES DERECHO E IZQUIERDO DEL MENCIONADO EQUIPAJE Y SE OBSERVA EN AMBOS CASOS LA EXISTENCIA PAQUETES CONFORMADOS DE IGUAL MANERA LOS QUE SE IDENTIFICAN COMO PAQUETE 5 Y PAQUETE 6. SEGUIDAMENTE SE TOMA EL PAQUETE 1 Y SE LE REALIZA UN CORTE DEJÁNDOSE VER EL CONTENIDO SIENDO ESTE LA SUSTANCIA DESCRIPTA A LA QUE SE LE PRACTICA UNA PRUEBA DE CAMPO PARA COCAÍNA MARCA COCA TEST PEN TEST ARROJANDO RESULTADO POSITIVO. CONTINUANDO LA REQUISA DEL EQUIPAJE SE TOMA DE LOS ELEMENTOS PERSONALES HABIDOS EN EL INTERIOR DEL MISMO LA AGENDA DESCRIPTA Y SE REALIZA UN CORTE SOBRE LAS COSTURAS DE LA MISMA RETIRANDO DE CADA UNA DE LAS TAPAS, UN PAQUETE DE PAPEL CARBÓNICO ENVUELTO EN NYLON DE COLOR NEGRO - PAQUETE 7 Y PAQUETE 8 - A LOS QUE SE LES PRACTICA UN CORTE Y SE DEJA VER QUE EN EL INTERIOR DE AMBOS LA SUSTANCIA DESCRIPTA, SE LE PRACTICA EN AMBOS CASOS UNA PRUEBA DE CAMPO CON REACTIVO PARA COCAÍNA MARCA COCA TEST PEN TEST ARROJANDO RESULTADO POSITIVO. SEGUIDAMENTE SE REALIZA LA REQUISA DEL EQUIPAJE DESPACHADO A BODEGA Y SE EXTRAE DEL INTERIOR DEL MISMO UNA IMAGEN CUADRADA DE PAPEL METÁLICO Y CARTÓN CON LA IMAGEN DE UN GAUCHO A CABALLO - IDENTIFICADO COMO CUADRO AL QUE SE LE REALIZA UN CORTE SOBRE SUS EXTREMOS Y SE EXTRAE UN ENVOLTORIO DE NYLON, PAPEL CARBÓNICO DE COLOR NEGRO Y SE LO DENOMINA PAQUETE 9, SE LE REALIZA UN CORTE DEJÁNDOSE VER EN SU INTERIOR LA SUSTANCIA DESCRIPTA SE LE REALIZA UNA PRUEBA DE CAMPO PARA COCAÍNA MARCA COCA TEST PEN TEST ARROJANDO RESULTADO POSITIVO. EN VIRTUD A LOS RESULTADOS SE DA AVISO DE LOS MISMOS AL JUZGADO INTERVINIENTE. EL PESAJE TOTAL DEL ESTUPEFACIENTE INCAUTADO FUE DE 2306 GRAMOS. SEGUN P.U. Nº 3606, SE PROCEDIO AL TRASLADO DE LA DETENIDA A SEDE JUDICIAL EL DIA 14/06/2010, EN HORAS 0730. LA SUSTANCIA Y ELEMENTOS CONTENEDORES PERMANECEN EN RESGUARDO DE LA DEPENDENCIA.</t>
  </si>
  <si>
    <t>TRIBUNAL ORAL EN LO CRIMINAL Nº 10 DE CAPITAL FEDERAL</t>
  </si>
  <si>
    <t>BECERRA</t>
  </si>
  <si>
    <t>ALEJANDRO MARTIN</t>
  </si>
  <si>
    <t>REBELDIA Y CAPTURA</t>
  </si>
  <si>
    <t>5602/06</t>
  </si>
  <si>
    <t>QUE AL ARRIBAR EL CAUSANTE AL TERRITORIO NACIONAL Y REALIZAR SUS TRAMITES DE INGRESO, LA DNM SE PERCATA QUE EN EL SISTEMA DE ESE ORGANISMO ERA HABIDO UN PEDIDO DE CAPTURA. QUE POR NO PODER COMUNICARSE CON EL TRIBUNAL SOLICITANTE SE PROCEDIO A LA DETENCION DEL CAUSANTE Y SE EFECTIVIZO LA MEDIDA QUE PESA SOBRE EL CAUSANTE, POR ORDEN DEL JUZGADO FEDERAL NRO 1, DE LOMAS DE ZAMORA A CARGO DEL JUEZ DR. ALBERTO PATRICIO SANTAMARINA HASTA TANTO SE MANTENGA COMUNICACION TELEFONICA EN LA CUAL SE IMPARTAN LAS DILIGENCIAS A EFECTUAR, EL CAUSANTE PERMANECERA ALOJADO EN ESTA DEPENDENCIA. SE INFORMA EN PU Nº 3610 QUE SIENDO LAS 10.00 HORAS DEL DIA 14/06/2010, EL CAUSANTE ES TRASLADADO A SEDE JUDICIAL.</t>
  </si>
  <si>
    <t>TA 023</t>
  </si>
  <si>
    <t>DIVISION DE OPERACIONES ESPECIALES DE SEGURIDAD AEROPORTUARIA IV IGUAZU</t>
  </si>
  <si>
    <t>INFORMO QUE EN DIA DE LA FECHA ARRIBO A LAS 09:OOHS, EL SR. SERGUEY MIRONOV PRESIDENTE DEL CONSEJO DE LA FEDERACION DE LA ASAMBLEA FEDERAL DE LA FEDERACION DE RUSIA, Y SU COMITIVA, ABANDONANDO LA JURIDICCION AEROPORTUARIA A LAS 09:30HS CULMINANDO EL DISPOSITIVIO DE SEGURIDAD SIN NOVEDAD. DANDO CUMPLIMIENTO A LA ORDEN DE SERVICIO Nº 015/10</t>
  </si>
  <si>
    <t>RA86540</t>
  </si>
  <si>
    <t>ISLA DE SAL</t>
  </si>
  <si>
    <t>APELACION DE LA SANCION DE GUTIERREZ FACUNDO MATIAS - DETENIDO EN LA CAUSA N°2.277</t>
  </si>
  <si>
    <t>N° 2588</t>
  </si>
  <si>
    <t>INFORMO QUE EN EL DIA DE LA FECHA EN VUELO 5U-470 DE LA EMPRESA AEROCOMERCIAL LINEAS AEREAS DEL ESTADO SE ENVIA BAJO GUIA DE CARGA N° 022-28004196 UN SOBRE CERRADO CONTENIENDO LA CAUSA N° 2588 CARATULADA APELACION DE LA SANCION DE GUTIERREZ FACUNDO MATIAS -DETENIDO EN LA CAUSA N° 2.277, CONFORME A LO DISPUESTO PO S.SA DR. FEDERICO CALVETE A CARGO DEL JUZGADO FEDERAL DE LA CIUDAD DE USHUAIA. ASIMISMO INFORMO SE ESTIMA EL ARRIBO A LA CIUDAD DE COMODORO RIVADAVIA A LA 15:00 HS.</t>
  </si>
  <si>
    <t>5U- 470</t>
  </si>
  <si>
    <t>PREEBARQUE PUERTA Nº 1</t>
  </si>
  <si>
    <t>INFORMO QUE EN EL CONTROL DE EQUIPAJES DE MANO EN LA PUERTA DE EMBARQUE Nº 1 SOBRE LOS PASAJEROS A EMBARCAR EN EL VUELO Nº 2721 DE LA EMPRESA AUSTRAL LINEAS AÉREAS SE DETECTA UN EQUIPAJE QUE CONTENDRÍA EN SU INTERIOR MERCADERÍA EN INFRACCIÓN A LEY 22.415 EL PROPIETARIO PROCEDE A LA APERTURA DEL MISMO CONSTATANDO LA EXISTENCIA DE DICHA MERCADERÍA SE PROCEDE A LABRAR ACTA DE INTERDICCIÓN Y SE HACE ENTREGA DE LA MISMA AL PERSONAL DE AFIP DGA A LA SRA ADRIANA LINERA LEGAJO Nº 18540-0 QUIEN PROCEDE AL COBRO DE PÓLIZA DE LA MISMA BAJO ACTA Nº 2010029004657 VALOR TOTAL DE LA MERCADERÍA DOS MIL SETECIENTOS CUARENTA Y CUATRO PESOS ARGENTINOS</t>
  </si>
  <si>
    <t>MANSILLA, MARIO HECTOR, RETAMAR, ALCIDES, BERDUN, CARLOS ALBERTO, GUTIERREZ FACUNDO MATIAS, ROSSETTI, BRUNO, REPUCI, ALBERTO DANIEL, LOPEZ, PATRICIA NOEMI, S/INF, LEY 23.737</t>
  </si>
  <si>
    <t>N° 2.277</t>
  </si>
  <si>
    <t>INFORMO QUE EL EL DIA DE LA FECHA EN VUELO 5U-470 DE LA EMPRESA AEROCOMERCIAL LINEAS AEREAS DE ESTADO SE ENVIA EN BAJO GUIA DE CARGA N° 022-28004196 UN SOBRE CERRADO CONTENIENDO CAUSA N° 2.277 CARATULADA MANSILLA, MARIO HECTOR, RETAMAR, ALCIDES, BERDUN, CARLOS ALBERTO, GUTIERREZ, FACUNDO MATIAS, ROSSETTI, BRUNO, REPUCCI, ALFREDO DANIEL, LOPEZ, PATRICIA NOEMI. S/INF. LEY N° 23.737, CONFORME AL LO DISPUESTO POR S.SA DR. FEDERICO CALVETE A CARGO DEL JUZGADO FEDERAL DE LA CUIDAD DE USHUAIA, ASIMISMO INFORMOSE ESTIMA EL ARRIBO DEL VUELO A LA CIUDAD DE COMODORO RIVADAVIA A LAS 1:00 HS.</t>
  </si>
  <si>
    <t>5U-470</t>
  </si>
  <si>
    <t>PESOA MARIANO S/DENUNCIA</t>
  </si>
  <si>
    <t>BAÑOS MASCULINOS HABIDOS EN EL SECTOR</t>
  </si>
  <si>
    <t>SECTOR DE ARRIBOS DE ADUANA</t>
  </si>
  <si>
    <t>QUE SIENDO LAS 09:45 HS., SE HACE PRESENTE EL DENUNCIANTE MANIFESTANDO QUE EN MOMENTOS EN QUE SE ENCONTRABA DESEMPEÑANDO SUS TAREAS LABORALES EN EL SECTOR CITADO CON ANTERIORIDAD, SE LE ACERCA UN COMPAÑERO DE APELLIDO NAVARRO, DE QUIEN NO APORTA MAS DATOS Y EL CUAL LE DIJO TEXTUALMENTE AL DENUNCIANTE -SI NO ARREGLAS LO QUE DIJISTE SE VA A PUDRIR TODO, - SIC. MOTIVO POR EL CUAL EL DENUNCIANTE SE DIRIGE A ESTA DEPENDENCIA A RADICAR LA CORRESPONDIENTE DENUNCIA.</t>
  </si>
  <si>
    <t>DR. ANDERS BASSO</t>
  </si>
  <si>
    <t>PARISI GIORGIO S/DENUNCIA</t>
  </si>
  <si>
    <t>SIENDO EL DIA 30 DEL MES DE ABRIL DEL CORRIENTE AÑO NO ESPECIFICANDO HORARIO, EL DENUNCIANTE ARRIBA AL TERRITORIO NACIONAL, AL MOMENTO DE RETIRAR LOS EQUIPAJES DESPACHADOS EN AEROPUERTO DE ORIGEN SE PERCATA QUE UNO DE LOS MISMOS, SIENDO ESTE UN CARRION DE COLOR AZUL DE GRANDES DIMENSIONES, SE ENCONTRABA CON ROTURAS EN SU CUERPO Y EN SU CANDADO, POSTERIORMENTE LO APERTURA Y SE PERCATA DEL FALTANTE DE LOS ELEMENTOS DESCRIPTOS EN EL PUNTO OBJETOS DEL PRESENTE PARTE. EN EL DIA DE LA FECHA SE HACE PRESENTE A SOLICITUD DE LA EMPRESA ALITALIA, EN ESTA DEPENDENCIA POLICIAL A RADICAR LA CORRESPONDIENTE DENUNCIA.</t>
  </si>
  <si>
    <t>AZ 680</t>
  </si>
  <si>
    <t>3592/10</t>
  </si>
  <si>
    <t>INFORMO QUE EN DIA DE LA FECHA DESPEGA A LAS 18:2OHS, EL SR. SERGUEY MIRONOV PRESIDENTE DEL CONSEJO DE LA FEDERACION DE LA ASAMBLEA FEDERAL DE LA FEDERACION DE RUSIA, Y SU COMITIVA, FINALIZANDO EL DISPOSITIVIO DE SEGURIDAD SIN NOVEDAD. DANDO CUMPLIMIENTO LA ORDEN DE SERVICIO Nº 015/10</t>
  </si>
  <si>
    <t>Lopez Da Silva, Walter</t>
  </si>
  <si>
    <t>RAUL ENRIQUE MARAN S/INFRACCION LEY 23.737</t>
  </si>
  <si>
    <t>CONTROL MARCO DETECTOR - CACHEO</t>
  </si>
  <si>
    <t>LAS 15:00 HORAS, EL OFICIAL AYUDANTE ROBERTO OMAR BARRAZA REALIZANDO CACHEO EN EL SECTOR PREEMBRAQUE DE CABOTAJE, AL SEÑOR MARAN PASAJERO DEL VUELO DE AUSTRAL N° 2685, DETECTA EN EL BOLSILLO DELANTERO DERECHO, DE SU PANTALÓN, UNA CAJA DE CIGARRILLOS MARCA MARLBORO BOX, SE PROCEDE A LA APERTURA DE LA MISMA, Y SE OBSERVA EN EL INTERIOR UNA SUSTANCIA VEGETAL COLOR VERDE, SEMI COMPACTA, COMPUESTA DE HOJAS Y DE UN FUERTE AROMA, SE PROCEDIÓ A REALIZAR REACTIVO DE CAMPO PARA MARIHUANA, EL CUAL ARROJA RESULTADO POSITIVO, SE REALIZA PESAJE DE LA SUSTANCIA HALLADA, ARROJANDO COMO RESULTADO UN PESO TOTAL DE 15G (QUINCE GRAMOS).SE REALIZA COMUNICACIÓN CON EL SECRETARIO DEL JUZGADO FEDERAL, QUIEN DISPONE SE REALICEN ACTUACIONES S/ INFRACCION A LA LEY 23.737, SE NOTIFIQUE DE CAUSA AL IMPUTADO, SE LO DEJE CONTINUAR CON SU VIAJE PROGRAMADO, Y SE REMITAN LAS ACTUACIONES PERTINENTES.</t>
  </si>
  <si>
    <t>2584/85</t>
  </si>
  <si>
    <t>CLAUDIO CECCONI</t>
  </si>
  <si>
    <t>SIENDO LA FECHA Y HORA ANTES MENCIONADA, EN MOMENTOS EN QUE LOS OFICIALES ZUMPANO Y SACOR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</si>
  <si>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POSICION NUMERO 19, TERMINAL B DE ESTE MEDIO.-</t>
  </si>
  <si>
    <t>PLATAFORMA OPERATIVA.-</t>
  </si>
  <si>
    <t>QUE SIENDO LAS 20:15 HS, EL VUELO PRESIDENCIAL DE REFERENCIA ARRIBO A ESTA AEROESTACION S/N. CONSECUENTEMENTE SE DIO COMIENZO AL OPERATIVO DE SEGURIDAD CORRESPONDIENTE AL CASO, PARA EL CUAL ESTABA AFECTADO PERSONAL POLICIAL DE ESTA DEPENDENCIA, G.E.D.E.X., G.E.A.T. Y CANES. ASIMISMO CABE DESTACAR QUE SE AUTORIZO EL INGRESO AL LUGAR DONDE QUEDO ESTACIONADA LA AERONAVE, LOS AUTOMOVILES PERTENECIENTES AL CANCILLER FERRARI, DE PROTOCOLO DE CANCILLERIA, UN VEHICULO DE LA P.F.A. PERTENECIENTE A LA CAPSULA DE CANCILLERIA Y UN VEHICULO DE LA EMBAJADA RUSA. QUE AL MOMENTO DE CUSTODIAR LA RETIRADA DE LA CAPSULA, EL RESPONSABLE DE LA CAPSULA DE LA P.F.A. SE ENCONTRABA CAMINANDO A UN COSTADO DEL MOVIL DE ESTA DEPENDENCIA QUE ESTABA EFCTUANDO EL FOLLOW ME. QUE AL TOMAR CONOCIMIENTO EL PERSONAL POLICIAL DE LO ANTES REFERIDO, NOTIFICO AL PERSONAL DE LA P.F.A. QUE NO PODIA PROCEDER DE TAL MANERA POR LO QUE DICHO EFECTIVO SUBIO A UN MOVIL DE DICHA INSTITUCION RETIRANDOSE DEL LUGAR EN EL INTEROR DEL MISMO. PTO.-</t>
  </si>
  <si>
    <t>IGUAZU, MISIONES, ARGENTINA</t>
  </si>
  <si>
    <t>JUZGADO DE INST. N° 2 - PENAL DE S. C. DE BARILOCHE</t>
  </si>
  <si>
    <t>Lozada</t>
  </si>
  <si>
    <t>Martin</t>
  </si>
  <si>
    <t>DR MARTIN GOVETTO</t>
  </si>
  <si>
    <t>S/DELITOS CONTRA LA PROPIEDAD ROBO</t>
  </si>
  <si>
    <t>S/DELITO CONTRA LA PROPIEDAD ROBO</t>
  </si>
  <si>
    <t>CINTA ARRIBOS EQUIPAJE CABOTAJE</t>
  </si>
  <si>
    <t>EN EL DÍA DE LA FECHA SE RECEPCIONO DENUNCIA DEL SEÑOR NICLI, A QUIEN MANIFESTO QUE LE SUSTRAJERON DE SU EQUIPAJE FACTURADO CON MARBETE Nº LA 552830, EL DIA SABADO 12 DE CORRIENTE, UNA CAMPERA, UN PERFUME Y MIL PESOS EN MONEDA NACIONAL; DICHO PASAJERO ARRIBO EL DÍA ANTES MENCIONADO, DESDE LA CIUDAD AUTONOMA DE BUENOS AIRES EN EL VUELO MENCIONADO UT SUPRA. SE REALIZA COMUNICACIÓN CON EL SECRETARIO DEL JUZGADO PROVINCIAL, QUIEN ORDENA REALIZAR LAS ACTUACIONES PÉRTINENTES, ASIMISMO SE FAXEA MEMORANDO N 178/2010 AL JEFE UOSP METROPOLITANA A EFECTOS DE SOLICITAR TESTIMONIALES.</t>
  </si>
  <si>
    <t>ABBONA RIVAS S/AMENAZAS</t>
  </si>
  <si>
    <t>43.008/05</t>
  </si>
  <si>
    <t>SIENDO LA HORA INDICADA SE RECIBE POR PARTE DE LA DNM A LA CIUDADANA ANTES MENCIONADA, ANTE LA IMPOSIBILIDAD DE MANTENER COMUNICACION CON EL JUZGADO SOLICITANTE DE LA MEDIDA, SE MANTIENE COMUNICACION CON EL JUZGADO FEDERAL DE PRIMERA INSTANCIA EN LO CRIMINAL Y CORRECCIONAL NRO 01 DE LOMAS DE ZAMORA SECRETARIA NRO 3, QUIEN DISPONE SE DETENGA A LA CAUSANTE Y QUEDE ALOJADA EN ESTA DEPENDENCIA HASTA TANTO SE MANTENGA COMUNICACION CON EL JUZGADO SOLICITANTE, A FIN DE QUE SE INDIQUE EL TEMPERAMENTO A SEGUIR. SE INFORMA EN P.U Nº 3611 DEL DIA 14/6/2010 QUE SIENDO LAS 10 00HS SE PROCEDIO AL TRASLADO DE LA DETENIDA A SEDE JUDICIAL.</t>
  </si>
  <si>
    <t>4M5420</t>
  </si>
  <si>
    <t>DR. ARIEL TORRES</t>
  </si>
  <si>
    <t>AVERIGUACION DE LESIONES</t>
  </si>
  <si>
    <t>SIENDO LA FECHA Y HORA ANTES MENCIONADA, EN MOMENTO DE ENCONTRARSE LA OF. BENITEZ PABLA, ENCARGADA DEL PUNTO DE INSPECCION Y REGISTRO DENOMINADO PREEMBARQUE NACIONAL TERMINAL III, REALIZANDO EL CONTROL DEL VUELO Nº 4356, CON DESTINO A LA CIUDAD DE SAN CARLOS DE BARILOCHE, DE LA EMPRESA LAN, INGRESA UNA PASAJERA LLEVANDO CONSIGO UN TRIPODE DE GRANDES DIMENSIONES, RAZON POR LA CUAL, LA OFICIAL ENCARGADA LE INDICA QUE DEBE DESPACHARLO JUNTO CON EL EQUIPAJE FACTURADO. MINUTOS MAS TARDE, LUEGO DE HABER DESPACHADO EL OBJETO EN CUESTION, REGRESA AL PREEMBARQUE Y AL PASAR SU CARTERA POR LA MAQUINA DE RAYOS, LA OF. BENITEZ OBSERVA QUE EN SU INTERIOR HABIA UNA CORTA PLUMA PEQUEÑA SIMIL VICTORINOX, ANTE LO CUAL LE INDICA QUE AL SER UN ELEMENTO CORTO PUNZANTE DEBERIA DESPACHARLO, ANTE ESO LA PASAJERA LE GRITA EN FORMA AGRESIVA: BENITEZ METETELO EN EL CULO-SIC- E INTENTA DIRIGIRSE HACIA LA PUERTA DE EMBARQUE, MOMENTO EN QUE ES INTERCEPTADA POR LA OFICIAL ACTUANTE, LA CUAL RECIBE UN GOLPE EN SU ROSTRO POR PARTE DE LA PASAJERA, CAUSADO CON LA CARTERA. RAZON POR LA CUAL LA OF. BENITEZ LOGRA REDUCIRLA Y EN PRESENCIA DE DOS TESTIGOS FEMENINOS ES TRASLADADA HACIA LA GUARDIA DE PREVENCION. SIENDO LAS 23:20 HORAS SE ENTABLA COMUNICACION CON LA JUDICATURA INTERVINIENTE QUIEN ANOTICIADO DE LOS HECHOS DISPONE: LECTURA DE DERECHOS, IDGE, PRECARIO MEDICO DE LA PASAJERA Y DE LA OF. BENITEZ PABLA, CONSTATACION DE DOMICILIO TELEFONICA, REGISTRO FILMICO Y TESTIMONIAL DEL LA OF. BENITEZ, DE NO MEDIAR IMPEDIMENTOS LEGALES, SE PROCEDA A LA LIBERACION. SIENDO LAS 03:10 HORAS, AL NO MEDIAR IMPEDIMENTOS LEGALES VIGENTES SEGUN SISTEMA IDGE DE INTERPOL, SE PROCEDE A LA LIBERACION DE LA SRA. GONZALEZ CRISTINA SILVIA, RETIRANDOSE DE ESTE DEPENDENCIA POR SUS PROPIOS MEDIOS Y CONFORME CON LOS TRATOS RECIBIDOS. SIN NOVEDAD.-</t>
  </si>
  <si>
    <t>LA 4356</t>
  </si>
  <si>
    <t>EN CUMPLIMIENTO DE LA ORDEN DE SERVICIO 0051/10 Y SIENDO LAS 06:28 HORAS LOCAL DESPEGA VUELO NRO. 2831, AERONAVE MD 83, MATRICULA LV-BHH DE LA EMPRESA AUSTRAL LINEAS AEREAS Y EN CUYAS BODEGAS 4 Y 5 SE DESPACHAN UN TOTAL DE 84 CAJAS CON UN PESO DE 3234 KILOGRAMOS DE METAL- MTD- PERTENECIENTES A LA EMPRESA MINERA SANTA CRUZ CON DESTINO EL AEROPUERTO INTERNACIONAL JORGE DE NEWBERY DE CAPITAL FEDERAL.</t>
  </si>
  <si>
    <t>3590/10</t>
  </si>
  <si>
    <t>QUE SIENDO LAS 07:30 HS. DEL DIA DE LA FECHA, SE PROCEDIO AL TRASLADO DE LA DETENIDA EN UN MOVIL DE ESTA DEPENDENCIA, JUNTO CON LOS VALORES Y ELEMENTOS DE INTERES SECUESTRADOS Y LAS ACTUACIONES SUMARIAS OPORTUNAMENTE LABRADAS. QUE LA SUSTANCIA Y ELEMENTOS CONTENEDORES PERMANECEN EN RESGUARDO DE ESTA DEPENDENCIA A DISPOSICION JUDICIAL. PTO.-</t>
  </si>
  <si>
    <t>BUENO AIRES</t>
  </si>
  <si>
    <t>3588/10</t>
  </si>
  <si>
    <t>BOX DE INGRESOS MIGRATORIOS DE LA TERMINAL A DE ESTE MEDIO</t>
  </si>
  <si>
    <t>QUE SIENDO LAS 07:50 HS. DEL DIA DE LA FECHA SE PROCEDIO AL TRASLADO DEL DETENIDO, EN CALIDAD DE INCOMUNICADO EN UN MOVIL DE ESTA DEPENDENCIA, JUNTO CON LAS ACTUACIONES SUMARIAS Y LA DOCUMENTACION OPORTUNAMENTE SECUESTRADA. PTO.-</t>
  </si>
  <si>
    <t>EZE</t>
  </si>
  <si>
    <t>EN EL DIA DE LA FECHA A 08:30 HS, SE CANCELA VUELO DE LA EMPRESA LAN ARGENTINA N° 4151/2 DE PROCEDENCIA BUENOS AIRES, POR RAZONES CLIMATOLOGICAS EN ESTE AEROPUERTO ESTANDO CERRADO EL MISMO DESDE HORAS 06:30 PARA ATERRIZAJE Y DESPEGUE DE AVIONES, RETORNANDO EL MISMO A LA CIUDAD DE BUENOS AIRES, LOS PASAJEROS SERAN UBICADOS EN LOS PROXIMOS VUELOS DE LA EMPRESA LAN N° 4157 DEL DIA DE LA FECHA DE HORAS 20:00 Y N° 4152 DEL DIA 14 DEL CORRIENTE MES DE HORAS 08:10. ASIMISMO INFORMO QUE A HORAS 09:00 DEL DIA DE LA FECHA SE REINICIA LA ACTIVIDAD AEREA PARA ATERRIZAJES Y DESPEGUES DE AVIONES.</t>
  </si>
  <si>
    <t>4151/2</t>
  </si>
  <si>
    <t>AEROSTACION MILITAR</t>
  </si>
  <si>
    <t>EN EL DÍA DE LA FECHA, SIENDO LAS 09:00HS SE EFECTÚA EL DESPLIEGUE DE PERSONAL EN LA AEROSTACIÓN MILITAR AEROPARQUE CON MOTIVO DE LA PARTIDA DEL VUELO PRESIDENCIAL CON LA AERONAVE MATRICULA T-01. SIENDO LAS 09:20HS EL JEFE DE OPERACIONES DE LA AEROSTACIÓN MILITAR EL VICECOMODORO PEZZIMENTI, COMUNICA QUE DEBIDO A CUESTIONES METEOROLÓGICAS SE SUSPENDE LA SALIDA DE LA SEÑORA PRESIDENTA DE LA NACIÓN Y COMITIVA. SIENDO LAS 09:30HS VISTO LO INFORMADO POR EL JEFE DE OPERACIONES, SE REPLIEGA EL PERSONAL DANDO POR FINALIZADO EL OPERATIVO.</t>
  </si>
  <si>
    <t>3591/10</t>
  </si>
  <si>
    <t>INFORMO QUE SIENDO LAS 10:06 HS EL CAUSANTE ES TRASLADADO A SEDE JUDICIAL</t>
  </si>
  <si>
    <t>3603/10</t>
  </si>
  <si>
    <t>QUE SIENDO LA HORA 10:00 HS SE PROCEDIO AL TRASLADO DE LA DETENIDA A SEDE JUDICIAL</t>
  </si>
  <si>
    <t>AEROPUERTO SALTA</t>
  </si>
  <si>
    <t>INFORMO QUE DE ACUERDO A LOS DATOS SUMINISTRADOS POR LA OFICINA DE PLAN DE VUELO DE ESTE AEROPUERTO SALTA, EL MISMO SE ENCUENTRA CERRADO PARA LOS ARRIBOS DE AERONAVES, POR METEOROLOGIA DESFAVORABLE - NEBLINA-, HASTA TANTO SE MEJOREN LAS CONDICIONES CLIMATICAS.</t>
  </si>
  <si>
    <t>3581/10</t>
  </si>
  <si>
    <t>SE PROCEDE A LA APERTURA DE TRES SACAS COLECTORAS DEL CORREO OFICIAL, SEGÚN CONSTA EN ACTA DE RETENCIÓN DE CARGA Nº 0302/10 Y ACTA DEJANDO CONSTANCIA Nº 0303/10 DE APERTURA DE SACA, QUE ORIGINA LA PREVENCIÓN SUMARIA Nº 069/10, LA PRIMERA SACA IDENTIFICADA CON MARBETE, SLA9127733E555700RGL, PRECINTO N° U949276, CON UN PESO DECLARADO DE 16,900 KGS , CON DESTINO LA CIUDAD DE RIO GALLEGOS, CONTIENE SIETE (07) PIEZAS POSTALES, DE LAS CUALES QUEDAN RETENIDAS LAS IDENTIFICADAS COMO EP724485444, RTTE. VILTE NOEMÍ FABIOLA, CALLE TUPAC AMARU Nº 67, LOCALIDAD DE LA QUIACA, CP 4650 PROVINCIA DE JUJUY, DESTINATARIO: CUNA, JAVIER CARLOS DOMICILIADO EN CALLE JULIO ARGENTINO ROCA Nº 1640, LOCALIDAD EL CALAFATE CP 1974, PROVINCIA DE SANTA CRUZ, EP 724485435, RTTE: MONICA LINA TORRES, DOMICILIADA EN SARGENTO ROJAS Nº 117, Bº LA ESPERANZA, LA QUIACA JUJUY CP 4650, DESTINATARIO: ERMINIO RUPERTO TORRES, DOMICILIADO EN CALLE SAN JUAN 432 CP 9300 PUERTO SANTA CRUZ, PROVINCIA DE SANTA CRUZ Y EP675747141, RTTE. CAÑARI, YOLANDA, DOMICILIADA EN HORACIO GUZMAN Nº 1170, Bª MARIANO MORENO SAN SALVADOR DE JUJUY CP 4600, DESTINATARIO ANGEL CAÑARI DOMICILIADO EN AVDA TENIENTE DEL CASTILLO Y JUAN DOMINGO PERÓN 399, Bº 28 DE NOVIEMBRE, SANTA CRUZ. LAS IDENTIFICADAS COMO EP690987895, EP702481009, EP690987586 Y EP675747190 SON ENTREGADAS AL SR. ARIAS EMPLEADO DE CORREO OFICIAL PARA SU REDESPACHO, LA SEGUNDA SACA IDENTIFICADA CON MARBETE SLA0210567D555800VAE, PRECINTO Nº U949085, CON UN PESO DECLARADO DE 10,400 KGS, CON DESTINO A LA CIUDAD DE USUHAIA,.CONTIENE DOS PIEZAS, LA IDENTIFICADA COMO EP 711648651, REMITENTE MARIA LUISA SUNBAINO, DOMICILIADA EN AVDA LIBERTAD Nº 1129, Bº GUEMES, PALPALA JUJUY CP 4612, DESTINATARIO OSCAR D. VALERIO, DOMICILIADO EN CALLE ALDO MOTTER Nº 2519, Bº LA CUMBRE CP 9410 USHUAIA TIERRA DE FUEGO QUEDA RETENIDA Y LA IDENTIFICADA COMO EP 701775165 ES ENTREGADA AL SR. ARIAS EMPLEADO DE CORREO OFICIAL PARA SU REDESPACHO Y LA TERCERA SACA IDENTIFICADA CON MARBETE SLA0212745D555600CRD, PRECINTO Nº U949757, CON UN PESO DECLARADO DE 2,400 KGS., CON DESTINO A LA CIUDAD DE COMODORO RIVADAVIA., CONTIENE UNA PIEZA IDENTIFICADA COMO EP007587078 REMITENTE CARMEN R. VILCHEZ, DOMICILIADA EN EL FUEGUINO Nº 554, Bº INTERSINDICAL, SALTA 4400, DESTINATARIO ROCIO SILVANA HERRERA, DOMICILIADA EN CALLE ALICIA MOREAU DE JUSTO Nº 2050 COMODORO RIVADAVIA CHUBUT CP 9000, LA CUAL QUEDA RETENIDA. LAS RETENCIONES SE REALIZAN ANTE LA PRESUNCIÓN DE QUE PUDIERA CONTENER ALGÚN ELEMENTO EN INFRACCIÓN A LA LEY 23.737 Y/O 22.415, QUEDANDO LAS MISMAS CERRADAS Y EN GUARDA DE ESTA UOSP. SE COMUNICO TELEFÓNICAMENTE AL JUZGADO INTERVINIENTE Y LA APERTURA SE REALIZARA CON LA AUTORIZACIÓN DEL MAGISTRADO ACTUANTE.</t>
  </si>
  <si>
    <t>3517/10</t>
  </si>
  <si>
    <t>INFORMO EN EL DIA DE LA FECHA, EL JUZGADO FEDERAL DE INSTRUCCIÓN DE RAWSON PROVINCIA DE CHUBUT. ASIGNA NUMERO DE CAUSA Y CARATULA JUDICIAL, LAS QUE SE INFORMAN EN EL PRESENTE.-</t>
  </si>
  <si>
    <t>MANSILLA MARIO HECTOR, RETAMAR ALCIDES,BERDUN CARLOS ALBERTO, GUTIERREZ FACUNDO MATIAS, ROSSETTI BRUNO, REPUCCI ALFREDO DANIEL, LOPEZ PATRICIA NOEMI S/INF. LEY 23.737. APELACION DE LA SANCION DE GUTIERREZ FACUNDO MATIAS DETENIDO EN LA CAUSA 2277.</t>
  </si>
  <si>
    <t>Nº 2277 Y 2588</t>
  </si>
  <si>
    <t>SIENDO LAS 10:15 HORAS LOCAL SE TRASLADA DOS SOBRES CERRADOS A LA EXCELENTISIMA CAMARA FEDERAL DE APELACIONES DE COMODORO RIVADAVIA A CARGO DEL DR. ALDO E, SUAREZ, ENVIADOS POR LA UNIDAD OPERACIONAL DE USHUAIA. LOS CUALES CONTENIA EN SU INTERIOS DOCUMENTACION AL RESPECTO DE LA CAUSA NRO. 2277 QUE CONSTA DE FS 23. Y EL OTRO SOBRE CONTENIA EN SU INTERIOR DOCUMENTACION REFERANTE A LA CAUSA NRO 2588 APELACION DE GUTIERREZ FACUNDO MATIAS DETENIDO EN CAUSA 2277 QUE CONSTA DE UN CUERPO DE 56 FOJAS.</t>
  </si>
  <si>
    <t>3612/10</t>
  </si>
  <si>
    <t>INFORMO QUE DE ACUERDO A LOS DATOS SUMINISTRADOS POR LA OFICINA DE PLAN DE VUELO DE ESTE AEROPUERTO SALTA, EL MISMO SE ENCUENTRA OPERATIVO PARA LOS VUELOS A PARTIR DE HORAS 11:10.</t>
  </si>
  <si>
    <t>3553/10</t>
  </si>
  <si>
    <t>AV. DE LOS INMIGRANTES 1250, 2° PISO</t>
  </si>
  <si>
    <t>REF. ORDEN DE SERVICIO N° 484. SE INFORMA QUE EN EL DIA DE LA FECHA SE PROCEDIO A TRASLADAR AL DETENIDO A SEDE JUDICIAL A FIN DE PRESTAR DECLARACION INDAGATORIA, LUEGO DE LO CUAL SERA TRASLADADO A LA UNIDAD DE DETENCION QUE CORRESPONDA.</t>
  </si>
  <si>
    <t>DR. BOSSIE CESAR EDUARDO</t>
  </si>
  <si>
    <t>PUERTA SEIS DEL PREEMBARQUE NACIONAL.</t>
  </si>
  <si>
    <t>SALA DE ESPERA DEL EMBARQUE NACIONAL TERMINAL III.</t>
  </si>
  <si>
    <t>SIENDO LA HORA Y FECHA MENCIONADA SE HACE PRESENTE EN ESTA GUARDIA DE PREVENCION EL DAMNIFICADO JUNTO AL SEÑOR ORTIZ JOSE ANTONIO, PASAPORTE ESTADOUNIDENSE Nº 82063330, QUIEN OFICIO DE INTERPRETE, MANIFESTANDO QUE EN HORAS 10:35 LUEGO DE REALIZAR EL CORRESPONDIENTE CONTROL EN EL PUNTO DE INSPECCION Y REGISTRO DEL PREEMBARQUE NACIONAL DE ESTE AEROPUERTO METROPOLITANO, SE DIRIGIERON HACIA LA SALA DE ESPERA CERCANA A LA PUERTA Nº 6 A FIN DE ESPERAR ALLI LA SALIDA DEL VUELO. UNA VEZ EN EL LUGAR EL DENUNCIANTE APOYO SU CELULAR EN UNO DE LOS ASIENTOS, SIENDO LAS 12:15 HORAS SE PERCATO DEL FALTANTE DEL MISMO, POR LO CUAL SE APERSONA EN ESTA GUARDIA DE PREVENCION PARA RADICAR LA CORRESPONDIENTE DENUNCIA.</t>
  </si>
  <si>
    <t>AR 1684</t>
  </si>
  <si>
    <t>EVE</t>
  </si>
  <si>
    <t>FLORES</t>
  </si>
  <si>
    <t>DRA. PARRELO NORMA</t>
  </si>
  <si>
    <t>SECTOR NORTE PLATAFORMA BAÑOS INTERCARGO SAC ESTACIONAMIENTO SECTOR NORTE DE TRACTORES</t>
  </si>
  <si>
    <t>EN EL DIA DE LA FECHA EL DENUNCIANTE SE PRESENTO ANTE EL SERVICIO DE GUARDIA PREVENTIVA MANIFESTANDO QUE SIENDO LAS 09:30 HS. APROXIMADAMENTE DEL DÍA LUNES 07 DEL CORRIENTE MES Y AÑO EL DENUNCIANTE JUNTO AL SUPERVISOR SAIRE CARLOS, DETECTAN EN UN TRACTOR INTERNO 12-165 PERTENECIENTE A LA EMPRESA INTERCARGO, LA ROTURA DEL VIDRIO DEL RELOJ DE ODOMETRO Y EL VIDRIO Y AGUJA DEL RELOJ DE PRESIÓN DE ACEITE. A SU VEZ EL DÍA MIÉRCOLES 9 DEL CORRIENTE MES Y AÑO AL REALIZAR UN CONTROL DE RUTINA POR LAS INSTALACIONES DEL VESTUARIO DEL PERSONAL DE LA EMPRESA , UBICADO EN EL SECTOR NORTE DE ESTA AEROESTACIÓN DETECTA QUE LOS DESAGOTES DE DOS INODOROS DE PARED SE ENCONTRABAN ROTOS. ASIMISMO EN EL DÍA DE LA FECHA SIENDO LAS 09:00 HS APROXIMADAMENTE PERSONAL DE MANTENIMIENTO A SU CARGO LE INFORMA QUE EL RELOJ AMPERÍMETRO DEL GRUPO ELECTRÓGENO DE 115-28V INTERNO 09-69 SE ENCONTRABA ROTO EN SU VIDRIO. CABE DESTACAR QUE EL DENUNCIANTE PRESUME QUE DICHAS ROTURAS FUERON REALIZAS EN FORMA INTENCIONAL DEBIDO A QUE APARENTEMENTE FUERON REALIZADAS CON UN ELEMENTO CONTUNDENTE Y NO DETERIORADAS POR EL NORMAL USO DE LOS MISMOS.SE DIO PARTICIPACION AL JUZGADO FEDERAL NRO. 3 A CARGO DEL DR. SANCHEZ FREYTES QUIEN PUESTO EN CONOCIMIENTO DEL HECHO DELICTIVO ORDENO QUE SE DERIVE A LA JUSTICIA ORDINARIA EN RAZON DE QUE NO AFECTAN LOS BIENES DEL ESTADO. TOMO INTERVENCION LA FISCALIA DE INSTRUCCION DEL DISTRITO III TURNO TRES A CARGO DEL SEÑOR FISCAL FLORES EVE SECRETARIA A CARGO DRA. PARELLO NORMA DANDO INICIO A LAS ACTUACIONES SUMARIALES NRO. 30/2010 DE FECHA 14 JUN 2010 CARATULADAS DAÑOS</t>
  </si>
  <si>
    <t>3275/10</t>
  </si>
  <si>
    <t>S/SUPUESTA INFRACCION A LA LEY 22415 Y 23737</t>
  </si>
  <si>
    <t>466/10</t>
  </si>
  <si>
    <t>SE PROCEDE A LA APERTURA DE UNA ENCOMIENDA DE CORREO OFICIAL, SEGÚN ACTA DE APERTURA Nº 304/10, PREVENCIÓN SUMARIA Nº 0063/10, EN VIRTUD DE LO ORDENADO EN OFICIO JUDICIAL Nº 1210/10, DEL MAGISTRADO ACTUANTE Y EN PRESENCIA DE UN TESTIGO HÁBIL. LA ENCOMIENDA IDENTIFICADA COMO EP658936433 AR, RTTE. DIONICIA BAEZ, PERICO JUJUY Y DEST. NELSON ARMELLA, RETIRO SUCURSAL EZPELETA, C.P. 1882 BS AS., CONTIENE: 16 PARES DE ZAPATILLAS NUEVAS DE DIFERENTE TIPO Y MODELO. LA ENCOMIENDA SERÁ PUESTA A DISPOSICIÓN DE LA ADUANA DE SALTA POR SUPUESTA INFRACCIÓN A LA LEY 22.415, CÓDIGO ADUANERO, Y LAS ACTUACIONES SERÁN REMITIDAS A SEDE JUDICIAL. PU Nº 3269 (ORIGINARIO) SE PROCEDE A LA RETENCION DE UNA SACA COLECTORA DEL CORREO OFICIAL, SEGUN CONSTA EN ACTA DE RETENCION DE CARGA Nº 0274/10, QUE ORIGINA LA PREVENCION SUMARIA Nº 063/10. LA SACA IDENTIFICADA CON MARBETE Nº SLA0192369D505000BUE, PRECINTO Nº F916455, CON UN PESO DE 11,00 KGS. CON DESTINO A LA CIUDAD DE BUENOS AIRES, CONTIENE TRES PIEZAS POSTALES, AMPARADA EN GUIA AEREA Nº 9388713-5, LA QUE SERIA DESPACHADA A TRAVES DE LA EMPRESA DE CARGA AEREA JET PAQ. LA RETENCION SE REALIZA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 PU Nº 3275/10 AMPLIACION DEL PU ORIGINARIO 3269/10 SE PROCEDE A LA APERTURA DE UNA SACA COLECTORA DEL CORREO OFICIAL, SEGUN CONSTA EN ACTA DE RETENCION DE CARGA Nº 0274/10, QUE ORIGINA LA PREVENCION SUMARIA Nº 063/10. LA SACA IDENTIFICADA CON MARBETE Nº SLA0192369D505000BUE, PRECINTO Nº F916455, CON UN PESO DE 11,00 KGS. CON DESTINO A LA CIUDAD DE BUENOS AIRES, CONTIENE TRES PIEZAS POSTALES, LA 1º EP658939416AR, LA 2º EP722659791AR, SON ENTREGADAS AL SR. ARIAS PARA SU REDESPACHO Y LA 3º EP658939433, RTTE DIONISIA BAEZ PERICO JUJUY DEST. NELSON ARMELLA, RETIRO SUCURSAL ESPELETA CP. Nº 1882 BS. AS., QUEDA RETENIDA, LA RETENCION SE REALIZA ANTE LA PRESUNCION DE QUE PUDIERA CONTENER ALGUN ELEMENTO EN INFRACCION A LA LEY 22.415 Y/O 23.737, QUEDANDO LA MISMA CERRADA Y PRECINTADA EN GUARDA EN ESTA UOSP. SE COMUNICO TELEFONICAMENTE AL JUZGADO INTERVINIENTE Y LA APERTURA SE REALIZARA CON LA AUTORIZACION DEL MAGISTRADO ACTUANTE</t>
  </si>
  <si>
    <t>EXPTE EXPOSICION Nº 166/05 UPMF RG</t>
  </si>
  <si>
    <t>EN EL DIA DE LA FECHA Y SIENDO LAS 13.00 HS, SE PRESENTA ANTE EL MOSTRADOR DE CONTROL MIGRATORIO DE ESTA UNIDAD, EL CIUDADANO JOSE PABLO ALVAREZ, DNI Nº 26727177, CIUDADANO SOBRE QUIEN RECAE UN PEDIDO DE PARADERO, SEGUN EL SISTEMA RED LINCE, BAJO EL REGISTRO Nº 217271, EN VIRTUD DE LOS AUTOS DE REFERENCIA MENCIONADOS PRECEDENTEMENTE SE NOTIFICO AL CIUDADANO PARA QUE FIJE DOMICILIO REAL, FIJANDOLO EN LA CALLE ALMIRANTE ZAR Nº 453 DE LA CIUDAD DE PUERTO DESEADO, PROVINCIA DE SANTA CRUZ, ACTO SEGUIDO EL SR ALVAREZ CONTINUA CON SU VIAJE PROGRAMADO</t>
  </si>
  <si>
    <t>NAC DE 1º INST EN LO CRIMINAL DE INST Nº 45</t>
  </si>
  <si>
    <t>Fontbona de Pompo</t>
  </si>
  <si>
    <t>Maria Dolores</t>
  </si>
  <si>
    <t>DRA. LINDA LILIAN GARCIA</t>
  </si>
  <si>
    <t>INFORMO QUE EN EL CONTROL DE DOCUMENTACIÓN DE PASAJEROS DEL VUELO NRO 2729 DE LA EMPRESA AUSTRAL LÍNEAS AÉREAS SE DETECTA A TRAVÉS DEL SISTEMA DE INTERPOL EL PEDIDO DE PARADERO VIGENTE SOLICITADO POR EL JUZGADO NACIONAL CRIMINAL DE INSTRUCCIÓN NRO 45 SECRETARIA NRO 122 DEL SR. WEN CHIA LIANG ANTE EL HECHO PERSONAL DE INTERPOL REALIZA UN ACTA Y ENTREGA AL JEFE DE TURNO EL CUAL CONFECCIONA ACTA DE NOTIFICACIÓN DANDO CUMPLIMIENTO A LO REQUERIDO POR EL JUZGADO SOLICITANTE DE LA MEDIDA Y SE NOTIFICA AL CAUSANTE QUE DEBERÁ COMPARECER ANTE DICHO JUZGADO DENTRO DE LOS CINCO DÍAS HÁBILES DE LABRADA LA MISMA PARA REGULARIZAR SU SITUACIÓN JUDICIAL</t>
  </si>
  <si>
    <t>ARIEL TORRES</t>
  </si>
  <si>
    <t>OBRADOR DE LA EMPRESA AUSA, AUTOPISTA ILLIA</t>
  </si>
  <si>
    <t>OBRADOR UBICADO SOBRE LA AV. SARMIENTO.</t>
  </si>
  <si>
    <t>SIENDO LA HORA MENCIONADA EL OF. FACIANO OBSERVO A DOS MASCULINOS EN SITUACION SOSPECHOSA EGRESANDO DEL OBRADOR QUE SE ENCUENTRA CERCANO AL PUESTO TERMINAL SUR CON UN CARRO CONTENIENDO EN SU INTERIOR VARILLAS DE HIERRO Y CHAPONES, POR LO QUE DA LA NOVEDAD AL TURNO. POSTERIORMENTE EL JEFE DE TURNO SE PRESENTO EN DICHO SECTOR, DONDE SE IDENTIFICO A LOS MASCULINOS Y SE PROCEDIO A TRASLADAR A LOS MISMOS A LA GUARDIA DE PREVENCION A FIN DE CUMPLIMENTAR LAS DILIGENCIAS DE RIGOR. SIENDO LAS 16:30 HORAS SE ENTABLA COMUNICACION CON LA JUDICATURA ACTUANTE Y LUEGO DE INFORMAR LO ACONTECIDO DISPONE: SE REALICE EL SECUESTRO DE LO SUSTRAIDO Y POSTERIOR ENTREGA DE LOS ELEMENTOS SUSTRAIDOS AL OBRADOR DE LA AUTOPISTA ILLIA, Y SE EFECTUE NUEVA COMUNICACION TELEFONICA SI LOS MISMOS PRESENTAN IMPEDIMENTOS LEGALES. A LAS 21:00 HORAS SE ENTABLO NUEVA COMUNICACION CON EL JUZGADO INFORMANDO QUE SEGUN RESULTADO DE IDGE EL IMPUTADO GONZALEZ REGISTRA CAPTURA VIGENTE Y UN PARADERO VIGENTE, Y EL SR. ROJAS NO REGISTRA IMPEDIMENTO ALGUNO. POR LO QUE EL DR. TORRES ORDENO QUE SE REALICE NUEVA COMUNICACION A PRIMERA HORA CON EL RESULTADO DE REINCIDENCIA. SE INFORMA EN PU Nº 3649 DEL DIA 14/06/10 SIENDO LAS 1100 HORAS SE REALIZO COMUNICACION TELEFONICA CON EL JUZGADO INTERVINIENTE A QUIEN SE LE INFORMO DEL RESULTADO DE REINCIDENCIA ARROJANDO SOBRE EL IMPUTADO ROJAS IMPEDIMENTO LEGAL ALGUNO AUTORIZANDO LA LIBERACION, A QUIEN SE LO LIBERO A LAS 1230 HORAS Y SE LE ENTREGO EL CARRO Y LOS CHAPONES SECUESTRADOS, Y CON RESPECTO AL IMPUTADO GONZALEZ SE LO LIBERE EN LA CAUSA DE HURTO, PERO A SU VEZ SE LO PONGA A DISPOSICION DEL TRIBUNAL ORAL CRIMINAL Nº 29 DE CABA, REQUIRIENTE DE LA CAPTURA VIGENTE EN CAUSA Nº 3131 POR EL DELITO DE ROBO. ADEMAS SE INFORMA QUE EL MISMO POSEE SOLICITUD DE PARADERO A PEDIDO DEL TRIBUNAL DE MENORES Nº 3 SECRETARIA Nº 5 DE LOMAS DE ZAMORA, EN CAUSA LEGAJO CM 92048 POR ABUSO DESHONESTO. SIENDO LAS 1320 HORAS SE HIZO EFECTIVO EL TRASLADO DEL IMPUTADO A DICHO TRIBUNAL, QUEDANDO A DISPOSICION DEL MISMO.</t>
  </si>
  <si>
    <t>SECRETARIA PENAL Nº 2</t>
  </si>
  <si>
    <t>SE PROCEDE A LA RETENCIÓN DE TRES SACAS COLECTORAS DEL CORREO OFICIAL SEGÚN CONSTA EN ACTA DE RETENCIÓN Nº 305/10 QUE ORIGINA LA PREVENCIÓN SUMARIA Nº 070/10, LA 1º SACA IDENTIFICADA COMO SLA0170612E606000BHI, PRECINTO Nº D054946 CON UN PESO DECLARADO DE 12,900 KGS., CON DESTINO LA CIUDAD DE BAHÍA BLANCA, CONTIENE 03 PIEZAS POSTALES, LA 2º SACA IDENTIFICADA COMO SLA9127730E555700RGL, PRECINTO Nº U950766 CON UN PESO DE 4,800 KGS., CON DESTINO LA CIUDAD DE RIO GALLEGOS CONTIENE UNA PIEZA POSTAL, LA TERCERA SACA SIN MARBETE Y SIN PESO POR FIGURAR EL MISMO EN EL MARBETE, CON PRECINTO Nº U950640, AMPARADAS EN GUÍA AÉREA Nº 9388875-6 DESPACHADAS A TRABES DE LA EMPRESA DE CARGA AÉREA JET-PAQ, LA RETENCIÓN SE REALIZA ANTE LA PRESUNCIÓN DE QUE PUDIERAN CONTENER ALGÚN ELEMENTO EN INFRACCIÓN A LA LEY 23.737 Y/O 22.415, QUEDANDO LAS MISMAS CERRADAS Y PRECINTADAS EN GUARDA EN ESTA UOSP. SE COMUNICO TELEFÓNICAMENTE CON EL JUZGADO DE TURNO Y LA APERTURA SE REALIZARA EN PRESENCIA DEL PERSONAL DEL CORREO OFICIAL.</t>
  </si>
  <si>
    <t>3620/10</t>
  </si>
  <si>
    <t>REF. ORDEN DE SERVICIO N° 484. SE INFORMA QUE EN EL DIA DE LA FECHA SE PROCEDIO A TRASLADAR AL DETENIDO A SEDE JUDICIAL A FIN DE PRESTAR DECLARACION INDAGATORIA, MOTIVO POR EL CUAL EL DETENIDO DESPUES DE HABER ESTADO EN SEDE JUDICIAL ES TRASLADADO A LA UNIDAD OPERACIONAL DE EZEIZA, EL CUAL ALOJARA AL DETENIDO. PARA QUE EL DIA 15 DEL CORRIENTES MES Y AÑO SEA TRASLADADO NUEVAMENTE A SEDE JUDICIAL A PRESTAR DECLARACION INDAGATORIA.</t>
  </si>
  <si>
    <t>BARRERA NRO. 2</t>
  </si>
  <si>
    <t>TAQUILLA DE INGRESO AL AEROPUERTO</t>
  </si>
  <si>
    <t>SIENDO LA FECHA Y HORA ANTES MENCIONADA EL JEFE DE TURNO RECIBE MODULACION RADIAL PRODUCIDA POR EL PUESTO DE GUARDIA DENOMINADO TAQUILLA DANDO CUENTA SOBRE UN ACCIDENTE AUTOMOVILISTICO PRODUCIDO EN LA SEGUNDA BARRERA DE INGRESO AL AEROPUERTO, SE DIRIGE AL LUGAR CONSTATANDO, LA PRESENCIA DE UN VEHICULO TIPO CAMIONETA TOYOTA RAV 4, COLOR NEGRA, DOMINIO FYA-108, EL CUAL PRESENTABA UN GOLPE EN EL SECTOR TRASERO, SIENDO LA CONDUCTORA GISELA ALEJANDRA DEL FA ARAUJO, D.N.I. 8.895.842; DETRÁS DEL MISMO, A 25 CENTÍMETROS, SE OBSERVA UN VEHICULO TAXI CAPITAL RENAULT MEGANE, DOMINIO GMZ-842, CON LA ÓPTICA DELANTERA IZQUIERDA ROTA Y UNA COLISIÓN EN EL SECTOR TRASERO, SIENDO EL CONDUCTOR ANÍBAL JORGE FAVA, D.N.I 16.972.992, SIENDO ESTE VEHICULO DONDE SE HABRÍA ENCONTRADO EL OCUPANTE PAUL ERIK AMERIAGER, PASAPORTE ESTADOUNIDENSE NRO. 42 472384980. LUEGO SE OBSERVA A UNOS CINCO METROS APROXIMADAMENTE ATRÁS DEL RODADO MENCIONADO ANTERIORMENTE, UBICADO EN FORMA LEVEMENTE OBLICUA RESPECTO DE LA CALZADA, UN VEHICULO CHEVROLET CORSA CLASSIC, DOMINIO IEF-741, CON UNA COLISIÓN EN SU PARTE DELANTERA, CUYO CONDUCTOR RESULTO SER RICARDO RAÚL LEIVA, D.N.I. NRO. 8.627.875, EN DONDE SE HABRÍA ENCONTRADO EL OCUPANTE MICHAEL ALAN COHEN, PASAPORTE EE.UU GS209994985. LUEGO LOS DOS OCUPANTES MENCIONADOS EN VIRTUD A QUE SENTÍAN DOLENCIAS FUERON TRASLADADOS EN UNA AMBULANCIA AL HOSPITAL ZONAL DE EZEIZA A LOS EFECTOS DE QUE SE LE REALICEN ESTUDIOS MÉDICOS QUE EL CASO AMERITE. INFORMADA LA U.F.I. INTERVINIENTE DISPUSO, LABRAR ACTUACIONES DE RIGOR, INFORME TÉCNICO DEL VEHICULO QUE PROVOCÓ EL ACCIDENTE Y ENTREGA EN DEPOSITARIO JUDICIAL, SE ADJUNTE INFORME MÉDICO DE LAS DOS PERSONAS QUE FUERON TRASLADADAS AL HOSPITAL Y NOTIFICACIÓN DEL ART. 60 DEL C.P.P.P. AL SEÑOR RAÚL RICARDO LEIVA. RESPECTO DE LOS DAMNIFICADOS UNA VEZ DADOS DE ALTA DEL HOSPITAL, FUERON TRASLADADOS AL AEROPUERTO NUEVAMENTE EN FORMA URGENTE YA QUE SUS VUELOS ESTABAN PROXIMOS A PARTIR POR LO QUE NO SE PUDIERON TOMAR MAS DATOS PERSONALES.</t>
  </si>
  <si>
    <t>PTA. INF. AL REGIMEN CAMBIARIO</t>
  </si>
  <si>
    <t>EN MOMENTOS EN QUE SE EFECTUABA UN CONTROL DE RUTINA EN EL SECTOR MENCIONADO, PERSONAL POLICIAL DETECTA EN LA CINTURA DE DOS PASAJERAS POR DEBAJO DE SUS ROPAS LA PRESENCIA DE BULTOS EXTRAÑOS AJENOS A LA CONTEXTURA DE SU CUERPO. A TAL EVENTO SE LE CONSULTA A LAS MISMAS QUE ERA LO QUE PORTABAN MANIFESTANDO AMBAS QUE TRASLADABAN QUINCE MIL DOLARES ESTADOUNIDENSES, EN BILLETES DE CIEN DOLARES CADA UNA PROCEDENTES DE DONACIONES. A TAL EVENTO SE CONVOCA LA PRESENCIA DE DOS TESTIGOS. SEGUIDAMENTE SE HACE PRESENTE EN EL SECTOR EL JEFE DE TURNO, QUE DISPONE QUE SE TRASLADEN A TODOS LOS INTERVINIENTES AL TURNO DE GUARDIA. LUEGO SE MANTIENE COMUNICACIÓN CON EL JUZGADO, QUIEN DISPONE QUE SE CARATULE COM POSIBLE INFRACCION AL REGIMEN CAMBIARIO, SE NOTIFIQUE A LAS PASAJERAS QUE SE ENCUENTRAN AFECATADAS A LAS PRESENTES ACTUACIONES, SE PROCEDA AL SECUESTRO DE LA TOTALIDAD DE LAS DIVISAS Y DE LAS ACTAS DE DONACION Y UNA VEZ CULMINADAS LAS ACTUACIONES DE RIGOR QUE LAS PASAJERAS CONTINÚEN CON SU PERIPLO. QUE SIENDO LAS 00:30 HS DEL DIA 15/06/10, LAS PASAJERAS SE RETIRAN DE ESTA DEPENDENCIA POR SUS PROPIOS MEDIOS.</t>
  </si>
  <si>
    <t>3573/10</t>
  </si>
  <si>
    <t>INFORMO QUE SIENDO APROXIMADAMENTE LAS 06:30 HS SE PROCEDIO AL TRASLADO DE LOS APREHENDIDOS ENRIQUE CARLOS FABIANO Y LEONARDO AUGIER AL JUZGADO DE GARANTIAS NRO. 02.-</t>
  </si>
  <si>
    <t>3632/10</t>
  </si>
  <si>
    <t>REF. ORDEN DE SERVICIO N° 492. SE INFORMA QUE EN EL DIA DE LA FECHA SE PROCEDIO A TRASLADAR AL DETENIDO A SEDE JUDICIAL A FIN DE PRESTAR DECLARACION INDAGATORIA, LUEGO DE LO CUAL EL DETENIDO SERA TRASLADADO A LA UNIDAD DE DETENCION QUE CORRESPONDA.</t>
  </si>
  <si>
    <t>MAURICIO DONATTI</t>
  </si>
  <si>
    <t>SRIO AV S/INF LEY 23737 -......-</t>
  </si>
  <si>
    <t>166/2010</t>
  </si>
  <si>
    <t>SRIO AV S/ INF LEY 23737 -ANCHORIS Y VIEYTES-</t>
  </si>
  <si>
    <t>CIUDAD DE ROSARIO Y ALEDAÑAS.</t>
  </si>
  <si>
    <t>EN EL DíA DE LA FECHA SE RECIBE OFICIO NRO. 622 DE LA FISCALíA A CARGO DE LA INSTRUCCIóN EN EL QUE ORDENA REALIZAR TAREAS DE INVESTIGACIóN TENDIENTES A CORROBORAR O DESESTIMAR LOS HECHOS DENUNCIADOS Y DETERMINAR SI LAS PERSONAS DENUNCIADAS REALIZAN CONDUCTAS EN INFRACCIóN A LA LEY 23737. DENUNCIA EN LA CUAL SE INDICA A UNA TAL NORMA LóPEZ, JUNTO A SUS HIJOS: "BEBA", "BEBé", "FAI" Y "MOSTRONA" CON EL MARIDO DE éSTA QUE LE DICEN "PAULO"; ARMARIAN Y VENDERIAN COCAíNA, EN EL BARRIO LA CERáMICA, EN UN DOMICILIO UBICADO POR PASAJE UNO AL FONDO Y EN LA ZONA DE ANCHORIS Y VIEYTES, DE LA CIUDAD DE ROSARIO.LAS TAREASINVESTIGATIVAS SE REALIZAN POR ORDEN DE SERVICIO NRO. 140/2010 URSA IV DEL LITORAL.-</t>
  </si>
  <si>
    <t>MOSTRADOR Nº 4</t>
  </si>
  <si>
    <t>MOSTRADORES DE CHECK-IN</t>
  </si>
  <si>
    <t>SIENDO LA HORA Y EL DÍA ANTES MENCIONADO SE RECIBE COMUNICACIÓN VÍA RADIAL DEL OFICIAL AGUSTO GUZZANTI, QUIEN INFORMA QUE EN EL MOSTRADOR NÚMERO CUATRO DE AEROLÍNEAS ARGENTINAS SE ENCONTRABA OLVIDADA UNA VALIJA. RÁPIDAMENTE SE IMPLEMENTA PERÍMETRO DE SEGURIDAD A LOS EFECTOS DE REALIZAR OPERATIVO GEDEX. SE ENTABLA COMUNICACIÓN CON EL SERVICIO DE EMERGENCIAS MEDICAS EMERGER, A CARGO DEL DR. ERICE SANTIAGO MN 121395 Y CON EL INSPECTOR VICENTE CRISTIAN LP 4838, PERTENECIENTE AL CUARTEL DE BOMBEROS DE LA PFA, ESCUADRÓN AEROPARQUE. PARALELAMENTE SE CONVOCÓ AL OF. EMILIO PAZ, QUIEN SE ENCUENTRA DE TURNO EN ESTA UNIDAD OPERACIONAL, A CARGO DEL GRUPO DE DESACTIVACIÓN DE EXPLOSIVOS, EL CUAL REALIZÓ EL PROCEDIMIENTO CORRESPONDIENTE PARA DESCARTAR LA POSIBLE EXISTENCIA DE ARTEFACTOS EXPLOSIVOS. SIENDO LAS 10:10 HORAS SE DA POR FINALIZADO EL PROCEDIMIENTO ARROJANDO ÉSTE RESULTADO NEGATIVO. FINALMENTE SE PROCEDE AL ESCANEO DE LA VALIJA EN CUESTIÓN Y SE REALIZA EL ACTA DE HALLAZGO CORRESPONDIENTE, A LA CUAL SE LE FUE ASIGNADA EL Nº 1424/10 SIN NOVEDAD.</t>
  </si>
  <si>
    <t>3557/10</t>
  </si>
  <si>
    <t>TURNO POLICIAL PREVENTIVO</t>
  </si>
  <si>
    <t>SE PROCEDE A LA APERTURA DE UNA ENCOMIENDA DEL CORREO OFICIAL, SEGÚN CONSTA EN ACTA DE RETENCIÓN Nº 0299/10 Y ACTA DEJANDO CONSTANCIA Nº 0301/10, CORRESPONDIENTE A LA PREVENCIÓN SUMARIA Nº 068/10, EN PRESENCIA DE SU PROPIETARIO, SR. ELBIO ROLANDO ROMERO, A QUIEN SE LE CURSARE CITACION, POR DISPOSICION DEL MAGISTRADO ACTUANTE, PARA QUE SE PRESENTARE EN ESTA DEPENDENCIA, EN EL DIA DE LA FECHA, JUNTAMENTE CON LA DOCUMENTACION RESPALDATORIA DEL ARMAMENTO, PARA LA VERIFICACION DEL MISMO. LA ENCOMIENDA IDENTIFICADA COMO EP710826713AR, RTTE. ELBIO ROLANDO ROMERO, PASAJE GUERRERO 1.690, T.E. 03878-428133, CIUDAD DE ORAN, PROVINCIA DE SALTA, C.P. 4530 Y DEST. ANGEL BLASON, AVENIDA M0LINA ARROTEA Nº 2329, LOMAS DE ZAMORA, BS. AS., C.P. Nº 1832, CONTIENE: UNA CARABINA TIRO A TIRO CAL.22 PLG, MARCA DIANA- 859 Y TUBO CAÑON IDENTIFICADO CON Nº 109-859. LUEGO DE LA VERIFICACION, EL JEFE DE TURNO SE COMUNICA TELEFONICAMENTE CON EL DR. SANTIAGO FRENCH, SECRETARIO DEL JUZGADO FEDERAL DE SALTA Nº 1, A CARGO DEL DR. JULIO LEONARDO BAVIO, QUIEN DISPONE QUE SE REMITA EL ARMA RETENIDA A LA DELEGACION SALTA DEL REGISTRO NACIONAL DE ARMAS, PARA SU PERITAJE Y VERIFICACION, POR NO CONSTITUR INFRACCION AL ART. 189 BIS DEL C.P.N Y A LA LEY DE ARMAS. LAS ACTUACIONES CORRESPONDIENTES SERAN ELEVADAS A SEDE JUDICIAL, ANEXANDO FOTOCOPIAS DE LA DOCUMENTACION.-</t>
  </si>
  <si>
    <t>BODEGA DE AERONAVE - PLATAFORMA COMERCIAL - PATIO DE VALIJAS.</t>
  </si>
  <si>
    <t>QUE UNA VEZ ARRIBADO A ESTA AEROESTACIÓN Y LUEGO DE FINALIZAR LOS TRAMITES DE INGRESO AL TERRITORIO NACIONAL SE PRESENTA EN EL SECTOR DE ARRIBOS DONDE RECOGIO SUS EQUIPAJES DESPACHADOS A BODEGA ENTRE LOS CUALES SE ENCUENTRA SU BOLSO, PERCATÁNDOSE QUE EL MISMO NO POSEÍA EL CANDADO DE SEGURIDAD COLOCADO EN EL MOMENTO DE SU DESPACHO. QUE AL REALIZAR LA APERTURA DEL MISMO SE PERCATA DEL FALTANTE DE UNA FILMADORA. SEGUIDAMENTE RADICA EL RECLAMO ANTE LA COMPAÑÍA Y LUEGO LA CORRESPONDIENTE DENUNCIA.</t>
  </si>
  <si>
    <t>JET PAQ BS. AS.</t>
  </si>
  <si>
    <t>JET PAQ SALTA</t>
  </si>
  <si>
    <t>COMPARECE ANTE ESTA OFICINA DEL TURNO POLICIAL PREVENTIVO EL SR. OMAR EDUARDO LOPEZ, PARA FORMULAR UNA DENUNCIA Y MANIFIESTA QUE EN EL DIA DE LA FECHA MIENTRAS SE ENCONTRABA EN EL SECTOR DE BODEGA DEL AVION DEL VUELO AUSTRAL Nº 2450, PROCEDENTE DE AEROPARQUE, OBSERVO UN SOBRE COLOR CELESTE ROTO, IDENTIFICADO CON Nº DE GUIA 9395528-2, CONTENIENDO EN SU INTERIOR OTRO SOBRE COLOR MADERA ROTO ANTE LO CUAL LES COMUNICA EN FORMA VERBAL AL PERSONAL DE LA EMPRESA AEROHANDLING, QUE POSIBLEMENTE HAY ALGUNA BOLSA COLECTORA ABIERTA. POSTERIORMENTE PERSONAL DE AEROHANDLING HACE ENTREGA DE LA BOLSA COLECTORA, OBSERVANDO QUE SE ENCONTRABA ABIERTA Y CON EL PRECINTO Nº 786291 ROTO, SEGUN GUIAS DE CARGAS DENTRO DE LA MISMA TENDRIAN QUE HABER DOS SOBRES, UNO DE COLOR CELESTE CONTENIENDO EQUIPOS ELECTRONICOS, EL CUAL SE ENCONTRABA VACIO Y EL OTRO SOBRE COLOR PAPEL MADERA QUE TENDRIA QUE CONTENER DOCUMENTACION ESTABA VACIO, PARTE DE LA DOCUMENTACION ESTABA SUELTA EN LA SACA. EL SOBRE CELESTE TENIA UN FALTANTE DE 142GRS Y EL OTRO UN FALTANTE DE 600 GRS.EL JEFE DE TURNO SE COMUNICA TELEFONICAMENTE CON LA DRA. PAULA GALLO PULO, SECRETARIA DE LA FISCALIA FEDERAL DE SALTA Nº 2, A CARGO DEL DR. EDUARDO JOSE VILLABA, QUIEN ORDENA QUE SE REALICEN LAS ACTUACIONES CORRESPONDIENTES Y SEAN ELEVADAS A LA BREVEDAD.</t>
  </si>
  <si>
    <t>DRA. MARIELA ANDIA</t>
  </si>
  <si>
    <t>POLICIA DE SEGURIDAD AEROPORTUARIA COMUNICA PREVENTIVO Y SOLICITA MEDIDAS</t>
  </si>
  <si>
    <t>16.318-C</t>
  </si>
  <si>
    <t>CAPITAL - CIUDAD DE MENDOZA - PROVINCIA DE MENDOZA</t>
  </si>
  <si>
    <t>LA INVESTIGACION SE ORIGINA EL DIA 01 DE JUNIO DE 2010 A PARTIR DEL CONTROL PREVENTIVO, EN AEROPUERTO INTERNACIONAL DE MENDOZA POR PARTE DEL PERSONAL DE ESA UOSP, DE UN CIUDADANO DOMINICANO DE APELLIDO REYES QUE AL SER ENTREVISTADO RESPONDIO QUE SE ENCONTRABA SOLO, MANIFESTANDO A OTRAS PREGUNTAS DE FORMA EVASIVA Y CONTRADICTORIA. SEGUIDAMENTE ESTA PERSONA CONTINUO SU CAMINO ENCONTRANDOSE CON OTRO MASCULINO DIRIGIENDOSE AMBOS A TOMAR UN TAXI. POR TAL MOTIVO SE LE DA INTERVENCIÓN AL PERSONAL DE LA UOCN Y DC II DEL CENTRO, QUE POR AVERIGUACIONES PRACTICADAS FUERA DE JURISDICCION SE PUDO OBSERVAR EN LUGARES PÚBLICOS AL CIUDADANO DE APELLIDO REYES CON OTRAS PERSONAS "NN" CON ACTITUDES SOSPECHOSAS QUE HAN LLAMADO LA ATENCIÓN, POR LO QUE EL PERSONAL DE LA UOCN Y DC II DEL CENTRO SE PRESENTA ANTE LA AUTORIDAD JUDICIAL DE TURNO Y SOLICITA MEDIDAS. EL DIA 15 DE JUNIO SE RECEPCIONO POR PARTE DEL JUZGADO FEDERAL Nº 1 A CARGO DEL DR. WALTER BENTO, SECRETARIA PENAL C A CARGO DE LA DRA. MARIELA ANDIA DE LA CIUDAD DE MENDOZA, PROVINCIA DE MENDOZA OFICIO JUDICIAL Nº 3371/10 DE FECHA 15 DE JUNIO DEL CORRIENTE AÑO DIRECCIONADO AL SR. JEFE DE LA REGIONAL II CENTRO DE LA POLICIA DE SEGURIDAD AEROPORTUARIA EN RELACION A LOS AUTOS Nº 16.318-C CARATULADOS POLICIA DE SEGURIDAD AEROPORTUARIA COMUNICA PREVENTIVO Y SOLICITA MEDIDAS, CON LA FINALIDAD DE QUE SE CONTINUE PROFUNDIZANDO CON LA TAREAS INVESTIGATIVAS YA INICIADAS Y DETERMINAR A PRIMA FACIE LA EXISTENCIA DE HECHOS EN PRESUNTA INFRACCION A NORMA PENAL ALGUNA. AL MOMENTO DE LAS TAREAS PRACTICADAS NO SE HA PODIDO ESTABLECER LA COMISIÓN DE DELITO ALGUNO.</t>
  </si>
  <si>
    <t>3630/10</t>
  </si>
  <si>
    <t>ARIEL TORRS</t>
  </si>
  <si>
    <t>AV. SARMIENTO</t>
  </si>
  <si>
    <t>SIENDO LAS 11:00 HORAS SE REALIZA COMUNICACIÓN CON LA JUDICATURA ACTUANTE, INFORMÁNDOLE LOS RESULTADOS DE IDGE Y DE REINCIDENCIA, LOS CUALES NO ARROJARON IMPEDIMENTOS NI ANTECEDENTES PARA EL CAUSANTE SR. LUIS JAVIER ROJAS, NO ASÍ PARA EL SR. MIGUEL ÁNGEL GONZÁLEZ, QUIEN POSEE UNA CAPTURA VIGENTE DE FECHA 09/04/10 A SOLICITUD DEL TRIBUNAL ORAL CRIMINAL Nº 29 DE CAPITAL FEDERAL, SECRETARIA ÚNICA, EN CAUSA N º3131 POR ROBO Y PARADERO VIGENTE, DE FECHA 19/09/97, A SOLICITUD DEL TRIBUNAL DE MENORES Nº 3 DE LOMAZ DE ZAMORA, SECRETARIA Nº 5, EN CAUSA LEG. CM. 92048 POR AB DESHONESTO. UNA VEZ NOTIFICADO, DISPONE LA LIBERACIÓN DE AMBOS CAUSANTES Y QUE EL SR. MIGUEL ANGEL GONZALEZ QUEDE A DISPOSICIÓN DEL TRIBUNAL ORAL CRIMINAL Nº 29, PREVIA COMUNICACIÓN CON DICHA JUDICATURA. SIENDO LAS 12:30 HORAS SE REALIZA LA LIBERACIÓN DEL SR. LUIS JAVIER ROJAS, A QUIEN SE LE REINCORPORO SU CARRO CON LAS CHAPAS CORRESPONDIENTES Y A LAS 13:10 HORAS SE REALIZA LA LIBERACIÓN DEL SR. MIGUEL ANGEL GONZALEZ CORRESPONDIENTE A LA PREVENCION SUMARIA 212-A/10, Y DE ACUERDO A LO DISPUESTO POR EL TRIBUNAL ORAL CRIMINAL Nº 29, POR LA DRA. YANINA VALACCO, QUIEN TOMA CONOCIMIENTO DE LA SITUACIÓN DEL CAUSANTE MIGUEL ANGEL GONZALEZ, A LAS 11:25 HORAS, SE PROCEDE AL TRASLADADO A LA JUDICATURA CON CONSTATACIÓN DE DOMICILIO, DOS JUEGOS DE FICHAS, FOTOCOPIAS DEL PRECARIO MEDICO SALIENTE, REINCIDENCIA E IDGE. SIENDO LAS 13:20 HORAS SE REALIZA TRASLADO DEL CAUSANTE QUEDANDO EL MISMO A CARGO DEL TRIBUNAL SITO EN LA CALLE PARAGUAY 1536, PISO 2DO., REALIZÁNDOSE ACTA DE RECEPCIÓN DEL CAUSANTE.</t>
  </si>
  <si>
    <t>EN LOS SECTORES LINDANTES AL PARAJE LA VERNANCHA Y BARRIO AMPLIACION BORGES.</t>
  </si>
  <si>
    <t>EN EL DIA DE LA FECHA SIENDO LAS HS. 11:50 SE PRESENTA EL SR. CALDERON, EMPLEADO DE LA EMPRESA AA 2000, DENUNCIANDO QUE MIENTRAS REALIZABA RECORRIDO PERIMETRAL DE RUTINA, EN COMPAÑIA DEL S.P. RIQUELME, QUIEN SE DESEMPEÑA COMO OPERADOR DE TURNO DE ARO-AIS DE LA ANAC, DETECTO QUE LA CERCA PLASTICA PERIMETRAL SE ENCONTRABA DAÑADA, CON CORTES DE 1,20 METROS DE LARGO POR 1 METRO DE ANCHO APROXIMADAMENTE, SOBRE LOS SECTORES LINDANTES AL BARRIO AMPLIACION BORGES HACIA EL ESTE Y EL SECTOR LINDANTE AL PARAJE LA VERNANCHA HACIA EL OESTE. SE PROCEDIO A CONSTATAR LO DENUNCIADO MEDIANTE UNA INSPECCION OCULAR NO PUDIENDO DETECTAR NINGUN TIPO DE HUELLA O ELEMENTOS QUE PUDIERON HABER SIDO EMPLEADOS PARA COMETER EL HECHO. SE DA INTERVENCION AL JUZGADO FEDERAL DE ESTA PROVINCIA A TRAVES DEL FISCAL FEDERAL DR. PEDRO SIMON, QUIEN ORDENA SE REALICEN LAS ACTUACIO0NES CORRESPONDIENTES Y SEAN REMITIDAS A LA BREVEDAD.</t>
  </si>
  <si>
    <t>POSICION 19 DE ESTACIONAMIENTO DE AERONAVES</t>
  </si>
  <si>
    <t>EN EL DIA DE LA FECHA SE DIO ESTRICTO CUMPLIMIENTO A LA ORDEN DE SERVICIO NUMERO 069/10, PARA LA CUAL SE IMPLEMENTARON LAS MEDIDAS DE SEGURIDAD PREVENTIVAS TENDIENTES A GARANTIZAR LA NORMAL OPERATORIA EN EL ÁMBITO AEROPORTUARIO Y LA INTEGRIDAD FISICA DEL SEÑOR MINISTRO SERGEY MIRONOV Y COMITIVA DESDE LA LLEGADA A LA JURISDICCIÓN Y HASTA LA PARTIDA DE LA AERONAVE MATRICULA IL-62. DÁNDOSE POR FINALIZADA LA ORDEN DE SERVICIO DE MENCIÓN A LAS 15:19 HORAS DEL DIA DE LA FECHA, HORARIO EN QUE PARTIÓ DE ESTA AEROSTACIÓN LA AERONAVE DE MENCIÓN.</t>
  </si>
  <si>
    <t>3635/10</t>
  </si>
  <si>
    <t>INFORMO QUE SIENDO APROXIMADAMENTE LAS 13:30 HS REGRESA LA COMISION ENCARGADA DEL TRASLADO DE LOS APREHENDIDOS ENRIQUE CARLOS FABIANO Y LEONARDO AUGIER JUNTAMENTE CON LOS CAUSANTES. SEGUIDAMENTE SE PROCEDE EN VIRTUD A LO ORDENADO MEDIANTE OFICIO JUDICIAL EMANADO POR EL JUZGADO INTERVINIENTE A OTORGAR LA INMEDIATA LIBERTAD DEL SR. ENRIQUE CARLOS FABIANO. QUIEN SE RETIRA DE ESTA DEPENDENCIA CONFORME A LOS TRATOS RECIBIDOS Y QUE TANTO EL SR. LEONARDO AUGIER CONTINUARA ALOJADO EN ESTA DEPENDENCIA EN CALIDAD DE APREHENDIDO HASTA SE ORDENE NUEVAS DIRECTIVAS.-</t>
  </si>
  <si>
    <t>Pagella</t>
  </si>
  <si>
    <t>Marcos</t>
  </si>
  <si>
    <t>DRA. SALEMME</t>
  </si>
  <si>
    <t>GALERIA TECHADA</t>
  </si>
  <si>
    <t>QUE EL DIA 14 DE JUNIO SE RECEPCIONA DENUNCIA POR PARTE DEL SR. CARLOS ALBERTO TOTINO, QUIEN MANIFIESTA QUE SIENDO LAS 14:10 HS SE DIRIGIO A SU VEHICULO Y OBSERVA QUE EL MISMO HABIA SIDO RAYADO CON UNA PROFUNDIDAD CONSIDERABLE PRODUCTO DE APARENTEMENTE UN ELEMENTO PUNZO CORTANTE. SE PROCEDIO A REALIZAR LA COMUNICACION A LA FISCALIA DE TURNO Y EL OPERADOR DEL CONMUTADOR LE INFORMA AL JEFE DE TURNO DEL DIA DE LA FECHA QUE NO SE ENCONTRABA NADIE Y QUE PODIA FACILITARLE EL NUMERO DE CELULAR DEL FISCAL DE TURNO SOLO SI ERA ALGO DE EXTREMA URGENCIA, QUE DE LO CONTRARIO SE COMUNICARA AL OTRO DIA, MOTIVO POR LO CUAL SE REALIZO LA COMUNICACION EL DIA 15-06-10, INDICANDO LA JUDICATURA INTERVINIENTE QUE SE DE CURSO A LAS ACTUACIONES DE RIGOR ADJUNTANDO FOTOGRAFIAS DEL LUGAR DEL HECHO, CIERRE Y ELEVACION.</t>
  </si>
  <si>
    <t>EN LO CRIMINAL Y CORRECCIONAL N° 1</t>
  </si>
  <si>
    <t>S/AVERIGUACION PTO DELITO DE ACCION PUBLICA</t>
  </si>
  <si>
    <t>BOX MIGRATORIOS Y ARRIBOS SECTOR ADUANA</t>
  </si>
  <si>
    <t>EN EL DIA DE LA FECHA SE COMUNICA TELEFONICAMENTE EL DIRECTOR NACIONAL DE LA PSA CON EL DIRECTOR GENERAL DE SEGURIDAD AEROPORTUARIA COMPLEJA SR. ALBERTO JOFRE INFORMANDOLE QUE A RAIZ DE TAREAS DE INTELIGENCIA REALIZADAS SE PREVE EN LOS ARRIBOS DE LOS VUELOS AA 997 PROCEDENTE DE DALLAS; AA 955 PROCEDENTE DE NUEVA YORK; AA 909 Y AA 943 PROCEDENTE DE MIAMI TODOS DESDE ESTADOS UNIDOS Y PERTENECIENTES A LA EMPRESA AMERICAN AIRLINES ESTARIAN ARRIBANDO TRES MASCULINOS CON PASAPORTE ARGENTINO LOS CUALES PODRIAN TENER IMPRESOS NOMBRES DE ORIGEN FRANCES O ARABES PARA REALIZAR UN ATENTADO EN LA EMBAJADA DE ESTADOS UNIDOS SITA EN NUESTRO TERRITORIO. EN CONSECUENCIA SE CONVOCA AL COORDINADOR GRAL DE SEG. AER. COMPLEJA COM. GRAL FERNANDO TELPUK; AL SUBDIRECTOR DEL C.E.A.C. COM. MY MARIO FERNANDEZ; AL JEFE DE OPERACIONES POLICIALES DEL C.E.A.C. COM. MY ALBERTO AVENDAÑO; AL SUBJEFE DE LA REGIONAL 1 DEL ESTE COM. MY RICARDO COLLAZZO JUNTO A PERSONAL DE LA U.O.C.N.D.C.C.; LA UNIDAD OPERACIONAL ANTITERRORISTA Y DELITOS QUE ATENTEN CONTRA LOS PODERES PUBLICOS Y EL ORDEN CONSTITUCIONAL Y AL PERSONAL DE LA U.C.N.D.C. DE LA REGIONAL DEL ESTE Y ASI MISMO SE CITO AL DIRECTOR NACIONAL DE MIGRACIONES EL SR. ALBERTO RUBIO Y A LA JEFA DE ADUANA EZEIZA DRA ANDREA MUÑOZ, AL PERSONAL DE SERVICIO DE INTELIGENCIA DEL ESTADO REPRESENTADO POR EL SR. MARTIN GASTIABURO PARA LAS COORDINACIONES PERTINENTES. ASI MISMO SE LE INFORMA AL JUZGADO INTERVINIENTE QUE SE CONTROLARA LOS VUELOS DE LAN 4M 4121 PROCEDENTE DE MIAMI; EL DELTA 101 PROVENIENTE DE ATLANTA; CONTINENTAL CO 053 PROVENIENTE DE HOUSTON, UNITED AIRLINES UA 847 PROVENIENTE DE WASHINGTON Y AEROLINEAS ARGENTINAS AR 1303 PROVENIENTE DE MIAMI, OBTENIENDO EN TODOS RESULTADO "NEGATIVO" EN CUANTO A LA BUSQUEDA. POR LO EXPUESTO, SIENDO LAS 13.50 DEL DIA 15/06/2010 SE ENTABLO COMUNICACION TELEFONICA CON LA JUDICATURA INTERVINIENTE QUIEN ANOTICIADA SOBRE LOS RESULTADOS DEL CONTROL DE DICHOS VUELOS, DISPUSO QUE SE PROCEDA A INICIAR ACTUACIONES CARATULADAS SUMARIO INSTRUIDO POR AVERIGUACION PTO DELITO DE ACCION PUBLICA, DEBIENDO REALIZARSE CONTROLES EN EL VUELO DE AEROLINEAS ARGENTINAS PROVENIENTE DE MIAMI CON HORARIO DE ARRIBO 19.50 HORAS Y SE CONTINUE CON LOS CONTROLES EL DIA 16 DEL CORRIENTE MES Y AÑO.</t>
  </si>
  <si>
    <t>DR DIEGO FERMIN AZCARATE</t>
  </si>
  <si>
    <t>HURTO ART 162 CPN</t>
  </si>
  <si>
    <t>SECTOR CONTROL ADUANA</t>
  </si>
  <si>
    <t>ARRIBO INTERNACIONAL AEROPARQUE JORGE NEWBERY</t>
  </si>
  <si>
    <t>SE PRESENTA EN ESTA UOSP NEUQUEN LA SEÑORA ALMADA A REALIZAR DENUNCIA POR HECHO OCURRIDO EL 14 DE JUNIO DEL CORRIENTE AÑO EN MOMENTOS QUE ARRIBO A LA CIUDAD AUTONOMA DE BS AS EN VUELO LAN Nº 4631 DE LAS 13:45 HS PROCEDENTE DE SANTIAGO DE CHILE Y LUEGO DE REALIZAR EL CONTROL DE RAYOS X DE ADUANA, NOTA EL FALTANTE DE UN TUBO PORTA PLANO CONTENIENDO PINTURAS EN SU INTERIOR. SE PROCEDE A LA COMUNICACION CON LA FISCALIA DE ENTRADAS DE LA CIUDAD DE NEUQUEN QUIEN DISPONE SE TOME LA DENUNCIA Y SE REALICEN LAS ACTUACIONES DE RIGOR</t>
  </si>
  <si>
    <t>VESTUARIO DE MECANICOS DE AERONAVES DEL HANGAR DE LA EMPRESA AUSTRAL LINEAS AEREAS.</t>
  </si>
  <si>
    <t>HANGAR DE LA EMPRESA AUSTRAL LINEAS AEREAS</t>
  </si>
  <si>
    <t>SIENDO LA HORA Y FECHA MENCIONADA SE HACE PRESENTE EN ESTA GUARDIA EL DAMNIFICADO, QUIEN SE DESEMPEÑA COMO MECANICO DE AERONAVES DE LA EMPRESA AUSTRAL LINEAS AEREAS, MANIFESTANDO QUE EL DIA 11 DE JUNIO DEL CORRIENTE AÑO, EN HORAS 13:20 TERMINO SU JORNADA LABORAL POR LO CUAL DEJO SU ROPA DE TRABAJO GUARDADA CON CANDADO DENTRO DE SU LOCKER, EL CUAL ESTA SITUADO EN EL VESTUARIO DEL HANGAR DE LA EMPRESA PARA LA CUAL TRABAJA Y SE RETIRO DE ESTE AEROPUERTO METROPOLITANO. EL DIA 14 DE JUNIO DEL CORRIENTE AÑO A LAS 1400 HORAS RETOMO SUS ACTIVIDADES LABORALES LUEGO DE DOS DIAS FRANCOS, Y SE PERCATO QUE LA PUERTA DE SU LOCKER SE ENCONTRABA ABIERTA CON EL CANDADO PUESTO Y CON EL FALTANTE DE TODAS SUS PERTENENCIAS.</t>
  </si>
  <si>
    <t>INFRACCION LEY 22415</t>
  </si>
  <si>
    <t>SIENDO LAS 16:15 HS APROXIMADAMENTE, LA OFICIAL AYUDANTE SILVANA SUBELZA, CUMPLIENDO FUNCIONES EN PREEMBARQUE DE ESTA AEROESTACION EN UN CONTROL DE RUTINA VERIFICA QUE LA PASAJERA EN CUESTION LLEVABA UNA FAJA PORTAVALORES UBICADA DEBAJO DE SUS ROPAS A LA ALTURA DE LA CINTURA, LA CUAL CONTENIA APARENTEMENTE DINERO, ANTE LO CUAL SE PROCEDIO A SOLICITAR LA PRESENCIA DE DOS TESTIGOS HABILES QUE SON CONDUCIDOS A LA SALA DE REQUISA DEL PUESTO DE INSPECCION Y REGISTRO DONDE SE CONSTATO QUE SE TRATABA DE BILLETES EUROS, ARROJANDO SU CONTEO LA SUMA DE EUROS TRECE MIL SEISCIENTOS -13.600,00- ANTE ESTA SITUACION LA OFICIAL CONTINUA CON EL CONTROL DETECTANDO EN EL SECTOR MEDIO DELANTERO A LA ALTURA DE SU CORPIÑO Y SUJETA CON UN ALFILER DE GANCHO A SU BLUSA, UNA BOLSITA DE COLOR BEIGE, CONTENIENDO EN SU INTERIOR UN ROLLO DE BILLETES EUROS Y CUYO CONTEO ARROJA LA CANTIDAD DE EUROS DIEZ MIL -10.000,00- SIENDO LAS 16:30 HS EL JEFE DE TURNO SE COMUNICA CON EL JUZGADO FEDERAL DE TURNO EN LA PERSONA DE LA SECRETARIA PENAL DRA MARIANA BUTELER DE BARROS, QUIEN INFORMADA DE LA SITUACION DISPONE QUE SE DE INTERVENCION A PERSONAL DE ADUANA Y QUE SE LABRE LAS ACTUACIONES DE RIGOR. SEGUIDAMENTE SE DA INTERVENCION A PERSONAL DE ADUANA DE ESTA AEROESTACION EN LA PERSONA DEL SR. MARCELO PABLO LAFUENTE, QUE PRESTA SERVICIO COM GUARDA DIVISION ADUANA CORDOBA. QUIEN EN ADELANTE PRESENCIO EL PROCEDIMIENTO EN CUESTION, SIENDO LAS 17:30 HS APROXIMADAMENTE SE PRESENTA EN EL SECTOR EL SR. JUAN CARLOS TAM, QUIEN MANIFIESTA SER HIJO DE LA CAUSANTE, PERMITIENDOSELE INGRESAR A LA SALA DE REQUISA MENCIONADA. POSTERIORMENTE TODOS LOS NOMBRADOS SE TRASLADARON A LA OFICINA DE GUARDIA DE ESTA UOSP CORDOBA. DONDE SE PORCEDE AL SECUESTRO DE LAS DIVISAS POR UN TOTAL DE EUROS VEINTITRES MIL SEISCIENTOS -23.600,00- QUE FUERON COLOCADAS EN UN SOBRE DE PAPEL COLOR MADERA DEBIDAMENTE CERRADO Y FIRMADO POR LOS INTERVINIENTES. ASIMISMO EL EQUIPAJE DE LA PASAJERA FUE RETIRADO DE LA BODEGA DE LA AERONAVE, TRATANDOSE EL MISMO DE UNA VALIJA DE COLOR ROJA, RECTANGULAR DE APROXIMADAMENTE 70 CM DE LARGO POR 45 CM DE ANCHO POR 25 CM DE ALTO. LA CUAL FUE SOMETIDA A INSPECCION DELANTE DE LOS TESTIGOS, ARROJANDO RESULTADO NEGATIVO RESPECTO DE ALGUN ILICITO O INFRACCION. SIENDO LAS 18:50 HS SE COMUNICA TODO LO ACTUADO AL JUZGADO INTERVINIENTE Y SE PROCEDE A HACER ENTREGA DE TODO LO SECUESTRADO AL PERSONAL DE ADUANA ANTES MENCIONADO.</t>
  </si>
  <si>
    <t>SE PROCEDE A LA RETENCIÓN DE UNA SACA COLECTORA DEL CORREO OFICIAL, SEGÚN CONSTA EN ACTA DE RETENCIÓN DE CARGAS Nº 0309/10, QUE ORIGINA LA PREVENCIÓN SUMARIA 072/10, LA SACA IDENTIFICADA CON MARBETE, SLA9127768E555600CRD, PRECINTO N° U949670, CON UN PESO DECLARADO DE 6,900 KGS, CON DESTINO LA CIUDAD DE COMODORO RIVADAVIA, CONTENDRIA TRES PIEZAS POSTALES, LA SACA SE ENCUENTRAN AMPARADA EN GUÍA DE CARGA Nº 9388887-4, DESPACHADA ATRAVÉS DE LA EMPRESA DE CARGA AEREA JET PAQ. LA RETENCIÓN SE REALIZA ANTE LA PRESUNCIÓN QUE PUDIERAN CONTENER ALGÚN ELEMENTO EN INFRACCIÓN A LA LEY 23.737 Y/O 22.415, QUEDANDO LA MISMA CERRADA Y PRECINTADA EN GUARDA EN ESTA UOSP. SE COMUNICO LA RETENCION, TELEFONICAMENTE AL JUZGADO INTERVINIENTE, Y LA APERTURA SE REALIZARÁ EN PRESENCIA DEL PERSONAL DEL CORREO OFICIAL.</t>
  </si>
  <si>
    <t>EQUIPO E DE LA UNIDAD FISCALIA NORTE EN LO PENAL CONTRAVENCIONAL Y DE FALTAS</t>
  </si>
  <si>
    <t>BROTO</t>
  </si>
  <si>
    <t>NORBERTO</t>
  </si>
  <si>
    <t>LESIONES EN RIÑA</t>
  </si>
  <si>
    <t>OFICINA DE RECLAMOS DE EQUIPAJES DE AEROLINEAS ARGENTINAS</t>
  </si>
  <si>
    <t>SECTOR ARRIBOS NACIONALES -A2</t>
  </si>
  <si>
    <t>SIENDO EL DIA Y LA HORA MENCIONADA SE HACE PRESENTE EN ESTA GUARDIA DE PREVENCION EL DENUNCIANTE, MANIFESTANDO QUE EL DIA 14 DE JUNIO DEL CORRIENTE AÑO EN EL HORARIO DE LAS 14:00 HS, SE HIZO PRESENTE EN SU PUESTO DE TRABAJO DENOMINADO OFICINA DE RECLAMOS DE AEROLÍNEAS ARGENTINAS UBICADA EN EL SECTOR ANTES NOMBRADO. SEGUIDAMENTE, EN HORAS 20:15, DURANTE EL ARRIBO DE LOS VUELOS AR 2634, AR 2656, AR 2658 Y AR1712, DEBIDO A DEMORAS, CANCELACIONES DE VUELOS Y RETRASOS EN LA ENTREGA DE EQUIPAJES, COMENZÓ A AGLOMERARSE UN GRUPO DE PASAJEROS EN LA SALA DE ARRIBOS. PASADOS UNOS MINUTOS, VISTO QUE LOS PASAJEROS NO OBTENÍAN NINGÚN TIPO DE INFORMACIÓN POR LA DEMORA EN LA ENTREGA DE LOS EQUIPAJES, SE DIRIGIERON HACIA LA OFICINA EN DONDE SE ENCONTRABA EL DENUNCIANTE, UNA VEZ ALLÍ UN MASCULINO EL CUAL NO PUDO IDENTIFICAR LO TOMÓ DEL BRAZO Y LO CONDUJO HACIA UN GRUPO DE PERSONAS LOS CUALES LE PROPINARON VARIOS GOLPES DE PUÑO TANTO EN ABDOMEN COMO EN ESPALDA. FINALMENTE, EL DENUNCIANTE SE DIRIGIÓ HACIA EL SERVICIO MEDICO DE LA EMPRESA AEROLINEAS ARGENTINAS, DONDE FUE ATENDIDO POR EL DOCTOR FRANKLING GONZALEZ MN 77022, QUIEN CONSTATO QUE EL PACIENTE NO TENÍA LESIONES Y SOLO LE RECOMENDÓ REPOSO POR 48 HS.</t>
  </si>
  <si>
    <t>SIENDO LAS 07:35 HORA LOCAL ARRIBA AERONAVE DE LA EMPRESA LAN ARGENTINA PROCEDENTE DE AEROPUERTO JORGE NEWBERY EN CUYAS BODEGAS 31,32,41 Y 42 SE DESPACHAN 80 CAJAS CON UN PESO BRUTO DE 1.840 KILOGRAMOS DE METAL - MTD- PERTENECIENTES A LA EMPRESA MINERA TRITON ARGENTINA S.A.CON DESTINO AL AEROPUERTO JORGE NEWBERY. EL VUELO DESPEGA A LAS 08:55 HORA LOCAL SIN NOVEDAD. SE DIO CUMPLIMIENTO A ORDEN DE SERVICIO NRO. 51/2010 DE ESTA UOSP.</t>
  </si>
  <si>
    <t>3631/10</t>
  </si>
  <si>
    <t>SE PROCEDE A LA APERTURA DE TRES SACAS COLECTORAS DEL CORREO OFICIAL SEGÚN CONSTA EN ACTA DE RETENCIÓN Nº 305/10 QUE ORIGINO LA PREV. SUMARIA Nº 070/10, LA 1º SACA IDENTIFICADA COMO SLA9127730E555700RGL, CONTIENE 01 PIEZA POSTAL, IDENTIFICADA COMO EP711595049AR, RTTE. SR. JUAN MAMANI DOMICILIO CALLE LAVALLE 269 B 23 ABRA PAMPA, CP 4640 PROV. JUJUY DEST. SRA. MAGALI A FLORES HIELOS CONTINENTALES 9 CASA 77 CP. 9407 RIO TURBIO SANTA CRUZ, QUEDA RETENIDA, LA 2º SACA SLA0170612E606000BHI, CONTIENE TRES PIEZAS POSTALES LA 1º EP655041068AR, LA 2º EP656098421AR, SON ENTREGADAS AL SR. ARIAS PARA SU REDESPACHO Y LA 3º EP656098449AR RTTE SRA. ROBERTA YUCA DOMICILIO LOS JAZMINES L 21 M 110 CP. 4608 MONTERRICO JUJUY, DEST. SR. SILVERIO CHOQUE GONZALEZ RETIRA CORREO PEDRO LURO CP. 8148 BS. AS. QUEDA RETENIDA. LA 3º SACA SIN MARBETE CON PRECINTO U950640 CONTIENE DOS PIEZAS POSTALES LA 1º EC069604920AR Y LA 2º EP711648648AR, SON ENTREGADAS AL SR. ARIAS PARA SU REDESPACHO. QUEDANDO LAS ENCOMIENDAS RETENIDAS CERRADAS Y EN GUARDA EN ESTA UOSP. SE COMUNICO TELEFÓNICAMENTE AL JUZGADO INTERVINIENTE Y LAS APERTURAS SE REALIZARAN CON LA AUTORIZACIÓN DEL MAGISTRADO ACTUANTE.</t>
  </si>
  <si>
    <t>3661/10</t>
  </si>
  <si>
    <t>SE PROCEDE A LA APERTURA DE UNA SACA COLECTORA DEL CORREO OFICIAL SEGÚN CONSTA EN ACTA DE RETENCIÓN Nº 312/10 QUE ORIGINO LA PREVENCIÓN SUMARIA Nº 072/10, LA 1º SACA IDENTIFICADA COMO SLA9127768E555600CRD, PRECINTO Nº U949670, CONTIENE 03 PIEZAS POSTALES, IDENTIFICADAS COMO LA 1ª EP680798455AR, LA 2ª EP698248714AR, SON ENTREGADAS PARA SU REDESPACHO, Y LA 3ª EP675747668AR, RTTE: SR. MIGUEL E. TROYA, CON DOMICILIO EN Bº PUNTA DIAMANTE M12 L8 JUJUY, DEST: SR. LUIS BUSTAMANTE Bº NUEVO POBLADORES CALLE JUANA TERRAZ Nº 128, CALETA OLIVIA SANTA CRUZ, QUEDA RETENIDA. LA ENCOMIENDA RETENIDA QUEDA CERRADA Y EN GUARDA EN ESTA UOSP. SE COMUNICO TELEFÓNICAMENTE AL JUZGADO INTERVINIENTE Y LA APERTURA SE REALIZARA CON LA AUTORIZACIÓN DEL MAGISTRADO ACTUANTE.</t>
  </si>
  <si>
    <t>SIENDO LAS 09:00 HORAS SE IMPLEMENTA OPERATIVO DE SEGURIDAD POR LA PARTIDA DE LA SEÑORA PRESIDENTA CRISTINA FERNANDEZ DE KIRCHNER LA MISMA ARRIBO A ESTE AEROPUERTO METROPOLITANO A LAS 11:43 HORAS EN HELICOPTERO CON MATRICULA H-01 Y PARTIO A LAS 11:59 HS EN AERONAVE PRESIDENCIAL T-03 CON DESTINO A CARHUE , SIENDO LAS 12:10 HS FINALIZO EL OPERATIVO DE SEGURIDAD SIN NOVEDAD</t>
  </si>
  <si>
    <t>CARHUE</t>
  </si>
  <si>
    <t>PUESTO DE CONTROL 8 Y PLATAFORMA INDUSTRIAL</t>
  </si>
  <si>
    <t>EN EL DIA DE LA FECHA SE DIO CUMPLIMIENTO A O.S. 022/10 REFERENTE A TRASLADO DE FONDOS DEL TESORO REGIONAL NO REGISTRANDOSE NOVEDADES</t>
  </si>
  <si>
    <t>TC 54</t>
  </si>
  <si>
    <t>3640/10</t>
  </si>
  <si>
    <t>EN EL DIA DE LA FECHA A HORAS 12.15 EL OF.MY.SANCHEZ JOSE PROCEDIO A LA ENTREGA DE UNA CARABINA TIRO A TIRO CAL.22 PLG. MARCA DIANA-Nº 859 Y TUBO CAÑON IDENTIFICADO CON Nº 109-859, AL SR. FELIX BRAVO HERRERA, DELEGADO INSPECTOR DEL RENAR DE LA PROVINCIA DE SALTA, SEGUN CONSTA EN ACTA DE ENTREGA Nº 311/10, CORRESPONDIENTE A LA PREV.SUM. Nº 068/10, PARA SU VERIFICACION, PERITAJE Y DEPOSITO TRANSITORIO, SEGUN LO DISPUESTO POR EL DR. SANTIAGO FRENCH, SECRETARIO PENAL DEL JUZGADO FEDERAL DE SALTA Nº 1, A CARGO DEL DR. JULIO LEONARDO BAVIO.</t>
  </si>
  <si>
    <t>MAURICIO DONATI</t>
  </si>
  <si>
    <t>SRIO AV INF LEY 23737 -CLUB INDUSTRIAL FUNES-</t>
  </si>
  <si>
    <t>401/09</t>
  </si>
  <si>
    <t>CIUDAD DE FUNES - PROVINCIA DE SANTA FE.</t>
  </si>
  <si>
    <t>CON FECHA 09NOV2009 SE RECIBE OFICIO NRO. 389 DE LA FISCALÍA FEDERAL NRO. 1 DE ROSARIO A CARGO DEL DR. MARCELO DEGIOVANNI, SE INICIAN LAS TAREAS INVESTIGATIVAS POR ORDEN DE SERVICIO NRO. 389/2009 DE LA URSA IV DEL LITORAL, INFORMADO EN SIPAP PR DOC4-117/09 - 09NOV2009. EN LA DENUNCIA INDICABAN QUE EN EL CLUB INDUSTRIAL DE LA CIUDAD DE FUNES, EN LA PROVINCIA DE SANTA FE, SE ESTARIAN COMETIENDO CONDUCTAS EN INFRACCIÓN A LA LEY 23737. EN EL TRANSCURSO DE LA INVESTIGACION, NO SE CORROBORARON LAS CONDUCTAS DENUNCIADAS, NI POR LAS PERSONAS QUE FRECUENTABAN O LAS QUE TRABAJAN ALLÍ. EN EL DIA DE LA FECHA SE RECIBE OFICIO NRO. 1153 DEL JUZGADO ACTUANTE DONDE INFORMA QUE POR RESOLUCION NRO. 335 DE FECHA 01JUN10 SE DISPUSO EL ARCHIVO DE LAS PRESENTES ACTUACIONES.-</t>
  </si>
  <si>
    <t>TRIBUNAL ORAL EN LO CRIMINAL DE POSADAS</t>
  </si>
  <si>
    <t>DESDE LA GUARDIA DE PREVENCION HASTA LA AERONAVE</t>
  </si>
  <si>
    <t>SIENDO EL DIA Y HORA ANTES MENCIONADA SE DA CUMPLIMIENTO AL MEMORANDO Nº 652/10 DEL C.E.A.C. Y ORDEN DE SERVICIO Nº 359/10 DE LA U.R.S.A. I DEL ESTE, CON MOTIVO DE LA EXPULSION DE LA CIUDADANA PARAGUAYA ANA RUIZ DE SOTELO, LA CUAL SE HIZO PRESENTE JUNTO CON PERSONAL DE INTERPOL DE LA PFA A LAS 11:00 HORAS PARA LUEGO SER EMBARCADA EN EL VUELO Nº AR 1262 DE LA EMPRESA AEROLINEAS ARGENTINAS CON DESTINO A LA CIUDAD DE ASUNCION, REPUBLICA DEL PARAGUAY, EL CUAL PARTIO DE ESTE AEROPUERTO A LAS 13:35 HORAS SIN NOVEDAD.-</t>
  </si>
  <si>
    <t>SIENDO LAS 1430 HS SE INICIA EL CONTROL DE SEGURIDAD CON MOTIVO DEL ARRIBO DE LA SEÑORA PRESIDENTE CRISTINA FERNANDEZ DE KIRCHNER LA MISMA ARRIBA A ESTE AEROPUERTO METROPOLITANO A LAS 1640 HS EN AERONAVE PRESIDENCIAL T-03 Y PARTIO EN HELICOPTERO MATRICULA H-01 SIENDO LAS 1655 HS FINALIZO EL OPERATIVO SE SEGURIDAD SIN NOVEDAD</t>
  </si>
  <si>
    <t>HALL SECTOR ARRIBOS A2</t>
  </si>
  <si>
    <t>SIENDO LA FECHA Y HORA ANTES MENCIONADA SE HACE PRESENTE EN ESTA GUARDIA DE PREVENCIÓN, EL SR. MACIEL VIGILADOR DE SASA EL CUAL MANIFIESTA HABER ENCONTRADO UNA BOLSA DE PAPEL MADERA COLOR MARRÓN CON INSCRIPCIÓN "LOUIS VUITTON" EN EL SECTOR A2 POR LO QUE EL OF. BOONSTRA COMIENZA A CONFECCIONAR EL ACTA DE HALLAZGO. AL VERIFICAR EL CONTENIDO DE DICHO OBJETO OBSERVA QUE EN SU INTERIOR CONTENÍA, ENTRE VARIOS ELEMENTOS, LA SUMA DE SETENTA Y CINCO MIL QUINIENTOS PESOS ARGENTINOS ($75.500). MOTIVO POR EL CUAL, SE SOLICITA LA PRESENCIA DE DOS TESTIGOS. SE LE CONSULTA AL SR. MACIEL SI ERA EL VERDADERO HALLANTE, RESPONDIENDO QUE SI.. SE REALIZA COMUNICACIÓN CON EL RESPONSABLE DE COC-AER SOLICITÁNDOLE QUE ME BRINDE LA MAYOR CANTIDAD DE INFORMACIÓN EL CUAL INDICA QUE EL HALLANTE ERA UN ASISTENTE DE AA2000, RESULTANDO SER EL SR. ASADE, A QUIEN SE LO NOTIFICA QUE SE PRESENTE EN ESTA GUARDIA. UNA VEZ PRESENTE MANIFIESTA QUE SIENDO LAS 10:25 HORAS APROXIMADAMENTE ES INFORMADO POR EL SR. LOPEZ VICTOR, VIGILADOR DE LA EMPRESA S.A.S.A, QUE EN EL ARRIBO NACIONAL SECTOR "A2" PARTE PÚBLICA, SE ENCONTRABA UNA BOLSA DE COLOR MARRÓNNO HABIENDO TENIDO CONTACTO CON LA MISMA. SEGUIDAMENTE EL SR. ASADE INTERCEDE Y AVISA AL OFICIAL HADAD EDGARDO, ENCARGADO DE TURNO, DE ESTA POLICÍA, QUIEN LE INDICA QUE LO LLEVE HACIA LA GUARDIA DE PREVENCIÓN A LOS FINES DE REALIZAR LA CORRESPONDIENTE ACTA DE HALLAZGO. ANTE LO CUAL, EL SR. ASADE LE ORDENA AL SR. MACIEL, QUE SE ENCONTRABA CUMPLIENDO FUNCIONES EN LA VEREDA DE DICHO SECTOR, QUE TRASLADE DICHO ELEMENTO HACIA LA GUARDIA DE ESTA POLICÍA. EL MENCIONADO VIGILADOR TRASLADA EL OBJETO HALLADO HASTA EL PUESTO MENCIONADO, UBICADO EN EL SECTOR C. AL INSPECCIONAR EL CONTENIDO DE LA BOLSA HALLADA, SE OBSERVAN LOS SIGUIENTES ELEMENTOS, A SABER: PAPELES VARIOS SIN VALOR COMERCIAL; FOTOCOPIAS VARIAS SIN VALOR COMERCIAL; UN (01) PAR DE GUANTES SIMIL CUERO COLOR NEGRO; UN (01) PAR DE LENTES CON LA INSCRIPCIÓN "DG"; Y DINERO DE CURSO LEGAL, POR UN VALOR DE SETENTA Y CINCO MIL QUINIENTOS PESOS ARGENTINOS ($ 75.500), DISTRIBUIDOS EN NUEVE FAJOS, DE LOS CUALES SIETE (07) FAJOS CONTENÍAN DIEZ MIL PESOS ARGENTINOS CADA UNO, EN BILLETES DE PESOS CIEN ($100), UN (01) FAJO CONTENIENDO CINCO MIL PESOS ARGENTINOS ($ 5000) EN BILLETES DE PESOS CIEN ($100), Y EL ULTIMO FAJO CONTENIENDO PESOS QUINIENTOS ($500) EN BILLETES DE PESOS CINCO ($05), TODOS LOS BILLETES PRESENTANDO CARACTERÍSTICAS DEL USO HABITUAL DE LOS MISMOS. TODO EL PROCEDIMIENTO, INCLUYENDO EL CONTEO DEL DINERO, SE REALIZÓ EN PRESENCIA DE LOS TESTIGOS. EL DINERO HALLADO FUE COLOCADO EN UN SOBRE DE PAPEL MADERA COLOR MARRÓN, EL CUAL FUE CERRADO, SELLADO Y COLOCADO, JUNTO A LOS DEMÁS ELEMENTOS, EN UNA CAJA DE CARTÓN A LA CUAL SE LA ROTULO CON LA INSCRIPCIÓN "HALLAZGO 1431/10", LA CUAL FUE FIRMADA POR LOS TESTIGOS Y EL JEFE DE TURNO ACTUANTE, QUE LUEGO FUE CERRADA Y SELLADA.-</t>
  </si>
  <si>
    <t>INFRACCION AL ART. 85 DEL DECRETO LEY 8031/10</t>
  </si>
  <si>
    <t>CINTAS DE EQUIPAJE</t>
  </si>
  <si>
    <t>SIENDO LA FECHA Y HORA ANTES MENCIONADA, EN MOMENTOS EN QUE LOS OFICIALES LENCINA Y MARTINEZ SE ENCONTRABAN EN UNA RECORRIDA POR EL SECTOR MENCIONADO CON ANTERIORIDAD, OBSERVAN Y SORPRENDEN A UNA PERSONA DE SEXO MASCULINO, LA CUAL SE ENCONTRABA OFRECIENDO SERVICIO DE MALETERO A LOS PASAJEROS, NO SIENDO ESTA LA TAREA PARA LA CUAL FUE HABILITADO,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</si>
  <si>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CINTAS DE EQUIPAJES ARRIBOS</t>
  </si>
  <si>
    <t>SIENDO LA FECHA Y HORA ANTES MENCIONADA, EN MOMENTOS EN QUE LOS OFICIALES LENCINA Y MARTINEZ SE ENCONTRABAN EN UNA RECORRIDA POR EL SECTOR MENCIONADO CON ANTERIORIDAD, OBSERVAN Y SORPRENDEN A UNA PERSONA DE SEXO MASCULINO, LA CUAL SE ENCONTRABA OFRECIENDO SERVICIO DE MALETERO A LOS PASAJEROS, NO SIENDO ESTA LA TAREA POR LA CUAL FUE HABILITADO,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</si>
  <si>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FECHA Y HORA ANTES MENCIONADA, EN MOMENTOS EN QUE EL OFICIAL MARTINEZ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</si>
  <si>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FECHA Y HORA ANTES MENCIONADA, EN MOMENTOS EN QUE LOS OFICIALES HANEMANN Y SACOR SE ENCONTRABAN EN UNA RECORRIDA POR EL SECTOR MENCIONADO CON ANTERIORIDAD, OBSERVAN Y SORPRENDEN A UNA PERSONA DE SEXO MASCULINO, LA CUAL SE ENCONTRABA REALIZANDO SERVICIO DE MALETERO A LOS PASAJEROS, NO ESTANDO HABILITADO POR LA EMPRESA PRESTATARIA SIGLO XXI,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</si>
  <si>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400/08</t>
  </si>
  <si>
    <t>SIENDO LA HORA Y EL DÍA ANTES MENCIONADO, SE RECIBE COMUNICACIÓN VÍA TELEFÓNICA DEL SR. PANGARO MIGUEL, SUPERVISOR DE TURNO DE LA DIRECCIÓN NACIONAL DE MIGRACIONES, INFORMANDO QUE EN EL MOMENTO DE REALIZAR EL INGRESO AL PAÍS DEL VUELO MENCIONADO, SURGE DEL SISTEMA INFORMÁTICO, UN REGISTRO DE COMPARENDO COMPULSIVO DEL SR. HELMSDORFF GIORGIO, POR LO CUAL SE TRASLADO AL MASCULINO A LA GUARDIA DE PREVENCIÓN Y SIENDO LAS 14:40 HORAS SE ENTABLA COMUNICACIÓN CON DICHA JUDICATURA QUIEN DISPONE: SE PROCEDA A LA LECTURA DE DERECHOS Y ART.36 DE LA CONVENCIÓN DE VIENA, APREHENSIÓN DEL CAUSANTE, PERMANECIENDO COMUNICADO, SE REALICE PRECARIO MÉDICO, NOTA AL CONSULADO, CONSTATACIÓN DE DOMICILIO FEHACIENTE DEL LUGAR DE HOSPEDAJE DEL APREHENDIDO DURANTE SU ESTADÍA EN TERRITORIO NACIONAL, NO REALIZAR FICHAS ALGUNAS Y TRASLADO A LA JUDICATURA ENTRE LAS 11:00 HORAS Y LAS 12:00 HORAS DEL DÍA 17 DEL CORRIENTE MES Y AÑO. SEGUN PU Nº 3700 SIENDO LAS 11.40 HORAS DEL DIA 17 DEL CORRIENTE MES Y AÑO, SE PROCEDE AL TRASLADO DEL APREHENDIDO A LA UNIDAD DE INSTRUCCION Nº 1 DE EZEIZA. SEGUN PU Nº 3710 SIENDO LAS 19.30 HORAS DEL DIA 17 DEL CORRIENTE MES Y AÑO SE PROCEDE A LA SOLTURA DEL CAUSANTE PREVIA LIBERACION DEL MISMO EN LA SEDE JUDICIAL. RETIRANDOSE DE ESTA JURISDICCION POR SUS PROPIOS MEDIOS, SIN NOVEDAD.</t>
  </si>
  <si>
    <t>LA 4631</t>
  </si>
  <si>
    <t>SIENDO LAS 01:32 HORA LOCAL ARRIBA AERONAVE MATRICULA LV - BFO DE LA EMPRESA LAN ARGENTINA PROCEDENTE DE AEROPUERTO JORGE NEWBERY EN CUYAS BODEGAS 31,32,40 Y 42 SE DESPACHAN 168 CAJAS CON UN PESO BRUTO DE 3.864 KILOGRAMOS DE METAL - MTD - CON DESTINO A AEROPUERTO JORGE NEWBERY. EL VUELO DESPEGA A LAS 03:10 HORA LOCAL SIN NOVEDAD. SE DIO CUMPLIMIENTO A ORDEN DE SERVICIO NRO 52/2010.</t>
  </si>
  <si>
    <t>SIENDO LAS 09:00 HS SE PROCEDE A CUMPLIMENTAR ORDEN DE SERVICIO MEDIANTE CONTROL PREVENTIVO, CON MOTIVO DE LA PARTIDA DE LA SEÑORA PRESIDENTE DE LA NACION, LA SEÑORA CRISTINA FERNANDEZ DE KIRCHNER, ARRIBANDO A ESTE AEROPUERTO METROPOLITANO A LAS 11:40 HS, EN HELICOPTERO MATRICULA H-01, Y PARTIENDO CON DESTINO A LA CIUDAD DE LA RIOJA EN AERONAVE PRESIDENCIAL MATRICULA T-01, A LAS 11:55 HS. DICHO CONTROL FINALIZO A LAS 12:00 HS, SIN NOVEDAD.</t>
  </si>
  <si>
    <t>INFORMO QUE EL DIA 17 DE JUNIO DE 2010 SIENDO LAS DIEZ HORAS TREINTA MINUTOS PERSONAL MEDICO DEL HOSPITAL DE EZEIZA DA DE ALTA AL DETENIDO DE AUTOS SIENDO EL MISMO TRASLADADO A ESTA DEPENDENCIA. QUE SIENDO LAS ONCE HORAS CUARENTA MINUTOS SE TRASLADA AL DETENIDO A SEDE JUDICIAL CONFORME A DIRECTIVAS IMPARTIDAS OPORTUNAMENTE POR DICHA JUDICATURA.</t>
  </si>
  <si>
    <t>3692/10</t>
  </si>
  <si>
    <t>SIENDO LAS 11:40 HS DE ACUERDO A LO ORDENADO POR LA JUDICATURA ACTUANTE SE PROCEDE AL TRASLADO DEL APREHENDIDO HELMSDORFF SANCHEZ, A LA UNIDAD DE INSTRUCCION Nº 1, DE LA CIUDAD DE EZEIZA.</t>
  </si>
  <si>
    <t>INFORMO EN EL DIA DE LA FECHA A HS 13:26, ARRIBA A ESTE AEROPUERTO EN VUELO T-01 LA SEÑORA PRESIDENTE DE LA NACION CRISTINA FERNANDEZ DE KIRCHNER Y COMITIVA, QUIENES INMEDIATAMENTE EMBARCARON JUNTO AL GOBERNADOR DE ESTA PROVINCIA DR. LUIS BEDER HERRERA EN EL AVION DE LA GOBERNACION DE LA PROVINCIA DE LA RIOJA MATRICULA LV-YLC, EL CUAL DESPEGO DE ESTE AEROPUERTO A HS 13:45 CON DESTINO HACIA LA LOCALIDAD DE CHAMICAL, DESDE DONDE SE TRASLADARAN VIA TERRESTRE HACIA LA LOCALIDAD DE OLTA. ASIMISMO INFORMO QUE ESTA UOSP IMPLEMENTO EL OPERATIVO DE SEGURIDAD PRESIDENCIAL CONFORME A LA ORDEN DE SERVICIO N° 119/10.</t>
  </si>
  <si>
    <t>DENTRO DE LAS INSTALACIONES DEL AEROPUERTO NO PUDIENDO ESPECIFICAR EL LUGAR</t>
  </si>
  <si>
    <t>SE HACE PRESENTE EN ESTA DEPENDENCIA EL DENUNCIANTE, MANIFESTANDO EL EXTRAVIO DE SU PERMISO PERSONAL DE FACILITACION AEROPORTUARIO, VENCIDO Y A SU NOMBRE. QUE EL MISMO FUE EXTRAVIADO DENTRO DE LAS INSTALACIONES DE ESTE AEROPUERTO Y QUE NO PUEDE PRECISAR EL LUGAR NI LA FECHA DE LA PERDIDA.</t>
  </si>
  <si>
    <t>PLAYA DE ESTACIONAMIENTO DE ESTA AEROESTACION</t>
  </si>
  <si>
    <t>SIENDO LAS QUINCE HORAS, CON TREINTA MINUTOS ,SE HACE PRESENTE EN ESTA GUARDIA DE PREVENCION , EL DENUNCIANTE EL CUAL MANIFIESTA EL EXTRAVIO DE SU PERMISO PERSONAL AEROPORTUARIO DE SEGURIDAD PERMANENTE N° 329680- DOZ CON VENCIMIENTO EL DIA 10-06-2011, CON INGRESO A LOS SECTORES RESTRINGIDOS 5-6, SE EFECTUA ACTA DE EXPOSICION DE EXTRAVIO N° 47/10</t>
  </si>
  <si>
    <t>3701/10</t>
  </si>
  <si>
    <t>INFORMO EN EL DIA DE LA FECHA A HS 17:32, DESPEGA DE ESTE AEROPUERTO EN VUELO T-01 LA SEÑORA PRESIDENTE DE LA NACION CRISTINA FERNANDEZ DE KIRCHNER Y COMITIVA, CON DESTINO A LA PROVINCIA DE BUENOS AIRES.</t>
  </si>
  <si>
    <t>INFRACCION A LOS ARTS. 78 Y 85 DEL DECRETO DE LEY 8031/73</t>
  </si>
  <si>
    <t>SIENDO LAS 17:30 HS SE PROCEDE A CUMPLIMENTAR ORDEN DE SERVICIO MEDIANTE CONTROL PREVENTIVO, CON MOTIVO DE LA LLEGADA DE LA SEÑORA PRESIDENTE DE LA NACION, LA SEÑORA CRISTINA FERNANDEZ DE KIRCHNER, ARRIBANDO A ESTE AEROPUERTO METROPOLITANO A LAS 18:45 HS, EN AERONAVE PRESIDENCIAL MATRICULA T-01, Y RETIRANDOSE EN HELICOPTERO MATRICULA H-01 A LAS 18:52 HS. DICHO CONTROL FINALIZO A LAS 18:58 HS SIN NOVEDAD.</t>
  </si>
  <si>
    <t>3700/10</t>
  </si>
  <si>
    <t>SEGUN LO ORDENADO POR EL DR. BRUZZONE, A CARGO DE LA UNIDAD FUNCIONAL DE INSTRUCCION Nº 1 DE LA CIUDAD DE EZEIZA, SE PROCEDE A LA SOLTURA DEL SEÑOR HELMSDORFF EN ESTA UNIDAD OPERACIONAL, PREVIA LIBERACION DEL MISMO DESDE LA UNIDAD FUNCIONAL MENCIONADA. SIENDO LAS 19:30 HORAS SE PROCEDE A LA SOLTURA, RETIRANDOSE DE ESTA JURISDICCION SIN NOVEDAD.-</t>
  </si>
  <si>
    <t>3039/10</t>
  </si>
  <si>
    <t>APERTURA DE ENCOMIENDA S/SUP. INFRACCION A LA LEY 22.415 Y/O 23.737.-</t>
  </si>
  <si>
    <t>454/2010</t>
  </si>
  <si>
    <t>SE PROCEDE A LA APERTURA DE DOS ENCOMIENDAS DEL CORREO OFICIAL, SEGÚN CONSTA EN ACTA DE APERTURA DE CARGAS Nº 313/10, DE LA PREVENCIÓN SUMARIA Nº 058/10, EN VIRTUD DE LO ORDENADO MEDIANTE OFICIO JUDICIAL Nº 799/10, DEL MAGISTRADO ACTUANTE Y EN PRESENCIA DE UN TESTIGO HABIL, LA 1ª EP661585157AR, RTTE. SRA. IBARRA ELSA, Bº NORTE S/N, HUACALERA, DPTO. DE TILCARA, Y DEST. SR. IBARRA MAXIMO, REPUBLICA ITALIA Y CATRIEL Nº 1864, Bº ISLA MALVINAS, NEUQUEN, CONTIENE: 14 PAQUETES DE HOJAS DE COCA CON UN PESO TOTAL DE 3.432 GRS. LA 2ª EP661585174AR, RTTE. FLORES NORA, MAZ. 4 LOTE 22, PUNTA DIAMANTE, S.S. DE JUJUY, C.P. 4600, Y DEST. URBANO CARLOS, CALLE BEAUVOIR Nº 1378, Bº TRES DE FEBRERO, CALETA OLIVIA, PROV. SANTA CRUZ, C.P. 9011, CONTIENE 12 PAQUETES DE HOJAS DE COCA, CON UN PESO TOTAL DE 2.946 GRS. LAS ENCOMIENDAS SECUESTRADAS SERAN PUESTAS A DISPOSICION DE LA ADUANA DE SALTA POR SUPUESTA INFRACCION AL CODIGO ADUANERO LEY 22415, Y LAS ACTUACIONES REMITIDAS A SEDE JUDICIAL. PU ORIGINARIO Nº 3004/10 SE PROCEDE A LA RETENCIÓN DE DOS SACAS COLECTORAS DEL CORREO OFICIAL, SEGÚN CONSTA EN ACTA DE RETENCIÓN DE CARGAS Nº 0255/10, QUE ORIGINA LA PREVENCIÓN SUMARIA 058/10, LA 1ª SACA IDENTIFICADA CON MARBETE SLA0168916E636300NQN, PRECINTO Nº C797821, CON UN PESO DECLARADO DE 4,300 KGS, CON DESTINO A LA CIUDAD DE NEUQUEN, CONTIENE UNA PIEZA POSTAL, LA 2ª SIN MARBETE IDENTIFICADA CON PRECINTO Nº C481797, SIN PESO NI DESTINO DECLARADO, CONTIENE DOS PIEZAS POSTALES. LAS MISMAS SERIAN DESPACHADAS A TRAVÉS DE LA EMPRESA DE CARGA AÉREA JET PAQ. LA RETENCIÓN SE REALIZA ANTE LA PRESUNCIÓN DE QUE PUDIERAN CONTENER ALGÚN ELEMENTO EN INFRACCIÓN A LA LEY 23.737 Y/O 22.415, QUEDANDO LAS MISMAS CERRADAS Y PRECINTADAS EN GUARDA EN ESTA UOSP. SE COMUNICO TELEFÓNICAMENTE AL JUZGADO INTERVINIENTE, Y LA APERTURA SE REALIZARA EN PRESENCIA DEL PERSONAL DEL CORREO OFICIAL. PU 3039/10 AMPL DEL ORIGINARIO SE PROCEDE A LA APERTURA DE DOS SACAS COLECTORAS DEL CORREO OFICIAL SEGÚN CONSTA EN ACTA DE RETENCIÓN DE CARGAS Nº 0255/10, QUE ORIGINA LA PREVENCIÓN SUMARIA Nº 058/10, LA SACA IDENTIFICADA CON MARBETE Nº SLA0168916E636300NQN, PRECINTO Nº C797821, CON UN PESO DECLARADO DE 4,300 KGS. CONTIENE 01 PIEZA POSTAL IDENTIFICADA COMO EP661585157AR, QUEDA RETENIDA, LA 2º SACA SIN MARBETE NI PESO DECLARADO, CON PRECINTO Nº V481797, CONTIENE DOS PIEZAS POSTALES, LA 1º EP661585174AR, QUEDA RETENIDA Y LA 2º EP679570025AR, ES ENTREGADA AL SR. ARIAS NÉSTOR RUBÉN PARA SU REDESPACHO, QUEDANDO LAS MISMAS CERRADAS Y PRECINTADAS EN ESTA UOSP. SE COMUNICO TELEFÓNICAMENTE AL JUZGADO INTERVINIENTE Y LAS APERTURAS SE REALIZARAN CON LA AUTORIZACIÓN DEL MAGISTRADO ACTUANTE.</t>
  </si>
  <si>
    <t>DRA.MARIANA BUTELER DE BARROS</t>
  </si>
  <si>
    <t>SALA DE ARRIBO INTERNACIONAL</t>
  </si>
  <si>
    <t>EN EL DIA DE LA FECHA EL JEFE DE TURNO DEL SERVICIO DE GUARDIA PREVENTIVA RECIBE UNA LLAMADA AL TELEFONO NRO. 0351-4753883 EN LA QUE UNA VOZ GRAVE MASCULINA LE INFORMA QUE EN EL VUELO DE LAN ARGENTINA QUE PROCEDE DE AEROPARQUE, VIAJA EL SEÑOR ADRIAN ISOLA, Y ARRIBARIA A ESTE AEROPUERTO CON ELEMENTOS DE ELECTRONICA, ENTRE ELLOS UN TELEVISOR DE LCD, QUE CONTENDRIAN EN SU INTERIOR PASTILLAS DE EXTASIS. APROXIMADAMENTE A LAS 14:35 HRS. SE PRESENTA ANTE EL SERVICIO DE GUARDIA EL SR. GUARDIA GALO, JEFE SECCION AEROPUERTO ADUANA CORDOBA, INOFRMANDOLE SOBRE UNA LLAMADA ANONIMA QUE COINCIDIA CON LOS DATOS YA REGISTRADOS EN LA GUARDIA, POR LO QUE AVISA DEL HECHO AL JEFE DE UNIDAD QUIEN INTERIORIZDO POR LOS DOS FUNCIONARIOS EN LA COINCIDENCIA DE LA LLAMADA SE COMUNICA EN FORMA INMEDIATA CON EL JUZGADO FEDERAL DE TURNO EN LA PERSONA DE SU SECRETARIA PENAL DRA. MARIANA BUTELER DE BARROS, QUIEN ORDENA QUE SE REALICE UNA REQUISA DE URGENCIA AL PAX EN CUESTION Y TODO SU EQUIPAJE PROCEDIENDO DE ACUERDO AL ARTICULO 230 Y 230 BIS DEL CPPN. ACTO SEGUIDO SE DISPONE UN OPERATIVO DE VIGILANCIA AL ARRIBO DEL MENCIONADO VUELO Y UNA VEZ IDENTIFICADO AL CAUSANTE SE PROCEDE A REQUERIR LA PRESENCIA DE DOS PERSONAS QUE SE ENCONTRABAN EN EL SECTOR PARA QUE OFICIEN COMO TESTIGOS HABILES DDEL PROCEDIMIENTO QUE SE LLEVARA A CABO PARA LO CUAL SE LES INFORMA DE LOS DERECHOS Y GARANTIAS QUE LOS MISMOS POSEEN Y CUYOS DATOS FILIATORIOS SON JUAN CARLOS CASAS, DNI: 11192067, NACIDO EL 10/06/1978 Y EL SR. PABLO MAXIMILIANO SALGAN ASTUDILLO, DNI: 34989781, NACIDO EL 07/01/1986 SIENDO LAS 16:00HS APROXIMADAMENTE ARRIBA A ESTA AEROESTACIÓN EL VUELO DE LA EMPRESA LAN Nº 4212 PROCEDENTE DE AEROPARQUE, POR LO QUE EL PERSONAL APOSTADO EN PLATAFORMA LOGRA IDENTIFICAR EL EQUIPAJE DE BODEGA DEL SR. ISOLA, PUDIENDO CONSTATAR EL MISMO CONSTA DE DOS BOLSOS Y UNA CAJA DE TELEVISOR LCD. UNA VEZ QUE EL PASAJERO RETIRA EL EQUIPAJE DE LA CINTA TRANSPORTADORA ES IDENTIFICADO PÑOE EL PERSONAL APOSTADO EN LA SALA DE ARRIBOS QUIENES LE SOLICITAN QUE LOS ACOMPAÑE AL SECTOR DE ARRIBOS INTERNACIONALES LUGAR DONDE ADUANA POSEE LOS SCANERS ADECUADOS PARA REALIZAR EL CONTROL DE RAYOS X DE EQUIPAJES DE GRAN DIMENSION, SIEMPRE EN PRESENCIA DE LOS TESTIGOS, LOS AGENTES ADUANEROS PROCEDEN A REALIZAR EL CONTROL DE RAYOS X DANDO EL MISMO RESULTADO NEGATIVO, CABE ACLARAR QUE EL SR. ISOLA PROPUSO REALIZAR LA APERTURA DE LA TAPA DEL TELEVISOR LCD PARA ACLARAR POR COMPLETO LA SITUACION ACCION QUE SE REALIZO EN SU PRESENCIA DANDO EL MISMO RESULTADO NEGATIVO. POSTERIORMENTE SE LE SOLICITO AL CAUSANTE QUE ABRIERA LOS BOLSOS DE MANO, A LO QUE ACCEDIO VOLUNTARIAMENTE, DANDO IGUAL RESULTADO. ANTE TAL SITUACION, SIENDO LAS 17:30 HRS. Y HABIENDO DESCARTADO POR COMPLETO QUE EL SEÑOR ISOLA TENGA EN SU PODER LA DROGA MENCIONADA, PROCEDO A COMUNICARME NUEVAMENTE CON LA DRA MARIANA BUTELER DE BARROS PARA DARLE LA NOVEDAD DE LO ACTUADO, DISPONIENDO LA MISMA QUE EL CAUSANTE FIJE DOMICILIO LEGAL Y CONTINUE OCN SU RUTINA HABITUAL. ACTO SEGUIDO, EL CAUSANTE MANIFIESTA FIJAR DOMICILIO LEGAL EN CALLE ELPIDIO GONZALEZ 135 VILLA DEL LAGO DE LA CIUDAD DE CARLOS PAZ PROVINCIA DE CORDOBA, RETIRANDOSE DE LA AEROESTACION A LAS 18:40 HRS.APROXIMADAMENTE</t>
  </si>
  <si>
    <t>SECTOR ARRIBO DE PASAJEROS</t>
  </si>
  <si>
    <t>SIENDO LA FECHA Y HORA ANTES MENCIONADA, EN MOMENTOS EN QUE LOS OFICIALES LLANES Y VILAS ALEJANDRO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</si>
  <si>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EL DÍA DE LA FECHA SE PROCEDE A TOMAR UNA DENUNCIA RADICADA POR LA SRTA. CECILIA BALLERINI, QUIEN MANIFIESTA QUE UNA VEZ ATERRIZADA LA AERONAVE, AL ABRIR LA PUERTA QUE DA CON LA MANGA Nº 1, Y ESTANDO POR HACER DECENDER EN PRIMER LUGAR A LA PASAJERA DE LA FILA Nº 1 L, DISCAPACITADA, EN ESE INSTANTE EL PASAJERO MARCOS LEVIN, SE APRONTO A SALIR PRIMERO BLOQUEANDO LA PUERTA, Y AL SOLICITARLE QUE PERMITA EL PASO A LA SRA, EL MENCIONADO PASAJERO SE NEGO A HACERLO EMPUJÁNDO CON MUCHA FUERZA A LA SRTA. BALLERINI HACIA UN LADO, Y FALTANDOLE EL RESPETO A VIVA VOZ, QUIEN FINALMENTE BAJO PRIMERO. EL JEFE DE TURNO SE COMUNICA TELEFÓNICAMENTE CON EL MAGISTRADO DE TURNO QUIEN DISPONE SE REALICEN LAS ACTUACIONES CORRESPONDIENTES Y SE ELEVEN LAS MISMAS AL JUZGADO.</t>
  </si>
  <si>
    <t>DR WALTER DA SILVA</t>
  </si>
  <si>
    <t>DENTRO DE LA AERONAVE EN EL ASIENTO CON NUMERACION 8 C</t>
  </si>
  <si>
    <t>SIENDO LAS 22:50 HS EN MOMENTOS QUE ATERRIZABA EL VUELO N° 2688 DE AUSTRAL LINEAS AEREAS SE ACERCA EL SR. ERIK HERRERA DESPACHANTE DE LA EMPRESA SOLICITANDO LA PRESENCIA POLICIAL EN LA AERONAVE A PEDIDO DEL COMANDANTE DE LA MISMA YA QUE A BORDO SE ENCONTRABA UN PASAJERO PERTURBADOR. SE CONSTITUYE UNA COMISION POLICIAL EN LA AERONAVE Y EL SR. ANGEL BRUNIALTI DNI N° 14463444 COMANDANTE DE LA AERONAVE NOS INFORMA QUE EL PASAJERO DEL ASIENTO 8 C, HABIA REALIZADO MALTRATO VERBALES HACIA EL COMISARIO DE ABORDO SRTA ALICIA MARIA PANTIN DNI N°17.623.918 CUANDO ESTA LE SOLICITO EN REITERADAS OPORTUNIDADES QUE APAGARA EL CELULAR, MOTIVO POR EL CUAL DESEABAN REALIZAR UNA DENUNCIA CONTRA ESTE PASAJERO. SE DIO INTERVENCION AL JUZGADO FEDERAL QUIEN ORDENA SE RECEPCIONE LA DENUNCIA , SE LABREN LAS ACTUACIONES CORRESPONDIENTES Y NOTIFIQUE DE CAUSA AL DENUNCIADO.</t>
  </si>
  <si>
    <t>ASIENTOS DEL HALL PUBLICO TERMINAL A</t>
  </si>
  <si>
    <t>AEROPUERTO METROPOLITANO JORGE NEWBERY,</t>
  </si>
  <si>
    <t>EL DIA DE LA FECHA A LAS 1200 HORAS LA DAMNIFICADA ARRIBO A LAS INSTALACIONES DEL AEROPARQUE METROPOLITANO JORGE NEWBERY, PROCEDENTE DE SANTIAGO DE CHILE EN EL VUELO AR 1283 DE LA EMPRESA AEROLINEAS ARGENTINAS, SEGUIDAMENTE SE DIRIGIO HACIA UNO DE LOS ASIENTOS EMPLAZADOS EN LA ZONA PUBLICA DE DICHA AEROSTACION, COLOCANDO A SU LADO UNA CARTERA DE MANO, QUE LUEGO DE UNOS SEGUNDOS SE PERCATA DEL FALTANTE DE DICHO ELEMENTO. QUE EN VIRTUD A QUE LA DAMNIFICADA EMBARCARIA, EN HORAS DE LA TARDE, EN ESTE AEROPUERTO INTERNACIONAL, EN EL VUELO AR 1132 DE LA EMPRESA AEROLINEAS ARGENTINAS, SE HIZO PRESENTE EN ESTA GUARDIA DE PREVENCION A LOS EFECTOS DE RADICAR LA CORRESPONDIENTE DENUNCIA.</t>
  </si>
  <si>
    <t>PARELLO, NORMA</t>
  </si>
  <si>
    <t>SIENDO LAS 20:15 HS APROXIMADAMENTE DEL DÍA 17 DE JUNIO DEL CORRIENTE AÑO EL DENUNCIANTE DESPACHA, EN EL VUELO LA 4222 DE LA EMPRESA LAN CON HORARIO DE PARTIDA DEL AEROPUERTO JORGE NEWBERY 20:55 HS DESTINO FINAL LA CIUDAD DE CÓRDOBA, DOS (02) BULTOS DE LOS CUALES UNO ES UNA (01) VALIJA RÍGIDA TIPO CARRIÓN DE 45 X 60 X 30 CM. APROXIMADAMENTE COLOR NEGRO, IDENTIFICADO CON MARBETE Nº LA 751951, PRECINTADA POR EL DENUNCIANTE, LA CUAL CONTENÍA EN SU INTERIOR EFECTOS PERSONALES, ROPAS VARIAS Y UN (01) MALETÍN PORTA NOTEBOOK EL QUE EN SU INTERIOR CONTENÍA LIBROS Y UNA (01) NOTEBOOK MARCA HP MODELO 530 NUMERO DE SERIE CND8240MWY. AL ARRIBAR A LA CIUDAD DE CÓRDOBA A LAS 22:25 HS APROXIMADAMENTE, EL DENUNCIANTE RETIRA SU BOLSO Y OBSERVA EL FALTANTE DEL PRECINTO EN EL EQUIPAJE ANTES DETALLADO PROCEDE A CONTROLARLO NO OBSERVADO EN ESE MOMENTO FALTANTE ALGUNO, DIRIGIENDOSE POSTERIORMENTE A SU DOMICILIO. EN EL DÍA DE LA FECHA AL RETIRAR DE SU EQUIPAJE EL MALETÍN PORTA NOTEBOOK PARA DIRIGIRSE A SU TRABAJO OBSERVA QUE EN EL MISMO SE HALLABAN LOS LIBROS Y NO LA NOTEBOOK DETALLADA PRESEDENTEMENTE.</t>
  </si>
  <si>
    <t>SRIO AV PRES INF LEY 22415 IMP FUNCIONARIOS ADUANEROS</t>
  </si>
  <si>
    <t>819/09-B Y 121415/2009</t>
  </si>
  <si>
    <t>SE RECIBIO OFICIO 753/10 DERIVADO POR U.O.D.C. Y C.N. EMANADO DE LA FISCALIA ACTUANTE SOLICITANDO SE LE INFORME QUE PERSONAL DE ESTA REPARTICION SE ENCONTRABA CUMPLIENDO FUNCIONES, ESPECIFICAMENTE EN EL SECTOR DE CONTROL DE EQUIPAJE EN FECHA 04 DE MARZO DE 2004.</t>
  </si>
  <si>
    <t>MERLO RAMIREZ VICTOR S/CONTRABANDO DE IMPORTACION DE ESTUPEFACIENTE CALIFICADO Y TRANSPORTE DE ESTUPEFACIENTE EN CONCURSO IDEAL</t>
  </si>
  <si>
    <t>EXPEDIENTE Nº A-375/2010</t>
  </si>
  <si>
    <t>INFORMO CONFORME OFICIO JUDICIAL NRO 1572/2010 DE JUZGADO FEDERAL DE PRIMERA INSTANCIA DE LA CIUDAD DE ELDORADO FIRMADO DR. MIGUEL ANGEL GUERRERO SECRETARIO DE DICHO JUZGADO SE PROCEDE AL TRASLADO DEL SR. VICTOR MERLO RAMIREZ PASAPORTE DE LA REPÚBLICA DEL PARAGUAY NRO 3239751 A LOS ESTRADOS DEL MENCIONADO JUZGADO POR ORDEN DE SU SEÑORIA DR. JOSE LUIS CASALS EN EXPEDIENTE A-375/2010 CARATULADO "MERLO RAMIREZ VICTOR S/CONTABANDO DE IMPORTACIO DE ESTUPEFACIENTE CALIFICADO Y TRANSPORTE DE ESTUPEFACIENTE EN CONCURSO IDEAL" A EFECTOS DE CUMPLIMENTAR TRAMITES PROCESALES PENDIENTES DE PRODUCCIÓN. REGRESANDO A ESTA UNIDAD OPERACIONAL IGUAZU LA COMISION CON EL DETENIDO ANTES MENCIONADO QUIEN CONTINUARA ALOJADO EN ESTA UNIDAD OPERACIONAL.</t>
  </si>
  <si>
    <t>FISCALIA NACIONAL EN LO CRIMINAL DE INSTRUCCION Nº 48</t>
  </si>
  <si>
    <t>MOLINA PICO</t>
  </si>
  <si>
    <t>DR.JORGE ARIAS OBARRIO</t>
  </si>
  <si>
    <t>INTERSECCION ENTRE LA CALLE LAFINUR Y LA AVENIDA DEL LIBERTADOR, CAPITAL FEDERAL.</t>
  </si>
  <si>
    <t>SIENDO LA HORA Y FECHA MENCIONADA SE HACE PRESENTE EN ESTA GUARDIA DE PREVENCION EL DAMNIFICADO MANIFESTANDO QUE LUEGO DE ARRIBAR EN ESTE AEROPUERTO METROPOLITANO EN EL VUELO PU 151, DE LA EMPRESA PLUNA PROCEDENTE DE MONTEVIDEO URUGUAY, EN EL HORARIO DE LAS 07:30 HORAS, SE DIRIGIÓ A LA PARADA DE TAXIS, SITA EN SECTOR A2, LUGAR EN EL CUAL ABORDO UN TAXI PARA TRASLADARSE HACIA LA INTERSECCIÓN DE LA CALLE LAFINUR Y LA AVENIDA DEL LIBERTADOR, A LO CUAL EL CHOFER DE DICHO TAXI COLOCO LA VALIJA DEL DAMNIFICADO EN EL ASIENTO DELANTERO DE VEHICULO. UNA VEZ QUE LLEGO A DESTINO EL DAMNIFICANDO PROCEDIÓ A PAGAR EL COSTO DEL VIAJE Y LUEGO DESCENDIÓ DEL AUTOMÓVIL, MOMENTO EN EL CUAL EL TAXISTA ARRANCO LA MARCHA LLEVÁNDOSE EL EQUIPAJE ANTES MENCIONADO. POR LO CUAL EL DAMNIFICADO REGRESA A ESTE AEROPARQUE PARA REALIZAR LA CORRESPONDIENTE DENUNCIA.</t>
  </si>
  <si>
    <t>SIENDO LAS DIECISEIS HORAS, CON QUINCE MINUTOS, SE HACE PRESENTE EL DENUNCIANTE, EL CUAL MANIFIESTA EL EXTRAVIO DEL PERMISO PERSONAL AEROPORTUARIO DE SEGURIDAD CON ACOMPAÑAMIENTO N° 6621 PERTENECIENTE A ESTA UNIDAD OPERACIONAL MENDOZA , EL CUAL LE FUE ENTREGADO EN EL DIA DE LA FECHA, SE EFECTUA ACTA DE EXPOSICION DE EXTRAVIO N° 48/10</t>
  </si>
  <si>
    <t>LLERAL GUILLERMO GUSTAVO</t>
  </si>
  <si>
    <t>PRESUNTO ROBO</t>
  </si>
  <si>
    <t>EN EL DIA DE LA FECHA SE PRESENTA EL SEÑOR BUSTAMANTE GALLARDO EMILIO A LOS EFECTOS DE RADICAR UNA DENUNCIA POR EL ROBO DE UNA CAMARA DIGITAL MARCA SONY Y Y UN CARGADOR DE LA MISMA CAMARA, LOS CUALES SE ENCONTRABAN EN EL INTERIOR DEL SU EQUIPAJE EL CUAL FUE DESPACHADO EN LA CIUDAD DE BUENOS AIRES. LOS OBJETOS LE FUERON SUSTRAIDOS DEL INTERIOR DEL BOLSILLO EXTERNO DERECHO DE UN BOLSO COLOR VERDE MUSGO BAJO MARBETE NRO 00840, ASIMISMO SE INFORMA QUE AL MOMENTO DE LA RECEPCION DE SU EQUIPAJE, EL DAMNIFICADO SE ENCONTRO CON EL CIERRE DE DICHO BOLSO ROTO, LA FALTA DEL CANDADO Y SUS PERTENENCIAS REVUELTAS SE DA INTERVENCION AL SECRETARIO DEL JUZGADO FEDERAL QUIEN DISPONE SE LABREN LAS ACTUACIONES DE RIGOR Y SEAN ELEVADAS AL TRIBUNAL ACTUANTE.</t>
  </si>
  <si>
    <t>PUERTO MADRYN</t>
  </si>
  <si>
    <t>Rafecas</t>
  </si>
  <si>
    <t>Daniel Eduardo</t>
  </si>
  <si>
    <t>DR. SEBASTIAN RAMOS</t>
  </si>
  <si>
    <t>SIENDO LA FECHA Y HORA ANTES MENCIONADA SE RECIBE COMUNICACION TELEFONICA POR PARTE DEL OF.AVILA PROTO MIGUEL ENCARGADO DEL PREEMBARQUE INTERNACIONAL, INFORMANDO QUE AL PASAR UN PASAJERO DE SEXO MASCULINO POR EL ARCO DETECTOR DE METALES ACTIVO LA ALARMA DEL MISMO POR LO QUE EL OF. ROMANO WALTER LE EFECTUA UN CHEQUEO MANUAL AL MASCULINO Y OBSERVO QUE EN EL BOLSILLO DELANTERO DERECHO DEL PANTALON TENIA UNA PROTUBERANCIA POR LO QUE LE SOLICITO QUE EXHIBA EL CONTENIDO, RESULTANDO SER UNA BOLSITA DE NYLON TRASPARENTE, LA CUAL CONTENIA UNA SUSTANCIA PASTOSA COLOR VERDE, AL PREGUNTARLE SOBRE EL ORIGEN DE LA SUSTANCIA EL PASAJERO MANIFESTO SIC. "ES MARIHUANA". ACTO SEGUIDO SE CONVOCAN AL LUGAR DOS TESTIGOS HABILES Y SE DIRIGEN TODOS LOS MENCIONADOS A LA SALA DE REQUISA SITA EN DICHO PREEMBARQUE, LUEGO DE UNOS MINUTOS SE APERSONO LA PERITO DE TURNO, QUIEN EFECTUO A LA SUSTANCIA UN REACTIVO QUIMICO MARCA NIK QUE ARROJO RESULTADO POSITIVO PARA MARIHUANA. SEGUIDAMENTE SE TRASLADAN TODOS LOS INTEVINIENTES A LA GUARDIA DE PREVENCION. SIENDO LAS 16:57 HORAS SE PROCEDE A LA LIBERACION DEL IMPUTADO, QUIEN SE RETIRA POR SUS MEDIOS CON LOS OBJETOS PERSONALES QUE ESTABAN EN RESGUARDO DE LA UNIDAD. DICHA LIBERACION FUE ORDENADA POR LA JUDICATURA ACTUANTE SIN ESPERAR RESULTADOS DE REINCIDENCIAS.</t>
  </si>
  <si>
    <t>AEROPARQUE / BUENOS AIRES</t>
  </si>
  <si>
    <t>SIENDO LA FECHA Y HORA ANTES MENCIONADA, EN MOMENTOS EN QUE LOS OFICIALES CARABAJAL Y KALENBERG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</si>
  <si>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FECHA Y HORA ANTES MENCIONADA, EN MOMENTOS EN QUE EL OFICIAL CARABAJAL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</si>
  <si>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SALIDAS DE LA TERMINAL A</t>
  </si>
  <si>
    <t>SIENDO LA FECHA Y HORA ANTES MENCIONADA, EN MOMENTOS EN QUE LOS OFICIALES GERBER Y CEJAS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</si>
  <si>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LAS 00:02 DEL DIA 19/06/10, INGRESA POR EL PUESTO DE CONTROL DE ACCESO DPA, EL VICE-PRESIDENTE DE LA REPUBLICA DR. JULIO COBOS. DONDE LO ESPERA LA TRIPULACION DE LA AERONAVE LV-BAN, PROPIEDAD DE LA GOBERNACION DE LA PROVINCIA DE CORDOBA. PARTIENDO A LAS 00:25 CON DESTINO MENDOZA.</t>
  </si>
  <si>
    <t>SIENDO LAS 02:00 HS. ARRIBA A ESTA PROVINCIA EL VICEPRESIDENTE DE LA NACION ARGENTINA, INGENIERO JULIO CESAR CLETO COBOS PROVENIENTE DE LA PROVINCIA DE CORDOBA EN VUELO DE LA GOBERNACION DE CORDOBA, SALIENDO DE ESTA JURISDICCION SIN NOVEDAD.</t>
  </si>
  <si>
    <t>JORGE ARIAS OBARRIO</t>
  </si>
  <si>
    <t>TUNEL FRENTE AL AEROPUERTO.</t>
  </si>
  <si>
    <t>VIADUCTO DE LA AVENIDA SARMIENTO.</t>
  </si>
  <si>
    <t>SIENDO LA HORA MENCIONADA LOS DAMNIFICADOS SE ENCONTRABAN CRUZANDO A PIE EL TUNEL DE LA AVENIDA SARMIENTO DONDE SON INTERCEPTADOS POR DOS MASCULINOS LOS CUALES LES HACEN DETENER SU MARCHA Y LES EXIGEN QUE LES DEN TODAS SUS PERTENENCIAS INSINUANDO POSEER UN ARMA DEBAJO DE SUS ROPAS. LUEGO DE ENTREGARLES LAS PERTENENCIAS LOS INDIVIDUOS LES EXIGEN QUE SE SIENTEN HASTA QUE LOS MISMO SE ALEJEN. POR LO QUE LOS DAMNIFICADOS LUEGO DE UNOS MINUTOS SE LEVANTAN NUEVAMENTE Y SE DIRIGEN HACIA EL PUESTO DE GUARDIA TERMINAL SUR DE ESTA POLICIA DONDE MANIFIESTAN LO SUCEDIDO AL OFICIAL FACIANO DA LA NOVEDAD DE INMEDIATO AL JEFE DE TURNO SALIENTE OFICIAL PAVON EL CUAL SE APERSONO EN EL LUGAR Y TRASLADA LOS DAMNIFICADOS A LA GUARDIA DE PREVENCION A FIN DE RADICAR LA DENUNCIA CORRESPONDIENTE.</t>
  </si>
  <si>
    <t>RAMOS SEBASTIAN</t>
  </si>
  <si>
    <t>SIENDO LAS 21:20 HS, SE RECIBE COMUNICACION POR PARTE DE LA ENCARAGADA DEL PREEMBARQUE NACIONAL, DENOMINADO TERMINAL III, LA CUAL MANIFIESTA QUE UNA PASAJERA HABIA ACTIVADO LA ALARMA DEL PORTICO DETECTOR DE METALES, MOTIVO POR EL CUAL SE PROCEDE A REALIZAR UN CHEQUEO MANUAL, DETECTANDO EN EL BOLSILLO DEL PANTALON DE LA PASAJERA UN BULTO SOSPECHOSO, EL FUNCIONARIO POLICIAL PIDE A LA PASAJERA QUE POR FAVOR, EXHIBA LO QUE TENIA EN EL BOLSILLO, EXTRAYENDO LA MISMA UNA BOLSA DE NYLON COLOR BLANCA, CONTENIENDO EN SU INTERIOR UNA SUSTANCIA DE ORIGEN VEGETAL COLOR VERDOSA. ACTO SEGUIDO SE PROCEDE A REALIZAR UN TEST ORIENTATIVO DE CAMPO PARA MARIHUANA, DANDO RESULTADO POSITIVO. SEGUIDAMENTE SE TRASLADA A LA CAUSANTE Y A TODOS LOS PARTICIPANTES A LA GUARDIA DE PREVENCION PARA COMENZAR LAS DILIGENCIAS CORRESPONDIENTES. POSTERIORMENTE SE PROCEDE A REALIZAR COMUNICACION CON EL JUZGADO EL CUAL ORDENA REALIZAR LAS DILIGENCIAS DE RIGOR. SEGUN P.U. 3739 LA DETENIDA FUE LIBERADA EN HORAS 0700 DEL DIA 19/06/2010, POR NO POSEER IMPEDIMENTOS LEGALES, SE RETIRA CON LOS ELEMENTOS PERSONALES QUE ESTABAN EN RESGUARDO DE LA UNIDAD.</t>
  </si>
  <si>
    <t>AU 2424</t>
  </si>
  <si>
    <t>TAXI TOMADO EN AEROPUERTO JORGE NEWBERY</t>
  </si>
  <si>
    <t>HABIENDO ARRIBADO DEL VUELO DE MENCIÓN EN EL AEROPUERTO JORGE NEWBERY, HACE UNA EXTRACCIÓN DE QUINIENTOS PESOS DE UN CAJERO AUTOMÁTICO BANELCO DEL BANCO HSBC, HABIDO EN DICHO AEROPUERTO, SIN PRECISAR EL LUGAR ESPECIFICO. LUEGO TOMA UN TAXI EL CUAL CONTRATA EN LA VÍA PUBLICA, DEL CUAL RECUERDA QUE SU PATENTE TERMINABA EN 107 Y SE DIRIGE A UN RESTAURANTE DE NOMBRE "PARRILLA 29" DE LA CUIDAD AUTÓNOMA DE BUENOS AIRES, DONDE SE SIENTA EN UNA MESA CON EL CHOFER DEL TAXI Y CONSUMEN ALIMENTOS POR LOS QUE DEBE ABONAR CIEN PESOS. LUEGO SALEN DEL RESTAURANTE Y SE DIRIGEN EN EL VEHICULO TAXI A ESTE MEDIO YA QUE DEBÍA EMBARCAR EN UN VUELO CON DESTINO A LA CIUDAD DE AUCKLAND, DONDE EL TAXISTA LE INDICA QUE DEBÍA ABONAR POR EL VIAJE LA SUMA DE CUATROCIENTOS TREINTA Y CINCO PESOS, MOTIVO POR EL CUAL LA DENUNCIANTE LE INDICA QUE SOLO TENIA CUATROCIENTOS, ACEPTANDO EL TAXISTA EL DINERO, POR LO QUE LA MISMA LE ENTREGA CUATRO BILLETES DE CIEN PESOS. UNA VEZ QUE EL CHOFER TOMA EL DINERO, PASADOS UNOS SEGUNDOS, EL DEVUELVE LOS CUATRO BILLETES MANIFESTANDO QUE ERAN FALSOS. LUEGO LA DENUNCIANTE SE DIRIGE AL CAJERO AUTOMÁTICO LINK DEL BANCO NACIÓN, UBICADO EN EL SECTOR DE ARRIBOS DE LA TERMINAL "A" DE ESTE MEDIO, DONDE HACE UNA EXTRACCIÓN DE CUATROCIENTOS CINCUENTA PESOS ARGENTINOS, CON LOS QUE LUEGO ABONA EL VIAJE AL CHOFER DEL TAXI.</t>
  </si>
  <si>
    <t>3737/10</t>
  </si>
  <si>
    <t>SIENDO LAS 07:00 HORAS SE PROCEDE A LA LIBERACION DE LA IMPUTADA SRA. MORO MARIANA SEGUN LO ORDENADO POR LA JUDICATURA ACTUANTE POR NO MEDIAR IMPEDIMENTO LEGAL VIGENTE EN RESULTADOS OBTENIDOS POR EL REGISTRO NACIONAL DE REINCIDENCIA. ABANDONANDO LA JURISDICCION SIN NOVEDAD.</t>
  </si>
  <si>
    <t>AR 2424</t>
  </si>
  <si>
    <t>T.C.A.</t>
  </si>
  <si>
    <t>INMOBILIARIA TORRES AV. CORRIENTES 3201 C.A.B.A. C.P. 1193 TEL. 44685825 CUENTA 730060408</t>
  </si>
  <si>
    <t>PITER BROWN AV. GENERALISIMO 68 MURCIA, ESPAÑA C.P. 30740 TEL. 677299908</t>
  </si>
  <si>
    <t>EN CIRCUNSTANCIAS QUE SE LLEVABA A CABO EL CONTROL RUTINARIO EN EL SECTOR DE LA BODEGA DE EXPORTACION DE LA TERMINAL DE CARGAS ARGENTINAS, EL INTERVINIENTE OBSERVA EN UNA SACA DE COLOR VERDE SUSTANCIA ORGANICA SIN PODER DETERMINAR DE QUE ELEMENTO SE TRATABA. EN ESTE CONTEXTO, LUEGO DE LAS AUTORIZACIONES JUDICIALES PERTINENTES, SE PROCEDE A LA REQUISA DE LA SACA EN CUESTION, EXTRAYENDO UN BULTO QUE SE DENOMINA COMO PAQUETE, EL CUAL CONTENIA CATORCE CARPETAS QUE A SU VEZ CONTENIAN DOS TUBOS CONFECCIONADOS CON FILM DE NYLON TRANSPARENTE Y CINTA DE EMBALAJE TRANSPARENTE, A LOS CUALES SE LE APLICA UNA PEQUEÑA INCISION, CONTENIENDO SUSTANCIA PULVERULENTA COLOR BLANCO EN CADA UNO DE LOS RESPECTIVOS TUBOS, QUE SOMETIDA A REACTIVO DE CAMPO PARA COCAINA, ARROJO RESULTADO POSITIVO. A TAL EVENTO SE MANTUVO COMUNICACION TELEFONICA CON EL JUZGADO INTERVINIENTE, QUIEN DISPUESTO SE REALICEN TAREAS Y SECUESTROS DE RIGOR, SE LABREN ACTUACIONES SUMARIAS, SE DE INTERVENCION A COMPLEJAS Y SE ELEVE TODO LO ACTUADO EL DIA MARTES 22 DEL CORRIENTE MES Y AÑO.</t>
  </si>
  <si>
    <t>UPS</t>
  </si>
  <si>
    <t>DENISE CARLOS, YERBAL 2854 C.A.B.A.</t>
  </si>
  <si>
    <t>ILEGIBLE</t>
  </si>
  <si>
    <t>EN CIRCUNSTANCIAS QUE SE LLEVABA A CABO EL CONTROL RUTINARIO EN EL SECTOR MENCIONADO, EL INTERVINIENTE OBSERVA EN EL INTERIOR DE LA CAJA MENCIONADA SUSTANCIA ORGÁNICA SIN PODER DETERMINAR DE QUE ELEMENTO SE TRATABA. EN ESTE CONTEXTO, LUEGO DE LAS AUTORIZACIONES JUDICIALES PERTINENTES, SE PROCEDE A LA REQUISA DE LA CAJA EN CUESTIÓN, EXTRAYENDO UN PAQUETE, CONFECCIONADO EN PAPEL CARBONICO, FILM DE NYLON TRANSPARENTE Y CINTA DE EMBALAJE TRANSPARENTE, CONTENIENDO SUSTANCIA PULVERULENTA COLOR BLANCO, QUE SOMETIDA A REACTIVO DE CAMPO PARA COCAÍNA, ARROJO RESULTADO POSITIVO. A TAL EVENTO SE MANTUVO COMUNICACIÓN TELEFÓNICA CON EL JUZGADO INTERVINIENTE, QUIEN DISPUSO SE REALICEN TAREAS Y SECUESTROS DE RIGOR, SE LABREN ACTUACIONES SUMARIAS, SE DE INTERVENCIÓN A COMPLEJAS I Y SE ELEVE TODO LO ACTUADO EL DÍA MARTES 22 DEL CORRIENTE MES Y AÑO.</t>
  </si>
  <si>
    <t>UPS-413</t>
  </si>
  <si>
    <t>SE PROCEDE A LA RETENCION DE UNA SACA COLECTORA DEL CORREO OFICIAL, SEGUN CONSTA EN ACTA DE RETENCION DE CARGAS Nº 0317/10, QUE ORIGINA LA PREVENCION SUMARIA Nº 074/10. LA SACA IDENTIFICADA CON MARBETE Nº SLA8942572E111100CNQ, PRECINTO Nº U950740, CON UN PESO DE 1,300 KGS. CON DESTINO A LA CIUDAD DE CORRIENTES, LA QUE SERIA DESPACHADA A TRAVES DE LA EMPRESA DE CARGA AEREA JET PAQ. LA RETENCION SE REALIZA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t>
  </si>
  <si>
    <t>TRANSITOS - PATIO DE VALIJAS Y BODEGAS DE AERONAVES</t>
  </si>
  <si>
    <t>PUNTOS DE INSPECCION Y REGISTRO</t>
  </si>
  <si>
    <t>EN VIRTUD A LA ORDEN DE SERVICIO NUMERO 070/10 SE PROCEDE A REALIZAR EL ESTRICTO CONTROL SOBRE LOS VUELOS G3-7454 Y G3-7659 AMBOS DE LA EMPRESA AEROCOMERCIAL GOL Y SOBRE LOS VUELOS JJ8009 Y JJ8019 AMBOS DE LA EMPRESA AEROCOMERCIAL TAM. QUE DICHOS CONTROLES COMENZARON A LAS 08:30 HS Y FINALIZARON SIENDO LAS 12:30 HS SIN NOVEDAD.</t>
  </si>
  <si>
    <t>PERGOLA ARRIBOS TERMINAL A.</t>
  </si>
  <si>
    <t>SIENDO LA FECHA Y HORA ANTES MENCIONADA, EN MOMENTOS EN QUE LOS OFICIALES SACOR Y LONGHINI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</si>
  <si>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ISLA TERMINAL A</t>
  </si>
  <si>
    <t>SIENDO LA FECHA Y HORA ANTES MENCIONADA, EN MOMENTOS EN QUE LA OFICIAL HANEMANN SE ENCONTRABA EN UNA RECORRIDA POR EL SECTOR MENCIONADO CON ANTERIORIDAD, OBSERVA Y SORPRENDE A UNA PERSONA DE SEXO MASCULINO, LA CUAL SE ENCONTRABA REALIZANDO SERVICIO DE MALETERO A LOS PASAJEROS, SIN POSEER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</si>
  <si>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3744/10</t>
  </si>
  <si>
    <t>SE PROCEDE A LA APERTURA DE UNA SACA COLECTORA DEL CORREO OFICIAL, SEGUN CONSTA EN ACTA DE RETENCION DE CARGA Nº 317/10 Y ACTA DEJANDO CONSTANCIA Nº 318/10, QUE ORIGINA LA PREVENCION SUMARIA Nº 074/10. LA SACA IDENTIFICADA CON MARBETE Nº SLA8942572E111100CNQ, PRECINTO Nº U950740, CON UN PESO DE 1,300 KGS. CON DESTINO A LA CIUDAD DE CORRIENTES, CONTIENE 01 PIEZA POSTAL, IDENTIFICADA COMO EP687690078AR, RTTE: BLANCA FORMELIANO, DOMICILIADA EN SANTIAGO MORALES 688, SALTA-CAPITAL, CP 4400, DESTINATARIO: GABINO FORMELIANO, DOMICILIADO EN PATRICIO BELTRAN 320, SANTO TOME-CORRIENTES, CP 3340, LA CUAL QUEDA RETENIDA. LA RETENCION SE REALIZA ANTE LA PRESUNCION DE QUE PUDIERA CONTENER ALGUN ELEMENTO EN INFRACCION A LA LEY 23.737 Y/O 22.415. QUEDANDO LA MISMA CERRADA Y EN GUARDA EN ESTA UOSP, SE COMUNICO TELEFONICAMENTE AL JUZGADO INTERVINIENTE Y LA APERTURA SE REALIZARA CON LA AUTORIZACION DEL MAGISTRADO ACTUANTE.</t>
  </si>
  <si>
    <t>DR. ESTEBAN HORACIO MURANO</t>
  </si>
  <si>
    <t>PREEMBERQUE PUERTA NUMERO 1</t>
  </si>
  <si>
    <t>INFORMO QUE EN EL CONTROL DE PASAJEROS DEL VUELO NRO. 2729 DE LA EMPRESA AUSTRAL LINEAS AEREAS SE DETECTA A TRAVES DEL SISTEMA DE INTERPOL EL PEDIDO DE PARADERO VIGENTE SOLICITADO POR EL JUZGADO FEDERAL Nº 2 SECRETARIA Nº 4. ANTE EL HECHO PERSONAL DE INTERPOL REALIZA UN ACTA Y ENTREGA AL JEFE DE TURNO QUIEN CONFECCIONA UN ACTA DE NOTIFICACION DANDO CUMPLIMIENTO A LO REQUERIDO POR EL JUZGADO SOLICITANTE DE LA MEDIDA Y SE NOTIFICA A LA CAUSANTE QUE DEBERA COMPARECER ANTE DICHO JUZGADO DENTRO DE LOS CINCOS DIAS HABILES DE LABRADA LA MISMA PARA REGULARIZAR SU SITUACION JUDICIAL.</t>
  </si>
  <si>
    <t>QUE LUEGO DE ARRIBAR EL VUELO DE MENCIÓN SE HACE PRESENTE EL SECTOR DESCRIPTO A EFECTOS DE RECOGER LAS VALIJAS DESPACHADAS COMO EQUIPAJES FACTURADOS ENTRE LOS CUALES SE ENCONTRABA EL BOLSO DE MENCIÓN. QUE UNA VEZ QUE SE HACE DEL MISMO Y AL NOTAR QUE EL RESTO DE LOS PASAJEROS POSEÍAN FALTANTES EN EL INTERIOR DE SUS EQUIPAJES, EL DAMNIFICADO PROCEDE A LA APERTURA DEL BOLSO ENCONTRANDO EL FALTANTE DEL ELEMENTO DESCRIPTO. POR TAL MOTIVO RADICA EL RECLAMO ANTE LA COMPAÑÍA AÉREA Y LUEGO LA DENUNCIA CORRESPONDIENTE.</t>
  </si>
  <si>
    <t>Bahamas</t>
  </si>
  <si>
    <t>ANDROS TOWN</t>
  </si>
  <si>
    <t>SIENDO LA FECHA Y HORA ANTES MENCIONADA, EN MOMENTOS EN QUE LOS OFICIALES FLEITAS Y GUZZO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</si>
  <si>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CHECK -IN DE LA EMPRESA AEROLINEAS ARGENTINAS</t>
  </si>
  <si>
    <t>FRENTE A LOS MOSTRADORES DE LA EMPRESA AEROLINEAS ARGENTINAS</t>
  </si>
  <si>
    <t>SIENDO LA HORA Y FECHA MENCIONADA SE HACE PRESENTE EN ESTA GUARDIA DE PREVENCION EL DAMNIFICADO MANIFESTANDO QUE SE HIZO PRESENTE EN ESTE AEROPUERTO METROPOLITANO A FIN DE ABORDAR EL VUELO AR 1248, DE LA EMPRESA AEROLINEAS ARGENTINAS CON DESTINO A SAN PABLO BRASIL CON HORARIO DE PARTIDA DE LAS 2020 HORAS, POR LO CUAL SE DIRIGIO HACIA EL SECTOR- A1 A FIN DE REALIZAR EL CHECK IN DE DICHO VUELO. UNA VEZ EN LA FILA EL DENUNCIANTE SE DIO VUELTA UN INSTANTE PARA DARLE UNOS PAPELES AL GUÍA DE TURISMO Y AL VOLVER A SU LUGAR SE PERCATO DE QUE SU BOLSO HABÍA DESAPARECIDO. POSTERIORMENTE SE PRESENTA EN EL TURNO POLICIAL A FIN DE RADICAR LA CORRESPONDIENTE DENUNCIA.</t>
  </si>
  <si>
    <t>NN S/FALSIFICACION DE DOCUMENTOS DESTINADOS A ACREDITAR IDENTIDAD</t>
  </si>
  <si>
    <t>SE RECEPCIONA DE LA DNM A LA PASAJERA EN CUESTION, QUIEN REGISTRA UNA ORDEN DE CAPTURA VIGENTE, EN CAUSA CARATULADA NN S/FALSIFICACION DE DOCUMENTOS DESTINADOS A ACREDITAR IDENTIDAD. EN VIRTUD A ELLO, SE PROCEDE A MANTENER COMUNICACION TELEFONICA CON EL JUZGADO SOLICITANTE DE LA MEDIDA, DISPONIENDO EL MISMO QUE SE REALICE CONSTATACION DE DOMICILIO DE LA CAUSANTE, COMPULSA CON INTERPOL EZEIZA Y CON EL REGISTRO NACIONAL DE REINCIDENCIA Y ESTADISTICA CRIMINAL, PERMANECIENDO LA CAUSANTE EN ESTA DEPENDENCIA A LA ESPERA DE LOS RESULTADOS COMO AFECTADA A ACTUACIONES, SE SECUESTRE EL PASAPORTE DE LA MISMA Y SE LA CITE A COMPARECER A SEDE TRIBUNALICIA DENTRO DE LOS CINCO DIAS HABILES UNA VEZ NOTIFICADA A LOS EFECTOS DE REGULARIZAR SU SITUACION JUDICIAL. UNA VEZ OBTENIDO EL RESULTADO DE LA COMPULSA REALIZADA CON INTERPOL Y REINCIDENCIA LA CUAL ARROJO RESULTADO NEGATIVO CON RESPECTO A IMPEDIMENTOS LEGALES SOBRE LA CAUSANTE QUE RESTRINJA SU LIBRE CIRCULACION, LA MISMA SE RETIRA POR ASI HABERLO DISPUESTO LA JUDICATURA INTERVINIENTE, DE ESTA DEPENDENCIA POLICIAL POR SUS PROPIOS MEDIOS Y CONFORME CON LOS TRATOS RECIBIDOS.</t>
  </si>
  <si>
    <t>SECRETARIA Nº 57</t>
  </si>
  <si>
    <t>EDUARDO CARLOS</t>
  </si>
  <si>
    <t>DR. OMAR ROJAS</t>
  </si>
  <si>
    <t>SANITARIO DE HOMBRES DEL SECTOR ARRIBOS NACIONALES A2</t>
  </si>
  <si>
    <t>SECTOR ARRIBOS NACIONALES A2.</t>
  </si>
  <si>
    <t>SIENDO LAS 01:40 HORAS DEL DIA 20 DE JUNIO DEL 2010 SE RECIBIÓ COMUNICACIÓN VÍA TELEFÓNICA POR PARTE DEL ENCARGADO DE TURNO OF. MAYOR AGUADO, EL CUAL INFORMO QUE SIENDO LAS 01:30 HORAS, EL OF. SANTILLAN ROLANDO QUIEN CUMPLIA FUNCIONES COMO AUXILIAR EN EL PUESTO ARRIBOS A2 LE MANIFESTÓ QUE UNA VEZ FINALIZADOS LOS ARRIBOS EN DICHO SECTOR DEJO CARGANDO SU TELEFONO CELULAR MARCA NOKIA EN EL SANITARIO DE HOMBRES DEL SECTOR MENCIONADO Y PASADOS UNOS MINUTOS LOGRO OBSERVAR QUE UN VIGILADOR DE LA EMPRESA HAS SALIO DEL SANITARIO. POSTERIORMENTE EL OF. SANTILLAN REGRESO AL BAÑO A FIN DE UTILIZAR SU TELÉFONO CELULAR Y SE PERCATO QUE EL MISMO HABÍA DESAPARECIDO CON SU CORRESPONDIENTE CARGADOR. INMEDIATAMENTE SE DIRIGIÓ A LA SALA DE DESCANSO DE LA EMPRESA HAS, DENOMINADO PUESTO BASE. UNA VEZ ALLÍ LOGRO RECORDAR AL ULTIMO EMPLEADO QUE HABÍA EGRESADO DEL SANITARIO Y FRENTE A DOS TESTIGOS HÁBILES LE SOLICITO QUE EXHIBA LOS OBJETOS QUE LLEVASE CONSIGO. ACTO SEGUIDO EL EMPLEADO DE HAS SACO DEL BOLSILLO UN CELULAR MARCA NOKIA, MANIFESTÓ QUE LO HABÍA ENCONTRADO EN EL SANITARIO DEL SECTOR ARRIBOS NACIONALES Y QUE LO IBA A DEVOLVER. PASADOS UNOS MINUTOS SE APERSONO EL ENCARGADO DE TURNO Y SE DIRIGIERON TODOS LOS INTERVINIENTES A LA GUARDIA DE PREVENCIÓN A FIN DE INICIARSE LAS ACTUACIONES DE OFICIO CORRESPONDIENTES. SIENDO LAS 02:10 HORAS SE ENTABLO COMUNICACIÓN CON LA JUDICATURA ACTUANTE QUIEN DISPUSO LAS DILIGENCIAS DE RIGOR Y DE NO MEDIAR IMPEDIMENTOS LEGALES PROCEDER A LA SOLTURA DEL MISMO. SE INFORMA EN PU Nº 3764 DEL DIA 20-06-10 EN HORAS 1300 SE PROCEDE A LA LIBERACION DEL DETENIDO POR NO REGISTRAR IMPEDIMENTO LEGAL ALGUNO, RETIRANDOSE CON LOS ELEMENTOS DE VALOR Y PERSONALES QUE ESTABAN EN RESGUARDO DE LA UNIDAD.</t>
  </si>
  <si>
    <t>INFRACCION LEY 19359</t>
  </si>
  <si>
    <t>EFECTUANDOSE CONTROL DE PREEMBARQUE, SE DETECTA EN EL INTERIOR DE UN EQUIPAJE DE MANO BULTOS DE SUSTANCIA ORGANICA POR LO QUE SE LE CONSULTA AL PASAJERO SOBRE LOS MISMOS, QUIEN REFIERE QUE SE TRATA DE DINERO POR UNA SUMA DE 175.000 DOLARES APROXIMADAMENTE. POR LO CUAL EL JEFE DE TURNO, MANTIENE COMUNICACION JUDICIAL EN LA QUE SE DISPONE EL SECUESTRO DE LAS DIVISAS POR INFRACCION A LEY 19.359. POSTERIORMENTE SE TRASLADAN TODOS JUNTO AL EQUIPAJE HACIA EL TURNO DE GUARDIA PARA LABRAR LAS ACTUACIONES CORRESPONDIENTES. EN DICHA CIRCUNSTANCIA EL PASAJERO INTENTA RETIRARSE DEL LUGAR POR LO QUE ES REDUCIDO Y SE DA INICIO A CAUSA 330-E/10.</t>
  </si>
  <si>
    <t>AR1302</t>
  </si>
  <si>
    <t>ATENTADO, RESISTENCIA Y LESIONES</t>
  </si>
  <si>
    <t>EN MOMENTOS DE CUMPLIMENTARSE DIRECTIVAS IMPARTIDAS POR EL J.N.P ECONOMICO 5, SECRETARIA 9 CONSISTENTES EN EFECTUAR EL SECUESTRO DE DIVISAS POR LEY 19.359, EL PASAJERO INTENTA RETIRARSE RAUDAMENTE DEL LUGAR POR LO QUE PERSONAL POLICIAL, UTILIZA LA FUERZA MINIMA INDISPENSABLE PARA SU REDUCCION Y POSTERIOR TRASLADO. QUE DURANTE ESE INTERIN EL PASAJERO EMBISTE A UN PERSONAL FEMENINO DE LA EMPRESA S.A.S.A HACIENDOLA CAER Y PERSISTE EN SU RESISTENCIA, ENTORPECIENDO EN TODO MOMENTO EL ACCIONAR POLICIAL HASTA SU TRASLADO A LA GUARDIA DE PREVENCION. SEGUIDAMENTE SE ENTABLA COMUNICACION CON LA JUDICATURA INTERVINIENTE QUIEN DISPONE SE LABREN ACTUACIONES SUMARIAS CARATULADAS ATENTADO, RESISTENCIA Y LESIONES, DETENIDO INCOMUNICADO, QUE EL CAUSANTE PODRA HACER USO DEL DERECHO DE DAR AVISO DE SU SITUACION JUDICIAL A UNA PERSONA DE SU CONFIANZA, DECLARACION TESTIMONIAL AL MEDICO QUE LE REALIZARIA LA REVISACION, REGISTROS FILMICOS, TESTIMONIAL A LA TESTIGO QUE FUERA VICTIMA DEL GOLPE, COMPULSA CON INTERPOL Y CON EL REGISTRO NACIONAL DE REINCIDENCIA Y ESTADISTICA CRIMINAL, SE TRASLADE AL CAUSANTE A UN NOSOCOMIO DONDE LE REALICEN EXAMEN PSIQUIATRICO, DOSAJE SANGUINEO DEL CAUSANTE, CONSTATACION DE DOMICILIO, CIERRE Y ELEVACION. SEGUN PU Nº 3773, SIENDO LAS 09.00 DEL DIA 19/06/2010, SE PROCEDIO AL TRASLADO DEL DETENIDO A SEDE JUDICIAL. SEGUN PU Nº 3779, SIENDO LAS 13.30 HORAS DEL DIA 19/06/2010 SE PROCEDIO AL ALOJAMIENTO DEL DETENIDO EN ESTA DEPENDENCIA. EN HORAS 17.00, SE HACE ENTREGA DE LOS EFECTOS DE VALOR Y PERSONALES AL DETENIDO Y SE PROCEDE A SU LIBERACION DEL MISMNO POR ASI HABERLO DISPUESTO LA JUDICATURA INTERVINIENTE MEDIANTE OFICIO, RETIRANDOSE DE ESTA DEPENDENCIA POR SUS PROPIOS MEDIOS, SIN NOVEDAD.</t>
  </si>
  <si>
    <t>SIENDO LAS 08:00 HS SE INICIA CONTROL SE SEGURIDAD CON MOTIVO DE LA PARTIDA DE LA SEÑORA PRESIDENTE DE LA NACION, CRISTINA FERNANDEZ DE KIRCHNER, ARRIBANDO A ESTE AEROPUERTO METROPOLITANO A LAS 10:15 HS, EN HELICOPTERO MATRICULA H-01, Y PARTIENDO EN AERONAVE PRESIDENCIAL MATRICULA T-01, A LAS 10:24 HS. DICHO CONTROL FINALIZO A LAS 10:30 HS, SIN NOVEDAD.</t>
  </si>
  <si>
    <t>PERIMETRO AEROPUERTO, PUESTOS DE CONTROL, PLATAFORMA OPERATIVA</t>
  </si>
  <si>
    <t>EN EL DIA DE LA FECHA SIENDO LAS 10:55 HS ATERRIZO EN ESTE AEROPUERTO INTERNACIONAL ROSARIO ISLAS MALVINAS T-01 TRASLADANDO A LA SEÑORA PRESIDENTA. SIENDO LAS 11:05 DESPEGA H-02 TRASLADANDO A LA SEÑORA PRESIDENTA HACIA LA CIUDAD DE ROSARIO. EL PRESENTE OBEDECE AL CUMPLIMIENTO O.S. 024/10.</t>
  </si>
  <si>
    <t>MULTINIVEL, PRIMER NIVEL</t>
  </si>
  <si>
    <t>QUE EL DIA INDICADO LA DAMNIFICADA UNA VEZ ARRIBADA A ESTE MEDIO, EN EL VUELO AR 1362 DE LA EMPRESA AEROLINEAS ARGENTINAS PROCEDENTE DE ROMA ITALIA, SE DIRIGO AL VEHICULO DE SU NOVIO Y SE RETIRO DEL AEROPUERTO. QUE PASADA UNA HORA SE PERCATO DEL OLVIDO DE SU CARTERA EN UN CARRO TRANSPORTA EQUIPAJES, POR LO QUE EMPRENDIO EL REGRESO A ESTE MEDIO A FIN DE RADICAR LA PRESENTE DENUNCIA.</t>
  </si>
  <si>
    <t>18493/05</t>
  </si>
  <si>
    <t>COCA BRETON, JUAN CARLOS S/RESTRICCION A LA LIBERTAD</t>
  </si>
  <si>
    <t>PUNTO CONTROL DOCUMENTOS</t>
  </si>
  <si>
    <t>INFORMO QUE SIENDO LAS 14:10 HS EN UN CONTROL DE RUTINA DEL PREEMBARQUE DEL VUELO AR 2872 SE IDENTIFICA AL SEÑOR COCA BRETON, JUAN CARLOS DNI 92.950.318 SOBRE QUIEN PESA UN PEDIDO DE PARADERO CON COMPARENDO SEGUN RADIOGRAMA NRO 335/10 -OCPATF. ACTO SEGUIDO SE ENTABLA COMUNICACION TELEFONICA CON EL JUZGADO INTERVINIENTE EN LA PERSONA DEL DR. GUILLERMO GONZALEZ QUIEN POR INTERMEDIO DE S.SA COMUNICA QUE SE NOTIFIQUE AL CAUSANTE QUE CONTINUE SU VIAJE Y A SU REGRESO A LA CIUDAD COMPAREZCA ANTE EL JUZGADO DENTRO DE LAS 72 HS DE SU LLEGADA. SE LABRA ACTA DE NOTIFICACION NRO 10/10 Y EL MISMO FIJA DOMICILIO REAL Y EVENTUAL.</t>
  </si>
  <si>
    <t>3755/10</t>
  </si>
  <si>
    <t>SANITARIO DE HOMBRES DEL SECTOR ARRIBOS NACIONALES.</t>
  </si>
  <si>
    <t>SECTOR RESTRINGIDO DEL SECTOR ARRIBOS NACIONALES.</t>
  </si>
  <si>
    <t>SIENDO LAS 13:00 HORAS, AL NO MEDIAR IMPEDIMENTO LEGAL VIGENTE SE PROCEDE A LA LIBERACION DEL SR. RODRIGUEZ BIZARO AUGUSTO RONAN, RETIRANDOSE DE JURISDICCION POR SUS PROPIOS MEDIOS SIN NOVEDAD.-</t>
  </si>
  <si>
    <t>3759/10</t>
  </si>
  <si>
    <t>POR EL PRESENTE AMPLIO P.U. 3759/10 INFORMANDO QUE SIENDO LAS 15:25HS ARRIBA A ESTE AEROPUERTO H-02 PROCEDENTE DE LA CIUDAD DE ROSARIO TRASLADANDO A LA SEÑORA PRESIDENTE. SIENDO LAS 15:35 DESPEGUE DE ESTE AEROPUERTO T-01 TRASLADANDO A LA SEÑORA PRESIDENTE. EL PRESENTE OBEDECE A CUMPLIMENTAR O.S. 024/10, DE LA CUAL NO SURGEN NOVEDADES A INFORMAR</t>
  </si>
  <si>
    <t>SIENDO LAS 15:00 HS SE INICIA CONTROL DE SEGURIDAD CON MOTIVO DEL ARRIBO DE LA SEÑORA PRESIDENTE DE LA NACION CRISTINA FERNANDEZ DE KIRCHNER , ARRIBANDO A ESTE AEROPUERTO METROPOLITANO A LAS 1609 HS EN EL AVION PRESIDENCIAL T -01 Y PARTIENDO A LAS 16:17 HS EN HELICOPTERO MATRICULA H-01 DICHO CONTROL FINALIZO A LAS 1623 HS SIN NOVEDAD</t>
  </si>
  <si>
    <t>PUESTO DE VENTA DE DIARIOS</t>
  </si>
  <si>
    <t>QUE EN EL DIA DE LA FECHA SE PRESENTA EL DAMNIFICADO INDICANDO QUE SIENDO LAS 08:10 HS APROXIMADAMENTE, SE HIZO PRESENTE A FIN DE ABORDAR EL VUELO Nº AU 2682 DE LA EMPRESA AUSTRAL CON DESTINO A LA CIUDAD DE BARILOCHE. LUEGO DE REALIZAR EL CHECK IN SE DIRIGIO AL PUESTO DE DIARIOS PARA COMPRAR UNA REVISTA DEJANDO APOYADO SOBRE UNA PILA DE REVISTAS UN ESTUCHE DEL TIPO PORTA NOTEBOOK, PERDIENDO DE VISTA EL MENCIONADO ESTUCHE. LUEGO DE ABONAR LA COMPRA, SE PERCATA DEL FALTANTE DE SU PORTA NOTEBOOK. MOTIVO POR EL CUAL SE HACE PRESENTE EN ESTA GUARDIA A RADICAR LA CORRESPONDIENTE DENUNCIA PENAL. SIENDO LAS 14:30 HORAS SE ENTABLA COMUNICACIÓN CON LA JUDICATURA ACTUANTE QUIEN DISPUSO: SE COMISIONE PERSONAL POLICIAL A LA SALA DE VIDEO Y LUEGO AL LUGAR DEL HECHO A LOS EFECTOS DE ENCONTRAR AL POSIBLE AUTOR DEL DELITO, SE SOLICITE REGISTRO FILMICO Y POSTERIOR ENVIO A APOYO TECNOLOGICO DE LA PFA. CIERRE Y ELEVACION DE ACTUACIONES.-</t>
  </si>
  <si>
    <t>JUZGADO NACIONAL DE 1RA. INSTANCIA EN LO CIVIL N° 38</t>
  </si>
  <si>
    <t>ILUNDAIN</t>
  </si>
  <si>
    <t>MIRTA LIDIA</t>
  </si>
  <si>
    <t>DRA.MARIA OFELIA BACIGALUPO</t>
  </si>
  <si>
    <t>NN O ALEGRE PAMELA SOBRE ART. 482 C.C.</t>
  </si>
  <si>
    <t>ALTURA POSICION Nº 23</t>
  </si>
  <si>
    <t>EL OF. TOBAR INFORMA VÍA RADIAL, QUE PERSONAL DE CANES, QUE SE ENCONTRABA A LA ALTURA DEL HIDRANTE 23, JUNTO A UN OPERARIO DE LA EMPRESA HAS, Y A UNA PERSONA DE SEXO FEMENINO, DE LA CUAL SE DESCONOCIA POR DONDE HABIA INGRESADO. LA MISMA DICIA INCOHERENCIAS. SE COMISIONÓ AL LUGAR A LOS OFICIALES. BOONSTRA Y ORCAIZAGUIRRE, QUIENES SE ENTREVISTARON CON EL PERSONAL DE HAS QUIEN INFORMO QUE LA FEMENINO HABÍA SIDO INTERCEPTADA POR UNA TRIPULANTE DE AEROLÍNEAS ARGENTINA AL QUERER SUBIR LAS ESCALERAS DE UNA AERONAVE, ESTA TRIPULANTE FUE LA QUE LE DIO AVISO Y SEGUIDAMENTE ACOMPAÑO A LA PERSONA EN CUESTIÓN CON EL PERSONAL DE CANES. SEGUIDAMENTE EL OF. BOONSTRA, LE PREGUNTO A LA FEMENINA SI ERA PASAJERA O SI ESTABA ESPERANDO ALGÚN FAMILIAR, CONTESTÁNDOLE CON INCOHERENCIAS. UNA VEZ EN LA GUARDIA SE INTENTA IDENTIFICAR A LA FEMENINO MANIFESTANDO, QUE NO RECORDABA SU NRO. DE DOCUMENTO, QUE SU PADRE ERA OFICIAL ALBAÑIL, QUE VIVE EN LA CALLE OLLEROS 4558, TORRE 1 PISO 2º. SIENDO LAS 14:40 HORAS ES ATENDIDA EN ESTA GUARDIA DE PREVENCIÓN POR EL DR. FABIÁN OSCAR BUR MN. 102030, QUIEN INFORMA QUE LA PACIENTE ESTA LUCIDA UBICADA EN TIEMPO Y ESPACIO, CON RELATOS DE HECHOS INCOHERENTES, QUE SE SOLICITA EVALUACIÓN PSIQUIATRITA URGENTE Y SOLO PRESENTA EN SUS PIES TRAUMATISMOS VISIBLES. A SU VEZ EMITIÓ UN CERTIFICADO MEDICO, SE LE DEBERÍAN REALIZAR CURACIONES, SOLICITANDO QUE SE LA TRASLADE AL CONSULTORIO MEDICO PARA TAL FIN. SIENDO LAS 15:00HS, SE REALIZA COMUNICACIÓN CON LA JUDICATURA ACTUANTE,LA CUAL DISPONE: SE TRASLADE A LA SRA. PAMELA ALEGRE AL SERVICIO MEDICO A FIN DE REALIZARLE LAS CURACIONES Y QUE LUEGO SE LA TRASLADE JUNTO CON UNA COMISIÓN POLICIAL HACIA EL SOE (SERVICIO DE ORIENTACIÓN Y EVALUACIÓN) DEL INSTITUTO NEUROSIQUIÁTRICO DR. BORDA, QUE SE CARATULE A LA CAUSA COMO "NN O PAMELA ALEGRE SOBRE ART 482 DEL C.C". UNA VEZ EN EL SERVICIO MEDICO, LA MENCIONADA COMIENZA CON ALTERACIONES NERVIOSAS TOMANDO OBJETOS Y ARROJÁNDOLOS AL SUELO, POR LO QUE EL PERSONAL POLICIAL LOGRA CONTROLARLA Y EL FACULTATIVO LE APLICA UNA INYECCIÓN DE DIAZEPAM POR DIEZ MILIGRAMOS, NO PUDIENDO REALIZAR LAS CURACIONES PERTINENTES. SIENDO LAS 16:00 HORAS SE ENTABLA NUEVA COMUNICACIÓN CON LA DRA. BACIGALUPO, A QUIEN SE LE INFORMA DE ESTE HECHO Y QUIEN ORDENA QUE SE HAGA EL TRASLADO HACIA EL SOE Y SE LE REALICE NUEVA COMUNICACIÓN UNA VEZ OBTENIDO EL DIAGNOSTICO. INMEDIATAMENTE SE COMISIONA A LAS OFICIALES VALDIVIESO Y ORCAIZAGUIRRE A TRASLADAR A LA SRA. ALEGRE HACIA EL SOE (SERVICIO DE ORIENTACIÓN Y EVALUACIÓN) DEL INSTITUTO NEUROSIQUIÁTRICO DR. BORDA, PARA SU EVALUACIÓN. SIENDO LAS 17:00 HORAS LA OF. VALDIVIESO INFORMA QUE LA CAUSANTE FUE DERIVADA AL HOSPITAL MOYANO. UNA VEZ EN EL MENCIONADO NOSOCOMIO SE LE REALIZO UN DIAGNOSTICO GRAL. POR PARTE DE LA DRA. FERRARI, JEFA DE TURNO DEL HOSPITAL, MANIFESTANDO QUE SERIA DESCOMPENSACIÓN PSICOTICA Y QUE DEBERÍA PERMANECER INTERNADA EN DICHO NOSOCOMIO EN OBSERVACIÓN PARA NUEVA EVALUACIÓN. SEGUIDAMENTE A LAS 17:25 HORAS SE ENTABLA NUEVA COMUNICACIÓN CON LA DRA. BACIGALUPO A QUIEN SE LE INFORMO ACERCA DE LO DIAGNOSTICO Y QUIEN DISPONE SE REALICE ACTUACIONES CONFORME A AVERIGUAR SU DOMICILIO Y/O FAMILIAR MEDIANTE EL SISTEMA C.O.P. (CENTRO DE ORIENTACIÓN DE LAS PERSONAS), Y QUE EL DÍA MARTES 22 DEL CORRIENTE MES Y AÑO A PRIMERA HORA SE LE ELEVEN LAS ACTUACIONES.</t>
  </si>
  <si>
    <t>CR1582/03</t>
  </si>
  <si>
    <t>QUE EL DIA INDICADO LA DNM DE EZEIZA REMITE MEDIANTE NOTA DE ESTILO A LA PASAJERA EN CUESTION JUNTO CON SU HIJA DE DOS AÑOS, POR REGISTRAR UN PEDIDO DE CAPTURA DE ALCANCE INTERNACIONAL SOLICITADO POR INTERPOL LIMA. ANTE TAL CIRCUNSTANCIA QUIEN SUSCRIBE MANTUVO COMUNICACION CON EL MAGISTRADO INTERVINIENTE INDICANDO QUE LA CAUSANTE PERMANEZCA DETENIDA COMUNICADA, SE LABREN ACTUACIONES DE RIGOR, NOTA REGISTRO NACIONAL DE REINCIDENCIA Y ESTADISTICA CRIMINAL, NOTA INTERPOL CAVIA E INTERPOL EZEIZA, CONSULTA ANTE ASUNTOS INTERNACIONALES DEPENDIENTE DE LA PFA, 5 JUEGOS DE FICHAS Y FOTOS DEL CAUSANTE, SE ARBITREN LOS MEDIOS NECESARIOS PARA SALVAGUARDAR LA INTERIDAD FISICA DE LA MENOR Y SE ACONDICIONE LUGAR DE EPRMANENCIA EN LA DEPENDENCIA DE LA MENOR JUNTO A SU MADRE, INTERVENCION AL CONSULADO DE LA REPUBLICA DEL PERU, ELEVACION DE LAS ACTUACIONES, SECUESTROS, DETENIDA Y SU HIJA EL DIA 21/06/2010 EN HORAS DE LA MAÑANA HACIA SEDE JUDICIAL. SEGUN PU N° 3772, SIENDO LAS 09.00 HS DEL DIA 21/06/2010, SE PROCEDIO AL TRASLADO DE LA DETENIDA A SEDE JUCIAL. SEGUN PU N°3783, SIENDO LAS 17.20 HS DEL DIA 21/06/2010 SE PROCEDIO AL ALOJAMIENTO DE LA DETENIDA EN ESTA DEPENDENCIA EN CALIDAD DE COMUNICADA SEGUN LO SOLCIITADO PRO LA JUDICATURA INTERVINIENTE. SE EFECTUO LA ENTREGA DE LA MENOR A SU PADRE PREVIA ACREDITACION DEL VINCULO DE PARENTESCO DESDE EL ASIENTO DE ESTA DEPENDENCIA JUNTAMENTE CON LA MUDA DE ROPA DE LA MENOR. LOS EFECTOS DE VALOR DE LA DETENIDA PERMANECEN EN RESGUARDO A DISPOSICION JUDICIAL. SEGUN PU N° 3803, SIENDO LAS 11.15 HORAS DEL DIA 22/06/2010 SE RECEPCIONO COMUNICACION TELEFONICA POR PARTE DE LA JUDICATURA INTERVINIENTE INDICANDO QUE SE TRASLADE A LA CAUSANTE A SEDE JUDICIAL CON EL FIN DE RECIBIR AUDITORIA Y ENTREVISTARSE CON SU ABOGADO. SIENDO LAS 12.20 HS SE TRASLADA A LA CAUSANTE A SEDE JUDICIAL, REGRESANDO LA COMISION EN HORAS 17.20 A ESTA DEPENDENCIA QUEDANDO ALOJADA. SE RECIBIO OFICIO JUDICIAL DISPONIENDO QUE SE PROCEDA AL TRASLADO DE LA DETENIDA EL DIA 23/06/2010 A LAS 11.00 HORAS AL ASIENTO DE ESA MAGISTRATURA.</t>
  </si>
  <si>
    <t>OFICINA DE LA EMPRES IPAX S.A.</t>
  </si>
  <si>
    <t>PASILLO QUE UNE EL SECTOR B CON EL SECTOR C</t>
  </si>
  <si>
    <t>SIENDO LA HORA Y EL DÍA ANTES MENCIONADO, SE HACE PRESENTE EN ESTA GUARDIA DE PREVENCIÓN UNA PERSONA QUE DESEA REALIZAR UNA DENUNCIA, DICIENDO QUE SIENDO APROXIMADAMENTE LAS 04:00 HORAS SE HIZO PRESENTE EN ESTE AEROPARQUE METROPOLITANO, PARA COMENZAR CON SU LABOR COMO ENCARGADO DE TURNO DE LA EMPRESA IPAX S.A. Y CUANDO SE DIRIGIÓ A LA OFICINA UBICADA ENTRE EL SECTOR B Y EL SECTOR C, ENCONTRÓ LA PUERTA DE LA MISMA ABIERTA Y CON LA LUZ PRENDIDA, Y AL INGRESAR, LOGRO PERCATARSE QUE ENFRENTE A LA PUERTA SE ENCONTRABAN ESPARCIDAS ALGUNAS COSAS DE LIBRERÍA EN UNA SILLA DE ESCRITORIO, Y QUE AL GIRAR OBSERVO QUE LA CAJA FUERTE NO SE ENCONTRABA, Y QUE SOLO HABÍAN QUEDADO LOS AGUJEROS EN LA PARED EN LA QUE SE ENCONTRABA AMURADA, QUE DEBAJO DE ESTA HABÍA UNA SILLA SOBRE LA CUAL SE ENCONTRABA UNA BARRETA DE HIERRO, QUE APARENTEMENTE FUE UTILIZADA PARA SACAR LA CAJA CON VALORES. FRUTO DE LA RECAUDACIÓN DE LOS DÍAS 14 AL 19 DE JUNIO DEL CORRIENTE AÑO. SIENDO LAS 07:45 HORAS SE REALIZA COMUNICACIÓN CON LA JUDICATURA ACTUANTE QUIEN UNA VEZ INFORMADA DE LOS HECHOS ACAECIDOS DISPONE: QUE SE MANTENGA LA CUSTODIA POLICIAL EN LA PUERTA DE LA OFICINA DE LA EMPRESA IPAX SA, SE CURSE NOTA A LEVANTAMIENTO DE RASTROS DE LA PFA A LOS EFECTOS DE QUE SE APERSONE PERSONAL DE ESA REPARTICIÓN EN LA OFICINA DE DICHA EMPRESA PARA REALIZAR LAS TAREAS QUE SEAN CONVENIENTES, FINALIZADAS LAS MISMAS SE DEBERÁ CONFECCIONAR EL CORRESPONDIENTE INFORME, SE RECEPCIONE DECLARACIÓN TESTIMONIAL A TODO EL PERSONAL QUE INGRESO A LA OFICINA DE LA EMPRESA LUEGO DEL EPISODIO COMO ASÍ TAMBIÉN A TODA PERSONA QUE CREA CONVENIENTE A LOS EFECTOS DE ESCLARECER EL HECHO DENUNCIADO, SOLICITAR REGISTRO FÍLMICO Y QUE EL DUEÑO DE LA EMPRESA IPAX SA EN COMPAÑÍA DE PERSONAL POLICIAL, SE DIRIJA A LA SALA DE VIDEO DE ESTE AEROPUERTO CON EL OBJETIVO DE LOGRAR RECONOCER AL AUTOR O A LOS AUTORES. SIENDO LAS 11:20 HORAS SE REALIZA NUEVAMENTE COMUNICACIÓN CON LA JUDICATURA ACTUANTE INFORMÁNDOLE QUE SE HIZO PRESENTE EN ESTE AEROPUERTO PERSONAL PERTENECIENTE A LA DIVISIÓN LEVANTAMIENTO DE RASTROS DE LA PFA, POR LO CUAL SE LEVANTO LA CONSIGNA POLICIAL, SE REALIZO SECUESTRO DE UNA BARRETA DE HIERRO Y UNA CIERRA DE ESTRUCTURA METÁLICA JUNTO CON UN GUANTE DE TELA COLOR BLANCO, ANTE LO CUAL ORDENA QUE SE REANUDE LA ACTIVIDAD EN DICHA EMPRESA Y QUE EL REGISTRO FÍLMICO SEA ENVIADO A LA DIVISION APOYO TECNOLÓGICO DE LA PFA.</t>
  </si>
  <si>
    <t>SECTOR A1-BAR TIENDA DE CAFÉ</t>
  </si>
  <si>
    <t>SECTOR A1 PLANTA BAJA</t>
  </si>
  <si>
    <t>QUE EL DIA 17 DE JUNIO DEL CORRIENTE AÑO EL DAMNIFICADO SIENDO LAS 0820 HORAS SE HIZO PRESENTE EN ESTE AEROPUERTO METROPOLITANO A FIN DE EMBARCAR EN EL VUELO AR 1442 DE LA EMPRESA AEROLINEAS ARGENTINAS CON DESTINO A LA CIUDAD DE LA RIOJA, EL CUAL PARTIA A LAS 1240 HORAS. DEBIDO A QUE EL DAMNIFICADO HABIA ARRIBADO A ESTA AEROESTACION CON MUCHO TIEMPO DE ANTELACION AL VUELO SE DIRIGIO JUNTO A COLEGAS AL BAR TIENDA DE CAFE UBICADO EN EL SECTOR A1 PLANTA BAJA, DONDE OBSERVO EL PARTIDO DE FUTBOL DE LA SELECCION ARGENTINA. SIENDO LAS 1030 HORAS VISTO QUE TENIA QUE HACER EL CHECK IN PARA DESPACHAR EQUIPAJE, ABONO LA CONSUMICION Y SE PERCATO DEL FALTANTE DE LA CAMPERA LA CUAL HABIA DEJADO COLGADA DEL RESPALDO DE LA SILLA.</t>
  </si>
  <si>
    <t>3769/10</t>
  </si>
  <si>
    <t>1582/03</t>
  </si>
  <si>
    <t>BOXES MIGRATORIOS DE PARTIDA</t>
  </si>
  <si>
    <t>QUE SIENDO LAS 9:00 HS. DEL DIA DE LA FECHA SE PROCEDIO AL TRASLADO DEL DETENIDO A SEDE JUDICIAL EN UN MOVIL DE ESTA DEPENDENCIA. PTO.-</t>
  </si>
  <si>
    <t>Contra el Orden Publico</t>
  </si>
  <si>
    <t>3757/10</t>
  </si>
  <si>
    <t>ATENTADO A RESISTENCIA Y LESIONES</t>
  </si>
  <si>
    <t>PREEMBARQUE TERMINAL B - TRASLADO GUARDIA DE PREVENCION</t>
  </si>
  <si>
    <t>QUE SIENDO LAS 09:00 HS. DEL DIA DE LA FECHA SE PROCEDIO AL TRASLADO DEL DETENIDO A SEDE JUDICIAL DESDE EL ASIENTO DE ESTA DEPENDENCIA EN UN MOVIL DE DOTACION Y BAJO CUSTODIA DE PERSONAL POLICIAL DE ESTE DEPENDENCIA. PTO.-</t>
  </si>
  <si>
    <t>PREEMBARQUE NACIONAL - TERMINAL III</t>
  </si>
  <si>
    <t>SIENDO LAS 08:35 HS, SE RECIBE COMUNICACION POR PARTE DEL ENCARGADO DE LA TERMINAL III, EL CUAL MANIFIESTA QUE UN PASAJERO HABIA ACTIVADO LA ALARMA DEL PORTICO DETECTOR DE METALES, MOTIVO POR EL CUAL SE PROCEDE A REALIZAR UN CHEQUEO MANUAL, DETECTANDO EN EL BOLSILLO IZQUIERDO DELANTERO DEL PANTALON DEL PASAJERO UN BULTO SOSPECHOSO, EL FUNCIONARIO POLICIAL PIDE AL PASAJERO QUE POR FAVOR, EXHIBA LO QUE TENIA EN EL BOLSILLO, EXTRAYENDO LA MISMA UNA BOLSA DE NYLON COLOR VERDE, CONTENIENDO EN SU INTERIOR UNA SUSTANCIA DE ORIGEN VEGETAL COLOR VERDOSA. SE PROCEDE A REALIZAR UN TEST ORIENTATIVO DE CAMPO CON LA UTILIZACION DE REACTIVO QUIMICO IDENTA PARA MARIHUANA, DANDO ESTE RESULTADO POSITIVO. SE PROCEDE A REALIZAR COMUNICACION CON EL JUZGADO EL CUAL ORDENA REALIZAR LAS DILIGENCIAS DE RIGOR, Y REALIZAR NUEVA COMUNICACION UNA VEZ OBTENIDO EL RESULTADO DEL REGISTRO NACIONAL DE REINCIDENCIA. SEGUN P.U. 3780, EN HORAS 1735 DEL DIA 21/06/2010, EL DETENIDO ES LIBERADO POR NO MEDIAR IMPEDIMENTOS LEGALES. SE RETIRA CON LOS ELEMENTOS PERSONALES Y DE VALOR QUE ESTABAN EN RESGUARDO DE LA UNIDAD.</t>
  </si>
  <si>
    <t>AU 2630</t>
  </si>
  <si>
    <t>BOX DE LA DIRECCION NACIONAL DE MIGRACIONES DE INGRESO AL TERRITORIO NACIONAL DE LA TERMINAL A</t>
  </si>
  <si>
    <t>QUE SIENDO LAS 09:30 DEL DIA DE LA FECHA PERSONAL DE LA D.N.M. REMITIO A ESTA DEPENDENCIA A UN SUJETO MASCULINO JUNTO CON PASAPORTE DE GUATEMALA NUMERO 000096195 A NOMBRE DE FELIX ANGEL GAMARRO. ASIMISMO DICHO SUJETO PROVENIA DE FRANCIA EN CALIDAD DE EXPULSADO DEBIDO A QUE DICHA DOCUMENTACION ERA APOCRIFA. QUE EN DEPENDENCIA DE LA D.N.M. DICHO SUJETO MANIFESTO SER DE NACIONALIDAD COLOMBIANA Y LLAMARSE PABLO FERNANDEZ, PASAPORTE DE COLOMBIA NUMERO 80.426.268, QUE MANTENIDA COMUNICACION CON EL JUZGADO INTERVINIENTE EL MISMO ORDENO LA REMISION DEL CAUSANTE A LA D.N.M. EN VIRTUD DEL ART. 29, INCISO K, EN FUNCION DEL A DE LA LEY 25.871. QUE EL CAUSANETE FUE REMITIDO A LA D.N.M. A LAS 11:20 HS. DEL DIA DE LA FECHA, JUNTO CON LA DOCUMENTACION REMITIDA. PTO.-</t>
  </si>
  <si>
    <t>AF-418</t>
  </si>
  <si>
    <t>LESIONES LEVES</t>
  </si>
  <si>
    <t>PERGOLA DE SALIDAS DE PASAJEROS DE LA TERMINAL A</t>
  </si>
  <si>
    <t>QUE EN EL DIA DE LA FECHA SE HIZO PRESENTE EL DENUNCIANTE MANIFESTANDO QUE UNA COMPAÑERA DE TRABAJO DE NOMBRE PATRICIA OLIVERA, LA CUAL SE ENCONTRABA EN EL SECTOR DE LA MAQUINA DE EMBALAJE DE LA EMPRESA SECURE BAG HABIDA EN EL SECTOR DE MENCION, LE PROPINO VARIOS GOLPES DE PUÑO Y A SU VEZ LE ARROJO UN TELEFONO CELULAR EN LA FRENTE. QUE NO PRESENTA LESIONES VISIBLES SEGUN SE DESPRENDE DE INFORME MEDICO PRECARIO EMITIDO POR SANIDAD DE ESTE AEROPUERTO. QUE LA AGRESION TUVO ORIGEN CON MOTIVO DE UNA DISCUSION LABORAL. QUE POR ORDEN DE LA U.F.I. NO SE DEBIO IMPUTAR A ESTA ALTURA DEL PROCEDIMIENTO A LA CAUSANTE DE LAS AGRESIONES. PTO.-</t>
  </si>
  <si>
    <t>PATIO DE VALIJAS TERMINAL A, 1ER PISO TERMINAL A Y PLATAFORMA OPERATIVA</t>
  </si>
  <si>
    <t>EN VIRTUD A LA ORDEN DE SERVICIO Nº 361/10 DE LA URSA 1 Y ORDEN DE SERVICIO Nº 070 DE ESTA UOSP EZEIZA, SE PROCEDE AL CONTROL DEL VUELO DE LA EMPRESA AEROCOMERCIAL TAM LÍNEAS AÉREAS JJ8019, EL MISMO SE LLEVO A CABO SOBRE 32 PASAJEROS CON DESTINO A SAN PABLO BRASIL O QUE REALIZARÍAN OTRAS ESCALAS EN CUMPLIMIENTO A LO ORDENADO TAMBIÉN SE CHEQUEAN LOS EQUIPAJES DESPACHADOS A BODEGA AL IGUAL QUE SE CONTROLA EL PERSONAL DE LA EMPRESA DE INTERCARGO QUE PRESTA SERVICIO DE RAMPA EN ESTE VUELO. TODOS ESTOS CONTROLES FUERON REALIZADOS SIN PRESENTAR NOVEDAD. CON RESPECTO AL VUELO DE LA EMPRESA AEROCOMERCIAL GOL G3769 EL CUAL DESPEGA DE ESTA AEROESTACIÓN A LAS 15:40HS SE REALIZA CONTROL SOBRE 1 PASAJERO DE NACIONALIDAD BRASILERA QUE SE ENCONTRABA EN TRANSITO, SE CHEQUEA EL EQUIPAJE ENVIADO A BODEGA AL IGUAL QUE SE REALIZA CONTROL SOBRE EL PERSONAL DE LA EMPRESA INTERCARGO QUE PRESTA SERVICIO DE RAMPA EN EL VUELO ANTES MENCIONADO. QUE TODOS ESTOS CONTROLES FUERON REALIZADOS SIN PRESENTAR NOVEDAD.</t>
  </si>
  <si>
    <t>3773/10</t>
  </si>
  <si>
    <t>QUE SIENDO LAS 13:30 HS. DEL DIA DE LA FECHA SE PROCEDIO AL ALOJAMIENTO DEL DETENIDO EN AUTOS EN EL ASIENTO DE ESTA DEPENDENCIA Y DE ACUERDO CON OFICIO JUDICIAL EMITIDO POR EL JUZGADO INTERVINIENTE SE PROCEDIO A LA ENTREGA DE LOS EFECTOS DE VALOR Y PERSONALES SECUESTRADOS Y A LA LIBERACION DEL MISMO, LA CUAL SE EFECTIVIZO DESDE EL ASIENTO DE ESTA DEPENDENCIA. QUE EL DETENIDO SE RETIRO DE ESTA DEPENDENCIA EN EL HORARIO DE LAS 17:00 HS. PRO SUS PROPIOS MEDIOS Y CONFORME CON LOS TRATOS RECIBIDOS. PTO.-</t>
  </si>
  <si>
    <t>3774/10</t>
  </si>
  <si>
    <t>SIENDO LAS 17:35 HORAS SE PROCEDE A LA LIBERACION DEL IMPUTADO SR. SANCHEZ PABLO LEONEL SEGUN LO ORDENADO POR LA JUDICATURA ACTUANTE POR NO MEDIAR IMPEDIMENTO LEGAL VIGENTE EN RESULTADOS OBTENIDOS POR EL REGISTRO NACIONAL DE REINCIDENCIA. ABANDONANDO LA JURISDICCION SIN NOVEDAD.</t>
  </si>
  <si>
    <t>AR 2630</t>
  </si>
  <si>
    <t>MAQUINA EMBALADORA Nº 6 DE LA EMPRESA TRUE STAR</t>
  </si>
  <si>
    <t>PERGOLA DE LA TERMINAL A</t>
  </si>
  <si>
    <t>EN CIRCUNSTANCIAS QUE SE ENCONTRABA CUMPLIENDO CON SUS FUNCIONES LABORALES, SIENDO ESTAS DE VENDEDORA DE SEGUROS PARA EQUIPAJE EN LA EMPRESA TURE STAR, EL SUPERVISOR DE TURNO DE LA FIRMA, GONZALO TOBARIAS, LE INFORMA QUE HABÍA DESCUBIERTO UNA NUEVA FORMA DE BLOQUEAR EL SISTEMA DE LA COMPUTADORA DE LAS MAQUINAS EMBALADORAS DE VALIJAS A TRAVÉS DE DOS PEN DRIVES QUE POSEÍA EN EL LOCKER QUE SE ENCUENTRA DETRÁS DE LA MAQUINA EMPAQUETADORA EN CUESTIÓN Y ASÍ PODER CON LOS MISMOS BORRAR DEL SISTEMA LAS VALIJAS EMBALADAS QUE SE ENCONTRABAN EN EL ARCHIVO DEL MISMO, PUDIÉNDOSE QUEDAR DE MANERA CONSECUENTE CON EL DINERO DE LAS QUE HAYA SUPRIMIDO. EN ESTE CONTEXTO LA DENUNCIANTE LE MANIFIESTA QUE NO ESTA DE ACUERDO CON LO QUE LE INFORMABA EL SEÑOR TOBARIAS Y QUE INVOLUCRARÍA EN PROBLEMAS CON LA EMPRESA A MUCHOS DE LOS QUE TRABAJAN EN EL LUGAR. EN TAL SENTIDO EL SUPERVISOR LE MANIFIESTA "SOS UNA CAGONA, NO TE ANIMAS A HACER ESTO, HACE LO QUE QUIERAS ARREGLATELA SOLA" (SIC.). A TAL EVENTO LA DENUNCIANTE LE MANIFIESTA QUE LE VA A CONTAR TODO A LA SRA. ANDREA TORRES, PERTENECIENTE A LA JEFATURA DE LA EMPRESA, Y LE MOSTRARÍA LOS PEN DRIVES CITADOS PRECEDENTEMENTE. A TAL EVENTO LA DENUNCIANTE PROCEDE A CONDUCIRSE HACIA EL LOCKER QUE SE ENCUENTRA DETRÁS DE LA MAQUINA EMBALADORA EN CUESTIÓN, A LOS EFECTOS DE BUSCAR LOS PEN DRIVES Y LLEVÁRSELOS A LA SRA. TORRES. EN ESTE CONTEXTO EL SR. TOBARIAS LE OBSTRUYE EL PASO HACIA EL LOCKER Y COMIENZA A FORCEJEAR CON EL MISMO, SOLICITÁNDOLE EL SR. TOBARIAS A UN COMPAÑERO DE NOMBRE EMANUEL ALMIRON, QUE SE ENCONTRABA EN EL LUGAR, QUE AGARRE LOS PEN DRIVES QUE SE ENCONTRABAN EN EL LOCKER Y LOS ARROJE POR EL INODORO DE ALGUNOS DE LOS BAÑOS. EN EFECTO, EL SR. EMANUEL ALMIRON TOMA LOS PEN DRIVES QUE SE ENCONTRABAN EN EL LOCKER Y POSTERIORMENTE SE DIRIGE HACIA EL BAÑO QUE SE ENCUENTRA FRENTE AL CHECK IN NUMERO 01 DE LA TERMINAL "A" DE ESTE MEDIO, LUGAR DONDE HABRÍA HECHO LO SOLICITADO POR EL SR. TOBARIAS.</t>
  </si>
  <si>
    <t>NORBERTO DARIO VELIZ</t>
  </si>
  <si>
    <t>DAÑO INTENCIONAL</t>
  </si>
  <si>
    <t>SECTOR SUR ANEXO COLINDANTE CON EL AEROPUERTO</t>
  </si>
  <si>
    <t>EN EL DIA DE LA FECHA SIENDO HORAS 17.30 SE PRESENTA SEÑOR CAJAL MURICIO TECNICO DE LA ANAC QUIEN RADICA DENUNCIA POR ROTURA DE LA ALARMA PERIMETRAL DEL RBI MM MARCADOR MEDIO DEL COMPONENTE ILS DE ESTE AEROPUERTO. NOS DIRIGIMOS AL LUGAR DEL HECHO REALIZANDO UNA INSPECCION VISUAL EN BUSCA DE RESPONSABLES ARROJANDO EL MISMO RESULTADOS NEGATIVOS . PROCEDO A FOTOGRAFIAR LOS DAÑOS REALIZADOS AL MISMO EFECTUANDO COMUNICACION TELEFONICA AL JUZGADO DE TURNO SIN LOGRAR RESPUESTA AL MOMENTO.</t>
  </si>
  <si>
    <t>3772/10</t>
  </si>
  <si>
    <t>QUE SIENDO LAS 17:20 HS. DEL DIA DE LA FECHA SE PROCEDIO AL ALOJAMIENTO DE LA DETENIDA EN EL ASIENTO DE ESTA DEPENDENCIA DE ACUERDO CON OFICIO JUDICIAL REMITIDO POR EL JUZGADO INTERVINIENTE, EN CALIDAD DE COMUNICADA. ASIMISMO SE PROCEDIO A HACER ENTREGA DE LA MENOR A SU PADRE, PREVIA ACREDITACION DEL VINCULO DE PARENTESCO DESDE EL ASIENTO DE ESTA DEPENDENCIA, JUNTAMENTE CON LA MUDA DE ROPA DE LA MENOR OPORTUNAMENTE SECUESTRADA. ASIMISMO SE REMITIO A ESTA DEPENDENCIA LOS EFECTOS DE VALOR DE LA DETENIDA, LOS CUALES PERMANECEN EN RESGUARDO A DISPOSICION JUDICIAL. PTO.-</t>
  </si>
  <si>
    <t>SIENDO LA HORA INDICADA EL DENUNCIANTE ARRIBA AL TERRITORIO NACIONAL Y AL MOMENTO DE RETIRAR EL EQUIPAJE DESPACHADO A BODEGA EN EL AEROPUERTO DE ORIGEN SE PERCATA DE QUE EL MISMO POSEIA EL CANDADO ROTO Y QUE DE SU INTERIOR FALTABA UNA COMPUTADORA PORTATIL, MOTIVO POR EL CUAL RADICA LA CORRESPONDIENTE DENUNCIA.</t>
  </si>
  <si>
    <t>Austria</t>
  </si>
  <si>
    <t>VIENA</t>
  </si>
  <si>
    <t>SIENDO LAS 01:18 HORA LOCAL ARRIBA AERONAVE MATRICULA LV - BRY DE LA EMPRESA LAN ARGENTINA PROCEDENTE DE AEROPUERTO JORGE NEWBERY EN CUYAS BODEGAS 11,12,13,31,32 Y 42 SE DESPACHAN 243 CAJAS CON UN PESO BRUTO DE 5.589 KILOGRAMOS DE METAL - MTD - PERTENECIENTES A LA EMPRESA MINERA CERRO VANGUARDIA. EL VUELO DESPEGA A LAS 03:09 SIN NOVEDAD. SE DIO CUMPLIMIENTO A ORDEN DE SERVICIO NRO 0054/2010.</t>
  </si>
  <si>
    <t>MOSTRADORES DE CHECK-IN DE LA EMPRESA AEROLINEAS ARGENTINAS, CONTIGUO A LA PUERTA Nº 50</t>
  </si>
  <si>
    <t>SIENDO LAS 1830 HORAS, EL DAMNIFICADO SE HIZO PRESENTE EN ESTE MEDIO A LOS EFECTOS DE VIAJAR AL REINO DE ESPAÑA EN EL VUELO AR 1132. QUE UNA VEZ PRESENTE EN LOS MOSTRADORES DE CHECK-IN DE LA EMPRESA AEROLINEAS ARGENTINAS, CERCANO A LA PUERTA 50, PREVIO AL INGRESO AL HALL DE PARTIDAS DE LA TERMINAL B, PROCEDE A PESAR SUS EQUIPAJES, DEJANDO SOBRE EL CARRO PORTAMALETAS SU EQUIPAJE DE MANO. QUE HABIENDOLO PERDIDO DE VISTA POR UNOS POCOS SEGUNDOS, DIRIGE NUEVAMENTE SU VISTA HACIA EL CARRO PERCATANDOSE EN ESE ACTO EL FALTANTE DE DICHO EQUIPAJE.</t>
  </si>
  <si>
    <t>MOLINA ORLANDO</t>
  </si>
  <si>
    <t>SIENDO APROXIMADAMENTE 08:20 SE DETECTA UN BOLSO DE COLOR NEGRO DE TELA, EL CUAL SE ENCONTRABA EN EL HALL CENTRAL FRENTE A LOS BAÑOS, EN EL PISO AL COSTADO DE LOS ASIENTOS DE ESPERA, POR TAL MOTIVO SE REALIZA EL AVISO POR ALTOPARLANTE DE LA PRESENCIA DE DICHO EQUIPAJE, CON RESULTADO NEGATIVO. INMEDIATAMENTE SE PROCEDE A AISLAR EL SECTOR Y SIENDO 08:50 HS. SE REALIZA COMUNICACIÓN TELEFÓNICA CON LA DIVISIÓN EXPLOSIVOS DE LA POLICÍA DE LA PROVINCIA DE TUCUMÁN SOLICITÁNDOLE COLABORACIÓN, A HORAS 09:06 SE REALIZA COMUNICACIÓN TELEFÓNICA CON EL JUZGADO DE TURNO, SIENDO ATENDIDO POR EL DR. ORLANDO MOLINA PROSECRETARIO DEL JUZGADO FEDERAL Nº 1 SECRETARIA PENAL Nº 2, QUIEN DISPONE SE MANTENGA AL TANTO DE LA SITUACIÓN, COMO ASÍ TAMBIÉN SU RESULTADO. A HORAS 09:16 SE HACE PRESENTE LA COMISIÓN POLICIAL DE LA DIVISIÓN ANTES MENCIONADA, A CARGO DEL OFICIAL PRINCIPAL MARTÍN AGUILAR MORENO (LEGAJO 623), QUIEN PROCEDE DE INMEDIATO A REALIZAR LAS PERICIAS DEL CASO, REALIZANDO SU APERTURA, ARROJANDO ESTA RESULTADO NEGATIVO. A HORAS 09:30 SE DA POR LIBERADA LA ZONA, PERMITIENDO EL LIBRE TRANSITO DE PERSONAS Y DE LA ACTIVIDAD NORMAL EN EL SECTOR. AL REALIZAR LA APERTURA DEL EQUIPAJE EN PRESENCIA DE LOS TESTIGOS SE DETECTA QUE SE TRATA DE UN BOLSO DE COLOR NEGRO CON MANIJAS, EN MATERIAL DE TELA CON BOLSILLOS EXTERNOS, CONTENIENDO EN SU INTERIOR PRENDAS DE VESTIR MASCULINAS. A HORAS 09:50 SE REALIZA NUEVAMENTE COMUNICACIÓN TELEFONICA CON EL JUZGADO DE TURNO PARA INFORMAR SOBRE LOS HECHOS, QUIEN DISPONE SOLO SE LABREN ACTUACIONES INTERNAS.</t>
  </si>
  <si>
    <t>DR. SEBASTIAN R. RAMOS</t>
  </si>
  <si>
    <t>USO DE DOCUMENTO ADULTERADO O FALSO ART.296 CPN</t>
  </si>
  <si>
    <t>SECTOR ARRIBOS INTENACIONALES.</t>
  </si>
  <si>
    <t>SE RECIBE COMUNICACIÓN TELEFONICA, POR PARTE DE LA SRA. HOLLMANN MICAELA, SUPERVISORA DE LA DNM, MANIFESTANDO QUE EN MOMENTOS DE ESTAR REALIZANDO LOS TRAMITES MIGRATORIOS DE INGRESO AL PAIS PARA EL VUELO CITADO, SE PRESENTARON DOS PASAJEROS DE NACIONALIDAD DOMINICANA CON PASAPORTES ESTADOUNIDENSES APOCRIFOS. SEGUIDAMENTE SE PRESENTA EN EL SECTOR DE MIGRACIONES DE LOS ARRIBOS INTERNACIONALES EL ENCARGADO DE TURNO, OF. HADAD EDGARDO QUIEN RECIBE LA NOTA 53/10 EMITIDA POR LA DNM. ACTO SEGUIDO SE DIRIGE, JUNTO CON LOS PASAJEROS Y SUS PERTENCIAS HACIA ESTA GUARDIA DE PREVENCION. SIENDO LAS 23:30 HS SE ENTABLA COMUNICACIÓN CON LA JUDICATURA ACTUANTE QUIEN DISPUSO: LECTURA DE DERECHOS, REQUISA SOBRE LAS PERSONAS Y SUS PERTENENCIAS, PRECARIO MEDICO DE ENTRADA, QUE SE ALOJEN LOS DETENIDOS EN CARÁCTER DE INCOMUNICADOS, ARTICULOS 26 Y 41 CPN, REINCIDENCIA 353 BIS, IDGE, ARTICULO 258 Y 259 CPPN, CONSTATACION DE DOMICILIO , COMUNICACIÓN CON EL CONSULADO DE ESTADOS UNIDOS, SECUESTRO DE LOS PASAPORTES A FIN DE REALIZARSE PERICIA DOCUMENTOLOGICA EN LA EMBAJADA DE LOS ESTADOS UNIDOS, FOTOS, FICHAS DACTILOSCOPICAS Y REALIZAR NUEVA COMUNICACIÓN EL DIA MARTES 22 DE JUNIO A LAS 9 :30 HORAS CON EL DR. RAMOS Y DE NO RECIBIR NUEVAS DILIGENCIAS REALIZAR EL TRASLADO DE LOS DETENIDOS A LA U29 EL DIA MIERCOLES 23 DEL CORRIENTE MES Y AÑO A LAS 07:30 HORAS. SEGUN PU Nº 3821, SIENDO LAS 10.15 HORAS DEL DIA 23/06/2010, SE PROCEDE A TRASLADAR A AMBOS DETENIDOS HACIA LA U29 POR ASI HABERLO DISPUESTO LA JUDICATURA INTERVINIENTE.</t>
  </si>
  <si>
    <t>AR 1287</t>
  </si>
  <si>
    <t>JUZGADO FEDERAL 1RA INSTANCIA DEL PASO DE LOS LIBRES</t>
  </si>
  <si>
    <t>PANARIO</t>
  </si>
  <si>
    <t>BERNARDO</t>
  </si>
  <si>
    <t>ROMERO WALTER</t>
  </si>
  <si>
    <t>INCIDENTE DE RESTITUCION DE VEHICULO PEUGEOT 206 XS, DOMINIO COLOCADO GBE 033.</t>
  </si>
  <si>
    <t>1-18717/05</t>
  </si>
  <si>
    <t>UOSP PASO DE LOS LIBRES</t>
  </si>
  <si>
    <t>INFORMO EN EL DIA DE LA FECHA, SIENDO LAS ONCE HORAS, SE PROCEDE A DAR CUMPLIMIENTO A OFICIO JUDICIAL NRO. 489, DE FECHA DIECISEIS DE JUNIO DEL CORRIENTE AÑO, DEL JUZGADO FEDERAL DE PASO DE LOS LIBRES, SECRETARIA PENAL NRO. 1, EN AUTOS CARATULADOS INCIDENTE DE RESTITUCION DE VEHICULO PEUGEOT 206 XS DOMINIO COLOCADO GBE 033, EXPEDIENTE NRO. 1-18717/05, EN CARACTER DE DEPOSITARIO JUDICIAL, A LA SEÑORITA ROSANA ESTELA RODRIGUEZ, DNI NRO. 31.328.795. ASIMISMO, EL CITADO VEHICULO, FUE RECEPCIONADO EN ESTA UNIDAD OPERACIONAL, DE PARTE DE LA PREFECTURA NAVAL ARGENTINA PASO DE LOS LIBRES, MEDIANTE OFICIO JUDICIAL NRO. 605, DE FECHA 19 DE JUNIO DE 2009, DEL JUZGADO INTERVENTOR, EN LOS AUTOS CARATULADOS SANCHEZ PEDRO NORBERTO Y OTROS S/ENCUBRIMIENTO POR LAVADO DE ACTIVOS DE ORIGEN DELICTIVO- ART. 278 INC. 1º AP. A Y B DEL CPA, EXPEDIENTE NRO. 1-18717/05.</t>
  </si>
  <si>
    <t>ALVAREZ HEBE</t>
  </si>
  <si>
    <t>INTERDICCION SACA DE CORREO S/PTRA. INFRACCION LEY 20429</t>
  </si>
  <si>
    <t>SE CONFECCIONA EL PRESENTE A LOS EFECTOS DE INFORMAR QUE EN EL DIA DE LA FECHA EN EL CONTROL DE RAYOS X EN EL SECTOR PATIO DE VALIJAS EN EL MARCO DE LA ORDEN DE SERVICIO 0028/2010,EN COLABORACION CON ADUANA SE DETECTA EN SACA DE CORREO ARGENTINO DESPACHADA VIA TERRESTRE DESDE LA CIUDAD DE ROSARIO HACIA RIO GRANDE LA CUAL SE ENCUENTRA EN TRANSITO EN RIO GALLEGOS, MEDIANTE EQUIPO DE RAYOS X SCAN VAN DE ESTA PSA, QUE EN EL INTERIOR DE LA SACA SE ENCUENTRA UN ARMA DE FUEGO APARENTEMENTE DE UNA ESCOPETA, SE DA INTERVENCION AL JUZGADO FEDERAL DE RIO GALLEGOS, QUE POR ORDEN DE SS ORDENA EL SECUESTRO DE LA SACA Y REMITIR LO ACTUADO Y SECUESTRADO A SEDE JUDICIAL.</t>
  </si>
  <si>
    <t>3073/10</t>
  </si>
  <si>
    <t>S/SUPUESTA INFRACCION A LA LEY 22.415 Y 23.737.-</t>
  </si>
  <si>
    <t>453/10</t>
  </si>
  <si>
    <t>CONTROL COM SCAN VAN</t>
  </si>
  <si>
    <t>SE PROCEDE A LA APERTURA DE UNA ENCOMIENDA, SEGÚN CONSTA EN ACTA DE APERTURA Nº 319/10, PREV. SUM. Nº 059/10, EN VIRTUD DE LO ORDENADO EN OFICIO JUDICIAL Nº 1205/10, DEL MAGISTRADO ACTUANTE Y EN PRECENCIA DE UN TESTIGO HABIL, LA ENCOMIENDA IDENTIFICADA COMO EP666278961, RTTE. GENARO VILTE, PALPALA JUJUY, MADRESELVA Nº 1070 B, ALTO PALPALA, Y DEST. GUSTAVO MARCOS VILTE, CORREO CENTRAL NEUQUÉN, CONTIENE: 15 PAQUETES DE HOJAS DE COCA, CON UN PESO TOTAL DE 3.491 GRS. LA ENCOMIENDA SERA PUESTA A DISPOSICION DE LA ADUANA DE SALTA POR SUPUESTA INFRACCION A LA LEY 22.415 CODIGO ADUANERO Y LAS ACTUACIONES REMITIDAS A SEDE JUDICIAL. PU Nº3056/10 ORIGINARIO SE PROCEDE A LA RETENCIÓN DE UNA SACA COLECTORA DEL CORREO OFICIAL SEGÚN CONSTA EN ACTA DE RETENCIÓN DE CARGA Nº 258/10 QUE ORIGINA LA PREV. SUM. 059/10, LA SACA IDENTIFICADA CON MARBETE SLA0161676D636300NQN, PRECINTO C772560, CON UN PESO DECLARADO DE 5,200 KGS. AMPARADA EN GUÍA AÉREA Nº 9368515-2, LA QUE SERIA DESPACHADA A TRAVES DE LA EMPRESA DE CARGA AÉREA JET-PAQ, LA RETENCIÓN SE REALIZA ANTE LA PRESUNCIÓN DE QUE PUDIERAN CONTENER ALGÚN ELEMENTO EN INFRACCIÓN A LAS LEYES 22.415 Y/O 23.737, LA MISMA QUEDA CERRADA Y PRECINTADA EN GUARDA EN ESTA UOSP, SE COMUNICO TELEFÓNICAMENTE CON EL JUZGADO INTERVINIENTE. Y LA APERTURA SE REALIZARA EN PRESENCIA DEL PERSONAL DEL CORREO OFICIAL. SEGÚN AMPLIACION PU Nº 3073 SE PROCEDE A LA APERTURA DE UNA SACA COLECTORA DEL CORREO OFICIAL, SEGÚN CONSTA EN ACTA DE RETENCIÓN DE CARGA Nº 258/10 Y ACTA DEJANDO CONSTANCIA Nº 259/10 DE APERTURA DE SACA, QUE ORIGINA LA PREVENCIÓN SUMARIA Nº 059/10 , LA SACA IDENTIFICADA CON MARBETE SLA0161676D636300NQN, PRECINTO Nº C772560, CONTIENE UNA PIEZA POSTAL IDENTIFICADA COMO EP666278961, RTTE. GENARO VILTE, DOMICILIO EN CALLE MADRE SELVA Nº 1070 Bº ALTO, PALPALA PROVINCIA DE JUJUY, DESTINATARIO GUSTAVO MARCOS VILTE, CORREO CENTRAL NEUQUÉN, LA CUAL QUEDA RETENIDA, ANTE LA PRESUNCIÓN DE QUE PUDIERA CONTENER ALGÚN ELEMENTO EN INFRACCIÓN A LA LEY 23.737 Y/O 22.415, QUEDANDO LA MISMA CERRADA Y EN GUARDA DE ESTA UOSP. SE COMUNICO TELEFÓNICAMENTE AL JUZGADO INTERVINIENTE Y LA APERTURA SE REALIZARA CON LA AUTORIZACIÓN DEL MAGISTRADO ACTUANTE</t>
  </si>
  <si>
    <t>DR. MIGUEL ANGEL GUERRERO</t>
  </si>
  <si>
    <t>EXPEDIENTE NRO A-375/2010</t>
  </si>
  <si>
    <t>INFORMO CONFORME OFICIO JUDICIAL NRO 1612/2010 Y 1634/2010 DEL JUZGADO FEDERAL DE PRIMERA INSTANCIA DE LA CIUDAD DE ELDORADO FIRMADO DR. MIGUEL ANGEL GUERRERO SECRETARIO DE DICHO JUZGADO SE PROCEDE AL TRASLADO DEL SR. VICTOR MERLO RAMIREZ PASAPORTE DE LA REPÚBLICA DEL PARAGUAY NRO 3239751, EN PRIMER LUGAR HASTA LA UNIDAD 17 DEL SERVICIO PENITENCIARIO FEDERAL COLONIA PENAL DE CANDELARIA A EFECTOS QUE SE LE PRACTIQUE EL EXAMEN MENTAL CONFORME LO DISPONE EL ALTICULO 78 DEL CPPN A FIN DE ESTABLECER: A) GRADO Y DESARROLLO DE SUS FACULTADES MENTALES; B) APTITUD O DISCERNIMIENTO PARA DELINQUIR Y C) TODO OTRO ANTECEDENTE RELACIONADO A LA CAPACIDAD MENTAL DEL JUSTICIABLE, Y LUEGO SE PROCEDE AL TRASLADO DEL MISMO A LOS ESTRADOS DEL MENCIONADO JUZGADO POR ORDEN DE SU SEÑORIA DR. JOSE LUIS CASALS EN EXPEDIENTE A-375/2010 CARATULADO "MERLO RAMIREZ VICTOR S/CONTABANDO DE IMPORTACION DE ESTUPEFACIENTE CALIFICADO Y TRANSPORTE DE ESTUPEFACIENTE EN CONCURSO IDEAL" A EFECTOS DE CUMPLIMENTAR TRAMITES PROCESALES PENDIENTES DE PRODUCCIÓN, REGRESANDO A ESTA UNIDAD LA COMISION CON EL DETENIDO ANTES MENCIONADO QUIEN CONTINUARA ALOJADO EN ESTA UNIDAD OPERACIONAL.</t>
  </si>
  <si>
    <t>3748/10</t>
  </si>
  <si>
    <t>387/10</t>
  </si>
  <si>
    <t>SE PROCEDE A LA APERTURA DE UNA ENCOMIENDA DEL CORREO OFICIAL, SEGUN ACTA DE APERTURA Nº 320/10, PREV. SUM. 074/10, EN VIRTUD DE LO ORDENADO EN OFICIO JUDICIAL Nº 1781/10, DEL MAGISTRADO ACTUANTE Y EN PRESENCIA DE DOS TESTIGOS HABILES, LA ENCOMIENDA IDENTIFICADA COMO EP687690078AR, LUEGO DE VERIFICADO SU CONTENIDO SERA ENTREGADA AL CORREO OFICIAL PARA SU REDESPACHO POR NO CONTENER ELEMENTOS EN INFRACCION A LAS LEYES VIGENTES, Y LAS ACTUACIONES REMITIDAS A SEDE JUDICIAL.</t>
  </si>
  <si>
    <t>BOSSIE EDUARDO CESAR</t>
  </si>
  <si>
    <t>INTERIOR DEL PORTA OBJETOS DEL ASIENTO Nº 32 E LADO PASILLO</t>
  </si>
  <si>
    <t>SIENDO LA HORA Y FECHA MENCIONADA SE HACE PRESENTE EN ESTA GUARDIA DE PREVENCION EL DAMNIFICADO MANIFESTANDO QUE EN EL HORARIO DE LAS 07:45 HORAS ARRIBO EN ESTE AEROPUERTO METROPOLITANO, LUEGO DE UNOS MINUTOS YA EN EL ARRIBO NACIONAL A2 EN HORAS 7:55 SE PERCATO DEL FALTANTE DE SU BILLETERA, POR LO CUAL RECORDO QUE LA MISMA LA HABÍA DEJADO EN EL PORTA OBJETOS DE SU ASIENTO, INMEDIATAMENTE SE DIRIGIO HACIA EL MOSTRADOR DE RECLAMOS DE LA COMPAÑIA AEREA DONDE FUE ATENDIDO POR UN EMPLEADO, QUIEN ENTERADO DEL EPISODIO SE DIRIGIO A LA AERONAVE, PASADOS UNOS MINUTOS RETORNO AL ARRIBO Y LEE INFORMO AL DAMNIFICADO QUE LA BILLETERA NO SE ENCONTRABA EN EL INTERIOR DE LA AERONAVE, POR LO QUE EL PASAJERO SE DIRIGE A ESTA GUARDIA DE PREVENCION A RADICAR LA DENUNCIA CORRESPONDIENTE.</t>
  </si>
  <si>
    <t>AU 2401</t>
  </si>
  <si>
    <t>3783/10</t>
  </si>
  <si>
    <t>SIENDO LAS ONCE HORAS QUINCE MINUTOS, SE RECEPCIONO COMUNICACION TELEFONICA POR PARTE DEL SEÑOR PATRICIO DUNTO DEL JUZGADO FEDERAL N° 01 DE LOMAS DE ZAMORA, SECRETARIA N° 01 INDICANDO QUE POR ORDEN DE S.SA, SE PROCEDIERA AL TRASLADO DE LA CAUSANTE AL ASIENTO DE ESA JUDICATURA CON EL FIN DE RECIBIR AUDITORIA Y ENTREVISTARSE CON SU ABOGADO, MOTIVO POR EL CUAL, SIENDO LAS DOCE HORAS VENTE MINUTOS SE PROCEDE A TRASLADO DE LA CAUSANTE REGRESANDO DICHA COMISION CON CON LA DETENIDA PARA SU POSTERIOR ALOJAMIENTO EN ESTA DEPEDENCIA A LAS DIECISIETE VEINTE HORAS, JUNTO CON OFICIO JUDICIAL INDICANDO QUE SE PROCEDA AL TRASLADO DE LA DETENIDA EL DIA 23 DE JUNIO DEL AÑO EN CURSO A LAS ONCE HORAS AL ASIENTO DE ESA MAGISTRATURA. PTO.-</t>
  </si>
  <si>
    <t>BOSSIE CESAR</t>
  </si>
  <si>
    <t>VEREDA DEL SECTOR A1</t>
  </si>
  <si>
    <t>EL DIA Y LA HORA ANTES MENCIONADA SE PRESENTA EL DAMNIFICADO MANIFESTANDO QUE LUEGO DE ARRIBAR A ESTA AEROESTACION SE DIRIGIO A LA VEREDA DEL SECTOR A1 DONDE SE ENCUENTRA LA PARADA DE TAXIS, SIENDO LAS 1315 HORAS APROXIMADAMENTE EN MOMENTOS DE QUERER PARAR UN VEHICULO TAXIMETRO SE PERCATA QUE UNO DE LOS EQUIPAJES QUE LLEVABA CON EL NO SE ENCONTRABA MAS EN EL CARRO PORTA EQUIPAJES. POSTERIORMENTE SE APERSONA EN ESTA GUARDIA DE PREVENCION A FIN DE RADICAR LA DENUNCIA CORRESPONDIENTE.</t>
  </si>
  <si>
    <t>SANCHEZ</t>
  </si>
  <si>
    <t>VIGNA ALEJANDRA</t>
  </si>
  <si>
    <t>QUE EN EL DIA DE LA FECHA LA CAUSANTE SE PRESENTO ANTE EL SERVICIO DE GUARDIA A LOS FINES DE DE RADICAR UNA DENUNCIA MANIFESTANDO QUE SIENDO APROXIMADAMENTE LAS.20:00HS , AL ARRIBAR AL AEROPUERTO DE CÓRDOBA PROCEDENTE DE AEROPARQUE EN EL VUELO 4216 DE LA EMPRESA LAN, Y AL RETIRAR SU EQUIPAJE DE BODEGA OBSERVA QUE SU BOLSO DE COLOR AZUL DE TELA, MARCA VICTORIA SECRET, DE 1M X 50CM X 50CM APROXIMADAMENTE, MARBETE NÚMERO 927232 SE ENCUENTRA RAJADO EN SUS LATERALES, MÁS PRECISAMENTE EN LA ZONA DONDE SE ENCUENTRAN COSIDAS LAS MANIJAS, SIENDO UNA DE ÉSTAS RAJADURAS DE 18CM X 6CM APROXIMADAMENTE Y LA OTRA DE 9CM X 8CM APROXIMADAMENTE. ANTE TAL SITUACIÓN LA DENUNCIANTE REALIZA EL RECLAMO EN LA EMPRESA LAN, EN DONDE LE OFRECEN LA SUMA DE VEINTE DÓLARES AMERICANOS (U$20,00) COMO RESARCIMIENTO, LO QUE RECHAZA DE PLANO DEBIDO A QUE SU BOLSO, SEGÚN SUS DICHOS, TIENE UN VALOR SUPERIOR. ACTO SEGUIDO SE INFORMO AL JUZGADO FEDERAL DE TURNO N 3 EN LA PERSONA DE SU SECRETARIA DRA. MARIANA BUTELER DE BARROS QUIEN PUESTA EN CONOCIMIENTO DEL PRESUNTO HECHO DELICTIVO DISPONE QUE SE INICIEN LAS ACTUACIONES SUMARIALES CORRESPONDIENTES Y SEAN DERIVADAS A LA JUSTICIA ORDINARIA POR TRATARSE DE UN HECHO QUE NO AFECTA LOS INTERESES DE LA NACION, DANDO INICIO A LAS ACTUACIONES SUMJARIALES NRO.34/2010 DE FECHA 22JUN 10 CARATULADAS DAÑO.</t>
  </si>
  <si>
    <t>LA 4216</t>
  </si>
  <si>
    <t>INFRACCION AL ART. 78 DEL DECRETO LEY 8031/73</t>
  </si>
  <si>
    <t>SIENDO LA FECHA Y HORA ANTES MENCIONADA, EN MOMENTOS EN QUE LOS OFICIALES ROMEO Y ZUMPANO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</si>
  <si>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PASARELA QUE UNE AMBAS TERMINALES</t>
  </si>
  <si>
    <t>SIENDO LA FECHA Y HORA ANTES MENCIONADA, EN MOMENTOS EN QUE EL OFICIAL LENCINA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</si>
  <si>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DRA VIGNA ALEJANDRA</t>
  </si>
  <si>
    <t>EN EL DIA DE LA FECHA SE PRESENTO EL CAUSANTE ANTE EL SERVICIO DE GUARDIA PREVENTIVA MANIFESTANDO QUE SIENDO LAS 22:10HS APROXIMADAMENTE, EN CIRCUNSTANCIAS EN QUE FINALIZA SU ACTIVIDAD LABORAL EN EL AEROPUERTO, SE DIRIGE HACIA SU MOTOCICLETA MARCA APPIA MODELO MONTERO 150, COLOR NEGRA, CUADRO Nº LB7PCKLX173101748, MOTOR Nº 162FMJ07101748, DOMINIO: DJM233, ESTACIONADA BAJO LA PÉRGOLA UBICADA EN EL SECTOR PÚBLICO DE ESTACIONAMIENTO, SE PERCATA DEL FALTANTE DEL BULÓN UBICADO EN EL MANUBRIO QUE SUJETA EL MISMO AL CUADRO. ANTE TAL CIRCUNSTANCIA SE DIO AVISO AL JUZGADO FEDERAL NRO 3 DE TURNO EN LA PERSONA DE SU SECRETARIA PENAL QUIEN PUESTA EN CONOCIMIENTO DEL HECHO DISPONE QUE SE LABREN LAS ACTUACIONES CORRESPONDIENTES Y SE DERIVEN A LA JUSTICIA ORDINARIA YA QUE EL HECHO DELICTIVO NO AFFECTA LOS INTERESES DE LA NACION POR LO QUE TOMO PARTICIPACION LA FISCALIA DE INSTTRUCCION DISTRITO III TURNO CUATRO DANDO INICIO A LAS ACTUACIONES SUMARIALES NRO. 35/2010 DE FECHA 22 JUN 2010 CARATULADAS ROBO</t>
  </si>
  <si>
    <t>DR. ROSASCO</t>
  </si>
  <si>
    <t>DESDE EL DESPACHO EN ESTE AEROPUERTO METROPOLITANO HASTA LA ENTREGA EN AEROPUERTO DE DESTINO.</t>
  </si>
  <si>
    <t>EL DIA 19 DE JUNIO DEL CORRIENTE AÑO, LA DAMNIFICADA SE HIZO PRESENTE EN ESTE AEROPUERTO METROPOLITANO PARA ABORDAR EL VUELO CON DESTINO A LA CIUDAD DE MENDOZA. UN DIA DESPUÉS DE HABER ARRIBADO A DICHA CIUDAD SE PERCATA DEL FALTANTE DE UNA CAMARA DIGITAL QUE SE ENCONTRABA EN EL INTERIOR DE SU EQUIPAJE DESPACHADO. POR LO QUE AL REGRESAR AL AEROPARQUE METROPOLITANO EL DIA DE LA FECHA, LA DAMNIFICADA SE PRESENTA EN LA GUARDIA DE PREVENCION A FIN DE RADICAR LA CORRESPONDIENTE DENUNCIA.</t>
  </si>
  <si>
    <t>AU 2428</t>
  </si>
  <si>
    <t>VEREDA DE LA TERMINAL A</t>
  </si>
  <si>
    <t>SIENDO LAS 0415 HORAS ARRIBO EL DAMNIFICADO A ESTE AEROPUERTO, PROCEDENTE DE PANAMA EN EL VUELO CM 363 DE LA EMPRESA COPA AIRLINES, SE DIRIGIO AL SECTOR DE PERGOLA DE LA TERMINAL A DONDE ABORDO UN VEHICULO REMIS JUNTO A SU SEÑORA ESPOSA, DEPOSITANDO SUS PERTENENCIAS EN EL BAUL DEL RODADO, Y QUE UNA VEZ ARRIBADO A SU DOMICILIO PARTICULAR EN EL MOMENTO DE RETIRAR SUS EQUIPAJES DEL MENCIONADO BAUL SE PERCATO DEL FALTANTE DE UNO DE SUS BOLSOS, POR LO QUE REGRESA AL AEROPUERTO INTERNACIONAL A FIN DE RADICAR LA DENUNCIA CORRESPONDIENTE.</t>
  </si>
  <si>
    <t>3720/10</t>
  </si>
  <si>
    <t>EN EL DIA DE LA FECHA SE CUMPLIMENTO OFICIO 753/10 EMANADO DE LA FISCALIA REQUIRIENTE, EL CUAL SOLICITABA QUE PERSONAL DE ESTA REPARTICION SE ENCONTRABA CUMPLIENDO FUNCIONES, ESPECIFICAMENTE EN EL SECTOR DE CONTROL DE EQUIPAJE, MAS PRECISAMENTE EL DIA 04MAR04, A LOS EFECTOS SE RESPONDIO QUIENES ESTUVIERON DE GUARDIA Y REFUERZO EN LA FECHA SOLICITADA. DICHOS DATOS FUERON EXTRAIDOS DE LOS REGISTROS OBRANTES EN ESTA U.O.S.P. -LIBRO DE GUARDIA-</t>
  </si>
  <si>
    <t>INCIDENTE DE RESTITUCION DE ELEMENTOS SECUESTRADOS EN LA CAUSA Nº 1-18717/05</t>
  </si>
  <si>
    <t>INFORMO EN EL DIA DE LA FECHA SIENDO LAS DOCE HORAS Y TREINTA MINUTOS SE PROCEDE A DAR CUMPLIMIENTO A OFICIO JUDICIAL Nº 497 DE FECHA 22 DE JUNIO DEL CORRIENTE AÑO, EMITIDO POR EL JUZGADO FEDERAL DE PASO DE LOS LIBRES, SECRETARIA PENAL Nº 1 EN AUTOS CARATULADOS INCIDENTE DE RESTITUCION DE ELEMENTOS SECUESTRADOS EN LA CAUSA Nº 1-18717/05 DEL VEHICULO AUTOMOTOR MARCA FORD ECOSPORT 1.6 L 4X2 XLS DOMINIO COLOCADO FMJ 748. SE PROCEDE A LA ENTREGA EN CARACTER DE DEPOSITARIO JUDICIAL, A LA SEÑORA RAMONA GRACIELA AGUILAR DNI Nº 21.366.822. ASIMISMO INFORMO QUE EL CITADO VEHICULO, FUE SECUESTRADO EN ESTA UNIDAD OPERACIONAL, EL DIA 13 DE MAYO DEL AÑO 2008 EN LOS AUTOS CARATULADOS OLIVA ADOLFO FRANCISCO S/DENUNCIA EXPEDIENTE Nº 1-18717/05 Y QUE FUERA INFORMADO MEDIANTE PARTE URGENTE Nº 0001/08 DE FECHA 13 DE MAYO DE 2008.</t>
  </si>
  <si>
    <t>DRA. DIANA CUSUMANO</t>
  </si>
  <si>
    <t>EJECUCION DE PENA-INTERNO PENADO CARDOZO SALAZAR EDUARDO.</t>
  </si>
  <si>
    <t>3163-1/97</t>
  </si>
  <si>
    <t>PREEMBARQUE INTERNACIONAL PUERTA Nº 3 1º PISO</t>
  </si>
  <si>
    <t>SE PRESENTA EL SUBOFICIAL DE GENDARMERÍA NACIONAL MANUEL ROQUE MEDINA, CON EL CIUDADANO DE NACIONALIDAD BOLIVIANA EDUARDO CARDOZO SALAZAR SOBRE QUIEN RECAYERA LA DISPOSICIÓN Nº 078364 DE LA DNM, A RESULTO LA EXPULSIÓN TERRITORIO NACIONAL CON PROHIBICIÓN DEL REINGRESO AL PAÍS, DANDO CUMPLIMIENTO A LA ORDEN DE SERVICIO Nº 124/10 DE LA URSA III DEL NORTE, CON LA COLABORACIÓN DE CUATRO EFECTIVOS DE LA UOESA DEL NORTE, AL MOMENTO DE LA PARTIDA SIN NOVEDAD. NO SE OBTUVO MAS DATOS DEL CIUDADANO EXPULSADO</t>
  </si>
  <si>
    <t>LEGAJO DE: VACA ALMANZA, CARMEN ROSA</t>
  </si>
  <si>
    <t>2255/09-ES-</t>
  </si>
  <si>
    <t>PREEMBARQUE INTERNACIONAL PUERTA Nº 3. 1º PISO</t>
  </si>
  <si>
    <t>SE PRESENTA EL SUBOFICIAL DE GENDARMERÍA NACIONAL MANUEL ROQUE MEDINA, CON LA CIUDADANA DE NACIONALIDAD BOLIVIANA, VACA ALMANZA CARMEN ROSA, SOBRE QUIEN RECAYERA LA DISPOSICIÓN Nº 137680 DE DNM, A RESUELTO LA EXPULSIÓN DEL TERRITORIO NACIONAL CON PROHIBICIÓN DEL REINGRESO AL PAÍS. DANDO CUMPLIMIENTO A LA ORDEN DE SERVICIO Nº 124/10 DE LA URSA III DEL NORTE, CON LA COLABORACIÓN DE CUATRO EFECTIVOS DE LA UOESA DEL NORTE, AL MOMENTO DE LA PARTIDA SIN NOVEDAD.</t>
  </si>
  <si>
    <t>3794/10</t>
  </si>
  <si>
    <t>SECTOR DE MIGRACIONES DE ARRIBOS INTENACIONALES.</t>
  </si>
  <si>
    <t>SIENDO LA FECHA Y HORA MENCIONADA, DE ACUERDO CON LAS DISPOSICIONES DE LA JUDICATURA INTERVIENTE SE PROCEDE A TRASLADAR A LOS DETENIDOS HACIA LA U29.</t>
  </si>
  <si>
    <t>BAÑO DE HOMBRES - LINDANTE A ESCALERAS MECANICAS -</t>
  </si>
  <si>
    <t>PLANTA BAJA DE TERMINAL B</t>
  </si>
  <si>
    <t>QUE MIENTRAS EL DENUNCIANTE SE ENCONTRABA CUMPLIENDO FUNCIONES LABORALES EN LA OFICINA DE INTERPOL DE POLICIA FEDERAL ARGENTINA, EMPLAZADA EN EL 1º PISO DE LA TERMINAL B DE ESTE AEROPUERTO, SIENDO APROXIMADAMENTE LAS 21.30 HORAS, SE DIRIGIO HACIA EL BAÑO SITO EN PLANTA BAJA, SECTOR RESTRINGIDO DE LA TERMINAL B, DEJANDO APOYADO SOBRE LA MESADA DE DICHO SANITARIO EL TELÉFONO DESCRIPTO. QUE LUEGO SE RETIRA DEL RECINTO HABIENDO OLVIDADO EL MENCIONADO TELÉFONO. QUE AL PERCATARSE DEL MENCIONADO OLVIDO REGRESO AL RECINTO NOTANDO EL FALTANTE DEL EQUIPO DE TELEFONÍA EN CUESTIÓN. POSTERIORMENTE, EN EL DIA DE LA FECHA SE HACE PRESENTE EN EL TURNO POLICIAL A FIN DE RADICAR LA DENUNCIA.</t>
  </si>
  <si>
    <t>CALLE DE RODAJE N°1</t>
  </si>
  <si>
    <t>A HORAS 13:30 SE IMPLEMENTA DISPOSITIVO DE SEGURIDAD PREVISTO PARA OPERATORIA DE CAUDALES DEL BANCO CENTRAL DE LA REPUBLICA ARGENTINA, SEGUN ORDEN DE SERVICIO N° 81/10 DE LA UOSP TUCUMAN. A HORAS 14:20 ARRIBA A ESTE AEROPUERTO LA AERONAVE TRANSPORTADORA, HERCULES C-130 MATRICULA TC-56 DE LA FUERZA AEREA ARGENTINA. SE LLEVÓ A CABO LA DESCARGA SOBRE CALLE DE RODAJE N° 1 HASTA LAS 15:10 HORAS. LA CAPSULA DE SEGURIDAD ABANDONÓ ESTA JURISDICCION A HORAS 15:20 SIN NOVEDADES. A HORAS 15:30 DESPEGA LA AERONAVE CON DESTINO FINAL BUENOS AIRES. EL DISPOSITIVO DE SEGURIDAD SE LLEVÓ A CABO SIN REGISTRARSE NOVEDADES.</t>
  </si>
  <si>
    <t>TC-56</t>
  </si>
  <si>
    <t>QUE SIENDO LAS 10:00 HS. DEL DIA 23 DE JUNIO DEL AÑO EN CURSO SE PROCEDIO A DAR ESTRICTO CUMPLIMIENTO DE LO ORDENADO POR S.SA. TRASLADANDO A LA DETENIDA HACIA SEDE JUDICIAL. PTO</t>
  </si>
  <si>
    <t>SE DIO INICIO EN EL SECTOR DE MANGA NUMERO 9 DE LA TERMINAL A -SECTOR RESTRINGIDO- CONTINUANDO POR EL HALL PUBLICO HASTA SU FINALIZACION EN EL SECTOR DE ESTACIONAMIENTO DE LA MISMA TERMINAL A</t>
  </si>
  <si>
    <t>EN RELACION A LA ORDEN DE SERVICIO N° 71-EZE/10 REFERENTE AL ARRIBO AL PAIS DE BARRASBRAVAS PROCEDENTE DE SUDAFRICA EN EL VUELO SA 226, CUMPLO EN LLEVAR A SU CONOCIMIENTO QUE EL VUELO ARRIBO A LAS 16:15 HS, HACIENDO ABANDONO DE ESTA JURISDICCION APROXIMADAMENTE A LAS 18:15 HS LOS BARRABRAVAS. LLEVANDOSE A CABO EL OPERATIVO SIN NOVEDAD. PTO.-</t>
  </si>
  <si>
    <t>BUENOS AIRES - MINISTRO PISTARINI</t>
  </si>
  <si>
    <t>INFRACCION LEY 24.633</t>
  </si>
  <si>
    <t>EN EL DIA DE LA FECHA REALIZANDOSE UN CONTROL DE RUTINA DEL VUELO DE REFERENCIA EN EL PUESTO DE INSPECCION Y REGISTRO DENOMINADO SCAN VAN SE PROCEDE AL CONTROL DE UNA VALIJA DESPACHADA POR BODEGA LA CUAL AL SER SOMETIDA A CONTROL A TRAVES DE RAYOS X SE CONSTATO LA EXISTENCIA EN SU INTERIOR DE UN OLEO TITULADO TRADICION II DEL AÑO 1998 DE LA AUTORA CONSUELO MIRANDA, ANTE TAL SITUACION SE PROCEDIO A SOLICITAR LOS PAPELES CORRESPONDIENTES A SU PROPIETARIA MANIFESTANDO LA MISMA QUE NO LOS TENIA. POR TAL MOTIVO SE PROCEDIO A RETENCION DEL MISMO PREVIA COMUNICACION AL JUZGADO FEDERAL DE TURNO QUIEN DISPUSO SE LABREN LA ACTUACIONES CORRESPONDIENTES, ASIMISMO EL JUZAGDO DE MARRAS DISPUSO QUE EL OLEO DE MENCION QUEDE EN DESPOSITO EN ESTA INSTRUCCION</t>
  </si>
  <si>
    <t>JUZGADO DE EJECUCION- D.J.N.-PROV.TDF</t>
  </si>
  <si>
    <t>DR RICARDO LOCATELLI</t>
  </si>
  <si>
    <t>-MARTINEZ S.I. S/SUSPENCION DE JUICIO A PRUEBA-</t>
  </si>
  <si>
    <t>702</t>
  </si>
  <si>
    <t>NOTIFICACION GORDILLO SEGUNDO</t>
  </si>
  <si>
    <t>EN EL DIA DE LA FECHA Y SIENDO LAS 18:30 HORAS SE PROCEDIO A NOTIFICAR AL CIUDADANO SEGUNDO ALBERTO GORDILLO DNI Nº 27900625, SOBRE QUIEN RECAE UN PEDIDO DE PARADERO CON COMPARENDO SEGUN EL SISTEMA RED LINCE BAJO EL REGISTRO Nº 260393, VINCULADO A LA CAUSA ANTES MENCIONADA. EL CITADO CIUDADANO FIJO DOMICILIO REAL EN CALLE BILBAO Nº 1157 DE LA CIUDAD DE RIO GRANDE, DEBIENDO COMPARECER ANTE LOS ESTRADOS DEL CITADO TRIBUNAL A LA BREVEDAD. ACTO SEGUIDO EL PASAJERO CONTINUA CON SU VIAJE PROGRAMADO.</t>
  </si>
  <si>
    <t>INFRACCIONN A LOS ARTS 78 Y 85 DEL DEC LEY 8031/73</t>
  </si>
  <si>
    <t>SIENDO LA FECHA Y HORA ANTES MENCIONADA, EN MOMENTOS EN QUE LOS OFICIALES ZALAZAR Y VILAS JOAQUIN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</si>
  <si>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EL OFICIAL SAMPAYO EL CUAL CUMPLIA SERVICIO DE GUARDIA EN EL CENTRO OPERATIVO DE CONTROL C.O.C, OBSERVA A TRAVES DE UNA DE LAS CAMARAS DE SEGURIDAD LA PRESENCIA DE UNA PERSONA DE SEXO MASCULINO QUE SE ACERCABA ASIDUAMENTE A PASAJEROS RECIEN ARRIBADOS AL PAIS, POR LO QUE SE COMUNICA VIA FRECUENCIA RADIAL CON EL OFICIAL VILAS JOAQUIN AL CUAL INFORMA DE LA SITUACION, QUIEN CONSTATA QUE EL MASCULINO EN CUESTION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</si>
  <si>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HORA Y EL DIA ANTES MENCIONADO, SE IMPLEMENTA OPERATIVO DE SEGURIDAD CON MOTIVO DE LA PARTIDA DE LA SRA PRESIDENTE DE LA NACION HACIA LA CIUDAD DE VANCOUVER - CANADA. SIENDO LAS 22:59 HS SE HACE PRESENTE EN ESTE AEROPUERTO METROPOLITANO LA MANDATARIA EN HELICOPTERO MATRICULA H-01. SIENDO LAS 23:10 HORAS, SE EFECTUA LA PARTIDA DE LA AERONAVE MATRICULA T-01. SIENDO LAS 23:20 FINALIZA EL OPERATIVO SIN NOVEDAD.</t>
  </si>
  <si>
    <t>VANCOUVER</t>
  </si>
  <si>
    <t>PLATAFORMA BODEGA PATIO DE VALIJA</t>
  </si>
  <si>
    <t>SE PROCEDE A LA RETENCION DE DOS SACAS COLECTORAS DEL CORREO OFICIAL, SEGUN CONSTA EN ACTA DE RETENCION DE CARGA Nº 0323/10, QUE ORIGINA LA PREVENCION SUMARIA Nº 075/10, LA PRIMER SACA IDENTIFICADA CON MARBETE SLA0212756D555600CRD, Y PRECINTO Nº C623629, CON UN PESO DECLARADO DE 1,600 KGS, CON DESTINO A LA CIUDAD DE COMODORO RIVADAVIA, LA CUAL CONTENDRIA UNA PIEZA POSTAL, LA SEGUNDA SACA IDENTIFICADA CON MARBETE SLA0210587D555800VAE, Y PRECINTO Nº C623619, CON UN PESO DECLARADO DE 17,00 KGS, CON DESTINO A LA CIUDAD DE USUHAIA, CONTENDRIA CUATRO PIEZAS POSTALES, LAS SACAS SE ENCUENTRAN AMPARADAS EN GUIA Nº 9411563-0, DESPACHADA ATRAVES DE LA EMPRESA DE CARGA AEREA JET PAQ, LA RETENCION SE REALIZA ANTE LA PRESUNCION QUE PUDIERAN CONTENER ALGUN ELEMENTO EN INFRACCION A LA LEY 23.737 Y/O 22.415, QUEDANDO LAS MISMAS CERRADAS Y PRECINTADAS EN GUARDA EN ESTA UOSP. SE COMUNICO LA RETENCCION, TELEFONICAMENTE AL JUZGADO INTERVINIENTE, Y LA APERTURA SE REALIZARA EN PRESENCIA DEL PERSONAL DEL CORREO OFICIAL.</t>
  </si>
  <si>
    <t>AV. CORRIENTES 2963, DTO. 5 C</t>
  </si>
  <si>
    <t>REFERENTE ORDEN DE SERVICIO N° 523/10 EN EL DIA DE LA FECHA SE PROCEDE A DAR CUMPLIMIENTO A LA ORDEN DE ALLANAMIENTO, REQUISA PERSONAL, SECUESTRO Y DETENCION, EMANADA DEL JUZGADO INTERVINIENTE EN LA CAUSA DE REFERENCIA, PROCEDIENDOSE A LA DETENCION DE DOS PERSONAS, AL ARRESTO DE OTRAS DOS, SECUESTRANDOSE LOS ELEMENTOS ABAJO DETALLADOS. CON RELACION A LOS DETENIDOS LOS MISMOS SON ALOJADOS EN LOS CALABOZOS DE LA UOSP METROPOLITANA Y SERAN TRASLADADOS EN EL DIA DE MAÑANA A PRIMERA HORA A LA UNIDAD 28. CON RELACION A LOS ARRESTADOS LOS MISMOS SON TRASLADADOS A LA UOSP METROPOLITANA A FINES DE REALIZAR LA AVERIGUACION DE ANTECEDENTES PENALES A TRAVES DEL REGISTRO NACIONAL DE REINCIDENCIA Y SU SITUACION MIGRATORIA A TRAVES DE LA DIRECCION NACIONAL DE MIGRACIONES, LUEGO DE LO CUAL SE INFORMARA EL RESULTADO DE LAS MISMAS AL MAGISTRADO INTERVINIENTE, QUIEN DISPONDRA SU SITUACION PROCESAL. SE INFORMA EN P.U. 3871 QUE LOS DETENIDOS FUERON TRASLADADOS A LA UNIDAD 28 DEL S.P.F., EN TANTO QUE LOS ARRESTADOS FUERON LIBERADOS DESDE LA UOSP METROPOLITANA POR ASI HABERLO DISPUESTO LA JUDICATURA ACTUANTE.</t>
  </si>
  <si>
    <t>MANO SENTIDO HACIA EL AEROPUERTO DE EZEIZA ENTRE EL PUENTE 12 Y EL PUESTO POLICIAL DENOMINADO LAS BRUJAS DE LA POLICIA DE LA PROVINCIA DE BS. AS.</t>
  </si>
  <si>
    <t>SIENDO LAS 1930 HORAS, ARRIBO AL AEROPARQUE METROPOLITANO PROCEDENTE DE LA CIUDAD DE CORDOBA, EN VUELO AU 2533 DE LA EMPRESA AUSTRAL LINEAS AEREAS. POSTERIORMENTE ABORDA UN TAXI CON DESTINO AL AEROPUERTO INTERNACIONAL DE EZEIZA A FIN DE ABORDAR EL VUELO DE LA EMPRESA GOL G3 7456 CON DESTINO A SANTIAGO DE CHILE. SIENDO LAS 21OO HORAS APROXIMADAMENTE, EN LA AUTOPISTA RICHIERI A LA ALTURA COMPRENDIDA ENTRE PUENTE 12 Y EL PUESTO POLICIAL LAS BRUJAS, SE LES APROXIMO UN PEUGEOT 206 DE COLOR GRIS, SIN APORTAR MAYORES DESCRIPCIONES, Y UNA PERSONA A PUNTA DE ARMA DE FUEGO, OBLIGO AL CHOFER DEL TAXI A QUE DETENGA SU MARCHA. QUE UNA VEZ DETENIDOS EN LA BANQUINA, SE APROXIMO UN SEGUNDO VEHICULO, SIENDO ESTE UN CITROEN C5 DE COLOR NEGRO Y SE COLOCO DELANTE DEL TAXI, MIENTRAS QUE EL PEUGEOT 206 SE COLOCO DETRAS DEL TAXI. SEGUIDAMENTE, EL DAMNIFICADO, OBSERVO QUE DEL PEUGEOT 206 DESCENDIO UN SUJETO EMPUÑANDO UN ARMA DE FUEGO Y LE APUNTO A LA CABEZA AL CHOFER DEL TAXI. SEGUNDOS DESPUES, SE HIZO PRESENTE UN SEGUNDO SUJETO, NO PUDIENDO OBSERVAR EL DAMNIFICADO DE DONDE VINO Y TAMBIEN A PUNTA DE ARMA DE FUEGO, INTIMIDO AL DAMNIFICADO Y LE SUSTRAJO SU VALIJA Y SU BILLETERA. QUE FINALIZADO ESTE HECHO, LOS MALECHORES ASCENDIERON A LOS VEHICULOS Y SE DIERON A LA FUGA RAUDAMENTE. POSTERIORMENTE SE HIZO PRESENTE EL DAMNIFICADO EN LA GUARDIA POLICIAL A FIN DE RADICAR LA DENUNCIA.</t>
  </si>
  <si>
    <t>QUE SIENDO LAS 21:00 HORAS APROXIMADAMENTE DEL DIA 23-06-10 REGRESA LA COMISION POLICIAL JUNTAMENTE CON LA CAUSANTE, SOBRE QUIEN SE HA DISPUESTO LA LIBERTAD MEDIANTE OFICIO. MOTIVO POR EL CUAL Y FINALIZADAS LAS DILIGENCIAS ORDENADAS, SIENDO LAS 22:00 HORAS LA CAUSANTE SE RETIRA DE ESTA DEPENDENCIA POR SUS PROPIOS MEDIOS. PTO.-</t>
  </si>
  <si>
    <t>3833/10</t>
  </si>
  <si>
    <t>SE PROCEDE A LA APERTURA DE DOS SACAS COLECTORAS DEL CORREO OFICIAL, SEGUN CONSTA EN ACTA DEJANDO CONSTANCIA Nº 324/10, ACTA DE RETENCION DE CARGA Nº 0323/10, PREV.SUM. Nº 075/10 LA 1ª SACA, CON MARBETE SLA0212756D555600CRD, Y PRECINTO Nº C623629, CONTIENE CUATRO PIEZAS POSTALES IDENTIFICADAS COMO: 1ª EP656096187AR, RTTE: HAYDE MERCEDES SOSA, DOMICILIO URQUIZA Nº 345-PERICO-JUJUY-CP.4610 Y DEST: VALERIA EDITH SOSA, DOMICILIO VITO DUMAS CASA 53-USHUAIA-TIERRA DEL FUEGO-CP.9410, LA CUAL QUEDA RETENIDA. LA 2ª EP656098191AR 3ª EP656098205AR Y 4ª EP711648736AR, ESTAS TRES ULTIMAS PIEZAS POSTALES SON ENTREGADAS PARA SU REDESPACHO POR NO SER DE INTERES PARA EL PROCEDIMIENTO. LA 2ª SACA CON MARBETE SLA0210587D555800VAE, PRECINTO C623619, CONTIENE UNA PIEZA POSTAL IDENTIFICADA COMO EU820308945AR, RTTE: RAMONA CAUCUTA, DOMICILIO LAVALLE 292-EL CARMEN-JUJUY-CP. 4603 Y DEST: MARIELA ZAPANA, RETIRA DEL CORREO COMODORO RIVADAVIA -CHUBUT, LA CUAL QUEDA RETENIDA. LA RETENCION SE REALIZA ANTE LA PRESUNCION QUE PUDIERAN CONTENER ALGUN ELEMENTO EN INFRACCION A LA LEY 23.737 Y/O 22.415, QUEDANDO LAS MISMAS CERRADA Y EN GUARDA EN ESTA UOSP. SE COMUNICO TELEFONICAMENTE AL JUZGADO INTERVINIENTE, Y LA APERTURA SE REALIZARA CON LA AUTORIZACION DEL MAGISTRADO ACTUANTE.</t>
  </si>
  <si>
    <t>LA DAMNIFICADA ABORDO EL VUELO IB 8755 DE LA EMPRESA IBERIA EN LA CIUDAD DE NIZA FRANCIA DONDE DESPACHO SU EQUIPAJE POR BODEGA, Y UNA VEZ ARRIBADA A MADRID ESPAÑA EMBARCO EN EL VUELO ANTES MENCIONADO CON DESTINO A ESTE AEROPUERTO INTERNACIONAL. QUE AL MOMENTO DE ARRIBAR AL PAIS SE HIZO PRESENTE EN LA CINTA DE ARRIBOS DE LA TERMINAL A DONDE TOMO CONTACTO CON SU EQUIPAJE, DONDE OBSERVO LA ROTURA DEL CIERRE DEL MISMO Y AL APERTURARLO SE PERCATO DEL FALTANTE DE ELEMENTOS POR LO QUE SE HACE PRESENTE EN LA GUARDIA POLICIAL A FIN DE RADICAR LA DENUNCIA.</t>
  </si>
  <si>
    <t>NIZA</t>
  </si>
  <si>
    <t>Dr. RODOLFO MARIO MIQUELARENA</t>
  </si>
  <si>
    <t>EN EL DIA DE LA FECHA SE INICIAN ACTUACIONES SUMARIALES SEGUN EL ARTICULO 183 DEL CPPN, POR LA POSIBLE COMISION DEL DELITO DE HURTO EN CARACTER DE TENTATIVA. SE INFORMA QUE EN MOMENTOS QUE SE REALIZABA EL EMBARQUE CORRESPONDIENTE AL VUELO 1863 DE LA EMPRESA AEROLINEAS ARG. EL CIUDADANO HECTOR RESNIK CIPFA Nº 21000030, DENUNCIA VERBALMENTE LA SUSTRACCION DE DE UN CELULAR MARCA BLACK BERRY 9000 QUE HABIA DEPOSITADO EN LA CINTA DEL EQUIPO DE RAYOS X. SE REALIZA INSPECCION DEL EQUIPO PARA VER SI EL MENCIONADO TELEFONO HABRIA QUEDADO DENTRO DE LA MAQUINA, AL NO ENCONTRARLO, PERSONAL DE ESTA PSA REALIZA CONSULTA AL SISTEMA DE CIRCUITO CERRADO DE TV, PERTENECIENTE AL EXPLOTADOR DEL AEROPUERTO, LONDON SUPPLY, EN EL CUAL SE DETECTA A UN PASAJERO, MASCULINO, QUE TOMA EL APARATO EN CUESTION Y SE DIRIGE AL AVION. ACTO SEGUIDO SE DIRIGE UNA COMISIÓN POLICIAL HACIA LA AERONAVE SE INDIVIDUALIZA AL PASAJERO Y ANTE LA PRESENCIA DE DOS TESTIGOS SE PROCEDE A IDENTIFICARLO, SIENDO ESTE EL SR. CURAQUEO LUIS ALBERTO DNI 18066552, EL CUAL PREGUNTADO SI HABIA TOMADO EL TELEFONO EN CUESTION, MANIFIESTA QUE EL CELULAR LO HABIA DEJADO EN EL TACHO DE BASURA DEL BAÑO DE EMBARQUE. UNA VEZ RECUPERADO EL ELEMENTO ES RESTITUIDO AL PROPIETARIO, QUIEN CONTINUA SU VIAJE PROGRAMADO. INMEDIATAMENTE SE LE DA INTERVENCION AL JUZGADO FEDERAL DE TURNO DE LA PROVINCIA DEL CHUBUT, EL CUAL ORDENA SE INICIEN ACTUACIONES POR TENTATIVA DE HURTO, SE LO NOTIFIQUE DE LA CAUSA AL IMPUTADO, SE LO LIBERE Y SE CONTINUEN CON LAS ACTUACIONES DE RIGOR.</t>
  </si>
  <si>
    <t>SRIO AV S/INF LEY 23737 -.........-</t>
  </si>
  <si>
    <t>352/10 B</t>
  </si>
  <si>
    <t>SRIO AV S/INF LEY 23737 - PJE CAGANCHA Y RICHIERI -</t>
  </si>
  <si>
    <t>EN EL DIA DE LA FECHA SE RECIBE OFICIO NRO. 590 DE LA FISCALIA FEDERAL NRO. 1 DE ROSARIO A CARGO DEL DR. MARCELO DEGIOVANNI, DONDE ORDENA REALIZAR DISCRETAS TAREAS INVESTIGATIVAS CON EL OBJETO DE CORROBORAR O DESCARTAR LOS HECHOS DENUNCIADOS Y DAR CON SUS POSIBLES AUTORES Y PARTICIPES. ADJUNTA DENUNCIA RECIBIDA EN SEDE DE FISCALIA EN FORMA ANONIMA DONDE SE DESCRIBE A LA VIVIENDA UBICADA EN PJE. CAGANCHA EN SU INTERSECCION CON CALLE RICHIERI Y RELATA QUE EL PROPIETARIO DEL DOMICILIO DENUNCIADO PRESTA LA CASA PARA VIVIR A QUIENES COMERCIALICEN ESTUPEFACIENTES. LAS TAREAS INVESTIGATIVAS SE COMIENZAN POR ORDEN DE SERVICIO NRO. 146/2010 URSA IV DEL LITORAL.</t>
  </si>
  <si>
    <t>JUZGADO CIVIL Y COMERCIAL - D.J.N.-PROV.TDF</t>
  </si>
  <si>
    <t>DR. HORACIO BOCCARDO</t>
  </si>
  <si>
    <t>-S/EJECUTIVO-</t>
  </si>
  <si>
    <t>EXPTE 12875</t>
  </si>
  <si>
    <t>NOTIFICACION GONZALEZ JOSE Y HIGASHIHIGA ADRIANA</t>
  </si>
  <si>
    <t>PUNTO DE CONTROL MIGRATORIO RED LINCE</t>
  </si>
  <si>
    <t>EN EL DIA DE LA FECHA Y SIENDO LAS 18:10 HORAS SE PROCEDIO A NOTIFICAR A LOS CIUDADANOS GONZALEZ JOSE Y HIGASHIHIGA ADRIANA, MATRIMONIO, SOBRE LOS CUALES RECAE UN PEDIDO DE PARADERO SEGUN EL SISTEMA RED LINCE BAJO LOS REGISTROS 281268 Y Nº 281267, VINCULADO AL EXPTE Nº 12875 CARATULADO -S/EJECUTIVO- EN TRAMITE POR ANTE EL JUZGADO DE PRIMERA INSTANCIA EN LO CIVIL Y COMERCIAL DJN TIERRA DEL FUEGO. EN EL MARCO DE LA PRESENTE CAUSA FIJARON DOMICILIO REAL EN CALLE - EDISON Nº 787- DE LA CIUDAD DE RIO GRANDE, TDF, QUE UNA VEZ NOTIFICADOS CONTINUARON CON SU VIAJE PROGRAMADO.</t>
  </si>
  <si>
    <t>MARTIN GOVETTO</t>
  </si>
  <si>
    <t>S/ HURTO</t>
  </si>
  <si>
    <t>PLAYA DE ESTACIONAMIENTO PUBLICO</t>
  </si>
  <si>
    <t>EL DIA 18 DE JUNIO SE PRESENTA EL SEÑOR JAVIER RUBEN HOWLING PARA RADICAR UNA DENUNCIA POR EL ROBO DE UNA RUEDA DE AUXILIO DE UN VEHICULO MARCA VW GOL DOMINIO IDD 651 ESTACIONADO EN LA PLAYA DE ESTACIONAMIENTO DE ESTE AEROPUERTO DICHO AUTOMOVIL PERTENECE A LA EMPRESA PATAGONIA RENTA CAR, EL CUAL, SEGUN LO MANIFESTADO POR EL DENUNCIANTE TENIA FORZADA LA CERRADURA DEL BAUL, POR PROBLEMAS PERSONALES NO TERMINA CON LA DENUNCIA DEBIENDO RETIRARSE A LA CIUDAD, MANIFESTANDO QUE VOLVERIA AL DIA SIGUIENTE PARA CONTINUAR CON LA DENUNCIA, RECIEN SE PRESENTA EN EL DIA DE LA FECHA 24/06/10 MANIFESTANDO QUE QUERIA CONTINUAR CON LA DENUNCIA POR LO QUE SE PROCEDE A LA CONFECCION DE LA MISMA CON FECHA DEL DIA DE HOY, EL CIUDADANO MANIFIESTA EN EL ESCRITO QUE SE DIO CUENTA DE LA SUSTRACCION EN UN LAVADERO DEL CENTRO DE LA CIUDAD, Y QUE EN EL DIA DE LA FECHA PROCEDIO A CONTRATAR UN CERRAJERO PARA PROCEDER AL ARREGLO DEL VEHICULO, TRAS LA CONFECCION DE LA DENUNCIA ME COMUNICO CON EL JUZGADO PROVINCIAL CON EL FISCAL DE TURNO DR. PICHETTO QUIEN ME ORDENA LA CONSTATACION DE LOS DAÑOS DEL VEHICULO, CROQUIS DEL LUGAR EN EL QUE SE ENCUENTRA Y SE ENCONTRABA EL AUTO Y QUE ELEVE TODO LO RECABADO JUNTO CON LA DENUNCIA A LA FISCALIA Nº 3 A CARGO DEL DR. LISTA</t>
  </si>
  <si>
    <t>UBICADA EN EL BARRIO DE RETIRO DE LA CIUDAD AUTONOMA DE BUENOS AIRES</t>
  </si>
  <si>
    <t>TERMINAL DE OMNIBUS DE LA EMPRESA MANUEL TIENDA LEON, FRENTE AL HOTEL SHERATON.</t>
  </si>
  <si>
    <t>SIENDO LAS 1645 HORAS APROXIMADAMENTE LA DAMNIFICADA ABORDA UN MICRO DE LA EMPRESA MANUEL TIENDA LEON EN EL BARRIO DE RETIRO DE LA CIUDAD AUTONOMA DE BUENOS AIRES CON DESTINO AL AEROPUERTO INTERNACIONAL. POSTERIORMENTE DESCIENDIO DEL OMNIBUS DE LA EMPRESA MANUEL TIENDA LEON EN ESTE AEROPUERTO INTERNACIONAL Y SE PERCATO DE QUE SU CARTERA DE COLOR NEGRO LA CUAL PORTABA CONSIGO SE ENCONTRABA VACIA NOTANDO EL FALTANTE DE LOS ELEMENTOS DESCRIPTOS POR LO QUE SE DIRIGE A LA GUARDIA DE PREVENCION A RADICAR LA DENUNCIA.</t>
  </si>
  <si>
    <t>CORRECCIONAL Nº 8</t>
  </si>
  <si>
    <t>SECRETARIA Nº 61</t>
  </si>
  <si>
    <t>Garcia</t>
  </si>
  <si>
    <t>Raul Juan Emilio</t>
  </si>
  <si>
    <t>DR. OSVALDO GONZALO VAZQUEZ</t>
  </si>
  <si>
    <t>QUE SIENDO LA HORA INDICADA SE RECIBE POR PARTE DE LA DNM MEDIANTE NOTA AL CIUDADANO DE MENCIÓN SOBRE QUIEN PESA DICHA RESTRICCIÓN EMANADA POR EL JUZGADO ANTES DESCRIPTO. QUE UNA VEZ ANOTICIADO EL JUZGADO SOLICITANTE S.SA DISPONE SE NOTIFIQUE AL CAUSANTE QUE DEBE COMPARECER EN DICHA SEDE JUDICIAL DENTRO DE LOS CINCO DÍAS DE SER NOTIFICADO A EFECTOS DE REGULARIZAR SU SIUACION JUDICIAL, DEBIENDO FIJAR DOMICILIO EN EL PAIS, TRES JUEGOS DE FICHAS, COMPULSA A REINCIDENCIA LA CUAL SE HARÁ EFECTIVA DESDE LA SEDE JUDICIAL, QUE UNA VEZ FINALIZADAS LAS DILIGENCIAS EL CAUSANTE SE RETIRA DE ESTA DEPENDENCIA POR SUS PROPIOS MEDIOS CONFORME CON LOS TRATOS RECIBIDOS, DEBIENDO SER ELEVADO TODO LO ACTUADO EL DÍA LUNES 28/06/10.-</t>
  </si>
  <si>
    <t>AR1953</t>
  </si>
  <si>
    <t>AMENAZA DE BOMBA</t>
  </si>
  <si>
    <t>QUE SE RECIBE EN ESTA DEPENDENCIA UNA LLAMADA TELEFONICA POR PARTE DEL OFICIAL CENTURION CESAR, NUMERARIO DE LA POLICIA METROPOLITANA, INFORMANDO QUE HABIA RECEPCIONADO AL SISTEMA DE EMERGENCIAS 113 UN LLAMADO DESDE EL N° DE ABONADO 011-1552126528, EN EL CUAL UNA VOZ MASCULINA MANIFESTO QUE PONDRIAN UNA BOMBA EN LAS INSTALACIONES DEL AEROPUERTO INTERNACIONAL DE EZEIZA, SIN MAS DATOS. POR CONSIGUIENTE SE DA INTERVENCION AL JUZGADO EN TURNO QUIEN DISPONE SE DE INMEDIATO AVISO AL PERSONAL POLICIAL CAPACITADO EN DESACTIVACION DE EXPLOSIVOS DEBIENDO REALIZAR LAS TAREAS QUE CREAN NECESARIAS A FIN DE EVACUAR CUALQUIER AMENAZA, DEBIENDO A SU VEZ REALIZAR INFORMES DIARIOS DURANTE 48 HORAS. POR LO EXPUESTO SE DIO INTERVENCION AL PERSONAL DEL GEDEX QUIENES EFECTUARON LOS CONTROLES PERTINENTES.</t>
  </si>
  <si>
    <t>SIENDO LAS 07:35 HORA LOCAL ARRIBA AERONAVE MATRICULA LV BRY DE LA EMPRESA LAN ARGENTINA PROCEDENTE DE AEROPUERTO JORGE NEWBERY EN CUYAS BODEGAS 31,32 Y 42 SE DESPACHAN CON DESTINO A AEROPUERTO JORGE NEWBERY 101 CAJAS CON UN PESO DE 2.373 KILOGRAMOS DE METAL - MTD - ENTREGADO POR MINERA SANTA CRUZ. EL VUELO DESPEGA A LAS 08:31 HORA LOCAL SIN NOVEDAD. SE DIO CUMPLIMIENTO A ORDEN DE SERVICIO NRO 55/2010.</t>
  </si>
  <si>
    <t>DR. BOSSIE EDUARDO CESAR</t>
  </si>
  <si>
    <t>HALL PRINCIPAL DEL HOTEL EL CONQUISTADOR UBICADO EN LA CALLE SUIPACHA Nº 948, C.A.B.A.</t>
  </si>
  <si>
    <t>SIENDO LA HORA ANTES MENCIONADA SE PRESENTO EL DAMNIFICADO CON MOTIVO DE DENUNCIAR UN HECHO DE CARÁCTER DELICTIVO, EL MISMO MANIFESTO QUE SIENDO APROXIMADAMENTE LAS 09:00 HORAS SE ENCONTRABA EN EL HALL PRINCIPAL DEL HOTEL EL CONQUISTADOR Y FUE VICTIMA DE LA SUSTRACCION DE SU MALETIN EL CUAL CONTENIA ELEMENTOS DE VALOR EN SU INTERIOR POR LO QUE RADICA LA DENUNCIA CORRESPONDIENTE.</t>
  </si>
  <si>
    <t>robo/hurto</t>
  </si>
  <si>
    <t>SECTOR F 14-13 DEL PLANO GRILLADO DEL AEROPUERTO</t>
  </si>
  <si>
    <t>CALLE DE RODAJE CHARLY</t>
  </si>
  <si>
    <t>INFORMO EN EL DIA DE LA FECHA SE PRESENTA EL SR. CONTRERAS JEFE DE OPERACIONES DE AEROPUERTOS ARGENTINA 2000 SALTA, MANIFESTANDO QUE EN UN RECORRIDO REALIZADO A HS. 09:40 POR CALLE DE RODAJE Nº 1 DE ESTE AEROPUERTO DETECTA EL FALTANTE DE 07 (SIETE) TULIPAS DEL SISTEMA DE BALIZAMIENTO. PERSONAL DE ESTA UOSP SE DIRIJE AL LUGAR DEL HECHO REALIZANDO UNA INSPECCION OCULAR Y TOMANDO FOTOGRAFIAS DEL SECTOR. SE PROCEDE A REALIZAR COMUNICACIÓN TELEFONICA CON EL JUZGADO DE TURNO, QUIEN DISPONE SE REALICEN LAS ACTUACIONES CORRESPONDIENTES Y SEAN ELEVADAS A LA BREVEDAD</t>
  </si>
  <si>
    <t>JUZGADO CORRECCIONAL 5° NOMINACION</t>
  </si>
  <si>
    <t>COSTA</t>
  </si>
  <si>
    <t>Eduardo Enrique</t>
  </si>
  <si>
    <t>ADRIAN CARLOS ALBERTO ORSO</t>
  </si>
  <si>
    <t>HURTO EQUIPAJE DE BODEGA</t>
  </si>
  <si>
    <t>ENTREGA DE EQUIPAJE DESPACHADO POR BODEGA</t>
  </si>
  <si>
    <t>HALL DE ARRIBOS INTERNACIONALES - EZEIZA</t>
  </si>
  <si>
    <t>LA DENUNCIANTE MANIFIESTA QUE ARRIBADA AL DESTINO FINAL, AL RETIRAR EL EQUIPAJE DE BODEGA DESPACHADO EN ORIGEN CON UN PESO DE 23KG BAJO EL NUMERO DE MARBETE 055AZ637561, DETECTA EL FALTANTE DE UNA PARTE DEL MISMO, POR LO QUE REALIZA RECLAMO ANTE LA EMPRESA -DEL CUAL ADJUNTA COPIA A LA DENUNCIA-DONDE CONSTATAN UNA DIFERENCIA DE PESO DE 8KG. LUEGO DE VARIOS RECLAMOS ANTE LA AEROLINEA TRANSPORTADORA, LE REQUIEREN DE LA MISMA LA RADICACION DE DENUNCIA POLICIAL, COMO CONDICION PARA PROSEGUIR CON LOS TRAMITES DE RECLAMO. ASIMISMO ADJUNTA A LA DENUNCIA COPIA DE LOS BOARDING PASS, MARBETES Y MAIL ENVIADO POR LA EMPRESA AEREA.</t>
  </si>
  <si>
    <t>UX 1044</t>
  </si>
  <si>
    <t>INFRACCION AL ART. 38 DEL DECRETO LEY 8031/73</t>
  </si>
  <si>
    <t>SIENDO LA FECHA Y HORA ANTES MENCIONADA, EN MOMENTOS EN QUE LOS OFICIALES KARINA PAULA HANEMANN Y CARLOS GABRIEL SACOR SE ENCONTRABAN EN UNA RECORRIDA POR EL SECTOR MENCIONADO CON ANTERIORIDAD, OBSERVAN Y SORPRENDEN A DOS PERSONA DE SEXO MASCULINO, LAS CUALES SE ENCONTRABAN TOMANDOSE A GOLPES DE PUÑO. SE PROCEDE A LA IDENTIFICACION, APREHENSION PREVENTIVA DE LOS CAUSANTES. ACTO SEGUIDO SE TRASLADA A LOS INFRACTORES AL SERVICIO DE SANIDAD Y LUEGO A LA OFICINA DE CONTRAVENCIONES Y FALTAS DONDE SE LABRA LA CORRESPONDIENTE ACTA Y SE EFECTUA CONSTATACION DE ANTECEDENTES PENALES DE LOS INFRACTORES. LUEGO DE REALIZADO ESTOS TRAMITES LOS INFRACTORES SE RETIRAN POR SUS PROPIOS MEDIOS.-</t>
  </si>
  <si>
    <t>DEBORA GEZ</t>
  </si>
  <si>
    <t>AVERIGUACION DE DAÑOS</t>
  </si>
  <si>
    <t>PLAYA CENTRAL SECTOR NORTE DE LA MISMA</t>
  </si>
  <si>
    <t>PLAYA CENTRAL DEL AEROPUERTO</t>
  </si>
  <si>
    <t>SIENDO APROXIMADAMENTE LAS 13:00 HORAS SE PRESENTA LA DENUNCIANTE, LA CUAL MANIFIESTA QUE EN EL VEHICULO DE SU PROPIEDAD MARCA FORD ESCORT, CON PLACA NUMERO CMT-687 ESTACIONADO DURANTE LA MAÑANA EN LA PLAYA, LE HABRIAN OCACIONADO APARENTEMENTE UN GOLPE EN EL PARAGOLPE DE LA PARTE DELANTERA DERECHA, SE HACE PRESENTE EN EL LUGAR EL OFICIAL PUCHE PARA CONSTATAR LO MANIFESTADO POR LA DENUNCIANTE, SE REALIZA UNA INSPECCION OCULAR Y SE TOMAN FOTOGRAFIAS DEL AUTOMOTOR, SE LE TOMA DECLARACION TESTIMONIAL A PERSONAL DE LA EMPRESA SASA APOSTADO EN EL LUGAR, EL CUAL MANIFIESTA NO HABER PRESENCIADO ACCIDENTE ALGUNO, POSTERIOR A ELLO SE REALIZA COMUNICACION TELEFONICA CON LA AUTORIDAD JUDICIAL CORRESPONDIENTE A QUIEN SE LE INFORMA LO SUCEDIDO Y QUIEN DISPONE: 1° QUE LA DENUNCIA SE REALICE EN LA UNIDAD FISCAL, 2° SE REALICE UNA INSPECCION OCULAR DEL VEHICULO Y 3° SE ELEVEN LAS ACTUACIONES UNA VEZ FINALIZADAS LAS MISMAS, A LO QUE SE DA ESTRICTO CUMPLIMIENTO</t>
  </si>
  <si>
    <t>FEDERAL DE 1ERA INSTANCIA-ROQUE SAENZ PEÑA</t>
  </si>
  <si>
    <t>NIREMPERGER</t>
  </si>
  <si>
    <t>Zunilda</t>
  </si>
  <si>
    <t>BOSCH ENRIQUE</t>
  </si>
  <si>
    <t>POLICIA DE SEGURIDAD AEROPORTUARIA - UNIDAD REGIONAL IV DEL LITORAL - UOCN y DC - RESISTENCIA - S/ SOLICITAN MEDIDAS - LEY 23737-</t>
  </si>
  <si>
    <t>280/2010</t>
  </si>
  <si>
    <t>PSA - URSA IV DEL LITORAL - UOCNyDC RESISTENCIA S/ SOLICITAN MEDIDAS - LEY 23737</t>
  </si>
  <si>
    <t>LOCALIDAD DE ROQUE SAENZ PEÑA Y /O ALREDEDORES - PROVINCIA DEL CHACO</t>
  </si>
  <si>
    <t>EN EL DIA DE LA FECHA SE RECIBE OFICIO NRO. 2576/2010 DEL JUZGADO FEDERAL DE PRIMERA INSTANCIA DE ROQUE SAENZ PEÑA, PROVINCIA DEL CHACO, A CARGO DE LA DRA. ZUNILDA NIREMPERGER, SECRETARIA PENAL - CORRECCIONAL, DONDE ORDENA EFECTUAR TAREAS INVESTIGATIVAS A EFECTOS DE CORROBORAR LOS HECHOS DENUNCIADOS, DEBIENDO DETERMINAR LOS ALCANCES, LOS MIEMBROS Y/O PARTICIPES Y/O INSTIGADORES Y/O ENCUBRIDORES, AUTORIZANDO A TRABAJAR CON LA DIVISIÓN OPERACIONES METROPOLITANAS DE LA POLICIA DE LA PROVINCIA DEL CHACO, A CARGO DEL COMISARIO MAYOR LUCIO ELIO CABRAL. LOS HECHOS DENUNCIADOS CORRESPONDEN AL ATERRIZAJE DE AERONAVES EN ZONA COMPRENDIDA DE LA RUTA NACIONAL NRO. 16, EN CERCANÍA DE LA LOCALIDAD DE ROQUE SAENZ PEÑA, PROVINCIA DEL CHACO, CONSIDERADO EL INGRESO DE AERONAVES POR ESA ZONA, COMO TRANSITO AEREO ILEGAL. LAS TAREAS INVESTIGATIVAS SE COMIENZAN POR ORDEN DE SERVICIO NRO. 150/2010 URSA IV DEL LITORAL.</t>
  </si>
  <si>
    <t>PUESTO DE CONTROL NRO 1, HALL DE PREEMBARQUE DE CABOTAJE, SALA VIP DE CABOTAJE.</t>
  </si>
  <si>
    <t>POR EL PRESENTE INFORMO SE DIO CUMPLIMIENTO A O.S. 025/10 DEL DIA DE LA FECHA CON MOTIVO DEL ARRIBO Y SALIDA DEL SEÑOR MINISTRO DE PLANIFICACION DE LA NACION Y COMITIVA. LA CITADA O.S. SE CUMPLIMENTO SIN NOVEDAD</t>
  </si>
  <si>
    <t>VEHICULO DE ALQUILER QUE REALIZO TRASLADO DESDE LA C.A.B.A. HASTA EL AEROPUERTO INTERNACIONAL DE EZEIZA</t>
  </si>
  <si>
    <t>QUE SIENDO APROXIMADAMENTE LAS 0750 HORAS ARRIBO A ESTE MEDIO LA DAMNIFICADA PROVENIENTE DE LA CIUDAD AUTÓNOMA DE BUENOS AIRES ABORDO DE UN VEHICULO DE ALQUILER DE COLOR GRIS DEL CUAL NO RECUERDA MARCA Y MODELO, ACOMPAÑADA POR UN VEHICULO DEL TIPO VAN MARCA HIUNDAI MODELO H1, EN EL CUAL VIAJABAN PERSONAS QUE ACOMPAÑABAN A LA DAMNIFICADA Y LOS EQUIPAJES DE LA MISMA ENTRE LOS CUALES SE ENCONTRABA UN CUADRO REALIZADO POR LA ARTISTA LIDY PRATI, VALUADO EN SEIS MIL DÓLARES ESTADOUNIDENSES. QUE AL ARRIBAR A ESTE MEDIO LA DAMNIFICADA JUNTAMENTE CON LAS PERSONAS QUE LA ACOMPAÑABAN EN EL VEHICULO TIPO VAN, DESCIENDEN DE AMBOS VEHÍCULOS DESCARGANDO LOS EQUIPAJES, DEJANDO OLVIDADO EN EL ASIENTO DELANTERO DE LA VAN EL CUADRO ANTES DESCRITO. Y QUE UNA VEZ QUE LA DAMNIFICADA INGRESA AL SECTOR DE PLATAFORMA OPERATIVA DE ESTE AEROPUERTO A FIN DE ABORDAR UN VUELO PRIVADO CON DESTINO A CARACAS VENEZUELA, Y SE PERCATA DEL FALTANTE DEL CUADRO, RAZÓN POR LA CUAL SE DIRIGE A ESTA DEPENDENCIA Y RADICA LA PRESENTE DENUNCIA. SE INFORMA EN PU Nº 3878 QUE SIENDO LAS 1900 HORAS DEL DIA DE LA FECHA SE HIZO PRESENTE EN LA GUARDIA POLICIAL EL CHOFER DEL VEHICULO DE ALQUILER EN EL QUE SE TRANSPORTO LA DAMNIFICADA A ESTE AEROPUERTO JUNTO CON EL CUADRO DENUNCIADO COMO FALTANTE, POR LO QUE SE EFECTUA COMUNICACION CON LA JUDICATURA ACTUANTE QUIEN DISPUSO LA APREHENSION DEL CHOFER EN CALIDAD DE COMUNICADO HASTA QUE SE RECIBAN LOS RESULTADOS DE REINCIDENCIA Y DE NO MEDIAR IMPEDIMENTO LEGAL VIGENTE SE PROCEDA A LA LIBERACION DEL DETENIDO. POSTERIORMENTE SE PROCEDIO AL SECUESTRO DEL CUADRO, EL CUAL EN UN PRIMER MOMENTO ERA CATALOGADO COMO ELEMENTO SUSTRAIDO. SIENDO LAS 0500 HORAS DEL DIA 26 DEL CORRIENTE MES Y AÑO SE PROCEDIO A LA LIBERACION DEL IMPUTADO POR NO MEDIAR IMPEDIMENTO LEGAL ALGUNO RETIRANDOSE DE LA DEPENDENCIA POLICIAL CON SUS ELEMENTOS PERSONALES QUE ESTABAN EN RESGUARDO DE LA UNIDAD.</t>
  </si>
  <si>
    <t>3834/10</t>
  </si>
  <si>
    <t>CON RELACION A LOS DETENIDOS EN EL MARCO DE LA CAUSA LOS MISMOS FUERON TRASLADADOS POR ORDEN DEL MAGISTRADO INTERVINIENTE A LA UNIDAD 28. CON RELACION A LOS ARRESTADOS LOS MISMOS FUERON LIBERADOS POR ORDEN JUDICIAL, DESDE LAS INSTALACIONES DE LA UOSP METROPOLITANA.</t>
  </si>
  <si>
    <t>JUZGADO NACIONAL EN LO CORRECCIONAL Nº 7</t>
  </si>
  <si>
    <t>ROJAS OMAR</t>
  </si>
  <si>
    <t>CAUSANTE INTERCEPTADO EN AV. COSTANERA RAFAEL OBLIGADO A 500 METROS EN DIRECCION SUR DEL LUGAR DEL HECHO</t>
  </si>
  <si>
    <t>SIENDO LAS 13:10 HORAS APROXIMADAMENTE, SE RECIBE COMUNICACIÓN POR PARTE DEL OF. ARIZA, QUIEN INFORMA DE LA COMISION DE UN HECHO DELICTIVO, EN LA VEREDA DEL SECTOR A2. SEGÚN LO RELATADO EL DAMNFICADO QUE HABIA ARRIBADO PROCEDENTE DE USHUAIA TIERRA DEL FUEGO EN VUELO AR 1856 DE LA EMPRESA AEROLINEAS ARGENTINAS, MIENTRAS ERA DISTRAIDO POR UN MASCULINO, OTRA PERSONA A LA CUAL NO ALCANZO A VISUALIZAR LE SUSTRAJO SU MALETIN. RESULTANDOLE SOSPECHOSO EL MASCULINO SITADO ANTERIORMENTE, QUIEN LE ESTABA DANDO CONVERSACION. INMEDIATAMENTE LA PERSONA QUE LO DISTRAJO SALIO CORRIENDO POR LA AVENDIA RAFAEL OBLIGADO EN DIRECCION A LA AVENIDA SARMIENTO. EL OFICIAL INTERVINIENTE, JUNTO AL OFICIAL LOPEZ, ENTERADOS DEL HECHO COMIENZAN A PERSEGUIR AL MASCULINO OBSERVANDO A UNOS 500 METROS DE DISTANCIA APROXIMADAMENTE DEL LUGAR DEL HECHO SOBRE LA VEREDA CONTRARIA AL AEROPUERTO A PERSONAL DE LA PREFECTURA NAVAL QUE CONTENIA A DOS MASCULINOS POSADOS SOBRE EL SUELO. SE HIZO PRESENTE EN EL LUGAR PERSONAL DE AA2000 QUIENES OFICIARON DE TESTIGOS DEL HECHO IDENTIFICANDO AL DAMNIFICADO Y AL CAUSANTE. CABE SEÑALAR QUE EN NINGUN MOMENTO SE ENCONTRARON LOS ELEMENTOS SUSTRAIDOS OBJETO DE LA PRESENTE. SEGUIDAMENTE A PEDIDO DE PERSONAL DE LA PSA SE TRASLADAN TODOS LOS PARTICIPANTES DEL HECHO A LA GUARDIA DE PREVENCION PARA REALIZAR LAS DILIGENCIAS LEGALES, PROCEDIENDOSE POR ORDEN DE LA JUDICATURA ACTUANTE A LA DETENCION DEL CAUSANTE. CABE DESTACAR QUE PERSONAL PSA DEL COC INFORMO QUE EN LOS REGISTROS FILMICOS OBRANTES EN DICHA AREA SE OBSERVO UN VEHICULO MARCA RENAULT MODELO MEGANE COLOR BLANCO EL CUAL ES ABORDADO POR UN MASCULINO LLEVANDO UN PORTA NOTEBOOK COMO EL DESCRIPTO POR EL DAMNIFICADO. SE INFORMA EN PU Nº 3877 DEL DIA 26 DEL MES Y AÑO EN CURSO EN HORAS 0010 SE PROCEDIO A LA LIBERACION DEL IMPUTADO POR NO REGISTRAR IMPEDIMENTO LEGAL ALGUNO RETIRANDOSE CON SUS ELEMENTOS PERSONALES QUE ESTABAN EN RESGUARDO DE LA UNIDAD OPERACIONAL.</t>
  </si>
  <si>
    <t>ESTACION DE SERVICIO PETROBRAS HASTA HOTEL SHERATON DE LA C.A.B.A.</t>
  </si>
  <si>
    <t>VEHICULO TAXI TOMADO EN EL SECTOR PERGOLA DE LA TERMINAL A</t>
  </si>
  <si>
    <t>QUE UNA VEZ ARRIBADO EL DAMNIFICADO A ESTA AEROSTACION, PROVENIENTE DE FRANKFURT ALEMANIA EN EL VUELO LH 510 DE LA EMPRESA LUFTHANSA, SIENDO APROXIMADAMENTE LAS 1900 HORAS SE DIRIGIO AL SECTOR PERGOLA DE LA TERMINAL A A LOS EFECTOS DE ABORDAR UN VEHICULO TAXI. EN TAL CIRCUNSTANCIA SE SUBE OTRO MASCULINO AL SECTOR DE ACOMPAÑANTE DEL VEHICULO TAXI QUIEN ENTABLA UNA CONVERSACION CON EL CHOFER DE DICHO VEHICULO. ACTO SEGUIDO SE DIRIGEN A LA ESTACION DE SERVICIO PETROBRAS DE ESTE AEROPUERTO, Y ACUERDAN EL PRECIO DEL VIAJE CON EL DENUNCIANTE. A TAL EVENTO EL CHOFER DE TAXI DESCIENDE DEL VEHICULO Y TOMA EL CONTROL DE MANEJO EL OTRO MASCULINO, PERDIENDO EL DAMNIFICADO DE VISTA SUS PERTENENCIAS POR UNOS SEGUNDOS, LAS CUALES SE ENCONTRABAN A SU LADO, SIENDO ESTAS UNA MOCHILA DE COLOR NEGRO Y UNA VALIJA TIPO CARRY ON COLOR NEGRO. QUE UNA VEZ EN EL HOTEL SHERATON DE LA C.A.B.A. EL DAMNIFICADO AL MOMENTO DE ABONAR EL TAXI, EL CHOFER LE MANIFIESTA QUE NO HACIA FALTA PAGAR, Y QUE YA ESTABA ARREGLADO. UNA VEZ EN EL HOTEL Y AL MOMENTO DE PRESENTAR SU DOCUMENTACION, EL DAMNIFICADO SE PERCATO DEL FALTANTE DE LA SUMA DE CUATRO MIL DOLARES ESTADOUNIDENSES QUE SE ENCONTRABAN EN EL BOLSILLO DE LA MOCHILA MENCIONADA CON ANTERIORIDAD, POR LO QUE EN EL DIA DE LA FECHA SE PRESENTA EN LA GUARDIA POLICIAL A RADICAR LA CORRESPONDIENTE DENUNCIA.</t>
  </si>
  <si>
    <t>VIA DE SALIDA DEL ESTACIONAMIENTO</t>
  </si>
  <si>
    <t>TAQUILLA DE PAGO DEL ESTACIONAMIENTO</t>
  </si>
  <si>
    <t>EL OFICIAL OLIVA ENCONTRANDOSE DE GUARDIA EN EL PUESTO TAQUILLA, ES INFORMADO POR PERSONAL DEL PARKING DE AA2000, QUE EL VEHICULO CHEVROLET AVEO DOMINIO IZM 302, NO POSEIA TICKET DE SALIDA CORRESPONDIENTE, ADEMAS DE FIGURAR EN EL SISTEMA COMO VEHICULO INHABILITADO. EL PERSONAL POLICIAL AL OBSERVAR QUE DICHO VEHICULO REALIZABA LABOR DE REMIS TRANSPORTANDO EN ESE INSTANTE PASAJEROS ABORDO, LE SOLICITA LA HABILITACION PARA REALIZAR DICHA TAREA, MANIFESTANDO EL CONDUCTOR NO POSEELA. SE LE INFORMA LA FALTA COMETIDA Y SE LE INICIAN LAS ACTUACIONES CORRESPONDIENTES.</t>
  </si>
  <si>
    <t>PLAYA DE ESTACIONAMIENTO FRENTE AL SECTOR DE ARRIBOS</t>
  </si>
  <si>
    <t>INFORMO QUE EN EL DIA DE LA FECHA SE PRESENTA EL SR. CLAUDIO ANTONIO SANCHEZ A RADICAR UNA DENUNCIA POR EL FALTANTE DEL LOGOTIPO CROMADO DE METAL, DE LA PARTE POSTERIOR DE SU VEHICULO, AUDI DOMINIO FAJ 331, QUE DEJO EN LA PLAYA DE ESTACIONAMIENTO DEL AEROPUERTO SALTA EL 24 DE JUNIO DEL CORRIENTE MES, REGRESANDO EL 26 DE JUNIO. EL JEFE DE TURNO OF.MY. FABIAN MIGUEL, INTENTA ESTABLECER COMUNICACION TELEFONICA CON EL JUZGADO DE TURNO, CON RESULTADO NEGATIVO, PERSONAL DE ESTA UOSP CONSTATA EL FALTANTE Y SIN ENCONTRAR INDICIOS DE ALGUN ELEMENTO QUE PUDIERA HABER SIDO UTILIZADO EN EL HECHO.</t>
  </si>
  <si>
    <t>NAC DE 1º INST EN LO CRIMINAL DE INST Nº 48</t>
  </si>
  <si>
    <t>DR. JORGE ARIA OBARRIO</t>
  </si>
  <si>
    <t>SIENDO LA HORA ANTES MENCIONADA SE HACE PRESENTE EN ESTA GUARDIA EL DAMNIFICADO, INDICANDO QUE EN EL AEROPUERTO DE MONTEVIDEO DESPACHO POR BODEGA UNA VALIJA CON CANDADO CON COMBINACION ALFANUMERICA, Y AL ARRIBAR A ESTE AEROPUERTO, Y AL MOMENTO DE RETIRAR SU EQUIPAJE DE LA CINTA, VERIFICO QUE LA MISMA YA NO TENIA EL CANDADO COLOCADO, POR ESE MOTIVO PROCEDIO A REVISAR EL MISMO, PERCATANDOSE DEL FALTANTE DE SU CAMPERA, POR LO QUE REALIZA LA DENUNCIA CORRESPONDIENTE.</t>
  </si>
  <si>
    <t>PU 8179</t>
  </si>
  <si>
    <t>3872/10</t>
  </si>
  <si>
    <t>SIENDO LAS 00:00 HORAS DEL DIA 26 DEL CORRIENTE MES Y AÑO, AL NO MEDIAR IMPEDIMENTO LEGAL ALGUNO SE PROCEDE A LA LIBERACION DEL SEÑOR BONY CRISTIAN ALVARADO CASTILLO, RETIRANDOSE DE ESTA DEPENDENCIA POR SUS PROPIOS MEDIOS SIN NOVEDAD.-</t>
  </si>
  <si>
    <t>3870/10</t>
  </si>
  <si>
    <t>QUE SIENDO LAS 19:00 HS DEL DIA 25/06/2010 SE HIZO PRESENTE EL CHOFER DEL REMIS EN EL QUE SE TRANSPORTO LA DENUNCIANTE A ESTE AEROPUERTO JUNTO CON LA PINTURA DENUNCIADA COMO FALTANTE, MANIFESTANDO QUE DICHA PINTURA ERA LA QUE LA DENUNCIANTE DEJO EN EL VEHICULO QUE MANEJABA AL MOMENTO DE TRANSPORTARLA A ESTE AEROPUERTO, MOTIVO POR EL CUAL SE DIO INTERVENCION A LA FISCALIA INTERVINIENTE QUIEN DISPUSO LA APREHENSION EN CALIDAD DE COMUNICADO DEL MISMO HASTA QUE SE RECIBAN RESULTADOS DE REINCIDENCIA Y EN CASO DE QUE LOS MISMOS ARROJEN RESULTADO NEGATIVO ANTE LA PRESENCIA DE IMPEDIMENTOS LEGALES VIGENTES SE PERMITA LA LIBRE CIRCULACION DEL MISMO DESDE ESTA DEPENDENCIA. ATENTO A ELLO SE PROCEDIO A LA INCAUTACION PREVENTIVA DE LA PINTURA DENUNCIADA COMO FALTANTE Y SIENDO LAS 05:00 HS. DEL DIA DE LA FECHA SE PROCEDIO A LA LIBERACION DEL CAUSANTE DESDE EL ASIENTO DE ESTA DEPENDENCIA DEBIDO A QUE EL MISMO NO PRESENTABA IMPEDIMENTOS LEGALES VIGENTES SOBRE SU PERSONA. PTO.-</t>
  </si>
  <si>
    <t>PRIVADO</t>
  </si>
  <si>
    <t>FRIAS, MARIANO</t>
  </si>
  <si>
    <t>A 300 MTS DE CABECERA SUR 01</t>
  </si>
  <si>
    <t>EL DIA DE LA FECHA, MIENTRAS EL OFICIAL AYUDANTE SOLER DIEGO Y EL OFICIAL AYUDANTE SILVA, MIGUEL, REALIZABAN RECORRIDA POR ALAMBRADO PERIMETRAL, SIENDO LAS 10:20 HORAS APROXIMADAMENTE, AL LLEGAR A LA ALTURA DEL PORTON ACCESO SUR, UBICADO A 300 METROS APROXIMADAMENTE DE LA CABECERA SUR 01, OBSERVAN LA ROTURA Y DESPLAZAMIENTO DEL ALAMBRADO ROMBOIDAL COLOCADO EN UNA DE LAS HOJAS DEL PORTON, VISTA DE FRENTE LA HOJA IZQUIERDA, POR LO QUE SE PROCEDE EN EL MOMENTO A REALIZAR UNA INSPECCION OCULAR EN EL LUGAR, CON RESULTADO NEGATIVO, POSTERIORMENTE SE REALIZAN TOMAS FOTOGRAFICAS, Y SE INFORMA A PERSONAL DE MANTENIMIENTO DE AEROPUERTOS ARGENTINA 2000, A EFECTOS QUE REALICE LA REPARACION CORRESPONDIENTE. SIENDO LAS 11:10 HORAS SE REALIZA COMUNICACION CON EL JUZGADO FEDERAL DE SAN LUIS, COMUNICANDOSE CON LA PERSONA DEL SECRETARIO DR. MARIANO FRIAS, A QUIEN SE LE IMPONEN DE LOS HECHOS, DISPONIENDO SE INICIEN LAS ACTUACIONES CORRESPONDIENTES, SE CONFECCIONE CROQUIS, SE TOMEN FOTOGRAFIAS Y SE ELEVEN LAS MISMAS PARA LA PROSECUSION DE LOS TRAMITES. SIENDO LAS 11:40 PERSONAL DE MANTENIMIENTO DE AEROPUERTOS ARGENTINA 2000, INFORMA QUE LA TELA ROMBOIDAL DEL PORTON DE ACCESO SUR HA SIDO REPARADA.</t>
  </si>
  <si>
    <t>INFRACCION A LOS ARTS 78 Y 85 DEL DEC. LEY 8031/73.</t>
  </si>
  <si>
    <t>SIENDO LA FECHA Y HORA ANTES MENCIONADA, EN MOMENTOS EN QUE EL OFICIAL DIEGO GUSTAVO MAUAD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</si>
  <si>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SECTOR ARRIBOS DE TERMINAL A</t>
  </si>
  <si>
    <t>SIENDO LA FECHA Y HORA ANTES MENCIONADA, EN MOMENTOS EN QUE LOS OFICIALES JOAQUIN ALEJANDRO VILAS Y EMANUEL ROBLES SE ENCONTRABAN EN UNA RECORRIDA POR EL SECTOR MENCIONADO CON ANTERIORIDAD, OBSERVAN Y SORPRENDEN A UNA PERSONA DE SEXO MASCULINO, LA CUAL SE ENCONTRABA REALIZANDO SERVICIO DE MALETERO A LOS PASAJEROS RECIEN ARRIBADOS AL PAIS SIN ESTAR HABILITADO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</si>
  <si>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 INFRACCION A LA LEY 23737</t>
  </si>
  <si>
    <t>PUESTO CONTROL CHARLY</t>
  </si>
  <si>
    <t>EN MOMENTOS DE REALIZARSE EL CONTROL DE PREEMBARQUE DEL VUELO DE REFERENCIA SE PRESENTAN DOS PASAJEROS QUE VIAJABAN JUNTOS , UN MASCULINO Y UN FEMENINO, CUANDO AL MASCULINO SE LE PROCEDE A INSPECCION DE EQUIPAJE DE MANO MANIFIESTA A VIVA VOZ QUE HOY HARIA EXPLOTAR EL AVION, POR TAL MOTIVO SE SOLICITA LA PRESENCIA DE DOS TESTIGOS PARA EFECTUAR UN REGISTRO EXHAUSTIVO DE SUS PERTENENCIAS, LUEGO SE PROCEDE A REALIZAR CONTROL DE EQUIPAJE FACTURADO EN PUESTO DE CONTROL CHARLY, ENCONTRANDO EN MALETA CON MARBETE NRO 063383 UNA SUSTANCIA VEGETAL DE COLOR VERDOSA SE REALIZA REACTIVO DE COMPROBACION PARA MARIHUANA, ARROJANDO COMO RESULTADO POSITIVO. SE DA INTERVENCION AL SECRETARIO DEL JUZGADO FEDERAL DE BARILOCHE DISPONIENDO ESTE QUE SE REALICEN LAS ACTUACIONES DE RIGOR A LOS DOS PASAJEROS SE LOS NOTIFIQUE DE CAUSA Y CONTINUEN CON SU VIAJE PROGRAMADO</t>
  </si>
  <si>
    <t>JORGE GARCIA DAVINI</t>
  </si>
  <si>
    <t>DELITO DE ACCION</t>
  </si>
  <si>
    <t>INFORMO QUE EN EL CONTROL DE DOCUMENTACION DE PASAJEROS SE DETECTA A TRAVES DEL SISTEMA INTERPOL EL PEDIDO DE CAPTURA VIGENTE SOLICITADO POR EL JUZGADO CRIMINAL CORRECCIONAL FEDERAL Nº7 SECRETARIA Nº14 DEL SEÑOR HSIEH HSIANG YI ANTE EL HECHO EL PERSONAL DE INTERPOL LABRA UN ACTA Y ENTREGA LA MISMA AL JEFE DE TURNO SEGUIDAMENTE SE ESTABLECE COMUNICACION TELEFONICA CON EL DOCTOR JORGE GARCIA DAVINI A CARGO DE LA SECRETARIA Nº14 DEL MENCIONADO JUZGADO QUIEN ENTERADO DE LOS HECHOS ORDENA POR DISPOSICION DE SU SEÑORIA SE NOTIFIQUE AL CAUSANTE QUE COMPAREZCA ANTE SEDE JUDICIAL EN EL TERMINO DE 48 HORAS DE SU ARRIBO A LA CIUDAD AUTONOMA DE BUENOS AIRES SE DE LECTURA DE DERECHOS Y QUE EL MISMO PROSIGA SU VIAJE PREVIA REALIZACION DE FICHAS DACTILOSCOPICA.</t>
  </si>
  <si>
    <t>CIUDAD DE PUERTO IGUAZU MISIONES</t>
  </si>
  <si>
    <t>DIEGO MARTIN HERNANDEZ</t>
  </si>
  <si>
    <t>TENTATIVA DE COHECHO</t>
  </si>
  <si>
    <t>PARADA DE TAXIS DEL SECTOR A2</t>
  </si>
  <si>
    <t>VEREDA DEL SECTOR DE ARRIBOS NACIONALES A2</t>
  </si>
  <si>
    <t>SE RECIBE COMUNICACIÓN POR PARTE DEL ENCARGADO DE TURNO, OF AGUADO DANIEL, INFORMANDO QUE HABÍA ENTABLADO COMUNICACIÓN POR HT CON EL OF. BEATRICE, QUIEN LE MANIFESTO QUE EN MOMENTOS DE ENCONTRARSE CUMPLIENDO FUNCIONES COMO AUXILIAR DE TRANSITO EN LA CALLE PARALELA A LA AV. RAFAEL OBLIGADO, VIO QUE UN VEHICULO TAXIMETRO INCURRIO EN INFRACCIONES DE TRANSITO, SEGUIDAMENTE EL OF. BEATRICE SE DIRIGIO HACIA EL VEHICULO A LOS EFECTOS DE LABRAR LA CORRESPONDIENTE ACTA DE INFRACCION, SIENDO ESTA LA Nº B 12765752, LUEGO DE EXPLICARLE AL CHOFER DEL TAXI, EL SR. GUZMAN GONZALO MATIAS, LOS MOTIVOS DE LA MISMA, LE SOLICITO LA DOCUMENTACION PERTINENTE , AL FINALIZAR EL ACTA EL OFICIAL PREGUNTO AL CAUSANTE SI FIRMARIA LA MISMA, PERO ESTE LE MANIFIESTO SIC. "¿LO PODEMOS ARREGLAR DE OTRA MANERA?" - , E INMEDIATAMENTE EL OFICIAL CONVOCO LA PRESENCIA DE UN TESTIGO HABIL. MINUTOS DESPUES SE APERSONO EL ENCARGADO DE TURNO JUNTO A OTRO TESTIGO EN EL LUGAR EN CUESTION. YA SIENDO LAS 11:15 APROXIMADAMENTE SE TRASLADARON TODOS LOS INTERVINIENTES A ESTA GAURDIA DE PREVENCION. SIENDO LAS 11:50 HS SE PROCEDIO A REALIZAR COMUNICACION TELEFONICA CON EL JUZGADO INTERVINIENTE EL CUAL DISPUSO QUE SE REALICEN LAS DILIGENCIAS DE RIGOR Y CON RESULTADO DE REINCIDENCIA SE EFECTÚE NUEVA COMUNICACIÓN. SE AMPLIARA CON RESULTADO DE REINCIDENCIA SE INFORMA EN P.U. 3885 QUE SIENDO LAS 1945 HS. SE PROCEDE A LA LIBERACION DEL DETENIDO POR NO MEDIAR IMPEDIMENTOS LEGALES, EL MISMO SE RETIRA DE LA UOSP SIN NOVEDAD.</t>
  </si>
  <si>
    <t>3884/10</t>
  </si>
  <si>
    <t>GUARDIA DE PREVENCION SECTOR C</t>
  </si>
  <si>
    <t>SIENDO LAS 19:45 HS POR ORDEN DE ALA JUDICATURA ACTUANTE Y POR NO MEDIAR IMPEDIMENTO LEGAL SEGÚN LOS RESULTADOS OBTENIDOS POR EL REGISTRO NACIONAL DE REINCIDENCIA SE PROCEDE A LA LIBERACIÓN DEL DETENIDO. HACIENDO ABANDONO DE LA JURISDICCIÓN SIN NOVEDAD.</t>
  </si>
  <si>
    <t>EN MOMENTOS EN QUE SE REALIZABA CONTROL PREVENTIVO DE PREEEMBARQUE DEL VUELO DE REFERENCIA, SE DETECTA EN UNA MOCHILA COLOR NEGRO PERTENECIENTE AL SR. LUIS FELIPE OLIVEIRA E SILVA DE NACIONALIDAD BRASILEÑA CI Nº 107554028-8, UNA SUSTANCIA DE COLOR VERDOSO A LA CUAL SE LE REALIZA REACTIVO DE COMPROBACION PARA LA SUSTANCIA MARIHUANA ARROJANDO RESULTADO POSITIVO, CON UN PESO TOTAL DE 1 GRAMO. SE REALIZA COMUNICACION CON EL SECRETARIO DEL JUZGADO FEDERAL DE BARILOCHE QUIEN DISPONE SE REALICEN ACTUACIONES DE RIGOR POR INFRACCION A LA LEY 23737 SE NOTIFIQUE DE CAUSA AL IMPUTADO Y LUEGO DE FINALIZADAS LAS ACTUACIONES SE PROCEDA A LA LIBERACION DEL MISMO PARA QUE CONTINUE CON SU VIAJE PROGRAMADO.</t>
  </si>
  <si>
    <t>EN EL AEROPUERTO DE ORIGEN DEL VUELO DE MENCION UN TRIPULANTE LE SOLICITO AL DAMNIFICADO DESPACHAR POR BODEGA SU EQUIPAJE DE MANO Y AL MOMENTO DE ARRIBAR A ESTE MEDIO Y RECIBIR SUS PERTENENCIAS APERTURO EL EQUIPAJE EN CUESTION NOTANDO EL FALTANTE DE VARIAS DE SUS PERTENENCIAS. POSTERIORMENTE SE HACE PRESENTE EN LA GUARDIA POLICIAL A FIN DE RADICAR LA DENUNCIA.</t>
  </si>
  <si>
    <t>DOCTORA CLAUDIA CECCONI</t>
  </si>
  <si>
    <t>SECTOR ARRIBOS DE LA TERMINAL A</t>
  </si>
  <si>
    <t>SIENDO LA FECHA Y HORA ANTES MENCIONADA, EN MOMENTOS EN QUE LOS OFICIALES PABLO CARABAJAL Y PAMELA CAFFERATA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</si>
  <si>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 DIEGO MARTINEZ HERNANDEZ</t>
  </si>
  <si>
    <t>SEMAFORO DE LA INTERSECCION DE AV. SARMIENTO Y AV RAFAEL OBLIGADO.</t>
  </si>
  <si>
    <t>SE PRESENTA EN ESTA GUARDIA DE PREVENCION EL SEÑOR GOMEZ RODOLFO ALFREDO, MANIFESTANDO QUE SIENDO LAS 21:15 HS EN MOMENTOS DE ESTAR CIRCULANDO POR LA AV. SARMIENTO TUVIERON UN ALTERCADO CON UN VEHICULO TAXÍMETRO, DOMINIO EXA 290, AL LLEGAR LOS VEHICULOS MENCIONADOS AL SEMÁFORO DE LA AV. RAFAEL OBLIGADO EL CHOFER DEL TAXI SE BAJO DEL RODADO Y SE APERSONO FRENTE A LA VENTANILLA DEL AUTO DEL DENUNCIANTE CON UN BASTON DE GOMA EN SU MANO, GRITANDO A VIVA VOS SIC."TOMATELA DE ACA, TE VOY A MATAR ANDATE O TE ROMPO TODO EL AUTO" Y SEGUIDAMENTE LE REALIZO UN GOLPE AL DENUNCIANTE CON DICHO BASTON EN LA MANO IZQUIERDA. ANTE LOS HECHOS ACONTECIDOS EL SR. GOMEZ RODOLFO ALFREDO SE APERSONA EN ESTE AEROPUERTO METROPOLITANO PARA RADICAR LA CORRESPONDIENTE DENUNCIA. RAPIDAMENTE PERSONAL POLICIAL LOGRA UBICAR AL VEHICULO TAXIMETRO, SE INVITA AL CHOFER DEL TAXI EN CUESTION A DIRIGIRSE A ESTA GUARDIA PREVENTIVA, POR LO CUAL SIENDO LAS 22:50 HORAS SE REALIZA COMUNICACIÓN CON LA JUDICATURA INTERVINIENTE QUIEN DISPUSO LAS DILIGENCIAS DE RIGOR. SEGUN P.U. Nº 3895 SIENDO LAS 0950 HS. DEL DIA 28/06/2010 SE PROCEDE A LA LIBERACION DEL DETENIDO POR NO MEDIAR IMPEDIMENTOS LEGALES, EL MISMO SE RETIRA DE ESTA DEPENDENCIA S/N.</t>
  </si>
  <si>
    <t>SIENDO LAS 07:30 HORAS SE DESPLEGA EL OPERATIVO DE SEGURIDAD REFERENTE A LA LLEGADA DE LA SRA. PRESIDENTE DE LA NACION, CRISTINA FERNANDEZ DE KIRCHNER, LA CUAL ARRIBO A ESTE AEROPARQUE METROPOLITANO A LAS 09:13 HORAS EN LA AERONAVE MATRICULA T-01, RETIRANDOSE DE JURISDICCION A LAS 09:19 HORAS EN EL HELICOPTERO MATRICULA H-01. FINALIZANDO EL OPERATIVO A LAS 09:25 HORAS SIN NOVEDAD.-</t>
  </si>
  <si>
    <t>3890/10</t>
  </si>
  <si>
    <t>AV. RAFAEL OBLIGADO</t>
  </si>
  <si>
    <t>SIENDO LAS 09:50 HORAS, AL NO MEDIAR IMPEDIMENTO LEGAL VIGENTE, Y REALIZADA LA CONSTATACION DE DOMICILIO FEHACIENTE SOLICITADO POR LA JUDICATURA INTERVINIENTE, SE PROCEDE A LA LIBERACION DEL SR. PARRONDO ROGELIO JOSE, DNI Nº 7613867. RETIRANDOSE DE ESTA DEPENDECIA SIN NOVEDAD.-</t>
  </si>
  <si>
    <t>SIENDO LA FECHA Y HORA ANTES MENCIONADA, EN MOMENTOS EN QUE EL OFICIAL MAMONE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</si>
  <si>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PENAL NRO 2 DR SANTIAGO FRENCH</t>
  </si>
  <si>
    <t>APERTURA DE ENCOMIENDA SOLICITADA POR LA POLICIA DE SEGURIDAD AEROPORTURIA</t>
  </si>
  <si>
    <t>EXPTE 759/09</t>
  </si>
  <si>
    <t>EL DIA 28 DE JUNIO DE 2010, SE RECEPCIONA OFICIO JUDICIAL NRO 1849/10 DE FECHA 25 DE JUNIO DE 2010, DIRIGIDO AL JEFE UOSP SALTA, LIBRADO POR EL JUZGADO FEDERAL DE SALTA NRO 1 A CARGO DEL DR JULIO LEONARDO BAVIO, SECRETARIA PENAL NRO 2 A CARGO DEL DR SANTIAGO FRENCH, POR EL CUAL ORDENA QUE PERSONAL DE ESTA UOCN Y DC DEL NORTE, REALICE TAREAS DE VIGILANCIA FILMACIONES Y TOMAS FOTOGRAFICAS A LOS FINES DE DETERMINAR LA VERACIDAD DE LOS HECHOS DENUNCIADOS EN RELACION AL EXPTE NRO 759/09 CARATULADO APERTURA ENCOMIENDA SOLICITADA POR LA POLICIA DE SEGURIDAD AEROPORTUARIA. ESTA CAUSA SE INICIA CON UN SECUESTRO DE ENCOMIENDA REALIZADA POR PERSONAL DE LA UOSP SALTA EL DIA 18 DE NOVIEMBRE DE 2009 LA CUAL CONTENIA HOJAS DE COCA Y QUESOS DE CABRA, LOS CUALES AL SER SOMETIDOS A UNA PRUEBA DE NARCOTEST CON REACTIVOS PARA COCAINA ARROJA RESULTADO POSITIVO, DANDO ORIGEN A LA PREVENCION SUAMRIA NRO 035/09 A CARGO DE LA UOSP SALTA</t>
  </si>
  <si>
    <t>PENAL NRO 2 A CARGO DEL DR SANTIAGO FRENCH</t>
  </si>
  <si>
    <t>APERTURA DE ENCOMIENDA SOLICITADA POR LA POLICIA DE SEGURIDAD AEROPORTUARIA</t>
  </si>
  <si>
    <t>761/09</t>
  </si>
  <si>
    <t>EL DIA 28 DE JUNIO DE 2010, SE RECEPCIONA OFICIO JUDICIAL S/N DE FECHA 25 DE JUNIO DE 2010, DIRIGIDO AL JEFE UOSP SALTA, LIBRADO POR EL JUZGADO FEDERAL DE SALTA NRO 1 A CARGO DEL DR JULIO LEONARDO BAVIO, SECRETARIA PENAL NRO 2 A CARGO DEL DR SANTIAGO FRENCH POR EL CUAL ORDENA QUE PERSONAL DE ESTA UOCN Y DC DEL NORTE, REALICE TAREAS DE VIGILANCIAS, FILMACIONES Y TOMAS FOTOGRAFICAS AL LOS FINES DE DETERMINAR LA VERACIDAD DE LOS HECHOS DENUNCIADOS EN RELACION AL EXPTE NRO 761/09 CARATULADO APERTURA DE ENCOMIENDA SOLICITADA POR LA POLICIA DE SEGURIDAD AEROPORTUARIA. ESTA CAUSA SE INICIA CON UN SECUESTRO DE ENCOMIENDA REALIZADA POR PERSONAL DE LA UOSP SALTA, EL DIA 20 DE NOVIEMBRE DE 2009, LA CUAL CONTENIA HOJAS DE COCA Y QUESOS DE CABRA LOS CUALES A SER SOMETIDOS A UNA PRUEBA DE CAMPO CON REACTIVO PARA COCAINA LA CUAL ARROJA RESULTADO POSITIVO, DANDO ORIGEN A LA PREVENCION SUMARIA NRO 036/09 A CARGO DE LA UOSP SALTA.</t>
  </si>
  <si>
    <t>LOCAL DE LA LIBRERIA YENNY.</t>
  </si>
  <si>
    <t>SIENDO LAS 1730 HORAS SE RECIBE COMUNICACIÓN TELEFÓNICA POR PARTE DE LA OF. BENÍTEZ PABLA, ENCARGADA DEL PREEMBARQUE NACIONAL DENOMINADO TERMINAL III, INFORMANDO QUE SE HABÍA PRESENTADO UN PASAJERO MANIFESTANDO HABER SIDO VICTIMA DE UN DELITO OCURRIDO EN EL LOCAL DE LIBROS YENNY, UBICADO EN EL PRIMER PISO DE ESTE AEROPARQUE, INDICANDO QUE SE ENCONTRABA EN DICHO LOCAL, AL CUAL HABÍA INGRESADO, A LAS 1715 HORAS APROXIMADAMENTE, CON UN CARRO PORTAEQUIPAJES EN EL QUE TENIA UN BOLSO, UN MALETÍN Y UNA CAMPERA, Y COMIENZO A OBSERVAR ALGUNOS LIBROS, PERDIENDO DE VISTA SUS PERTENENCIAS. PASADO UNOS MINUTOS SE PERCATO DEL FALTANTE DE SU MALETÍN COLOR MARRÓN. RAZÓN POR LA CUAL, LA OF. BENÍTEZ LE INDICA QUE DEBE ACERCARSE A LA GUARDIA DE PREVENCIÓN PARA RADICAR LA DENUNCIA CORRESPONDIENTE. DADO QUE EL DAMNIFICADO DECIDIO ABORDAR EL VUELO LA 4216 DE LA EMPRESA LAN ARGENTINA CON DESTINO A CORDOBA, SOLO BRINDO SU NOMBRE, SU APELLIDO, Nº DE PASAPORTE Y TELÉFONO. INICIANDOSE ACTUACIONES DE OFICIO.</t>
  </si>
  <si>
    <t>SE PROCEDE A LA RETENCION DE UNA SACA COLECTORA DEL CORREO OFICIAL, SEGUN CONSTA EN ACTA DE RETENCION DE CARGAS Nº 0327/10, QUE ORIGINA LA PREVENCION SUMARIA Nº 078/10. LA SACA IDENTIFICADA CON MARBETE Nº SLA9127961E555700RGL, PRECINTO Nº C830787, CON UN PESO DE 8,600 KGS, CON DESTINO A LA CIUDAD DE RIO GALLEGOS, LA QUE SERIA DESPACHADA A TRAVEZ DE LA EMPRESA DE CARGA AEREA JET PAQ. LA RETENCION SE REALIZA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t>
  </si>
  <si>
    <t>CONTROL DE EQUIPAJES DESPACHADOS POR BODEGA MEDIANTE EQUIPO DE RAYOS X MOVIL SCAN VAN</t>
  </si>
  <si>
    <t>INFORMO QUE EN EL CONTROL DE EQUIPAJES DE BODEGA DEL VUELO Nº 2737 DE LA EMPRESA AUSTRAL LINEAS AEREAS SE DETECTAN CINCO EQUIPAJES QUE CONTENDRIAN EN SU INTERIOR MERCADERIA EN PRESUNTA INFRACCION A LA LEY 22415 EL PROPIETARIO PROCEDE A LA APERTURA DE LOS MISMOS CONSTATANDOSE LA EXISTENCIA DE DICHA MERCADERIA Y PROCEDIENDOSE A LABRAR ACTA DE INTERDICCION Y HACIENDOSE ENTREGA DE LA MISMA A PERSONAL DE AFIP DGA SR HUGO ROJAS LEGAJO Nº 17542-1 QUIEN PROCEDE AL SECUESTRO DE LAS MISMAS MEDIANTE ACTA DE SECUESTRO Nº 007/2010</t>
  </si>
  <si>
    <t>PATIO DE COMIDAS, PRIMER PISO DE LA TERMINAL A.</t>
  </si>
  <si>
    <t>SIENDO LA HORA Y EL DÍA ANTES MENCIONADO, SE HACE PRESENTE EN ESTA GUARDIA DE PREVENCIÓN LA DAMNIFICADA DICIENDO QUE EN EL DÍA DE LA FECHA SIENDO LAS 1955 HORAS SE HIZO PRESENTE EN ESTE AEROPUERTO A LOS EFECTOS DE ABORDAR EL VUELO AR 1708 DE LA EMPRESA AEROLÍNEAS ARGENTINA, CON DESTINO A LA CIUDAD DE ROSARIO, PCIA. DE SANTA FE, Y LUEGO DE REALIZAR EL CHECK-IN CORRESPONDIENTE SE DIRIGIÓ AL PRIMER PISO DE LA TERMINAL A, AL SECTOR PATIO DE COMIDAS, DONDE REALIZÓ, A LAS 2010 HORAS APROXIMADAMENTE, SU PEDIDO DE COMIDA Y LUEGO SE UBICÓ EN UNA DE LAS MESAS, COLOCANDO SU CARTERA EN LA SILLA QUE TENIA AL LADO Y SOBRE ÉSTA SU ABRIGO. SEGUIDAMENTE SE LEVANTÓ Y SE ACERCÓ A LA BARRA PARA CAMBIAR SU BEBIDA, PASADO UNOS SEGUNDOS RETORNO A SU MESA. LA DAMNIFICADA AL FINALIZAR DE CENAR, PROCEDIO A AGARRAR SUS PERTENENCIAS Y SE PERCATO DEL FALTANTE DE SU CARTERA, POR LO QUE DECIDIO NO ABORDAR EL VUELO PARA POSTERIORMENTE EFECTUAR LA DENUNCIA POLICIAL.</t>
  </si>
  <si>
    <t>CONTROL DE EQUIPAJES DESPACHADOS POR BODEGAMEDIANTE EQUIPO DE RAYOS X</t>
  </si>
  <si>
    <t>INFORMO QUE EN EL CONTROL DE EQUIPAJES DE BODEGA DEL VUELO Nº 2737 DE LA EMPRESA AUSTRAL LINEAS AEREAS SE DETECTAN CUATRO EQUIPAJES QUE CONTENDRIAN EN SU INTERIOR MERCADERIA EN PRESUNTA INFRACCION A LA LEY 22415 EL PROPIETARIO PROCEDE A LA APERTURA DE LOS MISMOS CONSTATANDOSE LA EXISTENCIA DE DICHA MERCADERIA Y PROCEDIENDOSE A LABRAR ACTA DE INTERDICCION Y HACIENDOSE ENTREGA DE LA MISMA A PERSONAL DE AFIP DGA SR HUGO ROJAS LEGAJO Nº 17542-1 QUIEN PROCEDE AL SECUESTRO DE LAS MISMAS MEDIANTE ACTA DE SECUESTERO Nº 008/2010</t>
  </si>
  <si>
    <t>3910/10</t>
  </si>
  <si>
    <t>INFORMO RECTIFICACION DE PARTE URGENTE Nº 3910 QUE POR ERROR DE TIPEO DONDE DICE CAUSA INTERNA Nº 217/10 DEBE DECIR CAUSA INTERNA Nº 089</t>
  </si>
  <si>
    <t>FISCALIA PENAL DE INSTRUCCION DE LA IXª NOMINACION</t>
  </si>
  <si>
    <t>Carriso</t>
  </si>
  <si>
    <t>Maria de la Mercedes</t>
  </si>
  <si>
    <t>DIAZ, ANA DEL CARMEN</t>
  </si>
  <si>
    <t>EN EL DIA DE FECHA SE PRESENTA EL SR. ASCHERI A RADICAR UNA DENUNCIA POR EL ROBO/HURTO, DE UNA COMPUTADORA PERSONAL MARCA LENOVO, UNA BOLSA CON MEDICAMENTOS VARIOS DE USO PERSONAL Y UN PAR DE ZAPATOS MARCA OGGI, LOS ELEMENTOS DETALLADOS FUERON SUSTRAIDOS EL DIA 06 DE JUNIO DEL CORRIENTE MES Y AÑO, EN VUELO DE AEROLINEAS ARGENTINAS N° 1476, QUE ARRIBO A ESTE AEROPUERTO A HS. 20:10. SE ESTABLECE COMUNICACION TELEFONICA AL JUZGADO DE TURNO QUIEN ORDENA SE LABREN LAS ACTUACIONES DE RIGOR PARA SU POSTERIOR ELEVACION.</t>
  </si>
  <si>
    <t>KARINA PERILLI</t>
  </si>
  <si>
    <t>LA PASAJERA SE PRESENTA ANTE EL CONTROL DE PREEMBARQUE. QUE AL COLOCAR SUS PERTENECIAS SOBRE LA CINTA DE LA MAQUINA DE RAYOS X EL PERSONAL DESTACADO DUDA SOBRE LA COMPOSICION DE UNA GUITARRA ELECTRICA QUE SE ENCONTRABA DENTRO DE UNA FUNDA DE TELA. UNA VEZ EN LA GUARDIA DE PREVENCION SE PROCEDE A LA REQUISA REALIZANDO UN QUIEBRE SOBRE LA SUPERFICIE DE LA GUITARRA DEJANDOSE VER QUE ENTRE SUS PAREDES INTERNAS ERA HABIDA UNA SUSTANCIA PULVERULENTA COLOR BLANCA DE LA CUAL SE TOMA UNA MINIMA PORCION A LA CUAL SE LE PRACTICA UN REACTIVO PARA COCAINA EL CUAL ARROJA RESULTADO POSITIVO. DE IGUAL MANERA SE HALLARON CUATRO PAQUETES DE SUSTANCIA ESTUPEFACIENTE ENTRE LAS COSTURAS DE SU CORPIÑO Y UN PAQUETE DENTRO DE UNA TOALLA FEMENINA QUE LLEVABA COLOCADA DEBAJO DE SU BOMBACHA. SE HALLO TAMBIEN UN PAQUETE CON SUSTANCIA ESTUPEFACIENTE EN EL FONDO DE UNA CAJA DE CARTON LA CUAL CONTENIA UN VESTIDO DE BEBE, ENCONTRANADOSE EL PAQUETE DEBAJO DE UNA FINA PLACA DE PAPEL.CABE ACLARAR QUE LA SUSTANCIA HABIDA EN LA GUITARRA NO SE PUDO SEPARAR DE ESTA POR SU MANERA DE DISPOSICION Y PARA CONSERVARLA EN SU TOTALIDAD. LOS ESTUDIOS REALIZADOS EN EL HOSPITAL DE EZEIZA ARROJARON RESULTADO NEGATIVO DE INGESTA. LA DETENIDA SERA TRASLADADA JUNTO A TODO LO ACTUADO EL MARTES 29 DEL CORRIENTE MES Y AÑO A SEDE JUDICIAL.- SE INFORMA EN P.U. 3917 QUE SIENDO LAS 0730 HS. DEL DIA 29/06/2010 SE TRASLADO A LA DETENIDA JUNTAMENTE CON LAS ACTUACIONES A SEDE JUDICIAL,</t>
  </si>
  <si>
    <t>QUE EL DIA DE LA FECHA MIENTRAS SE FISCALIZABA EL VUELO DE MENCION SE DETECTO DENTRO DE LA VALIJA DESCRIPTA LA EXISTENCIA DE SUSTANCIA ORGANICA. POR TAL MOTIVO LUEGO DE CONVOCAR LOS TESTIGOS Y DE UBICAR AL PASAJERO QUIEN SUSCRIBE MANTUVO COMUNICACION TELEFONICA CON EL JUZGADO INTERVINIENTE, QUIEN AUTORIZO LA REQUISA DEL EQUIPAJE Y DEL PASAJERO ARROJANDO QUE EL DENOMINADO EQUIPAJE POSEIA, HACIENDO LAS VECES DE DOBLE FONDO UN PAQUETE DE 35 CM, DE ANCHO, POR 52 DE LARGO, POR 1 CM DE ESPESOR, EL CUAL EN SU INTERIOR POSEE SUSTANCIA PULVERULENTA COLOR BLANCA, QUE EXPUESTA A REACTIVOS QUIMICOS PARA COCAINA ARROJO RESULTADOS POSITIVOS. QUE UNA VEZ ENTERADO EL JUZGADO DE LOS RESULTADOS OBTENIDOS ORDENO LA DETENCION DEL CAUSANTE, ACTUADOS DE RIGOR, Y QUE SE ELEVE LO ACTUADO EL DIA 29 DEL CORRIENTE MES Y AÑO. SE INFORMA EN P.U. 3918 QUE EN HORAS 0800 DEL DIA 29/06/2010 SE TRASLADO AL DETENIDO A SEDE JUDICIAL JUNTO CON LO ACTUADO Y SECUESTROS.</t>
  </si>
  <si>
    <t>3915/10</t>
  </si>
  <si>
    <t>SE DEJA CONSTANCIA QUE SIENDO LAS SIETE HORAS TREINTA Y CINCO MINUTOS DEL DIA DE LA FECHA SE PROCEDIO AL TRASLADO DE LA DETENIDA A SEDE JUDICIAL JUNTAMENTE CON LOS ACTUADOS Y SECUESTROS ANTES CITADOS NOTA: SE RECTIFICA PARTE 3915 EN DATOS DE NARCOTRAFICO DONDE DICE PESO TOTAL 7,51 GRAMOS DEBE DECIR PESO TOTAL 7.370 GRAMOS SIENDO ESTE EL PESO TOTAL DE LA SUSTANCIA JUNTAMENTE CON LA GUITARRA Y EL RESTO DE LOS PAQUETES, SIENDO EL PESO DE LA GUITARRA Y LA SUSTANCIA QUE CONTIENE EN SU CUERPO DE 6.600 GRAMOS Y EL RESTO DE LOS PAQUETES DE 770 GRAMOS</t>
  </si>
  <si>
    <t>3916/10</t>
  </si>
  <si>
    <t>MUELLE 37</t>
  </si>
  <si>
    <t>PATIO DEL A</t>
  </si>
  <si>
    <t>QUE EL DIA DE LA FECHA SIENDO LAS OCHO HORAS SE PROCEDIO AL TRASLADO DEL DETENIDO, JUNTAMENTE CON LO ACTUADO, Y LA TOTALIDAD DE LOS SECUSTROS ES A SEDE JUDICIAL. ES TODO CONSTE.</t>
  </si>
  <si>
    <t>FRANCKFURT</t>
  </si>
  <si>
    <t>3909/10</t>
  </si>
  <si>
    <t>SE PROCEDE A LA APERTURA DE UNA SACA COLECTORA DEL CORREO OFICIAL, SEGÚN CONSTA EN ACTA DE RETENCIÓN DE CARGAS Nº 0327/10, QUE ORIGINA LA PREVENCIÓN SUMARIA Nº 078/10 Y ACTA DEJANDO CONSTANCIA N 0328/10, LA SACA IDENTIFICADA CON MARBETE Nº SLA9127961E555700RGL, PRECINTO Nº C830787, CON UN PESO DE 8,600 KGS, CON DESTINO A LA CIUDAD DE RÍO GALLEGOS, CONTIENE 03 PIEZAS POSTALES IDENTIFICADAS COMO LA 1º EP656096258AR, ES ENTREGADA AL SR. ARIAS PARA SU REDESPACHO, LA 2º EP656096261AR, RTTE. SRA. NILDA FLORES CON DOMICILIO EN Bº LA ESPERANZA, PERICO JUJUY CP. 4608, DEST. SRA. KARINA GUTIERRES CON DOMICILIO EN CALLE RIO GALLEGOS Nº 180 EL CALAFATE PROV. DE SANTA CRUZ CP. 9405, QUEDA RETENIDA, LA 3º EP656096275AR, RTTE. SRA. NILDA FLORES CON DOMICILIO EN Bº LA ESPERANZA PERICO JUJUY, CP. 4608, DEST. SRA. LEONOR FLORES CON DOMICILIO EN LAGO DEL DESIERTO Nº 1465 CALLE 18 EL CALAFATE, PROV. DE SANTA CRUZ, CP 9405 QUEDA RETENIDA. LA RETENCIÓN SE REALIZA ANTE LA PRESUNCIÓN DE QUE PUDIERAN CONTENER ALGÚN ELEMENTO EN INFRACCIÓN A LA LEY 22.415 Y/O 23.737, QUEDANDO LAS MISMAS CERRADAS Y EN GUARDA EN ESTA UOSP. SE COMUNICO TELEFÓNICAMENTE AL JUZGADO INTERVINIENTE Y LA APERTURA SE REALIZARA CON LA AUTORIZACIÓN DEL MAGISTRADO ACTUANTE.</t>
  </si>
  <si>
    <t>ADRIAN RIVERA SOLARI</t>
  </si>
  <si>
    <t>SE RECIBE COMUNICACION POR PARTE DEL ENCARGADO DEL PREEMBARQUE NACIONAL TERMINAL III, EL CUAL MANIFIESTA QUE UN PASAJERO HABIA ACTIVADO LA ALARMA DEL PORTICO DETECTOR DE METALES, MOTIVO POR EL CUAL SE PROCEDE A REALIZAR UN CHEQUEO MANUAL, DETECTANDO EN EL BOLSILLO DERECHO DE LA CAMPERA DEL PASAJERO UNA CAJA ENVUELTA EN CINTA ADHESIVA COLOR MARRON, EL FUNCIONARIO POLICIAL PIDE AL PASAJERO QUE POR FAVOR, EXHIBA EL CONTENIDO DE LA CAJA, SIENDO EL MISMO UNA MARQUILLA DE CIGARRILLOS MARCA COMERCIAL CAMEL, CONTENIENDO EN SU INTERIOR CINCO CIGARRILLOS DE MARIHIUANA. SE PROCEDE A REALIZAR UN TEST ORIENTATIVO DE CAMPO CON LA UTILIZACION DE REACTIVO QUIMICO IDENTA PARA MARIHUANA, DANDO ESTE RESULTADO, POSITIVO. SE REALIZO COMUNICACION CON EL JUZGADO EL CUAL ORDENA REALIZAR LAS DILIGENCIAS DE RIGOR, Y REALIZAR NUEVA COMUNICACION UNA VEZ OBTENIDO EL RESULTADO DEL REGISTRO NACIONAL DE REINCIDENCIA. SE INFORMA EN P.U. 3938 QUE EN HORAS 1830 DEL DIA 29/06/2010 SE LIBERO AL DETENIDO POR NO MEDIAR IMPEDIMENTOS LEGALES. EL MISMO SE RETIRA CON SUS EFECTOS PERSONALES QUE ESTABAN EN RESGUARDO DE LA UNIDAD.</t>
  </si>
  <si>
    <t>AU 2898</t>
  </si>
  <si>
    <t>3815/10</t>
  </si>
  <si>
    <t>SE RECIBIO OFICIO 785/10 DERIVADO POR LA U.O.D.C. Y C.N. EMANADO DE LA FISCALIA ACTUANTE SOLICITANDO SE LE INFORME SI CON MOTIVO DE LOS HECHOS ACONTECIDOS EN ESTE AEROPUERTO INTERNACIONAL ROSARIO ISLAS MALVINAS, ESPECIFICAMENTE EN EL SECTOR DE CONTROL DE EQUIPAJE, EN FECHA 04 MARZO 2004, SE INSTRUYERON ACTUACIONES ADMINISTRATIVAS Y EN SU CASO REMITIR COPIA AUNTENTICADA DE LAS MISMAS, ESTA U.O.S.P. CUMPLIMENTA DICHO REQUERIMIENTO EN LA FECHA INFORMANDO QUE TANTO EN ESTA UNIDAD OPERACIONAL DE SEGURIDAD PREVENTIVA COMO EN LA UNIDAD OPERACIONAL DE CONTROL DE NARCOTRAFICO Y DELITOS COMPLEJOS IV NO OBRAN ANTECEDENTES DE ACTUACIONES ADMINISTRATIVAS REFERENTE A LA CAUSA EN CUESTION. ASIMISMO SE LE BRINDAN LOS DATOS DE LA DIRECCION GENERAL DE ASUNTOS JURIDICOS - AREA SUMARIOS ADMINISTRATIVOS PARA UNA RESPUESTA COMPLETA Y ADECUADA.</t>
  </si>
  <si>
    <t>3653/10</t>
  </si>
  <si>
    <t>INFORMO QUE SIENDO LAS DOCE HORAS DEL DIA DE LA FECHA SE OTORGA LA LIBERTAD DEL DETENIDO LEONARDO ROMAN AUGIER EN VIRTUD A OFICIO JUDICIAL RECIBIDO EN ESTA DEPENDENCIA, RETIRANDOSE DE ESTA DEPENDENCIA POR SUS PROPIOS MEDIOS.-</t>
  </si>
  <si>
    <t>ABDON BITTAR</t>
  </si>
  <si>
    <t>EXHORTO JUZGADO NAC. EN LO CRIMINAL DE INSTURCC. DE CAP. FED. NRO. 42 SEC. NRO. 106 EN A. 39-953/09 SALINAS FRANC. P/VIOL. P/SOL. MEDIDA</t>
  </si>
  <si>
    <t>39.953/09</t>
  </si>
  <si>
    <t>SALINAS FRANCISCO ROBERTO S/VIOLACION</t>
  </si>
  <si>
    <t>EN EL DIA DE LA FECHA EN VUELO CVOMERCIAL DE LA EMPRESA AEROLINEAS ARGENTINAS NRO 1481 PARTIDA SAN RAFEL PROVINCIA DE MENDOZA A LAS 15:30 HORAS APROXIMADAMENTE CON DESTINO A AEROPARQUE POLICIA FEDERAL ARGENTINA PROCEDE AL TRASLADO DEL CIUDADANO FRANCISCO ROBERTO SALINAS EN CARACTER DE DETENIDO E INCOMUNICADO CAUSA NRO 39.953/09 S/ VIOLACION UBICADOS EN FILAS 19 ASIENTOS A B Y C. SIENDO ENTREGADO AL JUZGADO NACIONAL EN LO CRIMINAL DE INSTRUCCION DE CAPITAL FEDERAL NRO 42 A CARGO DE LA DRA. MARIA GABRIELA LANZ SECRETARIA NRO 106- POR ORDEN DEL SEGUNDO JUZGADO DE INSTRUCCION A CARGO DR. PABLO GUIDO PEÑASCO SECRETARIA A CARGO DR. ABDON BITTAR.</t>
  </si>
  <si>
    <t>SAN RAFAEL</t>
  </si>
  <si>
    <t>GATTI, CARLOS ALBERTO S/DENUNCIA</t>
  </si>
  <si>
    <t>CALLE NUMERO 04 TERMINAL B</t>
  </si>
  <si>
    <t>QUE EL DÍA VEINTIOCHO DEL CORRIENTE ARRIBO A ESTE AEROPUERTO A FIN DE CUMPLIR CON SUS TAREAS LABORALES SIENDO APROXIMADAMENTE LAS 14.40 HORAS , A BORDO DE SU VEHICULO PARTICULAR MARCA PEUGEOT MODELO 206 DE COLOR GRIS, DEL TIPO SEDAN TRES PUERTAS, DOMINIO COLOCADO DKC-662. QUE SIENDO APROXIMADAMENTE LAS CERO HORAS CINCO MINUTOS, DEL DÍA DE LA FECHA, UNA VEZ FINALIZADA SU JORNADA LABORAL, SE DIRIGE A SU VEHICULO EL CUAL HABÍA DEJADO ESTACIONADO EN LA CALLE N° 4 DEL ESTACIONAMIENTO DE LA TERMINAL "B", PERCATÁNDOSE QUE LAS CERRADURAS DE AMBAS PUERTAS SE ENCONTRABAN RELLENAS DE PEGAMENTO DEL TIPO "LA GOTITA", QUE IMPEDÍA QUE SE INTRODUJERA EN LAS MISMAS LA CORRESPONDIENTE LLAVE DEL VEHICULO, COMO ASÍ TAMBIÉN UNA DE SUS RUEDAS SE ENCONTRABA TOTALMENTE DESINFLADA Y LA CARROCERÍA COMPLETA DEL RODADO SE ENCONTRABA RAYADA. QUE EN VIRTUD A NO PODER INGRESAR AL RODADO EL DENUNCIANTE ROMPE UNO DE SUS VIDRIOS CON EL FIN DE INGRESAR AL MISMO. QUE SIENDO EL DÍA DE LA FECHA EL DENUNCIANTE SE DIRIGE A UNA GOMERÍA EN DONDE LE INFORMAN QUE TRES DE LAS CUATRO RUEDAS SE ENCONTRABAN PINCHADAS.</t>
  </si>
  <si>
    <t>3230/10</t>
  </si>
  <si>
    <t>SE PROCEDE A LA APERTURA DE TRES ENCOMIENDAS DEL CORREO OFICIAL, SEGÚN CONSTA EN ACTA DE APERTURA DE CARGA Nº 330/10, PREV. SUM. Nº 062/10, EN VIRTUD DE LO ORDENADO EN OFICIO JUDICIAL S/N, DEL MAGISTRADO ACTUANTE Y EN PRESENCIA DE UN TESTIGO HABIL, LA 1ª EP658939376, RTTE. MOLINA JOSÉ DANIEL, YAVI Nº 254, PERICO - JUJUY, C.P. 4610, Y DEST. HERRERA FELIPE, EL CALAFATE -SANTA CRUZ, C.P. 9405, CONTIENE: ONCE PAQUETES DE HOJAS DE COCA CON UN PESO TOTAL DE 2.804 GRS., LA 2ª EP702480895, RTTE. MAMANI, LAS HERAS S/N, ABRAPAMPA - JUJUY, Y DEST. SEGUNDO MAMANI, PABELLÓN Nº 2 AB Nº 5, C.P. 9407, YACIMIENTO RÍO TURBIO PROVINCIA DE SANTA CRUZ, CONTIENE: OCHO PAQUETES DE HOJAS DE COCA CON UN PESO TOTAL DE 1.862 GRS., Y LA 3ª EP711096936, RTTE. ANGÉLICA NOEMÍ ZERPA, PROVINCIA DE SALTA, Y DEST. ROSA HERMINIA GUTIERREZ, USHUAIA - TIERRA DEL FUEGO, CONTIENE: ONCE PAQUETES DE HOJAS DE COCA CON UN PESO TOTAL DE 2.945 GRS. LAS ENCOMIENDAS SERAN PUESTAS A DISPOSICION DE LA ADUANA DE SALTA POR SUPUESTA INFRACCION A LA LEY 22.415 CODIGO ADUANERO, Y LAS ACTUACIONES SERAN REMITIDAS A SEDE JUDICIAL.</t>
  </si>
  <si>
    <t>3143/10</t>
  </si>
  <si>
    <t>455/10</t>
  </si>
  <si>
    <t>SE PROCEDE A LA APERTURA DE UNA ENCOMIENDA DEL CORREO OFICIAL, SEGÚN CONSTA EN ACTA DE APERTURA DE CARGA Nº 331/10, PREV. SUM. 060/10, EN VIRTUD DE LO ORDENADO EN OFICIO JUDICIAL S/N, DEL MAGISTRADO ACTUANTE Y EN PRESENCIA DE UN TESTIGO HABIL, LA ENCOMIENDA IDENTIFICADA COMO EP698255689AR, RTTE. ROBERTO CALANI, RICARDO LENCNE Nº 750, SALTA CAPITAL, C.P. 4400, Y DEST. ROMINA IRENE ROCHA, SARMIENTO Nº 2849, RIO GRANDE, TIERRA DEL FUEGO, C.P. 9420, CONTIENE: DIEZ PAQUETES DE HOJAS DE COCA CON UN PESO TOTAL DE 4.442 GRS. LA ENCOMIENDA SERA PUESTA A DISPOSICION DE LA ADUANA DE SALTA POR SUPUESTA INFRACCION A LA LEY 22.415, CODIGO ADUANERO, Y LAS ACTUACIONES SERAN REMITIDAS A SEDE JUDICIAL. PU Nº 3132/10 ORIGINARIO SE PROCEDE A LA RETENCIÓN DE UNA SACA COLECTORA DEL CORREO OFICIAL, SEGÚN CONSTA EN ACTA DE RETENCIÓN Nº 263/10, QUE ORIGINA LA PREVENCIÓN SUMARIA 060/10, IDENTIFICADA COMO SLA0163186D555900RGA, PRECINTO Nº C822790, CON UN PESO DECLARADO DE 7,200 KGS., CON DESTINO LA CIUDAD DE RÍO GRANDE, CONTIENE 02 PIEZAS POSTALES LA QUE SERIA DESPACHADA ATRAVÉS DE LA EMPRESA DE CARGA AÉREA JET-PAQ, AMPARADAS EN GUÍA AÉREA Nº 9368552-4. LA RETENCIÓN SE REALIZA ANTE LA PRESUNCIÓN DE QUE PUDIERAN CONTENER EN SU INTERIOR ALGÚN ELEMENTO EN INFRACCIÓN A LA LEY 22.415 Y/O 23.737. QUEDANDO LA MISMA CERRADA Y PRECINTADA EN GUARDA EN ESTA UOSP. SE COMUNICO TELEFÓNICAMENTE AL JUZGADO INTERVINIENTE. LA APERTURA SE REALIZARA EN PRESENCIA DEL PERSONAL DEL CORREO OFICIAL. SEGÚN AMPLIACION PU 3143/10 SE PROCEDE A LA APERTURA DE UNA SACA COLECTORA DEL CORREO OFICIAL, SEGÚN CONSTA EN ACTA DE RETENCIÓN Nº 263/10 Y ACTA DEJANDO CONSTANCIA Nº 264/10, QUE ORIGINA LA PREVENCIÓN SUMARIA 060/10, LA SACA IDENTIFICADA COMO SLA0163186D555900RGA, PRECINTO Nº C822790, CONTIENE 02 PIEZAS POSTALES. LA 1ª IDENTIFICADA COMO EP698255689AR, RTTE. ROBERTO CALANI, DOMICILIADO EN RICARDO LEVENE Nº 750, SALTA CAPITAL, C.P. 4400 Y DEST. ROMINA IRENE ROCHA, DOMICILIADA EN SARMIENTO Nº 2849, RIO GRANDE, TIERRA DEL FUEGO, C.P. 9420, LA CUAL QUEDA RETENIDA Y LA 2ª IDENTIFICADA COMO EP661587864AR ES ENTREGADA AL SR. ARIAS DEL CORREO OFICIAL PARA SU REDESPACHO. LA RETENCIÓN SE REALIZA ANTE LA PRESUNCIÓN DE QUE PUDIERA CONTENER EN SU INTERIOR ALGÚN ELEMENTO EN INFRACCIÓN A LA LEY 22.415 Y/O 23.737. QUEDANDO LA MISMA CERRADA EN GUARDA EN ESTA UOSP. SE COMUNICO TELEFÓNICAMENTE AL JUZGADO INTERVINIENTE. LA APERTURA SE REALIZARA CON LA AUTORIZACION DEL MAGISTRADO ACTUANTE</t>
  </si>
  <si>
    <t>JUZGADO PRIMERA INSTANCIA DE FAMILIA Y MINORIDAD N° 1 - USHUAIA</t>
  </si>
  <si>
    <t>Yuba</t>
  </si>
  <si>
    <t>Gabriela</t>
  </si>
  <si>
    <t>MARCOS OCTAVIO HUDECEK</t>
  </si>
  <si>
    <t>SANCHEZ, CARLOS ARIEL S/ROBO EXP. NRO. 14887/2008</t>
  </si>
  <si>
    <t>14887/2008</t>
  </si>
  <si>
    <t>SANCHEZ, CARLOS ARIEL S/RESTRICCION A LA LIBERTAD</t>
  </si>
  <si>
    <t>PUESTO CONTROL DOCUMENTACION</t>
  </si>
  <si>
    <t>DURANTE UN CONTROL DE RUTINA PREEMBARQUE, SE INDIVIDUALIZO E IDENTIFICO AL SR. CARLOS ARIEL SÁNCHEZ, D.N.I. N° 35.645.505, SOBRE QUIEN PESA UNA AVERIGUACIÓN DE PARADERO Y POSTERIOR COMPARENDO SEGÚN RADIOGRAMA TEXTO NRO. 1038/09 - OCPATF DE LA POLICÍA DE LA PROVINCIA DE TIERRA DEL FUEGO, MEDIDA BAJO REGISTRO LINCE NRO. 281356 DE ESTA PSA, SE REALIZA LLAMADO TELEFÓNICO AL JUZGADO DE REFERENCIA, SIENDO ATENDIDO POR LA DRA. GABRIELA YUBA, LA QUE CONSULTADA SOBRE LA VIGENCIA DE LA MEDIDA, MANIFIESTA QUE EL CAUSANTE SE PRESENTÓ EN EL DÍA DE LA FECHA ANTE LOS ESTRADOS DEL JUZGADO A SU CARGO, QUEDANDO DICHA MEDIDA SIN EFECTO. SE LE INFORMO A V.SA. QUE SE REALIZARÁ ACTA DEJANDO CONSTANCIA DE LA PRESENTE COMUNICACIÓN, PARA SU POSTERIOR ELEVACIÓN. ASIMISMO INFORMO QUE EL CAUSANTE POSEE REGLA DE CONDUCTA ART. 76 TER. EN FUNCIÓN DEL ART. 27 BIS. CÓDIGO PENAL, SEGÚN RADIOGRAMA TEXTO NRO. 206/10 - D.G.I.C. DE LA POLICÍA DE LA PROVINCIA DE TIERRA DEL FUEGO, RELACIONADO A CAUSA NRO. 1863 CARATULADO "SÁNCHEZ CARLOS ARIEL S/SUSPENSIÓN DE JUICIO A PRUEBA", EN TRAMITE POR ANTE EL JUZGADO DE EJECUCIÓN DE SENTENCIA DEL DISTRITO JUDICIAL SUR DE LA PROVINCIA DE TIERRA DEL FUEGO A.E I.A.S. DETECTADO MEDIANTE EL SISTEMA DE IMPEDIMIENTOS LOCAL, NO ENCONTRANDOSE EN EL SISTEMA DE RED LINCE. SE REALIZÓ COMUNICACIÓN TELEFÓNICA ANTE EL JUZGADO CORRECCIONAL, DISTRITO JUDICIAL SUR A CARGO DEL DR. MAXIMILIANO GARCÍA ARPÓN EN LA PERSONA DE SU SECRETARIA DRA. MARÍA A. ALONSO LA QUE CONSULTADA SOBRE SI EXISTE ALGUNA RESTRICCIÓN EN LA PRESENTE REGLA DE CONDUCTA, MANIFIESTA QUE EL CAUSANTE NO POSEE NINGUNA RESTRICCIÓN ANTE ESTE JUZGADO.FINALIZADAS LAS CONSULTAS EL CIUDADANO CONTINUA CON SU VIAJE PROGRAMADO.</t>
  </si>
  <si>
    <t>VEREDA - SECTOR A2</t>
  </si>
  <si>
    <t>SIENDO LA HORA Y LA FECHA ANTES MENCIONADA SE HACE PRESENTE LA DAMNIFICADA EN LA GUARDIA DE PREVENCION QUIEN MANIFIESTA QUE SIENDO LAS 1400 HORAS ARRIBO A ESTE AEROPUERTO METROPOLITANO, EN EL VUELO PU 8165 DE LA EMPRESA PLUNA, PROCEDENTE DE LA CIUDAD DE MONTEVIDEO. SEGUIDAMENTE SE DIRIGIÓ HACIA LA VEREDA DEL SECTOR DE ARRIBOS A2 Y A LA ALTURA DEL SEMÁFORO INTERNO DE LA DÁRSENA Y MIENTRAS AGUARDABA A SU PRIMA, SE LE ACERCO UNA PAREJA PREGUNTÁNDOLE COMO LLEGAR AL AEROPUERTO DE EZEIZA , A LO QUE LES RESPONDIÓ QUE NO SABIA, Y LOS MISMOS SE RETIRARON, E INMEDIATAMENTE SE PERCATO DEL FALTANTE DE SU VALIJA TIPO CARRY ON, MOTIVO POR EL CUAL TRATO DE UBICAR A LA PAREJA QUE SE LE HABÍA ACERCADO ANTERIORMENTE, Y LOS VIO JUNTO A UNA TERCERA PERSONA DE SEXO FEMENINO ASCENDER A UN VEHICULO TIPO CAMIONETA 4X4 COLOR NEGRA NO PUDIENDO PRECISAR MAS DATOS, ARROJANDO EN SU INTERIOR SU VALIJA, Y RETIRÁNDOSE POR LA AVENIDA RAFAEL OBLIGADO CON DIRECCIÓN A LA AVENIDA SARMIENTO.</t>
  </si>
  <si>
    <t>3921/10</t>
  </si>
  <si>
    <t>GUARDIA DE PREVENCION - SECTOR C</t>
  </si>
  <si>
    <t>SIENDO LAS 18:30 HS, SE PROCEDE A LA LIBERACION DEL DETENIDO POR ORDEN DE LA JUDICATURA ACTUANTE, Y POR NO MEDIAR IMPEDIMENTO LEGAL, SEGUN LOS RESULTADOS OBETNIDOS POR EL REGISTRO NACIONAL DE REINCIDENCIA, RETIRANDOSE DE ESTA JURISDICCION SIN NOVEDAD.</t>
  </si>
  <si>
    <t>DR. LOPEZ DA SILVA WALTER</t>
  </si>
  <si>
    <t>NN S/ DELITO CONTRA LA PROPIEDAD</t>
  </si>
  <si>
    <t>7689/10</t>
  </si>
  <si>
    <t>CEFERINIO NAMUNCURA 591, CIUDAD DE SAN CARLOS DE BARILOCHE- RIO NEGRO</t>
  </si>
  <si>
    <t>CIUDAD DE SAN CARLOS DE BARILOCHE-RIO NEGRO</t>
  </si>
  <si>
    <t>CAUSA ORIGINADA MEDIANTE DENUNCIA REALIZADA AL CORREO ELECTRONICO OFICIAL DEL JEFE URSA V, POR PARTE DEL SR. SERGIO LIBRETTI, EMPLEADO DE LA FIRMA VISA ARGENTINA S.A. LO QUE FUE INFORMADO MEDIANTE PR Nº 2057 DE FECHA 06/04/2010 Y QUE A TRAVES DEL OFICO JUDICIAL Nº 1164/2010, DE FECHA 30 DE JUNIO DEL CORRIENTE AÑO, EL JUZGADO INTERVINIENTE ORDENA PROCEDER AL ALLANAMIENTO DEL DOMICILIO UBICADO EN LA CALLE NAMUNCURA Nº 591 DE ESTA CIUDAD, CON EL OBJETO DE PROCEDER AL SECUESTRO DE TODA DOCUMENTACION VINCULADA CON OPERACIONES CON TRAJETAS DE CREDITO, AQUELLAS DONDE APAREZCA EL LOGO O SE MENCIONE A LA HOSTERIA DEL LAGO, TICKETS AEREOS, ASI COMO TAMBIEN TODA OTRA DOCUMENTACION QUE PUDIERA RESULTAR DE INTERES PARA LA PRESENTE CAUSA. ASIMISMO SE DEBERA PROCEDER AL SECUESTRO DE CPU, COMPUTADORAS PORTATILES Y TODO TIPO DE DISPOSITIVO DE ALMACENAMIENTO DE DATOS. SIENDO LAS 12.20 HS DEL DIA DE LA FECHA SE DA COMIENZO A LAS ACTUACIONES.- P U Nº 3948 30/06/10 SIENDO LAS 14.40 HS SE DA POR FINALIZADO EL PROCEDIMIENTO, TENIENDO COMO RESULTADO, EL SECUESTRO DE COMPUTADORA PORTATIL, CPU, COMO ASI TAMBIEN DOCUMENTACION QUE SERIA DE INTERES PARA LA PRESENTE CAUSA. ASIMISMO SE INFORMA QUE AL MOMENTO DE INICIARSE EL ALLANAMIENTO NO SE ENCONTRABAN OCUPANTES NI MORADORES EN LA VIVIENDA, DEBIENDOSE AGUARDAR A LA LLEGADA DEL SR. LAURO DE BARROS MOTTA, QUIEN SE COMUNICA CON EL PROPIETARIO DE LA CASA SIENDO ESTE EL SR. FRANCISCO SANCHEZ PARA LUEGO INGRESAR Y COMENZAR CON EL PROCEDIMIENTO.</t>
  </si>
  <si>
    <t>BUCHE DE LA AERONAVE EN CERCANIAS DEL ASIENTO Nº 26 A</t>
  </si>
  <si>
    <t>SIENDO LA HORA Y FECHA MENCIONADA SE HACE PRESENTE EN ESTA GUARDIA DE PREVENCION EL DAMNIFICADO MANIFESTANDO QUE SIENDO LAS 1030 HORAS APROXIMADAMENTE ARRIBO EN ESTE AEROPUERTO METROPOLITANO Y EN MOMENTOS EN QUE COMENZO A DESCENDER DE LA AERONAVE, SE PERCATO QUE HABÍA DEJADO OLVIDADA SU NETBOOK EN EL BUCHE DE LA AERONAVE EN CERCANIAS AL ASIENTO Nº 26 A. SEGUIDAMENTE LE INFORMO LO SUCEDIDO A PERSONAL DE LA EMPRESA LAN, QUIENES INICIARON UNA BUSQUEDA DE LA LAPTOP, ARROJANDO ESTA RESULTADO NEGATIVO. FINALMENTE, LUEGO EL DAMNIFICADO REALIZO EL RECLAMO EN LA EMPRESA, PARA POSTERIORMENTE EFECTUAR LA DENUNCIA POLICIAL.</t>
  </si>
  <si>
    <t>LA 4201</t>
  </si>
  <si>
    <t>3842/10</t>
  </si>
  <si>
    <t>CURAQUEO, LUIS ALBERTO psa de TENTATIVA DE HURTO - AEROPUERTO MARCOS A. ZAR</t>
  </si>
  <si>
    <t>430 Fº235 - Año 2010/P</t>
  </si>
  <si>
    <t>INFORMO EN EL DÍA DE LA FECHA SE ELEVÓ PREVENTIVO Nº 0005/2010 AL JUZGADO INTERVINIENTE, ASIGNANDO ÉSTE NUMERACIÓN Y CARATULA JUDICIAL QUE CONSTAN EN DATOS DE LA CAUSA DEL PRESENTE.</t>
  </si>
  <si>
    <t>3939/10</t>
  </si>
  <si>
    <t>CEFERINIO NAMUNCURA 591, CIUDAD DE SANCARLOS DE BARILOCHE- RIO NEGRO</t>
  </si>
  <si>
    <t>SIENDO LAS 14:40 HS. APROX. SE FINALIZA EL PROCEDIMIENTO ORDENADO A TRAVES DEL OFICIO Nº 1164/2010 DE FECHA 30 DE JUNIO DEL CORRIENTE AÑO LIBRADO POR EL JUZGADO FEDERAL DE SAN CARLOS BARILOCHE, EN VIRTUD DE ELLO SE PROCEDIO AL SECUESTRO DE CPU, COMPUTADORA PORTATIL COMO ASI TAMBIEN DOCUMENTACION DE INTERES.</t>
  </si>
  <si>
    <t>HERNANDEZ DIEGO MARTIN</t>
  </si>
  <si>
    <t>EN EL DIA DE LA FECHA A HORAS 15:10 APROXIMADAMENTE SE RECIBE COMUNICACION TELEFONICA DE PARTE DEL JEFE DE TURNO DE LA UOSP METROPOLITANA, OF. JEFE DARIO PAVON, QUIEN INFORMA SOBRE ORDEN JUDICIAL POR PARTE DEL JUZGADO NACIONAL DE INSTRUCCION EN LO CRIMINAL N° 33 Y DE ACUERDO A MEMORANDO N° 103/10 EMANADO POR LA UOSP METROPOLITANA, SOLICITANDO SE REALICE CONSTATACION DE DOMICILIO DEL CIUDADANO JOSE AUGUSTO PAOLETTI, DNI N° 7.370.418 QUIEN SE DOMICILIARIA EN CALLE CONGRESO N° 755 DE LA CIUDAD DE TAFI VIEJO, PROVINCIA DE TUCUMAN, MOTIVANDO LA MEDIDA LAS ACTUACIONES QUE SE LABRAN EN LA UOSP METROPOLITANA SEGUN INSTRUCCION SUMARIA N° 240-A/10 POR INFRACCION AL ART. N° 189 BIS CPN. SE COMISIONO AL OF. MAY. CORONEL DANIEL Y AL OF. PPAL. MANZANO GUSTAVO, DE ACUERDO A ORDEN DE SERVICIO N° 086/10 DE ESTA UOSP TUCUMAN, QUIENES SE DESPLAZARON EN MOVIL DE DOTACION AL DOMICILIO ANTES MENCIONADO, DANDO CUMPLIMIENTO A LO ORDENADO POR EL JUZGADO INTERVINIENTE</t>
  </si>
  <si>
    <t>BODEGA DE AERONAVE - PLATAFORMA COMERCIAL - PATIO DE VALIJAS - TRANSPORTE DE EQUIPAJE HASTA DOMICILIO.</t>
  </si>
  <si>
    <t>LA DAMNIFICADA INICIA SU VIAJE EL DIA 26 DEL CORRIENTE MES Y AÑO EN LA CIUDAD DE BARCELONA EN EL VUELO UX 2152 DE LA EMPRESA AIR EUROPA, Y QUE AL ARRIBAR A ESTE MEDIO EL MISMO DIA SE DIRIGE HACIA EL SECTOR DE CINTAS DE ARRIBOS A LOS EFECTOS DE RETIRAR EQUIPAJE DESPACHADO A BODEGA, CIRCUNSTANCIA EN LA CUAL, LUEGO ESPERAR POR UNA HORA ES INFORMADA POR PERSONAL DE LA EMPRESA AEREA DE QUE SU EQUIPAJE NO HABIA ARRIBADO EN EL MISMO VUELO QUE ELLA, Y QUE UNA VEZ QUE EL EQUIPAJE FUERA UBICADO, SERIA ENVIADO A SU DOMICILIO. SIENDO EL DIA 28 DE JUNIO EN HORAS DE LA TARDE, LA DAMNIFICADA RECIBIO EN SU DOMICILIO SU EQUIPAJE, CONSTATANDO EN ESE ACTO QUE EL MISMO PRESENTABA UN CORTE EN SU PARTE SUPERIOR Y AL APERTURARLO SE PERCATO DEL FALTANTE DE VARIAS DE SUS PERTENENCIAS. SIENDO EL DIA DE LA FECHA SE PRESENTA LA DAMNIFICADA EN LA GUARDIA DE PREVENCION A FIN DE RADICAR LA DENUNCIA.</t>
  </si>
  <si>
    <t>UX 043</t>
  </si>
  <si>
    <t>INFRACCION CODIGO ADUANERO LEY 22415</t>
  </si>
  <si>
    <t>SCAN VAN PATIO DE VALIJAS</t>
  </si>
  <si>
    <t>EN EL DIA DE LA FECHA EL OFICIAL PRINCIPAL RENE VALVERDI CUMPLIENDO TURNO EN EL SCAN VAN QUE SE ENCUENTRA EN EL PATIO DE VALIJAS Y EN MOMENTOS QUE REALIZABA EL CONTROL DE RUTINA DEL VUELO NRO. 943 PERTENECIENTE A LA EMPRESA AEREA LAN CHILE OBSERVA A TRAVES DEL MONITOR DE RX QUE EN EL INTERIOR DE TRES EQUIPAJES HABIA ELEMENTOS METALICOS EN CANTIDAD POR LO QUE PROCEDIO A IDENTIFICAR A LAS VALIJAS Y LLAMAR EL PASAJERO PARA QUE REALICE LA APERTURA DE LAS MISMAS. UNA VEZ UBICADO EL PAX FUE LLEVADO POR PERSONAL DE LA EMPRESA AEREA HASTA EL PATIO DE VALIJAS ANTES MENCIONADO Y PUESTO EN CONOCIMIENTO DEL PROCEDIMIENTO QUE SE LLEVARIA A CABO ACCEDIO VOLUNTARIAMENTE A LA APERTURA DE LAS MISMAS VERIFICANDOSE QUE EN EL INTERIOR DE LOS EQUIPAJES SE ENCONTRABAN ELEMENTOS DE CUCHILLERIA ARTESANAL Y JOYERIA DE PLATA, POR LO QUE SE DIO AVISO AL TURNO DE ADUANA DE AEROPUERTO E INFORMO INMEDIATAMENTE AL JEFE DE TURNO QUIEN PONE EN CONOCIMIENTO DEL HECHO AL JUZGADO FEDERAL NRO. 3 DE TURNO EN LA PERSONA DE DRA GRACIELA LOPEZ FILOÑUK QUIEN ORDENA QUE SE LABRE EL ACTA DE RIGOR Y QUE LOS ELEMENTOS SEAN SECUESTRADOS Y ENTREGADOS AL TURNO DE ADUANA EN RAZON QUE EL PAX HA COMETIDO UNA INFRACCION AL CODIGO ADUANERO LEY 22415- INFRACCION AL REGIMEN DE EQUIPAJE Y CULMINADO EL PROCEDIMIENTO QUE EL PASAJERO CONTINUE CON SU RUTINA. SE DIO INICIO A LAS ACTUACIONES SUMARIALES NRO.37/10 DE FECHA 30 JUN10 CARATULADAS INFRACCION AL CODIGO ADUANERO</t>
  </si>
  <si>
    <t>NAC. DE 1º INST. EN LO CRIM CORR FEDERAL Nº 3</t>
  </si>
  <si>
    <t>ALEX JORGE GERAIGE S/DENUNCIA</t>
  </si>
  <si>
    <t>INFORMACION PUBLICADA EN EL PORTAL SEPRIN</t>
  </si>
  <si>
    <t>EL DENUNCIANTE SR ALEX JORGE GERAIGE MANIFESTO QUE EL DIA 28 DEL CORRIENTE LE LLEGO A TRAVES DEL VOCERO DEL ANAC UNA IMPRESION DE UNA PUBLICACION DEL PORTAL SEPRIN EN DONDE APARECIAN UNOS CORREOS ELECTRONICOS INSTITUCIONALES ENTRE EL Y EL SR SERGIO SOLOA, DIRECTOR DE RECURSOS HUMANOS DEL ANAC, QUE VERSABAN SOBRE EL REESCALAFONAMIENTO DEL PERSONAL MILITAR QUE ACTUALMENTE CUMPLE FUNCIONES EN LA ANAC, SEGUN DENUNCIA DEL SR GERAIGE LOS MAILS SON TOTALMENTE FALSOS, NO HABIENDO SIDO HACKEADO EL SERVIDOR DE LA ANAC. SE EFECTUO CONSULTA CON EL DR SOLARI, A CARGO DE LA SECRETARIA N 6, DEL JUZGADO NAC EN LO CRIMINAL Y CORRECCIONAL FEDERAL N 3, QUIEN ENTERADO DE LO DENUNCIADO DISPUSO CIERRE Y ELEVACION DE LO ACTUADO.</t>
  </si>
  <si>
    <t>DR.DIEGO MARTIN HERNANDEZ</t>
  </si>
  <si>
    <t>INFRACCION ART.189 BIS - INC 5TO PARRAFO ULTIMO DEL CPN</t>
  </si>
  <si>
    <t>SALA DE DESPACHO Y ENTREGA DE ARMAMENTO.</t>
  </si>
  <si>
    <t>SIENDO LA FECHA Y HORA MENCIONADA EL OFICIAL CENA ROQUE, QUIEN SE ENCONTRABA REALIZANDO UNA ENTREGA DE ARMAMENTO AL PASAJERO, SR. PAOLETTI JOSE AUGUSTO, QUIEN ARRIBO EN ESTE AEROPUERTO METROPOLITANO EN EL VUELO LA 4151 PORCEDENTE DE TUCUMAN, LE INFORMA AL ENCARGADO DE TURNO, OF. AGUADO DANIEL QUE AL MOMENTO DE REALIZAR LA ENTREGA DEL ARMAMENTO DEL PASAJERO, SIENDO UNA ESCOPETA SEMIAUTOMATICA BROWNING, PROCEDE A COTEJAR LA NUMERACIÓN DE LA TARJETA DE USO CIVIL CONDICIONAL EMITIDA POR EL RENAR , PERCATANDOSE QUE DICHA NUMERACIÓN, NI ALGUNA, OTRA FIGURABA EN EL ARMAMENTO. SEGUIDAMENTE SE COMUNICA VIA HT CON EL ENCARGADO DE TURNO QUIEN LE INDICA QUE SE DIRIJA A LA GUARDIA DE PREVENCIÓN JUNTO CON TODOS LOS INTERVINIENTES. UNA VEZ APERSONADOS EN ESTA GUARDIA JUNTO A DOS TESTIGOS HABILES, SIENDO LAS 14:30 HS SE PROCEDE REALIZAR COMUNICACIÓN CON LA JUDICATURA ACTUANTE QUIEN DISPUSO DETENCION DEL SR. PAOLETTI JOSE AUGUSTO EN CARÁCTER DE COMUNICADO, QUE SE CARATULE COMO INFRACCION AL ART. 189 BIS INC 5TO PARRAFO ULTIMO DEL CPN, PRECARIO MEDICO DE INGRESO, 3 JUEGOS DE FICHAS DACTILOSCOPICAS PARA ANEXAR A LA CAUSA, FOTOS DEL IMPUTADO Y DEL ARMA EN CUESTION, IDGE INTERPOL, ART 86 Y 197 CPPN, CONSTATACION DE DOMICILIO FEHACIENTE, SECUESTRO DEL ARMA Y ENVIO DE NOTA A LA DIVISION BALISTICA DE LA PFA Y QUE RENAR EFECTUE INFORME DEL ARMAMENTO, SOLTURA DEL DETENIDO EN CASO DE NO REGISTRAR IMPEDIMENTOS LEGALES VIGENTES MEDIANTE SISTEMA IDGE INTERPOL. FINALMENTE SIENDO LAS 18:15 HS, UNA VEZ OBTENIDOS LOS RESULTADOS DE IDGE AL NO MEDIAR IMPEDIMENTOS LEGALES ALGUNO SE PROCEDE A LA SOLTURA DEL SR. PAOLETTI JOSE AUGUSTO, RETIRANDOSE DE ESTA DEPENDENDIA CONFORME A LOS TRATOS RECIBIDOS, POR SUS PROPIOS MEDIOS SIN NOVEDAD.</t>
  </si>
  <si>
    <t>BOSSIE EDUARDO</t>
  </si>
  <si>
    <t>PUNTO DE INSPECCION Y REGISTRO DE VUELOS NACIONALES DEL AEROPUERTO DE COMODORO RIVADAVIA</t>
  </si>
  <si>
    <t>SIENDO LAS 1615 HORAS DEL DIA DE LA FECHA SE PRESENTO EL DAMNIFICADO EN EL AEROPUERTO DE COMODORO RIVADAVIA A FIN DE ABORDAR EL VUELO AU 2632 DE LA EMPRESA AUSTRAL LINEAS AEREAS CON DESTINO AL AEROPARQUE METROPOLITANO Y COLOCO TODAS SUS PERTENENCIAS SOBRE LA CINTA DE LA MAQUINA DE RAYOS X, DEL CONTROL PSA DE LA UOSP COMODORO RIVADAVIA Y AL MOMENTO DE ENCONTRARSE EN LA AERONAVE SE PERCATO DEL FALTANTE DE SU CELULAR, POR LO QUE INTENTO EN REITERADAS OPORTUNIDADES ENTABLAR COMUNCACION CON DICHO TELEFONO CELULAR, PERO NO TUVO RESPUESTA, POR LO QUE DEDUJO QUE SU TELEFONO HABIA SIDO APAGADO INTENCIONALMENTE. UNA VEZ ARRIBADO EN ESTE AEROPUERTO SE COMUNICO CON LA EMPRESA DE TELEFONIA A LA CUAL PERTENECIA SU EQUIPO, INFORMANDOLE UN EMPLEADO QUE LA CELULA OPERATIVA DEL MISMO ESTABA SIENDO UTILIZADA DENTRO DEL RADIO DEL AEROPUERTO DE PROCEDENCIA. POSTERIORMENTE SE HIZO PRESENTE EL DAMNIFICADO EN ESTA GUARDIA DE PREVENCION APORTANDO SOLO SU NOMBRE COMPLETO. SE INICIO DE OFICIO LAS PRESENTES ACTUACIONES SOLO CON EL NOMBRE Y APELLIDO DEL DAMNIFICADO Y EL NUMERO DE ABONADO DE SU TELEFONO. SEGUIDAMENTE SE ENTABLO COMUNICACION TELEFONICA CON LA FISCALIA EN TURNO LA CUAL ORDENO, SE SOLICITEN LOS REGISTROS FILMICOS DE LA ZONA DEL PREEMBARQUE DE LA UOSP COMODORO RIVADAVIA, SOLICITAR LISTADO DE PERSONAL POLICIAL QUE PRESTO SERVICIO EN DICHO PUNTO DE INSPECCION Y REGISTRO, COPIA DEL LIBRO DE ACTA DE DICHO PUESTO, Y TOMAR DECLARACION TESTIMONIAL AL DAMNIFICADO. PERO DEBIDO A QUE EL MISMO YA SE HABIA RETIRADO DE LA DEPENDENCIA POLICIAL NO SE PUDO OBTENER LA DECLARACION TESTIMONIAL DEL DAMNIFICADO.</t>
  </si>
  <si>
    <t>PABLO JUAN LEGA</t>
  </si>
  <si>
    <t>CORDOVA DIEGO ALEJANDRO, NUÑEZ ALVAREZ, ANDRES ARNALDO Y ACEVEDO OSCAR MARCOS S/INFR. LEY 23737</t>
  </si>
  <si>
    <t>INFORMO: EN EL DIA DE LA FECHA EN VUELO 5U480, DE LA EMPRESA AEROCOMERCIAL LINEAS AEREAS DEL ESTADO -LADE- ENVIAN BAJO GUIA DE CARGA N° 022-28004222, UN SOBRE CERRADO, EN RELACION A LA CAUSA N°19124, CARATULADA CORDOVA, DIEGO ALEJANDRO, NUÑEZ ALVAREZ ANDRES ARNALDO Y ACEVEDO OSCAR MARCO S/INFR. LEY 23737. CONFORME A LO DISPUESTO POR SU SRIA FEDERICO CALVETE, A CARGO DEL JUZGADO FEDERAL DE USHUAIA. ASIMISMO INFORMO SE ESTIMA ARRIBO A LA CIUDAD DE COMODORO RIVADAVIA A LAS 16:00 HS</t>
  </si>
  <si>
    <t>5U480</t>
  </si>
  <si>
    <t>DRA. CECILIA AMIL MARTIN</t>
  </si>
  <si>
    <t>PREEMBARQUE NACIONAL-TERMINAL III</t>
  </si>
  <si>
    <t>SE RECIBE COMUNICACIÓN DEL OF. JORGE KADY, ENCARGADO DE LA TERMINAL III, QUIEN COMUNICA QUE EN MOMENTOS DE REALIZARSE EL CONTROL DE PASAJEROS EN DICHO PUNTO DE INSPECCIÓN, UNA PERSONA DE SEXO MASCULINO AL PASAR POR EL MARCO DETECTOR DE METALES, ACTIVÓ LA ALARMA SONORA, POR LO CUAL EL OF. ESTUDIANTE MARTÍN SAIEGK, AUXILIAR EN EL PREEMBARQUE, PROCEDE AL CHEQUEO, EN ESE PRECISO MOMENTO SE PERCATA DE UN BULTO EN EL BOLSILLO DERECHO DEL JEAN, POR LO CUAL SOLICITA QUE EXHIBA SU CONTENIDO, SACANDO DE SU BOLSILLO DOS PAQUETES PEQUEÑOS, ENVUELTOS EN NYLON TRANSPARENTE. EL OFICIAL SAIEGK LE CONSULTA POR EL ORIGEN DE DICHOS PAQUETES Y ESTE RESPONDE QUE SE TRATA DE "MARIHUANA". SE REALIZA LA PRUEBA DE CAMPO CORRESPONDIENTE LA CUAL ARROJA RESULTADO POSITIVO. LA JUDICATURA ACTUANTE DISPONE DILIGENCIAS DE RIGOR Y NUEVA COMUNICACIÓN CON RESULTADO DE REINCIDENCIA. SE INFORMA EN P.U. 3972 QUE EN HORAS 1856 DEL DIA 01/07/2010, SE PROCEDIO A LA LIBERACION DEL DETENIDO POR NO MEDIAR IMPEDIMENTOS LEGALES. EL CAUSANTE SE RETIRA CON LOS ELEMENTOS PERSONALES QUE ESTABAN EN RESGUARDO DE LA UNIDAD.</t>
  </si>
  <si>
    <t>AU 2872</t>
  </si>
  <si>
    <t>ALTURA VEREDA DE PROVEEDORES</t>
  </si>
  <si>
    <t>EMPRESA HAS CONJUNTAMENTE CON MANIFESTANTES QUE PORTABAN CARTELES CON LA INSCRIPCIÓN CTA, PROCEDIERON A INTERRUMPIR EL TRANSITO VEHICULAR DE LA AV. RAFAEL OBLIGADO. LOS MANIFESTANTES PERMANECIERON EN EL LUGAR HASTA LAS 09:20 HORAS, MOMENTO EN QUE DESALOJARON LA AVENIDA Y SE RETIRARON EN MICROS PARTICULARES. EN EL SECTOR SE ENCONTRABA PERSONAL DE POLICÍA FEDERAL ARGENTINA, QUE ESTUVO A CARGO DEL OPERATIVO EN EL MENCIONADO LUGAR Y EN EL SECTOR DEL AEROPUERTO SE REFORZARON LOS PUNTOS DE ACCESO A LOS SECTORES RESTRINGIDOS CON EL PERSONAL DE GUARDIA DEL DÍA DE LA FECHA Y CON EL PERSONAL DE GUARDIA SALIENTE. ASIMISMO SE PROCEDIÓ A REALIZAR CONTROLES EN LOS SECTORES PÚBLICOS, PÉRGOLAS Y VEREDAS, AFECTANDO A TAL FIN DOS MÓVILES DE DOTACIÓN, FORD RANGER 718 Y 719. FINALMENTE INFORMÓ QUE LA OPERATIVIDAD AÉREA NO SE VIO AFECTADA, CONTINUANDO CON LA PROGRAMACIÓN DE LOS DISTINTOS VUELOS EN FORMA NORMAL. SIENDO LAS 09:00 HORAS SE PROCEDIÓ A REALIZAR COMUNICACIÓN TELEFÓNICA CON LA DRA. CECILIA AMIL MARTIN A/C DE LASECRETARIA Nº 07 EN TURNO CON EL JUZGADO NACIONAL EN LA CRIMINAL Y CORRECCIONAL FEDERAL Nº 04 A/C DEL DR. ARIEL LIJO, A LOS EFECTOS SIMPLEMENTE DE INFORMARLE LOS HECHOS MENCIONADOS PARA SU CONOCIMIENTO NO DISPONIENDO ESA JUDICATURA NINGUNA MEDIDA.</t>
  </si>
  <si>
    <t>GARCIA</t>
  </si>
  <si>
    <t>FERNANDA</t>
  </si>
  <si>
    <t>DR. ARIEL LAPLANA</t>
  </si>
  <si>
    <t>SIENDO LA HORA Y EL DÍA ANTES MENCIONADO, SE PRESENTA EN ESTA GUARDIA DE PREVENCIÓN EL DAMNIFICADO QUIEN INFORMA QUE SIENDO LAS 03:50 HORAS APROXIMADAMENTE DEL DÍA DE LA FECHA, ARRIBÓ A ESTE AEROPUERTO METROPOLITANO, PROCEDENTE DE LA CIUDAD DE MENDOZA, Y DESPUÉS DE RETIRAR SU EQUIPAJE DEL SECTOR DE ARRIBOS A2, SE PERCATO QUE EL CANDADO DE SU VALIJA HABÍA SIDO FORZADO Y AL APERTURARLA CONSTATO QUE FALTABA SU CAMPERA DE CUERO Y UN SOBRE QUE CONTENÍA EN SU INTERIOR TRES MIL PESOS ARGENTINOS. SEGUIDAMENTE EFECTUO EL RECLAMO EN LA COMPAÑIA AEREA, PARA LUEGO REALIZAR LA DENUNCIA CORRESPONDIENTE.</t>
  </si>
  <si>
    <t>AU 2425</t>
  </si>
  <si>
    <t>AEROPUERTO</t>
  </si>
  <si>
    <t>SIENDO LAS HORAS 15:15 SE INPLEMENTA DISPOSITIVO SEGURIDAD CON COLABORACION DEL PERSONAL DEL SERVICIO PENITENCIARIO FEDERAL,A CARGO DEL OFICIAL BARRECI, MAXIMILIANO Y DEL SUBOFICIAL TORRES VUJEL, JOSE DAGOBERTO, DANDO CUMPLIMIENTO A ORDEN DE SERVICIO N° 134 , PARA EL TRASLADO DEL SR. MENENDEZ BENJAMIN, EL CUAL ESTA INPUTADO EN LOS CRIMENES DE LESA HUMANIDAD, A HORAS 15:45 ARRIBA A ESTE AEROPUERTO EL PASAJERO ANTES MENCIONADO EL CUAL ES ALOJADO EN SALA ACONDICIONADA PARA TAL FIN Y SU POSTERIOR CONTROL DE PREEMBARQUE,SIENDO LAS 17:00 ARRIBA A ESTE AEROPUERTO AERONAVE SIERRA FOXTRO 53, CON MATRICULA LV-BEW, PERTENECIENTE A LA EMPRESA SOL, CON VUELO N°5606. SIENDO LAS 17:28 HORAS PARTE DE ESTE AEROPUERTO AERONAVE DEL LA EMPRESA SOL CON N° 5415, CON DESTINO FINAL LA CIUDAD DE CORDOBA FINALIZANDO DISPOSITIVO DE SEGURIDAD SIN NOVEDAD.</t>
  </si>
  <si>
    <t>DR. MAXIMILIANO CALLIZO</t>
  </si>
  <si>
    <t>S/ AVERIGUACION DE CAUSAL DE MUERTE</t>
  </si>
  <si>
    <t>AVERIGUACION DE CAUSAL DE MUERTE</t>
  </si>
  <si>
    <t>INTERIOR DE LA AERONAVE ALITALIA</t>
  </si>
  <si>
    <t>EN CERCANIAS DE LA MANGA NUMERO 05, DE ESTE MEDIO</t>
  </si>
  <si>
    <t>SIENDO EL DIA DE LA FECHA PERSONAL DE LA EMPRESA ALITALIA, REQUIRIO LA PRESENCIA DE PERSONAL POLICIAL EN EL INTERIOR DE UNA AERONAVE DEBIDO A QUE EN LA MISMA ERA HABIDA SIN VIDA UNA PERSONA DE SEXO FEMENINO. QUE UNA VEZ EN EL INTERIOR DE LA AERONAVE EL PERSONAL POLICIAL PUDO CONSTATAR QUE SOBRE EL SUELO YACIA EN POSICION CUBITO DORSAL UNA PERSONA DE SEXO FEMENINO DE UNOS SESENTA AÑOS DE EDAD APROXIMADAMENTE SIN SIGNOS DE VIDA ALGUNO. QUE HABIENDO RECABADO LOS DATOS DE INTERES NECESARIOS EL JEFE DE TURNO MANTUVO COMUNICACION TELEFONICA CON EL JUZGADO INTERVINIENTE, EL CUAL DISPUSO QUE SE LABREN ACTUACIONES SUMARIAS, SE RECIBA DECLARACION TESTIMONIAL A LOS INTERVINIENTES, SE TRASLADE AL CUERPO DE LA PERSONA FALLECIDA A LA MORGUE JUDICIAL, Y SE PROCEDA A SECUESTRAR EL PASAPORTE DE LA MISMA.SE INFORMA QUE EL PERSONAL MEDICO DE ESTE AEROPUERTO CONSTATO EL OBITO DE LA PASAJERA, A CONTINUACION SE DIO CUMPLIMIENTO A LO IMPARTIDO POR SSA. DEJANDO CONSTANCIA QUE HASTA EL MOMENTO NO SE HAN PODIDO DETERMINAR LAS CAUSALES DEL FALLECIMIENTO Y QUE EL CUERPO DE LA MISMA FUE ALOJADO A LAS 13:26 HORAS DEL CORRIENTE DIA, EN LA MORGUE JUDICIAL DEL CUERPO MEDICO FORENSE DE LA JUSTICIA NACIONAL LUGAR DONDE SE LE PRACTICARA LA AUTOPSIA CORRESPONDIENTE.</t>
  </si>
  <si>
    <t>DIAZ GAVIER</t>
  </si>
  <si>
    <t>JAIME</t>
  </si>
  <si>
    <t>PABLO BUSTOS FIERRO</t>
  </si>
  <si>
    <t>VIDELA JORGE RAUL Y OTROS P.SS.AA IMPOSICION DE TORMENTOS AGRAVADOS, HOMICIDIO CALIFICADO, IMPOSICION DE TORMENTOS SEGUIDO DE MUERTE, ENCUBRIMIENTO</t>
  </si>
  <si>
    <t>EXPTE- N° 172/09</t>
  </si>
  <si>
    <t>POSICION N° 7</t>
  </si>
  <si>
    <t>ATENTO A LA ORDEN N° 170/10 DE FECHA 29-JUN-10 EMANADA DE LA U.R.S.A II DEL CENTRO SE PROCEDIO A PRESTAR COLABORACIÓN DENTRO DE LA JURISDICCIÓN DE LA U.O.S.P CBA. AL PERSONAL DEL SERVICIO PENITENCIARIO DE LA PROVINCIA DE CÓRDOBA Y AL PERSONAL DE CUSTODIA PERTENECIENTE AL SERVICIO PENITENCIARIO FEDERAL QUIENES SE ENCUENTRAN A CARGO DEL TRASLADO DEL DETENIDO. EL VUELO DE REFERENCIA ARRIBO A ESTA AEROSTACION A LAS 18:40 APROXIMADAMENTE. SEGUIDAMENTE EL DETENIDO FUE TRASLADADO VIA TERRESTRE POR LA COMISION MECIONADA HACIA EL ESTABLECIMIENTO CARCELARIO BOWER DE LA CIUDAD DE CORDOBA FINALIZANDO EL OPERATIVO SIN NOVEDAD.</t>
  </si>
  <si>
    <t>3959/10</t>
  </si>
  <si>
    <t>SIENDO LAS 18:56 HORAS POR DISPOSICION DE LA JUDICATURA INTERVIENTE Y AL NO MEDIAR IMPEDIMENTOS LEGALES VIGENTES, SE PROCEDE A LA LIBERACION DEL SR. DOMINGUEZ MARIO ENRIQUE.</t>
  </si>
  <si>
    <t>NAC. DE 1º INST. EN LO CORRECCIONAL Nº 12</t>
  </si>
  <si>
    <t>GAMALLO</t>
  </si>
  <si>
    <t>CARLOS E.</t>
  </si>
  <si>
    <t>DRA. MARINA RECABARRA</t>
  </si>
  <si>
    <t>STAND DE LA EMPRESA DE REMISES UNIVERSO.</t>
  </si>
  <si>
    <t>HALL PUBLICO SECTOR ARRIBOS A1</t>
  </si>
  <si>
    <t>SIENDO LA FECHA Y HORA ANTES MENCIONADA, SE HACE PRESENTE EN ESTA GUARDIA DE PREVENCIÓN EL DAMNIFICADO, MANIFESTANDO QUE EN EL DÍA DE LA FECHA SIENDO APROXIMADAMENTE LAS 1230 HORAS ARRIBÓ A ESTE AEROPUERTO METROPOLITANO EN EL VUELO AR 1283 DE LA EMPRESA AEROLÍNEAS ARGENTINAS PROCEDENTE DE LA CIUDAD DE SANTIAGO DE CHILE, Y SE DIRIGIÓ AL STAND DE REMISES DE LA EMPRESA UNIVERSO. UNA VEZ ALLÍ SOLICITÓ UN REMIS PARA DIRIGIRSE AL HOTEL DONDE SE HOSPEDARÍA, EN ESE MOMENTO SACO DE SU MALETÍN EL DINERO PARA HACER EL PAGO DEL SERVICIO CONTRATADO Y LUEGO APOYO EL MALETIN EN EL PISO, COLOCANDOLO ENTRE SUS PIERNAS, PASADOS UNOS MINUTOS LE INDICAN QUE DEBIA AGUARDAR EL REMIS EN LA VEREDA DEL SECTOR "A" Y EN EL MOMENTO DE TOMAR SUS PERTENENCIAS SE PERCATO DEL FALTANTE DE SU MALETÍN. SEGUIDAMENTE SE RETIRO HACIA EL HOTEL Y LUEGO REGRESO A ESTE AEROPARQUE PARA RADICAR LA CORRESPONDIENTE DENUNCIA. SIENDO LAS 18:40 SE REALIZO COMUNICACIÓN TELEFONICA CON LA JUDICATURA ACTUANTE QUIEN DISPUSO: SE SOLICITE REGISTRO FÍLMICO DEL SECTOR,CIERRE Y ELEVACION DE LAS ACTUACIONES.</t>
  </si>
  <si>
    <t>OFICINAS DE LA DIRECCION NACIONAL DE MIGRACIONES</t>
  </si>
  <si>
    <t>QUE EN EL DIA DE LA FECHA SE HIZO PRESENTE PERSONAL POLICIAL DE LA POLICIA FEDERAL ARGENTINA, SOLICITANDO COLABORACION PARA ACCEDER A ZONA REESTRINGIDA DE LA TERMINAL A DE ESTE MEDIO, DEBIDO A QUE POR ORDEN DE SU SUPERIORIDAD DEBIA ENTREVISTARSE CON PERSONAL DE LA DIRECCION NACIONAL DE MIGRACIONES QUIENES TENIAN DEMORADA A LA SRA. JOHANA ISABEL MEJIA VALLE, QUIEN TENIA INSERTADO EN DICHO ORGANISMO UN ALERTA DISPUESTA POR EL JUZGADO DE MENCION. QUE ANTE TAL SITUACION EL NUMERARIO DE LA POLICIA FEDERAL, JUNTAMENTE CON NUMERARIOS DE ESTA POLICIA DE SEGURIDAD Y TESTIGOS CONVOCADOS A TAL FIN DAN CON LA MENCIONADA, A QUIEN TRASLADAN AL PATIO DE VALIJAS DE LA TERMINAL A LOS FINES DE QUE IDENTIFIQUE UN EQUIPAJE DESPACHADO A BODEGA POR LA CITADA CIUDADANA. QUE A CONTINUACION EL PERSONAL POLICIAL DE LA PFA, REALIZA LA REQUISA DE LA CIUDADANA DE MENCION AL IGUAL QUE SOBRE SUS EQUIPAJES, LA QUE ARROJO EN AMBOS CASOS RESULTADO NEGATIVO ANTE LA PRESENCIA DE SUSTANCIAS PROHIBIDAS. QUE SE MANTUVO COMUNICACION TELEFONICA CON EL JUZGADO INTERVINIENTE. QUIEN APROBO LO ACTUADO Y DISPUSO SE TRASLADE A LA CIUDADANA AL HOSPITAL ZONAL DE EZEIZA A LOS FINES DE DETERMINAR SI LA MISMA SE ENCUENTRA INGESTADA. QUE SE LE PRACTICARON LOS ESTUDIOS CORRESPONDIENTES, ARROJANDO RESULTADO NEGATIVO A LA PRESENCIA DE CUERPOS EXTRAÑOS EN SU ORGANISMO. QUE A CONTINUACION MANTUVO UNA NUEVA COMUNICACION TELEFONICA CON EL DR. HORACIO SEGURA A QUIEN ANOTICIO DE LOS HECHOS ACAECIDOS, INDICANDO EL MISMO QUE NO SE ADOPTE TEMPERAMENTO ALGUNO CON LA MENCIONADA CIUDADANA, LA CUAL CONTINUO CON SU NORMAL ITINERARIO</t>
  </si>
  <si>
    <t>SE AMPLIA PARTE RESERVADO N° 3510 DE FECHA 09 DE JUNIO DE 2010, RELACIONADO AL EXPTE. N° 38/10, CARATULADO DENUNCIA ANONIMA S/INFRACCION A LA LEY 23737, TRAMITADA ANTE EL JUZGADO FEDERAL DE SALTA N° 1 A CARGO DEL DR. JULIO LEONARDO BAVIO, SECRETARIA PENAL N° 2 A CARGO DEL DR. SANTIAGO FRENCH. DICHO EXPTE SE RELACIONA CON UNA DENUNCIA ANONIMA REALIZADA POR UNA PERSONA DE SEXO MASCULINO, EL CUAL HABRIA ESTADO DETENIDA EN LA UNIDAD CARCELARIA N° 16 DE SALTA POR INFRACCION A LA LEY 23737, QUIEN DENUNCIA QUE SE ENCUENTRAN DETENIDAS OTRAS PERSONAS DE DIFERENTES NACIONALIDADES EUROPEAS Y QUE INTEGRAN UNA BANDA QUE SE DEDICARIAN AL TRANSPORTE DE DROGAS, LA CUAL INGRESA POR PERU, COLOMBIA Y BOLIVIA PARA LUEGO SER SACADA A EUROPA. TAMBIEN DENUNCIO QUE LA BANDA ESTA LIDERADA POR RADUSHEV ZLATIN YORDANOV DE NACIONALIDAD BULGARA, QUIEN AL SER EXCARCELADO FIJO COMO DOMICILIO EN CALLE SALTA N° 395 DEL B° GUEMES DE TARTAGAL - SALTA. EL DIA 02 DE JULIO DE 2010, SE RECEPCIONAN LOS SIGUIENTES OFICIOS PARA SER DILIGENCIADOS A: N° 1908/10 PARA JUZGADO FEDERAL DE ORAN, N° 1909/10 PARA DIRECCION NACIONAL DE MIGRACIONES, DELEGACION SALTA, 1910/10 PARA UNIDAD CARCELARIA N° 16 DE SALTA, N° 1911/10 PARA UNIDAD CARCELARIA N° 3 DE ORAN, N° 1912/10 PARA UNIDAD CARCELARIA N° 5, N° 1913/10 PARA VII AGRUPACION DE GENDARMERIA NACIONAL, N° 1914/10 PARA COMPLEJO PENITENCIARIO FEDERAL N° 1 DE EZEIZA Y N° 1915/10 PARA TELECOM S.A. DICHOS OFICIOS SON DISTRIBUIDOS PERSONALMENTE Y POR FAX A CADA UNO DE LOS ORGANIZMOS QUE FUERON DIRIJIDOS.</t>
  </si>
  <si>
    <t>DR. PABLO JUAN LEGA</t>
  </si>
  <si>
    <t>CORDOVA DIEGO ALEJANDRO, NUÑEZ ALVAREZ ANDRES ARNALDO Y ACEVEDO OSCAR MARCOS S/INF. LEY 23.737</t>
  </si>
  <si>
    <t>CENTRO DE LA CIUDAD</t>
  </si>
  <si>
    <t>EXCELENTISIMA CAMARA FEDERAL DE APELACIONES DE COMODORO RIVADVIA</t>
  </si>
  <si>
    <t>SIENDO LAS 10:15 HORAS LOCAL SE TRASLADA UN SOBRE CERRADO A LA EXCELENTISIMA CAMARA FEDERAL DE APELACIONES DE COMODORO RIVADAVIA A CARGO DEL DR ALDO E SUAREZ. ENVIADA POR LA UNIDAD OPERACIONAL DE USHIAIA. EL CUAL CONTENIA DOCUMENTACION RESPECTO A LA CAUSA Nº 19.124 CARATULADA CORDOBA DIEGO ALEJANDRO, NUÑEZ ALVAREZ ANDRES ARNALDO Y ACEVEDO OSCAR MARCOS S/ INF. LEY 23.737.</t>
  </si>
  <si>
    <t>ALTURA ESTACIONAMIENTO SUR</t>
  </si>
  <si>
    <t>SIENDO LAS 08:15 HORAS, EMPLEADOS DE LA EMPRESA HAS CONJUNTAMENTE CON DELEGADOS DEL GREMIO APA PROCEDIERON A INTERRUMPIR EL TRANSITO VEHICULAR DE LA AV. RAFAEL OBLIGADO, ALTURA DEL ESTACIONAMIENTO SUR. EN EL LUGAR SE ENCONTRABA PERSONAL DE POLICÍA FEDERAL ARGENTINA, QUE ESTUVO A CARGO DEL OPERATIVO. EN LA JURISDICCION AEROPORTUARIA SE REFORZARON LOS PUNTOS DE ACCESO A LOS SECTORES RESTRINGIDOS CON EL PERSONAL DE GUARDIA DEL DÍA DE LA FECHA Y CON EL PERSONAL DE GUARDIA SALIENTE. ASIMISMO SE PROCEDIÓ A REALIZAR CONTROLES EN LOS SECTORES PÚBLICOS, PÉRGOLAS Y VEREDAS. SIENDO LAS 08:45 HORAS SE PROCEDIÓ A REALIZAR COMUNICACIÓN TELEFÓNICA CON LA DRA. CECILIA AMIL MARTIN A/C DE LA SECRETARIA Nº 07 EN TURNO CON EL JUZGADO NACIONAL EN LA CRIMINAL Y CORRECCIONAL FEDERAL Nº 04 A/C DEL DR. ARIEL LIJO, A LOS EFECTOS DE INFORMARLE LOS HECHOS MENCIONADOS PARA SU CONOCIMIENTO NO DISPONIENDO ESA JUDICATURA NINGUNA MEDIDA. RETIRANDOSE LOS MANIFESTANTES DEL LUGAR A LAS 11:00 HORAS, MOMENTO EN QUE DESALOJARON LA AVENIDA. CABE DESTACAR QUE LA OPERATIVIDAD AÉREA NO SE VIO AFECTADA, CONTINUANDO CON LA PROGRAMACIÓN DE LOS DISTINTOS VUELOS EN FORMA NORMAL.-</t>
  </si>
  <si>
    <t>POSICION 19</t>
  </si>
  <si>
    <t>EN CUMPLIMIENTO A LA ORDEN DE SERVICIO Nº 074-E/10 OPERATIVO DE SEGURIDAD CON MOTIVO DE LA VISITA OFICIAL DEL SEÑOR PRESIDENTE DE LA REPUBLICA ARABE SIRIA D. BASHAR AL ASSAD EN VUELO ESPECIAL SE INFORMA QUE SIENDO LAS 09:00HS SE DA INICIO AL OPERATIVO DE SEGURIDAD, FINALIZANDO A LAS 12:30 HS SIN NOVEDAD.</t>
  </si>
  <si>
    <t>QAF 009</t>
  </si>
  <si>
    <t>SIRIA</t>
  </si>
  <si>
    <t>BSAS</t>
  </si>
  <si>
    <t>JUZGADO DE INSTRUCCION 4° NOMINACION</t>
  </si>
  <si>
    <t>SAURIN</t>
  </si>
  <si>
    <t>RUBEN EDUARDO</t>
  </si>
  <si>
    <t>DR. DANIEL ROQUE MAURUTTO</t>
  </si>
  <si>
    <t>VÍCTOR HUGO GONZALEZ S/DENUNCIA</t>
  </si>
  <si>
    <t>HALL PRINCIPAL</t>
  </si>
  <si>
    <t>EN EL DIA DE LA FECHA SE RECIBE DENUNCIA POR EL FALTANTE DE UNA LONA DE UN CARTEL VINILICO DE PUBLICIDAD PERTENECIENTE A LA DIRECCION DE AEROPUERTO SAUCE VIEJO POR PARTE DEL SEÑOR VICTOR HUGO GONZALEZ DNI 11720366.</t>
  </si>
  <si>
    <t>3421/10</t>
  </si>
  <si>
    <t>354/10</t>
  </si>
  <si>
    <t>SE PROCEDE A LA APERTURA DE DOS ENCOMIENDA DEL CORREO OFICIAL, SEGÚN CONSTA EN ACTA DE APERTURA DE CARGAS Nº 333/10, DE LA PREV. SUM. 064/10, EN VIRTUD DE LO ORDENADO EN OFICIO JUDICIAL Nº 1760/10 DEL MAGISTRADO ACTUANTE EN PRESENCIA DE UN TESTIGO HABIL. LA 1º EP661586529AR RTTE. LUIS HEREDIA, M. R. SANCHO 3202 Bº ISLAS MALVINAS S.S. DE JUJUY CP 4600, Y DEST. ANGELICA HEREDIA DE COLMENARES, CALLE ENTRE RIOS CASA 95 Bº DON BOSCO PROV. DE SANTA CRUZ CP 9408, CONTIENE TRES PAQUETES DE HOJAS DE COCA CON UN PESO TOTAL DE 1.232 GRS.LA 2º EP683785098AR RTTE. SR. ARIEL CASTRO, CALLE MEXICO 974 CP 4600 S. S. DE JUJUY, Y DEST. DARIO CASTRO, CAMPAÑA DEL DESIERTO 1626, EL CALAFATE CP 9405, SANTA CRUZ, CONTIENE TRECE PAQUETES DE HOJAS DE COCA CON UN PESO TOTAL DE 3.022 GRS. LAS ENCOMIENDAS SERAN PUESTA A DISPOSICION DE LA ADUANA DE SALTA POR SUPUESTA INFRACCION A LA LEY 22.415, CODIGO ADUANERO Y LAS ACTUACIONES SERAN REMITIDAS A SEDE JUDICIAL. PU ORIGINARIO Nº 3387 SE PROCEDE A LA RETENCIÓN DE UNA SACA COLECTORA DEL CORREO OFICIAL, SEGÚN CONSTA EN ACTA DE RETENCIÓN DE CARGAS Nº 0283/10, QUE ORIGINA LA PREVENCIÓN SUMARIA 064/10, LA SACA IDENTIFICADA CON MARBETE SLA9127519E555700RGL, PRECINTO Nº D044147, CON UN PESO DECLARADO DE 7,600 KGS, CON DESTINO A LA CIUDAD DE RIO GALLEGO, CONTENDRIA TRES PIEZAS POSTALES, LA CUAL SERIA DESPACHADA ATRAVÉS DE LA EMPRESA DE CARGA AEREA JET PAQ. LA RETENCIÓN SE REALIZA ANTE LA PRESUNCIÓN DE QUE PUDIERAN CONTENER ALGÚN ELEMENTO EN INFRANCIÓN A LA LEY 23.737 Y/O 22.415, QUEDANDO LA MISMA CERRADA Y PRECINTADA EN GUARDA EN ESTA UOSP. SE COMUNICO TELEFONICAMENTE AL JUZGADO INTERVINIENTE, Y LA APERTURA SE REALIZARÁ EN PRESERNCIA DEL PERSONAL DEL CORREO OFICIAL. SEGÚN AMPLIACION PU Nº 3421/10 SE PROCEDE A LA APERTURA DE UNA SACA COLECTORA DEL CORREO OFICIAL, SEGÚN CONSTA EN ACTA DE RETENCIÓN DE CARGAS Nº 0283/10, QUE ORIGINA LA PREVENCIÓN SUMARIA 064/10, LA SACA IDENTIFICADA CON MARBETE SLA9127519E555700RGL, PRECINTO Nº D044147, CONTIENE TRES PIEZAS POSTALES, LA 1º IDENTIFICADA COMO EP007580619AR, ES ENTREGADA AL SR. ARIAS PARA SU REDESPACHO, LA 2º EP661586529AR RTTE. LUIS HEREDIA, DOMICILIO EN R. SANCHO 3202 Bº ISLAS MALVINAS S.S. DE JUJUY CP 4600, DEST. ANGELICA HEREDIA DE COLMENARES DOMICILIO CALLE ENTRE RIOS CASA 95 Bº DON BOSCO PROV. DE SANTA CRUZ CP 9408, QUEDA RETENIDA LA 3º EP683785098AR RTTE. SR. ARIEL CASTRO DOMICILIO EN CALLE MEXICO 974 CP 4600 S. S. DE JUJUY, DEST. SR. DARIO CASTRO DOMICILIO EN CAMPAÑA DEL DESIERTO 1626 EL CALAFATE CP 9405, SANTA CRUZ QUEDA RETENIDA. LA RETENCIÓN SE REALIZA ANTE LA PRESUNCIÓN DE QUE PUDIERAN CONTENER ALGÚN ELEMENTO EN INFRANCIÓN A LA LEY 23.737 Y/O 22.415, QUEDANDO LA MISMA CERRADA Y PRECINTADA EN GUARDA EN ESTA UOSP. SE COMUNICO TELEFONICAMENTE AL JUZGADO INTERVINIENTE, Y LA APERTURA SE REALIZARÁ EN CON LA AUTORIZACION DEL MAGISTRADO ACTUANTE.</t>
  </si>
  <si>
    <t>2371/10</t>
  </si>
  <si>
    <t>355/10</t>
  </si>
  <si>
    <t>SE PROCEDE A LA APERTURA DE UNA ENCOMIENDA DEL CORREO OFICIAL, SEGUN ACTA DE APERTURA DE CARGA Nº 334/10, PREV.SUM. Nº 042/10, EN VIRTUD DE LO ORDENADO EN OFICIO JUDICIAL Nº 1761/10, DEL MAGISTRADO ACTUANTE Y EN PRESENCIA DE UN TESTIGO HABIL. LA EP702480555AR, RTTE: S.E., R. ROJAS Nº 44, Bº 23 DE AGOSTO- ABRA PAMPA-CP.4640- JUJUY. Y DEST. DANIELA TOCONAS, Bº LOS ZUPINOS, LOTE 41, MZA 180, RIO TURBIO-CP.9407- PCIA DE SANTA CRUZ, CONTIENE: ONCE PAQUETES DE HOJAS DE COCA CON UN PESO TOTAL DE 2.492 GRS. LA ENCOMIENDA SERA PUESTA A DISPOSICION DE LA ADUANA DE SALTA POR SUPUESTA INFRACCION A LA LEY 22.415, CODIGO ADUANERO, Y LAS ACTUACIONES REMITIDAS A SEDE JUDICIAL. PU ORIGINARIO Nº 2361/10 SE PROCEDE A LA RETENCION DE UNA SACA COLECTORA DEL CORREO OFICIAL, SEGUN CONSTA EN ACTA DE RETENCION DE CARGA Nº 0190/10 QUE ORIGINA LA PREVENCION SUMARIA Nº 042/10, IDENTIFICADA CON PRECINTO Nº A541228, SIN INDENTIFICACION DE MARBETE Y DESTINO, AMPARADA EN GUIA AEREA Nº 9342641-0, LA QUE SERIA DESPACHADA A TRAVES DE LA EMPRESA DE CARGA AEREA JET PAQ, LA RETENCION SE REALIZO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 SEGÚN AMPLIACION PU Nº 2371/10 SE PROCEDE A LA APERTURA DE UNA SACA COLECTORA DEL CORREO OFICIAL, MEDIDA COORDINADA PREVIAMENTE CON EL MAGISTRADO ACTUANTE. SEGUN ACTA DE RETENCION Nº 0190/10, PREV.SUM. Nº 042/10, LA SACA IDENTIFICADA CON MARBETE SLA9125280RGL, PRECINTO Nº A541228, CONTIENE CUATRO PIEZAS POSTALES IDENTIFICADAS COMO 1º EP657466272AR, 2º EP680915823 3º EP683786411AR, LAS CUALES SON LIBERADAS PARA SU REDESPACHO. LA 4º EP702480555AR, RTTE: S.E. CALLE R. ROJAS Nº 44, Bº 23 DE AGOSTO- ABRA PAMPA-CP.4640- JUJUY. DEST:SRA DANIELA TOCONAS, Bº LOS ZUPINOS, LOTE 41, MZA 180, RIO TURBIO-CP.9407- PCIA DE SANTA CRUZ, LA CUAL QUEDA RETENIDA ANTE LA PRESUNCION DE QUER PUDIERA CONTENER ALGUN ELEMENTO EN INFRACCION A LAS LEYES 22415 Y/O 23737, Y EN GUARDA EN EL DEPOSITO JUDICIAL DE ESTA UNIDAD A LA ESPERA DEL OFICIO JUDICIAL QUE AUTORICE SU APERTURA</t>
  </si>
  <si>
    <t>SE AMPLIA PARTE RESERVADO N° 3563 DE FECHA 11 DE JUNIO DE 2010, RELACIONADO AL EXPTE. 220/10 CARATULADO CALATAYUD RAUL DANTE S/CONTRABANDO DE ACUERDO A ORDEN DE SERVICO 13/10. EL DIA 02 DE JULIO DE 2010 SE RECEPCIONA OFICIO JUDICIAL SEGUN LO SOLICITADO EN INFORME DE FECHA 28 DE JUNIO DE 2010 AL TRIBUNAL ACTUANTE A LOS FINES DE REQUERIR A LA EMPRESA WESTRN UNION ARGENTINA SRL, TODAS LAS TRANSACIONES REALIZADAS POR LAS PERSONAS INVESTIGADAS, COMO TAMBIEN SE LIBRAN OFICIOS JUDICIALES A LAS EMPRESAS DE TELEFONIA: TELECOM S.A. PERSONAL S.A., CLARO S.A, TELEFONICA DE ARGENTINA, MOVISTAR Y NEXTEL ARGENTINA S.A. A LOS FINES DE SOLICITAR LISTADOS DE LLAMADAS ENTRANTES Y SALIENTES, MENSAJES EMITIDOS Y RECIBIDOS CON ACTIVACION DE CELDAS DE LAS PERSONAS INVESTIGASDAS. ACTUALMENTE SE ENCUENTRAN TRES LINEAS TELEFONICAS INTERVENIDAS, CUYAS NOVEADES SE INFORMARAN A MEDIDA QUE SURJA INFORMACION RELEVANTE.</t>
  </si>
  <si>
    <t>BODEGA DE AERONAVE - PLATAFORMA COMERCIAL - PATIO DE VALIJAS - TRANSPORTE DE LOS EQUIPAJES HASTA DOMICILIO DEL DAMNIFICADO</t>
  </si>
  <si>
    <t>QUE EL DÍA ONCE DEL MES DE JUNIO DEL CORRIENTE AÑO, LA DAMNIFICADA ARRIBO A ESTE MEDIO, Y LUEGO DE REALIZAR LOS TRAMITES MIGRATORIOS SE DIRIGIO A LA CINTA DE EQUIPAJES, A LOS EFECTOS DE RETIRAR SUS CINCO EQUIPAJES DESPACHADOS A BODEGA EN LA CIUDAD DE LA CORUÑA ESPAÑA EN EL VUELO JK 6077 DE LA EMPRESA SPANAIR. QUE PASADO UNOS CUARENTA Y CINCO MINUTOS LOS EQUIPAJES MENCIONADOS NUNCA APARECIERON EN LA CINTA DE MENCIÓN. POR TAL MOTIVO LA DAMNIFICADA REALIZO CONSULTAS A LA EMPRESA CONTRATADA, RECIBIENDO COMO RESPUESTA QUE SUS EQUIPAJES ARRIBARÍAN EN OTRO VUELO Y QUE LA EMPRESA AIR EUROPA SE LOS HARÍA LLEGAR A SU DOMICILIO EN LOS PRÓXIMOS DÍAS. SEGUIDAMENTE LA DENUNCIANTE SE RETIRO DE ESTE MEDIO SIN SUS EFECTOS. QUE EL DÍA QUINCE DEL MES DE JUNIO DEL CORRIENTE AÑO, SE HIZO PRESENTE EN SU DOMICILIO UN VEHICULO DEL CUAL NO APORTA DATOS, CONDUCIDO POR UNA PERSONA DE SEXO MASCULINO QUE MEDIANTE NOTA DE LA EMPRESA AIR EUROPA LE HIZO ENTREGA A LA DAMNIFICADA SUS CINCO EQUIPAJES, QUE UNA VEZ QUE LA DAMNIFICADA A DESEMPACAR LAS MALETAS, SE PERCATO DEL FALTANTE VARIOS ELEMENTOS, POR TAL MOTIVO LA DAMNIFICADA EFECTUO EL RECLAMO ANTE LA COMPAÑÍA AÉREA, Y EL DÍA DE LA FECHA SE HIZO PRESENTE EN ESTA GUARDIA DE PREVENCIÓN A FIN DE RADICAR LA DENUNCIA.</t>
  </si>
  <si>
    <t>LA CORUÑA</t>
  </si>
  <si>
    <t>DR. DIEGO SPILOTTI</t>
  </si>
  <si>
    <t>RODRIGUEZ CRISTIAN ALBERTO S/DCIA DE EXTRAVIO</t>
  </si>
  <si>
    <t>INFORMO QUE EN EL DIA DE LA FECHA Y SIENDO LAS 19:00 HORAS SE HACE PRESENTE EN ESTA INSTRUCCION POLICIAL UNA PERSONA QUE DESEA RADICAR UNA DENUNCIA POR EXTRAVIO. QUE EL DENUNCIANTE RODRIGUEZ CRISTAN JUAN ALBERTO - DNI 25.134.153 DIJO SER OFICIAL AYUDANTE DE LA POLICÍA DE SEGURIDAD AEROPORTUARIA Y QUE PRESTA SERVICIOS EN LA UOSP RIO GRANDE. EL CITADO OFICIAL RADICA DENUNCIA EN ESTA INSTRUCCION POR EL EXTRAVIO DE UNA PLACA DE PECHO PAN Nº 3612 A SU NOMBRE Y A SU CARGO. SEGUN SUS DICHOS RELATA QUE EL DIA 01-JULIO-2010 SIENDO APROXIMADAMENTE LAS 10:00 HORAS Y MIENTRAS SE ENCONTRABA EN SU DOMICILIO PARTICULAR SITO EN LA CALL ROLDAN Nº 730 DE ESTA CIUDAD, SE PERCATA DE QUE DEL INTERIOR DE UNO DE LOS BOLSILLOS DE SU MOCHILA FALTABA EL PORTAPLACAS COLOR NEGRO, EL CUAL EN SU INTERIOR CONTENIA LA PLACA DE PECHO DENUNCIADA BAJO SU CARGO, DESCONOCIENDO LAS CISRCUNTANCIAS Y LUGAR DONDE SE PUDIERON HABER EXTRAVIADO LOS ELEMENTOS DENUNCIADOS.</t>
  </si>
  <si>
    <t>DRA. ADRIANA CECCONI</t>
  </si>
  <si>
    <t>SIENDO LA FECHA Y HORA ANTES MENCIONADA, EN MOMENTOS EN QUE LOS OFICIALES PEREZ Y VILAS MARIANO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</si>
  <si>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 ALBERTO DANIEL CARELLI</t>
  </si>
  <si>
    <t>FISCAL FEDERAL S/ACTUACIONES N 277- FISCAL FEDERAL S/AVERIGUACION SECUESTRO EXTORSIVO-</t>
  </si>
  <si>
    <t>90.473- A</t>
  </si>
  <si>
    <t>EN EL DIA DE LA FECHA INFORMO EN RELACIÓN A OFICIO N° 4859 RECIBIDO EN LA UOSP MENDOZA Y RETRANSMITIDO MEDIANTE TXT N° 1455 R GHO 021715 JUL 10-URSA V A ESTA UOSP, QUE SE RECIBIÓ UN SOBRE CERRADO CONTENIENDO EN SU INTERIOR: DOCUMENTACIÓN REFERENTE A LOS AUTOS N° 90.473-A "FISCAL FEDERAL S/ACTUACIONES N° 277 ("FISCAL FEDERAL S/AVERIGUACIÓN SECUESTRO EXTORSIVO"), EN TRAMITE POR ANTE EL JUZGADO FEDERAL N° 1,SECRETARIA PENAL "A", TRASLADADO A LA CIUDAD DE BUENOS AIRES Y POSTERIORMENTE EMBARCADO EN EL VUELO AR 1856 CUYO COMANDANTE JORGE AGUILAR ENTREGA A ESTA PREVENCIÓN. ASIMISMO Y SEGÚN LO COORDINADO TELEFÓNICAMENTE CON LA REGIONAL V DE LA PATAGONIA, EL MISMO FUE ENTREGADO MEDIANTE ACTA DE ESTILO AL SUBCOMISARIO RUBEN ALBERTO CAMARGO, LEGAJO PERSONAL N° 1007, TELEFONO 02901-422969DE LA POLICIA FEDERAL DE LA CIUDAD DE USHUAIA PARA SU POSTERIOR TRAMITE ANTE SEDE JUDICIAL EN LA CIUDAD DE RIO GRANDE</t>
  </si>
  <si>
    <t>AEROPARQUE JORGE NEWVERY</t>
  </si>
  <si>
    <t>SIENDO LAS 19:00 HS APROXIMADAMENTE, ATERRIZA COMO ALTERNATIVA EN ESTE AEROPUERTO, VUELO AR 2725 PROCEDENTE DE IGUAZU CON DESTINO AEROPARQUE. POR PROBLEMAS CLIMATICOS -NEBLINA- NO PUEDE ATERRIZAR EN DESTINO. TRASPORTANDO CIENTO CINCUENTA PAX -150-. LA ESCALA DE LA EMPRESA LES PROVEE BOUCHER PARA CENA, A LA ESPERA DE LA MEJORA DE LAS CONDICIONES CLIMATICAS EN AEROPARQUE -SEGUN LO EXPRESADO POR LA AEROLINEA-. SIENDO LAS 22:30 SE INFORMA AL PASAJE QUE EL VUELO HA SIDO CANCELADO Y QUE SE REPOGRAMARIA. CABE DESTACAR QUE LA TRIPULACION VENCIO. SE PRODUJERON ALGUNOS ALTERCADOS A VIVA VOZ, PERO QUE NO LLEGARON A AGRESIONES FISICAS DE PERSONAS O DAÑOS A LAS INSTALACIONES. SIENDO LAS 23:00 SE PUSO EN CONOCIMIENTO DE LA SITUACION A LA SECRETARIA PENAL DEL JUZGADO INTERVINIENTE, DRA LILIANA NAVARRO, QUIEN DISPUSO QUE NO SE REPRIMIERA A LOS PASAJEROS Y QUE EL RESPONSABLE DE LA ESCALA DE LA EMPRESA EN CORDOBA SE COMUNICARA CON ELLA. SIENDO LAS 23:20 ARRIBARON COLECTIVOS PARA TRANSPORTAR AL PASAJE HACIA HOTELES EN LA CIUDAD DE CORDOBA. A LAS 00:20 HS APROXIMADAMENTE SE ESTABLECIO COMUNICACION TELEFONICA CON LA SECRETARIA DEL JUZGADO FEDERAL N° 1 DE CORDOBA PARA INFORMARLE QUE LA SITUACION SE HA CALMADO, PROCEDIENDO LA EMPRESA A SOLUCIONAR LOS PROBLEMAS DE ALOJAMIENTO DE LOS PASAJEROS Y LA REPROGRAMACION PARA EL 03JUN10 DEL VUELO.</t>
  </si>
  <si>
    <t>PERSONAL INTERVINIENTE DETECTA SUSTANCIA ORGANICA EN LOS DOS EQUIPAJES DE MENCION A NOMBRE DE LA DETENIDA, LOS CUALES FUERAN IDENTIFICADOS POR LA MISMA COMO PROPIOS. SE SOLICITO AUTORIZACION DE REQUIZA, ARROJANDO LOS SIGUIENTES RESULTADOS. VALIJA 1 TRES PAQUETES CONTENIENDO SUSTANCIA PULVERULENTA COLOR BLANCA OCULTOS EN DOBLE FONDO. DE IGUAL MANERA LA VALIJA 2 DONDE SE HALLARON TRES PAQUETES MAS, TODOS LOS PAQUETES ARROJARON EL MISMO RESULTADO, POSITIVO COCAINA. EL JUZGADO INTERVINIENTE DISPUSO, SE LABREN ACTUACIONES DE RIGOR. SE DEJA CONSTANCIA QUE LA DETENIDA JUNTO CON EL SUMARIO FUERON TRASLADADOS A SEDE JUDICIAL EL DIA 01 DE JULIO A PRIMERA HORA SIN NOVEDAD.</t>
  </si>
  <si>
    <t>FISCALIA NACIONAL EN LO CORRECCIONAL Nº 12</t>
  </si>
  <si>
    <t>VEREDA PERGOLA A LA ALTURA DE LOS MOSTRADORES DE LA EMPRESA AEROLINEAS ARGENTINAS</t>
  </si>
  <si>
    <t>SIENDO LA HORA ANTES MENCIONADA SE HACE PRESENTE EN LA GUARDIA DE PREVENCION EL DAMNIFICADO QUIEN MANIFIESTA QUE SIENDO LAS 0500 HORAS APROXIMADAMENTE SE PRESENTO EN ESTE AEROPUERTO METROPOLITANO CON MOTIVO DE ABORDAR EL VUELO AR 1452 DE LA EMPRESA AEROCOMERCIAL AEROLINEAS ARGENTINAS CON DESTINO A LA PROVINCIA DE SALTA. DEBIDO A QUE ERA UN PASAJERO SUJETO A ESPACIO, LA COMPAÑÍA LO TRANSFIRIÓ A UN VUELO CON EL MISMO DESTINO QUE PARTIRÍA DEL AEROPUERTO MINISTRO PISTARINI. SEGUIDAMENTE SE DIRIGIO A LA VEREDA DEL SECTOR A1 PARA ABORDAR EL TRANSFER QUE LO LLEVARÍA AL AEROPUERTO DE EZEIZA. PASADOS UNOS MINUTOS SE DIRIGIÓ AL KIOSCO DEJANDO SU EQUIPAJE AL CUIDADO DE UNA PERSONA QUE SE ENCONTRABA AGUARDANDO EL MISMO TRANSFER, Y AL REGRESAR Y EN MOMENTOS DE ABORDAR DICHO TRANSFER SE PERCATO DEL FALTANTE DE SU MOCHILA POR LO QUE SE DIRIGIO AL TURNO POLICIAL A RADICAR DENUNCIA.</t>
  </si>
  <si>
    <t>SIENDO LA FECHA Y HORA ANTES MENCIONADA, EN MOMENTOS EN QUE EL OFICIAL LOPEZ SE ENCONTRABA REALIZANDO UN CONTROL VEHICULAR EN EL SECTOR MENCIONADO CON ANTERIORIDAD, OBSERVA UN VEHICULO PARTICULAR MARCA FIAT MODELO SIENA COLOR GRIS CON DOMINIO COLOCADO GJI-522 CON PASAJEROS EN SU INTERIOR, POR LO CUAL PROCEDE A SOLICITARLE AL MASCULINO QUE LO CONDUCIA LA DOCUMENTACION CORRESPONDIENTE PARA LA ACTIVIDAD DE REMIS O TRANSPORTE DE PASAJEROS DENTRO O FUERA DE LA AEROESTACION CARECIENDO DE LA MISMA, POR LO CUAL LOS OFICIALES PEREZ Y VILAS MARIANO DE LA OFICINA DE CONTRAVENCIONES Y FALTAS LE INFORMAN EN REITERADAS OPORTUNIDADES QUE NO PODIA EJERCER ESA ACTIVIDAD SIN REALIZAR LOS TRAMITES ANTE LA AUTOPRIDAD CORRESPONDIENTE, PROCEDIENDOSE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</si>
  <si>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VIRTUD A LA ORDEN DE SERVICIO 075-E/10, CUMPLO EN INFROMAR QUE EL PRESIDENTE ARABE SIRIO DR. BASHAR AL ASSAD, DESPEGO EN LA HORA INDICADA PRECEDENTEMENTE, EN EL VUELO ESPECIAL QAF 009 CON DESTINO A LA CIUDAD DE MADRID, REINO DE ESPAÑA, PARTIENDO DE ESTE AEROPUERTO INTERNACIONAL SIN NOVEDAD. ES TODO CUANTO INFORMO</t>
  </si>
  <si>
    <t>SIENDO LA FECHA Y HORA ANTES MENCIONADA, EN MOMENTOS EN QUE LOS OFICIALES HANEMANN Y SACOR SE ENCONTRABAN EN UNA RECORRIDA POR EL SECTOR MENCIONADO CON ANTERIORIDAD, OBSERVAN Y SORPRENDEN A UNA PERSONA DE SEXO MASCULINO, LA CUAL SE ENCONTRABA OFRECIENDO SERVICIO DE MALETERO A LOS PASAJEROS, SIN POSEER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</si>
  <si>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 SPILLOTI DIEGO</t>
  </si>
  <si>
    <t>PSA S/INV. CAUSA DE INCENDIO</t>
  </si>
  <si>
    <t>UBICADO A 400 MTS APROXIMADAMENTE DE LA AEROESTACION</t>
  </si>
  <si>
    <t>HANGAR DEL AEROCLUB RIO GRANDE.</t>
  </si>
  <si>
    <t>EN EL DIA DE LA FECHA Y SIENDO LAS 13:40 HORAS APROXIMADAMENTE, EL JEFE DE SERVICIO MIENTRAS SE ENCONTRABA EN LA PLAYA DE ESTACIONAMIENTO DE ESTE AEROPUERTO, DIVISA UNA COLUMNA DE HUMO PROCEDENTE DEL AEROCLUB RIO GRANDE, ACTO SEGUIDO DA AVISO AL OF. JEFE ALFONSO -INT. A CARGO DE ESTA UOSP- INMEDIATAMENTE SE APERSONARON EN EL LUGAR BOMBEROS DEL SSEI, Y POSTERIORMENTE UNA CAMIONETA Y UNA AUTOBOMBA DE BOMBEROS VOLUNTARIOS DE RIO GRANDE, SEGUIDO DE ELLO SE HACE PRESENTE EN EL LUGAR UNA AUTOBOMBA DE LA DIVISION BOMBEROS DE LA POLICIA DE LA PROVINCIA DE TIERRA DEL FUEGO. INMEDIATAMENTE DESPUES SE PRESENTAN LOS OFICIALES JEFE ALFONSO, CASTRO, Y LOS OF. AYTES. AGUILA PEREYRA, Y CANTERO. QUE SIENDO LAS 14:15 HS LAS AUTOBOMBAS CONTROLAN EL FOCO IGNEO, EL CUAL SE HABRIA ORIGINADO EN LA PARRILLA UBICADA EN EL QUINCHO DEL MENCIONADO AEROCLUB, TODO ELLO SURGE DE LAS VERSIONES DE LAS PERSONAS QUE SE ENCONTRABAN EN EL LUGAR. SIENDO LAS 14:28 HS SE DA AVISO AL SECRETARIO CRIMINAL Y CORRECCIONAL DE JUZGADO FEDERAL DE ESTA CIUDAD, DR DIEGO SPILLOTI, Y POSTERIORMENTE AL SECRETARIO DE LA FISCALIA FEDERAL DE ESTA CIUDAD, DR. ALEJANDRO SAVINO, INFORMANDOLES LO SUCEDIDO Y QUE SE LABRARAN LAS ACTUACIONES DE RIGOR. SIENDO LAS 14:44 HS Y UNA VEZ CONTROLADO EL FOCO IGNEO, SE RETIRAN LAS DOTACIONES DE BOMBEROS VOLUNTARIOS Y DE LA DIVISION BOMBEROS DE LA POLICIA DE LA PROVINCIA. SE DEJA CONSTANCIA DE QUE LOS DAÑOS PRODUCIDOS POR EL INCENDIO SOLO AFECTARON EL QUINCHO Y LAS OFICINAS DEL AEROCLUB, NO AFECTARON A LAS AERONAVES QUE SE ENCONTRABAN EN EL LUGAR, YA QUE ALCANZARON A RETIRARLAS. LAS PERSONAS QUE SE ENCONTRABAN EN EL AEROCLUB SON: JUAN TULLI, DNI Nº27.606.027, LAURA YUBEL, DNI 30.477.783, ALEJANDRO ATASHIAN, DNI 28.321.825, Y LUIS OSCAR MONTERO, CI 4822802, PILOTOS Y MIEMBROS DEL AEROCLUB. SE INFORMA QUE RESPECTO DEL ORGANISMO DAMNIFICADO RESULTA SER EL AEROCLUB RIO GRANDE.</t>
  </si>
  <si>
    <t>AEROCLUB RIO GRANDE</t>
  </si>
  <si>
    <t>DRA. VERONICA MARCHISIO</t>
  </si>
  <si>
    <t>HUIRILLA OSCAR S/DAÑOS Y AMENAZAS</t>
  </si>
  <si>
    <t>10354/06</t>
  </si>
  <si>
    <t>NOTIFICACION CORONEL, MARIA</t>
  </si>
  <si>
    <t>QUE SIENDO LAS 19:05 HS DEL DIA DE LA FECHA, AL MOMENTO DEL PRE EMBARQUE DEL VUELO AU 2849 CON DESTINO AL AEROPARQUE METROPOLITANO JORGE NEWBERY, SE PROCEDIO A IDENTIFICAR Y NOTIFICAR A LA CIUDADANA CORONEL MARIA FERNANDA DNI Nº 28.776.855, SOBRE QUIEN RECAE UNA SOLICITUD DE COMPARENDO SEGUN EL SISTEMA MIGRATORIO RED LINCE BAJO EL REGISTRO Nº 243033 VINCULADO A LA CAUSA DE REFERENCIA. ACTO SEGUIDO LA CIUDADANA CORONEL FIJO DOMICILIO REAL EN CALLE KEKAUN Nº 789 DEL BARRIO 218 DE LA CIUDAD DE RIO GRANDE, PROVINCIA DE TIERRA DEL FUEGO. QUE SE LA NOTIFICO PARA QUE COMPARESCA A LA BREVEDAD ANTE LOS ESTRADOS DEL TRIBUNAL INTERVINIENTE. ASIMISMO SE INFORMA QUE CIUDADANA EN CUESTION NO EMBARCO EL VUELO DEL DIA DE LA FECHA.</t>
  </si>
  <si>
    <t>FISCALIA NACIONAL DE INSTRUCCION Nº 15</t>
  </si>
  <si>
    <t>GRACIA</t>
  </si>
  <si>
    <t>LAPLANA FERNANDO ARIEL</t>
  </si>
  <si>
    <t>PATIO DE VALIJAS - PLATAFORMA COMERCIAL</t>
  </si>
  <si>
    <t>EN EL DIA DE LA FECHA, SIENDO LAS 1125 HORAS EL SUPERVISOR DE LA EMPRESA AEROHANDLING INFORMA A PERSONAL POLICIAL DE LA PSA QUE AL ESTAR REALIZANDO LA ESTIBA DE EQUIPAJES TOMA UN BOLSO DEL CARRO DE EQUIPAJES Y AL MOMENTO DE COLOCARLO SOBRE LA CINTA MECÁNICA, PARA QUE ESTE INGRESE A BODEGA, EL MISMO SE ABRIO EN SU TOTALIDAD, OBSERVANDOSE EN SU INTERIOR UN ESTUCHE CON LA INSCRIPCIÓN GRANADA FUSIL ANTI TANQUE, EN CONSECUENCIA Y ANTE LA PRESENCIA DE UN PRESUNTO MATERIAL EXPLOSIVO, SE ACERCA EL BOLSO HASTA EL PATIO DE VALIJAS PARA SER ESCANEADO POR EL MOVIL SCAN VAN, SE ORDENA INSPECCIÓN MEDIANTE EQUIPO TÉCNICO, Y SE COMISIONA PERSONAL POLICIAL PARA INVITAR AL PASAJERO QUE DESCIENDA DE LA AERONAVE Y EXPLIQUE QUE ERA LO QUE IBA A DESPACHAR. FINALMENTE SE COMPRUEBA QUE EL CONTENIDO DEL ESTUCHE ERA AZUCAR, Y SE LE CONSULTA AL PASAJERO SI EL BOLSO POSEÍA ALGUN FALTANTE, A LO CUAL, AL INSPECCIONAR INFORMA QUE SI, SIENDO EL FALTANTE UN EQUIPO MIMETIZADO COLOR VERDE. VISTO QUE EL VUELO ESTABA PROXIMO A PARTIR, SE INICIA PS A TRAVES DE ACTA DE PROCEDIMIENTO, INFORMANDO AL DAMNIFICADO QUE SE LE TOMARIA DECLARACION TESTIMONIAL UNA VEZ EN DESTINO A FIN DE ESCLARECER LO SUSCITADO. SE ENTABLO COMUNICACION TELEFONICA CON LA FISCALIA EN TURNO QUIEN DISPUSO SE CARATULE ROBO NN, SE TOME DECLARACION TESTIMONIAL AL DAMNIFICADO, AL OPERARIO DE RAMPA DE APELLIDO LAGOMARCINO, Y AL VIGILADOR DE HAS DE APELLIDO TALLEDA, CIERRE Y ELEVACION DE ACTUACIONES.</t>
  </si>
  <si>
    <t>AU 2454</t>
  </si>
  <si>
    <t>Bramati</t>
  </si>
  <si>
    <t>Pablo Martin</t>
  </si>
  <si>
    <t>DR. RICARDO LOCATELLI</t>
  </si>
  <si>
    <t>CORTEZ OSCAR RAFAEL S/PEDIDO SUSP. JUICIO A PRUEBA</t>
  </si>
  <si>
    <t>NOTIFICACION CORTEZ, OSVALDO</t>
  </si>
  <si>
    <t>SIENDO LAS 18:48 DEL DIA DE LA FECHA EL MOMENTO DEL PREEMBARQUE DEL VUELO AU 1849 CON DESTINO AL AEROPARQUE JORGE NEWBERY, SE IDENTIFICA Y NOTIFICA AL CIUDADANO CORTEZ OSVALDO RAFAEL DNI Nº 23.545.111 SOBRE QUIEN RECAE UN PEDIDO DE PARADERO SEGUN REGISTRO RED LINCE Nº 74849 VINCULADO A LA CAUSA CARATULADA CORTEZ OSCAR RAFAEL S/PEDIDO DE SUSP. JUICIO A PRUEBA. QUE EL CIUDADANO FIJO DOMICILIO REAL EN CALLE KEKAUN Nº 789 BARRIO 218 DE ESTA CIUDAD Y CONTINUO CON SU VIAJE PROGRAMADO.</t>
  </si>
  <si>
    <t>AU 1849</t>
  </si>
  <si>
    <t>SECTOR RESTRINGIO DE ESTE AEROPUERTO Y PERIMETRO DEL MISMO</t>
  </si>
  <si>
    <t>INFORMO QUE EN VIRTUD A LA ORDEN DE SERVICIO NRO. 076-E/10, SE HA LLEVADO A CABO EL OPERATIVO DE SEGURIDAD, CON MOTIVO DEL ARRIBO AL TERRITORIO NACIONAL DE LA SELECCIÓN NACIONAL DE FUTBOL. UNA VEZ ARRIBADO EL VUELO EN CUESTION, SE HAN TOMADO LAS MEDIDAS DE SEGURIDAD, SEGUN LA ORDEN DE SERVICIO DE REFERENCIA, RETIRANDOSE EL SELECCIONADO NACIONAL DE ESTA AEROSTACION SIN NOVEDAD.</t>
  </si>
  <si>
    <t>AR 1947</t>
  </si>
  <si>
    <t>QUE SIENDO LAS 1740 HORAS DEL DIA DE LA FECHA EL DAMNIFICADO ARRIBO A ESTA AEROSTACIÓN EN UN VEHICULO TAXI A FIN DE ABORDAR EL VUELO HL 511 DE LA EMPRESA LUFTHANSA CON DESTINO FINAL BOLOGNA ITALIA, Y LUEGO DE ABONAR EL COSTO DE SU VIAJE, DEPOSITO SU BILLETERA EN EL BOLSILLO TRASERO IZQUIERDO DE SU PANTALON. QUE UNA VEZ DESCENDIDO DEL VEHICULO Y AL MOMENTO DE DIRIGERSE A LA TERMINAL A, CHOCA TOMANDO CONTACTO FISICO CON UN GRUPO DE OCHO PERSONAS APROXIMADAMENTE. SEGUIDAMENTE YA EN EL HALL DE LA TERMINAL A FRENTE A LOS MOSTRADORES DE LA EMPRESA LUFTHANSA, SE PERCATO QUE LE FALTABA SU BILLETERA, POR LO QUE SE PRESENTO EN LA GUARDIA DE PREVENCION A FIN DE RADICAR LA DENUNCIA.</t>
  </si>
  <si>
    <t>PRESUNTA INFRACCION AL ARTICULO 5 INCISO C DE LA LEY 23.737</t>
  </si>
  <si>
    <t>PERSONAL POLICIAL SE ENCONTRABA EFECTUANDO CONTROL PREVENTIVO MEDIANTE MAQUINA DE RAYOS X, DETECTA DENTRO DE UN EQUIPAJE, LA PRESENCIA DE SUSTANCIA ORGANICA.SEGUIDAMENTE SE CONVOCA LA PRESENCIA DE DOS TESTIGOS Y LUEGO SE PROCEDE A IDENTIFICAR AL PASAJERO PROPIETARIO DE LA VALIJA, EN LA SALA DE EMBARQUE. UNA VEZ QUE EL PASAJERO RECONOCE COMO DE SU PROPIEDAD EL EQUIPAJE SE TRASLADA A TODOS A LA GUARDIA DE PREVENCION. LUEGO DE RECIBIR AUTORIZACION JUDICIAL SE PROCEDE A LA REQUISA DE LA VALIJA HALLANDO EN SU INTERIOR UNA CAMPERA LA CUAL POSEE OCULTOS EN EL INTERIOR DE SU FORRO DOCE PAQUETES, QUE CADA UNO POSEE EN SU INTERIOR SUSTANCIA GRANULENTA, QUE SOMETIDA A REACTIVO DE COCAINA, ARROJA RESULTADO POSITIVO, COMO ASI TAMBIEN SE ENCUENTRA OTRA CAMPERA QUE EN SU INTERIOR POSEE OCULTOS TRECE PAQUETES, CONTENIENDO SUSTANCIA GRANULENTA CADA UNO, QUE SOMETIDO A REACTIVO DE COCAINA ARROJA RESULTADO POSITIVO. UNA VEZ ENTERADO EL JUZGADO INTERVINIETE DE LOS RESULTADOS, DISPONE QUE SE LABREN ACTUACIONES DE RIGOR, SE PROCEDA A LA DETENCION DEL PASAJERO Y UNA VEZ CULMINADAS LAS DILIGENCIAS IMPARTIDAS, SE TRASLADE AL DETENIDO A LA UNIDAD NRO. 28 SPF. QUE SIENDO LA 08:00 HS DEL DIA 05/07/2010 SE PROCEDIO AL TRASLADO DEL DETENIDO EN AUTOS A LA UNIDAD DE DETENCION.</t>
  </si>
  <si>
    <t>SANTA CRUZ DE LA SIERRA // AR 1363</t>
  </si>
  <si>
    <t>EZEIZA AR 1132 // MADRID ESPAÑA // UX 2005</t>
  </si>
  <si>
    <t>INFRACCION CODIGO ADUANERO LEY 22.415</t>
  </si>
  <si>
    <t>SIENDO LAS 16:50 HORAS APROXIMADAMENTE, MEDIANTE UN CONTROL DE RUTINA DEL VUELO DE REFERENCIA EN EL PUESTO MENCIONADO, DE LA EMPRESA AEROLINEAS ARGENTINAS EL CUAL PARTÍA CON DESTINO A EZEIZA, SE OBSERVA A TRAVÉS DEL MONITOR DE RX , DENTRO DE DOS (02) VALIJAS MATERIALES METÁLICOS, LOS CUALES LLAMARON LA ATENCIÓN AL PERSONAL POLICIAL. POR TAL MOTIVO SE PROCEDIÓ A SEPARAR E IDENTIFICAR A LAS VALIJAS EN CUESTIÓN, SOLICITANDO LA PRESENCIA EN EL SECTOR DE PERSONAL DE ADUANA, COMO ASÍ TAMBIÉN DE PERSONAL DE LA EMPRESA AEROLINEAS ARGENTINAS PARA UBICAR AL PASAJERO PROPIETARIO DE LAS VALIJAS.UNA VEZ EN EL SECTOR E INDIVIDUALIZADO EL PASAJERO, EL MISMO ACCEDIÓ VOLUNTARIAMENTE A LA APERTURA DE LAS VALIJAS. EN ESOS MOMENTOS Y EN PRESENCIA DE LOS TESTIGOS SE PROCEDE A LA APERTURA DE LAS MISMAS VERIFICANDOSE EN SU INTERIOR LA EXISTENCIA DE ANTIGÜEDADES. POR TAL MOTIVO SE ESTABLECIÓ COMUNICACIÓN TELEFÓNICA CON EL JUZGADO FEDERAL DE TURNO EN LA PERSONA DE SU SECRETARIA PENAL, QUIEN INFORMADA DE TODO LO SUCEDIDO, DISPONE QUE PERSONAL DE ADUANA SE COMUNIQUE TELEFÓNICAMENTE CON SU PERSONA, SE LABRE ACTA DE RIGOR DEJANDO PLASMADO LAS CIRCUNSTANCIAS DEL CASO, SE REMITA LO SECUESTRADO A LA DIVISIÓN ADUANA Y QUE CULMINADO ESTO, EL PASAJERO CONTINÚE CON SU RUTINA. ANTE LO MENCIONADO SE PROCEDE A RETENER LA MERCADERÍA PARA POSTERIORMENTE SER ENTREGADO A PERSONAL DE ADUANA</t>
  </si>
  <si>
    <t>AR 1419</t>
  </si>
  <si>
    <t>ESTACION DE SERVICIO PETROBRAS</t>
  </si>
  <si>
    <t>TRAYECTO DESDE VEREDA PERGOLA TERMINAL A HASTA ESTACION DE SERVICIO PETROBRAS</t>
  </si>
  <si>
    <t>UNA VEZ ARRIBADO EL DENUNCIANTE AL TERRITORIO NACIONAL, SE DIRIGE AL SECTOR DE LA PÉRGOLA DE TAXI DONDE TOMA CONTACTO CON UN MASCULINO QUE LE OFRECE SERVICIO DE TRANSPORTE PUBLICO. SEGUIDAMENTE EL MASCULINO CONDUCE AL PASAJERO HACIA UN VEHICULO TAXI CAPITAL QUE SE ENCONTRABA EN LA PÉRGOLA DE ARRIBOS DE LA TERMINAL "A". LUEGO EL PASAJERO ABORDA EL VEHICULO, AL CUAL TAMBIÉN ASCIENDE EL SUJETO MENCIONADO ANTERIORMENTE. EMPRENDEN SU MARCHA EN DIRECCIÓN A LA ESTACIÓN DE SERVICIO PETROBRAS MOMENTO EN EL CUAL UNO DE LOS SUJETOS LE INDICA QUE DEBÍA ABONAR EL COSTO DEL VIAJE POR UN MONTO DE CIENTO NOVENTA Y OCHO PESOS POR LO QUE EL PASAJERO LE ENTREGA AL CONDUCTOR EL MONTO SOLICITADO. A CONTINUACIÓN AMBOS LE MANIFIESTAN QUE EL DINERO ERA FALSO, SOLICITANDOLE AL DENUNCIANTE QUE LES ENTREGUE TODO SU DINERO PARA VERIFICAR SI LLEVABA ALGÚNN BILLETE AUTÉNTICO, A LO QUE EL PASAJERO LE ENTREGA 2400 PESOS ARGENTINOS, PERCATANDOSE QUE ESTABA SIENDO ESTAFADO. POR TAL MOTIVO, EL DENUNCIANTE ARREBATA EL DINERO DE LA MANO DEL CONDUCTOR. SEGUIDAMENTE ARRIBA AL SECTOR OTRO VEHICULO TAXI TIPO MINI VAN, MOMENTO EN EL QUE LOS SUJETOS LE INDICAN AL PASAJERO QUE DEBÍA ABORDAR DICHO VEHICULO PARA PROSEGUIR CON SU VIAJE Y QUE LES DEBÍA DAR DOSCIENTOS PESOS Y QUE ELLOS LUEGO LOS CAMBIARÍAN POR OTROS QUE SEAN BUENOS, POR LO QUE EL PASAJERO VUELVE A ENTREGARLES DOSCIENTOS PESOS, DE LOS CUALES CIEN SE LO DEVUELVEN Y LOS OTROS CIEN SE LOS DAN AL CONDUCTOR DEL VEHICULO TAXI MINI VAN. EN MOMENTO QUE EL PASAJERO REALIZABA EL CAMBIO DE VEHICULO OBSERVA LA SITUACIÓN PERSONAL POLICIAL, QUIEN SE ACERCA, INFORMANDO PREVIAMENTE LA NOVEDAD AL TURNO DE GUARDIA. EN DICHO MOMENTO EL VEHICULO TAXI QUE ABORDO EL PASAJERO EN PRIMER TERMINO SE RETIRO RAUDAMENTE NO PERMITIENDO AL PERSONAL POLICIAL OBTENER NINGÚN DATO DEL MISMO. LUEGO SE IDENTIFICA AL SUJETO DE REMERA NEGRA (IMPUTADO) Y AL CONDUCTOR DEL VEHICULO TAXI MINI VAN Y EN PRESENCIA DE TESTIGOS SON CONDUCIDOS AL TURNO DE GUARDIA. UNA VEZ EN LA GUARDIA EL PASAJERO SE PERCATA QUE LE FALTABAN CUATROCIENTOS PESOS MÁS. INFORMADA LA U.F.I. DISPUSO SE RECIBA FORMAL DENUNCIA AL DAMNIFICADO, SE RECIBA DECLARACION TESTIMONIAL AL PERSONAL POLICIAL QUE OBSERVO EL HECHO Y AL SR. CARLOS NISIM CHALUH, SE PROCEDA A LA APREHENSION DEL SR. RUBEN RODRIGO JIMENEZ POR ESTAFA, SE REALICE INFORME SOCIO ECONOMICO AMBIENTAL DEL APREHENDIDO Y CONSTATACION DE DOMICILIO, SE REALICE INSPECCION OCULAR Y CROQUIS ILUSTRATIVO DEL LUGAR DEL HECHO, SE SOLICITE INFORME DE RESTRICCIONES AL DEPARTAMENTO DE INTERPOL EZEIZA Y SE ELEVE LO ACTUADO Y AL APREHENDIDO EN EL HORARIO DE LAS 9.00 HS DEL DIA 05/07/2010 A LA UFI. SIENDO LAS OCHO HORAS, DEL DIA 05/07/10 SE PROCEDIO A LA REMISION DEL APREHENDIDO A LA U.F.I INTERVINIENTE.- SE INFORMA EN PU Nº 4031 DEL DIA 05/07/2010 QUE SIENDO LAS 14.00 HS REGRESO LA COMISION POLICIAL JUANTO CON EL DETENIDO Y OFICIO JUDICIAL EMANADO POR LA UFI INTERVINIENTE EL CUAL DISPONE SE LE DE LA INMEDIATA LIBERTAD AL CAUSANTE. SIENDO LAS 14.30 HORAS SE DIO ESTRICTO CUMPLIMIENTO A LO ESTABLECIDO EN DICHO OFICIO, ABANDONANDO LA DEPENDENCIA EL CAUSANTE POR SUS PROPIOS MEDIOS CONFORME LOS TRATOS RECIBIDOS SIN NOVEDAD.</t>
  </si>
  <si>
    <t>EN EL DIA DE LA FECHA SIENDO LAS 11 00 HORAS SE PRESENTA EN ESTA PREVENCION EL OFICIAL MAYOR GUILLERMO FIALA NUMERARIO DE LA DIVISION OPERACIONAL DEL CONTROL DEL NARCOTRAFICO Y DELITOS COMPLEJOS DE LA URSA 1 CON ASIENTO EN ESTA UNIDAD INFORMANDO QUE EN EL DIA DE AYER AUTORES IGNORADOS IRRUMPIERON EN SU VIVIENDA PARTICULAR EN MOMENTOS QUE NO SE ENCONTRABAN MORADORES EN LA MISMA, SUSTRAYENDO ENTRE OTROS ELEMENTOS PERSONALES, UN MALETIN CON DOCUMENTACION PERSONAL ENTRE LAS CUALES SE ENCONTRABA LA PLACA IDENTIFICATORIO Nº 043 Y CREDENCIAL POLICIAL DE LA POLICIA DE SEGURIDAD AEROPORTUARIA. ASIMISMO SE DEJA CONSTANCIA QUE SE RADICO LA CORRESPONDIENTE DENUNCIA PENAL EN LA COMISARIA SEPTIMA DE ESTA LOCALIDAD QUIEN TIENE JURISDICCION EN LA ZONA DE LA VIVIENDA DEL DAMNIFICADO.</t>
  </si>
  <si>
    <t>INFRACCION AL ARTICULO 85 DECRETO DE LEY 8031/73</t>
  </si>
  <si>
    <t>SIENDO LA FECHA Y HORA ANTES MENCIONADA, EN MOMENTOS EN QUE LOS OFICIALES GODOY Y CANDIO SE ENCONTRABAN EN UNA RECORRIDA POR EL SECTOR MENCIONADO CON ANTERIORIDAD, OBSERVAN Y SORPRENDEN A UNA PERSONA DE SEXO MASCULINO, LA CUAL SE ENCONTRABA REALIZANDO SERVICIO DE MALETERO A LOS PASAJEROS, SIN POSEER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</si>
  <si>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BONNIN, MANUEL EDUARDO</t>
  </si>
  <si>
    <t>AVERIGUACION PRESUNTA INFRACCION LEY 23.737</t>
  </si>
  <si>
    <t>1974/09</t>
  </si>
  <si>
    <t>EN EL DIA DE LA FECHA FUE RECEPCIONADO OFICIO Nº 767/10 DE FECHA 05 DE JULIO DE 2010 CON RELACION EN AUTOS Nº 1974/09 CARATULADOS "AVERIGUACION PRESUNTA INFRACCION LEY 23.737" DE TRAMITE ANTE EL JUZGADO FEDERAL DE PRIMERA INSTANCIA DE RIO GALLEGOS A EFECTO DE HACER SABER QUE EN EL DIA DE LA FECHA SE ORDENO A LA DIRECCION DE OBSERVACIONES JUDICIALES LA INTERCEPCION DE LAS COMUNICACIONES DE LOS ABONADOS 02966 - 346585 Y 011 - 39079643 POR EL TERMINO DE TREINTA DIAS, CON EL OBJETO DE CONOCER LAS COMUNICACIONES TANTO DE VOZ COMO DEL SERVICIO DE MENSAJES DE TEXTO. ASIMISMO SE REQUIERE SE PROCEDA A LA ESCUCHA Y TRANSCRIPCION DE LOS SOPORTES QUE RESULTEN, LOS CUALES DEBERAN SER ELEVADOS A LA FISCALIA. CABE ACLARAR QUE LA CAUSA DE REFERENCIA SURGE TENIENDO DIRECTA RELACION CON EL EXPEDIENTE F 705/09 DE LA FISCALIA FEDERAL DE RIO GALLEGOS A CARGO DE LA FISCAL FEDERAL DOCTORA PATRICIA KLOSTER. RESPECTO DEL EXPEDIENTE ANTES MENCIONADO EL MISMO FUE DEBIDAMENTE INFORMADO EN PARTE RESERVADO Nº 4547 DE FECHA 30 DE ABRIL DE 2009, MEDIANTE SISTEMA SIPAP.</t>
  </si>
  <si>
    <t>AVERIGUACION DE ROBO / HURTO</t>
  </si>
  <si>
    <t>INFORMO QUE EN EL DIA DE LA FECHA SE RECIBIO MSG Nº 0781 R GHO 051315 JUL 10, RETRASMITIENDO TXT RECIBIDO EN LA URSA III DEL NORTE, POR LA SRA GRACIELA CAMPOS DE ABALOS, D.N.I. Nº 14.008.866, DONDE MANIFIESTA QUE EN EL AEROPUERTO DE SALTA, EL DIA 01 DE JULIO EN EL VUELO Nº 4135 DE LA EMPRESA LAN LE ABRIERON LA VALIJA Y LE ROBARON UNA CAMARA FILMADORA Y 600 DOLARES EN EFECTIVO. SE INFORMA QUE EL VUELO DE REFERENCIA FUE CANCELADO, EMBARCANDO EL DIA 02 DE JULIO A LAS 20:05 HS. EN VUELO Nº 4135 DE LA EMPRESA LAN CON DESTINO BS. AS. EL JEFE DE UOSP OF. JEFE GUSTAVO VALLI ACTUA DE OFICIO Y A HS 12.10 SE COMUNICA TELEFONICAMENTE CON EL MAGISTRADO ACTUANTE, FISCAL DR. EDUARDO VILLALBA, QUIEN DISPONE SE REALICEN LAS ACTUACIONES CORRESPONDIENTES Y LAS MISMAS SEAN ELEVADAS A LA BREVEDAD, NO DETERMINANDO EL Nº DE CARATULA JUDICIAL NI LA CARATULA PROVISORIA.</t>
  </si>
  <si>
    <t>BORDA</t>
  </si>
  <si>
    <t>GLADIS MABEL</t>
  </si>
  <si>
    <t>PABLO CARLOS</t>
  </si>
  <si>
    <t>SRA. JUEZ DE INSTRUCCION Y CORRECCIONAL Y DE MENORES NRO.2 S/REMITE ACTUACIONES</t>
  </si>
  <si>
    <t>1-20.103/09</t>
  </si>
  <si>
    <t>CIUDAD DE PASO DE LOS LIBRES - CORRIENTES</t>
  </si>
  <si>
    <t>EN EL DIA DE LA FECHA SE PROCEDIO A SOLICITAR LAS CORRESPONDIENTES ORDENES DE ALLANAMIENTO EN EL MARCO DE LA CAUSA DE REFERENCIA DEBIDAMENTE FUNDAMENTADAS. LAS TAREAS INVESTIGATIVAS SE INICIARON A PARTIR DEL OFICIO JUDICIAL NRO. 07/09 DE LA FISCALIA FEDERAL DE PASO DE LOS LIBRES, CTES. DICHAS TAREAS FUERON ORDENADAS POR ORDEN DE SERVICIO NRO. 12/2009 DE FECHA 15ENE09 URSA IV. DE LOS AVANCES EN LAS PESQUISAS SE PUDO ESTABLECER LA CONFIRMACION E INDIVIDUALIZACION DEL PROVEEDOR Y LOS ENCARGADOS DE LA VENTA DE ESTUPEFACIENTE, POR TAL MOTIVO SE SOLICITARON LAS ORDENES DE ALLANAMIENTOS PARA TRES DOMICILIOS EN LA CIUDAD DE PASO DE LOS LIBRES, PARA EL DÍA 10JUL10. EL PRESENTE INFORME ES AMPLIATORIO DEL SIPAP DOC4 0077/09 DE FECHA 27/08/09. LOS INVOLUCRADOS SERIAN FONSECA PABLO DNI 256037199 GONZALEZ LEONARDO DNI 33126288 Y GONZALEZ RITO DNI 31117662.-</t>
  </si>
  <si>
    <t>4016/10</t>
  </si>
  <si>
    <t>ESTACIONDE SERVICIO PETROBRAS</t>
  </si>
  <si>
    <t>SIENDO LAS 14:00HS. DEL DIA CINCO DEL CORRIENTE MES Y AÑO, REGRESO LA COMISION POLICIAL JUNTO CON EL DETENIDO EN AUTOS Y OFICIO JUDICIAL EMANADO POR LA U.F.I. INTERVINIENTE EN EL CUAL DISPONE SE LE DE LA INMEDIATA LIBERTAD DEL CAUSANTE. POR TAL MOTIVO SIENDO LAS 14:30HS. SE DIO EXTRICTO CUMPLIMIENTO A LO ESTABLECIDO EN DICHO OFICIO.</t>
  </si>
  <si>
    <t>DR ARIEL LAPLANA</t>
  </si>
  <si>
    <t>MARISA ANTONOWICZ S/DENUNCIA</t>
  </si>
  <si>
    <t>SE RECIBE DE PARTE DEL COMISIONADO MAYOR MIGUEL ANGEL MARTINO, JEFE DE UNIDAD OPERACIONAL, NOTA PROCEDENTE DE LA EMPRESA PLUNA, HACIENDO MENCIÓN AL INCREMENTO DE RECLAMOS EFECTUADOS POR PASAJEROS DE DICHA EMPRESA POR ROBOS O FALTANTES DEL CONTENIDO DE EQUIPAJES DESPACHADOS A BODEGA. A LA CITADA NOTA SE ACOMPAÑA UNA PLANILLA CON EL NOMBRE Y APELLIDO DE LOS PASAJEROS, LA FECHA DEL VUELO, PROCEDENCIA O DESTINO SEGÚN EL CASO, Y EL DETALLE DEL FALTANTE EN LOS EQUIPAJES. ATENTO A LO PRECEDENTE SE ENTABLO COMUNICACIÓN TELEFÓNICA CON EL DR. ARIEL FERNANDO LAPLANA, SECRETARIO DE LA FISCALIA Nº 15 A CARGO DE LA DRA. MARIANA FERNANDA GARCIA, INFORMÁNDOLE DE LO ACONTECIDO, QUIEN DISPUSO SE CITE A DECLARACIÓN TESTIMONIAL A LA SRA. ANTONOWICZ, JEFA DE BASE DE PLUNA LINEAS AEREAS, A FIN DE RATIFICAR LO PRESENTADO. SE LE SOLICITE A PLUNA LISTADO DETALLADO DE LOS PASAJEROS A FIN DE CITARLOS A PRESTAR DECLARACION TESTIMONIAL EN CASO DE SER NECESARIO. SE SOLICITE A LAS EMPRESAS INTERCARGO Y PROSEGUR LA NOMINA DE PERSONAL CON DATOS FILIATORIOS COMPLETOS QUE ATENDIERON ESOS VUELOS EN LO CONCERNIENTE A CARGA, DESCARGA Y VIGILANCIA DE LOS EQUIPAJES RESPECTIVAMENTE, CON LAS NOVEDADES DE LOS MISMOS SI HUBIERE. DE LO QUE SURGIERE NUEVA COMUNICACIÓN EN CASO DE SER NECESARIO. SE AMPLIARA ESTE PARTE UNA VEZ CUMPLIMENTADA LA DECLARACION TESTIMONIAL A LA SRA ANTONOWICZ, Y CUANDO SE RECIBAN LOS DATOS COMPLETOS DE LOS PASAJEROS DAMNIFICADOS EN LOS HECHOS DE ROBO HURTO DE EQUIPAJES. SE INFORMA EN P.U. Nº 4187 DE FECHA 12/7/2010, QUE SE CUMPLIMENTO LO ORDENADO POR LA FISCALIA INTERVINIENTE, RECIBIENDO DECLARACION TESTIMONIAL DE LA SRA. ANTONOWICZ, JEFA DE BASE DE PLUNA LINEAS AEREAS.</t>
  </si>
  <si>
    <t>DRA. NOFAL DE CATANEO CLAUDIA</t>
  </si>
  <si>
    <t>FRENTE DE EDIFICIO TERMINAL SECTROR G3 CONFORME MAPA GRILLADO LINDANTE AL INGRESO DEL AEROPUERTO</t>
  </si>
  <si>
    <t>SIENDO LAS 19:36 HORAS Y EN MOMENTOS EN QUE SE REALIZABA LA RECORRIDA PERIMETRAL A CARGO DEL CHOFER OF. AYUDANTE LUNA, PABLO Y ACOMPAÑANTE OF. AYUDANTE TOMASELLI, MARCELO SE DETECTA EL FALTANTE DE UNO DE LOS PAÑOS DE LA TELA DEL CERCO PERIMETRAL DEL AEROPUERTO QUE DE ACUERDO AL MAPA GRILLADO ESTARIA UBICADO EN EL SECTOR G3 Y EL CUAL NO AFECTA EL INGRESO A LA ZONA RESTRINGIDA POR NO ENCONTRARSE DICHO CERCO LINDANTE A ESTE SECTOR. INMEDIATAMENTE PERSONAL AFECTADO A DICHO CONTROL INFORMA DEL HECHO AL JEFE DE TURNO DEL DIA DE LA FECHA OF. MAYOR SALAS, ROLANDO EL CUAL SIENDO LAS 19:38 HORAS REALIZA LAS COMUNICACIONES CON EL JUZGADO DE TURNO A QUIEN SE LE INFORMA LOS HECHOS OCURRIDOS Y QUIEN DISPONE: 1. REALIZAR LAS ACTUACIONES DE RIGOR 2. QUE LAS MISMAS SEAN ELEVADAS EN EL TRANSCURSO DE LA SEMANA Y 3. QUE SE REALICEN RECORRIDAS PERIODICAS NO DEJANDO UN PERSONAL DE CONSIGNA DEBIDO A QUE EL FALTANTE DE DICHO CERCO PERIMETRAL NO PERMITE EL INGRESO A LA ZONA RESTRINGIDA A LO QUE SE DA ESTRICTO CUMPLIMIENTO.</t>
  </si>
  <si>
    <t>SE PROCEDE A LA RETENCIÓN DE DOS SACAS COLECTORAS DEL CORREO OFICIAL, SEGÚN CONSTA EN ACTA DE RETENCIÓN DE CARGAS Nº 0339/10, QUE ORIGINA LA PREVENCIÓN SUMARIA 080/10, LA PRIMERA SACA IDENTIFICADA CON MARBETE, SLA0210731D555800VAE, PRECINTO N° Z149947, CON UN PESO DECLARADO DE 11,600 KGS, CON DESTINO LA CIUDAD DE USUHAIA, CONTENDRIA CUATRO PIEZAS POSTALES Y LA SEGUNDA SACA IDENTIFICADA CON MARBETE SLA0216744E555700RGL, PRECINTO Nº C821934, CON UN PESO DECLARADO DE 2,800 KGS, CON DESTINO A LA CIUDAD DE RIO GALLEGOS, CONTENDRIA UNA PIEZA POSTAL, LAS MISMAS ESTAN AMPARADAS EN GUÍA DE CARGA Nº 9411728-4, DESPACHADAS ATRAVÉS DE LA EMPRESA DE CARGA AEREA JET PAQ. LA RETENCIÓN SE REALIZA ANTE LA PRESUNCIÓN QUE PUDIERAN CONTENER ALGÚN ELEMENTO EN INFRACCIÓN A LA LEY 23.737 Y/O 22.415, QUEDANDO LAS MISMAS CERRADAS Y PRECINTADAS EN GUARDA EN ESTA UOSP. SE COMUNICO LA RETENCION, TELEFONICAMENTE AL JUZGADO INTERVINIENTE, Y LA APERTURA SE REALIZARÁ EN PRESENCIA DEL PERSONAL DEL CORREO OFICIAL.</t>
  </si>
  <si>
    <t>HORACIO MARIO ARGUELLO</t>
  </si>
  <si>
    <t>GABETA PARA EQUIPAJE DE MANO, CABINA DE PASAJEROS, AERONAVE DE AEROLINEAS ARGENTINAS.</t>
  </si>
  <si>
    <t>EL DIA 05 DE JULIO DE 2010 A HORAS 23:50 SE PRESENTA ANTE EL JEFE DE TURNO OF. MAY. WALTER ANDRES FERREYRA, LA CIUDADANA ESPAÑOLA PASAPORTE N° U579709 QUIEN RADICA DENUNCIA POR HURTO DE UN ORDENADOR MARCA TOSHIBA EL CUAL SE ENCONTRABA EN LA GABETA DEL AVION DE AEROLINEAS ARGENTINA, MANIFESTANDO LA MISMA QUE EN MOMENTOS EN QUE SE DISPUSO A RETIRAR SUS PERTENENCIAS DETECTA EL FALTANTE DEL ELEMENTO ARRIBA MENCIONADO MOTIVO POR EL CUAL DIO EL ALERTA AL PERSONAL DE ABORDO POSTERIORMENTE SE DIRIGIO AL PERSONAL DE MOSTRADOR DE LA EMPRESA DONDE LE MANIFESTARON QUE LA EMPRESA NO SE HACIA CARGO DEL EQUIPAJE DE MANO EXTRAVIADO, NEGANDOLE TAMBIEN EL LIBRO DE QUEJAS, POSTERIOR A ESO SE PRESENTARON ANTE LA PSA PARA REALIZAR LA CORREPONDIENTE DENUNCIA. SE ESTABLECIO COMUNICACION TELEFONICA CON EL TURNO DEL JUZGADO FEDERAL DONDE ATIENDE EL CABO CABEZAS DE LA PFA QUIEN NOS BRINDA EL TELEFONO PARTICULAR DEL DR. ZELAYA ALBERTO, NO PUDIENDO ESTABLECER COMUNICACION CON EL MISMO HASTA EL MOMENTO DE REALIZADO EL PRESENTRE INFORME YA QUE ENTRA EL CONTESTADOR, A POSTERIOR SE REALIZARA LA COMUNICACION CORRESPONDIENTE.</t>
  </si>
  <si>
    <t>AR 1476</t>
  </si>
  <si>
    <t>EN EL DIA DE LA FECHA A HRS. 10:00 PERSONAL DE LA EMPRESA AEROLINEAS ARGENTINAS REALIZA EL ANUNCIO DE CANCELACION DEL VUELO N° 2472/73, CON HORARIO DE SALIDA A HRS. 08:10 DESDE EL AEROPUERTO JORGE NEWBERY, CIUDAD AUTONOMA DE BUENOS AIRES, CON DESTINO AL AEROPUERTO INTERNACIONAL TTE. BENJAMIN MATIENZO,PROVINCIA DE TUCUMAN, CON HORARIO DE ARRIBO A ESTA PROVINCIA A HRS. 10.05, LA CANCELACION DEL MENCIONADO VUELO ES PRODUCTO DEL RECLAMO GREMIAL REALIZADO EN EL AEROPUERTO DE ORIGEN POR EMPLEADOS DE LA EMPRESA AEROHANDLING.</t>
  </si>
  <si>
    <t>2472/73</t>
  </si>
  <si>
    <t>San Miguel de Tucuman</t>
  </si>
  <si>
    <t>VIA PÚBLICA</t>
  </si>
  <si>
    <t>INFORMO EN EL DÍA DE LA FECHA, EL OFICIAL PRINCIPAL RUBEN FELIPE VERA LEGAJO Nº 502.322, PRESENTA CERTIFICACIÓN Nº 5682/10-S6TA DE FECHA 6 DE JULIO DE 2010, EXPEDIDO POR LA POLICÍA DE LA PROVINCIA DE FORMOSA, INFORMANDO EL EXTRAVÍO DEL PERMISO PERSONAL AEROPORTUARIO EN LA VÍA PUBLICA.</t>
  </si>
  <si>
    <t>PLATAFORMA-PATIO DE VALIJAS-PREEMBARQUES-ARRIBOS</t>
  </si>
  <si>
    <t>INFORMO QUE SIENDO LAS 06:05 HORA LOCAL, PERSONAL DE AEROLINEAS ARGENTINAS (TRAFICO Y AEROHANDLING) AFILIADOS AL GREMIO APA DIERON INICIO A UNA ASAMBLEA QUE DERIVO EN EL CESE DE ACTIVIDADES PROVOCANDO SERIOS INCONVENIENTES A LOS PASAJEROS, PRODUCTO DE ONCE (11) CANCELACIONES Y VARIAS HORAS DE DEMORAS. SE PUSO EN CONOCIMIENTO AL JUZGADO EN LO CRIMINAL Y CORRECCIONAL FEDERAL Nº 04 A CARGO DEL DR. ARIEL LIJO, POR INTERMEDIO DE LA SECRETARIA Nº 07 DE LA DRA. CECILIA AMIL MARTIN, NO DISPONIENDOSE EN PRINCIPIO MEDIDA ALGUNA. SIENDO LAS 10:10 HORA LOCAL FINALIZA LA ASAMBLEA Y REINICIARON LAS ACTIVIDADES RECUPERANDO PARCIALMENTE LA OPERATIVIDAD DICHA EMPRESA YA QUE A ESTA ALTURA AUN SE REGISTRAN ALGUNAS DEMORAS. SE LABRAN ACTUACIONES PARA CONSTANCIA. ASI MISMO SE INFORMA QUE SE VIO AFECTADO PERSONAL DEL GURPO DE GUARDIA DEL DIA DE LA FECHA CONJUNTAMENTE CON PERSONAL DE GUARDIA SALIENTE Y DE DESTINO INTERNO.-</t>
  </si>
  <si>
    <t>FRIAS JORGE MARIANO</t>
  </si>
  <si>
    <t>A LA ALTURA DEL BARRIO ELIAS ADRE PARALELA A CALLE DE RODAJE SUR</t>
  </si>
  <si>
    <t>SIENDO LAS 11:10 HORAS APROXIMADAMENTE , MIENTRAS ME ENCONTRABA REALIZANDO RECORRIDO PERIMETRAL JUNTO AL OFICIAL PRINCIPAL MONTOYA ADRIAN , AL LLEGAR A LA ZONA UBICADA ENTRE LA CALLE DE RODAJE SUR PARALELO AL BARRIO ELIAS ADRE, OBSERVO LA ROTURA Y DEZPLAZAMIENTO DEL ALAMBRE ROMBOIDAL, POR LO QUE EN ESE MOMENTO REALIZO UNA INSPECCION OCULAR DEL LUGAR DEL HECHO. ACTO SEGUIDO PROCEDO A INFORMAR AL PERSONAL DE MANTENIMIENTO DE LA EMPRESA AEROPUERTOS ARGENTINA 2000 A FIN QUE DISPONGA PERSONAL PARA LA REPARACION DE LA TELA DAÑADA. SIENDO LAS 11:40 HORAS ORDENO AL OFICIAL PRINCIPAL MONTOYA ADRIAN QUE SE DIRIJA AL LUGAR, CON PERSONAL DE MANTENIMIENTO DE AEROPUERTOS ARGENTINA 2000, A FIN DE CUSTODIAR LA REPARACION DE LA TEKLA ROMBOIDAL Y REALIZAR LAS TOMAS FOTOGRAFICAS DEL LUGAR DEL HECHO. SIENDO LAS 11:50 HORAS APROXIMADAMENTE REALIZO COMUNICACION TELEFONICA CON EL JUZGADO FEDERAL DE SAN LUIS, COMUNICANDOME CON EL SECRETARIO PENAL DR JORGE MARIANO FRIAS A QUIEN INFORMO DE LOS HECHOS, SIENDO LAS 12:00 HORAS EL OFICIAL PRINCIPAL MONTOYA ADRIAN ME INFORMA QUE HA SIDO REPARADA LA TELA ROMBOIDAL DAÑADA. AMPLIANDO DE LUI_2010_4449_PU SIENDO LAS 11:10 HORAS, DEL DIA 24 DE JULIO, EL OFICIAL AYTE. MARTIN ALFREDO, QUIEN REALIZABA JUNTO A LA OFICIAL CABRERA ESTELA, RECORRIDA PERIMETRAL, ME INFORMA LA NOVEDAD DE QUE AL MOMENTO DE LLEGAR A LA ALTURA DEL BARRIO ELIAS ADRE, OBSERVA UNA ROTURA EN UN PAÑO DEL TEJIDO PERIMETRAL, EL CUAL HABIA SIDO DESTEJIDO EN AMBOS EXTREMOS Y ABIERTO HACIA SU INTERIOR, DEJANDO DOS ESPACIOS AMPLIOS DE PASO. POR LO QUE SOLICITO QUE FINALICEN EL RECORRIDO PERIMETRAL, Y REGRESEN A LA GUARDIA DE PREVENCION, MOMENTOS DESPUES ME ACERCO AL LUGAR DEL HECHO TOMAR FOTOGRAFIAS, REALIZAR INSPECCION OCULAR DEL LUGAR, Y ACOMPAÑAR AL PERSONAL DE MANTENIMIENTO AL QUE SE LE SOLICITO LA REPARACION DE LA ROTURA. SIENDO LAS 12:30 HORAS Y HABIENDO YA REGRESADO DEL LUGAR DEL HECHO, CON EL PAÑO DE TELA REPARADO, REALIZO COMUNICACION TELEFONICA CON EL JUZGADO DE TURNO A CARGO COMO SUBROGANTE DEL DR. JORGE MARIANO FRIAS, A QUIEN SE LE IMPONEN DE LOS HECHOS OCURRIDOS, ORDENANDO POSTERIORMENTE, QUE SE INICIEN LAS ACTUACIONES A SABER ACTA DE PROCEDIMIENTO, INSPECCION OCULAR, TOMAS FOTOGRAFICAS, CROQUIS Y SE ELEVEN LAS MISMAS PARA SER ACUMULADAS EN LA CAUSA 06/2010, DE REGISTRO INTERNO DE ESTA UNIDAD. AMPLIANDO DE LUI_2010_4459_PU SIENDO LAS 19:20 HORAS APROXIMADAMENTE DEL DIA 24 DE JULIO , ME INFORMA PERSONAL DE VIGILADORES DE LA EMPRESA DE SEGURIDAD SA S.A., RICARDO GIMENEZ, QUE OBSERVABA DESDE SU PUESTO DE VIGILANCIA, QUE SE ENCUENTRA EN EL SECTOR SUR OESTE, A UNOS 500 METROS DEL PORTON EN CUESTION, QUE VE MOVIMIENTO DE MENORES, POR LO QUE ME DESPLAZO AL LUGAR EN COMPAÑIA DEL OFICIAL MARTIN, Y AL LLEGAR AL LUGAR, OBSERVO QUE LOS MENORES CORRIAN SALIENDO DEL CAÑADON QUE SE ENCUENTRA A UNOS 50 METROS DEL PORTON, RUMBO HACIA LOS MONOBLOCK DEL BARRIO AEROFERRO, INGRESANDO POR UNA DE SUS ENTRADAS, ESTOS POR LO QUE PUEDO OBSERVAR SERIAN MENORES DE ENTRE 10 Y 13 AÑOS APROXIMADAMENTE. SE SOLICITA APOYO EXTERNO A LA SECCIONAL SEXTA DE LA POLICIA DE SAN LUIS. ASIENDOSE PRESENTE POR CALLE EXTERNA AL AEROPUERTO EL OFICIAL INSPECTOR SARMIENTO, EL QUE INFORMA QUE RECORRERIA LA ZONA, E INFORMARIA DE CUALQUIER NOVEDAD. MOMENTOS DESPUES SE INFORMA A PERSONAL DE MANTENIMIENTO SOBRE LAS ROTURAS AL PORTON Y DE UN PAÑO CERCANO AL MISMO. ACTO SEGUIDO SE MANTIENE POSICION HASTA QUE EL PERSONAL DE BOMBEROS CONTROLA EL FUEGO QUE LOS MENORES HABIAN INICIADO Y QUE SE HABRIA VISTO FAVORECIDO POR EL VIENTO HE INGRESADO A LA PARTE CERCANA AL RODAJE. SIENDO LAS 19:50 HORAS Y YA EN LA GUARDIA DE PREVENCION SE REALIZA COMUNICACION TELEFONICA CON EL JUGADO DE TURNO DR. JRGE MARIANO FRIAS, SUBROGANTE, A QUIEN SE LE IMPONEN LOS HECHOS QUIEN ORDENA SE REALICE ACTA DE PROCEDIMIENTO, FOTOS DEL LUGAR Y LOS DAÑOS, INSPECCION OCULAR, CROQUIS Y ADEMAS AGREGA QUE EN LA NOTA DE ELEVACION PARA ADJUNTAR EN LA CAUSA ANTERIOR PREVENCION SUMARIA 06/2010, SE TRATE DE IDENTIFICAR EL DOMICILIO DE LOS MENORES ATENTO QUE SE HABIAN VISTO INGRESAR EN UNO DE LOS MONOBLOCK, INDIVIDUALIZAR ALGUNO DE LOS MENORES, SI SE PUDIERE Y SE CONSIGNEN LOS DATOS A EFECTOS DE VER QUE MEDIAS SE PUDIEREN LLEGAR VA ADOPTAR. COMO ASI TAMBIEN DISPUSO QUE LAS TAREAS DE REPARACION SE HICIEREN CON LUZ DE DIA, A EFECTOS DE EVITAR EXPONER A PERSONAL DE MANTENIMIENTO, Y QUE UNA VEZ REPARADO SE LE COMUNIQUE TELEFONICAMENTE. SIENDO LAS 20:10 HORAS SE REALIZA COMUNICACION CON EL JEFE DE UNIDAD A EFECTO DE INFORMAR RESPECTO DE LAS MEDIDAS DISPUESTAS POR EL JUEZ DR. FRIAS, QUIEN ORDENA SE REALICEN RONDINES REGULARES CADA HORA Y MEDIA POR EL SECTOR DE RODAJE SUR HASTA CABECERA 01 PUESTO DE SASA. ES TODO. AMPLIANDO DE LUI_2010_4559_PU SIENDO LAS 18:00 HORAS DEL 28 DE JULIO ME INFORMA EL OFICIAL MARTIN ALFREDO QUE OBSERVA MENORES EN EL SECTOR DEL PORTON DE ACCESO SUR, POR LO QUE SE ACERCA AL LUGAR MOMENTO EN EL QUE LOS MENORES SE ALEJAN HACIA LA ZONA DE LOS BARRIOS ALEDAÑOS, INMEDIATAMENTE SE INFORMA A PERSONAL DE MANTENIMIENTO DE AEROPUERTOS ARGENTINA 2000 A EFECTOS DE REPARAR LA ROTURA DEL PAÑO DEL ALAMBRADO PERIMETRAL. SIENDO LAS 18:20 HORAS REALIZO COMUNICACION TELEFONICA CON EL JUZGADO FEDERAL Nº 1 DE SAN LUIS, A CARGO DESDE EL DIA DE LA FECHA DE SU TITULAR EL DR. MAQUEDA JUAN ESTEBAN, SIENDO ATENDIDO POR EL SECRETARIO DR. FRIAS JORGE MARIANO, A QUIEN SE LE INFORMA DE LOS HECHOS, Y QUIEN DISPONE, ATENTO A SER HECHOS REPETIDOS Y SIMILARES, CON UN MISMO LUGAR DE COMISION, ADEMAS DE HABER ORDENADO YA ANTERIORMENTE, COMO JUEZ SUBROGANTE DURANTE LA FERIA, LA ACUMULACION DE CAUSAS EN LA PREVENCION SUMARIA Nº 06/2010, DISPONE QUE SE RESGUARDEN ACTUACIONES ANTERIORES DEL DIA 24 DE JULIO DEL CORRIENTE, Y SE ELEVE PREVENTIVO ACOMPAÑADO DE INFORME DE SITUACION DEL SECTOR CONFLICTIVO DE PERIMETRO, A EFECTOS DE ACUMULAR LAS CAUSAS Y ORDENAR ADEMAS QUE SE CONTINUEN LAS TAREAS INVESTIGATIVAS CON EL FIN DE TRATAR DE INDIVIDUALIZAR A LOS MENORES EN CUESTION Y SUS DOMICILIOS EN BUSCA DE UNA SOLUCION A ESTOS HECHOS.ES TODO.</t>
  </si>
  <si>
    <t>EN EL DIA DE LA FECHA, EL SR. CRISTIAN SOUTHALL, EMPLEADO DE LA EMPRESA AEROLINEAS ARGENTINAS, INFORMA QUE EL VUELO Nº 2451, QUE TENDRIA QUE ARRIBAR A ESTE AEROPUERTO A HRS. 08:45 Y DESPEGAR HRS. 09:25, SE ENCUENTRA CANCELADO POR PARO DEL PERSONAL DE AEROHANDLING.</t>
  </si>
  <si>
    <t>3171/10</t>
  </si>
  <si>
    <t>BORCHES</t>
  </si>
  <si>
    <t>ALICIA MILENE</t>
  </si>
  <si>
    <t>POLICIA DE SEGURIDAD AEROPORTUARIA S/SOLICITUD DE APERTURA DE ENCOMIENDAS</t>
  </si>
  <si>
    <t>3-6938/10</t>
  </si>
  <si>
    <t>ACTA DE INTERDICCION NRO. 026/10</t>
  </si>
  <si>
    <t>AV MITRE Y RIVADAVIA SEDE DEL DEPOSITO ADUANA POSADAS MISIONES</t>
  </si>
  <si>
    <t>DEPOSITO ADUANA POSADAS</t>
  </si>
  <si>
    <t>EL DIA DE LA FECHA SE PROCEDE A DAR CUMPLIMIENTO AL OFICIO JUDICIAL NRO. 3-3049 DEL JUZGADO FEDERAL DE PRIMERA INSTANCIA EN LO CRIMINAL Y CORRECCIONAL DE POSADAS, QUE EN SU PARTE PERTINENTE AUTORIZA LA APERTURA DE CUATRO (04) BULTOS EN REFERENCIA AL EXPEDIENTE NRO. 3-6938/10 CARATULADA POLICÍA DE SEGURIDAD AEROPORTUARIA S/SOLICITUD APERTURA DE ENCOMIENDA (ACTA DE INTERDICCIÓN 026/10). Y EN CUMPLIMIENTO DE ORDEN DE SERVICIO NRO. 027/10 (UOSP POSADAS), SE TRASLADA LOS CUATRO BULTOS A SEDE DEL DEPOSITO DE ADUANA DONDE SE REALIZA LA APERTURA DE LOS MISMOS MEDIANTE ACTA DE APERTURA NRO. 048/10 (UOSP POSADAS), UNA VEZ CORROBORADO QUE DICHA MERCADERÍA NO POSEÍA EL AVAL ADUANERO CORRESPONDIENTE SE PROCEDE A LA ENTREGA DE LA MERCADERIA EN CUESTION EN EL DEPOSITO MEDIANTE ACTA DE ESTILO NRO. 049/10(UOSP POSADAS) A LA ADMINISTRACIÓN ANTES MENCIONADA. QUEDANDO REGISTRADA BAJO D.N. 46/10 NUMERO 1252 Y LOTE 2010-046-001313.</t>
  </si>
  <si>
    <t>ROBO A MANO ARMADA</t>
  </si>
  <si>
    <t>CAMINO PERIMETRAL LINDANTE A LA CIUDAD DE FONTANA</t>
  </si>
  <si>
    <t>EN CIRCUNSTANCIAS QUE EL DENUNCIANTE TRANSITABA CON SU MOTOCICLETA EN COMPANIA DE SU ESPOSA Y DE SU HIJO POR EL CAMINO PERIMETRAL CARDINAL NORTE, DESDE LA CIUDAD DE FONTANA AL PREDIO DE ESTE AEROPUERTO, ES INTERCEPTADO POR DOS PERSONAS DE SEXO MASCULINO, UNO DE ELLOS LE APUNTA CON UN ARMA DE FUEGO Y LE SUSTRAEN LA MOTOCICLETA, LA BILLETERA Y UN CELULAR, DANDOSE AMBOS A LA FUGA CON DIRECCION AL BARRIO LOS PINOS, LINDANTE A ESTE AEROPUERTO HACIA EL CARDINAL SUR.SE DA INTERVENCION A LA FISCALIA EN TURNO, QUIEN DISPONE SE LABRE LAS ACTUACIONES DE RIGOR Y SE ELEVE LO ACTUADO UNA VEZ FINALIZADAS LAS MISMAS.SE REALIZA COORDINACION VIA TELEFONICA CON EL COMANDO RADIOLECTRICO DE LA POLICIA DE LA PROVINCIA DEL CHACO, A EFECTOS DE LA RECUPERACION DE LOS ELEMENTOS SUSTRAIDOS.</t>
  </si>
  <si>
    <t>4034/10</t>
  </si>
  <si>
    <t>SE PROCEDE A LA APERTURA DE DOS SACAS COLECTORAS DEL CORREO OFICIAL, SEGÚN CONSTA EN ACTA DE RETENCIÓN DE CARGAS Nº 0339/10, QUE ORIGINA LA PREVENCIÓN SUMARIA 080/10 Y ACTA DEJANDO CONSTANCIA Nº 340/10. LA 1ª SACA IDENTIFICADA CON MARBETE, SLA0210731D555800VAE, PRECINTO N° Z149947, CON UN PESO DECLARADO DE 11,600 KGS, CON DESTINO LA CIUDAD DE USUHAIA, CONTIENE 4 PIEZAS POSTALES IDENTIFICADA COMO: LA 1ª EP666278388AR, RTTE. MARIO MENDEZ, EXODO JUJEÑO 1091, Bº EJERCITO ARGENTINO, PALPALA, C.P. 4612, PCIA. DE JUJUY Y DEST. RAUL ZERDA, KAYEN Nº 140, Bº TOLKAR 9410, USHUAIA, TIERRA DEL FUEGO, QUEDA RETENIDA, LA 2ª EP656098378AR, RTTE. ZACARIAS INCA, RIVADAVIA Nº 427, PERICO, C.P. 4610, PCIA. DE JUJUY DEST. LUCIA MAMARIA MAMANI, ISLA AÑO NUEVO Nº 111, Bº F. VARELA, USHUAIA C.P. 9410, TIERRA DEL FUEGO, QUEDA RETENIDA Y LAS DOS RESTANTES IDENTIFICADAS COMO EP033345211AR,Y EP725099433AR, SON ENTREGADAS AL SR. ARIAS DEL CORREO OFICIAL PARA SU REDESPACHO. LA 2ª SACA IDENTIFICADA CON MARBETE SLA0216744E555700RGL, PRECINTO Nº C821934, CON UN PESO DECLARADO DE 2,800 KGS, CON DESTINO A LA CIUDAD DE RIO GALLEGOS, CONTIENE UNA PIEZA POSTAL IDENTIFICADA COMO EP687690135AR, RTTE. SANDRA DECIMA, JOAQUIN CASTELLANOS Nº 859, C.P. 4.400, SALTA Y DEST. HERMENEGILDO VILTE, Bº LOS TREHOLES, CASA Nº 42, RIO TURBIO, C.P. 9.900, PCIA. DE SANTA CRUZ, LA CUAL QUEDA RETENIDA. LA RETENCION SE REALIZA ANTE LA PRESUNCION DE QUE PUDIERAN CONTENER ALGUN ELEMNETO EN INFRACCION A LA LEY 22.415 Y/O 23.737, QUEDANDO LAS MISMAS CERRADAS Y EN GUARDA EN ESTA UOSP. SE COMUNICO TELEFONICAMENTE AL JUZGADO INTERVINIENTE Y LA APERTUR SE REALIZARA CON LA AUTORIZACION DEL MAGISTRADO ACTUANTE.</t>
  </si>
  <si>
    <t>TRIBUNAL ORAL EN LO CRIMINAL - FEDERAL Nº 1 DE CORDOBA</t>
  </si>
  <si>
    <t>DR. PABLO BUSTOS FIERRO</t>
  </si>
  <si>
    <t>VIDELA JORGE RAFAEL Y OTROS P.SS.AA. IMPOSICION DE TORMENTOS AGRAVADOS, HOMICIDIO CALIFICADO, IMPOSICION DE TORMENTOS SEGUIDOS DE MUERTE, ENCUBRIMIENTO - eXPTE. Nº 172/09.</t>
  </si>
  <si>
    <t>ATENTO A ORDEN DE SERVICIO Nº 176/10 DE FECHA DE 06JUL10, EMANADA DE LA URSA II DEL CENTRO SE PORCEDIO A PRESTAR COLABORACION DENTRO DE LA JURISDICCION DE LA UOSP CORDOBA, AL PERSONAL DEL SERVICIO PENITENCIARIO DE CORDOBA Y PERSONAL DE CUSTODIA DEL SERVICIO PENITENCIARIO FEDERAL, A CARGO DEL TRASLADO DEL DETENIDO. EL VUELO DE REFERENCIA PARTE DE ESTA AEROESTACION A LAS 15:20 HORAS APROXIMADAMENTE. REALIZANDOSE LAS COORDINACIONES PARA EL CHECK-IN, MARBETEO DE EQUIPAJE Y EMBARQUE. FINALIZANDO EL OPERATIVO SIN NOVEDAD.</t>
  </si>
  <si>
    <t>3321/10</t>
  </si>
  <si>
    <t>Rota Fernando</t>
  </si>
  <si>
    <t>PSA s/inv Infraccion a la Ley 23737</t>
  </si>
  <si>
    <t>97.233/2010</t>
  </si>
  <si>
    <t>Investigacion Preliminar Nº15</t>
  </si>
  <si>
    <t>AMPLIANDO PR Nº 3321/10 DE FECHA 02/06/10 EN EL MARCO DE LA CAUSA 97.233/2010 (INVESTIGACION PRELIMINAR Nº 15) CARATULADA "PSA S/INV INFRACCION A LA LEY 23.737" DE TRAMITE ANTE LA FISCALIA FEDERAL DE USHUAIA DEL JUZGADO FEDERAL DE PRIMERA INSTANCIA DE USHUAIA, SE INFORMA QUE EL DIA 02 DE JULIO DE 2010 SE RECEPCIONA OFICIO JUDICIAL Nº 230 / 2010, EN RELACION CON CAUSA DE MARRAS, DONDE EL MAGISTRADO INTERVINIENTE AUTORIZA LA INTERVENCION TELEFONICA DE LOS ABONADOS 2901 - 15407621, 2901 - 15522133, 2901 - 437890, 2901 - 15403272, 2901 - 432328 POR EL TERMINO DE TREINTA DIAS. ASIMISMO SE REQUIERE SE PROCEDA A LA ESCUCHA Y TRASCRIPCION DE LOS SOPORTES QUE RESULTEN, LOS CUALES DEBERAN SER ELEVADOS A LA FISCALIA.</t>
  </si>
  <si>
    <t>EN LA CABECERA 03, CORRESPONDIENTE AL SECTOR SUR DE ESTE AEROPUERTO, SOBRE RUTA PROVINCIAL N° 5</t>
  </si>
  <si>
    <t>EN EL DIA DE LA FECHA, SE PRESENTO EL SEÑOR SEBASTIAN DANIEL MILLICAY FALON, DNI N° 28.896.417, PARA RADICAR UNA DENUNCIA, EN LA CUAL SOSTIENE QUE SIENDO LAS HS 13:55, MIENTRAS REALIZABA EL RECORRIDO DE ALAMBRADO DE SEGURIDAD, SE DIO CON LA NOVEDAD DE LA ROTURA DEL ALAMBRADO OLIMPICO,EN LA PARTE SUPERIOR DEL MISMO DE APROXIMADAMENTE 40 CM, EN EL SECTOR CERCANO A CABECERA 03 DE ESTE AEROPUERTO. POR TAL MOTIVO EL PERSONAL DE ESTA UOSP LA RIOJA, SE PRESENTO EN EL LUGAR DEL HECHO PARA CERTIFICAR LO OCURRIDO, REALIZANDO EL CONTROL CORRESPONDIENTE PARA TRATAR DE DAR CON LOS POSIBLES AUTORES DEL MISMO, SIN ENCONTRAR NOVEDADES AL RESPECTO. ASIMISMO INFORMO QUE A HS 14:46 SE PROCEDE A EFECTUAR LA LLAMADA TELEFONICA A LA DOCTORA VIRGINIA GRANILLO VALDEZ, A CARGO DE LA SECRETARIA PENAL DEL JUZGADO FEDERAL DE LA RIOJA, PARA INFORMARLE LO SUCEDIDO, QUIEN ORDENA AL RESPECTO SE PROCEDA CON LAS ACTUACIONES DE RIGOR Y SE ELEVE LA DOCUMENTACION A LA SECRETARIA PENAL A LA BREVEDAD.</t>
  </si>
  <si>
    <t>SIENDO LAS HORAS 15:00 SE INPLEMENTA DISPOSITIVO SEGURIDAD DANDO CUMPLIMIENTO A ORDEN DE SERVICIO N° 138, PARA LA CUSTODIA DEL SR. MENENDEZ BENJAMIN, EL CUAL ESTA INPUTADO EN LOS CRIMENES DE LESA HUMANIDAD. A HORAS 17:00 ARRIBA A ESTE AEROPUERTO EN VUELO DE LA EMPRESA SOL L.A., EL PASAJERO ANTES MENCIONADO, QUIEN FUE TRASLADADO VIA TERRESTRE EN UNA AMBULANCIA PERTENECIENTE AL SIPROSA, RETIRANDOSE DE ESE AEROPUERTO A HORAS 17:15, SIENDO CUSTODIADO POR EL SERVICIO PENITENCIARIO FEDERAL. FINALIZANDO DISPOSITIVO DE SEGURIDAD SIN REGISTRARSE NOVEDADES.</t>
  </si>
  <si>
    <t>DRA. MARIANA BUTELER</t>
  </si>
  <si>
    <t>BRUNO LABORDA GUILLERMO ENRIQUE Y OTROS P.SS.AA. HOMICIDIO AGRAVIADO, PRIVACION ILEGITIMA DE LIBERTAD AGRAVADA.</t>
  </si>
  <si>
    <t>SAAVEDRA 2592 MARTINEZ PCIA DE4 BUENOS AIRES</t>
  </si>
  <si>
    <t>EN EL DIA DE LA FECHA, SIENDO LAS 12:50 HS., PERSONAL DE ESTA U.O.C.N. Y D.C. CENTRAL, PROCEDIO AL ALLANAMIENTO DEL DOMICILIO DE LA CALLE SAAVEDRA NRO. 2592 DE MARTINEZ, PCIA. BS. AS., PROCEDIENDOSE A LA DETENCION DEL CIUDADANO CARLOS ALDO CHECCHI, DE OCUPACION MAYOR RETIRADO DEL EJERCITO ARGENTINO, QUIEN QUEDA EN CALIDAD DE DETENIDO COMUNICADO. POSTERIORMENTE ES TRASLADADO A LA U.O.S.P. METROPOLITANA A EFECTOS DE QUE SE LE EFECTUE CONTROL MEDICO, CONFECCION DE LAS FICHAS DACTILOSCOPICAS Y FOTOGRAFIAS. LUEGO ES LLEVADO CUSTODIADO A LA UNIDAD NRO. 28 DEL SERVICIO PENITENCIARIO FEDERAL, QUEDANDO A DISPOSICION DEL JUZGADO EXHORTADO FEDERAL DE SAN ISIDRO, A CARGO DEL DR. BERGESIO</t>
  </si>
  <si>
    <t>SALA DE ARRIBOS INTERNACIONALES, PUNTO DE CONTROL ADUANERO</t>
  </si>
  <si>
    <t>SIENDO LAS 16:30 HS APROXIMADAMENTE PERSONAL DE ADUANA DE ESTA AEROESTACION EN OCASION DE UN PROCEDIMIENTO DE RUTINA REALIZADO SOBRE UN PASAJERO, EN EL CUAL SURGE QUE EL MISMO TRANSPORTABA, ADEMAS DE SUS BIENES PERSONALES, DOS UNIDADES DE LECTURA DE DISCOS COMPACTOS, LA CANTIDAD DE TRESCIENTOS CINCUENTA Y CINCO DISCOS COMPACTOS CONTENIDOS EN SOBRES PLASTICOS CON LA INSCRIPCION DE TITULOS DE PELICULAS VARIAS, VARIOS INSUMOS INFORMATICOS Y TREINTA DISCOS COMPACTOS CONTENIDOS EN SOBRES PLASTICOS CON LA INSCRIPCION DE TITULOS DE VIDEOS JUEGOS. ANTE LA HIPOTETICA PRESENCIA DE FRAUDE MARCARIO ES QUE PERSONAL DE ADUANA REALIZA UN CONTROL MAS EXHAUSTIVO SOBRE LOS MENCIONADOS DISCOS, PROCEDIENDO A LA REALIZACION DE UN TEST ORIENTATIVO DE PRESENCIA DE NARCOTICOS SOBRE LO MISMOS RESULTANDO PARA EL TEST DENOMINADO COCA TEST- COCAINE DETECTION SPRAY, POSITIVO PRESUNTIVO AL CLORHIDRATO DE COCAINA, Y PARA EL TEST DENOMINADO M.M.C. INTERNATIONAL B.V., TAMBIEN POSITIVO PRESUNTIVO AL CLORHIDRADO DE COCAINA Y AL TEST DENOMINADO NIK, TAMBIEN ARROJANDO IDENTICO RESULTADO AL ANTES DESCRIPTO. ANTE TAL SITUACION ES QUE EL PERSONAL DE ADUANA A CARGO, DA INTERVENCION AL JUZGADO FEDERAL DE TURNO, EL CUAL INSTRUYE AL PERSONAL ADUANERO QUE LABRE LAS ACTUACIONES DE RIGOR Y DE PARTICIPACION A LA POLICIA DE SEGURIDAD AEROPORTUARIA A EFECTOS DE BRINDAR LA CUSTODIA DEL CAUSANTE Y DESARROLLAR LAS ACTIVIDADES O TAREAS POLICIALES PREVENTIVAS. AMPLIACION CBA_2010_4064_PU EN REFERENCIA A ORDEN DE SERVICIO N° 178/10 EMITIDA POR LA URSA II DEL CENTRO, SIENDO LAS 23:45 HS SE INICIA EL TRASLADO DEL DETENIDO EN LOS MÓVILES DE DOTACION FORD RANGER DOMINIO GTJ-667 Y FORD RANGER IRQ-730. SE LO LLEVA EN PRIMERA INSTANCIA A MEDICINA LEGAL DEPENDIENTE DE LA DIRECCIÓN GENERAL DE POLICÍA JUDICIAL - MINISTERIO PÚBLICO FISCAL PARA EFECTUARLE EL CORRESPONDIENTE PRECARIO MEDICO Y DE ALLÍ A SEDE DE LA ALCAIDÍA DE LOS TRIBUNALES FEDERALES DE CÓRDOBA DONDE QUEDÓ ALOJADO. AL REGRESO SE HACE ENTREGA, EN LA DIVISIÓN DE ANTECEDENTES PERSONALES DE LA POLICÍA DE LA PROVINCIA DE CÓRDOBA, LAS TOMAS DE HUELLAS DACTILARES DEL CAUSANTE. REGRESANDO A ESTA JURIDICCIÓN A LAS 01:30 HS.</t>
  </si>
  <si>
    <t>EN REFERENCIA A ORDEN DE SERVICIO N° 178/10 EMITIDA POR LA URSA II DEL CENTRO, SIENDO LAS 23:45 HS SE INICIA EL TRASLADO DEL DETENIDO EN LOS MÓVILES DE DOTACION FORD RANGER DOMINIO GTJ-667 Y FORD RANGER IRQ-730. SE LO LLEVA EN PRIMERA INSTANCIA A MEDICINA LEGAL DEPENDIENTE DE LA DIRECCIÓN GENERAL DE POLICÍA JUDICIAL - MINISTERIO PÚBLICO FISCAL PARA EFECTUARLE EL CORRESPONDIENTE PRECARIO MEDICO Y DE ALLÍ A SEDE DE LA ALCAIDÍA DE LOS TRIBUNALES FEDERALES DE CÓRDOBA DONDE QUEDÓ ALOJADO. AL REGRESO SE HACE ENTREGA, EN LA DIVISIÓN DE ANTECEDENTES PERSONALES DE LA POLICÍA DE LA PROVINCIA DE CÓRDOBA, LAS TOMAS DE HUELLAS DACTILARES DEL CAUSANTE. REGRESANDO A ESTA JURIDICCIÓN A LAS 01:30 HS.</t>
  </si>
  <si>
    <t>PREEEMBARQUE 1/16</t>
  </si>
  <si>
    <t>EN CONTROL DE LOS PASAJEROS DEL VUELO DE MENCIÓN, SE HACE PRESENTE UN PASAJERO QUIEN DEPOSITA, UNA MOCHILA DE COLOR NEGRO, SOBRE LA CINTA TRANSPORTADORA DE LA MAQUINA DE RAYOS X, OPERADA POR LA OFICIAL BÁRBARA LELLI, QUIEN OBSERVA QUE EN EL INTERIOR DE LA MENCIONADA MOCHILA, SUSTANCIA ORGÁNICA DE BAJA DENSIDAD. SEGUIDAMENTE LA OFICIAL MICAELA CABRAL OBSERVA QUE DICHO PASAJERO SE ENCONTRABA ACOMPAÑADO POR UNA PASAJERA DE SEXO FEMENINO QUIEN DEPOSITA, UN BOLSO TIPO MORRAL Y UN BOLSO DE VIAJE DE COLOR NEGRO MEDIANO, SOBRE LA CINTA, EN LOS CUALES SE OBSERVA QUE EN SU INTERIOR TAMBIÉN ERA HABIDA SUSTANCIA ORGÁNICA DE BAJA DENSIDAD. EN VIRTUD A ELLO SE TRASLADAN A LOS PASAJEROS EN CUESTIÓN JUNTO CON SUS EQUIPAJES, PERSONAL POLICIAL Y TESTIGOS HACIA LA GUARDIA DE PREVENCIÓN. SE REALIZA LA REQUISA DE LOS PASAJEROS Y DE SUS PERTENENCIAS, PREVIA AUTORIZACIÓN DEL JUZGADO, OBTENIÉNDOSE COMO RESULTADO QUE DEL BOLSO DE VIAJE DE COLOR NEGRO SE EXTRAEN DOS PAQUETES DELGADOS A LOS QUE SE LOS DENOMINA COMO "PAQUETE 1" Y "PAQUETE 2" QUE AL "PAQUETE 1" SE LE EFECTÚA UN CORTE OBSERVANDO EN SU INTERIOR UNA SUSTANCIA GOMOSA DE COLOR BLANCA A LA QUE SE LE PRACTICA UNA PRUEBA DE CAMPO PARA COCAÍNA, ARROJANDO COLORACIÓN TURQUESA LO QUE INDICA POSITIVO COCAÍNA, PROCEDIENDO DE IGUAL MANERA CON EL "PAQUETE 2" EL CUAL ARROJA RESULTADO POSITIVO. SEGUIDAMENTE SE PROCEDE A LA REQUISA DEL BOLSO MORRAL DEL CUAL SE EXTRAEN DOS PAQUETES A LOS QUE SE LOS DENOMINA COMO "PAQUETE 3" Y "PAQUETE 4", TOMANDO "EL PAQUETE 3", AL QUE SE REALIZA UN CORTE DEJÁNDOSE VER EN SU INTERIOR UNA SUSTANCIA GOMOSA COLOR BLANCA, A LA QUE SE LE REALIZA UNA PRUEBA DE CAMPO, ARROJANDO RESULTADO POSITIVO COCAÍNA, PROCEDIENDO DE IGUAL MANERA CON EL "PAQUETE 4" EL CUAL ARROJA RESULTADO POSITIVO COCAÍNA. SEGUIDAMENTE SE PROCEDE A LA REQUISA DE LA MOCHILA DE COLOR NEGRO, DE LA CUAL SE EXTRAE UN PAQUETE AL QUE SE LO DENOMINA "PAQUETE 5", QUE SOMETIDO A PRUEBA DE CAMPO ARROJA RESULTADO POSITIVO COCAÍNA. EN VIRTUD A ELLO SE ANOTICIA DE DICHOS RESULTADOS A S.SA. QUIEN INDICA LA DETENCIÓN DE LOS PASAJEROS EN CALIDAD DE INCOMUNICADOS, SE PROCEDA CON LOS ACTUADOS DE RIGOR Y QUE UNA VEZ FINALIZADAS DICHAS DILIGENCIAS, LAS MISMAS SEAN ELEVADAS A ESE SEDE JUDICIAL EL DÍA SIETE DEL CORRIENTE MES Y AÑO, JUNTAMENTE CON LOS DETENIDOS- SE INFORMA EN P.U. 4069 QUE EN HORAS 0730 DEL DIA 07/07/2010 SE TRASLADO A LOS DETENIDOS A SEDE JUDICIAL JUNTO CON LA TOTALIDAD DE LOS SECUESTROS</t>
  </si>
  <si>
    <t>NAC. DE 1º INST. EN LO CORRECCIONAL Nº 11</t>
  </si>
  <si>
    <t>SECRETARIA Nº 71</t>
  </si>
  <si>
    <t>SCHELGEL</t>
  </si>
  <si>
    <t>DR. JOSE LUIS ANTELO</t>
  </si>
  <si>
    <t>LOCAL SHOP GALLERY PRIMER PISO</t>
  </si>
  <si>
    <t>DENTRO DEL PREEMBARQUE NACIONAL TERMINAL III</t>
  </si>
  <si>
    <t>SIENDO LA FECHA Y LA HORA ANTES MENCIONADA, SE HACE PRESENTE EN ESTA GUARDIA DE PREVENCIÓN EL DENUNCIANTE QUIEN MANIFIESTA QUE SIENDO APROXIMADAMENTE LAS 1700 HORAS EN MOMENTOS DE ENCONTRARSE REALIZANDO SUS TAREAS HABITUALES COMO SUPERVISOR DE SEGURIDAD DE LA EMPRESA SHOP GALLERY, RECIBE COMUNICACIÓN RADIAL DEL ENCARGADO DE VIGILANCIA DEL LOCAL, EL CUAL LE INFORMA QUE DEL SECTOR DE LOS PERCHEROS DEL MENCIONADO LOCAL, DONDE SE ENCUENTRAN LAS PRENDAS DE LA MARCA PORTSAID, HABÍA UN FALTANTE DE UN SACÓN. INMEDIATAMENTE SE DIRIGIÓ A VERIFICAR LOS REGISTROS FÍLMICOS A FINES DE DAR CON EL POSIBLE AUTOR DEL HECHO, Y EN ESE MOMENTO OBSERVO A UNA MUJER DE BAJA ESTATURA, RUBIA, VESTIDA CON UNA REMERA BLANCA Y PANTALÓN COLOR OSCURO, QUE TOMABA DEL PERCHERO EL SACON DE COLOR GRIS, RETIRÁNDOSE DEL LOCAL SIN ABONAR LA PRENDA. POR LO QUE SE DETECTO A LA MUJER EN CUESTIÓN, EN LAS INMEDIACIONES DE LA PUERTA DE EMBARQUE Nº 12. UNA VEZ ALLÍ SE LE CONSULTO POR EL CONTENIDO DE LA BOLSA QUE LLEVABA, DONDE A SIMPLE VISTA SE PODÍA VISUALIZAR LA PRENDA SUSTRAÍDA, A LO QUE LA MUJER CONTESTÓ QUE LO HABÍA COMPRADO EN EL LOCAL, Y CUANDO SE LE SOLICITO EL COMPROBANTE DE PAGO, LA MUJER ACUSO HABERLO EXTRAVIADO. SE SOLICITA LA PRESENCIA POLICIAL EN EL LUGAR, QUIEN TOMO INTERVENCIÓN EN EL HECHO. SIENDO LAS 1905 HORAS SE ENTABLO COMUNICACIÓN CON LA JUDICATURA ACTUANTE QUIEN DISPUSO: SE REALICE ACTUACIÓNES DE RIGOR Y EN CASO DE NO PRESENTAR IMPEDIMENTO SE PROCEDA A LA SOLTURA DE LA DETENIDA. SIENDO LAS 0430 HORAS DEL DIA 07/07/10 SE PROCEDIO A LA LIBERACIÓN DE LA CAUSANTE POR NO POSEER IMPEDIMENTO ALGUNO, RETIRANDOSE CON LA TOTALIDAD DE SUS ELEMENTOS PERSONALES DE VALOR, LOS CUALES ESTABAN EN RESGUARDO DE LA UNIDAD, SIN NOVEDAD.</t>
  </si>
  <si>
    <t>SHOP GALLERY</t>
  </si>
  <si>
    <t>EN CONTROL DE LOS EQUIPAJES DESPACHADOS A BODEGA POR LOS PASAJEROS DEL VUELO DE MENCIÓN, EL OFICIAL ALEXIS FONTANELLAZ Y LA OFICIAL JESYCA ESQUIVEL OBSERVAN QUE EN EL INTERIOR DE UNA VALIJA TIPO CARRY- ON - EQUIPAJE 1, ERA HABIDA UNA SUSTANCIA ORGÁNICA DE BAJA DENSIDAD. SEGUIDAMENTE PERSONAL DE LA EMPRESA MENCIONADA INFORMA AL PERSONAL POLICIAL QUE EL PASAJERO DE MENCIÓN VIAJABA ACOMPAÑADO. LOS PASAJEROS FUERON LOCALIZADOS EN EL SECTOR DE EMBARQUE NUMERO 4 DE LA MENCIONADA TERMINAL A. SE LOS ACOMPAÑA HACIA EL PATIO DE VALIJAS DONDE UNO DE ELLOS RECONOCE COMO DE SU PROPIEDAD, LA VALIJA EN CUESTIÓN, SIMULTÁNEAMENTE SE SEPARAN DE DICHO CONTROL DOS VALIJAS - EQUIPAJE 2 Y EQUIPAJE 3, A NOMBRE DE KYRYLO, LAS VALIJAS DE MENCIÓN. QUE LUEGO EL JEFE DE TURNO DISPONE QUE LOS PASAJEROS JUNTO CON SUS EQUIPAJES, PERSONAL POLICIAL Y TESTIGOS SEAN TRASLADADOS HACIA LA GUARDIA DE PREVENCIÓN. SE REALIZA LA REQUISA DE LOS PASAJEROS Y DE SUS PERTENENCIAS, PREVIA AUTORIZACIÓN DEL JUZGADO, PROCEDIENDO EN PRIMER TERMINO CON EL - EQUIPAJE 1 - DEL CUAL SE EXTRAEN SEIS PAQUETES DE NYLON COLOR NEGRO DENOMINADOS - PAQUETE 1, PAQUETE 2, PAQUETE 3, PAQUETE 4, PAQUETE 5 Y PAQUETE 6, A LOS QUE SE LES REALIZA UNA PRUEBA DE CAMPO PARA COCAINA, ARROJANDO EN TODOS LOS CASOS RESULTADO POSITIVO. DE LA REQUISA REALIZADA A LOS PASAJEROS COMO A LA DE LOS DENOMINADOS EQUIPAJE 2 Y EQUIPAJE 3, TODOS ARROJARON RESULTADO NEGATIVO EN CUANTO A LA PRESENCIA DE MAS SUSTANCIA O ALGÚN ELEMENTO PROHIBIDO. EN VIRTUD A ELLO SE ANOTICIA DE DICHOS RESULTADOS A S.SA. QUIEN INDICA LA DETENCIÓN DE LOS PASAJEROS EN CALIDAD DE INCOMUNICADOS, SE PROCEDA CON LOS ACTUADOS DE RIGOR Y QUE UNA VEZ FINALIZADAS DICHAS DILIGENCIAS, LAS MISMAS SEAN ELEVADAS A ESE SEDE JUDICIAL EL DÍA SIETE DEL CORRIENTE MES Y AÑO, JUNTAMENTE CON LOS DETENIDOS . SE INFORMA EN P.U. 4070 QUE EN HORAS 0730 DEL 07/07/2010 SE TRASLADO A LOS DETENIDOS A SEDE JUDICIAL JUNTO CON LA TOTALIDAD DE LOS SECUESTROS.</t>
  </si>
  <si>
    <t>AZ-681</t>
  </si>
  <si>
    <t>Ucrania</t>
  </si>
  <si>
    <t>KIEV</t>
  </si>
  <si>
    <t>PUERTA DE INGRESO AL PREEMBARQUE INTERNACIONAL</t>
  </si>
  <si>
    <t>SIENDO LA HORA Y EL DÍA ANTES MENCIONADO, SE TOMA CONOCIMIENTO DE UN HECHO OCURRIDO EN LA PUERTA DE INGRESO DEL PREEMBARQUE INTERNACIONAL, CONSTITUIDOS EN EL LUGAR, SE DETERMINA QUE UN PERSONAL DE SEGURIDAD QUIEN SE ENCONTRABA APOSTADO EN LA PUERTA MENCIONADA TUVO UNA DISCUSIÓN CON UN PERSONAL DE LA POLICIA DE SEGURIDAD AEROPORTUARIA, PRODUCTO DE LO CUAL TERMINA EN LESIONES RECIPROCAS ENTRE LOS CAUSANTES. EL PERSONAL DE SEGURIDAD PRESENTABA EN LA NARIZ Y EN PARTE DE SU UNIFORME MANCHAS DE SANGRE, POR LO CUAL SE LO TRASLADA AL SERVICIO MEDICO, INFORMANDO ESTE QUE LA PERSONA NO PRESENTABA LESIONES VISIBLES. SE PROCEDE ENTONCES A CONSULTAR AL PERSONAL POLICIAL MENCIONADO SOBRE LOS HECHOS EL CUAL INFORMA QUE AL INGRESAR AL PREEMBARQUE, EL PERSONAL DE SEGURIDAD LE PIDIO LA IDENTIFICACION DE MALA MANERAS, DICIENDOLE "ME IMPORTA UN CARAJO QUE SEAS DE LA P.S.A." Y QUE POSTERIOR A ESTO LE PROPINO UN CABEZAZO EN EL ROSTRO, POR LO QUE RESPONDIO CON UN GOLPE DE PUÑO. POSTERIORMENTE CONSULTADO EL PERSONAL DE SEGURIDAD, ESTE INFORMA QUE MIENTRAS CONTROLABA LOS PASAJEROS OBSERVA UNA PERSONA QUE PASA DETRÁS DE ÉL Y QUE AL QUERER IDENTIFICARLO ESTE LE DICE: "PASE TE LA MOSTRE Y NO ME DISTES PELOTA" QUE ENTONCES LE PREGUNTA QUE LE PASABA, ANTE LO CUAL EL PERSONAL POLICIAL SE LE ACERCO Y LE PROPINO DOS GOLPES DE PUÑO EN EL ROSTRO. TODOS LOS INTERVINIENTES SON LLEVADOS A LA GUARDIA DE PREVENCION A LOS EFECTOS DE REALIZAR LAS DILIGENCIAS CORRESPONDIENTES. SIENDO LAS 18:05 HORAS, SE REALIZA COMUNICACIÓN TELEFONICA AL JUZGADO DE TURNO QUIEN ORDENA CARATULAR LA CAUSA COMO LESIONES RECIPROCAS, DETENCIONES DE LOS CAUSANTES, LECTURA DE DERECHOS, PERMANEZCAN DETENIDOS EN CARACTER DE COMUNICADOS, CERTIFICADOS MEDICO DE INGRESO DE AMBOS, TRES JUEGOS DE FICHAS DACTILOSCOPICAS DE CADA UNO PARA ANEXAR A LA CAUSA, FOTOS DE LOS IMPUTADOS FRENTE Y PERFIL, SE REALICE IDGE, CONSTATACION DE DOMICILIO TELEFONICA, TESTIMONIAL DE LA TOTALIDAD DE LOS OFICIALES ACTUANTES Y TESTIGOS SI HUBIERE Y CON RESULTADO DE IDGE, SIN IMPEDIMENTOS, SE REALICE LA LIBERACION DESDE LA DEPENDENCIA. SIENDO LAS 23:40 HS. SE PROCEDE A LA LIBERACION DE LOS CAUSANTES, AL NO PRESENTAR AMBOS IMPEDIMENTOS LEGALES EN EL SISTEMA IDGE DE ACUERDO A LO ORDENADO POR LA JUDICATURA ACTUANTE, ABANDONANDO AMBOS ESTA DEPENDENCIA CONFORME LOS TRATOS RECIBIDOS, POR SUS PROPIOS MEDIOS, SIN NOVEDAD.</t>
  </si>
  <si>
    <t>4065/10</t>
  </si>
  <si>
    <t>POR MEDIO DEL PRESENTE INFORMO QUE SIENDO APROXIMADAMENTE LAS SIETE HORAS TREINTA MINUTOS DEL DIA DE LA FECHA, SE DIO ESTRICTO CUMPLIMIENTO A LO ORDENADO POR S.SA. PROCEDIENDOSE AL TRASLADO DE LOS DETENIDOS HACIA SEDE JUDICIAL JUNTO CON LA TOTALIDAD DE LOS SECUESTROS.-</t>
  </si>
  <si>
    <t>4067/10</t>
  </si>
  <si>
    <t>POR MEDIO DEL PRESENTE INFORMO QUE SIENDO APROXIMADAMENTE LAS 07:30 HORAS DEL DIA DE LA FECHA SE DIO ESCTRICTO CUMPLIMIENTO A LO ORDENADO POR S.SA. PROCEDIENDOSE AL TRASLADO DE LOS DETENIDOS HACIA SEDE JUDICIAL JUNTO CON LA TOTALIDAD DE LOS SECUESTROS.-</t>
  </si>
  <si>
    <t>SECTOR DE TRANSITO AEREO</t>
  </si>
  <si>
    <t>AEROPUERTO INTERNACIONAL SALTA</t>
  </si>
  <si>
    <t>EN EL DÍA DE LA FECHA QUEDA CERRADO EL AEROPUERTO SALTA POR ESTAR FUERA DE SERVICIO OPERATIVO POR METEOROLOGÍA DESDE LAS 06:30 HORAS HASTA LAS 08:00 HS. ENTRANDO NUEVAMENTE EN SERVICIO OPERATIVO A PARTIR DE LAS 08:05 HS.</t>
  </si>
  <si>
    <t>SIENDO LAS 07:35 HORA LOCAL ARRIBA AERONAVE AIRBUS MATRICULA LV BRY DE LA EMPRESA LAN ARGENTINA PROCEDENTE DE AEROPUERTO JORGE NEWBERY EN CUYAS BODEGAS 31,32 Y 42 SE DESPACHAN 108 CAJAS CON UN PESO BRUTO DE 2.350 KILOGRAMOS DE METAL - MTD - PERTENECIENTES A LA EMPRESA MINERA TRITON ARGENTINA S.A. EL VUELO DESPEGA A LAS 08:48 SIN NOVEDAD. SE DIO CUMPLIMIENTO A ORDEN DE SERVICIO 0057/2010 DE ESTA UOSP.</t>
  </si>
  <si>
    <t>4M 4428</t>
  </si>
  <si>
    <t>PERGOLA DE ARRIBOS DE TERMINAL A</t>
  </si>
  <si>
    <t>CIRCUNSTANCIA EN LA QUE EL OFICIAL ROMEO SE ENCONTRABA EN EL CENTRO OPERATIVO Y CONTROL, OBSERVA E INFORMA VIA NEXTEL AL OFICIAL CARABAJAL PERTENECIENTE A LA OFICINA DE CONTRAVENCIONES Y FALTAS, QUE EN EL SECTOR CITADO, SE ENCONTRABA UNA PERSONA DE SEXO MASCULINO REALIZANDO SERVICIO DE MALETERO SIN POSEER LA CORRESPONDIENTE HABILITACION Y RECIBIENDO ALGO EN MANO POR PARTE DEL CONDUCTOR DE UN TAXI DE CABA, POR LO CUAL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</si>
  <si>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MOMENTOS QUE SE ENCONTRABA EMBARCADO EL VUELO DE LA EMPRESA AEROLINEAS ARGENTINAS CON DESTINO A LA CIUDAD DE BUENOS AIRES, PERSONAL DE LA EMPRESA AEREA Y COMANDANTE DE LA AERONAVE SOLICITAN, MEDIANTE ACTA DE SOLICITUD DE DESEMBARQUE DE PASAJERO NUM: 0021/2010, QUE SE REALICE EL MISMO CONTRA EL PASAJERO HIDALGO JULIO CESAR DNI 17936968, POR ENCONTRASE ESTE EN ESTADO APARENTE DE EBRIEDAD. ACTO SEGUIDO SE REALIZA DICHA ACTUACION POLICIAL SIN NOVEDAD.</t>
  </si>
  <si>
    <t>VEREDA PERGOLA DE LA TERMINAL A SECTOR ARRIBOS</t>
  </si>
  <si>
    <t>SIENDO LAS 0640 HORAS APROXIMADAMENTE LA DAMNIFICADA ARRIBO A ESTE AEROPUERTO EN EL VUELO AA 909 DE LA EMPRESA AMERICAN AIRLINES PROCEDENTE DE LA CIUDAD DE MIAMI EEUU Y SE DIRIGIO JUNTO A SUS EQUIPAJES HACIA EL SECTOR DE PERGOLA DE LA TERMINAL A EN DONDE ES INTERCEPTADA POR DOS MASCULINOS, UNO DE ELLOS ALTO Y PELADO Y DEL OTRO NO APORTO DESCRIPCION FISICA, QUIENES SE OFRECIERON A CARGAR LOS EQUIPAJES DE LA DAMNIFICADA EN EL VEHICULO REMIS QUE LA MISMA ESTABA POR ABORDAR, CARGANDO POSTERIORMENTE DICHOS MASCULINOS LOS EQUIPAJES DE LA DAMNIFICADA EN EL RODADO Y PARTIO HACIA SU DOMICILIO. QUE UNA VEZ ARRIBADA A LA CIUDAD AUTONOMA DE BUENOS AIRES LA DAMNIFICADA SE PERCATO DEL FALTANTE DE SU CARTERA LA CUAL SE ENCONTRABA ENTRE LAS PERTENENCIAS A CARGAR EN EL RODADO, MOTIVO POR EL CUAL SE DIRIGIO A ESTA DEPENDENCIA A RADICAR LA PRESENTE DENUNCIA.</t>
  </si>
  <si>
    <t>SIENDO LA HORA Y EL DIA ANTES MENCIONADO ARRIBO A ESTA AEROSTACIÓN EL DAMNIFICADO, LUEGO DE EFECTUAR LOS TRÁMITES MIGRATORIOS DE RIGOR, SE DIRIGIÓ HACIA LA CINTAS DE EQUIPAJES Y AL MOMENTO DE TOMAR EL EQUIPAJE NOTO QUE FALTABA EL CANDADO METÁLICO. SEGUIDAMENTE, EL DAMNIFICADO PROCEDIO A APERTURAR EL EQUIPAJE PERCATANDOSE DEL FALTANTE DE UN ELEMENTO. POSTERIORMENTE SE PRESENTO EN ESTA DEPENDENCIA POLICIAL A LOS EFECTOS DE RADICAR LA DENUNCIA.</t>
  </si>
  <si>
    <t>INFORMO QUE EN EL DIA DE LA FECHA A HS 12:00 SE DA INICIO A OPERATIVO DE SEGURIDAD PREVENTIVA, SEGUN ORDEN DE SERVICIO NRO 016/10 DE ESTA UOSP LA RIOJA, POR ARRIBO DE AERONAVE TC-70 CON VALORES PARA EL BANCO CENTRAL DE LA REPUBLICA ARGENTINA. FINALIZANDO EL MISMO A HS 13:50 SIN NOVEDAD</t>
  </si>
  <si>
    <t>HALL PUBLICO DE ARRIBOS DE LA TERMINAL A</t>
  </si>
  <si>
    <t>EL DIA DE LA FECHA SIENDO LAS 1225 HORAS EL DAMNIFICADO ARRIBO AL AEROPUERTO PROCEDENTE DE LA CIUDAD DE MADRID ESPAÑA EN EL VUELO IB 6843 DE LA EMPRESA IBERIA. EN MOMENTOS DE ENCONTRARSE EL DAMNIFICADO EN EL HALL DE ARRIBOS, CON INTENCIONES DE TOMAR UN MICRO DE LA EMPRESA TIENDA LEON CON DESTINO A SU DOMICILIO. EN TALES CIRCUNSTANCIAS PORTABA UN CARRO PORTAMALETAS CON CUATRO VALIJAS Y UN BOLSO DE MANO, Y POR UNOS INSTANTES CORRIÓ LA VISTA DEL REFERIDO BOLSO Y EN DICHO MOMENTO PASO POR EL LUGAR A UNA FILA DE CARROS PORTAMALETAS RECOGIDOS POR PERSONAL DE UNIFORME Y CAMPERA DE COLOR AZUL, SIENDO EL PERSONAL REFERIDO COMPUESTO DE APROXIMADAMENTE NUEVE PERSONAS. QUE UNA VEZ QUE DICHOS SUJETOS SE ALEJARON DEL LUGAR TOMÓ CONOCIMIENTO DEL FALTANTE DEL BOLSO DE MANO. SEGUIDAMENTE, EL DAMNIFICADO SE PRESENTO EN LA DEPENDENCIA POLICIAL A LOS EFECTOS DE RADICAR LA DENUNCIA.</t>
  </si>
  <si>
    <t>DR. LAPLANA</t>
  </si>
  <si>
    <t>A 100 METROS APROXIMADAMENTE DEL VIADUCTO</t>
  </si>
  <si>
    <t>TRAMO DE LA EX AVENIDA SARMIENTO ENTRE LA CABECERA SUR Y EL VIADUCTO.</t>
  </si>
  <si>
    <t>EN EL DIA DE LA FECHA SE HACE PRESENTE EL DAMNNIFICADO A FIN DE REALIZAR UNA DENUNCIA POR EL ROBO DE LAS DOS CUBIERTAS COMPLETAS DE SU VEHICULO EL CUAL DEJO ESTACIONADO FUERA DEL AEROPUERTO, EL DIA 06 DEL CORRIENTE APROXIMADAMENTE A LAS 0900 HORAS PERCATANDOSE DEL FALTANTE A LAS 1145 HORAS. SIENDO LAS 1330 HORAS SE ENTABLA COMUNICACION CON LA FISCALIA DE TURNO AL CUAL SE LE INFORMA LO ACONTECIDO Y DEBIDO A QUE NO SE POSEE DATOS PARA POSTERIOR INVESTIGACION ORDENO CIERRE Y ELEVACION DE LO ACTUADO.</t>
  </si>
  <si>
    <t>EN EL DIA DE LA FECHA SE INICIA OPERATIVO DE TRANSPORTE DE VALORES POR PARTE DEL BANCO CENTRAL DE LA REPUBLICA ARGENTINA A HS. 13:00 LOCAL DE ACUERDO A ORDEN DE SERVICIO 0140/10 DE LA URSA III DEL NORTE, EL MISMO FINALIZA A HS. 15:45 LOCAL SIN NOVEDAD, FUE REALIZADO DE MANERA CONJUNTA CON PERSONAL DE LA UOESA DEL NORTE.</t>
  </si>
  <si>
    <t>TC70</t>
  </si>
  <si>
    <t>SALIDAS TERMINAL A</t>
  </si>
  <si>
    <t>CIRCUNSTANCIA EN LA QUE EL OFICIAL LONGHINI EN RECORRIDA QUE REALIZABA EN PREVENCION DE DELITOS Y FALTAS POR LA PERGOLA 3 DE SALIDAS DE LA TERMINAL A OBSERVA Y SORPRENDE IN FRAGANTI A UN INDIVIDUO DE SEXO MASCULINO QUE SE ENCONTRABA REALIZANDO TAREAS DE MALETERO Y HACIENDO ABORDAR A UN VEHICULO DE ALQUILER, TAXI C.A.B.A., A PASAJEROS RECIEN ARRIBADOS AL PAIS, POR TAL MOTIVO EL FUNCIONARIO POLICIAL LE SOLICITA QUE EXHIBA LA HABILITACION Y/O PERMISO DEL CONCESIONARIO DE LA AEROESTACION A LO QUE RECIBE COMO RESPUESTA QUE CARECIA DE LA MISMA.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</si>
  <si>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 MAXIMILIANO L. CALLIZO</t>
  </si>
  <si>
    <t>S/EXTRADICION ACTIVA INTERNA ART. 52 C.P.</t>
  </si>
  <si>
    <t>BOX DE INGRESO AL PAIS DE LA DIRECCION NACIONAL DE MIGRACIONES</t>
  </si>
  <si>
    <t>QUE SIENDO LAS 03:15 HS. DEL DIA 07/07/2010 SE RECEPCIONO DE LA D.N.M. AL CAUSANTE DEBIDO A QUE EL MISMO TENIA UNA ORDEN DE CAPTURA SOBRE SU PERSONA EMITIDA POR INTERPOL, A DISPOSICION DEL JUZGADO PENAL NUMERO 02 A CARGO DEL DR. SCWEMBERG DEL DEPARTAMENTO JUDICIAL MISIONES. QUE LUEGO DE REITERADOS INTENTOS DE MANTENER COMUNICACION TELEFONICA CON EL ORGANISMO SOLICITANTE DE LA MEDIDA RESTRICTIVA, SE MANTUVO COMUNICACION CON EL JUZGADO FEDERAL N 2 DE LOMAS DE ZAMORA QUIEN DISPUSO LA DEMORA DEL CAUSANTE HASTA TANTO SE LOGRE PERFECCIONAR LA COMUNICACION CON EL JUZGADO EMISOR DE LA CAPTURA. QUE SIENDO LAS 11:00 HS. SE MANTUVO NUEVA COMUNICACION CON EL JUZGADO DE LOMAS DE ZAMORA A QUIEN SE ANOTICIO DEL RESULTADO NEGATIVO DE LOS INTENTOS DE COMUNICACION CON EL JUZGADO DE MISIONES, ANTE LO CUAL EL DR. CALLIZO PRORROGO LA DEMORA DEL CAUSANTE HASTA LAS 19:00 HS. SIENDO LAS 18:50 HS. DEL DIA 07/07/2010 SE ANOTICIO AL DR. CALLIZO QUE NO SE PUDO MANTENER COMUNICACION CON EL JUZGADO DE MISIONES, POR LO QUE SE DISPUSO LA DETENCION DEL CAUSANTE EN CARACTER DE COMUNICADO Y QUE EL MISMO SEA REMITIDO A SEDE JUDICIAL EL DIA 08/07/2010 A PRIMERA HORA JUNTO CON LA DOCUMENTACIONS ECUESTRADA Y LAS ACTUACIONES LABRADAS. PTO.- SE INFORMA EN PU N 4104 QUE EN HORAS 07 30 DEL DIA 08/07/2010 SE REALIZO EL TRASLADO DEL DETENIDO A SEDE JUDICIAL DEL JUZGADO FEDERAL N 2 DE LOMAS DE ZAMORA.</t>
  </si>
  <si>
    <t>JJ 8006</t>
  </si>
  <si>
    <t>PERSONAL APOSTADO EN EL PATIO DE VALIJAS DIVISA EN LA MAQUINA DE RX, UN CARRY ON DE GRANDES DIMENSIONES EL CUAL POSEIA SUSTANCIA ORGANICA EN SU CONTORNO, ENTERADO EL JEFE DE TURNO ORDENA A LOS OFICIALES CANGINI, FERRI Y MANETTI QUE UBIQUEN AL PASAJERO, QUE CONSULTADO PERSONAL DE LA EMPRESA SOUTH AFRICAN AIRWAYS, INFORMA QUE DICHO EQUIPAJE HABIA SIDO DESPACHADO POR UNA PERSONA DE SEXO FEMENINO, DE AVANZADA EDAD VESTIDA CON CAMPERA DE COLOR VERDE Y PANTALON NEGRO, EN VIRTUD A LO INFORMADO LOS OFICIALES ANTES MENCIONADOS REALIZAN UNA RECORRIDA POR LA TERMINAL A, DANDO EN EL LOCAL DE LA EMPRESA MCDONALS CON UNA FEMENINA DE SIMILARES CARACTERISTICAS. POSTERIORMENTE SE LA IDENTIFICA Y SE CONPRUEBA QUE EN EL PASAPORTE DE LA FEMENINA OBRABA EL MISMO NOMBRE QUE EN EL MARBETE DE LA VALIJA EN CUESTION. POR TAL MOTIVO SE DIRIGEN A ESTA GUARDIA DE PREVENCION EN DONDE SE APERTURA LA VALIJA, SE QUITA EL FORRO DEL COMPARTIMIENTO PRINCIPAL Y SE OBSERVA QUE EL CONTORNO DE LA VALIJA POSEIA MAS ESPESOR QUE LO NORMAL, LUEGO SE LE REALIZA UN CORTE AL CONTORNO DE PLASTICO RIGIDO, DEJANDO VER SUSTANCIA DE COLOR AMARILLENTA DE CONSISTENCIA COMPACTA A LA CUAL SE SOMETE A REACTIVO DE CAMPO ARROJANDO RESULTADO POSITIVO COCAINA, ANOTICIADO EL JUZGADO INTERVINIENTE DISPONE SE DETENGA A LA PASAJERA EN CALIDAD DE INCOMUNICADA Y SE REMITA A LA MISMA JUNTAMENTE A TODOS LOS SECUESTROS A SEDE TRIBUNALICIA EL DIA OCHO DEL CORRIENTE MES Y AÑO A PRIMERA HORA. SE INFORMA EN P.U. 4105 QUE EN HORAS 0700 DEL DIA 08/07/2010 SE TRASLADO A LA DETENIDA A SEDE JUDICIAL.</t>
  </si>
  <si>
    <t>SA227</t>
  </si>
  <si>
    <t>JOHANNESBURGO // SA 547</t>
  </si>
  <si>
    <t>PTA. INF. AL ART 5 INC C DE LA LEY 23.737 EN LA MODALIDAD TRANSPORTE</t>
  </si>
  <si>
    <t>SIENDO LA HORA INDICADA PERSONAL APOSTADO EN EL PATIO DE VALIJAS DIVISA EN LA MAQUINA DE RX, EN EL VUELO ANTES MENCIONADO UN BOLSO DE MEDIANAS DIMENSIONES EL CUAL POSEIA SUSTANCIA ORGANICA EN SU INTERIOR. UNA VEZ UBICADA LA PASAJERA PROPIETARIA DEL BOLSO SE LA TRASLADA AL TURNO SE APERTURA EL BOLSO, EN SU INTERIOR SE HALLABAN TRES JUGUETES UNA MUÑECA, UN AUTOMIVIL Y UN DISPENSER DE AGUA, LOS QUE EN SU INTERIOR CONTENIAN LOS SIGUIENTES PAQUETES: AUTOMOVIL: DOS PAQUETES, DISPENSER: CUATRO PAQUETES, MUÑECA: SEIS PAQUETES, SIENDO UN TOTAL DE DOCE PAQUETES TODOS DE SIMILARES CARACTERISTICAS DE CONFECCION ENVUELTOS EN NYLON TRANSPARENTE Y PAPEL CARBONICO Y DEBAJO DE ESOS ELEMENTOS SUSTANCIA DE CONSISTENCIA PULVERULENTA DE COLOR BLANCO, SIENDO LA TOTALIDAD DE LOS PAQUETES SOMETIDOS A REACTIVO DE CAMPO PARA COCAINA ARROJANDO EN TODOS LOS CASOS RESULTADO POSITIVO. ANOTICIADO EL JUZGADO INTERVINIENTE DISPONE DETENCION DE LA PASAJERA EN CALIDAD DE INCOMUNICADA Y SE TRASLADE A LA MISMA A SEDE JUDICIAL EL DIA OCHO DEL CORRIENTE MES Y AÑO A PRIMERA HORA. SE INFORMA EN P.U. 4106 QUE EN HORAS 0730 DEL DIA 08/07/2010 SE PROCEDIO AL TRASLADO DE LA DETENIDA A SEDE JUDICIAL.</t>
  </si>
  <si>
    <t>SANTA CRUZ DE LA SIERRA // TA 034</t>
  </si>
  <si>
    <t>LIMA // TA 025 EZEIZA ARGENTINA</t>
  </si>
  <si>
    <t>SIENDO LAS 01:25 HORA LOCAL ARRIBA AERONAVE MATRICULA LV BOI DE LA EMPRESA LAN ARGENTINA PROCEDENTE DE AEROPUERTO JORGE NEWBERY EN CUYAS BODEGAS 11,12,13,31 Y 32 SE DESPACHAN 123 CAJAS CON UN PESO BRUTO DE 2.816 KILOGRAMOS DE METAL - MTD - DE LA EMPRESA MINERA TRITON ARGENTINA S.A. CON DESTINO A AEROPUERTO JORGE NEWBERY. EL VUELO DESPEGA A LAS 03:19 HORAS SIN NOVEDAD. SE DIO CUMPLIMIENTO A ORDEN DE SERVICIO NRO 0058/2010 DE ESTA UOSP</t>
  </si>
  <si>
    <t>EN REFERENCIA A ORDEN DE SERVICIO NRO 175/10 DE FECHA 05-JUL-10 EMANADA DE LA U.R.S.A II DEL CENTRO Y CUMPLIMIENTO A ORDEN DE EXPULSIÓN DICTADA MEDIANTE DE DISPOSICION NRO. 146996 EMITIDO POR LA DIRECCION NACIONAL DE MIGRACIONES BAJO EXPTE. NRO. 110894 DE FECHA 05-JUL-10 SE PROCEDIO A BRINDAR CUSTODIA AL CIUDADANO PERUANO MANUEL AGUSTIN HUAMANI HUALPA HASTA SER EMBARCADO EN EL VUELO QUE LO LLLEVARA A SU DESTINO FINAL LA CIUDAD DE LIMA - PERU. EL VUELO DE REFERENCIA PARTE DE ESTA AEROESTACION A LAS 09:35 HS APROXIMADAMENTE,FINALIZANDO EL OPERATIVO SIN NOVEDAD</t>
  </si>
  <si>
    <t>SANCHEZ PEDRO NORBERTO Y OTROS S/SUP. ENCUBRIMIENTO DE LAVADO DE ACTIVOS DE ORIGEN DELICTIVO, ART. 278, INC. 1, AP. A Y B, DEL C.P.</t>
  </si>
  <si>
    <t>INFORMO EN EL DIA DE LA FECHA SE REMITE AL JUZGADO FEDERAL DE PASO DE LOS LIBRES, SECRETARIA PENAL Nº 1 A/C DEL DOCTOR WALTER ERNESTO ROMERO, LISTADO DE INVENTARIO DE ELEMENTOS, VEHICULOS, ARMAS Y MUNICIONES QUE SE ENCUENTRAN EN CUSTODIA DE ESTA UOSP. EN EL MARCO DE LA CAUSA SANCHEZ PEDRO NORBERTO Y OTROS S/SUP. ENCUBRIMIENTO DE LAVADO DE ACTIVOS DE ORIGEN DELICTIVO, ART. 278, INC. 1, AP. A Y B, DEL CP., EXPTE. Nº 1-18717/05, DANDO ASI CUMPLIMIENTO PARCIAL AL OFICIO JUDICIAL Nº 523, DE FECHA 05 DE JULIO DEL CORRIENTE AÑO, MEDIANTE EL CUAL ORDENABA REMITIR A DICHA SEDE TRIBUNALICIA, LAS ARMAS SECUESTRADAS. RECIBIENDO DE DICHA JUDICATURA LA ORDEN DE MANTENER EN CUSTODIA DICHO ARMAMENTO EN ESTA UOSP. HASTA NUEVO AVISO.</t>
  </si>
  <si>
    <t>4091/10</t>
  </si>
  <si>
    <t>CUMPLO EN INFORMAR QUE EN EL DIA DE LA FECHA, SIENDO APROXIMADAMENTE LAS 07:30 HS, SE PROCEDIO AL TRASLADADO DEL CAUSANTE AL ASIENTO DEL JUZGADO FEDERAL NUMERO 02 DE LOMAS, SECRETARIA C, EFECTUANDO DICHO TRASLADO SIN NOVEDAD. PTO.-</t>
  </si>
  <si>
    <t>AMERICAN JET S.A.</t>
  </si>
  <si>
    <t>4092/10</t>
  </si>
  <si>
    <t>CUMPLO EN INFORMAR QUE EN EL DIA DE LA FECHA, SIENDO LAS 7:00 HORAS, SE PROCEDIO AL TRASLADO DE LA DETENIDA EN AUTOS, AL ASIENTO DE LA JUDICATURA DE MENCION, SIENDO EFECTUADO DICHO TRASLADO SIN NOVEDAD. PTO.-</t>
  </si>
  <si>
    <t>4093/10</t>
  </si>
  <si>
    <t>CUMPLO EN LLEVAR A SU CONOCIMIENTO, QUE EN EL DIA DE LA FECHA, SIENDO LAS 07:30 HS, SE PROCEDIO AL TRASLADO DEL CAUSANTE AL ASIENTO DEL JUZGADO INTERVINIENTE, SIENDO EFECTUADO DICHO TRASLADO SIN NOVEDAD. PTO.-</t>
  </si>
  <si>
    <t>DR.LAPLANA ARIEL FERNANDO</t>
  </si>
  <si>
    <t>SIENDO LA HORA Y FECHA ANTES MENCIONADA SE HACE PRESENTE EN ESTA GUARDIA DE PREVENCION EL DAMNIFICADO MANIFESTANDO QUE EL DIA 16 DE JUNIO DEL CORRIENTE AÑO, ARRIBO EN EL AEROPUERTO MINISTRO PISTARINI EN EL VUELO UX 041 DE LA EMPRESA AIR EUROPA PROCEDENTE DE MADRID ESPAÑA Y AL MOMENTO DE RETIRAR SU EQUIPAJE, EL CUAL FUERA DESPACHADO POR BODEGA EN EL VUELO UX 1016 EN LA CIUDAD DE LONDRES, DE LA CINTA SE PERCATO QUE EL MISMO SE ENCONTRABA DAÑADO Y CON LOS CIERRES ROTOS. SEGUIDAMENTE AL VERIFICAR SU CONTENIDO PUDO OBSERVAR EL FALTANTE DE VARIOS ELEMENTOS. INMEDIATAMENTE REALIZO EL RECLAMO EN LA EMPRESA AEREA ANTES MENCIONADA Y SE RETIRO A SU DOMICILIO. FINALMENTE EN EL DIA DE LA FECHA EL DAMNIFICADO SE PRESENTO EN ESTE AEROPUERTO METROPOLITANO A FIN DE REALIZAR LA DENUNCIA.</t>
  </si>
  <si>
    <t>SIENDO LA FECHA Y HORA ANTES MENCIONADA, EN MOMENTOS EN QUE EL OFICIAL KALENBERG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</si>
  <si>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CAFETERIA LA MADELEIN, SITA EN LA PLANTA ALTA DE LA TERMINAL A.</t>
  </si>
  <si>
    <t>PATIO DE COMIDAS DE LA PLANTA ALTA</t>
  </si>
  <si>
    <t>EN EL DIA DE LA FECHA SIENDO LAS 1555 HORAS SE RECIBE COMUNICACIÓN DEL ENCARGADO DE TURNO, OF. MONZA, INFORMANDO QUE EL OF. ARIZA LE COMUNICO QUE EN MOMENTOS DE ENCONTRARSE PATRULLANDO EN EL HALL DE LA PLANTA ALTA, SE LE PRESENTO UN PASAJERO MANIFESTANDO QUE LE HABIAN SUSTRAIDO UNA NOTEBOOK MIENTRAS SE ENCONTRABA EN LA CAFETERIA "LA MADELEIN" A LA ESPERA DE EMBARCAR EL VUELO DE LA EMPRESA LAN ARGENTINA LA 4136 CON DESTINO A LA PROVINCIA DE SALTA. INEMDIATAMENTE EL OF. MONZA SE APERSONO EN EL LUGAR Y LUEGO DE ENTREVISTARSE CON EL DAMNIFICADO, LO INVITO A RADICAR LA DENUNCIA EN LA GUARDIA DE PREVENCION DE ESTE AEROPUERTO METROPOLITANO. A LO CUAL EL PASAJERO LE MANIFIESTO QUE SU VUELO ESTABA PROXIMO A PARTIR, POR LO CUAL SOLO APORTO SUS DATOS FILIATORIOS Y SE RETIRO A FIN DE EMBARCAR EN EL VUELO ANTES MENCIONADO. FINALMENTE ANTE LOS HECHOS SUCITADOS SE INICIARON DE OFICIO LAS ACTUACIONES Y SE SOLICITO QUE SE LE TOME DECLARACION TESTIMONIAL AL DAMNIFICADO EN EL AEROPUERTO DE SALTA.</t>
  </si>
  <si>
    <t>AU. RICHIERI SOBRE LA ENTREADA AL AEROPUERTO.</t>
  </si>
  <si>
    <t>SIENDO LA HORA INDICADA, ARRIBA AL SECTOR DE TAQUILLA DE ENTRADA UN MÓVIL DEL PROGRAMA DE TV AMERICA NOTICIAS, UN MÓVIL DEL CANAL 13, Y POSTERIORMENTE VEINTE MICROS TRASPORTANDO APROXIMADAMENTE QUINIENTAS PERSONAS PERTENECIENTES A LOS SINDICATOS ASOCIACIÓN TRABAJADORES DEL ESTADO (ATE) Y CONFEDERACIÓN TRABAJADORES ARGENTINOS (CTA), QUIENES COMENZARON A MANIFESTARSE DEJANDO LIBRE PARA LA CIRCULACIÓN DE VEHÍCULOS EL CARRIL RÁPIDO Y SUBSIGUIENTE, POR LO QUE SE DESPLEGÓ EL OPERATIVO POLICIAL INHERENTE AL CASO A CARGO DE LA SUBINSPECTOR SILVIA MIERS. INFORMADO DE LOS HECHOS EL JUZGADO FEDERAL, INDICO QUE SE INFORME A LA BREVEDAD EN CASO DE QUE LOS MANIFESTANTES CORTEN LA CIRCULACIÓN DE INGRESO AL AEROPUERTO. SIENDO LAS 17:30 HS FINALIZA LA MANIFESTACIÓN SIN NOVEDAD.</t>
  </si>
  <si>
    <t>TRAYECTO DESDE LA GUARDIA DE PREVENCION - PLATAFORMA - AERONAVE</t>
  </si>
  <si>
    <t>SIENDO LA HORA MENCIONADA SE PROCEDE A CUMPLIMENTAR LA ORDEN DE SERVICIO Nº 408/10 DE LA URSA I DEL ESTE, REFERENTE AL MEMORANDO Nº 736/10 DEL CEAC CON MOTIVO DEL CONTROL DE POLICIA DE SEGURIDAD AEROPORTUARIA DEL EXPULSADO BARBOSA DE OLIVEIRA DOS SANTOS MORANGO EL CUAL POR HABERSE CANCELADO EL VUELO AR 1256 EL DIA 08 DEL CORRIENTE, FUE REUBICADO EL DIA DE LA FECHA EN EL VUELO AR 1250 Y EMBARCADO A LA 06:10 HORAS, PARTIENDO EL MISMO A LAS 06:55 HORAS SIN NOVEDAD.-</t>
  </si>
  <si>
    <t>SIENDO LA HORA Y EL DÍA ANTES MENCIONADO, SE IMPLEMENTA OPERATIVO DE SEGURIDAD PARA LA PARTIDA DE LA SRA. PRESIDENTA DE LA NACIÓN, LA CUAL ARRIBÓ A ESTE AEROPUERTO METROPOLITANO EN EL VUELO H01 A LAS 10:35 HORAS, PARTIENDO EN EL VUELO T01 A LAS 10:42 HORAS CON DESTINO LA PROVINCIA DE TUCUMÁN SIN NOVEDAD.</t>
  </si>
  <si>
    <t>ZELAYA EXEQUIEL</t>
  </si>
  <si>
    <t>ACTUACIONES DE OFICIO</t>
  </si>
  <si>
    <t>SALA DE PREEMBARQUE - PUERTA Nº 1</t>
  </si>
  <si>
    <t>OFICINA DE SUMARIOS</t>
  </si>
  <si>
    <t>AL EFECTUAR EL CONTROL DEL PREEMBARQUE DEL VUELO 2473 DE A.A CON LA MAQUINA DE RX SE DETECTA QUE UNA PASAJERA LLEVA EN UNA CAJA DE ZAPATOS DE COLOR NARANJA UN CRÁNEO, AL SER CONSULTADA, LA MISMA RESPONDE QUE SE TRATA DE UN CRÁNEO DE UNA PERSONA DE SEXO MASCULINO, Y QUE FUE DADO EN LA FACULTAD DE ODONTOLOGÍA DE ESTA PROVINCIA PARA SU ESTUDIO Y ANÁLISIS, YA QUE SE ENCUENTRA PRÓXIMO A UN EXAMEN. LA EXPONENTE INFORMA QUE ES ESTUDIANTE DE LA CARRERA DE ODONTOLOGIA. SE EFECTUA LAS CONSULTAS TELEFONICA A LA FISCALIA PENAL DE INSTRUCCION DE TURNO, QUIEN ORDENA SE LABREN LAS ACTUACIONES DE RIGOR Y SE PERMITA CONTINUAR CON EL TRASLADO A SU PROPIETARIA, QUIEN POSTERIORMENTE SERA CITADA JUDICIALMENTE PARA EXPONER SU PROCEDENCIA Y ORIGEN. ASIMISMO ORDENA EL MAGISTRADO INTERVINIENTE NO SE APLIQUE MEDIDA ALGUNA CONTRA LA LIBERTAD AMBULATORIA DE LA PASAJERA.</t>
  </si>
  <si>
    <t>DE ACUERDO A ORDEN DE SERVICIO N° 133/10 DE LA URSA III DEL NORTE SIENDO LAS 08:30 HORAS SE IMPLEMENTA EL DISPOSITIVO DE SEGURIDAD PREVISTO PARA EL ARRIBO DE LA SEÑORA PRESIDENTE DE LA NACION, AUTORIDADES Y PERSONALIDADES NACIONALES, CON MOTIVO DE LOS ACTOS PROTOCOLARES QUE SE LLEVARAN A CABO EN LA PROVINCIA DE TUCUMAN POR DEL DIA DE LA INDEPENDENCIA ARGENTINA. CRONOLOGICAMENTE ARRIBARON LAS SIGUIENTES AERONAVES: 11:06 ARRIBO AERONAVE LV-YLC DE LA GOBERNACION DE LA PROVINCIA DE LA RIOJA, 11:17 HORAS ATERRIZO AERONAVE T-22 CON JEFES DEL ESTADO MAYOR CONJUNTO, 11:20 HORAS ATERRIZO AERONAVE T-50 CON ARTISTAS NACIONALES, 11:41 ATERRIZA AERONAVE T-03 CON SECRETARIOS DE ESTADO Y PERSONALIDADES NACIONALES, 11:44 HORAS ATERRIZA AERONAVE T-55 CON MINISTROS DEL PODER EJECUTIVO NACIONAL Y FUNCIONARIOS NACIONALES, 11:58 HORAS ATERRIZA HELICOPTERO LQ-ZRB DE LA GOBERNACION DE SANTIAGO DEL ESTERO, 12:23 HORAS ATERRIZA EL AVION PRESIDENCIAL T-01 CON LA SAÑORA PRESIDENTA DE LA NACION DRA. CRISTINA FERNANDEZ DE KIRCHNER JUNTO AL EX PRESIDENTE DE LA NACION DR. NESTOR KIRCHNER Y AL JEFE DE GABINETE DR. ANIBAL FERNANDEZ. ESTOS ULTIMOS EMBARCARON EN HELICOPTERO DE LA GOBERNACION DE SANTIAGO DEL ESTERO PARTIENDO HACIA LA CIUDAD DE SAN MIGUEL DE TUCUMAN A HORAS 12:35 A EFECTOS DE PRESIDIR LOS ACTOS PROTOCOLARES. NO SE REGISTRARON NOVEDADES DURANTE EL OPERATIVO IMPLEMENTADO.</t>
  </si>
  <si>
    <t>4030/10</t>
  </si>
  <si>
    <t>BALZANTE PABLO CARLOS</t>
  </si>
  <si>
    <t>CIUDAD DE PASO DE LOS LIBRES-CORRIENTES</t>
  </si>
  <si>
    <t>EN EL DIA DE LA FECHA SE RECEPCIONA OFICIO JUDICIAL SIN NUMERO DEL JUZGADO ACTUANTE, ORDENANDO ALLANAMIENTOS EN FORMA SIMULTANEA EN EL MARCO DE LA CAUSA DE REFERENCIA, CON EL OBJETO DE ESTABLECER SI EN ELLOS EFECTIVAMENTE EXISTEN ELEMENTOS O SE LLEVAN A CABO ACCIONES QUE PERMITAN PRESUMIR LA COMERCIALIZACIÓN DE ESTUPEFACIENTE Y EN CASO AFIRMATIVO PROCEDER AL SECUESTRO DE LOS ELEMENTOS RELACIONADO CON EL ILICITO QUE CONSTITUYA MATERIA DE PRUEBA PARA LA CAUSA, EN CASO DE UNA APREHENSIÓN DEBERA DISPONER EL ALOJAMINETO DE LOS MISMOS EN LA SEDE DE LA PREFECTURA NAVAL ARGENTINA.</t>
  </si>
  <si>
    <t>INFRACCION A LOS DECRETOS 78 Y 85 DECRETO LEY 8031/73</t>
  </si>
  <si>
    <t>PERGOLA TRES TERMINAL A.</t>
  </si>
  <si>
    <t>SIENDO LA FECHA Y HORA ANTES MENCIONADA, EN MOMENTOS EN QUE LOS OFICIALES CARABAJAL Y CAFFERATA SE ENCONTRABAN EN UNA RECORRIDA POR EL SECTOR MENCIONADO CON ANTERIORIDAD, OBSERVAN Y SORPRENDEN A UNA PERSONA DE SEXO MASCULINO, LA CUAL SE ENCONTRABA REALIZANDO SERVICIO DE MALETERO A PASAJEROS, CARECIENDO DEL PERMISO CORRESPONDIENTE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</si>
  <si>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DRA VILMA VALLE RUIDIAZ</t>
  </si>
  <si>
    <t>INFORMO QUE EN EL CONTROL DE EQUIPAJES DESPACHADO POR BODEGA SE DETECTA TRES EQUIPAJES CON MARBETE Nº 32-30-17, 32-30-18 Y 32-30-19 QUE CONTENDRIAN EN SU INTERIOR MERCADERIAS EN PRESUNTA INFRACCION A LA LEY 22415 SE IDENTIFICA AL PROPIETARIO DE LOS EQUIPAJES Y SE REALIZA LA APERTURA ANTE LA PRESENCIA DE LOS TESTIGOS CONVOCADOS A TAL FIN PROCEDIENDOSE A LABRAR ACTA DE INTERDICCION Y SE HACE ENTREGA DE LOS ELEMENTOS INTERDICTADOS AL PERSONAL DE AFIP-DGA SRA ADRIANA LINERA LEGAJO NRO 18540-0 QUIEN PROCEDE AL SECUESTRO DE LAS MISMAS BAJO ACTA NRO 009/2010 VALOR APROXIMADO DE LAS MERCADERIAS PESOS TRECE MIL.-</t>
  </si>
  <si>
    <t>4125/10</t>
  </si>
  <si>
    <t>INFORMO QUE A HORAS 21:30 FINALIZA OPERATIVO PRESIDENCIAL SEGUN ORDEN DE SERVICIO N° 133/10 DE LA URSA III DEL NORTE, IMPLEMENTADO CON MOTIVO DE LA VISITA A LA PROVINCIA DE TUCUMAN DE LA SRA. PRESIDENTE DE LA NACION, DRA. CRISTINA FERNANDEZ DE KIRCHNER, JUNTO A AUTORIDADES Y PERSONALIDADES NACIONALES. CRONOLOGICAMENTE PARTIERON DEL AEROPUERTO TUCUMAN LAS SIGUIENTES AERONAVES: 20:33 AVION PRESIDENCIAL T-01 CON DESTINO FINAL CHINA, REALIZANDO ESCALAS EN BRASIL, ESPAÑA Y RUSIA, 20:38 PARTE AERONAVE T-10, 21:00 PARTE AERONAVE T-03, 21:20 PARTE AERONAVE TC-55. EL DISPOSITIVO DE SEGURIDAD CONCLUYO SIN REGISTRARSE NOVEDADES</t>
  </si>
  <si>
    <t>CLAUDIA NOFALDE CATANEO</t>
  </si>
  <si>
    <t>CABECERA DE PISTA 36</t>
  </si>
  <si>
    <t>SE PRESENTA EN ESTA GUARDIA DE PREVENCION SEÑOR PEDRO SANTINELLI JEFE BASE AEROPUERTO ARGENTINA 2000 HACER DENUNCIA DEL ROBO DE 8 OCHO EQUIPOS REFLECTORES COMPLETAS DENOMINADO BARRA DE ALA UMBRAL DE LA CABECERA DE PISTA Y TRES TULIPAS DE LA PISTA PRINCIPAL POR LO QUE SE MOVILIZA MOVIL 24 PARA HACER VERIFICACION DE LO DENUNCIADO LO CUAL SE COMPRUEBA Y SE REALIZA UNA RECORRIDA POR LOS SECTORES A LOS EFECTOS DE CORROBORAR QUE NO HAYA INDIVIDUOS.SE REALIZA COMUNICACION TELEFONICA CON LA SECRETARIA PENAL QUIEN DISPONE SE REALICEN LAS ACTUACIONES CORRESPONDIENTES.</t>
  </si>
  <si>
    <t>HOTEL VISTA SOL, UBICADO EN LA CALLE TUCUMAN Nº 451, C.A.B.A.</t>
  </si>
  <si>
    <t>BODEGA DE AERONAVE - PLATAFORMA COMERCIAL - PATIO DE VALIJAS - TRANSPORTE DEL EQUIPAJE HASTA HOTEL.</t>
  </si>
  <si>
    <t>QUE EL DÍA 03/07/10 A LAS 2000 HORAS, EL DAMNIFICADO ARRIBO A ESTA AEROESTACIÓN Y SE DIRIGIO A RECOGER SUS DOS VALIJAS, LAS CUALES AL CABO DE UNOS MINUTOS NO APARECIERON POR LO QUE REALIZO EL RECLAMO ANTE LA COMPAÑÍA AÉREA, DONDE LE INFORMARON QUE AL LLEGAR AL PAIS LOS EQUIPAJES SE LOS ENVIARIAN HASTA EL HOTEL. EL DÍA 04/07/10 PERSONAL DEL HOTEL LE INFORMO AL DAMNIFICADO QUE LAS VALIJAS YA SE ENCONTRABAN EN SU HABITACIÓN, NOTANDO EL DAMNIFICADO QUE UNA DE ELLAS POSEÍA SIGNOS DE HABER SIDO VIOLENTADA Y QUE AL PROCEDER A LA APERTURA SE PERCATO DEL FALTANTE INDICADO. POR TAL MOTIVO REALIZO LA DENUNCIA EN ESTA GUARDIA DE PREVENCIÓN.</t>
  </si>
  <si>
    <t>G3 7452</t>
  </si>
  <si>
    <t>LOS OFICIALES DA ROSA Y GARCÍA SE ENCONTRABAN REALIZANDO EL CONTROL DE LOS EQUIPAJES DESPACHADOS A BODEGA CUANDO OBSERVAN MEDIANTE LAS IMÁGENES PROYECTADAS POR LA MAQUINA DE RAYOS X SUSTANCIA ORGÁNICA DE BAJA DENSIDAD EN EL INTERIOR DE UNA VALIJA TIPO CARRY-ON. SEGUIDAMENTE SE SEPARA DICHA VALIJA DEL RESTO Y SE PROCEDE A UBICAR E IDENTIFICAR AL PASAJERO, QUIEN SE ENCONTRABA EN EL SECTOR DE PREEMBARQUE 1/16. EL PASAJERO RECONOCE COMO DE SU PROPIEDAD DICHA VALIJA, SEGUIDAMENTE EL PASAJERO TESTIGOS, PERSONAL INTERVINIENTE Y LA VALIJA EN CUESTIÓN SON TRASLADADOS HACIA EL TURNO DE PREVENCIÓN DONDE SE SOLICITA AUTORIZACIÓN AL JUZGADO PARA LA REQUISA DEL EQUIPAJE COMO DEL PASAJERO. LA REQUISA DEL EQUIPAJE ARROJA COMO RESULTADO, TRES PAQUETES LOS CUALES SE ENCUENTRAN CONSTITUIDOS EN CINTA DE COLOR NEGRO, CARTÓN AMARILLO, UNA CAPA DE NYLON TRANSPARENTE Y POR ULTIMO SUSTANCIA PULVERULENTA COLOR BLANCA. QUE DICHOS PAQUETES SE LOS IDENTIFICA COMO PAQUETE 1 - PAQUETE 2 Y PAQUETE 3. SE LES PRACTICA UNA PEQUEÑA INCISIÓN Y SE EXTRAE UNA PEQUEÑA CANTIDAD DE LA SUSTANCIA HABIDA Y QUE SOMETIDA A UNA PRUEBA DE CAMPO PARA COCAÍNA MARCA COCA TEST PEN TEST ARROJA EN TODOS LOS CASOS RESULTADO POSITIVO. SE ANOTICIA AL JUZGADO INTERVINIENTE QUIEN DISPONE LA DETENCIÓN DEL PASAJERO EN CALIDAD DE INCOMUNICADO Y SE LABREN LAS ACTUACIONES CORRESPONDIENTES. SE INFORMA EN P.U. 4154 QUE EN HORAS 0700 DEL DIA 12/07/10 SE TRASLADO AL DETENIDO A SEDE JUDICIAL.</t>
  </si>
  <si>
    <t>DR. JOSE MARIA FERNANDEZ LOPEZ</t>
  </si>
  <si>
    <t>GONZALEZ EMILIO ESTEBAN S/INFRACCION LEY DE ARMAS Y EXPLOSIVOS LEY 20.429</t>
  </si>
  <si>
    <t>EQUIPO DE RAYOS X - CONTROL EQUIPAJE DE BODEGA</t>
  </si>
  <si>
    <t>INFORMO QUE EN UN CONTROL DE RUTINA SOBRE EL EQUIPAJE DE BODEGA DEL VUELO AR 2898 DE LA EMPRESA AEROLINEAS ARGENTINAS SE OBSERVO UNA MALETA QUE CONTENIA UN OBJETO QUE APARENTA UNA ARMA DE FUEGO, SE REALIZO LA APERTURA EN PRESENCIA DEL PROPIETARIO DEL EQUIPAJE DESPACHADO SR GONZALEZ EMILIO ESTEBAN Y DOS TESTIGOS HABILES, CONSTATANDOSE QUE SE TRATA DE UN REVOLVER DEL CUAL NO POSEE LA DOCUMENTACION REGLAMENTARIA EN SU PODER, MANIFESTANDO QUE LA MENCIONADA ARMA NO ES DE SU PROPIEDAD. SE DA INTERVENCION AL JUZGADO DE TURNO, QUIEN DISPONE SE NOTIFIQUE AL CIUDADANO DE DERECHOS Y GARANTIAS, SE REALICE SECUESTRO PREVENTIVO DEL ARMA Y FIJE DOMICILIO REAL, EVENTUAL Y QUE CONTINUE CON SU VIAJE PROGRAMADO.-</t>
  </si>
  <si>
    <t>AR2898</t>
  </si>
  <si>
    <t>EN CONTROL SOBRE LOS PASAJEROS PRÓXIMOS A EMBARCAR SE HACE PRESENTE UNA PASAJERA DE SEXO FEMENINO Y QUE EN MOMENTOS EN QUE TRASPASA EL ARCO DETECTOR DE METALES ACTIVA LAS ALARMAS LUMÍNICAS Y SONORAS, POR LO QUE LA OFICIAL NADIA IUSPA LE SOLICITA QUE INTRODUZCA LAS BOTAS QUE LLEVABA COLOCADAS, EN EL INTERIOR DE LA MAQUINA DE RAYOS X, OBSERVANDO A TRAVÉS DE LAS IMÁGENES PROYECTADAS POR EL MONITOR DE DICHA MAQUINA UNA SUSTANCIA DEL TIPO ORGÁNICA DE BAJA DENSIDAD QUE SE ENCONTRABA EN TODO EL CONTORNO DE LAS BOTAS DE MENCIÓN. SE INFORMA SOBRE LO SUCEDIDO AL JEFE DE TURNO, QUIEN INDICA SE TRASLADEN HACIA EL TURNO DE PREVENCIÓN A EFECTOS DE REALIZAR LAS TAREAS QUE PUEDAN CORRESPONDER. SE INFORMA SOBRE LO ANTES DESCRIPTO AL JUZGADO EN TURNO, QUIEN AUTORIZA LA REQUISA A LA PASAJERA COMO ASÍ TAMBIÉN SOBRE LAS BOTAS EN CUESTIÓN. ARROJANDO DICHAS REQUISAS, QUE EN EL INTERIOR DE CADA UNA DE LAS BOTAS ERAN HABIDOS, UN PAQUETE DE NYLON TRANSPARENTE CONTENIENDO EN SU INTERIOR UNA SUSTANCIA CREMOSA COLOR BLANCA, A LOS QUE SE LES REALIZA PRUEBA DE CAMPO PARA COCAÍNA ARROJANDO EN AMBOS CASOS RESULTADO POSITIVO. QUE DE LA REQUISA REALIZADA A LA PASAJERA SE ENCUENTRA QUE LA MISMA LLEVABA COLOCADO EN LA ZONA VAGINAL UN PAÑAL DE ADULTO Y QUE EL MISMO HACIA DE ELEMENTO CONTENEDOR DE UNA SUSTANCIA PULVERULENTA DE COLOR BLANCA, A LA CUAL SE LE REALIZA EL MISMO PROCEDIMIENTO MEDIANTE PRUEBA DE CAMPO PARA COCAÍNA EL CUAL ARROJA RESULTADO POSITIVO. POR TAL MOTIVO SE INFORMA DE DICHOS RESULTADOS AL JUZGADO INTERVINIENTE QUIEN INDICA LA DETENCIÓN EN CALIDAD DE INCOMUNICADA DE LA PASAJERA, Y SE REALICEN LAS ACTUACIONES QUE CORRESPONDAN. SE INFORMA EN P.U. 4155 QUE EN HORAS 0700 DEL DIA 12/07/10 SE TRASLADO A LA DETENIDA A SEDE JUDICIAL.</t>
  </si>
  <si>
    <t>DRA. ANDREA SANTOS</t>
  </si>
  <si>
    <t>INFRACCION ART. 194 CPN</t>
  </si>
  <si>
    <t>INMEDIACIONES DE LA AEROPLANTA DE COMUSTIBLE</t>
  </si>
  <si>
    <t>SIENDO LA HORA Y EL DÍA ANTES MENCIONADO, SE RECIBE COMUNICACIÓN VÍA TELEFÓNICA POR PARTE DEL SR. ELADIO MARÍA MORERA, CHOFER DE LA EMPRESA YPF. QUIEN COMUNICA LA PRESENCIA DE UN MASCULINO NO PERTENECIENTE A NINGUNA EMPRESA AEROPORTUARIA, EN LAS INMEDIACIONES DE LA PLANTA DE COMBUSTIBLE YPF. SE COMISIONA AL L OF. MAYOR PABLO LAHORE, ENCARGADO DE TURNO, QUIEN SE DIRIGE JUNTO CON EL OF. JEFE ALEJANDRO SILVA, JEFE DE TURNO, AL LUGAR, ENCONTRÁNDOSE CON EL PERSONAL ANTES MENCIONADO Y UN MASCULINO, AL CUAL SE LE CONSULTA EL MODO DE INGRESO AL SECTOR, RESPONDIENDO QUE NO RECORDABA. SE DIRIGEN TODOS LOS INTERVINIENTES A LA GUARDIA DE PREVENCIÓN. SIENDO LAS 06:35 HORAS SE REALIZA COMUNICACIÓN CON LA JUDICATURA ACTUANTE QUIEN DISPONE: SE CARATULE LA CAUSA COMO INFRACCIÓN AL ART. 194 DEL CÓDIGO PENAL DE LA NACIÓN, LECTURA DE DERECHOS, ART. 86 Y 197 CPPN, ART. 353 BIS, CONSTATACIÓN DE DOMICILIO, ART. 26 Y 41, PRECARIO MEDICO DE ENTRADA, TRES JUEGOS DE FICHAS DACTILOSCÓPICAS PARA LA CAUSA, QUE SE RECEPCIONE LAS CORRESPONDIENTES DECLARACIONES A LOS INTERVINIENTES, FOTOS DEL DETENIDO, IDGE Y PROCEDER A LA LIBERACION EN EL CASO DE NO MEDIAR IMPEDIMENTO LEGAL CON EL RESULTADO DE REINCIDENCIA. SIENDO LAS 15:00 HORAS SE PROCEDE A LA LIBERACION DEL IMPUTADO SEGUN LO ORDENADO POR LA JUDICATURA ACTUANTE.</t>
  </si>
  <si>
    <t>VISCHI</t>
  </si>
  <si>
    <t>JULIO CESAR</t>
  </si>
  <si>
    <t>BALZANTE, PABLO</t>
  </si>
  <si>
    <t>SR. JUEZ DE INSTRUCCION Y CORRECCIONAL Y DE MENORES Nº 2 DE ESTA CIUDAD S/REMITE ACTUACIONES.</t>
  </si>
  <si>
    <t>1-20103/09</t>
  </si>
  <si>
    <t>BARRIO 255 VIVIENDAS MZNA. C CASA Nº19 DE PASO DE LOS LIBRES CORRIENTES</t>
  </si>
  <si>
    <t>EN EL DIA DE LA FECHA SE PROCEDE A CUMPLIMENTAR OFICIO JUDICIAL SIN NUMERO RELACIONADO CON EL ALLANAMIENTO AL DOMICILIO UBICADO EN EL BARRIO 255 VIVIENDAS MANZANA C CASA Nº 19 DE LA CIUDAD DE PASO DE LOS LIBRES PROVINCIA DE CORRIENTES. UNA VES LLEGADO AL LUGAR SE PROCEDE A VERIFICAR LA EXISTENCIA DE ELEMENTOS RELACIONADOS, TIPIFICADOS EN LA LEY 23.737 Y OTROS DATOS DE INTERES PARA LA CAUSA. DEL REGISTRO DE LA FINCA REALIZADO POR EL OFICIAL JEFE JORGE BORGEAUD LEGAJO Nº 501956 Y EL OFICIAL MAYOR JUAN CARLOS LONGHI LEGAJO Nº 500381 SE ENCONTRARON CUATRO ENVOLTORIOS DE NYLON COLOR BLANCO CON UN PESO TOTAL APROXIMADO DE UN GRAMO, CONTENIENDO EN SU INTERIOR UNA SUSTANCIA PULVURULENTA COLOR BLANCA QUE SOMETIDA AL REACTIVO QUIMICO MARCA NIK PARA COCAINA ARROJA RESULTADO POSITIVO Y DOS ENVOLTORIOS DE NYLON COLOR BLANCO CON UN PESO TOTAL DE 4 GRAMOS, CONTENIENDO EN SU INTERIOR UNA SUSTANCIA VEGETAL CON CARACTERISTICAS SIMILARES A LA CANNABIS SATIVA LA QUE SOMETIDA AL REACTIVO QUIMICO MARCA HASHISH PARA LA MENCIONADA SUSTANCIA ARROJA RESULTADO POSITIVO PU N° 4151/2010 FECHA 11/07/2010 AMPLIANDO MI PU. NRO. 4139/10 INFORMO QUE SIENDO LAS TRECE HORAS APROXIMADAMENTE, SE CUMPLIMENTA LO DISPUESTO EN OFICIO JUDICIAL S/N, DE FECHA 09-JUL-10, RELACIONADO CON ORDEN DE ALLANAMIENTO, ALOJANDO EN CARÁCTER DE DETENIDO-INCOMUNICADO, AL SR. HÉCTOR PABLO FONSECA DNI NRO. 26037199, EN DEPENDENCIAS DE LA PREFECTURA NAVAL ARGENTINA, DELEGACIÓN PASO DE LOS LIBRES. ASIMISMO INFORMO QUE EL IMPUTADO, SERA TRASLADADO AL JUZGADO INTERVINIENTE EL DÍA 12-JUL-10, A PARTIR DE LAS 09:00 HORAS, POR PERSONAL POLICIAL DE ESTA UNIDAD OPERACIONAL DE SEGURIDAD PREVENTIVA. PU N° 4173/2010 FECHA 12/07/2010 SIENDO LAS DIEZ HORAS Y TREINTA MINUTOS DEL DÍA 12 DE JULIO DEL CORRIENTE AÑO, PERSONAL POLICIAL DE ESTA UNIDAD OPERACIONAL PASO DE LOS LIBRES, PROCEDIÓ AL TRASLADO DEL IMPUTADO HÉCTOR PABLO FONSECA, DNI N°. 26037199, DESDE LA SEDE DE LA PREFECTURA NAVAL ARGENTINA DELEGACIÓN PASO DE LOS LIBRES, HASTA EL JUZGADO FEDERAL DE PASO DE LOS LIBRES. QUE SIENDO LAS CATORCE HORAS Y TREINTA MINUTOS, DE ACUERDO A OFICIO JUDICIAL NRO. 543 DE FECHA 12 DE JULIO DEL CORRIENTE AÑO EMITIDO POR EL JUZGADO Y LIBRADO AL JEFE DE LA PREFECTURA NAVAL ARGENTINA, DISPONE QUE EL SEÑOR HÉCTOR PABLO FONSECA, DNI NRO. 26037199, RECUPERE LA LIBERTAD DESDE LOS ESTRADOS DE ESE TRIBUNAL.</t>
  </si>
  <si>
    <t>SEÑOR JUEZ DE INSTRUCCION Y CORRECCIONAL Y DE MENORES Nº 2 DE ESTA CIUDAD S/REMITE ACTUACIONES</t>
  </si>
  <si>
    <t>BARRIO 100 VIVIENDAS, MANZANA A, CASA Nº 12 DE PASO DE LOS LIBRES, PROVINCIA DE CORRIENTES</t>
  </si>
  <si>
    <t>EN EL DÍA DE LA FECHA SE PROCEDE A CUMPLIMENTAR OFICIO JUDICIAL SIN NUMERO RELACIONADO CON EL ALLANAMIENTO AL DOMICILIO UBICADO EN BARRIO 100 VIVIENDAS MANZANA A CASA Nº 12 DE LA CIUDAD DE PASO DE LOS LIBRES PROVINCIA DE CORRIENTES, LLEGADO AL LUGAR SE PROCEDE A VERIFICAR LA EXISTENCIA DE ELEMENTOS RELACIONADOS, TIPIFICADOS EN LA LEY 23737 Y OTROS DATOS DE INTERÉS PARA LA CAUSA. AL MOMENTO DE LA REALIZACIÓN DEL ACTO, EN EL INTERIOR DEL DOMICILIO SE ENCONTRABA BERNARDINO VÍCTOR GONZÁLEZ, ARGENTINO DE 28 AÑOS DE EDAD IDENTIFICADO CON DNI N° 29197507, SU SEÑORA MADRE, ANGÉLICA DEL CARMEN MONZÓN DE 48 AÑOS DE EDAD, DNI N° 14383294 Y LA MENOR DAIANA ELISABET MÉNDEZ DE 14 AÑOS DE EDAD NACIDA EL 25/08/1995, DNI 38875599, QUIEN FUERA NIETA DE LA SRA. MONZÓN Y SOBRINA DEL SEÑOR GONZÁLEZ ANTES MENCIONADO. ASIMISMO EN LA FINCA SE ENCONTRABAN EN EL JARDÍN DE LA MISMA, LAS SIGUIENTES PERSONAS ADIANA JULIA VANINA VERGARA DE 22 AÑOS DE EDAD, DNI N° 33470876, CON DOMICILIO EN B° 255 VIVIENDA MZA K CASA N° 4, MELISA GISELE TAVORDA DE 27 AÑOS DE EDAD, DNI N° 30370808, DOMICILIO EN B° 154 VIV MZA Q CASA N° 8, RUBÉN EDGARDO HERRERA, DE 30 AÑOS DE EDAD, DNI N° 28752710, DOMICILIO 17 DE AGOSTO MZA G CASA N° 4 Y RITO RAMÓN GONZÁLEZ DE 25 AÑOS DE EDAD, DNI N° 31117662, MORADOR DE LA FINCA OBJETO DE LA MEDIDA. CON POSTERIORIDAD SE PRESENTO EL SEÑOR WALTER ALEJANDRO MIERES DE 23 AÑOS DE EDAD IDENTIFICADO CON DNI N° 32727680. EN LA VIVIENDA FUERON SECUESTRADOS UN TELÉFONO CELULAR MARCA SAMSUNG C185 Y OTRO NOKIA 1600, Y CINCO ENVOLTORIOS DE POLIETILENO CON SUSTANCIA PULVERULENTA QUE DIO RESULTADO NEGATIVO CON REACTIVO COCA TEST. ESTOS ELEMENTOS FUERON ENCONTRADOS EN UNO DE LOS DORMITORIOS QUE CONFORMABAN LA VIVIENDA. NO HABIENDO ELEMENTOS QUE PUEDAN VINCULARSE A LA CAUSA EN LAS OTRAS DEPENDENCIAS DE LA CASA. POR OTRA PARTE NO SE ORDENARON ACTUACIONES O NOTIFICACIONES PARA NINGUNO DE LOS MORADORES AL MOMENTO DE LA MEDIDA, POR PARTE DEL MAGISTRADO INTERVINIENTE.</t>
  </si>
  <si>
    <t>VIVIENDA PRECARIA CHACRA Nº 443 AL FINAL DE UN PASAJE EN CERCANIAS DEL BARRIO SANTA BARBARA, ENTRE LAS AVENIDAS 2 DE ABRIL Y 12 DE SEPTIEMBRE, CONTINUACION DE LAS CALLES JORGE NEWBERY Y RESTITUTO ORTIZ.</t>
  </si>
  <si>
    <t>EN EL DÍA DE LA FECHA SE PROCEDE A CUMPLIMENTAR OFICIO JUDICIAL SIN NUMERO RELACIONADO CON EL ALLANAMIENTO DE LA VIVIENDA PRECARIA UBICADA EN LA CHACRA Nº 443 AL FINAL DE UN PASAJE EN CERCANÍAS DEL BARRIO SANTA BARBARA, ENTRE LAS AVENIDAS 2 DE ABRIL Y 12 DE SEPTIEMBRE, CONTINUACIÓN DE LAS CALLES JORGE NEWBERY Y RESTITUTO ORTÍZ DE LA CIUDAD DE PASO DE LOS LIBRES PROVINCIA DE CORRIENTES. UNA VEZ LLEGADO AL LUGAR SE PROCEDE A VERIFICAR LA EXISTENCIA DE ELEMENTOS RELACIONADOS, TIPIFICADOS EN LA LEY 23737 Y OTROS DATOS DE INTERÉS A LA CAUSA. LA MORADA SE ENCONTRABA OCUPADA POR GUSTAVO EXEQUIEL ALEGRE DE 27 AÑO SDE EDAD, SOLTERO Y DE OCUPACION ALBAÑOL, DOMILICIALDO EN PASAJE RIOS N° 836 DE LA CIUDAD DE PASO DE LOS LIBRES, DNI N° 29725415. DE LA REQUISA PERSONAL FUERON ELEMENTO DE SACUSTRO PESOS 416 Y UN CELULAR LG MP3. DE LA REQUISA DE LA CASA, FUERON ENCONTRADO 3 ENVOLTORIOS CONTENIENDO 70 RECORTES CIRCULARES DE 7 CM APROXIMADO DE DIÁMETRO CADA UNO. EN LAS DEMÁS DEPENDENCIAS, COCINA, HABITACIÓN Y BAÑO, NO SE ENCONTRARON ELEMENTOS RELACIONADOS A LA CAUSA. SE DESTACA QUE ANTE EL CONTROL MEDIANTE CAN, EL MISMO ENCONTRÓ OLOR MUERTO EN LA HABITACIÓN, SIENDO ESTA OCUPADA PARA LA REALIZACIÓN DE ALGÚN TIPO DE RITO PAGANO, UMBANDA, ENCONTRÁNDOSE SIMBOLOGÍA Y ELEMENTOS RELACIONADOS A ES TIPO DE CULTO. SE DESTACA QUE EL MAGISTRADO ORDENA SE LE COMUNIQUE AL MORADOR QUE PERMANECE EN LIBERTAD PERO SUPEDITADO A LA PRESENTE CAUSA.</t>
  </si>
  <si>
    <t>JUZGADO DE COMPETENCIA AMPLIADA - D.J.N.-PROV.TDF</t>
  </si>
  <si>
    <t>Lopez Tilli</t>
  </si>
  <si>
    <t>Anibal</t>
  </si>
  <si>
    <t>PABLO HERNAN BOZZI</t>
  </si>
  <si>
    <t>BANCO DE SANTA CRUZ S.A. S/ NACUSSE VICTOR MANUEL S/EJECUTIVO</t>
  </si>
  <si>
    <t>EXPTE. JUD. 202/08</t>
  </si>
  <si>
    <t>NACUSSE VICTOR MANUEL S/RESTRICCION DE LA LIBERTAD</t>
  </si>
  <si>
    <t>PUESTO CONTROL DE DOCUMENTACION</t>
  </si>
  <si>
    <t>INFORMO QUE DURANTE EL CONTROL DE DOCUENTACION EN EL PREEMBARQUE DEL VUELO AR 2872 DE LA EMPRESA AEROLINEAS ARGENTINAS SE INDIVIDUALIZA AL SR. NACUSSE VICTOR MANUEL SOBRE EL CUAL PESA UN PEDIDO DE PARADERO EN EL CUAL SOLICITA FIJE DOMICILIO REAL. ACTO SEGUIDO SE CONFECCIONA ACTA DE NOTIFICACION NRO. 11/2010, UNA VEZ FINALIZADA EL CAUSANTE CONTINUA CON SU VIAJE PROGRAMADO.</t>
  </si>
  <si>
    <t>DESPACHADO POR BODEGA</t>
  </si>
  <si>
    <t>SE PROCEDE A LA RETENCIÓN DE DOS PIEZAS DESPACHADAS POR BODEGA, DOS CARDONES, ESPECIES PROTEGIDAS BAJO LA LEY 22.344-CITES Y DECRETO REGLAMENTARIO Nº 522/97 Y LEY PROVINCIAL SALTA Nº 7070, LAS PIEZAS FUERON DESPACHADAS POR LAS PASAJERAS SRA. ÁLVAREZ ALICIA IRENE Y LA SRA. CLAUDIA VIVIANA CONTI, AMBAS PASAJERAS DEL VUELO Nº 1455, QUIENES EMBARCARON Y CONTINUARON CON EL VIAJE EN EL MENCIONADO VUELO DESPUES DE REALIZAR LAS ACTAS DE INFRACCION CORRESPONDIENTES, SE COMUNICO DICHO PROCEDIMIENTO A LA SECRETARIA DEL JUZGADO FEDERAL DE TURNO DRA. MARIA ISABEL FALU QUIEN ORDENA SE RETENGAN LAS DOS PIEZAS Y QUE SEAN REMITIDAS A LA SECRETARIA DE POLITICA AMBIENTAL DE PROVINCIA DE SALTA JUNTO CON SUS RESPECTIVAS ACTAS DE INFRACCION, QUEDANDO LO ACTUADO BAJO LA ORBITA DEL JUZGADO FEDERAL INTERVINIENTE.</t>
  </si>
  <si>
    <t>MAXIMILIANO L. CALLIZO</t>
  </si>
  <si>
    <t>INFRACCION AL ART. 164 DEL C.P.</t>
  </si>
  <si>
    <t>QUE SIENDO LAS 1500 HORAS DEL DIA DE LA FECHA, SE HIZO PRESENTE LA DAMNIFICADA EN LA GUARDIA DE PREVENCION MANIFESTANDO QUE AL MOMENTO DE RETIRAR SU EQUIPAJE DE LA CINTA DE EQUIPAJES, SE PERCATO DEL FALTANTE DEL CANDADO COLOCADO EN EL CIERRE TIPO CREMALLERA DEL CITADO EQUIPAJE Y LA ROTURA DE UNO DE LOS PESTILLOS METALICOS DEL REFERIDO CIERRE. QUE UNA VEZ ABIERTO EL MISMO POR LA DAMNIFICADA SE PERCATO DE QUE EL CONTENIDO ESTABA DESACOMODADO. QUE RADICADA LA DENUNCIA MANIFESTO PRESUMIR EL FALTANTE DE UN RELOJ ANALOGICO SIN APORTAR MARCA NI EL MODELO.</t>
  </si>
  <si>
    <t>DRA. CLAUIDIA CECCONI</t>
  </si>
  <si>
    <t>SIENDO LA FECHA Y HORA ANTES MENCIONADA, EN MOMENTOS EN QUE LOS OFICIALES PEREZ Y VILAS SE ENCONTRABAN REALIZANDO UN CONTROL VEHICULAR SOBRE TAXIS Y REMISES, INSPECCIONAN UN RODADO MARCA CHEVROLET MODELO CORSA COLOR GRIS OSCURO DOMINIO ISI 902 CONSTATANDO QUE EL MISMO TRANSPORTABA PASAJEROS CARECIENDO EL RODADO ANTES MENCIONADO DE LA HABILITACION Y/O PERMISO PARA EL TRASLADO DE PASAJEROS DENTRO O FUERA DE ESTE AEROPUERTO PROCEDIENDO A LA IDENTIFICACION Y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</si>
  <si>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CURVA DE TAXI</t>
  </si>
  <si>
    <t>SIENDO LA FECHA Y HORA ANTES MENCIONADA, EN MOMENTOS EN QUE EL OFICIAL VILAS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</si>
  <si>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CABECERA 03, SECTOR SUDOESTE</t>
  </si>
  <si>
    <t>SIENDO LAS 15:45 HS EL OF. AYTE. MARIO CARABAJAL QUIEN EN EL DIA DE LA FECHA SE DESEMPEÑA COMO PATRULLA DE TURNO, ME COMUNICA QUE EN LA PARTE EXTERNA DEL PERIMETRO, EN LA ZONA SUDOESTE, EN EL SECTOR LINDANTE AL BARRIO BORGES SE HABIA INICIADO UN FOCO DE INCENDIO EN LOS PASTIZALES, NO OBSERVANDO PERSONAS EN LAS CERCANIAS QUE PUDIERAN HABER SIDO LOS AUTORES DEL HECHO. A CAUSAS DEL VIENTO EL INCENDIO SE EXTENDIO HACIA LA PARTE INTERNA DEL AEROPUERTO, LLEGANDO HASTA LA CABECERA DE PISTA 03, MOTIVO POR EL CUAL EL VUELO 1494 DE LA EMPRESA AEROLINEAS ARGERNTINAS FUE DESVIADO A LA PROVINCIA DE TUCUMAN. A RAIZ DEL INCENCIO SE DAÑO APROXIMADAMENTE 300 METROS DE LA CERCA PLASTICA QUE COMPONE EL PERIMETRO DE ESTE AEROPUERTO. SE INFORMO TELEFONICAMENTE LA NOVEDAD AL SR. FISCAL FEDERAL. DR. PEDRO SIMON.QUIEN ORDENA NO SE LABREN ACTUACIONES.</t>
  </si>
  <si>
    <t>INFORMO QUE EN EL CONTROL DE EQUIPAJES DE MANO EN LA PUERTA DE EMBARQUE Nº 1 SOBRE LOS PASAJEROS A EMBARCAR EN EL VUELO Nº 2729 DE LA EMPRESA AUSTAL LINEAS AEREAS SE DETECTA DOS EQUIPAJES QUE CONTENDRIAN EN SU INTERIOR MERCADERIAS EN PRESUNTA INFRACCION A LA LEY 22415 EL PROPIETARIO PROCEDE A LA APERTURA DEL MISMO COSTATANDO LA EXISTENCIA DE DICHA MERCADERIA SE PROCEDE A LABRAR ACTA DE INTERDICCION Y SE HACE ENTREGA DE LA MISMA AL PERSONAL DE AFIP- DGA SR. MARIO MONTERO LEGAJO Nº 28980-9 QUIEN PROCEDE AL COBRO DE POLIZA Nº 2010029004798 VALOR TOTAL DE LA MERCADERIA PESOS CINCO MIL TRESCIENTOS DIECINUEVE $ 5319</t>
  </si>
  <si>
    <t>Mongolia</t>
  </si>
  <si>
    <t>SIENDO LA FECHA Y HORA ANTES MENCIONADA SE RECEPCIONA POR PARTE DE LA D.N.M AL PASAJERO PABLO MARTINEZ DOMINGUEZ, CON PASAPORTE MEXICANO Nº 05210042459 PRESUNTAMENTE APOCRIFO, POR LO QUE MEDIANTE NOTA Y FORMAL DENUNCIA SE SOLICITA LA PUESTA A DISPOSICION DEL JUZGADO FEDERAL EN TURNO. EN VIRTUD A ELLO, MANTENIDA LA COMUNICACION TELEFONICA CON EL JUZGADO INTERVINIENTE, DISPUSO QUE SE SOLICITE AL DPTO. INTERPOL AEROPUERTO SI EL PASAJERO POSEE RESTRICCION ALGUNA A NIVEL NACIONAL E INTERNACIONAL EN CASO DE RESPUESTA NEGATIVA SE DEBERA PROCEDER A RECONDUCIR AL PASAJERO A LAS OFICINAS DE LA D.N.M EN APLICACION DEL ART. Nº 29 INCISO K EN FUNCION DEL A DE LA LEY 25.871. SIENDO LAS 18.00HS DEL DIA DE LA FECHA SE RECEPCIONO RESULTADO DE LA COMPULSA EFECTUADA POR INTERPOL LA CUAL ARROJO RESULTADO NEGATIVO ANTE LA VIGENCIA NDE IMPEDIMENTOS LEGALES QUE RESTRINJAN SU CIRCULACION SE PROCEDIO A LA RECONDUCCION DEL PASAJERO A LAS OFICINAS DE LA D.N.M.</t>
  </si>
  <si>
    <t>4139/10</t>
  </si>
  <si>
    <t>PREFECTURA NAVAL ARGENTINA, DELEGACION PASO DE LOS LIBRES.</t>
  </si>
  <si>
    <t>AMPLINADO MI P.U. NRO. 4139/10 INFORMO QUE SIENDO LAS TRECE HORAS APROXIMADAMENTE, SE CUMPLIMENTA LO DISPUESTO EN OFICIO JUDICIAL S/N, DE FECHA 09-JUL-10, RELACIONADO CON ORDEN DE ALLANAMIENTO, ALOJANDO EN CARACTER DE DETENIDO-INCOMUNICADO, AL SR. HECTOR PABLO FONSECA DNI NRO. 26037199, EN DEPENDENCIAS DE LA PREFECTURA NAVAL ARGENTINA, DELEGACION PASO DE LOS LIBRES. ASIMISMO INFORMO QUE EL IMPUTADO, SERA TRASLADADO AL JUZGADO INTERVINIENTE EL DIA 12-JUL-10, A PARTIR DE LAS 09:00 HORAS, POR PERSONAL POLICIAL DE ESTA UNIDAD OPERACIONAL DE SEGURIDAD PREVENTIVA.</t>
  </si>
  <si>
    <t>DR. BERNARDO CAMPANA</t>
  </si>
  <si>
    <t>S/DELITO CONTRA LAS PERSONAS-AMENAZAS</t>
  </si>
  <si>
    <t>HALL PLANTA BAJA</t>
  </si>
  <si>
    <t>OFICINAS DE INTERCARGO</t>
  </si>
  <si>
    <t>SIENDO LAS 18:25 HS DEL 11/07/10, SE PRESENTA EN ESTA DEPENDENCIA POLICIAL EL SR. CESAR AUGUSTO MUCCILLO, DNI Nº 25.599.724, EMPLEADO DE LA EMPRESA INTERCARGO, A LOS EFECTOS DE RADICAR UNA DENUNCIA POR AMENAZAS,EN CONTRA DEL SR. OMAR ÁNGEL FERNANDO VARGAS, DNI Nº 17995216 QUIEN SE DESEMPEÑA COMO SUPERVISOR DE LA MENCIONADA EMPRESA, DONDE SEGUN LO MANIFESTADO POR EL DENUNCIANTE QUE EN EL DIA DE LA FECHA FUE A LA OFICINA DE LA EMPRESA PARA HABLAR CON EL SUPERVISOR, PARA QUE ESTE ULTIMO LE PIDIERA DISCULPAS POR UNA DISCUSION QUE TUVIERON EL DIA 10/07/10 Y QUE ADEMAS DE NO DISCULPARSE LO AMENAZO CON QUE SI LO ENCUENTRA EN LA CALLE Y LO IRIA ACUCHILLAR.</t>
  </si>
  <si>
    <t>S/ DELITO CONTRA LAS PERSONAS-AMENAZAS</t>
  </si>
  <si>
    <t>SIENDO LAS 20:55 HS SE PRESENTA EL SR. OMAR ÁNGEL FERNANDO VARGAS - SUPERVISOR DE LA EMPRESA INTERCARGO - AL CUAL NOTIFICO DE UNA DENUNCIA EN SU CONTRA POR AMENAZAS, ANTE ESTO EL ANTES MENCIONADO REALIZA UNA DENUNCIA POR AMENAZAS CONTRA EL SR. CESAR AUGUSTO MUCCILLO, - TAMBIEN EMPLEADO DE INTERCARGO - QUE SEGUN LO MANIFESTADO POR EL DENUNCIANTE LUEGO DE QUE EL SR MUCILLO LE FUERA A PEDIR EXPLICACIONES POR PROBLEMA LABORAL SUCEDIDO EL DIA ANTERIOR, Y LUEGO DE RECIBIR AGRAVIOS Y AMENAZA , DEJA ASENTADO QUE ESPERA QUE ESTE SEÑOR DEJE DE HOSTIGARLO LABORALMENTE.</t>
  </si>
  <si>
    <t>4135/10</t>
  </si>
  <si>
    <t>SECTOR PATIO DE VALIJAS</t>
  </si>
  <si>
    <t>QUE SIENDO LAS SIETE HORAS DEL DIA DE LA FECHA, SE PROCEDE AL TRASLADO DEL DETENIDO EN AUTOS A SEDE JUDICIAL, JUNTAMENTE CON TODO LO ACTUADO.</t>
  </si>
  <si>
    <t>4137/10</t>
  </si>
  <si>
    <t>PREEMBARQUE DE AEROLINEAS ARGENTINAS</t>
  </si>
  <si>
    <t>QUE SIENDO LAS SIETE HORAS DEL DIA DE LA FECHA, SE PROCEDE AL TRASLADO DE LA DETENIDA EN AUTOS A SEDE JUDICIAL, JUNTAMENTE CON TODO LO ACTUADO.-</t>
  </si>
  <si>
    <t>2803/10</t>
  </si>
  <si>
    <t>DR ALEJANDRO SAVINO</t>
  </si>
  <si>
    <t>CIUDAD DE RIO GRANDE</t>
  </si>
  <si>
    <t>AMPLIANDO PARTE RESERVADO 2803 DE FECHA 10-05-2010, INFORMO QUE EL DIA DE LA FECHA SE RECEPCIONO EN ESTA UNIDAD OPERACIONAL UN OFICIO JUDICIAL S/Nº PROCEDENTE DE LA PROCURACION FISCAL FEDERAL RIO GRANDE A/C DEL DR MARCELO ALEJANDRO RAPPOPORT, EN EL MARCO DE LA CAUSA DE MARRAS, EN DONDE SE SOLICITA SE EXTIEDAN LAS TAREAS INVESTIGATIVAS RESPECTO DE LOS AVISOS CLASIFICADOS DEL RUBRO 12 B - SERVICIOS Y PLACERES - DE LA REVISTA GUIA DE OPORTUNIDADES - DE TIRADA LOCAL CORRESPONDIENTE A LA PUBLICACIÓN Nº 81 DEL MES DE JUNIO 2010, COMO ASI TAMBIEN DE LAS SUSCESIVAS PUBLICACIONES QUE RESULTEN DE INTERES A LA CAUSA.</t>
  </si>
  <si>
    <t>LIONEL</t>
  </si>
  <si>
    <t>SUDOESTE DEL PERIMETRO DEL AEROPUERTO, EN EL SECTOR LINDANTE AL BARRIO BORGES A UNOS DOS MIL METROS APROXIMADAMENTE DE LA AEROESTACION</t>
  </si>
  <si>
    <t>EN EL DIA DE LA FECHA SE RECEPCIONO EN ESTA UOSP UNA DENUNCIA POR DAÑOS EN LA CERCA PERIMETRAL PLASTICA. LA MISMA FUE RADICADA POR LA SEÑORA ADMINISTRADORA DE LA EMPRESA AA2000, ING. SILVIA OLIVERA, QUIEN EXPONE QUE LA CERCA ANTES MENCIONADA PRESENTABA CORTES EN DISTINTOS SECTORES QUE VAN DESDE 15 CM HASTA 01 METROS APROXIMADAMENTE. SE INFORMO LA NOVEDAD AL FISCAL FEDERAL SUBROGANTE DR. GUSTAVO GIMENA, QUIEN ORDENA SE LABREN LAS ACTUACIONES CORRESPONDIENTES Y LE SEAN REMITIDAS.</t>
  </si>
  <si>
    <t>DRA.MARINA RECABARRA</t>
  </si>
  <si>
    <t>SIENDO LA HORA Y FECHA MENCIONADA SE HACE PRESENTE EN ESTA GUARDIA DE PREVENCION EL SR. LARTIRIGOYEN IGNACIO MANIFESTANDO QUE SIENDO LAS 0045 HORAS DEL DIA DE LA FECHA ARRIBO EN ESTE AEROPUERTO METROPOLITANO EN EL VUELO Nº AR 2737 PROCEDENTE DE IGUAZU. LUEGO DE RETIRAR SU EQUIPAJE SE DIRIGIO HACIA EL ESTACIONAMIENTO CUBIERTO DE ESTE AEROPUERTO A FIN DE ABORDAR SU VEHICULO MARCA AUDI A6, DOMINIO GDA 216. UNA VEZ EN EL NIVEL 5 DE DICHO ESTACIONAMIENTO COLOCO SU EQUIPAJE EN EL INTERIOR DEL VEHICULO Y SE DIRIGIO A SU DOMICILIO. AL LLEGAR A SU MORADA, EL DAMNIFICADO SE PERCATO DEL FALTANTE DEL PORTAFOLIO CON SU NOTEBOOK, RECORDANDO HABERLO DEJADO OLVIDADO EN EL CANASTO DEL CARRO PORTAMALETAS MIENTRAS CARGO SU EQUIPAJE EN EL AUTO. FINALMENTE SIENDO LAS 0215 HORAS REGRESO AL ESTACIONAMIENTO MULTINIVEL DE ESTE AEROPUERTO METROPOLITANO A FIN DE BUSCAR SU PORTAFOLIO, ARROJANDO DICHA BUSQUEDA RESULTADO NEGATIVO. SE INFORMA EN PU Nº 4304 DEL DIA 16/7/10 QUE SIENDO LAS 1030 HORAS DEL DIA 15/7/10 SE PRESENTA EN LA GUARDIA DE PREVENCION EL DAMNIFICADO INFORMANDO QUE LUEGO DE RADICAR LA DENUNCIA RECIBIO UN LLAMADO TELEFONICO DE PARTE DE UN MASCULINO DE NOMBRE CAYETANO, DICIENDOLE QUE HABIA ENCONTRADO SU MALETIN EN EL BUCHE DEL CARRO PORTAEQUIPAJES DEL MULTINIVEL DEL AEROPARQUE METROPOLITANO AL ARRIBAR DE UN VUELO PROCEDENTE DE POSADAS Y QUE SE LO ENTREGARIA EN EL DOMICILIO LABORAL. UNA VEZ EN EL LUGAR PACTADO EL DAMNIFICADO RECIBIO POR PARTE DEL MASCULINO EL MALETIN CON LA TOTALIDAD DE SUS PERTENENCIAS. SE LE TOMO DECLARACION TESTIMONIAL AL DAMNIFICADO Y SE PROCEDIO A FINALIZAR CON LAS ACTUACIONES.</t>
  </si>
  <si>
    <t>4151/10</t>
  </si>
  <si>
    <t>LENCINAS</t>
  </si>
  <si>
    <t>BERNARDO BENJAMIN</t>
  </si>
  <si>
    <t>MORA Y ARAUJO, LUIS</t>
  </si>
  <si>
    <t>S/EXCARCELACION.-</t>
  </si>
  <si>
    <t>PREFECTURA NAVAL ARGENTINA, DELEGACION PASO DE LOS LIBRES Y JUZGADO FEDERAL DE PASO DE LOS LIBRES.</t>
  </si>
  <si>
    <t>AMPLIANDO MI P.U. NRO. 4151/10 INFORMO QUE SIENDO LAS DIEZ HORAS Y TREINTA MINUTOS DEL DIA DE LA FECHA, PERSONAL POLICIAL DE ESTA UNIDAD OPERACIONAL, PROCEDIO AL TRASLADO DEL IMPUTADO HECTOR PABLO FONSECA, DNI NRO. 26037199, DESDE LA SEDE DE LA PREFECTURA NAVAL ARGENTINA DELEGACION PASO DE LOS LIBRES, HASTA EL JUZGADO FEDERAL DE PASO DE LOS LIBRES. QUE SIENDO LAS CATORCE HORAS Y TREINTA MINUTOS, DE ACUERDO A OFICIO JUDICIAL NRO. 543 DE FECHA 12 DE JULIO DEL CORRIENTE AÑO EMITIDO POR EL JUZGADO INTERVENTOR Y LIBRADO AL JEFE DE LA PREFECTURA NAVAL ARGENTINA, DISPONE QUE EL SEÑOR HECTOR PABLO FONSECA, DNI NRO. 26037199, RECUPERE LA LIBERTAD DESDE LOS ESTRADOS DE ESE TRIBUNAL.</t>
  </si>
  <si>
    <t>FISCALIA FEDERAL Nº 02</t>
  </si>
  <si>
    <t>DAÑO/ROBO</t>
  </si>
  <si>
    <t>SECTOR CALLE RODAJE CHARLY Y CANAL DEL ENCON</t>
  </si>
  <si>
    <t>PERIMETRO INTERNO</t>
  </si>
  <si>
    <t>SE PROCEDE A INFORMAR QUE EL DÍA DIEZ DE JULIO DEL 2010, A HORAS 02:50, PERSONAL PERTENECIENTE A ESTA UNIDAD, OF. PPAL. GUSTAVO ZUÑIGA, LEGAJO Nº 501.909 Y OF. PPAL. HERMAN FONTEÑEZ SCHMUNK, LEGAJO Nº 501.913, MIENTRAS REALIZABAN RECORRIDO EN MÓVIL DE DOTACIÓN TOYOTA LAND CRUISER DOMINIO CNR 215 POR PERÍMETRO INTERNO DE ESTE AEROPUERTO, SE DETECTA EN DIRECCIÓN A LA CALLE DE RODAJE CHARLY , CERCANO AL PORTÓN PERIMETRAL Y SEGÚN PLANO RETICULADO SECTOR F 14, EL ALAMBRADO TEJIDO ROTO APROXIMADAMENTE DE UN METRO DE ALTO POR CINCUENTA CENTÍMETRO DE ACHO, SE INSPECCIONA TODO EL LUGAR, NO ENCONTRANDO PERSONAS NI ELEMENTOS QUE HAYAN PROVOCADO LA NOVEDAD EN EL ALAMBRE MENCIONADO, SEGUIDAMENTE SE CONTINUA EL RECORRIDO PERIMETRAL INTERNO, LOCALIZÁNDOSE A LA ALTURA DEL CANAL DEL ENCON Y SECTOR DEL CIRCULO DE LA FUERZA AÉREA ARGENTINA, Y SEGÚN PLANO RETICULADO SECTOR H 4, EL FALTANTE DE APROXIMADAMENTE CUATRO METROS, DEL TENDIDO DE LOS TRES HILOS DE ALAMBRES DE PÚAS UBICADOS EN LA PARTE SUPERIOR DE LOS POSTES OLÍMPICOS PERIMETRALES, SE INSPECCIONA EL LUGAR SIN ENCONTRAR PERSONAS Y/O ELEMENTOS QUE HALLAN PROVOCADO EL MISMO, A HORA CUATRO SE FINALIZA RECORRIDO PERIMETRAL INTERNO. AL MOMENTO DE INFORMAR LA NOVEDAD TELEFÓNICAMENTE A LA DRA. PAULA GALLO PULO SECRETARIA DE LA FISCALIA FEDERAL DE SALTA Nº 2 A CARGO DEL DR. EDUARDO JOSÉ VILLALBA, ATENDIO EL CONTESTADOR POR LO QUE SE LE DEJO UN MENSAJE EN SU CASILLA, PUDIENDO HACERSE EFECTIVA LA COMINICACIÓN CON LA FUNCIONARIA JUDICIAL EL DIA 11 -07-10 A LAS 11 HS, LA QUE DISPUSO SE ELEVEN LAS ACTUACIONES A LA BREVEDAD A SEDE DE ESA FISCALÍA.</t>
  </si>
  <si>
    <t>SIENDO LAS HORAS 15:00 SE INPLEMENTA DISPOSITIVO SEGURIDAD, DANDO CUMPLIMIENTO A ORDEN DE SERVICIO N° 145/10 DE LA URSA III NORTE, PARA EL TRASLADO DEL DETENIDO SR. MENENDEZ BENJAMIN, EL CUAL ESTA INPUTADO EN LOS CRIMENES DE LESA HUMANIDAD, EN COLABORACION AL SERVICIO PENITENCIARIO FEDERAL. A HORAS 15:55 ARRIBA A ESTE AEROPUERTO EL PASAJERO ANTES MENCIONADO, CUSTODIADO POR LOS SRES. LOPEZ FERNANDO GABRIEL Y RIGONETTO NESTOR DANIEL MIEMBROS DEL S.P.F, LOS CUALES SON ALOJADOS EN SALA ACONDICIONADA PARA TAL FIN Y SU POSTERIOR CONTROL DE PREEMBARQUE, SIENDO LAS 15:55 ARRIBA A ESTE AEROPUERTO AERONAVE PERTENECIENTE A LA EMPRESA SOL, VUELO N°5415. SIENDO LAS 16:35 HORAS PARTE DE ESTE AEROPUERTO AERONAVE DE LA EMPRESA SOL, CON DESTINO A LA CIUDAD DE CORDOBA FINALIZANDO DISPOSITIVO DE SEGURIDAD SIN NOVEDAD.</t>
  </si>
  <si>
    <t>MOSTRADORES DE CHECK IN DE LA EMPRESA TAM</t>
  </si>
  <si>
    <t>MIENTRAS EL DAMNIFICADO SE ENCONTRABA EFECTUANDO EL CHECK-IN EN LOS MOSTRADORES DE LA EMPRESA TAM LINEAS AEREAS PARA EL VUELO CON DESTINO A LA CIUDAD DE SAN PABLO-BRASIL, DEJA SUS EQUIPAJES SOBRE UN CARRO PORTA MALETAS ATRAS SUYO PERDIÉNDOLOS DE VISTA. LUEGO DE REALIZAR LOS TRAMITES CORRESPONDIENTES VUELVE SU VISTA AL CARRO OBSERVANDO QUE LE FALTABA DEL CANASTO DEL MISMO UN ESTUCHE DE TELA COLOR NEGRO.</t>
  </si>
  <si>
    <t>4049/10</t>
  </si>
  <si>
    <t>ATENTO A ORDEN DE SERVICIO Nº 186/10 DE FECHA DE 12JUL10, EMANADA DE LA URSA II DEL CENTRO SE PORCEDIO A PRESTAR COLABORACION DENTRO DE LA JURISDICCION DE LA UOSP CORDOBA, AL PERSONAL DEL SERVICIO PENITENCIARIO DE CORDOBA Y PERSONAL DE CUSTODIA DEL SERVICIO PENITENCIARIO FEDERAL, A CARGO DEL TRASLADO DEL DETENIDO. EL VUELO DE REFERENCIA ARRIBA A ESTA AEROESTACION A LAS 17:55 HORAS APROXIMADAMENTE. RETIRANDOSE DE LA AEROESTACION A LAS 18:20 HRS SIN NOVEDAD.</t>
  </si>
  <si>
    <t>DR.MARINA RECABARRA</t>
  </si>
  <si>
    <t>BAJO ESTACIONAMIENTO MULTINIVEL - ALTURA HIDRANTE Nº 18 DE PLATAFORMA OPERATIVA</t>
  </si>
  <si>
    <t>MODULO DE MANTENIMIENTO DE AERONAVES DE LA EMPRESA AEROLINEAS ARGENTINAS</t>
  </si>
  <si>
    <t>SIENDO LA HORA Y FECHA MENCIONADA SE HACE PRESENTE EN ESTA GUARDIA DE PREVENSION EL SR. ALONSO ARIEL, MANIFESTANDO QUE EL DIA 01 DE ABRIL DEL CORRIENTE AÑO SIENDO LAS 06:00 HS SE HIZO PRESENTE EN ESTE AEROPUERTO METROPOLITANO A LOS EFECTOS DE COMENZAR SU TAREAS LABORALES COMO TECNICO AERONAUTICO PARA LA EMPRESA AEROLINEAS ARGENTINAS. AL FINALIZAR SU JORNADA, SIENDO LAS 14:00 HS LE SOLICITO A UN COMPAÑERO DEL CUAL NO RECUERDA EL NOMBRE, QUE GUARDARA SU CAJA DE HERRAMIENTAS EN LOS ARMARIOS DESTINADOS PARA TAL EFECTO, LOS CUALES SE ENCUENTRAN EN EL MODULO DE MANTENIMIENTO PROXIMO AL HIDRANTE Nº 18. SEGUIDAMENTE, EL DENUNCIATE SE DIRIGIO HACIA LOS HANGARES A FIN DE CAMBIARSE Y RETIRARSE A SU DOMICILIO. EL DIA 03 DE ABRIL DE CORRIENTE AÑO SE APERSONA NUEVAMENTE EN ESTE AEROPARQUE A FIN DE DESEMPEÑARSE EN SUS TAREAS LABORALES DEL DIA MENCIONADO, SIENDO APROXIMADAMENTE LAS 00:00 HS DEL DIA 04 DE ABRIL DEL CORRIENTE AÑO, AL DIRIGIRSE A LOS ARMARIOS EN BUSCA DE SU CAJA DE HERRAMIENTAS, SE PERCATO DEL FALTANTE DE LA MISMA.</t>
  </si>
  <si>
    <t>EN VIRTUD A LA ORDEN DE SERVICIO NRO. 418/2010, EMANADA POR LA REGIONAL I DEL ESTE, INFORMO QUE SE EXTREMARON LOS CONTROLES A LOS PASAJEROS, EN VIRTUD DE LA BUSQUEDAD DE BAUDILI ARISPON DIAZ, DE NACIONALIDAD ESPAÑOLA, PAS NRO. AAA899659, Y LA DIVISION CANESLA DIVISION CANES REALIZO UN CONTROL MINUSIOSO SOBRE LOS EQUIPAJES DESPACHADOS A BODEGA DEL VUELO MENCIONADO, ARROJANDO RESULTADO NEGATIVO EN AMBOS CASOS. POR ULTIMO INFORMO QUE LA UOSA CONTROLO A LOS PASAJEROS EN EL PREEMBARQUE EN CUESTION, CONSTATANDO QUE NO SE PRESENTO EL PASAJERO BAUDILI ARISPON DIAZ.-</t>
  </si>
  <si>
    <t>4032/10</t>
  </si>
  <si>
    <t>SE RECIBE DE PARTE DEL COMISIONADO MAYOR MIGUEL ANGEL MARTINO, JEFE DE UNIDAD OPERACIONAL, NOTA PROCEDENTE DE LA EMPRESA PLUNA, HACIENDO MENCIÓN AL INCREMENTO DE RECLAMOS EFECTUADOS POR PASAJEROS DE DICHA EMPRESA POR ROBOS O FALTANTES DEL CONTENIDO DE SUS EQUIPAJES. A LA CITADA NOTA SE ACOMPAÑA UNA PLANILLA CON EL NOMBRE Y APELLIDO DE LOS PASAJEROS, LA FECHA DEL VUELO, PROCEDENCIA O DESTINO SEGÚN EL CASO, Y EL DETALLE DEL FALTANTE EN LOS EQUIPAJES. ATENTO A LO PRECEDENTE SE ENTABLO COMUNICACIÓN TELEFÓNICA CON EL DR. ARIEL FERNANDO LAPLANA, SECRETARIO DE LA FISCALIA Nº 15 A CARGO DE LA DRA. MARIANA FERNANDA GARCIA, INFORMÁNDOLE DE LO ACONTECIDO, QUIEN DISPUSO SE CITE A DECLARACIÓN TESTIMONIAL A LA SRA. ANTONOWICZ, JEFA DE BASE DE PLUNA LINEAS AEREAS, A FIN DE RATIFICAR LO PRESENTADO. SE LE SOLICITE A PLUNA LISTADO DETALLADO DE LOS PASAJEROS A FIN DE CITARLOS A PRESTAR DECLARACION TESTIMONIAL EN CASO DE SER NECESARIO. SE SOLICITE A LAS EMPRESAS INTERCARGO Y PROSEGUR LA NOMINA DE PERSONAL CON DATOS FILIATORIOS COMPLETOS QUE ATENDIERON ESOS VUELOS EN LO CONCERNIENTE A CARGA Y DESCARGA Y VIGILANCIA DE LOS EQUIPAJES RESPECTIVAMENTE, CON LAS NOVEDADES DE LOS EQUIPAJES. DE LO QUE SURGIERE NUEVA COMUNICACIÓN EN CASO DE SER NECESARIO. SE CUMPLIMENTO LO ORDENADO POR LA FISCALIA INTERVINIENTE RECIBIENDO DECLARACION A LA SRA ANTONOWICZ A LA CUAL SE LE FORMULARON PREGUNTAS QUE VERSABAN PRINCIPALMENTE SOBRE OPERATORIA DE VUELOS DE SALIDAS Y ARRIBOS,SI POSEEN PROCEDIMIENTOS DE SEGURIDAD RESPECTO A LOS EQUIPAJES Y SI SE HAN EVALUADO RECIENTEMENTE, Y DETALLES CON RESPECTO A LA OPERATORIA DE INTERCARGO Y PROSEGUR, ENTRE OTRAS.</t>
  </si>
  <si>
    <t>LA DENUNCIANTE TOMO CONTACTO CON PERSONAL DE LA EMPRESA AEROPUERTO ARGENTINA 2000, QUIEN LE MANIFIESTA QUE UNA PASAJERA HABÍA EFECTUADO UN RECLAMO EN SU CONTRA, REFIRIENDO QUE LA DENUNCIANTE LE HABÍA SUSTRAÍDO UN ANILLO DE ORO EN UN BAÑO DE LA TERMINAL "A", POR LO QUE LA DENUNCIANTE LE EXPRESA QUE ELLA NO CUMPLÍA FUNCIONES LABORALES EN DICHOS BAÑOS. EN VIRTUD A ELLO, EL PERSONAL DE AA2000 LE CONSULTA SI ÚLTIMAMENTE HABÍA TENIDO PROBLEMAS CON ALGUNA PERSONA A LO QUE LA DENUNCIANTE LE RESPONDE QUE LA CONCUBINA DE SU EX PAREJA LA HABÍA AMENAZADO EN REITERADAS OPORTUNIDADES EN LLAMADAS A SU TELÉFONO PARTICULAR. POR TAL MOTIVO EL PERSONAL DE AEROPUERTOS QUE CONOCÍA A LA EX PAREJA DE LA DENUNCIANTE, CONTACTA AL MISMO Y LE CONSULTA EL NOMBRE DE SU CONCUBINA SIENDO ESTE EL MISMO NOMBRE QUE EL DE LA PERSONA QUE REALIZO EL RECLAMO MENCIONADO ANTERIORMENTE. LA DENUNCIANTE MANIFESTÓ QUE RADICA LA DENUNCIA EN VIRTUD A QUE TIENE TEMOR POR SU INTEGRIDAD FÍSICA.</t>
  </si>
  <si>
    <t>DRA. MARIANA ZABALA DUFAU</t>
  </si>
  <si>
    <t>PERGAMENT RUBEN ELIAS S/INFRACION A LA LEY 22415</t>
  </si>
  <si>
    <t>LA D.N.M. REMITE A ESTA DEPENDENCIA POLICIAL AL CIUDADANO ARGENTINO RUBEN ELIAS PERGAMENT, SOBRE QUIEN PESA UNA ORDEN DE CAPTURA VIGENTE, SOLICITADA POR EL JUZGADO NACIONAL EN LO PENAL ECONOMICO NUMERO 07 DE C.A.B.A., SECRETARIA NUMERO 13. POR TAL MOTIVO, EL JEFE DE TURNO, PROCEDE A MANTENER COMUNICACION TELEFONICA CON LA DRA. MARIANA ZABALA DUFAU, SECRETARIA DEL JUZGADO REQUIRENTE DE LA CAPTURA, QUIEN INTERIORIZADA DEL HECHO INDICO, LA DETENCION DEL SEÑOR RUBEN ELIAS PERGAMENT EN CALIDAD DE COMUNICADO, SE REALICE COMPULSA AL REGISTRO NACIONAL DE REINCIDENCIA Y ESTADISTICA CRIMINAL, SE CURSE NOTA AL DEPARTAMENTO INTERPOL EZEIZA Y CALLE CAVIA, SE TOMEN CINCO JUEGOS DE FICHAS DACTILOSCOPICAS DEL CAUSANTE SE PROCEDA AL SECUESTRO DE LA DOCUMENTACION EFECTOS PERSONALES Y DE VALOR Y CONSTATACION DE DOMICILIO. SEGUN PU N· 4195 SE INFORMA QUE SIENDO LAS 07.30HS DEL DIA 13/07/2010 SE TRASLADA AL DETENIDO A SEDE JUDICIAL.</t>
  </si>
  <si>
    <t>4189/10</t>
  </si>
  <si>
    <t>PLANTA ALTA DE LA TERMINAL A.-</t>
  </si>
  <si>
    <t>BOX DE SALIDA.-</t>
  </si>
  <si>
    <t>QUE EL DIA 13/07/10 APROXIMADAMENTE A LAS 07:30 HORAS, DE ACUERDO A LAS DIRECTIVAS IMPARTIDAS, SE PROCEDIO AL TRASLADO DEL DETENIDO EN AUTOS A SEDE JUDICIAL. PTO.</t>
  </si>
  <si>
    <t>JUZGADO FEDERAL N° 1 MAR DEL PLATA</t>
  </si>
  <si>
    <t>Castellanos</t>
  </si>
  <si>
    <t>GABRIELA BALDERRAMO MARINO</t>
  </si>
  <si>
    <t>AV. PTA. INF. LEY 23.737</t>
  </si>
  <si>
    <t>QUINTA UBICADA EN LA CALLE 143 S/N ENTRE 128 Y 130 DE LA LOCALIDAD DE BATAN, PROV. DE BS. AS.</t>
  </si>
  <si>
    <t>BATAN, PROV. DE BS. AS.</t>
  </si>
  <si>
    <t>EN EL DIA DE LA FECHA SIENDO LAS 06:35HS EN CUMPLIMIENTO DE LA ORDEN DE SERVICIO NRO 053/10 GENERADA POR ESTA UOSP SE COMISIONA A LOS OFICIALES SOLIS CAROLA CONTROL 502231, NIEVE ERNESTO CONTROL 504464, ARICHULUAGA JORGE CONTROL 501783, EL JEFE DE UOSP OLIVIERI DANIEL CONTROL 500507 Y EL CAN NILO, EN MOVIL DE DOTACION, NRO 064, PARA COLABORACION EN ALLANAMIENTO REALIZADO POR LA POLICIA FEDERAL ARGENTINA PARA RASTREO DE NARCÓTICOS. INFORMO QUE A LAS 14:05HS ARRIBA EL MOVIL A LA UNIDAD CON EL PERSONAL COMISIONADO SIN NOVEDADES Y SIN HABERSE EFECTUADO DETENCIONES.</t>
  </si>
  <si>
    <t>SE RADICA EXPOSICIÓN POLICIAL EN COMISARIA QUINTA DE CENTENARIO - NEUQUEN, OF. AY MARCELO CONTRERAS LEG. NRO 500560 EXPONE QUE EN LUGAR Y FECHA QUE NO PUEDE PRECISAR EXTRAVIO CREDENCIAL PAN NRO 00102118 A SU NOMBRE.</t>
  </si>
  <si>
    <t>4144/10</t>
  </si>
  <si>
    <t>SE PROCEDE A LA ENTREGA DE DOS CARDONES SEGUN CONSTA EN ACTA DE ENTREGA Nº 344/10, EL 1º, DE 44 CM DE LARGO POR 30 CM DE DIAMETRO, EL 2º, DE 1,87 CM DE LARGO POR 26 CM DE DIAMETRO, QUE FUERON SECUESTRADOS EL DIA 11/07/10, SEGUN ACTAS DE INFRACCION MEDIO AMBIENTE Nº 0682 Y Nº 0683, CORRESPONDIENTE A LA PREVENCION SUMARIA Nº 081/10, LOS MISMOS FUERON ENTREGADOS AL SR. NICOLAS SALAZAR, PROFESIONAL ASISTENTE DEL PROGRAMA DE CONTROL Y FISCALIZACION DE LA SECRETARIA DE POLITICA AMBIENTAL DE SALTA, D.N.I. Nº 28.431.631, ARGENTINO, SOLTERO, NACIDO EL DIA 09/01/1981, CON DOMICILIO EN LA CALLE BALCARCE Nº 388, SALTA CAPITAL, DE ACUERDO A LO COORDINADO CON LA SECRETARIA ACTUANTE, DRA. MARIA ISABEL FALU Y LAS ACTUACIONES SERAN ELEVADAS A SEDE JUDICIAL</t>
  </si>
  <si>
    <t>-REGRESADA LA COMISION A LAS 15:35 HORAS DEL DIA 13-07-10 INFORMA QUE DE ACUERDO A LO ORDENADO POR EL JUZGADO INTERVINIENTE MEDIANTE TELETIPOGRAMA SE HA ORDENADO EL ALOJAMIENTO DEL CAUSANTE, EN EL ASIENTO DE ESTA DEPENDENCIA HASTA PRIMERA HORA DEL DIA 14-07-10 EN CALIDAD DE DETENIDO COMUNICADO. PTO.-</t>
  </si>
  <si>
    <t>1</t>
  </si>
  <si>
    <t>SIENDO LA FECHA Y HORA ANTES MENCIONADA, EN MOMENTOS EN QUE EL OFICIAL SACOR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</si>
  <si>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TRAYECTO DESDE LA GAURDIA DE PREVENCION - PLATAFORMA - AERONAVE</t>
  </si>
  <si>
    <t>SE DA CUMPLIMIENTO A LA ORDEN DE SERVICIO NUMERO 0416/10 PROCEDENTE DE LA URSA I DEL ESTE, HACIENDO EFECTIVO EL EMBARQUE DEL EXPULSADO DE NOMBRE DE SOUZA VAGNER RICARDO EN VIRTUD A LA ORDEN DE EXPULSION Nº 76.269/09. FINALIZANDO DICHO DESPLAZAMIENTO SIN NOVEDAD.</t>
  </si>
  <si>
    <t>G3-7457</t>
  </si>
  <si>
    <t>PASAJERO PERTURBADOR</t>
  </si>
  <si>
    <t>ASIENTO PASAJEROS</t>
  </si>
  <si>
    <t>EL COMANDANTE DEL VUELO SR. MARTÍN ESCOLA SOLICITA QUE NOS PRESENTEMOS EN LA AERONAVE POR QUE UN GRUPO PASAJEROS SE ENCONTRABAN EN APARENTE ESTADO DE EBRIEDAD Y QUE LOS MISMO PERTURBABAN AL PASAJE, POR LO CUAL DECIDE EL DESEMBARQUE DE LOS MISMOS, UNA VES COMPROBADO EL ESTADO QUE PRESENTABAN LOS MISMO EL PERSONAL DE LA EMPRESA TOMA LA DETERMINACIÓN QUE LOS PASAJEROS BIDAL ROQUE, GONZALEZ DIEGO Y ALEGRE JORGE CONTINÚEN VIAJE EN EL VUELO 1695 DE LA EMPRESA AEROLINEAS ARGENTINAS DE LAS HORAS VEINTE CON DESTINO BUENOS AIRES Y A SANCHEZ CANDIDO Y ARCE JULIO SE LES PROGRAMO PARA EL VUELO DE MAÑANA</t>
  </si>
  <si>
    <t>VESTUARIO DE DAMAS</t>
  </si>
  <si>
    <t>MIENTRAS LA DENUNCIANTE SE ENCONTRABA EN EL VESTUARIO, APERTURA SU COFRE PERSONAL ENCONTRANDO UNA NOTA MANUSCRITA CON INSCRIPCIONES ACUSATORIAS, REFERIDAS A LA DEVOLUCION DE UN DINERO PRESUNTAMENTE SUSTRAIDO POR LA DENUNCIANTE, MOTIVO POR EL CUAL LE COMENTA A LA UNICA PERSONA PRESENTE EN EL SITIO SOBRE LA NOTA DE MENCION, QUIEN SERIA LA DUEÑA DEL DINERO EN CUESTION, SIENDO ESTA DE NOMBRE ADRIANA ESTHER RUIZ. A CONTINUACION AMBAS MANTUVIERON UNA DISCUCION EN TONO ELEVADO, CULMINADO CON UNA SUJECCION EN EL CUELLO CON AMBAS MANOS POR PARTE DE LA SEÑORA RUIZ HACIA LA DENUNCIANTE, AMENAZANDOLA VERBALMENTE DE MANERA SIMULTANEA. QUE A CONTINUACION AMBAS FEMENINAS DEJAN DE PELEARSE Y CONTINUAN CON SUS NORMALES ITINERARIOS.</t>
  </si>
  <si>
    <t>TRAYECTO DESDE GUARDIA DE PREVENCION- PLATAFORMA - AERONAVE</t>
  </si>
  <si>
    <t>SE DIO CUMPLIMIENTO SIN NOVEDAD, A LA ORDEN DE SERVICIO NUMERO 0414/10 - PROCEDENTE DE LA URSA I DEL ESTE - IMPLIMENTANDOSE LAS MEDIDAS DE SEGURIDAD NECESARIAS DESDE EL ARRIBO DE LA EXPULSADA DE NOMBRE SALINAS ROMERO MARIA TERESA, HASTA EL EMBARQUE DE LA MISMA EN EL VUELO CITADO SEGUN EXPULSION DICTADA Nº SDX 22.041/10</t>
  </si>
  <si>
    <t>SANTA CRUZ DE LAS SIERRA</t>
  </si>
  <si>
    <t>TRIBUNAL ORAL EN LO PENAL ECONOMICO Nº 2</t>
  </si>
  <si>
    <t>TRAYECTO DESDE GUARDIA DE PREVENCION - PLATAFORMA - AERONAVE</t>
  </si>
  <si>
    <t>SE DA CUMPLIMIENTO A LA ORDEN DE SERVICIO NUMERO 0415/10 - PROCEDENTE DE LA URSA I DEL ESTE, IMPLEMENTANDOSE LAS MEDIDAS DE SEGURIDAD NECESARIAS DESDE EL ARRIBO DE LA EXPULSADA DE NOMBRE DELIA GUTIERREZ DE RIVERA HASTA SU EMBARQUE EN EL VUELO DE MENCION, DANDO CUMPLIMIENTO DEL MISMO MODO A LA DISPOSICION DE LA DNM NUMERO 71.290/2009</t>
  </si>
  <si>
    <t>5L-211</t>
  </si>
  <si>
    <t>CORRIO OFICIAL BUENOS AIRES</t>
  </si>
  <si>
    <t>SE PROCEDE A LA RETENCIÓN DE UNA SACA COLECTORA DEL CORREO OFICIAL, SEGÚN CONSTA EN ACTA DE RETENCIÓN DE CARGAS Nº 0345/10, QUE ORIGINA LA PREVENCIÓN SUMARIA 083/10, LA SACA IDENTIFICADA CON MARBETE, SLA0210624D555800VAE, PRECINTO N° Z149884, CON UN PESO DECLARADO DE 13,700 KGS, CON DESTINO LA CIUDAD DE USHUAIA, CONTENDRIA TRES PIEZAS POSTALES, LA SACA SE ENCUENTRAN AMPARADA EN GUÍA DE CARGA Nº 9411814-6, DESPACHADA ATRAVÉS DE LA EMPRESA DE CARGA AEREA JET PAQ. LA RETENCIÓN SE REALIZA ANTE LA PRESUNCIÓN QUE PUDIERAN CONTENER ALGÚN ELEMENTO EN INFRACCIÓN A LA LEY 23.737 Y/O 22.415, QUEDANDO LA MISMA CERRADA Y PRECINTADA EN GUARDA EN ESTA UOSP. SE COMUNICO LA RETENCION, TELEFONICAMENTE AL JUZGADO INTERVINIENTE, Y LA APERTURA SE REALIZARÁ EN PRESENCIA DEL PERSONAL DEL CORREO OFICIAL.</t>
  </si>
  <si>
    <t>ASENCIO MANZANO MARIA DEL CARMEN S/CONTRABANDO DE ESTUPEFACIENTES</t>
  </si>
  <si>
    <t>CALLE SANTIAGO DEL ESTERO 661</t>
  </si>
  <si>
    <t>LOCALIDAD DE PASO DEL REY, PROVINCIA DE BUENOS AIRES</t>
  </si>
  <si>
    <t>REF: ORDEN DE SERVICIO N° 611/10. EN EL DÍA DE LA FECHA SE PROCEDE A CUMPLIMENTAR LA ORDEN DE ALLANAMIENTO-SECUESTRO -DETENCIÓN EMANADA POR EL JUZGADO INTERVINIENTE EN EL MARCO DE LA CAUSA N° 10676 (CAUSA INTERNA N° 363E/10). EN REFERENCIA A LA DETENCIÓN DE ASENCIO MANZANO MARIA DEL CARMEN, REALIZADA POR LA UOSP EZEIZA, EL DIA 10/07/10 EN MOMENTOS QUE LA ENCARTADA INTENTABA EXTRAER DEL PAÍS SUSTANCIAS ESTUPEFACIENTES. LUEGO DE TAREAS INVESTIGATIVAS SE PUDO CONSTATAR EL DOMICILIO DONDE APARENTEMENTE LE ENTREGARÍAN ESTAS SUSTANCIAS A LAS DENOMINADAS MULAS. DANDO COMO RESULTADO NEGATIVO TANTO EN EL SECUESTRO DE SUSTANCIAS , ELEMENTOS DE INTERES COMO ASI TAMPOCO RESULTO DETENIDO NINGUNO DE LOS MORADORES DE LA VIVIENDA EN CUESTION.</t>
  </si>
  <si>
    <t>ANTELO JOSE LUIS</t>
  </si>
  <si>
    <t>PATIO DE COMIDAS PLANTA ALTA</t>
  </si>
  <si>
    <t>SIENDO LA FECHA Y HORA ANTES MENCIONADA EL ENCARGADO DE TURNO OF. PABLO LAHORE RECIBE COMUNICACION VIA HT DEL OF GUZZANTI AUGUSTO QUIEN SE ENCONTRABA CUMPLIENDO FUNCIONES DE ENCARGADO DE HALL, MANIFESTANDO QUE SEGUN LO INFORMADO POR EL C.O.C. DE AA 2000, DOS FEMENINOS Y UN MASCULO SE ENCONTRABAN EN SITUACION SOSPECHOSA EN EL PATIO DE COMIDAS UBICADO EN PLANTA ALTA, QUIENES SE HABIAN ACERCADO A UNOS PASAJEROS Y LUEGO SE RETIRARON BAJADO LAS ESCALERAS RAUDAMENTE, LUEGO EL OFICIAL GUZZANTI AUGUSTO INTERCEPTA A DICHAS PERSONAS EN LA VEREDA DEL A1, A LAS CUALES LES SOLICITA QUE PERMANESCAN EN EL SECTOR LUEGO DE ANOTICIAR DE LA SITUACION AL ENCARDO Y AL JEFE DE TURNO, OF MAYOR SILVA ALEJANDRO , LOS MISMOS SE HACEN PRESENTES EN EL SECTOR , AL MISMO TIEMPO SE RECIBE UNA COMUNICACIÓN VIA HT POR PARTE DE LA OF. ARMESTO NOELIA QUIEN INFORMO, QUE EN EL PATIO DE COMIDAS LE HABIAN SUSTRAIDO A UNA PASAJERA UNA CARTERA DE CUERO COLOR NEGRA, DE CARACTERISTICAS SIMILARES A LA QUE PORTABA UNA DE LAS MUJERES INTERCEPTADAS. ANTE LO CUAL SE LE SOLICITA A LA OFICIAL. SE ACERQUE AL SECTOR VEREDA "A1" CON LA DAMNIFICADA. ACTO SEGUIDO UNA DE LAS MUJERES INTERCEPTADAS ARROJA LA CARTERA EN CUESTION A UN CESTO DE BASURA, SITUACION QUE ES VISTA POR EL ENCARGADO DE TURNO Y EL SR. PABLO JAVIER BORDON ALMIRON ASISTENTE DE SEGURIDAD DE AA2000, POR LO CUAL SE PROCEDE A CONVOCAR A DOS TESTIGOS HABILES, EN PRECENCIA DE LOS MISMOS LA PASAJERA IDENTIFICADA COMO SRA. CANSECO EDITH SE ACERCO HACIA EL CESTO DE RESIDUOS Y CORROBORO QUE DICHA CARTERA ERA DE SU PROPIEDAD. FINALMENTE NOS DIRIGIMOS TODOS LOS INTERVINIETES A LA GUARDIA DE PREVENCION. SIENDO LAS 19:00 HS SE REALIZO COMUNICACIÓN CON LAS JUDICATURA ACTUANTE QUIEN DISPUSO DENTENCION EN CARÁCTER DE COMUNICADOS DE LOS TRES CAUSANTES Y DEMAS DILIGENCIAS DE RIGOR. SE AMPLIARA CON RESULTADO DE REINCIDENCIA.</t>
  </si>
  <si>
    <t>VEREDA DE ARRIBOS A1</t>
  </si>
  <si>
    <t>QUE EL DIA 13 DE JULIO DEL CORRIENTE AÑO, SIENDO APROX. LAS 19.30 HS. EL DAMNIFICADO ARRIBO A ESTE AEROPUERTO METROPOLITANO EN VUELO AR 1287, PROCEDENTE DE SANTIAGO DE CHILE. LUEGO DE LOS TRAMITES MIGRATORIOS CORRESPONDIENTES, SE DIRIGIO CON SU EQUIPAJE EN EL CARRO PORTAMALETAS AL STAND DE REMIS DE LA EMPRESA UNIVERSO, SITA EN EL SECTOR DE ARRIBOS A1, EN DONDE CONTRATO EL SERVICIO PARA TRASLADARSE A SU DOMICILIO. SEGUIDAMENTE SE DIRIGIO A LA VEREDA DE DICHO SECTOR EN DONDE COLOCO SU EQUIPAJE EN EL INTERIOR DEL REMIS. PASADOS DIEZ MINUTOS DE VIAJE SE PERCATO DE LA FALTA DE SU MALETIN PORTA LAPTOP. INMEDIATAMENTE REGRESO A ESTE AEROPUERTO A FIN DE ENCONTRAR DICHO MALETIN ARROJANDO SU BUSQUEDA RESULTADO NEGATIVO.</t>
  </si>
  <si>
    <t>4216/10</t>
  </si>
  <si>
    <t>DRA.MARIAN RECABARA</t>
  </si>
  <si>
    <t>SECTOR C - GUARDIA DE PREVENCION</t>
  </si>
  <si>
    <t>SIENDO LA HORA ANTES MENCIONADA, SEGUN LO ESTABLECIDO POR LA JUDICATURA ACTUANTE, AL NO MEDIAR IMPEDIMENTO LEGAL SEGUN LOS RESULTADOS OBTENIDOS POR LA DIRECCION NACIONAL DE REINCIDENCIA SE PROCEDE A LA LIBERACION DE LOS DETENIDOS, RETIRANDOSE LOS MISMOS DE ESTA JURISDICCION. SIN NOVEDAD.</t>
  </si>
  <si>
    <t>4214/10</t>
  </si>
  <si>
    <t>SE PROCEDE A LA APERTURA DE UNA SACA COLECTORA DEL CORREO OFICIAL SEGÚN ACTA DEJANDO CONSTANCIA Nº 346/10, QUE ORIGINO LA PREV. SUM. Nº 083/10. LA SACA IDENTIFICADA COMO SLA0210624D55800VAE, PRECINTO Nº Z149884, CONTIENE TRES PIEZAS POSTALES, IDENTIFICADAS COMO: LA 1ª EP658937049AR, DEST: IVAN GUSTAVO VILLARROEL, CALLE ORCADAS DEL SUR Nº 69, Bº LATINO AMERICANO, USHUAIA-TIERRA DEL FUEGO, CP.9410, RTTE: NOEMI MERCADO, CALLE PERU Nº 601, Bº LA PAZ, CP.4610- PERICO- JUJUY, LA MISMA QUEDA RETENIDA, LA 2ª PIEZA POSTAL IDENTIFICADA COMO EP658937035AR Y LA 3ª EP13100562AR, SON ENTREGADAS AL SR. HORACIO MONTAÑO, PARA SU REDESPACHO. LA ENCOMIENDA RETENIDA QUEDA CERRADA Y EN GUARDA EN ESTA UOSP. SE COMUNICO TELEFÓNICAMENTE AL JUZGADO INTERVINIENTE Y LA APERTURA SE REALIZARAN CON LA AUTORIZACIÓN DEL MAGISTRADO ACTUANTE.</t>
  </si>
  <si>
    <t>LAPLANA ARIEL FERNANDO</t>
  </si>
  <si>
    <t>PATIO DE VALIJAS - PLATAFORMA - BODEGA DE LA AERONAVE</t>
  </si>
  <si>
    <t>SECTOR ARRIBOS - AEROPUERTO USHUAIA</t>
  </si>
  <si>
    <t>AL ARRIBAR AL AEROPUERTO DE USHUAIA, SE DIRIGIO A RETIRAR SU EQUIPAJE DESPACHADO DE LA CINTA TRANSPORTADORA, INMEDIATAMENTE SE PERCATA QUE, SU MOCHILA SE ENCONTRABA ABIERTA Y SIN CANDADO VERIFICANDO EL FALTANTE DE VARIOS ELEMENTOS PERSONALES. MOTIVO POR EL CUAL SE HIZO PRESENTE EN LA GUARDIA DE PREVENCION DE LA PSA DE USHUAIA PARA REALIZAR LA DENUNCIA, RECIBIENDO UNA RESPUESTA NEGATIVA POR PARTE DEL OFICIAL QUE LO ATENDIO INDICANDOLE EL MISMO QUE DEBIA REALIZAR LA DENUNCIA EN EL AEROPUERTO DE PROCEDENCIA DEL VUELO. RAZON POR LA CUAL SE HACE PRESENTE EN EL DIA DE LA FECHA EN ESTE AEROPUERTO PARA RADICAR FORMAL DENUNCIA. SIENDO LAS 11:00 HS SE ENTABLA COMUNICACION CON LA FISCALIA EN TURNO LA CUAL DISPONE SOLICITAR NOMINA DE PERSONAL INTERVINIENTE EN LA OPERAORIA DE CARGA Y DESCARGA DEL VUELO LA 4444.</t>
  </si>
  <si>
    <t>LA 4444</t>
  </si>
  <si>
    <t>DANDO CUMPLIMIENTO A LA ORDEN DE SERVICIO Nº 078-E/10 SE INFORMA QUE SE IMPLEMENTA EL DIPOSITIVO DE SEGURIDAD A LAS 11:00 HS, FINALIZANDO EL MISMO CON EL DESPEGUE DEL AVION A LAS 12:30 HS SIN NOVEDAD</t>
  </si>
  <si>
    <t>DR. BRUGO GUILLERMO</t>
  </si>
  <si>
    <t>I.F.E. EZEIZA</t>
  </si>
  <si>
    <t>GENESIS</t>
  </si>
  <si>
    <t>GUSTAVO R. EGURROLA</t>
  </si>
  <si>
    <t>LUIS CHAVEZ RIVERO</t>
  </si>
  <si>
    <t>EN EL DIA DE LA FECHA, SIENDO LAS 13:10 HS., SE HACE PRESENTE EN ESTA UNIDAD LA SRA. ROSA ANA GOTTARDO, GERENTE DE OPERACIONES DE LA EMPRESA CURRIER GENESIS, TRAYENDO UNA CAJA CON DESTINO A LA CIUDAD DE VALENCIA - ESPAÑA, ASIMISMO PERSONAL POLICIAL DE ESTA UNIDAD, PROCEDIO A LA VERIFICACION DE DICHA CARGA AMPARADA POR LA GUIA NRO. GA0246615 , QUE TRANSPORTABA UNA CAJA CONTENIENDO EN SU INTERIOR TRES CAJAS DE CARTON EN CUYO INTERIOR HABIA - CAJA A: UN LATIGO CON EMPUÑADURA METALICA, CAJA B: UN JUEGO DE CUCHILLO Y TENEDOR PARA ASADOR, CAJA C: UN JUEGO DE CUCHILLO Y TENEDER TAMAÑO MAS PEQUEÑO PARA ASADOR, CONTENIENDO EN TODAS LAS EMPUÑADURAS UNA SUSTANCIA PULVUROLENTA BLANQUECINA QUE LUEGO DE EFECTUARSE EL CHEQUEO CON COCATES, ARROJA COMO RESULTADO POSITIVO EL JUZGADO INTERVINIENTE ORDENA SE REALIZEN LAS TAREAS INVESTIGATIVAS SOBRE EL REMITENTE.</t>
  </si>
  <si>
    <t>INFRACCION AL ARTICULO 85 DECRETO LEY 8031/10</t>
  </si>
  <si>
    <t>SIENDO LA FECHA Y HORA ANTES MENCIONADA, EN MOMENTOS EN QUE EL OFICIAL ZALAZAR SE ENCONTRABA EN UNA RECORRIDA POR EL SECTOR MENCIONADO CON ANTERIORIDAD, OBSERVA Y SORPRENDE A UNA PERSONA DE SEXO MASCULINO, LA CUAL SE ENCONTRABA REALIZANDO SERVICIO DE MALETERO A LOS PASAJEROS, CARECIENDO DE LA HABILITACION CORRESPONDIENTE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</si>
  <si>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INFRACCION A LOS ARTS. 78 Y 85 DECRETO LEY 8031/10</t>
  </si>
  <si>
    <t>EN CERCANIAS LOCAL MAC DONALS PARTE EXTERNA</t>
  </si>
  <si>
    <t>EL OFICIAL PRINCIPAL DIEGO CARMELITA PERTENECIENTE AL SECTOR DENOMINADO CENTRO OPERATIVO DE CONTROL A TRAVES DE UNA DE LAS CAMARAS DE SEGURIDAD OBSERVA A UNA PERSONA DEL SEXO MASCULINO EL CUAL SE ACERCABA ASIDUAMENTE A PASAJEROS RECIEN ARRIBADOS,RAZON POR LA CUAL SE MANTIENE COMUNICACION VIA NEXTEL CON EL OFICIAL MAYOR ALEJANDRO ROMEO EL CUAL CUMPLE FUNCIONES EN CONTRAVENCIONES Y FALTAS INFORMANDOLE DE LA SITUACION OBSERVADA POR LO QUE JUNTO CON LA OFICIAL CAMILA ZALAZAR SE APERSONAN EN EL LUGAR CONSTATANDO QUE EL MASCULINO EN CUESTION SE ENCONTRABA REALIZANDO ACOMPAÑAMIENTO A PASAJEROS RECIEN ARRIBADOS AL PAIS PARA SU TRASLADO EN SU VEHICULO PARTICULAR A MODO DE REMIS,CARECIENDO DE TODO TIPO DE HABILITACION PARA REALIZAR DICHA TAREA,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</si>
  <si>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LAS 11:55 HS DEL DIA DE LA FECHA ATERRIZA AERONAVE TC-55 PROVENIENTE DEL PALOMAR PROVINCIA DE BUENOS AIRES, TRANSPORTANDO CAUDALES DEL TESORO REGIONAL A CARGO DEL BANCO CENTRAL DE LA REPUBLICA ARGENTINA, MONTANDOSE DISPOSITIVO DE SEGURIDAD INFORMADO MEDIANTE ORDEN DE SERVICIO Nº 11/10 , DESPEGANDO LA MISMA A LAS 12:50 HS SIN NOVEDAD.-</t>
  </si>
  <si>
    <t>FAG 595</t>
  </si>
  <si>
    <t>PALOMAR BS. AS.</t>
  </si>
  <si>
    <t>EN EL DIA DE LA FECHA SE PROCEDE A CUMPLIMENTAR ORDEN DE SERVICIO 029/10 REFERENTE A IMPLEMENTAR MEDIDAS DE SEGURIDAD EN EL AMBITO DE ESTA JURISDICCION PARA EL APOYO DEL TRANSPORTE DEL TESORO REGIONAL, HABIENDO ARRIBADO A ESTE AEROPUERTO PORCEDENTE DEL AEROPUERTO DE FORMOSA LA AERONAVE FK-28 MATRICULA TC-55 PERTENECIENTE A LA FUERZA AEREA ARGENTINA TRANSPORTANDO EL TESORO REGIONAL A LAS 13:30HS Y DESPEGADO A LAS 14:20HS SIN NOVEDAD, CON DESTINO A LA BASE AEREA EL PALOMAR.</t>
  </si>
  <si>
    <t>BUENOS AIRES PALOMAR</t>
  </si>
  <si>
    <t>ARIAS DUVAL, ALEJANDRO AGUSTIN Y OTROS S/HOMICIDIO, PRIVACION ILEGAL DE LA LIBERTAD, TORMENTOS Y SUSTRACCION DE MENORES.</t>
  </si>
  <si>
    <t>PCIA DE FORMOSA</t>
  </si>
  <si>
    <t>CALLE ELIAS F. CARRIZO S/N - BARRIO SAN BLAS - LOCALIDAD DE LAGUNA BLANCA - PROVINCIA DE FORMOSA</t>
  </si>
  <si>
    <t>EN EL DIA DE LA FECHA SIENDO LAS 15:30 HS. APROXIMADAMENTE, EL SR. COORDINADOR GENERAL DE SEGURIDAD AEROPORTUARIA COMPLEJA , JUNTO CON PERSONAL DE LA UOA RESISTENCIA, PROCEDIO A LA DETENCION EN EL DOMICILIO DE LA CALLE ELIAS F. CARRIZO S/N - DEL BARRIO SAN BLAS - LOCALIDAD DE LAGUNA BLANCA - PROV. DE FORMOSA, DEL CIUDADANO RUFINO BATALLA, QUEDANDO EN CALIDAD DE DETENIDO COMUNICADO, ASIMISMO SE EFECTUARA LA EXTRACCION DE FICHAS DACTILOSCOPICAS, COMO ASI TAMBIEN SE DEBERA SOLICITAR INFORME DE REINCIDENCIA Y ESTADISTICA CRIMINAL RESPECTO DE LOS ANTECEDENTES PENALES DEL IMPUTADO, POSTERIORMENTE SERA TRASLADADO Y ALOJADO POR PERSONAL POLICIAL DE ESTA INSTITUCION EN LA UNIDAD CARCELARIA Nº 10 DE FORMOSA DEL SERVICIO PENITENCIARIO FEDERAL, QUEDANDO A DISPOSICION DEL JUZGADO INTERVINIENTE, SE SECUESTRO LA DOCUMENTACION QUE PRESENTO EL IMPUTADO</t>
  </si>
  <si>
    <t>PERGOLA DOS</t>
  </si>
  <si>
    <t>EL OFICIAL PRINCIPAL DIEGO CARMELITA SE ENCONTRABA DESEMPEÑANDO SERVICIO EN EL SECTOR DENOMINADO CENTRO OPERATIVO DE CONTROL VISUALIZA A TRAVES DE LAS CAMARAS A UNA PERSONA DEL SEXO MASCULINO QUE SE ACERCABA ASIDUAMENTE A PASAJEROS RECIEN ARRIBADOS AL PAIS, INFORMANDO LA SITUACION OBSERVADA AL OFICIAL AYUDANTE PEREZ PEDRO QUE SE ENCONTRABA EN LAS INMEDIACIONES, ACERCANDOSE AL LUGAR Y CONSTATANDO QUE EL MASCULINO SE ENCONTRABA OFRECIENDO SERVICIO DE TRANSPORTE PUBLICO A VIVA VOZ A PASAJEROS RECIEN ARRIBADOS AL PAIS FUERA DE LOS LUGARES HABILITADOS,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</si>
  <si>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EL OFICIAL PRINCIPAL CARMELITA DIEGO SE ENCONTRABA DESEMPEÑANDO SERVICIO EN EL SECTOR DENOMINADO CENTRO OPERATIVO DE CONTROL, DONDE VISUALIZA A TRAVES DE LAS CAMARAS A UNA PERSONA DE SEXO MASCULINO QUE SE ACERCABA ASIDUAMENTE A PASAJEROS RECIEN ARRIBADOS AL PAIS, INFORMANDO LA SITUACION AL OFICIAL AYUDANTE PEREZ PEDRO QUE SE ENCONTRABA EN LAS INMEDIACIONES, ACERCANDOSE AL LUGAR Y CONSTATANDO QUE EL MASCULINO SE ENCONTRABA OFRECIENDO EL SERVICIO DE TRANSPORTE PUBLICO A VIVA VOZ FUERA DE LOS LUGARES HABILITADOS,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</si>
  <si>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JUZGADO FEDERAL EN LO CRIMINAL Y CORRECCIONAL DE TRES DE FEBRERO</t>
  </si>
  <si>
    <t>LARREA</t>
  </si>
  <si>
    <t>MARIANO FEDERICO</t>
  </si>
  <si>
    <t>DR. GREGORIO RUEDA</t>
  </si>
  <si>
    <t>P/INF. LEY 24769</t>
  </si>
  <si>
    <t>SE RECIBE DE LA DNM AL CAUSANTE SOBRE QUIEN PESA UNA ORDEN DE CAPTURA EMANADA POR EL JUZGADO CITADO. QUE MANTENIDA COMUNICACIÓN CON EL SECRETARIO EN TURNO A QUIEN SE LE INFORMA SOBRE LOS HECHOS ACAECIDOS, EL MISMO INDICA, SE PROCEDA A LA DETENCION DEL SR CERIOTTI, EN CALIDAD DE COMUNICADO, PRECARIO MEDICO, CINCO JUEGOS DE FICHAS DACTILOSCOPICAS Y QUE EL CAUSANTE JUNTO CON LA TOTALIDAD DE LAS ACTUACIONES SEAN REMITIDAS EL DIA 15/07/10 A SEDE JUDICIAL EN HORAS DE LA MAÑANA.- SEGUN PU N· 4243 SIENDO LAS 07 30HS DEL 15/07/2010 SE PROCEDIO AL TRASLADO DEL DETENIDO A SEDE JUDICIAL.</t>
  </si>
  <si>
    <t>MH-201</t>
  </si>
  <si>
    <t>JUZGADO FEDERAL Nº 4</t>
  </si>
  <si>
    <t>TERMINAL III PLANTA ALTA</t>
  </si>
  <si>
    <t>SE RECIBE COMUNICACIÓN POR PARTE DE LA OFICIAL MAYOR PABLA BENÍTEZ, ENCARGADA DEL PUESTO PREEMBARQUE NACIONAL TERMINAL III, QUIEN INFORMA QUE AL MOMENTO DE REALIZARLE EL CONTROL A UN PASAJERO DE SEXO MASCULINO, EL MISMO COLOCA SU MALETÍN POR LA CINTA TRANSPORTADORA DE LA MAQUINA DE RAYOS X Y EN MOMENTOS DE SU ESCANEO, LA OFICIAL ELIANA ANAHI SEGOVIA, OBSERVA DENTRO DEL MALETÍN UN FRASCO METÁLICO, POR LO CUAL LE SOLICITA AL PASAJERO QUE EXHIBA EL MISMO, AL APERTURARLO OBSERVA EN SU INTERIOR UNA SUSTANCIA DE ORIGEN VEGETAL COLOR VERDOSA, LE CONSULTA AL PASAJERO POR EL ORIGEN DE DICHA SUSTANCIA, A LO QUE RESPONDE QUE SE TRATABA DE MARIHUANA. ACTO SEGUIDO SE SOLICITA LA PRESENCIA DE DOS TESTIGOS HÁBILES Y SE PROSIGUE A REALIZAR EL CHEQUEO MANUAL AL PASAJERO, ENCONTRANDO EN EL BOLSILLO DELANTERO DERECHO DEL JEAN QUE VESTÍA UNA CAJA DE FÓSFOROS CONTENIENDO UNA SUSTANCIA DE PROCEDENCIA DUDOSA, POR LO CUAL ES CONSULTADO NUEVAMENTE POR EL ORIGEN DE DICHA SUSTANCIA, RESPONDIENDO QUE ERA MARIHUANA. SEGUIDAMENTE SE REALIZÓ ANTE LOS INTERVINIENTES EL REACTIVO DE CAMPO ORIENTATIVO PARA MARIHUANA, ARROJANDO ESTE RESULTADO POSITIVO. SE TRASLADO A TODOS LOS INTERVINIENTES A LA GUARDIA DE PREVENCIÓN. SIENDO LAS 19:10 HORAS SE REALIZA COMUNICACIÓN CON LA JUDICATURA ACTUANTE, QUIEN DISPONE: SE REALICE DILIGENCIAS DE RIGOR Y DE NO MEDIAR IMPEDIMENTO LEGAL ALGUNO SE PROCEDA A LA SOLTURA DEL CAUSANTE. SE AMPLIARA PARTE CON RESULTADO DE REINCIDENCIA. SE INFORMA EN P.U. 4244 QUE EN HORAS 0455 DEL DIA 15/07/10 SE PROCEDIO A LA LIBERACION DEL DETENIDO POR NO MEDIAR IMPEDIMENTOS LEGALES, SE RETIRA CON LOS ELEMENTOS PERSONALES QUE ESTABAN EN RESGUARDO DE LA UNIDAD.</t>
  </si>
  <si>
    <t>AR 1458</t>
  </si>
  <si>
    <t>DR. ARIEL FERNANDO LAPLANA</t>
  </si>
  <si>
    <t>DESPACHO DE EQUIPAJES DE AEROLINEAS ARGENTINAS DEL AEROPUERTO JORGE NEWBERY</t>
  </si>
  <si>
    <t>PATIO DE VALIJAS - PLATAFORMA COMERCIAL - CINTAS DE EQUIPAJES AEROPUERTO JORGE NEWBERY</t>
  </si>
  <si>
    <t>QUE EL DÍA 14 DEL CORRIENTE, A LAS 17:20 HORAS APROXIMADAMENTE SE HIZO PRESENTE EN ESTE AEROPUERTO METROPOLITANO, CON MOTIVO DE ABORDAR EL VUELO Nº 1436 DE LA EMPRESA AEROCOMERCIAL AEROLÍNEAS ARGENTINAS, CON DESTINO A LA PCIA DE SAN JUAN, EL CUAL TENÍA HORARIO DE DESPEGUE 18:25 HORAS, POR TAL MOTIVO SE PRESENTO EN LOS MOSTRADORES DE LA EMPRESA PARA REALIZAR EL CHEK- IN Y EL DESPACHO DE SU EQUIPAJE. LUEGO SE DIRIGIÓ HACIA LA PLANTA ALTA E INGRESO AL PREEMBARQUE DONDE AGUARDO EL HORARIO DE EMBARQUE, EL CUAL NO PUEDO REALIZAR YA QUE A HORAS 20.30, LE INFORMARON VÍA ALTO PARLANTE QUE EL VUELO SE HABÍA CANCELADO. POR TAL MOTIVO SE DIRIGIÓ NUEVAMENTE HACIA LOS MOSTRADORES DE LA EMPRESA PARA CAMBIAR SU BOLETO PARA EL VUELO AU 2426 CON DESTINO A SAN JUAN, EL CUAL PARTÍA 20:50 HORAS. NUEVAMENTE SE DIRIGE HACIA LA PLANTA ALTA, SECTOR DE EMBARQUE Y SIENDO LAS 23:00 HORAS APROXIMADAMENTE, LE VUELVEN A INFORMAR VÍA ALTO PARLANTE QUE VUELO SE ENCONTRABA CANCELADO. SEGUIDAMENTE SE DIRIGIÓ HACIA EL SECTOR DE ARRIBOS, DONDE DEBÍA RETIRAR SU VALIJA, DONDE AGUARDO UNOS VEINTE MINUTOS APROXIMADAMENTE, HASTA QUE VISUALIZO SU EQUIPAJE EN LA CINTA TRANSPORTADORA. RÁPIDAMENTE REVISO EL MISMO, EL CUAL NO PRESENTABA SIGNOS DE FORZAMIENTOS NI DE ROTURAS, PERO SI TENIA UN FALTANTE DE ELEMENTOS EN SU CONTENIDO.</t>
  </si>
  <si>
    <t>AR 1436</t>
  </si>
  <si>
    <t>BRINKS ARGENTINA S.A</t>
  </si>
  <si>
    <t>SIENDO LAS 06:25 HS LOCAL DESPEGA AERONAVE MATRICULA LV-BOH DE LA EMPRESA AUSTRAL LINEAS AEREAS CON DESTINO A LA CIUDAD DE BUENOS AIRES EN CUYAS BODEGAS Nº 04, 05, 06 SE DESPACHAN 71 CAJAS CON UN PESO BRUTO DE 3.000 KILOGRAMOS DE METAL - MTD - DE LA EMPRESA MINERA CERRO VANGUARDIA CON DESTINO A AEROPUERTO JORGE NEWBERY, DESPEGA SIN NOVEDAD, SE DA CUMPLIMIENTO A ORDEN DE SERVICIO NRO 0061/2010 DE ESTA UOSP.</t>
  </si>
  <si>
    <t>4239/10</t>
  </si>
  <si>
    <t>INFORMO POR MEDIO DEL PRESENTE QUE SIENDO LAS SIETE HORAS, TREINTA MINUTOS, SE REALIZA EL TRASLADO DEL DETENIDO A CEDE JUDICIAL POR ORDEN DEL JUZGADO INTERVINIENTE.</t>
  </si>
  <si>
    <t>4240/10</t>
  </si>
  <si>
    <t>SIENDO LAS 04:55 HORAS SE PROCEDE A LA SOLTURA DEL CAUSANTE POR NO POSEER IMPEDIMENTO LEGAL ALGUNO, SIN NOVEDAD.</t>
  </si>
  <si>
    <t>SOBRE COSTANERA A LA ALTURA DEL AEROPARQUE METROPOLITANO</t>
  </si>
  <si>
    <t>EL DAMNIFICADO ARRIBO AL AEROPUERTO MINISTRO PISTARINI EN UN VUELO PROVENIENTE DE ESPAÑA, EN DONDE TOMO JUNTO CON SUS PERTENENCIAS UN REMIS SIN IDENTIFICACIÓN HACIA EL AEROPUERTO METROPOLITANO, AL MOMENTO DE ABONAR EL VIAJE EL MISMO LE ENTREGA UN TOTAL DE CIENTO CINCUENTA PESOS ARGENTINOS INFORMÁNDOLE EL CHOFER QUE EL BILLETE DE CIEN PESOS ARGENTINOS SE ENCONTRABA ROTO POR LO QUE EL MISMO SE LO DEVUELVE, MANIFESTÁNDOLE QUE SI NO LE PAGABA LO RETORNARIA AL AEROPUERTO DE EZEIZA COBRÁNDOLE LA VUELTA, POR LO QUE EL DAMNIFICADO LE PAGA CON UN BILLETE DE 50 EUROS E INMEDIATAMENTE LE HACE SABER QUE LA SERIE DEL MISMO NO LA RECIBÍA DICHO CHOFER, ACTO SEGUIDO EL DAMNIFICADO LE DA OTRO BILLETE DE 50 EUROS, A LO QUE EL CHOFER LE MANIFIESTA QUE NO CONTABA CON CAMBIO Y QUE SI NO LE PAGABA EL VIAJE NO LE DEVOLVERÍA EL EQUIPAJE EL CUAL HABIA COLOCADO EN SU BAUL, POR DICHO SUCESO EL DAMNIFICADO LE CONTESTO QUE SE QUEDARA CON LOS DOS BILLESTES DE 50 EUROS Y EL DE 50 PESOS ARGENTINOS POR LO QUE EL CHOFER LE DEVOLVIÓ EL EQUIPAJE. POR ULTIMO EL DAMNIFICADO RECUERDA QUE EL VEHICULO ES UN VOLKSWAGEN GOL CON DOMINIO QUE COMIENZA CON LA LETRA F Y TERMINA CON LA SECUENCIA DE NUMEROS 719.</t>
  </si>
  <si>
    <t>SIENDO LAS 10:35 HORA LOCAL ARRIBA AERONAVE MATRICULA LV - BHN DE LA EMPRESA AUSTRAL LINEAS AEREAS PROCEDENTE DE AEROPARQUE JORGE NEWBERY EN CUYAS BODEGAS 4 Y 5 SE DESPACHAN 30 CAJAS DE METAL - MTD - CON UN PESO BRUTO DE 1.260 KILOGRAMOS DE LA EMPRESA MINERA SANTA CRUZ CON DESTINO A AEROPUERTO JORGE NEWBERY. EL VUELO DESPEGA A LAS 11:40 HORAS SIN NOVEDAD . SE DIO CUMPLIMIENTO A LA ORDEN DE SERVICIO NRO 0061/2010.</t>
  </si>
  <si>
    <t>AEROPARQUE JORGE NEWBERY - CAPITAL FEDERAL</t>
  </si>
  <si>
    <t>AGRAZO DE CABALLERO</t>
  </si>
  <si>
    <t>Norma</t>
  </si>
  <si>
    <t>ZACARIAS MARIA TERESA</t>
  </si>
  <si>
    <t>SUPUESTA INFRACCION AL ART 189 DEL CPN</t>
  </si>
  <si>
    <t>AL REALIZAR CONTROL DE EQUIPAJE POR LA MAQUINA DE RAYOS X SE DETECTA UN ARMA LARGA AL SOLICITAR DOCUMENTACIÓN A LA PERSONA QUE LA TRANSPORTABA SEÑORA ARCE JOSEFINA MANIFIESTA QUE NO POSEE DOCUMENTACIÓN ALGUNA SE INFORMA AL JUZGADO INTERVINIENTE SU SEÑORIA DISPONE SECUESTRAR EL ARMA Y QUE LA SEÑORA ARCE CONTINÚE SU VIAJE.LA CAUSANTE NO PROPORCIONO DATOS DE SUS PADRES</t>
  </si>
  <si>
    <t>INFRACCION ART. 162 DEL CPN</t>
  </si>
  <si>
    <t>BODEGA-PLATAFORMA-PATIO DE VALIJAS</t>
  </si>
  <si>
    <t>SIENDO LA HORA INDICADA LA DAMNIFICADA ARRIBA AL TERRITORIO NACIONAL Y AL MOMENTO DE RETIRAR LA VALIJA QUE HABIA DESPACHADO A BODEGA DE LA AERONAVE EN EL AEROPUERTO DE ORIGEN SE PERCATA DE QUE LA MISMA SE ENCONTRABA SIN EL FILM PLASTICO CON EL CUAL HABIA SIDO DESPACHADA SEGUIDAMENTE PROCEDE A APERTURAR LA MISMA Y SE PERCATA DEL FALTANTE DE LOS ELEMENTOS DESCRIPTOS PRECEDENTEMENTE.</t>
  </si>
  <si>
    <t>MOLINA PABLO</t>
  </si>
  <si>
    <t>POLICIA DE SEGURIDADAD AEROPORUARIA -UNIDAD OPERACIONAL CORRIENTES S /SOLICITUD DE APERTURA DE ENCOMIENDA</t>
  </si>
  <si>
    <t>AL REALIZAR CONTROL DE CARGA POR MAQUINA DE RAYOS X SE PUEDE APRECIAR A TRAVES DE LA IMAGEN QUE UNA DE LAS SACAS ESCANEADAS CONTENDRIA EN SU INTERIOR UNA CAJA CON DOS RECIPIENTES CON TAPAS DENTRO DE LA CUAL HABRIA UNA SUSTANCIA QUE POR SU FORMA Y COLOR HACE PRESUMIR QUE SE TRATA DE UNA SUSTANCIA ORGANICA. EN UNA SEGUNDA SACA SE APRECIA A TRAVES DE LA IMAGEN UNA CAJA EN CUYO INTERIOR TAMBIEN SE OBSERVA UN RECIPIENTE CONTENIENDO UNA SUSTANCIA QUE POR SU FORMA Y COLOR SERIA ORGANICA.AL NO PODER DETERMINARSE EL CONTENIDO DE AMBAS ENCOMIENDAS CON LAS GUIAS CORRESPONDIENTES SE INFORMA AL JUZGADO INTERVENIENTE DISPONIENDO SSA.QUE LAS MISMAS SEAN INTERDICTADAS Y SE REMITA A SEDE TRIBUNALICIA EL PEDIDO DE APERTURA CORRESPONDIENTE.- DATOS DE LAS ENCOMIENDAS:REMITENTE GABRIEL ALEJANDRO CABRERA, BARRIO SAN PEDRO OVEJERO 735 CP:3600 FORMOSA.DESTINATARIO: DANTE FELIX CABRERA ESCUADRON 21 CP:4650 JUJUY LA QUIACA REMITENTE:IVAN IGNACIO FUENTES CERVANTES 75 CP 3500(SIN OTROS DATOS) DETINATARIO: MIRIAN RAQUEL VILLAZ SIMON BOLIVAR 2590 LONG CHAMPS CP:1854 BUENOS AIRES</t>
  </si>
  <si>
    <t>TRANSPORTE DE ESTUPEFACIENTES</t>
  </si>
  <si>
    <t>EN EL DIA DE LA FECHA EL OFICIAL AYUDANTE ALMIRON ALEJANDRO SERGIO (LEGAJO 501490) CUMPLIENDO FUNCIONES EN LA SALA DE PREEMBARQUE MIENTRAS REALIZABA UN CONTROL DE RUTINA DEL VUELO DE CABOTAJE DE AEROLINEAS ARGENTINAS CON DESTINO EZEIZA OBSERVA EL BOARDING PASS DEL PASAJERO ALVAREZ CANTERO ANTONIO QUE EMBARCARBA A EZEIZA EN EL VUELO AR 1132 CON CONEXIÓN FINAL MADRID POR LO CUAL LE HACE UNA ENTREVISTA DE RUTINA LA CUAL LE GENERA DUDAS EN LA CONTESTACION Y LE SOLICITA QUE LO ACOMPAÑE HASTA EL PATIO DE VALIJAS PARA REALIZARLE UN CONTROL MAS EXHAUSTIVO SOBRE EL EQUIPAJE YA DESPACHADO POR BODEGA. PARA TAL FIN PREVENTIVAMENTE LLAMA A DOS PERSONAS PARA QUE OFICIEN COMO TESTIGOS HABILES DEL PROCEDIMIENTO QUE SE IBA A REALIZAR, YA EN EL LUGAR SE PROCEDE A LA APERTURA. DEL EQUIPAJE DESPACHADO, EN EL QUE SE ENCUENTRA UNA CAMPERA DE COLOR AZUL NOTANDO QUE LA MISMA ESTABA RIGIDA GENERANDO LA SOSPECHA DE QUE EN SU INTERIOR TRANSPORTABA ALGUN ELEMENTO EXTRANO POR LO QUE PROCEDE A REALIZARLE UN CORTE CONSTATANDO UN PAQUETE DE NYLON COLOR NEGRO DE UNOS 30 CMS POR 50 TERMOSELLADO EN SUS EXTREMOS CONTENIENDO UNA SUSTANCIA BLANCA PULVERULENTA QUE AL HACERLE LA PRUEBA DE CAMPO CON EL REATIVO SCOTT REAGENT SYSTEM MODIFIED ARROJA COMO RESULTADO POSITIVO PRESUNTIVO AL CLORHIDRATO DE COCAINA , DE INMEDIATO SE INFORMA AL JEFE DE TURNO Y SE TRASALADA AL PASAJERO JUNTO A LOS TESTIGOS AL SERVICIO DE GUARDIA PREVENTIVA A LOS FINES DE CONTINUAR EL CONTROL MAS EXHAUSTIVO DEL EQUIPAJE. SIENDO LAS 1650 HRS APROXIMADAMENTE SE INFORMA AL JUZGADO DE TURNO EN LA PERSONA DE SU PROSECRETARIA DRA SUSANA BAGGI DEL PROCEDIMIENTO QUE SE LLEVARA A CABO Y UNA VEZ INTERIORIZADA LA FUNCIONARIA DISPONE QUE LA PERSONA QUEDE DETENIDA COMUNICADA Y QUE SE LABREN LAS ACTUACIONES DE RIGOR. ACTO SEGUIDO SE CONTINUA CON LA REQUISA DE LA VALIJA EN PRESENCIA DE LOS TESTIGOS DETECTANDOSE EN UNA CAMPERA COLOR NEGRA DOS ENVOLTORIOS DE NYLON TERMOSELLADO DE COLOR NEGRO DE UNOS 30 CMS POR 50 CMS APROXIAMDAMENTE AL QUE TAMBIEN SE LE REALIZA UN CORTE Y SE ENCUENTRA LA MISMA SUSTANCIA A LA QUE SE LE REALIZA EL MISMO TEST, ARROJANDO EN MISMO RESULTADO QUE EL ANTERIOR, ASIMISMO EN UNA BOLSA DE DORMIR COLOR AZUL SE DETECTARON DOS ENVOLTORIOS IGUALES QUE LOS ANTERIORES, DE UNOS 30 CMS POR 50 CMS APROXIMADAMENTE LOS QUE ARROJARON IDENTICO RESULTADO. LUEGO SE REVISA UNA CAJA DE MADERA DE 25 CMS X 30 CMS, CON UN SET PARA CATAR VINOS, EN LA CUAL, DEBAJO DE UN TROZO DE GOMA EVA SE ENCONTRO UN PAQUETE CON LAS MISMAS CARACTERISTICAS AL QUE SE LE REALIZO LA MISMA PRUEBA, ARROJANDO EL MISMO RESULTADO. CONTINUANDO CON LA REQUISA SE ENCONTRO EN EL INTERIOR DE UNA CAJA DE JUEGOS INFANTILES OTRO ENVOLTORIO DE 30 CMS X 50 QUE TAMBIEN DIO POSITIVO, ARROJANDO LOS SIETE PAQUETES EL PESAJE FINAL UN TOTAL DE CUATRO MIL CIENTO SETENTA Y CINCO GRS. A CONTINUACION SE REALIZAN LAS FICHAS DE IDENTIFICACION AL DETENIDO Y SE LE HACE LECTURA DE SUS DERECHOS Y OBLIGACIONES EN PRESENCIA DE LOS TESTIGOS COMO ASIMISMO SE INFORMO AL CONSULADO DE ESPAÑA EN LA PERSONA DE SEÑOR MIGUEL ANGEL SANCHEZ VILLAR QUIEN INTERIORIZADO DE LA SITUACION INFORMO QUE SE LE BRINDARA LA ASESORIA LEGAL CORRESPONDIENTE. LA PROSECRETARIA PENAL DISPUSO QUE FINALIZADAS LAS ACTUACIONES DE RIGOR EL DETENIDO SEA LLEVADO A POLICIA JUDICIAL PARA EL CONTROL MEDICO Y LUEGO SEA TRASLADADO A LA ALCALDIA FEDERAL . SE DIO INICIO A LAS ACTUACIONES SUMARIALES NRO. 39 DE FECHA 15 JULIO 2010 CARATULADAS TRANSPORTE DE ESTUPEFACIENTES. AMPLIACIÓN CBA_2010_4274_PU : EN REFERENCIA A ORDEN DE SERVICIO N° 192/10 EMITIDA POR LA U.R.S.A II DEL CENTRO SE INICIA TRASLADO DEL DETENIDO EN LOS MOVILES DE DOTACION. SE LO TRASLADA EN PRIMERA INSTANCIA A MEDICINA LEGAL DEPENDIENTE DE LA DIRECCION GENERAL DE LA POLICIA JUDICIAL-MISNISTERIO PUBLICO FISCAL PARA EFECTUARLE EL CORRESPONDIENTE PRECARIO MEDICO Y DE ALLI A LA ALCAIDIA DE LOS TRIBUNALES FEDERALES DE CORDOBA DONDE QUEDO ALOJADO . AL REGRESO SE HACE ENTREGA EN LA DIVISION DE ANTECEDENTES PERSONALES DE LA POLICIA DE LA PROVINCIA DE CORDOBA LAS PLANILLA DE HUELLAS DACTILARES DEL CAUSANTE, REGRESANDO LA COMISION A ESTA JURIDICCION A LAS 00:30HS.</t>
  </si>
  <si>
    <t>INFRACCION AL ARTICULO 78 Y 85 DEL DECRETO LEY 8031/73</t>
  </si>
  <si>
    <t>SIENDO LA FECHA Y HORA ANTES MENCIONADA, EN MOMENTOS EN QUE LOS OFICIALES CARABAJAL, CAFFERATTA Y ALEGRE SE ENCONTRABAN EN UNA RECORRIDA POR EL SECTOR MENCIONADO CON ANTERIORIDAD, OBSERVAN Y SORPRENDEN A UNA PERSONA DE SEXO MASCULINO, OFRECIENDO SERVICIO DE MALETERO A PASAJEROS RECIEN ARRIBADOS AL PAIS CARECIENDO DE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</si>
  <si>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8 DE TAXIS</t>
  </si>
  <si>
    <t>CIRCUNSTANCIA EN EL QUE EL OFICIAL CAMPS SE ENCONTRABA DE GUARDIA EN EL CENTRO OPERATIVO Y CONTROL, OBSERVA E INFORMA VIA HT AL OFICIAL ASIGNADO EN EL PUESTO TAQUILLA, QUE UN VEHICULO, CUYO CONDUCTOR ERA UNA PERSONA CONOCIDA COMO REMISERO NO HABILITADO, QUE CON PASAJEROS EN SU INTERIOR SE DIRIGIA HACIA LA SALIDA DEL AEROPUERTO Y VERIFIQUE LA SITUACION DEL MISMO. CABE DESTACAR QUE DICHO MASCULINO OFRECIO EL SERVICIO DE TRANSPORTE EN LA PERGOLA 8, SE DIRIGIO YA EN EL VEHICULO CON EL PASAJERO HACIA EL PARKING UBICADO FRENTE A LA TERMINAL B Y SIGUIO SU MARCHA HACIA LA TAQUILLA. EL PERSONAL POLICIAL DE TAQUILLA SE COMUNICA VIA HT A CONTRAVENCIONES Y FALTAS PARA QUE SE DIRIJAN HACIA LA MISMA. UNA VEZ ARRIBADO EL OFICIAL DE DICHA OFICINA CONTRAVENCIONAL LE INFORMA AL MASCULINO, EL CUAL CARECIA DE LA CORRESPONDIENTE HABILITACION, QUE NO PODIA EJERCER DICHO ACCIONAR. HACIENDO CASO OMISO A LAS ADVERTENCIAS SE PROCEDIO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</si>
  <si>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HALL DE ARRIBOS TERMINAL A</t>
  </si>
  <si>
    <t>CIRCUNSTANCIA EN EL QUE EL OFICIAL JURSUK SE ENCONTRABA EN EL CENTRO OPERATIVO Y CONTROL, OBSERVA E INFORMA VIA HT AL OFICIAL ASIGNADO EN EL PUESTO MONTA CARGAS DE ESTE AEROPUERTO, QUE UNA PERSONA DE SEXO MASCULINO ACARREA LAS MALETAS DE PASAJEROS RECIEN ARRIBADOS AL PAIS. POR LO CUAL EL OFICIAL VERON LE SOLICITA LA CORRESPONDIENTE HABILITACION RESPONDIENDOLE EL MASCULINO QUE NO LA POSEIA. SE LE INFORMA ENTONCES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</si>
  <si>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REFERENCIA A ORDEN DE SERVICIO N° 192/10 EMITIDA POR LA U.R.S.A II DEL CENTRO SE INICIA TRASLADO DE DETENIDO EN LOS MOVILES DE DOTACION FORD RANGER DOMINIO IQZ 730 INT 30 Y EN MOVIL MERCEDEZ BENZ SPRINTER DOMINIO GTJ 660. SE LO TRASLADA EN PRIMERA INSTANCIA A MEDICINA LEGAL DEPENDIENTE DE LA DIRECCION GENERAL DE LA POLICIA JUDICIAL -MISNISTERIO PUBLICO FISCAL PARA EFECTUARLE EL CORRESPONDIENTE PRECARIO MEDICO Y DE ALLI SER TRASLADADO A LA ALCAIDIA DE LOS TRIBUNALES FEDERALES DE CORDOBA DONDE QUEDO ALOJADO . AL REGRESO SE HACE ENTREGA EN LA DIVISION DE ANTECEDENTES PERSONALES DE LA POLICIA DE LA PROVINCIA DE CORDOBA LAS HUELLAS DACTILARES DEL CAUSANTE, REGRESANDO LA COMISION A ESTA JURIDICCION A LAS 00:30HS.</t>
  </si>
  <si>
    <t>PTA. INFRACCION AL REGIMEN CAMBIARIO</t>
  </si>
  <si>
    <t>PUNTO DE INSPECCION Y REGISTRO - MAQUINA DE RX</t>
  </si>
  <si>
    <t>SE PRESENTA EN EL PREEMBARQUE UN PASAJERO DE SEXO MASCULINO, EL CUAL COLOCO SUS PERTENENCIAS EN EL INTERIOR DE LA MAQUINA DE RX. PERSONAL POLICIAL NOTO QUE EN EL INTERIOR DE UNO DE LOS EQUIPJES DE MANO QUE PORTABA EL MASCULINO ERA HABIDA SUSTANCIA ORGANICA DE BAJA DENSIDAD, A LO QUE EL PASAJERO MANIFESTO QUE LLEVABA DINERO EN EFECTIVO, NO PUDIENDO PRECISAR LA CANTIDAD. QUE SE MANTUVO COMUNICACION TELEFONICA CON EL JUZGADO NACIONAL EN LO PENAL ECONOMICO EN TURNO, QUIEN AUTORIZO LA REQUISA Y QUE DE EXEDERSE A LO MAXIMO ESTIPULADO PARA EL TRANSPORTE DE DIVISAS, SE MANTENGA UNA NUEVA COMUNICACION TELEFONICA A LOS EFECTOS DE RECIBIR DIRECTIVAS. QUE DEL RESULTADO DE LA REQUISA SE SECUESTRO UNA SUMA TOTAL DE DOSCIENTOS NUEVE MIL CIENTO CINCUENTA DOLARES ESTADOUNIDENSES, POR LA CUAL SE MANTUVO NUEVA COMUNICACION TELEFONICA, INFORMANDO LOS PORMENORES DE LA SITUACION, INDICANDO EL JUZGADO SE PROCEDA AL SECUESTRO DE LAS DIVISAS Y SE ELEVE LO ACTUADO AL BANCO CENTRAL DE LA REPUBLICA ARGENTINA, ADEMAS QUE EL CAUSANTE CONTINUE CON SU NORMAL ITINERARIO. SE EFECTUA ACTA DE ENTREGA DE LOS TELEFONOS CELULARES SECUESTRADOS A LA D.G.A. EN PERSONA DEL AGENTE SEBASTIAN MUÑOZ, LEGAJO Nº 29391-1.</t>
  </si>
  <si>
    <t>JOSE LUIS ANTELO</t>
  </si>
  <si>
    <t>LOCKER ASIGNADO AL IMPUTADO</t>
  </si>
  <si>
    <t>VESTUARIOS DE LA EMPRESA REX SA</t>
  </si>
  <si>
    <t>SIENDO LA HORA ANTES MENCIONADA, PERSONAL POLICIAL DE ESTA DEPENDENCIA ES ANOTICIADO POR UN EMPLEADO DE LA COMPAÑÍA AÉREA AEROLÍNEAS ARGENTINAS, SOBRE EL RECLAMO DE UN PASAJERO, DEL EXTRAVÍO DE UNA CÁMARA FOTOGRÁFICA DIGITAL MARCA CANON MODELO G10, CONTENIDA EN ESTUCHE COLOR GRIS Y NEGRO, HECHO OCURRIDO EN CIRCUNSTANCIAS DE HABER ARRIBADO EN VUELO PROCEDENTE DE BRASIL, MOTIVO POR EL CUAL PERSONAL POLICIAL SE HACE PRESENTE EN LAS INMEDIACIONES DE LA POSICIÓN Nº 33, DE LA PLATAFORMA COMERCIAL, DONDE SE ENCONTRABA LA AERONAVE DEL VUELO MENCIONADO, PARA RECABAR INFORMACIÓN DEL PERSONAL QUE REALIZO LA OPERATORIA DE SEGURIDAD, LIMPIEZA Y MANTENIMIENTO DE LA AERONAVE, SOLICITANDO EN ESE MISMO MOMENTO LA PRESENCIA DE DOS TESTIGOS. POSTERIORMENTE SE DIRIGEN AL SECTOR DE MANTENIMIENTO Y LIMPIEZA DE LA EMPRESA REX S.A/SERZA, OBSERVANDO QUE UN PERSONAL DE LA EMPRESA SE ENCONTRABA EN ESTADO DE NERVIOSISMO, POR LO QUE SE LE CONSULTA LA RAZON, MANIFESTO EL MISMO QUE LA SITUACION LO PONIA NERVIOSO, INMEDIATAMENTE EL PERSONAL POLICIAL LE SOLICITA AMABLEMENTE QUE ABRIERA EL LOCKER ASIGANDO POR LA EMPRESA Y EXHIBA SUS PERTENENCIAS, EXTRAYENDO DEL MISMO UNA MOCHILA CONTENIENDO EN SU INTERIOR UNA CAMARA FOTOGRAFICA CON LAS CARACTERISTICAS A LA BUSCADA, QUE AL CONSULTAR POR LA MISMA, EL PERSONAL MANIFIESTA QUE IBA A DEVOLVERLA. MOTIVO POR EL CUAL SE TRASLADO A TODOS LOS INTERVINIENTES A LA GUARDIA DE PREVENCION PARA CONTINUAR CON LAS DILIGENCIAS LEGALES DE RIGOR. SEGUIDAMENTE SE ENTABLA COMUNICACION CON EL JUZGADO CORRECCIONAL EN TURNO, QUIEN ANOTICIADO DE LOS HECHOS Y DE LAS DILIGENCIAS REALIZADAS HASTA EL MOMENTO, ORDENA MANTENER AL CAUSANTE DETENIDO EN CARACTER DE COMUNICADO, SECUESTRO DE LA CAMARA Y POSTERIOR ENTREGA A SU DUEÑO, DECLARACION TESTIMONIAL AL PROPIETARIO Y CON EL RESULTADO DE REINCIDENCIA EN CASO DE REGISTRAR IMPEDIMENTO NUEVA COMUNICACION, CASO CONTRARIO LIBERACION DEL DETENIDO. SIENDO LAS 21:15 HS, SE HACE PRESENTE LA PERSONA QUE EFECTUO EL RECLAMO EN LA COMPAÑÍA, MANIFESTANDO SER EL DUEÑO DE LA CAMARA FOTOGRAFICA, Y QUE MEDIANTE LA DESCRIPCION DE FOTOGRAFIAS EXISTENTES EN LA MEMORIA DE LA MAQUINA, DEMUESTRA SER EL PROPIETARIO, MOTIVO POR EL CUAL MEDIANTE ACTA DE ENTREGA EL PROPIETARIO RECIBE CONFORME LA MISMA, TOMANDOSELE POSTERIORMENTE DECLARACION TESTIMONIAL. EN P.U. Nº 4281 DE FECHA 16/07/10, SE INFORMA ACERCA DE LA LIBERACION DEL IMPUTADO EN LA PRESENTE CAUSA, DE ACUERDO A LO DISPUESTO OPORTUNAMENTE POR EL JUZGADO INTERVINIENTE, EN VIRTUD DE NO REGISTRAR EL MISMO IMPEDIMENTOS RESTRICTIVOS DE LIBERTAD, SEGUN LO INFORMADO POR EL REGISTRO NACIONAL DE REINCIDENCIAS Y ESTADISTICA CRIMINAL.</t>
  </si>
  <si>
    <t>DRA. BETINA MARTINO</t>
  </si>
  <si>
    <t>MOSTRADOR Nº 02</t>
  </si>
  <si>
    <t>MOSTRADORES CHECK IN DE AEROLINEAS ARGENTINAS</t>
  </si>
  <si>
    <t>SE HACE PRESENTE EN ESTA GUARDIA DE PREVENCION LA DAMNIFICADA MANIFESTANDO QUE AL MOMENTO DE ENCONTRARSE REALIZANDO EL CHECK IN EN LOS MOSTRADORES DE LA EMPRESA AEROLINEAS ARGENTINAS A FIN DE ABORDAR EL VUELO Nº AR 1282 CON DESTINO A LA CIUDAD DE SANTIAGO DE CHILE SE PERCATO DEL FALTANTE DE SU CAMARA FOTOGRAFICA, LA CUAL HABÍA UTILIZADO MINUTOS ANTES Y QUE LUEGO LA COLOCO EN EL BOLSILLO DE SU MOCHILA. ACTO SEGUIDO SE INVITO A LA PASAJERA A QUE RADIQUE LA CORRESPONDIENTE DENUNCIA, RESPONDIENDO LA DAMNIFICADA QUE DEBÍA EMBARCAR EN EL VUELO ANTES MENCIONADO Y ANTE LA POSIBLE PERDIDA DEL MISMO, SOLO ACCEDIÓ A BRINDAR SUS DATOS FILIATORIOS. SIENDO LAS 08:00 HORAS SE ENTABLA COMUNICACIÓN CON LA JUDICATURA ACTUANTE QUIEN DISPONE LAS DILIGENCIAS DE RIGOR.</t>
  </si>
  <si>
    <t>SIENDO LAS 08:15 HORA LOCAL ARRIBA AERONAVE AIRBUS 320 MATRICULA LV BOI DE LA EMPRESA LAN ARGENTINA PROCEDENTE DE AEROPUERTO JORGE NEWBERY EN CUYAS BODEGAS 12,13,31 Y 32 SE DESPACHAN 121 CAJAS CON UN PESO BRUTO DE 2.783 KILOGRAMOS DE METAL - MTD - DE LA EMPRESA CERRO VANGUARDIA. EL VUELO DESPEGA A LAS 09:15 SIN NOVEDAD. SE DIO CUMPLIMIENTO A LA ORDEN DE SERVICIO NRO. 0062/2010</t>
  </si>
  <si>
    <t>4276/10</t>
  </si>
  <si>
    <t>LOKER DE IMPUTADO</t>
  </si>
  <si>
    <t>EMPRESA REX SA</t>
  </si>
  <si>
    <t>EN HORAS 04:30 DEL DIA DE LA FECHA, SEGÚN LO DISPUESTO POR LA JUDICATURA INTERVINIENTE, YA OBTENIDOS LOS RESULTADOS DE REINCIDENCIA SIENDO ESTOS NEGATIVOS, Y AL NO MEDIAR IMPEDIMENTO LEGAL ALGUNO, SE PROCEDE A LA LIBERACION DEL SR. MOLINA PONTE RICARDO.</t>
  </si>
  <si>
    <t>DRA MARIA SILVINA DOMINGUEZ</t>
  </si>
  <si>
    <t>REINHOLD, OSCAR LORENZO Y OTROS S/DELITOS C/LALIBERTAD Y OTROS</t>
  </si>
  <si>
    <t>Nº 8736</t>
  </si>
  <si>
    <t>SIENDO LAS 0955 HS SE CUMPLIMENTA ORDEN DE SERVICIO Nº 185/2010 PARA ARRIBO DEL DETENIDO SOZA JORGE ALBERTO EN VUELO AR-2652 PROCEDENTE DE LA CIUDAD AUTONOMA DE BUENOS AIRES EN CUSTODIA DEL SUBCOMISARIO ZICAVO FERNANDO ADOLFO DNI 16506237 Y AYUDANTE PAOLO GUAJARDO DNI 32637239 INTERPOL Y RETIRADO EN EL AEROPUERTO POR PERSONAL DEL SERVICIO PENITENCIARIO FEDERAL U-5 SITO EN LA CIUDAD DE GENERAL ROCA PROVINCIA DE RIO NEGRO A CARGO DEL ADJUTOR DIEGO MIÑO. LA CUSTODIA EN LA ZONA RESTRINGIDA POR PARTE DE ESTA UOSP ESTUVO A CARGO DE LOS OFICIALES VEIGA ARIEL Y CAZAYOUS JOSE NP REGISTRANDOSE NOVEDADES</t>
  </si>
  <si>
    <t>AR-2652</t>
  </si>
  <si>
    <t>CIUDAD DE NEUQUEN</t>
  </si>
  <si>
    <t>SE HACE PRESENTE LA SRA. JANAINA GALVAO PRATES MANIFESTANDO QUE EN EL DIA DE LA FECHA SIENDO LAS 0815 HORAS SE RETIRO DEL HOTEL "ROCHESTER CLASSIC" Y ABORDO UNA CAMIONETA MINI BUS DE LA EMPRESA "FREE WAY", A FIN DE DIRIGIRSE A ESTE AEROPUERTO METROPOLITANO PARA ABORDAR EL VUELO Nº AR 1242 CON DESTINO A LA CIUDAD DE SAN PABLO. MOTIVO POR EL CUAL LE ENTREGO DOS EQUIPAJES TIPO CARRY ON AL CHOFER, QUIEN GUARDO LOS EQUIPAJES EN LA PARTE TRASERA DE LA MENCIONADA CAMIONETA. DURANTE EL RECORRIDO HACIA ESTE AEROPARQUE, REALIZANDO TRES PARADAS EN DIFERENTES HOTELES EN LAS CUALES SUBIERON MAS PASAJEROS. FINALMENTE EN EL HORARIO DE LAS 0845 HORAS LA CAMIONETA LLEGO A ESTE AEROPARQUE Y AL MOMENTO DE DESCARGAR EL EQUIPAJE LA DAMNIFICADA SE PERCATO DEL FALTANTE DE UNO DE SUS CARRY ON.</t>
  </si>
  <si>
    <t>AVERIGUACION ROBO AGRAVADO EN TENTATIVA</t>
  </si>
  <si>
    <t>52003/10</t>
  </si>
  <si>
    <t>AVERIGAUCION ROBO AGRAVADO EN TENTATIVA</t>
  </si>
  <si>
    <t>SIENDO LAS 10:00 HORAS DEL DIA DE LA FECHA PERSONAL DE PROSEGUR INFORMA LA NOVEDAD DE QUE SIETE DE LAS SACAS DE DINERO QUE ARRIBABAN EN EL VUELO 1404 DE LA EMPRESA AEROLINEAS ARGENTINA CON PROCEDENCIA AEROPARQUE SE ENCONTRABAN CON NOVEDAD, LAS MISMAS PRESENTABAN ROTURAS CON UN OBJETO FILOSO CORTANTE DESCONOCIENDO SI FALTABA ALGO EN SU INTERIOR YA QUE EL PROCEDIMIENTO DE L AEMPRESA INDICA QUE SE DEBE EFECTUAR EN LA CENTRAL DE LA MISMA,POR LO QUE SE LE DIO AVISO A LA AUTORIDAD JUDICIAL CORRESPONDIENTE QUE ORDENA EL INICIO DE ACTUACIONES POR AVERIGUACION ROBO AGRAVADO EN TENTATIVA. X DRICA II - LAS SACAS DAÑADAS FUERON REEMPLAZADAS PARA SU TRASLADO FRENTE A DOS TESTIGOS. POSTERIORMENTE DESDE LA CENTRAL DE PROSEGUR COMUNICAN QUE EL CONTROL RESULTO SIN NOVEDAD. CABE MENCIONAR QUE LAS ACTUACIONES EN ESTA UOSP SON DERIVADAS A LA JUSTICIA ORDINARIA POR LO QUE NO HAY DENUNCIA.</t>
  </si>
  <si>
    <t>PROSEGUR</t>
  </si>
  <si>
    <t>SIENDO LA FECHA Y HORA ANTES MENCIONADA, EN MOMENTOS EN QUE EL OFICIAL MARTINEZ GONZALO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</si>
  <si>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FECHA Y HORA ANTES MENCIONADA, EN MOMENTOS EN QUE EL OFICIAL LONGHINI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</si>
  <si>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SECTOR ISLA DE LA TERMINAL A</t>
  </si>
  <si>
    <t>SIENDO LA FECHA Y HORA ANTES MENCIONADA, EN MOMENTOS EN QUE LOS OFICIALES ZUMPANO Y LONGHINI SE ENCONTRABAN EN UNA RECORRIDA POR EL SECTOR MENCIONADO CON ANTERIORIDAD, OBSERVAN Y SORPRENDEN A UNA PERSONA DE SEXO MASCULINO, LA CUAL SE ENCONTRABA REALIZANDO SERVICIO DE MALETERO CARECIENDO DE LA HABILITACION CORRESPONDIENTE,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</si>
  <si>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CAJERO AUTOMATICO DEL BANCO HSBC</t>
  </si>
  <si>
    <t>EL DAMNIFICADO SE DIRIGIO AL CAJERO AUTOMÁTICO DEL BANCO HSBC SITO EN EL HALL DE LA TERMINAL A, DONDE REALIZA UNA TRANSACCIÓN DE DINERO Y UNA VEZ CULMINADA LA OPERACIÓN RETIRA SU TARJETA DE DEBITO Y LA DEPOSITA EN EL BOLSILLO DE LA CAMPERA QUE LLEVABA PUESTA. QUE EL DIA QUINCE DEL CORRIENTE MES, ENCONTRÁNDOSE EN LA CIUDAD AUTÓNOMA DE BUENOS AIRES BUSCA SU TARJETA DE DEBITO PERCATÁNDOSE QUE YA NO LA TENIA. EN TAL SENTIDO CONSULTA VIA INTERNET, LOS ÚLTIMOS MOVIMIENTOS DE SU TARJETA CONSTATANDO QUE HABIA APARTE DE LA TRANSACCIÓN MENCIONADA ANTERIORMENTE, OTRAS DIEZ TRANSACCIONES POSTERIORES E INMEDIATAS A LA SUYA, REALIZADAS DESDE ESTE AEROPUERTO, EN LAS QUE LE HABÍAN EXTRAÍDO UNA SUMA TOTAL DE SEIS MIL SETECIENTOS PESOS ARGENTINOS.</t>
  </si>
  <si>
    <t>FEIN</t>
  </si>
  <si>
    <t>VIVIANA BEATRIZ</t>
  </si>
  <si>
    <t>DR. GUILLERMO GAGO</t>
  </si>
  <si>
    <t>SE RECIBE COMUNICACIÓN VIA NEXTEL POR PARTE DEL OF. JEFE JOSE LUIS RIVERO, JEFE DEL AREA OPERACIONES POLICIALES DE LA UNIDAD OPERACIONAL MENDOZA, INFORMANDO UNA NOVEDAD SURGIDA EN EL ARRIBO DEL VUELO Nº AR 1404 PROCEDENTE DE ESTE AEROPUERTO METROPOLITANO, MANIFESTANDO QUE AL MOMENTO DE REALIZARSE LA DESCARGA DE LOS BULTOS PERTENECIENTES A LA EMPRESA TRANSPORTADORA DE CAUDALES PROSEGUR, DEL MENCIONADO VUELO, SE PERCATARON DE QUE SIETE SACAS PERTENECIENTES A LA EMPRESA EN CUESTION SE ENCONTRABAN DAÑADAS, PRODUCTO DE POSIBLE CORTE SIMILAR AL DE UN CUTER. POR LO CUAL SIENDO LAS 11:50 HS SE ENTABLA COMUNICACIÓN CON LA JUDICATURA ACTUANTE, QUIEN DISPONE: SE CARATULE LA CAUSA COMO "AVERIGUACION DE ROBO", SE RECEPCIONE DECLARACION TESTIMONIAL A TODO PERSONAL QUE INTERVINO EN LA CARGA DEL VUELO Y DEMAS DILEGENCIAS DE RIGOR. SE INFORMA EN PU Nº 4340 DEL DIA 19/7/10 QUE SEGUN LA DECLARACION TESTIMONIAL BRINDADA POR EL SEÑOR MORENO ALEJANDRO, EL MISMO MANIFESTO HABER RECIBIDO COMUNICACION TELEFONICA POR PARTE DE LA EMPRESA JUNCADELLA S.A. CON ASIENTO EN LA PROVINCIA DE MENDOZA DONDE LE INFORMARON QUE LUEGO DE REALIZAR UN INVENTARIO DE LOS ELEMENTOS QUE CONTENIAN LAS SACAS, OBJETO DE LAS PRESENTES ACTUACIONES, LAS MISMAS NO PRESENTABAN FALTANTE ALGUNO.</t>
  </si>
  <si>
    <t>AR 1404</t>
  </si>
  <si>
    <t>4172/10</t>
  </si>
  <si>
    <t>ESTACIONAMIENTO CUBIERTO - NIVEL 5</t>
  </si>
  <si>
    <t>SE AMPLIA EL PARTE A LOS EFECTOS DE INFORMAR QUE EL DIA 15 DE JULIO DEL CORRIENTE AÑO , SIENDO LAS 10:30 HS. SE HACE PRESENTE EN ESTA UOSP METROPOLITANA EL SR. IGNACIO LARTIRIGOYEN MANIFESTANDO QUE LUEGO DE RADICAR UNA DENUNCIA POR HURTO NN, POR LA CUAL SE INICIO EN ESTA GUARDIA LA PREVENCION SUMARIA Nº 255-A/10, EL DENUNCIANTE RECIBIO UNA LLAMADA EN EL HORARIO DE LAS 20:00 DEL DIA EN QUE REALIZO LA DENUNCIA, POR PARTE DEL SR. CAYETANO, DEL CUAL NO RECUERDA EL APELLIDO , QUIEN LE INFORMO QUE HABIA ENCONTRADO SU MALETIN Y QUE SE LO DEVOLVERIA EN SU DIRECCION LABORAL. AL DIA SIGUIENTE EL DAMNIFICADO SE ACERCO AL PUNTO DE ENCUENTRO ACORDADO Y RECUPERO TODAS SUS PERTENENCIAS.POR LO CUAL SE LE TOMA AL SR. IGNACIO LARTIRIGOYEN UNA TESTIMONIAL Y SE PROCEDE A FINALIZAR LAS ACTUACIONES.</t>
  </si>
  <si>
    <t>SECTOR DESIGNADO AL PERSONAL AEROPORTUARIO</t>
  </si>
  <si>
    <t>SIENDO LA FECHA Y HORA ANTES MENCIONADA, EN MOMENTOS EN QUE LOS OFICIALES SACOR Y HANEMANN SE ENCONTRABAN EN UNA RECORRIDA POR EL SECTOR MENCIONADO CON ANTERIORIDAD, OBSERVAN Y SORPRENDEN A UNA PERSONA DE SEXO MASCULINO, LA CUAL SE ENCONTRABA REALIZANDO TAREAS DE VENTA AMBULANTE DE SUSTANCIAS ALIMENTICIAS CARECIENDO DE LA HABILITACION CORRESPONDIENTE,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</si>
  <si>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PABLO LEGA</t>
  </si>
  <si>
    <t>DIV INV y NARCO CRIM USHUAIA S/AV PTA. INFRAC. ART 282 CP</t>
  </si>
  <si>
    <t>INFORMO QUE EN EL DIA DE LA FECHA EN UN CONTROL DE RUTINA DEL VUELO LAN 4443 SE INDIVIDUALIZA E IDENTIFICA AL CIUDADANO CARNERO RECALDE , FERNANDO GASTON , SOBRE QUIEN PESA UNA PROHIBICION DE SALIDA DE LA PROVINCIA Y DEL PAIS , SEGUN REGISTRO RED LINCE NRO 282.058, REALIZANDO COMUNICACION CON EL JUZGADO INTERVINIENTE EN LA PERSONA DEL DR. PABLO LEGA QUIEN MANIFIESTA QUE POR DISPOSICION DE S.SA. EL CAUSANTE SE ENCUENTRA AUTORIZADO A AUSENTARSE DE LA PROVINCIA DESDE EL 16 AL 19 DE JULIO DEL CORRIENTE AÑO , SEGUIDAMENTE SE CONFECCIONA ACTA DEJANDO CONSTANCIA NRO 0019/10 PROSIGUIENDO EL CAUSANTE SU VIAJE PROGRAMADO.</t>
  </si>
  <si>
    <t>LA 4443</t>
  </si>
  <si>
    <t>SECTOR ASIGNADO AL PERSONAL AEROPORTUARIO</t>
  </si>
  <si>
    <t>ROBO DE BALIZAS AERONAUTICA</t>
  </si>
  <si>
    <t>SECTOR SUD OESTE LINDANTE AL Bº BORGES.</t>
  </si>
  <si>
    <t>PISTA DE ATERRIZAJE CABECERA 03.</t>
  </si>
  <si>
    <t>EN EL DIA DE LA FECHA, SIENDO LAS 15:30 HORAS LOCAL, PERSONAL DE LA EMPRESA AA2000 INFORMA LA PRESENCIA DE EXTRAÑOS EN LA PISTA DE ATERRIZAJE,CABECERA 03. INMEDIATAMENTE SE DESPLAZA AL LUGAR EL OF. MY. MESSINA Y EL OF. MY. SIR EN EL VEHICULO DE DOTACION. OBSERVANDO QUE ESTAS PERSONAS ABANDONAN EL PREDIO POR EL SECTOR DE LA CERCA PERIMETRAL PLASTICA EN DIRECCION AL Bº BORGES, DETECTANDO ADEMAS EL FALTANTE DE DOS BALIZAS AERONAUTICAS. MOTIVO POR EL CUAL EL OF. MY. SALTO Y EL OF. PPAL. LAUD SE DIRIGEN POR EL SECTOR EXTERNO PARA BRINDAR COLABORACION, AL LLEGAR A INMEDIACIONES DEL Bº BORGES 2º AMPLIACION SE OBSERVA LA PRESENCIA DE UN GRUPO DE PERSONAS LOS CUALES TENIAN EN SU PODER LAS BALIZAS FALTANTES. AL INTERCEPTARLOS SE SECUESTRAN LAS BALIZAS Y SE DETERMINA QUE LOS MISMOS SON MENORES DE EDAD. SE PIDE COLABORACION A LA POLICIA DE LA PROVINCIA PARA TRASLADAR A LOS MISMOS HASTA ESTA UOSP.SE INFORMA DE LO SUCEDIDO AL FISCAL FEDERAL SUBRROGANTE DR. GIMENA Y AL JUEZ FEDERAL SUBRROGANTE DR. SUARES QUIEN ORDENA SE HAGA ENTREGA DE LOS MENORES A SUS PROGENITORES PREVIA REVISACION MEDICA. ENTRE LAS 18:00 Y LAS 20:00 HORAS SE PROCEDE A HACER ENTREGA DE LOS MENORES A SUS PADRES, PREVIA CONFECCION DE LAS ACTUACIONES CORRESPONDIENTES. EL DIA 21-07-10 SE ENTREGO EL SUMARIO JUNTO CON LOS ELEMENTOS SECUESTRADOS AL JUZGADO INTERVINIENTE</t>
  </si>
  <si>
    <t>SIENDO LA HORA MENCIONADA SE IMPLEMENTA CONTROL DE SEGURIDAD POR ARRIBO DE LA SEÑORA PRESIDENTA, LA CUAL ARRIBA A ESTA AEROESTACION A LAS 09:20 HORAS EN LA AERONAVE MATRICULA T-01 Y SE RETIRA EN LA AERONAVE MATRICULA H-01 A LAS 09:27 HORAS SIN NOVEDAD. FINALIZANDO EL DISPOSITIVO A LAS 09:35 HORAS.</t>
  </si>
  <si>
    <t>SIENDO LA FECHA Y HORA ANTES MENCIONADA, EN MOMENTOS EN QUE EL OFICIAL ZALAZAR SE ENCONTRABA EN UNA RECORRIDA POR EL SECTOR MENCIONADO CON ANTERIORIDAD, OBSERVA Y SORPRENDE A UNA PERSONA DE SEXO MASCULINO, LA CUAL SE ENCONTRABA REALIZANDO SERVICIO DE MALETERO A LOS PASAJEROS CARECIENDO DE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</si>
  <si>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INFRACCION ALOS ARTICULOS 78 Y 85 DECRETO LEY 8031/73</t>
  </si>
  <si>
    <t>EL FUNCIONARIO POLICIAL CELESTE SOSA VAZQUEZ, QUIEN SE ENCONTRABA CUMPLIENDO SERVICIO DE GUARDIA EN EL PUESTO DENOMINADO CENTRO OPERATIVO DE CONTROL, OBSERVA EN UNAS DE LAS CAMARAS DE SEGURIDAD A UNA PERSONA DE SEXO MASCULINO QUE SE ACERCABA ASIDUAMENTE A PASAJEROS RECIEN ARRIBADOS AL PAIS, INFORMANDO RAPIDAMENTE DE ESTA SITUACION AL OFICIAL PEDRO PEREZ, QUIEN SE ENCONTRABA EN LAS INMEDIACIONES, SE APERSONA EN LUGAR CONSTATANDO QUE DICHA PERSONA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</si>
  <si>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ARRIBOS CABOTAJE HALL PLANTA BAJA</t>
  </si>
  <si>
    <t>SIENDO LAS 16:15 HORAS SE PRESENTA EL SEÑOR HUGO SERGIO LOMBARDO, DNI 17812995, PARA RADICAR UNA DENUNCIA POR EL HURTO DE UN BOLSO TIPO BANDOLERA, SEGUN SUS DICHOS AL ARRIBAR A ESTE AEROPUERTO REALIZO LA INSPECCION DE FUNBAPA VIENDO POR ULTIMA VEZ DICHO BOLSO, DESPUES SE ACERCO AL MOSTRADOR DEL HOTEL LLAO LLAO PARA REALIZAR EL TRASLADO HACIA EL HOTEL MENCIONADO, Y AL LLEGAR A LAS PUERTAS DE SALIDA DEL HALL PLANTA BAJA DEL AEROPUERTO SE PERCATO DE LA FALTA DEL BOLSO. POR TAL MOTIVO SE ESTABLECE COMUNICACION TELEFONICA CON CON EL JUZGADO PROVINCIAL, A CARGO DEL DR MARTIN LOZADA QUIEN DISPONE SE LABREN LAS ACTUACIONES CORRESPONDIENTES POR HURTO Y UNA VEZ FINALIZADAS SEAN ELEVADAS A SU DESPACHO.</t>
  </si>
  <si>
    <t>DRA. MARCHISIO VERONICA</t>
  </si>
  <si>
    <t>S/SUSP. PED. JUICION A PRUEBA</t>
  </si>
  <si>
    <t>CONTROL MIGRATORIO RED LINCE</t>
  </si>
  <si>
    <t>SIENDO LAS 18:25 HS DEL DIA DE LA FECHA, SE PROCEDE A NOTIFICAR A LA CIUDADANA PEREZ FUENTES PATRICIA DNI Nº 92.450.112, SOBRE QUIEN RECAE UN PEDIDO DE PARADERO SEGUN EL SISTEMA MIGRATORIO RED LINCE REGISTRO Nº 206527. LA CIUDADANA FIJO DOMICIOLIO REAL Y CONTINUO CON SU VIAJE PROGRAMADO</t>
  </si>
  <si>
    <t>AR 1849</t>
  </si>
  <si>
    <t>MUERTE DUDOSA</t>
  </si>
  <si>
    <t>SANITARIO DE DAMAS-</t>
  </si>
  <si>
    <t>ARRIBOS NACIONALES- SECTOR A2</t>
  </si>
  <si>
    <t>SE HACE PRESENTE EN ESTA GUARDIA DE PREVENCION EL OF. CRISTINAN MOHAMED , INFORMANDO QUE UNA PASAJERA QUE HABÍA ARRIBADO EN EL VUELO Nº AR 1881, PROCEDENTE DE RIO GALLEGOS, HABÍA FALLECIDO EN EL BAÑO DE DAMAS UBICADO DENTRO DEL SECTOR DE ARRIBOS NACIONALES A2 INMEDIATAMENTE SE HACE PRESENTE EN EL LUGAR EN CUESTION LA JEFA DE TURNO A LOS EFECTOS DE VERIFICAR FEHACIENTEMENTE LA CONDICION DE DICHA PASAJERA.UNA VEZ EN EL LUGAR, NOS MANIFIESTAN QUE LA PASAJERA HABÍA SIDO TRASLADADA POR EL MEDICO DEL ANAC HACIA LA SALA DE SANIDAD DE EMERGER. CONSECUENTEMENTEN NOS DIRIGIMOS A DICHA SALA DONDE EL DR. FABIAN BUR, MEDICO DE LA GUARDIA DE SANIDAD EMERGER NOS MANIFIESTA QUE SIENDO LAS 20:15 HS, SE DIRIGIÓ HACIA EL SANITARIO DE DAMAS DEL SECTOR A2 A FIN DE ASISTIR A LA PASAJERA, VERIFICO SUS FUNCIONES VITALES, CONSTANDO EL OBITO DE LA PACIENTE. SEGUIDAMENTE SE PRESENTO EN EL SANITARIO, EL MEDICO DEL ANAC QUIEN PROCEDIÓ A TRASLADAR A LA PACIENTE HACIA LA SALA DE GUARDIA DE EMERGER A FIN DE CONSTATAR SUS SIGNOS VITALES, COMPROBANDO ASI LA DEFUNCIÓN. POR LO CUAL SIENDO LAS 20:58 HS SE ENTABLA COMUNICACIÓN CON LA JUDICATURA INTERVINIETE QUIEN DISPONE: SE CARATULE COMO MUERTE DUDOSA, TESTIMONIAL AL PERSONAL MEDICO INTERVINIENTE, TESTIMONIAL A LA HIJA DE LA DIFUNTA, TRASLADO DEL OBITO HACIA LA MORGUE JUDICIAL,INFORME SOBRE LAS CAUSALES DEL DECESO.</t>
  </si>
  <si>
    <t>AVERIGUACION DE ESTAFA</t>
  </si>
  <si>
    <t>CHECK IN DE AEROLINEAS ARGENTINAS - OFICINA DE VENTAS DE AEROLINEAS ARGENTINAS</t>
  </si>
  <si>
    <t>SE HACE PRESENTE EN ESTA GUARDIA DE PREVENCIÓN LA SR. MARIA ADRIANA SORIA, MANIFESTANDO QUE SIENDO LAS 18:45 HS SE HIZO PRESENTE EN ESTE AEROPUERTO METROPOLITANO, CON EL OBJETO DE ABORDAR EL VUELO Nº AR 2460 DE LA EMPRESA AEROLÍNEAS ARGENTINAS CON DESTINO A LA CIUDAD DE SALTA, EL CUAL TENIA HORARIO DE PARTIDA A LAS 20:40 HORAS. EN EL HORARIO DE LAS 19:10 HS, PERSONAL DE LA EMPRESA AEROLÍNEAS ARGENTINAS LE INFORMA QUE EL VUELO ANTES MENCIONADO SE ENCONTRABA CANCELADO POR RAZONES CLIMATOLÓGICAS. POR LO CUAL LA PASAJERA QUE SE DIRIGIO A LA OFICINA DE VENTAS DE LA EMPRESA PARA QUE LE REPROGRAMEN EL VUELO. FINALMENTE, LUEGO DE DOS HORAS DE ESPERA PARA PODER SER ATENDIDA EN DICHA OFICINA, LOGRO OBSERVAR QUE EL PERSONAL DE AEROLÍNEAS ARGENTINAS QUE SE ENCONTRABA ATENDIENDO SE RETIRA DE LA MISMAS, MANIFESTANDO QUE LOS PASAJEROS DEBÍAN ESPERAR AL SUPERVISOR. AL NO PRESENTARSE NINGUN ENCARGADO DE LA EMPRESA EN CUESTION, NI OTORGALE A LA DENUNCIANTE DEVOLUCION DEL COSTO DEL PASAJE O REPROGRAMCION DE VUELO, NI REFRIGERIO NI ALOJAMIENTO, LA MISMA SE HACE PRESENTE EN ESTA GUARDIA DE PREVENCION A FIN DE RADICAR LA CORRESPONDIENTE DENUNCIA. FINALMENTE SIENDO LAS 23:00 HS SE INTENTA INICIAR COMUNICACIÓN CON LA FISCALIA, AL NO PODER ENTABLAR COMUNICACIÓN CON EL SECRETARIO DE LA MISMA, SE AMPLIARA EL PRESENTE PU EN EL CASO DE RECIBIR NUEVAS DILIGENCIAS AL CONCRETARSE DICHA COMUNICACIÓN.</t>
  </si>
  <si>
    <t>EL DAMNIFICADO SE HACE PRESENTE EN ESTE AEROPUERTO JUNTO CON LA SRTA. POLELEL VERONICA DNI Nº 29.592.828 A FIN DE ABORDAR EL VUELO Nº AR 2478 DE LA EMPRESA AEROLÍNEAS ARGENTINAS CON DESTINO LA CIUDAD DEL TUCUMÁN EL CUAL PARTIRIA A LAS 20:15 HS. MIENTRAS LOS PASAJEROS REALIZABAN LA FILA PARA HACER EL CHECK IN EN HORAS 20:00 , UN EMPLEADO DE LA EMPRESA LES ANUNCIA QUE SU VUELO ESTABA CANCELADO DEBIDO A RAZONES METEOROLOGICAS YA QUE LA PISTA DEL AEROPUERTO DE DESTINO SE ENCONTRABA CONGELADA, POSTERIORMENTE LES PIDE SE ACERQUEN AL MOSTRADOR DE VENTAS DE LA EMPRESA EN DONDE LES REPROGRAMARIAN EL VUELO. YA EN LA FILA DEL MOSTRADOR Y SIENDO LAS 21:30 HS EL PERSONAL DE LA EMPRESA QUE SE ENCONTRABA ATENDIENDO ABANDONA EL LUGAR SIN EXPLICACIÓN ALGUNA. AL NO HABER OBTENIDO RESPUESTA DE SU EMPRESA TRANSPORTADORA RESPECTO A LA REPROGRAMACIÓN DE SU VUELO Y SINTIENDOSE PERJUDICADOS Y DESAMPARADOS POR MEDIO DE LA MISMA, SE HACEN PRESENTES EN ESTA GUARDIA DE PREVENCION A FIN DE RADICAR LA DENUNCIA CORRESPONDIENTE. FINALMENTE SE INTENTA INICIAR COMUNICACIÓN CON LA FISCALIA, NO PUDIENDO ENTABLAR COMUNICACIÓN CON EL SECRETARIO DE LA MISMA.</t>
  </si>
  <si>
    <t>DR.GUILLERMO GAGO</t>
  </si>
  <si>
    <t>CHECK IN DE AEROLINEAS ARGENTINAS - OFICINA DE VENATS DE AEROLINEAS ARGENTINAS</t>
  </si>
  <si>
    <t>LA DENUNCIANTE SE HACE PRESENTE EN ESTE AEROPUERTO METROPOLITANO JUNTO A SU HERMANA LA SRA.FORNO ANDREA FLORENCIA, DNI Nº 24.313.271 QUIEN SE ENCONTRABA CON SU HIJO DE 5 AÑOS DE EDAD, CON EL OBJETO DE ABORDAR EL VUELO Nº AR 2460 DE LA EMPRESA AEROLÍNEAS ARGENTINAS CON DESTINO A LA CIUDAD DEL SALTA, EL CUAL TENIA HORARIO DE PARTIDA A LAS 20:40 HORAS. PASADOS UNOS MINUTOS, EN EL HORARIO DE LAS 18:40 HS, LAS PASAJERAS SE DIRIGEN A REALIZAR EL CHECK IN, MOMENTO EN EL CUAL UNA EMPLEADA DE LA EMPRESA AEROLÍNEAS ARGENTINAS LES INFORMA, QUE POR RAZONES METEOROLÓGICAS LA PISTA SE ENCONTRABA CONGELADA, POR TAL MOTIVO EL VUELO A SALTA ESTABA CANCELADO. ANTE LO CUAL, LAS DAMNIFICADAS SE APERSONAN EN MOSTRADOR DE VENTAS A REALIZAR EL CAMBIO DE PASAJE. PASADAS DOS HORAS LAS ATENDIÓ UN SUPERVISOR DE LA EMPRESA AEROLÍNEAS ARGENTINAS Y LES DIO FECHA DE REPROGRAMACIÓN DE SU VUELO. DE IGUAL FORMA LAS DAMNIFICADAS PERDIERON LA RESERVA DE LOS HOTELES Y LA RESERVA DE UN AUTOMÓVIL .POR LO CUAL SE HACE PRESENTE EN ESTA GUARDIA DE PREVENCION A FIN DE RADICAR LA CORRESPONDIENTE DENUNCIA.FINALMENTE SE INTENTA INICIAR COMUNICACIÓN CON LA FISCALIA, AL NO PUDIENDO ENTABLAR COMUNICACIÓN CON EL SECRETARIO DE LA MISMA.</t>
  </si>
  <si>
    <t>PATIO DE VALIJAS - PLATAFORMA COMERCIAL - BODEGA DE AERONAVE</t>
  </si>
  <si>
    <t>SE HACE PRESENTE EN ESTA GUARDIA DE PREVENCION LA DAMNIFICADA MANIFESTANDO QUE EL DIA 17/07/10 DESPACHO POR BODEGA SU EQUIPAJE EN EL AEROPUERTO DE SANTA CRUZ CON DESTINO AL AEROPARQUE METROPOLITANO Y AL MOMENTO DE RETIRAR SU EQUIPAJE SE PERCATO DEL FALTANTE DE UNA RIÑONERA QUE HABÍA COLOCADO DENTRO DE DICHO CARRY ON. POR LO CUAL SE HACE PRESENTE EN ESTA GUARDIA DE PREVENCION A FIN DE REALIZAR LA DENUNCIA.</t>
  </si>
  <si>
    <t>BONETTI, CARLOS ALBERTO</t>
  </si>
  <si>
    <t>INFORMO : EN EL DIA DE LA FECHA EN VUELO 5U 471 DE LA EMPRESA AEROCOMERCIAL LINEAS AEREAS DEL ESTADO SE ENVIA BAJO GUIA DE CARGA N° 022-28004266, UN SOBRE CERRADO EN RELACION A LA CAUSA N° 2581 CARATULADA BONETTI, CARLOS ALBERTO S/ SU DCIA. CONFORME A LO DISPUESTO POR SU SSA DR. FEDERICO CALVETE A CARGO DEL JUZGADO FEDERAL DE USHUAIA. ASIMISMO INFORMO ESTIMA EL ARRIBO DEL VUELO A LA CIUDAD DE COMODORO RIVADAVIA A LAAS 15:00 HS</t>
  </si>
  <si>
    <t>5U 471</t>
  </si>
  <si>
    <t>DR JUAN PABLO LEGA</t>
  </si>
  <si>
    <t>ZAPATA MEJIA, GROVERTH, LAFUENTE COCA, HENRY Y SUTURI CHOQUE, EULOGIO S/INF. ART. 292 Y 296 CP</t>
  </si>
  <si>
    <t>INFORMO : EN EL DIA DE LA FECHA EN VUELO 5U 471 DE LA EMPRESA AEROCOMERCIAL LINEAS AEREAS DEL ESTADO SE ENVIA BAJO GUIA DE CARGA N° 022-28004266, UN SOBRE CERRADO EN RELACION A LA CAUSA N° 18.490 CARATULADA ZAPATA MEJIA, GROVERTH, LAFUENTE COCA, HENRY Y SUTURI CHOQUE, EULOGIO S/INF. ART. 292 Y 296 CP CONFORME A LO DISPUESTO POR LA DRA. ANA MERCEDE ORGEIRA A CARGO POR SUBROGANCIA LEGAL DEL JUZGADO FEDERAL DE USHUAIA. ASIMISMO INFORMO ESTIMA EL ARRIBO DEL VUELO A LA CIUDAD DE COMODORO RIVADAVIA A LAAS 15:00 HS</t>
  </si>
  <si>
    <t>MARIA L. BARSANTI</t>
  </si>
  <si>
    <t>INFRACCION AL ART. Nº 194 DEL CODIGO PENAL DE LA NACION</t>
  </si>
  <si>
    <t>SE RECIBE COMUNICACIÓN POR PARTE DEL OFICIAL QUE SE ENCONTRABA CUMPLIENDO FUNCIONES EN EL PUESTO DENOMINADO BRAVO, MANIFESTANDO QUE EL MISMO ES INFORMADO POR PARTE DEL PERSONAL DE AEROPUERTOS ARGENTINA 2000, QUE EN EL SECTOR DE LA PLANTA DE COMBUSTIBLE YPF, SE ENCONTRABAN CINCO PERSONAS DE SEXO MASCULINO, AJENAS A ESTE AEROPUERTO, LOS MISMOS HABÍAN SALTADO LA REJA PERIMETRAL DE ESTA AEROSTACIÓN Y SE ENCONTRABAN DEAMBULANDO EN LAS INMEDIACIONES. INMEDIATAMENTE SE COMISIONA UN MÓVIL DE ESTA REPARTICIÓN PARA IDENTIFICAR A LAS PERSONAS ANTES MENCIONADAS, Y CON LA PRESENCIA DE DOS TESTIGOS REQUERIDOS A TAL EFECTO, SE LOS INVITA A SER TRASLADADOS AL PUESTO BRAVO POR CERCANÍA, Y UNA VEZ IDENTIFICADOS FUERON TRASLADADOS DE CONFORMIDAD, A LA GUARDIA DE PREVENCIÓN, RESULTANDO DOS DE LOS CINCO INVOLUCRADOS, MENORES DE EDAD. SIENDO LAS 08:45 HORAS SE ENTABLA COMUNICACIÓN CON LA DRA MARIA L BARSANTI, A CARGO DE LA SECRETARIA DEL JUZGADO EN TURNO, QUIEN INFORMADA DE LAS ACTUACIONES REALIZADAS HASTA EL MOMENTO DISPONE, QUE LOS MENORES DE 18 AÑOS SEAN ENTREGADOS A SUS PADRES, PREVIA EXHIBICIÓN DE DNI, PARTIDA DE NACIMIENTO O RECONOCIMIENTO MUTUO, CARÁTULA INFRACCIÓN AL ART 194 DEL CPN Y RESPECTO A LOS TRES MASCULINOS SE COMIENCE CON LAS ACTUACIONES DE RIGOR. UNA VEZ OBTENIDOS LOS RESULTADOS DE LA DIRECCIÓN NACIONAL DE REINCIDENCIA, EN CASO DE QUE LOS CAUSANTES NO REGISTREN IMPEDIMENTOS LEGALES VIGENTES SEAN LIBERADOS, CASO CONTRARIO NUEVA COMUNICACIÓN. SE INFORMA EN P.U 4326 QUE SIENDO LAS 19 50HS DEL DIA 18/07/2010 SE PROCEDIO A LIBERAR A LOS DETENIDOS POR NO MEDIAR IMPEDIMENTOS LEGALES, LOS MISMOS SE RETIRAN CON SUS EFECTOS PERSONALES LOS CUALES ESTABAN EN RESGUARDO DE LA UNIDAD OPERACIONAL. SE INFORMA EN P.U 4336 QUE SE PROCEDIO A LA ENTREGA DE LOS MENORES DE EDAD A SUS RESPECTIVOS PADRES SEGUN LO ORDENADO POR LA JUDICATURA ACTUANTE.</t>
  </si>
  <si>
    <t>INFORMO SIENDO LAS 16:45 HS LOCAL, PERSONAL DE LA EMPRESA AEROLINEAS ARGENTINAS SRTA. ANTONELA BOSETTI ANUNCIA VERBALMENTE LA CANCELACION DEL VUELO Nº 1494 PROCEDENTE DE AEROPARQUE JORGE NEWBERY CON DESTINO A LA CIUDAD DE SANTIAGO DEL ESTERO A CAUSA DE VENCIMIENTO DE TRIPULACION. LOS PASAJEROS SERAN TRASLADADOS VIA TERRESTRE HACIA LA CIUDAD DE BUENOS AIRES APROXIMADAMENTE A LAS 21:00 HS LOCAL.</t>
  </si>
  <si>
    <t>4324/10</t>
  </si>
  <si>
    <t>SIENDO LAS 19:50 HS, SEGUN LO DISPUESTO POR LA JUDICATURA ACTUANTE SE PROCEDE A LA LIBERACION DE LOS DETENIDOS, POR NO MEDIAR IMPEDIMENTO LEGAL SEGUN LOS RESULTADOS OBTENIDOS POR LA DIRECCION NACIONAL DE REINCIDENCIA.</t>
  </si>
  <si>
    <t>DRA. MARIA L. BARSANTI</t>
  </si>
  <si>
    <t>AEROPUERTO INTERNACIONAL CORDOBA</t>
  </si>
  <si>
    <t>SIENDO LA HORA Y EL DÍA ANTES MENCIONADO, SE HACE PRESENTE EN ESTA GUARDIA DE PREVENCIÓN UNA PERSONA QUE DESEA RADICAR UNA DENUNCIA, PERO DEBIDO A QUE SE ENCONTRABA PRÓXIMO A EMBARCAR CON DESTINO A ASUNCIÓN, REPUBLICA DE PARAGUAY, SE REALIZA EXPOSICIÓN Nº 97/10, LA CUAL VALDRÁ COMO DENUNCIA SEGÚN LO ORDENADO POR LA JUDICATURA ACTUANTE. EXPONIENDO QUE SIENDO LAS 14:00HORAS APROXIMADAMENTE ARRIBO AL AEROPUERTO INTERNACIONAL DE CÓRDOBA CON MOTIVO DE ABORDAR EL VUELO AR 1531 DE LA EMPRESA AEROCOMERCIAL AEROLÍNEAS ARGENTINAS CON DESTINO A LA CIUDAD DE BUENOS AIRES, CUANDO EN EL MOMENTO DE REALIZAR EL CONTROL EN EL PREEMBARQUE DE DICHO AEROPUERTO, EL OFICIAL ALEJANDRO ALMIRON QUE SE ENCONTRABA EN UNA DE LAS MAQUINAS DE RAYOS X, LE SOLICITO QUE EXHIBIERA SU BOLSO DE MANO EL CUAL ACABABA DE SER ESCANEADO, A LO CUAL ACCEDIÓ SACANDO DE SU INTERIOR SU COMPUTADORA PERSONAL ENCENDIÉNDOLA Y SACANDO CADA UNO DE LOS ELEMENTOS QUE SE ENCONTRABAN DENTRO DEL EQUIPAJE, LUEGO LE SOLICITO EL TICKET DEL EQUIPAJE DESPACHADO PARA QUE LO ACOMPAÑARA A CHEQUEAR EL MISMO, A LO CUAL SE NEGÓ, CONTESTÁNDOLE EL OFICIAL QUE SIC. " SI NO CHEQUEAMOS SU EQUIPAJE USTED NO VA A ABORDAR EL AVIÓN", POR LO QUE EL PASAJERO SOLICITO QUE SE LE EXHIBIERA EL LUGAR DONDE ESTABA PLASMADO DICHA MEDIDA, A LO QUE LE RESPONDIERON QUE SIC. "ESTOY FACULTADO PARA SOLICITARLO". ACTO SEGUIDO SE DIRIGIERON HACIA EL SECTOR DONDE SE ENCONTRABA EL EQUIPAJE DESPACHADO PARA APERTURARLO, Y ES ALLÍ DONDE EL PASAJERO LE SOLICITA AL TESTIGO QUE SE ENCONTRABA PRESENCIANDO LA APERTURA DE DICHO EQUIPAJE, SU IDENTIFICACIÓN, LA CUAL SE NEGÓ A EXHIBIR, POR TAL MOTIVO SE NEGÓ A ABRIR SU VALIJA, Y EL OFICIAL ANTES MENCIONADO LE DIJO SIC. "SI NO ABRE SU VALIJA VOY A LLAMAR AL MEDICO DEL AEROPUERTO Y LE VA HACER UNA PERICIA PSIQUIATRITA PARA QUE NO PUEDA ABORDAR EL AVIÓN", FINALMENTE ACCEDIÓ A LA APERTURA DE SU VALIJA, LA CUAL FUE REVISADA EN SU TOTALIDAD, QUEDANDO ESTA SIN EL CANDADO QUE LLEVABA POR SEGURIDAD. SIENDO LAS 20:30 HORAS SE REALIZA COMUNICACIÓN CON LA JUDICATURA ACTUANTE QUIEN DISPONE QUE: DEBIDO AL ESCASO TIEMPO DEL DENUNCIANTE, SE TOME COMO DENUNCIA DICHA EXPOSICIÓN, TESTIMONIAL AL OF. JEFE ALEJANDRO SILVA, CIERRE Y ELEVE.</t>
  </si>
  <si>
    <t>AR 1531</t>
  </si>
  <si>
    <t>GOVETTO Martin</t>
  </si>
  <si>
    <t>S/INFRACCION A LA LEY 20.429</t>
  </si>
  <si>
    <t>SIENDO LAS 23:10 HS. EL OFICIAL AYUDANTE MARTIN FERNANDEZ, LEGAJO NRO 502.598 DETECTA EN PATIO DE VALIJAS UN EQUIPAJE DE LA EMPRESA AEROCHACO TRANSPORTANDO PRESUMIBLEMENTE UN ARMA DE FUEGO. SIENDO EL PROPIETARIO DEL EQUIPAJE LA SRA. MARCELA MARIA LEDESMA, DNI 14.502.109, A QUIEN SE LE EFECTUA REGISTRO BAJO ACTA Nº 457/10 ENCONTRANDO UN REVOLVER CALIBRE .38 SIN POSEER NINGUN TIPO DE DOCUMENTACION DEL ARMA EN CUESTION. SE REALIZA COMUNICACION CON EL JUZGADO DE INSTRUCCION Nº 2 A CARGO DEL DR.MARTIN LOZADA, SIENDO ATENDIDOS POR LA SECRETARIA DE TURNO SRA. ALICIA NIETO QUIEN DISPONE SE SECUESTRE EL ARMA MENCIONADA, SE REALICEN ACTUACIONES DE RIGOR Y LA IMPUTADA CONTINUE CON SU VIAJE PROGRAMADO.</t>
  </si>
  <si>
    <t>AUTOPISTA RICHIERI</t>
  </si>
  <si>
    <t>PUENTE RUTA 52</t>
  </si>
  <si>
    <t>SE HACE PRESENTE EN ESTA GUARDIA DE PREVENCIÓN UNA PERSONA QUE DESEA RADICAR UNA DENUNCIA, INFORMANDO QUE EN EL DÍA DE LA FECHA SIENDO LAS 1710 HORAS APROXIMADAMENTE ARRIBÓ AL AEROPUERTO INTERNACIONAL DE EZEIZA, PROCEDENTE DE LA CIUDAD DE SAN PABLO, BRASIL, LUEGO DE RETIRAR SU EQUIPAJE DESPACHADO, SE ACERCO A UN STAND DE LA EMPRESA MANUEL TIENDA LEON CON MOTIVO DE CONTRATAR UN TAXI QUE LA TRASLADARA HACIA ESTE AEROPUERTO METROPOLITANO, YA QUE DEBÍA ABORDAR UN VUELO A LA CIUDAD DE CÓRDOBA, LUEGO DE ABONAR EL SERVICIO EN DICHO STAND, Y SIENDO LAS 1800 HORAS APROXIMADAMENTE, SE DIRIGIÓ HACIA LA VEREDA UBICADA EN LA SALIDA DE LA TERMINAL "A", PARA AGUARDAR SU VEHICULO, Y EN ESE MOMENTO QUE SE LE ACERCO UN MASCULINO Y LE MANIFIESTO QUE ERA EL CHOFER DE LA EMPRESA MANUEL TIENDA LEON QUE LO IBA A TRASLADAR, POR TAL MOTIVO SE DIRIGIO AL VEHICULO, AL CUAL DESCRIBE DE COLOR NEGRO Y AMARILLO, DONDE EN EL ASIENTO DEL ACOMPAÑANTE SE ENCONTRABA OTRA PERSONA DE SEXO MASCULINO, AÚN ASÍ INGRESO AL MISMO Y UNA VEZ EN SU INTERIOR Y LUEGO DE DECIRLE A DONDE SE DIRIGÍA, DESPUÉS DE SALIR DE LA JURISDICCIÓN DEL AEROPUERTO, EN PROXIMIDADES AL PRIMER PUENTE QUE SE ENCUENTRA EN LA AUTOPISTA, DETUVO EL VEHICULO, SE DIO VUELTA Y TOMO LA CARTERA QUE LLEVABA A SU LADO, LA ABRIÓ Y SUSTRAJO DEL INTERIOR DE LA MISMA DINERO EN EFECTIVO, LUEGO SE DIRIGIÓ A LA PARTE TRASERA DEL AUTO, SACO SU EQUIPAJE, SE LO ENTREGO Y LE SOLICITO QUE SE BAJE DEL AUTOMÓVIL, MARCHÁNDOSE LUEGO JUNTO CON LA OTRA PERSONA QUE SE ENCONTRABA EN EL VEHICULO. SEGUIDAMENTE LA DAMNIFICADA PARO OTRO TAXI QUE LA TRASLADO AL AEROPARQUE METROPOLITANO Y UNA VEZ ALLI REALIZO LA DENUNCIA. SIENDO LAS 2245 HORAS SE REALIZO COMUNICACIÓN CON LA JUDICATURA ACTUANTE QUIEN DISPUSO: NOTA PARA INDIVIDUALIZACIÓN CRIMINAL, REGISTROS FÍLMICOS DEL AEROPUERTO Y DE LA TAQUILLA DE INGRESO Y EGRESO AL MISMO, APOYO TECNOLÓGICO, CIERRE Y ELEVE.</t>
  </si>
  <si>
    <t>SE PRESENTA EN ESTA GUARDIA DE PREVENCIÓN EL DAMNIFICADO, COMUNICANDO QUE EL DIA 18/07/10 DESPACHO POR BODEGA SU EQUIPAJE EN EL AEROPUERTO DE SALTA Y AL ARRIBAR AL AEROPARQUE METROPOLITANO, EN MOMENTOS DE RETIRAR SU EQUIPAJE, OBSERVO QUE EL CANDADO QUE HABÍA COLOCADO EN EL CIERRE SUPERIOR DE SU BOLSO DE TELA COLOR NEGRO, YA NO ESTABA, MOTIVO POR EL CUAL PROCEDIO A CHEQUEAR EL CONTENIDO DEL MISMO PERCATÁNDOSE DEL FALTANTE DE VARIOS ELEMENTOS, RÁPIDAMENTE SE DIRIGIÓ A ESTA GUARDIA DE PREVENCIÓN PARA REALIZAR LA DENUNCIA.</t>
  </si>
  <si>
    <t>LA 4139</t>
  </si>
  <si>
    <t>DR ERNESTO F. MENDIETA</t>
  </si>
  <si>
    <t>BONETTI CARLOS ALBERTO S/DCIA</t>
  </si>
  <si>
    <t>SIENDO LAS 09:45 HORAS LOCAL SE TRASLADA UN SOBRE CERRADO CONTENIENDO EN SU INTERIOR CAUSA Nº 2581 CARATULADA BONETTI CORLOS ALBERTO S/DCIA QUE CONSTA DE UN CUERPO DE UN TOTAL DE 15 FOJAS UTILES, ENVIADO POR LA UNIDAD OPERACIONAL DE USHUAIA, PARA SER TRASLADADO A LA EXCELENTISIMA CAMARA FEDERAL DE APELACIONES DE COMODORO RIVADAVIA.</t>
  </si>
  <si>
    <t>DR PABLO JUAN LEGA</t>
  </si>
  <si>
    <t>ZAPATA MEJIA GROVERTH, LAFUENTE COCA HENRY Y SUTURI CHOQUE EULOGIO S/INF ART 292 Y 296 CP</t>
  </si>
  <si>
    <t>SIENDO LAS 09:45 HORAS LOCAL SE TRASLADA UN SOBRE CERRADO CON DOCUMENTACION RESPECTO A LA CAUSA 18490 CARATULADA ZAPATA MEJIAS GROVERTH, LAFUENTE COCA HENRY Y SUTURI CHOQUE EULAGIO S/INF ART 292 Y 296 CP. QUE CONSTA DE TRES CUERPOS CON UN TOTAL DE 568 FOJAS UTILES, ENVIADA POR LA UNIDAD OPERACIONAL DE USHUAIA, SER TRASLADADA A LA EXCENTISIMA CAMARA FEDERAL DE APELACIONES DE COMODORO RIVADAVIA.</t>
  </si>
  <si>
    <t>SECTOR - PLANTA DE COMBUSTIBLE YPF</t>
  </si>
  <si>
    <t>SE AMPLIA EL PARTE CON LOS DATOS DE LOS MENORES FALTANTES EN EL PU Nº 4324/10. LOS MISMOS FUERON ENTREGADOS A SUS PADRES POR ORDEN DE LA JUDICATURA ACTUANTE EL DIA 18 DE JULIO DEL CORRIENTE AÑO, EN HORAS DE LA MAÑANA, SIN NOVEDAD.</t>
  </si>
  <si>
    <t>EN EL DIA DE LA FECHA SE PRESENTA EL DECLARANTE, EMPLEADO DE LA ANAC-SERVICIO METEOROLOGICO NACIONAL- A FIN DE PONER EN CONOCIMIENTO EL EXTRAVIO DE DE SU PERMISO PERSONAL PERMANENTE NRO. 328424, CON SECTORES 4,5 Y 6, CON VENCIMIENTO EL DIA 26/01/11, NO PUDIENDO PRECISAR EL LUGAR, NI LA FECHA DEL EXTRAVIO</t>
  </si>
  <si>
    <t>4303/10</t>
  </si>
  <si>
    <t>SEGUN LA TESTIMONIAL PRESTADA POR EL SR. MORENO ALEJANDRO EMPLEADO DE LA EMPRESA JUNCADELLA SA, EL MISMO MANIFESTO HABER RECIBIDO COMUNICACION TELEFONICA POR PARTE DE LA EMPRESA JUNCADELLA SA CON ASIENTO EN LA PROVINCIA DE MENDOZA DONDE INFORMABAN QUE EN LAS SACAS OBJETO DE LA RESENTE DENUNCIA, LUEGO DE REALIZAR UN CONTEO DEL CONTENIDO LA MISMA NO PRESENTABA NINGUN FALTANTE.</t>
  </si>
  <si>
    <t>AUXILIAR CINTIA FIGUEROA</t>
  </si>
  <si>
    <t>SECTOR DE CARGA DE CURRIER</t>
  </si>
  <si>
    <t>CORREO ARGENTINO SERVICIO LOGISTICO</t>
  </si>
  <si>
    <t>CORREO ARGENTINO CTP MENDOZA</t>
  </si>
  <si>
    <t>SIENDO LAS 11:50 HORAS SE PRESENTA EN LA GUARDIA DE PREVENCION PERSONAL DE CORREO ARGENTINO MANIFESTANDO QUE AL RECIBIR EL CURRIER DE PARTE DE PERSONAL DE JET PAQ, OBSERVA UNA SACA CON SU COSTADO RASGADO, POR LO QUE PROCEDE A PESARLA Y NOTA UNA DIFERENCIA DE NUEVE KILOS Y MEDIO CON RESPECTO A LO MANIFESTADO EN LA GUIA DE CARGA, AL VERIFICAR LA DOCUMENTACION DE LA SACA EN LA MISMA SE INFORMABA DEL CONTENIDO DE UN TOTAL DE CINCO CAJAS, EN LA SACA ROTA SE OBSERVABAN SOLAMENTE TRES CAJAS, FALTANDO DOS DE ELLAS. POR LO QUE SE REALIZA COMUNICACION TELEFONICA CON LA AUTORIDAD JUDICIAL CORRESPONDIENTE , QUIEN DISPONE QUE SE INICIEN LAS ACTUACIONES POR ROBO SIMPLE Y SE DERIBE AL DENUNCIANTE A LA OFICINA FISCAL PARA RADICAR LA DENUNCIA Y SE ELEVEN LAS ACTUACIONES CORRESPONDIENTES.</t>
  </si>
  <si>
    <t>SE AMPLIA PARTE N° 3986 DE FECHA 19 DE JULIO DE 2010.TAREAS INVESTIGATIVAS SEGUN ORDEN DE SERVICIO N°013/10. SE INICIA LA INVESTIGACION A CONSECUENCIA DE UN PARTE INFORMATIVO DE LA DRICA III DEL NORTE, DONDE SE INDICA QUE UNA PERSONA DE NACIONALIDAD ITALIANA DEBIA EMBARCAR DESDE SALTA A BS.AS. CON CONEXION A MADRID, EL MISMO NO SE PRESENTO. SE ESTABLECIO QUE ESTA PERSONA ESTA VINCULADA CON GENTE QUE POSEE ANTECEDENTES PENALES. EL N° DE CAUSA ERA 778/09 CARATULADA AVERIGUACION INFRACCION A LA LEY 23737 Y/O 22.415, LUEGO EL TRIBUNAL ORDENA ACUMULAR A LA CAUSA QUE ACTUALMENTE SE INVESTIGA, YA QUE ESTAS PERSONAS ESTAN VINCULADAS FAMILIARMENTE. INFORMO QUE HASTA EL MOMENTO NO SE RECIBIO REPUESTA DE WESTERN UNION. A SU VEZ SE RECEPCIONO EL ENTRECRUZAMIENTO SOLICITADO, SIENDO ESTE DE MUCHA UTILIDAD PARA EL ANALISIS DE LA INFORMACIÓN. ACTUALMENTE SE ENCUENTRAN INTERVENIDAS DOS LINEAS TELEFONICAS Y SE CREE QUE UNA DE LAS PERSONAS INVESTIGADAS TENDRIA DOBLE IDENTIDAD. ESTA UNIDAD SE ENCUENTRA REALIZANDO ANÁLISIS DE SABANAS TELEFONICAS A FIN DE ESTABLECER OTROS TELEFONOS UTILIZADOS POR LOS CAUSANTES. SE AMPLIARA CUANDO SURJAN NOVEDADES.</t>
  </si>
  <si>
    <t>SIENDO LA FECHA Y HORA ANTES MENCIONADA, EN MOMENTOS EN QUE LOS OFICIALES LONGHINI Y HANEMANN SE ENCONTRABAN EN UNA RECORRIDA POR EL SECTOR MENCIONADO CON ANTERIORIDAD, OBSERVAN Y SORPRENDEN A UNA PERSONA DE SEXO MASCULINO, LA CUAL SE ENCONTRABA REALIZANDO SERVICIO DE MALETERO CARECIENDO DE LA CORRESPONDIENTE HABILITACION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</si>
  <si>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DRA CALUDIA CECCONI</t>
  </si>
  <si>
    <t>PERGOLA 3 DE LA TERMINAL A</t>
  </si>
  <si>
    <t>SIENDO LA FECHA Y HORA ANTES MENCIONADA EL OFICIAL CAMPS SE ENCONTRABA CUMPLIENDO SERVICIO EN EL CENTRO OPERATIVO DE CONTROL, A TRAVES DE LAS CAMARAS OBSERVA A UNA PERSONA DE SEXO MASCULINO QUE SE ACERCA INSISTENTEMENTE A LOS PASAJEROS, DANDO LA NOVEDAD A LA OFICIAL HANEMANN, QUIEN SE APERSONA EN EL LUGAR Y CONSTATA QUE EL MASCULINO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</si>
  <si>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3 TERMINAL A</t>
  </si>
  <si>
    <t>SIENDO LA FECHA Y HORA ANTES MENCIONADA EL OFICIAL CAMPS QUIEN SE ENCUENTRA CUMPLIENDO SERVICIO EN EL CENTRO OPERATIVO DE CONTROL OBSERVA A UNA PERSONA DE SEXO MASCULINO QUE SE ACERCA INSISTENTEMENTE A LOS PASAJEROS, DANDO LA NOVEDAD VIA NEXTEL AL OFICIAL ZUMPANO, EL MISMO SE APROXIMA AL LUGAR ANTES MENCIONADO Y CONSTATA QUE EL MASCULINO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</si>
  <si>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FECHA Y HORA ANTES MENCIONADA EL OFICIAL CAMPS SE ENCONTRABA CUMPLIENDO SERVICIO EN EL CENTRO OPERATIVO DE CONTROL A TRAVES DE LAS CAMARAS OBSERVA A UNA PERSONA DE SEXO MASCULINO QUE SE ACERCA INSISTENTEMENTE A PASAJEROS, DANDO LA NOVEDAD VIA NEXTEL AL OFICIAL ZUMPANO, QUIEN SE APROXIMA AL LUGAR ANTES MENCIONADO Y CONSTATA QUE EL MASCULINO EN CUESTION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</si>
  <si>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4263/10</t>
  </si>
  <si>
    <t>MEDIANTE ORDEN DE APERTURA DE ENCOMIENDA Nº 1602 DISPUESTA A FS 05 DEL EXPEDIENTE Nº 10/10 LIBRADAS EN LOS AUTOS CARATULADOS UT SUPRA, SE PROCEDE A LA APERTURA DE UNA ENCOMIENDA ,OBSERVANDOSE EN SU INTERIOR UN CONTENEDOR PLASTICO TRANSPARENTE DE 19 CM DE LARGO POR 18 CM DE ANCHO POR 5,5 CM DE PROFUNDIDAD CONTENIENDO DOS ESFERAS DE COLOR BLANCO LECHOSO CON APARIENCIAS DE SER PROTESIS MAMARIA ; SE REALIZA TEST DE ORIENTACION COCA TEST ARROJANDO RESULTANDO NEGATIVO SE PROCEDE A LA APERTURA DE LA SEGUNDA ENCOMIENDA CONSISTENTE EN UNA CAJA DE CARTON DE 41 CM DE LARGO POR 31 DE ANCHO POR 21 CM DE PROFUNDIDAD ENCONTRANDO EN SU INTERIOR DOS CONTENEDORES DE PLASTICO CON UNA ETIQUETA QUE REZA WHEY PROTEIN Y OTRA INSCRIPCION SECUNDARIA QUE REZA SUPLEMENTO DIETARIO A BASE DE PROTEINA DE SUERO LACTEO SEGUIDAMENTE SE PROCEDE A REALIZAR TEST DE ORIENTACION COCA TEST DANDO COMO RESULTADO NEGATIVOS.POSTERIORMENTE AL CONSULTAR POR TELEFONO CON EL SECRETARIO DEL JUZGADO FEDERAL DISPONE QUE SE CONFECCIONE UN ACTA Y SE DERIVE LAS ENCOMIENDAS AL CORREO ARGENTINO TODO ESTE PROCEDIMIENTO SE LLEVO A CABO CON PRESENCIA DE DOS TESTIGOS</t>
  </si>
  <si>
    <t>PERGOLA ARRIBOS FRENTE PARADA DE TAXI DE LA TERMINAL A</t>
  </si>
  <si>
    <t>SIENDO LA FECHA Y HORA ANTES MENCIONADA, EN MOMENTOS EN QUE LOS OFICIALES ROMEO Y HANEMANN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</si>
  <si>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EQUIPO A, UNIDAD FISCALIA NORTE EN LO PENAL CONTRAVENCIONAL Y DE FALTAS</t>
  </si>
  <si>
    <t>DRA. MARIA SOLEDAD ROM</t>
  </si>
  <si>
    <t>PARKING 2</t>
  </si>
  <si>
    <t>ESTACINAMIENTO DESCUBIERTO NORTE</t>
  </si>
  <si>
    <t>EL DAMNIFICADO AL MOMENTO DE ACERCARSE A SU VEHICULO PARTICULAR EL CUAL SE ENCONTRABA EN EL LUGAR ANTES MENCIONADO SE PERCATA QUE EL MISMO TIENE UN DAÑO EN LA CERRADURA, Y AL MOMENTO DE INGRESAR SE PERCATA QUE EL TABLERO INDICA UN BLOQUEO ELECTRONICO DE TODO EL SISTEMA, POR LO QUE NO ES POSIBLE PONERLO EN MARCHA. MOTIVO POR EL CUAL SE RETIRA DEL AEROPUERTO EN REMIS.</t>
  </si>
  <si>
    <t>AUGE</t>
  </si>
  <si>
    <t>Juan Carlos</t>
  </si>
  <si>
    <t>INFRACCION AL ART. 162 EN EL GRADO DE TENTATIVA</t>
  </si>
  <si>
    <t>LOCAL 22 FREE SHOP UBICADO EN EL PRIMER PISO DE LA TERMINAL A</t>
  </si>
  <si>
    <t>EL JEFE DE SERVICIO DE LA EMPRESA INTERBAIRES, DENUNCIA QUE SIENDO LAS 1100 HORAS APROXIMADAMENTE UNA PASAJERA HABIA SUSTRAIDO DE UNA DE LAS GONDOLAS UN PRODUCTO DE CREMA, EXTRAYENDO SU CAJA ENVOLTORIA Y POSTERIORMENTE PROCEDE EN UN ACCIONAR EVASIVO AL PAGO DEL MENCIONADO ELEMENTO, A INTRODUCIRLO EN EL INTERIOR DE UNA CARTERA QUE PORTABA EN LA OPORTUNIDAD. QUE MANTENIDAS COMUNICACION TELEFONICA CON EL JUZGADO INTERVINIENTE, DISPUSO LA DETENCION DE LA PASAJERA, SECUESTRO Y POSTERIOR ENTREGA DEL ELEMENTO HURTADO Y SE ELEVE TODO LO ACTUADO, JUNTO CON LA DETENIDA, A PRIMERA HORA DEL DIA VEINTE DEL MES Y AÑO EN CURSO. SE INFORMA EN PU Nº 4357 DEL DIA 20/7/10 SE CUMPLIMENTA LA ORDEN DE SERVICIO Nº 442/10 SIENDO LAS 0700 HORAS SE PROCEDIO DE ACUERDO A LO DISPUESTO POR LA JUDICATURA ACTUANTE AL TRASLADO DE LA DETENIDA JUNTO CON TODAS LAS ACTUACIONES A SEDE JUDICIAL</t>
  </si>
  <si>
    <t>INTERIOR DE AERONAVE, SECTOR DE PASAJEROS</t>
  </si>
  <si>
    <t>SE PRESENTO EL DENUNCIANTE A ESTA INSTRUCCION MANIFESTANDO QUE EN OCASION DE DESCENDER DE LA AERONAVE DEL VUELO DE REFERENCIA, AL SER TRANSPORTADO POR EL COLECTIVO DE INTERCARGO DESDE LA PLATAFORMA HASTA LA SALA DE ARRIBOS, SE PERCATA DEL FALTANTE DE SU BILLETERA, POR LO QUE INMEDIATAMENTE Y YA ESTANDO EN LA MENCIONADA SALA, SE CONTACTA CON PERSONAL DE LA EMPRESA AEREA PARA ANOTICIARLO DE LO SUCEDIDO. MINUTOS MAS TARDE, EL PERSONAL DE LA EMPRESA EN CUESTION, LE ALCANZA LA BILLETERA, Y AL ABRIRLA EL DENUNCIANTE SE PERCATA DEL FALTANTE DE TODO SU DINERO, ESTO ES UN MIL QUINIENTOS PESOS.</t>
  </si>
  <si>
    <t>BUENOS AIRES - AEP</t>
  </si>
  <si>
    <t>INFORMO POR ESTE MEDIO, QUE SE DIO CUMPLIMIENTO A LA ORDEN DE SERVICIO 079/10 EMANADA POR LA JEFATURA DE ESTA UNIDAD OPERACIONAL. ARRIBANDO EL VUELO A LA HORA INDICADA, REALIZANDOSE LA CONFERENCIA A LAS VEINTIUNA HORAS QUINCE MINUTOS Y FINALIZANDO LA MISMA A LAS VEINTIUNA HORAS CUARENTA MINUTOS, RETIRANDOSE EL PLANTEL DEL SELECCIONADO ARGENTINO DE JOCKEY DE ESTE AEROPUERTO INTERNACIONAL SIN NOVEDAD.</t>
  </si>
  <si>
    <t>MARINA RECABARRA</t>
  </si>
  <si>
    <t>EN CERCANIAS DE LA CINTA TRANSPORTADORA DE EQUIPAJES</t>
  </si>
  <si>
    <t>SECTOR RESTRINGIDO DE ARRIBOS INTERNACIONALES</t>
  </si>
  <si>
    <t>EN EL DIA DE LA FECHA SIENDO LA HORA ANTES MENCIONADA SE HACE PRESENTE EN LA GUARDIA DE PREVENCION EL DAMNIFICADO, MANIFESTANDO QUE EL DÍA 17 DEL CORRIENTE MES Y AÑO, SIENDO LAS 1330 HORAS APROXIMADAMENTE ARRIBO A ESTE AEROPARQUE METROPOLITANO EN EL VUELO AR 1241 DE LA EMPRESA AEROLÍNEAS ARGENTINAS, PROCEDENTE DE LA CIUDAD DE SAN PABLO BRASIL, LUEGO DE REALIZAR LOS TRAMITES MIGRATORIOS DE INGRESO AL PAÍS, SE DIRIGIO CON SU BOLSO DE MANO DEL TIPO PORTA NOTEBOOK, EL CUAL TENIA COLGADO A SU ESPALDA, A LA CINTA DE EQUIPAJES PARA RETIRAR SU MALETA, MOMENTO EN EL CUAL SE ENCONTRABA JUNTO CON LOS DEMÁS PASAJEROS DEL VUELO, SINTIO QUE ALGUIEN LO EMPUJO Y QUE LE MOVIAN SU BOLSO DE MANO. LUEGO DE RETIRAR SU MALETA SALIO DEL ARRIBO, HACIA EL HALL, LUGAR EN DONDE SE PERCATO QUE UNO DE LOS BOLSILLOS FRONTALES DE SU BOLSO PORTA NOTEBOOK ESTABA ABIERTO, A LO QUE LO CERRO Y LUEGO TOMO UN TAXI CON DESTINO AL HOTEL HILTON, EN EL TRANSCURSO DEL VIAJE VERIFICO EL INTERIOR DEL BOLSILLO QUE TENIA ABIERTO Y OBSERVO QUE LE FALTABA SU BILLETERA, MOTIVO POR EL CUAL RADICA LA DENUNCIA.</t>
  </si>
  <si>
    <t>4353/10</t>
  </si>
  <si>
    <t>LOCAL 22 FREE SHOP</t>
  </si>
  <si>
    <t>INFORMO POR ESTE MEDIO QUE, DANDO CUMPLIMIENTO A LA ORDEN DE SERVICIO NUMERO 442/10, SIENDO LAS SIETE HORAS, SE PROCEDIO AL TRASLADO DE LA DETENIDA EN AUTOS, JUNTO CON TODO LO ACTUADO A SEDE JUDICIAL.</t>
  </si>
  <si>
    <t>LA 422</t>
  </si>
  <si>
    <t>SIENDO LAS LAS 08:00 HORA LOCAL ARRIBA AERONAVE MATRICULA LV BRA DE LA EMPRESA LAN ARGENTINA PROCEDENTE DE AEROPUERTO JORGE NEWBERY EN CUYAS BODEGAS 31,32 Y 42 SE DESPACHAN 122 CAJAS CON UN PESO BRUTO DE 2.806 KILOGRAMOS DE METAL - MTD - DE LA EMPRESA CERRO VANGUARDIA. EL VUELO DESPEGA A LAS 08:50 SIN NOVEDAD . SE DIO CUMPLIMIENTO A LA ORDEN DE SERVICIO NRO 0063/2010.</t>
  </si>
  <si>
    <t>SECTOR NOROESTE DEL PREDIO LINDANTE AL PARAJE LA VERNACHA ALTURA DE VOR Y A 150 MTS DE EJE DE PISTA.</t>
  </si>
  <si>
    <t>SIENDO LAS 07:15 PERSONAL DE ESTA UOSP REALIZANDO RECORRIDO PERIMETRAL DETECTAN DAÑOS EN TRES PAÑOS DE LA CERCA PLASTICA JUNTAMENTE CON DOS POSTES DERRIBADOS QUE SOSTIENE LA MENCIONADA CERCA, SE DA INTEVENCION AL SR. FISCAL FEDERAL DR. PEDRO SIMON QUIEN ORDENA SEGUIR CON LAS ACTUACIONES PERTINENTES.</t>
  </si>
  <si>
    <t>dr. WALTER LOPEZ DA SILVA</t>
  </si>
  <si>
    <t>NN S / DELITO CONTRA LA PROPIEDAD</t>
  </si>
  <si>
    <t>AMPLIANDO PARTE RESERVADO Nº 2057 DE FECHA 06/04/10 Y PARTE URGENTE Nº 3939/10 DE FECHA 30/06/10 EN EL CUAL SE INFORMO SOBRE ALLANAMIENTO EN LA FINCA UBICADA EN LA CALLE NAMUNCURA NRO 591 DE LA CIUDAD DE SAN CARLOS DE BARILOCHE, EL JUZGADO INTERVINIENTE EN EL MARCO DE LA CAUSA DE REFERENCIA MEDIANTE OFICIO JUDICIAL NRO 1197/10, DE FECHA 20/07/2010, ORDENO SE LLEVE ADELANTE LA COMPULSA DE INFORMACION, DE LOS ELEMENTOS SECUESTRADOS EN DICHO ALLANAMIENTO, DISPONIENDO LA EXPLOTACION DE INFORMACION DE DOS TELEFONOS CELULARES MARCA SONY ERICSSON , UNA NETBOOK MARCA SONY VAIO MODELO PSG-21211U , SERIE 27518040 3010325, CPU MARCA LG , DISPOSITIVO DE ALMACENAMIENTO UBS CON LA INSCRIPCION RF DEVICE RECEIVER, TODO ELLO CON EL OBJETO DE OBTENER LOS DATOS DE SUS AGENDAS, EL REGISTRO DE LLAMADAS ENTRANTES Y SALIENTES Y ALMACENAMIENTO DE MENSAJES DE TEXTOS, PARA LUEGO PROCEDER AL ANALISIS DE LOS MISMOS Y ESTABLECER SI ESTOS POSEEN INFORMACION RELACIONADA CON LA INVESTIGACION EN CURSO.</t>
  </si>
  <si>
    <t>SE HACE PRESENTE LA DAMNIFICADA, MANIFESTANDO QUE EL DIA DE LA FECHA SE APERSONO JUNTO A SU FAMILIA A ESTA AEROESTACION A FIN DE ABORDAR EL VUELO Nº AR 2428 DE AEROLINEAS ARGENTINAS CON DESTINO A LA CIUDAD DE MENDOZA PERO DEBIDO A QUE EL MISMO SALDRIA CON DEMORA DECIDIERON RETIRARSE DEL AEROPUERTO METROPOLITANO, EN UN VEHICULO TAXIMETRO HASTA PLAZA ITALIA Y LUEGO ABORDO EL SUBTE HASTA LA AVENIDA ALEM. MOMENTO EN EL CUAL LA DAMNIFICADA SE PERCATO DEL FALTANTE DE UN SOBRE COLOR GRIS QUE HABÍA COLOCADO EN EL INTERIOR DE LA MISMA. MANIFESTANDO LA MISMA QUE EN EL VIAJE EN SUBTE HABIA MUCHA GENTE AMONTONADA A SU ALREDEDOR. POSTERIORMENTE REGRESO A ESTE AEROPARQUE A FIN DE RADICAR LA DENUNCIA.</t>
  </si>
  <si>
    <t>SECTOR ARRIBOS FRENTE A PARADA DE TAXI TERMINAL A</t>
  </si>
  <si>
    <t>SIENDO LA FECHA Y HORA ANTES MENCIONADA, EN MOMENTOS EN QUE LOS OFICIALES ROBLES Y VILAS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</si>
  <si>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DOS DE LA TERMINAL A</t>
  </si>
  <si>
    <t>SIENDO LA FECHA Y HORA ANTES MENCIONADA, EN MOMENTOS EN QUE EL OFICIAL VILAS ALEJANDRO SE ENCONTRABA EN UNA RECORRIDA POR EL SECTOR MENCIONADO CON ANTERIORIDAD, OBSERVA Y SORPRENDE A UNA PERSONA DE SEXO MASCULINO, LA CUAL SE ENCONTRABA REALIZANDO SERVICIO DE MALETERO CARECIENDO DE LA CORRESPONDIENTE HABILITACION PARA TAL FIN PROCEDIENDO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</si>
  <si>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DOS TERMINAL A</t>
  </si>
  <si>
    <t>SIENDO LA FECHA Y HORA ANTES MENCIONADA, EN MOMENTOS EN QUE EL OFICIAL VILAS ALEJANDRO SE ENCONTRABA EN UNA RECORRIDA POR EL SECTOR MENCIONADO CON ANTERIORIDAD, OBSERVA Y SORPRENDE A UNA PERSONA DE SEXO MASCULINO, LA CUAL SE ENCONTRABA REALIZANDO SERVICIO DE MALETERO CARECIENDO DE LA CORRESPONDIENTE HABILITACION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</si>
  <si>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FRENTE AL AEROPARQUE EN LA VEREDA DE LA COSTANERA ALTURA PUENTE PEATONAL</t>
  </si>
  <si>
    <t>SIENDO LAS 1305 HORAS APROXIMADAMENTE EL OF. ARIZA, INFORMA QUE SE LE ACERCO UN PASAJERO, EL CUAL MANIFESTO HABER SIDO VICTIMA DE UN HECHO DE CARÁCTER DELICTUAL SOBRE LA VEREDA DE LA COSTANERA NORTE, INDICANDO EL DAMNIFICADO, QUE SE HABÍA HECHO PRESENTE EN ESTE AEROPUERTO A LOS EFECTOS DE ABORDAR EL VUELO Nº 2530 DE LA EMPRESA AEROLÍNEAS ARGENTINAS CON DESTINO A LA CIUDAD DE CÓRDOBA, Y QUE LUEGO DE HABER REALIZADO EL CHECK IN SE DIRIGIO JUNTO A SU GUIA TURISTICA A CAMINAR POR LA AV. COSTANERA. MOMENTO EN EL CUAL, ES ABORDADO POR DOS PERSONAS DE SEXO FEMENINO LAS CUALES LE INDICAN AL DAMNIFICADO, QUE SU CAMPERA SE ENCONTRABA MANCHADA, POR LO QUE SE OFRECEN A AYUDAR A LIMPIARLO, RETIRÁNDOLE LA MISMA, MOMENTO EN EL CUAL SE ACERCA UNA PERSONA DE SEXO MASCULINO QUIEN TAMBIÉN LES BRINDA SU AYUDA, PARA POSTERIORMENTE ABORDAR UN VEHICULO Y RETIRARSE DEL LUGAR. PASADO UNOS MINUTOS, EL DAMNIFICADO, SE PERCATO DEL FALTANTE DE SU BILLETERA. INMEDIATAMENTE EL OF.ARIZA LO INVITA A DIRIGIRSE A LA GUARDIA POLICIAL A FIN DE RADICAR LA DENUNCIA, PERO DADO QUE SU VUELO SE ENCONTRABA PROXIMO A PARTIR, EL DAMNIFICADO TOMÓ LA DETERMINACIÓN DE EMBARCAR. SIENDO LAS 1700 HORAS SE ENTABLA COMUNICACIÓN CON LA JUDICATURA ACTUANTE QUIEN DISPUSO LAS DILIGENCIAS DE RIGOR, INICIANDOSE DE OFICIO LAS ACTUACIONES.</t>
  </si>
  <si>
    <t>DRA. MARIANA ZABALA DUFAU.-</t>
  </si>
  <si>
    <t>TERMINAL A MAQUINA RX</t>
  </si>
  <si>
    <t>EN CONTROL EN EL PATIO DE VALIJAS A LOS EQUIPAJES DESPACHADOS EN EL VUELO DE REFERENCIA, PERSONAL POLICÍAL DETECTA UNA VALIJA CON SUSTANCIA ORGÁNICA SIN PODER DETERMINAR FEHACIENTEMENTE DE QUE ELEMENTO SE TRATABA. SE CONTACTA AL PASAJERO EN LA MANGA 3 Y SE LO TRASLADA AL PATIO DE VALIJAS DONDE RECONOCE EL EQUIPAJE EN CUESTIÓN COMO DE SU PROPIEDAD. OBTENIDAS LAS AUTORIZACIONES JUDICIALES SE PROCEDIÓ A LA REQUISA DEL BOLSO DETECTÁNDOSE EN SU INTERIOR PRENDAS DE VESTIR CON UNA DUREZA ANORMAL Y HÚMEDAS, POR LO QUE SE LE PRACTICO UN REACTIVO DE CAMPO PARA COCAÍNA SOBRE LA TELA DE DICHAS PRENDAS ARROJANDO RESULTADO POSITIVO. SE INFORMO LO ANTEDICHO AL JUZGADO INTERVINIENTE DISPONIENDO LA DETENCIÓN DEL CAUSANTE. SE INFORMA EN P.U. 4374 QUE EN HORAS 0710 DEL DIA 21/07/10 SE TRASLADO AL DETENIDO A SEDE JUDICIAL.</t>
  </si>
  <si>
    <t>PIURA // LP 305</t>
  </si>
  <si>
    <t>LIMA LP 2427 // ARGENTINA EZEIZA AZ 681 // ITALIA ROMA AZ 582</t>
  </si>
  <si>
    <t>Albania</t>
  </si>
  <si>
    <t>TIRANA</t>
  </si>
  <si>
    <t>REVISTERO UBICADO DELANTE DEL ASIENTO DE LA FILA 16</t>
  </si>
  <si>
    <t>SIENDO LA 2230 HORAS APROXIMADAMENTE LA DAMNIFICADA SE ENCONTRABA RETIRANDO SU EQUIPAJE DESPACHADO POR BODEGA EN EL SECTOR DE ARRIBOS, SE PERCATO QUE HABÍA OLVIDADO SU CAMARA DIGITAL EN EL REVISTERO UBICADO FRENTE A SU ASIENTO POR LO QUE LE INFORMO DE LO SUCEDIDO A PERSONAL DE LA EMPRESA AEREA CON QUIEN SE DIRIGIO A LA AERONAVE EN BUSCA DE DICHA CAMARA, RESULTANDO NEGATIVA LA BUSQUEDA DE DICHO ELEMENTO. ACTO SEGUIDO LA DAMNIFICADA SE DIRIGIO A LA GUARDIA DE PREVENCION A REALIZAR LA DENUNCIA.</t>
  </si>
  <si>
    <t>LA 4135</t>
  </si>
  <si>
    <t>4372/10</t>
  </si>
  <si>
    <t>SIENDO LAS SIETE HORAS DIEZ MINUTOS DEL DIA 21-07-10 EN CUMPLIMIENTO A LO ORDENADO SE PROCEDIO AL TRASLADO DEL DETENIDO HACIA SEDE JUDICIAL. PTO</t>
  </si>
  <si>
    <t>TIRINA</t>
  </si>
  <si>
    <t>3556/10</t>
  </si>
  <si>
    <t>382/10</t>
  </si>
  <si>
    <t>CONTROL CON SCAN VAN.-</t>
  </si>
  <si>
    <t>SE PROCEDE A LA APERTURA DE TRES ENCOMIENDAS DEL CORREO OFICIAL, SEGÚN ACTA DE APERTURA Nº 353/10, PREV. SUM. 067/10. EN VIRTUD DE LO ORDENADO EN OFICIO JUDICIAL Nº 2003/10, DEL MAGISTRADO ACTUANTE Y EN PRESENCIA DE UN TESTIGO HABIL, LA 1ª EP656098126AR, RTTE. NOEMI MERCADO, PERU Nº 601, Bº LA PAZ, PERICO JUJUY, C.P. 4610 Y DEST. FLORA PALAGUERRA, AKAINYK 795, Bº BINTRUS, USHUAIA, TIERRA DEL FUEGO, C.P. 9410, CONTIENE: CINCO PAQUETES DE HOJAS DE COCA, CON UN PESO TOTAL DE 2.247 GRS. LA 2ª EP656098112AR, RTTE. CELIA MERCADO, PERU 601, Bº LA PAZ, PERICO, JUJUY, C.P. 4610 Y DEST. RAMON ANDRADE, AKAINIKC 809, Bº BINTUS, USHUAIA, TIERRA DEL FUEGO, C.P. 9410, CONTIENE: SIETE PAQUETES DE HOJAS DE COCA, CON UN PESO TOTAL DE 1.745 GRS. LUEGO DE VERIFICADO SU CONTENIDO LAS MISMAS SERAN PUESTAS A DISPOSICION DE LA ADMINISTRACION DE ADUANA SALTA, POR SUPUESTA INFRACCION A LA LEY 22.415, CODIGO ADUARNERO. Y LA 3ª EP711648550AR, SERA ENTREGADA AL CORREO OFICIAL PARA SU REDESPACHO POR NO CONSTITUIR INFRACCION A LAS LEYES VIGENTES. LAS ACTUACIONES SERAN REMITIDAS A SEDE JUDICIAL. PU ORIGINARIO Nº 3533 SE PROCEDE A LA RETENCIÓN DE DOS SACAS COLECTORAS DEL CORREO OFICIAL, SEGÚN CONSTA EN ACTA DE RETENCIÓN DE CARGAS Nº 0298/10, QUE ORIGINA LA PREVENCIÓN SUMARIA 067/10, LA SACA IDENTIFICADA CON MARBETE SLA0210560D55800VAE, PRECINTO Nº J 038150, CON UN PESO DECLARADO DE 22,500 KGS, CON DESTINO A LA CIUDAD DE USUAHIA, CONTENDRIA CINCO PIEZAS POSTALES, LA SACA IDENTIFICADA CON MARBETE SLA0212311D555900RGA, PRECINTO Nº U 949718, CON UN PESO DECLARADO DE 4,400 KGRS, CON DESTINO A LA CIUDAD DE RIO GRANDE, CONTENDRIA UNA PIEZA POSTAL, LAS MISMAS ESTAN AMPARADAS EN GUÍA DE CARGA Nº 9388821-1, DESPACHADAS ATRAVÉS DE LA EMPRESA DE CARGA AEREA JET PAQ. LA RETENCIÓN SE REALIZA ANTE LA PRESUNCIÓN QUE PUDIERAN CONTENER ALGÚN ELEMENTO EN INFRACCIÓN A LA LEY 23.737 Y/O 22.415, QUEDANDO LAS MISMAS CERRADAS Y PRECINTADAS EN GUARDA EN ESTA UOSP. SE COMUNICO LA RETENCION, TELEFONICAMENTE AL JUZGADO INTERVINIENTE, Y LA APERTURA SE REALIZARÁ EN PRESENCIA DEL PERSONAL DEL CORREO OFICIAL. PU Nº 3556 AMPLIACION DE PU ORIGINARIO SE PROCEDE A LA APERTURA DE DOS SACAS COLECTORAS DEL CORREO OFICIAL, SEGÚN CONSTA EN ACTA DE RETENCIÓN DE CARGAS Nº 0298/10, Y ACTA DEJANDO CONSTANCIA Nº 0300/10, QUE ORIGINA LA PREVENCIÓN SUMARIA 067/10. LA SACA IDENTIFICADA CON MARBETE SLA0210560D55800VAE, PRECINTO Nº J038150, CONTIENE SEIS PIEZAS POSTALES: LA 1ª EP656098126AR, RTTE. NOEMI MERCADO, PERU Nº 601, Bº LA PAZ, PERICO JUJUY, C.P. 4610 Y DEST. FLORA PALAGUERRA, AKAINYK 795, Bº BILTRUS, USHUAIA, TIERRA DEL FUEGO, C.P. 9410 Y LA 2ª EP656098112AR, RTTE. CELIA MERCADO, PERU 601, Bº LA PAZ, PERICO, JUJUY, C.P. 4610 Y DEST. RAMON ANDRADE, AKAINIK 809, Bº BILTRUS, USHUAIA, TIERRA DEL FUEGO, C.P. 9410, LAS CUALES QUEDAN RETENIDAS Y LAS CUATRO RESTANTES IDENTIFICADAS COMO EP656098466AR, EP661586736AR, EP711648577AR Y EP725099169AR, SON ENTREGADAS AL SR. ARIAS DEL CORREO OFICIAL PARA SU REDESPACHO. LA 2ª SACA SLA0212311D555900RGA, PRECINTO Nº U 949718, CONTIENE UNA PIEZA POSTAL IDENTIFICADA COMO EP711678550AR, RTTE. GABINA MAMANI, DORREGO 434, Bº GRAL. SAVIO, PALPALA, PROVINCIA DE JUJUY Y DEST. ALEJANDRO BILLOLDO, VUKASOVICH Nº 2552, RIO GRANDE TIERA DEL FUEGO, C.P. 9410, QUEDA RETENIDA. LAS RETENCIONES SE REALIZAN ANTE LA PRESUNCION DE QUE PUDIERAN CONTENER ALGUN ELEMENTO EN INFRACCION A LAS LEYES 22.415 Y/O 23.737, QUEDANDO LA MISMA CERRADA Y EN GUARDA EN ESTA UOSP. SE COMUNICO TELEFONICAMENTE AL JUZGADO INTERVINIENTE Y LA APERTURA SE REALIZARA CON LA AUTORIZACION DEL MAGISTRADO ACTUANTE</t>
  </si>
  <si>
    <t>ARIAS DUVAL, ALEJANDRO AGUSTIN Y OTROS S/HOMICIDIO PRIVACION ILEGITIMA DE LA LIBERTAD TORMENTO Y SUSTRACCION DE MENORES INCIDENTE NRO 16419/31 CARATULADO P.S.A SU CAPTURA</t>
  </si>
  <si>
    <t>CALLE SITA EN AVENIDA TOMAS CORTEZ 1212 DE LA LOCALIDAD DE MINA CLAVERO Y EN CALLE SITA REMEDIOS DE ESCALADA 433 Y 633 DE LA LOCALIDAD DE VILLA DOLORES DEPARTAMENTO SAN JAVIER, TODOS DE LA PROVINCIA DE CORDOBA</t>
  </si>
  <si>
    <t>LA PRESENTE ACTUACION POLICIAL TIENE COMIENZO SEGUN COLABORACION SOLICITADA EN MEMORANDO 213/10 DE FECHA 16 DE JULIO DE 2010 GENERADO POR LA UOCN Y DC CENTRAL DONDE SOLICITA PRACTICAR TAREAS INVESTIGATIVAS ENCUBIERTAS CON LA FINALIDAD DE ESTABLECER EL PARADERO DEL CORONEL RETIRADO ENRIQUE ARMANDO CICCIARI TITULAR DEL DNI 7.755.683 EL CUAL SE ENCONTRARIA VIVIENDO EN DOMICILIO SITO EN CALLE REMEDIOS DE ESCALADA 433 Y 633 DE LA LOCALIDAD DE VILLA DOLORES DEPARTAMENTO SAN JAVIER Y/O EN AVENIDA MINISTRO TOMAS CORTEZ 1212 DE LA LOCALIDAD DE MINA CLAVERO. SIENDO EL DIA 20 DE JULIO DEL CORRIENTE AÑO PARTIO UNA COMISION A LAS CITADAS LOCALIDADES. UNA VEZ ARRIBADOS A LA LOCALIDAD DE MINA CLAVERO SE PUDO ESTABLECER QUE EL NOMBRE CORRECTO DE LA CALLE SERIA AVENIDA MAESTRO T. CORTES. SE PUDO ESTABLECER LA EXISTENCIA DEL DOMICILIO ARROJANDO LAS TAREAS INVESTIGATIVAS RESULTADO NEGATIVO EN CUANTO AL PARADERO DEL SEÑOR CICCIARI. POSTERIORMENTE LA COMISION SE TRASLADO HASTA LA LOCALIDAD DE VILLA DOLORES DONDE SE PUDO DETERMINAR LA EXISTENCIA DE LA ALTURA CATASTRAL 433 NO SIENDO ASI LA ALTURA CATASTRAL 633 LA CUAL ES INEXISTENTE. CON RESPECTO A LAS TAREAS INVESTIGATIVAS LAS MISMAS ARROJARON RESULTADO NEGATIVO EN CUANTO AL PARADERO DEL SEÑOR CICCIARI. POSTERIORMENTE LA COMISION RETORNO SIN NOVEDAD AL AEROPUERTO INTERNACIONAL AMBROSIO TARAVELLA</t>
  </si>
  <si>
    <t>3666/10</t>
  </si>
  <si>
    <t>384/10</t>
  </si>
  <si>
    <t>SE PROCEDE A LA APERTURA DE DOS ENCOMIENDAS DEL CORREO OFICIAL SEGÚN CONSTA EN ACTA DE APERTURA Nº 355/10, PREV. SUM. Nº 070/10, EN VIRTUD DE LO ORDENADO MEDIANTE OFICIO JUDICIAL Nº 2002/10, DEL MAGISTRADO ACTUANTE Y EN PRESENCIA DE UN TESTIGO HABIL, LA 1º EP711595049AR, RTTE. SR. JUAN MAMANI, LAVALLE 269 B 23 ABRAPAMPA, CP 4640 PROV. JUJUY, Y DEST. SRA. MAGALI A. FLORES, HIELOS CONTINENTALES 2, CASA 77, CP. 9407 RIO TURBIO, SANTA CRUZ, CONTIENE: DIECISEIS PAQUETES DE HOJAS DE COCA, CON UN PESO TOTAL DE 3.877 GRS. Y LA 2º EP656098449AR, RTTE SRA. ROBERTA YUCA, LOS JAZMINES L 21 M 110, CP. 4608, MONTERRICO JUJUY, Y DEST. SR. SILVERIO CHOQUE GONZALEZ, RETIRA CORREO PEDRO LURO CP. 8148 BS. AS. CONTIENE: ONCE PAQUETES DE COCA CON UN PESO TOTAL DE 2.594 GRS. LUEGO DE VERIFICADO SU CONTENIDO LAS MISMAS SERAN PUESTAS A DISPOSICION DE LA ADMINISTRACION DE ADUANA SALTA, POR PRESUNTA INFRACCION A LA LEY 22.415, CODIGO ADUANERO, Y LAS ACTUACIONES REMITIDAS A SEDE JUDICIAL. PU ORIGINARIO Nº 3631 SE PROCEDE A LA RETENCIÓN DE TRES SACAS COLECTORAS DEL CORREO OFICIAL SEGÚN CONSTA EN ACTA DE RETENCIÓN Nº305/10 QUE ORIGINA LA PREVENCIÓN SUMARIA Nº 070/10, LA 1º SACA IDENTIFICADA COMO SLA0170612E606000BHI, PRECINTO NºD054946 CON UN PESO DECLARADO DE 12,900 KGS., CON DESTINO LA CIUDAD DE BAHÍA BLANCA, CONTIENE 03 PIEZAS POSTALES,LA 2º SACA IDENTIFICADA COMO SLA9127730E555700RGL, PRECINTO Nº U950766 CON UN PESO DE 4,800 KGS., CON DESTINO LA CIUDAD DE RIO GALLEGOS CONTIENE UNA PIEZA POSTAL, LA TERCERA SACA SIN MARBETE Y SIN PESO POR FIGURAR EL MISMO EN EL MARBETE, CON PRECINTO Nº U950640, AMPARADAS EN GUÍA AÉREA Nº 9388875-6 DESPACHADAS A TRABES DE LA EMPRESA DE CARGA AÉREA JET-PAQ, LA RETENCIÓN SE REALIZA ANTE LA PRESUNCIÓN DE QUE PUDIERAN CONTENER ALGÚN ELEMENTO EN INFRACCIÓN A LA LEY 23.737 Y/O 22.415, QUEDANDO LAS MISMAS CERRADAS Y PRECINTADAS EN GUARDA EN ESTA UOSP. SE COMUNICO TELEFÓNICAMENTE CON EL JUZGADO DE TURNO Y LA APERTURA SE REALIZARA EN PRESENCIA DEL PERSONAL DEL CORREO OFICIAL. PU Nº 3666 AMPLIACION DE PU ORIGINARIO SE PROCEDE A LA APERTURA DE TRES SACAS COLECTORAS DEL CORREO OFICIAL SEGÚN CONSTA EN ACTA DE RETENCIÓN Nº 305/10 QUE ORIGINO LA PREV. SUMARIA Nº 070/10, LA 1º SACA IDENTIFICADA COMO SLA9127730E555700RGL, CONTIENE 01 PIEZA POSTAL, IDENTIFICADA COMO EP711595049AR, RTTE. SR. JUAN MAMANI DOMICILIO CALLE LAVALLE 269 B 23 ABRA PAMPA, CP 4640 PROV. JUJUY DEST. SRA. MAGALI A FLORES HIELOS CONTINENTALES 9 CASA 77 CP. 9407 RIO TURBIO SANTA CRUZ, QUEDA RETENIDA, LA 2º SACA SLA0170612E606000BHI, CONTIENE TRES PIEZAS POSTALES LA 1º EP655041068AR, LA 2º EP656098421AR, SON ENTREGADAS AL SR. ARIAS PARA SU REDESPACHO Y LA 3º EP656098449AR RTTE SRA. ROBERTA YUCA DOMICILIO LOS JAZMINES L 21 M 110 CP. 4608 MONTERRICO JUJUY, DEST. SR. SILVERIO CHOQUE GONZALEZ RETIRA CORREO PEDRO LURO CP. 8148 BS. AS. QUEDA RETENIDA. LA 3º SACA SIN MARBETE CON PRECINTO U950640 CONTIENE DOS PIEZAS POSTALES LA 1º EC069604920AR Y LA 2º P711648648AR, SON ENTREGADAS AL SR. ARIAS PARA SU REDESPACHO. QUEDANDO LAS ENCOMIENDAS RETENIDAS CERRADAS Y EN GUARDA EN ESTA UOSP. SE COMUNICO TELEFÓNICAMENTE AL JUZGADO INTERVINIENTE Y LAS APERTURAS SE REALIZARAN CON LA AUTORIZACIÓN DEL MAGISTRADO ACTUANTE.</t>
  </si>
  <si>
    <t>INFRACCION AL ART 85 DEL DECRETO LEY 8031/73</t>
  </si>
  <si>
    <t>ENTRE LOS MOSTRADORES DEL 30 AL 41</t>
  </si>
  <si>
    <t>SIENDO LA FECHA Y HORA ANTES MENCIONADA, EN MOMENTOS EN QUE LOS OFICIALES ALEGRE Y KALENBERG SE ENCONTRABAN EN UNA RECORRIDA POR EL SECTOR MENCIONADO CON ANTERIORIDAD, OBSERVAN Y SORPRENDEN A UNA PERSONA DE SEXO MASCULINO, LA CUAL SE ENCONTRABA OFERTANDO PRODUCTOS ALIMENTICIOS A CAMBIO DE DINERO CARECIENDO DE LA CORRESPONDIENTE HABILITACION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</si>
  <si>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INFRACCION A LOS ARTS. 78 Y 85 DECRETO LEY 8031-73</t>
  </si>
  <si>
    <t>ISLA DE TAXIS C.A.B.A.</t>
  </si>
  <si>
    <t>SIENDO LA FECHA Y HORA ANTES MENCIONADA, MOMENTOS EN QUE EL OFICIAL CARABAJAL SE ENCONTRABA EN UNA RECORRIDA POR EL SECTOR MENCIONADO CON ANTERIORIDAD, OBSERVA Y SORPRENDE A UNA PERSONA DE SEXO MASCULINO, LA CUAL SE ENCONTRABA REALIZANDO SERVICIO DE MALETERO CARECIENDO DE LA CORRESPONDIENTE HABILITACION PARA TAL FIN PROCEDIENDO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</si>
  <si>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SE PROCEDE A LA RETENCIÓN DE DOS SACAS COLECTORAS DEL CORREO OFICIAL, SEGÚN CONSTA EN ACTA DE RETENCIÓN DE CARGAS Nº 356/10, QUE ORIGINA LA PREVENCIÓN SUMARIA 084/10, LA PRIMERA SACA IDENTIFICADA CON MARBETE, SLA0212241D555900RGA, PRECINTO N° Z195760, CON UN PESO DECLARADO DE 9,200 KGS, CON DESTINO LA CIUDAD DE RÍO GRANDE, CONTENDRÍA DOS PIEZAS POSTALES Y LA SEGUNDA SACA IDENTIFICADA CON MARBETE SLA85099115D555600CRD, PRECINTO Nº Z195759, CON UN PESO DECLARADO DE 4,000 KGS, CON DESTINO A LA CIUDAD DE COMODORO RIVADAVIA, CONTENDRÍA UNA PIEZA POSTAL, LAS MISMAS ESTÁN AMPARADAS EN GUÍA DE CARGA Nº 9411903-4, DESPACHADAS A TRAVÉS DE LA EMPRESA DE CARGA AÉREA JET PAQ. LA RETENCIÓN SE REALIZA ANTE LA PRESUNCIÓN QUE PUDIERAN CONTENER ALGÚN ELEMENTO EN INFRACCIÓN A LA LEY 23.737 Y/O 22.415, QUEDANDO LAS MISMAS CERRADAS Y PRECINTADAS EN GUARDA EN ESTA UOSP. SE COMUNICO LA RETENCIÓN, TELEFÓNICAMENTE AL JUZGADO INTERVINIENTE, Y LA APERTURA SE REALIZARÁ EN PRESENCIA DEL PERSONAL DEL CORREO OFICIAL.</t>
  </si>
  <si>
    <t>PREMBARQUE NACIONAL</t>
  </si>
  <si>
    <t>DURANTE EL CONTROL DE PASAJEROS, UNA PASAJERA AL PASAR POR EL ARCO DETECTOR DE METALES ACTIVO LA ALARMA DEL MISMO, SE EFECTUA UN CHEQUEO MANUAL Y SE OBSERVO QUE EN EL BOLSILLO DELANTERO IZQUIERDO DEL PANTALON TENIA UNA PROTUBERANCIA POR LO QUE LE SOLICITO QUE EXHIBA EL CONTENIDO, MOMENTO EN EL CUAL LA PASAJERA MANIFESTO SIC."SON DOS PORROS", RESULTANDO SER UNA BOLSITA DE NYLON TRASPARENTE, LA CUAL CONTENIA UNA SUSTANCIA PASTOSA COLOR VERDE. ACTO SEGUIDO SE CONVOCAN AL LUGAR DOS TESTIGOS HABILES Y SE DIRIGEN TODOS LOS MENCIONADOS A LA SALA DE REQUISA SITA EN DICHO PREEMBARQUE, SE EFECTUO A LA SUSTANCIA UN REACTIVO QUIMICO MARCA NIK QUE ARROJO RESULTADO POSITIVO PARA MARIHUANA. POSTERIORMENTE SE PROCEDE A REALIZAR EL CHQUEO DEL EQUIPAJE DE MANO DE LA CAUSANTE , DONDE SE ENCONTRO UN RECIPIENTE DE ROLLO FOTOGRAFICO QUE CONTENIA EN SU INTERIOR UNA SUSATANCIA SIMILAR A LA MENCIONADA ANTERIORMENTE, A LA CUAL SE LE REALIZO UN REACTIVO IDENTA PARA MARIHUANA , EL CUAL ARROJO RESULTADO POSITIVO. TRASLADAN TODOS LOS INTEVINIENTES A LA GUARDIA DE PREVENCION. SIENDO LAS 19:05 HORAS SE PROCEDE A REALIZAR LA COMUNICACIÓN CON LA JUDICATURA ACTUANTE, LA CUAL DISPONE LAS DILIGENCIAS DE RIGOR Y EN EL CASO DE NO PRESENTAR IMPEDIMENTOS LEGALES PROCEDER A LA SOLTURA DE LA DETENIDA SIN REALIZAR NUEVA COMUNICACIÓN CON LA JUDICATURA. SE INFORMA EN P.U. 4394 QUE EN HORAS 0430 DEL DIA 22/07/10 SE PROCEDIO A LA LIBERACION DE LA CAUSANTE, QUIEN SE RETIRA SIN NOVEDAD CON LOS EFECTOS PERSONALES QUE ESTABAN EN RESGUARDO DE LA UNIDAD.</t>
  </si>
  <si>
    <t>SANDONI</t>
  </si>
  <si>
    <t>ANDREA</t>
  </si>
  <si>
    <t>HURTO AGRAVADO POR ESCALAMIENTO</t>
  </si>
  <si>
    <t>53173/10</t>
  </si>
  <si>
    <t>CABECERA SUR NUMERO 36</t>
  </si>
  <si>
    <t>SIENDO LAS 21:40 HORAS JEFE DE BASE DE AEROPUERTO ARGENTINA 2000 SR SANTINELLI MIENTRAS REALIZABA UNA RECORRIDA DE PISTA POR LA CABEZERA DENOMINADA 36 SE PERCATA DEL FALTANTE DE 5 LUMINARIAS Y UNA TULIPA DE BALIZA DE PISTA, POR LO QUE LE DA AVISO VIA NEXTEL AL OF MAYOR MANZANAREZ, POR LO QUE EL JEFE TURNO DIA DE LA FECHA, SE DIRIGE AL LUGAR DEL HECHO PARA HACER UNA INSPECION OCULAR DE LO DENUNCIADO, EN ESE MISMO MOMENTO ENTABLA COMUNICACION CON ESTA GUARDIA DE PREVENCION ,EL SUBOFICIAL AYUDANTE CASTILLO A CARGO DE OPERACIONES DE LA IV BRIGADA AEREA ,INFORMANDO, DE QUE EN EL INGRESO A ESA INSTITUCION, SE ENCUENTRA UN MOVIL POLICIAL PERTENECIENTE A LA POLICIA DE MENDOZA, QUIEN NESECITABA COMUNICARSE CON ALGUN EFECTIVO DE ESTA UNIDAD, POR LO QUE SE REALIZA COMUNICACION CON EL OFICIAL A CARGO SIENDO ESTE EL AYUDANTE GILLI QUIEN NOS INFORMA QUE REALIZANDO UN CONTROL DE RUTINA EN LA INMEDIACIONES A ESTE AEROPUERTO, INDIVIDUALIZAN A CUATRO CIUDADANOS MENORES DE EDAD, CON ELEMENTOS, QUE HABRIAN SIDO SUSTRAIDOS EN ESTA AEROESTACION, Y QUE LOS MISMOS ESTABAN ALOJADOS EN LA COMISARIA DEL ALGARROBAL, SE REALIZAN LAS COMUNICACIONES CON LA AUTORIDAD JUDICIAL CORRESPONDIENTE, OFICINA FISCAL N° 14 SECRETARIA YAMILA ESTEBAN QUIEN INFORMA A LA DRA SANDONI ANDREA A/C DE LA UNIDAD FISCAL N°5 SUBRROGANTE DE LA UNIDAD FISCAL 3 QUIEN DISPONE , QUE LA DENUNCIA POR PARTE DEL DAMNIFICADO SE RADIQUE EN LA OFICIA FISCAL 14, SE REALICE INSPECCION OCULAR EN EL LUGAR DEL HECHO, Y QUE LAS RESTANTES ACTUACIONES SEAN ELEVADAS LO MAS URGENTES POSIBLES A LO QUE SE DA ESTRICTO CUMPLIMIENTO</t>
  </si>
  <si>
    <t>COTTER ANA</t>
  </si>
  <si>
    <t>ARIAS DUVAL, ALEJANDRO AGUSTIN Y OTROS S/ HOMICIDIOS, PRIVACION ILEGAL DE LA LIBERTAD TORMENTOS Y SUSTRACCION DE MENORES</t>
  </si>
  <si>
    <t>HABIENDOSE RECIBIDO COMUNICACION DE PARTE DEL JEFE DE UNIDAD EL DIA 20 DE JULIO DEL CORRIENTE AÑO, EN EL TURNO NOCHE DE ESE DIA, EN DONDE SE INFORMABA SOBRE LA LLEGADA A LA UNIDAD POR VIA AEREA, DE UN SOBRE CON DOCUMENTACION PARA DILIGENCIAR URGENTE, Y HABIENDOSE RECIBIDO LA MISMA EL DIA 21 DE JULIO DEL 2010 EN EL VUELO DE AEROLINEAS ARGENTINAS, DE LO QUE SE ME INFORMA Y AL ABRIRLO Y TOMAR CONOCIMIENTO DE QUE LA DOCUMENTACION DEBIA SER ENVIADA SIN FALTA HACIA LA UNIDAD OPERACIONAL DE CONTROL DEL NARCOTRAFICO Y DELITO COMPLEJO CENTRAL, A CARGO DEL COMISIONADO MAYOR MARCELO J. PULTERA, QUIEN FIRMA AL PIE DE LAS MISMAS, EN EL BOLSIN DE DOCUMENTACION EL DIA VIERNES 23 DE JULIO DEL CORRIENTE, Y ATENTO A QUE UNA DE LAS NOTAS A DILIGENCIAR VENIA DIRIGIDA AL DIRECTOR DEL HOSPITAL DEL SUR, DR. LUIS BARRESI, CON ASIENTO SEGUN LA NOTA EN LA CIUDAD DE VILLA MERCEDES DISTANTE DE ESTA UNIDAD OPERACIONAL DE APROXIMADAMENTE 90 KILOMETROS, Y EN VIRTUD DE LA RESERVA ABSOLUTA DE LA DOCUMENTACION A TRAMITAR, ES QUE DECIDO ENCABEZAR LA COMISION DE ENTREGA Y DILIGENCIAMIENTO, UNA VEZ EN LA CIUDAD DE VILLA MERCEDES, Y HABIENDO AGOTADO TODAS LAS INSTANCIAS DE BUSQUEDA SON RESULTADO NEGATIVO DE LA DIRECCION DEL HOSPITAL, ES QUE ME DIRIJO A UN MOVIL POLICIAL DE LA ZONA, QUIEN ME INFORMA QUE EL MENCIONADO HOSPITAL, NO PERTENECE A DICHA CIUDAD, SINO A LA CIUDAD DE SAN LUIS, POR LO QUE EMPRENDO EL REGRESO A UNIDAD OPERACIONAL SIN NOVEDAD RESPECTO DE LA COMSION.</t>
  </si>
  <si>
    <t>4391/10</t>
  </si>
  <si>
    <t>PREMBARQUE MACIONAL</t>
  </si>
  <si>
    <t>SIENDO LAS 04:30 HORAS DEL DIA 22 DE JULIO DEL CORRIENTE AÑO, AL NO MEDIAR IMPEDIMENTOS LEGALES VIGENTES, SE PROCEDE A LA LIBERACION DE LA SRTA. JULIETA GRACIELA NIETO, SIN NOVEDAD.</t>
  </si>
  <si>
    <t>SINDO LAS 01:17 HORA LOCAL ARRIBA AERONAVE MATRICULA LV BHU DE LA EMPRESA LAN ARGENTINA PROCEDENTE DE AEROPARQUE JORGE NEWBERY EN CUYAS BODEGAS 11,12,13,31,32,41 Y 42 SE DESPACHAN 239 CAJAS CON UN PESO BRUTO DE 5.425 KILOGRAMOS DE METAL -MTD- DE LA EMPRESA MINERA CERRO VANGUARDIA CON DESTINO A AEROPUERTO JORGE NEWBERY. EL VUELO DESPEGA A LAS 03:12 SIN NOVEDAD. SE DIO CUMPLIMIENTO A ORDEN DE SERVICIO NRO 0064/2010.</t>
  </si>
  <si>
    <t>SIENDO LAS 23:58 HORA LOCAL DEL 21 DE JULIO DEL CORRIENTE ARRIBA AERONAVE MATRICULA LV BGV DE LA EMPRESA AUSTRAL LINEAS AEREAS PROCEDENTE DE AEROPUERTO JORGE NEWBERY EN CUYAS BODEGAS 4 Y 5 SE DESPACHAN 60 BULTOS CON UN PESO BRUTO DE 2.580 KILOGRAMOS DE METAL -MTD- DE LA EMPRESA MINERA TRITON ARGENTINA S.A. CON DESTINO A AEROPUERTO JORGE NEWBERY. EL VUELO DESPEGA A LAS 06:14 SIN NOVEDAD. SE DIO CUMPLIMIENTO A ORDEN DE SERVICIO NRO 0064/2010 SIN NOVEDAD.</t>
  </si>
  <si>
    <t>SIENDO LAS 10:30 HORA LOCAL ARRIBA AERONAVE MATRICULA LV BDO DE LA EMPRESA AUSTRAL LINEAS AEREAS PROCEDENTE DE AEROPUERTO JORGE NEWBERY EN CUYA BODEGA 5 SE DESPACHAN 21 BULTOS CON UN PESO BRUTO DE 1.000 KILOGRAMOS DE METAL - MTD - DE LA EMPRESA MINERA TRITON ARGENTINA S.A. CON DESTINO A AEROPUERTO JORGE NEWBERY. EL VUELO DESPEGA A LAS 10:34 SIN NOVEDAD. SE DIO CUMPLIMIENTO A ORDEN DE SERVICIO NRO 0064/2010.</t>
  </si>
  <si>
    <t>4390/10</t>
  </si>
  <si>
    <t>SE PROCEDE A LA APERTURA DE DOS SACAS COLECTORAS DEL CORREO OFICIAL, SEGÚN CONSTA EN ACTA DEJANDO CONSTANCIA Nº 357/10, QUE ORIGINO LA PREV. SUM. 084/10, LA 1ª SACA IDENTIFICADA CON MARBETE, SLA0212241D555900RGA, PRECINTO N° Z195760, CONTIENE DOS PIEZAS POSTALES IDENTIFICADAS COMO : LA 1ª EP713100695AR, RTTE: CARMEN GORDILLO, DOMICILIO HONDURAS 360- SANTA ROSA DE LIMA, CP.4500, DEST: MAURO GORDILLO, 25 DE MAYO 1851-CASA 218-CP.9420-RIO GRANDE-TIERRA DEL FUEGO, LA CUAL QUEDA RETENIDA. LA 2ª PIEZA POSTAL IDENTIFICADA COMO EP658937287AR, LA CUAL ES ENTREGADA AL SR. NORBERTO MONTAÑO PARA SU REDESPACHO. Y LA SEGUNDA SACA IDENTIFICADA CON MARBETE SLA85099115D555600CRD, PRECINTO Nº Z195759, CONTIENE UNA PIEZA POSTAL IDENTIFICADA COMO EP661654263AR, RTTE: MARIA LUISA MENA, CON DOMICILIO EN BS AS OESTE Nº 88-METAN-SALTA-CP.4440, DEST: CECILIA CASASOLA, HUERGO Nº 1727-Bº PETROBELLI-COMODORO RIVADAVIA-CHUBUT-CP.9000, LA CUAL QUEDA RETENIDA. LA RETENCIÓN SE REALIZA ANTE LA PRESUNCIÓN QUE PUDIERAN CONTENER ALGÚN ELEMENTO EN INFRACCIÓN A LA LEY 23.737 Y/O 22.415, QUEDANDO LAS MISMAS CERRADAS Y EN GUARDA EN ESTA UOSP.SE COMUNICO TELEFÓNICAMENTE AL JUZGADO INTERVINIENTE, Y LA APERTURA SE REALIZARÁ CON LA AUTORIZACION DEL MAGISTRADO ACTUANTE.</t>
  </si>
  <si>
    <t>4393/10</t>
  </si>
  <si>
    <t>PARTE COMISION POLICIAL A LOS EFECTOS DE REALIZAR LA ENTREGA DE LA DOCUMENTACION EN LAS SEDES HOSPITALARIAS A SABER: HOSPITAL DEL SUR Y POLICLINICO CENTRAL, DE ESTA CIUDAD, COMO ASI TAMBIEN EN EL JUZGADO FEDERAL DE SAN LUIS, FINALIZANDO DE ESTA MANERA CON LO SOLICITADO POR EL COMISIONADO MAYOR MARCELO J. PULTERA TITULAR DE LA UNIDAD OPERACIONAL DE CONTROL DEL NARCOTRAFICO Y EL DELITO COMPLEJO CENTRAL, LAS CUALES SERAN ENVIADAS A LA BREVEDAD A DICHA UNIDAD REQUIRIENTE.</t>
  </si>
  <si>
    <t>3670/10</t>
  </si>
  <si>
    <t>APERTURA DE ENCOMIENDA SOL POLICIA DE SEGURIDAD AEROPORTUARIA</t>
  </si>
  <si>
    <t>385/10</t>
  </si>
  <si>
    <t>SE PROCEDE A LA APERTURA DE UNA ENCOMIENDA DEL CORREO OFICIAL SEGÚN CONSTA EN ACTA DE APERTURA Nº 359/10, PREV. SUM. Nº 072/10, EN VIRTUD DE LO ORDENADO MEDIANTE OFICIO JUDICIAL Nº 2001/10, DEL MAGISTRADO ACTUANTE Y EN PRESENCIA DE UN TESTIGO HABIL. LA ENCOMIENDA SE IDENTIFICA COMO EP675747668AR, RTTE. SR. MIGUEL E. TOROYA, Bº PUNTA DIAMANTE, LOTE 8, M12, JUJUY Y DEST. SR. LUIS BUSTAMANTE, Bº NUEVO POBLADORES, CALLE JUANA TERRAZ Nº 128, CALETA OLIVIA, SANTA CRUZ, CONTIENE: 12 PAQUETES DE HOJAS DE COCA CON UN PESO TOTAL DE 2.784 GRS. LUEGO DE VERIFICADO SU CONTENIDO LA MISMA SERA PUESTA A DISPOSICION DE LA ADMINISTRACION DE ADUANA SALTA, POR SUPUESTA INFRACCION A LA LEY 22.415, CODIGO ADUANERO, Y LAS ACTUACIONES REMITIDAS A SEDE JUDICIAL. SEGÚN PU Nº 3661/10 (ORIGINARIO) SE PROCEDE A LA RETENCIÓN DE UNA SACA COLECTORA DEL CORREO OFICIAL, SEGÚN CONSTA EN ACTA DE RETENCIÓN DE CARGAS Nº 0309/10, QUE ORIGINA LA PREVENCIÓN SUMARIA 072/10, LA SACA IDENTIFICADA CON MARBETE, SLA9127768E555600CRD, PRECINTO N° U949670, CON UN PESO DECLARADO DE 6,900 KGS, CON DESTINO LA CIUDAD DE COMODORO RIVADAVIA, CONTENDRIA TRES PIEZAS POSTALES, LA SACA SE ENCUENTRAN AMPARADA EN GUÍA DE CARGA Nº 9388887-4, DESPACHADA ATRAVÉS DE LA EMPRESA DE CARGA AEREA JET PAQ. LA RETENCIÓN SE REALIZA ANTE LA PRESUNCIÓN QUE PUDIERAN CONTENER ALGÚN ELEMENTO EN INFRACCIÓN A LA LEY 23.737 Y/O 22.415, QUEDANDO LA MISMA CERRADA Y PRECINTADA EN GUARDA EN ESTA UOSP. SE COMUNICO LA RETENCION, TELEFONICAMENTE AL JUZGADO INTERVINIENTE, Y LA APERTURA SE REALIZARÁ EN PRESENCIA DEL PERSONAL DEL CORREO OFICIAL. SEGÚN PU 3670/10 AMPL DEL ORIGINARIO SE PROCEDE A LA APERTURA DE UNA SACA COLECTORA DEL CORREO OFICIAL SEGÚN CONSTA EN ACTA DE RETENCIÓN Nº 312/10 QUE ORIGINO LA PREVENCIÓN SUMARIA Nº 072/10, LA 1º SACA IDENTIFICADA COMO SLA9127768E555600CRD, PRECINTO Nº U949670, CONTIENE 03 PIEZAS POSTALES, IDENTIFICADAS COMO LA 1ª EP680798455AR, LA 2ª EP698248714AR, SON ENTREGADAS PARA SU REDESPACHO, Y LA 3ª EP675747668AR, RTTE: SR. MIGUEL E. TROYA, CON DOMICILIO EN Bº PUNTA DIAMANTE M12 L8 JUJUY, DEST: SR. LUIS BUSTAMANTE Bº NUEVO POBLADORES CALLE JUANA TERRAZ Nº 128, CALETA OLIVIA SANTA CRUZ, QUEDA RETENIDA. LA ENCOMIENDA RETENIDA QUEDA CERRADA Y EN GUARDA EN ESTA UOSP. SE COMUNICO TELEFÓNICAMENTE AL JUZGADO INTERVINIENTE Y LA APERTURA SE REALIZARA CON LA AUTORIZACIÓN DEL MAGISTRADO ACTUANTE.</t>
  </si>
  <si>
    <t>EN EL DIA DE LA FECHA SE PRESENTA EL DECLARANTE, EMPLEADO DE A.A 2000 A FIN DE PONER EN CONOCIMIENTO EL EXTRAVIO DE SU PERMISO PERSONAL PERMANENTE N° 314314 CON LOS SECTORES 1,2,4 Y 5 CON VENCIMIENTO EL DIA 27 DE JULIO DE 2010 NO PUDIENDO PRECISAR EL LUGAR NI LA FECHA DE EXTRAVIO.</t>
  </si>
  <si>
    <t>RODRIGUES, CRISTOBAL S/DCIA</t>
  </si>
  <si>
    <t>PRIMER PISO - ZONA RESTRINGIDA</t>
  </si>
  <si>
    <t>MOSTRADOR DE ACCESO A LA MANGA B</t>
  </si>
  <si>
    <t>EN EL DIA DE LA FECHA, SE HACE PRESENTE EL CIUDADANO CRISTOBAL RODRIGUES, DESPACHANTE DE LA EMPRESA LAN ARGENTINA QUIEN REALIZA LA DENUNCIA DEL SIGUIENTE HECHO: QUE EL DIA 16/JUL/10 Y SIENDO APROXIMADAMENTE LAS 14:15 HS. MIENTRAS REALIZABA EL EMBARQUE DEL VUELO DE REFERENCIA LA JEFA DE CABINA DE ESE VUELO LE HACE ENTREGA DE UNA CAMARA DE FOTOS DIGITAL, DEPOSITANDOLA EN EL MOSTRADOR, DEL LUGAR MENCIONADO UT SUPRA, FINALIZADA SU LABOR EL DENUNCIANTE SE RETIRA DEL LUGAR SIN DICHO ELEMENTO. EL DIA 18/JUL/10 ANTE EL RECLAMO DE UN PASAJERO, SE PERCATA DEL FALTANTE DE LA MISMA, POR LO QUE SE HACE PRESENTE EN EL DIA DE LA FECHA EN ESTE TURNO DE PREVENCION RADICANDO DENUNCIA NRO 05/10, DANDOSE INTERVENCION AL JUZGADO INTERNIVINIENTE.</t>
  </si>
  <si>
    <t>GUERRERO MIGUEL ANGEL</t>
  </si>
  <si>
    <t>ACTA INTERDICCIÓN</t>
  </si>
  <si>
    <t>CONTROL DE EQUIPAJE DESPACHADO POR BODEGA MEDIANTE EQUIPO DE RAYOS X MOVIL SCAN VAN</t>
  </si>
  <si>
    <t>INFORMO QUE EN EL CONTROL DE EQUIPAJES DESPACHADOS POR BODEGA DEL VUELO NRO 1919 DE LA EMPRESA AEROLINEAS ARGENTINAS SE DETECTAN (03) TRES EQUIPAJES CON MARBETES NRO 424804, 424805 Y 424806 QUE CONTENDRÍAN EN SU INTERIOR MERCADERÍAS EN PRESUNTA INFRACCIÓN A LA LEY 22415 SE IDENTIFICA AL PROPIETARIO DE LAS MISMAS QUIEN REALIZA LA APERTURA ANTE PRESENCIA DE LOS TESTIGOS CONVOCADOS A TAL FIN CONSTATANDOSE LA EXISTENCIA DE DICHAS MERCADERÍAS EN INFRACCIÓN SE PROCEDE A LABRAR ACTA DE INTERDICCION Y SE HACE ENTREGA DE LAS MISMAS AL PERSONAL DE AFIP- DGA SR.ROJAS HUGO LEGAJO NRO 17542-1 QUIEN PROCEDE AL SECUESTRO DE LAS MISMAS BAJO ACTA DE SECUESTRO NRO 010/2010. VALOR APROXIMADO DE LAS MERCADERÍAS DOLARES ESTADOUNIDENSES DOS MIL CUATROCIENTOS OCHENTA.-</t>
  </si>
  <si>
    <t>DRA. MARINA ZABALA DUFAU</t>
  </si>
  <si>
    <t>PRIMER PISO 1/16 RX</t>
  </si>
  <si>
    <t>EN CONTROL DE PREEMBARQUE, EL CAUSANTE DEPOSITA SU EQUIPAJE DE MANO EN EL INTERIOR DE LA MAQUINA DE RAYOS X. QUE EL PERSONAL POLICIAL OBSERVA EN EL MONITOR DE DICHA MAQUINA LA EXISTENCIA DE SUSTANCIA ORGANICA EN EL SECTOR DEL FONDO DEL EQUIPAJE. QUE OBTENIDA LA AUTORIZACIOND DE REQUISA SE APERTURA EL EQUIPAJE HALLANDOSE DEBAJO DEL FORRO QUE CUBRE EL FONDO DE LA VALIJA, UNA PLACA PLASTICA, LA CUAL SE RETIRA, DEJANDOSE VER QUE DEBAJO DE ESTA, DOS PAQUETES CONTENIENDO SUSTANCIA ESTUPERFACIENTE. QUE SE DISPUSO LA DENTENCION EN CALIDAD DE INCOMUNICADO DEL PASAJERO, DEBIENDO SER TRASLADADO JUNTO A SUS MUDAS DE ROPA Y ELEMENTOS DE INTERES EL DIA VEINTITRES DEL CORRIENTE MES Y AÑO EN EL HORARIO DE LAS OCHO HORAS A SEDE JUDICIAL. DEBIENDO PERMANECER EL RESTO DE LOS SECUESTROS, SUSTANCIA, CONTENEDOR , EFECTOS, VALORES, EN RESGUARDO DE ESTA DEPENDENCIA HASTA QUE SE DISPONGA SU TRASLADO. SE INFORMA EN P.U. 4419 QUE EN HORAS 0700 DEL DIA 23/07/10 EL DETENIDO FUE TRASLADADO A SEDE JUDICIAL.</t>
  </si>
  <si>
    <t>NN S/Ley de Estupefacientes</t>
  </si>
  <si>
    <t>Establecimiento yerbatero denominado Primicia</t>
  </si>
  <si>
    <t>Ruta Nacional 14, km 749 - Gobernador Virasoro - Provincia de Corrientes</t>
  </si>
  <si>
    <t>EN EL DIA DE LA FECHA, 22 DE JULIO DEL 2010, SIENDO LAS 21:18 HS, SE RECEPCIONA ORDEN DE REGISTRO SIN NUMERO, HABILITANDO AL SR JORGE ROBERTO GALARZA DE LA DIVISION OPERACIONAL DE CONTROL DEL NARCOTRAFICO Y DELITOS COMPLEJOS IV DEL LITORAL DE LA POLICIA DE SEGURIDAD AEROPORTUARIA O PERSONAL QUE A EFECTO DESIGNE AL ALLANAMIENTO DE LA GOMERIA UBICADA EN LA RUTA NACIONAL 14 KM 749 Y DE LA VIVIENDA QUE SE ENCUENTRA EMPLAZADA ARRIBA DE LA MISMA, DE LA LOCALIDAD DE VIRASORO, PROVINCIA DE CORRIENTES. ASIMISMO PROCEDER A LA REQUISA DE LOS SIGUIENTES VEHICULOS: CAMION MARCA SCANIA DOMINIO VGH 231. ACOPLADO TIPO SEMIREMOLQUE "TANQUE CISTERNA" DOMINIO UZZ 658 Y CAMION MARCA MERCEDEZ BENZ DOMINIO DCR 683, LOS CUALES SE ENCUENTRAN EN EL INTERIOR DEL PREDIO DEL GOMERIA ANTES MENCIONADA, EL CUAL SE UBICA A SU VEZ FRENTE AL ESTABLECIMIENTO YERBATERO DENOMINADO "PRIMICIA"; TAMBIEN LA REQUISA DEL ACOMPLADO CUBIERTO CON LONA, DOMINIO ROZ 092 QUE SE ENCUENTRA PROXIMO AL PREDIO ANTES DESCRIPTO Y SOBRE EL COSTADO DE LA RUTA NACIONAL NUMERO 14. PUDIENDO PRACTICAR EL DESARME DE AUTOPARTES CON EL OBJETO DE PROCEDER AL SECUESTRO DE SUSTANCIA ESTUPEFACIENTE U OTRO ELEMENTO RELACIONADO CON LA INVESTIGACION, QUEDANDO AUTORIZADOS PARA PRACTICAR LAS REQUISAS CORPORALES DE LA PERSONAS QUE SE ENCUENTRAN EN EL LUGAR A REGISTRAR O EN LOS RODADOS DESCRIPTOS. SIENDO LAS 22.00 HS SE DA INICIO CON EL PROCEDIMIENTO AMPLIACION PARTE URGENTE Nº 4417 DE FECHA 23 DE JULIO 2010. SIENDO LAS 03:50 HS, DEL DIA DE LA FECHA, SE DA POR FINALIZADO ALLANAMIENTO SOBRE LA GOMERIA Y VIVIENDA UBICADA EN RUTA NACIONAL 14 KM 749, COMO ASI TAMBIEN REQUISA DE LOS VEHICULOS DOMINIOS VGH 231, DCR 683. SEMIREMOLQUE DOMINIO UZZ 658 Y ACOPLADO DOMINIO ROZ 092, ARROJANDO TODOS COMO RESULTADO NEGATIVO.</t>
  </si>
  <si>
    <t>INFRACCION AL ART. 239 Y 149 BIS DEL CP</t>
  </si>
  <si>
    <t>SIENDO LA FECHA Y HORA ANTES MENCIONADA EL OFICIAL VILAS SE ENCONTRABA REALIZANDO UNA RECORRIDA POR EL SECTOR DE MENCIÓN EN PREVENCIÓN Y CONJURACIÓN DE DELITOS Y FALTAS, MOMENTOS EN EL CUAL ES ADVERTIDO POR PERSONAL DE VIGILANCIA QUE UNA PERSONA DE SEXO MASCULINO SE ENCONTRABA REALIZANDO SERVICIO DE MALETERO A PASAJEROS RECIÉN ARRIBADOS AL TERRITORIO NACIONAL, LO QUE DERIVO EN LA CORRESPONDIENTE CONTRAVENCIÓN NUMERO 184-C/10, EN VIRTUD A ELLO Y EN MOMENTOS EN QUE EL MASCULINO ES CONDUCIDO HACIA LAS OFICINAS DE CONTRAVENCIONES COMIENZA CON UNA SERIE DE IMPROPERIOS Y AMENAZAS CONTRA EL PERSONAL POLICIAL. POR TAL MOTIVO SE ANOTICIA DE LOS HECHOS AL RESPONSABLE DE LA OFICINA CONTRAVENCIONES Y FALTAS OFICIAL ROMEO ALEJANDO QUIEN TAMBIÉN ES AGREDIDO EN FORMA VERBAL. EN VIRTUD A ELLO SE DA INTERVENCIÓN AL JUZGADO DESCRIPTO, QUIEN DISPUSO LA DETENCIÓN DEL MASCULINO EN CALIDAD DE INCOMUNICADO, ACTUACIONES DE RIGOR, COMPULSA ANTE INTERPOL CAVIA Y EZEIZA, FOTOS, CROQUIS ILUSTRATIVO DEL LUGAR DEL HECHO, SECUESTRO DEL D.N.I,CONSTATACION DE DOMICILIO, Y QUE UNA VEZ FINALIZADAS EL CAUSANTE SEA TRASLADADO HACIA UNIDAD PENITENCIARIA NUMERO 28 DEL SERVICIO PENITENCIARIO FEDERAL.- SEGUN PU Nº 4416 SE INFORMA QUE SIENDO LAS 0500HS SE PROCEDIO AL TRASLADO DEL DETENIDO A LA UNIDAD 28 DEL SERVICIO PENITENCIARIO.</t>
  </si>
  <si>
    <t>FISCALIA DE INVESTIGACION PROVINCIAL N° 3 DE RESISTENCIA - CHACO.</t>
  </si>
  <si>
    <t>SECRETARIA N° 3 DE RESISTENCIA- CHACO</t>
  </si>
  <si>
    <t>HECTOR ELIO VALDIVIA</t>
  </si>
  <si>
    <t>SE RECIBE DENUNCIA POR EQUIPAJE CON DAÑOS EN LA MANIJA, LA CERRADURA CON COMBINACION Y LOS BORDES CON FALTANTES EN EL INTERIOR DE LA MISMA. ASIMISMO EL FALTANTE DE UN BOLSO DEPORTIVO GRANDE, COLOR VERDE CON GUARDAS COLOR VIOLETA MARCA ADIDAS NO ENTREGADO POR LA EMPRESA. DICHO EQUIPAJE FUE RECEPCIONADO EN LAS OFICINAS DE LA EMPRESA AEROLINEAS ARGENTINAS EN EL AEROPARQUE METROPOLITANO, SE DA INTERVENCION A LA FISCALÍA ACTUANTE QUIEN DISPONE SE TOME DECLARACIÓN TESTIMONIAL AL PERSONAL QUE MANIPULA EL EQUIPAJE DE LA EMPRESA AEROHANDLING DE LOS AEROPUERTOS AEROPARQUE Y RESISTENCIA, LUEGO DE FINALIZAR LAS ACTUACIONES SE ELEVEN AL JUZGADO ACTUANTE.</t>
  </si>
  <si>
    <t>CIUDAD DE RESISTENCIA</t>
  </si>
  <si>
    <t>4414/10</t>
  </si>
  <si>
    <t>PERGOLA PARTIDAS</t>
  </si>
  <si>
    <t>QUE SIENDO LAS CERO CINCO HOARS SE PROCEDIO AL TRASLADO DEL DETENIDO A LA UNIDAD 28 DEL SERVICIO PENITENCIARIO FEDERAL SIN NOVEDAD.</t>
  </si>
  <si>
    <t>NN S/ Ley de Estupefacientes</t>
  </si>
  <si>
    <t>Ruta Nacional 14 - Km 749 - Gobernador Virasoro - Provincia de Corrientes</t>
  </si>
  <si>
    <t>AMPLIANDO PARTE URGENTE Nº 4413 DE FECHA 22 DE JULIO 2010 Y SIENDO LAS 03:50 HS, DEL DIA DE LA FECHA, SE DA POR FINALIZADO ALLANAMIENTO SOBRE LA GOMERIA Y VIVIENDA UBICADA EN RUTA NACIONAL 14 KM 749, COMO ASI TAMBIEN REQUISA DE LOS VEHICULOS DOMINIOS VGH 231, DCR 683. SEMIREMOLQUE DOMINIO UZZ 658 Y ACOPLADO DOMINIO ROZ 092, ARROJANDO LOS MISMOS RESULTADO NEGATIVO.</t>
  </si>
  <si>
    <t>HALL PUBLICO DEL SECTOR A1</t>
  </si>
  <si>
    <t>SIENDO LA HORA Y EL DIA ANTES MENCIONADO SE PRESENTA EN LA GUARDIA DE PREVENCION EL DENUNCIANTE PARA INFORMAR QUE SIENDO LAS 0019 HORAS DEL DIA DE LA FECHA ARRIBO A ESTA AEROSTACIÓN EN EL VUELO AU 2867, DE LA EMPRESA AUSTRAL LÍNEAS AÉREAS, PROCEDENTE DE LA CIUDAD DE TRELEW, DONDE RETIRO SU EQUIPAJE DEL SECTOR ARRIBOS A2, TOMO UN CARRO PORTA EQUIPAJE Y SEGUIDAMENTE SE DIRIGIÓ POR EL HALL PRINCIPAL HACIA EL CAJERO AUTOMATICO DEL BANCO HSBC, UBICADO EN EL SECTOR A1 DE ESTE AEROPUERTO, Y COLOCO EL CARRO CON SUS EQUIPAJES DEL LADO DERECHO Y PROCEDIÓ A CHEQUEAR SUS MOVIMIENTOS BANCARIOS, AL FINALIZAR DICHA OPERACIÓN, TOMO EL CARRO Y AL HACER UNOS POCOS METROS SE PERCATO DEL FALTANTE DE LA CAJA DE HERRAMIENTAS PROPIEDAD DE LA EMPRESA PARA LA CUAL TRABAJA, POR LO QUE DECIDE RADICAR LA DENUNCIA. SE INFORMA EN PU Nº 4504 DEL DIA 27/07/10 EL RESULTADO DE LA COMISION DEL OF. GUZZANTI A LA SALA DE COC SE PUDO CONSTATAR QUE EL DENUNCIANTE NO ES HURTADO EN EL LUGAR DENUNCIADO POR EL MISMO, YA QUE SE LO OBSERVA RETIRARSE DEL CAJERO AUTOMATICO DEL HSBC DEL SECTOR A1 CON LA CAJA DE HERRAMIENTAS EN EL CARRO PORTA EQUIPAJE HASTA EL PASILLO QUE UNE EL SECTOR B CON EL SECTOR C, Y LUEGO DE TRANSCURRIDOS UNOS MINUTOS SE LO VE AL DENUNCIANTE REGRESAR SIN LA CAJA DE HERRAMIENTAS.</t>
  </si>
  <si>
    <t>4412/10</t>
  </si>
  <si>
    <t>INFORMO POR MEDIO DEL PRESENTE QUE SIENDO LAS SIETE HORAS DEL DIA DE LA FECHA EL DETENIDO EN AUTOS FUE TRASLADADO A SEDE JUDICIAL SIN NOVEDAD.-</t>
  </si>
  <si>
    <t>SIENDO LAS 08:41 HORAS LOCAL ARRIBA AERONAVE AIRBUS 320 MATRICULA LV-BRA DE LA EMPRESA LAN ARGENTINA PROCEDENTE DEL AEROPUERTO JORGE NEWBERY EN CUYAS BODEGAS 31 Y 32 SE DESPACHAN 74 CAJAS CON UN PESO DE 1598 KILOGRAMOS DE METAL . MTD - DE LA EMPRESA TRITOM DICHO VUELO DESPEGA A LAS 09:38 HORAS SIN NOVEDAD SE DA CUMPLIMIENTO A LA ORDEN DE SERVICIO NRO. 0065/2010</t>
  </si>
  <si>
    <t>SIENDO LA FECHA Y HORA ANTES MENCIONADA, EN MOMENTOS EN QUE LOS OFICIALES CIOCIA Y VEGA VANESA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</si>
  <si>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SECTOR DE ARRIBOS DE PASAJEROS TERMINAL A</t>
  </si>
  <si>
    <t>EL OFICIAL PRINCIPAL RAMIRO ACUÑA CUMPLIENDO SERVICION EN EL SECTOR DENOMINADO CENTRO OPERATIVO DE CONTROL, A TRAVES DE UNA DE LAS CAMARAS DE SEGURIDAD OBSERVA A UNA PERSONA DE SEXO MASCULINO QUE SE ACERCABA ASIDUAMENTE A PERSONAS QUE CIRCULABAN POR EL SECTOR DE ARRIBOS, POR TAL SITUACION DA AVISO AL OFICIAL AYUDANTE DIEGO ZUMPANO QUIEN SE APERSONA EN EL LUGAR ACOMPAÑADO POR EL OFICIAL AYUDANTE JOAQUIN VILAS, CONSTATANDO QUE EL MASCULINO EN CUESTION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</si>
  <si>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JUZGADO DE INSTRUCCIÓN Nº 2 - NEUQUEN</t>
  </si>
  <si>
    <t>Gago</t>
  </si>
  <si>
    <t>DRA BIALOUS MARIA SOL</t>
  </si>
  <si>
    <t>S/ROBO</t>
  </si>
  <si>
    <t>TERMINAL DE CARGAS - EMPRESA LAN CARGO</t>
  </si>
  <si>
    <t>LAN CARGO BS AS</t>
  </si>
  <si>
    <t>LAN CARGO NEUQUEN</t>
  </si>
  <si>
    <t>EN EL DIA DE LA FECHA SR VALDEBENITO EMPLEADO DE LA EMPRESA OCA SRL DENUNCIA QUE EL DIA 22 DE JULIO DEL CORRIENTE EN MOMENTOS DE RETIRAR LA CARGA ARRIBADA EN VUELO DE REFERENCIA, PERSONAL DE LAN CARGO LE INFORMA QUE EN UNA CAJA DE CARTON DE UN PESO DE 0.530 KG Y UNA MEDIDA DE 30X20X15 CM CON NUMERO DE GUIA 00271679 DESPACHADA POR LA EMPRESA MOVISTAR LA CUAL CONTENIA EN SU INTERIOR PRESUNTAMENTE UN EQUIPO GSM SEGUN REMITO Nº 00024524, ESTABA ROTA EN UNO DE SUS LADOS DONDE SE ENCONTRABA ENCINTADA Y VACIA EN SU INTERIOR</t>
  </si>
  <si>
    <t>EN EL DIA DE LA FECHA ATERRIZA SIN NOVEDAD AERONAVE PRESIDENCIAL, T-02, PROCEDENTE DE AEROPARQUE JORGE NEWBERY, TRASLADANDO AL SR. MINISTRO DE SALUD DE LA NACION DR. JUAN MANZUR Y COMITIVA, QUIENES REALIZARAN DIVERSAS ACTIVIDADES EN LA PROVINCIA EN TORNO AL AREA SALUD. ASIMISMO INFORMO QUE SIENDO LAS 11:45 HORA LOCAL SE RETIRA DEL AERODROMO, VIA TERRESTRE, SIN NOVEDAD EL SR. MINISTRO Y SU COMITIVA QUIEN PERMANECERA EN ESTA CIUDAD HASTA EL DIA DOMINGO 25 DE JULIO DE 2010. SIENDO LAS 12:32 HORA LOCAL DESPEGO SIN NOVEDAD AERONAVE T-02 CON DESTINO AEROPARQUE JORGE NEWBERY.</t>
  </si>
  <si>
    <t>T-2</t>
  </si>
  <si>
    <t>SIENDO LA FECHA Y HORA ANTES MENCIONADA, EN MOMENTOS EN QUE EL OFICIAL VILAS MARIANO SE ENCONTRABA EN UNA RECORRIDA POR EL SECTOR MENCIONADO CON ANTERIORIDAD, OBSERVA Y SORPRENDE A UNA PERSONA DE SEXO MASCULINO, LA CUAL SE ENCONTRABA REALIZANDO SERVICIO DE MALETERO A LOS PASAJEROS, SIN POSEER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</si>
  <si>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EL DIA DE LA FECHA SE CONFECCIONA DENUNCIA POR EL EXTRAVIO Nº 009/10 REFERENTE A UN PERMISO PERSONAL AEROPORTUARIO PERMANENTE NRO 251985, A NOMBRE DE MARINA GRACIELA PINTOR, EMPLEADA DE LA EMPRESA SERZA, CON FECHA DE VENCIMIENTO EL DIA 01 DE JULIO DE 2009, SECTORES AUTORIZADOS 1-4-5.</t>
  </si>
  <si>
    <t>SIENDO LAS 15:30 ARRIBA AERONAVE CESSNA C414 MATRICULA LV-JPZ TRANSPORTANDO 36 BULTOS CUYO PESO BRUTO ES DE 600 KG Y EL CONTENIDO DE LOS MISMOS ES 17 CAJAS CARGA HUECA TC47HP RENAR Nº C5 0098 26, 14 CAJAS CARGA HUECA TC26H RENAR Nº A2 4182 01, 1 BULTO CORDON DETONADOR RDX 40GR RENAR Nº A 2627203 Y A 539015 -DI 10073ICO4-121577-U , 1 BULTO DETONADOR TCP 3050 13 TA RENAR Nº C 26627301 DI 08073ICO4-205543-A, SEGUN REMITO Nº 0002-00000712 DE GEOLOG SA RENAR Nº 980000027- CERT Nº 24597 DEL MINISTERIO DE JUSTICIA SEGURIDAD Y DERECHOS HUMANOS REGISTRO NACIONAL DE ARMAS, DICHO MATERIAL ES TRASLADADO EN EL VEHICULO FORD F-4000 DOMINIO GDC828 CONDUCIDO POR HEINZE MARTIN GUILLERMO LICENCIA CNRT Nº 24.915.459 CON CUSTODIA DE G.N.A. DICHO PROCEDIMIENTO FINALIZO SIN NOVEDAD.</t>
  </si>
  <si>
    <t>INFORMO TRANSPORTE DE MM.PP EN EL VUELO DE LA EMPRESA CEDMA, CESNA C-414 MATRICULA LV-JPZ CON DESTINO FINAL CIUDAD DE RIO GRANDE PCIA TIERRA DEL FUEGO. LO TRANSPORTADO CONSISTE EN 17 CAJAS CARGAS HUECAS TC47HP RENAR NRO 050096 26, 14 CAJAS CARGAS HUECA TC26H RENAR C5 0098 14. 02 BTOS CORDON DETONANTES RDX80GR FOMACORD RENAR NRO A2 4184 01, 01 BTO CORDON DETONADOR HMX 80 GR RENAR NRO A2627001, 01 BTO CORDON DETONADOR RDX 40 GR RENAR NRO NRO A26627203, Y A 539015-DI 10070731C0 4-121577-U-, 01 BTO DETONADOR TCP 305013 TA RENAR NRO C26627301-DI080731C04- 205543-A- SEGUN REMITO NRO 0002-00000712 DE GEOLG S.A. RENAR NRO 980000027- CERT NRO 24597 MINISTERIO DE JUSTICIA SEGURIDAD Y DRECHO HUMANOS REGISTRO NAC DE ARMAS-VTO 26-02-2011- CONSIGNADO: GEOLOG S.A. - RIO GRANDE T.F</t>
  </si>
  <si>
    <t>ASIENTOS UBICADOS FRENTE AL LOCAL DE COMIDAS MCDONALS</t>
  </si>
  <si>
    <t>SIENDO LAS 1315 HORAS APROXIMADAMENTE LA DAMNIFICADA SE ENCONTRABA SENTADA EN CERCANIAS AL LOCAL DE LA EMPRESA MCDONALS, PORTADO UN CARRO PORTA VALIJAS CON VARIOS DE SUS EQUIPAJES. Y QUE DESCUIDO SUS PERTENENCIAS POR UN INSTANTE Y CUANDO VOLVIO A TOMAR CONTACTO VISUAL CON LOS MISMOS SE PERCATO DEL FALTANTE DE UN BOLSO DE COLOR BLANCO, MOTIVO POR EL CUAL SE PRESENTA EN LA GUARDIA DE PREVENCION A FIN DE RADICAR LA DENUNCIA.</t>
  </si>
  <si>
    <t>INFRACION A LOS ARTICULOS 78 Y 85 DECRETO LEY 8031/73</t>
  </si>
  <si>
    <t>PUESTO DENOMINADO TAQUILLA</t>
  </si>
  <si>
    <t>EL OFICIAL JULIO CESAR CANDIA APOSTADO EN EL PUESTO TAQUILLA EN UN CONTROL DE RUTINA OBSERVA UN VEHICULO QUE TRASPORTABA UNA PASAJERA RECIEN ARRIBADA AL PAIS POR LO QUE PROCEDE A IDENTIFICAR AL CHOFER DEL RODADO Y A SOLICITARLE LA HABILITACION PARA EL TRANSPORTE DE PASAJEROS, CARECIENDO DE HABILITACION ALGUNA PARA REALIZAR DICHA TAREA,POR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</si>
  <si>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DRA. MARIA RECABARRA</t>
  </si>
  <si>
    <t>HALL A2 DE ESTE AEROPUERTO METROPOLITANO EN CERCANIAS DEL STAND DE LA EMPRESA TRANSFER</t>
  </si>
  <si>
    <t>EL DAMNIFICADO SIENDO LAS 1715 HORAS APROXIMADAMENTE ARRIBO AL AEROPARQUE DEL VUELO AU 2531 DE LA EMPRESA AUSTRAL LINEAS AEREAS PROCEDENTE DE LA PROVINCIA DE CORDOBA, POSTERIORMENTE SE APERSONO EN EL MOSTRADOR DE LA EMPRESA TRANSFER SITUADO EN EL HALL A2 DE ESTE AEROPUERTO METROPOLITANO, DONDE COLOCO SUS EQUIPAJES JUNTO A EL, LUEGO DE UNA ESPERA DE UNA HORA SE PERCATO QUE LE HABIAN SUSTRAIDO UNO DE SUS BOLSOS, POR LO QUE SE HACE PRESENTE EN LA GUARDIA DE PREVENCION PARA RADICAR LA DENUNCIA.</t>
  </si>
  <si>
    <t>PLATAFORMA- BODEGA- PATIO VALIJAS</t>
  </si>
  <si>
    <t>SE PROCEDE A LA RETENCION DE UNA SACA COLECTORA DEL CORREO OFICIAL SEGUN CONSTA EN ACTA DE RETENCION DE CARGA Nº 0360/10, QUE ORIGINA LA PREV.SUM.Nº 085/10, LA SACA IDENTIFICADA CON MARBETE Nº SLA0161627D636300NQN, PRECINTO Nº Z170771, CON UN PESO DECLARADO DE 4,900 KGS. AMPARADA EN GUIA AEREA Nº 9411927-0, LA QUE SERIA DESPACHADA A TRAVES DE LA EMPRESA DE CARGA AEREA JET PAQ, LA RETENCION SE REALIZA ANTE LA PRESUNCION DE QUE PUDIERA CONTENER ALGUN ELEMENTO EN INFRACCION A LAS LEYES 22.415 Y/O 23.737, LA MISMA QUEDA CERRADA Y PRECINTADA EN GUARDA EN ESTA UOSP, SE COMUNICO TELEFONICAMENTE CON EL JUZGADO INTERVINIENTE. Y LA APERTURA SE REALIZARA EN PRESENCIA DEL PERSONAL DEL CORREO OFICIAL.</t>
  </si>
  <si>
    <t>DR.WALTER LOPEZ DA SILVA</t>
  </si>
  <si>
    <t>S/INFRACCION A LA LEY 23737 ESTUPEFACIENTES</t>
  </si>
  <si>
    <t>HALL PLANTA BAJA ACCESO AREA RESTRINGIDA/SECTOR DE REGISTRO DE EQUIPAJE FACTURADO</t>
  </si>
  <si>
    <t>PUNTO DE INSPECCION PUESTO CHARLY</t>
  </si>
  <si>
    <t>SIENDO LAS 18:20 HS SE PROCEDE A REALIZAR POR PARTE DE LA OFICIAL PRINCIPAL MIRIAM CABRERA Y EL OFICIAL PRINCIPAL MARCELO GODOY UN REGISTRO SOBRE EQUIPAJE FACTURADO, MARBETE Nº 160159 PERTENECIENTE AL PASAJERO JORDAAN, JACK PASAPORTE Nº 8506105131088 DE NACIONALIDAD SUDAFRICANA, SE SOLICITA LA PRESENCIA DE DOS TESTIGOS HABILES QUIENES RESULTAN SER: EL SR. LECOUNA JORGE CARLOS, Y EL SR. MUÑOZ JUAN PABLO, SE REALIZA EL REGISTRO ENCONTRANDO EN SU INTERIOR UNA PLANTA DE COLOR VERDE QUE POR SU ASPECTO APARENTA SER CANNABIS SATIVA ANTE ESTE HECHO SE REALIZA COMUNICACION TELEFONICA CON EL SECRETARIO DEL JUZGADO FEDERAL DE SAN CARLOS DE BARILOCHE, A QUIEN SE LE MANIFIESTA LO ACONTECIDO DISPONIENDO ESTE QUE SE FINALICE CON EL REGISTRO EXAUSTIVO SOBRE EL CIUDADANO JORDAAN, Y DE NO SURGIR OTRA NOVEDAD SE TOMEN DATOS FILIATORIOS, SE LE SECUESTRE LA PLANTA Y SE LO DEJE PROSEGUIR CON SU VIAJE. LUEGO SE LE SOLICITA AL IMPUTADO QUE DEPOSITE TODO LO QUE LLEVABA EN EL INTERIOR DE SUS BOLSILLOS, RETIRANDO DEL BOLSILLO DEL SOBRETODO QUE VESTIA UN ESTUCHE PEQUEÑO COLOR AMARILLO, EL CUAL CONTENIA 11 ENVOLTORIOS DE PAPEL METALIZADO COLOR PLATEADO UNO CONTENIA UNA SUSTANCIA BLANCA POLVORIENTA Y SOLIDA PRESUMIBLEMENTE CLORIDRATO DE COCAINA, Y LOS OTROS 10 SERIAN PAPEL TROQUELADO A LOS CUALES SE LE REALIZA REACTIVO DE CAMPO, ARROJANDO RESULTADO POSITIVO A LSD. ANTE ESTA SITUACION SE REALIZA UNA NUEVA COMUNICACION CON EL DR. LOPEZ DA SILVA QUIEN DISPONE EN ESTA INSTANCIA SE REALICEN ACTUACIONES DE RIGOR, SE LO NOTIFIQUE DE CAUSA AL SR. JORDAN S/INFRACCION A LA LEY 23737 SE TOMEN HUELLAS DACTILARES, FOTOGRAFIAS DEL IMPUTADO Y DE LOS ELEMENTOS SECUESTRADOS, SE LE INFORMA QUE SE REALIZARA REQUISA SOBRE LA PERSONA DEL SR. JORDAAN PARA DESCARTAR CUALQUIER OTRA INFRACCION. AL MOMENTO DE REALIZAR EL REGISTRO PERSONAL SE DETECTA UN BULTO ADHERIDO A LA PIERNA DERECHA, ANTE LO CUAL MANIFIESTA EL IMPUTADO QUE LLEVA MARIHUANA, . ANTE ESTE NUEVO HALLAZGO SE REALIZA TERCERA COMUNICACION TELEFONICA CON EL SECRETARIO DEL JUZGADO FEDERAL INFORMANDOLE DE LO ACONTECIDO DISPONIENDO EL MAGISTRADO QUE SE LO NOTIFIQUE PARA PRESENTARSE EN SEDE JUDICIAL PARA INDAGATORIA, EL DIA 29 DEL CORRIENTE MES Y AÑO A LAS 10:00 HS.</t>
  </si>
  <si>
    <t>DR. MAXILIANO CALLIZO</t>
  </si>
  <si>
    <t>ANGEL NORBERTO ESCANDE Y OTROS S/ PRESUNTA INFRACCION ARTICULO 162 DEL CP EN GRADO DE TENTATIVA</t>
  </si>
  <si>
    <t>INFRACCION AL ART. 162 DEL CPN EN GRADO DE TENTATIVA</t>
  </si>
  <si>
    <t>INTERCEPTADOS EN EL PUESTO PSA DENOMINADO HANGARES RESTRINGIDO</t>
  </si>
  <si>
    <t>SIENDO LA HORA INDICADA LOS OFICIALES APOSTADOS EN EL PUESTO DE INSPECCIÓN Y REGISTRO DE ESTA POLICÍA DENOMINADO HANGARES RESTRINGIDO, SE PERCATAN QUE DENTRO DE UNA CAMIONETA SPRINTER PROPIEDAD DE LA EMPRESA INTERCARGO QUE INTENTABA EGRESAR DE LA ZONA RESTRINGIDA SE HALLABAN TRES CAJAS QUE DEBIAN SER EMBARCADAS EN EL VUELO DE LA EMPRESA LAN CON DESTINO A CHILE, CONTENIENDO CELULARES EN SU INTERIOR, MANIFESTANDO EL CHOFER DEL RODADO DE NOMBRE LUCAS MARTINEZ QUE ESAS CAJAS SE LAS HABIAN DADO Y LAS TENIA QUE SACAR POR DOS MANGOS Y QUE UN AUTO LO ESTARIA ESPERANDO ESTACIONADO EN SECTOR PUBLICO, MOTIVO POR EL CUAL LOS OFICIALES BLANCO Y VIOR REALIZAN UNA RECORRIDA Y OBSERVAN ESTACIONADO SOBRE LA CALLE TTE. GRAL. MORILLA UN AUTOMOVIL MARCA CHEVROLET CORSA, CUYO CONDUCTOR DE NOMBRE FRANCO NICOLAS TOLOZA ERA EMPLEADO DE LA EMPRESA INTERCARGO, EN ESE INSTANTE SE ESCUCHO UNA MODULACION DEL TIPO NEXTEL PROVENIENTE DEL INTERIOR DEL VEHICULO EN LA QUE LA VOZ MANIFESTABA - Y LOCO YA TE DIERON LAS COSAS - YA TIENE QUE ESTAR POR LLEGAR - EN VIRTUD A LO ESCUCHADO LOS OFICIALES TRASLADAN A LOS DOS CHOFERES A LA GUARDIA DE PREVENCIÓN, SEGUIDAMENTE SE LOGRA UBICAR AL MASCULINO DE NOMBRE ÁNGEL NORBERTO ESCANDE QUE ERA QUIEN EMITIA LA COMUNICACIÓN ESCUCHADA POR LOS OFICIALES, SEGUIDAMENTE SE HACE PRESENTE EN LA GUARDIA DE PREVENCIÓN EL SR. LEONARDO ENRIQUE LUCERO SANCHEZ MANIFESTANDO SER EL DUEÑO DEL VEHICULO CHEVROLET CORSA. ENTERADO EL JUZGADO INTERVINIENTE DISPONE SE DETENGA EN CALIDAD DE INCOMUNICADOS A LOS CUATRO MASCULINOS, SECUESTRO DE LOS ELEMENTOS HURTADOS, ALLANAMIENTO DE LOS LOCKER PERSONALES DE LOS CUATRO DETENIDOS Y FINALIZADAS LAS ACTUACIONES SE REMITA A LOS MISMOS A LA U28 DEL SPF Y SE ELEVE LO ACTUADO A SEDE JUDICIAL EL DÍA LUNES 26 A PRIMERA HORA. SE INFORMA EN PU Nº 4455 DEL DIA 24/07/10 SIENDO LAS 1200 HORAS SE PROCEDIO AL TRASLADO DE LOS DETENIDOS TOLOZA Y LUCERO A LA UNIDAD 28 DEL SPF. SE INFORMA QUE SIENDO LAS 1630 HORAS SE PROCEDIO AL TRASLADO DE LOS DETENIDOS NUÑEZ Y ESCANDE A LA UNIDAD 28 DEL SPF CUMPLIMENTANDOSE EL REQUERIMIENTO JUDICIAL.</t>
  </si>
  <si>
    <t>LA 532</t>
  </si>
  <si>
    <t>JUZGADO DE GARANTIA Nº 2 DE LA PLATA</t>
  </si>
  <si>
    <t>MELAZO</t>
  </si>
  <si>
    <t>CESAR RICARDO</t>
  </si>
  <si>
    <t>IPP 06-00257777/05 Y ACUMULADAS DE LA UNIDAD FUNCIONAL DE INSTRUCCION Y JUICIO Nº2 DPTAL. SEGUIDAS A OTASEVIC SERGIO JORGE OTRO POR EL DELITO DE LESIONES GRAVES CALIFICADAS.</t>
  </si>
  <si>
    <t>SE RECIBE DE LA DNM AL CAUSANTE POR MOTIVOS DE POSEER UNA ORDEN DE CAPTURA VIGENTE SOLICITADA POR LA JUDICATURA REFERIDA, MOTIVO POR EL CUAL SE ESTABLECIO COMUNICACION TELEFONICA CON EL JUZGADO DE INTERVENCION, QUIEN DISPUSO SE PROCEDA A LA DETENCION DEL CAUSANTE Y SE MANTENGA UNA NUEVA COMUNICACION TELEFONICA EN HORAS DE LA MAÑANA A LOS EFECTOS DE RECIBIR DIRECTIVAS A SEGUIR. CABE DESTACAR QUE LA MATRICULA DE LA AERONAVE DEL VUELO PRIVADO EN EL CUAL ARRIBO EL CAUSANTE ES SPL-V5000. SEGUN PU Nº 4467, SIENDO LAS 16.00 HS DEL DIA 24/07/2010 SE RECIBE FAXSIMIL DE OFICIO JUDICIAL DISPONIENDO LA JUDICATURA INTERVINIENTE SE TRASLADE AL DETENIDO A LA SECCIONAL Nº 9 DE LA POLICIA DE LA PROVINCIA DE BS AS DE LA CIUDAD DE LA PLATA JUNTO CON LAS ACTUACIONES Y LOS SECUESTROS. SIENDO LAS 22.00 HS DEL DIA 24/07/2010 SE PROCEDE AL TRASLADO DEL IMPUTADO DANDO CUMPLIMIENTO A LO ORDENANDO POR S.SA.</t>
  </si>
  <si>
    <t>V5000</t>
  </si>
  <si>
    <t>INFORMO QUE EN EL DIA DE LA FECHA SE PRESENTA EL SEÑOR HORACIO NORBERTO MONTAÑO, D.N.I. Nº 24.697.732, A RADICAR UNA DENUNCIA, QUE EL DÍA 21-07-10, EN EL VUELO DE LA EMPRESA AEROLÍNEAS ARGENTINAS Nº 1458, PRECEDENTE DE LA CIUDAD DE BUENOS AIRES CON DESTINO LA CIUDAD DE SALTA, FALTABA LA SACA PAP1646996 E JUJ, LA CUAL CONTENDRÍA EN SU INTERIOR DOS (02) BOLSINES Nº 460972 Y 461101, DE ACARA (REGISTRO NACIONAL DEL AUTOMOTOR) CONTENIENDO DOCUMENTACIÓN DE VEHÍCULOS, SE INFORMA TELEFÓNICAMENTE AL DR. FERNANDO DAVALOS SECRETARIO DE LA FISCALIA FEDERAL DE SALTA Nº 1 A CARGO DEL DR. RICARDO RAFAEL TORANZO, QUIEN DISPONE SE REALICEN LAS ACTUACIONES PERTINENTES Y SE REMITAN LAS MISMAS A ESA FISCALIA.- SEGÚN AMPLIACION P.U. N° 4597 INFORMO QUE EN EL DIA DE LA FECHA SE RECEPCIONO EN ESTA UOSP MEMORANDUM Nº 110/10 RUBRICADO POR EL SR. MARCELO SUAREZ, JEFE DE CALIFICACION Y TRANSPORTE, DEL CORREO OFICIAL DE LA REPUBLICA ARGENTINA, EN EL QUE INFORMA QUE LA SACA FALTANTE IDENTIFICADA COMO PAP 1646996 E JUJ, QUE ORIGINO LA PREVENCION SUMARIA Nº 086/10, FUE RECIBIDA DE CONFORMIDAD EN SU CENTRO OPERATIVO, EN LA MISMA FECHA QUE SE PRESUMIÓ EL HURTO, EL 21-07-10, EN RAZÓN DE ELLO EL MEMORANDUM EXPLICA QUE TAL SITUACIÓN SE ORIGINÓ POR UN ERROR OPERATIVO SUPUESTAMENTE POR FALTA DE ESCANEO DE RECEPCIÓN A LA CARATULA DE LA SACA. SE INFORMÓ, VIA TELEFONICA, LA NOVEDAD AL FISCAL INTERVINIENTE, EL QUE DISPUSO SE ELEVE A SEDE JUDICIAL EL MENCIONADO MEMORANDUM Y QUE CORRERÁ VISTAS AL JUZGADO FEDERAL DE SALTA Nº 1, A CARGO DEL DR. JULIO LEONARDO BAVIO, SOLICITANDO LA DESESTIMACION DE LA CAUSA.</t>
  </si>
  <si>
    <t>ROTONDA DE EGRESO, A MIL METROS APROXIMADAMENTE, DE LA AEROESTACIÓN.</t>
  </si>
  <si>
    <t>QUE EN EL DIA DE LA FECHA SE TOMA CONICIMIENTO DE UN ACCIDENTE AUTOMOVILÍSTICO OCURRIDO EN LA JURISDICCIÓN. CONSTITUIDO EN EL LUGAR SE HALLABA EN EL MISMO EL CIUDADANO JOSÉ LUIS ZALAZAR DNI 12.462.549, PADRE DEL CONDUCTOR DEL VEHÍCULO SINIESTRADO SR. LUCAS MARCELO ZALAZAR DNI 34.794.210, QUIEN MANIFIESTA QUE SU HIJO PERDIÓ EL CONTROL DEL VEHÍCULO VOLKSWAGEN GOL, COLOR ROJO DOMINIO EDW 737 INCRUSTANDOSE CONTRA LA COLUMNA DE ALUMBRADO PÚBLICO EN SU PARTE LATERAL DERECHO Y QUE SU HIJO RECIBIÓ ATENCIÓN PRIMARIA Y FUE TRASLADADO AL HOSPITAL PERRANDO POR PERSONAL Y EN AMBULANCIA DE SALUD PÚBLICA, ENCONTRÁNDOSE CONCIENTE Y SIN LESIONES DE CONSIDERACIÓN.</t>
  </si>
  <si>
    <t>4040/10</t>
  </si>
  <si>
    <t>GIBOIN DANIEL OSVALDO</t>
  </si>
  <si>
    <t>A 200 MTS, DEL PORTON DE SALIDO DE EMERGENCIA SUR.</t>
  </si>
  <si>
    <t>A 300 MTS DE LA CABECERA SUR 01, PARALELO A CALLE DE RODAJE, A LA ALTURA DEL BARRIO ELIAS ADRE.</t>
  </si>
  <si>
    <t>SIENDO LAS 11:10 HORAS, DEL DIA DE LA FECHA, EL OFICIAL AYTE. MARTIN ALFREDO, QUIEN REALIZABA JUNTO A LA OFICILA CABREA ESTELA, RECORRIDA PERIMATRAL, ME INFORMA LA NOVEDAD DE QUE AL MOMENTO DE LLEGAR A LA ALTURA DEL BARRIO ELIAS ADRE, OBSERVA UNA ROTURA EN UN PAÑO DEL TEJIDO PERIMETRAL, EL CUAL HABIA SIDO DESTEJIDO EN AMBOS EXTREMOS Y ABIERTO HACIA SU INTERIOR, DEJANDO DOS ESPACIOS AMPLIOS DE PASO. POR LO QUE SOLICITO QUE FINALICEN EL RECORRIDO PERIMETRAL, Y REGRESEN A LA GUARDIA DE PREVENCION, MOMENTOS DESPUES ME ACERCO AL LUGAR DEL HECHO TOMAR FOTOGRAFIAS, REALIZAR INSPECCION OCULAR DEL LUGAR, Y ACOMPAÑAR AL PERSONAL DE MANTENIMIENTO AL QUE SE LE SOLICITO LA REPARACION DE LA ROTURA. SIENDO LAS 12:30 HORAS Y HABIENDO YA REGRESADO DEL LUGAR DEL HECHO, CON EL PAÑO DE TELA REPARADO, REALIZO COMUNICACION TELEFONICA CON EL JUZGADO DE TURNO A CARGO COMO SUBROGANTE DEL DR. JORGE MARIANO FRIAS, A QUIEN SE LE IMPONEN DE LOS HECHOS OCURRIDOS, ORDENANDO POSTERIORMENTE, QUE SE INICIEN LAS ACTUACIONES A SABER ACTA DE PROCEDIMIENTO, INSPECCION OCULAR, TOMAS FOTOGRAFICAS, CROQUIS Y SE ELEVEN LAS MISMAS PARA SER ACUMULADAS EN LA CAUSA 06/2010, DE REGISTRO INTERNO DE ESTA UNIDAD. AMPLIANDO DE LUI_2010_4459_PU SIENDO LAS 19:20 HORAS APROXIMADAMENTE , ME INFORMA PERSONAL DE VIGILADORES DE LA EMPRESA DE SEGURIDAD SA S.A., RICARDO GIMENEZ, QUE OBSERVABA DESDE SU PUESTO DE VIGILANCIA, QUE SE ENCUENTRA EN EL SECTOR SUR OESTE, A UNOS 500 METROS DEL PORTON EN CUESTION, QUE VE MOVIMIENTO DE MENORES, POR LO QUE ME DESPLAZO AL LUGAR EN COMPAÑIA DEL OFICIAL MARTIN, Y AL LLEGAR AL LUGAR, OBSERVO QUE LOS MENORES CORRIAN SALIENDO DEL CAÑADON QUE SE ENCUENTRA A UNOS 50 METROS DEL PORTON, RUMBO HACIA LOS MONOBLOCK DEL BARRIO AEROFERRO, INGRESANDO POR UNA DE SUS ENTRADAS, ESTOS POR LO QUE PUEDO OBSERVAR SERIAN MENORES DE ENTRE 10 Y 13 AÑOS APROXIMADAMENTE. SE SOLICITA APOYO EXTERNO A LA SECCIONAL SEXTA DE LA POLICIA DE SAN LUIS. ASIENDOSE PRESENTE POR CALLE EXTERNA AL AEROPUERTO EL OFICIAL INSPECTOR SARMIENTO, EL QUE INFORMA QUE RECORRERIA LA ZONA, E INFORMARIA DE CUALQUIER NOVEDAD. MOMENTOS DESPUES SE INFORMA A PERSONAL DE MANTENIMIENTO SOBRE LAS ROTURAS AL PORTON Y DE UN PAÑO CERCANO AL MISMO. ACTO SEGUIDO SE MANTIENE POSICION HASTA QUE EL PERSONAL DE BOMBEROS CONTROLA EL FUEGO QUE LOS MENORES HABIAN INICIADO Y QUE SE HABRIA VISTO FAVORECIDO POR EL VIENTO HE INGRESADO A LA PARTE CERCANA AL RODAJE. SIENDO LAS 19:50 HORAS Y YA EN LA GUARDIA DE PREVENCION SE REALIZA COMUNICACION TELEFONICA CON EL JUGADO DE TURNO DR. JRGE MARIANO FRIAS, SUBROGANTE, A QUIEN SE LE IMPONEN LOS HECHOS QUIEN ORDENA SE REALICE ACTA DE PROCEDIMIENTO, FOTOS DEL LUGAR Y LOS DAÑOS, INSPECCION OCULAR, CROQUIS Y ADEMAS AGREGA QUE EN LA NOTA DE ELEVACION PARA ADJUNTAR EN LA CAUSA ANTERIOR PREVENCION SUMARIA 06/2010, SE TRATE DE IDENTIFICAR EL DOMICILIO DE LOS MENORES ATENTO QUE SE HABIAN VISTO INGRESAR EN UNO DE LOS MONOBLOCK, INDIVIDUALIZAR ALGUNO DE LOS MENORES, SI SE PUDIERE Y SE CONSIGNEN LOS DATOS A EFECTOS DE VER QUE MEDIAS SE PUDIEREN LLEGAR VA ADOPTAR. COMO ASI TAMBIEN DISPUSO QUE LAS TAREAS DE REPARACION SE HICIEREN CON LUZ DE DIA, A EFECTOS DE EVITAR EXPONER A PERSONAL DE MANTENIMIENTO, Y QUE UNA VEZ REPARADO SE LE COMUNIQUE TELEFONICAMENTE. SIENDO LAS 20:10 HORAS SE REALIZA COMUNICACION CON EL JEFE DE UNIDAD A EFECTO DE INFORMAR RESPECTO DE LAS MEDIDAS DISPUESTAS POR EL JUEZ DR. FRIAS, QUIEN ORDENA SE REALICEN RONDINES REGULARES CADA HORA Y MEDIA POR EL SECTOR DE RODAJE SUR HASTA CABECERA 01 PUESTO DE SASA. ES TODO.</t>
  </si>
  <si>
    <t>CALLIZO MAXIMILIANO</t>
  </si>
  <si>
    <t>ANGEL NORBERTO ESCANDE Y OTROS S/PRESUNTA INFRACCION ARTICULO 162 DEL CP EN GRADO DE TENTATIVA</t>
  </si>
  <si>
    <t>INFRACCION AL ART 162 C.P. EN GRADO DE TENTATIVA</t>
  </si>
  <si>
    <t>GABRIEL MIRO Nº 1592 VILLA FIORITO, LOMAS DE ZAMORA, PCIA. DE BS. AS. LIBERTAD Nº 268 EZEIZA, PCIA. DE BS. AS. LIBERTAD Nº 194 EZEIZA, PCIA. DE BS. AS. MANZANA 32 EDIF. K1 PISO 2 DPTO D DON ORIONE CLAYPOLE, PCIA. DE BS. AS.</t>
  </si>
  <si>
    <t>PROVINCIA DE BUENOS AIRES</t>
  </si>
  <si>
    <t>REFERENTE A LA ORDEN DE SERVICIO N° 461/2010 DE LA URSA 1 DEL ESTE. EN EL DIA DE LA FECHA SE REALIZARON CUATRO ALLANAMIENTOS EN EL MARCO DE LA PREVENCION SUMARIA INICIADA POR LA UOSP EZEIZA, ORDENADOS POR LA JUDICATURA INTERVINIENTE. DANDO COMO RESULTADO EL SECUESTRO DE TELEFONOS CELULARES CON SUS RESPECTIVOS ACCESORIOS EN EL DOMICILIO DEL DETENIDO LUCAS MARTINEZ NUÑEZ SITO EN LA CALLE GABRIEL MIRO 1592 DE VILLA FIORITO, PCIA. DE BS. AS. Y EN EL DOMICILIO DEL DETENIDO ANGEL NORBERTO ESCANDE SE SECUESTRARON FACTURAS DE LA EMPRESA NEXTEL MAS DOLARES ESTADOUNIDENSES SITO EN LA CALLE LIBERTAD Nº 194 DE EZEIZA, PCIA. DE BS. AS. ARROJANDO RESULTADO NEGATIVO DE ELEMENTOS DE INTERES PARA LA CAUSA EN LOS OTROS DOS DOMICILIOS.</t>
  </si>
  <si>
    <t>USO DE DOCUMENTO PUBLICO FALSIFICADO DESTINADO A ACREDITAR LA IDENTIDAD DE LAS PERSONAS</t>
  </si>
  <si>
    <t>SALA DE ARRIBOS INTERNACIONAL</t>
  </si>
  <si>
    <t>SIENDO LAS 07:00 HS DEL DIA DE LA FECHA, PERSONAL DE MIGRACIONES DE ESTE AEROPUERTO, INFORMA LA PRESENCIA DE UNA PASAJERA DE NACIONALIDAD ARGENTINA CON DNI FALSO, QUE INGRESA PROCEDENTE DE LIMA PERU. SIENDO LAS 08:00 HS SE ESTABLECE COMUNICACION CON EL JUZGADO FEDERAL N 1 EN LA PERSONA DE LA PROSECRETARIA ADMINISTRATIVA, DRA SUSANA BAGGI, QUIEN DISPONE SE LABREN LAS ACTUACIONES DE RIGOR, SE FICHE A LA ENCARTADA, QUEDANDO COMUNICADA, FINALIZANDO LAS ACTUACIONES SE LA TRASLADE A LA ALCIDIA FEDERAL DE ESTA CIUDAD AMPLIANDO DE CBA_2010_4460_PU SIENDO LAS 16:40 HS DEL DIA DE LA FECHA, REGRESA COMISION GEAT DEL TRASLADO DE DETENIDA A LA ALCAIDIA FEDERAL DE ESTA CIUDAD. LA ENCARTADA FUE RECHAZADA POR EXPRESAR QUE CREIA ESTAR EMBARAZADA, POR LO QUE FUE TRASLADADA HASTA LA MATERNIDAD PROVINCIAL DONDE LE EXTENDIERON UN CERTIFICADO CONSTANDO QUE PUEDE SER ALOJADA SIN RIESGO EN CUALQUIER UNIDAD DE DETENCION. FINALMENTE FUE ACEPTADA EN LA ALCAIDIA FEDERAL. TODO. AMPLIANDO DE CBA_2010_4503_PU DEL 26 DE JULIO DE 2010 :SIENDO LAS 22:00 HS DEL DIA DE LA FECHA, EN REFERENCIA A ORDEN DE SERVICIO NRO. 150/10 Y CUMPLIMIENTO A LO ORDENADO POR EL JUZGADO FEDERAL NRO. 1 EN LA PERSONA DE SU PROSECRETARIA PENAL DRA. SUSANA BAGGI, SE COMISIONO PERSONAL A EFECTOS DE RETIRAR, DE ANTECEDENTES PERSONALES DE LA POLICIA DE LA PROVINCIA DE CÒRDOBA, PLANILLA PRONTUARIAL DE LA DETENIDAD EN ACTUACIONE SUMARIALES NRO. 41/10 DE FECHA 24-JUL-10 CARATULADAS USO DE DOCUMENTACIÓN PÚBLICO FALSIFICADO DESTINADO A ACREDITAR LA IDENTIDADDE LAS PERSONAS, DOCUMENTACION QUE PUSIERA DE MANIFIESTO QUE SOBRE LA CAUSANTE NO OBRAN ANTECEDENTES PENALES, MOTIVO POR EL CUAL LA COMISION SE DIRIGIO A SEDE DE LA ALCAIDIA DE LOS TRIBUNALES FEDERALES, LUGAR EN EL CUAL SE ENCUENTRA ALOJADA, A EFECTOS DE OTORGAR SU LIBERACION A LAS 23:15 HS APROXIMADAMENTE, REGRESANDO LOS EFECTIVOS POLICIALES SIN NOVEDAD.</t>
  </si>
  <si>
    <t>LP 2423</t>
  </si>
  <si>
    <t>4444/10</t>
  </si>
  <si>
    <t>PUESTO PSA HANGARES RESTRINGIDO</t>
  </si>
  <si>
    <t>SIENDO LAS 12:00 HS SE PROCEDIO AL TRASLADO DE LOS DETENIDOS FRANCO NICOLAS TOLOSA Y LEONARDO ENRIQUE LUCERO, A LA UNIDAD DE DETENCION NRO. 28 DEL SFP. QUE SIENDO LAS 16:30 HS SE PROCEDIO AL TRASLADO DE LOS DETENIDOS LUCAS MARTINEZ NUÑES Y ESCANDE ANGEL NORBERTO A LA UNIDAD DE DETENCION NRO. 28 DEL SFP, SIN NOVEDAD</t>
  </si>
  <si>
    <t>SIENDO LAS 17:00 HORAS, SE IMPLEMENTA OPERATIVO DE SEGURIDAD PRESIDENCIAL CON MOTIVO DE LA PARTIDA DE LA SRA PRESIDENTE DE LA NACION. EN HORAS 18:26 SE HACE PRESENTE EN ESTE AEROPUERTO METROPOLITANO LA MANDATARIA EN HELICOPTERO MATRICULA H-01, PARTIENDO EN HORAS 18:38 EN AERONAVE MATRICULA T-01 CON DESTINO SANTIAGO DEL ESTERO. SIENDO LAS 18:50 HORAS FINALIZA EL OPERATIVO SIN NOVEDAD.</t>
  </si>
  <si>
    <t>SIENDO LAS VEINTE HORAS CON TRECE MINUTOS (LOCAL), ATERRIZA SIN NOVEDAD AERONAVE MATRICULA T-01, PROCEDENTE DE AEROPARQUE JORGE NEWBERY TRASLADANDO A LA SEÑORA PRESIDENTA DE LA NACION DRA. CRISTINA FERNANDEZ DE KIRCHNER Y COMITIVA COMPUESTA POR FUNCIONARIOS DEL GABINETE NACIONAL, QUIENES ACOMPAÑARAN A LA SEÑORA PRESIDENTA DE LA NACION EN LOS FESTEJOS DEL 457º ANIVERSARIO DE LA FUNDACION DE LA CIUDAD DE SANTIAGO DEL ESTERO. ASIMISMO INFORMO, QUE SIENDO LAS VEINTE HORAS CON VEINTICINCO MINUTOS, LA COMITIVA SE RETIRO DE ESTE AEROPUERTO VIA TERRESTRE SIN NOVEDAD.</t>
  </si>
  <si>
    <t>PORTON DE ACCESO SUR PARALELO A CABECERA 01</t>
  </si>
  <si>
    <t>SIENDO LAS 19:20 HORAS APROXIMADAMENTE , ME INFORMA PERSONAL DE VIGILADORES DE LA EMPRESA DE SEGURIDAD SA S.A., RICARDO GIMENEZ, QUE OBSERVABA DESDE SU PUESTO DE VIGILANCIA, QUE SE ENCUENTRA EN EL SECTOR SUR OESTE, A UNOS 500 METROS DEL PORTON EN CUESTION, QUE VE MOVIMIENTO DE MENORES, POR LO QUE ME DESPLAZO AL LUGAR EN COMPAÑIA DEL OFICIAL MARTIN, Y AL LLEGAR AL LUGAR, OBSERVO QUE LOS MENORES CORRIAN SALIENDO DEL CAÑADON QUE SE ENCUENTRA A UNOS 50 METROS DEL PORTON, RUMBO HACIA LOS MONOBLOCK DEL BARRIO AEROFERRO, INGRESANDO POR UNA DE SUS ENTRADAS, ESTOS POR LO QUE PUEDO OBSERVAR SERIAN MENORES DE ENTRE 10 Y 13 AÑOS APROXIMADAMENTE. SE SOLICITA APOYO EXTERNO A LA SECCIONAL SEXTA DE LA POLICIA DE SAN LUIS. ASIENDOSE PRESENTE POR CALLE EXTERNA AL AEROPUERTO EL OFICIAL INSPECTOR SARMIENTO, EL QUE INFORMA QUE RECORRERIA LA ZONA, E INFORMARIA DE CUALQUIER NOVEDAD. MOMENTOS DESPUES SE INFORMA A PERSONAL DE MANTENIMIENTO SOBRE LAS ROTURAS AL PORTON Y DE UN PAÑO CERCANO AL MISMO. ACTO SEGUIDO SE MANTIENE POSICION HASTA QUE EL PERSONAL DE BOMBEROS CONTROLA EL FUEGO QUE LOS MENORES HABIAN INICIADO Y QUE SE HABRIA VISTO FAVORECIDO POR EL VIENTO HE INGRESADO A LA PARTE CERCANA AL RODAJE. SIENDO LAS 19:50 HORAS Y YA EN LA GUARDIA DE PREVENCION SE REALIZA COMUNICACION TELEFONICA CON EL JUGADO DE TURNO DR. JRGE MARIANO FRIAS, SUBROGANTE, A QUIEN SE LE IMPONEN LOS HECHOS QUIEN ORDENA SE REALICE ACTA DE PROCEDIMIENTO, FOTOS DEL LUGAR Y LOS DAÑOS, INSPECCION OCULAR, CROQUIS Y ADEMAS AGREGA QUE EN LA NOTA DE ELEVACION PARA ADJUNTAR EN LA CAUSA ANTERIOR PREVENCION SUMARIA 06/2010, SE TRATE DE IDENTIFICAR EL DOMICILIO DE LOS MENORES ATENTO QUE SE HABIAN VISTO INGRESAR EN UNO DE LOS MONOBLOCK, INDIVIDUALIZAR ALGUNO DE LOS MENORES, SI SE PUDIERE Y SE CONSIGNEN LOS DATOS A EFECTOS DE VER QUE MEDIAS SE PUDIEREN LLEGAR VA ADOPTAR. COMO ASI TAMBIEN DISPUSO QUE LAS TAREAS DE REPARACION SE HICIEREN CON LUZ DE DIA, A EFECTOS DE EVITAR EXPONER A PERSONAL DE MANTENIMIENTO, Y QUE UNA VEZ REPARADO SE LE COMUNIQUE TELEFONICAMENTE. SIENDO LAS 20:10 HORAS SE REALIZA COMUNICACION CON EL JEFE DE UNIDAD A EFECTO DE INFORMAR RESPECTO DE LAS MEDIDAS DISPUESTAS POR EL JUEZ DR. FRIAS, QUIEN ORDENA SE REALICEN RONDINES REGULARES CADA HORA Y MEDIA POR EL SECTOR DE RODAJE SUR HASTA CABECERA 01 PUESTO DE SASA. ES TODO.</t>
  </si>
  <si>
    <t>4452/10</t>
  </si>
  <si>
    <t>SIENDO LAS 16:40 HS DEL DIA DE LA FECHA, REGRESA COMISION GEAT DEL TRASLADO DE DETENIDA A LA ALCAIDIA FEDERAL DE ESTA CIUDAD. LA ENCARTADA FUE RECHAZADA POR EXPRESAR QUE CREIA ESTAR EMBARAZADA, POR LO QUE FUE TRASLADADA HASTA LA MATERNIDAD PROVINCIAL DONDE LE EXTENDIERON UN CERTIFICADO CONSTANDO QUE PUEDE SER ALOJADA SIN RIESGO EN CUALQUIER UNIDAD DE DETENCION. FINALMENTE FUE ACEPTADA EN LA ALCAIDIA FEDERAL.</t>
  </si>
  <si>
    <t>FISCALIA NACIONAL DE INSTRUCCION Nº 45</t>
  </si>
  <si>
    <t>AV. SARMIENTO A 150 METROS DEL PUESTO BRAVO DE ESTE AEROPUERTO METROPOLITANO EN CERCANIAS DEL VIADUCTO.</t>
  </si>
  <si>
    <t>SIENDO LAS 19:45 HORAS APROXIMADAMENTE EL DAMNIFICADO SE ENCONTRABA EN LA AV. SARMIENTO A 150 METROS DEL PUESTO BRAVO DE ESTE AEROPUERTO METROPOLITANO, CUANDO DOS PERSONAS DE SEXO MASCULINO SE DIRIGIERON HACIA EL, UNO DE LOS DELINCUENTES ESGRIMIO UN CUCHILLO Y SE LO COLOCO EN LA PARTE DERECHA DEL TORSO, ORDENANDOLE QUE CAMINARA HACIA EL VIADUCTO UBICADO EN DICHA AVENIDA, DONDE EL OTRO DELINCUENTE ESGRIMIO UN CUCHILLO Y AL MOMENTO DE COLOCARSELO EN EL CUELLO AL DAMNIFICADO LE REALIZO UN CORTE. ACTO SEGUIDO LE ROBAN SUS PERTENENCIAS POR LO QUE SE DAN A LA FUGA Y EL DAMNIFICADO SE DIRIGIO A LA GUARDIA DE PREVENCION A FIN DE RADICAR LA DENUNCIA.</t>
  </si>
  <si>
    <t>4458/10</t>
  </si>
  <si>
    <t>SIENDO LAS CERO HORA CON CINCUENTA Y CINCO MINUTOS (LOCAL), DESPEGA SIN NOVEDAD AERONAVE MATRICULA T-01, CON DESTINO AEROPARQUE JORGE NEWBERY TRASLADANDO A LA SEÑORA PRESIDENTA DE LA NACION DRA. CRISTINA FERNANDEZ DE KIRCHNER Y COMITIVA COMPUESTA POR FUNCIONARIOS DEL GABINETE NACIONAL.</t>
  </si>
  <si>
    <t>RECABARRA MARINA</t>
  </si>
  <si>
    <t>FRENTE A LOS MOSTRADORES DEL CHECK IN DE LA EMPRESA AEROLINEAS ARGENTINAS</t>
  </si>
  <si>
    <t>SIENDO LAS 1830 HORAS APROXIMADAMENTE, EL DAMNIFICADO ARRIBO AL AEROPARQUE PROCEDENTE DE LA CIUDAD DE SAN PABLO BRASIL, Y SE DIRIGIO AL SECTOR DE LOS MOSTRADORES DEL CHECK IN DE LA EMPRESA AEROLINEAS ARGENTINAS, Y AL CABO DE UNOS MINUTOS SE PERCATO QUE LE HABIAN SUSTRAIDO SU BOLSO PORTA NOTEBOOK, POSTERIORMENTE SE PRESENTO EN ESTA GUARDIA DE PREVENCION A FIN DE REALIZAR LA DENUNCIA.</t>
  </si>
  <si>
    <t>PLAZA DE MAYO, CATEDRAL, CIUDAD AUTONOMA DE BUENOS AIRES.</t>
  </si>
  <si>
    <t>SIENDO LAS 20:15 HORAS SE HACE PRESENTE UNA PERSONA CON MOTIVO DE DENUNCIAR UN HECHO DE CARÁCTER DELICTIVO, EL MISMO MANIFIESTA QUE EN HORAS DE LA TARDE, JUNTO CON UNA AMIGA, LUEGO DE HABER CONCURRIDO A UN PASEO A LA HISTÓRICA PLAZA DE MAYO Y A LA CATEDRAL DE BUENOS AIRES, UNA VEZ DE REGRESO EN EL HOTEL REPUBLICA, DONDE SE HOSPEDABA, SE PERCATO QUE LE HABÍAN SUSTRAÍDO ELEMENTOD DEL INTERIOR DE SU BILLETERA, PERO DEBIDO A QUE A LAS 2100 HORAS ABORDARIA SU VUELO LA 4358 DE LA EMPRESA LAN ARGENTINA CON DESTINO A LA CIUDAD DE BARILOCHE NO RADICA FORMAL DENUNCIA, INICIANDOSE DE OFICIO LAS PRESENTES ACTUACIONES.</t>
  </si>
  <si>
    <t>SIENDO LAS 00:40 HORAS SE IMPLEMENTA DISPOSITIVO DE SEGURIDAD SEGUN ORDEN DE SERVICIO Nº 463/10 DE LA URSA I DEL ESTE, POR ARRIBO DE LA SRA. PRESIDENTE DE LA NACION Y COMITIVA, ARRIBANDO LA MISMA A LAS 02:10 HORAS EN AERONAVE T-01 Y PARTIENDO 01:15 HORAS DE ESTA AEROESTACION EN HELICOPTERO MATRICULA H-01, CONCLUYENDO DICHO DISPOSITIVO SIN NOVEDAD A LAS 02:20 HORAS</t>
  </si>
  <si>
    <t>INFRACCION AL ARTICULO 162 DEL CPN</t>
  </si>
  <si>
    <t>PARTE TRASERA DE LA AERONAVE</t>
  </si>
  <si>
    <t>SE HACE PRESENTE EN ESTA DEPENDENCIA POLICIAL PERSONAL DE TRAFICO DE LA EMPRESA AIR EUROPA, INFORMANDO QUE EL COMANDANTE DEL VUELO DE MENCION SOLICITO LA PRESENCIA DE PERSONAL POLICIAL, EN VIRTUD A QUE DURANTE EL TRANSCURSO DEL VUELO, A UNO DE LOS TRIPULANTES LE HABIAN SUSTRAIDO DE SU BOLSO UNA BILLETERA. ATENTO A ELLO, UNA VEZ ESTACIONADA LA AERONAVE, EL JEFE DE TURNO SE ENTREVISTA CON EL COMANDANTE Y POSTERIOMENTE MANTIENE COMUNICACION TELEFONICA CON EL JUZGADO FEDERAL EN TURNO, DISPONIENDO LA MAGISTRATURA A LA REQUISA DE LA AERONAVE, PASAJEROS Y TRIPULACION, ARROJANDO COMO RESULTADO NEGATIVO CON RESPECTO A LA PRESENCIA DE LOS ELEMENTOS DENUNCIADOS COMO HURTADOS POR EL TRIPULANTE. QUE UNA VEZ INFORMADO EL JUZGADO SOBRE EL RESULTADO DE LA REQUISA, EL MISMO DISPUSO QUE SE RECIBA DENUNCIA FORMAL AL DAMNIFICADO, SE LABRE ACTA DE PROCEDIMIENTO, SE DILIGENCIE NOTA A LA EMPRESA AIR EUROPA, SOLICITANDO LISTADO DE PASAJEROS Y MANIFIESTO DEL VUELO, SE RECIBA TESTIMONIAL AL PERSONAL DE LA EMPRESA QUE DIO AVISO A ESTA POLICIA Y QUE FINALIZADAS LAS MISMAS, SEA ELEVADO EL SUMARIO A SEDE JUDICIAL EL DIA LUNES 26 A PRIMERA HORA.</t>
  </si>
  <si>
    <t>4445/10</t>
  </si>
  <si>
    <t>IPP 06-00257777/05 Y ACUMULADAS DE LA UNIDAD FUNCIONAL DE INSTRUCCION Y JUICIO 02 DPTAL. SEGUIDAS A OTASEVIC SERGIO JORGE OTRO POR EL DELITODE LESIONES GRAVES CALIFICADAS.</t>
  </si>
  <si>
    <t>SIENDO LAS DIECISEIS HORAS, SE RECIBE FAXSIMIL DE OFICIO JUDICIAL DEL JUZGADO DE GARANTIAS NUMERO 02 DE LA CIUDAD DE LA PLATA, EL CUAL DISPUSO QUE EL DETENIDO SEA TRASLADADO A LA SECCIONAL NUMERO 09 DE LA POLICIA DE LA PROVINCIA DE BUENOS AIRES DE LA CIUDAD DE LA PLATA, JUANTAMENTE CON LAS ACTUACIONES LABRADAS POR ESTA POLICIA Y LA TOTALIDAD DE LOS SECUESTROS. QUE SIENDO LAS VEINTIDOS HORAS DEL DIA DE LA FECHA, EL DETENIDO ES TRASLADADO A LA CIUDAD DE LA PLATA, JUNTAMENTE CON EL SUMARIO Y LOS SECUESTROS.</t>
  </si>
  <si>
    <t>JUZGADO DE INST. N° 4 - PENAL DE S. C. DE BARILOCHE</t>
  </si>
  <si>
    <t>Calcagno</t>
  </si>
  <si>
    <t>SERGIO PICHETO</t>
  </si>
  <si>
    <t>S/DELITO CONTRA LA PROPIEDAD- HURTO</t>
  </si>
  <si>
    <t>SECTOR DE INGRESO A PREEMBARQUE DE CABOTAJE, HALL PLANTA ALTA.</t>
  </si>
  <si>
    <t>OFICINA DE TASAS</t>
  </si>
  <si>
    <t>SIENDO LAS 08:00 HS SE PRESENTA LA STA. ERICA SILVINA ABRAHAM PARA RADICAR UNA DENUNCIA POR LA SUSTRACCION DE UN CELULAR MARCA SAMSUNG COLOR BLANCO, MODELO GT B3410 DE LAS OFICINA DE TASAS DE LA EMPRESA AEROPUERTO ARGENTINA 2000 ANTE LO MANIFESTADO POR ESTA PERSONA REALIZO COMUNICACION TELEFONICA CON EL SECRETARIO DEL JUZGADO DE INSTRUCCION NRO 4 DR. MIGUEL PICHETO A QUIEN SE LE INFORMA DE LOS HECHOS DISPONIENDO QUE SE REALICEN LAS ACTUACIONES DE RIGOR. AMPLIACION PARTE URGENTE Nº 4472/10 DE FECHA 25/07/10 DE ACUERDO A LO EXPUESTO ANTERIORMENTE DEBIDO QUE EN LA OFICINA MENCIONADA AA 2000 POSEE SISTEMA CCTV SE REALIZA INSPECCION OCULAR DEL VIDEO CONSTATANDO QUE DE LAS PERSONAS QUE TRABAJAN EN EL SECTOR SE PUEDE OBSERVAR QUE UNA FEMENINO, IDENTIFICADA LUEGO COMO LA SRA. DIAZ LESPAY, TOMA EL TELEFONO CELULAR DENUNCIADO REALIZANDO ALGUNOS MOVIMIENTOS EXTRAÑOS DEPOSITANDOLO LUEGO EN SU CARTERA. SE REALIZA NUEVA COMUNICACION CON EL JUZGADO IMPONIEDO DE LA NOVEDAD AL SECRETARIO INTERVINIENTE EL CUAL DISPONE SE ENVIE UNA CONSIGNA POLICIAL AL DOMICILIO DE LA SUPUESTA AUTORA DEL HURTO, PARA CONTROLAR SUS MOVIMIENTOS. ACTO SEGUIDO SE PRESENTA EN ESTA PREVENCION EL CONCUBINO DE LA IMPUTADA, SIENDO ESTE EL SR. RICARDO DIZ, SE LO PONE EN CONOCIMIENTO DE LOS HECHOS EL CUAL SE COMUNICA TELEFONICAMENTE CON SU CONYUGUE, MANIFESTANDO LUEGO DE ESTE LLAMADO QUE SU CONCUBINA TENDRIA EN SU PODER EL ELEMENTO EN CUESTION. SE DIRIGE LA COMISION POLICIAL AL DOMICILIO DE LA IMPUTADA LA CUAL RESTITUYE EL ELEMENTO, LUEGO EN SEDE POLICIAL SE LA NOTIFICA DE CAUSA Y UNA VEZ FINALIZADAS LAS ACTUACIONES SE DEVUELVE EL TELEFONO A SU PROPIETARIA.</t>
  </si>
  <si>
    <t>FISCALIA PENAL DE INSTRUCCION DE LA IIª NOMINACION</t>
  </si>
  <si>
    <t>SALAZAR EMILIO ANGEL</t>
  </si>
  <si>
    <t>EN CAFETERIA DEL AEROPUERTO.-</t>
  </si>
  <si>
    <t>EN EL DIA DE LA FECHA SE PRESENTA EL SR. DOMINGUEZ, DANIEL EDUARDO A RADICAR LA DENUNCIA POR EL ROBO/HURTO DE UN BOLSO DE CUERO DE COLOR NEGRO, EL MISMO LE FUE SUSTRAIDO EN EL HALL DE LA CAFETERIA MIENTRAS DESAYUNABA CON UN GRUPO DE TRABAJO, CABE DESTACAR QUE EL SEÑOR DOMINGUEZ PERTENECE A LA CUSTODIA PRESIDENCIAL Y EN EL INTERIOR DE DICHO BOLSO LLEVABA,UNA NOTEBOOK DE MARCA BANGHO EN SU RESPECTIVO ESTUCHE, UN GPS DE MARCA GARMIN MODELO 205 NUVI, CON SU RESPECTIVO ESTUCHE Y CARGADOR, UN CELULAR TIPO NEXTEL, DE MARCA MOTOROLA, MODELO 876, EN SU RESPECTIVO ESTUCHE, UNA LINTERNA DE DOS CUERPOS DE MARCA MAGGLATE, UN SOBRE DE PAPEL COLOR MARRON CONTENIENDO EN SU INTERIOR LA CANTIDAD DE 3.000 PESOS, DOS PENDRIVE DE MARCA PHILLIPS, FACTURAS VARIAS Y TRES DISTINTIVOS DE LA CUSTODIA PRESIDENCIAL, SE ESTABLECE COMUNICACION TELEFONICA AL JUZGADO DE TURNO QUIEN ORDENA SE LABREN LAS ACTUACIONESDE RIGOR PARA SU POSTERIOR ELEVACION</t>
  </si>
  <si>
    <t>DRA. BETINA MARINA. SECRETARIA ADJUNTA</t>
  </si>
  <si>
    <t>VEREDA DE LA AVENIDA COSTANERA LINDANTE AL RÍO FRENTE AL AEROPARQUE METROPOLITANO</t>
  </si>
  <si>
    <t>SIENDO LA HORA Y EL DÍA ANTES MENCIONADO, SE HACE PRESENTE EN ESTA GUARDIA DE PREVENCIÓN UNA PERSONA QUE DESEA REALIZAR UNA DENUNCIA, INFORMANDO QUE EN SIENDO LAS 0945 HORAS APROXIMADAMENTE ARRIBO A ESTA AEROSTACIÓN A FIN DE ABORDAR EL VUELO LAN 4348 DE LA EMPRESA LAN ARGENTINA CON DESTINO A LA CIUDAD DE BARILOCHE, REALIZO EL CHECK- IN Y SIENDO APROXIMADAMENTE LAS 1015 HORAS SE DIRIGIO A LA VEREDA QUE SE ENCUENTRA FRENTE AL AEROPUERTO, COSTEANDO EL RÍO. UNA VEZ ALLÍ PERCIBIO QUE LE HABÍA CAÍDO ALGO SOBRE SU HOMBRO, E INMEDIATAMENTE SE ACERCO A ÉL UNA PERSONA DE SEXO FEMENINO, QUIEN LE DIJO QUE UN PÁJARO LO HABÍA ENSUCIADO, POR LO QUE SE OFRECIO A LIMPIAR SU ESPALDA CON RAPIDEZ. RÁPIDAMENTE SE ACERCO OTRA PERSONA DE SEXO MASCULINO QUIEN TAMBIEN SE OFRECIO A AYUDARLO. ACTO SEGUIDO, AMBAS PERSONAS SE RETIRARON Y ABORDARON UN TAXI, RETIRÁNDOSE RÁPIDAMENTE DEL LUGAR. SEGUIDAMENTE EL DAMNIFICADO TOMO SU MOCHILA, LA CUAL LLEVABA SOBRE SU ESPALDA, LA ABRIO Y SE PERCATO DEL FALTANTE DE SU CARTERA DE CUERO, POR LO QUE RADICA LA DENUNCIA.</t>
  </si>
  <si>
    <t>4468/10</t>
  </si>
  <si>
    <t>SIENDO LAS 08:00 HS SE PRESENTA LA STA. ERICA SILVINA ABRAHAM PARA RADICAR UNA DENUNCIA POR LA SUSTRACCION DE UN CELULAR MARCA SAMSUNG DE LAS OFICINA DE TASAS DE LA EMPRESA AEROPUERTOS ARGENTINA 2000, SE REALIZA COMUNICACION TELEFONICA CON EL SECRETARIO DEL JUZGADO DE INSTRUCCION NRO 4 DR. MIGUEL PICHETO A QUIEN SE LE INFORMA DE LOS HECHOS DISPONIENDO QUE SE REALICEN LAS ACTUACIONES DE RIGOR. ANTE ESTA SITUACIÓN ME DIRIJO EN COMPAÑÍA DE LA SRTA. ABRAHAM, Y EL SR. TAVARONE, JEFE DE LA MENCIONADA A QUIEN LE SOLICITO ME PERMITA VER LO REGISTRADO POR LAS CÁMARAS QUE SE ENCUENTRAN EN EL LUGAR DEL HECHO, RESULTANDO QUE EN UN MOMENTO LA STA. ABRAHAM SALE DE LA OFICINA DEJANDO SOBRE UN ASIENTO EL TELEFONO, QUEDANDO EN ESTA SOLO LA SRA. DIAZ LESPAY, LA CUAL SE LEVANTA DE SU LUGAR Y SE DIRIGE HACIA EL SECTOR EN EL QUE LA DAMNIFICADA HABÍA DEPOSITADO SU CELULAR, REALIZA UNOS MOVIMIENTOS EXTRAÑOS Y SE DIRIGE HACIA EL SECTOR DONDE SE ENCONTRABA AL PRINCIPIO DEL VIDEO, AL LLEGAR AL SITIO RETIRA DE SU BOLSILLO EL CELULAR LO INTRODUCE DENTRO DE SU CARTERA CERRÁNDOLA, REALIZO COMUNICACIÓN CON EL DR. MIGUEL PICHETTO A QUIEN PONGO EN CONOCIMIENTO DE LO ACONTECIDO QUIEN DISPONE SE ENVIÉ UNA CONSIGNA PREVENTIVA AL DOMICILIO DE LA SUPUESTA AUTORA DEL HURTO, PARA CONTROLAR LOS MOVIMIENTOS DE LA MISMA, SE HACE PRESENTE EN ESTE AEROPUETO EL SR. RICARDO DIZ, CONCUBINO DE LA PRESUNTA AUTORA DEL HURTO, A QUIEN EN COMPAÑÍA DEL SR. TAVARONE Y DEL SR. JOSÉ LUIS RIVERO GONZALEZ SE LE INFORMA DE LO ACONTECIDO Y SE LO INVITA A VER LOS VIDEOS, A LO CUAL ACCEDE, Y AL FINALIZAR DICHA OBSERVACIÓN SE LE CONSULTA POR LAS CONCLUSIONES QUE EL PUEDE REALIZAR, RECONOCIENDO QUE SE OBSERVABA QUE LA SRA. DIAZ LESPAY COLOCABA EL TELÉFONO EN SU CARTERA. SE LE SOLICITA AL SR. DIZ SU INTERVENCION PARA EL ESCLARECIMIENTO DEL HECHO, ESTE MANTIENE COMUNICACION TELEFONICA CON SU CONCUBINA MANIFESTANDO ESTA QUE EFECTIVAMENTE EL ELEMENTO EN CUESTIÓN SE ENCONTRABA EN SU PODER. EL DR. PICHETTO ORDENA SE LE REALICE NOTIFICACIÓN DE CAUSA A LA SRA. SARA INÉS DIAZ LESPAY S/ DELITO CONTRA LA PROPIEDAD- HURTO, ACTA DE ENTREGA VOLUNTARIA DEL ELEMENTO POR PARTE DE LA IMPUTADA, ACTA DE RECONOCIMIENTO Y RECEPCIÓN DEL ELEMENTO A LA DAMNIFICADA. PARA CUMPLIMENTAR LO SOLICITADO SE DESIGNA UNA COMISIÓN Y ACOMPAÑADOS POR EL SR. DIZ SE TRASLADAN HASTA EL DOMICILIO DE LA IMPUTADA SOLICITANDOLE QUE ACOMPAÑE A LA COMISIÓN HASTA ESTA CEDE POLICIAL. SIENDO LAS 10:20 HORAS APROXIMADAMENTE ARRIBAN A ESTA DEPENDENCIA,Y EN PRESENCIA DE DOS TESTIGOS SE REALIZAN LAS ACTUACIONES ENCOMENDADAS, FINALIZADAS ESTAS SE PROCEDE A LA RESTITUCIÓN DEL TELÉFONO CELULAR A LA DAMNIFICADA. FINALIZANDO LAS ACTUACIONES SE DEJA CONSTANCIA DEL ESCLARECIMIENTO DEL HECHO SITUACION QUE SE PONE EN CONOCIMIENTO DEL MAGISTRADO INTERVINIENTE.</t>
  </si>
  <si>
    <t>SIENDO LA HORA Y EL DÍA ANTES MENCIONADO, SE PRESENTA EN ESTA GUARDIA DE PREVENCIÓN EL SR. DANIEL RUBÉN VENTURA, ENCARGADO DEL HOSPEDAJE "AJUPAPPROM", INFORMANDO QUE EL DÍA 24 DEL CORRIENTE MES Y AÑO, A LAS 1300 HORAS APROXIMADAMENTE, SE HABÍA HECHO PRESENTE EN ESTE AEROPUERTO METROPOLITANO, A LOS EFECTOS DE ESPERAR A LA SRA. PILAR SAN MARTÍN, LA CUAL SE IBA A ALOJAR EN DICHO HOSPEDAJE, Y QUE LA MISMA HABÍA ARRIBADO DE UN VUELO PROVENIENTE DE LA CIUDAD DE TRELEW. POSTERIORMENTE TOMARON UN TAXI EN LA PARADA UBICADA EN EL SECTOR A2, CARGARON EN EL BAÚL DEL VEHICULO UNA VALIJA, COLOR AZUL, Y SE DIRIGIERON HASTA EL HOSPEDAJE, UBICADO EN LA CALLE CHILE Nº 1468, CAPITAL FEDERAL, AL LLEGAR, EL SR. VENTURA AYUDO A LA SRA. A BAJAR DEL VEHICULO, INMEDIATAMENTE EL CHOFER DEL TAXI ARRANCO RAUDAMENTE LLEVÁNDOSE LA VALIJA ANTES MENCIONADA. Y AL SER LA MUJER DAMNIFICADA DE EDAD AVANZADA, NO VIDENTE Y CON PROBLEMAS DE SALUD, ENCONTRÁNDOSE IMPOSIBILITADA PARA TRASLADARSE PERSONALMENTE A RADICAR LA CORRESPONDIENTE DENUNCIA. EL OFICIAL JEFE SILVA, PROCEDE A ACTUAR DE OFICIO, YA QUE EL SR. DANIEL RUBÉN VENTURA, ES QUIEN INFORMA DEL HECHO DELICTIVO, TOMÁNDOLE LA DECLARACIÓN TESTIMONIAL, SE INFORMA EN PU Nº 4576 QUE SIENDO LAS 1200 HORAS SE PRESENTA EN EL AREA SUMARIOS POLICIALES DE ESTA POLICIA EL SR. VENTURA RUBEN QUIEN PRESTA DECLARACION TESTIMONIAL DONDE INFORMA QUE EL DIA DE LA FECHA HABIA RECIBIDO COMUNICACION TELEFONICA POR PARTE DE LA EMPRESA AEROLINEAS ARGENTINAS, COMUNICANDOLE QUE LA VALIJA DE LA SRA. PILAR SAN MARTIN SE ENCONTRABA EN LA AGENCIA DE TAXI TU SITA EN ESTA CAPITAL FEDERAL. SEGUIDAMENTE SE PRESENTARON EN EL LUGAR DONDE LE ENTREGARON A LA DAMNIFICADA SU VALIJA CON LA TOTALIDAD DE TODAS SUS PERTENENCIAS.</t>
  </si>
  <si>
    <t>TERCER PISO DEL MULTINIVEL</t>
  </si>
  <si>
    <t>ESTACIONAMIENTO SUR CUBIERTO</t>
  </si>
  <si>
    <t>SIENDO LA HORA Y EL DÍA ANTES MENCIONADO, SE RECIBE COMUNICACIÓN VÍA RADIAL POR PARTE DEL OFICIAL AUGUSTO GUZZANTI QUIEN INFORMA QUE SE ENCONTRABA UNA VALIJA ABANDONADO EN EL TERCER NIVEL DEL ESTACIONAMIENTO CUBIERTO, SE IMPLEMENTA PERÍMETRO DE SEGURIDAD Y SE CONVOCA AL OFICIAL EMILIO PAZ QUIEN SE ENCUENTRA DE TURNO EN LA SECCIÓN GEDEX EN ESTA UNIDAD OPERACIONAL. SE REALIZA COMUNICACIÓN CON EL CABO PRIMERO LEGIZA, PERTENECIENTE AL CUARTEL DE BOMBEROS DE LA POLICÍA FEDERAL Y CON EL DOCTOR BURGOS, MEDICO DE TURNO EN EL SERVICIO DE EMERGENCIAS MEDICAS DEL AEROPUERTO, EMERGER. UNA VEZ EN EL LUGAR TODOS LOS INTERVINIENTES, SE PROCEDE A EFECTIVIZAR EL OPERATIVO PARA LA DETECCIÓN DE PROBABLE OBJETO EXPLOSIVO ARROJANDO RESULTADO NEGATIVO. SE TRASLADO EL OBJETO HALLADO JUNTO CON SU HALLANTE Y UN TESTIGO A LA GUARDIA DE PREVENCIÓN, TRATÁNDOSE ÉSTE, DE UN BOLSO DE CUERO COLOR NEGRO PORTA NOTEBOOK, CONTENIENDO UNA NOTBOOK MARCA ACER Y SU CARGADOR, DONDE SE REALIZO EL ACTA DE HALLAZGO CORRESPONDIENTE CON NÚMERO 1779/10.</t>
  </si>
  <si>
    <t>SE PRESENTA A ESTA INSTRUCCION UNA PERSONA DE SEXO MASCULINO A RADICAR DENUNCIA QUE EL DÍA 24/07/2010 A LAS 22:00HS APROXIMADAMENTE ARRIBO A ESTE AEROPUERTO, PROCEDENTE DE AEROPARQUE, EN VUELO Nº LA-4222 DE LAN ARGENTINA, TRAS ESPERAR APROXIMADAMENTE VEINTE MINUTOS LA ENTREGA DE SU EQUIPAJE, MARCA SAMSONITE DE COLOR BORDO DE 80 CM DE ALTO POR 50 CM DE ANCHO POR 30 CM DE FONDO, SE RETIRA DE ESTA AEROSTACIÓN. UNA VEZ ARRIBADO A SU DOMICILIO DETECTA QUE EL CIERRE DE SU MALETA ESTABA ROTO EN EL APLIQUE QUE SIRVE PARA DESLIZAR. PROCEDE A CONTROLAR EL CONTENIDO DE LA MISMA DETECTANDO QUE DEL INTERIOR DE UNA CAJA DE PERFUME MARCA BURBERRYS WEEKEND WOM FALTABA EL FRASCO CON EL PERFUME, OBSERVO ADEMÁS QUE OTRO PAQUETE QUE ESTABA ENVUELTO CON PAPEL DE REGALO HABÍA SIDO ABIERTO PERO QUE NO FALTABA NADA.</t>
  </si>
  <si>
    <t>LA 4222</t>
  </si>
  <si>
    <t>SECTOR DENOMINADO ISLA</t>
  </si>
  <si>
    <t>SIENDO LA FECHA Y HORA ANTES MENCIONADA, EN MOMENTOS EN QUE LOS OFICIALES HANEMANN Y ALEGRE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</si>
  <si>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EL INTERIOR DE LA AERONAVE</t>
  </si>
  <si>
    <t>SIENDO LA FECHA Y HORA MENCIONADA LA DAMNIFICADA SE HACE PRESENTE EN ESTA GUARDIA DE PREVENCIÓN MANIFESTANDO QUE EN EL HORARIO DE LAS 2010 HORAS ARRIBO EN ESTE AEROPUERTO METROPOLITANO, EN EL VUELO DE MENCION, Y UNA VEZ EN EL SECTOR DE ARRIBOS A2 MIENTRAS SE ENCONTRABA A LA ESPERA DE SU EQUIPAJE DESPACHADO, TOMO SU CARTERA A LOS EFECTOS DE SACAR SU BILLETERA COLOR MARRÓN, MOMENTO EN EL CUAL SE PERCATO DE QUE LA MISMA HABÍA DESAPARECIDO. RÁPIDAMENTE, SE DIRIGIÓ HASTA LA OFICINA DE RECLAMOS DE LA EMPRESA AEROLÍNEAS ARGENTINAS, DONDE INFORMO LO SUCEDIDO. PASADOS UNOS MINUTOS, PERSONAL DE LA EMPRESA ANTES MENCIONADA LE MANIFIESTA A LA DAMNIFICADA QUE LA BILLETERA EN CUESTIÓN NO SE ENCONTRABA EN EL INTERIOR DE LA AERONAVE. POR LO CUAL, LA DAMNIFICADA SE APERSONO EN ESTA GUARDIA DE PREVENCIÓN A FIN DE RADICAR LA DENUNCIA.</t>
  </si>
  <si>
    <t>AR 2735</t>
  </si>
  <si>
    <t>MISIONES</t>
  </si>
  <si>
    <t>EL OFICIAL ARIEL CORVALAN, DESTACADO EN EL PUESTO DENOMINADO COC, DONDE A TRAVES DE UNA DE LAS CAMARAS DE SEGURIDAD OBSERVA A UNA PERSONA DE SEXO MASCULINO QUE SE ACERCA A UN PASAJERO AL CUAL LO DIRIGE HACIA EL ESTACIONAMIENTO DE LA TERMINAL B SUBIENDO AL PASAJERO A UN VEHICULO PARTICULAR, CHEVROLET CORSA DOMINIO FZM-144, POR TAL MOTIVO DA AVISO VIA FRECUENCIA RADIAL AL OFICIAL HECTOR CHAVEZ, APOSTADO EN EL PUESTO DEMOMINADO TAQUILLA QUIEN PROCEDE A INDIVIDUALIZAR Y DETENER AL RODADO EN CUESTION CONSTATANDO QUE TRANSPORTABA UNA PASAJERA RECIEN ARRIBADA EL PAIS. SEGUIDAMENTE LE SOLICITA AL CHOFER LA DOCUMENTACION REQUIRIDA PARA REALIZAR LA ACTIVDAD DE REMIS. MANIFESTANDO EL CONDUCTOR QUE CARECIA DE HABILITACION ALGUNA.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</si>
  <si>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3234/10</t>
  </si>
  <si>
    <t>A-375/10</t>
  </si>
  <si>
    <t>INFORMO QUE SIENDO LAS 13:00 HS SE PROCEDIO A LA ENTREGA AL PERSONAL DEL SERVICIO PENITENCIARIO FEDERAL AL DETENIDO ALOJADO EN DEPENDENCIA DE ESTA UNIDAD OPERACIONAL SR VICTOR MERLO RAMIREZ PAS NRO 3.239.751 DE NACIONALIDAD PARAGUAYA FECHA DE NACIMIENTO 09 MARZO 1979 DE 31 AÑOS DE EDAD DESOCUPADO ESTADO CIVIL SOLTERO AL AY PPAL RUBEN O GONZALEZ CRED NRO 25467 DEL SERVICIO PENITENCIARIO PARA POSTERIOR TRASLADO AL COMPLEJO PENITENCIARIO FEDERAL DEVOTO CIUDAD AUTONOMA DE BUENOS AIRES CONFORME AL OFICIO 1796/2010 DEL JUZGADO FEDERAL DE PRIMERA INSTANCIA DE LA CIUDAD DEL ELDORADO SECRETARIA DEL DR MIGUEL ANGEL GUERRERO</t>
  </si>
  <si>
    <t>INFRACCION LEY 23737, ART 14 INC. 2</t>
  </si>
  <si>
    <t>SECTOR DE CONTROL DE EQUIPAJES, SCAN VAN</t>
  </si>
  <si>
    <t>EN OCASION DE UN CONTROL DE RUTINA ALEATORIO RESPECTO DEL EQUIPAJE DE MANO COMO ASI TAMBIEN DEL EQUIPAJE DESPACHADO, LA OFICIAL, TOLEDO MARIA DEL CARMEN, LUEGO DE REALIZAR EL MENCIONADO CONTROL SOBRE EL EQUIPAJE DE MANO DE UN PASAJERO, SE DIRIGE AL SECTOR DENOMINADO PATIO DE VALIJAS DE ESTA AEROESTACION CON EL OBJETO DE CONTINUAR CON EL CONTROL RESPECTO DEL EQUIPAJE DESPACHADO, Y EN PRESENCIA DE LOS TESTIGOS HABILES, ACCEDIENDO VOLUNTARIAMENTRE EL PASAJERO AL MENCIONADO CONTROL, ES QUE LA OFICIAL ADVIERTE QUE EN EL INTERIOR DE SU VALIJA ENTRE SUS PERTENENCIAS Y ROPAS VARIAS, UN PAR DE ZAPATILLAS DE CUERO, MARCA BATISTELLA, COLOR CEMENTO Y NEGRO, CONTENIENDO EN SU INTERIOR, UN SOBRE DE TELA, EN CUYO INTERIOR SE ENCONTRO UNA ESPECIE DE PIPA DENOMINADA VULGARMENTE TUQUERA, DOS ENVOLTORIOS DE PAPEL METALIZADO DE COLOR NEGRO Y DORADO, CONTENIENDO EN SU INTERIOR UNA SUSTANCIA VEGETAL COLOR VERDE AMARRONADA, PRESUMIBLEMENTE COMPATIBLE CON LA PICADURA DE MARIHUANA, CUATRO BOLSAS PEQUEÑAS DE NYLON, CONTENIENDO EN SU INTERIOR LA SUSTANCIA ANTES MENCIONADA. SEGUIDAMENTE Y EN PRESENCIA DE LOS TESTIGOS, ES QUE SE PROCEDE A REALIZAR LA PRUEBA CON REACTIVOS, LA CUAL ARROJÓ RESULTADO POSITIVO PRESUNTIVO A LA MARIHUANA, ACTO SEGUIDO SE INTRODUCEN TODOS LOS ELEMENTOS DENTRO DE LA VALIJA DE MENCION, Y SE TRASLADA AL CAUSANTE CON LOS TESTIGOS, A LA OFICINA DE LA GUARDIA DE ESTA REPARTICION, DONDE SE REALIZAN LAS COMUNICACIONES CON EL JUZGADO FEDERAL DE TURNO, QUIEN LUEGO DE INTERIORIZARSE DEL HECHO, DISPONE: SE LABREN LAS ACTUACIONES DE RIGOR, SE PROCEDA AL FICHAJE DEL CAUSANTE, SE LE HAGA FIJAR DOMICILIO A TODOS LOS EFECTOS LEGALES, Y UNA VEZ FINALIZADAS LAS DILIGENCIAS, CONTINUE EN LIBERTAD. SE REALIZARON LOS CORRESPONDIENTES PRECARIOS MEDICOS, SE PROCEDIO AL CUMPLIMIENTO DE LAS DILIGENCIAS ORDENADAS, Y LUEGO DE TERMINADAS LAS MISMAS, EL CAUSANTE CONTINUO CON SU ITINERARIO PROGRAMADO, CONTINUANDO EN LIBERTAD.</t>
  </si>
  <si>
    <t>DRA MARIA SOL BIALOUS</t>
  </si>
  <si>
    <t>S/ DCIA ROBO</t>
  </si>
  <si>
    <t>EN EL DIA DE LA FECHA SR. GOMEZ ALBERTO RADICA DENUNCIA EN ESTA UOSP MANIFESTANDO QUE EL DIA 25 DE JULIO DESPACHO 7 VALIJAS EN EL AEROPUERTO DE RESISTENCIA PROVINCIA DE CHACO, COLOCANDOLE A CADA UNA PRECINTOS DE SEGURIDAD NO RECORDANDO LOS NUMEROS DE SERIE RESPECTIVOS, PARA EMBARCAR LUEGO EN VUELO DE AEROLINEAS ARGENTINAS Nº AR 1755 CON DESTINO AEROPARQUE JORGE NEWBERY Y LUEGO HACER TRASBORDO A LAS 23:00 HS EN VUELO AEROLINEAS ARGENTINAS Nº 1656 CON DESTINO A ESTA CIUDAD SIN TENER CONTACTO CON TODO SU EQUIPAJE DESPACHADO HASTA SU LLEGADA A ESTA CIUDAD, SIENDO APROX. 02:00HS DEL DIA DE LA FECHA SE PERCATA QUE EN UNA DE SUS VALIJAS, AMPARADA EN MARBETE Nº AR 53-64-81, NO POSEIA EL PRECINTO DE SEGURIDAD COLOCADO Y CON EL FALTANTE EN SU INTERIOR DE LOS ELEMENTOS DETALLADOS POSTERIORMENTE. SE ESTABLECE COMUNICACION CON EL JUZGADO INTERVINIENTE EL CUAL DISPONE SE LABREN LAS ACTUACIONES DE RIGOR.</t>
  </si>
  <si>
    <t>AR 1656 -NEUQUEN</t>
  </si>
  <si>
    <t>UNIDAD FISCAL UNICA DE SAN FERNANDO</t>
  </si>
  <si>
    <t>ANGELINI</t>
  </si>
  <si>
    <t>Luis Manuel</t>
  </si>
  <si>
    <t>HURTO AUTOR IGNORADO</t>
  </si>
  <si>
    <t>CABECERA 05</t>
  </si>
  <si>
    <t>PISTA PRINCIPAL PROXIMA A CABECERA 05, ENTRE ALFA Y BRAVO</t>
  </si>
  <si>
    <t>EL DIA DE LA FECHA, SIENDO LAS 1130 HORAS APROXIMADAMENTE EN MOMENTOS EN QUE PERSONAL DE LA EMPRESA AEROPUERTOS ARGENTINA 2000 REALIZARA RECORRIDA POR EL SECTOR DE PISTA ENCUENTRA LA NOVEDAD DE TRES BALIZAS ROTAS Y EL FALTANTE DE UNA BALIZA EN CERCANIAS DE CABECERA 05, LUEGO DE RECIBIR LA DENUNCIA DEL HECHO DESCRITO ANTERIORMENTE, SE PROCEDE A REALIZAR COMUNICACION TELEFONICA CON LA UFI UNICA DE SAN FERNANDO A CARGO DEL DR LUIS. MANUEL ANGELINI QUIEN DISPONE SE LABREN ACTUACIONES CORRESPONDIENTES.</t>
  </si>
  <si>
    <t>NORA BEATRIZ SOSA S/SU DCIA-HURTO</t>
  </si>
  <si>
    <t>AP 0036/10 CARATULADA NORA BEATRIZ SOSA S/SU DCIA-HURTO</t>
  </si>
  <si>
    <t>INFORMO QUE EN EL DIA DE LA FECHA SE PRESENTA EN EL TURNO DE ESTA PREVENCIÓN LA SEÑORA NORA BEATRIZ SOSA DNI N° 20.273.117 A REALIZAR UNA DENUNCIA DE UN HECHO, DICIENDO QUE EL DIA 18 DEL CORRIENTE ARRIBO EN EL VUELO AR 2872 PROCEDENTE DE LA CIUDAD DE BUENOS AIRES QUE RETIRO SUS EQUIPAJE EL CUAL NO LE PRESENTABA DAÑO, LUEGO SE DIRIGIÓ A SU DOMICILIO Y EL DIA 23 DE JULIO PROCEDE A ABRIR UNO DE LOS BOLSOS OBSERVANDO EL FALTANTE DE UNA CÁMARA DIGITAL Y UN PEDAL PARA GUITARRA ELÉCTRICA , POR LO CUAL SE DIRIGIÓ A LA EMPRESA A REALIZAR EL RECLAMO, Y LUEGO A ESTA PREVENCIÓN RADICANDO LA DENUNCIA N° 006/10</t>
  </si>
  <si>
    <t>DRA.CECCONI</t>
  </si>
  <si>
    <t>SIENDO LA FECHA Y HORA ANTES MENCIONADA, EN MOMENTOS EN QUE EL OFICIAL VILAS MARIANO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</si>
  <si>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HORA Y EL DÍA ANTES MENCIONADO SE IMPLEMENTA OPERATIVO DE SEGURIDAD PARA EL ARRIBO DEL SEÑOR PRESIDENTE ELECTO DE LA REPUBLICA DE COLOMBIA, DR. JUAN MANUEL SANTOS Y COMITIVA, EL CUAL ATERRIZÓ EN LA AEROSTACIÓN MILITAR A LAS 18:55 HORAS EN EL VUELO N145BL PROCEDENTE DE LA CIUDAD DE SANTIAGO DE CHILE, RETIRÁNDOSE DE ESTA AEROSTACIÓN A LAS 19:10 HORAS EN VEHICULO OFICIAL. SIENDO LAS 19:20 HORAS SE DA POR FINALIZADO EL OPERATIVO SIN NOVEDAD.</t>
  </si>
  <si>
    <t>NB 145BL</t>
  </si>
  <si>
    <t>INFRACCION AL ART 189 BIS DEL CP</t>
  </si>
  <si>
    <t>MAQUINA RAYOS X</t>
  </si>
  <si>
    <t>QUE EL DIA INDICADO EL PERSONAL INTERVINIENTE OBSERVA MEDIANTE MAQUINA DE RAYOS X, EN UN EQUIPAJE DEL TIPO CARRY ON DE GRANDES DIMENSIONES, DEL MENCIONADO VUELO DOS ARMAS DEL TIPO REVOLVER, SIN PODER DETERMINAR FEHACIENTEMENTE DE QUE TIPO DE ARMA SE TRATA. UNA VEZ UBICADA LA PROPIETARIA EN PRESENCIA DE TESTIGOS, SE PROCEDE A LA REQUISA DEL EQUIPAJE, HALLANDO EFECTIVAMENTE DOS ARMAS DE FUEGO LAS CUALES NO POSEEN DOCUMENTACION QUE LAS HABILITE. POR TAL MOTIVO EL JUZGADO INTERVINIENTE ORDENO LA INICIACION DE LA PRESENTE CAUSA, SE CARATULE INF. ART. 189 BIS, SECUESTRO DE LAS ARMAS, REINCIDENCIA, INTERPOL EZEIZA Y CAVIA, FICHAS DACTILOSCOPICAS, FOTOS, INFORME PERICIAL, CROQUIS, CONSTATACION DE DOMICILIO TELEFONICA Y SE NOTIFIQUE A LA CAUSANTE LA INICIACION DE LA CAUSA, Y CON LOS RESULTADOS DE INTERPOL Y REINCIDENCIA, DE NO POSEER IMPEDIMENTOS LEGALES, SEA LIBERADA NOTIFICANDOSELA QUE DEBERA COMPARECER A SEDE JUDICIAL AL REGRESO AL PAIS DENTRO DE LAS 72 HS DE PRODUCIDO. SEGUN PU Nº 4505 SIENDO LAS 05.30 HS DEL DIA 26/07/2010, OBTENIDO EL RESULTADO DE REINCIDENCIA SIENDO ESTE NEGATIVO, LA CAUSANTE HACE ABANDONO DE ESTA DEPENDENCIA CONFORME LOS TRATOS RECIBIDOS, POR SUS PROPIOS MEDIOS, SIN NOVEDAD.</t>
  </si>
  <si>
    <t>UA 846</t>
  </si>
  <si>
    <t>4442/10</t>
  </si>
  <si>
    <t>SE PROCEDE A LA APERTURA DE UNA SACA COLECTORA DEL CORREO OFICIAL, SEGUN CONSTA EN ACTA DE RETENCION DE CARGA Nº 0360/10, QUE ORIGINA LA PREV.SUM.Nº 085/10 Y ACTA DEJANDO CONSTANCIA Nº 363/10. LA SACA IDENTIFICADA CON MARBETE Nº SLA0161627D636300NQN, PRECINTO Nº Z170771, CON UN PESO DECLARADO DE 4,900 KGS. CON DESTINO A LA CIUDAD DE NEUQUEN, CONTIENE UNA PIEZA POSTAL IDENTIFICADA COMO: EP697954534AR, RTTE. MARTINA ISABEL FRANCO,GRAL. MOSCONI, C.P. 4562, SALTA Y DEST. ESTEBAN ABILA, TOMA LA FAMILIA, LOTE 42, MZA. 2, NEUQUEN, CAPITAL, C.P.8300, LA CUAL QUEDA RETENIDA. LA MISMA SE REALIZA ANTE LA PRESUNCION DE QUE PUDIERA CONTENER ALGUN ELEMENTO EN INFRACCION A LAS LEYES 22.415 Y/O 23.737, LA MISMA QUEDA CERRADA Y EN GUARDA EN ESTA UOSP. SE COMUNICO TELEFONICAMENTE AL JUZGADO INTERVINIENTE. Y LA APERTURA SE REALIZARA CON LA AUTORIZACION DEL MAGISTRADO ACTUANTE.</t>
  </si>
  <si>
    <t>INFRACCION AL ARTICULO 164 DEL CP</t>
  </si>
  <si>
    <t>QUE EL DIA DE LA FECHA EL DENUNCIANTE RECEPCIONO A SU HIJO MENOR DE EDAD, EL CUAL EMBARCO EN EL VUELO LH 171 EN LA CIUDAD DE BERLIN ALEMANIA DONDE DESPACHO POR BODEGA SUS EQUIPAJES, Y UNA VEZ ARRIBADO A ESTE AEROPUERTO INTERNACIONAL EL MISMO LE MANIFIESTO A SU PADRE QUE LE HABIAN VIOLENTADO SU EQUIPAJE, Y QUE POSEIA LOS FALTANTES DETALLADOS. POSTERIORMENTE EL PADRE DEL MENOR DAMNIFICADO RADICA LA CORRESPONDIENTE DENUNCIA EN LA GUARDIA DE PREVENCION.</t>
  </si>
  <si>
    <t>BERLIN</t>
  </si>
  <si>
    <t>SIENDO LAS 22:00 HS DEL DIA DE LA FECHA, EN REFERENCIA A ORDEN DE SERVICIO NRO. 150/10 Y CUMPLIMIENTO A LO ORDENADO POR EL JUZGADO FEDERAL NRO. 1 EN LA PERSONA DE SU PROSECRETARIA PENAL DRA. SUSANA BAGGI, SE COMISIONO PERSONAL A EFECTOS DE RETIRAR, DE ANTECEDENTES PERSONALES DE LA POLICIA DE LA PROVINCIA DE CÒRDOBA, PLANILLA PRONTUARIAL DE LA DETENIDAD EN ACTUACIONE SUMARIALES NRO. 41/10 DE FECHA 24-JUL-10 CARATULADAS USO DE DOCUMENTACIÓN PÚBLICO FALSIFICADO DESTINADO A ACREDITAR LA IDENTIDADDE LAS PERSONAS, DOCUMENTACION QUE PUSIERA DE MANIFIESTO QUE SOBRE LA CAUSANTE NO OBRAN ANTECEDENTES PENALES, MOTIVO POR EL CUAL LA COMISION SE DIRIGIO A SEDE DE LA ALCAIDIA DE LOS TRIBUNALES FEDERALES, LUGAR EN EL CUAL SE ENCUENTRA ALOJADA, A EFECTOS DE OTORGAR SU LIBERACION A LAS 23:15 HS APROXIMADAMENTE, REGRESANDO LOS EFECTIVOS POLICIALES SIN NOVEDAD.</t>
  </si>
  <si>
    <t>4418/10</t>
  </si>
  <si>
    <t>CAJERO BANCO HCBS</t>
  </si>
  <si>
    <t>HALL A1</t>
  </si>
  <si>
    <t>COMO RESULTADO DE LA COMISION DEL OFICIAL AUGUSTO GUZZANTI A LA SALA DE COC, SE PUDO CONSTATAR QUE EL DENUNCIANTE NO ES HURTADO EN EL LUGAR DENUNCIADO, YA QUE SE LO OBSERVA RETIRARSE DE DICHO CAJERO AUTOMÁTICO, UBICADO EN EL SECTOR A1, HASTA EL PASILLO QUE UNE EL SECTOR B CON EL SECTOR C, EN TODO MOMENTO CON SU CAJA DE HERRAMIENTAS EN EL CARRO PORTA EQUIPAJE, Y LUEGO DE TRANSCURRIDOS DOS MINUTOS Y CUARENTA Y UN SEGUNDOS, SEGUN EL CONTADOR DEL RELOJ FÍLMICO, SE LO VE REGRESAR POR EL PASILLO ANTES MENCIONADO, SIN LA CAJA DE HERRAMIENTAS.</t>
  </si>
  <si>
    <t>4500/10</t>
  </si>
  <si>
    <t>INFRACCION AL ART 189 DEL CP</t>
  </si>
  <si>
    <t>INFORMO MEDIANTE EL PRESENTE PARTE QUE SIENDO LAS CINCO HORAS TREINTA Y CINCO MINUTOS DEL DIA DE LA FECHA Y , UNA VEZ FINALIZADAS LAS ACTUACIONES Y OBTENIDO EL RESULTADO DE LA COMPULSA REALIZADA EN REINCIDENCIA Y ESTADISTICA CRIMINAL, LA CAUSANTE HACE ABANDONO DE ESTA DEPENDENCIA SIN NOVEDAD.ES TODO.</t>
  </si>
  <si>
    <t>WASHINTONG</t>
  </si>
  <si>
    <t>SIENDO LAS 07:50 HORA LOCAL ARRIBA AERONAVE MATRICULA LV BHU DE LA EMPRESA LAN ARGENTINA PROCEDENTE DE AEROPUERTO JORGE NEWBERY EN CUYAS BODEGAS 31,32 Y 42 SE DESPACHAN 109 CAJAS CON UN PESO BRUTO DE 2.595 KILOGRAMOS DE METAL -MTD- DE EMPRESA MINERA SANTA CRUZ CON DESTINO A AEROPUERTO JORGE NEWBERY. EL VUELO DESPEGA A LAS 08:52 SIN NOVEDAD. SE DIO CUMPLIMIENTO A ORDEN DE SERVICIO NRO 0067/2010.</t>
  </si>
  <si>
    <t>4499/10</t>
  </si>
  <si>
    <t>SIENDO LA HORA Y EL DÍA ANTES MENCIONADO SE IMPLEMENTA OPERATIVO DE SEGURIDAD POR LA PARTIDA DEL SEÑOR PRESIDENTE ELECTO DE LA REPUBLICA DE COLOMBIA, DR. JUAN MANUEL SANTOS Y COMITIVA, EL CUAL INGRESA A ESTA AEROSTACIÓN MILITAR EN VEHICULO OFICIAL A LAS 08:15 HORAS, RETIRÁNDOSE EN AERONAVE MATRICULA N145BL A LAS 08:36 HORAS CON DESTINO A LA REPUBLICA DE COLOMBIA. SIENDO LAS 08:40 HORAS SE DA POR FINALIZADO EL OPERATIVO SIN NOVEDAD.</t>
  </si>
  <si>
    <t>COLOMBIA</t>
  </si>
  <si>
    <t>DRA. RECABARRA MARINA</t>
  </si>
  <si>
    <t>SANITARIO DE CABALLEROS PB, PUESTO DE REVISTAS PB, PATIO DE COMIDAS DEL PRIMER PISO.</t>
  </si>
  <si>
    <t>EN EL DIA DE LA FECHA SE HACE PRESENTE EN LA GUARDIA DE PREVENCION EL DAMNIFICADO PARA INFORMAR QUE EL DIA 23/07/10 SIENDO LAS 1630 HORAS APROXIMADAMENTE SE PRESENTO EN ESTE AEROPUERTO METROPOLITANO. A FIN DE ABORDAR EL VUELO AR 2420 DE LA EMPRESA AEROLINEAS ARGENTINAS CON DESTINO MENDOZA Y QUE LUEGO DE HABER REALIZADO EL CHECK IN, SE DIRIGIO AL SANITARIO DE CABALLEROS, LUEGO AL PUESTO DE REVISTAS, Y POR ULTIMO A BEBER ALGO AL PATIO DE COMIDAS, DONDE SE PERCATA DEL FALTANTE DE SU MALETIN, NO PUDIENDO PRECISAR EL LUGAR EXACTO DE LA SUSTRACCION DEL MISMO, PERO DEBIDO A QUE SU VUELO ESTABA PROXIMO A SALIR NO RADICO LA DENUNCIA ESE MISMO DIA, MOTIVO POR EL CUAL, DE REGRESO A BUENOS AIRES SE HACE PRESENTE EN ESTA GUARDIA DE PREVENCION A FIN DE RADICAR LA DENUNCIA.</t>
  </si>
  <si>
    <t>GOLDARACENA FERNANDO</t>
  </si>
  <si>
    <t>AVERIGUACION PRESUNTO HURTO</t>
  </si>
  <si>
    <t>PISTA PRINCIPAL PROXIMO A CABECERA 23</t>
  </si>
  <si>
    <t>EL DIA 26/7/10 SIENDO LAS 2300 HORAS APROXIMADAMENTE EN MOMENTOS EN QUE SE REALIZARA RECORRIDA DE PISTA POR PARTE DEL PERSONAL DE AA2000, ESTE DETECTA EL FALTANTE DE UNA BALIZA DE PISTA Nº 38, EN SECTOR CERCANO A CABECERA 23. LUEGO DE RECIBIR LA DENUNCIA SE PROCEDE A REALIZAR COMUNICACION TELEFONICA CON EL JUZGADO INTERVINIENTE QUIEN ORDENA SE LABREN ACTUACIONES CARATULADAS AVERIGUACION PRESUNTO HURTO.</t>
  </si>
  <si>
    <t>SIENDO LA HORA MENCIONADA SE IMPLEMENTA CONTROL DE POLICIA DE SEGURIDAD AEROPORTUARIA SEGUN ORDEN 467/10 DE LA URSA I DEL ESTE, POR ARRIBO DE LA VISITA DEL MINISTRO DEL PODER PARA RELACIONES EXTERIORES DE LA REPUBLICA BOLIVARIANA DE VENEZUELA D. NICOLAS MADURO Y COMITIVA, LOS MISMOS ARRIBAN DE LA REPUBLICA BOLIVARIANA DE VENEZUELA A LAS 11:25 HORAS EN AERONAVE MATRICULA YV2040 Y SE RETIRA A LAS 11:32 HORAS VIA TERRESTRE EN VEHICULO OFICIAL, FINALIZANDO EL DISPOSITIVO DE SEGURIDAD SIN NOVEDAD A LAS 11:40 HORAS.</t>
  </si>
  <si>
    <t>DRA MARIA INES CARBAJALES</t>
  </si>
  <si>
    <t>PATIO DE VALIJAS - MAQUINA DE RAYOS X</t>
  </si>
  <si>
    <t>PERSONAL POLICIAL QUE DESEMPEÑABA SUS FUNCIONES EN EL PATIO DE VALIJAS DETECTA DENTRO DE UNA VALIJA SUSTANCIA ORGANICA, SIENDO CONTROLADO DICHO EQUIPAJE POR PERSONAL DE CANES, LLAMANDO LA ATENCION DEL CAN DICHO EQUIPAJE. POR TAL MOTIVO SE UBICA A LA PASAJERA DUEÑA DE DICHO EQUIPAJE Y SE LA TRASLADA AL TURNO. APERTURADA LA VALIJA, SE VACIA LA MISMA Y SE COMPRUEBA QUE ESTA PESABA MAS QUE UNA VALIJA DE SUS MISMAS CARACTERISTICAS Y EN SU MISMO ESTADO, SEGUIDAMENTE SE REALIZA UN CORTE EN EL FONDO DEL COMPARTIMIENTO PRINCIPAL DE LA MISMA Y SE DIVISA UN PAQUETE QUE CONTENIA SUSTANCIA, LUEGO SE SOMETE A DICHA SUSTANCIA A RECTIVO DE CAMPO PARA COCAINA ARROJANDO RESULTADO POSITIVO. ANOTICIADO EL JUZGADO INTERVINIENTE DISPONE SE DETENGA A LA PASAJERA EN CARACTER DE INCOMUNICADA, SE LABREN ACTUACIONES DE RIGOR BAJO LA CARATULA TENTATIVA DE CONTRABANDO DE ESTUPEFACIENTES Y SE ELEVE LO ACTUADO EL DIA MIERCOLES 28 DEL CORRIENTE MES Y AÑO JUNTAMENTE CON LA DETENIDA. SEGUN PU Nº 4535, SIENDO LAS 07.00 HS DEL DIA 28/07/2010 SE PROCEDIO AL TRASLADO DE LA DETENIDA A SEDE JUDICIAL.</t>
  </si>
  <si>
    <t>MARIA INES CARAVAJAL</t>
  </si>
  <si>
    <t>PSA S/DENUNCIA</t>
  </si>
  <si>
    <t>CORREO ELECTRONICO RECEPCIONADO POR LA PSA.</t>
  </si>
  <si>
    <t>QUE EL DIA VEINTISEIS DEL CORRIENTE MES Y AÑO, EN HORAS DE LA TARDE, POR ORDEN DEL SR. DIRECTOR NACIONAL DE ESTA POLICIA DE SEGURIDAD AEROPORTUARIA DR. JULIO POSTIGLIONE, SE DE INTERVENCION A LA JUSTICIA EN VIRTUD DE UN CORREO ELECTRONICO GMAIL CON FECHA 25 DEL ACTUAL, EN DONDE REZA QUE EL DIA 19 DE JUNIO DEL AÑO EN CURSO, ARRIBO AL AEROPUERTO DE BELGICA PROCEDENTE DE LA ARGENTINA POR VIA AEREA, DOS PELOTEROS DEL TAMAÑO DE UNA HABITACION CADA UNO, EN LOS CUALES DENTRO DE SU ESTRUCTURA TUBULAR DE CATORCE PULGADAS DE DIAMETRO SE HALLARON 350 KILOGRAMOS DE COCAINA, DESCUBIERTOS EN UNA REQUISA DE RUTINA EFECTUADA EN SUELO BELGA. POR LO EXPUESTO, EL COMISIONDO MAYOR RICARDO COLLAZO, JEFE INTERINAMENTE A CARGO DE LA UNIDAD REGIONAL I DEL ESTE, EN HORAS 20:45 DEL DIA 26 DE JULIO, INFORMÓ DEL HECHO AL JUZGADO ACTUANTE, ORDENANDO S.SA. QUE SE INICIEN ACTUACIONES SUMARIALES CARATULADAS PSA S/ DENUNCIA, SE ADJUNTE LA NOTA EXTRAIDA VIA INTERNET Y SE ELEVE LO ACTUADO A SEDE TRIBUNALICIA.</t>
  </si>
  <si>
    <t>JUZGADO NACIONAL EN LO CRIMINAL Y CORRECCIONAL FEDERAL Nº 12</t>
  </si>
  <si>
    <t>TORRES</t>
  </si>
  <si>
    <t>SERGIO GABRIEL</t>
  </si>
  <si>
    <t>E.S.M.A. S/DELITO DE ACCIÓN PÚBLICA</t>
  </si>
  <si>
    <t>14217/03</t>
  </si>
  <si>
    <t>CALLE LAVALLE 455 DEPARTAMENTO DE GODOY CRUZ PROVINCIA DE MENDOZA</t>
  </si>
  <si>
    <t>LA PRESENTE ACTUACION TIENE COMIENZO SEGÚN COLABORACION SOLICITADA EN MEMORANDO 212/10 DE FECHA 16 DE JULIO DE 2010 GENERADO POR LA UOCN Y DC CENTRAL DONDE SOLICITA PRACTICAR TAREAS INVESTIGATIVAS ENCUBIERTAS TENDIENTES A CORROBORAR EL DOMICILIO DE RUBEN RICARDO ORMELLO IDENTIFICADO CON EL DNI Nº 11.659.891 Y CI 2.998.951, NACIDO EL 20 DE FEBRERO DE 1955, HIJO DE RICARDO Y DE MARTA ELENA HUBER, SUBOFICIAL RETIRADO DE LA ARMADA ARGENTINA Y EMPLEADO DE AEROLINEAS ARGENTINAS. SE PUDO OBTENER POR MEDIO DE LA BASE DE DATOS DE LOS PERMISOS AEROPORTUARIOS PERTENECIENTES A LA UOSP MENDOZA QUE ESTA PERSONA REGISTRA DOMICILIO EN LA CALLE LAVALLE 455 DEL DEPARTAMENTO DE GODOY CRUZ PROVINCIA DE MENDOZA, ANTE ESTA NOVEDAD EL DIA 23 DE JULIO DEL CORRIENTE AÑO PARTIO UNA COMISION AL SITADO DOMICILIO PUDIENDO ESTABLECER LA EXISTENCIA DEL MISMO Y CORROBORANDO QUE EL SR. RUBEN RICARDO ORMELLO VIVE EN DICHO DOMICILIO, POSTERIORMENTE LA COMISION RETORNO SIN NOVEDAD AL AEROPUERTO INTERNACIONAL EL PLUMERILLO.</t>
  </si>
  <si>
    <t>SIENDO LA HORA MENCIONADA SE IMPLEMENTA DISPOSITIVO DE SEGURIDAD POR ARRIBO DEL SR MINISTRO DEL ESTADO DE KUWAIT JEQUE NASSER AL MAHUAMMAD AL AHMAD AL SABAH Y COMITIVA, SEGUN ORDEN DE SERVICIO Nº 282/10 DE ESTA UOSP, EL MISMO ARRIBA A ESTA AEROESTACION PROVENIENTE DEL ESTADO DE KUWAIT EN AERONAVE MATRICULA 9K-GEA A LAS 18:55 HORAS, POSTERIORMENTE SIENDO LAS 19:10 HORAS PARTE DE ESTA AEROESTACION VIA TERRESTRE EN VEHICULO PARTICULAR. FINALIZA EL CONTROL A LAS 19:15 HORAS SIN NOVEDAD.</t>
  </si>
  <si>
    <t>INFORMO QUE EN CUMPLIMIENTO DE ORDEN DE SERVICIO NRO197/10 DE FECHA 26 DE JULIO DE 2010, CUSTODIA DE TESTIGO PROTEGIDO, EMANADA POR EL JEFE DE LA UNIDAD REGIONAL V DE LA PATAGONIA, FUERON RECIBIDOS EN LA GUARDIA DE PREVENSION DE ESTA UNIDAD OPERACIONAL POR EL OFICIAL JEFE LUIS A. LUCENTINI (LEG. N° 500.726), EL DOCTOR DA ROCHA Y EL SEÑOR GUILLERMO DIAZ, AMBOS FUNCIONARIOS DEL PROGRAMA NACIONAL DE PROTECCION DE TESTIGOS CON QUIENES SE EFECTUARON LAS COORDINACIONES PARA LA CUSTODIA DE LAS PERSONAS QUE CON ELLOS CONCURRIERON AL AEROPUERTO DURANTE SU ESTADIA EN ESTA TERMINAL AEREA, EFECTUANDOSE ADEMAS LA COORDINACION CON LA EMPRESA AUSTRAL PARA EL EMBARQUE DE LAS PERSONAS MENCIONADAS. LA CUSTODIA DESDE SU ARRIBO A LA AEROESTACION Y HASTA EL MOMENTO DEL EMBARQUE EN LA AERONAVE ESTUVO A CARGO DEL OFICIAL JEFE ALEJANDRO RIQUELME (LEG. N° 501.574) Y EL OFICIAL PRINCIPAL FABRICIO PASCHETTA (LEG. N° 503.660), PERSONAL DE UOCN Y DC. LAS PERSONAS FUERON EMBARCADAS EN VUELO DE LA EMPRESA AUSTRAL NRO 2675 A LAS 17:20 HS, DECOLANDO LA AERONAVE CON DESTINO AL AEROPARQUE METROPOLITANO A LAS 17:40 HORAS. SIENDO LAS 17:45 HORAS EL OFICIAL JEFE LUCENTINI REALIZO COMUNICACIÓN TELEFONICA CON EL SUBINSPECTOR ARIEL REBORA, SUBJEFE DE LA UOSP AEROPARQUE INFORMANDO EL DESPEGUE DE LA AERONAVE SIN NOVEDAD.</t>
  </si>
  <si>
    <t>CRAIN ANALIA</t>
  </si>
  <si>
    <t>AVERIGUACION POR ROBO SIMPLE</t>
  </si>
  <si>
    <t>SIENDO LAS 17:40 HORAS SE PRESENTA EN LA GUARDIA DE PREVENCION EL SEÑOR LOMBINO PARA RADICAR UNA DENUNCIA POR EL ROBO DE ELEMENTOS DE ELECTRONICA DE SU EQUIPAJE DE BODEGA EL MISMO PARTIO DE LA CIUDAD DE MILAN, CON ESCALA EN MADRID, PARA LUEGO ARRIBAR AL AEROPUERTO DE EZEIZA, LUEGO SE TRASLADA HASTA EL AEROPARQUE METROPOLITANO, DONDE EMBARCA HACIA LA CIUDAD DE MENDOZA. ARRIBANDO A LA MISMA A LAS DIEZ Y CUARENTA HORAS APROXIMADAMENTE. UNA VEZ ARRIBADO SE DIRIGE A SU DOMICILIO PARTICULAR, DONDE LUEGO DE ALMOZAR SE DISPONE A DESEMPACAR SU EQUIPAJE Y SE DA CUENTA DE LA ROTURA DEL CANDADO Y DEL FALTANTE DE UN DISCO DURO Y UN PEN DRIVE DENTRO DE LA MISMA. POR TAL MOTIVO SE DIRIGE A LA AEROESTACION A RADICAR LA DENUNCIA. POR LO HECHOS ANTES MENCIONADO SE REALIZA COMUNICACION TELEFONICA CON LA AUTORIDAD JUDICIAL QUIEN DISPONE QUE SE LO DERIVE A LA OFICINA FISCAL DE TURNO, QUE SE REALICEN LAS ACTUACIONES CORRESPONDIENTES Y SE ELEVEN LAS MISMAS UNA VEZ FINALIZADAS</t>
  </si>
  <si>
    <t>POSICION Nº SIETE</t>
  </si>
  <si>
    <t>SIENDO LA HORA Y EL DIA ANTES MENCIONADO SE IMPLEMENTA OPERATIVO DE SEGURIDAD DANDO CUMPLIMIENTO A LA ORDEN DE SERVICIO 288/10 DE ESTA UOSP DISPONIENDO LAS MEDIDAS DE SEGURIDAD CORRESPONDIENTES. SIENDO LAS 19:40 ARRIBA A ESTE AEROPUERTO METROPOLITANO EL DR. DARROCHA CONJUNTAMENTE CON UN OPERADOR DEL PROGRAMA DE PROTECCION DE TESTIGOS IMPUTADOS Y DOS TESTIGOS PROTEGIDOS, EN EL VUELO AU2674 PROCEDENTE DE LA CIUDAD DE BARILOCHE Y SIENDO 20:10 HS SE RETIRAN EN VEHICULO PARTICULAR, FINALIZANDO EL OPERATIVO SIN NOVEDAD</t>
  </si>
  <si>
    <t>AU2675</t>
  </si>
  <si>
    <t>MOMENTOS EN QUE PERSONAL POLICIAL SE ENCONTRABA REALIZANDO EL CONTROL POR MEDIO DE RAYOS X DE LOS EQUIPAJES DE MANO TRANSPORTADOS POR LOS PASAJEROS DEL VUELO EN CUESTION, DETECTAN DENTRO DE UN MALETIN DE MEDIANAS DIMENSIONES SUSTANCIA ORGANICA. SEGUIDAMENTE SE IDENTIFICA AL PASAJERO PROPIETARIO DEL MALETIN Y SE LO TRASLADA AL ASIENTO DE LA GUARDIA DE PREVENCION. APERTURADO EL MALETIN SE CONSTATA QUE EL MISMO VACIO, ERA MAS PESADO QUE UNO EN IGUALES CIRCUNSTANCIAS Y CARACTERISTICAS, MOTIVO POR EL CUAL SE PROCEDE A CORTAR EL FRENTE DEL MISMO, SECTOR DE DONDE SE RETIRA UN PAQUETE, LUEGO SE CORTA EL SEPARADOR INTERNO DE DICHO MALETIN LUGAR DE DONDE SE EXTRAE OTRO PAQUETE POR ULTIMO SE CORTA LA CONTRATAPA DEL MALETIN, LUGAR DE DONDE SE RETIRA OTRO PAQUETE. TODOS LOS PAQUETES CONTENIAN SUSTANCIA PULVERULENTA DE COLOR BLANCO LA QUE SE SOMETIO A REACTIVO DE CAMPO PARA COCAINA ARROJANDO EN TODOS LOS CASOS RESULTADO POSITIVO. ANOTICIADO EL JUZGADO INTERVINIENTE DISPONE SE DETENGA AL PASAJERO EN CARACTER DE INCOMUNICADO, SE INICIEN ACTUACIONES DE RIGOR BAJO LA CARATULA TENTATIVA DE CONTRABANDO DE ESTUPEFACIENTES Y SE REMITA LO ACTUADO JUNTAMENTE CON EL DETENIDO DE AUTOS A SEDE TRIBUNALICIA EL DIA MIERCOLES 28 DEL CORRIENTE MES Y AÑO EN HORAS DE LA MAÑANA. SEGUN PU Nº 4536 SIENDO LAS 07.00 HS DEL DIA 28/07/2010 SE PROCEDIO AL TRASLADO DEL DETENIDO EN AUTOS A SEDE JUDICIAL SIN NOVEDAD.</t>
  </si>
  <si>
    <t>UA846</t>
  </si>
  <si>
    <t>WASHINGTON / UA 922</t>
  </si>
  <si>
    <t>4518/10</t>
  </si>
  <si>
    <t>INFORMO POR ESTE MEDIO, QUE SIENDO LAS SIETE HORAS, DE ACUERDO A LO ORDENADO POR EL JUZGADO INTERVINIENTE, SE PROCEDIO AL TRASLADO DE LA DETENIDA EN AUTOS A SEDE JUDICIAL, SIN NOVEDAD.</t>
  </si>
  <si>
    <t>4534/10</t>
  </si>
  <si>
    <t>SINFORMO POR ESTE MEDIO, QUE SIENDO LAS SIETE HORAS, DE ACUERDO A LO ORDENADO POR EL JUZGADO INTERVINIENTE, SE PROCEDIO AL TRASLADO DEL DETENIDO EN AUTOS A SEDE JUDICIAL, SIN NOVEDAD.</t>
  </si>
  <si>
    <t>EL FUNCIONARIO POLICIAL VICTOR SAMPAYO DESTACADO EN EL PUESTO DE GUARDIA CENTRO OPERATIVO Y CONTROL, A TRAVES DE UNA DE LAS CAMARAS DE SEGURIDAD OBSERVA EN EL SECTOR DE ARRIBOS DE LA TERMINAL A, A UNA PERSONA DE SEXO MASCULINO QUE SE ACERCABA A PASAJEROS QUE ARRIBABAN AL PAIS, MANTIENE UNA COMUNICACION Y LOS DIRIGE A LA DENOMINADA ISLA DE PERGOLA TAXI DONDE CARGA EL EQUIPAJE EN UN VEHICULO DE ALQUILER. POR TAL MOTIVO SE COMUNICA VIA NEXTEL CON EL OFICIAL VILAS JOAQUIN, EL CUAL SE APERSONA EN EL LUGAR DEL HECHO Y LE SOLICITA LA HABILITACION CORRESPONDIENTE CARECIENDO DE LA MISMA.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</si>
  <si>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INSTALACIONES DEL AEROPUERTO</t>
  </si>
  <si>
    <t>EL SUBOFICIAL LUIS MARCELO LAMAGNI DEL SERVICIO DE EXTINCION DE INCENDIOS DECLARA HABER EXTRAVIADO EL PERMISO DE SEGURIDAD PERMANENTE DENTRO DE LAS INSTALACIONES DE ESTE AEROPUERTO</t>
  </si>
  <si>
    <t>SRIO AV. S/LEY 23737 - BROWN 409 - COCO - CDA GOMEZ -</t>
  </si>
  <si>
    <t>334/10</t>
  </si>
  <si>
    <t>SRIO AV S/LEY 23737 - BROWN 409 - CAÑADA DE GOMEZ -</t>
  </si>
  <si>
    <t>CIUDAD DE CAÑADA DE GOMEZ - PROVINCIA DE SANTA FE.</t>
  </si>
  <si>
    <t>EN EL DIA DE LA FECHA SE RECIBE OFICIO NRO. 433 DE LA FISCALIA FEDERAL NRO 2 DE ROSARIO A CARGO DE LA DRA LILIANA BETTIOLO ORDENANDO REALIZAR TODAS LAS MEDIDAS INVESTIGATIVAS POSIBLES PARA ESCLARECER LAS DENUNCIAS ANONIMAS REALIZADAS EN EL BUZON DE LA VIDA, DONDE SINDICAN A UNA PERSONA CONOCIDA COMO COCO, EN EL BAR DE CALLE BROWN 409 DE LA CIUDAD DE CAÑADA DE GOMEZ COMERCIALIZARIA SUSTANCIA ESTUPEFACIENTE. LAS TAREAS INVESTIGATIVAS SE INICIAN POR ORDEN DE SERVICIO NRO. 183/2010 URSA IV DEL LITORAL.</t>
  </si>
  <si>
    <t>VILLATTE, ADOLFO</t>
  </si>
  <si>
    <t>SRIO AV LEY 23737 -BULTO 212-</t>
  </si>
  <si>
    <t>120/10 A</t>
  </si>
  <si>
    <t>SRIO AV LEY 23737 -CARCARAÑA-</t>
  </si>
  <si>
    <t>CIUDAD DE CARCARAÑA - PROVINCIA DE SANTA FE.</t>
  </si>
  <si>
    <t>EN EL DIA DE LA FECHA SE RECIBE OFICIO JUDICIAL NRO. 1349/10 P, DE LA FISCALIA FEDERAL NRO. 3 DE ROSARIO, DR. MARIO J. GAMBACORTA, A CARGO DE LA INSTRUCCIÓN, DONDE ORDENA REALIZAR TAREAS INVESTIGATIVAS SOBRE EL DOMICILIO RIVADAVIA 590 Y/O SARMIENTO 1495 DE CARCARAÑA, PROVINCIA DE SANTA FE, DONDE FUNCIONARIA LA FIRMA HAFEN TOURS, CON LA FINALIDAD DE DETERMINAR: IDENTIDAD, DESCRIPCIÓN FISONÓMICA, MOVILIDAD, LUGARES Y PERSONAS QUE FRECUENTA EL TITULAR DEL COMERCIO, Y SI DE LOS MOVIMIENTOS OBSERVADOS ES POSIBLE INFERIR LA REALIZACIÓN DE CONDUCTAS REÑIDAS CON LA LEY 23737. SE INICIAN LAS TAREAS INVESTIGATIVAS POR ORDEN DE SERVICIO NRO. 184/2010 URSA IV DEL LITORAL.</t>
  </si>
  <si>
    <t>EN EL DIA DE LA FECHA SE PRESENTA EL DECLARANTE, PERSONAL MILITAR, A FIN DE PONER EN CONOCIMIENTO EL EXTRAVIO DE SU PERMISO PERSONAL PERMANENTE S.N.A NRO. 315817 A NOMBRE DEL EXPONENTE CON LOS SECTORES 1-2-3-4-5 EN VIGENCIA HASTA EL DIA 05AGO10, MANIFESTANDO EL CAUSANTE QUE LA EXTRAVIO EL DIA MARTES 27 JULIO DEL CORRIENTE AÑO NO PUDIENDO PRECISAR EL LUGAR Y FECHA.</t>
  </si>
  <si>
    <t>SIENDO LAS 15:30 HORAS DEL DIA 26 DE JULIO DEL CORRIENTE AÑO, SE IMPLEMENTA OPERATIVO DE SEGURIDAD CON MOTIVO DE LA PARTIDA DEL MINISTRO DEL PODER PARA RELACIONES EXTERIORES DE LA REPUBLICA BOLIVARIANA DE VENEZUELA, EL SR NICOLÁS MADURO. EL CUAL SE HACE PRESENTE, JUNTO A COMITIVA, EN ESTE AEROPUERTO METROPOLITANO POR VÍA TERRESTRE EN EL HORARIO DE LAS 16:20 HORAS. SIENDO LAS 16:30 HORAS SE EFECTÚA LA PARTIDA DE LOS MENCIONADOS A BORDO DE LA AERONAVE YV-2040 CON DESTINO SANTIAGO DE CHILE. POSTERIORMENTE, EN HORAS 16:40 FINALIZA EL OPERATIVO SIN NOVEDAD.</t>
  </si>
  <si>
    <t>SIENDO LA FECHA Y HORA ANTES MENCIONADA, EN MOMENTOS EN QUE LOS OFICIALES CARABAJAL Y CAFFERATA SE ENCONTRABAN EN UNA RECORRIDA POR EL SECTOR MENCIONADO CON ANTERIORIDAD, OBSERVAN Y SORPRENDEN A UNA PERSONA DE SEXO MASCULINO, LA CUAL SE ENCONTRABA REALIZANDO SERVICIO DE MALETERO A LOS PASAJEROS Y HACIENDOLOS ABORDAR EN UN VEHICULO TAXI SIN POSEER LA CORRESPONDIENTE HABILITACION,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</si>
  <si>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 GERARDO MACHADO</t>
  </si>
  <si>
    <t>GUIRAO HECTOR RUBEN -S/DETENCION PREVENTIVA LEY 25.126 -EE.UU.</t>
  </si>
  <si>
    <t>EXPTE 187/08</t>
  </si>
  <si>
    <t>EN REFERENCIA A ORDEN DE SERVICIO NRO. 208/10 DE FECHA 28 JUL 2010 SE PRESTO COLABORACION EN EL AMBITO DE LA UOSP CORDOBA A LA COMISION DE INTERPOL QUIENES TIENEN A CARGO EL TRASLADO DEL DETENIDO HASTA EL AEROPUERTO JORGE NEWBERY. CABE DESTACAR QUE EL PROCEDIMIENTO REALIZADO SE EFECTUO SIN NOVEDAD</t>
  </si>
  <si>
    <t>FISCAL N° 6 - FISCALIA DE INSTRUCCION N° 17 DE LA PCIA. DE MENDOZA.</t>
  </si>
  <si>
    <t>DR. CARLOS PLANTAMURA</t>
  </si>
  <si>
    <t>F C/GALAN CRISTIAN</t>
  </si>
  <si>
    <t>SIENDO LAS 10:50 HORAS, SE RECIBE COMUNICACIÓN TELEFÓNICA POR PARTE DE LA OF. AY. CARMEN VALDEZ, AUXILIAR DEL PREEMBARQUE INTERNACIONAL DE ESTE AEROPUERTO METROPOLITANO, INFORMANDO QUE EL SR. ALBERTO CIGNO PERTENECIENTE A LA DIRECCIÓN NACIONAL DE MIGRACIONES LE MANIFESTO QUE EN EL SISTEMA DE LA DNM SE HABÍA DETECTADO UN PEDIDO DE CAPTURA EL CUAL SE ENCONTRABA VIGENTE SOBRE UN PASAJERO QUE ESTABA PRONTO A EMBARCAR EN EL VUELO AR 1284 DE LA EMPRESA AEROLÍNEAS ARGENTINAS CON DESTINO LA CIUDAD DE SANTIAGO DE CHILE. ACTO SEGUIDO, SE DIRIGIÓ HACIA LAS OFICINAS DE MIGRACIONES EL OF. MAYOR DANIEL AGUADO, A QUIEN SE LE FUE ENTREGADO, PARA SER TRASLADADO A ESTA GUARDIA DE PREVENCIÓN MEDIANTE NOTA DE ESTILO, AL SR. GALAN CARLOS CRISTIAN, SEGÚN CAUSA F C/GALAN CRISTIAN EXPEDIENTE Nº 8026932009, A REQUERIMIENTO DEL JUZGADO PROVINCIAL DE MENDOZA EL CUAL PRESENTABA PEDIDO DE CAPTURA VIGENTE, SIENDO APROXIMADAMENTE LAS 11:20 HORAS SE ESTABLECE COMUNICACIÓN TELEFÓNICA CON EL DR. CARLOS PLANTAMURA, SECRETARIO DE LA UNIDAD FISCAL Nº 06 FISCALIA DE INSTRUCCIÓN Nº 17 DE LA PCIA DE MENDOZA, A QUIEN SE LE INFORMA SOBRE LA SITUACIÓN ACAECIDA, ANTE LO CUAL EL SECRETARIO ANTES MENCIONADO, LUEGO DE CORROBORAR LOS REGISTROS DEL JUZGADO, MANIFESTO QUE LA SOLICITUD HABÍA QUEDADO SIN EFECTO, SEGÚN LO LIBRADO EL DÍA 07 DE SEPTIEMBRE DEL AÑO 2009 POR EL CUARTO JUZGADO DE GARANTÍAS DE LA PCIA DE MENDOZA. MOTIVO POR EL CUAL ORDENO QUE NO SE DEMORE MAS AL SR. GALAN CARLOS CRISTIAN. POR ULTIMO SE DA TRASLADO NOTA A LA DIRECCIÓN NACIONAL DE MIGRACIONES, DELEGACIÓN AEROPARQUE JORGE NEWBERY, INFORMANDO EL LEVANTAMIENTO DE LA ORDEN DE CAPTURA DEL CAUSANTE.</t>
  </si>
  <si>
    <t>GUIRAO, HECTOR RUBEN S/DETENCION PREVENTIVA LEY 25.126</t>
  </si>
  <si>
    <t>187/08</t>
  </si>
  <si>
    <t>POSICION Nº 06 - AERONAVE MATRICULA BBEG</t>
  </si>
  <si>
    <t>SIENDO LAS 14:40 HS SE CUMPLIMENTA ORDEN DE SERVICIO Nº 0475/10, IMPLEMENTANDO MEDIDAS DE SEGURIDAD PARA EL DESPLAZAMIENTO DENTRO DE LAS INSTALACIONES DE ESTE AEROPUERTO METROPOLITANO DEL CIUDADANO DE NACIONALIDAD ARGENTINA GUIRAO HÉCTOR RUBÉN, CUYA COMISIÓN ESTUVO A CARGO DEL SUBOFICIAL MAYOR TOMAS CASTELLI Y DEL CABO VERÓNICA MANETTI AMBOS NUMERARIOS DE LA PFA. SIENDO LAS 14:47 HS SE PRODUCE EL ARRIBO DEL VUELO Nº AR 2529 DE LA EMPRESA AEROLÍNEAS ARGENTINAS PROCEDENTE DE LA PCIA DE CÓRDOBA. SEGUIDAMENTE EL ENCARGADO DE TURNO, OF. MAYOR DANIEL AGUADO REALIZÓ EL TRASLADO HASTA ESTA GUARDIA DE PREVENCIÓN. POSTERIORMENTE SE HIZO PRESENTE EL CABO PRIMERO DIEGO CARADONA JUNTO A PERSONAL DE INTERPOL QUIENES RECEPCIONARON AL DETENIDO A LOS EFECTOS DE CONCRETAR SU EXTRADICIÓN A LOS ESTADOS UNIDOS. SIENDO LAS 15:00HS SE RETIRA LA COMISIÓN POLICIAL SIN NOVEDAD.</t>
  </si>
  <si>
    <t>AR 2529</t>
  </si>
  <si>
    <t>SRIO. AV. INF. LEY 23737 -PRECINTO DE SEGURIDAD N° G 850510-</t>
  </si>
  <si>
    <t>243/09 A</t>
  </si>
  <si>
    <t>CORREO ARGENTINO - SUCURSAL NRO. 16 - AV. PTE PERON 3444 - ROSARIO - PCIA DE SANTA FE</t>
  </si>
  <si>
    <t>EN EL DIA DE LA FECHA SE RECEPCIONA OFICIO JUDICIAL NRO. 3737 DEL JUZGADO ACTUANTE DONDE ORDENA CITAR AL PERSONAL DEL CORREO ARGENTINO, SUCURSAL NRO. 16 DE LA CIUDAD DE ROSARIO, PARA EL DIA 10/08/2010 A LA HORA 10:00 EN SEDE DEL TRIBUNAL. EL PRESENTE PARTE ES AMPLIATORIO DEL SIPAP PR:DOC4 0094/09 DEL 06/10/2009. SE DARA CUMPLIMIENTO AL MANDATO JUDICIAL MEDIANTE ORDEN DE SERVICIO NRO 185/2010 URSA IV DEL LITORAL.</t>
  </si>
  <si>
    <t>SECRETARIA N° 6</t>
  </si>
  <si>
    <t>GOLDARACENA, FERNANDO</t>
  </si>
  <si>
    <t>AVERIGUACION DE PRESUNTO HURTO</t>
  </si>
  <si>
    <t>CABECERA 23 DE LA PISTA Y CALLE DE RODAJE CHARLIE</t>
  </si>
  <si>
    <t>EN EL DIA DE LA FECHA SIENDO LAS SEIS Y VEINTE HORAS EL JEFE DE BASE DE AA2000 INFORMO VERBALMENTE QUE PERSONAL DE MANTENIMIENTO DE ESA EMPRESA DETECTO EL FALTANTE DE DOS FANALES DE BALIZAMIENTO Y LA ROTURA DE CINCO DE ESTOS ELEMENTOS. SEGUIDAMENTE EL JEFE DE TURNO SE DIRIGIO AL LUGAR DONDE DOS PERSONAS QUE SE ENCONTRABAN EN LA PARTE EXTERNA AL PERIMETRO LE INFORMARON QUE ERAN INDIVIDUOS QUE SE DIRIGIAN A UNA ZONA DE PASTIZALES Y PANTANOSA. SE DESPLEGO PERSONAL EN EL PERIMETRO PARA EVITAR LA HUIDA, SE SOLICITO COLABORACION DE LA POLICIA DE LA PROVINCIA DE BUENOS AIRES LOS CUALES CONCURRIERON DOS EFECTIVOS CON UN MOVIL PARA CONTROLAR EL PERIMETRO EXTERNO. SE APERSONO LA UOESA CON ONCE EFECTIVOS Y CANES DE SEGURIDAD. Y SE COORDINO CON EL SERVICIO AEREO DE LA POLICIA BONAERENSE REALIZANDO UN HELICOPTERO DE LA MISMA UNA PASADA QUE DURO APROXIMADAMENTE 30 MINUTOS. FINALIZANDO EL OPERATIVO CON RESULTADO NEGATIVO EN CUANTO A LA INDIVIDUALIZACION DE SOSPECHOSOS DENTRO DE LA JURISDICCION AEROPORTUARIA. SIENDO LAS 2140 HORAS SE PRESENTO EN LA GUARDIA DE PREVENCION PERSONAL DE AA2000 A FIN DE RADICAR FORMAL DENUNCIA.</t>
  </si>
  <si>
    <t>JUZGADO FEDERAL N° 1 SAN LUIS</t>
  </si>
  <si>
    <t>A 200 MTS DE CABECERA 01 SECTOR SUR ESTE DEL AEROPUERTO.</t>
  </si>
  <si>
    <t>PORTON DE ACCESO SUR PARALELO A CABECERA 01 SUR, LINDANTE CON LOS BARRIOS SANTA RITA, ELIAS ADRE, 292 VIVIENDAS</t>
  </si>
  <si>
    <t>SIENDO LAS 18:00 HORAS ME INFORMA EL OFICIAL MARTIN ALFREDO QUE OBSERVA MENORES EN EL SECTOR DEL PORTON DE ACCESO SUR, POR LO QUE SE ACERCA AL LUGAR MOMENTO EN EL QUE LOS MENORES SE ALEJAN HACIA LA ZONA DE LOS BARRIOS ALEDAÑOS, INMEDIATAMENTE SE INFORMA A PERSONAL DE MANTENIMIENTO DE AEROPUERTOS ARGENTINA 2000 A EFECTOS DE REPARAR LA ROTURA DEL PAÑO DEL ALAMBRADO PERIMETRAL. SIENDO LAS 18:20 HORAS REALIZO COMUNICACION TELEFONICA CON EL JUZGADO FEDERAL Nº 1 DE SAN LUIS, A CARGO DESDE EL DIA DE LA FECHA DE SU TITULAR EL DR. MAQUEDA JUAN ESTEBAN, SIENDO ATENDIDO POR EL SECRETARIO DR. FRIAS JORGE MARIANO, A QUIEN SE LE INFORMA DE LOS HECHOS, Y QUIEN DISPONE, ATENTO A SER HECHOS REPETIDOS Y SIMILARES, CON UN MISMO LUGAR DE COMISION, ADEMAS DE HABER ORDENADO YA ANTERIORMENTE, COMO JUEZ SUBROGANTE DURANTE LA FERIA, LA ACUMULACION DE CAUSAS EN LA PREVENCION SUMARIA Nº 06/2010, DISPONE QUE SE RESGUARDEN ACTUACIONES ANTERIORES DEL DIA 24 DE JULIO DEL CORRIENTE, Y SE ELEVE PREVENTIVO ACOMPAÑADO DE INFORME DE SITUACION DEL SECTOR CONFLICTIVO DE PERIMETRO, A EFECTOS DE ACUMULAR LAS CAUSAS Y ORDENAR ADEMAS QUE SE CONTINUEN LAS TAREAS INVESTIGATIVAS CON EL FIN DE TRATAR DE INDIVIDUALIZAR A LOS MENORES EN CUESTION Y SUS DOMICILIOS EN BUSCA DE UNA SOLUCION A ESTOS HECHOS.ES TODO.</t>
  </si>
  <si>
    <t>DRA IVANA ARAMENDI</t>
  </si>
  <si>
    <t>HALL PUBLICO FRENTE AL SNACK BAR</t>
  </si>
  <si>
    <t>SIENDO LAS 20:10 HORAS EL SEÑOR MARTINEZ DIEGO FUNCIONARIO DE ISCAMEN DA AVISO DE UN BOLSO ABANDONADO EN EL CENTRO DEL HALL A LA ALTURA DEL SNACK BAR AL OFICIAL AYUDANTE VARGAS ROBERTO, POR LO CUAL EL JEFE DE TURNO SE APROXIMA AL LUGAR Y SE LE SOLICITA AL PERSONAL DE SASA SR WINTER GERMAN PRESENTE QUE DE AVISO POR LOS PARLANTES DEL AEROPUERTO PARA CONTACTAR CON LA PERSONA QUE HAYA OLVIDADO EL BOLSO, DESPUES DE EFECTUAR TRES ANUNCIOS DA RESULTADOS NEGATIVOS SIENDO LAS 20:15 SE LE SOLICITA A AA2000 QUE CIERRE ARRIBO DE CABOTAJE Y DERIVE LOS ARRIBOS AL INTERNACIONAL YA QUE EL BOLSO SE ENCUENTRA CERCANO AL ARRIBO CABOTAJE , SIENDO LAS 20:25 SE LE DA AVISO AL PERSONAL DE GEDEX, OFICIAL MAYOR FERMANDEZ JAVIER QUIEN SIENDO LAS 20:35 LLEGA AL HALL, Y LUEGO DE LA INSPECCION PRIMARIA REALIZA UN CONTROL CON EL SABRE 4000 DANDO POSITIVO PARA NITROGLICERINA EN PANTALLA, LUEGO SE REALIZA UN SEGUNDO TEST QUE DA NEGATIVO, Y A POSTERIOR UN TERCERO QUE DIO NEGATIVO, POR LO CUAL EL OFICIAL FERNANDEZ LEVANTA EL BOLSO Y SE LE REALIZA CONTROL DE RAYOS X, PARA UNA VEZ LIBERADO POR EL OFICIAL DEL GEDEX SE REALICE EL ACTA DE HALLAZGO CON UN TESTIGO, SE LE DA AVISO AL JUZGADO FEDERAL , SECRETARIA PENAL E A CARGO DE LA DRA ARAMENDI QUIEN UNA VEZ TENIDO LA NOVEDAD ORDENA SE SIGA CON EL PROCEDIMIENTO HABITUAL DE LA PSA, SE CONFECCIONA ACTA DE HALLAZGO NUMERO 121/10 CON EL TESTIGO SR WINTER GERMAN</t>
  </si>
  <si>
    <t>DAÑOS EN LA BARRERA DE EGRESO</t>
  </si>
  <si>
    <t>EGRESO DE ESTE AEROPUERTO</t>
  </si>
  <si>
    <t>EN EL DIA DE LA FECHA SIENDO LAS HORAS 16:45 SE TOMA CONOCIMIENTO QUE UN VEHICULO DE GRAN PORTE HABRIA COLISIONADO CON LA BARRERA DE EGRESO DE ESTE AEROPUERTO, ANTE ELLO SE APERSONO PERSONAL DE TURNO DE ESTA UOSP EL CUAL REALIZO UNA INSPECCION OCULAR PARA CONSTATAR DICHO DAÑO, ANTE ELLO SE PROCEDIO A LA CONSULTA CON EL SEÑOR FISCAL FEDERAL DR. PEDRO SIMON DEL JUZGADO FEDERAL, EL CUAL DETERMINO QUE SE INICIEN LAS ACTUACIONES POR DAÑO Y SEAN REMITIDAS A LA BREVEDAD</t>
  </si>
  <si>
    <t>PARKING NORTE Nº 10</t>
  </si>
  <si>
    <t>SIENDO LAS 23:55 HORAS EL PERSONAL DE GEDEX REALIZA CONTROL DE BULTO SOSPECHOSO ARROJANDO RESULTADO NEGATIVO, POSTERIORMENTE SIENDO LAS 00:10 HORAS DEL DIA DE LA FECHA SE REALIZA ACTA DE HALLAZGO CON Nº 1812/10.</t>
  </si>
  <si>
    <t>INFRACCION AL ART. 292 DEL CPN</t>
  </si>
  <si>
    <t>LA DNM REMITE A ESTA DEPENDENCIA AL CIUDADANO CHINO XUE XINGMING, EN VIRTUD A QUE SOBRE EL MISMO RECAE UNA ORDEN DE CAPTURA VIGENTE SOLICITADA POR EL JUZGADO FEDERAL NUMERO 01, SECRETARIA NUMERO 02 DE LOMAS DE ZAMORA, EN CAUSA NUMERO 5811 CARATULADA INFRACCION AL ARTICULO 292 DEL CPN, MOTIVO POR EL CUAL, SE PROCEDE A ENTABLAR COMUNICACION TELEFONICA CON EL DR. JORGE D´AMORE, SE PROCEDA A EFECTIVIZAR LA DETENCION DEL CAUSANTE EN CALIDAD DE INCOMUNICADO, COMPULSA AL REGISTRO NACIONAL DE REINCIDENCIA Y ESTADISTICA CRIMINAL, NOTA INTERPOL CAVIA, 5 JUEGOS DE FICHAS DACTILOSCOPICAS, SECUESTRO DE LA DOCUMENTACION, QUE LA TOTALIDAD DE LOS EFECTOS DE VALOR Y PERSONALES SEAN ENTREGADOS A LOS FAMILIARES DEL CAUSANTE, CONSTATACION DE DOMICILIO Y QUE FINALIZADAS LAS MISMAS SEAN ELEVADAS A SEDE JUDICIAL EL DIA 29 DE JULIO DE 2010 A PRIMERA HORA, JUNTO CON EL DETENIDO Y LA DOCUMENTACION SECUESTRADA.</t>
  </si>
  <si>
    <t>MH 201</t>
  </si>
  <si>
    <t>TELEFONOS PUBLICOS UBICADOS ENTRE EL LOCAL DE COMIDAS MC DONALS Y LOS BAÑOS PUBLICOS DEL SECTOR</t>
  </si>
  <si>
    <t>EL DIA DE LA FECHA SIENDO LAS 1930 HORAS APROXIMADAMENTE ARRIBO DEL VUELO LH 510 DE LA EMPRESA LUFTHANSA PROCEDENTE DE LA CIUDAD DE FRANKFURT LA DAMNIFICADA A ESTE AEROPUERTO, Y SE DIRIGIO AL SECTOR DE TELEFONOS PUBLICOS, CON EL FIN DE EFECTUAR UNA COMUNICACION TELEFONICA. QUE UNA VEZ DELANTE DEL BOX DEL TELEFONO QUE ESTABA DISPUESTA A UTILIZAR, LA DAMNIFICADA DEPOSITO EN UN ESTANTE SITUADO DEBAJO DEL TELEFONO, SU BILLETERA. QUE AL NO FUNCIONAR EL TELEFONO, SE RETIRO DEL SECTOR DEJANDO OLVIDADA SU BILLETERA. Y CUANDO VUELVE AL SECTOR BUSCANDO SU BILLETERA, LA MISMA NO SE ENCONTRABA. POR LO QUE SE PRESENTA EN LA GUARDIA DE PREVENCION A FIN DE RADICAR LA DENUNCIA. POSTERIORMENTE SE PRESENTA EN EL TURNO, LA SRA. RODRIGUEZ MANIFESTANDO QUE HABIA HALLADO UNA BILLETERA, ELEMENTO QUE RECONOCE COMO DE SU PROPIEDAD LA DAMNIFICADA, Y QUE AL APERTURAR SU BILLETERA SE PERCATO DEL FALTANTE DE TODOS LOS ELEMENTOS DENUNCIADOS COMO SUSTRAIDOS. SE NOTIFICA A LA SRA. RODRIGUEZ QUE DEBERA PRESTAR DECLARACION TESTIMONIAL A LA OFICINA DE SUMARIOS POLICIALES DE LA UOSP EZEIZA.</t>
  </si>
  <si>
    <t>INFRACCION AL ARTICULO 164 DEL CPN</t>
  </si>
  <si>
    <t>SE RECIBIÓ EN LA GUARDIA DE PREVENCION MEMORANDO NUMERO 1623/2010 PRODUCIDO POR LA DIRECCIÓN GENERAL DE RELACIONES INSTITUCIONALES DE LA POLICÍA DE SEGURIDAD AEROPORTUARIA, INFORMANDO SOBRE UN FAX RECIBIDO EN ESA DIRECCIÓN EMITIDO POR LA EMPRESA AEROPUERTOS ARGENTINA 2000, EL CUAL INFORMA SOBRE REITERADOS RECLAMOS VÍA CORREO ELECTRÓNICO, REALIZADOS POR UN PASAJERO DE NOMBRE JUAN ALBERTO MONES RUIZ, A LA EMPRESA COPA AIRLINES MANIFESTANDO HABER SUFRIDO EL FALTANTE DE UN ELEMENTO DEL INTERIOR DE SU EQUIPAJE DESPACHADO POR BODEGA DEL VUELO DE MENCION CON DE FECHA 20 DE ABRIL DE 2010. SEGUIDAMENTE SE DA INTERVENCIÓN JUDICIAL DISPONIÉNDO SE INICIEN ACTUACIONES CARATULADAS "INF. ART. 164 DEL C.P.", SE ADJUNTE COPIA DE LOS MAIL RECIBIDOS Y SE ELEVE TODO LO ACTUADO A SEDE JUDICIAL. SE INFORMA EN ESTE PU QUE EL DAMNIFICADO PRESENTO FORMAL DENUNCIA EN LA GUARDIA DE PREVENCION DE LA UOSP EZEIZA EL DIA 24/04/10 INICIANDOSE PREVENCION SUMARIA 225E/10 CARATULADA ROBO CON Nº DE PU 2449, POR LO TANTO SE MODIFICO EL LUGAR CATALOGADO DESPACHO POR BODEGA REEMPLAZANDOLO POR FUERA DE JURIDISCCION.</t>
  </si>
  <si>
    <t>PUNTA CANA</t>
  </si>
  <si>
    <t>DR. PABLO JUAN LEGO</t>
  </si>
  <si>
    <t>FONZALIDA, JUAN CARLOS Y ROTH, LIDIA MARINA S/INF 23.737.-</t>
  </si>
  <si>
    <t>CAUSA N°2.490</t>
  </si>
  <si>
    <t>TURNO PREVENCION</t>
  </si>
  <si>
    <t>INFORMO: EN EL DIA DE LA FECHA EN VUELO 5U 481 DE LA EMPRESA AEROCOMERCIAL LINEAS AEREAS DEL ESTADO SE ENVIA BAJO GUIA DE CARGA N° 022-28004266, UNA CAJA CERRADA EN RELACION A LA CAUSA N° 2.490 CONFORME LO DISPUESTO POR LA DRA. ANA MERCEDES ORGEIRA A CARGO POR SUBROGANCIA LEGAL DEL JUZGADO FEDERAL DE USHUAIA. ASIMISMO INFORMO ESTIMA ARRIBO DEL VUELO A LA CIUDAD DE COMODORO RIVADAVIA A LAS 17:10 HS.-</t>
  </si>
  <si>
    <t>VILLALAS ALFREDO S/ART.78 Y 85 DECRETO LEY 8031/73</t>
  </si>
  <si>
    <t>428/08</t>
  </si>
  <si>
    <t>VILLALAS ALFREDO S/ART. 78 Y 85 DECRETO LEY 8031/73</t>
  </si>
  <si>
    <t>LOCAL MC DONALS</t>
  </si>
  <si>
    <t>EL OFICIAL MAMONE LUIS,SECUNDADO POR EL OFICIAL VILAS MARIANO EN RECORRIDA QUE EFECTUABAN POR EL SECTOR MENCIONADO, OBSERVAN A UNA PERSONA DEL SEXO MASCULINO SOBRE LA CUAL EXISTIRIA UNA ORDEN DE DETENCION EMANADA POR LA JUDICATURA INTERVINIENTE MEDIANTE OFICIO JUDICIAL, POR LO QUE EN PRESENCIA DE DOS TESTIGOS HABILES, EL MASCULINO ES DIRIGIDO A LA OFICINA DE CONTRAVENCIONES Y FALTAS PARA CONSTATAR SI LA ORDEN SE ENCONTRABA VIGENTE, SIENDO EL RESULTADO POSITIVO, PROSIGUIENDO CON LA DETENCION DEL CAUSANTE. SEGUN PU Nº 4586, SIENDO LAS 11.00 HS DEL DIA 29/07/2010, SE TRASLADO AL CAUSANTE A SEDE JUDICIAL DONDE S. S.A. DISPONE SU INMEDIATA LIBERTAD, MEDIDA QUE SE HACE EFECTIVA DESDE EL ASIENTO DE ESTA OFICINA DE CONTRAVENCIONES EN HS. 15.30, RETIRANDOSE POR SUS PROPIOS MEDIOS, CONFORME LOS TRATOS RECIBIDOS, SIN NOVEDAD.</t>
  </si>
  <si>
    <t>SIENDO LA HORA Y EL DÍA ANTES MENCIONADO SE IMPLEMENTA OPERATIVO DE SEGURIDAD PARA LA PARTIDA DE LA AERONAVE 9K-GEA, PERTENECIENTE AL JEQUE DE KUWAIT NASSER AL MAHUAMMAD AL AHMAD AL SABAH, CON DESTINO A LA CIUDAD DE MONTEVIDEO, REPÚBLICA DE URUGUAY, SIN NOVEDAD.</t>
  </si>
  <si>
    <t>9K-GEA</t>
  </si>
  <si>
    <t>4474/10</t>
  </si>
  <si>
    <t>CALLE CHILE Nº 1468, CAPITAL FEDERAL.</t>
  </si>
  <si>
    <t>HOSPEDAJE, AJUPAPPROM.</t>
  </si>
  <si>
    <t>EL DÍA 28 DEL CORRIENTE, A LAS 12:00HS,SE HACE PRESENTE EN EL ÁREA SUMARIOS POLICIALES EL SR. DANIEL RUBÉN VENTURA, INFORMADO QUE EN EL DÍA DE LA FECHA HABÍA RECIBIDO UN LLAMADO TELEFÓNICO POR PARTE DE LA EMPRESA AEROLÍNEAS ARGENTINAS, COMUNICÁNDOLE QUE DEBÍA PASAR A RETIRAR LA VALIJA DE LA SRA. PILAR SAN MARTÍN, POR LA AGENCIA DE TAXIS "TU", SITA EN LA CALLE CASTILLO 1486 DE ESTA CAPITAL FEDERAL. UNA VEZ ALLÍ, JUNTO CON LA SRA. SAN MARTÍN, CHEQUEARON LA VALIJA, LA CUAL NO POSEÍA NINGÚN FALTANTE. LUEGO SE HIZO PRESENTE EN ESTA POLICÍA AEROPORTUARIA CON EL FIN DE INFORMAR QUE HABÍA SIDO RECUPERADA LA VALIJA DENUNCIADA COMO HURTADA EL DÍA 24 DEL CORRIENTE.</t>
  </si>
  <si>
    <t>SIENDO LA HORA Y EL DÍA ANTES MENCIONADO, SE IMPLEMENTA OPERATIVO DE SEGURIDAD PARA LA PARTIDA DE LA SRA. PRESIDENTE DE LA NACIÓN Y COMITIVA, LA CUAL ARRIBÓ A ESTA AEROSTACIÓN EN EL VUELO H-02 A LAS 15:50 HORAS, PARTIENDO CON DESTINO A LA CIUDAD DE EL CALAFATA A LAS 16:04 HORAS EN EL VUELO T-01. SIENDO LAS 16:15 HORAS FINALIZA EL OPERATIVO SIN NOVEDAD</t>
  </si>
  <si>
    <t>TRIBUNAL ORAL CRIMINAL FEDERAL Nº 5 DE SAN MARTIN</t>
  </si>
  <si>
    <t>GUARDIA DE PREVENCION - PLATAFORMA - AERONAVE</t>
  </si>
  <si>
    <t>SIENDO LA HORA Y EL DÍA ANTES MENCIONADO SE PROCEDE A CUMPLIMENTAR LA ORDEN DE SERVICIO Nº 478/10 DE LA URSA I DEL ESTE, REFERENTE AL MEMORANDO Nº 833/10 DEL CEAC CON MOTIVO DEL CONTROL DE POLICÍA DE SEGURIDAD AEROPORTUARIA DEL EXPULSADO AGAMENON ACHILES GONCALVES VIEIRA, EL CUAL POR PROBLEMAS OPERATIVOS DE LA EMPRESA AEROCOMERCIAL PLUNA EN EL VUELO 164, EL MENCIONADO FUE DERIVADO AL VUELO 8172 Y EMBARCADO A LAS 17:30 HORAS, PARTIENDO EL MISMO A LAS 18:10 HORAS SIN NOVEDAD.-</t>
  </si>
  <si>
    <t>ARRIBA AERONAVE T-01 CON SEÑORA PRESIDENTA DE LA NACIÓN, SEÑOR EX PRESIDENTE DE LA NACIÓN DOCTOR NESTOR KIRCHNER Y COMITIVA SIN NOVEDAD. AERONAVE PRÓXIMA A PARTIR HACIA LA CIUDAD DE RÍO GALLEGOS CON EL SEÑOR MAXIMO KIRCHNER.-</t>
  </si>
  <si>
    <t>4570/10</t>
  </si>
  <si>
    <t>ORDEN DE DETENCION, VILLALAS ALFREDO S/ART.78 Y 85 DECRETO LEY 8031/73</t>
  </si>
  <si>
    <t>ORDEN DE DETENCION, VILLALAS ALFREDO S/ART. 78 Y 85 DECRETO LEY 8031/73</t>
  </si>
  <si>
    <t>ORDEN DE DETENCON, VILLALAS ALFREDO S/ART. 78 Y 85 DECRETO LEY 8031/73</t>
  </si>
  <si>
    <t>MC DONALS</t>
  </si>
  <si>
    <t>SIENDO LAS ONCE HORAS EL MASCULINO ES TRASLADADO POR PERSONAL DE ESTA OFICINA A SEDE JUDICIAL,DONDE SU SEÑORIA DISPONE SU INMEDIATA LIBERTAD,MEDIDA QUE SE HACE EFECTIVA DESDE EL ASIENTO DE ESTA OFICINA A LAS QUINCE TREINTA HORAS.</t>
  </si>
  <si>
    <t>SE CONFECCIONA EL PRESENTE A LOS EFECTOS DE INFORMAR QUE SIENDO LAS 19:40 HS LOCAL DEL DIA DE LA FECHA ARRIBA LA AERONAVE T-01 CON HIJO DE LA SEÑORA PRESIDENTA MAXIMO KIRCHNER, CUSTODIA Y TRIPULACION SIN NOVEDAD</t>
  </si>
  <si>
    <t>INFRACCION A LOS ART. 78 Y 85 DECRETO LEY 8031/73</t>
  </si>
  <si>
    <t>EL OFICIAL VICTOR SAMPAYO QUE SE ENCONTRABA DESTACADO EN EL PUESTO DE GUARDIA DENOMINADO CENTRO OPERATIVO DE CONTROL OBSERVA A TRAVES DE UNA DE LAS CAMARAS A UN MASCULINO QUE SE ACERCA A PASAJEROS RECIEN ARRIBADOS AL PAIS Y QUE LUEGO DE MANTENER CONVERSACION CON LOS MISMOS CARGA SUS EQUIPAJES A UN VEHICULO TAXIMETRO, POR LO QUE EL OFICIAL MANTIENE COMUNICACION DIRECTA VIA NEXTEL CON LA OFICIAL CAMILA ZALAZAR DE CONTRAVENCIONES Y FALTAS, PONIENDO AL TANTO DE LA SITUACION VISUALIZADA, LA CUAL SE APERSONA EN EL LUGAR Y EN PRESENCIA DE UN TESTIGO HABIL SOLICITA AL MASCULINO LA HABILITACION PARA REALIZAR LA TAREA DE MALETERO, CARECIENDO DE LA MISMA.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</si>
  <si>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INF.ART. 239 DEL C.P.N.</t>
  </si>
  <si>
    <t>BOX DE CONTROL MIGRATORIO ARRIBOS 1/5</t>
  </si>
  <si>
    <t>COMPARECE PERSONAL DE MIGRACIONES MANIFESTANDO QUE PERSONAL DE LA AEROLINEA TAM, SE HIZO PRESENTE DADO QUE ACOMPAÑABA A UN PASAJERO DE NOMBRE ALEJANDRO DANIEL LEAL, PASAPORTE ARGENTINO 11.978.898, EL CUAL SE ENCONTRABA ARRIBANDO AL PAIS EN CONDICION DE RECHAZADO. EN ESAS CIRCUNSTANCIA EL PERSONAL DE TAM INDICO AL PASAJERO QUE AGUARDE DETRAS DE LOS BOX MIGRATORIOS MIENTRAS SE DIRIGE HACIA LAS OFICINAS CENTRALES DE LA D.N.M A REALIZAR LA TRAMITACION PERTINENTE. ASI LAS COSAS, FUNCIONARIOS DE LA D.N.M SE DIRIGIERON HASTA EL BOX DE CONTROL Y SOLICITARON DATOS AL PASAJERO EN CUESTION Y POSTERIORMENTE EFECTUARON CONSULTA CON INTERPOL Y OBTENIDOS LOS RESULTADOS EL PERSONAL DE LA D.N.M INFORMA AL PERSONAL DE TAM QUE NO HAY INCONVENIENTES EN REALIZAR EL INGRESO AL PAIS DEL SR. LEAL POR LO QUE EL PERSONAL DE LA AEROLINEA SE DIRIGE HACIA EL BOX MIGRATORIO Y AL LLEGAR ALLÍ SE PERCATA QUE EL PASAJERO EN CUESTION YA NO SE ENCONTRABA. LUEGO DE REALIZAR LA BUSQUEDA MEDIANTE EL C.O.C SE DESPRENDE QUE EL MISMO TRASPASO EL CONTROL MIGRATORIO A LAS 10 HORAS Y A LAS 10:10 HORAS ASCENDIO EN UN VEHICULO TAXI RETIRANDOSE DE ESTE MEDIO. POR LO QUE LA D.N.M EFECTUA FORMAL DENUNCIA. SIENDO LAS 13.40 HS. SE ENTABLA COMUNICACION CON LA JUDICATURA INTERVINIENTE QUIEN ORDENA.INICIAR ACTUACIONES SUMARIAS CARATULADAS INFRACCION AL ART. 239 DEL CPN, TESTIMONIAL AL CHOFER DEL VEHICULO TAXIMETRO QUE TRASLADARA AL PASAJERO, TESTIMONIAL AL PERSONAL DE TAM, TRANSITOS MIGRATORIOS DEL CAUSANTE, REGISTROS FILMICOS, Y ELEVACION DE ACTUACIONES A SEDE JUDICIAL A PRIERA HORA DEL DIA 30 DEL CORRIENTE MES Y AÑO. DE LA COMPULSA A INTERPOL SURGIO UNA DETENCION VIGENTE DE FECHA 18/12/2008 A SOLICITUD DEL JUZGADO FEDERAL CRIMINAL Y CORRECCIONAL Nº 1 DE SAN MARTIN EN CAUSA Nº 866 POR FALSIFICACION DOCUMENTO EN GENERAL, POR LO CUAL SE ENTABLA NUEVAMENTE COMUNICACION CON EL DR.CALLIZO QUIEN DISPONE SE INICIEN ACTUACIONES SUMARIAS EN CAUSA CARATULADA INFRACCION AL ART. 248 DEL CPN.</t>
  </si>
  <si>
    <t>LOCUTORIO DE LA EMPRESA TELECOM-SECTOR DE ARRIBOS DE LA TERMINAL A</t>
  </si>
  <si>
    <t>EL DIA DE LA FECHA SIENDO LAS 1500 HORAS APROXIMADAMENTE ARRIBO EN LA TERMINAL B DE ESTE AEROPUERTO INTERNACIONAL LA DAMNIFICADA EN EL VUELO DE LA EMPRESA AEROLINEAS ARGENTINAS AR 1183 PROCEDENTE DE LA CIUDAD DE SIDNEY, SE DIRIGIO AL LOCUTORIO HABIDO EN EL SECTOR DE ARRIBOS DE LA TERMINAL A. UNA VEZ ALLÍ, SE UBICO EN EL BOX Nº 8 A FIN DE UTILIZAR UNA MAQUINA CON SERVICIO DE INTERNET. SEGUIDO A ELLO, DEJO SOBRE LA MESA DE ESE BOX SU BILLETERA Y SE DIRIGIO A LA RECEPCION DEBIDO A UNA FALLA EN LA COMPUTADORA, DESCUIDANDO POR UNOS INSTANTES SU BILLETERA. AL REGRESAR AL BOX Nº 8 SE PERCATO DEL FALTANTE DE SU BILLETERA, POR LO QUE DECIDE PRESENTARSE EN LA GUARDIA DE PREVENCION A FIN DE RADICAR DENUNCIA.</t>
  </si>
  <si>
    <t>SE PROCEDE A LA RETENCIÓN DE TRES SACAS COLECTORAS DEL CORREO OFICIAL, SEGÚN CONSTA EN ACTA DE RETENCIÓN DE CARGAS Nº 367/10, QUE ORIGINA LA PREVENCIÓN SUMARIA 087/10, LA PRIMERA SACA IDENTIFICADA CON MARBETE, SLA0210654D555800VAE, PRECINTO N° D073527, CON UN PESO DECLARADO DE 18,300 KGS, CON DESTINO LA CIUDAD DE USHUAIA, CONTENDRÍA CUATRO PIEZAS POSTALES, LA SEGUNDA SACA IDENTIFICADA CON MARBETE SLA9128520E343400MDZ, PRECINTO Nº D0730530, CON UN PESO DECLARADO DE 10,900 KGS, CON DESTINO A LA CIUDAD DE MENDOZA, CONTENDRÍA UNA PIEZA POSTAL Y LA TERCERA SACA IDENTIFICADA CON MARBETE SLA8885985E424200PRA, PRECINTO Nº D073004, CON UN PESO DECLARADO DE 1,400 KGS, CON DESTINO A LA CIUDAD DE PARANA, CONTENDRÍA UNA PIEZA POSTAL. LAS MISMAS ESTÁN AMPARADAS EN GUÍA DE CARGA Nº 9437873-4, DESPACHADAS A TRAVÉS DE LA EMPRESA DE CARGA AÉREA JET PAQ. LA RETENCIÓN SE REALIZA ANTE LA PRESUNCIÓN QUE PUDIERAN CONTENER ALGÚN ELEMENTO EN INFRACCIÓN A LA LEY 23.737 Y/O 22.415, QUEDANDO LAS MISMAS CERRADAS Y PRECINTADAS EN GUARDA EN ESTA UOSP. SEGÚN LO COORDINADO CON LA DRA. MARÍA ISABEL FALU, A CARGO DE LA SECRETARIA PENAL Nº 4 DEL JUZGADO FEDERAL DE SALTA Nº 2 A CARGO DEL DR. MIGUEL ANTONIO MEDINA Y LA APERTURA SE REALIZARÁ EN PRESENCIA DEL PERSONAL DEL CORREO OFICIAL.</t>
  </si>
  <si>
    <t>DR. GUILLEROMO GAGO</t>
  </si>
  <si>
    <t>DELITO DE ACCION PUBLICA</t>
  </si>
  <si>
    <t>DARSENA SECTOR ARRIBOS A2</t>
  </si>
  <si>
    <t>SIENDO LA FECHA Y HORA MENCIONADA SE HACE PRESENTE EN ESTA GUARDIA DE PREVENCION EL SR. IMOLI CARLOS MARTIN MANIFESTANDO QUE SIENDO LAS 22:42 HS ARRIBO EN ESTE AEROPUERTO METROPOLITANO EN EL VUELO Nº AR 2657 PROCEDENTE DE NEUQUEN, JUNTO A SU ESPOSA LA SR. AVESA NOELIA DNI Nº 27.235.068 Y SU HIJA , IMOLI JUANA DNI Nº 48.168.980. POSTERIORMENTE LUEGO DE QUE RETIRARON SUS EQUIPAJES, SE DIRIGIERON HACIA EL SECTOR MENCIONADO DONDE ABORDARON UN VEHICULO TAXÍMETRO MARCA RENAULT, MODELO KANGOO; DOMINIO IPD 211. UNA VEZ COLOCADOS TODOS LOS EQUIPAJES, EMPRENDIO SU MARCHA DESDE LA DÁRSENA DEL ARRIBO NACIONAL A2 Y TOMÓ LA AVENIDA RAFAEL OBLIGADO. ALLÍ EL DENUNCIANTE LE INDICO AL CHOFER QUE SE DIRIGÍAN A LA AV. LIBERTADOR AL 1700 DE ESTA CIUDAD Y EL TAXISTA LE RESPONDIÓ QUE LA TARIFA DEL VIAJE IBA A SER DE UNOS CIEN PESOS ARGENTINOS. ANTE LO CUAL EL DAMNIFICADO LE MANIFESTÓ QUE NO IBA A PAGAR ESA SUMA DE DINERO Y QUE SOLO PAGARÍA LO QUE INDICASE EL RELOJ DEL TAXIMETRO. MOMENTO EN EL CUAL, LUEGO DE REALIZAR UNOS CIEN METROS DE RECORRIDA, EL TAXISTA LE DIJO QUE NO IBA A PRENDER EL RELOJ, DETENIENDO LA MARCHA DEL VEHICULO E INDICANDOLE A LOS PASAJEROS QUE BAJASEN DEL AUTOMÓVIL. INMEDIATAMENTE, EL TAXISTA TOMO LOS EQUIPAJES Y LOS ARROJO EN LA VEREDA DE ESTE AEROPARQUE. SE INFORMA EN PU Nº 4759 DEL DIA 5/8/10 SIENDO LAS 1830 HORAS EL OF. HOZ DE VILA PROCEDE A IDENTIFICAR AL CHOFER DEL VEHICULO TAXIMETRO INVOLUCRADO EN LAS PRESENTES ACTUACIONES, MOTIVO POR EL CUAL SE TRASLADA AL MASCULINO A LA GUARDIA DE PREVENCION. UNA VEZ ALLI SE ENTABLA COMUNICACION TELEFONICA CON LA JUDICATURA ACTUANTE QUIEN DISPONE LA DETENCION DEL CHOFER EN CARACTER DE COMUNICADO, PRECARIO MEDICO DE ENTRADA, CONSTATACION DE DOMICILIO, ART. 86, TRES JUEGOS DE FICHAS, ART. 353 DE REINCIDENCIA, ART. 26 Y 41, PLANILLA PRONTUARIAL, IDGE INTERPOL Y CON EL RESULTADO DE REINCIDENCIA ENTABLAR NUEVA COMUNICACION TELEFONICA EL DIA 6/8/10 A LAS 0900 HORAS. SE INFORMA EN PU Nº 4771 DEL DIA 6/8/10 SIENDO LAS 1015 HORAS SE CUMPLIMENTA LO ORDENADO POR EL JUZGADO INTERVINIENTE PROCEDIENDOSE A LA LIBERACION DEL SR. HECTOR ALMIRON POR NO MEDIAR IMPEDIMENTO LEGAL ALGUNO RETIRANDOSE DE LA UNIDAD SIN NOVEDAD.</t>
  </si>
  <si>
    <t>INF. ART. 248 DEL C.P.N</t>
  </si>
  <si>
    <t>OBTENIDA LA RESPUESTA DE INTERPOL RELACIONADA CON EL PASAJERO DANIEL ALEJANDRO LEAL EN EL MARCO DE LA CAUSA 384-E/10, SURGE QUE SOBRE EL MISMO PESA UNA DETENCION SOLICITADA POR EL JUZGADO FEDERAL CRIMINAL Y CORRECCIONAL Nº1 DE SAN MARTIN, SECRETARIA Nº3 EN CAUSA 866 FALS. DOC. EN GENERAL. POR LO CUAL SE ENTABLA COMUNICACION CON LA JUDICATURA ACTUANTE QUIEN DISPONE EL INICIO DE LAS PRESENTES ACTUACIONES CARATULADAS INFRACCION AL ARTICULO 248 DEL C.P.N, SE IDENTIFIQUE Y NOTIFIQUE DEL INICIO DE LA CAUSA AL PERSONAL DE LA D.N.M QUE SE DESEMPEÑARA EN EL BOX 1 A LAS 10 HORAS DEL DIA 29/07/10 Y SE RECIBA DECLARACION TESTIMONIAL AL SUPERVISOR DE TURNO. PRACTICADAS LAS AVERIGUACIONES PERTINENTES SE DESPRENDE QUE LOS FUNCIONARIOS ACTUANTES YA SE RETIRARON DEL SECTOR Y REGRESAN A LA MADRUGADA DEL DIA SABADO, POR LO CUAL SE DILIGENCIAN LAS CITACIONES PERTINENTES. RECIBIENDOSE COMO RESPUESTA DE LA DNM QUE LOS FUNCIONARIOS QUE SE ENCONTRABAN EN EL MOMENTO DEL HECHO SON BUONOCUORE DIEGO, DNI 16.453.554. SILVA FARIÑA JOSE MARIA, DNI 14.610.387 Y PEREZ MIGUEL, DNI 16.101.349.</t>
  </si>
  <si>
    <t>EL OFICIAL DE CORVOLAN CUMPLIENDO SERVICIO DE GUARDIA EN EL CENTRO DE CONTROL OPERATIVO, A TRAVES DE SUS CAMARAS OBSERVA A UNA PERSONA DE SEXO MASCULINO EN EL SECTOR PERGOLA QUIEN SE DIRIJIA AL SECTOR PARKING CON PASAJEROS,POR TAL MOTIVO LE DA AVISO AL OFICIAL CHAVEZ QUIEN SE ENCUENTRABA EN EL PUESTO TAQUILLA, EL CUAL VISUALIZO EL VEHICULO Y LO DETUVO, SOLICITANDOLE AL CONDUCTOR LA HABILITACION CORRESPONDIENTE, QUIEN RESPONDIO NO POSEERLA.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</si>
  <si>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EL OFICIAL CORVALAN CUMPLIENDO SERVICIO DE GUARDIA EN EL CENTRO DE CONTROL OPERATIVO, A TRAVES DE SUS CAMARAS OBSERVA A UNA PERSONA DE SEXO MASCULINO EN EL SECTOR PERGOLA QUIEN SE DIRIJIA AL SECTOR PARKING CON PASAJEROS, POR TAL MOTIVO LE DA AVISO AL OFICIAL CHAVEZ QUIEN SE ENCUENTRABA EN EL PUESTO TAQUILLA, EL CUAL DETIENE AL VEHICULO EN CUESTION, SOLICITANDOLE AL CONDUCTOR LA HABILITACION PARA REALIZAR DICHA TAREA, QUIEN RESPONDE NO POSEERLA.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</si>
  <si>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FONZALIDA JUAN CARLOS Y ROTH LIDIA MARINA S/INF. LEY 23.737.</t>
  </si>
  <si>
    <t>SIENDO LAS 09:30 HORAS LOCAL SE TRASLADA A LA EXCELENTISIMA CAMARA FEDERAL DE APELACIONES DE COMODORO RIVADAVIA A CARGO DEL DR. ALDO A SUAREZ UNA CAJA CONTENIENDO EN SU INTERIOR DOCUMENTACION RESPECTO A LA CAUSA 2.490 CARATULADA FONZALIDA, JUAN CARLOS Y ROTH, LIDIA MARINA S/INF. LEY 23.737, INCIDENTE DE SUSPENCION DE JUICIO A PRUEBA DE LIDIA MARINA ROTH QUE CONSTA DE 04 CUERPOS DE 702 FOJAS UTILES Y LEGAJO DE PERSONALIDAD DE LIDIA MARINA ROTH QUE CONSTA DE 39 FOJAS UTILES, ENVIADA POR LA UNIDAD OPERACIONAL DE USHUAIA</t>
  </si>
  <si>
    <t>4446/10</t>
  </si>
  <si>
    <t>OFICINA DE JEFATURA DE UNIDAD</t>
  </si>
  <si>
    <t>INFORMO QUE EN EL DIA DE LA FECHA SE RECEPCIONO EN ESTA UOSP MEMORANDUM Nº 110/10 RUBRICADO POR EL SR. MARCELO SUAREZ, JEFE DE CALIFICACION Y TRANSPORTE, DEL CORREO OFICIAL DE LA REPUBLICA ARGENTINA, EN EL QUE INFORMA QUE LA SACA FALTANTE IDENTIFICADA COMO PAP 1646996 E JUJ, QUE ORIGINO LA PREVENCION SUMARIA Nº 086/10, FUE RECIBIDA DE CONFORMIDAD EN SU CENTRO OPERATIVO, EN LA MISMA FECHA QUE SE PRESUMIÓ EL HURTO, EL 21-07-10, EN RAZÓN DE ELLO EL MEMORANDUM EXPLICA QUE TAL SITUACIÓN SE ORIGINÓ POR UN ERROR OPERATIVO SUPUESTAMENTE POR FALTA DE ESCANEO DE RECEPCIÓN A LA CARATULA DE LA SACA. SE INFORMÓ, VIA TELEFONICA, LA NOVEDAD AL FISCAL INTERVINIENTE, EL QUE DISPUSO SE ELEVE A SEDE JUDICIAL EL MENCIONADO MEMORANDUM Y QUE CORRERÁ VISTAS AL JUZGADO FEDERAL DE SALTA Nº 1, A CARGO DEL DR. JULIO LEONARDO BAVIO, SOLICITANDO LA DESESTIMACION DE LA CAUSA.</t>
  </si>
  <si>
    <t>ANDREA M. ZABALA DUFFAU</t>
  </si>
  <si>
    <t>LEIVA R. Y /OTROS, CONTRABANDO</t>
  </si>
  <si>
    <t>CONSTANCIA Nº 055/10</t>
  </si>
  <si>
    <t>CONTROL DE DOCUMENTOS</t>
  </si>
  <si>
    <t>EN EL DIA DE LA FECHA EN CONTROL DE RUTINA MEDIANTE RED LINCE A LOS PASAJEROS DEL CITADO VUELO SE DETECTA QUE SOBRE EL CIUDADANO GUSTAVO ANDRES PARINO PESA UN PEDIDO DE CAPTURA EMANADO POR JUZGADO COMPETENTE, QUE LUEGO DE DILIGENCIAS TELEFONICAS REALIZADAS CON EL JUZGADO SOLICITANTE SE LOGRA DETERMINAR QUE DICHA MEDIDA SE ENCUENTRA LEVANTADA.SE CONFECCIONA ACTA DEJANDO CONSTANCIA Nº 055/10 UOSP POSADAS.</t>
  </si>
  <si>
    <t>LEGAJO DE VASQUEZ HURTADO ROBERT</t>
  </si>
  <si>
    <t>2299/10 -ES-</t>
  </si>
  <si>
    <t>SE PRESENTA EL SARGENTO 1ª DE GENDARMERIA NACIONAL: VICTOR RAMON VILLALBA, DNI Nº 21.660.550 , Y LA CABO 1º LUCIANA SOSA, DNI Nº 29.328.464, CON EL CIUDADANO BOLIVIANO SR. VASQUEZ HURTADO ROBERT, SOBRE QUIEN RECAYERA LA DISPOSICION Nº 51009/10 DE DNM, A RESUELTO LA EXPULSION DEL TERRITORIO NACIONAL C/PROHIBICION DE REINGRESO AL PAIS CON CARÁCTER PERMANENTE, SE DA CUMPLIMIENTO A LA ORDEN DE SERVICIO Nº 156/10, DE LA URSA III DEL NORTE, CON LA COLABORACION DE 04 EFECTIVOS DE LA UOESA DEL NORTE AL MOMENTO DE LA PARTIDA, SIN NOVEDAD.</t>
  </si>
  <si>
    <t>MAQUINA DE RAYOS X SECTOR SALIDA DE PERSONAL</t>
  </si>
  <si>
    <t>PUESTO FIJO NUMERO UNO</t>
  </si>
  <si>
    <t>SIENDO LA FECHA Y HORA ANTES MENCIONADO EL PERSONAL POLICIAL QUE CUMPLIA SUS FUNCIONES EN EL PUNTO DE INSPECCION Y REGISTRO DENOMINADO FIJO 1 MOMENTOS QUE LA OFICIAL GOMEZ MEDIANTE LA MAQUINA DE RAYOS X OBSERVA EN EL INTERIOR DE LA MOCHILA DEL CAUSANTE, LA EXISTENCIA DE UN PERFUME, DEL CUAL EL MISMO NO ACREDITA SU EXISTENCIA NI ORIGEN. POR TAL MOTIVO EL JEFE DE TURNO MANTUVO COMUNICACION TELEFONICA CON EL JUZGADO INTERVINIENTE QUIEN DISPONE: SE LABRE ACTA DE PROCEDIMIENTO DE LO ACONTECIDO, Y POR CARECER DE FUNDAMENTOS O REQUISITOS OBJETIVOS DEL DELITO DE ROBO O HURTO, NO SE TOME TEMPERAMENTO PROCESAL NI CON EL CAUSANTE NI CON EL OBJETO EN CUESTION, SIN PERJUICIO DE ELLO, POR PRESENTARSE DUDAS SOBRE EL ORIGEN DEL PERFUME EN CUESTION, SE INICIEN ACTUACIONES SUMARIAS BAJO LA CARATULA AV DE ILICITO, DEBIENDO PERMITIR LA LIBRE CIRCULACION DEL CAUSANTE UNA VEZ CULMINADAS LAS DILIGENCIAS ORDENADAS.</t>
  </si>
  <si>
    <t>LEGAJO DE RIBERA GONZALES ROSA MARIA</t>
  </si>
  <si>
    <t>2298/08</t>
  </si>
  <si>
    <t>PREEMBARQUE INTERNACIONAL PUERTA Nº3</t>
  </si>
  <si>
    <t>SE PRESENTA EL SARGENTO 1º DE GENDARMERIA NACIONAL: VICTOR RAMON VILLALBA, DNI 21660550, Y LA CABO 1º LUCIANA SOSA, DNI 29328464, CON LA CIUDADANA BOLIVIANA SRA. ROSA MARIA RIBERA GONZALES,SOBRE QUIEN RECAYERA LA DISPOSICION Nº 2958/08 DE DNM, HA RESUELTO LA EXPULSION DEL TERRRITORIO NACIONAL C/PROHIBICION DE REINGRESO AL PAIS CON CARACTER PERMANENTE, SE DA CUMPLIMIENTO A LA ORDEN DE SERVICIO Nº 156/10, DE LA URSA III DEL NORTE, CON LA COLABORACION DE 04 EFECTIVOS DE LA UOESA DEL NORTE, Y 01 PERSONAL FEMENINO DE ESTA UOSP. AL MOMENTO DE LA PARTIDA SIN NOVEDAD.</t>
  </si>
  <si>
    <t>2917/10</t>
  </si>
  <si>
    <t>AMPLIANDO PARTE Nº 2917/2010 DE FECHA 14/05/10 INFORMO AL SR JEFE QUE EN EL DIA DE LA FECHA SE RECIBIO OFICIO Nº 2952/10 FECHADO EL 29 DE JULIO DE 2010 ORDENANDO A ESTA INSTRUCCION POLICIAL TAREAS INVESTIGATIVAS RELACIONADAS A LA CAUSA 613/2010 CARATULADA - PSA S/AVERIGUACION - SE ORDENA SE DE CUMPLIMIENTO A LAS TAREAS QUE FUERAN OPORTUNAMENTE REQUERIDAS POR ESTA INSTRUCCIÓN POLICIAL MEDIANTE INFORME DE FECHA 14 DE JULIO DE 2010 DE ESTA UOSP RÍO GRANDE. SE AUTORIZA A RECABAR DE LAS DISTINTAS EMPRESAS DE TELEFONIA MOVIL DATOS SOBRE LAS LINEAS 2964538020, 2964524905, 3516142652, 2964468745, 0296643885, COMO ASÍ TAMBIEN INFORMACION REFERENTE A LOS IMEI DE LAS DISTINTAS LINEAS INVOLUCRADAS EN LA CAUSA. ASIMISMO EL JUZGADO INTERVINIENTE COMUNICA A ESTA PREVENCION, QUE SE ENCUENTRA EN SEDE JUDICIAL LOS MOVIMIENTOS DE CUENTA DE PEREZ LUIS ARMANDO APORTADOS POR EL BANCO NACION, COMO ASI TAMBIEN EL DETALLE DE LAMADAS ENTRANTES Y SALIENTES DEL ABONADO 01137607796 REMITIDOS POR LA EMPRESA CLARO.</t>
  </si>
  <si>
    <t>JORDAAN, JACK PIETER</t>
  </si>
  <si>
    <t>8051/10</t>
  </si>
  <si>
    <t>EN EL DIA DE LA FECHA SE RECEPCIONO OFICIO Nº 1260/2010, DE FECHA 29 DE JULIO DEL CORRIENTE AÑO, EMANADO POR EL JUZGADO FEDERAL DE SAN CARLOS DE BARILOCHE, EN EL QUE SE ENCOMIENDA A ESTA UOCN DC V, A LA EXPLOTACION DE LOS TELEFONOS CELULARES SECUESTRADOS EN LOS AUTOS DE REFERENCIA, AMBOS MARCA MOTOROLA, CON NUMEROS DE IMEI 352033040382355 Y 356885010761702 CON EL OBJETO DE OBTENER LOS DATOS DE LA AGENDA, REGISTRO DE LLAMADOS EFECTUADOS O RECIBIDOS Y EL ALMACENAMIENTO DE MENSAJES DE TEXTO QUE PUDIERAN RESULTAR DE INTERES A LA PESQUISA. ASIMISMO SE DEBERA PROCEDER AL ANALISIS DE LA COMPUTADORA PERSONAL INCAUTADA MARCA HP MODELO PAVILON NUMERO DE SERIE 00146545118839, A LOS EFECTOS DE ESTABLECER SI LA MISMA POSEE INFORMACION RELACIONADA CON LA INVESTIGACION QUE SE VIENE DESARROLLANDO.</t>
  </si>
  <si>
    <t>ESTE AEROPUERTO METROPOLITANO</t>
  </si>
  <si>
    <t>CHEKIN DE AEROLINEAS ARGENTINAS</t>
  </si>
  <si>
    <t>INFORMANDO QUE SE DIO CUMPLIMIENTO A LA ORDEN DE SERVICIO Nº 486/2010 DE ESTA UOSP METROPOLITANA. SIENDO LAS 16:00 HS SE HACE PRESENTE A ESTE AEROPUERTO METROPOLITANO EN EL HALL DEL CHEKIN DE AEROLÍNEAS ARGENTINAS EL DR. DARROCHA ALBERTO EN ACOMPAÑAMIENTO DE DOS PERSONAS, LOS CUALES EMBARCARON EN EL VUELO AU2688, PARTIENDO A LAS 18:05 HS, CON DESTINO A LA CIUDAD DE SAN CARLOS DE BARILOCHE. SIENDO LAS 18:10 HS EL INSPECTOR ARIEL REBORA SE COMUNICA VIA TELEFONICA CON EL OF. JEFE LUIS LUCENTINI EN REFERENCIA A LA PARTIDA DE LOS MENCIONADOS EN DICHO VUELO.</t>
  </si>
  <si>
    <t>AU2688</t>
  </si>
  <si>
    <t>INF. ART. 282 DEL C.P.</t>
  </si>
  <si>
    <t>QUE SIENDO LA HORA INDICADA LA DENUNCIANTE ABORDA UN VEHICULO TAXI DE COLOR NEGRO Y AMARILLO DEL CUAL NO RECUERDA MAS DATOS, CON DESTINO A EL HOTEL DONDE SE HOSPEDABA, SITO EN ROQUE SÁENZ PEÑA 991. QUE LUEGO EL CHOFER DEL MENCIONADO VEHICULO LE INDICA QUE EL VALOR DEL VIAJE ERA DE VEINTICINCO PESOS POR LO QUE LA DENUNCIANTE ABONA CON UN BILLETE DE CIEN DÓLARES ESTADOUNIDENSES RECIBIENDO COMO VUELTO POR PARTE DEL CHOFER DOS BILLETES DE CINCUENTA PESOS Y DOS BILLETES DE CIEN PESOS Y LUEGO DESCIENDE DEL VEHICULO. QUE EN EL DÍA 30/07/2010 SE PRESENTA EN ESTE AEROPUERTO INTERNACIONAL ABORDO DE UN VEHICULO TAXI SOLICITADO POR PERSONAL DEL HOTEL Y EN MOMENTOS EN QUE PROCEDE A ABONAR EL VIAJE DESDE EL MENCIONADO HOTEL HASTA ESTA AEROESTACIÓN EL CHOFER LE INDICA EN VARIAS OPORTUNIDADES QUE LOS BILLETES ERAN FALSOS. POR TAL MOTIVO SE HACE PRESENTE EN ESTA GUARDIA DE PREVENCIÓN A EFECTOS DE RADICAR LA DENUNCIA CORRESPONDIENTE.-</t>
  </si>
  <si>
    <t>DRA. VIRGINIA GRANILLO VALDEZ</t>
  </si>
  <si>
    <t>INGRESO A PROPIEDAD PRIVADA DE JURISDICCION FEDERAL</t>
  </si>
  <si>
    <t>CABECERA SUR-</t>
  </si>
  <si>
    <t>ENTRE CERCO PERIMETRAL Y EL CERCO DE SEGURIDAD</t>
  </si>
  <si>
    <t>INFORMO EN EL DIA DE LA FECHA A HS 17:30 SE PRESENTA EN ESTA UOSP EL SR. DANTE SIMONE, RESPONSABLE DE A.A.2000 PARA EFECTUAR EXPOSICION SOBRE EL INGRESO A PROPIEDAD PRIVADA DE JURISDICCION FEDERAL DONDE SE PRODUJO UNA PICADA- DESMONTE CON POSIBLE ACCESO DE VEHICULOS Y PERSONAS- EN EL SECTOR SUR ENTRE EL CERCO PERIMETRAL Y EL CERCO DE SEGURIDAD. PERSONAL DE ESTA UOSP SE APERSONA AL LUGAR DEL HECHO OBSERVANDO EL DESPLAZAMIENTO DE TIERRA DE 300 METROS DE LARGO POR 5 METROS DE ANCHO APROXIMADAMENTE, REALIZADOS POR UNA MAQUINA DE PALA CARGADORA APARENTEMENTE, NO OBSERVA EN EL LUGAR PRESENCIA DE PERSONAS Y/O VEHICULOS. ACTO SEGUIDO SE DA INTERVENCION AL JUZGADO FEDERAL N° 1 DE LA RIOJA DE LO ACONTECIDO, ORDENANDO LA MAGISTRADA INTERVINIENTE QUE SE ADJUNTE LA EXPOSICION REALIZADA N° 0009/10 A LAS ACTUACIONES Y SE REMITA LA MISMA A LA BREVEDAD</t>
  </si>
  <si>
    <t>INFORMO QUE SIENDO LAS 20:10 HORAS DEL DIA DE LA FECHA ARRIBA A ESTE AEROPUERTO AERONAVE DE LA EMPRESA AUSTRAL LINEAS AEREAS MATRICULA LV-BTI , PROCEDENTE DE LA CIUDAD DE BUENOS AIRES CUMPLIENDO VUELO NRO 2688, EN EL MISMO ARRIBAN LOS TESTIGOS PROTEGIDOS A LOS CUALES SE BRINDA LA CUSTODIA DESDE LA PUERTA DE LA AERONAVE, POR MANGA AL HALL DE ARRIBOS DONDE RETIRAN SUS PERTENECIAS Y POSTERIORMENTE SE ACOMPAÑAN A LA PERGOLA DEL AEROPUERTO DONDE ABORDAN UN TAXI IDENTIFICADO COMO FIAT SIENA MATRICULA IXV 218, INTERNO 140 PERTENECIENTE AL SERVICIO DE ESTE AEROPUERTO, CON EL MOVIL DE DOTACION SE REALIZA ACOMPAÑAMIENTO HASTA LA SALIDA DE JURISDICCION SIN NOVEDAD EN CUMPLIMIENTO DE LO ORDENADO POR EL JEFE DE URSA V DE LA PATAGONIA. INTERVINIERON EN LA CUSTODIA Y ACOMPAÑAMIENTO EL OFICIAL JEFE LUIS LUCENTINI LEG. N° 500.726, OFICIAL JEFE ALEJANDRO RIQUELME LEG. N° 501.764 Y OFICIAL PRINCIPAL FABRICIO PASCHETTA LEG. N° 503.660, ESTOS DOS ULTIMOS PERTENECIENTES A LA UOCN Y DC</t>
  </si>
  <si>
    <t>SIENDO EL DÍA Y LA HORA ANTES MENCIONADA, SE PRESENTA EN ESTA GUARDIA DE PREVENCIÓN, EL DAMNIFICADO PARA INFORMAR QUE SIENDO LAS 13:15 HORAS, SE HIZO PRESENTE EN EL AEROPUERTO DE LA CIUDAD DE SALTA, CON MOTIVO DE ABORDAR EL VUELO DE MENCION DONDE DESPACHO POR BODEGA SU EQUIPAJE. AL ARRIBAR EN ESTE AEROPARQUE METROPOLITANO, SIENDO APROXIMADAMENTE LAS 19:30 HORAS, RETIRO SU EQUIPAJE DE LA CINTA TRANSPORTADORA, Y EN ESE MOMENTO SE PERCATO QUE EL CANDADO QUE HABÍA COLOCADO EN SU VALIJA SE ENCONTRABA VIOLENTADO, SEGUIDAMENTE PROCEDIÓ A VERIFICAR EL CONTENIDO DE LA MISMA, NOTANDO QUE LE FALTABAN VARIOS ELEMENTOS, POR LO QUE DECIDE RADICAR LA DENUNCIA.</t>
  </si>
  <si>
    <t>HALL SECTOR A1, FRENTE MOSTRADOR DE LA EMPRESA MANUEL TIENDA LEON.</t>
  </si>
  <si>
    <t>HALL SECTOR A.</t>
  </si>
  <si>
    <t>SIENDO EL DÍA Y LA HORA ANTES MENCIONADA, SE PRESENTA EN ESTA GUARDIA DE PREVENCIÓN LA DAMNIFICADA INFORMANDO QUE HABÍA ARRIBADO A ESTE AEROPARQUE METROPOLITANO A LAS 2130 HORAS, DEL VUELO AR 1287, DE LA EMPRESA AEROLÍNEAS ARGENTINAS, PROCEDENTE DE LA CIUDAD DE SANTIAGO DE CHILE, DONDE RETIRO SUS EQUIPAJE DESPACHADOS POR BODEGA, TOMO UN CARRO PORTA EQUIPAJE Y SEGUIDAMENTE SE DIRIGIÓ POR EL HALL PRINCIPAL HASTA EL STAND DE LA EMPRESA MANUEL TIENDA LEÓN, CON MOTIVO DE SOLICITAR ALLÍ UN VEHÍCULO PARA DIRIGIRSE AL AEROPUERTO INTERNACIONAL DE EZEIZA. EN MOMENTOS DE ABONAR DICHO VIAJE, DEJO SU CARRO PORTA EQUIPAJE FUERA DE SU VISTA, Y AL TERMINAR LA OPERATORIA, SE PERCATO DEL FALTANTE DE UNO DE SUS BOLSOS, COLOR MARRÓN, Y AL PREGUNTAR A LAS PERSONAS QUE SE ENCONTRABAN EN EL LUGAR, SI HABIAN OBSERVADO ALGO, SE LE ACERCO UN MASCULINO DE NOMBRE FONTANA JORGE EDUARDO DNI Nº 4881005, QUIEN MANIFESTO HABER VISTO A UN MASCULINO MAYOR DE CONTEXTURA ROBUSTA TOMAR EL PORTA NOTEBOOK DE DICHO CARRO. SIENDO LAS 2300 HORAS SE ENTABLA COMUNICACIÓN CON LA JUDICATURA ACTUANTE, QUIEN DISPONE SE REALICEN ACTUACIONES DE RIGOR.</t>
  </si>
  <si>
    <t>SIENDO EL DÍA Y LA HORA ANTES MENCIONADA, SE PRESENTO EN ESTA GUARDIA DE PREVENCIÓN, EL DAMNIFICADO INFORMANDO QUE SIENDO APROXIMADAMENTE LAS 20:40 HORAS, SE HABÍA APERSONADO EN EL AEROPUERTO DE MENDOZA, PARA ABORDAR EL VUELO DE MENCION DONDE DESPACHO UNA MOCHILA POR BODEGA. AL ARRIBAR EN ESTE AEROPARQUE METROPOLITANO, A LAS 23:50 HORAS, RETIRO SU EQUIPAJE DE LA CINTA TRANSPORTADORA Y LUEGO PROCEDIÓ A VERIFICAR EL CONTENIDO DE LA MISMA, EN ESE MOMENTO SE PERCATO DEL FALTANTE DE ELEMENTOS, POSTERIORMENTE SE DIRIGIÓ A ESTA GUARDIA DE PREVENCIÓN A RADICAR DENUNCIA.</t>
  </si>
  <si>
    <t>AU 2421</t>
  </si>
  <si>
    <t>LAURA FUENTES DNI N° 94.068.781 EDIF. 44 PB B, V CELINA BS AS TEL 5491164230079</t>
  </si>
  <si>
    <t>JAVIER VECHI, DOM. NAGAMUNA CHO 664-7, KOPO SAN RAIZU 101, GUNMA SAN RAIZU, JAPAN</t>
  </si>
  <si>
    <t>PERSONAL INTERVINIENTE EN CONJUNTO CON PERSONAL DE LA DGA AFIP EZEIZA DROGAS, SE ENCONTRABAN CONTROLANDO EL VUELO DE MENCION MEDIANTE MAQUINA DE RAYOS X, OBSERBANDO QUE DENTRO DE UNA CAJA DE MEDIANAS DIMENSIONES SE HALLABA LA FIGURA DE UN JARRON, QUE DENTRO DE ESTE, DENOTA LA EXISTENCIA DE SUSTANCIA ORGANICA DE BAJA DENSIDAD. POR TAL MOTIVO POR ORDEN DEL JUZGADO INTERVINIENTE SE PROCEDE A LA REQUISA DE LA ENCOMIENDA CITADA, HALLANDOSE DENTRO DEL JARRON SUSTANCIA PULVERULENTA COLOR BLANCA QUE EXPUESTA A REACTIVOS QUIMICOS PARA COCAINA ARROJO RESULTADOS POSITIVOS. NO SE PUDO SEPARAR EL ELEMENTO CONTENEDOR DE LA SUSTANCIA.</t>
  </si>
  <si>
    <t>ISESAKI</t>
  </si>
  <si>
    <t>AUXILIAR DEVORA CEZ</t>
  </si>
  <si>
    <t>HURTO CALIFICADO</t>
  </si>
  <si>
    <t>SIENDO LAS 10:50 HORAS SE PRESENTA EN LA OFICINA DE PREVENCION EL SR.DI MARCO PARA RADICAR UNA DENUNCIA POR EL HURTO DE UN COBERTOR EN LA RUEDA DE AUXILIO DE SU CAMIONETA FORD ECOSPORT CON MATRICULA HMD-962 LA CUAL DEJO ESTACIONADA EN LA PLAYA CENTRAL. FUE A DESPEDIR A SU HIJO Y CUANDO REGRESO NOTO EL FALTANTE POR LO QUE DIO AVISO A PERSONAL DE SEGURIDAD PRIVADA DE AA 2000, PERSONAL DE SASA, EL CUAL CONSTATO EL FALTANTE DEL PROTECTOR, POR TAL MOTIVO EL AFECTADO SE DIRIGIO A LA GUARDIA DE LA PSA. E INFORMO LO SUCEDIDO Y DIJO QUE POR PROBLEMAS LABORALES REGRESARIA OTRO DIA PARA RADICAR LA DENUNCIA. ANTE TAL SITUACION SE REALIZA COMUNICACION TELEFONICA CON LA AUTORIDAD JUDICIAL COMPETENTE, LA CUAL DISPONE SE LE TOME LA DENUNCIA Y SE REALIZEN LAS ACTUACIONES CORRESPONDIENTES, Y SE ELEVEN LAS MISMAS UNA VEZ FINALIZADA</t>
  </si>
  <si>
    <t>4591/10</t>
  </si>
  <si>
    <t>SE PROCEDE A LA APERTURA DE TRES SACAS COLECTORAS DEL CORREO OFICIAL, SEGÚN CONSTA EN ACTA DEJANDO CONSTANCIA Nº 369/10, DE ACTA DE RETENCIÓN Nº 367/10, QUE ORIGINA LA PREVENCIÓN SUMARIA 087/10, LA PRIMERA SACA IDENTIFICADA CON MARBETE, SLA0210654D555800VAE, PRECINTO N° D073527, CON UN PESO DECLARADO DE 18,300 KGS, CON DESTINO LA CIUDAD DE USHUAIA, CONTENDRÍA CUATRO PIEZAS POSTALES, IDENTIFICADAS COMO LA 1º EP658937446AR, LA 2º EP658937450AR, Y LA 3º EP687690245ARLA, SON ENTREGADAS AL SR ARIAS RUBEN PARA SU REDESPACHO POR NO CONTENER ELEMENTOS DE INTERES PARA EL PROCEDIMIENTO. LA 4º EP658937463AR, RTTE. SRA. LUISA SAYAGO CON DOMICILIO EN Bº LA PAZ CALLE EL SALVADOR Nº 125, PERICO JUJUY CP. 4610, DEST. SR. IBAN GUSTAVO VILLARROEL, CON DOMICILIO EN CALLE ORCADAS DEL SUR Nº 69 Bº LATINOAMERICANO, USHUAIA, TIERRA DEL FUEGO CP. 9410, LA CUAL QUEDA RETENIDA. LA SEGUNDA SACA IDENTIFICADA CON MARBETE SLA9128520E343400MDZ, PRECINTO Nº D073530, CON UN PESO DECLARADO DE 10,900 KGS, CON DESTINO A LA CIUDAD DE MENDOZA, CONTIENE UNA PIEZA POSTAL IDENTIFICADA COMO EP691906907AR, RTTE. SR. COLQUE RUBEN ALBERTO, CON DOMICILIO EN CALLE RIVADAVIA S/N, LA QUIACA, CP. 4650, DEST. SRA. IVONNE FLORES CHOQUE, CON DOMICILIO EN RODEO DEL MEDIO MENDOZA, CP. 5529, LA CUAL QUEDA RETENIDA. Y LA TERCERA SACA IDENTIFICADA CON MARBETE SLA8885985E424200PRA, PRECINTO Nº D073004, CON UN PESO DECLARADO DE 1,400 KGS, CON DESTINO A LA CIUDAD DE PARANA, CONTENDRÍA UNA PIEZA POSTAL. IDENTIFICADA COMO EP683792346AR, LA CUAL ES ENTREGADA AL SR. ARIAS PARA SU REDESPACHO POR NO CONTENER ELEMENTOS DE INTERES PARA EL PROCEDIMIENTO. LA RETENCIÓN SE REALIZA ANTE LA PRESUNCIÓN QUE PUDIERAN CONTENER ALGÚN ELEMENTO EN INFRACCIÓN A LA LEY 23.737 Y/O 22.415, QUEDANDO LAS MISMAS CERRADAS Y EN GUARDA EN ESTA UOSP. SEGÚN LO COORDINADO CON LA DRA. MARÍA ISABEL FALU, A CARGO DE LA SECRETARIA PENAL Nº 4 DEL JUZGADO FEDERAL DE SALTA Nº 2 A CARGO DEL DR. MIGUEL ANTONIO MEDINA, LA APERTURA DE LAS MISMAS SE REALIZARÁ CON LA AUTORIZACIÓN DEL MAGISTRADO ACTUANTE.</t>
  </si>
  <si>
    <t>VEREDA PERGOLA DEL SECTOR ARRIBOS A2</t>
  </si>
  <si>
    <t>SIENDO LA HORA Y EL DÍA ANTES MENCIONADO, EL OFICIAL PÉREZ ES ANOTICIADO POR PERSONAL DE LA EMPRESA AEROPUERTOS ARGENTINA 2000, QUE DOS PERSONAS SE ENCONTRABAN FORCEJEANDO EN LA VEREDA DEL SECTOR A2, POR LO QUE EL MISMO SE PRESENTO EN EL LUGAR, E IDENTIFICO A UN MASCULINO DISCUTIENDO CON PERSONAL DE AA 2000, PORQUE LE IMPEDÍAN TOMAR CONTACTO CON UNA FEMENINA QUE ESTABA SENTADA JUNTO A UN VIDRIADO. AL CONSULTAR SOBRE EL HECHO, EL EMPLEADO DE AA 2000 LE INFORMA AL OF. PÉREZ QUE EL SEÑOR HABÍA SIDO VICTIMA DE UN HECHO DELICTIVO, LUEGO QUE LA MUJER MENCIONADA REALIZABA UNA DISTRACCIÓN, UTILIZANDO LA MODALIDAD DE ENSUCIAR A LA VICTIMA, MIENTRAS UN TERCERO DE SEXO MASCULINO, EL CUAL LOGRO ESCAPAR, LE SUSTRAJO SU BILLETERA DEL BOLSILLO DEL PANTALÓN. EL DAMNIFICADO SE PERCATO DEL HECHO, Y LOGRO INTERCEPTAR A LA FEMENINA. POSTERIORMENTE SE TRASLADO AL DAMNIFICADO, A LA IMPUTADA Y A LOS TESTIGOS REQUERIDOS PARA TAL DILIGENCIA A LA GUARDIA DE PREVENCIÓN PARA COMENZAR CON LAS ACTUACIONES DE RIGOR. SIENDO LAS 13:30 HORAS SE ESTABLECE COMUNICACIÓN CON LA DRA. RECABARRA, LA CUAL ANOTICIADA DE LO ACONTECIDO ORDENO LECTURA DE DERECHOS, DETENCION EN CARACTER DE COMUNICADA, PRECARIO MEDICO, CONSTATACION DE DOMICILIO, ART. 353 REINCIDENCIA, FOTOS DE LA IMPUTADA, REGISTRO FILMICO, NOTA A MIGRACIONES A FIN DE TRAMITAR LA POSIBLE EXTRADICION, IDGE INTERPOL, 3 JUEGOS DE FICHAS, Y NUEVA COMUNICACIÓN UNA VEZ OBTENIDOS LOS RESULTADOS DE LA DIRECCIÓN NACIONAL DE REINCIDENCIA DE LA IMPUTADA. SE INFORMA EN PU Nº 4629 SE PROCEDE A CUMPLIMENTAR LO ORDENADO POR LA JUDICATURA ACTUANTE, SIENDO LAS 2135 HORAS SE PROCEDE A LA SOLTURA DE LA DETENIDA POR NO REGISTRAR IMPEDIMENTOS LEGALES RETIRANDOSE LA MISMA CON LA TOTALIDAD DE SUS PERTENENCIAS LAS CUALES ESTABAN EN RESGUARDO DE LA UNIDAD OPERACIONAL SIN NOVEDAD.</t>
  </si>
  <si>
    <t>CONFITERIA LA PAUSA PRIMER PISO. EN CERCANIAS AL ASCENSOR</t>
  </si>
  <si>
    <t>SIENDO LAS 1430 HORAS APROXIMADAMENTE EL DAMNIFICADO SE ENCONTRABA EN EL LUGAR ANTES MENCIONADO, SENTADO EN UNA DE LAS MESAS, DEJANDO UNA MOCHILA DETRAS DE SU ASIENTO. QUE PASADOS APROXIMADAMENTE DIEZ MINUTOS EL DAMNIFICADO SE PERCATO DEL FALTANTE DE SU MOCHILA. MOTIVO POR EL CUAL SE DIRIGIO A LA GUARDIA DE PREVENCION A RADICAR LA DENUNCIA.</t>
  </si>
  <si>
    <t>PREVENCION A LA LEY Nº 23737</t>
  </si>
  <si>
    <t>BAÑO PUBLICO</t>
  </si>
  <si>
    <t>EN EL BAÑO DE CABALLEROS SECTOR ESTE.</t>
  </si>
  <si>
    <t>SIENDO LAS 17:20 HS SE PRESENTA EN LA OFICINA DEL TURNO EL SR. RICARDO MEZA DNI 14.530.336 QUIEN DESEMPEÑA TAREAS DE MAESTRANZA PARA EL CONSEJO DE ADMINISTRACION EXPONIENDO QUE EN SU RECORRIDA HABITUAL POR EL HALL CENTRAL ENCONTRO EN EL BAÑO DE CABALLEROS DEL ALA ESTE FRENTE AL INGRESO A PREEMBARQUE TIRADO DETRAS DE UN INODORO UNA BOLSA PLASTICA COLOR AZUL QUE EN SU INTERIOR CONTENIA UN LIBRILLO DE PAPEL Y UNA SUSTANCIA QUE POR SU AROMA Y CONSISTENCIA HARIA PRESUMIR LA PRESENCIA DE PICADURA DE MARIHUANA, ACTO SEGUIDO SE CONVOCA LA PRESENCIA DE 2 TESTIGOS PARA PROCEDER A EFECTUAR LOS REACTIVOS DE CAMPO TIPO NIK LOS CUALES ARROJARON RESULTADO POSITIVO EN MARIHUANA, SE PROCEDE A DAR INTERVENCION AL JUZGADO FEDERAL DE ZAPALA QUIEN ORDENA SE EFECTUEN LAS ACTUACIONES DE RIGOR Y LUEGO SE ELEVEN AL CITADO JUZGADO.</t>
  </si>
  <si>
    <t>SALA VIP - AA 2000</t>
  </si>
  <si>
    <t>SIENDO LA HORA MENSIONADA SE PROCEDE A DAR CUMPLIMIENTO A LA ORDEN DE SERVICIO Nº 493/10 DE LA URSA I DEL ESTE, REFERENTE AL ARRIBO DE DELEGACIONES OFICIALES DE LA REPUBLICA DE PARAGUAY. ABANDONANDO ESTA JURISDICCION A LAS 18:35 EN VEHICULOS OFICIALES, SIN NOVEDAD.</t>
  </si>
  <si>
    <t>SIENDO LAS 1430 HORAS ARRIBO AL AEROPUERTO INTERNACIONAL EL DAMNIFICADO, SE DIRIGIO AL SECTOR DE CINTAS DE EQUIPAJES, LUGAR DONDE TOMO CONTACTO CON LAS CUATRO MALETAS QUE OPORTUNAMENTE HABIA DESPACHADO A BODEGA DE LA AERONAVE. QUE EN ESE CONTEXTO SE PERCATO QUE LAS MISMAS POSEIAN VIOLENTADOS LOS FILMS TRANSPARENTES QUE OPORTUNAMENTE LE HABIA COLOCADO A LAS MISMAS, NOTANDO TAMBIEN QUE TRES DE DICHOS EQUIPAJES POSEIAN EL CANDADO VIOLENTADO, SIENDO QUE ESTOS SE LOS HABIA COLOCADO COMO MEDIDA DE SEGURIDAD EN EL AEROPUERTO DE SANTA CRUZ DE LA SIERRA. QUE POR TAL MOTIVO Y ANTE LA ANOMALIA DESCRIPTA REVISO LOS EQUIPAJES NOTANDO EL FALTANTE DE ELEMENTOS, POR LO QUE SE PRESENTA EN LA GUARDIA DE PREVENCION A FIN DE RADICAR LA DENUNCIA.</t>
  </si>
  <si>
    <t>4623/10</t>
  </si>
  <si>
    <t>SIENDO LAS 21:35 HORAS LUEGO DE OBTENIDOS LOS RESULTADOS DEL REGRISTRO NACIONAL DE REINCIDENCIA, SE ENTABLA NUEVA COMUNICACION CON EL DR. JOSE LUIS ANTELO, INFORMANDOLE QUE LA SRA. DINA CHAVEZ LOSTANAUG, NO PSEE IMPEDIMENTOS LEGALES VIGENTES, QUIEN DISPONE QUE SE PROCEDA A LA SOLTURA DE LA MENCIONADA, SIENDO LAS 21:55 HORAS LUEGO DE REALIZARLE PRECARIO MEDICO DE SALIDA SE PROCEDE SEGUN LO ORDENADO POR LA JUDICATURA INTERVINIENTE.</t>
  </si>
  <si>
    <t>OFICINA INTERBAIRES</t>
  </si>
  <si>
    <t>OFICINAS QUE CUENTA LA EMPRESA INTERBAIRES EN LA PLANTA ALTA DE LA TERMINAL B</t>
  </si>
  <si>
    <t>EL DIA 31/7/10 SIENDO LAS 1400 HORAS LA DAMNIFICADA SE PRESENTO EN EL AEROPUERTO INTERNACIONAL, EN MOMENTOS EN QUE SE DISPONIA A COMENZAR CON SUS TAREAS LABORALES, COLOCO SUS EFECTOS PERSONALES EN EL INTERIOR DE UN LOCKER QUE LA EMPRESA INTERBAIRES LE ASIGNA AL PERSONAL DE LA MISMA. QUE UNA VEZ QUE FINALIZO CON SUS TAREAS LABORALES, SE DIRIGIO AL SECTOR DONDE SE ENCUENTRA EMPLAZADO EL LOCKER DE MENCION, Y ES ALLI QUE SE PERCATO DE QUE EL MISMO SE ENCONTRABA ABIERTO, Y AL REVISAR SU INTERIOR NOTO EL FALTANTE DE LOS ELEMENTOS. POR LO QUE SE PRESENTA EN LA GUARDIA A FIN DE RADICAR LA DENUNCIA.</t>
  </si>
  <si>
    <t>CINTA DE ARRIBOS DE EQUIPAJES NUMERO 9</t>
  </si>
  <si>
    <t>ARRIBADOS EN EL VUELO AR 1161 DE LA COMPAÑIA AEROLINEAS ARGENTINAS PROCEDENTE DE BARCELONA ESPAÑA, LUEGO DE REALIZAR LOS TRAMITES MIGRATORIOS DE RIGOR, SIENDO APROXIMADAMENTE LAS 0415 HS, SE DIRIGE A LA CINTA TRANSPORTADORA DE EQUIPAJES, A LOS EFECTOS DE RETIRAR LOS EQUIPAJES DESPACHADOS A BODEGA, DANDO ALLI CON LOS MISMOS. DEPOSITANDO PREVIAMENTE SUS EQUIPAJES DE MANO EN EL INTERIOR DE UN CARRO PORTA MALETAS, TRATANDOSE DE DOS MOCHILAS Y UN ESTUCHE DE COLOR NEGRO, A LOS CUALES Y EN MOMENTOS EN QUE TOMABA CONTACTO CON LAS MALETAS DESPACHADAS A BODEGA, DESCUIDA POR UNOS INSTANTES Y AL VOLVER A DAR CON LOS MISMOS SE PERCATA DEL FALTANTE DEL ESTUCHE MENCIONADO CON SU RESPECTIVO CONTENIDO.</t>
  </si>
  <si>
    <t>POSICION Nº 33</t>
  </si>
  <si>
    <t>SIENDO LAS 11:00 HORAS DEL DÍA DE LA FECHA, SE IMPLEMENTA OPERATIVO DE SEGURIDAD CON MOTIVO DE LA LLEGADA DEL MINISTRO DE JUSTICIA Y TRABAJO DE LA REPUBLICA DEL PARAGUAY, EL SR HUMBERTO BLANSO. EL CUAL ARRIBO EN ESTE AEROPUERTO METROPOLITANO EN EL VUELO Nº AR 1267 DE AEROLÍNEAS ARGENTINAS, PROCEDENTE DE ASUNCIÓN, EN EL HORARIO DE LAS 11:07 HORAS. SEGUIDAMENTE SE RETIRA DE ESTA AEROSTACIÓN EN VEHICULO PARTICULAR, LUEGO DE RECIBIR ATENCIÓN VIP POR PARTE DE AEROPUERTOS ARGENTINA 2000. POSTERIORMENTE, SIENDO LAS 12:00 FINALIZA EL OPERATIVO SIN NOVEDAD.</t>
  </si>
  <si>
    <t>AR 1267</t>
  </si>
  <si>
    <t>POSICION Nº 08</t>
  </si>
  <si>
    <t>SIENDO LAS 12:50 HORAS DEL DÍA DE LA FECHA, SE IMPLEMENTA OPERATIVO DE SEGURIDAD CON MOTIVO DE LA LLEGADA DEL MINISTRO DE ECONOMÍA Y FINANZAS DEL URUGUAY, EL DR. FERNANDO LORENZO. Y EL MINISTRO DE RELACIONES EXTERIORES DEL URUGUAY, EL DR. LUÍS ALMAGRO. EN HORAS 13:15 SE EFECTÚA EL ARRIBO DE LOS MISMOS EN EL VUELO Nº PU 165 DE PLUNA LÍNEAS AÉREAS URUGUAYAS S.A., PROCEDENTE DE MONTEVIDEO. SEGUIDAMENTE LOS MENCIONADOS SE RETIRAN DE ESTA AEROSTACIÓN EN VEHICULO PARTICULAR, LUEGO DE RECIBIR ATENCIÓN VIP POR PARTE DE AEROPUERTOS ARGENTINA 2000. POSTERIORMENTE, SIENDO LAS 13:40 HORAS FINALIZA EL OPERATIVO SIN NOVEDAD.</t>
  </si>
  <si>
    <t>PERIMETRO EL AEROPUERTO</t>
  </si>
  <si>
    <t>SE CONFECCIONA EL PRESENTE A LOS EFECTOS DE INFORMAR QUE EN EL DIA DE LA FECHA SIENDO LAS 14:50 HS LOCAL DESPEGA LA AERONAVE T-01 LA MISMA DESPEGA CON TRIPULACION SIN NOVEDAD.</t>
  </si>
  <si>
    <t>DESPEGA AERONAVE T-01 CON SEÑORA PRESIDENTA DE LA NACIÓN, SEÑOR EX PRESIDENTE DE LA NACIÓN DOCTOR NESTOR KIRCHNER Y COMITIVA CON DESTINO A LA CIUDAD DE BUENOS AIRES SIN NOVEDAD.-</t>
  </si>
  <si>
    <t>DR.MIGUEL ANGEL AMBROSIO</t>
  </si>
  <si>
    <t>"INFRACCIÓN AL ART Nº 194 DEL CÓDIGO PENAL DE LA NACIÓN "</t>
  </si>
  <si>
    <t>EN CERCANIAS AL HANGAR DE AEROPUERTOS ARGENTINA 2000</t>
  </si>
  <si>
    <t>CALLE PERIMETRAL</t>
  </si>
  <si>
    <t>SIENDO LA FECHA Y HORA MENCIONADA EL JEFE TURNO, OF. BARRERA OSCAR EN MOMENTOS DE ENCONTRARSE REALIZANDO UN CONTROL PREVENTIVO POR LA CALLE PERIMETRAL DE ESTE AEROPARQUE JORGE NEWBERY A BORDO DE UN MÓVIL POLICIAL CONDUCIDO POR EL OF. MARQUEZ ITALO SE PERCATO QUE A LA ALTURA DEL HANGAR DE AEROPUERTOS ARGENTINA 2000 SE ENCONTRABA UN MASCULINO EL CUAL HABRÍA SALTADO LA REJA PERIMETRAL DE ESTA AEROSTACIÓN Y DEAMBULABA POR LA MENCIONADA CALLE. INMEDIATAMENTE SE APROXIMARON AL MISMO A LOS EFECTOS DE IDENTIFICARLO Y CONSECUENTEMENTE SE LO TRASLADO A ESTA GUARDIA PREVENTIVA A FIN DE EFECTUAR LAS ACTUACIONES CORRESPONDIENTES. SIENDO LAS 08:10 HORAS SE ENTABLO COMUNICACIÓN CON LA JUDICATURA ACTUANTE QUIEN DISPUSO: QUE SE CARATULE A LA CAUSA COMO "INFRACCIÓN AL ART. 194 DEL CÓDIGO PENAL DE LA NACIÓN", DETENCIÓN DEL IMPUTADO EN CARÁCTER DE COMUNICADO, LECTURA DE DERECHOS , ART. 36 DE LA CONVENCIÓN DE VIENA, ARTICULO 86 Y 197 CPPN, ART. 353 BIS, CONSTATACIÓN DE DOMICILIO, PRECARIO MÉDICO DE ENTRADA, TRES JUEGOS DE FICHAS DACTILOSCÓPICAS PARA LA CAUSA, TESTIMONIALES A LOS INTERVINIENTES, FOTOS DEL DETENIDO, IDGE, NOTA A LA EMBAJADA DE BÉLGICA Y NOTA A MIGRACIONES. SEGUN PU Nº 4641 SE INFORMA QUE SIENDO LAS 18.55 HS DEL DIA 01/08/2010, SE PROCEDE A LA LIBERACION DEL CAUSANTE POR NO REGISTRAR IMPEDIMENTOS LEGALES, ABANDONANDO EL MISMO ESTA DEPENDENCIA POR SUS PROPIOS MEDIOS CONFORME A LOS TRATOS RECIBIDOS, SIN NOVEDAD.</t>
  </si>
  <si>
    <t>PUERTA INGRESO AL HALL TERMINAL A</t>
  </si>
  <si>
    <t>PERGOLA NUMERO 03</t>
  </si>
  <si>
    <t>LA DENUNCIANTE, ARRIBA A LAS INSTALACIONES DE ESTE MEDIO EN HORAS DEL MEDIO DIA, ACOMPAÑANDO A SU MADRE Y A SU HERMANA MENOR DE EDAD, QUIENES POSTERIORMENTE EMBARCARIAN EN EL VUELO DE LA EMPRESA GOL Nº 7659 CON DESTINO A LA CIUDAD DE SAN PABLO, BRASIL, ABORDO DE UN VEHICULO TAXI, CUYAS CARACTERISTICAS NO RECUERDA. QUE UNA VEZ DESCENDIDOS, Y LUEGO DE HABER ABONADO EL MONTO DEL VIAJE REALIZADO, EL RODADO EN CUESTION SE RETIRA DEL LUGAR Y ES ALLI QUE LA DENUNCIANTE SE PERCATA DEL FALTANTE DE UNA MOCHILA CONTENIENDO PERTENENCIAS VARIAS, LA CUAL SE ENCONTRABA APOYADA SOBRE EL ASIENTO DELANTERO DEL RODADO. QUE ANTE LA IMPOSIBILIDAD DE DAR CON EL CHOFER O CON EL AUTO, SE HACE PRESENTE EN ESTA DEPENDENCIA POLICIAL A LOS EFECTOS DE RADICAR DENUNCIA FORMAL DEL HECHO OCURRIDO.</t>
  </si>
  <si>
    <t>SIENDO LAS 16:30 HORAS, SE IMPLEMENTA OPERATIVO DE SEGURIDAD PRESIDENCIAL CON MOTIVO DE LA LLEGADA DE LA SRA PRESIDENTE DE LA NACION EN EL VUELO PROCEDENTE DE LA CIUDAD DEL CALAFATE- PCIA DE SANTA CRUZ. SIENDO LAS 17:40 HORAS, SE HACE PRESENTE EN ESTE AEROPUERTO METROPOLITANO LA MANDATARIA EN AERONAVE MATRICULA T-01. SEGUIDAMENTE, EN HORAS 17:48, SE EFECTÚA LA PARTIDA DE LA MENCIONADA EN HELICÓPTERO MATRICULA H-01. SIENDO LAS 17:55 HORAS, FINALIZA EL OPERATIVO SIN NOVEDAD.</t>
  </si>
  <si>
    <t>4638/10</t>
  </si>
  <si>
    <t>HANGAR DE AEROPUERTOS ARGENTINA 2000</t>
  </si>
  <si>
    <t>EN HORAS 18:55 DEL DIA DE LA FECHA, SEGUN LO DISPUESTO POR LA JUDICATURA INTERVINIENTE, YA OBTENIDOS LOS RESULTADOS DE REINCIDENCIA, SIENDO ESTOS NEGATIVOS, Y AL NO MEDIAR IMPEDIMENTO LEGAL ALGUNO SE PROCEDE A LA LIBERACION DEL SR.GOESSENS ARNAUD.</t>
  </si>
  <si>
    <t>POSICION Nº 26</t>
  </si>
  <si>
    <t>SIENDO LAS 18:50 HS DEL DIA DE LA FECHA, SE IMPLEMENTA OPERATIVO DE SEGURIDAD CON MOTIVO DE LA PARTIDA DE 16 INTEGRANTES QUE CONFORMAN LAS COMITIVAS EN VISITA OFICIAL CON MOTIVO DE LA CUMBRE "XXXIX DE JEFES Y JEFAS DE ESTADO DEL MERCOSUR". EN HORAS 18:57 SE EFECTÚA LA SALIDA, DE LAS COMITIVAS, EN EL VUELO Nº AR 1436 DE AEROLÍNEAS ARGENTINAS CON DESTINO LA PCIA. DE SAN JUAN. POSTERIORMENTE EN EL HORARIO DE LAS 19:00 HS FINALIZA EL OPERATIVO SIN NOVEDAD.</t>
  </si>
  <si>
    <t>POSICION 04</t>
  </si>
  <si>
    <t>SIENDO LAS 18:00 HORAS DEL DÍA DE LA FECHA, SE IMPLEMENTA OPERATIVO DE SEGURIDAD CON MOTIVO DE LA LLEGADA DEL SECRETARIO GENERAL ADJUNTO, SR. NORBERTO LANNELLI; EL CUAL ARRIBO EN ESTE AEROPUERTO METROPOLITANO EN HORAS 18:40 EN EL VUELO Nº PU 173 PROCEDENTE DE MONTEVIDEO. SEGUIDAMENTE EL MENCIONADO SE RETIRA DE ESTA AEROSTACIÓN EN VEHICULO PARTICULAR, LUEGO DE RECIBIR ATENCIÓN VIP POR PARTE DE AEROPUERTOS ARGENTINA 2000. POSTERIORMENTE, SIENDO LAS 18:48 HORAS FINALIZA EL OPERATIVO SIN NOVEDAD.</t>
  </si>
  <si>
    <t>PU 173</t>
  </si>
  <si>
    <t>ARRIBOS DE CABOTAJE</t>
  </si>
  <si>
    <t>SIENDO LAS TRECE HORAS ARRIBA CANCILLER DE LA REPUBLICA DE BOLIVIA SR DAVID CHOQUE WANCA CON MOTIVO DE LA REALIZACION DE LA CUMBRE EN LA PROVINCIA DE SAN JUAN, DICHO CANCILLER SE TRASLADA A LA PROVINCIA DE SAN JUAN VIA TERRESTRE. ASIMISMO SIENDO LAS DIECISIETE HORAS CON VEINTICINCO MINUTOS ARRIBA EN VUELO DE LAN CHILE N° 932 ,POR DESEMBARQUES INTERNACIONALES, MINISTRO DE RELACIONES EXTERIORES SR ALFREDO MORENO, JUNTO AL DIRECTOR GENERAL DE POLITICA EXTERIOR SR ALFONSO SILVA,Y DOS FUNCIONARIOS CHILENOS SRES MACARENA ULLOA Y FRANC TRESLER, LOS MISMOS SE DESPLAZAN VIA TERRESTRE A LA PROVINCIA DE SAN JUAN POSTERIOR A ESTO SIENDO LAS VEINTE DIEZ ARRIBA EN VUELO DE AEROLINEAS ARGENTINAS N° 2420 EMBAJADOR DE CHILE EN LA REPUBLICA ARGENTINA SR ADOLFO ZALDIVAR. TRASLADANDOSE A SAN JUAN VIA TERRESTRE.</t>
  </si>
  <si>
    <t>AEROPARQUE BUENOS AIRES</t>
  </si>
  <si>
    <t>DR BALVIDIA</t>
  </si>
  <si>
    <t>LESIONES CULPOSAS EN ACCIDENTE DE TRANSITO</t>
  </si>
  <si>
    <t>ZONA PUBLICA . SECTOR DE RECREACIÓN</t>
  </si>
  <si>
    <t>RUTA DE ACCESO AL AEROPUERTO A 800 METROS DE LA AEROESTACION</t>
  </si>
  <si>
    <t>EN CIRCUNSTANCIA DE REALIZAR PATRULLA DE PREVENCIÓN SE OBSERVA ACCIDENTE DE TRANSITO EN LA CALLE DE INGRESO A LA AEROESTACION. SE SOLICITA ATENCIÓN DEL SERVICIO MEDICO DE EMERGENCIAS, REALIZADO POR FEMECHACO EMERGENCIAS, LOS MISMOS REALIZAN EL TRASLADO DE LA MENOR LESIONADA AL HOSPITAL DR JULIO C PERRANDO, PRESENTANDO CERTIFICADO DE ATENCION MEDICA EXPEDIDO POR EL DR NICOLAS SOLE POR TRAUMATISMO EN PIERNA DERECHA. SE DA INTERVENCION A LA FISCALIA ACTUANTE QUIEN INTERIORIZADA DE LOS HECHOS DISPONE SE REALICEN LAS ACTUACIONES CORRESPONDIENTES, SE DE INTERVENCION A LA DIVISION CRIMINALISTICA DE LA POLICIA DE LA PROVINCIA DEL CHACO PARA LA REALIZACION DE LAS PERICIAS CORRESPONDIENTES, Y SE ELEVE LO ACTUADO A ESA FISCALIA.SIENDO LAS DIECINUEVE HORAS SE PRESENTA PERSONAL DE LA DIV. CRIMINALISTICA A CARGO DEL CABO 1º ESCOBAR, QUIENES REALIZAN LAS PERICIAS CORRESPONDIENTES. SIENDO LAS VEINTE HORAS SE RECIBE DECLARACION TESTIMONIAL DE LOS SEÑORES RECALDE LUCAS TURINO Y ZALAZAR ANGEL RAMON PROPIETARIOS DEL VEHÍCULO AUTOMOTOR Y CUATRICICLO RESPECTIVAMENTE.</t>
  </si>
  <si>
    <t>EQUIPO FISCAL C, U.F. NORTE, PENAL CONTRAV. Y DE FALTAS</t>
  </si>
  <si>
    <t>DR. FORTUNA SERGIO</t>
  </si>
  <si>
    <t>PLATAFORMA - BODEGA - CINTA DE ARRIBOS</t>
  </si>
  <si>
    <t>HACE PRESENTE UNA PERSONA CON MOTIVO DE DENUNCIAR UN HECHO DE CARÁCTER DELICTIVO, LA MISMA MANIFIESTA QUE AL ARRIBAR A ESTE AEROPUERTO METROPOLITANO, SE DIRIGIÓ A RETIRAR SU EQUIPAJE, PERCATÁNDOSE QUE SU VALIJA TIPO CARRY ON, SE ENCONTRABA DAÑADA, Y AL REALIZAR LA APERTURA, OBSERVA QUE LA CAJA DE UN GPS QUE TENIA EN EL INTERIOR ESTABA DEFORMADA, Y EL GPS CON LA PANTALLA FRAGMENTADA, SIN POSEER NINGÚN FALTANTE EN LA MISMA. MOTIVO POR EL CUAL SE DIRIGIÓ A HACER EL RECLAMO CORRESPONDIENTE A LA COMPAÑÍA Y POSTERIOR DENUNCIA EN ESTA GUARDIA DE PREVENCIÓN.</t>
  </si>
  <si>
    <t>AR 2729</t>
  </si>
  <si>
    <t>FISCALIA NACIONAL EN LO CORRECCIONAL N° 14</t>
  </si>
  <si>
    <t>GIUDICE</t>
  </si>
  <si>
    <t>ANDREA VICTORIA</t>
  </si>
  <si>
    <t>DR. RIQUELME ROBERTO</t>
  </si>
  <si>
    <t>ZURITA MARISOL S/DENUNCIA</t>
  </si>
  <si>
    <t>SECTOR VEREDA - PERGOLA DEL ARRIBO A2</t>
  </si>
  <si>
    <t>SIENDO LAS 2100 HORAS SE HACE PRESENTE LA DAMNIFICADA PARA INFORMAR QUE EL DIA 31 DEL CORRIENTE MES Y AÑO, ARRIBO A ESTE AEROPUERTO METROPOLITANO, EN EL VUELO DE LA EMPRESA LAN ARGENTINA LA 4135 PROCEDENTE DE SALTA, JUNTO A SU MARIDO Y SU HIJA, Y SE DIRIGIÓ A LA VEREDA CON MOTIVO DE TOMAR UN REMIS QUE LA ESPERABA SOBRE LA VEREDA DEL LADO COSTANERA, MOTIVO POR EL CUAL DESCARGO LOS EQUIPAJES DEL CARRO PORTAMALETAS EN LA PÉRGOLA DE LA VEREDA DE ESTE AEROPUERTO, DEJANDO OLVIDADO EN EL BUCHE DEL CARRO UN MALETÍN COLOR NEGRO. DE DICHO OLVIDO SE PERCATO UNA VEZ QUE LLEGO A SU CASA, E INMEDIATAMENTE REGRESO A ESTE AEROPUERTO, PERO YA NO ESTABA SU MALETÍN, MOTIVO POR EL CUAL, SE HACE PRESENTE EN ESTA GUARDIA DE PREVENCIÓN PARA RADICAR LA DENUNCIA.</t>
  </si>
  <si>
    <t>FISCALIA NACIONAL DE INSTRUCCION N° 9</t>
  </si>
  <si>
    <t>NIKLISON</t>
  </si>
  <si>
    <t>DRA. KELLY CECILIA</t>
  </si>
  <si>
    <t>PARKING Nº 1</t>
  </si>
  <si>
    <t>ESTACIONAMIENTO DESCUBIERTO - NORTE</t>
  </si>
  <si>
    <t>EL DIA 29/7/10 EL DAMNIFICADO ARRIBO EN SU VEHICULO PARTICULAR EL CUAL ESTACIONO EN EL SECTOR ESTACIONAMIENTO DESCUBIERTO NORTE DE ESTE AEROPUERTO A FIN DE ABORDAR UN VUELO. EN EL DIA DE LA FECHA EL DAMNIFICADO ARRIBO DE UN VUELO AL AEROPARQUE Y SE DIRIGIO A RETIRAR SU VEHICULO Y AL MOMENTO DE ACCIONAR EL BOTON DE APERTURA DE LAS PUERTAS CON CONTROL REMOTO LAS MISMAS NO RESPONDIAN, POR LO QUE SE ACERCO AL VEHICULO Y OBSERVO QUE EL PORTON TRASERO SE ENCUENTRABA ABIERTO, POR LO QUE DECIDIO CONTROLAR EL INTERIOR DEL VEHICULO NOTANDO LOS ELEMENTOS FALTANTES, POR LO QUE SE PRESENTA EN LA GUARDIA DE PREVENCION A FIN DE RADICAR LA DENUNCIA.</t>
  </si>
  <si>
    <t>CARRO DE TRANSPORTE DE EQUIPAJES</t>
  </si>
  <si>
    <t>LA DENUNCIANTE SE HACE PRESENTE EN ESTE MEDIO A LOS EFECTOS DE EMBARCAR EN EL VUELO AR 1160 DE AEROLINEAS ARGENTINAS CON DESTINO A BARCELONA. QUE AL MOMENTO DE REALIZAR EL CHEEK IN ES INFORMADA POR LA EMPRESA QUE EL DICHO VUELO FUE CANCELADO HASTA EL DIA 02 DE AGOSTO A LAS OCHO HORAS, MOTIVO POR EL CUAL, LE OFRECEN CAMBIAR DE BOLETO PARA EL VUELO AR 1132 CON DESTINO A MADRID, CON HORARIO DE PARTIDA A LAS UNA HORAS Y TREINTA MNUTOS DEL 02 DE AGOSTO. ANTE ESTE HECHO LA DENUNCIANTE, CAMBIA EL BOLETO Y LUEGO REALIZA EL DESPACHO DE SUS EQUIPAJES, ENTRE LOS CUALES SE ENCONTRABA UN BOLSO COLOR VERDE. QUE LUEGO DE CENAR Y HACER TIEMPO, SE DIRIGE A REALIZAR EL CONTROL POLICIAL Y MIGRATORIO CORRESPONDIENTE, CIRCUNSTANCIAS EN LA CUAL ES INFORMADA POR PERSONAL DE AEROLINEAS QUE EL VUELO HACIA MADRID ESTABA RETRASADO Y QUE EL MISMO SALDRIA A LAS TRES DE LA MAÑANA, MOTIVO POR EL CUAL DECIDE NO EMBARCAR DEBIDO A QUE PERDERIA LA CONEXION DEL VUELO QUE LA TRASLADARIA DESDE MADRID HACIA BARCELONA. QUE POR TAL MOTIVO, PROCEDE A RETIRAR SUS EQUIPAJES DESPACHADOS, PERCATANDOSE EN ESE ACTO AL ABRIR SU BOLSO DEL FALTANTE DE PRENDAS DE VESTIR VARIAS Y DOS TROZOS DE QUESO CREMOSO LA PAULINA. SIMULTANEAMENTE, SE HACE PRESENTE EN ESTA GUARDIA, EL OFICIAL TUN SAN, JUNTO A UN TESTIGO A LOS EFECTOS DE LABRAR EL ACTA DE HALLAZGO DE DOS TROZOS DE QUESO MARCA LA PAULINA, ENCONTRADAS EN EL INTERIOR DE UN CARRO PORTAEQUIPAJES HABIDO EN EL SECTOR DEL PATIO DE VALIJAS DE LA TERMINAL B. QUE EN VIRTUD A LO SUSCITADO, EL JEFE DE TURNO PROCEDE A MANTENER COMUNICACION TELEFONICA CON EL JUZGADO FEDERAL EN TURNO, QUIEN INDICO QUE SE PROCEDA A LA EFECTUAR UNA RECORRIDA POR EL SECTOR EN DONDE FUERON ENCONTRADO LOS QUESOS A LOS EEFECTOS DE DAR CON LOS ELEMENTOS DENUNCIADOS POR LA DAMNIFICADA, SE CURSE NOTA A LA EMPRESA DE RAMPA Y A LA DE VIGILANCIA QUE PRESTO SERVICIO EN EL VUELO DE MENCION, SE REFUERCEN LOS PUNTOS DE INSPECCION Y CONTROL, REGISTROS FILMICOS Y CROQUIS ILUSTRATIVO, DEBIENDO ELEVAR LO ACTUADO EL DIA 02 DEL CORRIENTE MES Y AÑO A PRIMERA HORA.</t>
  </si>
  <si>
    <t>SALA VIP</t>
  </si>
  <si>
    <t>SIENDO LAS 06:00 SE DA INICIO AL CONTROL DE SEGURIDAD DE ESTA POLICIA DE SEGURIDAD AEROPORTUARIA, POR LA PARTIDA DEL SR. NORBERTO LANNELLI Y EL SR GUILLERMO POMY CON DESTINO A LA CIUDAD DE SAN JUAN, POR LA REUNION DEL CONSEJO DEL MERCADO COMUN DEL SUR Y CUMBRE DE JEFES DE ESTADO DEL MERCOSUR Y ESTADOS ASOCIADOS, HACIENDO ABANDONO DE ESTA JURISDICCION A LAS 06:20 HS, EN EL VUELO ANTES MENCIONADO, SIN NOVEDAD.</t>
  </si>
  <si>
    <t>AR 1434</t>
  </si>
  <si>
    <t>ALESSO MARCELO E.</t>
  </si>
  <si>
    <t>SRIO. AV. S/ INF. LEY 23737 -ALVEAR AL 3700-</t>
  </si>
  <si>
    <t>384/09B</t>
  </si>
  <si>
    <t>SRIO.AV.LEY 23737 -NUÑEZ-</t>
  </si>
  <si>
    <t>CIUDAD DE ROSARIO.</t>
  </si>
  <si>
    <t>SE RECIBE OFICIO JUDICIAL NRO. 3931 DEL JUZGADO ACTUANTE DONDE INFORMA QUE POR RESOLUCION NRO. 1064 DEL 26/07/2010 SE DISPUSO EL ARCHIVO DE LOS AUTOS DE MENCIÓN. LAS TAREAS INVESTIGATIVAS FUERON ORDENADAS EN OFICIO NRO. 607 DE LA FISCALIA FEDERAL NRO. 2 DE ROSARIO, DRA. L. BETTIOLO, DONDE ORDENA REALIZAR DISCRETAS TAREAS INVESTIGATIVAS. SE COMIENZA A INVESTIGAR MEDIANTE ORDEN DE SERVICIO NRO. 345/2009 URSA IV DEL LITORAL, INFORMANDO EN SIPAP PR:DOC4 - 0093-09 DE FECHA 23/09/2009. EN EL TRANSCURSO DE LA INVESTIGACION SE IDENTIFICO AL DENUNCIADO DIEGO NUÑEZ, PERO NO SE DETECTARON LAS CONDUCTAS DENUNCIADAS EN INFRACCIÓN A LA LEY 23737-</t>
  </si>
  <si>
    <t>SRIO. AV. INF. LEY 23737 -CALLE BATTLE ORDOÑEZ Y MELINCUE. IMP. LEONARDO LUNA. ROSARIO-</t>
  </si>
  <si>
    <t>383/09 B</t>
  </si>
  <si>
    <t>SRIO. AV. INF. LEY 23737 - LEONARDO LUNA-</t>
  </si>
  <si>
    <t>SE RECIBE OFICIO JUDICIAL NRO. 3866 DEL JUZGADO ACTUANTE DONDE INFORMA QUE POR RESOLUCION NRO. 1070 DE FECHA 27/07/2010 SE DISPUSO EL ARCHIVO DE LAS ACTUACIONES. LA INVESTIGACIÓN DIO COMIENZO CON LA RECEPCIÓN DEL OFICIO NRO. 605/09 DE LA FISCALIA ACTUANTE, INFORMADO EN SIPAP PR:DOC4 - 0038/09 - 03/06/2009, SE ORDENARON LAS TAREAS MEDIANTE ORDEN DE SERVICIO NRO. 144/2009 URSA IV DEL LITORAL. EN EL TRANSCURSO DE LA INVESTIGACIÓN SE INDIVIDUALIZÓ AL DENUNCIADO, SE UBICÓ EL DOMICILIO Y NO SE OBSERVARON LAS CONDUCTAS DENUNCIADAS.</t>
  </si>
  <si>
    <t>GASTELLU MARIA VICTORIA</t>
  </si>
  <si>
    <t>SRIO. AV. INF. ART. 272 CP -IMP. MANUEL CARBONE Y DIOHENES CARBONE-</t>
  </si>
  <si>
    <t>846/06</t>
  </si>
  <si>
    <t>CARBONE - CARBONE.</t>
  </si>
  <si>
    <t>SE RECIBE OFICIO JUDICAL NRO. 2745 DEL JUZGADO FEDERAL ACTUANTE DONDE INFORMA QUE POR RESOLUCION NRO. 395 DEL 17/06/2010 SE DISPUSO EL ARCHIVO DE LAS ACTUACIONES. LAS TAREAS INVESTIGATIVAS SE INICIARON ORDENADAS EN OFICIO NRO. 1223 DEL 04/12/2006 DE LA FISCALIA ACTUANTE, EN EL DESARROLLO DE LAS MISMAS SE IDENTIFICARON A LOS PRESUNTOS FALSIFICADORES DE MONEDAS Y CHEQUES Y NO SE OBSERVARON CONDUCTAS TIPIFICADAS EN LA CAUSA.</t>
  </si>
  <si>
    <t>POSICIÓN Nº 33</t>
  </si>
  <si>
    <t>SIENDO LA HORA Y EL DÍA ANTES MENCIONADO, SE IMPLEMENTA OPERATIVO DE SEGURIDAD PARA EL ARRIBO DEL SR. MINISTRO DE INDUSTRIA Y COMERCIO DE LA REPUBLICA DEL PARAGUAY, DON FRANCISCO RIVAS, QUIEN ARRIBO A ÉSTA AEROSTACIÓN A LAS 08:50 HORAS EN EL VUELO AR 1265. SIENDO LAS 11:20 HORAS PARTE DE ESTA AEROSTACIÓN, EN EL VUELO LA 4286 CON DESTINO A LA CIUDAD DE SAN JUAN, SIN NOVEDAD. DICHO OPERATIVO ESTUVO SUPERVISADO POR EL INSPECTOR RICARDO MARINO.</t>
  </si>
  <si>
    <t>AR 1265</t>
  </si>
  <si>
    <t>Rago Gallo</t>
  </si>
  <si>
    <t>Leopoldo</t>
  </si>
  <si>
    <t>PAULA CARENA DE YANELLO</t>
  </si>
  <si>
    <t>PORTON Nº 01</t>
  </si>
  <si>
    <t>SIENDO LAS 09:50 HS. EN UNA RECORRIDA POR PARTE DE PERSONAL DE PREVENTIVA AFECTADO AL OPERATIVO CUMBRE DE LOS PRESIDENTES DEL MERCOSUR EL OFICIAL PRINCIPAL VILLALBA DANIEL 501.450 OBSERVA EN UNA ALCANTARILLA, UBICADA SOBRE CALLE DE INGRESO AL AEROPUERTO A UNOS 200 METROS DE LA RUTA NACIONAL Nº20 UN BULTO SOSPECHOSO ENVUELTO EN PAPEL. INMEDIATAMENTE SE PROCEDIO ANTE ESTA NOVEDAD A CONVOCAR A TODOS LOS SERVICIOS. SIENDO LAS 10:25 SE COMUNICAN CON EL JUZGADO FEDERAL Nº02, QUIEN AUTORIZA LA REMOCION Y DISRRUPCION DEL ELEMENTO, ANTE ESTO Y SIENDO LAS 10:55 HS. PERSONAL DEL GRUPO DE DESACTIVACION DE EXPLOSIVOS DEPENDIENTE DE LA POLICIA DE SEGURIDAD AEROPORTUARIA PROCEDIO A LA DETONACION DEL MISMO DANDO RESULTADO NEGATIVO. INFORMADO DE ESTO AL JUZGADO ORDENA QUE NO SE LABREN ACTUACIONES SUMARIALES, SOLAMENTE ALGO INTERNO Y QUE LAS MISMAS NO SEAN ENVIADAS AL JUZGADO, ARCHIVANDOSE EN LA UNIDAD OPERACIONAL</t>
  </si>
  <si>
    <t>KELLY CECILIA</t>
  </si>
  <si>
    <t>BODEGA DE LA AERONAVE-PLATAFORMA OPERATIVA-PATIO DE VALIJAS/CINTAS DE ARRIBOS</t>
  </si>
  <si>
    <t>SE HACE PRESENTE EN ESTA GUARDIA DE PREVENCIÓN UNA PERSONA QUE DESEA RADICAR UNA DENUNCIA, INFORMANDO QUE EN EL DÍA DE LA FECHA SIENDO LAS 08:10 HORAS APROXIMADAMENTE, SE HIZO PRESENTE EN EL AEROPUERTO INTERNACIONAL DE CÓRDOBA CON MOTIVO DE ABORDAR EL VUELO AR2503 DE LA EMPRESA AEROCOMERCIAL AEROLÍNEAS ARGENTINAS, CON DESTINO A LA CIUDAD DE BUENOS AIRES, DONDE DESPACHO SU MOCHILA. SIENDO LAS 08:45 HORAS APROXIMADAMENTE REALIZÓ EL EMBARQUE CORRESPONDIENTE, ARRIBANDO A ESTE AEROPUERTO METROPOLITANO A LAS 09:50 HORAS, DONDE UNA VEZ EN EL SECTOR DE ARRIBOS A2, PROCEDIÓ A RETIRAR SU MOCHILA DE LA CINTA TRANSPORTADORA DE EQUIPAJE Y A VERIFICAR EL CONTENIDO DE LA MISMA, Y ES EN ESE MOMENTO QUE SE PERCATA DEL FALTANTE DE UN CELULAR MARCA COMERCIAL SAMSUNG, DEL CUAL NO RECUERDA EL MODELO NI NÚMERO DE SERIE.</t>
  </si>
  <si>
    <t>AR2503</t>
  </si>
  <si>
    <t>NAC DE 1º INST EN LO CRIMINAL DE INST Nº 9</t>
  </si>
  <si>
    <t>DRA. CAROLINA BALLUE</t>
  </si>
  <si>
    <t>SE HACE PRESENTE EN ESTA GUARDIA DE PREVENCIÓN UNA PERSONA QUE DESEA RADICAR UNA DENUNCIA, INFORMANDO QUE EN DÍA DE LA FECHA SIENDO LAS 08:00 HORAS SE HIZO PRESENTE EN EL AEROPUERTO INTERNACIONAL DE MONTEVIDEO, REPUBLICA ORIENTAL DE URUGUAY, PARA ABORDA EL VUELO AR 1203 DE LA EMPRESA AEROCOMERCIAL AEROLÍNEAS ARGENTINAS CON DESTINO A LA CIUDAD DE BUENOS AIRES, DONDE DESPACHO SU BOLSO. SIENDO LAS 09:00 HORAS APROXIMADAMENTE REALIZÓ EL EMBARQUE CORRESPONDIENTE, ARRIBANDO A ESTE AEROPUERTO METROPOLITANO A LAS 09:45 HORAS, DONDE UNA VEZ EN EL SECTOR DE ARRIBOS A, PROCEDIÓ A RETIRAR SU BOLSO DE LA CINTA TRANSPORTADORA DE EQUIPAJE, LUEGO REVISO EL MISMO, Y EN ESE MOMENTO SE PERCATO DEL FALTANTE DE LOS ELEMENTOS DE MENCION.</t>
  </si>
  <si>
    <t>AR 1203</t>
  </si>
  <si>
    <t>SIENDO LA HORA Y EL DÍA ANTES MENCIONADO, SE IMPLEMENTA OPERATIVO DE SEGURIDAD PARA LA PARTIDA DE LA SRA. PRESIDENTE DE LA NACION Y COMITIVA, QUIEN ARRIBA A ESTA AEROSTACIÓN EN EL VUELO H-01 A LAS 14:30 HORAS. PARTIENDO DE ESTE AEROPUERTO METROPOLITANO, EN EL VUELO T-01 CON DESTINO A LA CIUDAD DE SAN JUAN A LAS 14:45 HORAS SIN NOVEDAD. SIENDO LAS 14:55 HORAS SE DA POR FINALIZADO EL OPERATIVO SIN NOVEDAD.</t>
  </si>
  <si>
    <t>PTA. INF. ART 164 DEL C.P.N</t>
  </si>
  <si>
    <t>ZURICH - SUIZA</t>
  </si>
  <si>
    <t>ATLANTA - EE. UU.</t>
  </si>
  <si>
    <t>UNA UNIDAD BLINDADA DE LA EMPRESA BRINKS SE CONSTITUYÓ EN ESTE MEDIO PARA EFECTUAR UN EMBARQUE POR BODEGA EN VUELO DL 110, DE LINGOTES DE BOUILLON DORE - CONFORMADO DE PLATA Y 2 POR CIENTO DE ORO-. LUEGO DE REALIZAR EL CONTEO Y ESTIBAMIENTO DE LOS MISMOS EN LA TERMINAL DE CARGAS ARGENTINAS SE CONFORMARON 5 TACHOS QUE FUERON TRASLADADOS HACIA LA POSICION 6 DONDE SE ENCONTRABA LA AERONAVE. HASTA ESE MOMENTO NO SE REGISTRARON FALTANTES. AL ARRIBAR EL VUELO A SU DESTINO FINAL, PERSONAL DE BRINKS DELEGACION ZURICH INFORMO EL FALTANTE DE UNO DE LOS LINGOTES IDENTIFICADO COMO 44.197. DURANTE EL ARRIBO Y TODA LA OPERATORIA, EL CARGAMENTO FUE CUSTODIADO POR EL PERSONAL DE LA EMPRESA BRINKS.</t>
  </si>
  <si>
    <t>DL 110</t>
  </si>
  <si>
    <t>SIENDO LAS 15:31 HORAS, ARRIBO A LA PROVINCIA DE SAN JUAN EN AERONAVE FAB-001 EL PRESIDENTE DEL ESTADO PLURINACIONAL DE BOLIVIA, JUAN EVO MORALES AYMA Y COMITIVA. EL MISMO SE DESPLAZO VIA TERRESTRE HASTA LA CIUDAD CAPITAL SIN NOVEDAD.-</t>
  </si>
  <si>
    <t>FAB-001</t>
  </si>
  <si>
    <t>INFORMO SIENDO LAS 16:21 HORAS ARRIBO A LA PROVINCIA DE SAN JUAN EN AERONAVE T-01, LA SEÑORA PRESIDENTA DE LA NACION DOCTORA CRISTINA FERNANDEZ DE KIRCHNER, LA MISMA SE DESPLAZO VIA AEREA EN HELICOPTERO MATRICULA LQ-BIZ, CON DESTINO AL DEPARTAMENTO DE CHIMBAS DE ESTA PROVINCIA, SIN NOVEDAD.</t>
  </si>
  <si>
    <t>INFORMO SIENDO LAS 17:20 HORAS ARRIBO A LA PROVINCIA DE SAN JUAN EN AERONAVE C-550, EL PRESIDENTE DE LA REPUBLICA ORIENTAL DEL URUGUAY Y SU COMITIVA. EL MISMO SE DESPLAZO VIA TERRESTRE HASTA LA CIUDAD CAPITAL, SIN NOVEDAD.</t>
  </si>
  <si>
    <t>C-550</t>
  </si>
  <si>
    <t>SIENDO LA FECHA Y HORA ANTES MENCIONADA, EN MOMENTOS EN QUE LOS OFICIALES CARABAJAL Y KALENBERG SE ENCONTRABAN EN UNA RECORRIDA POR EL SECTOR MENCIONADO CON ANTERIORIDAD, OBSERVAN Y SORPRENDEN A UNA PERSONA DE SEXO MASCULINO, LA CUAL SE ENCONTRABA REALIZANDO EL SERVICIO DE MALETERO CARECIENDO DE LA HABILITACION CORRESPONDIENTE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</si>
  <si>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ISLA DE TAXIS</t>
  </si>
  <si>
    <t>SIENDO LA FECHA Y HORA ANTES MENCIONADA, EN MOMENTOS EN QUE LOS OFICIALES ROMEO Y KALENBERG SE ENCONTRABAN EN UNA RECORRIDA POR EL SECTOR MENCIONADO CON ANTERIORIDAD, OBSERVAN Y SORPRENDEN A UNA PERSONA DE SEXO MASCULINO, LA CUAL SE ENCONTRABA REALIZANDO EL SERVICIO DE MALETERO CARECIENDO DE LA CORRESPONDIENTE HABILITACION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</si>
  <si>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TRAYECTO DESDE EL AEROPUERTO HASTA DOMICILIO PARTICULAR</t>
  </si>
  <si>
    <t>EL DAMNIFICADO AL ARRIBAR A ESTE MEDIO EN EL VUELO AR 1303 DE LA EMPRESA AEROLINEAS ARGENTINAS PROCEDENTE DE LA CIUDAD DE MIAMI SE DIRIGIO JUNTO A SU ESPOSA Y SU HIJA A CONTRATAR UN SERVICIO DE TRANSPORTE AL STAND DE LA EMPRESA WORLD CAR. UNA VEZ ASIGNADO EL VEHICULO, CARGÓ SUS EQUIPAJES EN EL BAUL DEL MISMO SIENDO ESTE UN RENAULT KANGOO DE COLOR BORDO -SIN MAS DATOS-. OCUPANDO EL DENUNCIANTE EL ASIENTO DEL ACOMPAÑANTE PORTANDO CONSIGO UN MALETIN DE SU PROPIEDAD Y SUS RESTANTES FAMILIARES EL HABITACULO TRASERO DEL RODADO. AL LLEGAR A SU DOMICILIO PARTICULAR, SIENDO APROXIMADAMENTE LAS 0130 HORAS, LE INDICO AL CHOFER -MASCULINO 35 AÑOS, TEZ BLANCA, CABELLO NEGRO, 1,75 APROX Y BARBA- QUE INGRESE AL GARAGE. TOMANDO DE SU MALETIN LA LLAVE DE APERTURA DEL PORTON DEL MISMO. SEGUIDO A ELLO, BAJARON LAS PERTENENCIAS DEL BAÚL Y EL VEHICULO DE ALQUILER SE RETIRO DEL DOMICILIO QUEDANDO OLVIDADO EN LA PARTE DELANTERA EL MALETIN DEL DENUNCIANTE. POSTERIORMENTE SE PRESENTA EN LA GUARDIA DE PREVENCION EL DAMNIFICADO A RADICAR LA CORRESPONDIENTE DENUNCIA.</t>
  </si>
  <si>
    <t>SIENDO LAS 19:00 HORAS DEL DÍA DE LA FECHA, SE IMPLEMENTA OPERATIVO DE SEGURIDAD CON MOTIVO DE LA LLEGADA DE LA SRA. MINISTRA DE RELACIONES EXTERIORES DE MEXICO, DRA. PATRICIA ESPINOSA CANTELLANO. LA CUAL ARRIBO EN ESTE AEROPUERTO METROPOLITANO EN HORAS 19:35 EN EL VUELO Nº AR 1287 PROCEDENTE DE SANTIAGO DE CHILE. POSTERIORMENTE, EN EL HORARIO DE LAS 20:10, LA MENCIONADA SE RETIRA DE ESTA AEROSTACIÓN EN VEHICULO OFICIAL. SIENDO LAS 20:15 HORAS FINALIZA EL OPERATIVO SIN NOVEDAD, EL CUAL FUE FISCALIZADO POR EL INSPECTOR MARINO RICARDO.</t>
  </si>
  <si>
    <t>AR1287</t>
  </si>
  <si>
    <t>INFORMO SIENDO LAS 22:17 HORAS ARRIBO A LA PROVINCIA DE SAN JUAN EN AERONAVE BRS-01, EL PRESIDENTE DE LA REPUBLICA FEDERATIVA DEL BRASIL, LUIS INACIO LULA DA SILVA Y COMITIVA. EL MISMO SE DESPLAZO VIA TERRESTRE HASTA LA CIUDAD CAPITAL, SIN NOVEDAD.</t>
  </si>
  <si>
    <t>BRS-01</t>
  </si>
  <si>
    <t>NAC. DE 1º INST. EN LO CORRECCIONAL Nº 14</t>
  </si>
  <si>
    <t>SECRETARIA Nº 82</t>
  </si>
  <si>
    <t>Pigni</t>
  </si>
  <si>
    <t>Fernando Luis</t>
  </si>
  <si>
    <t>DR.POLVERINI JORGE HORACIO</t>
  </si>
  <si>
    <t>AVIERIGUACION DE HURTO</t>
  </si>
  <si>
    <t>VEREDA DE LA AVENIDA RAFAEL OBLIGADO</t>
  </si>
  <si>
    <t>SIENDO LAS 00:20 HORAS DEL DÍA DE LA FECHA, SE RECIBE COMUNICACIÓN POR PARTE DEL OF. PRINCIPAL MAXIMILIANO ARIZA, INFORMANDO QUE SE ENCONTRABA EN COMPAÑÍA DE UNA PAREJA LA CUAL LUEGO DE HABER ARRIBADO EN EL VUELO Nº AR 1537 PROCEDENTE DE LA CIUDAD DE CÓRDOBA Y DE HABER UTILIZADO EL SERVICIO DE TAXI EL CUAL ESTA UBICADO A METROS DE LA VEREDA DEL ARRIBO NACIONAL A2, QUINES MANIFESTABAN, QUE EN EL TAXÍMETRO MARCA CHEVROLET MODELO CORSA DOMINIO FVD 529 HABÍA DEJADO OLVIDADA SU CARTERA, Y QUE LUEGO DE HABERSE ENTREVISTADO LA PAREJA CON EL CHOFER DEL TAXÍMETRO ESTE LES HABRÍA MANIFESTADO QUE NUNCA HUBO NINGUNA CARTERA EN EL INTERIOR DE SU VEHICULO. ACTO SEGUIDO EL OF. PRINCIPAL ARIZA REQUISO EL VEHICULO NO ENCONTRANDO LA CARTERA EN CUESTION POSTERIORMENTE, EL OFICIAL INVITO A LA PAREJA Y AL CHOFER DEL TAXÍMETRO, A QUE SE DIRIJAN HASTA ESTA GUARDIA PREVENTIVA. UNA VEZ ALLI, LA DAMNIFICADA DECIDIÓ REALIZAR LA DENUNCIA FINALMENTE, SIENDO LAS 01:30HS, QUIEN SUSCRIBE MANTIENE COMUNICACIÓN TELEFÓNICA CON LA JUDICATURA ACTUANTE, QUIEN ANOTICIADO DE LAS DILIGENCIAS PRACTICADAS, DISPONE: DETENCIÓN DEL CAUSANTE EN CARÁCTER DE COMUNICADO, LECTURA DE DERECHOS, PRECARIO MEDICO DE ENTRADA, TRES JUEGOS DE FICHAS DACTILOSCÓPICAS, FOTOS, REGISTRO FÍLMICO, DECLARACIÓN TESTIMONIAL AL ESPOSO DE LA DAMNIFICADA, IDGE, CONSTATACIÓN DE DOMICILIO FEHACIENTE, ART. 86 DEL RJECC Y 197 CPPN, EN CASO DE QUE EL CAUSANTE NO REGISTRE IMPEDIMENTOS LEGALES VIGENTES, SE REALICE LA SOLTURA DESDE ESTA REPARTICIÓN, CASO CONTRARIO SE ENTABLE NUEVA COMUNICACIÓN CON EL LETRADO. FINALMENTE EN HORAS 06:25 DEL DIA DE LA FECHA, SEGÚN LO DISPUESTO POR LA JUDICATURA INTERVINIENTE, YA OBTENIDOS LOS RESULTADOS DE IDGE SIENDO ESTOS NEGATIVOS, Y AL NO MEDIAR IMPEDIMENTO LEGAL ALGUNO, SE PROCEDE A LA LIBERACION DEL CAUSANTE.</t>
  </si>
  <si>
    <t>POSICION Nº 18</t>
  </si>
  <si>
    <t>SIENDO LAS 05:10 HS SE IMPLEMENTA OPERATIVO DE SEGURIDAD CON MOTIVO DE LA PARTIDA DEL EMBAJADOR DE MÉXICO EN ARGENTINA SR. FRANCISCO DEL RÍO JUNTO A COMITIVA. EN VISITA OFICIAL CON MOTIVO DE LA CUMBRE XXXIX DE JEFES Y JEFAS DE ESTADO DEL MERCOSUR SEGÚN ORDEN DE SERVICIO Nº 297/10. LOS MENCIONADOS PARTIERON HACIA LA CIUDAD DE SAN JUAN EN EL VUELO AR1434 EL CUAL REALIZO EL DESPEGUE DE ESTE AEROPARQUE EN EL HORARIO DE LAS 06:17 HS. SIENDO LAS 06.20HS FINALIZA EL MISMO SIN NOVEDAD, SIENDO RESPONSABLE DEL SERVICIO EL INSPECTOR PAZ, GUSTAVO.</t>
  </si>
  <si>
    <t>INFORMO SIENDO LAS 09:59 HORAS ARRIBO A LA PROVINCIA DE SAN JUAN EN AERONAVE FACH-01, EL PRESIDENTE DE LA REPUBLICA DE CHILE MIGUEL JUAN SEBASTIAN PIÑERA ECHENIQUE Y SU COMITIVA. EL MISMO SE DESPLAZO VIA TERRESTRE HASTA LA CIUDAD CAPITAL, SIN NOVEDAD.</t>
  </si>
  <si>
    <t>FACH-01</t>
  </si>
  <si>
    <t>INFORMO SIENDO LAS 10:03 HORAS, ARRIBO A LA PROVINCIA DE SAN JUAN EN AERONAVE FAP-01 EL PRESIDENTE DE LA REPUBLICA DEL PARAGUAY, FERNANDO LUGO Y SU COMITIVA. EL MISMO SE DESPLAZO VIA TERRESTRE HASTA LA CIUDAD CAPITAL, SIN NOVEDAD.</t>
  </si>
  <si>
    <t>FAP-01</t>
  </si>
  <si>
    <t>SIENDO LAS 09:10 HS SE IMPLEMENTA OPERATIVO DE SEGURIDAD EN REFERENCIA A LA ORDEN DE SERVICIO Nº 297/10 DE ESTA URSA METROPOLITANA, CON MOTIVO DEL ARRIBO DEL VUELO DE LA COMPAÑÍA AEROCOMERCIAL AEROLÍNEAS ARGENTINAS Nº AR 1435 PROCEDENTE DE LA CUIDAD DE SAN JUAN, CUYO ARRIBO PREVISTO ERA 10:07 HORAS, EN EL MISMO DEBÍAN ARRIBAR SEIS FUNCIONARIOS DE LA CUMBRE, SIENDO LOS MISMOS HÉCTOR LACOGNATA, JOSÉ PEREIRA, LUÍS CARLOS GARCÍA, MARCELO SCAPPINI, AMÉRICO CEJAS Y GUILLERMO POMY, Y QUE DE LAS AVERIGUACIONES PRACTICADAS TANTO EN LA SALA VIP, COMO EN LA COMPAÑÍA AÉREA, SURGE QUE DICHOS PASAJEROS NO HABRÍAN EMBARCADO EN EL VUELO DE MENCIÓN Y QUE POSEEN RESERVA PARA EL DIA DE MAÑANA CON EL MISMO Nº DE VUELO Y HORARIO. ASÍ MISMO PERSONAL POLICIAL SE CONSTITUYO EN LA POSICIÓN Nº 14, CONSTATANDO EL ARRIBO DE DICHO VUELO EN EL HORARIO DE 10:20 HORAS, EN AERONAVE MATRICULA Nº LVBEO, PUDIENDO COTEJAR DICHO PERSONAL QUE EFECTIVAMENTE NINGÚN FUNCIONARIO VIAJO EN EL MISMO. SIENDO LAS 10.40 HS FINALIZA EL MISMO SIN NOVEDAD, SIENDO RESPONSABLE DEL SERVICIO EL INSPECTOR PAZ, GUSTAVO.</t>
  </si>
  <si>
    <t>AR 1435</t>
  </si>
  <si>
    <t>JUZGADO DE INSTRUCCION 7MA NOMINACION CIUDAD DE SANTA FE</t>
  </si>
  <si>
    <t>CARINA BAUZA</t>
  </si>
  <si>
    <t>AEROPLANTA YPF</t>
  </si>
  <si>
    <t>EN EL DÍA DE LA FECHA SE TOMA CONOCIMIENTO DE UNA DENUNCIA TELEFONICA ANÓNIMA RECIBIDA POR LA SUBDIRECTORA DEL AEROPUERTO VIVIANA NINI, DE PARTE DE UNA PERSONA DE SEXO MASCULINO QUE DIJO LLAMARSE RAMIREZ QUIEN MANIFESTÓ QUE UN SEÑOR DUEÑO DE UN VEHÍCULO RENAULT 18 AMARILLO, SACABA COMBUSTIBLE DEL AEROPUERTO CONSTANTEMENTE EN BIDONES Y LO DEPOSITA EN UN DOMICILIO DE LA CIUDAD DE SANTO TOME, EN CALLE MARTINEZ 3387. ANTE TAL NOVEDAD SE DA INTERVENCIÓN AL JUZGADO DE INSTRUCCIÓN DE TURNO QUIEN ORDENA SE REALICEN LAS ACTUACIONES DE RIGOR.</t>
  </si>
  <si>
    <t>SIENDO LAS 11:25, SE RECIBE COMUNICACIÓN POR PARTE DEL SUBINSPECTOR NÉSTOR CASTRO, QUE EL MISMO FUE ANOTICIADO POR EL OF. ADRIÁN VALLE, PERSONAL DESTACADO EN PATRULLA PARTE PUBLICA, DE LA EXISTENCIA DE UN POSIBLE OBJETO OLVIDADO, EN LA VEREDA DEL SECTOR A1, EN EL BUCHE DE UN CARRO PORTA MALETAS, MOTIVO POR EL CUAL, EL JEFE DE TURNO SE HACE PRESENTE EN DICHO LUGAR, Y PROCEDE A REALIZAR EL PERÍMETRO DE SEGURIDAD CORRESPONDIENTE SOLICITANDO LA PRESENCIA DEL GEDEX, DANDO AVISO INMEDIATO AL PERSONAL DE EMERGER Y DEPARTAMENTO DE BOMBEROS, PARA QUE SE HAGAN PRESENTE EN EL LUGAR Y REALIZAR EL CONTROL PREVENTIVO CORRESPONDIENTE, OBTENIENDO DEL MISMO RESULTADO NEGATIVO. SEGUIDAMENTE SE HACE PRESENTE UNA PERSONA QUE MANIFIESTA SER EL DUEÑO DEL OBJETO OLVIDADO, SIENDO ESTE UN MALETIN, Y QUE MEDIANTE PREGUNTAS DE PREEXISTENCIA DEMUESTRA SER EL EL DUEÑO DE DICHO MALETIN DE NOMBRE FRANCISCO CARLOS ALBERTO, QUIEN ACREDITA IDENTIDAD CON CIPFA Nº 7.688.64M, HACIENDO ENTREGA DEL MISMO EN CONFORMIDAD, A TRAVES DE ACTA DE ENTREGA Nº 1865/10, EN REFERENCIA A ACTA DE HALLAZGO CON MISMA NUMERACION.</t>
  </si>
  <si>
    <t>SIENDO LAS 12:30 HS SE IMPLEMENTA OPERATIVO DE SEGURIDAD EN REFERENCIA A LA ORDEN DE SERVICIO Nº 297/10 DE ESTA URSA METROPOLITANA, CON MOTIVO DEL ARRIBO DEL VUELO DE LA COMPAÑÍA AEROCOMERCIAL AEROLÍNEAS ARGENTINAS Nº AR 1262 PROCEDENTE DE LA CIUDAD DE SAN JUAN CUYO ARRIBO PREVISTO ERA 13:10, SEGÚN CONSIGNA PLANILLA CON CRONOGRAMA DE PARTIDAS Y ARRIBOS, EMITIDA POR EL CEAC, EN EL MISMO DEBÍAN ARRIBAR DOS FUNCIONARIOS DE LA CUMBRE, SIENDO LOS MISMOS ROSA MARIA CANTERO Y HUMBERTO BLANCO, Y QUE DE LAS AVERIGUACIONES PRACTICADAS TANTO EN LA SALA VIP, COMO EN LA COMPAÑÍA AÉREA, SURGE QUE DICHOS PASAJEROS POSEEN RESERVAS PARA EL DIA 4 DEL CORRIENTE MES Y AÑO, EN EL VUELO AR Nº 1435, DE DICHA COMPAÑÍA AEROCOMERCIAL, PROCEDENTE DE LA CIUDAD DE SAN JUAN CON ARRIBO ESTIMADO, 10:07 HORAS. SIENDO LAS 13.30 HS FINALIZA EL MISMO SIN NOVEDAD, SIENDO RESPONSABLE DEL SERVICIO EL INSPECTOR PAZ, GUSTAVO.</t>
  </si>
  <si>
    <t>INFORMO SIENDO LAS 15:03 HORAS DESPEGA AERONAVE FACH-01 TRASLADANDO AL PRESIDENTE DE CHILE MIGUEL JUAN SEBASTIAN PIÑERA ECHENIQUE Y SU COMITIVA, SIN NOVEDAD.</t>
  </si>
  <si>
    <t>INFORMO SIENDO LAS 15:18 HORAS DESPEGA AERONAVE C-550 TRASLADANDO AL PRESIDENTE ORIENTAL DEL URUGUAY JUAN ALBERTO MUJICA CORDANO Y SU COMITIVA, SIN NOVEDAD.</t>
  </si>
  <si>
    <t>INFORMO SIENDO LAS 17:21 HORAS DESPEGA AERONAVE BRS-01, CON EL PRESIDENTE DE LA REPUBLICA FEDERATIVA DEL BRASIL, LUIS INACIO LULA DA SILVA Y COMITIVA, SIN NOVEDAD.</t>
  </si>
  <si>
    <t>SIENDO LAS 17:15 HS SE IMPLEMENTA OPERATIVO DE SEGURIDAD EN REFERENCIA A LA ORDEN DE SERVICIO Nº 297/10 DE ESTA URSA METROPOLITANA, CON MOTIVO DEL ARRIBO DEL VUELO DE LA COMPAÑÍA AEROCOMERCIAL PLUNA Nº PU 8172, CUYO ARRIBO PREVISTO ERA 17:55 HORAS, SEGÚN CONSIGNA PLANILLA CON CRONOGRAMA DE PARTIDAS Y ARRIBOS, EMITIDA POR EL CEAC, EN EL MISMO DEBÍAN ARRIBAR DOS FUNCIONARIOS DE LA CUMBRE, SIENDO LOS MISMOS JOSÉ FÉLIX FERNÁNDEZ ESTRIGARRIBA Y NORBERTO LANELLI, Y QUE DE LAS AVERIGUACIONES PRACTICADAS EN LA COMPAÑÍA AÉREA, SURGE QUE DICHOS PASAJEROS NO SE ENCUENTRAN REGISTRADOS EN EL SISTEMA INFORMÁTICO, PARA DICHO VUELO. SIENDO LAS 18.00 HS FINALIZA EL MISMO SIN NOVEDAD, SIENDO RESPONSABLE DEL SERVICIO EL OF. JEFE AGUIRRE ANDRÉS</t>
  </si>
  <si>
    <t>PU 8172</t>
  </si>
  <si>
    <t>INFORMO SIENDO LAS 18:01 HORAS, DESPEGA AERONAVE FAP-01 TRASLADANDO AL PRESIDENTE DE LA REPUBLICA DEL PARAGUAY, FERNANDO LUGO Y COMITIVA, LA MISMA SE REALIZO SIN NOVEDAD.</t>
  </si>
  <si>
    <t>INFORMO SIENDO LAS HORAS, DESPEGA AERONAVE FAB-001, TRASLADANDO AL PRESIDENTE DEL ESTADO PLURINACIONAL DE BOLIVIA Y COMITIVA, LA MISMA SE REALIZO SIN NOVEDAD.</t>
  </si>
  <si>
    <t>LA PAZ</t>
  </si>
  <si>
    <t>SIENDO LAS 17:50 HS SE IMPLEMENTA OPERATIVO DE SEGURIDAD EN REFERENCIA A LA ORDEN DE SERVICIO Nº 297/10 DE ESTA URSA METROPOLITANA, CON MOTIVO DEL ARRIBO DEL VUELO DE LA COMPAÑÍA AEROCOMERCIAL LAN ARGENTINA Nº LA 4286 PROCEDENTE DE LA CIUDAD DE SAN JUAN CUYO ARRIBO PREVISTO ERA 16:30 HORAS, SEGÚN CONSIGNA PLANILLA CON CRONOGRAMA DE PARTIDAS Y ARRIBOS, EMITIDA POR EL CEAC, EN EL MISMO DEBÍAN ARRIBAR SEIS FUNCIONARIOS DE LA CUMBRE, SIENDO ESTOS: PATRICIA ESPINOSA CANTELLANO, ROGELIO GRANTGUILLHOME, DAMINA MARTÍNEZ TAGUEÑA, ALEJANDRA GÓMEZ LEÓN, FRANCISCO DEL RÍO, Y MANUEL CABALLERO,Y DE LAS AVERIGUACIONES PRACTICADAS TANTO EN LA SALA VIP, COMO EN LA COMPAÑÍA AÉREA, SURGE QUE DICHOS PASAJEROS POSEEN SUS RESERVAS REALIZADAS PARA EL DIA DE LA FECHA; DEL MISMO MODO RESPECTO DE LOS PASAJEROS FRANCISCO RIVAS, DIONISIO BORDA, QUIENES ERAN DE FIGURACIÓN EN EL PRESENTE CRONOGRAMA, NO SE ENCUENTRAN REGISTRADOS A BORDO DE LA AERONAVE EN CUESTIÓN. ASÍ MISMO CABE DESTACAR QUE DICHO VUELO HIZO EFECTIVO SU ARRIBO EN EL HORARIO DE 18:35 HS, POSICIÓN Nº 9, CON MATRICULA LV-BFO. SIENDO LAS 18.45 HS FINALIZA EL MISMO SIN NOVEDAD, SIENDO RESPONSABLE DEL SERVICIO EL OF. JEFE AGUIRRE ANDRÉS.</t>
  </si>
  <si>
    <t>LA 4286</t>
  </si>
  <si>
    <t>INFORMO SIENDO LAS 19:01 HORAS DESPEGA LA AERONAVE T-01 TRASLADANDO LA SEÑORA PRESIDENTA DE LA NACION ARGENTINA DRA. CRISTINA FERNANDEZ DE KIRCHNER Y COMITIVA, SIN NOVEDAD.</t>
  </si>
  <si>
    <t>SIENDO LAS 17:50 HS SE IMPLEMENTA OPERATIVO DE SEGURIDAD EN REFERENCIA A LA ORDEN DE SERVICIO Nº 297/10 DE ESTA URSA METROPOLITANA, CON MOTIVO DEL ARRIBO DE LA AERONAVE T-02, PROCEDENTE DE LA CIUDAD DE SAN JUAN, ARRIBANDO EN EL MISMO LA MINISTRA DE DEFENSA DRA NILDA GARRÉ, Y EL EMBAJADOR DE LA REPUBLICA ARGENTINA EN LA REPUBLICA DE CHILE. ASÍ MISMO CABE DESTACAR QUE DICHO VUELO HIZO EFECTIVO SU ARRIBO EN EL HORARIO DE 18:00 HS. FINALIZANDO OPERATIVO DE SEGURIDAD A LAS 18.05 HS SIN NOVEDAD, SIENDO RESPONSABLE DEL SERVICIO EL OF. JEFE AGUIRRE ANDRÉS.</t>
  </si>
  <si>
    <t>SIENDO LAS 18:00 HS SE IMPLEMENTA OPERATIVO DE SEGURIDAD EN REFERENCIA A LA ORDEN DE SERVICIO Nº 297/10 DE ESTA URSA METROPOLITANA, Y MEMORANDO DGRRII Nº 1872/10, CON MOTIVO DEL ARRIBO DE LA AERONAVE FALCON 900, MATRICULA YV-2040 PROCEDENTE DE LA CIUDAD DE SAN JUAN, ARRIBANDO EN EL MISMO, EL SEÑOR MINISTRO DEL PODER POPULAR PARA RELACIONES EXTERIORES DE LA REPUBLICA BOLIVARIANA DE VENEZUELA, D. NICOLÁS MADURO, Y EL EMBAJADOR DE VENEZUELA EN LA REPUBLICA ARGENTINA. ASÍ MISMO CABE DESTACAR QUE DICHO VUELO HIZO EFECTIVO SU ARRIBO EN EL HORARIO DE 18:05 HS. FINALIZANDO DICHO OPERATIVO DE SEGURIDAD A LAS 18.15 HS SIN NOVEDAD, SIENDO RESPONSABLE DEL SERVICIO EL OF. JEFE AGUIRRE ANDRÉS.</t>
  </si>
  <si>
    <t>INFORMO EN EL DIA DE LA FECHA A HS 19:40 ARRIBA A ESTE AEROPUERTO EN VUELO T-01 LA SEÑORA PRESIDENTE DE LA NACION CRISTINA FERNANDEZ DE KIRCHNER Y COMITIVA. ASIMISMO INFORMO QUE ESTA UOSP IMPLEMENTO EL OPERATIVO DE SEGURIDAD PRESIDENCIAL CONFORME A ORDEN DE SERVICIO N° 157/10. SE INFORMA QUE LA SEÑORA PRESIDENTE DE LA NACION Y COMITIVA SE RETIRAN DE ESTA JURISDICCION A HS 19:58, PERNOCTANDO EL T-01 HASTA EL DIA 04/08/10 EN ESTE AEROPUERTO, FECHA EN QUE PARTIRA A HS 14:30 APROXIMADAMENTE.</t>
  </si>
  <si>
    <t>FISCAL C/BONICELLI DAVID S/AVERIGUACION INFRACCION LEY 23.737</t>
  </si>
  <si>
    <t>58.169-B</t>
  </si>
  <si>
    <t>PUERTA DE PREEMBARQUE 1-2 DEL SECTOR INTERNACIONAL</t>
  </si>
  <si>
    <t>SIENDO LAS 18:05 Y MIENTRAS SE COMENZABA A REALIZAR EL CONTROL DEL VUELO DE LA EMPRESA LAN CHILE, EL OFICIAL AYUDANTE LUNA PABLO ADRIAN CONTROL 503783, LE REALIZA EL CORRESPONDIENTE REGISTRO PREVENTIVO AL PRIMER PASAJERO QUE SE DISPONE A PREEMBARCAR ENCONTRANDO QUE EL MISMO LLEVABA UN FAJA A LA ALTURA DE LA CINTURA, AL CONSULTARLE AL RESPECTO DE LA FAJA EL PASAJERO LE RESPONDE QUE LA PRESENCIA DE LA MISMA SE DEBE A UNA VIEJA DOLENCIA QUE PRESENTE EN RELACION A UNA OPERACION SUFRIDA EN SU PAIS NATAL Y QUE DEBIDO A ESE MOTIVO NO TRAIA CONSIGO EL CORRESPONDIENTE CERTIFICADO MEDICO, ACTO SEGUIDO EL OFICIAL LE SOLICITA QUE SE RETIRE LA FAJA PARA REALIZAR UN CONTROL DE LA MISMA, A LO QUE RESPONDE PRIMERAMENTE QUE NO PORQUE SE LE VA A SALIR TODO POR LA OPERACION ,SIN REALIZAR MAYOR ACLARACION, PERO QUE SI QUERIA QUE FUERAN AL BAÑO, A CONTINUACIÓN EL OFICIAL INTERVINIENTE CONVOCA A UN TESTIGO HABIL PARA QUE EL PASAJERO SE DESPRENDA DE LA MENCIONADA FAJA EN EL BAÑO, RESPETANDO DE ESTA MANERA LA PRIVACIDAD QUE EL PASAJERO HABIA SOLICITADO, A EFECTOS DE REALIZAR POSTERIORMENTE EL CORRESPONDIENTE CONTROL, MINUTOS DESPUES EL PASAJERO COMIENZA A SACARSE LA ROPA Y LE MUESTRA AL OFICIAL LUNA LA PARTE POSTERIOR DE LA FAJA HACIENDO MENCION QUE LA MISMA ES ESTETICA REFIRIENDOSE AL TEMA DE LA OPERACION, NO CONFORME CON LA EXPLICACIÓN EL OFICIAL LE PIDE QUE SE DESABROCHE LA MISMA PORQUE LA NECESITABA VER EN FORMA COMPLETA, UNA VEZ RETIRADA LA MISMA EL PERSONAL ACTUANTE NOTA QUE DICHA FAJA TENIA ADOSADA EN SU PARTE DELANTERA UN BULTO SIMILAR A UNA BOTA PARA VINO DE CUERO, SE LE CONSULTA QUE ES ESE ELEMENTO LO QUE CONTESTA QUE ES PARA PROPORCIONARLE CALOR, INMEDIATAMENTE EL OFICIAL ACTUANTE LA RETIRA PARA REALIZARLE UN CONTROL CON EL EQUIPO DE RX DEL PREEMBARQUE. INMEDIATAMENTE SE LE INFORMA DE DICHA NOVEDAD AL JEFE DE PREEMBARQUE QUIEN REALIZA EL CORRESPONDIENTE CONTROL Y CONVOCA LA PRESENCIA DEL SEGUNDO TESTIGO, A CONTINUACION SE LE INFORMA DICHA NOVEDAD AL JEFE DE TURNO DEL DIA DE LA FECHA QUIEN ANTE ESTA SITUACIÓN SE PRESENTA EN LA SALA DE REGISTRO DEL PREEMBARQUE INTERNACIONAL EN DONDE EN PRESENCIA DE LOS TESTIGOS HABILES SE DIPONE A REALIZAR LA APERTURA DEL BULTO EL CUAL SE ENCONTRABA PEGADO CON UN ADHESIVO TIPO CERA DEPILATORIA, ENCONTRANDO EN EL INTERIOR DE LA MISMA UNA SUSTANCIA BLANCA PULVERULENTA, A LA CUAL Y SIEMPRE EN PRESENCIA DE LOS TESTIGOS SE LE REALIZA UN PRUEBA DE CAMPO PARA COCAINA MARCA COCATEST LA CUAL ARROJA RESULTADO POSITIVO PARA ESA SUSTANCIA. SIENDO LAS 18:19 HORAS SE REALIZA CON EL JUZGADO FEDERAL DE TURNO ENTABLANDO COMUNICACION CON EL SECRETARIO DEL MISMO A QUIEN SE LE INFORMAN DE LOS HECHOS OCURRIDOS Y QUIEN DISPONE: 1- SE REALICE LA REVISION TOTAL DEL EQUIPAJE DEL PASAJERO, 2- EL PESAJE DE LA SUSTANCIA ENCONTRADA Y 3- UNA VEZ QUE SE CONOZCA EL TOTAL DE LA SUSTANCIA ENCONTRADA SE LO VUELVA A LLAMAR. ACTO SEGUIDO SE REALIZAN LOS CONTROLES MEDICOS DE RIGOR Y EL CONTROL DE LA TOTALIDAD DE LAS PERTENECIAS DEL PASAJERO. SIENDO LAS 19:15 HORAS SE REALIZA UNA NUEVA COMUNICACIÓN CON EL SECRETARIO PENAL A QUIEN SE LE INFORMA LA CANTIDAD DE SUSTANCIA ENCONTRADA Y QUIEN DISPONE: 1- QUE EL PASAJERO QUEDE EN CALIDAD DE DETENIDO INCOMUNICADO, 2- SE LO TRASLADE A LA UNIDAD DE DETENCION JUDICIAL U32, 3- SE REALICE EL SECUESTRO DE LA SUSTANCIA Y DE LOS ELEMENTOS UTILES PARA LA CAUSA Y 4- QUE MAÑANA A PRIMERA HORA SE ELEVEN LAS ACTUACIONES, ADEMAS SE LE CONSULTO SOBRE LA CORRESPONDIENTE CARATULA. A CONTINUACION SE LE CONSULTA AL DETENIDO SI DESEA QUE SE LE INFORME DE SU SITUACION A LA EMBAJADA DE SU PAIS A LO QUE RESPONDE ESTAR DE ACUERDO Y SIENDO LAS 19:53 SE INTENTO REALIZAR DICHA COMUNICACION AL T.E. 01147776580 LA CUAL FUE ATENDIDA UNA MUJER LA QUE INFORMA QUE ESE NUMERO NO CORRESPONDE A LA EMBAJADA EN CUESTION Y A CONTINUACION SE REALIZO UNA NUEVA COMUNICACION AL TE. 01147793500 LA CUAL ES RECEPCIONADA POR PARTE DE UN CONMUTADOR EL CUAL AUTOMATICAMENTE INFORMA QUE LAS LLAMADAS A ESA EMBAJADA DEBEN DE REALIZARCE ENTRE LAS 08:30 Y LAS 16:30 HS, ASIMISMO SE INFORMA QUE EL DETENIDO TENIA EL SIGUIENTE ITINERARIO DE VUELO, SEGUN LA DOCUMENTACIÓN SECUESTRADA: SALIDA DE MENDOZA EL DIA 03-08-2010 ARRIBANDO A SANTIAGO DE CHILE EL MISMO DIA, PARTIENDO DESDE CHILE TAMBIEN EL DIA 03-08-2010 EN VUELO DE LA EMPRESA QUANTAS N° QF 322 RUMBO A AUCKLAND ARRIBANDO AL DESTINO EL DIA 05-08-2010, PARA LUEGO EL MISMO DIA TOMAR UN VUELO TAMBIEN DE LA EMPRESA QUANTAS N° QF0132 RUMBO A MELBOURNE ARRIBANDO A SU DESTINO FINAL EL DIA 05-08-2010. AMPLIACION DOZ_2010_4711_PU SIENDO LAS 22:25 HORAS DEL 04 DE AGOSTO SE REALIZA EL TRASLADO DEL DETENIDO INCOMUNICADO CIUDADANO AUSTRALIANO DAVID BONICELLI,PASAPORTE N° M 2053639, DNI -EXTRANJERO- N° 92534082, EL TRASDLADO SE REALIZO EN VEHICULO DE DOTACION DE ACUERDO A ORDEN DE SERVICIO NUMERO 211/10 DE FECHA 03 DE AGOSTO DE 2010 EMITIDO POR UNIDAD REGIONAL II DEL CENTRO A LA UNIDAD PENITENCIARIA FEDERAL U32 DE LA CIUDAD DE MENDOZA SIENDO CUSTODIADO POR EL PERSONAL DETALLADO EN ORDEN DE SERVICIO ANTERIORMENTE MENCIONADA. ASI MISMO SE INFORMA QUE SIENDO LAS 23:40 HORAS REGRESA EL PERSONAL EN COMISION SIN NOVEDAD. AMPLIACION DOZ_2010_4718_PU SIENDO LAS 09:15 HORAS DEL 04 DE AGOSTO SE REALIZA EL TRASLADO Y ENTREGA DE LOS ELEMENTOS SECUESTRADOS UTILES PARA LA CAUSA ANTE EL JUZGADO Y SECRETARIA INTERVINIENTES, SEGUN LO ESTABLECIDO EN ORDEN DE SERVICIO N° 255/10 DE ORDEN INTERNO DE ESTA UOSP. ASIMISMO SE INFORMA QUE LA CAUSA TIENE COMO AUTOS N° 58.169-B, CARATULADOS -FISCAL C/BONICELLI DAVID S/AVERIGUACION INFRACCION LEY 23.737-. TODO EL PROCEDIMIENTO SE LLEVO A CABO SIN NOVEDAD</t>
  </si>
  <si>
    <t>DR. EDUARDO FERNANDEZ</t>
  </si>
  <si>
    <t>MARIA MARCELA CERRUTI S/ROBO</t>
  </si>
  <si>
    <t>SIENDO APROXIMADAMENTE LAS 17:30 HS SE PRESENTA LA CIUDADANA MARIA MARCELA CERRUTI A LOS EFECTOS DE RADICAR DENUNCIA POR ROBO RESPECTO DE UN EQUIPAJE QUE DESPACHO POR BODEGA CON MARBETE N° LA 658031, LA DENUNCIANTE MANIFIESTA QUE DE SU EQUIPAJE LE SUSTRAJERON UN GPS Y DOS CARGADORES DE BATERIAS TRAS ROMPER UNO DE LOS GANCHOS DEL CIERRE EN EL CUAL HABIA COLOCADO UN CANDADO, TODO POR UN VALOR APROXIMADO DE 4000 PESOS, SE DA INTERVENCION AL JUZGADO DE INSTRUCCION NRO 6, FISCALIA NRO 4 A CARGO DEL DR. EDUARDO FERNANDEZ QUIEN DISPONE SE ELEVE EL PARTE PREVENTIVO CORRESPONDIENTE Y SE REALICEN LAS ACTUACIONES DE RIGOR.</t>
  </si>
  <si>
    <t>4703/10</t>
  </si>
  <si>
    <t>SIENDO LAS 21:30 HORAS SE IMPLEMENTA OPERATIVO DE SEGURIDAD PARA LA PARTIDA DEL SR. MINISTRO DEL PODER POPULAR PARA RELACIONES EXTERIORES DE LA REPUBLICA BOLIVARIANA DE VENEZUELA, D. NICOLAS MADURO, QUIEN PARTE DE LA AEROSTACION MILITAR A LAS 22:05 HORAS EN LA AERONAVE FALCON 900 MATRICULA YV-2040 CON DESTINO A LA CIUDAD DE CARACAS, REPUBLICA BOLIVARIANA DE VENEZUELA, SIN NOVEDAD. SIENDO RESPONSABLE DEL SERVICIO EL OF. JEFE ANDRES AGUIRRE.</t>
  </si>
  <si>
    <t>YV-2040</t>
  </si>
  <si>
    <t>SIENDO LA HORA Y EL DÍA ANTES MENCIONADO SE IMPLEMENTA OPERATIVO DE SEGURIDAD PARA LA LLEGADA DEL SR. FREDDY PAVÓN, VICE MINISTRO DE DERECHOS HUMANOS DE LA REPUBLICA DE ECUADOR, QUIEN ARRIBO A LA AEROSTACIÓN MILITAR EN VUELO PRIVADO DE MINISTRO DE JUSTICIA DE ARGENTINA, A LAS 20:00 HORAS PROCEDENTE DE LA CIUDAD DE SAN JUAN, SIN NOVEDAD. SIENDO RESPONSABLE DE DICHO OPERATIVO EL OF. JEFE ANDRÉS AGUIRRE.</t>
  </si>
  <si>
    <t>SIENDO LA HORA Y EL DÍA ANTES MENCIONADO SE IMPLEMENTA OPERATIVO DE SEGURIDAD PARA LA LLEGADA DEL SR. AMADO BOUDOU Y LA SRA. DÉBORA GIORGI, QUIENES ARRIBARON A LA AEROSTACIÓN MILITAR A LAS 20:50 HORAS EN EL VUELO T-03 PROCEDENTE DE LA CIUDAD DE SAN JUAN SIN NOVEDAD. SIENDO RESPONSABLE DE DICHO OPERATIVO EL OF. JEFE ANDRÉS AGUIRRE.</t>
  </si>
  <si>
    <t>POSICIÓN 21</t>
  </si>
  <si>
    <t>SIENDO LA HORA Y EL DÍA ANTES MENCIONADO SE IMPLEMENTA OPERATIVO DE SEGURIDAD PARA LA LLEGADA DE LA SRA. EMBAJADORA DE PERÚ, ELIZABETH ASTETE RODRÍGUEZ, EL SR. DON JOSÉ FÉLIX FERNÁNDEZ ESTRIGARRIBA Y COMITIVA, QUIENES ARRIBARON EN EL VUELO AR2437 DE LA EMPRESA AEROCOMERCIAL AEROLÍNEAS ARGENTINAS PROCEDENTE DE LA CIUDAD DE SAN JUAN A LAS 22:33 HORAS SIN NOVEDAD. SIENDO RESPONSABLE DE DICHO OPERATIVO EL OF. JEFE ANDRES AGUIRRE.</t>
  </si>
  <si>
    <t>AR2437</t>
  </si>
  <si>
    <t>UNIDAD PENITENCIARIA FEDERAL U32</t>
  </si>
  <si>
    <t>SIENDO LAS 22:25 HORAS SE REALIZA EL TRASLADO DEL DETENIDO INCOMUNICADO CIUDADANO AUSTRALIANO DAVID BONICELLI, PASAPORTE N° M 2053639, DNI -EXTRANJERO- N° 92534082, EL TRASDLADO SE REALIZO EN VEHICULO DE DOTACION DE ACUERDO A ORDEN DE SERVICIO NUMERO 211/10 DE FECHA 03 DE AGOSTO DE 2010 EMITIDO POR UNIDAD REGIONAL II DEL CENTRO A LA UNIDAD PENITENCIARIA FEDERAL U32 DE LA CIUDAD DE MENDOZA SIENDO CUSTODIADO POR EL PERSONAL DETALLADO EN ORDEN DE SERVICIO ANTERIORMENTE MENCIONADA. ASI MISMO SE INFORMA QUE SIENDO LAS 23:40 HORAS REGRESA EL PERSONAL EN COMISION SIN NOVEDAD.</t>
  </si>
  <si>
    <t>POSICION Nº 11</t>
  </si>
  <si>
    <t>SIENDO LA HORA Y EL DÍA ANTES MENCIONADO SE IMPLEMENTA OPERATIVO DE SEGURIDAD PARA LA PARTIDA DEL SR. ROGELIO GRANTGUILLHOME, RESPONSABLE DE RELACIONES EXTERIORES Y ECONOMÍA DE MÉXICO, LA SRA. DAMIANA MARTÍNEZ TAGUEÑA, SECRETARIA PRIVADA DEL MINISTRO DE RELACIONES EXTERIORES DE MÉXICO, LA SRA. ALEJANDRA GÓMEZ LOEN, JEFE DE PROTOCOLO DE MÉXICO Y DE LA SRA. PATRICIA ESPINOSA CANTELLANO, MINISTRA DE RELACIONES EXTERIORES EMBAJADORA DE MÉXICO, EN EL VUELO AR 1240, MATRICULA LV- CCR, DE LA EMPRESA AEROCOMERCIAL AEROLÍNEAS ARGENTINAS CON DESTINO A LA CIUDAD DE SAN PABLO, EL CUAL PARTIO DE ESTA AEROSTACIÓN METROPOLITANA A LAS 07:22 HORAS SIN NOVEDAD. SIENDO RESPONSABLE DE DICHO OPERATIVO EL OF. SUBINSPECTOR OSCAR GONZALEZ.</t>
  </si>
  <si>
    <t>AR 1240</t>
  </si>
  <si>
    <t>SECTOR VIP</t>
  </si>
  <si>
    <t>SIENDO LA HORA MENCIONADA SE DA CUMPLIMENTO A LA ORDEN DE SERVICIO Nº 297/10 DE ESTA UOSP REFERENTE A LA ORDEN DE SERVICIO Nº 490/10 DE LA URSA I DEL ESTE, AL CONTROL DE SEGURIDAD AEROPORTUARIA PREVENTIVA AL ARRIBO Y PARTIDA DE LA COMITIVA EN VISITA OFICIAL CON MOTIVO DE LA CUMBRE XXXIX DE JEFES Y JEFAS DE ESTADO DEL MERCOSUR, ARRIBANDO A ESTA AEROESTACION A LAS 10:20 HORAS EL SR LACOGMATA MINISTROS DE RELACIONES EXTERIORES DE PARAGUAY, SR. PEREIRA DIRECTOR GENERAL DE GABINETE DE CANSILLERIA DE PARAGUAY, SR. GARCIA SECRETARIO PRIVADO DE CANSILLERIA DE PARAGUAY, SRA. CANTERO CORDINADORA GENERAL DE INFORMACION Y PRENSA DE PARAGUAY, SR. SCAPPINI ENCARGADO DE NEGOCIOS DE PARAGUAY, SR. CEJAS PROTOCOLO DE PARAGUAY, SR. BLANCO MINISTRO DE JUSTICIA Y TRABAJO DE PARAGUAY, DICHO CONTROL ES SUPERVISADO POR EL SUBINSPECTOR OSCAR GONZALEZ.</t>
  </si>
  <si>
    <t>AUXILIAR BARROSO</t>
  </si>
  <si>
    <t>AVERIGUACION DE HECHO</t>
  </si>
  <si>
    <t>SIENDO LAS 09.50 HORAS DEL DIA DE LA FECHA SE PRESENTA EN LA GUARDIA PERSONAL DE PROSEGUR INFORMANDO LA NOVEDAD DE QUE TRES SACAS DE DINERO QUE ARRIBARON EN EL VUELO 1404 DE LA EMPRESA AEROLINEAS ARGENTINAS SE ENCONTRABAN CON NOVEDAD, UNA ESTABA RASGADA, Y LAS OTRAS DOS CON AGUJEROS, DICHO PERSONAL DESCONOCIA SI HABIA ALGUN FALTANTE EN SU INTERIOR, YA QUE EL PROCEDIMIENTO DE LA EMPRESA INDICA QUE SE DEBE EFECTUAR EL CONTEO EN LA CENTRAL DE LA MISMA, POR LO QUE SE DA AVISO A LA AUTORIDAD JUDICIAL DE TURNO, QUIEN ORDENA EL INICIO DE LAS ACTUACIONES POR AVERIGUACION DE HECHO, A LO QUE SE DA ESTRICTO CUMPLIMIENTO. AMPLIACIÓN DOZ_2010_4720_PU SIENDO LAS 12:48 HORAS SE RECIBE VIA FAX NOTA DE LA EMPRESA PROSEGUR QUE AL HABER REALIZADO LA REMESA DEL CONTENIDO DE LAS SACAS QUE TUVIERON ROTURAS, LAS MISMAS NO PRESENTAN FALTANTE ALGUNO DE SU CONTENIDO. POR ESTE MOTIVO SE REALIZA COMUNICACION TELEFONICA CON LA AUTORIDAD JUDICIAL INTERVINIENTE PARA PONER EN CONOCIMIENTO EL RESULTADO DE LA REMESA, A LO QUE DISPUSO QUE SE ELEVARAN A ESA DEPENDENCIA LAS ACTUACIONES AL FINALIZAR LAS MISMAS.</t>
  </si>
  <si>
    <t>4705/10</t>
  </si>
  <si>
    <t>TRIBUNALES FEDERALES DE MENDOZA</t>
  </si>
  <si>
    <t>SIENDO LAS 09:15 HORAS SE REALIZA EL TRASLADO Y ENTREGA DE LOS ELEMENTOS SECUESTRADOS UTILES PARA LA CAUSA ANTE EL JUZGADO Y SECRETARIA INTERVINIENTES, SEGUN LO ESTABLECIDO EN ORDEN DE SERVICIO N° 255/10 DE ORDEN INTERNO DE ESTA UOSP. ASIMISMO SE INFORMA QUE LA CAUSA TIENE COMO AUTOS N° 58.169-B, CARATULADOS -FISCAL C/BONICELLI DAVID S/AVERIGUACION INFRACCION LEY 23.737-. TODO EL PROCEDIMIENTO SE LLEVO A CABO SIN NOVEDAD.</t>
  </si>
  <si>
    <t>FLORENCIA VIÑUALES</t>
  </si>
  <si>
    <t>DESCOLE S/DENUNCIA HURTO</t>
  </si>
  <si>
    <t>SE RECIBE DENUNCIA Nº 02/2010 POR PARTE DEL SEÑOR DESCOLE, AGUSTIN POR HURTO DE UN SOBRE CON DINERO Y UNA TARJETA DE DEPOSITO DEL BANCO NACIÓN DE LA REPUBLICA ARGENTINA. QUE SEGUN LO MANIFESTADO POR EL DENUNCIANTE, DICHO SOBRE FUE DEJADO EL DÍA 03 DE AGOSTO DEL CORRIENTE DENTRO DE SU LOCKER, UBICADO DENTRO DE LAS INSTALACIONES DE LA AEROPLANTA, EL CUAL NO POSEE NINGUN TIPO DE CERRADURA, PERCATANDOSE DEL FALTANTE EN EL DÍA DE HOY EN HORAS DE LA MAÑANA.</t>
  </si>
  <si>
    <t>4714/10</t>
  </si>
  <si>
    <t>AERONAVE EN PLATAFORMA</t>
  </si>
  <si>
    <t>BODEGA DE LA AERONAVE</t>
  </si>
  <si>
    <t>SIENDO LAS 12:48 HORAS SE RECIBE VIA FAX NOTA DE LA EMPRESA PROSEGUR QUE AL HABER REALIZADO LA REMESA DEL CONTENIDO DE LAS SACAS QUE TUVIERON ROTURAS, LAS MISMAS NO PRESENTAN FALTANTE ALGUNO DE SU CONTENIDO. POR ESTE MOTIVO SE REALIZA COMUNICACION TELEFONICA CON LA AUTORIDAD JUDICIAL INTERVINIENTE PARA PONER EN CONOCIMIENTO EL RESULTADO DE LA REMESA, A LO QUE DISPUSO QUE SE ELEVARAN A ESA DEPENDENCIA LAS ACTUACIONES AL FINALIZAR LAS MISMAS.</t>
  </si>
  <si>
    <t>SIENDO LAS 12:00 HS SE DA CUMPLIMENTO A LA ORDEN DE SERVICIO Nº 297/10 DE ESTA UOSP REFERENTE A LA ORDEN DE SERVICIO Nº 490/10 DE LA URSA I DEL ESTE, AL CONTROL DE SEGURIDAD AEROPORTUARIA PREVENTIVA A LA PARTIDA DE LA COMITIVA EN VISITA OFICIAL CON MOTIVO DE LA CUMBRE XXXIX DE JEFES Y JEFAS DE ESTADO DEL MERCOSUR, PARTIENDO DE ESTA AEROESTACION A LAS 13:20 HORAS CON DESTINO A ASUNCION, EL SR LACOGMATA MINISTROS DE RELACIONES EXTERIORES DE PARAGUAY, SR. PEREIRA DIRECTOR GENERAL DE GABINETE DE CANSILLERIA DE PARAGUAY, SR. GARCIA SECRETARIO PRIVADO DE CANSILLERIA DE PARAGUAY, SRA. CANTERO CORDINADORA GENERAL DE INFORMACION Y PRENSA DE PARAGUAY, SR. SCAPPINI ENCARGADO DE NEGOCIOS DE PARAGUAY, SR. CEJAS PROTOCOLO DE PARAGUAY, SR. BLANCO MINISTRO DE JUSTICIA Y TRABAJO DE PARAGUAY, DICHO CONTROL ES SUPERVISADO POR EL SUBINSPECTOR OSCAR GONZALEZ.</t>
  </si>
  <si>
    <t>AR1435</t>
  </si>
  <si>
    <t>COCCHIA BREARD</t>
  </si>
  <si>
    <t>PORFIRIO, ALICIA BEATRIZ</t>
  </si>
  <si>
    <t>SUPUESTA INFRACCION AL ARTICULO N° 162 DEL CPA</t>
  </si>
  <si>
    <t>EN EL DIA DE LA FECHA SE RECIBE DENUNCIA DEL SEÑOR CLAUDIO ALEJANDRO DIAZ DNI N° 28191619 MEDICO EMPLEADO DEL MINISTERIO DE SALUD PUBLICA DE LA PROVINCIA DE CORRIENTES MANIFESTANDO QUE LE SUSTRAJERON LA BOCINA DE LA AMBULANCIA CON LA QUE PRESTAN SERVICIO EN ESTE AEROPUERTO.</t>
  </si>
  <si>
    <t>4704/10</t>
  </si>
  <si>
    <t>INFORMO EN EL DIA DE LA FECHA A HS 14:10, DESPEGA DE ESTE AEROPUERTO EN VUELO T-01 LA SEÑORA PRESIDENTE DE LA NACION CRISTINA FERNANDEZ DE KIRCHNER Y COMITIVA, CON DESTINO A LA PROVINCIA DE BUENOS AIRES. ASIMISMO INFORMO QUE ESTA UOSP IMPLEMENTO EL OPERATIVO DE SEGURIDAD PRESIDENCIAL CONFORME A ORDEN DE SERVICIO N° 157/10, FINALIZANDO EL MISMO SIN NOVEDAD.</t>
  </si>
  <si>
    <t>SIENDO LA HORA MENCIONADA SE DA COMIENZO AL DISPOSITIVO DE SEGURIDAD POR ARRIBO DE LA SRA. PRESIDENTE DE LA NACION, LA CUAL ARRIBA A ESTA AEROESTACION EN AERONAVE T-01 A LAS 15:25 HORAS, ABANDONANDO JURISDICCION EN H-01 A LAS 15:35 HORAS Y FINALIZANDO EL OPERATIVO A LAS 16:00 HORAS SIN NOVEDAD.</t>
  </si>
  <si>
    <t>Dra. MARIEL BORRUTO</t>
  </si>
  <si>
    <t>AMPLIANDO PR Nº 2917/10 DE FECHA 14/05/10 Y PR Nº 4606/10 DE FECHA 30/07/10 INFORMO QUE EN LA DIA DE LA FECHA SE RECEPCIONO OFICIO JUDICIAL Nº 2965/10, DEL DIA 31 DE JULIO DEL CORRIENTE AÑO, EMITIDO POR EL JUZGADO INTERVINIENTE, EN QUE SE HACE SABER QUE SE HA DISPUESTO LA INTERVENCION TELEFONICA DE LOS ABONADOS Nº: 2964525698, 2966567517 Y Nº: 11461274858 CON SUS RESPECTIVAS SABANAS DE LLAMADAS ENTRANTES, SALIENTES( IMPRESAS Y EN SOPORTE MAGNETICO FORMATO TXT) Y A LA TRANSCRIPCION DE LOS MENSAJES DE TEXTO QUE ESTOS RECIBEN O REALIZAN DESDE LOS TELEFONOS CELULARES REFERIDOS, POR EL TERMINO DE TREINTA (30) DIAS. EN OTRO ORDEN SE HA ENCOMENDADO A LA DIRECCION DE OBSERVACIONES JUDICIALES DE LA CIUDAD DE RIO GRANDE, ARBITREN LOS MEDIOS NECESARIOS PARA QUE HAGA LA ENTREGA EN FORMA DIARIA DE LOS SOPORTES DE GRABACION, LOS SOPORTES MAGNETICOS FORMATOS TXT Y LAS LISTAS SABANAS, Y EN FORMA SEMANAL LA TRANSCRIPCION DE LOS MENSAJES DE TEXTOS. POSTERIORMENTE SE DEBERAN TRANSCRIBIR LAS PARTES DE LAS CITADAS OBSERVACIONES QUE SEAN UTILES PARA LA PRESENTE INVESTIGACION.</t>
  </si>
  <si>
    <t>Dr. FERNANDO ROTA</t>
  </si>
  <si>
    <t>PSA S/ INFRACCION A LA LEY 23.737</t>
  </si>
  <si>
    <t>97233/2010</t>
  </si>
  <si>
    <t>EN EL MARCO DE LA CAUSA DE REFERENCIA Y AMPLIANDO PR Nº 3321/10 DE FECHA 02/06/10 Y PR Nº 4050/10 DE FECHA 06/07/10 SE INFORMA QUE EN EL DIA DE LA FECHA SE RECEPCIONO OFICIO Nº 269/2010, DE FECHA 03 DE AGOSTO DEL CORRIENTE AÑO, POR PARTE DE LA FISCALIA FEDERAL DE USHUAIA, DONDE SE HACE SABER QUE SE AUTORIZA LA PRORROGA DE LA INTERVENCION TELEFONICA, POR UN PLAZO DE 30 DIAS, QUE PESA SOBRE LOS ABONADOS SOLICITADOS (ESCUCHA DIRECTA) Y EN FUNCION DE ELLO SE DEBERA: DESIGNAR UN INTERLOCUTOR CON EL OBJETO DEQUE LA DIRECCION DE OBSERVACIONES JUDICIALES PUEDA ANOTICIARLO EN EL MOMENTO QUE SE PRODUZCAN CONVERSACIONES DE INTERES PARA LA CAUSA, PROCEDER AL RETIRO DIARIO DE LOS SOPORTES DE GRABACION CORRESPONDIENTES PARA SU POSTERIOR ESCUCHA Y TRANSCRIPCION DE AQUELLAS CONVERSACIONES DE INTERES EN LAS QUE ADEMAS DE LAS RERFERIDAS A HECHOS DE NARCOTRAFICO, TAMBIEN SE DEBERA TRANCRIBIR TODAS AQUELLAS EN LAS QUE REVELEN CONTACTOS O AMISTADES Y/O SE HAGA MENCION A SITUACIONES PATRIMONIALES (COMO SER COMPRAS, DEPOSITOS, TRANFERENCIAS, VIAJES ETC...). DEBIENDO SER REMITIDAS ESTAS A CONOCIMIENTO DE ESA FISCALIA FEDERAL, SEMANALMENTE, PUDIENDOSE ADELANTAR MEDIANTE CORREO ELECTRONICO. EN RELACION A LOS MENSAJES DE TEXTO, LOS MISMO FUERON SOLICITADOS POR ESA FISCALIA PARA QUE LE FUERAN REMITIDOS DIARIAMENTE, RAZON POR LO CUAL SERAN ENVIADOS A ESTA PREVENCION AL MOMENTO DE SER RECIBIDOS EN SEDE JUDICIAL, POR OTRA PARTE SE DISPUSO QUE SE DEBERAN PROFUNDIZAR LAS TAREAS OPERATIVAS DE CALLE CON EL OBJETO DE AVANZAR EN LA INVESTIGACION Y QUE LAS ESCUCHAS TELEFONICAS DEBERAN SERVIR PARA CONOCER EXCLUSIVAMENTE AQUELLO QUE NO RESULTE POSIBLE DETERMINARLO DE OTRA FORMA. EN FUNCION DE ELLO DEBERAN ACOMPAÑARSE PERIODICOS INFORMES EN DONDE CONSTEN LAS NOVEDADES, LAS QUE EN LA MEDIDA DE LO POSIBLE DEBERAN CONTAR CON IMÁGENES FOTOGRAFICAS O FILMICAS. ASI MISMO SE HACE SABER EN EL MENCIONADO OFICIO QUE EN CASO DE QUE LA FUERZA NO CUENTE CON CAPACIDAD HUMANA O MATERIAL PARA AFRONTAR LA INVESTIGACION, DEBERA COMUNICARLO DE INMEDIATO A LOS EFECTOS DE RESOLVER LO QUE PUDIERE CORRESPONDER EN TAL SENTIDO.</t>
  </si>
  <si>
    <t>AERONAVE MATRICULA CX-CRE</t>
  </si>
  <si>
    <t>SIENDO LA HORA MENCIONADA SE DA COMIENZO A DISPOSITIVO DE SEGURIDAD EN REFERENCIA A LA ORDEN DE SERVICIO Nº 297/10 DE ESTA UOSP METROPOLITANA CON MOTIVO DE LA PARTIDA DE LA COMITIVA OFICIAL DE VISITA COMPUESTA POR JOSÉ FÉLIX FERNÁNDEZ ESTRIGARRIBA Y NORBERTO LANELLI LOS CUALES PARTIERON DE ESTA AEROESTACION A LAS 18:10 HORAS SIN NOVEDAD. DICHO DISPOSITIVO ES SUPERVISADO POR EL INSPECTOR FORNES</t>
  </si>
  <si>
    <t>PU 172</t>
  </si>
  <si>
    <t>CONSULTA CON JUZGADO SOBRE RECEPCION DE CORREO ELECTRONICO</t>
  </si>
  <si>
    <t>RECEPCION DE CORREO ELECTRONICO</t>
  </si>
  <si>
    <t>OFICINA DE COMUNICACIONES PSA DE LA UOSP EZEIZA</t>
  </si>
  <si>
    <t>SE RECEPCIONA VIA CORREO ELECTRONICO DESDE LA DIRECCION GIANIRACI ARROBA YAHOO.COM.AR, UN MENSAJE QUE REZA - ALICIA MULA A ITALIA SE TOMA EL PALO..OJO-. A POR LO CUAL SE MANTIENE COMUNICACION CON EL JUZGADO INTERVINIENTE, QUIEN DISPONE, SE INTENSIFIQUEN LOS CONTROLES DE SEGURIDAD EN ESTE MEDIO, SE CORROBOREN LOS LISTADOS DE PASAJEROS CUYOS VUELOS PARTAN EL DIA DE LA FECHA CON DESTINO A LA REPUBLICA DE ITALIA, DEBIENDO ELEVAR TODO LO ACTUADO EL DIA CINCO DEL CORRIENTE A SEDE JUDICIAL. UNA VEZ OBTENIDOS LOS LISTADOS DE PASAJEROS DE LAS AEROLINEAS CUYOS VUELOS TENIAN DESTINO LA REPUBLICA DE ITALIA, SE DETECTO A UN SOLO PASAJERO QUE EMBARCARIA EL VUELO AR 1140 CUYO NOMBRE ERA ALICIA LILIANA SHIFRES, Y SIENDO DE RESULTADO NEGATIVO PARA OTRAS AEROLINEAS CON EL MISMO DESTINO EL EMBARQUE DE PASAJEROS CON EL NOMBRE ALUDIDO EN EL CORREO ELECTRONICO EN CUESTION. EL JUZGADO INTERVINIENTE DISPUSO SE OBSERVEN LOS MOVIMIENTOS DE LA SRA. ALICIA LILIANA SHIFRES Y EN CASO DE SURGIR NOVEDAD ALGUNA, SE MANTENGA UNA NUEVA COMUNICACION. SEGUN P.U Nº 4732 SE INTENSIFICARON LOS CONTROLES DEL VUELO AR 1140 Y SE EFECTUÓ UN CONTROL EXHAUSTIVO A LA PASAJERA ALICIA LILIANA SHIFRES DE NACIONALIDAD ARGENTINA PASAPORTE ARGENTINO Nº 11632697N DANDO RESULTADO NEGATIVO EN CUANTO AL TRANSPORTE DE ELEMENTOS PROHIBIDOS.</t>
  </si>
  <si>
    <t>INFORMO EN EL DIA DE LA FECHA A HS 19:10, DESPEGA DE ESTE AEROPUERTO EN VUELO GN-810 EL SEÑOR MINISTRO DE JUSTICIA SEGURIDAD Y DERECHOS HUMANOS JULIO ALAK Y COMITIVA CON DESTINO A LA PROVINCIA DE SANTIAGO DEL ESTERO. ASIMISMO INFORMO QUE ESTA UOSP IMPLEMENTO EL OPERATIVO DE SEGURIDAD CONFORME A ORDEN DE SERVICIO N° 019/10, FINALIZANDO EL MISMO SIN NOVEDAD.</t>
  </si>
  <si>
    <t>SIENDO LAS DIECINUEVE HORAS CON CINCUENTA Y CINCO MINUTOS (LOCAL) ATERRIZA SIN NOVEDAD AERONAVE MATRICULA GN-810, PROCEDENTE DEL AEROPUERTO VICENTE AMONACIDE DE LA PROVINCIA DE LA RIOJA, TRASLADANDO AL SEÑOR MINISTRO DE JUSTICIA, SEGURIDAD Y DERECHOS HUMANOS DE LA NACION DR. JULIO ALAK Y COMITIVA. EL MISMO PERMANECERA EN ESTA CIUDAD CON MOTIVO DE PARTICIPAR EN EL DIA DE MAÑANA DE LA INAUGURACION DEL NUEVO CENTRO JUDICIAL DE LA CIUDAD DE LA BANDA. SIENDO LAS VEINTE HORAS CON DIEZ MUNITOS (LOCAL) EL SR. MINISTRO SE RETIRA VIA TERRESTRE DE ESTE AEROPUERTO SIN NOVEDAD.</t>
  </si>
  <si>
    <t>PLATAFORMA - POSICION Nº 05</t>
  </si>
  <si>
    <t>SIENDO LAS 18:15 HS SE DA CUMPLIMENTO A LA ORDEN DE SERVICIO Nº 297/10 DE ESTA UOSP REFERENTE A LA ORDEN DE SERVICIO Nº 490/10 DE LA URSA I DEL ESTE, AL CONTROL DE SEGURIDAD AEROPORTUARIA PREVENTIVA CON MOTIVO DE LA CUMBRE XXXIX DE JEFES Y JEFAS DE ESTADO DEL MERCOSUR, PARTIENDO DE ESTA AEROSTACIÓN EN EL VUELO DE LA EMPRESA AEROCOMERCIAL PLUNA Nº PU 178, POSICIÓN Nº 5, AERONAVE MATRICULA CXCRA, A LAS 20:05 HORAS CON DESTINO A LA CIUDAD DE MONTEVIDEO, URUGUAY, EL SEÑOR COORDINADOR NACIONAL DE LAS ROUD, WALTER CANCELLA. DICHO CONTROL ES SUPERVISADO POR EL INSPECTOR FORNES GUILLERMO.</t>
  </si>
  <si>
    <t>PU 178</t>
  </si>
  <si>
    <t>4728/10</t>
  </si>
  <si>
    <t>INFORMO POR ESTE MEDIO QUE SIENDO LAS VEINTIDOS HORAS CINCUENTA MINUTOS FINALIZO EL CONTROL DEL VUELO 1140N CON DESTINO A LA CIUDAD DE ROMA, ARROJANDO COMO RESULTADO NEGATIVO EN CUANTO A TRANSPORTE DE ELEMENTOS PROHIBIDOS. ASIMISMO INFORMO QUE SE HIZO PRESENTE EN EL PREEMBARQUE LA PASAJERA DE NACIONALIDAD ARGENTINA CON PASAPORTE ARGENTINO N° 11632697N, A QUIEN SE LE EFECTUO CONTROL EXHAUSTIVO RUTINARIO, DE ACUERDO A LO ORDENADO POR EL JUZGADO INTERVINIENTE, ARROJANDO RESULTADO NEGATIVO EN CUANTO A LA BUSQUEDA DE ELEMENTOS PROHIBIDOS. ES TODO CONSTE.</t>
  </si>
  <si>
    <t>SIENDO LA 01:30 HORA LOCAL ARRIBA AERONAVE MATRICULA LV-BFO DE LA EMPRESA LAN ARGENTINA PROCEDENTE DE AEROPUERTO JORGE NEWBERY EN CUYAS BODEGAS 11,12,13,31,32 Y 42 SE DESPACHAN 234 CAJAS CON UN PESO BRUTO DE 5.702 KILOGRAMOS DE METAL - MTD- CON DESTINO A AEROPUERTO JORGE NEWBERY PERTENECIENTES A LA EMPRESA MINERA TRITON ARGENTINA S.A. EL VUELO DESPEGA A LAS 03:00 HORAS SIN NOVEDAD. SE DIO CUMPLIMIENTO A ORDEN DE SERVICIO NRO 0068/10</t>
  </si>
  <si>
    <t>AERPUERTO GENERAL MOSCONI - COMODORO RIVADAVIA</t>
  </si>
  <si>
    <t>SIENDO LAS 23:10 HORA LOCAL DEL DIA 04 DE AGOSTO DEL CORRIENTE ARRIBA AERONAVE MATRICULA LV-BOH DE LA EMPRESA AUSTRAL LINEAS AEREAS PROCEDENTE DE AEROPUERTO JORGE NEWBERY EN CUYAS BODEGAS 4 Y 5 SE DESPACHAN 47 BULTOS CON UN PESO BRUTO DE 1.722 KILOGRAMOS DE METAL - MTD- DE LA EMPRESA CERRO VANGUARDIA CON DESTINO A AEROPUERTO JORGE NEWBERY. EL VUELO DESPEGA A LAS 06:10 HORA LOCAL SIN NOVEDAD. SE DIO CUMPLIMIENTO A ORDEN DE SERVICIO NRO 0068/10.</t>
  </si>
  <si>
    <t>ASIENTO 28B</t>
  </si>
  <si>
    <t>SIENDO LA HORA Y FECHA ANTES MENCIONADA SE HACE PRESENTE EN LA GUARDIA DE PREVENCION LA DENUNCIANTE INFORMANDO QUE MIENTRAS CUMPLIA SUS FUNCIONES LABORALES COMO JEFA DE CABINA DEL VUELO DE MENCION OBSERVA A UN PASAJERO SUCCIONARLE LOS PECHOS A UNA PASAJERA, A SU VEZ LA PASAJERA LE MANOSEABA AL MISMO LA ZONA INGUINAL, ANTE ESTA SITUACION LA DENUNCIANTE REPRENDE A LOS MISMOS EN CUESTION, LOS SUJETOS VUELVEN A ACTUAR DE LA MANERA ANTES MENCIONADA, EN DOS OPORTUNIDADES MAS. SEGUIDAMENTE Y AL MOMENTO DEL ATERRIZAJE SE PROHIBE EL USO DE ELEMENTOS ELECTRONICOS MOMENTO EN EL CUAL EL PASAJERO PROCEDE A ENCENDER SU COMPUTADORA PORTATIL COLOCANDO MUSICA A ALTO VOLUMEN. MOTIVO POR EL CUAL EL PERSONAL DE CABINA SOLICITA LA PRESENCIA POLICIAL AL ARRIBO DEL VUELO. QUE UNA VEZ ARRIBADA LA AERONAVE SE TRASLADA AL MASCULINO EN CUESTION Y AL PERSONAL DE LA TRIPULACION AL TURNO DE PREVENCION. ANOTICIADO EL JUZGADO INTERVINIENTE DISPONE SE REALICE CONSTATACION DE DOMICILIO, REINCIDENCIA, E INTERPOL DEL PASAJERO IMPUTADO, Y PRECARIO MEDICO. CON EL RESULTADO DE REINCIDENCIA Y DE NO MEDIAR IMPEDIMENTO LEGAL ALGUNO SE PROCEDIO A LA SOLTURA DEL IMPUTADO RETIRANDOSE DE ESTA DEPENDENCIA POR SUS PROPIOS MEDIOS.</t>
  </si>
  <si>
    <t>BALLUE CAROLINA</t>
  </si>
  <si>
    <t>DESDE TERMINAL B AEROPUERTO EZEIZA HASTA AEROPUERTO JORGE NEWBERY</t>
  </si>
  <si>
    <t>AV. RAFAEL OBLIGADO, ALTURA SECTOR B DEL AEROPUERTO JORGE NEWBERY</t>
  </si>
  <si>
    <t>SIENDO APROXIMADAMENTE LAS 06.00 HORAS, EL DAMNIFICADO TOMA UN VEHICULO TAXIMETRO EN LA CALLE FRENTE A LA PÉRGOLA DE LA TERMINAL B DEL AEROPUERTO EZEIZA, DESTACANDO QUE POR ENCONTRARSE TODOS LOS TAXIS DE LA FILA OCUPADOS EL MISMO OBSERVA UNO CIRCULANDO SIN PASAJERO, Y LE INDICA EL CHOFER QUE ESTABA DISPONIBLE, POR LO QUE EL DAMNIFICADO ASCIENDE Y LE MANIFIESTA QUE SE DIRIGÍA A ESTE AEROPUERTO, EN EL VIAJE EL PASAJERO SE PERCATA QUE EL CHOFER NO HABÍA ENCENDIDO EL RELOJ TAXÍMETRO, POR LO QUE LE CONSULTA AL CHOFER Y EL MISMO LE INFORMA QUE LE COBRARÍA SEGÚN EL KILOMETRAJE. UNA VEZ ARRIBADO AL DESTINO EN MOMENTOS EN QUE EL CHOFER MANIFIESTA COBRARLE LA TARIFA QUE ASCENDIA A 298 PESOS, EL DAMNIFICADO LE EXIGE AL MISMO QUE LE ESPECIFIQUE EN EL COMPROBANTE SUS DATOS FILIATORIOS Y LOS DEL VEHICULO, Y EN ESE MOMENTO EL CHOFER LE MUESTRA UN ARMA DE FUEGO Y LE EXIGE QUE LE DE TODO EL DINERO, POR LO QUE EL PASAJERO EXTRAJO SU BILLETERA ENTREGÁNDOLE EL MISMO, Y POSTERIORMENTE SE BAJA DEL VEHICULO INGRESANDO AL AEROPUERTO. EN PU Nº 4751 SE INFORMA QUE EL DAMNIFICADO REALIZO UNA AMPLACION DE SU DENUNCIA APORTANDO OTROS DATOS COMO SER. QUE LOS HORARIOS DEL HECHO APORTADOS PUEDEN VARIAR EN 50 MINUTOS A UNA HORA. QUE EL TAXI UTILIZADO ERA DE CAPITAL FEDERAL, SEDAN 4 PUERTAS, CON GPS EN SU INTERIOR, Y UTILIZABA GNC. SU CONDUCTOR VESTIA PULOVER COLOR NEGRO.</t>
  </si>
  <si>
    <t>POR MEDIO DE LA PRESENTE SE RECTIFICA EL PRESENTE PARTE EN EL DONDE DICE NUMERO DE CAUSA INTERNA 397-E/10 DEBE DECIR 399-E/10. PTO.-</t>
  </si>
  <si>
    <t>EN EL DIA DE LA FECHA SE PRESENTA EL DENUNCIANTE EN LA OFICINA DE GUARDIA DE ESTA U.O.S.P CBA A LOS EFECTOS DE PONER EN CONOCIMIENTO DEL EXTRAVIO DE SU PERMISO PERSONAL PERMANENTE SNA Nº 321090 CON LOS SECTORES ASIGNDOS 1 Y 4 , CON VENCIMIENTO EL DIA 07-10-2010 NO PUDIENDO PRECISAR EL LUGAR DEL EXTRAVIO.</t>
  </si>
  <si>
    <t>4730/10</t>
  </si>
  <si>
    <t>SIENDO LAS TRECE HORAS CON TREINTA MINUTOS (LOCAL) DESPEGA SIN NOVEDAD AERONAVE MATRICULA GN-810, CON DESTINO AEROPUERTO DE LA CIUDAD DE LA PLATA, TRASLADANDO AL SEÑOR MINISTRO DE JUSTICIA, SEGURIDAD Y DERECHOS HUMANOS DE LA NACION DR. JULIO ALAK Y COMITIVA, DANDO ASI FINALIZACION A ORDEN DE SERVICIO 036/10 DE ESTA UOSP, DE FECHA 04 DE SEPTIEMBRE DE 2010.</t>
  </si>
  <si>
    <t>PUESTOS DE CONTROL 1 Y 2</t>
  </si>
  <si>
    <t>EN EL DIA DE LA FECHA SE DIO CUMPLIMIENTO A O.S. 032/10 CON MOTIVO DEL ARRIBO Y SALIDA EN ESTE AEROPUERTO DE LA SEÑORA MINISTRA DE INDUSTRIA LICENCIADA DEBORA GIORGI, NO SURGIENDO NOVEDADES DURANTE LA EJECUCION DE LA MISMA</t>
  </si>
  <si>
    <t>MASTORI, SILVIA</t>
  </si>
  <si>
    <t>A 3000 MTS DE LA AEROSTACION Y 200 MTS DE LA RUTA NACIONAL Nº 11.</t>
  </si>
  <si>
    <t>CONFITERIA UBICADA EN EL INGRESO AL AEROPUERTO.</t>
  </si>
  <si>
    <t>EN CIRCUNSTANCIA DE ESTAR APOSTADO EN EL PUESTO SABRE UBICADO A 300 MTS DE LA RUTA NACIONAL Nº 11 UN EFECTIVO POLICIAL ESCUCHA LA ALARMA DE LA CONFITERIA UBICADA APROXIMADAMENTE A 100 MTS DEL PUESTO, AL ACERCARSE VISUALIZA A UNA PERSONA DE SEXO MASCULINO QUE AL NOTAR LA PRESENCIA POLICIAL INTENTA DARSE A LA FUGA, PROCEDE A LA DEMORA DE LUIS ALBERTO GOMEZ DNI Nº 37.217.473, QUIEN MANIFIESTA QUE TRABAJA ALLÍ Y AL INTENTAR VER A TRAVEZ DEL VIDRIO SE APOYO PRODUCIENDOSE LA ROTURA DEL MISMO. SE PROCEDIO A LA DEMORA Y POSTERIOR TRASLADO A LA GUARDIA DE PREVENCION. SE CITA AL PROPIETARIO MONTEMERLO OSMAR JOSÉ DNI 10.328.310, QUIEN MANIFIESTA QUE ESTA PERSONA TRABAJABA EN SU LOCAL, QUE NO VA A RADICAR DENUNCIA Y QUE ARREGLARIA EL COSTO DE LOS DAÑOS CON LA MADRE DEL MENOR. SE DA INTERVENCIÓN A LA FISCALÍA Y JUZGADO DEL MENOR Nº 4, EN TURNO, A CARGO DE LA DRA. MARISA LHEMANN, QUIENES DISPONEN QUE SE REALICEN LAS DILIGENCIAS URGENTES Y SE ENTREGUE AL MENOR A LA MADRE, CEFERINA CHAMORRO DNI Nº 18.145.831, NOTIFICÁNDOLA DEL INICIO DE LA CAUSA JUDICIAL. SE CITA A LA MADRE QUIEN SE PRESENTA EN ESTA UNIDAD. SE REALIZA CONTROL MEDICO EN LA DIVISION SANIDAD DE LA POLICIA DEL CHACO EN PRESENCIA DE LA MADRE. SE DEJA CONSTANCIA DEL ESTRICTO CUMPLIMIENTO DE LA ORDEN DE SERVICIO Nº 123/08 DE LA URSA IV DEL LITORAL.</t>
  </si>
  <si>
    <t>CONFITEIRA PUERTO MADERO</t>
  </si>
  <si>
    <t>4737/10</t>
  </si>
  <si>
    <t>TERMINAL B AEROPUERTO EZEIZA</t>
  </si>
  <si>
    <t>SIENDO LAS 15:00 HS DEL DIA DE LA FECHA SE HACE PRESENTE EN ESTA GUARDIA EL SR. DIAZ KLETT ALFONSO MATIAS, COMUNICANDO QUE DESEABA AMPLIAR LOS DATOS APORTADOS EN LA DENUNCIA POR LA CUAL SE INICIO LA PREVENCIÓN SUMARIA 303-A/10, YA QUE AL MOMENTO DE REALIZARLA SE ENCONTRABA BAJO UN GRAN ESTADO DE NERVIOSISMO. SEGUIDAMENTE EL DAMNIFICADO MANIFESTÓ QUE LOS HORARIOS QUE HABÍA APORTADO NO ERAN PRECISOS Y PODRÍAN VARIAR DE CINCUENTA MINUTOS A UNA HORA APROXIMADAMENTE. ASIMISMO EXPUSO CARACTERÍSTICAS DEL VEHICULO TAXÍMETRO QUE ANTES NO LOGRABA RECORDAR Y ESPECIFICO QUE EL CHOFER DEL TAXI VESTÍA UN PULÓVER COLOR OSCURO AL MOMENTO DEL HECHO. POR LO CUAL SE REALIZO LA CORRESPONDIENTE AMPLIACIÓN DE DENUNCIA.</t>
  </si>
  <si>
    <t>4676/10</t>
  </si>
  <si>
    <t>IPP 07-01-005331-10</t>
  </si>
  <si>
    <t>EL LAZO 1559 ISIDRO CASANOVA, LA MATANZA PROVINCIA DE BUENOS AIRES</t>
  </si>
  <si>
    <t>LA MATANZA</t>
  </si>
  <si>
    <t>REFERENTE A LA ORDEN DE SERVICIO NRO. 712/10, EN EL DIA DE LA FECHA SE PROCEDE A DAR CUMPLIMIENTO A LA ORDEN DE ALLANAMIENTO Y SECUESTRO, DEBIENDO CERTIFICAR PREVIAMENTE SI EL SEÑOR MARCELO ALEJANDRO MAMANI, HABITA EL DOMICILIO UBICADO EN LA CALLE EL LAZO NRO. 1559, DE LA LOCALIDAD DE ISIDRO CASANOVA, LA MATANZA. DICHA ORDEN ES EMANADA POR EL JUZGADO DE GARANTÍA NRO. 07 A CARGO DE S.SA. DR. HRYB HORACIO A SOLICITUD DE LA UNIDAD FUNCIONAL DE INSTRUCCIÓN DE REFERENCIA. UNA VEZ EN EL LUGAR Y AL CERTIFICAR QUE NO HABITA EL SEÑOR MAMANI, LA UNIDAD DE INSTRUCCIÓN ORDENO, DEJAR SIN EFECTO LA ORDEN DE ALLANAMIENTO Y QUE SE EFECTÚE UN ACTA DEJANDO CONSTANCIA DE LO OCURRIDO, COMO ASÍ TAMBIÉN SE REALICE UNA DECLARACIÓN TESTIMONIAL AL HABITANTE DE LA FINCA SEÑOR FLORES RAMON OMAR D.N.I. NRO. 22.126.606.</t>
  </si>
  <si>
    <t>WORLD CAR S.A. EMPRESA DE REMIS</t>
  </si>
  <si>
    <t>DR JORGE DILORENZO</t>
  </si>
  <si>
    <t>ART.135 LEY 24241</t>
  </si>
  <si>
    <t>INFORMO QUE EN EL CONTROL DE DOCUMENTACIÓN DE PASAJEROS DEL VUELO NRO. 2735 DE LA EMPRESA AUSTRAL LÍNEAS AÉREAS SE DETECTA A TRAVÉS DEL SISTEMA DE INTERPOL AL CIUDADANO IDENTIFICADO COMO JUAN PABLO VASTA, QUIEN ACREDITA IDENTIDAD CON D.N.I. Nº 18.445.554, DE NACIONALIDAD ARGENTINO, QUIEN POSEE PEDIDO DE CAPTURA - VIGENTE, SOLICITADO POR EL JUZGADO FEDERAL Nº 3 - SECRETARIA Nº 8 DE LA CIUDAD DE LA PLATA, CAUSA CARATULADA "ART. 135 LEY 24241" Nº DE CAUSA 30933, EXPTE. Nº 5849012-97, DE FECHA 08/01/1998. ACTO SEGUIDO SIENDO LAS 20:20 HS. SE ESTABLECE COMUNICACIÓN TELEFÓNICA CON EL ABONADO Nº 0221-4721596, PERTENECIENTE AL DR. GUSTAVO DURÓ, A/C LA SECRETARIA Nº 7 DEL JUZGADO FEDERAL Nº 3 DE LA CIUDAD DE LA PLATA, QUIEN ENTERADO DE LOS HECHOS, ORDENA SE INFORME AL CAUSANTE, DE QUE LA MEDIDA ESTÁ VIGENTE Y QUE SE PROCEDA A NOTIFICAR AL SR. JUAN PABLO VASTA, A COMPARECER AL JUZGADO FEDERAL Nº 3 SECRETARIA Nº 8 DE LA CIUDAD DE LA PLATA, EL DÍA 09 DEL CORRIENTE MES Y AÑO, QUE SE REALICE CONSTATACIÓN DE DOMICILIO CON PERSONAL DE LA POLICÍA DE SEGURIDAD AEROPORTUARIA DE LA UNIDAD AEROPARQUE JORGE NEWBERY A SU ARRIBO Y QUE EL MISMO PROSIGA SU VIAJE.</t>
  </si>
  <si>
    <t>INF. LEY 24241</t>
  </si>
  <si>
    <t>INFORMO QUE EN EL CONTROL DE DOCUMENTACIÓN DE PASAJEROS DEL VUELO NRO. 2735 DE LA EMPRESA AUSTRAL LÍNEAS AÉREAS SE DETECTA A TRAVÉS DEL SISTEMA DE INTERPOL AL CIUDADANO IDENTIFICADO COMO JUAN PABLO VASTA, QUIEN ACREDITA IDENTIDAD CON D.N.I. Nº 18.445.554, DE NACIONALIDAD ARGENTINO, QUIEN POSEE PEDIDO DE CAPTURA - VIGENTE, SOLICITADO POR EL JUZGADO PENAL ECONÓMICO Nº 3 - SECRETARIA Nº 5, CAUSA CARATULADA "INF. LEY 24241" Nº DE CAUSA 0010367, EXPTE. Nº 584-21239-95, DE FECHA 27/11/1995. ACTO SEGUIDO SIENDO LAS 20:20 HS. SE ESTABLECE COMUNICACIÓN TELEFÓNICA CON EL ABONADO Nº 0221-4721596, PERTENECIENTE AL DR. GUSTAVO DURÓ, A/C LA SECRETARIA Nº 7 DEL JUZGADO FEDERAL Nº 3 DE LA CIUDAD DE LA PLATA, POR NO PODER ESTABLECER COMUNICACIÓN TELEFÓNICA CON EL JUZGADO SOLICITANTE DE LA MEDIDA QUIEN ENTERADO DE LOS HECHOS Y POR TRATARSE DEL MISMO TIPO DE CAUSA, ORDENA SE INFORME AL CAUSANTE, DE QUE LA MEDIDA ESTÁ VIGENTE Y QUE SE PROCEDA A NOTIFICAR AL SR. JUAN PABLO VASTA, A COMPARECER AL JUZGADO PENAL ECONÓMICO Nº 3 SECRETARIA Nº 5, EL DÍA 10 DEL CORRIENTE MES Y AÑO, QUE SE REALICE CONSTATACIÓN DE DOMICILIO CON PERSONAL DE LA POLICÍA DE SEGURIDAD AEROPORTUARIA DE LA UNIDAD AEROPARQUE JORGE NEWBERY A SU ARRIBO AL MISMO Y QUE EL MISMO PROSIGA SU VIAJE.</t>
  </si>
  <si>
    <t>4592/10</t>
  </si>
  <si>
    <t>SIENDO LAS 18:30 HS DEL DIA 05 DE AGOSTO DEL CORRIENTE, EN MOMENTOS EN QUE EL OFICIAL AYUDANTE HOZ DEVILA ALEJANDRO SE ENCONTRABA REALIZANDO UN CONTROL DE RUTINA DE VEHICULOS TAXÍMETROS EN LA VEREDA DEL SECTOR DE ARRIBOS DE A2 DE ESTE AEROPUERTO, PROCEDE A IDENTIFICAR AL CHOFER DEL VEHICULO TAXÍMETRO MARCA RENAULT MODELO KANGOO, DOMINIO IPD 211 LICENCIA EXPEDIDA POR GIBA, Nº 15564 VEHICULO EL CUAL SE ENCONTRABA AFECTADO EN PREVENCION SUMARIA Nº 291-A/10, EN LA QUE INTERVIENE LA FISCALIA NACIONAL EN LO CRIMINAL DE INSTRUCCIÓN Nº 45 A CARGO DE LA DRA. VIVIANA BEATRIZ FEIN, DENUNCIA LABRADA EN ESTA DEPENDENCIA EL DIA 30 DE JULIO DEL CORRIENTE AÑO, POR EL DELITO CARATULADO "DELITO DE ACCION PUBLICA" MOTIVO POR EL CUAL PROCEDE A ENTABLAR COMUNICACION VIA FRECUENCIA RADIAL CON EL ENCARGADO DE TURNO OFICIAL MAYOR DANIEL AGUADO A LOS EFECTOS DE PONER EN CONOCIMIENTOS LA NOVEDAD ACAECIDA .MINUTOS DESPUÉS SE HIZO PRESENTE JUNTO AL JEFE DE TURNO ACOMPAÑADO DE DOS TESTIGOS, POSTERIORMENTE SE INVITO AL CHOFER DEL TAXI A QUE SE DIRIJA A ESTA GUARDIA DE PREVENCION SIENDO LAS 18:45 HS SE PROCEDE A ENTABLAR COMUNICACIÓN CON EL JUZGADO A LOS EFECTOS DE INFORMARLE LA NOVEDAD LICITADA, ORDENANDO EL MAGISTRADO DETENER EN CARÁCTER DE COMUNICADO AL CHOFER DEL DOMINIO IPD 211, PRECARIO MEDICO DE ENTRADA, CONSTATACION DE DOMICILIO, ART. 86, TRES JUEGOS DE FICHAS DACTILOSCOPICAS PARA ANEXAR A LA CAUSA, ART. 353 DE REINCIDENCIA, ART. 26 Y 41, PLANILLA PRONTUARIAL, IDGE INTERPOL, CON RESULTADO DE REINCIDENCIA ENTABLAR COMUNICACIÓN CON HORARIO 09:00 DEL DIA 06 DEL CORRIENTE MES Y AÑO.</t>
  </si>
  <si>
    <t>DR. ROBERTO RIQUELME</t>
  </si>
  <si>
    <t>HUTO SIMPLE</t>
  </si>
  <si>
    <t>CABECERA NORTE</t>
  </si>
  <si>
    <t>EL OF. FARIAS CLAUDIO, ENCARGADO DEL PUESTO PAMPA, SE ENCONTRABA REALIZANDO CONTROLES PREVENTIVOS DE EGRESO E INGRESO DE VEHICULOS Y PERSONAS, POR LO QUE PROCEDE A REALIZAR EL CONTROL DE UN VEHICULO MODELO SPRINTER CON DOMINIO FVR 532, PERTENECIENTE A LA EMPRESA DE TRANSPORTE FERNANDEZ S.A, TRIPULADO POR DOS PERSONAS DE SEXO MASCULINO, LAS CUALES SE ENCONTRABAN EGRESANDO, CUANDO DETECTA DEBAJO DEL ASIENTO DEL ACOMPAÑANTE DEL CONDUCTOR BOTELLAS DE VINO Y GASEOSAS CON EL LOGOTIPO COMERCIAL DE AEROLÍNEAS ARGENTINAS Y UN ROTULO CON LA LEYENDA "PARA SER CONSUMIDO A BORDO", UNA JARRA TÉRMICA, ALMOHADAS Y MANTAS CON EL MISMO LOGO, POR LO QUE EL OF. FARIAS LES CONSULTA POR TALES ELEMENTOS, NO PUDIENDO JUSTIFICAR LA PRESENCIA DE LOS MISMOS. INMEDIATAMENTE INFORMA LA NOVEDAD AL JEFE DE TURNO Y SEGUIDAMENTE EN PRESENCIA DE UN TESTIGO HÁBIL, PROCEDE A LA INSPECCIÓN DEL VEHICULO EN CUESTIÓN, ENCONTRANDO MAS ELEMENTOS DE CARACTERÍSTICAS SIMILARES A LAS ANTES MENCIONADAS, LOS CUALES SON UTILIZADOS DENTRO DE LAS AERONAVES. SIENDO LAS 22:10 HORAS, SE REALIZA COMUNICACIÓN CON LA JUDICATURA ACTUANTE QUIEN DISPONE: DILIGENCIAS DE RIGOR, COMO ASÍ TAMBIÉN FOTO E INFORME DEL VEHICULO EN EL CUAL SE TRASLADABAN LOS CAUSANTES, SECUESTRO DE LOS ELEMENTOS HALLADOS Y EN CASO DE QUE LOS IMPUTADOS NO PRESENTEN IMPEDIMENTOS LEGALES SE PROCEDA A LA SOLTURA DE LOS MISMOS. SIENDO LAS 10:05 HORAS DEL DIA 06/08/10 CON RESULTADO DE REINCIDENCIA E IDGE NEGATIVOS SE PROCEDE A LA LIBERACIÓN DE AMBOS CAUSANTES SIN NOVEDAD, QUINES SE RETIRAN CON SUS EFECTOS PERSONALES QUE ESTABAN EN RESGUARDO DE ESTA UNIDAD.</t>
  </si>
  <si>
    <t>SIENDO LAS 07:45 HORAS ARRIBA AERONAVE MATRICULA LV BTM DE LA EMPRESA LAN ARGENTINA PROCEDENTE DE AEROPUERTO JORGE NEWBERY EN CUYAS BODEGAS 12 Y 13 SE DESPACHAN 43 CAJAS CON UN PESO BRUTO DE 1.033 KILOGRAMOS DE METAL -MTD- DE LA EMPRESA MINERA CERRO VANGUARDIA CON DESTINO A AEROPUERTO JORGE NEWBERY. EL VUELO DESPEGA A LAS 08:45 SIN NOVEDAD. SE DIO CUMPLIMIENTO A ORDEN DE SERVICIO NRO0069/10.</t>
  </si>
  <si>
    <t>NORMA PARRELLO</t>
  </si>
  <si>
    <t>EN EL DÍA DE LA FECHA AL ARRIBAR A ESTE AEROPUERTO INTERNACIONAL CÓRDOBA EN EL VUELO DE REFERENCIA Y AL RETIRAR SU VALIJA DESPACHADA POR BODEGA, COLOR NEGRA DE 60 CM POR 40 CM X 25 CM APROXIMADAMENTE, MARCA TROPEA, DE LA CINTA TRANSPORTADORA EN LA SALA DE ARRIBOS DE VUELOS DE CABOTAJE , PROCEDIÓ A SU APERTURA A LOS FINES DE CONTROLAR SUS PERTENENCIAS, Y PUDO PERCATARSE DEL FALTANTE DE UNA CÁMARA DIGITAL MARCA CANON, CON LA PARTE FRONTAL PLATEADA Y SUS DEMÁS PARTES EN COLOR NEGRO, DE DIEZ MEGA PIXELES, CON BATERÍA Y TARJETA DE MEMORIA DE 2 GB INCORPORADA, LA CUAL SE ENCONTRABA DENTRO DE UN ESTUCHE DE TELA, COLOR NEGRO.</t>
  </si>
  <si>
    <t>POSICION Nº 2</t>
  </si>
  <si>
    <t>SIENDO LAS 10:35 HORAS ARRIBA AERONAVE MATRICULA LV-BOA DE LA EMPRESA AUSTRAL LINEAS AEREA PROCEDENTE DEL AEROPUERTO JORGE NEWBERY EN CUYAS BODEGAS 04 Y 06 SE DESPACHA 25 CAJAS CON UN PESO DE 1000 KILOGRAMOS DE METAL -MTD- DE LA EMPRESA MINERA CERRO VANGUARDIA CON DESTINO AL AEROPUERTO JORGE NEWBERY . EL VUELO DESPEGA A LAS 12:10 HORAS LOCAL SIN NOVEDAD, DONDE SE DA CUMPLIMIENTO A LA ORDEN DE SERVICIO NRO 0069/10.</t>
  </si>
  <si>
    <t>PERSONAL POLICIAL QUE EFECTUABA UN CONTROL PREVENTIVO EN EL SECTOR DE MENCION A LOS PASAJEROS DEL VUELO CITADO, OBSERVÓ A UNA PERSONA QUE DENOTABA CON SU ACCIONAR UNA ACTITUD NERVIOSA POR LO QUE EL PERSONAL POLICIAL INTERVINIENTE, LE EFECTUO PREGUNTAS DE RIGOR RESPECTO A SU ARRIBO A LA REPUBLICA ARGENTINA, RESPONDIENDO EL PASAJERO DE FORMA TITUBEANTE Y CON INCONGRUENCIAS, POR LO CUAL SE PROCEDIO A IDENTIFICARLO, MOMENTO EN EL CUAL EL PASAJERO EN CUESTION MANIFESTO ESPONTANEAMENTE ESTAR INGESTADO. POR TAL MOTIVO, SE ENTABLA COMUNICACION CON LA JUDICATURA INTERVINIENTE QUIEN ORDENA SE TRASLADE AL CAUSANTE HACIA EL HOSPITAL ZONAL DE EZEIZA. UNA VEZ ALLI SE CONSTATO FEHACIENTEMENTE LA PRESENCIA DE CUERPOS EXTRAÑOS EN EL ORGANISMO DEL MASCULINO. SE ENTABLA NUEVAMENTE COMUNICACION TELEFONICA CON EL JUZGADO ACTUANTE, DISPONIENDO EL MISMO QUE SE PROCEDA A LA DETENCION DEL CAUSANTE EN CALIDAD DE INCOMUNICADO PROSIGUIENDOSE CON LAS ACTUACIONES DE RIGOR Y QUE UNA VEZ OBTENIDA EL ALTA DEL CAUSANTE, SE LO TRASLADE JUNTO A TODO LO ACTUADO A SEDE JUDICIAL. CABE DESTACAR QUE EN EL DIA DE LA FECHA, EL DETENIDO EFECTUO DEPOSICION Nº1, Nº2, Nº3, Nº4, Nº5, Nº6, Nº7 Y Nº8. SE INFORMA EN PU 4793 DEL DIA 07/08/2010 QUE SIENDO LAS 00.01 HS, EL CAUSANTE REALIZA LA DEPOSICION Nº9. SE INFORMA EN PU Nº 4799 QUE SIENDO LAS 13.20 HS DEL DIA 07/08/2010, EL DETENIDO EFECTUA DEPOSICION Nº 10 Y QUE SIENDO LAS 13.35 HS DEL DIA 08/07/2010 REALIZA LA DEPOSICION Nº 11. SE INFORMA EN PU Nº 4824 QUE LUEGO DE EVACUAR LA TOTALIDAD DE LAS CAPSULAS DE SU ORGANISMO, LE DAN EL ALTA MEDICA Y SE EFECTUO EL TRASLADO A ESTA GUARDIA DE PREVENCION, HASTA EL DIA 10/08/2010 QUE SE REMITIRA AL MISMO A SEDE JUDICIAL.</t>
  </si>
  <si>
    <t>TA023</t>
  </si>
  <si>
    <t>4759/10</t>
  </si>
  <si>
    <t>SIENDO LAS 10:15 HS DEL DIA 06 DE AGOSTO DEL CORRIENTE AÑO, SE PROCEDE A LA LIBERACION DEL SR. HECTOR OSVALDO ALMIRON, POR ASI HABERLO DISPUESTO LA JUDICATURA ACTUANTE AL NO MEDIAR IMPEDIMENTOS LEGALES VIGENTES. RETIRANDOSE DE ESTA UNIDAD SIN NOVEDAD.</t>
  </si>
  <si>
    <t>AMPLIANDO EL PR Nº: 3485 DE FECHA 08/06/2010 INFORMO QUE EN EL DIA DE LA FECHA SE RECEPCIONO OFICIO JUDICIAL Nº 1306/10, FECHADO 06 DE AGOSTO DEL CORRIENTE AÑO, MEDIANTE EL CUAL EL MAGISTRADO INTERVINIENTE EN LA CAUSA DE MARRAS, DISPUSO LA INTERVENCION TELEFONICA DEL ABONADO Nº: 02944-427395, POR EL PLAZO DE TREINTA (30) POR INTERMEDIO DE LA DIVISION OBSERVACIONES JUDICIALES DE NEUQUEN, CON EL FIN DE PROCEDER AL LA GRABACION DE LA TOTALIDAD DE LAS LLAMADAS ENTRANTES Y SALIENTES DE DICHO ABONADO, INDICANDO EL ORIGEN DE LAS MISMAS, QUEDANDO AUTORIZADA ESTA UOCN Y DC Y EL PERSONAL QUE AL EFECTO SE DESIGNE, A IMPONERSE DEL RESULTADO DE LAS MEDIDAS DISPUESTAS, DEBIENDOSE TRANSCRIBIR LAS COMUNICACIONES DE INTERES PARA LA INVESTIGACION E INFORMAR DE MANERA URGENTE A ESE TRIBUNAL CUALQUIER OTRA CIRSCUNTANCIA RELEVANTE PARA EL AVANCE DE LA PESQUISA.</t>
  </si>
  <si>
    <t>BONNIN, MANUEL</t>
  </si>
  <si>
    <t>AVERIGUACION PRESUNTA INFRACCION LEY 23737</t>
  </si>
  <si>
    <t>1974/10</t>
  </si>
  <si>
    <t>AMPLIANDO EL PR Nº 4024 DE FECHA 05/07/2010, INFORMO QUE EN EL DIA DE LA FECHA SE RECEPCIONO OFICIO JUDICIAL Nº 836/10, FECHADO EL 05 DE AGOSTO DEL CORRIENTE AÑO, MEDIANTE EL CUAL SE ORDENO A LA DIRECCION DE OBSERVACIONES JUDICIALES PARA QUE SE CONTINUE CON LA INTERSEPTACION DE LAS COMUNICACIONES DEL ABONADO TELEFONICO 011-39079643, POR EL TERMINO DE TREINTA (30) DIAS Y ELEVE - POR MEDIO DE LAS PRESTATARIAS DE SERVICIO TELEFONICO MOVIL EN CASO DE CORRESPONDER-LA SABANA DE MENSAJES DE TEXTOS SALIENTES Y ENTRANTES EN FORMA SEMANAL DURANTE EL LAPSO DE LA INTERVENCION, LOS CUALES DEBERAN SER ENTREGADOS A ESA FISCALIA FEDERAL EN LA CUAL SE HALLA DELEGADA LA INVESTIGACION. EN TAL SENTIDO SE REQUIERE SE PROCEDA A LA ESCUCHA Y TRANSCRIPCION DE LOS SOPORTES QUE RESULTEN DE INTERES PARA LA INVESTIGACION, LOS CUALES DEBERAN SER ELEVADOS OPORTUNAMENTE A LA FISCALIA FEDERAL DE RIO GALLEGOS.</t>
  </si>
  <si>
    <t>LEGAJO DE: ROSA CRUZ, VALERIO</t>
  </si>
  <si>
    <t>2317/10-ES-</t>
  </si>
  <si>
    <t>SE PRESENTA SARGENTO 1º DE GENDARMERIA NACIONAL VICTOR RAMON VILLALBA, CON EL CIUDADANO DE NACIONALIDAD BOLIVIANA SR.ROSA CRUZ VALERIO, SOBRE QUIEN RECAYERA LA DISPOSICION MIGRATORIA Nº 105456 DE DNM. A RESUELTO LA EXPULSION DEL TERRITORIO NACIONAL CON PROHIBICION DE REINGRESO AL PAIS, SE DA CUMPLIMIENTO A ORDEN DE SERVICIO Nº 163/10, CON LA INTERVENCION DE 02 EFECTIVOS DE LA UOESA DEL NORTE, AL MOMENTO DE LA PARTIDA, SIN NOVEDAD.</t>
  </si>
  <si>
    <t>EN CERCANIAS AL LOCAL DE COMIDAS RAPIDAS MC DONALDS</t>
  </si>
  <si>
    <t>HUARTE PABLO</t>
  </si>
  <si>
    <t>DEL VALLE CARABAJAL GRACIELA,NAZAR CRISTIAN JESUS Y OTROS S/PTA. INF. LEY 26.364</t>
  </si>
  <si>
    <t>MARTINEZ DE HOZ Y GUANAHAMI</t>
  </si>
  <si>
    <t>EN EL DIA DE LA FECHA PERSONAL DE ESTA UNIDAD CON ASIENTO EN LA CIUDAD DE MAR DEL PLATA PROCEDIO A LA DETENCION DEL NOMBRADO, PROFUGO DE LA JUSTICIA, SOBRE QUIEN PESABA ORDEN DE DETENCION, SIENDO TRASLADADO HACIA LA UNIDAD OPERACIONAL MAR DEL PLATA DE ESTA POLICIA, PARA LA REALIZACION DE LAS ACTUACIONES DE RIGOR, POSTERIORMENTE SERA TRASLADADO HASTA LA SEDE DE LA SUPERINTENDENCIA DE INVESTIGACIONES DEL TRAFICO DE DROGAS, DELEGACION MAR DEL PLATA DE LA POLICIA DE LA PROVINCIA DE BS. AS., DONDE QUEDARA DETENIDO HASTA EL DIA DE MAÑANA, CUANDO PERSONAL DE LA PSA LO TRASLADE A SEDE JUDICIAL.</t>
  </si>
  <si>
    <t>PSA S/DENUNCIA DE DESOBEDIENCIA</t>
  </si>
  <si>
    <t>BARRERA DE INGRESO Y EGRESO</t>
  </si>
  <si>
    <t>IFE</t>
  </si>
  <si>
    <t>SIENDO LA HORA INDICADA EL SR. COMISIONADO GENERAL FABIAN DROVANDI ES ANOTICIADO DE QUE EN LA UOSP EZEIZA SE ENCONTRABA EN EJECUCION UN OPERATIVO DE PREVENCION DEBIDO A QUE EN EL PUNTO DE INSPECCION Y REGISTRO DENOMINADO PREEMBARQUE 1/16, PERSONAL POLICIAL QUE SE ENCONTRABA REALIZANDO EL CONTROL DE SEGURIDAD SOBRE LAS PERSONAS Y EQUIPAJES DE MANO DEL VUELO IB 6846 DE LA EMPRESA IBERIA, MOMENTOS QUE UNA PERSONA DEPOSITA SU EQUIPAJE DE MANO EN LA CINTA TRANSPORTADORA DEL EQUIPO DE RX, EL OPERADOR DEL MISMO ADVIERTE EN LAS IMAGENES DEL MONITOR DE DICHO EQUIPO QUE EL CONTENIDO DE ESE EQUIPAJE PODRIA TRATARSE DE UN ARTEFACTO EXPLOSIVO IMPROVOSADO. ATENTO A LOS HECHOS, EL SR. DROVANDI SE DIRIGE EN UN VEHICULO OFICIAL DOMINIO DWQ 064 EN COMPAÑIA DEL SR. JEFE DEL DEPARTAMENTO DE OPERACIONES POLICIALES AEROPORTUARIAS DEL CEAC, COMISIONADO MAYOR ALBERTO AVENDAÑO, Y EL CONDUCTOR DEL VEHICULO INSPECTOR WALTER RODRIGUEZ, EN MOMENTOS DE TOMAR LA CALLE QUE CONDUCE AL PUESTO DE INGRESO AL IFE EL SR. DROVANDI OBSERVA POR EL ESPEJO RETROVISOR QUE DETRAS VENIA OTRO MOVIL OFICIAL NO IDENTIFICABLE EN EL CUAL SE TRASLADABA EL SR. DIRECTOR GENERAL DE SEGURIDAD COMPLEJA SR. JOSE ALBERTO JOFRE, VEHICULO QUE ERA CONDUCIDO EN LA OPORTUNIDAD POR EL OFICIAL MATIAS AVESANI QUIEN TAMBIEN SE DIRIGIA HACIA LA UOSP DEBIDO AL HECHO DE MENCION. AL ARRIBAR A LA BARRERA DEL PUESTO DE GUARDIA DE INGRESO AL IFE PERTENECIENTE A LA FUERZA AEREA ARGENTINA, SE OBSERVA AL PERSONAL ALLI APOSTADO DENTRO DEL PUESTO Y NO ADVIERTE LA PRESENCIA DE LOS VEHICULOS, POR LO CUAL EL OFICIAL RODRIGUEZ HACE SONAR SU BOCINA Y SUENA ADEMAS LA SIRENA DEL VEHICULO DEL SR. DIRECTOR GENERAL QUE SE ENCONTRABA DETRAS, ANTE ESTO SE OBSERVA QUE EL PERSONAL APOSTADO EN DICHO LUGAR SE ASOMA A LA PUERTA DEL PUESTO HACIENDO SEÑAS CON LA MANO ABIERTA Y SU BRAZO LEVANTADO, EN SEÑAL DE QUE ESPEREN, MIENTRAS QUE SE OBSERVA QUE CON LA OTRA MANO SOSTENIA EL AURICULAR DE UN TELEFONO, POR EL CUAL APARENTEMENTE ESTABA HABLANDO. ANTE ESTE CUADRO Y DEBIDO A LA URGENCIA DE LA SITUACION, EL SR, DROVANDI DESCIENDE DE SU VEHICULO, PROCEDIENDO A LEVANTAR LA BARRERA PARA PERMITIR LA SALIDA DE LOS MOVILES Y DIRIGIRSE HACIA ESTE MEDIO. AL SALIR HACIA ESTE MEDIO EL SR. DROVANDI RECIBE COMUNICACION VIA NEXTEL DEL SR. DIRECTOR GENERAL DE SEGURIDAD COMPLEJA, QUIEN IMPARTE DIRECTIVA PUNTUAL DE PONER EN CONOCIMIENTO AL JUZGADO INTERVINIETE DE LOS HECHOS ACONTECIDOS.</t>
  </si>
  <si>
    <t>PREEMBARQUE 1/16.-</t>
  </si>
  <si>
    <t>MIENTRAS SE EFECTUABA EL CONTROL DE LOS EQUIPAJES DE MANO MEDIANTE EQUIPO DE RAYOS X, DEL VUELO DESCRITO ANTERIORMENTE, PERSONAL POLICIAL OBSERVA QUE EN EL INTERIOR DE UNO DE LOS EQUIPAJES ERAN HABIDOS COMPONENTES SIMILARES A LOS DE UN ARTEFACTO DEL TIPO EXPLOSIVO Y AL REFERIRLE PREGUNTAS AL DUEÑO DEL MISMO, ESTE REFIERE QUE NO HABÍA SIDO EL QUIEN HABÍA ORGANIZADO EL CONTENIDO. POR TAL MOTIVO, SE REALIZAN TAREAS PREVENTIVAS RESPECTO, SE DA AVISO AL PERSONAL DEL G.E.D.EX. Y A LOS SERVICIOS DE EMERGENCIAS. QUE UNA VEZ PERSONAL DE G.E.D.EX. SE HACE PRESENTE EN EL LUGAR REALIZAN LOS PROCEDIMIENTOS ESPECÍFICOS, ARROJANDO COMO RESULTADO QUE EL ELEMENTO EN CUESTIÓN NO REVISTE PELIGROSIDAD, SIENDO ESTE UNA ALMOHADILLA LUMBAR TÉRMICA, REANUDÁNDOSE EL NORMAL FUNCIONAMIENTO DEL AEROPUERTO. PTO.</t>
  </si>
  <si>
    <t>IB6846</t>
  </si>
  <si>
    <t>BUENOS AIRES -MTRO. PISTARINI</t>
  </si>
  <si>
    <t>MAQUINA DE RAYOS X DE LA EMPRESA JET PAQ</t>
  </si>
  <si>
    <t>SIENDO LAS 0410 HORAS APROXIMADAMENTE EL RESPONSABLE DEL CORREO ARGENTINO, INFORMA QUE EN MOMENTOS DE ESCANEARSE LA CARGA DEL VUELO DE MENCION, EL PERSONAL DE LA EMPRESA DE VIGILANCIA HAS S.A, A CARGO DE DICHO CONTROL CON EQUIPO HEIMANN RX, LE INFORMA QUE DETECTA DENTRO DE UNA BOLSA DE CORREO ARGENTINO CON PRECINTO Nº 159325, UN ELEMENTO METÁLICO, CON CARACTERÍSTICAS SIMILARES A UNA PISTOLA SEMI-AUTOMÁTICA. SIENDO LAS 08:30 HORAS SE COMISIONA AL OFICIAL PABLO LAHORE AL SECTOR ANTES MENCIONADOS QUIEN ANTE LA PRESENCIA DEL RESPONSABLE DEL CORREO ARGENTINO Y DE DOS TESTIGO HÁBILES PROCEDE AL ESCANEO NUEVAMENTE DE LA BOLSA EN CUESTIÓN, PUDIENDO DISTINGUIR DENTRO DE LA MISMA, DOS BOLSAS MAS PEQUEÑAS, DONDE EN UNA DE ELLAS SE OBSERVABA EL ELEMENTO METÁLICO MENCIONADO ANTERIORMENTE. SEGUIDAMENTE SE PROCEDE A LA APERTURA DE LA BOLSA MAS GRANDE CON PRECINTO Nº 159325, CON EL FIN DE CONSTATAR SI SE ENCONTRABA LA GUÍA DE TRANSPORTE/DECLARACIÓN JURADA, DOCUMENTACIÓN CORRESPONDIENTE PARA EL TRASLADO DEL POSIBLE ELEMENTO TRANSPORTADO, Y EN DICHO ACTO SE PUDO OBSERVAR UNA CAJA DE UNOS CUARENTA CENTÍMETROS DE LARGO, POR UNOS TREINTA CENTÍMETROS DE ANCHO, POR VEINTE CENTÍMETROS DE PROFUNDIDAD, LA CUAL SE ENCONTRABA DENTRO DE OTRA BOLSA MAS PEQUEÑA DE CORREO ARGENTINO CON PRECINTO Nº 159326, REMITENTE MARÍA ESTER ARIZA, CALLE 75 Nº 2243, C.P. 7630, NECOCHEA, TEL Nº: 432532 Y DESTINATARIO: MARÍA ESTEFANÍA RECART, C.P. 3370, PTO. IGUAZÚ, PCIA. DE MISIONES, SIN DAR CON NINGUNA DOCUMENTACIÓN DEL OBJETO POSIBLEMENTE TRANSPORTADO, LA CUAL ES REQUERIDA PARA EL TRANSPORTE AÉREO. SIENDO LAS 09:55 HORAS SE REALIZA COMUNICACIÓN TELEFÓNICA CON LA JUDICATURA ACTUANTE QUIEN DISPONE EL SECUESTRO COMPLETO DEL BOLSIN DE LA EMPRESA CORREO ARGENTINO Y REMITIR EL MISMO A LA SEDE JUDICIAL. SIENDO LAS 12:30 HORAS SE ENTREGA EL BOLSIN EN LA SEDE DE LA JUDICATURA, EN MANOS AL SECRETARIO DR. DEL VISO, QUIEN LO APERTURA Y LO MANTIENE EN CUSTODIA PARA QUE SE REALICEN LAS PERICIAS CORRESPONDIENTES EN LA DIVISION DE RASTROS DE LA POLICIA CIENTIFICA DE LA PFA.</t>
  </si>
  <si>
    <t>TERMINAL III - PLANTA ALTA</t>
  </si>
  <si>
    <t>DURANTE EL CONTROL DE PASAJEROS DEL VUELO DE MENCION, AL PASAR UN MASCULINO POR EL ARCO DETECTOR DE METALES, ACCIONA EL MISMO, POR LO CUAL SE PROCEDE AL CHEQUEO MANUAL DEL MISMO, SOLICITÁNDOLE QUE EXHIBIERA TODO LO QUE LLEVABA EN SUS BOLSILLOS SOBRE LA MESA QUE SE ENCUENTRA CONTIGUA A LA MÁQUINA DE RAYOS X. ES EN ESE MOMENTO RETIRA DEL BOLSILLO DELANTERO DERECHO DE SU PANTALÓN, UN NYLON COLOR BLANCO, EL CUAL CONTENÍA UNA SUSTANCIA VERDOSA, SE LE CONSULTA POR EL ORIGEN DE LA MISMA, CONTESTANDO QUE SE TRATABA DE SIC. "MARIHUANA". INMEDIATAMENTE SE HACEN PRESENTES DOS TESTIGOS HÁBILES, Y EL AUXILIAR EN CRIMINALÍSTICA REALIZA EL REACTIVO DE CAMPO ORIENTATIVO PARA MARIHUANA, ARROJANDO RESULTADO POSITIVO, SE PROCEDE A LA LECTURA DE DERECHOS Y SE DIRIGEN HACIA A LA GUARDIA DE PREVENCIÓN DONDE SE ENTABLA COMUNICACIÓN CON LA JUDICATURA ACTUANTE QUIEN DISPONE SE REALICE LAS DILIGENCIAS DE RIGOR Y DE NO TENER IMPEDIMENTO LEGAL ALGUNO SE PROCEDA A LA SOLTURA DEL CAUSANTE. SE INFORMA EN P.U Nº 4792 QUE EN HORAS 03.40 DEL DIA 07/08/2010, OBTENIDOS LOS RESULTADOS DE REINCIDENCIA, SIENDO ESTOS NEGATIVOS, SE PROCEDE A LA LIBERACION DEL CAUSANTE, QUIEN SE RETIRA DE ESTA DEPENDENCIA POR SUS PROPIOS MEDIOS CONFORME A LOS TRATOS RECIBIDOS.</t>
  </si>
  <si>
    <t>MIGUEL ANGEL AMBROSIO</t>
  </si>
  <si>
    <t>ISLA SOLEDAD N° 1244 EN LA CIUDAD DE USHUAIA TIERRA DEL FUEGO</t>
  </si>
  <si>
    <t>INFORMO QUE EN EL DIA DE LA FECHA EN VIRTUD DE LO SOLICITADO POR EL JEFE DE TURNO DE LA UNIDAD OPERACIONAL AEROPARQUE JORGE NEWBERY, OFICIAL JEFE ALEJANDRO SILVA MEDIANTE MEMORANDO 138/10 UOSP METROPOLITANA - DE FECHA 06/08/2010, EN EL MARCO DE LA CAUSA CARATULADA INTERNAMENTE, INFRACCIÓN A LA LEY 23737, PREVENCIÓN SUMARIA N° 306-A/10 INSTRUIDAS ANTE EL JUZGADO DE MENCIÓN, SIENDO LAS 19:45 HS , SE REALIZA CONSTATACIÓN DE DOMICILIO, DEL CIUDADANO NICOLÁS EZEQUIEL BARDAGI CABRERA D.N.I. N° 27.091.433. ASIMISMO SE REALIZO ANTICIPO DE LA MISMA MEDIANTE FAX A UOSP METROPOLITANA.</t>
  </si>
  <si>
    <t>DESDE LA C.A.B.A. HASTA AEROPUERTO</t>
  </si>
  <si>
    <t>LA DAMNIFICADA ABORDO UN TAXIMETRO DE LA C.A.B.A., EN LAS INMEDIACIONES DE GALERIAS PACIFICO DE DICHA CIUDAD, A FINES DE DIRIGIRSE A ESTA AEROESTACION. UNA VEZ ARRIBADA AL AEROPUERTO, NO POSEIA CAMBIO PARA ABONAR EL VIAJE, LE SOLICITO AL CONDUCTOR QUE LA ESPERE MIENTRAS SE DIRIGIA, A CAMBIAR BILLETES POR MONEDA MAS PEQUEÑA, DEJANDO EN EL LATERAL DERECHO DEL ASIENTO TRASERO UNA MOCHILA Y UNA VALIJA DEL TIPO CARRION. LUEGO DE UNOS MINUTOS REGRESO AL LUGAR DONDE HABIA DESCENDIDO DEL VEHICULO Y REALIZO UNA BUSQUEDA POR EL SECTOR NO PUDIENDO DAR CON EL VEHICULO NI CON EL CONDUCTOR DEL MISMO.</t>
  </si>
  <si>
    <t>NO CORRESPONDE DATOS DE CORREO/COURRIER</t>
  </si>
  <si>
    <t>SIENDO LAS 16:00 HORAS, SE IMPLEMENTA OPERATIVO DE SEGURIDAD PRESIDENCIAL CON MOTIVO DE LA PARTIDA DE LA SRA PRESIDENTE DE LA NACION. EN HORAS 19:28 HORAS SE HACE PRESENTE EN ESTE AEROPUERTO METROPOLITANO LA MANDATARIA EN EN HELICOPTERO MATRICULA H-02 PARTIENDO EN HORAS 19:42 HORAS EN AERONAVE MATRICULA T-01 CON DESTINO COLOMBIA SIENDO LAS 19:55 HORASS FINALIZA EL OPERATIVO SIN NOVEDAD.</t>
  </si>
  <si>
    <t>4787/10</t>
  </si>
  <si>
    <t>EN HORAS 03:40 DEL DIA 07 DE AGOSTO DEL CORRIENTE AÑO, SEGÚN LO DISPUESTO POR LA JUDICATURA INTERVINIENTE, YA OBTENIDOS LOS RESULTADOS DE REINCIDENCIA SIENDO ESTOS NEGATIVOS Y AL NO MEDIAR IMPEDIMENTO LEGAL ALGUNO, SE PROCEDE A LA LIBERACION DEL SR.NICOLAS EZEQUIEL BARDAGI CABRERA.</t>
  </si>
  <si>
    <t>4768/10</t>
  </si>
  <si>
    <t>QUE SIENDO LAS 00:01HS. REALIZA LA DEPOSICION VIA RECTAL NRO. 9 DE 03 CAPSULAS. CABE DESTACAR QUE DE LA DEPOSICION MENCIONADA SE ELIGIO UNA CAPSULA AL AZAR Y SE LE EFECTUO REACTIVO QUIMICO PARA COCAINA ARROJANDO RESULTADO POSITIVO. CON UN PESO DE 34 GRAMOS PTO.</t>
  </si>
  <si>
    <t>QUE EL DIA DE LA FECHA, EN EHORARIO INDICADO, SE DIO ESTRICTO CUMPLIMIENTO CON LA OREDEN DE SERVICIO NUMERO 093/10, EMANADA POR EL SR. GONZALO MARTINEZ JEFE DE LA U.O.S.P EZEIZA. SIN NOVEDADES QUE INFORMAR</t>
  </si>
  <si>
    <t>SAMSON MIGUEL ANGEL</t>
  </si>
  <si>
    <t>SECTOR OESTE , FRENTE AL RADAR A UNOS 100 METROS DE ESTE APROXIMADAMENTE.</t>
  </si>
  <si>
    <t>A HORAS 12:20 SE TOMA CONOCIMIENTO QUE EN EL SECTOR OESTE DE ESTE AEROPUERTO DENTRO DEL PERIMETRO DEL MISMO Y EN PROXIMIDAD A LA PLANTA TRANSMISORA, SE INICIO UN FOCO IGNEO EN LOS PASTIZALES DEL LUGAR, ACUDEN AL LUGAR DE LOS HECHOS BOMBEROS DE LA POLICIA FEDERAL ARGENTINA, CON ASIENTO EN ESTE AEROPUERTO, PERSONAL DE FUERZA AEREA ARGENTINA Y PERSONAL DE LA POLICIA DE SEGURIDAD AEROPORTUARIA Y BOMBEROS VOLUNTARIOS DE ALDERETES, CON ASIENTO EN LA LOCALIDAD DE ALDERETES, PROVINCIA DE TUCUMAN, SE PROCEDE A REALIZAR UN CERCO DE SEGURIDAD, Y SE TRABAJA EN FORMA CONJUNTA CON LAS FUERZAS ANTES MENCIONADA . SE ESTABLECE COMUNICACION TELEFONICA CON LA SECRETARIA PENAL N°1 A CARGO DEL DR. MIGUEL A. SAMSONE, PERTENECIENTE AL JUZGADO FEDERAL N°1 A CARGO DEL MAGISTRADO DR. DANIEL BEJAS, A QUIEN SE LE INFORMA DE LA SITUACION, QUIEN ORDENA SOLAMENTE SE LABREN LAS ACTUACIONES EN CASO DE EXISTIR DAÑOS PERSONALES Y/O MATERIALES. A HORAS 15:30 PERSONAL DE BOMBEROS DE LA POLICIA FEDERAL ARGENTINA, OF. AYTE. VAZQUEZ RUANO RODRIGO, JEFE DE TURNO, INFORMA QUE SE ENCUENTRA CONTROLADO Y SOFOCADO EL INCENDIO, NO SE REGISTRAN DAÑOS PERSONALES Y/O MATERIALES Y LOS MOTIVOS QUE LO OCACIONARON PUDIERON SER POR UNA COLILLA MAL APAGADA. DURANTE EL HECHO ANTES DESCRIPTO EL AEROPUERTO NO SE VIO AFECTADO EN SU OPERATIVIDAD. LUEGO DE ACONTECIDO EL HECHO , SE LABRA UN ACTA DEJANDO CONSTANCIA Nº0134/10 DE LO ACTUADO.-</t>
  </si>
  <si>
    <t>SECRETARIA ADJUNTA DRA. CAROLINA BALLUE</t>
  </si>
  <si>
    <t>TRANSPORTE - CINTAS DE EQUIPAJES - BODEGAS DE AERONAVE - ARRIBOS</t>
  </si>
  <si>
    <t>HOTEL EN LA LOCALIDAD DE SAN MARTIN DE LOS ANDES - AEROPUERTO CHAPELCO - AEROPUERTO METROPOLITANO</t>
  </si>
  <si>
    <t>PREVIO A SU EMBARQUE REALIZO EL DESPACHO DE SU EQUIPAJE, EN EL HOTEL LE CHALETET DE LA CIUDAD DE SAN MARTIN DE LOS ANDES, EL CUAL FUE PESADO EN SU PRESENCIA, LUEGO SE TRASLADA A EL AEROPUERTO EN OTRA COMBI DISTINTA A LA CUAL VIAJABAN LOS EQUIPAJES. SIENDO LAS 17:30 HORAS APROXIMADAMENTE ARRIBA A ESTE AEROPUERTO, Y EN MOMENTOS DE RETIRAR SU BOLSO DE LA CINTA TRANSPORTADORA, QUE SE ENCUENTRA EN EL SECTOR DE ARRIBOS A2, NOTA QUE SU BOLSO SE ENCONTRABA MAS LIVIANO, POR TAL MOTIVO PROCEDE A APERTURA DEL MISMO, PERCATÁNDOSE DEL FALTANTE DE SU CAMPERA.</t>
  </si>
  <si>
    <t>VM 7916</t>
  </si>
  <si>
    <t>SAN MARTIN DE LOS ANDES</t>
  </si>
  <si>
    <t>SIENDO LA HORA Y EL DÍA ANTES MENCIONADO, SE IMPLEMENTA OPERATIVO DE SEGURIDAD PARA EL ARRIBO DE LA SRA. PRESIDENTE DE LA NACIÓN, LA CUAL ARRIBO A ESTA AEROSTACIÓN A LAS 05:10 HORAS EN EL VUELO T-01 DE LA REPUBLICA DE COLOMBIA, RETIRANDOSE DE ESTE AEROPUERTO METROPOLITANO A LAS 05:17 HORAS EN EL VUELO H-02. SIENDO LAS 05:20 HORAS FINALIZA EL OPERATIVO SIN NOVEDAD.</t>
  </si>
  <si>
    <t>BANCO PROVINCIA DE TIERRA DEL FUEGO C/FERRO DARIO OSVALDO Y OTRA S/EJECUTIVO</t>
  </si>
  <si>
    <t>EXPTE Nº 9080</t>
  </si>
  <si>
    <t>PUESTO CONTROL DOCUMENTOS</t>
  </si>
  <si>
    <t>INFORMO: QUE EN EL DIA DE LA FECHA MEDIANTE UN CONTROL POLICIAL DE RUTINA DEL VUELO N° 2898 DE LA EMPRESA AEROLINEAS ARGENTINAS SE IDENTIFICA A LA SRA. MARIA ANGELICA PONCE D.N.I 14.491.900 SOBRE QUIEN PESA UNA SOLICITUD DE PARADERO SEGUN RADIOGRAMA N° 11/08 D.A.J.U EXPEDIENTE N° 9080 CARATULADO BCO. DE LA PCIA DE TIERRA DEL FUEGO C/FERRO DARIO OSVALDO Y OTRA S/EJECUTIVO EN TRAMITE POR ANTE EL JUZGADO PCIAL DE PRIMERA INSTANCIA CIVIL Y COMERCIAL D.J.N A/C CARGO DE LA DRA SILVIA HERRAEZ, SE ENTABLA COMUNICACION CON LA DRA. SILVIA HERRAEZ LA QUE DISPONE QUE LA CAUSANTE FIJE DOMICILIO REAL Y CONTINUE SU VIAJE Y POSTERIORMENTE SE ELEVEN LAS ACTUACIONES CORRESPONDIENTES. SE LABRA ACTA DE NOTIFICACION N° 12/10. FIJANDO DOMICILIO REAL Y CONTINUANDO LA CAUSANTE CON SU VIAJE.</t>
  </si>
  <si>
    <t>SIENDO LAS 13:20HS DEL DIA 07/08/10, EL DETENIDO DE AUTOS REALIZA LA DEPOSICION VIA RECTAL NRO 10 DE 07 CAPSULAS ARROJANDO UN PESO DE 78 GRAMOS Y QUE SIENDO LAS 13:35HS. DEL DIA 08/06/10 REALIZA LA DEPOSICION VIA RECTAL NRO. 11 DE 14 CAPSULAS ARROJANDO NUN PESO DE 150 GRAMOS. CABE DESTACAR QUE DE LAS DEPOSICIONES DE MENCION SE ELIGIO UNA CAPSULA AL AZAR Y SE LE EFECTUO REACTIVO QUIMICO PARA COCAINA ARROJANDO RESULTADO POSITIVO. PTO.</t>
  </si>
  <si>
    <t>SU DENUNCIA</t>
  </si>
  <si>
    <t>SECTOR VIP DE LA AERONAVE</t>
  </si>
  <si>
    <t>QUE EL DÍA 08 DE AGOSTO DEL AÑO 2010 SIENDO LAS 13:55:00 HS. SE PRESENTO LA DENUNCIANTE ANTE EL SERVICIO DE GUARDIA EXPRESANDO QUE SU VUELO AR 1161 TRAMO BARCELONA-RIO DE JANEIRO EZEIZA, ATERRIZA EN CÓRDOBA POR CONDICIONES CLIMÁTICAS ADVERSAS EN EL AEROPUERTO INTERNACIONAL MINISTRO PISTARINI (EZE), POR LO QUE SE NOTIFICA A LOS PASAJEROS A TRAVÉS DE LOS ANUNCIOS HECHO POR EL COMANDANTE DE VUELO SR. NIETO Y DE LA JEFA DE CABINA SRA. JURI. ACTO SEGUIDO, UNA VEZ ATERRIZADO EN EL AEROPUERTO C ORDOBA SE LES INFORMA NUEVAMENTE QUE SE DEMORARÁ EL DESEMBARCO EN EL AEROPUERTO A LA ESPERA DE MICROS QUE CONDUCEN A LA TERMINAL YA QUE EL MISMO ESTABA COLAPSADO POR LA CANTIDAD DE VUELOS EN TIERRA EN EL DÍA DE LA FECHA, INFORMÁNDOLES ADEMÁS QUE NO SE PUEDE CAMINAR POR LA PISTA. A PARTIR DE ESE MOMENTO, APROXIMADAMENTE A LAS 11:55 HRS. EN FORMA INESPERADA, UN PASAJERO DE SEXO MASCULINO COMENZÓ A GRITAR DIRIGIÉNDOSE AL RESTO DE LOS PAX QUE "PRENDAN PORROS Y CIGARRILLOS, FUMEN, FUMEN YA QUE NO NOS DEJAN BAJAR"; ANTE ESTA ACTITUD LA DENUNCIANTE SE DIRIGE HACIA ÉL DICIÉNDOLE "QUE NO SE PUEDE FUMAR NINGÚN TIPO DE CIGARRILLO Y QUE POR FAVOR BAJE EL TONO DE VOZ; LA MISMA DIO AVISO ENTONCES A SU JEFA DE CABINA", "PARA QUE SOLICITE CUSTODIA DE LA POLICÍA SEGURIDAD AEROPORTUARIA, YA QUE EL PASAJERO EN CUESTIÓN ESTABA INCITANDO AL RESTO", CONTINUÓ CONVERSANDO CON EL PAX A FINES DE QUE SE TRANQUILICE, Y ÉSTE COMENZÓ A AGREDIRLA EN FORMA VERBAL CON FRASES COMO "GUARRA; VIEJA DE MIERDA; PUTA, ETC", A LO QUE LE SOLICITA QUE SE CALLE Y SE SIENTE YA QUE LE ESTÁ FALTANDO EL RESPETO Y DESCONOCIENDO SU AUTORIDAD A BORDO. LLEGA EL MOMENTO DE DESCENDER DE LA AERONAVE, Y ESTA PERSONA SIN RESPETAR EL ORDEN DE BAJADA DE LOS PASAJEROS QUE ESTABAN ADELANTE, LA EMPUJA Y LE GOLPEA EL HOMBRO DERECHO EMPUJÁNDOLA HACIA UN ASIENTO QUE ESTABA ADELANTE EN FORMA INTENCIONAL, BAJÁNDOSE EL MISMO, Y DIRIGIÉNDOSE HACIA EL MICRO. CABE DESTACAR QUE EL PASAJERO EN CUESTIÓN, QUE VIAJABA CON SU ESPOSA Y DOS HIJAS, UNA DE ELLAS ERA BEBÉ, SU ASIENTO ORIGINAL ASIGNADO, SEGÚN REGISTROS EN EL MANIFIESTO, ES ASIENTO POSICIÓN 29GE Y F, PERO AL NO TENER MOISÉS PARA EL BEBÉ EN ESE ASIENTO AL PAX EN CUESTIÓN REALIZA EL VUELO MENCIONADO EN EL ASIENTO 14F QUE EL PERSONAL DE TIERRA LE ASIGNA EL CAMBIO SOLICITADO POR LA TRIPULACIÓN PARA QUE VIAJE CÓMODO CON SU FAMILIA Y EL BEBÉ, YA QUE EL VUELO ESTABA FULL A POSTERIORI LA DENUNCIANTE SE DIRIGIÓ AL SERVICIO MÉDICO PRIVADO DEL AEROPUERTO QUIEN LE EXTIENDE EL CORRESPONDIENTE CERTIFICADO MÉDICO CON ADMINISTRACIÓN DE MEDICAMENTOS POR EL DOLOR Y LA DERIVA PARA QUE SE REALICE UNA PLACA RADIOGRÁFICA. A POSTERIORI SE LLEVO A LA PASAJERA HASTA EL SECTOR DE PREEMBARRQUE INTERNACIONAL IDENTIFICANDO AL PASAJERO EN CUESTION, QUIEN DIJO VERBALMENTE LLAMARSE PATRICIO CASARIEGO NO CONTANDOSE CON MAS DATOS. CONSULTADO CON EL JUZGADO FEDERAL DE TURNO SOBSRE LA SITUACION DE LA PERSONA IDENTIFICADA DISPUSO QUE LA MISMA PROSIGA CON SU VIAJE DE RUTINA NOTA ANTE LA REVISION MEDICA NO SE PUDO CONSTATAR NINGUNA LESION A SIMPLE VISTA, POR ELLO EL JUZGADO NO DISPUSO NINGUNA MEDIDA</t>
  </si>
  <si>
    <t>AR 1161</t>
  </si>
  <si>
    <t>PLATAFORMA OPERATIVA -POSICION 28-A</t>
  </si>
  <si>
    <t>SIENDO LAS 07:34 HS. ARRIBO, POR PROBLEMAS METEOROLÓGICOS EN EZEIZA, AERONAVE MATRÍCULA 078-4AN PERTENECIENTE A LA COMPAÑIA AEREA AMERICAN AIRLINES, UNA VEZ ESTACIONADA Y POR DISPOCICION DEL COMANDANTE, LOS PASAJEROS PERMANECIERON EN EL INTERIOR DE LA MAQUINA A ESPERA DE UNA MEJORA CLIMATICA EN EL AEROPUERTO DE DESTINO. SIENDO LAS 11:25 HS Y DEBIDO AL TIEMPO TRANSCURRIDO SE VENCE LA TRIPULACIÒN POR LO QUE SE DECIDE NACIONALIZAR EL VUELO, HECHO QUE PROVOCA MALESTAR ENTRE LOS PASAJEROS. DE LA TOLALIDAD DEL PAX DIESISIETE DECIDEN NO DESCENDER DEBIDO A QUE LA COMPAÑIA LES COMUNICA QUE EL TRASLADO HACIA LA CIUDAD DE BUENOS AIRES SERÍA VIA TERRESTRE Y QUE EL EQUIPAJE LES SERÌA RECIEN ENTREGADO EN BUENOS AIRES. ANTE LA NEGATIVA POR PARTE DE LOS INVOLUCRADOS DE DESCENDER, SE ESTABLECE COMUNICACIÓN TELEFÓNICA A LAS 12:25HS CON EL JUZGADO FERERAL INTERVINIENTE EN LA PERSONA DE SU SECRETARIO PENAL QUIEN LUEGO DE INTERIORIZARCE DE LO ACAECIDO DISPONE SE TRATE POR MEDIO DEL DIALOGO CONVENCER DE DESISTIR A LOS INVOLUCRADOS DE SUS POSTURAS. SIENDO LAS 12:50 HS Y ANTE LA NEGATIVA DE HACER DESCENDER A LOS PASAJEROS SE INFORMA NUEVAMENTE AL SECRETARIO PENAL DE LA SITUACION QUIEN MANIFIESTA QUE A SU ENTENDER LOS PASAJEROS NO ESTABAN INFRIGIENDO EN ALGUN DELITO POR LO QUE ORDENABA CONTINUAR CON EL DIALOGO. SIENDO LAS 13:35 HS INFORMA LA EMPRESA AÈREA MEDIANTE LA SRA. MARIA DESPONTIN QUIEN CUMPLE FUNCIONES COMO EJECUTIVA DE CUENTAS DE AMERICAN AIRLINEAS QUE LA EMPRESA DISPONIA DE SESENTA LUGARES PARA UN VUELO A DERTERMINAR EN HORAS DE LA NOCHE DEL DIA DE LA FECHA DENTRO DE LOS CUALES ESTARIAN COMTEMPLADAS LAS CINCO PLAZAS DE LAS PERSONAS QUE PERMANECIAN A BORDO DE LA AERONAVE HECHO QUE MOTIVARA A LOS PASAJEROS A DESCENDER EN FORMA VOLUNTARIA QUEDANDO DE ESA FORMA LIBERADA LA AERONAVE SIENDO COMUNICADA TAL SITUACION AL JUZGADO FEDERAL INTERVINIENTE QUIEN DISPUSO SE LABRAN LAS ACTUACIONES DE RIGOR QUEDANDO LAS MISMA EN GUARDA EN SEDE DE ESTA REPARTICION POLICIAL Y SE CONFECCIONE NOTA DE ESTILO INFORMANDO DE TODO LO OCURRIDO LA CUAL DEBE SER ADELANTADA VIA FAX EL PRIMER DIA HÁBIL AL JUZGADO DE MARRAS.</t>
  </si>
  <si>
    <t>DRA. BALLUE</t>
  </si>
  <si>
    <t>PATIO DE VALIJAS - PLATAFORMA - BODEGAS DE AERONAVE - CINTAS DE ARRIBOS</t>
  </si>
  <si>
    <t>AEROPUERTO DE NEUQUEN - AEROPUERTO METROPOLITANO</t>
  </si>
  <si>
    <t>AL MOMENTO DE LLEGAR A SU DOMICILIO SE PERCATA QUE LE FALTABA SU BILLETERA LA CUAL SE ENCONTRABA EN UN NECESER CONTENIDO DENTRO DE SU BOLSO DESPACHADO POR BODEGA, AL CHEQUEAR DICHO NECESER ADVIERTE EL FALTANTE DE LA BILLETERA Y ADEMAS 3500 PESOS EN EFECTIVO.</t>
  </si>
  <si>
    <t>LA 4271</t>
  </si>
  <si>
    <t>SECTOR DESTINADO PARA TURISTA</t>
  </si>
  <si>
    <t>QUE SIENDO LAS 12:00HS APROXIMADAMENTE DEL DÍA DE LA FECHA DEL CORRIENTE AÑO EN MOMENTOS EN QUE SE DESEMPEÑABA COMO ASISTENTE DEL VUELO Nº 909 DE LA EMPRESA AMERICAN AIRLANES, EL CUAL ARRIBO A ESTA AEROESTACIÓN COMO ALTERNATIVA POR ENCONTRASE EL AEROPUERTO DE EZEIZA CERRADO POR METEOROLOGÍA, ES AGREDIDA FÍSICAMENTE POR UN PASAJERO DE SEXO MASCULINO, DEL CUAL NO SE POSEEN SUS DATOS PERSONALES, YA QUE SE RESISTÍA A DESCENDER DE LA AERONAVE, ESTA AGRESIÓN CONSISTIÓ EN UN EMPUJÓN UTILIZANDO LAS DOS MANOS COLOCÁNDOLAS EN SU PECHO, GRITOS E INSULTOS INTIMIDÁNDOLA, LA DENUNCIANTE OBSERVO QUE ESTE PASAJERO INTENTO DARLE UN GOLPE CON LA MANO ABIERTA EN LA CARA, EL CABALLERO ESTABA CON SU CARA ENROJECIDA Y MUY FURIOSO. SE DIO PARTICIPACION AL JUZGADO DE TURNO DISPONIENDO QUE LA PERSONA EN CUESSTION CONTINUE CON SU VIAJE DE RUTINA .CABE DESTACAR QUE PARA LA TOMA DE LA DENUNCIA OFICIO COMO TRADUCTORA LA SEÑORA DORIS GARCIA AYALA, DE NACIONALIDAD AMERICANA PASAPORTE NRO. 428452994 PERTENECIENTE A LA TRIPULACION DE LA EMPRESA AEREA NOTA AL NO PODERSE CONSTATAR LAS LESIONES, EL JUZGADO INTERVINIENTE NO DISPUSO NINGUNA MEDIDA</t>
  </si>
  <si>
    <t>S/ INFRACCION A LA LEY 23.737</t>
  </si>
  <si>
    <t>HALL PLANTA BAJA, SECTOR DE INGRESO Y EGRESO AREA RESTRINGIDA</t>
  </si>
  <si>
    <t>PUNTO DE INSPECCION CHARLY</t>
  </si>
  <si>
    <t>SIENDO LAS 09:30 SE PRESENTA LA SRTA. MARTINA GOMEZ DESPACHANTE DE LA EMPRESA AEROLÍNEAS ARGENTINAS, QUIEN MANIFIESTA QUE EL SR. CLEITON ALONSO SE HABÍA EXPRESADO CON ACTITUD AGRESIVA HACIA EL PERSONAL DE LA EMPRESA Y DEMÁS PERSONAS QUE SE ENCONTRABAN EN EL LUGAR, DICIENDO QUE LOS IBA A MATAR A TODOS. POR TAL MOTIVO SE DECIDE IDENTIFICAR AL PASAJERO Y REALIZAR EL REGISTRO DE SU EQUIPAJE DESPACHADO COMO ASI TAMBIEN EL DE SU ACOMPAÑANTE LA SRA. ROBERTA RAMOS RODRIGUES. SIENDO LAS 10:00 HORAS, EN PRESENCIA DE DOS TESTIGOS HABILES, LOS OFICIALES CURAPIL Y BARRAZA PROCEDEN A REALIZAR LOS REGISTROS DE LOS EQUIPAJES DESPACHADOS, AL MOMENTO DE REALIZAR EL REGISTRO DE LA VALIJA CON MARBETE AR 56-12-03 EL PASAJERO RETIRA DE ENTRE LAS PRENDAS DEL INTERIOR, DOS ENVASES PLÁSTICOS TRANSPARENTES Y UN ENVASE PLÁSTICO DE JARABE CON EL FIN DE DESCARTARLOS, ANTE TAL SITUACION - SE PROCEDE A REALIZAR REACTIVOS PARA SUSTANCIAS PROHIBIDAS, COCA TEST, ARROJANDO EL ENVASE CON LA INSCRIPCIÓN ACONDICIONADOR MARCA LEFT, POSITIVO A CLORHIDRATO DE COCAÍNA. SE REALIZA COMUNICACIÓN TELEFÓNICA CON EL DR. BAGUR CRETA, QUIEN DISPONE SE REALICEN LAS ACTUACIONES DE RIGOR, SE LO NOTIFIQUE DE CAUSA Y UNA VEZ FINALIZADA LAS ACTUACIONES SE LE PERMITA PROSEGUIR SU VIAJE. DEBIDO A MALESTAR EN EL ABDOMEN DEL IMPUTADO, SE REALIZA NUEVA COMUNICACION CON EL JUZGADO INTERVINIENTE Y SE PROCEDE EL TRASLADO DEL IMPUTADO AL HOSPITAL LOCAL DE BARILOCHE, PARA TOMAS RADIOLOGICAS DE TORAX SOBRE POSIBLE INGESTA DE ALGUN ELEMENTO EXTRAÑO, RESULTANDO DICHAS TOMAS NEGATIVAS. A LAS 14.10 HS FINALIZAN LAS ACTUACIONES, CONTINUANDO EL PASAJERO CON SU VIAJE PROGRAMADO.</t>
  </si>
  <si>
    <t>MOSTRADOR 41</t>
  </si>
  <si>
    <t>MOSTRADORES CHECH IN</t>
  </si>
  <si>
    <t>EN CIRCUNSTANCIAS QUE SE ENCONTRABAN LOS FUNCIONARIOS POLICIALES INTERVINIENTES DANDO CUMPLIMIENTO A LA ORDEN DE SERVICIO 0430/09 EMANADA POR LA UNIDAD REGIONAL I DEL ESTE, REALIZAN UN CONTROL SOBRE UN PASAJERO DE NACIONALIDAD PERUANA, QUIEN AL REALIZARLE LAS CONSULTAS DE RIGOR, DEMUESTRA NERVIOSISMO E INQUIETUD Y DUBITABA AL RESPONDER LAS CONSULTAS. UNA VEZ REALIZADOS LOS CONTROLES MEDIANTE BODY SCAN Y EFECTUARLE PLACAS RADIOGRAFICAS EN EL HOSPITAL ZONAL EZEIZA, PREVIA AUTORIZACION CON EL JUZGADO INTERVINIENTE, ARROJAN RESULTADO POSITIVO EN CUANTO A ELEMENTOS EXTRAÑOS EN EL INTERIOR DE SU ORGANISMO. ENTERADO EL JUZGADO INTERVINIENTE, DISPUSO LA DETENCION DEL CAUSANTE EN CARACTER DE INCOMUNICADO, DEBIENDO INFORMAR DIARIAMENTE EL ESTADO DE SALUDO Y NOVEDADES SURGIDAS CON EL DETENIDO. QUE UNA VEZ OBTENIDA EL ALTA MEDICA, SE ELEVE TODO LO ACTUADO, JUNTAMENTE CON EL DETENIDO Y LA TOTALIDAD DE LOS SECUESTROS A SEDE JUDICIAL. SE INFORMA EN PU Nº 4807 QUE EL DIA 08-08-2010 SIENDO LAS 1810 HS REALIZO DEPOSICION Nº 1 Y SIENDO LAS 2040HS DEL MISMO DIA REALIZO LA DEPOSICION Nº 2. SE INFORMA EN PU Nº 4822 QUE EL DIA 08-08-2010 SIENDO LAS 2350HS REALIZO LA DEPOSICION Nº 3 Y QUE EL DIA 09-08-2010 SIENDO LAS 1155HS REALIZO LA DEPOSICION Nº 4. SE INFORMA EN PU Nº 4873 QUE EL DIA 11-08-2010 SIENDO LAS 1230HS REALIZO LA DEPOSICION Nº 5. SE INFORMA EN PU Nº 4898 QUE EL DIA 12-08-2010 SIENDO LAS 1000HS REALIZO LA DEPOSICION Nº 6, ASIMISMO SIENDO LAS 1100HS ES DADO DE ALTA Y TRASLADADO A LA UOSP EZEIZA DONDE PERMANECERA ALOJADO A DISPOSICION JUDICIAL. SE INFORMA EN PU Nº 4918 QUE EL DIA 13-08-2010 SIENDO LAS 0700HS SE PROCEDIO AL TRASLADO DEL DETENIDO A SEDE JUDICIAL JUNTAMENTE CON LOS SECUESTROS Y ACTUACIONES COMPLEMENTARIAS.</t>
  </si>
  <si>
    <t>SECRETARIA Nº 109</t>
  </si>
  <si>
    <t>DRA. NIETO SOLEDAD</t>
  </si>
  <si>
    <t>SIENDO LAS 1940 HORAS SE HACE PRESENTE EL DAMNIFICADO MANIFIESTANDO QUE SIENDO APROXIMADAMENTE LAS 1840 HORAS SE ENCONTRABA CUMPLIENDO SUS FUNCIONES LABORALES COMO VIGILADOR EN LA VEREDA DEL SECTOR A2, Y FUE VICTIMA DE AMENAZAS VERBALES Y CON ARMA BLANCA POR PARTE DE UN MASCULINO, MOTIVO POR EL CUAL DA AVISO AL PERSONAL POLICIAL, LOS CUALES SE ACERCAN HACIA EL CAUSANTE, PREGUNTÁNDOLE EL MOTIVO DE SU REACCIÓN, Y EL MISMO SE HIZO CARGO DE LA SITUACIÓN, MANIFESTANDO QUE EL VIGILADOR LE HABÍA FALTADO EL RESPETO A SU SEÑORA, Y POR ENDE A EL Y A SU FAMILIA. MOTIVO POR EL CUAL EN PRESENCIA DE DOS TESTIGOS, SE TRASLADA DE CONFORMIDAD A TODOS LOS PARTICIPANTES A LA GUARDIA DE PREVENCIÓN. SIENDO LAS 2040 HORAS, SE ESTABLECE COMUNICACIÓN CON LA JUDICATURA ACTUANTE, LA CUAL ANOTICIADA DE LOS HECHOS DISPONE LA DETENCION DEL CAUSANTE EN CARÁCTER DE DETENIDO COMUNICADO, PRECARIO MEDICO, 353 REINCIDENCIA, CONSTATACION DE DOMICILIO, ART. 86, 4 JUEGOS DE FICHAS DACTILOSCOPICAS, FOTOS, REGISTRO FILMICO, PLANILLA PRONTUARIAL Y SECUESTRO DEL TELEFONO MOVIL CELULAR Y SEA ENVIADO A LA DIVISION APOYO TECNOLOGICO DE LA PFA, Y REALIZAR NUEVA COMUNICACIÓN CON LA JUDICATURA CON EL RESULTADO DE REINCIDENCIA. SE INFORMA EN PU Nº 4818 DEL DIA 9/8/10 SIENDO LAS 1220 HORAS SE CUMPLIMENTA LO DISPUESTO POR LA JUDICATURA ACTUANTE PROCEDIENDOSE A LA SOLTURA DEL DETENIDO POR NO MEDIAR IMPEDIMENTO LEGAL ALGUNO, RETIRANDOSE DE LA JURIDICCION SIN NOVEDAD.</t>
  </si>
  <si>
    <t>4805/10</t>
  </si>
  <si>
    <t>QUE REGRESADA LA COMISION DEL PERITO PROVENIENTE DEL HOSPITAL ZONAL EZEIZA, INFORA QUE SIENDO LAS DIECIOCHO HORAS DIEZ MINUTOS SE REGISTRA LA DEPOSICION VIA RECTAL NUMERO UNO DE UN TOTAL DE VEINTIUN CAPSULAS ARROJANDO UN PESO DE CIENTO NOVENTA GRAMOS Y SIENDO LAS VEINTE HORAS CUARENTA MINUTOS REALIZO LA DEPOSICION RECTAL NUMERO DOS DE UN TOTAL DE VEINTICINCO CAPSULAS ARROJANDO UN PESO DE DOSCIENTOS VEINTICUATRO GRAMOS.</t>
  </si>
  <si>
    <t>PTA. INF. AL ART. 292 Y 296 DEL CPN</t>
  </si>
  <si>
    <t>EL DIA DE LA FECHA SE RECEPCIONA DE LA DNM A LA CAUSANTE, MEDIANTE FORMAL DENUNCIA DONDE CONSTA QUE EN CIRCUNSTANCIAS QUE LA MISMA SE PRESENTO ANTE LA JUNTA DE CONTROL MIGRATORIO A LOS EFECTOS DE TRAMITAR EL INGRESO AL TERRITORIO NACIONAL, APORTANDO UN PASAPORTE JAPONES PRESUNTAMENTE APOCRIFO. EN ESTE CONTEXTO, MANTENIDA COMUNICACION TELEFONICA CON EL JUZGADO DE INTERVENCION, INDICA SE PROCEDA A LA DETENCION DE LA CAUSANTE EN CARACTER DE INCOMUNICADA, DEBIENDO PROCEDER AL SECUESTRO DE LA DOCUMENTACION, COMPULSA CON INTERPOL Y REINCIDENCIA, Y LA ELEVACION DE LO ACTUADO A PRIMERA HORA DEL DIA NUEVE DEL CORRIENTE A SEDE JUDICIAL, DEBIENDO PERMANECER LA DETENIDA ALOJADA EN ESTA DEPENDENCIA POLICIAL A DISPOSICION DE DICHA JUDICATURA. SE INFORMA QUE LA IMPUTADA NO APORTO SUS DATOS FILIATORIOS. SE INFORMA EN PU Nº 4829 SIENDO LAS 2000 HORAS POR DISPOSICION DEL JUZGADO INTERVINIENTE SE PROCEDIO A DECRETAR LA LIBERTAD A LA DETENIDA Y POSTERIORMENTE RECONDUCIRLA A LA MISMA A LA DNM EN APLICACION DE LOS ARTICULOS 29 Y 107 DE LA LEY 25.871.</t>
  </si>
  <si>
    <t>MALASIA</t>
  </si>
  <si>
    <t>PARADERO COMPARENDO VIGENTE</t>
  </si>
  <si>
    <t>OFICINA DNM TERMINAL A</t>
  </si>
  <si>
    <t>SIENDO LA HORA Y LA FECHA ANTES MENCIONADA SE RECIBE POR PARTE DE LA DIRECCION NACIONAL DE MIGRACIONES EN ESTA DEPENDENCIA AL CIUDADANO SHANYONG HE, SOBRE EL CUAL PESARE UNA ORDEN DE CAPTURA CARATULADA, HE SHANYONG S/FALSIFICACION DE DOCUMENTOS, EMITIDA POR EL JUZGADO FEDERAL Nº 1 DE LA CIUDAD DE ROSARIO, QUE LUEGO DE VARIOS INTENTOS FALLIDOS SIENDO LAS 2040 HORAS EL JEFE DE TURNO MANTIENE COMUNICACION TELEFONICA CON EL JUZGADO FEDERAL Nº 1 DE ROSARIO SECRETARIA DRA. ANDREA GIMENO QUIEN INFORMA QUE ESE JUZGADO POR SER DEL FUERO CIVIL NO TIENE LA POTESTAD DE EMITIR ORDEN DE CAPTURA Y QUE EL NUMERO DE CAUSA NO SE CORRESPONDIA CON EL DE SU JUZGADO. SEGUIDAMENTE SE RECIBE EN ESTA DEPENDENCIA CONTESTACION DE INTERPOL EN LA CUAL SE INFORMA QUE EL CAUSANTE POSEIA UN PEDIDO DE PARADERO COMPARENDO VIGENTE, SOLICITADO POR EL JUZGADO FEDERAL Nº 3 DE LA CIUDAD DE ROSARIO, ACTO SEGUIDO EL JEFE DE TURNO MANTIENE COMUNICACION CON EL DR. VILLATTE TITULAR DE LA SECRETARIA Nº 1 DEL DICHO JUZGADO QUIEN ORDENA QUE SOLAMENTE SE REALICE CONSTATACION DE DOMICILIO DEL CAUSANTE. SEGUIDAMENTE SIENDO LAS 2300 HORAS SE MANTIENE COMUNICACION CON EL DR. JORGE DAMORE TITULAR DE LA SECRETARIA Nº 2 DEL JUZGADO FEDERAL DE LOMAS DE ZAMORA Nº 1 QUIEN DISPONE QUE LA ORDEN DE CAPTURA NO ERA DE INTERES PARA DICHA JUDICATURA. POSTERIORMENTE CON EL RESULTADO DE CONSTATACION DEL DOMICILIO DEL CAUSANTE, EL MISMO SE RETIRO DE LA GUARDIA DE PREVENCION CONFORME CON LOS TRATOS RECIBIDOS. SE INFORMA EN PU Nº 4817 SIENDO LAS 1000 HORAS DEL DIA 9/8/10 SE ENTABLA COMUNICACION TELEFONICA CON LA DRA. GIMENO QUIEN IMPARTIO LA DIRECTIVA DE QUE SE PONGA AL CAUSANTE A DISPOSICION DE LA DNM, EN VIRTUD A QUE EL JUZGADO DE FIGURACION EN LA PATRONIMICA DE LA DNM PERTENECE AL FUERO CIVIL, POR LO QUE LA CAUSA DE REFERENCIA NO ES REGISTRO DE ESE JUZGADO.</t>
  </si>
  <si>
    <t>JUZGADO NACIONAL CRIMINAL DE INSTRUCCION Nº 6</t>
  </si>
  <si>
    <t>Pierreti</t>
  </si>
  <si>
    <t>DRA KARINA AULETTA</t>
  </si>
  <si>
    <t>INFORMO QUE EN EL CONTROL DE DOCUMENTACIÓN DE PASAJEROS DEL VUELO NRO. 2721 DE LA EMPRESA AUSTRAL LÍNEAS AÉREAS SE DETECTA A TRAVÉS DEL SISTEMA DE INTERPOL EL PEDIDO DE PARADERO VIGENTE SOLICITADO POR EL JUZGADO NACIONAL CRIMINAL DE INSTRUCCIÓN NRO. 6 SECRETARIA NRO 118 QUE RECAE SOBRE LA SRA. MAITE DALINA BARBERIS ANTE EL HECHO PERSONAL DE INTERPOL REALIZA UN ACTA Y ENTREGA AL JEFE DE TURNO EL CUAL CONFECCIONA ACTA DE NOTIFICACIÓN DANDO CUMPLIMIENTO A LO REQUERIDO POR EL JUZGADO SOLICITANTE DE LA MEDIDA Y SE NOTIFICA AL CAUSANTE QUE DEBERÁ COMPARECER ANTE DICHO JUZGADO DENTRO DE LOS CINCO DÍAS HÁBILES DE LABRADA LA MISMA PARA REGULARIZAR SU SITUACIÓN JUDICIAL.</t>
  </si>
  <si>
    <t>BRINKSA ARGENTINA S.A.</t>
  </si>
  <si>
    <t>SIENDO LAS 10:30 HORAS ARRIBA AERONAVE MATRICULA LV CCR DE LA EMPRESA AUSTRAL LINEAS AEREAS PROCEDENTE DE AEROPUERTO JORGE NEWBERY EN CUYAS BODEGAS 2 Y 4 SE DESPACHAN 28 BULTOS CON UN PESO BRUTO DE 1.176 KILOGRAMOS DE METAL -MTD- CON DESTINO A AEROPUERTO JORGE NEWBERY. EL VUELO DESPEGA A LAS 11:45 SIN NOVEDAD . SE DIO CUMPLIMIENTO A ORDEN DE SERVICIO NRO 0070/2010.</t>
  </si>
  <si>
    <t>4809/10</t>
  </si>
  <si>
    <t>DR. ADOLFO RAUL VILLATTE</t>
  </si>
  <si>
    <t>QUE SIENDO LAS 10:00 HS Y HABIENDO MANTENIDO COMUNICACION TELEFÓNICA CON LA DRA. GIMENO, LA MISMA DISPUSO QUE SE PONGA AL CAUSANTE A DISPOSICIÓN DE LA DIRECCIÓN NACIONAL DE MIGRACIONES, EN VIRTUD A QUE EL JUZGADO DE FIGURACIÓN EN LA PATRONÍMICA DE LA DIRECCIÓN NACIONAL DE MIGRACIONES PERTENECE AL FUERO CIVIL. POR LO QUE LA CAUSA DE REFERENCIA NO ES REGISTRO DE ESE JUZGADO</t>
  </si>
  <si>
    <t>4806/10</t>
  </si>
  <si>
    <t>EN HORAS 12:20 DEL DIA 09 DE AGOSTO DEL CORRIENTE AÑO, SEGÚN LO DISPUESTO POR LA JUDICATURA INTERVINIENTE, YA OBTENIDOS LOS RESULTADOS DE REINCIDENCIA SIENDO ESTOS NEGATIVOS, Y AL NO MEDIAR IMPEDIMENTO LEGAL ALGUNO, SE PROCEDE A LA LIBERACION DEL SR.RAMOS ARIEL.</t>
  </si>
  <si>
    <t>EN EL DIA DE LA FECHA, SE PRESENTA EL SR. CARLOS DANIEL LUCERO PERSONAL DE LA EMPRESA AEROLINEAS ARGENTINAS. PARA RADICAR DENUNCIA DE EXTRAVIO DEL PERMISO PERSONAL AEROPORTUARIO PERMANENTE A SU NOMBRE MANIFESTANDO QUE EL HECHO OCURRIO EN HORAS DE LA MAÑANA EN LA PLATAFORMA OPERATIVA, CUANDO DEBIDO A LOS FUERTES VIENTOS REINANTES, SE LE DESPRENDIO DICHA CREDENCIAL.</t>
  </si>
  <si>
    <t>HORACIO BOCCARDO</t>
  </si>
  <si>
    <t>S/PREPARA VAIA COBRO EJECUTIVO</t>
  </si>
  <si>
    <t>EXPTE. 12567</t>
  </si>
  <si>
    <t>NOTIFICACION PSA DE BUSTAMANTE Karina Elizabeth</t>
  </si>
  <si>
    <t>PUESTO DE CONTROL DOCUMENTOS</t>
  </si>
  <si>
    <t>EN EL DIA DE LA FECHA Y DURANTE EL CONTROL DE PREEMBARQUE DE LA EMPRESA AÉREA LADE, SE PROCEDIO A IDENTIFICAR Y NOTIFICAR - MEDIANTE ACTA DE ESTILO - A LA CIUDADANA BUSTAMANTE KARINA ELIZABETH - DNI 23.994.874, SOBRE QUIEN PESA PEDIDO DE PARADERO EN EL MARCO DE LOS AUTOS DE REFERENCIA, LA CUAL FIJO DOMICILIO REAL Y CONTINUO CON SU VIAJE PROGRAMADO</t>
  </si>
  <si>
    <t>USHUAIA - RIO GALLEGOS -</t>
  </si>
  <si>
    <t>4807/10</t>
  </si>
  <si>
    <t>QUE EL DIA 08/08/10 SIENDO APROXIMADAMENTE LAS 23:50 HS EL DETENIDO EN AUTOS EFECTÚA LA DEPOSICION NUMERO TRES, POR UN TOTAL DE VEINTISIETE CAPSULAS, CON UN PESO DE DOSCIENTOS CUARENTA GRAMOS Y QUE EL DIA 09/08/10, SIENDO APROXIMADAMENTE LAS 11:55 HS, EL CAUSANTE REALIZO LA DEPOSICIÓN NUMERO CUATRO, POR UN TOTAL DE DIECINUEVE CAPSULAS, CON UN PESO DE CIENTO SETENTA GRAMOS</t>
  </si>
  <si>
    <t>4799/10</t>
  </si>
  <si>
    <t>QUE LUEGO QUE EL DETENIDO EN AUTOS TERMINO DE EVACUAR TODAS LAS CAPSULAS DE SU ORGANISMO SIENDO ESTAS UN TOTAL DE SESENTA Y NUEVE CAPSULAS CUYOS PESAJES SUMAN 724 GRAMOS, LE DAN AL MISMO EL ALTA MEDICO, POR TAL MOTIVO ES TRASLADADO A ESTA GUARDIA DE PREVENCIÓN, HASTA EL DIA DE MAÑANA 10-08-10, QUE SE REMITIRÁ AL MISMO A SEDE JUDICIAL, A PRIMERA HORA.-</t>
  </si>
  <si>
    <t>CALLE ENTRE ESTACION DE SERVICIO Y MINIMERCADO</t>
  </si>
  <si>
    <t>MIENTRAS EL DAMNIFICADO SE ENCONTRABA EN UNA DE LAS EXPENDEDORAS DE COMBUSTIBLE DE LA CITADA ESTACION DE SERVICIO, ES EMBESTIDO POR OTRO VEHICULO, EL CUAL LO GOLPEA EN EL SECTOR IZQUIERDO DE SU CINTURA, HACIÉNDOLO CAER AL SUELO. CIRCUNSTANCIA EN LA CUAL EL CHOFER DEL VEHICULO DETIENE SU ANDAR, QUEDANDO EL EMPEINE DEL PIE DERECHO DEL DENUNCIANTE ATASCADO DEBAJO DE LA RUEDA DELANTERA DERECHA DEL VEHICULO QUE LO COLISIONO. LUEGO EL CHOFER DEL RODADO MUEVE SU VEHICULO. SEGUIDAMENTE Y EN VIRTUD AL FUERTE DOLOR EN SU PIE SE HACE PRESENTE EN EL SECTOR UNA AMBULANCIA DE SANIDAD DE ESTE AEROPUERTO QUE CONDUCE AL MISMO AL SERVICIO MEDICO Y POSTERIORMENTE AL HOSITAL ALEMAN DE LA CIUDAD DE BUENOS AIRES. CABE DESTACAR QUE EL DENUNCIANTE APORTO DATOS DEL CONDUCTOR DEL VEHICULO SIENDO ESTE MARCA CHEVROLET MODELO CORSA DOMINIO COLOCADO ISP - 276 Y SU CHOFER EL SR. CARLOS DE VICENZO DNI Nº 4544321 CUYO SEGURO SE ENCONTRABA A NOMBRE DE RAMIREZ VICTOR Y PERTENECIA A LA COMPAÑIA ASEGURADORA PARANA, Nº DE POLIZA 2583353. EL DENUNCIANTE DEJO CONSTANCIA DE QUE RADICABA LA DENUNCIA POR UN PEDIDO DE LA ART Y QUE NO QUERIA INSTAR A LA INSTANCIA PENAL.</t>
  </si>
  <si>
    <t>AD-HOC DR. ROBERTO RIQUELME</t>
  </si>
  <si>
    <t>BUTACA 2 E</t>
  </si>
  <si>
    <t>CLASE BUSINESS</t>
  </si>
  <si>
    <t>LA DENUNCIANTE SE HIZO PRESENTE EN EL AEROPUERTO DE LA CIUDAD DE MENDOZA A LOS EFECTOS DE COMENZAR SUS TAREAS HABITUALES COMO TRIPULANTE EN LA EMPRESA ARRIBA MENCIONADA PARA EL VUELO CON DESTINO FINAL EN LA CIUDAD DE BUENOS AIRES, ANTES DE EMBARCAR LA DAMNIFICADA REALIZO ALGUNAS LLAMADAS CON SU TELEFONO CELULAR PARTICULAR MARCA SAMSUNG. YA SIENDO LAS 12:10HS LA AERONAVE MATRICULA LV-BHN REALIZA EL DESPEGUE HASTA ESTA AEROESTACION, TRANSPORTANDO UN TOTAL DE CIENTO CINCUENTA Y CINCO PERSONAS A BORDO, FINALMENTE SIENDO LAS 13:00HS EL MENCIONADO VUELO ARRIBO A ESTE AEROPUERTO Y SE POSICIONO EN EL HIDRANTE Nº 23. PASADOS DIEZ MINUTOS, SE HIZO PRESENTE EL BUS EL CUAL TRANSPORTARIA A LOS PASAJEROS HASTA EL ARRIBO NACIONAL A2. CABE DESTACAR QUE MIENTRAS EL PASAJE ESTUBO A LA ESPERA DEL BUS, ESTOS PERMANECIERON AL PIE DE LA AERONAVE. FINALMENTE AL MOMENTO DE DESCENDER DE LA AERONAVE, LA DENUNCIANTE SE PERCATO QUE SU CARTERA NO ESTABA SOBRE LA BUTACA Nº 2 E DE CLASE BUSINESS. INMEDIATAMENTE COMENZO LA BÚSQUEDA DE LA CARTERA POR EL INTERIOR DE LA AERONAVE, SEGUNDOS DESPUÉS LA LOGRO ENCONTRAR DEBAJO DE LA BUTACA ANTES MENCIONADA, SEGUIDAMENTE AL BUSCAR EN EL INTERIOR DE LA MISMA SE PERCATA DEL FALTANTE DE SU CELULAR.</t>
  </si>
  <si>
    <t>AU 2409</t>
  </si>
  <si>
    <t>DENOMINADO 1/16</t>
  </si>
  <si>
    <t>EL DIA 02 DE AGOSTO DE 2010 SE RECIBE UNA NOTA DE LA EMPRESA BRITISH CON FECHA 29 DE JULIO DE 2010, EN EL CUAL SE HACEN LLEGAR LOS COMENTARIOS REFERENTE A UN REPORTE DE SEGURIDAD QUE RECIBIERON DESDE LA CASA MATRIZ, RESPECTO DEL VUELO EN MENCION CON FECHA 26 DE JULIO DE 2010, A TAL FIN INFORMA EL GERENTE DE AEROPUERTO EZEIZA QUE A BORDO DEL MENCIONADO VUELO UN PASAJERO SE ACERCO A LA TRIPULACION A FIN DE ENTREGAR UNA NAVAJA DE APROXIMADAMENTE 6 CM DE LONGITUD, LA CUAL PORTABA EN SU EQUIPAJE DE MANO Y QUE POR EQUIVOCO HABIA DEJADO DENTRO DEL MISMO. EN VIRTUD DE DICHA NOTA EL JEFE DE LA UOSP EZEIZA, MANTIENE COMUNICACION TELEFONICA CON EL JUZGADO INTERVINIENTE A QUIEN INFORMO DE LOS HECHOS DISPONIENDO S.SA. A TRAVES DE SU SECRETARIO, SE ADJUNTE ACTA DE INICIO, LA NOTA DE LA EMPRESA, SE SOLICITEN REGISTROS FILMICOS AL C.O.C. FOTOCOPIA CERTIFICADA DE LA LISTA DEL PERSONAL DE GUARDIA, FOTOCOPIA CERTIFICADA DEL LIBRO DEL PUESTO, FICHAS DE CREDENCIALES DEL PERSONAL DEL PUESTO DECLARACION TESTIMONIAL AL GERENTE DE AEROPUERTOS DE LA EMPRESA BRITISH, LISTADO DE LA TRIPULACION Y LISTADO DE PASAJEROS DEL VUELO EN MENCION. DEBIENDO ELEVAR LO ACTUADO UNA VEZ CUMPLIMENTADAS LAS DILIGENCIAS.</t>
  </si>
  <si>
    <t>BA 246</t>
  </si>
  <si>
    <t>4808/10</t>
  </si>
  <si>
    <t>QUE SIENDO LAS 20:00 HS POR DISPOSICION DEL JUZGADO INTERVINIENTE SE PROCEDIO A DECRETAR LA LIBERTAD A LA DETENIDA Y POSTERIORMENTE A REONDUCIR A LA MISMA A LA DIRECCION NACIONAL DE MIGRACIONES, EN APLICACION DE LOS ARTICULOS 29 Y 107 DE LA LEY 25.872.</t>
  </si>
  <si>
    <t>DESDE ISLA DE TAXIS TERM. A DEL AEROP. EZEIZA, HASTA HOTEL UBICADO EN CARLOS CALVO 651 CABA</t>
  </si>
  <si>
    <t>QUE SIENDO APROXIMADAMENTE LAS 19.30 HORAS LUEGO DE ARRIBAR A ESTE AEROPUERTO EN UN VUELO PROCEDENTE DE BRASIL, LA SALIR POR EL SECTOR DE LA PÉRGOLA DE TAXIS ES INTERCEPTADO POR DOS MASCULINOS QUE LE OFRECEN SERVICIO DE TAXI. SEGUIDAMENTE LOS DOS SUJETOS Y EL DAMNIFICADO SUBEN A UN TAXI Y UNA VEZ QUE ARRIBAN AL HOTEL DONDE SE HOSPEDARÍA EL DENUNCIANTE, UNO DE LOS SUJETOS DESCIENDE DEL RODADO, CON EL FIN DE RETIRAR LOS EQUIPAJES DEL PASAJERO DEL MISMO, QUEDANDO EL OTRO MASCULINO EN EL RODADO MANIFESTÁNDOLE AL DAMNIFICADO QUE EL COSTO DEL VIAJE ERA DE CIENTO OCHENTA Y DOS PESOS. MOTIVO POR EL CUAL EL DENUNCIANTE LE ABONA CON DOS BILLETES DE CIEN PESOS ARGENTINOS, Y ES ALLI QUE EL CONDUCTOR TOMA LOS DOS BILLETES Y VELOZMENTE LOS CAMBIA POR DOS BILLETES DE DIEZ PESOS, REFIRIENDO AL DENUNCIANTE QUE SE HABÍA EQUIVOCADO. A TAL EVENTO, EL DAMNIFICADO LE VUELVE A DAR OTRO DOS BILLETES DE CIEN PESOS Y RECIBE EL VUELTO. QUE AL PARECERLE RARA LA SITUACION, SE DA VUELTA PARA VER AL OTRO SUJETO Y ADVIERTE QUE EL MISMO ESTABA CERRANDO EL CIERRE DE UNOS DE SUS BOLSOS. INMEDIATAMENTE DESCIENDE DEL VEHICULO. A CONTINUACIÓN EL SUJETO QUE HABIA BAJADO DEL TAXI INGRESA NUEVAMENTE DEJANDO LOS EQUIPAJES DEL PASAJERO JUNTO AL MISMO, PARA LUEGO RETIRARSE EN EL VEHICULO. EN ESTE CONTEXTO EL DENUNCIANTE CONTROLA SU BOLSO PERCATÁNDOSE QUE DEL INTERIOR DEL MISMO LE FALTABA UNA CAMARA FOTOGRAFICA. QUE EN EL DIA DE LA FECHA EN MOMENTOS QUE SE ENCONTRABA EN ESTE AEROPUERTO, CON EL FIN DE ABORDAR UN VUELO CON DESTINO A PERU, RECONOCE A UNOS DE LOS SUJETOS, QUE LE HABIA HURTADO. POR TAL MOTIVO, LE DA AVISO A PERSONAL POLICIAL, QUE TRASLADA AL SUJETO EN CUESTION Y AL DENUNCIANTE A LA GUARDIA DE PREVENCION, A LOS EFECTOS DE LABRAR LAS ACTUACIONES CORRESPONDIENTES.</t>
  </si>
  <si>
    <t>SECTOR A 2</t>
  </si>
  <si>
    <t>EL DIA 01 DE AGOSTO DEL CORRIENTE AÑO EL DENUNCIANTE ARRIBO A ESTE AEROPUERTO METROPOLITANO A LAS 23:45 EN UN VUELO PROCEDENTE DE TRELEW, LUEGO, SE DIRIGE A LA PARTE PUBLICA A TOMAR UN TAXI Y UNA VEZ EN EL MENCIONADO LUGAR PASADOS UNOS 40 MINUTOS DE ESPERA, SE PERCATA QUE SU MOCHILA, LA CUAL LLEVABA COMO EQUIPAJE DE MANO, POSEIA UN TAJO DE APROXIMADAMENTE DIEZ CENTÍMETROS, Y QUE DEL INTERIOR DE LA MISMA FALTABA UNA CAMARA DE FOTOS Y UN PAR DE LENTES PARA SOL. CABE DESTACAR QUE EL DENUNCIANTE NO PUEDE ESPECIFICAR EL MOMENTO DEL ILICITO.</t>
  </si>
  <si>
    <t>ARRIBOS A 2</t>
  </si>
  <si>
    <t>AEROPUERTO JUJUY - BODEGA - PLATAFORMA - CINTA DE ARRRIBOS</t>
  </si>
  <si>
    <t>EL DÍA 02 DE AGOSTO DEL CORRIENTE SIENDO LAS 16:35 HORAS APROXIMADAMENTE PARTIÓ DE LA PROVINCIA DE JUJUY EN EL VUELO AU 2454 DE AUSATRAL A ESTE AEROPUERTO METROPOLITANO, ARRIBANDO A LAS 18:30 HORAS APROXIMADAMENTE, SEGUIDAMENTE RETIRO SU EQUIPAJE DEL SECTOR DE ARRIBOS A2, SIN NOTAR NINGUNA ANOMALÍA EN EL MISMO. ACTO SEGUIDO SE RETIRA A SU DOMICILIO PARTICULAR, Y EN MOMENTOS DE DESEMPACAR SUS PERTENENCIAS, NOTA QUE LE FALTABA DE LA MOCHILA QUE HABÍA DESPACHADO EL PEQUEÑO CANDADO QUE HABÍA COLOCADO EN LAS LENGÜETAS DEL CIERRE DE UNO DE SUS BOLSILLOS, PROCEDE A ABRIR EL MISMO Y SE PERCATA DEL FALTANTE.</t>
  </si>
  <si>
    <t>EN EL DIA DE LA FECHA SE PRESENTA EL DECLARANTE ANTE EL SERVICIO DE GUARDIA PREVENTIVA A FIN DE PONER EN CONOCIMIENTO EL EXTRAVIO DE SU PERMISO PERASONAL PERMANENTE S.N.A NRO. 333034 CON ASIGNACION DE TODOS LOS SECTORES CON FECHA DE VENCIMIENTO 17MAR11, MANIFESTANDO EL CAUSANTE QUE NO PUEDE PRECISAR EL LUGAR, FECHA COMO ASI TAMPOCO LA HORA DEL EXTRAVIO.</t>
  </si>
  <si>
    <t>EL DIA 09 DE AGOSTO DE 2010, SE PRESENTA COMISION DE LA DIRECCION GENERAL DE SEGURIDAD PREVENTIVA A REALIZAR UNA INSPECCION PARCIAL DE LA UOSP. EN EL DIA DE LA FECHA SE RETIRAN DE LA JURISDICCION, SIN NOVEDAD.</t>
  </si>
  <si>
    <t>DE LA SIERRA, LEONOR</t>
  </si>
  <si>
    <t>9328 TOFOLINI FABIO JOSE LUIS S/DENUNCIA Y 9329 JOHNSTON GUILLERMO FABIAN S/DENUNCIA</t>
  </si>
  <si>
    <t>9328 Y 9329</t>
  </si>
  <si>
    <t>INSTALACIONES DE ESTA UOSP EN EL AEROPUERTO PARANA</t>
  </si>
  <si>
    <t>EN EL MARCO DE LAS CAUSAS N° 9328 TOFOLINI FABIO JOSE LUIS S/DENUNCIA Y 9329 JOHNSTON GUILLERMO FABIAN S/DENUNCIA, SIENDO LAS 11HORAS 15 MINUTOS, SE HICIERON PRESENTES EN ESTA UNIDAD, EL JUEZ FEDERAL DE 1° INSTANCIA DR. GUSTAVO ZONIS, LA DRA LEONOR DE LA SIERRA A CARGO DE LA SECRETARÍA PENAL N° 1, LA DRA. SUSANA FRANCHINI JEFA DE DESPACHO SECRETARÍA PENAL N° 1 Y LOS ABOGADOS DALMIRO BASALDURA Y MARTIN MATTEODA, CON MOTIVO DE REALIZAR UNA INSPECCION OCULAR DE LAS INSTALACIONES QUE OCUPA ESTA UNIDAD OPERACIONAL EN EL AEROPUERTO PARANA, ESPECIALMENTE AQUELLAS UBICADAS EN EL PISO INFERIOR DE LA AEROESTACION, CONSIGANDAS EN LOS AUTOS REFERENCIADOS. SIENDO LAS 1130 HORAS, SE RETIRARON DE ESTE AEROPUERTO, INFORMANDO QUE LAS ACTUACIONES SERAN LABRADAS EN SEDE JUDICIAL.</t>
  </si>
  <si>
    <t>ARRIBOS DE LA TRMINAL A</t>
  </si>
  <si>
    <t>EL OFICIAL VICTOR SAMPAYO CUMPLIENDO SERVICIO EN EL PUESTO DENOMINADO, CENTRO OPERATIVO DE CONTROL, MOMENTOS EN EL CUAL OBSERVA POR UNA DE LAS CAMARA DE SEGURIDAD A UNA PERSONA DE SEXO MASCULINO QUE SE ACERCABA ASIDUAMENTE A PERSONAS QUE CIRCULABAN POR LA PERGOLA DE ARRIBOS DE LA TERMINAL A, TOR TAL MOTIVO SE COMUNICA CON EL OFICIAL PABLO PEREZ, QUIEN SE APERSONA EN EL LUGAR CONSTATANDO QUE EL MASCULINO EN CUESTION SE ENCONTRABA OFRECIENDO SERVICIO DE TRANSPORTE PUBLICO A VIVA VOZ FUERA DE LOS LUGARES HABILITADOS PROCEDIENDO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</si>
  <si>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DRA PAULA LUDUEÑA CAMPOS</t>
  </si>
  <si>
    <t>MENDOZA MIGUEL ANGEL Y OTROS S/ INF. LEY 23737</t>
  </si>
  <si>
    <t>58/10</t>
  </si>
  <si>
    <t>EN EL DÍA DE LA FECHA SE RECEPCIONO OFICIO JUDICIAL Nº 604/10, FECHADO EL DÍA 09 DE AGOSTO DE 2010 EN LA CIUDAD DE RÍO GALLEGOS, PROVINCIA DE SANTA CRUZ. DONDE EN REFERENCIA A LO ANTES EXPUESTO EL SEÑOR PRESIDENTE DE JUICIO DR. JORGE E. CHÁVEZ EN LOS AUTOS DE REFERENCIA, REMITE A LA UNIDAD OPERACIONAL DEL NARCOTRÁFICO Y EL DELITO COMPLEJO-RÍO GALLEGOS, CUADERNILLO DE LAS OBSERVACIONES TELEFÓNICAS DEL ABONADO 2966-416159 Y LA CANTIDAD DE QUINCE (15) CASETES CON LA ENUMERACIÓN : X-2-4-5-6-7-8-10-12-13-14-16-17-18-19, A LOS EFECTOS DE QUE SEAN COMPACTADAS EN UNA SOLA CINTA (DE SER POSIBLE) LAS GRABACIONES MAGNETOFÓNICAS OFRECIDAS COMO PRUEBA Y LAS CUALES SERÁN REPRODUCIDAS EN AUDIENCIA DEBATE A CELEBRARSE A PARTIR DEL DÍA 31 DE AGOSTO DEL CORRIENTE AÑO .</t>
  </si>
  <si>
    <t>SIENDO LA FECHA Y HORA ANTES MENCIONADA, EN MOMENTOS EN QUE LOS OFICIALES ROMEO Y VILAS SE ENCONTRABAN EN UNA RECORRIDA POR EL SECTOR MENCIONADO CON ANTERIORIDAD, OBSERVAN Y SORPRENDEN A UNA PERSONA DE SEXO MASCULINO, LA CUAL SE ENCONTRABA REALIZANDO SERVICIO DE MALETERO CARECIENDO DE LA CORRESPONDIENTE HABILITACION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</si>
  <si>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ACTA DE INTERDICCIÓN</t>
  </si>
  <si>
    <t>PATIO DE VALIJA EQUIPO RAYOS X MOVIL</t>
  </si>
  <si>
    <t>INFORMO QUE EN EL CONTROL DE EQUIPAJES DESPACHADOS POR BODEGA SE DETECTA DOS EQUIPAJES CON MARBETE Nº 577776 Y Nº 577777 QUE CONTENDRÍAN EN SU INTERIOR MERCADERÍAS EN PRESUNTA INFRACCIÓN A LEY 22415. SE IDENTIFICA AL PROPIETARIO DEL MISMO Y SE REALIZA LA APERTURA ANTE LA PRESENCIA DE LOS TESTIGOS CONVOCADOS. LOS PASAJEROS TENIA DISTRIBUIDOS LOS ELEMENTOS EN LOS EQUIPAJES DE TAL FORMA QUE EL PERSONAL POLICIAL NO PUDIERA IDENTIFICAR QUERIENDO BURLAR LOS CONTROLES. SEGUIDAMENTE SE PROCEDE A LABRAR ACTA DE INTERDICCIÓN HACIENDO ENTREGA DE LOS ELEMENTOS INTERDICTADOS AL PERSONAL DE LA AFIP-DGA SR. HUGO ROJAS QUIEN PROCEDE AL SECUESTRO DE LOS ELEMENTOS BAJO ACTA Nº 011/10 VALOR APROXIMADO DE LA MERCADERÍA PESOS SEIS MIL</t>
  </si>
  <si>
    <t>4824/10</t>
  </si>
  <si>
    <t>QUE SIENDO APROXIMADAMENTE LAS SIETE HORAS TREINTA MINUTOS SE PROCEDIO AL TRASLADO DEL DETENIDO A SEDE JUDICIAL.-</t>
  </si>
  <si>
    <t>SECTOR PULMON INGRESO A PLATAFORMA</t>
  </si>
  <si>
    <t>EN CUMPLIMIENTO A LA ORDEN DE SERVICIO NRO. 213/10 DE FECHA 10AGO10 SE BRINDO PROTECCCION Y CUSTODIA A LA COMITIVA DE DERECHOS HUMANOS INTEGRADA POR EL JUEZ ESPAÑOL DR. BALTAZAR GARZON Y EL SR.SECRETARIO DE DERECHOS HUMANOS DE LA NACION EDUARDO DUHALDE QUIENES ARRIBARON A ESTA AEROSTACION A LAS 08:02 HRS. EN EL AVION PRESIDENCIAL TANGO 03 QUEDANDO ESTACIONADO EN POSICION 26. LA COMITIVA SE DIRIGIO A POSTERIORI AL EDIFICIO DE LOS TRIBUNALES FEDERALES PARA ASISTIR A LA AUDIENCIA QUE SE LLEVA A CABO POR EL JUZGADO FEDERAL NRO.1 EN LA CAUSA CARATULADA VIDELA JORGE RAFAEL Y OTROS P.SS.AA. IMPOSICION DE TORMENTOS AGRAVADOS, NHOMICIDIO CALILFICADO, IMPOSICION DE TORMENTOS SEGUIDOS DE MUERTE, ENCUBRIMIENTO - EXPTE 172/09 Y LUEGO BRINDO UNA CONFERENCIA DE PRENSA EN LA MISMA SEDE DE LOS TRIBUNALES. LA COMITIVA EMBARCO EN LA MISMA AERONAVE CON DESTINO A LA BASE AEREA MILITAR DE EL PALOMAR SIN NOVEDAD SIENDO LAS DIECISIETE VEINTE HORAS</t>
  </si>
  <si>
    <t>CIUDAD AUTONOMA</t>
  </si>
  <si>
    <t>EL PALOMAR</t>
  </si>
  <si>
    <t>SIENDO LAS 16:45HS ARRIBA A ESTE AEROPUERTO LA MINISTRA DE DEFENSA, SRA. NILDA GARRE Y COMITIVA, EN AERONAVE FK 28, MATRICULA TC 55 DE LA FUERZA AEREA ARGENTINA. LA MISMA INGRESA POR SALON VIP DE ESTE AEROPUERTO, RETIRANDOSE VIA TERRESTRE DE LA JURISDICCION HACIA LA CIUDAD SIN NOVEDADES.</t>
  </si>
  <si>
    <t>EN EL CONTROL DE EQUIPAJES DESPACHADOS POR BODEGA DEL VUELO NRO 2725 DE LA EMPRESA AUSTRAL LÍNEAS AÉREAS SE DETECTAN DOS EQUIPAJES CON MARBETES NRO 577735 Y 577736 QUE CONTENDRÍAN EN SU INTERIOR MERCADERÍAS EN PRESUNTA INFRACCIÓN A LA LEY 22415. SE IDENTIFICA AL PROPIETARIO DE LOS MISMOS QUIEN REALIZA LA APERTURA ANTE PRESENCIA DE LOS TESTIGOS CONVOCADOS A TAL EFECTO CONSTATÁNDOSE LA EXISTENCIA DE DICHAS MERCADERÍAS EN INFRACCIÓN. SE PROCEDE A LABRAR ACTA DE INTERDICCIÓN Y SE HACE ENTREGA DE LAS MISMA AL PERSONAL DE AFIP- DGA SR.ROJAS HUGO LEGAJO NRO 17542-1 QUIEN PROCEDE AL SECUESTRO BAJO ACTA DE SECUESTRO NRO 012/2010. VALOR APROXIMADO DE LAS MERCADERÍAS PESOS DOCE MIL .-</t>
  </si>
  <si>
    <t>PRESUNTA INFRACCION AL ART. 246 DEL C.P.N.</t>
  </si>
  <si>
    <t>SECTOR DENOMINADO PERGOLA NUMERO 2</t>
  </si>
  <si>
    <t>SE HACE PRESENTE EN EL SECTOR DETALLADO, UNA PERSONA DE SEXO MASCULINO EN UN VEHICULO PEUGEOT 406 DOMINIO CRM 496 Y MOMENTOS DE ESTACIONAR, PERSONAL DE VIGILANCIA LE INFORMA QUE NO PODÍA HACERLO EN DICHO SECTOR. SIMULTÁNEAMENTE SE PRESENTA PERSONAL POLICIAL Y SE INTERIORIZA DE LOS PORMENORES Y OBSERVA QUE EN EL PARABRISAS DELANTERODEL VEHICULO ERA HABIDO UN CARTEL EL CUAL LO HABILITABA A ESTACIONAR, SE LE SOLICITA LA ACREDITACIÓN QUE LO VINCULE CON EL MINISTERIO QUE ES DE FIGURACIÓN EN EL MENCIONADO CARTEL, EL MISMO MANIFESTÓ NO POSEERLA. POR TAL MOTIVO ES CONDUCIDO AL ASIENTO DE ESTA GUARDIA DE PREVENCIÓN. EL JUZGADO DE TURNO Y POR MEDIO DE SU SECRETARIA INDICA LA DETENCIÓN E INCOMUNICACIÓN DEL MASCULINO, SE LABREN LAS ACTUACIONES DE RIGOR Y QUE EL CAUSANTE SEA TRASLADADO A SEDE JUDICIAL EL DÍA 11-08-10 A PRIMERA HORA. SE INFROMA EN P.U. Nº 4863 QUE EL CAUSANTE FUE TRASLADADO A SEDE JUDICIAL A LAS 0730 HS DEL DIA 11/08/2010.</t>
  </si>
  <si>
    <t>MIQUELARENA</t>
  </si>
  <si>
    <t>Rodolfo Mariano</t>
  </si>
  <si>
    <t>MONELA FLORENCIA</t>
  </si>
  <si>
    <t>HALLAZGO COCAINA HALL PUBLICO PUERTO MADRYN</t>
  </si>
  <si>
    <t>SECTOR PUBLICO ANTES DEL INGRESO A PREEMBARQUE</t>
  </si>
  <si>
    <t>EN EL DIA DE LA FECHA SE PROCEDE A REALIZAR ACTA DE PROCEDIMIENTO NRO 080/10 REFERENTE AL HALLAZGO EN EL PISO EN EL SECTOR PUBLICO DE INGRESO A PREEMBARQUE, POR PARTE DE PERSONAL DE LA EMPRESA SERZA, DE UN BILLETE DE 10 PESOS CERRADO CON VARIOS PLIEGES CONTENIENDO EN SU INTERIOR UNA SUSTANCIA EN POLVO DE COLOR BLANCA, QUE LUEGO DE REALIZARLE EL REACTIVO CORRESPONDIENTE DIO POSITIVO A COCAINA, DANDO INTERVENCION AL JUZGADO DE 1º INSTANCIA DE RAWSON, A CARGO DEL JUEZ SUBROGANTE DR. RODOLFO MARIANO MIQUELARENA QUIEN DETERMINO SE LABRE LAS ACTUACIONES DE RIGOR Y SEAN ELEVADAS A SEDE JUDICIAL.</t>
  </si>
  <si>
    <t>Dra. FLORENCIA VIÑUALES</t>
  </si>
  <si>
    <t>BARRIENTOS JUAN PEDRO S/ESTAFA</t>
  </si>
  <si>
    <t>S/NOTIFICACION</t>
  </si>
  <si>
    <t>PUNTO DE CONTROL DOCUMENTOS</t>
  </si>
  <si>
    <t>EN EL DIA DE LA FECHA SE PROCEDE A IDENTIFICAR Y NOTIFICAR AL CIUDADANO JUAN PEDRO BARRIENTOS, DNI Nº 16.987.636, SOBRE QUIEN RECAE UN PEDIDO DE PARADERO, SEGUN EL SISTEMA RED LINCE, BAJO EL REGISTRO Nº 278249, VINCULADO A LA CAUSA CARATULADA -BARRIENTOS JUAN PEDRO S/ESTAFA- . EN VIRTUD DE LOS AUTOS DE REFERENCIA EL CITADO CIUDADANO FIJO DOMICILIO REAL EN CALLE JUNIN Nº 605 DE LA CIUDAD DE SAN MIGUEL DE TUCUMAN, PROVINCIA DE TUCUMAN Y CONTINUO CON SU VIAJE PROGRAMADO.</t>
  </si>
  <si>
    <t>PATRICIA MARIA BRIZUELA</t>
  </si>
  <si>
    <t>LESIONES LEVES ART 89 CPN</t>
  </si>
  <si>
    <t>OFICINA AEROPUERTO DE LA EMPRESA DE ALQUILER DE AUTOS</t>
  </si>
  <si>
    <t>SIENDO LAS 19 HORAS CON 20 MINUTOS APROXIMADAMENTE SE RECIBE DENUNCIA POR PARTE DEL JEFE DE ESCALA DE LA EMPRESA HERTZ SR. VARGAS GERMAN DEBIDO A AGRESIONES POR PARTE DE EMPLEADO DE LA EMPRESA SR. DE LA VEGA, GONZALO DESPUES DE ANOTICIARSE DE SU DESPIDO. EL MAGISTRADO INTERVINIENTE DISPUSO QUE SE REGISTRE DATOS DEL IMPUTADO, SE LE TOME DECLARACION TESTIMONIAL NO QUEDANDO DETENIDO Y SE ELEVEN LAS ACTUACIONES DE RIGOR.-</t>
  </si>
  <si>
    <t>SANSON MIGUEL ANGEL</t>
  </si>
  <si>
    <t>EN LA FECHA SE PRESENTA ANTE EL OF. MAY. FERREYRA WALTER ANDRES, EL CIUDADANO JORGE OMAR CASANOVA DNI N° 21.384.733, QUIEN MEDIANTA ACTA DE EXPOSICION Nº 0137/10 MANIFIESTA QUE EL DIA 28 DE JULIO DE 2010 EN VUELO DE LAN ARGENTINA N° 4150 PROCEDENTE DE BS. AS. RECIBE UNA CARGA CON GUIA AEREA N° 00271743, LA CUAL AMPARABA LA CANTIDAD DE 63 BULTOS, DE LOS CUALES UN BULTO LLEGO ABIERTO, CON UNA DIFERENCIA DE PESO DE 0.48 KILOGRAMOS DE MENOS. SE DIO INTERVENCION AL JUZGADO FEDERAL DE TURNO DE LO EXPUESTO POR EL SR. CASANOVA ORDENANDO EL MISMO SE LABREN LAS ACTUACIONES CORRESPONDIENTES Y SU POSTERIOR ELEVACION.</t>
  </si>
  <si>
    <t>EMPRESA GATE GOURMET</t>
  </si>
  <si>
    <t>MIENTRAS PERSONAL DE GATE GOURMET SE ENCONTRABA TRASLADANDO OCHO CARROS CON RUEDAS DENOMINADOS TROLLEYS, LOS CUALES CONTIENEN ELEMENTOS PARA LA VENTA DENTRO DE LAS AERONAVES, DICHO PERSONAL LOS ACOMODO DENTRO DE UN MONTACARGAS QUE SE HALLABA EN LA PLANTA BAJA DE LAS INSTALACIONES DEL DEPOSITO DE ESA EMPRESA. LUEGO DE ESTO, ESTE PERSONAL SE RETIRO A ALMORZAR Y TRANSCURRIDOS TREINTA MINUTOS APROXIMADAMENTE REGRESO DEL COMEDOR Y SE DIRIGIO AL MONTACARGAS EN CUESTION, PERCATANDOSE DEL FALTANTE DE UNO DE LOS TROLLEYS. INMEDIATAMENTE SE DISPUSO A BUSCARLO, ENCONTRANDOLO EN EL ENTREPISO DEL DEPOSITO CON SU SUNCHO Y SU PRECINTO ROTOS. POR TAL MOTIVO, ESTE ANOTICIO DE LOS HECHOS ACAECIDOS A LA GERENCIA DE PLANTA Y AL PERSONAL DE LA EMPRESA LAN CHILE Y ESTE ULTIMO LE INFORMO QUE HARIAN UN ARQUEO DE LOS ELEMENTOS HABIDOS DENTRO DEL TROLLEYS A FINES DE CONSTATAR SI HABIA FALTANTES. A TAL EVENTO, Y UNA VEZ OBTENIDO EL ARQUEO SE DIRIGIO A ESTA GUARDIA DE PREVENCION PARA RADICAR FORMAL DENUNCIA POR LOS ELEMENTOS FALTANTES.</t>
  </si>
  <si>
    <t>GATE GOURMET</t>
  </si>
  <si>
    <t>SIENDO LAS 23:15 HORAS DEL DIA 10 DE AGOSTO DEL CORRIENTE ARRIBA AERONAVE MATRICULA LV -AYD DE LA EMPRESA AUSTRAL LINEAS AEREAS PROCEDENTE DE AEROPUERTO JORGE NEWBERY EN CUYAS BODEGAS 3 Y 5 SE DESPACHAN 57 BULTOS CON UN PESO DE 2.394 KILOGRAMOS DE METAL -MTD- DE LA EMPRESA MINERA SANTA CRUZ, CON DESTINO A AEROPUERTO JORGE NEWBERY. EL VUELO DESPEGA A LAS 06:20 HORAS SIN NOVEDAD. SE DIO CUMPLIMIENTO A ORDEN DE SERVICIO NRO 0071/2010.</t>
  </si>
  <si>
    <t>SIENDO LAS 07:50 HORAS ARRIBA AERONAVE MATRICULA LV BRY DE LA EMPRESA LAN ARGENTINA PROCEDENTE DE AEROPUERTO JORGE NEWBERY EN CUYAS BODEGAS 31,32 Y 42 SE DESPACHAN 120 CAJAS CON UN PESO DE 2.520 KILOGRAMOS DE METAL - MTD - DE LA EMPRESA MINERA SANTA CRUZ CON DESTINO AL AEROPUERTO JORGE NEWBERY. EL VUELO DESPEGA A LAS 08:42 HORAS SIN NOVEDAD. SE DIO CUMPLIMIENTO A ORDEN DE SERVICIO NRO 0071/10.</t>
  </si>
  <si>
    <t>4853/10</t>
  </si>
  <si>
    <t>QUE SIENDO LAS 07:30 HS SE PROCEDIO A TRASALDAR AL DETENIDO EM AUTOS, A SEDE JUDICIAL</t>
  </si>
  <si>
    <t>MARCELO T DE ALVEAR NRO. 949 - C.A.B.A</t>
  </si>
  <si>
    <t>EN EL AEROPUERTO DE BOGOTA EL DIA 08/08/2010 LA DENUNCIANTE DESPACHA A BODEGA DOS EQUIPAJES, POR LA EMPRESA TACA, CON DESTINO A ESTE AEROPUERTO PREVIA ESCALA EN LA CIUDAD DE LIMA - PERU. UNA VEZ QUE ARRIBA AL AEROPUERTO DE LIMA, PERSONAL DE EMPRESA TACA, LE MANIFIESTA A LA DENUNCIANTE, QUE DEBERÍA EFECTUAR, UN CAMBIO DE AERONAVE Y LA EMBARCARÍA EN UN VUELO DE LA EMPRESA LAN. SEGUIDAMENTE ABORDA EL CITADO VUELO Y CONTINUA CON SU VIAJE. UNA VEZ ARRIBADA A ESTE AEROPUERTO, DESPUES DE ESPERAR UNA HORA SU EQUIPAJE Y NO HABER LLEGADO, EFECTÚA EL RECLAMO DE EQUIPAJE EN LA OFICINA DE LAN, DONDE LE MANIFIESTAN QUE SUS EQUIPAJES LLEGARÍAN A LA TARDE Y SE LO LLEVARÍAN A SU DOMICILIO PARTICULAR. EL DIA 10/08/2010 RECIBE EL EQUIPAJE EN SU DOMICILIO, Y SE PERCATA QUE EL CANDADO DE SEGURIDAD DEL A MISMA SE ENCONTRABA ROTO Y LE FALTABAN ELEMENTOS DE SU INTERIOR.</t>
  </si>
  <si>
    <t>BOGOTA // TA 133</t>
  </si>
  <si>
    <t>4863/10</t>
  </si>
  <si>
    <t>QUE SIENDO LAS 12:00 HS REGRESA LA COMISION JUNTAMENTE CON EL DETENIDO Y UN OFICIO DONDE ORDENA SE LIBERE AL CAUSANTE Y EFECTUE LA ENTREGA DE LA TOTALIDAD DE SUS EFECTOS Y VEHICULO, DEBIENDOSE ELEVAR EL OFICIO CUMPLIMENTADO JUNTAMENTE CON EL SECUESTRO OBRANTE EN EL SOBRE B. POR TAL MOTIVO SIENDO LAS 13.40 SE REALIZO LA DILIGENCIA ORDENADA SIN NOVEDADES. RETIRANDOSE EL IMPUTADO POR SUS PROPIOS MEDIOS Y CONFORME CON LOS TRATOS RECIBIDOS.</t>
  </si>
  <si>
    <t>DRA ADRIANA CECCONI</t>
  </si>
  <si>
    <t>SIENDO LA FECHA Y HORA ANTES MENCIONADA, EN MOMENTOS EN QUE EL OFICIAL ROMEO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</si>
  <si>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INFORMO QUE EN EL DIA DE LA FECHA SE PRESENTA EN EL TURNO DE PREVENCION UN PASAJERO DE ANDES LINEAS AEREAS SR. WALTER OCTAVIO CHIHAN SANCHEZ, DONDE DENUNCIA VERBALMENTE QUE AL ARRIBAR A ESTE AEROPUERTO A HS. 11,20 DEL DIA DE LA FECHA, PROCEDENTE DE CORDOBA, AL RETIRAR SU EQUIPAJE SE DA CON EL FALTANTE DE UNA CAMARA FOTOGRAFICA DIGITAL MARCA NIKON, LA CUAL SE ENCONTRABA DENTRO DE UN BOLSO DE CUERO COLOR NEGRO. DESPACHADO POR BODEGA. SE INVITA AL PASAJERO A FORMALIZAR LA CORRESPONDIENTE DENUNCIA, DONDE MANIFIESTA QUE NO QUERIA Y NO TENIA TIEMPO. POSTERIORMENTE SE INFORMA TELEFONICAMENTE DE LO SUCEDIDO A LA DRA. PAULA GALLO PULO, SECRETARIA DE LA FISC.FDRAL DE SALTA Nº 2 A CARGO DEL DR. EDUARDO JOSE VILLALBA, QUIEN ORDENA QUE SE ACTUE DE OFICIO Y SE REALICEN LAS ACTUACIONES CORRESPONDIENTES Y UNA VEZ CONCLUIDAS SE ELEVEN A ESA FISCALIA.</t>
  </si>
  <si>
    <t>D´AMORE</t>
  </si>
  <si>
    <t>QUE EL DIA DE LA FECHA EL DENUNCIANTE MANIFESTO QUE LE HABIAN SUSTRAIDO UN MALETIN DE CUERO COLOR NEGRO CON EFECTOS DE VALOR Y PERSONALE EN EL SECTOR DE ADUANA, ARRIBOS DE PASAJEROS SECTOR RESTRINGIDO. SIN MAS, EL JEFE DE TURNO RECIBE FORMAL DENUNCIA, UNA VEZ CUMPLIMENTADA Y HABIENDOSE COTEJADO LOS REGISTROS FILMICOS DE HECHO DENOTAN QUE EL ELEMENTO SE ENCONTRABA EXACTAMENTE EN EL LUGAR DONDE EL DUEÑO LO HABIA DEJADO, APOYADO A UNA CINTA DE ADUANA, NO OBSERVANDOSE IRREGULARIDADES EN EL PROCEDER DE LA DGA, QUIENES LO RESGUARDABAN A LA ESPERA DE SU PROPIETARIO. POR TAL MOTIVO QUIEN SUSCRIBE CONVOCA A DOS TESTIGOS HABILES, A LOS EFECTOS DE REALIZAR UN CONTROL A FIN DE COTEJAR CONCIDENCIAS CON EL MALETIN DENUNCIADO, PREVIA COMUNICACION CON EL MAGISTRADO INTERVINIENTE, QUIENJ DISPONE QUE DE SER EL MALETIN EN CUESTION SE ANULE LA CAUSA INICIADA, SE LABRE ACTA DEJANDO CONSTANCIA INTERNA, Y SE HAGA ENTREGA DEL MALETIN A SU PROPIETARIO EN PRESENCIA DE LOS TESTIGOS. FINALMENTE SE DEJA CONSTANCIA QUE EL DENUNCIANTE SE RETIRO DE ESTA GUARDIA DE PREVENCION POR SUS PROPIOS MEDIOS Y CONFORME CON LOS TRATOS RECIBIDOS.</t>
  </si>
  <si>
    <t>PROCEDO A INFORMAR QUE EN EL DIA DE LA FECHA EL DETENIDO ALOJADO EN EL HOSPITAL ZONAL DE EZEIZA SIENDO LAS DOCE HORAS TREINTA MINUTOS DEPUSO 27 CAPSULAS LAS CUALES ARROJARON UN PESO TOTAL DE 242 GRAMOS</t>
  </si>
  <si>
    <t>DR. BAGUR CRETA</t>
  </si>
  <si>
    <t>S/ INFRACCION LEY 23737</t>
  </si>
  <si>
    <t>SIENDO LAS 14:15 HORAS MIENTRAS LA OFICIAL ZALAZAR REALIZABA CONTROLES PREVENTIVOS EN EL PREEMBARQUE DE CABOTAJE Y EN MOMENTOS EN QUE UNA PASAJERA DEL VUELO Nº 4347 DE LA EMPRESA LAN ARGENTINAS TRASPASA EL MARCO DETECTOR DE METALES ACTIVANDO EL MISMO LA OFICIAL PROCEDE A REALIZAR UN CACHEO MANUAL A LA CIUDADANA PAULA ANDREA ARBOLEDA ZULOAGA DE NACIONALIDAD COLOMBIANA, DETECTANDO ENTRE SUS ROPAS UN OBJETO QUE NO PUEDE IDENTIFICAR AL SOLICITARLE A LA CIUDADANA QUE MUESTRE EL OBJETO ESTA EXTRAE UN PAQUETE DE CIGARRILLOS DENTRO DEL CUAL HABÍAN DOS CIGARRILLOS ARMADOS JUNTO CON TRES COMUNES POR LO QUE PROCEDE A SOLICITARLE AL OFICIAL WEIMER LA PRESENCIA DE DOS TESTIGOS HÁBILES ANTE LOS CUALES SE REALIZA A LOS CIGARRILLOS ARMADOS UN REACTIVO DE COMPROBACIÓN PARA MARIHUANA DANDO COMO RESULTADO POSITIVO, POR LO QUE JUNTO CON EL OFICIAL GARCIA STEINER Y LOS TESTIGOS SE DIRIGEN A LA OFICINA DEL TURNO Y LUEGO DE REALIZAR UN REGISTRO EN UNA MOCHILA QUE LLEVABA LA CIUDADANA SE ENCUENTRA EN SU INTERIOR UN ENVASE PLÁSTICO BLANCO CON LA INSCRIPCIÓN BAUSCH E LOMB SOLUCIÓN PARA LENTES DE CONTACTO AL CUAL SE LE REALIZA UN REACTIVO DE COMPROBACIÓN COCA TEST ARROJANDO RESULTADO POSITIVO, SE PROCEDA A DAR INTERVENCIÓN AL JUZGADO FEDERAL QUIEN ORDENA EL SECUESTRO DE LOS ELEMENTOS, SE NOTIFIQUE DE CAUSA Y LA CIUDADANA PROSIGA CON SU VIAJE PROGRAMADO.</t>
  </si>
  <si>
    <t>MINISTERIO PUBLICO FISCAL S/SOLICITA EN CAUSA 05/07 AGUIRRE VICTOR RAUL</t>
  </si>
  <si>
    <t>SAN SALVADOR DE JUJUY - JUJUY</t>
  </si>
  <si>
    <t>SE INFORMA QUE DE ACUERDO A LO ORDENADO MEDIANTE OFICIO JUDICIAL SIN NUMERO DE FECHA 7 DE JUNIO DEL 2010, RECEPCIONADO EL DIA 11 DE AGOSTO DEL 2010, LIBRADO POR EL JUZGADO FEDERAL N° 1 DE BAHIA BLANCA, A CARGO DEL DR. ALCINDO ALVAREZ CANALE, SECRETARIA DE DERECHOS HUMANOS A CARGO DEL DR. MARIO A. FERNANDEZ MORENO, EN RELACION A LA CAUSA 05/07, CARATULADA MINISTERIO PUBLICO FISCAL S/SOLICITA EN CAUSA 05/07 AGUIRRE VICTOR RAUL, POR EL CUAL ORDENA PROCEDER A LA DETENCION DE AGUIRRE VICTOR RAUL, DNI N° 8.258.124 Y UNA VEZ PROCEDIDA LA MISMA, EL DETENIDO DEBERA SER TRASLADADO HASTA EL SERVICIO PENITENCIARO N° 20 DE JUJUY, DONDE QUEDARA ALOJADO PARA SU POSTERIOR TRASLADO POR PERSONAL DE ESA DEPENDENCIA HASTA LA UNIDAD PENAL N° 4 DEL SERVICIO PENITENCIARIO BONAERENSE EN VILLA FLORESTA DE LA CIUDAD DE BAHIA BLANCA. ANTE ESTA SITUACION SE GENERO ORDEN DE SERVICIO N° 024/2010 DE FECHA 11 DE AGOSTO DEL 2010, LA CUAL HACE MENCION QUE PERSONAL DE LA UOCN Y DC DEL NORTE, CON PERSONAL DE LA UOCN Y DC CENTRAL, SE DESPLAZARAN A LAS 06:00 HORAS DEL DIA 12 DE AGOSTO DEL 2010, HASTA LA PROVINCIA DE SAN SALVADOR DE JUJUY, A LOS FINES DE DAR CUMPLIMIENTO AL MANDATO JUDICIAL. SE REALIZO COORDINACION TELLEFONICA CON EL JEFE DE UOSP JUJUY, A LOS FINES DE SOLICITAR LA FACILITACION DEL MOVIL DE DOTACION IDENTIFICABLE CON CHOFER Y CUSTODIA, A LOS FINES DE REALIZAR EL TRASLADO DEL DETENIDO. SEGÚN AMPLIACION PU Nº 4882/10 SE INFORMA LA RECEPCION DEL OFICIO JUDICIAL N° 1955 DE FECHA 11 DE AGOSTO DEL 2010 LIBRADO POR EL JUZGADO FEDERAL N° 1 DE JUJUY, A CARGO DEL DR. MARIANO WENCESLAO CARDOZO, SECRETARIA DE DERECHOS HUMANOS A CARGO DE LA DRA. MARIA A. CATALDI, DE ACUERDO A LOS AUTOS CARATULADOS EXHORTO DEL JUEZ FEDERAL DE BAHIA BLANCA PROVINCIA DE BUENOS AIRES, CARATULADO MINISTERIO PUBLICO FISCAL S/SOLICITA EN CAUSA N° 05/07 AGUIRRE VICTOR RAUL EXPTE. 05/07 INC. 220, EL CUAL ORDENA LA DETENCION EN EL LUGAR QUE SE ENCUENTRE, SEA EN VIA PUBLICA O DOMICILIO Y ALLANAMIENTO DEL INMUEBLE, SITO EN CALLE ZURITA N° 263 DEL BARRIO ALMIRANTE BROWM DE LA CIUDAD DE SAN SALVADOR DE JUJUY PROVINCIA DE JUJUY, DONDE RECIDIRIA AGUIRRE VICTOR RAUL DNI 8.258.124, DEBIENDO SECUESTRAR TODA DOCUMENTACION QUE PUEDA TENER RELACION DIRECTA O INDIRECTA CON ESTA CAUSA, SIENDO LAS 09:10 SE REALIZA EL ALLANAMIENTO Y DETENCION DE AGUIRRE, SECUESTRANDOSE UN DNI A SU NOMBRE. EL DETENIDO SERA TRASLADADO EN CARACTER DE COMUNICADO A LA UNIDAD N° 8 DEL SERVICIO PENITENCIARIO DE JUJUY A DISPOSICION DEL JUZGADO FEDERAL N° 1 DE BAHIA BLANCA , PARA QUE PRESONAL DE ESA DEPENDENCIA REALICE EL TRASLADO AL SERVICIO PENITENCIARIO FEDERAL N° 4 DE BAHIA BLANCA. SEGÚN AMPL. PU Nº 4896 SE INFORMA QUE A HORAS 15:15 SE HACE ENTREGA DEL DETENIDO AGUIRRE VICTOR RAUL DNI 8.258.124, AL SERVICIO PENITENCIARIO FEDERAL N° 8 DE LA PROVINCIA DE JUJUY, SIENDO RECIBIDO POR EL ADJUNTO PRINCIPAL RICARDO VARGAS JEFE SECCION JUDICIAL.</t>
  </si>
  <si>
    <t>4851/10</t>
  </si>
  <si>
    <t>EN EL DIA DE LA FECHA SIENDO LAS 20:20HS, ARRIBAN A ESTE AEROPUERTO, VIA TERRESTRE, LA MINISTRA DE DEFENSA, SRA. NILDA GARRE Y COMITIVA, INGRESANDO AL SALON VIP Y EMBARCANDO EN AERONAVE FK 27, MATRICULA FA380 TC 79, DE LA FUERZA AEREA ARGENTINA, DESPEGANDO 20:30HS CON DESTINO AL AEROPARQUE JORGE NEWBERY SIN SURGIR NOVEDADES.</t>
  </si>
  <si>
    <t>DRA.MARIA FLORENCIA FARINELLA</t>
  </si>
  <si>
    <t>NN SOBRE DELITO DE HURTO</t>
  </si>
  <si>
    <t>AERONAVE PIPER PA 23 MATRICULA LV-MJP</t>
  </si>
  <si>
    <t>HANGAR ALAS ARGENTINA</t>
  </si>
  <si>
    <t>EL DIA 07/07/2010 LA AERONAVE ES HANGARADA EN EL LUGAR DETALLADO. EL DIA 14/07/2010 AL INGRESAR EL PILOTO A LA MISMA OBSERVA EL FALTANTE DEL EQUIPO DETALLADO. EL PILOTO ES EL SR.MONTESANO RICARDO D.N.I.31925998</t>
  </si>
  <si>
    <t>DOMICILIO DEL DAMNIFICADO</t>
  </si>
  <si>
    <t>QUE EL DIA PRIMERO DE AGOSTO EL DENUNCIANTE ARRIBO AL PAIS. QUE SUS EQUIPAJES DESPACHADOS A BODEGA DE AERONAVE NO ARRIBARON POR MOTIVO DE QUE HABIAN SIDO MARBETEADOS POR ERROR DE LA EMPRESA CON DISTINTO NOMBRE Y DESTINO. QUE EL DIA CINCO DE AGOSTO RECIBIO EN SU DOMICILIO UNO DE SUS EQUIPAJES DEL TIPO BOLSO MARCA ADIDAS PERCATANDOSE DE FALTANTES. QUE EL DIA SEIS DE AGOSTO DEL CORRINTE AÑO RECIBIO EN SU DOMICILIO UN SEGUNDO EQUIPAJE DEL TIPO VALIJA DEL CUAL DE IGUAL MANERA QUE EL PRIMERO SE PERCATA DE FALTANTES.-</t>
  </si>
  <si>
    <t>DR. JORGE HORACIO POLVERINI</t>
  </si>
  <si>
    <t>SE RECIBE COMUNICACIÓN VÍA NEXTEL POR PARTE DE PERSONAL DE VIGILANCIA DE AEROPUERTOS ARGENTINA 2000, INFORMANDO QUE POR MEDIOS DE LAS CÁMARAS, SE HABÍA VISUALIZADO A TRES PERSONAS, DOS DE SEXO MASCULINO Y UNA DE SEXO FEMENINO, HURTANDO DE UN CARRO PORTA EQUIPAJE UN MALETÍN, EN EL HALL DEL SECTOR A2. SE COMISIONA PERSONAL POLICIAL AL SECTOR DONDE SE ENCONTRABA UN SUPERVISOR DE AEROPUERTOS ARGENTINA 2000, UN MASCULINO, UN FEMENINO, Y A LA VICTIMA DEL HURTO. PERSONAL SE DIRIJE A LA SALA DE VIDEO, DONDE SE PUDO CONSTATAR QUE, EN EL HALL DEL SECTOR A2, SE ENCONTRABAN UN MASCULINO JUNTO A UN FEMENINO SIMULANDO SER UNA PAREJA, TOMADOS DE LA MANO, QUIENES DISTRAJERON A UNA PASAJERA, QUE SE ENCONTRABA CON SU CARRO PORTA EQUIPAJE LLENO DE BOLSOS, MIENTRAS TANTO EL OTRO MASCULINO TRATABA DE HURTARLE ALGUNO DE LOS BOLSOS SIN PODER CONSUMAR EL HECHO, ACTO SEGUIDO, SE LO OBSERVA AL OTRO HOMBRE, ALEJARSE DE LA FEMENINO Y EN MOMENTOS QUE OTRO PASAJERO SE ENCONTRABA EN EL STAND DE TIENDA LEÓN, UBICADO EN DICHO SECTOR, TOMA DE SU CARRO PORTA EQUIPAJE UN BOLSO COLOR NEGRO Y SE RETIRA RÁPIDAMENTE HACIA LA VEREDA, DONDE SE PUDO VISUALIZAR QUE LO AGUARDABA UN VEHICULO COLOR GRIS, SUBIENDO VELOZMENTE AL MISMO Y RETIRÁNDOSE DE ESTE AEROPUERTO METROPOLITANO CON SENTIDO A LA AV. SARMIENTO, ASIMISMO SE PUEDO VISUALIZAR QUE LAS OTRAS DOS PERSONAS EN CUESTIÓN, NO LOGRAN ASCENDER AL VEHICULO, YA QUE ÉSTE SE RETIRA VELOZMENTE, QUEDANDO A ORILLAS DE LA AV. RAFAEL OBLIGADO, DONDE SON INTERCEPTADOS POR PERSONAL DE AEROPUERTO ARGENTINA 2000 Y PERSONAL DE OFICIALES. SIENDO LAS 18:45 HORAS EL DAMNIFICADO RADICA LA DENUNCIA CORRESPONDIENTE Y A LAS 18:50 HORAS SE REALIZA COMUNICACIÓN CON LA JUDICATURA ACTUANTE QUIEN DISPONE: DILIGENCIAS DE RIGOR, SECUESTRO DEL CELULAR DEL MASCULINO, SOLICITAR INFORME PATRONÍMICO DEL VEHICULO, MOVIMIENTOS MIGRATORIOS Y CON RESULTADO DE REINCIDENCIA REALIZAR NUEVA COMUNICACIÓN A LAS 08:15 HORAS DEL DÍA 12 DEL CORRIENTE MES Y AÑO. SE INFORMA EN P.U. 4890 QUE EN HORAS 1130 DEL DIA 12/08/2010 SE TRASLADO A LOS IMPUTADOS A SEDE JUDICIAL.</t>
  </si>
  <si>
    <t>4875/10</t>
  </si>
  <si>
    <t>CUIDAD DE SAN SALVADOR DE JUJUY PROVINCIA DE JUJUY</t>
  </si>
  <si>
    <t>SE INFORMA LA RECEPCION DEL OFICIO JUDICIAL N° 1955 DE FECHA 11 DE AGOSTO DEL 2010 LIBRADO POR EL JUZGADO FEDERAL N° 1 DE JUJUY, A CARGO DEL DR. MARIANO WENCESLAO CARDOZO, SECRETARIA DE DERECHOS HUMANOS A CARGO DE LA DRA. MARIA A. CATALDI, DE ACUERDO A LOS AUTOS CARATULADOS EXHORTO DEL JUEZ FEDERAL DE BAHIA BLANCA PROVINCIA DE BUENOS AIRES, CARATULADO MINISTERIO PUBLICO FISCAL S/SOLICITA EN CAUSA N° 05/07 AGUIRRE VICTOR RAUL EXPTE. 05/07 INC. 220, EL CUAL ORDENA LA DETENCION EN EL LUGAR QUE SE ENCUENTRE, SEA EN VIA PUBLICA O DOMICILIO Y ALLANAMIENTO DEL INMUEBLE, SITO EN CALLE ZURITA N° 263 DEL BARRIO ALMIRANTE BROWM DE LA CIUDAD DE SAN SALVADOR DE JUJUY PROVINCIA DE JUJUY, DONDE RECIDIRIA AGUIRRE VICTOR RAUL DNI 8.258.124, DEBIENDO SECUESTRAR TODA DOCUMENTACION QUE PUEDA TENER RELACION DIRECTA O INDIRECTA CON ESTA CAUSA, SIENDO LAS 09:10 SE INFORMA LA DETENCION DEL ANTES MENCIONADO EN OFICIO JUDICIAL N° 1955 Y PROCEDIENDO AL ALLANAMIENTO DEL INMUEBLE, DEBIENDO REALIZAR LAS ACTUACIONES PERSONAL DE ESTA FUERZA. DEBIENDO TRASLADAR Y ALOJAR AL DETENIDO EN CARACTER DE COMUNICADO EN UNIDAD N° 8 DEL SERVICIO PENITENCIARIO DE JUJUY A DISPOSICION DEL JUZGADO FEDERAL N° 1 DE BAHIA BLANCA , PARA QUE PRESONAL DE ESA DEPENDENCIA REALICE EL TRASLADO AL SERVICIO PENITENCIARIO FEDERAL N° 4 DE BAHIA BLANCA. SE AMPLIARA</t>
  </si>
  <si>
    <t>SIENDO LA FECHA Y HORA ANTES MENCIONADA, EL OFICIAL CARABAJAL RECIBE MODULACION POR PARTE DEL COC INFORMANDO QUE UN TAXISTA SUBE UN PASAJERO EN UN LUGAR NO HABILITADO, DIRIGIENDOSE HACIA LA SALIDA DEL AEROPUERTO. POSTERIORMENTE EL OFCIAL CARABAJAL COMUNICA MEDIANTE HT AL PUESTO TAQUILLA PARA QUE DETUVIESE AL VEHICULO EN CUESTION. SEGUIDAMENTE EL PERSONAL POLICIAL DE LA TAQUILLA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</si>
  <si>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 MARIO A. FERNANDEZ</t>
  </si>
  <si>
    <t>MINISTERIO PUBLICO FISCAL S/SOLICITA EN CAUSA 05/07</t>
  </si>
  <si>
    <t>CALLE ZURITA NRO. 263 - BARRIO SAN PEDRO - SAN SALVADOR DE JUJUY - PROVINCIA DE JUJUY</t>
  </si>
  <si>
    <t>EN EL DIA DE LA FECHA, SIENDO LAS 10:45 HS., PERSONAL DE ESTA UNIDAD OPERACIONAL DE CONTROL DEL NARCOTRAFICO CENTRAL CONJUNTAMENTE CON PERSONAL DE LA DOTACION DE LA UNIDAD OPERACIONAL DE SEGURIDAD AEROPORTUARIA JUJUY Y SALTA, PROCEDIO AL ALLANAMIENTO Y POSTERIOR DETENCION DEL SUBOFICIAL MAYOR RETIRADO DEL EJERCITO ARGENTINO VICTOR RAUL AGUIRRE, QUIEN ES TRASLADADO POR PERSONAL DE ESTA FUERZA AL JUZGADO EHORTADO FEDERAL NRO. 1 DE JUJUY, A CARGO DEL DR. JUEZ MARIO W. CARDOZO- SECRETARIA PENAL DE LA DRA. MARIA CATALDI, DONDE SE LE EFECTUO LA REVISACION MEDICA CORRESPONDIENTE Y LA EXTRACCION DE JUEGOS DE FICHAS DACTILOSCOPICAS, QUEDANDO ALOJADO EN CALIDAD DE DETENIDO COMUNICADO EN LA UNIDAD NRO. 8 DEL SERVICIO PENITENCIARIO FEDERAL, A DISPOSICION DEL JUZGADO EXHORTANTE.</t>
  </si>
  <si>
    <t>NASSIF</t>
  </si>
  <si>
    <t>ROBERTO JULIO</t>
  </si>
  <si>
    <t>EXHORTO - LEGAJO N° 116.308 DEL JUZGADO NACIONAL DE EJECUCION N° 2CRISTIAN JAVIER OLMEDO</t>
  </si>
  <si>
    <t>1024-E</t>
  </si>
  <si>
    <t>PUESTO DE CONTROL PSA - BRAVO-</t>
  </si>
  <si>
    <t>SIENDO LAS 11:00 HORAS ARRIBA EN VUELO DE REFERENCIA EL DETENIDO CON LA CUSTODIA RESPONSABLE DEL TRASLADO, SIENDO RECIBIDO POR PERSONAL PENITENCIARIO FEDERAL DE LA UNIDAD DE DETENCION JUDICIAL U-32 DE LOS TRIBUNALES FEDERALES DE MENDOZA, DANDO CUMPLIMIENTO A LO SOLICITADO EN ORDEN DE SERVICIO N° 219/10 EMITIDA POR LA URSA II DEL CENTRO, REALIZANDOSE LA ENTREGA DEL DETENIDO EN COMPLETA NORMALIDAD Y SIN NOVEDADES</t>
  </si>
  <si>
    <t>LA930</t>
  </si>
  <si>
    <t>4879/10</t>
  </si>
  <si>
    <t>SIENDO LAS 11:30 HS SE PROCEDE A TRASLADAR A LOS IMPUTADOS A LA SEDE JUDICIAL, POR ORDEN DEL DR. POLVERINI, TITULAR DE LA SECRETARIA Nº 82, DE DICHO JUZGADO. REALIZANDO DICHA COMISION, PERSONAL DE ESTA UOSP METROPOLITANA CON PREVIA COORDINACION CON EL JEFE DE TURNO DE LA REGIONAL I DEL ESTE, EL CUAL EN REFERENCIA AL MEMORANDO Nº 141/10, POR SER UN PROCEDIEMIENTO DONDE LOS PLAZOS ESTABLECIDOS POR LA AUTORIDAD JUDICIAL RESULTAN REDUCIDOS, NO SE RECURRIRA AL PERSONAL ESPECIALIZADO.</t>
  </si>
  <si>
    <t>DRA. GHYSELLA GOMEZ</t>
  </si>
  <si>
    <t>CAMPO JURISDICCION UOSP FORMOSA</t>
  </si>
  <si>
    <t>EN EL DIA DE LA FECHA SE PRESENTA UN VECINO, E INFORMA QUE DESCUBRE CERCANO A LA ANTENA DE ILS EN EL CAMPO DEL SECTOR SUR DE LA AEROESTACIÓN, PRENDAS DE VESTIR, INMEDIATAMENTE SE ACERCA A ESTA GUARDIA DE PREVENCIÓN, POR LO QUE SE DISPONE DE UNA COMISIÓN INTEGRADA POR DOS OFICIALES, ACUDIENDO AL LUGAR GUIADOS POR EL VECINO, OBSERVANDO EN EL MISMO LOS ELEMENTOS ENCONTRADOS, NO REGISTRÁNDOSE OTRA NOVEDAD AL EFECTUAR UN RECONOCIMIENTO DE LA ZONA. TRASLADANDO LO HALLADO A LA GUARDIA PARA PROCEDER A LAS ACTUACIONES DE RIGOR, SIENDO UNOS DE LOS OBJETOS ENCONTRADOS UN PERMISO DE CONDUCIR CON DATOS PERSONALES Y UN TELEFONO DE EMERGENCIA, UBICANDO DE ESTA MANERA A UN FAMILIAR DIRECTO DEL DUENO DE LAS PERTENENCIAS. SEGUIDAMENTE LA JEFE DE UNIDAD, PROCEDE A COMUNICARSE CON EL JUZGADO DE TURNO, SIENDO ATENDIDA POR LA SECRETARIA, DISPONIENDO QUE SE CONSTATE FEHACIENTEMENTE EL VÍNCULO CON EL SEÑOR QUE ADUCE SER EL PADRE DEL DUEÑO DE LOS ELEMENTOS HALLADOS Y QUE SE ELEVE LO ACTUADO A SEDE TRIBUNALICIA UNA VEZ FINALIZADO EL TRÁMITE, AMPLIANDOSE EL PRESENTE UNA VEZ ENTREGADAS LAS PERTENENCIAS. PARTE N° 4912 AMPLIANDO PARTE URGENTE Nº 4891 INFORMO, SIENDO LAS DIECINUEVE HORAS Y CUARENTA Y CINCO MINUTOS, SE PRESENTA A ÉSTA PREVENCION EL SEÑOR LORENZO ANSELMO RUIZ DNI Nº 13.420.731, EN REPRESENTACION DE SU HIJO SERGIO DANIEL RUIZ,INFORMANDO QUE SU HIJO PADECE UNA ENFERMEDAD MENTAL, ACREDITANDO EL PARENTEZCO CON FOTOCOPIA DE ACTA DE NACIMIENTO LEGALIZADA, A QUIÉN SE LE HACE ENTREGA DE LOS ELEMENTOS CITADOS EN ACTA DE HALLAZGO Nº 0020/10, RECIBIENDO DE CONFORMIDAD.</t>
  </si>
  <si>
    <t>PERIMETRO NORTE, PARALELO A RUTA PROVINCIAL Nº 208</t>
  </si>
  <si>
    <t>SIENDO APROXIMADAMENTE LAS 13:30 HORA LOCAL PERSONAL DE PATRULLA, OFICIAL AYUDANTE MARIO CARABAJAL LEGAJO Nº 501742, INFORMA LA EXISTENCIA DE FUEGO EN LA ZONA DE PASTIZALES CERCANO AL PERIMETRO DEL AERODROMO, SOBRE EL SECTOR NOROESTE DEL PREDIO. SE PROCEDIO A INFORMAR ESTA NOVEDAD A LA EMPRESA AA2000 Y AL PERSONAL DE BOMBEROS DEL ANAC. SIENDO LAS 14:00 HORA LOCAL INGRESAN AL SECTOR DEL INCENDIO UNA DOTACION DE LOS BOMBEROS DE LA POLICIA DE LA PROVINCIA, OTRA DE LOS BOMBEROS VOLUNTARIOS DE LA CIUDAD DE LA BANDA Y UN CAMION CISTERNA DEPENDIENTE DE RECURSOS HIDRICOS PARA REABASTECER DE AGUA A LAS AUTOBOMBAS. ASIMISMO INFORMO QUE POR NOTA N Nº P0014/10, SE PROCEDE A LA CLAUSURA DEL AERODROMO PARA OPERACIONES AEREAS DESDE LAS 14:07 HASTA LAS 18:00 HORA LOCAL ESTIMATIVAMENTE. SE ESTABLECE COMUNICACION TELEFONICA CON LE JUEZ FEDERAL DE ESTA PROVINCIA, DR. GUILLERMO MOLINARI, QUIEN ORDENA SE REALICEN ACTUACIONES INTERNAS Y NO LE SEAN REMITIDAS LAS MISMAS. SE AMPLIARA AL MOMENTO DE SURGIR NOVEDADES. SEGUN AMPLIACION PU Nº 4901/10 SIENDO LAS 17:00 HORA LOCAL PERSONAL DE LA ANAC INFORMA QUE EL INCENDIO DE PASTIZALES FUE EXTINGUIDO EN SU TOTALIDAD, MOTIVO POR EL CUAL EL AERODROMO SE ENCUENTRA NUEVAMENTE HABILITADO PARA OPERACIONES AEREAS SEGUN NOTA M Nº P0015/10. ASIMISMO INFORMO QUE SE RETIRARON LAS DOTACIONES DE BOMBEROS QUE SE ENCONTRABAN TRABAJANDO EN EL LUGAR, NO PUDIENDO DETERMINAR LAS CASUSAS QUE ORIGINARON EL MISMO. NO SE REGISTRARON DAÑOS MATERIALES.</t>
  </si>
  <si>
    <t>POSICION UNO ESTACIONAMIENTO AEROPUERTO</t>
  </si>
  <si>
    <t>SIENDO LAS 11:30 HORAS DEL DIA DE LA FECHA, SE HACEN PRESENTES PERSONAL DE LA CUSTODIA DEL SEÑOR VICEPRESIDENTE DE LA NACION A CARGO DEL PRINCIPAL ROJAS, QUIEN INFORMO QUE ARRIBARIA A ESTE AEROPUERTO EL SEÑOR VICEPRESIDENTE DON JULIO CESAR CLETO COBOS. SE CONVOCA PERSONAL SEGUN ORDEN DE SERVICIO N° 49/2010. SIENDO LAS 13:45 HORAS ARRIBA VUELO MATRICULA LV- BOU SIN NOVEDAD, SIENDO 14.10 HORAS SE RETIRA COMITIVA SIN NOVEDAD, FINALIZANDO OPERATIVO.</t>
  </si>
  <si>
    <t>privado</t>
  </si>
  <si>
    <t>AEROPUERTO SAN LUIS</t>
  </si>
  <si>
    <t>SE INFORMA QUE A HORAS 15:15 SE HACE ENTREGA DEL DETENIDO AGUIRRE VICTOR RAUL DNI 8.258.124, AL SERVICIO PENITENCIARIO FEDERAL N° 8 DE LA PROVINCIA DE JUJUY, SIENDO RECIBIDO POR EL ADJUNTO PRINCIPAL RICARDO VARGAS JEFE SECCION JUDICIAL</t>
  </si>
  <si>
    <t>4873/10</t>
  </si>
  <si>
    <t>PROCEDO A INFORMAR QUE EN EL DIA DE LA FECHA EL DETENIDO ALOJADO EN EL HOSPITAL ZONAL DE EZEIZA SIENDO LAS DIEZ HORAS DEPUSO 01 CAPSULA LA CUAL ARROJO UN PESO TOTAL DE 10 GRAMOS, ASIMISMO SIENDO LAS ONCE HORAS PERSONAL MEDICO DEL HOSPITAL EN EL QUE SE ENCONTRABA ALOJADO EL DETENIDO PROCEDIO A OTORGARLE EL ALTA MEDICA, MOTIVO POR EL CUAL SE LO TRASLADO AL ASIENTO DE ESTA UNIDAD OPERACIONAL DONDE PERMANECERA ALOJADO A DISPOSICION JUDICIAL. QUE FINALIZADAS LAS DEPOSICIONES SUMARON UN TOTAL DE SEIS DEPOSICIONES, CON UN TOTAL DE 120 CAPSULAS CONTENIENDO SUSTANCIA PRESUNTAMENTE ESTUPEFACIENTE ARROJANDO UN PESO TOTAL 1076 GRAMOS.PTO.-</t>
  </si>
  <si>
    <t>DR. BAGUR GRETA SUBROGANTE</t>
  </si>
  <si>
    <t>S/INFRACCION A LA LEY 23737</t>
  </si>
  <si>
    <t>HALL PLANTA ALTA AEROESTACION</t>
  </si>
  <si>
    <t>SIENDO LAS 11:55 HS AL REALIZAR CONTROL DE INSPECCION PREEMBARQUE DE CABOTAJE, A LOS PASAJEROS DEL VUELO LAN NRO. 4345 EL OFICIAL KIRSCH, PROCEDE A REALIZAR UN REGISTRO SOBRE EL SR. FASULO PABLO ADRIAN DNI Nº 28861411, ARGENTINO, SOLTERO, QUIEN ANTE EL PEDIDO DEL OFICIAL DE RETIRAR SUS EFECTOS DE SUS BOLSILLOS MANIFIESTA TENER CON SIGO MARIHUANA, POR ESTE MOTIVO SE SOLICITA LA PRESENCIA DE DOS TESTIGOS HABILES QUIENES RESULTAN SER EL SR. ANTENAO MARCOS, ARGENTINO, DNI Nº 32574.555, Y EL SR. LOPEZ MARIO, ARGENTINO, DNI Nº 30.874.712, ANTE LOS CUALES SE LE REQUIERE AL PASAJERO RETIRE LO QUE TRANSPORTABA EN SUS BOLSILLOS, SACANDO DE LA CAMPERA UNA BOLSA DE NYLON LA QUE CONTENIA EN SU INTERIOR UNA SUSTANCIA COLOR VERDOSA, Y AL CONSULTARLE DE QUE SE TRATABA MANIFESTO QUE ERA MARIHUANA. SE REALIZA COMUNICACION TELEFONICA AL JUZGADO FEDERAL DE SAN CARLOS DE BARILOCHE, COMUNICANDONOS CON EL DR. WALTER LOPEZ DA SILVA, SECRETARIO DEL MISMO INFORMANDO DE LOS ACONTECIMIENTOS, QUIEN DISPONE SE REALIZEN ACTUACIONES DE RIGOR, SE NOTIFIQUE DE CAUSA AL SR. FASULO S/INFRACCION A LA LEY 23737 Y UNA VEZ FINALIZADAS SE LE PERMITA AL IMPUTADO PROSEGUIR CON SU VIAJE PROGRAMADO.</t>
  </si>
  <si>
    <t>4892/10</t>
  </si>
  <si>
    <t>SIENDO LAS 17:00 HORA LOCAL PERSONAL DE LA ANAC INFORMA QUE EL INCENDIO DE PASTIZALES FUE EXTINGUIDO EN SU TOTALIDAD, MOTIVO POR EL CUAL EL AERODROMO SE ENCUENTRA NUEVAMENTE HABILITADO PARA OPERACIONES AEREAS SEGUN NOTAM Nº P0015/10. ASIMISMO INFORMO QUE SE RETIRARON LAS DOTACIONES DE BOMBEROS QUE SE ENCONTRABAN TRABAJANDO EN EL LUGAR, NO PUDIENDO DETERMINAR LAS CASUSAS QUE ORIGINARON EL MISMO. NO SE REGISTRARON DAÑOS MATERIALES.</t>
  </si>
  <si>
    <t>SIENDO LAS 16:40 HORA LOCAL PERSONAL DE TRAFICO DE LA EMPRESA AEROLINEAS ARGENTINAS, SR. ALEJANDRO CABALLERO, INFORMA QUE EL VUELO AR-1494 PROCEDENTE DE AEROPARQUE JORGE NEWBERY SE ENCUENTRA CANCELADO POR ENCONTRARSE ESTE AERODROMO CLAUSURADO PARA OPERACIONES AEREAS, SEGUN NOTA Nº P0014/10 DE LA ANAC. ASIMO INFORMO QUE LA EMPRESA PROCEDIO A REUBICAR LAS RESERVAS SIN PRODUCIRSE NINGUN INCONVENIENTE CON LOS PASAJEROS.</t>
  </si>
  <si>
    <t>AR-1494</t>
  </si>
  <si>
    <t>SE HACE PRESENTE EN ESTA DEPENDENCIA EL SEÑOR JOSE OSCAR ARES, MANIFESTANDO EL EXTRAVIO DE UN PERMISO PERSONAL AEROPORTUARIO VENCIDO, A SU NOMBRE, QUE EL MISMO FUE EXTRAVIADO DENTRO DE LAS INSTALACIONES DE ESTE AEROPUERTO Y QUE NO PUEDE PRECISAR EL LUGAR NI LA FECHA DE LA PERDIDA.</t>
  </si>
  <si>
    <t>2850/10</t>
  </si>
  <si>
    <t>SOLIICITUD DE APERTURA DE ENCOMIENDA</t>
  </si>
  <si>
    <t>400/10</t>
  </si>
  <si>
    <t>JET-PAQ SALTA</t>
  </si>
  <si>
    <t>JET-PAQ BUENOS AIRES</t>
  </si>
  <si>
    <t>SE PROCEDE A LA APERTURA DE UNA ENCOMIENDA DE LA EMPRESA OCA SRL, SEGUN CONSTA EN ACTA DE APERTURA Nº 377/10, PREV. SUM. 054/10, EN VIRTUD DE LO ORDENADO MEDIANTE OFICIO JUDICIAL S/Nº DEL MAGISTRADO ACTUANTE Y EN PRESENCIA DE UN TESTIGO HABIL. LA ENCOMIENDA IDENTIFICADA COMO SAA0200871-1, RTTE. ROSARIO R. DE VALDEZ, SAN LUIS Nº 95- Bº 9 DE JULIO PALPALA JUJUY, CP. 4612, Y DEST. FABIAN H. VALDEZ, COLON Nº 1017, PERITO MORENO SANTA CRUZ, CP. 9040, CONTIENE: CUATRO PAQUETES DE HOJAS DE COCA CON UN PESO TOTAL DE 985 GRS, LOS MISMOS SERAN PUESTOS A DISPOSICION DE LA ADUANA DE SALTA POR SUPUESTA INFRACCION AL CODIGO ADUANERO, LEY 22.415 Y LAS ACTUACIONES REMITIDAS A SEDE JUDICIAL. EL RESTO DE LA ENCOMIENDA SERA ENTREGADA AL SR. LOPEZ OMAR DE JET PAQ SALTA PARA SU REDESPACHO, POR NO SER DE INTERES PARA EL PROCEDIMIENTO. SEGÚN PU 2850/10 (ORIGINARIO) SE PROCEDE A LA RETENCION DE UNA ENCOMIENDA IDENTIFICADA COMO SAA0200871-1, CON UN PESO DECLARADO DE 2,044 KGS., CON RTTE. A NOMBRE DE SRA. ROSARIO R. DE VALDEZ, DOMICILIO EN SAN LUIS Nº 95- Bº 9 DE JULIO PALPALA JUJUY CP. 4612, Y DEST. SR. FABIAN H. VALDEZ DOMICILIO COLON Nº 17 Bº PERITO MORENO SANTA CRUZ CP. 9040, LA QUE SERIA DESPACHADA A TRAVES DE LA EMPRESA DE CARGA AEREA JET-PAQ. LA RETENCION SE REALIZA ANTE LA PRESUNCION DE QUE PUDIERA CONTENER ALGUN ELEMENTO EN INFRACCION A LA LEY 22.415 Y/O 23.737, QUEDANDO LA MISMA CERRADA Y PRECINTADA EN ESTA UOSP, EL SR. LOPEZ EMPLEADO DE JET-PAQ INFORMARA AL RTTE. SEGUN CONSTA EN ACTA DE RETENCION DE CARGAS Nº .234/10, QUE ORIGINA LA PREVENCION SUMARIA Nº 054/10. SE COMUNICO TELEFONICAMENTE CON EL JUZGADO INTERVINIENTE Y LA APERTURA SE REALIZARA CON LA AUTORIZACION DEL MAGISTRADO DE TURNO.</t>
  </si>
  <si>
    <t>EN EL DIA DE LA FECHA ARRIBA T-01 CON LA SEÑORA PRESIDENTA DE LA NACION COMITIVA SIN NOVEDAD AERONAVE PROXIMO A PARTIR HACIA LA CIUDAD DE RIO GALLEGOS</t>
  </si>
  <si>
    <t>SE HACE PRESENTE EN ESTAS DEPENDENCIAS EL SEÑOR ROBERTO CARLOS PEREZ MANIFESTANDO EL EXTRAVIO DE UN PERMISO PERSONAL AEROPORTUARIO, VENCIDO , A SU NOMBRE , QUE EL MISMO FUE EXTRAVIADO DENTRO DE LAS INSTALACIONES DE ESTE AEROPUERTO Y QUE NO PUEDE PRECISAR EL LUGAR, NI LA FECHA DE LA PERDIDA.</t>
  </si>
  <si>
    <t>AERONAVE PRESIDENCIAL</t>
  </si>
  <si>
    <t>SE CONFECCIONA EL PRESENTE A LOS EFECTOS DE INFORMAR QUE SIENDO LAS 19:40 HS LOCAL SE PRODUJO EL ARRIBO DE LA AERONAVE PRESIDENCIAL MATRICULA T-01 PROCEDENTE DE LA LOCALIDAD DE EL CALAFATE - ARRIBANDO SOLO CON LA TRIPULACIÓN Y SIN NOVEDADES.-</t>
  </si>
  <si>
    <t>SIENDO LA FECHA Y HORA ANTES MENCIONADA, EN MOMENTOS EN QUE LOS OFICIALES ROMEO Y HANEMANN SE ENCONTRABAN EN UNA RECORRIDA POR EL SECTOR MENCIONADO CON ANTERIORIDAD, OBSERVAN Y SORPRENDEN A UNA PERSONA DE SEXO FEMENINO,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 LA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</si>
  <si>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FISCALIA DE ESTUPEFACIENTES</t>
  </si>
  <si>
    <t>BERLINGERI</t>
  </si>
  <si>
    <t>FERNANDO</t>
  </si>
  <si>
    <t>INFORMO QUE SIENDO LAS 15:30 HS APROXIMADAMENTE Y EN CIRCUNSTANCIAS EN QUE EL OFICIAL CARLOS BORNIA SE ENCONTRABA REALIZANDO UNA RECORRIDA DE RUTINA POR LA PLAYA DE ESTACIONAMIENTO PUBLICO OBSERVA TRES ENVOLTORIOS DEL TIPO DE CIGARRILLO ARMADO EN FORMA CASERA PRESUMIBLEMENTE DE MARIHUANA, LO CUAL ES CONFIRMADO A POSTERIORI MEDIANTE TEST ORIENTATIVO, DANDO RESULTADO POSITIVO Y EN PRESENCIA DE TESTIGOS HABILES. SE REALIZAN LAS ACTUACIONES ORDENADAS POR LA FISCALIA INTERVINIENTE A CARGO DEL DR. FERNANDO BERLINGERI.</t>
  </si>
  <si>
    <t>ASIENTO 23 A/C DE AERONAVE DE LA EMPRESA TAM</t>
  </si>
  <si>
    <t>MANGA NUMERO DOCE DE LA TERMIONAL A</t>
  </si>
  <si>
    <t>SE RECIBE COMUNICACION TELEFONICA POR PARTE DE PERSONAL DE TAM QUIEN DIO CUENTA QUE EN LA AERONAVE DEL VUELO ANTEDICHO HABIA OCURRIDO UN HURTO. A TAL EVENTO, EL JEFE DE TURNO COMISIONA PERSONAL POLICIAL QUIEN SE ENTREVISTA CON PERSONAL DE TAM, EL CUAL INFORMA QUE PERSONAL DE LIMPIEZA HABIA ENCONTRADO UNA CARTERA LA CUAL FUE DEVUELTA A LA PASAJERA AL MOMENTO DE REALIZAR LA MISMA EL RECLAMO EN MOSTRADORES. LA PASAJERA AL RECIBIR LA CARTERA SE PERCATA DEL FALTANTE DE UNA BILLETERA HABIDA EN EL INTERIOR DE LA MISMA, LA QUE CONTENIA DINERO EN EFECTIVO Y TARJETAS VARIAS. PERSONAL DE LA EMPRESA TAM JUNTAMENTE CON EL GERENTE DE LA EMPRESA DE LIMPIEZA TODOLI, REALIZA UNA BUSQUEDA, HALLANDO LA BILLETERA EN EL INTERIOR DE UNA BOLSA DONDE SE ENCONTRABAN LAS MANTAS USADAS DURANTE EL VUELO, PERO QUE LA MISMA SE ENCONTRABA SIN EL DINERO EN EFECTIVO. EN TAL CIRCUNSTANCIAS EL GERENTE DE LA EMPRESA TODOLI SE REUNE CON LA TOTALIDAD DEL PERSONAL DE LIMPIEZA INTERVINIENTE, MOMENTO DONDE LA OPERARIA PATRICIA SILVA HACE ENTREGA DE UN TOTAL DE TREINTA Y DOS REALES, MANIFESTANDO QUE LO HABIA EXTRAIDO DE LA BILLETERA EN CUESTION. ENTERADO EL JUZGADO INTERVINIENTE, DISPUSO LA DETENCION DE LA CAUSANTE, SE UBIQUE A LA PASAJERA A LOS EFECTOS DE TOMARLE FORMAL DENUNCIA Y HACERLE ENTREGA DE LOS ELEMENTOS SECUESTRADOS QUE FUERAN DE SU PROPIEDAD, SE ELEVE TODO LO ACTUADO, JUNTO CON LA DETENIDA EN AUTOS, AL ASIENTO DE SEDE JUDICIAL A PRIMERA HORA DEL DIA TRECE DEL CORRIENTE. EN P.U. Nº 4917 SE INFORMA QUE SIENDO LAS 07.00 HORAS DEL DIA 13/AGO/10, SE PROCEDIO AL TRASLADO DE LA DETENIDA EN AUTOS, A SEDE JUDICIAL.</t>
  </si>
  <si>
    <t>4891/10</t>
  </si>
  <si>
    <t>CAMPO INTERNO DEL AERPUERTO FUERA DEL ALAMBRADO PERIMETRAL OPERATIVO</t>
  </si>
  <si>
    <t>AMPLIANDO PARTE URGENTE Nº 4891 INFORMO, SIENDO LAS DIECINUEVE HORAS Y CUARENTA Y CINCO MINUTOS, SE PRESENTA A ÉSTA PREVENCION EL SEÑOR LORENZO ANSELMO RUIZ DNI Nº 13.420.731, EN REPRESENTACION DE SU HIJO SERGIO DANIEL RUIZ, INFORMANDO QUE SU HIJO PADECE UNA ENFERMEDAD MENTAL, ACREDITANDO EL PARENTEZCO CON FOTOCOPIA DE ACTA DE NACIMIENTO LEGALIZADA, A QUIÉN SE LE HACE ENTREGA DE LOS ELEMENTOS CITADOS EN ACTA DER HALLAZGO Nº 0020/10, RECIBIENDO DE CONFORMIDAD AUSPISIANDO DE TESTIGO SEÑOR LUIS ALFREDO DE LANGLOI DNI Nº 14.254.101, DEJANDO CONSTANCIA EN ACTA DE ENTREGA Nº 0021/10, FIRMANDO AL PIE LOS INTERVINIENTES.</t>
  </si>
  <si>
    <t>DRA. VALERIA GARCIA</t>
  </si>
  <si>
    <t>MAQUINA DE RAYOS X CORREO ARGENTINO</t>
  </si>
  <si>
    <t>COURRIER</t>
  </si>
  <si>
    <t>LUCAS VARGAS, CALLE PUBLICA 163 F. DE V. SUR</t>
  </si>
  <si>
    <t>JUAN ANTONIO RODRIGUEZ, CALLE TRES MARIAS - PORTAL 1-PUERTA 11- VALENCIA-BURGASSOT-ESPAÑA</t>
  </si>
  <si>
    <t>SIENDO LA HORA INDICADA MOMENTOS EN QUE LOS OFICALES FERRI, CANGINI Y MANETTI SE ENCONTRABAN EN EL SECTOR DE CORREO ARGENTINO ESCANEANDO EL CORREO DEL VUELO EN CUESTION DETECTAN EN EL INTERIOR DE UNA SACA POR MEDIO DE RX QUE EN LA MISMA SE HABIA DOS PAQUETES DE FORMA RECTANGULAR DE SUSTANCIA ORGANICA. MOTIVO POR EL CUAL SE INDIVIDUALIZA EL BULTO QUE CONTENIA LOS DOS RECTANGULOS SIENDO ESTE UN PAQUETE DE PAPEL COLOR MADERA Y SE LO TRASLADA AL TURNO QUE APERTURADO EL PAQUETE SE OBSERVA UNA CONSERVADORA, SEGUIDAMENTE SE SEPARA LA PARTE INTERNA DE LA MISMA DE LA PARTE EXTERNA DEJANDO VER EN COMPARTIMIENTO RESERVADO PARA EL MATERIAL AISLANTE DE LA CONSERBADORA DOS PAQUETES RECTANGULARES LOS CUALES SE RETIRAN Y SE LES REALIZA UN CORTE VISULIZANDO EN EL INTERIOR SUSTANCIA PULVERULENTA DE COLOR COLOR BALNCO LA QUE SOMETIDA A REACTIVO DE CAMPO ARROJA RESULTADO POSITIVO COCAINA. LA MENCIONADA CARGA FUE DESPACHADA EN LA PROVINCIA DE LA RIOJA Y SU DESTINO FINAL ERA LA CIUDAD DE VALENCIA ESPAÑA.</t>
  </si>
  <si>
    <t>WILLI MARTIN S/DENUNCIA</t>
  </si>
  <si>
    <t>BODEGA DE LA AERONAVE - PLATAFORMA OPERATIVA - CINTAS DE EQUIPAJES</t>
  </si>
  <si>
    <t>EL DIA 27 DE JULIO EL DAMNIFICADO DESPACHO SU EQUIPAJE EN MOSTRADORES DE LA EMPRESA BRITISH AIRWAYS DEL AEROPUERTO DE ZURICH, NO RECORDANDO VUELO Y HORARIO DE PARTIDA, CONSISTENTE EN UNA VALIJA TIPO CARRY ON, A LA CUAL PREVIAMENTE LE HABÍA COLOCADO UN CORDONCILLO COLOR ROJO EN SU CANDADO DE SEGURIDAD. EL MISMO ARRIBO AL AEROPUERTO DE EZEIZA EL DIA 28 DE JULIO, Y DE INMEDIATO EL DAMNIFICADO SE TRASLADO HASTA ESTE AEROPUERTO METROPOLITANO, DEBIDO A QUE TENIA UN VUELO A LA CIUDAD DE CÓRDOBA. AL DESPACHAR SU EQUIPAJE EN MOSTRADORES DE CHECK IN DE ESTE AEROPUERTO, LUGAR DONDE SE PERCATA QUE AL CANDADO LE FALTABA EL CORDONCILLO ROJO, LO CUAL LE GENERO DUDAS, PERO COMO NO CONTABA CON TIEMPO SUFICIENTE, DESPACHO EL EQUIPAJE SIN VERIFICARLO, HACIÉNDOLO UNA VEZ ARRIBADO A CÓRDOBA, PERCATANDOSE DEL FALTANTE DE UNA CAMARA FILMADORA.-</t>
  </si>
  <si>
    <t>DR. JORGE POLVERINI</t>
  </si>
  <si>
    <t>HALL SECTOR B</t>
  </si>
  <si>
    <t>SIENDO LAS 18:30 HORAS APROXIMADAMENTE, EN MOMENTO EN QUE EL OF. MARASCO, JEFE DE TURNO, SE ENCONTRABA REALIZANDO UNA RECORRIDA POR LOS PUESTOS DE GUARDIA DEL ESPIGON DE PASAJEROS, UNA PASAJERA DE SEXO FEMENINO COMIENZA A SOLICITAR A GRITOS PRESENCIA DE POLICÍAL YA QUE LE HABÍAN INTENTADO ROBAR UN BOLSO PORTA NOTEBOOK SIN EXITO, SEÑALANDO EN DIRECCIÓN A UN VEHICULO MARCA CHEVROLET MODELO CORSA CLASSIC COLOR GRIS PLATA, DOMINIO "HOZ 329" EL CUAL SE ENCONTRABA ESTACIONADO A LA ALTURA DEL SECTOR B DE ESTE AEROPUERTO Y DISPONIÉNDOSE A DAR A LA FUGA POR LA CALLE INTERNA PUBLICA CON DIRECCION A LA SALIDA QUE DA A LA AVENIDA RAFAEL OBLIGADO PERCATÁNDOSE, EL OF. MARASCO, QUE QUE SE ENCONTRABAN SUBIENDO AL MISMO DOS PERSONAS DE SEXO FEMENINO RAZON POR LA CUAL SE DIRIGE HACIA EL VEHICULO Y SE INTERPONE EN SU CAMINO, ORDENANDOLES A TODOS SUS OCUPANTES QUE DESCIENDAN DEL MISMO A LO QUE LOS MISMOS OBEDECEN Y SE DIRIGEN A LA VEREDA DONDE SON TODOS REDUCIDOS, INMEDIATAMENTE SE HACEN PRESENTE EL ENCARGADO DE TURNO JUNTO A DOS OFICIALES MAS. ACTO SEGUIDO SE CONVOCA LA PRESENCIA DE TESTIGOS EN EL LUGAR. POSTERIORMENTE SE COMIENZA A REGISTRAR EL VEHICULO CON LA FINALIDAD DE ENCONTRAR LOS ELEMENTOS SUSTRAÍDOS Y DE DESCARTAR LA PRESENCIA DE CUALQUIER ARMA O ELEMENTO QUE PUEDA CAUSAR CUALQUIER CLASE DE DAÑO DANDO DICHO REGISTRO NEGATIVO. PROCEDE A TRASLADAR A TODOS LOS INTERVINIENTES Y EL VEHICULO A LA GUARDIA PREVENTIVA SITO EN EL SECTOR "C" DE ESTE AEROPUERTO A LOS FINES DE CONTINUAR CON LAS DILIGENCIAS. LA DAMNIFICADA MANIFIESTA LLAMARSE FLORENCIA WERNICKE, INDICANDO QUE DADO QUE SU VUELO ESTABA PROXIMO A PARTIR, REALIZARIA UNA DECLARACION TESTIMONIAL EN EL AEROPUERTO DE DESTINO. SIENDO LAS 19:30 HS SE REALIZA COMUNICACIÓN TELEFÓNICA CON EL DR. JORGE HORACIO POLVERINI, TITULAR DE LA SECRETARIA Nº 82 DEL JUZGADO NACIONAL EN LO CORRECCIONAL Nº 14, A/C DEL DR. FERNANDO LUIS PIGNI, A QUIEN SE LE INFORMA LO ACONTECIDO DISPONIENDO: LECTURA DE DERECHOS, CHEQUEO Y DETENCIÓN DE LAS PERSONAS EN CARÁCTER DE COMUNICADOS, PRECARIO MEDICO DE ENTRADA A LA DEPENDENCIA, CONSTATACIÓN DE LOS DOMICILIOS FEHACIENTES, REALIZAR ART. 86 DEL RJECC Y 197 DEL CPPN, 3 JUEGOS DE FICHAS PARA EL SUMARIO, ART. 353 BIS REINCIDENCIA, FOTOS DE LOS IMPUTADOS FRENTE Y PERFIL, SOLICITAR REGISTROS FÍLMICOS SI LOS HUBIESE, SOLICITAR INFORME PATRONÍMICO DEL VEHICULO, IDGE, CON EL RESULTADO DE REINCIDENCIA 353 BIS REALIZAR NUEVA COMUNICACIÓN A LAS 08:00 HORAS DEL DÍA 13 DEL CORRIENTE MES Y AÑO. SE AMPLIARA CON RESPUESTA DE LA NUEVA COMUNICACIÓN EL DIA 13 DEL CORRIENTE MES Y AÑO. SE INFORMA EN P.U. 4923 QUE LOS DETENIDOS FUERON LIBERADOS ENTRE LA 1030 Y 1055 HORAS DEL 13/08/2010, LOS MISMOS SE RETIRAN CON LOS EFECTOS PERSONALES QUE ESTABAN EN RESGUARDO DE LA UNIDAD. SE HACE ENTREGA DEL VEHICULO CHEVROLET CORSA DOMINIO HOZ 329 COLOR GRIS AL CAUSANTE WILLIAM MIFFLIN CAMBERO.</t>
  </si>
  <si>
    <t>MOSTRADOR DE VENTAS DE AEROLINEAS ARGENTINAS</t>
  </si>
  <si>
    <t>SE HACE PRESENTE EN ESTA GUARDIA DE PREVENCION UNA PERSONA MANIFESTANDO HABER SIDO VICTIMA DE UN HECHO DELICTIVO INDICANDO QUE SIENDO LAS 17:40 HORAS APROXIMADAMENTE ARRIBO A ESTA AEROSTACIÓN PROCEDENTE DE LA CIUDAD DE SAN PABLO, RETIRO SU EQUIPAJE DEL SECTOR DE ARRIBOS Y TOMO UN CARRO PORTA EQUIPAJE. SEGUIDAMENTE SE DIRIGIO POR EL HALL PRINCIPAL HACIA EL MOSTRADOR DE VENTAS DE AEROLÍNEAS ARGENTINAS, A FIN DE CONSTATAR EL HORARIO DE PARTIDA DEL VUELO QUE DEBÍA ABORDAR EL DÍA 13 DE AGOSTO DEL CORRIENTE AÑO, DEJANDO EL CARRO PORTA EQUIPAJE A UN LADO, PERDIÉNDOLO DE VISTA POR UNOS MINUTOS. LUEGO DE REALIZAR LA CONSULTA SE PERCATA DEL FALTANTE DE UNA VALIJA PEQUEÑA PORTA NOTEBOOK. SIENDO LAS 22:40 HORAS SE ENTABLA COMUNICACIÓN CON LA JUDICATURA INTERVINIENTE Y ANOTICIADO DE LOS HECHOS ORDENA, REGISTRO FÍLMICO Y ENVIÓ A LA DIVISIÓN DE APOYO TECNOLÓGICO DE LA PFA, CIERRE Y ELEVACIÓN DE ACTUACIONES.-</t>
  </si>
  <si>
    <t>4911/10</t>
  </si>
  <si>
    <t>AERONAVE DE LA EMPRESA TAM</t>
  </si>
  <si>
    <t>MANGA NUMERO DOCE</t>
  </si>
  <si>
    <t>INFORMO POR ESTE MEDIO, QUE SIENDO LAS SIETE HORAS, SE PROCEDIO AL TRASLADO DE LA DETENIDA EN AUTOS A SEDE JUDICIAL, JUNTAMENTE CON TODO LO ACTUADO.</t>
  </si>
  <si>
    <t>4898/10</t>
  </si>
  <si>
    <t>INFORMO POR ESTE MEDIO, QUE SIENDO LAS SIETE HORAS, SE PROCEDIO AL TRASLADO DEL DETENIDO A SEDE JUDICIAL, JUNTAMENTE CON LOS SECUESTROS Y ACTUACIONES COMPLEMENTARIAS.</t>
  </si>
  <si>
    <t>4783/10</t>
  </si>
  <si>
    <t>5385/13</t>
  </si>
  <si>
    <t>MITRE 2739 DROGAS ILICITAS DE POLICIA DE LA PROVINCIA DE BUENOS AIRES- SEDE JUDICIAL</t>
  </si>
  <si>
    <t>REF. ORDEN DE SERVICIO N° 757/10. EN EL DIA DE LA FECHA PERSONAL DE ESTA UNIDAD CON ASIENTO EN LA CIUDAD DE MAR DEL PLATA PROCEDIO AL TRASLADO DEL DETENIDO DESDE LA SEDE DE LA SUPERINTENDENCIA DE INVESTIGACIONES DEL TRAFICO DE DROGAS ILICITAS DE MAR DEL PLATA DE LA POLICIA DE LA PROVINCIA DE BUENOS AIRES HASTA SEDE JUDICIAL. LUEGO DE PRESTAR DECLARACION EL NOMBRADO FUE TRASLADADO NUEVAMENTE A SU LUGAR DE ALOJAMIENTO, SIN NOVEDAD.</t>
  </si>
  <si>
    <t>4915/10</t>
  </si>
  <si>
    <t>YA OBTENIDOS LOS RESULTADOS DE REINCIDENCIA SIENDO ESTOS NEGATIVOS, EXCEPTO EN EL CASO DEL SR. CESAR WILMER CAPUÑA Y SOLIS QUIEN PRESENTO ANTECEDENTES DE REBELDIA DECRETADO POR EL JUZGADO EN LO CORRECCIONAL Nº 03 DEPARTAMENTAL, SECRETARIA UNICA; SE ENTABLA ,EN EL HORARIO DE LAS 09:00 HS DEL DIA 13 DE AGOSTO DEL 2010, NUEVA COMUNICACIÓN CON LA JUDICATURA INTERVINIENTE, QUIEN DISPONE LA LIBERACIÓN DE LOS DETENIDOS. SEGUIDAMENTE EN HORAS 10:30, 10:35 Y 10:38 SE PROCEDE A LA LIBERACIÓN DE LA SR. RESTREPO REYES MONICA, DE LA SR. ANA MARIA GARCIA MOLINA Y LA SR. ANGIE LORENA VERGARA HERNANDEZ RESPECTIVAMENTE. MINUTOS DESPUÉS SIENDO LAS 10:52 HORAS SE PROCEDE A LA LIBERACIÓN DEL SR. WILLIAM MIFFLIN CAMBERO, AL CUAL SE LE HACE ENTREGA DEL VEHICULO MARCA CHEVROLET, MODELO CORSA CLASSIC, DOMINIO HOZ-329 Y FINALMENTE SIENDO LAS 10:55 HORAS SE LIBERA AL SR. CESAR WILMER CAPUÑA Y SOLIS.</t>
  </si>
  <si>
    <t>MIGUEL ANGEL SANSON</t>
  </si>
  <si>
    <t>INCENDIO DE RASTROJOS</t>
  </si>
  <si>
    <t>400 MTS. APROX. FUERA DEL PERIMETRO.</t>
  </si>
  <si>
    <t>QUINTA ALEDAÑA AL SECTOR SUDOESTE DEL AEROPUERTO.</t>
  </si>
  <si>
    <t>EN EL DIA DE LA FECHA A HORAS 11:50, EL OF. MAY. FERREYRA WALTER ANDRES RECIBE LA NOVEDAD POR PARTE DEL INGENIERO LUIS ACOSTA, PERSONAL DE LA FIRMA AA 2000, QUE EN EL SECTOR SUDOESTE DEL AEROPUERTO EN UNA QUINTA ALEDAÑA AL MISMO OBSERVO DOS PERSONAS Y UN TRACTOR EN MOMENTOS EN QUE REALIZABAN LA QUEMA DE RASTROJOS, MOTIVO POR EL CUAL EL OF. MAY. FERREYRA WALTER A. Y EL OF. PPAL. VALDEZ ROQUE SE DESPLAZARON EN EL MOVIL DE DOTACION AL SECTOR, NO PUDIENDO DIVISAR MOVIMIENTO ALGUNO EN LA ZONA ANTES DESCRIPTA, SI SE OBSERBO UNA COLUMNA DE HUMO A UNA DISTANCIA APROXIMADA DE 400 MTS. FUERA DEL PREDIO AEROPORTUARIO, SE EFECTUO COMUNICACION TELEFONICA AL JUZGADO FEDERAL DE TURNO, QUIEN ORDENO SE LABREN LAS ACTUACIONES CORRESPONDIENTES PARA SU POSTERIOR ELEVACION.</t>
  </si>
  <si>
    <t>GONZALEZ GUILLERMO</t>
  </si>
  <si>
    <t>FUENTES PONCE, FACUNDO EMANUEL P/HURTO-DTE: AGUERO , NELSON MANUEL</t>
  </si>
  <si>
    <t>23458/2009</t>
  </si>
  <si>
    <t>NOTIFICACION FUENTES PONCE, FACUNDO</t>
  </si>
  <si>
    <t>CONTROL SISTEMA RED LINCE</t>
  </si>
  <si>
    <t>EN EL DIA DE LA FECHA SE PRESENTE ANTE EL CONTRO MIGRATORIO RED LINCE EL CIUDADANO FUENTES PONCE FACUNDO EMANUEL - DNI 34.978.573, SOBRE EL CUAL PESA UNA SOLICITUD DE CAPTURA SEGUN REGISTRO 283761 - DEL SISTEMA INSTITUCIONAL RED LINCE. EN EL MARCO DE LOS AUTOS DE REFERENCIA SE PROCEDIO A CONSULTAR AL TRIBUNAL INTERVINIENTE RESPECTO DE LA VIGENCIA DE LA MEDIDA DISPUESTA OPORTUNAMENTE, A LO CUAL DICHO TRIBUNAL ENVIA VIA FAX OFICIO DE FECHA 13-AGO-10 EN EL CUAL INFORMA QUE LA MEDIDA CAUTELAR DE REBELDIA Y CAPTURA HABIA QUEDADO SIN EFECTO ORDENANDO SE PROCEDA A NOTIFICAR RESPECTO DE QUE DEBERÁ FIJAR DOMICILIO, TELEFONO, TIEMPO DE AUSENCIA DE LA PROVINCIA Y QUE DEBERÁ COMPARECER ANTE LA DEFENSORIA OFICIAL DENTRO DE LAS 48 HORAS POSTERIORES A SU ARRIBO, POR LO CUAL Y MEDIANTE ACTA DE ESTILO SE NOTIFICO AL IMPUTADO RESPECTO DE LA RESOLUCION JUDICIAL QUE ORDENARA EL TRIBUNAL INTERVINIENTE.</t>
  </si>
  <si>
    <t>RIO GALLEGOS / CALAFATE</t>
  </si>
  <si>
    <t>EN EL DIA DE LA FECHA SE PRESENTA ANTE ESTA PREVENCION EL EXPONENTE MANIFESTANDO EL EXTRAVIO DE SU PERMISO PERSONAL PERMANENTE SNA N° 322999 CON VENCIMIENTO FECHA 28/10/2010 CON LOS SECTORES 1, 4 Y 5, NO PUDIENDO EL MISMO PRECISAR FECHA Y HORA DEL EXTRAVIO.</t>
  </si>
  <si>
    <t>ACTUACIONES POR SEPARADO EN LOS TERMINOS DE LOS ARTS. 29 TER Y 34 BIS DE LA LEY 23737</t>
  </si>
  <si>
    <t>683/10 B</t>
  </si>
  <si>
    <t>ACTUACIONES POR 29 TER Y 34 BIS - LEY 23737- CORRIENTES.</t>
  </si>
  <si>
    <t>CIUDAD DE ROSARIO Y/U OTRAS LOCALIDADES DE CORRESPONDER</t>
  </si>
  <si>
    <t>EN EL DIA DE LA FECHA SE RECIBE OFICIO JUDICIAL NRO.1091/10 DE LA FISCALIA FEDERAL NRO. 2 DE ROSARIO, DRA. LILIANA BETTIOLO, A CARGO DE LA INSTRUCCIÓN, DONDE ORDENA REALIZAR TAREAS INVESTIGATIVAS SOBRE LOS HECHOS DECLARADOS POR ANIBAL ISMAEL MACHADO, DNI 31.685.972, DETENIDO POR LA POLICIA DE LA PROVINCIA DE SANTA FE, BAJO LOS TÉRMINOS DE LOS ART. 29 TER Y 34 BIS DE LA LEY 23737, QUIEN EN FECHA 9 DE AGOSTO DEL CORRIENTE AÑO, TRANSPORTABA 462 -CUATROCIENTOS SESENTA Y DOS- PANES DE MARIHUANA, ACONDICIONADOS EN EL BAÚL DEL VEHÍCULO EN EL QUE CIRCULABA POR LA AUTOPISTA SANTA FE-ROSARIO, PROVENIENTE DE LA CIUDAD DE CORRIENTES HACIA LA CIUDAD DE ROSARIO. SE INICIAN LAS TAREAS INVESTIGATIVAS POR ORDEN DE SERVICIO NRO. 199/2010 URSA IV DEL LITORAL.</t>
  </si>
  <si>
    <t>SRIO. AV INF LEY 23737 -DTE FARED MIGUEL ANGEL - IMP BAMBI MEDINA - TITINA - CAP. BERMUDEZ - GDRO BAIGORRIA-</t>
  </si>
  <si>
    <t>351/08</t>
  </si>
  <si>
    <t>SRIO. AV. INF. LEY 23737 - TITINA - GDRO BAIGORRIA-</t>
  </si>
  <si>
    <t>CIUDADES DE ROSARIO, GRANADERO BAIGORRIA Y LOCALIDADES ALEDAÑAS.</t>
  </si>
  <si>
    <t>EN EL DIA DE LA FECHA SE RECIBE OFICIO JUDICIAL NRO. 2852 DEL JUZGADO ACTUANTE DONDE INFORMA QUE MEDIANTE RESOLUCION NRO. 463 SE DISPUSO EL ARCHIVO DE LAS ACTUACIONES. LA INVESTIGACION DIO COMIENZO CON LA RECEPCION DEL OFICIO NRO. 539/09 DE LA FISCALIA A CARGO DE LA INSTRUCCIÓN, INFORMADO EN SIPAP PR:DOC4 0045/09 DE FECHA 08 JUN 2009 ORDENANDO LAS TAREAS MEDIANTE ORDEN DE SERVICIO NRO. 155/09 URSA IV DEL LITORAL. EN EL TRANSCURSO DE LA INVESTIGACION SE DIERON CON ALGUNOS DE LOS DOMICILIOS DENUNCIADOS, SIN OBSERVAR EN ELLOS LAS CONDUCTAS DENUNCIADAS.</t>
  </si>
  <si>
    <t>AVERIGUACION DE ILICTO</t>
  </si>
  <si>
    <t>CINTA NRO. 07 DE EQUIPAJES</t>
  </si>
  <si>
    <t>BODEGA - PLATAFORMA - CINTA</t>
  </si>
  <si>
    <t>LA DAMNIFICADA ARRIBO A ESTA TERMINAL AEREA, SE DIRIGE A LA CINTA DE EQUIPAJES, DONDE CUANDO TOMA CONTACTO CON SUS EQUIPAJES SE PERCATA QUE EL CANDADO DE SEGURIDAD DE UNO DE LOS MISMOS, CON EL CUAL LA HABIA DESPACHADO NO ESTABA. POR TAL MOTIVO APERTURA LA MISMA, CONSTATANDO EL FALTANTE DE ALGUNOS DE SUS ELEMENTOS.</t>
  </si>
  <si>
    <t>SA 226</t>
  </si>
  <si>
    <t>Singapur</t>
  </si>
  <si>
    <t>SINGAPUR // SQ 478</t>
  </si>
  <si>
    <t>ISLA TAXI</t>
  </si>
  <si>
    <t>EL OFICIAL CLAUDIO PONCE QUE SE ENCONTRABA DESEMPEÑANDO TAREAS EN EL PUESTO DENOMINADO CENTRO OPERATIVO DE CONTROL MOMENTOS EN EL CUAL VISUALIZA A TRAVES DE UNA DE LAS CAMARAS A UNA PERSONA DEL SEXO MASCULINO QUE SE ENCONTRABA REALIZANDO SERVICIO DE MALETERO, POR LO QUE MANTIENE COMUNICACION VIA NEXTEL CON EL OFICIAL PABLO PEREZ QUIEN SE ENCONTRABA POR EL SECTOR MENCIONADO CON ANTERIORIDAD, CONSTATANDO QUE LA PERSONA ANTES MENCIONADA SE ENCONTRABA REALIZANDO SERVICIO DE MALETERO CARECIENDO DE LA CORRESPONDIENTE HABILITACION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</si>
  <si>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DRA. VERONICA GARCIA</t>
  </si>
  <si>
    <t>GARCIA POALA ANDREA JORIO GNISCI LUIS S/CONTRABANDO DE ESTUPEFACIENTES</t>
  </si>
  <si>
    <t>INFORMO QUE EN VIRTUD A OFICIO JUDICIAL EMANADO POR EL JUZGADO MENCIONADO, SE PROCEDIO A ALOJAR EN ESTA DEPENDENCIA A LA DETENIDA PAOLA ANDREA GARCIA, HASTA EL DIA 17 DE AGOSTO, QUE DEBERA SER TRASLADA A SEDE JUDICIAL.</t>
  </si>
  <si>
    <t>CASTELLI, FERNANDO JAVIER</t>
  </si>
  <si>
    <t>EN EL DIA DE LA FECHA SE PRESENTA EN ESTA DEPENDENCIA EL SEÑOR JUAN MARIA MARTINEZ AMARILLA RADICANDO DENUNCIA SOBRE EL HURTO DEL CONTENIDO DE SU EQUIPAJE DESPACHADO POR BODEGA, MANIFESTANDO ADEMAS QUE AL MOMENTO DE PRESENTARSE AL CHEK-IN LA PERSONA QUE LO ATIENDE EN EL MOSTRADOR DE LA EMPRESA LE CONSULTA QUE TENIA EN EL INTERIOR DEL MALETIN, RESPONDIENDO QUE DENTRO DEL MISMO TENIA UNA NOTEBOOK SEGUIDAMENTE EL EMPLEADO DE LA EMPRESA LE INDICA QUE DEBE DESPACHARLA. SE IMPONE LA NOVEDAD AL JUZGADO DE INSTRUCCIÓN EN TURNO, QUE ORDENA SE REALICEN LAS DILIGENCIAS DE RIGOR Y SE ELEVE LO ACTUADO A DICHO TRIBUNAL.-</t>
  </si>
  <si>
    <t>Dra. Veronica Georgina Lujan GARCIA</t>
  </si>
  <si>
    <t>9995/10</t>
  </si>
  <si>
    <t>CALLE ESPARZA NRO. 81 PISO 4, DEPARTAMENTO B, CIUDAD AUTONOMA DE BUENOS AIRES</t>
  </si>
  <si>
    <t>EN REFERENCIA A LA ORDEN DE SERVICIO NRO. 547/2010 REGISTRO DE ESA UNIDAD REGIONAL, SE HIZO EFECTIVO CUMPLIMIENTO A LA ORDEN DE ALLANAMIENTO, EMANADA POR LA JUDICATURA INTERVINIENTE, EN EL DOMICILIO DE MENCIÓN, DONDE UNA VEZ EN EL LUGAR Y POR ORDEN DEL JUZGADO, SE SOLICITO LA PRESENCIA DE UN CERRAJERO, PARA QUE ABRA LA PUERTA DEL DEPARTAMENTO, DADO QUE NO HABÍA MORADORES EN LA FINCA, POSTERIORMENTE, AL INGRESAR A LA MORADA, SE REALIZO LA REQUISA CORRESPONDIENTE EN DONDE SE SECUESTRO DOCUMENTACIÓN DE INTERÉS PARA LA CAUSA. SE INFORMA QUE EL ALLANAMIENTO SE REALIZO, CON COLABORACIÓN DE PERSONAL DE DROGAS PELIGROSAS DE LA AFIP-DGA, COMO ASÍ TAMBIÉN CON PERSONAL DE LA UOSP EZEIZA Y CON LA PRESENCIA DEL VEEDOR DEL COLEGIO PUBLICO DE ABOGADOS DE LA CAPITAL FEDERAL, EDGARDO GONZÁLEZ OCANTO. SE INFORMA ADEMÁS QUE NO SE REALIZO LA DETENCIÓN DEL SEÑOR CLAUDIO ADARVEZ, DADO QUE EL MENCIONADO NO SE ENCONTRABA EN LA FINCA ALLANADA POR ESTA UNIDAD. SEGUN PU Nº 4937 SE INFORMA QUE EL DIA 13/08/2010 SIENDO LAS 21.00 HS, SE PROCEDIO A ALOJAR A LA DETENIDA POR LA DGA, GARCIA PAOLA ANDREA, EN LA UOSP EZEIZA, HASTA EL DIA 17/08/2010 QUE SERA TRASLADADA A SEDE JUDICIAL.</t>
  </si>
  <si>
    <t>DR CARLOS RAYCES</t>
  </si>
  <si>
    <t>ZANOLA S/ DENUNCIA ROBO</t>
  </si>
  <si>
    <t>SIENDO LAS 23:30 HORAS SE RECIBE DENUNCIA DEL SR. ZANOLA ALEXIS POR EL ROBO DE EFECTOS PERSONALES DE UNA VALIJA DE SU PROPIEDAD LA CUAL HABIA SIDO DESPACHADA EN VUELO DE LA EMPRESA MACAIR JET A LAS 17.00 HS APROXIMADAMENTE. SE REALIZA COMUNICACION TELEFONICA CON EL DR. LISTA A CARGO DEL TURNO DE LA UFAP A QUIEN SE LE INFORMA LO ACONTECIDO, DISPONIENDO ESTE SE REALICEN ACTUACIONES DE RIGOR.</t>
  </si>
  <si>
    <t>CARLOS MARIA RAYCES</t>
  </si>
  <si>
    <t>S/ DELITO CONTRA LA PROPIEDAD -ROBO 13/08/10</t>
  </si>
  <si>
    <t>SIENDO LAS 23:40 HORAS SE RECIBE DENUNCIA DEL SR. ZAPATA, PABLO HERNAN POR EL ROBO DE EFECTOS PERSONALES DE UNA VALIJA DESPACHADA POR BODEGA EN LA EMPRESA MACAIR JET, MANIFESTANDO EL DENUNCIANTE QUE PREVIO A ESTA DENUNCIA HIZO EL RECLAMO PERTINENTE ANTE EL REPRESENTANTES DE LA EMPRESA MACAIR QUIENES TOMARON NOTA DEL FALTANTE, PERO NEGÁNDOSE A ENTREGARLE COMPROBANTE DEL RECLAMO REALIZADO. SE REALIZA COMUNICACION TELEFONICA CON EL DR. LISTA A CARGO DEL TURNO DE LA UFAP A QUIEN SE LE INFORMA LO ACONTECIDO, DISPONIENDO ESTE SE REALIZEN ACTUACIONES DE RIGOR.</t>
  </si>
  <si>
    <t>NACIONAL EN LO CRIMINAL Y CORRECCIONAL FEDERAL N° 6</t>
  </si>
  <si>
    <t>CARRICOBA CORRAL</t>
  </si>
  <si>
    <t>RODOLFO</t>
  </si>
  <si>
    <t>DR. ECHEGARAY</t>
  </si>
  <si>
    <t>AERONAVE BOEING 737-4K5, SERIE 24926, MATRICULA LV-BNM DE LA EMPRESA AEROLINEAS ARGENTINAS</t>
  </si>
  <si>
    <t>PLATAFORMA DE MANTENIMIENTO, SECTOR DENOMINADO ZULU. O PLATAFORMA PARA PRUEBA DE MOTORES</t>
  </si>
  <si>
    <t>SE RECIBE COMUNICACIÓN POR PARTE DE UN OFICIAL DE ESTA REPARTICIÓN, MANIFESTANDO QUE A LA ALTURA DEL PUESTO DENOMINADO ZULU DE LA PLATAFORMA COMERCIAL, HABÍA UNA AERONAVE DE LA COMPAÑÍA AEROLÍNEAS ARGENTINAS, LA CUAL ESTABA SIENDO ASISTIDA POR DOS DOTACIONES DEL CUARTEL DE BOMBEROS DE LA POLICÍA FEDERAL ARGENTINA DIVISIÓN AEROPARQUE. INMEDIATAMENTE SE HACE PRESENTE EL JEFE DE TURNO EN EL LUGAR DEL HECHO, Y AL DIALOGAR CON EL PERSONAL ENCARGADO DEL OPERATIVO, EL MISMO MANIFIESTA QUE HABÍA RECIBIDO UN LLAMADO POR PARTE DE LA TORRE DE CONTROL, EN LA CUAL EL TORRERO DE TURNO INFORMA QUE HABÍA UN PRINCIPIO DE INCENDIO EN EL MOTOR DE UN AVIÓN DE LA COMPAÑÍA AEROLÍNEAS ARGENTINAS, MOTIVO POR EL CUAL SE HACEN PRESENTES DE INMEDIATO DOS DOTACIONES DE BOMBEROS PARA EXTINGUIR EL FOCO ÍGNEO, SALVAGUARDAR LA SEGURIDAD DE LOS EMPLEADOS DE LA EMPRESA AÉREA Y RESTABLECER EL NORMAL FUNCIONAMIENTO DEL SECTOR. DURANDO EL PROCEDIMIENTO UN LAPSO DE DIEZ MINUTOS, HASTA QUE SE DETUVO LA SALIDA DE HUMO. ACTO SEGUIDO SE PROCEDE A CONSTATAR QUE NO HUBIESE HERIDOS, INVITANDO A TODOS LOS INTERVINIENTES A ESTA GUARDIA DE PREVENCIÓN CON EL FIN DE COMENZAR LAS DILIGENCIAS QUE PUDIESEN CORRESPONDER. CABE DESTACAR QUE SE HACE PRESENTE EL TECNICO AERONAUTICO DE LA COMPAÑIA AEROLINEAS ARGENTINAS, CON MOTIVO DE REALIZAR UNA DENUNCIA, TENIENDO EN CUENTA QUE SU PERSONAL SE ENCONTRABA REALIZANDO UNA PRUEBA DE MOTOR, Y EN EL PROCEDIMIENTO REALIZADO POR EL PERSONAL DE BOMBEROS RESULTO DAÑADO EL MOTOR DE LA AERONAVE MATRICULA LV-BNM. SIENDO LAS 19:25 HORAS SE REALIZA COMUNICACIÓN TELEFÓNICA CON LA JUDICATURA ACTUANTE, LA CUAL DISPONE, TENIENDO EN CUENTA LA DENUNCIA REALIZADA POR EL TÉCNICO AERONÁUTICO DE LA COMPAÑÍA AEROCOMERCIAL AEROLÍNEAS ARGENTINAS, CARATULAR LA CAUSA COMO AVERIGUACIÓN DE DAÑOS, ADJUNTAR EL LISTADO DE PERSONAL DE LA EMPRESA AEROLÍNEAS ARGENTINAS, LISTADO DEL PERSONAL DE BOMBEROS DE PFA AEROPARQUE, TESTIMONIAL DEL PERSONAL INTERVINIENTE DE LA COMPAÑÍA AEROLÍNEAS ARGENTINAS Y ELEVAR SUMARIO CON TODAS LAS ACTUACIONES EL DÍA MARTES 17 DEL CORRIENTE MES Y AÑO A LAS 08:00 HS.</t>
  </si>
  <si>
    <t>AUTOPISTA TENIENTE GENERAL RICHIERI, A UNOS 300 METROS APROXIMADAMENTE DE LA SALIDA A ESTE AEROPUERTO</t>
  </si>
  <si>
    <t>RUTA DE ACCESO PRINCIPAL</t>
  </si>
  <si>
    <t>LA DENUNCIANTE, LUEGO DE ARRIBAR A ESTE AEROPUERTO, EN VUELO LA 4641 PROCEDENTE DE LIMA PERU, SIENDO APROX. LAS 19.00 HORAS, SE DIRIGIO AL STAND DE TAXIS DE CAPITAL, EMPLAZADO EN LA PERGOLA DE LA TERMINAL A, -STAND DE TAXIS DE CAPITAL- DONDE TOMA UN TAXI PARA QUE LA TRASLADE A LA CALLE RUFINO 2309 - KILOMETRO 23,09 RUTA 3 DE LA LOCALIDAD DE LAFERRERE PBA. QUE LUEGO DE ABANDONAR ESTE AEROPUERTO A UNOS 300 DE LA SALIDA DEL MISMO, EL TAXI DETIENE SU ANDAR EN LA BANQUINA DE LA AUTOPISTA, LUGAR DONDE EL CHOFER LE MANIFIESTA A LA DAMNIFICADA QUE LAFERRERE ERA UNA ZONA INSEGURA, Y LUEGO IMPREVISTAMENTE INGRESA AL TAXI OTRO MASCULINO QUE TOMA EL LUGAR DEL CONDUCTOR, Y ESTE ULTIMO EL ASIENTO DEL ACOMPAÑANTE, PIDIENDOLE QUE LE ABONE EL VIEJE, Y EN MOMENTOS EN QUE LA DAMNIFICADA SE DISPONIA A PAGARLE, ESTA PERSONA LE ARREBATA DE LA CARTERA A LA DENUNCIANTE UNA BOLSA DE NYLON CON 4000 DOLARES. LUEGO EL TAXI ARRACA CON LOS DOS MASCULINOS Y LA PASAJERA, TRASLADANDO A LA MISMA A LA LOCALIDAD DE LAFERRERA, LUGAR DONDE LA DEJAN Y SE RETIRAN.</t>
  </si>
  <si>
    <t>CINTA DE EQUIPAJES NRO. 07</t>
  </si>
  <si>
    <t>BODEGA DE LA AERONAVE-PLATAFORMA OPERATIVA-CINTAS DE ARRIBOS TERMINAL A</t>
  </si>
  <si>
    <t>INFORMO QUE LA DENUNCIANTE LUEGO DE ARRIBAR A ESTE AEROPUERTO Y EFECTUAR LOS TRAMITES MIGRATORIOS DE INGRESO AL TERRITORIO NACIONAL, SE DIRIGE AL SECTOR DE CINTA DE EQUIPAJES DONDE TOMA CONTACTO CON SU VALIJA Y SE PERCATA QUE LOS CANDADOS DE SEGURIDAD CON EL CUAL LA HABIA DEPACHADO EN EL AEROPUERTO DE ORIGEN NO SE HALLABAN. POR TAL MOTIVO APERTURA LA VALIJA PERCATANDOSE DEL FALTANTE DE ALGUNOS DE SUS ELEMENTOS.</t>
  </si>
  <si>
    <t>LA 481</t>
  </si>
  <si>
    <t>DR. MANUEL PIZARRO</t>
  </si>
  <si>
    <t>SIENDO LAS 01:15 HORAS LOCAL SE PRESENTA EN ESTA DEPENDENCIA EL SEÑOR JOSE MARIA WALTON DNI Nº 16.345.186, QUIEN DESEA REALIZAR UNA DENUNCIA POR EL FALTANTE DE ELEMENTOS EN SU BOLSO QUE FUE DESPACHADO EN EL VUELO LAN ARGENTINA Nº 4428 PROCEDENTE DE LA CIUDAD DE BUENOS AIRES. UNA VEZ ARRIBADO EN ESTE AEROPUERTO EL DENUNCIANTE NO OBSERVO NADA ANORMAL EN SU EQUIPAJE, PERO CUANDO LLEGA A SU CASA SE ENCUENTRA CON EL FALTANTE DE INDUMENTARIA Y OBJETOS VARIOS , REALIZA EL RECLAMO A LA EMPRESA VIA INTERNET Y LUEGO REALIZA EL RECLAMO EN EL MOSTRADOR EN EMPRESA. REALIZADA LAS COORDINACIONES CON EL JUZGADO FEDERAL DE LA CIUDAD DE COMODORO RIVADAVIA ESTE SE DECLARA INCOMPETENTE Y ORDENA REALIZAR LAS COORDINACIONES CON EL MINISTERIO PUBLICO FISCAL DE LA PROVINCIA DEL CHUBUT A CARGO DE LA DR. CECCARDI GRACIELA, QUIEN ORDENA REMITIR LAS ACTUACIONES EL DIA 17 DE AGOSTO DEL CORRIENTE AÑO.</t>
  </si>
  <si>
    <t>S/ DELITO CONTRA LA PROPIEDAD ROBO</t>
  </si>
  <si>
    <t>SIENDO LAS 10:45 HORAS SE PRESENTA EN ESTA DEPENDENCIA POLICIAL EL SEÑOR LUCIANO EUGENIO REBUFFI DESEANDO REALIZAR UNA EXPOSICION POR LA ROTURA DEL EQUIPAJE FACTURADO EN EL VUELO Nº 1692 DE LA EMPRESA AEROLINEAS ARGENTINAS DEBIDO A QUE LUEGO DE EFECTUAR EL RECLAMO EN LA EMPRESA AEREA LE MANIFESTARON NO PODIAN TOMARLE EL RECLAMO EN ESTE AEROPUERTO, QUE DEBIA REALIZARLO EN LAS OFICINAS DEL CENTRO DE LA CIUDAD O EN LA CIUDAD DE SAN MARTIN DE LOS ANDES O EN ATENCION AL CLIENTE EN LA CIUDAD DE BUENOS AIRES, ANTE LO EXPUESTO Y NO QUERIENDO RETIRARSE DE ESTE AEROPUERTO SIN HABER DEJADO CONSTANCIA DE LOS HECHOS, ES QUE RADICA LA EXPOSICION. TRAS LO RELATADO POR EL EXPONENTE Y AL TRATARSE DE UN EVIDENTE HECHO DELICTIVO ES QUE ESTA DEPENDENCIA PROCEDE A COMUNICARSE CON EL FISCAL DE TURNO DEL JUZGADO DE INSTRUCCION Nº 2 A CARGO DEL DR. LOZADA FISCALIA Nº 3 DR. LISTA QUIEN ORDENA QUE ESTA DEPENDENCIA POLICIAL ACTUE DE OFICIO Y REALICE LAS ACTUACIONES DE RIGOR.</t>
  </si>
  <si>
    <t>Juzgado de Garantías Nº 07 Lomas de Zamora</t>
  </si>
  <si>
    <t>HRYB</t>
  </si>
  <si>
    <t>HORACIO</t>
  </si>
  <si>
    <t>ALEJANDRO SCALESE</t>
  </si>
  <si>
    <t>CALLE MACIEL NRO. 1341, SISDRO CASANOVA PARTIDO DE LA MATANZA</t>
  </si>
  <si>
    <t>CON RELACION A LA ORDEN DE SERVICIO NRO. 764/10 EN EL DIA DE LA FECHA SE PROCEDE A DAR CUMPLIMIENTO A LA ORDEN DE ALLANAMIENTO, HABIENDO CERTIFICADO PREVIAMENTE QUE EN EL DOMICILIO HABITA EL SEÑOR MARCELO ALEJANDRO MAMANI, NO REALIZANDOSE SECUESTRO ALGUNO POR NO HALLARSE NINGUNO DE LOS ELEMENTOS DETALLADOS EN LA ORDEN DE ALLANAMIENTO.</t>
  </si>
  <si>
    <t>SIENDO LAS 19:30 HORA LOCAL ATERRIZA SIN NOVEDAD AERONAVE LJ-60 MATRICULA T-10 PROCEDENTE DE AEROPARQUE JORGE NEWBERY, TRASLADANDO AL SR. JEFE DE GABINETE DE MINISTROS DE LA NACION, DR. ANIBAL FERNANDEZ, QUIEN FUE RECIBIDO POR EL SR. INTENDENTE DE LA CIUDAD DE LA BANDA CPN HECTOR RUIZ. ASIMISMO INFORMO QUE EL DR. ANIBAL FERNANDEZ PERMANECERÁ EN ESTA CIUDAD CON MOTIVO DE LA ENTREGA DE AMBULANCIAS PARA LA MUNICIPALIDAD DE LA BANDA, TENIENDO PREVISTA SU PARTIDA EL DÍA DE MAÑANA DOMINGO 15 DE AGOSTO, EN HORAS DE LA TARDE. SIENDO LAS 19:50 HORA LOCAL LA COMITIVA SE RETIRA VIA TERRESTRE DE ESTE AEROPUERTO SIN NOVEDAD. SE IMPLEMENTARON MEDIDAS DE SEGURIDAD DE ACUERDO A ORDEN DE SERVICIO Nº 040/10 PRODUCIDA POR ESTA UOSP.</t>
  </si>
  <si>
    <t>T-10</t>
  </si>
  <si>
    <t>DRA. CAROLINA BAULLE</t>
  </si>
  <si>
    <t>VUELO Nº 1689 DE LA EMPRESA AEROLINEAS ARGENTINAS.</t>
  </si>
  <si>
    <t>EN HORAS 00:30 DEL DIA 15 DE AGOSTO DEL CORRIENTE AÑO, SE HACE PRESENTE EL DENUNCIANTE MANIFESTANDO QUE SIENDO LAS 19:40 HORAS DEL DIA 14 DE AGOSTO DEL 2010 REALIZO EL DESPACHO DE SU EQUIPAJE PARA EL VUELO Nº AR 1689 EN EL AEROPUERTO DE BARILOCHE CON DESTINO ESTE AEROPUERTO METROPOLITANO. UNA VEZ ARRIBADO EN ESTA AEROESTACION, SIENDO LAS 22:40 HS, SE APERSONO EN EL SECTOR ARRIBOS NACIONALES, SECTOR A2 A FIN DE RETIRAR SU EQUIPAJE DESPACHADO, MOMENTO EN EL CUAL SE PERCATO QUE UNO DE SUS BOLSOS, EL CUAL ESTABA IDENTIFICADO CON MARBETE Nº AR 61-32-34 SE ENCONTRABA SIN EL CANDADO Y PRESENTABA EL FALTANTE EN SU INTERIOR DE VARIOS ELEMENTOS. POSTERIORMENTE, EL DAMNIFICADO REALIZO EL RECLAMO ADMINISTRATIVO EN LA EMPRESA AEROLINEAS ARGENTINAS Y FINALMENTE EN EL DIA DE LA FECHA, SE HACE PRESENTE EN ESTA GUARDIA DE PREVENCION A FIN DE RADICAR LA DENUNCIA CORRESPONDIENTE.</t>
  </si>
  <si>
    <t>AR 1689</t>
  </si>
  <si>
    <t>D.I.C. Y DC.U s/ AV. PTA. INF. LEY 23.737</t>
  </si>
  <si>
    <t>INFORMO QUE EN EL DIA DE LA FECHA EN VUELO NRO. 470 DE LA EMPRESA AEROCOMERCIAL LINEAS AEREAS DEL ESTADO SE ENVIA BAJO GUIA DE CARGA Nº N° 022-28004314 UN SOBRE CERRADO CONTENIENDO CAUSA Nº 2549 CARATULADA: "D.I.C. Y NC.U. S/AV. PTA. INF. LEY 23.737", CONFORME A LO DISPUESTO POR S.SA. DR. FEDERICO H. CALVETE A CARGO DEL JUZGADO FEDERAL DE LA CIUDAD DE USHUAIA, ASIMISMO INFORMO QUE SE ESTIMA EL ARRIBO DEL VUELO A LA CIUDAD DE COMODORO RIVADAVIA A LAS 15:00 HS.</t>
  </si>
  <si>
    <t>EN MOMENTOS EN QUE EL OFICIAL LENCINA SE ENCONTRABA EN UNA RECORRIDA POR EL SECTOR MENCIONADO,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</si>
  <si>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HALL ARRIBOS EN CERCANIAS A PUERTAS AUTOMATICAS</t>
  </si>
  <si>
    <t>SIENDO LA FECHA Y HORA ANTES MENCIONADA, EN MOMENTOS EN QUE LOS OFICIALES ROMEO Y CAFFERATA SE ENCONTRABAN EN UNA RECORRIDA POR EL SECTOR MENCIONADO,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</si>
  <si>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4949/10</t>
  </si>
  <si>
    <t>EN EL DIA DE FECHA SIENDO LAS 14:45 HS. LOCAL DESPEGA DE ESTE AEROPUERTO AERONAVE LJ-60 MATRICULA T-10 TRASLADANDO AL SR. JEFE DE GABINETE NACIONAL DR. ANIBAL FERNANDEZ Y COMITIVA CON DESTINO AEROPARQUE JORGE NEWBERY, FINALIZANDO SU VISITA A ESTA PROVINCIA. SE HA DADO CUMPLIMIENTO A ORDEN DE SERVICIO Nº 040/10 PRODUCIDA POR ESTA UOSP, SIN NOVEDAD.</t>
  </si>
  <si>
    <t>MOSTRADORES EMPRESA GOL</t>
  </si>
  <si>
    <t>PERSONAL POLICIAL IDENTIFICA A UNA PASAJERA QUE SE ENCONTRABA CON SIGNOS DE INSANIA MENTAL, GRITANDO IMPROPERIOS,. QUE POR ESTE MOTIVO LA EMPRESA COPA SE NEGO A EMBARCARLA. QUE CON MOTIVO DE QUE CON SU COMPORTAMIENTO ALTERA EL ORDEN PUBLICO ES TRASLADADA HACIA LA GUARDIA DE PREVENCION Y SE MANTIENE COMUNICACION CON LA UFI DE TURNO, INFORMANDOSE DE LA NOVEDAD Y QUE LA PASAJERA SOLO PODRA SER EMBARCADA POR LA EMPRESA COPA EN COMPANIA DE UN FAMILIAR. QUE SE MANTUVO COMUNICACION CON FAMILIARES DE LA PASAJERA QUIENES ARRIBARAN AL PAIS EL DIA 16 DEL CORRIENTE MES Y AÑO A LAS 06 HORAS EN BUSCA DE LA CAUSANTE. QUE LA UFI EN TURNO DISPUSO SU IDENTIFICACION INICIANDO ACTUACIONES DE MODO PREVENTIVO HASTA TANTO LA PASAJERA SEA EMBARCADA, DEBEINDO PERMITIR SU LIBRE CIRCULACION.-</t>
  </si>
  <si>
    <t>LOPEZ VEGA, MERCEDES</t>
  </si>
  <si>
    <t>MARCHAN, ELBA C. S/LESIONES - DTE. GUEVARA ANTONELLA</t>
  </si>
  <si>
    <t>NOTIFICACION DE GUEVARA, Antonella Soledad</t>
  </si>
  <si>
    <t>EN EL DIA DE LA FECHA Y AL MOMENTO DEL PREEMBARQUE DEL VUELO AR 1849 DE LA EMPRESA AEROLINEAS ARGENTINAS SE PROCEDIO A IDENTIFICAR Y NOTIFICAR A LA CIUDADANA GUEVARA ANTONELA SOLEDAD - DNI 31.473125, CONFORME A SOBRE LA MISMA RECAE UN PEDIDO DE PARADERO SEGUN CONSTA EN SISTEMA RED LINCE Nº 208670. LA CIUDADANA Y EN EL MARCO DE LOS AUTOS DE REFERENCIA FIJO DOMICILIO EN CALLE PIEDRABUENA Nº 581 DE ESTA CIUDAD DE RIO GRANDE PROVINCIA DE TIERRA DEL FUEGO. FINALIZADAS LAS ACTUACIONES LA PASAJERA CONTINUO CON SU VIAJE PROGRAMADO.</t>
  </si>
  <si>
    <t>ALTURA PUESTO MONTACARGAS</t>
  </si>
  <si>
    <t>PERGOLA DE PARTIDAS</t>
  </si>
  <si>
    <t>LA DENUNCIANTE LUEGO DE ARRIBAR A ESTE MEDIO SE DIRIGIO AL SECTOR DE ARRIBOS DE PASAJEROS DONDE TOMO CONTACTO CON SUS FAMILIARES E HIZO ABANDONO DE ESTE MEDIO. QUE AL LLEGAR A SU DOMICILIO SE PERCATO QUE DEJO OLVIDADO EN EL CARRO PORTAMALETAS, SU CARTERA. QUE AL REGRESAR A ESTE MEDIO, NO HALLO LOS ELEMENTOS DESCRIPTOS. ANTE TAL CIRCUNSTANCIA SE PRESENTO EN ESTA GUARDIA DE PREVENCION.</t>
  </si>
  <si>
    <t>BODEGA-PLATAFORMA-CINTA</t>
  </si>
  <si>
    <t>SE HACE PRESENTE EN ESTA GUARDIA DE PREVENCIÓN UNA PERSONA QUE DESEA REALIZAR UNA DENUNCIA, INFORMANDO QUE EN EL DÍA DE LA FECHA SIENDO LAS 13:30 HORAS APROXIMADAMENTE, SE HIZO PRESENTE EN EL AEROPUERTO DE ASUNCIÓN, EN LA REPUBLICA DE PARAGUAY, CON MOTIVO DE ABORDAR EL VUELO AR 1263, DE LA EMPRESA AEROCOMERCIAL AEROLÍNEAS ARGENTINAS. DESPACHO SU EQUIPAJE Y UNOS MINUTOS MAS TARDE SE DIRIGIÓ AL EMBARQUE, DESPEGANDO A LAS 14:15 HORAS APROXIMADAMENTE DE ESA CIUDAD, ARRIBANDO A ESTE AEROPUERTO METROPOLITANO A LAS 17:30 HORAS APROXIMADAMENTE. ACTO SEGUIDO SE DIRIGIÓ A LA CINTA TRANSPORTADORA DE EQUIPAJE, LA CUAL SE ENCUENTRA EN EL SECTOR DE ARRIBOS INTERNACIONAL A1, DE ESTA AEROSTACIÓN, DONDE AGUARDO UNOS 20 MINUTOS APROXIMADAMENTE HASTA QUE VISUALIZO SU EQUIPAJE, LO RETIRO, Y EN ESE MOMENTO SE PERCATO DEL FALTANTE DEL CANDADO QUE LE HABÍA COLOCADO EN LAS LENGÜETAS DEL CIERRE PRINCIPAL, POR TAL MOTIVO APERTURA SU VALIJA Y NOTA LOS FALTANTES.</t>
  </si>
  <si>
    <t>MARTA ABREGU DE PADILLA</t>
  </si>
  <si>
    <t>LLANES MALDONADO HECTOR S/DELITO DE ACCION PUBLICA</t>
  </si>
  <si>
    <t>CONTROL DE RX</t>
  </si>
  <si>
    <t>SIENDO HS. 16:20 APROX. MIENTRAS SE REALIZABA EL CONTROL DE PASAJEROS DEL VUELO 4155 DE LAN ARG., EL OF. AY. VILDOZO, QUIEN SE ENCONTRABA OPERANDO LA MAQUINA DE RX, OBSERVA UN OBJETO EXTRAÑO ENTRE LAS PERTENENCIAS DEL PASAJERO LLANES MALDONADO, QUIEN AL SER CONSULTADO MANIFIESTA LLEVAR MARIHUANA PARA CONSUMO PERSONAL. ANTE ESTO SE DA LA NOVEDAD AL JEFE DE TURNO OF. MY. TABOADA, QUIEN DISPONE SE APARTE A ESTA PERSONA Y SE PROCEDA A BUSCAR DOS TESTIGOS HABILES PARA REALIZAR EL PROCEDIMIENTO DE RIGOR. ANTE ELLOS SE SOLICITA AL PASAJERO QUE EXHIBA SUS PERTENENCIAS Y EL CONTENIDO DEL EQUIPAJE QUE TRANSPORTABA. EN EL INTERIOR DE UNA CAJETILLA DE CIGARRILLOS SE ENCONTRO UNA BOCHITA DE PAPEL CONTENIENDO EN SU INTERIOR UNA SUSTANCIA VERDE OSCURA DE TIPO ORGANICA, MANIFESTANDO EL PASAJERO SER DE SU PROPIEDAD Y QUE ES MARIHUANA PARA CONSUMO PARTICULAR. SE PROCEDE A EFECTUAR PRUEBA DE CAMPO CON REACTIVOS LEVINE REAGENT SISTEM PARA MARIHUANA, ARROJANDO RESULTADO POSITIVO. SE ESTABLECE COMUNICACION TELEFONICA CON LA SEC. DE LEYES ESPECIALES DEL JUZ. FED. N°1 DE TUCUMAN, A CARGO DE LA DRA. ABREGU DE PADILLA , QUIEN ORDENA SE ACTUE CONFORME AL ARTICULO 353 BIS DEL C.P.P.N. Y SE SOLICITE INFORME A LA DIV. DE ANTECEDENTES PERSONALES DE LA POL. DE LA PROV. DE TUCUMAN, PARA DETERMINAR LA PROSECUCION DE LA CAUSA. A HS.17:50 SE EFECTUA REVISION MEDICA AL SR. MALDONADO EN EL SERVICIO MEDICO DE ESTE AEROPUERTO, SIENDO ATENDIDO POR EL DR. JUAN JOSE ORTEGA, M.P. 4799, QUIEN EXTIENDE EL CERTIFICADO CORRESPONDIENTE. A HS. 19:45 SE COMISIONA PERSONAL DE ESTA UOSP HACIA LA MENCIONADA DIVISION POLICIAL, REGRESANDO LA MISMA A HS. 21:05 CON EL INFORME SOLICITADO, EN EL CUAL NO FIGURAN ANTECEDENTES PENALES. SE ESTABLECE COMUNICACION CON LA DRA. ABREGU DE PADILLA, QUIEN ORDENA SE LIBERE AL PASAJERO Y SE ELEVEN LAS ACTUACIONES A LA BREVEDAD. SIENDO HS. 21:20 SE REALIZA REVISION MEDICA AL SR. MALDONADO EN EL MISMO SERVICIO MEDICO EXTENDIENDOSE CERTIFICADO CORRESPONDIENTE. SIENDO HS. 21:35 SE PROCEDE A LA LIBERACION DEL MISMO, RETIRANDOSE POR SUS PROPIOS MEDIOS DE ESTA UOSP SIN OTRA NOVEDAD.</t>
  </si>
  <si>
    <t>DR.JORGE DAMORE</t>
  </si>
  <si>
    <t>QUE LUEGO DE ARRIBAR EN EL VUELO AR 1640 PROCEDENTE DE ROMA ITALIA, SIENDO APROXIMADAMENTE LAS 04.40 HORAS, Y DE REALIZAR LOS TRAMITES DE INGRESO AL PAIS, SE HACE PRESENTE JUNTO A SU HIJO EN EL SALON DE CINTAS DE ARRIBOS DE EQUIPAJES. QUE EL DENUNCIANTE SE DIRIJE HACIA EL STAND DE CAMBIO DE DIVISAS HABIDO EN EL LUGAR, DEJANDO A SU HIJO EN CUIDADO DE SUS PERTENENCIAS DEPOSITADAS EN UN EL BUCHE O CAJON DE LA PARTE DELANTERA DEL CARROPORTAMALETAS, QUE AL REGRESAR EL DENUNCIANTE A SU POSICION ORIGINAL SE PERCATA DEL FALTANTE, EL CUAL SE ENCONTRABA EN EL INTERIOR DE UNA BOLSA DE COLOR BLANCA.-</t>
  </si>
  <si>
    <t>ART.173 E/F 174 EXPTE. N° 584-20201-92</t>
  </si>
  <si>
    <t>INFORMO QUE EN EL CONTROL DE DOCUMENTACIÓN DEL VUELO NRO 2725 DE LA EMPRESA AUSTRAL LINEAS AÉREAS SE DETECTA A TRAVÉS DEL SISTEMA INTERPOL EL PEDIDO DE PARADERO VIGENTE SOLICITADO POR EL JUZGADO FEDERAL NRO 5 SECRETARIA NRO 15 DE CAPITAL FEDERAL ANTE EL HECHO PERSONAL DE INTERPOL REALIZA UN ACTA Y ENTREGA AL JEFE DE TURNO QUIEN CONFECCIONA UN ACTA DE NOTIFICACION DANDO CUMPLIMIENTO A LO REQUERIDO POR EL JUZGADO SOLICITANTE DE LA MEDIDA Y SE NOTIFICA AL CAUSANTE QUE DEBERA COMPARECER ANTE DICHO JUZGADO DENTRO DE LOS CINCO DIAS HABILES DE LABRADA LA MISMA PARA REGULARIZAR SU SITUACION JUDICIAL</t>
  </si>
  <si>
    <t>LEGAJO DE: MALDONADO DELGADO, RAMIRO</t>
  </si>
  <si>
    <t>1304/10-ES-</t>
  </si>
  <si>
    <t>PREEMBARQUE INTERNACIONAL PUERTA NRO. 3</t>
  </si>
  <si>
    <t>SE PRESENTA EL GENDARME DE G.N. LUIS FAJURE, CON EL CIUDADANO DE NACIONALIDAD BOLIVIANA SR. RAMIRO DELGADO MALDONADO, SOBRE QUIEN RECAYERA LA DISPOSICION MIGRATORIA NRO. 99483/10 DNM. A RESUELTO LA EXPULSION DEL TERRITORIO NACIONAL CON PROHIBICION DE REINGRESO PERMANENTE AL PAIS, SE DA CUMPLIMIENTO A ORDEN DE SERVICIO NRO. 169/10, CON LA COLABORACION DE 02 EFECTIVOS DE LA UOESA DEL NORTE, AL MOMENTO DE LA PARTIDA , SIN NOVEDAD.</t>
  </si>
  <si>
    <t>DR. RUSSO GUSTAVO</t>
  </si>
  <si>
    <t>DUARANTE EL CONTROL DEL VUELO DE MENCION, UNA PASAJERA ACTIVA EL MARCO DETECTOR DE METALES, MOTIVO POR EL CUAL, SE PROCEDE AL CHEQUEO MANUAL DE LA MISMA SOLICITANDOLE QUE EXHIBA TODO LO QUE LLEVABA EN SUS BOLSILLOS, EXTRAYENDO DEL BOLSILLO DE SU PANTALON UN CIGARRILLO ARMADO CON UNA SUSTANCIA DE ORIGEN VEGETAL, AL PREGUNTAR POR EL MISMO, LA PASAJERA MANIFIESTA ES MARIHUANA. ACTO SEGUIDO SE CONVOCA A DOS TESTIGOS HÁBILES, Y CON LA PRESENCIA DEL PERITO DE TURNO SE PROCEDE A REALIZAR EL REACTIVO DE CAMPO ORIENTATIVO, DANDO ESTE RESULTADO POSITIVO PARA LA SUSTANCIA MARIHUANA. SEGUIDAMENTE SE INVITA A TODOS LOS PARTICIPANTES A LA GUARDIA DE PREVENCIÓN. CABE DESTACAR QUE AL PREGUNTARLE A LA CAUSANTE SI POSEÍA ALGÚN TIPO DE SUSTANCIAS DENTRO DEL EQUIPAJE DESPACHADO, LA MISMA MANIFIESTA QUE SI, POR LO QUE SE PROCEDE A REQUISAR POR COMPLETO EL EQUIPAJE, ENCONTRANDO UN RECIPIENTE, EL CUAL CONTENÍA EN SU INTERIOR, UNA SUSTANCIA DE ORIGEN VEGETAL, CON LA MISMA CONSISTENCIA QUE LA ANTERIOR. SEGUIDAMENTE SE PROCEDE A REALIZAR UN NUEVO REACTIVO DANDO ESTE RESULTADO POSITIVO PARA LA SUSTANCIA MARIHUANA. POSTERIORMENTE SE PROCEDE A ENTABLAR COMUNICACIÓN CON LA JUDICATURA ACTUANTE LA CUAL ANOTICIADA DE LOS HECHOS DISPONE CONTINUAR CON LAS DILIGENCIAS DE RIGOR, Y UNA VEZ OBTENIDO EL RESULTADO DEL REGISTRO NACIONAL DE REINCIDENCIA, DE NO MEDIAR IMPEDIMENTO LEGAL PROCEDER A LA SOLTURA DE LA DETENIDA. SEGUN PU Nº 4969, SE INFORMA QUE EL DIA 16/08/2010 A LAS 19.10 HS, SE LIBERÓ A LA CAUSANTE POR NO MEDIAR IMPEDIMENTO LEGAL ABANDONANDO LA DEPENDENCIA POR SUS PROPIOS MEDIOS CONFORME A LOS TRATOS RECIBIDOS.</t>
  </si>
  <si>
    <t>AR 2682</t>
  </si>
  <si>
    <t>SE CONFECCIONA EL PRESENTE A LOS EFECTOS DE INFORMAR QUE EN EL DIA DE LA FECHA SIENDO LAS 13:50 HS LOCAL DESPEGA LA ERONAVE T-01 CON DESTINO A EL CALAFATE LA MISMA DESPEGO CON TRIPULACION Y SIN NOVEDAD.-</t>
  </si>
  <si>
    <t>PERÍMETRO DEL AEROPUERTO</t>
  </si>
  <si>
    <t>DESPEGA AERONAVE T-01 CON SEÑORA PRESIDENTA DE LA NACIÓN, SEÑOR EX PRESIDENTE DE LA NACIÓN NESTOR KIRCHNER Y COMITIVA CON DESTINO A LA CIUDAD DE BUENOS AIRES SIN NOVEDAD.-</t>
  </si>
  <si>
    <t>JUZGADO DE INSTRUCCION 3° NOMINACION</t>
  </si>
  <si>
    <t>Adarvez</t>
  </si>
  <si>
    <t>Mario Guillermo</t>
  </si>
  <si>
    <t>RAET EDUARDO</t>
  </si>
  <si>
    <t>VALLADO DE SEGURIDAD, PLANO GRILLADO CUADRICULA H,4,5 Y6 APROXIMADAMENTE</t>
  </si>
  <si>
    <t>INFORMO EN EL DIA DE LA FECHA, SIENDO LAS 17:00 HORAS, SE PROCEDE A TOMAR DENUNCIA, POR PRESUNTO ROBO, AL SEÑOR JORGE GUERRERO AUXILIAR DE OPERACIONES DE LA EMPRESA A/A 2000, POR EL FALTANTE DE 14 PAÑOS DE TELA ROMBOIDAL DE TRES METROS CADA UNA, SOBRE EL VALLADO DE SEGURIDAD UBICADO SEGUN PLANO GRILLADO EN LA CUADRICULA H 4,5 Y 6. SE PROCEDIO A DAR INTERVENCION AL JUZGADO TERCERO DE INSTRUCCION DE LA PROVINCIA DE SAN JUAN A CARGO DEL DR.ADARVEZ, MARIO GUILLERMO, MANTENIENDOSE COMUNICACION VIA TELEFONICA CON EL SECRETARIO DE DICHO JUZGADO AL TELEFONO CELULAR DE TURNO 0264-154-135703, QUIEN DISPUSO QUE SE TOME LA DENUNCIA CORRESPONDIENTE, CARATULANDOSE PRESUNTO ROBO, SE TOME DECLARACION TESTIMONIAL AL JEFE DE MANTENIMIENTO DE A/A 2000, DANILO GONZALEZ, SE TOMEN FOTOGRAFIAS DEL LUGAR, SE REALICE EL CROQUIS DEL SECTOR, QUE SE AVISE A LA EMPRESA PARA REALIZAR LA REPOSICION DEL ALAMBRADO EN UN TIEMPO BREVE Y QUE SE ELEVE LA CAUSA EN LOS TERMINOS PROCESALES AL JUZGADO DE MENCION.</t>
  </si>
  <si>
    <t>SIENDO LA HORA MENCIONADA SE IMPLEMENTA CONTROL DE SEGURIDAD SEGUN ORDEN DE 308/10 DE LA UOSP METROPOLITANA POR ARRIBO DE LA SRA PRESIDENTE DE LA NACION, ARRIBANDO LA MISMA EN AERONAVE T-01 A LAS 18:15 HORAS, ABANDONANDO JURISDICCION A LAS 18:20 HORAS EN HELICOPTERO MATRICULA H-01, SIN NOVEDAD.</t>
  </si>
  <si>
    <t>SECRETARIA Nº 140</t>
  </si>
  <si>
    <t>Zelaya</t>
  </si>
  <si>
    <t>Luis Alberto</t>
  </si>
  <si>
    <t>JUAN SCHABAS MADUEÑO</t>
  </si>
  <si>
    <t>DEFRAUDACIÓN</t>
  </si>
  <si>
    <t>EN EL CONTROL DE DOCUMENTACION DEL VUELO NRO 2735 DE LA EMPRESA AUSTRAL LINEAS AEREAS SE DETECTA A TRAVES DEL SISTEMA INTERPOL DOS PEDIDOS DE PARADEROS VIGENTES SOLICITADOS POR EL JUZGADO NACIONAL CRIMINAL DE INSTRUCCION NRO 13 SECRETARIA NRO 140 DE CAPITAL FEDERAL UNO DE ELLOS VIGENTE DE FECHA 03-09-1998 DE OBSERVACIONES CITACION EXPTE. D.E.221989.-EXPTE DE 238825 CON Nº DE EXPEDIENTE 584-22834-98 Y EL OTRO VIGENTE DE FECHA 13-11-2001 DE OBSERVACIONES POST. COMPARENDO A 1RA AUDIENCIA-DEC. TESTIMONIAL-CAUSA ESPEDIENTE Nº 584-29627-01. ANTE EL HECHO PERSONAL DE INTERPOL REALIZA DOS ACTAS Y ENTREGA AL JEFE DE TURNO EL CUAL CONFECCIONA DOS ACTAS DE NOTIFICACIONES DANDO CUMPLIMIENTO A LO REQUERIDO POR EL JUZGADO SOLICITANTE DE LA MEDIDA Y SE NOTIFICA AL CAUSANTE QUE DEBERA COMPARECER ANTE DICHO JUZGADO DENTRO DE LOS CINCO DIAS HABILES DE LABRADA LA MISMA PARA REGULARIZAR SU SITUACION JUDICIAL</t>
  </si>
  <si>
    <t>4963/10</t>
  </si>
  <si>
    <t>SIENDO LA HORA MENCIONADA SE PROCEDE A LA LIBERACIÓN DE LA DETENIDA, SEGUN LO ORDENADO POR LA JUDICATURA ACTUANTE, AL NO MEDIAR IMPEDIMENTO LEGAL SEGÚN LOS RESULTADOS OBTENIDOS POR LA DIRECCIÓN NACIONAL DE REINCIDENCIA.</t>
  </si>
  <si>
    <t>DRA. VALERIA ROSITO</t>
  </si>
  <si>
    <t>EN CIRCUNSTANCIAS QUE SE EFECTUABA EL CONTROL PREVENTIVO EN DICHO PUESTO, SE PRESENTA UNA PERSONA DE SEXO MASCULINO EL CUAL DEPOSITA EN LA MAQUINA DE INSPECCIÓN DE EQUIPAJES POR MEDIO DE RAYOS X, UNA VALIJA DEL TIPO CARRIÓN DE COLOR AZUL, DE PEQUEÑAS DIMENSIONES, DENTRO DE LA CUAL EL PERSONAL POLICIAL OPERADOR DE LA MAQUINA DE RAYOS X DIVISA QUE SE TRANSPORTABA SUSTANCIA ORGANICA EN DISTINTAS TONALIDADES SIN PODER DETERMINAR DE QUE TIPO DE SUSTANCIA SE TRATABA, SEGUIDAMENTE EL PERSONAL POLICIAL LE CONSULTA AL MASCULINO SOBRE LO QUE TRANSPORTABA DENTRO DE LA VALIJA, RESPONDIENDO EL MISMO DE MANERA DUBITATIVA Y CONTRADICIÉNDOSE, EN SUS DICHOS, GENERANDO EVASIVAS A LAS CONSULTAS DEL PERSONAL POLICIAL. QUE OBTENIDAS LAS AUTORIZACIONES JUDICIALES PERTINENTES, SE PROCEDE A LA REQUISA DE LAS PERTENENCIAS DEL CAUSANTE, COMO ASI TAMBIEN AL TRASLADO DEL MISMO AL HOSPITAL ZONAL EZEIZA, ARROJANDO EN TODOS LAS CASOS RESULTADO NEGATIVO EN CUANTO A LA BUSQUEDA DE ELEMENTOS O SUSTANCIAS PROHIBIDAS. EN VIRTUD A ELLO EL JUZGADO DISPUSO SE PROCEDA A LA LIBRE CIRCULACION DEL CAUSANTE, QUIEN SE RETIRO POR SUS PROPIOS MEDIOS Y CONFORME CON LOS TRATOS RECIBIDOS.</t>
  </si>
  <si>
    <t>RIQUELME</t>
  </si>
  <si>
    <t>PAJON CECILIA ALVIDIA SOBRE DENUNCIA</t>
  </si>
  <si>
    <t>ASIENTO 28 E</t>
  </si>
  <si>
    <t>SE HACE PRESENTE LA DAMNIFICADA EXPONIENDO QUE SE HABIA OLVIDADO UN PERFUME EN EL AVION Y AL MOMENTO DE CONSULTAR EN LA EMPRESA LA MISMA LE MANIFIESTA QUE NO SE ENCONTRABA DICHO PERFUME POR LO QUE LA MISMA INTERPRETA QUE SE LO HABIAN SUSTRAIDO.</t>
  </si>
  <si>
    <t>AR 2531</t>
  </si>
  <si>
    <t>FISCALIA DE INSTRUCCION Nº 46</t>
  </si>
  <si>
    <t>PEREZ</t>
  </si>
  <si>
    <t>DRA. MARIA GLORIA CAPANEGRA</t>
  </si>
  <si>
    <t>ARRIBOS A2</t>
  </si>
  <si>
    <t>BODEGA DE AERONAVE-PLATAFORMA COMERCIAL-CINTAS DE ARRIBOS</t>
  </si>
  <si>
    <t>SIENDO LAS 20:00 HS APROXIMADAMENTE, ARRIBO A ESTE AEROPUERTO, EN UN VUELO CHARTER DE LA EMPRESA MACAIR JET/AERO CHACO, PROCEDENTE DE LA CIUDAD DE SAN CARLOS DE BARILOCHE. LUEGO DE AGUARDAR QUINCE MINUTOS, AL MOMENTO DE RETIRAR SU EQUIPAJE DE LA CINTA TRANSPORTADORA DEL HALL DE ARRIBOS A2, OBSERVA QUE EL MISMO, EL CUAL ESTABA IDENTIFICADO CON MARBETE Nº 02847, SE ENCONTRABA APERTURADO EN UNO DE SUS BOLSILLOS FRONTALES PRODUCTO DE LA ROTURA PROVOCADA EN SU CIERRE, PERCATÁNDOSE DEL FALTANTE DE ELEMENTOS DE SU INTERIOR.</t>
  </si>
  <si>
    <t>DURANTE EL CONTROL DE PREEMBARQUE SE REALIZA CACHEO AL PASAJERO Y SE SOLICITA RETIRE TODAS SUS PERTENENCIAS DE LOS BOLSILLOS POR LO QUE EL OFICIAL MAYOR CARTE GUSTAVO OBSERVA QUE EL PASAJERO JERONIMO CALERO LLEVABA DENTRO DEL BOSILLO DE SU PANTALON UN PAQUETE DE CIGARRILLOS CONTENIENDO EN SU INTERIOR 5 COLILLAS DE CIGARRILLOS SIN FILTRO COMPUESTAS CON UNA SUSTANCIA DE ORIGEN VEGETAL QUE SEGUN EL RESULTADO POSTERIOR DEL NARCO TEST DIO POSITIVO MARIHUANA EN PRESENCIA DE DOS TESTIGOS HABILES Y PREVIA COMUNICACION CON EL JUZGADO FEDERAL INTERVINIENTE, LUEGO EN REQUISA DEL EQUIPAJE DESPACHADO SE PRODUCE EL HALLAZGO DE 08 GRAMOS DE UNA SUSTANCIA VEGETAL REALIZANDOSE EL NARCO-TEST ARROJANDO POSITIVO MARIHUANA, DISPONIENDO S.S., SE HAGA CONSTATACION DE DOMICILO Y NOTIFICACION DE LA CAUSA AL IMPUTADO Y POSTERIORMENTE SE PROCEDA A SU LIBERACION - POR TAL MOTIVO SIENDO LAS 13.45 HS POSTERIOR A LA RECEPCION DE LA CONSTATACION DE DOMICILIO REALIZADA POR LA POLICIA DE LA PROVINCIA DE ENTRE RIOS Y RECEPCIONADA POR FAX SE PROCEDE A LIBERAR AL CIUDADANO.</t>
  </si>
  <si>
    <t>D.I.C. Y NC.U S/AV. PTA. INF. LEY 23737</t>
  </si>
  <si>
    <t>SIENDO LAS 10:15 HORAS LOCAL SE PROCEDE A LA ENTREGA DE UN SOBRE CERRADO CONTENIENDO EN SU INTERIOR INCIDENTE DE EXCARCELACION DE BARBER WALTER DANIEL EN EL MARCO DE LA CAUSA Nº 2549 CARATULADA D.I.C Y NC. U S/AV. PSTA. INF. LEY 23.737. A LA EXCELENTISIMA CAMARA FEDERAL DE APELACIONES DE LA CIUDAD DE COMODORO RIVADAVIA,A CARGO DEL DR. ALDO E. SUAREZ, ENVIADA POR LA UNIDAD OPERACIONAL DE USHUAIA</t>
  </si>
  <si>
    <t>MAQUINA RX ADUANA</t>
  </si>
  <si>
    <t>SECTOR CONTROL ADUANERO</t>
  </si>
  <si>
    <t>INFORMO QUE UNA VEZ QUE EL DENUNCIANTE ARRIBO A ESTA AEROSTACIÓN, JUNTO A SU HIJA Y ESPOSA Y LUEGO DE EFECTUAR LOS TRAMITES CORRESPONDIENTES DE INGRESO AL TERRITORIO NACIONAL Y TOMAR CONTACTO CON SUS EQUIPAJES, LOS NOMBRADOS SE DIRIGEN AL SECTOR DEL CONTROL ADUANERO DONDE PERSONAL DE CITADO ORGANISMO LE SOLICITA A LA HIJA DEL DENUNCIANTE QUE DEPOSITARA SUS PERTENECÍAS, SOBRE LA CINTA DE LA MAQUINA DE RAYOS X, ENTRE LAS QUE SE ENCONTRABA UNA CÁMARA FOTOGRÁFICA. QUE LUEGO DE FINALIZAR EL CONTROL CORRESPONDIENTE, TOMAN SUS PERTENECÍAS Y SE RETIRAN DEL SECTOR. QUE LUEGO DE UNOS INSTANTES SE PERCATAN DEL FALTANTE DE LA CÁMARA</t>
  </si>
  <si>
    <t>DRA. MARIANA BEIROZ</t>
  </si>
  <si>
    <t>INTERPOL ESPAÑA MADRID S/ PEDIDO DE EXTRADICION LEONARDO MIGUEL PARISOTTI</t>
  </si>
  <si>
    <t>AERONAVE - PLATAFORMA COMERCIAL - SECTOR C</t>
  </si>
  <si>
    <t>POSICION Nº 22</t>
  </si>
  <si>
    <t>SIENDO LA HORA ANTES MENCIONADA, SE IMPLEMENTA ORDEN DE SERVICIO Nº 309/10 CON MOTIVO DE EFECTUAR MEDIDAS DE SEGURIDAD DE CUSTODIA Y APOYO NECESARIAS PARA EL DESPLAZAMIENTO DENTRO DE LAS INSTALACIONES AEROPORTUARIAS DEL EXTRADITADO SR. LEONARDO MIGUEL PARISOTTI, EL CUAL ARRIBO EN ESTE AEROPUERTO METROPOLITANO EN EL HORARIO DE LAS 13:30 HORAS EN EL VUELO Nº AR 2603 PROCEDENTE DE LA CIUDAD DE MAR DEL PLATA. EL CUAL FUE TRASLADADO POR COMISION DE POLICIA FEDERAL A CARGO DE MEYER MARTIN HORACIO Y REYES DAVID, LOS CUALES HACEN ENTREGA DEL DETENIDO A PERSONAL DE INTERPOL, RETIRANDOSE DE LA JURISDICCIÓN SIN NOVEDAD.</t>
  </si>
  <si>
    <t>AU 2603</t>
  </si>
  <si>
    <t>DR VILLANUEVA GUSTAVO</t>
  </si>
  <si>
    <t>INFRACCION Nº 23737</t>
  </si>
  <si>
    <t>SALA DE EMBARQUE</t>
  </si>
  <si>
    <t>SE INFORMA QUE SIENDO 13:45 HS HABIENDOSE RECIBIDO FAX DE LA POLICIA DE LA PROVINCIA DE ENTRE RIOS CON CONSTATACION DE DOMICILIO SE PROCEDE A LA LIBERACION Y NOTIFICACION DE CAUSA DEL IMPUTADO DE ACUERDO A LO DISPUESTO POR SU SEÑORIA.</t>
  </si>
  <si>
    <t>Dra. Mercedes LOPEZ VEGA</t>
  </si>
  <si>
    <t>TORRES ALFONSO JOAO EMERSON S/DENUNCIA HURTO</t>
  </si>
  <si>
    <t>INFORMO EN EL DIA DE LA FECHA SE PRESENTA EN EL TURNO DE ESTA PREVENCION EL SR. TORRES ALFONSO, JOAO EMERSON PAS. NRO. FB166412 A REALIZAR UNA DENUNCIA DE UN HECHO DICIENDO QUE EL DIA 16 DE AGOSTO DEL CORRIENTE ARRIBO EN EL VUELO LA 4442 PROCEDENTE DE LA CIUDAD DE BUENOS AIRES Y RETIRO SU EQUIPAJE DIRIGIENDOSE AL HOTEL, AL APERTURAR EL MISMO APROXIMADAMENTE 1230 HS. SE PERCATA DEL FALTANTE DE UN PERFUME PACO RABANNE ONE MILLION EL CUAL FUE ADQUIRIDO EN INTERBAIRES S.A. BS.AS., RADICANDO EN ESTA PREVENCION DENUNCIA NRO. 007/10</t>
  </si>
  <si>
    <t>LA4442</t>
  </si>
  <si>
    <t>EN LA FECHA, SE PROCEDE A DAR CUMPLIMIENTO A LAS ORDENES DE SERVICIO NRO. 043/10 UOSP LIB Y 198/10 UR IV, CON MOTIVO DEL ARRIBO A ESTE AEROPUERTO, PROCEDENTE DE LA AEROESTACION MILITAR, SIENDO LAS 13:55 HORAS, DE LA AERONAVE FOCKER F-28 MATRICULA T-03, TRAYENDO AL SEÑOR JEFE DE GABIENTE DE MINISTROS, CDOR. ANIBAL FERNANDEZ Y LA SRA. MINISTRA DE DEFENSA, DRA. NILDA GARRE, AL ACTO DEL 160 ANIVERSARIO DEL FALLECIMIENTO DEL GRAL. SAN MARTIN, EN LA LOCALIDAD DE YAPEYU. QUE SIENDO LAS 18:40 HORAS, DESPEGA CON DESTINO LA AEROESTACION MILITAR, AERONAVE FOCKER F-28, MATRICULA T-03, CON LOS MINISTROS ANTES MENCIONADOS, SIN NOVEDAD.</t>
  </si>
  <si>
    <t>LUCA, SANDRA</t>
  </si>
  <si>
    <t>S/INF. ART. LEY 13994</t>
  </si>
  <si>
    <t>I-5189</t>
  </si>
  <si>
    <t>SE INFORMA QUE EL DIA DE LA FECHA Y AL MOMENTO DEL PREEMBARQUE DEL VUELO DE LA EMPRESA AUSTRAL LINEAS AÉREAS, SE PROCEDIÓ A IDENTIFICAR Y NOTIFICAR POSTERIORMENTE AL CIUDADANO LOPEZ, OSCAR ROBERTO - DNI 13.635.817, CONFORME SOBRE SU PERSONA RECAE UN PEDIDO DE PARADERO CONFORME SURGE DEL SISTEMA RED LINCE REGISTRO Nº 94419. EL CIUDADANO Y EN LE MARCO DE LOS AUTOS DE REFERENCIA FIJO DOMICILIO REAL EN CALLE AEROPOSTA ARGENTINA 975 DE E3STA CIUDAD DE RIO GRANDE PROVINCIA DE TIERRA DEL FUEGO. SE DEJA EXPRESA CONSTANCIA QUE EL CIUDADANO Y PASAJERO LOPEZ; PREVIA NOTIFICACIÓN DE ESTILO, EMBARCÓ EN EL VUELO DE REFERENCIA.</t>
  </si>
  <si>
    <t>4937/10</t>
  </si>
  <si>
    <t>INFORMO QUE EN VIRTUD A OFICIO JUDICIAL EMANADO POR EL JUZGADO MENCIONADO, SE PROCEDIO A TRASLADAR A LA DETENIDA EN AUTOS A LA UNIDAD DE DETENCION NRO. 03 DEL PARTIDO DE EZEIZA</t>
  </si>
  <si>
    <t>INFORMO QUE UNA VEZ QUE EL DENUNCIANTE, ARRIBO A ESTA AEROSTACION, TOMA CONTACTO CON SUS EQUIPAJES SIN ENCONTRAR NOVEDAD ALGUNA SOBRE LOS MISMOS Y LUEGO SE RETIRA DE ESTA TERMINAL AEREA. QUE CUANDO LLEGA A SU DOMICILIO PARTICULAR Y APERTURA UNO DE SUS EQUIPÁJES SE PERCATA QUE LOS ELEMENTOS HABIDOS EN SU INTERIOR SE ENCONTRABA REVUELTOS Y LE FALTABA DEL INTERIOR DE UN ESTUCHE PORTA ANTEOJOS UN PAR DE LENTES PARA SOL.</t>
  </si>
  <si>
    <t>TA 7625</t>
  </si>
  <si>
    <t>Costa Rica</t>
  </si>
  <si>
    <t>SAN JOSE DE COSTA RICA</t>
  </si>
  <si>
    <t>FISCALIA DE INSTRUCCION Nº 34</t>
  </si>
  <si>
    <t>BALLESTERO</t>
  </si>
  <si>
    <t>JORGE</t>
  </si>
  <si>
    <t>DR. DANIEL CARRO</t>
  </si>
  <si>
    <t>S/HURTO</t>
  </si>
  <si>
    <t>CERCANIAS A LA ESTACION DE SERVICIO ABANDONADA</t>
  </si>
  <si>
    <t>PLAYA DE EMPLEADOS</t>
  </si>
  <si>
    <t>EN VIRTUD A NOTA RECEPCIONADA EN LA JEFATURA DE UNIDAD EZEIZA POR PARTE DE AEROPUERTOS ARGENTINA 2000 MEDIANTE LA CUAL SE INFORMA A ESTA POLICIA QUE EN LA PLAYA DE ESTACIONAMIENTO PARA EMPLEADOS SE ENCONTRABA UN VEHICULO VOLKSWAGEN GOL DE COLOR AZUL, DOMINO AMO 617 ABANDONADO HACE APROXIMADAMENTE UNOS DOS MESES. ANTE ESTE HECHO EL JEFE DE TURNO COMISIONA PERSONAL POLICIAL HACIA EL ESTACIONAMIENTO PRECITADO Y CONSTATA EFECTIVAMENTE LA PRESENCIA DE DICHO RODADO EL CUAL PRESENTABA SIGNOS VISIBLES DE HABER ESTAR ABANDONADO. QUE LUEGO DE ELLO, SE PROCEDIO A REALIZAR COMPULSA EN EL SISTEMA INFORMATICO DE PEDIDO DE DOMINIO DE LA DIRECCION NACIONAL DE LA PROPIEDAD DEL AUTOMOTOR OBTENIENDOSE COMO RESULTADO QUE EL VEHICULO PRESENTA UN PEDIO DE SECUESTRO EN VIRTUD A QUE EL MISMO SE ENCUENTRA COMO ROBADO. QUE LUEGO DE CONSULTAR CON POLICIA FEDERAL ARGENTINA SE ENTABLO COMUNICACION TELEFONICA CON LA FISCALIA DE INSTRUCCION NUMERO 34, DISPONIENDO DICHA JUDICATURA QUE SE INICIEN ACTUACIONES BAJO LA CARATULA S/HURTO, SE REALICE LEVANTAMIENTO DE RASTROS, SECUESTRO DEL VEHICULO Y DOCUMENTACION, FOTOS Y QUE EL VEHICULO PERMANEZCA EN CUSTODIA DE ESTA POLICIA A DISPOSICION DE ESA FISCALIA, DEBIENDO ELEVAR LO ACTUADO EL DIA 18 DE AGOSTO DEL AÑO EN CURSO EN HORAS DE LA MAÑANA.</t>
  </si>
  <si>
    <t>SIENDO LA FECHA Y HORA ANTES MENCIONADA, EN MOMENTOS EN QUE LA OFICIAL CENTURION SE ENCONTRABAN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</si>
  <si>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 MARTIN GOVETTO</t>
  </si>
  <si>
    <t>S/ DELITO CONTRA LAS PROPIEDAD -ROBO-HURTO-</t>
  </si>
  <si>
    <t>SIENDO LAS 08:13 HS SE PRESENTA EL SR. SR. HÉCTOR MARIO GANZELLA MANIFESTANDO EL DESEO DE REALIZAR UNA DENUNCIA POR EL ROBO-HURTO DE UNA CAMARA DE FOTOS, MOTIVO POR EL CUAL REALIZO COMUNICACION TELEFONICA CON LA UNIDAD FISCAL DE ATENCION PRIMARI (UFAP), RECEPCIONANDO EL LLAMADO EL DR. LISTA, FISCAL DE TURNO, A QUIEN LE INFORMO DE LOS HECHO, DISPONIENDO ESTE SE TOME LA DENUNCIA. SEGUN RELATO DEL SR. GANZELLA DESPACHÓ EL EQUIPAJE EL DIA DE AYER 17 DE AGOSTO EN EL AEROPUERTO DE BARILOCHE, Y SE LO RESTITUYERON DESPUES DE ALGUNAS HORAS, POR CANCELACION DEL VUELO POR RAZONES CLIMATICAS, NOTANDO LA FALTA DE LA CAMARA DENUNCIADA COMO ROBADA EL DIA DE HOY A LAS 07:50 HS APROXIMADAMENTE.</t>
  </si>
  <si>
    <t>CIUDAD SAN CARLOS DE BARILOCHE</t>
  </si>
  <si>
    <t>ZELARAYAN DE ESCALADA, LUIS MARCELO</t>
  </si>
  <si>
    <t>AGRESIONES RECIPROCAS</t>
  </si>
  <si>
    <t>VICERA DEL ARRIBO</t>
  </si>
  <si>
    <t>SIENDO LAS 08:50 HORAS SE PRESENTA EN ESTA DEPENDENCIA EL SEÑOR DI MARCO A EFECTOS DE RADICAR DENUNCIA POR AGRESIONES Y AMENAZAS RECIBIDAS POR PARTE DE UN TAXISTA DE APELLLIDO VERGAGNI. SEGUIDAMENTE SE UBICO AL SEÑOR VERGAGNI CON EL FIN DE ACLARAR LOS HECHOS, MANIFESTANDO ESTE QUE TAMBIEN HABIA SIDO AGREDIDO Y AMENAZADO POR EL SEÑOR DI MARCO, MOTIVO POR EL CUAL RADICARIA TAMBIEN LA CORRESPONDIENTE DENUNCIA. SE PUSO EN CONOCIMIENTO DE LOS HECHOS VIA TELEFONICA A LA FISCALIA PENAL DE TURNO, SIENDO ATENDIDOS POR EL AYUDANTE FISCAL, DR. DAVID COHEN, QUIEN INSTRUYO QUE SE LES TOME LA DENUNCIA A AMBOS INVOLUCRADOS Y QUE SE LOS DERIVE AL SERVICIO DE MEDICINA LEGAL DE LA POLICIA DE LA PROVINCIA A EFECTOS DE QUE SE LES PRACTIQUEN LOS CORRESPONDIENTES EXAMENES. CON LOS RESULTADOS DE DICHOS EXAMENES MEDICOS, ELEVAR LAS ACTUACIONES LABRADAS. SE COMISIONO PERSONAL PARA DILIGENCIAR EL PEDIDO FORMAL DE ASISTENCIA MEDICA ANTE EL ORGANISMO CITADO, ACOMPAÑANDO A LOS CAUSANTES. ASIMISMO INFORMO QUE LAS REVISACIONES POR PARTE DEL SERVICIO MEDICO LEGAL SE LLEVARAN A CABO A PARTIR DE LAS 17:00 HORAS DEL DIA DE LA FECHA, DE ACUERDO A LO INFORMADO POR PERSONAL DE ESA DEPENDENCIA, PASO SEGUIDO SE LES HIZO FIRMAR UNA NOTIFICACION POR LO CUAL DEBEN PRESENTARSE A DICHA DEPENDENCIA POLICIAL, ASIMISMO UNA VEZ TOMADO CONOCIMIENTOS, LOS DENUNCIANTES SE RETIRARON A SUS RESPECTIVOS DOMICILIO.</t>
  </si>
  <si>
    <t>MARIA GLORIA CAPANEGRA</t>
  </si>
  <si>
    <t>SE HACE PRESENTE EN ESTA GUARDIA DE PREVENCIÓN UNA PERSONA QUE DESEA REALIZAR UNA DENUNCIA, INFORMANDO QUE EN EL DÍA DE LA FECHA SIENDO LAS 04:50 HORAS APROXIMADAMENTE, ARRIBO A ESTE AEROPUERTO CON EL MOTIVO DE ABORDAR UN VUELO, CON HORARIO DE PARTIDA A LAS 06:55 HORAS. REALIZO EL CHECK-IN CORRESPONDIENTE Y SIENDO LAS 06:15 HORAS APROXIMADAMENTE SE DIRIGE AL PREEMBARQUE INTERNACIONAL, DONDE EN MOMENTOS DE REALIZAR EL CONTROL POLICIAL, DETECTAN EN SU MOCHILA UN GAS PIMIENTA, POR TAL MOTIVO SE DIRIGE A LOS MOSTRADORES DE CHECK-IN Y DESPACHA SU EQUIPAJE DE MANO. INMEDIATAMENTE SE DIRIGE HACIA EL PREEMBARQUE Y EN MOMENTOS DE HACER EL CONTROL MIGRATORIO SE PERCATA DE QUE SU DOCUMENTO DE IDENTIDAD SE ENCONTRABA EN LA MOCHILA QUE HABÍA DESPACHADO ANTERIORMENTE. NUEVAMENTE REGRESA A LOS MOSTRADORES, SOLICITANDO SU MOCHILA, A LO QUE LE RESPONDEN QUE POR EL ESCASO TIEMPO YA PERDÍA SU VUELO, QUE SE DIRIGIERA AL SECTOR DE RECLAMOS Y RETIRARA SU EQUIPAJE. ACTO SEGUIDO SE DIRIGE AL SECTOR DE ARRIBOS, DONDE AGUARDO UNOS 45 MINUTOS APROXIMADAMENTE HASTA QUE VISUALIZO SU EQUIPAJE, Y ES EN ESE MOMENTO OBSERVA QUE SU MOCHILA SE ENCONTRABA CON TODOS LOS CIERRES ABIERTOS, POR TAL MOTIVO CHEQUEO RÁPIDAMENTE SU MOCHILA Y SE PERCATO DE LOS FALTANTES. SIENDO LAS 10:50 HORAS SE REALIZA COMUNICACIÓN CON LA JUDICATURA ACTUANTE QUIEN DISPONE DILIGENCIAS DE RIGOR.</t>
  </si>
  <si>
    <t>AR 1250</t>
  </si>
  <si>
    <t>DR. ROXANA GUADALUPE FABRIS</t>
  </si>
  <si>
    <t>ACTUACIÓN UNIDAD OPERACIONAL RESISTENCIA</t>
  </si>
  <si>
    <t>UBICADO RUTA NAC N° 11 KM 1004 CIUDAD DE RESISTENCIA CHACO</t>
  </si>
  <si>
    <t>EMPRESA PULQUI PACK</t>
  </si>
  <si>
    <t>EN EL DIA DE LA FECHA SE RECEPCIONA DENUNCIA DEL AUX. DE LOGISTICA POLICIAL DE UOSP RESISTENCIA QUIEN MANIFESTO QUE AL RECIBIR ENCOMIENDA CONTENIENDO PULLOVERES PSA ENVIADA EN LA EMPRESA PULQUI PACK POR PARTE DE LA URSA IV DEL LITORAL DIVISION LOGISTICA POLICIAL SE ENCONTRO LA FALTANTE DE UN PULLOVER. SE DA INTERVENCION A LA FISCALIA EN TURNO QUIEN DISPUSO SE TOME TESTIMONIAL AL PERSONAL QUE RETIRO LA ENCOMIENDA Y SE CURSE NOTA PIDIENDO INFORME A LA EMPRESA TRANSPORTADORA.</t>
  </si>
  <si>
    <t>CAJERO AUTOMÁTICO DEL BANCO NACIÓN</t>
  </si>
  <si>
    <t>SIENDO LA HORA Y EL DÍA ANTES MENCIONADO, SE HACE PRESENTE EN ESTA GUARDIA DE PREVENCIÓN PERSONAL DE LA EMPRESA DE SEGURIDAD ARGENTINA S.A., INFORMANDO QUE EN EL HABITÁCULO DEL CAJERO DEL BANCO NACIÓN, UBICADO EN EL SECTOR C, SE ENCONTRABA UNA BOLSO DE MUJER. RÁPIDAMENTE SE COMISIONA AL OF. MAYOR PABLO LAHORE, ENCARGADO DE TURNO, JUNTAMENTE CON EL OF. MAYOR MATEO GOIZUETA, JEFE DE TURNO, AL LUGAR ANTES MENCIONADO, SE IMPLEMENTA DISPOSITIVO DE SEGURIDAD, REALIZANDO UN PERÍMETRO DE SEGURIDAD, Y SE CONVOCA LA PRESENCIA DEL OF. JEFE PAZ EMILIO, ENCARGADO DEL ÁREA GEDEX EN TURNO EN ESTA UNIDAD OPERACIONAL, SE REALIZA COMUNICACIÓN CON LA SECCIÓN BOMBEROS DE LA POLICÍA FEDERAL, EN TURNO EN ESTA AEROSTACIÓN METROPOLITANA Y CON SERVICIO MEDICO EMERGER. SE REALIZA CONTROL DE EXPLOSIVO ARROJANDO RESULTADO NEGATIVO. ACTO SEGUIDO SE TRASLADA EL BOLSO EN CUESTIÓN, HASTA ESTA GUARDIA DE PREVENCIÓN REALIZANDO ACTA DE HALLAZGO Nº 2019/10 DE LOS SIGUIENTES ELEMENTOS: TRECE BILLETES DE CIEN PESOS ARGENTINOS, CUARENTA BILLETES DE CIEN DÓLARES ESTADOUNIDENSES, PAPELES VARIOS SIN VALOR COMERCIAL, DOS PASAJES AÉREOS A NOMBRE DE BELEDO MIRTHA Y CORREA ALICIA DE LA EMPRESA AEROLÍNEAS ARGENTINAS VUELO AR 1494 CON DESTINO A LA CIUDAD DE SANTIAGO DEL ESTERO PARA EL DÍA DE LA FECHA. MINUTOS MAS TARDE SE HIZO PRESENTE LA SRA. ALICIA ISABEL CORREA, QUIEN DIJO SER LA PROPIETARIA DE DICHO BOLSO, A QUIEN SE LE SOLICITO QUE NOMBRARA ALGUNO DE LOS ELEMENTOS QUE SE ENCONTRABAN DENTRO DEL MISMO, CON EL FIN DE CORROBORAR SI REALMENTE ERA SU PROPIETARIA. SE LE REINTEGRO SU BOLSO SIN NOVEDAD.</t>
  </si>
  <si>
    <t>TENTATIVA DE CONTRABANDO DE DIVISAS</t>
  </si>
  <si>
    <t>PUNTO DE INSPECCION Y REGISTRO PRIMER PISO DE LA TERMINAL A</t>
  </si>
  <si>
    <t>SIENDO LA HORA Y LA FECHA MENCIONADA EN MOMENTOS DE CONTROLAR A LOS PASAJEROS DEL VUELO IB 6842 DE LA EMPRESA IBERIA CON DESTINO A LA CIUDAD DE MADRID ESPAÑA, SE DETECTARON UNAS PROTUBERANCIAS DEBAJO DE LAS ROPAS Y SOBRE EL ABDOMEN DE UNA PERSONA DE SEXO FEMENINO. POR LO CUAL SE HIZO LA CONSULTA TELEFONICA CON EL JUZGADO EN LO PENAL ECONOMICO EN TURNO QUIEN AUTORIZO LA REQUISA DE LA PASAJERA, DE LA CUAL FUERON HABIDOS TREINTA Y CUATRO MIL DOLARES ESTADOUNIDENSES, POR LO CUAL SE MANTUVO UNA NUEVA COMUNICACION CON LA JUDICATURA INTERVINIENTE, QUIEN DISPUSO SE HAGA ENTREGA A LA CAUSANTE DE DIEZ MIL DOLARES, DEBIENDOSE SECUESTRAR LOS VEINTICUATRO MIL DOLARES RESTANTES, LOS CUALES DEBERAN SER REMITIDOS A SEDE JUDICIAL JUNTO CON EL RESTO DE LAS ACTUACIONES SUMARIAS EL DIA DIECINUEVE DEL CORRIENTE MES Y AÑO. EN TANTO LA CAUSANTE Y NO RESTANDO MAS DILIGENCIAS QUE CUMPLIMENTAR SE RETIRO DE ESTA DEPENDENCIA POLICIAL POR SUS PROPIOS MEDIOS.</t>
  </si>
  <si>
    <t>DRA. SILVINA IBAÑEZ</t>
  </si>
  <si>
    <t>ROBO-PRES/INF. ART 164 C.P.</t>
  </si>
  <si>
    <t>PRESUNTA INFRACCION ART 164 C.P.</t>
  </si>
  <si>
    <t>EMPRESA DE TRANSPORTE PULQUI PACK</t>
  </si>
  <si>
    <t>EL OF. JEFE SIXTO RAMIREZ RADICA DENUNCIA POR EL FALTANTE DE UN PULLOVER ENVIADO DESDE LA UNIDAD REGIONAL IV DEL LITORAL HACIA LA UNIDAD OPERACIONAL PARANA EL DIA 3 DE AGOSTO DE 2010 A TRAVES DE LA EMPRESA PULQUI PACK, CON GUIA DE FACTURA NRO 0095 - 00003480. DANDOSE INTERVENCION AL JUZGADO FEDERAL DE PRIMERA INSTANCIA DE PARANA, QUIEN ORDENA SE HAGAN LAS ACTUACIONES CORRESPONDIENTES.</t>
  </si>
  <si>
    <t>SIENDO LA HORA Y EL DÍA ANTES MENCIONADO, SE IMPLEMENTA OPERATIVO DE SEGURIDAD POR LA PARTIDA DE LA SRA.PRESIDENTE DE LA NACIÓN, LA CUAL ARRIBO A ESTA AEROESTACIÓN MILITAR A LAS 18:15 HORAS EN EL H-01 Y PARTIO A LAS 18:35 HS EN AERONAVE T-01 . SIENDO LAS 19:00 HS HORAS FINALIZA EL OPERATIVO SIN NOVEDAD.</t>
  </si>
  <si>
    <t>EL OFICIAL ZAMPAYO SE ENCONTRABA CUMPLIENDO SERVICIO DE GUARDIA EN EL CENTRO DE CONTROL OPERATIVO, DONDE A TRAVES DE SUS CAMARAS OBSERVA A UNA PERSONA DE SEXO MASCULINO REALIZANDO SERVICIO DE MALETERO A PASAJEROS, ES CUANDO DA AVISO VIA HT AL OFICIAL ZUMPANO QUIEN SE APROXIMA AL LUGAR ANTES MENCIONADO CONSTATANDO QUE EL MASCULINO EN CUESTION SE ENCONTRABA REALIZANDO DICHA TAREA CARECIENDO DE LA CORRESPONDIENTE HABILITACION PARA TAL FIN PROCEDIENDO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</si>
  <si>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LAS 19:05 HS ARRIBA A ESTE AEROPUERTO EN T-01 LA SEÑORA PRESIDENTE DE LA NACION, SIENDO LAS 19:15 HS DESPEGA EN H-02 HACIA LA CIUDAD DE ROSARIO. SE REALIZA OPERATIVO DE SEGURIDAD DE ACUERDO A O.S. 033/10</t>
  </si>
  <si>
    <t>CAÌTAL FEDERAL</t>
  </si>
  <si>
    <t>EL OFICIAL ZAMPAYO CUMPLIENDO SERVICIO DE GUARDIA EN EL CENTRO DE CONTROL OPERATIVO A TRAVES DE SUS CAMARAS OBSERVA A UNA PERSONA DE SEXO MASCULINO TRANSPORTANDO PASAJEROS HACIA UN VEHICULO PARTICULAR, POR TAL MOTIVO SE DA AVISO VIA NEXTEL A LA OFICIAL HANEMANN QUIEN SE APROXIMA CON EL OFICIAL ZUMPANO AL SECTOR ANTES MENCIONADO, SOLICITANDOLE LA CORRESPONDIENTE HABILITACION PARA REALIZAR DICHA TAREA, CARECIENDO DE LA MISMA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</si>
  <si>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HALL DE ARRIBOS A</t>
  </si>
  <si>
    <t>SIENDO LA FECHA Y HORA ANTES MENCIONADA, SE RECIBE COMUNICACION VIA NEXTEL DEL COC INFORMANDO QUE EN EL SECTOR ANTES MENCIONADO HABIA UN MASCULINO OFRECIENDO SERVICIO DE MALETERO A LOS PASAJEROS, POR LO QUE SE ACERCA AL LUGAR EL OFICIAL SACOR, QUIEN OBSERVA Y SORPRENDE A UNA PERSONA DE SEXO MASCULINO, LA CUAL SE ENCONTRABA REALIZANDO SERVICIO DE MALETERO CARECIENDO DE LA HABILITACION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</si>
  <si>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1 DE LA TERMINAL A</t>
  </si>
  <si>
    <t>EL OFICIAL SAMPAYO CUMPLIENDO SERVICIO DE GUARDIA EN EL CENTRO DE CONTROL OPERATIVO, OBSERVA A TRAVES DE SUS CAMARAS A UNA PERSONA DE SEXO MASCULINO OFRECIENDO SERVICIO DE MALETERO A PASAJEROS, DA AVISO VIA NEXTEL A LA OFICIAL HANEMANN QUIEN SE APROXIMA AL SECTOR ANTES MENCIONADO PROCEDIENDO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</si>
  <si>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NAC DE 1º INST EN LO CRIMINAL DE INST Nº 46</t>
  </si>
  <si>
    <t>DRA. MARIA CAPANEGRA</t>
  </si>
  <si>
    <t>ESTAFA - INFRACCION AL ART 173 INC 15 CPN</t>
  </si>
  <si>
    <t>LOCALES COMERCIALES DE LA EMPRESA ARRIBOS S.A.</t>
  </si>
  <si>
    <t>HALL PUBLICO PATIO DE COMIDAS 1º PISO</t>
  </si>
  <si>
    <t>EN EL DIA DE LA FECHA SE PRESENTO EL DENUNCIANTE, DE OCUPACION ANALISTA DE LA UNIDAD DE ANALISIS DE FRAUDES DE LA EMPRESA VISA ARGENTINA. QUIEN DENUNCIA QUE CIERTA CANTIDAD DE TITULARES DE TARJETAS DE CREDITO VISA DENUNCIARON OPERACIONES QUE LES FUERON ACREEDITADAS QUE NO LES CORRESPONDIAN, TODOS LOS CONSUMOS DESCONOCIDOS CONSISTIAN EN GASTOS DE TELEFONIA CELULAR O PAGOS POR INTERNET, SUPUESTOS EN LOS QUE NO SE REQUIERE LA PRESENCIA FISICA DE LA TARJETA AL MOMENTO DE REALIZARCE LA COMPRA, EL ELEMENTO DISTINTIVO Y COMUN QUE PERMITIO RELACIONAR TODOS LOS GASTOS FRAUDULENTOS RADICO EN LA CIRCUNSTANCIA QUE EN FORMA PREVIA A LA REALIZACION DEL FRAUDE LOS TITULARES DE LAS TARJETAS EFECTUARON OPERACIONES GENUINAS EN EL COMERCIO REGISTRADO POR VISA ARGENTINA COMO ARRIBOS S.A. Nº 0018152975. SEGUN INVESTIGACIONES EFECTUADAS POR VISA ARGENTINA EL MODUS OPERANDI SERIA: EN EL MOMENTO DE EFECTUARSE LOS PAGOS GENUINOS SE HABRIAN TOMADO LOS DATOS DE LAS TARJETAS DE CREDITO Y POSTERIORMENTE SE EFECTUARON COMPRAS FRAUDULENTAS VIA TELEFONICA O INTERNET, SIENDO EL COMERCIO ARRIBOS S.A. EL PUNTO COMUN DE COMPRA PREVIO. SE DIO INTERVENCION A LA FISCALIA NACIONAL EN LO CRIMINAL DE INSTRUCCION Nº 46 A CARGO DEL DR ADRIAN PEREZ, SECRETARIA DE LA DRA MARIA GLORIA CAPANEGRA, QUIEN ANOTICIADA DEL HECHO ORDENO SE RECIBA DENUNCIA, SE TOME DECLARACION TESTIMONIAL AL GERENTE DE LA FIRMA ARRIBOS S.A. A LOS FINES DE DETERMINAR SEGUN LOS DATOS APORTADOS POR VISA ARGENTINA TERMINAL DESDE DONDE SE EFECTUARON LOS PAGOS GENUINOS, EMPLEADOS QUE LAS EFECTUARON, Y APORTE NOMINA GENERAL DE EMPLEADOS DE LA EMPRESA, DISCRIMINADOS POR TURNOS Y TODO OTRO DATO DE INTERES.</t>
  </si>
  <si>
    <t>3613/10</t>
  </si>
  <si>
    <t>DRA. CAROLINA LEE SARAVIA</t>
  </si>
  <si>
    <t>383/10</t>
  </si>
  <si>
    <t>SE PROCEDE A LA APERTURA DE CINCO ENCOMIENDAS DEL CORREO OFICIAL, SEGUN CONSTA EN ACTA DE APERTURA DE CARGAS Nº 383/10, PREV. SUM. Nº 069/10, EN VIRTUD DE LO ORDENADO MEDIANTE OFICIO JUDICIAL Nº 1841/10, DEL MAGISTRADO ACTUANTE Y EN PRESENCIA DE UN TESTIGO HABIL. LA 1ª EP724485435, RTTE. SRA. MONICA LINA TORRES, SARGENTO ROJAS Nº 117, C.P. 4650, LA QUIACA, Bº LA ESPERANZA, JUJUY Y DEST. SR. HERMINIO RUPERTO TORRES, SAN JUAN Nº 432, C.P. 9.300, SANTA CRUZ, CONTIENE: 8 PAQUETES DE HOJAS DE COCA CON UN PESO TOTAL DE 1.972 GRS., LA 2ª EP675747141, RTTE. SRA. CAÑARI, YOLANDA, HORACIO GUZMAN 1170, MARIANO MORENO, S.S. DE JUJUY, C.P. 4.600 Y DEST. SR. ANGEL CAÑARI, AV. TENIENTE DEL CASTILLO Y JUAN DOMINGO PERON 399, 28 DE NOVIEMBRE, SANTA CRUZ, CONTIENE: 8 PAQUETES DE HOJAS DE COCA CON UN PESO TOTAL DE 1.967 GRS., Y LA 3ª EP007587078, RTTE. SR. CORMAN R. VILEHEZ, EL FUEGUINO 554, Bª INTER, SALTA, C.P. 4.400 Y DEST. SRA. ROCIO SILVANA HERRERA, ALICIA MOREAU DE JUSTO Nº 2050, COMODORO RIVADAVIA, CHUBUT, C.P. 9.000, CONTIENE: 3 PAQUETES DE HOJAS DE COCA CON UN PESO TOTAL DE 1.355 GRS., LUEGO DE VERIFICAR SUS CONTENIDOS, LAS MISMAS QUEDAN SECUESTRADAS POR SUPUESTA INFRACCION AL CODIGO ADUANERO LEY 22.415 Y LAS ACTUACIONES REMITIDAS A SEDE JUDICIAL. LA 4ª EP724485444, RTTE SRA. VILTE NOEMI FABIOLA, TUPAC AMARU Nº 67, LA QUIACA, C.P. 4650, S.S. DE JUJUY Y DEST. SR. CUNA JAVIER CARLOS, JULIO ARGENTINO ROCA Nº 1640, CALAFATE, C.P. 1974, SANTA CRUZ, CONTIENE: UN CUELLO POLAR COLOR NEGRO, UN OSO DE PELUCHE Y POCHOCLOS, EL MISMO SERA ENTREGADO AL CORREO OFICIAL PARA SU REDESPACHO, POR NO SER DE INTERES PARA EL PROCEDIMIENTO Y LA 5ª EP711648651, RTTE. SRA. MARIA LUISA SUMBAINO, AV. LIBERTAD, Bº GUEMES Nº 1129, PALPALA, JUJUY, C.P. 4612 Y DEST. SR. OSCAR D. VALERIO, Bº LA CUMBRE, ALDO MOTTER Nº 2519, C.P. 9410, USHUAIA, TIERRA DEL FUEGO, CONTIENE: PRENDAS DE VESTIR VARIAS QUE SERAN ENTREGADAS AL CORREO OFICIAL PARA SU REDESPACHO Y 6 PAQUETES DE HOJAS DE COCA, CON UN PESO TOTAL DE 1.500 GRS, LOS MISMOS SERAN PUESTOS A DISPOSICION DE ADUANA DE SALTA POR SUPUESTA INFRACCION A LA LEY 22.415, CODIGO ADUANERO Y LAS ACTUACIONES REMITIDA A SEDE JUDICIAL.- SEGÚN P.U. Nº 3581 (ORIGINARIO) SE PROCEDE A LA RETENCIÓN DE TRES SACAS COLECTORAS DEL CORREO OFICIAL, SEGÚN CONSTA EN ACTA DE RETENCIÓN DE CARGAS Nº 0302/10, QUE ORIGINA LA PREVENCIÓN SUMARIA 069/10, LA PRIMERA SACA IDENTIFICADA CON MARBETE, SLA9127733E555700RGL, PRECINTO N° U949276, CON UN PESO DECLARADO DE 16,900 KGS , CON DESTINO LA CIUDAD DE RIO GALLEGOS, CONTENDRIA SIETE PIEZAS POSTALES, LA SEGUNDA SACA IDENTIFICADA CON MARBETE SLA0210567D555800VAE, PRECINTO Nº U949085, CON UN PESO DECLARADO DE 10,400 KGS, CON DESTINO A LA CIUDAD DE USUHAIA, CONTENDRIA DOS PIEZAS Y LA TERCERA SACA IDENTIFICADA CON MARBETE SLA0212745D555600CRD, PRECINTO Nº U949757, CON UN PESO DECLARADO DE 2,400 KGS., CON DESTINO A LA CIUDAD DE COMODORO RIVADAVIA, CONTENDRIA UNA PIEZA, LAS TRES SACAS SE ENCUENTRAN AMPARADAS EN GUÍA DE CARGA Nº 9388852-4, DESPACHADAS ATRAVÉS DE LA EMPRESA DE CARGA AEREA JET PAQ. LA RETENCIÓN SE REALIZA ANTE LA PRESUNCIÓN QUE PUDIERAN CONTENER ALGÚN ELEMENTO EN INFRACCIÓN A LA LEY 23.737 Y/O 22.415, QUEDANDO LAS MISMAS CERRADAS Y PRECINTADAS EN GUARDA EN ESTA UOSP. SE COMUNICO LA RETENCION, TELEFONICAMENTE AL JUZGADO INTERVINIENTE, Y LA APERTURA SE REALIZARÁ EN PRESENCIA DEL PERSONAL DEL CORREO OFICIAL. SEGÚN P.U. Nº 3613/10 (AMPLIACION DEL ORIGINARIO) SE PROCEDE A LA APERTURA DE TRES SACAS COLECTORAS DEL CORREO OFICIAL, SEGÚN CONSTA EN ACTA DE RETENCIÓN DE CARGA Nº 0302/10 Y ACTA DEJANDO CONSTANCIA Nº 0303/10 DE APERTURA DE SACA, QUE ORIGINA LA PREVENCIÓN SUMARIA Nº 069/10, LA PRIMERA SACA IDENTIFICADA CON MARBETE, SLA9127733E555700RGL, PRECINTO N° U949276, CON UN PESO DECLARADO DE 16,900 KGS , CON DESTINO LA CIUDAD DE RIO GALLEGOS, CONTIENE SIETE (07) PIEZAS POSTALES, DE LAS CUALES QUEDAN RETENIDAS LAS IDENTIFICADAS COMO EP724485444, RTTE. VILTE NOEMÍ FABIOLA, CALLE TUPAC AMARU Nº 67, LOCALIDAD DE LA QUIACA, CP 4650 PROVINCIA DE JUJUY, DESTINATARIO: CUNA, JAVIER CARLOS DOMICILIADO EN CALLE JULIO ARGENTINO ROCA Nº 1640, LOCALIDAD EL CALAFATE CP 1974, PROVINCIA DE SANTA CRUZ, EP 724485435, RTTE: MONICA LINA TORRES, DOMICILIADA EN SARGENTO ROJAS Nº 117, Bº LA ESPERANZA, LA QUIACA JUJUY CP 4650, DESTINATARIO: ERMINIO RUPERTO TORRES, DOMICILIADO EN CALLE SAN JUAN 432 CP 9300 PUERTO SANTA CRUZ, PROVINCIA DE SANTA CRUZ Y EP675747141, RTTE. CAÑARI, YOLANDA, DOMICILIADA EN HORACIO GUZMAN Nº 1170, Bª MARIANO MORENO SAN SALVADOR DE JUJUY CP 4600, DESTINATARIO ANGEL CAÑARI DOMICILIADO EN AVDA TENIENTE DEL CASTILLO Y JUAN DOMINGO PERÓN 399, Bº 28 DE NOVIEMBRE, SANTA CRUZ. LAS IDENTIFICADAS COMO EP690987895, EP702481009, EP690987586 Y EP675747190 SON ENTREGADAS AL SR. ARIAS EMPLEADO DE CORREO OFICIAL PARA SU REDESPACHO, LA SEGUNDA SACA IDENTIFICADA CON MARBETE SLA0210567D555800VAE, PRECINTO Nº U949085, CON UN PESO DECLARADO DE 10,400 KGS, CON DESTINO A LA CIUDAD DE USUHAIA,.CONTIENE DOS PIEZAS, LA IDENTIFICADA COMO EP 711648651, REMITENTE MARIA LUISA SUNBAINO, DOMICILIADA EN AVDA LIBERTAD Nº 1129, Bº GUEMES, PALPALA JUJUY CP 4612, DESTINATARIO OSCAR D. VALERIO, DOMICILIADO EN CALLE ALDO MOTTER Nº 2519, Bº LA CUMBRE CP 9410 USHUAIA TIERRA DE FUEGO QUEDA RETENIDA Y LA IDENTIFICADA COMO EP 701775165 ES ENTREGADA AL SR. ARIAS EMPLEADO DE CORREO OFICIAL PARA SU REDESPACHO Y LA TERCERA SACA IDENTIFICADA CON MARBETE SLA0212745D555600CRD, PRECINTO Nº U949757, CON UN PESO DECLARADO DE 2,400 KGS., CON DESTINO A LA CIUDAD DE COMODORO RIVADAVIA., CONTIENE UNA PIEZA IDENTIFICADA COMO EP007587078 REMITENTE CARMEN R. VILCHEZ, DOMICILIADA EN EL FUEGUINO Nº 554, Bº INTERSINDICAL, SALTA 4400, DESTINATARIO ROCIO SILVANA HERRERA, DOMICILIADA EN CALLE ALICIA MOREAU DE JUSTO Nº 2050 COMODORO RIVADAVIA CHUBUT CP 9000, LA CUAL QUEDA RETENIDA. LAS RETENCIONES SE REALIZAN ANTE LA PRESUNCIÓN DE QUE PUDIERA CONTENER ALGÚN ELEMENTO EN INFRACCIÓN A LA LEY 23.737 Y/O 22.415, QUEDANDO LAS MISMAS CERRADAS Y EN GUARDA DE ESTA UOSP. SE COMUNICO TELEFÓNICAMENTE AL JUZGADO INTERVINIENTE Y LA APERTURA SE REALIZARA CON LA AUTORIZACIÓN DEL MAGISTRADO ACTUANTE.</t>
  </si>
  <si>
    <t>5008/10</t>
  </si>
  <si>
    <t>SIENDO LAS 22:30 HS ARRIBA A ESTE AEROPUERTO EN H-02 LA SEÑORA PRESIDENTE DE LA NACION, SIENDO LAS 22:50 HS DESPEGA EN T-01 HACIA CAPITAL FEDERAL. SE CUMPLIMENTA O.S. 033/10 SIN NOVEDAD</t>
  </si>
  <si>
    <t>SECRETARIA N° 81</t>
  </si>
  <si>
    <t>BENIGNO JOSE DEL CARRIL</t>
  </si>
  <si>
    <t>ACCESO DE INGRESO DEL ESTACIONAMIENTO NORTE</t>
  </si>
  <si>
    <t>SE HACE PRESENTE EN ESTA GUARDIA DE PREVENCIÓN EL SR. JORGE LUIS PEREZ, VIGILADOR DE LA EMPRESA SASA INDICANDO QUE UN VIGILADOR DE DICHA EMPRESA HABRÍA SIDO LESIONADO PRODUCTO DE UN ACCIDENTE PROVOCADO POR UN VEHICULO AUTOMOTOR EN EL ACCESO DE INGRESO DEL ESTACIONAMIENTO NORTE DE ESTE AEROPUERTO METROPOLITANO, INMEDIATAMENTE SE COMISIONO AL OF. CHIESA AL LUGAR DEL HECHO. UNA VEZ ALLI SE HACE PRESENTE PERSONAL DE EMERGER, QUIEN TRASLADA AL DAMNIFICADO HASTA LA SALA DE DE ATENCION MEDICA. FINALIZADA LA ATENCION MEDICA, EL AFECTADO ES ACOMPAÑADO POR EL OFICIAL CHIESA HASTA LA GUARDIA PREVENTIVA DONDE REALIZO LA CORRESPONDIENTE DENUNCIA, MANIFESTANDO QUE EN MOMENTOS DE ENCONTRARSE CUMPLIENDO FUNCIONES COMO VIGILADOR PARA LA EMPRESA SASA, EN MOMENTOS DE ENCONTRASE CERRANDO EL VALLADO DE UNO DE LOS ACCESOS DEL ESTACIONAMIENTO YA QUE EL MISMO ESTABA COMPLETO, SE APERSONO UN MASCULINO A BORDO DE UN VEHICULO MARCA OPEL, MODELO VECTRA, DOMINIO ACH 009, MANIFESTANDO SER EMPLEADO DE LA EMPRESA AUSTRAL LINEAS AEREAS COMENZANDO A INSULTARLO, ARRANCANDO SU VEHICULO PISANDO CON LA RUEDA DELANTERA EL PIE IZQUIERDO DEL DAMNIFICADO. INMEDIATAMENTE EL OFICIAL LAHORE SE APERSONA EN EL MODULO DE LA EMPRESA ANTES MENCIONADA UBICADA EN LA POSICION Nº 18 DANDO CON EL PARADERO DEL AUTOR DEL HECHO RESULTANDO SER EL SR.LUNA ANDRES.SIENDO LAS 14:15 HORAS SE ENTABLA COMUNICACIÓN CON LA JUDICATURA INTERVINIENTE QUIEN DISPUSO: DETENCION EN CARÁCTER DE COMUNICADO AL SR LUNA ANDRES, LECTURA DE DERECHOS, PRECARIO MEDICO, IDGE. CONSTATACIÓN DE DOMICILIO, REGISTRO FÍLMICO, SECUESTRO DEL VEHICULO, TRASLADO DEL DAMNIFICADO HACIA EL CENTRO MEDICO QUE CORRESPONDA Y DE NO MEDIAR IMPEDIMENTOS LEGALES PROCEDER A LA SOLTURA DEL IMPUTADO FINALMENTE EN EL HORARIO DE LAS 20:30 HORAS, AL NO MEDIAR IMPEDIMENTOS LEGALES VIGENTES SE PROCEDE A LA LIBERACIÓN DEL SR. ANDRES LUNA.</t>
  </si>
  <si>
    <t>SIENDO LAS 22:20 HORAS, SE IMPLEMENTA OPERATIVO CON MOTIVO DE BRINDAR SEGURIDAD EN LA LLEGADA DE LA SRA. PRESIDENTE DE LA NACION, DEL VUELO PROCEDENTE DE LA CIUDAD DE ROSARIO. SIENDO LAS 23:20 HORAS ATERRIZA LA MANDATARIA EN AERONAVE MATRICULA T-01, EN HORAS 23:25, SE RETIRA DE ESTE AEROPUERTO METROPOLITANO EN HELICOPTERO MATRICULA H-01. SIENDO LAS 23:40 HORAS, FINALIZA EL OPERATIVO SIN NOVEDAD.</t>
  </si>
  <si>
    <t>SE PROCEDE A LA RETENCIÓN DE DOS SACAS COLECTORAS DEL CORREO OFICIAL, SEGÚN CONSTA EN ACTA DE RETENCIÓN DE CARGAS Nº 0384/10, QUE ORIGINA LA PREVENCIÓN SUMARIA 089/10, LA PRIMERA SACA IDENTIFICADA CON MARBETE, SLA0216837E555700RGL, PRECINTO N° D635776, CON UN PESO DECLARADO DE 3,300 KGS, CON DESTINO LA CIUDAD DE RIO GALLEGOS, CONTENDRÍA UNA PIEZA POSTAL, LA SEGUNDA SACA IDENTIFICADA CON MARBETE SLA0216840E555700RGL, PRECINTO Nº D635999, CON UN PESO DECLARADO DE 3,200 KGS, CON DESTINO A LA CIUDAD DE RIO GALLEGOS, CONTENDRÍA UNA PIEZA POSTAL. LAS MISMAS ESTÁN AMPARADAS EN GUÍA DE CARGA Nº 9438109-2, DESPACHADAS A TRAVÉS DE LA EMPRESA DE CARGA AÉREA JET PAQ. LA RETENCIÓN SE REALIZA ANTE LA PRESUNCIÓN QUE PUDIERAN CONTENER ALGÚN ELEMENTO EN INFRACCIÓN A LA LEY 23.737 Y/O 22.415, QUEDANDO LAS MISMAS CERRADAS Y PRECINTADAS EN GUARDA EN ESTA UOSP. SEGÚN LO COORDINADO CON EL DR. SANTIAGO FRENCH, A CARGO DE LA SECRETARIA PENAL Nº 2 DEL JUZGADO FEDERAL DE SALTA Nº 1 A CARGO DEL DR. JULIO LEONARDO BAVIO.Y LA APERTURA SE REALIZARÁ EN PRESENCIA DEL PERSONAL DEL CORREO OFICIAL.</t>
  </si>
  <si>
    <t>DR. GUSTAVO RUSSO</t>
  </si>
  <si>
    <t>SECTOR DE PROVEEDORES</t>
  </si>
  <si>
    <t>SIENDO LAS 15:30 HORAS SE RECIBIÓ COMUNICACIÓN VÍA RADIAL POR PARTE DEL OF. FERNANDO NISSI, AUXILIAR DEL HALL, EL CUAL INFORMA QUE EN LA VEREDA DEL SECTOR A2, SE ENCONTRABA EN UN CARRO PORTA EQUIPAJE, UNA VALIJA OLVIDADA. SE COMISIONA AL LUGAR AL OF. PABLO LAHORE, ENCARGADO DE TURNO, QUIEN UNA VEZ ALLÍ, CONJUNTAMENTE CON EL OF. NISSI, IMPLEMENTAN PERÍMETRO DE SEGURIDAD PRIMARIO, Y SE CONVOCA AL OF. JEFE GUILLERMO SCORTIO, QUIEN SE DESEMPEÑA COMO ENCARGADO DEL AÉREA GEDEX EN ESTA UNIDAD OPERACIONAL METROPOLITANA, SE SOLICITA LA PRESENCIA DE BOMBEROS DE LA POLICÍA FEDERAL ARGENTINA, SECCIÓN AEROPARQUE Y DEL SERVICIO DE EMERGENCIAS DEL AEROPUERTO EMERGER. UNA VEZ EN EL LUGAR, LOS OFICIALES PERTENECIENTES AL GEDEX, REALIZAN CONTROL PARA DETERMINAR POSIBLE PRESENCIA DE EXPLOSIVO, ARROJANDO RESULTADO POSITIVO PARA TROTYL. INMEDIATAMENTE EL OF. GUILLERMO SCORTIO, SOLICITA LA PRESENCIA DEL GRUPO DE DESACTIVACIÓN DE EXPLOSIVOS PERTENECIENTES A LA UNIDAD OPERACIONAL EZEIZA. SIENDO LAS 16:00 HORAS SE ENTABLA COMUNICACIÓN CON LA JUDICATURA INTERVINIENTE, QUIEN DISPONE: SE REALICE EL PERÍMETRO LO MAS AMPLIO POSIBLE Y SE EVACUE EL SECTOR EN CUANTO SEA NECESARIO. RÁPIDAMENTE SE PROCEDE A DESPEJAR LA AV. RAFAEL OBLIGADO, DEJANDO LIBERADO SOLO DOS CARRILES DE LA MISMA Y SE, SOLICITA LA PRESENCIA DE LA POLICÍA FEDERAL ARGENTINA, LOS CUALES PRESTARON COLABORACIÓN EN EL DESPEJE DE LA AV. RAFAEL OBLIGADO. SIENDO LAS 17:00 HORAS SE HACE PRESENTE EL GRUPO DE DESACTIVACIÓN DE EXPLOSIVOS DE LA UNIDAD OPERACIONAL EZEIZA, A CARGO DEL OF. JEFE RAUL WEIGEL CONJUNTAMENTE CON EL OF. MAYOR RICARDO ESPERABLAS Y EN MOMENTOS DE COMENZAR CON EL PROCEDIMIENTO REQUERIDO SE ACERCA EL SR. COMISIONADO MAYOR MIGUEL MARTINO, JEFE DE ESTA UNIDAD OPERACIONAL, QUIEN INFORMA QUE SE ENCONTRABA EL PROPIETARIO DE LA VALIJA EN LA GUARDIA DE PREVENCIÓN. POR TAL MOTIVO SE SOLICITA LA PRESENCIA DEL SUPUESTO DUEÑO DEL ELEMENTO A LAS INMEDIACIONES DEL PERÍMETRO, A QUIEN SE LE SOLICITA DESCRIBA EL CONTENIDO DEL MISMO, EL CUAL DESCRIBE: UNA NETBOOK, UNA IMPRESORA PEQUEÑA Y CABLES CONECTORES, CON LO CUAL EL PERSONAL GEDEX, PROCEDE A LA APERTURA MANUAL DEL MISMO CORROBORANDO LOS DICHOS DEL DUEÑO CON LOS OBJETOS HALLADOS. SIENDO LAS 17:15 HORAS SE DA POR FINALIZADO EL OPERATIVO</t>
  </si>
  <si>
    <t>MARTIN GOVETO</t>
  </si>
  <si>
    <t>S/DELITO CONTRA LA PROPIEDAD - HURTO</t>
  </si>
  <si>
    <t>S/DELITO CONTRA LA PROPIEDAD-HURTO</t>
  </si>
  <si>
    <t>PATIO DE VALIJAS - BODEGA DE AERONAVE</t>
  </si>
  <si>
    <t>SIENDO LAS 23:20 HORAS, SE PRESENTA EL SR. NICOLÁS JOSÉ PERCAZ EN ESTA DEPENDENCIA POLICIAL, A EFECTOS DE RADICAR DENUNCIA POR HURTO DE UNA COMPUTADORA NOTBOOCK MARCA SONY VAIO, UN PAR DE LENTES MARCA RUSTY Y UN PAR DE AURICULARES MARCA PANASONIC, LOS ELEMENTOS MENCIONADOS FUERON FACTURADOS EN UNA MOCHILA MEDIANA BAJO MARBETE NRO. LA 320355 EN EL AEROPUERTO JORGE NEWBERY APROXIMADAMENTE A LAS 18:05 HORAS DE LA CIUDAD DE BUENOS AIRES, PARA VUELO NRO 4354 DE LA EMPRESA LAN ARGENTINA, CON DESTINO LA CIUDAD DE SAN CARLOS DE BARILOCHE. AL MOMENTO DEL ARRIBO SIENDO APROXIMADAMENTE LAS 22:30 HORAS Y CUANDO RETIRÓ LA MOCHILA DE LA CINTA DE EQUIPAJE SE DIO CUENTA QUE LA MISMA SE ENCONTRABA ABIERTA Y SIN LOS ELEMENTOS INDICADOS.</t>
  </si>
  <si>
    <t>AUTONOMA DE BUENOS AIRES</t>
  </si>
  <si>
    <t>5020/10</t>
  </si>
  <si>
    <t>SE PROCEDE A LA APERTURA DE DOS SACAS COLECTORAS DEL CORREO OFICIAL, SEGÚN CONSTA EN ACTA DEJANDO CONSTANCIA Nº 0386/10, CORRESPONDIENTE A LA PREV. SUM.089/10, LA 1ª SACA IDENTIFICADA CON MARBETE, SLA0216837E555700RGL, PRECINTO N° D635776, CONTIENE UNA PIEZA POSTAL IDENTIFICADA COMO EP691906133AR, RTTE: SAVINA PORTAL, SOLDADO MARIO GUTIERREZ 25-LA QUIACA-JUJUY-CP. 4650, DEST: JUANA PORTAL, CORREO CENTRAL, EL CALAFATE, SANTA CRUZ, CP.9405, LA MISMA QUEDA RETENIDA. LA 2ª SACA IDENTIFICADA CON MARBETE SLA0216840E555700RGL, PRECINTO Nº D635999, CONTIENE UNA PIEZA POSTAL IDENTIFICADA COMO EP000520377, RTTE: SIN DATOS, DEST: SOSA CARLOS JUSTINO, Bº DON BOSCO, CASA Nº 31, RIO TURBIO, SANTA CRUZ, CP.9407, LA MISMA QUEDA RETENIDA. LAS RETENCIÓNES SE REALIZAN ANTE LA PRESUNCIÓN QUE PUDIERAN CONTENER ALGÚN ELEMENTO EN INFRACCIÓN A LA LEY 23.737 Y/O 22.415, QUEDANDO LAS MISMAS CERRADAS Y EN GUARDA EN ESTA UOSP. SE COMUNICO TELEFONICAMENTE AL JUZGADO INTERVINIENTE Y LAS APERTURAS SE REALIZARAN CON LA AUTORIZACION DEL MAGISTRADO ACTUANTE.</t>
  </si>
  <si>
    <t>3530/10</t>
  </si>
  <si>
    <t>APERTURA DE ENCOMIENDA SOL.POLICIA DE SEGURIDAD AEROPORTUARIA</t>
  </si>
  <si>
    <t>361/10</t>
  </si>
  <si>
    <t>SE PROCEDE A LA APERTURA DE UNA ENCOMIENDA DEL CORREO OFICIAL, SEGÚN CONSTA EN ACTA DE APERTURA DE CARGAS Nº 387/10, PREV. SUM. 066/10,EN VIRTUD DE LO ORDENADO MEDIANTE OFICIO JUDICIAL Nº 1811/10, DEL MAGISTRADO ACTUANTE Y EN PRESENCIA DE UN TESTIGO HABIL. LA ENCOMIENDA SE IDENTIFICA COMO EP723218521AR, RTTE. ANDRADA, LIDIA, Bº TOMAS SANCHEZ, TARTAGAL Y DEST. SRA. ROMERO SOLEDAD, NEUQUEN, POSTE RESTANTE, C.P. 8.300, CONTIENE: ONCE PAQUETES DE HOJAS DE COCA CON UN PESO TOTAL DE 2867 GRS. LA ENCOMIENDA SECUESTRADA SERA PUESTA A DISPOSICION DE LA ADUANA DE SALTA POR SUPUESTA INFRACCION AL CODIGO ADUANERO, LEY 22415 Y LAS ACTUACIONES REMITIDAS A SEDE JUDICIAL SEGÚN P.U. Nº 3499/10 (ORIGINARIO) SE PROCEDE A LA RETENCION DE UNA SACA COLECTORA DEL CORREO OFICIAL, SEGUN CONSTA EN ACTA DE RETENCION DE CARGAS Nº 0296/10, QUE ORIGINA LA PREVENCION SUMARIA Nº 066/10. LA SACA IDENTIFICADA CON MARBETE Nº SLA0161664D636300NQN, PRECINTO Nº D054906, CON UN PESO DE 6,000 KGS, CON DESTINO A LA CIUDAD DE NEUQUEN, LA QUE SERIA DESPACHADA A TRAVEZ DE LA EMPRESA DE CARGA AEREA JET PAQ. LA RETENCION SE REALIZA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 SEGÚN P.U. Nº 3530/10 (AMPLIACION DEL ORIGINARIO) SE PROCEDE A LA APERTURA DE UNA SACA COLECTORA DEL CORREO OFICIAL, SEGÚN CONSTA EN ACTA DE RETENCIÓN DE CARGA Nº 296/10 Y ACTA DEJANDO CONSTANCIA Nº 297/10 DE APERTURA DE SACA, QUE ORIGINA LA PREVENCIÓN SUMARIA Nº 066/10, LA SACA IDENTIFICADA CON MARBETE SLA0161664D636300NQN, PRECINTO N° D054906, CONTIENE TRES PIEZAS POSTALES.LA 1ª EP723218521AR, RTTE. ANDRADA, LIDIA, Bº TOMAS SANCHEZ, TARTAGAL Y DEST. ROMERO SOLEDAD, NEUQUEN, POSTE RESTANTE, C.P. 8.300, QUEDA RETENIDA Y LAS DOS RESTANTES IDENTIFICADAS COMO EP679570100AR Y EP723218518AR, SON ENTREGADAS AL SR. ARIAS EMPLEADO DE CORREO OFICIAL PARA REDESPACHO, LA RETENCION SE REALIZA ANTE LA PRESUNCIÓN DE QUE PUDIERA CONTENER ALGÚN ELEMENTO EN INFRACCIÓN A LA LEY 23.737 Y/O 22.415, QUEDANDO LA MISMA CERRADA Y EN GUARDA EN ESTA UOSP. SE COMUNICO TELEFÓNICAMENTE AL JUZGADO INTERVINIENTE Y LA APERTURA SE REALIZARA CON LA AUTORIZACIÓN DEL MAGISTRADO ACTUANTE.</t>
  </si>
  <si>
    <t>TURNO DE PREVENCION Y CHECKIN AEROLINEAS ARGENTINAS</t>
  </si>
  <si>
    <t>EN EL DIA DE LA FECHA Y QUE DE ACUERDO A ORDEN DE SERVICIO Nº 17/2010 DE ESTA UOSP, EN CUMPLIMIENTO DEL PROGRAMA NACIONAL DE ENTREGA VOLUNTARIA DE ARMAS DE FUEGO LEY Nº 26.216, PRORROGADA POR LEY Nº 26.520, EN EL VUELO DE REFERENCIA,SE DIO APOYO Y CUSTODIA HASTA SU EMBARQUE DE 18(DIECIOCHO) ARMAS DE FUEGO INUTILIZADAS PARA SU DESTRUCCION, LA CUSTODIA DE DICHOS ARMAMENTOS ESTA A CARGO DEL SR. BONOMI, RICARDO DARIO D.N.I. Nº 17.968.831 Y EL SR. LOPEZ EDUARDO MANUEL AMBOS FUNCIONARIOS DEL RENAR.</t>
  </si>
  <si>
    <t>AR 2850</t>
  </si>
  <si>
    <t>ROMERO WALTER ERNESTO</t>
  </si>
  <si>
    <t>SRA. JUEZ DE INSTRUCCION Y CORRECCIONAL Y DE MENORES N°2 DE ESTA CIUDAD S/REMITE ACTUACIONES</t>
  </si>
  <si>
    <t>JUZGADO FEDERAL 1RA INSTANCIA DEL PASO DE LOS LIBRES - CORRIENTES</t>
  </si>
  <si>
    <t>EL DÍA 18 AGO 2010 SE COMPARECE EN EL JUZGADO FEDERAL ACTUANTE DANDO CUMPLIMIENTO A LA ORDEN DE SERVICIO NRO. 197/2010 URSA IV, DONDE SE RECIBEN LOS ELEMENTOS SECUESTRADOS EN LA CAUSA MENCIONADA: 8 OCHO TELÉFONOS CELULARES, 2 DOS PENDRIVE, UNA TARJETA DE MEMORIA Y UN CHIP PARA CELULAR DE LA EMPRESA MOVISTAR, PARA REALIZAR EL CORRESPONDIENTE INFORME TÉCNICO DE RECUPERACIÓN DE DATOS. LA MISMA OBEDECE A LA CAUSA INTERNA Nº 0014/2010, SIENDO LOS ELEMENTOS MENCIONADOS RESULTANTES DE LOS ALLANAMIENTOS PRACTICADOS EN DIFERENTES DOMICILIOS EL DÍA 11 DE JULIO DEL CORRIENTE AÑO INFORMADO EN PU Nº 4139, 4140 Y 4141</t>
  </si>
  <si>
    <t>SIENDO LAS 16:00 HORAS DEL DIA DE LA FECHA SE PRESENTA EL SR. LEONARDO BENEGAS PARA RALIZAR UNA DENUNCIA DE EXTRAVIO DEL PERMISO PERSONAL CON ACOMPAÑAMIENTO QUE LE FUERA ENTREGADO EL DIA SABADO 14 DE AGOSTO DEL CORRIENTE Y QUE EXTRAVIARA ESE MISMO DIA SIN PODER ESPESIFICAR EL LUGAR.</t>
  </si>
  <si>
    <t>4398/10</t>
  </si>
  <si>
    <t>PSA S/SUPUESTA INFRACCION A LEY 22.415 Y/O 23.737.-</t>
  </si>
  <si>
    <t>SE PROCEDE A LA APERTURA DE DOS ENCOMIENDAS DEL CORREO OFICIAL, SEGÚN CONSTA EN ACTA DE APERTURA DE CARGAS Nº 388/10, PREV.SUM. 084/10, EN VIRTUD DE LO ORDENADO MEDIANTE OFICIO JUDICIAL Nº 1872, DEL MAGISTRADO ACTUANTE Y EN PRESENCIA DE UN TESTIGO HABIL. LA ENCOMIENDA SE IDENTIFICA COMO EP713100695AR, RTTE: CARMEN GORDILLO, DOMICILIO HONDURAS 360- SANTA ROSA DE LIMA, CP.4500, DEST: MAURO GORDILLO, 25 DE MAYO 1851-CASA 218-CP.9420-RIO GRANDE-TIERRA DEL FUEGO, CONTIENE CINCO PAQUETES DE HOJAS DE COCA CON UN PESO TOTAL DE 1489 GRS Y LA 2ª ENCOMIENDA IDENTIFICADA COMO EP661654263AR, RTTE: MARIA LUISA MENA, CON DOMICILIO EN BS AS OESTE Nº 88-METAN-SALTA-CP.4440, DEST: CECILIA CASASOLA, HUERGO Nº 1727-Bº PETROBELLI-COMODORO RIVADAVIA-CHUBUT-CP.9000, CONTIENE CINCO PAQUETES DE HOJAS DE COCA CON UN PESO TOTAL DE 2455 GRS. LA ENCOMIENDA SECUESTRADA SERA PUESTA A DISPOSICION DE LA ADUANA DE SALT A POR SUPUESTA INFRACCION AL CODIGO ADUANERO, LEY 22415 Y LAS ACTUACIONES REMITIDAS A SEDE JUDICIAL. SEGÚN P.U. Nº 4390/10 (ORIGINARIO) SE PROCEDE A LA RETENCIÓN DE DOS SACAS COLECTORAS DEL CORREO OFICIAL, SEGÚN CONSTA EN ACTA DE RETENCIÓN DE CARGAS Nº 356/10, QUE ORIGINA LA PREVENCIÓN SUMARIA 084/10, LA PRIMERA SACA IDENTIFICADA CON MARBETE, SLA0212241D555900RGA, PRECINTO N° Z195760, CON UN PESO DECLARADO DE 9,200 KGS, CON DESTINO LA CIUDAD DE RÍO GRANDE, CONTENDRÍA DOS PIEZAS POSTALES Y LA SEGUNDA SACA IDENTIFICADA CON MARBETE SLA85099115D555600CRD, PRECINTO Nº Z195759, CON UN PESO DECLARADO DE 4,000 KGS, CON DESTINO A LA CIUDAD DE COMODORO RIVADAVIA, CONTENDRÍA UNA PIEZA POSTAL, LAS MISMAS ESTÁN AMPARADAS EN GUÍA DE CARGA Nº 9411903-4, DESPACHADAS A TRAVÉS DE LA EMPRESA DE CARGA AÉREA JET PAQ. LA RETENCIÓN SE REALIZA ANTE LA PRESUNCIÓN QUE PUDIERAN CONTENER ALGÚN ELEMENTO EN INFRACCIÓN A LA LEY 23.737 Y/O 22.415, QUEDANDO LAS MISMAS CERRADAS Y PRECINTADAS EN GUARDA EN ESTA UOSP. SE COMUNICO LA RETENCIÓN, TELEFÓNICAMENTE AL JUZGADO INTERVINIENTE, Y LA APERTURA SE REALIZARÁ EN PRESENCIA DEL PERSONAL DEL CORREO OFICIAL SEGÚN P.U. Nº 4398/10 (AMPLIACION DEL ORIGINARIO) SE PROCEDE A LA APERTURA DE DOS SACAS COLECTORAS DEL CORREO OFICIAL, SEGÚN CONSTA EN ACTA DEJANDO CONSTANCIA Nº 357/10, QUE ORIGINO LA PREV. SUM. 084/10, LA 1ª SACA IDENTIFICADA CON MARBETE, SLA0212241D555900RGA, PRECINTO N° Z195760, CONTIENE DOS PIEZAS POSTALES IDENTIFICADAS COMO : LA 1ª EP713100695AR, RTTE: CARMEN GORDILLO, DOMICILIO HONDURAS 360- SANTA ROSA DE LIMA, CP.4500, DEST: MAURO GORDILLO, 25 DE MAYO 1851-CASA 218-CP.9420-RIO GRANDE-TIERRA DEL FUEGO, LA CUAL QUEDA RETENIDA. LA 2ª PIEZA POSTAL IDENTIFICADA COMO EP658937287AR, LA CUAL ES ENTREGADA AL SR. NORBERTO MONTAÑO PARA SU REDESPACHO. Y LA SEGUNDA SACA IDENTIFICADA CON MARBETE SLA85099115D555600CRD, PRECINTO Nº Z195759, CONTIENE UNA PIEZA POSTAL IDENTIFICADA COMO EP661654263AR, RTTE: MARIA LUISA MENA, CON DOMICILIO EN BS AS OESTE Nº 88-METAN-SALTA-CP.4440, DEST: CECILIA CASASOLA, HUERGO Nº 1727-Bº PETROBELLI-COMODORO RIVADAVIA-CHUBUT-CP.9000, LA CUAL QUEDA RETENIDA. LA RETENCIÓN SE REALIZA ANTE LA PRESUNCIÓN QUE PUDIERAN CONTENER ALGÚN ELEMENTO EN INFRACCIÓN A LA LEY 23.737 Y/O 22.415, QUEDANDO LAS MISMAS CERRADAS Y EN GUARDA EN ESTA UOSP.SE COMUNICO TELEFÓNICAMENTE AL JUZGADO INTERVINIENTE, Y LA APERTURA SE REALIZARÁ CON LA AUTORIZACION DEL MAGISTRADO ACTUANTE.</t>
  </si>
  <si>
    <t>ARIAS DUVAL ALEJANDRO AGUSTIN Y OTROS S/HOMICIDIO, PRIVACION ILEGAL DE LA LIBERTAD, TORMENTOS Y SUSTRACCION DE MENORES</t>
  </si>
  <si>
    <t>ZAPATA 127 C.A.B.A</t>
  </si>
  <si>
    <t>EN EL DIA DE LA FECHA, PERSONAL POLICIAL DE ESTA UNIDAD PROCEDIO A LA DETENCION DEL CORONEL RETIRADO DEL EJERCITO ARGENTINO ENRIQUE ARMANDO CICCIARI, EL PRESENTE PROCEDIMIENTO SE EFECTUO EN LA VIA PUBLICA, FRENTE A SU DOMICILIO PARTICULAR. POSTERIORMENTE ES TRASLADADO A LA UOSA METROPOLITANA, A EFECTOS DE PROCEDER CON LA REVISACION MEDICA CORRESPONDIENTE, EXTRACCION DE FICHAS DACTILOSCOPICAS Y MUESTRAS FOTOGRAFICAS. SIENDO LAS 17:10, EL CAUSANTE ES TRASLADADO, CUSTODIADO POR PERSONAL POLICIAL DE ESTA UNIDAD AL SERVICIO PENITENCIARIO FEDERAL NRO. 28, DE ACUERDO A LO ORDENADO POR EL JUZGADO DE TURNO, FEDERAL DE PRIMERA INSTANCIA EN LO CRIMINAL Y CORRECCIONAL NRO. 7 A CARGO DEL DR. JUEZ SUBROGANTE NORBERTO OYARBIDE - SECRETARIA NRO. 13 DEL DR. GUSTAVO RUSSO, QUEDANDO EN CALIDAD DE DETENIDO COMUNICADO, A DISPOSICION DEL JUZGADO INTERVINIENTE.</t>
  </si>
  <si>
    <t>SUMARIO POR PRESUNTO DELITO DE ACCION PUBLICA</t>
  </si>
  <si>
    <t>LINDANTE A LOS HANGARES DE BOMBEROS DE LA PFA</t>
  </si>
  <si>
    <t>EN CERCANIAS DE LA CABECERA 0/5</t>
  </si>
  <si>
    <t>QUE EL DIA DE LA FECHA EL DENUNCIANTE MIENTRAS REALIZABA UNA RECORRIDA POR EL LUGAR INDICADO, OBSERVO QUE UN CAMION DE LA EMPRESA EL DESTAPE, SE ENCONTRABA ARROJANDO LIQUIDO CLOACAL EN UN DESAGUE PLUVIAL. POR TAL MOTIVO PERSONAL DE LA EMPRESA AA2000, REALIZO UN ACTA DE INFRACCION Y PERSONAL DE LA ANAC, RETIRO EL DISCO OPERATIVO AL CAMION DE DICHA EMPRESA IDENTIFICADO CON DOMINIO COLOCADO RMA207, EL CUAL ERA CONDUCIDO POR EL SR. DANIEL NOCITI, DEL CUAL NO APORTA MAS DATOS. POSTERIORMENTE EN EL HORARIO INDICADO EL DENUNCIANTE SE PRESENTO EN ESTA GUARDIA DE PREVENCION A FIN DE RADICAR LA PRESENTE DENUNCIA.</t>
  </si>
  <si>
    <t>PLATAFORMA COMERCIAL - MANGA Nº 06</t>
  </si>
  <si>
    <t>SIENDO LA HORA MENCIONADA SE PROCEDIÓ A DAR CUMPLIMIENTO A LA ORDEN DE SERVICIO Nº 311/10 DE ESTA UOSP METROPOLITANA, EN RELACIÓN A LA ORDEN DE SERVICIO Nº 557/10 DE LA URSA I DEL ESTE, MEDIANTE LA CUAL SE IMPLEMENTARON LAS MEDIDAS DE SEGURIDAD NECESARIAS A FIN DE RESGUARDAR EL ARMAMENTO, CON PRECINTO Nº 848673, MARBETE 65-05-95, PRECINTO RENAR Nº 5052, PROCEDENTE DE LA PROVINCIA DE TIERRA DEL FUEGO DESDE EL ARRIBO DEL MATERIAL HASTA EL RETIRO DEL MISMO DE LA JURISDICCIÓN AEROPORTUARIA. SIENDO LA PERSONA AUTORIZADA PARA DICHO TRASLADO EL SEÑOR BONOMINI RICARDO DARIO, CON DNI Nº 17.968.831, JEFE DE DIVISIÓN TÉCNICA Y LOGÍSTICA DEL RENAR.CABE DESTACAR QUE POR MODIFICACIÓN DE LA EMPRESA AEROCOMERCIAL, EL MATERIAL MENCIONADO LLEGO EN EL VUELO DE MENCIÓN Y NO EN EL QUE ESTABA ESTABLECIDO POR ORDEN DE SERVICIO. FINALIZA DICHO OPERATIVO 17:15 HS SIN NOVEDAD.</t>
  </si>
  <si>
    <t>AR 2851</t>
  </si>
  <si>
    <t>SIENDO LA HORA 15:00 SE DESPLIEGA OPERATIVO DE SEGURIDAD SEGUN ORDEN DE SERVICIO NRO 24/10 EMITIDA POR ESTA UOSP CATAMARCA. A HORA 16:44 ARRIBA A ESTE AEROPUERTO, AERONAVE DE LA DIRECCION PROVINCIAL DE AERONAUTICA, MATRICULA LV-MOE, TRASLADANDO AL SEÑOR CARDENAL FRANCISCO JAVIER ERRAZURIZ OSSA-ARZOBISPO DE SANTIAGO DE CHILE. A HORAS 17:30 SE RETIRA DE ESTE AEROPUERTO EL SEÑOR CARDENAL Y COMITIVA, FINALIZANDO OPERATIVO DE SEGURIDAD SIN NOVEDAD.</t>
  </si>
  <si>
    <t>2N</t>
  </si>
  <si>
    <t>CINTA - PLATAFORMA - BODEGA</t>
  </si>
  <si>
    <t>SE HACE PRESENTE EN ESTA GUARDIA DE PREVENCIÓN UNA PERSONA QUE DESEA REALIZAR UNA DENUNCIA, INFORMANDO QUE EN EL DÍA 18 DEL CORRIENTE MES Y AÑO, REALIZO EL CHECK-IN CORRESPONDIENTE Y PARTIÓ A LA CIUDAD DE FORMOSA. UNA VEZ ARRIBADO A DICHO AEROPUERTO EN LA CIUDAD DE FORMOSA , RETIRA SU EQUIPAJE DE LA CINTA PORTA EQUIPAJE Y SE DIRIGE AL HOTEL, DONDE UNA VEZ INSTALADO SE PERCATA DE LOS FALTANTES. INMEDIATAMENTE SE DIRIGE AL AEROPUERTO DE DICHA CIUDAD Y REALIZA EL RECLAMO CORRESPONDIENTE. UNA VEZ ARRIBADO A ESTA AEROSTACIÓN SE HACE PRESENTE EN ESTA GUARDIA DE PREVENCIÓN PARA REALIZAR LA DENUNCIA. SIENDO LAS 18:05 HORAS SE REALIZA COMUNICACIÓN CON LA JUDICATURA ACTUANTE QUIEN DISPONE ACTUACIONES DE RIGOR.</t>
  </si>
  <si>
    <t>AR 1778</t>
  </si>
  <si>
    <t>DRA. ROBERTO RIQUELME</t>
  </si>
  <si>
    <t>OFICINA DEL ANAC</t>
  </si>
  <si>
    <t>SE HACE PRESENTE, UNA PERSONA QUE DESEA REALIZAR UNA DENUNCIA, INFORMANDO QUE EN EL DIA DE LA FECHA A LAS 09:30 HORAS SE PRESENTO EN EL (ANAC) E INGRESO A LAS OFICINAS DONDE REALIZA SUS TAREAS HABITUALES. EN HORAS DE LA TARDE, ALREDEDOR DE LAS 16:00 HORAS APROXIMADAMENTE SE ENCONTRABA EN SU OFICINA JUNTO CON SUS ELEMENTOS DE TRABAJO, Y SOBRE SU ESCRITORIO SE ENCONTRABA SU TELÉFONO CELULAR, LUEGO DE UNOS MINUTOS SE HACE PRESENTE EN EL LUGAR, PERSONAL DE LA EMPRESA SERZA S.A, CON MOTIVO DE REALIZAR TAREAS DE LIMPIEZA, POR LO CUAL SE TRASLADO DESDE SU OFICINA A UN BOX. SIENDO LAS 17:00 HORAS APROXIMADAMENTE REGRESA A SU OFICINA Y SE PERCATA DEL FALTANTE DE SU TELÉFONO CELULAR. ACTO SEGUIDO TOMA UN TELÉFONO FIJO Y COMIENZA A LLAMAR A SU NUMERO CON EL FIN DE CORROBORAR QUE NO SE ENCONTRARA EN OTRO SITIO, CON LO CUAL SE ACTIVABA SU CONTESTADOR AUTOMÁTICO.</t>
  </si>
  <si>
    <t>DURANTE EL CONTROL DE PASAJEROS DEL VUELO DE MENCION, AL PASAR UN MASCULINO POR EL MARCO DETECTOR DE METALES, ÉSTE SE ACTIVO, POR LO CUAL PROCEDIÓ A CHEQUEO MANUAL. AL REALIZAR ESTE PROCEDIMIENTO, SE PERCATO QUE EN SU BOLSILLO DELANTERO IZQUIERDO DE SU PANTALÓN, SE OBSERVABA UN BULTO SOSPECHOSO, POR LO QUE LE SOLICITO QUE EXHIBA EL CONTENIDO DEL MISMO, EXTRAYENDO DE SU INTERIOR UNA CAJA LA CUAL ABRIÓ, PUDIÉNDOSE OBSERVAR DENTRO DE LA MISMA UNA SUSTANCIA DE ORIGEN VEGETAL COLOR VERDOSA Y DOS CIGARRILLOS ARMADOS CON SIMILAR CONTENIDO, POR LO CUAL SE LE CONSULTO POR EL ORIGEN ÉSTOS, RESPONDIENDO QUE SE TRATABA DE SIC. "MARIHUANA". INMEDIATAMENTE SE SOLICITO LA PRESENCIA DE DOS TESTIGOS HÁBILES Y EL AUXILIAR EN CRIMINALÍSTICA DE TURNO, Y SE LE VOLVIÓ A CONSULTAR POR EL ORIGEN DE LA SUSTANCIA ANTES MENCIONADA, RESPONDIENDO NUEVAMENTE QUE SE TRATABA DE SIC. "MARIHUANA". ACTO SEGUIDO SE REALIZO EL REACTIVO DE CAMPO ORIENTATIVO PARA MARIHUANA, ARROJANDO RESULTADO POSITIVO. RÁPIDAMENTE SE TRASLADO AL PASAJERO JUNTO CON LOS TESTIGO Y LA SUSTANCIA EN CUESTIÓN, A ESTA GUARDIA DE PREVENCIÓN. SIENDO LAS 19:55 HORAS SE ENTABLA COMUNICACIÓN CON LA JUDICATURA ACTUANTE QUIEN DISPONE: DILIGENCIAS DE RIGOR Y QUE CON RESULTADO DE REINCIDENCIA NEGATIVO SE PROCEDA A LA SOLTURA.</t>
  </si>
  <si>
    <t>SIENDO LAS 22:20 HORAS SE RECIBE COMUNICACIÓN VÍA RADIAL POR PARTE DEL OF. FERNANDO NISSI, ENCARGADO DEL HALL, QUIEN INFORMA QUE EN LA VEREDA DEL SECTOR A1, SE ENCONTRABA UNA CAJA OLVIDADA EN UN CARRO PORTA EQUIPAJE. SE COMISIONA AL LUGAR AL OF. PABLO LAHORE, ENCARGADO DE TURNO, JUNTO CON QUIEN SUSCRIBE, A LOS EFECTOS DE REALIZAR PERÍMETRO PRIMARIO DE SEGURIDAD. INMEDIATAMENTE SE SOLICITA LA PRESENCIA DEL GRUPO DE DESACTIVACIÓN DE EXPLOSIVOS (GEDEX), EN TURNO EN ESTA UNIDAD OPERACIONAL, BOMBEROS DE LA POLICÍA FEDERAL ARGENTINA, SECCIÓN AEROPARQUE Y AL SERVICIO MEDICO DE ESTE AEROPUERTO EMERGER. UNA VEZ ALLÍ EL PERSONAL REQUERIDO, EL SARGENTO RODRIGUEZ DE BOMBEROS DE LA PFA Y EL DR. IVAN CASTILLO MÉDICO DEL SERVICIO DE EMERGENCIAS, SE REALIZA CONTROL DE EXPLOSIVO SOBRE EL OBJETO ABANDONADO, ARROJANDO RESULTADO NEGATIVO. ACTO SEGUIDO SE TRASLADA EL ELEMENTO A LA GUARDIA DE PREVENCIÓN Y SE REALIZA EL ACTA DE HALLAZGO CORRESPONDIENTE CON Nº 2033/10 LA CUAL DETALLA UNA CAJA DE CARTÓN CONTENIENDO VEINTISÉIS (26) ADORNOS DE PORCELANA FRÍA.</t>
  </si>
  <si>
    <t>SIENDO LAS 01:45 HORAS ARRIBA AERONAVE MATRICULA LV-BRY DE LA EMPRESA LAN ARGENTINA PROCEDENTE DE AEROPUERTO JORGE NEWBERY EN CUYAS BODEGAS 12,13,31,32,41,42 Y 51 SE EMBARCAN 236 CAJAS CON UN PESO DE 5.570 KILOGRAMOS DE METAL DE LA EMPRESA CERRO VANGUARDIA CON DESTINO A AEROPUERTO JORGE NEWBERY . EL VUELO DESPEGA A LAS 03:10 SIN NOVEDAD. SE DIO CUMPLIMIENTO A ORDEN DE SERVICIO NRO 0074/10.</t>
  </si>
  <si>
    <t>SECTOR DE ARRIBOS DE PASAJEROS DE TERMINAL A</t>
  </si>
  <si>
    <t>EL OFICIAL PONCE SE ENCONTRABA CUMPLIENDO SERVICIO DE GUARDIA EN EL CENTRO OPERATIVO Y CONTROL, DONDE A TRAVES DE UNA DE LAS CAMARAS DE SEGURIDAD OBSERVA A UNA PERSONA DE SEXO MASCULINO ACERCANDOSE ASIDUAMENTE A PASAJEROS RECIEN ARRIBADOS AL PAIS EN EL SECTOR ANTES MENCIONADO PERGOLA DE ARRIBOS DE TERMINAL A, RAZON POR LO CUAL MANTIENE COMUNICACION VIA HT CON LA OFICIAL HANEMANN QUE SE ENCONTRABA EN LAS INMEDIACIONES DEL LUGAR JUNTO CON EL OFICIAL SACOR, QUIENES SE ACERCAN AL MASCULINO EN CUESTION CONSTATANDO QUE SE ENCONTRABA OFRECIENDO SERVICIO DE TRANSPORTE PUBLICO A VIVA VOZ A LOS PASAJEROS, FUERA DE LOS LUGARES HABILITADOS,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</si>
  <si>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EL OFICIAL PONCE SE ENCONTRABA CUMPLIENDO SERVICIO DE GUARDIA EN EL CENTRO OPERATIVO Y CONTROL, DONDE ATRAVES DE UNA DE LAS CAMARAS DE SEGURIDAD OBSERVA A UNA PERSONA DE SEXO MASCULINO QUE SE ENCONTRABA EN EL SECTOR ANTES MENCIONADO, EL CUAL SE ACERCABA ASIDUAMENTE A PASAJEROS RECIEN ARRIBADOS AL PAIS, RAZON POR LO CUAL MANTIENE COMUNICACION VIA HT CON LA OFICIAL HANEMANN, QUE SE ENCONTRABA EN LAS INMEDIACIONES DEL SECTOR JUNTO CON EL OFICIAL SACOR, QUIENES SE APERSONAN EN EL LUGAR CONSTATANDO QUE EL MASCULINO EN CUESTION SE ENCONTRABA OFRECIENDO SERVICIO DE TRANSPORTE PUBLICO A VIVA VOZ, FUERA DE LOS LUGARES HABILITADOS A TAL FIN. SEGUIDAMENTE SE PROCEDE A LA APREHENSION PREVENTIVA DEL CAUSANTE, CONDUCIENDOLO AL SERVICIO DE SANIDAD A LOS FINES QUE SE LE PRACTIQUE SOBRE SU PERSONA UN PRECARIO MEDICO DE ENTRADA PARA LUEGO TRANSLADARLO A LA DEPENDENCIA DE CONTRAVENCIONES Y FALTAS A EFECTOS DE LABRAR LAS ACTUACIONES CORRESPONDIENTES.</t>
  </si>
  <si>
    <t>5044/10</t>
  </si>
  <si>
    <t>SIENDO LA HORA MENCIONADA SUEGUN LO DISPUESTO POR EL DR. GUSTAVO RUSSO, LUEGO DE CUMPLEMENTAR LAS DILIGENCIAS DISPUESTAS, SE PROCEDE A REALIZAR LA SOLTURA DEL IMPUTADO DESDE LA DEPENDENCIA AL NO MEDIAR ESTE ULTIMO IMPEDIMENTOS LEGALES.</t>
  </si>
  <si>
    <t>AVENIDA INDEPENDENCIA 2447, PISO 4º</t>
  </si>
  <si>
    <t>REF. ORDEN DE SERVICIO N° 789/10. EN EL DIA DE LA FECHA PERSONAL DE ESTA UNIDAD CON ASIENTO EN LA CIUDAD DE MAR DEL PLATA PROCEDIO AL TRASLADO DEL DETENIDO DESDE LA SEDE DE LA SUPERINTENDENCIA DE INVESTIGACIONES DEL TRAFICO DE DROGAS ILICITAS, DELEGACION MAR DEL PLATA DE LA POLICIA DE LA PROVINCIA DE BS. AS., HASTA EL COMPLEJO JUAN VUCETICH, A FIN DE CUMPLIMENTAR EL ARTICULO 78 DEL C.P.P.N., LUEGO DE LO CUAL FUE TRASLADADO NUEVAMENTE A SU LUGAR DE ALOJAMIENTO, SIN NOVEDAD.</t>
  </si>
  <si>
    <t>DE LUCA</t>
  </si>
  <si>
    <t>LUIS FERNANDO</t>
  </si>
  <si>
    <t>PSTA INFRACCION LEY 23737</t>
  </si>
  <si>
    <t>MIENTRAS SE REALIZABA CONTROL DE CARGA Y CORREO ARRIBADO DEL VUELO AU 2832 EN ARRIBOS DE ESTE AEROPUERTO Y POR MEDIO DE SCANNER DE FUNBABA EL OFICIAL MY JUAN CARLOS DIAZ Y EL PERSONAL DE FUNBABA OBSERVAN UNA SUSTANCIA ORGANICA QUE NO PUEDEN IDENTIFICAR DENTRO DE UNA SACA DE CORREO ARGENTINO. EL RESPONSABLE DE FUNBAPA EN USO DE SUS ATRIBUCIONES PROCEDE A LA APERTURA DE DICHA SACA EN PRESENCIA DE DOS TESTIGOS HABILES. DONDE SE OBSERVA UN CAJA QUE EN SU INTERIOR CONTENIA 02 PAQUETES CON UNA SUSTANCIA DE COLOR VERDUSCA, PPRESUNTAMENTE CANABIS SATIVA MARIHUANA, CON UN PESO DE 2.132 RAMOS, Y UN PAQUETE DE MENOR TAMAÑO DE COLOR BLANCO, PRESUNTAMENTE CLORHIDRATO DE COCAINA, CON UN PESO DE 50 GRAMOS, ENVUELTO CON PAPEL DE ALUMINIO Y NYLON TRASPARENTE Y NEGRO. SE DA INTERVENCION AL JUZGADO FEDERAL EL CUAL ORDENA A REALIZAR LAS ACTUACIONES DE RIGOR. REALIZADO LAS PRUEBAS DE CAMPO CON REACTIVO NIK SE COMPROBO QUE ERAN LAS SUSTANCIAS ANTES MENCIONADA, POR LO CUAL EL JUZGADO FEDERAL ORDENA EL SECUETRO DE LOS MISMOS.</t>
  </si>
  <si>
    <t>AU 2832</t>
  </si>
  <si>
    <t>TURNO URSA I DEL ESTE</t>
  </si>
  <si>
    <t>SE RECIBE UN MENSAJE PROVENIENTE DEL TURNO DE LA URSA I DEL ESTE EN EL CUAL SE TRANSCRIBE UN CORREO ELECTRONICO PRODUCIDO POR EL SR. CARLOS GUILLEM, DIRIGIDO AL TURNO DE LA URSA 1 DEL ESTE, EL CUAL REZA... VIVIANA PATRICIA IGLESIAS, PASAPORTE ARG. Nº 22808865N 21/08 VUELO AMERICAN AIRLINES, AA0964 DESDE: MIAMI MIA HACIA: NEW YORK TRANSPORTA ESTUPEFACIENTES COCAINA EN SUS ROPAS Y EN EL INTERIOR DE SU CUERPO. APROX. 300 GS. DE MAXIMA PUREZA. VIAJA SIN DINERO. COBRA EN N.Y.... EN VIRTUD AL MISMO SE COMISIONA PERSONAL POLICIAL A LAS EMPRESAS AMERICANAS QUE REALIZAN VUELOS DESDE ESTE MEDIO HACIA LOS DESTINOS DE MIAMI Y NEW YORK A EFECTOS DE CORROBORAR SI EN EL DIA 19-08-2010 Y HASTA EL DIA 21-08-2010 FECHA SUPUESTA DEL VIAJE DE LA PERSONA DENUNCIADA, EXISTE ALGUNA RESERVA A NOMBRE DE LA MISMA. REGRESADA LA COMISION INFORMAN QUE PARA LOS DIAS 19 Y 20 DE AGOSTO DE 2010 NO EXISTEN RESERVA EN DICHAS COMPAÑIAS, Y QUE PARA EL DIA 21 -08-2010 SE DEBERIA PREGUNTAR A PARTIR DEL DIA 20-08-2010. MOTIVO POR EL CUAL SE MANTUVO COMUNICACION CON EL JUZGADO INTERVINIENTE DISPONIENDO QUE EL PERSONAL POLICIAL ACTUE DE ACUERDO A SUS FACULTADES SE ANALICEN LOS EXTREMOS DE LA DENUNCIA, SE CORROBORE SI EXISTEN RESERVAS DE LA PASAJERA MENCIONADA Y EN CASO DE SER HABIDA SE ENTABLE NUEVA COMUNICACION.</t>
  </si>
  <si>
    <t>AA0964</t>
  </si>
  <si>
    <t>FRENTE ESTACIONAMIENTO SECTOR B</t>
  </si>
  <si>
    <t>VEREDA EDIFICIO AA 2000</t>
  </si>
  <si>
    <t>EL DENUNCIANTE JUNTO A SUS EQUIPAJES SUBE EN ESTA AEROESTACION A UN VEHICULO MARCA FIAT DE COLOR NEGRO NO IDENTIFICADO EL CUAL ERA CONDUCIDO POR UNA PERSONA DE SEXO MASCULINO, QUIEN LE HABRIA OFRECIDO UN SERVICIO DE TAXI, UNA VEZ QUE SE ENCONTRABAN FUERA DE ESTA AEROESTACION Y HABIENDO TRANSCURRIDO DIEZ MINUTOS DE COMENZAR SU TRASLADO EN ESTE VEHICULO EL CHOFER LE MANIFIESTA SUS INTENCIONES DE ROBO, QUE LUEGO EN EL BARRIO DE POMPEYA EL CHOFER HACE QUE EL DENUNCIANTE DESCIENDA DEL VEHICULO SIN SUS EQUIPAJES Y SE RETIRA.</t>
  </si>
  <si>
    <t>POLICIA DE SEGURIDAD AEROPORTUARIA S/ AVERIGUACION PSTA. INFRACCION LEY 23737</t>
  </si>
  <si>
    <t>8905/10</t>
  </si>
  <si>
    <t>CORREO ARGENTINO DE COMODORO RIVADAVIA</t>
  </si>
  <si>
    <t>SE RECEPCIONO OFICIO JUDICIAL Nº: 1842/10, DE FECHA 20 DE AGOSTO DEL CORRIENTE EN EL QUE EL MAGISTRADO INTERVINIENTE DISPONE: SE ENCOMIENDE A LA UOCN Y DC V- COMODORO RIVADAVIA, PRODUSCA UN INFORME CON CARACTER DE URGENTE RESPECTO DEL ENVIO POSTAL AMPARADO BAJO GUIA NºEP70284795 0 DE CORREO ARGENTINO, DE LA LOCALIDAD DE SANTO TOME, SANTA FE CON FECHA 18/08/10, INICIANDO EL DERROTERO DEL ENVIO HASTA SU DESTINO EN AEROPUERTO DE COMODORO RIVADAVIA</t>
  </si>
  <si>
    <t>MERCEDES LOPEZ VEGA</t>
  </si>
  <si>
    <t>JODAR MIGUEL ANGEL S/DENUNCIA - PSA-UO-USU</t>
  </si>
  <si>
    <t>SE HACE PRESENTE EL CIUDADANO JODAR MIGUEL ÁNGEL, C.I P.F.A. Nº 21.551.036, CON INTENCIONES DE RADICAR UNA DENUNCIA POR DAÑOS SOBRE UNA CAMIONETA DE SU PROPIEDAD MARCA JEEP MODELO GRAND CHEROKEE DE COLOR GRIS, DOMINIO FFG 755 QUE SE ENCONTRABA ESTACIONADA EN EL ESTACIONAMIENTO DE ESTA AEROESTACIÓN, HALLANDOSE RAYADA Y CON UN HUNDIMIENTO EN SU PUERTA TRASERA DERECHA PROBABLEMENTE CAUSADO POR UN GOLPE. LA MISMA HABRÍA QUEDADO ESTACIONADA EN EL SECTOR A TAL FIN DESDE EL 12/08/10 AL 18/08/10. A CONTINUACIÓN SE DIO INTERVENCIÓN AL JUZGADO DE REFERENCIA, DISPONIENDO SU SSA. SE REALICEN LAS ACTUACIONES DE RIGOR Y POSTERIOR ELEVACIÓN, POR LO QUE EL CIUDADANO RADICA DENUNCIA 008/10. POSTERIORMENTE SE INFORMO DEL HECHO A LA FISCALÍA PROVINCIAL EN LA PERSONA DEL DR. DANIEL CURTALE.</t>
  </si>
  <si>
    <t>SIENDO LA FECHA Y HORA ANTES MENCIONADA, EN MOMENTOS EN QUE EL OFICIAL KALENBERG SE ENCONTRABA EN UNA RECORRIDA POR EL SECTOR MENCIONADO CON ANTERIORIDAD, OBSERVA Y SORPRENDE A UNA PERSONA DE SEXO MASCULINO, LA CUAL SE ENCONTRABA OFRECIENDO SERVICIO DE TRANSPORTE PUBLICO A VIVA VOZ A LOS PASAJEROS, FUERA DE LOS LUGARES HABILITADOS, POR LO CUAL SE LE INFORMA QUE NO PODIA EJERCER DICHO ACCIONAR. HACIENDO CASO OMISO A LA ADVERTENCIA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</si>
  <si>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1, TERMINAL A</t>
  </si>
  <si>
    <t>SIENDO LA FECHA Y HORA ANTES MENCIONADA, EN MOMENTOS EN QUE EL OFICIAL CARABAJAL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</si>
  <si>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2 TERMINAL A</t>
  </si>
  <si>
    <t>SIENDO LA FECHA Y HORA ANTES MENCIONADA, EN MOMENTOS EN QUE EL OFICIAL CARABAJAL SE ENCONTRABA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</si>
  <si>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PERGOLA 1 TERMINAL A</t>
  </si>
  <si>
    <t>CASTELLI FERNANDO JAVIER</t>
  </si>
  <si>
    <t>ESCALERA ACCESO CONFITERIA</t>
  </si>
  <si>
    <t>SECTOR PUBLICO SUR DEL AEROPUERTO GENERAL SAN MARTIN</t>
  </si>
  <si>
    <t>SE PRESENTA LA DENUNCIANTE, QUE SE DESEMPEÑA COMO TURNO EN OPERACIONES DE LA EMPRESA AA.2000, MANIFIESTANDO ESTA EN SU DENUNCIA QUE SIENDO APROXIMADAMENTE LAS SIETE CON QUINCE MINUTOS SE PRESENTA EL SEÑOR CLAUDIO GALARZA ENCARGADO DE LA EMPRESA REX S.A. INFORMANDO COMO NOVEDAD QUE EL HIDRANTE UBICADO EN EL SECTOR SUR DE LA TERMINAL, SE ENCONTRABA ABIERTO Y SIN LA LANZA DE COBRE , Y QUE A SIMPLE VISTA SE NOTA QUE NO FUE FORZADO LA CERRADURA DE LA PUERTA DEL NICHO PROTECTOR DEL ELEMENTO FALTANTE. Y QUE EL DÍA VEINTE DE AGOSTO POR LA NOCHE SE ENCONTRABA SIN NOVEDAD, SE IMPONE LA NOVEDAD AL JUZGADO EN TURNO DISPONIENDO ESTE SE LABREN LAS ACTUACIONES DE RIGOR</t>
  </si>
  <si>
    <t>5031/10</t>
  </si>
  <si>
    <t>SIENDO LAS 12:00 HORAS DEL DIA DE LA FECHA SE PRESENTA LA SRA. NANCY URIBE CON DNI Nº 26.019.615 DOMICILIADA EN EL Bº 150 VIVIENDAS CASA 114, CUMPLIENDO FUNCIONES DE ENCARGADA PARA LA EMPRESA BRCH GRILL S.A., INFORMANDO QUE HABIA ENCONTRADO UN PERMISO PERSONAL CON ACOMPAÑAMIENTO Nº 6668 DENTRO DE LAS INSTALACIONES DE LA CONFITERIA DE ESTA AEROPUERTO. EL MENCIONADO PERMISO HABIA SIDO DENUNCIADO COMO EXTRAVIADO POR EL SR. LEONARDO BENEGAS MEDIANTE DENUNCIA DE EXTRAVIO Nº 0629 EL DIA 19 DE AGOSTO DEL CORRIENTE AÑO.</t>
  </si>
  <si>
    <t>FRENTE AL HOSPITAL MILITAR CENTRAL DEL EJERCITO ARGENTINO</t>
  </si>
  <si>
    <t>LUIS MARIA CAMPOS AL 700 - CABA</t>
  </si>
  <si>
    <t>EN EL DIA DE LA FECHA, SIENDO LAS 14:40 HS., PERSONAL POLICIAL DE ESTA UNIDAD, PROCEDIO A LA DETENCION EN LA VIA PUBLICA, DEL SUBOFICIAL PRINCPAL RETIRADO DEL EJERCITO ARGENTINO JUAN CALOS NEGRI, QUIEN ES TRASLADADO A LA UOSP METROPOLITANA, CON EL FIN DE PROCEDER CON LA REVISACION MEDICA CORRESPONDIENTE, EXTRACCION DE JUEGOS DACTILOSCOPICAS Y TOMA DE MUESTRAS FOTOGRAFICAS, DE ACUERDO A LO ORDENADO POR EL JUZGADO DE TURNO FEDERAL NACIONAL DE PRIMERA INSTANCIA EN LO CRIMINAL Y CORRECCIONAL NRO. 7, A CARGO DEL DR. JUEZ SUBROGANTE NORBERTO OYARBIDE - SECRETARIA NRO. 13 DEL DR. GUSTAVO RUSSO, PARA LUEGO SER LLEVADO CUSTODIADO POR EL PERSONAL POLICIAL DESPLEGADO, A LA UNIDAD PENITENCIARIA FEDERAL NRO. 28 DE ACUERDO A LO ORDENADO POR LA SEDE JUDICIAL DE TURNO.EN LA CUAL QUEDARA ALOJADO EN CALIDAD DE DETENIDO COMUNICADO, A DISPOSICION DEL JUZGADO NTERVINIENTE.</t>
  </si>
  <si>
    <t>DR. ANDRES BASSO.</t>
  </si>
  <si>
    <t>INFRACCION AL ART. 164 DEL C.P.N.</t>
  </si>
  <si>
    <t>INFRACION AL ART. 164 DEL C.P.N.</t>
  </si>
  <si>
    <t>QUE LLEGADAS A ESTE MEDIO, LAS DENUNCIANTES PROCEDEN A RETIRAR SUS EQUIPAJES DESPACHADOS A BODEGA DE AERONAVE, CIRCUNSTANCIA EN LA CUAL UNA VEZ QUE SE HACEN DE ELLOS, OBSERVAN QUE LOS MISMOS NO SE ENCONTRABAN DISPUESTOS EN LA FORMA EN QUE LOS HABIAN DESPACHADO, SI NO QUE ESTOS PRESENTABAN EL FALTANTE DEL FILM DE NYLON QUE LO ENVOLVIA EN LA CIUDAD DE ORIGEN DEL VUELO, COMO ASI TAMBIEN QUE EL CIERRE DEL COMPARTIMIENTO PRINCIPAL SE ENCONTRABA VIOLENTADO,MOTIVO POR EL CUAL, PROCEDEN A LA APERTURA DE LOS MISMOS Y LUEGO DE REVISARLO EN SU TOTALIDAD, SE PERCATAN DEL FALTANTE DE VARIAS DE SUS PERTENENCIAS.</t>
  </si>
  <si>
    <t>FRENTE EDIFICIO PUESTO BRAVO</t>
  </si>
  <si>
    <t>FINALIZADO EL SERVICIO DE PREEMBARQUE DEL VUELO REGULAR DE AEROLINEAS ARGENTINAS, SE VISUALIZA UN BOLSO ABANDONADO FRENTE AL EDIFICIO, PUESTO BRAVO, SEGUIDAMENTE Y EN PRESENCIA DE DOS TESTIGOS HABILES SE SOMETE A INSPECCION CON MAQUINA DE RAYOS X, NO ARROJANDO NOVEDADES, CONTENIENDO EN SU INTERIOR ARTICULOS VARIOS. PROCEDIENDO A LABRARSE LAS ACTUACIONES CORRESPONDIENTES MEDIANTE ACTA DE HALLAZGO Nº 022/10</t>
  </si>
  <si>
    <t>BUENOS AIRE</t>
  </si>
  <si>
    <t>SIENDO LA FECHA Y HORA ANTES MENCIONADA, EN MOMENTOS EN QUE EL OFICIAL ZUMPANO SE ENCONTRABA EN UNA RECORRIDA POR EL SECTOR MENCIONADO CON ANTERIORIDAD, OBSERVA Y SORPRENDE A UNA PERSONA DE SEXO MASCULINO, LA CUAL SE ENCONTRABA REALIZANDO EL SERVICIO DE MALETERO, CARECIENDO DE LA HABILITACION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</si>
  <si>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HALLAZGO DE AVIONETA CESSNA EN CAMPO LA PAMPITA DPTO.BELGRANO-AUT.DESCONOCIDO EXP.NRO.5009/10</t>
  </si>
  <si>
    <t>5009/10</t>
  </si>
  <si>
    <t>DIRECCION GENERAL DE AVIACION CIVIL.</t>
  </si>
  <si>
    <t>HANGAR NRO.01 DE LA DIRECCION DE AVIACION CIVIL DE LA PROVINCIA.</t>
  </si>
  <si>
    <t>SIENDO LAS 15:00 HORAS ATERRIZA EN ESTE AERODROMO AERONAVE MARCA CESSNA MODELO C-182, NRO DE SERIE 52308,MATRICULA LV-HSJ.PROCEDENTE DE LA CIUDAD DE BANDERA DPTO.BELGRANO DE LA PROVINCIA DE SGO. DEL ESTERO.DICHA AERONAVE FUE ENTREGADA PARA SU RESGUARDO POR EL SR.JUEZ FEDERAL DE SGO DEL ESTERO, DR. GUILLERMO MOLINARI,AL SEÑOR DIRECTOR GENERAL DE AVIACION CIVIL JORGE R. AZAR.D.N.I. 13.775.725, QUIEN A SU VEZ OFICIO DE PILOTO DE DICHA AERONAVE, EN LOS AUTOS CARATULADOS: HALLAZGO DE AVIONETA CESSNA EN CAMPO LA PAMPITA DPTO.BELGRANO AUT.DESCONOCIDOS EXP.NRO.5009/10. LA MISMA FUE TRASLADADA AL HANGAR NRO 01 DE LA MENCIONADA REPARTICION PARA SU RESGUARDO.-</t>
  </si>
  <si>
    <t>BANDERA, DPTO.BELGRANO,SGO DEL ESTERO</t>
  </si>
  <si>
    <t>INFRACCION AL ART.78 DEL DECRETO LEY 8031/73</t>
  </si>
  <si>
    <t>SIENDO LA HORA Y LA FECHA ANTES MENCIONADA EL OFICIAL JUAREZ RESPONABLE DEL PUESTO FIJO 1, PROCEDE A REALIZAR EL CONTROL A UN CARRO QUE CONTIENE SUSTANCIAS ALIMENTICIAS, CONSTATANDO QUE DENTRO DE UNA DE LAS CAJAS HABIA UN CELULAR OCULTO. POR TAL MOTIVO SE PROCEDE A IDENTIFICAR A LA PERSONA QUE TRANSPORTABA DICHO CARRO, ANTE TAL SITUACION SE INFORMA LA NOVEDAD AL ENCARGADO DE TURNO, QUIEN SE COMUNICA CON EL OFICIAL ZUMPANO PERTENECIENTE A CONTRAVENCIONES Y FALTAS, QUIEN PROCEDE A LA IDENTIFICACION Y APREHENSION DEL INFRACTOR, PROCEDIENDO A LABRAR LA PRESENTE INFRACCION POR INFRINGIR LA DISPOSICION Nº 84, ARTICULO 1.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</si>
  <si>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INFRACCION A LOS ARTS. 85 DECRETO LEY 8031/73</t>
  </si>
  <si>
    <t>EL OFICIAL PONCE OBSERVA A TRAVES DE LAS CAMARAS DEL COC A UN MASCULINO REALIZANDO TAREAS DE MALETERO, POR LO QUE INFORMA LA NOVEDAD AL OFICIAL ZUMPANO, QUIEN SE APERSONA EN EL LUGAR, CONSTATANDO QUE DICHA PERSONA SE ENCONTRABA REALIZANDO SERVICIO DE MALETERO CARECIENDO DE LA HABILITACION CORRESPONDIENTE PARA TAL FIN,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</si>
  <si>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ASIENTO Nº 36 A</t>
  </si>
  <si>
    <t>EL DENUNCIANTE ABORDA LA AERONAVE EN EL AEROPUERTO DE LA HABANA, UBICÁNDOSE EN EL ASIENTO NRO. 36 A, TRANSPORTANDO EL MISMO SU BILLETERA EN EL BOLSILLO TRASERO DERECHO DE SU BUZO Y LUEGO SE DUERME. QUE UNA VEZ QUE ARRIBO A ESTA TERMINAL AÉREA LUEGO DE DESCENDER DE LA AERONAVE Y EN LA FILA CORRESPONDIENTE AL TRAMITE MIGRATORIO DE INGRESO AL TERRITORIO NACIONAL, SE PERCATA QUE DEL BOLSILLO ANTES DESCRIPTO LE FALTABA LA BILLETERA</t>
  </si>
  <si>
    <t>G3 9277</t>
  </si>
  <si>
    <t>LA HAVANA</t>
  </si>
  <si>
    <t>QUE EL DIA 05 DEL CORRIENTE MES Y AÑO, LA DENUNCIANTE ARRIBO EN UN VUELO DE LA EMPRESA AEROLINEAS ARGENTINAS, DEL CUAL NO RECUERDA EL Nº DE VUELO, PROCEDENTE DE LA CIUDAD DE IGUAZU, APROXIMADAMENTE A LAS 19:30 HORAS, DIRIGIENDOSE CON SUS EQUIPAJES EN UN CARRITO HACIA LA FILA DE TAXIS UBICADO EN LA VEREDA DEL SECTOR A2. AL MOMENTO DE ABORDAR EL TAXIMETRO, SE PERCATA DEL FALTANTE DE SU CARTERA, DECIDIENDO ACERCARSE HACIA ESTA GUARDIA DE PREVENCION EN EL DIA DE LA FECHA PARA RADICAR LA CORRESPONDIENTE DENUNCIA PENAL. SIENDO LAS 11:40 HS SE REALIZA COMUNICACION CON LA JUDICATURA ACTUANTE QUIEN DISPONE: REGISTRO FILMICO Y ENVIO A APOYO TECNOLOGICO DE LA PFA, CIERRE Y ELEVACION.-</t>
  </si>
  <si>
    <t>INFRACCIÓN LEY DE ARMAS</t>
  </si>
  <si>
    <t>PUESTO PATIO DE VALIJAS</t>
  </si>
  <si>
    <t>EN EL DIA DE LA FECHA SE PRESENTA UN PASAJERO CON UN ARMA SIN LA DOCUMENTACION CORRESPONDIENTE ,AL CONSTATAR QUE NO LA POSEE SE DA INTERVENCION AL JUZGADO FEDERAL NRO 1 DE FORMOSA DISPONIENDO LA SECRETARIA A CARGO DEL SECUESTRO DE LA MISMA Y LA CONTINUIDAD DEL VIAJE DEL PASAJERO DEBIENDO ELEVAR LAS ACTUACIONES CORRESPONDIENTES EL DIA DE MAÑANA.SE REALIZA ACTA DE PROCEDIMIENTO NRO. 023/10 PU 5104 EN EL DIA DE LA FECHA, 23 AGO 10 SE REALIZA LA ENTREGA DEL ACTA DE PROCEDIMIENTO Nº 23/10 DE ESTA UOSP Y UN SOBRE CONTENIENDO LOS ELEMENTOS SECUESTRADOS. LOS MISMOS FUERON RECEPCIONADOS POR LA SECRETARIA PENAL Nº 1 MEDIANTE ACTA FIRMADO POR ARTURO A.PUYO AUXILIAR ESCRIBIENTE Y ENTREGADO POR HECTOR LUIS DAGOSTINI OFICIAL MAYOR PSA.</t>
  </si>
  <si>
    <t>ISABELA TURANI PALHARES S/DENUNCIA HURTO</t>
  </si>
  <si>
    <t>AEROSTACION</t>
  </si>
  <si>
    <t>BODEGA DEL AVION</t>
  </si>
  <si>
    <t>EN EL DIA DE LA FECHA SE RECEPCIONA DENUNCIA JUDICIAL 0003/10, POR EL HURTO DE DINERO EN EFECTIVO EN MOCHILA DESPACHADA POR BODEGA. SEGUN DICHOS DE LA DENUNCIANTE AL VER SU MOCHILA AUN CORRIENDO POR LA CINTA TRANSPORTADORA, LE INFORMA A LA SRA. LIZARRIBAL, PERSONAL DE LA EMPRESA AEROLINEAS ARGENTINAS, QUE EN EL INTERIOR DE SU MOCHILA IBA UNA CARTERA CON DINERO EN EFECTIVO. AUNQUE TENIA AL ALCANCE DICHO EQUIPAJE, LA EMPLEADA DE LA COMPAÑIA LE DICE QUE DEBIA IR A LOS MOSTRADORES DE RECLAMO. EN DICHO LUGAR LA ATIENDEN DOS MASCULINOS DE LA EMPRESA QUIENES, LUEGO DE CUARENTA MINUTOS DE ESPERA LE COMUNICAN QUE SU EQUIPAJE YA SE ENCONTRABA EN BODEGA, PERO QUE SE QUEDE TRANQUILA QUE ESTABA SEGURO. CABE ACLARAR QUE, TENIENDO CONOCIMIENTO QUE LLEVABA OBJETOS DE VALOR, NINGUN PERSONAL DE LA EMPRESA AEROLINEAS ARGENTINAS, LE INFORMO QUE NO DEBIAN SER TRASPORTADO POR BODEGA, DADO QUE POR POLITICA DE LA EMPRESA, LOS MISMOS NO SE HACIAN RESPONSABLES.</t>
  </si>
  <si>
    <t>SERGIO ECHEGARAY</t>
  </si>
  <si>
    <t>LIN SAIYONG Y OTROS S/ FALSIFICACION DE DOCUMENTOS PUBLICOS</t>
  </si>
  <si>
    <t>BOX MIGRATORIO DE SALIDA</t>
  </si>
  <si>
    <t>LA DNM REMITE AL PASAJERO EN CUESTION DADO QUE PESA SOBRE EL MISMO MEDIDA RESTRICTIVA DEL TIPO ORDEN DE CAPTURA. POR LO QUE SE INTENTO MANTENER COMUNICACION CON EL JUZGADO SOLICITANTE ARROJANDO RESULTADO NEGATIVO. POR TAL MOTIVO SE MANTUVO COMUNICACION TELEFÓNICA CON EL JUZGADO NAC. EN LO CRIMIN. Y CORRECCIONAL NRO. 07, SECRETARIA 13, QUIEN DISPUSO SE LABREN ACTUACIONES DE RIGOR Y SE REALICE DETENCIÓN DEL CAUSANTE EN CALIDAD DE DETENIDO COMUNICADO Y QUE UNA VEZ FINALIZADAS LAS ACTUACIONES SE REMITA AL CAUSANTE A LA UNIDAD PENAL NRO. 29 S.P.F. QUEDANDO EL MISMO A DISPOSICION DEL JUZGADO SOLICITANTE. SIENDO LAS 19:20 HS. SE RECIBE COMUNICACION TELEFONICA DEL DR. ECHEGARAY, QUIEN DISPONE QUE EL DETENIDO QUEDE ALOJADO EN ESTA UNIDAD OPERACIONAL Y QUE SEA REMITIDO A ESA JUDICATURA A PRIMERA HORA DEL DIA 23-08-10. SE INFORMA EN PU Nº 5085 DEL DIA 23/8/10 SIENDO LAS 0800 HORAS SE PROCEDIO A EFECTUAR EL TRASLADO DEL DETENIDO A SEDE JUDICIAL.</t>
  </si>
  <si>
    <t>SA-227</t>
  </si>
  <si>
    <t>HONG KONG</t>
  </si>
  <si>
    <t>5083/10</t>
  </si>
  <si>
    <t>EN VIRTUD A LO ORDENADO, SIENDO LAS 08:00 HORAS DEL DIA 23/08/10 SE PROCEDIO A EFECTUAR EL TRASLADO DEL DETENIDO A SEDE JUDICIAL.PTO.-</t>
  </si>
  <si>
    <t>BUENOS AIRES -AEROPUERTO MTRO. PISTARINI</t>
  </si>
  <si>
    <t>DESCONOCE EL LUGAR DEL EXTRAVIO</t>
  </si>
  <si>
    <t>EN EL DIA DE LA FECHA COMPARECE ANTE ESTA DEPENDENCIA EL SEÑOR COSTA JORGE ALBERTO, SUBOFICIAL AYUDANTE DE PREFECTURA NAVAL ARGENTINA, D.N.I. Nº 17.501.359, QUIEN PRESTA SERVICIO EN ESTE AEROPUERTO, QUIEN RADICA UNA DENUNCIA DE EXTRAVIO DE SU PERMISO PERSONAL DE SEGURIDAD AEROPORTUARIO PERMANENTE, EL CUAL ESTABA VENCIDO, IGNORANDO EN QUE LUGAR Y EN QUE FECHA SE PRODUJO EL EXTRAVIO.</t>
  </si>
  <si>
    <t>A HORAS 12:10 DEL DIA DE LA FECHA ARRIBA EN VUELO OFICIAL, AVION FOCKER 28 MATRICULA T-03 PERTENENCIENTE A LA FUERZA AEREA ARGENTINA, TRASLADANDO AL MINISTRO DEL INTERIOR SR. FLORENCIO RANDAZZO Y COMITIVA. SE IMPLEMENTO EL DISPOSITIVO DE SEGURIDAD PERTINENTE PARA LA RECEPCION DEL MISMO. A HS. 12:20 SE RETIRA DE ESTE AEROPUERTO LA COMITIVA POR VIA TERRESTRE HACIA LA CIUDAD DE SAN MIGUEL DE TUCUMAN SIN REGISTRARSE NOVEDADES. SE ESTIMA LA PARTIDA HACIA LA PROVINCIA DE JUJUY A HORAS 16:00 APROXIMADAMENTE.</t>
  </si>
  <si>
    <t>VEREDA PERGOLA TERMINAL A</t>
  </si>
  <si>
    <t>CENTRO ADMINISTRATIVO AEROPUERTO MUNICIPALIDAD DE EZEIZA</t>
  </si>
  <si>
    <t>QUE EN EL DIA DE LA FECHA EL DENUNCIANTE SIENDO LAS 05 HORAS AL ABRIR EL CENTRO DE ADMINISTRACION, SE PERCATA DE LOS FALTANTES. QUE EL MISMO DENUNCIANTE HABIA CERRADO LAS OFICINAS EL DIA SABADO 21 A LAS TRECE HORAS, PERMANECIENDO EL MISMO CERRADO SIN ACTIVIDAD HASTA EL DIA DE LA FECHA. EL DINERO FALTANTE SE ENCONTRABA EN EL CAJON DE UN ESCRITORIO CERRADO BAJO LLAVE. NINGUNA DE LAS CERRADURAS DE LAS PUERTAS O EL CAJON SE ENCONTRARON FORZADAS O ROTAS.</t>
  </si>
  <si>
    <t>FISCALIA FEDERAL DE POSADAS N° 2</t>
  </si>
  <si>
    <t>TESORIERO</t>
  </si>
  <si>
    <t>JUAN CARLOS</t>
  </si>
  <si>
    <t>STUBER JUAN ANDRES</t>
  </si>
  <si>
    <t>INVESTIGACION PRELIMINAR</t>
  </si>
  <si>
    <t>EN EL DIA DE LA FECHA SE IMPONE LA NOVEDAD TELEFONICAMENTE A LA FISCALIA FEDERAL Nº 2 DE ESTA CIUDAD DE LA RECEPCION DE UN CORREO ELECTRONICO DIRIJIDO A ESTA UNIDAD DE SEGURIDAD PREVENTIVA EN EL CUAL SE DENUNCIA DELITOS REFERENTE A TRATA DE PERSONAS Y NARCOTRAFICO. POR LO QUE DICHA FISCALIA DISPONE SE REALIZEN TAREAS INVESTIGATIVAS ENCUBIERTAS A LOS FINES DE DETERMINAR LAS PERSONAS INVOLUCRADAS. SE DA TRASLADO DE LAS ACTUACIONES A LA UOCN Y DC IV DEL LITORAL.-</t>
  </si>
  <si>
    <t>MEDEL MENA, FERNANDO ISAIAS P.S.A. ROBO</t>
  </si>
  <si>
    <t>EXPTE 235.140</t>
  </si>
  <si>
    <t>EN REFERENCIA A ORDEN DE SERVICIO N° 227-10 EMANADA DE URSA II DEL CENTRO, SE PRESTO COLABORACION EN EL AMBITO DE LA UOSP CORDOBA AL PERSONAL DEL SERVICIO PENITENCIARIO CORDOBA EN CUMPLIMIENTO DE NOTA N°380/10 DE MIGRACIONES. SIENDO LAS 13:20 PARTE CON DESTINO SANTIAGO DE CHILE EN VUELO DE LAN AIRLINES N° 4M-4531. SIN NOVEDAD.</t>
  </si>
  <si>
    <t>4M-4531</t>
  </si>
  <si>
    <t>DRA. MIRTA LILIANA RUBIN</t>
  </si>
  <si>
    <t>PARODI, SILVINA LAURA SONIA S/DENUNCIA</t>
  </si>
  <si>
    <t>117/08</t>
  </si>
  <si>
    <t>DOMICILIO SITA EN CALLE SABATTINI S/N VISIBLE A LA ALTURA 2300, CAPITAL, PROVINCIA DE CORDOBA, Y EN DOMICILIO SITA EN CALLE J. BARRAGAN S/N VISIBLE A LA ALTURA 400, CAPITAL, PROVINCIA DE CORDOBA</t>
  </si>
  <si>
    <t>SIENDO EL DIA 23 DE AGOSTO DEL CORRIENTE AÑO SE REPCEPCIONARON DOS OFICIOS JUDICIALES CON FECHA 23 DE AGOSTO DEL CORRIENTE AÑO Y DIRECCIONADO AL SR. JEFE DE LA UNIDAD REGIONAL Nº 2 DEL CENTRO COMISIONADO MARTIN BRUNA, EMITIDO POR EL JUZGADO FEDERAL Nº 3 A CARGO DEL DR. ALEJANDRO SANCHEZ FREYTES SUBROGANTE, SECRETARIA PENAL DE DERECHOS HUMANOS A CARGO DE LA DRA. MIRTA RUBIN, CON LA FINALIDAD DE PRACTICAR EL ALLANAMIENTO DE LAS DEPENDENCIAS DEL CUARTEL DE BOMBEROS Nº 2 SITO EN CALLE J. BARRAGAN S/N VISIBLE CON LA FINALIDAD DE PROCEDER AL REGISTRO DE SUS DEPENDENCIAS, TOMAR FOTOGRAFIAS, VERIFICAR LA PRESUNTA EXISTENCIA DE FOSAS Y CALABOZOS Y REGISTRAR LAS MANCHAS E INSCRIPCIONES QUE PUDIERAN HABER EN LAS PAREDES A LOS FINES DE LAS INVESTIGACIONES QUE SON MATERIA EN ESTAS ACTUACIONES CONF. ARTS 224 SGTES. Y CONCORDANTES DEL CODIGO PROCESAL PENAL DE LA NACION, Y DEL ALLANAMIENTO DE LA DEPENDENCIAS DEL CUARTEL DE BOMBEROS Nº 3 UBICADO EN CALLE AVDA. SABATTINI S/N VISIBLE A LA ALTURA DEL 2300 CON LA FINALIDAD DE REGISTRAR LA EXISTENCIA DE DOCUMENTACION QUE SEA DE INTERES PARA LAS CAUSAS QUE SE INVESTIGAN POR VIOLACION DE LOS DERECHOS HUMANOS PROCEDIENDOSE AL SECUESTRO DE TODA LA DOCUMENTACION REFERIDA Y TOMAR FOTOGRAFIAS, A LOS FINES DE LAS INVESTIGACIONES QUE SON MATERIAS EN ESTAS ACTUACIONES CONF. ARTS. 224 SGTES. Y CONCORDANTES DEL CODIGO PROCESAL PENAL DE LA NACION.</t>
  </si>
  <si>
    <t>DR. DAMIAN MAZZUCO</t>
  </si>
  <si>
    <t>SIENDO LAS 11:15 HORAS LOCAL SE PRESENTE EN ESTA UNIDAD OPERACIONAL EL SEÑOR MARIANO NINKOVIC DNI Nº 16.757.150, QUIEN DESEA EXPONER UN DENUNCIA SOBRE EL FALTANTE DE UNA CAMPERA NUEVA MARCA TIMBERLAND, MODELO ABINGTON, QUE EN SU INTERIOR CONTENIA UN BOLIGRAFO MARCA PARKER BAÑADO EN ORO, UNA SUMA DE DINERO DOLARES 5.000, UNA CHEQUERA CON TRES CHEQUES EN BLANCO, DEL BANCO FRANCES DE SU CUENTA.REALIZADAS LAS COMUNICACIONES DE RIGOR CON EL JUZGADO FEDERAL DE PRIMERA INSTANCIA DE COMODORO RIVADAVIA ESTE ORDENA REALIZAR LAS ACTUACIONES Y DERIVAR LAS MISMAS AL MINISTERIO PUBLICO FISCAL DE LA PCIA DEL CHUBUT, A CARGO DEL DR. FISCAL DE TURNO HORACIO ALAMAT.</t>
  </si>
  <si>
    <t>ZONA DE VERIFICACION DE RAMPA Nº 4</t>
  </si>
  <si>
    <t>SIENDO LA FECHA Y HORA ANTES MENCIONADA SE HACE PRESENTE EN LA GUARDIA DE PREVENCION A FIN DE DENUNCIAR QUE MIENTRAS CUMPLIA SUS FUNCIONES LABORALES, FUE VICTIMA DE UN ACCIDENTE PRODUCIDO POR UN CLARK DE LA EMPRESA TCA, QUE LE OCASIONO LESIONES EN SU PIE DERECHO, MOTIVO POR EL CUAL FUE TRASLADADO AL HOSPITAL DE EZEIZA Y QUE LUEGO DE RECUPERARSE POR INDICACION DE SU ABOGADO SE PRESENTO EN LA GUARDIA DE PREVENCION A FIN DE RADICAR LA DENUNCIA PENAL DEL HECHO. SE DIO INTERVENCION AL JUZGADO FEDERAL DE TURNO, QUIEN ABALO LO ACTUADO.</t>
  </si>
  <si>
    <t>JUZGADO INSTRUCCION CORRECCIONAL DE MENORES CIUDAD DE SALADA CORRIENTES</t>
  </si>
  <si>
    <t>DE NEGRI</t>
  </si>
  <si>
    <t>ENRIQUE</t>
  </si>
  <si>
    <t>DR. JORGE ZIBELMAN</t>
  </si>
  <si>
    <t>PREVENTIVO 10/10 BRITEZ, J. C. S/DCIA. P/SUP. ABUSO SEXUAL</t>
  </si>
  <si>
    <t>CONTROL DE DOCUMENTOS RED LINCE</t>
  </si>
  <si>
    <t>EN MOMENTOS EN QUE SE REALIZABA EL CONTROL DE PREEMBARQUE DEL VUELO 1783 DEL DIA DE LA FECHA, SE DETECTA POR MEDIO DE LA RED LINCE UN PEDIDO DE PARADERO SOBRE EL PASAJERO JUAN JOSE PORTILLO, POR PARTE DEL JUZGADO UT SUPRA REFERIDO, EN EL MARCO DE LA CAUSA -PREV. 10/10 BRITEZ J.C. S/DCIA. P/SUP. ABUSO SEXUAL- EN CONSECUENCIA SE ESTABLECE COMUNICACION CON EL SECRETARIO DEL JUZGADO EN CUESTION DR. JORGE ZIBELMAN QUIEN DISPONE SE PONGA A DISPOSICION DE ESE JUZGADO EN CARACTER DE DETENIDO COMUNICADO A LA PERSONA EN CUESTION Y SE COMUNIQUE DE LA SITUACION AL JUZGADO DE INSTRUCCION DE TURNO DE ESTA CAPITAL, EN TAL SENTIDO SE INFORMA DEL HECHO AL SR. SECRETARIO DEL JUZGADO DE INSTRUCCION Nº 4 DE ESTA CIUDAD, DR. JULIO CESAR FERRO, QUIEN INTRUYE SE INFORME DE LA SITUACION A ESE JUZGADO VIA NOTA A EFECTOS DE INICIAR LOS TRAMITES DE EXORTO CORRESPONDIENTES. PU 5142 EN EL DIA DE LA FECHA 24 DE AGOSTO DE 2010, SE PROCEDE AL TRASLADO DEL SR. JUAN JOSÉ PORTILLO HASTA LA COMISARÍA PRIMERA DE LA CIUDAD DE CORRIENTES, DANDO CUMPLIMIENTO AL OFICIO JUDICIAL Nº 3844 DEL JUZGADO DE INSTRUCCIÓN Nº 4 DE ESTA CIUDAD, A CARGO DEL DR. MARIO ALBERTO ALEGRE, SECRETARIA Nº 8, POR MEDIO DEL CUAL SE AUTORIZA EL ALOJAMIENTO DEL CAUSANTE EN LA DEPENDENCIA UT SUPRA REFERIDA. EL LIBRAMIENTO DE LA MANDA JUDICIAL SE REALIZA DESDE LOS AUTOS CARATULADOS "POLICÍA DE SEGURIDAD AEROPORTUARIA COMUNICA DETENCIÓN DE PORTILLO JUAN JOSÉ - CAPITAL EXPTE. Nº 54502. EL TRASLADO SE REALIZA SEGUN ORDEN DE SERVICIO Nº 034/10 DE FECHA 24/08/2010.</t>
  </si>
  <si>
    <t>COMPARECE ANTE ESTA OFICINA DE TURNO POLICIAL PREVENTIVO EL SR. VACAFLOR SANDRO HERNAN, EN REPRESENTACION DE SU HIJO MENOR DIEGO ESTEBAN VACAFLOR, PARA RADICAR UNA DENUNCIA Y MANIFIESTA QUE: SU HIJO EMBARCO EN EL VUELO 250 DE LA EMPRESA AERO SUR, PROCEDENTE DE SANTA CRUZ DE LA SIERRA-BOLIVIA, A HORAS 10:00-HORA BOLIVIANA, Y ARRIBO A ESTE AEROPUERTO A HORAS 12:07, HORA ARGENTINA, Y AL RETIRAR LA VALIJA IDENTIFICADA CON MARBETE SL 59-64-29, DEL SALON DE ARRIBO DE ESTE AEROPUERTO, SE DIO CON LA NOVEDAD DE QUE EL CANDADO CON EL CUAL HABIA ASEGURADO LA MISMA ESTABA VIOLENTADO, LA MANIJA ROTA Y EL CIERRE ABIERTO, Y COMO FALTANTE DE CIEN DOLARES ESTADOUNIDENSE, COLOCADO EN UN BOLSILLO DEL INTERIOR DEL EQUIPAJE. EL JEFE DE TURNO OF.MY.MIGUEL FABIAN, SE COMUNICO TELEFONICAMENTE CON EL DR. FERNANDO DAVALOS, SECRETARIO DE LA FCISCALIA FEDERAL Nº 1, A CARGO DEL DR. RICARDO RAFAEL TORANZOS, QUIEN ORDENA QUE SE REALICEN LAS ACTUACIONES CORRESPONDIENTES Y SEAN ELEVADAS A ESA FISCALIA.</t>
  </si>
  <si>
    <t>SANTA CRUZ DE LA SIERRA-BOLIVIA</t>
  </si>
  <si>
    <t>SIENDO LAS 14:00 HORAS SE PROCEDE A DAR CUMPLIMIENTO A LA ORDEN DE SERVICIO Nº 570/10 EMANADA POR LA URSA I DEL ESTE, EN RELACION AL CONTROL PREVENTIVO CON MOTIVO DEL ARRIBO DE LA SEÑORA PRESIDENTE DE LA REPUBLICA ARGENTINA, CRISTINA FERNANDEZ DE KIRCHNER, QUIEN ARRIBO EN HELICOPTERO MATRICULA H-02 A LAS 16:11 HORAS, PARTIENDO EN AERONAVE MATRICULA T-01 A LAS 16:23 HORAS CON DESTINO A LA PROVINCIA DE JUJUY, FINALIZANDO DICHO OPERATIVO 16:30 HORAS. SIN NOVEDAD</t>
  </si>
  <si>
    <t>5081/10</t>
  </si>
  <si>
    <t>INFRACCION LEY DE ARMAS</t>
  </si>
  <si>
    <t>AMPLIANDO MI PARTE Nº 5081/10. EN EL DIA DE LA FECHA SE REALIZA LA ENTREGA DEL ACTA DE PROCEDIMIENTO Nº 23/10 DE ESTA UOSP Y UN SOBRE CONTENIENDO LOS ELEMENTOS SECUESTRADOS SEGUN PU MENCIONADO ANTERIORMENTE LA CUAL FUE RECEPCIONADA POR LA SECRETARIA PENAL Nº 1 EN FECHA 23 DE AGOSTO DEL 2010 MEDIANTE ACTA FIRMADO POR ARTURO A. PUYO AUXILIAR ESCRIBIENTE Y ENTREGADO POR HECTOR LUIS DAGOSTINI OFICIAL MAYOR PSA.</t>
  </si>
  <si>
    <t>INMEDIACIONES DE ESTA AEROESTACIÓN</t>
  </si>
  <si>
    <t>DENTRO DE LA JURISDICCION AEROPORTUARIA</t>
  </si>
  <si>
    <t>SIENDO LAS QUINCE HORAS CON VEINTE MINUTOS, SE HACE PRESENTE EL DENUNCIANTE SR. PARDO ENRIQUE, QUIEN MANIFIESTA EL EXTRAVIO DE SU PERMISO PERSONAL AEROPORTUARIO DE SEGURIDAD PERMANENTE Nº 321365-DOZ, CON INGRESO A LOS SECTORES RESTRINGIDOS 1-3-4-5 EN EL DIA DE LAFECHA SIN PODER ESPECIFICAR EL LUGAR EN CONCRETO. SE EFECTUA ACTA DE EXPOSICION Nº 58/10.</t>
  </si>
  <si>
    <t>VILLATE, ADOLFO</t>
  </si>
  <si>
    <t>MIGUENZ, MAURO Y OTROS S/ LEY 23.737</t>
  </si>
  <si>
    <t>87/09A</t>
  </si>
  <si>
    <t>EN EL DIA DE LA FECHA MEDIANTE OFICIO NRO. 4353 DEL JUZGADO ACTUANTE, SE RECIBE LOS SIGUIENTES ELEMENTOS: UNA CPU, DOS NOTEBOOKS, CATORCE APARATOS DE TELEFONOS CELULARES, UN HANDY, CUATRO CHIPS, TRES MEMORIAS Y UNA MICROMEMORIA DE 1GB, LOS CUALES FUERON SECUESTRADOS EN LOS DISTINTOS PROCEDIMIENTOS REALIZADOS EN LA CAUSA DE REFERENCIA, A LOS FINES DE REALIZAR EL CORRESPONDIENTE INFORME TECNICO DE RECUPERACION DE DATOS.-</t>
  </si>
  <si>
    <t>SRIO. AV. INF. LEY 23.737 - ENCOMIENDA PRECINTO SEGURIDAD NRO. G850510 -</t>
  </si>
  <si>
    <t>243/09A</t>
  </si>
  <si>
    <t>EN EL DIA DE LA FECHA SE RECEPCIONA OFICIO JUDICIAL NRO. 4126 DEL JUZGADO ACTUANTE, DONDE ORDENA CITAR AL PERSONAL DEL CORREO ARGENTINO, SUCURSAL NRO. 16 DE LA CIUDAD DE ROSARIO, FERNANDA LUCIA MASTRO. SE DARA CUMPLIMIENTO AL MANDATO JUDICIAL MEDIANTE ORDEN DE SERVICIO NRO. 206/2010 URSA IV DEL LITORAL.-</t>
  </si>
  <si>
    <t>ALEGRE RUBEN DARIO S/INFRAC. ART.292 C.P.</t>
  </si>
  <si>
    <t>INFORMO QUE EN EL DIA DE LA FECHA EN VUELO NRO. 474 DE LA EMPRESA AEROCOMERCIAL LINEAS AEREAS DEL ESTADO, SE ENVIO BAJO GUIA DE CARGA NRO. 022-28004325 1 (UN) SOBRE CERRADO CONTENIENDO CAUSA NRO. 18.760 CARATULADA "ALEGRE, RUBEN DARIO S/INFRAC. ART. 292 C.P.", CONFORME A LO DISPUESTO POR S.SA. DR. FEDERICO H. CALVETE A CARGO DEL JUZGADO FEDERAL DE PRIMERA INSTANCIA DE LA CIUDAD DE USHUAIA, SECRETARIA PENAL NRO. 1 A CARGO DEL DR. PABLO JUAN LEGA. ASIMISMO INFORMO QUE SE ESTIMA EL ARRIBO DEL VUELO A LA CIUDAD DE COMODORO RIVADAVIA A LAS 23:00 HORA LOCAL APROXIMADAMENTE.-</t>
  </si>
  <si>
    <t>SIENDO LAS 18:13 HS LOCAL ATERRIZA EN ESTE AEROPUERTO AERONAVE T-01 TRANSPORTANDO A LA SEÑORA PRESIDENTE DE LA NACIÓN DRA. CRISTINA FERNANDEZ DE KIRCHNER Y COMITIVA, PARTIENDO DEL MISMO CON DESTINO LA CIUDAD DE SAN SALVADOR DE JUJUY A HORAS 18:25 LOCAL EN HELICOPTERO MATRICULA LQ-CC7 PERTENECIENTE AL GOBIERNO DE LA PROVINCIA DE CORDOBA. SE ADOPTO DISPOSITIVO DE SEGURIDAD DE ACUERDO A ORDEN DE SERVICIO N° 170/10 PRODUCIDO POR LA URSA III DEL NORTE, SIN REGISTRARSE NOVEDADES.</t>
  </si>
  <si>
    <t>T 01</t>
  </si>
  <si>
    <t>5090/10</t>
  </si>
  <si>
    <t>A HORAS 16:50 DEL DIA DE LA FECHA DESPEGA DE ESTE AEROPUERTO AVION FOCKER 28 MATRICULA T-03 PERTENENCIENTE A LA FUERZA AEREA ARGENTINA, TRASLADANDO AL MINISTRO DEL INTERIOR SR. FLORENCIO RANDAZZO Y COMITIVA. SE IMPLEMENTO EL DISPOSITIVO DE SEGURIDAD PERTINENTE PARA LA PARTIDA DEL MISMO HACIA LA CUIDAD DE SAN SALVADOR DE JUJUY. SIN REGISTRARSE NOVEDADES.</t>
  </si>
  <si>
    <t>SIENDO LA HORA Y LA FECHA ANTES MENCIONADA EL FUNCIONARIO ACUÑA QUE SE ENCONTRABA EN EL COC, DONDE A TRAVES DE UNA DE LAS CAMARAS DE SEGURIDAD, OBSERVA A UNA PERSONA DE SEXO MASCULINO OFRECIENDO TRANSPORTE A VIVA VOZ, RAZON POR LA CUAL LE INFORMA LA NOVEDAD VIA NEXTEL AL OFICIAL KALENBERG, QUIEN SE ENCONTRABA EN CERCANIAS AL SECTOR MENCIONADO, DONDE OBSERVA Y SORPRENDE A UNA PERSONA DE SEXO MASCULINO, LA CUAL SE ENCONTRABA OFRECIENDO SERVICIO DE TRANSPORTE PUBLICO A VIVA VOZ A LOS PASAJEROS, FUERA DE LOS LUGARES HABILITADOS, POR LO CUAL SE LE INFORMA QUE NO PODIA EJERCER DICHO ACCIONAR.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</si>
  <si>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5111/10</t>
  </si>
  <si>
    <t>SIENDO LAS 20:45 HS. LOCAL ARRIBA HELICOPTERO PERTENECIENTE AL GOBIERNO DE LA PROVINCIA DE CORDOBA, MATRICULA LQ CC7 TRANSPORTANDO A LA SRA. PRESIDENTE DRA. CRISTINA FERNANDEZ DE KIRCHNER, QUIEN POSTERIORMENTE EMBARCA EN AERONAVE T-01 DESPEGANDO LA MISMA A 21:09 HS. LOCAL CON DESTINO FINAL EL AEROPUERTO JORGE NEWBERY DE LA CIUDAD DE BUENOS AIRES DANDO POR FINALIZADO EL DISPOSITIVO DE SEGURIDAD IMPLEMENTADO SEGUN ORDEN DE SERVICIO N° 170 /10 PRODUCIDO POR LA URSA III DEL NORTE SIN REGISTRARSE NOVEDADES</t>
  </si>
  <si>
    <t>INFRECCION AL ART. 85 DECRETO LEY 8031/73</t>
  </si>
  <si>
    <t>PERGOLA 3 PARTIDAS</t>
  </si>
  <si>
    <t>SIENDO LA FECHA Y HORA ANTES MENCIONADA, EN MOMENTOS EN QUE EL OFICIAL CARABAJAL SE ENCONTRABA EN UNA RECORRIDA POR EL SECTOR MENCIONADO CON ANTERIORIDAD, OBSERVA Y SORPRENDE A UNA PERSONA DE SEXO MASCULINO, LA CUAL SE ENCONTRABA ASCENDIENDO PASAJEROS A UN VEHICULO, CARECIENDO DE LA RESPECTIVA HABILITACION PARA REALIZAR EL SERVICIO DE TRANSPORTE DE PASAJEROS.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</si>
  <si>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 HORA Y EL DÍA ANTES MENCIONADO, SE IMPLEMENTA OPERATIVO DE SEGURIDAD PARA LA LLEGADA DE LA SRA. PRESIDENTE DE LA NACIÓN, LA CUAL ARRIBA EN LA AEROSTACIÓN MILITAR A LAS 22:50 HORAS EN EL VUELO T-01, PROCEDENTE DE LA PROVINCIA DE JUJUY, PARTIENDO DE LA MISMA EN EL VUELO H-02 A LAS 22:57 HORAS. SIENDO LAS 23:05 HORAS SE DA FINALIZADO EL OPERATIVO SIN NOVEDAD.</t>
  </si>
  <si>
    <t>COMPARECE ANTE ESTA OFICINA DE TURNO POLICIAL PREVENTIVO EL SR. RIMETO CARLOS ROBERTO, PARA RADICAR UNA DENUNCIA Y MANIFIESTA QUE: EMBARCO EN EL VUELO 4134 DE LA EMPRESA LAN ARGENTINA, PROCEDENTE DE LA CIUDAD DE BUENOS AIRES A HORAS 17:15, Y ARRIBO A ESTE AEROPUERTO A HORAS 19:15, Y AL RETIRAR SU VALIJA IDENTIFICADA CON MARBETE LA 524386, DEL SALON DE ARRIBO DE ESTE AEROPUERTO, SE DIO CON LA NOVEDAD DE QUE EL CANDADO CON EL CUAL HABIA ASEGURADO LA MISMA NO SE ENCONTRABA Y FALTABA DE SU INTERIOR UNA CAMPERA DE TELA IMPERMEABLE DE COLOR GRIS Y LA SUMA DE PESOS SEISCIENTOS. EL JEFE DE TURNO OF.MY. MIGUEL FABIAN, SE COMUNICO TELEFONICAMENTE CON EL DR. FERNANDO DAVALOS, SECRETARIO DE LA FISCALIA FEDERAL Nº 1, A CARGO DEL DR. RICARDO TORANZOS, QUIEN ORDENA QUE SE REALICEN LAS ACTUACIONES CORRESPONDIENTES Y SEAN ELEVADAS A ESA FISCALIA.</t>
  </si>
  <si>
    <t>CINTA DE EQUIPAJES - PLATAFORMA - BODEGA</t>
  </si>
  <si>
    <t>EN EL DÍA DE LA FECHA SIENDO LAS 06:30 HORAS APROXIMADAMENTE SE HIZO PRESENTE EL DENUNCIANTE EN ESTA AEROSTACIÓN CON EL FIN DE ABORDAR UN VUELO. SIENDO LAS 10:40 HORAS APROXIMADAMENTE ARRIBA AL AEROPUERTO DE CORRIENTES, DONDE AGUARDO UNOS QUINCE MINUTOS APROXIMADAMENTE SU EQUIPAJE, LUEGO CONTRATA UN REMIS, YA QUE DEBÍA TRASLADARSE A LA CIUDAD DE RESISTENCIA, PCIA. DE CHACO. UNA VEZ ALLÍ SE PERCATA DEL FALTANTE DE SU CÁMARA DIGITAL MARCA COMERCIAL OLIMPUS, QUE SE ENCONTRABA DENTRO DE LA MOCHILA QUE HABÍA DESPACHADO. SIENDO LAS 23:00 HORAS SE REALIZA COMUNICACIÓN CON LA JUDICATURA ACTUANTE QUIEN DISPONE: SE SOLICITE NOMINA DEL PERSONAL INTERVINIENTE EN LA ESTIVA DEL EQUIPAJE, CIERRE Y ELEVE.</t>
  </si>
  <si>
    <t>AR 1782</t>
  </si>
  <si>
    <t>NICOLAS EDUARDO SERGI S/DENUNCIA</t>
  </si>
  <si>
    <t>DEBAJO DEL ASIENTO QUE OCUPABA EL DENUNCIANTE</t>
  </si>
  <si>
    <t>EN EL DÍA DE LA FECHA SIENDO LAS 19:00 HORAS APROXIMADAMENTE SE HACE PRESENTE EL DENUNCIANTE EN EL AEROPUERTO DE BARILOCHE CON MOTIVO DE ABORDAR UN VUELO CON DESTINO A LA CIUDAD DE BUENOS AIRES. SIENDO LAS 23:00 HORAS ARRIBA A ESTA AEROSTACIÓN ,Y EN MOMENTOS DE ENCONTRARSE EN EL ÓMNIBUS QUE LO TRASLADABA DESDE LA AERONAVE HACIA EL SECTOR DE ARRIBOS, SE PERCATO DEL OLVIDO DE UN BOLSO DE MANO QUE HABÍA COLOCADO DEBAJO DE SU ASIENTO. RÁPIDAMENTE AL LLEGAR AL SECTOR DE ARRIBOS SE DIRIGIÓ A UN OFICIAL QUE SE ENCONTRABA EN EL LUGAR, EXPLICANDOLE SU SITUACIÓN, EL CUAL LE INDICO QUE SE DIRIGIERA AL SECTOR DE RECLAMOS DE LA EMPRESA. POR TAL MOTIVO SE ACERCO A LA OFICINA DE RECLAMOS, DONDE DESPUÉS DE AGUARDAR UNOS MINUTOS LE COMUNICARON QUE NO HABÍAN ENCONTRADO NINGÚN BOLSO DENTRO DE LA AERONAVE.</t>
  </si>
  <si>
    <t>SIENDO LAS 01:15 HORAS ARRIBA AERONAVE MATRICULA LV-BTM DE LA EMPRESA LAN ARGENTINA PROCEDENTE DE AEROPUERTO JORGE NEWBERY EN CUYAS BODEGAS 12,13,31,32 Y 42 SE DESPACHAN 206 CAJAS CON UN PESO DE 4.503 KILOGRAMOS DE METAL - MTD - DE LA EMPRESA MINERA SANTA CRUZ CON DESTINO A AEROPUERTO JORGE NEWBERY. EL VUELO DESPEGA A LAS 03:10 HORAS SIN NOVEDAD. SE DIO CUMPLIMIENTO A ORDEN DE SERVICIO NRO 0075/10.</t>
  </si>
  <si>
    <t>NO PRECISA EL LUGAR EXACTO DEL EXTRAVIO</t>
  </si>
  <si>
    <t>DENTRO DE LAS INSTALACIONES DEL AEROPUERTO DE SAN FERNANDO</t>
  </si>
  <si>
    <t>SE HACE PRESENTE EN ESTA DEPENDENCIA EL SEÑOR JAVIER ALFREDO MARTINEZ, PERSONAL DE PREFECTURA NAVAL ARGENTINA, CON BASE EN ESTE AEROPUERTO, MANIFESTANDO EL EXTRAVIO DE SU PERMISO PERSONAL DE SEGURIDAD AEROPORTUARIO, VENCIDO, A SU NOMBRE, MANIFESTANDO QUE EL MISMO FUE EXTRAVIADO DENTRO DE LAS INSTALACIONES DE ESTE AEROPUERTO Y NO PUEDIENDO PRECISAR EL LUGAR NI LA FECHA DE LA PERDIDA DEL MISMO.</t>
  </si>
  <si>
    <t>ALEGRE RUBEN DARIO S/INF. ART. 292 C.P.</t>
  </si>
  <si>
    <t>SIENDO LAS 11:30 HORAS LOCAL SE PROCEDE AL TRASLADO DE DOS SOBRES CERRADOS CONTENIENDO UNO DOCUMENTACIÓN CON LA CAUSA Nº 18760 CARATULADA ALEGRE, RUBEN DARIO S/INF. ART 292 C.P. Y EL SEGUNDO CON DOCUMENTACION DE LA HABILITACIÓN, A LA EXCELENTISIMA CAMARA FEDERAL DE APELACIONES DE LA CIUDAD DE COMODORO RIVADAVIA, A CARGO DEL DR. ALDO E. SUAREZ, ENVIADAS POR LA UNIDAD OPERACIONAL DE USHUAIA.</t>
  </si>
  <si>
    <t>PARODI SILVINA LAURA SONIA S/DENUNCIA</t>
  </si>
  <si>
    <t>CUARTEL DE BOMBEROS N° 2, CALLE BARRAGAN AL 400, B° MARQUEZ DE SOBREMONTE</t>
  </si>
  <si>
    <t>EN CUMPLIMIENTO DE LA ORDEN DE SERVICIO 228/10 DE LA URSA II CENTRO DEL DIA DE LA FECHA, A INSTANCIAS DEL JUZGADO FEDERAL N°3 DE LA CIUDAD DE CORDOBA, SIENDO APROXIMADAMENTE LAS 09:40 HS SE PROCEDIO AL ALLANAMIENTO DEL CUARTEL DE BOMBEROS N° 2 DE ESTA CIUDAD A LOS EFECTOS DE TOMAR FOTOGRAFIAS, VERIFICAR LA PRESUNTA EXISTENCIA DE FOSAS Y CALABOZOS, Y REGISTRAR MANCHAS E INSCRIPCIONES EN LAS PAREDES A EFECTOS DE LAS INVESTIGACIONES QUE SON MATERIA DE LAS ACTUACIONES. EL PROCEDIMIENTO FUE REALIZADO CON TOTAL COLABORACION DE LOS BOMBEROS, SE TOMARON FOTOGRAFIAS DE TODAS LAS INSTALACIONES, Y LA VERIFICACION DE LAS PRESUNTAS FOSAS Y CALABOZOS ARROJO RESULTADO NEGATIVO, CONCLUYENDO EL OPERATIVO APROXIMADAMENTE A LAS 13:30 HS</t>
  </si>
  <si>
    <t>CUARTEL DE BOMBEROS Nº3 UBICADO EN AVENIDA SABATTINI SIN NUMERACION VISIBLE, A LA ALTURA DEL 2300 LINDANDO PARA EL LADO DE CIRCUNVALACION CON BANCO MACRO DE ESTA CIUDAD</t>
  </si>
  <si>
    <t>CUMPLIENDO CON ORDEN DE SERVICIO Nº 229/10 DE LA U.R.S.A. II CENTRO, EMANADA EL DÍA 23 DE AGOSTO EN FUNCIÓN DE LA ORDEN DE ALLANAMIENTO EMITIDA POR EL JUZGADO FEDERAL Nº 3 DE LA CIUDAD DE CÓRDOBA EN EL MARCO DE LA CAUSA "PARODI SILVINA LAURA SONIA S/DENUNCIA", SIENDO APROXIMADAMENTE LAS 10 HS, SE PROCEDIO A ALLANAR LAS DEPENDENCIAS DEL CUARTEL DE BOMBEROS Nº 3 SITO EN AV. SABATTINI SIN NUMERACION VISIBLE A LA ALTURA DEL 2300, PROCEDIÉNDOSE A SECUESTRAR LIBROS DE GUARDIA, CUADERNOS DE ORDEN DEL DIA Y DOCUMENTACIÓN VARIA DE INTERÉS PARA LAS CAUSAS QUE SE INVESTIGAN POR VIOLACIÓN A LOS DERECHOS HUMANOS. EL PROCEDIMIENTO FINALIZO A LAS 13:30 HORAS APROXIMADAMENTE</t>
  </si>
  <si>
    <t>DRA. GLORIA CAPANEGRA</t>
  </si>
  <si>
    <t>DESDE EL CHECK-IN AEROPUERTO BARILOCHE, HASTA EL ARRIBO A2 DE ESTE AEROPARQUE METROPOLITANO.</t>
  </si>
  <si>
    <t>UNA PERSONA DE SEXO MASCULINO RADICA UNA DENUNCIA PENAL POR LA SUSTRACCIÓN DE DOS CAÑAS DE PESCAR, LAS CUALES HABÍA DESPACHADO POR LA EMPRESA AUSTRAL EN BARILOCHE CON EL MARBETE Nº 68-55-22, AL MOMENTO DE RETIRAR SU EQUIPAJE DE LA CINTA SE PERCATO QUE EL TUBO EN EL CUAL HABÍA DESPACHADO LAS CAÑAS DE PESCAR TENIA ROTA LA CINTA QUE CUBRÍA UNO DE SUS EXTREMOS.</t>
  </si>
  <si>
    <t>AU 2687</t>
  </si>
  <si>
    <t>CAJEROS BANELCO DEL BANCO HSBC</t>
  </si>
  <si>
    <t>QUE SIENDO LAS 23:10 HS. DEL DIA 22 DEL CORRIENTE MES Y AÑO LA DENUNCIANTE EFECTUO UNA EXTRACCION DE SU CUENTA SUELDO CON SU TARJETA DE DEBITO DEL BANCO NACION EN EL CAJERO AUTOMATICO DE HSBC DE ARRIBOS DE LA TERMINAL A, POR UN MONTO DE 200 PESOS ARGENTINOS. EN TAL SITUACION DEJO OLVIDADA EN EL INTERIOR DEL CAJERO LA REFERIDA TARJETA DE DEBITO. LUEGO SE RETIRO DEL LUGAR Y SE DIRIGIO A SU DOMICLIO DONDE TOMO CONOCIMIENTO DEL FALTANTE DE LA TARJETA DE DEBITO EN CUESTION EN EL HORARIO DE LAS CINCO HORAS, POR LO QUE SIENDO LAS NUEVE HORAS DEL DIA 23/08/2010 EFECTUO LA ANULACION DE LA MISMA DE MANERA TELEFONICA. QUE EN EL HORARIO DE LAS DIEZ HORAS DE LA FECHA ANTEDICHA SE DIRIGIO HACIA LA SUCURSAL DEL BANCO NACION HABIDA JUNTO AL EDIFICIO CORPORATIVO DE ESTE MEDIO Y FUE ALLI QUE LA NOTIFICO PERSONAL DEL BANCO NACION QUE SE HABIAN EFECTUADO LUEGO DEL EXTRAVIO DE SU TARJETA CINCO EXTRACCIONES, DOS DE ELLAS POR UN MONTO DE SETECIENTOS PESOS ARGENTINOS Y TRES POR UN MONTO DE MIL PESOS ARGENTINOS, QUE DESCONOCE DE PERSONAS QUE ESTUVIERON DETRAS DE LA DENUNCIANTE LUEGO DEL EXTRAVIO DE LA TARJETA DE DEBITO EN CUESTION.</t>
  </si>
  <si>
    <t>OFICINA DE LA JEFATURA DE UNIDAD</t>
  </si>
  <si>
    <t>EN EL DIA DE LA FECHA EL JEFE DE LA UOSP EZEIZA RECIBE UN CORREO ELECTRONICO ENVIADO POR EL JEFE DE SEGURIDAD DE EZEIZA DE AA2000, EN EL CUAL SE PUEDE LEER COMO ASUNTO - ATENSION EZEIZA Y COMO CONTENIDO DEL MENSAJE REVICEN EN EZEISA A OMAR Y SUS MULAS CARTEL CANNING SALON CANNING LUNES MARTES JUEVES Y VIERNES TANGO MILONGA OMAR VIOLA CAPO VUELVE DE EUROPA CON MULAS IDA Y VUELTA HORACIO GERENTE SEGUNDO JEFE MILONGA ALEJANDRA VENTA DIRECTA MILONGA LAVADO- SIC.- MOTIVO POR EL CUAL SE MNATUVO COMUNICACION CON EL JUZGADO QUIEN DISPUSO SE REALICEN TAREAS TENDIENTES A VERIFICAR SI EXISTEN REGISTROS DE LOS TRANSITOS DEL PASAJERO EN CUESTION, SE CURSE NOTA A AA2000 SOLICITANDO INFORMEN LA CASILLA DE CORREO A LA QUE LLEGO EL MAIL Y SI SE PUEDE INFORMAR QUIEN LO ENVIO O DESDE QUE DIRECCION. SE INFORMA EN PU Nº 5264 QUE A LOS 25 DIAS DEL MES DE AGOSTO DEL 2010 SIENDO LAS 1530 HORAS EL COMISIONADO MAYOR GONZALO MARTINEZ MANTIENE UNA COMUNICACION TELEFONICA CON LA DRA. ROSITO, INFORMANDOLE QUE NO SE HABIA PODIDO INDIVIDUALIZAR AL SR. OMAR VIOLA A TRAVES DE LAS IMAGENES DEL C.O.C. Y AL PONER EN CONOCIMIENTO A S. SA. ESTE INDICA QUE SE ARCHIVE LA CAUSA INTERNAMENTE YA QUE NO SON DE INTERES PARA ESE JUZGADO.</t>
  </si>
  <si>
    <t>DR. GABRIEL PRUNOTTO</t>
  </si>
  <si>
    <t>CASINO DE OFICIALES DE LA UOSP CORDOBA</t>
  </si>
  <si>
    <t>SIENDO LAS 07:15HS APROXIMADAMENTE DEL DÍA LUNES 02 DE AGOSTO DE 2010 EL DENUNCIANTE DEPOSITÓ EN SU COFRE ASIGNADO, UBICADO EN LA SALA DE COFRES DEL CASINO DE OFICIALES DE LA POLICÍA DE SEGURIDAD AEROPORTUARIA DE ESTA AEROESTACIÓN, LA CAJA DE SU MODEM DE CONEXIÓN INALÁMBRICA A INTERNET NÚMERO 3516089452 DE LA EMPRESA MOVISTAR CONTENIENDO EN SU INTERIOR EL MODEM CORRESPONDIENTE . CABE ACLARAR QUE SEGÚN DICHOS DEL DENUNCIANTE EL CASILLERO ESTABA CERRADO CON CANDADO, CUYAS LLAVES COMPARTE CON EL OFICIAL DIEGO MALDONADO QUIEN SE ENCONTRABA DE LICENCIA. SIENDO LAS 12:00HS APROXIMADAMENTE DEL DÍA 04 DE AGOSTO DE 2010 LE ENTREGA LA LLAVE DEL COFRE AL OFICIAL DANIEL CASADESUS PARA QUE LE TRAIGA EL MENCIONADO MODEM, Y AL REGRESAR ÉSTE ÚLTIMO, Y ENTREGARLE LA CAJA CONTENEDORA DEL MODEM AL OFICIAL GUSTAVO CASADESUS ÉSTE OBSERVA QUE LA CAJA ESTABA VACÍA, NO ENCONTRÁNDOSE EL MENCIONADO APARATO EN SU INTERIOR, POR LO QUE LE DA LA NOVEDAD AL OFICIAL ALMIRÓN. SIENDO LAS 16:00HS APROXIMADAMENTE DEL MISMO DÍA, EL DENUNCIANTE SE COMUNICA CON LA EMPRESA MOVISTAR PARA DAR LA NOVEDAD DE LO SUCEDIDO Y ÉSTOS LE INFORMAN QUE EL MODEM HABÍA SIDO UTILIZADO POR ÚLTIMA VEZ EL DÍA 03 DE AGOSTO DE 2010 A LAS 03:28HS. EL OFICIAL ALMIRON ACLARA QUE EL COFRE DONDE FUE GUARDADO EL MODEM NO PRESENTA SIGNOS DE HABER SIDO VIOLENTADO. EL JEFE DE TURNO REALIZA INSPECCION OCULAR CONSTATANDO QUE NO HAY SIGNOS DE VIOLENCIA VISIBLE EN EL COFRE.</t>
  </si>
  <si>
    <t>"POLICIA DE SEGURIDAD AEROPORTUARIA S/INVESTIGACIÓN PRELIMINAR"</t>
  </si>
  <si>
    <t>160636/10</t>
  </si>
  <si>
    <t>PR 5092 EL DIA 23 AGO 10 LA UOSP POSADAS IMPONE LA NOVEDAD TELEFONICAMENTE A LA FISCALIA FEDERAL Nº 2 DE ESTA CIUDAD DE LA RECEPCION DE UN CORREO ELECTRONICO DIRIGIDO A ESTA UNIDAD DE SEGURIDAD PREVENTIVA EN EL CUAL SE DENUNCIA DELITOS REFERENTE A TRATA DE PERSONAS Y NARCOTRAFICO. POR LO QUE DICHA FISCALIA DISPONE SE REALIZEN TAREAS INVESTIGATIVAS ENCUBIERTAS A LOS FINES DE DETERMINAR LAS PERSONAS INVOLUCRADAS. SE DA TRASLADO DE LAS ACTUACIONES A LA UOCN Y DC IV DEL LITORAL.- EN EL DIA DE LA FECHA 24 DE AGOSTO DE 2010 SE PRESENTA PARTE PREVENTIVO EN LA FISCALIA FEDERAL Nº 2 DE ESTA CIUDAD, DE ENTRADA BAJO EXPTE Nº 160636/10 POR LO QUE DICHA FISCALIA DISPONE SE REALIZEN TAREAS INVESTIGATIVAS ENCUBIERTAS A LOS FINES DE DETERMINAR LAS PERSONAS INVOLUCRADAS Y LA VERACIDAD DE LA MISMA. ESTAS ACTUACIONES SON GIRADAS A ESTA U.O.C.N. Y D.C. IV DEL LITORAL POR MEMORANDO Nº 189/2010 DE LA U.O.S.P POSADAS. PARA REALIZAR LAS TAREAS ORDENADAS POR LA FISCALIA ACTUANTE. ORDEN DE SERVICIO N° 207/2010 URSA IV DEL LITORAL.-</t>
  </si>
  <si>
    <t>DR. ZELARAYAN DE ESCALADA, LUIS</t>
  </si>
  <si>
    <t>A 50 MTS. DEL PORTON DE ACCESO NORESTE DE DE LA FLORIDA</t>
  </si>
  <si>
    <t>SECTOR NORESTE LIMITANDO CON LA CIUDAD DE LA FLORIDA A METROS DEL CANAL DE VINAZA DEL INGENIO LA FLORIDA.</t>
  </si>
  <si>
    <t>SIENDO LAS HS. 14:45 POR MEDIO DE COMUNICACION TELEFONICA DE VECINOS DE LA CIUDAD DE LA FLORIDA NOS INFORMAN QUE DESCONOCIDOS HABRIAN ROTO EL TEJIDO PERIMETRAL CON ELEMENTOS CORTANTES, INGRESANDO POR LA ABERTURA AL SECTOR AERONAUTICO LINDERO CON LA MENCIONADA LOCALIDAD, SE ORDENA EL INMEDIATO TRASLADO DEL PERSONAL DE GUARDIA HACIA EL SECTOR EN EL MOVIL DE DOTACION. EN EL LUGAR SE CONSTATA LA ROTURA DE LA TELA PERIMETRAL, SE PROCEDE A REALIZAR UN RASTRILLAJE POR LA ZONA EN BUSCA DE LOS INDIVIDUOS, ARROJANDO EL MISMO RESULTADO NEGATIVO, SE REALIZA COMUNICACION TELEFONICA CON LA FISCALIA DE TURNO ORDENANDO SE RECABE LA MAYOR CANTIDAD DE INFORMACION POSIBLE, SE LABREN LAS ACTUACIONES DE RIGOR Y SE ELEVEN CON POSTERIORIDAD.</t>
  </si>
  <si>
    <t>MARZIA MARINA CEFERINA SMAREGLIA S/DENUNCIA</t>
  </si>
  <si>
    <t>MULTINIVEL DE LA TERMINAL A</t>
  </si>
  <si>
    <t>INFORMO QUE LUEGO QUE LA DAMNIFICADA ARRIBO A ESTA AEROSTACIÓN JUNTO A SU HIJA Y SU ESPOSO, EN VUELO DE LA EMPRESA IBERIA Nº 6845 PROCEDENTE DE BARCELONA, DEPOSITO SUS PERTENENCIAS EN UN CARRO PORTA MALETAS Y SIENDO APROX. 21.00 HORAS, SE DIRIGIÓ AL SECTOR DEL PARKING MULTINIVEL DE LA TERMINAL A DE ESTE MEDIO. POSTERIORMENTE TOMO CONTACTO CON SU VEHICULO EL CUAL SE ENCONTRABA ESTACIONADO EN EL PRIMER NIVEL DEL SECTOR ANTERIORMENTE MENCIONADO E INGRESO EN EL INTERIOR DEL MISMO CON SU HIJA DEJANDO A SU ESPOSO LA TAREA DE GUARDAR LOS EQUIPAJES EN EL BAUL DEL MISMO. SEGUIDAMENTE SU ESPOSO INGRESO AL RODADO Y SE RETIRAN A SU DOMICILIO PARTICULAR. QUE UNA VEZ EN SU DOMICILIO, AL MOMENTO DE DESCARGAR LAS VALIJAS DEL AUTO SE PERCATAN DEL FALTANTE DEL BOLSO PORTANOTEBOOK QUE HABIAN COLOCADO EN EL COMUNMENTE MENCIONADO BUCHE DEL CARRO PORTAMALETAS. PTO.-</t>
  </si>
  <si>
    <t>SE PROCEDE AL TRASLADO DEL SR. JUAN JOSÉ PORTILLO HASTA LA COMISARÍA PRIMERA DE LA CIUDAD DE CORRIENTES, DANDO CUMPLIMIENTO AL OFICIO JUDICIAL Nº 3844 DEL JUZGADO DE INSTRUCCIÓN Nº 4 DE ESTA CIUDAD, A CARGO DEL DR. MARIO ALBERTO ALEGRE, SECRETARIA Nº 8, POR MEDIO DEL CUAL SE AUTORIZA EL ALOJAMIENTO DEL CAUSANTE EN LA DEPENDENCIA UT SUPRA REFERIDA. EL LIBRAMIENTO DE LA MANDA JUDICIAL SE REALIZA DESDE LOS AUTOS CARATULADOS "POLICÍA DE SEGURIDAD AEROPORTUARIA COMUNICA DETENCIÓN DE PORTILLO JUAN JOSÉ - CAPITAL EXPTE. Nº 54502. EL TRASLADO SE REALIZA SEGUN ORDEN DE SERVICIO Nº 034/10 DE FECHA 24/08/2010.</t>
  </si>
  <si>
    <t>DRA. CAPANERA MARIA GLORIA</t>
  </si>
  <si>
    <t>DESDE EL DESPACHO DE RESISTENCIA HASTA EL ARRIBO EN AEROPARQUE</t>
  </si>
  <si>
    <t>SE HACE PRESENTE UNA PERSONA CON MOTIVO DE DENUNCIAR UN HECHO DE CARÁCTER DELICTIVO. LA MISMA MANIFIESTA QUE AL ARRIBAR A ESTE AEROPUERTO METROPOLITANO, SE PERCATA DEL FALTANTE DE ELEMENTOS ELECTRÓNICOS EN SU MALETÍN PORTA NOTEBOOK DESPACHADO EN LA CIUDAD DE PROCEDENCIA. MOTIVO POR EL CUAL LUEGO DE REALIZAR EL RECLAMO EN LA COMPAÑÍA AÉREA, SE HACE PRESENTE EN ESTA GUARDIA DE PREVENCIÓN PARA RADICAR FORMAL DENUNCIA.</t>
  </si>
  <si>
    <t>AR 1789</t>
  </si>
  <si>
    <t>16065/E</t>
  </si>
  <si>
    <t>POR LA PRESENTE INFORMO QUE EL JUZGADO FEDERAL Nº 3 DE MENDOZA HA DADO CIERRE A LA CAUSA CARATULADA ´PRESUNTA INFRACCION LEY 23737´, EXPTE 16065/E, DICHA CAUSA FUE INFORMADA A LA URSA II CENTRO MEDIANTE PARTE RESERVADO 16/08 DE FECHA 03 DE SETIEMBRE DE 2008, EN EL PROCEDIMIENTO EN CUESTIÓN SE DETUVO EN EL AEROPUERTO DE MENDOZA A UN PASAJERO PORTUGUÉS APELLIDADO PINTO CORREA, ARMENIO CARLOS. DRICA II- LA MENCIONADA CAUSA FUE CATALOGADA COMO DOZ_CAUSA_0026_07_NARCO OPORTUNAMENTE.</t>
  </si>
  <si>
    <t>NO PRECISA EL LUGAR EXACTO DONDE LO EXTRAVIO</t>
  </si>
  <si>
    <t>EN EL DIA DE LA FECHA SE APERSONA EL SEÑOR SALGUERO FACUNDO DANIEL, NUMERARIO DEL SERVICIO DE AVIACION DE LA PREFECTURA NAVAL ARGENTINA DENUNCIANDO EL EXTRAVIO DE SU PERMISO PERSONAL DE SEGURIDAD AEROPORTUARIO PERMANENTE, QUIEN MANIFIESTA IGNORAR EL LUGAR PRECISO, PERO QUE SE PRODUJO DENTRO DEL AEROPUERTO, ESTIMANDO QUE SE PRODUJO HACE UN MES APROXIMADAMENTE.</t>
  </si>
  <si>
    <t>EN EL DIA DE LA FECHA ARRIBA EL SR. MINISTRO DE JUSTICIA, SEGURIDAD Y DERECHOS HUMANOS DR. JULLIO ALAK Y COMITIVA SIN NOVEDAD</t>
  </si>
  <si>
    <t>AEROPARQUE- BUENOS AIRES</t>
  </si>
  <si>
    <t>EL DÍA 22 DE JULIO DEL CORRIENTE AÑO, LA DENUNCIANTE ARRIBA AL PAÍS Y LUEGO DE REALIZAR EL TRAMITE DE INGRESO SE DIRIGE A RETIRAR SU EQUIPAJE DESPACHADO A BODEGA, PERCATÁNDOSE QUE EL MISMO NO HABÍA ARRIBADO, POR LO QUE HACE UN RECLAMO EN LA EMPRESA IBERIA. EL DÍA 25 DE JULIO DEL CORRIENTE AÑO, SIENDO LAS 14:00HS, PERSONAL DE IBERIA TRASLADA A SU DOMICILIO SU VALIJA, ENCONTRÁNDOSE LA MISMA ROTA Y CON VARIOS FALTANTES EN SU CONTENIDO.</t>
  </si>
  <si>
    <t>SE AMPLIA PARTE N° 4344. FECHA 25-08-10. TAREAS INVESTIAGTIVAS SEGUN O.S. N° 013/10. LAS INVESTIGACION ES INICIADA A CONSECUENCIA DE UN PARTE INFORMATIVO DE LA DRICA III DEL NORTE, DONDE SE INDICA QUE UNA PERSONA DE NACIONALIDAD ITALIANA DEBÍA EMBARCAR A BS.AS. DESDE SALTA CON CONEXIÓN A MADRID, EL MISMO NO SE PRESENTÓ. LA CAUSA INICIAL ERA LA N° 778/10 CARATULADA AVERIGUACIÓN INFRACCIÓN A LA LEY 23.737 Y 22.415, LUEGO FUE ACUMULADA A LA CAUSA QUE ACTUALMENTE SE INVESTIGA, YA QUE ESTAS PERSONAS ESTAN VINCULADAS FAMILIARMENTE. INFORMO QUE SE CONFIRMÓ LA DOBLE NACIONALIDAD DEL INVESTIGADO, ESTO SURGIÓ DE LAS ESCUCHAS TELEFÓNICAS, MIENTRAS REALIZABA UN VIAJE A BS.AS. ESTO SE PUDO CORROBORAR CON LOS LISTADOS DE PASAJEROS, UNA IDENTIDAD ES DE NACIONALIDAD ITALIANA Y LA OTRA MEXICANA. A SU VEZ COMUNICO QUE DE LAS ESCUCHAS SURGE UNA RELACIÓN CON UN MASCULINO, QUIEN PODRÍA SER UN PROXENETA. ESTO FUE INFORMADO AL JUZGADO. ACTUALMENTE SE ENCUENTRA OBSERVADA UNA SOLA LINEA. POR OTRA PARTE INDICO QUE SE SOLICITÓ LA INTERVENCIÓN DE DOS LINEAS MAS. POR ULTIMO SE INFORMA QUE SE RECEPCIONÓ LAS FILMACIONES SOLICITADAS AL C.O.C. EZE, LAS CUALES FUERON DE MUCHA UTILIDAD PARA EL DESARROLLO DE LA INVESTIGACIÓN. SE AMPLIARÁ CUANDO SURJAN NOVEDADES.</t>
  </si>
  <si>
    <t>SE HACE PRESENTE EN ESTA GUARDIA DE PREVENCIÓN, EL SARGENTO PRIMERO MARCOVECCIFIO DE LA POLICIA FEDERAL ARGENTINA A CARGO DE LA COMISION DE TRASLADO DE LA CUIDADANA URUGUAYA JOHANA ESTELLA FERREYRA ROMERO, LA CUAL SE ECONTRABA EN TRAMITE DE EXPULSIÓN DEL TERRITORIO NACIONAL Y DEBIA SER EMBARCADA EN EL VUELO AR 1208 CON DESTINO LA CIUDAD DE MONTEVIDEO. SE IMPLEMENTA ORDEN DE SERVICIO N` 575/10, IMPLEMENTANDO MEDIDAS DE SEGURIDAD NECESARIAS PARA EL DESPLAZAMIENTO DE LA EXPULSADA DENTRO DE LAS INSTALACIONES DE ESTE AEROPUERTO METROPOLITANO. FINALMENTE SIENDO LAS 17:30 HORAS SE REALIZA EL EMBARQUE DE LA CIUDADANA URURGUAYA EN EL VUELO ANTES MENCIONADO, HASTA QUE LA MISMA ABANDONO LA JURISDICCIÓN SIN NOVEDAD.</t>
  </si>
  <si>
    <t>SECRETARIA CONTRATADA</t>
  </si>
  <si>
    <t>AVERIGUACION PRESUNTO CONTRABANDO DE ESTUPEFACIENTES</t>
  </si>
  <si>
    <t>ARRIBO DEL VUELO MH 201</t>
  </si>
  <si>
    <t>MANGA Nº 5</t>
  </si>
  <si>
    <t>A TRAVES DE LA COOPERACION INTERNACIONAL ENTRE LA POLICIA DE SEGURIDAD AEROPORTUARIA Y OTRAS POLICIAS, SE TOMA CONOCIMIENTO QUE EN EL DIA DE LA FECHA ARRIBARIA EN EL VUELO MENCIONADO UNA PERSONA DE SEXO FEMENINO, DE NOMBRE BANZANA VUYOKAZI, CON PASAPORTE SUDAFRICANO Nº PP477425966, DE NACIONALIDAD SUDAFRICANA, CON FECHA DE NACIMIENTO 29/06/1985, DE RAZA NEGRA, LA CUAL SE HOSPEDARIA EN EL HOTEL FEIRS PARK SITO EN LA CALLE ESMERALDA Nº 1366, C.A.B.A., Y ESTARIA VESTIDA CON TOP NEGRO CON SEIS BOTONES GRANDES EN EL FRENTE, JEANS DE COLOR AZUL, ZAPATOS NEGROS Y UN BOLSO DE COLOR MARRON, LA CUAL SERIA UNA MULA QUE ARRIBA AL PAIS A FIN DE CONTACTAR UNA ORGANIZACION DEDICADA AL CONTRABANDO DE ESTUPEFACIENTES. LUEGO DE INFORMAR LA NOVEDAD AL JUZGADO INTERVINIENTE, EL MISMO ORDENA ACTUACIONES DE RIGOR, IDENTIFICACION Y SEGUIMIENTO DE LA CAUSANTE. POSTERIORMENTE SE COMISIONA PERSONAL AL LUGAR DE ARRIBO DEL VUELO MENCIONADO, SE IDENTIFICA A LA PERSONA EN CUESTION Y SE REALIZA SU SEGUIMIENTO, A FIN DE LOCALIZAR SU LUGAR DE ALOJAMIENTO.</t>
  </si>
  <si>
    <t>CIUDAD DEL CABO</t>
  </si>
  <si>
    <t>DOLLY</t>
  </si>
  <si>
    <t>ALVARO RODRIGUEZ</t>
  </si>
  <si>
    <t>ACTUACION UNIDAD OPERACIONAL RESISTENCIA</t>
  </si>
  <si>
    <t>CALLE DE INGRESO AL AEROPUERTO A 300 METROS DE LA RUTA 11.</t>
  </si>
  <si>
    <t>PUESTO SABRE UBICADO A 3000 METRO DE LA AEROESTACION.</t>
  </si>
  <si>
    <t>EN EL DIA DE LA FECHA REALIZANDO CONTROL DE RUTINA DE VEHICULOS INGRESA UNA PERSONA CONDUCIENDO UNA MOTO HONDA XR 100 BLANCA Y ROJA, MOTOR NRO HE03E-6117912, CHASIS NRO JH2HE0307RK307397, AL SER SOLICITADA LA DOCUMENTACION EL CONDUCTOR RESPONDE QUE NO LA TENIA EN ESE MOMENTO POR LO QUE SE COMUNICA CON SU PADRE QUIEN SE PRESENTA EN LA GUARDIA DE PREVENCION CON FORMULARIO 12, FORMULARIO 01, CERTIFICADO DE IMPORTACION DEL MINISTERIO DE JUSTICIA DE LA NACION Y UN RECIBO DE LA JEFATURA DE POLICIA DE LA PROVINCIA DEL CHACO, PERO NO ESTABA REGISTRADA EN EL REGISTRO NACIONAL DE LA PROPIEDAD DEL AUTOMOTOR, POR TAL MOTIVO SE DA INTERVENCION A LA FISCALIA EN TURNO QUIEN DISPONE SE LABRE ACTA DE PROCEDIMIENTO, SE ENTREGUE EL VEHICULO BAJO APERCIBIMIENTO DE QUE EN UN PLAZO NO MAYOR A 60 DIAS REALICE LOS TRAMITES CORRESPONDIENTES PARA REGULARIZAR LA DOCUMENTACION EN EL REGISTRO CORRESPONDIENTE.</t>
  </si>
  <si>
    <t>INFRACCION LEY 23737 S/JOSE JAVIER TORRES</t>
  </si>
  <si>
    <t>CALLE TENIENTE IBANEZ N°636 B° SAN ROQUE - GENERAL GUEMES</t>
  </si>
  <si>
    <t>CIUDAD DE GENERAL GUEMES PROVINCIA DE SALTA</t>
  </si>
  <si>
    <t>EL DIA 25 DE AGOSTO DEL 2010, SIENDO LAS 19:30 HORAS, SE RECIBEN OFICIOS JUDICIALES, LIBRADOS POR EL JUZGADO FEDERAL DE SALTA NRO 1 A CARGO DEL DR. JULIO LEONARDO BAVIO, SECRETARIA PENAL NRO 2 A CARGO DEL DR. SANTIAGO FRENCH, RELACIONADOS AL EXPTE. NRO 549/10, CARATULADO INFRACCION A LA LEY 23737 C/JOSE JAVIER TORRES. LA PRIMERA DILIGENCIA ES UNA ORDEN DE ALLANAMIENTO PARA CUMPLIMENTARSE EL DIA 26 DE AGOSTO DEL 2010, POR PERSONAL DE ESTA UOCN Y DC DEL NORTE EN FORMA CONJUNTA CON PERSONAL DE LA UNIDAD DE CRIMINALISTICA DE LA POLICIA DE LA PROVINCIA DE SALTA, A REALIZARSE EN EL DOMICILIO SITO EN CALLE TENIENTE IBANEZ NRO 636 DEL BARRIO SAN ROQUE DE LA CIUDAD DE GENERAL GUEMES, PROVINCIA DE SALTA, LA CUAL QUEDA DISTANTE APROXIMADAMENTE A 45 KM DE LA CIUDAD CAPITAL DE SALTA, DONDE FUNCIONA UN TALLER MECANICO DE PROPIEDAD DE JOSE JAVIER TORRES, CON EL OBJETO DE PROCEDER A LA BUSQUEDA DE TRES MADERAS DE AGLOMERADO ENCHAPADO, QUE PERTENECERIAN A ALGUN MOVILIARIO LAS CUALES SE ENCONTRARIAN GUARDADAS EN UN LOCAL DESTINADO A DEPOSITO DEL TALLER MECANICO QUE FUNCIONA EN DICHO DOMICILIO, LAS QUE DEBERAN SER SOMETIDAS A EXAMEN POR PARTE DEL PERSONAL ESPECIALIZADO DE CRIMINALISTICA Y REALIZAR EL SECUESTRO DE DICHAS MADERAS, LAS QUE DEBERAN SER RESGUARDADAS, EVITANDO MODIFICACIONES Y/O ALTERACIONES EN EL ESTADO QUE SE ENCUENTREN, SIENDO REMITIDAS DE MANERA INMEDIATA A LA SEDE JUDICIAL. LA SEGUNDA DILIGENCIA, CORRESPONDE AL OFICIO NRO 2494/10, DE FECHA 25/08/10, EL CUAL ORDENA PRACTICAR UN ANALISIS AL TELEFONO CELULAR MARCA NOKIA SECUESTRADO EN AUTOS, TENDIENTES A ESTABLECER LOS CONTACTOS QUE MANTUVO DURANTE EL MES DE AGOSTO DEL CORRIENTE AÑO. LA TERCERA DILIGENCIA CORRESPONDE AL OFICIO NRO 2495/10 DE FECHA 25/08/10, EL CUAL ORDENA SE PRACTIQUE UN AMPLIO INFORME AMBIENTAL RESPECTO AL IMPUTADO JOSE JAVIER TORRES. LA CUARTA DILIGENCIA, CORRESPONDE AL OFICIO NRO 2497/10, DE FECHA 25/08/10, EL CUAL ORDENA SE PRACTIQUEN TAREAS INVESTIGATIVAS TENDIENTES A ESTABLECER LA TITULARIDAD DEL DOMINIO XJS-945, COMO ASI TAMBIEN A QUE MOTOR, CHASIS Y VEHÍCULO LE CORRESPONDE DICHO DOMINIO, AUTORIZANDO PROFUNDIZAR LA INVESTIGACION CON EL OBJETO DE ESTABLECER SI EL TITULAR REGISTRAL SE ENCONTRARIA VINCULADO AL HECHO QUE SE INVESTIGA EN AUTOS. TODAS ESTAS DILIGENCIAS FUERON ORDENADAS LUEGO DE QUE PERSONAL DE LA POLICIA DE LA PROVINCIA DE SALTA, POR UNA LLAMADA ANONIMA, REALIZO UN PROCEDIMEINTO EL DIA 24 DE AGOSTO DEL CORRIENTE AÑO, DONDE SE SECUESTRO EL DOMINIO XJS-945, EN EL CUAL SE ENCONTRO APROXIMADAMENTE 24 KILOS DE COCAINA, ADEMAS SECUESTRARON UN TELEFONO CELULAR MARCA NOKIA QUE ESTABA SIENDO UTILIZADO POR EL UNICO DETENIDO DE NOMBRE JOSE JAVIER TORRES. SE AMPLIARA AL MOMENTO DE REALIZARSE EL ALLANAMIENTO. P.U. Nº 5168 - AMPLIACION DEL P.U. Nº 5160 (ORIGINARIO) SE AMPLIA EL PARTE N° 5160. FECHA 26 DE AGOSTO DE 2010. AL RESPECTO INFORMO QUE SE HA INICIADO EL ALLANAMIENTO ORDENADO POR EL JUZGADO FEDERAL N° 1 DE SALTA, EL CUAL ES REALIZADO JUNTO A PERSONAL DE LA UNIDAD DE CRIMINALÍSTICA DE LA POLICIA DE SALTA, EN EL DOMICILIO DEL CIUDADANO JOSÉ JAVIER TORRES SITO EN CALLE TENIENTE IBANEZ NRO 636 DEL BARRIO SAN ROQUE DE LA CIUDAD DE GENERAL GUEMES, PROVINCIA DE SALTA, LA CUAL QUEDA DISTANTE APROXIMADAMENTE A 45 KM DE LA CIUDAD CAPITAL, DONDE FUNCIONA UN TALLER MECANICO. ASIMISMO INFORMO QUE SE PUSO EN CONOCIMIENTO A LA POLICIA DE LA PROVINCIA DE SALTA DEL HECHO EN CUESTIÓN, RECIBIENDO EL CORRESPONDIENTE LLAMADO EL SGTO. CRESPIN. POR ÚLTIMO COMUNICO QUE EL MENCIONADO ALLANAMIENTO ES REALIZADO SEGUN O.S. N° 173/10 DE LA URSAIII DEL NORTE. SE AMPLIARÁ CUANDO SURJAN NOVEDADES. P.U. Nº 5173 - AMPLIACION DEL P.U. Nº 5168 SE AMPLIA EL PARTE N° 5168. FECHA 26 DE AGOSTO DE 2010. O.S. N° 173/10. INFORMO QUE HA FINALIZADO EL ALLANAMIENTO DANDO CUMPLIMIENTO A LO ORDENADO. LA SUBCRIO. LIC. VARGAS NOEMI DEL VALLE Y EL SGTO. CABRAL PERSONAL DE CRIMINALÍSTICA, REALIZARON LAS PERICIAS CORRESPONDIENTES RESULTANDO NEGATIVAS. POR ORDEN DEL SECRETARIO DR. FRENCH ESTA UNIDAD PROCEDIÓ AL SECUESTRO DE LAS MADERAS MENCIONADAS EN EL OFICIO JUDICIAL. LOS TESTIGOS DEL PROCEDIMIENTO FUERON LOS SIGUIENTES: SR. REYNOSO JUAN DE DIOS QUIEN NO EXHIBE DOCUMENTO DE IDENTIDAD Y NO RECUERDA EL NUMERO, ARGENTINO, NACIDO EL 09-04-61 DE PROFESIÓN EMPLEADO, DOMICILIADO EN 12 DE OCTUBRE ESQ. BS. AS. DE GÜEMES, SRA. AVILES MARÍA DNI N° 5.985.741, ARGENTINA NACIDA EL 21-05-49 DOMICILIADA EN TTE. IBAÑEZ 672 GÜEMES, AMA DE CASA, ASIMISMO INFORMO QUE EN LA VIVIENDA SE ENCONTRABAN LOS HIJOS DEL IMPUTADO A SABER: TORRES JOSE ALFREDO DNI N° 25.227.974 ARGENTINO, NACIDO EL 12-04-10, MECÁNICO, TORRES JAVIER JOSE DNI N° 32.687.700, ARG. NACIDO EL 12-02-87, MECÁNICO, TORRES CARLOS MARCELO DNI N° 24.563.736, ARG., NACIDO EL 29-04-75, MECANICO. TAMBIEN SE ENCONTRABA LA ESPOSA DE ESTE ÚLTIMO DE NOMBRE PASCUAL CAROLINA, TRES MENORES Y UN EMPLEADO DEL TALLER DE NOMBRE BARRIOS FERNANDO DNI N° 37.099.184, ARG., DOMICILIADO EN CORDOBA 385 DE GÜEMES. POR OTRA PARTE COMUNICO QUE SE CUMPLIMENTÓ EL OFICIO JUDICIAL N° 2459/10, EL CUAL ORDENABA UNA VEZ HABIDO EN EL LUGAR REALIZAR UN AMPLIO INFORME AMBIENTAL. ASIMISMO INFORMO QUE EL TITULAR DE LA SECRETARIA PENAL INTERVINIENTE ENTREGÓ, A ESTA UNIDAD, EL TELEFÓNO MARCA NOKIA SECUESTRADO PARA QUE SE PRACTIQUE EL ANÁLISIS COMO FUERA ORDENADO EN EL OFICIO JUDICIAL N° 2494/10. LAS ACTUACIONES SERAN REMITIDAS EL DIA 27 DE AGOSTO DE 2010 JUNTO A LOS ELEMENTOS SECUESTRADOS. SE AMPLIARÁ CUANDO SURJAN NOVEDADES. P.U. Nº 5209 - AMPLIACION DEL P.U. Nº 5173 SE AMPLIA PARTE N° 5160 DE FECHA 26 DE AGOSTO DE 2010, REFERENTE AL EXPTE. N° 549/10, CARATULADO INFRACCION LEY 23737 C/JOSE JAVIER TORRES, TRAMITADO EN EL JUZGADO FEDERAL DE SALTA N° 1 A CARGO DEL DR. JULIO LEONARDO BAVIO, SECRETARIA PENAL N° 2 A CARGO DEL DR. SANTIAGO FRENCH, RESPECTO AL ALLANAMIENTO REALIZADO EL DÍA 26/08/10 POR ESTA UOCN Y DC DEL NORTE, EN EL DOMICILIO SITO EN CALLE TENIENTE IBAÑEZ N° 636 B° SAN ROQUE, DE LA CIUDAD DE GENERAL GUEMES, PROVINCIA DE SALTA. SE INFORMA QUE EL DIA 27/08/10, SE ENTREGO EN LA SEDE DEL JUZGADO FEDERAL N° 1, LAS ACTUACIONES REALIZADAS-SUMARIO PREVENTIVO N° 02/10 Y LAS TRES MADERAS SECUESTRADAS, PRODUCTO DEL ALLANAMIENTO. ADEMAS SE REALIZO UN PEDIDO AL JUEZ INTERVINIENTE EN LA CAUSA, SOLICITANDO OFICIOS A LAS DIFERENTES EMPRESAS PRESTATARIAS DE TELEFONIA MOVIL COMO CLARO, PERSONAL, MOVISTAR, A LOS FINES DE REQUERIR TITULARIDAD, LISTADOS DE LLAMADAS ENTRANTES Y SALIENTES CON DIRECCION DE CELDAS, IMEI Y TODA OTRA INFORMACION DE IMPORTANCIA, A LOS FINES DE CUMPLIMENTAR OFICIO N° 2494/10, DE FECHA 25/08/10, EL CUAL ORDENA PRACTICAR EL ANALISIS DEL TELEFONO CELULAR MARCA NOKIA, SECUESTRADO EN AUTOS POR LA POLICIA DE LA PROVINCIA DE SALTA, EL CUAL YA SE ENCUENTRA EN PODER DE ESTA UOCN Y DC DEL NORTE, ENTREGADO POR EL JUZGADO FEDERAL N° 1, MEDIANTE ACTA DE ENTREGA EL DIA 26/08/10. EL DIA 27/08/10 SE ENTREGO NOTA EN EL REGISTRO NACIONAL DE PROPIEDAD DEL AUTOMOTOR N° 1 DE SALTA, A LOS FINES DE SOLICITAR TODA INFORMACION EN RELACION AL DOMINIO XJS-945, A LOS FINES DE CUMPLIMENTAR OFICIO N° 2497/10, DE FECHA 25/08/10. SE AMPLIARA UNA VEZ OBTENIDA DICHA INFORMACION</t>
  </si>
  <si>
    <t>ERNESTO SEBASTIAN</t>
  </si>
  <si>
    <t>DENTRO DE LA JURISDICCION</t>
  </si>
  <si>
    <t>INFORMO SIENDO LAS 21:30HS ARRIBA A ESTA JURISDICCION MOVIL, INT 1241, DOMINIO FFZ461, DE LA POLICIA FEDERAL, CON PERSONAL DE LA MISMA Y DE INTERPOL, CABO 1º FERNANDEZ MANUEL ROBERTO Y AGENTE MATTO HUGO ORLANDO, RESPONSABLES DEL TRASLADO DEL EXTRADITADO, COSTA PLATINI OSCAR ALFREDO, DNI 6.612.205. EL MISMO ES LLEVADO A LA OFICINA DE TURNO, QUEDANDO JUNTO CON PERSONAL DE ESTA FUERZA Y EL PERSONAL DE INTERPOL A LA ESPERA DEL VUELO DE AUSTRAL 2611. A LAS 22:30HS EMBARCAN EN VUELO AU 2611, DESPEGANDO 22:55HS CON DESTINO AL AEROPARQUE JORGE NEWBERY, CUMPLIMENTANDO ASI ORDEN DE SERVICIO NRO 064/10 ORIGINADA EN ESTA UOSP.</t>
  </si>
  <si>
    <t>SIENDO LA FECHA Y HORA ANTES MENCIONADA, EN MOMENTOS EN QUE LOS OFICIALES HANEMANN Y ZUMPANO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</si>
  <si>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REINO DE ESPAÑA EXTRADICION DE COSTA PLATINI OSCAR ALFREDO</t>
  </si>
  <si>
    <t>SECTOR A2 DE ESTE AEROPUERTO</t>
  </si>
  <si>
    <t>HALL DE ARRIBOS NACIONALES</t>
  </si>
  <si>
    <t>SIENDO LA HORA MENCIONADA SE DA CUMPLIMENTO A LA ORDEN DE SERVICIO Nº 574/10 URSA I DEL ESTE, REFERENTE A LA CUSTODIA DESDE EL ARRIBO DEL ENCARTADO OSCAR COSTA PLATINI, HASTA ABANDONAR LA JURISDICCION A LAS 00:00 HORAS DEL DIA DE LA FECHA SIN NOVEDAD. SIENDO CUSTODIADO DURANTE EL VUELO POR PERSONAL DE INTERPOL EL CABO 1º FERNANDEZ MANUEL LP 5486 Y EL AGENTE MATOS HUGO LP 11071, Y SIENDO TRASLADADO FUERA DE JURISDICCION EN MOVIL DE PFA POR EL CABO CARRETINI GABRIEL LP 27064, CONJUNTAMENTE CON EL PERSONAL POLICIAL MENCIONADO.</t>
  </si>
  <si>
    <t>AR2611</t>
  </si>
  <si>
    <t>CURVA QUE LINDA CON EL ACCESO AL BARRIO LA VALENTINA</t>
  </si>
  <si>
    <t>CALLE DE ACCESO A HANGARES RESTRINGIDOS DE AEROLINEAS ARGENTINAS</t>
  </si>
  <si>
    <t>SIENDO LA HORA INDICADA SE RECIBE MODULACIÓN RADIAL DEL PERSONAL POLICIAL APOSTADO EN EL PUESTO HANGARES RESTRINGIDO, MANIFESTANDO QUE EN LA CALLE DE ACCESO AL SECTOR DE HANGARES RESTRINGIDOS DE AEROLÍNEAS ARGENTINAS DE ESTE AEROPUERTO, MAS PRECISAMENTE EN LA CURVA DE ACCESO AL BARRIO LA VALENTINA, SE HABÍA PRODUCIDO UN ACCIDENTE AUTOMOVILÍSTICO ENTRE TRES VEHÍCULOS. AL LLEGAR LA COMISIÓN POLICIAL SE APRECIA A TRES VEHÍCULOS EN LA BANQUINA DERECHA, DOS DE ELLOS EN SENTIDO HACIA LA CALLE MUNILLAS SIENDO ESTOS UN VOLKSWAGEN POLO DOMINIO CVM-766 CON UN EVIDENTE GOLPE EN EL SECTOR LATERAL DERECHO Y UNA FORD ECOSPORT DOMINIO IKM-384 CON ROTURAS EN EL SECTOR DELANTERO Y UN TERCERO VEHICULO EN SENTIDO CONTRARIO SIENDO ESTE UN MICROÓMNIBUS MERCEDES BENZ DOMINIO FOH-346, CON ROTURAS EN EL SECTOR DELANTERO. EN EL LUGAR HABÍA PERSONAL MEDICO DE AEROLÍNEAS ARGENTINAS ASISTIENDO AL CONDUCTOR DEL VEHICULO VOLKSWAGEN QUIEN LUEGO FUE TRASLADADO AL HOSPITAL ZONAL DE EZEIZA MADRE TERESA DE CALCUTA, RESULTANDO EL MISMO SER LEONOR ENCISO. LUEGO EL CONDUCTOR DEL FORD SR. NORBERTO EDGARDO VILLEGAS Y EL CONDUCTOR DEL MICROÓMNIBUS SR. WALTER FABIÁN LOIACONO, SON TRASLADADOS A LA GUARDIA. DADA LA INTERVENCIÓN JUDICIAL, SE DISPUSO SE LO IMPUTE AL SR. LOIACONO Y SE LE TOME DECLARACION TESTIMONIAL AL SR. VILLEGAS.</t>
  </si>
  <si>
    <t>SIENDO LAS 01:15 HORAS ARRIBA AERONAVE MATRICULA LV-BRY DE LA EMPRESA LAN ARGENTINA PROCEDENTE DE AEROPUERTO JORGE NEWBERY EN CUYAS BODEGAS 11,12,13,31,32 Y 42 SE DESPACHAN 236 CAJAS CON UN PESO DE 5.491 KILOGRAMOS DE METAL -MTD- DE LA EMPRESA MINERA TRITON ARGENTINA S.A. CON DESTINO A AEROPUERTO JORGE NEWBERY. EL VUELO DESPEGA A LAS 03:10 HORAS SIN NOVEDAD. SE DIO CUMPLIMIENTO A ORDEN DE SERVICIO NRO 0076/10</t>
  </si>
  <si>
    <t>1/16 DE LA TERMINAL A</t>
  </si>
  <si>
    <t>EN UN CONTROL PREVENTIVO EFECTUADO EN EL PUNTO DE INSPECCION Y REGISTRO, A LOS PASAJEROS DEL VUELO 707 DE LA EMPRESA AEROCOMERCIAL BOLIVIANA DE AVIACION, SE HACE PRESENTE EN DICHO SECTOR UN MATRIMONIO LOS CUALES AL SER CHEQUEADOS POR EL PERSONAL POLICIAL MANIFESTARON QUE LLEVABAN DOLARES ESTADOUNIDENSES, MOTIVO POR EL CUAL UNA VEZ EN ESTA DEPENDENCIA POLICIAL Y PREVIA AUTORIZACION JUDICIAL SE PROCEDE A LA REQUISA DE AMBOS PASAJEROS, SURGIENDO QUE EL MASCULINO LLEVABA VEINTE MIL DOLARES ESTADOUNIDENSES Y CUATRO MIL NOVECIENTOS SETENTA Y UN MIL PESOS ARGENTINOS. SEGUIDAMENTE SE PROCEDE A LA REQUISA DE LA FEMENINO DE LA CUAL SURGE QUE LA MISMA TRANSPORTABA UN TOTAL DE CATORCE MIL CUATROCIENTOS DOLARES ESTADOUNIDENSES Y SEIS MIL QUINIENTOS PESOS ARGENTINOS, MOTIVO POR EL CUAL, SE INFORMA DEL RESULTADO OBTENIDO AL JUZGADO INTERVINIENTE EL CUAL DISPUSO QUE SE SECUESTRE DEL MASCULINO LOS DIEZ MIL DOLARES EXCEDENTES Y SE PROCEDA A LA ENTREGA DEL RESTO DEL DINERO. DE IGUAL FORMA, SE PROCEDE A SECUESTRAR DE LA FEMENINO LOS CUATRO MIL CUATROCIENTOS DOLARES EXCEDENTES Y POSTERIORMENTE SE LE HACE ENTREGA DEL RESTO DE SU DINERO, QUE FINALIZADA LAS DILIGENCIAS ORDENADAS LAS MISMAS SEAN ELEVADAS A SEDE JUDICIAL EL DIA 26 DE AGOSTO DEL AÑO EN CURSO, JUNTAMENTE CON EL DINERO SECUESTRADO.</t>
  </si>
  <si>
    <t>CONTIGUO A LA UNIDAD OPERACIONAL DE SEGURIDAD PREVENTIVA EZEIZA</t>
  </si>
  <si>
    <t>OFICINA DE REINCIDENCIA DE LA PSA</t>
  </si>
  <si>
    <t>SIENDO LA FECHA Y LA HORA ANTES MENCIONADA, MIENTRAS LA DAMNIFICADA INGRESABA A SU LUGAR DE TRABAJO, DENTRO DE LAS INSTALACIONES DEL ESTE AEROPUERTO, A LOS EFECTOS DE INICIAR SU JORNADA LABORAL, CIRCUNSTANCIA EN LA CUAL, SE CRUZO CON SU COMPAÑERA DE TRABAJO LORENA NIETO -SIN MAS DATOS- , QUIEN A SU VEZ TRABAJA EN LA MISMA OFICINA Y COMIENZAN UNA DISCUSION DEBIDO A QUE LA DAMNIFICADA LE HABIA LLAMADO LA ATENCION A LORENA NIETO CON RESPECTO A UN TRABAJO. QUE LUEGO DE DISCUTIR EN REITERADAS OPORTUNIDADES, EN UN MOMENTO DADO, NIETO LE PROPINO UN GOLPE DE PUÑO Y LE DIJO QUE NO SE METIERA CON ELLA POR QUE SINO LA IBA A MATAR. QUE ESTE HECHO Y ESTAS AMENAZAS VIENEN SUSCITANDO HACE YA UNOS MESES. POR TAL MOTIVO SE HIZO PRESENTE EN ESTA PREVENCION A RADICAR LA DENUNCIA.</t>
  </si>
  <si>
    <t>5160/10</t>
  </si>
  <si>
    <t>SE AMPLIA EL PARTE N° 5160. FECHA 26 DE AGOSTO DE 2010. AL RESPECTO INFORMO QUE SE HA INICIADO EL ALLANAMIENTO ORDENADO POR EL JUZGADO FEDERAL N° 1 DE SALTA, EL CUAL ES REALIZADO JUNTO A PERSONAL DE LA UNIDAD DE CRIMINALÍSTICA DE LA POLICIA DE SALTA, EN EL DOMICILIO DEL CIUDADANO JOSÉ JAVIER TORRES SITO EN CALLE TENIENTE IBANEZ NRO 636 DEL BARRIO SAN ROQUE DE LA CIUDAD DE GENERAL GUEMES, PROVINCIA DE SALTA, LA CUAL QUEDA DISTANTE APROXIMADAMENTE A 45 KM DE LA CIUDAD CAPITAL, DONDE FUNCIONA UN TALLER MECANICO. ASIMISMO INFORMO QUE SE PUSO EN CONOCIMIENTO A LA POLICIA DE LA PROVINCIA DE SALTA DEL HECHO EN CUESTIÓN, RECIBIENDO EL CORRESPONDIENTE LLAMADO EL SGTO. CRESPIN. POR ÚLTIMO COMUNICO QUE EL MENCIONADO ALLANAMIENTO ES REALIZADO SEGUN O.S. N° 173/10 DE LA URSAIII DEL NORTE. SE AMPLIARÁ CUANDO SURJAN NOVEDADES.</t>
  </si>
  <si>
    <t>5168/10</t>
  </si>
  <si>
    <t>SE AMPLIA EL PARTE N° 5168. FECHA 26 DE AGOSTO DE 2010. O.S. N° 173/10. INFORMO QUE HA FINALIZADO EL ALLANAMIENTO DANDO CUMPLIMIENTO A LO ORDENADO. LA SUBCRIO. LIC. VARGAS NOEMI DEL VALLE Y EL SGTO. CABRAL PERSONAL DE CRIMINALÍSTICA, REALIZARON LAS PERICIAS CORRESPONDIENTES RESULTANDO NEGATIVAS. POR ORDEN DEL SECRETARIO DR. FRENCH ESTA UNIDAD PROCEDIÓ AL SECUESTRO DE LAS MADERAS MENCIONADAS EN EL OFICIO JUDICIAL. LOS TESTIGOS DEL PROCEDIMIENTO FUERON LOS SIGUIENTES: SR. REYNOSO JUAN DE DIOS QUIEN NO EXHIBE DOCUMENTO DE IDENTIDADY NO RECUERDA EL NUMERO, ARGENTINO, NACIDO EL 09-04-61 DE PROFESIÓN EMPLEADO, DOMICILIADO EN 12 DE OCTUBRE ESQ. BS. AS. DE GÜEMES, SRA. AVILES MARÍA DNI N° 5.985.741, ARGENTINA NACIDA EL 21-05-49 DOMICILIADA EN TTE. IBAÑEZ 672 GÜEMES, AMA DE CASA, ASIMISMO INFORMO QUE EN LA VIVIENDA SE ENCONTRABAN LOS HIJOS DEL IMPUTADO A SABER: TORRES JOSE ALFREDO DNI N° 25.227.974 ARGENTINO, NACIDO EL 12-04-10, MECÁNICO, TORRES JAVIER JOSE DNI N° 32.687.700, ARG. NACIDO EL 12-02-87, MECÁNICO, TORRES CARLOS MARCELO DNI N° 24.563.736, ARG., NACIDO EL 29-04-75, MECANICO. TAMBIEN SE ENCONTRABA LA ESPOSA DE ESTE ÚLTIMO DE NOMBRE PASCUAL CAROLINA, TRES MENORES Y UN EMPLEADO DEL TALLER DE NOMBRE BARRIOS FERNANDO DNI N° 37.099.184, ARG., DOMICILIADO EN CORDOBA 385 DE GÜEMES. POR OTRA PARTE COMUNICO QUE SE CUMPLIMENTÓ EL OFICIO JUDICIAL N° 2459/10, EL CUAL ORDENABA UNA VEZ HABIDO EN EL LUGAR REALIZAR UN AMPLIO INFORME AMBIENTAL. ASIMISMO INFORMO QUE EL TITULAR DE LA SECRETARIA PENAL INTERVINIENTE ENTREGÓ, A ESTA UNIDAD, EL TELEFÓNO MARCA NOKIA SECUESTRADO PARA QUE SE PRACTIQUE EL ANÁLISIS COMO FUERA ORDENADO EN EL OFICIO JUDICIAL N° 2494/10. LAS ACTUACIONES SERAN REMITIDAS EL DIA 27 DE AGOSTO DE 2010 JUNTO A LOS ELEMENTOS SECUESTRADOS. SE AMPLIARÁ CUANDO SURJAN NOVEDADES.</t>
  </si>
  <si>
    <t>UOSP ESQUEL</t>
  </si>
  <si>
    <t>INFORMO QUE SIENDO LAS 16:30 HS DEL DIA 26 DE AGOSTO DE 2010 SE PROCEDIÓ A DAR CUSTODIA VUELO DE TRASLADO DE CAUDALES PERTENECIENTE AL GOBIERNO DE LA PROVINCIA DEL CHUBUT - LV-WPB -DENTRO DE JURISDICCIÓN DEL AEROPUERTO NACIONAL ESQUEL - PROCEDENTE DE LA CIUDAD DE TRELEW, Y CON REGRESO AL MISMO DESTINO. ASIMISMO INFORMO QUE PERSONAL DE GENDARMERÍA NACIONAL TUVO A SU CARGO CUSTODIA EN EL INTERIOR DE LA AERONAVE, Y PERSONAL DE LA POLICÍA DE LA PROVINCIA DEL CHUBUT, A CARGO DE LA CUSTODIA DE CAMIÓN BLINDADO DEL BANCO DE LA PROVINCIA DEL CHUBUT FUERA DE LA JURISDICCIÓN DE ESTA UOSP NO REGISTRÁNDOSE NOVEDADES AL RESPECTO.</t>
  </si>
  <si>
    <t>ACOPLE PASARELA DE EMBARQUE</t>
  </si>
  <si>
    <t>SIENDO LAS 17:30 HORAS LOCAL SE PRESENTA EL SEÑOR RECALDE DIEGO A RADICAR UNA DENUNCIA DE EXTRAVIO DEL PERMISO PERSONAL DE SEGURIDAD AEROPORTUARIA, CUANDO ESTABA REALIZANDO EL ACOPLE DEL VUELO AU 2838 EN MANGA DE EMBARQUE, DEBIDO AL FUERTE VIENTO REINANTE EN ESE MOMENTO, SIENDO BUSCADA POR LOS ALREDEDORES SIN RESULTADO POSITIVO.</t>
  </si>
  <si>
    <t>GENERAL MOSCONI COMODORO RIVADAVIA</t>
  </si>
  <si>
    <t>EL CAUSANTE SE PRESENTO EN EL SERVICIO DE GUARDIA PREVENTIVA PARA EXPONER EL EXTRAVÍO DE SU PERMISO PERSONAL DE SEGURIDAD AEROPORTUARIO PERMANENTE S.N.A. N° 318899, A SU NOMBRE CON VENCIMIENTO EL 08/09/10 Y SECTORES 1-4 Y 5. MANIFESTANDO QUE NO PUEDE PRECISAR LUGAR NI FECHA EXACTA DEL EXTRAVÍO.</t>
  </si>
  <si>
    <t>1/16 TERMINAL A</t>
  </si>
  <si>
    <t>EL DAMNIFICADO MANIFESTO QUE EN LA FECHA INDICADA, SIENDO APROX. 06.00 HS. AL DISPONERSE A EMPBARCAR EN EL VUELO G 37655 DE LA EMPRESA GOL CON DESTINO A RIO DE JANEIRO, SOMETIO AL CONTROL DE RX DEL PREEBARQUE 1/16 SUS PERTENENCIAS CONSISTENTES EN UN PEQUEÑO BOLSO DE MANO EL CUAL CONTENIA ENTRE OTRAS COSAS UN TELEFONO CELULAR. FINALIZADO EL VUELO Y UNA VEZ EN EL HOTEL EN RIO DE JANEIRO, AL GUARDAR SUS EFECTOS EN UNA CAJA DE SEGURIDAD, SE PERCATO QUE EL BOLSO EN CUESTION CONTABA CON TODAS SUS PERTENECIAS EXCEPTO EL CELULAR. POR LO QUE AL ARRIBAR A ESTE PAIS Y NO PODER DAR CON EL ELEMENTO FALTANTE, EN EL DIA DE LA FECHA RADICÓ LA DENUNCIA.</t>
  </si>
  <si>
    <t>QUESADA PAULA ANDREA S/DENUNCIA</t>
  </si>
  <si>
    <t>LINDANTES A LOS MOSTRADORES DE CHECK-IN DE LA EMPRESA LAN</t>
  </si>
  <si>
    <t>BAÑOS DE MUJERES DEL SECTOR A1</t>
  </si>
  <si>
    <t>LA DAMNIFICADA SE DIRIGIO HACIA EL BAÑO DE MUJERES QUE SE ENCUENTRA EN HALL PRINCIPAL, LINDANTE CON LOS MOSTRADORES DE LA EMPRESA LAN. UNA VEZ ALLÍ SE QUITO UN ESTUCHE PORTA CELULAR QUE TENIA COLOCADO DENTRO DE SU PANTALÓN, EL CUAL CONTENÍA EN SU INTERIOR U$S 3.300, COLOCANDOLO SOBRE LA ESTRUCTURA METÁLICA PORTA PAPEL HIGIÉNICO. LUEGO, AL SALIR DEL BAÑO, SE DIRIGE HACIA EL STAND DE LA EMPRESA MANUEL TIENDA LEÓN, PARA CONTRATAR EL SERVICIO QUE LA LLEVARÍA HACIA EL AEROPUERTO MINISTRO PISTARINI. SIENDO LAS 15.45 HORAS ABORDA EL BUS Y EN MOMENTO DE ENCONTRARSE A LA ALTURA DE PUERTO MADERO, SE PERCATA DEL OLVIDO DEL ESTUCHE QUE CONTENÍA EL DINERO. RÁPIDAMENTE REGRESA A ESTA AEROSTACIÓN SIENDO APROX. LAS 16.30 HORAS, Y SE DIRIGE HACIA EL BAÑO DONDE HABÍA DEJADO SU ESTUCHE OLVIDADO, SIN PODER HALLARLO. SIENDO LAS 19.45 HORAS SE REALIZA COMUNICACIÓN CON LA JUDICATURA ACTUANTE QUIEN DISPONE, SE SOLICITE REGISTRO FÍLMICO, ENVIÓ A LA DIVISIÓN APOYO TECNOLÓGICO DE LA P.F.A, INFORMAR QUIEN ERA EL PERSONAL DE LIMPIEZA EN EL LUGAR DEL HECHO, CIERRE Y ELEVE.</t>
  </si>
  <si>
    <t>SE PROCEDE A LA RETENCIÓN DE UNA SACA COLECTORA DEL CORREO OFICIAL, SEGÚN CONSTA EN ACTA DE RETENCIÓN DE CARGAS Nº 0393/10, QUE ORIGINA LA PREVENCIÓN SUMARIA 092/10, LA SACA IDENTIFICADA CON MARBETE, SLA0210716D555800VAE, PRECINTO N° Y741255, CON UN PESO DECLARADO DE 24,100 KGS, CON DESTINO LA CIUDAD DE USHUAIA, CONTENDRÍA DOS PIEZA. LA MISMA ESTÁ AMPARADA EN GUÍA DE CARGA Nº 9438200-2, DESPACHADAS A TRAVÉS DE LA EMPRESA DE CARGA AÉREA JET PAQ. LA RETENCIÓN SE REALIZA ANTE LA PRESUNCIÓN QUE PUDIERAN CONTENER ALGÚN ELEMENTO EN INFRACCIÓN A LA LEY 23.737 Y/O 22.415, QUEDANDO LA MISMA CERRADA Y PRECINTADA EN GUARDA EN ESTA UOSP. SEGÚN LO COORDINADO CON EL DR. SANTIAGO FRENCH, A CARGO DE LA SECRETARIA PENAL Nº 2 DEL JUZGADO FEDERAL DE SALTA Nº 1 A CARGO DEL DR. JULIO LEONARDO BAVIO.Y LA APERTURA SE REALIZARÁ EN PRESENCIA DEL PERSONAL DEL CORREO OFICIAL.</t>
  </si>
  <si>
    <t>INFORMO DIA DE LA FECHA SE REALIZA CONTROL DE VUELO ESPECIAL EN AERONAVE C 750 MATRICULA LV-BRJ PERTENECIENTE AL GOBIERNO DE LA PCIA DE BS AS, DEL CUAL ARRIBA A ESTA CIUDAD A LAS 17:30 HS PROCEDENTE DEL AEROPARQUE JORGE NEWBERY, EL DR. NESTOR KIRCHNER, DIPUTADO NACIONAL, PARTIENDO A LAS 21:45 HORAS DE REGRESO A BS AS SIN NOVEDAD, DANDO CUMPLIMIENTO A LA ORDEN DE SERVICIO NRO 035/10</t>
  </si>
  <si>
    <t>JUZGADO DE INSTRUCCION Nº 15</t>
  </si>
  <si>
    <t>ATUCHA</t>
  </si>
  <si>
    <t>LOPEZ, FERNANDO ALBERTO S/HOMICIDIO EN GRADO DE TENTATIVA.-</t>
  </si>
  <si>
    <t>30.797/2010</t>
  </si>
  <si>
    <t>VEREDA PROVEEDORES</t>
  </si>
  <si>
    <t>SIENDO LA HORA Y EL DÍA ANTES MENCIONADO, SE HACE PRESENTE EN ESTA GUARDIA DE PREVENCIÓN EL INSPECTOR GABRIEL LÓPEZ, L.P: 2700, PERTENECIENTE A LA SUPERINTENDENCIA DE INVESTIGACIONES DIVISIÓN BÚSQUEDA DE PERSONAS DE LA POLICÍA FEDERAL ARGENTINA, QUIEN PRESENTA ORDEN DE DETENCIÓN PARA EL SR. FERNANDO ALBERTO LÓPEZ, EN RELACIÓN A LA CAUSA Nº 30.797/2010 CARATULADA " LÓPEZ, FERNANDO ALBERTO S/HOMICIDIO EN GRADO DE TENTATIVA". SIENDO LAS 20:40 HORAS SE REALIZA DETENCIÓN DEL MENCIONADO, EN SECTOR PÚBLICO, VEREDA DE PROVEEDORES, RETIRÁNDOSE TODOS LOS INTERVINIENTES A LAS 21:05 HORAS DE ESTE AEROPUERTO METROPOLITANO, EN VEHICULO CHEVROLET CORSA DOMINIO 902, SIN NOVEDAD.</t>
  </si>
  <si>
    <t>INFORMO EN EL DIA DE LA FECHA SIENDO LAS 22:37 HORAS ARRIBO AERONAVE LV-BRJ DE LA EMPRESA ROYAL CLASIC TRANSPORTANDO AL DOCTOR NESTOR KIRCHNER, EL MISMO SE DESPLAZO VIA TERRESTRE HASTA LA CIUDAD CAPITAL DE ESTA PROVINCIA SIN NOVEDAD</t>
  </si>
  <si>
    <t>PROVINCIA DE CORRIENTES</t>
  </si>
  <si>
    <t>PROVINCIA DE SAN JUAN</t>
  </si>
  <si>
    <t>SIENDO LA HORA Y EL DÍA ANTES MENCIONADO, SE DA CUMPLIMIENTO A LA ORDEN DE SERVICIO Nº 316/10 EMITIDA POR EL ÁREA OPERACIONES POLICIALES, IMPLEMENTANDO MEDIDAS DE SEGURIDAD NECESARIAS PARA EL DESPLAZAMIENTO DENTRO DE ESTE AEROPUERTO METROPOLITANO DEL SR. DANIEL ALCAZAR, PERTENECIENTE AL BANCO NACIONAL DE DATOS GENÉTICOS DEPENDIENTE DE LA SECRETARIA DE DERECHOS HUMANOS, QUIEN PARTIÓ EN EL VUELO AR 1434 DE LA EMPRESA AEROCOMERCIAL AEROLÍNEAS ARGENTINAS CON DESTINO A LA CIUDAD DE SAN JUAN A LAS 06:10 HORAS SIN NOVEDAD.</t>
  </si>
  <si>
    <t>CALLE FLORIDA DE LA CIUDAD AUTONOMA DE BUENOS AIRES</t>
  </si>
  <si>
    <t>CAMINANDO POR LA CALLE FLORIDA DE LA C.A.B.A APROXIMADAMENTE A LAS 15:00 HORAS SE PERCATO DE QUE LA CARTERA QUE PORTABA SE ENCONTRABA ABIERTA NO PRESTANDOLE MAYOR ATENCION. AL LLEGAR AL HOTEL DONDE SE ALOJABA A LAS 23:00 HS APROXIMADAMENTE TAMBIEN EN LA C.A.B.A DETECTO EL FALTANTE DE SU BILLETERA CON ELEMENTOS PERSONALES. AL NO PODER REALIZAR LA DENUNCIA EN UNA COMISARIA DE ESA CIUDAD Y AL ENCONTRARSE VIAJANDO DE REGRESO A SU PAIS REALIZANDO LA DENUNCIA EN ESTA DEPENDENCIA.</t>
  </si>
  <si>
    <t>DENTRO DE LAS INSTALACIONES DEL AEROPUERTO DE SAN FERNANDO NO PRECISANDO EL LUGAR EXACTO</t>
  </si>
  <si>
    <t>COMPARECE EN ESTA DEPENDENCIA EL SEÑOR BENADAVA EDUARDO JOSE, PERTENECIENTE A PREFECTURA NAVAL ARGENTINA, QUIEN REALIZA UNA DENUCIA DE EXTRAVIO DE SU PERMISO PERSONAL DE SEGURIDAD AEROPORTUARIO PERMANENTE VENCIDO, MANIFESTANDO ADEMAS NO PODER PRECISAR FECHA NI LUGAR DE LA PERDIDA DEL MISMO.</t>
  </si>
  <si>
    <t>5183/10</t>
  </si>
  <si>
    <t>SE PROCEDE A LA APERTURA DE UNA SACA COLECTORA DEL CORREO OFICIAL, SEGÚN CONSTA EN ACTA DEJANDO CONSTANCIA Nº 0394/10, CORRESPONDIENTE A LA PREV. SUM. Nº 092/10, LA SACA IDENTIFICADA CON MARBETE, SLA0210716D555800VAE, PRECINTO N° Y741255, CONTIENE DOS PIEZAS POSTALES. LA 1ª IDENTIFICADA COMO EP65606567AR, RTTE: LUISA SAYAGO, CON DOMICILIO EN EL SALVADOR Nº 125,Bº LA PAZ, PERICO, JUJUY, CP.4610. DEST: IVAN GUSTAVO VILLARROEL, CON DOMICILIO EN ORCADAS DEL SUR Nº 69, Bº LATINOAMERICANO, USHUAIA, TIERRA DEL FUEGO, CP. 9410, LA MISMA QUEDA RETENIDA. LA 2ª PIEZA POSTAL IDENTIFICADA COMO EP661585863, ES ENTREGADA AL SR. ARIAS RUBEN PARA SU REDASPACHO POR NO SER DE INTERES PARA EL PROCEDIMIENTO. LA RETENCION SE REALIZA ANTE LA PRESUNCION DE QUE PUDIERAN CONTENER ALGUN ELEMENTO EN INFRACCION A LA LEY 23737 Y/O 22415, QUEDANDO LA MISMA EN GUARDA EN ESTA UOSP. SE COMUNICO TELEFONICAMENTE AL JUZGADO INTERVINIENTE Y LA APERTURA SE REALIZARA CON LA AUTORIZACION DEL MAGISTRADO ACTUANTE.</t>
  </si>
  <si>
    <t>SIENDO LAS 09:00 HORAS SE PROCEDE A CUMPLIMENTAR LA ORDEN DE SERVICIO Nº 317/10 DE LA URSA I DEL ESTE, CON MOTIVO DE IMPLEMENTAR LAS MEDIDAS DE SEGURIDAD NECESARIAS , EN REFERENCIA A LA PARTIDA DE LA SEÑORA PRESIDENTE CRISTINA FERNANDEZ DE KIRCHNER, ARRIBANDO A ESTE AEROPUERTO METROPOLITANO EN HELICOPTERO MATRICULA H-01 A LAS 11:20 HORAS, Y PARTIENDO EN AERONAVE PRESIDENCIAL T-01 A LAS 11:37 HORAS. DICHO PROCEDIMIENTO FINALIZO A LAS 11:45 HORAS. SIN NOVEDAD</t>
  </si>
  <si>
    <t>PUESTOS DE CONTROL DE ACCESO 1, 2, 8, PORTON 4, PUNTO DE INSPECCION DE CABOTAJE, MOVIL DE DOTACION Y PLAYA DE ESTACIONAMIENTO</t>
  </si>
  <si>
    <t>SIENDO LAS 12:20 HS ARRIBA A ESTE AEROPUERTO LA SEÑORA PRESIDENTE DE LA NACION, SALIENDO VIA TERRESTRE EN VEHICULO DE LA GOBERNACION DE SANTA FE HACIA LA CIUDAD DE SAN GENARO PROVINCIA DE SANTA FE.</t>
  </si>
  <si>
    <t>440-E/10</t>
  </si>
  <si>
    <t>CINTA NUMERO UNO</t>
  </si>
  <si>
    <t>QUE AL RETIRAR SU EQUIPAJE DE LA CINTA DE ARRIBOS SE PERCATA QUE EL MISMO PRECENTABA ROTURAS EN UNA DE SUS MANIJAS Y CARECIA DEL FILM DE SEGURIDAD CON EL CUAL FUERA DESPACHADO.QUE AL APERTURAR LA VALIJA SE PERCATA DE LA EXISTENCIA EN SU INTERIOR DE UNA CAMPERA DEPORTIVA LA CUAL NO RECONOCE COMO DE SU PROPIEDAD Y DEL FALTANTE DE LOS ELEMENTOS DESCRIPTOS.</t>
  </si>
  <si>
    <t>DR. JOSE MARTIN MIGUEL DE ARRIETA</t>
  </si>
  <si>
    <t>DI BENEDETTO, CARMELO S/TENENCIA DE ARMA DE FUEGO DE USO CIVIL SIN LA DEBIDA AUTORIZACION</t>
  </si>
  <si>
    <t>3143/08</t>
  </si>
  <si>
    <t>DI BENEDETTO CARMELO- PRESUNTA INFRACCION LEY 20429.-</t>
  </si>
  <si>
    <t>PRESUNTA INFRACCION LEY 20499</t>
  </si>
  <si>
    <t>EN EL DIA DE LA FECHA SE DA CUMPLIMIENTO A LO ORDENADO EN OFICIO JUDICIAL Nº 2579/10 EN AUTOS CARATULADOS DI BENEDETTO CARMELO S/TENENCIA DE ARMA DE FUEGO DE USO CIVIL SIN LA DEBIDA AUTORIZACION, EXPEDIENTE Nº 3143/08, MEDIANTE EL CUAL S.S DISPONE ELEVAR A ESA SEDE JUDICIAL UN ARMA DE FUEGO, REVOLVER CALIBRE 22 CORTO MARCA ITALO BALILA Nº 349411 CON SEIS MUNICIONES LA CUAL SE ENCONTRABA EN CUSTODIA EN ESTA UOSP DESDE SU SECUESTRO EL DIA 04/07/08.-</t>
  </si>
  <si>
    <t>DI BENEDETTO CARMELO S/TENENCIA DE ARMA DE FUEGO DE USO CIVIL SIN LA DEBIDA AUTORIZACION</t>
  </si>
  <si>
    <t>PRESUNTA INFRACCION A LA LEY Nº 20429</t>
  </si>
  <si>
    <t>EN EL DIA DE LA FECHA SE DA CUMPLIMIENTO A OFICIO Nº 2579/10 ORDENADO POR EL JUZGADO DE INSTRUCCION Y DEL MENOR Nº UNO A CARGO DEL DR CARLOS OSCAR NARVARTE SECRETARIA Nº UNO A CARGO DE JOSE MARTIN MIGUEL DE ARRIETA ELEVANDO AL MISMO UN ARMA DE FUEGO REVOLVER CALIBRE 22 CORTO MARCA ITALO BALILA Nº349411 CON SEIS MUNICIONES DEL MISMO CALIBRE MARCA FM EL QUE FUERA SECUESTRADO POR PREVENCION SUMARIA Nº 05/2008 ELEVADO CON FECHA 05/07/2008 EN AUTOS CARATULADOS DI BENEDETTO CARMELO S/TENENCIA DE ARMA DE FUEGO DE USO CIVIL SIN LA DEBIDA AUTORIZACION</t>
  </si>
  <si>
    <t>5198/10</t>
  </si>
  <si>
    <t>SIENDO LAS 16:05 HS INGRESA A ESTE AEROPUERTO EN VEHICULO DE LA GOBERNACION DE SANTA FE LA SEÑORA PRESIDENTE DE LA NACION. SIENDO LAS 16:15 DESPEGA DESDE ESTE AEROPUERTO EN T-01 LA SEÑORA PRESIDENTA. SE CUMPLIMENTA O.S. 034/10 SIN NOVEDAD.</t>
  </si>
  <si>
    <t>SE AMPLIA PARTE N° 5160 DE FECHA 26 DE AGOSTO DE 2010, REFERENTE AL EXPTE. N° 549/10, CARATULADO INFRACCION LEY 23737 C/JOSE JAVIER TORRES, TRAMITADO EN EL JUZGADO FEDERAL DE SALTA N° 1 A CARGO DEL DR. JULIO LEONARDO BAVIO, SECRETARIA PENAL N° 2 A CARGO DEL DR. SANTIAGO FRENCH, RESPECTO AL ALLANAMIENTO REALIZADO EL DÍA 26/08/10 POR ESTA UOCN Y DC DEL NORTE, EN EL DOMICILIO SITO EN CALLE TENIENTE IBAÑEZ N° 636 B° SAN ROQUE, DE LA CIUDAD DE GENERAL GUEMES, PROVINCIA DE SALTA. SE INFORMA QUE EL DIA 27/08/10, SE ENTREGO EN LA SEDE DEL JUZGADO FEDERAL N° 1, LAS ACTUACIONES REALIZADAS-SUMARIO PREVENTIVO N° 02/10 Y LAS TRES MADERAS SECUESTRADAS, PRODUCTO DEL ALLANAMIENTO. ADEMAS SE REALIZO UN PEDIDO AL JUEZ INTERVINIENTE EN LA CAUSA, SOLICITANDO OFICIOS A LAS DIFERENTES EMPRESAS PRESTATARIAS DE TELEFONIA MOVIL COMO CLARO, PERSONAL, MOVISTAR, A LOS FINES DE REQUERIR TITULARIDAD, LISTADOS DE LLAMADAS ENTRANTES Y SALIENTES CON DIRECCION DE CELDAS, IMEI Y TODA OTRA INFORMACION DE IMPORTANCIA, A LOS FINES DE CUMPLIMENTAR OFICIO N° 2494/10, DE FECHA 25/08/10, EL CUAL ORDENA PRACTICAR EL ANALISIS DEL TELEFONO CELULAR MARCA NOKIA, SECUESTRADO EN AUTOS POR LA POLICIA DE LA PROVINCIA DE SALTA, EL CUAL YA SE ENCUENTRA EN PODER DE ESTA UOCN Y DC DEL NORTE, ENTREGADO POR EL JUZGADO FEDERAL N° 1, MEDIANTE ACTA DE ENTREGA EL DIA 26/08/10. EL DIA 27/08/10 SE ENTREGO NOTA EN EL REGISTRO NACIONAL DE PROPIEDAD DEL AUTOMOTOR N° 1 DE SALTA, A LOS FINES DE SOLICITAR TODA INFORMACION EN RELACION AL DOMINIO XJS-945, A LOS FINES DE CUMPLIMENTAR OFICIO N° 2497/10, DE FECHA 25/08/10. SE AMPLIARA UNA VEZ OBTENIDA DICHA INFORMACION</t>
  </si>
  <si>
    <t>INFORMO EN EL DIA DE LA FECHA DESPEGA AERONAVE LV-BRJ, TRANSPORTANDO AL DOCTOR NESTOR KIRCHNER JUNTO CON SU COMITIVA, CON DESTINO AEROPARQUE, FINALIZANDO EL OPERATIVO SIN NOVEDAD</t>
  </si>
  <si>
    <t>SIENDO LAS 15:50 HORAS, SE PROCEDE A DAR CUMPLIMIENTO A LA ORDEN DE SERVICIO Nº 317/10 DE LA URSA I DEL ESTE, CON MOTIVO DE IMPLEMENTAR LAS MEDIDAS DE SEGURIDAD NECESARIAS, EN REFERENCIA AL ARRIBO DE LA SEÑORA PRESIDENTE CRISTINA FERNANDEZ DE KIRCHNER, LA CUAL ARRIBO A ESTE AEROPUERTO METROPOLITANO EN AERONAVE PRESIDENCIAL T-01 A LAS 16:45 HORAS, RETIRANDOSE DE ESTA JURISDICCION EN HELICOPTERO H-01 16:51 HORAS. DICHO PROCEDIMIENTO FINALIZO 17:05 HORAS SIN NOVEDAD.</t>
  </si>
  <si>
    <t>SIENDO LAS 19 HORAS DEL DIA DE LA FECHA, SE HACE PRESENTE EL SR. SANTANA ALEJANDRO DNI Nº 16.295.954, EMPLEADO DE LA EMPRESA HAEROHANDLING S.A, MANIFESTANDO HABER EXTRAVIADO SU PERMISO PERSONAL AEROPORTUARIO Nº 239752 CON FECHA DE VENCIMIENTO 18/03/2010, QUIEN NO PUDO PRECISAR MAYORES DATOS DEL LUGAR O DE LAS CIRCUNSTACIA EN EL CUAL SE PRODUJO LA PERDIDA DEL CITADO PERMISO.</t>
  </si>
  <si>
    <t>AEROHANDLING</t>
  </si>
  <si>
    <t>SIENDO LAS 19:10 HORAS DEL DIA DE LA FECHA SE HACE PRESENTE EL SEÑOR DISTEFENO ROBERTO DNI Nº 18.206.600, EMPLEADO DE LA EMPRESA AEROLINEAS ARGENTINAS, MANIFESTANDO HABER EXTRAVIADO EL PERMISO PERSONAL AEROPORTUARIO Nº 255746 CON VENCIMIENTO EL 29/07/2009 PERTENECIENTE A LA FUERZA AEREA ARGENTINA Y EL Nº 239698 CON VENCIMIENTO EL 18/03/2009 DE LA EMPRESA AEROLINEAS ARGENTINAS, QUIEN NO PUDO PRECISAR MAYORES DATOS DEL LUGAR O DE LAS CIRCUNSTACIAS EN EL CUAL SE PRODUJO LA PERDIDA DE AMBOS PERMISOS.</t>
  </si>
  <si>
    <t>SIENDO LA FECHA Y HORA ANTES MENCIONADA, EN MOMENTOS EN QUE LOS OFICIALES CARABAJAL Y KALENBERG SE ENCONTRABAN EN UNA RECORRIDA POR EL SECTOR MENCIONADO CON ANTERIORIDAD, OBSERVAN Y SORPRENDEN A UNA PERSONA DE SEXO MASCULINO, LA CUAL SE ENCONTRABA ASCENDIENDO A LA PARTE TRASERA DEL HABITACULO DE UN VEHICULO A PASAJEROS RECIEN ARRIBADOS AL PAIS FUERA DE LOS LUGARES HABILITADOS, SE PROCEDE A A SOLICITAR LA HABILITACION PARA TAL FIN CARECIENDO DE LA MISMA,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</si>
  <si>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JUAN MANUEL GUTIERREZ</t>
  </si>
  <si>
    <t>POLICIA DE SEGURIDAD AEROPORTUARIA S/ AV. PSTA. INF. LEY 23.737</t>
  </si>
  <si>
    <t>8905/2010</t>
  </si>
  <si>
    <t>EN EL DIA DE LA FECHA SE PROCEDE A PRESTAR COLABORACION EN LA CUSTODIA Y TRASLADO DE UNA PERSONA DETENIDA, DESDE LA SALA DE PREEMBARQUE HASTA LA UBICACION DE LA MISMA EN LA AERONAVE, SEGUN LO ORDENADO POR EL JUZGADO DE PRIMERA INSTANCIA DE COMODORO RIVADAVIA A LA POLICIA FEDERAL ARGENTINA, POR OFICIO Nº 1902/2010, DE LA CAUSA Nº 8905/10 CARATULADA POLICIA DE SEGURIDAD AEROPORTUARIA S/ AV. PSTA. INF. LEY 23737</t>
  </si>
  <si>
    <t>RESISTENCIA CONTRA LA AUTORIDAD</t>
  </si>
  <si>
    <t>EN EL DIA DE LA FECHA SIENDO LAS HS 15.10 EN OCASIÓN DE ESTAR REALIZANDO UNA PATRULLA POR EL SECTOR PUBLICO, CALLE DE CIRCULACION FRENTE A LA AEROESTACION EL OF. AY. CUEVAS LUCAS , DETECTA LA PRESENCIA DE UN VEHICULO ,MARCA VW POLO DOMINIO DOQ 392, EN UN SECTOR NO PERMITIDO POR LO CUAL PROCEDE A INVITAR A SU CONDUCTOR A RETIRAR EL VEHICULO SIENDO LA RESPUESTA DE ESTE EXHABRUPTA ,MOTIVO POR EL CUAL LE INFORMA LA JEFE DEL TURNO EL OF PPAL CRUZ IVAR, EL CUAL SE APERSONA LA LUGAR ,REITERANDO LA SOLICITUD DE RETIRAR EL VEHICULO DEL LUGAR ANTE ELLO EL CONDUTOR DEL MISMO PROCEDIO DE MANERA IMPETUOSA A REALIZAR UNA MANIOBRA CON EL VEHICULO, LA CUAL MOTIVO QUE LOS PASAJEROS QUE EN ESE MOMENTO PASABAN POR EL LUGAR SE EXALTARAN COMO ASI TAMBIEN ROZO CON UNA DE LAS PARTES DEL VEHICULO AL OFICAL CUEVAS SIN OCASIONAR LESIONES EN SU PERSONA. POR LO CUAL MOTIVO A INVITAR EL DESCENSO DEL VEHICULO AL CONDUCTOR PRODUCIENDOSE TAL ACCION DE UNA MANERA NERVIOSA, IMPETUOSA Y AGRESIVA HACIA LOS OFICIALES, OBSERVANDOSE UNA ALTERACION EN LA PERSONA LO CUAL TRAJO COMO CONSECUENCIA EL DESVANECIMIENTO, SOLICITANDO LA PRESENCIA DE PERSONAL DE SANIDAD PARA SU ATENCION. EL CUAL LO MEDICA CON TRANQUILIZANTES, DERIVANDOLO LUEGO A UN NOSOCOMIO. DANDOSE LA NOVEDAD AL JUZGADO DE TURNO POR LO CUAL LA DRA GRANILLO VALDEZ DISPONE SE REALICE EL TRASLADO CON PERSONAL DE ESTA UOSP A DICHO NOSOCOMIO, EN CALIDAD DE DETENIDO COMUNICADO, UNA VEZ OBTENIDA EL ALTA DEL SR. ALVAREZ ANGEL EDGAR SE TRASLADE A LA UOSP HASTA SE CONSTATE SU DOMICILIO Y ANTECEDENTES. DANDO COMO RESULTADO DE DICHA DILIGENCIA QUE EL MISMO NO REGISTRA ANTECEDENTES Y LA VERACIDAD DEL DOMICILIO. INFORMANDOSE AL MAGISTRADO INTERVINIENTE QUIEN ORDENA SU LIBERACION. EFECTIVIZANDOSE LA MISMA A HORAS 2110. POSTERIORMENTE SE ELEVARAN LAS ACTUACIONES.-</t>
  </si>
  <si>
    <t>INFRACCION A LOS ARTS 78 y 85 DEL DECRETO LEY 8031/73</t>
  </si>
  <si>
    <t>SIENDO LA FECHA Y HORA ANTES MENCIONADA, EN MOMENTOS EN QUE LOS OFICIALES KALENBERG Y CARABAJAL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</si>
  <si>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CABINAS DE SALIDA</t>
  </si>
  <si>
    <t>QUE EN MOMENTOS EN QUE EL PERSONAL POLICIAL ACTUANTE SE ENCONTRABA APOSTADO EN LA DENOMINADA TAQUILLA DE ESTA TERMINAL, OBSERVA UN VEHICULO PARTICULAR QUIEN TRASLADABA EN EL ASIENTO TRASERO A DOS PASAJEROS RECIEN ARRIBADOS AL PAIS. QUE AL SOLICITARLE AL CONDUCTOR LA DOCUMENTACION HABILITANTE PARA EFECTUAR EL SERVICIO QUE LLEVABA A CABO, EL MISMO MANIFIESTA NO POSEERLA , MOTIVO POR EL CUAL SE PROCEDE AL LABRADO DE LAS ACTUACIONES CORRESPONDIENTES.</t>
  </si>
  <si>
    <t>QUE EL DIA 26 DEL CORRIENTE MES Y AÑO ABORDO EL VUELO Nº LA 4276 DE LA EMPRESA LAN, CON DESTINO A LA CIUDAD DE NEUQUEN. AL LLEGAR A LA CIUDAD DE NEUQUEN A LAS 19:20 HORAS SE PERCATA DEL FALTANTE DEL TELEFONO CELULAR. RAZON POR LA CUAL EN EL DIA DE LA FECHA SE HACE PRESENTE A LOS EFECTOS DE RADICAR LA CORRESPONDIENTE DENUNCIA PENAL.-</t>
  </si>
  <si>
    <t>LA 4276</t>
  </si>
  <si>
    <t>GUILLERMO RODRIGUEZ HERNANDEZ S/DENUNCIA</t>
  </si>
  <si>
    <t>GUILLERMO RODRÍGUEZ HERNÁNDEZ S/DENUNCIA</t>
  </si>
  <si>
    <t>PARKING Nº 2, CERCA DE RESTAURANTE IL LEGNO</t>
  </si>
  <si>
    <t>ESTACIONAMIENTO DESCUBIERTO PARKING NORTE</t>
  </si>
  <si>
    <t>QUE EL DIA 27 DEL CORRIENTE MES Y AÑO SIENDO LAS 21:00 HORAS ARRIBO A ESTE AEROPUERTO METROPOLITANO. LUEGO DE RETIRAR SUS EQUIPAJES SE DIRIGÍO HACIA EL ESTACIONAMIENTO DESCUBIERTO PARKING NORTE, DONDE HABÍA DEJADO ESTACIONADO SU VEHICULO EL DÍA JUEVES 26 DEL CORRIENTE MES EN EL PARKING 2, CERCA DEL RESTAURANTE IL LEGNO, DONDE SIENDO LAS 21: 40 HORAS SE DIRIGIO HACIA SU DOMICILIO PARTICULAR, EN DONDE SE PERCATO QUE HABÍA DEJADO OLVIDADO EN EL ESTACIONAMIENTO DOS EQUIPAJES POR LO QUE SE HIZO PRESENTE EN ESTA GUARDIA A EFECTUAR LA DENUNCIA CORRESPONDIENTE</t>
  </si>
  <si>
    <t>SE RECEPCIONA DENUNCIA DE EXTRAVÍO Nº 011/2010 POR PARTE DE LA SEÑORITA PORINI ROMINA, EMPLEADA DE LA EMPRESA LONDON SUPPLY, QUIEN MANIFIESTA EL EXTRAVÍO DE SU PERMISO PERSONAL AEROPORTUARIO, NRO 270183 CON VENCIMIENTO EL 21 DE ENERO DE 2010, QUIEN NO RECUERDA EL MOMENTO NI EL LUGAR EN EL QUE SE PRODUJO EL EXTRAVÍO DEL MISMO.-</t>
  </si>
  <si>
    <t>DIRECCION NACIONAL DE MIGRACIONES</t>
  </si>
  <si>
    <t>EXPTE. 584-21839-04</t>
  </si>
  <si>
    <t>PUERTA DE EMBARQUE Nº2</t>
  </si>
  <si>
    <t>INFORMO QUE EN EL CONTROL DE DOCUMENTACIÓN DE PASAJEROS DEL VUELO NRO. 4023 DE LA EMPRESA LAN LÍNEAS AÉREAS SE DETECTA A TRAVÉS DEL SISTEMA DE INTERPOL EL PEDIDO DE PARADERO VIGENTE SOLICITADO POR LA DIRECCION NACIONAL DE MIGRACIONES DEL SR. JOSE ANTONIO CRUZ GUARNIZ A CONTINUACION SE RECEPCIONA ACTA DE INTERPOL Y SE PROCEDE A NOTIFICAR AL CAUSANTE QUE DEBERÁ COMPARECER ANTE DICHO ORGANIZMO DE LUNES A VIERNES DE 07:30 HS A 18:00 HS PARA REGULARIZAR SU SITUACIÓN DANDO CUMPLIMIENTO A LO REQUERIDO POR EL ORGANIZMO SOLICITANTE DE LA MEDIDA</t>
  </si>
  <si>
    <t>LA 4023</t>
  </si>
  <si>
    <t>EN EL DIA DE LA FECHA 28 DE AGOSTO DEL 2010 SE HACE PRESENTE EN LAS OFINAS DE IDENTIFICACION Y REGISTRO DE ESTA UOSP,MARCOS GABRIEL VARELA QUIEN ACREDITO SU IDENTIDAD MEDIANTE EL DNI Nº 30085833,DE PROFESION EMPLEADO DE LA FIRMA AEROLINEAS ARGENTINAS CON SEDE EN ESTA CIUDAD A FIN DE INFORMAR EL EXTRAVIO DEL PERMISO DE SEGURIDAD AEROPORTUARIO Nº 239735 CON VENCIMIENTO EL 18 DE MARZO DE 2009 A SU NOMBRE,SIN PODER PRECISAR DATOS DEL LUGAR O LAS CIRCUNSTANCIAS EN EL QUE SE PRODUJO EL EXTRAVIO DEL PERMISO.</t>
  </si>
  <si>
    <t>UFI N° 7</t>
  </si>
  <si>
    <t>LODOLA</t>
  </si>
  <si>
    <t>A 3500 METROS DE LA AEROESTACION</t>
  </si>
  <si>
    <t>SIENDO APROXIMADAMENTE LAS 10:10 HS DEL DIA DE LA FECHA, EN MOMENTOS EN QUE EL MOVIL DE DOTACION NRO 064, COMIENZA LA SEGUNDA RECORRIDA PERIMETRAL, EN CUMPLIMIENTO DE LA ORDEN DE SERVICIO PERMANENTE NRO 037/10, LOS OFICIALES MARTINEZ RENE Y BORNIA CARLOS ME INFORMAN EL FALTANTE DE LAS TRES HILERAS DE ALAMBRE DE PUA, EN LA EXTENSION CORRESPONDIENTE AL TRAMO DE OCHO PAÑOS DEL ALAMBRADO PERIMETRAL, IDENTIFICADO EN LAS COORDENADAS O25 Y O26, SEGUN LA GRILLA ESQUEMATICA DE ESTE AEROPUERTO. SE DA AVISO A AA2000, QUIENES APROXIMADAMENTE A LAS 10:50HS REALIZAN LA DENUNCIA CORRESPONDIENTE. NO SE ENCONTRARON ELEMENTOS DE CORTE NI SE OBSERVARON HUELLAS EN EL LUGAR NI DATOS DE INTERES.</t>
  </si>
  <si>
    <t>SIENDO LA FECHA Y LA HORA ANTES MENCIONADA PERSONAL POLICIAL DESTACADO EN EL PREEMBARQUE AL MOMENTO DE EFECTUAR EL CONTROL DE SALIDAS DE LOS PASAJEROS DEL VUELO DE MENCION, DETECTO A TRAVES DE LA MAQUINA DE RAYOS X QUE EN EL INTERIOR DE UNA CAMPERA DE CUERO DE COLOR NEGRO QUE PORTABA UNA PASAJERA OBRABAN DOS BULTOS RECTANGULARES DE SUSTANCIA ORGANICA, SIN PODER DETERMINAR DE QUE TIPO DE SUSTANCIA SE TRATABA, QUE OBTENIDA AUTORIZACION JUDICIAL, SE PROCEDIO A LA REQUISA DE LA CAMPERA ARROJANDO COMO RESULTADO LA EXISTENCIA DE DOS FAJOS CON BILLETES DE CIEN DOLARES ESTADOUNIDENSES. QUE DEL RECUENTO DE DICHA SUMA ARROJO EL SIGUIENTE RESULTADO: "FAJO 1", CIENTO SETENTA BILLETES DE CIEN DÓLARES ESTADOUNIDENSES Y "FAJO 2", TRESCIENTOS SESENTA Y TRES BILLETES DE CIEN DÓLARES ESTADOUNIDENSES. QUE POR ORDEN JUDICIAL SE PROCEDIO AL SECUESTRO DE LAS DIVISAS LAS QUE SERAN REMITIDAS A SEDE JUDICIAL EL DIA 30/08/2010. QUE LA CAUSANTE FUE NOTIFICADA QUE SE ENCUENTRA IMPUTADA Y FUE CITADA MEDIANTE CEDULA PARA PRESENTARSE EN SEDE JUDICIAL EL DIA 30/08/2010. ASIMISMO PREVIAMENTE AL SECUESTRO DE LAS DIVISAS SE REINTEGRO A LA CAUSANTE LA SUMA DE CIEN BILLETES DE CIEN DOLARES ESTADOUNIDENSES HABIDOS EN EL FAJO 1, DILIGENCIA QUE FUE ORDENADA POR EL JUZGADO INTERVINIENTE. ASIMISMO SE LIBRO IMPEDIMENTO DE SALIDA DE LA CAUSANTE ANTE LA D.N.M. DE EZEIZA.</t>
  </si>
  <si>
    <t>FRENTE EDIFICIO PRINCIPAL SECTOR ESTACIONAMIENTO</t>
  </si>
  <si>
    <t>ESTACIONAMIENTO TRANSPORTE DE PASAJEROS TAXIS Y REMIS</t>
  </si>
  <si>
    <t>EN CUMPLIMIENTO A ORDEN DE SVC Nº 035 DE FECHA 27/AGO/2010 LA CUAL DISPUSO LA PREVENCION DE HECHOS ATENTATORIOS CONTRA LA SEGURIDAD AEROPORTUARIAS EN AREAS PUBLICAS, MEDIANTE EL CONTROL DE VEHICULOS Y PERSONAS, COMO ASI TAMBIEN EN VEHICULOS DE TRANSPORTE PUBLICOS, CHOFERES Y PASAJEROS, CONJUNTAMENTE CON PERSONAL DE TRANSPORTE DE LA MUNICIPALIDAD DE NEUQUEN. DANDOSE INICIO AL PROCEDIMIENTO A LAS 23:00 HS, SIENDO LAS 23:45 HS INSPECTORES DE TRANSPORTE DE LA MUNICIPALIDAD DE NEUQUE, SR. CHISTIAN PONCE LP Nº 6941/0, SR. FERNANDO BALLESTEROS LP Nº 7062/0, SR. MARIO HUARTE LP Nº 43067 Y SR. ADOLFO JARA LP Nº 6144/0, PROCEDEN A LA RETENCION DE VEHICULO FIAT SIENA DOMINIO GME 141 DE LA EMPRESA RADIO TAXI CIPOLLETTI, Nº DE INTERNO DE MOVIL 254, CONDUCIDO POR EL SEÑOR GUSTAVO ALONSO, D.N.I 22.089.795, DOMOCILIADO EN CALLE ESTADO DE ISRAEL S/N DE LA CIUDAD DE CIPOLLETTI PROVINCIA DE RIO NEGRO,Y VEHICULO FIAT DUNA DOMINIO DBL 790 DE LA EMPRESA TAXI CIPOLLETTI MOVIL Nº 086, CONDUCIDO POR EL SR NAHUEL DARIO LUQUED.N.I 28.740.416. LABRAN LAS ACTUACIONES RESPECTIVAS EL PERSONAL DE TRANSPORTE EN LAS INSTALACIONES DEL DEPOSITO DE LA DIRECCION GENERAL DE TRANSPORTE DE LA MUNICIPALIDAD DE NEUQUEN, LUGAR HASTA DONDE SE EFECTUO EL ACOMPAÑAMIENTO SEGUN ORDEN DE SVC Nº 037 DE FECHA 28/AGO/2010 CON VEHICULO DE DOTACION PICK UP DOMINIO DWQ 063 A CARGO DEL OF. JEFE SERGIO SEVENANTS Nº DE CONTROL 500.547, HACIENDOSE CARGO EN DICHO LUGAR POLICIA DE LA PROVINCIA DE NEUQUEN A CARGO DEL OF. SUBINSPECTOR RUBEN DE LA FUENTE, REGRESANDO EL PERSONAL COMISIONADO A ESTA UOSP A LA HORA 03:30 SIN NIVEDAD.</t>
  </si>
  <si>
    <t>CINTA NRO 1.</t>
  </si>
  <si>
    <t>SIENDO LA HORA INDICADA LA DENUNCIANTE ARRIBA AL TERRITORIO NACIONAL, UNA VEZ QUE TOMA CONTACTO CON EL BOLSO QUE HABIA DESPACHADO EN LA CIUDAD DE ORIGEN CERRADO CON DOS CANDADOS, PERCATANDOSE EN ESE ACTO QUE AMBOS CANDADOS FALTABAN DE LOS CIERRES Y QUE LAS PRESILLAS DE LOS MISMOS SE ENCONTRABAN ROTAS, SEGUIDAMENTE LA DENUNCIANTE APERTURA EL BOLSO EN CUESTION Y SE PERCATA DEL FALTANTE DE LOS ELEMENTOS POSTERIORMENTE ENUNCIADOS, ACTO SEGUIDO SE HACE PRESENTE EN ESTA DEPENDENCIA Y REALIZA LA CORRESPONDIENTE DENUNCIA.</t>
  </si>
  <si>
    <t>UX041</t>
  </si>
  <si>
    <t>VIGO</t>
  </si>
  <si>
    <t>DRA. PAZ</t>
  </si>
  <si>
    <t>"S/LESIONES"</t>
  </si>
  <si>
    <t>Nº2253/7 Y</t>
  </si>
  <si>
    <t>NOTIFICACION PSA BENITEZ, VICTOR</t>
  </si>
  <si>
    <t>INFORMO QUE EN EL DIA DE LA FECHA SE PRESENTA ANTE EL CONTROL RED LINCE EL CIUDADANO BENITEZ VICTOR MARTIN - DNI Nº17.210.541, SOBRE QUIEN RECAE UNA SOLICITUD DE CAPTURA SEGÚN REGISTROS 271994 Y REGISTRO 271763, DEL SISTEMA INSTITUCIONAL RED LINCE. EN EL MARCO DE LOS AUTOS EN REFERENCIA SE PROCEDIÓ A CONSULTAR AL TRIBUNAL INTERVINIENTE RESPECTO DE LA VIGENCIA DE LA MEDIDA DISPUESTA OPORTUNAMENTE, A LO CUAL LA DRA. LAURA PAZ A CARGO DEL TRIBUNAL DISPONE SE NOTIFIQUE AL IMPUTADO Y QUE DEBERÁ PRESENTARSE ANTE LOS ESTRADOS DEL JUZGADO INTERVINIENTE DENTRO DE LAS 72HS. POSTERIOR A SU NOTIFICACIÓN CON EL FIN DE REGULARIZAR SU SITUACIÓN JUDICIAL.</t>
  </si>
  <si>
    <t>DR. MANUEL ALBERTO PIZARRO</t>
  </si>
  <si>
    <t>PRESUNTO ROBO NN</t>
  </si>
  <si>
    <t>PLANTA BAJA DEL EDIFICIO SECTOR ESTE DE LA AEROESTACION</t>
  </si>
  <si>
    <t>EN EL DIA DE LA FECHA SIENDO LAS 20:15 HS LOCAL SE PRESENTA EN ESTA UNIDAD OPERACIONAL LA SEÑORITA BRENDA MARCELA ROJAS D.N.I. 25.722.035, QUIEN DESEA RADICAR UNA DENUNCIA SOBRE EL FALTANTE DE LOS ELEMENTOS QUE SE ENCONTRABAN EN SU EQUIPAJE DESPACHADO. REALIZADAS LAS COMUNICACIONES DE RIGOR CON EL JUZGADO FEDERAL DE PRIMERA INSTANCIA DE COMODORO RIVADAVIA ESTE ORDENA REALIZAR LAS ACTUACIONES Y DERIVAR LAS MISMAS AL MINISTERIO PUBLICO FISCAL DE LA PROVINCIA DEL CHUBUT, A CARGO DEL DR. MARIANO NICOSIA FISCAL DE TURNO.</t>
  </si>
  <si>
    <t>QUE EN EL DIA DE LA FECHA SIENDO APROXIMADAMENTE LAS 00:30 HORAS, ARRIBO EN EL VUELO Nº 1245 DE AEROLÍNEAS ARGENTINAS PROCEDENTE DE SAN PABLO, Y LUEGO DE RETIRAR SUS DOS EQUIPAJES Y COLOCARLOS EN UN CARRO PORTA EQUIPAJES, SE DIRIGIÓ HACIA LA EMPRESA DE REMIS TRANSFER EXPRESS DONDE CONTRATO UN VEHICULO, EL CUAL TENIA UN TIEMPO DE DEMORA DE APROXIMADAMENTE 30 MINUTOS. PASADO ESE LAPSO, AL MOMENTO DE COLOCAR SUS EQUIPAJES EN EL VEHICULO REMIS, SE PERCATA DEL FALTANTE DE UNO DE SUS EQUIPAJES.SE HACE PRESENTE EN ESTA GUARDIA DE PREVENCION A EFECTOS DE RADICAR LA CORRESPONDIENTE DENUNCIA.-</t>
  </si>
  <si>
    <t>PRIMER PISO PREEMBARQUE 1/16</t>
  </si>
  <si>
    <t>DURANTE EL CONTROL DE PASAJEROS DEL VUELO DE MENCION, AL PASAR A UNA PASAJERA TRAVES DEL MARCO DETECTOR ACTIVO LA ALARMA POR LO CUAL PERSONAL POLICIAL PROCEDIO A EFECTUAR UN CHEQUEO MANUAL NOTANDO QUE LA PASAJERA PRESENTABA BULTOS EXTRAÑOS QUE NO SE CORRESPONDIAN CON LA FISONOMIA HUMANA A LA ALTURA DEL PECHO Y A LA ALTURA DEL ABDOMEN. QUE EFECTUADA LA REQUISA DE LA PASAJERA ARROJO COMO RESULTADO LA PRESENCIA DE DOS PAQUETES EN EL INTERIOR DE CADA UNA DE LAS TAZAS DE SU CORPIÑO DENOMINADOS PAQUETE 1 Y 2, A LA ALTURA DEL ABDOMEN SUJETOS MEDIANTE FAJA DE TELA UN PAQUETE DENOMINADO PAQUETE 3 Y DEBAJO DE ESTE UN CUARTO PAQUETE. LOS DOS PAQUETES QUE SE ENCONTRABAN EN EL ABDOMEN CONTENIAN EN SU INTERIOR LA SUSTANCIA DENTRO DE CAPSULAS. QUE DE CADA UNO DE LOS PAQUETES SE EXTRAJO UNA PEQUEÑA MUESTRA DE SUSTANCIA QUE SOMETIDA A PRUEBA DE CAMPO CON REACTIVO QUIMICO PARA COCAINA ARROJO RESULTADO POSITIVO. SEGUIDAMENTE SE COMENZO CON LAS ATUACIONES DE RIGOR, PERMANECIENDO LA CAUSANTE EN CALIDAD DE DETENIDA-INCOMUNICADA A DISPOSICION JUDICIAL EN ESTA DEPENDENCIA.</t>
  </si>
  <si>
    <t>UX-044</t>
  </si>
  <si>
    <t>SIENDO LAS 19:25 HS. SE PRESENTA EN LA DE PREVENCION LA SRTA. GROSSO CINTIA PARA RADICAR UNA DENUNCIA POR EL ROBO DE ELEMENTOS DENTRO DEL EQUIPAJE DESPACHADO POR BODEGA DEL VUELO DE AEROLINEAS ARGENTINAS 2428 DEL DIA MIERCOLES 25 DE AGOSTO POR TAL MOTIVO SE REALIZA COMUNICACION TELEFONICA CON LA AUTORIDAD JUDICIAL DE TURNO LA CUAL DISPONE :1° SE TOME LA DENUNCIA Y SE REALICEN LAS ACTUACIONES CORRESPONDIENTES 2° SE ELEVEN LAS MISMAS UNA VEZ FINALIZADAS.A LO QUE SE LE DA ESTRICTO CUMPLIMIENTO</t>
  </si>
  <si>
    <t>BUENOS AIRES -AEP</t>
  </si>
  <si>
    <t>DRA. ANA MERCEDES ORGEIRA</t>
  </si>
  <si>
    <t>NOTAS DE HABILITACION N°230/10H, 232/10H, 233/10H, 234/10H, 236/10H.-</t>
  </si>
  <si>
    <t>INFORMO EN EL DIA DE LA FECHA EN VUELO LD-470 DE LA EMPRESA LADE LIMEAS AEREAS DEL ESTADO, SE ENVIA BAJO GUIA DE CARGA N° 022-28004336 UN 01 CERRADO CONTENIENDO NOTAS DE HABILITACION N° 230/10H, 232/10H, 233/10H, 234/10H, 236/10H DE LA HABILITACION DEL JUZGADO FEDERAL DE USHUAIA.CONFORME A LO DISPUESTO MEDIANTE OFICIO DE FECHA 27/08/10 POR S.SA. DR. FEDERICO CALVETE A/C DEL JUZGADO FEDERAL USHUAIA. ASI MISMO INFORMO QUE SE ESTIMA EL ARRIBO DEL VUELO A LA CIUDAD DE COMODORO RIVADAVIA A LAS 15:00HS APROXIMADAMENTE.-</t>
  </si>
  <si>
    <t>LD-470</t>
  </si>
  <si>
    <t>USHUAIA-TIERRA DEL FUEGO</t>
  </si>
  <si>
    <t>DR. MARCELO A. MUFFATTI</t>
  </si>
  <si>
    <t>EXPTE. Nº 584-17493-94</t>
  </si>
  <si>
    <t>NOTIFICACIÓN POR PEDIDO PARADERO</t>
  </si>
  <si>
    <t>PREEMBARQUE PUERTA NRO. 2</t>
  </si>
  <si>
    <t>INFORMO QUE EN EL CONTROL DE DOCUMENTACIÓN DE PASAJEROS DEL VUELO NRO. 2725 DE LA EMPRESA AUSTRAL LÍNEAS AÉREAS SE DETECTA A TRAVÉS DEL SISTEMA DE INTERPOL EL PEDIDO DE PARADERO VIGENTE SOLICITADO POR JUZGADO CRIMINAL DE INSTRUCCIÓN Nº 39 - SECRETARIA Nº 135 DEL SR. RAÚL ÁNGEL CHITRANGULO A CONTINUACIÓN SE RECEPCIONA ACTA DE INTERPOL Y SE PROCEDE A NOTIFICAR AL CAUSANTE QUE DEBERÁ COMPARECER ANTE DICHO JUZGADO EN EL TÉRMINO DE CINCO DÍAS HÁBILES PARA REGULARIZAR SU SITUACIÓN DANDO CUMPLIMIENTO A LO REQUERIDO POR EL JUZGADO SOLICITANTE</t>
  </si>
  <si>
    <t>NAC DE 1º INST EN LO CRIMINAL DE INST Nº 12</t>
  </si>
  <si>
    <t>Warley</t>
  </si>
  <si>
    <t>Ricardo Arturo</t>
  </si>
  <si>
    <t>JULIO ANDRES HERRERA</t>
  </si>
  <si>
    <t>EXPTE 584-23908-92 DEFRAUDACION</t>
  </si>
  <si>
    <t>INFORMO QUE EN EL CONTROL DE DOCUMENTACIÓN DE PASAJEROS DEL VUELO NRO. 2725 DE LA EMPRESA AUSTRAL LÍNEAS AÉREAS SE DETECTA A TRAVÉS DEL SISTEMA DE INTERPOL EL PEDIDO DE PARADERO VIGENTE SOLICITADO POR JUZGADO CRIMINAL DE INSTRUCCIÓN Nº 12 - SECRETARIA Nº 135 DEL SR. RAÚL ÁNGEL CHITRANGULO ANTE EL HECHO PERSONAL DE INTERPOL REALIZA UN ACTA Y ENTREGA AL JEFE DE TURNO EL CUAL CONFECCIONA ACTA DE NOTIFICACIÓN DANDO CUMPLIMIENTO A LO REQUERIDO POR JUZGADO SOLICITANTE DE LA MEDIDA Y SE NOTIFICA AL CAUSANTE QUE DEBERÁ COMPARECER ANTE DICHO JUZGADO DENTRO DE LOS CINCOS DÍAS HÁBILES DE LABRADA LA MISMA PARA REGULARIZAR SU SITUACIÓN JUDICIAL.</t>
  </si>
  <si>
    <t>SECRETARIA N° 157</t>
  </si>
  <si>
    <t>ALEJANDRO H. FERRO</t>
  </si>
  <si>
    <t>EXPTE. N° 584-23321-89TENT. DE EXTORSION</t>
  </si>
  <si>
    <t>PREEMBARQUE PUERTA Nº 2</t>
  </si>
  <si>
    <t>INFORMO QUE EN EL CONTROL DE DOCUMENTACIÓN DE PASAJEROS DEL VUELO NRO. 2725 DE LA EMPRESA AUSTRAL LÍNEAS AÉREAS SE DETECTA A TRAVÉS DEL SISTEMA DE INTERPOL EL PEDIDO DE PARADERO VIGENTE SOLICITADO POR JUZGADO CRIMINAL DE INSTRUCCIÓN Nº 19 - SECRETARIA Nº 157 DEL SR. RAÚL ÁNGEL CHITRANGULO ANTE EL HECHO PERSONAL DE INTERPOL REALIZA UN ACTA Y ENTREGA AL JEFE DE TURNO EL CUAL CONFECCIONA ACTA DE NOTIFICACIÓN DANDO CUMPLIMIENTO A LO REQUERIDO POR JUZGADO SOLICITANTE DE LA MEDIDA Y SE NOTIFICA AL CAUSANTE QUE DEBERÁ COMPARECER ANTE DICHO JUZGADO DENTRO DE LOS CINCOS DÍAS HÁBILES DE LABRADA LA MISMA PARA REGULARIZAR SU SITUACIÓN JUDICIAL</t>
  </si>
  <si>
    <t>NAC DE 1º INST EN LO CRIMINAL DE INST Nº 20</t>
  </si>
  <si>
    <t>SECRETARIA N° 162</t>
  </si>
  <si>
    <t>Paisan</t>
  </si>
  <si>
    <t>Elizabeth Alejandra</t>
  </si>
  <si>
    <t>PABLO D. BEBEBINO</t>
  </si>
  <si>
    <t>EXPTE. N 584-6820-2000 PEDIDO JUDICIAL</t>
  </si>
  <si>
    <t>INFORMO QUE EN EL CONTROL DE DOCUMENTACIÓN DE PASAJEROS DEL VUELO NRO. 2725 DE LA EMPRESA AUSTRAL LÍNEAS AÉREAS SE DETECTA A TRAVÉS DEL SISTEMA DE INTERPOL EL PEDIDO DE PARADERO VIGENTE SOLICITADO POR JUZGADO CRIMINAL DE INSTRUCCIÓN Nº 20 - SECRETARIA Nº 162 DEL SR. RAÚL ÁNGEL CHITRANGULO ANTE EL HECHO PERSONAL DE INTERPOL REALIZA UN ACTA Y ENTREGA AL JEFE DE TURNO EL CUAL CONFECCIONA ACTA DE NOTIFICACIÓN DANDO CUMPLIMIENTO A LO REQUERIDO POR JUZGADO SOLICITANTE DE LA MEDIDA Y SE NOTIFICA AL CAUSANTE QUE DEBERÁ COMPARECER ANTE DICHO JUZGADO DENTRO DE LOS CINCOS DÍAS HÁBILES DE LABRADA LA MISMA PARA REGULARIZAR SU SITUACIÓN JUDICIAL</t>
  </si>
  <si>
    <t>ACTUACIONES REFERENTE A HALLAZGO DE AEROANE MODELO CESSNA T 210-CHOYA FRIAS- EXP.Nro.5409 Acum.EXP.Nro.5422/10</t>
  </si>
  <si>
    <t>EXP.Nro.5409</t>
  </si>
  <si>
    <t>HANGAR DE LA DIRECCION DE AVICION CIVIL.</t>
  </si>
  <si>
    <t>SIENDO LAS 17:00 HORAS,REALIZANDO UN RECORRIDO POR LA ZONA ISNTALACIONES DE AVIACION CIVIL,MAS PRECISAMENTE POR EL SECTOR DE HANGARES DIVISO EN UNO DE ELLOS UNA AERONAVE DE MATRICULA CP 2606 .ME DIRIJO A LA SECRETARIA DE DICHO ORGANISMO PARA RECABAR DATOS Y ME RECIBE EL SENOR JORGE RICARDO AZAR DNI 13.775.725, DIRECTOR DE LA MISMA Y ME MANIFIESTA QUE LA AERONAVE ANTES MENCIONADA, EL MISMO LA TRASLADO EN EL DIA AYER 28 DE AGOSTO A LAS 18:30 HORAS EN MOMENTOS QUE EL AEROPUERTO SE ENCONTRABA OPERANDO EN FORMA NO CONTROLADA. DESDE LA CIUDAD DE FRIAS DPTO.CHOYA Y QUE LE FUE ENTREGADA PARA RESGUARDO EN UN HANGAR.POR EL JUEZ FEDERAL DR.GUILLERMO MOLINARI SEGUN OFICIO NRO.2088/10 DE FECHA 18 DE AGOSTO DE 2010,ESTA AERONAVE PERTENECE A LOS AUTOS CARATULADOS:ACTUACIONES REFERENTE A HALLAZGO DE AERONAVE MOD.CESSNA T-210 - CHOYA FRIAS- EXP.NRO.5409 ACUM.EXP.NRO.5422/10.DICHA AERONAVE ES MARCA CESSNA CENTURION SERIAL 21062870 DEL AÑO 1978.</t>
  </si>
  <si>
    <t>CIUDAD DE FRIAS-DPTO CHOYA.</t>
  </si>
  <si>
    <t>A LAS 12:50 HS. DEL 18AGO10, EL DENUNCIANTE, DESPACHA EN VUELO AR 2529 DE AEROLÍNEAS ARGENTINAS PARTIENDO DE CÓRDOBA A LAS 13:05 HS. SIENDO SU DESTINO FINAL COMODORO RIVADAVIA CON TRASBORDO EN EL AEROPUERTO JORGE NEWBERY, UNA (01) VALIJA DE TELA COLOR VERDE OSCURO DE 80 X 40 X 20 CM. APROXIMADAMENTE IDENTIFICADA CON MARBETE Nº AR 64-37-40, CERRADA CON CANDADO, CONTENIENDO EN SU INTERIOR ROPAS VARIAS, FOLLETOS Y UNA (01) NOTEBOOK CELM440 512D2 60 DVD WXP ASSETECH. EN EL AEROPUERTO JORGE NEWBERY, REALIZA TRASBORDO DE AERONAVE PARA DIRIGIRSE FINALMENTE EN EL VUELO Nº 2836 DE LA EMPRESA AEROLÍNEAS ARGENTINAS A LAS 16:05 HS APROXIMADAMENTE A LA CIUDAD DE COMODORO RIVADAVIA. UNA VEZ ARRIBADO A SU DESTINO FINAL Y AL LLEGAR A LA PLAYA PUBLICA DE ESTACIONAMIENTO, OBSERVA EL FALTANTE DEL CANDADO Y DE LA NOTEBOOK ANTES MENCIONADA. CABE ACLARAR QUE DESDE SU DESPACHO EL DENUNCIANTE NO TUVO CONTACTO ALGUNO CON EL EQUIPAJE.</t>
  </si>
  <si>
    <t>C.A.B.A. AEP</t>
  </si>
  <si>
    <t>DR. SERGIO PICHETTO</t>
  </si>
  <si>
    <t>S/DELITO CONTRA LA PROPIEDAD HURTO</t>
  </si>
  <si>
    <t>SIENDO LAS 19:45 HORAS SE PRESENTA EN ESTA DEPENDENCIA POLICIAL LA SRA. MARÍA DEL CARMEN MANSON, ARGENTINA DE 44 AÑOS DE EDAD, MANIFESTANDO EL DESEO DE RADICAR UNA DENUNCIA POR LA SUSTRACCIÓN DE UNA CÁMARA DE FOTOS MARCA SAMSUG L-100, LA CUAL HABRÍA DESPACHADO EN SU EQUIPAJE FACTURADO PARA UN VUELO DE LA LÍNEA AÉREA LAN QUE PARTÍO DE ESTE AEROPUERTO EL DÍA 20 DE AGOSTO A LAS 14:40 HORAS APROXIMADAMENTE SIN PODER SUMINISTRAR MAS DATOS NI PRESENTAR COMPROBANTES DE DICHO VUELO, NI MARBETE DE DESPACHO DE EQUIPAJE. POR TAL MOTIVO REALIZO COMUNICACIÓN TELEFÓNICA AL TURNO DE LA UFAP COMUNICÁNDOME CON EL DR. GUILLERMO LISTA, QUIEN DISPONE SE TOME LA DENUNCIA, COMO ÚNICA ACTUACIÓN. SE AGREGA NUMERO DE VUELO Y HORA DE PARTIDA DE ESTE AEROPUERTO ATRAVEZ DE INFOMACION SUMINISTRADA POR LA LINEA AEREA.</t>
  </si>
  <si>
    <t>LORNA HERNADEZ LUNA DE ETCHEBERTZ</t>
  </si>
  <si>
    <t>EN EL DIA DE LA FECHA SIENDO LAS 19:30 HS LOCAL SE PRESENTA A RADICAR UNA DENUNCIA LA SRTA.SANDRA GABRIELA ACHAVAL DNI Nº 21.791.401 QUE ARRIBO A ESTA CIUDAD EN EL VUELO Nº 1494 A HORAS 15:20 DE LA EMPRESA AEROLINEAS ARGENTINAS PROCEDENTE DE AEROPARQUE.LA CUAL MANIFIESTA QUE AL LLEGAR A SU DOMICILIO DETECTO EL FALTANTE DE OBJETOS DE SU PROPIEDAD LOS CUALES SE ENCONTRABAN DENTRO DE UN BOLSO COLOR NEGRO MARCA K Y K Nº DE MARBETE 942176 DESPACHADO POR BODEGA.ME COMUNICO CON EL SR FISCAL FEDERAL DR. PEDRO SIMON QUIEN ORDENA REALIZAR LAS ACTUACIONES PERTINENTES Y ELEVARLAS A LA BREVEDAD AL JUZGADO FEDERAL.</t>
  </si>
  <si>
    <t>SECTOR RESTRINGIDO.</t>
  </si>
  <si>
    <t>PATIO DE VALIJAS, EMPRESA LAN.</t>
  </si>
  <si>
    <t>SE PROCEDE A INICIAR DE OFICIO LA PREVENCIÓN SUMARIA 339-A/10, POR EL HECHO DE HURTO AGRAVADO, YA QUE EL DAMNIFICADO INFORMA QUE NO QUERÍA PERDER SU VUELO QUE ESTABA PRÓXIMO A SALIR, POR TAL MOTIVO SE LE TOMAN TODOS LOS DATOS FILIATORIOS Y SE LE ENVÍA UN MEMO A LA UNIDAD OPERACIONAL DE LA PROVINCIA DE NEUQUÉN SOLICITÁNDOLE QUE RECIBA DECLARACIÓN TESTIMONIAL DEL DAMNIFICADO QUE IBA A ARRIBAR EN ESE DESTINO.</t>
  </si>
  <si>
    <t>AUX. GIORGIO</t>
  </si>
  <si>
    <t>ACCIDENTE DE TRANSITO CON LESIONES</t>
  </si>
  <si>
    <t>INGRESO A LA AEROESTACION A LA ALTURA DE CASILLA DE PEAJE</t>
  </si>
  <si>
    <t>SIENDO LAS 16:00 HORAS PERSONAL DE LA EMPRESA SASA APOSTADO EN LA TAQUILLA DE INGRESO DE ESTA AEROESTACION INFORMA AL TURNO DE ESTA UNIDAD OPERACIONAL QUE HA OCURRIDO UN ACCIDENTE ENTRE UN VEHICULO MARCA FORD TAUNUS DOMINIO RQH-476 Y UNA BICICLETA, POR LO CUAL NOS TRASLADAMOS AL LUGAR DEL HECHO UNA VEZ EN EL MISMO SE REALIZA CONSTATACION DE LA DOCUMENTACION DEL VEHICULO Y SE CONSULTA A LOS INVOLUCRADOS SOBRE SU ESTADO DE SALUD, EN ESE MOMENTO ARRIBA AL LUGAR LA EMPRESA AMANO, PRESTATARIA DEL SERVICIO DE SALUD DEL AEROPUERTO, LA CUAL LUEGO DE REALIZAR UNA REVISACION DE LOS INVOLUCRADOS DECIDE TRASLADAR AL CONDUCTOR DE LA BICICLETA A DEPENDENCIAS DE SANIDAD DENTRO DEL AEROPUERTO PARA REALIZAR UN CONTROL MAS EXHAUSTIVO DEL MISMO, POR LO CUAL SE PROCEDE A REALIZAR COMUNICACION TELEFONICA CON EL JUZGADO INTERVINIENTE, EL CUAL DISPONE 1° QUE SE REALICEN LAS ACTUACIONES CORRESPONDIENTES, 2° QUE SE TRASLADE A LOS INVOLUCRADOS A LA UNIDAD FISCAL N°5 A FIN DE REALIZAR UN CONTROL DE ALCOHOLEMIA, 3° SE ELEVEN LAS ACTUACIONES UNA VEZ FINALIZADAS LAS MISMAS, POR ELLO Y EN CUMPLIMIENTO DE ORDEN DE SERVICIO N° 291/10, EL SEÑOR RIGOLDI ALDO LUIS ES TRASLADADO A DICHA UNIDAD FISCAL, AL COMUNICARME CON SANIDAD DEL AEROPUERTO ME INFORMA QUE EL SEÑOR RAMIREZ ROSARIO EL CUAL CONDUCIA LA BICICLETA HABIA SIDO TRASLADADO AL HOSPITAL CENTRAL A FIN DE REALIZA UN CONTROL MAS EXHAUSTIVO, REALIZO COMUNICACION TELEFONICA NUEVAMENTE CON EL SEÑOR FISCAL EL CUAL ME INFORMA QUE CUANDO ARRIBARAMOS CON EL SEÑOR RIGOLDI ALA UNIDAD FISCAL LABRARIA UN OFICIO A FIN DE QUE EL SEÑOR RAMIREZ SE LE PRACTICARA EL CONTROL DE ALCOHOLEMIA EN DICHO NOSOCOMIO, ME COMUNICO NUEVAMENTE CON PERSONAL DE SANIDAD EL CUAL ME INFORMA QUE EL SEÑOR RAMIREZ HABIA SIDO DERIBADO AL HOSPITAL CARRILLO POR NO TENER DISPONIBILIDAD EN DICHO NOSOCOMIO, TRAS LO CUAL ME COMUNICO CON LA GUARDIA DE DICHO HOSPITAL EL CUAL ME INFORMA QUE NO HABIA INGRESADO NINGUN PACIENTE CON ESE APELLIDO POR ELLO NUEVAMENTE ME COMUNICO CON LA FISCALIA INTERVINIENTE LA CUAL DISPONE QUE UNA COMISION POLICIAL SE APERSONE EN EL DOMICILIO DEL SEÑOR RAMIREZ Y TRASLADE AL MISMO A DEPENDENCIAS DE LA FISCALIA N°5 A FIN DE REALIZAR EL CORRESPONDIENTE CONTROL DE ALCOHOLEMIA, LA CUAL FUERE DISPUESTA POR EXPEDIENTE JUDICIAL N° P-62.793/10, A LO CUAL SE DA ESTRICTO CUMPLIMIENTO, SIENDO LAS 23:25 HORAS REGRESA COMISION POLICIAL CON LOS CORRESPONDIENTES CONTROLES REALIZADOS A LAS PARTES INTERVINIENTES, LOS CUALES DAN RESULTADO NEGATIVO.</t>
  </si>
  <si>
    <t>4501/10</t>
  </si>
  <si>
    <t>619/10</t>
  </si>
  <si>
    <t>SE PROCEDE A LA APERTURA DE UNA ENCOMIENDA DEL CORREO OFICIAL, SEGUN ACTA DE APERTURA DE CARGA Nº 395/10, PREVENCION SUMARIA Nº 085/10, EN VIRTUD DE LO ORDENADO MEDIANTE OFICIO JUDICIAL Nº 1.863/10 DEL MAGISTRADO ACTUANTE Y EN PRESENCIA DE UN TESTIGO HABIL. LA ENCOMIENDA SE IDENTIFICA COMO EP697954534AR, RTTE. SRA. MARTINA ISABEL FRANCO, GRAL. MOSCONI, C.P. 4562, SALTA Y DEST. SR. ESTEBAN ABILA, TOMA LA FAMILIA, LOTE 42, MZA. 2, NEUQUEN, CAPITAL, C.P.8300, CONTIENE: 14 PAQUETES DE HOJAS DE COCA CON UN PESO TOTAL DE 3.286 GRS. LA ENCOMIENDA SECUESTRADA SERA PUESTA A DISPOSICION DE LA ADUANA DE SALTA POR SUPUESTA INFRACCION AL CODIGO ADUANERO, LEY 22.415 Y LAS ACTUACIONES REMITIDAS A SEDE JUDICIAL. PU ORIGINARIO Nº 4442/10 SE PROCEDE A LA RETENCION DE UNA SACA COLECTORA DEL CORREO OFICIAL SEGUN CONSTA EN ACTA DE RETENCION DE CARGA Nº 0360/10, QUE ORIGINA LA PREV.SUM.Nº 085/10, LA SACA IDENTIFICADA CON MARBETE Nº SLA0161627D636300NQN, PRECINTO Nº Z170771, CON UN PESO DECLARADO DE 4,900 KGS. AMPARADA EN GUIA AEREA Nº 9411927-0, LA QUE SERIA DESPACHADA A TRAVES DE LA EMPRESA DE CARGA AEREA JET PAQ, LA RETENCION SE REALIZA ANTE LA PRESUNCION DE QUE PUDIERA CONTENER ALGUN ELEMENTO EN INFRACCION A LAS LEYES 22.415 Y/O 23.737, LA MISMA QUEDA CERRADA Y PRECINTADA EN GUARDA EN ESTA UOSP, SE COMUNICO TELEFONICAMENTE CON EL JUZGADO INTERVINIENTE. Y LA APERTURA SE REALIZARA EN PRESENCIA DEL PERSONAL DEL CORREO OFICIAL. SEGÚN AMPL PU Nº 4501/10 SE PROCEDE A LA APERTURA DE UNA SACA COLECTORA DEL CORREO OFICIAL, SEGUN CONSTA EN ACTA DE RETENCION DE CARGA Nº 0360/10, QUE ORIGINA LA PREV.SUM.Nº 085/10 Y ACTA DEJANDO CONSTANCIA Nº 363/10. LA SACA IDENTIFICADA CON MARBETE Nº SLA0161627D636300NQN, PRECINTO Nº Z170771, CON UN PESO DECLARADO DE 4,900 KGS. CON DESTINO A LA CIUDAD DE NEUQUEN, CONTIENE UNA PIEZA POSTAL IDENTIFICADA COMO: EP697954534AR, RTTE. MARTINA ISABEL FRANCO,GRAL. MOSCONI, C.P. 4562, SALTA Y DEST. ESTEBAN ABILA, TOMA LA FAMILIA, LOTE 42, MZA. 2, NEUQUEN, CAPITAL, C.P.8300, LA CUAL QUEDA RETENIDA. LA MISMA SE REALIZA ANTE LA PRESUNCION DE QUE PUDIERA CONTENER ALGUN ELEMENTO EN INFRACCION A LAS LEYES 22.415 Y/O 23.737, LA MISMA QUEDA CERRADA Y EN GUARDA EN ESTA UOSP. SE COMUNICO TELEFONICAMENTE AL JUZGADO INTERVINIENTE. Y LA APERTURA SE REALIZARA CON LA AUTORIZACION DEL MAGISTRADO ACTUANTE.</t>
  </si>
  <si>
    <t>DRA. ANA MERCEDEZ ORQUERA</t>
  </si>
  <si>
    <t>SIENDO LAS 10:30 HS LOCAL SE TRASLADA UN SOBRE CERRADO A LA EXCENTISIMA CAMARA FEDERAL DE APELACIONES DE LA CIUDAD DE COMODORO RIVADAVIA, A CARGO DE LA DRA. MARIA TERESA SERRA, CONTENIENDO NOTAS DE HABILITACION NRO. 230/10H, 231/10H, 233/10H, 234/10H Y 236/10H, ENVIADA POR LA UNIDAD OPERACIONAL DE USHUAIA.</t>
  </si>
  <si>
    <t>SE HACE PRESENTE EN ESTA DEPENDENCIA EL SEÑOR MILEWSKI MIGUEL ANTONIO PILOTO DE PREFECTURA NAVAL ARGENTINA CON BASE EN ESTE AEROPUERTO, MANIFESTANDO EL EXTRAVIO DE SU PERMISO PERSONAL DE SEGURIDAD AEROPORTUARIO VENCIDO. NO PUDIENDO PRECISAR EL LUGAR DENTRO DEL AEROPUERTO DONDE LO EXTRAVIO. SE CONFECCIONA ACTA DE EXTRAVIO Nº 26/10.</t>
  </si>
  <si>
    <t>PATIO DE VALIJAS - BODEGA DE LA AERONAVE - PLATAFORMA OPERATIVA - CINTAS DE ARRIBOS</t>
  </si>
  <si>
    <t>HABIENDO REALIZADO EL VUELO DE REFERENCIA, LUEGO DE REALIZAR LOS TRAMITES MIGRATORIOS DE INGRESO AL TERRITORIO NACIONAL, SE DIRIGE A LA CINTA TRANSPORTADORA DE EQUIPAJES DE ARRIBOS DE LA TERMINAL A DE ESTE AEROPUERTO, DONDE RETIRA SU EQUIPAJE DESPACHADO A BODEGA, SIENDO ESTE UN CARRION COLOR NEGRO MARBETE IB883270, SECTOR DONDE SE PERCATA DE LA ROTURA DEL CIERRE Y EL FALTANTE DE ALGUNOS ELEMENTOS PERSONALES DE SU INTERIOR.</t>
  </si>
  <si>
    <t>SIENDO LA FECHA Y LA HORA ANTES MENCIONADA SE HACE PRESENTE EN ESTA DEPENDENCIA EL SEÑOR ALTAMIRA OSCAR ALEJANDRO PERSONAL DE PREFECTURA NAVAL ARGENTINA CON BASE EN ESTE AEROPUERTO MANIFESTANDO EL EXTRAVIO DE SU PERMISO PERSONAL DE SEGURIDAD AEROPORTUARIO VENCIDO NO PUDIENDO PRECISAR EL LUGAR DENTRO DEL AEROPUERTO DONDE LO EXTRAVIO. SE CONFECCIONA ACTA DE EXTRAVIO Nº 26/10.</t>
  </si>
  <si>
    <t>5024/10</t>
  </si>
  <si>
    <t>551/10</t>
  </si>
  <si>
    <t>SE PROCEDE A LA APERTURA DE DOS ENCOMIENDAS DEL CORREO OFICIAL, SEGÚN CONSTA EN ACTA DE APERTURA DE CARGAS Nº 396/10, PREVENCION SUMARIA Nº 089/10, EN VIRTUD DE LO ORDENADO MEDIANTE OFICIO JUDICIAL Nº 2.482/10, DEL MAGISTRADO ACTUANTE Y EN PRESENCIA DE UN TESTIGO HABIL. LA 1ª EP691906133AR, RTTE: SRA. SAVINA PORTAL, SOLDADO MARIO GUTIERREZ 25, C.P. 4650, LA QUIACA-JUJUY Y DEST. SRA. JUANA PORTAL, CORREO CENTRAL, EL CALAFATE, SANTA CRUZ, CP.9405, CONTIENE: UNA MOCHILA DE PAÑO COLOR NARANJA CON FORMA DE TIGRE, CONTENIENDO EN SU INTERIOR 9 PAQUETES DE HOJAS DE COCA CON UN PESO TOTAL DE 2.258 GRS. Y LA 2ª EP000520377AR, RTTE: SIN DATOS Y DEST. SR. SOSA CARLOS JUSTINO, Bº DON BOSCO, CASA Nº 31, RIO TURBIO, SANTA CRUZ, CP.9407, CONTIENE: 8 PAQUETES DE HOJAS DE COCA CON UN PESO TOTAL DE 1.966 GRS. LAS ENCOMIENDAS SECUESTRADAS SERAN PUESTAS A DISPOSICION DE ADUANA DE SALTA POR SUPUSTA INFRACCION A LA LEY 22.415, CODIGO ADUANERO Y LA ACTUACIONES REMITIDAS A SEDE JUDICIAL. SEGÚN P.U. Nº 5020 (ORIGINARIO) SE PROCEDE A LA RETENCIÓN DE DOS SACAS COLECTORAS DEL CORREO OFICIAL, SEGÚN CONSTA EN ACTA DE RETENCIÓN DE CARGAS Nº 0384/10, QUE ORIGINA LA PREVENCIÓN SUMARIA 089/10, LA PRIMERA SACA IDENTIFICADA CON MARBETE, SLA0216837E555700RGL, PRECINTO N° D635776, CON UN PESO DECLARADO DE 3,300 KGS, CON DESTINO LA CIUDAD DE RIO GALLEGOS, CONTENDRÍA UNA PIEZA POSTAL, LA SEGUNDA SACA IDENTIFICADA CON MARBETE SLA0216840E555700RGL, PRECINTO Nº D635999, CON UN PESO DECLARADO DE 3,200 KGS, CON DESTINO A LA CIUDAD DE RIO GALLEGOS, CONTENDRÍA UNA PIEZA POSTAL. LAS MISMAS ESTÁN AMPARADAS EN GUÍA DE CARGA Nº 9438109-2, DESPACHADAS A TRAVÉS DE LA EMPRESA DE CARGA AÉREA JET PAQ. LA RETENCIÓN SE REALIZA ANTE LA PRESUNCIÓN QUE PUDIERAN CONTENER ALGÚN ELEMENTO EN INFRACCIÓN A LA LEY 23.737 Y/O 22.415, QUEDANDO LAS MISMAS CERRADAS Y PRECINTADAS EN GUARDA EN ESTA UOSP. SEGÚN LO COORDINADO CON EL DR. SANTIAGO FRENCH, A CARGO DE LA SECRETARIA PENAL Nº 2 DEL JUZGADO FEDERAL DE SALTA Nº 1 A CARGO DEL DR. JULIO LEONARDO BAVIO.Y LA APERTURA SE REALIZARÁ EN PRESENCIA DEL PERSONAL DEL CORREO OFICIAL. SEGÚN P.U. Nº 5024 (AMPLIACION DEL ORIGINARIO) SE PROCEDE A LA APERTURA DE DOS SACAS COLECTORAS DEL CORREO OFICIAL, SEGÚN CONSTA EN ACTA DEJANDO CONSTANCIA Nº 0386/10, CORRESPONDIENTE A LA PREV. SUM.089/10, LA 1ª SACA IDENTIFICADA CON MARBETE, SLA0216837E555700RGL, PRECINTO N° D635776, CONTIENE UNA PIEZA POSTAL IDENTIFICADA COMO EP691906133AR, RTTE: SAVINA PORTAL, SOLDADO MARIO GUTIERREZ 25-LA QUIACA-JUJUY-CP. 4650, DEST: JUANA PORTAL, CORREO CENTRAL, EL CALAFATE, SANTA CRUZ, CP.9405, LA MISMA QUEDA RETENIDA. LA 2ª SACA IDENTIFICADA CON MARBETE SLA0216840E555700RGL, PRECINTO Nº D635999, CONTIENE UNA PIEZA POSTAL IDENTIFICADA COMO EP000520377, RTTE: SIN DATOS, DEST: SOSA CARLOS JUSTINO, Bº DON BOSCO, CASA Nº 31, RIO TURBIO, SANTA CRUZ, CP.9407, LA MISMA QUEDA RETENIDA. LAS RETENCIÓNES SE REALIZAN ANTE LA PRESUNCIÓN QUE PUDIERAN CONTENER ALGÚN ELEMENTO EN INFRACCIÓN A LA LEY 23.737 Y/O 22.415, QUEDANDO LAS MISMAS CERRADAS Y EN GUARDA EN ESTA UOSP. SE COMUNICO TELEFONICAMENTE AL JUZGADO INTERVINIENTE Y LAS APERTURAS SE REALIZARAN CON LA AUTORIZACION DEL MAGISTRADO ACTUANTE.</t>
  </si>
  <si>
    <t>PAEZ, MARCELINO S/INFRACCION A LA LEY 24.769</t>
  </si>
  <si>
    <t>560/10</t>
  </si>
  <si>
    <t>EL DIA 30 DE AGOSTO SE RECEPCIONO OFICIO JUDICIAL Nº 2532/10, EN EL MARCO DEL EXPTE. 560/10 CARATULADO PAEZ, MARCELINO S/INFRACCION A LA LEY 24769 POR EL CUAL SE INFORMA QUE PERSONAL DE ESTA FUERZA PRACTIQUE TAREAS INVESTIGATIVAS DE LA CAUSA DE REFERENCIA, OBTENIENDO COPIAS DE LAS PIEZAS PERTINENTES, A FIN DE TOMAR VISTA DE LA MISMA. A POSTERIOR SE AMPLIARA. SEGÚN AMPLIACION P.U. Nº 5280/10 SE INFORMA QUE, LA INVESTIGACION FUE INICIADA POR UNA DENUNCIA ANONIMA PRESENTADA ANTE LAS OFICINAS DE LA DIVISION INVESTIGACION DE LA AFIP REGIONAL SALTA, DE LA CUAL SURGEN HECHOS Y ELEMENTOS QUE SE HAN SOMETIDOS A ANALISIS Y QUE HAN LLEVADO A LA SOSPECHA DE LA EXISTENCIA DE UNA ASOCIACION ILICITA, DESTINADA A LA VENTA DE CREDITOS FISCALES ESPUREOS, CONFORMADA POR EL CONTADOR PAEZ MARCELINO, COMO ORGANIZADOR Y LOS CONTRIBUYENTES INEXISTENTES COMO INTEGRANTES DE LA MISMA.POR LO CUAL PERSONAL DE ESTA U.O.C.N Y D.C DEL NORTE REALIZARA TAREAS TENDIENTES A IDENTIFICAR PERSONAS,DOMICILIOS Y VEHICULOS Y A SU VEZ REALIZARA TODA OTRA DILIGENCIA QUE ORDENE EL TRIBUNAL ACTUANTE.SE AMPLIARA CUANDO SURGAN NOVEDADES.</t>
  </si>
  <si>
    <t>SIENDO LA HORA Y EL DÍA ANTES MENCIONADO, SE HACE PRESENTE EN ESTA GUARDIA DE PREVENCIÓN EL SR. CENTURIÓN ERNESTO, VIGILADOR DE LA EMPRESA S.A.S.A., QUIEN INFORMA QUE EN EL PARKIN NUMERO 7, DEL ESTACIONAMIENTO DESCUBIERTO NORTE, SE ENCONTRABA UN CARRO PORTA EQUIPAJE CON UN PORTAFOLIO OLVIDADO. SE COMISIONA AL LUGAR AL OF. AUGUSTO GUZZANTI, ENCARGADO DEL HALL, AL OF. PABLO LAHORE, ENCARGADO DE TURNO Y A LA OF. MARIANA DE FILIPPI, AUXILIAR EN CRIMINALISTICA DE TURNO, QUIENES REALIZAN PERÍMETRO PRIMARIO DE SEGURIDAD. ASIMISMO SE CONVOCA PERSONAL DEL GEDEX, OF. JEFE EMILIO PAZ, Y SE SOLICITA LA PRESENCIA DE BOMBEROS DE LA PFA, SUBOF. AUX. EDUARDO ALBERTO L.P: 60168, SECCIÓN AEROPARQUE Y AL SERVICIO DE EMERGENCIAS MEDICAS DE ESTE AEROPARQUE, EMERGER, DR. SALAZAR DANIEL M.N: 43894. SE REALIZA CONTROL PARA EXPLOSIVO, EL CUAL ARROJA RESULTADO NEGATIVO. SE TRASLADA EL OBJETO HALLADO A LA GUARDIA DE PREVENCIÓN Y SE REALIZA ACTA DE HALLAZGO NRO. 2148/10 DE LOS SIGUIENTES ELEMENTOS: MALETÍN COLOR NEGRO CONTENIENDO: PAPELES SIN VALOR COMERCIAL, UN CARGADOR, CINCO CDS, UN RELOJ COLOR BLANCO CON INSCRIPCIÓN DAKOT, CINCO CARGADORES DE CELULAR, UN REPRODUCTOR DE MÚSICA MARCA COMERCIAL SONY, UN PASAPORTE ARGENTINO NRO. 11335271N A NOMBRE DE EPITAFIO ANTONIO RÍOS, DOCE (12) PESOS ARGENTINOS, CINCO (5) BILLETES DE DIEZ MIL PESOS CHILENOS COLOR AZUL, SEIS (6) BILLETES DE DIEZ MIL PESOS CHILENOS COLOR BLANCO, UN (1) BILLETE DE VEINTE MIL PESOS CHILENOS, MONEDAS VARIAS SIN CURSO LEGAL, UN (1) TELÉFONO NEXTEL MOTOROLA MODELA 1290 SERIE NRO. H98XAHGJR4AN, UNA (1) BILLETERA COLOR NEGRO CONTENIENDO PAPELES VARIOS SIN VALOR COMERCIAL, UNA (1) CREDENCIAL DEL SINDICATO DE ACTORES Y ARTISTAS, UNA (1) CEDULA CHILENA, UN (1) DNI, UNA (1) CREDENCIAL DE LA ASOCIACIÓN DE INTERPRETES Y CREDENCIAL DE SADAIC, UNA (1) LICENCIA DE CONDUCIR, UNA (1) TARJETA DEL BANCO NACIÓN, UNA (1) TARJETA DEL BANCO SANTANDER RÍO, TODAS A NOMBRE DE EPITAFIO ANTONIO RÍOS, UNA (1) CEDULA VERDE AUTOMOTOR VEHÍCULO CITROEN MODELO C4, DOMINIO HGA 624, UNA (1) CEDULA AZUL. SIENDO LAS 15:10 HORAS FINALIZA OPERATIVO SIN NOVEDAD.</t>
  </si>
  <si>
    <t>AVERIGUACION INFRACCION A LA LEY 24769</t>
  </si>
  <si>
    <t>561/10</t>
  </si>
  <si>
    <t>EL DIA 30 DE AGOSTO DE 2010, SE RECIBE OFICIO Nº 2533/10, DE FECHA 27/08/10, LIBRADO POR EL JUZGADO FEDERAL DE SALTA Nº 1 A CARGO DEL DR. JULIO LEONARDO BAVIO, SECRETARIA PENAL Nº 2 A CARGO DEL DR. SANTIAGO FRENCH, POR EL CUAL DISPONE LIBRAR EL PRESENTE A FIN DE INFORMAR QUE PERSONAL DE ESTA FUERZA PRACTIQUE TAREAS INVESTIGATIVAS DE LA CAUSA DE REFERENCIA, OBTENIENDO COPIAS DE LAS PIEZAS PERTINENTES A LOS FINES DE TOMAR VISTA. SE AMPLIARA A POSTERIOR. SEGÚN AMPLIACION P.U. Nº 5979/10 SE INFORMA QUE EL DIA 31/08/2010 SE TOMO VISTA DE LAS PIEZAS QUE OBRAN EN AUTOS, CUYAS COPIAS FUERON ENTREGADAS A PERSONAL DE ESTA FUERZA, DICHA CAUSA SE INICIA POR UNA INVESTIGACION QUE REALIZO LA AFIP, SOBRE UNA ORGANIZACION DELICTIVA, A LOS FINES DE PODER DETECTAR CONTRIBUYENTES PRESTANOMBRES, INSOLVENTES, EMPRESAS FICTICIAS, LAS CUALES SON UTILIZADAS PARA REALIZAR TRASLADO Y BLANQUEO DE VENTAS DE GRANOS, UTILIZANDO DICHOS ACTORES, FACTURAS APOCRIFAS, EVADIENDO DEL TRIBUTO DE LOS IMPUESTOS DE LA PRODUCIION Y COMERCIALIZACION DE GRANOS, DICHO TRANSPORTE DE LA MERCADERIA SE REALIZA DENTRO DEL TERRITOTIO NACIONAL. LA PRINCIPAL SOSPECHADA EN LA CAUSA SERIA LA CONTADORA SANDRA ESTHER JEREZ, QUIEN ES LA QUE LLEVA LA PARTE CONTABLE Y ADEMAS ES LA APODERADA PARA REALIZAR TODO TIPO DE TRAMITE DE LAS EMPRESAS INVOLUCRADAS, LAS CUALES SON: SONARG SRL, COMERCIAL METAN SRL, AGROSERVICIO ROSARIO SRL, EL CANAL SRL, TORRES CARLOS ALBERTO, FIGUEROA DAFFARA CLAUDIO ALFREDO. TODAS ESTAS EMPRESAS SEGUN DATOS APORTADOS POR LA AFIP TIENEN DOMICILIO EN LAS LOCALIDADES DE METAN Y ROSARIO DE LA FRONTERA, PROVINCIA DE SALTA. A POSTERIOR SE AMPLIARA, DE ACUERDO A LAS MEDIDAS QUE SOLICITE EL SR. JUEZ INTERVINIENTE EN LA CAUSA.</t>
  </si>
  <si>
    <t>5135/10</t>
  </si>
  <si>
    <t>A LOS 25 DIAS DEL MES DE AGOSTO DEL 2010 SIENDO LAS 15:30 HS EL COMISIONADO MAYOR GONZALO MARTINEZ MANTIENE UNA COMUNICACION TELEFONICA CON LA DRA ROSITO, INFORMANDOLE QUE NO SE HABIA PODIDO INDIVIDUALIZAR AL SR. OMAR VIOLA A TRAVES DE LAS IMAGENES DEL C.O.C. Y AL PONER EN CONOCIMIENTO A S. SA. ESTE INDICA QUE SE ARCHIVE LA CAUSA INTERNAMENTE YA QUE NO SON DE INTERES PARA ESE JUZGADO.-</t>
  </si>
  <si>
    <t>PERGOLA Nº 2</t>
  </si>
  <si>
    <t>SIENDO LA FECHA Y HORA ANTES MENCIONADA, EN MOMENTOS EN QUE LOS OFICIALES CARABAJAL Y KALENBERG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</si>
  <si>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5237/10</t>
  </si>
  <si>
    <t>SIENDO LAS 7:00 HORAS DEL DIA 30 DE AGOSTO DE DOS MIL DIEZ SE TRASLADO A LA DETENIDA EN AUTOS A SEDE JUDICIAL Y POSTERIORMENTE A LA UNIDAD PENAL N 28 DEL SERVICIO PENITENCIARIO FEDERAL</t>
  </si>
  <si>
    <t>SABA FABIO S/INF. ART. 292 C.P.</t>
  </si>
  <si>
    <t>CAUSA N° 2625</t>
  </si>
  <si>
    <t>OFICINA TURNO PREVENCION</t>
  </si>
  <si>
    <t>INFORMO EN EL DIA DE LA FECHA SE PRESENTA EN EL TURNO DE PREVENCION EL SR. SABA FABIO QUIEN ESTA INDOCUMENTADO Y NO SABE LEER NI ESCRIBIR, ACOMPAÑADO DE SU MADRE LA SRA. CASTILLO MARTA DNI 13.123.797. ASI MISMO Y EN VIRTUD QUE EL SEÑOR SABA POSEE PROHIBICION DE SALIDA DE LA PROVINCIA Y DEL PAIS REGISTRO RED LINCE N° 287997. SE CONSULTO ANTE EL SECRETARIO DEL JUZGADO INTERVINIENTE MANIFESTANDO QUE S.SA. DISPUSO EL SIN EFECTO DE LA MEDIDA. SE LABRA ACTA DEJANDO CONSTANCIA N° 022/2010 Y RETIRANDOSE LOS PASAJEROS DEL TURNO SIN OTRA NOVEDAD PARA ABORDAR EL VUELO AR-1857 DE AEROLINEAS ARGENTINAS.</t>
  </si>
  <si>
    <t>N/B</t>
  </si>
  <si>
    <t>SIENDO APROXIMADAMENTE LAS 11:30 HORAS DEL DÍA 30 DE AGOSTO DEL CORRIENTE AÑO, EL SUBINSPECTOR TOBAR GUSTAVO RECIBIÓ COMUNICACIÓN TELEFÓNICA POR PARTE DEL OF. PRINCIPAL ALBERTO VELOZ, A CARGO DEL ÁREA SUMARIOS POLICIALES, INFORMÁNDOLE DE UNA IRREGULARIDAD EN TORNO A UNA RIÑONERA QUE HABIÉNDOSE COMUNICADO EL DUEÑO DE LA MISMA AL ÁREA SUMARIOS RECLAMÁNDOLA Y ESTA NO SE ENCONTRABA ALLI COMO HALLAZGO, CON LA PARTICULARIDAD QUE HABRÍA INTERVENIDO SEGÚN DICHOS DEL PROPIETARIO PERSONAL POLICIAL DE ESTA UNIDAD. ACLARANDO EL DAMNIFICADO QUE ESTE HECHO SUCEDIÓ EL DÍA 29 DEL CORRIENTE MES Y AÑO ALREDEDOR DE LAS 19:30 HORAS EN ZONA DE EMBARQUE.EL SUBINSPECTOR GUSTAVO TOBAR ENTABLO COMUNICACIÓN CON EL DR. JORGE GARCIA DAVINI, INFORMÁNDOLE DE LOS HECHOS QUIEN DISPUSO: SE INICIE POR ACTA DE PROCEDIMIENTO, SE RECIBA DECLARACIÓN TESTIMONIAL A LA OFICIAL LAURA BARROS, NUMERARIA DE LA SECCIÓN HALLAZGOS, SE SOLICITEN VIDEOS DEL SECTOR, SE CURSE NOTA A LA EMPRESA SASA, NOTA A LA EMPRESA LAN ARGENTINA, SOLICITANDO LISTADO DE PASAJEROS, COPIAS CERTIFICADAS DE LOS LIBROS DE GUARDIA DEL PREEMBARQUE, DEL SUMARIANTE DE TURNO, DONDE SE ASIENTAN LOS HALLAZGOS, Y DEL JEFE DE TURNO, TODO ELLO DEL DÍA 29 DE AGOSTO, ELEVACIÓN DEL SUMARIO EL DIA 31 DE AGOSTO DEL AÑO EN CURSO</t>
  </si>
  <si>
    <t>DRA. NATALIA LE PERA</t>
  </si>
  <si>
    <t>SUSANA CANCINOS S/DENUNACIA</t>
  </si>
  <si>
    <t>SUSANA CANCINOS S/DENUNCIA</t>
  </si>
  <si>
    <t>POSICION 27 DE PLATAFORMA OPERATIVA</t>
  </si>
  <si>
    <t>SE HACE PRESENTE A ESTA GUARDIA DE PREVENCIÓN, PERSONAL DE LA EMPRESA DE VIGILANCIA HAS, DENUNCIANDO QUE SIENDO APROXIMADAMENTE LAS 16:15 SE ENCONTRABA EN LA POSICIÓN 27 DE LA PLATAFORMA COMERCIAL, CONTROLANDO LA DESCARGA DE LOS EQUIPAJES DEL VUELO DE REFERENCIA, MOMENTO EN EL CUAL LOGRA OBSERVAR A UN EMPLEADO DE LA EMPRESA AEROHANDLING DENTRO DE LA BODEGA DE LA AERONAVE MANIPULANDO UNO DE LOS BOLSOS SIN PODER DETERMINAR SI SACO ALGÚN TIPO DE ELEMENTO DEL MISMO. MINUTOS DESPUÉS DIO AVISO A SU SUPERVISOR, FINALMENTE EL SUPERVISOR DIO AVISO AL JEFE DE TURNO DE LA EMPRESA HAS, QUIEN LE ORDENO QUE LE INFORMEN A LA PSA DEL HECHO SUSCITADO. EN ESE MOMENTO EL PERSONAL DE AEROHANDLING EL CUAL PRESUNTAMENTE HABRÍA ABIERTO EL BOLSO, SE RETIRO DEL LUGAR ACOMPAÑADO POR OTRO EMPLEADO DE LA EMPRESA A BORDO DE UNA CAMIONETA DE LA EMPRESA AEROHANDLIG. CONSECUENTEMENTE SE PRESENTO EN EL LUGAR PERSONAL DE ESTA DEPENDENCIA, QUIENES FUERON INFORMADOS POR PERSONAL DE HAS DE LO SUCEDIDO. LUEGO DE UNOS DIEZ MINUTOS REGRESARON LOS DOS EMPLEADOS DE AEROHANDLING. PERSONAL DE LA PSA SE DIRIGE AL SECTOR DE ARRIBOS CON EL FIN DE ENCONTRAR AL PROPIETARIO DEL EQUIPAJE EN CUESTIÓN. AL NO PODER UBICARLO, INVITA A TODOS LOS INTERVINIENTES HASTA LA GUARDIA DE PREVENCIÓN. CABE DESTACAR QUE EL BOLSO ESTABA A NOMBRE DE LA SRA. GRIFONI SARA. YA EN ESTA GUARDIA LA SRA. CANCINO DECIDIO REALIZAR LA DENUNCIA. SEGUIDAMENTE EL OF. JEFE ALEJANDRO SILVA, PROCEDE A ENTABLAR COMUNICACIÓN TELEFÓNICA CON LA DRA. NATALIA LE PERA A QUIEN LE INFORMA DE LA DENUNCIA REALIZADA POR EL PERSONAL DE VIGILANCIA, DISPONIENDO EL LETRADO, QUE SOLO SE DEJE CONSTANCIA DE LOS DATOS FILIATORIOS DE LAS PERSONAS DE LA EMPRESA AEROHANDLIG INTERVINIENTES EN LA DENUNCIA, SE DEJE CONSTANCIA DE LO REALIZADO HASTA EL MOMENTO POR EL JEFE DE TURNO, CIERRE Y ELEVACIÓN DE ACTUACIONES.</t>
  </si>
  <si>
    <t>AR-1693</t>
  </si>
  <si>
    <t>DR.MARTIN CASTELLANO</t>
  </si>
  <si>
    <t>INFRACCIÓN LEY Nº24241</t>
  </si>
  <si>
    <t>EXPEDIENTE Nº 584-34258-98</t>
  </si>
  <si>
    <t>NOTIFICACIÓN PEDIDO DE CAPTURA</t>
  </si>
  <si>
    <t>INFORMO QUE EN EL CONTROL DE DOCUMENTACIÓN DE PASAJEROS DEL VUELO NRO. 2735 DE LA EMPRESA AUSTRAL LÍNEAS AÉREAS SE DETECTA A TRAVÉS DEL SISTEMA DE INTERPOL PEDIDO DE CAPTURA-VIGENTE DE LA SRA. ESTER FLOREZ SOLICITADO POR EL JUZGADO PENAL ECONÓMICO Nº 4 - SECRETARIA Nº 8, CAUSA CARATULADA "INF. LEY 24241", EXPTE. Nº 584-34258-98, DE FECHA 22/12/1998.ACTO SEGUIDO SE RECIBE ACTA DE INTERPOL Y SE ESTABLECE COMUNICACIÓN TELEFÓNICA CON EL ABONADO Nº 011-413061316131, SIENDO ATENDIDO POR EL DR. MARTIN CASTELLANO, QUIEN ENTERADO DE LOS HECHOS DISPONE SE NOTIFIQUE A LA CAUSANTE A QUE COMPAREZCA EN EL TERMINO DE 48 HORAS ANTE SEDE JUDICIAL, QUE SE CONSTATE DOMICILIO MEDIANTE COMUNICACIÓN TELEFÓNICA Y SE REALICEN HUELLAS DACTILARES. A CONTINUACIÓN SE ESTABLECE COMUNICACIÓN TELEFÓNICA CON EL ABONADO Nº 011-1551575986 SIENDO ATENDIDO POR LA SRA. MARÍA JULIA SIMONELLI FLOREZ, HIJA DE LA SEÑORA ESTER FLOREZ, QUIEN PREGUNTADA SI LA SRA. ESTER FLOREZ, RESIDE EN EL DOMICILIO SITO NICOLÁS REPETTO Nº 955 PISO 12 DPTO. "C" CAPITAL FEDERAL, RESPONDE AFIRMATIVAMENTE Y SE PROCEDE A LA TOMA DE LAS HUELLAS DACTILARES.</t>
  </si>
  <si>
    <t>AU 2725</t>
  </si>
  <si>
    <t>5263/10</t>
  </si>
  <si>
    <t>PROVINCIA DE SALTA</t>
  </si>
  <si>
    <t>AMPLIANDO PARTE RESERVADO Nº 5263 DE FECHA 30/08/2010, EN RELACION AL EXPTE. Nº 561/10, CARATULADO AVERIGUACION INFRACCION A LA LEY 24769, TRAMITADA ANTE EL JUZGADO FEDERAL DE SALTA Nº 1 A CARGO DEL DR. JULIO LEONARDO BAVIO, SECRETARIA PÈNAL Nº 2 A CARGO DEL DR. SANTIAGO FRENCH. SE INFORMA QUE EL DIA 31/08/2010 SE TOMO VISTA DE LAS PIEZAS QUE OBRAN EN AUTOS, CUYAS COPIAS FUERON ENTREGADAS A PERSONAL DE ESTA FUERZA, DICHA CAUSA SE INICIA POR UNA INVESTIGACION QUE REALIZO LA AFIP, SOBRE UNA ORGANIZACION DELICTIVA, A LOS FINES DE PODER DETECTAR CONTRIBUYENTES PRESTANOMBRES, INSOLVENTES, EMPRESAS FICTICIAS, LAS CUALES SON UTILIZADAS PARA REALIZAR TRASLADO Y BLANQUEO DE VENTAS DE GRANOS, UTILIZANDO DICHOS ACTORES, FACTURAS APOCRIFAS, EVADIENDO DEL TRIBUTO DE LOS IMPUESTOS DE LA PRODUCIION Y COMERCIALIZACION DE GRANOS, DICHO TRANSPORTE DE LA MERCADERIA SE REALIZA DENTRO DEL TERRITOTIO NACIONAL. LA PRINCIPAL SOSPECHADA EN LA CAUSA SERIA LA CONTADORA SANDRA ESTHER JEREZ, QUIEN ES LA QUE LLEVA LA PARTE CONTABLE Y ADEMAS ES LA APODERADA PARA REALIZAR TODO TIPO DE TRAMITE DE LAS EMPRESAS INVOLUCRADAS, LAS CUALES SON: SONARG SRL, COMERCIAL METAN SRL, AGROSERVICIO ROSARIO SRL, EL CANAL SRL, TORRES CARLOS ALBERTO, FIGUEROA DAFFARA CLAUDIO ALFREDO. TODAS ESTAS EMPRESAS SEGUN DATOS APORTADOS POR LA AFIP TIENEN DOMICILIO EN LAS LOCALIDADES DE METAN Y ROSARIO DE LA FRONTERA, PROVINCIA DE SALTA. A POSTERIOR SE AMPLIARA, DE ACUERDO A LAS MEDIDAS QUE SOLICITE EL SR. JUEZ INTERVINIENTE EN LA CAUSA.</t>
  </si>
  <si>
    <t>5260/10</t>
  </si>
  <si>
    <t>SE AMPLIA PARTE RESERVADO Nª 5260 DE FECHA 30 DE AGOSTO DE 2010, EN EL MARCO DEL EXPTE Nº 560/10 CARATULADO PAEZ MARCELINO S/INFRAC.A LA LEY 24769.EN EL DIA DE LA FECHA 31 DE AGOSTO DE 2010, LUEGO DE TOMAR VISTA A LAS ACTUACIONES SE INFORMA QUE, LA INVESTIGACION FUE INICIADA POR UNA DENUNCIA ANONIMA PRESENTADA ANTE LAS OFICINAS DE LA DIVISION INVESTIGACION DE LA AFIP REGIONAL SALTA, DE LA CUAL SURGEN HECHOS Y ELEMENTOS QUE SE HAN SOMETIDOS A ANALISIS Y QUE HAN LLEVADO A LA SOSPECHA DE LA EXISTENCIA DE UNA ASOCIACION ILICITA, DESTINADA A LA VENTA DE CREDITOS FISCALES ESPUREOS, CONFORMADA POR EL CONTADOR PAEZ MARCELINO, COMO ORGANIZADOR Y LOS CONTRIBUYENTES INEXISTENTES COMO INTEGRANTES DE LA MISMA.POR LO CUAL PERSONAL DE ESTA U.O.C.N Y D.C DEL NORTE REALIZARA TAREAS TENDIENTES A IDENTIFICAR PERSONAS,DOMICILIOS Y VEHICULOS Y A SU VEZ REALIZARA TODA OTRA DILIGENCIA QUE ORDENE EL TRIBUNAL ACTUANTE.SE AMPLIARA CUANDO SURGAN NOVEDADES.</t>
  </si>
  <si>
    <t>CHAVOL PAULA IVANA S/EXTRAVIÓ PERMISO PERSONAL AEROPORTUARIO</t>
  </si>
  <si>
    <t>EN EL DIA DE LA FECHA Y SIENDO LAS 16:20 HORAS SE HACE PRESENTE EN LA OFICINA DEL ÁREA IDENTIFICACIÓN Y REGISTRO DE ESTA UNIDAD OPERACIONAL, LA CIUDADANA CHAVOL PAULA IVANA - DNI 28.008.008, A FIN DE DENUNCIAR EL EXTRAVIÓ DEL PERMISO PERSONAL DE SEGURIDAD AEROPORTUARIA Nº 249132 CON FECHA DE VENCIMIENTO EL 03-06-2009; NO PUDIENDO PRECISAR MAYORES DATOS RESPECTO DE LAS CIRCUNSTANCIAS O MOTIVOS EN EL CUAL SE PRODUJO LA PERDIDA DEL CITADO PERMISO.</t>
  </si>
  <si>
    <t>CASTILLO MARIA S/EXTRAVIÓ PERMISO PERSONAL AEROPORTUARIO</t>
  </si>
  <si>
    <t>EN EL DIA DE LA FECHA Y SIENDO LAS 16:20 HORAS SE HACE PRESENTE EN LA OFICINA DEL ÁREA IDENTIFICACIÓN Y REGISTRO DE ESTA UNIDAD OPERACIONAL, LA CIUDADANA CASTILLO, MARIA DE LOS ANGELES - DNI 16.801.915, A FIN DE DENUNCIAR EL EXTRAVIÓ DEL PERMISO PERSONAL DE SEGURIDAD AEROPORTUARIA Nº 249131 CON FECHA DE VENCIMIENTO EL 03-06-2009; NO PUDIENDO PRECISAR MAYORES DATOS RESPECTO DE LAS CIRCUNSTANCIAS O MOTIVOS EN EL CUAL SE PRODUJO LA PERDIDA DEL CITADO PERMISO.</t>
  </si>
  <si>
    <t>JUZGADO DE GARANTIAS Nº 1 DE LA MATANZA</t>
  </si>
  <si>
    <t>CASTILLO</t>
  </si>
  <si>
    <t>Mary Mabel</t>
  </si>
  <si>
    <t>MARIA LAURA DI FLORIO</t>
  </si>
  <si>
    <t>ALDERETE S/CORRUPCION DE MENORES DE 18 AÑOS</t>
  </si>
  <si>
    <t>CASA 122 MANZANA 1</t>
  </si>
  <si>
    <t>VILLA MADERO, PCIA. DE BS. AS.</t>
  </si>
  <si>
    <t>EN EL DIA DE LA FECHA SE DIO CUMPLIMIENTO A LA ORDEN DE ALLANAMIENTO Y SECUESTRO EMANADA POR EL JUZGADO DE GARANTIAS N° 1 DE LA MATANZA, EN EXHORTO POR EL JUZGADO NACIONAL EN LO CRIMINAL DE INSTRUCCION N° 46, SECRETARIA N° 134. AL INGRESO DE LA VIVIENDA SE PUDO IDENTIFICAR A DOS MASCULINOS: ERACLIO ALDERETE DNI Nº 7477520, Y SU HERMANO TIMOTEO DONATO ALDERETE DNI N° 7587201, Y EN COMPANIA DE ESTOS UN MENOR MASCULINO DE UNOS CUATRO AÑOS DE EDAD. SE CONSULTA A LA FISCALIA N° 5 QUIEN ORDENA SE REALICEN LAS DILIGENCIAS NECESARIAS PARA UBICAR A LOS PADRES O TUTOR, LUEGO DE PODER CONTACTAR A LA TIA Y A LA MADRE DEL MENOR, QUIENES EN NINGUN MOMENTO TOMARON CONTACTO CON ESTE, EL MISMO FUE TRASLADADO AL HOGAR DE MENORES SANTA RITA EN LA LOCALIDAD DE VILLEGAS. CABE DESTACAR QUE EN EL MOMENTO DEL ALLANAMIENTO NO HABIA EN EL LUGAR PERSONAS EJERCIENDO LA PROSTITUCION</t>
  </si>
  <si>
    <t>DRA. GRACIELA GERSCOVICH</t>
  </si>
  <si>
    <t>PUNTO DE INSPECCION Y REGISTRO TRANSITO 6/10</t>
  </si>
  <si>
    <t>DURANTE EL CONTROL DE PASAJEROS EN TRANSITO, SE PRESENTA ANTE EL PERSONAL POLICIAL UN PASAJERO DE SEXO MASCULINO, QUIEN HABIA ARRIBADO EN VUELO 5L 210 PROCEDENTE DE LA CIUDAD DE SANTA CRUZ DE LAS SIERRA, BOLIVIA. QUE ANTE LA DUDA DEL PERSONAL INTERVINIENTE SOBRE LA POSIBLE INGESTA DEL MISMO, POR DEMOSTRARSE ESTE CON ACTITUD NERVIOSA Y LUEGO DE EFECTUARLE PREGUNTAS DE RIGOR, SE SOLICTA AUTORIZACION AL JUZGADO EN TURNO CON EL FIN DE SOMETER AL PASAJERO AL CONTROL MEDIANTE EQUIPO BODY SCAN DE ADUANA DETERMINANADOSE QUE LAS IMAGENES ERAN COMPATIBLES CON LA QUE OFRECE LA PRESENCIA DE CUERPOS EXTRAÑOS. SEGUIDAMENTE SE EFECTUA EL TRASLADO DEL CAUSANTE AL HOSPITAL ZONAL DE EZEIZA DONDE EL PERSONAL MEDICO INFORMA QUE EL MISMO SE ENCONTRABA INGESTADO PERMANECIENDO ALOJADO EN ESE NOSOCOMIO EN TERAPIA INTENSIVA MOMENTO EN EL CUAL REALIZA LA DEPOSICION Nº1 Y CONTINUA INTERNADO PARA EFECTUAR LAS CORRESPONDIENTES DEPOSICIONES. SEGUN PU Nº 5290 SE INFORMAN DEPOSICIONES Nº 2, 3, 4, 5, 6, 7, 8, 9, 10. SEGUN PU Nº 5301 SE INFORMA DEPOSICIONES Nº 11 Y 12. SEGUN PU Nº 5417 SE INFORMA QUE SIENDO LAS 13.20 HS DEL DIA 06/09/2010 EL DETENIDO FUE DADO DE ALTA MEDICA Y TRASLADADO A SEDE JUDICIAL SIN NOVEDAD.</t>
  </si>
  <si>
    <t>SANTA CRUZ DE LA SIERRA //5L 210</t>
  </si>
  <si>
    <t>5289/10</t>
  </si>
  <si>
    <t>PUESTO DE CONTROL TRANSITO 6/10</t>
  </si>
  <si>
    <t>POR MEDIO DEL PRESENTE I8NFORMO LAS DEPOSICIONES REALIZADAS POR EL DETENIDO ALOJADO EN EL HOSPITAL DE EZEIZA: DEPO N 2- 19:10 HS- 31/08/10 9 CAPSULAS 132 GRS. DEPO N 3- 19:30 HS-31/08/10 1 CAPSULA 14 GRS. DEPO N 4- 20:00HS- 31/08/10 3 CAPSULAS 44 GRS. DEPO N 5- 20:10 HS- 31/08/10 2 CAPSULAS 28 GRS. DEPO N 6- 20:35 HS- 31/08/10 1 CAPSULA 16 GRS. DEPO N 7-21:22 HS-31/08/10 5 CAPSULAS 78GRS. DEPO N 8- 22:00 HS- 31/08/10 5 CAPSULAS 76 GRS. DEPO N 9- 22:30 HS- 31/08/10- 5 CAPSULAS 74 GRS. DEPO N 10-22:54 HS- 31/08/10- 4 CAPSULAS 62 GRS. SE CONTINUA A LA ESPERA DE NUEVAS DEPOSICIONES.</t>
  </si>
  <si>
    <t>BRUGLEA</t>
  </si>
  <si>
    <t>PEÑA FERNANDEZ HENRY JAIME Y OTRA S/FALSIFICACION DE DOC. PUBLICO</t>
  </si>
  <si>
    <t>OFICINA DE LA DNM</t>
  </si>
  <si>
    <t>EN EL DIA Y LA FECHA ANTES MENCIONADA SE RECIBE DE LA DNM A LA CAUSANTE SOBRE QUIEN PESA LA ORDEN DE RESTRICCION POR TAL MOTIVO SE PROCEDE A LA DETENCION DE LA MISMA Y A LA ESPERA DE NUEVAS DIRECTIVAS. QUE SIENDO APROXIMADAMENTE LAS 0800 HORAS DEL DIA 01/09/10 SE RECIBE COMUNICACION TELEFONICA POR PARTE DEL JUZGADO SOLICITANTE INFORMANDO QUE DICHA MEDIDA SE ENCUENTRA PRESCRIPTA CON FECHA 08/02/10 Y QUE SE PROCEDA A LA DECRETAR LA INMEDIATA LIBERTAD. SE DEJA CONSTANCIA QUE EN LA BASE DE DATOS DE INTERPOL QUE PESA SOBRE LA CAUSANTE UN PARADERO VIGENTE DE FECHA 23/05/2000 EN TRAMITE EN CAUSA Nº 93.889 CARATULADA VIOLACION A SOLICITUD DEL JUZGADO NACIONAL EN LO CRIMINAL DE INSTRUCCION Nº 46 SECRETARIA Nº 134 MOTIVO POR EL CUAL SE LIBRA CEDULA DE NOTIFICACION PARA QUE LA CAUSANTE SE PRESENTE EN SEDE TRIBUNALICIA EN DIA 02/09/10. POR TAL MOTIVO Y A EFECTOS DE DAR ESTRICTO CUMPLIMIENTO A LO IMPARTIDO POR SU S.SA. SE PROCEDE A LA LBERACION DE LA ENCARTADA, QUIEN SE RETIRA DE ESTA DEPENDENCIA POR SUS PROPIOS MEDIOS, CON TODAS SUS PERTENENCIAS SIN NOVEDAD.</t>
  </si>
  <si>
    <t>COCHABAMBA</t>
  </si>
  <si>
    <t>ARRIBA EL SEÑOR MINISTRO DEL INTERIOR CONTADOR ANIBAL FLORENCIO RANDAZZO PARA PARTICIPAR DEL ACTO DE INAUGURACION DE LA BASE DE DATOS DE LOS NUEVOS DNI EN LA CASA DE GOBIERNO DE LA PROVINCIA DE LA PAMPA SIN NOVEDAD. ORDEN DE SERVICIO NUMERO 19/10</t>
  </si>
  <si>
    <t>3902/10</t>
  </si>
  <si>
    <t>PROVINCIA DE SAN SALVADOR DE JUJUY</t>
  </si>
  <si>
    <t>SE AMPLIA PARTE RESERVADO N° 3902, DE FECHA 28/08/10, EN RELACION AL EXPTE. N° 759/10, CARATULADO APERTURA DE ENCOMIENDA SOLICITADA POR LA POLICIA DE SEGURIDAD AEROPORTUARIA, TRAMITADA ANTE EL JUZGADO FEDERAL DE SALTA N° 1 A CARGO DEL DR. JULIO LEONARDO BAVIO, SECRETARIA PENAL N° 2 A CARGO DEL DR. SANTIAGO FRENCH. POR EL PRESENTE INFORMO QUE SE DIO CUMPLIMIENTO AL OFICIO N° 1849/10 DE FECHA 25/06/10, LIBRADO POR EL JUZGADO FEDERAL DE SALTA N° 1, POR EL CUAL SOLICITABA QUE PERSONAL DE ESTA FUERZA REALICE TAREAS DE VIGILANCIA, FILMACION Y TOMAS FOTOGRAFICAS, A LOS FINES DE DETERMINAR LA VERACIDAD DE LOS HECHOS DENUNCIADOS, CORRESPONDIENTES AL SECUESTRO DE UNA ENCOMIENDA REALIZADO POR PERSONAL DE UOSP SALTA, BAJO PREVENCION SUMARIA N° 035/10. MEDIANTE ORDEN DE SERVICIO N° 022/10 DE FECHA 29/06/10 SE COMISIONO PERSONAL DE ESTA UOCN Y DC DEL NORTE HASTA LA PROVINCIA DE SAN SALVADOR DE JUJUY, PARA REALIZAR LAS TAREAS ENCOMENDADAS EN EL DOMICILIO SITO EN AV. VALLE GRANDE N° 2327 MZA. 14 LOTE 15 SB1 EL MILAGRO ALTO COMEDERO, PROVINCIA DE JUJUY, DONDE RESIDIRIA MARIANA MARTINEZ, QUIEN SERIA LA REMITENTE DE LA ENCOMIENDA RETENIDA EN AQUELLA OPORTUNIDAD, LUEGO DE REALIZAR LAS TAREAS DE VIGILANCIA, SE PUDO OBSERVAR QUE EN LA VIVIENDA EN CUESTION, COMO TAMBIEN LAS PERSONAS QUE RESIDEN EN LA MISMA, NO ESTARIAN REALIZANDO ACTIVIDADES RELACIONADAS A LA LEY 23737, POR LO QUE SE REALIZO UN INFORME, EL CUAL FUE PRESENTADO AL JUZGADO INTERVINIENTE EL DIA 10/08/10. EL DIA 01/09/10, SE RECEPCIONA OFICIO N° 2570/10 DE FECHA 31/08/10, POR EL CUAL S.S. DISPONE EL ARCHIVO DE LA PRESENTE CAUSA.</t>
  </si>
  <si>
    <t>JORDAAN, JACK PIETER S/ LEY ESTUPEFACIENTES</t>
  </si>
  <si>
    <t>8051/2010</t>
  </si>
  <si>
    <t>VILLA TRAFUL PROVINCIA DEL NEUQUEN, CABA Y LOCALIDAD DE TEMPERLEY PROVINCIA DE BUENOS AIRES,</t>
  </si>
  <si>
    <t>AMPLIANDO PARTE PR. Nº: 4608/10, DEL REGISTRO PSA Nº: 3641/10, SE INFORMA QUE EN EL DIA DE LA FECHA SE RECIBIO OFICIO JUDICIAL Nº 1393/2010, DE DIA 30 DE AGOSTO DEL CORRIENTE AÑO, PROVINIENTE DEL JUZGADO FEDERAL DE BARILOCHE, EN EL QUE SE ENCOMIENDA A ESTA UOCN Y DC V , PRACTICAR TAREAS DE INTELIGENCIA EN LOS POSIBLES DOMICILIOS CONOCIDOS DE LA CIUDADANA CARLA MARIEL BUSTOS, CON EL OBJETO DE DETERMINAR SU VINCULACION CON EL IMPUTADO EN AUTOS EN LA CONDUCTA DELICTIVA QUE SE INVESTIGA. ASIMISMO SE DISPONE TAREAS EN EL DOMICILIO DEL CAUSANTE JACK PIETER JORDAAN - RUTA NACIONAL 40 KM 2114 DE VILLA TRAFUL, NEUQUEN, A LOS EFECTOS DE CONSTATAR SU EXISTENCIA Y SU UBICACIÓN CONCRETA.</t>
  </si>
  <si>
    <t>NAC DE 1º INST EN LO CRIMINAL DE INST Nº 10</t>
  </si>
  <si>
    <t>GONZALEZ VALLE</t>
  </si>
  <si>
    <t>Luciano</t>
  </si>
  <si>
    <t>DR. JUAN JOSE TABOADA AREU</t>
  </si>
  <si>
    <t>SIENDO EL DÍA Y LA HORA ANTES MENCIONADA, EL OFICIAL JEFE ALEJANDRO SILVA, RECIBE COMUNICACIÓN RADIAL VÍA NEXTEL POR PARTE DEL OFICIAL AYUDANTE SERGIO GUSTAVO MARTIN, DESTACADO EN EL PUNTO DE INSPECCIÓN Y REGISTRO DENOMINADO JET PAQ, UBICADO EN EL SECTOR DE CARGAS DE ESTE AEROPARQUE METROPOLITANO, INFORMANDO QUE EN MOMENTOS DE REALIZAR EL CONTROL MEDIANTE MAQUINA DE RAYOS X, SOBRE LA CARGA A DESPACHAR, OBSERVA QUE DENTRO DE UNA SACA HABÍA UN ARMA LARGA CON CARACTERÍSTICAS SIMILARES A UNA CARABINA, CON SUS PIEZAS DESMONTADAS. INMEDIATAMENTE ME HAGO PRESENTE EN EL LUGAR JUNTO CON EL OFICIAL MAYOR PABLO LAHORE, ENCARGADO DE TURNO, VERIFICANDO QUE LA SACA DE CORREO CON PRECINTO Nº D618719 Y MARBETE CON INSCRIPCIÓN "CORREO ARGENTINO- EXPRESO. DE: CDD/CTP SANTA ROSA A: CTP NEUQUÉN", Nº DE MARBETE RSA8398188D636300NQNEL, CON PROCEDENCIA VÍA TERRESTRE LA CIUDAD DE SANTA ROSA DESTINO VÍA AÉREA, LA PROVINCIA DE NEUQUÉN, DESPACHADO EN EL VUELO AR 1652. POSTERIORMENTE ME ENTREVISTO CON EL SUPERVISOR RESPONSABLE DE LA EMPRESA CORREO ARGENTINO, A QUIEN SE LE CONSULTA RESPECTO A LA DOCUMENTACIÓN DE LA SACA DE CORREO, MANIFESTANDO QUE LA MISMA NO PRESENTABA DOCUMENTACIÓN ALGUNA CON REFERENTE AL DESPACHO DE ARMAS. NOS TRASLADAMOS, JUNTO CON LOS TESTIGOS, EL SUPERVISOR RESPONSABLE DE CORREO Y LA SACA EN CUESTIÓN, A LA GUARDIA DE PREVENCIÓN. A LOS EFECTOS DE BRINDAR LAS MEDIDAS DE SEGURIDAD PREVENTIVAS SOBRE DICHO ELEMENTO. SE INICIA PREVENCIÓN SUMARIA 342A/10, CARATULADA "AVERIGUACIÓN DE ILÍCITO".SE ENTABLA COMUNICACIÓN TELEFÓNICA A LA FISCALIA, QUIEN DISPUSO: SE REALICE EL SECUESTRO DE LA SACA Y SE PROCEDA A SU APERTURA, SE REALICE UN INFORME TÉCNICO DEL ARMA, SE SOLICITE A LA EMPRESA DE CORREO QUE PRESENTE LA CORRESPONDIENTE GUÍA DE IMPOSICIÓN.</t>
  </si>
  <si>
    <t>AR 1652</t>
  </si>
  <si>
    <t>SANTA ROSA, VIA TERRESTRE</t>
  </si>
  <si>
    <t>3905/10</t>
  </si>
  <si>
    <t>SE AMPLIA PARTE RESERVADO N° 3905 DE FECHA 28/06/10, EN RELACION AL EXPTE. N° 761/10, CARARTULADO APERTURA DE ENCOMIENDA SOLICTADA POR LA POLICIA DE SEGURIDAD AEROPORTUARIA, TRAMITADA ANTE EL JUZGADO FEDERAL DE SALTA NRO 1 A CARGO DEL DR JULIO LEONARDO BAVIO, SECRETARIA PENAL NRO 2 A CARGO DEL DR SANTIAGO FRENCH. POR EL PRESENTE INFORMO QUE SE DIO CUMPLIMIENTO AL OFICIO S/N DE FECHA 25/06/10, LIBRADO POR EL JUZGADO FEDERAL DE SALTA N° 1, EL CUAL SOLICITABA QUE PERSONAL DE ESTA FUERZA REALICE TAREAS DE VIGILANCIA, FILMACION Y/O TOMAS FOTOGRAFICAS, A FIN DE DETERMINAR LA VERACIDAD DE LOS HECHOS DENUNCIADOS, LOS QUE CORRESPONDE AL SECUESTRO DE UNA ENCOMIENDA REALIZADO POR LA UOSP SALTA, BAJO PREVENCION SUMARIA N° 036/09. DE ACUERDO A LA ORDEN DE SERVICIO N° 021/10 DE FECHA 29/06/10, SE COMISIONO PERSONAL DE ESTA UOCN Y DC DEL NORTE, PARA REALIZAR LAS TAREAS ENCOMENDADAS, EN EL DOMICILIO SITO EN MZA. 17 LOTE 12 DE VILLA ASUNCION, PROVICNIA DE SALTA, DONDE RESIDIRIA ELENA CALDERON, QUIEN SERIA LA PERSONA REMITENTE DE LA ENCOMIENDA RETENIDA POR LA UOSP EN AQUELLA OPORTUNIDAD. LUEGO DE VARIOS DIAS DE VIGILANCIA EN EL DOMICILIO EN CUESTION Y ADEMAS OBSERVACION DE LAS PERSONAS QUE RESIDEN EN EL MISMO, NO SE PUDO OBSERVAR QUE EN LA VIVIENDA O SUS MORADORES ESTARIAN REALIZANDO ALGUNA ACTIVIDAD QUE INFRINGA CON LA LEY 23737, POR LO QUE SE REALIZO UN AMPLIO INFORME, EL CUAL FUE DILIGENCIADO AL JUZGADO INTERVINIENTE EL DIA 10/08/10. EL DIA 01 DE SETIEMBRE DE 2010, SE RECEPCIONO OFICIO N° 2571/10, DE FECHA 31/08/10, POR EL CUAL S.S. DISPONE EL CIERRE DE LA PRESENTE CAUSA.</t>
  </si>
  <si>
    <t>5293/10</t>
  </si>
  <si>
    <t>DECOLA VUELO DE REFERENCIA HABIENDOSE REALIZADO EL OPERATIVO DE CUSTODIA DEL SEÑOR MINISTRO DEL INTERIOR CONTADOR ANIBAL FLORENCIO RANDAZZO SIN NOVEDAD. ORDEN DE SERVICIO NUMERO 19/10</t>
  </si>
  <si>
    <t>5290/10</t>
  </si>
  <si>
    <t>POR MEDIO DEL PRESENTE I8NFORMO LAS DEPOSICIONES REALIZADAS POR EL DETENIDO ALOJADO EN EL HOSPITAL DE EZEIZA: DEPO N 11-00:00 HS- 01/09/2010- 7 CAPSULAS.- DEPO N 12-00:23 HS-01/09/2010- 1 CAPSULA.-</t>
  </si>
  <si>
    <t>SUPUESTA DEFRAUDACIÓN</t>
  </si>
  <si>
    <t>PLANTA ALTA HALL PÚBLICO</t>
  </si>
  <si>
    <t>KIOSCO EL CADILLAL</t>
  </si>
  <si>
    <t>EN EL DÍA DE LA FECHA SIENDO LAS DIECISEIS HORAS CON OCHO MINUTOS SE PRESENTA LA SRA. MIRIAM GAGLIARDO CON EL OBJETO DE RADICAR DENUNCIA EN CONTRA DE LA EMPLEADA DEL KIOSCO EL CADILLAL, DEBIDO A QUE LA MISMA NO LE HABRÍA ENTREGADO EL VUELTO CORRESPONDIENTE DE UNA COMPRA REALIZADA POR UN MONTO DE CINCO PESOS CON NOVENTA CENTAVOS, HABIENDO PAGADO LA DENUNCIANTE CON UN BILLETE DE CINCUENTA PESOS Y CON NOVENTA CENTAVOS DE CAMBIO, RECIBIENDO UN VUELTO DE DIEZ PESOS, NO PERCATANDOSE EN UN PRIMER MOMENTO SOBRE EL IMPORTE RECIBIDO, AL EFECTUAR EL RECLAMO SOBRE EL FALTANTE DEL VUELTO RECIBIDO, LA EMPLEADA DEL KIOSCO LE MANIFESTO QUE ELLA HABÍA DADO BIEN EL VUELTO, MOTIVO POR EL CUAL REALIZA LA DENUNCIA. SE PROCEDE A REALIZAR LA COMUNICACIÓN TELEFÓNICA CON EL AGENTE FISCAL DEL JUZGADO DE INSTRUCCIÓN Nº 1 DR. CARLOS ENRIQUE FARFAN QUIEN ORDENA SE RECIBA LA DENUNCIA Y SE REMITAN LAS ACTUACIONES A LA BRIGADA DE INVESTIGACIONES DEPENDIENTE DE LA UNIDAD REGIONAL 6 DE LA POLICÍA DE LA PROVINCIA DE JUJUY, PARA QUE ESTOS DEN PROSECUCIÓN DEL TRÁMITE Y ELEVEN LAS MISMAS AL MAGISTRADO INTERVINIENTE PARA QUE DETERMINE LA CARATULA QUE CORRESPONDIERE.</t>
  </si>
  <si>
    <t>4222/10</t>
  </si>
  <si>
    <t>620/10</t>
  </si>
  <si>
    <t>SE PROCEDE A LA APERTURA DE UNA ENCOMIENDA DEL CORREO OFICIAL, SEGÚN CONSTA EN ACTA DE APERTURA DE CARGAS Nº 398/10, PREVENCION SUMARIA Nº 083/10, EN VIRTUD DE LO ORDENADO MEDIANTE OFICIO JUDICIAL S/N, DEL MAGISTRADO ACTUANTE Y EN PRESENCIA DE UN TESTIGO HABIL. LA ENCOMIENDA SE IDENTIFICA COMO EP658937049AR, RTTE. SRA. NOEMI MERCADO, PERU Nº 601, Bº LA PAZ, C.P. 4610, PERICO, JUJUY Y DEST. SR. IVAN GUSTAVO VILLAROEL, ORCADAS DEL SUR Nº 69, Bº LATINO AMERICANO, USHUAIA-TIERRA DEL FUEGO, CP.9410, CONTIENE: 8 PAQUETES DE HOJAS DE COCA CON UN PESO TOTAL DE 1.940 GRS. LA ENCOMIENDA SECUSTRADA SERA PUESTA A DISPOSICION DE LA ADUANA DE SALTA POR SUPUESTA INFRACCION AL CODIGO ADUANERO, LEY 22.415 Y LAS ACTUACIONES REMITIDAS A SEDE JUDICIAL SEGÚN P.U. Nº 4214 ORIGINARIO SE PROCEDE A LA RETENCIÓN DE UNA SACA COLECTORA DEL CORREO OFICIAL, SEGÚN CONSTA EN ACTA DE RETENCIÓN DE CARGAS Nº 0345/10, QUE ORIGINA LA PREVENCIÓN SUMARIA 083/10, LA SACA IDENTIFICADA CON MARBETE, SLA0210624D555800VAE, PRECINTO N° Z149884, CON UN PESO DECLARADO DE 13,700 KGS, CON DESTINO LA CIUDAD DE USHUAIA, CONTENDRIA TRES PIEZAS POSTALES, LA SACA SE ENCUENTRAN AMPARADA EN GUÍA DE CARGA Nº 9411814-6, DESPACHADA ATRAVÉS DE LA EMPRESA DE CARGA AEREA JET PAQ. LA RETENCIÓN SE REALIZA ANTE LA PRESUNCIÓN QUE PUDIERAN CONTENER ALGÚN ELEMENTO EN INFRACCIÓN A LA LEY 23.737 Y/O 22.415, QUEDANDO LA MISMA CERRADA Y PRECINTADA EN GUARDA EN ESTA UOSP. SE COMUNICO LA RETENCION, TELEFONICAMENTE AL JUZGADO INTERVINIENTE, Y LA APERTURA SE REALIZARÁ EN PRESENCIA DEL PERSONAL DEL CORREO OFICIAL. SEGÚN AMPLIACION P.U. Nº 4222 SE PROCEDE A LA APERTURA DE UNA SACA COLECTORA DEL CORREO OFICIAL SEGÚN ACTA DEJANDO CONSTANCIA Nº 346/10, QUE ORIGINO LA PREV. SUM. Nº 083/10. LA SACA IDENTIFICADA COMO SLA0210624D55800VAE, PRECINTO Nº Z149884, CONTIENE TRES PIEZAS POSTALES, IDENTIFICADAS COMO: LA 1ª EP658937049AR, DEST: IVAN GUSTAVO VILLARROEL, CALLE ORCADAS DEL SUR Nº 69, Bº LATINO AMERICANO, USHUAIA-TIERRA DEL FUEGO, CP.9410, RTTE: NOEMI MERCADO, CALLE PERU Nº 601, Bº LA PAZ, CP.4610- PERICO- JUJUY, LA MISMA QUEDA RETENIDA, LA 2ª PIEZA POSTAL IDENTIFICADA COMO EP658937035AR Y LA 3ª EP13100562AR, SON ENTREGADAS AL SR. HORACIO MONTAÑO, PARA SU REDESPACHO. LA ENCOMIENDA RETENIDA QUEDA CERRADA Y EN GUARDA EN ESTA UOSP. SE COMUNICO TELEFÓNICAMENTE AL JUZGADO INTERVINIENTE Y LA APERTURA SE REALIZARAN CON LA AUTORIZACIÓN DEL MAGISTRADO ACTUANTE.</t>
  </si>
  <si>
    <t>PERGOLA SECTOR PARTIDAS</t>
  </si>
  <si>
    <t>SIENDO LA FECHA Y HORA ANTES MENCIONADA, EN MOMENTOS EN QUE EL OFICIAL VIOR SE ENCONTRABA EN UNA RECORRIDA POR EL SECTOR MENCIONADO CON ANTERIORIDAD, OBSERVA Y SORPRENDE A UNA PERSONA DE SEXO MASCULINO, LA CUAL SE ENCONTRABA REALIZANDO EL SERVICIO DE MALETERO A PASAJEROS RECIEN ARRIBADOS AL PAIS, CARECIENDO DE LA HABILITACION CORRESPONDIENTE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</si>
  <si>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LAS DIECINUEVE HORAS CON DIEZ MINUTOS (LOCAL), ATERRIZA SIN NOVEDAD AERONAVE C-750 MATRICULA LV-BRJ, PROCEDENTE DE AEROPARQUE JORGE NEWBERY TRASLADANDO AL SR. DIPUTADO NACIONAL DR. NESTOR KIRCHNER Y COMITIVA. LOS MISMOS PARTICIPARAN JUNTAMENTE CON EL SR. GOBERNADOR DE LA PROVINCIA EN LA ENTREGA DE VIVIENDAS Y LA INAUGURACION DE LA NUEVA AVENIDA DE CIRCUNVALACION. SIENDO LAS DIECINUEVE HORAS CON TREINTA Y CINCO MINUTOS (LOCAL), LA COMITIVA SE RETIRO DE ESTE AEROPUERTO VIA TERRESTRE SIN NOVEDAD. SE AMPLIARA AL MOMENTO DE SU PARTIDA.</t>
  </si>
  <si>
    <t>LV-BRJ</t>
  </si>
  <si>
    <t>SORCE MAXIMILIANO EDUARDO S/TENTATIVA DE CONTRABANDO DE ESTUPEFACIENTES</t>
  </si>
  <si>
    <t>SD</t>
  </si>
  <si>
    <t>AVENIDA BALBIN 3539, SEGUNDO PISO, DEPARTAMENTO 7</t>
  </si>
  <si>
    <t>CON RELACION A LA ORDEN DE SERVICIO NRO. 849/10 EN EL DIA DE LA FECHA SE DIO CUMPLIMIENTO A LA ORDEN DE ALLANAMIENTO Y DETENCION, EMANADA DE LA JUDICATURA INTERVINIENTE, EN EL DOMICILIO DE MENCION, DONDE SE REALIZO UNA VIGILANCIA FIJA A LA ESPERA DE LA LLEGADA DEL SINDICADO, LUEGO DE LO CUAL SE EFECTIVIZA LA MEDIDA, PROCEDIENDO A LA DETENCION DEL NOMBRADO Y AL SECUESTRO DE LOS ELEMENTOS ABAJO DETALLADOS. ASIMISMO SE REALIZO EL REGISTRO DEL VEHICULO MARCA SEAT, MODELO MARBELLA FUN, DOMINIO SPG 575, CON RESULTADO NEGATIVO AL HALLAZGO DE ELEMENTOS DE INTERES PARA LA CAUSA. SE DEJA CONSTANCIA QUE EL DETENIDO ES TRASLADADO A LOS CALABOZOS DE LA UOSP EZEIZA PARA SU ALOJAMIENTO Y SERA TRASLADADO A SEDE JUDICIAL EN EL DIA DE MAÑANA A PRIMERA HORA A EFECTOS DE RECIBIRLE DECLARACION INDAGATORIA.</t>
  </si>
  <si>
    <t>5004/10</t>
  </si>
  <si>
    <t>SILVA</t>
  </si>
  <si>
    <t>MARIO OSVALDO</t>
  </si>
  <si>
    <t>DRA. MARIA EUGENIA SILVA</t>
  </si>
  <si>
    <t>POLICIA DE SEGURIDAD AEROPORTUARIA S/DCIA. ROBO</t>
  </si>
  <si>
    <t>AMPLIANDO PARTE URGENTE 5004/2010, EN EL DIA DE LA FECHA SE RECIBE OFICIO DE FISCALIA NRO 166/10 DIRIGIDA AL JEFE DE UOSP PARANA. EL MISMO ENCOMIENDA REALIZACION DE UNA TAREA DE INVESTIGACION E INTELIGENCIA EN PROCURA DEL ESCLARECIMIENTO DEL HECHO DE AUTOS Y LA IDENTIFICACION DE SUS PRESUNTOS AUTORES, COMPLICES O ENCUBRIDORES, DEL SUCESO OCURRIDO EL DIA 03 DE AGOSTO, DONDE SE RECEPCIONA UNA ENCOMIENDA TRANSPORTADA POR LA EMPRESA PULQUI PACK, ENVIADA DESDE LA UNIDAD REGIONAL IV DEL LITORAL, LA CUAL DEBIA CONTENER 10 PULLOVERES PSA, HABIENDOSE RECEPCIONADO LA CANTIDAD DE 9 ELEMENTOS MENCIONADOS. EL OFICIO SERÁ DERIVADO A LA UNIDAD OPERACIONAL DE CONTROL DE NARCOTRAFICO Y DELITOS COMPLEJOS PARANA.</t>
  </si>
  <si>
    <t>5309/10</t>
  </si>
  <si>
    <t>SIENDO LAS 21:50 HS. (LOCAL), DESPEGO SIN NOVEDAD AERONAVE C-750 MATRICULA LV-BRJ, CON DESTINO AEROPARQUE JORGE NEWBERY TRASLADANDO AL SR. DIPUTADO NACIONAL DR. NESTOR KIRCHNER Y COMITIVA.</t>
  </si>
  <si>
    <t>SALA DE ESPERA Nº 08</t>
  </si>
  <si>
    <t>EN MOMENTOS EN QUE PERSONAL POLICIAL SE ENCONTRABA REALIZANDO UN CONTROL DE RUTINA A LOS PASAJEROS QUE SE ENCONTRABAN EN LOS MOSTRADORES DE LA COMPAÑÍA SOUTH AFRICA AIRLINES, DETECTAN A UN MASCULINO EL CUAL SE MOSTRABA NERVIOSO, A TAL EVENTO PROCEDEN A IDENTIFICAR AL MISMO, EL CUAL SEGUÍA DEMOSTRANDO LA MISMA ACTITUD. LUEGO Y EN VIRTUD A QUE EL ACCIONAR DEL PASAJERO NO AMERITABA DAR CURSO A UN PROCEDIMIENTO QUE REQUIERA INTERVENCIÓN JUDICIAL, SE PERMITIÓ LA LIBRE CIRCULACION DEL MISMO. NO OBSTANTE EL PERSONAL POLICIAL CONTINUABA CON LAS DUDAS EN CUANTO A LA POSIBLE COMISION DE UN ILICITO POR PARTE DEL PASAJERO, SE DIO AVISO VIA FRECUENCIA RADIAL, A PERSONAL APOSTADO EN EL PUESTO DE CONTROL PREEMBARQUE 1/16, CON EL FIN DE ANOTICIARLOS QUE EL PASAJERO SERIA SOMETIDO A UN NUEVO CONTROL MAS EXHAUSTIVO POR EL PERSONAL QUE EFECTUO EN PRIMERA INSTANCIA. LUEGO EN LA SALA DE ESPERA Nº 8 SE CONTACTA AL PASAJERO, AL CUAL SE LE CONSULTO SI TIENE ALGUN ELEMENTO QUE DECLARAR ENTRE SUS PERTENENCIAS, MANIFESTANDO EL MISMO EN FORMA ESPONTANEA QUE LLEVABA CUARENTA Y NUEVE MIL NOVECIENTOS DOLARES ESTADOUNIDENSES. SEGUIDAMENTE SE TRANSMITIO LA NOVEDAD AL JEFE DE TURNO QUIEN DISPUSO SE TRASLADEN TODOS LOS INTERVINIENTES AL TURNO DE GUARDIA. UNA VEZ HABIDOS TODOS EN TURNO DE GUARDIA, SE REALIZO LA CONSULTA AL JUZGADO INTERVINIENTE QUIEN AUTORIZO LA REQUISA DEL PASAJERO. EN UN CUARTO DESTINADO A TAL FIN SE PROCEDIO AL MISMO, DONDE SE PUDO APRECIAR QUE DEBAJO DE SU ROPA, TENIA UNA RIÑONERA DE TELA DE COLOR NEGRO, DENTRO DE LA CUAL HABIA SEIS FAJOS DE BILLETES DE DOLARES ESTADOUNIDENSES. TODO ESTO ES COMUNICADO INMEDIATAMENTE AL JUZGADO QUIEN DISPUSO LA DETENCION E INCOMUNICACION DEL PASAJERO. QUE SIENDO LAS 0720 HORAS SE PROCEDIO AL TRASLADO DEL IMPUTADO A SEDE TRIBUNALICIA.</t>
  </si>
  <si>
    <t>NAC DE 1º INST EN LO CRIMINAL DE INST Nº 44</t>
  </si>
  <si>
    <t>SECRETARIA N° 115</t>
  </si>
  <si>
    <t>Daffis Niklison</t>
  </si>
  <si>
    <t>MORONI NESTOR RODOLFO</t>
  </si>
  <si>
    <t>SIENDO LA HORA MENCIONADA, EL OF. FERREYRA, AL ESCANEAR EL EQUIPAJE DESPACHADO DEL VUELO DE MENCION, INTERPRETA A TRAVÉS DE LA MAQUINA DE RAYOS X, LA POSIBLE EXISTENCIA DE UN ARMA DE FUEGO EN UNA DE LAS VALIJAS. AL NO PODER PRECISAR SI LA MISMA ERA UNA REPLICA O NO, SE SOLICITA LA INMEDIATA PRESENCIA DEL PASAJERO EN EL PATIO DE VALIJAS PARA ACLARAR LA SITUACIÓN. SEGUIDAMENTE SE HACE PRESENTE EL ENCARGADO DE TURNO, EL OFICIAL HADAD EDGARDO Y EN PRESENCIA DE DOS TESTIGOS HÁBILES REQUERIDOS A TAL EFECTO Y DEL PASAJERO EN CUESTIÓN, SE PROCEDE A CONSULTAR SOBRE EL CONTENIDO DE LA VALIJA, MANIFESTANDO EL CAUSANTE TENER UN REVOLVER CALIBRE 32 LARGO, A LO QUE EL OF. FERREYRA LE CONSULTA POR LA DOCUMENTACIÓN DE LA MISMA, Y EL CAUSANTE AFIRMA NO TENER NINGÚN TIPO DE DOCUMENTACIÓN DEL ARMA DE FUEGO, PERO ACLARA QUE EL YA HABIA VIAJADO DESDE LA PROVINCIA DE CORRIENTES HACIA ESTE AEROPUERTO METROPOLITANO EN LAS MISMAS CONDICIONES, Y NO HABIA TENIDO INCONVENIENTES CON SU EQUIPAJE DESPACHADO. MOTIVO POR EL CUAL, SE TRASLADA DE CONFORMIDAD A TODOS LOS PARTICIPANTES A LA GUARDIA DE PREVENCIÓN PARA CONTINUAR CON LAS ACTUACIONES QUE CORRESPONDIEREN. SIENDO LAS 23:50 HORAS SE PROCEDE A ENTABLAR COMUNICACIÓN TELEFÓNICA CON LA JUDICATURA ACTUANTE, QUIEN ANOTICIADA DE LAS DILIGENCIAS PRACTICADAS HASTA EL MOMENTO DISPONE CONTINUAR CON LAS DILIGENCIAS DE RIGOR, QUE EL CAUSANTE PERMANEZCA EN CARÁCTER DE DETENIDO COMUNICADO, SE REALICE EL SECUESTRO DEL ARMA DE FUEGO OBJETO DE LA PRESENTE Y PERMANEZCA BAJO CUSTODIA DE ESTA DEPENDENCIA, Y EN CASO DE NO MEDIAR IMPEDIMENTO LEGAL A TRAVÉS DE IDGE INTERPOL SE PROCEDA A LA SOLTURA DEL DETENIDO. SIENDO LAS 04:30 HORAS POR ORDEN DE LA JUDICATURA ACTUANTE Y AL NO MEDIAR IMPEDIMENTOS POR EL IDGE INTERPOL SE PROCEDE A LA LIBERACIÓN DEL DETENIDO SIN NOVEDAD.</t>
  </si>
  <si>
    <t>INFRACION AL ARTICULO 78 DEL DECRETO LEY 8031/73</t>
  </si>
  <si>
    <t>PUESTO DENOMINADO OVER SIDE NORTE</t>
  </si>
  <si>
    <t>INFORMO QUE EL CONTRAVENTOR EN MOMENTOS QUE INTENTABA EGRESAR DE LA PARTE RESTRINGIDA DE ESTA AEROSTACIÓN, POR EL PUESTO LLAMADO OVER SIDE NORTE, EN CIRCUNSTANCIAS QUE ATRAVIESA EL ARCO DETECTOR DE METALES EMPLAZADO EN EL PUESTO DE MENCION, HACIENDO ACTIVAR LA ALAMAR DEL MISMO. A TAL EVENTO PERSONAL POLICIAL LE CONSULTA AL EMPLEADO EN CUESTIÓN SI PORTABA ALGÚN APARATO ELECTRÓNICO, A LO QUE EL MISMO RESPONDE EN FORMA NEGATIVA. A TAL EVENTO PERSONAL POLICIAL LE SOLICITA QUE EXHIBA LOS ELEMENTOS QUE TIENE EN UNO DE LOS BOLSILLOS QUE PORTABA, MOSTRANDO EL MISMO UN TELEFONO CELULAR, EL CUAL NO PERTENENCIA A LA EMPRESA AÉREA PARA LA CUAL TRABAJA, COMO ASI TAMPOCO LO HABIA DECLARADO ANTE ESTA POLICÍA. ACTO SEGUIDO SE TRASLADA AL INFRACTOR AL SERVICIO DE SANIDAD Y LUEGO A LA GUARDIA DE PREVENCION DONDE SE LABRA LA CORRESPONDIENTE ACTA CONTRAVENCIONAL Y SE EFECTUA CONSTATACION DE ANTECEDENTES PENALES DEL INFRACTOR. LUEGO DE REALIZADO ESTOS TRAMITES EL INFRACTOR SE RETIRA POR SUS PROPIOS MEDIOS.</t>
  </si>
  <si>
    <t>EN EL DIA DE LA FECHA SE PRESENTO EN LA OFICINA DE IDENTIFICACION Y REGISTRO, LA CIUDADANA SUSÑAR, MARIELA LORENA - DNI 23.225.597 A EFECTOS DE RADICAR DENUNCIA POR EL EXTRAVIÓ DE SU PERMISO PERSONAL DE SEGURIDAD AEROPORTUARIA Nº 249133 CON VENCIMIENTO EL 03-06-2009; NO PRECISANDO LAS CIRCUNSTANCIAS Y/O LUGAR DONDE SE PRODUJERA EL EXTRAVIÓ DEL CITADO PERMISO PERSONAL AEROPORTUARIO.</t>
  </si>
  <si>
    <t>DR. WALTER E. ROMERO</t>
  </si>
  <si>
    <t>SANCHEZ, PEDRO NORBERTO Y OTROS S/ENCUBRIMIENTO POR LAVADO DE ACTIVOS DE ORIGEN DELICTIVO, ART. 278 INC. 1 AP. A Y B DEL CPA-</t>
  </si>
  <si>
    <t>EN LA FECHA SE CUMPLIMENTO ORDEN DE SERVICIO N° 210/10 DE LA URSA IV DEL LITORAL EN VIRTUD DE ORDEN JUDICIAL RELACIONADO CON EL TRASLADO DE DOCUMENTACION Y ELEMENTOS SECUESTRADOS, DESDE EL JUZGADO FEDERAL DE PASO DE LOS LIBRES HASTA EL JUZGADO FEDERAL DE CORRIENTES</t>
  </si>
  <si>
    <t>SANCHEZ PEDRO NORBERTO Y OTROS S/ENCUBRIMIENTO POR LAVADO DE ACTIVOS DE ORIGEN DELICTIVO, ART. 278, INC. 1 AP. A Y B DEL CPA.</t>
  </si>
  <si>
    <t>AMPLIANDO MI PU NRO. 4099, EN LA FECHA SE PROCEDIO A DAR CUMPLIMIENTO AL OFICIO JUDICIAL NRO. 523 DE FECHA 05 DE JULIO DEL CORRIENTE AÑO DEL JUZGAGO FEDERAL DE PASO DE LOS LIBRES, HACIENDO EFECTIVA LA REMISION A DICHA SEDE TRIBUNALICIA, DEL ARMAMENTO Y MUNICIONES SECUESTRADAS EN EL MARCO DE LA PRESENTE CAUSA, Y QUE SE ENCONTRABAN EN CUSTODIA DE ESTA UNIDAD OPERACIONAL, SIN NOVEDAD, TRASLADO EFECTUADO BAJO ORDEN DE SERVICIO NRO. 046/10.</t>
  </si>
  <si>
    <t>5311/10</t>
  </si>
  <si>
    <t>JUZGADO NACIONAL EN LO PENAL ECONOMICO N° 1 SECRETARIA N° 2. AV DE LOS INMIGRANTES 1950</t>
  </si>
  <si>
    <t>CON RELACION A LA ORDEN DE SERVICIO NRO.855. SE INFORMA QUE EL DETENIDO EN AUTOS FUE TRASLADADO EN EL DIA DE LA FECHA SIENDO LAS 09:00 HS. DESDE LA GUARDIA DE PREVENCION DE LA UOSP EZEIZA HASTA EL JUZGADO DE REFERENCIA A FIN DE TOMARLE DECLARACION INDAGATORIA Y POSTERIORMENTE POR ORDEN DE SSA. SE TRASLADO AL ENCARTADO HASTA LAS INSTALACIONES DE LA UNIDAD N° 28 DEL SERVICIO PENITENCIARIO FEDERAL. PARA SU RESGUARDO Y CUSTODIA HASTA EL DIA 03 DE SEPTIMBRE DEL CORRIENTE AÑO QUE DEBERA SER TRASLADADO POR ESA UNIDAD CARCELARIA A SEDE TRIBUNALICIA.</t>
  </si>
  <si>
    <t>ARRIBA AERONAVE T-01 CON SEÑORA PRESIDENTA DE LA NACIÓN, SEÑOR EX PRESIDENTE DE LA NACIÓN DOCTOR NESTOR KIRCHNER Y COMITIVA, PROCEDENTES DE LA CIUDAD DE BUENOS AIRES SIN NOVEDAD. AERONAVE T-01 PERNOCTARA EN ESTE AEROPUERTO HASTA EL DÍA 03 DE SETIEMBRE DE 2010.-</t>
  </si>
  <si>
    <t>5314/10</t>
  </si>
  <si>
    <t>SECTOR DE MOSTRADOR NUMERO 46</t>
  </si>
  <si>
    <t>QUE SIENDO LAS DIECINUEVE HORAS TRECE MINUTOS REGRESO LA COMISION JUNTO AL IMPUTADO Y OFICIO JUDICIAL QUE ORDENA QUE EL MISMO SEA ALOJADO EN ESTA DEPENDENCIA HASTA EL DIA TRES DEL CORRIENTE MES Y AÑO DONDE DEBERA SER TRASLADADO A SEDE TRIBUNALICIA A LA PRIMERA HORA DE LA MAÑANA.</t>
  </si>
  <si>
    <t>INFRACCION AL ART 78 DECRETO LEY 8031/73</t>
  </si>
  <si>
    <t>PATIO DE VALIJAS TERMINAL A.</t>
  </si>
  <si>
    <t>SIENDO LA FECHA Y HORA ANTES MENCIONADA, EN MOMENTOS EN QUE LOS OFICIALES OGLIALORO Y PAZ SE ENCONTRABAN EN UNA RECORRIDA POR EL SECTOR MENCIONADO CON ANTERIORIDAD, OBSERVAN Y SORPRENDEN A UNA PERSONA DE SEXO MASCULINO, LA CUAL SE ENCONTRABA FUMANDO, FUERA DE LOS LUGARES HABILITADOS PARA TAL FIN, INFORMADO PREVIAMENTE QUE ESTA PROHIBIDO FUMAR EN LOS SECTORES RESTRINGIDOS DEL AEROPUERTO,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</si>
  <si>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VEREDA JUNTO AL EDIFICIO CIPE</t>
  </si>
  <si>
    <t>SIENDO LA FECHA Y HORA ANTES MENCIONADA, EN MOMENTOS EN QUE LOS OFICIALES GERMINARIO Y CARABAJAL SE ENCONTRABAN EN UNA RECORRIDA POR EL SECTOR MENCIONADO CON ANTERIORIDAD, OBSERVAN Y SORPRENDEN A UNA PERSONA DE SEXO MASCULINO, LA CUAL SE ENCONTRABA REALIZANDO TAREAS DE VENTA AMBULANTE DE SUSTANCIAS ALIMENTICIAS, SIN HABER CUMPLIMENTADO PREVIAMENTE CON LOS REQUISITOS EXIGIDOS POR LA AUTORIDAD DE COMPETENCIA PARA EJERCER DICHA ACTIVIDAD,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</si>
  <si>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SIENDO LAS 12:00 HORAS SE DA INICIO A CUMPLIMENTO DE ORDEN DE SERVICIO 320/10, 601/10 URSA, DONDE SE IMPLEMENTA OPERATIVO DE SEGURIDAD PARA LA SALIDA EN EL TANGO 01 DE LA SEÑORA PRESIDENTA DE LA NACION, CON DESTINO LA CIUDAD DE CALAFATE. SIENDO LAS 14:40 HORAS SE HACE PRESENTE LA SRA. PRESIDENTA EN VEHICULO PARTICULAR. TENIENDO COMO HORA DE SALIDA LAS 14:53. EL MISMO FINALIZO A LAS 15:00 HORAS SIN NOVEDAD.</t>
  </si>
  <si>
    <t>MIENTRAS SE REALIZABA EL CONTROL DE RUTINA A PASAJEROS A EMBARCAR EN EL VUELO ANTES DETALLADO LE FUE DABLE OBSERVAR AL OPERADOR DE RAYOS X OFICIAL MAYOR CARDOZO, GRAN CANTIDAD DE ELECTRÓNICA EN EL EQUIPAJE DE MANO DEL PASAJERO SR. KRUL, POR LO QUE VERIFICA EL EQUIPAJE EN CUESTIÓN CONSTATANDO QUE LA ELECTRÓNICA TRASPORTADA CARECÍA DEL ESTAMPILLADO FISCAL COMO ASÍ TAMBIÉN EL PROPIETARIO NO POSEÍA LAS FACTURAS DE COMPRAS CORRESPONDIENTE, ATENTO A ESTO SE INFORMA A LA SEÑORA JOSEFA BEATRIZ LASTRA FUNCIONARIA ADUANERA LEGAJO Nº 29113-7 QUIEN DISPONE QUE SE PROCEDE A REALIZAR LA INTERDICCIÓN DE LA MERCADERÍA, MEDIANTE ACTA INTERDICCIÓN Nº 069/10 UOSP POSADAS POR PRESUNTA INFRACCIÓN A LA LEY Nº 22.415 EN PRESENCIA DE TESTIGOS HÁBILES CUYOS DATOS CONSTAN EN EL PRESENTE LA MERCADERÍA INTERDICTADA PERMANECE EN CUSTODIA DE ESTA UNIDAD, HASTA QUE SEA DESIGNADO UN TURNO POR LA ADMINISTRACION DE ADUANA PARA LA ENTRAGA DE DICHA MERCADERIA. ASIMISMO INFORMO QUE SIENDO LAS 23:34HS LA EMPRESA INFORMA LA CANCELACION DEL VUELO POR LO QUE NO CONSTA EL HORARIO DE ARRIBO Y DESPEGUE</t>
  </si>
  <si>
    <t>NAC. DE 1º INST. EN LO CORRECCIONAL Nº 5</t>
  </si>
  <si>
    <t>SECRETARIA Nº 73</t>
  </si>
  <si>
    <t>Candela</t>
  </si>
  <si>
    <t>Walter Jose</t>
  </si>
  <si>
    <t>DR. EDGARDO FABIAN BISTOLFI</t>
  </si>
  <si>
    <t>ATENTADO Y RESISTENCIA A LA AUTORIDAD</t>
  </si>
  <si>
    <t>SIENDO EL DIA ANTES MENCIONADO A LAS 1345 HORAS, SE RECIBE COMUNICACION VIA FRECUENCIA RADIAL POR PARTE DEL OFICIAL MONZA, ENCARGADO DEL PREEMBARQUE TERMINAL III, EL CUAL INFORMA QUE EL OFICIAL SANTILLAN, QUIEN SE ENCONTRABA EN EL SECTOR RESTRINGIDO DENOMINADO A2, HABIA RECIBIDO UN GOLPE EN LA PANTORRILLA, POR PARTE DE UN PASAJERO, QUE HABIA ARRIBADO EN EL VUELO DE MENCION, EL CUAL POR DEMORAS EN LA ENTREGA DEL EQUIPAJE, HABIA TOMADO ESA ACTITUD AGRESIVA. INMEDIATAMENTE LE COMUNICA VIA FRECUENCIA RADIAL LO SUCEDIDO AL OF. MONZA, QUIEN SE APERSONA EN EL LUGAR Y JUNTO CON DOS TESTIGOS HABILES SE DIRIGEN A LA GUARDIA DE PREVENCION. ACTO SEGUIDO, SE DA INTERVENCION A LA JUDICATURA ACTUANTE QUIEN DISPONE SE DETENGA AL SR. TORIKAI CON CARACTER DE COMUNICADO, SE REALICE PRECARIO MEDICO, SE ENVIE NOTA AL CONSULADO, REGISTROS FILMICOS, NOTA A INTERPOL Y DE NO REGISTRARSE ANTECEDENTES SE REALICE LA SOLTURA DEL MISMO CIERRE Y ELEVACION DE LAS ACTUACIONES. Y DE NO REGISTRAR ANTECEDENTES Y/O IMPEDIMENTO LEGAL ALGUNO, SIENDO LAS 1930 HORAS Y EN PRESENCIA DE LOS TESTIGOS HABILES SE PROCEDE A LA SOLTURA DEL DETENIDO REALIZANDOLE EL PRECARIO MEDICO DE SALIDA Y HACIENDOLE ENTREGA DE TODOS SUS ELEMENTOS PERSONALES SIN NOVEDAD.</t>
  </si>
  <si>
    <t>AU 2721</t>
  </si>
  <si>
    <t>DRA. VERONICA LARA</t>
  </si>
  <si>
    <t>CALLE MARCELO T. DE ALVEAR Nº 2263 C.A.B.A.</t>
  </si>
  <si>
    <t>PARADA DE TAXIS DEL SECTOR A2 DEL AEROPARQUE</t>
  </si>
  <si>
    <t>SIENDO EL DIA Y LA HORA ANTES MENCIONADA SE PRESENTA EN ESTA GUARDIA DE PREVENCION LA DAMNIFICADA INFORMANDO QUE A LAS 1040 HORAS HABIA ARRIBADO EN ESTE AEROPARQUE DEL VUELO AU 2831, DE LA EMPRESA AUSTRAL LINEAS AEREAS, PROCEDENTE DE LA CIUDAD DE COMODORO RIVADAVIA, Y SE DIRIGIO A LA PARADA DE TAXIS DEL SECTOR A2, DONDE ABORDO UN VEHICULO TAXIMETRO, Y AL LLEGAR A DESTINO EL CHOFER LE INFORMO QUE EL COSTO DEL VIAJE ERA DE TREINTA Y CINCO PESOS, ENTREGANDOLE UN TICKET, ABONANDOLE EL MISMO CON UN BILLETE DE CIEN PESOS, POR LO QUE RECIBIO DE VUELTO SIES BILLETES DE DIEZ PESOS Y UNO DE CINCO PESOS. TRANSCURRIDAS UNAS HORAS SE DIRIGIO A UNA CAFETERIA, EN MOMENTOS DE ABONAR LO QUE HABIA CONSUMIDO, PAGO CON LOS BILLETES QUE LE HABIA ENTREGADO EL TAXISTA, POR LO QUE EL MOZO LE INFORMA QUE ERAN FALSOS. POSTERIORMENTE LA DAMNIFICADA RADICA LA DENUNCIA Y SE DA INTERVENCION A LA JUDICATURA ACTUANTE QUIEN DISPONE SE REALICE SECUESTRO DE LOS DOS BILLETES FALSOS, PARA SU POSTERIOR ENVIO A LA DIVISION SCOPOMETRIA DE LA PFA, SECUESTRO DEL TICKET ENTREGADO POR EL TAXISTA A FIN DE CORROBORAR SI EN EL MISMO FIGURA ALGUNA EMPRESA DE TAXI, ENVIAR NOTA A SACTA, A LOS FINES DE CORROBORAR A QUE VEHICULO CORRESPONDE EL NUMERO DE LICENCIA QUE APARECE EN EL TICKET, SOLICITAR REGISTROS FILMICOS DEL SECTOR, CIERRE Y ELEVACION DE LAS ACTUACIONES.</t>
  </si>
  <si>
    <t>EL OFICIAL PONCE ENCONTRANDOSE DE GUARDIA EN EL CENTRO DE CONTROL OPERATIVO A TRAVES DE SUS CAMARAS OBSERVA EN LA PERGOLA DE ARRIBOS DE LA PERGOLA A, UNA PERSONA DE SEXO MASCULINO QUE SE ENCONTRABA REALIZANDO EL SERVICIO DE MALETERO, SE COMUNICA VIA HT CON EL OFICIAL SACOR QUIEN SE APROXIMA AL SECTOR DONDE OBSERVA Y SORPRENDE A DICHO MASCULINO REALIZANDO SERVICIO DE MALETERO CARECIENDO DE LA HABILITACION PARA TAL FIN, SE PROCEDE A LA IDENTIFICACION, APREHENSION PREVENTIVA DEL CAUSANTE. ACTO SEGUIDO SE TRASLADA AL INFRACTOR AL SERVICIO DE SANIDAD Y LUEGO A LA GUARDIA DE PREVENCION DONDE SE LABRA LA CORRESPONDIENTE ACTA CONTRAVENCIONAL Y SE EFECTUA CONSTATACION DE ANTECEDENTES PENALES DEL INFRACTOR. LUEGO DE REALIZADO ESTOS TRAMITES EL INFRACTOR SE RETIRA POR SUS PROPIOS MEDIOS.</t>
  </si>
  <si>
    <t>QUE SIENDO APROXIMADAMENTE LAS CUATRO HORAS CINCUENTA MINUTOS SE PROCEDIO SEGUN LO DISPUESTO EN LA ORDEN DE SERVICIO NUMERO 603/10 REFERENTE A LA CUSTODIA DE TESTIGO PROTEGIDO, EMANADA POR EL SUBJEFE DE LA URSA I DEL ESTE, COMISIONADO MAYOR RICARDO COLLAZO, DANDO CUMPLIMIENTO A LA MISMA SIN NOVEDAD.-</t>
  </si>
  <si>
    <t>DESPEGA AERONAVE MATRICULA LV-WLS CON SEÑORA PRESIDENTA DE LA NACIÓN, SEÑOR GOBERNADOR DE LA PROVINCIA DE SANTA CRUZ Y COMITIVA CON DESTINO A LA CIUDAD DE LAS HERAS, PROVINCIA DE SANTA CRUZ, SIN NOVEDAD. ESTIMANDO REGRESO,APROXIMADAMENTE, A LAS DIECISEIS HORAS LOCAL.-</t>
  </si>
  <si>
    <t>LAS HERAS - PROVINCIA DE SANTA CRUZ</t>
  </si>
  <si>
    <t>DRA. MARIA VIRGINA VIRGINIA DUFFY</t>
  </si>
  <si>
    <t>ARSENALES MIGUEL DE AZCUENAGA CCD S/SECUESTROS Y DESAPARICIONES</t>
  </si>
  <si>
    <t>EXPTE. NRO. 443/84 Y CONEXOS</t>
  </si>
  <si>
    <t>PROVINCIA DE: TUCUMAN, SANTIAGO DEL ESTERO, CORDOBA, JUJUY, SALTA, SAN LUIS, ENTRE RIOS, BUENOS AIRES, SANTA FE, MENDOZA Y FORMOSA, MISIONES</t>
  </si>
  <si>
    <t>EN EL DIA DE LA FECHA, SE RECEPCIONA OFICIO JUDICIAL RELACIONADO CON LA CAUSA N° 05/07 INC. 193, EN EL QUE SE ORDENA LA CONSTATACION DE LOS DOMICILIOS QUE EN ESTE SE DETALLAN Y EN CASO DE DAR CON EL PARADERO DE LOS IMPUTADOS, PROCEDER A LA APREHENSION Y TRASLADO DE LOS MISMOS ANTE EL JUZGADO INTEVINIENTE. ESTOS SON, BARRAZA CELSO ALBERTO DNI 8465018, GODOY MARCELO OMAR DNI 11119061, BENEDICTO JUAN CARLOS, LOPEZ GUERRERO GUILLERMO FRANCISCO DNI 10402936, SOTO HUGO ENZO DNI 6946841, NEME AUGUSTO LEONARDO DNI 4862449, PAZ MIGUEL ALFREDO MANUEL DNI 4833407, VALDIVIEZO ARIEL ROLANDO DNI 8196717, TRUCCO CARLOS EDUARDO DNI 8468240, DE URQUIZA LUIS DANIEL DNI 7792831, MOORE ADOLFO ERNESTO DNI 7772824, OJEDA FUENTES RAMON ALFREDO DNI 4531128, TORRES FERNANDO DNI 7088663, VACCARO HORACIO ALBERTO DNI 5526801, VARELA LUIS ORLANDO DNI 7092080, GUEMES TOMAS ADOLFO DNI 8160683, LAFUENTE CARLOS ALBERTO DNI 7255737, MONTES DE OCA ALBERTO HECTOR RAFAEL DNI 8024954, PALOMO BENITO DNI 8222537, RIVERO ERNESTO DNI 7788235, SOWINSKI JOSE CARLOS DNI 5093721.-</t>
  </si>
  <si>
    <t>5336/10</t>
  </si>
  <si>
    <t>PUENTE INTERNACIONAL SAN ROQUE GONZALEZ DE SANTA CRUZ</t>
  </si>
  <si>
    <t>DEPOSITO ADUANA</t>
  </si>
  <si>
    <t>EN EL DIA DE LA FECHA SE PROCEDIO AL TRASLADO DE LOS EQUIPOS ELECTRONICOS INTERDICATADOS AL DEPOSITO DE ADUANA PROCEDIENDOSE A LA ENTERGA DE LOS MISMOS MEDIANTE ACTA DE ESTILO NRO 0070/10 U.O.S.P. POSADAS BAJO NUMERO DE DENUNCIA ADUANA DN-46-10-1527.</t>
  </si>
  <si>
    <t>SEDE JUDICIAL</t>
  </si>
  <si>
    <t>QUE DANDO CUMPLIMIENTO A LO DISPUESTO POR SSA. SE REALIZO EL TRASLADO DEL DETENIDO EN AUTOS, DESDE ESTA DEPENDENCIA HASTA SEDE TRIBUNAL, SIN NOVEDADES</t>
  </si>
  <si>
    <t>JUZGADO DE INSTRUCCION Nº 1 DE PICO TRUNCADO DE LA PCIA. DE SANTA CRUZ</t>
  </si>
  <si>
    <t>CIMINI</t>
  </si>
  <si>
    <t>DRA. ROBAIS ROXANA</t>
  </si>
  <si>
    <t>R-6703/96</t>
  </si>
  <si>
    <t>NOTIFICACION P.S.A. de RECABARREN BECERRA SILVIA SONIA</t>
  </si>
  <si>
    <t>EN EL DIA DE LA FECHA SIENDO LAS 13:40 HORAS SE PRESENTA ANTE EL CONTROL DE DOCUMENTOS LA CIUDADANA RECABARREN SILVIA - D.N.I. NRO. 24.526.826, SOBRE QUIEN RECAE UN PARADERO SEGUN REGISTRO DEL SISTEMA RED LINCE Nº 63603 EN EL MARCO A LOS AUTOS EN REFERENCIA PROCEDIO A NOTIFICARLA, DEBIENDOSE PRESENTARSE ANTES LOS ESTRADOS DEL JUZGADO INTERVINIENTE A LA BREVEDAD POSIBLE. FIJANDO DOMICILIO REAL BARRIO GUEMES MZA 198, SOLAR 10 - LAS HERAS DE LA CIUDAD LAS HERAS PROVINCIA DE SANTA CRUZ.</t>
  </si>
  <si>
    <t>LD482</t>
  </si>
  <si>
    <t>ARRIBA AERONAVE MATRICULA LV-WLS CON SEÑORA PRESIDENTA DE LA NACIÓN, SEÑOR GOBERNADOR DE LA PROVINCIA DE SANTA CRUZ Y COMITIVA SIN NOVEDAD. AERONAVE T-01 PROXIMA A PARTIR A LA CIUDAD DE RÍO GALLEGOS CON TRIPULACIÓN.-</t>
  </si>
  <si>
    <t>LAS HERAS PROVINCIA DE SANTA CRUZ</t>
  </si>
  <si>
    <t>DELLAJIUSTINA</t>
  </si>
  <si>
    <t>DR. FABIO ANIBAL MOYANO</t>
  </si>
  <si>
    <t>MARCELO CARLOS OLAÑETA ARCE S/DENUNCIA</t>
  </si>
  <si>
    <t>ASIENTO 04C</t>
  </si>
  <si>
    <t>EN MOMENTOS EN QUE SE ENCONTRABA EN EL ÓMNIBUS QUE LO TRANSPORTARÍA DESDE LA AERONAVE HACIA EL SECTOR DE ARRIBOS SE PERCATA DEL FALTANTE, DE SU CELULAR HABIENDOLO DEJADO OLVIDADO, SOBRE EL ASIENTO, POR LO QUE LE SOLICITA AL PERSONAL DE LA EMPRESA AEROCOMERCIAL DIRIGIRSE NUEVAMENTE HACIA LA AERONAVE PARA BUSCAR SU CELULAR. UNA VEZ ALLÍ SE DIRIGE HACIA EL ASIENTO ANTES MENCIONADO Y OBSERVA QUE ÉSTE YA NO SE ENCONTRABA, POR LO QUE LE CONSULTA A LA AZAFATA QUE AUN SE ENCONTRABA DENTRO DE LA AERONAVE, POR SU CELULAR, RESPONDIÉNDOLE QUE NADIE LE HABÍA ACERCADO NINGÚN TELÉFONO. LUEGO ES TRASLADO HACIA EL SECTOR DE ARRIBOS, DONDE VUELVE A CONSULTAR AL ENCARGADO DEL SECTOR RECLAMOS POR EL OBJETO OLVIDADO, DONDE DESPUÉS DE UNOS MINUTOS LE INFORMAN QUE NO HABÍA ENCONTRADO NINGÚN TELÉFONO DENTRO DE LA AERONAVE.</t>
  </si>
  <si>
    <t>AR 1643</t>
  </si>
  <si>
    <t>SE CONFECCIONA EL PRESENTE A LOS EFECTOS DE INFORMAR QUE EN EL DIA DE LA FECHA SIENDO LAS 16:50 HS LOCAL ARRIBA LA AERONAVE T-01 PROCEDENTE DE EL CALAFATE, LA MISMA ARRIBA CON TRIPULACION Y SIN NOVEDAD.</t>
  </si>
  <si>
    <t>4620/10</t>
  </si>
  <si>
    <t>SOLICITUD DE APERTURA DE ENCOMIENDA.</t>
  </si>
  <si>
    <t>616/10</t>
  </si>
  <si>
    <t>SE PROCEDE A LA APERTURA DE DOS ENCOMIENDAS DEL CORREO OFICIAL, SEGÚN CONSTA EN ACTA DE APERTURA DE CARGAS Nº 399/10, DE LA PREVENCION SUMARIA Nº 087/10, Y EN VIRTUD DE LO ORDENADO MEDIANTE OFICIO JUDICIAL S/N, DEL MAGISTRADO ACTUANTE Y EN PRESENCIA DE UN TESTIGO HABIL, LA 1ª EP658937463AR, RTTE. SRA. LUISA SAYAGO, Bº LA PAZ CALLE EL SALVADOR Nº 125, PERICO JUJUY CP. 4610, Y DEST. SR. IVAN GUSTAVO VILLARROEL, ORCADAS DEL SUR Nº 69 Bº LATINO AMERICANO, USHUAIA, TIERRA DEL FUEGO CP. 9410, CONTIENE SEIS PAQUETES DE HOJAS DE COCA CON UN PESO TOTAL DE 2.467 GRS. LA 2ª EP691906907AR, RTTE. SR. COLQUE RUBEN ALBERTO, RIVADAVIA S/N, LA QUIACA, CP. 4650, Y DEST. SRA. IVONNE FLORES CHOQUE, RODEO DEL MEDIO, MENDOZA, CP. 5529, CONTIENE TREINTA Y NUEVE PAQUETES DE HOJAS DE COCA CON UN PESO TOTAL DE 9.196 GRS. LAS ENCOMIENDAS SECUESTRADAS SERAN PUESTA A DISPOSICION DE LA ADUANA DE SALTA POR SUPUESTA INFRACCION AL CODIGO ADUANERO, LEY 22.415 Y LAS ACTUACIONES REMITIDAS A SEDE JUDICIAL. SEGÚN PU ORIGINARIO Nº 4591 SE PROCEDE A LA RETENCIÓN DE TRES SACAS COLECTORAS DEL CORREO OFICIAL, SEGÚN CONSTA EN ACTA DE RETENCIÓN DE CARGAS Nº 367/10, QUE ORIGINA LA PREVENCIÓN SUMARIA 087/10, LA PRIMERA SACA IDENTIFICADA CON MARBETE, SLA0210654D555800VAE, PRECINTO N° D073527, CON UN PESO DECLARADO DE 18,300 KGS, CON DESTINO LA CIUDAD DE USHUAIA, CONTENDRÍA CUATRO PIEZAS POSTALES, LA SEGUNDA SACA IDENTIFICADA CON MARBETE SLA9128520E343400MDZ, PRECINTO Nº D0730530, CON UN PESO DECLARADO DE 10,900 KGS, CON DESTINO A LA CIUDAD DE MENDOZA, CONTENDRÍA UNA PIEZA POSTAL Y LA TERCERA SACA IDENTIFICADA CON MARBETE SLA8885985E424200PRA, PRECINTO Nº D073004, CON UN PESO DECLARADO DE 1,400 KGS, CON DESTINO A LA CIUDAD DE PARANA, CONTENDRÍA UNA PIEZA POSTAL. LAS MISMAS ESTÁN AMPARADAS EN GUÍA DE CARGA Nº 9437873-4, DESPACHADAS A TRAVÉS DE LA EMPRESA DE CARGA AÉREA JET PAQ. LA RETENCIÓN SE REALIZA ANTE LA PRESUNCIÓN QUE PUDIERAN CONTENER ALGÚN ELEMENTO EN INFRACCIÓN A LA LEY 23.737 Y/O 22.415, QUEDANDO LAS MISMAS CERRADAS Y PRECINTADAS EN GUARDA EN ESTA UOSP. SEGÚN LO COORDINADO CON LA DRA. MARÍA ISABEL FALU, A CARGO DE LA SECRETARIA PENAL Nº 4 DEL JUZGADO FEDERAL DE SALTA Nº 2 A CARGO DEL DR. MIGUEL ANTONIO MEDINA Y LA APERTURA SE REALIZARÁ EN PRESENCIA DEL PERSONAL DEL CORREO OFICIAL. SEGÚN AMPL. PU 4620/10 SE PROCEDE A LA APERTURA DE TRES SACAS COLECTORAS DEL CORREO OFICIAL, SEGÚN CONSTA EN ACTA DEJANDO CONSTANCIA Nº 369/10, DE ACTA DE RETENCIÓN Nº 367/10, QUE ORIGINA LA PREVENCIÓN SUMARIA 087/10, LA PRIMERA SACA IDENTIFICADA CON MARBETE, SLA0210654D555800VAE, PRECINTO N° D073527, CON UN PESO DECLARADO DE 18,300 KGS, CON DESTINO LA CIUDAD DE USHUAIA, CONTENDRÍA CUATRO PIEZAS POSTALES, IDENTIFICADAS COMO LA 1º EP658937446AR, LA 2º EP658937450AR, Y LA 3º EP687690245ARLA, SON ENTREGADAS AL SR ARIAS RUBEN PARA SU REDESPACHO POR NO CONTENER ELEMENTOS DE INTERES PARA EL PROCEDIMIENTO. LA 4º EP658937463AR, RTTE. SRA. LUISA SAYAGO CON DOMICILIO EN Bº LA PAZ CALLE EL SALVADOR Nº 125, PERICO JUJUY CP. 4610, DEST. SR. IBAN GUSTAVO VILLARROEL, CON DOMICILIO EN CALLE ORCADAS DEL SUR Nº 69 Bº LATINOAMERICANO, USHUAIA, TIERRA DEL FUEGO CP. 9410, LA CUAL QUEDA RETENIDA. LA SEGUNDA SACA IDENTIFICADA CON MARBETE SLA9128520E343400MDZ, PRECINTO Nº D073530, CON UN PESO DECLARADO DE 10,900 KGS, CON DESTINO A LA CIUDAD DE MENDOZA, CONTIENE UNA PIEZA POSTAL IDENTIFICADA COMO EP691906907AR, RTTE. SR. COLQUE RUBEN ALBERTO, CON DOMICILIO EN CALLE RIVADAVIA S/N, LA QUIACA, CP. 4650, DEST. SRA. IVONNE FLORES CHOQUE, CON DOMICILIO EN RODEO DEL MEDIO MENDOZA, CP. 5529, LA CUAL QUEDA RETENIDA. Y LA TERCERA SACA IDENTIFICADA CON MARBETE SLA8885985E424200PRA, PRECINTO Nº D073004, CON UN PESO DECLARADO DE 1,400 KGS, CON DESTINO A LA CIUDAD DE PARANA, CONTENDRÍA UNA PIEZA POSTAL. IDENTIFICADA COMO EP683792346AR, LA CUAL ES ENTREGADA AL SR. ARIAS PARA SU REDESPACHO POR NO CONTENER ELEMENTOS DE INTERES PARA EL PROCEDIMIENTO. LA RETENCIÓN SE REALIZA ANTE LA PRESUNCIÓN QUE PUDIERAN CONTENER ALGÚN ELEMENTO EN INFRACCIÓN A LA LEY 23.737 Y/O 22.415, QUEDANDO LAS MISMAS CERRADAS Y EN GUARDA EN ESTA UOSP. SEGÚN LO COORDINADO CON LA DRA. MARÍA ISABEL FALU, A CARGO DE LA SECRETARIA PENAL Nº 4 DEL JUZGADO FEDERAL DE SALTA Nº 2 A CARGO DEL DR. MIGUEL ANTONIO MEDINA, LA APERTURA DE LAS MISMAS SE REALIZARÁ CON LA AUTORIZACIÓN DEL MAGISTRADO ACTUANTE</t>
  </si>
  <si>
    <t>INVESTIGACIÓN PRELIMINAR</t>
  </si>
  <si>
    <t>AMENAZA TELEFONICA ANONIMA</t>
  </si>
  <si>
    <t>FISCALIA GENERAL DE SALTA</t>
  </si>
  <si>
    <t>SE INFORMA QUE SIENDO LAS 19:20 HORAS, SE RECIBE OFICIO JUDICIAL N° 670, DE FECHA 03 DE SETIEMBRE DE 2010, LIBRADO POR LA FISCALIA FEDERAL DE SALTA N° 2 A CARGO DEL DR. EDUARDO JOSE VILLALBA, SECRETARIA PENAL A CARGO DE LA DRA. PAULA GALLO PULO, REFERENTE A INVESTIGACION PRELIMINAR N° 46/10, EN TRAMITE ANTE LA FISCALIA MENCIONADA ANTERIORMENTE, POR EL CUAL REQUIERE QUE PERSONAL DE ESTA FUERZA, SOLICITE LA LISTA DE LLAMADAS ENTRANTES, CORRESPONDIENTES AL ABONADO 0387 - 4313380, DEL DIA DE LA FECHA. DICHA SOLICITUD SE BASA POR UNA AMENAZA TELEFONICA ANONIMA, REALIZADA AL FISCAL GENERAL DR. JOSE HECTOR PEREZ, EL DIA 03/09/2010, AL TELEFONO ARRIBA MENCIONADO, APROXIMADAMENTE ENTRE LA 11:30 Y 11:40 HORAS. SE AMPLIARA A POSTERIOR. SEGÚN AMPL PU Nº 5466 SE DIO CUMPLIMIENTO AL OFICIO N° 672/10, DE FECHA 06/09/10, EL CUAL SOLICITABA SABANAS TELEFONICAS DEL ABONADO ARRIBA MENCIONADO. PUDIENDO ESTABLECER SEGUN EL ANALISIS DE LAS SABANAS TELEFONICAS, QUE DICHOS LLAMADOS FUERON REALIZADOS DEL ABONADO 0381-4210543 A LAS 11:37 Y A LAS 11:39 HORAS, DEL DIA 03/09/10, DESDE UNA TELECABINA DE NOMBRE CABINAS HISPANAS, SITO EN CALLE MENDOZA N° 682 DE LA CIUDAD DE TUCUMAN, LA QUE SERIA DE PROPIEDAD DE LOPEZ NEON MAGDALENA, DNI N° 24.553.728, CUIT N° 27-24553728-5. SE REALIZO EL INFORME CORRESPONDIENTE AL RESPECTO, EL CUAL FUE ENTREGADO EL DIA 08 DE SETIEMBRE DE 2010 EN LA FISCALIA INTERVININIENTE. SE AMPLIARA, SEGUN SURJAN NOVEDADES.</t>
  </si>
  <si>
    <t>EN MOMENTOS QUE SE REALIZABA EL CONTROL SOBRE LOS PASAJEROS DEL VUELO DE MENCION SE HACE PRESENTE EN EL SECTOR UN MASCULINO, EL CUAL AL ATRAVESAR EL MARCO DETECTOR DE METALES ACCIONA LA ALARMA SONORO-LUMINICA DEL MISMO, POR LO CUAL PERSONAL POLICIAL LE REALIZA UN CHEQUEO MANUAL POR SOBRE LAS ROPAS DEL MISMO DETECTANDOSE PROTUBERANCIAS QUE NO SE CORRESPONDIAN CON SU FISIONOMIA. UNA VEZ EN EL TURNO Y PREVIA AUTORIZACION JUDICIAL, DE LA REQUISA DEL PASAJERO EN CUESTION SURGE QUE DEBAJO DE SUS ROPAS ADHERIDO AL ABDOMEN POR CINTA AISLADORA, POSEIA UN PAQUETE EL CUAL CONTENIA 37 CAPSULAS, ADHERIDO A AMBOS MUSLOS DOS PAQUETES CONTENIENDO 40 CAPSULAS CADA UNO, LUEGO SE SOMETE A UNA CAPSULA POR PAQUETE A REACTIVO DE CAMPO PARA COCAINA ARROJANDO RESULTADO POSITIVO. SEGUIDAMENTE SE TRASLADA AL HOSPITAL ZONAL DE EZEIZA AL DETENIDO DONDE QUEDA INTERNADO EN TERAPIA INTENSIVA POR PRESENTAR INGESTA DE CUERPOS EXTRAÑOS. SEGUN PU Nº 5448 SE INFORMA QUE EL DETENIDO EFECTUO UNA UNICA DEPOSICION CON UN TOTAL DE UNA CAPSULA ARROJANDO. SEGUN PU Nº 5419 SE INFORMA QUE EL DIA 06/09/2010 A LAS 13.20 HS, LUEGO DE HABER OBTENIDO EL ALTA MEDICA, SE EFECTUO EL TRASLADO DEL DETENIDO A SEDE JUDICIAL.</t>
  </si>
  <si>
    <t>JOHANNESBURGO CX 0748//CHINA-HONG KONG CX 0713//TAILANDIA BANGKOK TG 575</t>
  </si>
  <si>
    <t>Laos</t>
  </si>
  <si>
    <t>VIENTIAN</t>
  </si>
  <si>
    <t>Dr. WALTER DA SILVA</t>
  </si>
  <si>
    <t>SIENDO LAS 22:00 HS AL REALIZAR EL CONTROL EN EL PUNTO DE INSPECCION DE PREEMBARQUE DE CABOTAJE A LOS PASAJEROS DEL VUELO 1695 DE LA EMPRESA AEROLINEAS ARGENTINAS, EL OFICIAL MAYOR ARIEL PIROLA NRO DE LEGAJO 501.992 PROCEDE A REALIZAR UN REGISTRO SOBRE EL EQUIPAJE DEL SR. FACUNDO MOCHEN, QUIEN ANTE LA SOLICITUD DEL OFICIAL ACCEDE AL REGISTRO, ENCONTRANDO EN ELLA UNA LATA METALICA, DE COLOR VERDE CONTENIENDO EN SU INTERIOR UN CIGARRILLO ARMADO CON UNA SUSTANCIA VERDOSA. INMEDIATAMENTE SE SOLICITA LA PRESENCIA DE DOS TESTIGOS Y AL CONSULTARLE DE QUE SE TRATABA MANIFESTO QUE ERA MARIHUANA ASIMISMO HACE ENTREGA EN FORMA VOLUNTARIA DE UNA BOLSITA TRANSPARENTE QUE POSEIA EN EL BOLSILLO DEL PANTALON CONTENIENDO UNA SUSTANCIA VEGETAL DE COLOR VERDE LA CUAL INDICA QUE TAMBIEN ES MARIHUANA. SE REALIZA REACTIVO DE CAMPO PARA MARIHUANA DANDO RESULTADO POSITIVO. 22:10 HS SE REALIZA COMUNICACION TELEFONICA CON EL JUZGADO FEDERAL DE SAN CARLOS DE BARILOCHE, DR. WALTER LOPEZ DA SILVA, QUIEN DISPONE SE REALICEN LAS ACTUACIONES DE RIGOR, SE NOTIFIQUE DE CAUSA AL SR. FACUNDO MOCHEN, SOBRE INFRACCION A LA LEY 23.737 Y UNA VEZ FINALIZADA SE LE PERMITA AL IMPUTADO PROSEGUIR CON EL VIAJE PROGRAMADO.</t>
  </si>
  <si>
    <t>PEDRO PUGA RAYO S/DENUNCIA</t>
  </si>
  <si>
    <t>INTERIOR DE AERONAVE</t>
  </si>
  <si>
    <t>EL DÍA DE LA FECHA ABORDO JUNTO A SU PAREJA EN EL VUELO Nº 404 DE PLUNA CON DESTINO A MONTEVIDEO, PARA POSTERIORMENTE TOMAR EL VUELO Nº 177 DE LA MISMA EMPRESA, A BUENOS AIRES. EL CUAL SE REALIZO EN LA MISMA AERONAVE, ARRIBANDO ALREDEDOR DE LAS 21:00 HORAS , A ESTE AEROPUERTO. ESTANDO EN LA CIUDAD DE MONTEVIDEO, PERSONAL DE LA AEROLÍNEA LES INFORMA QUE TENÍAN QUE CAMBIAR DE ASIENTOS, RAZÓN POR LA CUAL SE CAMBIAN A DOS FILAS MAS ATRÁS- ARRIBADO EN BUENOS AIRES, ANTES DE BAJAR RECORDÓ QUE HABÍA DEJADO EN LOS ASIENTOS ANTERIORES UN ANOTADOR, EL CUAL CONTENÍA LA SUMA DE OCHOCIENTOS TREINTA Y CINCO DÓLARES (U$S 835)EN LOS ASIENTOS DONDE ESTABAN ANTES DE DESPEGAR DE MONTEVIDEO, POR LO QUE SE DIRIGIÓ A LOS MISMOS, ENCONTRANDO EL ANOTADOR PERO NO ASI EL DINERO. MOTIVO POR EL CUAL AL DESCENDER DE LA AERONAVE SOLICITO LA PRESENCIA DE PERSONAL POLICIAL A QUIEN LE INFORMÓ DE LO SUCEDIDO INDICÁNDOLE QUIEN SE HABÍA SENTADO EN EL LUGAR DONDE ESTABA DICHO ANOTADOR. INMEDIATAMENTE EL FUNCIONARIO INTERVINIENTE, EL OF. ARIZA, UBICO AL PASAJERO, Y LE SOLICITO QUE EXHIBIERA SUS PERTENENCIAS CON EL OBJETO DE VERIFICAR SI TENÍA EN SU PODER EL DINERO EN CUESTIÓN. AL COMPROBAR QUE DICHA PERSONA NO LO TENÍA, SE HIZO PRESENTE EN ESTA GUARDIA DE PREVENCIÓN CON EL FIN DE RADICAR LA DENUNCIA.</t>
  </si>
  <si>
    <t>PU 177</t>
  </si>
  <si>
    <t>ISLA TAXI CAPITAL</t>
  </si>
  <si>
    <t>EL OFICIAL CLAUDIO PONCE, DESTACADO EN EL PUESTO DE GUARDIA DENOMINADO CENTRO OPERATIVO DE CONTROL, OBSERVA POR UNA DE LAS CAMARAS DE SEGURIDAD A UNA PERSONA DE SEXO MASCULINO, EN EL SECTOR ANTES MENCIONADO, REALIZANDO SERVICIO DE MALETERO, POR TAL MOTIVO SE COMUNICA VIA NEXTEL CON EL OFICIAL PABLO CARABAJAL, EL CUAL SE APERSONA AL LUGAR, CONSTATANDO QUE UNA PERSONA DE SEXO MASCULINO, SE ENCONTRABA REALIZANDO SERVICIO DE MALETERO A LOS PASAJEROS, CARACIENDO DE LA CORRESPONDIENTE HABILITACION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</si>
  <si>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SALIDA DE PASAJEROS</t>
  </si>
  <si>
    <t>PERGOLA 1</t>
  </si>
  <si>
    <t>EL OFICIAL CLAUDIO PONCE, DESTACADO EN EL PUESTO DE GUARDIA DENOMINADO CENTRO OPERATIVO DE CONTROL C.O.C., OBSERVA A UNA PERSONA DE SEXO MASCULINO, QUE SE ENCOTRANTRABA REALIZANDO LA TAREA DE MALETERO, POR TAL MOTIVO SE COMUNICA VIA NEXTEL CON EL OFIACIAL PABLO CARABAJAL, EL CUAL SE APERSONA AL LUGAR CONSTATANDO QUE UNA PERSONA DE SEXO MASCULINO, SE ENCONTRABA REALIZANDO SERVICIO DE MALETERO A PASAJEROS, CARECIENDO DE LA CORRESPONDIENTE HABILITACION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</si>
  <si>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EL OFICIAL CLAUDIO PONCE DESTACADO EN EL PUESTO DENOMINADO C.O.C DONDE ATRAVES DE UNA DE LAS CAMARAS DE SEGURIDAD,OBSERVA A UNA PERSONA DE SEXO MACULINO,ACENDIENDO A PASAJEROS EN UN VEHICULO TAXI,FUERA DE LOS LUGARES HABILITADOS PARA TAL FIN, TAMBIEN SUBIENDO A LA PARTE DELANTERA DEL VEHICULO A UNA PERSONA AJENA A LOS PASAJEROS DANDO ESTO, UNA SITUACION SOSPECHOSA, POR LO CUAL. HACE COMUNICACION VIA NEXTEL AL OFICIAL PABLO CARABAJAL,EL CUAL SE APERSONA AL LUGAR CONSTATANDO LA IRREGULARIDAD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</si>
  <si>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QUE AL EFECTUARSE EL CONTROL DE EQUIPAJES DESPACHADOS A BODEGA, EL PERSONAL POLICIAL INTERVINIENTE DETECTA SUSTANCIA ORGANICA EN DOS EQUIPAJES. POR LO CUAL SE PROCEDE A IDENTIFICAR AL PASAJERO ANTHONY VUCIC QUIEN DESPACHARA LOS MISMOS, QUIEN MANIFIESTA ESTAR ACOMPAÑADO EN SU VIAJE POR EL SEÑOR MISINI EMRI A QUIEN DE IGUAL MANERA SE LOCALIZA EN EL SECTOR DE SALAS DE EMBARQUE. QUE AL APERTURAR AMBOS EQUIPAJES SE EFECTUA PRUEBA DE REACTIVO DE CAMPO COCATEST SOBRE LAS PRENDAS DE VESTIR DANDO RESULTADO POSITIVO PARA LA SUSTANCIA COCAINA. QUE EL JUZGADO INTERVINIENTE ORDENA LA DETENCION DE AMBOS PASAJEROS EN CALIDAD DE INCOMUNICADOS Y POR ORDEN JUDICIAL LOS DETENIDOS FUERON TRASLADADOS A SEDE TRIBUNALICIA EL DIA CUATRO DEL CORRIENTE MES Y AÑO, A LAS DIEZ HORAS.</t>
  </si>
  <si>
    <t>FRANKFURT//LH 3732</t>
  </si>
  <si>
    <t>POR MEDIO DEL PRESENTE INFORMO QUE EL DIA 03 DE SEPTIEMBRE DEL AÑO EN CURSO, SIENDO APROXIMADAMENTE LAS 10:00 HS, SE PRESENTAN EN ESTA UOSP LOS SEÑORES OSVALDO VERA Y PATRICIO TAVOLARO A REALIZAR UN RELEVAMIENTO ADMINISTRATIVO RETIRANDOSE LOS MISMOS EL DIA DE LA FECHA EN EL VUELO AR 1643 SIN NOVEDAD</t>
  </si>
  <si>
    <t>INFRACCION A LOS ARTICULOS 292 Y 296 DEL C.P.N.</t>
  </si>
  <si>
    <t>BOX DE SALIDA DE MIGRACIONES</t>
  </si>
  <si>
    <t>EL DIA Y LA FECHA ANTES MENCIONADA LA DIRECCION NACIONAL DE MIGRACIONES REMITE AL CAUSANTE CON NOTA Y FORMAL DENUNCIA PENAL, YA QUE EL MISMO INTENTO EGRESAR DEL TERRITORIO NACIONAL CON UN PASAPORTE DE NICARAGUA NUMERO C1386744 A NOMBRE DE FLORES RIVERA YADIR ANIBAL, EL CUAL ES APOCRIFO SEGUN DICHO ORGANISMO. EL CAUSANTE EN FORMA VOLUNTARIA MANIFESTO SER HAROL RENZO MEJIA REYES DE NACIONALIDAD PERUANA. DADA INTERVENCION JUDICIAL SE DISPUSO LA DETENCIÓN DEL CAUSANTE, SE PROCEDA EL DIA 06/09/10 AL TRASLADO DEL DETENIDO A LA UNIDAD 28 DEL SERVICIO PENITENCIARIO FEDERAL, Y QUE EL MISMO DIA A PRIMERA HORA SE ELEVEN TODAS LAS ACTUACIONES Y LOS SECUESTROS A SEDE JUDICIAL.</t>
  </si>
  <si>
    <t>ARRIBOS DE PASAJEROS TERMINAL A</t>
  </si>
  <si>
    <t>EL OFICIAL PABLO CARABAJAL RECIBE UN LLAMADO VIA NEXTEL, SIENDO EL OFICIAL CLAUDIO PONCE, QUE SE ENCONTRABA EN EL PUESTO DE GUARDIA DENOMINADO C.O.C., DONDE A TRAVES DE UNA DE LAS CAMARAS DE SEGURIDAD, OBSERVA EN EL SECTOR ANTES MENCIONADO, A UNA PERSONA DE SEXO MASCULINO, LA CUAL SE ENCONTRABA REALIZANDO SERVICIO DE MALETERO A LOS PASAJEROS,CARECIENDO DE LA CORRESPONDIENTE HABILITACION PARA TAL FIN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</si>
  <si>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FABIO ANIBAL MOYANO</t>
  </si>
  <si>
    <t>EX TALLER MECANICO MANUEL TIENDA LEON - FRENTE A POSICION 12 A Y 14</t>
  </si>
  <si>
    <t>SIENDO LAS 9:50 HORAS SE RECIBE COMUNICACION POR PARTE DEL OFICIAL, DENEGRI, EL CUAL FUE ANOTICIADO POR PERSONAL DE AEROHANDLING, DE LA EXISTENCIA DE UN BOLSO DE MANO PEQUEÑO, EL CUAL SE ENCONTRABA ABIERTO, EN EL INTERIOR DEL BAÑO, DEL ANTIGUO TALLER MECANICO DE LA EMPRESA MANUEL TIENDA LEON, EL CUAL ACTUALMENTE SE ENCUENTRA FUERA DE SERVICIO. DICHO TALLER SE ENCUENTRA FRENTE A LA POSICION 12A Y 14, DE LA PLATAFORMA COMERCIAL DE ESTE AEROPUERTO METROPOLITANO. SE INICIAN ACTUACIONES POR LA PRESUNCION DEL HECHO DELICTIVO DE HURTO.</t>
  </si>
  <si>
    <t>BOX DE MIGRACIONES DE SALIDAS</t>
  </si>
  <si>
    <t>SIENDO LA HORA Y LA FECHA ANTES MENCIONADA LA DIRECCION NACIONAL DE MIGRACIONES REMITE AL CAUSANTE A LA GUARDIA DE PREVENCION, QUIEN INTENTABA EGRESAR DEL TERRITORIO NACIONAL CON PASAPORTE GUATEMALTECO NUMERO 009277793 A NOMBRE DE SAENZ MONROY DOUGLAS WALDEMAR, EL CUAL ES APOCRIFO SEGUN LO INFORMANDO POR DICHO ORGANISMO. ASIMISMO EL CAUSANTE MANIFESTO LLAMARSE CASTELLANOS VARGAS JAVIER ALBERTO DE NACIONALIDAD COLOMBIANA. DADA LA INTERVENCIÓN JUDICIAL SE DISPUSO LA DETENCION DEL CAUSANTE, Y SE PROCEDA EL DIA 06/09/10 AL TRASLADO DEL DETENIDO A LA UNIDAD 28 DEL SERVICIO PENITENCIARIO FEDERAL, Y SE ELEVEN A PRIMERA HORA A SEDE JUDICIAL LAS ACTUACIONES Y LOS SECUESTROS.</t>
  </si>
  <si>
    <t>AV. EVA PERON Nº 2880 - C.A.B.A.</t>
  </si>
  <si>
    <t>CON RELACION A LA ORDEN DE SERVICIO Nº 872/10, SE PROCEDIO A DAR CUMPLIMIENTO A LA ORDEN DE ALLANAMIENTO EMANADA POR LA JUDICATURA INTERVINIENTE OBTENIENDOCOMO RESULTADO NEGATIVO LA BUSQUEDA DE DOCUMENTACION Y/O ELEMENTOS QUE TENGAN RELACION CON EL HECHO Y O COMERCIALIZACION DE SUSTANCIAS ESTUPEFACIENTES.</t>
  </si>
  <si>
    <t>5371/10</t>
  </si>
  <si>
    <t>TENTATIVA DE CONTRABNDO DE ESTUPEFACIENTES</t>
  </si>
  <si>
    <t>INFORMO QUE EN EL DIA DE LA FECHA SIENDO APROXIMADAMENTE LAS DIEZ HORAS LOS DETENIDOS FUERON TRASLADADOS A SEDE JUDICIAL JUNTO A LOS EFECTOS DE INTERES, PERMANECIENDO EL RESTO DE LOS SECUESTROS: SUSTANCIA, CONTENEDORES, VALORES Y EFECTOS EN RESGUARDO DE ESAT DEPENDENCIA.</t>
  </si>
  <si>
    <t>DATTEO, HECTOR OSVALDO S/DENUNCIA</t>
  </si>
  <si>
    <t>EL CAUSANTE SE PRESENTO AL CONTROL MIGRATORIO A LOS EFECTOS DE INGRESAR AL TERRITORIO NACIONAL LUEGO DE HABER ARRIBADO DEL VUELO DE MENCION AL REALIZARLE EL TRÁMITE MIGRATORIO DE INGRESO ES CONSULTADO POR PERSONAL DE MIGRACIONES, EL SISTEMA INFORMÁTICO DE DICHO ORGANISMO, MEDIANTE EL CUAL PUEDEN CONSTATAR QUE REGISTRA UN COMPARENDO CON ORDEN DE EXPULSIÓN Y PROHIBICIÓN DE REINGRESO AL PAÍS POR CINCO AÑOS. QUE AL MOMENTO SE REALIZAR LOS TRAMITES PERTINENTES EN LAS OFICIAS DE MIGRACIONES EL CAUSANTE QUE SE ENCONTRABA EN LA SALA DESTINADA A PASAJEROS CON RESTRICCIONES, SE DA A LA FUGA INGRESANDO AL TERRITORIO NACIONAL SIN EL TRAMITE CORRESPONDIENTE. EN VIRTUD A ELLO SE MANTUVO COMUNICACION TELEFONICA CON EL JUZGADO EN TURNO, EL CUAL DISPUSO SOLICITAR REGISTRO FILMICO DEL HECHO, SECUESTRO DEL PASAPORTE DEL CAUSANTE Y SE LLEVE A CABO TODA OTRA DILIGENCIA NO PREVISTA Y QUE SE CONSIDERE ILUSTRATIVA PARA LAS PRESENTES ACTUACIONES.</t>
  </si>
  <si>
    <t>LACSA</t>
  </si>
  <si>
    <t>FISCALIA NACIONAL DE INSTRUCCION N° 10</t>
  </si>
  <si>
    <t>PEDRO</t>
  </si>
  <si>
    <t>JUAN JOSE M. TABOADA AREU</t>
  </si>
  <si>
    <t>PATIO DE VALIJAS - BODEGA - PLATAFORMA COMERCIAL - CINTA DE ARRIBOS</t>
  </si>
  <si>
    <t>LA DENUNCIANTE MANIFIESTA QUE EL DÍA 3 DEL CORRIENTE MES Y AÑO, DESPACHO SU VALIJA, TIPO CARRY ON MEDIANA, EN EL VUELO DE MENCIÓN. AL ARRIBAR A ESTE AEROPUERTO METROPOLITANO, Y RETIRAR SU EQUIPAJE DE LA CINTA TRANSPORTADORA, DEL SECTOR ARRIBOS A2, REVISA SU VALIJA, Y SE PERCATA DEL FALTANTE DE SU TELÉFONO CELULAR.</t>
  </si>
  <si>
    <t>AU 2432</t>
  </si>
  <si>
    <t>HALL DE ARRIBOS INTERNACIONAL DEL SECTOR A1</t>
  </si>
  <si>
    <t>EN EL DIA DE LA FECHA SIENDO LAS 21:45 HORAS EL OF. LAHORE PABLO ENCARGADO DE TURNO DEL DIA DE LA FECHA, INFORMA ACERCA DEL HALLAZGO DE UNA MOCHILA EN EL HALL DEL SECTOR ARRIBOS INTERNACIONALES "A1", INMEDIATAMENTE SE REALIZA EL PERÍMETRO PRIMARIO DE SEGURIDAD, Y SE CONVOCA AL PERSONAL DE TURNO DEL GRUPO DE DESACTIVACIÓN DE EXPLOSIVOS (GEDEX). SIENDO LAS 22:13 HORAS SE PRESENTA PERSONAL DE BOMBEROS DE LA POLICÍA FEDERAL ARGENTINA DEL DESTACAMENTO AEROPARQUE, 22:15 HORAS EL PERSONAL DE SERVICIO MEDICO DE ESTE AEROPUERTO EMERGER. COMENZANDO CON EL CONTROL RESPECTIVO, CON RESULTADO NEGATIVO, FINALIZANDO A LAS 22:25 HORAS. SEGUIDAMENTE SE TRASLADA EL OBJETO, DOS TESTIGOS Y EL PERSONAL DE ESTA PSA INTERVINIENTE A LA GUARDIA DE PREVENCIÓN A LO EFECTOS DE REALIZAR ACTA DE HALLAZGO Nº 2204/10 DONDE CONSTA EL CONTENIDO DE LA MISMA</t>
  </si>
  <si>
    <t>JOSE M. TABOADA AREU</t>
  </si>
  <si>
    <t>DESDE AEROPUERTO DE LA CIUDAD DE COMODORO RIVADAVIA HASTA ESTE AEROPARQUE METROPOLITANO.</t>
  </si>
  <si>
    <t>AL ARRIBAR A LAS 22:OO HORAS APROXIMADAMENTE, SE DIRIGIO AL SECTOR A2 PARA RETIRAR EL EQUIPAJE DESPACHADO, EL CUAL DEMORO UNOS 25 MINUTOS APROXIMADAMENTE EN SALIR POR LA CINTA TRANSPORTADORA DE EQUIPAJES, PROCEDIO A SU APERTURA Y EN ESE MOMENTO SE PERCATO DEL FALTANTE.</t>
  </si>
  <si>
    <t>JOSE M. TABOADA</t>
  </si>
  <si>
    <t>AL ARRIBAR A ESTE AEROPUERTO SIENDO LAS 22:00 HORAS APROXIMADAMENTE, SE DIRIGIO AL SECTOR ARRIBOS A2 PARA RETIRAR SU EQUIPAJE DESPACHADO Y QUE EL MISMO DEMORO UNOS 25 MINUTOS EN SALIR POR LA CINTA TRANSPORTADORA, LO CHEQUEO Y EN ESE MOMENTO SE PERCATO DE LOS FALTANTES.</t>
  </si>
  <si>
    <t>ARRIBANDO A AEROPARQUE ALREDEDOR DE LAS 22:00 HORAS, SE DIRIGIO AL SECTOR A2, PARA RETIRAR SU EQUIPAJE DESPACHADO, EL CUAL DEMORO UNOS 25 MINUTOS EN SALIR POR LA CINTA TRANSPORTADORA, ACTO SEGUIDO CONTROLO EL EQUIPAJE Y EN ESE MOMENTO SE PERCATA DE LOS FALTANTES.</t>
  </si>
  <si>
    <t>MOSTRADOR Nº 15, DE LA EMPRESA AEROLINEAS ARGENTINAS.</t>
  </si>
  <si>
    <t>SE RECIBE COMUNICACION VIA FRECUENCIA RADIAL POR PARTE DEL OFICIAL MAYOR PABLO LAHORE, ENCARGADO DE TURNO, INFORMANDO QUE UN AUXILIAR DE LA EMPRESA AEROLINEAS ARGENTINAS HABIA HALLADO EN EL MOSTRADOR Nº 15, UNA MOCHILA, LA CUAL TENIA UNO DE SUS BOLSILLOS CON EL CIERRE ROTO Y CON MARBETE COLOCADO Nº AR 03-55-86, PARA EL VUELO 2882, CON DESTINO A LA CIUDAD DE RIO GALLEGOS. ACTO SEGUIDO SE DIRIGE AL LUGAR LA OFICIAL AYUDANTE EN CRIMINALISTICA CINTIA ALBORNOZ, PARA TOMAR FOTOGRAFIAS DEL HALLAZGO, SE SOLICITA LA PRESENCIA DE DOS TESTIGOS HABILES Y SE INICIA PREVENCION SUMARIA DE OFICIO. SE TOMA DECLARACION TESTIMONIAL AL HALLANTE Y SE SOLICITAN REGISTROS FILMICOS.</t>
  </si>
  <si>
    <t>TERMINAL A DE ESTE MEDIO</t>
  </si>
  <si>
    <t>DESDE AEROPUERTO DE MADRID HASTA AEROPUERTO EZEIZA</t>
  </si>
  <si>
    <t>LUEGO DE REALIZAR LOS TRAMITES MIGRATORIOS CORRESPONDIENTES AL INGRESO AL TERRITORIO NACIONAL SE HACE PRESENTE EN LA CINTA TRANSPORTADORA DE EQUIPAJES NUMERO CINCO, DONDE SE PERCATA DE QUE EL CIERRE RELAMPAGO DE UNO DE SUS EQUIPAJES SE ENCONTRABA ABIERTO, PERCATANDOSE DEL FALTANTE DE ELEMENTOS PERSONALES.</t>
  </si>
  <si>
    <t>BODEGA DE AERONAVE, PATIO DE VALIJAS</t>
  </si>
  <si>
    <t>EL DENUNCIANTE MANIFIESTA QUE SIENDO LAS 00:25HS DEL DÍA DE LA FECHA ABORDA EN EL AEROPUERTO DE MANAOS LA AERONAVE DE LA EMPRESA TAM NRO 8069 Y AL LLEGAR AL AEROPUERTO DE SAN PABLO, PERSONAL POLICIAL EN UN CONTROL DE SEGURIDAD DETECTA EN SU EQUIPAJE DE MANO, SIENDO ESTE UNA MOCHILA DE COLOR VERDE Y NEGRA SIN MARCA, UNA CORTAPLUMAS POR LO QUE LE INDICAN QUE DESPACHE POR BODEGA EL MENCIONADO BOLSO. EL DENUNCIANTE AL DESPACHARLO CON MARBETE NRO 0 957 JJ 317003, OLVIDA QUE EN EL INTERIOR DEL MISMO LLEVABA SU MÁQUINA FOTOGRÁFICA DIGITAL. EN SAN PABLO ABORDA EL VUELO DE LA EMPRESA LAN, REALIZANDO ESCALA EN SANTIAGO DE CHILE ARRIBANDO A ESTA AEROESTACION A LAS 16:35HS DEL DÍA DE LA FECHA. AL RETIRAR SU BOLSO EN LA SALA DE ARRIBOS DE ESTE AEROPUERTO INTERNACIONAL CORDOBA, SE PERCATA QUE LA MENCIONADA MÁQUINA DIGITAL NO ESTABA DENTRO DEL MISMO, NO OBSERVANDO SIGNOS DE VIOLENCIA EN EL EQUIPAJE</t>
  </si>
  <si>
    <t>TABOADA JUAN JOSE</t>
  </si>
  <si>
    <t>ROBO AGRAVADO NN</t>
  </si>
  <si>
    <t>EN EL TRAMO EZEIZA - MENDOZA</t>
  </si>
  <si>
    <t>SIENDO LA HORA MENCIONADA, SE HACE PRESENTE UNA PERSONA CON MOTIVO DE DENUNCIAR UN HECHO DE CARÁCTER DELICTIVO, EL MISMO MANIFIESTA QUE EL DIA 15 DE AGOSTO, EMBARCO DESDE EL AEROPUERTO DE EZEIZA, CON DESTINO A LA CIUDAD DE MENDOZA. EN EL DIA DE LA FECHA REGRESA DESDE LA CIUDAD DE MENDOZA HACIA AEROPARQUE, EN EL VUELO AU 2417, Y UNA VEZ INSTALADO EN SU DOMICILIO, SE PERCATA DEL FALTANTE DE DOS RELOJES. AFIRMA QUE LA VALIJA NO TENIA CANDADO AL MOMENTO DE LLEGAR A MENDOZA Y QUE EN NINGUN MOMENTO VIO LOS RELOJES. POR LO QUE APARENTEMENTE DEDUCE QUE LA EXTRACCIÓN DE LOS RELOJES FUE AL DESPACHAR SU VALIJA DESDE EZEIZA A MENDOZA. MOTIVO POR EL CUAL SE HACE PRESENTE EN ESTA GUARDIA DE PREVENCIÓN PARA RADICAR DENUNCIA.</t>
  </si>
  <si>
    <t>PATIO DE VALIJAS, BODEGA DE AERONAVE</t>
  </si>
  <si>
    <t>EL DENUNCIANTE SE PRESENTO A ESTA INSTRUCCIÓN MANIFESTANDO QUE SIENDO LAS 10:25HS DEL DÍA DE LA FECHA ABORDA EN EL AEROPUERTO DE ASUNCIÓN DE PARAGUAY, LA AERONAVE DE LA EMPRESA AEROLÍNEAS ARGENTINAS VUELO NRO 1261, LA CUAL TENIA COMO DESTINO-ESCALA, EL AEROPUERTO JORGE NEWBERY ARRIBANDO AL MISMO APROXIMADAMENTE A LAS 13:00 HS; SEGUIDAMENTE PERSONAL DE ADUANA CONTROLA EL EQUIPAJE DEL DENUNCIANTE DESPACHADO BAJO TICKET Nº 77-77-11, DETECTANDO EN ESE MOMENTO EL PROPIETARIO LA NOVEDAD DE QUE EL EQUIPAJE EN CUESTIÓN TENIA ALGUNA ANORMALIDAD EN EL EMBALAJE PERO NO LE PRESTA ATENCIÓN, UNA VEZ TERMINADOS LOS TRAMITES DE RIGOR EL DENUNCIANTE, SIENDO APROXIMADAMENTE LAS 14:30 HS DESPACHA NUEVAMENTE EL EQUIPAJE EN CUESTIÓN, PARA POSTERIORMENTE ABORDAR EL VUELO Nº 1534 DE LA EMPRESA AEROLINEAS ARGENTINAS QUE LO LLEVARÍA A SU DESTINO FINAL, ESTA CIUDAD DE CÓRDOBA, SIENDO DESPACHADO EL EQUIPAJE CON MARBETE Nº 77-99-55. ACTO SEGUIDO Y DESPUÉS DE DESPACHAR EL EQUIPAJE EL DENUNCIANTE SIENDO 17:30 HS, EMBARCA EN EL VUELO MENCIONADO ARRIBANDO A ESTA AEROSTACIÓN A LAS 19:40 HS APROXIMADAMENTE DEL DÍA DE LA FECHA, Y AL RETIRAR SU BOLSO EN LA SALA DE ARRIBOS DE CABOTAJE DE ESTA AEROSTACIÓN SE PERCATA DE HABER SUFRIDO SUSTRACCIONES EN SUS PERTENENCIAS</t>
  </si>
  <si>
    <t>COMPARECE ANTE ESTA OFICINA DE TURNO POLICIAL PREVENTIVO EL SR. GRUBE, QUIEN RADICA UNA DENUNCIA MANIFIESTANDO QUE EMBARCO EN EL VUELO DE AR 2632-NEUQUEN-COMODORO RIVADAVIA-BUENOS AIRES, TRASBORDO EN VUELO AR 2458 BS AS-SALTA, ARRIBANDO A ESTE AEROPUERTO A HS 22,20. AL RETIRAR SU EQUIPAJE IDENTIFICADO CON MARBETE AR 66-35-34 NEUQUEN-AEROPARQUE-SALTA- DEL SALON DE ARRIBO DE ESTE AEROPUERTO, SE DIO CON LA NOVEDAD DEL FALTANTE DEL CANDADO DE SU EQUIPAJE, PROCEDIENDO A CONTROLAR EL CONTENIDO DEL MISMO, CONSTATANDO EL FALTANTE DE UNA CAJA DE BOMBONES. EL JEFE DE TURNO OF.MY.FABIAN SE TRATO DE COMUNICAR CON LA DRA. PAULA GALLO PULO, SECRETARIA DE LA FISCALIA FEDERAL NRO 2, A CARGO DEL DR. EDUARDO JOSE VILLALBA, CON RESULTADO NEGATIVO. QUEDANDO PENDIENTE DICHA COMUNICACION PARA INFORMAR LA NOVEDAD Y PROCEDIMIENTO A SEGUIR.</t>
  </si>
  <si>
    <t>2632/2458</t>
  </si>
  <si>
    <t>GRACIELA GUERSCOVICH</t>
  </si>
  <si>
    <t>PSA S/DENUNCIA S/PRESUNTO CONTRABANDO DE ESTUPEFACIENTES</t>
  </si>
  <si>
    <t>AVERIGUACION DE PRESUNTO CONTRABANDO DE ESTUPEFACIENTES</t>
  </si>
  <si>
    <t>EN EL DIA DE LA FECHA EN EL MARCO DE LAS TAREAS INVESTIGATIVAS LLEVADAS A CABO EN LA PRESENTE CAUSA, ORDENADAS POR EL JUZGADO INTERVINIENTE, SE VISUALIZA A LA INVESTIGADA, BANZANA VUYOKAZI, SALIR DEL HOTEL MIÑO DONDE SE ENCONTRABA HOSPEDADA, Y TOMAR UN TAXI CON DIRECCION AL AEROPUERTO DE EZEIZA. UNA VEZ ARRIBADA A ESTA TERMINAL, SE MANTIENE DISCRETA VIGILANCIA SOBRE LA MISMA Y EN MOMENTOS EN QUE PASA POR EL CONTROL DEL PREEMBARQUE 1-16, ES INTERCEPTADA POR PERSONAL DE ESTA DIVISIÓN A FIN DE CUMPLIMENTAR LA ORDEN DE REQUISA QUE PESABA SOBRE SU PERSONA Y EQUIPAJE. DEL CHEQUEO MANUAL SOBRE SU PERSONA Y EL CONTROL A TRAVES DE LAS MAQUINAS DE RAYOS X, DE SUS EQUIPAJES, SE OBTUVO RESULTADO NEGATIVO. ANTE ESTO SE SOLICITA AUTORIZACION PARA SER INSPECCIONADA A TRAVES DEL BODY SCAN DE ADUANA, UNA VEZ OBTENIDA LA AUTORIZACION SE LA SOMETE A INSPECCION CON RESULTADO DIFUSO. ES ASI QUE SE SOLICITA AUTORIZACIÓN PARA REALIZAR PLACA RADIOGRAFICA, TRASLADÁNDOSELA AL HOSPITAL ZONAL DE EZEIZA, LUGAR EN EL CUAL MANIFIESTA QUE SE ENCUENTRA EMBARAZADA, RAZÓN POR LA CUAL SE LE REALIZA UN ANÁLISIS DE SANGRE QUE CONFIRMA EL EMBARAZO DE LA CAUSANTE. A ESTA ALTURA SE LA TRASLADA AL SERVICIO DE TERAPIA INTENSIVA EN DONDE ES ALOJADA HASTA QUE SE LE REALIZARA UNA ECOGRAFÍA QUE CONFIRME O DESCARTE UNA PROBABLE INGESTA DE CAPSULAS CON SUSTANCIA ESTUPEFACIENTE. ACTO SEGUIDO SE LE REALIZA LA REQUISA PERSONAL Y EN ESE MOMENTO SE DETECTAN CAPSULAS INTRODUCIDAS EN LA VAGINA, PRESUNTAMENTE CON SUSTANCIA ESTUPEFACIENTE, RESULTANDO UN TOTAL DE CUATRO, HASTA LA REALIZACIÓN DEL INFORME. ANTE ESTA NOVEDAD EL MAGISTRADO INTERVINIENTE ORDENA LA DETENCIÓN E INCOMUNICACIÓN DE LA MISMA Y SU ALOJAMIENTO EN EL NOSOCOMIO, HASTA QUE EVACUE LA TOTALIDAD DE LAS CAPSULAS QUE POSEE. SEGUN PU Nº 5438 SE INFORMA QUE LA DETENIDA, LUEGO DE LA REQUISA PERSONAL, SE LE DETECTARON 4 CAPSULAS CON SUSTANCIA ESTUPEFACIENTE Y TRAS EFECTUARLE UNA INSPECCION VAGINAL SE LE EXTRAJERON 18 CAPSULAS MAS CON SUSTANCIA ESTUPEFACIENTE. SEGUIDAMENTE SE LE REALIZO UNA ECOGRAFIA ABDOMINAL Y UNA ESPECULOSCOPIA VAGINAL, AMBAS CON RESULTADO NEGATIVO A LA PRESENCIA DE CUERPOS EXTRAÑOS. LA DETENIDA PERMANECE INTERNADA EN OBSERVACION HASTA QUE SE LE OTORGUE SU ALTA MEDICA. SEGUN PU Nº 5603 DEL DIA 14/09/2010 SE INFORMA QUE EN REFERENCIA A LA ORDEN DE SERVICIO Nº 910, SE TRASLADO A LA DETENIDA DESDE EL HOSPITAL DE EZEIZA HASTA LA SEDE TRIBUNALICIA Y LUEGO DE TOMARLE DECLARACION INDAGATORIA FUE TRASLADADA A LA U29 QUEDANDO A DISPOSICION DEL TRIBUNAL ACTUANTE.</t>
  </si>
  <si>
    <t>DRA. MARIA LUISA ALBAMONTE</t>
  </si>
  <si>
    <t>MOSTRADOR CHECK IN DE EMPRESA IBERIA</t>
  </si>
  <si>
    <t>ENTRE LOS MOSTRADORES SEIS Y DOCE DE DESPACHO DE EQUIPAJES</t>
  </si>
  <si>
    <t>EN CUMPLIMIENTO DE LA ORDEN DE SERVICIO 430/2009 DE LA UNIDAD REGIONAL URSA I DEL ESTE Y A TRAVÉS DE INFORMACIÓN BRINDADA POR EL ÁREA INTELIGENCIA CRIMINAL DEL CENTRO DE ANÁLISIS COMANDO Y CONTROL, PERSONAL POLICIAL DE ESTA UNIDAD OBSERVA A UNA PERSONA ACTITUD NERVIOSA E INCOMODA ANTE LA PRESENCIA DE PERSONAL POLICIAL. AL TOMAR CONTACTO CON DE DICHA PERSONA EL MISMO RESPONDE CON EVASIVAS A LAS PREGUNTAS DE RIGOR REALIZADAS POR LOS FUNCIONARIOS POLICIALES, POR LO QUE SE LO TRASLADA A LA GUARDIA DE PREVENCIÓN. OBTENIDA LA AUTORIZACIÓN JUDICIAL, SE TRASLADA AL PASAJERO AL HOSPITAL ZONAL DE EZEIZA, DONDE A TRAVÉS DE ESTUDIOS MÉDICOS SE PUEDE ESTABLECER QUE POSEÍA INGESTA DE CUERPOS EXTRAÑOS, QUEDANDO INTERNADO EN DICHO NOSOCOMIO. SEGUN LA RESERVA DEL IMPUTADO LA RUTA DEL MISMO ERA LA SIGUIENTE, EZE-MADRID VUELO IN 6842, MADRID-DUBLIN IB 3184, DUBLIN-MADRID IB 3183 EL DIA 12-09-2010 Y MADRID-JOHANNESBURGO IB 6051 EL DIA 13-09-2010. SEGUN PU Nº 5429 SE INFORMA DEPOSICION Nº 1 Y Nº 2.- SEGUN PU Nº 5457 SE INFORMA DEPOSICION Nº 3 Y Nº 4.- SEGUN PU Nº 5477 SE INFORMA DEPOSICION Nº 5.- SEGUN PU Nº 5559 SE INFORMA EL TRASLADO A SEDE JUDICIAL DEL IMPUTADO.-</t>
  </si>
  <si>
    <t>MADRID-IB 3184</t>
  </si>
  <si>
    <t>PREEMABARQUE 1/16</t>
  </si>
  <si>
    <t>AL PASAR EL PASAJERO POR EL ARCO DETECTOR DE METALES, HACE ACTIVAR LA ALARMA SONORA DEL MISMO POR LO QUE PERSONAL POLICIAL LE HACE UN CONTROL DE REGISTRO POR SOBRE LAS ROPAS, NOTANDO A LA ALTURA DE LA INGLE BULTOS AJENOS A LA CONTEXTURA FÍSICA. SE LO TRASLADA AL TURNO DE GUARDIA DONDE PREVIA AUTORIZACIÓN JUDICIAL SE PROCEDE A LA REQUISA DEL PASAJERO, MEDIANTE LA CUAL SE PUEDE OBSERVAR QUE TRANSPORTABA OCULTO A LA ALTURA DE INGLE, UNA MEDIA CONTENIENDO EN SU INTERIOR UN TOTAL DE 29 CAPSULAS. SE LE REALIZAN REACTIVO DE CAMPO PARA COCAÍNA A TRES DE LAS CAPSULAS LAS CUALES FUERON ELEGIDAS POR LOS TESTIGOS, ARROJANDO RESULTADO POSITIVO. POR ORDEN JUDICIAL SE TRASLADA AL DETENIDO AL HOSPITAL MADRE TERESA DE CALCULA DONDE A TRAVÉS DE ESTUDIOS MÉDICOS SE PUEDE DETERMINAR LA INGESTA DE CUERPOS EXTRAÑOS EN EL ORGANISMO DEL MISMO. SEGUN PU Nº 5453 DEL DIA 07/09/2010 SE INFORMA DEPOSICION DE 38 CAPSULAS 542 GRAMOS. SEGUN PU Nº 5470 SE INFORMA DEPOSICION Nº1. SEGUN PU Nº 5473 SE INFORMA DEPOSICION Nº2. SEGUN PU Nº 5474 SE INFORMA EL TOTAL DE DEPOSICIONES Nº1, Nº2, Nº3 Y Nº4. SEGUN PU Nº 5562 SE INFORMA QUE EL DIA 13/09/2010 EL DETENIDO FUE DADO DE ALTA MEDICA Y TRASLADADO A SEDE JUDICIAL.</t>
  </si>
  <si>
    <t>ROMA AZ 108</t>
  </si>
  <si>
    <t>PERIMETRO DEL AEROPUERTO- PLATAFORMA OPERATIVA</t>
  </si>
  <si>
    <t>SE CONFECCIONA EL PRESENTE A LOS EFECTOS DE INFORMAR QUE SIENDO LAS 09:05 HORA LOCAL SE PRODUCE EL DESPEGUE DE LA AERONAVE PRESIDENCIAL T-01 CON DESTINO A LA LOCALIDAD DE EL CALAFATE, SOLO CON SU TRIPULACIÓN Y SIN NOVEDADES.</t>
  </si>
  <si>
    <t>DESPEGA AERONAVE MATRICULA LV-CCG CON SEÑORA PRESIDENTA DE LA NACIÓN, Y COMITIVA SIN NOVEDAD CON DESTINO A LA CIUDAD DE COLONIA 25 DE MAYO , PROVINCIA DE NEUQUEN. AERONAVE T-01 PROXIMA A PARTIR A LA CIUDAD DE BUENOS AIRES CON SEÑOR EX PRESIDENTE DE LA NACIÓN DOCTOR NESTOR KIRCHNER.-</t>
  </si>
  <si>
    <t>COLONIA 25 DE MAYO - PROVINCIA DE NEUQUEN</t>
  </si>
  <si>
    <t>INFORMO QUE SIENDO LAS 12:02 HORAS LOCAL ARRIBA A ESTE AEROPUERTO EL SEÑOR MINISTRO DEL INTERIOR DE LA NACION C.P.N. FLORENCIO RANDAZZO, EN AERONAVE PERTENECIENTE A LA EMPRESA CABILINE S.A. ALQUILADA POR EL ESTADO NACIONAL, SIENDO RECIBIDO POR EL SEÑOR GOBERNADOR DE LA PROVINCIA DE JUJUY DR. WALTER BARRIONUEVO Y EL SEÑOR MINISTRO DE GOBIERNO DE LA PROVINCIA DE JUJUY DR. PABLO LAVILLA, PARTIENDO VIA TERRESTRE HACIA LA CIUDAD DE SAN SALVADOR DE JUJUY A LAS 12:10 HORAS LOCAL, ESTIMANDO SU PARTIDA A LAS 15:30 HORAS LOCAL.</t>
  </si>
  <si>
    <t>CABILINE S.A.</t>
  </si>
  <si>
    <t>LV-BXU</t>
  </si>
  <si>
    <t>AVALOS Nº 2163 PISO Nº1 DPTO. D - C.A.B.A</t>
  </si>
  <si>
    <t>REF. ORDEN DE SERVICIO N° 873, EN EL DÍA DE LA FECHA EN CUMPLIMIENTO A ORDEN JUDICIAL EMANADA POR EL JUZGADO INTERVINIENTE, SE REALIZO ALLANAMIENTO DE LA FINCA MENCIONADA CON EL FIN DE SECUESTRAR SUSTANCIA ESTUPEFACIENTE Y DETENER A ABDULLAHI DAVID MUSA. COMO RESULTADO DE LA MEDIDA SE EFECTUO EL SECUESTRO DE SUSTANCIA ESTUPEFACIENTE Y ELEMENTOS DE INTERES PARA LA CAUSA. ASIMISMO SE PRODUJO LA DETENCION EN CARÁCTER DE INCOMUNICADOS DE LAS 3 PERSONAS QUE SE HALLABAN EN EL LUGAR. SEGUN PU Nº 5420 SE INFORMA QUE EL DETENIDO ABDULLANI DAVID MUSA FUE TRASLADADO EL DIA 06/09/2010 A SEDE TRIBUNALICIA CON EL FIN DE QUE SE LE TOME DECLARACION INDAGATORIA QUEDANDO A DISPOSICION DEL JUZGADO INTERVINIENTE.</t>
  </si>
  <si>
    <t>DRA. MARIA E. CERVERA</t>
  </si>
  <si>
    <t>LEGAJO DE GOMEZ TERAN, CARLOS FERNANDO</t>
  </si>
  <si>
    <t>1557/10-ES-</t>
  </si>
  <si>
    <t>SE PRESENTA PERSONAL DE GENDARMERÍA NACIONAL SARGENTO AYUDANTE, LUÍS ALBERTO MAITA Y EL GENDARME LUÍS FAJARE, CON EL CIUDADANO DE NACIONALIDAD BOLIVIANA SR. CARLOS FERNANDO GÓMEZ TERAN, QUIEN POR DISPOSICIÓN Nº 126610/2010 DE AGOSTO DEL 2010, DEL REGISTRO DE LA DNM, DONDE SE ORDENO LA EXPULSIÓN DEL TERRITORIO NACIONAL C/PROHIBICIÓN DE REINGRESO AL PAÍS CON CARÁCTER DE PERMANENTE, DANDO CUMPLIMIENTO A LA ORDEN DE SERVICIO Nº 180/10, CON LA INTERVENCIÓN DE 02 EFECTIVOS DE LA UOESA DEL NORTE PARA SU CUSTODIA DENTRO DE LA JURISDICCIÓN AEROPORTUARIA, SIENDO EMBARCADO EN LA EMPRESA AEROCOMERCIAL AERO SUR DEL VUELO Nº 251 5L, SIN NOVEDAD</t>
  </si>
  <si>
    <t>251 5L</t>
  </si>
  <si>
    <t>5405/10</t>
  </si>
  <si>
    <t>INFORMO QUE SIENDO LAS 16:15 HORAS LOCAL ARRIBA A ESTE AEROPUERTO VIA TERRESTRE PROCEDENTE DE LA CIUDAD DE SAN SALVADOR DE JUJUY EL SEÑOR MINISTRO DEL INTERIOR DE LA NACION C.P.N. FLORENCIO RANDAZZO, EL SEÑOR PRESIDENTE DE LA CAMARA DE DIPUTADOS DE LA NACIÓN DR. EDUARDO FELLNER Y LA SENADORA NACIONAL LILIANA FELLNER, EMBARCANDO EN AERONAVE PERTENECIENTE A LA EMPRESA CABILINE S.A. MATRICULA LV BXU ALQUILADA POR EL ESTADO NACIONAL, DESPEGANDO RUMBO AL AEROPARQUE JORGE NEWBERY DE LA CIUDAD DE BUENOS AIRES A LAS 16:21 HORAS LOCAL, FINALIZANDO DISPOSITIVO DE SEGURIDAD SIN NOVEDAD.</t>
  </si>
  <si>
    <t>POR MEDIO DEL PRESENTE INFOMRO QUE EN EL DIA DE LA FECHA SIENDO LAS TRECE HORAS VEINTE MINUTOS Y, LUEGO DE OBTENIDA SU ALTA MEDICA, EL DETENIDO EN AUTOS FUE TRASLADADO A SEDE JUDICIAL SIN NOVEDAD.</t>
  </si>
  <si>
    <t>5363/10</t>
  </si>
  <si>
    <t>POR MEDIO DEL PRESENTE INFORMO QUE EN EL DIA DE LA FECHA SIENDO LAS TRECE HORAS VEINTE MINUTOS Y LUEGO DE HABER OBTENIDO SU ALTA MEDICA, EL DETENIDO EN AUTOS ES TRASLADADO A SEDE JUDICIAL SIN NOVEDAD.-</t>
  </si>
  <si>
    <t>DR. FORNARI IGNACIO CARLOS</t>
  </si>
  <si>
    <t>S/AV PRESUNTO CONTRABANDO DE ESTUPEFACIENTES</t>
  </si>
  <si>
    <t>AV. DE LOS INMIGRANTES 1950</t>
  </si>
  <si>
    <t>REF. ORDEN DE SERVICIO N° 875. SE INFORMA QUE EL DETENIDO ADBULLANI DAVID MUSA FUE TRASLADADO EN EL DIA DE LA FECHA DESDE ESTE AEROPUERTO HASTA SEDE TRIBUNALICIA PARA QUE SE LE TOME DECLARACION INDAGATORIA.QUEDANDO HASTA EL MOMENTO A DISPOSICION DEL JUZGADO.</t>
  </si>
  <si>
    <t>SIENDO LAS 16:00 HORAS SE IMPLEMENTA OPERATIVO DE SEGURIDAD CON MOTIVO DEL ARRIBO DE LA SRA PRESIDENTA DE LA NACION,LA CUAL ARRIBO A ESTE AEROPUERTO METROPOLITANO EN LA AERONAVE MATRICULA LV-CCG A LAS 17:35 HS,PROCEDENTE DE RIO NEGRO, PARA LUEGO ABORDAR EN HELICOPTERO MATRICULA H-02,RETIRANDOSE DE ESTA JURISDICCION AEROPORTUARIA A LAS 17:40 HORAS.FINALIZANDO EL OPERATIVO A LAS 17:50 HORAS SIN NOVEDAD.</t>
  </si>
  <si>
    <t>RIO NEGRO</t>
  </si>
  <si>
    <t>QUE AL MOMENTO DE EFECTUARSE EL CONTROL DE EQUIPAJES MEDIANTE MAQUINA DE RX, EL PERSONAL POLICIAL ACTUANTE, OBSERVO A TRAVES DE LAS IMAGENES, DENTRO DE UNA VALIJA UNA SUSTANCIA DE BAJA DENSIDAD EN LA PARTE POSTERIOR O FONDO DEL EQUIPAJE. POR LO CUAL SE CONVOCA LA PRESENCIA DE DOS TESTIGOS Y DEL PASAJERO PROPIETARIO DE DICHO EQUIPAJE Y PREVIA AUTORIZACION DE LA JUDICATURA ACTUANTE SE PROCEDE A ABRIO EL EQUIPAJE DETECTANDOSE UNA SUSTANCIA ORGANICA EN SU PARTE TRASERA O RESPALDO. Y AL RETIRARSE EL FORRO INTERNO SE DETECTO DEBAJO DE ESTE UN PAQUETE CONTENIENDO UNA SUSTANCIA A LA CUAL SE LE PRACTICO UNA PRUEBA DE CAMPO CON REACTIVO COCA TEST PEN TEST ARROJANDO RESULTADO POSITIVO PARA COCAINA.SEGUIDAMENTE, POR ORDEN DEL JUZGADO INTERVINIENTE, EL CAUSANTE QUEDO DETENIDO E INCOMUNICADO Y SE DIO COMIENZO A LAS ACTUACIONES DE RIGOR. SE INFORMA EN P.U. 5430QUE SIENDO LAS 0700 HORAS DEL DÍA 07/09/2010 EL DETENIDO ES TRASLADADO A SEDE JUDICIAL S/NOVEDAD.</t>
  </si>
  <si>
    <t>MADRID//IB 0972</t>
  </si>
  <si>
    <t>TENERIFE</t>
  </si>
  <si>
    <t>Jorge Mariano FRIAS</t>
  </si>
  <si>
    <t>A 200 MTS APROXIMADAMENTE DE CABECERA 01 SECTOR SUR DEL AEROPUERTO</t>
  </si>
  <si>
    <t>PORTON DE ACCESO SUR EN CABECERA 01, LINDANTE CON LOS BARRIOS SANTA RITA, ELIAS ADRE, 292 VIVIENDAS</t>
  </si>
  <si>
    <t>SIENDO APROXIMADAMENTE LAS 20:30 HORAS, LOS OFICIALES RODRIGUEZ MARCELO Y AVALOS FLAVIO EN RECORRIDO PERIMETRAL RUTINARIO, OBSERVAN QUE SE ENCONTRABAN MENORES SOBRE EL PORTON DE CABECERA 01, AL VER EL MOVIL POLICIAL SE ALEJAN DEL LUGAR UNOS METROS, AL ACERCARSE DICHO MOVIL LO RECIBEN A PEDRADAS Y A LA DISTANCIA LOS OFICIALES OBSERVAN QUE FALTA TODO EL PAÑO DE TEJIDO QUE RECUBRE EL PORTON, INMEDIATAMENTE SE COMUNICAN CON EL JEFE DE TURNO QUIEN SOLICITA APOYO DEL LADO EXTERNO A LA COMISARIA 6TA. HACIENDOSE PRESENTE EN EL LUGAR DEL HECHO UN MOVIL QUE AL SER VISTO POR LOS MENORES, SE DAN A LA FUGA A UNA CANCHITA ALEDAÑA. PUNTO SEGUIDO SIENDO LAS 20:40 HORAS EL JEFE DE TURNO SE COMUNICA CON EL JUZGADO FEDERAL SIENDO ATENDIDO POR EL SECRETARIO MARIANO FRIAS, A QUIEN SE LE INFORMA DEL HECHO Y QUIEN DISPONE SE INICIEN LAS ACTUACIONES CORRESPONDIENTES Y SE ELEVEN PARA LA PROSECUCION DEL TRAMITE.ASIMISMO ORDENA QUE LA REPARACION DEL ALAMBRADO QUE RECUBRE EL PORTON SE EFECTUE CON LUZ DE DIA, PARA PRESERVAR PERSONAL DE MANTENIMIENTO.</t>
  </si>
  <si>
    <t>ACTA DE HALLAZGO Nº 023/2010</t>
  </si>
  <si>
    <t>FRENTE A CONFITERIA SALA PRE EMBARQUE</t>
  </si>
  <si>
    <t>SALA PRE EMBARQUE</t>
  </si>
  <si>
    <t>SIENDO LAS 22:00 HS. EL SEÑOR COÑA EMANUEL ADRIAN EMPLEADO DE LA EMPRESA THIARA S.R.L. ENTREGA A ESTA PREVENCION (01) MOCHILA TIPO TELA DE AVIÓN DE COLOR NEGRO CON GRIS Y ROJO CON LA INSCRIPCIÓN AUDI, CONTENIENDO EN SU INTERIOR UN GPS MARCA X-VIEW, MODELO NAVIGATOR WS, UN(01) PAR DE ANTEOJOS DE COLOR NEGRO MARCA SPIKE TITANIUN CON SU RESPECTIVA FUNDA NEGRA, UN(01) PAR DE ANTEOJOS DE RECETA MARCA MAYORAL CON SU CORRESPONDIENTE ESTUCHE RÍGIDO, CON EL FALTANTE DE UN CRISTAL, UN(01) NET BOK MARCA HP, MODELO MINI 110-1020 LA, DE COLOR NEGRO, Nº DE SERIE S/N CNU 9346 LRG P/N: VD433LA # AC8, UN(01) MOUSE INALÁMBRICO MARCA MICROSOFF CON DETECTOR INFRARROJO, UN MODEM DE LA EMPRESA CLARO CON CHIPS, UN(01) PEN DRIVE, CON FORMA DE CAMISETA DEL CLUB BOCA JUNIORS, UN(01) CARGADOR DE BATERÍA HP Nº SERIE NSW 23579, UN(01) MANOJO DE LLAVES CONTENIENDO SEIS(06) LLAVES, UN PAR DE ANTEOJOS PARA SOL MARCA RAY BAN DE COLOR NEGRO, UN(01) PASE DEL CERRO CASTOR, UN(01) TARJETA AUDI EXPERIENCE Nº 283424622 A NOMBRE DEL SEÑOR PEDROS ALEJANDRO, ENCONTRADA FRENTE A LA CONFITERIA DE LA SALA DE PRE EMBARQUE, QUEDANDO LA MISMA EN RESGUARDO EN LA OFICINA DE INTELIGENCIA CRIMINAL</t>
  </si>
  <si>
    <t>AEPARQUE JORGE NEWBERY</t>
  </si>
  <si>
    <t>DESDE AEROPUERTO HASTA DOMICILIO DE LA DENUNCIANTE</t>
  </si>
  <si>
    <t>LUEGO DE ARRIBAR AL TERRITORIO NACIONAL EL DÍA CINCO DEL CORRIENTE MES Y AÑO, Y UNA VEZ EN EL SECTOR DE CINTAS TRANSPORTADORAS DE EQUIPAJES, DE LA TERMINAL A, LA DENUNCIANTE NOTA QUE SU VALIJA DESPACHADA A BODEGA NO HABÍA ARRIBADO EN EL MISMO VUELO QUE ELLA. POR TAL MOTIVO REALIZA LA CONSULTA CON PERSONAL DE LA COMPAÑÍA AÉREA DONDE LE INFORMAN QUE LA MISMA ESTARÍA ARRIBANDO EN EL PRÓXIMO VUELO Y QUE SE LA ENVIARÍAN A SU DOMICILIO. QUE SIENDO APROXIMADAMENTE LAS CERO HORAS CINCO MINUTOS DEL DIA DE LA FECHA, LA DENUNCIANTE RECIBE EN SU DOMICILIO LA VALIJA NOTANDO EN ESE INSTANTE QUE LA MISMA POSEÍA SIGNOS DE HABER SIDO VIOLENTADA Y CON EL FALTANTE DE MENCIÓN. POR TAL MOTIVO RADICA LOS CORRESPONDIENTES RECLAMOS ANTE LA COMPAÑÍA AÉREA Y LA DENUNCIA PENAL CORRESPONDIENTE</t>
  </si>
  <si>
    <t>5392/10</t>
  </si>
  <si>
    <t>INFORMO QUE EL DIA 06/09/10, SIENDO LAS 12:00 HS EL DETENIDO EFECTUO LA PRIMERA DEPOSICION, CON UN TOTAL DE 8 CAPSULA, ARROJANDO UN PESO TOTAL DE 90 GRS. INFORMO QUE SIENDO LAS 21:00 HS DEL CITADO DIA, EL DETENIDO EFECTUO LA SEGUNDA DEPOSICION, CON UN TOTAL DE 21 CALPSULAS, ARROJANDO UN PESO DE 226 GRS.</t>
  </si>
  <si>
    <t>5422/10</t>
  </si>
  <si>
    <t>INFORMO QUE SIENDO LAS 07:00HS EL DETENIDO EN AUTOS ES TRASLADADO A SEDE JUDICIAL.</t>
  </si>
  <si>
    <t>MADRID-TENERIFE</t>
  </si>
  <si>
    <t>5194/10</t>
  </si>
  <si>
    <t>590/10</t>
  </si>
  <si>
    <t>SE PROCEDE A LA APERTURA DE UNA ENCOMIENDA DEL CORREO OFICIAL, SEGÚN CONSTA EN ACTA DE APERTURA DE CARGAS Nº 401/10, PREV. SUM. Nº 092/10, EN VIRTUD DE LO ORDENADO MEDIANTE OFICIO JUDICIAL Nº 2635/10, DEL MAGISTRADO ACTUANTE Y EN PRESENCIA DE UN TESTIGO HABIL. LA ENCOMIENDA SE IDENTIFICA COMO EP656096567AR, RTTE. SRA. LUISA SAYAGO, EL SALVADOR Nº 125, Bº LA PAZ, C.P. 4610, PERICO, JUJUY Y DEST. SR. IVAN GUSTAVO VILLAROEL, ORCADAS DEL SUR Nº 69, Bº LATINO AMERICANO, USHUAIA, TIERRA DEL FUEGO, CP. 9410, CONTIENE: ONCE PAQUETES DE HOJAS DE COCA CON UN PESO TOTAL DE 2.526 GRS. LA ENCOMIENDA SECUESTRADA SERA PUESTA A DISPOSICION DE LA ADUANA DE SALTA POR SUPUESTA INFRACCION AL CODIGO ADUANERO, LEY 22.415, Y LAS ACTUACIONES REMITIDAS A SEDE JUDICIAL. SEGÚN P.U. Nº 5183 - ORIGINARIO SE PROCEDE A LA RETENCIÓN DE UNA SACA COLECTORA DEL CORREO OFICIAL, SEGÚN CONSTA EN ACTA DE RETENCIÓN DE CARGAS Nº 0393/10, QUE ORIGINA LA PREVENCIÓN SUMARIA 092/10, LA SACA IDENTIFICADA CON MARBETE, SLA0210716D555800VAE, PRECINTO N° Y741255, CON UN PESO DECLARADO DE 24,100 KGS, CON DESTINO LA CIUDAD DE USHUAIA, CONTENDRÍA DOS PIEZA. LA MISMA ESTÁ AMPARADA EN GUÍA DE CARGA Nº 9438200-2, DESPACHADAS A TRAVÉS DE LA EMPRESA DE CARGA AÉREA JET PAQ. LA RETENCIÓN SE REALIZA ANTE LA PRESUNCIÓN QUE PUDIERAN CONTENER ALGÚN ELEMENTO EN INFRACCIÓN A LA LEY 23.737 Y/O 22.415, QUEDANDO LA MISMA CERRADA Y PRECINTADA EN GUARDA EN ESTA UOSP. SEGÚN LO COORDINADO CON EL DR. SANTIAGO FRENCH, A CARGO DE LA SECRETARIA PENAL Nº 2 DEL JUZGADO FEDERAL DE SALTA Nº 1 A CARGO DEL DR. JULIO LEONARDO BAVIO.Y LA APERTURA SE REALIZARÁ EN PRESENCIA DEL PERSONAL DEL CORREO OFICIAL. SEGÚN AMPLIACION P.U. Nº 5194.- SE PROCEDE A LA APERTURA DE UNA SACA COLECTORA DEL CORREO OFICIAL, SEGÚN CONSTA EN ACTA DEJANDO CONSTANCIA Nº 0394/10, CORRESPONDIENTE A LA PREV. SUM. Nº 092/10, LA SACA IDENTIFICADA CON MARBETE, SLA0210716D555800VAE, PRECINTO N° Y741255, CONTIENE DOS PIEZAS POSTALES. LA 1ª IDENTIFICADA COMO EP65606567AR, RTTE: LUISA SAYAGO, CON DOMICILIO EN EL SALVADOR Nº 125,Bº LA PAZ, PERICO, JUJUY, CP.4610. DEST: IVAN GUSTAVO VILLARROEL, CON DOMICILIO EN ORCADAS DEL SUR Nº 69, Bº LATINOAMERICANO, USHUAIA, TIERRA DEL FUEGO, CP. 9410, LA MISMA QUEDA RETENIDA. LA 2ª PIEZA POSTAL IDENTIFICADA COMO EP661585863, ES ENTREGADA AL SR. ARIAS RUBEN PARA SU REDASPACHO POR NO SER DE INTERES PARA EL PROCEDIMIENTO. LA RETENCION SE REALIZA ANTE LA PRESUNCION DE QUE PUDIERAN CONTENER ALGUN ELEMENTO EN INFRACCION A LA LEY 23737 Y/O 22415, QUEDANDO LA MISMA EN GUARDA EN ESTA UOSP. SE COMUNICO TELEFONICAMENTE AL JUZGADO INTERVINIENTE Y LA APERTURA SE REALIZARA CON LA AUTORIZACION DEL MAGISTRADO ACTUANTE.</t>
  </si>
  <si>
    <t>DENTRO DEL AEROPUERTO INTERNACIONAL CORDOBA</t>
  </si>
  <si>
    <t>EN EL DÍA DE LA FECHA SE PRESENTO ANTE ESTA PREVENCIÓN EL EXPONENTE MANIFESTANDO EL EXTRAVÍO DE SU PERMISO PERSONAL PERMANENTE SNA N° 340053 VENCIMIENTO FECHA 07-06-2012, SECTORES TODOS. EL MISMO MANIFIESTA QUE EXTRAVIÓ EL MENCIONADO ELEMENTO EL DÍA 07 DE SEPTIEMBRE DEL CORRIENTE AÑO A LAS 09:30 HS APROXIMADAMENTE</t>
  </si>
  <si>
    <t>5427/10</t>
  </si>
  <si>
    <t>INFORMO SIENDO LAS 13:50 HS SE REALIZA LA ENTREGA Y RECEPCION DE CONFORMIDAD DE LOS ELEMENTOS HALLADOS SEGUN ACTA DE HALLAZGO 023/2010 A LA SRA. MARIA DEL CARMEN GUERCIO DNI 11.994.467 , SUPERVISORA DE LA EMPRESA AEROLINEAS ARGENTINAS. PREVIO DE RECIBIR MEDIANTE FAX PROVENIENTE DE UOSP METROPOLITANA, EN EL TURNO DE ESTA PREVENCION, NOTA DEL SR. ALEJANDRO OSCAR PEDROS, MEDIANTE LA CUAL DESCRIBE LOS ELEMENTOS QUE FUERAN HALLADOS, CORROBORANDOSE SER DE SU PROPIEDAD. ASI MISMO AUTORIZA SU ENTREGA A LA SRA. GUERCIO PARA SU POSTERIOR ENVIO.-</t>
  </si>
  <si>
    <t>5391/10</t>
  </si>
  <si>
    <t>HOSPITAL ZONAL DE EZEIZA</t>
  </si>
  <si>
    <t>INFORMO HASTA EL MOMENTO A LA DETENIDA BANZANA VUYOKAZI SE LE DETECTARON EN UN PRIMER MOMENTO EN LA REQUISA PERSONAL 4 CAPSULAS CON SUSTANCIA ESTUPEFACIENTE Y POSTERIORMENTE MEDIANTE UNA INSPECCION VAGINAL REALIZADA POR PERSONAL MEDICO IDONEO, SE LE EXTRAJERON DE LA VAGINA 18 CAPSULAS CON SUSTANCIA ESTUPEFACIENTE. POSTERIORMENTE SE REALIZO UNA ECOGRAFIA ABDOMINAL Y UNA ESPECULOSCOPIA VAGINAL, AMBAS CON RESULTADO NEGATIVO A LA PRESENCIA DE CUERPOS EXTRAÑOS. ASIMISMO SE INFORMA QUE LA DETENIDA PERMANECE INTERNADA EN OBSERVACION HASTA QUE SE LE DE EL ALTA MEDICA.</t>
  </si>
  <si>
    <t>AV DE LOS INMIGRANTES 1950</t>
  </si>
  <si>
    <t>REF. ORDEN DE SERVICIO N° 878. SE INFORMA CON RELACION A LOS DETENIDOS EN EL MARCO DE LA CAUSA DE REFERENCIA, QUE LOS MISMOS FUERON TRASLADADOS DESDE ESTE AEROPUERTO HASTA SEDE TRIBUNALICIA, Y LUEGO DE TOMARLE DECLARACION INDAGATORIA SON TRASLADADOS A INSTALACIONES DE LA UOSP METROPOLITANA, DONDE PERMANECERAN A DISPOSICION DEL TRIBUNAL ACTUANTE.</t>
  </si>
  <si>
    <t>CRIMINAL DE INSTRUCCION N° 38</t>
  </si>
  <si>
    <t>SECRETARIA N° 132</t>
  </si>
  <si>
    <t>LOPEZ</t>
  </si>
  <si>
    <t>SUSANA WILMA</t>
  </si>
  <si>
    <t>GABRIEL GONZALO REY</t>
  </si>
  <si>
    <t>INFRACCION A LA LEY 24270</t>
  </si>
  <si>
    <t>CONTROL MIGRATORIO TERMINAL B</t>
  </si>
  <si>
    <t>SE RECIBE DE LA DIRECCION GENERAL DE MIGRACIONES A LA SRA. SILVIA DEL CARMEN GUIMAREY PISCOYA, SOBRE LA CUAL PESA UNA ORDEN DE CAPTURA VIGENTE. POR LO CUAL SE MANTUVO COMUNICACION TELEFONICA CON EL JUZGADO SOLICITANTE EL CUAL DISPUSO, SE PROCEDA A LA DETENCION DE LA CAUSANTE Y QUE LA MISMA SEA REMITIDA A SEDE JUDICIAL JUNTAMENTE CON LO ACTUADO. MEDIDA QUE SE HIZO EFECTIVA A LAS 13:00 HORAS DEL DIA DE LA FECHA.</t>
  </si>
  <si>
    <t>3419/10</t>
  </si>
  <si>
    <t>356/10</t>
  </si>
  <si>
    <t>SE PROCEDE A LA APERTURA DE CINCO ENCOMIENDAS CON EL MISMO RTTE. SEAL CARGAS SALTA Y MISMO DEST. SEAL CARGAS BS. AS., DEL SERVICIO DE CARGAS DE LA EMPRESA SEAL CARGAS S.R.L.. SEGUN CONSTA EN ACTA DE APERTURA DE CARGAS Nº 402/10, PREVENCION SUMARIA Nº 065/10, EN VIRTUD DE LO ORDENADO MEDIANTE OFICIO JUDICIAL Nº 1262/10 DEL MAGISTRADO ACTUANTE Y EN PRESENCIA DE UN TESTIGO HABIL. LA 1ª CAJA CON Nº DE BULTO 10, CONTIENE: 7 TANGAS, 15 CONJUNTOS DE BEYBIDOL CON TANGA DE IND. CHINA Y 31 CORSE, LA 2ª CAJA CON Nº DE BULTO 19, CONTIENE: 19 PARES DE ZAPATILLAS PARA NIÑOS DE IND. CHINA Y 3 CONJUNTOS DE BEYBIDOL CON TANGA DE IND. CHILENA, LA 3ª CAJA CON Nº DE BULTO 20, CONTIENE: 22 PARES DE ZAPATILLAS PARA NIÑOS DE IND. CHINA Y 4 BEYBIDOL CON TANGA DE IND. CHILENA, LA 4ª CAJA CON Nº DE BULTO 21, CONTIENE: 11 CORPIÑOS, 10 PARES DE ZAPATILLAS PARA NIÑOS DE IND. CHINA, 24 FAJAS Y 12 CULOTTES Y LA 5ª CAJA CON Nº DE BULTO 22, CONTIENE: 17 PARES DE ZAPATILLAS PARA NIÑOS DE IND. CHINA. LA CAJAS SECUESTRADAS SERAN PUESTAS A DISPOSICION DE LA ADUANA DE SALTA POR SUPUESTA INFRACCION AL CODIGO ADUANERO, LEY 22.415, Y LAS ACTUACIONES REMITIDAS A SEDE JUDICIAL. SEGÚN P.U. Nº 3419 (ORIGINARIO) SE PROCEDE A LA RETENCIÓN DE CINCO ENCOMIENDAS DESPACHADAS POR SEAL CARGAS, SEGÚN CONSTA EN ACTA DE RETENCIÓN 289/10 QUE ORIGINA LA PREVENCIÓN SUMARIA 065/10, LAS ENCOMIENDAS AMPARADAS EN GUÍA AÉREA 0003-00001540 LA CUAL CONSTA DE 28 BULTOS, LAS QUE SERIAN DESPACHADAS A TRAVÉS DE LA EMPRESA DE CARGA AÉREA ANDES CARGAS, LA 1º IDENTIFICADA COMO AWB-03-1540 BULTO 22 PESO 5,400 KGS., LA 2º AWB-03-1540 BULTO 20 PESO 6,300 KGS., LA 3º AWB-03-1540 BULTO 10 PESO 6,100 KGS., LA 4º AWB-03-1540 BULTO 19 PESO 6,00 KGS., Y LA 5º AWBV-03-1540 BULTO 21 PESO 5,900 KGS., LA RETENCION SE REALIZA ANTE LA PRESUNCIÓN DE QUE PUDIERAN CONTENER ALGÚN ELEMENTO EN INFRACCIÓN A LA LEY 22.415 Y/O 23.737. QUEDANDO LAS MISMAS CERRADAS Y EN GUARDA EN ESTA UOSP, SE COMUNICO TELEFÓNICAMENTE AL JUZGADO INTERVINIENTE Y LA APERTURA SE REALIZARA CON LA AUTORIZACIÓN DEL MAGISTRADO ACTUANTE.</t>
  </si>
  <si>
    <t>2501/10</t>
  </si>
  <si>
    <t>CABRAL RUBEN ALEJANDRO S/ LEY DE ESTUPEFACIENTES</t>
  </si>
  <si>
    <t>AMPLIANDO PARTE NRO 2501/10 REGISTRO PSA NRO 2013/10 INFORMO QUE EN EL DIA DE LA FECHA SE RECEPCIONO OFICIO Nº: 1433/2010, DE FECHA 03 DE SETIEMBRE DE 2.010, EN EL MARCO DE LA CAUSA DE REFERENCIA, DONDE SE HACE SABER QUE SE HA DISPUESTO LA INTERVENCION TELEFONICA DE LOS ABONADOS CON Nº 011-15 -5589-9889 Y Nº 011-15-5629-8243, POR EL TERMINO DE 30 (TREINTA) DIAS, CON EL FIN DE PROCEDER A LA GRABACION DE LA TOTALIDAD DE LAS LLAMADAS ENTRANTES Y SALIENTES, ASI COMO TAMBIEN LOS MENSAJES DE TEXTO ENTRANTES Y SALIENTES , MEDIDA QUE SE LLEVARA A CABO POR INTERMEDIO DE LA DIVISION OBSERVACIONES JUDICIALES DE NEUQUEN , QUEDANDO ESTA UOCN Y DC V- Y/O EL PERSONAL QUE AL EFECTO SE DESIGNE A IMPONERSE DEL RESULTADO DE DICHA MEDIDA</t>
  </si>
  <si>
    <t>ANDRES EDUARDO BERNADAS S/DENUNCIA</t>
  </si>
  <si>
    <t>PARKING NORTE SECTOR E3, DE ESTE AEROPARQUE</t>
  </si>
  <si>
    <t>EL DIA 1/7/10, SE HIZO PRESENTE EN ESTE AEROPARQUE CON SU VEHICULO PARTICULAR, MARCA FORD, ECO SPORT, COLOR BEIGE, DOMINIO GML-296, CON MOTIVO DE ABORDAR UN VUELO DE LA EMPRESA AÉREA LAN ARGENTINA CON DESTINO NEUQUÉN A LAS 07:30 HORAS APROXIMADAMENTE, ESTACIONANDO EL VEHICULO EN EL SECTOR E3 DEL PARKING NORTE. SIENDO LAS 10:38 HORAS APROXIMADAMENTE DEL DIA 6/7/10, ARRIBO A ESTE AEROPARQUE EN VUELO DE LA EMPRESA LAN ARGENTINA PROCEDENTE DE NEUQUÉN, RETIRO SU EQUIPAJE Y SE DIRIGIÓ AL ESTACIONAMIENTO A BUSCAR SU VEHICULO. UNA VEZ ALLÍ SE PERCATO DEL FALTANTE DE LA FUNDA PROTECTORA SIMIL CUERO, DEL NEUMÁTICO DE AUXILIO, QUE SE ENCONTRABA EN LA PARTE TRASERA LADO EXTERNO DEL VEHICULO.</t>
  </si>
  <si>
    <t>SE INFORMA QUE EL DETENIDO EN AUTOS REALIZO UNA UNICA DEPOSICION, CON UN TOTAL DE UNA CAPSULA Y UN PESO DE 14 GRAMOS.</t>
  </si>
  <si>
    <t>5417/10</t>
  </si>
  <si>
    <t>POR MEDIO DEL PRESENTE INFORMO QUE EL DETENIDO EN AUTOS REALIZO UN TOTAL DE 12 DEPOSICIONES, CON UN TOTAL DE SESENTA CAPSULAS, LAS QUE ARROJARON UN PESAJE DE 914 GRAMOS.</t>
  </si>
  <si>
    <t>DR MANUEL BONIN</t>
  </si>
  <si>
    <t>PRESUNTA INFRACCION A LA LEY 20.429</t>
  </si>
  <si>
    <t>2196/10</t>
  </si>
  <si>
    <t>PSA S/REMITE ACTUACIONES</t>
  </si>
  <si>
    <t>INTERDICCION SACA DE CORREO/PRESUNTA INFRACCION LEY 20.429</t>
  </si>
  <si>
    <t>CONTROL CARGAS CON SCAN VAN</t>
  </si>
  <si>
    <t>CONTROL DE CARGAS</t>
  </si>
  <si>
    <t>EN EL CONTROL EN EL PATIO DE VALIJAS SE DETECTA LA PRESENCIA DE UN ARMA DE FUEGO EN UNA DE LAS SACAS DEPACHADAS POR LA EMPRESA JET PAQ CON NRO DE PRECINTO CPI 8572295D555800VAE CON DESTINO A LA CIUDAD DE USHUAIA POR NO CONTAR EL RESPONSABLE DE JET PAQ CON LA DOCUMENTACION RESPALDATORIA SE DA INTERVENCION AL JUZGADO FEDERAL DE RIO GALLEGOS QUIEN DISPONE ORDEN DE INTERCEPTACION Y SECUESTRO DE ENCOMIENDA NRO 0033/10, SE DA CUMPLIMIENTO A LO ORDENADO REMITIENDO LA SACA CONTENEDORA DEL CORREO ARGENTINO JUNTO CON LOS ACTUADOS AL JUZGADO INTERVINIENTE. EN SEDE JUDICIAL Y CON PRESENCIA DE LOS OFICIALES AYUDANTES DAVID PAILLET Y MARCELA DEL CARMEN MARINI, EL MAGISTRADO INTERVINIENTE PROCEDE A LA APERTURA DE LA SACA CONTENEDORA, LA CUAL CONTENIA UNA CAJA CON LA LEYENDA" REPLICA ANTIQUE 1858 REM TARGET Y EMPY BRASS CASES". LA MISMA CONTENIA UNA REPLICA DE UN REVOLVER Y CIEN (100) VAINAS, SIN FULMINANTE, POLVORA NI PROYECTIL. LA CAJA CON SU CONTENIDO, QUEDA SECUESTRADA EN SEDE JUDICIAL, SEGUN LO DISPUESTO POR EL JUZGADO.</t>
  </si>
  <si>
    <t>SIENDO LAS 19:15 HORAS DEL DIA DE LA FECHA SE PRESENTA EN ESTA DEPENDENCIA POLICIAL EL SEÑOR JORGE F. MARSIGLIA CON D.N.I. Nº 04.546.851 PERTENECIENTE A LA EMPRESA FOOT PATAGONIA S.A. MANIFESTANDO EL EXTRAVIO DE SU PERMISO PERSONAL AEROPORTUARIO SNA EN INMEDIACIONES DE ESTA AEROESTACION.</t>
  </si>
  <si>
    <t>5393/10</t>
  </si>
  <si>
    <t>PREEMABARQUE 1/16 DE LA TERMINAL A DE ESTE AEROPUERTO</t>
  </si>
  <si>
    <t>INFORMO POR MEDIO DEL PRESENTE LAS DEPOSICIONES EFECTUADAS POR EL DETENIDO ALOJADO EN EL HOSPITAL ZONAL DE EZEIZA: 07/09/10 07:40 HS 38 CAPSULAS 542 GRAMOS.</t>
  </si>
  <si>
    <t>PERGOLA DE LA TERMINAL A PROXIMO AL PUESTO DENOMINADO MONTACARGAS</t>
  </si>
  <si>
    <t>EL DIA Y LA HORA ANTES MENCIONADA SE PRESENTA EN LA GUARDIA DE PREVENCION LA DAMNIFICADA INFORMANDO QUE SIENDO APROXIMADAMENTE LAS 1915 HORAS HIZO PRESENTE EN EL AEROPUERTO INTERNACIONAL CON MOTIVO DE DESPEDIR A UN FAMILIAR, Y ESTACIONO SU VEHICULO PARTICULAR MARCA PEUGEOT MODELO 307 DOMINIO FOS 047, EN LA PERGOLA DE LA TERMINAL A PROXIMO AL PUESTO DENOMINADO MONTACARGAS. QUE LUEGO DE DESPEDIR A SU FAMILIAR, SE DIRIGIO NUEVAMENTE HACIA SU VEHICULO DONDE SE PERCATO DE VARIOS RAYONES EN AMBOS PANELES DE CADA PUERTA TANTO DEL LADO IZQUIERDO COMO DEL LADO DERECHO, COMO ASI TAMBIEN SOBRE EL CAPOT, POR LO QUE RADICA LA CORRESPONDIENTE DENUNCIA.</t>
  </si>
  <si>
    <t>INFRACCION A LA LEY 25.871</t>
  </si>
  <si>
    <t>QUE EN EL DÍA DE LA FECHA SIENDO LAS 2209 HORAS SE HACE PRESENTE UNA PERSONA MANIFESTANDO QUE EN MOMENTOS DE ENCONTRARSE CUMPLIENDO FUNCIONES COMO SUPERVISORA DE LA DIRECCIÓN NACIONAL DE MIGRACIONES EN EL PUESTO DENOMINADO TERMINAL DE PASAJEROS SUR UBICADO SOBRE LA AV. SARMIENTO, SIENDO APROXIMADAMENTE LAS 1900 HORAS SE HACE PRESENTE EN LA OFICINA DE MIGRACIONES EL SR. MARCELO LAMBRUSCHINI, QUIEN SE DESEMPEÑÓ COMO COMANDANTE Y DESPACHANTE DE UN VUELO PRIVADO DE LA EMPRESA AEROVIP, CON MATRICULA CX-LAS, PROCEDENTE DE LA CIUDAD DE MONTEVIDEO, REPUBLICA ORIENTAL DEL URUGUAY, EL CUAL ARRIBÓ A ESTE AEROPARQUE A LAS 1830 HORAS, MANIFESTANDO QUE EN DICHO VUELO HABÍA TRASLADADO UN TOTAL DE CUATRO (04) PASAJEROS. RAZÓN POR EL CUAL, LA SRA. MANZINO, INSPECTORA DE MIGRACIONES, LE SOLICITA QUE PRESENTE LA DOCUMENTACIÓN CORRESPONDIENTE A CADA UNO DE LOS PASAJEROS, INDICANDO EL SR. LAMBRUSCHINI, QUE LOS MISMOS YA SE HABÍAN RETIRADO. DADO QUE LOS PASAJEROS NO SE SOMETIERON AL CONTROL MIGRATORIO DE INGRESO A LA REPUBLICA ARGENTINA, INMEDIATAMENTE INFORMA A SU SUPERIOR EL SR. GUSTAVO DANSA, QUIEN LUEGO DE UNOS MINUTOS LE INDICA QUE POR ORDEN DEL SR. ALBERTO RUBIO, DIRECTOR GENERAL DE CONTROL AÉREO DE LA DIRECCIÓN NACIONAL DE MIGRACIONES, DEBÍA REALIZAR LA DENUNCIA PENAL CONTRA LA EMPRESA AEROVIP Y SU DESPACHANTE DE VUELO, POR PERMITIR QUE LOS PASAJEROS NO SE SOMETIERAN A LOS CONTROLES MIGRATORIOS. POSTERIORMENTE LOS PASAJEROS SE HICIERON PRESENTES DE PROPIA VOLUNTAD EN LA OFICINA DE MIGRACIONES DONDE SE LE REALIZARON LOS TRÁMITES MIGRATORIOS CORRESPONDIENTES AL INGRESO A LA REPUBLICA ARGENTINA, DADO QUE EL SR. LAMBRUSCHINI LOGRO UBICARLOS Y LES SOLICITO QUE REGRESARAN. LUEGO DE REALIZAR DICHOS TRÁMITES Y AL NO REGISTRAR IMPEDIMENTOS DE INGRESO, LOS PASAJEROS SE RETIRARON DE ESTE AEROPUERTO. POR EL EPISODIO DENUNCIADO SE HACE PRESENTE EN ESTA GUARDIA DE PREVENCION A RADICAR LA CORRESPONDIENTE DENUNCIA PENAL. SIENDO LAS 22:40 HORAS SE ENTABLA COMUNICACIÓN CON LA JUDICATURA INTERVINIENTE QUIEN DISPONE SE RECEPCIONE LA DENUNCIA, SE CARATULE LA CAUSA COMO "INFRACCIÓN A LA LEY 25.871"SE SOLICITE A LA DIRECCIÓN NACIONAL DE MIGRACIONES QUE APORTE TODA LA DOCUMENTACIÓN OBRANTE RESPECTO DE INGRESO A LA REPUBLICA ARGENTINA DE LOS PASAJEROS DEL VUELO PRIVADO DE LA EMPRESA AEROCOMERCIAL AEROVIP, QUE APORTE LA NORMATIVA DE PROCEDIMIENTO DONDE CONSTA LA OPERATORIA A REALIZAR POR PARTE DE LAS DISTINTAS EMPRESAS AEROCOMERCIALES CON RESPECTO A LA MIGRACIÓN DE SUS PASAJEROS, CIERRE Y ELEVACIÓN.</t>
  </si>
  <si>
    <t>AEROVIP</t>
  </si>
  <si>
    <t>QUE EN EL DIA FECHA SE PROCEDIÓ A DAR CUMPLIMIENTO A LA ORDEN DE SERVICIO Nº 615/10 DE LA U.R.S.A. I DEL ESTE Y ORDEN DE SERVICIO Nº 322/10 DE ESTA U.O.S.P. REFERENTE A LA IMPLEMENTACIÓN DE MEDIDAS DE SEGURIDAD NECESARIAS PARA EL DESPLAZAMIENTO DENTRO DE LAS INSTALACIONES AEROPORTUARIAS DEL SR. BURDIN ALVAREZ CARLOS RICARDO, QUIEN ARRIBO EN EL VUELO Nº PU 177 DE LA EMPRESA PLUNA LÍNEAS AÉREAS JUNTO A SU CUSTODIA EL OFICIAL AYUDANTE SORIA Y EL SARGENTO PRIMERO ROMERO, AMBOS NUMERARIOS DE LA DIVISIÓN INTERPOL, PROCEDENTE DE LA REPUBLICA ORIENTAL DEL URUGUAY. POSTERIORMENTE EL SR. BURDIN ALVAREZ FUE TRASLADADO POR EL CABO MOYANO Y EL CABO PRIMERO CARADONA, RETIRANDOSE DE ESTA JURISDICCIÓN AEROPORTUARIA SIN NOVEDAD. DICHA ORDEN DE SERVICIO FUE IMPLEMENTADA POR EL OFICIAL MAYOR PABLO LAHORE, EL OFICIAL AYUDANTE WALTER MEDINA, PERSONAL DE GUARDIA, Y EL OFICIAL JEFE GUILLERMO SCORTIO Y EL OFICIAL JEFE EMILIO PAZ, PERSONAL DE UOESA. FINALIZANDO LA MISMA SIN NOVEDAD.-</t>
  </si>
  <si>
    <t>INFORMO POR MEDIO DEL PRESENTE QUE SIENDO LAS 16:50 HS DEL DIA 07/09/10, EL DETENIDO EFECTUO LA TERCERA DEPOSICION, CON UN TOTAL DE 16 CAPSULAS, ARROJANDO UN PESO DE 170 GRS. INFORMO QUE SIENDO LAS 20:55 HS DEL DIA CITADO EL DETENIDO EFECTUO LA CUARTA DEPOSICION, CON UN TOTAL DE 15 CAPSULAS, ARROJANDO UN PESO DE 160 GRS.</t>
  </si>
  <si>
    <t>SIENDO LAS 01:10 HORAS ARRIBA AERONAVE MATRICULA LV BRY DE LA EMPRESA LAN ARGENTINA PROCEDENTE DE AEROPUERTO JORGE NEWBERY EN CUYAS BODEGAS 13,31,32,41 Y 42 SE DESPACHAN 242 CAJAS CON UN PESO BRUTO DE 4.889 KILOGRAMOS DE METAL -MTD- DE MINERA SANTA CRUZ CON DESTINO A AEROPUERTO JORGE NEWBERY. EL VUELO DESPEGA A LAS 02:25 HORAS SIN NOVEDAD. SE DIO CUMPLIMIENTO A ORDEN DE SERVICIO NRO 0079/10</t>
  </si>
  <si>
    <t>NACIONAL EN LO CRIMINAL Y CORRECCIONAL FEDERAL N° 8</t>
  </si>
  <si>
    <t>TUCUMAN_4561 CASA_2-CAROLINA CARADAJAL-RIO GALLEGOS SANTA CRUZ</t>
  </si>
  <si>
    <t>EN MOMENTOS EN QUE PERSONAL POLICIAL SE ENCONTRABA REALIZANDO CONTROL MEDIANTE MAQUINA DE RAYOS X, SOBRE LA CARGA A DESPACHAR, OBSERVÓ QUE DENTRO DE UNA SACA DE LA EMPRESA CORREO ARGENTINO SE ENCONTRABA UNA CAJA DE MEDIANAS DIMENSIONES LA CUAL CONTENÍA EN SU INTERIOR UNA SUSTANCIA ORGÁNICA, LA CUAL SE VISUALIZA DE COLOR ANARANJADO, EN FORMA COMPACTA Y DADA SU DENSIDAD PODRÍAN SER COMPATIBLE CON SUSTANCIAS ESTUPEFACIENTES. SEGUIDAMENTE SE HACE PRESENTE EN EL SECTOR DE CARGAS AÉREAS EL ENCARGADO Y JEFE DE TURNO, DONDE VERIFICAN LA SACA Y REALIZAN NUEVAMENTE EL ESCANEO DE LA MISMA Y LUEGO DE SER COLOCADA EN DIVERSAS POSICIONES DENTRO DEL INTERIOR DE LA MISMA, SE VERIFICA QUE SE TRATA DE UNA SUSTANCIA DEL TIPO ORGÁNICA DE ALTA DENSIDAD, RAZÓN POR LA CUAL, SE SOLICITA LA PRESENCIA DE DOS TESTIGOS HÁBILES, Y SE TRASLADA DE CONFORMIDAD A TODOS LOS PARTICIPANTES A LA GUARDIA DE PREVENCIÓN, PARA CONTINUAR CON LAS DILIGENCIAS QUE PUDIERAN CORRESPONDER. LA PERITO EN TURNO PROCEDE A REALIZAR EL REACTIVO A LA SUSTANCIA, DANDO RESULTADO POSITIVO MARIHUANA. SIENDO LAS 06:10 HORAS, SE ENTABLA COMUNICACIÓN CON LA JUDICATURA ACTUANTE QUIEN ANOTICIADA DE LOS HECHOS Y LAS DILIGENCIAS PRACTICADAS HASTA EL MOMENTO, DISPONE SE LABREN ACTUACIONES, SE DETERMINE POR MEDIO DE LA EMPRESA CORREO ARGENTINO LA PERSONA DEL REMITENTE Y LUGAR DE PROCEDENCIA DEL MISMO, SE REALICE ACTA DE APERTURA DE LA SACA DE CORREO, ENVÍO AL LABORATORIO QUÍMICO DE LA POLICÍA FEDERAL ARGENTINA DE LAS SUSTANCIAS SECUESTRADAS Y SE DE EL CARÁCTER DE MUY URGENTE A LOS EFECTOS DE INFORMAR LOS RESULTADOS A PRIMERA HORA, CIERRE Y ELEVE DE LAS ACTUACIONES A PRIMERA HORA A LA SEDE DEL JUZGADO.</t>
  </si>
  <si>
    <t>5452/10</t>
  </si>
  <si>
    <t>SIENDO LAS 10:30 HORAS DEL DIA DE LA FECHA SE PRESENTA EN ESTA DEPENDENCIA POLICIAL LA SRTA NANCY URIBE DEPENDIENTE DE LA EMPRESA FOOT PATAGONICA S.A. PROPIEDAD DEL SEÑOR JORGE F. MARSIGLIA, DENUNCIANTE, MANIFESTANDO QUE POR COMUNICACION TELEFONICA CON ESTE, EL MISMO LE COMUNICO QUE EL PERMISO PERSONAL DENUNCIADO COMO EXTRAVIADO HABIA SIDO HALLADO ENTRE SUS PERTENENCIAS SOLICITANDO NO SE LE DE CURSO A LA INHABILITACION DEL MISMO.</t>
  </si>
  <si>
    <t>EN EL DIA DE LA FECHA SE HACE PRESENTE EN ESTA DEPENDENCIA POLICIAL EL SEÑOR MARCELO HORACIO PELUSSO, QUIEN DENUNCIA EL EXTRAVIO DE SU PERMISO PERSONAL DE SEGURIDAD AEROPORTUARIO VENCIDO, EL MISMO LO EXTRAVIO DENTRO DE LAS INSTALACIONES DE ESTE AEROPUERTO, NO PUDIENDO PRECISAR EN QUE MOMENTO Y LUGAR SE PRODUJO EL MISMO.</t>
  </si>
  <si>
    <t>5362/10</t>
  </si>
  <si>
    <t>SE AMPLIA PARTE RESERVADO N° 5362, DE FECHA 03/09/10, REFERENTE A LA INVESTIGACION PRELIMINAR, EXPTE. N° 46/10, TRAMITADO ANTE LA FISCALIA FEDERAL DE SALTA N° 2, A CARGO DEL DR. EDUARDO JOSE VILLALBA, SECRETARIA A CARGO DE LA DRA. PAULA GALLO PULO, RELACIONADO A LA AMENAZA TELEFONICA ANONIMA, RECIBIDA EN EL ABONADO 0387-431-3380, REALIZADA EL DIA 03/09/10 AL FISCAL GENERAL DR. JOSE HECTOR PEREZ, APROXIMADAMENTE ENTRE LAS 11:30 Y 11:40 HORAS. ANTE DICHA AMENAZA, SE DIO CUMPLIMIENTO AL OFICIO N° 672/10, DE FECHA 06/09/10, EL CUAL SOLICITABA SABANAS TELEFONICAS DEL ABONADO ARRIBA MENCIONADO. PUDIENDO ESTABLECER SEGUN EL ANALISIS DE LAS SABANAS TELEFONICAS, QUE DICHOS LLAMADOS FUERON REALIZADOS DEL ABONADO 0381-4210543 A LAS 11:37 Y A LAS 11:39 HORAS, DEL DIA 03/09/10, DESDE UNA TELECABINA DE NOMBRE CABINAS HISPANAS, SITO EN CALLE MENDOZA N° 682 DE LA CIUDAD DE TUCUMAN, LA QUE SERIA DE PROPIEDAD DE LOPEZ NEON MAGDALENA, DNI N° 24.553.728, CUIT N° 27-24553728-5. SE REALIZO EL INFORME CORRESPONDIENTE AL RESPECTO, EL CUAL FUE ENTREGADO EL DIA 08 DE SETIEMBRE DE 2010 EN LA FISCALIA INTERVININIENTE. SE AMPLIARA, SEGUN SURJAN NOVEDADES.</t>
  </si>
  <si>
    <t>3839/10</t>
  </si>
  <si>
    <t>APERTURA DE ENCOMIENDA SOL POLICIA DE SEGURIDAD AEROPORTURIA</t>
  </si>
  <si>
    <t>489/10</t>
  </si>
  <si>
    <t>SE PROCEDE A LA APERTURA DE DOS ENCOMIENDAS DEL CORREO OFICIAL, SEGUN CONSTA EN ACTA DE APERTURA DE CARGAS Nº 403/10, PREV.SUM. Nº 075/10, EN VIRTUD DE LO ORDENADO MEDIANTE OFICIO JUDICIAL Nº 2296/10, DEL MAGISTRADO ACTUANTE Y EN PRESENCIA DE UN TESTIGO HABIL. LA 1ª EP656096187AR, RTTE: SRA. HAYDE MERCEDES SOSA, URQUIZA Nº 345, PERICO-JUJUY-CP.4610 Y DEST: SRA. VALERIA EDITH SOSA, VITO DUMAS, CASA 53-USHUAIA-TIERRA DEL FUEGO-CP.9410, CONTIENE UN PAQUETE DE FRANGOLLO DE 1 KG., CINCO POMADAS MEDICINALES, CINCO TROZOS DE CAÑA DE AZUCAR, UNA BOLSA CONTENIENDO GRANOS DE TRIGO CON UN PESO DE 426 GRS., UNA BOLSA CONTENIENDO HOJAS DE CEDRON CON UN PESO DE 97 GRS., UNA BOLSA CONTENIENDO PIMENTON CON UN PESO DE 502 GRS., Y UNA BOLSA CONTENIENDO HARINA CON UN PESO DE 950 GRS, A LOS CUALES SE REALIZARON PRUEBAS DE CAMPO CON REACTIVO MARCA NIC, PARA COCAINA DANDO RESULTADO NEGATIVO, LA MISMA SERA ENTREGADA AL CORREO OFICIAL PARA SU REDESPACHO POR NO SER DE INTERES PARA EL PROCEDIMIENTO Y LA 2ª EU820308945AR, RTTE: SRA. RAMONA CAUCUTA, LAVALLE 292-EL CARMEN-JUJUY-CP. 4603 Y DEST: SRA. MARIELA ZAPANA, RETIRA DEL CORREO COMODORO RIVADAVIA -CHUBUT, CONTIENE: 4 PAQUETES DE HOJAS DE COCA CON UN PESO TOTAL DE 949 GRS. LA MISMA SERA PUESTA A DISPOSICION DE LA ADUANA DE SALTA POR SUPUESTA INFRACCION AL CODIGO ADUANERO LEY 22.415 Y LAS ACTUACIONES REMITIDAS A SEDE JUDICIAL. SEGÚN PU ORIGINARIO Nº 3833/10 SE PROCEDE A LA RETENCION DE DOS SACAS COLECTORAS DEL CORREO OFICIAL, SEGUN CONSTA EN ACTA DE RETENCION DE CARGA Nº 0323/10, QUE ORIGINA LA PREVENCION SUMARIA Nº 075/10, LA PRIMER SACA IDENTIFICADA CON MARBETE SLA0212756D555600CRD, Y PRECINTO Nº C623629, CON UN PESO DECLARADO DE 1,600 KGS, CON DESTINO A LA CIUDAD DE COMODORO RIVADAVIA, LA CUAL CONTENDRIA UNA PIEZA POSTAL, LA SEGUNDA SACA IDENTIFICADA CON MARBETE SLA0210587D555800VAE, Y PRECINTO Nº C623619, CON UN PESO DECLARADO DE 17,00 KGS, CON DESTINO A LA CIUDAD DE USUHAIA, CONTENDRIA CUATRO PIEZAS POSTALES, LAS SACAS SE ENCUENTRAN AMPARADAS EN GUIA Nº 9411563-0, DESPACHADA ATRAVES DE LA EMPRESA DE CARGA AEREA JET PAQ, LA RETENCION SE REALIZA ANTE LA PRESUNCION QUE PUDIERAN CONTENER ALGUN ELEMENTO EN INFRACCION A LA LEY 23.737 Y/O 22.415, QUEDANDO LAS MISMAS CERRADAS Y PRECINTADAS EN GUARDA EN ESTA UOSP. SE COMUNICO LA RETENCCION, TELEFONICAMENTE AL JUZGADO INTERVINIENTE, Y LA APERTURA SE REALIZARA EN PRESENCIA DEL PERSONAL DEL CORREO OFICIAL. SEGÚN AMPL. PU Nº 3839/10 SE PROCEDE A LA APERTURA DE DOS SACAS COLECTORAS DEL CORREO OFICIAL, SEGUN CONSTA EN ACTA DEJANDO CONSTANCIA Nº 324/10, ACTA DE RETENCION DE CARGA Nº 0323/10, PREV.SUM. Nº 075/10 LA 1ª SACA, CON MARBETE SLA0212756D555600CRD, Y PRECINTO Nº C623629, CONTIENE CUATRO PIEZAS POSTALES IDENTIFICADAS COMO: 1ª EP656096187AR, RTTE: HAYDE MERCEDES SOSA, DOMICILIO URQUIZA Nº 345-PERICO-JUJUY-CP.4610 Y DEST: VALERIA EDITH SOSA, DOMICILIO VITO DUMAS CASA 53-USHUAIA-TIERRA DEL FUEGO-CP.9410, LA CUAL QUEDA RETENIDA. LA 2ª EP656098191AR 3ª EP656098205AR Y 4ª EP711648736AR, ESTAS TRES ULTIMAS PIEZAS POSTALES SON ENTREGADAS PARA SU REDESPACHO POR NO SER DE INTERES PARA EL PROCEDIMIENTO. LA 2ª SACA CON MARBETE SLA0210587D555800VAE, PRECINTO C623619, CONTIENE UNA PIEZA POSTAL IDENTIFICADA COMO EU820308945AR, RTTE: RAMONA CAUCUTA, DOMICILIO LAVALLE 292-EL CARMEN-JUJUY-CP. 4603 Y DEST: MARIELA ZAPANA, RETIRA DEL CORREO COMODORO RIVADAVIA -CHUBUT, LA CUAL QUEDA RETENIDA. LA RETENCION SE REALIZA ANTE LA PRESUNCION QUE PUDIERAN CONTENER ALGUN ELEMENTO EN INFRACCION A LA LEY 23.737 Y/O 22.415, QUEDANDO LAS MISMAS CERRADA Y EN GUARDA EN ESTA UOSP. SE COMUNICO TELEFONICAMENTE AL JUZGADO INTERVINIENTE, Y LA APERTURA SE REALIZARA CON LA AUTORIZACION DEL MAGISTRADO ACTUANTE</t>
  </si>
  <si>
    <t>SIENDO LAS ONCE HORAS, CINCUENTA MINUTOS DEL DÍA 06-09-2010, EL DETENIDO QUIEN SE ENCUENTRA INTERNADO EN EL HOSPITAL ZONAL DE EZEIZA MADRE TERESA DE CALCUTA EFECTUÓ LA PRIMER DEPOSICIÓN DE UNA CANTIDAD DE 22 CAPSULAS, LAS CUALES ARROJAN UN PESO DE 316 GRAMOS.</t>
  </si>
  <si>
    <t>LERZO,PABLO EDUARDO S/DENUNCIA DAÑOS</t>
  </si>
  <si>
    <t>AL COSTADO DE LA PLATAFORMA MILITAR/AUXILIAR</t>
  </si>
  <si>
    <t>EN EL DÍA DE LA FECHA SE PRESENTA EL SEÑOR PABLO LERZO INDICANDO QUE LA PUERTA DEL MODULO DE MANTENIMIENTO PERTENECIENTE A LA EMPRESA LAN ARGENTINA, UBICADO EN EL SECTOR DE PLATAFORMA AUXILIAR SE ENCONTRABA CON SIGNOS DE HABER SIDO VIOLENTADA, NO REGISTRANDO NINGÚN FALTANTE DEL INTERIOR DE DICHO MODULO. RADICANDO DENUNCIA NRO 09/10 . SE TOMARON MUESTRAS FOTOGRÁFICAS DIGITALES DEL LUGAR, SE CONFECCIONARON CROQUIS ILUSTRATIVOS DEL SECTOR Y SE INFORMO AL JUZGADO DE REFERENCIA DE LOS HECHOS, NO DISPONIENDO NINGUNA OTRA MEDIDA, SOLICITANDO QUE CON POSTERIORIDAD SE ELEVEN LAS ACTUACIONES DE RIGOR REALIZADAS</t>
  </si>
  <si>
    <t>SIENDO LAS TRECE HORAS DEL DÍA 06-09-2010, EL DETENIDO QUIEN SE ENCUENTRA INTERNADO EL HOSPITAL ZONAL DE EZEIZA MADRE TERESA DE CALCUTA EFECTUÓ LA SEGUNDA DEPOSICIÓN DE UNA CANTIDAD DE NUEVE (9) CAPSULAS, LAS CUALES ARROJAN UN PESO DE 134 GRAMOS.</t>
  </si>
  <si>
    <t>INFORMO POR MEDIO DEL PRESENTE LAS DEPOSICIONES EFECTUADAS POR EL DETENIDO EN AUTOS: DEPOSICION NRO 1, DE 38 CAPSULAS, CON UN PESO TOTAL DE 542 GRAMOS DEPOSICION NRO. 2, DE 22 CAPSULAS, CON UN PESO TOTAL DE 316 GRAMOS, DEPOSICION NRO. 3 DE 9 CAPSULAS, CON UN PESO TOTAL DE 134 GRAMOS Y LA DEPOSICION NRO. 4, DE 3 CAPSULAS, CON UN PESO TOTAL DE 40 GRAMOS. EL PRESENTE SE CONFECCIONA A LOS FINES DE REGULARIZAR LOS PARTES URGENTES NROS. 5453, 5470, 5473, Y 5474</t>
  </si>
  <si>
    <t>DRA.VILMA CELIA VALLE RUIDIAZ</t>
  </si>
  <si>
    <t>ACTA INTERDICCION- CORREO-</t>
  </si>
  <si>
    <t>INFORMO QUE EN EL CONTROL DE EQUIPAJES DESPACHADOS POR BODEGA DEL VUELO NRO 2739 DE LA EMPRESA AUSTRAL LÍNEAS AÉREAS SE DETECTAN CINCO BULTOS DESPACHADOS POR LA EMPRESA JET PAQ Nº DE GUIA 9455577-5, CONTENIENDO EN SU INTERIOR MERCADERÍA EN PRESUNTA INFRACCIÓN A LA LEY 22.415 ACOMPAÑADO DE UNA FACTURA B DE LA CASA IGUAZÚ HOGAR S.A LA QUE PRESUNTAMENTE PRESENTA IRREGULARIDADES EN SU CONFECCIÓN. ACTO SEGUIDO SE ESTABLECE COMUNICACIÓN TELEFÓNICA CON LA SECRETARIA DEL JUZGADO FEDERAL DE PRIMERA INSTANCIA QUIEN ENTERADA DE LOS HECHOS ORDENA SE REALICE ACTA DE INTERDICCIÓN Y SE ENTREGUE LA MERCADERÍA JUNTO CON LA DOCUMENTACIÓN, GUÍA AÉREA Y FACTURA DE COMPRA, AL PERSONAL DE AFIP-DGA PARA QUE LOS MISMOS PROSIGAN CON LA INVESTIGACIÓN, SEGUIDAMENTE SE PROCEDE A AL ENTREGA DE DICHA MERCADERÍA Y LA DOCUMENTACIÓN AL PERSONAL DE AFIP-DGA SR. HUGO O ROJAS LEG Nº 17542-1 QUIEN REALIZA ACTA DE INTERDICCIÓN Nº 013//2010. EL REMITENTE QUE SE CONSIGNABA EN LA DOCUMENTACIÓN ES BENITEZ GLADYZ ESTELA DNI 26562156, MIENTRAS QUE EL DESTINATARIO ES CLAUDIO DANIEL CÓRDOBA SIN OTRO DATO PARA APORTAR</t>
  </si>
  <si>
    <t>SIENDO LAS DIECISIETE HORAS, TREINTA MINUTOS DEL DÍA 08-09-2010, EL DETENIDO QUIEN SE ENCUENTRA INTERNADO EL HOSPITAL ZONAL DE EZEIZA MADRE TERESA DE CALCUTA EFECTUÓ LA QUINTA DEPOSICIÓN DE UNA CANTIDAD DE CATORCE (14) CAPSULAS, LAS CUALES ARROJAN UN PESO DE 150 GRAMOS.</t>
  </si>
  <si>
    <t>DRA. COMELLI GEORGINA</t>
  </si>
  <si>
    <t>MOSTRADORES DE CHECK IN ANDES LINEAS AEREAS</t>
  </si>
  <si>
    <t>EN MOMENTOS EN QUE PERSONAL POLICIAL SE ENCONTRABA DE RECORRIDA POR EL SECTOR MENCIONADO, OBSERVO UN MASCULINO SE DESENVOLVÍA DE MODO AGRESIVO, Y GRITANDO AL PERSONAL DE LA COMPAÑÍA ANDES LINEAS AEREAS, INSULTÁNDOLO Y ESCUPIÉNDOLO, DEBIDO A QUE HABIA PERDIDO SU VUELO MOTIVO POR EL CUAL EL OFICIAL INTERVINIENTE SOLICITA A AMBAS PERSONAS SE DIRIJAN A LA GUARDIA DE PREVENCIÓN, ACEPTANDO LOS MISMOS DE CONFORMIDAD. EN MOMENTOS DE ESTAR DIRIGIÉNDOSE A LA GUARDIA DE PREVENCIÓN, Y MIENTRAS EL MASCULINO, SEGUÍA NERVIOSO E INSULTANDO AL PERSONAL DE LA COMPAÑÍA, HACIENDO CASO OMISO AL PERSONAL POLICIAL QUIEN LE SOLICITABA QUE SE CALME, DE MODO REPENTINO, EL CAUSANTE LE COLOCA UN GOLPE EN EL ESTOMAGO AL PERSONAL DE ANDES, Y TRAS FORCEJEAR FUERTEMENTE CON EL PERSONAL POLICIAL, LOGRAN REDUCIR AL CAUSANTE Y SE PROCEDE A TRASLADARLO A ESTA GUARDIA DE PREVENCIÓN PARA COMENZAR CON LAS ACTUACIONES QUE PUDIERAN CORRESPONDER. SEGUIDAMENTE EN MOMENTOS DE ESTAR REALIZANDO EL CHEQUEO PERSONAL DEL PREVENIDO, EL MISMO EXTRAE DE SUS BOLSILLOS UN PAQUETE DE CIGARRILLOS, CONTENIENDO EN SU INTERIOR UNA SUSTANCIA DE ORIGEN VEGETAL, DE CONSISTENCIA COMPACTA, MOTIVO POR EL CUAL SE CONSULTA AL CAUSANTE SOBRE LA SUSTANCIA, ACUSANDO EL MISMO QUE SE TRATABA DE MARIHUANA. MOTIVO POR EL CUAL SE PROCEDE A REALIZAR EL REACTIVO DE CAMPO, OBTENIENDO RESULTADO POSITIVO PARA LA SUSTANCIA MARIHUANA. SIENDO LAS 12:30 HORAS SE ENTABLA COMUNICACIÓN CON LA JUDICATURA ACTUANTE QUIEN ANOTICIADA DE LAS DILIGENCIAS PRACTICADAS HASTA EL MOMENTO DISPONE: DILIGENCIAS DE RIGOR, Y ADJUNTAR COPIA FIEL DE LAS ACTUACIONES LABRADAS A REQUERIMIENTO DEL JUZGADO CORRECCIONAL Nº5. SEGUN PU Nº 5483, SE INFORMA QUE EN HORAS 2355 DEL DIA 08/09/2010 AL NO MEDIAR IMPEDIMENTO LEGAL ALGUNO, Y SEGUN LO DISPUESTO POR LA JUDICATURA INTERVINIENTE, SE PROCEDE A LA SOLTURA ABANDONANDO LA DEPENDENCIA POR SUS PROPIOS MEDIOS SIN NOVEDAD</t>
  </si>
  <si>
    <t>DR. BISTOLFI EDGARDO</t>
  </si>
  <si>
    <t>CHECK IN DE LA EMPRESA ANDES LINEAS AEREAS</t>
  </si>
  <si>
    <t>SIENDO LA HORA MENCIONADA SE RECIBE COMUNICACIÓN RADIAL POR PARTE DEL OFICIAL MORESI, AUXILIAR DEL SECTOR "B", EL CUAL INFORMA QUE EN MOMENTOS DE ENCONTRARSE EN SU PUESTO OBSERVA QUE EN LOS MOSTRADORES DEL CHECK IN DE LA EMPRESA ANDES, UN MASCULINO SE DESENVOLVÍA DE MODO AGRESIVO, Y GRITANDO AL PERSONAL DE LA COMPAÑÍA ANTES NOMBRADA, INSULTÁNDOLO Y ESCUPIÉNDOLO, DEBIDO A QUE HABIA PERDIDO SU VUELO. MOTIVO POR EL CUAL EL OF. MORESI SOLICITA A AMBAS PERSONAS SE DIRIJAN A LA GUARDIA DE PREVENCIÓN, ACEPTANDO LOS MISMOS DE CONFORMIDAD. EN MOMENTOS DE ESTAR DIRIGIÉNDOSE A LA GUARDIA DE PREVENCIÓN, Y MIENTRAS EL MASCULINO, SEGUÍA NERVIOSO E INSULTANDO AL PERSONAL DE LA COMPAÑÍA, HACIENDO CASO OMISO AL OF. MORESI, QUIEN LE SOLICITABA QUE SE CALME, DE MODO REPENTINO, EL CAUSANTE LE COLOCA UN GOLPE DE PATADA EN EL ESTOMAGO AL PERSONAL DE ANDES, Y TRAS FORCEJEAR FUERTEMENTE CON EL PERSONAL POLICIAL, LOGRAN REDUCIR AL CAUSANTE Y SE PROCEDE A TRASLADARLO A ESTA GUARDIA DE PREVENCIÓN PARA COMENZAR CON LAS ACTUACIONES. SE ENTABLA COMUNICACION TELEFONICA CON EL JUZGADO INTERVINIENTE QUIEN DISPUSO LA DETENCION DEL CAUSANTE EN CARACTER DE COMUNICADO, CONSTATACION DE DOMICILIO, IDGE, DECLARACION TESTIMONIAL AL PERSONAL DE LA COMPAÑIA AEREA. SE INFORMA EN PU Nº 5484 QUE SIENDO LAS 2355 HORAS SE CUMPLIMENTA LO ORDENADO POR EL JUZGADO INTERVINIENTE Y SE PROCEDE A LA SOLTURA DEL CAUSANTE POR NO REGISTRAR IMPEDIMENTO LEGAL ALGUNO.</t>
  </si>
  <si>
    <t>JOSE M TABOADA AREU</t>
  </si>
  <si>
    <t>DESDE AEROPUERTO DE LA CIUDAD DE SAN MARTIN DE LOS ANDES HASTA AEROPARQUE</t>
  </si>
  <si>
    <t>EN EL DIA DE LA FECHA SIENDO LAS 14:15 HORAS SE HIZO PRESENTE EN EL AEROPUERTO DE LA CIUDAD DE SAN MARTIN DE LOS ANDES, PARA ABORDAR UN VUELO CON DESTINO A AEROPARQUE, ARRIBANDO A ESTE EN EL SECTOR A2, DONDE EL EQUIPAJE DEMORO UNOS 30 MINUTOS APROXIMADAMENTE EN SALIR POR LA CINTA TRANSPORTADORA DE EQUIPAJE, AL VISUALIZAR UNA DE SUS VALIJAS OBSERVA QUE A LA MISMA LE FALTABA EL CANDADO QUE HABIA COLOCADO EN UNO DE SUS CIERRES, COMO MEDIDA DE SEGURIDAD Y QUE EL CIERRE DEL MISMO SE ENCONTRABA ABIERTO, INMEDIATAMENTE PROCEDIO A APERTURARLO PERCATANDOSE DEL FALTANTE.</t>
  </si>
  <si>
    <t>ARIAS DUVAL ALEJANDRO AGUSTÍN Y OTROS S/HOMICIDIO PRIVACIÓN ILEGITIMA DE LA LIBERTAD Y SUSTRACCIÓN DE MENORES INCIDENTE N°16419/31 CARATULADO P.S.A. SU CAPTURA</t>
  </si>
  <si>
    <t>INTERSECCIÓN DE CALLES ASCAZUBI Y EDUARDO GUTIERRES - CIUDAD DE SAN LUIS</t>
  </si>
  <si>
    <t>EL DÍA 07 DE SEPTIEMBRE PERSONAL DA LA UOA EN CUMPLIMIENTO DE LO SOLICITADO MEDIANTE OFICIO JUDICIAL EMANADO DEL JUZGADO FEDERAL INTERVINIENTE Y ORDEN DE SERVICIO 240/10 DE FECHA 06 DE SEPTIEMBRE DE 2010 - URSA II DEL CENTRO - PROCEDE A DETECTAR EN LA VÍA PÚBLICA DE LA CIUDAD DE SAN LUIS A LAS 22:15 HRS APROXIMADAMENTE A UN SUJETO DE SEXO MASCULINO QUE REUNÍA LOS ASPECTOS FISONÓMICOS Y DESCRIPTIVOS DE LA PERSONA REFERENCIADA EN EL OFICIO DE MARRAS, EL CUAL TRANSITABA EN LA INTERSECCIÓN DE LAS CALLES ASCAZUBI Y EDUARDO GUTIÉRREZ, POR LO EXPUESTO EL PERSONAL ACTUANTE PROCEDE A CONVOCAR LA PRESENCIA DE DOS TESTIGOS HÁBILES QUE CIRCULABAN POR LAS INMEDIACIONES DEL LUGAR, UNA VEZ EN PRESENCIA DE ESTOS SE PROCEDE A IDENTIFICAR AL SUJETO QUIEN PRESENTA UN DNI A NOMBRE DE EDUARDO BARRIA, NRO. 10355421, POSTERIORMENTE Y A LOS FINES DE PRESERVAR LA INTEGRIDAD FÍSICA DEL MISMO Y PODER CUMPLIMENTAR CON LO SOLICITADO POR EL MAGISTRADO INTERVINIENTE SE PROCEDE A TRASLADAR AL MASCULINO Y LOS TESTIGOS HACIA LA SEDE DE LA UOSP SAN LUIS CON EL FIN DE ESCLARECER LA SITUACIÓN, SIENDO APROXIMADAMENTE LAS 23:15 HRS. Y YA UBICADOS EN LA UNIDAD SE ESTABLECE COMUNICACIÓN TELEFÓNICA CON EL DR. JORGE MARIANO FRIAS, JUEZ SUB-RROGANTE DEL JUZGADO FEDERAL DE SAN LUIS, A QUIEN SE LO IMPONE DE LOS HECHOS Y POR CONSIGUIENTE DISPONE SE INFORME DE LA SITUACIÓN AL JUZGADO FEDERAL NRO. 1 DE LA PLATA Y A POSTERIORI SE LE COMUNIQUE A ÉSTE LO DISPUESTO. ACTO SEGUIDO A LAS 23:35 HRS. SE MANTUVO UNA COMUNICACIÓN TELEFÓNICA CON LA DRA. MAÑARES DEL JUZGADO FEDERAL NRO. 1 DE LA PLATA , A QUIEN SE LE INFORMÓ DE LO ACTUADO DISPONIENDO LA MISMA QUE SE EFECTÚEN LA CONSULTA PERTINENTES AL JUZGADO FEDERAL DE SAN LUIS, Y ELLA LUEGO A PRIMERAS HORAS DE LA MAÑANA DEL DÍA 08 DE SEPTIEMBRE SE COMUNICARÍA CON ÉSTE PARA COORDINAR EL TRASLADO HACIA LA CIUDAD DE BUENOS AIRES, LUEGO SIENDO LAS 23:40 HRS Y AL INFORMARLE AL DR. FRIAS DE LO TRANSMITIDO POR LA FUNCIONARIA DE MARRAS DISPONE QUE SE PROCEDA INMEDIATAMENTE A CONCRETAR LAS TAREAS POLICIALES PREVENTIVAS TENDIENTES A DETERMINAR FEHACIENTEMENTE SU IDENTIDAD, SE ELABORE SU PRECARIO MEDICO CON EL OBJETO DE PODER DETERMINAR SU SITUACIÓN PROCESAL, ACTO SEGUIDO SIENDO LAS 03:15 HRS. DEL DÍA 08 DE SEPTIEMBRE EL ENCARTADO EN PRESENCIA DE LOS TESTIGOS HÁBILES MANIFIESTA ESPONTÁNEAMENTE SER EL SR. ISAAC CRESPIN MIRANDA, DE 69 AÑOS DE EDAD, RETIRADO CON EL GRADO DE PREFECTO MAYOR DEL SERVICIO PENITENCIARIO DE LA PROVINCIA DE BUENOS AIRES, JEFE DEL SERVICIO DE INTELIGENCIA DE DICHO ORGANISMO Y DOMICILIADO EN MARCONI 2915 PARTIDO SE SAN ISIDRO PROVINCIA DE BUENOS AIRES, SIENDO LAS 04:10 HRS. SE RECIBE COMUNICACIÓN TELEFÓNICA DE LA OFICIAL MALVINA PEREYRA DE LA POLICÍA FEDERAL ARGENTINA QUIEN INFORMA QUE LOS DATOS DE ISAAC CRESPIN MIRANDA SON COINCIDENTES CON EL OFICIO JUDICIAL Y EL DNI OBRANTE EN SU PODER CORRESPONDERÍA AL CIUDADANO EDUARDO BARRIA, CLASE 1951, DOMICILIADO EN CALLE CALLAO NRO. 434 DE LA LOCALIDAD DE MERLO PROVINCIA DE BUENOS AIRES, DE OCUPACIÓN ZAPATERO. POR LO EXPUESTO SE TRATÓ DE MANTENER UNA COMUNICACIÓN TELEFÓNICA CON EL JUZGADO DE SAN LUIS, LO CUAL SE EFECTIVIZÓ A LAS 08:45 HRS. EL CUAL DISPUSO QUE EL CAUSANTE QUEDARA BAJO EXCLUSIVA DISPOSICIÓN DEL SR. JUEZ FEDERAL NRO. 1 DE LA PLATA, MANTENIÉNDOSE EL MISMO TRANSITORIAMENTE A LA ESPERA DE LA PRESENTACIÓN DE UNA COMISIÓN POLICIAL PARA REALIZAR SU TRASLADO A LA CIUDAD DE LA PLATA PROVINCIA DE BUENOS AIRES, A POSTERIORI SE RECEPCIONA OFICIO JUDICIAL NRO. 5028 DE FECHA 08 DE SEPTIEMBRE DE 2010 EMANADO DEL JUZGADO FEDERAL DE SAN LUIS EL CUAL DETERMINA QUE EL CAUSANTE SE ENCUENTRA EN CALIDAD DE DETENIDO COMUNICADO Y QUE EL MISMO DEBERÁ MANTENERSE TRANSITORIAMENTE EN LA JURISDICCIÓN AEROPORTUARIA HASTA EL RETIRO PARA SU CUSTODIA Y TRASLADO A LA PROVINCIA DE BUENOS AIRES EL CUAL CONCRETARÍA UNA COMISIÓN DE LA DIRECCIÓN DE TRASLADOS DEL SERVICIO PENITENCIARIO FEDERAL, LA CUAL LLEGARÍA EL DÍA 09 DE SEPTIEMBRE DE 2010 A LAS 10:00 HRS APROXIMADAMENTE Y POR VÍA TERRESTRE. ASIMISMO EL DIA 09-09-2010 LA UOSP SAN LUIS EMITIO PARTE URGENTE LUI_2010_5490, INFORMANDO QUE SIENDO LAS 05:45 DE ESE MISMO DIA SE PRESENTAN EN LA UNIDAD OPERACIONAL UNA COMISION DEL SERVICIO PENITENCIARIO FEDERAL DE LA DIRECCION DE TRASLADO CUMPLIMENTANDO LO DISPUESTO MEDIANTE NOTA DE FECHA 08-SET-2010 EMITIDA POR EL JUZGADO FEDERAL DE LA PLATA, SECRETARIA PENAL Nº 1 A CARGO DE LA DRA ANA COTTER, QUIEN DISPONE EL TRASLADO DEL DETENIDO ISSAC CRESPIN MIRANDA DESDE LA UNIDAD OPERATIVA SAN LUIS DE LA POLICIA DE SEGURIDAD AEROPORTUARIA A SEDE TRIBUNALICIA SITO EN LA CALLE 8 ENTRE 50 Y 51 DE LA CIUDAD DE LA PLATA. EL TRASLADO Y CUSTODIA A CARGO DE DICHO TRASLADO EL AY PPAL FERNANDEZ CLAUDIO CRED, Nº 26940, CUSTODIA AY 4ª ALBERTO MARTIN BENITEZ CRED. Nº 35607, CHOFERES AY1ª ALEJANDRO CARLOS CANO CRED. Nº 27456 Y AY 1ª ROBERTO ALFERDO BERON, EN EL MOVIL DEL SERVICIO PENITENCIARIO MODELO MERCEDES BENZ ISJ 202 INTERNO Nº 384, SE REALIZAN LOS TRAMITES CORRESPONDIENTES DE RIGOR Y SE LABRAN LAS ACTAS CORRESPONDIENTES ENTREGANDO AL DETENIDO A DICHA CUSTODIA PARA SU TRASLADO A SEDE JUDICIAL Y SIENDO LAS 08:20 HORAS SE RETIRAN SIN NOVEDAD. SIENDO LAS 08:30 HORAS SE REALIZA COMUNICACION TELEFONICA CON EL JUZGADO FEDERAL DE SAN LUIS A CARGO DEL JUEZ SUBROGANTE JORGE MARIANO FRIAS Y CON LA SECRETARIA DE LA FISCALIA FEDERAL SAN LUIS A CARGO DE LA DRA CAROLINA PEREYRA, A FIN DE INFORMAR LA ENTREGA DEL DETENIDO AL SERVICIO PENITENCIARIO FEDERAL.</t>
  </si>
  <si>
    <t>SIENDO LA FECHA Y HORA ANTES MENCIONADA, EN MOMENTOS EN QUE LOS OFICIALES OLIVA Y VILAS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</si>
  <si>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5478/10</t>
  </si>
  <si>
    <t>CHECK IN ANDES LINEAS AEREAS</t>
  </si>
  <si>
    <t>SIENDO LAS 23:55 HORAS, UNA VEZ OBTENIDOS LOS RESULTADOS DE REINCIDENCIA SE PROCEDE SEGUN LO DISPUESTO POR LA JUDICATURA ACTUANTE Y LUEGO DE REALIZARLE AL DETENIDO PRECARIO MEDICO DE SALIDA,SIN NOVEDAD, A LA SOLTURA DEL MISMO.</t>
  </si>
  <si>
    <t>Contra los Poderes Publicos y el Orden Constitucional</t>
  </si>
  <si>
    <t>5479/10</t>
  </si>
  <si>
    <t>CHECK INN ANDES LINEAS AEREAS</t>
  </si>
  <si>
    <t>SIENDO LAS 23:55 HORAS, UNA VEZ OBTENIDOS LOS RESULTADOS DE REINCIDENCIA, SE PROCEDE SEGUN LO ORDENADO POR LA JUDICATURA ACTUANTE Y LUEGO DE REALIZARLE, AL DETENIDO, PRECARIO MEDICO DE SALIDA, , SIN NOVEDAD, A LA SOLTURA DEL MISMO.</t>
  </si>
  <si>
    <t>OCHOA CRISTIAN S/ EXTRAVIO PERMISO PERSONAL AEROPORTUARIO</t>
  </si>
  <si>
    <t>SIENDO LAS 12:45 HORAS DEL DIA DE LA FECHA COMPARARECE EL CIUDADANO OCHOA CRISTIAN GABRIEL ACREDITANDO INDENTIDAD CON DNI Nº 29757869 A LOS EFECTOS DE MANIFESTAR EL EXTRAVIO DEL PERMISO PERSONAL DE SEGURIDAD AEROPORTUARIO Nº 255547 CON VENCIMIENTO EL 28/07/2009 A NOMBRE DEL SUSCRIPTO/A, QUIEN NO PUDO PRECISAR MAYORES DATOS DEL LUGAR O DE LAS CIRCUNSTANCIAS EN EL CUAL SE PRODUJO EL EXTRAVIO DEL CITADO PERMISO, INFORMANDO ADEMAS QUE AL MOMENTO DE SOLICITAR LA RENOVACION DEL MISMO AUN CONTABA CON ESTE.</t>
  </si>
  <si>
    <t>ARIAS VIDAL, ALEJANDRO AGUSTIN Y OTROS S/ HOMICIDIO, TORMENTOS,PRIVACION ILEGAL DE LA LIBERTAD Y SUSTRACCION DE MENORES. INCIDENTE Nº 16419/31 CARATULADO P.S.A. SU CAPTURA</t>
  </si>
  <si>
    <t>INTERSECCION DE LAS CALLES ASCAZUBI Y EDUARDO GUTIERREZ CIUDAD DE SAN LUIS</t>
  </si>
  <si>
    <t>SIENDO LA HORA 05:45 SE PRESENTAN EN ESTA UNIDAD OPERACIONAL COMISION DEL SERVICIO PENITENCIARIO FEDERAL DE LA DIRECCION DE TRASLADO CUMPLIMENTANDO LO DISPUESTO MEDIANTE NOTA DE FECHA 08-SET-2010 JUZGADO FEDERAL DE LA PLATA .SECRETARIA PENAL Nº 1 A CARGO DE LA DRA ANA COTTER , QUIEN DISPONE EL TRASLADO DEL DETENIDO ISSAC CRESPIN MIRANDA DESDE LA UNIDAD OPERATIVA SAN LUIS DE LA POLICIA DE SEGURIDAD AEROPORTUARIA A SEDE TRIBUNALICIA SITO EN LA CALLE 8 ENTRE 50 Y 51 DE LA CIUDAD DE LA PLATA. A CARGO DE DICHO TRASLADO EL AY PPAL FERNANDEZ CLAUDIO CRED, Nº 26940, CUSTODIA AY 4ª ALBERTO MARTIN BENITEZ CRED. Nº 35607, CHOFERES AY1ª ALEJANDRO CARLOS CANO CRED. Nº 27456 Y AY 1ª ROBERTO ALFERDO BERON, EN EL MOVIL DEL SERVICIO PENITENCIARIO MODELO MERCEDES BENZ ISJ 202 INTERNO Nº 384, SE REALIZAN LOS TRAMITES CORRESPONDIENTES DE RIGOR Y SE LABRAN LAS ACTAS CORRESPONDIENTES ENTREGANDO AL DETENIDO A DICHA CUSTODIA PARA SU TRASLADO A SEDE JUDICIAL Y SIENDO LAS 08:20 HORAS SE RETIRAN SIN NOVEDAD. SIENDO LAS 08:30 HORAS SE REALIZA COMUNICACION TELEFONICA CON EL JUZGADO FEDERAL DE SAN LUIS A CARGO DEL JUEZ SUBROGANTE JORGE MARIANO FRIAS Y CON LA SECRETARIA DE LA FISCALIA FEDERAL SAN LUIS A CARGO DE LA DRA CAROLINA PEREYRA, A FIN DE INFORMAR LA ENTREGA DEL DETENIDO AL SERVICIO PENITENCIARIO FEDERAL.</t>
  </si>
  <si>
    <t>BARREIRO ERNESTO GUILLERMO Y OTROS P.SS.AA. PRIVACION ILEGITIMA DE LA LIBERTAD AGRAVADA, IMPOSICION DE TORMENTOS AGRAVADOS, Y HOMICIDIO AGRAVADO.</t>
  </si>
  <si>
    <t>CALLE AVDA HIPOLITO YRIGOYEN Nº 464 CAPITAL, PROVINCIA DE CORDOBA. CALLE MONTEVIDEO Nº 2939, PROVINCIA DE LA RIOJA. CALLE AVDA. DE MAYO Nº 923, BARRIO VILLA LIBERTADOR, CIUDAD DE CORDOBA, PROVINCIA DE CORDOBA. CALLE ISSASA Nº 1965, BARRIO COLON, CAPITAL, PROVINCIA DE CORDOBA. CALLE CASEROS Nº 380 PISO 1º, DEPTO 1 A, CAPITAL, PROVINCIA DE CORDOBA. CALLE MISIONES Nº 71, CIRCUITO 72 A ALMIRANTE BROWN, PROVINCIA DE BUENOS AIRES. CALLE LOS FLAMENCOS Nº 668, CAPITAL, PROVINCIA DE CORDOBA. CALLE AVDA. COLON Nº 5601, CAPITAL, PROVINCIA DE CORDOBA. CALLE GRAHAMBALL O GRAHAMBLL Nº 2662, CAPITAL, PROVINCIA DE CORDOBA.</t>
  </si>
  <si>
    <t>EN EL DIA DE LA FECHA SE RECEPCIONO OFICIO JUDICIAL DE FECHA 9 DE SEPTIEMBRE DEL CORRIENTE AÑO REALIZADO POR EL JUZGADO FEDERAL Nº 3 DE CORDOBA A CARGO DEL DR. ALEJANDRO SANCHEZ FREYTES SUBRONGANTE, SECRETARIA DE DERECHOS HUMANOS A CARGO DE LA DRA. MIRTA RUBIN, DIRECCIONADO AL DIRECTOR NACIONAL DE LA POLICIA DE SEGURIDAD AEROPORTUARIA DR JULIO POSTIGLIONE, DONDE LE SOLICITA QUE COMISIONE PERSONAL DE SU REPARTICION A FIN DE QUE -EN UN MARCO DE ABSOLUTA DISCRECION Y RESERVA- SE PROCEDA A REALIZAR LAS TAREAS INVESTIGATIVAS PERTINENTES CON LA FINALIDAD DE DETERMINAR EL LUGAR DE RESIDENCIA DE LAS SIGUIENTES PERSONAS QUE A CONTINUACION SE DETALLAN: SR. JORGE OMAR HEREDIA DNI 8.453.686 CON POSIBLE DIRECCION EN CALLE AVDA. HIPOLITO YRIGOYEN Nº 464, CAPITAL, PROVINCIA DE CORDOBA Y EN CALLE MONTEVIDEO Nº 2939, DE LA PROVINCIA DE LA RIOJA. SR. FRANCISCO JOSE DOMINGO MELFI DNI 8.277.438 CON POSIBLE DIRECCION EN CALLE AVDA. DE MAYO Nº 923, BARRIO VILLA LIBERTADOR, CAPITAL, PROVINCIA DE CORDOBA. SR. RAUL EDUARDO YANICELLI DNI 11.195.854 CON POSIBLE DIRECCION EN CALLE ISSASA Nº 1965 BARRIO COLON, CAPITAL, PROVINCIA DE CORDOBA Y EN CALLE CASEROS Nº 380 - PISO 1, DEPTO 1º A, CAPITAL, PROVINCIA DE CORDOBA. SR. EDUARDO BONIFACIO RIOS DNI 8.000.858 CON POSIBLE DIRECCION EN CALLE MISIONES Nº 71 - CIRCUITO 72 A ALMIRANTE BROWN, PROVINCIA DE BUENOS AIRES. SR. RICARDO LUIS HIERLING DNI 7.989.798 CON POSIBLE DIRECCION EN CALLE LOS FLAMENCOS Nº 688, CAPITAL, PROVINCIA DE CORDOBA, EN CALLE AVDA. COLON Nº 5601, CAPITAL, PROVINCIA DE CORDOBA, Y EN CALLE GRAHAMBALL O GRAHAMBLL Nº 2662, CAPITAL, PROVINCIA DE CORDOBA. AMPLIANDO PARRAFO PRECEDENTE DE LAS TAREAS ENCOMENDADAS SE DEBERAN CONFECCIONAR EL INFORME CORRESPONDIENTE EL CUAL DEBERA SER ELEVADO AL JUZGADO ACTUANTE A LA MAYOR BREVEDAD POSIBLE.</t>
  </si>
  <si>
    <t>JUZGADO EN LO CRIMINAL Y CORRECCIONAL N° 11, SECRETARIA N° 21, CIUDAD DE BUENOS AIRES, 4° PISO, AV. COMODORO PY 2002.</t>
  </si>
  <si>
    <t>AMPLIANDO PARTE RESERVADO N° 5160 DE FECHA 25/08/10, EN RELACION AL EXPTE. N° 549/10, CARATULADO TORRES JOSE JAVIER S/INFRACCION A LA LEY 23737, EN TRAMITE DEL JUZGADO FEDERAL DE SALTA N° 1 A CARGO DEL DR. JULIO LEONARDO BAVIO, SECRETARIA PENAL N° 2 A CARGO DEL DR. SANTIAGO FRENCH. INFORMO QUE EL DIA DE LA FECHA SE RECEPCIONARON OFICIOS JUDICIALES, LIBRADOS POR EL JUZGADO FEDERAL DE SALTA N° 1. OFICO N° 2670/10 DE FECHA 09/09/10, DIRIGIDO AL SEÑOR DIRECTOR NACIONAL DE LA POLICIA DE SEGURIDAD AEROPORTUARIA DR. JULIO POSTIGLIONI, POR EL CUAL DISPONE LIBRAR EL PRESENTE A FIN DE QUE SE DESIGNE PERSONAL DE LA UNIDAD OPERACIONAL DE CONTROL DEL NARCOTRAFICO Y DELITOS COMPLEJOS DEL NORTE, PARA QUE A LA MAYOR BREVEDAD, TRASLADEN VIA AEREA HACIA LA CIUDAD DE BUENOS AIRES LA CAUSA DE REFERENCIA, A LA SECRETARIA N° 21 DEL JUZGADO NACIONAL EN LO CRIMINAL Y CORRECCIONAL FEDERAL N° 11 DE LA CIUDAD DE BUENOS AIRES, UBICADO EN EL 4° PISO DE LA AV. COMODORO PY 2002 Y OFICO N° 2672/10 DE FECHA 09/09/10, EL CUAL ESTA DIRIGIDO AL JEFE DE LA UOCN Y DC DEL NORTE, INSP. NESTOR RICARDO HERRERA, POR EL CUAL DISPONE LIBRAR EL PRESENTE A FIN DE REMITIR EN 210 FOJAS UTILES, EL EXPEDIENTE DE REFERENCIA A LOS EFECTOS QUE SEA ENTREGADO EN LA SECRETARIA N° 21 DEL JUZGADO EN LO CRIMINAL Y CORRECCIONAL FEDERAL N° 11 DE CAPITAL FEDERAL A CARGO DEL DR. CLAUDIO DONADIO, ASIMISMO ADJUNTAN EL INCIDENTE DE EXCARCELACION N° 549/10 S/EXCARCELACION SOL/TORRES JOSE JAVIER EN 09 FOJAS UTILES. SE AMPLIARA.</t>
  </si>
  <si>
    <t>JURISDICCION UOSP POSADAS</t>
  </si>
  <si>
    <t>EN EL DIA DE LA FECHA EN CUMPLIMIENTO A LA ORDEN DE SERVICIO Nº 31/10 DE ESTA UOSP SE BRINDO SEGURIDAD AL ARRIBO T-02 TRASLADANDO COMITIVA PRESIDENCIAL A LA CIUADA DE POSADAS LA QUE FUE TRASLADADA EN PARTE VIA TERRESTRE A LA CIUDAD DE OBERA MISIONES ABANDONANDO LA JURISDICCION AEROPORTUARIA A LAS 14:00HS SIN NOVEDAD, Y CUATRO FUNCIONARIOS LO HICIERON VIA AEREA EN EL HELICOPTERO DE LA PROVINCIA DE MISIONES MATRICULA LQ-CFO A LAS 14:05 CON DESTINO A LA CIUDAD DE OBERA. EL T-02 DESPEGA SIN PAX CON DESTINO A LA CIUDAD AUTONOMA DE BUENOS AIRES A LAS 14:40HS SIN NOVEDAD.</t>
  </si>
  <si>
    <t>DONATTI, MAURICIO</t>
  </si>
  <si>
    <t>SRIO. AV. LEY 23.737 Y FALSIFICACION MONEDA - IMP: EL TURCO -</t>
  </si>
  <si>
    <t>326/10</t>
  </si>
  <si>
    <t>CIUDADES DE ROSARIO Y FUNES.</t>
  </si>
  <si>
    <t>EN EL DÍA DE LA FECHA SE RECIBE OFICIO JUDICIAL NRO. 1476/10P DE LA FISCALIA FEDERAL NRO. 3 DE ROSARIO, A CARGO DE LA INSTRUCCIÓN, DONDE ORDENA REALIZAR TAREAS DE INVESTIGACIÓN SOBRE LOS DOMICILIOS DE CALLE SAN MARTÍN 5125 Y CALLE SALAMANCA 1063 DE ROSARIO. COMO ASI TAMBIÉN SOBRE UNA PANADERÍA DE NOMBRE PAN CALIENTE UBICADA EN LA LOCALIDAD DE FUNES Y UN BAR UBICADO DENTRO DE LOS TRIBUNALES PROVINCIALES DE LA CIUDAD DE ROSARIO. Y SI RESIDEN O CONCURRIRÍAN LOS LLAMADOS CRISTIAN D´MICO ALIAS EL TURCO, MIRIAM , SU MUJER, GRACIELA LILIANA CABANA, HERMANA DE MIRIAM, UN TAL PAZZETO, DUEÑO DE LA PANADERÍA, Y OTRO DE APELLIDO CIPULLO, QUIEN ES ESPOSO DE GRISELDA CABANA. DETERMINAR SI EN LOS MISMOS SE OBSERVAN CONDUCTAS REÑIDAS POR LA LEY 23.737 Y/O FALSIFICACIÓN DE MONEDA NACIONAL Y/O MONEDA EXTRANJERA. SE DARÁN INICIO A DICHAS TAREAS MEDIANTE LA ORDEN DE SERVICIO NRO. 221/2010 URSA IV DEL LITORAL.-</t>
  </si>
  <si>
    <t>PONCE</t>
  </si>
  <si>
    <t>ULICES</t>
  </si>
  <si>
    <t>AVERIGUACION INFRACCION LEY 26.364</t>
  </si>
  <si>
    <t>2142/10</t>
  </si>
  <si>
    <t>CIUDAD DE RIO GRANDE, PROVINCIA DE TIERRA DEL FUEGO, ANTARTIDA E ISLAS DEL ATLANTICO SUR</t>
  </si>
  <si>
    <t>EN EL DIA HOY SE RECEPCIONO OFICIO JUDICIAL Nº: 2965/2010 , DE FECHA 09 DE SEPTIEMBRE DE 2010, EMITIDO POR EL JUZGADO FEDERAL DE RIO GRANDE, EN EL QUE SE DISPONE LA INTERVENCION TELEFONICA DE LOS ABONADOS: 02964-15613589, 02964-15514880, 02964-15600973, 02964-15529983, 02964-15555544, 02964-15515682, 02964-15505037, CON SUS RESPECTIVAS SABANAS DE LLAMADAS ENTRANTES Y SALIENTES (IMPRESAS Y EN SOPORTE MAGNETICO FORMATO TXT) Y LA TRANSCRIPCION DE LOS MENSAJES DE TEXTOS QUE ESTOS RECIBAN O REALIZAN DESDE LOS TELEFONOS CELULARES REFERIDOS , POR EL TERMINO DE 30 DIAS. POR INTERMEDIO DE LA DIRECCION DE OBSERVACIONES JUDICIALES DE ESA CIUDAD, A QUIEN LE FUERA ORDENADO ARBITRE LOS MEDIOS NECESARIOS PARA QUE HAGA ENTREGA, EN FORMA DIARIA DE LOS ELEMENTOS MENCIONADOS. Y QUE A SU VEZ SE DESIGNE PERSONAL DE ESTA UOCN Y DC-V-, PARA PROCEDER A REALIZAR LAS ESCUCHAS DE DICHOS SOPORTES Y SE PROCEDA A LA TRANCRIPCION DE LAS PARTES QUE SEAN UTILES PARA ESTA INVESTIGACION. ASIMISMO SE RECEPCIONO OFICIO JUDICIAL Nº: 2966/2010, DE IGUAL FECHA, DONDE EL JUZGADO INTERVINIENTE SOLICITA QUE POR INTERMEDIO DE ESTA FUERZA POLICIAL SE REALICEN TAREAS INVESTIGATIVAS SOBRE EL CIUDADANO MARCELO FLORENCIO GOMEZ, DNI Nº: 18.046.634, DOMICILIADO EN LA CALLE ANGELA LOIG Nº: 156 DE ESA LOCALIDAD, TENDIENTES A VERIFICAR SI EL NOMBRADO SE ENCUENTRA INMERSO EN CONDUCTAS DESCRIPTAS POR LA LEY 26.364. DE IGUAL MODO SE SOLICITA SE PROFUNDICEN LAS TAREAS DE INTELIGENCIA SOBRE EL DOMICILIO DE CALLE CABO BENITEZ Nº: 831, DE ESA CIUDAD, A FIN DE DETERMINAR O DESCARTAR LA POSIBLE COMISION DEL DELITO PREVISTO Y PENADO POR LA LEY 26.364.</t>
  </si>
  <si>
    <t>SIENDO LAS 12:30 HORAS SE IMPLEMENTA OPERATIVO DE SEGURIDAD O.S N. 323 CON MOTIVO DE LA PARTIDA DE LA SRA PRESIDENTA DE LA NACION , LA CUAL ARRIBO A ESTE AEROPUERTO METROPLITANO EN HELICOPTERO MATRICULA H-01 A LAS 14:58 HORAS PARA LUEGO ABORDAR EN LA AERONAVE MATRICULA LV-BRJ RETIRANDOSE DE ESTA JURISDICCION AEROPORTUARIA A LAS 15:13 HORAS .FINALIZANDO EL OPERATIVO A LAS 15:20 HORAS SIN NOVEDAD.</t>
  </si>
  <si>
    <t>OBERA MISIONES</t>
  </si>
  <si>
    <t>JUZGADO NACIONAL EN LO CRIMINAL Y CORRECCIONAL FEDERAL Nº 8</t>
  </si>
  <si>
    <t>PATIO DE VALIJAS PREEMBARQUE B</t>
  </si>
  <si>
    <t>SIENDO LA FECHA Y HORA MENCIONADA EL OF. PAIS EDGARDO QUE SE ENCONTRABA REALIZANDO EL ESCANEO DE EQUIPAJE DE BODEGA DEL VUELO DE LA EMPRESA AEROCOMERCIAL PLUNA Nº PU 220, DETECTA EN UN EQUIPAJE UNA ESTATUILLA DE 40 CM APROXIMADAMENTE CON FORMA DE DIABLO DE CONSISTENCIA COMPACTA DE MATERIAL YESO Y EN CUMPLIMIENTO A LA ORDEN DE SERVICIO Nº 0318/10 AMPLIATORIA DE SIMILAR Nº 317/10, DA AVISO AL ENCARGADO DE TURNO EL OF. RIJTER RODOLFO DE LO SUCEDIDO, QUIEN SOLICITA LA PRESENCIA DE PERSONAL DE GEDEX EN MENCIONADO SECTOR. ACTO SEGUIDO EL OF. RIJTER JUNTO AL OF. WEIBERGER ALEJANDRO PERSONAL DE GEDEX SE APERSONAN AL LUGAR MENCIONADO OPERANDO EL PERSONAL ESPECIALIZADO, ARROJANDO DICHO CONTROL RESULTADO POSITIVO CON EL EQUIPO IONTRACK SOBRE LA SUSTANCIA PENTRITA. POR LO QUE EL OF. BARRERA OSCAR JEFE DE TURNO REALIZA COMUNICACIÓN CON LA DOCTORA COMELI DEL JUZGADO NACIONAL EN LO CRIMINAL Y CORRECCIONAL FEDERAL Nº 08 A QUIEN SE LE INFORMO DE DICHO PROCEDIMIENTO Y SE LE SOLICITA AUTORIZACIÓN PARA REALIZAR NUEVAS PRUEBAS DE CONTROL DE EXPLOSIVOS Y A SU VES AL INTERIOR DE DICHA ESTATUILLA YA QUE EN EL MISMO SE OBSERVABA QUE LA COLORACIÓN VARIABA EN SU ESTRUCTURA DADO QUE POR SU DENSIDAD PODIA SER COMPATIBLE CON SUSTANCIAS ESTUPEFACIENTES. SEGUIDAMENTE SE PROCEDE A EXTRAER UNA PORCION DE LA MISMA SIENDO ESTA UNA SUSTANCIA PULVERULENTA DE COLOR BLANCA A LA CUAL SE LE REALIZAN PRUEBAS DE CAMPO ORIENTATIVO PARA LAS SUSTANCIAS COCAINA, EFEDRINA Y HEROÍNA ARROJANDO RESULTADO NEGATIVO DICHA ACCION SE REALIZO DEBIDO A QUE EL PERSONAL IDONEO EN CUESTION NO PERCIBIO PELIGROSIDAD A SIMPLE VISTA YA QUE EL ELEMENTO A ANALIZAR NO PRESENTABA NINGUN TIPO DE MECANISMO INICIADOR EXPLOSIVO , POR LO QUE SE CONVOCA PERSONAL DE LA DIVISIÓN CANES EXPLOSIVOS Y SE REALIZA LA PRUEBA SOBRE LA ESTATUILLA CON DICHO PERSONAL, ACTO SEGUIDO PARA UN MAYOR CONTROL SE SOLICITA AL PERSONAL DE TURNO DEL GEDEX EZEIZA QUIENES SE APERSONAN A ESTA UNIDAD CON EQUIPO SABRE 4000 PARA REALIZAR UN CHEQUEO MAS EXHAUSTIVO SOBRE LA SUSTANCIA MENCIONADA, ARROJANDO NUEVAMENTE RESULTADO NEGATIVO, POR LO QUE SE ENTABLA COMUNICACIÓN CON LA DRA. CAMELI A FINES DE INFORMAR DICHOS RESULTADOS LA CUAL ORDENA NO INSTRUIR SUMARIO Y LABRAR UN ACTA DEJANDO CONSTANCIA DE TODO EL PROCEDIMIENTO REALIZADO.</t>
  </si>
  <si>
    <t>PU 220</t>
  </si>
  <si>
    <t>CURITIBA</t>
  </si>
  <si>
    <t>GENTILI</t>
  </si>
  <si>
    <t>S/SUSTRACION DE MENORES DE 10 AÑOS-QUERELLANTES ASOCIACION CIVIL ABUELAS DE PLAZA DE MAYO</t>
  </si>
  <si>
    <t>LOCALIDAD DE BANFIELD Y MONTE GRANDE PROVINCIA DE BUENOS AIRES</t>
  </si>
  <si>
    <t>SE RECIBE OFICIO JUDICIAL ORDENANDO SE REALICEN ,TAREAS INVESTIGATIVAS TENDIENTES A ESTABLECER EL ACTUAL DOMICILIO Y/O LUGAR DE RESIDENCIA DE LAS SIGUIENTES PERSONAS: DOMINGA VERA, JORGE MACIEL, PATRICIA MACIEL Y SANDRA MACIEL, DEBIENDO PRACTICARSE OBSERVACIONES A LOS DOMICILIOS CITO EN LA LOCALIDAD DE BANFIELD Y MONTE GRANDE.</t>
  </si>
  <si>
    <t>PERGOLA DE ARRIBOS DE PASAJEROS DE TERMINAL A</t>
  </si>
  <si>
    <t>SIENDO LA FECHA Y HORA ANTES MENCIONADA, EN MOMENTOS EN QUE LOS OFICIALES ZUMPANO Y CABRERA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</si>
  <si>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5495/10</t>
  </si>
  <si>
    <t>EN EL DIA DE LA FECHA EN CUMPLIMIENTO A LA ORDEN DE SERVICIO Nº 31/10 DE ESTA UOSP SE BRINDO SEGURIDAD A LA PARTIDA DEL T-03 TRASLADANDO COMITIVA PRESIDENCIAL, CON DESTINO A LA CIUDAD AUTONOMA DE BUENOS AIRES, FINALIZANDO EL SERVICIO SIN NOVEDAD.</t>
  </si>
  <si>
    <t>SIENDO LAS 18:30 HS, SE PROCEDE A DAR CUMPLIMIENTO A LA ORDEN DE SERVICIO Nº 323, MEDIANTE OPERATIVO DE SEGURIDAD, CON MOTIVO DEL ARRIBO DE LA SEÑORA PRESIDENTE CRISTINA FERNÁNDEZ DE KIRCHNER A ESTE AEROPUERTO METROPOLITANO, EN AERONAVE MATRICULA LV-BRJ A LAS 20:18 HORAS, RETIRÁNDOSE DE ESTA JURISDICCIÓN EN HELICÓPTERO MATRICULA H-01 A LAS 20:24 HS. DICHO OPERATIVO FINALIZO A LAS 20:30 HS. SIN NOVEDAD.</t>
  </si>
  <si>
    <t>WALTER E. ROMERO</t>
  </si>
  <si>
    <t>FONSECA HECTOR PABLO S/ INC. RESTITUCION MOTO HONDA 064 EMD.</t>
  </si>
  <si>
    <t>UNIDAD OPERACIONAL DE SEGURIDAD PREVENTIVA PASO DE LOS LIBRES.</t>
  </si>
  <si>
    <t>AEROPUERTO INTERNACIONAL PASO DE LOS LIBRES</t>
  </si>
  <si>
    <t>AMPLINADO MI P.U Nº 4139 DE FECHA 11-JUL-2010, INFORMO SE PROCEDIO A DAR CUMPLIMENTO A OFICIO JUDICIAL Nº 657 DE FECHA 31 DE AGOSTO DE 2010, DEL JUZGADO FEDERAL DE PASO DE LOS LIBRES, SECRETARIA PENAL Nº 1, EN AUTOS CARATULADOS FONSECA HECTOR PABLO S/ INC. RESTITUCION MOTO HONDA 064 EMD, PROCEDIENDO A HACER ENTREGA DE LA CITADA MOTO, EN CARACTER DE DEPOSITARIO JUDICIAL, A SR. FONSECA HECTOR PABLO, DNI Nº 26.037.199, SIN NOVEDAD.</t>
  </si>
  <si>
    <t>Dr. Jose Bernardo CAMPANA</t>
  </si>
  <si>
    <t>S/ DELITO CONTRA LAS PERSONAS - AMENAZAS</t>
  </si>
  <si>
    <t>ARRIBOS CABOTAJE, CARRUSEL DE EQUIPAJES</t>
  </si>
  <si>
    <t>SIENDO LAS 21:45 DEL DíA DE LA FECHA SE PRESENTA ESPONTáNEAMENTE EL SR. CARLOS MORAN, DE NACIONALIDAD ARGENTINO, DE 36 (TREINTA Y SEIS) AñOS DE EDAD, QUIEN ACREDITA SU IDENTIDAD CON CI PFA MERCOSUR Nº 23.505.892 PARA RADICAR UNA DENUNCIA POR AMENAZAS SUFRIDAS EN EL SECTOR ARRIBOS DE ESTE AEROPUERTO, POR PARTE DEL SR. FERNANDO HERNáN RIVA, DE NACIONALIDAD ARGENTINA, DE 33 (TREINTA Y TRES) AñOS DE EDAD QUIEN ACREDITA SU IDENTIDAD CON CI PFA MERCOSUR Nº 25.897.290, DANDO ENSEGUIDA INTERVENCIóN AL JUZGADO DE INSTRUCCIóN Nº 6 A CARGO DEL DR. MIGUEL ÁNGEL GAIMARO POZZI, SECRETARIA A CARGO DE DR. JOSé BERNARDO CAMAPNA, FISCALíA A CARGO DEL DR. EDUARDO FERNANDEZ, DISPONIENDO ESTE ULTIMO QUE SE LES TOME LAS DENUNCIAS A AMBAS PARTES Y SE CARATULE LA CAUSA COMO S/ DELITO DE AMENAZAS.</t>
  </si>
  <si>
    <t>DR. JUAN SEBASTIAN SCHABAS MADUEÑO</t>
  </si>
  <si>
    <t>BECKER ANSELMO TITO S/ROBO DE AUTOMOTOR</t>
  </si>
  <si>
    <t>BOXES DE ARRIBOS DE MIGRACIONES, TERMINAL A.</t>
  </si>
  <si>
    <t>LA DIRECCION NACIONAL DE MIGRACIONES REMITE A ESTA GUARDIA AL SEÑOR ANSELMO TITO BECKER, SOBRE QUIEN PESA UNA ORDEN DE CAPTURA VIGENTE, LA CUAL FIGURA EN EL SISTEMA INFORMATICO DE DICHO ORGANISMO. SE DA INTERVENCION AL JUZGADO FEDERAL DE PRIMERA INSTANCIA EN LO CRIMINAL Y CORRECCIONAL N° 02, A CARGO DEL DR. CARLOS ALBERTO FERREIRO PELLA, ANTE SECRETARIA N° 06 DEL DR. JOSE LUIS DABONDIO, MANTENIENDOSE COMUNICACION TELEFONICA CON ESTE ULTIMO, EL CUAL INDICA SE PROCEDA A LA DETENCION DEL CAUSANTE EN CALIDAD DE COMUNICADO, DEBIENDO COMUNICAR ESTO A PRIMERA HORA DEL DIA DIEZ DEL CORRIENTE MES Y AÑO, AL JUZGADO QUE EMITIO LA ORDEN RESTRICTIVA, A LOS EFECTOS DE QUE INDIQUE EL TEMPERAMENTO A SEGUIR. SIENDO LAS 0915 HORAS EL JUZGADO EMISOR DE LA MEDIDA DISPUSO LA INMEDIATA LIBERTAD DEL CAUSANTE.</t>
  </si>
  <si>
    <t>G3 7650</t>
  </si>
  <si>
    <t>EN CUMPLIMIENTO DE LA ORDEN DE SERVICIO Nº 0080/10 Y SIENDO LAS 01:05 HORA LOCAL ARRIBA VUELO DE LA EMPRESA LAN ARGENTINA Nº 4428 Y EN CUYAS BODEGAS 13, 31, 32, 41 Y 42 SE EMBARCAN UN TOTAL DE 240 CAJAS CON UN PESO TOTAL DE 5311 KILOGRAMOS PERTENECIENTES A LA EMPRESA MINERA TRITON ARGENTINA CON DESTINO FINAL EL AEROPUERTO INTENACIONAL JORGE NEWBERY DE LA CIUDAD DE CAPITAL FEDERAL. EL MISMO DESPEGA DE ESTE AEROPUERTO SIENDO LAS 02:17 HORAS LOCAL</t>
  </si>
  <si>
    <t>AEROPARQUE JORGE NEWBERY- CAPITAL FEDERAL</t>
  </si>
  <si>
    <t>FORNARI IGNACIO CARLOS</t>
  </si>
  <si>
    <t>AV DE LOS INMIGRANTES 1950- AEROPARQUE METROPOLITANO</t>
  </si>
  <si>
    <t>REF. ORDEN DE SERVICIO N° 894.SE INFORMA CON RELACION A LOS DETENIDOS EN EL MARCO DE LA CAUSA DE REFERENCIA, QUE LOS MISMOS FUERON TRASLADADOS DESDE LAS INSTALACIONES DE LA UOSP METROPOLITANA HASTA SEDE TRIBUNALICIA DONDE PERMANECERAN A DISPOSICION DE ESTE.</t>
  </si>
  <si>
    <t>5511/10</t>
  </si>
  <si>
    <t>LA DIRECCION NACIONAL DE MIGRACIONES REMITE A ESTA GUARDIA AL SEÑOR ANSELMO TITO BECKER, SOBRE QUIEN PESA UNA ORDEN DE CAPTURA VIGENTE, LA CUAL FIGURA EN EL SISTEMA INFORMATICO DE DICHO ORGANISMO. POR CUESTIONES HORARIAS SE DA INTERVENCION AL JUZGADO FEDERAL DE PRIMERA INSTANCIA EN LO CRIMINAL Y CORRECCIONAL N° 02, A CARGO DEL DR. CARLOS ALBERTO FERREIRO PELLA, ANTE SECRETARIA N° 06 DEL DR. JOSE LUIS DABONDIO, MANTENIENDOSE COMUNICACION TELEFONICA CON ESTE ULTIMO, EL CUAL INDICA SE PROCEDA A LA DETENCION DEL CAUSANTE EN CALIDAD DE COMUNICADO, DEBIENDO COMUNICAR ESTO A PRIMERA HORA DEL DIA DIEZ DEL CORRIENTE MES Y AÑO, AL JUZGADO QUE EMITIO LA ORDEN RESTRICTIVA, A LOS EFECTOS DE QUE INDIQUE EL TEMPERAMENTO A SEGUIR. QUE SIENDO LAS 9:15 HS SE MANTUVO COMUNICACION TELEFONICA CON EL JUZGADO INTERVINIENTE. SE DISPUSO QUE NO ES DE INTERES LA DETENCION DEL CAUSANTE Y SE PROCEDIO A SU LIBERACION.</t>
  </si>
  <si>
    <t>D´ABONDIO, JOSE LUIS</t>
  </si>
  <si>
    <t>CINTA DE ARRIBOS N° 1 DE LA TERMINAL A DE ESTE MEDIO</t>
  </si>
  <si>
    <t>QUE SIENDO EL DIA 7 DEL CORRIENTE MES Y AÑO. LUEGO DE FINALIZAR LOS TRAMITES CORRESPONDIENTES A SU INGRESO AL TERRITORIO NACIONAL, RETIRA DE LA CINTA DE EQUIPAJE N° 1 A EFECTOS DE HACERSE CON SUS EQUIPAJES DESPACHADOS A BODEGA, DONDE RETIRA UN CARRY ON COLOR AZUL MARBETE NUMERO 127 G3 737117, SIN NOVEDAD Y SE RETIRA DE ESTE MEDIO. QUE UNA VEZ ARRIBADA AL HOTEL DAZZLER TOWER SE PERCATA QUE EL EQUIPAJE CARECIA DEL CANDADO DE SEGURIDAD Y DEL FALTANTE DE ALGUNAS PERTENENCIAS.</t>
  </si>
  <si>
    <t>SE RECEPCIONO COPIA DE EXPOSICION POLICIAL PROCEDENTE DE LA UNIDAD OPERACIONAL EL CALAFATE RADICADA POR EL SR SERGIO RAUL RIESTRA, QUIEN DENUNCIARA QUE CON FECHA 24 DE MAYO DEL CORRIENTE DEJO OLVIDADO SU TELEFONO CELULAR MARCA NOKIA N 96 EN EL PREEMBARQUE DE LA TERMINAL 3 DE ESTE AEROPUERTO DURANTE LA INSPECCION Y REGISTRO POR RAYOS X, Y EN CIRCUNSTANCIAS DE ABORDAR UN VUELO BS AS - RIO GALLEGOS. QUE EL CITADO TOMO CONOCIMIENTO QUE SU TELEFONO HABIA SIDO HALLADO Y SE ENCONTRABA EN DEPOSITO EN ESTA UNIDAD OPERACIONAL Y QUE DEBIA CONCURRIR PERSONALMENTE A RETIRARLO MOMENTO EN QUE HABIA TOMADO CONTACTO CON EL OFICIAL MAYOR LEFEBVRE A CARGO DEL DEPOSITO DE HALLAZGOS, QUIEN LE HABRIA MANIFESTADO NO TENERLO EN SU PODER POR HABERSELO ENTREGADO A UN PERSONAL DE LA PSA POR NO HABER SIDO RECLAMADO. ANTE LA INSISTENCIA QUE ESTE NO ERA EL CASO YA QUE ESTE SI HABIA SIDO RECLAMADO EL OFICIAL LEFEBVRE HABRIA CONVENIDO UNA ENTREGA VIA CORREO. QUE EFECTIVAMENTE SE HABRIA PRODUCIDO DICHA ENTREGA PERO AL MOMENTO DE LA RECEPCION EL PROPIETARIO HABRIA NOTADO QUE AL ENCENDERLO IMPOSIBILITABA EL INICIO DE SESION CON EVIDENCIA DE HABER SIDO MANIPULADO ELECTRONICAMENTE, QUE HABIA PERDIDO SUS FOTOS FAMILIARES, SU AGENDA Y VIDEOS FAMILIARES. EN MERITO AL CONTENIDO DE LA EXPOSICION, LA POSIBLE COMISION DEL DELITO DE PECULADO, Y LA IRREGULARIDAD EN LOS PROCEDIMIENTOS DE RESGUARDO Y ENTREGA SE PUSO EN CONSULTA EL HECHO AL JUZGADO, QUIEN DISPUSO: SE CARATULE A ´PRIMA FACIE PSA S/DENUNCIA, SE LABRE ACTA DEJANDO CONSTANCIA DE LA COMUNICACIÓN MANTENIDA, SE ADJUNTE ACTA DE EXPOSICION POLICIAL Y SIN MAS DILIGENCIAS SE ELEVE AL ASENTO DE LA SECRETARIA. ACTUACIONES TERMINO LEY. CORRE COPIA CERTIFICADA PARA PROSECUCION DE TRAMITE ADMINISTRATIVO.</t>
  </si>
  <si>
    <t>DR. JUAN M TABOADA AREU</t>
  </si>
  <si>
    <t>QUE EN EL DIA DE LA FECHA SIENDO LAS 01:00 HORAS, EN MOMENTO DE DESCENDER DE UN VEHICULO TAXIMETRO EN LA AV. S. ORTIZ, NO RECODARDO LA ALTURA, EN EL BARRIO DE PALERMO, SE ACERCARON DOS MENORES DE APROXIMADAMENTE DOCE AÑOS, QUIENES LE ARREBATARON UNA CARTERA NEGRA. SE HACE PRESENTE EN ESTA GUARDIA PARA RADICAR LA CORRESPONDIENTE DENUNCIA, YA QUE A LAS 10:00 ABORDARIA UN VUELO CON DESTINO FINAL LA CIUDAD DE RIO DE JANEIRO.-</t>
  </si>
  <si>
    <t>Gorini</t>
  </si>
  <si>
    <t>Jorge Luciano</t>
  </si>
  <si>
    <t>FORINO, DAIANA</t>
  </si>
  <si>
    <t>DEFRAUDACION EXPTE. N° 584-24597-03</t>
  </si>
  <si>
    <t>PUERTA EMBARQUE N° 2</t>
  </si>
  <si>
    <t>INFORMO QUE EN EL CONTROL DE DOCUMENTACIÓN DEL VUELO NRO. 2725 DE LA EMPRESA AUSTRAL LÍNEAS AÉREAS SE DETECTA A TRAVÉS DEL SISTEMA DE INTERPOL AL CIUDADANO IDENTIFICADO COMO JUAN NINOTTI , QUIEN ACREDITA IDENTIDAD CON D.N.I. Nº 92.590.846 DE NACIONALIDAD ITALIANA, QUIEN POSEE PEDIDO DE CAPTURA - VIGENTE, SOLICITADO POR EL JUZGADO NACIONAL EN LO CRIMINAL DE INSTRUCCIÓN Nº 36, SECRETARIA Nº 123, CAUSA CARATULADA "DEFRAUDACION", Nº DE CAUSA 0080456, EXPTE. Nº 584-24597-03, DE FECHA 25/10/2003, ACTO SEGUIDO SIENDO LAS 12:20 HS. SE ESTABLECE COMUNICACIÓN TELEFÓNICA CON EL ABONADO Nº 011-43721370, PERTENECIENTE AL JUZGADO SOLICITANTE DE LA MEDIDA, SIENDO ATENDIDO EN LA PERSONA DE LA DRA. VICTORIA FIGUEROA, AUXILIAR DE DICHO JUZGADO, QUIEN ENTERADO DE LOS HECHOS, MANIFIESTA QUE INFORMARA LOS HECHOS A LA SECRETARIA DEL MENCIONADO JUZGADO QUE AGUARDE COMUNICACIÓN TELEFÓNICA. SIENDO LAS 14:00 HS SE RECIBE COMUNICACIÓN TELEFÓNICA DE LA DRA. DAIANA FORINO, A/C DE LA SECRETARIA Nº 123, DEL JUZGADO NACIONAL EN LO CRIMINAL DE INSTRUCCIÓN Nº 36, QUIEN ORDENA SE INFORME AL CAUSANTE, DE QUE LA MEDIDA SIGUE VIGENTE Y QUE SE PROCEDA A NOTIFICAR AL SR. JUAN NINOTTI, A COMPARECER AL JUZGADO NACIONAL EN LO CRIMINAL DE INSTRUCCIÓN Nº 36 - SECRETARIA Nº 123, EN EL TÉRMINO DE TRES DÍAS HÁBILES, SE REALICEN TRES JUEGOS DE FICHAS DACTILOSCÓPICAS, SE REALICE CONSTATACIÓN DE DOMICILIO MEDIANTE COMUNICACIÓN TELEFÓNICA, SE INFORME AL MISMO QUE EN EL CASO DE NO NOMBRAR ABOGADO DEFENSOR PODRÁ SER ASISTIDO POR LA DEFENSORÍA OFICIAL Nº 4, SITO EN CERRITO Nº 536 - CAPITAL FEDERAL, SIENDO LOS TELÉFONOS DE LA MENCIONADAS DEFENSORÍA EL 43825486 / 43828644 Y QUE EL MISMO PROSIGA SU VIAJE. SEGUIDAMENTE SE REALIZAN CINCO JUEGOS DE FICHAS DACTILOSCÓPICAS Y SE REALIZA CONSTATACIÓN DE DOMICILIO MEDIANTE COMUNICACIÓN TELEFÓNICA AL ABONADO Nº 02246-521165 SIENDO ATENDIDO EN LA PERSONA DE HAYDEE ELIDA GRAGERO - ESPOSA DEL SEÑOR NINOTTI.</t>
  </si>
  <si>
    <t>3920/10</t>
  </si>
  <si>
    <t>488/10</t>
  </si>
  <si>
    <t>SE PROCEDE A LA APERTURA DE DOS ENCOMIENDAS DEL CORREO OFICIAL, SEGÚN CONSTA EN ACTA DE APERTURA DE CARGA Nº 407/10, PREV. SUM. Nº 078/10, EN VIRTUD DE LO ORDENADO MEDIANTE OFICIO JUDICIAL Nº 2295/10 DEL MAGISTRADO ACTUANTE Y EN PRESENCIA DE UN TESTIGO HABIL. LA 1ª EP656096261AR, RTTE. SRA. NILDA FLORES, Bº LA ESPERANZA, PERICO, JUJUY CP. 4608 Y DEST. SRA. CARINA GUTIERRES, RIO GALLEGOS Nº 180, EL CALAFATE PROV. DE SANTA CRUZ, C.P. 9405, CONTIENE: 12 PAQUETES DE HOJAS DECOCA UN PESO TOTAL DE 2.884 GRS. Y LA 2ª EP656096275AR, RTTE. SRA. NILDA FLORES, Bº LA ESPERANZA, PERICO, JUJUY, CP. 4608 Y DEST. SRA. LEONOR FLORES, SANTA CRUZ, EL CALAFATE, LAGO DEL DESIERTO Nº 1465, CALLE 18, C.P. 9405, CONTIENE: 12 PAQUETES DE HOJAS DE COCA CON UN PESO TOTAL DE 2.904 GRS. LAS ENCOMIENDAS SECUESTRADAS SERAN PUESTAS A DISPOSICION DE LA ADMINISTRACION DE LA ADUANA DE SALTA POR SUPUESTA INFRACCION AL CODIGO ADUANERO, LEY 22.415, Y LAS ACTUACIONES REMITIDAS A SEDE JUDICIAL SEGÚN P.U. Nº 3909/10 - ORIGINARIO SE PROCEDE A LA RETENCION DE UNA SACA COLECTORA DEL CORREO OFICIAL, SEGUN CONSTA EN ACTA DE RETENCION DE CARGAS Nº 0327/10, QUE ORIGINA LA PREVENCION SUMARIA Nº 078/10. LA SACA IDENTIFICADA CON MARBETE Nº SLA9127961E555700RGL, PRECINTO Nº C830787, CON UN PESO DE 8,600 KGS, CON DESTINO A LA CIUDAD DE RIO GALLEGOS, LA QUE SERIA DESPACHADA A TRAVEZ DE LA EMPRESA DE CARGA AEREA JET PAQ. LA RETENCION SE REALIZA ANTE LA PRESUNCION DE QUE PUDIERA CONTENER ALGUN ELEMENTO EN INFRACCION A LA LEY 22.415 Y/O 23.737, QUEDANDO LA MISMA CERRADA Y PRECINTADA EN GUARDA EN ESTA UOSP. SE COMUNICO TELEFONICAMENTE AL JUZGADO INTERVINIENTE Y LA APERTURA SE REALIZARA EN PRESENCIA DEL PERSONAL DEL CORREO OFICIAL. SEGÚN P.U. Nº 3920/10 - AMPLIACION SE PROCEDE A LA APERTURA DE UNA SACA COLECTORA DEL CORREO OFICIAL, SEGÚN CONSTA EN ACTA DE RETENCIÓN DE CARGAS Nº 0327/10, QUE ORIGINA LA PREVENCIÓN SUMARIA Nº 078/10 Y ACTA DEJANDO CONSTANCIA N 0328/10, LA SACA IDENTIFICADA CON MARBETE Nº SLA9127961E555700RGL, PRECINTO Nº C830787, CON UN PESO DE 8,600 KGS, CON DESTINO A LA CIUDAD DE RÍO GALLEGOS, CONTIENE 03 PIEZAS POSTALES IDENTIFICADAS COMO LA 1º EP656096258AR, ES ENTREGADA AL SR. ARIAS PARA SU REDESPACHO, LA 2º EP656096261AR, RTTE. SRA. NILDA FLORES CON DOMICILIO EN Bº LA ESPERANZA, PERICO JUJUY CP. 4608, DEST. SRA. KARINA GUTIERRES CON DOMICILIO EN CALLE RIO GALLEGOS Nº 180 EL CALAFATE PROV. DE SANTA CRUZ CP. 9405, QUEDA RETENIDA, LA 3º EP656096275AR, RTTE. SRA. NILDA FLORES CON DOMICILIO EN Bº LA ESPERANZA PERICO JUJUY, CP. 4608, DEST. SRA. LEONOR FLORES CON DOMICILIO EN LAGO DEL DESIERTO Nº 1465 CALLE 18 EL CALAFATE, PROV. DE SANTA CRUZ, CP 9405 QUEDA RETENIDA. LA RETENCIÓN SE REALIZA ANTE LA PRESUNCIÓN DE QUE PUDIERAN CONTENER ALGÚN ELEMENTO EN INFRACCIÓN A LA LEY 22.415 Y/O 23.737, QUEDANDO LAS MISMAS CERRADAS Y EN GUARDA EN ESTA UOSP. SE COMUNICO TELEFÓNICAMENTE AL JUZGADO INTERVINIENTE Y LA APERTURA SE REALIZARA CON LA AUTORIZACIÓN DEL MAGISTRADO ACTUANTE.</t>
  </si>
  <si>
    <t>DRA. GRACIELA SUSANA GUERSCOVICH.</t>
  </si>
  <si>
    <t>P.S.A. S/ SU DENUNCIA S/ TENTATIVA DE CONTRABANDO DE ESTUPEFACIENTES</t>
  </si>
  <si>
    <t>EN EL DIA DE LA FECHA SIENDO LAS 11:30 HORAS SE PROCEDE A DAR CUMPLIENTO A LA ORDEN DE SERVICIO Nº 524/10 DE LA URSA I DEL ESTE, REFERENTE A APLICAR MEDIDAS DE SEGURIDAD PARA EL TRASLADO DE LOS CAUSANTES QUE SE ENCONTRABAN ALOJADOS EN ESTA UOSP. SIENDO LAS 11:35 HORAS SE PROCEDE A HACER ENTREGA DE LA CUSTODIA DE LOS SRES. LUCAS LEANDRO PARIMBELLI, DNI Nº 27.746.686 Y CHRISTIAN PODESTA, DNI Nº 92.596.158, AL OFICIAL AYUDANTE CAMPO HECTOR, QUIEN LOS RECIBE DE CONFORMIDAD PARA RELIZAR EL TRASLADO DE LOS MISMOS JUNTO A PERSONAL DEL G.E.P. HACIA LA SEDE DEL JUZGADO INTERVINIENTE. RETIRANDOSE DE JURISDICCION SIN NOVEDAD.- PERSONAL DE DELITOS COMPLEJOS: OF. AYTE. ROSARNO GABRIEL, Y OF. AYTE. CAMPO HECTOR. PERSONAL DE G.E.P.: INSPECTOR SEBASTIAN VIEJO, OF. MAYOR STRUMIA MIGUEL, OF. JEFE AQUINO SERGIO</t>
  </si>
  <si>
    <t>DR. HERNAN PANDIELA</t>
  </si>
  <si>
    <t>QUE AL MOMENTO DE EFECTUARSE EL CONTROL CON MAQUINA DE RAYOS X, EL PERSONAL POLICIAL ACTUANTE SE PERCATA DE LA EXISTENCIA DE SUSTANCIA DE BAJA DENSIDAD EN EL INTERIOR DE DOS EQUIPAJES, UNA A NOMBRE DE UN MASCULINO Y OTRO A NOMBRE DE UN FEMENINO QUIENES SE ENCONTRABAN VIAJANDO JUNTOS. QUE AL EFECTUAR LA REQUISA DE LOS EQUIPAJES PREVIA AUTORIZACION JUDICIAL Y EN PRESENCIA DE LOS TESTIGOS Y LOS PROPIETARIOS DEL EQUIPAJE, SE VISUALIZARON 6 PAQUETES EN EL EQUIPAJE DEL MASCULINO Y 8 PAQUETES EN EL DEL FEMENINO, A LOS CUALES SE LES PRACTICO A LA SUSTANCIA QUE CONTENIAN DICHOS PAQUETES UN REACTIVO DE CAMPO COCATEST LO QUE ARROJO COMO RESULTADO POSITIVO PARA LA SUSTANCIA CLORHIDRATO DE COCAINA. LUEGO EL JUZGADO INTERVINIENTE DISPONE SU DETENCIÓN Y SU TRASLADO A LA UNIDAD 28 EL DIA DE LA FECHA Y LO ACTUADO A PRIMERA HORA DEL DIA ONCE DEL CORRIENTE MES Y AÑO.- SEGUN PU Nº 5536 CON FECHA 11/09/2010 SE INFORMA QUE SIENDO APROXIMADAMENTE LAS 22.30 HORAS DEL DIA 10/09/2010 SE EFECTUO EL TRASLADO DE LOS DETENIDOS HACIA LA U28 DEL SPF SIN NOVEDAD.</t>
  </si>
  <si>
    <t>VEREDA ARRIBOS A2</t>
  </si>
  <si>
    <t>HABIENDO ARRIBADO PROCEDENTE DE SAN CARLOS DE BARILOCHE LUEGO DE RETIRAR SU EQUIPAJE SE DIRIGIERON HACIA LA VEREDA SOBRE LA AV. OBLIGADO JUNTO AL SECTOR A2, LUGAR DONDE QUEDA LA ESPOSA Y LA HIJA JUNTO AL EQUIPAJE, MIENTRAS EL DENUNCIANTE SE DIRIGIÓ HACIA LA CASA DE CAMBIO. AL REGRESAR SE ENCUENTRA CON SU ESPOSA GRITANDO E INDICANDO QUE PERSONAS QUE NO PUDO OBSERVAR LE HABÍAN SUSTRAÍDO UNA CARTERA QUE HABÍA COLOCADO EN LA PARTE POSTERIOR DEL CARRO PORTA EQUIPAJE.-</t>
  </si>
  <si>
    <t>QUE SIENDO APROXIMADAMENTE LAS 22:30 HS DEL DÍA DIEZ DEL CORRIENTE MES Y AÑO SE PROCEDIÓ AL TRASLADO DE LOS DETENIDOS EN AUTOS HACIA LA UNIDAD N° 28 DEL SERVICIO PENITENCIARIO FEDERAL DANDO ESTRICTO CUMPLIMIENTO A LO ORDENADO POR S.SA.-</t>
  </si>
  <si>
    <t>DR. TABOADA AREU</t>
  </si>
  <si>
    <t>DESDE C.A.B.A. HASTA EL AEROPARQUE</t>
  </si>
  <si>
    <t>SIENDO LA HORA Y FECHA ANTES CONSIGNADA SE HACE PRESENTE EL DENUNCIANTE EN ESTA GUARDIA DE PREVENCION, MANIFESTANDO QUE EL DIA 6 DEL CORRIENTE MES Y AÑO, ESTANDO ALOJADO JUNTO A SU FAMILIA EN EL HOTEL MICROHOTEL, SINEDO LAS 10:00 HS, SOLICITO EN LA RECEPCION UN TAXI, ARRIBADO EL MISMO SE DIRIGIO JUNTO A SU FAMILIA A HACER UN RECORRIDO POR DISTINTOS LUGARES DE LA CIUDAD, LUEGO DE DICHO RECORRIDO SIENDO LAS 12:55 HS, ARRIBO JUNTO A SU FAMILIA EN EL VEHICULO TAXIMETRO A ESTE AEROPUERTO METROPOLITANO A LOS FINES DE ABORDAR EL VUELO DE LA EMPRESA AUSTRAL CON DESTINO A LA CIUDAD DE BARILOCHE, EN ESE MOMENTO BAJA E INGRESA AL HALL DEL AEROPUERTO A CAMBIAR DINERO PARA PAGARLE EL VIAJE AL CHOFER DEL TAXI, PASADO UNOS MINUTOS REGRESA REALIZA EL PAGO, RETIRA EL EQUIPAJE QUE HABIA COLOCADO EN EL BAUL DEL VEHICULO, EL TAXI SE RETIRA DEL LUGAR Y CUANDO EL DENUNCIANTE INGRESA AL AEROPUERTO SE PERCATA DE QUE EN EL INTERIOR DEL TAXI SE HABIA OLVIDADO SU MOCHILA, INMEDIATAMENTE LLAMA A LA EMPRESA DE RADIO TAXI, EN DONDE LE COMENTA LO SUCEDIDO Y LE MANIFIESTAN QUE SE IBAN A COMUNICAR CON EL CHOFER Y QUE VUELVA A LLAMAR EN UNOS MINUTOS, LUEGO DE UNOS MINUTOS VUELVE A LLAMAR Y LE INFORMAN QUE EL CHOFER MANIFESTABA QUE EN EL INTERIOR DLE VEHICULO NO SE HABIA DEJADO NINGUNA MOCHILA. LUEGO SE DIRIGIO A REALIZAR EL CHECK IN DEBIDO A QUE DEBIA ABORDAR JUNTO A SU FAMILIA EL VUELO A BARILOCHE, YA ESTANDO EN DESTINO VUELVE A LLAMAR A LA COMPANIA DE RADIO TAXI, EN DONDE LE VUELVEN A MANIFESTAR QUE EL CHOFER NO HABIA ENCONTRADO NINGUNA MOCHILA.</t>
  </si>
  <si>
    <t>LOS OFICIALES FERNANDEZ Y CABRERA ENCONTRANDOSE EN EL PUESTO DE GUARDIA DENOMINADO TAQUILLA EFECTUANDO UN CONTROL DE RUTINA, DETIENEN UN VEHICULO EN EL CUAL HABIA SEIS OCUPANTES EN SU INTERIOR, SE CONSTATA QUE LOS OCUPANTES ERAN PASAJEROS RECIEN ARRIBADOS, POR TAL MOTIVO SE LE SOLICITA AL CHOFER DEL VEHICULO LA HABILITACION DE REMIS, QUIEN RESPONDE QUE NO POSEE DICHA DOCUMENTACION. POR LO QUE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</si>
  <si>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EN UN DEPARTAMENTO ARRENDADO POR EL DENUNCIANTE, SITO EN LA CALLE ESMERALDA N° 847, PISO 18- CABA</t>
  </si>
  <si>
    <t>QUE UNA VEZ QUE SE ALOJO JUNTAMENTE CON SU ESPOSA EN EL DTO. ARRENDADO DURANTE SU ESTADIA EN EL PAIS, REVISA LOS EQUIPAJES DE MANO, ENTRE LOS CUALES SE ENCONTRABA UNA CARTERA DE COLOR NEGRO, SIENDO ESTA DE SU ESPOSA, DE LA CUAL AL REVISARLA SE PERCATO DEL FALTANTE DE DINERO EN EFECTIVO.</t>
  </si>
  <si>
    <t>SECTOR PUBLICO Y RESTRIGIDO</t>
  </si>
  <si>
    <t>INFORMO QUE A HORAS 16:30 SE IMPLEMENTA ORDEN DE SERVICIO N° 128/10, PARA GARANTIZAR LA PARTIDA DEL SEÑOR VICEPRESIDENTE JULIO COBOS Y SU COMITIVA, A HORAS 16:44 ARRIBA PROCEDENTE DE LA CIUDAD DE CATAMARCA LA AERONAVE MATRICULA LV-WEE PERTENECIENTE A LA DIRECCION PROVINCIAL DE AERONAUTICA DE DICHA PROVINCIA, EN EL MISMO ARRIBAN LA SEÑORA CERUTTI CRISTINA ESPOSA DEL SEÑOR VICEPRESIDENTE Y LOS SEÑORES MERCADO MARTIN E IRIBARREN GASTON SECRETARIOS,A HORAS 18:35 PARTE DE ESTE AEROPUERTO CON DESTINO FINAL A LA CIUDAD DE MENDOZA EL SEÑOR VICEPRESIDENTE JULIO COBOS Y SU RESPECTIVA COMITIVA, FINALIZANDO DICHO DISPOSITIVO DE SEGURIDAD SIN NOVEDAD</t>
  </si>
  <si>
    <t>LUIS D´ABONDIO</t>
  </si>
  <si>
    <t>BODEGA AERONAVE - PLATAFORMA - PATIO DE VALIJAS</t>
  </si>
  <si>
    <t>EN EL DIA SEIS DEL CORRIENTE MES Y AÑO LA PASAJERA DE MENCION ARRIBA AL PAIS, PERCATANDOSE QUE UNA DE SUS VALIJAS ESTABA VIOLENTADA AL RECIBIR SUS EQUIPAJES EN LA CINTA DE ARRIBOS N° 07 DE LA TERMINAL A, LUEGO DE REALIZAR LOS TRAMITES MIGRATORIOS SE RETIRA DE ESTE AEROPUERTO Y SE PRESENTA EN EL DIA DE LA FECHA A REALIZAR LA CORRESPONDIENTE DENUNCIA.</t>
  </si>
  <si>
    <t>BODEGA AERONAVE-PLATAFORMA OPERATIVA-CINTA DE EQUIPAJE</t>
  </si>
  <si>
    <t>UNA VEZ ARRIBADO A ESTE AEROPUERTO INTERNACIONAL, Y FINALIZADO LOS TRAMITES MIGRATORIOS DE RIGOR CORRESPONDIENTES A LA ENTRADA AL TERRITORIO NACIONAL, SE DIRIGE A LA CINTA TRANSPORTADORA DE EQUIPAJES N° 3, SITA EN EL SECTOR DE ARRIBOS DE LA TERMINAL A. RETIRA SU EQUIPAJE DESPACHADO A BODEGA, SIENDO ESTE UNA VALIJA TIPO CARRY-ON, COLOR NARANJA DE MARCA AMERICAN TOURISTER, DESPACHADO BAJO MARBETE N° LA278029, EL CUAL SE ENCONTRABA A NOMBRE DEL FAMILIAR PUIG DIEGO, DONDE SE PERCATA QUE PRESENTABA EL CIERRE ROTO Y EL FALTANTE DE PERTENENCIAS</t>
  </si>
  <si>
    <t>LA481</t>
  </si>
  <si>
    <t>.......</t>
  </si>
  <si>
    <t>CERCA CABECERA 01</t>
  </si>
  <si>
    <t>SIENDO ,APROXIMADAMENTE, LAS 00:30 HORAS EL JEFE DE TURNO ,ENCONTRANDOSE EN RECORRIDO DE RUTINA,OBSERVA EL FATANTE DE TODO EL PAÑO DE TEJIDO QUE RECUBRE UNA DE LAS HOJAS DEL PORTON CERCANO A CABECERA 01. SE DECIDE INCREMENTAR LA FRECUENCIA DE RECORRIDOS EN DICHA ZONA HASTA TANTO SE EFECTUEN LAS REPARACIONES DEL CASO Y RECIEN A LAS 08:00 HORAS SE LOGRA COMUNICACION CON EL SECRETARIO DEL JUZGADO FEDERAL QUIEN DISPONE SE INICIEN LAS ACTUACIONES CORRESPONDIENTES Y SE ELEVEN PARA LA PROSECUCION DEL TRAMITE.</t>
  </si>
  <si>
    <t>CABECERA SUR</t>
  </si>
  <si>
    <t>PISTA DE ATERRIZAJE Y DESPEGUE</t>
  </si>
  <si>
    <t>A HRS. 10:20 APROXIMADAMENTE DESPEGA DE ESTE AEROPUERTO EL VUELO NO REGULAR,MATRICULA LV-BMP, TIPO DE AERONAVE C210, PILOTEADO POR EL SR. FALCI MAURICIO, DNI N° 26.446.980, CON D0S PASAJEROS IDENTIFICADOS COMO EL SR. JORGE GLASBERG, DNI N° 11.909.645 Y JAVIER GLASBERG, DNI N° 34.159.037. EL VUELO SE DIRIGIA CON DESTINO A LA LOCALIDAD LAS CEJAS DE LA PROVINCIA DE TUCUMAN PARA REALIZAR UNA INSTRUCCION DE VUELO. AL MOMENTO DEL DESPEGUE EL PILOTO RETORNA HACIA LA PISTA PARA HACER UNA MANIOBRA DENOMINADA TOQUE Y MOTOR, AL TOMAR CONTACTO NUEVAMENTE CON LA PISTA SUFRE EL DESPERFECTO EN LA RUEDA DEL TREN DE ATERRIZAJE DEL LADO IZQUIERDO TRASERO DE DICHA AERONAVE, POR TAL MOTIVO ATERRIZA NUEVAMENTE QUEDANDO BARADO EN LA CABECERA SUR DE LA PISTA DE ESTE AEROPUERTO. OCACIONANDO ESTO EL CIERRE MOMENTANEO DE LAS ACTIVIDADES AEREAS Y LA CONCECUENTE DEMORA DE PARTIDA DEL VUELO DE LA EMPRESA AEROLINEAS ARGENTINAS N° 1473 CON DESTINO AEROPARQUE, CON DESPEGUE A HRS. 10:50. SE AMPLIARA.</t>
  </si>
  <si>
    <t>5546/10</t>
  </si>
  <si>
    <t>A HRS. 12:30 APROXIMADAMENTE SE PROCEDE A DESPLAZAR LA AERONAVE LV- BMP HASTA LA CALLE DE RODAJE N° 1 PARA DESBLOQUEAR LA PISTA, A HRS. 13:10 LA PISTA QUEDA LIBERADA Y SE REANUDA LA ACTIVIDADA AEREA. A HRS. 13.40 APROXIMADAMENTE DESPEGA EL VUELO DE LA EMPRESA ARSA N° 1473 CON DESTINO AEROPARQUE, S/N. EL JEFE DE AEROPUERTO SR. VICE COMODORO MANUEL IZQUIERDO INFORMA QUE ELEVERA UN INFORME PRELIMINAR A LA JUNTA DE ACCIDENTE AEREO. A HRS. 13:50 SE ESTABLECE COMUNICACION TELEFONICA CON EL SECRETARIO PENAL DR. MARIO ARGUELLO, PERTENECINETE AL JUZGADO FEDERAL N° 2 DE ESTA PROVINCIA, INFORMANDOLO SOBRE LOS HECHOS, EL CUAL DETERMINA NO SE REALIZEN ACTUACIONES. SE AMPLIARA EL PRESENTE INFORME AL CONOCERSE LA RESOLUCION DE LA JUNTA DE ACIDENTES.</t>
  </si>
  <si>
    <t>DR. EDGARDO BISTOLFI</t>
  </si>
  <si>
    <t>JUNTO AL ESTACIONAMIENTO SUR.</t>
  </si>
  <si>
    <t>PUESTO ECO</t>
  </si>
  <si>
    <t>EN EL DIA DE LA FECHA, SIENDO LAS 02:10 HORAS APROXIMADAMENTE, EN MOMENTOS DE ESTAR DESARROLLANDO LOS CONTROLES DE RUTINA EN EL PUESTO DE INGRESO Y EGRESO DE PERSONAL, PUESTO ECO, EL OFICIAL AYTE. GUILLERMO DI MUCCIO, JUNTO CON EL COMISIONADO MAYOR FRANKERBERGER, QUIEN SE ENCONTRABA FISCALIZANDO AL PERSONAL POLICIAL, PROCEDEN A REALIZAR EL CONTROL DE EGRESO DE UN OPERARIO DE LA EMPRESA AEROHANDLING, SE LE SOLICITA AL MISMO QUE DEPOSITE SU CAMPERA SOBRE LA CINTA TRANSPORTADORA DE LA MAQUINA DE RAYOS X Y QUE LUEGO PASE POR EL MARCO DETECTOR DE METALES. AL QUITARSE LA CAMPERA MANIFIESTA QUE LLEVABA CONSIGO DOS (2) BOTELLAS DE VINO, CON LA LEYENDA "PARA SER CONSUMIDO A BORDO", RAZÓN POR LA CUAL EL OFICIAL DI MUCCIO SOLICITA LA PRESENCIA DE UN TESTIGO Y DA AVISO DE LO SUCEDIDO VÍA FRECUENCIA RADIAL AL OFICIAL OSCAR BARRERA, JEFE DE TURNO, QUIEN COMISIONA AL LUGAR DEL HECHO AL OFICIAL DANIEL AGUADO, ENCARGADO DE TURNO, JUNTO CON OTRO TESTIGO HÁBIL. SE PROCEDE A TRASLADAR A TODOS LOS INTERVINIENTES A LA GUARDIA DE PREVENCIÓN, A LOS EFECTOS DE COMENZAR CON LAS ACTUACIONES DE RIGOR. SIENDO LAS 02:45 HORAS SE REALIZO COMUNICACIÓN CON LA JUDICATURA ACTUANTE QUIEN DISPUSO: SE REALICE DETENCIÓN DEL PREVENIDO, EN CARÁCTER DE COMUNICADO, PRECARIO MEDICO DE ENTRADA, SECUESTRO DE LOS ELEMENTO PERSONALES, IDGE, REINCIDENCIA, CONSTATACIÓN DE DOMICILIO, SECUESTRO DE LOS ELEMENTOS EN CUESTIÓN E INFORME TÉCNICO DE LOS MISMOS. SIENDO LAS 11:15 HORAS EL OFICIAL JEFE DARIO PAVON, JEFE DE TURNO, REALIZA NUEVA COMUNICACIÓN CON LA JUDICATURA ACTUANTE A QUIEN SE LE INFORMA QUE EL PREVENIDO NO REGISTRA IMPEDIMENTO LEGAL, QUIEN DISPONE QUE SE LO NOTIFIQUE PARA EL DÍA 24 DE SEPTIEMBRE DEL CORRIENTE AÑO A LAS 09:30 HORAS EN SEDE DE LA FISCALIA Y SE PROCEDA A LA SOLTURA. SIENDO LAS 11:25 HORAS DESPUÉS DE REALIZARLE AL DETENIDO PRECARIO MEDICO DE SALIDA, SIN NOVEDAD, SE PROCEDE A LA LIBERACIÓN DEL MISMO HACIÉNDOLE ENTREGA DE LOS ELEMENTOS PERSONALES SECUESTRADOS.</t>
  </si>
  <si>
    <t>QUE AL SER SOMETIDA UNA MALETA A CONTROL DE RX, SE DETECTO QUE EN SU INTERIOR ERA HABIDA SUSTANCIA ORGANICA DE BAJA DENSIDAD DISPUESTA EN LA BASE DEL EQUIPAJE Y EN EL INTERIOR DE UN MALETIN TIPO PORTANOTEBOOK, POR LO CUAL Y PREVIA AUTORIZACION DE SSA. SE CONVOCO A LOS TESTIGOS Y AL PROPIETARIO Y SE EFECTUO LA REQUISA DE DICHA MALETA. ENCONTRANDO DENTRO DEL MALETIN DISPUESTO EN EL INTERIOR DE LA VALIJA 3 PLANCHAS DE GOMA LAS CUALES FUERON SOMETIDAS A REACTIVO DE CAMPO MARCA COCATEST, LO QUE ARROJO COMO RESULTADO POSITIVO PARA LA SUSTANCIA COCAINA. LUEGO SE PROCEDIO DE IGUAL FORMA CON LA VALIJA ENCONTRANDOSE TAMBIEN 3 PLANCHAS MAS DE SIMILARES CARACTERISTICAS A LAS ANTERIORES A LAS CUALES SE LAS SOMETIO A REACTIVO DE CAMPO MARCA COCATEST, LO QUE ARROJO COMO RESULTADO POSITIVO PARA LA SUSTANCIA COCAINA.QUE POR ORDEN DE SSA Y UNA VEZ CULMINADAS LAS ACTUACIONES DE RIGOR SIENDO LAS VEINTIDOS HORAS CUARENTA MINUTOS DEL CORRIENTE DIA SE TRASLADO AL DETENIDO A LA UNIDAD 28 DEL SERVICIO PENITENCIARIO FEDERAL, EN TANTO LAS ACTUACIONES SUMARIAS SERAN ELEVADAS EL DIA TRECE DE SEPTIEMBRE DEL CORRIENTE AÑO A SEDE JUDICIAL.</t>
  </si>
  <si>
    <t>MOSTRADORES DEL CHECK-IN DE LA EMPRESA AEREA PLUNA.</t>
  </si>
  <si>
    <t>SECTOR B</t>
  </si>
  <si>
    <t>A LOS 12 DIAS DEL CORRIENTE MES Y AÑO, SIENDO LAS 10:31 HORAS COMPARECE EN ESTA GUARDIA DE PREVENCION UNA PERSONA DE SEXO MASCULINO QUIEN MANIFIESTA HABER SIDO VICTIMA DE UN HECHO DELICTIVO, INFORMANDO QUE A LAS 09:45 HORAS DEL DIA DE LA FECHA SE HIZO PRESENTE EN ESTE AEROPARQUE CON MOTIVO DE ABORDAR EL VUELO PU 157, DE LA EMPRESA PLUNA LÍNEAS AÉREAS, CON DESTINO A LA CIUDAD DE MONTEVIDEO, REPUBLICA ORIENTAL DEL URUGUAY, EL CUAL TENIA COMO HORARIO DE PARTIDA A LAS 10:00 HORAS, SE DIRIGIÓ A LOS MOSTRADORES DE PLUNA, PARA DESPACHAR SU EQUIPAJE COLOCANDO A SU LADO UN BOLSO DE MANO COLOR AZUL Y UN BOLSO PORTA NOTEBOOK MIENTRAS HABLABA CON PERSONAL DE PLUNA, AL FINALIZAR GIRA Y SE PERCATA DEL FALTANTE DE SU BOLSO PORTA NOTEBOOK. LE CONSULTA A UN PERSONAL DE SEGURIDAD PRIVADA SI HABÍA VISTO EL BOLSO EN CUESTIÓN, RESPONDIÉNDOLE QUE EN LA VEREDA HABÍA DEMORADA UNA PERSONA DE SEXO MASCULINO QUE TENIA UN BOLSO DE SIMILARES CARACTERÍSTICAS. INMEDIATAMENTE SE HACEN PRESENTE EN EL LUGAR, DONDE LOS OFICIALES ROLANDO DUARTE Y GUSTAVO LEDESMA, SE ENCONTRABAN JUNTO AL MASCULINO QUE TENIA EL BOLSO EN CUESTION, MANIFESTANDO EL PASAJERO QUE DICHO BOLSO ERA DE SU PROPIEDAD, LOS OFICIALES LE INFORMARON QUE TENÍA QUE REALIZAR LA DENUNCIA FORMAL, ASIMISMO NOTIFICAN VIA NEXTEL DE DICHA NOVEDAD AL OFICIAL JEFE DARÍO PAVÓN, JEFE DE TURNO, QUIEN ORDENO QUE SE HAGAN PRESENTE TODOS LOS INTERVINIENTES EN EL TURNO. SE DA INTERVENCIÓN A LA JUDICATURA ACTUANTE QUIEN DISPUSO: REALIZAR DILIGENCIAS DE RIGOR. SIENDO LAS 20:40 HORAS SE REALIZA NUEVA COMUNICACIÓN DONDE SE LE INFORMA QUE EL CAUSANTE REGISTRA EN EL INFORME RECIBIDO DE IDGE, UN PEDIDO DE CAPTURA URGENTE, EN CAUSA Nº 4120, CARATULADA HURTO DE FECHA 11/09/1990, A SOLICITUD DEL JUZGADO DE SENTENCIA "B" PASO SENTENCIA "A", SECRETARIA NRO. 3 A NRO. 1. QUIEN DISPUSO QUE EN VIRTUD DEL TIEMPO TRANSCURRIDO Y QUE LOS JUZGADOS DE LOS CUALES EMANAN LAS SOLICITUDES DE CAPTURA, YA NO EXISTEN Y AL NO REGISTRAR ANTECEDENTES EN REINCIDENCIA SE PROCEDA A LA LIBERACIÓN, CIERRE Y ELEVE. SIENDO LAS 21:20 HORAS, EL OFICIAL JEFE ALEJANDRO SILVA, JEFE DE TURNO, DEL DIA DE LA FECHA, PROCEDE A LA LIBERACION DEL MISMO, LUEGO DE REALIZARLE AL DETENIDO PRECARIO MEDICO DE SALIDA.</t>
  </si>
  <si>
    <t>DR. JOSE M. TABOADA AREU</t>
  </si>
  <si>
    <t>DESDE AEROPUERTO DE LA CIUDAD DE IGUAZU HASTA ESTE AEROPARQUE.</t>
  </si>
  <si>
    <t>SIENDO LAS 20:11 HORAS DEL DÍA 12 DEL CORRIENTE MES Y AÑO, HABÍA ARRIBADO EN ESTE AEROPARQUE DE LA CIUDAD DE IGUAZÚ, EN EL VUELO AU 2729, DE LA EMPRESA AUSTRAL LINEAS AEREAS, AGUARDO SU EQUIPAJE EN EL SECTOR ARRIBOS A2, UNOS 45 MINUTOS, EN MOMENTOS DE VISUALIZAR SU MOCHILA POR LA CINTA, OBSERVO QUE LE FALTABA EL CANDADO QUE HABÍA COLOCADO COMO MEDIDA DE SEGURIDAD, EN EL BOLSILLO DELANTERO EXTERNO Y QUE EL MISMO SE ENCONTRABA ABIERTO, POR LO QUE PROCEDIÓ A LA APERTURA DEL MISMO, PERCATÁNDOSE DE LOS FALTANTES</t>
  </si>
  <si>
    <t>AU 2729</t>
  </si>
  <si>
    <t>JUZG. FED. EN LO CRIMINAL Y CORRECCIONAL N° 1, SEC. N° 11AV. COMODORO PY 2002, CABA</t>
  </si>
  <si>
    <t>SE AMPLIA PARTE N° 5494. FECHA 13 DE SEPTIEMBRE DE 2010. EN RELACION AL EXPTE. N° 549/10 CARATULADO TORRES JOSE JAVIER INFRACCION A LA LEY 23.737, AL RESPECTO INFORMO QUE FUE DESIGNADO EL SUBINSPECTOR JUAN CARLOS SERNA PARA DAR CUMPLIMIENTO A LOS OFICIOS LIBRADOS POR EL JUZGADO INTERVINIENTE A FIN DE HACER ENTREGA DEL EXPTE. DE REFERENCIA, EN EL JUZGADO FED. EN LO CRIMINAL Y CORRECCIONAL N° 11 A CARGO DEL DR. CLAUDIO BONADIO, SEC. N° 21. A SU VEZ COMUNICO QUE EL OFICIAL DESIGNADO, EN EL DIA DE LA FECHA APROXIMADAMENTE A LAS 09:30 HS. CUMPLIMENTÓ LO MENCIONADO EN EL PÁRRAFO ANTERIOR. REALIZADO MEDIANTE O.S. N° 030/10 DE ESTA UNIDAD. SEGÚN AMPL Nº 5689/10 SE AMPLIA PARTE RESERVADO N° 5555 DE FECHA 13/09/10, RELACIONADO AL EXPTE. N° 549/10, CARATULADO TORRES JOSE JAVIER S/INFRACCION A LA LEY 23737, TRAMITADO ANTE EL JUZGADO FEDERAL DE SALTA N° 1 A CARGO DEL DR. JULIO LEONARDO BAVIO, SECRETARIA PENAL N° 2 A CARGO DEL DR. SANTIAGO FRENCH. SE INFORMA QUE EL DIA DE LA FECHA SE RECEPCIONA OFICIO N° 2693/10, LIBRADO POR EL JUZGADO FEDERAL DE SALTA N° 1, POR EL CUAL COMUNICAN QUE EN VIRTUD DE LA INHIBITORIA RESUELTA EL DIA 09 DE SETIEMBRE DE 2010, A FAVOR DEL JUZGADO EN LO CRIMINAL Y CORRECCIONAL FEDERAL N° 11, A CARGO DEL DR. CLAUDIO BONADIO, SECRETARIA N° 21, CARGO DE LA DRA. CAROLINA LORENZ, SITO EN TRIBUNALES DE COMODORO PY DE CAPITAL FEDERAL, CESO LA INTERVENCION DE ESTA UNIDAD EN LAS TAREAS INVESTIGATIVAS EN LA PRESENTE CAUSA, MOTIVO POR EL CUAL SE DA POR CONCLUIDA LAS ACTUACIONES QUE SE INSTRUYEN AL RESPECTO</t>
  </si>
  <si>
    <t>FISCALIA PENAL DE INSTRUCCION DE LA VIª NOMINACION</t>
  </si>
  <si>
    <t>LIONTI JUAN CARLOS</t>
  </si>
  <si>
    <t>PLAYA ESTACIONAMIENTO.-</t>
  </si>
  <si>
    <t>SIENDO LAS NUEVE HORAS CON TREINTA MINUTOS, EN EL DÍA DE LA FECHA, SE PRESENTÓ EL SR. JORGE MARCELO TERAN, QUIEN RADICO UNA DENUNCIA POR EL ROBO DE UNA RUEDA DE AUXILIO DEL INTERIOR DEL RODADO CORSA DOMINIO IRP 820 DE PROPIEDAD DE LA EMPRESA PAMPA F430 S.A. (HERZT - ALQUILER DE AUTOS). SE DA INTERVENCIÓN AL JUZGADO DE TURNO, QUIEN ORDENA SE LABREN LAS ACTUACIONES DE RIGOR CON POSTERIOR ELEVACIÓN</t>
  </si>
  <si>
    <t>LOPEZ DA SILVA, Walter</t>
  </si>
  <si>
    <t>S/ INF LEY. 25.743</t>
  </si>
  <si>
    <t>PLANTA ALTA PREEMBARQUE CABOTAJE</t>
  </si>
  <si>
    <t>CONTROL PREEMBARQUE DE CABOTAJE</t>
  </si>
  <si>
    <t>SIENDO LAS 12:20 HORAS DEL DÍA 12 DE SEPTIEMBRE DE 2010, CUANDO SE REALIZABA EL CONTROL DEL VUELO 4347 DE LA EMPRESA LAN ARGENTINA SE DETECTAN DOS PIEZAS PEQUEÑAS DE PRESUMIBLEMENTE TRONCOS PETRIFICADOS, LOS CUALES ERAN TRANSPORTADOS POR EL SEÑOR JOSÉ MARÍA ISURRALDE EN EQUIPAJE DE MANO. LOS MISMOS QUEDAN EN CUSTODIA EN ESTA DEPENDENCIA POLICIAL HASTA QUE SEAN REMITIDOS AL MUSEO BERNARDINO RIVADAVIA, NO INSTRUYENDOSE ACTUACIONES SUMARIALES, DE ACUERDO A LO COORDINADO CON EL JUZGADO FEDERAL DE SAN CARLOS DE BARILOCHE.</t>
  </si>
  <si>
    <t>INFORMO QUE EN EL DIA DE LA FECHA, SIENDO LAS 11:50 HS APROXIMADAMENTE SE PROCEDIO AL TRASLADO DEL DETENIDO HAVENGA CORRIE ANDREY A SEDE JUDICIAL, LUEGO DEL ALTA MEDICA DADA POR PERSONAL MEDICO DEL HOSPITAL ZONA DE EZEIZA MADRE TERESA DE CALCUTA, LUGAR DONDE PERMANECIA ALOJADO EL NOMBRADO, EN VIRTUD A LO DISPUESTO POR EL MAGISTRADO INTERVINIENTE.-</t>
  </si>
  <si>
    <t>EDUARDO ZANELLO</t>
  </si>
  <si>
    <t>Servico Taxímetro de Córdoba</t>
  </si>
  <si>
    <t>QUE SIENDO LAS 09:00HS APROXIMADAMENTE DEL DÍA 12 DE SEPTIEMBRE DE 2010 ARRIBÓ A ESTA AEROESTACIÓN EN UN VUELO DE LA EMPRESA AEROLÍNEAS ARGENTINAS PROCEDENTE DE BUENOS AIRES (NO RECORDANDO EL NÚMERO DEL MISMO). SEGUIDAMENTE ABORDA UN VEHICULO TAXIMETRO EN LA DÁRSENA INFERIOR DEL AEROPUERTO PARA DIRIGIRSE A SU DOMICILIO, AL ARRIBAR AL MISMO Y AL BAJAR SUS VALIJAS DEJA OLVIDADO EN EL ASIENTO TRASERO UN BOLSO DE COLOR GRIS Y BLANCO, EL CUAL CONTENÍA EN SU INTERIOR EL DOCUMENTO NACIONAL DE IDENTIDAD DE LA DECLARANTE Y EL DE SUS DOS HIJOS MENORES, UNA CÁMARA DE FOTOS DIGITAL NEGRA CON SU FUNDA, NO RECORDANDO LA MARCA DE LA MISMA, UN TELÉFONO CELULAR MARCA LG NÚMERO DE LINEA 0351 -152887326, UN TERMO DE ACERO INOXIDABLE, ROPAS Y REMEDIOS VARIOS. AL PERCATARSE DEL OLVIDO Y TRANSCURRIDOS UNOS 15 MINUTOS APROXIMADAMENTE LA DENUNCIANTE REALIZÓ VARIAS LLAMADAS A SU TELÉFONO CELULAR QUE ESTABA EN EL BOLSO, SIN QUE NADIE LAS CONTESTARA. ANTE TAL SITUACIÓN ESTA PREVENCIÓN SE COMUNICO TELEFÓNICAMENTE CON LA FISCALÍA DE TURNO QUIEN DISPUSO SE LABREN LAS ACTUACIONES DE RIGOR Y UNA VEZ FINALIZADAS LAS MISMAS SEAN ELEVADAS A LA UNIDAD JUDICIAL 17 DE LA POLICÍA DE LA PROVINCIA DE CÓRDOBA.</t>
  </si>
  <si>
    <t>INFORMO QUE EN EL DIA DE LA FECHA, SIENDO LAS 11:50 HS APROXIMADAMENTE SE PROCEDIO AL TRASLADO DEL DETENIDO GERARDUS LUDOVICUS MARIE RAMAKERS A SEDE JUDICIAL, LUEGO DEL ALTA MEDICA DADA POR PERSONAL MEDICO DEL HOSPITAL ZONA DE EZEIZA MADRE TERESA DE CALCUTA, LUGAR DONDE PERMANECÍA ALOJADO EL NOMBRADO, EN VIRTUD A LO DISPUESTO POR EL MAGISTRADO INTERVINIENTE.-</t>
  </si>
  <si>
    <t>BODEGA DE LA AERONAVE-PLATAFORMA OPERATIVA-CINTAS DE EQUIPAJES</t>
  </si>
  <si>
    <t>UNA VEZ QUE LA DAMNIFICADA ARRIBO A ESTA TERMINAL AEREA, SE DIRIGE AL SECTOR DE CINTA DE EQUIPAJES DE LA TERMINAL A, A LOS EFECTOS DE RETIRAR SU VALIJAS DESPACHADAS A BODEGA. QUE LUEGO DE TOMAR CONTACTO CON LAS MISMAS, SE RETIRA DE ESTE MEDIO, SIN NOTAR NOVEDAD ALGUNA. QUE UNA VEZ QUE LLEGO A SU DOMICILIO, EN MOMENTOS QUE PROCEDÍA A APERTURAR UNO DE SUS EQUIPAJES, EL CUAL SE TRATA DE UNA VALIJA DE TIPO CARRY ON, DE COLOR NEGRO, DE GRANDES DIMENSIONES, ADVIERTE QUE EL CANDADO CON EL CUAL LA HABÍA DESPACHADO NO SE ENCONTRABA Y LOS PESTILLOS DEL CIERRE SE HALLABAN ROTOS. A TAL EVENTO EFECTÚA UN CONTROL SOBRE LOS ELEMENTOS DE SU INTERIOR, PERCATÁNDOSE DEL FALTANTE DE DINERO ESTADOUNIDENSE, QUE HABÍA EN LA MISMA.</t>
  </si>
  <si>
    <t>LEGAJO DE GALLARDO JOSE LUIS</t>
  </si>
  <si>
    <t>1572/10-ES</t>
  </si>
  <si>
    <t>SE PRESENTA PERSONAL DE GENDARMERIA NACIONAL STO 1º FREITES, RICARDO Y EL GENDARME SAYA, ELIDA, CON EL CIUDADANO DE NACIONALIDAD BOLIVIANA SR. JOSE LUIS GALLARDO, QUIEN POR DISPOSICION Nº 114991/2010, DEL REGISTRO DE LA DNM, DONDE SE ORDENA LA EXPULSION DEL TERRITORIO NACIONAL ARGENTINO CON PROHIBICION DE REINGRESO AL PAIS CON CARACTER DE PERMANENTE, DANDO CUMPLIMIENTO A LA ORDEN DE SERVICIO Nº 189/10, CON LA INTERVENCION DE 02 EFECTIVOS DE LA UOESA III DEL NORTE PARA SU CUSTODIA DENTRO DE LA JURISDICCION AEROPORTUARIA, SIENDO EMBARCADO EN LA EMPRESA AEROCOMERCIAL AEROSUR DEL VUELO Nº 251 5L, SIN NOVEDAD.</t>
  </si>
  <si>
    <t>GASTELLÚ, MARIA VICTORIA</t>
  </si>
  <si>
    <t>SRIO. AV. PRES. INF. LEY 23737 - DIRECCION GRAL DE ADUANAS - ENCOMIENDA NRO. 9083380040-</t>
  </si>
  <si>
    <t>377/08</t>
  </si>
  <si>
    <t>EXPTE. NRO. 424/08 - DHL - PALIZA-</t>
  </si>
  <si>
    <t>CIUDAD DE ROSARIO Y/U OTROS DE CORRESPONDER.</t>
  </si>
  <si>
    <t>URSA IV - DEL LITORAL</t>
  </si>
  <si>
    <t>SE RECIBE OFICIO JUDICAL NRO. 3104 DEL JUZGADO FEDERAL ACTUANTE DONDE INFORMA QUE POR RESOLUCION NRO. 232 DEL 19/04/2010 SE DISPUSO EL ARCHIVO DE LAS ACTUACIONES. LAS TAREAS INVESTIGATIVAS SE INICIARON ORDENADAS EN OFICIO NRO. 1106 DEL 01/10/2008 DE LA FISCALIA FEDERAL NRO. 2 DE ROSARIO, EN EL DESARROLLO DE LAS MISMAS SE CORROBORÓ LA EXISTENCIA DEL REMITENTE DE LA ENCOMIENDA, PERO NO SE DETECTARON CONDUCTAS EN INFRACCIÓN A LA LEY 23737.</t>
  </si>
  <si>
    <t>MARIA VICTORIA GASTELLU</t>
  </si>
  <si>
    <t>SRIO. AV. PRES. INF. LEY 23737 - DIRECCION GRAL DE ADUANAS - ENCOMIENDA NRO.9083380025-</t>
  </si>
  <si>
    <t>376/08</t>
  </si>
  <si>
    <t>EXPTE. NRO. 425 - PIÑON INDUSTRIAL - BERARDI.</t>
  </si>
  <si>
    <t>URSA IV DEL LITORAL.</t>
  </si>
  <si>
    <t>SE RECIBE OFICIO JUDICAL NRO. 3103 DEL JUZGADO FEDERAL ACTUANTE DONDE INFORMA QUE POR RESOLUCION NRO. 226 DEL 19/04/2010 SE DISPUSO EL ARCHIVO DE LAS ACTUACIONES. LAS TAREAS INVESTIGATIVAS SE INICIARON ORDENADAS EN OFICIO NRO. 1104 DEL 01/10/2008 DE LA FISCALIA FEDERAL NRO. 2 DE ROSARIO, EN EL DESARROLLO DE LAS MISMAS SE CORROBORÓ LA EXISTENCIA DEL REMITENTE DE LA ENCOMIENDA, PERO NO SE DETECTARON CONDUCTAS EN INFRACCIÓN A LA LEY 23737.</t>
  </si>
  <si>
    <t>GASTELLU, MARIA VICTORIA</t>
  </si>
  <si>
    <t>TREMEL DE FARIA, MARIA CLAUDIA S/ LEY 23737</t>
  </si>
  <si>
    <t>348/08</t>
  </si>
  <si>
    <t>EXPTE. NRO. 341/08 - TREMEL</t>
  </si>
  <si>
    <t>CIUDAD DE ROSARIO Y/U OTRAS DE CORRESPONDER.</t>
  </si>
  <si>
    <t>SE RECIBE OFICIO JUDICAL NRO. 3106 DEL JUZGADO FEDERAL ACTUANTE DONDE INFORMA QUE POR RESOLUCION NRO. 308 DEL 17/05/2010 SE DISPUSO EL ARCHIVO DE LAS ACTUACIONES. LAS TAREAS INVESTIGATIVAS SE INICIARON ORDENADAS EN OFICIO NRO. 1080 DEL 26/09/2008 DE LA FISCALIA FEDERAL NRO. 2 DE ROSARIO, EN EL DESARROLLO DE LAS MISMAS SE CORROBORÓ QUE TANTO EL REMITENTE COMO EL DESTINATARIO DE LA ENCOMIENDA RESULTARON INEXISTENTES.</t>
  </si>
  <si>
    <t>LICATTA, SERGIO S/LEY 23737</t>
  </si>
  <si>
    <t>122/09</t>
  </si>
  <si>
    <t>EXPTE. NRO. 096/09 - LICATTA.</t>
  </si>
  <si>
    <t>CIUDAD DE ROSARIO Y / U OTRAS DE CORRESPONDER.</t>
  </si>
  <si>
    <t>SE RECIBE OFICIO JUDICAL NRO. 3105 DEL JUZGADO FEDERAL ACTUANTE DONDE INFORMA QUE POR RESOLUCION NRO. 247 DEL 26/04/2010 SE DISPUSO EL ARCHIVO DE LAS ACTUACIONES. LAS TAREAS INVESTIGATIVAS SE INICIARON ORDENADAS EN OFICIO NRO. 320 DEL 01/04/2009 DE LA FISCALIA FEDERAL NRO. 2 DE ROSARIO, EN EL DESARROLLO DE LAS MISMAS SE IDENTIFICÓ AL PRESUNTO COMERCIALIZADOR SIN CORROBORAR LAS CONDUCTAS DENUNCIADAS EN INFRACCION A LA LEY 23737. LAS TAREAS INVESTIGATIVAS SE REALIZARON EN CUMPLIMIENTO A LA ORDEN DE SERVICIO NRO. 077/2009 URSA IV DEL LITORAL, INFORMADAS EN SIPAP PR:DOC4 0018/09 DE FECHA 08/04/2009.</t>
  </si>
  <si>
    <t>HERNAN PANDIELLA</t>
  </si>
  <si>
    <t>FERNANDEZ, ROBERTO HERNAN S/CONTRABANDO DE ESTUPEFACIENTES</t>
  </si>
  <si>
    <t>AV. JUJUY 125, 1ER. PISO DPTO. 13 - C.A.B.A</t>
  </si>
  <si>
    <t>REF. A ORDEN DE SERVICIO 904, EN EL DIA DE LA FECHA EN CUMPLIMIENTO A ORDEN JUDICIAL EMANADA DEL JUZGADO NACIONAL EN LO PENAL ECONOMICO NRO.2 DE CAPITAL FEDERAL, SE REALIZO ALLANAMIENTO DE LA FINCA SITA EN LA CALLE JUJUY 125, 1ER PISO DPTO 13 CON EL FIN DE SECUESTRAR SUSTANCIAS ESTUPEFACIENTE, PRECURSORES QUIMICOS O MATERIAS PRIMAS DESTINADAS A LA FABRICACION O PRODUCCION DE MATERIA ESTUPEFACIENTES Y/O CUALQUIER OTRO ELEMENTO RELACIONADO CON LA PRESENTE INVESTIGACION. DANDO RESULTADO NEGATIVO AL SECUESTRO DE ESTUPEFACIENTES PERO EFECTUANDO EL SECUESTRO DE ELEMENTOS DE INTERES PARA LA CAUSA.</t>
  </si>
  <si>
    <t>FRENTE AL STAND DE TAXIS CABA</t>
  </si>
  <si>
    <t>PERGOLA DE ARRIBOS DE PASAJEROS</t>
  </si>
  <si>
    <t>SIENDO LA FECHA Y HORA ANTES MENCIONADA, EN MOMENTOS EN QUE LOS OFICIALES ZUMPANO Y CABRERA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</si>
  <si>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SALIDAS DE ARRIBOS INTERNACIONALES</t>
  </si>
  <si>
    <t>VEREDA DEL SECTOR A 1</t>
  </si>
  <si>
    <t>SIENDO LAS 18:15 HS APROXIMADAMENTE, RECIBO COMUNICACIÓN VÍA FRECUENCIA RADIAL POR PARTE DEL OF. SUBINSPECTOR ALE RICARDO, PERTENECIENTE AL TURNO GEDEX , EL CUAL ME COMUNICA QUE EN RECORRIDA PERIMETRAL EFECTUADA POR SECTOR VEREDA "A1" OBSERVA UN BOLSO DE COLOR BLANCO ABANDONADO EN UN CARRO PORTAEQUIPAJE, A LO CUAL SOLICITA AUTORIZACIÓN PARA REALIZAR PROCEDIMIENTO DE INTERVENCIÓN. ME COMUNICO VÍA NEXTEL CON EL SUBINSPECTOR REBORA ARIEL QUIEN AUTORIZA SE REALICE EL PROCEDIMIENTO CORRESPONDIENTE, A LO CUAL INMEDIATAMENTE SE REALIZA PERÍMETRO DE SEGURIDAD CORRESPONDIENTE EN EL SECTOR. ACTO SEGUIDO SOLICITO LA PRESENCIA DE PERSONAL DEL SERVICIO MEDICO "EMERGER" Y BRIGADA DE BOMBEROS DEL AEROPUERTO, PRESENTÁNDOSE EN EL SECTOR SIENDO LAS 18:30 HS LOS OFICIALES CARLOS CHAVEZ Y MANUEL RAMIREZ CON EL MÓVIL Nº 9003 DE LA UNIDAD DE RESCATE PERTENECIENTE A LA POLICÍA FEDERAL ARGENTINA Y LOS SRES. HORACIO ROMERO, CHICHERO YANTE Y EL DR. DANIEL ZALAZAR (MN 43894) PERTENECIENTES A LA EMPRESA DE EMERGENCIAS MÉDICAS "EMERGER". SIENDO LAS 18.30 HS APROXIMADAMENTE, EL PERSONAL DEL GRUPO GEDEX PROCEDE A REALIZAR LEVANTAMIENTO DE TRAZAS PARA PRUEBA DE CAMPO CON EQUIPO SABRE 4000, EL CUAL ARROJA RESULTADO NEGATIVO, DICHO PERSONAL ESPECIALIZADO PROCEDE A APERTURAR EL BULTO CONSTATANDO LA PRESENCIA EN SU INTERIOR CAJAS VARIAS DE CHOCOLATES, LAS CUALES FUERON DESCRIPTAS EN ACTA DE HALLAZGO Nº 2294. SIENDO LAS 19.00 HS APROXIMADAMENTE EL OFICIAL GONZALEZ RODRIGO PROCEDE A EFECTUAR COMUNICACIÓN RADIAL INFORMANDO EL HALLAZGO DE UN MALETÍN EN UN CARRO PORTAEQUIPAJE UBICADO A ESCASOS METROS DEL LUGAR DONDE NOS ENCONTRÁBAMOS, ESPECÍFICAMENTE EN LA PARADA DE TAXIS DEL SECTOR A2, MOTIVO POR LO CUAL LUEGO DE INFORMAR NUEVAMENTE AL SUBINSPECTOR REBORA ACERCA DE LA NOVEDAD DETECTADA SE PROCEDE A TRASLADAR EL PERÍMETRO DE SEGURIDAD Y TODO EL PERSONAL INTERVINIENTE HACIA DICHO BULTO PARA PROCEDER DE IGUAL MODO, RESULTANDO EL LEVANTAMIENTO DE TRAZAS DE DICHO BULTO "NEGATIVO", CONSTATANDO LA PRESENCIA EN SU INTERIOR DE PAPELES VARIOS SIN VALOR COMERCIAL, UN DNI A NOMBRE DE ANDRADE CHACON SERGIO Nº 18773730, MEDICAMENTOS, UNA LUPA, UN JUEGO DE LLAVES, UNA LINTERNA,UN CARGADOR DE CELULAR Y GOLOSINAS VARIAS,LOS MISMOS VUERON DETALLADOS EN EL ACTA DE HALLAZGO Nº 2295.</t>
  </si>
  <si>
    <t>AVERIGUACIÓN DE ILICITO</t>
  </si>
  <si>
    <t>FINALIZADA SU JORNADA LABORAL EL IMPUTADO SALÍA POR EL PUESTO FIJO 1 HACIA EL SECTOR PUBLICO, MOMENTO EN EL QUE COLOCA SU CAMPERA EN LA MAQUINA DE RAYOS X, DETECTANDO EL OPERADOR DE DICHA MAQUINA QUE LA CAMPERA POSEÍA UN RELOJ EN SU INTERIOR, POR LO QUE SE LE CONSULTA AL IMPUTADO LA PROCEDENCIA DEL MISMO, A LO QUE RESPONDE QUE EL NO TENIA NINGÚN RELOJ. EN VIRTUD A ELLO, EL OPERADOR VUELVE A PASAR LA CAMPERA POR LA MAQUINA OBSERVANDO NUEVAMENTE EL RELOJ EN LA CAMPERA, POR LO QUE LE SOLICITA AL IMPUTADO QUE EXHIBA EL CONTENIDO DE LOS BOLSILLOS DE LA CAMPERA, EXTRAYENDO DE UNO DE LOS BOLSILLOS UNA BOLSA TIPO ZIPLOC CONTENIENDO RELOJ SIN MALLA CON DETALLES EN DORADO. AL CONSULTARLE LA PROCEDENCIA AL IMPUTADO EL MISMO SE CONTRADICE CON SUS DICHOS. SE INFORMA AL JUZGADO FEDERAL EN TURNO QUIEN DISPONE SE LABREN ACTUACIONES Y SE NOTIFIQUE DE LA CAUSA AL IMPUTADO.</t>
  </si>
  <si>
    <t>DR. JUAN JOSE M. TABOADA AREU.</t>
  </si>
  <si>
    <t>VERONICA GLADYS NEMAN S/DENUNCIA</t>
  </si>
  <si>
    <t>A LAS 20:00 HORAS APROXIMADAMENTE SE HIZO PRESENTE EN EL AEROPUERTO DE LA CIUDAD DE SAN MIGUEL DE TUCUMÁN, CON MOTIVO DE ABORDAR EL VUELO AR 1477 DE LA EMPRESA AEROCOMERCIAL AEROLÍNEAS ARGENTINAS, CON HORARIO DE PARTIDA 20:50 HORAS. LUEGO REALIZO EL CHECK-IN DE SU VALIJA TIPO CARRY-ON, DE COLOR NEGRA, LA CUAL LLEVA COMO MEDIDA DE SEGURIDAD UN CANDADO COLOR DORADO EN LAS LENGÜETAS DEL CIERRE PRINCIPAL. SIENDO LAS 22:30 HORAS APROXIMADAMENTE, ARRIBA A ESTA AEROSTACIÓN, RETIRA LA VALIJA DE LA CINTA TRANSPORTADORA DE EQUIPAJE, UBICADA EN EL SECTOR DE ARRIBOS A2, Y AL TOMAR SU VALIJA OBSERVA QUE LE FALTABA EL CANDADO QUE HABÍA COLOCADO COMO MEDIDA DE SEGURIDAD, AUN ASÍ, SE RETIRA DE ESTE AEROPUERTO Y SE DIRIGE HACIA SU DOMICILIO PARTICULAR, UNA VEZ ALLÍ, AL ABRIR SU VALIJA SE PERCATA DEL FALTANTE DE ELEMENTOS DE SU INTERIOR.</t>
  </si>
  <si>
    <t>AR 1477</t>
  </si>
  <si>
    <t>EN CUMPLIMIENTO DE LA ORDEN DE SERVICIO Nº 0082/2010 Y SIENDO LAS 01:15 HORAS LOCAL ARRIBA AERONAVE AIR BUS A 320, VUELO Nº 4428 DE LA EMPRESA LAN ARGENTINA PROCEDENTE DEL AEROPUERTO JOGE NEWBERY DE CAPITAL FEDERAL Y EN CUYAS BODEGAS BODEGAS Nº 11, 12, 13, 31, 32 Y 42 SE EMBARCAN UN TOTAL DE 230 CAJAS CON UN PESO DE 5355 KILOGRAMOS DE METAL - MTD- PERTENECIENTE A LA EMPRESA CERRO VANGUARDIA, CON DESTINO A LA CIUDAD DE CAPITAL FEDERAL. EL MENCIONADO VUELO SALE COMO Nº 4429 A LAS 03:47 HORAS LOCAL</t>
  </si>
  <si>
    <t>SE AMPLIA PARTE RESERVADO N° 5263, DE FECHA 30/08/10, REFERENTE AL EXPTE. N° 561/10, CARATULADO AVERIGUACION INFRACCION A LA LEY 24769, TRAMITADO ANTE EL JUZGADO FEDERAL N° 1 A CARGO DEL DR. JULIO LEONARDO BAVIO, SECRETARIA PENAL N° 2 A CARGO DEL DR. SANTIAGO FRENCH. SE INFORMA QUE EL DIA 10/08/10 SE ELEVO AL JUZGADO INTERVINIENTE, INFORME SOLICITANDO EN RELACION A LA CUSA ANTES MENCIONADA, LA INTERVENCION TELEFONICA DE LOS SIGUIENTES ABONADOS: 03876-660918, EL CUAL SERIA UTILIZADO POR LA CONTADORA SANDRA ESTHER JEREZ, IMPLICADA EN LA CAUSA DE REFERENCIA Y EL N° 03876-425161, EL CUAL ES UTILIZADO EN EL ESTUDIO CONTABLE POR LA CONTADORA JEREZ, SIENDO SU TITULAR SEQUEIRA HUGO LISANDRO, QUIEN ES ESPOSO DELA MISMA. EL DIA DE LA FECHA SE RECEPCIONA OFICIO N° 2685/10 DE FECHA 10 DE SETIEMBRE DE 2010, LIBRADO POR EL JUZGADO INTERVININETE EN LA CAUSA, DIRIGIDO A OBSERVACIONES JUDICIALES, EL CUAL ORDENA UNICAMENTE LA INTERVENCION TELEFONICA POR EL LAPSO DE 15 DIAS DEL ABONADO N° 03876-425161. DICHO OFICIO SE DILIGENCIO A OBSERVACIONES JUDICIALES A LOS EFECTOS DE REALIZAR LA INTERVENCION TELEFONICA. SE AMPLIARA.</t>
  </si>
  <si>
    <t>INFRACCION ARTICULOS 293 Y 296 DEL C.P.N.</t>
  </si>
  <si>
    <t>BOX DE MIGRACIONES DE SALIDA</t>
  </si>
  <si>
    <t>MIGRACIONES EZEIZA REMITIÓ MEDIANTE NOTA Y DENUNCIA PENAL AL CIUDADANO LUIS FERNANDO ECHEVERRI PULGARIN, QUIEN PRETENDÍA EGRESAR DEL TERRITORIO NACIONAL EN EL VUELO DE MENCION, PRESENTANDO EL PASAPORTE, EL CUAL SE ENCONTRARÍA ADULTERADO SEGÚN LO INFORMADO POR DICHO ORGANISMO. EL PASAPORTE PRESENTA UN SELLO MIGRATORIO ARGENTINO NUMERO 1176 DE ENTRADA DE FECHA 10 DE AGOSTO DEL 2010 AUTENTICO. CABE DESTACAR QUE LA DENUNCIA PENAL REFIERE QUE EL PASAJERO EN FORMA ESPONTÁNEA MANIFESTÓ SER DE NACIONALIDAD COLOMBIANA Y LLAMARSE JOSÉ ANÍBAL MORA GUTIERREZ. INFORMADO DE LOS HECHOS EL JUZGADO DISPUSO LA DETENCIÓN DEL CAUSANTE EN CALIDAD DE INCOMUNICADO Y SU TRASLADO A LA UNIDAD 28 DEL S.P.F. SE INFORMA SEGUN PU Nº 5608 QUE SIENDO LAS 1030 HORAS DEL DIA 14/09/10 SE PROCEDIO AL TRASLADO DEL DETENIDO A LA UNIDAD 28 DEL SPF SIN NOVEDAD.</t>
  </si>
  <si>
    <t>JJ 8003</t>
  </si>
  <si>
    <t>HALL PUBLICO SECTOR DE ARRIBOS</t>
  </si>
  <si>
    <t>INTERIOR DE OFICINA RENTADORA DE AUTOS HERTZ, EMPLAZADA EN HALL PUBLICO SECTOR DE ARRIBOS</t>
  </si>
  <si>
    <t>INFORMO DIA DE LA FECHA EL DENUNCIANTE SR. ZUBIRY JOSE EVARISTO ARRIBA EN VUELO DE REFERENCIA Y SE DIRIGE CON SU EQUIPAJE DE MANO HASTA LAS OFICINAS DE LA EMPRESA RENTADORA DE AUTOS HERTZ, EN LA MISMA ES ATENDIDO POR EL EMPLEADO SR. HERRERA JOSE EN ESOS INSTANTES Y MIENTRAS DICHA PERSONA SE APRESTABA A CONFECCIONAR EL CONTRATO, EL DENUNCIANTE LE INFORMA QUE DEJARA SUS EFECTOS PERSONALES, QUE SEGÚN SUS DICHOS CONSISTIA EN UN PORTATRAJES, UN MALETIN, Y UN PORTA NET BOOK, CONTENIENDO EN SU INTERIOR UNA NET, PARA DIRIGIRSE AL TOILETE, LOS MISMOS FUERON DEPOSITADOS AL FONDO DEL PASILLO DE DICHA OFICINA, QUE AL MOMENTO DE RETORNAR DEL TOILETE, TRANSCURRIDO CINCO MINUTOS APROXIMADAMENTE, Y TOMAR SUS EFECTOS PERSONALES, SE PERCATA DEL FALTANTE DEL MALETIN PORTA NET BOOK, PROCEDIENDO A INFORMAR AL EMPLEADO DE LA EMPRESA HERTZ LO SUCEDIDO, A LO CUAL DICHA PERSONA LE INFORMO QUE NO TENIA CONOCIMIENTO DEL FALTANTE Y QUE NO SABIA QUE ENTRE LOS ELEMENTOS DEJADO SE ENCONTRABA EL PORTA NET BOOK, Y QUE NO HABIA INGRESADO NADIE AL SECTOR, A EXCEPCION DE UNA PAREJA PREGUNTANDO POR RESERVA, SIN INGRESAR HASTA EL FONDO DEL LOCAL DONDE SE ENCONTRABAN LOS ELEMENTOS. EL DENUNCIANTE MANIFIESTA NO RECORDAR CON EXACTITUD SI EL PORTA NOTE BOOK LO DEPOSITO SOBRE EL MOSTRADOR DE LA OFICINA DE HERTZ O EN EL FONDO DEL PASILLO CON EL RESTO DE SUS EFECTOS PERSONALES.</t>
  </si>
  <si>
    <t>preembarque 1/16</t>
  </si>
  <si>
    <t>SIENDO LAS 12:15 HS EL OF. JEFE RAFAEL FUCCI Y EL PERSONAL CIVIL MIGUEL RODIL DAN CUMPLIMIENTO A LA ORDEN DE SERVICIO Nº 633/2010, EMBARCANDO AL TESTIGO PROTEGIDO EN EL VUELO IB 6842 CON DESTINO A MADRID- ESPAÑA CON HORARIO DE PARTIDA A LAS 12:50 HS SIN NOVEDAD.-</t>
  </si>
  <si>
    <t>DRA. VILMA CELIA VALLE RUIDIAZ</t>
  </si>
  <si>
    <t>ACTA INTERDICCION</t>
  </si>
  <si>
    <t>LUIS CATDEVILA</t>
  </si>
  <si>
    <t>MIRIAM MASUD</t>
  </si>
  <si>
    <t>INFORMO QUE EN EL CONTROL DE EQUIPAJES DESPACHADOS POR BODEGA DEL VUELO NRO 2725 DE LA EMPRESA AUSTRAL LÍNEAS AÉREAS SE DETECTAN DOS BULTOS DESPACHADOS POR LA EMPRESA JET PAQ Nº DE GUIA 9455597-4, REMITENTE CATDEVILA LUIS DNI N° 27366233 Y DESTINATARIO MIRIAN MASUD DNI N° 13708132, CONTENENDO EN SU INTERIOR MERCADERÍA EN PRESUNTA INFRACCIÓN A LA LEY 22.415. ACTO SEGUIDO SE ESTABLECE COMUNICACION TELEFONICA CON LA SECRETARIA DEL JUZGADO FEDERAL DE PRIMERA INSTANCIA QUIEN ENTERADA DE LOS HECHOS ORDENA SE REALICE ACTA DE INTERDICCION Y SE ENTREGUE LA MERCADERIA JUNTO CON LA DOCUMENTACION, GUIA AEREA Y FACTURA DE COMPRA, AL PERSONAL DE AFIP-DGA PARA QUE LOS MISMOS PROSIGAN CON LA INVESTIGACION, SEGUIDAMETE SE PROCEDE A LA ENTREGA DE DICHA MERCADERIA Y LA DOCUMENTACION AL PERSONAL DE AFIP-DGA SR. JUAN MANUEL GIMENEZ LEG Nº 26468-7 QUIEN REALIZA ACTA DE INTERDICCION Nº 014//2010.</t>
  </si>
  <si>
    <t>BAÑOS DE CABALLEROS, SITO EN EL SECTOR DE ARRIBOS DE LA TERMINAL B DE ESTE MEDIO</t>
  </si>
  <si>
    <t>QUE EN EL DIA DE LA FECHA, MIENTRAS SE ENCONTRABA DESEMPEÑANDO SUS FUNCIONES LABORALES COMO FUNCIONARIO DE LA POLICIA FEDERAL ARGENTINA DE INTERPOL SECCION AEROPUERTO, SE DIRIGE AL SERVICIO SANITARIO, MOMENTOS EN QUE SE DISPONIA A HACER USO DE LA PILETA CON MOTIVOS DE HIGIENIZARSE LAS MANOS, DEJA APOYADO EN LA MISMA UN TELEFONO CELULAR PROPIEDAD DE LA POLICIA FEDERAL ARGENTINA ASIGNADO A LA SECCION DE INTERPOL AEROPUERTO. QUE LUEGO DE SECARSE LAS MANOS, Y ANTES DE DIRIGIRSE A CONTINUAR CON SU JORNADA LABORAL, SE PERCATA DE LA SUSTRACCION DEL TELEFONO CELULAR EN CUESTION.</t>
  </si>
  <si>
    <t>P.F.A.</t>
  </si>
  <si>
    <t>5547/10</t>
  </si>
  <si>
    <t>AMPLIANDO PARTE URGENTE N° 5546 Y N° 5547, INFORMO A HS. 15:00 DEL DIA DE LA FECHA SE PROCEDIO A DESPLAZAR LA AERONAVE C-210 MATRICULA LV- BMP DE CALLE DE RODAJE N° 1 QUEDANDO LA MISMA LIBERADA. A HS. 16.30 APROXIMADAMENTE DESPEGA LA MENCIONADA AERONAVE DE ESTE AEROPUERTO SIENDO TRIPULADA POR EL SR. FALCI MAURICIO DNI N° 26446980 Y EL PASAJERO SR. GLASBERG JAVIER DNI N° 34159037 CON DESTINO FINAL LAS CEJAS SIN NOVEDAD. CONSULTADO AL JEFE DE AEROPUERTO SR. VICE COMODORO MANUEL IZQUIERDO REFERENTE AL INFORME DE LA JUNTA DE ACCIDENTE DE AVIACION CIVIL, EL MISMO MANIFESTO QUE LA JUNTA SE DIO POR ENTERADA Y NO DETERMINARA ACCIÓN ALGUNA.</t>
  </si>
  <si>
    <t>4047/10</t>
  </si>
  <si>
    <t>APERTURA DE ENCOMIENDA S/SUP. INFRACCION A LA LEY 22.415 Y/O 23.737.</t>
  </si>
  <si>
    <t>618/10</t>
  </si>
  <si>
    <t>SE PROCEDE A LA APERTURA DE TRES ENCOMIENDAS DEL CORREO OFICIAL, SEGÚN CONSTA EN ACTA DE APERTURA DE CARGAS Nº 0409/10, PREV. SUM. 080/10, EN VIRTUD DE LO ORDENADO MEDIANTE OFICIO JUDICIAL Nº 1179/10 DEL MAGISTRADO ACTUANTE Y EN PRESENCIA DE UN TESTIGO HABIL. LA 1ª EP666278388AR, RTTE. MARIO MENDEZ, EXODO JUJEÑO 1091, Bº EJERCITO ARGENTINO, PALPALA, C.P. 4612, PCIA. DE JUJUY Y DEST. RAUL ZERDA, KAYEN Nº 140, Bº TOLKAR 9410, USHUAIA, TIERRA DEL FUEGO, CONTIENE: SEIS PAQUETES DE HOJAS DE COCA CON UN PESO TOTAL DE 1.507 GRS. LOS MISMOS QUEDAN SECUESTRADOS, Y EL RESTO DE LA ENCOMIENDA SERA ENTREGADA AL CORREO OFICIAL PARA SU REINSERCION EN EL CIRCUITO POSTAL POR NO SER DE INTERES PARA EL PROCEDIMIENTO, LA 2ª EP656098378AR, RTTE. ZACARIAS INCA, RIVADAVIA Nº 427, PERICO, C.P. 4610, PCIA. DE JUJUY DEST. LUCIA MAMARIA MAMANI, ISLA AÑO NUEVO Nº 111, Bº F. VARELA, USHUAIA C.P. 9410, TIERRA DEL FUEGO, CONTIENE: CINCO PAQUETES DE HOJAS DE COCA CON UN PESO TOTAL DE 1.215 GRS. Y TRES JUGUETES DE INDUSTRIA CHINA, LA MISMA QUEDA SECUESTRADA, Y LA 3ª EP687690135AR, RTTE. SANDRA DECIMA, JOAQUIN CASTELLANOS Nº 859, C.P. 4.400, SALTA Y DEST. HERMENEGILDO VILTE, Bº LOS TREBOLES, CASA Nº 42, RIO TURBIO, C.P. 9.900, PCIA. DE SANTA CRUZ, CONTIENE DOS PAQUETES DE HOJAS DE COCA CON UN PESO TOTAL DE 1.001 GRS. LOS MISMOS QUEDAN SECUESTRADOS Y EL RESTO DE LA ENCOMIENDA SERA ENTREGADA AL CORREO OFICIAL PARA SU REINSERCION EN EL CIRCUITO POSTAL POR NO SER DE INTERES PARA EL PROCEDIMIENTO. LOS SECUESTROS SERAN PUESTOS A DISPOSICION DE LA ADMINISTRACION DE ADUANA DE SALTA POR SUPUESTA INFRACCION AL CODIGO ADUANERO LEY 22.415, Y LAS ACTUACIONES REMITIDAS A SEDE JUDICIAL. SEGÚN PU Nº 4034/10 ORIGINARIO SE PROCEDE A LA RETENCIÓN DE DOS SACAS COLECTORAS DEL CORREO OFICIAL, SEGÚN CONSTA EN ACTA DE RETENCIÓN DE CARGAS Nº 0339/10, QUE ORIGINA LA PREVENCIÓN SUMARIA 080/10, LA PRIMERA SACA IDENTIFICADA CON MARBETE, SLA0210731D555800VAE, PRECINTO N° Z149947, CON UN PESO DECLARADO DE 11,600 KGS, CON DESTINO LA CIUDAD DE USUHAIA, CONTENDRIA CUATRO PIEZAS POSTALES Y LA SEGUNDA SACA IDENTIFICADA CON MARBETE SLA0216744E555700RGL, PRECINTO Nº C821934, CON UN PESO DECLARADO DE 2,800 KGS, CON DESTINO A LA CIUDAD DE RIO GALLEGOS, CONTENDRIA UNA PIEZA POSTAL, LAS MISMAS ESTAN AMPARADAS EN GUÍA DE CARGA Nº 9411728-4, DESPACHADAS ATRAVÉS DE LA EMPRESA DE CARGA AEREA JET PAQ. LA RETENCIÓN SE REALIZA ANTE LA PRESUNCIÓN QUE PUDIERAN CONTENER ALGÚN ELEMENTO EN INFRACCIÓN A LA LEY 23.737 Y/O 22.415, QUEDANDO LAS MISMAS CERRADAS Y PRECINTADAS EN GUARDA EN ESTA UOSP. SE COMUNICO LA RETENCION, TELEFONICAMENTE AL JUZGADO INTERVINIENTE, Y LA APERTURA SE REALIZARÁ EN PRESENCIA DEL PERSONAL DEL CORREO OFICIAL. SEGÚN AMPL. PU Nº 4047/10 SE PROCEDE A LA APERTURA DE DOS SACAS COLECTORAS DEL CORREO OFICIAL, SEGÚN CONSTA EN ACTA DE RETENCIÓN DE CARGAS Nº 0339/10, QUE ORIGINA LA PREVENCIÓN SUMARIA 080/10 Y ACTA DEJANDO CONSTANCIA Nº 340/10. LA 1ª SACA IDENTIFICADA CON MARBETE, SLA0210731D555800VAE, PRECINTO N° Z149947, CON UN PESO DECLARADO DE 11,600 KGS, CON DESTINO LA CIUDAD DE USUHAIA, CONTIENE 4 PIEZAS POSTALES IDENTIFICADA COMO: LA 1ª EP666278388AR, RTTE. MARIO MENDEZ, EXODO JUJEÑO 1091, Bº EJERCITO ARGENTINO, PALPALA, C.P. 4612, PCIA. DE JUJUY Y DEST. RAUL ZERDA, KAYEN Nº 140, Bº TOLKAR 9410, USHUAIA, TIERRA DEL FUEGO, QUEDA RETENIDA, LA 2ª EP656098378AR, RTTE. ZACARIAS INCA, RIVADAVIA Nº 427, PERICO, C.P. 4610, PCIA. DE JUJUY DEST. LUCIA MAMARIA MAMANI, ISLA AÑO NUEVO Nº 111, Bº F. VARELA, USHUAIA C.P. 9410, TIERRA DEL FUEGO, QUEDA RETENIDA Y LAS DOS RESTANTES IDENTIFICADAS COMO EP033345211AR,Y EP725099433AR, SON ENTREGADAS AL SR. ARIAS DEL CORREO OFICIAL PARA SU REDESPACHO. LA 2ª SACA IDENTIFICADA CON MARBETE SLA0216744E555700RGL, PRECINTO Nº C821934, CON UN PESO DECLARADO DE 2,800 KGS, CON DESTINO A LA CIUDAD DE RIO GALLEGOS, CONTIENE UNA PIEZA POSTAL IDENTIFICADA COMO EP687690135AR, RTTE. SANDRA DECIMA, JOAQUIN CASTELLANOS Nº 859, C.P. 4.400, SALTA Y DEST. HERMENEGILDO VILTE, Bº LOS TREHOLES, CASA Nº 42, RIO TURBIO, C.P. 9.900, PCIA. DE SANTA CRUZ, LA CUAL QUEDA RETENIDA. LA RETENCION SE REALIZA ANTE LA PRESUNCION DE QUE PUDIERAN CONTENER ALGUN ELEMNETO EN INFRACCION A LA LEY 22.415 Y/O 23.737, QUEDANDO LAS MISMAS CERRADAS Y EN GUARDA EN ESTA UOSP. SE COMUNICO TELEFONICAMENTE AL JUZGADO INTERVINIENTE Y LA APERTUR SE REALIZARA CON LA AUTORIZACION DEL MAGISTRADO ACTUANTE.</t>
  </si>
  <si>
    <t>S/INFRACCION A LA LEY 23.737</t>
  </si>
  <si>
    <t>PUNTO DE INSPECCION DENOMINADO PUESTO CHARLY</t>
  </si>
  <si>
    <t>SIENDO LAS 14:25 HS DEL DIA DE LA FECHA EL OFICIAL AYUDANTE REINALDO ARAGON Y EL OFICIAL AYUDANTE RUBEN EPUÑAM CUMPLIENDO FUNCION DE CONTROL EN EL PUNTO DE INSPECCION Y REGISTRO DENOMINADO PUESTO CHARLY DETECTA DENTRO DE LAS PERTENENCIAS DEL SR. JOSE LUIS BRECA DNI Nº 35.593.204 PERSONAL DE LA EMPRESA VIDA VERDE SRL UN OBJETO METALICO DEL CUAL NO SE PUDO IDENTIFICAR MEDIANTE EQUIPO DE RX POR LO QUE PROCEDE A REGISTRAR EN FORMA MANUAL ENCONTRANDO EN EL MISMO BOLSILLO EL OBJETO METALICO EN CUESTION Y UNA BOLSA DE PLASTICO OPACA CONTENIENDO EN SU INTERIOR UNA SUSTANCIA ORGANICA DE COLOR VERDE PROCEDIENDOSE A REALIZAR LAS PRUEBAS DE CAMPO EN PRESENCIA DE DOS TESTIGOS HABILES DANDO RESULTADO POSITIVO PARA MARIHUANA SE DA INTERVENCION AL JUZGADO FEDERAL DE SAN CARLOS DE BARILOCHE QUIEN ORDENA SECUESTRO DE LA SUSTANCIA Y LABRAR LAS ACTUACIONES CORRESPONDIENTES</t>
  </si>
  <si>
    <t>FORNARI IGNACIO</t>
  </si>
  <si>
    <t>PSA S/ DENUNCIA PRESUNTO CONTRABANDO DE ESTUPEFACIENTE</t>
  </si>
  <si>
    <t>AV. DE PRESUNTO CONTRABANDODE ESTUPEFACIENTES</t>
  </si>
  <si>
    <t>REF. ORDEN DE SERV. N° 910, SE INFORMA CON RELACION A LA DETENIDA EN EL MARCO DE LA CAUSA DE REFERENCIA QUE LA MISMA FUE TRASLADADA DESDE EL HOSPITAL DE EZEIZA HASTA SEDE TRIBUNALICIA, Y LUEGO DE TOMARLE DECLARACION INDAGATORIA FUE TRASLADADA A LA UNIDAD 29, DONDE QUEDARA A DISPOSICION DEL TRIBUNAL ACTUANTE.</t>
  </si>
  <si>
    <t>SIENDO LAS 15:45HS SE PRESENTA EN ESTA UNIDAD OPERACIONAL EL SR.JORGE RICARDO SEGOVIA, D.N.I.12.964.716, QUIEN MANIFIESTA HABER EXTRAVIADO UN PERMISO PERSONAL DE SEGURIDAD AEROPORTUARIA PERMANENTE, A SU NOMBRE, POR LO CUAL SE LABRA EL ACTA CORRESPONDIENTE. D.R.I.C.A 2 - CRED. NRO. 336149 CON FECHA VENCIMIENTO 17/04/2011.</t>
  </si>
  <si>
    <t>5583/10</t>
  </si>
  <si>
    <t>INFORMO QUE SIENDO LAS 10:30 HS DEL DIA DE LA FECHA SE PROCEDIO AL TRASLADO DEL DETENIDO A LA UNIDAD 28 DEL S.P.F SIN NOVEDAD</t>
  </si>
  <si>
    <t>JJ8003</t>
  </si>
  <si>
    <t>SE PROCEDE A LA RETENCIÓN DE TRES SACAS COLECTORAS DEL CORREO OFICIAL SALTA SEGÚN CONSTA EN ACTA DE RETENCIÓN 0411/10, QUE ORIGINA LA PREVENCIÓN SUMARIA Nº 094/10, LA 1º SACA IDENTIFICADA CON MARBETE SLA0217121E636300NQN, PRECINTO Nº D636588, CON UN PESO DECLARADO DE 2,500 KGS., CON DESTINO LA CIUDAD DE NEUQUEN, CONTIENE UNA PIEZA POSTAL, LA 2º SACA IDENTIFICADA CON MARBETE SLA8709789D505000CPI, PRECINTO Nº D638362, CON UN PESO DECLARADO DE 6,600 KGS., CON DESTINO LA CIUDAD DE BUENOS AIRES, CONTIENE UNA PIEZA POSTAL, LA 3º SACA IDENTIFICADA CON MARBETE SLA0212770D555600CRD, PRECINTO Nº D636827, CON UN PESO DECLARADO DE 8,300 KGS., CON DESTINO LA CIUDAD DE COMODORO RIVADAVIA, CONTIENE DOS PIEZAS POSTALES, LAS MISMAS ESTAN AMPARADAS EN GUIA DE CARGA Nº 9453312-1, DESPACHADAS A TRAVEZ DE LA EMPRESA DE CARGAS AEREAS JET-PAQ. LA RETENCION SE REALIZA ANTE LA PRESUNCIÓN DE QUE PODRÍAN CONTENER EN SU INTERIOR ALGUN ELEMENTO EN INFRACCION A LA LEY 22.415Y/O 23.737. QUEDANDO LAS MISMAS CERRADAS Y PRECINTADAS EN GUARDA EN ESTA UOSP. SEGUN LO COORDINADO CON LA DRA. MARIA ISABEL FALU A CARGO DE LA SECRETARIA PENAL Nº 4 DEL JUZGADO FEDERAL Nº 2 A CARGO DEL DR. MIGUEL ANTONIO MEDINA. Y LAS APERTURAS SE REALIZARAN EN PRESENCIA DEL PERSONAL DEL CORREO OFICIAL.</t>
  </si>
  <si>
    <t>OLMEDO, GONZALO</t>
  </si>
  <si>
    <t>FISCALIA GENERAL REMITE COPIAS DE LA OFICINA ANTICORRUPCION DEL MINISTERIO DE JUSTICIA DE LA NACION</t>
  </si>
  <si>
    <t>F-3-06-CL</t>
  </si>
  <si>
    <t>EN EL DIA DE LA FECHA SE RECEPCIONO UN OFICIO EMITIDO POR LA FISCALIA FEDERAL Nº 1 DE CORDOBA A NOMBRE DEL DIRECTOR GENERAL DE SEGURIDAD COMPLEJA SR. JOSE ALBERTO JOFRE A LOS EFECTOS DE SOLICITARLE QUE DESIGNE PERSONAL DE SU NUMERARIO PARA REALIZAR TAREAS INVESTIGATIVAS EN LA CAUSA F-3-06-CL QUE SE TRAMITA ANTE DICHA FISCALIA. D.R.I.C.A. 2 - SE TRATARIA DE INVESTIGAR LAS ACTIVIDADES DEL SR. FRANCISCO MOTA, C.U.I.T. NRO 20-06477410-8 A PEDIDO DE LA FISCALIA. SIN OTRA INFORMACIÓN HASTA EL MOMENTO.</t>
  </si>
  <si>
    <t>PUESTO DE VIGILANCIA EN EL PORTON DE INGRESO A LA AEROESTACION DE LA EMPRESA S.A.S.A</t>
  </si>
  <si>
    <t>SIENDO LAS 10:00 HORAS SE PRESENTA EN LA OFICINA DE GUARDIA DE PREVENCION DE ESTA UNIDAD OPERACIONAL EL SR. BACUVCIK EDGARDO OMAR A RADICAR DENUNCIA CORRESPONDIENTE POR EL ROBO SUCEDIDO EN HORAS DE LA MADRUGADA DE UN EQUIPO DE COMUNICACIONES PARA LO CUAL HABRIAN ROTO LA PUERTA DE ACCESO AL PUESTO DE VIGILANCIA DE LA EMPRESA CORRESPONDIENTE. EL SR. BACUVCIK FUE INFORMADO DE LA SITUACION POR EL SR. ECHEVERRY ANGEL EMPLEADO PERTENECIENTE A LA EMPRESA S.A.S.A. SIENDO LAS 10:15 HORAS SE REALIZAN LAS COMUNICACIONES PERTINENTES CON LA AUTORIDAD JUDICIAL DE TURNO AL CUAL SE LE IMPONEN LOS HECHOS Y EL CUAL DISPONE 1. SE DERIVE AL DENUNCIANTE A LA OFICINA FISCAL A REALIZAR LA DENUNCIA 2. QUE SE REALICEN ACTUACIONES POR ROBO SIMPLE Y 3. QUE SE DERIVEN LAS ACTUACIONES UNA VEZ FINALIZADAS. D.R.I.C.A. 2 - DE ACUERDO A LO EXPUESTO POR EL DENUNCIANTE REALIZA COMUNICACIóN CON EL EQUIPO SUSTRAíDO EL CUAL ES CONTESTADO DESDE LA TERMINAL DE ÓMNIBUS DE ESTA PROVINCIA YA QUE éSTE HABRíA SIDO ENCONTRADO POR UN PERSONAL DE VIGILANCIA DE ESA TERMINAL QUE POR INTERMEDIO DEL EQUIPO DE COMUNICACIONES HALLADO SE PRESENTA COMO SR. CABALLERO, ARIEL. POR LO QUE EL DENUNCIANTE SE DIRIJE AL LUGAR RECUPERANDO EL ELEMENTO SUSTRAíDO.</t>
  </si>
  <si>
    <t>SASA</t>
  </si>
  <si>
    <t>SCANNER RX</t>
  </si>
  <si>
    <t>CONTROL ADUANERO DE ARRIBOS DE LA TERMINAL A</t>
  </si>
  <si>
    <t>EN EL DIA DE LA FECHA, SIENDO APROXIMADAMENTE LAS 0940 HORAS, EL DAMNIFICADO ARRIBO EN VUELO UA 847, DE LA EMPRESA UNITED AIRLINES. QUE LUEGO DE REALIZAR LOS TRAMITES MIGRATORIOS CORRESPONDIENTES, EFECTUA UNA COMPRA EN EL LOCAL DUTY FREE SHOP DE ARRIBOS DE LA TERMINAL A. SEGUIDAMENTE REALIZA EL CONTROL ADUANERO Y SE DIRIGE HACIA LA PERGOLA DE LA TERMINAL A, LUGAR DONDE SE PERCATA QUE HABIA DEJADO OLVIDADO EN EL SCANNER DE ADUANAS, LA BOLSA CONTENIENDO LOS ELEMENTOS ADQUIRIDOS EN DUTY FREE, POR TAL MOTIVO REGRESA AL CONTROL ADUANERO, DONDE CONSULTA POR LA BOLSA FALTANTE. A LO QUE PERSONAL DE ADUANAS RESPONDE QUE NO HABIA NINGUN ELEMENTO CON LAS CARACTERISTICAS MENCIONADAS.</t>
  </si>
  <si>
    <t>EXPTE. EXPO. Nº 340/2010</t>
  </si>
  <si>
    <t>EN EL DIA DE LA , SE PRESENTA ANTE EL CONTROL DE DOCUMENTOS EL CIUDADANO PASTOR FLORENCIO PEREDO LOPEZ, DNI 92.650.004. SOBRE QUIEN RECAE UN PEDIDO DE PARADERO SEGUN EL SISTEMA RED LINCE BAJO EL REGISTRO Nº 285709, VINCULADO AL EXPTE DE EXPO Nº 340/2010 CARATULADO -SOLICITUD DE PARADERO- EN TRAMITE POR ANTE PFA COMISARIA Nº 1 RIO GRANDE. ACTO SEGUIDO Y EN VIRTUD DE LOS AUTOS DE REFERENCIA SE NOTIFICO AL CIUDADANO ANTES EL CUAL FIJO DOMICILIO REAL, Y CONTINUO CON SU VIAJE PROGRAMADO.</t>
  </si>
  <si>
    <t>TABOADA</t>
  </si>
  <si>
    <t>A UNOS 150 METROS DEL PUESTO BRAVO</t>
  </si>
  <si>
    <t>SIENDO LA HORA MENCIONADA AL MOMENTO DE CIRCULAR POR EL VIADUCTO DE LA AVENIDA SARMIENTO EN CERCANIAS DEL PUESTO BRAVO DE ESTE AEROPUERTO, EL DAMNIFICADO JUNTO A SU MADRE Y UNA AMIGA SON INTERCEPTADOS POR UN MASCULINO EL CUAL LE EXIJE QUE LE ENTREGUE EL CELULAR AMENAZANDOLO CON UN ARMA BLANCA -CUCHILLO-. LUEGO DE ENTREGARLE EL MISMO EL DELINCUENTE SE ALEJA, Y EL DAMNIFICADO JUNTO A SUS ACOMPAÑANTES SE ACERCA AL PUESTO BRAVO Y LE INFORMA LO SUCEDIDO AL PERSONAL DESTACADO EN DICHO PUESTO, POR LO QUE LOS MISMOS INMEDIATAMENTE SE ACERCAN AL LUGAR DEL HECHO A FIN DE DAR CON EL MASCULINO, OBTENIENDO RESULTADO NEGATIVO.</t>
  </si>
  <si>
    <t>AVERIGUACION PRESUNTO DELITO DE ACCION PUBLICA</t>
  </si>
  <si>
    <t>RESTAURANTE DEL B° UNO</t>
  </si>
  <si>
    <t>INFORMO QUE EL DIA 14 DE SEPTIEMBRE DEL CORRIENTE AÑO, SIENDO LAS 18:20 HORAS SE RECEPCIONO CORREO ELECTRONICO A NOMBRE DE MARCELO TEODORO SALERNO, CON DIRECCION DE CORREO - MRSALERNOT.ARROBA.HOTMAIL.COM -, EN LA CUAL DENUNCIA LA PRESUNTA COMISION DE UN DELITO POR PARTE DE PERSONAS QUE SE ENCONTRABAN EN RESTAURANTE DEL BARRIO UNO DE ESTA CIUDAD DE EZEIZA, QUIENES VESTIAN CON ROPA DE LA EMPRESA INTERCARGO Y HABLABAN SOBRE LA COMERCIALIZACION DE SUSTANCIAS ESTUPEFACIENTES, COMO ASI TAMBIEN HACIAN MENCION A LA VIOLACION DE EQUIPAJES EN EL AEROPUERTO INTERNACIONAL DE EZEIZA, POSTERIORMENTE SE DA INTERVENCION AL JUZGADO FEDERAL NRO. 2 DE LOMAS DE ZAMORA, QUIEN PREVIA CONSULTA CON S.SA. SE DISPONE QUE SE LABREN LAS ACTUACIONES DEL CASO Y SE ELEVEN LAS CONSTANCIAS.</t>
  </si>
  <si>
    <t>1.053/09</t>
  </si>
  <si>
    <t>COMTROL CON SCAN VAN.-</t>
  </si>
  <si>
    <t>SE PROCEDE A LA APERTURA DE UNA ENCOMIENDA DEL CORREO OFICIAL, SEGUN CONSTA EN ACTA DE APERTURA DE CARGAS Nº 414/10, PREV. SUM. 033/09, INFORMADO MEDIANTE SIPAP Nº 0397/09 DE FECHA 15/11/09, AMPLIACION Nº 398/09 DE FECHA 16/11/09, EN VIRTUD DE LO ORDENADO MEDIANTE OFICIO JUDICIAL Nº 1830/10, DEL MAGISTRADO ACTUANTE Y EN PRESENCIA DE UN TESTIGO HABIL, LA ENCOMIENDA Nº EP668762625AR, RTTE. JUAN CARLOS MAMANI, LOS TIPALES 1028, C.P. 4600, S.S. DE JUJUY, Y DEST. SRA. SEVERINA VARGAS, POSTE RESTANTE, C.P. 9011, CALETA OLIVIA, CONTIENE TREINTA PAQUETES DE HOJAS DE COCA, CON UN PESO TOTAL DE 7.351 GRS. LA ENCOMIENDA SECUESTRADA SERA PUESTA A DISPOSICION DE ADUANA DE SALTA POR SUPUESTA INFRACCION AL CODIGO ADUANERO LEY 22.415, Y LAS ACTUACIONES REMITIDAS A SEDE JUDICIAL. P.U. Nº 0397/09 - ORIGINARIO SE PROCEDE A LA RETENCION DE UNA (01) SACA COLECTORA DEL CORREO OFICIAL; IDENTIFICADAS CON MARBETE: SLA9128012E555600CRD; PRECINTO N° S818056; CON UN PESO DECLARADO DE 13.600 KG; CON DESTINO CIUDAD DE COMODORO RIVADAVIA. LA RETENCION SE REALIZO ANTE LA PRESUNCION DE INFRACCION A LAS LEYES 22.415 Y/O 23.737; QUEDANDO LA MISMA EN GUARDA EN ESTA UNIDAD; LA CUAL SE ENCUENTRA CERRADA Y PRECINTADA; SE INFORMO TELEFONICAMENTE AL JUZGADO INTERVINIENTE; LA APERTURA DE LA MISMA SE EFECTUARA CON LA AUTORIZACION DEL MAGISTRADO ACTUANTE. CON CONOCIMIENTO DEL JEFE DE UNIDAD.- P.U. Nº 0398/09 - AMPLIACION SE PROCEDE A LA APERTURA DE UNA SACA MARBETE SLA9128012E555600CRD PRECINTO S818056. CONTIENE TRES (03) PIEZAS: LA 1º IDENTIFICADA EP668762625AR LA CUAL QUEDA RETENIDA Y LAS OTRAS DOS (02) RESTANTES IDENTIFICADAS COMO EP668762585AR Y EP698247135AR. SON ENTREGADAS AL SR OLARTE PARA SU REDESPACHO; POR NO SER DE INTERES PARA EL PROCEDIMIENTO. LA RETENCION SE REALIZA ANTE PRESUNCION DE INFRACCION A LAS LEYES 22415 Y/O 23.737 SE INFORMO TELEFONICAMENTE AL JUZGADO INTERVINIENTE; LA APERTURA DE LA MISMA SE EFECTUARA CON LA AUTORIZACION DEL MAGISTRADO ACTUANTE. CON CONOCIMIENTO DEL JEFE DE UNIDAD.-</t>
  </si>
  <si>
    <t>DR. MARIO A. FERNANDEZ MORENO</t>
  </si>
  <si>
    <t>MINISTERIO PUBLICO FISCAL S/SOLICITA EN CAUSA NRO. 05/07 - HECHO CON PRINCIPIO DE EJECUCION EN LA SUBZONA 5.2-</t>
  </si>
  <si>
    <t>05/07 - INC. 193</t>
  </si>
  <si>
    <t>ENTRE RIOS 1490 - CIUDAD DE POSADAS - PROV. DE MISIONES Y MANUEL CASTRO 1543 DE LA LOCALIDAD DE BANFIELD - PCIA. DE BS.AS.</t>
  </si>
  <si>
    <t>INFORMO EN EL DIA DE LA FECHA, SE RECEPCIONO OFICIO JUDICIAL RELACIONADO CON LA CAUSA NRO. 05/07 INC. 193 CARATULADA: MINISTERIO PUBLICO FISCAL S/SOLICITA EN CAUSA NRO. 05/07 - HECHO CON PRINCIPIO DE EJECUCION EN LA SUBZONA 5.2, DEL JUZGADO FEDERAL NRO. 1 DE BAHIA BLANCA, SECRETARIA DE DERECHOS HUMANOS, EN LA CUAL SE SOLICITA VERIFICAR LOS DOMICILIOS DE LOS CIUDADANOS BENIGNO BALOR LE 4350144 CON DOMICILIO EN ENTRE RIOS 1490 POSADAS PCIA DE BS AS Y JUAN VILLIZIANTO LE 4221215 CON DOMICILIO EN MANUEL CASTRO BANFIELD PCIA DE BS AS , A TAL EFECTO EL JEFE DE ESTA UNIDAD DESIGNO PERSONAL POLICIAL A FIN DE DAR INICIO A LAS TAREAS ORDENADAS.</t>
  </si>
  <si>
    <t>SE PROCEDE A LA APERTURA DE UNA ENCOMIENDA DEL CORREO OFICIAL, SEGÚN CONSTA EN ACTA DE APERTURA DE CARGA Nº 415/10, PREV. SUM. Nº 062/10, EN VIRTUD DE LO ORDENADO MEDIANTE OFICIO JUDICIAL S/N DEL MAGISTRADO ACTUANTE Y EN PRESENCIA DE UN TESTIGO HABIL, LA ENCOMIENDA Nº EP693126625, RTTE. RODRIGUEZ ROXANA JUDITH, GORRITI 221, SALTA, Y DEST. ANCO MIRIAM, CORREO ARGENTINO, USHUAIA, TIERRA DEL FUEGO, CONTIENE DOCE PAQUETES DE HOJAS DE COCA CON UN PESO TOTAL DE 2.937 GRS. LA ENCOMIENDA SECUESTRADA SERA PUESTA A DISPOSICION DE LA ADUANA DE SALTA POR SUPUESTA INFRACCION AL CODIGO ADUANERO LEY 22.415, Y LAS ACTUACIONES REMITIDAS A SEDE JUDICIAL. SEGÚN P.U. Nº 3229 - ORIGINARIO SE PROCEDE A LA RETENCIÓN DE DOS SACAS COLECTORAS DEL CORREO OFICIAL, SEGÚN CONSTA EN ACTA DE RETENCIÓN DE CARGAS Nº 0270/10, QUE ORIGINA LA PREVENCIÓN SUMARIA 062/10, LA 1ª SACA IDENTIFICADA CON MARBETE SLA0210536D555800VAE, PRECINTO Nº C822038, CON UN PESO DECLARADO DE 23,600 KGS, CON DESTINO A LA CIUDAD DE USHUAIA, LA CUAL CONTENDRIA TRES PIEZAS POSTALES, Y LA 2ª SACA IDENTIFICADA CON MARBETE SLA9127257E555700RGL, PRECINTO Nº C809401, CON UN PESO DECLARADO DE 9,200 KGS, CON DESTINO A LA CIUDAD DE RIO GALLEGOS, LA CUAL CONTENDRIA CINCO PIEZAS POSTALES, LAS CUALES SERIAN DESPACHADAS ATRAVÉS DE LA EMPRESA DE CARGA AEREA JET PAQ. LA RETENCIÓN SE REALIZA ANTE LA PRESUNCIÓN DE QUE PUDIERAN CONTENER ALGÚN ELEMENTO EN INFRANCIÓN A LA LEY 23.737 Y/O 22.415, QUEDANDO LAS MISMAS CERRADAS Y PRECINTADAS EN GUARDA EN ESTA UOSP. SE COMUNICO TELEFONICAMENTE AL JUZGADO INTERVINIENTE, Y LA APERTURA SE REALIZARÁ EN PRESERNCIA DEL PERSONAL DEL CORREO OFICIAL. SEGÚN P.U. Nº 3230 - AMPLIACION SE PROCEDE A LA APERTURA DE DOS SACAS COLECTORAS DEL CORREO OFICIAL, SEGÚN CONSTA EN ACTA DE RETENCIÓN DE CARGA Nº 270/10 Y ACTA DEJANDO CONSTANCIA Nº 271/10 DE APERTURA DE SACA, QUE ORIGINA LA PREVENCIÓN SUMARIA Nº 062/10 , LA 1ª SACA IDENTIFICADA CON MARBETE SLA0210536D555800VAE, PRECINTO N° C822038, CONTIENE TRES PIEZAS POSTALES IDENTIFICADA COMO EP658939376, RTTE. MOLINA JOSÉ DANIEL, DOMICILIO EN CALLE YAVI Nº 254, PERICO PROVINCIA DE JUJUY, DESTINATARIO HERRERA FELIPE, EL CALAFATE PROVINCIA DE SANTA CRUZ Y EP702480895, RTTE. MAMANI, DOMICILIO EN CALLE LAS HERAS S/N, ABRAPAMPA PROVINCIA DE JUJUY, DESTINATARIO SEGUNDO MAMANI, DOMICILIO EN PABELLÓN N: 2 AB N: 5 (6407) YACIMIENTO RÍO TURBIO PROVINCIA DE SANTA CRUZ, LAS MISMAS QUEDAN RETENIDAS, Y LA 3ª IDENTIFICADA COMO EP659036995, ES ENTREGADA AL SR. ARIAS EMPLEADO DE CORREO OFICIAL PARA REDESPACHO; LA 2ª SACA IDENTIFICADA CON MARBETE, SLA9127257E555700RGL, PRECINTO N° C809401, CON UN PESO DECLARADO DE 9,200 KGS, CON DESTINO LA CIUDAD DE RIO GALLEGO CONTIENE CINCO (05) PIEZAS POSTALES IDENTIFICADA COMO EP711096936, RTTE. ANGÉLICA NOEMÍ ZERPA, PROVINCIA DE SALTA, DESTINATARIO ROSA HERMINIA GUTIERREZ, USHUAIA PROVINCIA DE TIERRA DEL FUEGO, Y EP693126625, RTTE. RODRIGUEZ ROXANA JUDITH, DOMICILIO GORRITI 221 PROVINCIA DE SALTA - CAPITAL, DESTINATARIO ANCO MIRIAM, DOMICILIO CORREO ARGENTINO USHUAIA PROVINCIA DE TIERRA DEL FUEGO TELÉFONO 0291-15408168, LAS MISMAS QUEDAN RETENIDAS, Y LA 3ª IDENTIFICADA COMO EP693126577, LA 4ª IDENTIFICADA COMO EP711096882 Y LA 5ª IDENTIFICADA COMO EP661587918, SON ENTREGADAS AL SR. ARIAS EMPLEADO DE CORREO OFICIAL PARA REDESPACHO, ANTE LA PRESUNCIÓN DE QUE PUDIERA CONTENER ALGÚN ELEMENTO EN INFRACCIÓN A LA LEY 23.737 Y/O 22.415, QUEDANDO LAS MISMAS CERRADAS Y EN GUARDA DE ESTA UOSP. SE COMUNICO TELEFÓNICAMENTE AL JUZGADO INTERVINIENTE Y LA APERTURA SE REALIZARA CON LA AUTORIZACIÓN DEL MAGISTRADO ACTUANTE. SEGÚN P.U. Nº 3932 - APERTURA DE (03) TRES ENCOMIENDAS SE PROCEDE A LA APERTURA DE TRES ENCOMIENDAS DEL CORREO OFICIAL, SEGÚN CONSTA EN ACTA DE APERTURA DE CARGA Nº 330/10, PREV. SUM. Nº 062/10, EN VIRTUD DE LO ORDENADO EN OFICIO JUDICIAL S/N, DEL MAGISTRADO ACTUANTE Y EN PRESENCIA DE UN TESTIGO HABIL, LA 1ª EP658939376, RTTE. MOLINA JOSÉ DANIEL, YAVI Nº 254, PERICO - JUJUY, C.P. 4610, Y DEST. HERRERA FELIPE, EL CALAFATE -SANTA CRUZ, C.P. 9405, CONTIENE: ONCE PAQUETES DE HOJAS DE COCA CON UN PESO TOTAL DE 2.804 GRS., LA 2ª EP702480895, RTTE. MAMANI, LAS HERAS S/N, ABRAPAMPA - JUJUY, Y DEST. SEGUNDO MAMANI, PABELLÓN Nº 2 AB Nº 5, C.P. 9407, YACIMIENTO RÍO TURBIO PROVINCIA DE SANTA CRUZ, CONTIENE: OCHO PAQUETES DE HOJAS DE COCA CON UN PESO TOTAL DE 1.862 GRS., Y LA 3ª EP711096936, RTTE. ANGÉLICA NOEMÍ ZERPA, PROVINCIA DE SALTA, Y DEST. ROSA HERMINIA GUTIERREZ, USHUAIA - TIERRA DEL FUEGO, CONTIENE: ONCE PAQUETES DE HOJAS DE COCA CON UN PESO TOTAL DE 2.945 GRS. LAS ENCOMIENDAS SERAN PUESTAS A DISPOSICION DE LA ADUANA DE SALTA POR SUPUESTA INFRACCION A LA LEY 22.415 CODIGO ADUANERO, Y LAS ACTUACIONES SERAN</t>
  </si>
  <si>
    <t>HALLAZGO/DESCARTE MARIHUANA</t>
  </si>
  <si>
    <t>PREEMBARQUE, PUERTA DE INGRESO PASAJEROS</t>
  </si>
  <si>
    <t>EN EL DIA DE LA FECHA LUEGO DE REALIZAR EL PREEMBARQUE DEL VUELO 1896 DE LA EMPRESA AEROLINEAS ARGENTINAS, SE PROCEDE A LA ESTERILIZACION DE LA ZONA. JUNTO A UNO DE LOS PARANTES DE LAS CINTAS SE ENCUENTRA UNA BOLSA DE NYLON CON UNA SUSTANCIA COLOR VERDOSA/MARRON, PRESUMIBLEMENTE PICADURA DE HIERBA. EN PRESENCIA DE LOS TESTIGOS SE REALIZA PRUEBA DE CAMPO CON REACTIVO NICK PARA MARIHUANA, EL CUAL ARROJA RESULTADO NEGATIVO, APARENTEMENTE PORQUE EL MISMO SE ENCONTRARIA VENCIDO, DADO QUE POR EL COLOR, OLOR Y LAS SEMILLAS QUE CONTENIA EL ENVOLTORIO ES EVIDENTE QUE SE TRATA DE CANNABIS. SE DA LA NOVEDAD AL JUZGADO LOCAL QUIEN DISPONE SE LABREN LAS ACTUACIONES DE RIGOR Y SE REMITAN A LA CEDE JUDICIAL A SU CARGO</t>
  </si>
  <si>
    <t>DR. LUIS D´ABONDIO</t>
  </si>
  <si>
    <t>DANIELA ESTER MERCADO - AV. 7 DE MARZO 2500 - SANTO TOME - PCIA. DE SANTA FE - ARG.</t>
  </si>
  <si>
    <t>NEWY MODEL COMPANY-SHAOGUAN MANSION BUILDING Nº 86-GUANYUAN XI LU GUANZ HOW CITY-CHINA</t>
  </si>
  <si>
    <t>EN MOMENTOS EN QUE EL PERSONAL POLICIAL EFECTUABA EL CONTROL PREVENTIVO MEDIANTE EQUIPO DE RAYOS X, EN EL PUNTO DE INSPECCIÓN DEL CORREO ARGENTINO EMPLAZADO EN LA TERMINAL DE CARGAS ARGENTINAS (TCA), VISUALIZÓ EN EL INTERIOR DE UNA SACA DE COLOR BLANCO CON LA LEYENDA "CORREO ARGENTINO", DOS CAJAS, CONTENIENDO EN SU INTERIOR CADA UNA DE ELLAS, UN OBJETO CILÍNDRICO METÁLICO CON LA MORFOLOGÍA SIMILAR A LA DE UNA OLLA, PUDIÉNDOSE APRECIAR DEL MISMO MODO QUE EN LA BASE DE LAS MISMAS HABÍA SUSTANCIA DE TIPO ORGÁNICA DE BAJA DENSIDAD, SIN PODER DETERMINAR FEHACIENTEMENTE DE QUE SE TRATABA. POR LO CUAL SE CONVOCÓ LA PRESENCIA DE DOS TESTIGOS Y PREVIA AUTORIZACIÓN JUDICIAL SE PROCEDIÓ A LA APERTURA DE LAS MENCIONADAS CAJAS, PUDIÉNDOSE ENCONTRAR EN CADA UNA DE ELLAS, UNA OLLA CON UN PAQUETE OCULTO EN EL DOBLE FONDO, FORMADO POR UNA FALSA BASE. A DICHOS PAQUETES SE LE EFECTUÓ REACTIVO DE CAMPO MARCA COCATEST ARROJANDO RESULTADO POSITIVO PARA LA SUSTANCIA CLORHIDRATO DE COCAÍNA. CABE DESTACAR QUE LAS CAJAS FUERON DESPACHADAS EN LA LOCALIDAD DE SANTO TOME PROVINCIA DE SANTA FE Y LLEGARON A EZEIZA VIA TERRESTRE.</t>
  </si>
  <si>
    <t>FRANKFURT - LH 720</t>
  </si>
  <si>
    <t>SANTIAGO DEL ESTERO 2143</t>
  </si>
  <si>
    <t>EN EL DIA DE LA FECHA EN EL MARCO DE LAS TAREAS INVESTIGATIVAS ORDENADAS EN EL MARCO DE LA PREVENCION SUMARIA DE REFERENCIA, PERSONAL DE ESTA UNIDAD MEDIANTE LOS REGISTROS FILMICOS DEL COC VISUALIZA A LOS IMPUTADOS DESPLAZANDOSE EN UN VEHICULO FIAT SIENA DOMINIO COLOCADO FYF 809, TRATANDOSE DE TRES MASCULINOS Y UNA FEMENINA. DE TAREAS ULTERIORES SOBRE EL VEHICULO SE DETERMINO QUE SU TITULAR ERA FACUNDO HERNANDO ROMEO, DNI 24.053.537. ASIMISMO SE DETERMINO QUE EL MISMO POSEIA VARIOS VEHICULOS A SU NOMBRE. DE TAREAS REALIZADAS SOBRE UNO DE LOS DOMICILIOS DE LA TITULARIDAD VEHICULAR SURGE QUE SE TRATA DE UNA AGENCIA DE ALQUILER DE AUTOS DE NOMBRE "NOBRE RENT A CAR" . EN DICHO LUGAR SE CONSTATO QUE EL VEHICULO FUE ALQUILADO CON FECHA 25 DE AGOSTO DE 2010 A UNA FEMENINA DE NOMBRE ALEX ALVAREZ SANABRIA DE NACIONALIDAD COLOMBIANA, PASAPORTE CC51898852 Y A UN MASCULINO DE NACIONALIDAD COLOMBIANA CEDULA DE IDENTIDAD N° 79.802.740, VENCIENDO EL ALQUILER HOY A LAS 19.00 HORAS. DE LA DOCUMENTACION OBRANTE EN LA AGENCIA SURGE QUE LA FEMENINA TIENE UNA FISONOMÍA PARECIDA A LA VISUALIZADA EN LAS FILMACIONES DEL COC. ASIMISMO EN LA AGENCIA SUMINISTRARON COMO DOMICILIO EL HOTEL COLONIAL, HABITACION 201, LOGRANDOSE DETERMINAR QUE EXISTE UN ALBERGUE CON ESE NOMBRE EN LA CALLE 24 DE NOVIEMBRE 229 DE CABA, REALIZÁNDOSE TAREAS EN EL HOTEL SE DETERMINO QUE NO EXISTIAN ALOJADAS PERSONAS CON ESE NOMBRE NI DE NACIONALIDAD COLOMBIANA. INFORMADO EL FISCAL ACTUANTE DE LO ACONTECIDO ORDENA QUE EN CASO DE SER HABIDOS SE LOS NOTIFIQUE QUE DEBERÁN COMPARECER EN EL ASIENTO DE LA UNIDAD OPERACIONAL EZEIZA. SE REALIZO VIGILANCIA EN EL LUGAR HASTA LAS 19.00 HORAS, HORA DEL CIERRE DEL LOCAL, SIN QUE SE HAYAN APERSONADO EN EL LUGAR LOS SINDICADOS.</t>
  </si>
  <si>
    <t>PERALTA</t>
  </si>
  <si>
    <t>OMAR</t>
  </si>
  <si>
    <t>DRA. GEIJO MARIA FLORENCIA</t>
  </si>
  <si>
    <t>PREEEMBARQUE CABOTAJE</t>
  </si>
  <si>
    <t>EN MOMENTOS DE PRODUCIRSE EL PREEMBARQUE DEL VUELO DE REFERENCIA Y AL REALIZAR EL CONTROL DE BORDING PASS Y DOCUMENTOS SOBRE EL PASAJE SE DETECTA MEDIANTE EL SISTEMA RED LINCE UN PEDIDO DE CAPTURA SOBRE EL CAUSANTE SR. MIGUEL ANGEL CASTRO CANEPA BAJO EL REGISTRO NRO. 40538. SE REALIZA COMUNICACION CON LA SECRETARIA DEL JUZGADO ACTUANTE ORDENANDO LA MISMA QUE SE PRACTIQUEN SOBRE EL CAUTELADO IDENTIFICACION MEDIANTE FICHAS DACTILOSCOPICA Y CONSTATACION DE DOMICILIO. UNA VEZ CONCLUIDO LO ORDENADO POR LA SECRETARIA PROCEDER A DAR LIBERTAD DEL DETENIDO Y ELEVAR LAS ACTUACIONES A ESE SEDE JUDICIAL. PU 5638 16-09-2010 SIENDO LAS 00:52 SE RECIBE VIA FAX CONSTATACION DE DOMICILIO LABRADA POR PERSONAL DE LA U.O.S.P. EZEIZA, CON RESULTADO POSITIVO. POR LO QUE TERMINADAS LAS ACTUACIONES DE RIGOR, SE PROCEDE A DAR CUMPLIMIENTO A LO ORDENADO POR LA MAGISTRATURA INTERVINIENTE QUEDANDO EL CAUTELADO EN LIBERTAD EN FORMA INMEDIATA</t>
  </si>
  <si>
    <t>S/ INFRACCION LEY 23.737</t>
  </si>
  <si>
    <t>HALL PLANTA ALTA EDIFICIO TERMINAL DE PASAJEROS</t>
  </si>
  <si>
    <t>SIENDO LAS 21:15 HORAS DEL DIA DE LA FECHA EL OFICIAL AYUDANTE REINALDO ARAGON LEG. N° 501267 CUMPLIENDO SUS FUNCIONES, EN EL PREEMBARQUE DE CABOTAJE EN EL VUELO DE REFERENCIA, AL REALIZAR UN REGISTRO SOBRE UNA CAMPERA DE UN PASAJERO QUIEN RESULTA SER EL SEÑOR MARCELO RUBEN DENZA D.N.I. N° 22.066.337 DETECTA UN ENVASE PLASTICO DENTRO DEL CUAL SE ENCUENTRA UNA SUSTANCIA VEGETAL DE COLOR VERDOSO, SE SOLICITA LA PRESENCIA DE DOS TESTIGOS HABILES PARA LUEGO DIRIGIRSE LOS ACTUANTES CON EL PASAJERO A LA OFICINA DE TURNO, PARA REALIZAR REACTIVO DE CAMPO EL CUAL ARROJA RESULTADO POSITIVO PARA MARIHUANA, SE DA INTERVENCION AL JUZGADO FEDERAL DE SAN CARLOS DE BARILOCHE EN LA PERSONA DEL DOCTOR WALTER LOPEZ DA SILVA QUIEN ORDENA SE SECUESTRE LA SUSTANCIA, SE INICIEN LAS ACTUACIONES DE RIGOR, SE NOTIFIQUE DE CAUSA AL IMPUTADO Y SE LIBERE PARA CONTINUAR CON SU VIAJE PROGRAMADO ASIMISMO SE EFECTUO REGISTRO AL EQUIPAJE FACTURADO ARROJANDO RESULTADO NEGATIVO</t>
  </si>
  <si>
    <t>5635/10</t>
  </si>
  <si>
    <t>SIENDO LAS 00:52 SE RECIBE VIA FAX CONSTATACION DE DOMICILIO LABRADA POR PERSONAL DE LA U.O.S.P. EZEIZA, CON RESULTADO POSITIVO. POR LO QUE TERMINADAS LAS ACTUACIONES DE RIGOR, SE PROCEDE A DAR CUMPLIMIENTO A LO ORDENADO POR LA MAGISTRATURA INTERVINIENTE QUEDANDO EL CAUTELADO EN LIBERTAD EN FORMA INMEDIATA</t>
  </si>
  <si>
    <t>PROXIMO A LA OFICINA DE LA EMPRESA ASSIST CARD</t>
  </si>
  <si>
    <t>EN EL DIA DE LA FECHA SIENDO APROXIMADAMENTE LAS 10.30 HS ARRIBA A ESTE AEROPUERTO INTERNACIONAL JUNTO A SU PAREJA MARIA CRISTINA GAROFALO, Y SU HIJA CHIARA MACARRONE GAROFALO CON MOTIVOS DE EMBARCAR EN EL VUELO DE LA EMPRESA ALITALIA, CON DESTINO A MILAN - ITALIA. LUEGO DE REALIZAR EL CORRESPONDIENTE CHECKING, SE DIRIGE JUNTO A SU FAMILIA A LA OFICINA DE LA EMPRESA ASSIST CARD, QUEDANDOSE A UNOS METROS SU PAREJA CON SU HIJA, JUNTO A UN CARRO PORTA MALETAS CONTENIENDO EL MISMO DOS EQUIPAJES DE MANO, SIENDO ESTOS UNA MOCHILA Y UN MALETIN. QUE LUEGO DE REALIZAR EL TRAMITE PERTINENTE EN LA OFICINA DE ASSIST CARD TOMA CONTACTO NUEVAMENTE CON SU FAMILIA Y EL CARRO PORTA MALETAS, PERCATANDOSE DEL FALTANTE DEL MALETIN. SE INFORMA EN PU Nº 5634 CON FECHA 15/09/2010 EN EL MARCO DE LAS TAREAS INVESTIGATIVAS ORDENADAS SOBRE LA PREVENCION SUMARIA 469E/10, PERSONAL DE LA UNIDAD UC1 MEDIANTE LOS REGISTROS FILMICOS DEL COC VISUALIZA A LOS CAUSANTES DESPLAZANDOSE EN UN VEHICULO FIAT SIENA DOMINIO COLOCADO FYF 809, TRATANDOSE DE TRES MASCULINOS Y UNA FEMENINA. DE TAREAS ULTERIORES SOBRE EL VEHICULO SE DETERMINO QUE SU TITULAR ERA FACUNDO HERNANDO ROMEO, DNI 24.053.537. ASIMISMO SE DETERMINO QUE EL MISMO POSEIA VARIOS VEHICULOS A SU NOMBRE. DE TAREAS REALIZADAS SOBRE UNO DE LOS DOMICILIOS DE LA TITULARIDAD VEHICULAR SURGE QUE SE TRATA DE UNA AGENCIA DE ALQUILER DE AUTOS DE NOMBRE "NOBRE RENT A CAR" . EN DICHO LUGAR SE CONSTATO QUE EL VEHICULO FUE ALQUILADO CON FECHA 25 DE AGOSTO DE 2010 A UNA FEMENINA DE NOMBRE ALEX ALVAREZ SANABRIA DE NACIONALIDAD COLOMBIANA, PASAPORTE CC51898852 Y A UN MASCULINO DE NACIONALIDAD COLOMBIANA CEDULA DE IDENTIDAD N° 79.802.740, VENCIENDO EL ALQUILER EN EL DIA DE LA FECHA A LAS 19.00 HORAS. DE LA DOCUMENTACION OBRANTE EN LA AGENCIA SURGE QUE LA FEMENINA TIENE UNA FISONOMÍA PARECIDA A LA VISUALIZADA EN LAS FILMACIONES DEL COC. ASIMISMO EN LA AGENCIA SUMINISTRARON COMO DOMICILIO EL HOTEL COLONIAL, HABITACION 201, LOGRANDOSE DETERMINAR QUE EXISTE UN ALBERGUE CON ESE NOMBRE EN LA CALLE 24 DE NOVIEMBRE 229 DE CABA, REALIZÁNDOSE TAREAS EN EL HOTEL SE DETERMINO QUE NO EXISTIAN ALOJADAS PERSONAS CON ESE NOMBRE NI DE NACIONALIDAD COLOMBIANA. INFORMADO EL FISCAL ACTUANTE DE LO ACONTECIDO ORDENA QUE EN CASO DE SER HABIDOS SE LOS NOTIFIQUE QUE DEBERÁN COMPARECER EN EL ASIENTO DE LA UNIDAD OPERACIONAL EZEIZA. SE REALIZO VIGILANCIA EN EL LUGAR HASTA LAS 19.00 HORAS, HORA DEL CIERRE DEL LOCAL, SIN QUE SE HAYAN APERSONADO EN EL LUGAR LOS SINDICADOS.</t>
  </si>
  <si>
    <t>DENTRO DE LAS INSTALACIONES DEL AEROPUERTO.</t>
  </si>
  <si>
    <t>SE HACE PRESENTE EL SEÑOR ZAMBRANO, ARIEL MANIFESTANDO EL EXTRAVIO DE UN PERMISO PERSONAL DE SEGURIDAD AEROPORTUARIA DE FACILITACION VENCIDO Y A SU NOMBRE, ASI MISMO EL DENUNCIANTE MANIFIESTA NO RECORDAR LA FECHA NI EL LUGAR DEL SUCESO.</t>
  </si>
  <si>
    <t>5609/10</t>
  </si>
  <si>
    <t>SE PROCEDE A LA APERTURA DE TRES SACAS COLECTORAS DEL CORREO OFICIAL, SEGUN CONSTA EN ACTA DEJANDO CONSTANCIA Nº 0416/10, CORRESPONDIENTE A LA PREV. SUM. 094/10. LA 1ª SACA IDENTIFICADA CON MARBETE SLA0217121E636300NQN, PRECINTO Nº D636588, CONTIENE UNA PIEZA POSTAL IDENTIFICADA COMO EP652467695AR, RTTE: ELVIO BATALLANOS, L 03 M 408, LOTEO PRINCIPAL, CP. 4506, FRAILE PINTADO-JUJUY, DEST: SRA ELIZABETH R. RAMOS, SAN PATRICIO DEL CHAÑAR, PCIA DE NEUQUEN, CP. 8506, LA CUAL QUEDA RETENIDA. LA 2º SACA IDENTIFICADA CON MARBETE SLA8709789D505000CPI, PRECINTO Nº D638362, CONTIENE SEIS PIEZAS POSTALES IDENTIFICADAS COMO: EE001547668AR, EE001629296AR,EE001629305AR,EE002318777AR,EE002319052AR Y EE027137387AR, SON ENTREGADAS AL SR, ARIAS PARA SU REDESPACHO. LA 3º SACA IDENTIFICADA CON MARBETE SLA0212770D555600CRD, PRECINTO Nº D636827, CONTIENE TRES PIEZAS POSTALES : LA 1ª IDENTIFICADA COMO EP670302446AR, RTTE: ISABEL SEGUNDO, SANJA HONDA, TARTAGAL, CP. 4560-SALTA, DEST: MARCOS SILVERA, CORREO ARGENTINO-COMODORO RIVADAVIA, LA CUAL QUEDA RETENIDA Y LAS DOS RESTANTES : EP716025429AR Y EP716025503AR, SON ENTREGADAS AL SR, ARIAS PARA SU REDESPACHO. LAS RETENCIONES SE REALIZAN ANTE LA PRESUNCION DE QUE PUDIERAN CONTENER ALGUN ELEMENTO EN INFRACCION A LA LEY 23.737 Y/O 22.415, QUEDANDO EN GUARDA EN EL DEPOSITO JUDICIAL DE ESTA UOSP. A LA ESPERA DEL OFICIO QUE AUTORICE LAS APERTURAS</t>
  </si>
  <si>
    <t>INFORMO QUE EN EL DIA DE LA FECHA SE PRESENTA EL SEÑOR CRISTIAN IGNACIO MARTIARENA D.N.I. Nº 29.133.101, PERSONAL DE FUERZA AEREA ARGENTINA - SERVICIO CONTRA INCENDIO, A REALIZAR UNA DENUNCIA POR EXTRAVIO DEL PERMISO PERSONAL DE SEGURIDAD AEROPORTUARIA A SU NOMBRE CON EL NUMERO 335772, MANIFESTRANDO QUE LA MISMA HABRIA SIDO EXTRAVIADA EL DIA 15-SEP-2010, EN EL AMBITO AEROPORTUARIO.</t>
  </si>
  <si>
    <t>SRIO. AV. S/INF. LEY 23737 - ....... -</t>
  </si>
  <si>
    <t>833/10 B</t>
  </si>
  <si>
    <t>SRIO AV. LEY 23737 - LARRECHEA -</t>
  </si>
  <si>
    <t>CIUDAD DE ROSARIO Y/U OTRAS LOCALIDADES CERCANAS DE CORRESPONDER.</t>
  </si>
  <si>
    <t>EN EL DIA DE LA FECHA SE RECIBE OFICIO NRO. 1380/2010 DE LA FISCALIA A CARGO DE LA INSTRUCCIÓN DONDE ORDENA A ESTA UOCN Y DC IV DEL LITORAL, REALIZAR TAREAS INVESTIGATIVAS CON EL FIN DE CORROBORAR O DESCARTAR LOS DICHOS VERTIDOS POR LA PERSONA DENUNCIANTE. SE DARA CUMPLIMIENTO DEL MANDATO JUDICIAL MEDIANTE ORDEN DE SERVICIO NRO. 224/2010 URSA IV DEL LITORAL.</t>
  </si>
  <si>
    <t>DONATTI MAURICIO</t>
  </si>
  <si>
    <t>SRIO AV. LEY 23737 Y 22415 - .....-</t>
  </si>
  <si>
    <t>411/10</t>
  </si>
  <si>
    <t>SRIO. AV. LEY 23737 Y 22415 - ROSSET GARCIA -</t>
  </si>
  <si>
    <t>EN EL DIA DE LA FECHA SE RECIBE OFICIO NRO. 1397/2010 DE LA FISCALIA A CARGO DE LA INSTRUCCIÓN DONDE ORDENA A ESTA UOCN Y DC IV DEL LITORAL, REALIZAR TAREAS INVESTIGATIVAS CON EL FIN DE ESCLARECER LOS HECHOS DENUNCIADOS. SE DARA CUMPLIMIENTO DEL MANDATO JUDICIAL MEDIANTE ORDEN DE SERVICIO NRO. 225/2010 URSA IV DEL LITORAL.</t>
  </si>
  <si>
    <t>INF.ART.164 DEL C.P.N.</t>
  </si>
  <si>
    <t>CINTA DE ARRIBO Nº 1</t>
  </si>
  <si>
    <t>BODEGA AERONAVE - PLATAFORMA - CINTA DE ARRIBOS</t>
  </si>
  <si>
    <t>QUE AL ARRIBAR AL TERRITORIO NACIONAL, Y LUEGO DE REALIZAR LOS TRAMITES MIGRATORIOS CORRESPONDIENTES, SE DISPUSO A RETIRAR SU EQUIPAJE DESPACHADO, SIENDO ESTE UNA VALIJA DEL TIPO CARRY ON, BAJO MARBETE N° UX 186321, A NOMBRE DE MEDEI/ANAMARIAMS. PERCATÁNDOSE QUE EL EQUIPAJE EN CUESTIÓN SE ENCONTRABA SIN CANDADO, CON EL CIERRE ROTO, POSEÍA UN TAJO Y NO POSEÍA EL FILM DE NYLON CON EL QUE FUE ENVUELTO EN EL LUGAR DE ORIGEN, COMPROBANDO A SU VEZ QUE TENIA FALTANTE ENTRE SUS PERTENENCIAS. SEGUIDAMENTE REALIZO EL RECLAMO EN LA COMPAÑÍA. PARA LUEGO RADICAR LA CORRESPONDIENTE DENUNCIA.</t>
  </si>
  <si>
    <t>5617/10</t>
  </si>
  <si>
    <t>PORTONES DE INGRESO A LA AEROESTACION</t>
  </si>
  <si>
    <t>A MODO DE AMPLIACION SE AGREGA LOS DICHOS DEL SR. BACUVCIK QUIEN MANIFIESTA QUE UNA VEZ INFORMADO DE LA NOVEDAD DE SUSTRACCION DE UN EQUIPO DE COMUNICACIONES, PROCEDE A REALIZAR UNA TRASMISION CON UN EQUIPO DE LA EMPRESA LA CUAL SERIA RECIBIDA POR QUIEN SE IDENTIFICA COMO ARIEL CABALLERO QUIEN SE DESEMPEÑARIA COMO VIGILADOR DE LA TERMINAL DE OMNIBUS PROVINCIAL. EL SR. BACUVCIK SE DIRIGE HASTA LA TERMINAL DE OMNIBUS DONDE SE LE HACE ENTREGA EL EQUIPO SUSTRAIDO, CONSERVANDO EL MISMO EN SU PODER.</t>
  </si>
  <si>
    <t>DR. EDUARDO ZANELLO</t>
  </si>
  <si>
    <t>LA DENUNCIANTE EXPRESA QUE SIENDO LAS 07:30 HORAS APROXIMADAMENTE DESPACHA SU EQUIPAJE EN EL VUELO AR 1418 DESDE EZEIZA CON DESTINO CORDOBA, PARTIENDO EL VUELO A LAS 13:20 HORAS APROXIMADAMENTE, ARRIBANDO A ESTE AEROPUERTO 14:30 HORAS APROXIMADAMENTE. EL EQUIPAJE DESPACHADO BAJO MARBETE Nº 85-46-75 ES UNA VALIJA DE TELA COLOR NEGRO DE 60 X 40X 25 CENTIMETROS, CERRADA SIN CANDADO QUE AL ARRIBO Y CONSTATADO POR EL CONTROL DE PSA AL PIE DE BODEGA PRESENTABA LA APERTURA DE SU CIERRE, CONSTATANDO LA DENUNCIANTE QUE DE SU INTERIOR FALTABAN ELEMENTOS DE LENCERIA Y CALCETINES</t>
  </si>
  <si>
    <t>DR. MOYANO FABIO ANIBAL</t>
  </si>
  <si>
    <t>FRENTE MOSTRADORES CHECK-IN</t>
  </si>
  <si>
    <t>BAÑO CABALLEROS</t>
  </si>
  <si>
    <t>SIENDO LA HORA ANTES MENCIONADA, SE HACE PRESENTE UNA PERSONA CON MOTIVO DE DENUNCIAR UN HECHO DE CARÁCTER DELICTIVO, LA MISMA MANIFIESTA QUE EN MOMENTOS DE ESTAR AGUARDANDO SU VUELO, SIN APORTAR DATO ALGUNO RESPECTO AL VUELO, Y PERMANECIENDO EN EL CAFÉ UBICADO EN EL SECTOR A1, SE PERCATA DEL FALTANTE DE UNA MOCHILA. LA CUAL MOMENTOS ANTES HABRÍA DEJADO EN EL BAÑO DEL SECTOR DE CHECK-IN DE AEROLÍNEAS ARGENTINAS, LUEGO DE PERCATARSE DEL FALTANTE PROCEDE A LA BÚSQUEDA DE LA MISMA. AL REGRESAR AL BAÑO OBSERVA A UN PERSONAL POLICIAL JUNTO A UN PERSONAL DE VIGILANCIA Y UN PERSONAL DE LIMPIEZA, EL CUAL TENIA SU MOCHILA. INMEDIATAMENTE SE LE ACERCA AL PERSONAL POLICIAL MANIFESTANDO SER EL PROPIETARIO DE LA MISMA. ACTO SEGUIDO SE TRASLADAN TODOS LOS ANTES MENCIONADOS A LA GUARDIA DE PREVENCIÓN DONDE EL PASAJERO AL REVISAR SU MOCHILA SE PERCATA DEL FALTANTE DE VARIOS ELEMENTOS DE SU PROPIEDAD.</t>
  </si>
  <si>
    <t>SIENDO LAS 17:00 HORAS DEL DIA DE LA FECHA SE DA INICIO AL OPERATIVO DE SEGURIDAD PRESIDENCIAL, SIENDO LAS 19:17 HORAS LA SRA. PRESIDENTE CRISTINA FERNANDEZ DE KIRCHNER ARRIBA A ESTA AEROESTACION EN HELICOPTERO MATRICULA H-02, PARTIENDO A LAS 19:28 HORAS EN AVION PRESIDENCIAL T-01, CON DESTINO A LA CIUDAD DE ROSARIO. FINALIZANDO EL OPERATIVO DE SEGURIDAD A LAS 19:40 HORAS SIN NOVEDAD</t>
  </si>
  <si>
    <t>Juan Manuel</t>
  </si>
  <si>
    <t>MANUEL PIZARRO</t>
  </si>
  <si>
    <t>POLICIA DE SEGURIDAD AEROPORTUARIA S/AV. PSTA. INF. LEY 23737</t>
  </si>
  <si>
    <t>EN EL DIA DE LA FECHA SE PROCEDE A PRESTAR COLABORACION EN LA CUSTODIA Y TRASLADO DE UNA PERSONA EN CALIDAD DE DETENIDO DESDE LA SALA DE PREEMBARQUE HASTA EL ASCENSO DEL MISMO EN LA AERONAVE DEL VUELO Nº 1713 DE LA EMPRESA AEROLINEAS ARGENTINAS, SEGUN LO ORDENADO POR EL JUZGADO DE PRIMERA INSTANCIA DE COMODORO RIVADAVIA, CON INTERVENCION DEL JUZGADO FEDERAL Nº 1 DE LA CIUDAD DE SANTA FE, A LA POLICIA FEDERAL ARGENTINA POR OFICIO Nº 2125/10, DE LA CAUSA Nº 8905/10, CARATULADA POLICIA DE SEGURIDAD AEROPORTUARIA S/ AV. PSTA. INF. LEY 23737</t>
  </si>
  <si>
    <t>MODULOS DE SERVICIOS DE SKY CHEF Y GATE GOURMET</t>
  </si>
  <si>
    <t>QUE EN HORAS DE LA MAÑANA DEL DÍA 14 DEL CORRIENTE MES Y AÑO SE PRESENTA PERSONAL DEL GREMIO DE CAMIONEROS EN LA EMPRESA GATE GOURMET. EN ESE SECTOR PROCEDEN A DEMORAR LOS CAMIONES DESTINADOS A EL APROVISIONAMIENTO DE AERONAVES DEBIDO A CONFLICTOS GREMIALES. EL DÍA 15 DEL CORRIENTE MES Y AÑO CONTINUAN LAS MEDIDAS DE FUERZA INSTALANDOSE PERSONAL DEL GREMIO DE CAMIONEROS EN EL CAMINO DE ACCESO CERCANO AL DENOMINADO BARRIO LA VALENTINA EVITANDO EL PASO DE VEHICULOS DE APROVISIONAMIENTO. EN EL DÍA DE LA FECHA EL CONFLICTO SE EXTIENDE A LA EMPRESA SKY CHEF, MANTENIENDO EL CONTROL VEHICULAR EN EL CAMINO DE ACCESO, EVITANDO ASIMISMO EL INGRESO DE VEHICULOS CON MATERIA PRIMA PARA LA ELABORACION DEL CATERING. SE ESTABLECE CONTACTO TELEFONICO CON EL JUZGADO FEDERAL N° 2 SECRETARIA N° 06 A CARGO DEL DR. JOSE D´ABONDIO QUIEN INDICA QUE NO ENCUENTRA DELITO ALGUNO CON EL ACCIONAR DE LOS GREMIALISTAS QUEDANDO A LA ESPERA DE NOVEDADES.</t>
  </si>
  <si>
    <t>SIENDO LAS 20:05 HORAS ARRIBA A ESTE AEROPUERTO AERONAVE T-01 TRASLADANDO A LA SEÑORA PRESIDENTE DE LA NACION. SIENDO LAS 20:15 HORAS DESPEGA H-01 TRASLADANDO A LA SEÑORA PRESIDENTE HACIA LA CIUDAD DE ROSARIO. SE DA CUMPLIMIENTO A O.S. 037/10, AL MOMENTO DE LA EMISION DEL PRESENTE SIN NOVEDAD.</t>
  </si>
  <si>
    <t>FERNANDO RAMOS S/DENUNCIA EXTRAVIO Nº 0012/10</t>
  </si>
  <si>
    <t>EN EL DIA DE LA FECHA SE RECEPCIONA DENUNCIA DE EXTRAVIO Nº 0012/2010 POR PARTE DEL SR. RAMOS FERNANDO ALFREDO EMPLEADO DE LA EMPRESA LONDON SUPPLY, QUIEN MANIFIESTA EL EXTRAVIO DE SU PERMISO PERSONAL AEROPORTUARIONO RECORDANDO NUMERO DEL MISMO, SE REALIZA CONSULTA A IDENTIFICACION Y REGISTRO DE ESTA UOSP, SIENDO EL PERMISO EXTRAVIADO EL CORRESPONDIENTE AL Nº 252016 CON VENCIMIENTO EL 01/07/09.</t>
  </si>
  <si>
    <t>POR EL PRESENTE INFORMO QUE ARRIBO A ESTE AEROPUERTO EX PRESIDENTE DE ESPAÑA FELIPE GONZALEZ, QUIEN FUE RECIBIDO EN ESTE AEROPUERTO POR EL SEÑOR GOBERNADOR DE SANTA FE E INTENDENTE DE LA CIUDAD DE ROSARIO, LOS CUALES SE TRASLADARON VIA TERRESTRE HACIA LA CIUDAD DE ROSARIO RETORNANDO A ESTE AEROPUERTO VIA TERRESTRE Y SALIENDO EL SEÑOR GONZALEZ VIA AEREA EN LA AERONAVE DE REFERENCIA. EMPRESA AEREA DE TRASLADO AERO B. SE CUMPLIMENTO O.S. 038/10 SIN NOVEDAD</t>
  </si>
  <si>
    <t>LV-BSP</t>
  </si>
  <si>
    <t>3334/10</t>
  </si>
  <si>
    <t>CERCANIAS AL PUESTO TRANSITO 6/10</t>
  </si>
  <si>
    <t>EN EL PUESTO TRANSITO 6/10 SE HIZO PRESENTE EL JEFE DE SEGURIDAD DE LA EMPRESA INTERBAIRES, A LOS EFECTOS DE ANOTICIAR LA PRESENCIA DE UN INDIVIDUO QUE SE ENCONTRABA PRÓXIMO A EMBARCAR EN UN VUELO DE LA COMPAÑIA TAM, QUIEN HABRIA SIDO DENUNCIADO POR PRESUNTA ESTAFA, EN LA CAUSA INTERNA NUMERO 293-E/10, CON INTERVENCION DEL JUZGADO FEDERAL Nº 01. EN MOMENTOS QUE SE ESTA IDENTIFICANDO A ESTE INDIVIDUO, EL MISMO DESCARTA EN UN CESTO DE BASURA, VARIAS TARJETAS DE CREDITO Y UN PENDRIVE. LUEGO SE CONSTATA QUE EL PASAJERO ERA EL QUE ADUCIA PERSONAL DE LA EMPRESA INTERBAIRES, MOTIVO POR EL CUAL SE DISPONE QUE ESTE SE HAGA NUEVAMENTE DE LOS ELEMENTOS QUE DESECHO, Y ES TRASLADADO HACIA EL TURNO DE PREVENCION. A TRAVES DE COMUNICACION TELEFONICA EL JUZGADO FEDERAL INFORMA QUE SE DECLARO INCOMPETENTE POR LO QUE REMITIO LAS ACTUACIONES AL JUZGADO DE GARANTIAS Nº 3 DE LOMAS DE ZAMORA A CARGO DE LA DRA. LILIAN DATELLO. Y A SU VEZ ESTE ULTIMO INDICA QUE LA CAUSA SE ENCUENTRA EN TRAMITE ANTE LA U.F.I. Nº 1 DE EZEIZA A CARGO DEL DR. RICARDO BRUZONE, A QUIEN SE LE INFORMA LO ACONTECIDO, DISPONIENDO SE PROCEDA A LA APREHENSIÓN DEL SR. DE CASTRO LIMA, SECUESTRO DE ELEMENTOS Y EL TRASLADO DEL DETENIDO A SEDE JUDICIAL EL DIA 17/09/10 JUNTO CON TODAS LAS ACTUACIONES.</t>
  </si>
  <si>
    <t>PATIO DE VALIJAS - SCAN VAN</t>
  </si>
  <si>
    <t>SIENDO LAS 14:50 HORAS APROXIMADAMENTE EL SR. JEFE DE SECCIÒN AEROPUERTO DE LA ADUANA DE CÓRDOBA, COMUNICA AL OFICIAL RENÉ CARDEHILAC LA NOVEDAD QUE EN EL VUELO DE SALIDA DE LAN CHILE 943 SE ENCONTRABA EN LOS LISTADOS DE PASAJEROS UN CIUDADANO ESPAÑOL DE NOMBRE DIAZ RIVERA, MANUEL EL CUAL DEBÍA SER CONTROLADO ÍNTEGRAMENTE CON SU EQUIPAJE AL MOMENTO DE LA SALIDA DEL TERRITORIO NACIONAL. INMEDIATAMENTE EL OFICIAL RENÉ CARDEHILAC MANIFIESTA QUE EFECTIVAMENTE EL PASAJERO MENCIONADO SE ENCONTRABA SELECCIONADO Y DISPUESTO PARA SU CONTROL POR PERSONAL DE PSA EN EL SCAN VAN DEL PATIO DE VALIJAS.TRAS UN CONTROL CONJUNTO EN EL MENCIONADO LUGAR SE OBTUVIERON RESULTADOS POSITIVOS PARA PRESUNTIVO CLORHIDRATO DE COCAINA EN DISTINTOS ELEMENTOS PORTADOS POR EL IMPUTADO. SE LLEVARON A CABO LAS ACTUACIONES DE RIGOR CORRESPONDIENTES EN COMUNICACION CONSTANTE CON LA SECRETARIA DE TURNO. AMPLIACION CBA_2010_5672_PU - EN CUMPLIMIENTO DE ORDEN DE SERVICIO NRO 247/10 EMITIDA POR LA U.R.S.A. II DEL CENTRO SE INICIÓ TRASLADO DE DETENIDO EN PRIMERA INSTANCIA A MEDICINA LEGAL DEPENDIENTE DEL MINISTERIO PUBLICO FISCAL PARA EFECTUARLE EL CORRESPONDIENTE PRECARIO MEDICO, Y POSTERIORMENTE ES TRASLADADO A LA ALCAIDIA FEDERAL EN LOS TRIBUNALES FEDERALES DE LA CIUDAD DE CORDOBA DONDE QUEDO ALOJADO.</t>
  </si>
  <si>
    <t>SIENDO LAS 20:40 HS ARRIBA A ESTA CIUDAD PROCEDENTE DE BUENOS AIRES EN VUELO Nº 2656 LA SEÑORA LICENCIADA ROMINA BARTOZZETTI FUNCIONARIA DE LA PROVINCIA DE RIO NEGRO TRASLADANDO AL JOVEN PABLO ANTONIO MONTECINO QUIEN SE ENCONTRABA ALOJADO EN EL CENTRO DE REGIMEN CERRADO DR. LUIS AGOTE HASTA INSTALACIONES DEL PROGRAMA PUET DE LA CIUDAD DE GENERAL ROCA SIENDO RECIBOS Y TRASLADADO AL MISMO POR EL SUB-COMISARIO HENRIQUEZ ERIC Y ARAVENA CARLA PERSONAL DE LA POLICIA DE RIO NEGRO QUIENES SE PRESENTAN CON OFICIO JUDICIAL Nº 1911/10.</t>
  </si>
  <si>
    <t>5662/10</t>
  </si>
  <si>
    <t>SIENDO LAS 23:10 HORAS ARRIBA A ESTE AEROPUERTO H-01 TRASLADANDO A LA SEÑORA PRESIDENTE DE LA NACION DESDE ROSARIO. SIENDO LAS 23:25 HORAS DESPEGA T-01 TRASLADANDO A LA SEÑORA PRESIDENTE HACIA CAPITAL FEDERAL SE DA CUMPLIMIENTO A O.S. 037/10, SIN NOVEDAD.</t>
  </si>
  <si>
    <t>KRASUCKI</t>
  </si>
  <si>
    <t>FELISA ELENA</t>
  </si>
  <si>
    <t>DRA. MARIA LUCIA RAMIREZ</t>
  </si>
  <si>
    <t>BODEGA DE AERONAVE - PLATAFORMA - CINTA DE ARRIBOS</t>
  </si>
  <si>
    <t>SE HACE PRESENTE EN ESTA GUARDIA DE PREVENCIÓN UNA SEÑORA MANIFESTANDO HABER SIDO VICTIMA DE UN HECHO DELICTIVO EN EL DÍA 12 DE AGOSTO DEL CORRIENTE AÑO, INFORMANDO QUE A LAS 13:40 HORAS SE HIZO PRESENTE EN EL AEROPUERTO DE LA CIUDAD DE IGUAZÚ PARA ABORDAR EL VUELO DE LA EMPRESA LAN ARGENTINA Nº LA 4027. AL LLEGAR A SU DOMICILIO REALIZO LA APERTURA DE SU VALIJA Y EN ESE MOMENTO SE DA CUENTA QUE EL CANDADO QUE LE HABÍA COLOCADO A LA MISMA NO ESTABA, POR LO QUE SE DISPUSO A REVISAR EL CONTENIDO DE LA MISMA, PERCATÁNDOSE DE LOA FALTANTES. SE DA INTERVENCIÓN A LA JUDICATURA ACTUANTE QUIEN DISPUSO SE ADJUNTE EL REGISTRO DEL PERSONAL INTERVINIENTE EN LA OPERATORIA DEL EQUIPAJE EN ESTE AEROPARQUE Y SI ESE VUELO PRESENTO NOVEDADES CON RESPECTO AL EQUIPAJE DESPACHADO POR BODEGA, CIERRE Y ELEVE DE LAS ACTUACIONES DE RIGOR.</t>
  </si>
  <si>
    <t>LA4027</t>
  </si>
  <si>
    <t>SIENDO LAS 22:30 HORAS DEL DIA 16 DE SEPTIEMBRE DEL CORRIENTE AÑO, SE DA INICIO AL OPERATIVO DE SEGURIDAD PRESIDENCIAL. SIENDO LAS 23:55 HORAS ARRIBO EN LA AEROSTACION MILITAR, LA SRA. PRESIDENTE CRISTINA FERNANDEZ DE KIRCHINER, EN AVION PRESIDENCIAL T-01, PROCEDENTE DE LA CIUDAD DE ROSARIO, RETIRANDOSE DE LA MISMA EN HELICOPTERO MATRICULA H-02 A LAS 00:01 HORAS. SIENDO LAS 00:10 HORAS SE DA POR FINALIZADO EL OPERATIVO DE SEGURIDAD PRESIDENCIAL, SIN NOVEDAD.</t>
  </si>
  <si>
    <t>GARCIA G.L VERONICA</t>
  </si>
  <si>
    <t>GARCIA, PAOLA ANDREA Y JORIO GNISCI LUIS S/CONTRABANDO DE ESTUPEFACIENTES</t>
  </si>
  <si>
    <t>HIPOLITO HIRIGOYEN Nº 3286 - PCIA. DE BS. AS / ALSINA Nº 495 PISO 13 OF G - C.A.B.A</t>
  </si>
  <si>
    <t>REFERENTE A LA ORDEN DE SERVICIO 639/2010 Y DANDO CUMPLIMIENTO A LA ORDEN JUDICIAL EMANADA POR LA JUDICATURA INTERVINIENTE EN EL MARCO DE LA CAUSA DE REFERENCIA, SE INFORMA QUE FUE SUSPENDIDO EL ALLANAMIENTO DE DICHOS DOMICILIOS Y DETENCION DEL SR. JORIO GNISCI LUIS, DNI N° 4703262, DE NACIONALIDAD ARGENTINA, DE ESTADO CIVIL DIVORCIADO, CON FECHA DE NACIMIENTO 27/06/1948, DE OCUPACION GESTOR ADUANERO, HIJO DE MARIA ILLIA ORTIZ Y DE JORIO GNISCI LUIS RAMON CARMELO, POR NO SER EFECTIVA LA LOCALIZACION DEL MISMO.</t>
  </si>
  <si>
    <t>TRIBUNALES FEDERALES</t>
  </si>
  <si>
    <t>MEDICINA LEGAL Y ALCAIDIA FEDERAL</t>
  </si>
  <si>
    <t>EN CUMPLIMIENTO DE ORDEN DE SERVICIO NRO 247/10 EMITIDA POR LA U.R.S.A. II DEL CENTRO SE INICIÓ TRASLADO DE DETENIDO EN LOS MOVILES DE DOTACION FORD RANGER DOMINIO IQR 730 Y EN EL MOVIL MERCEDEZ BENZ SPRINTER DOMINIO GTJ 660. SE PROCEDE AL TRASLADO DEL DETENIDO EN PRIMERA INSTANCIA A MEDICINA LEGAL DEPENDIENTE DEL MINISTERIO PUBLICO FISCAL PARA EFECTUARLE EL CORRESPONDIENTE PRECARIO MEDICO, Y POSTERIORMENTE ES TRASLADADO A LA ALCAIDIA FEDERAL EN LOS TRIBUNALES FEDERALES DE LA CIUDAD DE CORDOBA DONDE QUEDO ALOJADO, REGRESANDO LA COMISION A ESTA JURISDICCIÓN A LAS 02:00 HORAS</t>
  </si>
  <si>
    <t>DR. FABIO ANIBAL MAOYANO</t>
  </si>
  <si>
    <t>FRENTE AL ASCENSOR</t>
  </si>
  <si>
    <t>PARTIDAS A 1</t>
  </si>
  <si>
    <t>QUE EN EL DÍA DE LA FECHA SIENDO APROXIMADAMENTE LAS 04:30 HORAS, ARRIBO JUNTO A SU FAMILIA A ESTE AEROPUERTO METROPOLITANO PROCEDENTE DE LA REPUBLICA FEDERATIVA DE BRASIL PARA LUEGO EMBARCAR EN UN VUELO, CON DESTINO A LA CIUDAD DE MENDOZA. SIENDO LAS 05:10 HORAS APROXIMADAMENTE LUEGO DE REALIZAR EL CHECK IN, COLOCO EN EL CARRO PORTA EQUIPAJE UN EQUIPAJE DE MANO, SIENDO ESTOS UN BOLSO CHICO, COLOR NEGRO, DOS BOLSAS DE NYLON, COLOR AMARILLAS, UN ESTUCHE PORTA NOTEBOOK, CONTENIENDO DOCUMENTACIÓN VARIA Y OTRO PORTA NOTEBOOK CONTENIENDO UNA NOTEBOOK. LUEGO SE DIRIGIERON AL SECTOR EN DONDE SE ENCUENTRA EL ASCENSOR UBICADO EN EL HALL PRINCIPAL, FRENTE A LA CAFETERÍA A LOS FINES DE DIRIGIRSE A LA PLANTA ALTA PARA ABORDAR EL VUELO Y EN EL MOMENTO DE ACERCARSE PARA LLAMAR EL ASCENSOR SE APARTE DEL CARRO PORTA EQUIPAJE, ESQUIVANDO A UNAS PERSONAS QUE SE ENCONTRABAN EN EL LUGAR UNOS SEGUNDOS Y AL REGRESAR SE PERCATA DEL FALTANTE DEL PORTA NOTEBOOK, QUE CONTENÍA LA NOTEBOOK ANTES MENCIONADA.</t>
  </si>
  <si>
    <t>DENUNCIA EXTRAVIO PPSAP</t>
  </si>
  <si>
    <t>EN EL DIA DE LA FECHA SIENDO APROXIMADAMENTE LAS 08:45 HORAS SE PRESENTA EL SEÑOR FABIAN MARCELO PRIETO DNI Nº 17.435.051, PARA REALIZAR DENUNCIA POR EXTRAVIO DE SU PERMISO PERSONAL DE SEGURIDAD AEROPORTUARIO Nº 248697 CON LOS SECTORES AUTORIZADOS: 5-6, ,SIN PODER PRECISAR EL LUGAR DONDE SE PRODUJO LA PERDIDA DEL MISMO.</t>
  </si>
  <si>
    <t>AUTOPISTA RICHIERI MANO A C.A.B.A.</t>
  </si>
  <si>
    <t>CONTRATA UN SERVICIO DE TAXI DESDE ESTE MEDIO PARA TRASLADARSE HACIA LA CIUDAD AUTONOMA DE BUENOS AIRES. ENCONTRANDOSE EN CAMINO HACIA EL DESTINO Y HABIENDO TRANCURRIDOS UNOS 15 MINUTOS, EL CHOFER DEL RODADO-NO APORTANDOSE DATOS NI RASGOS DE LOS MISMOS- ADUCE UN DESPERFECTO MECANICO Y DETIENE LA MARCHA DEL RODADO, MANIFESTANDOLE QUE HASTA ALLI DEBIA ABONAR 130 DOLARES A LA VEZ QUE LE INDICA QUE DESCIENDA DEL VEHICULO. POR LO QUE LA DENUNCIANTE DESCIENDE Y SE DISPONE A ABONARLE Y ES ALLI QUE EL CHOFER LE TOMA DE SU BILLETERA 600 DOALRES, SE SUBE AL RODADO Y SE RETIRA DEL LUGAR DEJANDO A LA DENUNCIANTE JUNTO A SUS EQUIPAJES SOBRE LA AUTOPISTA RICCHIERI. TRANSCURRIDOS ALGUNOS MINUTOS LA DENUNCIANTE DETIENE OTRO VEHICULO TAXI QUE LA TRASLADA HACIA LA C.A.B.A</t>
  </si>
  <si>
    <t>RICARDO OMAR LOCATELLI</t>
  </si>
  <si>
    <t>S/SUSEPENCION JUICIO A PRUEBA</t>
  </si>
  <si>
    <t>EN EL DIA DE LA FECHA Y AL MOMENTO DEL PREEMBARQUE DEL VUELO AR 2849 SE IDENTIFICA Y POSTERIORMENTE SE NOTIFICA BAJO ACTA DE ESTILO AL CIUDADANO PEREZ JUAN DOMINGO - DNI 12.076.071 SOBRE QUIEN RECAE UN PEDIDO DE - PARADERO- SEGÚN CONSTA EN EL SISTEMA INSTITUCIONAL RED LINCE BAJO REGISTRO Nº 215408 VINCULADO A LA CAUSA 469 AUTOS CARATULADOS "S/SUSPENSIÓN JUICIO A PRUEBA" EN TRÁMITE POR ANTE EL JUZGADO CITO EN MARRAS. EL CIUDADANO PEREZ FUE NOTIFICADO DE QUE DEBERÁ PRESENTARSE A LA BREVEDAD ANTE LOS ESTRADOS DEL TRIBUNAL INTERVINIENTE EN AUTOS, FIJANDO POSTERIORMENTE DOMICILIO REAL EN CALLE PIONEROS FUEGUINOS Nº 1048 DE ESTA CIUDAD DE RIO GRANDE, PROVINCIA DE TIERRA DEL FUEGO.</t>
  </si>
  <si>
    <t>AR 2849</t>
  </si>
  <si>
    <t>DEL VALLE CARABAJAL, GRACIELA NAZAR, CRISTIAN JESUS Y OTROS S/ INF. LEY 26364</t>
  </si>
  <si>
    <t>AVENIDA INDEPENDENCIA 2447, PISO 4</t>
  </si>
  <si>
    <t>EN CUMPLIMIENTO DE LA ORDEN DE SERVICIO NRO. 946, SE HIZO EFECTIVO EL TRASLADO DEL DETENIDOS DE MENCION A SEDE TRIBUNALICIA A LOS FINES DE BRINDAR TESTIMONIO, LUEGO DE LO CUAL FUE TRASLADADO NUEVAMENTE A SU LUGAR DE ALOJAMIENTO SIN NOVEDAD.-</t>
  </si>
  <si>
    <t>AVERIGUACION ROBO/HURTO</t>
  </si>
  <si>
    <t>PROSEGUR S.A. BUENOS AIRES</t>
  </si>
  <si>
    <t>PROSEGUR S.A. SALTA</t>
  </si>
  <si>
    <t>INFORMO QUE EN DIA DE LA FECHA SE PROCEDIÓ A ACTUAR DE OFICIO, EN VIRTUD DE QUE EL OF. PPAL PAZ MIGUEL LEGAJO Nº 501400, QUIEN OBSERVABA LA DESCARGA DE LAS CARGAS Y EQUIPAJES DESPACHADOS POR BODEGA DEL VUELO Nº 1450 DE AEROLÍNEAS ARGENTINAS PROCEDENTE DE AEROPARQUE FUE ANOTICIADO POR EL SR. BILLONE, SUPERVISOR DE AEROHANDLING, QUE UNA BOLSA DE LAS CINCUENTA QUE CONFORMAN LA CARGA DE PROSEGUR PRESENTABA UN TAJO DE APROXIMADAMENTE 12 CM, LA QUE FUERA IDENTIFICADA CON PRECINTO Nº 31070290. SE COMUNICO CON LA FISCALIA FEDERAL DE SALTA Nº 1 A CARGO DEL DR. RICARDO RAFAEL TORANZOS, QUIEN DISPONE SE REALICEN LAS ACTUACIONES CORRESPONDIENTES Y LAS MEDIDAS POLICIALES PERTINENTES, EN CUMPLIMIENTO A LO DISPUESTO POR EL FUNCIONARIO JUDICIAL QUIEN DISPUSO SE CARATULE COMO AVERIGUACION DE ROBO/HURTO, SE PROCEDIÓ A REALIZAR EN PRESENCIA DE LOS TESTIGOS HÁBILES LAS ACTUACIONES DE RIGOR, QUE SERAN ELEVADAS A SEDE DE LA FISCALIA RESPETANDO EL PLAZO JUDICIAL.</t>
  </si>
  <si>
    <t>PROSEGUR SA</t>
  </si>
  <si>
    <t>SE AMPLIA PARTE RESERVADO N° 5555 DE FECHA 13/09/10, RELACIONADO AL EXPTE. N° 549/10, CARATULADO TORRES JOSE JAVIER S/INFRACCION A LA LEY 23737, TRAMITADO ANTE EL JUZGADO FEDERAL DE SALTA N° 1 A CARGO DEL DR. JULIO LEONARDO BAVIO, SECRETARIA PENAL N° 2 A CARGO DEL DR. SANTIAGO FRENCH. SE INFORMA QUE EL DIA DE LA FECHA SE RECEPCIONA OFICIO N° 2693/10, LIBRADO POR EL JUZGADO FEDERAL DE SALTA N° 1, POR EL CUAL COMUNICAN QUE EN VIRTUD DE LA INHIBITORIA RESUELTA EL DIA 09 DE SETIEMBRE DE 2010, A FAVOR DEL JUZGADO EN LO CRIMINAL Y CORRECCIONAL FEDERAL N° 11, A CARGO DEL DR. CLAUDIO BONADIO, SECRETARIA N° 21, CARGO DE LA DRA. CAROLINA LORENZ, SITO EN TRIBUNALES DE COMODORO PY DE CAPITAL FEDERAL, CESO LA INTERVENCION DE ESTA UNIDAD EN LAS TAREAS INVESTIGATIVAS EN LA PRESENTE CAUSA, MOTIVO POR EL CUAL SE DA POR CONCLUIDA LAS ACTUACIONES QUE SE INSTRUYEN AL RESPECTO.</t>
  </si>
  <si>
    <t>BAÑO DE HOMBRES PLANTA ALTA SECTOR PUBLICO</t>
  </si>
  <si>
    <t>SIENDO APROXIMADAMENTE LAS 15:10 HORAS SE PRESENTA EN ESTA DEPENDENCIA EL SR. FRANCISCO BENAVIDEZ DNI 37206469, MANIFESTANDO QUE HABÍA DEJADO OLVIDADO SU CELULAR MARCA LG NRO. DE ABONADO 011-1567228567 EN EL BAÑO DE HOMBRES DEL HALL PLANTA ALTA DEL SECTOR PÚBLICO DE ESTA AEROESTACIÓN Y QUE CUANDO VOLVIÓ A BUSCARLO YA NO ESTABA. RECUERDA VER AL PERSONAL DE LIMPIEZA ENTRANDO AL MENCIONADO BAÑO. SE ACTIVA PROCEDIMIENTO DE BÚSQUEDA ALERTÁNDO A TODOS LOS PUNTOS DE INSPECCIÓN. SE REALIZA CONTROL AL PERSONAL DE LIMPIEZA DE LA EMPRESA REX ARGENTINA SA QUIENES EFECTUABAN EN ESE MOMENTO EL CAMBIO DE TURNO EN EL PUESTO CHARLY, SIN OBTENER RESULTADOS POSITIVOS DEL CELULAR BUSCADO. SE REALIZA COMUNICACIÓN AL JUZGADO FEDERAL PONIENDO EN CONOCIMIENTO DE LOS HECHOS Y LAS MEDIDAS ADOPTATAS, ORDENANDO EL DR. LOPEZ DA SILVA, SE CONFECCIONE ACTA DE PROCEDIMIENTO PARA CONSTANCIA DE LO ACTUADO EN ESTA DEPENDENCIA Y NO SE ABRA CAUSA INTERNA.</t>
  </si>
  <si>
    <t>MAQUINAS DE RAYOS X</t>
  </si>
  <si>
    <t>DURANTE EL CONTROL DE CARGA DEL VUELO Nº 1779 DE LA EMPRESA AA CON DESTINO A AEROPARQUE JORGE NEWBERY SE DETECTA UNA ENCOMIENDA PERTENENCIENTE A LA EMPRESA CORREO ARGENTINO SA DONDE FIGURA COMO DESTINATARIO HERNAN RIVAS, LAS HERAS PCIA DE SANTA CRUZ Y REMITENTE MIRTHA FERNANDEZ, PARAGUAY 3456 PCIA FORMOSA, DESPACHADA POR LA EMPRESA JET PAQ EN CUYO INTERIOR SE VISUALIZABAN ELEMENTOS ELECTRONICOS, FIGURANDO EN LA GUIA DE CARGA ROPAS, DOCUMENTOS Y ZAPATILLAS, POR LO QUE EN PRESENCIA DE DOS TESTIGOS HABILES SE PROCEDE A LA INTERDICCION DE LA MISMA DANDO INTERVENCION AL JUZGADO FEDERAL FORMOSA DISPONIENDO SU SEÑORIA EL SECUESTRO DE LA ENCOMIENDA Y SU POSTERIOR REMISION A LA AFIP EL DIA LUNES 20 PARA SU APERTURA.- PU 5762 21-09-10 SIENDO LAS 12:00 HORAS DEL DIA DE LA FECHA SE REALIZA EN LA ADUANA FORMOSA LA APERTURA DE LA CAJA SECUESTRADA CONJUNTAMENTE CON EL AGENTE VERIFICADOR ADUANERO . DANDO CUMPLIMIENTO A LO DISPUESTO POR EL JUZGADO FEDERAL Nº 2 A TRAVES DE SU SECRETARIA PENAL UNICA. QUEDANDO DICHA MERCADERIA EN CUSTODIA DE LA ADUANA LOCAL, VALUADO APROXIMADAMENTE EN 5000 MIL PESOS.-</t>
  </si>
  <si>
    <t>FORMOSA CAPITAL</t>
  </si>
  <si>
    <t>DR. MANUEL PIZARRO Y DR. MANUEL GUTIERREZ</t>
  </si>
  <si>
    <t>DILIGENCIA JUDICIAL - ORDEN DE ALLANAMIENTO</t>
  </si>
  <si>
    <t>952-71-000-183/2001</t>
  </si>
  <si>
    <t>SECTOR PLANTA BAJA DEL EDIFICIO</t>
  </si>
  <si>
    <t>PLATAFORMA SECTOR OVER SIDE</t>
  </si>
  <si>
    <t>SIENDO LAS 00:40 HORAS LOCAL SE PROCEDE A PRESTAR COLABORACIÓN EN EL MOMENTO DE ARRIBO DEL VUELO AU Nº 2831 DE LA EMPRESA AEREA AUSTRAL PROCEDENTE DE AEROPARQUE JORGE NEWBERY POR EL TRASLADO DEL CIUDADANO CRISTIAN JOSÉ ROBLEDO DE NACIONALIDAD ARGENTINA DNI Nº 25.721.630. DICHO TRASLADO A CARGO COMISIÓN POLICIAL PERTENECIENTE A LA POLÍCIA FEDERAL ARGENTINA. ESTO ORDENADO POR EL JUZGADO FEDERAL DE PRIMERA INSTANCIA DE LA CIUDAD DE COMODORO RIVADAVIA.</t>
  </si>
  <si>
    <t>5665/10</t>
  </si>
  <si>
    <t>DENTRO DE LAS INSTALACIONES DE ESTE MEDIO</t>
  </si>
  <si>
    <t>APROXIMADAMENTE A LAS 8:00 HORAS DEL 17-09-10 SE PROCEDIO A EFECTUAR EL TRASLADO A SEDE JUDICIAL, DEL APREHENDIDO DE CASTRO LIMA, DE ACUERDO A LO OPORTUNAMENTE ORDENADO.-</t>
  </si>
  <si>
    <t>ALONSO, MARIA ALEJANDRA</t>
  </si>
  <si>
    <t>OROS, HECTOR FERNANDO S/VIOLACION REITERADA 4 HECHOS EN CONCURSO REAL CON ABUSO DESHONESTO CALIFICADO</t>
  </si>
  <si>
    <t>OROS, HECTOR FERNANDO S/ RESTRICCION A LA LIBERTAD</t>
  </si>
  <si>
    <t>INFORMO EN EL DIA DE LA FECHA SIENDO LAS VEINTE CUARENTA Y CINCO HORAS, DURANTE EL CONTROL DE RUTINA DEL VUELO AR 1872, SE INDIVIDUALIZA E IDENTIFICA AL SR. OROS HECTOR FERNANDO SOBRE QUIEN PESA REGLAS DE CONDUCTA REGISTRO LINCE NRO. 242997, SEGUIDAMENTE SE REALIZO CONSULTA CON LA SRA. SECRETARIA DEL JUZGADO INTERVINIENTO QUIEN MANIFIESTA QUE LA MEDIDA ESTA SIN EFECTO DEBIDO A QUE LA PENA SE CUMPLIO CON FECHA 28-JUN-2009, PASANDO LA CAUSA A ARCHIVO EN EL AÑO 2010. SE LABRA ACTA CONSTANCIA NRO.023/2010, ASIMISMO SE SOLICITO EL OFICIO PERTINENTE. EL CAUSANTE SE RETIRA DE ESTA PREVENCION PARA CONTINUAR SU VIAJE.-</t>
  </si>
  <si>
    <t>AR1872</t>
  </si>
  <si>
    <t>SIENDO LAS 16:45HS EN EL CONTROL DE RUTINA REALIZADO AL EQUIPAJE DE LAS PASAJERAS, LUEGO IMPUTADAS, EN EL SCAN-VAN, AL ABRIR LA VALIJA DE LONA NEGRA MARCA 360° TIPO CARRY ON SE OBSERVAN QUE LAS PRENDAS QUE SE ENCONTRABAN EN SU INTERIOR, ESTABAN HÚMEDAS, PRESENTANDO UNA CONTEXTURA ALMIDONADA Y DESPRENDÍENDO UN FUERTE OLOR A SUSTANCIAS QUÍMICAS NO PRECISADAS, POR LO SE REALIZA UNA PRUEBA DE CAMPO CON REACTIVOS NIK (MARCA SCOTT REAGENT SYSTEM MODIFIED), RESULTANDO POSITIVO PRESUNTIVO AL CLORHIDRATO DE COCAINA. LUEGO SE REALIZA EL CONTROL DE RAYOS X DE CUATRO VALIJAS TIPO CARRY ON Y DOS CARTERAS DE MUJER. SIENDO LAS 17:27HS SE PROCEDE A CERRAR EL EQUIPAJE EN PRESENCIA DE LOS TESTIGOS Y AL TRASLADO DE LAS PASAJERAS, SUS RESPECTIVOS EQUIPAJES Y LOS TESTIGOS, A LA OFICINA DE LA U.O.S.P. CÓRDOBA PARA CONTINUAR CON LAS ACTUACIONES SUMARIALES PERTINENTES. LA SECRETARIA PENAL INTERVINIENTE DISPONE LA DETENCIÓN DE LAS CAUSANTES EN CALIDAD DE INCOMUNICADAS, SOLICITA SE LES EFECTÚE LA TOMA DE HUELLAS DACTILARES A EFECTOS DE OBTENER SUS PLANILLAS PRONTUARIALES, SE PROCEDA AL SECUESTRO DE LA SUSTANCIA Y DE TODO ELEMENTO DE APORTE PARA LA CAUSA Y A LA FINALIZACIÓN DE LAS ACTUACIONES DE RIGOR SEAN TRASLADADAS PARA SU ALOJAMIENTO A SEDE DE LA ALCALDÍA FEDERAL SIENDO LAS 19:50 HS SE HACE PRESENTE EL SR. JORGE DANIEL VILLALON, QUIEN FUERA CONVOCADO PARA QUE ACTUARA COMO INTÉRPRETE DEL PROCEDIMIENTO. CABE ACLARAR QUE A SU LLEGADA SE LE REQUERIO AL INTÉRPRETE QUE LE PREGUNTE A LAS PASAJERAS SI RECONOCÍAN LOS EQUIPAJES MENCIONADOS COMO SUYOS, A LO QUE RESPONDIERON AFIRMATIVAMENTE. AMPLIACION CBA_2010_5701_PU - EN CUMPLIMIENTO DE ORDEN DE SERVICIO Nº 250/10 EMITIDA POR URSA II DEL CENTRO SE INICIO TRASLADO DE LAS DETENIDAS EN PRIMERA INSTANCIA A MEDICINA LEGAL DEPENDIENTE DEL MINISTERIO PUBLICO FISCAL PARA EL CORRESPONDIENTE PRECARIO MEDICO. POSTERIORMENTE A LA ALCAIDIA FEDERAL EN LOS TRIBUNALES FEDERALES DE LA CIUDAD DE CORDOBA, DONDE QUEDARON ALOJADAS</t>
  </si>
  <si>
    <t>LA943</t>
  </si>
  <si>
    <t>5700/10</t>
  </si>
  <si>
    <t>TRIBUNALES FEDERALS DE LA CIUDAD DE CORDOBA</t>
  </si>
  <si>
    <t>MEDICINA LEGAL - ALCAIDIA FEDERAL</t>
  </si>
  <si>
    <t>EN CUMPLIMIENTO DE ORDEN DE SERVICIO Nº 250/10 EMITIDA POR URSA II DEL CENTRO SE INICIO TRASLADO DE DETENIDO EN MOVILES DE DOTACION FORD RANGER DOMINIO IQR 730 Y MOVIL MERCEDES BENZ SPRINTER DOMINIO GTJ 660. SE PROCEDE AL TRASLADO DE LAS DETENIDAS EN PRIMERA INSTANCIA A MEDICINA LEGAL DEPENDIENTE DEL MINISTERIO PUBLICO FISCAL PARA EL CORRESPONDIENTE PRECARIO MEDICO. POSTERIORMENTE A LA ALCAIDIA FEDERAL EN LOS TRIBUNALES FEDERALES DE LA CIUDAD DE CORDOBA, DONDE QUEDARON ALOJADAS REGRESANDO LA COMISION A ESTA JURISDICCION A LAS 04:10 HORAS.</t>
  </si>
  <si>
    <t>SECTOR CHECK-IN Y PREEMBARQUE</t>
  </si>
  <si>
    <t>HALL CENTRAL Y SECTOR PREEMBAQUE</t>
  </si>
  <si>
    <t>SIENDO LA HORA 04:30, SE HACEN PRESENTES EN DEPENDENCIAS DE ESTA UOSP, EL SEÑOR GUSTAVO TORRENT, DE LA DIRECCION PROTECCION DE TESTIGOS, DEPENDIENTE DEL MINISTERIOR DE JUSTICIA, SEGURIDAD Y DD.HH., CON TESTIGO PROTEGIDO, PERMANECIENDO EN EL INTERIOR DE LAS DEPENDENCIAS DE ESTA JEFATURA HASTA EL EMBARQUE DEL VUELO, EFECTUANDO EN MISMO SIN NOVEDAD, EN CUMPLIMIENTO O.S. Nº 252/10 JURSA V.</t>
  </si>
  <si>
    <t>AU2651</t>
  </si>
  <si>
    <t>SIENDO LAS DIECIOCHO HORAS, VEINTE MINUTOS DEL DÍA DIECISIETE DEL CORRIENTE MES Y AÑO, POR ORDEN DEL JUZGADO DE GARANTÍAS NUMERO 3, SE PROCEDE A ALOJAR EN ESTA UNIDAD OPERACIONAL AL IMPUTADO EN CALIDAD DE DETENIDO COMUNICADO, QUIEN DEBERÁ PERMANECER ALOJADO HASTA TANTO SE RECIBAN NUEVAS DIRECTIVAS.</t>
  </si>
  <si>
    <t>CINTA DE ARRIBOS TERMINAL A</t>
  </si>
  <si>
    <t>LUEGO DE ARRIBAR A ESTE AEROPUERTO, RETIRA SU EQUIPAJE DESPACHADO A BODEGA DE LA CINTA TRANSPORTADORA NUMERO 3 DE LA TERMINAL A, PERCATÁNDOSE QUE SU EQUIPAJE ESTABA ABIERTO Y SIN EL CANDADO CON EL QUE LA DESPACHO EN EL AEROPUERTO DE ORIGEN. POR TAL MOTIVO REVISA SUS PERTENENCIAS PERCATÁNDOSE DE LOS FALTANTES. LUEGO SE DIRIGE A LOS MOSTRADORES DE LA EMPRESA DONDE LE INDICAN QUE NO LE PODÍAN TOMAR EL RECLAMO YA QUE ESTABAN DESPACHANDO UN VUELO.</t>
  </si>
  <si>
    <t>TORRE DE CONTROL DEL AEROPUERTO</t>
  </si>
  <si>
    <t>SIENDO LA FECHA Y HORA ANTES MENCIONADA LA CONTROLADORA AÉREA ROMINA RUIZ RECIBIO UNA LLAMADA DE AMENAZA DE BOMBA, AL TELÉFONO QUE SE ENCUENTRA EN LA TORRE DE CONTROL MANIFESTANDO QUE EN LA LLAMADA DECÍAN: "EN EL VUELO ADES TE INFORMO QUE HAY UNA BOMBA ABORDO" SIC..., A LO QUE LA CONTROLADORA LE CONSULTA "EN QUE VUELO" SIC... Y LA LLAMANTE "CORTA LA COMUNICACIÓN INMEDIATAMENTE SIC...", POR LO QUE SE DA INTERVENCIÓN AL PERSONAL DEL (G.E.D.EX), QUIENES SE DIRIGEN A LAS AERONAVES DE LA EMPRESA ANDES LÍNEAS ARGENTINAS ENCONTRÁNDOSE ESTACIONADA UNA AERONAVE CON MATRICULA LV-BTH EN LA POSICIÓN 35 LA CUAL PARTIRÍA SIN PASAJEROS NI CARGA, Y LA SEGUNDA AERONAVE CON MATRICULA LV-CFD SE ENCONTRABA ESTACIONADA EN LA POSICIÓN 04 Y DESPEGARÍA CON DESTINO A LA PROVINCIA DE SALTA. POSTERIORMENTE EL PERSONAL DE GEDEX DISPONE EL TRASLADO DE LA AERONAVE MATRICULA LV-CFD AL HIDRANTE NÚMERO 39, DENOMINADA ZONA "ZULU", DEJANDO LA SEGUNDA AERONAVE EN SU POSICIÓN ORIGINAL. SE REALIZA EL CONTROL DE AMBAS AERONAVES CON LA UTILIZACIÓN DE MEDIO TÉCNICO SABRE 4000 ARROJANDO RESULTADO NEGATIVO. SIENDO LAS 21:30 HORAS SE LIBERA LA AERONAVE Y ES TRASLADADA A LA POSICIÓN 34 DE LA PLATAFORMA OPERATIVA. SIENDO LAS 21:35 HORAS SE LIBERA LA AERONAVE RESTANTE.</t>
  </si>
  <si>
    <t>LUEGO DE ARRIBAR A ESTE AEROPUERTO, RETIRA SU EQUIPAJE DESPACHADO A BODEGA DE LA CINTA TRANSPORTADORA NUMERO 8 DE LA TERMINAL B, PERCATÁNDOSE QUE SU EQUIPAJE POSEÍA LAS SIGUIENTES NOVEDADES: EL FILM DE NYLON QUE LA ENVOLVIA ESTABA ROTO; NO TENIA DOS MANIJAS Y POSEÍA EN DOS ESQUINAS INFERIORES LA TELA RASGADA. POR LO QUE PROCEDE A REVISAR SU CONTENIDO MOMENTO EN EL QUE SE PERCATA DE LOS FALTANTES. LUEGO LA DENUNCIANTE REALIZA EL RECLAMO CORRESPONDIENTE Y POSTERIORMENTE OBSERVA A UNA PERSONA QUE POR SU VESTIMENTA SERÍA EMPLEADO DEL AEROPUERTO, HABLANDO CON UN GRUPO DE PASAJEROS, POR LO QUE SE ACERCA AL LUGAR, MOMENTO EN EL QUE ESCUCHA QUE ESTA PERSONA REFERÍA QUE ESTOS HECHOS SUCEDEN PORQUE LA POLICÍA TENIA ARREGLOS PARA QUE SUCEDAN. LUEGO SE DIRIGE A ESTE TURNO A LOS EFECTOS DE RADICAR LA DENUNCIA. INFORMADO EL JEFE DE TURNO DE LOS HECHOS, COMISIONA A PERSONAL POLICIAL CON TESTIGOS Y CON LA DENUNCIANTE A LOS EFECTOS DE DAR CON LA PERSONA QUE HABÍA REALIZADO ESA MANIFESTACIÓN A LOS EFECTOS DE QUE MATERIALICE LA MISMA EN UNA DECLARACIÓN TESTIMONIAL, NO PUDIENDO DAR CON LA MISMA.</t>
  </si>
  <si>
    <t>AR1361</t>
  </si>
  <si>
    <t>ARRIBOS NACIONALES A2</t>
  </si>
  <si>
    <t>QUE EN EL DÍA DE LA FECHA SIENDO APROXIMADAMENTE LAS 22:00 HORAS, SE ENCONTRABA EN EL SECTOR DE ARRIBOS NACIONALES A2, AGUARDANDO A RECIBIR LOS EQUIPAJES DESPACHADOS EN EL VUELO AR1896, PROCEDENTE DE LA CIUDAD DE USHUAIA, DEJANDO EN EL BUCHE DEL CARRO PORTA EQUIPAJES UNA (01) CARTERA GRANDE CONTENIENDO VARIOS ELEMENTOS, COLOCANDO EL MENCIONADO CARRO A SUS ESPALDAS. AL RETIRAR DE LA CINTA TRANSPORTADORA DE EQUIPAJES UNO DE LOS BOLSOS DESPACHADOS, A FIN DE COLOCARLO SOBRE EL CARRO SE PERCATA DEL FALTANTE DE LA CARTERA.</t>
  </si>
  <si>
    <t>MAQUINA RX</t>
  </si>
  <si>
    <t>AL PRESENTASE LA IMPUTADA AL PREEMBARQUE COLOCA SU EQUIPAJEJA DE MANO EN LA MAQUINA DE RAYOS X, MOMENTO EN EL CUAL PERSONAL POLICIAL OBSERVO SUSTANCIA ORGÁNICA SIN PODER PRECISAR DE QUE ELEMENTO SE TRATABA.POR LO CUAL SE TRASLADO A LA PASAJERA AL TURNO, JUNTO CON DOS TESTIGOS, DONDE PREVIA AUTORIZACIÓN JUDICIAL SE PROCEDIO A LA REQUISA DE LA CAUSANTE Y DE SU EQUIPAJE , VISUALIZANDO EN EL INTERIOR DE DICHO EQUIPAJE DE MANO , EN DOBLE FONDO, UN TOTAL DE CUATRO PAQUETES CONTENIENDO SUSTANCIA QUE SOMETIDA A PRUEBA DE CAMPO PARA COCAINA ARROJO RESULTADO POSITIVO.INFORMADO EL JUZGADO DE DICHOS RESULTADOS DISPUSO LA DETENCIÓN DE LA IMPUTADA EN CALIDAD DE INCOMUNICADA Y SU TRASLADO A SEDE JUDICIAL EL DÍA 18/09/2010 A LA CATORCE HORAS. A LAS 13:00 HORAS APROXIMADAMENTE DEL DIA 18-09-10 SE EFECTUA EL TRASLADO DE LA DETENDA DE ACUERDO A LO ORDENADO. PTO.</t>
  </si>
  <si>
    <t>AR1160</t>
  </si>
  <si>
    <t>EN EL DIA DE LA FECHA SIENDO LAS 07:20 HORAS SE PROCEDE A DAR CUMPLIENTO A LA ORDEN DE SERVICIO Nº 0644/2010 DE LA URSA I DE L ESTE, REFERENTE A LA CUSTODIA DEL TESTIGO PROTEGIDO, QUIEN ARRIBO JUNTO CON EL SEÑOR TORRENT A ESTE AEROPARQUE METROPOLITANO A LAS 07:35 HORAS EN EL VUELO Nº 2651 DE LA EMPRESA AUSTRAL LINEAS AEREAS PROCEDENTE DE LA CIUDAD DE NEUQUEN, PARA LUEGO TRASLADAR A LOS CITADOS UT SUPRA HACIA LA PARTE PUBLICA. RETIRANDOSE DE ESTA JURISDICCION SIN NOVEDAD.-</t>
  </si>
  <si>
    <t>DRA. BARCHUK, INES SOFIA</t>
  </si>
  <si>
    <t>EN EL DIA DE LA FECHA SE RECIBE DENUNCIA DE LA DAMNIFICADA, LA CUAL INFORMA QUE SU BOLSO DE COLOR BLANCO Y NEGRO, SIMIL CUERO, DE MEDIDAS 50 CM DE X 40 CM DE ALTO X 30 CM DE ANCHO, CON LA LEYENDA PUNTO UNO, CON CANDADO DE METAL COLOCADO, EL CUAL FUE DESPACHADO CON MARBETE Nº AR-705147 Y AL MOMENTO DE RETIRAR SU EQUIPAJE OBSERVA QUE SE ENCUENTRA ABIERTO UNO DE LOS CIERRES Y SU INTERIOR REVUELTO, FALTANDO UNA CÁMARA DIGITAL MARCA SAMSUNG, COLOR ROJO, DE 8 MEGA PIXELES, UN PAR DE REMERAS MARCA ARMANI, UN PAR DE ZAPATILLAS MARCA ALEXANDER MAC QEEN Y UN PAR DE SANDALIAS MARCA NIKE. EL EQUPAJE EN CUESTION FUE DESPACHADO A LAS 07:30 HS, DESPEGANDO EL VUELO CON 30 MINUTOS DE DEMORA. SE IMPONE LA NOVEDAD AL JUZGADO DE INSTRUCCIÓN DE TURNO, QUIEN ORDENA SE LABREN LAS ACTUACIONES Y SEAN ELEVADAS A SEDE JUDICIAL.</t>
  </si>
  <si>
    <t>CIUDAD AUTONOMA DE BS. AS.</t>
  </si>
  <si>
    <t>CALLE DE ACCESO A PLANTA INDUSTRIAL AEROLINEAS ARGENTINAS</t>
  </si>
  <si>
    <t>SIENDO LA HORA Y FECHA ANTES MENCIONADA, SE RECIBE COMUNICACION TELEFONICA EMITIDA POR PERSONAL POLICIAL DE LA COMISARIA CUARTA DEL BARRIO UNO, INFORMANDO QUE EN LA CALLE QUE CONDUCE A LA PLANTA INDUSTRIAL DE AEROLINEAS ARGENTINAS UN VEHICULO HABIA CHOCADO CON EL GUARD RAY . UNA VEZ EN EL LUGAR SE OBSERVA LA EXISTENCIA DE UN VEHICULO MARCA CHEVROLET MODELO CORSA COLOR AZUL DOMINIO HEK 720, EL CUAL PRESENTA UN GOLPE EN SU PARTE DELANTERA DERECHA. EN EL MISMO SE TRASLADABAN TRES MASCULINOS, EL CONDUCTOR SOLO SUFRIO UNA HERIDA CORTANTE LEVE EN UNA DE SUS MANOS, MIENTRAS QUE LOS DOS ACOMPAÑANTES FURON TRASLADADOS HACIA EL HOSPITAL DE EZEIZA PERMANECIENDO ESTABLES Y EN OBSERVACION. SIENDO LAS 0820HS SE MANTIENE COMUNICACION CON EL AGENTE FISCAL QUIEN DISPUSO SE INICIEN ACTUACIONES CARATULADAS LESIONES CULPOSAS, SE NOTIFIQUE AL SEÑOR OLIVA QUE SE ENCUENTRA IMPUTADO, INSPECCION OCULAR, INFORME TECNICO VEHICULAR, DOSAJE DE SANGRE AL IMPUTADO. SIENDO LAS 19 00HS EL IMPUTADO SE RETIRA DE LA DEPENDENCIA POR SUS PROPIOS MEDIOS CONFORME CON LOS TRATOS RECIBIDOS.</t>
  </si>
  <si>
    <t>SIENDO LAS 15:50 HORAS DEL DIA DE LA FECHA PERSONAL DE ESTA UOSP METROPOLITANA, JUNTO CON PERSONAL DE CANES Y GEDEX SE HACEN PRESENTES EN LA AEROESTACION MILITAR, DONDE SIENDO LAS 16:00 HORAS SE PROCEDE A CUMPLIMENTAR EL OPERATIVO DE SEGURIDAD REFERENTE A LA PARTIDA DE LA SEÑORA PRESIDENTE DE LA NACION, QUIEN ARRIBO A ESTA AEROESTACION A LAS 17:40 HORAS EN EL HELICOPTERO MATRICULA H-01, PARA LUEGO ABORDAR Y PARTIR A LAS 18:10 HORAS EN LA AERONAVE MATRICULA T-01, CON DESTINO A LA CIUDAD DE SANTIGO DE CHILE, REPUBLICA DE CHILE. FINALIZANDO EL OPERATIVO A LAS 18:10 HORAS SIN NOVEDAD.</t>
  </si>
  <si>
    <t>CONTRAVENCION Y FALTA</t>
  </si>
  <si>
    <t>PLATAFORMA OPERATIVA DE AERONAVES POSICION DE ESTACIONAMIENTO Nº 5</t>
  </si>
  <si>
    <t>SIENDO LAS 16:50 HORAS DEL DIA DE LA FECHA EL OFICIAL MAYOR RICARDO RIQUELME LEG. Nº 501274 DETECTA LA PRESENCIA EN PLATAFORMA DE DOS PERSONAS QUE AL SER INTERCEPTADAS RESULTAN SER EL SEÑOR HEREDIA NELSON D.N.I. Nº 23.977.635 Y LA SRA HERRERA VERONICA D.N.I. Nº 23.771.889, AMBOS PERSONAL DE ANAC CON FUNCIONES EN ESTE AEROPUERTO, QUIENES AL SER CONSULTADOS DONDE SE DIRIGIAN MANIFESTARON QUE A LA AERONAVE DE LA EMPRESA AEROLINEAS ARGENTINAS QUE CUMPLIA VUELO NRO 2685 CON DESTINO A BUENOS AIRES YA QUE LA SEÑORA HERRERA IBA A EMBARCAR EN EL MISMO, ACTO SEGUIDO SE LE CONSULTO POR EL LUGAR DE INGRESO A LA PLATAFORMA, MENCIONANDO QUE LO HABIAN HECHO POR LA PUERTA BAJO TORRE DE LA AEROESTACION, MOTIVO POR EL CUAL SE LES NIEGA EL ACCESO A LA AERONAVE Y SE LOS ACOMPAÑA AL EDIFICIO TERMINAL OFICINA DE TURNO DONDE SE LES PONE EN CONOCIMIENTO QUE EL LUGAR POR DONDE INGRESARON NO ES UN PUNTO DE ACCESO SINO UNA SALIDA DE EMERGENCIAS Y SE LES IMPONDRA UNA INFRACCION DE ACUERDO CON LO ESTABLECIDO EN LA DISPOSICION Nº 172/10 ART. 98 INC. I.. ASIMISMO SE DA INTERVENCION AL JUZGADO FEDERAL DE SAN CARLOS DE BARILOCHE EN LA PERSONA DE SU TITULAR DR. LEONIDAS MOLDES QUIEN EN CONOCIMIENTO DE LO ACONTECIDO DETERMINA QUE NO SE CONFIGURA DELITO Y QUE SOLO SE PROSIGA CON LAS ACTUACIONES INTERNAS POR LA INFRACCION, PROCEDIENDOSE AL LABRADO DE LAS ACTAS DE INFRACCION NRO 002/10 Y 003/10 RESPECTIVAMENTE</t>
  </si>
  <si>
    <t>PRIMER PISO, LOCAL UNO DEL DUTY FREE SHOP</t>
  </si>
  <si>
    <t>PERSONAL DEL DUTY FREE SHOP INFORMA QUE EN EL LOCAL UNO DE ESA EMPRESA, UNA PASAJERA SE HABRIA RETIRADO DEL RECINTO SIN ABONAR UN PRODUCTO. POR LO CUAL SE COMISIONA PERSONAL POLICIAL, EL CUAL AL ARRIBAR AL SECTOR EN CUESTION, SE CONTACTA CON EL SR. OCAMPO DEL FREE SHOP, QUIEN SE ENCONTRABA JUNTO A UNA PASAJERA EN UNA DE LAS CAJAS DE COBRO. ALLI OCAMPO REFIERE QUE DICHA PASAJERA SE HABRIA RETIRADO DEL LOCAL DE VENTAS SIN ABONAR UN PERFUME EL CUAL TRANSPORTABA OCULTO BAJO UNA DE SUS AXILAS. ATENTO A ESTA CIRCUNSTANCIA LOS EFECTIVOS ALLI PRESENTES CONVOCAN LA PRESENCIA DE DOS TESIGOS Y SE TRASLADAN CON TODOS LOS ALLI PRESENTE Y EL ELEMENTO EN CUESTION HACIA LA GUARDIA DE PREVENCION . YA EN ESTA DEPENDENCIA, CON LAS AUTORIZACIONES JUDICIALES SE LABRAN LAS ACTUACIONES PERTINENTES Y SE EFECTUA LA CORRESPONDIENTE REQUISA DE LA QUE SURGEN DOS PRODUCTOS MAS EN PODER DE LA CAUSANTE, QUE PODRIAN SER PRODUCTO DE UN ILICITO. A LAS 00:15 HORAS DEL DIA 19-09-10 SE PROCEDE AL TRASLADO DE LA CAUSANTE HACIA LA UNIDAD 28 DEL S.P.F. DE ACUERDO A LO ORDENADO. PTO.-</t>
  </si>
  <si>
    <t>SIENDO LA HORA MENCIONADA SE IMPLEMENTA CONTROL DE SEGURIDAD POR ARRIBO DE LA SRA. PRESIDENTE DE LA NACION SEGUN ORDEN DE SERVICIO Nº 649/10 DE LA URSA I DEL ESTE, PROCEDENTE DE LA REPUBLICA DE CHILE EN LA AERONAVE MATRICULA T-01 A LAS 03:35 HORAS, DESPEGANDO DE ESTA AEROESTACION 03:40 HORAS EN HELICOPTERO MATRICULA H-01 Y FINALIZANDO EL DISPOSITIVO A LAS 03:55 HORAS SIN NOVEDAD.</t>
  </si>
  <si>
    <t>CINTAS DE ARRIBOS</t>
  </si>
  <si>
    <t>EL DIA 16 DEL CORRIENTE MES Y AÑO ARRIBO AL PAIS Y LUEGO DE REALIZAR LOS TRAMITES MIGRATORIOS, EN MOMENTOS QUE SE DISPONIA A RETIRAR SU EQUIPAJE DESPACHADO POR BODEGA, DE LA CINTA TRANSPORTADORA N° 07 DE LA TERMINAL A, SE PERCATA DEL FALTANTE DE DOS EQUIPAJES DE MANO QUE SE ENCONTRABAN SITUADOS EN UN CARRO UBICADO AL LADO DE LA DENUNCIANTE, MANIFESTANDO QUE EN UN DESCUIDO LOS PERDIA DE VISTA. POR TAL MOTIVO SE APERSONA EN EL DIA DE LA FECHA A RADICAR LA PRESENTE DENUNCIA.-</t>
  </si>
  <si>
    <t>SE PROCEDE A LA RETENCIÓN DE UNA SACA COLECTORA DEL CORREO OFICIAL, SEGÚN CONSTA EN ACTA DE RETENCIÓN DE CARGAS Nº 0421/10, QUE ORIGINA LA PREVENCIÓN SUMARIA 096/10, LA SACA IDENTIFICADA CON MARBETE, SLA0216900E555700RGL, PRECINTO N° N887083, CON UN PESO DECLARADO DE 6,100 KGS, CON DESTINO LA CIUDAD DE RIO GALLEGOS, CONTENDRÍA UNA PIEZA POSTAL. LA MISMA ESTÁ AMPARADA EN GUÍA DE CARGA Nº 9453355-2, DESPACHADAS A TRAVÉS DE LA EMPRESA DE CARGA AÉREA JET PAQ. LA RETENCIÓN SE REALIZA ANTE LA PRESUNCIÓN QUE PUDIERAN CONTENER ALGÚN ELEMENTO EN INFRACCIÓN A LA LEY 23.737 Y/O 22.415, QUEDANDO LA MISMA CERRADA Y PRECINTADA EN GUARDA EN ESTA UOSP. SEGÚN LO COORDINADO CON EL DRA. MARÍA ISABEL FALU, A CARGO DE LA SECRETARIA PENAL Nº 4 DEL JUZGADO FEDERAL DE SALTA Nº 2 A CARGO DEL DR. MIGUEL ANTONIO MEDINA. LA APERTURA SE REALIZARÁ EN PRESENCIA DEL PERSONAL DEL CORREO OFICIAL.</t>
  </si>
  <si>
    <t>DESDE AEROPUERTO HASTA DOMICILIO PARTICULAR</t>
  </si>
  <si>
    <t>QUE EL DIA DIEZ DE SEPTIEMBRE DEL CORRIENTE AÑO, SIENDO APROXIMADAMENTE LAS VEINTE HORAS DIEZ MINUTOS, ARRIBO A ESTE AEROPUERTO INTERNACIONAL EN EL VUELO IB6845, DE LA COMPAÑIA AEROCOMERCIAL IBERIA. QUE LUEGO DE REALIZAR LOS TRAMITES MIGRATORIOS CORRESPONDIENTES A LA ENTRADA AL TERRITORIO NACIONAL, SE DIRIGE A LA CINTA TRANSPORTADORA DE EQUIPAJES UBICADAS EN LA TERMINAL A DE ESTE MEDIO, PARA TOMAR CONTACTO CON SUS VALIJAS DESPACHADAS A BODEGA, ACTO QUE NO PUEDE REALIZAR DEBIDO A QUE SUS EQUIPAJES NO HABRIAN SIDO DESPACHADOS EN SU MISMO VUELO, POR TAL MOTIVO LA DENUNCIANTE SE APERSONA A LAS OFICINAS DE RECLAMOS DE LA CITADA COMPAÑIA, Y RECIBE COMO RESPUESTA QUE SUS EQUIPAJES VENDRIAN EN OTRO VUELO CON FECHA DE ARRIBO EL DIA ONCE DEL CORRIENTE, QUE SIENDO EL DIA DIECISEIS DE SEPTIEMBRE DEL CORRIENTE AÑO, RECIBE EN SU DOMICILIO LOS EQUIPAJES EN CUESTION DONDE SE PERCATA DEL FALTANTE DE VARIAS DE SUS PERTENENCIAS</t>
  </si>
  <si>
    <t>5721/10</t>
  </si>
  <si>
    <t>SE PROCEDE A LA APERTURA DE UNA SACA COLECTORA DEL CORREO OFICIAL, SEGÚN CONSTA EN ACTA DE RETENCIÓN DE CARGAS Nº 0421/10, QUE ORIGINA LA PREVENCIÓN SUMARIA 096/10, LA SACA IDENTIFICADA CON MARBETE, SLA0216900E555700RGL, PRECINTO N° N887083, CONTIENE UNA PIEZA POSTAL IDENTIFICADA COMO EP693134128AR, RTTE: SRA. ANA GUERRERO ARANÍBAR, CON DOMICILIO EN MZA. 382 B LOTE Nº 7 Bº UNION, CP Nº 4400 SALTA CAPITAL, DEST. SR. AGUEDO MANSILLA, CON DOMICILIO EN CALLE OLEGARIO ZIERPE Nº 795, CP. 9400, RIO GALLEGOS PROV. DE SANATA CRUZ, LA MISMA QUEDA RETENIDA. LA RETENCIÓN SE REALIZA ANTE LA PRESUNCIÓN QUE PUDIERA CONTENER ALGÚN ELEMENTO EN INFRACCIÓN A LA LEY 23.737 Y/O 22.415, QUEDANDO LA MISMA CERRADA Y EN GUARDA EN ESTA UOSP. SEGÚN LO COORDINADO CON EL DRA. MARÍA ISABEL FALU, A CARGO DE LA SECRETARIA PENAL Nº 4 DEL JUZGADO FEDERAL DE SALTA Nº 2 A CARGO DEL DR. MIGUEL ANTONIO MEDINA. LA APERTURA SE REALIZARÁ CON LA AUTORIZACIÓN DEL MAGISTRADO ACTUANTE</t>
  </si>
  <si>
    <t>MATÍAS BUENAVENTURA</t>
  </si>
  <si>
    <t>TERMINAL III 1ER PISO</t>
  </si>
  <si>
    <t>EN EL DÍA DE LA FECHA SIENDO LAS 09:30 HORAS LA ENCARGADA DEL PUESTO TERMINAL III, INFORMA QUE AL ENCONTRARSE REALIZANDO EL CONTROL DE INGRESO DE PASAJEROS PARA EL VUELO Nº 860, DE LA EMPRESA AÉREA ANDES, CON HORARIO DE PARTIDA A LAS 10.15 HORAS, CON DESTINO LA CIUDAD DE BARILOCHE, SE PROCEDE A CHEQUEAR A UN MASCULINO PERCATÁNDOSE QUE EN EL BOLSILLO DELANTERO IZQUIERDO DE SU PANTALÓN POSEÍA UN BULTO SOSPECHO, POR LO QUE LE CONSULTA AL RESPECTO Y EL PASAJERO NO CONTESTA. INMEDIATAMENTE LE INFORMA LA NOVEDAD A LA ENCARGADA DE PUESTO QUIEN SOLICITA LA PRESENCIA DE DOS TESTIGOS Y SE TRASLADAN A LA SALA DE REQUISA ADJUNTA, LUGAR EN EL CUAL FRENTE A LOS TESTIGOS EL MASCULINO MUESTRA UN ENVOLTORIO DE NYLON COLOR BLANCO Y AL SER CONSULTADO ACERCA DEL CONTENIDO DEL MISMO MANIFIESTA QUE ES MERCA. SE LE REALIZO EL REACTIVO DE CAMPO ORIENTATIVO PARA COCAINA, UTILIZANDO SPRAY COCATEST, ARROJANDO RESULTADO POSITIVO. ACTO SEGUIDO SE TRASLADO A TODOS LOS INTERVINIENTES A LA GUARDIA DE PREVENCIÓN.. SE DIO INTERVENCIÓN A LA JUDICATURA ACTUANTE QUIEN ORDENO LAS DILIGENCIAS DE RIGOR. SEGUN PU 5748 CON FECHA 20/09/2010 SE INFORMA QUE A LAS 2030HS FUE LIBERADO EL IMPUTADO POR NO PRESENTAR IMPEDIMENTO LEGAL ALGUNO</t>
  </si>
  <si>
    <t>5650/10</t>
  </si>
  <si>
    <t>EN EL DIA DE LA FECHA SE ENVIA NOTA A LA FISCALÍA FEDERAL NRO 2 DE ROSARIO, INFORMANDO QUE EN EL DOMICILIO DE CALLE LARRECHEA AL 1800 DE ESTA CIUDAD SE PUEDEN CONFIRMAR LAS CONDUCTAS EN INFRACCION A LA LEY 23737 DENUNCIADAS, Y QUE DIERAN ORIGEN A LA PRESENTE INVESTIGACIÓN. POR TAL MOTIVO SE SOLICITO REQUERIR AL JUZGADO INTERVINIENTE ORDENES DE ALLANAMIENTO Y REGISTRO PARA EL DIA JUEVES 23 DE SETIEMBRE DEL CORRIENTE AÑO, EN DOS DOMICILIOS DE VIVIENDAS PARTICULARES. EN UNO DE ELLOS SE OBTUVO CON REGISTROS FÍLMICOS LA VENTA DE SUSTANCIA ESTUPEFACIENTE Y EN EL SEGUNDO, CONTIGUO AL DENUNCIADO, DONDE SE REALIZA EL ALMACENAMIENTO DE SUSTANCIA Y LUGAR DE INGRESO PARA LA PRIMERA VIVIENDA.</t>
  </si>
  <si>
    <t>5139/10</t>
  </si>
  <si>
    <t>CIUDAD DE POSADAS Y LOCALIDADES ALEDAÑAS</t>
  </si>
  <si>
    <t>EN EL DIA DE LA FECHA 20 SET 10 SE RECIBE OFICIO Nº 1420/10 DE FECHA 15 DE SEPTIEMBRE DE 2010 DE LA FISCALIA FEDERAL Nº 2 DE ESTA CIUDAD EN AUTOS CARATULADOS EXPTE Nº 160636/10 - POLICIA DE SEGURIDAD AEROPORTUARIA S/INVESTIGACION PRELIMINAR, DISPONIENDO QUE SE REALICEN DISCRETAS TAREAS INVESTIGATIVAS A LOS FINES DE DETERMINAR LAS PERSONAS INVOLUCRADAS Y LA VERACIDAD DE LA MISMA. ESTAS ACTUACIONES SON GIRADAS A ESTA U.O.C.N. Y D.C. IV DEL LITORAL POSADAS EN NOTA Nº 370/10 DE LA U.O.S.P POSADAS</t>
  </si>
  <si>
    <t>EN MOMENTOS QUE PERSONAL POLICIAL ASIGNADO A LA DENOMINADA "PATRULLA ECO" DE LA TERMINAL "A" DE ESTE AEROPUERTO, REALIZABA RECORRIDAS DE SEGURIDAD POR LA PÉRGOLA DE ARRIBOS DE LA CITADA TERMINAL, ES INTERCEPTADO POR LA DENUNCIANTE QUIEN LE MANIFIESTA QUE UNA PERSONA LE HABRÍA OFRECIDO SERVICIO DE TAXI Y QUE AL LLEVARLA HASTA EL VEHICULO DE ALQUILER, LE HABRÍA SUSTRAÍDO DE SU CARTERA SU CELULAR. LUEGO A TRAVÉS DE LA DESCRIPCIÓN REALIZADA POR LA DENUNCIANTE SE INTERCEPTA AL POSIBLE AUTOR DEL HECHO Y SE LO TRASLADA AL LUGAR DONDE SE ENCONTRABA LA DENUNCIANTE, MOMENTO EN EL QUE LA MISMA RECONOCE AL MISMO COMO LA PERSONA QUE LE HABÍA SUSTRAÍDO EL TELÉFONO CELULAR. SE TRASLADAN A TODOS LOS INTERVINIENTES A LA GUARDIA DE PREVENCIÓN, DONDE SE LE REALIZO UNA REQUISA AL IMPUTADO EN BÚSQUEDA DEL CELULAR EN CUESTIÓN DANDO LA MISMA RESULTADO NEGATIVO. ANOTICIADA LA UFI INTERVINIENTE DISPUSO SE PROCEDA A LA APREHENSIÓN DEL IMPUTADO, SE CURSE NOTA A INTERPOL Y EN CASO DE NO POSEER RESTRICCIÓN LEGAR SE PROCEDA A SU LIBERACIÓN EN APLICACIÓN DEL ARTICULO 161 CPPPBA. SIENDO LAS 1900 HS. SE PROCEDIO A LA LIBERACION DEL CAUSANTE.</t>
  </si>
  <si>
    <t>5732/10</t>
  </si>
  <si>
    <t>SIENDO LAS 20:30 HORAS DEL DIA 20 DE SEPTIEMBRE DEL 2010, AL NO REGISTRAR IMPEDIMENTO LEGAL ALGUNO Y LUEGO DE REALIZARLE PRECARIO MEDICO DE SALIDA SE PROCEDE A LA LIBERACION DEL DETENIDO, SEGUN DISPOSICION DE LA JUDICATURA ACTUANTE.</t>
  </si>
  <si>
    <t>MOSTRADORES DE CHECK-IN DE LA EMPRESA LAN</t>
  </si>
  <si>
    <t>EN MOMENTOS QUE SE ENCONTRABA REALIZANDO EL CHECK-IN, EN LOS MOSTRADORES DE LA EMPRESA LAN DEL AEROPARQUE METROPOLITANO, PARA REALIZAR UN VUELO CON DESTINO A SANTIAGO DE CHILE, DEJA A UN LADO EL CARRO PORTA MALETA DESCUIDANDOLO POR UNOS MINUTOS Y EN MOMENTO DE VOLVER SU VISTA HACIA EL MISMO OBSERVA EL FALTANTE DE LOS ELEMENTOS DETALLADOS. DEBIDO QUE SU VUELO FUE DERIVADO A EZEIZA SE DIRIJE A ESTA GUARDIA DE PREVENCION PARA REALIZAR FORMAL DENUNCIA.</t>
  </si>
  <si>
    <t>CURVA A LA ALTURA DE CABECERA NORTE</t>
  </si>
  <si>
    <t>SIENDO LA FECHA Y HORA ANTES MENCIONADA SE RECIBE COMUNICACIÓN VÍA RADIAL POR PARTE DEL OF. CRISTIAN AMARILLA, CONDUCTOR DEL VEHICULO DENOMINADO PATRULLA PLATAFORMA, INFORMANDO QUE SE HABÍA PRODUCIDO UN ACCIDENTE VIAL EN LA CALLE PERIMETRAL DE ESTE AEROPARQUE, POR TAL MOTIVO SE DIRIGEN AL LUGAR EL OF. MAYOR MATEO GOIZUETA, JEFE DE TURNO Y EL OF. AYTE. LUCAS ALINEZ, SUMARIANTE DE TURNO. OBSERVANDO QUE HABÍA PERSONAL DE BOMBEROS DEL DESTACAMENTO DE POLICÍA FEDERAL Y PERSONAL MEDICO DE LA ANAC, Y QUE EN EL ASFALTO UN CAMIÓN DE LA EMPRESA YPF, EL CUAL TENIA DAÑADA LA PARTE FRONTAL INFERIOR A LA ALTURA DEL GUARDABARROS DERECHO Y A UNOS SIETE METROS SOBRE EL CÉSPED SE OBSERVA UN VEHICULO FIAT UNO, DE LA EMPRESA AEROLÍNEAS ARGENTINAS, EL CUAL SE ENCONTRABA CON SEVEROS DAÑOS EN SU CARROCERÍA EN LA PARTE LATERAL DERECHA, COMO ASÍ TAMBIÉN EL FALTANTE DE SU PARABRISAS, EL CUAL SE ENCONTRABA A UNOS DOS METROS. SE REALIZO UN PERÍMETRO DE SEGURIDAD, EL PERSONAL MEDICO DE LA ANAC TRASLADO AL SERVICIO MEDICO AL PERSONAL DEL VEHICULO FIAT UNO, QUE PRESENTABA HERIDAS SUPERFICIALES. SE TRASLADA A LA GUARDIA DE PREVENCIÓN AL CHOFER DEL CAMIÓN , DONDE SE INICIA PREVENCIÓN SUMARIA, SE DA INTERVENCIÓN A LA JUDICATURA ACTUANTE QUIEN DISPUSO: DETENCIÓN Y LECTURA DE DERECHOS, MEDICO PRECARIO DE ENTRADA, IDGE, CONSTATACIÓN TELEFÓNICA, NOTA A INGENIERÍA VIAL DE LA POLICÍA FEDERAL, A LOS EFECTOS DE REALIZAR PERICIAS, SECUESTRO DE LOS VEHÍCULOS. SIENDO LAS 01:15 HORAS DEL DÍA 21 DEL CORRIENTE MES Y AÑO, AL NO PRESENTAR IMPEDIMENTOS EN LA BASE DE DATOS IDGE Y TRAS REALIZARLE PRECARIO MEDICO DE SALIDA AL DETENIDO, SE PROCEDE A LA LIBERACIÓN DEL MISMO.</t>
  </si>
  <si>
    <t>INFORMO QUE SIENDO HORAS 10:44 ARRIBA A ESTE AEROPUERTO TUCUMAN EN AERONAVE T-03 EL SR. MINISTRO DE ECONOMIA DE LA NACION DR. AMADO BOUDOU. PARTIDA ESTIMADA A HS 14:00 CON DESTINO FINAL BUENOS AIRES. SE IMPLEMENTO DISPOSITIVO DE SEGURIDAD SEGUN ORDEN DE SERVICIO N 131/10 UOSP TUCUMAN - SIN REGISTRARSE NOVEDADES</t>
  </si>
  <si>
    <t>T 03</t>
  </si>
  <si>
    <t>LOCALIDAD DE METAN</t>
  </si>
  <si>
    <t>SE AMPLIA PARTE RESERVADO N° 5582, DE FECHA 14-09-10, REFERENTE AL EXPTE. N° 561/10, CARATULADO AVERIGUACION INFRACCION A LA LEY 24769, TRAMITADA ANTE EL JUZGADO FEDERAL DE SALTA N° 1 A CARGO DEL DR. JULIO LEONARDO BAVIO, SECRETARIA PENAL N° 2 A CARGO DEL DR. SANTIAGO FRENCH. SE INFORMA QUE EL DIA 13-09-10, SE SE HIZO EFECTIVA LA INTERVENCION TELEFONICA DEL ABONADO N 03876-425161, POR EL LAPSO DE 15 DIAS, DICHO ABONADO PERTENECE AL ESTUDIO CONTABLE DE LA CONTADORA SANDRA ESTHER JEREZ,, LA CUAL SE ENCUENTRA IMPLICADA ENLA PRESENTE CAUSA. CON FECHA 16-09-10 SE RECEPCIONO OFICIO N° 2708/10 LIBRADO POR EL JUZGADO FEDERAL DE SALTA N° 1, POR EL CUAL ORDENA LA INTERVENCION TELEFONICA POR UN LAPSO DE 15 DIAS DEL ABONADO N° 3876-660918, EL CUAL ES UTILIZADO POR LA CONTADORA SANDRA ESTHER JEREZ, HACIENDOSE EFECTIVA DICHA INTERVENCION EL DIA 16-09-10. SE PUDO CONFIRMAR QUE EL DOMICILIO DEL ESTUDIO CONTABLE Y EL DOMICILIO PARTICULAR DE LA CONTADORA SANDRA ESTHER JEREZ SE ENCUENTRAN UBICADOS EN LA CALLE 9 DE JULIO N° 487 Y 483 RESPECTIVAMENTE, DE LA LOCALIDAD DE METAN, PROVINCIA DE SALTA. SE AMPLIARA A MEDIDA QUE SURJAN NOVEDADES.</t>
  </si>
  <si>
    <t>5757/10</t>
  </si>
  <si>
    <t>INFORMO QUE SIENDO HORAS 14:04 DESPEGO DE ESTE AEROPUERTO EN AERONAVE T-03 EL SR. MINISTRO DE ECONOMIA DE LA NACION DR. AMADO BOUDOU. CON DESTINO FINAL BUENOS AIRES. SE IMPLEMENTO DISPOSITIVO DE SEGURIDAD SEGUN ORDEN DE SERVICIO N 131/10 UOSP TUCUMAN - SIN REGISTRARSE NOVEDADES</t>
  </si>
  <si>
    <t>SE AMPLIA PARTE RESERVADO N° 2389, DE FECHA 22/04/10, REFERENTE AL EXPTE. 1026/08, CARATULADO AVERIGUACION S/INFRACCION LEY 23737, TRAMITADO ANTE EL JUZGADO FEDERAL DE SALTA N° 2 A CARGO DEL DR. MIGUEL ANTONIO MEDINA, SECRETARIA PENAL N° 4 A CARGO DE LA DRA. MARIA ISABEL FALU. EL DIA 21 DE SETIEMBRE DE 2010, SE RECEPCIONO OFICO S/N DE FECHA 07-09-10, LIBRADO POR EL JUZGADO FEDERAL DE SALTA N° 2, POR EL CUAL PONE EN CONOCIMIENTO QUE SE DISPUSO EL ARCHIVO DE LAS PRESENTES ACTUACIONES, DANDO POR FINALIZADAS LAS TAREAS OPORTUNAMENTE ENCOMENDADAS A ESTA UOCN Y DC DEL NORTE. SE DAN POR FINALIZADAS LAS TAREAS ENCOMENDADAS SEGUN O.S. N° 024/09, DE FECHA 02 DE MAYO DE 2009, GENERADA POR ESTA UNIDAD.</t>
  </si>
  <si>
    <t>5693/10</t>
  </si>
  <si>
    <t>SIENDO LAS 12:00 HORAS DEL DIA DE LA FECHA SE REALIZA EN LA ADUANA FORMOSA LA APERTURA DE LA CAJA SECUESTRADA CONJUNTAMENTE CON EL AGENTE VERIFICADOR ADUANERO . DANDO CUMPLIMIENTO A LO DISPUESTO POR EL JUZGADO FEDERAL Nº 2 A TRAVES DE SU SECRETARIA PENAL UNICA. QUEDANDO DICHA MERCADERIA EN CUSTODIA DE LA ADUANA LOCAL, VALUADO APROXIMADAMENTE EN 5000 MIL PESOS.-</t>
  </si>
  <si>
    <t>NUEVA TERMINAL DE PASAJEROS EZEIZA</t>
  </si>
  <si>
    <t>EN CERCANIA AL EDIFICIO CORPORATIVO DE AEROPUERTOS ARGENTINA 2000</t>
  </si>
  <si>
    <t>EN MOMENTOS QUE EL DENUNCIANTE SE ENCONTRABA TRABAJANDO, SE PRESENTA UNA PERSONA DE SEXO MASCULINO DE QUIEN DESCONOCE DATOS PERSONALES, EL CUAL LE PROFIERE INSULTOS CONTRA SU PERSONA Y LO AMENAZA DE MUERTE A ÉL Y A SU FAMILIA, SIN MOTIVO ALGUNO, POR LO QUE TRANSMITIO LA NOVEDAD A SU SUPERIOR. LUEGO, LE CONSULTA AL SEÑOR DIEGO FERREIRA, PERTENECIENTE A LA EMPRESA OUT FIRE S.A (SUBCONTRATADA POR HELPORT) SI CONOCÍA A LA PERSONA QUE LO HABÍA AGREDIDO VERBALMENTE, OBTENIENDO COMO RESPUESTA QUE EL AGRESOR SE LLAMABA ROBERTO CABI Y QUE APARENTEMENTE TRABAJA PARA UNA EMPRESA SUBCONTRATADA POR HELPORT DE NOMBRE "MEDINA OSCAR NORBERTO". PTO.-</t>
  </si>
  <si>
    <t>MIENTRAS SE DESARROLLABA EL CONTROL PREVENTIVO DE LOS EQUIPAJES DESPACHADOS DEL VUELO ANTES MENCIONADO, SE DETECTO SUSTANCIA DEL TIPO ORGANICA DENTRO DE UN EQUIPAJE CON MARBETE A NOMBRE DE NATALI/MATIAS POR LO CUAL SE DISPUSO LA IDENTIICACION DEL MISMO. EN LA MANGA 3, SE PRESENTO LA PASAJERA SAMUEL, QUIEN PORTABA EL TICKET CORRESPONDIENTE AL MARBETE DEL EQUIPAJE EN CUESTION, EN VIRTUD A QUE VIAJABA CON SU HIJO MENOR DE EDAD DE NOMBRE NATALI MATIAS. YA EN EL PATIO DE VALIJAS CON LAS AUTORIZACIONES PERTINENTES, LUEGO DE RECONOCIDO EL EQUIPAJE, SE APERTURO EL MISMO Y SE OBSERVO ENTRE LAS ROPAS UNA CAJA QUE CONTENIA UN BLOQUE DE CHOCOLATE. SE EFECTUO UN INCISION Y SE OBTUVO UNA SUSTANCIA COLOR BLANCA A LA QUE SE LE REALIZO REACTIVO PARA COCAINA ARROJANDO RESULTADO POSITIVO. HABIDA CUENTA SE TRASLADARON TODOS HACIA LA GUARDIA DE PREVENCION DONDE SE EFECTUO UNA REQUISA DEL EQUIPAJE , COMO ASI TAMBIEN DE LA PASAJERA Y SUS PERTENENCIAS NO DETECTANDOSE OTRA NOVEDAD. POR DISPOSICION JUDICIAL LA DETENIDA JUNTO A SU HIJO MATIAS NATALI, DE DOS AÑOS DE EDAD, NACIONALIDAD ITALIANA, PASAPORTE DE ITALIA YA0121119 DEBEN PERMANECER EN ESTA DEPENDENCIA HASTA SU TRASLADO A PRIMERA HORA DEL DIA 22-09-10. LOS DOS OFICIALES CATALOGADOS COMO AUXILIARES FUERON LOS OPERADORES DE RX QUE DETECTARON LA NOVEDAD. PTO.-</t>
  </si>
  <si>
    <t>RAMIREZ MARIA LUCIA</t>
  </si>
  <si>
    <t>AEROPUERTO EL CALAFATE-AEROPUERTO USHUAIA</t>
  </si>
  <si>
    <t>SIENDO LA HORA Y FECHA MENCIONADA EN ESTE AEROPUERTO LOS OFICIALES MENCIONADOS JUNTO CON DOS TESTIGOS CITADOS PROCEDEN A REALIZAR UN CONTROL PREVENTIVO EN LA BODEGA DE EQUIPAJE DEL VUELO DESCRIPTO DE LA EMPRESA LAN, AL REALIZAR LA APERTURA DE DICHA BODEGA Y DESCARGAR EL CONTENIDO HALLAN UN TOTAL DE 22 EQUIPAJES LOS CUALES SE ENCONTRABAN ABIERTOS Y/O SIN CANDADO. POR LO QUE JUNTO A LOS DOS TESTIGOS SE APROXIMAN AL SECTOR A2 A FIN DE CONTACTAR A LOS DUEÑOS DE DICHOS EQUIPAJES, UNA VEZ CONTACTADOS LOS MISMOS SON INVITADOS A CONTROLAR LOS MENCIONADOS ARROJANDO COMO RESULTADO UN SOLO EQUIPAJE CON FALTANTES.</t>
  </si>
  <si>
    <t>4M 4438</t>
  </si>
  <si>
    <t>EN CUMPLIMIENTO DE LA ORDEN DE SERVICIO Nº 0084/10 Y SIENDO LAS 01:25 HORA LOCAL ARRIBA AERONAVE MATRICULA LV-BTM, DE LA EMPRESA LAN ARGENTINA Nº 4428 PROCEDENTE DE LA CIUDAD DE CAPITAL FEDERAL Y EN CUYAS BODEGAS 11, 12, 13 Y 31 SE EMBARCAN 150 CAJAS CON UN PESO TOTAL DE 3300 KILOGRAMOS DE METAL- MTD- PERTENECIENTE A MINERA SANTA CRUZ. EL MISMO DESPEGA COMO VUELO Nº 4429 CON DESTINO LA CIUDAD DE CAPITAL FEDERAL A LAS 02:59 HORA LOCAL.</t>
  </si>
  <si>
    <t>AEROPUERTO GRA. MOSCONI- COMODORO RIVADAVIA</t>
  </si>
  <si>
    <t>DUFFY, MARIA VIRGINIA</t>
  </si>
  <si>
    <t>443/84</t>
  </si>
  <si>
    <t>CALLE FRIAS SILVA Nº 938</t>
  </si>
  <si>
    <t>CIUDAD DE YERBA BUENA - PROVINCIA DE TUCUMAN</t>
  </si>
  <si>
    <t>SE RECIBE DE LA UOA COPIA DE OFICIO JUDICIAL Nº 859 DE FECHA 22/09/2010 DEL JUZGADO INTERVINIENTE DONDE SE ORDENA LA DETENCION DEL ENCARTADO JUAN CARLOS BENEDICTO EN EL DOMICILIO SITO EN CALLE FRIAS SILVA 938 YERBA BUENA TUCUMAN, DANDOSE INICIO A HORAS 17:00 A ORDEN DE SERVICIO Nº 200 DE ESTA URSA, TRASLADANDOSE EL PERSONAL DESIGNADO AL DOMICILIO MENCIONADO A DAR CUMPLIMIENTO DE LO ORDENADO.A HORAS 18:21 SE EFECTIVIZA LA DETENCION DE BENEDICTO REALIZANDO LA LECTURA DE DERECHOS Y GARANTIAS Y LABRANDO EL ACTA DE DETENCION CORRESPONDIENTE. FINALIZADO ESTE ACTO SE TRASLADA AL DETENIDO HACIA LA UOSP TUCUMAN DONDE SE REALIZAN LAS DEMAS ACTUACIONES. A HORAS 20:50 SE TRASLADA AL IMPUTADO A DEPENDENCIAS DEL JUZGADO FEDERAL Nº 1 DE TUCUMAN ENTREGANDOLO EN LA ALCAIDIA A HORAS 21:30 SIN NOVEDAD</t>
  </si>
  <si>
    <t>VERONICA DE ROSA</t>
  </si>
  <si>
    <t>VICTOR DE SAVIA NRO. 3559 LOMAS DEL MIRADOR, PARTIDO DE LA MATANZA.</t>
  </si>
  <si>
    <t>REFERENTE ORDEN DE SERVICIO N° 965/10, EN EL DIA DE LA FECHA EN MOMENTOS EN QUE SE IBA A HACER EFECTIVA LA ORDEN DE ALLANAMIENTO LIBRADA POR EL JUZGADO DE GARANTIAS N°2 DE LOMAS DE ZAMORA, DR. RAUL RICARDO ALI, EN EL MARCO DEL EXHORTO DE REFERENCIA, EL CUAL SE REALIZA EN CONJUNTO CON LA POLICIA DE LA PROVINCIA DE BUENOS AIRES, SE CONSTATA QUE LA FINCA MENCIONADA ES INEXISTENTE. ASIMISMO SE DEJA CONSTANCIA QUE LA REMISERIA "EL MIRADOR" QUE SE ENCUENTRA INVESTIGADA SE SITUA EN LA ALTURA CATASTRAL 3359 DE LA ARTERIA EN CUESTION. POR TAL MOTIVO SE LABRA ACTA DEJANDO CONSTANCIA.</t>
  </si>
  <si>
    <t>VIRREY VERTIZ Nº 4669 VILLA INSUPERABLE, LOMAS DEL MIRADOR, PCIA. DE BS. AS.</t>
  </si>
  <si>
    <t>REFERENTE ORDEN DE SERVICIO N° 965/10 EN EL DIA DE LA FECHA SE REALIZA ALLANAMIENTO EN LA FINCA INDICADA, ORDENADO POR EL JUZGADO DE GARANTIAS N°2 DEL DEPARTAMENTO JUDICIAL LA MATANZA, DR. RAUL RICARDO ALI, EN EL MARCO DEL EXHORTO DE REFERENCIA, PROCEDIENDOSE AL SECUESTRO DE LOS ELEMENTOS DETALLADOS. SE INFORMA EN PU Nº 5786 QUE LA FINCA DE LA CALLE VICTOR DE SAVIA Nº 3559 DE LA LOCALIDAD DE LOMAS DEL MIRADOR PARTIDO DE LA MATANZA PCIA. DE BS. AS. ES INEXISTENTE POR TAL MOTIVO NO SE LLEGO A EFECTIVIZAR LA ORDEN DE ALLANAMIENTO.</t>
  </si>
  <si>
    <t>SIENDO LA HORA MENCIONADA SE DA INICIO AL CONTROL POR PARTIDA DE LA SRA. PRESIDENTE DE LA NACION LA CUAL SIENDO LAS 19:48 HORAS ARRIBA A ESTA AEROESTACION EN HELICOPTERO H-01 Y PARTE DE ESTE AEROPARQUE METROPOLITANO CON DESTINO A LOS EE.UU. A LAS 20:38 HORAS EN AERONAVE T-01, FINALIZANDO EL DISPOSITIVO A LAS 20:45 HORAS SIN NOVEDAD</t>
  </si>
  <si>
    <t>5774/10</t>
  </si>
  <si>
    <t>SIENDO LAS SIETE HORAS, TREINTA MINUTOS DEL DIA 22-09-10 SE EFECTUO EL TRASLADO DE LA DETENIDA JUNTO A SU HIJO MENOR, HACIA EL ASIENTO DEL JUZGADO INTERVINIENTE. EN EL MISMO DIA Y SIENDO APROXIMADAMENTE LAS DIECINUEVE HORAS, LA DETENIDA JUNTO A SU HIJO REGRESARON Y PERMANECEN ALOJADOS EN ESTA DEPENDENCIA POR DISPOSICION JUDICIAL Y HASTA NUEVA DIRECTIVA QUE SE IMPARTIRA POSIBLEMENTE EL DIA 23-09-10 PTO.-</t>
  </si>
  <si>
    <t>ARSENALES MIGUEL DE AZCUENAGA CCD S/SECUESTROS Y DESPARICIONES.</t>
  </si>
  <si>
    <t>443/84 Y CONEXOS</t>
  </si>
  <si>
    <t>JARAMILLO 2877 - PISO 15 - DPTO. B - CABA</t>
  </si>
  <si>
    <t>EN EL DIA DE LA FECHA, PERSONAL DE ESTA UNIDAD OPERACIONAL ANTITERRORISTA PROCEDIO A LA DETENCION DEL CIUDADANO RETIRADO DE LA GENDARMERIA NACIONAL ARGENTINA RIVERO ERNESTO, DE ACUERDO A LO ORDENADO POR EL JUZGADO EXHORTADO NACIONAL EN LO CRIMINAL Y CORRECCIONAL NRO. 11 A CARGO DEL DR. JUEZ CLAUDIO BONADIO - SECRETARIA NRO. 21 DEL DR. ENRIQUE RORIGUEZ VARELA, POSTERIORMENTE EL CAUSANTE ES TRASLADADO A LA U.O.S.P. METROPOLITANA, A EFECTOS DE PROCEDER CON LA REVIZACION MEDICA, EXTRACCION DE JUEGOS DE FICHAS DACTOLOSCOPICAS Y TOMA DE IMAGENES FOTOGRAFICAS, SIENDO APROXIMADAMENTE LAS 21:10 HS. EL IMPUTADO ES CONDUCIDO CUSTODIADO A LA UNIDAD DEL SERVICIO PENITENCIARIO FEDERAL NRO. 28, QUEDANDO ALOJADO A DISPOSICION DEL JUZGADO INTERVINIENTE.</t>
  </si>
  <si>
    <t>AL ARRIBO AL PAIS DETECTO QUE EL EQUIPAJE DESPACHADO SE ENCONTRABA CON LOS PESTILLOS DEL CIERRE ROTOS Y SIN EL CANDADO OPORTUNAMENTE COLOCADO. POR LO CUAL AL APERTURAR EL MISMO, PUDO DETECTAR EL FALTANTE DEL ELEMENTO DENUNCIADO, EL CUAL SE ENCONTRABA ENTRE LAS PERTENENCIAS CONTENIDAS DENTRO DEL EQUIPAJE EN CUESTION. PTO.-</t>
  </si>
  <si>
    <t>LA4647</t>
  </si>
  <si>
    <t>MARIA LUCIA RAMIREZ</t>
  </si>
  <si>
    <t>SIENDO LA HORA MENCIONADA SE HACE PRESENTE EL DAMNIFICADO INFORMANDO QUE AL MOMENTO DE RETIRAR SU EQUIPAJE DE LA CINTA DE ARRIBOS OBSERVA QUE EL CANDADO QUE LE HABIA COLOCADO SE ENCONTRABA DAÑADO, POR LO QUE CONTROLA EL CONTENIDO DE LA VALIJA PERCATANDOSE DEL FALTANTE.</t>
  </si>
  <si>
    <t>JUZGADO DE INSTRUCCION Nº 4 DE SANTA FE</t>
  </si>
  <si>
    <t>HANGARES DE LA GOBERNACION DE LA PROVINCIA DE SANTA FE</t>
  </si>
  <si>
    <t>SIENDO LAS 18:10 HS EL OF. AY. EDUARDO BONETTI, DA AVISO AL JEFE DE TURNO OF. PPAL. EDUARDO DOMINGUEZ, QUE VE A UNA PERSONA SALTAR EL ALAMBRADO PERIMETRAL ,EL CUAL DE INMEDIATO SE DIRIGE A DICHO LUGAR AL UBICAR A DICHA PERSONA SE PROCEDE AL TRASLADO A LA OFICINA DE GUARDIA PARA SU IDENTIFICACION, CONSULTADO POR SUS DATOS PERSONALES DICE LLAMARSE ADRIAN VELASQUEZ SIN PODER APORTAR MAS DATOS . SE REALIZA COMUNICACION TELEFONICA AL JUZGADO DE INSTRUCCION Nº 4 DE LA CIUDAD DE SANTA FE, EL CUAL DISPÙSO QUE SE REALICEN COMUNICACIONES TELEFONICA A LAS COMISARIAS DE LA ZONA , CON EL OBJETO DE CONSULTARLE SI CONOCEN A DICHO SUJETO Y PODER DETERMINAR SU IDENTIDAD, ARROJANDO RESULTADOS NEGATIVO. POR LO QUE SE VUELVE A ENTABLAR LA COMUNICACION AL JUZGADO, QUIEN ORDENA QUE SEA TRASLADADO AL CENTRO DE SALUD, S.A.M.C.O. SANTO TOME PARA QUE SE REALICE UN CHEQUEO MEDICO Y SEA ENTREGADO A LA COMISARIA Nº 19 DE SAUCE VIEJO PARA SU IDENTIFICACION, SE PROCEDE A DAR CUMPLIMIENTO A LO ORDENADO POR EL JUZGADO Y ES TRASLADADO EN EL MOVIL DE DOTACION. EN DICHO NOSOCOMIO ES REVISADO POR LA DRA. BORGNINO LAURA MAT. 2064.CUMPLIMENTADA LA REVISION MEDICA ES TRASLADADO A LA UNIDAD. SIENDO LAS 20:45 HS SE PRESENTA EL SR. COMISARIO DANIEL TABORDA JEFE DE LA COMISARIA 19 DE SAUCE VIEJO A QUIEN SE LE ES ENTREGADO DICHA PERSONA JUNTO CON COPIA DE CERTIFICADO MEDICO.</t>
  </si>
  <si>
    <t>FRIAS SILVA 938 DE LA CIUDAD DE YERBA BUENA, TUCUMAN</t>
  </si>
  <si>
    <t>EN EL DIA DE LA FECHA 22/09/2010, PERSONAL DE ESTA UNIDAD OPERACIONAL ANTITERRORISTA TUCUMAN, JUNTO A PERSONAL DE LA URSA III DEL NORTE, PROCEDIO A LA DETENCION DEL CIUDADANO JUAN CARLOS BENEDICTO, DE ACUERDO A LO ORDENADO POR EL JUZGADO FEDERAL Nº 1 DE TUCUMAN A CARGO DEL DR. BEJAS RAUL DANIEL, SECRETARIA DE DERECHOS HUMANOS DRA. MARIA VIRGINIA DUFFY, POSTERIORMENTE EL CAUSANTE ES TRASLADADO A LA U.O.S.P TUCUMAN, A EFECTOS DE PROCEDER CON LA REVISACION MEDICA, EXTRACCION DE JUEGOS DE FICHAS DACTILOSCOPICAS Y TOMA DE IMAGENS FOTOGRAFICAS, SIENDO APROXIMADAMENTE LAS 21:30 EL IMPUTADO ES CONDUCIDO CUSTODIADO A LA ALCAIDIA DEL JUZGADO FEDERAL DE TUCUMAN, QUEDANDO ALOJADO A DISPOSICION DEL JUZGADO INTERVINIENTE.</t>
  </si>
  <si>
    <t>SIENDO LAS 01:30 HORAS ARRIBA AERONAVE MATRICULA LV BRY DE LA EMPRESA LAN ARGENTINA PROCEDENTE DE AEROPUERTO JORGE NEWBERY EN CUYAS BODEGAS 11,12,13,31 Y 32 SE DESPACHAN 200 CAJAS CON UN PESO DE 4.400 KILOGRAMOS DE METAL -MTD- DE LA EMPRESA MINERA TRITON ARGENTINA S.A. CON DESTINO A AEROPUERTO JORGE NEWBERY. EL VUELO DESPEGA A LAS 03:45 HORAS SIN NOVEDAD. SE DIO CUMPLIMIENTO A ORDEN DE SERVICIO NRO 0084/2010 DE ESTA UOSP.</t>
  </si>
  <si>
    <t>FISCALIA FEDERAL Nº 3 DE ROSARIO</t>
  </si>
  <si>
    <t>SRIO AV INF LEY 22415</t>
  </si>
  <si>
    <t>1253/06 B</t>
  </si>
  <si>
    <t>SRIO AV INF LEY 22415 - ZAVALLA / CASILDA -</t>
  </si>
  <si>
    <t>CIUDADES DE ROSARIO, CASILDA Y ZAVALLA Y/U OTRAS DE CORRESPONDER.</t>
  </si>
  <si>
    <t>SE RECIBE COMUNICACIÓN TELEFÓNICA DE ASUNTOS JURIDICOS DE LA DIRECCION SUPERIOR DONDE NOS COMUNICAN QUE EL DIA 22SET2010 SE RECIBIO VIA FAX OFICIO DEL JUZGADO ACTUANTE DONDE COMUNICA QUE POR RESOLUCION NRO. 1338 DEL 03/09/2010 SE ARCHIVA LAS PRESENTES ACTUACIONES INVESTIGATIVAS. LAS MISMAS DIERON COMIENZO EN FECHA 08/04/2010 EN OFICIO NRO. 325 DE LA FISCALIA FEDERAL NRO 2 DE ROSARIO Y INFORMANDOSE EN SIPAP PR:DOC4 0017/09. EN EL TRANSCURSO DE LA INVESTIGACION NO SE CORROBORARON LAS CONDUCTAS EN INFRACCIÓN A LA LEY 23737 DENUNCIADAS.</t>
  </si>
  <si>
    <t>5740/10</t>
  </si>
  <si>
    <t>CALLE LARRECHEA AL 1800 SIN NUMERACION CATASTRAL VISIBLE Y LARRECHEA NRO. 1862 DE LA CIUDAD DE ROSARIO - PROVINCIA DE SANTA FE.</t>
  </si>
  <si>
    <t>PU 5740 20 SET 10 EL DIA 20 SET 10 SE ENVIA NOTA A LA FISCALÍA FEDERAL NRO 2 DE ROSARIO, INFORMANDO QUE EN EL DOMICILIO DE CALLE LARRECHEA AL 1800 DE ESTA CIUDAD SE PUEDEN CONFIRMAR LAS CONDUCTAS EN INFRACCION A LA LEY 23737 DENUNCIADAS, Y QUE DIERAN ORIGEN A LA PRESENTE INVESTIGACIÓN. POR TAL MOTIVO SE SOLICITO REQUERIR AL JUZGADO INTERVINIENTE ORDENES DE ALLANAMIENTO Y REGISTRO PARA EL DIA JUEVES 23 DE SETIEMBRE DEL CORRIENTE AÑO, EN DOS DOMICILIOS DE VIVIENDAS PARTICULARES. EN UNO DE ELLOS SE OBTUVO CON REGISTROS FÍLMICOS LA VENTA DE SUSTANCIA ESTUPEFACIENTE Y EN EL SEGUNDO, CONTIGUO AL DENUNCIADO, DONDE SE REALIZA EL ALMACENAMIENTO DE SUSTANCIA Y LUGAR DE INGRESO PARA LA PRIMERA VIVIENDA. PU 5804 23 SET 10 EL DIA 23 SET 10 SE RECIBE DEL JUZGADO INTERVINIENTE SENDAS ORDENES DE ALLANAMIENTO PARA CUMPLIMENTAR EN EL DIA DE LA FECHA EN EL HORARIO DE LAS 15:00 A 18:00, EN LOS DOS DOMICILIOS DE VIVIENDAS PARTICULARES DESCRIPTOS EN PUNTO DE REFERENCIA. SE CUMPLIMENTARAN LAS ORDENES DE ALLANAMIENTO NRO. 4883 PARA EL DOMICILIO DE CALLE LARRECHEA AL 1800, LINDANTE HACIA EL OESTE CON LA NUMERACION CATASTRAL VISIBLE NRO. 1862, Y ORDEN DE ALLANAMIENTO NRO. 4884 PARA EL DOMICILIO DE CALLE LARRECHEA NRO 1862, AMBAS DE LA CIUDAD DE ROSARIO, PROVINCIA DE SANTA FE. EL PERSONAL DESIGNADO SE DESPLIEGA POR ORDEN DE SERVICIO NRO. 228/2010 DE FECHA 21/09/2010 Y ORDEN DE SERVICIO NRO. 229/2010 DE FECHA 22/09/2010, AMBAS URSA IV DEL LITORAL.</t>
  </si>
  <si>
    <t>INFRACCION 22.415</t>
  </si>
  <si>
    <t>SCAN VAN</t>
  </si>
  <si>
    <t>SIENDO LAS 08:10 HS EL PERSONAL POLICIAL ENCARGADO DEL PUESTO DENOMINADO SCAN VAN DEL AEROPUERTO INTERNACIONAL CÓRDOBA, DETECTA UNA CAJA DESPACHADA POR BODEGA EN EL VUELO N° 2422 DE LA EMPRESA LAN CON DESTINO FINAL A LIMA, PERU, QUE ANTE LA INTERPRETACION DE LA IMAGEN DEL MISMO ARROJADA, SE TRATARIA APARENTEMENTE DE DIVERSOS MEDICAMENTOS. LO QUE MOTIVÓ LA SOLICITUD DE LA PRESENCIA EN EL SECTOR DEL PASAJERO PROPIETARIO. MINUTOS MAS TARDE SE HACE PRESENTE EN EL PATIO DE VALIJAS EL SR. ORTEGA, QUIEN MANIFESTO SER EMPRESARIO, PROPIETARIO DE LA EMPRESA GAVISZA MEDICOS, Y QUIEN RECONOCIO EL BULTO COMO DE SU PROPIEDAD, Y ACCEDIO VOLUNTARIAMENTE A REALIZAR LA APERTURA DE SU EQUIPAJE EN PRESENCIA DE LOS TESTIGOS HABILES CONVOCADOS AL EFECTO. DE TAL PROCEDER RESULTÓ QUE EN EL INTERIOR DEL EQUIPAJE DESPACHADO SE ENCONTRABAN DIVERSOS MEDICAMENTOS; LO QUE MOTIVÓ LA PARTICIPACION DE PERSONAL DE ADUANA. POR TAL PROCEDIMIENTO SE LE DA INTERVENCION AL JUZGADO FEDERAL DE TURNO, QUIEN DISPUSO EL LABRADO DE LAS ACTUACIONES DE RIGOR, SE PROCEDA AL SECUESTRO DE LOS ELEMENTOS, Y QUE CONCLUIDAS LAS DILIGENCIAS SE HAGA ENTREGA DE LAS ACTUACIONES A LA REPARTICION DE ADUANA DE ESTA AEROESTACION, CONTINUANDO EL PASAJERO CON SU VIAJE PROGRAMADO.</t>
  </si>
  <si>
    <t>COR</t>
  </si>
  <si>
    <t>ARSENALES MIGUEL DE AZCUENAGA CCD S/SECUESTROS Y DESAPARICIONES.</t>
  </si>
  <si>
    <t>NICOLAS DESCALZI 5520 PISO 4 DEPTO B</t>
  </si>
  <si>
    <t>EN EL DIA DE LA FECHA, PERSONAL DE ESTA UNIDAD OPERACIONAL ANTITERRORISTA PROCEDIO A LA DETENCION DEL CIUDADANO RAMON ALBERTO OJEDA FUENTES MILITAR RETIRADO COMO TENIENTE CORONEL DEL EJERCITO ARGENTINO, DE ACUERDO A LO ORDENADO POR EL JUZGADO EXHORTADO NACIONAL EN LO CRIMINAL Y CORRECCIONAL Nº 11 A CARGO DEL DR. JUEZ CLAUDIO BONADIO. SECRETARIA NRO 21 DEL DR ENRIQUE RODRIGUEZ VARELA, POSTERIORMENTE EL CAUSANTE ES TRASLADADO A LA UOSP METROPOLITANA, A EFECTOS DE PROCEDER CON LA REVIZACION MEDICA, EXTRACCION DE JUEGOS DE FICHAS DACTILOSCOPICAS Y TOMA DE IMAGENES FOTOGRAFICAS, SIENDO APROXIMADAMENTE LAS 04:00 HS. EL IMPUTADO ES CONDUCIDO CUSTODIADO A LA UNIDAD DEL SERVICIO PENITENCIARIO FEDERAL Nº 28, QUEDANDO ALOJADO A DISPOSICION DEL JUZGADO INTERVINIENTE.</t>
  </si>
  <si>
    <t>D.I.C. Y N.C.U. S/AV PTA. INF. LEY 23.737</t>
  </si>
  <si>
    <t>INFORMO EN EL DIA DE LA FECHA EN VUELO LD-481 DE LA EMPRESA LADE LINEAS AEREAS DEL ESTADO, SE ENVIA BAJO GUIA DE CARGA N° 022-28004362 UNA CAJA CONTENIENDO EN SU INTERIOR DOCUMENTACION DE LA CAUSA N° 2.549, CONFORME LO DISPUESTO MEDIANTE OFICIO DE FECHA 22/09/10 POR S.SA. DRA. LAURA UBERTAZZI JUEZ SUBROGANTE DEL JUZGADO FEDERAL DE USHUAIA. ASI MISMO INFORMO QUE SE ESTIMA EL ARRIBO DEL VUELO A LA CIUDAD DE COMODORO RIVADAVIA A LAS 17:00HS APROXIMADAMENTE.-</t>
  </si>
  <si>
    <t>LD481</t>
  </si>
  <si>
    <t>COMODORO RIVADAVIA-CHUBUT</t>
  </si>
  <si>
    <t>FRENTE DE LA TORRE DE CONTROL ANAC</t>
  </si>
  <si>
    <t>EN EL DIA DE LA FECHA, A HS 10:50, ATERRIZA AERONAVE T-03, PROCEDENTE DE AEROPARQUE JORGE NEWBERY, TRASLADANDO AL MINISTRO DE TRABAJO DE LA NACION DR. CARLOS TOMADA Y COMITIVA. ESTA UOSP IMPLEMENTO EL OPERATIVO DE SEGURIDAD CORRESPONDIENTE, SIN REGISTRARSE NOVEDADES. SE AMPLIARA A LA PARTIDA DEL MISMO.</t>
  </si>
  <si>
    <t>S/INF A LA LEY 23737</t>
  </si>
  <si>
    <t>PREEMBARQUE - CABOTAJE</t>
  </si>
  <si>
    <t>SIENDO LAS 11:30 HS MIENTRAS SE REALIZABA EL CONTROL DE PREEMBARQUE AL VUELO DE REFERENCIA, EL OFICIAL AYUDANTE CURAPIL PATRICA LEGAJO N° 503.593, AL REALIZAR EL CONTROL SOBRE UNA MOCHILA COLOR NARANJA Y GRIS, PERTENECIENTE A LA SRA. LILIANA SCHRAIER, ENCUENTRA EN UNO DE LOS BOLSILLOS EXTERIORES, DOS PAQUETES DE CIGARRILLOS DE LOS CUALES UNO CONTENIA UNA SUSTANCIA VEGETAL COLOR VERDE, POR LO QUE SE CONVOCA LA PRESENCIA DE DOS TESTIGOS HABILES Y SE PROCEDE A REALIZAR UN REACTIVO DE CAMPO, DANDO COMO RESULTADO POSITIVO MARIHUANA, SE ESTABLECE COMUNICACION TELEFONICA CON EL JUZGADO FEDERAL DE SAN CARLOS DE BARILOCHE, EL CUAL DISPONE SE LABREN LAS ACTUACIONES DE RIGOR, SE PROCEDA AL SECUESTRO Y UNA VEZ FINALIZADO PROSIGA CON SU VIAJE PROGRAMADO. SE REALIZA ADEMAS INSPECCION Y REGISTRO DEL EQUIPAJE FACTURADO POR BODEGA ANTE LOS TESTIGOS HABILES DANDO COMO RESULTADO NEGATIVO.</t>
  </si>
  <si>
    <t>SE AMPLIA PARTE RESERVADO N° 5280, DE FECHA 31 DE AGOSTO DE 2010, DE ACUERDO A LO ORDENADO POR EL JUZGADO FEDERAL N° 1 DE SALTA, EN EL MARCO DEL EXPTE. N° 560/10 CARATULADO PAEZ MARCELINO S/INFRACCCION A LA LEY 24.769, PERSONAL DE ESTA UOCN Y DC DEL NORTE, REALIZO LAS SIGUIENTES TAREAS: VERIFICACION DE DOMICILIO, VEHICULO, TELEFONOS, TOMAS FOTOGRAFICAS Y SEGUIMIENTOS. CORROBORANDO LO INFORMADO POR EL PERSONAL DE LA DIVISION INVESTIGACIONES DE LA AFIP, INFORMANDO A S.S. LO INVESTIGADO, ADEMAS SE SOLICITO LA INTERVENCION TELEFONICAS DE LAS SIGUIENTES LINEAS:0387-5383159 TELEFONIA NOVIL, 0387-4219324 TELEFONIA FIJA Y 0387-4270885 TELEFONIA FIJA, EL DIA 23 DE SETIEMBRE A HORAS 13:30 SE RECEPCIONO OFICIO JUDICIAL N° 772/10, DIRIGIDA A OBSERVACIONES JUDICIALES, EL CUAL ORDENA LA INTERVENCION TELEFONICA DE DOS DE TRES LINEAS QUE SE SOLICITO ANTERIORMENTE, POR UN LAPSO DE QUINCE DIAS, NO HACIENDOSE EFECTIVA HASTA EL MOMENTO. SE AMPLIARA SEGUN SURJAN NOVEDADES.</t>
  </si>
  <si>
    <t>BARREIRO ERNESTO GUILLERMO Y OTROS P.SS.AA. PRIVACION ILEGITIMA DE LA LIBERTAD AGRAVADA, IMPOSICION DE TORMENTOS AGRAVADOS Y HOMICIDIO AGRAVADO.</t>
  </si>
  <si>
    <t>POR MEDIO DEL PRESENTE SE INFORMA DE LAS TAREAS INVESTIGATIVAS REALIZADAS EN LOS PRESENTES AUTOS, A SABER: CON RELACION AL SR. JORGE OMAR HEREDIA, DE LAS TAREAS INVESTIGATIVAS HABRIA SURGIDO QUE EL MISMO NO ESTARIA VIVIENDO EN EL DOMICILIO AV. HIPOLITO YRIGOYEN Nº 464 DE LA CIUDAD DE CORDOBA, PROVINCIA DE CORDOBA. DE LAS TAREAS REALIZADAS REALIZADAS POR PERSONAL DE LA UNIDAD OPERACIONAL CONTROL DE NARCOTRAFICO Y DELITOS COMPLEJOS III DEL NORTE SOBRE EL DOMICILIO UBICADO EN CALLE MONTEVIDEO Nº 2939 DE LA PROVINCIA DE LA RIOJA CON RESPECTO AL SR. JORGE HEREDIA EL MISMO HABRIA ARROJADO QUE NO SE ENCONTRARIA VIVIENDO EN ESE DOMICILIO, SINO EN CALLE MONTEVIDEO Nº 199 DE LA CIUDAD DE LA RIOJA, PROVINCIA DE LA RIOJA. CON RELACION A LAS TAREAS INVESTIGATIVAS REALIZADAS SOBRE EL SR. FRANCISCO JOSE DOMINGO MELFI CON DIRECCION EN CALLE AV. DE MAYO Nº 923, BARRIO VILLA LIBERTADOR DE ESTA CIUDAD, SE HABRIA OBTENIDO QUE EL SR. MELFI SE ENCONTRARIA VIVIENDO EN EL CITADO DOMICILIO. CON RESPECTO AL SR. RAUL EDUARDO YANICELLI, SE HABRIA OBTENIDO DE LAS CITADAS TAREAS QUE EL DOMICILIO PARTICULAR DONDE SE ENCONTRARIA VIVIENDO ES EN CALLE ISSASA Nº 1965 DE BARRIO COLON, LOGRANDO OBTENER QUE EL DOMICILIO CON SITA EN CALLE CASEROS Nº 380, PISO 1º DEPTO 1º A SERIA EL DOMICILIO LABORAL DEL SR. YANICELLI. EN REFERENCIA AL SR. EDUARDO BONIFACIO RIOS, LA UNIDAD SE ENCUENTRA A LA ESPERA DE LA REMISION DEL INFORME POR PARTE DE LA UNIDAD OPERACIONAL CONTROL DE NARCOTRAFICO Y DELITOS COMPLEJOS CENTRAL. CON RESPECTO AL SR. RICARDO LUIS HIERLING DE LAS TAREAS INVESTIGATIVAS SE HABRIA OBTENIDO QUE EL MISMO SE ENCONTRARIA VIVIENDO EN CALLE LOS FLAMENCOS Nº 668 DE LA CIUDAD DE MIRAMAR, PROVINCIA DE CORDOBA.</t>
  </si>
  <si>
    <t>5812/10</t>
  </si>
  <si>
    <t>EN EL DIA DE LA FECHA, A HS 17:50, DESPEGA DE ESTE AEROPUERTO AERONAVE T-03, CON DESTINO AEROPARQUE JORGE NEWBERY, TRASLADANDO AL MINISTRO DE TRABAJO DE LA NACION DR. CARLOS TOMADA Y COMITIVA. ESTA UOSP IMPLEMENTO EL OPERATIVO DE SEGURIDAD CONFORME A ORDEN DE SERVICIO N° 024/10, SIN REGISTRARSE NOVEDADES.</t>
  </si>
  <si>
    <t>AV. CABILDO 2537 C.A.B.A</t>
  </si>
  <si>
    <t>EN EL DIA DE LA FECHA PERSONAL DE ESTA UNIDAD OPERACIONAL ANTITERRORISTA PROCEDIO A LA DETENCION DEL CIUDADANO ARIEL ORLANDO VALDIVIEZO DE PROFESION MILITAR RETIRADO COMO TENIENTE CORONEL DEL EJERCITO ARGENTINO, DE ACUERDO A LO ORDENADO POR EL JUZGADO EXHORTADO NACIONAL EN LO CRIMINAL Y CORRECCIONAL Nº 11 A CARGO DEL DR. JUEZ CLAUDIO BONADIO, SECRETARIA Nº 21DEL DR. ENRIQUE RODRIGUEZ VARELA, POSTERIORMENTE EL CAUSANTE ES TRASLADADO A LA U.O.S.P. METROPOLITANA, A EFECTOS DE PROCEDER CON LA REVIZACION MEDICA, EXTRACCION DE JUEGOS DE FICHAS DACTILOSCOPICAS Y TOMA DE IMAGENES FOTOGRAFICAS, SIENDO APROXIMADAMENTE LAS 20:45 HS, EL IMPUTADO ES CONDUCIDO CUSTODIADO A LA UNIDAD DEL SERVICIO PENITENCIARIO FEDERAL Nº 28, QUEDANDO ALOJADO A LA DISPOSICION DEL JUZGADO INTERVINIENTE.</t>
  </si>
  <si>
    <t>SRIO. AV. S/INF LEY 23737 -CALLE LARRECHEA 1862</t>
  </si>
  <si>
    <t>SRIO. AV. LEY 23737 -CALLE LARRECHEA 1862</t>
  </si>
  <si>
    <t>CALLE LARRECHEA NRO 1862</t>
  </si>
  <si>
    <t>EN EL DIA DE LA FECHA SE CUMPLIMENTO OFICIO JUDICIAL NRO. 4884 EMITIDO POR EL JUZGADO INTERVINIENTE RELACIONADO CON EL ALLANAMIENTO A LA MORADA UBICADA EN LA CALLE LARRECHEA NRO 1862 A LOS EFECTOS DE PROCEDER AL REGISTRO DE LA MISMA CON LA FINALIDAD DE VERIFICAR LA EXISTENCIA DE ELEMENTOS QUE PUEDAN SER TIPIFICADOS CON LO ESTABLECIDO EN LA LEY 23737 Y PROCEDER A SU SECUESTRO, ARROJANDO DICHO ALLANAMIENTO RESULTADO NEGATIVO PTO</t>
  </si>
  <si>
    <t>5794/10</t>
  </si>
  <si>
    <t>SIENDO LAS TRECE HORAS, DEL DIA 23-09-10 SE EFECTUO EL TRASLADO DE LA DETENIDA JUNTO A SU HIJO MENOR, HACIA EL ASIENTO DEL JUZGADO INTERVINIENTE. EN EL MISMO DIA Y SIENDO APROXIMADAMENTE LAS DIECIOCHO HORAS TREINTA MINUTOS, LA DETENIDA JUNTO A SU HIJO REGRESARON Y PERMANECEN ALOJADOS EN ESTA DEPENDENCIA POR DISPOSICION JUDICIAL Y HASTA NUEVA ORDEN JUDICIAL.PTO.-</t>
  </si>
  <si>
    <t>DE ACUERDO A LO INFORMADO POR ORDEN DE SERVICIO 29/10 DE ESTA UOSP, EN EL DIA DE LA FECHA, SIENDO LAS 18:08 HS, ARRIBO EL SR JEFE DE GABINETE DR ANIBAL FERNANDEZ EN AERONAVE LQ.MRM PROVENIENTE DE AEROPARQUE Y SU DESPEGUE SE REALIZO DESDE ESTE AEROPUERTO A LA 21:10 CON DESTINO A AEROPARQUE SIN NOVEDAD.-</t>
  </si>
  <si>
    <t>SIENDO LAS 18:05 HS APROXIMADAMENTE DEL DÍA DE LA FECHA, EL DENUNCIANTE DESPACHA EN EL VUELO LA 4216 DE LA EMPRESA LAN EL CUAL PARTÍA DEL AEROPUERTO JORGE NEWBERY A LAS 18:40 HS, SALIENDO EL MISMO A LAS 19:15 HS APROXIMADAMENTE CON DESTINO FINAL LA CIUDAD DE CÓRDOBA, UN (01) BOLSO COLOR VERDE DE 60 X 30 X 30 CM. APROXIMADAMENTE CON LA INSCRIPCIÓN MICROSOFT EN UNO DE SUS LATERALES, IDENTIFICADO CON MARBETE Nº LA 770802 A NOMBRE DEL EXPONENTE, EL CUAL CONTENÍA EN SU INTERIOR EFECTOS PERSONALES, UNA CÁMARA DIGITAL MARCA KODAK DE 12 MEGA PÍXELES CON SU CORRESPONDIENTE BATERÍA Y MEMORIA DE 8 GB Y UN GRABADOR DIGITAL MARCA SONY. AL ARRIBAR A LA CIUDAD DE CÓRDOBA, EL DENUNCIANTE RETIRA SU BOLSO, LO OBSERVA ABIERTO Y AL CONTROLARLO NOTA EL FALTANTE DE LA CÁMARA KODAK, DEL GRABADOR MARCA SONY, DE UN PAR DE ZAPATOS MARCA CORREA Y ROPAS VARIAS. ANTE ESTA SITUACIÓN SE DIRIGE A LA EMPRESA LAN PARA REALIZAR EL RECLAMO ORRESPONDIENTE, LE REALIZAN EL PESAJE DE SU BOLSO Y SE OBSERVA UNA DIFERENCIA DE PESO DE 3 (TRES) KILOGRAMOS.</t>
  </si>
  <si>
    <t>SRIO AV. S/INF. LEY 23.737 CALLE LARRECHEA 1800</t>
  </si>
  <si>
    <t>833/10B</t>
  </si>
  <si>
    <t>LARRECHEA 1860</t>
  </si>
  <si>
    <t>SE DA CUMPLIMIENTO A ORDEN DE ALLANAMIENTO NRO 4883 EMANADO POR EL JUZGADO INTERVINIENTE PROCEDIÉNDOSE AL REGISTRO DE LA FINCA ALLI DESCRIPTA. UNA VEZ ALLANADA LA VIVIENDA SE IDENTIFICA AL MORADOR DE LA MISMA ROBERTO OMAR MOREL, Y AL SECUESTRO DE ARMAMENTO, SUSTANCIAS EN INFRACCIÓN A LA LEY 23.737 COMO ASÍ TAMBIÉN ELEMENTOS DE INTERÉS A LA CAUSA, PROCEDIÉNDOSE A LA DETENCIÓN EN CARÁCTER DE INCOMUNICADO DEL MENCIONADO, MANIFESTANDO EL DETENIDO DE MANERA ESPONTANEA QUE EL ERA EL REEMPLAZO DE UN FEMENINO QUE SE HABÍA RETIRADO DEL LUGAR A LAS 14:00 HS Y QUE TODAVÍA ESTABA AFUERA DE LA FINCA, POR LO QUE SE PROCEDE A LA DETENCIÓN DE LA MENCIONADA QUEDANDO TAMBIÉN EN CARÁCTER DE INCOMUNICADA. PU 5862 25 SET 2010 EL DIA 24 DE SEPTIEMBRE DE 2010 SE DIO CUMPLIMIENTO AL OFICIO N° 4952 DEL JUZGADO FEDERAL N° 3 DE ROSARIO EN LOS AUTOS CARATULADOS MOREL ROBERTO MARIO Y OTROS S/INFRACCION A LA LEY 23737 EXPTE 833/10 EN EL QUE LAS PERSONAS QUE RESULTARON DETENIDAS EN EL MARCO DE LOS ALLANAMIENTOS REALIZADO EL DIA 23 DEL CORRIENTE, FUERON TRASLADADOS A LA DEPENDENCIA DE LA ALCALDIA MAYOR DE LA POLICIA DE LA PROVINCIA DE SANTA FE A DISPOSICION DEL JUZGADO ACTUANTE.-</t>
  </si>
  <si>
    <t>FRENTE AL AEROPUERTO</t>
  </si>
  <si>
    <t>VEREDA COSTANERA NORTE</t>
  </si>
  <si>
    <t>QUE EN EL DÍA DE LA FECHA, SIENDO LA 21:00 HORAS APROXIMADAMENTE, BAJO DE UN VEHICULO TAXI EN LA VEREDA DE COSTANERA NORTE FRENTE AL AEROPUERTO JORGE NEWBERY, YA QUE A LAS 23:00 HORAS DEBÍA ABORDAR EL VUELO Nº LA 4428 DE LA EMPRESA LAN, CON DESTINO A LA CIUDAD DE COMODORO RIVADAVIA. DADO QUE SE ENCONTRABA CON TIEMPO, DECIDIÓ CAMINAR UN RATO SOBRE LA VEREDA DE COSTANERA NORTE, DONDE PASADO UNOS MINUTOS SE ACERCARON DOS HOMBRES, Y UNO DE ELLOS LE ARREBATÓ DE LA MANO UN PEQUEÑO ESTUCHE DE TELA COLOR NEGRO.</t>
  </si>
  <si>
    <t>AVERIGUACION CAUSALES DE MUERTE</t>
  </si>
  <si>
    <t>POSICION Nº 17 PLATAFORMA OPERATIVA</t>
  </si>
  <si>
    <t>FILA Nº 2 ASIENTO C DE LA AERONAVE</t>
  </si>
  <si>
    <t>QUE PERSONAL MEDICO DEL SERVICIO DE SANIDAD DE ESTE AEROPUERTO INFORMA A ESTA PREVENCION QUE EN EL VUELO DESTACADO EN EL PUNTO CORRESPONDIENTE ERA HABIDO UN CUERPO SIN VIDA DE UN PASAJERO DE SEXO FEMENINO DE AVANZADA EDAD SEGUN LO DECLARADO POR LOS FACULTATIVOS.SE DIO INTERVENCION AL JUZGADO FEDERAL EN TURNO, DISPONIENDO SE LABREN ACTUACIONES DE RIGOR Y FINALIZADOS ESTOS EL TRASLADO DEL CUERPO A LA MORGE JUDICAL DE LA CORTE SUPREMA DE LA NACION.-</t>
  </si>
  <si>
    <t>NAC DE 1º INST EN LO CRIMINAL DE INST Nº 28</t>
  </si>
  <si>
    <t>SECRETARIA Nº 142</t>
  </si>
  <si>
    <t>Maria Rita</t>
  </si>
  <si>
    <t>DRA. NATALIA DE LAURENTIS</t>
  </si>
  <si>
    <t>EN MOMENTOS DE REALIZAR EL ESCANEO DEL EQUIPAJE DESPACHADO DEL VUELO EN MENCION , EL OFICIAL AYUDANTE VIROCHE DETECTA EN EL INTERIOR DE UN BOLSO DE MANO COLOR AZUL, UNA PISTOLA DE TAMAÑO MEDIANO, OBSERVANDO QUE LA MISMA SE ENCONTRABA CON UNA MUNICIÓN EN SU RECAMARA. SE PROCEDE A SOLICITAR LA PRESENCIA DEL PASAJERO, A LOS EFECTOS DE VERIFICAR LA DOCUMENTACIÓN DE DICHA ARMA, Y EN PRESENCIA DE DOS TESTIGOS, EL PASAJERO APERTURA EL EQUIPAJE, VERIFICANDOSE QUE EN SU INTERIOR SE ENCONTRABA UNA PISTOLA SEMIAUTOMÁTICA 9MM MARCA FM MODELO DETECTIVE CON NUMERACIÓN 356977. INMEDIATAMENTE, EL OFICIAL INTERVINIENTE, EMPLEANDO TODAS LAS MEDIDAS DE SEGURIDAD NECESARIAS, PROCEDE A REALIZAR LA COMPROBACIÓN DEL ARMA DESCRIPTA, AYECTANDO LA MUNICION ALOJADA EN LA RECAMAR. SE SOLICITO AL PASAJERO, QUE EXHIBA TODA LA DOCUMENTACIÓN REFERENTE AL ARMA, EXHIBIENDO EL MASCULINO UNA (01) CREDENCIAL DE LEGITIMO USUARIO DE ARMAS DE USO CIVIL CONDICIONAL Nº 4281019, UNA (01) CREDENCIAL DE PORTACIÓN DE ARMAS DE USO CIVIL CONDICIONAL Nº 4488892, UNA (01) CREDENCIAL DE REGISTRO DE CONSUMO DE MUNICIONES Nº 4488893 AUTORIZANDO HASTA LA EXISTENCIA DE MIL (1000) CARTUCHOS CALIBRE 9MM, TODAS ESTAS EMITIDAS POR EL REGISTRO NACIONAL DE ARMAS (RENAR), A NOMBRE DE MANSILLA ANGEL TEODORO, UNA (01) CREDENCIAL POLICIAL EMITIDA POR LA POLICÍA FEDERAL ARGENTINA A NOMBRE DE ANGEL TEODORO MANSILLA, SARGENTO 1º (R). NO PUDIENDO EXHIBIR LA CREDENCIAL DE TENENCIA DEL ARMA DESCRIPTA. SE ENTABLA COMUNICACIÓN VÍA TELEFÓNICA CON LA JUDICATURA ACTUANTE, INFORMANDO QUE EL HECHO SUSCITADO SE TRATA SIMPLEMENTE DE UNA FALTA ADMINISTRATIVA, DISPONIENDO: QUE SE REALICE UN EXPEDIENTE DEJANDO CONSTANCIA PARA REGISTRO INTERNO DE ESTA DEPENDENCIA, SIN ELEVACIÓN DEL MISMO, SE ADJUNTE FOTOCOPIA DE LA DOCUMENTACIÓN APORTADA, SE HAGA ENTREGA DEL ARMA AL SR. MANSILLA, SE LABRE ACTA CON EL OBJETO DE QUE EN EL TERMINO DE 24 HORAS DEBERÁ PRESENTARSE ANTE LA SEDE DE RENAR, A LOS EFECTOS DE REGULARIZAR SU SITUACIÓN.-</t>
  </si>
  <si>
    <t>LA4428</t>
  </si>
  <si>
    <t>EN CONTROL PREVENTIVO, DE LOS EQUIPAJES DESPACHADOS A BODEGA MEDIANTE MAQUINA DE RAYOS X, SE DETECTA EN EL INTERIOR DE UNA VALIJA SE DETECTA UN BULTO CON LAS DIMENSIONES Y CARACTERISTICAS SIMILARES A LAS DE UN ARMA DE FUEGO, SIN PODER DETERMINAR FEHACIENTEMENTE DE QUE ELEMENTO SE TRATABA REALMENTE.ACTO SEGUIDO SE COMISIONA AL OFICIAL VALLEJOS, QUIEN DESEMPEÑANDOSE EN SUS FUNCIONES COMO RESPONSABLE DEL AREA RAPSA, A LOS EFECTOS DE CONSTATAR SI EXISTEN REGISTROS DE INGRESOS O EGRESOS DE ALGUN TIPO DE ARMAMENTO CORRESPONDIENTE AL DETECTADO DENTRO DEL EQUIPAJE EN CUESTION. QUE AL OBTENER UN RESULTADO NEGATIVO EN CUANTO A LA EXISTENCIA DE REGISTROS, SE PROCEDE A LOCALIZAR AL PASAJERO, QUE UNA VEZ INDIVIDUALIZADO ES INVITADO A CONSTITUIRSE EN EL PUESTO PATIO DE VALIJAS DE LA TERMINAL B. ACTO SEGUIDO B, SE COTEJA EL NOMBRE OBRANTE EN LA CEDULA DE IDENTIDAD HABIDO, CON EL QUE OBRABA EN EL MARBETE DE LA VALIJA, SIENDO ESTOS COINCIDENTES ENTRE SI. SEGUIDAMENTE TODOS LOS INTERVINIENTES SE DIRIGEN AL ASIENTO DE GUARDIA DE PREVENCION.QUE PREVIAS CONSULTAS CON S.SA Y EN UN CUARTO DESTINADO A TAL FIN SE PROCEDE A LA REQUISA DEL EQUIPAJE EN CUESTION, QUE AL MOMENTO DE SU APERTURA SE RETIRA DEL INTERIOR VARIAS PRENDAS DE VESTIR Y DEBAJO DE ESTAS LOGRA DIVISARSE UN ARMA DE FUEGO. QUE MEDIANTE COMUNICACION TELEFONICA CON EL JUZGADO INTERVINIENTE SE DISPUSO EL SECUESTRO DEL ARMA Y QUE EL PASAJERO PERMANEZCA EN ESTA DEPENDENCIA AFECTADO A ACTUACIONES HASTA TANTO FINALICEN LAS DILIGENCIAS CORRESPONDIENTES.</t>
  </si>
  <si>
    <t>POSICIÓN 2</t>
  </si>
  <si>
    <t>SIENDO LAS 01:25 HORAS LOCAL ARRIBA AERONAVE MATRICULA LV-BSJ DE LA EMPRESA LAN ARGENTINA PROCEDENTE DE AEROPUERTO JORGE NEWBERY EN CUYAS BODEGAS 11,12 Y 13 SE DESPACHAN 97 CAJAS CON UN PESO DE 2.134 KILOGRAMOS DE METAL -MTD- DE LA EMPRESA MINERA TRITÓN ARGENTINA S.A CON DESTINO A AEROPUERTO JORGE NEWBERY. EL VUELO DESPEGA A LAS 02:25 HORAS LOCAL SIN NOVEDAD, DANDO CUMPLIMIENTO A ORDEN DE SERVICIO NRO 0085/2010 DE ESTA UOSP.</t>
  </si>
  <si>
    <t>AEROPUERTO GENERAL MOSCONI-COMODORO RIVADAVIA</t>
  </si>
  <si>
    <t>D.I.C. Y N.C.U. S/AV. PTA. INF. LEY 23.737</t>
  </si>
  <si>
    <t>CENTRO DE LA CIUDAD DE COMODORO RIVADAVIA</t>
  </si>
  <si>
    <t>EXCELENTÍSIMA CÁMARA FEDERAL DE APELACIONES</t>
  </si>
  <si>
    <t>SIENDO LAS 11:50 HORAS LOCAL SE TRASLADA A LA EXCELENTÍSIMA CÁMARA FEDERAL DE APELACIONES DE COMODORO RIVADAVIA, UNA CAJA CONTENIENDO EN SU INTERIOR DOCUMENTACIÓN RESPECTO DE LA CAUSA Nº 2.549, QUE CONSTA DE VIII CUERPO Y 1.493 FOJAS ÚTILES, CARATULADA D. I. C. Y N. C. U. S/AV. PTA. INF. LEY 23.737, ENVIADA POR LA UOSP USHUAÍA.</t>
  </si>
  <si>
    <t>BODEGA AERONAVE - PLATAFORMA - CINTAS DE ARRIBO</t>
  </si>
  <si>
    <t>UNA VEZ QUE ARRIBO AL AEROPUERTO EL DIA 23/09/10 SE DIRIGIO AL SECTOR DE CINTAS DE EQUIPAJES, LUGAR DONDE RETIRA SUS DOS VALIJAS SIN NOTAR NINGUNA NOVEDAD SOBRE LAS MISMAS Y LUEGO SE DIRIJE A SU DOMICILIO PARTICULAR. QUE EL DIA 24 APERTURA EN SU DOMICILIO PARTICULAR LA VALIJA TIPO CARRY ON, DE COLOR BORDO, PERCATANDOSE DEL FALTANTE DE UNA COMPUTADORA PORTATIL, DEL INTERIOR DEL MISMO.</t>
  </si>
  <si>
    <t>3203/10</t>
  </si>
  <si>
    <t>APERTURA DE ENCOMIENDA S/SUP.INFRACCION A LA LEY 22415 Y/O 23737</t>
  </si>
  <si>
    <t>467/10</t>
  </si>
  <si>
    <t>SE PROCEDE A LA APERTURA DE DOS ENCOMIENDAS DEL CORREO OFICIAL, SEGÚN CONSTA EN ACTA DE APERTURA DE CARGAS Nº 423/10, PREV.SUM. 061/10,EN VIRTUD DE LO ORDENADO MEDIANTE OFICIO JUDICIAL Nº 902, DEL MAGISTRADO ACTUANTE Y EN PRESENCIA DE UN TESTIGO HABIL. LA 1ª EP669752006AR, RTTE: SR. DAMIAN CRUZ, LEV. DE QUERA Nº 362, LA QUIACA, C.P.4650-JUJUY Y DEST:SRA.GRICELDA CARDOZO, CALLE 10 Y 13, HILARIO ASCASUBI, C.P. 8142-BS AS, CONTIENE: 14 PARES DE ZAPATILLAS DE INDUSTRIA CHINA Y LA 2ª EP724485016AR, RTTE:SRA. TERESA GUSMAN, S.MARTIN 998, LA QUIACA, C.P. 4650, JUJUY Y DEST:SR.MARIO PADILLA, CORREO CENTRAL, MAYOR BURATOVICH, C.P. 8146, BS AS, CONTIENE ONCE PARES DE ZAPATILLAS DE INDUSTRIA CHINA. LAS ENCOMIENDAS SECUESTRADAS SERAN PUESTAS A DISPOSICION DE LA ADUANA DE SALTA POR SUP. INFRACCION A LA LEY 22415,CODIGO ADUANERO Y LAS ACTUACIONES REMITIDAS A SEDE JUDICIAL. SEGÚN PU N º 3199/10 ORIGINARIO SE PROCEDE A LA RETENCION DE UNA SACA COLECTORA DEL CORREO OFICIAL, SEGUN CONSTA EN ACTA DE RETENCION DE CARGA Nº 0268/10, QUE ORIGINA LA PREVENCION SUMARIA Nº 061/10. LA SACA IDENTIFICADA CON MARBETE Nº SLA0170629E606000BHI, PRECINTO Nº C822800, CON UN PESO DE 10,300 KGS. CON DESTINO A LA CIUDAD DE BAHIA BLANCA, CONTIENE DOS PIEZAS POSTALES, AMPARADA EN GUIA AEREA Nº 9368594-4, LA QUE SERIA DESPACHADA A TRAVES DE LA EMPRESA DE CARGA AEREA JET PAQ. LA RETENCION SE REALIZA ANTE LA PRESUNCION DE QUE PUDIERAN CONTENER ALGUN ELEMENTO EN INFRACCION A LA LEY 22.415 Y/O 23.737, QUEDANDO LA MISMA CERRADA Y PRECINTADA EN GUARDA EN ESTA UOSP. SE COMUNICO TELEFONICAMENTE AL JUZGADO INTERVINIENTE Y LA APERTURA SE REALIZARA EN PRESENCIA DEL PERSONAL DEL CORREO OFICIAL. SEGÚN AMPL PU 3203/10 SE PROCEDE A LA APERTURA DE UNA SACA COLECTORA DEL CORREO OFICIAL SEGÚN CONSTA EN ACTA DE RETENCIÓN Nº 0268/10 QUE ORIGINA LA PREVENCIÓN SUMARIA 061/10, LA SACA IDENTIFICADA CON MARBETE Nº SLA0170299E606000BHI, PRECINTO Nº C822800 CON UN PESO DECLARADO DE 10,300 KGS., CON DESTINO LA CIUDAD DE BAHÍA BLANCA CONTIENE TRES PIEZAS POSTALES LA 1º IDENTIFICADA COMO EP724485016AR, LA 2º EP669752006AR, QUEDAN RETENIDAS, LA 3º EC966771123AR, ES ENTREGADA AL SR. ARIAS NESTOR RUBEN PARA SU REDESPACHO, LAS ENCOMIENDAS RETENIDAS QUEDAN EN GUARDA Y EN DEPOSITO JUDICIAL EN ESTA UNIDAD, SE COMUNICO TELEFÓNICAMENTE CON EL JUZGADO INTERVINIENTE Y LA APERTURA SE REALIZARA CON LA AUTORIZACIÓN DEL MAGISTRADO ACTUANTE.</t>
  </si>
  <si>
    <t>PLANTA BAJA DEL EDIFICIO</t>
  </si>
  <si>
    <t>OFICINAS TRAFICO DE AEROLÍNEAS ARGENTINA</t>
  </si>
  <si>
    <t>SIENDO LAS 15:15 HORAS LOCAL SE PRESENTA EN ESTA DEPENDENCIA POLICIAL LA SEÑORITA GISELA PAOLA IUZZOLINO CON DNI Nº 27.724.463, QUIEN DESEA RADICAR UNA DENUNCIA SOBRE EL HURTO DE SU BILLETERA QUE CONTENÍA EN SU INTERIOR DINERO, DOS TARJETAS DE DÉBITO, UNA TARJETA DE CRÉDITO Y DOCUMENTOS VARIOS. HECHO OCURRIDO EN LAS OFICINAS DE TRAFICO DE AEROLÍNEAS ARGENTINA. EL DÍA 23 DE SEPTIEMBRE ENTRE LAS 23:40HORAS Y LAS 00:20 HORAS APROXIMADAMENTE. SE REALIZAN LAS COMUNICACIONES DE RIGOR CON EL JUZGADO FEDERAL EL CUAL ORDENA REMITIR LAS MISMAS CON EL MINISTERIO PUBLICO FISCAL DE LA PCIA. DEL CHUBUT, A CARGO LA DRA. IBAÑEZ ADRIANA FISCAL DE TURNO, QUIEN ORDENA REMITIR LAS ACTUACIONES EL DÍA LUNES.</t>
  </si>
  <si>
    <t>PLAYA OFICIAL, PLAYA PUBLICA Y ACCESO OESTE</t>
  </si>
  <si>
    <t>SALIDA DE JURISDICCION AEROPORTUARIA</t>
  </si>
  <si>
    <t>EN EL DIA DE LA FECHA SE DIO CUMPLIMIENTO A LA ORDEN DE SERVICIO Nº 34/10 DE ESTA UOSP CONSISTENTE EN BRINDAR SEGURIDAD AL ARRIBO DE LA SRA. MINISTRO DE DESARROLO SOCIAL DE LA NACION DRA. ALICIA KIRCHNERQUIEN ARRIBO A LAS 18:20HS EN EL AVION DE PRESIDENCIA T-03 RETIRANDOSE JUNTO A SU COMITIVA DE LA JURISDICCION A LAS 18:30HS SIN NOVEDAD.</t>
  </si>
  <si>
    <t>POSADAS, MISIONES</t>
  </si>
  <si>
    <t>INFORMO QUE A PARTIR DEL DIA 24 DE SEPTIEMBRE DESDE LAS 21:00 HORA LOCAL HASTA EL DIA 27 DE SEPTIEMBRE A LAS 07:00 HORAS DEL CORRIENTE MES, ESTE AEROPUERTO PERMANECERA CERRADO, SEGUN LO INFORMADO POR EL JEFE DE AEROPUERTO ANAC. EL MENCIONADO CIERRE SE DEBE A QUE SE REALIZARA TRABAJOS DE BACHEO Y JUNTA DE DILATACION EN PISTA Y CALLE DE RODAJE, ADEMAS SEÑALIZACION HORIZONTAL DE LA PLATAFORMA.</t>
  </si>
  <si>
    <t>STAND TELECOM</t>
  </si>
  <si>
    <t>LA DENUNCIANTE UNA VEZ QUE ARRIBO A ESTE AEROPUERTO Y LUEGO DE EFECTUAR LOS TRAMITES MIGRATORIOS Y ADUANEROS CORRESPONDIENTES AL INGRESO AL PAIS. SE DIRIGE AL SECTOR DONDE SE ENCUENTRA EL STAND DE LA EMPRESA TELECOM, JUNTAMENTE CON SU CARRO PORTA MALETAS, EN EL CUAL DEPOSITA SU CARTERA Y PROCEDE A EFECTUAR UN LLAMADO CON SU TELEFONO CELULAR, PERDIENDO DE VISTA UNOS INSTANTES SU CARTERA. QUE CUANDO VUELVE LA VISTA A SU CARTERA SE PERCATA QUE LA MISMA NO ESTA MAS.</t>
  </si>
  <si>
    <t>INFORMO QUE EN EL DIA DE LA FECHA, SIENDO LAS 18:00, EN VIRTUD A LO DISPUESTO POR EL JUZGADO INTERVINIENTE, SE PROCEDIO AL TRASLADO DE LA DETENIDA EN AUTOS VERONICA SAMUEL, JUNTAMENTE CON SU HIJO, A LA UNIDAD DE DETENCION NRO. 31 DE EZEIZA.</t>
  </si>
  <si>
    <t>INTERIOR DE LA AERONAVE</t>
  </si>
  <si>
    <t>PLATAFORMA COMERCIAL, HIDRANTE 29</t>
  </si>
  <si>
    <t>SE RECIBIÓ COMUNICACIÓN TELEFÓNICA POR PARTE DE PERSONAL DE COORDINACIÓN DE AEROLÍNEAS ARGENTINA, INFORMANDO QUE EL COMANDANTE DE LA AERONAVE DEL VUELO DE MENCION, HABÍA RECIBIDO UNA AMENAZA DE MUERTE POR PARTE DE UNA PASAJERA, LA CUAL SE ENCONTRABA NERVIOSA. POR LO CUAL SE COMISIONA PERSONAL POLICIAL A LA AERONAVE INDIVIDUALIZANDOSE A LA PASAJERA, A QUIEN SE LE SOLICITA QUE DEPONGA DE SU ACTITUD AGRESIVA, LUEGO DE CALMARSE LA MISMA SE TRASLADA JUNTO CON EL PERSONAL POLICIAL FEMENINO, SOLICITADO A TAL FIN, HACIA LA GUARDIA DE PREVENCIÓN. SEGUIDAMENTE, EL SR. SALCIUNAS, COMANDANTE DE LA AERONAVE, RADICA FORMAL DENUNCIA, DÁNDOSE INTERVENCIÓN A LA JUDICATURA ACTUANTE, QUIEN DISPUSO SE REALICEN DILIGENCIAS DE RIGOR, SE DETENGA A LA CAUSANTE EN CARACTER DE COMUNICADA Y QUE UNA VEZ OBTENIDOS LOS RESULTADOS DE REINCIDENCIA, SE REALICE NUEVA COMUNICACIÓN. SEGUN PU 5859 SE INFORMA QUE SIENDO LAS 2120 HS. DEL DIA 24/09/2010, POR NO MEDIAR IMPEDIMENTOS LEGALES VIGENTES Y SEGUN LO ORDENADO POR LA JUDICATURA ACTUANTE, SE PROCEDE A LA LIBERACION DE LA CAUSANTE, LA CUAL SE RETIRA DE LA DEPENDENCIA POR SUS PROPOS MEDIOS CONFORME A LOS TRATOS RECIBIDOS SIN NOVEDAD.</t>
  </si>
  <si>
    <t>TORRICO QUINTEROS EDWIN, AV. RIVADAVIA 16850-BS. AS. - ARGENTINA</t>
  </si>
  <si>
    <t>ALICE TSABE-3RD-AVENUE-Nº307-BAIRO TRIUNFO-MAPUTO-MOZAMBIQUE</t>
  </si>
  <si>
    <t>EN MOMENTOS EN QUE PERSONAL POLICIAL EFECTUABA EL CONTROL PREVENTIVO EN EL CORREO ARGENTINO, MEDIANTE MAQUINA DE RAYOS X, VISUALIZO EN EL INTERIOR DE UNA SACA CERRADA CON PRECINTO NUMERO N920269, UNA CAJA QUE EN SU INTERIOR POSEIA UN OBJETO SIMILAR A UN TERMO, QUE A SU VEZ CONTENIA SUSTANCIA ORGÁNICA, QUE NO SE PODIA DETERMINARSE FEHACIENTEMENTE LA SUSTANCIA DE QUE SE TRATABA. SEGUIDAMENTE SE PROCEDIO A CONVOCAR A DOS TESTIGOS Y EN PRESENCIA DE LOS MISMOS SE APERTURO LA SACA Y SE RETIRO LA CAJA EN CUESTION. A CONTINUACIÓN SE MANTUVO COMUNICACIÓN TELEFONICA CON EL JUZGADO INTERVINIENTE, QUIEN AUTORIZO LA REQUISA DE LA CAJA. POR TAL MOTIVO SE TRASLADARON TODOS LOS INTERVINIENTES A LA GUARDIA DE PREVENCION. DONDE SE REALIZO LA DILIGENCIA EN CUESTION HALLANDOSE EN EL INTERIOR DE LA SACA, UNA CAJA QUE CONTENIA UN TERMO DE PLASTICO DE COLOR ROJO Y BLANCO, EL CUAL CONTENIA EN LA BASE DEL DEPOSITO DE AGUA UNA SUSTANCIA QUE SOMETIDA A REACTIVO PARA CLORHIDRATO DE COCAINA, ARROJO RESULTADO POSITIVO. LUEGO EL JUZGADO DISPUSO EL SECUESTRO DE LA SUSTANCIA Y SE ELEVE LO ACTUADO EN DIA LUNES 27/09/10</t>
  </si>
  <si>
    <t>5856/10</t>
  </si>
  <si>
    <t>SIENDO LAS 21:20 HORAS DEL DIA 24 DE SEPTIEMBRE DEL CORRIENTE AÑO, AL NO REGISTRAR IMPEDIMENTOS LEGALES Y LUEGO DE REALIZARLE A LA DETENIDA PRECARIO MEDICO DE SALIDA, HACIENDOLE ENTREGA DE LOS ELEMENTOS PERSONALES SECUESTRADOS Y SEGUN LO DISPUESTO POR LA JUDICATURA ACTUANTE SE PROCEDE A LA LIBERACION DE LA MISMA.</t>
  </si>
  <si>
    <t>DR. JUAN MANUEL GRANGEAK</t>
  </si>
  <si>
    <t>SECTOR CARGAS, LOCAL DE JET PAQ.</t>
  </si>
  <si>
    <t>SR. DANTE JOAQUIN FLORES</t>
  </si>
  <si>
    <t>SR. NAZARIO GIGI ALGERTO</t>
  </si>
  <si>
    <t>SIENDO LAS 01:50 HORAS, DEL DIA 25 DE SEPTIEMBRE DEL 2010, SE RECIBE COMUNICACIÓN VÍA NEXTEL POR PARTE DEL OF. SERGIO MARTIN, QUE SE ENCONTRABA CUMPLIMENTANDO ORDEN DE SERVICIO Nº 567/10, EN EL SECTOR DE DESPACHO Y RECEPCIÓN DE CARGAS, DE LA EMPRESA JET PAQ, SOLICITANDO QUE SE APERSONE EN DICHO SECTOR EL JEFE DE TURNO. AL LLEGAR EL MISMO SE ENTREVISTO CON EL SR. CARLOS MEZA, JEFE DE TURNO DE LA EMPRESA JET PAQ, DNI Nº 21.732.001, QUIEN LE INFORMA QUE SIENDO APROXIMADAMENTE LAS 23:00 HORAS, SE PRESENTARON POR EL SECTOR DE ATENCIÓN AL PUBLICO DE LA EMPRESA UNA COMISIÓN DE PERSONAL DE GENDARMERÍA NACIONAL, A LOS EFECTOS DE CUMPLIMENTAR MANDATO JUDICIAL EN REFERENCIA A UNA ENCOMIENDA CON NUMERO DE GUÍA AÉREA 8031537-3, PROVENIENTE DE LA CIUDAD DE SALTA, SOLICITANDO QUE EN EL CASO DE PRESENTARSE EL DESTINATARIO DE LA ENCOMIENDA DE REFERENCIA PARA SU RETIRO, SE PROCEDA A DARLES AVISO. ACTO SEGUIDO, SE ENTREVISTO CON EL 2º COMANDANTE RAÚL GONZÁLEZ (LP56286), QUIEN CUMPLE FUNCIONES EN EL CENTRO DE OPERACIONES ANTIDROGAS DE GENDARMERÍA NACIONAL, INFORMÁNDOLE QUE SE ENCONTRABAN EN EL LUGAR PARA EL CUMPLIMIENTO DE LAS DIRECTIVAS EMANADAS EN FORMA VERBAL POR EL DR. JUAN MANUEL GRANGEAK A CARGO DE LA SECRETARIA Nº 08, DEL JUZGADO FEDERAL Nº 09 DEL DR. SERGIO TORRES, LAS CUALES CONSISTEN EN LA APERTURA DE LA ENCOMIENDA REFERENCIADA EN PRESENCIA DE TESTIGOS HÁBILES A LOS EFECTOS DE VERIFICAR SU CONTENIDO, Y EN CASO DE HALLAR ESTUPEFACIENTES SE INICIEN LAS ACTUACIONES DE RIGOR Y EN CASO NEGATIVO PROCEDAN A SU CIERRE Y SEA DEVUELTA AL PERSONAL DE JET PAQ. SIENDO LAS 01:25 HORAS, DEBIDO A QUE LAS DIRECTIVAS EMANADAS FUERON REALIZADAS EN FORMA VERBAL SE ENTABLA COMUNICACIÓN CON EL DR. JUAN MANUEL GRANGEAK A CARGO DE LA SECRETARIA Nº 08, QUIEN RATIFICA LAS MISMAS, Y ORDENA SE PRESTE COLABORACIÓN AL PERSONAL DE GENDARMERÍA. POSTERIORMENTE SE DA INICIO A LAS ACTUACIONES DE RIGOR POR PARTE DEL PERSONAL DE GENDARMERÍA NACIONAL Y DE ESTA POLICÍA, DANDO ESTE RESULTADO NEGATIVO A LA PRESUNTA INFRACCIÓN A LA LEY 23.737. ASIMISMO SE DEJA CONSTANCIA DEL PERSONAL INTERVINIENTE DE GENDARMERÍA NACIONAL SIENDO ESTOS: CABO 1º ALFREDO SILVA (LP 61.990-6), 1º ALFERES PABLO ALTAMIRANO (LP 61.368-1), 1º ALFERES ABEL GULNER (LP 61.410-6), TODOS ESTOS DEL CENTRO DE OPERACIONES ANTIDROGAS DE GENDARMERÍA NACIONAL Y EL CABO 1º JOSÉ AGUILERA (LP 64.125-1), DEL GRUPO DE POLICÍA CIENTÍFICA ESCUADRÓN BUENOS AIRES DE GENDARMERÍA NACIONAL, CON MÓVIL IDENTIFICADO DE LA FUERZA DOMINIO GFM 904. SIENDO LOS TESTIGOS DE LAS ACTUACIONES: DANIEL SÁNCHEZ DNI Nº 25.389.320 Y FRANCISCO BENÍTEZ DNI Nº 34.529.464, AMBOS PERSONAL DE LA EMPRESA HAS. EN REFERENCIA A LA ENCOMIENDA, SE TRATABA DE UNA CAJA DE APROXIMADAMENTE SIETE (7) KILOS, ARRIBADA A ESTE AEROPUERTO COMO CARGA DEL VUELO DE LA EMPRESA AUSTRAL AU2459, DEL DÍA 23 DE SEPTIEMBRE DEL 2010, PROCEDENTE DE LA CIUDAD DE SALTA, REMITIDA PARA EL SR. NAZARIO GIGI ALGERTO Y DESTINATARIO SR. DANTE JOAQUÍN FLORES, QUIEN LA RETIRARÍA EN ESTE AEROPARQUE, SEGÚN FACTURA Nº 0228-00022807, LA CUAL FUE FACILITADA POR EL JEFE DE TURNO DE JET PAQ.</t>
  </si>
  <si>
    <t>INMEDIACIONES DE LAS PLANTAS DE COMBUSTIBLES</t>
  </si>
  <si>
    <t>LOS OFICIALES VEGA Y MARTINEZ EN RECORRIDA QUE EFECTUABAN POR LAS INMEDIACIONES DE LAS PLANTAS DE COMBUSTIBLES, OBSERVAN A UN VEHICULO DE ALQUILER TAXI FIAT SIENA, DOMINIO FCH 719, LICENCIA 2489, CON UN PASAJERO EN SU INTERIOR ESTACIONADO EN FORMA IRREGULAR, EN UNA DE LAS CALLES DE SALIDA DEL AEROPUERTO, POR TAL MOTIVO SE PROCEDE A IDENTIFICAR AL CHOFER DEL VEHICULO A QUIEN SE LE SOLICITA LA DOCUMENTACION DEL MISMO, CARECIENDO ESTE EL COMPROBANTE DEL SEGURO DEL AUTOMOTOR Y LA TARJETA DE CONDUCTOR EXPEDIDA POR SACTA.</t>
  </si>
  <si>
    <t>5833/10</t>
  </si>
  <si>
    <t>MOREL ROBERTO OMAR Y OTRO S/INF LEY 23737</t>
  </si>
  <si>
    <t>SE DIO CUMPLIMIENTO EL DIA 24 SETIEMBRE 2010 A LA HORA 16 40, AL OFICO NRO. 4952 DEL JUZGADO FEDERAL NRO 3 DE ROSARIO, EN LOS AUTOS CARATULADOS -MOREL ROBERTO OMAR Y OTRO S/INF LEY 23737- EXPTE. NRO 833 10, EN EL QUE LAS PERSONAS QUE RESULTARAN DETENIDAS EN EL MARCO DE LOS ALLANAMIENTOS REALIZADOS EL DÍA 23 DE SETIEMBRE DEL CORRIENTE AÑO, EXPTE NRO. 833/10 DEL JUZGADO ACTUANTE, FUERON TRASLADADAS A DEPENDENCIA DE LA ALCAIDIA MAYOR DE LA POLICIA DE LA PROVINCIA DE SANTA FE, A DISPOSICION DEL JUZGADO ACTUANTE.</t>
  </si>
  <si>
    <t>Dr GONZALEZ GUILLERMO</t>
  </si>
  <si>
    <t>ESTEBAN, AVERY LORRAINE S/DENUNCIA HURTO</t>
  </si>
  <si>
    <t>INFORMO EL DÍA 24/SET/10 SIENDO LAS 1800 HS SE PRESENTA LA SEÑORA ESTEBAN AVERY LORRAINE QUIEN RADICA DENUNCIA POR HURTO, MANIFIESTANDO QUE EL DÍA 23/09/10 ARRIBO A LAS 19:45 A ESTE AEROPUERTO DESDE LA CIUDAD DE BUENOS AIRES Y RETIRO SU EQUIPAJES DIRIGIÉNDOSE HASTA EL HOTEL, AL ABRIR EL MISMO APROXIMADAMENTE A LAS 20:30 HS SE PERCATA DEL FALTANTE DE 1 (UNA) CAMPERA. ASIMISMO LA DENUNCIANTE REALIZO EL RECLAMO PERTINENTE EN LA EMPRESA AEROLÍNEAS ARGENTINAS CON REFERENCIA NRO DRR USH 14858.</t>
  </si>
  <si>
    <t>GUILLERMO GUSTAVO LLERAL</t>
  </si>
  <si>
    <t>PRESUNTA INFRANCCION A LA LEY 23737</t>
  </si>
  <si>
    <t>SIENDO LAS 13:30 HS DEL DIA 24 DE SETIEMBRE DE 2010, EN EL MOMENTO DE REALIZAR EL CONTROL DE DOCUMENTACION EN EL SECTOR DE PREEMBARQUE, AL SOLICITAR EL TICKET Y EL D.N.I. DEL PASAJERO SR. DIEGO MATIAS GEMELLI, SE ENCUENTRA ENTRE LAS PAGINAS DEL D.N.I 10 HOJAS, PRESUNTAMENTE DE CANNABIS, EN PRESENCIA DE 02 TESTIGOS SE REALIZA PRUEBA DE CAMPO DE REACTIVO PARA MARIHUANA DANDO RESULTADO POSITIVO. SIENDO LAS 13:38 HS SE COMUNICA AL JUZGADO FEDERAL DE RAWSON AL DR. GUILLERMO GUSTAVO LLERAL, EL CUAL DISPONE EL SECUESTRO DE LO ENCONTRADO, DEJANDO PROSEGUIR EL VIAJE AL PASAJERO.</t>
  </si>
  <si>
    <t>5852/10</t>
  </si>
  <si>
    <t>SE DIO CUMPLIMIENTO A ORDEN DE SERVICIO Nº 34/10 DE ESTA UOSP CONSISTENTE EN BRINDAR SEGURIDAD A LA MINISTRA DE DESARROLLO SOCIAL DE LA NACION DRA. ALICIA KIRCHNER QUIEN DEPEGO HOY 25/SEP/2010 A LAS 16:40HS EN EL AVION DE PRESIDENCIAL T-03 SIN NOVEDAD.</t>
  </si>
  <si>
    <t>DR. DABONDIO</t>
  </si>
  <si>
    <t>INF. ART. 189 BIS DEL C.P.N</t>
  </si>
  <si>
    <t>SECTOR DE PREEMBARQUE DE LA TERMINAL B</t>
  </si>
  <si>
    <t>EL DIA Y LA HORA ANTES MENCIONADA AL SOMETER EL EQUIPAJE DE MANO AL CONTROL CON LA MAQUINA DE RAYOS X, EL OPERADOR DEL EQUIPO DETECTO LA PRESENCIA DE UN BULTO DE CARACTERISTICAS SIMILARES A LA DE UN ARMA DE FUEGO DEL TIPO REVOLVER. ATENTO A ELLO SE TOMAN LAS MEDIDAS PREVENTIVAS DEL CASO Y SE LE CONSULTA AL PASAJERO ACERCA DE LA DOCUMENTACION DEL MISMO, MANIFESTANDO QUE CARECE DE TODO TIPO DE DOCUMENTACION. POR TAL MOTIVO SE TRASLADAN LOS INTERVINIENTES Y EL EQUIPAJE EN CUESTION AL TURNO DONDE CON LAS DEBIDAS AUTORIZACIONES SE LLEVA A CABO LA REQUISA DE LA CUAL SURGE LA PRESENCIA DE UN ARMA DE FUEGO, TIPO REVOLVER CALIBRE 38. DISPONIENDO EL JUZGADO INTERVINIENTE LA DETENCION DEL CAUSANTE EN CALIDAD DE COMUNICADO. FINALIZADAS LAS DILIGENCIAS EL MISMO DEBERA SER REMITIDO A LA UNIDAD 28 DEL S.P.F SE INFORMA SEGUN PU Nº 5881 DEL DIA 25/09/10 SIENDO LAS 2300 HORAS SE PROCEDIO AL TRASLADO DE LA DETENIDA A LA UNIDAD 28 DEL S.P.F.</t>
  </si>
  <si>
    <t>INF. ART 239 DEL C.P.N</t>
  </si>
  <si>
    <t>TAQUILLA DE EGRESO AL AEROPUERTO</t>
  </si>
  <si>
    <t>ENCONTRANDOSE EN EL PUESTO ASIGNADO, EL PERSONAL POLICIAL OF AYTE. RODRIGUEZ MATIAS SE ACERCA A UNA DE LA CABINAS DE PEAJE ANTE LOS GRITOS DE UN CONDUCTOR PARA CON EL CAJERO. LUEGO EL CONDUCTOR DESCIENDE ABRUPTAMENTE DEL RODADO Y EN FORMA VIOLENTA SE DIRIGE HACIA EL CAJERO HACIENDO UN ADEMAN COMO PARA PROPINARLE UN GOLPE. ANTE ELLO EL FUNCIONARIO, INTERVIENE A FIN DE TRANQUILIZAR AL MASCULINO, PERO ESTE NO DEPONE SU ACTITUD E INCREPA AL EFECTIVO, EMPUJANDOLO Y HACIENDOLO RETROCEDER. POR LO CUAL EL FUNCIONARIO PROCEDE A REDUCIRLO CON COLABORACION DE PERSONAL ARRIBADO EN APOYO, CONTENIENDO AL MASCULINO Y POSTERIOR TRASLADADO AL TURNO CON LOS TESTIGOS. POR DISPOSICION DE S.SA EL CAUSANTE PERMANECERA DETENIDO HASTA LA FINALIZACION DE LAS DILIGENCIAS DISPUESTAS, Y UNA VEZ CULMINADAS ESTAS, TRASLADO DEL MISMO A LA UNIDAD 28 DEL S.P.F. EN PU Nº 5874 SE INFOMA EL TRASLADO DEL CAUSANTE A LA UNIDAD 28 DEL SERVICIO PENITENCIARIO FEDERAL SIENDO LAS 2300 HS DEL DIA 25/09/10</t>
  </si>
  <si>
    <t>DANDO CUMPLIMIENTO A LO ORDENADO, SIENDO APROXIMADAMENTE LAS DIECIOCHO HORAS DEL DIA 24/09/10, SE PROCEDIÓ A CONCRETAR LA LIBERTAD DEL CAUSANTE QUIEN SE RETIRO DE ESTA DEPENDENCIA POR SUS PROPIOS MEDIOS</t>
  </si>
  <si>
    <t>EDGARDO FABIAN BISTOLFI</t>
  </si>
  <si>
    <t>ARRIBO INTERNACIONAL</t>
  </si>
  <si>
    <t>CINTA TRNASPORTADORA</t>
  </si>
  <si>
    <t>SIENDO LAS 13:25 EN MOMENTOS DE ENCONTRARSE LOS OFICIALES JUÁREZ GUSTAVO, (LP 503.402), DENEGRI EMANUEL, (LP 503.460), DESEMPEÑÁNDOSE COMO AUXILIARES DE PATRULLA PLATAFORMA EN LA PLATAFORMA OPERATIVA DE ESTE AEROPARQUE METROPOLITANO Y EL SUBINSPECTOR ALE RICARDO, Nº DE CONTROL 500.996, DEL GRUPO GEDEX, REALIZANDO EL CONTROL DE EQUIPAJES DEL VUELO Nº AR1247 DE LA EMPRESA AEROLÍNEAS ARGENTINAS, PROCEDENTE DE LA CIUDAD DE SAN PABLO, REPUBLICA FEDERATIVA DE BRASIL, EN LA CINTA TRANSPORTADORA DE EQUIPAJES EN LA ZONA RESTRINGIDA DEL SECTOR ARRIBOS INTERNACIONALES, OBSERVAN UN PERSONAL DE LA EMPRESA AEROHANDLING, QUE EN MOMENTOS DE REALIZAR LA DESCARGA DE EQUIPAJES DESDE EL CARRO TRANSPORTADOR HACIA LA CINTA DESTINADA A TAL FIN, INTRODUCE SU MANO EN UNA MOCHILA DE TAMAÑO MEDIANDO DE COLOR ROJO IDENTIFICADA CON MARBETE Nº 133689, RETIRANDO DE LA MISMA UN ELEMENTO, Y AL PERCATARSE QUE ESTABA SIENDO OBSERVADO POR EL PERSONAL POLICIAL, INMEDIATAMENTE LO ARROJA SOBRE LA CINTA TRANSPORTADORA. RAZÓN POR LA CUAL, LOS OFICIALES ALE Y DENEGRI, SE ACERCAN AL OPERARIO DE HANDLING, A QUIEN LE CONSULTAN SOBRE EL ELEMENTO QUE HABRÍA RETIRADO DE LA MOCHILA, MIENTRAS EL OFICIAL JUÁREZ INGRESA AL SALÓN DE ARRIBOS, Y LUEGO DE UNA BÚSQUEDA VISUAL, LOGRA OBSERVAR UN ESTUCHE PEQUEÑO DE TELA CAMUFLADA, LA CUAL EN SU INTERIOR CONTENÍA UNA CÁMARA FOTOGRÁFICA DIGITAL MARCA COMERCIAL OLYMPUS, MODELO X-775, QUE SE ENCONTRABA SOBRE LA MENCIONADA CINTA. EN PU Nº 5872 SE INFORMA QUE SIENDO LAS 0030 HS. DEL DIA 26-09-10, DE ACUERDO A LO DISPUESTO POR EL JUZGADO INTERVINIENTE, SE PROCEDIO A LA LIBERACION DEL IMPUTADO MARTINEZ WALTER SALVADOR.</t>
  </si>
  <si>
    <t>AR1277</t>
  </si>
  <si>
    <t>5871/10</t>
  </si>
  <si>
    <t>SIENDO LAS 00:30 DEL DIA 26 DE SEPTIEMBRE DE 2010, SE PROCEDE A LA SOLTURA DEL SR WALTER SALVADOR MARTINEZ TITULAR DEL DNI 32.577.997</t>
  </si>
  <si>
    <t>INFRACCION A LOS ARTICULOS 292 Y 296 DEL C.P.N</t>
  </si>
  <si>
    <t>INFRACCION A LOS ARTICULOS 292 Y 296 DEL CPN</t>
  </si>
  <si>
    <t>AL EFECTUAR EL CONTROL DE SALIDA MIGRATORIA EL PERSONAL DE LA DNM DETECTA QUE EL PASAPORTE ESPAÑOL X-572398 ES APOCRIFO DADO A LA FALTA EL SELLO DE LA AUTORIDAD OTORGANTE, QUE POSEE CÓDIGO DE BARRA INCORRECTO Y CORRESPONDE A UN LOTE DE PASAPORTES ROBADOS EN BRASIL. POR LO CUAL, TRASLADO AL CAUSANTE A LA GUARDIA DE PREVENCION, DONDE SE ESTABLECIO COMUNICACON CON LA JUDICATURA INTERVINIENTE, QUIEN ORDENO SE DETENGA AL CAUSANTE EN CALIDAD DE INCOMUNICADO Y SE LABREN ACTUACIONES DE RIGOR, DEBIENDOSE TRASLADAR AL MISMO, UNA VEZ FINALIZADAS LAS DILIGENCIAS, A LA UNIDAD 28 DEL S.P.F. SEGUN PU N°5876, SE INFORMA QUE EL DIA 25/09/2010, SIENDO LAS 23.00 HS., SE PROCEDIO AL TRASLADO DEL DETENIDO A LA U28 SIN NOVEDAD.</t>
  </si>
  <si>
    <t>5869/10</t>
  </si>
  <si>
    <t>PEAJE DE INGRESO EGRESO AL AEROPUERTO TAQUILLA</t>
  </si>
  <si>
    <t>INFORMO QUE UNA VEZ CULMINADAS LAS DILIGENCIAS DISPUESTA POR EL JUZGADO, SIENDO APROXIMADAMENTE LAS 23:00 HS DEL DIA 25/09/10, SE PROCEDIO A TRASLADAR AL DETENIDO EN AUTOS A LA UNIDAD DE DETENCION NRO.28 DEL SPF.</t>
  </si>
  <si>
    <t>EN MOMENTOS EN QUE PERSONAL POLICIAL EFECTUABA UN CONTROL PREVENTIVO A LOS EQUIPAJES DESPACHADOS A BODEGA DEL VUELO DE REFERENCIA, MEDIANTE MAQUINA DE RAYOS X, DETECTARON EN EL INTERIOR DE UNA VALIJA SUSTANCIA ORGANICA DENTRO DE ARTEFACTOS ELECTRÓNICOS, SIN PODER DETERMINAR DE QUE ELEMENTO SE TRATABA. POR TAL MOTIVO SE CONVOCO AL PROPIETARIO DEL EQUIPAJE Y A DOS TESTIGOS Y PREVIA AUTORIZACION JUDICIAL, SE PROCEDIO A LA APERTURA DE LA VALIJA HALLANDOSE DOS BULTOS ENVUELTOS EN FILM QUE RESULTARON SER UNA MAQUINA DE HUMO Y UNA MAQUINA DE LUCES, LAS CUALES SE ABRIERON Y SE VISUALIZO EN SU INTERIOR PAQUETES QUE CONTENIAN SUSTANCIA QUE SOMETIDA A PRUEBA DE CAMPO PARA COCAINA ARROJO RESULTADO POSITIVO. SEGUIDAMENTE SE MANTUVO COMUNICACION TELEFONICA CON EL JUZGADO QUIEN ANOTICIADO DEL RESULTADO OBTENIDO, INDICO EL QUE SE PROCEDA A LA DETENCION DEL PASAJERO Y SE LABREN ACTUACIONES DE RIGOR, DEBIENDO ELEVAR LAS MISMAS JUNTAMENTE AL DETENIDO EL DIA 27/09/10.- SEGUN PU Nº5887 CON FECHA 27/09/2010 SE INFORMA QUE SIENDO LAS 07.30 SE TRASLADO AL DETENIDO A SEDE JUDICIAL S/N.</t>
  </si>
  <si>
    <t>5873/10</t>
  </si>
  <si>
    <t>BOX DE SALIDA DE LA DIRECCION NACIONAL DE MIGRACIONES</t>
  </si>
  <si>
    <t>INFORMO QUE EL DIA 25/09/10, SIENDO APROXIMADAMENTE 23:00 HS UNA VEZ CULMINADAS LAS DILIGENCIAS DE RIGOR IMPARTIDAS POR EL JUZGADO, SE PROCEDIO AL TRASLADO DEL DETENIDO A LA UNIDAD DE DETENCION NRO. 28, EN VIRTUD A LO DISPUESTO POR SU SEÑORIA.-</t>
  </si>
  <si>
    <t>INFRACCION A LOS ARTS. 78 Y 85 DEC. LEY 8031/73</t>
  </si>
  <si>
    <t>LA OFICIAL PAMELA CAFFERATA, RECIBE UNA LLAMADA VIA HANDY, DEL OFICIAL PONCE, EL CUAL SE ENCONTRABA CUMPLIENDO FUNCIONES EN EL C.O.C., DONDE OBSERVA MEDIANTE UNA DE LAS CAMARAS DE SEGURIDAD A UNA PERSONA DE SEXO MASCULINO OFRECIENDO SERVICIOS DE TRANSPORTE A PASAJEROS RECIEN ARRIBADOS AL PAIS. UNA VEZ ALLI LA OFICIAL CAFFERATA OBSERVA AL MASCULINO OFRECIENDO EL SERVICIO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PARA POSTERIORMENTE LABRAR LA CORRESPONDIENTE ACTA. LUEGO DE REALIZADO ESTOS TRAMITES EL INFRACTOR SE RETIRA POR SUS PROPIOS MEDIOS.</t>
  </si>
  <si>
    <t>CINTA DE EQUIPAJE NUMERO DOS</t>
  </si>
  <si>
    <t>EN EL DIA DE LA FECHA SE RECIBIO FORMAL DENUNCIA AL SEÑOR BENVENUTO CLAUDIO MARTIN EN LA CUAL EXPONE QUE AL ENCONTRARSE EN LA CINTA DE ARRIBOS DE EQUIPAJE NUMERO 2 DE LA TERMINAL B, OBSERVA A UN MASCULINO RETIRAR DE LA CINTA DE EQUIPAJES UNA CAJA DE CARTON CONTENIENDO UN PLASMA EL CUAL ERA DE SU PROPIEDAD. QUE EN EL CONTROL ADUANERO LOGRA DAR CON ESTE MASCULINO EL CUAL PORTABA EN SU CARRO PORTAMALETAS LA CAJA MENCIONADA , SOLICITANDO AL PERSONAL DE LA DGA SE CONVOQUE LA PRESENCIA DE PERSONAL POLICIAL CON MOTIVO DE EXPONER EL HECHO. SE REALIZA COMUNICACION TELEFONICA CON EL JUZGADO INTERVINIENTE QUIEN DISPUSO LA DETENCION DEL IMPUTADO Y QUE FINALIZADAS LAS ACTUACIONES SEA TRASLADADO A LA UNIDAD 28 DEL S.P.F. EN P.U. Nº 5886 SE INFORMA QUE SIENDO LAS 1430 HS DEL DIA 26/09/2010 SE PROCEDE AL TRASLADO DEL IMPUTADO A LA UNIDAD 28 DEL S.P.F, DE ACUERDO A LO ORDENADO POR EL JUZGADO INTERVINIENTE.</t>
  </si>
  <si>
    <t>INFRACCION A LOS ARTS. 78 Y 85 DECR. LEY 8031/73</t>
  </si>
  <si>
    <t>QUE EL DIA Y HORA SEÑALADOS, LOS OFICIALES CARABAJAL PABLO Y KALENBERG VICTOR, RECIBEN COMUNICACION VIA FRECUENCIA RADIAL, POR PARTE DEL OFICIAL PONCE CLAUDIO, QUIEN SE ENCONTRABA CUMPLIENDO FUNCIONES EN EL C.O.C. EZEIZA, INFORMANDO QUE SE OBSERVABA POR UNA DE LAS CAMARAS DE SEGURIDAD, A UNA PERSONA DE SEXO MASCULINO QUE ASCIENDE A SU VEHICULO EN SU PARTE POSTERIOR A UNA PASAJERA, MOMENTOS EN QUE INFORMADOS DEL HECHO LOS OFICIALES DESTACADOS INTERCEPTAN AL AUTOMOTOR HACIENDO DETENER SU MARCHA, SOLICITANDOLE AL CONDUCTOR LA CORRESPONDIENTE HABILITACION PARA REALIZAR EL SERVICIO DE REMIS, PRESENTANDO LA MISMA VENCIDA. ACTO SEGUIDO SE TRASLADA AL CONTRAVENTOR A LA OFICINA DE DESTINADA A TAL FIN, PARA REALIAR LAS ACTUACIONES CORRESPONDIENTES, PREVIO TRASLADO AL SERVICIO MEDICO PARA UN CONTROL MEDICO PRECARIO.</t>
  </si>
  <si>
    <t>SECTOR EGRESO DE TAQUILLA</t>
  </si>
  <si>
    <t>PUESTO TAQUILLA</t>
  </si>
  <si>
    <t>SIENDO LA HORA Y LA FECHA ANTES MENCIONADA, LOS OFICIALES VILAS MARIANO Y VILAS JOAQUIN , EN MOMENTOS DE EFECTUAR UN CONTROL PREVENTIVO VEHICULAR QUE EFECTUABAN EN EL DENOMINADO PUESTO TAQUILLA,EN PREVENCION Y CONJURACION DE DELITOS Y FALTAS, DETIENEN A UN VEHICULO MARCA VOLKSWAGEN , MODELO SURAN, DOMINIO IKJ 220, EL MISMO EGRESABA DE ESTA AEROESTACION, EL CUAL TRANSPORTABA,A DOS PERSONAS DE SEXO FEMENINO. RAZON POR LA CUAL EL PERSONAL POLICIAL PROCEDE A IDENTIFICAR A TODOS LOS OCUPANTES PUDIENDO CONSTATAR QUE EL VEHICULO EFECTUABA SERVICIO DE TRANSPORTE DE PASAJEROS POR TAL MOTIVO SE SOLICITA AL CONDUCTOR DEL RODADO QUE EXHIBA LA CORRESPONDIENTE HABILITACION PARA REALIZAR DICHO SERVICIO, EL CUAL MANIFIESTA QUE CARECIA DE LA MISMA. EN VIRTUD A ELLO SE LO TRASLADA AL SERVICIO DE SANIDAD DEL AEROPUERTO Y SE LABRAN LAS ACTUACIONES CORRESPONDIENTES.</t>
  </si>
  <si>
    <t>5868/10</t>
  </si>
  <si>
    <t>SECTOR DE PREEMBARQUE</t>
  </si>
  <si>
    <t>QUE EL DIA 25 DE SEPTIEMBRE DEL CORRIENTE AÑO SIENDO LAS VEINTITRES HORAS SE PROCEDE AL TRASLADO DEL DETENIDO A LA UNIDAD PENAL NUMERO 28 DEL S.P.F.</t>
  </si>
  <si>
    <t>DR. FABIO MOYANO</t>
  </si>
  <si>
    <t>TENTATIVA DE HURTO NN</t>
  </si>
  <si>
    <t>FRENTE AL AERPUERTO</t>
  </si>
  <si>
    <t>VEREDA DE COSTANERA NORTE.</t>
  </si>
  <si>
    <t>SIENDO 12:30 HORAS APROXIMADAMENTE EL DAMNIFICADO SE ENCONTRABA CAMINANDO EN LA ACERA DE COSTANERA NORTE,CUANDO UN MASCULINO LE TOCA EL HOMBRO PARA DISTRAERLO MIENTRAS UN SEGUNDO MASCULINO TRATA DE SACARLE EL PORTA NOTEBOOK DEL CARRITO PORTA EQUIPAJE QUE LLEVABA JUNTO A EL. EN ESE MOMENTO EL DAMNIFICADO SE PERCATA DE DICHO HECHO,LOGRANDO SACARLE EL PORTA NOTEBOOK AL SUJETO.POR LO QUE LLEVA A QUE EL MISMO SE DIRIJA RAPIDAMENTE HACIA UN VEHICULO COLOR ROJO SEDAN Y ASCIENDA, JUNTO A SU COMPAÑERO, DANDOSE A LA FUGA DEL LUGAR. RAZON POR LA CUAL SE HACE PRESENTE A DENUNCIAR LO ACONTECIDO</t>
  </si>
  <si>
    <t>CASARES Nº 2452 MARTINEZ, PARTIDO DE SAN ISIDRO - PROVINCIA DE BUENOS AIRES</t>
  </si>
  <si>
    <t>REFERENTE ORDEN DE SERVICIO Nº 989/10 EN EL DIA DE LA FECHA PERSONAL DE ESTA UNIDAD OPERACIONAL REALIZO TAREAS INVESTIGATIVAS EN EL MARCO DE LA CAUSA DE REFERENCIA ORDENADAS POR EL MAGISTRADO INTERVINIENTE, TENDIENTES A IDENTIFICAR EL DOMICILIO EN DONDE ESTUVIERA ALOJADO EL DETENIDO, CON RESULTADO POSITIVO, LOGRANDO DETERMINAR QUE EN EL DOMICILIO INDICADO HABITAN LA MADRE DEL IMPUTADO JUNTO A SU PAREJA, ORDENANDO EL JUZGADO ACTUANTE EL ALLANAMIENTO DE LA FINCA INDICADA, CUYAS CIRCUNSTANCIAS SE INFORMARAN POSTERIORMENTE.</t>
  </si>
  <si>
    <t>LEANDRO EMANUEL SIXTO S/ DENUNCIA</t>
  </si>
  <si>
    <t>QUE SIENDO LAS 23:00 HORAS, DEL DIA 25/09/2010, ARRIBO DEL VUELO DE POSADAS AR 1786. DEJANDO OLVIDADO EN EL COMPARTIMIENTO SUPERIOR DE EQUIPAJE DE MANO SOBRE EL ASIENTO 16B. UNA CAMARA DIGITAL. EN EL DIA DE LA FECHA SE PRESENTA EN ESTA GUARDIA,A LOS EFECTOS DE VERIFICAR SI DICHO ELEMENTO HABIA SIDO HALLADO. ANTE LA NEGATIVA MANIFIESTA QUERER RADICARLA DENUNCIA POR EL FALTANTE DE LA MISMA. EN PU Nº 5908 SE INFORMA QUE EL DIA 27-SEP-10, SE HIZO PRESENTE EL DAMNIFICADO DECLARANDO QUE LE FUE DEVUELTA LA CAMARA POR PARTE DE UN AMIGO QUE VIAJO CON EL MISMO.</t>
  </si>
  <si>
    <t>TEDESCO DANIELE S/CONTRABANDO DE ESTUPEFACIENTES</t>
  </si>
  <si>
    <t>1142/2010</t>
  </si>
  <si>
    <t>CASARES Nº 2452 MARTINEZ, PARTIDO DE SAN ISIDRO - PCIA. DE BUENOS AIRES</t>
  </si>
  <si>
    <t>REFERENTE ORDEN DE SERVICIO N° 990/10 DE ESTA UNIDAD Y ORDEN DE SERVICIO N° 672/10 DE LA URSA I, EN EL DIA DE LA FECHA SE PROCEDIO A DAR CUMPLIMIENTO A ORDEN DE ALLANAMIENTO EMANADA DEL JUZGADO INTERVINIENTE, EFECTUANDOSE LA REQUISA DEL DOMICILIO ALLANADO Y DE UN VEHICULO MARCA VOLKSWAGEN MODELO GOL COLOR BLANCO Nº DE DOMINIO IEF 698, RESULTANDO NEGATIVO EN CUANTO A SECUESTRO DE SUSTANCIA ESTUPEFACIENTE EN AMBOS CASOS PERO POSITIVO EN CUANTO AL SECUESTRO DE ELEMENTOS DE INTERES PARA LA CAUSA EN EL CASO DE LA FINCA. ASIMISMO SE INFORMA QUE SU SEÑORIA ORDENA LA PROHIBICION DE SALIDA DEL PAIS DE LOS MORADORES DE LA FINCA, QUIENES RESULTARON SER: PATRIZIA INTERLANDI, PASAPORTE ITALIANO SA 0005386 Y ROSEL GONZALEZ HERNANDEZ PASAPORTE CUBANO B446510.</t>
  </si>
  <si>
    <t>5878/10</t>
  </si>
  <si>
    <t>CINTA NUMERO DOS DE ARRIBO DE EQUIPAJE DE LA TERMINAL A</t>
  </si>
  <si>
    <t>QUE SIENDO LAS 14:30 DEL DIA 26/09/2010 SE DIO ESTRICTO CUMPLIMIENTO A LO DISPUESTO POR SU SSA TRASLADANDO AL DETENIDO A LA UNIDAD 28 DEL SPF.</t>
  </si>
  <si>
    <t>5875/10</t>
  </si>
  <si>
    <t>SIENDO LAS 07:30 HORAS DEL DIA 27/09/10, DANDO CUMPLIMIENTO A LO ORDENADO POR S.SA SE PROCEDIO AL TRASLADO DEL DETENIDO A LA SEDE DEL JUZGADO INTERVINIENTE. PTO.-</t>
  </si>
  <si>
    <t>EN CUMPLIENTO DE LA ORDEN DE SERVICIO NRO. 0086/10 Y SIENDO LAS 08:15 HORAS LOCAL DESPEGA DESDE ESTE AEROPUERTO AERONAVE MD 83 MATRICULA LV-BHH, PERTENECIENTE A LA EMPRESA AUSTRAL LINEAS AEREAS Nº 2831 CON DESTINO EL AEROPUERTO JORGE NEWBERY DE CAPITAL FEDERAL Y EN CUYAS BODEGAS 4 Y 5 SE EMBARCAN 38 CAJAS CON UN PESO TOTAL DE 1558 KILOGRAMOS DE METAL- MTD- PERTENECIENTES A LA EMPRESA MINERA SANTA CRUZ.</t>
  </si>
  <si>
    <t>POSICIÓN II</t>
  </si>
  <si>
    <t>SIENDO LAS 10:23 HORAS LOCAL ARRIBA AERONAVE MATRICULA LV-BGV DE LA EMPRESA AUSTRAL LINEAS AÉREAS PROCEDENTE DE AEROPUERTO JORGE NEWBERY EN CUYAS BODEGAS CENTRAL Y TRASERAS SE DESPACHAN 65 CAJAS CON UN PESO DE 2.503 KILOGRAMOS DE METAL -MTD- DE LA EMPRESA MINERA SANTA CRUZ CON DESTINO A AEROPUERTO JORGE NEWBERY. EL VUELO DESPEGA COMO Nº 2833 A LAS 11:30 HORAS LOCAL SIN NOVEDAD, DANDO CUMPLIMIENTO A ORDEN DE SERVICIO NRO 0086/2010 DE ESTA UOSP</t>
  </si>
  <si>
    <t>5647/10</t>
  </si>
  <si>
    <t>722/10</t>
  </si>
  <si>
    <t>SE PROCEDE A LA APERTURA DE DOS ENCOMIENDAS DEL CORREO OFICIAL, SEGUN CONSTA EN ACTA DE APERTURA DE CARGAS Nº 424/10, PREV. SUM. 094/10. EN VIRTUD DE LO ORDENADO MEDIANTE OFICIO JUDICIAL Nº 2407/10 DEL MAGISTRADO ACTUANTE Y EN PRESENCIA DE UN TESTIGO HABIL. LA 1ª EP652467695AR, RTTE: ELVIO BATALLANOS, L 03 M 408, LOTEO PRINCIPAL, CP. 4506, FRAILE PINTADO-JUJUY, Y DEST: SRA. ELIZABETH R. RAMOS, SAN PATRICIO DEL CHAÑAR, PCIA DE NEUQUEN, CP. 8506, CONTIENE: OCHO PAQUETES DE HOJAS DE COCA CON UN PESO TOTAL DE 1.975 GRS. LA 2º EP670302446AR, RTTE:SRA. ISABEL SEGUNDO, SANJA HONDA, TARTAGAL, CP. 4560-SALTA, Y DEST: SR. MARCOS SILVERA, CORREO ARGENTINO-COMODORO RIVADAVIA, CONTIENE: DOS BOLSAS DE POCHOCLOS DE 40 GRS. CADA UNA DE INDUSTRIA BOLIVIANA, DOS PAQUETES DE OBLEAS DE 120 GRS. CADA UNA DE INDUSTRIA BOLIVIANA, Y SIETE PAQUETES DE HOJAS DE COCA CON UN PESO TOTAL DE 1.627 GRS. LAS ENCOMIENDAS SECUESTRADAS SERAN PUESTAS A DISPOSICION DE LA ADMINISTRACION DE ADUANA SALTA POR SUPUESTA INFRACCION AL CODIGO ADUANERO LEY 22.415, Y LAS ACTUACIONES REMITIDAS A SEDE JUDICIAL. SEGÚN P.U. Nº 5609 (ORIGINARIO) SE PROCEDE A LA RETENCIÓN DE TRES SACAS COLECTORAS DEL CORREO OFICIAL SALTA SEGÚN CONSTA EN ACTA DE RETENCIÓN 0411/10, QUE ORIGINA LA PREVENCIÓN SUMARIA Nº 094/10, LA 1º SACA IDENTIFICADA CON MARBETE SLA0217121E636300NQN, PRECINTO Nº D636588, CON UN PESO DECLARADO DE 2,500 KGS., CON DESTINO LA CIUDAD DE NEUQUEN, CONTIENE UNA PIEZA POSTAL, LA 2º SACA IDENTIFICADA CON MARBETE SLA8709789D505000CPI, PRECINTO Nº D638362, CON UN PESO DECLARADO DE 6,600 KGS., CON DESTINO LA CIUDAD DE BUENOS AIRES, CONTIENE UNA PIEZA POSTAL, LA 3º SACA IDENTIFICADA CON MARBETE SLA0212770D555600CRD, PRECINTO Nº D636827, CON UN PESO DECLARADO DE 8,300 KGS., CON DESTINO LA CIUDAD DE COMODORO RIVADAVIA, CONTIENE DOS PIEZAS POSTALES, LAS MISMAS ESTAN AMPARADAS EN GUIA DE CARGA Nº 9453312-1, DESPACHADAS A TRAVEZ DE LA EMPRESA DE CARGAS AEREAS JET-PAQ. LA RETENCION SE REALIZA ANTE LA PRESUNCIÓN DE QUE PODRÍAN CONTENER EN SU INTERIOR ALGUN ELEMENTO EN INFRACCION A LA LEY 22.415Y/O 23.737. QUEDANDO LAS MISMAS CERRADAS Y PRECINTADAS EN GUARDA EN ESTA UOSP. SEGUN LO COORDINADO CON LA DRA. MARIA ISABEL FALU A CARGO DE LA SECRETARIA PENAL Nº 4 DEL JUZGADO FEDERAL Nº 2 A CARGO DEL DR. MIGUEL ANTONIO MEDINA. Y LAS APERTURAS SE REALIZARAN EN PRESENCIA DEL PERSONAL DEL CORREO OFICIAL. SEGÚN P.U. Nº 5647 (AMPLIACION) SE PROCEDE A LA APERTURA DE TRES SACAS COLECTORAS DEL CORREO OFICIAL, SEGUN CONSTA EN ACTA DEJANDO CONSTANCIA Nº 0416/10, CORRESPONDIENTE A LA PREV. SUM. 094/10. LA 1ª SACA IDENTIFICADA CON MARBETE SLA0217121E636300NQN, PRECINTO Nº D636588, CONTIENE UNA PIEZA POSTAL IDENTIFICADA COMO EP652467695AR, RTTE: ELVIO BATALLANOS, L 03 M 408, LOTEO PRINCIPAL, CP. 4506, FRAILE PINTADO-JUJUY, DEST: SRA ELIZABETH R. RAMOS, SAN PATRICIO DEL CHAÑAR, PCIA DE NEUQUEN, CP. 8506, LA CUAL QUEDA RETENIDA. LA 2º SACA IDENTIFICADA CON MARBETE SLA8709789D505000CPI, PRECINTO Nº D638362, CONTIENE SEIS PIEZAS POSTALES IDENTIFICADAS COMO: EE001547668AR, EE001629296AR,EE001629305AR,EE002318777AR,EE002319052AR Y EE027137387AR, SON ENTREGADAS AL SR, ARIAS PARA SU REDESPACHO. LA 3º SACA IDENTIFICADA CON MARBETE SLA0212770D555600CRD, PRECINTO Nº D636827, CONTIENE TRES PIEZAS POSTALES : LA 1ª IDENTIFICADA COMO EP670302446AR, RTTE: ISABEL SEGUNDO, SANJA HONDA, TARTAGAL, CP. 4560-SALTA, DEST: MARCOS SILVERA, CORREO ARGENTINO-COMODORO RIVADAVIA, LA CUAL QUEDA RETENIDA Y LAS DOS RESTANTES : EP716025429AR Y EP716025503AR, SON ENTREGADAS AL SR, ARIAS PARA SU REDESPACHO. LAS RETENCIONES SE REALIZAN ANTE LA PRESUNCION DE QUE PUDIERAN CONTENER ALGUN ELEMENTO EN INFRACCION A LA LEY 23.737 Y/O 22.415, QUEDANDO EN GUARDA EN EL DEPOSITO JUDICIAL DE ESTA UOSP. A LA ESPERA DEL OFICIO QUE AUTORICE LAS APERTURAS</t>
  </si>
  <si>
    <t>DR. MARIA VIRGINIA DUFFY</t>
  </si>
  <si>
    <t>EXPTE. NRO 443/84 Y CONEXOS</t>
  </si>
  <si>
    <t>JUAN BAUTISTA ALBERDI Nº2462, LOCALIDAD DE OLIVOS PROVINCIA DE BUENOS AIRES.</t>
  </si>
  <si>
    <t>EN EL DIA DE LA FECHA, PERSONAL DE ESTA UNIDAD OPERACIONAL ANTITERRORISTA PROCEDIO A LA DETENCION DEL CIUDADANO CORONEL RETIRADO DEL EJERCITO ARGENTINO, CARLOS EDUARDO TRUCCO,DE ACUERDO A LO ORDENADO POR EL JUZGADO EXHORTADO EN LO CRIMINAL Y CORRECCIONAL NRO. 2 DE SAN ISIDRO, A CARGO DEL DR.CONRADO BERGESIO-SECRETARIA NRO 4 DEL DR. ARTURO FERNANDEZ FIGUEROA ,POSTERIORMENTE EL CAUSANTE ES TRASLADADO A LA UOSP. METROPOLITANA , A EFECTOS DE PROCEDER CON LA REVIZACION MEDICA, EXTRACCION DE JUEGOS DE FICHAS DACTILOSCOPICAS Y TOMA DE IMAGENES FOTOGRAFICAS , SIENDO APROXIMADAMENTE LAS 17:00 HS. EL IMPUTADO ES CONDUCIDO CUSTODIADO A LA UNIDAD DEL SERVICIO PENITENCIARIO FEDERAL NRO 28, QUEDANDO ALOJADO A DISPOSICION DEL JUZGADO INTERVINIENTE.</t>
  </si>
  <si>
    <t>BARRA DE CAFE LLAMADA TIENDA DE CAFE</t>
  </si>
  <si>
    <t>SECTOR ARRIBOS NACIONALES A1</t>
  </si>
  <si>
    <t>EN EL DIA DE LA FECHA SIENDO LAS 18:00 HORAS LA OF. OBREGÓN SANDRA, LE INFORMA , ACERCA DEL HALLAZGO DE UNA VALIJA TIPO CARRY ON COLOR AZUL DE TAMAÑO MEDIANO, EN EL HALL DEL SECTOR ARRIBOS NACIONALES "A1", INMEDIATAMENTE SE REALIZA EL PERÍMETRO PRIMARIO DE SEGURIDAD, Y SE CONVOCA AL PERSONAL DE TURNO DEL GRUPO DE DESACTIVACIÓN DE EXPLOSIVOS (GEDEX). SIENDO LAS 18:10 HORAS SE PRESENTA PERSONAL DE BOMBEROS DE LA POLICÍA FEDERAL ARGENTINA DEL DESTACAMENTO AEROPARQUE, 18:15 HORAS EL PERSONAL DE SERVICIO MEDICO DE ESTE AEROPUERTO EMERGER. COMENZANDO CON EL CONTROL RESPECTIVO, CON RESULTADO NEGATIVO, FINALIZANDO A LAS 18:35 HORAS. SEGUIDAMENTE SE TRASLADA EL OBJETO, DOS TESTIGOS Y EL PERSONAL DE ESTA PSA INTERVINIENTE A LA GUARDIA DE PREVENCIÓN A LO EFECTOS DE REALIZAR ACTA DE HALLAZGO Nº 2455/10 DONDE CONSTA EL CONTENIDO DE LA MISMA</t>
  </si>
  <si>
    <t>FRIAS MARIANO JORGE</t>
  </si>
  <si>
    <t>CABECERA 01 EN DIRECCION A EJE DE PISTA</t>
  </si>
  <si>
    <t>SIENDO APROXIMADAMENTE LAS 17:40 HORAS MIENTRAS REALIZABA RECORRIDO POR RODAJE SUR JUNTO AL OFICIAL MUR MIGUEL, AL LLEGAR A LA ZONA UBICADA DEL PARIMETRO A LA ALTURA DE CABECERA 01 Y EN DIRECCION A EJE DE PISTA SE OBSERVA EL DESPLAZAMIENTO HACIA ABAJO DE LA PLANCHUELA TENSORA DEL PAÑO DE ALAMBRE JUNTO CON EL ALAMBRE ROMBOIDAL POR LO QUE EN ESE MOMENTO REALIZO UNA INSPECCION OCULAR DEL LUGAR. TOMAS FOTOGRAFICAS. ACTO SEGUIDO PROCEDO A INFORMAR AL PERSONAL DE MANTENIMIENTO DE AEROPUERTOS ARGENTINA 2000 A FIN DE QUE REALICE LAS REPARACIONES CORRESPONDIENTES. ACTO SEGUIDO SIENDO APROXIMADAMENTE LAS 18:10 HORAS EL SUSCRIPTO REALIZA COMUNICACION TELEFONICA AL JUZGADO FEDERAL DE TURNO COMUNICANDOME CON EL DR. JORGE MARIANO FRIAS INFORMANDOLE DE LOS HECHOS Y DE LO ACTUADO POR PARTE DE ESTA PREVENCION. QUIEN DISPONE ACTUACIONES DE RIGOR Y SEAN ELEVADAS.</t>
  </si>
  <si>
    <t>AVERIGUACION DE PARADERO</t>
  </si>
  <si>
    <t>SE DESCONOCE</t>
  </si>
  <si>
    <t>EL DIA 26/09/ 2010 SE PRESENTO EN ESTA DEPENDENCIA UNA PERSONA IDENTIFICADO COMO MAURO PONCHIETTI, DE NACIONALIDAD ARGENTINO, ACREDITANDO IDENTIDAD CON DNI N 24.996.591, QUIEN HACE ENTREGA DE UNA NOTA MNANUSCRITA, JUNTO CON UNA FOTO, EN LA CUAL REQUERIA QUE SE REALICE LA BUSQUEDA DE UNA PERSONA DE SEXO FEMENINO , DE NOMBRE PAOLA PONCHIETTI, ACLARANDO QUE LA MISMA ARRIBO A BS AS EL DIA 11-09-2010, PERMANECIENDO 1 O 2 NOCHES EN EL AEROPUERTO DE EZEIZA Y QUE LA MISMA PADECE UN TRANSTORNO DE TIPO PSICOLOGICO. EN LA MISMA NOTA APORTA DOS NUMEROS TELEFONICOS PARA SUMINISTRAR INFORMACION SOBRE EL PARADERO DE ESTA. SE ENTABLO COMUNICACION TELEFONICA CON LA JUDICATURA ACTUANTE, QUIEN DISPONE, SE LOCALICE AL CIUDADANO MAURO PONCHIETTI PARA QUE APORTE LA TOTALIDAD DE LOS DATOS FILIATORIOS Y QUE FORMALICE JUDICIALMENTE EL HECHO. SE REALIZO COMUNICACION TELEFONICA EL SR. PONCHIETTI MANIFESTANDO QUE SE HARA PRESENTE EL DIA 27 DEL CORRIENTE MES Y AÑO A FORMALIZAR LA DENUNCIA DE PARADERO.</t>
  </si>
  <si>
    <t>PATIO DE VALIJAS - PLATAFORMA - BODEGA DE AERONAVE</t>
  </si>
  <si>
    <t>SIENDO LA HORA MENCIONADA SE HACE PRESENTE LA DAMNIFICADA A FIN DE RADICAR UNA DENUNCIA DE CARACTER DELICTIVO POR HABER SUFRIDO LA SUSTRACCION DE SUS PERTENENCIAS LAS CUALES HABIA COLOCADO DENTRO DE SU EQUIPAJE DESPACHADO, LA MISMA MANIFIESTA HABERSE PERCATADO DE LA ROTURA UNA VEZ ARRIBADO A DICHO AEROPUERTO Y EL FALTANTE EL MISMO DIA UNA VEZ LLEGADA AL HOTEL DONDE SE HOSPEDARIA</t>
  </si>
  <si>
    <t>LA 4022</t>
  </si>
  <si>
    <t>SIENDO LAS 21:35 HS EL OF. AY.REYNOSO LEGAJO 502.603 TOMA CONOCIMIENTO EN LA QUE EL SR. FABBRI PABLO PERSONAL DE OPERACIONES DE AEROLINEAS ARGENTINAS DEL VUELO NRO 1695 PROCEDENTE DE EL CALAFATE, CON ESCALA EN AEROPUERTO BARILOCHE CON DESTINO AEROPARQUE RECIBIÓ COMUNICACION VIA FRECUENCIA INTERNA DE RADIO, DEL COMANDANTE DE LA AERONAVE SR. GUSTAVO GAZZERA EN LA CUAL LE INFORMA QUE PERCIBIAN OLOR A GAS EN LA CABINA DE PASAJEROS Y SOLICITABA SE REALICE AL ARRIBO A BARILOCHE UN ESCANEO DEL EQUIPAJE DE LOS PASAJEROS EN TRANSITO PARA DESCARTAR QUE HUBIERA ALGUNA GARRAFA ENTRE LAS PERTENENCIAS DE LOS MISMOS. EL OFICIAL LE CONSULTA SI LA AERONAVE SE HABIA DECLARADO EN EMERGENCIA A LO QUE RESPONDE QUE NO, PREGUNTADO SI SE HABIA ALERTADO AL CUARTEL DE BOMBEROS RESPONDE NO, INDICANDOLE LA CONVENIENCIA DE DAR AVISO PARA TOMAR LAS PREVICIONES DEL CASO. SIENDO LAS 21:47 HS ATERRIZA LA AERONAVE, LA CUAL ES ESTACIONADA EN POSICION 10 REMOTA ENCONTRANDOSE EN APRESTO LA AUTOBOMBA DEL CUARTEL DE BOMBEROS. LOS PASAJEROS SON DIRIGIDOS A LA SALA DE PREEMBARQUE PARA EL CONTROL DEL EQUIPAJE DE MANO ARROJANDO RESULTADO NEGATIVO, SE CONSULTA AL DESPACHANTE DE TRAFICO POR QUE NO SE HABIA BAJADO EL EQUIPAJE DE BODEGA RESPONDIENDO QUE EL COMANDANTE HABIA DECIDIDO NO HACERLO. EL OFICIAL REYNOSO INFORMA LA NOVEDAD AL JEFE DE UNIDAD REGIONAL V QUIEN INDICA QUE SE DETENGA EL EMBARQUE DE LOS PASAJEROS ANTE LA POSIBILIDAD QUE SE ENCONTRARA EN RIESGO LA SEGURIDAD DE LOS MISMOS Y DE LA AVIACION Y SE DE INTERVENCION AL JUZGADO FEDERAL, INDICANDO EL TITULAR DEL MISMO S/S DR LEONIDAS MOLDES SE TOME DECLARACION TESTIMONIAL A LOS TRIPULANTES Y POSTERIORMENTE SE LIBERE LA AERONAVE PARA CONTINUAR SU VIAJE. COMO EL MENCIONADO VUELO TIENE RECAMBIO DE TRIPULACION EN ESTA ESCALA EL COMANDANTE QUE TOMA LA RUTA TAMBIEN PRESTA DECLARACION TESTIMONIAL ASUMIENDO EN ELLA LA RESPONSABILIDAD DE LA CONTINUIDAD DEL VUELO. REALIZADAS LAS DILIGENCIAS ORDENADAS SE AUTORIZA EL EMBARQUE DEL VUELO Y APROXIMADAMENTE A LAS 00:00 HS DESPEGA CON DESTINO A BUENOS AIRES. EL OFICIAL LUIS LUCENTINI INTERINAMENTE A CARGO DE LA UNIDAD OPERACIONAL, ESTABLECE COMUNICACION TELEFONICA CON EL JUZGADO INTERVINIENTE, CONSULTANDO TEMPERAMENTO A SEGUIR ORDENANDO EL MAGISTRADO QUE NO SE INICIE CAUSA Y SE REMITA LO ACTUADO MEDIANTE NOTA FORMAL PARA SU INTERVENCION.</t>
  </si>
  <si>
    <t>5884/10</t>
  </si>
  <si>
    <t>ASIENTO 16 B</t>
  </si>
  <si>
    <t>SE HACE PRESENTE EL DAMNIFICADO A FIN DE PRESTAR DECLARACION TESTIMONIAL ACLARANDO EN LA MISMA QUE LE FUE DEVUELTA LA CAMARA FOTOGRAFICA POR PARTE DE UN AMIGO AL CUAL PERSONAL DE TRIPULACION DE DICHO VUELO LE HABIA HECHO ENTREGA.</t>
  </si>
  <si>
    <t>SE PROCEDE A LA RETENCIÓN DE UNA SACA COLECTORA DEL CORREO OFICIAL, SEGÚN CONSTA EN ACTA DE RETENCIÓN DE CARGAS Nº 0426/10, QUE ORIGINA LA PREVENCIÓN SUMARIA 097/10, LA SACA IDENTIFICADA CON MARBETE, SLA9130476D555700RGL, PRECINTO N° N767812, CON UN PESO DECLARADO DE 6,500 KGS, CON DESTINO LA CIUDAD DE RIO GALLEGOS, CONTENDRÍA DOS PIEZAS POSTALES. LA MISMA ESTÁ AMPARADA EN GUÍA DE CARGA Nº 8038174-4, DESPACHADAS A TRAVÉS DE LA EMPRESA DE CARGA AÉREA JET PAQ. LA RETENCIÓN SE REALIZA ANTE LA PRESUNCIÓN QUE PUDIERAN CONTENER ALGÚN ELEMENTO EN INFRACCIÓN A LA LEY 23.737 Y/O 22.415, QUEDANDO LA MISMA CERRADA Y PRECINTADA EN GUARDA EN ESTA UOSP. SEGÚN LO COORDINADO CON EL DRA. MARÍA ISABEL FALU, A CARGO DE LA SECRETARIA PENAL Nº 4 DEL JUZGADO FEDERAL DE SALTA Nº 2 A CARGO DEL DR. MIGUEL ANTONIO MEDINA. LA APERTURA SE REALIZARÁ EN PRESENCIA DEL PERSONAL DEL CORREO OFICIAL</t>
  </si>
  <si>
    <t>SECTOR A1 VEREDA</t>
  </si>
  <si>
    <t>SIENDO LA HORA MENCIONADA SE REALIZA CONTROL DE BULTO SOSPECHOSO POR PARTE DEL PERSONAL DE GEDEX, ARROJANDO RESULTADO NEGATIVO Y POSTERIORMENTE SE REALIZA ACTA DE HALLAZGO DEL BULTO EL CUAL ES UN BOLSO COLOR NEGRO CON MARCA COMERCIAL SAMSONITE, AL CUAL SE LE ASIGNA EL Nº DE HALLAZGO 2464/10.</t>
  </si>
  <si>
    <t>PERGOLA 1 DE SALIDAS DE PASAJEROS</t>
  </si>
  <si>
    <t>E L OFICIAL PONCE, QUIEN SE ENCONTRABA CUMPLIENDO FUNCIONES EN EL COC OBSERVA POR UNA DE LAS CAMARAS DE SEGURIDAD A UNA PERSONA DE SEXO MASCULINO REALIZANDO SERVICIO DE MALETERO EN EL SECTOR DENOMINADO PERGOLA 1 DE SALIDA DE PASAJEROS, MOTIVO POR EL CUAL SE COMUNICA VIA HANDY CON EL OFICIAL KALENBERG, SECUNDADO POR LA OFICIAL CAFFERATA SE ENCONTRABAN EN LAS INMEDIACIONES DEL SECTOR, QUE AL MOMENTO DE APERSONARSE CONSTATARON LA FALTA, POR LO CUAL LE SOLICITAN AL MASCULINO LA HABILITACION Y/O PERMISO PARA REALIZAR DICHA FUNCION, CARECIENDO DEL MISMO, POR LO QUE SE PROCEDE A IDENTIFICAR AL INFRACTOR, ACTO SEGUIDO SE CONDUCE AL CAUSANTE AL SERVICIO DE SANIDAD Y POSTERIORMENTE TRASLADARLO A LA OFICINA DE CONTRAVENCIONES Y FALTAS PARA LABRAR EL ACTA CORRESPONDIENTE</t>
  </si>
  <si>
    <t>SE CONFECCIONA EL PRESENTE A LOS EFECTOS DE INFORMAR QUE EN EL VUELO AU 2883 DE LA EMPRESA AUSTRAL LINEAS AEREAS SE REALIZO EL DESPACHO DE UN BULTO CERRADO HERMETICAMENTE CONTENIENDO UNA CAJA ACORDE A SU TRASLADO SEGUN ESPECIFICA EL GRUPO E INSTRUCCIONES DE EMBALAJE B/U, CONTENIENDO MATERIAL RADIOACTIVO EN FORMA ESPECIAL FISIONABLE EXEPTUADO CLASE 7, EL PESO DE CAJA ES DE 35.2 KGRS. AMPARADA BAJO NRO. DE GUIA DE CARGA AEREA 8040486-6 EL QUE TIENE COMO DESTINO LA CIUDAD DE BUENOS AIRES</t>
  </si>
  <si>
    <t>AU2883</t>
  </si>
  <si>
    <t>PERGOLA TAXI TERMINAL A</t>
  </si>
  <si>
    <t>EN EL DIA DE LA FECHA LUEGO DE ARRIBAR AL PAIS EL DENUNCIANTE SE HACE PRESENTE EN LA PERGOLA DE LA TERMINAL -A- DONDE ES ABORDADO POR DOS MASCULINOS QUE LE OFRECEN SERVICIO DE TAXI. LUEGO DE ACCEDER AL SERVICIO ABORDA UN VEHICULO TAXI MARCA RENAULT MODELO SANDERO DEL CUAL DESCONOCE DOMINIO. QUE AL ENCONTRARSE METROS ANTES DE LA TAQUILLA EL CONDUCTOR DEL VEHICULO LE EXIGE QUE LE ABONE DOSCIENTOS PESOS CORRESPONDIENTE A LA TARIFA DEL VIAJE. QUE EL DENUNCIANTE LE HACE ENTREGA DE DOS BILLETES DE CIEN PESOS ARGENTINOS Y CON UN MOVIMIENTO RAPIDO DE DISTRACCION EL CONDUCTOR DEL VEHICULO UNA VEZ CON LOS BILLETES EN LA MANO CAMBIA ESTOS POR DOS BILLETES DE DIEZ PESOS ARGENTINOS EXIGIENDOLE QUE LE ABONE LOS CIENTO OCHENTA PESOS RESTANTES. QUE EL COC INDIVIDUALIZA AL CONDUCTOR DEL VEHICULO Y SE LO TRASLADA HACIA LA GUARDIA DE PREVENCION. QUE MANTENIDA COMUNICACION CON LA UFI INTERVINIENTE SE DISPONE LA APREHENSION EN CALIDAD DE COMUNICADO DEL IMPUTADO DEBIENDO SER TRASLADADO A SEDE JUDICIAL EL DIA VEINTIOCHO DE SEPTIEMBRE DEL DOS MIL DIEZ A PRIMERA HORA. SEGUN PU Nº 5926 SE INFORMA QUE EL DIA 28/09/2010 SIENDO LAS 08.30 HS SE PROCEDIO AL TRASLADO DEL DETENIDO EN AUTOS A SEDE JUDICIAL. SEGUN PU Nº 5949 SE INFORMA QUE POR ORDEN DEL LA JUDICATURA INTERVINIENTE, SE DECRETO LA LIBERTAD DEL CAUSANTE, HACIENDOSE EFECTIVA DICHA MEDIDA EN ESTA DEPENDENCIA A LAS 17.00 HS. DEL DIA 28/09/2010.</t>
  </si>
  <si>
    <t>DR JOSE LUIS D¨ABONDIO</t>
  </si>
  <si>
    <t>PRESUNTA INFRACCION A LOS ARTS.292,293 Y 296 C.P.N.</t>
  </si>
  <si>
    <t>SE RECIBE POR PARTE DE LA DNM MEDIANTE NOTA Y FORMAL DENUNCIA, A LA PASAJERA, QUIEN MANIFESTO SER BAEK YEONHUI, QUIEN PRESENTABA PRESUNTA IRREGULARIDADES EN SU PASAPORTE DE ORIGEN COREANO. POSTERIORMENTE SE HIZO PRESENTE UNA ,UJER QUE SE IDENTIFICO COMO LA ABOGADA DE LA CAUSANTE APORTANDO DE MANERA ESPONTANEA UN PASAPORTE DE NACIONALIDAD CHINA NRO.G15925336. UNA VEZ CONSULTADO EL JUZGADO FEDERAL EN TURNO, SE ORDENO LA DETENCION EN CARACTER DE COMUNICADA DE LA PASAJERA POR PRESUNTA INFRACCION A LOS ARTS. 292, 293 Y 296 DEL C.P.N. SE INFORMA EN P.U. Nº 5928 DEL TRASLADO DE LA DETENIDA EN AUTOS A LA UNIDAD DE DETENCION Nº 28 DEL SERVICIO PENITENCIARIO FEDERAL.</t>
  </si>
  <si>
    <t>AC092</t>
  </si>
  <si>
    <t>5853/10</t>
  </si>
  <si>
    <t>INFORMO QUE SIENDO LAS 07:00 HORAS DEL DIA 27 DE SEPTIEMBRE DEL CORRIENTE AÑO ESTE AEROPUERTO SE ENCUENTRA EN SERVICIO OPERATIVO.</t>
  </si>
  <si>
    <t>5909/10</t>
  </si>
  <si>
    <t>SE PROCEDE A LA APERTURA DE UNA SACA COLECTORA DEL CORREO OFICIAL, SEGÚN CONSTA EN ACTA DEJANDO CONTANCIA Nº 0427/10,CORRESPONDIENTE A LA PREV.SUM. 097/10, LA SACA IDENTIFICADA CON MARBETE, SLA9130476D555700RGL, PRECINTO N° N767812, CONTIENE DOS PIEZAS POSTALES: LA 1ª EP655041828AR, RTTE: SRA. LORENZA FERNANDEZ, LIBERTADOR GRAL SAN MARTIN , C.P.4512, Bº EVA PERON, JUJUY Y DEST: SR.OMAR ROBERTO LOPEZ, EL CANO 342, C.P. 9400, RIO GALLEGOS, SANTA CRUZ, LA CUAL QUEDA RETENIDA Y LA 2ª EP657693305AR, RTTE: SRA. MERCADO CANDIDA, Bº 1º DE MAYO, M1 C 14, ORAN -SALTA, C.P. 4530 Y DEST:SR. RAMON DANIEL AYBAR, RIO GALLEGOS, SANTA CRUZ, JOSE INGENIERO 2747, C.P. 400, LA CUAL QUEDA RETENIDA. LAS RETENCIÓNES SE REALIZAN ANTE LA PRESUNCIÓN QUE PUDIERAN CONTENER ALGÚN ELEMENTO EN INFRACCIÓN A LA LEY 23.737 Y/O 22.415, QUEDANDO LA MISMA CERRADA Y EN GUARDA EN ESTA UOSP, SEGÚN LO COORDINADO CON LA DRA. MARÍA ISABEL FALU, A CARGO DE LA SECRETARIA PENAL Nº 4, DEL JUZGADO FEDERAL DE SALTA Nº 2 A CARGO DEL DR. MIGUEL ANTONIO MEDINA. Y LA S APERTURAS SE REALIZARÁN CON LA AUTORIZACION DEL MAGISTRADO ACTUANTE.</t>
  </si>
  <si>
    <t>EXPTE. NRO. 443/84 T CONEXOS</t>
  </si>
  <si>
    <t>CALLE BELGRANO 132 Y CALLE MAZA, VILLA ATUEL, SAN RAFAEL MENDOZA</t>
  </si>
  <si>
    <t>EN EL DIA DE LA FECHA PERSONAL DE ESTA UNIDAD OPERACIONAL ANTITERRORISTA DE MENDOZA PROCEDIO A LA DETENCION DEL CIUDADANO ALFREDO HECTOR RAFAEL MONTES DE OCA DE PROFESION RETIRADO COMO 2 COMANDANTE DE LA GENDARMERIA NACIONAL, DE ACUERDO A LO ORDENADO POR EL JUZGADO EXHORTADO FEDERAL DE SAN RAFAEL, MENDOZA A CARGO DEL DR. EDUARDO ARIEL PUIGDENGOLAS, SECRETARIA UNICA A CARGO DEL DR. CARLOS BOLDRINI, POSTERIORMENTE EL IMPUTADO ES TRASLADADO A LA UOSP DE SAN RAFAEL, MENDOZA, A FECTOS DE PROCEDER CON LA REVISACION MEDICA, EXTRACCION DE JUEGOS DE FICHAS DACTILOSCOPICAS Y TOMA DE IMAGENES FOTOGRAFICAS,SEGUIDAMENTE EL IMPUTADO ES TRASLADADO AL JUZGADO FEDERAL DE SAN RAFAEL PARA DAR CUMPLIMIENTO A LA LECTURA DEL REQUERIMIENTO FISCAL SIENDO APROXIMADAMENTE LAS 22:00 HS. EL IMPUTADO ES CONDUCIDO CUSTODIADO A LA UNIDAD DEL SERVICIO PENITENCIARIO FEDERAL Nº 32, QUEDANDO ALOJADO 01:45 HS DEL 28/09/10 A DISPOSICION DEL JUZGADO INTERVINIENTE.</t>
  </si>
  <si>
    <t>EN EL DIA DE LA FECHA, A HS. 11:30, ATERRIZA EN ESTE AEROPUERTO AERONAVE T-03, PROCEDENTE DE AEROPARQUE JORGE NEWBERY, ARRIBANDO EL SR. MINISTRO DEL INTERIOR DE LA NACION FLORENCIO RANDAZZO Y COMITIVA. ESTA UOSP IMPLEMENTO EL OPERATIVO DE SEGURIDAD CONFORME A ORDEN DE SERVICIO N° 025/10, SIN REGISTRARSE NOVEDADES AL RESPECTO.SE AMPLIARA A LA PARTIDA DEL VUELO T-03.</t>
  </si>
  <si>
    <t>5913/10</t>
  </si>
  <si>
    <t>INFORMO QUE EL DIA 28/09/10, SIENDO LAS 08:30 HS, SE PROCEDIO AL TRASLADO DEL DETENIDO EN AUTOS OTTAGIO LUIS ENROQUE, A SEDE JUDICIAL</t>
  </si>
  <si>
    <t>G37658</t>
  </si>
  <si>
    <t>INF. ARTS. 78 Y 79 DECRETO LEY 8031/73</t>
  </si>
  <si>
    <t>PUESTO DE CONTROL Y REGISTRO</t>
  </si>
  <si>
    <t>EL OFICIAL PABLO BENITEZ EN MOMENTOS QUE SE ENCONTRABA DESTACADO EN EL PUESTO FIJO REALIZANDO CONTROL DE INGRESO DE PERSONAS DESDE EL SECTOR PUBLICO AL RESTRINGIDO SE DISPONE A EFECTUAR UN CONTROL SOBRE UNA PERSONA DE SEXO MASCULINO EL CUAL SE NIEGA A SOMETERSE A DICHO CONTROL Y MANIFIESTA ACOTACIONES DESPECTIVAS HACIA EL FUNCIONARIO POLICIAL POR LO QUE EL INFRACTOR ES CONDUCIDO AL SERVICIO MEDICO Y POSTERIORMENTE AL TURNO DE PREVENCION A LOS FINES DE LABRAR LAS ACTUACIONES CONTRAVENCIONALES CORRESPONDIENTES.</t>
  </si>
  <si>
    <t>5914/10</t>
  </si>
  <si>
    <t>PRESUNTA INFRACCION A LOS ARTS.292,293 Y 296</t>
  </si>
  <si>
    <t>INFORMO QUE EL DIA 27/09/10, SIENDO LAS 23:50, SE PROCEDIO AL TRASLADO DEL DETENIDO EN AUTOS ZHANG / BAEK JIANWEI / YEOMHUI, A LA UNIDAD DE DETENCION NRO. 28 DEL SPF</t>
  </si>
  <si>
    <t>PERGOLA TERMINAL A, SECTOR DENOMINADO ISLA</t>
  </si>
  <si>
    <t>SIENDO LA HORA Y LA FECHA ANTES MENCIONADA EN MOMENTOS EN QUE EL OFICIAL ZUMPANO EN UNA RECORRIDA QUE EFECTUABA EN PREVENCION DE DELITOS Y FALTAS POR EL SECTOR DE PERGOLA DE ARRIBOS DE LA TERMINAL A SECTOR ISLA OBSERVA MAL ESTACIONADO SOBRE LA CALZADA UN VEHICULO TAXI QUE AFECTABA LA FLUIDEZ DEL TRANSITO, SOLICITANDOLE AL CONDUCTOR DEL RODADO POR CUESTIONES DE SEGURIDAD QUE CORRA EL MISMO RECIBIENDO COMO RESPUESTA LA NEGATIVA DEL CONDUCTOR DESCONOCIENDO LA AUTORIDAD POLICIAL POR LO QUE EL INFRACTOR ES CONDUCIDO AL SERVICIO MEDICO Y POSTERIORMENTE AL ASIENTO DE LA GUARDIA DE PREVENCION A LOS FINES DE LABRAR LAS ACTUACIONES CONTRAVENCIONALES CORRESPONDIENTES.</t>
  </si>
  <si>
    <t>PERGOLA DE TAXIS CABA</t>
  </si>
  <si>
    <t>UNA VEZ QUE ARRIBO A ESTE AEROPUERTO PROCEDENTE DE MADRID, ESPAÑA EN VUELO IB 9843, LA DAMNIFICADA JUNTO A SU HERMANA, SE DIRIGEN AL STAND DE TAXI CAPITAL, UBICADO EN LA PÉRGOLA DE TAXIS DE LA TERMINAL A, QUE EN MOMENTOS QUE LA DENUNCIANTE SOLICITA UN TAXI, EN EL STAND, PIERDE DE VISTA A SU HERMANA, SIN SABER A DONDE SE DIRIGIÓ LA MISMA. EN TAL SENTIDO ESPERA POR UN LAPSO DE 40 MINUTOS, A QUE VUELVA SU HERMANA, AL NO REGRESAR LA MISMA, LA DENUNCIANTE TOMA UN TAXI Y LUEGO DE ARRANCAR LE SOLICITA AL CHOFER DEL MISMO QUE SE DETENGA, CON EL FIN DE SEGUIR BUSCANDO A SU HERMANA, POR TAL MOTIVO DESCIENDE DEL RODADO CON TODAS SUS PERTENENCIAS Y EMPRENDE LA BUSQUEDA EN LAS INSTALACIONES DE LA TERMINAL A, NO PUDIENDO FINALMENTE DAR CON ELLA. LUEGO TOMA OTRO TAXI QUE SE ENCONTRABA CIRCULANDO POR LA PÉRGOLA Y LUEGO SE RETIRA DE ESTE AEROPUERTO. SEGUIDAMENTE, EN VIRTUD A QUE SEGUÍA PREOCUPADA POR SU HERMANA, Y POR CONSEJO DEL TAXISTA, REGRESAN AL AEROPUERTO. UNA VEZ EN ALLI, EL TAXI SE ESTACIONO EN LA PERGOLA DE LA TERMINAL A, LA DAMNIFICADA, LE MANIFIESTA AL CHOFER DEL TAXI QUE LA AGUARDE MIENTRAS BUSCABA A SU HERMANA, DEJANDO TODOS SUS EQUIPAJES EN EL TAXI. QUE AL REGRESAR LA MISMA A BUSCAR EL TAXI, EL MISMO YA NO SE ENCONTRABA, HABIENDOSE LLEVADO TODOS SUS EQUIPAJES.</t>
  </si>
  <si>
    <t>INF. ARTS. 78 Y 85 DECRETO LEY 8031/73</t>
  </si>
  <si>
    <t>VEREDA PERGOLA EN CERCANIAS DE PUERTAS DE SALIDAS DEL HALL DE ARRIBOS</t>
  </si>
  <si>
    <t>SIENDO LA FECHA Y LA HORA ANTES MENCIONADA, EN MOMENTOS EN QUE EL OFICIAL DELL´ERBA Y EL OFICIAL VILAS EN UNA RECORRIDA QUE EFECTUABAN POR EL SECTOR PERGOLA DE ARRIBOS DE LA TERMINAL A EN PREVENCION DE DELITOS Y FALTAS OBSERVAN A UNA PERSONA DE SEXO MASCULINO REALIZANDO TAREAS DE VENTA AMBULANTE DE SUSTANCIAS ALIMENTICIAS, POR LO QUE LE SOLICITAN LA HABILITACION Y/O PERMISO PARA EFECTUAR DICHA TAREA RECIBIENDO COMO RESPUESTA QUE CARECIA DE LA MISMA POR TAL MOTIVO EL INFRACTOR ES CONDUCIDO AL SERVICIO MEDICO Y POSTERIORMENTE AL ASIENTO DE LA GUARDIA DE PREVENCION A LOS FINES DE LABRAR LAS ACTUACIONES CONTRAVENCIONALES CORRESPONDIENTES.</t>
  </si>
  <si>
    <t>5923/10</t>
  </si>
  <si>
    <t>EN EL DIA DE LA FECHA, A HS. 17:13, DESPEGA DE ESTE AEROPUERTO LA RIOJA AERONAVE T-03, CON DESTINO AEROPARQUE JORGE NEWBERY, TRASLADANDO A EL SR. MINISTRO DEL INTERIOR DE LA NACION FLORENCIO RANDAZZO Y COMITIVA. ESTA UOSP IMPLEMENTO EL OPERATIVO DE SEGURIDAD CONFORME A ORDEN DE SERVICIO N° 025/10, SIN REGISTRARSE NOVEDADES AL RESPECTO.</t>
  </si>
  <si>
    <t>LA RIJA</t>
  </si>
  <si>
    <t>FISCALIA FEDERAL Nº 1 DE MAR DEL PLATA</t>
  </si>
  <si>
    <t>RODRIGUEZ</t>
  </si>
  <si>
    <t>Gustavo Marcelo</t>
  </si>
  <si>
    <t>ANDREA MATIENZO</t>
  </si>
  <si>
    <t>AV. PTA. LEY 23.737 ART. 34 BIS L. 23.737</t>
  </si>
  <si>
    <t>CIUDAD DE MAR DEL PLATA - PCIA. DE BS. AS</t>
  </si>
  <si>
    <t>EN EL DIA DE LA FECHA SE RECIBE OFICIO JUDICIAL ORDENANDO SE IMPLEMENTEN TAREAS INVESTIGATIVAS, EN FORMA CONJUNTA CON PERSONAL DE LA DIVISION NARCOTRAFICO E INVESTIGACIONES ESPECIALIZADAS DE LA DIRECCION REGIONAL ADUANERA, CON EL OBJETO DE DETERMINAR LA ACTIVIDAD ILICITA DE QUE SE TRATE EN LA ESPECIE, Y EN SU CASO ESTABLECER EL ORIGEN DE LOS ESTUPEFACIENTES Y LA CORRECTA INDIVIDUALIZACION DE SUS PROVEEDORES, Y EL EVENTUAL FINANCIAMIENTO DE TAL ACTIVIDAD.</t>
  </si>
  <si>
    <t>FISCALIA DE INVESTIGACION Nº 11 DE RESISTENCIA</t>
  </si>
  <si>
    <t>VAVICH</t>
  </si>
  <si>
    <t>FRANSISCO OBALDIA</t>
  </si>
  <si>
    <t>GUARDIA DE PREVENCIÓN</t>
  </si>
  <si>
    <t>EN EL DÍA DE LA FECHA SE PRESENTA EN LA GUARDIA DE PREVENCIÓN UNA PERSONA DEL SEXO FEMENINO SIENDO ATENDIDA POR EL JEFE DE TURNO A QUIEN PREGUNTA POR EL VUELO, INFORMANDO ESTE QUE EL MISMO FUE A LA HS 06:00. LUEGO DE DIALOGAR UNOS MINUTOS CON ESTA PERSONA EL JEFE DE TURNO SE PERCATA QUE LA MISMA NO SE ENCONTRABA SITUADA EN TIEMPO Y ESPACIO, SOLICITANDO LA MISMA REALIZAR UN LLAMADO TELEFÓNICO A LA CIUDAD DE BUENOS AIRES SUMINISTRANDO EL NUMERO 01145425351, REALIZANDO LA LLAMADA EL JEFE DE TURNO QUIEN ES ATENDIDO POR EL SEÑOR MIGUEL ÁNGEL RODRÍGUEZ QUIEN DIJO SER EL ESPOSO DE LA SEÑORA Y QUE ESTA SE LLAMARÍA IRENE BOMPAS Y QUE SUFRE DE EPISODIOS EN QUE SE PIERDE EN TIEMPO Y ESPACIO, SOLICITANDO ESTE SE LA RETENGA EN ESTE AEROPUERTO YA QUE EN EL DÍA DE LA FECHA VIAJARÍA A LA CIUDAD DE RESISTENCIA PARA BUSCAR A SU ESPOSA. SEGUIDAMENTE EL JEFE DE TURNO SE COMUNICA CON EL MAGISTRADO EN TURNO QUIEN DISPONE SE TRASLADE A LA CIUDADANA AL HOSPITAL PERRANDO, SECCIÓN SALUD MENTAL PARA SU MEJOR ATENCIÓN EVALUACIÓN Y DIAGNOSTICO.SE TRASLADA A DICHA CIUDADANA HASTA EL NOSOCOMIO MENCIONADO QUIEN ES EVALUADA POR LA PSIQUIATRA LAURA ZENIQUEL MATRICULA NACIONAL 5022, DIAGNOSTICANDO SÍNDROME CONFUSIONAL QUEDANDO INTERNADA EN DICHO HOSPITAL, COORDINANDO PERSONAL DEL MISMO CON EL SR MIGUEL RODRIGUEZ PARA QUE ESTE SE HAGA PRESENTE EN EL LUGAR.</t>
  </si>
  <si>
    <t>5862/10</t>
  </si>
  <si>
    <t>JUZGADO FEDERAL NRO. 3 DE ROSARIO</t>
  </si>
  <si>
    <t>SE DIO CUMPLIMIENTO EN EL DIA DE LA FECHA A LA HORA 20 15, AL OFICIO NRO. 5055 DEL JUZGADO ACTUANTE , EN LOS AUTOS CARATULADOS QUINTEROS NATALIA MARIA DEL LUJAN S/EXCARCELACION EXPTE NRO. 862 10 - PPAL EXPTE. NRO 833 10- , Y AL OFICIO 5049 EN LOS AUTOS CARATULADOS MOREL ROBERTO OMAR S/EXCARCELACION EXPTE NRO. 861 10, PPAL 833 10. LAS PERSONAS QUE RESULTARAN DETENIDAS EN EL MARCO DE LOS ALLANAMIENTOS REALIZADOS EL DÍA 23 DE SETIEMBRE DEL CORRIENTE AÑO, EXPTE NRO. 833/10 DEL JUZGADO ACTUANTE, FUERON TRASLADADAS DESDE LA DEPENDENCIA DE LA ALCAIDIA MAYOR DE LA POLICIA DE LA PROVINCIA DE SANTA FE, A SEDE DEL TRIBUNAL PARA SER NOTIFICADOS DE SU INMEDIATA LIBERTAD. NO PESANDO MEDIDAS RESTRICTIVAS DE LIBERTAD SOBRE LAS PERSONAS, SE DIO CUMPLIMIENTO A LA ORDEN EMANADA EN LOS OFICIO DE REFERENCIA.CUMPLIMENTADA LA MEDIDA MEDIANTE ORDEN DE SERVICIO 240/2010 URSA IV.</t>
  </si>
  <si>
    <t>D´ALESSIO</t>
  </si>
  <si>
    <t>Ana Mario</t>
  </si>
  <si>
    <t>DR. CHRISTIAN VERGARA VAGO</t>
  </si>
  <si>
    <t>GUTIERREZ, DARIO GABRIEL S/INF.ART. 5°, INC.C LEY 23737</t>
  </si>
  <si>
    <t>237 J</t>
  </si>
  <si>
    <t>OFICINA DE TURNO</t>
  </si>
  <si>
    <t>INFORMO: EN EL DIA DE LA FECHA, SIENDO LAS 21:40 HS. EMBARCA EN EL VUELO AR-1879, DE LA EMPRESA AEROCOMERCIAL AEROLÍNEAS ARGENTINAS, COMITIVA INTEGRADA POR EL AYTE. DE 2DA FERNANDO GABRIEL LÓPEZ D.N.I. 22.229.849 Y EL AYTE. DE 3RA. EDUARDO DANIEL GÓMEZ D.N.I. 27.438.942.AMBOS PERSONAL DEL SERVICIO PENITENCIARIO FEDERAL, TRASLADANDO AL DETENIDO. SE BRINDO APOYO Y COLABORACIÓN A LA COMISIÓN ANTES ENUNCIADA A FIN DE FACILITAR EL DESPLAZAMIENTO EN EL ÁMBITO ESTA JURISDICCIÓN, DANDO CUMPLIMIENTO ASÍ A ORDEN DE SERVICIO NRO. 23/10 UOSP USU, PARTIENDO EN EL VUELO DE REFERENCIA SIN NOVEDAD.</t>
  </si>
  <si>
    <t>AR 1879</t>
  </si>
  <si>
    <t>CIVIL Y COMERCIAL Nº 2 DE OBERA - MISIONES</t>
  </si>
  <si>
    <t>Jorge Erasmo</t>
  </si>
  <si>
    <t>SECTOR CONTROL DE DOCUMENTACION</t>
  </si>
  <si>
    <t>PREEMBARQUE PUERTA 3</t>
  </si>
  <si>
    <t>EN EL DIA DE LA FECHA SIENDO LAS VEINTIUNA HORAS CON VEINTE MINUTOS SE PRESENTA LA CIUDADANA PATRICIA RITA TABACCHI ACOMPAÑADA DEL MENOR BAUTISTA FRANCO QUINTANA PRETENDIENDO EMBARCAR EN EL VUELO Nº 1759 DE LA EMPRESA AEROLINEAS ARGENTINAS SIN LA CORRESPONDIENTE DOCUMENTACION QUE AUTORICE EL VIAJE DEL MENOR DE ACUERDO A LA ACORDADA Nº 107/97 DE LA PROVINCIA DE MISIONES, PRESENTANDO LA SRA TABACCHI UNA SOLICITUD DE AUTORIZACION DE VIAJE Y GUARDA CON FINES DE ADOPCION DEL BEBE, SIN RESOLUCION DEL JUZGADO INTERVINIENTE PTO SE REALIZA COMUNICACION CON EL JUZGADO A CARGO DEL JUEZ DR JORGE VILLALABA QUIEN DISPONE QUE EL MENOR NO VIAJE Y LA CIUDADANA PATRICIA TABACCHI SE PRESENTE AL JUZGADO A REGULARIZAR LA DOCUMENTACION DENTRO DE LOS CINCO DIAS DE NOTIFICADA. SIENDO LAS 2300HS Y UNA VEZ NOTIFICADA LA CAUSANTE MEDIANTE ACTA DEJANDO CONSTANCIA Nº 172/10 DE ESTA UOSP SE RETIRAN DE ESTA DEPENDENCIA POLICIAL LA CAUSANTE JUNTO CON EL MENOR.</t>
  </si>
  <si>
    <t>POSICION NUMERO 09, DE ESTE AEROPARQUE.</t>
  </si>
  <si>
    <t>SIENDO LAS 00:50 HORAS DEL DÍA 29 DE SEPTIEMBRE DEL 2010 SE INICIA CUMPLIMENTO DE ORDEN DE SERVICIO, IMPLEMENTANDO MEDIDAS DE SEGURIDAD, PARA EL ARRIBO DEL DETENIDO SR. DARIO GABRIEL GUTIÉRREZ, DNI Nº 20.145.665, CUSTODIADO POR UNA COMISIÓN POLICIAL DEL SERVICIO PENITENCIARIO FEDERAL, SR. FERNANDO LÓPEZ, DNI Nº 22.229.849 Y EL SR. EDUARDO GÓMEZ DNI Nº 27.438.842. EL MISMO ARRIBO SIENDO LAS 01:09 HORAS, EN LA POSICIÓN Nº 09 DE PLATAFORMA DE ESTE AEROPARQUE EN EL AVIÓN DE LA EMPRESA AÉREA AEROLÍNEAS ARGENTINAS, MATRICULA BYY, DEL VUELO AR 1879, PROVENIENTE DE LA CIUDAD DE USHUAIA. LOS OFICIALES MAYOR PABLO LAHORE, ARMAMENTO TAW 48393, AYUDANTE SANDRA OBREGÓN, ARMAMENTO TAU 84685 Y AYUDANTE GABARRO DARDO, ARMAMENTO TAU 84695 ESCOLTARON AL DETENIDO JUNTO CON EL PERSONAL DEL SERVICIO PENITENCIARIO FEDERAL, A LA GUARDIA DE PREVENCIÓN Y SIENDO LAS 01:39 HORAS SE RETIRAN EL DETENIDO JUNTO CON EL PERSONAL DEL SERVICIO PENITENCIARIO FEDERAL EN MÓVIL DE SU DOTACIÓN.</t>
  </si>
  <si>
    <t>LOCAL NUMERO 22 DEL FREE SHOP</t>
  </si>
  <si>
    <t>SE SOLICITO LA PRESENCIA DE PERSONAL POLICIAL EN EL LOCAL DEL FREE SHOP, DEBIDO A QUE UNA PERSONA DE SEXO FEMENINO SE HABIA RETIRADO DEL MISMO SIN ABONAR ALGUNOS PRODUCTOS, MOTIVO POR EL CUAL SE HIZO PRESENTE EN EL LUGAR DE LOS HECHOS PERSONAL POLICIAL, Y ESTE UNA VEZ INTERIORIZADO DE LOS PORMENORES DE LA SITUACION INVITO A LOS INTERVINIENTES A ESTA GUARDIA DE PREVENCION, LUGAR DONDE SE MANTUVO COMUNICACION TELEFONICA CON EL JUZGADO FEDERAL EN TURNO, QUIEN DISPUSO LA DETENCION EN CALIDAD DE COMUNICADA DE LA CAUSANTE. SE TRASLADO A LA IMPUTADA A LA UNIDAD PENAL NUMERO 28 DEL SERVICIO PENITENCIARIO FEDERAL A LAS 03:20 HORAS DEL DIA 29/09/10.</t>
  </si>
  <si>
    <t>DRA. MARIA VIRGINIA DUFFU</t>
  </si>
  <si>
    <t>EXPTE. 443/84 Y CONEXOS</t>
  </si>
  <si>
    <t>AV. LEANDRO ALEM 3078, POSADAS, MISIONES</t>
  </si>
  <si>
    <t>EN EL DIA DE LA FECHA PERSONAL DE ESTA UNIDAD OPERACIONAL ANTITERRORISTA RESISTENCIA Y FORMOSA, PROCEDIO A LA DETENCION Y CHEQUEO CON MEDICO LEGISTA DEL CIUDADANO CELSO ALBERTO BARRAZA DE PROFESION RETIRADO COMO COMANDANTE MAYOR DE LA GENDARMERIA NACIONAL, DE ACUERDO A LO ORDENADO POR EL JUZGADO EXHORTADO FEDERAL DE POSADAS A CARGO DEL DR. JUEZ JULIO RAMON CHAVEZ, SECRETARIA Nº 1 A CARGO DE LA DRA. FIERRO, POSTERIORMENTE EL CAUSANTE ES TRASLADADO A LA UOSP DE POSADAS, A EFECTOS DE PROCEDER CON LA EXTRACCION DE JUEGOS DE FICHAS DACTILOSCOPICAS Y TOMA DE IMAGENES FOTOGRAFICAS, SIENDO APROXIMADAMENTE LAS 19:30 HS. EL IMPUTADO ES LLEVADO AL JUZGADO FEDERAL DE POSADAS PARA DAR CUMPLIMIENTO DE LA LECTURA DE OFICIO, SEGUIDAMENTE SIENDO LAS 20:15 HS EL DETENIDO ES TRASLADADO CUSTODIADO A LA UNIDAD DEL SERVICIO PENITENCIARIO FEDERAL Nº 17 LA CANDELARIA, QUEDANDO ALOJADO A DISPOSICION DEL JUZGADO INTERVINIENTE.</t>
  </si>
  <si>
    <t>QUE POR ORDEN DE LA UNIDAD FUNCIONAL DE INSTRUCCION, SE DECRETO LA LIBERTAD DEL CAUSANTE, HACIENDOSE EFECTIVA DICHA MEDIDA EN ESTA DEPENDENCIA A LAS DIECISIETE HORAS DEL DIA 28/09/10.</t>
  </si>
  <si>
    <t>SIENDO LAS 10:50 HORAS SE HACE PRESENTE EL DENUNCIANTE A LOS EFECTOS DE REALIZARDENUNCIA POR FALTANTE EN SU EQUIPAJE DESPACHADO POR BODEGA. EL DÍA VEINTISÉIS DE SETIEMBRE DEL CORRIENTE AÑO EN EL VUELO DE LAN ARGENTINA N º 4250 CON EL ITINERARIO AEROPARQUE - MENDOZA EL CUAL ARRIBA APROXIMADAMENTE VEINTE HORAS, RETIRANDO SU EQUIPAJE QUE A SIMPLE VISTA NO FUE VIOLENTADO Y SE DIRIGE A LA CIUDAD DE SAN RAFAEL POR SITUACIÓN LABORAL, REALIZANDOSE COMUNICACION CON LA AUTORIDAD JUDICIAL EN TURNO QUIEN DISPONE SE DERIVE AL DENUNCIANTE A ESA DEPENDENCIA A LOS FINES DE REALIZAR LA CORRESPONDIENTE DENUNCIA PENAL.</t>
  </si>
  <si>
    <t>AEROPARQUE JORGE NEWBERY DE BUENOS AIRES</t>
  </si>
  <si>
    <t>AEROPUERTO EL PLUMERILLO. MENDOZA</t>
  </si>
  <si>
    <t>EXPTE. Nº 443/84 Y CONEXOS</t>
  </si>
  <si>
    <t>EN EL DIA DE LA FECHA PERSONAL DE ESTA UNIDAD OPERACIONAL ANTITERRORISTA IGUAZU Y CORRIENTES, PROCEDIO A LA DETENCION DEL CIUDADANO MARCELO OMAR GODOY DE OCUPACION RETIRADO COMO SUBOFICIAL PRINCIPAL DE LA GENDARMERIA NACIONAL, DE ACUERDO A LO ORDENADO POR EL JUZGADO EXHORTADO FEDERAL DE POSADAS A CARGO DEL JUEZ DR.JULIO RAMON CHAVEZ, SECRETARIA Nº 1 DRA. FIERRO, POSTERIORMENTE EL CAUSANTE ES TRASLADADO A LA UOSP POSADAS, A EFECTOS DE PROCEDER CON LA EXTRACCION DE JUEGOS DE FICHAS DACTILOSCOPICAS Y TOMA DE IMAGENES FOTOGRAFICAS, SEGUIDAMENTE EL DETENIDO ES TRASLADADO AL JUZGADO FEDERAL DE POSADAS PARA DAR CUMPLIMIENTO A LA LECTURA DEL REQUERIMIENTO FISCAL, SIENDO APROXIMADAMENTE LAS 20:15 HS, EL IMPUTADO ES CONDUCIDO CUSTODIADO A LA UNIDAD DEL SERVICIO PENITENCIARIO FEDERAL Nº 17 LA CANDELARIA, QUEDANDO ALOJADO A LA DISPOSICION DEL JUZGADO INTERVINIENTE.</t>
  </si>
  <si>
    <t>EN EL DÍA DE LA FECHA SE PRESENTÓ ANTE ESTA PREVENCIÓN EL EXPONENTE MANIFESTANDO EL EXTRAVÍO DE SU PERMISO PERSONAL PERMANENTE SNA N° 331372, CON SECTORES ASIGNADOS 3-4-5 Y FECHA DE VENCIMIENTO 02-JUN-11, NO PUDIENDO PRECISAR EL LUGAR NI EL MOMENTO DEL EXTRAVÍO.</t>
  </si>
  <si>
    <t>SIENDO LA HORA MENCIONADA SE IMPLEMENTA OPERATIVO DE SEGURIDAD POR ARRIBO DE LA SRA. PRESIDENTE DE LA NACION LA CUAL ARRIBA A ESTA AEROESTACIÓN A LAS 11:24 HORAS EN AERONAVE T-01 Y PARTE EN HELICÓPTERO H-02 A LA 12:30 HORAS, FINALIZANDO EL OPERATIVO A LAS 12:45 HORAS SIN NOVEDAD.</t>
  </si>
  <si>
    <t>FABIO MOYANO</t>
  </si>
  <si>
    <t>GAVETA PORTA MANTAS</t>
  </si>
  <si>
    <t>MATRICULA LV-BOT</t>
  </si>
  <si>
    <t>AL MOMENTO DE SUBIR A LA AERONAVE PARA CUMPLIR FUNCIONES COMO TRIPULANTE DE CABINA DE PASAJEROS DE LOS VUELOS MENCIONADOS, DEJA EN UNA GAVETA SU VALIJA TIPO CARRI ON, Y AL MOMENTO DE ARRIBAR A ESTA AEROESTACION SE PERCATA QUE LA MISMA HABIA SIDO SUSTRAIDA, POR LO QUE SE DIRIJE A LA OFICINA DE RECLAMOS DE DICHA EMPRESA NO ENCONTRANDO LA VALIJA EN CUESTION</t>
  </si>
  <si>
    <t>AR 1205</t>
  </si>
  <si>
    <t>N/C.-</t>
  </si>
  <si>
    <t>CALLE VIRREY DE OLAGUER Y FELIU NUMERO 3052, PLANTA BAJA, DEPTO. A, C.A.B.A.-</t>
  </si>
  <si>
    <t>VIA PUBLICA FRENTE AL DOMICILIO DEL CAUSANTE.-</t>
  </si>
  <si>
    <t>QUE SIENDO LAS 08:45 HS. DE LA FECHA ANTEDICHA PERSONAL POLICIAL DE LA DIVISION OPERACIONAL ANTITERRORISMO SE HIZO PRESENTE EN LA FINCA DE MENCION A LOS EFECTOS DE DAR CUMPLIMIENTO CON LA ORDEN DE DETENCION LIBRADA SOBRE EL SR. HUGO ENZO SOTO, EN EL MARCO DE LA CAUSA NUMERO 443/84 CARATULADA ARSENALES MIGUEL DE AZCUENAGA CCD S/SECUESTROS Y DESAPARICIONES. EN TALES CIRCUNSTANCIAS EL PERSONAL POLICIAL ACTUANTE DIO CUMPLIMIENTO A LA DILIGENCIA ENCOMENDADA PROCEDIENDO A LA DETENCION DEL SR. SOTO EN LA VIA PUBLICA, EN PRESENCIA DE DOS TESTIGOS HABILES CONVOCADOS PARA TAL FIN, LABRANDO LA CORRESPONDIENTE ACTA DE ESTILO. POSTERIORMENTE SE PROCEDIO AL TRASLADO DEL DETENIDO, EN CALIDAD DE COMUNICADO, EN UN MOVIL DE ESTA DEPENDENCIA HACIA LA UNIDAD NUMERO 28 DEL S.P.F. DONDE PERMANECERA DETENIDO A DISPOSICION DEL JUZGADO INTERVINIENTE. PTO.-</t>
  </si>
  <si>
    <t>CALLE TIMBO, MANZANA F, CASA NUMERO 17, POSADAS, PROVINCIA DE MISIONES.-</t>
  </si>
  <si>
    <t>VIA PUBLICA.-</t>
  </si>
  <si>
    <t>QUE SIENDO LAS 12:53 HS. DE LA FECHA ANTEDICHA PERSONAL POLICIAL DE LA UNIDAD OPERACIONAL DE ANTITERRORISMO SE HIZO PRESENTE EN LA FINCA DE MENCION A LOS EFECTOS DE DAR CUMPLIMIENTO DE LA ORDEN DE DETENCION LIBRADA SOBRE EL SR. JOSE CARLOS SOWINSKY, EN EL MARCO DE LA CAUSA NUMERO 443/84 CARATULADA ARSENALES MIGUEL DE AZCUENAGA CCD S/SECUESTROS Y DESAPARICIONES. EN TALES CIRCUNSTANCIAS EL PERSONAL POLICIAL ACTUANTE DIO CUMPLIMIENTO A LA DILIGENCIA ENCOMENDADA PROCEDIENDO A LA DETENCION DEL SR. SOWINSKY EN LA VIA PUBLICA, EN PRESENCIA DE DOS TESTIGOS HABILES CONVOCADOS PARA TAL FIN, LABRANDO LA CORRESPONDIENTE ACTA DE ESTILO. POSTERIORMENTE SE PROCEDIO AL TRASLADO DEL DETENIDO, EN CALIDAD DE COMUNICADO, EN UN MOVIL DE ESTA DEPENDENCIA HACIA LA UNIDAD DEL S.P.F. QUE POR TURNO Y JURISDICCION CORRESPONDA, DONDE PERMANECERA DETENIDO A DISPOSICION DEL JUZGADO INTERVINIENTE. PTO.-</t>
  </si>
  <si>
    <t>"Banco Provincia de Tierra del Fuego c/VERGARA y otra s/..."</t>
  </si>
  <si>
    <t>P-9789/05</t>
  </si>
  <si>
    <t>GDE_AP_0049_10_NOTIFICACION</t>
  </si>
  <si>
    <t>SE NOTIFICO AL CIUDADANO VERGARA JULIAN ARIEL SOBRE QUIEN RECAE UN PEDIDO DE PARADERO SEGUN REGISTRO Nº 249429 DEL SISTEMA RED LINCE, FIJANDO DOMICILIO REAL EN CALLE CHORLO DOBLE COLLAR Nº 287 RIO GRANDE</t>
  </si>
  <si>
    <t>DEFRAUDACION POR APROPIACION DE COSA PERDIDA ART. 175 INC. A DEL C.P.</t>
  </si>
  <si>
    <t>SE PRESENTA UNA PASAJERA EN LA GUARDIA, MANIFESTANDO EL EXTRAVIO DE UNA TARJETA DE DEBITO POR LO CUAL SE CONFECCIONA LA CORRESPONDIENTE ACTA Y A MODO PREVENTIVO SE INFORMA AL PERSONAL DEL C.O.C. LUEGO DE UNOS INSTANTES PERSONAL DE ESE CENTRO, INFORMA QUE SEGUIDO A QUE LA PASAJERA EN CUESTION SALIERA DEL RECINTO DE CAJEROS, SE HIZO PRESENTE EN DICHO SECTOR UN MASCULINO, EL CUAL LUEGO DE UNOS SEGUNDOS SE RETIRO DEL LUGAR PARA DIRIGIRSE HACIA LA FARMACIA HABIDA EN EL SECTOR. Y POSTERIORMENTE SE CONSTITUYO EN EL SECTOR DE SALIDAS DE LA PERGOLA DE LA TERMINAL A. A RAZON DE ELLO, SE COMISIONA PERSONAL POLICIAL AL LUGAR EL CUAL INDIVIDUALIZA AL MASCULINO EN CUESTION Y EN ESAS CIRCUNSTANCIAS, PERSONAL POLICIAL LE SOLICITA QUE MUESTRE SU BILLETERA, A LO QUE EL MASCULINO DE FORMA VOLUNTARIA LA MUESTRA Y DEL INTERIOR DE LA MISMA EXTRAE UNA TARJETA CUYOS DATOS COINCIDEN CON LA EXTRAVIADA POR LA PASAJERA DE PRIMERA INSTANCIA. A RAZON DE ELLO Y DE ACUERDO A LO ORDENADO SE RECIBE FORMAL DENUNCIA A LA PASAJERA Y EL MASCULINO ES APREHENDIDO EN CALIDAD DE COMUNICADO Y FINALIZADAS LAS DILIGENCIAS Y DE NO CONTAR CON RESTRICCIONES EL MISMO DEBE HACER ABANDONO DE ESTA DEPENDENCIA. SE INFORMA EN PU Nº 5982 DEL DIA 29/09/10 SIENDO LAS 2230 HORAS UNA VEZ CONSTATADO QUE EL APREHENDIDO NO POSEE RESTRICCIONES LEGALES SE RETIRA DE LA DEPENDENCIA POLICIAL SIN NOVEDAD.</t>
  </si>
  <si>
    <t>CALLE INGENIERO AMBROSIO TARAVELLA 6486, CORDOBA</t>
  </si>
  <si>
    <t>EN EL DIA DE LA FECHA PERSONAL DE ESTA UNIDAD OPERACIONAL ANTITERRORISTA CORDOBA PROCEDIO A LA DETENCION DEL CIUDADANO TOMAS ADOLFO GUEMES DE PROFESION RETIRADO COMO COMANDANTE MAYOR DE GENDARMERIA NACIONAL, DE ACUERDO A LO ORDENADO POR EL JUZGADO EXHORTADO FEDERAL Nº 3 DE CORDOBA ACARGO DEL DR. SANCHEZ FREITE, SECRETARIA PENAL DRA. MARIANA BUTELES DE BARROS, POSTERIORMENTE EL IMPUTADO ES TRASLADADO A LA UOSP CORDOBA, A EFECTOS DE PROCEDER CON LA REVISACION MEDICA, EXTRACCION DE JUEGOS DE FICHAS DACTILOSCOPICAS Y TOMA DE IMAGENES FOTOGRAFICAS, SEGUIDAMENTE EL IMPUTADO ES TRASLADADO A LA POLICIA JUDICIAL DE LA PROVINCIA, SIENDO APROXIMADAMENTE LAS 18:15 HS. EL IMPUTADO ES CONDUCIDO CUSTODIADO AL CENTRO PENITENCIARO PROVINCIAL BOWEN, A DISPOSICION DEL JUZGADO INTERVINIENTE.</t>
  </si>
  <si>
    <t>DR. JOSE LUI DBONDIO</t>
  </si>
  <si>
    <t>INFORMO EN EL DIA DE LA FECHA SIENDO LAS 11:00 HS SE PRODUJO EL HALLAZGO DE DOS BULTOS SOSPECHOSOS UBICADOS UNO DE ELLOS EN LA DARSENA DENOMINADA UNO, SITA EN LA TERMINAL A, FRENTE A LAS PUERTAS DE ENTRADA A LA MISMA Y OTRO UBICADO EN EL SECTOR DE LA PERGOLA DE ARRIBOS DE LA CITADA TERMINAL. EN ESTE CONTEXTO SE PROCEDE A EFECTUAR UN PERIMETRO DE SEGURIDAD Y SE CONVOCA LA PRESENCIA DEL GRUPO ESPECIAL DE DETECCION DE EXPLOSIVOS G.E.D.E.X, . A CONTINUACIÓN SE MANTIENE COMUNICACIÓN CON EL JUZGADO INTERVINIENTE DISPONIENDO EL MISMO, EN CASO DEL HALLAZGO DE MATERIAL EXPLOSIVO EN LOS BULTOS, SE MANTENGA NUEVAMENTE COMUNICACIÓN ,A LOS EFECTOS DE IMPARTIR DIRECTIVAS AL RESPECTO, DE LO CONTRARIO SE LABRE ACTUACIONES INTERNAS. LUEGO EL GRUPO GEDEX INFORMA QUE DIO RESULTADO NEGATIVO EL CONTROL SOBRE LOS BULTOS RESPECTO DEL HALLAZGO DE EXPLOSIVO</t>
  </si>
  <si>
    <t>DR. NAHUEL RENES</t>
  </si>
  <si>
    <t>402/02</t>
  </si>
  <si>
    <t>LA DIRECCIÓN NACIONAL DE MIGRACIONES REMITIO AL SEÑOR JUAN PANOSO GUZMAN, A ESTA DEPENDENCIA EN VIRTUD QUE SOBRE EL CAUSANTE PESA UNA ORDEN DE CAPTURA. EN TAL SENTIDO SE MANTIENE COMUNICACIÓN TELEFÓNICA CON EL JUZGADO SOLICITANTE DE LA CAPTURA, QUIEN INDICA QUE SE PROCEDA A LA DETENCION DEL NOMBRADO Y SE TRASLADE EL MISMO A SEDE JUDICIAL EL DIA JUEVES 30/09/10 A PRIMERA HORA. SE INFORMA EN PU Nº 6003 QUE SIENDO LAS 0800 HS DEL DIA 30/09/2010 QUE SE PROCEDE AL TRASLADO DEL IMPUTADO A SEDE JUDICIAL.</t>
  </si>
  <si>
    <t>DR. ISLA</t>
  </si>
  <si>
    <t>S/DELITO CONTRA LA LIBERTAD - AMENAZAS</t>
  </si>
  <si>
    <t>MOSTRADORES DE CHECK IN</t>
  </si>
  <si>
    <t>SIENDO LAS 18:50 HORAS; SE PRESENTA AL TURNO PARA RADICAR UNA DENUNCIA EL SR. ESTEBAN GARCIA MOLINA, DNI Nº 16.351759 DE NACIONALIDAD ARGENTINA, QUIEN SE DESEMPEÑA COMO JEFE DE BASE DE LA EMPRESA LADE, SUCURSAL BARILOCHE, MANIFESTANDO QUE SIENDO LAS 15:30 .HS APROX, DEL DÍA 26 DE SEPTIEMBRE DE 2010, AL MOMENTO EJECUTAR EL DESPACHO DEL VUELO Nº 711. INFORMA LA CANCELACION DEL DICHO VUELO A LOS PASAJEROS, COMUNICANDOLES QUE VIAJARÁN EL DÍA LUNES 27 POR LA EMPRESA ANDES AVIACIÓN Y AEROLINEAS ARGENTINAS, MOMENTO EN QUE SE APROXIMA AL MOSTRADOR EL SR. VIALARET PARA SOLICITAR EL REINTEGRO DEL PASAJE EN DINERO Y ANTE LA RESPUESTA DEL SR. GARCIA MOLINA, QUE NO ESTA FACULTADO PARA HACER EL REINTREGRO DEL DINERO. EL SR. VIALARET LO INSULTA Y AMENAZA, DICIENDOLE QUE CUANDO LO ENCUENTRE EN EL CENTRO LO VA A GOLPEAR. SE REALIZA COMUNICACIÓN TELEFÓNICA CON EL DR. ISLA, SECRETARÍA N° 7, JUZGADO DE INSTRUCCIÓN N° 4 A CARGO DEL JUEZ DR RICARDO CALCAGNO, QUIEN DISPONE SE LABRE LA DENUNCIA, Y SE ELEVE LO ACTUADO.</t>
  </si>
  <si>
    <t>SIENDO LAS 21:40 HORAS DEL DÍA 24 DE SEPTIEMBRE DE 2010, SE PRESENTA EL SR. AGUSTÍN PEREYRA DE NACIONALIDAD ARGENTINA, IDENTIFICÁNDOSE CON DNI NRO 29307589, PARA RADICAR DENUNCIA POR SUSTRACCIÓN DE 3 BOLSOS CONTENIENDO ROPA, UN RELOJ MARCA PATEC PHILLIP, ROPA DE SKI. Y EFECTOS PERSONALES VARIOS, LOS MISMOS SE ENCONTRABAN EN EL INTERIOR DE UN VEHÍCULO ALQUILADO, EN LA EMPRESA ABA RENT A CAR, QUE RESULTO SER UN VW GOL DOMINIO IME 698 COLOR BLANCO. EL DENUNCIANTE SUPONE QUE EL HECHO OCURRIÓ ENTRE LAS 19:00 Y 20:00 HORAS, CUANDO EL VEHÍCULO SE ENCONTRABA EN LA PLAYA DE ESTACIONAMIENTO DE ESTA AEROESTACIÓN, YA QUE NOTO LA FALTA DE LOS BOLSOS AL LLEGAR AL LUGAR DONDE SE ALOJABA EN LA CIUDAD DE BARILOCHE. ADEMÁS AGREGA QUE EL VEHICULO NO PRESENTA SIGNOS DE VIOLENCIA EN CERRADURAS NI EN LAS PUERTA. SE REALIZÓ COMUNICACIÓN TELEFÓNICA CON EL DR. ISLA, SECRETARÍA N° 7, JUZGADO DE INSTRUCCIÓN N°4 A CARGO DEL JUEZ DR RICARDO CALCAGNO, QUIEN DISPONE SE REALICEN LAS ACTUACIONES DE RIGOR Y SE REMITA LO ACTUADO.</t>
  </si>
  <si>
    <t>PLAYA 3, EN LA CALLE 14 DE LA MISMA</t>
  </si>
  <si>
    <t>ESTACIONAMIENTO DE LA TERMINAL B</t>
  </si>
  <si>
    <t>INFORMO QUE EL DIA 25/09/10 EL DAMNIFICADO INGRESO CON SU VEHICULO PARTICULAR MARCA VOLKSWAGEN, MODELO GOL, DOMINIO ELT 937, JUNTO A SU CONCUBINA, ESTACIONADO EL MISMO EN EL SECTOR DE REFERENCIA, PARA LUEGO EMBARCAR EN UN VUELO CON DESTINO A SANTIAGO DE CHILE, CHILE. QUE EL DIA 29/09/10, EN EL HORARIO DE LAS 21:30 HS, REGRESO A ESTA TERMINAL AEREA EN VUELO DE SANTIAGO DE CHILE, QUEDANDO EL DAMNIFICADO EN LA PERGOLA DE TAXI CON LOS BOLSOS, MIENTRAS SU CONCUBINA SE DIRIGIO A BUSCAR EL VEHICULO MODELO GOL. QUE CUANDO EL DAMNIFICADO TOMA CONTACTO VISUAL CON SU RODADO SE PERCATA DEL FALTANTE DE LAS DOS TASAS DE LAS LLANTAS DEL LADO DERECHO.</t>
  </si>
  <si>
    <t>5972/10</t>
  </si>
  <si>
    <t>DEFRAUDACION POR APROPIACION DE COSA OLVIDADA ART. 175 INC. A DE C.P.</t>
  </si>
  <si>
    <t>CAJEROS AUTOMATICOS DEL BANCO HSBC</t>
  </si>
  <si>
    <t>INFORMO QUE EL DIA 29/09/10, SIENDO LAS 22:30 HS, UNA VEZ CONSTATADO QUE EL APREHENDIDO EN AUTOS NO POSEE RESTRICCIONES LEGALES, EL MISMO SE RETIRA DE ESTA DEPENDENCIA. PTO.-</t>
  </si>
  <si>
    <t>COURRIER UPS</t>
  </si>
  <si>
    <t>DANIEL GUSTAVO LOPEZ-SARMIENTO 1837 C.A.B.A COD POSTAL 1416 TEL 5491167690938</t>
  </si>
  <si>
    <t>HELENA BROWNE-66 ROSEDALE CRESCENT-CLONEE DUBLIN 15- TEL 00353858153936</t>
  </si>
  <si>
    <t>EN MOMENTOS EN QUE PERSONAL POLICIAL JUNTO A PERSONAL DE ADUANAS SE ENCONTRABA EFECTUANDO UN CONTROL PREVENTIVO MEDIANTE MAQUINA DE RAYOS X, DETECTARON EN EL INTERIOR DE UNA CAJA DE CARTON CON Nº DE GUIA AEREA 1Z055Y060474368729, SUSTANCIA ORGANICA, QUE NO PUEDEN DETERMINAR FEHACIENTEMENTE DEL ELEMENTO QUE SE TRATABA. SE MANTUVO COMUNICACIÓN CON EL JUZGADO INTERVINIENTE QUIEN AUTORIZO LA REQUISA. SEGUIDAMENTE EN PRESENCIA DE DOS TESTIGOS SE ABRIO LA CAJA EN CUESTIÓN HALLANDO EN SU INTERIOR UN ACORDEON Y DENTRO DEL FUELLE DEL MISMO, SEIS PAQUETES CONTENIENDO UNA SUSTANCIA QUE SOMETIDA A REACTIVO PARA COCAÍNA ARROJO RESULTADO POSITIVO.</t>
  </si>
  <si>
    <t>5X 411</t>
  </si>
  <si>
    <t>PINOLLI ROCIO FABIANA S/Extravió Permiso Personal Aeroportuario</t>
  </si>
  <si>
    <t>SE HACE PRESENTE LA CIUDADANA PINOLLI ROCIO FABIANA , A LOS EFECTOS DE MANIFESTAR EL EXTRAVIO DEL PERMISO PERSONAL DE SEGURIDAD AEROPORTUARIO Nº 261407 , QUIEN NO PUDO PRECISAR MAYORES DATOS DEL LUGAR O DE LAS CIRCUNSTANCIAS EN EL CUAL SE PRODUJO EL EXTRAVIO DEL CITADO PERMISO, INFORMANDO ADEMAS QUE AL MOMENTO DE SOLICITAR LA RENOVACION DEL MISMO AUN CONTABA CON ESTE.-</t>
  </si>
  <si>
    <t>TORANZO HECTOR JOSE S/DCIA DE EXTRAVIO PERMISO PERSONAL AEROPORTUARIO</t>
  </si>
  <si>
    <t>SE HACE PRESENTE EL CIUDADANO TORANZO HECTOR JOSE DNI Nº14291036 , A LOS EFECTOS DE MANIFESTAR EL EXTRAVIO DEL PERMISO PERSONAL DE SEGURIDAD AEROPORTUARIO Nº 255548 CON VENCIMIENTO EL 28/07/2009 A NOMBRE DEL SUSCRIPTO/A, QUIEN NO PUDO PRECISAR MAYORES DATOS DEL LUGAR O DE LAS CIRCUNSTANCIAS EN EL CUAL SE PRODUJO EL EXTRAVIO DEL CITADO PERMISO, INFORMANDO ADEMAS QUE AL MOMENTO DE SOLICITAR LA RENOVACION DEL MISMO AUN CONTABA CON ESTE</t>
  </si>
  <si>
    <t>sandra lucca</t>
  </si>
  <si>
    <t>CARABALLO WALTER Y GARCIA NORMA/ DEFRAUDACION POR ADMINISTRACION FRAUDULENTA</t>
  </si>
  <si>
    <t>SIENDO LA 08:40 HS SE CUMPLIMENTA ORDEN DE SERVICIO Nº 260/10 TRASLADANDO A LA DETENIDA NORMA BEATRIZ GARCIA HACIA LA CIUDAD AUTONOMA DE BUENOS AIRES EN CUSTODIA DE LA SUBCOMISARIO MIRIAN MARIN Y DE LA CABO VIRGINIA BOZAC DE LA POLICIA DE TIERRA DEL FUEGO. LA CUSTODIA EN LA ZONA RESTRINGIDA POR PARTE DE ESTA UOSP ESTUVO A CARGO DE LOS OFICIALES CHRISTIAN VILA Y VEIGA ARIEL NO REGISTRANDOSE NOVEDADES.</t>
  </si>
  <si>
    <t>ALANIZ OMAR EDUARDO S/DENUNCIA DE EXTRAVIO PERMISO PERSONAL AEROPORTUARIO</t>
  </si>
  <si>
    <t>SE HACE PRESENTE EL CIUDADANO ALANIZ OMAR EDUARDO DNI Nº 22560293 , A LOS EFECTOS DE MANIFESTAR EL EXTRAVIO DEL PERMISO PERSONAL DE SEGURIDAD AEROPORTUARIO Nº 255509 CON VENCIMIENTO EL 28/07/2009 A NOMBRE DEL SUSCRIPTO/A, QUIEN NO PUDO PRECISAR MAYORES DATOS DEL LUGAR O DE LAS CIRCUNSTANCIAS EN EL CUAL SE PRODUJO EL EXTRAVIO DEL CITADO PERMISO, INFORMANDO ADEMAS QUE AL MOMENTO DE SOLICITAR LA RENOVACION DEL MISMO AUN CONTABA CON ESTE</t>
  </si>
  <si>
    <t>VELAZCO CRISTHIAN ANGEL S/DENUNCIA DE PERMISO PERSONAL AEROPORTUARIO</t>
  </si>
  <si>
    <t>SE HACE PRESENTE EL CIUDADANO VELAZCO CRISTHIAN ANGEL A LOS EFECTOS DE MANIFESTAR EL EXTRAVIO DEL PERMISO PERSONAL DE SEGURIDAD AEROPORTUARIO Nº 255512 , QUIEN NO PUDO PRECISAR MAYORES DATOS DEL LUGAR O DE LAS CIRCUNSTANCIAS EN EL CUAL SE PRODUJO EL EXTRAVIO, INFORMANDO ADEMAS QUE AL MOMENTO DE SOLICITAR LA RENOVACION DEL MISMO AUN CONTABA CON ESTE.-</t>
  </si>
  <si>
    <t>RUTA PROVINCIAL E 53</t>
  </si>
  <si>
    <t>EN EL DÍA DE LA FECHA UN GRUPO APROXIMADO DE DOSCIENTAS PERSONAS PERTENECIENTES A LA FABRICA ARGENTINA DE AVIONES, DEL GREMIO APTA, SE HICIERON PRESENTES EN EL INGRESO DE PEAJE DEL AEROPUERTO CON EL FIN DE REALIZAR CORTES SELECTIVOS DE INGRESO Y EGRESO DE VEHÍCULOS Y PERSONAS EN SEÑAL DE PROTESTA POR LA INESTABILIDAD DE LA FUENTE LABORAL Y SOLICITANDO MEJORAS SALARIALES. EL JEFE DE UNIDAD SE HIZO PRESENTE EN EL LUGAR Y MANTUVO DIALOGO CON EL REPRESENTANTE DEL GREMIO, SR. TRAPOTTE,QUIEN MANIFESTÓ QUE SOLO CORTARÍAN EL INGRESO Y EGRESO DEL PEAJE POR UNOS MINUTOS SIN INTENCIÓN DE INGRESAR A LA AEROESTACIÓN PROPIAMENTE DICHA. ANTE ESTA SITUACIÓN EL JEFE DE UNIDAD DISPUSO HABILITAR EL INGRESO Y EGRESO DE LOS VEHÍCULOS Y PERSONAS POR EL PUNTO DE INSPECCIÓN D.P.A. NO PRODUCIENDO INCIDENTE ALGUNO CON LOS PASAJEROS Y/O PERSONAS. DURANTE LA PERMANENCIA DE LOS MANIFESTANTES SE HICIERON PRESENTE CUATRO MÓVILES DE LA POLICÍA DE LA PROVINCIA DE CÓRDOBA. POR TAL SITUACIÓN SE DIO PARTICIPACIÓN AL JUZGADO FEDERAL N° 3 DE TURNO, EN LA PERSONA DE SU SECRETARIA PENAL DRA. MARIANA BUTELER DE BARROS, QUIEN DISPUSO SE LA MANTENGA INFORMADA DE TODO LO OCURRIDO Y DE LA FINALIZACIÓN DE DICHA PROTESTA. SIENDO APROXIMADAMENTE LAS 11:30 HRS. LOS MENCIONADOS MANIFESTANTES SE RETIRARON DEL LUGAR SIN PROVOCAR INCIDENTE ALGUNO. CABE DESTACAR QUE LA ACTIVIDAD OPERACIONAL DEL AEROPUERTO NO ESTUVO AFECTADA</t>
  </si>
  <si>
    <t>SIENDO LAS 15:20 HORAS DEL DIA 27 DE SEPTIEMBRE EL OFICIAL AYUDANTE BARRAZA ROBERTO LEGAJO 501414, EN EL CONTROL DE PREEMBARQUE,PROCEDE A LA INSPECCION DE UN PASAJERO IDENTIFICADO COMO FABIO PABLO ALLUVI, DETECTANDO DOS BULTOS EN SUS BOLSILLOS, LOS CUALES ERAN DOS CAJAS DE CIGARRILLOS MARLBORO BOX, UNA DE ELLAS CONTENIENDO UNA SUSTANCIA DE VEGETAL DE COLOR VERDE COMPACTADA, POR LO QUE SE CONVOCA LA PRESENCIA DE DOS TESTIGOS HABILES Y SE REALIZA UN REACTIVO DE CAMPO DANDO COMO RESULTADO POSITIVO MARIHUANA POR LO QUE SE DA INTERVENCION AL JUZGADO FEDERAL BARILOCHE QUIEN DISPONE LAS ACTUACIONES DE RIGOR EL SECUESTRO DE LA SUSTANCIA, LA NOTIFICACION DE CAUSA Y LA LIBERACION DEL IMPUTADO</t>
  </si>
  <si>
    <t>CIUDAD AUTONMA DE BUENOS AIRES</t>
  </si>
  <si>
    <t>5978/10</t>
  </si>
  <si>
    <t>GEDER CARLOS ALBERTO IMP. S/INF. 23737</t>
  </si>
  <si>
    <t>QUE SIENDO LAS OCHO HORAS DEL DIA 30 DE SEPTIEMBRE, SE PROCEDIO AL TRASLADO DEL IMPUTADO EN AUTOS A SEDE JUDICIAL.</t>
  </si>
  <si>
    <t>OB 707</t>
  </si>
  <si>
    <t>DENUNCIA EXTRAVIO PPA Nº 239756</t>
  </si>
  <si>
    <t>EN EL DIA DE LA FECHA SE HACE PRESENTE EN LAS OFICINAS DEL AREA IDENTIFICACION Y REGISTRO DE ESTA UNIDAD OPERACIONAL DE SEGURIDAD PREVENTIVA EL CIUDADANO CASTAÑEDA RUBEN, A FIN DE INFORMAR EL EXTRAVIO DEL PERMISO DE SEGURIDAD Nº 239756 SIN QUE PUDIERA DAR MAYORES PRESICIONES DEL LUGAR O DE LAS CIRCUNSTANCIAS EN QUE SE PRODUJO EL EXTRAVIO DEL CITADO PERMISO.-</t>
  </si>
  <si>
    <t>SIENDO LAS 12:00 HORAS SE DIO CUMPLIMIENTO A LA ORDEN DE SERVICIO Nº 329/10 DE ESTA UOSP CON RESPECTO AL ARRIBO DE PERSONAL DE LA POLICIA DE TIERRA DEL FUEGO JUNTO CON LA DETENIDA NORMA BEATRIZ GARCIA DNI Nº 12.095.482 EN EL VUELO Nº AR 1653 PROCEDENTE DE LA CIUDAD DE NEUQUEN PARA LUEGO ABORDAR EN EL VUELO Nº AR 1872 CON DESTINO A LA CIUDAD DE USHUAIA, EL CUAL PARTIO DE ESTE AEROPARQUE A LAS 14:30 HORAS SIN NOVEDAD.-</t>
  </si>
  <si>
    <t>AR 1872</t>
  </si>
  <si>
    <t>S/ HOMICIDIO</t>
  </si>
  <si>
    <t>SIENDO LAS 14:20 HORAS SE DIO CUMPLIENTO A LA ORDEN DE SERVICIO Nº 690/10 REFERENTE AL ARRIBO DE COMISION DE INTERPOL COMPUESTA POR EL PRINCIPAL BARBAGELATTA Y EL SUBOFICIAL ESCRIBIENTE TOSTO CON EL DETENIDO HECTOR ROBERTO HERMOSID DNI Nº 22976857 QUIENES ARRIBARON A LAS 14:30 HORAS EN EL VUELO Nº JJ 8020 DE LA EMPRESA TAM PROCEDENTE DE LA CIUDAD DE PORTO ALEGRE, PARA RETIRARSE A LAS 15:20 HORAS JUNTO AL SARGENTO CABRERA Y LA CABO MANIETTI DE ESTA JURISDICCION AEROPORTUARIA SIN NOVEDAD.-</t>
  </si>
  <si>
    <t>JJ 8020</t>
  </si>
  <si>
    <t>DR. DANTIAK EDGAR JUVENAL</t>
  </si>
  <si>
    <t>INFRACCIÓN A LA LEY Nº 22421</t>
  </si>
  <si>
    <t>INFRACCIÓN</t>
  </si>
  <si>
    <t>AL EFECTUARSE EL CONTROL DE RUTINA A TRAVÉS DE LA MAQUINA DE RX SE DETECTA LA EXISTENCIA APARENTE DE UN CUERO DE ANIMAL EN UN EQUIPAJE DESPACHADO EN BODEGA POR LO QUE SE SOLICITA LA PRESENCIA DEL PROPIETARIO DEL MISMO Y DE DOS TESTIGOS, REALIZÁNDOSE LA APERTURA DEL MISMO CONSTATÁNDOSE EN SU INTERIOR LA EXISTENCIA DE UN CUERO APARENTEMENTE DE GATO MONTES.Y AL NO PODER JUSTIFICAR SU PROCEDENCIA NI CONTAR CON LA DOCUMENTACIÓN CORRESPONDIENTE SE REALIZA COMUNICACIÓN TELEFÓNICA AL JUZGADO FEDERAL DE TURNO ORDENANDO SU SEÑORÍA EL SECUESTRO DEL MISMO Y QUE SEA ELEVADO EL DÍA DE MAÑANA CON LAS ACTUACIONES REALIZADAS</t>
  </si>
  <si>
    <t>DR GUILLERMO H. CARDOZO</t>
  </si>
  <si>
    <t>FUERZA AEREA ARGENTINA S/DENUNCIA DE DAÑOS A LA PROPIEDAD</t>
  </si>
  <si>
    <t>SECTOR NORESTE DE LA BASE AEREA MILITAR DE LA FUERZA AEREA ARGENTINA</t>
  </si>
  <si>
    <t>DELIMITACION DEL TERRENO ENTRE LA CIUDAD DE RIO GALLEGOS Y LA BASE AEREA.</t>
  </si>
  <si>
    <t>SIENDO LAS DIEZ HORAS CON VEINTE MINUTOS DEL DIA 30 DE SEPTIEMBRE DE 2010 SE PRESENTA EN ESTA DEPENDENCIA EL SR MARCELO RAMON BARRAZA EN REPRESENTACION DEL JEFE DE LA BASE AEREA MILITAR RIO GALLEGOS CON LA FINALIDAD DE RADICAR UNA DENUNCIA POR DAÑOS A LA PROPIEDAD, POR LA ROTURA DEL ALAMBRADO PERIMETRAL DE LA BASE EN FORMA INTENCIONAL OCURRIDO APROXIMANDAMENTE EL DIA DOMINGO 26 DE SEPTIEMBRE DEL CORRIENTE. SE PROCEDE A DAR AVISO AL JUZGADO FEDERAL DE PRIMERA INSTANCIA DE LA PROVINCIA DE SANTA CRUZ,NOTIFICANDO AL MAGISTRADO POR INTERMEDIO DE LA SECRETARIA PENAL NRO 2 EN TURNO, SOLICITANDO DIRECTIVAS SOBRE LAS DILIGENCIAS QUE SU SEÑORIA CONSIDERE PERTINENTES. ELEVANDO A LA BREVEDAD LAS ACTUACIONES REALIZADAS.</t>
  </si>
  <si>
    <t>PLAYA ESTACIONAMIENTO OFICIAL-PUBLICA Y ACCESO OESTE DE LA JURISDICCION AEROPORTUARIA.</t>
  </si>
  <si>
    <t>SE CUMPLIMENTO ORDEN DE SERVICIO Nº 35/10 DE ESTA UOSP CONSISTENTE EN BRINDAR SEGURIDAD A LA MINISTRA DE LA CORTE SUPREMA DE JUSTICIA DE LA NACION DRA. CARMEN MARIA ARGIBAY Y LA LIC. ZAIDA GATTI SUPERVISORA DE LA OFICINA DE RESCATE Y ACOMPAÑAMIENTO DE LAS PERSONAS VICTIMAS DE TRATA, DEL MINISTERIO DE JUSTICIA Y DERECHOS HUMANOS DE LA NACION. QUIENES ARRIBARON EN EL VUELO MENCIONADO QUEDANDO EN ESTE AEROPUERTO HASTA LA 11:30 HS, LUEGO SE RETIRARON DE LA JURISDICCIÓN S/N.</t>
  </si>
  <si>
    <t>1750/1</t>
  </si>
  <si>
    <t>POSADAS- MNES.</t>
  </si>
  <si>
    <t>DRA. SANDRA M. LUCA</t>
  </si>
  <si>
    <t>CARABALLO, WALTER Y GARCIA, NORMA S/DEFRAUDACION POR ADMINISTRACION FRAUDULENTA</t>
  </si>
  <si>
    <t>I-12937</t>
  </si>
  <si>
    <t>TURNO DE PREVENSION</t>
  </si>
  <si>
    <t>INFORMO: , SIENDO LAS 20:20 HS. DEL DIA 30 DE SEPTIEMBRE DEL CORRIENTE AÑO ARRIBA EN EL VUELO 1872 DE LA EMPRESA AEROCOMERCIAL AEROLÍNEAS ARGENTINAS PROCEDENTE DE AEROPARQUE JORGE NEWBERY, LA COMISIÓN POLICIAL A CARGO DE LA SUBCOMISARIO MIRIA MAVIS MARIN Y LA CABO PRIMERO VIRGINIA ELISA BOZAC AMBOS PERSONAL DE LA POLICÍA DE LA PROVINCIA DE TIERRA DEL FUEGO A. E I. A. S, REALIZANDO EL TRASLADO DE LA DETENIDA NORMA BEATRIZ GARCÍA DNI Nº 12.095.482. SIENDO RECIBIDA EN ESTE AEROPUERTO POR COMISIÓN POLICIAL A CARGO DEL SUBCOMISARIO CARLOS DANIEL MEDINA DNI 22.181.932.- SE BRINDO APOYO Y COLABORACIÓN A LA COMISIÓN ANTES ENUNCIADA A FIN DE FACILITAR EL DESPLAZAMIENTO EN EL ÁMBITO ESTA JURISDICCIÓN, DANDO CUMPLIMIENTO ASÍ A ORDEN DE SERVICIO NRO. 22/10 UOSP USU. RETIRÁNDOSE DE ESTA JURISDICCIÓN SIN OTRA NOVEDAD.</t>
  </si>
  <si>
    <t>SIENDO LA HORA MENCIONADA SE HACE PRESENTE LA DAMNIFICADA MANIFESTANDO QUE EN EL VUELO DESCRIPTO ANTERIORMENTE LE HABIAN SUSTRAIDO DEL INTERIOR DE SU EQUIPAJE UNA SERIE DE ELEMENTOS DE SU PROPIEDAD, PERCATANDOSE DEL FALTANTE AL MOMENTO DE ARRIBAR A SU DOMICILIO.</t>
  </si>
  <si>
    <t>DABONDIO JOSE LUIS</t>
  </si>
  <si>
    <t>HALLAZGO DE ARMA</t>
  </si>
  <si>
    <t>LA VALENTINA- EDIFICIO DENOMINADO LA ROSADA</t>
  </si>
  <si>
    <t>SECCION CANES</t>
  </si>
  <si>
    <t>EN MOMENTOS QUE PERSONAL DE CANES, POR ORDEN DEL DIRECTOR DE PREVENTIVA, REALIZABAN LIMPIEZA EN DICHO LUGAR, EN UNO DE LOS AMBIENTES DENTRO DE UN ROPERO HALLAN UNA ESCOPETA 12/70 BRASILERA MOD. 586 MARCA CBC INSCRIPCION EN CAÑON 12GA 2 3/4 AND 3 IN-FULL Y N° 08007, ORDENANDO LA JUDICATURA ACTUACIONES DE RIGOR Y QUE LAS MISMAS SE ELEVEN EL 01/10/10 A PRIMERA HORA, QUEDANDO EL ARMA EN RESGUARDO DE LA URSA I.</t>
  </si>
  <si>
    <t>Dra.Maria Trinidad FIERRO</t>
  </si>
  <si>
    <t>PRESUNTA INFRACCION LEY Nº 22415</t>
  </si>
  <si>
    <t>ACTA DE INTERDICCION Nº 178/10 UOSP POSADAS</t>
  </si>
  <si>
    <t>CONTROL CARGAS Y CORREO POR RX</t>
  </si>
  <si>
    <t>CARMENA DANIELA</t>
  </si>
  <si>
    <t>ACEVEDO ROSA GLADYS</t>
  </si>
  <si>
    <t>EN CONTROLES PREVENTIVOS DE RUTINA REALIZADOS A LA CARGA Y CORREO A EMBARCAR EN EL VUELO Nº AR1759 DE LA EMPRESA AEROLÍNEAS ARGENTINAS SE OBSERVA MEDIANTE IMAGEN REFLEJADA EN EQUIPO DE RAYOS X, QUE EN EL INTERIOR DE DOS SACAS DE LA EMPRESA CORREOS ARGENTINO CERRADAS CON PRECINTO DE SEGURIDAD Nº 346458 Y 346459, CARÁTULAS PSS Nº 7376366.E Y Nº 7376367.E, GRAN CANTIDAD DE ROPA DE TIPO LENCERÍA, LAS SACAS ESTABAN AMPARADAS POR GUÍA AÉREA Nº PSS 7376366.E DE LA EMPRESA JET PAQ. CADA SACA ANTES MENCIONADA CONTENÍA UNA CAJA DE CARTÓN DE SIMILARES CARACTERÍSTICAS CON INSCRIPCIONES DE CORREO ARGENTINO, DONDE FIGURA COMO REMITENTE Y DESTINATARIO LAS PERSONAS CUYOS DATOS SE ENCUENTRAN EN EL PUNTO PERSONAS INVOLUCRADAS. POR LO QUE SE INFORMA AL JUZGADO INTERVINIENTE QUIEN DISPONE SE REALICE LA INTERDICCIÓN PREVENTIVA POR PRESUNTA INFRACCIÓN A LA LEY 22415 Y SE SOLICITE LA APERTURA JUDICIAL.</t>
  </si>
  <si>
    <t>AEP - JORGE NEWBERY</t>
  </si>
  <si>
    <t>HOTEL AYEL -ENTRE CALLES PERU Y VENEZUELA C.A.B.A</t>
  </si>
  <si>
    <t>VEREDA/PERGOLA TERMINAL B</t>
  </si>
  <si>
    <t>LUEGO DE ARRIBAR A ESTE MEDIO, EL DENUNCIANTE JUNTO A SU ESPOSA ACCEDEN AL SERVICIO DE TAXI OFRECIDO POR UN MASCULINO DE 1.60 MTS, PELO OSCURO, MAL AFEITADO, DE UNOS 45 AÑOS DE EDAD, VISTIENDO ROPA OSCURA, OFRECIDO EN LA SALIDA DEL SECTOR DE ARRIBOS. DICHO MASCULINO POSTERIORMENTE LOS TRASLADO HACIA EL HOTEL AXEL UBICADO ENTRE LAS CALLES VENEZUELA Y PERU DE LA C.A.B.A. EN UN TAXI CHEVROLET CORSA WAGON -SIN RECORDAR MAS DATOS-. AL LLEGAR A DESTINO DESCIENDEN Y RETIRAN SUS PERTENENCIAS DEJANDO OLVIDADO EN EL ASIENTO TRASERO DEL VEHICULO UN BOLSO DE MANO Y EL TAXI SE RETIRO DEL SECTOR . PTO</t>
  </si>
  <si>
    <t>A CONTINUACION SE DETALLA LA LLEGADA DE LOS MANDATARIOS MIEMBROS DE UNASUR, A LA AEROESTACION MILITARAEROPARQUE: SEÑOR PRESIDENTE DE BOLIVIA, EVO MORALES LLEGO A LAS 22:52 HORAS EN LA AERONAVE FAB 001, RETIRANDOSE EN VEHICULO OFICIAL S/N. SEÑOR PRESIDENTE DE LA REPUBLICA DEL PERU ALAN GARCIA PEREZ LLEGÓ A LAS 23:12 HORAS EN AERONAVE DE LA FUERZA AEREA PERUANA MAT.356, RETIRANDOSE A LAS 23:30 EN VEHICULO OFICIAL S/N SEÑOR PRESIDENTE DE LA REPUBLICA DE CHILE SEBASTIAN PIÑERA LLEGÓ A LAS 23:25 HORAS EN AERONAVE DE LA FUERZA AEREA CHILENA MT 911, RETIRANDOSE A LAS 23:43 HORAS EN VEHICULO OFICIAL S/N. SEÑOR CANCILLER DE LA REPUBLICA FEDERATIVA DEL BRASIL, LLEGO A LAS 23:35 HORAS EN AERONAVE DE LA FUERZA AEREA BRASILERA MT 2583 RETIRANDOSE A LAS 23:40 HORAS S/N SEÑOR PRESIDENTE DE COLOMBIA ALVARO URIBE VELEZ LLEGO A LAS 01:20 HORAS EN AERONAVE FACOL 0001, RETIRARANDOSE EN VEHICULO OFICIAL A LAS 01:32 HORAS S/N</t>
  </si>
  <si>
    <t>PERSONAL DESTACADO EN EL PREEMBARQUE B, INFORMA ACERCA DE UN BULTO SOSPECHOSO HABIDO DEBAJO DE UNA DE LAS FILAS DE ASIENTO DEL SECTOR DE ARRIBOS. ANTE ELLO SE ESTABLECE UN PERIMETRO DE SEGURIDAD Y SE REQUIERE LA CONFORMACION DEL COE COMPUESTO POR PERSONAL DEL GEDEX, SANIDAD, BOMBEROS, JEFE DE AEROPUERTO Y SE DA INTERVENCION JUDICIAL. LUEGO DE LA INSPECCION DEL GEDEX SE DETERMINA QUE DICHO BULTO NO REVISTE PELIGROSIDAD, POR LO CUAL Y CON LA AUTORIZACION JUDICIAL SE LIBERA LA ZONA Y EL ELEMENTO ES TRASLADADO JUNTO A LOS TESTIGOS HACIA LA GUARDIA DONDE SE CONFECCIONA ACTA DE HALLAZGO SOBRE UN BOLSO DE COLOR GRIS DE PEQUEÑAS DIMENSIONES CONTENIENDO PAPELES VARIOS Y DOCUMENTACION. PTO</t>
  </si>
  <si>
    <t>EL OFICIAL PONCE SE ENCONTRABA EN EL CENTRO OPERATIVO DE CONTROL, DONDE A TRAVES DE UNA DE LAS CAMARAS DE SEGURIDAD OBSERVA A UNA PERSONA DE SEXO MASCULINO CONVERSANDO CON UN PASAJERO RECIEN ARRIBADO AL PAIS, COMENZANDO A TRANSLADAR EL EQUIPAJE HACIA UN VEHICULO TAXI, HACIENDO ABORDAR AL PASAJERO AL MISMO. POR TAL MOTIVO MANTIENE COMUNICACION VIA NEXTEL CON EL OFICIAL CARABAJAL, QUIEN EN PRESENCIA DE UN TESTIGO, CONSTATA LA CONTRAVENCION. A CONTINUACION EL INFRACTOR ES TRANSLADADO AL SERVICIO DE SANIDAD DE ESTE AEROPUERTO PARA SU REVISION Y POSTERIORMENTE ES CONDUCIDO A LA OFICINA DE CONTRAVENCIONES Y FALTAS A FIN DE LABRAR LAS ACTUACINES CORRESPONDIENTES.</t>
  </si>
  <si>
    <t>PERGOLA 1 DE PARTIDA DE PASAJEROS DE TERMINAL A</t>
  </si>
  <si>
    <t>QUE EL DIA MENCIONADO SIN DETALLE HORARIO, EL OFICIAL PRINCIPAL JORGE ARIEL CORBALAN SE ENCONTRABA CUMPLIENDO FUNCIONES EN EL CENTRO OPERATIVO DE CONTROL, DONDE A TRAVES DE UNA DE LAS CAMARAS DE SEGURIDAD OBSERVÓ, EN EL SECTOR PERGOLA 1 DE PARTIDA DE PASAJEROS, A UNA PERSONA DE SEXO MASCULINO REALIZANDO SERVICIO DE MALETERO. POR LO CUAL SE COMUNICA VIA NEXTEL CON EL OFICIAL PABLO CARABAJAL INFORMANDOLO DEL HECHO, QUIEN SE HACE APERSONÓ EN EL LUGAR Y LE SOLICITÓ A ESTA PERSONA LA HABILITACION CORRESPONDIENTE DE LA ADMINISTRACION DEL AEROPUERTO PARA REALIZAR DICHA TAREA, CARECIENDO ÉSTE DE LA MISMA. POR LO QUE SEGUIDAMENTE EL INFRACTOR ES TRASLADADO AL SERVICIO DE SANIDAD DE ESTE AEROPUERTO PARA UN CONTROL MEDICO PRECARIO Y LUEGO ES CONDUCIDO A LA OFICINA DE CONTRAVENCIONES Y FALTAS A FIN DE LABRAR LAS ACTUACIONES CONTRAVENCIONALES PERTINENTES.</t>
  </si>
  <si>
    <t>6023/10</t>
  </si>
  <si>
    <t>ARRIBA A ESTA AEROESTACION EL SR. PRESIDENTE DE LA REPUBLICA BOLIVARIANA DE VENEZUELA EN AERONAVE MATRICULA 0001 A LAS 02:07 HORAS RETIRANDOSE DE JURISDICCION A LAS 02:15 HORAS EN VEHICULO OFICIAL SIN NOVEDAD</t>
  </si>
  <si>
    <t>DRA CECCONI Claudia</t>
  </si>
  <si>
    <t>SECTOR CIRCUNDANTE AL INGRESO AL CUARTEL DE BOMBEROS DE ESTE AEROPUERTO</t>
  </si>
  <si>
    <t>SIENDO LA FECHA Y HORA MENCIONADAS, EL OFICIAL CARLOS VEGA SECUNDADO EN ESTA OPORTUNIDAD POR EL OFICIAL GERMAN GERMINARIO, CONSTATAN LA PRESENCIA DE UNA PERSONA DE SEXO MASCULINO, QUIEN SE ENCONTRABA EN EL SECTOR CIRCUNDANTE AL INGRESO AL CUARTEL DE BOMBEROS DE ESTE AEROPUERTO, REALIZANDO TAREAS DE MALETERO A TRANSEUNTES POR UNA SUMA DE DINERO A CONVENIR, SIN HABER CUMPLIDO PREVIAMENTE LOS REQUISITOS EXIGIDOS POR LA AUTORIDAD DE COMPETENCIA PARA EJERCER DICHA TAREA. POR TAL MOTIVO SE PROCEDE A LA IDENTIFICACION DEL INFRACTOR, TRASLADANDOLO POSTERIORMENTE AL SERVICIO DE SANIDAD DE ESTE MEDIO PARA UN CONTROL MEDICO PRECARIO, Y LUEGO CONDUCIDO AL ASIENTO DE LA GUARDIA DE PREVENCION DE ESTA POLICIA A FIN DE LABRAR LAS ACTUACIONES CORRESPONDIENTES.</t>
  </si>
  <si>
    <t>AL LLEGAR AL LA CIUDAD DE DESTINO, LA DENUNCIANTE JUNTO A SU FAMILIA SE RETIRAN DEL AEROPUERTO Y SE DIRIGEN AL HOTEL DONDE SE ALOJARIAN JUNTO CON SUS EQUIPAJES DESPACHADOS A BODEGA. EN ESAS CIRCUNSTANCIA SE PERCATA QUE UNO DE LOS EQUIPAJES DE GRANDES DIMENSIONES DE COLOR ROJO ESTABA RASGADO EN LA PARTE POSTERIOR. QUE AL ARRIBAR EN EL DIA DE LA FECHA A ESTE MEDIO, SE DISPONE A EFECTUAR LA DENUNCIA POR EL HECHO, NO HABIENDO CONSTATADO FALTANTE ALGUNO. PTO.-</t>
  </si>
  <si>
    <t>JJ8001</t>
  </si>
  <si>
    <t>RECIFE</t>
  </si>
  <si>
    <t>6027/10</t>
  </si>
  <si>
    <t>A CONTINUACIÓN SE DETALLA LA PARTIDA DE LOS MANDATARIOS MIEMBROS DE UNASUR, DESDE LA AEROESTACIÓN MILITAR AEROPARQUE: SEÑOR PRESIDENTE DE LA REPUBLICA DE CHILE SEBASTIAN PIÑERA LLEGÓ A LAS 03:15 HORAS EN VEHICULO OFICIAL, RETIRÁNDOSE A LAS 03:35 HORAS EN AERONAVE DE LA FUERZA AEREA CHILENA MT 911 S/N. SEÑOR PRESIDENTE DE COLOMBIA ALVARO URIBE VÉLEZ LLEGO A LAS 04:10 HORAS EN VEHICULO OFICIAL, RETIRARANDOSE EN AERONAVE FACOL 0001 A LAS 04:27 HORAS S/N SEÑOR PRESIDENTE DE LA REPUBLICA DEL PERÚ ALAN GARCÍA PÉREZ LLEGÓ A LAS 03:17 HORAS EN VEHICULO OFICIAL, RETIRANDOSE A LAS 04:35 EN AERONAVE DE LA FUERZA AEREA PERUANA MAT.356 S/N SEÑOR PRESIDENTE DE LA REPUBLICA ORIENTAL DEL URUGUAY, JOSE MUJICA LLEGO A LAS 03:24 HORAS EN VEHICULO OFICIAL, RETIRANDOSE A LAS 04:36 HORAS EN EL HELICÓPTERO H091 S/N.</t>
  </si>
  <si>
    <t>APROXIMADAMENTE A LAS 21:30 HORAS DEL DIA 30-09-10 ARRIBO EL VICECANCILLER DE PARAGUAY LARA CASTRO EN EL VUELO TAM 701, RETIRANDOSE DE ESTE MEDIO POSTERIORMENTE SIN NOVEDAD DANDOSE CUMPLIMIENTO A LA ORDEN DE SERVICIO 697/10. PTO.</t>
  </si>
  <si>
    <t>6030/10</t>
  </si>
  <si>
    <t>A CONTINUACIÓN SE DETALLA LA PARTIDA DEL MANDATARIO MIEMBRO DE UNASUR, DESDE LA AEROESTACIÓN MILITAR AEROPARQUE: SEÑOR PRESIDENTE DE BOLIVIA, EVO MORALES, QUIEN ARRIBO A LAS 07:15 HORAS DEL DIA 01 DE OCUTUBRE DEL CORRIENTE, EN VEHICULO OFICIAL, RETIRANDOSE A LAS 07:25 HORAS EN AERONAVE FAB 001 S/N.</t>
  </si>
  <si>
    <t>DR.AUGUSTO PELOSO</t>
  </si>
  <si>
    <t>CINTA DE EQUIPAJES Nº 6</t>
  </si>
  <si>
    <t>BODEGA AERONAVE - PLATAFORMA - CINTAS DE ARRIBOS</t>
  </si>
  <si>
    <t>EN EL DIA DE LA FECHA SE HACE PRESENTE LA SRA. NATALIA CHIRRA QUIEN MANIFIESTA QUE EN SU ARRIBO A ESTE AEROPUERTO EL DIA 23/9/10 POR LA EMPRESA AIR EUROPA SE ENCUENTRA CON QUE EN SU EQUIPAJE HABIA UN FALTANTE.</t>
  </si>
  <si>
    <t>PLATAFORMA COMERCIAL- GUARDIA DE PREVENCION- TRASLADO HASTA LA UOSP EZEIZA EN MOVIL DE DOTACION PARA SU POSTERIOR EMBARQUE EN VUELO CON DESTINO A BOLIVIA.</t>
  </si>
  <si>
    <t>SIENDO LA HORA Y EL DÍA ANTES MENCIONADO, SE IMPLEMENTA OPERATIVO DE SEGURIDAD PARA EL ARRIBO DEL VUELO DE MENCION, EN EL CUAL ES TRASLADADA LA ENCARTADA MARTHA HUAYLLA, CUSTODIADA CON PERSONAL DE LA UOESA II DEL CENTRO, OF. SALAS, Y LA OF. TOLEDO, EL CUAL ARRIBO A ESTA AEROSTACIÓN A LAS 1010 HORAS, SIENDO RECEPCIONADA POR PERSONAL DE LA UOESA I DEL ESTE, OF. PAÍS, Y EL OF. VIEJO, Y LA OF. ROBLES, PROCEDIENDO AL TRASLADO DE LA MISMA HASTA LA UOSP EZEIZA A LAS 1050 HORAS PARA SER EMBARCADA EN EL VUELO DE LA EMPRESA AEROSUR CON HORARIO DE PARTIDA DE LAS 1600 HS DEL DIA DE LA FECHA CON DESTINO A LA CIUDAD DE SANTA CRUZ DE LA SIERRA BOLIVIA CUMPLIMENTANDO EL TRAMITE DE EXPULSION SEGUN DISPOSICION DE LA DIRECCION NACIONAL DE MIGRACIONES SDX 162447.</t>
  </si>
  <si>
    <t>AR 2503</t>
  </si>
  <si>
    <t>A CONTINUACIÓN SE DETALLA LA PARTIDA DE LOS MANDATARIOS MIEMBROS DE UNASUR, DESDE LA AEROESTACIÓN MILITAR AEROPARQUE: SEÑOR CANCILLER DE LA REPUBLICA BOLIVARIANA DE VENEZUELA Y EL SEÑOR CANCILLER DE LA REPUBLICA DE PARAGUAY, QUIENES ARRIBARON A LAS 11:30 HORAS EL DIA 01 DE OCTUBRE, EN VEHICULO OFICIAL, RETIRANDOSE A LAS 11:40 HORAS EN AERONAVE YU 2485 SIN NOVEDAD.</t>
  </si>
  <si>
    <t>SALIDA DE JURIDICCION ACCESO OESTE</t>
  </si>
  <si>
    <t>SE DIO CUMPLIMIENTO A LA ORDEN DE SERVICIO N°36/10 DE ESTA UOSP CONTROL VUELO ESPECIAL BRINDANDO SEGURIDAD AL ARRIBO EN LA CIUDAD DE POSADAS A LA DRA. VILMA SOCORRO MARTINEZ EN LA AERONAVE PROPIEDAD DE LA EMBAJADA DE LOS E.E. U.U. MATRICULA SOARK-07. LA COMITIVA ABANDONA LA JURIDICCION AEROPORTUARIA ESCOLTADA POR LA PATRULLA DE ESTA UNIDAD A LAS 11:15 HORAS SIN NOVEDAD</t>
  </si>
  <si>
    <t>SALIDA DE LA JURIDICCION ACCESO OESTE</t>
  </si>
  <si>
    <t>SE CUMPLIMENTO ORDEN DE SERVICIO N°36/10 DE ESTA UOSP CONTROL VUELO ESPECIAL BRINDANDO SEGURIDAD AL ARRIBO EN LA CIUDAD DE POSADAS A LA MINISTRA DE INDUSTRIA Y TURISMO DE LA NACION LICENCIADA DEBORA GEORGI, LA COMITIVA ABANDONA LA JURIDICCION AEROPORTUARIA ESCOLTADA POR LA PATRULLA DE LA UNIDAD A LAS 11:45 HORAS SIN NOVEDAD</t>
  </si>
  <si>
    <t>DIRECCIÓN NACIONAL DE MIGRACIONES S/ RETENCIÓN DE HUAYLLA, MARTA</t>
  </si>
  <si>
    <t>EXPTE. 15909/10</t>
  </si>
  <si>
    <t>U.O.S.P. METROPOLITANA</t>
  </si>
  <si>
    <t>EN CUMPLIMIENTO A ORDEN DE SERVICIO N° 255/10 DE FECHA 29-SET-10 EMITIDA POR LA U.R.S.A. II DEL CENTRO, SIENDO LAS 06:50 HS SE PRESENTÓ EN ESTA PREVENCIÓN UNA COMITIVA DEL SERVICIO PENITENCIARIO CÓRDOBA TRASLADANDO A LA EXPULSADA, LA CUAL TRAS REALIZARLE EL CORRESPONDIENTE PRECARIO MÉDICO, PERMANECIÓ EN CUSTADODIA EN LA GUARDIA DE PREVENCIÓN POR EL OFICIAL MAYOR SALAS FERNANDO QUIEN REVISTA EN EL GEP DE LA UOESA DEL CENTRO Y LA OFICIAL PRINCIPAL TOLEDO MARÍA DEL CARMEN PERTENECIENTE A LA GUARDIA PREVENTIVA DE LA UOSP CBA , PERSONAL QUE LUEGO EFECTUO EL TRASLADO DE LA EXPULSADA CON DESTINO AEROPARQUE A BORDO DEL VUELO DE REFERENCIA , QUEDANDO LA CAUSANTE A PARTIR DE LA ENTREGA EN CUSTODIA POR EFECTIVOS DE LA UOSP METROPOLITANA. SIENDO LAS 15:30 HS REGRESAN EN EL VUELO DE LA EMPRESA AEROLINEAS ARGENTINA N° 2530 LOS OFICIALES QUE FUERON DESIGNADOS PARA LA CUSTODIA Y POSTERIOR TRASLADO DE LA EXPULSADA, SIN NOVEDAD.</t>
  </si>
  <si>
    <t>CÓRDOBA</t>
  </si>
  <si>
    <t>INFRACCION LEY 23.737.</t>
  </si>
  <si>
    <t>CIUDAD DE SANTO TOME, PROVINCIA DE SANTA FE.</t>
  </si>
  <si>
    <t>URSA IV - DEL LITORAL.</t>
  </si>
  <si>
    <t>SE INFORMA QUE DE LAS TAREAS INVESTIGATIVAS REALIZADAS EN EL MARCO DE LA CAUSA DE REFERENCIA, SOBRE LA REMITENTE EL DOMICILIO DECLARADO ES INEXISTENTE PARA AVENIDA 7 DE MARZO 2500, LOCALIDAD DE SANTO TOME, PROVINCIA DE SANTA FE, EN LA ZONA NO SE PUDO ESTABLECER EL PARADERO DE PERSONA ALGUNA LLAMADA MERCADO DANIELA ESTHER, EL TELEFONO NRO. 1566607501 ES INEXISTENTE PARA LA CARACTERISTICA DE SANTO TOME-SANTA FE-0342. ADEMAS, SE TOMO CONTACTO CON PERSONAL DEL CORREO ARGENTINO QUE RECEPCIONO LA ENCOMIENDA PARA SER DESPACHADA, QUIEN DIO LA DESCRIPCION DE LA PERSONA QUE LA ENVIO Y ADEMAS RECORDABA QUE HABIA HECHO OTRO ENVÍO. AL REVISAR LAS GUÍAS SURGE QUE EXISTE OTRO ENVÍO DE OLLAS A CHINA EL 28/06/2010, PERO REALIZADO POR PAOLA VILLA PUMA JAIN, QUIEN TAMBIÉN ENVÍO EL 11/06/2010 REMERAS CON DESTINO A SUDAFRICA. TAMBIÉN EN ESTE CASO EL DOMICILIO DECLARADO RESULTO SER INEXISTENTE Y EL TELÉFONO DE CONTACTO NRO. 1564778290 INEXISTENTE PARA LA CARACTERÍSTICA DE SANTO TOME-SANTA FE-0342-. LAS TAREAS SE REALIZARON MEDIANTE ORDEN DE SERVICIO NRO. 226/2010 URSA IV Y FUERON INFORMADAS EN MEMORANDO 089/2010 UOCN Y DC IV DEL LITORAL. EN EL DIA DE LA FECHA SIENDO LAS 12:22HS SE REALIZA LLAMADA DEL TELÉFONO DE DOTACIÓN NRO. 0341-154020665 AL NRO. 1566607501 CON CARACTERÍSTICA -011-, EL CUAL ES ATENDIDO POR UNA VOZ MASCULINO CON ACENTO EXTRANJERO, INFORMANDO QUE DANIELA NO SE ENCONTRABA EN ESE MOMENTO.-</t>
  </si>
  <si>
    <t>INF. A LOS ARTS. 78 Y 85 DECRETO LEY 8031/73</t>
  </si>
  <si>
    <t>PLAYA DE ESTACIONAMIENTO DE LA TERMINAL A.</t>
  </si>
  <si>
    <t>EL DIA Y LA FECHA ANTES MENCIONADA EN MOMENTOS EN QUE EL OFICIAL JOAQUIN VILAS Y EL OFICIAL MARIANO VILAS REALIZANDO UNA RECORRIDA POR LA PLAYA DE ESTACIONAMIENTO EN PREVENCION DE DELITOS Y FALTAS OBSERVAN ASCENDIENDO A UN AUTOMOVIL MARCA RENAULT MODELO MEGANE, DOMINIO GAB-177, A UN MASCULINO EN SU PARTE DELANTERA Y DOS MASCULINOS EN SU PARTE TRASERA, SEGUIDAMENTE EL PERSONAL POLICIAL LE SOLICITA AL CONDUCTOR DEL RODADO QUE EXHIBA LA HABILITACION PARA EJERCER LA ACTIVIDAD DE REMIS RECIBIENDO COMO RESPUESTA QUE CARECIA DE LA MISMA POR TAL MOTIVO SE PROCEDE AL SECUESTRO DEL RODADO, PARA POSTERIORMENTE CONDUCIR AL INFRACTOR AL SERVICIO DE SANIDAD, Y A LA GUARDIA DE PREVENCION A LOS FINES DE LABRAR LAS ACTUACIONES CONTRAVENCIONALES DE RIGOR.</t>
  </si>
  <si>
    <t>6040/10</t>
  </si>
  <si>
    <t>A CONTINUACIÓN SE DETALLA LA PARTIDA DE LOS MANDATARIOS MIEMBROS DE UNASUR, DESDE LA AEROESTACIÓN MILITAR AEROPARQUE: SEÑOR CANCILLER DE LA REPUBLICA FEDERATIVA DEL BRASIL, EL SEÑOR CANCILLER DE LA REPUBLICA DE CHILE, EL SEÑOR CANCILLER DE LA REPUBLICA DE COLOMBIAY EL SEÑOR CANCILLER DE LA REPUBLICA DE ECUADOR, QUIENES ARRIBARON A LAS 13:00 HORAS EN EL DIA DE LA FECHA, VÍA TERRESTRE, RETIRÁNDOSE A LAS 13:17 HORAS EN AERONAVE VC-99B2583 CON DESTINO A LA CIUDAD DE QUITO, SIN NOVEDAD. SEÑOR PRESIDENTE DE LA REPUBLICA BOLIVARIANA DE VENEZUELA Y COMITIVA, QUIEN ARRIBO A LAS 13:30 HORAS EN EL DIA DE LA FECHA, VÍA TERRESTRE, RETIRÁNDOSE A LAS 13:45 HORAS EN AERONAVE 0001 CON DESTINO A LA CIUDAD DE CARACAS, A QUIEN SE LE REALIZO CONTROL DE RX SOBRE EL EQUIPAJE DE BODEGA, POR SOLICITUD DE LA CUSTODIA PRESIDENCIAL SIN NOVEDAD.</t>
  </si>
  <si>
    <t>DRA. CALUDIA CECCONI</t>
  </si>
  <si>
    <t>OFICINA DE MIGRACIONES TERMINAL A</t>
  </si>
  <si>
    <t>EN MOMENTOS QUE EL COMISIONADO MAYOR GONZALO MARTINEZ Y EL OFICIAL JEFE CARLOS VEGA, EFECTUABAN UNA RECORRIDA POR LA TERMINAL A, OBSERVAN A UNA PERSONA DE SEXO MASCULINO REALIZANDO VENTA AMBULANTE DE SUSTANCIAS ALIMENTICIAS EN EL INTERIOR DE LAS OFICINAS DE MIGRACIONES, CARECIENDO DE LA HABILITACION CORRESPONDIENTE PARA EJERCER DICHA TAREA, SE LE INFORMA LA FALTA COMETIDA Y SE LE INICIAN LAS ACTUACIONES CONTRAVENCIONALES CORRESPONDIENTES.</t>
  </si>
  <si>
    <t>PEAJE DE SALIDA TAQUILLA</t>
  </si>
  <si>
    <t>EL DIA Y LA FECHA ANTES MENCIONADA EN MOMENTOS EN QUE EL OFICIAL CABRERA Y EL OFICIAL VALDEZ DETIENEN UN VEHICULO PARTICULAR MARCA DODGE MODELO CARAVAN FWD DOMINIO SQW 850 QUE EGRESABA DEL AEROPUERTO CON PASAJEROS EN SU INTERIOR, LE SOLICITAN AL CONDUCTOR DEL RODADO LA DOCUMENTACION HABILITANTE Y POR CARECER DE LA MISMA LO TRASLADAN A SANIDAD PARA SU CHEQUEO MEDICO Y POSTERIORMENTE AL ASIENTO DE LA GUARDIA DE PREVENCION A LOS FINES DE LABRAR LAS ACTUACIONES CONTRAVENCIONALES CORRESPONDIENTES.</t>
  </si>
  <si>
    <t>6045/10</t>
  </si>
  <si>
    <t>PLAYA ESTACIONAMIENTO OFICIAL, PUBLICA Y ACCESO OESTE</t>
  </si>
  <si>
    <t>SE CUMPLIMENTO ORDEN DE SERVICIO N°36/10 DE ESTA UOSP CONTROL VUELO ESPECIAL BRINDANDO SEGURIDAD DESDE EL ARRIBO A ESTA JURIDICCION HASTA LA PARTIDA DE LA MINISTRA DE INDUSTRIA Y TURISMO DE LA NACION LICENCIADA DEBORA GEORGI Y COMITIVA QUIEN DESPEGO A LAS 16:10 HORAS SIN NOVEDAD EN EL VUELO ANTES MENCIONADO.</t>
  </si>
  <si>
    <t>SIENDO EL DIA MENCIONADO SIN DETALLE HORARIO, EL OFICIAL PRINCIPAL JORGE ARIEL CORVALAN CUMPLIENDO FUNCIONES EN EL COC EZEIZA, OBSERVÓ POR UNA DE LAS CAMARAS, LA CUAL TOMA IMAGENES DEL SECTOR ALUDIDO, A UNA PERSONA DE SEXO MASCULINO REALIZANDO EL SERVICIO DE MALETERO A PASAJEROS RECIEN ARRIBADOS AL PAIS, POR LO QUE INFORMÓ LA NOVEDAD AL OFICIAL AYUDANTE PABLO CARABAJAL, ENCONTRANDOSE ÉSTE EN LA PERGOLA DEL SECTOR A, SEGUIDAMENTE EL OFICIAL DESTACADO EN EL SECTOR, LE SOLICITA AL MASCULINO EN CUESTION QUE EXHIBA LA HABILITACION Y O PERMISO PARA EFECTUAR TAL ACTIVIDAD RECIBIENDO COMO RESPUESTA QUE CARECIA DE LA MISMA. POR TAL CIRCUNSTANCIA EL PERSONAL POLICIAL TRASLADA AL INFRACTOR AL SERVICIO DE SANIDAD PARA EFECTUARLE UN CONTROL PRECARIO MEDICO Y POSTERIORMENTE A LA OFICINA DE CONTRAVENCIONES Y FALTAS A LOS FINES DE LABRAR LAS ACTUACIONES PERTINENTES.</t>
  </si>
  <si>
    <t>SECTOR DENOMINADO ISLA DE TAXIS DE LA TERMINAL A</t>
  </si>
  <si>
    <t>CUANDO EL OFICIAL PRINCIPAL CLAUDIO PONCE ASIGNADO EN EL PUESTO COC OBSERVA POR UNA DE LAS CAMARAS A UN INDIVIDUO DE SEXO MASCULINO CUMPLIENDO FUNCIONES DE MALETERO CON PASAJEROS RECIEN ARRIBADOS AL PAIS POR TAL MOTIVO PASA LA NOVEDAD AL OFICIAL CARABAJAL QUIEN SE ENCONTRABA EN CERCANIAS DEL LUGAR Y CONSTATA LA FALTA SOLICITANDOLE AL INFRACTOR QUE EXHIBA LA CORRESPONDIENTE HABILITACION PARA EFECTUAR TAL ACTIVIDAD EN EL AEROPUERTO RECIBIENDO COMO RESPUESTA QUE CARECIA DE LA MISMA SEGUIDAMENTE EL PERSONAL POLICIAL TRASLADA AL INFRACTOR AL SERVICIO MEDICO Y POSTERIORMENTE A LA OFICINA DE CONTRAVENCIONES Y FALTAS A LOS FINES DE LABRAR LAS ACTUACIONES CORRESPONDIENTES.</t>
  </si>
  <si>
    <t>EL OFICIAL PONCE ASIGNADO EN EL PUESTO COC OBSERVA POR UNA DE LAS CAMARAS QUE UN PASAJERO ASCENDIA A UN RODADO CON LAS CARACTERISTICAS SIMILARES A UN TAXI C.A.B.A. SIN NUMERO DE LICENCIA VISIBLE EN SUS PUERTAS POR TAL RAZON DA LA NOVEDAD AL OFICIAL CARABAJAL QUIEN SE APERSONA EN EL LUGAR Y LE SOLICITA AL CONDUCTOR DEL VEHICULO QUE EXHIBA LA DOCUMENTACION DEL RODADO Y PERSONAL CONSTATANDO QUE EL MISMO CARECIA DE HABILITACION PARA EFECTUAR TRANSPORTE DE PASAJEROS POR TAL MOTIVO PROCEDE A TRASLADAR AL INFRACTOR AL SERVICIO DE SANIDAD PARA SU CHEQUEO MEDICO Y POSTERIORMENTE A LA OFICINA DE CONTRAVENCIONES Y FALTAS A LOS FINES DE LABRAR LAS ACTUACIONES PERTINENTES Y SECUESTRO DEL VEHICULO. SE INFORMA QUE EL DIA 01/10/2010 SE PROCEDE A LA ENTREGA DEL VEHICULO SECUESTRADO AL SR. NESTOR LEONARDO GUARDIA SIN NOVEDAD.</t>
  </si>
  <si>
    <t>PERGOLA II TERMINAL A</t>
  </si>
  <si>
    <t>EL OFICIAL PRINCIPAL JORGE CORVALAN ASIGNADO EN EL PUESTO COC OBSERVA POR UNA DE LAS CAMARAS QUE UNA PERSONA DE SEXO MASCULINO SE ACERCABA MUY FRECUENTEMENTE A PASAJEROS RECIEN ARRIBADOS AL PAIS POR TAL MOTIVO DA LA NOVEDAD AL OFICIAL AYUDANTE CARABAJAL QUIEN SE APERSONA AL LUGAR CONSTATANDO QUE LA PERSONA EN CUESTION OFRECIA A VIVA VOZ A PASAJEROS SERVICIO DE TAXI POR TAL MOTIVO EL FUNCIONARIO POLICIAL PROCEDE A TRASLADAR AL INFRACTOR AL SERVICIO DE SANIDAD PARA SU Y POSTERIORMENTE A LA OFICINA DE CONTRAVENCIONES Y FALTAS A LOS FINES DE LABRAR LAS ACTUACIONES DE RIGOR.</t>
  </si>
  <si>
    <t>LOPEZ PERRANDO - FISCAL</t>
  </si>
  <si>
    <t>MARTIN FERNANDO</t>
  </si>
  <si>
    <t>VIVIANA DURINI</t>
  </si>
  <si>
    <t>PATIO DE VALIJAS - PLATAFORMA - BODEGA AERONAVE -</t>
  </si>
  <si>
    <t>EL DIA 26 DE SEPTIEMBRE PARTIO A LAS 9:10 HORAS EN EL VUELO AR2682 DE LA EMPRESA AEROCOMERCIAL AEROLINEAS ARGENTINAS. LUEGO ARRIBO A LAS 12:10 HORAS APROXIMADAMENTE, EN LA CIUDAD DE SAN CARLOS DE BARILOCHE, POR LO QUE SE DIRIGE AL SECTOR DE ARRIBOS PARA RETIRAR SU EQUIPAJE, DONDE AGUARDO SU MALETA POR VARIOS MINUTOS, , POR LO QUE SE ACERCO A RECLAMOS DE LA COMPAÑIA Y LE INFORMAN QUE SU EQUIPAJE VENDRIA EN EL PROXIMO VUELO POR LA NOCHE. AL DIA SIGUIENTE SE COMUNICO CON LA EMPRESA TENIENDO RESPUESTA NEGATIVA. A LOS DIAS CONSECUTIVOS, POR LO QUE EN EL DIA DE LA FECHA SE HACE PRESENTE A ESTA GUARDIA PARA RADICAR DICHA DENUNCIA.</t>
  </si>
  <si>
    <t>AR2682</t>
  </si>
  <si>
    <t>LOPEZ - FISCAL</t>
  </si>
  <si>
    <t>MARTIN, FERNANDO</t>
  </si>
  <si>
    <t>CASA DE CAMBIO GLOBAL EXCHANGE</t>
  </si>
  <si>
    <t>EL DIA 30 DE SEPTIEMBRE DEL CORRIENTE AÑO, ARRIBO A ESTA AEROESTACION DE LA CIUDAD DE SAN PABLO,POR LO QUE SE DIRIGIO HACIA EL LOCAL DE CAMBIO GLOBAL EXCHANGE, DONDE CAMBIO 630 REALES, LOS CUALES EQUIVALEN A 1197.78 PESOS ARGENTINOS. LOS MISMOS FUERON ENTREGADOS EN 11 BILLETES DE CIEN PESOS ARGENTINOS Y EL RESTO EN CAMBIO. EN EL DIA DE LA FECHA SIENDO LAS 17:00 HORAS APROXIMADAMENTE,SE DIRIGE A UN RESTAURANTE, DONDE EN EL MOMENTO QUE SE DISPONE A PAGAR LA CUENTA, EL MOZO LE INFORMA QUE DICHO BILLETE ES FALSO,POR LO QUE OBSERVA EL RESTO DE LOS BILLETES, Y VERIFICA QUE EL RESTO DE LOS BILLETES TAMBIEN SON FALSOS. INMEDIATAMENTE SE HACE PRESENTE A ESTA GUARDIA DE PREVENCION A FIN DE RADICAR LA DENUNCIA.</t>
  </si>
  <si>
    <t>EN CERCANIAS A LA MANGA Nº 5</t>
  </si>
  <si>
    <t>BARRA AIR COFFEE</t>
  </si>
  <si>
    <t>PERSONAL DE LA BARRA DE AIR COFFEE SE APROXIMA AL PREEMBARQUE 1/16 Y SE CONTACTA CON EL OFICIAL ESCOBAR MANIFESTANDO QUE HAY UNA PERSONA DE SEXO MASCULINO QUE SE HABRIA AUTOLESIONADO SU CUELLO CON UN VASO DE VIDRIO, POR LO QUE EL OFICIAL SE APROXIMA RAUDAMENTE AL LUGAR DANDO AVISO AL JEFE DE TURNO Y A SANIDAD. SE APROXIMA EL JEFE DE TURNO AL LUGAR Y A LOS QUINCE MINUTOS LLEGA PERSONAL DE SANIDAD LOS CUALES MANIFIESTAN EL TRASLADO DEL PASAJERO AL HOSPITAL DE EZEIZA.LUEGO EL JEFE DE TURNO INVITA A LOS TESTIGOS A LA GUARDIA DE PREVENCION PARA INICIAR LAS ACTUACIONES CORRESPONDIENTES.</t>
  </si>
  <si>
    <t>PRESUNTA INFRACCION A LOS ARTS. 292,293 Y 296</t>
  </si>
  <si>
    <t>GUARDIA DE PREVENCION PSA</t>
  </si>
  <si>
    <t>SE RECIBE DE LA DNM EZEIZA NOTA Y DENUNCIA FORMAL REMITIENDO A UNA PERSONA DE SEXO MASCULINO QUIEN SE IDENTIFICA COMO CARLOS HUGO RIMACHI APUELA PRESENTANDO UN PASAPORTE PERUANO PRESUNTAMENTE APOCRIFO. AL REALIZARSE LA REQUISA PERSONAL SE ENCUENTRA ENTRE SUS PERTENENCIAS UNA CEDULA Y UN DNI ARGENTINOS Nº 29169234, A NOMBRE DE IGNACIO JAVIER PIETRAGALLA, MANIFESTANDO EL CAUSANTE QUE ESTA ERA SU VERDADERA IDENTIDAD. EL JUEZ INTERVINIENTE ORDENO SU DETENCIÓN EN CARACTER DE COMUNICADO.</t>
  </si>
  <si>
    <t>RUIZ RAMIREZ, AMANDA</t>
  </si>
  <si>
    <t>EN MOMENTOS DE EFECTUARSE EL CONTROL PREVENTIVO SOBRE LOS EQUIPAJES DESPACHADOS A BODEGA, PERSONAL POLICIAL, DETECTO A TRAVES DE LA MAQUINA DE MENCION, QUE EN EL INTERIOR DE UN BOLSO, ERA HABIDA UNA SUSTANCIA DE BAJA DENSIDAD DISTRIBUIDA EN PRENDAS DE VESTIR, SIN PODER PRECISAR EL TIPO DE SUSTANCIA QUE SE TRATABA. SEGUIDAMENTE,DETECTARON UN SEGUNDO BOLSO, CON IDENTICAS CARACTERISTICAS EN SU INTERIOR A LAS DEL PRIMER BOLSO. A CONTINUACION SE INDIVIDUALIZO A LOS DOS APSAJEROS PROPIERTARIOS DE LOS BOLSOS Y JUNTO A DOS TESTIGOS SE EFECTUA EL TRASLADO A LA GUARDIA DE PREVENCION DONDE PREVIA COMUNICACION CON LA JUDICATURA INTERVINIENTE, SE EFECTUÒ LA REQUISA DE LOS EQUIPAJES, ENCONTRANDO EN AMBOS BOLSOS PRENDAS DE VESTIR, LAS CUALES LLEVABAN ADHERIDAS PAQUETES CONTENIENDO SUSTANCIA, POR LO CUAL SE TOMO UNA PEQUEÑA PORCION DE CADA UNO Y SE LE REALIZO UNA PRUEBA DE CAMPO PARA LA SUSTANCIA CLORHIDRATO DE COCAINA, ARROJANDO RESULTADO POSITIVO. SEGUIDAMENTE SE PROCEDIÓ A REALIZAR UNA REQUISA PERSONAL SOBRE AMBOS DETENIDOS, ARROJANDO RESULTADO NEGATIVO AL HALLAZGO DE SUSTANCIAS PROHIBIDAS EN EL CASO DE LA FEMENINA, EN CAMBIO, SE HALLO EN EL BOLSILLO SUPERIOR DERECHO DE LA CAMPERA QUE POSEIA EL DETENIDO, UN ATADO DE CIGARRILLOS QUE CONTENIA EN SU INTERIOR UN PAQUETE CON UNA BOLSA DE NYLON DE COLOR BLANCA ENVUELTO EN UNA SERVILLETA DONDE SE ENCONTRABA UN ELEMENTO COMPACTO DE COMPUESTO VEGETAL, Y DEL BOLSILLO PEQUEÑO DELANTERO DEL PANTALON DE JEAN QUE VESTIA SE EXTRAJO UNA BOLSA DE NYLON TRANSPARENTE LA CUAL CONTENIA UNA PEQUEÑA CANTIDAD DE SUSTANCIA VEGETAL, RETIRANDOSE EN AMBOS CASOS UNA MINIMA PORCION REALIZANDOSE EN FORMA INDIVIDUAL UN REACTIVO PARA MARIHUANA, ARROJANDO EN AMBOS CASOS RESULTADO POSITIVO. SEGUN P.U. Nº 6076, SE INFORMA QUE EL DIA 02/10/2010 EN HORAS 07.30, SE TRASLADÓ A LOS DETENIDOS A SEDE JUDICIAL, SIN NOVEDAD.</t>
  </si>
  <si>
    <t>DR LEANDRO GOMEZ CONSTENLA</t>
  </si>
  <si>
    <t>LEGAJO DE EJECUCION DE GREGORIO VIGO DEL VALLE</t>
  </si>
  <si>
    <t>1044/2114</t>
  </si>
  <si>
    <t>SIENDO 09:10 HS SE CUMPLIMENTA ORDEN Nº 269/10 TRASLADANDO EL DETENIDO GREGORIO VIGO DEL VALLE HACIA LA CIUDAD AUTONOMA DE BUENOS AIRES EN CUSTODIA DE LA COMISION DEL DEPARTAMENTO DE INTERPOL, A CARGO DEL SARGENTO 1º GERONIMO ROMERO DNI 14.694.116 Y CABO GABRIEL CARRATINI DNI 26.059.061 . LA CUSTODIA EN LA ZONA RESTRINGIDA POR PARTE DE ESTA UOSP ESTUVO A CARGO DEL OFICIAL MAYOR VEIGA ARIEL, OFICIAL PRINCIPAL BONACCI FARID Y OFICIAL AYUDANTE CONTRERAS MARCELO.</t>
  </si>
  <si>
    <t>PRESUNTA INFRACCIÓN LEY 23.737</t>
  </si>
  <si>
    <t>CONTROL PORTAL DE ACCESO DE PASAJERO</t>
  </si>
  <si>
    <t>SIENDO LAS 11:00 HORAS LOCAL EL PERSONAL INTERVINIENTE EN EL PUESTO PREEMBRAQUE LOS OFICIALES PRINCIPAL SANDRA VILDOZA Y EL AYUDANTE GUSTAVO SOZA, PROCEDEN A CONTROLAR A PASAJERO, QUIEN EN EL BOLSILLO DELANTERO DE SU PANTALÓN, LLEVABA UN ENVOLTORIO CON UNA SUSTANCIA VERDOSA, Y UN CIGARRILLO A MEDIO CONSUMIR. SE DA INTERVENCIÓN AL JUZGADO FEDERAL DE COMODORO RIVADAVIA QUIEN DISPONE QUE SE REALICE EL ACTA DE PROCEDIMIENTO E IMPUTACIÓN A LA PRESUNTA INFRACCIÓN DE LA LEY 23.737, Y EL SECUESTRO DE LA SUSTANCIA Y QUE SE DEJE EN LIBERTAD AL IMPUTADO.</t>
  </si>
  <si>
    <t>PUERTA INGRESO AL PREEMBARQUE, DENOMINADO T 3</t>
  </si>
  <si>
    <t>SIENDO LAS 13:40 HORAS APROXIMADAMENTE, LA OF BENITEZ PABLA INFORMA A LA GUARDIA DE PREVENCION ACERCA DE UN BOLSO MEDIANO OLVIDADO EN LA PUERTA VIDRIADA DE LA ENTRADA AL PREEMBARQUE NACIONAL, TERMINAL 3, PARTE PUBLICA. LUEGO DE REALIZAR ANUNCIO POR ALTOPARLANTE Y PEDIR REGISTRO FILMICO DE RESULTADO NEGATIVO SE PROCEDE A LAS 13:50 HORAS A REALIZAR EL PERIMETRO DE SEGURIDAD A FIN DE INICIAR EL OPERATIVO DE GEDEX Y SE DA CONOMIENTO E INTERVENCION A BOMBEROS DE PFA, CABO 1RO PEREZ JOSE, DNI NUMERO 23.211.448 Y LEGAJO PERSONAL NUMERO 24317 Y PERSONAL DE EMERGER, PERRETTI MARCELO, MN NUMERO 29410. 14:03 HORAS SE FINALIZA DICHO PROCEDIMIENTO DE RESULTADO NEGATIVO. LUEGO EN PRESENCIA DE LOS TESTIGOS SE PROCEDE A LA APERTURA DEL MISMO OBSERVANDOSE EN SU INTERIOR DOS BOTELLAS DE VINO Y ROPAS VARIAS Y SE CONFECCIONA ACTA DE HALLAZGO NUMERO 2491/10.</t>
  </si>
  <si>
    <t>6071/10</t>
  </si>
  <si>
    <t>PUNTO DE INSPECCION Y REGISTRO DENOMINADO PATIO DE VALIJAS DE LA TERMINAL A DE ESTE MEDIO</t>
  </si>
  <si>
    <t>INFORMO QUE CON FECHA 02-10-2010 SIENDO LAS 07:30 HS APROXIMADAMENTE SE PROCEDIO AL TRASLADO DE LOS DETENIDOS ROCIO HERRAZ AZABAL Y JORGE MANUEL GONCALVEZ PEREIRA, A SEDE JUDICIAL, EN VIRTUD A LO DISPUESTO POR EL JUZGADO.</t>
  </si>
  <si>
    <t>A HORAS VEINTE SE PRESENTA EL SR. SERGIO ROLANDO MOLINA A EFECTOS DE RADICAR UNA DENUNCIA, DONDE MANIFIESTA QUE UNA VEZ ARRIBADO AL AEROPUERTO DE SALTA, PROCEDENTE DEL AEROPUERTO JORGE NEWBERY, AL RETIRAR SU EQUIPAJE DESPACHADO POR BODEGA, OBSERVA QUE SU BOLSO SE ENCONTRABA SIN CANDADO Y PRECINTO, CONSTATANDO POSTERIORMENTE EL FALTANTE DE UNA CAMARA FOTOGRAFICA DIGITAL, UNA NAVAJA, UNA AGENDA Y LA CANTIDAD DE PESOS QUINIENTOS, EL JEFE DE TURNO SE TRATA DE COMUNICAR CON LA FISCALIA FEDERAL DE SALTA Nº 2, Y NO PUDIENDO LOGRARLO, REALIZA LAS ACTUACIONES DE OFICIO Y LAS MISMAS SERAN ELEVADAS A LA BREVEDAD, SE AMPLIARA CUANDO SE ESTABLEZCA COMUNICACION CON LA FISCALIA INTERVINIENTE.- SEGÚN P.U. Nº 6094/10 - AMPLIACION EL DIA 04-OCT-10, SIENDO HORAS 08:40, EL OF.MY.MIGUEL FABIAN SE COMUNICA TELEFONICAMENTE CON LA DRA PAULA GALLO PULO, SECRETARIA DE LA FISCALIA FEDERAL DE SALTA Nº 2, PARA INFORMARLE SOBRE LOS HECHOS ACONTECIDOS EL DIA 02 DE OCTUBRE DEL CTE AÑO, POR CAUSA :HURTO N.N , TAMBIEN LE INFORMA QUE EL SUSCRIPTO INTENTO COMUNICARSE CON LA MISMA,NO PUDIENDO CONTACTARSE EL DIA 02 DE OCTUBRE, LA DRA. GALLO PULO ORDENA QUE SE REALIZEN LAS ACTUACIONES CORRESPONDIENTES Y UNA VEZ TERMINADAS, SEAN ELEVADAS A ESA FISCALIA.</t>
  </si>
  <si>
    <t>CINTAS DE RETIRO DE EQUIPAJE Nº 1</t>
  </si>
  <si>
    <t>AL ARRIBAR A ESTE MEDIO SE DISPONE A RETIRAR LOS EQUIPAJES DESPACHADOS POR BODEGA, EN EL AEROPUERTO DE ORIGEN DEL VUELO, LOS CUALES TARDARON UNOS 30 MINUTOS EN SALIR A LAS CINTAS DE RETIRO. AL TOMAR CONTACTO CON EL MISMO, LA DENUCIANTE SE PERCATA QUE SE ENCONTRABA CON EL CIERRE ABIERTO Y QUE LE FALTABA UN CANDADO QUE LE HABIA COLOCADO POR SEGURIDAD. POR LO CUAL APERTURA EL MISMO Y DETECTA EL FALTANTE DE PERTENENCIAS. EN VIRTUD A ELLO, SE ENTABLA COMUNICACION JUDICIAL, MEDIANTE LA CUAL SE DISPONE LA REQUISA DE LOS COFRES DEL PERSONAL AFECTADO AL ARRIBO DEL VUELO TANTO DE LA EMPRESA INTERCARGO COMO DE LA EMPRESA HAS. QUE COMO RESULTADO DE DICHA DILIGENCIA SE EFECTUO LA REQUISA DE ONCE COFRES CORRESPONDIENTES AL PERSONAL DE INTERCARGO ASIGNADO AL VUELO EN CUESTION, OBTENIENDOSE RESULTADO NEGATIVO EN CUANTO A LA BUSQUEDA DE ELEMENTOS DENUNCIADOS COMO FALTANTES. EN TANTO EL PERSONAL DE HAS NO POSEE COFRES Y/O ARMARIOS PARA LA GUARDA DE EFECTOS PERSONALES. PTO</t>
  </si>
  <si>
    <t>LP 2427</t>
  </si>
  <si>
    <t>FERNANDEZ DAVID ALFONSO Y OTROS S/INF. ART 302 DEL CP</t>
  </si>
  <si>
    <t>2298/2002/3363</t>
  </si>
  <si>
    <t>LA D.N.M REMITE AL CAUSANTE EN VIRTUD A LA CAPTURA QUE PESA EN SU CONTRA POR LO CUAL SE PROCEDE A LA DETENCION DEL MISMO, SE CURSA NOTA INTERPOL Y DADO QUE EL SISTEMA DE ESE ORGANISMO LA MEDIDA TAMBIEN SE ENCUENTRA VIGENTE, SE ENTABLA COMUNICACION CON EL JUZGADO SOLICITANTE EL CUAL DISPONE QUE EL DETENIDO FIJE DOMICILIO Y UNA VEZ CONSTATADO EL MISMO DE NO PESAR OTRO IMPEDIMENTO EN SU CONTRA EL CAUSANTE SEA LIBERADO Y SE RETIRE DE ESTA DEPENDENCIA , DADO QUE LA MEDIDA RESTRICTIVA EN CUESTION SE ENCUENTRA EN TRAMITE EXENCION DE PRISION. A LAS 17:00 HORAS DEL DIA 03-10-10 EL CAUSANTE SE RETIRO DE ESTA DEPENDENCIA POR SUS PROIOS MEDIOS Y JUNTO A US PERTENENCIA DE ACUERDO A LO ORDENADO POR S.SA PTO</t>
  </si>
  <si>
    <t>SECTOR DE TRANSITOS</t>
  </si>
  <si>
    <t>EN MOMENTOS QUE EL PERSONAL DE LA DIVISIÓN PREVENCIÓN DE TRÁFICO ILÍCITO REALIZABA UN CONTROL RUTINARIO SOBRE LOS PASAJEROS ARRIBADOS EN CONDICIÓN DE TRANSITO CON CONEXIONES A DIFERENTES CIUDADES EUROPEAS, DETECTARON EN DIFERENTES OPORTUNIDADES A DOS PASAJEROS QUE SE MOSTRARON CON UN ALTO NIVEL DE NERVIOSISMO RESPONDIENDO DE FORMA DUBITATIVA Y CONTRADICTORIA A LAS PREGUNTAS DE RIGOR REALIZADAS POR EL PERSONAL POLICIAL, CON LA PARTICULARIDAD DE TRANSPORTAR POCO EQUIPAJE PARA EL TIEMPO DE SU ESTADÍA SITUACIÓN QUE LLAMÓ LA ATENCIÓN DEL PERSONAL INTERVINIENTE POR LO QUE TRASLADARON A DICHOS PASAJEROS HACIA EL TURNO DONDE SE REALIZO LA CONSULTA PARA EFECTUAR PLACAS DE RX O INSPECCIÓN CON BODY SCAN, DISPONIENDO EL MAGISTRADO ACTUANTE QUE DADO A LA PRÓXIMA PARTIDA DE LOS CORRESPONDIENTES VUELOS Y A LA CONDICIÓN DE TRANSITO DE LOS PASAJEROS SE DEBERÍA DAR AVISO A LA POLICÍA DE JURISDICCIÓN DONDE ARRIBARÍAN LOS VUELOS EN CUESTIÓN A LOS EFECTOS DE QUE SE LE REALICEN LOS CONTROLES PERTINENTES. POR TAL MOTIVO LOS PASAJEROS EN CUESTIÓN CONTINÚAN CON SUS RESPECTIVOS VIAJES Y SE CURSA NOTA A INTERPOL ASUNTOS INTERNACIONALES A LOS FINES DE QUE TRASMITAN LO DISPUESTO POR EL JUZGADO INTERVINIENTE A SUS PARES DE LAS CIUDADES DE BARCELONA, MILAN Y FRANKFURT. EL PASAJERO VERA TENIA COMO DESTINO FINAL LA CIUDAD DE BARCELONA EN EL VUELO AR 1160 Y EL PASAJERO MONTELLANOS HERNANDEZ TENIA COMO DESTINO LA CIUDAD DE MILAN Y DESTINO FINAL FRANKFURT. PTO.-</t>
  </si>
  <si>
    <t>SIENDO LAS 19:55 HS, SE IMPLEMENTA OPERATIVO DE SEGURIDAD A LOS EFECTOS DE DAR CUMPLIMIENTO A ORDEN DE SERVICIOS 701/10 DE LA URSA I DEL ESTE, CON MOTIVO DE LA PARTIDA DE LA SRA. PRESIDENTA DE LA NACION. SIENDO LAS 22:20 HS ARRIBA A LA PLATAFORMA MILITAR EN EL H-01, DESPENGANDO DE ESTA AEROESTACION CON DESTINO A LA REPUBLICA DE ALEMANIA A LAS 22:25 HS EN LA AERONAVE 9H-XRS SIN NOVEDAD.</t>
  </si>
  <si>
    <t>INFRACCION AL ARTICULO 211 DEL CODIGO PENAL</t>
  </si>
  <si>
    <t>PERSONAL DEL C.O.C., INFORMA QUE SE HABÍA OBSERVADO A TRAVÉS DE LAS CÁMARAS, QUE EN LA PÉRGOLA DE LA TERMINAL "B" UN VEHICULO TIPO MONOVOLUMEN, DETIENE SU MARCHA DESCENDIENDO DEL MISMO UNA PERSONA DE SEXO MASCULINO EL CUAL RETIRA DEL INTERIOR DEL VEHICULO DOS CAJAS DE CARTÓN Y LAS COLOCA SOBRE UN CARRO PORTAMALETAS , PROCEDE A TRASLADARLAS A LA PLAYA DE ESTACIONAMIENTO DEJÁNDOLAS ABANDONADAS EN EL SECTOR LINDERO AL GUARDA RAIL QUE DIVIDE DICHA PLAYA DE ESTACIONAMIENTO CON LA CALLE ADYACENTE AL SECTOR DE ARRIBOS DE LA MISMA TERMINAL. SE PROCEDE A AISLAR LA ZONA Y SE DA AVISO AL PERSONAL DEL GEDEX, BOMBEROS DE LA P.F.A., SANIDAD DE AEROPUERTO Y SEGURIDAD DE AEROPUERTOS ARGENTINA 2000. OBTENIDA LA AUTORIZACIÓN JUDICIAL PERSONAL DEL GEDEX REALIZA EL PROCEDIMIENTO PERTINENTE PARA ESTOS CASOS MEDIANTE EL EMPLEO DEL EQUIPO DETECTOR DE EXPLOSIVOS DENOMINADO "SABRE 4000", INFORMANDO POSTERIORMENTE DICHO PERSONAL QUE LOS ELEMENTOS EN CUESTIÓN NO REVISTEN PELIGROSIDAD ALGUNA Y QUE LOS MISMOS CONSTAN DE DOS CAJAS DE CARTÓN CON ESCRITURAS APARENTEMENTE HEBREAS, CONTENDIDO EN SU INTERIOR CADA UNA VEINTICUATRO CAJAS DE CARTÓN VACÍAS TAMBIÉN CON ESCRITURAS APARENTEMENTE EN HEBREO.</t>
  </si>
  <si>
    <t>JUZGADO PROVINCIAL DE INSTRUCCION Nº 1 RIO GALLEGOS</t>
  </si>
  <si>
    <t>FERNANDO COSTABEL</t>
  </si>
  <si>
    <t>PELAYES MIRIAN PATRICIA S/DENUNCIA PRESUNTO ROBO EN EQUIPAJE FACTURADO</t>
  </si>
  <si>
    <t>PATIO VALIJAS - PLATAFORMA - AERONAVE</t>
  </si>
  <si>
    <t>SE CONFECCIONA EL PRESENTE P.U A FIN DE INFORMAR QUE EN EL DIA DE LA FECHA SIENDO LAS 03 HS LOCAL SE PRESENTO EN ESTA GUARDIA DE PREVENCION LA CIUDADANA PELAYES MIRIAN PATRICIA DNI 18.369.083 A RADICAR DENUNCIA POR LA FALTA DEL CANDADO DE SEGURIDAD DE SU EQUIPAJE , Y EL ROBO DE PESOS CINCO MIL DEL INTERIOR DE LA VALIJA , DESPACHADO EN VUELO LAN 4422 PROCEDENTE DE LA CIUDAD DE BUENOS AIRES DESTINO RIO GALLEGOS</t>
  </si>
  <si>
    <t>Dr.Claudia CECCONI</t>
  </si>
  <si>
    <t>PUESTO DE GUARDIA DENOMINADO TAQUILLA</t>
  </si>
  <si>
    <t>SIENDO LA HORA Y LA FECHA ANTES MENCIONADA EN MOMENTOS EN QUE EL OFICIAL CABRERA , SECUNDADO POR EL OFICIAL VALDEZ , AMBOS PERTENECIENTES A ESTA UNIDAD, ESTANDO DESTACADOS EN EL PUESTO DE GUARDIA DENOMINADO "TAQUILLA", EN PREVENCION DE POSIBLES DELITOS Y FALTAS, REALIZANDO CONTROLES SOBRE LOS VEHICULOS Y PERSONAS QUE EGRESABAN DEL AEROPUERTO, PROCEDEN A DETENER UN VEHíCULO MARCA CHEVROLET, MODELO CORSA CLASSIC SW, DOMINIO GCQ 703, EL CUAL TRANSPORTABA EN SU INTERIOR DOS PERSONAS, AMBOS PASAJEROS RECIEN ARRIBADOS AL PAIS, LOS CUALES CONTRATARON AL RODADO EN CUESTION PARA SU TRASLADO EN FORMA DE REMIS CON DESTINO A LA LOCALIDAD DE RAMOS MEJIA. EN VIRTUD DE ESTO EL PERSONAL POLICIAL LE SOLICITA AL CONDUCTOR DEL RODADO QUE EXHIBA LA HABILITACION CORRESPONDIENTE PARA EFECTUAR DICHA TAREA, A LO QUE RECIBEN COMO RESPUESTA DEL CHOFER DEL VEHICULO QUE CARECIA DE LA MISMA, POR LO QUE SE INICIAN LAS ACTUACIONES CONTRAVENCIONALES CORRESPONDIENTES Y SE PROCEDE A SECUESTRAR EL VEHICULO ANTES MENCIONADO.</t>
  </si>
  <si>
    <t>PERSONAL DESTACADO EN EL PUESTO "TAQUILLA", PROCEDE A DETENER PARA UN CONTROL DE RUTINA A UN TAXI C.A.B.A MARCA FORD, MODELO FOCUS AMBIENTE, DOMINIO COLOCADO HLC 073, EL CUAL TRANSPORTABA EN EL ASIENTO TRASERO UNA PERSONA DE SEXO FEMENINO, CARECIENDO EL CONDUCTOR DEL VEHICULO LA HABILITACIÓN CORRESPONDIENTE PARA EFECTUAR DICHA TAREA. SE LABRO ACTA DE SECUESTRO DEL VEHICULO.</t>
  </si>
  <si>
    <t>SIENDO LA HORA Y LA FECHA ANTES MENCIONADA EN MOMENTOS QUE EL OFICIAL CORVALAN, SE ENCONTRABA EN EL CENTRO OPERATIVO DE CONTROL OBSERVA A TRAVÉS DE UNA DE LAS CÁMARAS DE SEGURIDAD A UNA PERSONA DE SEXO MASCULINO, REALIZANDO SERVICIO DE MALETERO, POR LO CUAL ENTABLA COMUNICACIÓN VÍA NEXTEL CON EL OFICIAL CEBALLOS, PERTENECIENTE A ESTA UNIDAD, QUIEN SE ENCONTRABA DE RECORRIDA POR LA TERMINAL A, A QUIEN INFORMA DE LOS HECHOS, POR LO QUE EL OFICIAL CEBALLOS SE DIRIGE AL LUGAR DEL HECHO, CONSTATANDO LA INFRACCIÓN REALIZADA A LA PERSONA INDICADA POR EL C.O.C, POR LO QUE LE SOLICITA AL INFRACTOR QUE EXHIBA LA HABILITACIÓN CORRESPONDIENTE PARA PRESTAR DICHO SERVICIO, CARECIENDO EL MISMO DE LA HABILITACION, POR LO QUE SE INICIAN LAS ACTUACIONES CONTRAVENCIONALES CORRESPONDIENTES.</t>
  </si>
  <si>
    <t>6077/10</t>
  </si>
  <si>
    <t>EN EL DIA DE LA FECHA, SIENDO HORAS 08:40, EL OF.MY.MIGUEL FABIAN SE COMUNICA TELEFONICAMENTE CON LA DRA PAULA GALLO PULO, SECRETARIA DE LA FISCALIA FEDERAL DE SALTA Nº 2, PARA INFORMARLE SOBRE LOS HECHOS ACONTECIDOS EL DIA 02 DE OCTUBRE DEL CTE AÑO, POR CAUSA :HURTO N.N , TAMBIEN LE INFORMA QUE EL SUSCRIPTO INTENTO COMUNICARSE CON LA MISMA,NO PUDIENDO CONTACTARSE EL DIA 02 DE OCTUBRE, LA DRA. GALLO PULO ORDENA QUE SE REALIZEN LAS ACTUACIONES CORRESPONDIENTES Y UNA VEZ TERMINADAS, SEAN ELEVADAS A ESA FISCALIA.</t>
  </si>
  <si>
    <t>CALLE PRESBITERO J. G. GONZALEZ Y ARAGON KM 3.</t>
  </si>
  <si>
    <t>CLUB AEROMODELISTA NEWBERY - HANGARES Nº 1 Y Nº 2</t>
  </si>
  <si>
    <t>EL DIA VEINTICINCO DE SEPTIEMBRE DEL CORRIENTE AÑO SE HIZO PRESENTE EN EL HANGAR QUE POSEE EN EL CLUB AEROMODELISTA NEWBERY, EL CUAL COMPARTE CON OTROS DOS AFICIONADOS A ESA ACTIVIDAD. EN TAL CINCUNSTANCIA SE PERCATA DEL FALTANTE DE LOS ELEMENTOS MENCIONADOS EN EL PUNTO CORRESPONDIENTE, LOS CUALES HABIA VISTO POR ULTIMA VEZ HACE DOS MESES ATRAS. QUE CONSULTADAS LAS DOS UNICAS PERSONAS APARTE DE EL QUE POSEEN LA LLAVE PARA INGRESAR AL HANGAR MANIFESTARON NO HABER RETIRADO NINGUN ELEMENTOS DEL MISMO. QUE EL UNICO ACCESO DE INGRESO ES UNA PUERTA LA CUAL SE CIERRA CON LLAVE, Y QUE NO PRESENTA SIGNOS DE HABER SIDO VIOLENTADA.</t>
  </si>
  <si>
    <t>FISCALIA NAC. EN LO CRIM. DE INSTRUC. Nº 24</t>
  </si>
  <si>
    <t>Sandro</t>
  </si>
  <si>
    <t>tentativa de robo ama, atentado y resistencia a la autoridad</t>
  </si>
  <si>
    <t>LAVALLE Nº 3100, C.A.B.A.</t>
  </si>
  <si>
    <t>SIENDO LA FECHA Y LA HORA ANTES MENCIONADA, EL PERSONAL DE ESTA UNIDAD RADICO UNA DENUNCIA EN LA COMISARIA DE LA SECCIONAL 9º DE LA POLICIA FEDERAL ARGENTINA, SOBRE EL HECHO OCURRIDO MIENTRA SE ESTABAN REALIZANDO TAREAS INVESTIGATIVAS EN CONJUNTO CON LA UNIDAD OPERACIONAL CONTROL DEL NARCOTRAFICO Y EL DELITO COMPLEJO DE LA URSA II CENTRO, EN EL MARCO DE LA CAUSA NRO. 5828. SIENDO APROXIMADAMENTE 14:30 HORAS, EL OFICIAL STABILE MARIANO OBSERVA A UN MASCULINO N.N CON UN CASCO PARA MOTO COLOCADO, CERCA DEL VEHICULO DE DOTACION RENAULT SANDERO DOMINIO INQ-390, PARA LO CUAL EL OFICAL SE ACERCA INMEDIATAMENTE IDENTIFICANDOSE COMO POLICIA, DADO QUE VISUALIZO MANIOBRAS DELICTIVAS POR PARTE DEL N.N, Y EN MOMENTOS QUE EL OFICIAL ERA APOYADO POR PERSONAL DE ESTA POLICIA QUE SE ENCONTRABAN EN EL LUGAR, SE ACERCA UN MOTOCICLISTA CON UNA MOTO ENDURO DONDE EL PRIMER N.N SE MONTA Y AMBOS SE DAN A LA FUGA EN SENTIDO CONTRARIO AL TRANSITO, APUNTANDO AL OFICIAL DENUNCIANTE CON ARMAS DE FUEGO, SE DEJA CONSTANCIA QUE RESULTO IMPOSIBLE SU PERSECUSION DEBIDO A LA GRAN CANTIDAD DE PERSONAS Y VEHICULOS QUE CIRCULABAN EN LA ZONA Y LA RAPIDEZ CON QUE LOS N.N EMPRENDIERON LA FUGA. POSTERIORMENTE SE OBSERVA QUE EL VIDRIO LATERAL DERECHA DELANTERO DEL VEHICULO DE MENCION SE ENCONTRABA QUEBRADO, POR LO CUAL SE RADICA DICHA DENUNCIA.</t>
  </si>
  <si>
    <t>6085/10</t>
  </si>
  <si>
    <t>PERGOLA Y ESTACIONAMIENTO DE LA TERMINAL B</t>
  </si>
  <si>
    <t>SE REALIZA RECTIFICACION DEL PARTE URGENTE 6085 DEBIDO AL ERROR EN EL MAGISTRADO CORRESPONDIENTE AL JUZGADO FEDERAL Nº 01, DE QUIEN ES TITULAR EL DR. ALBERTO PATRICIO SANTAMARINA.</t>
  </si>
  <si>
    <t>S/PTA. INF, LEY 23.737</t>
  </si>
  <si>
    <t>6092/2010</t>
  </si>
  <si>
    <t>CALLE ALFONSINA STORNI S/N - LOCALIDAD BARRIO UNO - PARTIDO DE EZEIZA - PCIA. DE BUENOS AIRES</t>
  </si>
  <si>
    <t>EN EL DIA DE LA FECHA, PERSONAL POLICIAL DE ESTA UNIDAD, PROCEDE A DAR CUMPLIMIENTO A LAS TAREAS ORDENADAS POR EL JUZGADO DE PRIMERA INSTANCIA EN LO CRIMINAL Y CORRECCIONAL NRO. 2 DE LOMAS DE ZAMORA, EN EL MARCO DE LA CAUSA NRO. 6092 - CARATULADA: S/PTA. INF. LEY 23.737, EN EL DOMICILIO DE LA CALLE ALFONSINA STORNI S/N DE LA LOCALIDAD DE BARRIO UNO - PARTIDO DE JOSE MARIA EZEIZA - PCIA. DE BUENOS AIRES, PARA DETECTAR A PERSONAS QUE ESTEN IMPLICADAS COMO PARTICIPES O COMPLICES DE LA COMISION DE DELITO</t>
  </si>
  <si>
    <t>JUZGADO DE INSTRUCCION 9° NOMINACION</t>
  </si>
  <si>
    <t>BELTRAMONE</t>
  </si>
  <si>
    <t>DR MIGUEL ERNESTO SALVADOR MORENO</t>
  </si>
  <si>
    <t>ENTREGA DE EQUIPAJES</t>
  </si>
  <si>
    <t>HALL ARRIBOS INTERNACIONALES</t>
  </si>
  <si>
    <t>EN LA FECHA SE PRESENTO UN FEMENINO A RADICAR DENUNCIA POR EL PRESUNTO ROBO DE PRENDAS Y UN PERFUME DE SU EQUIPAJE DESPACHADO POR BODEGA EN EL VUELO DE REFERENCIA. MANIFESTANDO QUE AL ARRIBAR AL AEROPUERTO DE EZEIZA A SU EQUIPAJE LE FALTABA EL ENVOLTORIO DE NYLON Y UN CANDADO. POR LO CUAL SE APERSONO EN EL MOSTRADOR DE RECLAMOS DONDE FUE ATENDIDA POR QUIEN SE PRESENTO COMO GASTON. EL MISMO CONSTATO EL FALTANTE DEL ENVOLTORIO DE NYLON Y EL CANDADO, LOS CUALES SE ENCONTRABAN DENTRO DE LA VALIJA, SIENDO QUE EL CANDADO SE ENCONTRABA FORZADO. ASIMISMO EL EMPLEADO PROCEDIÓ AL PESAJE DEL EQUIPAJE EN CUESTIÓN, ARROJANDO UNA DIFERENCIA DE 4KG MENOS, DADO QUE AL DESPACHO PESABA 23 KG. LA DENUNCIANTE MANIFESTÓ QUE REALIZO RECLAMO TELEFÓNICO A LA EMPRESA AL NUMERO 0114805465 DONDE LE ASIGNARON EL NUMERO DE RECLAMO EZEUX11335. POR ULTIMO LA EMPRESA LE EXIGIÓ LA DENUNCIA POLICIAL, PARA LA PROSECUCIÓN DEL RECLAMO CORRESPONDIENTE.</t>
  </si>
  <si>
    <t>CINTA DE ARRIBOS DE EQUIPAJE</t>
  </si>
  <si>
    <t>QUE EN EL DIA DE LA FECHA LA DENUNCIANTE ARRIBO A AEROPARQUE, DONDE EN UNA DE LAS CINTAS DE ARRIBOS DE EQUIPAJE SE HACE DE SU VALIJA DESPACHADA A BODEGA DE AERONAVE, PERCATANDOSE QUE LA MISMA SE ENCONTRABA CON SU CIERRE ABIERTO EN UNO DE LOS EXTREMOS Y QUE DE SU INTERIOR FALTABAN LOS ELEMENTOS DENUNCIADOS. POR TAL MOTIVO SE RECIBIO LA CORRESPONDIENTE DENUNCIA Y SE EFECTUO CONSULTA CON EL JUZGADO FEDERAL EN TURNO DISPONIENDOSE QUE LA DENUNCIA SEA REMITIDA A LA REGIONAL I ,A EFECTOS DE SER ENVIADA A LA UNIDAD OPERACIONAL METROPOLITANA PARA SU PROSECUCUIÓN E INICIO DE LA CORRESPONDIENTE CAUSA JUDICIAL . PTO.</t>
  </si>
  <si>
    <t>LA4023</t>
  </si>
  <si>
    <t>PARADA DE OMNIBUS DE LA LINEA NUMERO OCHO, FRENTE AL EDIFICIO CORPORATIVO</t>
  </si>
  <si>
    <t>QUE EL DIA DOS DEL CORRIENTE MES Y AÑO, EN CIRCUNSTANCIAS EN QUE SE DISPONIA A ABORDAR EL COLECTIVO DE LINEA NUMERO OCHO, SE PERCATA DEL FALTANTE DE UN EQUIPO DE COMUNICACIONES QUE SE ENCONTRABA EN EL INTERIOR DE LA MOCHILA DE SU PERTENENCIA. POR TAL MOTIVO SE HACE PRESENTE EN LA GUARDIA DE PREVENCION A EFECTOS DE RADICAR LA CORRESPONDIENTE DENUNCIA.-</t>
  </si>
  <si>
    <t>6070/10</t>
  </si>
  <si>
    <t>OFICINAS DE MIGRACIONES</t>
  </si>
  <si>
    <t>QUE SIENDO LAS SIETE HORAS TREINTA MINUTOS DEL DIA CUATRO DE OCTUBRE DEL AÑO 2010, SE PROCEDIO AL TRASLADO DEL IMPUTADO A SEDE JUDICIAL.</t>
  </si>
  <si>
    <t>EN EL DIA DE LA FECHA A HORAS DIECISÉIS CON QUINCE MINUTOS SE PRESENTA EN EL TURNO DE ESTA UNIDAD, EL SEÑOR BALTAZAR SANCHEZ ROBLES, D.N.I. Nº 28.259.623, A RADICAR UNA DENUNCIA, QUIEN MANIFESTO QUE EL DÍA 03-10-10, EN EL VUELO DE LA EMPRESA AEROLÍNEAS ARGENTINAS Nº 1458, PROCEDENTE DE LA CIUDAD DE BUENOS AIRES CON DESTINO LA CIUDAD DE SALTA, LUEGO DE BUSCAR LAS VALIJAS DE LA CINTA TRANSPORTADORA, Y CUANDO SE DIRIGIO A LA VEREDA DEL SECTOR DE ARRIBOS, SE DA CUENTA QUE HABÍA DEJADO OLVIDADO EL ESTUCHE CON LA CÁMARA FOTOGRÁFICA MARCA CANON MODELO REVEL T1, DE 15 MP., Nª DE SERIE 1270501510 Y LENTE Nº 6062549085 EN EL AVIÓN, EN ESE MOMENTO REGRESO AL SECTOR DE PREEMBARQUE DONDE CONTACTO AL PERSONAL DE AEROLÍNEAS ARGENTINAS, Y LUEGO AL COMANDANTE DE LA AERONAVE, QUIEN LE MANIFESTÓ QUE LA CÁMARA NO SE PODÍA HABER PERDIDO, POR LO QUE LE PERMITIÓ INGRESAR AL AVIÓN Y REVISAR EL SECTOR DONDE HABÍA DEJADO LA CÁMARA, NO PUDIENDO ENCONTRARLA, POSTERIORMENTE EL JEFE DE TURNO SE COMUNICA TELEFÓNICAMENTE CON LA DRA. PAULA GALLO PULO, SECRETARIA DE LA FISCALÍA FEDERAL DE SALTA Nº 2 A CARGO DEL DR. EDUARDO JOSÉ VILLALBA, QUIEN DISPONE SE REALICE LAS ACTUACIONES CORRESPONDIENTES Y UNA VEZ CONCLUIDAS SE ELEVEN A ESA FISCALÍA.</t>
  </si>
  <si>
    <t>OLIVIERI</t>
  </si>
  <si>
    <t>DORA NANCY</t>
  </si>
  <si>
    <t>ANSELMO CASTELLI</t>
  </si>
  <si>
    <t>CUARTO NIVEL</t>
  </si>
  <si>
    <t>ESTACIONAMIENTO CUBIERTO, PARKING SUR</t>
  </si>
  <si>
    <t>EL DIA 30 DE SEPTIEMBRE DEL CORRIENTE AÑO, SIENDO LAS 14:30 HORAS APROX, SE HIZO PRESENTE EN ESTE AEROPUERTO CON SU VEHICULO SUZUKI GRAND VITARA,MODELO 2008, CON DOMINIO HSH 188, AL CUAL ESTACIONO EN EL PARKING CUBIERTO DENOMINADO SUR, HASTA SU REGRESO DE LA CIUDAD DE SALTA. EN EL DIA DE LA FECHA SE HIZO PRESENTE Y SE PERCATO DE UN FALTANTE EN LA PARTE SUPERIOR DEL PORTA MALETA. POR LO QUE SE HIZO PRESENTE EN ESTA GUARDIA.</t>
  </si>
  <si>
    <t>ROMERO, CAROLINA</t>
  </si>
  <si>
    <t>EXTRAVÍO DE CARLA LUCIA CABRAL</t>
  </si>
  <si>
    <t>PUESTO MÓVIL ALFA PERTENECIENTE A LA RANE UBICADO APROXIMADAMENTE A 100 MTS CASINO SUBOFICIALES RANE Y A 1000 MTS DE LA AEROESTACION.</t>
  </si>
  <si>
    <t>INGRESO A SECTOR RESTRINGIDO RANE</t>
  </si>
  <si>
    <t>EN LA GUARDIA DE PREVENCIÓN DE ESTA UNIDAD SE RECIBE LLAMADO TELEFÓNICO POR EL NUMERO INTERNO DE PARTE DEL SUBOFICIAL AYUDANTE LUIS ROMERO PERSONAL DE FUERZA AÉREA ARGENTINA APOSTADO EN EL PUESTO MÓVIL ALFA DE ESA FUERZA, QUIEN INFORMA QUE ALLÍ SE ENCONTRABA UNA MENOR EXTRAVIADA. SE PRESENTA EL JEFE DE TURNO EN EL MÓVIL DE DOTACIÓN Y MINUTOS MAS TARDE SE PRESENTA EL PADRE DE LA MISMA QUIEN FUE CITADO TELEFÓNICAMENTE POR EL SUBOFICIAL ROMERO. SE TRASLADA A LA MENOR JUNTO A SU PADRE A LA GUARDIA DE PREVENCIÓN DE ESTA UNIDAD DONDE SE DA INTERVENCIÓN A LA FISCALÍA EN TURNO Y AL JUZGADO DEL MENOR Nº 4, EN TURNO, A CARGO DE LA DRA. MARISA LHEMANN, DISPONIENDO AMBOS MAGISTRADOS INTERVINIENTES SE ENTREGUE A LA MENOR A SUS PADRES PREVIA ACREDITACIÓN DE PATERNIDAD CON LA DOCUMENTACIÓN CORRESPONDIENTE Y SE ELEVE LO ACTUADO A LOS ESTRADOS EN TURNO. SE DEJA CONSTANCIA QUE NO SE REALIZA PLANILLA CONFORME A LA LEY Nº 25.746 DECRETO Nº 1005/03 REGLAMENTARIO, Y RESOLUCIÓN Nº 1531/09 DEL MJSDDHH, DE ACUERDO A LO ESTIPULADO EN MEMORANDO Nº 1280/09 DE LA URSA IV DEL LITORAL POR SER ENTREGADA LA MENOR EN FORMA INMEDIATA A SUS PADRES.</t>
  </si>
  <si>
    <t>POSICION N° 18</t>
  </si>
  <si>
    <t>PLATAFORMA OPERATIVA, DE ESTA AEROESTACION</t>
  </si>
  <si>
    <t>SE RECIBE EN ESTA DEPENDENCIA COMUNICACIÓN TELEFÓNICA POR PARTE DE PLAN DE VUELO DONDE SE INFORMA QUE LA AERONAVE DE MENCIÓN SE HABÍA DECLARADO EN EMERGENCIA, DEBIDO A UNA FALLA EN UNO DE SUS MOTORES. MOTIVO POR EL CUAL SE PROCEDIÓ A DESTACAR PERSONAL POLICIAL Y MÓVILES DE DOTACIÓN HACIA EL PUNTO DE ENCUENTRO ESTABLECIDO EN EL PLAN DE EMERGENCIA Y SIMULTÁNEAMENTE SE DA AVISO AL JUZGADO EN TURNO DISPONIENDO EL DR. PELOSO, QUE SE MANTENGA EN CONOCIMIENTO DE LA PROSECUCIÓN DE LOS HECHOS. QUE UNA VEZ ARRIBADA LA AERONAVE SIN NOVEDADES LA MISMA ES TRASLADADA HACIA LA POSICIÓN 18, DISPONIÉNDOSE UNA CUSTODIA DE LA AERONAVE EN DICHA POSICIÓN. SEGUIDAMENTE SE INFORMA AL JUZGADO SOBRE LOS HECHOS SUSCITADOS, DISPONIENDO S.SA. QUE SE LABRE ACTA DEJANDO CONSTANCIA Y QUE SE ELEVE LA MISMA A ESA JUDICATURA EL DIA CINCO DEL CORRIENTE MES Y AÑO</t>
  </si>
  <si>
    <t>AU2874</t>
  </si>
  <si>
    <t>SIENDO HS. 23:30 SE PRESENTA EN ESTA OFICINA DEL TURNO POLICIAL PREVENTIVO EL SR. SUAREZ NICOLAS PÀRA RADICAR UNA DENUNCIA POR ROTURA SUFRIDA Y PERDIDA DE PRENDAS DE VESTIR VARIAS, EN SU EQUIPAJE DESPACHADO POR BODEGA EN EL VUELO Nº 2634 DE LA EMPRESA AEROLINEAS DESDE LA CIUDAD DE COMODORO RIVADAVIA CON DESTINO FINAL LA CIUDAD DE SALTA, DICHO EQUIPAJE NO ARRIBO EN EL VUELO Nº 2458, ARRIBANDO POSTERIORMENTE EN EL VUELO Nº 2460 A HS. 23:10, SE PROCEDE A REALIZAR COMUNICACION TELEFONICA CON LA FISCALIA FEDERAL DE SALTA Nº 2 A LAS 23:25 HS., NO PUDIENDOSE ESTABLECER DICHA COMUNICACION, POR TAL MOTIVO SE TOMA LA DENUNCIA AL MENCIONADO PASAJERO, SE INFORMARA A DICHA FISCALIA A PRIMERA HORA DEL 05/10/2010.SE AMPLIARA UNA VEZ INFORMADO EL HECHO A LA FISCALIA DE TURNO. SEGÚN P.U. Nº 6129/10 - AMPLIACION 05-10-2010, SIENDO HS. 09:15 EL OF.MY. EDUARDO MACAROF, LEGAJO Nº 502198, SE COMUNICA TELEFONICAMENTE CON LA DRA. PAULA GALLO PULO, SECRETARIA DE LA FISCALIA FEDERAL DE SALTA Nº 2, PARA INFORMARLE SOBRE UNA NOVEDAD SURGIDA EL DIA 04/10/10,DE UNA DENUNCIA REALIZADA POR EL SR. NICOLAS DANIEL SUAREZ, LA MISMA DISPONE QUE SE TOME DECLARACION TESTIMONIAL AL PERSONAL DE HANDLING QUE REALIZO LA DESCARGA DE EQUIPAJE DE LA AERONAVE, QUE LAS ACTUACIONES SEAN ELEVADAS A ESA FISCALIA A LA BREVEDAD, Y QUE SE CARATULE A LA PREVENCION SUMARIA COMO: ROBO EN BODEGA.-</t>
  </si>
  <si>
    <t>2634-2458</t>
  </si>
  <si>
    <t>EN UNA ESCUELA DE LA CIUDAD DE BARILOCHE CEM 20</t>
  </si>
  <si>
    <t>EN EL CENTRO DE LA CIUDAD DE SAN CARLOS DE BARILOCHE</t>
  </si>
  <si>
    <t>SIENDO LAS 09:00 HORAS SE PRESENTA EN ESTA DEPENDENCIA POLICIAL EL SEÑOR RICARDO VENEGAS PERSONAL QUE CUMPLE FUNCIONES EN EL CUARTEL DE BOMBEROS DE LA POLICIA FEDERAL ARGENTINA EN ESTE AEROPUERTO INTERNACIONAL, NO PUDIENDO ACREDITAR SU IDENTIDAD POR NO CONTAR CON NINGUN DOCUMENTO OFICIAL PARA TAL FIN POR HABER SIDO SUSTRIDOS JUNTO CON SU PERMISO PERSONAL AEROPORTUARIO PERMANENTE Nº 356536, SECTORES TODOS, HECHO QUE FUERA OCURRIDO EN EL DIA DE AYER 4/10/10 EN UN ESTABLECIMIENTO ESCOLAR PUBLICO , CEM 20, DEL CENTRO DE LA CIUDAD DE BARILOCHE, DATOS QUE CONSTAN EN ACTA DE EXTRAVIO DE PERMISO PERSONAL AEROPORTUARIO PERMANETE Nº 00765/2010.</t>
  </si>
  <si>
    <t>CURVA DE LA PERGOLA TERMINAL A</t>
  </si>
  <si>
    <t>EL DIA 04 DE OCTUBRE DE 2010 EL OF. MAYOR DANIEL BIRARDA RECIBE MEMORANDUM Nº 2498/10 PRODUCIDO POR LA DIRECCION GENERAL DE RELACIONES INSTITUCIONALES, EN EL CUAL SE ADJUNTA UN MENSAJE SUSCRIPTO POR LA DENUNCIANTE, QUIEN DA CUENTA QUE EL DIA 27 DE SEPTIEMBRE DE 2010 VIAJA HACIA MIAMI ESTADOS UNIDOS, AL LLEGAR AL AEROPUERTO DE EZEIZA EN UN TAXI, APOYA SU MOCHILA FUERA DEL VEHICULO MIENTRAS AYUDABA AL TAXISTA A BAJAR EL RESTO DEL EQUIPAJE, AL MOMENTO DE TOMAR SUS PERTENENCIAS NOTA EL FALTANTE DE DICHA MOCHILA. NO REALIZO LA DENUNCIA CORRESPONDIENTE DEBIDO A LA PROXIMIDAD DE SU VUELO, REALIZANDO LA MISMA VIA MAIL.</t>
  </si>
  <si>
    <t>EN LA FECHA SE CONFECCIONA ACTA 050/2010 POR EL EXTRAVIO DE UN PERMISO PERSONAL DE SEGURIDAD PERMANENTE VIGENTE PARA ESTE AEROPUERTO CON FECHA DE VENCIMIENTO 31 MAY 11 CON EL NUMERO 340736.</t>
  </si>
  <si>
    <t>CRISTINA BISLIS</t>
  </si>
  <si>
    <t>GONCALVES PEREIRA JORGE Y HERRANZ AZABAL ROCIO S/TENTATIVA DE CONTRABANDO DE ESTUPEFACIENTES</t>
  </si>
  <si>
    <t>EN EL DIA DE LA FECHA SE RECIBE OFICIO JUDICIAL ORDENANDO SE ARBITREN LOS MEDIOS NECESARIOS PARA NOTIFICAR AL CONDUCTOR DEL VEHICULO MARCA FIAT MODELO PALIO Y/O SIENA, DOMINIO HRP 327 O HPP 327, EN EL QUE ARRIBARAN LOS IMPUTADOS EN LA CAUSA 508E/10 -REGISTRO INTERNO- A ESTE AEROPUERTO EL DIA 1 DE OCTUBRE DE 2010, EL QUE DEBERA PRESTAR DECLARACION TESTIMONIAL DENTRO DE LAS 24 HORAS DE NOTIFICADO.</t>
  </si>
  <si>
    <t>MAQUINA DE RAYOS X - CONTROL ADUANA EQUIPAJES ARRIBADOS</t>
  </si>
  <si>
    <t>INFORMO EN EL DÍA DE LA FECHA, EN CUMPLIMIENTO DE ORDEN DE SERVICIO NRO 270/10 URSAV, AL ARRIBO DEL VUELO NRO AR1852 DURANTE EL CONTROL DE CARGA/CORREO/EQUIPAJE DESPACHADO EN BODEGA CON LA UTILIZACIÓN DEL ESCÁNER DE RAYOS X PERTENECIENTE A LA ADUANA, UBICADO EN EL SECTOR DE ARRIBOS, LOS AGENTES ADUANEROS, JORGE ARMENDÁRIZ LEG. NRO 17175-1 Y JOSÉ OLIVERA LEG NRO 25665-0 EN COLABORACIÓN CON PERSONAL DE ESTA UOSP OF AY. JOSE FERNANDEZ CONTROL NRO 503.134; OF. AY. GABRIELA PAGANI MARTINEZ DNI 32.648.889; OF.AY. VICTOR HUGO ROGEL DNI 30.566.211, DETECTAN UNA VALIJA CON MARBETE NRO AR 02-20-88 A NOMBRE DE ANDRADE RICARDO, LA CUAL CONTENDRÍA SEGÚN IMÁGENES CD EN GRAN CANTIDAD. POSTERIORMENTE EN CINTA DE ARRIBOS EN PRESENCIA DE SU PROPIETARIO PERSONAL DE ADUANA, REALIZO LA APERTURA DEL EQUIPAJE CONSTATANDO EN SU INTERIOR LA CANTIDAD DE CIENTO SIETE (107) CDS Y TREINTA Y TRES DVD (33) DVDS DE DIFERENTES INTERPRETES Y CUBIERTAS NO ORIGINALES, PROCEDIENDO AL SECUESTRO DE LOS MISMOS POR TRATARSE DE MERCADERÍA NO DECLARADA EN RÉGIMEN DE EQUIPAJE EN INFRACCIÓN A LA LEY 22.415 Y MODIFICATORIAS. LABRANDO ACTA DE APERTURA Y SECUESTRO NRO 05/2010(AD USHU). QUEDANDO LA MERCADERÍA SECUESTRADA EN PODER DE LA DIRECCIÓN GENERAL DE ADUANAS DIVISIÓN ADUANA DE USHUAIA.</t>
  </si>
  <si>
    <t>AR 1852</t>
  </si>
  <si>
    <t>6120/10</t>
  </si>
  <si>
    <t>ROBO EN BODEGA</t>
  </si>
  <si>
    <t>SIENDO HS. 09:15 EL OF.MY. EDUARDO MACAROF, LEGAJO Nº 502198, SE COMUNICA TELEFONICAMENTE CON LA DRA. PAULA GALLO PULO, SECRETARIA DE LA FISCALIA FEDERAL DE SALTA Nº 2, PARA INFORMARLE SOBRE UNA NOVEDAD SURGIDA EL DIA 04/10/10, DE UNA DENUNCIA REALIZADA POR EL SR. NICOLAS DANIEL SUAREZ, LA MISMA DISPONE QUE SE TOME DECLARACION TESTIMONIAL AL PERSONAL DE HANDLING QUE REALIZO LA DESCARGA DE EQUIPAJE DE LA AERONAVE, QUE LAS ACTUACIONES SEAN ELEVADAS A ESA FISCALIA A LA BREVEDAD, Y QUE SE CARATULE A LA PREVENCION SUMARIA COMO: ROBO EN BODEGA.-</t>
  </si>
  <si>
    <t>INFORMO EN EL DIA DE LA FECHA SE PRESENTA EL SEÑOR GUSTAVO ROBERTO CATERINO DNI N22.853.323, PERSONAL DE FUERZA AEREA ARGENTINA EN COMISION EN LA ANAC, EL MISMO HACE ENTREGA DEL CERTIFICADO DE EXTRAVIO EMANADO POR LA POLICIA DE LA PROVINCIA DE SAN JUAN, EN DONDE SE DEJA CONSTANCIA DEL EXTRAVIO DEL PERMISO DE SEGURIDAD AEROPORTUARIA Nº 272399. ASIMISMO PERSONAL DEL AREA IDENTIFICACION Y REGISTRO DE ESTA UNIDAD DIO LA BAJA DEL SISTEMA DE DICHO PERMISO, CON FECHA 05/10/2010.</t>
  </si>
  <si>
    <t>LA ROTONDA Y OTROS S/DELITO DE ACCION PUBLICA</t>
  </si>
  <si>
    <t>VITO DONATO SAVIA 3359 LOMAS DEL MIRADOR PROVINCIA DE BUENOS AIRES.</t>
  </si>
  <si>
    <t>REFERENTE ORDEN DE SERVICIO N° 1045/10. EN EL DIA DE LA FECHA SE REALIZA ALLANAMIENTO EN LA FINCA INDICADA, ORDENADO POR EL JUZGADO DE GARANTIAS N° 3 DEL DEPARTAMENTO JUDICIAL LA MATANZA, DR. RUBEN NORBERTO OCHIPINTI, EN EL MARCO DEL EXHORTO DE REFERENCIA, DANDO COMO RESULTADO NEGATIVO.</t>
  </si>
  <si>
    <t>ARSENALES MIGUEL DE AZCUENAGA CCD S / SECUESTROS Y DESAPARICIONES</t>
  </si>
  <si>
    <t>MOLDES 1881 CABA</t>
  </si>
  <si>
    <t>EN EL DIA DE LA FECHA PERSONAL DE ESTA UNIDAD OPERACIONAL ANTITERRORISTA, PROCEDIO A ALLANAR EL DOMICILIO, MOLDES 1881 PISO 3º DEPTO. A, CABA, DEL CIUDADANO CARLOS ALBERTO LAFUENTE A FIN DE CUMPLIMENTAR UNA ORDEN LIBRADA POR EL JUZGADO EXHORTADO NACIONAL CRIMINAL Y CORRECIONAL Nº 11 A GARGO DEL DR. JUEZ CLAUDIO BONADIO, SECRETARIA Nº21 A CARGO DEL DR. ENRIQUE RODRIGUEZ VARELA. EL SR. LAFUENTE NO SE ENCONTRABA EN EL DOMICILIO, SEGUN ALICIA EMILIA PIOMBINO, SU ESPOSA, A QUIEN SE LA ENTERO DE DICHA ORDEN, EN PRESENCIA DE DOS TESTIGOS HABILES, DIJO QUE SE ENCONTRABA EN LA PROVINCIA DE SALTA Y QUE REGRESARIA EL DIA SABADO O DOMINGO DEL CORRIENTE A SI MISMO MANIFESTO QUE EL SR. LAFUENTE NO RECIDE DE MANERA PERMANENTE EN EL DOMICILIO Y DIJO DESCONOCER EL ACTUAL DOMICILIO. EL PERSONAL POLICIAL REGISTRO EL DEPARTAMENTO Y CADA HABITACION ARROJANDO RESULTADOS NEGATIVOS</t>
  </si>
  <si>
    <t>NACIONAL CRIMINAL DE INSTRUCCION Nº 49</t>
  </si>
  <si>
    <t>SECRETARIA Nº 169</t>
  </si>
  <si>
    <t>DR. FERNANDO GARCIA</t>
  </si>
  <si>
    <t>FALS.DOC.PBLCO.</t>
  </si>
  <si>
    <t>INFORMO QUE EN EL CONTROL DE DOCUMENTACIÓN DE PASAJEROS DEL VUELO NRO. 4027 DE LA EMPRESA LAN ARGENTINA SE DETECTA A TRAVÉS DEL SISTEMA DE INTERPOL UN PEDIDO DE CAPTURA - VIGENTE, SOLICITADO POR EL JUZGADO NACIONAL EN LO CRIMINAL DE INSTRUCCIÓN Nº 33 - SECRETARIA DR. BÁEZ, Y UN PEDIDO DE PARADERO - VIGENTE, SOLICITADO POR EL JUZGADO NACIONAL EN LO CRIMINAL DE INSTRUCCIÓN Nº 33 - SECRETARIA Nº 169, DE LA SRA. MARCELA ALEJANDRA MUÑOZ ANTE EL HECHO PERSONAL DE INTERPOL LABRA UN ACTA Y LA MISMA ES ENTREGADA AL JEFE DE TURNO. ACTO SEGUIDO SIENDO LAS 16:10 HS. SE ESTABLECE COMUNICACIÓN TELEFÓNICA CON EL ABONADO Nº 011-43792161, PERTENECIENTE AL JUZGADO DE INSTRUCCIÓN Nº 49, SECRETARIA Nº 169, QUE ABSORBIÓ LA CAUSA ANTES MENCIONADA, SIENDO ATENDIDO EN LA PERSONA DEL DR. FERNANDO GARCÍA A/C DEL SECRETARIA MENCIONADA QUIEN ENTERADO DE LOS HECHOS Y POR DISPOSICIÓN DEL DR. FACUNDO CUBAS TITULAR DE DICHO JUZGADO, INFORMA QUE NO, INTERESA LA CAUSA Y QUE LA CAUSANTE PROSIGA SU VIAJE.</t>
  </si>
  <si>
    <t>DR. ANSELMO CASTELLI</t>
  </si>
  <si>
    <t>AVERIGUACION DE ILÍCITO</t>
  </si>
  <si>
    <t>NACIONAL</t>
  </si>
  <si>
    <t>SIENDO LA HORA Y EL DÍA ANTES MENCIONADO EN EL PREEMBARQUE NACIONAL DENOMINADO TERMINAL III, UN PASAJERO DE SEXO MASCULINO, HABÍA COLOCADO SOBRE LA CINTA TRANSPORTADORA DE LA MAQUINA DE RAYOS X,SUS EFECTOS PERSONALES Y QUE LUEGO DE UNOS MINUTOS SE HABÍA PERCATADO DEL FALTANTE DE SU RELOJ POR LO QUE SE ACERCO A LA OFICIAL AYUDANTE ALBORNOZ, QUIEN SE ENCONTRABA OPERANDO UNA DE LAS MAQUINAS, RAPIDAMENTE LE COMUNICO LO OCURRIDO A LA OFICIAL ORTIZ, ENCARGADA DE LA TERMINAL III, QUIEN SE ACERCA AL PASAJERO Y DESPUÉS DE CORROBORAR QUE EL OBJETO NO SE ENCUENTRE DENTRO O EN LAS INMEDIACIONES DE LA MAQUINA , LO INVITO A QUE RADIQUE LA DENUNCIA CORRESPONDIENTE, A LO QUE EL PASAJERO CONTESTO QUE ESTABA PRONTA SU PARTIDA QUE NO IBA A PODER REALIZARLA. SE LE SOLICITA SU PASAPORTE Y SU BOLETO DE AVIÓN, PARA TOMAR SUS DATOS E INICIAR PREVENCIÓN SUMARIA DE OFICIO, SE COMISIONO AL OFICIAL JORGE KADY JUNTO CON LA OFICIAL ALBORNOZ A LA SALA DE VIDEO COC, QUIENES IDENTIFICARON AL DAMNIFICADO CUANDO ACTIVA EL MARCO DETECTOR DE METALES, VUELVE A PASAR Y ES CHEQUEADO POR EL OFICIAL RETAMOZO, LUEGO RETIRA SUS COSAS Y SE RETIRA, ASIMISMO LA PERSONA QUE VENIA DETRÁS, UN HOMBRE DE 1,70 MTS. APROXIMADAMENTE, DE CONTEXTURA ROBUSTA, CON SWEATER VIOLETA, CAMISA CLARA Y PANTALÓN AZUL O GRIS OSCURO, QUE TOMA SUS PERTENENCIAS DE LA MAQUINA DE RAYOS X Y UN OBJETO PLATEADO DE LOS RODILLOS LINDANTES A LA MIMA. SIENDO LAS 12:40 HORAS SE REALIZA COMUNICACIÓN TELEFÓNICA CON EL OFICIAL JEFE ALEJANDRO ALENDA, JEFE DE TURNO DE LA UNIDAD OPERACIONAL MENDOZA, A QUIEN SE LE INFORMA LAS ACTUACIONES QUE SE LLEVABAN A CABO EN ESTA UNIDAD, POR LO QUE SE APORTO DATOS DEL DAMNIFICADO CON EL FIN DE QUE LO LOCALICEN Y SE LE TOME DECLARACIÓN TESTIMONIAL. A LAS 13:05 HORAS SE ENTABLA COMUNICACIÓN CON EL DR. ANSELMO CASTELLI, QUIEN NOTIFICADO DE LOS HECHOS ACAECIDOS, DISPONE: SE INICIE SUMARIO POR ACTA DE PROCEDIMIENTO, TESTIMONIAL A LOS OFICIALES INTERVINIENTES, NOMINA DEL PERSONAL QUE SE ENCONTRABA OPERANDO EL EQUIPO Y DEL TOTAL DEL PERSONAL DEL PUESTO, SE SOLICITE REGISTRO FÍLMICO Y NOMINA DE PASAJEROS DEL VUELO DETALLANDO EDAD, SE REALICE COMUNICACIÓN CON LA UNIDAD OPERACIONAL MENDOZA, A LOS FINES DE PRESTAR COLABORACIÓN POR ESA VÍA POLICIAL, PARA QUE REALICE COMUNICACIÓN CON EL JUZGADO DE TURNO DE ESA JURISDICCIÓN, A LOS EFECTOS DE SOLICITARLE AUTORIZACIÓN PARA REALIZAR REQUISA DE UN PASAJERO, EL CUAL SE ENCONTRABA UBICADO INMEDIATAMENTE ANTERIOR AL DAMNIFICADO, SEGÚN LAS CARACTERÍSTICAS FÍSICAS Y DE VESTIMENTAS QUE SE OBSERVAN EN EL REGISTRO FÍLMICO, REALIZAR NUEVA COMUNICACIÓN NOTIFICANDO LO DISPUESTO POR EL JUZGADO DE MENDOZA. SIENDO LAS 14:00 HORAS SE COMUNICA EL OFICIAL JEFE ALEJANDRO ALENDA, INFORMANDO QUE HABÍA COMISIONADO PERSONAL PARA IDENTIFICAR AL DAMNIFICADO, PERO QUE EL MISMO NO HABÍA ARRIBADO A ESA AEROSTACIÓN, ASIMISMO EN REFERENCIA A LA COMUNICACIÓN CON EL JUZGADO EN TURNO, EL MISMO LE INFORMÓ QUE NO IBA A PROCEDER A AUTORIZAR LA REQUISA SOLICITADA, DEBIDO QUE PARA TAL FIN CORRESPONDÍA QUE SE HAGA POR MEDIO DE UN JUZGADO DE GARANTÍAS O MEDIANTE EXHORTO DEL JUZGADO INTERVINIENTE. SIENDO LAS 14:45 HORAS SE ENTABLA SEGUNDA COMUNICACIÓN CON LA JUDICATURA ACTUANTE A QUIEN SE LE COMUNICA LO INFORMADO POR LA UNIDAD OPERACIONAL MENDOZA Y SE LE INFORMA QUE MEDIANTE LOS REGISTROS OBRANTES EN LA EMPRESA AÉREA, EL PASAJERO DAMNIFICADO SI VIAJO A ESE AEROPUERTO, QUIEN DISPONE: CIERRE Y ELEVE.</t>
  </si>
  <si>
    <t>AR 1416</t>
  </si>
  <si>
    <t>AV. PTA. TENTATIVA DE CONTRABANDO DE ESTUPEFACIENTES.</t>
  </si>
  <si>
    <t>INFORMO QUE EN EL DIA DE LA FECHA, SE RECEPCIONO EN EL CORREO ELECTRONICO PERSONAL DEL INSPECTOR MARIO OLIVERO, QUIEN PRESTA SERVICIOS EN ESTA UNIDAD, UN EMAIL BAJO REMITENTE - ESPERTO.BUENOSAIRES@ECTERIC.IT - UNA NOTA DE LA EMBAJADA DE LA REPUBLICA DE ITALIA, EN CARACTER DE SOLICITUD Y APOYO POLICIAL, REFERENTE A UNA INVESTIGACION DE TRAFICO DE ESTUPEFACIENTES, EN LA CUAL SURGE QUE LA CIUDADANA FLORIANA SAVO,NACIDA EL 4/6/80 PASAPORTE AA3141409, VIAJO EL 23/9/10, PROCEDENTE DEL AEROPUERTO DE FIUMICINO CON DESTINO BUENOS AIRES . Y ESTARIA REGRESANDO EL 9/10/10 PREVIA ESCALA EN EL NORTE DE EUROPA TRANSPORTANDO SUSTANCIAS PROHIBIDAS, ENCONTRANDOSE LA NOTA FIRMADA POR EL TTE COL ARMA DEI CARABINIERI PAOLA SPOSITO , ES POR ELLO QUE SE DA INTERVENCION AL JUZGADO NACIONAL EN LO PENAL ECONOMICO NRO. 4 A CARGO DEL DR. ALEJANDRO CATANIA - SECRETARIA NRO. 8 DEL DR. MARTIN CASTELLANO, QUIEN DISPONE SE CONFIRME EL ARRIBO DE LA MENCIONADA PASAJERA Y EN CASO DE EXISTIR EL INGRESO DE LA MISMA SE CONSULTE SI POSEE RESERVA AEREA PARA SU PARTIDA, Y SE LABREN LAS CORRESPONDIENTES ACTUACIONES DE RIGOR. SEGUIDAMENTE PERSONAL POLICIAL DE ESTA UNIDAD, PROCEDIO A REALIZAR CONSULTA AL SISTEMA INFORMATICO DE LA DIRECCION NACIONAL DE MIGRACIONES, CONSTATANDOSE QUE LA PASAJERA SAVO FLORIANA, INGRESO AL PAIS EL DIA 24 DE SEPTIEMBRE DE 2010, PROCEDENTE DE ROMA EN VUELO AZ080 POR LA EMPRESA ALITALIA, CON PASAPORTE ITALIANO NRO. AA3141209 Y7 QUE LA MISMA POSEE RESERVA PARA EL VUELO IB 6844 DE FECHA 09 DE OCTUBRE DEL CORRIENTE AÑO, CON EL SIGUIENTE INTINERARIO BUE-MADRID Y MADRID BRUSELAS.</t>
  </si>
  <si>
    <t>MANGA NUMERO ONCE DE LA TERMINAL B</t>
  </si>
  <si>
    <t>QUE SIENDO LAS VEINTE HORAS TREINTA MINUTOS, SE PROCEDE AL ACOMPAÑAMIENTO DE PERSONAL DE POLICIA FEDERAL, PARA EL CORRESPONDIENTE EMBARQUE DEL TESTIGO PROTEGIDO, QUE SIENDO LAS VEINTIUNA HORAS SE PROCEDIO AL EMBARQUE SIN NOVEDAD, ABANDONANDO LAS INSTALACIONES DE ESTE AEROPUERTO INTERNACIONAL, LA CORRESPONDIENTE CUSTODIA DE LA MENCIONADA FUERZA.</t>
  </si>
  <si>
    <t>DRA. VIVIANA DURINI</t>
  </si>
  <si>
    <t>QUE EL DIA 4 DEL CORRIENTE ARRIBO A ESTA CIUDAD EN EL VUELO LA 4023 PROCEDENTE DE LA CIUDAD DE IGUAZU, DONDE HABIA DESPACHADO UN EQUIPAJE CON MARBETE Nº 534410. AL RETIRAR EL MISMO DE LA CINTA, SE PERCATA QUE SE ENCONTRABA ABIERTO, VERIFICANDO EL FALTANTE DE VARIOS ELEMENTOS DE SU PROPIEDAD. HORAS MAS TARDE SE PRESENTA EN LA GUARDIA DE PREVENCION DE LA UNIDAD OPERACIONAL EZEIZA, DONDE RADICA LA DENUNCIA. SEGUN PU Nº 6108 EL JUZGADO FEDERAL Nº 1 DE LOMAS DE ZAMORA, ORDENA QUE SE REMITA LA CAUSA A LA UOSP METROPOLITANA PARA SU PROSECUCION.</t>
  </si>
  <si>
    <t>PLAZA UBICADA SOBRE VEREDA DE COSTANERA NORTE</t>
  </si>
  <si>
    <t>QUE EN EL DIA DE LA FECHA SE ENCONTRABA REALIZANDO UNA FILMACION EN LA PLAZA UBICADA SOBRE LA VEREDA DE COSTANERA NORTE, DONDE DEJO APOYADA EN EL SUELO UNA MOCHILA, PERDIENDOLA DE VISTA. PASADO UNOS MINUTOS SE PERCATA DEL FALTANTE DE SU MOCHILA. RAZON POR LA CUAL SE HACE PRESENTE EN ESTA GUARDIA A RADICAR LA DENUNCIA.</t>
  </si>
  <si>
    <t>POLICIA FEDERAL S/PTA. INF. LEY 23.737</t>
  </si>
  <si>
    <t>CAUSA N° 2543</t>
  </si>
  <si>
    <t>LENA, ADRIAN S/NOTIFICACION</t>
  </si>
  <si>
    <t>INFORMO EN EL DIA DE LA FECHA EN CONTROL DE RUTINA DEL VUELO AR-1879, SE IDENTIFICA AL SR. ADRIAN LENA DNI N° 27.960.186, SOBRE QUIEN PESA UNA PROHIBICION DE SALIDA DE LA PROVINCIA Y DEL PAIS, REGISTRO LINCE 281089. PROMOVIDA CONSULTA CON EL JUZGADO INTERVINIENTE EN LA PERSONA DEL SECRETARIO DR. ERNESTO MENDIETA, QUIEN DISPONE A TRAVEZ DE SU SEÑORIA QUE EL CAUSANTE FIJE DOMICILIO REAL Y SE NOTIFIQUE QUE DEBERA PRESENTARSE ANTE DICHO JUZGADO EL DIA 06/10/10 A LAS 08:00HS. SE LABRO ACTA DE NOTIFICACION 006/10 RETIRANDOSE EL CAUSANTE SIN OTRA NOVEDAD.-</t>
  </si>
  <si>
    <t>AR-1879</t>
  </si>
  <si>
    <t>WALTER DANIEL JUDCOVSKI S/DENUNCIA</t>
  </si>
  <si>
    <t>PARKING NORTE</t>
  </si>
  <si>
    <t>DESCUBIERTO</t>
  </si>
  <si>
    <t>QUE EL DIA 05 DEL CORRIENTE MES Y AÑO SIENDO LAS 22 HS APROXIMADAMENTE ARRIBO A ESTE AEROPUERTO METROPOLITANO EN UN VUELO DE LA EMPRESA LAN, PROCEDENTE DE LA CIUDAD DE SALTA. AL LLEGAR AL ESTACIONAMIENTO DESCUBIERTO PARKING NORTE, DONDE HABIA DEJADO SU VEHICULO RENAULT MEGANE DOMINIO GAS208, COLOCA SU BOLSO PORTA NOTEBOOK EN EL SUELO PARA RETIRAR ALGO DEL BAUL DEL VEHICULO,PARA LUEGO RETIRARSE DE JURISDICCION. SIENDO LAS 23 HS Y YA EN SU DOMICILIO SE PERCATA DEL OLVIDO DEL PORTA NOTEBOOK, RAZON POR LA CUAL REGRESA A ESTA AEROESTACION, Y AL NO ENCONTRAR SUS PERTENENCIAS SE HACE PRESENTE EN ESTA GUARDIA A LOS EFECTOS DE RADICAR LA CORRESPONDIENTE DENUNCIA.-</t>
  </si>
  <si>
    <t>Morici</t>
  </si>
  <si>
    <t>Viviana</t>
  </si>
  <si>
    <t>GUTIERREZ MARIANA</t>
  </si>
  <si>
    <t>SIENDO APROXIMADAMENTE LAS CERO HORAS CON TREINTA MINUTOS, EN VUELO ARRIBADO DE AEROPARQUE, SE HACE PRESENTE LA DENUNCIANTE ANTE EL OFICIAL ANGULO A CARGO DEL PUESTO DENOMINADO CENTRO EN ARRIBOS DE VUELOS DE CABOTAJES MANIFESTANDOLE QUE AL MOMENTO DE RETIRAR EL EQUIPAJE DE LA CINTA TRANSPORTADORA DESPACHADO POR BODEGA NOTA UNA DIFERENCIA DE PESO PERCATANDOSE DEL FALTANTE DE UNA COMPUTADORA NOTEBOOK, EL OFICIAL ANGULO DA AVISO INMEDIATAMENTE AL JEFE DE TURNO EN LA CUAL SE REALIZA UN DISPOSITIVO DE SEGURIDAD CONTROLANDO EN FORMA MAS EXHAUSTIVA A TODO EL PERSONAL QUE EGRESE DEL SECTOR RESTRINGIDO DANDO COMO RESULTADOS NEGATIVOS, REALIZANDO UNA INSPECCION OCULAR A CARGO DEL OFICIAL FERNANDEZ DARDO, QUIEN EN ESOS MOMENTOS SE ENCONTRABA REALIZANDO CONTROLES DE BODEGAS EN EL VUELO MENCIONADO, SIN ENCONTRAR INDICIOS ALGUNO SOBRE EL HECHO ACONTECIDO, ACTO SEGUIDO SE REALIZA COMUNICACIÓN TELEFONICA CON LA UOSP METROPOLITANA SIENDO ATENDIDO POR EL OFICIAL MAYOR AGUADO INFORMANDOLE DE LO ACONTECIDO CON POSTERIOR ENVIO DE MEMORANDO N° 1029/10 REFERENTE A SOLICITAR INVESTIGACION DE ROBO O HURTO DE EQUIPAJES. POR TAL MOTIVO SE DA INTERVENCION DEL HECHO A LA OFICINA FISCAL A QUIEN EN UN PRIMER MOMENTO DISPONE QUE DICHA CIUDADANA SE HAGA PRESENTE EN ESA OFICINA A EFECTUAR LA CORRESPONDIENTE DENUNCIA , PERO POSTERIOR A ESTO CON UNA SEGUNDA COMUNICACIÓN DISPONEN QUE LA MENCIONADA LA EFECTUE EN HORARIOS DIURNOS DEL DIA SEIS DE OCTUBRE , A EFECTOS DE QUE SE ENCUENTRA EN ESTA CIUDAD POR CUESTIONES LABORALES, SIENDO ESTA LA PRIMERA VEZ QUE VISITA LA PROVINCIA . E INFORMANDO DICHA AYUDANTE FISCAL A ESTA GUARDIA DE PREVENCION QUE SE REALICEN LAS ACTUACIONES DE RIGOR CON POSTERIOR ENVIO A ESA UNIDAD FISCAL , A LO QUE SE DA ESTRICTO CUMPLIMIENTO, DANDO INICIO A PREVENCION SUMARIA DE ORDEN INTERNO N° 44/10, COMO ASI TAMBIEN LA MENCIONADA MANIFIESTA QUE EN MOMENTOS DE LA PARTIDA DESDE AEROPARQUE , EL COMANDANTE DEL VUELO LES INFORMA A LOS PASAJEROS SOBRE LA DEMORA DE APROXIMADAMENTE DE UNOS CUARENTA MINUTOS POR PROCEDIMIENTOS DE SEGURIDAD. CABE ACLARAR QUE SE TOMA COMO FECHA DEL HECHO DEL DIA CINCO DE OCTUBRE FECHA DE PARTIDA DEL VUELO MENCIONADO ARRIBANDO A ESTA CIUDAD DE MENDOZA EL DIA SEIS DE OCTUBRE DEL CORRIENTE AÑO</t>
  </si>
  <si>
    <t>EL SR. DAMIAN GOLDENZWEIG, SE PRESENTA EN EL CONTROL DE MAQUINA DE RAYOS X, DEPOSITANDO SUS PERTENENCIAS EN LA CINTA TRANSPORTADORA. LUEGO SE DIRIGE HACIA EL ARCO DETECTOR DE METALES MOMENTO EN EL CUAL SE PERCATA QUE LLEVABA SU TELEFONO CELULAR EN LA CINTURA. POR TAL MOTIVO VUELVE SOBRE SUS PASOS ENTREGANDO EL TELEFONO A LA OFICIAL AYUDANTE LISA MINELLI QUIEN EN PRESENCIA DE SU PROPIETARIO COLOCA EL TELEFONO SOBRE LA CINTA TRANSPORTADORA. A CONTINUACIÓN EL PASAJERO ATRAVIESA EL ARCO DE DETECTOR DE METALES Y TOMA SUS PERTENENCIAS, RETIRÁNDOSE POSTERIORMENTE AL SECTOR DE MIGRACIONES. QUE TRANSCURRIDOS APROXIMADAMENTE UNOS QUINCE MINUTOS EL PASAJERO REGRESA MANIFESTANDO HABER DEJADO OLVIDADO SU TELEFONO CELULAR. QUE EN LOS REGISTROS FÍLMICOS SE LOGRA VER QUE UNA PASAJERA QUE VENIA DETRÁS DEL DANIFICADO TOMA EL CELULAR Y SE RETIRA JUNTO A SU COMPAÑERO DE VIAJE QUE SE TRASLADABA EN SILLA DE RUEDAS. QUE EL COC, EN COORDINACIÓN CON MIGRACIONES, OBTIENE LOS NOMBRES DE ESTOS PASAJEROS: ELIZABETH GALEANO MARTINEZ Y MANUEL GALEANO LOPEZ AMBOS DE NACIONALIDAD PARAGUAYA, QUIENES EMBARCARON EN VUELO PZ 700 DE TAM CON DESTINO A PARAGUAY. MOTIVO POR EL CUAL NO SE PUDO LOGRAR SU IDENTIFICACIÓN Y POSTERIOR REQUISA EN PROCURA DE DAR CON EL ELEMENTO FALTANTE.</t>
  </si>
  <si>
    <t>4M 4520</t>
  </si>
  <si>
    <t>SALA DE EMBARQUE Nº 8</t>
  </si>
  <si>
    <t>SE HACE PRESENTE EN EL PUESTO DENOMINADO TRANSITO 6/10 UN EMPLEADO DE LA EMPRESA INTERBAIRES, JUNTO A UN PASAJERO, MANIFESTÁNDOLE EL PRIMERO MENCIONADO AL PERSONAL POLICIAL ALLÍ APOSTADO, QUE LE HABRÍAN SUSTRAÍDO AL CITADO PASAJERO, UNA BOLSA CON COMPRAS EFECTUADAS EN EL DUTTY FREE SHOP DE ESTE AEROPUERTO Y QUE OTRO PASAJERO HABÍA VISTO A UN PERSONAL DE LIMPIEZA TOMAR LA BOLSA EN CUESTIÓN Y DEPOSITARLA DENTRO DE UN TACHO DE BASURA. SEGUIDAMENTE, EN VIRTUD A LA PRÓXIMA PARTIDA DE SU VUELO, EL DAMNIFICADO PROCEDE A EMBARCAR EN EL MISMO CONTINUANDO CON SU VIAJE. LUEGO EL PERSONAL POLICIAL TOMA CONTACTO CON EL SUPERVISOR DE LA EMPRESA DE LIMPIEZA DE NOMBRE COMERCIAL "SERZA", LOGRANDO INDIVIDUALIZAR AL EMPLEADO DE LIMPIEZA QUE HABRÍA TOMADO LA BOLSA Y SE TRASLADAN AL PUESTO ANTES MENCIONADO CONSTATANDO QUE DICHA BOLSA ESTABA DENTRO DEL TACHO DE BASURA TIPO CARRO QUE EL EMPLEADO LLEVABA. SEGUIDAMENTE SE CONVOCA LA PRESENCIA DE DOS TESTIGOS Y SE DA INTERVENCIÓN AL JUZGADO FEDERAL EN TURNO, EL CUAL DISPONE QUE SE PROCEDA A LA DETENCIÓN DEL CAUSANTE Y SU POSTERIOR TRASLADO A SEDE JUDICIAL.</t>
  </si>
  <si>
    <t>DR. GRAVANO RICARDO</t>
  </si>
  <si>
    <t>DAÑOS INTENCIONALES</t>
  </si>
  <si>
    <t>VERTICE NORTE, ALEDAÑA A LA FUENTE DE AGUA</t>
  </si>
  <si>
    <t>A HS. 09:00 SE PRESENTA EL SR. HORACIO EDUARDO GRANEROS, D.N.I. N° 11.476.093, CON DOMICILIO EN CALLE UNIVERSO 850, DE LA CIUDAD DE YERBA BUENA, PROVINCIA DE TUCUMAN, QUIEN SE DESEMPEÑA COMO PERMISIONARIO DE SERVICIO DE REMIS EN ESTE AEROPUERTO, EXPONIENDO QUE EL DIA 05 DE OCTUBRE DEL CORRIENTE AÑO A HS. 20:00 DEJA SU VEHICULO ESTACIONADO EN LA PLAYA DE ESTACIONAMIENTO DE ESTE AEROPUERTO, A HS. 21:45 REGRESA AL MISMO, AL SALIR CON EL AUTOMOVIL SE PERCATA DE UN RUIDO EXTRAÑO, AL DETENERSE Y BAJAR DEL VEHICULO PARA VERIFICAR OBSERVA DE QUE LA RUEDA TRASERA IZQUIERDA SE ENCONTRABA INSCRUSTADO UN CLAVO DEL TIPO MIGUELITO Y QUE A LA ALTURA DE LA RUEDA DELANTERA DERECHA OTRO CLAVO DEL MISMO TIPO QUE NO LLEGO A CLAVARSE. POR EL HECHO ACUSA AL SR. HUGO ANTONIO GUZMAN Y AL SR. MARCELO GALLARDO AMBOS EX-REMISEROS DE SU EMPRESA. SE REALIZA LAS ACTUACIONES PERTINENTES Y SE ESTABLECE COMUNICACION TELEFONICA CON LA FISCALIA DE TURNO SIENDO ANTENDIDO POR EL SECRETARIO DR. GRAVANO RICARDO QUIEN ORDENA SE ELEVEN LAS ACTUACIONES UNA VEZ FINALIZADAS</t>
  </si>
  <si>
    <t>RODOLFO MIQUELARENA</t>
  </si>
  <si>
    <t>INFRACCIÓN A LA LEY 20.429 (LEY NACIONAL DE ARMAS Y EXPLOSIVOS) Y LEY 25.886 ART. 189 BIS COD. PENAL - TENENCIA ILEGAL DE ARMAS DE FUEGO.-</t>
  </si>
  <si>
    <t>CONTROL DE EQUIPAJE DESPACHADO POR BODEGA EN RAYOS X DE LA SALA DE EMBARQUE</t>
  </si>
  <si>
    <t>MIENTRAS SE REALIZABA EL CONTROL DE SEGURIDAD EN EL EQUIPAJE DESPACHADO SE OBSERVA EN EL INTERIOR DE UNA MALETA UN OBJETO CON FORMA DE REVOLVER, SE PROCEDE A CONVOCAR LA PRESENCIA DEL PROPIETARIO DEL EQUIPAJE, QUIEN RESULTA SER EL SR. MARIO ABEL TARTAGLIONE CEDULA DE IDENTIDAD NUMERO 04.461.038, SE CONVOCA A 2 (DOS) TESTIGOS HÁBILES Y SE LE REQUIERE AL PASAJERO PROPIETARIO, QUE EXHIBA LOS ELEMENTOS QUE PORTA EN SU EQUIPAJE, PARA SER IDENTIFICADOS POR EL PERSONAL ACTUANTE LO CUAL ARROJA COMO RESULTADO UN REVOLVER MARCA FAG CONTENIENDO EN SU INTERIOR 5 MUNICIONES EN EL TAMBOR Y 10 MUNICIONES SUELTAS. CONSULTADO EL PROPIETARIO DEL ARMAMENTO EN CUESTIÓN SI POSEE LA DOCUMENTACIÓN LEGAL PARA LA TENENCIA DEL PRESENTE ARMAMENTO, MANIFIESTA QUE NO. SE DA INTERVENCION AL SECRETARIO TITULAR DEL JUZGADO FEDERAL DE RAWSON DR. RODOLFO MARIANO MIQUELARENA QUIEN ORDENA SE LABREN LAS ACTUACIONES DE RIGOR , SECUESTRO DE ARMAMENTO, NOTIFICACIÓN DE CAUSA Y LIBERACIÓN DEL CIUDADANO ASIMISMO SE MANTIENE EN RESGUARDO EN ESTA DEPENDENCIA POLICIAL EL MENCIONADO ARMAMENTO HASTA QUE SS LO REQUIERA.</t>
  </si>
  <si>
    <t>PLAYA OFICIAL PLAYA PUBLICA Y ACCESO OESTE</t>
  </si>
  <si>
    <t>SE CUMPLIMENTA ORDEN DE SERVICIO NRO.38/2010 U.O.S.P. POSADAS, CONSISTENTE A DAR SEGURIDAD AL MINISTRO DE JUSTICIA SEGURIDAD Y DERECHOS HUMANOS DR. JULIO ALAK Y COMITIVA, QUIEN ARRIBA EN EL VUELO AR1750 DEJANDO LA JURISDICCIÓN AEROPORTUARIA VÍA TERRESTRE ESCOLTADO POR PERSONAL DE ESTA UNIDAD A LAS 10:15HS. ASIMISMO SIENDO LAS 12:00HS SE ESCOLTA LA COMITIVA AL LLEGAR A ESTA JURISDICCIÓN BRINDÁNDOLE SEGURIDAD EN LA PARTE PUBLICA, PLAYA OFICIAL, SALA VIP Y SECTOR RESTRINGIDO, HASTA EL EMBARQUE EN EL VUELO DE GENDARMERÍA NACIONAL MATRICULA GN-812 DESPEGANDO A LAS 12:20HS CON DESTINO AEROPUERTO CATARATAS DEL IGUAZÚ</t>
  </si>
  <si>
    <t>DRA. MARIA E CERVERA</t>
  </si>
  <si>
    <t>LEGAJO DE AZEÑA ROSA NERI</t>
  </si>
  <si>
    <t>2347/10-ES</t>
  </si>
  <si>
    <t>EN EL DIA DE LA FECHA A HORAS 10:40. SE PRESENTA PERSONAL DE GENDARMERIA NACIONAL:S.PPAL. MARIO CANARIOS Y LA GENDARME GONZALEZ MARINA, CON LA CIUDADANA DE NACIONALIDAD BOLIVIANA SRA. ROSA NERI AZEÑAS, QUIEN POR DISPOSICION Nº 141944/10 DE LA DNM, DONDE SE ORDENA LA EXPULSION DEL TERRITORIO NACIONAL CON PROHIBICION DE REINGRESO AL PAIS CON CARACTER PERMANENTE, LA MISMA VIAJA ACOMPAÑADA POR SU HIJO MENOR DE EDAD BENJAMIN JEREMIAS AZEÑAS, SE DA CUMPLIMIENTO A LA ORDEN DE SERVICIO Nº 214/10, CON LA INTERVENCION DE DOS EFECTIVOS DE LA UOESA DEL NORTE PARA SU CUSTODIA DENTRO DE LA JURISDICCION AEROPORTUARIA, SIENDO EMBARCADOS EN LA EMPRESA AEROCOMERCIAL AERO SUR DEL VUELO Nº 251 5L, SIN NOVEDAD</t>
  </si>
  <si>
    <t>AVERIGUACION INF.LEY 23.737</t>
  </si>
  <si>
    <t>FERNANDEZ Esteban Ezequiel S/Restricción Libertad</t>
  </si>
  <si>
    <t>EN CONTROL DE DOCUMENTACION DEL SECTOR DE PREEMBARQUE, SE INDIVIDUALIZO AL CIUDADANO ESTEBAN EZEQUIEL FERNANDEZ DNI NRO. 35.033.246 SOBRE QUIEN PESA UNA PROHIBICION DE SALIDA DE LA PROVINCIA EN RELACION A LA CAUSA JUDICIAL DE REFERENCIA DE TRAMITE ANTE EL JUZGADO FEDERAL USHUAIA SE REALIZA COMUNICACION TELEFONICA EN LA PERSONA DEL DR. ERNESTO MENDIETA A/C SECRETARIA PENAL NRO. 2 QUIEN INFORMA QUE EL CAUSANTE TIENE LIBERTAD EN LA PRESENTE CAUSA, PUDIENDO CONTINUAR SU VIAJE. SE LABRA ACTA DEJANDO CONSTANCIA NRO. 24/10 DE LA COMUNICACION TELEFONICA. EL CAUSANTE SE RETIRA DE ESTA PREVENCION SIN NOVEDAD.-</t>
  </si>
  <si>
    <t>AR 1892</t>
  </si>
  <si>
    <t>EZEIZA -PROV. BUENOS AIRES</t>
  </si>
  <si>
    <t>SECTOR PUBLICO PLANTA BAJA</t>
  </si>
  <si>
    <t>SALON VIP DE AEROPUERTO ARGENTINA 2000</t>
  </si>
  <si>
    <t>INFORMO QUE SE DA CUMPLIMIENTO A ORDEN DE SERVICIO NRO 50/10 UOSA IGUAZU CONSISTENTE A BRINDAR SEGURIDAD AL MINISTRO DE JUSTICIA SEGURIDAD Y DERECHOS HUMANOS DR. JULIO ALAK Y SU CORRESPONDIENTE COMITIVA, QUIEN ARRIBO EN EL VUELO DE GENDARMERIA NACIONAL AERONAVE PILATUS TIPO PPC12 MATRICULA GN812 A LAS 13:00 HS SIENDO ESCOLTADO POR PERSONAL DE ESTA UNIDAD Y PERSONAL DE LA UOESA IGUAZU DEJANDO LA JURISDICCION AEROPORTUARIA VIA TERRESTRE HACIA LA CIUDAD DE PUERTO IGUAZU POSTERIORMENTE SIENDO LAS 15:50 HORAS SE ESCOLTA A LA COMITIVA AL ARRIBAR A ESTA JURISDICCION BRINDANDOLE SEGURIDAD EN LA PARTE PUBLICA SALA VIP Y SECTOR RESTRINGIDO, HASTA EL EMBARQUE EN EL VUELO Nº 2739 DE LA EMPRESA AUSTRAL DESPEGANDO EL MISMO A LAS 16:50 HORAS CON DESTINO A LA CIUDAD AUTONOMA DE BUENOS AIRES AEROPUERTO JORGE NEWERY</t>
  </si>
  <si>
    <t>CARELLI, DANIEL</t>
  </si>
  <si>
    <t>SIENDO LAS DIECISEIS HORAS CON CUARENTA MINUTOS EL OF. BUSTAMENTE JAVIER QUIEN CUMPLE FUNCIONES DE JEFE DE TURNO DEL DIA DE LA FECHA RECIBE COMUNICACIÓN DEL OF. MEDINA HUGO QUIEN SE DESEMPEÑA COMO JEFE DE PREEMBARQUE DEL DIA DE LA FECHA EL CUAL INFORMA QUE AL REALIZARSE LOS CONTROLES DE DOCUMENTACION DE PASAJEROS QUE VIAJAN EN EL VUELO LA 933 DE LA EMPRESA LAN AIRLINES CON DESTINO SANTIAGO DE CHILE, EL OF. LUNA PABLO IDENTIFICA ENTRE LOS MISMOS AL SR. BONICELLI REINA DAVID SOBRE EL CUAL PESA UNA MEDIDA DE PROHIBICION DE SALIDA DE LA REPUBLICA ARGENTINA. ES ENTONCES QUE EL OF. BUSTAMANTE SE DESPLAZA EN COMPAÑÍA DEL OF. STOEHR LEONARDO DEL AREA DE INTELIGENCIA CRIMINAL HASTA EL SECTOR PREEMBARQUE PARA CONSTATAR LA SITUACION DEL SR. BONICELLI., POR LO QUE SE PROCEDE A VERIFICAR CON EL TURNO DE MIGRACIONES DEL DIA DE LA FECHA LA SITUACION DEL MISMO. PERSONAL DE MIGRACIONES RATIFICA DICHA PROHIBICION. SIENDO LAS DIECISIETE HORAS EL OF. STOEHR REALIZA COMUNICACIÓN CON EL JUZGADO FEDERAL N° 1 SECRETARIA "A" A/C DEL DR. DANIEL CARELLI AL CUAL SE LE ANTEPONEN LOS HECHOS Y DISPONE LA VALIDEZ DE LA RESTRICCION DE SALIDA DEL PAIS HASTA QUE NO SE RESUELVA LA SITUACION JUDICIAL DEL SR. BONICELLI Y RECOMIENDA QUE EL MISMO SE PRESENTE ANTE EL TRIBUNAL CORRESPONDIENTE A EFECTOS DE REGULARIZAR SU SITUACION.</t>
  </si>
  <si>
    <t>LA 933</t>
  </si>
  <si>
    <t>6155/10</t>
  </si>
  <si>
    <t>INFORMO QUE EL DIA 06/10/10, SIENDO LAS 20:00 HS REGRESO LA COMISION DE SEDE JUDICIAL , JUNTO AL DETENIDO Y EN VIRTUD AL OFICIO JUDICIAL EMANADO POR EL JUZGADO SE PROCEDIO A DAR LA LIBERTAD AL DETENIDO OSVALDO AMBRIOSO GUZMAN</t>
  </si>
  <si>
    <t>SIENDO LAS 01:25 HORAS ARRIBA AERONAVE AIRBUS 320 MATRICULA LV BHU DE LA EMPRESA LAN ARGENTINA PROCEDENTE DE AEROPUERTO JORGE NEWBERY EN CUYAS BODEGA 13 SE DESPACHAN 50 CAJAS CON UN PESO DE 1.150 KILOGRAMOS DE METAL - MTD - DE LA EMPRESA MINERA TRITON ARGENTINA S.A. CON DESTINO A AEROPUERTO JORGE NEWBERY. EL VUELO DESPEGA A LAS 03:23 SIN NOVEDAD. SE DIO CUMPLIMIENTO A ORDEN DE SERVICIO NRO 0088/2010</t>
  </si>
  <si>
    <t>SIENDO LAS 23:37 HORAS DEL DIA 06 DE OCTUBRE DEL CORRIENTE ARRIBA AERONAVE MATRICULA LV BGZ DE LA EMPRESA AUSTRAL LINEAS AEREAS PROCEDENTE DE AEROPUERTO JORGE NEWBERY EN CUYA BODEGA 06 SE DESPACHAN 35 BULTOS CON UN PESO DE 1.505 KILOGRAMOS DE METAL - MTD - DE LA EMPRESA MINERA CERRO VANGUARDIA CON DESTINO A AEROPUERTO JORGE NEWBERY. EL VUELO DESPEGA A LAS 08:20 HORAS SIN NOVEDAD. SE DIO CUMPLIMIENTO A ORDEN DE SERVICIO NRO 0088/2010</t>
  </si>
  <si>
    <t>DENTRO DE LAS INSTALACIONES DEL AEROPUERTO DE SAN FERNANDO NO PUDIENDO PRECISAR EL LUGAR EXACTO DEL EXTRAVIO.</t>
  </si>
  <si>
    <t>EL DIA Y LA FECHA ANTES MENCIONADA SE HACE PRESENTE EN ESTA DEPENDENCIA POLICIAL EL SEÑOR HORACIO MIGUEL CUESTA, PERSONAL DE LA POLICIA DE LA PROVINCIA DE BUENOS AIRES, DIRECCION DE SERVICIOS Y OPERACIONES AEREAS, CON ASIENTO EN ESTE AEROPUERTO, MANIFESTANDO EL EXTRAVIO DE SU PERMISO PERSONAL DE SEGURIDAD AEROPORTUARIO, VENCIDO, MANIFESTANDO QUE EL MISMO FUE EXTRAVIADO DENTRO DE LAS INSTALACIONES DE ESTE AEROPUERTO Y QUE NO PUEDE PRECISAR EL LUGAR NI LA FECHA.</t>
  </si>
  <si>
    <t>SIENDO LAS 12:03 HORAS ARRIBA AERONAVE MATRICULA LV GOO DE LA EMPRESA AEROLINEAS ARGENTINAS PROCEDENTE DE AEROPUERTO JORGE NEWBERY EN CUYA BODEGA 04 SE DESPACHAN 46 BULTOS CON UN PESO DE 2.024 KILOGRAMOS DE METAL -MTD- DE LA EMPRESA MINERA TRITON ARGENTINA S.A. CON DESTINO A AEROPUERTO JORGE NEWBERY. EL VUELO DESPEGA A LAS 13:00 HORAS SIN NOVEDAD. SE DIO CUMPLIMIENTO A ORDEN DE SERVICIO NRO 0088/2010</t>
  </si>
  <si>
    <t>POSICION Nº 09</t>
  </si>
  <si>
    <t>RECORRIDO DE TCA A POSICION Nº 09</t>
  </si>
  <si>
    <t>EL DIA 6-10-10, SIENDO APROX. LAS 21.00 HORAS, SE RECEPCIONO EN EL TURNO DE PREVENCION COMUNICACION TELEFONICA POR PARTE DE PERSONAL DE LUFTHANSA LA CUAL REQUIRIO PRESENCIA POLICIAL EN LA POSICION Nº 09 EN VIRTUD DE HALLARSE UN FALTANTE DE UNA CAJA QUE CONTENIA PLATA EN FORMA DE LINGOTES DE UNO DE LOS CONTENEDORES AKE, DISPUESTOS A SER TRASLADADOS EN EL VUELO DE MENCION. UNA VEZ EN EL LUGAR JUNTAMENTE CON LOS TESTIGOS EL JEFE DE TURNO PROCEDE A REALIZAR COMUNICACION CON EL JUZGADO INTERVINIENTE QUIEN DISPONE SE REALICE REQUISA DE TODAS LAS PERSONAS PRESENTES EN EL MOMENTO, DE LA BODEGA DE LA AERONAVE, COMO ASI TAMBIEN DE TODOS LOS VEHICULOS Y/O UTILITARIOS QUE SE UTILIZARON PARA ASISTIR A LA AERONAVE, DE LAS REQUISAS REALIZADAS SE OBTUVO RESULTADO NEGATIVO, MANTENIENDO NUEVA COMUNICACION CON EL JUZGADO DISPUSO SE LABREN LAS ACTUACION CORRESPONDIENTES, SE REQUISE LOS COFRES DE LAS PERSONAS AFECTADAS Y DE LOS VEHICULOS PARTICULARES DE LOS MISMOS, ARROJANDO RESULTADO NEGATIVO, SE PROCEDA A LA DETENCION DEL PERSONAL DE SEGURIDAD ARGENTINA S.A. AFECTADAS A LA CUSTODIA DEL CONTENEDOR EN CUESTION, QUEDANDO AFECTADOS A ACTUACIONES LOS OPERARIOS DE LA EMPRESA ITC QUE TUVIERON CONTACTO CON LA CARGA.</t>
  </si>
  <si>
    <t>POSICION Nº 25 BRAVO</t>
  </si>
  <si>
    <t>EL OFICIAL AYUDANTE SUDERA JOSE DARIO CONTROL Nº 504.592 MIENTRAS REALIZABA TAREAS DE PREVENCION EN LA PLATAFORMA OPERATIVA, MAS PRECISAMENTE EN LA POSICION 25 BRAVO VISUALIZA EN EL INTERIOR DE UN AKE ALMACENADO EN EL SECTOR IDENTIFICADO CON EL Nº 00376UA, DE LA EMPRESA UNITED AIRLINES LA EXISTENCIA DE DOS CAJAS DE TELGOPOR DE MEDIANAS DIMENSIONES Y UNA DE CARTON TODAS ELLAS ABIERTAS DEJANDO VER EN SU INTERIOR OBJETOS VARIOS. MOTIVO POR EL CUAL CONVOCA LA PRESENCIA DE TESTIGOS Y DA AVISO AL JEFE DE TURNO.</t>
  </si>
  <si>
    <t>FISCALIA NACIONAL EN LO CORRECCIONAL N° 2</t>
  </si>
  <si>
    <t>CHECK IN AEROLINEAS ARGENTINAS</t>
  </si>
  <si>
    <t>SIENDO LA HORA MENCIONADA SE HACE PRESENTE LA DAMNIFICADA MANIFESTANDO QUE HABIA SUFRIDO LA SUSTRACCION DE UN BOLSO PORTA NOTEBOOK, PERO POR ESTAR PROXIMO A PARTIR SU VUELO APORTA SUS DATOS Y DESCRIPCION DE LO SUSTRAIDO A FIN DE QUE EN ESTA UNIDAD OPERACIONAL SE COMIENCE DE OFICIO LA CAUSA POR EL HECHO DENUNCIADO. COMPROMETIENDOSE LA MISMA A PRSTAR DECLARACION TESTIMONIAL EN EL AEROPUERTO DE DESTINO.</t>
  </si>
  <si>
    <t>INFRACCION ARTS 78 Y 85 DECRETO LEY 8031/73</t>
  </si>
  <si>
    <t>ESPIGON INTERNACIONAL</t>
  </si>
  <si>
    <t>EL DIA Y LA FECHA ANTES MENCIONADA EN MOMENTOS EN QUE EL OFICIAL ZUDERA REALIZABA UNA RECORRIDA POR EL SECTOR DE LA PERGOLA DE LA TERMINAL A, SECTOR DE ARRIBOS, OBSERVA Y SORPRENDE IN FRAGANTTI A UN MASCULINO OFRECIENDO SERVICIO DE TRANSPORTE PUBLICO A VIVA VOZ A PASAJEROS ARRIBADOS AL PAIS FUERA DE LOS LUGARES HABILITADOS A TAL FIN. POR TAL MOTIVO SE PROCEDE A TRASLADAR AL INFRACTOR AL SERVICIO DE SANIDAD A REALIZARLE EL CERTIFICADO MEDICO PRECARIO, PARA POSTERIORMENTE INICIARSE LAS ACTUACIONES CONTRAVENCIONALES.</t>
  </si>
  <si>
    <t>DR. CASTELLANO MARTIN</t>
  </si>
  <si>
    <t>N.N. S/ TVA. DE CONTRABANDO DE ESTUPEFACIENTE</t>
  </si>
  <si>
    <t>AV. PTA. TENTATIVA DE CONTRABANDO DE ESTUPEFACIENTE</t>
  </si>
  <si>
    <t>MIGRACIONES, SECTOR PUBLICO, SECTOR RESTRINGIDO.</t>
  </si>
  <si>
    <t>AEROPUERTO INTERNACIONAL DE EZEIZA</t>
  </si>
  <si>
    <t>INFORMO QUE EN EL DIA DE LA FECHA, SE RECEPCIONO OFICIO JUDICIAL DEL JUZGADO NACIONAL DE PRIMERA INSTANCIA EN LO PENAL ECONOMICO NRO. 4 - SECRETARIA NRO. 8 DE CAPITAL FEDERAL, EN EL MARCO DE LA CAUSA NRO. 13.134 - CARATULADA: NN S/TVA. DE CONTRABANDO DE ESTUPEFACIENTES, EN EL CUAL SE DISPONE ALERTA MIGRATORIO RESPECTO DE LA CIUDADANA FLORIANA SAVO - PASAPORTE NRO. AA 3141409 - QUIEN EGRESARIA DEL PAIS EL DIA 09-OCT-10 DEL CORRIENTE AÑO, POR VUELO DE LA EMPRESA IBERIA NRO. IB 6844, CON ITINERARIO BUE-MADRID - MADRID-BRUSELAS. DEBIENDOSE ARBITRAR LOS MEDIOS NECESARIOS ANTE LA DIRECCION NACIONAL DE MIGRACIONES A LOS EFECTOS DE PROCEDER A SU IDENTIFICACION, COMO ASI TAMBIEN SE DEBERA RECABAR LAS IMAGENES ANTE EL C.O.C. DE SU INGRESO AL PAIS EL DIA 24-SEP-2010, MISMO PROCEDIMIENTO A LA SUPUESTA SALIDA DEL PAIS EL DIA 09-OCT-2010, EN CASO DE DETECTARSE SIGNOS DE MALESTAR O INDISPOSICION POR PARTE DE LA NOMBRADA PRODUCTO INGESTA DE MATERIAL ESTUPEFACIENTE, SE DEBERA COMUNICAR EN FORMA INMEDIATA AL JUZGADO INTERVINIENTE.</t>
  </si>
  <si>
    <t>INFORMO QUE EN EL DÍA DE LA FECHA, SIENDO LAS 12:50 HS. ESTA GUARDIA DE PREVENCION RECEPCIONA COMUNICACIÓN TELEFÓNICA ANÓNIMA, DE UNA PERSONA DE SEXO MASCULINO N/N, MANIFIESTANDO QUE DOS INDIVIDUOS VIAJARÍAN EN EL DÍA DE LA FECHA POR ESTE AEROPUERTO EN UN VUELO DE LA EMPRESA LAN ARGENTINA, CON HORARIO DE PARTIDA 13:25 HS. Y CUYOS PASAJES FUERON COMPRADOS CON TARJETAS ROBADAS, DANDO LOS NOMBRES, UNO DE ELLOS DE NOMBRE ESTEBAN VÁZQUEZ Y EL OTRO DE NOMBRE JUAN DE NACIONALIDAD BRASILEÑA. SIENDO LAS 13:10 HS SE ESTABLECE COMUNICACION TELEFONICA CON EL DR. NÉSTOR ARIEL TUHAY, SECREATRIO DEL JUZGADO DE JURISDICCION, QUIEN ENTERADO DE LOS HECHOS, ORDENA CONSULTAR EN LA EMPRESA LAN ARGENTINA, A LOS EFECTOS DE CONSTATAR SI ESTAS PERSONAS NOMBRADAS ANTERIORMENTE VIAJARÍAN Y SI TIENEN ALGÚN NOVEDAD CON LA COMPRA DE DICHOS PASAJES. EL SUPERVISOR DE LA EMPRESA LAN ARGENTINA SR. MAXIMILIANO IRALA, D.N.I. Nº 31244053, QUIEN AL REALIZAR LAS CONSULTAS PERTINENTES INFORMA DE DOS PERSONAS UNA DE NOMBRE WALBERTO VÁZQUEZ Y OTRA JUAN MÉNDEZ, VIAJAN EN EL VUELO Nº 4025 DE DICHA EMPRESA Y LOS PASAJES FUERON COMPRADOS EN LA REPÚBLICA DEL BRASIL, CON TARJETAS VÍA INTERNET EN LA PAGINA WEB (LAN.COM), NO PRESENTANDO NINGÚN TIPO DE NOVEDAD, CABE DESTACAR QUE REFERENTE A LOS NOMBRES PROPORCIONADOS POR LA EMPRESA LAN ARGENTINA COINCIDEN EL APELLIDO DEL SR. VÁZQUEZ PERO NO ASÍ EL NOMBRE, Y CON RESPECTO AL SR. JUAN MÉNDEZ, COINCIDE ÚNICAMENTE EL NOMBRE EN RELACIÓN A LA DENUNCIA ANÓNIMA RECIBIDA. ACTO SEGUIDO SIENDO LAS 14:00 HS SE ESTABLECE COMUNICACIÓN TELEFÓNICA CON EL DR. NÉSTOR ARIEL TUHAY QUIEN ENTERADO DE LOS HECHOS, ORDENA SE REALICE ACTA DEJANDO CONSTANCIA DE LOS HECHOS, CERRANDO LAS ACTUACIONES Y QUE DICHAS PERSONAS PROSIGAN SU VIAJE</t>
  </si>
  <si>
    <t>CIUDAD PUERTO IGUAZU</t>
  </si>
  <si>
    <t>DENUNCIA EXTRAVIO PPA Nº 255537</t>
  </si>
  <si>
    <t>EN EL DIA DE LA FECHA 07 DE OCTUBRE DEL 2010 SE PRESENTO EN LAS OFICINAS DEL AREA IDENTIFICACION Y REGISTRO DE ESTA UNIDAD OPERACIONAL DE SEGURIDAD PREVENTIVA EL CUIDADANO SOTO HEREDIA CRISTIAN DAMIAN QUIEN ACREDITO SU IDENTIDAD MEDIANTE EL DNI Nº 33.484.371 QUIEN CUMPLE FUNCIONES DE OPERADOR DEL SERVICIO DE EXTINCION DE INCENDIOS DE ESTA AEROESTACION ,A FIN DE INFORMAR EL EXTRAVIO DEL PERMISO DE SEGURIDAD AEROPORTUARIO Nº 255537 CON FECHA DE VENCIMIENTO EL 28/07/2009 SIN PODER PRECISAR MAYORES DATOS DEL LUGAR O LAS CIRCUNSTANCIAS EN QUE SE PRODUJO EL EXTRAVIO DEL MISMO.</t>
  </si>
  <si>
    <t>DENUNCIA EXTRAVIO PPA Nº 255518</t>
  </si>
  <si>
    <t>EN EL DIA DE LA FECHA SE PRESENTO EN LAS OFICINAS DEL AREA DE IDENTIFICACION Y REGISTRO DE ESTA UOSP, EL CIUDADANO LOPEZ MATUS JORGE ALBERTO QUIEN ACREDITO SU IDENTIDAD MEDIANTE EL DNI Nº 26649625 EL CUAL CUMPLE FUNCIONES EN EL SERVICIO DE EXTINCION DE INCENDIOS DE ESTA AEROESTACION , A FIN DE INFORMAR EL EXTRAVIO DEL PERMISO DE SEGURIDAD AEROPORTUARIO Nº 255518 CON FECHA DE VENCIMIENTO EL DIA 28 DEL MES DE JULIO DEL 2009 SIN QUE PUDIERA BRINDAR MAYORES DATOS DEL LUGAR O DE LAS CIRCUNSTANCIAS EN QUE SE PRODUJO EL EXTRAVIO DEL MISMO.</t>
  </si>
  <si>
    <t>DRA. MARIA E. GARRIDO</t>
  </si>
  <si>
    <t>ALTURA MOSTRADOR 40</t>
  </si>
  <si>
    <t>PUESTO DE DIARIOS RUBEN MORO</t>
  </si>
  <si>
    <t>EN CIRCUNSTANCIA QUE EL PERSONAL DE PATRULLA SE ENCONTRABA EN EL HALL ES ANOTICIADO DE UN FORCEJEO POR LO CUAL ACUDE AL LUGAR. MOMENTOS ANTES DE LLEGAR UNA FEMENINO QUE SE ENCONTRABA EN EL SECTOR SE RETIRA A LA CARRERA, HACIENDO CASO OMISO A LA VOZ DE ALTO POR LO QUE ES RETENIDA DE MANERA PREVENTIVA. EN TANTO EL MASCULINO QUE SE ENCONTRABA EN EL LUGAR ES IDENTIFICADO COMO MARIANO VILLALBA, DEBIENDO RETIRARSE POR RAZONES PERSONALES SIN PRESTAR DECLARACION HASTA EL MOMENTO. SEGUIDO A ELLO SE TRASLADA A LA FEMENINO AL TURNO Y SE ENTABLA LA COMUNICACION CON LA FISCALIA INTERVINIENTE QUIEN DISPONE DIRECTIVAS A SEGUIR Y CUMPLIMENTADAS LAS DILIGENCIAS LA CAUSANTE SE RETIRE DE LA DEPENDENCIA. OBTENIENDOSE RESULTADO POSITIVO DE LA CONSTATACION DE DOMICILIO, LA CAUSANTE SIENDO LAS 17:45 DEL 07/10/10 SE RETIRA DE ESTA DEPENDENCIA CON SUS PERTENENCIAS Y DOCUMENTACION. EN DECLARACION TESTIMONIAL EL EMPLEADO DEL PUESTO DE DIARIOS INFORMA QUE NO SUFRIO FALTANTES EN SU LOCAL.</t>
  </si>
  <si>
    <t>SIENDO LAS 19:20 HORAS ARRIBA AERONAVE MATRICULA LV BOE DE LA EMPRESA AUSTRAL LINEAS AEREAS PROCEDENTE DE AEROPUERTO JORGE NEWBERY EN CUYA BODEGA 04 SE DESPACHAN 17 BULTOS CON UN PESO DE 731 KILOGRAMOS DE METAL -MTD- DE LA EMPRESA MINERA CERRO VANGUARDIA CON DESTINO A AEROPUERTO JORGE NEWBERY. EL VUELO DESPEGA A LAS 20:25 HORAS SIN NOVEDAD. SE DIO CUMPLIMIENTO A ORDEN DE SERVICIO NRO 0089/2010</t>
  </si>
  <si>
    <t>MIENTRAS PERSONAL POLICIAL SE ENCONTRABA EFECTUANDO UN CONTROL PREVENTIVO A LOS EQUIPAJES DESPACHADOS A BODEGA DEL VUELO DE REFERENCIA, DETECTAN EN EL INTERIOR DE UN EQUIPAJE SUSTANCIA ORGANICA DE BAJA DENSIDAD, LA CUAL NO PUEDE DETERMINAR FEHACIENTEMENTE DEL ELEMENTO QUE SE TRATA. POR TAL MOTIVO SE CONVOCA LA PRESENCIA DE DOS TESTIGOS Y LUEGO PERSONAL POLICIAL LOGRA INDIVIDUALIZAR A LA PROPIETARIA DE LA VALIJA EN LA SALA DE EMBARQUE NRO. 03, LA CUAL POSEIA UNA VALIJA TIPO CARRY ON, COMO EQUIPAJE DE MANO, LUEGO SE CONDUCE A LA PASAJERA AL SECTOR DONDE SE ENCUENTRA LA VALIJA, LA CUAL RECONOCE COMO DE SU PROPIEDAD. EN ESTE CONTEXTO, SE PROCEDE A TRASLADAR A TODOS LOS INTERVINENTES A LA GUARDIA DE PREVENCION. A CONTINUACION SE MANTIENE COMUNICACION CON EL JUZGADO, QUIEN AUTORIZA LA REQUISA DEL EQUIPAJE EN CONFLICTO. LUEGO PERSONAL POLICIAL APERTURA EL EQUIPAJE, ENCONTRANDO EN EL MISMO 26 PRENDAS DE VESTIR, SOBRE LAS CUALES SE APLICA REACTIVO DE CAMPO PARA COCAINA, ARROJANDO EN LOS 26 CASOS POSITIVO COCAINA. SEGUIDAMENTE SE APERTURA EL EQUIPAJE DE MANO QUE TRASLADA LA PASAJERO, RETIRANDO DE SU INTERIOR 21 PRENDAS DE VESTIR, SOBRE LAS CUALES SE APLICA REACTIVO PARA COCAINA ARROJANDO EN LOS 21 CASOS POSITIVO COCAINA. A CONTINUACION EL JUZGADO DISPONE QUE SE PROCEDA A LA DETENCIÓN E INCOMUNICARON DE LA PASAJERA Y QUE LA MISMA SEA TRASLADA A SEDE JUDICIAL, A PRIMERA HORA DEL DIA 07/10/10 , JUNTAMENTE CON LO ACTUADO. SEGUN PU Nº 6209 DEL DIA 08-10-2010 A LAS 0800 HS SE PROCEDIO AL TRASLADO DE LA DETENIDA A SEDE JUDICIAL.</t>
  </si>
  <si>
    <t>JUZGADO DE FALTAS - 1RA. NOMINACION DE ROSARIO</t>
  </si>
  <si>
    <t>ALZUGARAY</t>
  </si>
  <si>
    <t>OSVALDO</t>
  </si>
  <si>
    <t>DR. CARLOS RODINI</t>
  </si>
  <si>
    <t>CONTRAVENCIÓN ART 118 CÓDIGO DE FALTAS PROVINCIA DE SANTA FE LEY 10703</t>
  </si>
  <si>
    <t>FRANJA DE SEGURIDAD OPERATIVA LATERAL ESTE PISTA</t>
  </si>
  <si>
    <t>EN LA FECHA EL TURNO DE PREVENCIÓN RECIBIÓ AVISO DEL OPERADOR DE TORRE DE CONTROL INFORMANDO SOBRE LA PRESENCIA DE PERSONAS EN EL SECTOR ANTES MENCIONADO, POR LO CUAL SE DIRIGIÓ PERSONAL DE ESTA U.O.S.P. EN EL MÓVIL DE DOTACIÓN, CONSTATANDO LA PRESENCIA DE UN MASCULINO MAYOR DE EDAD Y SEIS MENORES, LOS CUALES SE ENCONTRABAN CON DIEZ PERROS DE CAZA DE RAZA MESTIZA. SE LOS DIRIGIÓ EN SU TOTALIDAD AL LOCAL DE GUARDIA POR LA PRESUNTA CONTRAVENCIÓN AL CÓDIGO DE FALTAS Y PARA RESGUARDO DE LA INTEGRIDAD FÍSICA. LOS PERROS FUERON ALOJADOS EN UN CANIL. SE PROCEDIÓ A LA REVISIÓN MEDICA DE LOS MENORES Y EL MAYOR POR PARTE DEL PERSONAL PERTENECIENTE AL DIPAES -SERVICIO MEDICO DE ESTE AEROPUERTO- SE DE DIO INTERVENCION AL JUZGADO DE MENORES, ORDENANDO ESTE QUE SE RESTITUYAN LOS MENORES A LOS FAMILIARES. SE DIO INTERVENCIÓN AL JUZGADO DE FALTAS POR LA PRESUNTA CONTRAVENCIÓN AL CÓDIGO DE FALTAS, ORDENANDO SE DERIVE AL MAYOR DE EDAD A LA SUB COMISARIA 2DA DE LA URII DE LA POLICÍA DE LA PROVINCIA DE SANTA FE, A LOS EFECTOS DE LA PROSECUCIÓN DE LAS ACTUACIONES PREVENCIONALES CORRESPONDIENTES, LUEGO DE QUE SE RETIRASEN TODOS LOS MENORES. SE DIO AVISO TELEFONICO A LOS PADRES DE LOS MENORES PARA SER RESTITUIDOS, CUMPLIMENTANDO LO ORDENADO POR EL JUZGADO DE MENORES. SE LABRAN LAS ACTUACIONES CORRESPONDIENTES. SE RESTITUYEN LOS MENORES, SE DERIVA AL MAYOR DE EDAD A LA DEPENDENCIA CITADA, SE ENTREGAN LOS CANES SECUESTRADOS A SU DUEÑO.</t>
  </si>
  <si>
    <t>JUZGADO DE GARANTIA N° 2 - DPTO. JUDICIAL DE SAN MARTIN.</t>
  </si>
  <si>
    <t>OYHANARTE</t>
  </si>
  <si>
    <t>LUCAS MARCELO</t>
  </si>
  <si>
    <t>DRA. FLAVIA POSTIGO</t>
  </si>
  <si>
    <t>I.P.P. NRO. 15-01-20080-10, U.F.I. NRO. 18 SEGUIDA A FEDERICO EDUARDO SGUERA Y OTROS EN ORDEN AL DELITO DE ROBO CALIFICADO POR EL USO DE ARMAS DE FUEGO CUYA APTITUD PARA EL DISPARO NO HA PODIDO ACREDITARSE Y POR HABER SIDO EN POBLADO Y EN BANDA</t>
  </si>
  <si>
    <t>TURNO DE SEGURIDAD DE PREVENCION</t>
  </si>
  <si>
    <t>INFORMO QUE EN EL DIA DE LA FECHA SIENDO LAS 19:00 HORAS EN EL SECTOR DEL HALL PUBLICO DE ESTA AEROESTACION, SE PROCEDIO LA DETENCION DEL CIUDADANO FEDERICO EDUARDO SGUERA D.N.I. 24.913.804,SOBRE QUIEN PESA PEDIDO DE CAPTURA SEGUN OFICIO SIN NUMERO DEL FECHA 7/10/10, RELACIONADO A LA CAUSA NRO. 15.805 (I.P.P. NRO. 15-01-20080-10, U.F.I. NRO. 18) SEGUIDA A FEDERICO EDUARDO SGUERA Y OTROS EN ORDEN AL DELITO DE ROBO CALIFICADO POR EL USOS DE ARMAS DE FUEGO CUYA APTITUD PARA EL DISPARO NO HA PODIDO ACREDITARSE Y POR HABER SIDO EN POBLADO Y EN BANDA (ART.166 INC.2 - TER PARRAFO Y ART. 167 INC.2 C.P.N.) EL MISMO FUE TRASLADADO AL TURNO DE SERVICIO DE SEGURIDAD PREVENTIVA DE ESTA UOSP. PUESTO EN CONOCIMIENTO AL JUZGADO INTERVINIENTE ORDENA SE DE INTERVENCION AL JUZGADO DE JURISDICCION PARA SU POSTERIOR EXHORTO Y TRASLADO DEL CAUSANTE A LA CIUDAD DE BUENOS AIRES. SE REALIZA COMUNICACION CON EL JUZGADO DE INSTRUCCION DE SEGUNDA NOMINACION DEL DISTRITO JUDICIAL SUR - T.D.F. A/C DRA. MARIA CRISTINA BARRIONUEVO EN LA PERSONA DE SU SECRETARIA MERCEDES LOPEZ VEGA, A QUIEN SE LE INFORMA SOBRE LAS ACTUACIONES QUE SE ESTAN LABRANDO EN ESTA DEPENDENCIA, SOLICITANDO ESTA QUE SE ELEVEN LAS MISMAS. POSTERIORMENTE SE REALIZA COMUNICACION TELEFONICA CON EL FISCAL DE LA UNIDAD FUNCIONAL NRO. 18 - DPTO. SAN MARTIN ORDENANDO ESTE ULTIMO LA INCOMUNICACION DEL DETENIDO. SE LABRAN LAS ACTUACIONES DE RIGOR, SE TRASLADARA AL CAUSANTE A LA SEDE DE LA ALCAIDIA LOCAL. SE AMPLIARA. PARTE Nº 6211/10 DIA 08/10/10 SIENDO LAS 02:10 HORAS DEL DIA 08 DE OCTUBRE EN CUMPLIMIENTO DE ORDEN DE SERVICIO NRO. 25/10, SE PROCEDIO A REALIZAR EL TRASLADO Y CUSTODIA DEL IMPUTADO FEDERICO EDUARDO SGUERA, D.N.I. N° 24.913.804 HASTA EL HOSPITAL REGIONAL USHUAIA PARA LA REALIZACION DEL CORRESPONDIENTE PRECARIO MEDICO DE ACTUACION POLICIAL DEL CAUSANTE. POSTERIORMENTE SIENDO LAS 02:44 HS. SE PROCEDE A LA ENTREGA DEL DETENIDO EN ALCAIDIA LOCAL PERTENECIENTE AL SERVICIO PENITENCIARIO DE LA PROVINCIA DE TIERRA DEL FUEGO, RETORNANDO EL PERSONAL DE ESTA PREVENCION AL TURNO SIN NOVEDAD</t>
  </si>
  <si>
    <t>PRESUNTA INFRACCION ART 189 BIS CP</t>
  </si>
  <si>
    <t>SCANNER DE FUNBAPA, SECOR PLANTA BAJA DEL EDIFICIO</t>
  </si>
  <si>
    <t>SIENDO LAS 19:10 HORAS LOCAL EL OFICIAL PRINCIPAL CLAUDIO BABACIC REALIZANDO EL CONTROL DE RUTINA DE LA CARGA DESPACHADA PARA EL VUELO AU 2837, UTILIZANDO PARA ELLO EL EQUIPO DE RAYOS X DE LA FUNDACIÓN BARRERA PATAGONICA, SE OBSERVA EN EL MONITOR QUE EN EL INTERIOR DE UNA SACA, TRANSPORTARIA UN ELEMENTO QUE POR SU COLORACIÓN OSCURA, SE TRATARIA DE UN ELEMENTO METÁLICO, Y SU FORMA SIMILAR A LA DE UN ARMA DE FUEGO DE PUÑO, TIPO REVOLVER.SE DA INTERVENCIÓN AL JUZGADO FEDERAL DE COMODORO RIVADAVIA QUIEN DISPONE QUE SE DE INTERVENCIÓN AL MINISTERIO PUBLICO FISCAL DE LA PCIA DEL CHUBUT, A CARGO DEL DR. HERIBERTO FITZSIMONS, QUIEN ORDENA QUE SE REMITA LAS ACTUACIONES Y QUE SE SECUESTRE EL ELEMENTO CONTENEDOR, QUE CONTIENE EL ELEMENTO EN CUESTION.</t>
  </si>
  <si>
    <t>AEROPUERTO JORGE NEWBERY- BUENOS AIRES</t>
  </si>
  <si>
    <t>SIENDO LA HORA Y LA FECHA ANTES MENCIONADA PERSONAL DE LA EMPRESA AIR FRANCE, CONDUJO A DOS PASAJEROS A LA DIRECCION NACIONAL DE MIGRACIONES, EN VIRTUD A QUE LOS MISMOS SE HABÍAN PRESENTADO EN LOS MOSTRADORES DE LA CITADA EMPRESA EXHIBIENDO DOCUMENTACIÓN QUE PRESENTABA DUDAS EN CUANTO A SU AUTENTICIDAD. EN ESTE CONTEXTO PERSONAL DE MIGRACIONES REALIZO UN CONTROL SOBRE LA DOCUMENTACIÓN DE AMBOS PASAJEROS, LA CUAL ARROJO DUDAS EN CUENTO A SU AUTENTICIDAD. POR TAL MOTIVO LOS PASAJEROS SON REMITIDOS A ESTA DEPENDENCIA POLICIAL, A LOS EFECTO DE DAR INTERVENCIÓN JUDICIAL. QUE MANTENIDA COMUNICACION CON EL JUZGADO, EL MISMO DISPUSO, SE PROCEDA A LA DETENCION EN CARACTER DE INCOMUNICADOS DE LOS PASAJEROS, SECUESTRO DE LA DOCUMENTACION, TRASLADO DE LOS DETENIDOS JUNTO A TODO LO ACTUADO EL DIA 08/10/10, A PRIMERA HORA A SEDE JUDICIAL.</t>
  </si>
  <si>
    <t>EN LA AFUERAS DE LOS MODULOS DE LA EMPRESA INTERCARGO</t>
  </si>
  <si>
    <t>INFORMO QUE MIENTRAS PERSONAL POLICIAL SE ENCONTRABA EFECTUANDO UN RECORRIDA EN PREVENCION DE DELITOS, POR EL SECTOR DE LOS MODULOS DE LA EMPRESA INTERCARGO OBSERVA EN EL INTERIOR DE EN UNO DE LOS TACHOS DE RESIDUOS, UBICADO EN LA ADYACENCIAS DE LA PARED QUE DELIMITA LA TERMINAL DE CARGAS CON LOS MODULOS DE INTERCARGO, DOS TELEFONOS CELULARES ENVUELTOS EN NYLON. EN ESTE CONTEXTO TRASMITEN LA NOVEDAD AL JEFE DE TURNO, QUIEN MANTIENE COMUNICACION CON EL JUZGADO INTERVINIENTE, EL CUAL DISPONE QUE SE PROCEDA AL SECUESTRO DE LOS CELULARES Y SE LABREN ACTUACIONES DE RIGOR</t>
  </si>
  <si>
    <t>EN CUMPLIMIENTO DE LA ORDEN DE SERVICIO NRO. 0089/10 Y SIENDO LAS 01:23 HORAS LOCAL ARRIBA AERONAVE AIR BUS A 320, MATRICULA LV-BET, PERTENECIENTE A LA EMPRESA LAN ARGENTINA NRO. 4428 Y EN CUYAS BODEGAS 12 Y 13 SE EMBARCAN UN TOTAL DE 70 CAJAS CON UN PESO DE 1600 KILOGRAMOS DE METAL-MTD- PERTENECIENTES A LA EMPRESA CERRO VANGUARDIA CON DESTINO EL AEROPUERTO JORGE NEWBERY DE CAPITAL FEDERAL. EL MISMO DESPEGA A LAS 02:25 HORAS LOCAL COMO VUELO NRO. 4429 DE LAN ARGENTINA.</t>
  </si>
  <si>
    <t>6201/10</t>
  </si>
  <si>
    <t>INFORMO QUE EL DIA OCHO DE OCTUBRE DEL CORRIENTE AÑO SIENDO LAS OCHO HORAS TREINTA MINUTOS SE PROCEDIO AL TRASLADO DE LA DETENIDA EN AUTOS A SEDE JUDICIAL</t>
  </si>
  <si>
    <t>SIENDO LAS 01:23 HORAS DEL DIA DE LA FECHA ARRIBA AERONAVE MATRICULA LV BOR DE LA EMPRESA AUSTRAL LINEAS AEREAS PROCEDENTE DE AEROPUERTO JORGE NEWBERY EN CUYA BODEGA 5 SE DESPACHAN 51 BULTOS CON UN PESO DE 2.193 KILOGRAMOS DE METAL - MTD -DE LA EMPRESA CERRO VANGUARDIA CON DESTINO A AEROPUERTO JORGE NEWBERY. EL VUELO DESPEGA A LAS 09:00 HORAS. SE DIO CUMPLIMIENTO A ORDEN DE SERVICIO NRO 0089/2010</t>
  </si>
  <si>
    <t>6203/10</t>
  </si>
  <si>
    <t>HOSPITAL REGIONAL USHUAIA SERVICIO PENITENCIARIO DE LA PROVINCIA TDF</t>
  </si>
  <si>
    <t>INFORMO: EN EL DIA DE LA FECHA SIENDO LAS 02:10 HORAS EN CUMPLIMIENTO DE ORDEN DE SERVICIO NRO. 25/10, SE PROCEDIO A REALIZAR EL TRASLADO Y CUSTODIA DEL IMPUTADO FEDERICO EDUARDO SGUERA, D.N.I. N° 24.913.804 HASTA EL HOSPITAL REGIONAL USHUAIA PARA LA REALIZACION DEL CORRESPONDIENTE PRECARIO MEDICO DE ACTUACION POLICIAL DEL CAUSANTE. POSTERIORMENTE SIENDO LAS 02:44 HS. SE REALIZO ENTREGA DEL DETENIDO AL SARGENTO HUIDE CARLOS FUNCIONARIO DEL SERVICIO PENITENCIARIO DE LA PROVINCIA DE TIERRA DEL FUEGO,RETORNANDO EL PERSONAL DE ESTA PREVENCION AL TURNO SIN NOVEDAD.</t>
  </si>
  <si>
    <t>SIENDO LAS 08:00 HORAS SE IMPLEMENTA OPERATIVO DE SEGURIDAD CON MOTIVO DEL ARRIBO DE LA SRA. PRESIDENTE DE LA NACION, LA CUAL ARRIBO A ESTA AEROESTACION A LAS 10:48 HORAS EN AERONAVE MATRICULA 9H-XRS PROCEDENTE DE LA REPUBLICA DE ALEMANIA, RETIRANDOSE DE ESTE AEROPUERTO A LAS 10:57 HORAS EN EL HELICOPTERO MATRICULA H-01. FINALIZANDO EL OPERATIVO A LAS 11:10 HORAS SIN NOVEDAD.-</t>
  </si>
  <si>
    <t>SIENDO LAS 10:30 HORAS ARRIBA AERONAVE MATRICULA LV BTI DE LA EMPRESA AUSTRAL LINEAS AEREAS PROCENDENTE DE AEROPUERTO JORGE NEWBERY EN CUYA BODEGA 05 SE DESPACHAN 30 CAJAS CON UN PESO DE 1.260 KILOGRAMOS DE METAL - MTD - DE LA EMPRESA MINERA CERRO VANGUARDIA CON DESTINO A AEROPUERTO JORGE NEWBERY. EL VUELO DESPEGA A LAS 11:35 HORAS SIN NOVEDAD. SE DIO CUMPLIMIENTO A ORDEN DE SERVICIO NRO 0089/2010</t>
  </si>
  <si>
    <t>6121/10</t>
  </si>
  <si>
    <t>SIENDO LAS 09:00 DEL DIA 08 DE OCTUBRE DE 2010 SE PRESENTA EN ESTA DEPENDENCIA POLICIAL EL SR. VENEGAS RICARDO INFORMANDO EL HALLAZGO DEL PERMISO PERSONAL PERMANENTE NRO 356536, SECTORES TODOS, EL CUAL FUERA DENUNCIADO COMO EXTRAVIADO EL DIA 05 DE OCTUBRE DEL 2010.</t>
  </si>
  <si>
    <t>6205/10</t>
  </si>
  <si>
    <t>POR MEDIO DEL PRESENTE INFORMO QUE LOS DETENIDOS EN AUTOS SIENDO LAS OCHO HORAS DEL DIA OCHO DEL CORRIENTE MES Y AÑO FUERON TRASLADADOS A SEDE JUDICIAL SIN NOVEDAD.</t>
  </si>
  <si>
    <t>POR MEDIO DEL PRESENTE SE RECTIFICA EL PESAJE DETELLADO EN EL PARTE ORIGINAL: DONDE DICE 11.670 GRAMOS DEBE DECIR 21.660 GRAMOS, SIENDO ESTE EL PESO TOTAL RESULTANTE DE LA SUMA DE LAS PRENDAS HALLADAS EN EL EQUIPAJE DE MANO 6.700 GRAMOS Y LAS PRENDAS HALLADAS EN EL EQUIPAJE DE BODEGA 14.960.-</t>
  </si>
  <si>
    <t>PELOSO, AUGUSTO</t>
  </si>
  <si>
    <t>CINTA DE ARRIBO NRO. 4 TERMINAL A</t>
  </si>
  <si>
    <t>LUEGO DE REALIZAR LOS TRAMITES MIGRATORIOS CORRESPONDIENTES AL INGRESO AL TERRITORIO NACIONAL, SE DIRIGE A LA CINTA TRANSPORTADORA DE EQUIPAJES DE ARRIBOS NRO 4, PARA RETIRAR SUS EQUIPAJES DESPACHADOS A BODEGA, TRATANDOSE ESTOS DE UN EQUIPAJE CARRYON DE COLOR NEGRO MARCA DELSEY, DESPACHADO BAJO MARBETE IB340500, Y UN EQUIPAJE CARRYON COLOR NEGRO MARCA SAMSONITE DESPACHADO BAJO MARBETE NRO. IB 340499. QUE TODAVIA EN EL SECTOR SE PERCATA DE QUE EL EQUIPAJE DESPACHADO BAJO MARBETE NUMERO IB 340499, SE ENCONTRABA SIN EL PAPEL FILM DE COLOR VERDE. POR LO CUAL SE DIRIGE HACIA EL SECTOR DE RECLAMO, DONDE UNA VEZ EN EL MISMO REVISA EL CONTENIDO DEL EQUIPAJE PERCATANDOSE DEL FALTANTE DE ALGUNAS DE SUS PERTENENCIAS.</t>
  </si>
  <si>
    <t>SEGUN ORDEN DE SERVICIO N° 145/10. INFORMO QUE A HORAS 17:05 ARRIBA EN ESTE AEROPUERTO, AERONAVE C550 PERTENECIENTE A LA DIRECCION PROVINCIAL DE AERONAUTICA DE LA PROVINCIA DE TUCUMAN, MATRICULA LV-BEU CON EL MINISTRO DE PLANIFICACION FEDERAL ARQ. JULIO DE VIDO, EN VISITA NO PROTOCOLAR, SE IMPLEMENTARON LAS MEDIDAS DE SEGURIDAD PERTINENTES SIN REGISTRARSE NOVEDAD.</t>
  </si>
  <si>
    <t>tucuman</t>
  </si>
  <si>
    <t>SIENDO LAS DIECISIETE HORAS CON VEINTE MINUTOS, SE HACE PRESENTE EL DENUNCIANTE , QUIEN MANIFIESTA EL EXTRAVIO DE SU PERMISO CON ACONPAÑAMIENTO N° 6633 PERTENECIENTE A ESTA UNIDAD OPERACIONAL, EL MISMO DESCONOCE HORA Y LUGAR DONDE FUE EXTRAVIADA , AL RESPECTO SE CONFECCIONA ACTA DE EXPOSICION DE EXTRAVIO N°74/10</t>
  </si>
  <si>
    <t>SIENDO LAS 15:00 HS, SE IMPLEMENTA OPERATIVO DE SEGURIDAD CON MOTIVO DE LA PARTIDA DE LA SRA. PRESIDENTA DE LA NACION A LA CUIDAD DEL CALAFATE SIENDO LAS 17:37 HS ARRIBA A LA PLATAFORMA MILITAR EN H-02 ,DESPEGANDO A LAS 17:53 HS EN AERONAVE 9H-XRS .FINALIZA SIENDO LAS 18:05 SIN NOVEDAD</t>
  </si>
  <si>
    <t>QUE EL DIA OCHO DEL CORRIENTE MES Y AÑO SIENDO LAS DIECINUEVE HORAS, LOS DETENIDOS EN AUTOS, JUNTO A LA COMISION ENCARGADA DE SU TRASLADO, REGRESAN A ESTE DEPENDENCIA JUNTO A OFICIO JUDICIAL QUE DISPONE SU ALOJAMIENTIO HASTA NUEVO AVISO.</t>
  </si>
  <si>
    <t>ARRIBA AERONAVE MATRICULA 9H-XRS CON LA SRA PRESIDENTA DE LA NACION Y COMITIVA PROCEDENTE DE LA CIUDAD DE BUENOS AIRES SIN NOVEDADES AERONAVE PERNOCTANDO EN ESTE AEROPUERTO.</t>
  </si>
  <si>
    <t>MARIA JULIA SOSA</t>
  </si>
  <si>
    <t>PUNTO DE INSPECCION Y REGISTRO DE PASAJEROS</t>
  </si>
  <si>
    <t>EN MOMENTOS DE REALIZARSE EL CONTROL DE PASAJEROS DEL VUELO DE MENCION, UN PASAJERO DE SEXO MASCULINO ES CHEQUEADO POR PERSONAL POLICIAL POR HABER ACCIONADO LA ALARMA SONORA DEL MARCO DETECTOR DE METALES, DETECTANDO EN EL MISMO, UN BULTO SOSPECHOSO, POR LO CUAL SE LE SOLICITO QUE EXHIBA EL CONTENIDO SIENDO ESTE UNA SUSTANCIA DE ORIGEN VEGETAL A LO QUE EL PASAJERO MANIFESTO QUE SE TRATABA DE MARIHUANA. POR TAL MOTIVO, SE CONVOCO LA PRESENCIA DE DOS TESTIGOS, PRACTICANDOSE SOBRE LA SUSTANCIA REACTIVO DE CAMPO PARA MARIHUANA, ARROJANDO RESULTADO POSITIVO. SIENDO LAS 14:48 HORAS SE ENTABLO COMUNICACION CON LA JUDICATURA INTERVINIENTE QUIEN ORDENO ACTUACIONES DE RIGOR Y EN CASO DE NO PRESENTAR IMPEDIMENTO LEGAL CON RESULTADO DE REINCIDENCIA PROCEDER A LA SOLTURA. SEGUN PU Nº 6248 SE INFORMA QUE EN HORAS 01.05 DEL DIA 09/10/2010, SE PROCEDIO A LIBERAR AL DETENIDO POR NO MEDIAR IMPEDIMENTO LEGAL ALGUNO, RETIRANDOSE DE LA DEPENDENCIA POR SUS PROPIOS MEDIOS, CONFORME A LOS TRATOS RECIBIDOS, SIN NOVEDAD.</t>
  </si>
  <si>
    <t>AR2530</t>
  </si>
  <si>
    <t>INF. AL ART. 189 BIS DEL CPN</t>
  </si>
  <si>
    <t>TAQUILLA DE SALIDA TCA</t>
  </si>
  <si>
    <t>QUE EN CIRCUNSTANCIAS DE LLEVARSE A CABO EL CONTROL DISPUESTO EN ORDEN DE SERVICIO 132-E/10, EL OFICIAL AYUDANTE MAXIMILIANO ORTIZ, DESEMPEÑANDOSE EN EL CONTROL VEHICULAR, PROCEDE A IDENTIFICAR AL CONDUCTOR DE UN VEHICULO TAXI CAPITAL. QUE AL MOMENTO DE REVISAR EL BAUL DEL RODADO SE PERCATA DE LA EXISTENCIA EN SU INTERIOR DE DOS CAJAS METALICAS CONTENIENDO EN AMBOS CASOS DOCE CAJAS DE CARTON CONTENIENDO A SU VEZ CADA UNA DE ELLAS CIEN MUNICIONES DE FUSIL MAUSER Y DETRAS DE ESTA CAJAS METALICAS Y SUELTAS DOCE CAJAS DE CARTON CONTENIENDO IGUALMENTE CIEN MUNICIONES CADA UNA. ARROJANDO UN TOTAL TRES MIL SEISCIENTAS MUNICIONES. QUE EN COMUNICACION CON EL JUZGADO INTERVINIENTE SE DISPUSO LA DETENCION EN CALIDAD DE INCOMUNCADO DEL CONDUCTOR Y PROPIETARIO DEL VEHICULO SIENDO ESTE DE MARCA VOLKSWAGEN MODELO VOYAGE 1.6 DEL TIPO SEDAN CUATRO PUERTAS, DOMINIO IEO-560, SECUESTRO DE ESTE ULTIMO Y DE LAS MUNICIONES HALLADAS EN SU INTERIOR. EN PU 6284 SE INFORMA QU8E SIENDO LAS 0915 HS DEL DIA 11 DEL CORRIENTE MES Y AÑO SE PROCEDE AL TRASLADO DEL DETENIDO AL JUZGADO INTERVINIENTE. SEGUIDAMENTE SIENDO LAS 1300 HS DEL DIA DIA EN MENCION, REGRESA LA COMISION CON EL CAUSANTE CON UN OFICIO QUE ORDENA LA LIBERTAD DEL MISMO.</t>
  </si>
  <si>
    <t>S/DENUNCIA AVERIGUACION DE HURTO</t>
  </si>
  <si>
    <t>BAÑO DAMAS FRENTE A PUERTA 12</t>
  </si>
  <si>
    <t>SIENDO LA HORA MENCIONADA SE HACE PRESENTE UNA PASAJERA DE NOMBRE BIBIANA JOSEFINA BISTRIH LLEVANDO CONSIGO UN BOLSO QUE HABIA HALLADO FRENTE A LA PUERTA Nº 12, Y QUE POR ESTAR PROXIMO A APARTIR SU VUELO NO PODRIA QUEDARSE A REALIZAR EL ACTA DE HALLAZGO, POR LO QUE EL OFICIAL AYUDANTE ROBERTO MIGUEL LIBERA A LA MISMA Y JUNTO A UN TESTIGO COMIENZA A REALIZAR EL ACTA DE HALLAZGO Nº 2556/10, PASADO UNOS MINUTOS SE HACE PRESENTE LA PROPIETARIA DEL BOLSO LA CUAL AL VERIFICAR EL CONTENIDO DEL MISMO SE PERCATA DEL FALTANTE DE MIL PESOS, Y QUE AL MOMENTO DE RECIBIR EL BOLSO Y FIRMAR EL ACATA DE ENTREGA, ADICIONA UNA NOTA DICIENDO FALTAN MIL PESOS DE LA BILLETERA, POR LO QUE EL OFICIAL ROBERTO LA INVITA A RADICAR LA DENUNCIA Y LA PASAJERA POR ESTAR PROXIMO A PARTIR SU VUELO MANIFIESTA QUE NO LA QUERIA REALIZAR, APORTANDO DATOS PARA INICIAR A POSTERIORI ACTUACIONES DE OFICIO.</t>
  </si>
  <si>
    <t>Costabel</t>
  </si>
  <si>
    <t>VAZQUEZ OSVALDO GONZALO</t>
  </si>
  <si>
    <t>HALL DE ARRIBOS INTERNACIONALES SECTOR A</t>
  </si>
  <si>
    <t>SIENDO LA HORA MENCIONADA SE HACE PRESENTE EL DAMNIFICADO MANIFESTANDO QUE EN EL HALL DE ARRIBOS INTERNACIONALES AL MOMENTO DE INFORMAR QUE LOS EQUIPAJES DE UN VUELO CANCELADO HABIAN SIDO ENVIADOS AL SECTOR A2, MIENTRAS QUE POR SER DE UN VUELO INTERNACIONAL TENDRIAN QUE HABER SIDO DESCARGADOS EN DICHO ARRIBO, POR LO QUE UN PASAJERO EMPUJA UN CARTEL QUE SE ENCONTRABA EN EL SECTOR IMPACTANDO CON SU CARA, COMIENZANDO ESTA A SANGRAR. SIENDO LAS 22:20 HORAS, SE ENTABLA COMUNICACION CON EL DR. OSVALDO VAZQUEZ QUIEN DISPONE NOTIFICAR AL IMPUTADO DEL INICIO DE DICHA CAUSA, Y AL DAMNIFICADO PARA QUE SE PRESENTE EN EL MEDICO LEGISTA DE LA PFA, CIERRE Y ELEVACION.</t>
  </si>
  <si>
    <t>AR1256</t>
  </si>
  <si>
    <t>6244/10</t>
  </si>
  <si>
    <t>SIENDO LAS 01:05 HORAS SE PROCEDE A REALIZAR LA LIBERACION DEL DETENIDO SEGUN LO ORDENADO POR LA JUDICATURA ACTUANTE Y NO PRESENTAR IMPEDIMENTO LEGAL ALGUNO. RETIRANDOSE SIN NOVEDAD DE LAS JURISDICCION.</t>
  </si>
  <si>
    <t>BENJAMIN VERGARA, PASAJE LOS GALVAN Nº 2764 - LOMAS DE ZAMORA - ARGENTINA.</t>
  </si>
  <si>
    <t>ANTONIO JESUS GARCIA, AV. EL ALJARASE N7 - BOLLULLO DE MITACION, SEVILLA - ESPAÑA</t>
  </si>
  <si>
    <t>EN MOMENTOS EN QUE PERSONAL POLICIAL, JUNTO CON PERSONAL DE LA DGA, SE ENCONTRABA EFECTUANDO UN CONTROL PREVENTIVO SOBRE LA CARGA CORRESPONDIENTE AL VUELO Nº IB 6842 DE LA EMPRESA IBERIA, CON DESTINO A LA CIUDAD DE MADRID, ESPAÑA, OBSERVARON EN EL MONITOR DE LA MAQUINA DE RX, QUE EN EL INTERIOR DE UNA CARGA CONSTITUIDA POR UN BOLSO TIPO CARRY ON ERAN HABIDOS BULTOS DE DIVERSAS DIMENSIONES Y FORMAS, COMPUESTOS POR SUSTANCIA ORGÁNICA DE BAJA DENSIDAD, CONTENIDOS DENTRO DE LA ESTRUCTURA METÁLICA RETRÁCTIL DEL MENCIONADO BOLSO, NO PUDIENDO DISCERNIR FEHACIENTEMENTE DE QUE ELEMENTOS SE TRATABA. POR TAL MOTIVO, SE SOLICITÓ LA PRESENCIA DE DOS TESTIGOS Y SE ENTABLÓ COMUNICACIÓN CON LA JUDICATURA INTERVINIENTE. SEGUIDAMENTE SE PROCEDIÓ A LA REQUISA DE DICHO BOLSO, HALLÁNDOSE DENTRO DE LA ESTRUCTURA TUBULAR Y DE LA MANIJA DEL MISMO, UN TOTAL DE 9 PAQUETES CONTENIENDO SUSTANCIA QUE LUEGO DE HABER SIDO SOMETIDA A REACTIVO DE CAMPO PARA CLORHIDRATO DE COCAÍNA, ARROJÓ RESULTADO POSITIVO.</t>
  </si>
  <si>
    <t>BAJO LAS COORDENADAS. 39º 41´ 63¨ SUR Y 070º 00´ 64¨ OESTE.</t>
  </si>
  <si>
    <t>SOBRE RUTA PROVINCIAL Nº 43, A 40KM DE LA CIUDAD DE PIEDRA DEL AGUILA Y A 10 KM DE LA LOCALIDAD DE SANTO TOMAS, AMBAS DE LA PROVINCIA DEL NEUQUÈN.</t>
  </si>
  <si>
    <t>SIENDO LAS 13:30 APROXIMADAMENTE, INFORMAN VIA TELEFONICA DESDE LA OFICINA DE PLAN DE VUELO QUE LA AERONAVE MARCA: CESSNA MODELO: 182, MATRICULA: LV-GXN, HABRIA REALIZADO UN ATERRIZAJE DE EMERGENCIA, EN EL LUGAR ANTES MENCIONADO, SEGUN LO INFORMADO VIA RADIAL A LA TORRE DE CONTROL POR EL PILOTO DE LA MISMA SR: IMONDI EDGARDO DNI. 14.011.839.EN LA MISMA VIAJABAN COMO PASAJERAS LA SRA: NICIEZA NORA DNI: 16.016.800 Y LA SRA: ZERBINATI NELLY DNI: 2.746.547, HASTA EL MOMENTO NO SE HAN OBTENIDO MAS NOVEDADES AL RESPECTO.</t>
  </si>
  <si>
    <t>NEUQUÉN</t>
  </si>
  <si>
    <t>FRENTE STAND DE BUSES TRANSFERS EXPRESS.</t>
  </si>
  <si>
    <t>SECTOR A2.</t>
  </si>
  <si>
    <t>SIENDO EL DÍA Y LA HORA ANTES MENCIONADA SE HACE PRESENTE UN PASAJERO DE NACIONALIDAD EXTRANJERA, MANIFESTANDO HABER SIDO VICTIMA DE UN HECHO DELICTIVO. PROCEDENTE DE LA CIUDAD DE BAHÍA BLANCA, RETIRO SU VALIJA DESPACHADA Y SE DIRIGIÓ AL STAND DE BUSES DE LA EMPRESA TRANSFERS EXPRESS, UBICADO EN EL HALL PUBLICO DEL SECTOR A2, DONDE COLOCO SU VALIJA Y UN (1) PORTA NOTEBOOK EN UN CARRO QUE SE ENCONTRABA JUSTO ENFRENTE AL STAND DE BUSES, COLOCÁNDOLO A SU LADO FUERA DE SU VISTA, AL GIRAR SE PERCATA DEL FALTANTE DEL PORTA NOTEBOOK. SIENDO LAS 14:45 HORAS SE ENTABLA COMUNICACIÓN CON LA JUDICATURA ACTUANTE QUIEN DISPONE: REGISTRÓ FÍLMICO, ACTA DEJANDO CONSTANCIA DE LA COMISIÓN A LA SALA DE VIDEO, CIERRE Y ELEVE DE LAS ACTUACIONES.</t>
  </si>
  <si>
    <t>DRA. ANA MARIA SURIANI</t>
  </si>
  <si>
    <t>LEY 24241</t>
  </si>
  <si>
    <t>INFORMO QUE EN EL CONTROL DE DOCUMENTACIÓN DE PASAJEROS DEL VUELO NRO. 2739 DE LA EMPRESA AUSTRAL LÍNEAS AÉREAS SE DETECTA A TRAVÉS DEL SISTEMA DE INTERPOL EL PEDIDO DE PARADERO VIGENTE CORRESPONDIENTE AL SR. MORAN ROBERTO CARLOS, SOLICITADO POR JUZGADO FEDERAL DE PRIMERA INSTANCIA Nº 1 - MENDOZA - SECRETARIA PENAL "C" , ANTE EL HECHO PERSONAL DE INTERPOL REALIZA UN ACTA Y ENTREGA AL JEFE DE TURNO EL CUAL CONFECCIONA ACTA DE NOTIFICACIÓN DANDO CUMPLIMIENTO A LO REQUERIDO POR JUZGADO SOLICITANTE DE LA MEDIDA Y SE NOTIFICA AL CAUSANTE QUE DEBERÁ COMPARECER ANTE DICHO JUZGADO DENTRO DE LOS CINCOS DÍAS HÁBILES DE LABRADA LA MISMA PARA REGULARIZAR SU SITUACIÓN JUDICIAL</t>
  </si>
  <si>
    <t>SIENDO LA FECHA Y HORA ANTES MENCIONADA, EN MOMENTOS EN QUE EL OFICIAL SUDERA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</si>
  <si>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MITRE Y VILLEGAS</t>
  </si>
  <si>
    <t>CENTRO CIVICO,CIUDAD DE BARILOCHE</t>
  </si>
  <si>
    <t>EN EL DIA DE LA FECHA SIENDO LAS 16:00 HORAS APROX LA DENUNCIANTE SE ENCONTRABA PASEANDO EN EL CENTRO CIVICO DE LA CIUDAD DE BARILOCHE JUNTO A UNA AMIGA,DEJANDO ESTACIONADO SOBRE LA CALLE MITRE Y VILLEGAS EL VEHICULO VOLSWAGEN GOL DOMINIO HTM 926,SEDAN TRES PUERTAS,QUE ALQUILO EN ESA CIUDAD. SIENDO LAS 17:10 APROX AL REGRESAR AL MISMO, SE PERCATA QUE HABIA FALTANTES DE SUS PERTENENCIAS EN EL VEHICULO,LAS CUALES ERAN TRES VALIJAS MEDIANAS,UN BOLSO MEDIANO Y UNA BOLSA DE CARTON CON INSCRIPCION ARBOL,POR LO QUE AL INSTANTE SE ACERCA A UN OF. POLICIAL DEL CENTRO CIVICO INFORMANDO LO SUCEDIDO.SEGUIDAMENTE SE HACE PRESENTE EN EL AEROPUERTO DE BARILOCHE PARA ABORDAR EL VUELO LA4351, CON DESTINO BS AS DE LA COMPAÑIA AEROCOMERCIAL LAN ARGENTINA. AL LLEGAR A ESTA CIUDAD SE HACE PRESENTE A ESTA GUARDIA DE PREVENCION PARA RADICAR DICHA DENUNCIA. CABE DESTACAR QUE POR LA PROXIMIDAD DE SU VUELO LA DENUNCIANTE DECIDE NO RADICAR LA DENUNCIA FORMAL EN LA JURISDICCION CORRESPONDIENTE.</t>
  </si>
  <si>
    <t>PARKING 5</t>
  </si>
  <si>
    <t>SIENDO LAS 21:35 HORAS SE IMPLEMENTA OPERATIVO DE PREVENCION POR PARTE DE PERSONAL DE GEDEX, SOBRE UNA MOCHILA QUE SE ENCONTRABA ABANDONADA EN UN CARRO PORTA EQUIPAJE EN EL PARKING Nº 5 DEL ESTACIONAMIENTO DESCUBIERTO, REALIZANDO UN PERIMETRO DE SEGURIDAD SOBRE EL OBJETO. SE REALIZA CONTROL SOBRE LA MOCHILA CON LA UTILIZACION DEL EQUIPO SABRE 4000 ARROJANDO RESULTADO NEGATIVO. FINALIZANDO EL OPERATIVO A LAS 21:55 HORAS. SIENDO LAS 22:00 HORAS SE CONFECCIONA ACTA DE HALLAZGO Nº 2568/10.-</t>
  </si>
  <si>
    <t>N.N. S/ TVA. DE CONTRABANDO DE ESTUPEFACIENTES</t>
  </si>
  <si>
    <t>ACORDE A LA INVESTIGACION QUE ESTA UNIDAD SE ENCUENTRA DESARROLLANDO SEGUN LO ESTABLECIDO CON EL MAGISTRADO INTERVINIENTE, SE PROCEDIO A LA DETENCION DE LA IMPUTADA EN AUTOS PUESTO QUE SE TENIA INFORMACION DE QUE LA MISMA EGRESARIA DEL TERRITORIO NACIONAL CON DESTINO A BRUSELAS EN EL VUELO DE MENCION. SE INDIVIDUALIZO A LA PASAJERA, QUIEN ARRIBO AL AEROPUERTO EN UN TAXI SIN COMPAÑÍA ALGUNA, LA CUAL HABIA DESPACHADO POR BODEGA UNA VALIJA DEL TIPO CARRION, Y ESTA FUE SOMETIDA A CONTROL DE RAYOS X OBSERVANDOSE DENTRO DE LA MISMA ELEMENTOS SOSPECHOSOS. POR TAL MOTIVO SE MANTUVO COMUNICACION TELEFONICA CON EL JUZGADO INTERVINIENTE, EL CUAL DISPUSO SE REALICE LA REQUISA DE LA VALIJA, DE LA PASAJERA Y SUS DEMAS PERTENENCIAS. SEGUIDAMENTE SE REALIZO LA REQUISA DE LA VALIJA, LA CUAL ARROJO RESULTADO POSITIVO EN CUANTO A SUSTANCIA ESTUPEFACIENTE HALLADA EN EL INTERIOR DE SIETE (07) BOTELLAS Y TRES (03) LATAS. ACTO SEGUIDO SE REALIZO EL PESAJE Y SECUESTRO DE LA SUSTANCIA Y LA FEMENINA QUEDO A RESGUARDO DE LA UOSP EZEIZA A FINES DE SER TRASLADADA A LAS 14:00 HS. DEL DIA 10 DEL CORRIENTE MES Y AÑO AL MAGISTRADO INTERVINIENTE.-</t>
  </si>
  <si>
    <t>CASTELLANO, MARTIN</t>
  </si>
  <si>
    <t>EN MOMENTOS EN QUE EL PERSONAL POLICIAL REALIZABA EL CONTROL DEL EQUIPAJE DESPACHADO POR BODEGA EN EL SECTOR DENOMINADO PATIO DE VALIJAS EMPLAZADO EN LA TERMINAL "B", DEL VUELO DE AEROLÍNEAS ARGENTINAS Nº AR 1132 CON DESTINO A LA CIUDAD DE MADRID, ESPAÑA, OBSERVAN MEDIANTE LA MÁQUINA DE RAYOS X, UNA VALIJA TIPO CARRY ON DE MEDIANAS DIMENSIONES QUE PRESENTABA UNA IMAGEN CORRESPONDIENTE A UNA SUSTANCIA ORGÁNICA DE BAJA DENSIDAD DISTRIBUIDA EN EL FONDO DEL MISMO, SIN PODER PRECISAR DE QUE ELEMENTO SE TRATABA. POR TAL MOTIVO, SE SOLICITÓ LA PRESENCIA DE DOS TESTIGOS Y SE PROCEDIÓ A CONTACTAR AL PROPIETARIO DEL EQUIPAJE, IDENTIFICANDO ÉSTE, AL MISMO, COMO DE SU PROPIEDAD. POSTERIORMENTE SE TRASLADARON TODOS LOS INTERVINIENTES AL TURNO DE GUARDIA Y PREVIA AUTORIZACIÓN DE LA JUDICATURA ACTUANTE SE PROCEDIÓ A REALIZAR LA APERTURA DEL EQUIPAJE EN CUESTIÓN. UNA VEZ RETIRADAS TODAS LAS PRENDAS DE VESTIR, SE CONSTATÓ QUE EL PESO DEL EQUIPAJE ERA SUPERIOR A UNO DE SIMILARES CARACTERÍSTICA, POR LO CUAL SE RETIRÓ EL FORRO QUE RECUBRÍA EL FONDO DEL BULTO, ENCONTRANDO POR DEBAJO DE ESTE UNA PLACA DE PLÁSTICO COLOR NEGRO REMACHADA A SUS LATERALES Y AL RETIRARLA SE OBSERVÓ UN PAQUETE DE PLÁSTICO BLANDO COLOR NEGRO DISTRIBUIDO EN LA TOTALIDAD DE LA SUPERFICIE DEL FONDO DEL EQUIPAJE, AL CUAL SE LE REALIZÓ UNA PEQUEÑA INCISIÓN, APRECIANDO EN SU INTERIOR UNA SUSTANCIA DE COLOR BLANCO DE CONSISTENCIA POLVO, LA CUAL FUE SOMETIDA A UNA PRUEBA DE CAMPO CON REACTIVO QUÍMICO PARA COCAINA, ARROJANDO RESULTADO POSITIVO.</t>
  </si>
  <si>
    <t>CINTA DE ARRIBOS Nº 1 TERMINAL A</t>
  </si>
  <si>
    <t>BODEGA AERONAVE - PLATFORMA - CINTAS DE ARRIBOS</t>
  </si>
  <si>
    <t>QUE EL DIA NUEVE DEL CORRIENTE MES Y AÑO ARRIBO AL PAIS. QUE SE HECE PRESENTE EN LA CINTA DE EQUIPAJE NUMERO UNO DONDE RETIRA SU EQUIPAJE SIN PERCATARSE DE NOVEDAD ALGUNA. QUE AL LLEGAR A SU DOMICILIO Y AL APERTURAR SU VALIJA SE PERCATA QUE LA MISMA SE ENCONTRABA CON UNO DE LOS PRECILLOS DEL CIERRE ROTO Y SU CANDADO COLOCADO UNICAMENTE EN EL PRECILLO RESTANTE, NOTANDO ADEMAS EL FALTANTE DE LOS ELEMENTOS DENUNCIADOS.</t>
  </si>
  <si>
    <t>UX043</t>
  </si>
  <si>
    <t>JUZGADO FEDERAL DE 1RA. INST. CRIM. Y CORREC. Nº 3 DE MAR DEL PLATA</t>
  </si>
  <si>
    <t>DRA. SILVIA GONZALEZ</t>
  </si>
  <si>
    <t>AVERIGUACION PTA. INF. LEY 26.364</t>
  </si>
  <si>
    <t>AYOLAS 2943 - CIUDAD DE MAR DEL PLATA, BUENOS AIRES, ARGENTINA</t>
  </si>
  <si>
    <t>REF. ORDEN DE SERVICIO N° 1067, SE PROCEDIO A DAR CUMPLIMIENTO A LA ORDEN DE ALLANAMIENTO EMANADA POR EL JUZGADO INTERVINIENTE, SECUESTRANDOSE LOS ELEMENTOS ABAJO DETALLADOS, SE INFORMA QUE SE REALIZARON DOS NOTIFICACIONES DE FORMACION DE CAUSA A UN MASCULINO Y UNA FEMENINA, LA FEMENINA QUEDO AFECTA A ACTUACIONES Y EL MASCULINO FUE TRASLADADO A LA JEFATURA DEPARTAMENTAL DE LA POLICIA DE LA PROV. DE BUENOS AIRES; LA IMPUTADA PERMANECIO EN EL DOMICILIO JUNTO AL MENOR DE EDAD. SE INFORMA QUE NO SE PESO LA SUSTANCIA ESTUPEFACIENTE POR NO CONTAR CON ELEMENTOS PAR DICHA ACCION.</t>
  </si>
  <si>
    <t>BARDA, PEDRO A., ARRILLAGA, ALFREDO M., MALUGANI, JUAN C., PERTUSIO, LUIS R., ORTIZ, JUSTO A. I. S/AVERIGUACION HOMICIDIO CALIFICADO</t>
  </si>
  <si>
    <t>TURNO DE PREVENCION.</t>
  </si>
  <si>
    <t>INFORMO QUE EN EL DIA DE LA FECHA EN VUELO N° 5U 470 DE LA EMPRESA AEROCOMERCIAL LÍNEAS AÉREAS DEL ESTADO SE ENVÍA BAJO GUÍA DE CARGA N° 022-28004395 UN SOBRE CERRADO CONTENIENDO LA CAUSA N° 2633 CARATULADA "BARDA PEDRO A; ARRILLAGA, ALFREDO M; MALUGANI, JUAN C.; PERTUSIO, LUÍS R.; ORTIZ, JUSTO A.I. S/AV. HOMICIDIO CALIFICADO" AL TRIBUNAL ORAL EN LO CRIMINAL FEDERAL DE MAR DEL PLATA CONFORME A LO DISPUESTO POR SU S.S., DR. FEDERICO CALVETE A CARGO DEL JUZGADO FEDERAL DE LA CIUDAD DE USHUAIA. ASIMISMO INFORMO SE ESTIMA EL ARRIBO A LA CIUDAD DE MAR DEL PLATA A LAS 19:30 HS APROXIMADAMENTE</t>
  </si>
  <si>
    <t>5U470</t>
  </si>
  <si>
    <t>6258/10</t>
  </si>
  <si>
    <t>PATIO DE VALIJAS DE LA TERMINAL B DE ESTE MEDIO</t>
  </si>
  <si>
    <t>INFORMO QUE EL DIA 10-10-10, SIENDO APROXIMADAMENTE LAS 14 HORAS SE PROCEDIO AL TRASLADO DEL DETENIDO EN AUTOS A SEDE JUDICIAL</t>
  </si>
  <si>
    <t>SILVIA GONZALEZ</t>
  </si>
  <si>
    <t>AV. PTA. INF. LEY 26364</t>
  </si>
  <si>
    <t>MARTINEZ DE HOZ 397 - MAR DEL PLATA, PROVINCIA DE BUENOS AIRES.</t>
  </si>
  <si>
    <t>CON RELACION A LA ORDEN DE SERVICIO NRO. 1067 SE REALIZO EL ALLANAMIENTO DEL DOMICILIO MENCIONADO EN EL MARCO DE LA CAUSA DE REFERENCIA POR ORDEN DEL MAGISTRADO ACTUANTE, EN CONJUNTO CON PERSONAL DE LA POLICIA DE LA PROVINCIA DE BUENOS AIRES, EFECTIVIZANDOSE LA DETENCION DE DOS PERSONAS (FEMENINAS), LAS CUALES SON ALOJADAS EN INSTALACIONES DE LA JEFATURA DEPARTAMENTAL MAR DEL PLATA DE LA POLICIA DE LA PROVINCIA DE BUENOS AIRES HASTA SU TRASLADO A SEDE JUDICIAL, EL DIA MARTES 12/10/2010 A PRIMERA HORA.</t>
  </si>
  <si>
    <t>BAIPORT S.R.L. - RENTERIA JUAN CARLOS S/CONTRABANDO.</t>
  </si>
  <si>
    <t>INFORMO QUE EN EL DIA DE LA FECHA EN VUELO N° 5U 470 DE LA EMPRESA AEROCOMERCIAL LÍNEAS AÉREAS DEL ESTADO SE ENVÍA BAJO GUÍA DE CARGA N° 022-28004384 DOS CAJAS CERRADAS Y UN SOBRE CERRADO CONTENIENDO LA CAUSA N° 1557 CARATULADA "BAIPORT S.R.L. - RENTERIA JUAN CARLOS S/CONTRABANDO" A LA EXCMA. CAMARA FEDERAL DE APELACIONES DE COMODORO RIVADAVIA CONFORME A LO DISPUESTO POR SU S.S., DR. FEDERICO CALVETE A CARGO DEL JUZGADO FEDERAL DE LA CIUDAD DE USHUAIA. ASIMISMO INFORMO SE ESTIMA EL ARRIBO A LA CIUDAD DE COMODORO RIVADAVIA A LAS 15:00 HS APROXIMADAMENTE</t>
  </si>
  <si>
    <t>AYOLAS 2945 - MAR DEL PLATA, PROVINCIA DE BUENOS AIRES.</t>
  </si>
  <si>
    <t>CON RELACION A LA ORDEN DE SERVICIO NRO. 1067 SE REALIZO EL ALLANAMIENTO DEL DOMICILIO MENCIONADO EN EL MARCO DE LA CAUSA DE REFERENCIA POR ORDEN DEL MAGISTRADO ACTUANTE, EN CONJUNTO CON PERSONAL DE LA POLICIA DE LA PROVINCIA DE BUENOS AIRES, CON EL RESULTADO INFORMADO POR EL PRESENTE.</t>
  </si>
  <si>
    <t>CRUCCI, ROMAN S/INF. LEY 23737.</t>
  </si>
  <si>
    <t>INFORMO QUE EN EL DIA DE LA FECHA EN VUELO N° 5U 470 DE LA EMPRESA AEROCOMERCIAL LÍNEAS AÉREAS DEL ESTADO SE ENVÍA BAJO GUÍA DE CARGA N° 022-28004384 UN SOBRE CERRADO CONTENIENDO LA CAUSA N° 2.585 CARATULADA "CRUCCI, ROMAN S/INF. LEY 23.737" A LA EXCMA. CAMARA FEDERAL DE APELACIONES DE COMODORO RIVADAVIA, CONFORME A LO DISPUESTO POR SU S.S., DR. FEDERICO CALVETE A CARGO DEL JUZGADO FEDERAL DE LA CIUDAD DE USHUAIA. ASIMISMO INFORMO SE ESTIMA EL ARRIBO A LA CIUDAD DE COMODORO RIVADAVIA A LAS 15:00 HS APROXIMADAMENTE</t>
  </si>
  <si>
    <t>AVERIGUACION DE PTA. INF. LEY. 26.364</t>
  </si>
  <si>
    <t>AYOLAS 2955 - MAR DEL PLATA - PCIA. DE BS. AS.</t>
  </si>
  <si>
    <t>CON RELACION A LA ORDEN DE SERVICIO NRO. 1067 SE REALIZO EL ALLANAMIENTO DEL DOMICILIO MENCIONADO EN EL MARCO DE LA CAUSA DE REFERENCIA POR ORDEN DEL MAGISTRADO ACTUANTE, EN CONJUNTO CON PERSONAL DE LA POLICIA DE LA PROVINCIA DE BUENOS AIRES, EFECTUANDOSE LA DETENCION DE UNA PERSONA DE SEXO MASCULINO, LA CUAL ES ALOJADA EN INSTALACIONES DE LA JEFATURA DEPARTAMENTAL MAR DEL PLATA DE LA POLICIA DE LA PROVINCIA DE BUENOS AIRES HASTA SU TRASLADO A SEDE JUDICIAL, EL DIA MARTES 12/10/2010 A PRIMERA HORA.</t>
  </si>
  <si>
    <t>N.N. S/TENTATIVA DE CONTRABANDO DE ESTUPEFACIENTES</t>
  </si>
  <si>
    <t>EL DIA 09-10-10 SIENDO LAS 22 HORAS APROXIMADAMENTE SE RECEPCIONA EN ESTA DEPENDENCIA PARA SU POSTERIOR ALOJAMIENTO, A LA CIUDADANA FLORIANA SAVO, A REQUERIMIENTO DE LA UNIDAD OPERACIONAL DE CONTROL DEL NARCOTRAFICO Y EL DELITO COMPLEJO CENTRAL. QUE EL DIA 10-10-10 SIENDO LAS 14 HORAS APROXIMADAMENTE SE LA TRASLADA HACIA SEDE JUDICIAL.</t>
  </si>
  <si>
    <t>CATALDI, MARIA ALEJANDRA</t>
  </si>
  <si>
    <t>SECUESTRO DE CARDONES - DECRETO PROVINCIAL Nº 4805/06 - PROTECCION DE LOS RECURSO NATURALES DE LA PROVINCIA</t>
  </si>
  <si>
    <t>INFORMO QUE EN EL DÍA DE LA FECHA SIENDO LAS QUINCE HORAS CON CUARENTA Y CNCO MINUTOS, EN CIRCUNSTACIAS QUE EL OFICIAL AYUDANTE JORGE DE BAIROS MOURA, SE ENCONTRABA REALIZANDO CONTROL DE VEHÍCULOS EN EL ACCESO DE ESTE AEROPUERTO, EN EL MARCO DEL OPERATIVO INCREMENTAR MEDIDAS DE SEGURIDAD ORDENADO POR LA URSA III DEL NORTE MEDIANTE ORDEN DE SERVICIO Nº 216/10 DE FECHA 07-OCT-10, PROCEDE A IDENTIFICAR A UNA CAMIONETA TOYOTA DOBLE CABINA COLOR NEGRA DOMINIO GIT-813 CONDUCIDA POR EL SEÑOR PASTRANA BARRIOS JORGE CESAR, ACOMPAÑADO POR EL SEÑOR WILLIAN LOYD MINCE,PAS.Nº 220738417,DE NACIONALIDAD ESTADOUNIDENSE,LA QUE TRANSPORTABA CUATRO TRONCOS SECOS DE CARDON EN ESTADO NATURAL EN SUPUESTA INFRACCION AL DECRETO PROVINCIAL Nº 4805/06. ELEMENTOS QUE FUERAN ADQUIRIDOS EN LA LOCALIDAD DE UQUIA DE LA PROVINICA DE JUJUY, PRESENTANDO COMO PRUEBA UNA FACTURA DE COMPRA DEL COMERCIO ARTE DE UQUIA.LA MISMA FUE REALIZADA A NOMBRE DEL SEÑOR MINCE, SE PROCEDE A REALIZAR UNA COMUNICACIÓN TELEFONICA CON EL FISCAL FEDERAL Nº 1 DE JUJY EN TURNO DR. DOMINGO BATULE, A QUIEN SE INFORMA DE LA SITUACIÓN, ORDENANDO ESTE QUE SE REALICE EL SECUESTRO DE LOS ELEMENTOS, SE ELEVEN LAS ACTUACIONES A ESA FISCALÍA, SE ENTREGUEN LOS ELEMENTOS SECUESTRADOS A LA DIRECCIÓN PROVINCIAL DE RECURSOS NATURALES Y QUE EL SR. PASTRANA BARRIOS CONTINUE EN LIBERTAD, SIENDO LAS DIECIOCHO TREINTA HORAS SE DAN POR FINALIZADAS LAS ACTUACIONES Y SE RETIRA DE ESTA UNIDAD EL SEÑOR PASTRANA BARRIOS EN SU VEHÍCULO PARTICULAR SIN NOVEDAD, QUEDANDO LOS ELEMENTOS SECUESTRADO EN CUSTODIA DE ESTA UNIDAD OPERACIONAL.</t>
  </si>
  <si>
    <t>PUNTO AISLADO DE ESTACIONAMIENTO DE AERONAVE</t>
  </si>
  <si>
    <t>INFORMO QUE EN EL DIA DE LA FECHA SIENDO LAS 17:30 HS LOCAL SE PROCEDE A EMBARCAR EN AERONAVE LV ZEB M.M.P. CONTROLADA CON DESTINO LA CIUDAD DE USHUAIA AMPARADO POR GUIA DE REMOVIDO 487 ARTICULOS DE PIROTECNIA - 48 CUARENTA Y OCHO BULTOS , PESO TOTAL 650 KILOS PARA SER UTILIZADOS EN LOS FESTIJOS DE 126 ANIVERSARIO DE USHUAIA, REMITE CIENFUEGOS S.A. DESTINATARIO MUNICIPALIDAD DE USHUAIA REMITOS 0004-00043710 Y 0004-00043709 RENAR CERT NRO: 26.143, ASIMISMO ANAC CONFECCIONO DOS ACTAS DE CONSTATACION DE INFRACCION AERONAUTICA POR TRASLADO DE DOS PASAJEROS CON MMP Y FALTA DE PERMISO PARA TRANSPORTAR MMP</t>
  </si>
  <si>
    <t>LV ZEB</t>
  </si>
  <si>
    <t>QUE EL DIA 10-10-10 SIENDO LAS 16 HORAS 50 MINUTOS APROXIMADAMENTE SE RECIBE EN ESTA DEPENDENCIA UNA COMUNICACION TELEFONICA, A TRAVES DE LA CUAL UN MASCULINO MANIFIESTA QUE EL SEÑOR PERCHET GILLES, ESTARIA VIAJANDO CON DROGA A LA CIUDAD DE ATLANTA, ESTADOS UNIDOS DE NORTEAMERICA, EN UN VUELO DE LA COMPAÑIA AEREA DELTA, EN EL DIA DE LA FECHA. RAZON POR LA CUAL SE MANTIENE COMUNICACION TELEFONICA CON EL DR. MARTIN CASTELLANO, TITULAR DE LA SECRETARIA N° 08 DEL JUZGADO NACIONAL EN LO PENAL ECONOMICO N°04, QUIEN INDICO PREVIA CONSULTA Y POR ASI DISPONERLO SU SEÑORIA, SE ARBITREN MEDIOS NECESARIOS, CON EL FIN DE AVERIGUAR SI LA PERSONA DE MENCION ABANDONARIA EL TERRITORIO NACIONAL. EN ESTE CONTEXTO SE COMISIONA PERSONAL POLICIAL PARA DICHA TAREA. QUE SINDO LAS DIECINUEVE HORAS VEINTE MINUTOS APROXIMADAMENTE SE CIERRA EL VUELO DE MENCION NO HABIENDOSE PRESENTADO EL PASAJERO AL EMBARQUE DEL MISMO. POR ULTIMO SE NOTIFICA EL RESULTADO AL JUZGADO QUIEN DISPONE SE INSERTE UN ALERTA MIGRATORIO.</t>
  </si>
  <si>
    <t>DL-110</t>
  </si>
  <si>
    <t>INFORMO ARRIBO AERONAVE SW4 LV-ZEB PROVENIENTE DEL AEROPUERTO RIO GALLEGOS CON MATERIAL DE PIROTECNIA -650 KGS. RENAR CERT. NRO. 26143 - MERCADERIA DE LIBRE CIRCULACION ENTRE EL TNC Y EL AAE- DE LA EMPRESA CIENFUEGOS S.A. PARA MUNICIPALIDAD DE USHUAIA TDF PARA SER USADOS EN LOS FESTEJOS DEL 126 ANIVERSARIO DE ESTA CIUDAD RTO. 004-00043710/004-00043709.</t>
  </si>
  <si>
    <t>LV-ZEB</t>
  </si>
  <si>
    <t>DRA.PETAZZI</t>
  </si>
  <si>
    <t>FALSIFICACIÓN DE FIRMA</t>
  </si>
  <si>
    <t>NRO 0013641</t>
  </si>
  <si>
    <t>PARADERO-VIGENTE</t>
  </si>
  <si>
    <t>INFORMO QUE EN EL CONTROL DE DOCUMENTACIÓN DE PASAJEROS DEL VUELO NRO. 2737 DE LA EMPRESA AUSTRAL LÍNEAS AÉREAS SE DETECTA A TRAVÉS DEL SISTEMA DE INTERPOL EL PEDIDO DE PARADERO VIGENTE SOLICITADO POR EL JUZGADO NACIONAL CRIMINAL Y CORRECCIONAL FEDERAL Nº 10, SECRETARIA Nº 19, CAPITAL FEDERAL. DE LA SRA. PAULA MARIEL FABRIS, ANTE EL HECHO PERSONAL DE INTERPOL REALIZA UN ACTA Y ENTREGA AL JEFE DE TURNO EL CUAL CONFECCIONA ACTA DE NOTIFICACIÓN DE PARADERO DANDO CUMPLIMIENTO A LO REQUERIDO POR JUZGADO SOLICITANTE DE LA MEDIDA Y SE NOTIFICA AL CAUSANTE QUE DEBERÁ COMPARECER ANTE DICHO JUZGADO DENTRO DE LOS CINCOS DÍAS HÁBILES DE LABRADA LA MISMA PARA REGULARIZAR SU SITUACIÓN JUDICIAL</t>
  </si>
  <si>
    <t>PAULA PETAZZI</t>
  </si>
  <si>
    <t>NOTIFICACIÓN PEDIDO PARADERO</t>
  </si>
  <si>
    <t>EN CONTROL DE DOCUMENTACIÓN DE PASAJEROS DEL VUELO NRO. 2737 DE LA EMPRESA AUSTRAL LÍNEAS AÉREAS SE DETECTA A TRAVÉS DEL SISTEMA DE INTERPOL EL PEDIDO DE PARADERO VIGENTE SOLICITADO POR EL JUZGADO NACIONAL CRIMINAL Y CORRECCIONAL FEDERAL Nº 10, SECRETARIA Nº 19, CAPITAL FEDERAL. DE LA SRA. PAULA MARIEL FABRIS, ANTE EL HECHO PERSONAL DE INTERPOL REALIZA UN ACTA Y ENTREGA AL JEFE DE TURNO EL CUAL CONFECCIONA ACTA DE NOTIFICACIÓN DE PARADERO DANDO CUMPLIMIENTO A LO REQUERIDO POR JUZGADO SOLICITANTE DE LA MEDIDA Y SE NOTIFICA AL CAUSANTE QUE DEBERÁ COMPARECER ANTE DICHO JUZGADO DENTRO DE LOS CINCOS DÍAS HÁBILES DE LABRADA LA MISMA PARA REGULARIZAR SU SITUACIÓN JUDICIAL</t>
  </si>
  <si>
    <t>DR. ENRIQUE CRISTOFANI</t>
  </si>
  <si>
    <t>POSICION NUMERO TREINTA Y NUEVE DE LA PLATAFORMA DONDE LA AERONAVE MATRICULA LV-BGV FUE TRASLADADA A LA ZONA DE SEGURIDAD ZULU.</t>
  </si>
  <si>
    <t>CALL CENTER DE AEROLINEAS ARGENTINAS UBICADO EN CALLE COCHABAMBA 2552 - CABA</t>
  </si>
  <si>
    <t>SIENDO LAS 21:15 HORAS DEL DIA 10 DE OCTUBRE DEL CORRIENTE AÑO, SE RECIBE COMUNICACIÓN TELEFÓNICA POR PARTE DEL JEFE DE PREVENCIÓN, PROTECCIÓN Y SEGURIDAD DE LA EMPRESA AEROLÍNEAS ARGENTINAS EL CUAL MANIFIESTA QUE PERSONAL PERTENECIENTE AL CALL CENTER DE DICHA EMPRESA HABÍA RECIBIDO UNA LLAMADA DE AMENAZA DE BOMBA, LA CUAL DECÍA SIC."EN EL VUELO 2838 HAY UNA BOMBA". LA AERONAVE DEL VUELO EN MENCION SE ENCONTRABA EN LA CABECERA DE LA PISTA PRONTA A PARTIR, POR LO QUE SE SOLICITO QUE SE ENTABLE COMUNICACIÓN INMEDIATA CON EL COMANDANTE DE LA AERONAVE Y SE LE INDIQUE QUE ABORTE EL DESPEGUE Y SE DIRIJA A LA POSICIÓN 39 (ZONA ZULU). TRANSCURRIDOS DIEZ MINUTOS SE INFORMA QUE AL MOMENTO DE REALIZAR LA COMUNICACION CON LA AERONAVE, ESTA SE ENCONTRABA YA EN VUELO, LA CUA REGRESA A LA AEROSTACIÓN METROPOLITANA Y SE DIRIGE A LA POSICIÓN ZULU. SIENDO LAS 21:30 HORAS SE ENTABLO COMUNICACIÓN CON LA JUDICATURA ACTUANTE QUIEN DISPONE: FINALIZADO LOS CONTROLES CORRESPONDIENTES, SE REALICE NUEVA COMUNICACIÓN. SE SOLICITO EN CARACTER URGENTE LA PRESENCIA DEL GRUPO DE DESACTIVACIÓN DE EXPLOSIVOS EN TURNO DE LA UOSP METROPOLITANA, IGUALMENTE LA PRESENCIA DEL DEPARTAMENTO DE BOMBEROS DE LA PFA Y EL SERVICIO DE EMERGENCIAS MÉDICAS. SIENDO LAS 21:35 HORAS SE DA INICIO AL PROCEDIMIENTO GEDEX Y AL PLAN DE CONTINGENCIA PARA EXPLOSIVOS, CONSTITUYENDOSE DE IGUAL FORMA EL COE. SIENDO LA HORA 2255 HS FINALIZA EL PROCEDIMENTO EN MENCION EL CUAL CONCLUYE CON RESULTADO NEGATIVO. SIENDO LAS 23:10 HORAS SE ENTABLO SEGUNDA COMUNICACIÓN CON LA JUDICATURA ACTUANTE A QUIEN LE INFORMO QUE LOS CONTROLES HABÍAN CONCLUIDO, CON RESULTADO NEGATIVO EN LA DETECCIÓN DE EXPLOSIVOS, ORDENANDO SE PROCEDA A REALIZAR DECLARACIÓN TESTIMONIAL AL PERSONAL QUE RECIBIÓ EL LLAMADO, SE REALICE NOTA A LA CNC (CENTRAL NACIONAL DE COMUNICACIONES) SOLICITANDO LAS LLAMADAS ENTRANTES EN EL HORARIO DEL HECHO DEL CALL CENTER DONDE SE RECIBIÓ EL LLAMADO, DECLARACIÓN TESTIMONIAL AL PERSONAL PERTENECIENTE AL GRUPO DE DESACTIVACIÓN DE EXPLOSIVOS, LISTADO DE PASAJEROS DEL VUELO, INFORME DE LA EMPRESA AÉREA SI: HA TENIDO ALGÚN CONFLICTO GREMIAL, CON PASAJEROS O CON ALGÚN PERSONAL DE LA EMPRESA, ASIMISMO INFORME DE CANCELACIONES O DE PASAJEROS QUE NO HALLAN ABORDADO EL VUELO, SIENDO LAS 00:30 HORAS SE REALIZO TERCERA COMUNICACIÓN CON LA JUDICATUR ACTUANTE, A QUIEN SE LE INFORMA QUE LA OFICINA DE TRAFICO DE LA EMPRESA AEROCOMERCIAL INDICO QUE EXISTÍAN DOS PASAJEROS DE DICHO VUELO QUE NO HABÍAN ABORDADO EL MISMO SIENDO ESTOS LA SRA. ECHEVERRIA SONIA, DNI Nº 17.558.441, Y EL SR. VILLALBA POLICARPO, DNI Nº 25.241.924, DISPONIENDO QUE LOS MISMOS CONSTEN EN LAS ACTUACIONES.</t>
  </si>
  <si>
    <t>PARKING NUMERO CINCO.</t>
  </si>
  <si>
    <t>ESTACIONAMIENTO DESCUBIERTO SITO EN ESTE AEROPARQUE.</t>
  </si>
  <si>
    <t>SIENDO LAS 01:35 HORAS DEL DÍA DE LA FECHA, EL OFICIAL JEFE ALEJANDRO SILVA, JEFE DE TURNO, RECIBE COMUNICACIÓN VÍA NEXTEL POR PARTE DEL SR. QUINTANA, PERSONAL DE LA EMPRESA AA2000, QUIEN COMUNICA QUE EN EL PARKING Nº 5, DEL ESTACIONAMIENTO DESCUBIERTO DE ESTE AEROPARQUE SE ENCONTRABA UNA (1) BOLSA CERRADA, JUNTO A UN VEHICULO ESTACIONADO. POR TAL MOTIVO SE COMISIONA A DICHO LUGAR AL OFICIAL AYUDANTE HERNÁN CHIESA, ENCARGADO DEL HALL, QUIEN APERSONADO EN DICHO SECTOR, ME INFORMA QUE LA BOLSA ES DE PLÁSTICO GRUESO, COMO LAS QUE SE UTILIZAN PARA GUARDAR MATERIALES Y QUE LA MISMA SE ENCUENTRA CERRADA CON OTRA BOLSA DE PLÁSTICO CHICA, NO PUDIENDO VER SU CONTENIDO, POR LO QUE SE REALIZA UN PERÍMETRO DE SEGURIDAD, A LOS EFECTOS DE COMENZAR OPERATIVO GEDEX. POSTERIORMENTE A FINES DE CUMPLIMENTAR EL PROTOCOLO DE SEGURIDAD VIGENTE, SE ENTABLA COMUNICACION CON EL CUARTEL DE BOMBEROS DE LA PFA, SECCION AEROPARQUE, AL SERVICIO MEDICO DE EMERGENCIA EMERGER Y AL OFICIAL JEFE WALTER ALBUERNE A CARGO DEL GRUPO DE DESACTIVACION DE EXPLOSIVOS, PARA QUE SE HAGAN PRESENTE EN DICHO SECTOR, SE DA INICIO AL PROCEDIMIENTO A LAS 01:55 HORAS, SIENDO TESTIGOS DEL MISMO PERSONAL DE SERZA Y SASA, FINALIZANDO A LAS 02:00 HORAS, ARROJANDO RESULTADO NEGATIVO. SE APERTURA LA BOLSA EN CUESTIÓN, OBSERVANDO EN SU INTERIOR VARIAS BOLSAS QUE CONTENÍAN RESIDUOS. POSTERIORMENTE SE REALIZA UN ACTA PARA DEJAR CONSTANCIA DEL PROCEDIMIENTO.</t>
  </si>
  <si>
    <t>SE HACE PRESENTE LA DAMNIFICADA MANIFESTANDO QUE EL DIA MENCIONADO LUEGO DE ARRIBAR AL AEROPUERTO INTERNACIONAL DE EZEIZA EN UN VUELO PROCEDENTE DE ESPAÑA Y LUEGO DE AGUARDAR CASI UNA HORA PARA RETIRAR SU EQUIPAJE, SE RETIRA DEL AEROPUERTO DIRIGIENDOSE AL HOTEL DONDE SE HOSPEDARIA Y AL MOMENTO DE DESEMPACAR SE PERCATA EL FALTANTE DE ELEMENTOS VARIOS DE SU PERTENENCIA NO PUDIENDO PRECISAR EL MOMENTO EXACTO, POR LO QUE AL DIA SIGUIENTE REALIZA EL RECLAMO EN LA EMPRESA VIA WEB. RADICANDO LA MISMA EN ESTE AEROPUERTO POR ESTAR CERCANO A SU HOSPEDAJE.</t>
  </si>
  <si>
    <t>CINTA DE ARRIBOS N° 01 TERMINAL A</t>
  </si>
  <si>
    <t>QUE UNA VEZ QUE SE HACE DE SU EQUIPAJE, SIENDO ESTE UNA VALIJA CARRY-ON DE COLOR AZUL Y ROJO DESPACHADA CON MARBETE N° UX222709, DE LA EMPRESA DE MENCIÓN, EL DENUNCIANTE SE PERCATA DE QUE LA MISMA POSEÍA LAS PESTILLAS DE LOS CIERRES CON SIGNOS DE HABER SIDO VIOLENTADAS. POR TAL MOTIVO SE HACE PRESENTE EN EL SECTOR DE RECLAMOS DE LA COMPAÑÍA AÉREA Y RADICA EL CORRESPONDIENTE RECLAMO REALIZANDO EN ESE MISMO ACTO LA APERTURA DE LA MISMA Y NOTA EL FALTANTE DE LOS ELEMENTOS DESCRIPTOS. EN VIRTUD A ELLO SE HACE PRESENTE EN EL TURNO DE PREVENCIÓN Y RADICA LA CORRESPONDIENTE DENUNCIA.-</t>
  </si>
  <si>
    <t>SECTOR RESTRINGIDO, PATIO DE VALIJAS, TERMINAL DE CARGAS AEREAS, PLATAFORMA OPERATIVA, PREEMBARQUE 1-16.</t>
  </si>
  <si>
    <t>EN EL DIA DE LA FECHA SE RECIBE ORDEN DE SERVICIO DEL CEAC Nº 58/10 PARA INCREMENTAR LAS MEDIDAS DE SEGURIDAD EN OPERACIONES AEROCOMERCIALES DESDE Y HACIA EL REINO UNIDO. POR LO CUAL PERSONAL DE ESTA UNIDAD OPERACIONAL ANTITERRORISTA SE HIZO PRESENTE EN EL AEROPUERTO DE EZEIZA REALIZANDO LA SUPERVISION EN LAS MEDIDAS DE SEGURIDAD, CONTROL DEL LISTADO DE PASAJEROS, NO ARROJANDO NINGUNA NOVEDAD EN EL NORMAL DESARROLO DE LAS ACTIVIDADES AEROPORTUARIAS REFERENTE AL VUELO DE BRITISH AIRWAYS.</t>
  </si>
  <si>
    <t>BA 246/247</t>
  </si>
  <si>
    <t>S/EJECUTIVO</t>
  </si>
  <si>
    <t>EN EL DIA DE LA FECHA, AL MOMENTO DEL PREEMBARQUE DEL VUELO 2849 DE AUSTRAL LINEAS AEREAS, SE HACE PRESENTE LA SRA. MIRTA GRACIELA PAZ, DNI 11493543, CIUDADANA SOBRE QUIEN RECAE UN PEDIDO DE PARADERO SEGUN EL SISTEMA RED LINCE, BAJO EL REGISTRO 216574, VINCULADO A LA CAUSA 7296, CARATULADA S/EJECUTIVO, EN TRAMITE POR ANTE EL JUZGADO CIVIL Y COMERCIAL DE RIO GRANDE. EN VIRTUD DE LOS AUTOS DE REFERENCIA SE NOTIFICA A LA CIUDADANA ANTES MENCIONADA QUIEN FIJA DOMICILIO REAL Y ACTO SEGUIDO ESTA EMBARCO EN EL VUELO DE AUSTRAL LINEAS AEREAS SIN NOVEDAD.-</t>
  </si>
  <si>
    <t>DRA. CERVERA MARIANA E.</t>
  </si>
  <si>
    <t>LEGAJO DE: FERREIRA ESPINOZA YURBANI</t>
  </si>
  <si>
    <t>2352/10 - ES-</t>
  </si>
  <si>
    <t>EN EL DIA DE LA FECHA A HS. 11:00 SE PRESENTA PERSONAL DE GENDARMERIA NACIONAL CABO 1º SOSA LUCIANA Y EL GENDARME CORDOBA ENZO CON EL CIUDADANO DE NACIONALIDAD BOLIVIANA SR. FERREIRA ESPINOZA YURBANI, QUIEN POR DISPOSICION Nº 149071/2010 DE LA DNM, DONDE SE ORDENA LA EXPULSION DEL TERRITORIO NACIONAL CON PROHIBICION DE REINGRESO AL PAIS CON CARACTER PERMANENTE, SE DA CUMPLIMIENTO A LA ORDEN DE SERVICIO Nº 219/10, CON LA INTERVENCION DE DOS EFECTIVOS DE LA UOESA, DEL NORTE PARA SU CUSTODIA DENTRO DE LA JURISDICCION AEROPORTUARIA SIENDO EMBARCADO EN LA EMPRESA AEROCOMERCIAL AERO SUR DEL VUELO Nº 251 5L, SIN NOVEDAD.</t>
  </si>
  <si>
    <t>6245/10</t>
  </si>
  <si>
    <t>EN VIRTUD A LO ORDENADO, SIENDO LAS 9:15 HORAS DEL 11/10/10, SE EFECTUO EL TRASLADO DEL DETENIDO HACIA EL ASIENTO DEL JUZGADO INTERVINIENTE. SEGUIDAMENTE SIENDO APROXIMADAMENTE LAS 13:00 HORAS REGRESA LA COMISION JUNTAMENTE CON EL CAUSANTE Y UN OFICIO QUE ORDENA LA LIBERTAD DEL MISMO, LA CUAL SE HACE EFECTIVA DESDE LA GUARDIA DE PREVENCION A LAS 14:40 DEL MISMO 11/10/10. RETIRANDOSE EL CAUSANTE DE ESTA DEPENDENCIA POR SUS PROPIOS MEDIOS. PTO</t>
  </si>
  <si>
    <t>6228/10</t>
  </si>
  <si>
    <t>SEGUN ORDEN DE SERVICIO N° 145/10. INFORMO QUE A HORAS 16:45 DESPEGA DE ESTE AEROPUERTO CON DESTINO AEROPARQUE, AERONAVE C550 PERTENECIENTE A LA DIRECCION PROVINCIAL DE AERONAUTICA DE LA PROVINCIA DE TUCUMAN, MATRICULA LV-BEU CON EL MINISTRO DE PLANIFICACION FEDERAL ARQ. JULIO DE VIDO, SE IMPLEMENTARON LAS MEDIDAS DE SEGURIDAD PERTINENTES SIN REGISTRARSE NOVEDAD.</t>
  </si>
  <si>
    <t>C550</t>
  </si>
  <si>
    <t>JUZGADO DE INSTRUCCION Nº 22</t>
  </si>
  <si>
    <t>MURATORIO</t>
  </si>
  <si>
    <t>ISMAEL ROBERTO</t>
  </si>
  <si>
    <t>CABANILLAS, CESAR LOPEZ</t>
  </si>
  <si>
    <t>CAROSSELLA DE FRANCARDI LEONOR LETICIA S/QUIEBRA FRAUDULENTA -ART. 176 INC. 2</t>
  </si>
  <si>
    <t>73894/02</t>
  </si>
  <si>
    <t>EN MOMENTOS EN QUE SE REALIZABA EL CONTROL DEL VUELO 2783 DE LA EMPRESA AUSTRAL DEL DIA DE LA FECHA , SE DETECTA POR MEDIO DE RED LINCE UN PEDIDO DE CAPTURA SOBRE LA PASAJERA CAROSSELLA LEONOR LETICIA SOLICITADO POR EL JUZGADO UT - SUPRA,REFERIDO EN EL MARCO DE LA CAUSA Nº 73894/02, DICHO JUZGADO DISPUSO MEDIANTE COMUNICACION TELEFONICA QUE LA MENCIONADA CIUDADANA CONTINUE VIAJE A SU LUGAR DE DESTINO,Y SE DEJE SIN EFECTO TAL PEDIDO DE CAPTURA POR PRESCRIPCION DEL MISMO.</t>
  </si>
  <si>
    <t>QUE EL DIA 11-10-10 MIENTRAS PERSONAL POLICIAL REALIZABA LA INSPECCION MEDIANTE EQUIPO DE RAYOS X DE LOS EQUIPAJES DESPACHADOS POR BODEGA, DETECTAN EN EL INTERIOR DE UNA VALIJA LA EXISTENCIA DE VARIOS BULTOS DE DIFERENTES TAMAÑOS LOS CUALES CONTENIAN SUSTANCIA DEL TIPO ORGANICA DE BAJA DENSIDAD. ANTE TAL EVENTO SE CONVOCA LA PRESENCIA DE DOS TESTIGOS HABILES Y SE TRANSMITE LA NOVEDAD AL JEFE DE TURNO. QUE UNA VEZ CONTACTADO EL PASAJERO, SE TRASLADAN TODOS LOS INTERVINIENTES HACIA ESTA DEPENDENCIA. EN ESTE LUGAR SE REALIZA LA APERTURA DEL EQUIPAJE ENCONTRANDO EN EL INTERIOR DE ESTE UN ACORDEON, CONTENIENDO ESTE EN SU INTERIOR LA CANTIDAD DE 11 PAQUETES DE DIFERENTES TAMAÑOS ENVUELTOS TODOS EN CINTA COLOR GRIS. CONTINUANDO CON EL ACTO QUE CONVOCA SE PROCEDE A LA APERTURA DE LOS PAQUETES ENCONTRANDO QUE ESTOS CONTIENEN SUSTANCIA A LA QUE SE LE PRACTICA PRUEBA DE CAMPO CON RESULTADO POSITIVO PRESUNTIVO COCAINA. SEGUN PU DEL DIA 12/10/2010 SE INFORMA QUE SIENDO LAS 07.30 HS SE PROCEDIO AL TRASLADO DEL DETENIDO EN AUTOS A SEDE JUDICIAL.</t>
  </si>
  <si>
    <t>BARRERAS DE SALIDA VEHICULAR</t>
  </si>
  <si>
    <t>SIENDO LA FECHA Y HORA ANTES MENCIONADA EN MOMENTOS DE EFECTUAR CONTROLES EN LA BARRERA DE SALIDA DE LA TERMINAL DE CARGAS, A LOS VEHICULOS QUE SE ENCUENTRAN EGRESANDO DE ESTE MEDIO, SE PRESENTA ANTE EL CONTROL DE REFERENCIA UN VEHICULO MARCA VOLKSWAGEN, MODELO GOL, DOMINIO RVE-000, EL CUAL ERA MANEJADO POR UN MASCULINO. EN ESTE CONTEXTO PERSONAL POLICIAL LE SOLICITA QUE DESCIENDA DE SU RODADO AL CHOFER Y SE LE SOLICITA QUE APERTURE EL BAUL, EL CUAL ES REVISADO SIN ENCONTRAR NOVEDAD, ANTE LA PRESENCIA DE ELEMENTOS QUE PUDIERAN SER PRODUCTO DE ALGUN HECHO DELICTIVO. LUEGO SE LE SOLICITA QUE APERTURE UN MALETÍN, QUE SE HALLABA EN EL ASIENTO DEL ACOMPAÑANTE, ARROJANDO RESULTADO NEGATIVO TAMBIÉN, POR ULTIMA SE ABRE UN BOLSO HALLANDO EN SU INTERIOR UNA NAVAJA MULTIUSO, UN PERFUME Y UN FAJO DE BILLETES DE CIEN PESOS ARGENTINOS. A TAL EVENTO SE CONVOCA LA PRESENCIA DE DOS TESTIGOS Y SE TRASMITE LA NOVEDAD AL JEFE DE TURNO. QUE MANTENIDA COMUNICACIÓN TELEFONICA CON EL JUZGADO INTERVINIENTE, EL MISMO DISPONE QUE SE PROCEDA AL SECUESTRO DEL LA NAVAJA Y EL PERFUME, QUE SE EFECTUE FOTOCOPIA DE LA TOTALIDAD DE LOS BILLETES Y SE LE ENTREGUE AL CHOFER Y QUE EL MISMO SE RETIRE DE ESTA DEPENDENCIA POR SUS PROPIOS MEDIOS, POR ULTIMO INFORMANDO QUE SE ENCUENTRA SOLAMENTE AFECTADO A ACTUACIONES.</t>
  </si>
  <si>
    <t>Juzgado de Garantías Nº 02 Lomas de Zamora</t>
  </si>
  <si>
    <t>MAFFUCCI MOORE</t>
  </si>
  <si>
    <t>08ENE03-PAREDES PABLO-GARCIA GABRIEL-HOMICIDIO ALAGGOSTINO DARIO</t>
  </si>
  <si>
    <t>BOX DIRECCION NACIONAL DE MIGRACIONES</t>
  </si>
  <si>
    <t>INFORMO QUE SE RECEPCIONA POR PARTE DEL SR. GARCIA POMMEZ JOSE JAVIER, FUNCIONARIO DE LA DIRECCION NACIONAL DE MIGRACIONES, NOTA DE CUSTODIA NRO. 270/2010 CON JUNTAMENTE CON EL PASAJERO GABRIEL HERNAN GARCIA RODRIGUEZ, SOBRE EL CUAL PESA UNA ORDEN DE CAPTURA, LIBRADA POR EL JUZGADO DE GARANTIAS DE LOMAS DE ZAMORA NRO. 02. EN TAL SENTIDO SE INTENTA ESTABLECER COMUNICACION CON EL JUZGADO SOLICITANTE DE LA CAPTURA, NO PUDIENDO DAR CON PERSONA ALGUNA. MOTIVO POR EL CUAL SE ENTABLA COMUNICACIÓN TELEFONICA CON EL JUZGADO DE GARANTIAS NRO. 03 DE LOMAS DE ZAMORA EN TURNO, QUIEN SE INTERIORIZA DE LA SITUACION, DISPONIENDO QUE SE PROCEDA A LA DETENCION DEL NOMBRADO Y SE INTENTE MANTENER COMUNICACIÓN TELEFONICA CON EL JUZGADO SOLICITANTE DE LA CAPTURA EL DIA 12/10/10, A PRIMERA HORA DE LA MAÑANA.</t>
  </si>
  <si>
    <t>EN CUMPLIMIENTO D ELA ORDEN DE SERVICIO NRO. 0090/10 Y SIENDO LAS 01:34 HORAS LOCAL ARRIBA AERONAVE AIR BUS A 320, MATRICULA LV-BOI DE LA EMPRESA LAN ARGENTINA, VUELO Nº 4428, EN CUYAS BODEGAS 11,12 Y 13 SE EMBARCAN UN TOTAL DE 100 CAJAS CON PESO DE 2000 KILOGRAMOS DE METAL - MTD- PERTENECIENTES ALA EMPRESA MINERA SANTA CRUZ. DESPEGA CON DESTINO EL AEROPUERTO JORGE NEWBERY COMO VUELO N4429 A LAS 03:45 HORAS LOCAL.</t>
  </si>
  <si>
    <t>CALLE PERIMETRAL FRENTE AL HANGAR DE AEROLINEAS ARGENTINAS</t>
  </si>
  <si>
    <t>SIENDO LA HORA MENCIONADA SE HACE PRESENTE EN ESTA GUARDIA DE PREVENCION EL DAMNIFICADO A FIN DE RADICAR UNA DENUNCIA DE CARACTER DELICTIVO POR LA SUSTRACCION DE ELEMENTOS DE SU PERTENENCIAS LOS CUALES SE ENCONTRABAN DENTRO DE SU VEHICULO MARCA RENAULT MODELO TRAFIC DOMINIO TXH 712, DE COLOR BLANCA, EL MISMO FUE ESTACIONADA FRENTE A SU LUGAR DE TRABAJO Y AL MOMENTO RETIRARLO SE PERCATA DEL FALTANTE, Y DE LOS DAÑOS SUFRIDOS PARA INGRESAR EN EL MISMO. SIENDO LAS 07:55 HORAS SE ENTABLA COMUNICACION CON LA FISCALIA INTERVINIENTE DISPONIENDO, INFORME TECNICO DEL VEHICULO, CROQUIS ILUSTARTIVO, FOTOGRAFIAS Y LEVANTAMIENTO DE RASTROS.</t>
  </si>
  <si>
    <t>EN CUMPLIMIENTO DE LA ORDEN DE SERVICIO NRO. 0090/10 Y SIENDO LAS 00:02 HORAS LOCAL ARRIBA AERONAVE MD, MATRICULA LV-BEG, NRO. 2838 DE LA EMPRESA AUSTRAL LINEAS AEREAS Y EN CUYA BODEGAS NRO 5 SE EMBARCAN UN TOTAL DE 53 CAJAS CON UN PESO DE 2000 KILOGRAMOS DE METAL- MTD- PERTENECIENTES A LA EMPRESA MINERA SANTA CRUZ. EL MISMO DESPEGA DESDE ESTA AEROESTACION SIENDO LAS 08:20 HORAS LOCAL COMO VUELO NRO. 2831.</t>
  </si>
  <si>
    <t>6288/10</t>
  </si>
  <si>
    <t>PATIO DE VALIJAS DE TERMINAL A</t>
  </si>
  <si>
    <t>INFORMO QUE EL DIA 12/10/10, SIENDO LAS 07:30 HS SE PROCEDIO AL TRASLADO DEL DETENIDO EN AUTOS RICARDO JOSE MARIN SANCHEZ, A SEDE JUDICIAL</t>
  </si>
  <si>
    <t>EN CUMPLIMIENTO DE LA ORDEN DE SERVICIO NRO. 0090/10 Y SIENDO LAS 10:23 HORAS LOCAL ARRIBA AERONAVE EMBRAER 190 DE LA EMPRESA AUSTRAL LINEAS AEREAS, MATRICULA LV-CET Y EN CUYA BODEGA DELANTERA SE CARGAN UN TOTAL DE 11 CAJAS CON UN PESO DE 412 KILOGRAMOS DE METAL- MTD- PERTENECIENTES A LA EMPRESA MINERA SANTA CRUZ. EL MISMO DESPEGA CON DESTINO EL AEROPUERTO JORGE NEWBERY DE CAPITAL FEDERAL A LAS 11:30 HORAS LOCAL.</t>
  </si>
  <si>
    <t>CRUCCI ROMAN S/INF. LEY 23.737</t>
  </si>
  <si>
    <t>EXCELENTÍSIMA CÁMARA DE FEDERAL DE APELACIONES DE COMODORO RIVADVIA</t>
  </si>
  <si>
    <t>SIENDO LAS 12:15 HORAS LOCAL SE PROCEDE A TRASLADAR UN SOBRE CERRADO A LA EXCELENTÍSIMA CÁMARA FEDERAL DE APELACIONES DE LA CIUDAD DE COMODORO RIVADAVIA A CARGO DEL DR. ALDO E . SUAREZ CONTENIENDO EN SU INTERIOR INCIDENTE DE NULIDAD INTERPUESTO POR EL DEFENSOR OFICIAL EN LA CAUSA CRUCCI ROMÁN S/INF. LEY 23.737, EL CUAL CONSTA DE 16 FS. ÚTILES EN RELACIÓN A LA CAUSA NRO. 2585 CARATULADA CRUCCI ROMÁN S/INF. LEY 23.737, ENVIADA POR LA U.O.S.P. USHUAÍA.</t>
  </si>
  <si>
    <t>DR. ERNESTO F. MENDIETA</t>
  </si>
  <si>
    <t>BAIPORT S.R.L. - RENTERIA JUAN CARLOS S/CONTRABANDO</t>
  </si>
  <si>
    <t>SIENDO LAS 12.15 HORAS LOCAL SE PROCEDE A TRASLADAR DOS CAJAS CONTENIENDO EN SU INTERIOR CAUSA Nº 1557 - AUTOS CARATULADOS BAIPORT S.R.L. - RENTERIA JUAN CARLOS S/CONTRABANDO EL CUAL CONSTA DE CATORCE CUERPOS DE LA CAUSA EN REFERENCIA EN UN TOTAL DE 2.781 FS. Y UN SOBRE CERRADO CONTENIENDO PERMISOS DE EMBARQUES A LA EXCELENTÍSIMA CÁMARA FEDERAL DE APELACIONES DE LA CIUDAD DE COMODORO RIVADAVIA A CARGO DEL DR. ALDO E SUAREZ, ENVIADA POR LA U.O.S.P. USHUAÍA.</t>
  </si>
  <si>
    <t>DESPEGA AERONAVE MATRICULA LV-BRJ CON LA SRA. PRESIDENTA DE LA NACION Y COMITIVA CON DESTINO A LA PROVINCIA DE CHACO Y AERONAVE MATRICULA LV-BPV CON EL SR. EX PRESIDENTE DR. NESTOR KIRCHNER CON DESTINO A LA CIUDAD DE BUENOS AIRES PTO</t>
  </si>
  <si>
    <t>CHACO</t>
  </si>
  <si>
    <t>JUZGADO DE RESPONSABILIDAD JUVENIL Nº 1 DE LOMAS DE ZAMORA</t>
  </si>
  <si>
    <t>ACCION</t>
  </si>
  <si>
    <t>ISABEL</t>
  </si>
  <si>
    <t>DRA. BARBARA RODRIGUEZ</t>
  </si>
  <si>
    <t>FUGA DE MENORES</t>
  </si>
  <si>
    <t>EN EL CONTROL DE DOCUMENTACIÓN DE PASAJEROS DEL VUELO NRO. 1721 DE LA EMPRESA AEROLÍNEAS ARGENTINAS SE DETECTA A TRAVÉS DEL SISTEMA DE INTERPOL UN PEDIDO DE CAPTURA - VIGENTE, SOLICITADO POR EL JUZGADO DE MENORES DE LOMAS DE ZAMORA ANTE EL HECHO PERSONAL DE INTERPOL LABRA UN ACTA Y LA MISMA ES ENTREGADA AL JEFE DE TURNO. ACTO SEGUIDO SIENDO LAS 10:45 HS. SE ESTABLECE COMUNICACIÓN TELEFÓNICA CON EL ABONADO Nº 011-42028440 INTERNO 12130, PERTENECIENTE AL JUZGADO DE RESPONSABILIDAD PENAL JUVENIL Nº 1 DEL DPTO. DE LOMAS DE ZAMORA, EL CUAL ABSORVIÓ LAS CAUSAS DEL JUZGADO ANTES MENCIONADO, SIENDO ATENDIDO EN LA PERSONA DE LA DRA. BARBARA RODRIGUEZ OFICIAL 5º QUIEN ENTERADA DE LOS HECHOS ORDENA SE LE NOTIFIQUE A LA CAUSANTE A PRESENTARSE ANTE EL JUZGADO MENCIONADO Y QUE LA MISMA PROSIGA SU VIAJE.</t>
  </si>
  <si>
    <t>JUZGADO CRIMINAL DE INSTRUCCION Nº 46</t>
  </si>
  <si>
    <t>SECRETARIA Nº 134</t>
  </si>
  <si>
    <t>DR. SANTIAGO LLAURO</t>
  </si>
  <si>
    <t>FALSIFICACIÓN</t>
  </si>
  <si>
    <t>EN EL CONTROL DE DOCUMENTACIÓN DE PASAJEROS DEL VUELO NRO. 4023 DE LA EMPRESA LAN ARGENTINA SE DETECTA A TRAVÉS DEL SISTEMA DE INTERPOL EL PEDIDO DE PARADERO VIGENTE SOLICITADO POR EL JUZGADO NACIONAL CRIMINAL DE INSTRUCCIÓN Nº 46, SECRETARIA Nº 134, CAPITAL FEDERAL CORRESPONDIENTE AL SR. GABRIEL ALFREDO MONDI, ANTE EL HECHO PERSONAL DE INTERPOL REALIZA UN ACTA Y ENTREGA AL JEFE DE TURNO EL CUAL CONFECCIONA ACTA DE NOTIFICACIÓN DE PARADERO DANDO CUMPLIMIENTO A LO REQUERIDO POR JUZGADO SOLICITANTE DE LA MEDIDA Y SE NOTIFICA AL CAUSANTE QUE DEBERÁ COMPARECER ANTE DICHO JUZGADO DENTRO DE LOS CINCOS DÍAS HÁBILES DE LABRADA LA MISMA PARA REGULARIZAR SU SITUACIÓN JUDICIAL.</t>
  </si>
  <si>
    <t>GDE_AP_0059_10_HALLAZGO</t>
  </si>
  <si>
    <t>CONTROL DE RAYOS X AFIP-DGA</t>
  </si>
  <si>
    <t>EL OFICIAL JEFE ALFONSO PABLO, RESPONSABLE DE OPERACIONES DE ESTA UOSP, AL FINALIZAR EL ARRIBO DEL VUELO AU 2848 PROCEDENTE DE AEROPARQUE, LUEGO DE REALIZAR UN RECORRIDO POR EL SECTOR DE ARRIBO DE ESTE AEROPUERTO, ENCUENTRA A METROS DE LA MAQUINA DE RAYOS X PERTENECIENTE A LA DGA-AFIP UN BOLSO MEDIANO, DE COLOR NEGRO, MARCA X-SPORTS Y SE TRASLADA A LA OFICINA DE OPERACIONES POLICIALES DE ESTA UOSA. ACTO SEGUIDO, SE PROCEDE A LA APERTURA DEL MISMO, EN PRESENCIA DE DOS TESTIGOS QUIENES RESULTAN SER FUENTES MARTA ANGÉLICA DNI Nº 31.328.309 Y FERNANDEZ ROSANA JAQUELIN DNI Nº 34.976.295, AMBAS EMPLEADAS DE LA EMPRESA SERZA S.A, QUIENES CUMPLE FUNCIONES DE LIMPIEZA EN ESTE AEROPUERTO, CONTENIENDO EN SU INTERIOR: UN CEPILLO DE DIENTES, UN DESODORANTE MARCA ADIDAS, 2(DOS) ÁLBUMES DE FOTOS, 1 (UN) PORTA CD, CON 9 (NUEVE) CDS, 1 (UN) PEINE, 1 (UNA) BIBLIA, 1 (UNA) LINTERNA DE LED, 1 (UNA) PASTA DE DIENTES MARCA COLGATE, Y UN DVD PORTÁTIL MARCA SUZUKI TIME, SERIE Nº 009MTZ235001177 CON UN 1 (UN) CD EN SU INTERIOR, CON SU CARGADOR DE PARED, CARGADOR DE AUTO Y CONTROL REMOTO Y UN CABLE USB, ADEMÁS DE 2 (DOS) MONEDAS DE UN PESO, 3 (TRES) MONEDAS DE CINCUENTA CENTAVOS, 10 (DIEZ) MONEDAS DE VEINTICINCO CENTAVOS, NUEVE DE DIEZ CENTAVOS Y 2 (DOS) MONEDAS DE CINCO</t>
  </si>
  <si>
    <t>BODEGA AERONAVE - CINTAS DE ARRIBOS - OFICINAS AIR FRANCE - FUERA DE JURISDICCION.</t>
  </si>
  <si>
    <t>QUE AL ARRIBAR AL PAIS EL DIA DIEZ DEL CORRIENTE MES Y AÑO, PERSONAL DE LA COMPAÑIA AIR FRANCE LE INFORMA QUE SU EQUIPAJE QUEDO VARADO EN LA CIUDAD DE PARIS, QUE ARRIBARIA EL DIA ONCE Y SE LO ENTREGARIAN EN SU DOMICILIO. QUE EL DIA ONCE RECIBE EN SU DOMICILIO SU EQUIPAJE Y AL APERTURARLO SE PERCATA DE LOS FALTANTES.</t>
  </si>
  <si>
    <t>DRA. ANDREA M. ZABALA DUFFAU</t>
  </si>
  <si>
    <t>302 CP</t>
  </si>
  <si>
    <t>INFORMO QUE EN EL CONTROL DE DOCUMENTACIÓN DE PASAJEROS DEL VUELO NRO. 4023 DE LA EMPRESA LAN ARGENTINA SE DETECTA A TRAVÉS DEL SISTEMA DE INTERPOL UN PEDIDO DE CAPTURA - VIGENTE, SOLICITADO POR EL JUZGADO NACIONAL PENAL ECONÓMICO Nº 7 - SECRETARIA 13, DE LA SRA. HONG HYUN JA ANTE EL HECHO PERSONAL DE INTERPOL LABRA UN ACTA Y LA MISMA ES ENTREGADA AL JEFE DE TURNO. ACTO SEGUIDO SIENDO LAS 11:35 HS. SE ESTABLECE COMUNICACIÓN TELEFÓNICA CON EL ABONADO Nº 011-41306278, PERTENECIENTE AL JUZGADO ANTES MENCIONADO SIENDO ATENDIDO EN LA PERSONA DE LA DRA. ANDREA M. ZABALA DUFFAU A/C DEL SECRETARIA MENCIONADA QUIEN ENTERADA DE LOS HECHOS, INFORMA QUE NO INTERESA LA CAUSA YA QUE LA MISMA FUE A JUICIO EN EL AÑO 2003 Y QUE LA CAUSANTE PROSIGA SU VIAJE.</t>
  </si>
  <si>
    <t>5920/10</t>
  </si>
  <si>
    <t>750/10</t>
  </si>
  <si>
    <t>SE PROCEDE A LA APERTURA DE DOS ENCOMIENDAS DEL CORREO OFICIAL, SEGÚN CONSTA EN ACTA DE APERTURA DE CARGAS Nº 0436/10, PREV.SUM. 097/10, EN VIRTUD DE LO ORDENADO MEDIANTE OFICIO JUDICIAL Nº 2448/10, DEL MAGISTRADO ACTUANTE, Y EN PRESENCIA DE DOS TESTIGOS HABILES, LA 1ª EP655041828AR, RTTE: SRA. LORENZA FERNANDEZ, LIBERTADOR GRAL SAN MARTIN , C.P.4512, Bº EVA PERON, JUJUY Y DEST: OMAR ROBERTO LOPEZ, EL CANO 342, C.P. 9400, RIO GALLEGOS, SANTA CRUZ, CONTIENE OCHO PAQUETES DE HOJAS DE COCA CON UN PESO TOTAL DE 2.506 GRS. QUEDA SECUESTRADA, Y UNA BOLSA CONTENIENDO TREINTA UNIDADES DE BARRA DE CHOCOLATA DE IND. CHILENA CON UN PESO DE 327 GRS., UNA BOLSA CONTENIENDO VEINTICUATRO UNIDADES DE BARRA DE CHOCOLATE DE IND. PERUANA CON UN PESO DE 466 GRS. A LAS CUALES SE LE EFECTUO PRUEBA DE CAMPO CON REACTIVO MARCA COCA TEST -AEROSOL- PARA COCAINA, CON RESULTADO NEGATIVO, QUEDAN SECUESTRADOS. Y LA 2ª EP657693305AR, RTTE: MERCADO CANDIDA, Bº 1º DE MAYO, M1 C 14, ORAN -SALTA, C.P. 4530 Y DEST: RAMON DANIEL AVIAR, RIO GALLEGOS, SANTA CRUZ, JOSE INGENIERO 2747, C.P. 400, CONTIENE: CUATRO PAQUETES DE HOJAS DE COCA CON UN PESO TOTAL DE 1.235 GRS. QUEDA SECUESTRADA, Y EL RESTO DE LAS MERCADERIAS -PRENDAS DE VESTIR VARIAS- SERAN ENTREGADAS AL CORREO OFICIAL PARA SU REINSERCION EN EL CIRCUITO POSTAL POR NO SER DE INTERES PARA EL PROCEDIMIENTO. LAS ENCOMIENDAS SECUESTRADAS SERAN PUESTA A DISPOSICION DE LA ADMINISTRACION DE ADUANA SALTA, Y LAS ACTUACIONES REMITIDAS A SEDE JUDICIAL. SEGÚN P.U. Nº 5909/10 -ORIGINARIO SE PROCEDE A LA RETENCIÓN DE UNA SACA COLECTORA DEL CORREO OFICIAL, SEGÚN CONSTA EN ACTA DE RETENCIÓN DE CARGAS Nº 0426/10, QUE ORIGINA LA PREVENCIÓN SUMARIA 097/10, LA SACA IDENTIFICADA CON MARBETE, SLA9130476D555700RGL, PRECINTO N° N767812, CON UN PESO DECLARADO DE 6,500 KGS, CON DESTINO LA CIUDAD DE RIO GALLEGOS, CONTENDRÍA DOS PIEZAS POSTALES. LA MISMA ESTÁ AMPARADA EN GUÍA DE CARGA Nº 8038174-4, DESPACHADAS A TRAVÉS DE LA EMPRESA DE CARGA AÉREA JET PAQ. LA RETENCIÓN SE REALIZA ANTE LA PRESUNCIÓN QUE PUDIERAN CONTENER ALGÚN ELEMENTO EN INFRACCIÓN A LA LEY 23.737 Y/O 22.415, QUEDANDO LA MISMA CERRADA Y PRECINTADA EN GUARDA EN ESTA UOSP. SEGÚN LO COORDINADO CON EL DRA. MARÍA ISABEL FALU, A CARGO DE LA SECRETARIA PENAL Nº 4 DEL JUZGADO FEDERAL DE SALTA Nº 2 A CARGO DEL DR. MIGUEL ANTONIO MEDINA. LA APERTURA SE REALIZARÁ EN PRESENCIA DEL PERSONAL DEL CORREO OFICIAL SEGÚN P.U. Nº 5920/10 - AMPLIACION SE PROCEDE A LA APERTURA DE UNA SACA COLECTORA DEL CORREO OFICIAL, SEGÚN CONSTA EN ACTA DEJANDO CONTANCIA Nº0427/10,CORRESPONDIENTE A LA PREV.SUM. 097/10, LA SACA IDENTIFICADA CON MARBETE, SLA9130476D555700RGL, PRECINTO N° N767812, CONTIENE DOS PIEZAS POSTALES: LA 1ª EP655041828AR, RTTE: SRA. LORENZA FERNANDEZ, LIBERTADOR GRAL SAN MARTIN , C.P.4512, Bº EVA PERON, JUJUY Y DEST: SR.OMAR ROBERTO LOPEZ, EL CANO 342, C.P. 9400, RIO GALLEGOS, SANTA CRUZ, LA CUAL QUEDA RETENIDA Y LA 2ª EP657693305AR, RTTE: SRA. MERCADO CANDIDA, Bº 1º DE MAYO, M1 C 14, ORAN -SALTA, C.P. 4530 Y DEST:SR. RAMON DANIEL AYBAR, RIO GALLEGOS, SANTA CRUZ, JOSE INGENIERO 2747, C.P. 400, LA CUAL QUEDA RETENIDA. LAS RETENCIÓNES SE REALIZAN ANTE LA PRESUNCIÓN QUE PUDIERAN CONTENER ALGÚN ELEMENTO EN INFRACCIÓN A LA LEY 23.737 Y/O 22.415, QUEDANDO LA MISMA CERRADA Y EN GUARDA EN ESTA UOSP, SEGÚN LO COORDINADO CON LA DRA. MARÍA ISABEL FALU, A CARGO DE LA SECRETARIA PENAL Nº 4, DEL JUZGADO FEDERAL DE SALTA Nº 2 A CARGO DEL DR. MIGUEL ANTONIO MEDINA. Y LA S APERTURAS SE REALIZARÁN CON LA AUTORIZACION DEL MAGISTRADO ACTUANTE.</t>
  </si>
  <si>
    <t>DRA. LINDA GARCIA</t>
  </si>
  <si>
    <t>INFORMO QUE EN EL CONTROL DE DOCUMENTACIÓN DE PASAJEROS DEL VUELO NRO. 4027 DE LA EMPRESA LAN ARGENTINA SE DETECTA A TRAVÉS DEL SISTEMA DE INTERPOL UN PEDIDO DE CAPTURA - VIGENTE, SOLICITADO POR EL JUZGADO NACIONAL EN LO CRIMINAL DE INSTRUCCIÓN Nº 33 - SECRETARIA Nº 170, CORRESPONDIENTE AL SR. MARCELO CARLOS PARISI ANTE EL HECHO PERSONAL DE INTERPOL LABRA UN ACTA Y LA MISMA ES ENTREGADA AL JEFE DE TURNO. ACTO SEGUIDO SIENDO LAS 17:20 HS. SE ESTABLECE COMUNICACIÓN TELEFÓNICA CON EL ABONADO Nº 011-1544473716, SIENDO ATENDIDO EN LA PERSONA DE LA DRA. LINDA GARCIA A/C DEL SECRETARIA Nº 122 DEL JUZGADO DE INSTRUCCIÓN Nº 45 DE TURNO, POR NO PODER ESTABLECER COMUNICACIÓN TELEFÓNICA CON EL JUZGADO SOLICITANTE DE LA MEDIDA, QUIEN ENTERADA DE LOS HECHOS INFORMA QUE NO INTERESA LA CAUSA YA QUE CONSULTADO AL SERVICIO INFORMÁTICO DE LA CORTE SUPREMA, CON FECHA 19 DE ABRIL 2002 SE DICTO EL SOBRESEIMIENTO, NRO DE CAUSA 12423, Y QUE EL CAUSANTE PROSIGA SU VIAJE.</t>
  </si>
  <si>
    <t>PRESUNTA INFRACCION AL ART. 247 C.P.N.</t>
  </si>
  <si>
    <t>SIENDO LA HORA Y LA FECHA ANTES MENCIONADA EN MOMENTOS DE ENCONTRARSE EL OFICIAL HOZ DE VILA CUMPLIENDO SERVICIO COMO AUXILIAR DE TRANSITO UN VEHICULO MARCA VOLKSWAGEN MODELO PASSAT DOMINIO FNL 518 QUE EXHIBIA A LA ALTURA DEL TABLERO UNA PATENTE DIPLOMATICA MOTIVO POR EL CUAL SE ACERCA A FIN DE SOLICITARLE AL CONDUCTOR LA DOCUMENTACION PERTINENTE A LA CHAPA DIPLOMATICA, AL MANIFESTAR QUE LA MISMA ERA UTILIZADA POR EL EN OTRO VEHICULO EL CUAL SE ENCONTRABA AFECTADO A LA EMBAJADA DE GRECIA Y NO POSEER DOCUMENTACION SOBRE LA MENCIONADA, SE SOLICITA LA PRESENCIA DEL ENCARGADO DE TURNO Y SE PROCEDE A LAS DILIGENCIAS DE RIGOR. SIENDO LAS 1230 HORAS SE ESTABLECE COMUNICACIÓN CON LA JUDICATURA ACTUANTE, LA CUAL ORDENA SE EFECTUE LA DETENCION DEL CAUSANTE EN CARACTER DE COMUNICADO, CERTIFICADO DE REINCIDENCIA, SECUESTRO DE LA CHAPA PATENTE, SECUESTRO PREVENTIVO DEL VEHICULO. SE INFORMA EN PU Nº 6343 DEL DIA 13/10/10 SIENDO LAS 0030 HORAS SE PROCEDE A LA LIBERACION DEL DETENIDO POR NO REGISTRAR IMPEDIMENTOS LEGALES, ORDENANDO EL JUZGADO SE LE HAGA ENTREGA DEL VEHICULO, QUEDANDO EL MISMO EN CARACTER DE DEPOSITARIO JUDICIAL.</t>
  </si>
  <si>
    <t>CRISTOFANI GUSTAVO ENRIQUE</t>
  </si>
  <si>
    <t>PUNTO DE INSPECCION Y REGISTRO DE PASAJEROS - ARCO DETECTOR DE METALES</t>
  </si>
  <si>
    <t>SIENDO LAS 8:25 AL PASAR UN PASAJERO POR EL ARCO DETECTOR DE METALES ACTIVO LA ALARMA DEL MISMO POR LO QUE EL PERSONAL POLICIAL LE EFECTUO UN CHEQUEO MANUAL Y OBSERVO QUE A LA ALTURA DE LA CINTURA EN LOS BOLSILLOS DEL PANTALON TENIA UNAS PROTUBERANCIAS POR LO QUE LE SOLICITO QUE EXHIBA EL CONTENIDO, MOMENTO EN EL CUAL EL MISMO LE MANIFESTO SIC."ES MARIHUANA" INMEDIATAMENTE SE CONVOCAN AL LUGAR DOS TESTIGOS HABILES Y SE DIRIGEN TODOS LOS MENCIONADOS A LA SALA DE REQUISA PARA POSTERIORMENTE REALIZAR LAS DILIGENCIAS DE RIGOR. SIENDO LAS 9:10 HORAS SE PROCEDE A REALIZAR LA COMUNICACIÓN CON LA JUDICATURA ACTUANTE, LA CUAL ORDENA ACTUACIONES DE RIGOR Y TRASLADO A LA UNIDAD 29 EL DIA 13 DEL CORRIENTE A LAS.08:00 HORAS. SEGUN PU Nº 6345, SE INFORMA QUE EL DETENIDO FUE TRASLADADO A LA U29 EN HORAS 08.00 DEL DIA 13/10/2010.</t>
  </si>
  <si>
    <t>LA 4440</t>
  </si>
  <si>
    <t>JUZGADO DE INSTRUCCION Nº 39</t>
  </si>
  <si>
    <t>MUFFATTI, MARCELO</t>
  </si>
  <si>
    <t>FERNANDO LUIS LOPEZ CORONADO Y OTRO / HURTO</t>
  </si>
  <si>
    <t>40248/09</t>
  </si>
  <si>
    <t>TURNO DE GUARDIA DE LA PSA</t>
  </si>
  <si>
    <t>EL DIA Y LA FECHA ANTES MENCIONADA SE RECIBE DE LA DIRECCION NACIONAL DE MIGRACIONES, MEDIANTE NOTA, UNA PERSONA, SOBRE EL CUAL RECAE UNA ORDEN DE CAPTURA VIGENTE, SE MANTIENE COMUNICACION TELEFONICA CON EL JUZGADO SOLICITANTE, QUIEN DISPUSO LA DETENCION EN CALIDAD DE COMUNICADO, SECUESTRO DE LA DOCUMENTACION Y SE TRASLADE EL DIA 13 DEL CORRIENTE MES Y AÑO A LAS 0830 HORAS AL DETENIDO A LA ALCAIDIA PETTINATO SITO EN LA CALLE LAVALLE Nº 1169 C.A.B.A..</t>
  </si>
  <si>
    <t>5312/10</t>
  </si>
  <si>
    <t>AMPLIANDO PARTE URGENTE 5312/2010, INFORMO SE ELEVO A LA FISCALIA FEDERAL NRO 1 DE PARANA, TAREAS INVESTIGATIVAS ORDENADAS POR OFICIO NRO 166/10 DE LA FISCALIA FEDERAL, CON FECHA 31 DE AGOSTO DE 2010.</t>
  </si>
  <si>
    <t>PEZZUTTI PIEZZI VICTOR HUGO-EXTRADICION</t>
  </si>
  <si>
    <t>12.803-D</t>
  </si>
  <si>
    <t>-----------------------------</t>
  </si>
  <si>
    <t>DESDE LA TAQUILLA DE INGRESO/EGRESO DEL AEROPUERTO HASTA PUESTO BRAVO,PLATAFORMA OPERATIVA</t>
  </si>
  <si>
    <t>SIENDO LAS 18:55 EMBARCA DESDE ESTA AEROESTACION EL DETENIDO Y SU CORRESPONDIENTE CUSTODIA,SRES RICARDO JESUS MACRI, JERARQUIA CABO 1 LEGAJO Nº 10470 CON DNI Nº 21055866,Y BRUNO PAOLO GUAJARDO JERARQUIA AYUDANTE , LEGAJO Nº 3031 CON DNI Nº 32637239,AMBOS DE INTERPOL, EL MENCIONADO IMPUTADO FUE TRASLADADO DESDE LA PENITENCIARIA SAN FELIFE HASTA ESTE AEROPUERTO POR EL SR LORCA PABLO JERARQUIA AGENTE CON DNI Nº 28757036 PERTENECIENTE AL SERVICIO PENITENCIARIO PROVINCIAL, POR LO QUE SE IMPLEMENTA DISPOSITIVO DE COLABORACION SEGUN LO ORDENADO ,POR ORDEN DE SERVICIO N°261/10 Y MEMORANDO N°1112/10 DE FECHA 12 DE OCTUBRE.POSTERIOR A ELLO UNA VEZ DESPEGADA DICHA AERONAVE SE DA AVISO AL TURNO AEROPARQUE OFICIAL PAVON, A FIN DE PONERLE EN CONOCIMIENTO</t>
  </si>
  <si>
    <t>AUGUSTO PELOSO</t>
  </si>
  <si>
    <t>CINTA DE ARRIBOS N°05</t>
  </si>
  <si>
    <t>AL RETIRAR SU EQUIPAJE DE LA CINTA DE ARRIBOS DE EQUIPAJE NUMERO CINCO DE LA TERMINAL A SE PERCATA QUE EL CANDADO CON EL QUE FUE DESPACHADO EL MISMO NO SE ENCONTRABA. ACTO SEGUIDO REALIZA LA APERTURA DE SU EQUIPAJE Y SE PERCATA EL FALTANTE DE OBJETOS POR LO QUE SE HACERCA AL MOSTRADOR DE RECLAMOS CORRESPONDIENTE A SU VUELO Y NO LE TOMAN EL MISMO DEBIDO A SU EQUIPAJE AL SALIR DE JOHANNESBURGO PESABA 13 KG Y AL ARRIBAR A BUENOS AIRES 12KG POR LO QUE POR LA DIFERENCIA DE PESO NO PODIAN TOMARLE EL RECLAMO. QUE LUEGO DE ESTO SE ACERCA AL TURNO DE GUARDIA DE ESTA DEPENDENCIA PARA REALIZAR LA DENUNCIA CORRESPONDIENTE</t>
  </si>
  <si>
    <t>Rodriguez</t>
  </si>
  <si>
    <t>Alfredo Manuel</t>
  </si>
  <si>
    <t>PLATAFORMA COMERCIAL - GUARDIA DE PREVENCION</t>
  </si>
  <si>
    <t>SE PROCEDIO A DAR CUMPLIMIENTO A LA ORDEN DE SERVICIO 721/10 DE LA U.R.S.A I DEL ESTE, POR LO QUE SE NOTIFICA QUE ARRIBO PROCEDENTE DE LA CIUDAD DE MENDOZA, CUMPLIMENTANDOSE EL TRASLADO DEL DETENIDO PEZZUTTI PIÉIS VICTOR HUGO, JUNTO A SU CUSTODIA CABO PRIMERO MACRI Y OFICIAL AYUDANTE GUAJARDO. RETIRANDOSE A LAS 20:45 HORAS CUSTODIADO POR EL SARGENTO CABRERA Y EL CABO CARRATINI. FINALIZANDO EL TRASLADO SIN NOVEDAD.-</t>
  </si>
  <si>
    <t>AR 1417</t>
  </si>
  <si>
    <t>SIENDO LAS 20:30 HS SE IMPLEMENTA OPERATIVO DE SEGURIDAD CON MOTIVO AL ARRIBO DE LA SRA PRESIDENTA DE LA NACION PROCEDENTE DE LA CUIDAD DE RESISTENCIA ARRIBANDO A LA PLATAFORMA MILITAR A LAS 21:29 HS EN LA AERONAVE MATRICULA LV-BRJ Y DESPEGANDO A LAS 21:34 HS EN EL H-01. SIENDO LAS 21:40 HS FINALIZA EL OPERATIVO SIN NOVEDAD</t>
  </si>
  <si>
    <t>6332/10</t>
  </si>
  <si>
    <t>SIENDO LAS 00:35 HORAS DEL DIA 13 DEL CORRIENTE MES Y AÑO, AL NO MEDIAR IMPEDIMENTOS LEGALES VIGENTES SE PROCEDE A LA LIBERACION DEL SR. GABRIEL RICARDO PRIETO DNI Nº 21.142.883, RETIRANDOSE POR SUS PROPIOS MEDIOS DE ESTA JURISDICCION AEROPORTUARIA SIN NOVEDAD. SE PROCEDE A HACER ENTREGA DEL VEHICULO VOLSKWAGEN PASSAT DOMINIO NFL 518, QUEDANDO EL MISMO EN CARACTER DE DEPOSITARIO JUDICIAL.-</t>
  </si>
  <si>
    <t>6334/10</t>
  </si>
  <si>
    <t>ARCO DETECTOR DE METALES</t>
  </si>
  <si>
    <t>SIENDO LAS 08:00 HORAS DEL DÍA 13 DE OCTUBRE DEL CORRIENTE, SE COMISIONA AL OF. MAYOR LEFEBVRE MIGUEL, PERTENECIENTE A LA U.O.S.P METROPOLITANA Y AL OF. MAYOR RIBODINO LIVIO, PERTENECIENTE A LA U.O.E.S.A, JUNTO CON EL OF. PRINCIPAL GABARRO DARDO, CONDUCTOR DE TURNO EN ESTA UNIDAD, PARA EL TRASLADO DEL CAUSANTE A LA UNIDAD 29 SIN NOVEDAD.</t>
  </si>
  <si>
    <t>CAMPOS TULA, MIRTHA LILIAN</t>
  </si>
  <si>
    <t>SAMUEL, VERONICA ANDREA S/INF. LEY 22.415 EN TENTATIVA</t>
  </si>
  <si>
    <t>1106/10</t>
  </si>
  <si>
    <t>SE INFORMA QUE DE LAS TAREAS REALIZADAS EN EL MARCO DE LA CAUSA DE REFERENCIA EL DÍA 21/09/10 SE REALIZAN TAREAS INVESTIGATIVAS SEGÚN ORDEN DE SERVICIO 231/2010 URSAS IV, SOBRE EL DOMICILIO DE CALLE LA PAZ 256 DE LA CIUDAD DE ROSARIO, RESULTANDO SER UNA PROPIEDAD DE CONDOMINIO CON NUMERACIÓN CATASTRAL VISIBLE Y CON PORTERO ELECTRICO EN EL INGRESO DONDE EL NRO. 1 ESTA IDENTIFICADO -NERI SAMUEL- Y SOBRE EL DOMICILIO DE CALLE ROSSINI 1489 DE LA CIUDAD DE ROSARIO, TRATANDOSE DE UNA PROPIEDAD CON NUMERACIÓN CATASTRAL VISIBLE, DE LA GUIA DE TELEFONO SE OBTUVO QUE EL NRO. 0341-4383281 ESTA A NOMBRE DE SAMUEL GLOTIA L. . EL DÍA 22/09/10 SE REALIZÓ UN AMPLIO INFORME SOCIO AMBIENTAL SEGÚN ORDEN DE SERVICIO 234/2010 URSA IV SOBRE EL DOMICILIO DE CALLE LA PAZ 256 DE LA CIUDAD DE ROSARIO DONDE FUERAN CONSULTADOS VECINOS DEL CONDOMINIO QUIENES MANIFIESTAN QUE VIVE VERONICA ANDREA SAMUEL EN LA CASA NRO. 1 COMO SE OBSERVA EN EL PORTERO ELECTRICO DEL INGRESO AL CONDOMINIO, ADEMÁS SE CONSTATA QUE UNA DE LAS LLAVES RECEPCIONADAS EN SOBRE CERRADO, COINCIDE Y DA MEDIA VUELTA EN LA CERRADURA DE LA CASA IDENTIFICADA COMO DONDE VIVE VERÓNICA SAMUEL. EL DÍA 23/09/10 SE REALIZA DILIGENCIA AL DOMICILIO DE CALLE ROSSINI 1489 A LOS EFECTOS DE CONFECCIONAR ACTA DONDE GLORIA LUDUEÑA MADRE DE LA DETENIDA VERÒNICA SAMUEL ASUME EL COMPROMISO EN CASO DE QUE SU HIJA SE LE OTORGUE EL ARRESTO DOMICILIARIO. EL DÍA 30 DE SEPTIEMBRE SEGÚN ORDEN DE SERVICIO 242/2010 URSA IV SE BRINDA COLABORACIÓN AL PERSONAL DEL SERVICIO PENITENCIARIO FEDERAL QUIEN TRASLADO A LA DETENIDA VERONICA SAMUEL DNI 20409313, JUNTO A SU HIJO MATIAS AL DOMICILIO DE CALLE LA PAZ 256 DE LA CIUDAD DE ROSARIO DONDE FUE RECIBIDA POR SU MADRE GLORIA LUDUEÑA DNI 2.448.416, QUEDANDO EN ARRESTO DOMICILIARIO. TODO LO ACTUADO FUE ADELANTADO VIA FAX A LA UOCN Y DC I, Y ELEVADO MEDIANTE MEMORANDOS 93/10 Y 96/10 UOCN Y DC IV DEL LITORAL</t>
  </si>
  <si>
    <t>POSICION Nº 14, MATRICULA BDD.</t>
  </si>
  <si>
    <t>SIENDO LA HORA Y EL DÍA ANTES MENCIONADO, SE IMPLEMENTA OPERATIVO DE SEGURIDAD PARA EL LLEGADA DE LOS EXPULSADOS EL SR. LUNA VILLAR PEDRO ALEXIS CON PASAPORTE Nº 4.295.283,EL SR. BEDON PAULINO ARSENIO CON PASAPORTE Nº 4.294.695, LOS CUALES ARRIBARON A ESTA AEROSTACIÓN A LAS 11:30 HORAS, EN EL VUELO AR 1451 DE LA EMPRESA AEROCOMERCIAL AEROLÍNEAS ARGENTINAS PROCEDENTES DE LA CIUDAD DE SALTA, SIENDO CUSTODIADOS POR EL OFICIAL MAYOR OSCAR GUANTAY CONTROL Nº 501.289, ARMAMENTO Nº TAU 84784 Y LA OFICIAL MAYOR TAMARA MORALES CONTROL Nº 501.602, ARMAMENTO Nº 84782 PERTENECIENTES AL GEP DE LA PROVINCIA SALTA . PARA EL DESPLAZAMIENTO DE LOS MISMOS DENTRO DE LA JURISDICCIÓN Y LUEGO TRASLADO A LA UNIDAD OPERACIONAL EZEIZA, SE COMISIONO A: AL OFICIAL JEFE SCHWEIZER GUILLERMO CONTROL Nº 502.038, ARMAMENTO TAV 37488, OFICIAL JEFE FERRE OSCAR CONTROL Nº 501.298, ARMAMENTO Nº TAV 37597, OFICIAL JEFE DRIOLET FERNANDO CONTROL Nº 503.265 ARMAMENTO Nº TAV 37530, OFICIAL JEFE MENDOZA DANIEL CONTROL Nº 501.105 ARMAMENTO Nº TAV 37483 Y AL OFICIAL JEFE SCHWALB DIEGO CONTROL Nº 501443 ARMAMENTO TAV 37489 PERTENECIENTES A LA UOESA I DEL ESTE; Y AL OFICIAL PRINCIPAL DARDO GABARRO CONTROL Nº 501.125 ARMAMENTO Nº TAU 84695, CONDUCTOR DE TURNO EN ESTA UNIDAD OPERACIONAL. SIENDO LAS 12:30 HORAS SE REALIZA EL TRASLADO DE LOS EXPULSADOS A LA UOSP EZEIZA SIN NOVEDAD.</t>
  </si>
  <si>
    <t>SECTOR AEROPUERTO, ESTACIONAMIENTO Y CALLES ALEDAÑAS</t>
  </si>
  <si>
    <t>SEGÚN ORDEN DE SERVICIO N° 148/10. INFORMO QUE A HORAS 13:10 ARRIBA A ESTE AEROPUERTO AERONAVE T 03, PERTENECIENTE A LA FUERZA AÉREA ARGENTINA, CON LA SEÑORA MINISTRA DE DESARROLLO SOCIAL DE LA NACIÓN LA DOCTORA ALICIA KIRCHNER Y COMITIVA, SE IMPLEMENTO DISPOSITIVO DE SEGURIDAD PERTINENTE SIN REGISTRARSE NOVEDAD. ASIMISMO INFORMO QUE LA PARTIDA DE LA SEÑORA MINISTRA ESTARÍA EN PRINCIPIO PREVISTA A HORAS 17:45</t>
  </si>
  <si>
    <t>BEUNOS AIRES</t>
  </si>
  <si>
    <t>MODULOS LINDEROS A TCA</t>
  </si>
  <si>
    <t>EN EL DIA DE LA FECHA EL OF. MAYOR BIRARDA, DANIEL RECEPCIONA DE LA GUARDIA DE PREVENCION UN HALLAZGO CON SU CORRESPONDIENTE ACTA REG. 194/10 GRAL. 3539, DICHOS ELEMENTOS FUERON HALLADOS EN LOS MODULOS LINDEROS A LA TCA POR LOS OFICIALES ALEJANDRO BAZAN Y EMANUEL ROBLES, EN VIRTUD A ELLO SE MANTUVO COMUNICACION CON EL JUZGADO INTERVINIENTE INDICANDO SE INICIEN LAS ACTUACIONES CARATULADAS AVERIGUACION DE ILICITO, SE CURSE NOTA A LA COMPAÑIA MOVISTAR A LOS FINES DE CONSULTAR SI EN EL MES DE SEPTIEMBRE TUVO NOVEDADES SOBRE FALTANTES DE MERCADERIA QUE HAYA ARRIBADO VIA CORREO ARGENTINO, SE CURSE NOTA A LAS EMPRESAS AEREAS, DIRECCION GENERAL DE ADUANAS Y CORREO ARGENTINO A FINES DE CONSULTAR SE TUVIERON NOVEDADES EN EL MES DE SEPTIEMBRE SOBRE FALTANTES DE CELULARES MARCA BLACKBERRY Y DOBLE CHIP, QUE UNA VEZ CUMPLIMENTADO SE ELEVE LO ACTUADO A SEDE JUDICIAL.</t>
  </si>
  <si>
    <t>BAÑO CABALLERO LINDANTE CON LOS MOSTRADORES DE CHECK-IN DE LA EMPRESA LAN</t>
  </si>
  <si>
    <t>SIENDO LA HORA Y EL DÍA ANTES MENCIONADO, SE RECIBE COMUNICACIÓN VÍA RADIAL POR PARTE DEL OFICIAL HERNÁN CHIESA, QUIEN SE ENCUENTRA COMO ENCARGADO DEL HALL PRINCIPAL, INFORMANDO QUE EN EL BAÑO DE HOMBRES, EL CUAL SE ENCUENTRA EN EL HALL PRINCIPAL ALTURA SECTOR A1, MAS PRECISAMENTE EN EL BAÑO PARA DISCAPACITADOS, SE ENCONTRABA DOS (2) MOCHILAS OLVIDADAS. INMEDIATAMENTE SE IMPLEMENTA PERÍMETRO PRIMARIO DE SEGURIDAD Y SE CONVOCA AL OFICIAL JEFE GUILLERMO SCORTIO, ENCARGADO DE TURNO DE LA SECCIÓN GEDEX, EN TURNO EN ESTA UNIDAD OPERACIONAL JUNTO CON EL OFICIAL JEFE EMILIO PAZ Y SE SOLICITA LA PRESENCIA DEL SERVICIO DE EMERGENCIA EMERGER, DRA. LÓPEZ MARIANA M.N. 91408 Y DE LOS BOMBEROS DE LA POLICÍA FEDERAL ARGENTINA, SECCIÓN AEROPARQUE, CABO PRIMERO CHÁVEZ JUAN CARLOS L.P. 25784. ACTO SEGUIDO SE REALIZA OPERATIVO PARA EXPLOSIVO ARROJANDO RESULTADO NEGATIVO, POR LO QUE SE TRASLADA LOS ELEMENTOS A LA GUARDIA DE PREVENCIÓN DONDE SE CONFECCIONO ACTA DE HALLAZGO NUMERO 2602/10 SIN NOVEDAD.</t>
  </si>
  <si>
    <t>6366/10</t>
  </si>
  <si>
    <t>SEGÚN ORDEN DE SERVICIO N° 148/10. INFORMO QUE A HORAS 17:25 PARTIO DE ESTE AEROPUERTO AERONAVE T 03, PERTENECIENTE A LA FUERZA AÉREA ARGENTINA, CON LA SEÑORA MINISTRA DE DESARROLLO SOCIAL DE LA NACIÓN LA DOCTORA ALICIA KIRCHNER Y COMITIVA, SE IMPLEMENTO DISPOSITIVO DE SEGURIDAD PERTINENTE SIN REGISTRARSE NOVEDAD.</t>
  </si>
  <si>
    <t>PERGOLA PARTIDAS TERMINAL A</t>
  </si>
  <si>
    <t>EL DIA 11/10/10 ARRIBO A ESTE AEROPUERTO INTERNACIONAL EZEIZA, REALIZO LOS TRAMITES MIGRATORIOS Y ADUANEROS. A POSTERIOR SE DIRIGIO A LA PERGOLA PARTIDAS PARA TOMAR UN TAXI EL CUAL SE ENCONTRABA ESTACIONADO CON LAS BALIZAS ENCENDIDAS, LE CONSULTO LA TARIFA AL CHOFER, Y ACEPTO LA MISMA. EL CHOFER CARGA TRES MALETAS EN EL BAUL, UN JUEGO DIDACTICO Y UNA VALIJA EN EL ASIENTO DELANTERO.SE DIRIGEN AL DOMICILIO DEL DENUNCIANTE, ARRIBANDO AL LUGAR A LAS 16:30HS, EL CHOFER DEL TAXI DESCIENDE LAS VALIJAS DEL BAUL Y LAS COLOCA EN LA VEREDA, EL DENUNCIANTE LE ABONA EL VIAJE, EL CONDUCTOR SE SUBE AL VEHICULO Y SE RETIRA A ALTA VELOCIDAD, QUEDANDO EN EL INTERIOR DEL MISMO EL JUEGO DIDACTICO Y UNA VALIJA. EL EL DIA DE LA FECHA SE HACE PRESENTE EN ESTA GUARDIA DE PREVENCION PARA RADICAR LA DENUNCIA CORRESPONDIENTE.</t>
  </si>
  <si>
    <t>6318/10</t>
  </si>
  <si>
    <t>EN EL DIA DE LA FECHA Y SIENDO LAS 15:15 HORAS SE PRESENTA ANTE LA OFICINA DE GUARDIA DE ESTA DEPENDENCIA POLICIAL EL CIUDADANO DEL CASALE, JORGE NICOLAS, DNI 30257641,MANIFESTANDO QUE EN EL DIA DE AYER 12/10/10, ARRIBO A ESTA CIUDAD EN EL VUELO AU 2848, Y QUE EN EL MISMO EXTRAVIO UN BOLSO MEDIANO COLOR NEGRO, EL CUAL CONTENIA UN CEPILLO DE DIENTES, UN DESODORANTE NMARCA ADIDAS, DOS ALBUNES DE FOTOS, UN PORTA CDS CON 9 CDS EN SU INTERIOR, UN PEINE, UNA BIBLIA, UNA LINTERNA DE LED, UN POMO DE PASTA DENTAL MARCA COLGATE, UN REPRODUCTOR DE DVD PORTATIL MARCA SUZUKI TIME CON UN CD EN SU INTERIOR, CON SU CARGADOR DE PARED, CARGADOR DE AUTO, CONTROL REMOTO Y UN CABLE USB, ADEMAS DE DOS MONEDAS DE UN PESO, 3 MONEDAS DE 50 CENTAVOS, 10 MONEDAS DE 25 CENTAVOS, 9 DE DIEZ CENTAVOS, Y DOS MONEDAS DE 5 CENTAVOS, PRESENTANDO EL TICKET ELECTRONICO EMITIDO POR LA EMPRESA AEROLINEAS ARGENTINAS A SU NOMBRE Y CON LA FECHA 12/10/10, Y ADEMAS SE ENCONTRARON FOTOGRAFIAS DEL SR. DEL CASALE EN UNO DE LOS ALBUNES. RAZON POR LA CUAL SE PROCEDE A LA ENTREGA DE LOS ELEMENTOS DETALLADOS EN EL ACTA DE HALLAZGO PSA DE FECHA 12/10/10, LOS QUE FUERON RECIBIDOS DE CONFORMIDAD POR EL SR. JORGE NICOLAS DEL CASALE.</t>
  </si>
  <si>
    <t>DRA. MARIANA E. CERVERA</t>
  </si>
  <si>
    <t>LEGAJO DE: BEDON PAULINO, ARSENIO JOTHAM</t>
  </si>
  <si>
    <t>2336/10-ES-</t>
  </si>
  <si>
    <t>EN EL DIA DE LA FECHA SE PRESENTAN EL SGTO. 1º VILLALBA VICTOR Y SGTO. 1º FRETES RICARDO DE GEN. NAC. CON EL CIUDADANO DE NACIONALIDAD PERUANA BEDON PAULINO, ARSENIO JOTHAM, QUIEN POR DISPOSICION Nº 140790/10 DE LA DNM, SE ORDENA LA EXPULSION DEL TERRITORIO NACIONAL CON PROHIBICION DE REINGRESO AL PAIS CON CARACTER PERMANENTE, SE DA CUMPLIMIENTO A LA ORDEN DE SERVICIO Nº 215/10 DE LA URSA III DEL NORTE, CON LA INTERVENCION DE DOS EFECTIVOS DE LA UOESA DEL NORTE PARA SU CUSTODIA Y TRASLADO HASTA EL AEROPUERTO METROPOLITANO JORGE NEWBERY, SIENDO EMBARCADO EN LA EMPRESA AEROCOMERCIAL AEROLINEAS ARGENTINAS VUELO Nº 1451 A HS 09:40, SIN NOVEDAD.AL ARRIBAR AL AEROPARQUE METROPLITANO DE REALIZA LA ENTREGA DEL EXPULSADO AL OFICIAL JEFE GUILLERMO SCHWEISER,JEFE DE TURNO UOESA DEL ESTE - AEROPARQUE.</t>
  </si>
  <si>
    <t>SIENDO LA HORA Y LA FECHA ANTES MENCIONADA, SE IMPLEMENTA LA ORDEN DE SERVICIO Nº 732 DE LA URSA 1 DEL ESTE REFERENTE A CONTROL DE POLICIA DE SEGURIDAD AEROPORTUARIA CON MOTIVO DE LA EXTRADICION DEL SR. PERRIOD CHRISTOPHE LAURENTEN, DESDE LA CIUDAD DE POSADAS HACIA EL AEROPARQUE METROPOLITANO CUSTODIADO POR PERSONAL PERTENECIENTE AL DEPARTAMENTO DE INTERPOL OFICIAL LANZILOTA Y EL SARGENTO GAONA. EL TRASLADO DENTRO DE LA JURISDICCIÓN ESTUVO A CARGO DEL OFICIAL SCORTIO JUNTO CON OFICIAL PAZ, QUIENES ACOMPAÑARON A LA COMISIÓN POLICIAL Y AL CAUSANTE DESDE LA AERONAVE HASTA LA GUARDIA DE PREVENCIÓN, DONDE FUERON AGUARDADOS POR EL CABO CARRATINI Y AL SARGENTO COLLOCA, PERTENECIENTES AL DEPARTAMENTO DE INTERPOL, FINALIZANDO EL OPERATIVO SIN NOVEDAD.</t>
  </si>
  <si>
    <t>AR 1751</t>
  </si>
  <si>
    <t>3-2579/05</t>
  </si>
  <si>
    <t>ACCESO OESTE INGRESO A LA JURISDICCION, SALON SIP, PLATAFORMA</t>
  </si>
  <si>
    <t>SE DIO CUMPLIMIENTO A LA ORDEN Nº 41/10 DE ESTA UOSP REFERENTE A MEMORANDO Nº 1116/2010 CEAC-DOPA RELACIONADO CON TRASLADO DE DETENIDO A CARGO DEL DEPARTAMENTO INTERPOL DICHO DETENIDO LLEGA A LA JURISDICCIÓN AEROPORTUARIA EN EL VEHICULO MARCA FORD RANGER DOMINIO DJR604 INTERNO Nº 8335 PATRULLERO DE LA POLICÍA FEDERAL ARGENTINA A CARGO DEL SUBINSPECTOR SERGIO DIEP Y EL AGENTE FACUNDO VANETTA DE LA DELEGACIÓN POSADAS DE LA P.F.A. EL DETENIDO QUEDA ALOJADO EN EL SALÓN SIP DE LA EMPRESA AEROLÍNEAS ARGENTINAS HASTA EL EMBARQUE, EN EL VUELO AR Nº 1750 ARRIBAN LOS SEÑORES ELIEL LANZILLOTTA-INTERPOL Y ALBERTO GAONA P.F.A. QUIENES REALIZAN EL TRASLADO DEL DETENIDO EN EL VUELO Nº 1751 MATRICULA LV-BNM, CON ASIENTOS ASIGNADOS FILA Nº 19 D E F DESPEGANDO SIN NOVEDAD Y CON ESTIMA ARRIBO AEROPARQUE EN EL HORARIO ANTES DETALLADO. SE ESTABLECE COMUNICACIÓN TELEFÓNICA AL Nº 011-4514-1541 DEL JEFE DE TURNO UOSP METROPOLITANA SIENDO ATENDIDO POR EL OFICIAL JEFE ALEJANDRO SILVA INFORMÁNDOLE TODO LO ANTES EXPUESTO</t>
  </si>
  <si>
    <t>LEGAJO DE: LUNA VILLAR, PEDRO ALEXIS</t>
  </si>
  <si>
    <t>2335/10-ES-</t>
  </si>
  <si>
    <t>EN EL DIA DE LA FECHA SE PRESENTA EL SGTO. 1º VILLALBA VICTOR Y SGTO. 1º FRETES RICARDO DE GEN. NAC. CON EL CIUDADANO DE NACIONALIDAD PERUANA LUNA VILLAR, PEDRO ALEXIS, QUIEN POR DISPOSICION Nº 140792/10 DE LA DNM, SE ORDENA LA EXPULSION DEL TERRITORIO NACIONAL CON PROHIBICION DE REINGRESO AL PAIS CON CARACTER PERMANENTE, SE DA CUMPLIMIENTO A LA ORDEN DE SERVICIO Nº 215/10 DE LA URSA III DEL NORTE, CON LA INTERVENCION DE DOS EFECTIVOS DE LA UOESA DEL NORTE PARA SU CUSTODIA Y TRASLADO HASTA EL AEROPUERTO METROPOLITANO JORGE NEWBERY, SIENDO EMBARCADO EN LA EMPRESA AEROCOMERCIAL AEROLINEAS ARGENTINAS VUELO Nº 1451 A HS. 09:40, SIN NOVEDAD. EL EXPULSADO ES ENTREGADO AL ARRIBAR AL AEROPARQUE METROPOLITANO AL OFICIAL JEFE GUILLERMO SCHWEISER, JEFE DE TURNO UOESA DEL ESTE - AEROPARQUE.</t>
  </si>
  <si>
    <t>6335/10</t>
  </si>
  <si>
    <t>FERNANDO LUIS LOPEZ CORONADO Y OTRO/HURTO</t>
  </si>
  <si>
    <t>EL DIA TRECE DEL CORRIENTE MES Y AÑO A LAS 07:00 SE PROCEDIO AL TRASLADO A SEDE JUDICIAL.</t>
  </si>
  <si>
    <t>AR1365</t>
  </si>
  <si>
    <t>GUSTAVO ANTONIO - SECRETARIO</t>
  </si>
  <si>
    <t>INGRESO POR PUESTO BRAVO,SECTOR NORTE DE LA AEROESTACION, HASTA PLATAFORMA OPERATIVA.</t>
  </si>
  <si>
    <t>DANDO CUMPLIMIENTO A ORDEN DE SERVICIO N° 369/10 SE PRESTA COLABORACION DENTRO DE LA JURISDICCION A PERSONAL DE LA POLICIA DE LA PROVINCIA DE CHUBUT PARA EL TRASLADO DE UN DETENIDO DESDE ESTA UOSP HASTA LA PROVINCIA DE CHUBUT. EL DETENIDO Y SUS RESPECTIVOS CUSTODIOS PARTIERON A LAS 15:50 HORAS DESDE ESTE AEROPUERTO EN VUELO DE LA GOBERNACION DE DICHA PROVINCIA.SIN NOVEDAD</t>
  </si>
  <si>
    <t>LV WPB</t>
  </si>
  <si>
    <t>CHUBUT</t>
  </si>
  <si>
    <t>SE AMPLIA PARTE N° 5155. FECHA 13 DE OCTUBRE DE 2010. TAREAS INVESTIGATIVAS SEGUN O.S. N° 013/10. SE INFORMA QUE EL JUZGADO INTERVINIENTE CAMBIÓ LA CARATULA DE LA CAUSA: LA CUAL ERA CALATAYUD RAUL DANTE S/CONTRABANDO, SIENDO AHORA AVERIGUACION INFRACCION A LA LEY 23.737. SE HICIERON EFECTIVAS LAS INTERVENCIONES TELEFÓNICAS SOLICITADAS, DE LAS CUALES SE TRATA DE ESTABLECER LAS VINCULACIONES EXISTENTES CON PERSONAS EXTRANJERAS QUE RESIDIRÍAN EN BS.AS. Y A SU VEZ EL MODUS OPERANDI UTILIZADO. POR ÚLTIMO COMUNICO QUE SE SOLICITÓ A LA DIRECCION DE MIGRACIONES, MEDIANTE OFICIO JUDICIAL , SE INFORME DE LA SITUACIÓN EN EL PAIS DEL ENCARTADO. SE AMPLIARÁ CUANDO SURJAN NOVEDADES.</t>
  </si>
  <si>
    <t>DRA. MARIEL BORUTO- PSL</t>
  </si>
  <si>
    <t>NALDA, SERGIO S/DCIA.</t>
  </si>
  <si>
    <t>CABECERA 2-5 DE LA PISTA</t>
  </si>
  <si>
    <t>EN EL DIA DE LA FECHA Y SIENDO LAS 17:00 HORAS, SE PRESENTA EL SR. SERGIO PABLO NALDA, QUIEN SE DESEMPEÑA COMO JEFE DE MANTENIMIENTO DE AEROPUERTOS ARGENTINA 2000 DE ESTE AEROPUERTO, DESEANDO RADICAR UNA DENUNCIA POR DAÑO AL BALIZAMIENTO NOCTURNO DE LA PISTA DE ESTE AEROPUERTO. SEGUN DICHOS DEL DENUNCIANTE, SIENDO LAS 11:30 HS DEL DIA DE LA FECHA REALIZARON UN RECORRIDO POR PISTA JUNTO AL SR. GONZALO JAVIER FLORES EMPLEADO DE LA MISMA EMPRESA, DETECTANDO EL FALTANTE DE PARTE DE LA BALIZA Nª 9 UBICADA EN EL SECTOR DENOMINADO STOP WAY DE LA CABECERA 2-5, Y LA TAPA DE INSPECCION DE LA JABALINA DE PUESTA A TIERRA UBICADA A LA PAR DE LA BALIZA Nª 8 REMOVIDA,Y LA JABALINA LEVANTADA.</t>
  </si>
  <si>
    <t>CONTROL DE EQUIPAJES CON MAQUINA DE RAYOS X SCAN VAN</t>
  </si>
  <si>
    <t>BIXIO FEDERICO D.N.I N 30.281.780</t>
  </si>
  <si>
    <t>JORGE SAADE RETIRAN EN AEROPARQUE</t>
  </si>
  <si>
    <t>EN CONTROL DE CARGA DEL VUELO MENCIONADO SE OBSERVA A TRAVES DEL EQUIPO DE RAYOS X EMPLAZADO EN PLATAFORMA OPERATIVA VEHÍCULO SCAN VAN QUE EN DOS BULTOS DE LA EMPRESA JET PAQ NRO DE GUIA 9448491-3 CON DESTINO A LA CIUDAD AUTONOMA DE BUENOS AIRES CONTENDRIA EN SU INTERIOR MERCADERIA EN PRESUNTA INFRACCION A LA LEY 22415 ACTO SEGUIDO SE ESTABLECE COMUNICACIÓN TELEFÓNICA CON LA DRA VILMA VALLE RUIDIAZ SECRETARIA DEL JUZGADO FEDERAL DE PRIMERA INSTANCIA DE LA CIUDAD DE ELDORADO QUIEN ENTERADA DE LOS HECHOS ORDENA SE REALICE INTERDICCIÓN DE LOS BULTOS Y SE ENTREGUE JUNTO CON LA GUÍA AÉREA AL PERSONAL DE LA AFIP DGA PARA QUE LOS MISMOS PROCEDEN A LA APERTURA Y VERIFICACIÓN DEL CONTENIDO DE LOS BULTOS SEGUIDAMENTE Y EN PRESENCIA DE TESTIGOS SE PROCEDE A DAR CUMPLIMIENTO LO DISPUESTO POR EL JUZGADO INTERVINIENTE ENTREGÁNDOSE LO INTERDICTADO Y LA DOCUMENTACIÓN AL PERSONAL DE LA ADUANA IGUAZÚ SR. HUGO O ROJAS LEG NRO 17542-1. LOS BULTOS SECUESTRADOS SON, SEGÚN LA DECLARACIÓN JURADA, ROLLOS DE PAPEL, QUE PRESUMIBLEMENTE SERIAN UTILIZADOS EN LA INDUSTRIA CIGARRERA, PARA LA FABRICACIÓN DE LOS FILTROS DE LOS CIGARRILLOS, DONDE SE ESTAMPA LA MARCA DEL MISMO.</t>
  </si>
  <si>
    <t>DR. GUILLERMO D. BRUGO</t>
  </si>
  <si>
    <t>NN S/CONTRABANDO DE ESTUPEFACIENTES</t>
  </si>
  <si>
    <t>AV. LA PALOMA 1824 - LOCALIDAD DE EL TALAR DE PACHECO - PARTIDO DE TIGRE - PCIA. DE BS. AS.</t>
  </si>
  <si>
    <t>SIENDO APROXIMADAMENTE LAS 17:30 HS., DEL DIA 13/OCT/10, PERSONAL POLICIAL DE ESTA UNIDAD, QUE SE ENCONTRABAN EFECTUANDO TAREAS EN EL MARCO DE LA CAUSA NRO. 10.680 - CARATULADA: NN S/CONTRABANDO DE ESTUPEFACIENTES, EN TRAMITE POR ANTE EL JUZGADO NACIONAL DE PRIMERA INSTANCIA EN LO PENAL ECONOMICO NRO. 6 A CARGO DEL DR. MARCELO I. AGUINSKY - SECRETARIA NRO. 12 DEL DR. GUILLERMO D. BRUGO, PROCEDIO A LA DETENCION DEL CIUDADANO GUSTAVO ROBERTO EGURROLA, FRENTE A SU DOMICILIO PARTICULAR SITO EN LA CALLE AV. LA PALOMA - LOCALIDAD DEL TALAR DE PACHECO - PARTIDO DE TIGRE, QUEDANDO EN CARACTER DE DETENIDO INCOMUNICADO. INMEDIATAMENTE SE LE INFORMA AL JUZGADO INTERVINIENTE, QUIEN ORDENA EL TRASLADO DEL CAUSANTE A LA UOSP EZEIZA, A EFECTOS DE PROCEDER CON LA REVISACION MEDICA, EXTRACCION DE JUEGOS DACTILOSCOPICOS Y MUESTRAS DE IMAGENES FOTOGRAFICAS, QUEDANDO ALOJADO EN DICHA UNIDAD HASTA SU TRASLADO EL DIA 14/OCT/2010 A PRIMERA HORA POR PERSONAL DE LA UOESA A DICHA SEDE JUDICIAL.</t>
  </si>
  <si>
    <t>SECTOR A1 A LA DERECHA CHECK IN LAN</t>
  </si>
  <si>
    <t>BAÑO DE DAMAS</t>
  </si>
  <si>
    <t>QUE EN EL DIA DE LA FECHA SIENDO LAS 19:10 LUEGO DE REALIZAR EL CHECK IN PARA EL VUELO AR 2478 DE AEROLINEAS ARGENTINAS, SE DIRIGE HACIA EL BAÑO DE DAMAS UBICADO EN EL SECTOR A1, DONDE DEJA COLOCADA SU CARTERA Y SU BOLSO DE MANO SOBRE LA MESADA, ALEJANDOSE POCOS SEGUNDOS PARA ARROJAR BASURA EN UN CESTO. LUEGO DE RETIRARSE DEL BAÑO, BUSCA SU BILLETERA PERCATANDOSE QUE LA MISMA NO SE ENCONTRABA DENTRO DE SU CARTERA O BOLSO DE MANO. POR LO QUE SE HACE PRESENTE EN ESTA GUARDIA A RADICAR LA CORRESPONDIENTE DENUNCIA.-</t>
  </si>
  <si>
    <t>NALDA SERGIO S/DCIA.</t>
  </si>
  <si>
    <t>CABECERA 25 DE LA PISTA</t>
  </si>
  <si>
    <t>EN EL DIA DE LA FECHA Y SIENDO LAS 17:00 HORAS, SE PRESENTA EL SR. SERGIO PABLO NALDA, QUIEN SE DESEMPEÑA COMO JEFE DE MANTENIMIENTO DE AEROPUERTOS ARGENTINA 2000 DE ESTE AEROPUERTO, DESEANDO RADICAR UNA DENUNCIA POR DAÑO AL BALIZAMIENTO NOCTURNO DE LA PISTA DE ESTE AEROPUERTO. SEGUN DICHOS DEL DENUNCIANTE, SIENDO LAS 11:30 HS DEL DIA DE LA FECHA REALIZARON UN RECORRIDO POR PISTA JUNTO AL SR. GONZALO JAVIER FLORES EMPLEADO DE LA MISMA EMPRESA, DETECTANDO EL FALTANTE DE PARTE DE LA BALIZA Nª 9 UBICADA EN EL SECTOR DENOMINADO STOP WAY DE LA CABECERA 25, Y LA TAPA DE INSPECCION DE LA JABALINA DE PUESTA A TIERRA UBICADA A LA PAR DE LA BALIZA Nª 8 REMOVIDA, Y LA JABALINA LEVANTADA.</t>
  </si>
  <si>
    <t>EN MOMENTO DE REALIZAR EL CONTROL DE LA CARGA Y CORREO A EMBARCAR EN EL VUELO DE REFERENCIA, AL PASAR UNA SACA DEL CORREO ARGENTINO POR LA MAQUINA DE RAYOS X EL OFICIAL PRINCIPAL GUSTAVO SICARDI, EL OFICIAL MAYOR RUBEN FLORES, Y EL OFICIAL MAYOR GUSTAVO STRUMIA, ADVIERTEN QUE DENTRO DE LA SACA, SE ENCUENTRA UNA CAJA, EN CUYO INTERIOR SE OBSERVA UNA FIGURA CON FORMA RECTANGULAR DE TIPO ORGANICA. SEGUIDAMENTE EL OFICIAL MAYOR VICTOR ESCOBAR REALIZA EL CONTROL CON EL CAN AXEL. DANDO ESTE RESULTADO POSITIVO PARA LA PRESENCIA DE SUSTANCIAS ESTUPEFACIENTES. SE COMUNICA AL JUZGADO QUIEN DISPONE SE INTERDICTE LA SACA Y SE SOLICITE LA ORDEN DE APERTURA EL DIA JUEVES 14 DEL CORRIENTE MES Y AÑO</t>
  </si>
  <si>
    <t>SE PROCEDE A LA RETENCIÓN DE DOS SACAS COLECTORA DEL CORREO OFICIAL, SEGÚN CONSTA EN ACTA DE RETENCIÓN DE CARGAS Nº 0483/10, QUE ORIGINA LA PREVENCIÓN SUMARIA 101/10, LA PRIMERA SACA IDENTIFICADA CON MARBETE, SLA0212458D555800VAE, PRECINTO N° D907048, CON UN PESO DECLARADO DE 8,100 KGS, CON DESTINO LA CIUDAD DE USHUAIA, CONTENDRÍA DOS PIEZAS POSTALES Y LA SEGUNDA SACA IDENTIFICADA CON MARBETE, SLA0212457D555800VAE, PRECINTO N° D907025, CON UN PESO DECLARADO DE 6,800 KGS, CON DESTINO LA CIUDAD DE USHUAIA, CONTENDRÍA DOS PIEZAS POSTALES. LAS MISMAS ESTÁ AMPARADA EN GUÍA DE CARGA Nº 8038377-4, DESPACHADAS A TRAVÉS DE LA EMPRESA DE CARGA AÉREA JET PAQ. LA RETENCIÓN SE REALIZA ANTE LA PRESUNCIÓN QUE PUDIERAN CONTENER ALGÚN ELEMENTO EN INFRACCIÓN A LA LEY 23.737 Y/O 22.415, QUEDANDO LAS MISMAS CERRADAS Y PRECINTADAS EN GUARDA EN ESTA UOSP. SEGÚN LO COORDINADO CON EL DR. SANTIAGO FRENCH, A CARGO DE LA SECRETARIA PENAL Nº 2 DEL JUZGADO FEDERAL DE SALTA Nº 1 A CARGO DEL DR. JULIO LEONARDO BAVIO. LA APERTURA SE REALIZARÁ EN PRESENCIA DEL PERSONAL DEL CORREO OFICIAL.</t>
  </si>
  <si>
    <t>DIAZ VOLACHEC NORMA</t>
  </si>
  <si>
    <t>EL DIA 13 DE OCTUBRE DEL AÑO EN CURSO A HORAS 21:25 SE PRESENTA EL SR. RAUL GERARDO DAHER DNI N° 26.408.491 PASAJERO DEL VUELO DE LAN ARGENTINA N° LA 4156, ANTE EL OF. MAY. WALTER A. FERREYRA JEFE DE TURNO, QUIEN RADICA DENUNCIA POR HURTO DE UNA CAMARA FOTOGRAFICA MARCA PANASONIC MODELO LUMIX, EL MISMO AL PRESENTARSE EN EL ARRIBO A RETIRAR SU EQUIPAJE DE BODEGA SE PERCATA QUE SU BOLSO ESTABA ABIERTO Y QUE LE FALTABA EL ELEMENTO ARRIBA DESCRIPTO, INMEDIATAMENTE DE CONOCIDO EL HECHO SE DISPUSO A PERSONAL DE TURNO PARA QUE REALICE UNA PATRULLA POR LAS ZONAS DE PLATAFORMA Y PATIO DE BALIJAS, TAMBIEN SE INCREMENTO EL PERSONAL EN LOS PUNTOS DE INSPECCION DANDO ESTO RESULTADO NEGATIVO. SE TRATO DE ESTABLECER COMUNICACION TELEFONICA CON EL AYTE. DE FISCAL PARA PONER EN CONOCIMIENTO DE LAS ACTUACIONES QUE SE LABRAN EN ESTA UOSP, CON RESULTADO NEGATIVO, SE AMPLIARA LUEGO DE ESTABLECER COMUNICACION. P.U. N° 6393 - AMPLIACION AMPLIANDO PARTE URGENTE N° 6390, INFORMO QUE EL DIA 14-OCT-10 A HORAS 08:15 SE ESTABLECE COMUNICACION TELEFONICA AL N° 0381-154754375 PERTENECIENTE AL AYUDANTE DE FISCAL DE LA FISCALIA PENAL DE INSTRUCCION DE LA VIII NOMINACION DR. CARLOS BUSTOS MORAN, A QUIEN LE IMPUSE SOBRE LAS ACTUACIONES QUE SE LABRAN EN ESTA UOSP TUC, CON MOTIVO DE LA DENUNCIA POR HURTO RADICADA POR EL SR. RAUL GERARDO DAHER. TOMADO CONOCIMIENTO EL AYUDANTE DE FISCAL ORDENA SE LABREN LAS ACTUACIONES DE RIGOR Y SU POSTERIOR ELEVACION FINALIZADAS LAS MISMAS.</t>
  </si>
  <si>
    <t>LA 4156</t>
  </si>
  <si>
    <t>DR. CARELLI ALBERTO DANIEL</t>
  </si>
  <si>
    <t>AVERIGUACION DATOS ARMA</t>
  </si>
  <si>
    <t>PUERTA DE EMBARQUE NUMERO 01 VUELOS NACIONALES E INTERNACIONALES</t>
  </si>
  <si>
    <t>SIENDO LAS 20:00 HORAS APROXIMADAMENTE REALIZANDO LOS CONTROLES PREVENTIVOS DE SEGURIDAD EN PREEMBARQUE DE VUELO LAN ARGENTINA 4249 CON DESTINO AEROPARQUE JORGE NEWBERY, ME INFORMA EL JEFE DE PREEMBARQUE, OF. AYTE TOMASELLI, MARCELO (CONTROL N° 502.199) QUE LA OF. AYTE. MERCADO ALICIA (CONTROL N°503.786) QUIEN OPERABA LA MAQUINA DE RAYOS X OBSERVA EN UN EQUIPAJE DE MANO UN ELEMENTO CON LAS CARACTERISTICAS DE UN ARMA DE FUEGO, QUE AL SER CONSULTADO SOBRE QUIEN ERA EL DUEÑO RESULTA SER SR. RODRIGUEZ CLAUDIO ESTEBAN CON DNI N° 22.625.456 Y EL CUAL AL SER CONSULTADO POR LA OFICIAL MERCADO SOBRE LA PRESENCIA DE DICHO ARMAMENTO EN SU EQUIPAJE MANIFIESTA NO TENER CONOCIMIENTO QUE LO TRANSPORTABA POR LO QUE SIENDO LAS VEINTE HORAS CON QUINCE MINUTOS Y EN PRESENCIA DE DOS TESTIGOS HÁBILES SE TRASLADA AL CAUSANTE HACIA LA SALA DE REQUISA DE ESTA UNIDAD OPERACIONAL PARA REALIZAR EL CONTROL PERTINENTE RESPECTO AL ARMAMENTO. UNA VEZ FINALIZADO SE LE SOLICITA LA DOCUMENTACIÓN RELACIONADA CON LA MISMA EL CUAL MANIFIESTA NO CONTAR CON NINGUNA YA QUE NO ES DE SU PROPIEDAD SINO DEL TIO. INMEDIATAMENTE Y SIENDO LAS VEINTE HORAS CON TREINTA MINUTOS SE REALIZA LA PRIMERA COMUNICACIÓN CON EL JUZGADO DE TURNO EL CUAL DISPONE 1) SE PROCEDA AL SECUESTRO DEL ARMAMENTO 2) SE EFECTÚE CONSTATACIÓN DE DOMICILIO DE CAUSANTE 3) SE CONSULTEN MEDIDAS PENDIENTES Y 4) SE ELEVEN LAS ACTUACIONES CORRESPONDIENTES A LO QUE SE DA ESTRICTO CUMPLIMIENTO. SIENDO LAS VEINTIDOS HORAS CON DIECISIETE MINUTOS SE REALIZA UNA SEGUNDA COMUNICACIÓN CON EL SECRETARIO A CARGO PARA CONSULTARLE SOBRE LA PERMANENCIA DE ESTA PERSONA EN EL RECINTO DE LA UNIDAD OPERACIONAL A LO QUE ORDENA PERMANEZCA EN EL MISMO HASTA TANTO NO SE DE POR FINALIZADA LA CONSTATACIÓN DEL DOMICILIO. FINALMENTE SIENDO LAS VEINTIDOS HORAS CON CINCUENTA Y DOS MINUTOS SE LE INFORMA AL SECRETARIO A CARGO DE LA FINALIZACIÓN SIN NOVEDAD DE LA CONSTATACIÓN DE DOMICILIO Y EL MISMO AUTORIZA AL CAUSANTE A RETIRARSE DE LA JURISDICCIÓN DE LA UNIDAD OPERACIONAL.</t>
  </si>
  <si>
    <t>SE PROCEDE A LA RETENCIÓN DE UNA SACA COLECTORA DEL CORREO OFICIAL, SEGÚN CONSTA EN ACTA DE RETENCIÓN DE CARGAS Nº 0439/10, QUE ORIGINA LA PREVENCIÓN SUMARIA 102/10, LA SACA IDENTIFICADA CON MARBETE, SLA0216557E555600CRD, PRECINTO N° D907042, CON UN PESO DECLARADO DE 11,200 KGS, CON DESTINO LA CIUDAD DE COMODORO RIVADAVIA, CONTENDRÍA TRES PIEZAS POSTALES, LA MISMA ESTÁ AMPARADA EN GUÍA DE CARGA Nº 8038377-4, DESPACHADAS A TRAVÉS DE LA EMPRESA DE CARGA AÉREA JET PAQ. LA RETENCIÓN SE REALIZA ANTE LA PRESUNCIÓN QUE PUDIERAN CONTENER ALGÚN ELEMENTO EN INFRACCIÓN A LA LEY 23.737 Y/O 22.415, QUEDANDO LA MISMA CERRADA Y PRECINTADA EN GUARDA EN ESTA UOSP. SEGÚN LO COORDINADO CON EL DR. SANTIAGO FRENCH, A CARGO DE LA SECRETARIA PENAL Nº 2 DEL JUZGADO FEDERAL DE SALTA Nº 1 A CARGO DEL DR. JULIO LEONARDO BAVIO. LA APERTURA SE REALIZARÁ EN PRESENCIA DEL PERSONAL DEL CORREO OFICIAL.</t>
  </si>
  <si>
    <t>6390/10</t>
  </si>
  <si>
    <t>AMPLIANDO PARTE URGENTE N° 6390, INFORMO QUE EN EL DIA DE LA FECHA A HORAS 08:15 SE ESTABLECE COMUNICACION TELEFONICA AL N° 0381-154754375 PERTENECIENTE AL AYUDANTE DE FISCAL DE LA FISCALIA PENAL DE INSTRUCCION DE LA VIII NOMINACION DR. CARLOS BUSTOS MORAN, A QUIEN LE IMPUSE SOBRE LAS ACTUACIONES QUE SE LABRAN EN ESTA UOSP TUC, CON MOTIVO DE LA DENUNCIA POR HURTO RADICADA POR EL SR. RAUL GERARDO DAHER. TOMADO CONOCIMIENTO EL AYUDANTE DE FISCAL ORDENA SE LABREN LAS ACTUACIONES DE RIGOR Y SU POSTERIOR ELEVACION FINALIZADAS LAS MISMAS.</t>
  </si>
  <si>
    <t>SE AMPLIA PARTE N° 5815 DE FECHA 23-09-2010, DE ACUERDO A LO ORDENADO POR EL JUZGADO FEDERAL N°1 DE SALTA, EN EL MARCO DEL EXPTE. 560/10 CARATULADO PAEZ, MARCELINO S/INFRACCION A LA LEY 24769, INFORMO QUE SE INTERVINIERON LAS SIGUIENTES LINEAS TELEFONICAS POR UN LAPSO DE QUINCE DIAS ABONADO N: 0387-155383159 DEL MISMO SE CONFIRMO QUE ES UTILIZADO POR EL SR PAEZ Y EN EL MISMO SE REGISTRARON CONFERENCIA CON PERSONAS QUE RESIDIRIAN EN EL NORTE DE ESTA PROVINCIA, MAS PRECISAMENTE EN LA LOCALIDAD DE SALVADOR MAZZA, HASTA EL MOMENTO SE CONFIRMO QUE EL CONTADOR PAEZ ESTARIA COMO APODERADO DE UNA EMPRESA DE LA FAMILIA DE APELLIDO JARAMILLO , ESTA FAMILIA ES CONOCIDA EN DICHA LOCALIDAD POR SU RELACION CON INFRACCION A LA LEY 23737. DEL ABONADO 0387-4270885 CUYO TITULAR ES LA SRA ANA MARIA DIAZ ESPOSA DEL SR PAEZ, SOLO ES UTILIZADA PARA COMUNICACIONES FAMILIARES. POR TAL MOTIVO EL DIA 06-10-2010 SE PRESENTO UN INFORME AL TRIBUNAL ACTUANTE, A LOS FINES DE SOLICITAR PRORROGA DEL CELULAR DE PAEZ MARCELINO Y LA INTERVENCION DE LA LINEA 0387-4219324 LA MISMA ESTA UBICADA EN LA, OFICINA DONDE TRABAJA EL CONTADOR PAEZ, Y A SU VEZ SE SOLICITO EL CESE DE INTERVENCION DE LA LINEA N° 0387-4270885, UBICADO EN EL DOMICILIO DE LA FLIA PAEZ, YA QUE EL MISMO NO REGISTRA CONFERENCIA RELEVANTES EN RELACION A LA INVESTIGACION.SE AMPLIARA CUANDO SURJAN NOVEDADES.</t>
  </si>
  <si>
    <t>6389/10</t>
  </si>
  <si>
    <t>SE PROCEDE A LA APERTURA DE DOS SACAS COLECTORA DEL CORREO OFICIAL, SEGÚN CONSTA EN ACTA DEJANDO CONTANCIA Nº 0440/10, CORRESPONDIENTE PREV. SUM. 101/10. LA 1º SACA IDENTIFICADA CON MARBETE SLA0212458D555800VAE, PRECINTO N° D907048, CONTIENE DOS PIEZAS POSTALES :LA 1ª IDENTIFICADA COMO EP657464395AR, RTTE: GLADYS CALDERON, AV. LAS AMERICAS 1132, CP.4400, SALTA Y DEST: NOELIA ANDRADE,AKAINIC 809,Bº BINTRUS, CP.9410, USHUAIA, TIERRA DEL FUEGO, QUEDA RETENIDA Y LA 2ª EP657464413AR, ES ENTREGADA AL SR. ARIAS PARA SU REDESPACHO POR NO SER DE INTERES PARA EL PROCEDIMIENTO. LA 2ª SACA IDENTIFICADA CON MARBETE, SLA0212457D555800VAE, PRECINTO N° D907025, CONTIENE DOS PIEZAS POSTALES: LA 1ª EP658936423AR, RTTE: NOEMI MERCADO, PERU 601, Bº LA PAZ, JUJUY, PERICO, CP. 4610 Y DEST: IVAN GUSTAVO VILLAROEL, ORCADAS DEL SUR 69, Bº LATINO AMERICANO, USHUAIA, CP.9410, Y LA 2ª EP658936437AR, RTTE: LUISA SAYAGO, Bº LA PAZ, EL SALVADOR 125, JUJUY, PERICO,CP.4610 Y DEST: MARCELA MALLON, JUAN D. PERON 604, Bº EL SALVADOR,USHUAIA, CP.9410, TIERRA DEL FUEGO, AMBAS ENCOMIENDAS QUEDAN RETENIDAS. LAS RETENCIÓNES SE REALIZAN ANTE LA PRESUNCIÓN QUE PUDIERAN CONTENER ALGÚN ELEMENTO EN INFRACCIÓN A LA LEY 23.737 Y/O 22.415, QUEDANDO LAS MISMAS CERRADAS Y EN GUARDA EN ESTA UOSP. SEGUN LO COORDINADO CON EL JUZGADO INTERVINIENTE Y LA APERTURA SE REALIZARA CON LA AUTORIZACION DEL MAGISTRADO ACTUANTE.</t>
  </si>
  <si>
    <t>INFORMO QUE EN EL DIA DE LA FECHA SIENDO LAS 11:30 HS. LOCAL ARRIBA A ESTE AEROPUERTO AERONAVE T- 03 TRASLADANDO AL SR. MINISTRO DE PLANIFICACION FEDERAL INVERSION PÚBLICA Y SERVICIOS DE LA NACION ARQUITECTO JULIO DE VIDO, ACOMPAÑADO DE LA SRA. MINISTRO DE LA PRODUCCION DE LA NACION LICENCIADA EN ECONOMÍA DEBORA GIORGI, Y DEL SR. PRESIDENTE DE LA CAMARA DE DIPUTADOS DE LA NACIÓN DR. EDUARDO ALFREDO FELLNER, QUIENES POSTERIORMENTE EMBARCAN EN UN HELICOPTERO MATRICULA LV-BPM PERTENCIENTE AL GRUPO MACRO, DESPEGANDO EL MISMO A LAS 11:35 HS. LOCAL CON DESTINO A LA LOCALIDAD DE CALILEGUA. ASIMISMO LA AERONAVE T-03 PARTE SIN PASAJEROS CON DESTINO AL AEROPUERTO SALTA A LAS 11:53 HS. LOCAL</t>
  </si>
  <si>
    <t>6392/10</t>
  </si>
  <si>
    <t>SE PROCEDE A LA APERTURA DE UNA SACA COLECTORA DEL CORREO OFICIAL SEGUN CONTA EN ACTA DEJANDO CONTANCIA Nº 0441/10, CORRESPONDIENTE A LA PREV. SUM. 102/10. LA SACA IDENTIFICADA CON MARBETE, SLA0216557E555600CRD, PRECINTO N° D907042, CONTIENE TRES PIEZAS POSTALES: LA 1ª EP711093753AR, RTTE: RUBEN ORLANDO PAEZ, SALTA, DEST: CINTIA ANAHI JUAREZ, Bº MALVINA, MANZANA 238, SOLAR 38, LAS HERAS PCIA DE SANTA CRUZ, CP.9017, QUEDA RETENIDA Y LAS DOS RESTANTES IDENTIFICADAS COMO EP681066709AR, Y EP711093740AR SON ENTREGADAS AL SR. ARIAS PARA SU REDESPACHO POR NO SER DE INTERES PARA EL PROCEDIMIENTO. LA RETENCION SE REALIZA ANTE LA PRESUNCIÓN QUE PUDIERA CONTENER ALGÚN ELEMENTO EN INFRACCIÓN A LA LEY 23.737 Y/O 22.415, QUEDANDO LA MISMA CERRADA Y EN GUARDA EN ESTA UOSP SEGUN LO COORDINADO CON EL JUZGADO INTERVINIENTE Y LA APERTURA SE REALIZARA CON AUTORIZACION DEL MAGISTRADO ACTUANTE.</t>
  </si>
  <si>
    <t>SE AMPLIA PARTE RESERVADO N° 5759, DE FECHA 21/09/10, EN RELACION AL EXPTE. N° 561/10, CARATULADO AVERIGUACION INFRACCION A LA LEY 24769, TRAMITADA ANTE EL JUZGADO FEDERAL DE SALTA N° 1 A CARGO DEL DR. JULIO LEONARDO BAVIO, SECRETARIA PENAL N° 2 A CARGO DEL DR. SANTIAGO FRENCH, CON INTERVENCION DE LA FISCALIA FEDERAL DE SALTA N° 2 A CARGO DEL DR. EDUARDO JOSE VILLALBA. SE INFORMA EN RELACION A LA PRESENTE CAUSA QUE SE RENOVARON LAS INTERVENCIONES TELEFONICAS DE LOS ABONADOS 3876-660918 Y 3876-425161, POR EL LAPSO DE 15 DIAS. EL DIA 14 DE OCTUBRE DE 2010, SE SOLICITO LA PRORROGA DE LAS INTERVENCIONES TELEFONICAS DE LOS ABONADOS ANTES MENCIONADOS POR EL TERMINO DE 15 DIAS, ADEMAS SE SOLICITO LA INTERVENCION TELEFONICA DE DOS NUEVOS ABONADOS: EL 387-6473841, EL CUAL SERIA UTILIZADO POR LA INVESTIGADA, LA CONTADORA SANDRA ESTHER JEREZ Y EL 3876-661421, EL MISMO SERIA UTILIZADO POR UNA FEMENINA DE NOMBRE LORENA, DESCONOCIENDO EL APELLIDO, QUIEN SERIA LA QUE TRABAJARIA JUNTO A SANDRA JEREZ. SE AMPLIARA A MEDIDAS QUE SURJAN NOVEDADES.</t>
  </si>
  <si>
    <t>JURE, JUAN ANTONIO Y OTROS S/LEY 23737</t>
  </si>
  <si>
    <t>LABORATORIO DE TOXICOLOGIA Y QUIMICA LEGAL DEL PODER JUDICIAL DE LA NACION - VIAMONTE N° 2151 - BUENOS AIRES.</t>
  </si>
  <si>
    <t>EN EL DIA DE LA FECHA SE DIO CUMPLIMIENTO A LA ORDEN DE SERVICIO NRO. 254/2010 URSA IV DEL LITORAL. EN EL MARCO DE LOS AUTOS CARATULADOS JURE JUAN ANTONIO Y OTROS S/LEY 23737 OFICIO NRO. 5147 EMITIDO POR EL JUZGADO FEDERAL NRO. 3 DE ROSARIO SE ORDENO RETIRAR DEL LABORATORIO DE TOXICOLOGIA Y QUIMICA LEGAL DEL PODER JUDICIAL DE LA NACION, EL RESULTADO DE LA PERICIA NRO 5007/10 Y EL REMANENTE DE LOS ELEMENTOS ANALIZADOS, LOS QUE FUERON ENTREGADOS EN EL TRIBUNAL SOLICITANTE DE LA CIUDAD DE ROSARIO, SIN NOVEDAD.</t>
  </si>
  <si>
    <t>JARA</t>
  </si>
  <si>
    <t>GUILLERMO PRIME</t>
  </si>
  <si>
    <t>MOSTRADORES DE AEROLINEAS ARGENTINAS</t>
  </si>
  <si>
    <t>EL DENUNCIANTE SR. CUELLO RAUL ALBERTO D.N.I. 14088630, LUEGO DE HABER REALIZADO EL CHECK-IN EN EL AEROPUERTO JORGE NEWBERY DE LA CIUDAD DE BUENOS AIRES, EN EL MOSTRADOR Nº 12 DE AEROLINEAS ARGENTINAS PARA EL VUELO Nº 2656 CON DESTINO A LA CIUDAD DE NEUQUÉN, NOTA AL RETIRARSE DE LOS MOSTRADORES, LA FALTA DE BOLSO PORTA NOTEBOOK, CON PERTENCIAS DEL MISMO EN SU INTERIOR. NO PUDIENDO REALIZAR LA DENUNCIA EN ESE MOMENTO POR TENER PROXIMO EL EMBARQUE DE SU VUELO CON DESTINO A ESTA CIUDAD. SE DA INTERVENCION A LA FISCALIA DE ENTRADAS DE LA CIUDAD DE NEUQUEN</t>
  </si>
  <si>
    <t>DR GONZALO OLMEDO</t>
  </si>
  <si>
    <t>FISCALIA GENERAL REMITE COPIAS DE LA OFICINA ANTICORRUPCION DEL MINISTERIO DE JUSTICIA DE LA NACION.</t>
  </si>
  <si>
    <t>CALLE LOS TINTINES Nº 220 Y 222, BARRIO AYACUCHO, CAPITAL, PROVINCIA DE CORDOBA.</t>
  </si>
  <si>
    <t>EN EL DIA DE LA FECHA SE PROCEDE A CONFECCIONAR EL PRESENTE INFORME CON RESPECTO A LAS TAREAS INVESTIGATIVAS LLEVADAS ADELANTE SEGUN LO ORDENADO EN ORDEN DE SERVICIO Nº 27/10 DE FECHA 13 DE OCTUBRE DEL CORRIENTE AÑO, A SABER: SIENDO LAS 06:30 HS. SE ESTABLECIO UN PUESTO DE OBSERVACION EN CALLE LOS TINTINES Nº 220 Y 222 CON LA FINALIDAD DE ESTABLECER SI EN EL MISMO SE ENCONTRARIA VIVIENDO EL SR. FRANCISCO MOTA Y LAS ACTIVIDADES QUE DESARROLLA EL MISMO. SEGUIDAMENTE SIENDO LAS 09:15 HS SE OBSERVO EL INGRESO DE UNA PERSONA DE SEXO FEMENINO AL CITADO DOMICILIO. SIENDO LAS 09:35 HS. SE OBSERVA SALIR UNA PERSONA DE SEXO MASCULINO DE APROXIMADAMENTE 60 AÑOS DE EDAD DEL CITADO DOMICILIO A BORDO DE UNA BICICLETA, SIENDO PRESUNTAMENTE EL SR. MOTA. SE COMIENZA CON UN SEGUIMIENTO SOBRE LA PERSONA EL CUAL SE DIRIGE POR LA CALLE LOS TINTINES, DOBLANDO SOBRE MANO IZQUIERDA EN CALLE JUSTO ARGUELLO. SE CONTINUA CON EL SEGUIMIENTO SOBRE LA MENCIONADA ARTERIA DONDE SE OBSERVA DETENERSE E INGRESAR AL SR. MOTA EN CALLE ARGUELLO A LA ALTURA 1159 , LUGAR DONDE SE VISUALIZA UN GALPON EL CUAL CUENTA EN SU FRENTE CON UN PORTON DE CHAPA DE AMPLIAS DIMENSIONES DE COLOR BLANCO, SIN NINGUN TIPO DE LEYENDA O IDENTIFICACION EN EL MISMO. SE PROCEDIO A UNA VISUALIZACION SOBRE EL CITADO LUGAR EL CUAL PERMANECIO CERRADO. SIENDO APROXIMADAMENTE LAS 11:15 HS SE OBSERVA QUE EL SR. MOTA ABRE EL PORTON DE CHAPA Y PERMITE EL INGRESO DE UN VEHICULO PEUGEOT 306. EN ESE MOMENTO OBSERVAMOS EL INTERIOR DEL GALPON DONDE SE OBSERVA UNA CANTIDAD DE APROXIMADAMENTE ENTRE 15 Y 20 AUTOS DE DISTINTAS MARCAS Y MODELOS. SE REALIZARON CONSULTAS VIA INTERNET SOBRE EL MENCIONADO LUGAR OBTENIENDO UNA LINEA TELEFONICA A NOMBRE DE MOTA WALTER R. POSIBLE HERMANO DEL SR. FRANCISCO MOTA. CON RESPECTO AL SR. WALTER MOTA EL MISMO TENDRIA OTRA LINEA A SU NOMBRE UBICADO EN CALLE JUSTO ARGUELLO Nº 1971. DE LA CONSULTA EN INTERNET SURGE QUE EN EL MENCIONADO LUGAR POSIBLEMENTE SE DEDICARIA A LA VENTA DE AUTOMOVILES, YA QUE SURGE DISTINTOS OFRECIMIENTOS DE VEHICULOS Y DONDE APARACE EL NUMERO TELEFONICO PARA LA VENTA. DE LA OBSERVACION LLAMO LA ATENCION QUE SI BIEN EL LUGAR SE DEDICARIA A LA VENTA DE AUTOMOVILES EN NINGUN MOMENTO SE VISUALIZO LA PRESENCIA DE AUTOS EN LA CALLE PARA LA VENTA O CARTEL IDENTIFICATORIO ALGUNO. SE CONTINUA CON LAS TAREAS INVESTIGATIVAS</t>
  </si>
  <si>
    <t>SALA DE DESEMBARQUE INTERNACIONAL</t>
  </si>
  <si>
    <t>EL DENUNCIANTE MANIFIESTA QUE DESPACHO POR BODEGA TRES VALIJAS DE SU PROPIEDAD PARA ABORDAR EL VUELO DE MENCIÓN CON DESTINO A CÓRDOBA - ARGENTINA. AL ARRIBAR PROCEDE A RETIRAR DE LA CINTA TRANSPORTADORA DE EQUIPAJES DE LA SALA INTERNACIONAL SU EQUIPAJE CONSTATANDO QUE UNA DE ELLAS SE ENCONTRABA ABIERTA. ANTE TAL SITUACIÓN VERIFICO QUE LA VALIJA DE 43CM X 65CM X 25CM COLOR NEGRA, CON LA INSCRIPCIÓN SANSOLITE, SE ENCONTRABA FORZADA EN UNOS DE SUS SEGUROS Y AL OBSERVAR EN EL INTERIOR DE LA MISMA DETECTA EL FALTANTE DE UNA BOTA DE MUJER Y UNA CAMPERA DE HILO COLOR NEGRA. ANTE LO EXPUESTO ESTA PREVENCIÓN INFORMO DE LO SUCEDIDO AL JUZGADO FEDERAL DE TURNO, QUIEN DISPUSO SE LABREN LA ACTUACIONES DE RIGOR Y UNA VEZ FINALIZADAS LAS MISMAS SE ELEVEN A LA UNIDAD JUDICIAL DIECISIETE DEPENDIENTE DE LA POLICIA DE LA PROVINCIA DE CORDOBA</t>
  </si>
  <si>
    <t>A 700 METROS DE LA CABECERA 21</t>
  </si>
  <si>
    <t>INFORMO A RAIZ DE UN INCIDENTE QUE INVOLUCRA LA AERONAVE V-35 BONANZA MATRICULA ZP-BMM DE LA EMPRESA CENSU S.A. PRODUCIDO EN LA PISTA DE ATERRIZAJE DE ESTE AEROPUERTO, LA AUTORIDAD AERONAUTICA ESTABLECE LA SUSPENSION DE LAS OPERACIONES AEREAS A PARTIR DE LAS 13:32 HS Y POR TIEMPO INDETERMINADO. DICHA AERONAVE DESPEGO DE ESTE AEROPUERTO A LAS 13:00 HS REGRESANDO A LAS 13:30 HS POR APARENTES DESPERFECTOS TECNICOS Y AL MOMENTO DEL ATERRIZAJE SE LE PRODUCE LA ROTURA DEL TREN DE ATERRIZAJE DELANTERO, NO SUFRIENDO LESIONES LAS PERSONAS A BORDO. SE ENCUENTRAN EN EL LUGAR DEL HECHO EFECTIVOS DE ESTA UNIDAD OPERACIONAL Y LOS SERVICIOS DE EMERGENCIAS MEDICAS Y CONTRA INCENDIO DE LA ANAC Y LA JUNTA DE INVESTIGACIONES DE ACCIDENTES DE AVIACION CIVIL.</t>
  </si>
  <si>
    <t>AVERIGUACION DE CAUSALES DE INCENDIO</t>
  </si>
  <si>
    <t>HANGAR PROPIEDAD AEROLINEAS ARGENTINAS UBICADO FRENTE A LOS HANGARES DE AEROLINEAS ARGENTINAS</t>
  </si>
  <si>
    <t>SIENDO LA HORA Y LA FECHA ANTES MENCIONADA SE RECEPCIONA EN ESTE TURNO DE PREVENCION COMUNICACION RADIAL DESDE EL PUESTO DENOMINADO RESTRINGIDO, EN LA QUE PERSONAL POLICIAL ALLI APOSTADO INFORMA DE LA PRESENCIA DE HUMO EN CERCANIAS DE LOS HANGARES DE LA EMPRESA AEROLINEAS ARGENTINAS, PERO QUE BOMBEROS DE LA P.F.A. YA SE ENCONTRABAN EN ESE SITIO CONTROLANDO LA SITUACION. SE HACE PRESENTE EN EL LUGAR EL JEFE DE TURNO QUIEN CONSTATA QUE EL HUMO PROVENIA DE UN HANGAR PROPIEDAD DE LA EMPRESA AEROLINEAS ARGENTINAS EMPLAZADO FRENTE A LOS MODULOS LINDANTES A LOS HANGARES INDUSTRIALES DE AEROLINEAS ARGENTINAS. SE REALIZA COMUNICACION TELEFONICA CON LA JUDICATURA ACTUANTE QUIEN DISPONE SE CARATULE AVERIGUACION DE CAUSALES DE INCENDIO.</t>
  </si>
  <si>
    <t>6400/10</t>
  </si>
  <si>
    <t>INFORMO QUE EN EL DIA DE LA FECHA SIENDO LAS HS 19:42 LOCAL ARRIBA A ESTE AEROPUERTO AERONAVE T- 03 SIN PASAJEROS, PROCEDENTE DEL AEROPUERTO SALTA PERMANECIENDO A LA ESPERA DE LA SRA. MINISTRO DE LA PRODUCCION DE LA NACION LICENCIADA EN ECONOMÍA DEBORA GIORGI, QUIEN ARRIBA A ESTE AEROPUERTO VIA TERRESTRE A HS. 19:55 LOCAL, EMBARCANDO EN LA AERONAVE LA QUE DESPEGA A HS. 20:10 LOCAL SIN NOVEDAD.</t>
  </si>
  <si>
    <t>6414/10</t>
  </si>
  <si>
    <t>AMPLIANDO PU N° 6414 INFORMO QUE SIENDO LAS 15:00 HS, LUEGO DE FINALIZADAS LAS PERICIAS DE LA JUNTA DE INVESTIGACION DE ACCIDENTES, PERSONAL DE INTERCARGO Y AA 2000 REMOLCAN LA AERONAVE ZP-BMM DESDE LA PISTA HACIA EL HELIPUERTO DE ESTE AEROPUERTO, QUEDANDO ESTACIONADA EN DICHO LUGAR Y DE ACUERDO A LO DETERMINADO POR LA AUTORIDAD AERONAUTICA SE REESTABLECIERON LAS OPERACIONES AEREAS EN ESTE AEROPUERTO A PARTIR DE LAS 16:05 HS.</t>
  </si>
  <si>
    <t>SE HACE PRESENTE UNA PERSONA EN ESTA GUARDIA DE PREVENCIÓN CON MOTIVOS DE RADICAR UNA DENUNCIA, INFORMANDO QUE EN EL DIA DE LA FECHA SIENDO LAS 19:15 HORAS APROXIMADAMENTE ARRIBO A ESTA AEROSTACIÓN EN EL VUELO AR 2533 DE LA EMPRESA AEROCOMERCIAL AEROLINEAS ARGENTINAS PROCEDENTE DE LA CIUDAD DE CORDOBA, LUEGO DE RETIRAR SU EQUIPAJE Y DE COLOCARLO EN UN CARRO PORTA EQUIPAJES SE DIRIGIO HACIA EL SECTOR A1, DONDE INGRESO AL BAÑO Y DEJO EL CARRO EN CUSTODIA DE SU HERMANA, LUEGO SALIO A LA VEREDA DE DICHO SECTOR CON MOTIVO DE ABORDAR UN TAXI PARA DIRIGIRSE HACIA EL HOTEL DONDE SE HOSPEDARIA, COLOCO SOBRE EL PISO UNA POR UNA SUS VALIJAS Y CUANDO SE DISPUSO A BUSCAR LA MOCHILA DE COLOR NEGRA QUE SE ENCONTRABA EN DICHO CARRO, YA NO SE ENCONTRABA SOBRE EL MISMO, POR LO QUE SE ACERCO A UN OFICIAL DE POLICIA Y LE COMUNICO LO SUCEDIDO, QUIEN LE INDICO QUE SE DIRIGIERA A ESTA GUARDIA PARA RADICAR LA DENUNCIA CORRESPONDIENTE.</t>
  </si>
  <si>
    <t>SECTOR ARRIBOS DE LA PERGOLA DE LA TERMINAL A</t>
  </si>
  <si>
    <t>SIENDO LA FECHA Y LA HORA ANTES MENCIONADA EL OFICIAL SAMPAYO ENCONTRANDOSE DE TURNO EN EL CENTRO DE CONTROL OPERATIVO OBSERVA A TRAVES DE SUS CAMARAS, UNA PERSONA DE SEXO MASCULINO REALIZANDO EL SERVICIO DE MALETERO, POR TAL MOTIVO DA AVISO AL OFICIAL LONGHINI QUIEN SE ENCONTRABA EN CERCANIAS A LA PERGOLA SE ARRIBOS DE LA TERMINAL A. EL OFICIAL LONGHINI LE SOLICITA LA HABILITACION PARA REALIZAR DICHA TAREA, CARECIENDO DE LA HABILITACION CORRESPONDIENTE. SE LE INFORMA AL MASCULINO EN CUESTION LA FALTA COMETIDA Y SE INICIAN LAS ACTUACIONES CONTRAVENCIONALES.</t>
  </si>
  <si>
    <t>SE PROCEDE A LA RETENCION DE UNA SACA COLECTORA DEL CORREO OFICIAL, SEGUN CONSTA EN ACTA DE RETENCION DE CARGAS Nº 0442/10, QUE ORIGINA LA PREVENCION SUMARIA Nº 103/10, LA SACA IDENTIFICADA CON MARBETE Nº SLA0217786E606000BHI, PRECINTO Nº D907098, CON UN PESO DECLARADO DE 4,300 KGS. CON DESTINO A LA CIUDAD DE BAHIA BLANCA, CONTENDRIA UNA PIEZA POSTAL, LA MISMA ESTA AMPARADA EN GUIA DE CARGA Nº 803830-3, DESPACHADA A TRAVES DE LA EMPRESA DE CARGA AEREA JET PAQ, LA RETENCION SE REALIZA ANTE LA PRESUNCION DE QUE PUDIERA CONTENER ALGUN ELEMENTO EN INFRACCION A LA LEY 23.737 Y/O 22.415, QUEDANDO LA MISMA CERRADA Y PRECINTADA EN GUARDA EN ESTA UOSP. SEGUN LO COORDINADO CON EL DR. SANTIAGO FRENCH, A CARGO DE LA SECRETARIA PENAL Nº 2 DEL JUZGADO FEDERAL DE SALTA Nº 1 A CARGO DEL DR. JULIO LEONARDO BAVIO. LA APERTURA SE REALIZARA EN PRESENCIA DEL PERSONAL DEL CORREO OFICIAL.-</t>
  </si>
  <si>
    <t>INGRESO PEAJE AEROPUERTO INTERNACIONAL</t>
  </si>
  <si>
    <t>EL DENUNCIANTE MANIFIESTA QUE SIENDO LAS 23:30HS APROXIMADAMENTE SE ENCONTRABA INGRESANDO A ESTA AEROSTACIÓN EN SU VEHICULO MARCA FIAT SIENA DE COLOR VERDE, DOMINIO GCZ 005, CHAPA DE REMIS Nº 0851, PARA BUSCAR A UN PASAJERO CUYO VIAJE FUE PEDIDO A LA CENTRAL DE LA EMPRESA DE REMIS RENTA RAP, JUSTO EN EL MOMENTO QUE COMENZABA A PASAR LA BARRERA QUE YA SE HABÍA LEVANTADO PERMITIÉNDOLE EL ACCESO, SIENTE UN RUIDO FUERTE, COMO SI UNA RUEDA HUBIESE REVENTADO, EN ESE MOMENTO OBSERVA POR SU ESPEJO RETROVISOR QUE LA LUNETA TRASERA ESTABA TOTALMENTE ASTILLADA Y LOS VIDRIOS COMENZABAN A CAER HACIA EL INTERIOR. LUEGO OBSERVA QUE UN GRUPO DE TAXISTAS QUE SE ENCONTRABAN DEL LADO DE AFUERA Y CERCA DE LA BARRERA COMENZABAN A DESPLAZARSE ALEJÁNDOSE DEL LUGAR. SE DIO PARTICIPACION AL JUZGADO FEDERAL DE TURN O Nº2 QUIEN ENTERADO DEL HECHO DISPUSO QUE LAS ACTUACIONES SE DERIVEN A LA JUSTICIA ORDINARIA POR SER UN HECHO QUE NO AFECTA LOS BIENES DEL ESTADO DANDOSE PARTICIAPCION A LA FISCALIA DE INSTRUCCION DISTRITO III TURNO IV</t>
  </si>
  <si>
    <t>SECTOR DE SALIDAS DEL AEROPUERTO</t>
  </si>
  <si>
    <t>SIENDO LA FECHA Y LA HORA ANTES MENCIONADA EL OFICIAL PONCE CUMPLIENDO FUNCIONES EN EL CENTRO DE CONTROL OPERATIVO, OBSERVA A TRAVES DE SUS CAMARAS UNA PERSONA DE SEXO MASCULINO, QUE HACE ASCENDER A DOS PASAJEROS EN LA PARTE POSTERIOR DE SU VEHICULO, EN EL ESTACIONAMIENTO DE LA TERMINAL B, DANDO ESTO IRREGULARIDAD AL HECHO, A TAL EFECTO EL OFICIAL PONCE SE COMUNICA VIA HANDY CON EL OFICIAL KALENBERG QUIEN SE DIRIGE A LA SALIDA DEL AEROPUERTO -PUESTO TAQUILLA -JUNTAMENTE CON LA OFICIAL CAFFERATA, DETIENENIENDO AL VEHICULO EN CUESTION, VERIFICANDO QUE LLEVABA EN SU INTERIOR DOS PASAJEROS, LE SOLICITAN LA HABILITACION PARA REALIZAR DICHA TAREA, QUIEN RESPONDE QUE NO POSEERLA, SE LE INFORMA LA FALTA COMETIDA Y SE LE INICIAN LAS ACTUACIONES CONTRAVENCIONALES.</t>
  </si>
  <si>
    <t>EN MOMENTOS DE ESTAR EFECTUANDOSE EL CONTROL PREVENTIVO SOBRE EL EQUIPAJE DESPACHADO POR BODEGA DEL VUELO DE MENCION, DETECTARON EN EL MONITOR DE LA MAQUINA DE RX, UNA IMAGEN CORRESPONDIENTE A UNA VALIJA CARRY ON, LA CUAL PRESENTABA EN SU INTERIOR SUSTANCIA ORGANICA SIN PODER DETERMINAR FEHACIENTEMENTE DE QUE ELEMENTO SE TRATABA.ANTE ESTA SITUACION SE CONVOCARON DOS TESTIGOS HABILES, Y SE PROCEDIO A CONTACTAR AL PASAJERO PROPIETARIO DE DICHO EQUIPAJE.SEGUIDAMENTE SE TRASLADARON TODOS HACIA EL TURNO DE PREVENCION, DONDE PREVIA CONSULTA CON EL JUZGADO INTERVINIENTE SE PROCEDÇIO A LA REQUISA, ENCONTRANDOSE EN EL INTERIOR DE LA MISMA UN PORTAFOLIOS, EL CUAL POSIA EN LA TAPA, EN LA CONTRATAPA Y EN LA PARED DIVISORA INTERIOR, UN PAQUETE OCULTO EN DOBLE FONFO, LOS CUALES CONTENIAN EN SU INTERIOR SUSTANCIA LA CUAL SOMETIDA A REACTIVO DE CAMPO PARA COCAINA ARROJO RESULTADO POSITIVO. DE ACUERDO A LOS ELEMENTOS SECUESTRADOS Y AL NO CONTAR CON DATOS PRECISOS SOBRE LA RUTA QUE EL IMPUTADO REALIZARIA DESDE RIO DE JANEIRO - BRASIL, A CONTINUACION SE DETALLAN LAS DOS OPCIONES POSIBLES SOBRE LAS ESCALAS Y EL DESTINO FINAL DEL MISMO, A SABER OPCION 1 ORIGEN ARGENTINA EZEIZA JJ8001 14/10/2010 ESCALA BRASIL RIO DE JANEIRO UA860 14/10/2010 ESCALA BRASIL SAN PABLO UA860 14/10/2010 ESCALA ESTADOS UNIDOS WASHINGTON UA922 15/10/2010 DESTINO INGLATERRA LONDRES ---- ----- OPCION 2 ORIGEN ARGENTINA EZEIZA JJ8001 14/10/2010 ESCALA BRASIL RIO DE JANEIRO TAP 4188 14/10/2010 ESCALA PORTUGAL LISBOA TAP 232 15/10/2010 DESTINO MARRUECOS MARRAKECH ---- -----</t>
  </si>
  <si>
    <t>INFORMO QUE EN EL DIA DE LA FECHA SIENDO LAS 09:30 HS. LOCAL ARRIBA A ESTE AEROPUERTO VIA TERRESTRE PROCEDENTE DE LA CIUDAD DE LIBERTADOR GENERAL SAN MARTIN DE LA PROVINCIA DE JUJUY, EL SR. MINISTRO DE PLANIFICACION FEDERAL INVERSION PÚBLICA Y SERVICIOS DE LA NACION ARQUITECTO JULIO DE VIDO, JUNTO A SU COMITIVA EMBARCANDO EN AERONAVE MATRICULA LV-WTN, PERTENECIENTE A LA EMPRESA LEDESMA SOCIEDAD ANONIMA AGRICOLA INDUSTRIAL, DESPEGANDO LA MISMA A HS 09:42 , DANDO POR FINALIZADA ORDEN DE SERVICIO N° 125/10 DE FECHA 13-OCT-10 SIN NOVEDAD.</t>
  </si>
  <si>
    <t>6425/10</t>
  </si>
  <si>
    <t>SE PROCEDE A LA APERTURA DE UNA SACA COLECTORA DEL CORREO OFICIAL, SEGUN CONSTA EN ACTA DEJANDO CONTANCIA Nº 0443/10, CORRESPONDIENTE A LA PREV. SUM. Nº 103/10, LA SACA IDENTIFICADA CON MARBETE Nº SLA0217786E606000BHI, PRECINTO Nº D907098, CON TIENE UNA PIEZA POSTAL IDENTIFICADA COMO EP691908085, RTTE: DAMIAN CRUZ, SAN MARTIN 990, LA QUIACA, CP. 4650, JUJUY, DEST: MARTIN LIQUITAYA, CALLE 10 S/N, HILARIO ASCAZIBI, CP. 8142, BS AS, LA MISMA QUEDA RETENIDA. LA RETENCION SE REALIZA ANTE LA PRESUNCION DE QUE PUDIERAN CONTENER ALGUN ELEMENTO EN INFRACCION A LA LEY 23.737 Y/O 22.415, QUEDANDO LA MISMA CERRADA Y EN GUARDA EN ESTA UOSP SEGUN LO COORDINADO CON EL JUZGADO INTERVINIENTE Y LA APERTURA SE REALIZARA CON AUTORIZACION DEL MAGISTRADO ACTUANTE.</t>
  </si>
  <si>
    <t>6428/10</t>
  </si>
  <si>
    <t>SIENDO LAS CUATRO HORAS DIEZ MINUTOS DEL DIA 15-10-10 SE EFECTUO EL TRASLADO DEL DETENIDO A SEDE JUDICIAL DE ACUERDO A LO ORDENADO POR SU SSA. PTO.-</t>
  </si>
  <si>
    <t>6290/10</t>
  </si>
  <si>
    <t>08ENE03 HOMICIDIO ALAGGOSTINO</t>
  </si>
  <si>
    <t>A LAS SIETE HORAS VEINTE MINUTOS DEL DIA 13-10-10 ES TRASLADADO EL DETENIDO A SEDE JUDICIAL EN VIRTUD A LO ORDENADO. APROXIMADAMENTE A LAS DIECISEIS HORAS VEINTE MINUTOS DEL MISMO 13-10-10, EL DETENIDO REGRESA A ESTA DEPENDENCIA POR DISPOSICION DE S.SA PERMANECIENDO ALOJANDO BAJO CUSTODIA DE ESTA DEPENDENCIA A DISPOSICION JUDICIAL. PTO.</t>
  </si>
  <si>
    <t>INF. ART. 162 C.P.N.</t>
  </si>
  <si>
    <t>INF. ART. 162 C.P.N</t>
  </si>
  <si>
    <t>COMPARTIMIENTO SUPERIOR</t>
  </si>
  <si>
    <t>ASIENTO 14 J</t>
  </si>
  <si>
    <t>AL ABORDAR LA AERONAVE COLOCO EN EL COMPARTIMIENTO SUPERIOR DEL ASIENTO ASIGNADO -14J-, LA MOCHILA QUE TRANSPORTABA COMO EQUIPAJE DE MANO, LA CUAL CONTENIA ELEMENTOS DE ASEO Y PERSONALES VARIOS JUNTO A UNA CARPETA CON DOCUMENTACION LABORAL. AL ARRIBAR EL VUELO A ESTE AEROPUERTO, SE RETIRA JUNTO LA MENCIONADA MOCHILA Y AL ARRIBAR A SU DOMICILIO PARTICULAR, SE PERCATA DEL FALTANTE DE LA CARPETA CON DOCUMENTACION . POR TAL MOTIVO REGRESA A ESTE MEDIO Y EFECTUA LA DENUNCIA. PTO</t>
  </si>
  <si>
    <t>SECCION GENDARMERIA NACIONAL S/AV. PSTA INF LEY 23737</t>
  </si>
  <si>
    <t>LV-BXA, POSICION 12</t>
  </si>
  <si>
    <t>SIENDO LA HORA MECIONADA SE HACE PRESENTE EN ESTA DEPENDECNCIA UNA COMISION POLICIAL CONFORMADA POR EL CABO 1º MUÑOZ FABIAN LP 15676, CABO 1º BOCHILE MANUEL LP 13247 DE LA POLICIA FEDERAL ARGENTINA, LOS MISMO TRASLADAN AL DETENIDO CASTRO JUAN CARLOS DNI 15681466, A LA CIUDAD DE COMODORO RIVADAVIA CON DESTINO FINAL LA JUDICATURA ACTUANTE. DESPEGANDO A LAS 11:50 HORAS DE ESTA AEROESTACION SIN NOVEDAD.</t>
  </si>
  <si>
    <t>AR 2638</t>
  </si>
  <si>
    <t>ARTEAGA MEJIAS, IRIS DEL SOL Y DONOSO MONTEROS, JUAN CARLOS S/ TRANPORTE DE ESTUPEFACIENTES</t>
  </si>
  <si>
    <t>2997/08</t>
  </si>
  <si>
    <t>PREEMBARQUE INTERNACIONAL -PUERTA Nº 3</t>
  </si>
  <si>
    <t>EN EL DIA DE LA FECHA A HORAS 11:00 SE PRESENTA PERSONAL DE GENDARMERIA NACIONAL CABO 1º SOSA LUCIANA, Y EL GENDARME CORDOBA ENZO, CON LOS CIUDADANOS DE NACIONALIDAD BOLIVIANA,SR. ARTEAGA MEJIAS, IRIS DEL SOL Y DONOSO MONTEROS, JUAN CARLOS,QUIENES POR DISPOSICIONES 132123/2010 Y 152253/2010, DE LA DNM, DONDE SE ORDENO LA EXPULSION DEL TERRITORIO NACIONAL, CON PROHIBICION DE REINGRESO AL PAIS CON CARACTER PERMANENTE, SE DA CUMPLIMIENTO A LA ORDEN DE SERVICIO Nº 225/10, CON LA INTERVENCION DE DOS EFECTIVOS DE LA UOESA DEL NORTE, PARA SU CUSTODIA DENTRO DE LA JURIDICCION AEROPORTUARIA SIENDO EMBARCADOS EN LA EMPRESA AEROCOMERCIAL AEROSUR,VUELO Nº 251 5L , SIN NOVEDAD.</t>
  </si>
  <si>
    <t>MIENTRAS LA OF. AYTE MARIA EUGENIA SANZ CONTROL Nº 503508 REALIZABA EL CONTROL SOBRE LOS EQUIPAJES DESPACHADOS POR BODEGA DEL VUELO LH511 OBSERVA A TRAVES DE LA IMAGEN DE RX DENTRO DE UN EQUIPAJE UNA SUSTANCIA ORGANICA DE BAJA DENSIDAD, CONVOCA INMEDIATAMENTE LA PRESENCIA DE DOS TESTIGOS DA LA NOVEDAD AL JEFE DE TURNO, QUIEN COMISIONA A PERSONAL POLICIAL A LA SALA DE EMBARQUE CON EL FIN DE LOCALIZAR AL DUEÑO DE DICHO EQUIPAJE. UNA VEZ UBICADO SE TRASLADA AL PASAJERO JUNTO A LOS TESTIGOS Y PERSONAL POLICIAL A LA GUARDIA DE PREVENCION. ALLI SE PROCEDE A LA APERTURA OBSERBANDO EN SU INTERIOR UNA BOLSA DE COLOR AZUL CONTENIENDO UNA BOTELLA DE COLOR BLANCO CERRADA CON UNA TAPA DE COLOR NEGRO CON LA INSCRIPCION INTENSIVE BODY CARE- PIEL EXTRA SECA DE LA MARCA NEUTROGENA DE 200 MLLILITROS CONTENIENDO EN SU INTERIOR UNA SUSTANCIA CREMOSA BLANCA, A LA CUAL SE SOMETE A PRUEBA DE CAMPO PARA COCAINA ARROJANDO RESULTADO POSITIVO. ACTO SEGUIDO SE COMISIONA A PERSONAL POLICIAL AL LOCAL DE FARMACITY SITO EN EL HALL PUBLICO DE LA TERMINAL A CON EL FIN DE COMPRAR OTRO PRODUCTO DE SIMILAR MARCA Y CARACTERISTICAS, A SU REGRESO SE SOMETE A SU CONTENIDO A PRUEBA DE CAMPO EL CUAL ARROJA RESULTADO POSITIVO COCAINA, SE CONTINUA CON LA REQUISA EN EL RESTO DEL EQUIPAJE DANDO RESULTADO NEGATIVO A LA PRESENCIA DE SUSTANCIA PROHIBIDA. SE ENTABLA COMUNICACIÓN CON EL JUZGADO INTERVINIENTE INFORMANDO LO SUCEDIDO Y DISPONE QUE SE LABRE UN ACTA DEJANDO CONSTANCIA DE LOS HECHOS Y QUE EL PASAJERO CONTINUE CON SU VIAJE Y NO SE INICIE CAUSA .-</t>
  </si>
  <si>
    <t>DRA. MARIA SOLEDAD MANCINI DE GENER</t>
  </si>
  <si>
    <t>BARREIRO ERNESTO G. Y OTROS P.SS.AA. PRIVACION ILEGITIMA DE LA LIBERTAD AGRAVADA, IMPOSICION DE TORMENTOS AGRAVADOS, Y HOMICIDIO AGRAVADO</t>
  </si>
  <si>
    <t>DOMICILIO UBICADO EN CALLE MONTEVIDEO Nº 199 BARRIO CACHANGASTA, PROVINCIA DE LA RIOJA. DOMICILIO UBICADO EN CALLE FLAMENCOS Nº 688, CIUDAD DE MIRAMAR, PROVINCIA DE CORDOBA. DOMICILIO UBICADO EN CALLE ANDRADE Nº 940, LOCALIDAD DE GENERAL RODRIGUEZ, PROVINCIA DE BUENOS AIRES.</t>
  </si>
  <si>
    <t>SIENDO EL DIA 14 DE OCTUBRE SE RECEPCIONO VIAL MAIL INFORME CONFECCIONADO POR PERSONAL DE LA UNIDAD OPERACIONAL CONTROL DEL NARCOTRAFICO Y DELITOS COMPLEJOS CENTRAL DONDE NOS INFORMO QUE CON RELACION A LAS TAREAS INVESTIGATIVAS REALIZADAS SOBRE EL DOMICILIO UBICADO EN CALLE ANDRADE Nº 940 DE LA LOCALIDAD DE GENERAL RODRIGUEZ, PROVINCIA DE BUENOS AIRES, LAS MISMAS ARROJARON RESULTADO POSITIVO, PUDIENDO ESTABLECER QUE EL EN CITADO DOMICILIO VIVIRIA EL SR. EDUARDO BONIFACIO RIOS, DNI 8.000.858. SIENDO EL DIA 15 DE OCTUBRE DEL CORRIENTE AÑO ESTA UNIDAD RECEPCIONO POR PARTE DEL JUZGADO FEDERAL Nº 3 DE CORDOBA A CARGO DEL DR. ALEJANDRO SANCHEZ FREYTES SUBROGANTE, SECRETARIA DE DERECHOS HUMANOS A CARGO DE LA DRA. MARIA SOLEDAD MANCINI DE GENER DISTINTOS EXHORTO A SABER: EXHORTO DE FECHA 15 DE OCTUBRE DEL CORRIENTE DIRECCIONADO AL SR. JUEZ FEDERAL DE MERCEDES, PROVINCIA DE BUENOS AIRES, DONDE EL JUZGADO FEDERAL Nº 3 DE CORDOBA SOLICITA AL JUZGADO FEDERAL DE MERCEDES QUE A PARTIR DEL DIA 19 DE OCTUBRE DEL 2010, LIBRE ORDEN DE ALLANAMIENTO Y DETENCION SOBRE EL SR. EDUARDO BONIFACIO RIOS CON DOMICILIO EN CALLE ANDRADE Nº 940 DE LA LOCALIDAD DE GENERAL RODRIGUEZ, PROVINCIA DE BUENOS AIRES, SIENDO DILIGENCIADA LAS CITADAS MEDIDAS POR EL OF. SUBINSPECTOR MARCOS D´AULERIO Y OF. JEFE GUILLERMO PELLICER. SE RECEPCIONO NOTA DIRECCIONADO AL CENTRO DE DETENCION JUDICIAL UNIDAD 28 SERVICIO PENINTENCIARIO FEDERAL DE LA CIUDAD AUTONOMA DE BUENOS AIRES CON LA FINALIDAD DE DISPONER EL ALOJAMIENTO DEL SR. EDUARDO BONIFACIO RIOS EN LA SUBUNIDAD DESTINADA A DETENIDOS POR DELITOS DE LESA HUMANIDAD Y SU TRASLADO EN FORMA URGENTE AL JUZGADO DE CORDOBA. EXHORTO DE FECHA 15 DE OCTUBRE DEL CORRIENTE AÑO DIRECCIONADO AL SR. JUEZ FEDERAL DE LA PROVINCIA DE RIOJA, DONDE EL JUZGADO FEDERAL Nº 3 DE CORDOBA SOLICITA AL JUZGADO FEDERAL DE LA RIOJA QUE A PARTIR DEL DIA 19 DE OCTUBRE DEL 2010 LIBRE ORDEN DE ALLANAMIENTO Y DETENCION SOBRE EL SR. JORGE OMAR HEREDIA DNI 8.453.686 CON DOMICILIO EN CALLE MONTEVIDEO Nº 199 DE BARRIO CACHANGASTA DE LA PROVINCIA DE LA RIOJA, SIENDO LAS CITADAS MEDIDAS DILIGENCIADAS POR EL OF. MAYOR CARLOS ACOSTA Y/O EL OF. MAYOR DOWDALL TORRES. EXHORTO DE FECHA 15 DE OCTUBRE DEL CORRIENTE AÑO DIRECCIONADO AL SR. JUEZ FEDERAL DE LA CIUDAD DE BELL VILLE, DONDE EL JUZGADO FEDERAL Nº 3 DE CORDOBA SOLICITA AL JUZGADO FEDERAL DE BELL VILLE QUE A PARTIR DEL DIA 19 DE OCTUBRE DEL 2010, LIBRE ORDEN DE ALLANAMIENTO Y DETENCION SOBRE EL SR. RICARDO LUIS HIERLING DNI 7.989.798 CON DOMICILIO EN CALLE LOS FLAMENCOS Nº 668 DE LA CIUDAD DE MIRAMAR PROVINCIA DE CORDOBA, SIENDO LAS CITADAS MEDIDAS DILIGENCIADAS POR EL OF. JEFE JORGE PALACIOS Y/O OF. JEFE MIRIAN FRANCOVIG</t>
  </si>
  <si>
    <t>JUZGADO CORRECCIONAL Nº 2 DE MORON</t>
  </si>
  <si>
    <t>JORGE ERNESTO</t>
  </si>
  <si>
    <t>DRA ANA STUCCHI</t>
  </si>
  <si>
    <t>HURTO DE GAS</t>
  </si>
  <si>
    <t>EN EL CONTROL DE DOCUMENTACIÓN DE PASAJEROS DEL VUELO NRO. 4025 DE LA EMPRESA LAN LÍNEAS AÉREAS SE DETECTA A TRAVÉS DEL SISTEMA DE INTERPOL EL PEDIDO DE PARADERO VIGENTE SOLICITADO POR EL JUZGADO CORRECCIONAL NRO 2, SECRETARIA Nº 05, DE LA CIUDAD DE MORON PROVINCIA DE BUENOS. AIRES. DE LA SRA. RAQUEL DEL ROSARIO ALLENDE, ANTE EL HECHO PERSONAL DE INTERPOL REALIZA UN ACTA Y ENTREGA AL JEFE DE TURNO EL CUAL CONFECCIONA ACTA DE NOTIFICACIÓN DE PARADERO DANDO CUMPLIMIENTO A LO REQUERIDO POR JUZGADO SOLICITANTE DE LA MEDIDA Y SE NOTIFICA A LA CAUSANTE QUE DEBERÁ COMPARECER ANTE DICHO JUZGADO DENTRO DE LOS CINCOS DÍAS HÁBILES DE LABRADA LA MISMA PARA REGULARIZAR SU SITUACIÓN JUDICIAL</t>
  </si>
  <si>
    <t>DR.MANUEL GUTIERREZ</t>
  </si>
  <si>
    <t>SECCION GENDARMERIA NACIONAL S/AV.PSTA.INF.LEY 23.737</t>
  </si>
  <si>
    <t>SIENDO LAS 14:20 HORAS LOCAL ARRIBA VUELO AU 2633 PROCEDENTE DE LA CIUDAD DE BUENOS AIRES DONDE SE TRANSPORTA POR PARTE DE LA POLICIA FEDERAL ARGENTINA, UN CIUDADANO DE NOMBRE JUAN CARLOS CASTRO CON DNI Nº 16.581.466, EN CALIDAD DE DETENIDO,EN MARCO DE LA CAUSA Nº 8961 CARATULADA SECCION DE GENDARMERIA NACIONAL S/AV.PSTA. INF. LEY 23.737, DICHO CIUDADANO FUE DETENIDO EN LA CIUDAD DE MAR DEL PLATA, EL TRASLADO ES TRAMITADO POR EL JUZGADO FEDERAL DE COMODORO RIVADAVIA A CARGO DE LA DRA EVA PARCIO DE SELEME, SECRETARIA FEDERAL A CARGO DEL DR. MANUEL GUTIERREZ. LOS EFECTIVOS DE LA P.F.A SON EL CABO 1RO FABIAN MUNOZ Y CABO 1RO MANUEL BOCHILE.EL TRASLADO SE HIZO SIN NOVEDAD.</t>
  </si>
  <si>
    <t>GRAL MOSCONI-COMODORO RIVADAVIA</t>
  </si>
  <si>
    <t>EN EL DIA DE LA FECHA ARRIBA A ESTE AEROPUERTO AERONAVE FAP02- C310 PROCEDENTE DE ASUNCION PARAGUAY, CON EL SR. VICE PRESIDENTE FRANCO FEDERICO LUIS C.I. 691.104 Y COMITIVA INTEGRADA POR LOS SEÑORES LOPEZ AMANCIO C.I. 264.745, PEREYRA VICTOR HUGO C.I.1.123.797, FLORENTIN AMADO C.I. 1.287.336 . LOS COMANDANTES DE LA AERONAVE, TTE CNEL FARINA TOMAS C.I.610.819 Y TTE 1º PAM FELIX M. VILLALBA C.I. 2.387.896 . SE CUMPLIMENTA ORDEN DE SERVICIO Nº 040/2010 DE ESTA U.O.S.P. FINALIZANDO EL DISPOSITIVO DE SEGURIDAD PREVISTO A LAS 16:20HS SIN NOVEDAD.</t>
  </si>
  <si>
    <t>FISCALIA DE INVESTIGACION PROVINCIAL N° 2 DE RESISTENCIA - CHACO.</t>
  </si>
  <si>
    <t>CANTERO</t>
  </si>
  <si>
    <t>OTERO, LUCIO</t>
  </si>
  <si>
    <t>SUPUESTO ROBO CON AUTOR DESCONOCIDO</t>
  </si>
  <si>
    <t>PLAYA DE ESTACIONAMIENTO PUBLICO CONCESIONADO UBICADO FRENTE A LA AEROSTACION.</t>
  </si>
  <si>
    <t>SE PRESENTA EN LA GUARDIA DE PREVENCION EL DENUNCIANTE QUIEN MANIFIESTA, QUE EN EL DIA DE LA FECHA A LAS 11 HS. SE PRESENTO EN LA PLAYA DE ESTACIONAMIENTO PUBLICO CONCESIONADA DE ESTE AEROPUERTO Y SE PERCATO DEL FALTANTE DE UNA RUEDA DE AUXILIO DE SU CAMIONETA, TOYOTA HILUX DOBLE CABINA, COLOR GRIS PLATA, CHAPA PATENTE IJB 438, NUMERO DE CHASIS 8AJFZ29G6A6090795, MOTOR N 1KD-7847808, A NOMBRE DE LARET S.A. EL CUAL DEJO ESTACIONADA EL DIA JUEVES 7 DEL CORRIENTE MES Y AÑO. SE DA INTERVENCION A LA FISCALIA EN TURNO, QUIEN DISPONE SE LABREN LAS ACTUACIONES CORRESPONDIENTES, SE TOME TESTIMONIAL AL PERSONAL DE LA EMPRESA INELCO S.R.L. CONCESIONARIA DE LA PLAYA DE ESTACIONAMIENTO Y SE ELEVE LO ACTUADO A ESE ESTRADO.</t>
  </si>
  <si>
    <t>GELO DANIEL S/TENTATIVA DE CONTRABANDO DE ESTUPEFACIENTES</t>
  </si>
  <si>
    <t>CALLE OLAZABAL 4713 C.A.B.A. Y CALLE 22 Y 7 Nº 12124 DE LA CIUDAD DE LA PLATA</t>
  </si>
  <si>
    <t>EN EL DIA DE LA FECHA SE RECIBE OFICIO JUDICIAL ORDENANDO TAREAS INVESTIGATIVAS EN LOS DOMICILIOS ANTES CITADOS TENDIENTES A DETERMINAR LA IDENTIDAD DE SUS MORADORES, ACTIVIDADES QUE DESAROLLAN LOS MISMOS Y TODO OTRO DATO DE INTERES PARA LA CAUSA.</t>
  </si>
  <si>
    <t>4773/10</t>
  </si>
  <si>
    <t>VIDAL VALENZUELA, MARCOS ESTEBAN Y OTRO S/ LEY DE ESTUPEFACIENTES</t>
  </si>
  <si>
    <t>CIUDAD DE SAN CARLOS DE BARILOCHE Y SUS ALREDEDORES</t>
  </si>
  <si>
    <t>AMPLIANDO PR Nº: 3485 DE FECHA 08/06/2010 QUE SE INFORMABA EL INICIO DE LA INVESTIGACION DE MARRAS Y PR Nº 4773/10 DE FECHA 06/08/10 EN EL CUAL SE HABIA SOLICITADO INTERVENCION TELEFONICA DEL ABONADO 02944-427395 POR EL PLAZO DE TREINTA (30) DIAS, INFORMO QUE EN EL DIA DE LA FECHA SE RECEPCIONO OFICIO JUDICIAL Nº1724/2010, EN EL CUAL CAMBIA LA CARATULA DE LA CAUSA DE MARRAS Y QUE ORDENA LA INMEDIATA DETENCION PARA RECIBIRLE DECLARACION INDAGATORIA A RAUL EZEQUIEL CID, ALIAS JABALI, FACULTANDO A ESTA UOCNC Y DC V A REALIZAR DE MANERA URGENTE CUANTAS DILIGENCIAS RESULTEN NECESARIAS A TAL EFECTO. UNA VEZ PRODUCIDA LA DETENCION EL NOMBRADO DEBERA QUEDAR ANOTADO A DISPOSICION DE ESE TRIBUNAL EN CARACTER DE INCOMUNICADO, DEBIENDO DAR AVISO DE ELLO A LA MAYOR BREVEDAD POSIBLE AL JUZGADO INTERVINIENTE.-</t>
  </si>
  <si>
    <t>DR. CRISTOFANI</t>
  </si>
  <si>
    <t>JET PAQ - CORREO ARGENTINO</t>
  </si>
  <si>
    <t>SIENDO LA HORA MENCIONADA SE PROCEDE A REALIZAR CHEQUEO MEDIANTE LA MAQUINA DE RAYOS X, POR PERSONAL POLICIAL, QUIEN VISUALIZO DOS SACAS LAS CUALES NO SE INTERPRETABA SU CONTENIDO POR LO QUE SE SOLICITO AUTORIZACION PARA LA APERTURA DE LAS MISMAS A LA JUDICATURA ACTUANTE, AL REALIZAR DICHA APERTURA SE OBSERVO UN PAQUETE ENVUELTO EN PAPEL ALUMINIO, Y AL APERTURAR EL MISMO UN FILM COLOR VERDE CONTENIENDO EN SU INTERIOR HOJAS SECAS DE PLANTA DE COCA PRENSADAS, LAS MISMAS ARROJARON RESULTADO NEGATIVO PARA SUSTANCIAS DE ESTUPEFACIENTE. EN LA SEGUNDA SACA SE OBSERVO UNA CAJA ENVUELTA EN PAPEL MADERA SELLADA CON CINTA ADHESIVA COLOR MARRON, LA CUAL CONTENIA DOS PAQUETES ENVUELTOS EN PAPEL DE DIARIOY UNA SERIE DE BOLSAS DE DIMENSIONES PEQUEÑAS, LAS CUALES CONTENIAN ESPECIAS VARIAS,LOS PAQUETES ANTES MENCIONADOS CONTENIAN EN SU INTERIOR HOJAS DE PLANTAS DE COCA SECAS Y PRENSADAS. PAQUETE A DESTINATARIO - SR. DOMINGO MODESTO GOMEZ CALLE SAN MARTIN S/N 1233 PCIA. DE SANTA CRUZ CP 9017. REMITENTE - TABOADA JESUS J. SALTA CP 4400. PAQUETE B DESTINATARIO - SRA. JOSEFA GUZMAN, PERITO MORENO Nº 1034 28 DE NOVIEMBRE PCIA. DE SANTA CRUZ CP 9408. REMITENTE - GUTURRA MIGUEL ANGEL, ANTOMIO ALICE Nº 51 Bº AUTODROMO CP 4400 SALTA.</t>
  </si>
  <si>
    <t>AU2836</t>
  </si>
  <si>
    <t>6388/10</t>
  </si>
  <si>
    <t>POLIC. DE SEG. AEROPORTUARIA JEFE UNIDAD OPERACIONAL RCIA. ANDRES AVELINO GALEANO S/SOLIC. ORDEN APERTURA DE SACA</t>
  </si>
  <si>
    <t>JEFATURA DE ESTA UNIDAD OPERACIONAL</t>
  </si>
  <si>
    <t>JORGE MUÑOZ</t>
  </si>
  <si>
    <t>SILVIA INES MARTINES</t>
  </si>
  <si>
    <t>PU Nº 6388 13-10-2010 EN MOMENTO DE REALIZAR EL CONTROL DE LA CARGA Y CORREO A EMBARCAR EN EL VUELO DE REFERENCIA, AL PASAR UNA SACA DEL CORREO ARGENTINO POR LA MAQUINA DE RAYOS X EL PERSONAL A CARGO DE LOS CONTROLES, ADVIERTEN QUE DENTRO DE LA SACA, SE ENCUENTRA UNA CAJA, EN CUYO INTERIOR SE OBSERVA UNA FIGURA CON FORMA RECTANGULAR DE TIPO ORGANICA. SEGUIDAMENTE EL OFICIAL MAYOR VICTOR ESCOBAR REALIZA EL CONTROL CON EL CAN AXEL. DANDO ESTE RESULTADO POSITIVO PARA LA PRESENCIA DE SUSTANCIAS ESTUPEFACIENTES. SE COMUNICA AL JUZGADO QUIEN DISPONE SE INTERDICTE LA SACA Y SE SOLICITE LA ORDEN DE APERTURA EL DIA JUEVES 14 DEL CORRIENTE MES Y AÑO PU 6458 15-10-2010 SE PROCEDIO A LA APERTURA DE LA SACA INTERDICTADA EN FECHA 13 OCTUBRE 2010 DANDO CUMPLIMIENTO A ORDEN DE APERTURA N 880/10 DEL JUZGADO INTERVINIENTE, ENCONTRANDO EN EL INTERIOR DE LA MISMA UNA CAJA EN LA CUAL SE LEE COMO REMITENTE JORGE MUÑOZ, SAN MARTINN 1670, BARRANQUERAS CHACO Y COMO DESTINATARIO SILVIA INES MARTINEZ, PUEYRREDON 1214, PUERTO SAN JULIAN SANTA CRUZ, CONTENIENDO EN SU INTERIOR UNA CAJA RECTANGULAR, QUE CONTENIA UN PAQUETE DENTRO DEL CUAL SE HALLABA LA SUSTANCIA ESTUPEFACIENTE. QUE ESTABA RECUBIERTO POR UNA SUSTANCIA GRANULADA SIMIL AL CAFE. SE REALIZA TEST DE ORIENTACION REACTIVO ESPECIFICO PARA MARIHUANA DANDO EL MISMO RESULTADO POSITIVO Y LA SUSTANCIA GRANULADA RESULTADO NEGATIVO. SE INFORMA DE LO ACTUADO AL JUZGADO INTERVINIENTE QUIEN DISPONE SE ELEVE LO ACTUADO Y LO SECUESTRADO A ESOS ESTRADOS.</t>
  </si>
  <si>
    <t>RESISTENCIA - CHACO</t>
  </si>
  <si>
    <t>FISCALIA NACIONAL DE INSTRUCCION Nº 12</t>
  </si>
  <si>
    <t>DRA. DURINI</t>
  </si>
  <si>
    <t>CINTA DE EQUIPAJES - PLATAFORMA - BODEGA AERONAVE</t>
  </si>
  <si>
    <t>SIENDO LAS 15:30 HORAS DEL DIA 15 DEL CORRIENTE SE HACE PRESENTE UN PASAJERO DE SEXO MASCULINO MANIFESTANDO QUE AL ARRIBAR A LA CIUDAD DE IGUAZU SE PERCATA DEL FALTANTE DE UNA SERIE DE ELEMENTOS DE SU PERTENENCIA LOS CUALES MENCIONA, MANIFESTANDO EL HECHO SE LO INVITA A RADICAR LA DENUNCIA POR ESCRITO Y POR ESTAR PROXIMO A PARTIR SU VUELO CON DESTINO A LA CIUDAD DE SALTA SE INICIA EN ESTA UNIDAD DE OFICIO LAS PRESENTES ACTUACIONES, Y COMPROMETIENDOSE EL MISMO A PRESTAR DECLARACION TESTIMONIAL EN DICHA UNIDAD PARA ADJUNTAR A LAS MISMAS.</t>
  </si>
  <si>
    <t>LA 4028</t>
  </si>
  <si>
    <t>TENTOTONI</t>
  </si>
  <si>
    <t>INVESTIGACION DE DELITOS DE LESA HUMANIDAD - ARMADA ARGENTINA</t>
  </si>
  <si>
    <t>EXPEDIENTE Nº 04/07</t>
  </si>
  <si>
    <t>EN EL DIA DE LA FECHA SE HACE PRESENTE EN ESTA UOSP MERLO EL SEÑOR CARRIZO TOMAS HERMOGENES D.N.I. 4.284.511 ARGENTINO, QUIEN POR LO DISPUESTO EL JUZGADO FEDERAL Nº 1, SECRETARIA DE DERECHOS HUMANOS- BAHIA BLANCA A CARGO DEL DR. TENTOTONI EDUARDO, SECRETARIA DEL DR. FERNANDEZ MORENO MARIO MEDIANTE OFICIO S/N LIBRADO EN AUTOS EXPTE. 04/07 CARATULADO "INVESTIGACION DE DELITOS DE LESA HUMANIDAD (ARMADA ARGENTINA), EL MISMO FUE NOTIFICADO MEDIANTE LA POLICIA FEDERAL ARGENTINA, SUB. DELEGACION VILLA MERCEDES PCIA. SAN LUIS,QUE DEBERA PRESENTARCE TODOS LOS PRIMER DIAS VIERNES Y TERCER VIERNES DE CADA MES EN LA POLICIA DE SEGURIDAD AEROPORTUARIA EN LA LOCALIDAD DE MERLO.</t>
  </si>
  <si>
    <t>SR. ANDRES BASSO</t>
  </si>
  <si>
    <t>WEI LI S/ PRESENTACION DE HABEAS CORPUS EN FAVOR DE KUNG LOK HO Y DE SJS KI NG</t>
  </si>
  <si>
    <t>CALLE CROVARA NRO. 2875 LA MATANZA PCIA. DE BS. AS.</t>
  </si>
  <si>
    <t>QUE EL DIA 15-10-10 SIENDO APROXIMADAMENTE A LAS 12 HORAS 20 MINUTOS SE CONSTITUYEN EN LA CALLE CROVARA NRO. 2875, EL OFICIAL JEFE DIEGO DELLERBA Y DEMAS PERSONAL A CARGO, PARA DAR CUMPLIMIENTO A ORDEN DE ALLANAMIENTO CON EL OBJETO DE TRASLADAR POR LA FUERZA PUBLICA DE LOS CIUDADANOS KUNG LOK HO Y SZS KI NG, DE NACIONALIDAD CHINA, SEGUN LO DISPUESTO POR EL JUZGADO FEDERAL N° 03 DE MORON A CARGO DEL JUEZ DR. JUAN PABLO SALAS- SUBROGANTE- AN TE SECRETARIA N° 11 DEL DR. MARCELO JOSE MACHADO. QUE HABIDOS EN EL LUGAR SOLO SE CONTACTA A LA CIUDADANA SZS KI NG, LA CUAL ES TRASLADADA HACIA ESTE AEROPUERTO INTERNACIONAL, PARA LUEGO SER PUESTA A DISPOSICION DE LA DIRECCION NACIONAL DE MIGRACIONES.</t>
  </si>
  <si>
    <t>LINDA LILIAN GARCIA</t>
  </si>
  <si>
    <t>QUE EN EL DIA DE LA FECHA SE HACE PRESENTE EN ESTA GUARDIA DE PREVENCION EL SR. MARCELO FABIAN MARTINEZ A FIN DE RADICAR UNA DENUNCIA POR AMENAZAS, YA QUE SIENDO LAS 22:05 HORAS APROX, SE ENCONTRABA EN EL SECTOR CARGAS EN EL INTERIOR DE UNA DE LAS CAMIONETAS F100 DE LA EMPRESA A LA CUAL PRESTA SERVICIO, POR LO QUE EN UN MOMENTO EL SR CARLOS LEON, QUIEN TAMBIEN PERTENECE A LA EMPRESA TEXELRIO,ABRE LA PUERTA DEL ACOMPAÑANTE Y LO SUJETA DEL CUELLO AL SR MARTINEZ AMENAZANDOLO VERBALMENTE. POR LO QUE EL SR MARTINEZ LO DESPLAZA CON SUS PIERNAS Y LOGRA SACARLO DE DICHA CAMIONETA. SEGUIDAMENTE EL AGRESOR VUELVE A AGARRARLO DEL CUELLO, EL MISMO ES SEPARADO POR UN COMPAÑERO ALLI PRESENTE. LUEGO DE DICHO ACTO EL SR LEON SE QUIERE RETIRAR DEL LUGAR PERO EL OF GRANDE, DE PSA LO RETIENE EN EL SECTOR HASTA DAR AVISO DE DICHA SITUACION AL ENCARGADO DE TURNO. SIENDO LAS 22:45, LA JUDICATURA ACTUANTE, DISPONE QUE SOLO SE PROCEDA A LA IDENTIFICACION DEL AGRESOR, NO TOMANDO MEDIDAS ALGUNA CONTRA EL MISMO.</t>
  </si>
  <si>
    <t>PATIO DE VALIJAS DE TERMINAL B</t>
  </si>
  <si>
    <t>MIENTRAS SE REALIZABA EL CONTROL DE INSPECCIÓN MEDIANTE EQUIPO DE RAYOS X A LOS EQUIPAJES DESPACHADOS A BODEGA, PERSONAL POLICIAL OBSERVA A TRAVÉS DE LAS IMÁGENES EN EL INTERIOR DE UNA VALIJA DESPACHADA BAJO MARBETE N° AR79-56-01, A NOMBRE DE KARAKACHOFF/GUSTO SUSTANCIA ORGÁNICA SIN PODER DETERMINAR DE QUE ELEMENTO SE TRATABA. SE CONTACTA AL PASAJERO EN CUESTIÓN EN LA SALA DE EMBARQUE DE LA MANGA 12, JUNTO A SUS DOS HIJAS MARÍA AGUSTINA KARAKACHOFF Y FLORENCIA KARAKACHOFF. SE TRASLADA A LOS TRES PASAJEROS AL PATIO DE VALIJAS DE LA TERMINAL "B", DONDE EL SEÑOR KARAKACHOFF RECONOCE COMO DE SU PROPIEDAD EL EQUIPAJE EN CUESTIÓN. OBTENIDA LA AUTORIZACIÓN JUDICIAL SE PROCEDE A LA REQUISA DEL EQUIPAJE EN CUESTIÓN, OBSERVÁNDOSE EN SU INTERIOR PRENDAS DE VESTIR VARIAS LAS CUALES POSEÍAN PESO Y CONSISTENCIA NORMAL, OLOR A ROPA LIMPIA Y SE ENCONTRABAN SECAS, NO SIENDO ESTAS CARACTERÍSTICAS COINCIDENTES CON LOS PROCEDIMIENTOS ANTERIORES REALIZADOS EN ESTA DEPENDENCIA DE ROPA IMPREGNADA CON SUSTANCIA ESTUPEFACIENTE DONDE LAS PRENDAS DE VESTIR PRESENTABAN UNA CONSISTENCIA ACARTONADA, EMANABAN UN FUERTE OLOR A QUÍMICO, SE ENCONTRABAN HÚMEDAS Y SU PESO ERA SUPERIOR AL NORMAL PARA ESTA CLASE DE ELEMENTOS. SE LE REALIZAN A LAS 39 PRENDAS DE VESTIR HABIDAS EN EL EQUIPAJE REACTIVO DE CAMPO PARA COCAÍNA ARROJANDO ONCE DE ELLAS RESULTADO POSITIVO Y EL RESTO RESULTADO NEGATIVO. LUEGO, POR ORDEN DEL JUZGADO SE PROCEDE A REALIZAR REACTIVOS DE CAMPO PARA COCAÍNA A TRES PRENDAS DE VESTIR HABIDAS EN CADA UNA DE LAS VALIJAS DESPACHADAS POR LAS PASAJERAS KARAKACHOFF, ARROJANDO RESULTADO NEGATIVO. LUEGO SE HIZO PRESENTE LA SEÑORA BIBIANA ANALÍA JURI, MANIFESTANDO QUE VIAJABA EN COMPAÑÍA DE LOS PASAJEROS EN CUESTIÓN Y QUE LA ROPA QUE EL SEÑOR KARAKACHOFF, LE HABÍA COLOCADO APRESTO MARCA "KLARO" PARA PLANCHAR, POR LO QUE SE COMPRA UN PRODUCTO IGUAL Y SE LE ROCÍA A UNA DE LAS PRENDAS QUE ARROJARAN RESULTADO NEGATIVO, SOMETIENDO LA ZONA ROCIADA A REACTIVO DE CAMPO PARA COCAÍNA ARROJANDO RESULTADO POSITIVO. SE INFORMA LO ANTEDICHO AL JUZGADO INTERVINIENTE DISPONIENDO SE LABRE ACTA DE PROCEDIMIENTO Y QUE LOS PASAJEROS EN CUESTIÓN SE RETIREN DE LA DEPENDENCIA.</t>
  </si>
  <si>
    <t>SE PRESENTA ANTE ESTA PREVENCION PERSONAL DE POLICIA FEDERAL SIN NOTIFICACION PREVIA TRASLADANDO AL DETENIDO SR. JUAN CARLOS CASTRO DNI: 16581466 HACIA CABA EN VUELO AR 1603, SE REALIZA DISPOSITIVO DE SEGURIDAD ACORDE AL HECHO PARA LA ESPERA DEL EMBARCO Y POSTERIOR ACOMPAÑAMIENTO A LA AERONAVE LA CUAL DESPEGA SIN NOVEDADES.-</t>
  </si>
  <si>
    <t>DRA CAROLINA SARMIENTO</t>
  </si>
  <si>
    <t>KRAWCZYK, TASINA Y OTRO S/EJECUCION PENAL -</t>
  </si>
  <si>
    <t>Nº K-1/07</t>
  </si>
  <si>
    <t>EN CUMPLIMIENTO A ORDEN DE SERVICIO Nº 265/10, DE FECHA 16OCT10, EMITIDA POR URSA II DEL CENTRO, SIENDO LAS 10:35 HS SE PRESENTO EN LA GUARDIA DE PREVENCION UNA COMITIVA DEL SERVICIO PENITENCIARIO DE LA PROVINCIA DE CORDOBA TRASLADANDO A LA EXPULSADA, LA CUAL TRAS REALIZARLE EL PRECARIO MEDICO PERMANECIO EN CUSTODIA EN LA GUARDIA DE PREVENCION A CARGO DEL PERSONAL DE UOESA Y LA OF. PPAL. ZANUTTI. POSTERIORMENTE SIENDO LAS 12:30 HORAS SE PRESENTO PERSONAL DEL CONSULADO ALEMAN CON LA MENOR HIJA DE LA EXPULSADA, QUE LUEGO DEL PRECARIO MEDICO QUEDA A CARGO DE SU CUSTODIA LA OF. AY. MONTEROS GABRIELA AMBAS PERTENCIENTES A LA GUARDIA PREVENTIVA DE ESTA UOSP. SIENDO LAS 13:20 HORAS LA EXPULSADA Y SU HIJA FUERON EMBARCADAS. SIENDO LAS 14:15 HORAS DESPEGA EL VUELO IB 6850 CON DESTINO MADRID SIN NOVEDAD.</t>
  </si>
  <si>
    <t>IB 6850</t>
  </si>
  <si>
    <t>INFORMO SIENDO LAS 10:05 HS DEL DÍA 15 DE OCT. 2010, ARRIBA A ÉSTE AEROPUERTO AERONAVE F-28, MATRÍCULA TC-54 DE LA FUERZA AÉREA ARGENTINA, TRANSPORTANDO AL SR. MINISTRO DE SALUD DE LA NACIÓN DR. JUAN MANZUR Y COMITIVA. A EFECTOS DE LA APERTURA DE LA VI REUNIÓN DEL COFESA DÓNDE SE ANALIZARÁ LA SITUACIÓN ACTUAL DEL DENGUE. DESPEGANDO DICHA AERONAVE EL DÍA DE HOY SIENDO LAS 16:25 HS, DANDO CUMPLIMIENTO A LA ORDEN DE SERVICIO Nº 019/10. SIN NOVEDAD.</t>
  </si>
  <si>
    <t>NACIONAL CRIMINAL Y CORRECCIONAL FEDERAL Nº 4</t>
  </si>
  <si>
    <t>DR. JUSTO BONNET</t>
  </si>
  <si>
    <t>FALSIFICACIÓN DOC EN GEN</t>
  </si>
  <si>
    <t>EN EL CONTROL DE DOCUMENTACIÓN DE PASAJEROS DEL VUELO NRO. 4033 DE LA EMPRESA LAN LÍNEAS AÉREAS SE DETECTA A TRAVÉS DEL SISTEMA DE INTERPOL EL PEDIDO DE PARADERO VIGENTE SOLICITADO POR EL JUZGADO NACIONAL EN LO CRIMINAL Y CORRECCIONAL FEDERAL NRO 4, SECRETARIA Nº 8 - CAPITAL FEDERAL, CORRESPONDIENTE A LA SRA. VICTORIA ZURRO, ANTE EL HECHO PERSONAL DE INTERPOL REALIZA UN ACTA Y ENTREGA AL JEFE DE TURNO EL CUAL CONFECCIONA ACTA DE NOTIFICACIÓN DE PARADERO DANDO CUMPLIMIENTO A LO REQUERIDO POR JUZGADO SOLICITANTE DE LA MEDIDA Y SE NOTIFICA A LA CAUSANTE QUE DEBERÁ COMPARECER ANTE DICHO JUZGADO DENTRO DE LOS CINCOS DÍAS HÁBILES DE LABRADA LA MISMA PARA REGULARIZAR SU SITUACIÓN JUDICIAL.-</t>
  </si>
  <si>
    <t>RAISBERG MARISA</t>
  </si>
  <si>
    <t>SIENDO LA FECHA Y HORA ANTES MENCIONADA SE RECIBE COMUNICACION POR PARTE DEL COC-AER OF. MONJE QUIEN VISUALIZA A DOS PERSONAS UN MASCULINO Y UN FEMENINO QUIENES LE HABRIAN SUSTRAIDO UN OBJETO A OTRO MASCULINO POR TAL MOTIVO SE ANOTICIA A LA PATRULLA HALL OF. ARIZA QUIEN SE APERSONA AL LUGAR E INTERCEPTA A DICHAS PERSONAS EN EL PRIMER PISO STAND GLOBAL EXCHANGE A FIN DE CONSTATAR SU IDENTIDAD EN ESE MOMENTO SE ENCUENTRAN CON PERSONAL DE AA2000 Y EL POSIBLE DAMNIFICADO, EL MASCULINO DEMORADO EXHIBE UNA CAMARA FOTOGRAFICA Y EL PRESUNTO DAMNIFICADO MANIFIESTA QUE ES DE SU PROPIEDAD POR LO TANTO SE PROCEDE A TRASLADAR A LOS INTERVINIENTES A LA GUARDIA DE PREVENCION, DANDO ASI INTERVENCION A LA JUDICATURA EN TURNO QUIEN ORDENA , DETENCION EN CARACTER DE COMUNICADOS Y SE EFECTUEN DILIGENCIAS DE RIGOR, SE LE TOME TESTIMONIAL AL PRESUNTO DAMNIFICADO Y SE LE HAGA ENTREGA DEL ELEMENTO EN CUESTION . CON RESULTADO DE 353 BIS SE ENTABLE NUEVA COMUNICACION. SIENDO LAS 17:50 HS SE ENTABLA COMUNICACION CON EL DR. ANSELMO CASTELLI SECRETARIO DE LA FISCALIA CORRECCIONAL Nº2 A/C DRA. DORA NANCY OLIVIERI QUIEN DISPONE QUE EN CASO DE PROCEDER A LA SOLTURA DE LOS MISMOS Y MEDIANTE NOTA ESTILO SE LES NOTIFIQUE QUE DEBERAN COMPARECER ANTE ESA EL DIA 10/11 DEL CORRIENTE AÑO A LAS 09:00 HS. SEGUN P.U. 6472 SIENDO LAS 0155 HS. DEL DIA 17/10/2010 SE PROCEDIO A LA LIBERACION DE LOS IMPUTADOS POR ASI HABERLO DISPUESTO EL JUZGADO INTERVINIENTE, AL NO REGISTRAR LOS MISMOS IMPEDIMENTOS LEGALES SEGUN REINCIDENCIAS.</t>
  </si>
  <si>
    <t>DRA. MERCEDES LOPEZ VEGA</t>
  </si>
  <si>
    <t>EXHORTO: JDO.GARANTIAS NRO.2 - DTO.JUDICIAL SAN MARTIN, PCIA.BS.AS. S/SOLICITUD DE DETENCION DE SGUERA, FEDERICO EDUARDO</t>
  </si>
  <si>
    <t>20.097/2010</t>
  </si>
  <si>
    <t>OFICINA DEL TURNO DE PREVENCION DE ESTA UOSP -</t>
  </si>
  <si>
    <t>INFORMO EN EL DIA DE LA FECHA SIENDO LAS 21:05 PARTEN EN EL VUELO AR 1872 DE LA EMPRESA AEROCOMERCIAL AEROLÍNEAS ARGENTINAS COMISIÓN POLICIAL INTEGRADA POR EL COMISARIO MARCELO FRANCISCO BARRADO DNI 17.275.409 ( LEGAJO 15.467) Y EL OFICIAL PRINCIPAL ARIEL ANÍBAL ÁLVAREZ DNI 23.599.532 (LEGAJO 21.695) AMBOS DE LA POLICÍA DE LA PROVINCIA DE BUENOS AIRES, CON EL DETENIDO FEDERICO EDUARDO SGUERA DNI 24.913.804, HABIÉNDOSE PRESENTADO EN EL TURNO DE ESTA PREVENCIÓN POLICIAL, EN VIRTUD DEL TRASLADO DEL MISMO DE ACUERDO A LO ORDENADO POR EL JUZGADO INTERVINIENTE. SE BRINDO APOYO Y COLABORACIÓN A LA COMISIÓN ANTES ENUNCIADA A FIN DE FACILITAR SU DESPLAZAMIENTO HASTA EL EMBARQUE DE LOS MISMOS EN EL VUELO DE MENCIÓN CON DESTINO AEROPARQUE JORGE NEWBERY, NO REGISTRÁNDOSE OTRA NOVEDAD.</t>
  </si>
  <si>
    <t>DR. SANSON MIGUEL</t>
  </si>
  <si>
    <t>DANOS</t>
  </si>
  <si>
    <t>SECTOR SUR DEL AEROPUERTO CERCANO A SALIDA DE EMERGENCIA HACIA LA RUTA PROVINCIAL 303 QUE LLEVA A LA LOCALIDAD DE LOS RALOS</t>
  </si>
  <si>
    <t>SECTOR SUR DE CABECERA DE PISTA</t>
  </si>
  <si>
    <t>SIENDO HORAS 21.35 SE PRESENTA SEÑOR GONZALEZ EMILIO GUSTAVO, ARGENTINO, DE 39 AÑOS DE EDAD, DNI 22.041.093 DE PROFESION EMPLEADO DE AEROPUERTOS ARGENTINA 2.000 QUIEN RADICA UNA DENUNCIA EXPONIENDO QUE SIENDO LAS 19.00 HS DEL DIA DE LA FECHA EFECTUANDO UN RECORRIDO DE RUTINA POR PISTA DE ATERRIZAJE Y LUCES DE APROXIMACION OBSERVA QUE DOS LINEAS DE APROXIMACION NO ENCENDIAN COMPROBANDO AL ACERCARSE QUE LOS ARTEFACTOS ESTABAN ROTOS Y FALTABAN SUS LAMPARAS COMPUTANDO CINCO LUCES Y UN FLASH POR CADA LINEA SUMANDO UN TOTAL DE DIEZ LUCES Y DOS FLASHES .SE ORDENA EL INMEDIATO TRASLADO DEL PERSONAL DE GUARDIA AL SECTOR EN EL MOVIL DE DOTACION VERIFICANDO LA ROTURA Y LOS FALTANTES, SE PROCEDE CON LOS OFICIALES A REALIZAR UN RASTRILLAJE POR ZONA ALEDAÑA E INSPECCION VISUAL EN EL SECTOR EN BUSCA DE INDICIOS QUE AYUDEN A ESCLARECER EL HECHO Y DE LOS ELEMENTOS FALTANTES, ARROJANDO EL MISMO UN RESULTADO NEGATIVO. SE REALIZA COMUNICACION CON EL JUZGADO FEDERAL DE TURNO QUIEN ORDENA SE INICIAN LAS ACTUACIONES DE RIGOR PARA SU POSTERIOR ELEVACION</t>
  </si>
  <si>
    <t>6468/10</t>
  </si>
  <si>
    <t>SIENDO LA HORA MENCIONADA SE PROCEDE A LA SOLTURA DE LOS IMPUTADOS POR ORDEN DE LA JUDICATURA ACTUANTE, RETIRANDOSE DE JURISDICCION POR SUS PROPIOS MEDIOS SIN NOVEDAD.</t>
  </si>
  <si>
    <t>Martino</t>
  </si>
  <si>
    <t>Jose Luis</t>
  </si>
  <si>
    <t>RIVAMAR, MONICA MARIA</t>
  </si>
  <si>
    <t>DAÑO AGRAVADO</t>
  </si>
  <si>
    <t>CABECERA 28</t>
  </si>
  <si>
    <t>SIENDO LAS 00:45 HORAS DEL DIA DE LA FECHA SE RECIBE LLAMADO TELEFONICO DEL SEÑOR SERGIO FUENTES D.N.I. Nº 16.971.109 ALERTANDO SOBRE LA ROTURA DEL ALAMBRADO PERIMETRAL EN SECTOR ESTE DEL AEROPUERTO QUE LIMITA CON SU PROPIEDAD, QUE APARENTEMENTE POR LA CUAL HAN INGRESADO PERSONAS A SU PROPIEDAD Y POSTERIORMENTE A SU MORADA ROBANDO ELEMENTOS PERSONALES. A LAS 02:30 HORAS SE PRODUCE COMUNICACION TELEFONICA CON JUZGADO PROVINCIAL DE TURNO QUIEN DISPONE REALIZAR ACTUACIONES DE RIGOR. A LO QUE SE DA CUMPLIMIENTO</t>
  </si>
  <si>
    <t>DRA. AIDA AHUMADA</t>
  </si>
  <si>
    <t>EN CIRCUNSTANCIAS QUE SE LLEVABA A CABO EL CONTROL PREVENTIVO EN EL PUESTO DE MENCION, EL PERSONAL POLICIAL VISUALIZO A TRAVES DE LAS IMAGENES DE LA PANTALLA DE RAYOS X QUE EN DOS EQUIPAJES ERA HABIDA SUSTANCIA DE BAJA DENSIDAD SIN PODER DETERMINAR DE QUE SE TRATABA.UNA VEZ OBTENIDAS LAS AUTORIZACIONES JUDICIALES PERTINENTES, SE PROCEDIO A LA REQUISA DE LOS MISMOS ARROJANDO COMO RESULTADO QUE LAS MISMAS POSEIAN VARIOS PAQUETES CONTENIENDO SUSTANCIA DE COLOR BLANCO, LA CUAL FUE SOMETIDA A REACTIVO PARA COCAINA, ARROJANDO RESULTADO POSTITIVO. SEGUIDAMENTE, LA JUDICATURA INTERVINIENTE ORDENO QUE SE DE COMIENZO A LAS ACTUACIONES DE RIGOR Y QUE EL DIA LUNES DIECIOCHO DEL CORRIENTE A PRIMERA HORA SE TRASLADE A LOS DETENIDOS TRASLADADO A SEDE JUDICIAL. ASIMISMO SE INFORMA QUE LOS EQUIPAJES FUERON DESPACHADO A NOMBRE DE LA CAUSANTE FEMENINO, QUE VIAJABA JUNTO CON SU HIJO, QUIEN TAMBIEN QUEDO DETENIDO EN AUTOS POR ORDEN DE LA JUDICATURA INTERVINIENTE. SEGUN PU Nº6482 DEL DIA 18/10/2010 SIENDO LAS 07.40 HS, SE PROCEDIO AL TRASLADO A SEDE JUDICIAL DE LOS DETENIDOS.</t>
  </si>
  <si>
    <t>SE RECIBE COMUNICACION POR PARTE DEL PUESTO DE REFERENCIA, DANDO CUENTA QUE SE HABIA PRESENTADO UN PASAJERO INFORMANDO QUE SE HABIA OLVIDADO UN CELULAR EN EL INTERIOR DE UNA CAJA EN MOMENTOS DE SOMETERSE AL CONTROL POLICIAL. EN VIRTUD A ELLO, PERSONAL POLICIAL CONSULTA CON EL COC QUIENES LOGRAN INDIVIDUALIZAR A OTRO PASAJERO QUE HABIA TOMADO EL CELULAR, APORTANDO LAS CARACTERISTICAS FISIONOMICAS DEL MISMO QUE PERMITIERON UBICARLO POSTERIORMENTE. QUE UNA VEZ LOCALIZADO EL PASAJERO QUE RETIRO EL CELULAR EN CUESTION, SE IDENTIFICA MEDIANTE PASAPORTE DIPLOMATICO Y EXTRAE DE SU BOLSILLO DICHO CELULAR. QUE MANTENIDA COMUNICACION CON EL JUZGADO INTERVINIENTE, DISPUSO SE PROCEDA A LABRAR ACTUACIONES SUMARIAS CARATULADA HURTO, DEBIENDO RECIBIR FORMAL DENUNCIA AL DAMNIFICADO, NOTIFICAR DE LA INICIACION DE LA CAUSA AL PASAJERO MARROQUI, DEBIENDO PERMANECER EN CALIDAD DE AFECTADO A ACTUACIONES Y QUE SE RETIRE UNA VEZ NOTIFICADO, PREVIA LECTURA DE DERECHOS Y GARANTIAS. SE DIO CUMPLIMIENTO A LO ORDENADO POR S.SA.. QUE UNA VEZ FINALIZADA LA DENUNCIA EL DAMNIFICADO CONTINUO CON SU PERIPLO Y EL IMPUTADO UNA VEZ NOTIFICADO SE RETIRO DE ESTA DEPENDENCIA POR SUS PROPIOS MEDIOS. UNA VEZ FINALIZADA LA DENUNCIA EL DAMNIFICADO CONTINUA CON SU PERIPLO Y EL IMPUTADO, UNA VEZ NOTIFICADO DEL INICIO DE LA CAUSA, SE RETIRA DE ESTA DEPENDENCIA POR SUS PROPIOS MEDIOS.</t>
  </si>
  <si>
    <t>CINTA DE ARRIBOS Nº 1</t>
  </si>
  <si>
    <t>ARRIBADA LA DENUNCIANTE A ESTA AEROSTACION, LUEGO DE REALIZAR LOS TRAMITES MIGRATORIOS DE RIGOR, SE DIRIGEN A LA CINTA TRANSPORTADORA DE EQUIPAJES A FIN DE RETIRAR SUS PERTENENCIAS DESPACHADOS A BODEGA. QUE UNA VEZ EN EL LUGAR SE PERCATA QUE DOS DE SUS VALIJAS DESPACHADAS SE ENCONTRABAN SIN EL FILM PRTOECTOR Y CANDADO COLOCADOS EN EL AEROPUERTO DE ORIGEN, COMO ASI TAMBIEN CON SIGNOS DE HABER SIDO VIOLENTADAS. EN VIRTUD A ELLO SE DIRIGE HACIA LAS OFICINAS DE RECLAMO, LUGAR DONDE CONSTATA EL FALTANTE. QUE LUEGO DE FINALIZADO EL PERTINENTE RECLAMO ADMINISTRATIVO SE DIRIGIO AL ASIENTO DE ESTA GUARDIA A RADICAR LA DENUNCIA.</t>
  </si>
  <si>
    <t>CM454Y</t>
  </si>
  <si>
    <t>FRENTE A MOSTRADOR DE CHECK IN Nº 1</t>
  </si>
  <si>
    <t>EN EL DIA DE LA FECHA SIENDO LAS 08:30 HORAS SE DA INICIO A OPERATIVO DE CONTROL PREVENTIVO DE EXPLOSIVOS, POR PARTE DE PERSONAL DEL GRUPO GEDEX, SIENDO ASISTIDOS POR PERSONAL DE ESTA UOSP REALIZANDO PERIMETRO DE SEGURIDAD, SOBRE UN BOLSO DE MANO QUE SE ENCONTRABA ABANDONADO EN EL HALL CENTRAL DE ESTE AEROPARQUE METROPOLITANO, FRENTE AL MOSTRADOR Nº 1 DE CHECK IN. EL MISMO SE REALIZO CON LA PRESENCIA DEL MARCELO FERRETTI, MN 29410, MEDICO A CARGO DEL SERVICIO MEDICO EMERGER, Y DEL SUBOFICIAL EDUARDO ALBERTO, LP 60168, A CARGO DE BOMBEROS DE PFA. FINALIZANDO EL OPERATIVO A LAS 09:03 HORAS, DADO QUE APARECIO LA PROPIETARIA DEL BOLSO, QUIEN IDENTIFICADA RESULTO SER Y LLAMARSE LUCIANA RAVIOLO, DNI Nº 28.158.014. HACIENDO ENTREGA DEL MISMO SIN NOVEDAD.-</t>
  </si>
  <si>
    <t>STAND SECTOR A</t>
  </si>
  <si>
    <t>REMIS DE LA EMPRESA UNIVERSO</t>
  </si>
  <si>
    <t>SE HACE PRESENTE UNA SEÑORA MANIFESTANDO QUE EN EL DÍA 13 DEL CORRIENTE MES Y AÑO SIENDO LAS 23:50 HORAS, ARRIBO EN ESTE AEROPARQUE DEL VUELO AR1289, DE AEROLÍNEAS ARGENTINAS, PROCEDENTE DE LA CIUDAD DE SANTIAGO DE CHILE, DONDE SEGUIDAMENTE TOMO UN REMIS DE LA EMPRESA UNIVERSO, UBICADO EN EL HALL A, CON DESTINO AL BARRIO EL RODAL, MONTE GRANDE. SUBIÓ A LA CAMIONETA, DE MARCA CHEVROLET, COLOR GRIS PLATA OPACA, DEL CHOFER DE APELLIDO LUGONES, CASI LLEGANDO A DESTINO EL CHOFER NO ENCONTRABA LA DIRECCIÓN, DEJANDOLA FRENTE A UN SUPERMERCADO COTO. DESPUÉS DE UNAS HORAS SE PERCATO DEL FALTANTE DE SU BOLSO PORTA NOTEBOOK, PERO COMO EL CHOFER LE HABÍA MANIFESTADO QUE ESE ERA SU ULTIMO VIAJE, LLAMO A LA EMPRESA UNIVERSO NO TENIENDO NOVEDAD DEL BOLSO EN CUESTION. POR LO QUE SE HACE PRESENTE EN EL DÍA DE HOY PARA RADICAR LA DENUNCIA PENAL.</t>
  </si>
  <si>
    <t>S/INFRACCION LEY Nº 23737</t>
  </si>
  <si>
    <t>MIENTRAS SE REALIZABA EL CONTROL DE PREEMBARQUE DEL VUELO Nº 4349 DE LA EMPRESA LAN ARGENTINA EL OFICIAL ADRIAN WEIMER PROCEDE AL REGISTRO DE UNA MOCHILA PROPIEDAD DEL SEñOR VíCTOR STRAUSS, QUE AL PASAR POR EL CONTROL DE RX NO SE PUDO INDIVIDUALIZAR UN OBJETO QUE ESTA CONTENIA, TRAS LA APERTURA DE LA MISMA UNA LATA PEQUEÑA DE METAL CON UN ENVOLTORIO DE COLOR VERDE CONTENIENDO EN SU INTERIOR UNA SUSTANCIA VEGETAL DE COLOR VERDOSA, TRAS LO CUAL SE SOLICITA LA PRESENCIA DE DOS TESTIGOS HABILES Y EN PRESENCIA DE ESTOS SE PROCEDE A REALIZAR UN REACTIVO DE CAMPO MARCA IDENTA PARA MARIHUANA DANDO COMO RESULTADO POSITIVO , 15:35 HORAS ME INTENTO COMUNICAR CON EL JUZGADO FEDERAL PARA INFORMAR DE LAS NOVEDADES SURGIDAS, NO PUDIéNDOME COMUNICAR, POR LO QUE SE PROCEDE A INFORMAR DE LO ACONTECIDO AL JEFE DE UNIDAD OPERACIONAL SUBINSPECTOR ROBERTO RODRíGUEZ QUIEN SOLICITA LOS DATOS DEL IMPUTADO PARA EL COMUNICARSE CON EL JUZGADO FEDERAL. A LAS 16:05 HORAS SE COMUNICA EL JEFE DE UNIDAD OPERACIONAL INFORMáNDOME QUE SE HABíA LOGRADO COMUNICACION CON EL JUEZ FEDERAL, DR. LEONIDAS MOLDES Y QUE ESTE DISPUSO QUE SE NOTIFIQUE DE CAUSA AL IMPUTADO, SE REALICEN LAS ACTUACIONES DE RIGOR Y QUE TRAS ELLO SE LO DEJE CONTINUAR CON SU VIAJE PROGRAMADO.</t>
  </si>
  <si>
    <t>TENTATATIVA DE CONTRABANDO DE ESTUPEFACIENTES</t>
  </si>
  <si>
    <t>EN MOMENTOS EN QUE PERSONAL POLICIAL SE ENCONTRABA REALIZANDO EL CONTROL MEDIANTE EQUIPO DE RAYOS X DEL EQUIPAJE DEL VUELO MENCIONADO, OBSERVO UNA VALIJA TIPO CARRY ON DE GRANDES DIMENSIONES, QUE EN EL INTERIOR DE LA MISMA LLEVABA UNA SUSTANCIA ORGANICA DE BAJA DENSIDAD.MOTIVO POR EL CUAL SE PROCEDIO A BUSCAR AL PROPIETARIO DE LA MISMA. UN VEZ HABIDO SE TRASLADO AL MISMO A LA GUARDIA DE PREVENCION, LUGAR DONDE SE REALIZARON LAS CONSULTAS PERTINENTES CON EL JUZGADO INTERVINIENTE Y DISPUDO SE PROCEDA A LA REQUISA DEL EQUIPAJE QUE PRESENTEBA DUDAS, PRODUCTO DE LA CUAL SE EXTRAJERON DEL EQUIPAJE EN CUESTION 60 PAQUETES CONTENIENDO SUSTANCIA ORGANICA LOS CUALES ERAN HABIDOS OCULTOS EN VESTIMENTAS QUE SE ENCONTRABAN EN EL CITADO EQUIPAJE, SIENDO LA SUSTANCIA HABIDA EN LOS PAQUETES SOMETIDA A PRUEBA DE CAMPO CON REACTIVOS QUIMICOS PARA COCAINA ARROJANDO EN TODOS LOS CASOS COMO RESULTADO POSITIVO. MOTIVO POR EL CUAL SE MANTUVO UNA NUEVA COMUNICACION CON EL JUZGADO INTERVINIENTE A LOS EFECTOS DE COMENTARLE LOS RESULTADOS OBTENIDOS DE LO SUCITADO, INDICANDO EL MISMO SE PROCEDA A LA DETENCION E INCOMUNICACION DEL CAUSANTE, LABRANDOSE LAS ACTUACIONES SUMARIAS CORRESPONDIENTES. SE INFORMA EN PU Nº6482 QUE EL DIA 18/10/2010 SE TRASLADO AL DETENIDO A SEDE JUDICIAL EN HORAS 07.40.</t>
  </si>
  <si>
    <t>UX044</t>
  </si>
  <si>
    <t>DR. SANTIAGO, FRENCH</t>
  </si>
  <si>
    <t>SE PROCEDE A LA RETENCIÓN DE UNA SACA COLECTORA DEL CORREO OFICIAL, SEGÚN CONSTA EN ACTA DE RETENCIÓN DE CARGAS Nº 0446/10, QUE ORIGINA LA PREVENCIÓN SUMARIA 104/10, LA SACA IDENTIFICADA CON MARBETE, SLA0217030E555700RGL, PRECINTO N° D907839, CON UN PESO DECLARADO DE 6,900 KGS, CON DESTINO LA CIUDAD DE RÍO GALLEGOS, CONTENDRÍA DOS PIEZAS POSTALES, LA MISMA ESTÁ AMPARADA EN GUÍA DE CARGA Nº 8038408-0, DESPACHADAS A TRAVÉS DE LA EMPRESA DE CARGA AÉREA JET PAQ. LA RETENCIÓN SE REALIZA ANTE LA PRESUNCIÓN QUE PUDIERAN CONTENER ALGÚN ELEMENTO EN INFRACCIÓN A LA LEY 23.737 Y/O 22.415, QUEDANDO LA MISMA CERRADA Y PRECINTADA EN GUARDA EN ESTA UOSP. SEGÚN LO COORDINADO CON EL DR. SANTIAGO FRENCH, A CARGO DE LA SECRETARIA PENAL Nº 2 DEL JUZGADO FEDERAL DE SALTA Nº 1 A CARGO DEL DR. JULIO LEONARDO BAVIO. LA APERTURA SE REALIZARÁ EN PRESENCIA DEL PERSONAL DEL CORREO OFICIAL.</t>
  </si>
  <si>
    <t>6480/10</t>
  </si>
  <si>
    <t>INFORMO QUE EN EL DIA DE LA FECHA SIENDO LAS SIETE HORAS CUARENTA MINUTOS, SE PROCEDE AL TRASLADO DEL DETENIDO BERNABE LEDANTES A SEDE JUDICIAL.-</t>
  </si>
  <si>
    <t>6474/10</t>
  </si>
  <si>
    <t>INFORMO QUE SIENDO LAS SIETE HORES CUARENTA MINUTOS, SE PROCEDIO AL TRASLADO A SEDE JUDICIAL DE LOS SEDES EN AUTOS. JOSE LUIS BATANAS MONTILLA Y REMEDIOS RUIZ MONTILLA</t>
  </si>
  <si>
    <t>FISCALIA DE INSTRUCCION Nº 29</t>
  </si>
  <si>
    <t>RECCHINI</t>
  </si>
  <si>
    <t>DRA. LAURA RONGO DE MICHERO</t>
  </si>
  <si>
    <t>SIENDO LA HORA Y EL DÍA ANTES MENCIONADO, SE RECIBE COMUNICACIÓN VÍA RADIAL DEL OFICIAL IACURTO RICARDO, QUIEN SE ENCUENTRA COMO ENCARGADO DE LA PATRULLA PLATAFORMA, INFORMANDO QUE EN MOMENTOS EN QUE EL OFICIAL MATÍAS LÓPEZ, SE ENCONTRABA CONTROLANDO EL VUELO AR 2883 DE LA EMPRESA AEROCOMERCIAL AEROLÍNEAS ARGENTINAS PROCEDENTE DE LA PROVINCIA DE RÍO GALLEGOS, EN LA POSICIÓN NUMERO 22 DE LA PLATAFORMA COMERCIAL,AL PIE DE LA BODEGA DE LA AERONAVE, DOS MALETAS DE DICHO VUELO SE ENCONTRABAN CON NOVEDADES, POR LO QUE DICHAS VALIJAS SE SEPARARON DEL RESTO Y, JUNTO CON PERSONAL DE VIGILANCIA DE LA EMPRESA HAS, SE TRASLADARON AL SECTOR DE ARRIBOS PARA DAR CON SUS PROPIETARIOS. UNA VEZ ALLÍ Y YA EN PRESENCIA DE SUS DUEÑOS, SE LES SOLICITO QUE PROCEDIERAN A LA APERTURA DE LAS MISMAS, CON EL FIN DE CORROBORAR SI HABÍA ALGÚN FALTANTE DENTRO DE ÉSTAS, RESULTANDO SOLO UNA DE LAS DOS MALETAS CON FALTANTES. ACTO SEGUIDO EL PROPIETARIO REALIZO EL RECLAMO CORRESPONDIENTE EN LA EMPRESA AEROCOMERCIAL Y LUEGO SE ACERCO A ESTA GUARDIA DE PREVENCIÓN CON EL FIN DE TOMARLE DECLARACIÓN TESTIMONIAL PARA SER ADJUNTADA A LAS ACTUACIONES INICIADAS DE OFICIO. SIENDO LAS 09:00 HORAS SE ENTABLA COMUNICACIÓN CON LA JUDICATURA ACTUANTE, QUIEN DISPONE: SE SOLICITE REGISTRO FÍLMICO DEL AEROPUERTO DE PROCEDENCIA, CIERRE Y ELEVE.</t>
  </si>
  <si>
    <t>AR 2883</t>
  </si>
  <si>
    <t>6481/10</t>
  </si>
  <si>
    <t>SE PROCEDE A LA APERTURA DE UNA SACA COLECTORA DEL CORREO OFICIAL, SEGÚN CONSTA EN ACTA DEJANDO CONTANCIA Nº 0447/10, CORRESPONDIENTE A LA PREV.SUM. 104/10, LA SACA IDENTIFICADA CON MARBETE, SLA0217030E555700RGL, PRECINTO N° D907839, CONTIENE DOS PIEZAS POSTALES IDENTIFICADAS LA 1ª IDENTIFICADA COMO EP683783018AR, RTTE: FELIX TITO, EL TALAR 841, Bº SAN BENITO, ALTO COMEDERO, S.S. DE JUJUY, CP.4600, DEST: SR. MARCELO VARGAS, JULIO A. ROCA, CASA Nº 12, RIO TURBIO, CP.9407, Y LA 2ª PIEZA POSTAL IDENTIFICADA COMO EP716021815AR, RTTE: GONZALEZ FATIMA, ALTO COMEDERO, Bº EXODO JUJUÑO, S.S. DE JUJUY, CP.4600, DEST: RAMON GONZALEZ, GOBERNADOR DE GREGORE, PCIA DE SANTA CRUZ, HOTEL FRANCISCO 463, UNION GUESTER, CP.9311. AMBAS QUEDAN RETENIDAS. LAS RETENCIÓNES SE REALIZAN ANTE LA PRESUNCIÓN QUE PUDIERAN CONTENER ALGÚN ELEMENTO EN INFRACCIÓN A LA LEY 23.737 Y/O 22.415, QUEDANDO LAS MISMAS CERRADAS Y EN GUARDA EN ESTA UOSP SEGUN LO COORDINADO CON EL JUZAGADO INTERVINIENTE Y LA APERTURA SE REALIZARA CON AUTORIZACION DEL MAGISTRADO ACTUANTE.</t>
  </si>
  <si>
    <t>MARTINEZ MARIA FERNANDA</t>
  </si>
  <si>
    <t>HURTO DEFRAUD.</t>
  </si>
  <si>
    <t>INFORMO QUE EN EL CONTROL DE DOCUMENTACIÓN DE PASAJEROS DEL VUELO NRO. 4027 DE LA EMPRESA LAN ARGENTINA SE DETECTA A TRAVÉS DEL SISTEMA DE INTERPOL EL PEDIDO DE PARADERO VIGENTE SOLICITADO POR EL JUZGADO DE INSTRUCCIÓN NRO. 27, SECRETARIA Nº 124 - CAPITAL FEDERAL, CORRESPONDIENTE AL SR. CARLOS EMILIO POPOVICH, ANTE EL HECHO PERSONAL DE INTERPOL REALIZA UN ACTA Y ENTREGA AL JEFE DE TURNO EL CUAL CONFECCIONA ACTA DE NOTIFICACIÓN DE PARADERO DANDO CUMPLIMIENTO A LO REQUERIDO POR JUZGADO SOLICITANTE DE LA MEDIDA Y SE NOTIFICA AL CAUSANTE QUE DEBERÁ COMPARECER ANTE DICHO JUZGADO DENTRO DE LOS CINCOS DÍAS HÁBILES DE LABRADA LA MISMA PARA REGULARIZAR SU SITUACIÓN JUDICIAL.-</t>
  </si>
  <si>
    <t>DRA. VERONICA MARCHISSIO</t>
  </si>
  <si>
    <t>-S/INF. ALART. 189 BIS C.P. Y ATENT. Y RSISTENCIA A LA AUT.-</t>
  </si>
  <si>
    <t>16009/2010</t>
  </si>
  <si>
    <t>RESTRICCIÓN A LA LIBERTAD - PROHIBICIÓN DE SALIDA DE LA PCIA</t>
  </si>
  <si>
    <t>EN EL DIA DE LA FECHA Y SIENDO LAS 12:45 HORAS, Y AL MOMENTO DEL PREEMBARQUE DEL VUELO 2849, SE HACE PRESENTE ANTE EL MOSTRADOR DE CONTROL DOCUMENTOS, EL CIUDADANO CRISTIAN JUAN PABLO CRESPI, DNI 27910635, CIUDADANO SOBRE QUIEN RECAE UNA INTERDICCION DE SALIDA DE LA PROVINCIA DE TIERRA DEL FUEGO, SEGUN EL SISTEMA RED LINCE, BAJO EL REGISTRO 262664, VINCULADO A LA CAUSA DE REFERENCIA, MOTIVO POR EL CUAL SE PROCEDE A NO PERMITIR EL EMBARQUE AL PASAJERO Y NOTIFICARLO ACERCA DE LA MEDIDA JUDICIAL QUE RECAE SOBRE SU PERSONA.-</t>
  </si>
  <si>
    <t>MARIA SOLEDAD MANCINI DE GENER</t>
  </si>
  <si>
    <t>BARREIRO ERNESTO G. Y OTROS P.SS.AA. PRIVACION ILEGITMA DE LA LIBERTAD AGRAVADA, IMPOSICION DE TORMENTOS AGRAVADOS Y HOMICIDIO AGRAVADO</t>
  </si>
  <si>
    <t>DOMICILIO AV DE MAYO 923 BARRIO VILLA LIBERTADOR. CIUDADA DE CORDOBA DOMICILIO CALLE ISSASA 1965 BARRIO COLON. CIUDAD DE CORDOBA DOMICILIO ANDRADE 944. LOCALIDAD GENERAL RODRÍGUEZ. PROVINCICA BUENOS AIRES</t>
  </si>
  <si>
    <t>SIENDO EL DIA DE LA FECHA SE RECEPCIONÓ POR PARTE DEL JUZGADO FEDERAL Nº 3 DE CORDOBA, A CARGO DEL DR ALEJANDRO SANCHEZ FREYTES (SUBROGANTE), SECRETARIA DE DDHH A CARGO DE MARIA SOLEDAD MANCINI DE GENER, DOS ORDENES DE ALLANAMIENTO Y DETENCIÓN PARA LOS SIGUIENTES CIUDADANOS: RAÚL EDUARDO YANICELLI, DOMICILIADO EN CALLE ISSASA Nº 1965 BARRIO COLON DE LA CIUDAD DE CÓRDOBA Y FRANCISCO JOSÉ DOMINGO MELFI, DOMICILIADO EN AVENIDA DE MAYO Nº 923 BARRIO VILLA LIBERTADOR, CIUDAD DE CORDOBA. ASIMISMO SE RECEPCIONÓ DEL MISMO JUZGADO UN NUEVO EXHORTO PARA EL JUEZ FEDERAL DE LA CIUDAD DE MERCEDES, PROVINCIA DE BUENOS AIRES, EN VIRTUD DEL CUAL LE SOLICITA QUE LIBRE ORDEN DE ALLANAMIENTO Y DETENCIÓN DEL CIUDADANO EDUARDO BONIFACIO RÍOS, DICHO OFICIO RECTIFICA EL DOMICILIO DETALLADO EN OFICIO RECEPCIONADO POR ESTA UNIDAD EL DÍA 15 DE OCTUBRE DE 2010, QUE DETERMINABA COMO DOMICILIO A ALLANAR EL DE LA CALLE ANDRADE 940, SIENDO CORREGIDO POR ANDRADE 944, DE LA LOCALIDAD DE GENERAL RODRÍGUEZ, PROVINCIA DE BUENOS AIRES TODAS ESTAS ACTUACIONES ESTÁN DADAS DENTRO DEL MARCO DE LA CAUSA "BARREIRO ERNESTO G. Y OTROS P.SS.AA. PRIVACION ILEGITIMA DE LA LIBERTAD AGRAVADA, IMPOSICION DE TORMENTOS AGRAVADOS Y HOMICIDIO AGRAVADO", EXPTE 12.627</t>
  </si>
  <si>
    <t>TESTIMONIO EXTRAIDOS DE LA CAUSA N° 2.503, DIC. Y NCU S/PSTA. INF. LEY 23.737 DEL JUZDADO FEDERAL DE USHUAIA</t>
  </si>
  <si>
    <t>18.648/09</t>
  </si>
  <si>
    <t>ALFREDO ANGEL OLAVARRIA S/NOTIFICACION</t>
  </si>
  <si>
    <t>INFORMO EN EL DIA DE LA FECHA EN UN CONTROL DE RUTINA DEL VUELO AR-1853 SE IDENTIFICA AL SR. ALFREDO ÁNGEL OLAVARRIA D.N.I. M5.512.358, SOBRE QUIEN PESA AVERIGUACIÓN DE PARADERO REGISTRO RED LINCE 285147. PROMOVIDA CONSULTA TELEFÓNICA CON EL JUZGADO INTERVINIENTE EN LA PERSONA DE LA SRA. SECRETARIA DRA. MERCEDES LÓPEZ VEGA, QUIEN MANIFIESTA QUE SE HA DISPUESTO QUE EL CAUSANTE FIJE DOMICILIO REAL Y EVENTUAL Y CONTINÚE CON SU VIAJE, Y A SU REGRESO SE PRESENTE ANTE EL JUZGADO DE REFERENCIA. SE LABRO ACTA DE NOTIFICACIÓN 007/10.RETIRÁNDOSE EL CAUSANTE SIN OTRA NOVEDAD.</t>
  </si>
  <si>
    <t>SIENDO LA FECHA Y HORA ANTES CONSIGNADA SE HACE PRESENTE, LA DENUNCIANTE MANIFESTANDO, QUE SIENDO LAS 14:15 HS APROXIMADAMENTE HABIA ARRIBADO AL SECTOR DE ARRIBOS A1, LUEGO RETIRO SU EQUIPAJE DESPACHADO, COLOCANDOLO JUNTO CON EL EQUIPAJE DE MANO EL CUAL CONSTA DE UN BOLSO PEQUEÑO DE COLOR NARANJA, EN UN CARRO PORTA EQUIPAJE Y SE RETIRO HACIA LA VEREDA DEL SECTOR A1, A LOS EFECTOS DE TOMAR UN VEHICULO TAXIMETRO PARA DIRIGIRSE HACIA SU DOMICILIO Y EN EL TRAYECTO DEL VIAJE SE PERCATA DEL FALTANTE DEL BOLSO NARANJA. POR LO CUAL REGRESA A ESTE AEROPUERTO Y LUEGO DE BUSCAR EL MISMO POR DICHO SECTOR COMO ASI TAMBIEN POR EL INTERIOR DEL HALL Y AL NO TENER NOVEDAD CON RESPECTO A SU BOLSO, SE HA CE PRESENTE EN ESTA GUARDIA DE PREVENCION A RADICAR LA CORRESPONDIENTE DENUNCIA.</t>
  </si>
  <si>
    <t>INCIDENTE DE AERONAVE EN PLATAFORMA</t>
  </si>
  <si>
    <t>MANGA A PLATAFORMA</t>
  </si>
  <si>
    <t>INFORMO QUE EN EL DIA DE LA FECHA SIENDO LAS 13:50 HS SE PRODUJO UN INCIDENTE ENTRE UN INTERNO ESCALERA DE ARRASTRE 07-069 DE LA EMPRESA INTERCARGO LA CUAL IMPACTA CON SU BARANDA CONTRA EL BORDE DE ATAQUE Y LA PUNTA DEL ALA DERECHA DEL AERONAVE MD LV-VBX DE LA EMPRESA AEROCOMERCIAL AUSTRAL LINEAS AEREAS AU 1896 QUE SE ENCONTRABA UBICADA EN LA MANGA A DE ESTE AEROPUERTO, LA MISMA DEBIDO AL CONSTANTE VIENTO DE 30 NUDOS Y RAFAGA DE 52 NUDOS PRODUJO EL DESPLAZAMIENTO DE LA MISMA DESDE EL LATERAL DEL EDIFICIO HASTA IMPACTAR CONTRA LA AERONAVE EN CUESTION. MOTIVO POR EL CUAL EL ENCARGADO DE ESCALA INTERCARGO SR ANTONIO ALFONSO RADICO ACTA DE EXPOSICION POLICIAL 006/10. ACTO SEGUIDO SE DIO INTERVENCION AL JUZGADO FEDERAL QUIEN DISPUSO SE REALICEN MUESTRAS FOTOGRAFICAS Y CROQUIS DEL LUGAR DEL HECHO Y NOTA DIRIGIDA A LA EMPRESA SOLICITANDO INFORME SI DE LO OCURRIDO HUBO ALGUNA PERSONA DAMNIFICADA O CUALQUIER DATO DE INTERES PARA SER AGREGADO A LAS ACTUACIONES DE MARRAS.ASIMISMO SE DIO INTERVENCION A LA FISCALIA FEDERAL.</t>
  </si>
  <si>
    <t>AU 1896</t>
  </si>
  <si>
    <t>EN EL DIA DE LA FECHA, SE PRESENTO EN EL TURNO POLICIAL PREVENTIVO LA SRTA MARIANA VELASCO A RADICAR UNA DENUNCIA EN LA CUAL MANIFIESTA QUE UNA VEZ EMBARCADA EN EL VUELO DE LAN Nº 4113, FUE NOTIFICADA POR PERSONAL DE LA EMPRESA QUE DICHO VUELO SE ENCONTRABA DEMORADO POR CAUSAS GREMIALES, POR TAL MOTIVO, LA MISMA HA SIDO VICTIMA DE UNA DEMORA INDEBIDA, MANIFESTANDO QUE SE HA VULNERADO SU DERECHO DE LIBERTAD. EL SUBJEFE DE ESTA UOSP SE COMUNICA TELEFONICAMENTE CON EL DR. SANTIAGO FRENCH, SEC. PENAL Nº 2 , DEL JUZGADO FEDERAL Nº 1 DE SALTA , A CARGO DEL DR. JULIO LEONARDO BAVIO, QUIEN DISPONE QUE SE CARATULE LA CAUSA COMO DAÑO Y SE TOME DIRECCION, TELEFONO DE LA DENUNCIANTE, PARA UNA FUTURA CITACION, Y SE ELEVEN LAS ACTUACIONES A SEDE JUDICIAL. POSTERIORMENTE LA PASAJERA ANTES MENCIONADA PUDO EMBARCAR EN EL VUELO Nº 4113 DE LAN, QUE DESPEGO A HORAS 18:20, CON DESTINO BS AS, SIN NOVEDAD.-</t>
  </si>
  <si>
    <t>PUIGDENGOLAS</t>
  </si>
  <si>
    <t>Eduardo Ariel</t>
  </si>
  <si>
    <t>COACCIÓN</t>
  </si>
  <si>
    <t>OFICINA DEL JEFE DE AERODROMO MALARGÜE</t>
  </si>
  <si>
    <t>OFICINAS DE A.N.A.C</t>
  </si>
  <si>
    <t>SE PRESENTA EL DENUNCIANTE QUIEN EXPONE QUE: EL DÍA DEL HECHO ES CITADO A LA JEFATURA DE AEROPUERTO, DONDE SE LE HACE ESCUCHAR GRABACIONES DE DOS (02) COMUNICACIONES TELEFÓNICAS,GRABACIONES LLEVADAS A CABO POR EL S.A. VICTORIO MARCHIGAN, QUIEN ESTABA A CARGO DEL AEROPUERTO. EN DICHO ACTO DE ESCUCHA, OFICIARON DE TESTIGOS EL TITULAR DEL AERÓDROMO S.M. MERCADO, ALBERTO Y EL JEFE DE SERVICIO ATS, P.C. VAZQUEZ, ROQUE. DICHO ACTO FUE PLANEADO "A MODO DE PRESIÓN" POR EL S.A.MARCHIGAN QUE ES QUIEN SOLICITA LA REUNIÓN, MI PRESENCIA EN EL LUGAR Y OFRECE LAS GRABACIONES, QUIEN DESEA REALIZAR UNA DENUNCIA POR UN PRESUNTO HECHO DELICTIVO, ACTO SEGUIDO ME COMUNICO CON LA AUTORIDAD JUDICIAL DE TURNO QUIEN ORDENA LLEVAR A CABO 1°) LA MEDIDA DE CONSTATAR EN EL EQUIPO TELEFÓNICO QUE SE ENCUENTRA EN LA OFICINA DEL JEFE DE AEROPUERTO EN LAS INSTALACIONES DE A.N.A.C. DE QUE SI SE PUEDEN EXTRAER DEL MISMO GRABACIONES ÚTILES PARA LA CAUSA; 2°) EN CASO DE NO PODER CONSTATAR GRABACIONES POR NO CONTAR CON PERSONAL IDÓNEO, PROCEDER AL SECUESTRO DEL MENCIONADO EQUIPO Y 3°) DANDO INICIO A LA PREVENCIÓN SUMARIA N° 02/2010 CARATULAR COMO "COACCIÓN", ART. 142 BIS DEL CPN; A LO QUE DOY ESTRICTO CUMPLIMIENTO.SE LABRARON LAS ACTUACIONES DE RIGOR.</t>
  </si>
  <si>
    <t>MIGUELETES 1330.-</t>
  </si>
  <si>
    <t>PUERTA DE SU DOMICILIO</t>
  </si>
  <si>
    <t>SIENDO LA HORA Y EL DÍA ANTES MENCIONADO, SE HACE PRESENTE UNA PERSONA CON MOTIVO DE RADICAR UNA DENUNCIA, INFORMANDO QUE EL DÍA 15 DE OCTUBRE DEL CORRIENTE, SIENDO LAS 00:30 HORAS APROXIMADAMENTE ARRIBO A ESTA AEROSTACIÓN DEL VUELO AR 2438 DE LA EMPRESA AEROCOMERCIAL AEROLÍNEAS ARGENTINAS PROCEDENTE DE LA CIUDAD DE MENDOZA, RETIRO SU EQUIPAJE DE LA CINTA TRANSPORTADORA DEL SECTOR DE ARRIBOS A2, Y LUEGO SE DIRIGIÓ HACIA LA VEREDA DE DICHO SECTOR CON MOTIVO DE ABORDAR UN TAXI QUE LA TRASLADARADA HACIA SU DOMICILIO PARTICULAR. SIENDO LAS 01:00 HORAS APROXIMADAMENTE ABORDO A UN TAXI, COLOCANDO SU VALIJA EN EL ASIENTO DEL ACOMPAÑANTE Y LUEGO LE INDICO SU DIRECCIÓN. UNA VEZ ALLÍ Y DESPUÉS DE ABONARLE EL VIAJE, BAJÓ DEL AUTOMÓVIL Y EN MOMENTOS EN QUE SE DISPONÍA A TOMAR SU VALIJA DEL ASIENTO DE ADELANTE, EL CONDUCTOR SE DIO A LA FUGA. SIENDO LAS 17:10 HORAS SE ENTABLA COMUNICACIÓN CON LA JUDICATURA ACTUANTE QUIEN DISPONE: SE SOLICITE REGISTRO FILMICO, CIERRE Y ELEVE.</t>
  </si>
  <si>
    <t>Fiscalía Nacional en lo Penal Económico Nº 05</t>
  </si>
  <si>
    <t>AIDA AHUMADA</t>
  </si>
  <si>
    <t>CONTROL POR EQUIPO DE RX SOBRE ENVIOS DE LA EMPRESA TNT</t>
  </si>
  <si>
    <t>COURRIER EXPORTACION</t>
  </si>
  <si>
    <t>TNT</t>
  </si>
  <si>
    <t>LOPEZ DANIEL GUSTAVO, DIRECCCION: CANGALLO 153- AVELLANEDA-COD POSTAL 1870</t>
  </si>
  <si>
    <t>MAX SACHSE, DIRECCION: JOHANNESSTR 49- KIEL- GERMANY-COD POSTAL 24143</t>
  </si>
  <si>
    <t>EN MOMENTOS EN QUE LOS OF. AYTE HUGO DANIEL TORRES CONTROL Nº 502477 Y OF. AYTE CARLOS CAGNONATTI CONTROL Nº 502270 EN FORMA CONJUNTA CON PERSONAL DE ADUANA EL INSPECTOR ALEJANDRO MUÑIZ LEGAJO Nº 24646-8 , SUBINSPECTORA LILIAN LOPEZ LILLO LEGAJO Nº 28690-7 Y LUIS PEREZ LEGAJO Nº 24583-6 ( EQUIPO DE CANES) REALIZABAN UN CONTROL EN LOS ENVIOS DE LA EMPRESA TNT DETECTARON A TRAVES DE LA IMAGEN DE RX FORMAS IRREGULARES EN EL INTERIOR DE UNO DE LOS ENVIOS, EL CUAL LLEVABA ADOSADO UNA GUIA AEREA Y FACTURA COMERCIAL DE LA EMPRESA TNT Nº DE GUIA GD 997 385 822WW. EL MISMO CONTENIA UN ACORDEON. POR TAL MOTIVO SE CONVOCO LA PRESENCIA DE DOS TESTIGOS Y PREVIA CONSULTA CON EL JUZGADO DE TURNO SE PROCEDIO A DESARMAR LA PARTE DE LA BOTONERA Y TECLAS ENCONTRANDO EN SU INTERIOR TRES PAQUETES ADHERIDOS ENTRE SI CON CINTA ADHESIVA TRANSPARENTE, IDENTIFICADOS POSTERIORMENTE COMO PAQUETE 1, 2 Y 3 SE SELECCIONO UNO AL AZAR Y SE LO SOMETIO A PRUEBA DE CAMPO PARA COCAINA ARROJANDO RESULTADO POSITIVO. SE PUSO EN CONOCIMIENTO AL JUZGADO INTERVINIENTE QUIEN DISPUSO EL SECUESTRO DEL ENVIO Y REMISION A LA BOVEDAD DE LA SECCION SECUESTROS DE LA DROGA Y EL METODO DE OCULTAMIENTO A LA DIVISION REZAGOS Y COMERCIALIZACION DE LA DGA Y SE LABREN LAS ACTUACIONES DE RIGOR.-</t>
  </si>
  <si>
    <t>KIEL</t>
  </si>
  <si>
    <t>BODEGA-PLATAFORMA-CINTA DE ARRIBOS</t>
  </si>
  <si>
    <t>EL JEFE DE LA UOSP EZEIZA COM. MY GONZALO MARTINEZ RECIBE UNA COMUNICACION TELEFONICA DE UNA PERSONA DEL SEXO FEMENINO QUIEN LE MANIFIESTA HABER ARRIBADO AL PAIS EL DIA 17/10/10 EN EL VUELO UA847 PROCEDENTE DE ESTADOS UNIDOS Y AL RETIRAR SU EQUIPAJE DESPACHADO POR BODEGA NOTA QUE SU BOLSO DE TELA DE COLOR BEIGE DE GRANDES DIMENSIONES TENIA UN CORTE LONGITUDINAL DE PUNTA A PUNTA EN LA BASE DEL MISMO, ALEGANDO QUE NO ESTABA DE ESA FORMA CUANDO LA DESPACHO EN EL AEROPUERTO DE PARTIDA Y NOTANDO QUE NO LE FALTABA NADA DE SU CONTENIDO. DEBIDO A LOS HECHOS RELATADOS EL JEFE DE LA UOSP ANOTICIA LO SUCEDIDO AL JUZGADO FEDERAL Nº 1 SEC. 2 QUIEN ORDENA SE LABREN LAS ACTUACIONES PERTINENTES. DADO QUE LA SRA SE IDENTIFICO COMO LA PRESIDENTA DE LA CORTE SUPREMA DE JUSTICIA DE LA PCIA DE BS AS. SE DEJA CONSTANCIA QUE NO ES POSIBLE APORTAR MAS DATOS A CERCA DE LA DENUNCIANTE YA QUE LA DENUNCIA FUE VIA TELEFONICA Y NO SE RECABARON MAYORES DATOS FILIATORIOS.-</t>
  </si>
  <si>
    <t>EN EL DIA DE LA FECHA , SE PRESENTO EN EL TURNO POLICIAL PREVENTIVO LA SRA. SILVIA ELENA SERANTES DE ALMEIDA A RADICAR UNA DENUNCIA EN LA CUAL MANIFIESTA QUE UNA VEZ EMBARCADA EN EL VUELO DE LAN Nº 4113, FUE NOTIFICADA POR PERSONAL DE LA EMPRESA QUE DICHO VUELO SE ENCONTRABA DEMORADO PÒR CAUSAS GREMIALES, POR TAL MOTIVO, LA MISMA HA SIDO VICTIMA DE UNA DEMORA INDEBIDA, MANIFESTANDO QUE SE HA VULNERADO SU DERECHO DE LIBERTAD. EL SUBJEFE DE ESTA UOSP SE COMUNICA TELEFONICAMENTE CON EL DR. SANTIAGO FRENCH, SEC. PENAL Nº 2, DEL JUZGADO FEDERAL Nº 1 DE SALTA, A CARGO DEL DR. JULIO LEONARDO BAVIO, QUIEN DISPONE QUE SE CARATULE LA CAUSA COMO DAÑO Y SE TOME DIRECCION, TELEFONO DE LA DENUNCIANTE, PARA UNA FUTURA CITACION, Y SE ELEVEN LAS ACTUACIONES A SEDE JUDICIAL. POSTERIORMENTE LA PASAJERA ANTES MENCIONADA PUDO EMBARCAR EN EL VUELO Nº 4113 DE LAN, QUE DESPEGO A HORAS 18:20, CON DESTINO BS AS, SIN NOVEDAD.-</t>
  </si>
  <si>
    <t>CINTA NUMERO 2 DE ARRIBOS DE EQUIPAJES DE LA TERMINAL A</t>
  </si>
  <si>
    <t>UNA VEZ ARRIBADO AL PAÍS, EL DENUNCIANTE SE DIRIGE A LA CINTA NUMERO DOS A LOS EFECTOS DE RETIRAR SUS DOS VALIJAS DESPACHADA A BODEGA. QUE UNA DE ELLAS LA RETIRA INMEDIATAMENTE PERO LA OTRA TARDA EN SALIR CUARENTA Y CINCO MINUTOS. AL RECIBIR LA SEGUNDA VALIJA LA CUAL SE ENCONTRABA IDENTIFICADA BAJO MARBETE IB 138538, SE PERCATA QUE NO POSEÍA EL CANDADO CON EL QUE LA HABÍA DESPACHADO Y LOS PESTILLOS DEL CIERRE ESTABAN ROTOS. REALIZA EL RECLAMO EN LA COMPAÑÍA Y LUEGO SE HACE PRESENTE EN EL TURNO DE PREVENCIÓN A LOS EFECTOS DE RADICAR LA DENUNCIA, DONDE APERTURA EL EQUIPAJE Y SE PERCATA DE LOS FALTANTES. INFORMADO EL JUZGADO, DISPUSO SE EFECTÚE REQUISA A TODOS LOS EMPLEADOS DE INTERCARGO Y DE PROSEGUR COMO ASÍ TAMBIÉN DE SUS COFRES. SIENDO LAS QUINCE HORAS, FINALIZO LA REQUISA ARROJANDO RESULTADO NEGATIVO A LA PRESENCIA DE LOS ELEMENTOS DENUNCIADOS COMO FALTANTES.</t>
  </si>
  <si>
    <t>PRIMER PISO, TERMINAL B</t>
  </si>
  <si>
    <t>LOCAL IL LEGNO</t>
  </si>
  <si>
    <t>EN MOMENTOS QUE EL DENUNCIANTE SE ENCONTRABA SENTADO EN UNA DE LAS MESAS DEL LOCAL MENCIONADO, LUEGO DE ABONAR LO CONSUMIDO SE RETIRA DEL MISMO Y PASADOS UNOS MINUTOS SE PERCATA QUE HABÍA DEJADO OLVIDADO ARRIBA DE LA MESA EL ELEMENTO FALTANTE. EN VIRTUD A ELLO, REGRESA AL LOCAL PERCATÁNDOSE DEL FALTANTE. LUEGO LE CONSULTO AL MOZO QUE LO ATENDIÓ QUIEN NO LE PUDO APORTAR NINGÚN DATO DE INTERÉS.</t>
  </si>
  <si>
    <t>INFORMO QUE A HORAS 20:05 MINUTOS, EMPRESA LAN ARGENTINA, ANUNCIA LA CACELACION DE SU VUELO N° 4156/57, PROCEDENTE DE LA CIUDAD DE BUENOS AIRES QUE DEBIA ARRIBAR A HORAS 20:30, DICHA CANCELACION SE DEBIO A PROBLEMAS DE INDOLE GREMIAL, CABE DESTACAR QUE ALGUNOS PASAJEROS REALIZARON EL EMBARQUE A TRAVES LA EMPRESA AEROLINEAS ARGENTINAS CON DESTINO BUENOS AIRES Y ALGUNOS OTROS REALIZARON LA RESERVA PARA EL DIA DE MAÑANA EN DICHA EMPRESA, SIN REGISTRARSE INCOVENIENTES.</t>
  </si>
  <si>
    <t>HEIT, MARIANNE Y S/DAÑOS Y PTAS AMENAZAS</t>
  </si>
  <si>
    <t>I 4889/01</t>
  </si>
  <si>
    <t>INFORMO: EN EL DIA DE LA FECHA DURANTE UN CONTROL DE RUTINA DEL VUELO AR-2857, SE IDENTIFICA A LA SRA. HEIT MARIANNE YLENNE, SOBRE QUIEN PESA UN PEDIDO DE DETENCION SEGUN REGISTRO RED LINCE NRO. 91125 Y RADIOGRAMA TEXTO N° 90/03 DE LA POLICÍA DE LA PROVINCIA TDF EN RELACION A CAUSA I4889/01, CARATULADA HEIT MARIANNE Y. S/DAÑOS Y PRESUNTAS AMENAZAS, DEL JUZGADO DE REFERENCIA. SE ENTABLA COMUNICACION CON EL DR. EDUARDO LOPEZ, QUIEN MANIFIESTA QUE LA MEDIDA SE ENCUENTRA SIN EFECTO, QUE LA CAUSANTE CONTINUE VIAJE Y QUE ESE TRIBUNAL HARIA LLEGAR EL OFICIO SIN EFECTO CORRESPONDIENTE, LABRANDOSE ACTA DEJANDO CONSTANCIA NRO. 26/10.</t>
  </si>
  <si>
    <t>AR 2857</t>
  </si>
  <si>
    <t>MARIA ISABEL FALÚ</t>
  </si>
  <si>
    <t>AVERIGUACION INFRACCION LEY 23737 SOLICITA POLICIA DE SEGURIDAD AEROPORTUARIA</t>
  </si>
  <si>
    <t>770/10</t>
  </si>
  <si>
    <t>SE INFORMA QUE SIENDO LAS 19:40 DEL DÍA 18-OCT-10, SE RECIBE OFICIO JUDICIAL N° 2493/10, DE FECHA 14 DE OCTUBRE DE 2010, LIBRADO POR EL JUZGADO FEDERAL DE SALTA N° 2 A CARGO DEL DR. MIGUEL ANTONIO MEDINA, SECRETARIA PENAL N°4 A CARGO DE LA DRA. MARIA ISABEL FALU, REFERENTE A REALIZAR TAREAS INVESTIGATIVAS, VIGILANCIA, SEGUIMIENTOS, FILMACIONES Y TOMAS FOTOGRAFICAS DIRIGIDAS A COMPROBAR LA IDENTIDAD DE LAS PERSONAS Y/O ACCIONAR DE EMPRESAS DE CORREO PRIVADO, FLASH CORREO PRIVADO MAYORISTA Y/O DHL, DENUNCIADAS COMO INVOLUCRADAS EN ACTIVIDADES EN INFRACCION A LA LEY 23737, TRAFICO ILEGAL DE SUSTANCIAS ESTUPEFACIENTES, DEBIENDOSE PERIODICAMENTE INFORMAR ACERCA DEL AVANCE DE LAS AVERIGUACIONES Y SUS RESULTADOS, SE AMPLIARA POSTERIORMENTE.</t>
  </si>
  <si>
    <t>VICTOR DARDO HERRERA</t>
  </si>
  <si>
    <t>EXORTO DEL SR. JUEZ FEDERAL N° 3 DE LA CIUDAD DE CORDOBA DR.ALEJANDRO SANCHEZ FREYTES EN AUTOS N° 12627 CARATULADO BARREIRO ERNESTO G Y OTROS PRIVACION ILEGITIMA DE LA LIBERTAD AGRAVADA IMPOSICION DE TORMENTOS AGRAVADOS Y HOMICIDIO AGRAVADO</t>
  </si>
  <si>
    <t>7154/10</t>
  </si>
  <si>
    <t>CALLE MONTEVIDEO N° 199 DE B° COCHANGASTA DE LA CIUDAD DE LA RIOJA</t>
  </si>
  <si>
    <t>PROV. DE LA RIOJA</t>
  </si>
  <si>
    <t>SE INFORMA QUE SIENDO HORAS 22:30 DEL DÍA 18-OCT-10 SE RECEPCIONA OFICIO JUDICIAL N° 1863/10 DE FECHA 18-OCT-10 DEL JUZGADO FEDERAL DE LA RIOJA A CARGO DEL DR. DANIEL HERRERA PIEDRABUENA, SECRETARIA DEL DR. VICTOR DARDO HERRERA EN EL CUAL LIBRA ORDEN DE DETENCION EN LA VIA PUBLICA DEL CIUDADANO DE NOMBRE HEREDIA JORGE OMAR D.N.I. 8453686 NACIDO EL DIA 25-NOV-1950 EN LA CIUDAD DE CORDOBA, HIJO DE NARCISO EUSEBIO Y JESUS MARIA BARRERA, EN CASO DE RESULTAR NEGATIVO SE ORDENA ALLANAMIENTO DEL DOMICILIO DE CALLE MONTEVIDEO N° 199 DEL B° COCHANGASTA DE LA CIUDAD DE LA RIOJA CON HABILITACIÓN DE HORA INHÁBIL, LA QUE SE DEBERA CUMPLIMENTAR EL DIA 19 DE OCTUBRE DE 2010 A PARTIR DE LAS 06:00 HORAS HASTA LAS 23:55 HORAS, PUDIENDO HACER USO DEL LA FUERZA PUBLICA EN CASO DE SER ESTRICTAMENTE NECESARIO.CABE DESTACAR QUE ESTA CAUSA POR DELITOS DE LESA HUMANIDAD FUE INICIADA EN EL AMBITO DE LA REGIONAL II DEL CENTRO</t>
  </si>
  <si>
    <t>DR JORGE DAMORE</t>
  </si>
  <si>
    <t>INFRACCION ARTICULOS 292 Y 296 C.P.</t>
  </si>
  <si>
    <t>SE RECIBE EN ESTA DEPENDENCIA DENUNCIA Y NOTA FORMAL ENVIADA POR LA DNM POR MEDIO DE LA CUAL REMITEN A UN PASAJERO DE SEXO MASCULINO CUYA DOCUMENTACION PERSONAL SOMETIDA AL CONTROL MIGRATORIO CORRESPONDIENTE A LA SALIDA DEL TERRITORIO NACIONAL PRESENTO DUDAS EN CUANTO A SU AUTENTICIDAD,EL CUAL SE ENCONTRARIA ADULTERADO SITUACION POR LA CUAL SE MANTUVO COMUNICACION CON EL JUZGADO FEDERAL EN TURNO, QUIEN DISPUSO SE LABREN LAS ACTUACIONES SUMARIAS CORRESPONDIENTES, PROCEDIENDOSE A LA DETENCION E INCOMUNICACION DEL CAUSANTE.</t>
  </si>
  <si>
    <t>DR. LOPEZ FRIAS HECTOR DANIEL</t>
  </si>
  <si>
    <t>CENTRO DE SAN MIGUEL DE TUCUMAN</t>
  </si>
  <si>
    <t>INFORMO QUE A HORAS 05:50 SE PRESENTA LA SRTA CHAPARRO VILLA, KAREN MARCELA, CON PASAPORTE N° CC57296563, DE NACIONALIDAD COLOMBIANA, RADICADA EN LA CIUDAD DE BOGOTA, QUIEN DESEA EXPONER SOBRE EL HURTO SUFRIDO EN LA VIA PUBLICA DE LA CIUDAD DE SAN MIGUEL DE TUCUMAN, EL DIA 3 DEL CORRIENTE A HORAS 02:15, EN EL CUAL LE SUSTRAJERON LOS SIGUIENTES ELEMENTOS:1 BILLETERA CON 80 DOLARES, 500 PESOS ARGENTINOS, 1 CEDULA DE CIUDADANIA N° 57.296.563, TARJETA DEBITO DAVIVIENDA SIN NUMERO Y TARJETA PROFESIONAL DE ABOGADA, AL CONSULTARLE POR LA DEMORA DE SU DENUNCIA LA MISMA MANIFIESTA QUE TENIA VIAJES DE TOUR POR EL INTERIOR DEL PAIS ,CABE DESTACAR QUE LA SRTA. CHAPARRO VILLA, TIENE EL VIAJE DE REGRESO A LA CIUDAD DE BUENOS AIRES EN EL DIA DE LA FECHA POR LA EMPRESA AEROLINEAS ARGENTINAS CON N° DE VUELO 2479. SE REALIZA COMUNICACION CON EL JUZGADO INTERVINIENTE EL CUAL ORDENA QUE SE REALICEN LAS ACTUACIONES DE RIGOR Y UNA VEZ FINALIZADAS LAS MISMAS SEAN ELEVADAS CON POSTERIORIDAD</t>
  </si>
  <si>
    <t>BARREIRO ERNESTO GUILLERMO Y OTROS P.SS.AA. PRIVACION ILEGITIMA DE LA LIBERTAD AGRAVADA, IMPOSICION DE TORMENTOS AGRABADOS Y HOMICIDIO CALIFICADO</t>
  </si>
  <si>
    <t>LOS FLAMENCOS 668, CIUDAD DE MIRAMAR, PCIA. DE CORDOBA</t>
  </si>
  <si>
    <t>CUMPLIENDO CON LO SOLICITADO POR EL JUZGADO FEDERAL NUMERO TRES DE CORDOBA, SIENDO APROXIMADAMENTE LAS 08:45 HORAS SE PROCEDIO A DETENER AL SEÑOR RICARDO LUIS HIERLING EN SU DOMICILIO SITO EN LA CALLE LOS FLAMENCOS 668, CIUDAD DE MIRAMAR, PROVINCIA DE CORDOBA. EL MISMO NO OPUSO RESISTENCIA ALGUNA. EL SEÑOR HIERLING QUEDA EN CARACTER DE DETENIDO COMUNICADO Y A DISPOSICION DEL JUZGADO INTERVINIENTE, DISPONIENDOSE SU TRASLADO A LA UNIDAD OPERACIONAL CORDOBA DE LA P.S.A PARA LABRAR LAS ACTUACIONES DE RIGOR, Y A POSTERIORI SU TRASLADO A LA ALCALDIA DE TRIBUNALES FEDERALES DE ESTA CIUDAD SEGUN ORDEN DE SERVICIO N° 267/10 DE ESTA URSA.</t>
  </si>
  <si>
    <t>MANCINI DE GENER MARIA SOLEDAD</t>
  </si>
  <si>
    <t>BARREIRO ERNESTO GUILLERMO T OTROS P.SS.AA. PRIVACION ILEGITIMA DE LA LIBERTAD AGRAVADA, IMPOSICION DE TORMENTOS AGRAVADOS Y HOMICIDIO CALIFICADO</t>
  </si>
  <si>
    <t>SIENDO EL DIA DE LA FECHA SE RECEPCIONO POR PARTE DEL JUZGADO FEDERAL Nº3 DE CORDOBA SENDAS ORDENES DE DETENCION EN LA VIA PUBLICA PARA LOS CIUDADANOS FRANCISCO JOSE DOMINGO MELFI, DNI: 8277438 Y PARA EL SEÑOR RAUL EDUARDO YANICELLI, DNI:11195854</t>
  </si>
  <si>
    <t>Dr. LEAL Rafael</t>
  </si>
  <si>
    <t>S/Inf Art. 146 del C.P.</t>
  </si>
  <si>
    <t>S/SUSTRACION DE MENORES DE 10 AÑOS</t>
  </si>
  <si>
    <t>CARLOS PELLEGRINI 1232, MONTE GRANDE</t>
  </si>
  <si>
    <t>A LOS 19 DIAS DEL MES DE OCTUBRE DEL AÑO 2010 SIENDO LAS 09:30 HS,PERSONAL DE ESTA UNIDAD OPERACIONAL ANTITERRORISTA, UOA SAL, UOA MDP,UONC Y DCC, DAN CUMPLIMIENTO A LA ORDEN DE ALLANAMIENTO LIBRADA POR EL JUZGADO INTERVINIENTE EN PRESENCIA DE DOS TESTIGOS HABILES SE PROCEDE AL ALLANAMIENTO IDENTIFICANDO A SUS MORADORES COMO DUARTE GERMAN DNI 18585013, MACIEL SANDRA DNI 20289117,DOMINGA VERA DNI 3006123,MACIEL JULIETA DNI 34158379,DUARTE EMANUEL DNI 33155955, MACIEL DESIRE DNI , SE PROCEDE AL SECUESTRO DE FOTOS EN UN TOTAL DE 129 MAS 73 ENCUADERNADA EN ALBUM, IDENTIFICADO COMO SOBRE A.</t>
  </si>
  <si>
    <t>CABECERA N° 03 SECTOR SUR.</t>
  </si>
  <si>
    <t>INFORMO QUE EN EL DIA DE LA FECHA A HORAS 13:00, LA A.N.A.C, A TRAVES DEL JEFE DE AEROPUERTO COMODORO RICARDO LUJAN SEGURA DE LA COLINA, PONE EN CONOCIMIENTO A ESTA UOSP LA RIOJA QUE SE PROCEDE AL CIERRE DEL AEROPUERTO POR PROBLEMAS TECNICOS EN EL SISTEMA DE RADIOAYUDAS, NO PUDIENDO OPERAR VUELOS AEROCOMERCIALES, SOLAMENTE VUELOS LOCALES, A TRAVES DEL PROCEDIMIENTO VISUAL. INFORMANDO ADEMAS QUE EN EL DIA DE MAÑANA ATERRIZARA LA AERONAVE VERIFICADORA DE LA FUERZA AEREA AERGENTINA CON TECNICOS DE LA ANAC PARA CALIBRAR EL VOR. TODAVIA NO SE TIENE FECHA ESTIMADA DE HABILITACION DE ESTE AEROPUERTO. ES POR ESTE MOTIVO QUE SE CANCELA EL VUELO DE LA EMPRESA AEROLINEAS ARGENTINAS N° 1442/43 DEL DIA DE LA FECHA, PROCEDIENDO LOS DESPACHANTES DE LA LINEA AEREA A COMUNICAR A LOS PASAJEROS QUE LA EMPRESA NO SE HARA CARGO DEL TRASLADO POR NO SER RESPONSABILIDAD DE LA MISMA, LA RAZON DEL CIERRE DE ESTE AEROPUERTO. ASIMISMO INFORMO QUE NO SE PRODUJERON PROBLEMAS, DISCUCIONES O DISTURBIOS CON LOS PASAJEROS DEL VUELO CANCELADO.</t>
  </si>
  <si>
    <t>1442/43</t>
  </si>
  <si>
    <t>A LAS DOCE HORAS TREINTA MINUTOS DEL DIA 19-10-10 SE EFECTUO EL TRASLADO DE LOS DETENIDOS HACIA LA UNIDAD 28 DEL SERVICIO PENITENCIARIO FEDERAL EN VIRTUD A LO ORDENADO POR S.SA. PTO.</t>
  </si>
  <si>
    <t>S/INFRACCION ART. 146 CP</t>
  </si>
  <si>
    <t>CAUSA 5729</t>
  </si>
  <si>
    <t>CALLE VIAMONTE N° 1940. ENTRE CASTRO BARROS Y CABRERA.</t>
  </si>
  <si>
    <t>A LOS 19 DIAS DEL MES DE OCTUBRE DEL AÑO 2010, PERSONAL DE ESTA UNIDAD OPERACIONAL ANTITERRORISTA UOA ROS, UONC Y DCC, CUMPLIMENTA ORDEN DE ALLANAMIENTO DEL JUZGADO INTERVINIENTE. IDENTIFICANDO A US MORADORES BROGGIOLO MARCELO DNI 18161230, AMALIA PEREZ DNI F 2930403, BROGGIOLO MARCELO DNI 34554079,LUEGO DE ELLO SE PROCEDIO AL SECUESTRO DE ELEMENTOS DE INTERES PARA LA CAUSA</t>
  </si>
  <si>
    <t>DRA. RONGO DE MICHERO</t>
  </si>
  <si>
    <t>PLATAFORMA - BODEGA</t>
  </si>
  <si>
    <t>SIENDO LA HORA MENCIONADA EL OFICIAL FARIAS INFORMA QUE AL MOMENTO DE REALIZAR UN CONTROL DE ASCENSOS DE EQUIPAJE A LA BODEGA DEL VUELO MENCIONADO OBSERVA UN BOLSO CON CIERRES ABIERTOS POR LO QUE SOLICITA LA PRESENCIA DE LA PROPIETARIA, LA CUAL LUEGO DE CORROBORAR EL CONTENIDO DEL EQUIPAJE SE PERCATA DEL FALTANTE DE UNA SERIE DE ELEMENTOS, POR LO QUE EL OFICIAL ACTUANTE LA INVITA A RADICAR LA DENUNCIA Y LA MISMA POR ESTAR PROXIMO A PARTIR SU VUELO NO RADICA LA MISMA, INICIANDOSE DE OFICIO DICHA ACTUACION. SIENDO LAS 14:10 HORAS SE ENTABLA COMUNICACION CON LA DRA. RONGO DE MICHERO SECRETARIA DE LA FISCALIA ACTUANTE LA CUAL DISPONE SE CONFECCIONE ACTA DE PROCEDIMIENTO, CIERRE Y ELEVE.</t>
  </si>
  <si>
    <t>CONTROL MEDIANTE EQUIPO DE RX SOBRE ENVIOS DE LA EMPRESA DHL</t>
  </si>
  <si>
    <t>LOPEZ DANIEL GUSTAVO, DIRECCION: SARMIENTO 1837 CABA C.P. 1100 ARGENTINA</t>
  </si>
  <si>
    <t>MAX SACHSE, DIRECCION: JOHANNESSTR 49 - KIEL- NEUMUNSTER - GERMANY C.P. 24143</t>
  </si>
  <si>
    <t>EN MOMENTOS EN QUE LOS OF. AYTE DANIEL CACACE CONTROL Nº 501856 Y OF. AYTE MARCOS CHARBEL CONTROL Nº 500107 EN FORMA CONJUNTA CON PERSONAL DE ADUANA EL SILVIA URZAGASTI LEGAJO Nº 18761 - 5 , Y GASTON REMEDI LEGAJO Nº 28930 - 2; REALIZABAN UN CONTROL EN LOS ENVIOS DE LA EMPRESA DHL DETECTAN A TRAVES DE LA IMAGEN DE RX UN ESTUCHE DE MADERA DE COLOR NEGRO CON FORMAS IRREGULARES EN SU INTERIOR, ADOSADO AL MISMO UNA GUIA AEREA DE LA EMPRESA DHL EXPRESS (ARGENTINA) S.A. Nº DE GUIA 1293632550, FECHA 27/09/2010, CONTENIENDO UN ACORDEON DE 32 BAJOS 30 TECLAS. SE CONVOCA LA PRESENCIA DE DOS TESTIGOS Y PREVIA CONSULTA CON EL JUZGADO INTERVINIENTE, SE PROCEDE A DESARMAR LA PARTE DE LA BOTONERA ENCONTRANDO EN SU INTERIOR TRES PAQUETES ADHERIDOS ENTRE SI IDENTIFICADOS POSTERIORMENTE COMO PAQUETE A1, A2 Y A3 ASI MISMO SE DESPRENDEN LAS TECLAS ENCONTRANDO EN SU INTERIOR UN PAQUETE IDENTIFICADO COMO B; SE SELECCIONA UNO AL AZAR Y SE LO SOMETE A PRUEBA DE CAMPO PARA COCAINA ARROJANDO RESULTADO POSITIVO. SE ANOTICIA AL JUZGADO INTERVINIENTE, QUIEN ORDENA SE LABREN ACTUACIONES SUMARIALES Y SE PROCEDA AL SECUESTRO DEL ENVIO.Y LAS ACTUACIONES SON LABRADAS EN SU TOTALIDAD POR EL PERSONAL DE ADUANA-</t>
  </si>
  <si>
    <t>BARREIRO ERNESTO G. Y OTROS P.SS.AA PRIVACION ILEGITIMA DE LA LIBERTAD AGRAVADA, IMPOSICION DE TORMENTOS AGRAVADOS Y HOMICIDIO AGRAVADO</t>
  </si>
  <si>
    <t>AV. DE MAYO 923, BARRIO VILLA LIBERTADOR, CORDOBA - PCIA DE CORDOBA</t>
  </si>
  <si>
    <t>SIENDO LAS 14:05 HS SE PROCEDIO A DETENER AL SEÑOR JOSE FRANCISCO MELFI, DNI 8277438, EN SU DOMICILIO DE LA CALLE AVENIDA DE MAYO 923 BARRIO VILLA LIBERTADOR, CIUDAD DE CÓRDOBA. EL MISMO NO OFRECIÓ RESISTENCIA ALGUNA. EL SEÑOR MELFI QUEDÓ EN CARÁCTER DE DETENIDO COMUNICADO Y A DISPOSICION DEL JUZGADO INTERVINIENTE, DISPONIÉNDOSE SU TRASLADO A LA UNIDAD OPERACIONAL CORDOBA DE LA PSA PARA LABRAR LAS ACTUACIONES DE RIGOR, Y A POSTERIORI SU TRASLADO AL ESTABLECIMIENTO CARCELARIO PRESBITERO PADRE LUCCHESE DE ESTA CIUDAD SEGUN ORDEN DE SERVICIO N° 267/10 DE ESTA URSA</t>
  </si>
  <si>
    <t>DORA PAZ S/DENUNCIA</t>
  </si>
  <si>
    <t>DURANTE LOS TRAYECTOS QUE REALIZO DENTRO DEL AEROPUERTO SUFRE LA SUSTRACCION, DE SU BOLSO PORTA NOTEBOOK, NO RECORDANDO EL LUGAR EXACTO PERO PERCATANDOSE EN UNA CONFITERIA DEL HALL A1. POR LO QUE CONSULTA EN LAS INMEDIACIONES. LA DAMNIFICADA SE ENCONTRABA EN ESTE AEROPUERTO A FIN DE EMBARCAR EN UN VUELO CON DESTINO A TUCUMAN EL CUAL FUE CANCELADO, Y ES POR ESE MOTIVO QUE EL DIA DE LA FECHA ANTES DE ABORDAR EL VUELO REPROGRAMADO RADICA LA PRESENTE.</t>
  </si>
  <si>
    <t>DR CARLOS ARIEL BOLDRINI</t>
  </si>
  <si>
    <t>A-17626</t>
  </si>
  <si>
    <t>AVERIGUACION DELITO ARTICULO 194 CODIGO PENAL</t>
  </si>
  <si>
    <t>PLATAFORMA DEL A.C.S.R.</t>
  </si>
  <si>
    <t>SECTOR AEROCLUB SAN RAFAEL</t>
  </si>
  <si>
    <t>SIENDO LAS 13:55 HORAS SE RECIBE EN ESTA UNIDAD OPERACIONAL, UN LLAMADO TELEFÓNICO EFECTUADO POR PERSONAL DEL A.N.A.C, LOS CUALES SOLICITAN LA PRESENCIA DE PERSONAL DE P.S.A. EN EL SECTOR DEL AEROCLUB, YA EN EL LUGAR, SE NOS INFORMA DEL ATERRIZAJE DE UNA AERONAVE ULTRALIGERA MODELO TRIK, MATRICULA YV-UL-015, LA CUAL HABRÍA ATERRIZADO SIN PLAN DE VUELO O AVISO ALGUNO, POR LO QUE SE PROCEDE A VERIFICAR LA AERONAVE Y LA TRIPULACIÓN, POSTERIORMENTE A LAS 14:20 HORAS, EL JEFE DE AEROPUERTO SOLICITA SE INMOVILICE LA AERONAVE, RAZÓN POR LA CUAL SE ESTABLECE COMUNICACIÓN CON EL JUZGADO FEDERAL NRO 1 DE SAN RAFAEL, QUIEN LUEGO DE INFORMADO DE LOS HECHOS, LO ENCUADRA EN EL MARCO DEL ART. NRO. 194 DEL C.P.N., Y ORDENA SE PROCEDA A LA INMOVILIZACIÓN Y SECUESTRO DEL ULTRALIGERO, EL QUE QUEDARÁ EN CUSTODIA DE ESTA P.S.A. Y A DISPOSICIÓN DEL JUZGADO DE MARRAS. ASIMISMO AL NO PESAR NINGUNA MEDIDA SOBRE EL PROPIETARIO COMO ASÍ TAMPOCO SOBRE EL PILOTO, EL JUZGADO ORDENA QUE ESTE ÚLTIMO FIJE DOMICILIO DENTRO DE LA CIUDAD DE SAN RAFAEL Y QUE CONTINÚE CON SU RUTINA. AMPLIACION RAF_2010_6576_PU - SIENDO LAS 12:30 HORAS DEL 20 DE OCTUBRE SE RECIBE OFICIO JUDICIAL AUTOS Nº A-17626 MEDIANTE EL CUAL SE HA DISPUESTO QUE LA AERONAVE TRIAK ULTRALIJERO MATRICULA Nº YV-UL-015 SECUESTRADA POR ESTA REPARTICION PERMANEZCA DEPOSITADA EN TAL CARACTER A DISPOSICION DE AUTORIDAD JUDICIAL INTERVINIENTE CON LAS MEDIDAS DE SEGURIDAD PERTINENTES Y BAJO VIGILANCIA DE PERSONAL DE ESTA POLICIA REAFIRMANDO MEDIDA A LO QUE SE DA CUMPLIMIENTO AMPLIACION RAF_2010_6735_PU -EN EL DIA DE LA FECHA,26 DE OCTUBRE, SIENDO LAS 13:30 HORAS SE RECIBE OFICIO JUDICIAL EMITIDO POR EL JUZGADO INTERVINIENTE ORDENANDO QUE LA AERONAVE ULTRALIGERA MODELO TRIAK MATRICULA YV-UL-015 Y SUS EQUIPOS ACCESORIOS SEAN PUESTOS A DISPOSICION EXCLUSIVA DE LA AUTORIDAD AERONAUTICA LOCAL, A LAS 15:40 HORAS SE REALIZA LA ENTREGA DE LA AERONAVE ANTES MENCIONADA AL PERSONAL DEL A.N.A.C. SUBOFICIAL AUXILIAR OSCAR DANIEL LUCCHESI D.N.I. Nº 22093605 CONTROLADOR DE TRANSITO AEREO DE TURNO MEDIANTE ACTA DE ENTREGA DE FECHA 26 DE OCTUBRE DE 2010.</t>
  </si>
  <si>
    <t>AGUA ESCONDIDA</t>
  </si>
  <si>
    <t>EN EL DIA DE LA FECHA SE PRESENTA ANTE PREVENCION LA EXPONENTE MANIFESTANDO EL EXTRAVIO DE SU PERMISO PERSONAL PERMANENTE SNA Nº 346146 CON VENCIMIENTO FECHA 10-06-2011, CABE DESTACAR QUE LA DECLARANTE NO RECUERDA NI LA FECHA NI EL LUGAR DEL EXTRAVIO.</t>
  </si>
  <si>
    <t>SE HACE PRESENTE EN ESTA DEPENDENCIA POLICIAL EL SEÑOR BELOQUI JUAN PIO DNI 30819518, PILOTO COMERCIAL DE AERONAVE PA28 LV-LWN CON BASAMENTO EN ESTE AEROPUERTO, MANIFESTANDO EL EXTRAVIO DE UN PERMISO PERSONAL VENCIDO, A SU NOMBRE QUE EL MISMO FUE EXTRAVIADO DENTRO DE LAS INSTALACIONES DE ESTE AEROPUERTO Y QUE NO PUEDE PRECISAR EL LUGAR NI LA FECHA DE LA PERDIDA.</t>
  </si>
  <si>
    <t>BARREIRO, ERNESTO G Y OTROS PRIVACCION ILEGITIMA DE LA LIBERTAD AGRAVADA, IMPOSICION DE TORMENTOS AGRAVADOS Y HOMICIDIO AGRAVADO</t>
  </si>
  <si>
    <t>ESTABLECIMIENTO CARCELARIO PREBISTERO LUCCHESE DE LA PROVINCIA DE CORDOBA</t>
  </si>
  <si>
    <t>MEDICINA LEGAL</t>
  </si>
  <si>
    <t>EN CUMPLIMIENTO DE ORDEN DE N° 267/10 DE FECHA 19OCT10, EMITIDA POR URSA II DEL CENTRO, SIENDO LAS 18:00 HORAS, PARTE COMISION CON CUSTODIA Y TRASLADO DE LOS DETENIDOS A MEDICINA LEGAL. SIENDO LAS 19:20 HORAS PARTE LA COMISION AL ESTABLECIMIENTO CARCELARIO PREBISTERO LUCCHESE DE LA CIUDAD DE CORDOBA DONDE QUEDAN ALOJADOS. SIENDO LAS 21:30 HORAS REGRESA LA COMISION SIN NOVEDAD.</t>
  </si>
  <si>
    <t>BARREIRO, ERNESTO G. Y OTROS PRIVACION ILEGITIMA DE LA LIBERTAD AGRAVADA, IMPOSICION DE TORMENTOS AGRAVADOS Y HOMICIDIO AGRAVADO</t>
  </si>
  <si>
    <t>EN LA VIA PUBLICA, CALLE ECHEVERRIA DEL B° RICARDO I DE LA CIUDAD CAPITAL DE LA RIOJA</t>
  </si>
  <si>
    <t>PROVINCIA DE LA RIOJA</t>
  </si>
  <si>
    <t>SE AMPLIA PARTE RESERVADO N° 6513 DE FECHA 19-OCT-10, A LOS FINES DE INFORMAR QUE PERSONAL DE LA UOCN Y DC DEL NORTE EN CONJUNTO CON PERSONAL DE LA UOSP LA RIOJA SE DIRIGEN AL DOMICILIO DE CALLE MONTEVIDEO N° 199 DEL B° COCHANGASTA, CONFIRMANDO QUE EN EL MISMO NO VIVE LA PERSONA BUSCADA. SE INFORMA AL JUZGADO DE TAL SITUACIÓN, ORDENANDO EL MAGISTRADO ACTUANTE QUE SE PRACTIQUEN LAS AVERIGUACIONES PERTINENTES PARA DAR CON EL PARADERO DE HEREDIA JORGE OMAR. POSTERIORMENTE DE AVERIGUACIONES REALIZADAS SURGE QUE ESTA PERSONA ESTARÍA VIVIENDO EN CALLE ECHEVERRIA CASA N° 78 B° RICARDO I DE LA CIUDAD CAPITAL DE LA RIOJA. POR LO QUE DICHO PERSONAL SE TRASLADA AL DOMICILIO ANTES MENCIONADO CONSTATANDOSE LA VERACIDAD DE LA INFORMACION, SIENDO HS.19:00 SE INTERCEPTA A UNA PERSONA DE SEXO MASCULINO SALIENDO DESDE DICHO DOMICILIO, QUE AL SER IDENTIFICADO CON SU D.N.I. N° 8453686, QUIEN SE TRATARIA DE HEREDIA JORGE OMAR, POR LO QUE SE PROCEDE A LA DETENCION DEL MISMO, SIENDO HS. 19:12 SE PROCEDE A REALIZAR LA LECTURA DE DERECHOS Y CAUSA DE LA DETENCION EN PRESENCIA DE LOS TESTIGOS HABILES, SE REALIZA CONSULTA AL JUZGADO INTERVINIENTE QUIEN DISPONE SE TRASLADE AL DETENIDO AL JUZGADO FEDERAL DE LA RIOJA CON EL FIN DE RETIRAR OFICIO EN EL CUAL SE ORDENA A LA P.F.A. DELEGACION LA RIOJA A REALIZAR LAS TOMAS DE HUELLAS DACTILARES Y A LA ALCAIDIA FEDERAL PARA LA CORRESPONDIENTE REVISACION MEDICA. INMEDIATAMENTE SE PROCEDE CON ESTOS TRAMITES FINALIZANDO A HS. 22:26, HACIENDOSE ENTREGA DEL DETENIDO AL SERVICIO PENITENCIARIO PROVINCIAL A HS 23:05, ENTREGANDOSE LAS ACTUACIONES EN HORAS DE LA MAÑANA. CORRESPODE ACLARAR QUE LA CAUSA SE ORIGINA EN EL AMBITO DE LA REGIONAL II DEL CENTRO</t>
  </si>
  <si>
    <t>BARREIRO, ERNESTO G. Y OTROS P.SS.AA PRIVACION ILEGITIMA DE LA LIBERTAD AGRAVADA, IMPOSICION DE TORMENTOS AGRAVADOS, Y HOMICIDIO AGRAVADO</t>
  </si>
  <si>
    <t>ALCAIDIA FEDERAL PERTENECIENTE AL JUZGADO FEDERAL DE CORDOBA UBICADO EN CALLE ARENAL 690 INTERSECCION PAUNERO.</t>
  </si>
  <si>
    <t>EN EL DIA DE LA FECHA SIENDO LAS 21:45 HS SE PROCEDIO A DAR CUMPLIMIENTO DE LA ORDEN DE DETENCION DE FECHA 19 DE OCTUBRE DEL CORRIENTE AÑO Y DIRECCIONADO AL SR. DIRECTOR DE LA POLICIA DE SEGURIDAD AEROPORTUARIA, DONDE SE PROCEDIO A LA DETENCION DEL SR. RAUL YANICELLI DNI 11.195.854, EN LAS INSTALACIONES DE LA ALCAIDIA FEDERAL PERTENECIENTE AL JUZGADO FEDERAL DE CORDOBA, PROVINCIA DE CORDOBA. DE LA MISMA SE LO TRASLADO A INSTALACIONES DE LA UOSP CORDOBA PARA INICIAR LAS ACTUACIONES CORRESPONDIENTES POR ORDEN DEL JUZGADO INTERVINIENTE PROCEDIENDOSE LUEGO A SU TRASLADO AL LUGAR DE DETENCION QUEDANDO ALOJADO FINALMENTE SEGUN ORDEN DE SERVICIO DE ESTA URSA NRO. 268/10.</t>
  </si>
  <si>
    <t>DRA. MARIA SOLEDAD MANCINI DE GEBER</t>
  </si>
  <si>
    <t>ALCAIDIA FEDERAL DE LOS TRIBUNALES FEDERALES DE CORDOBA</t>
  </si>
  <si>
    <t>EN CUMPLIMIENTO DE ORDEN DE N° 268/10 DE FECHA 20OCT10, EMITIDA POR URSA II DEL CENTRO, SIENDO LAS 00:10 HORAS, PARTE COMISION CON CUSTODIA Y TRASLADO DEL DETENIDO A MEDICINA LEGAL. SIENDO LAS 01:35 HORAS QUEDA ALOJADO EN LA ALCAIDIA FEDERAL DE LOS TRIBUNALES FEDERALES DE LA CIUDAD DE CORDOBA. SIENDO LAS 01:55 HORAS REGRESA LA COMISION SIN NOVEDAD.</t>
  </si>
  <si>
    <t>CALLE UBICADA ENTRE TCA e INTERCARGO</t>
  </si>
  <si>
    <t>PERSONAL POLICIAL DESIGNADO EN LA PATRULLA MOVIL, MIENTRAS REALIZA RECORRIDAS POR EL SECTOR RESTRINGIDO. SE DISPONEN A REVISAR UNOS CONTENEDORES DE BASURA HABIDOS EN EL SECTOR, HALLANDO EN UNO DE ELLOS UN APARATO ELECTRONICO APARENTEMENTE NUEVO, EL CUAL SERIA UN CONTROL REMOTO PARA BUTACAS DE AVION. EL MISMO ESTA ENVUELTO Y POSEE ADOSADO ETIQUETAS IDENTIFICATORIAS DE LA COMPAÑIA LAN. POR TAL MOTIVO EL JEFE DE TURNO MANTIENE COMUNICACION CON EL JUZGADO DE TURNO QUIEN DISPONE SE SECUESTRE EL ELEMENTO Y SE LABREN LAS ACTUACIONES CORRESPONDIENTES.</t>
  </si>
  <si>
    <t>6548/10</t>
  </si>
  <si>
    <t>CALLE UBICADA ENTRE TERMINAL DE CARGAS AEREAS Y MODULOS DE LA EMPRESA INTERCARGO</t>
  </si>
  <si>
    <t>RECTIFICO EL NUMERO DE CAUSA DEL PARTE URGENTE ANTERIOR. DONDE DICE 544-E/10 DEBE DECIR 545-E/10.</t>
  </si>
  <si>
    <t>LEGAJO DE: ESCORCIA CASTAÑEDA, FABIAN ENRIQUE.</t>
  </si>
  <si>
    <t>2343/10-ES-</t>
  </si>
  <si>
    <t>EN EL DÍA DE LA FECHA, SE PRESENTA PERSONAL DE GENDARMERÍA NACIONAL SUBOFICIAL PRINCIPAL CANARIO, CON EL CIUDADANO DE NACIONALIDAD COLOMBIANA SR. ESCORCIA CASTAÑEDA FABIÁN ENRIQUE, QUIEN POR DISPOSICIÓN Nº 149057/10, DEL REGISTRO DE LA DNM, DONDE SE ORDENO LA EXPULSIÓN DEL TERRITORIO NACIONAL C/PROHIBICIÓN DE REINGRESO AL PAÍS CON CARÁCTER DE PERMANENTE, DANDO CUMPLIMIENTO A LA ORDEN DE SERVICIO Nº 231/10 DE LA URSA III DEL NORTE, CON LA INTERVENCIÓN DE 01 EFECTIVO DE LA UOESA DEL NORTE OF. MY. OSCAR GUANTAY, PARA SU CUSTODIA Y TRASLADO DESDE LA CIUDAD DE SALTA HASTA AEROPARQUE JORGE NEWBERY, SIENDO EMBARCADO A HS. 07:45 EN LA EMPRESA AEROCOMERCIAL ANDES LÍNEAS AÉREAS DEL VUELO Nº 853, SIN NOVEDAD. EL CIUDADANO COLOMBIANO FUE RECIBIDO POR EL JEFE DE LA UOESA DE LA URSA I DEL ESTE, INSPECTOR SEBASTIAN VIEJOEN AEROPARQUE METROPOLITANO SIN NOVEDAD.</t>
  </si>
  <si>
    <t>AN 853</t>
  </si>
  <si>
    <t>6544/10</t>
  </si>
  <si>
    <t>EXORTO DEL SR. JUEZ FDERAL N° 3 DE LA CIUDAD DE CORDOBA DR. ALEJANDRO SANCHEZ FREYTES EN AUTOS N° 12627 CARATULADO BARREIRO ERNESTO G Y OTROS PRIVACION ILEGITIMA DE LA LIBERTAD AGRAVADA IMPOSICION DE TORMENTOS AGRAVADOS Y HOMICIDIO AGRAVADO</t>
  </si>
  <si>
    <t>SE AMPLIA PARTE URGENTE N° 6544 DE FECHA 20-OCT-10, A LOS FINES DE INFORMAR QUE PERSONAL DE LA UOCN Y DC DEL NORTE SIENDO HS. 10:35 REALIZO LA ENTREGA DEL SUMARIO CORRESPONDIENTE EN MESA DE ENTRADA DE LA SECRETARIA PENAL DEL JUZGADO FEDERAL DE LA RIOJA.DANDO POR FINALIZADAS DICHAS ACTUACIONES.</t>
  </si>
  <si>
    <t>BARREIRO ERNESTO G. Y OTROS, PRIVACION ILEGITIMA DE LA LIBERTAD AGRAVADA, IMPOSICION DE TORMENTOS AGRAVADOS Y HOMICIDIO AGRAVADO.</t>
  </si>
  <si>
    <t>CALLE ANDRADE 944 - LOCALIDAD DE GENERAL RODRIGUEZ - PCIA. DE BUENOS AIRES</t>
  </si>
  <si>
    <t>EN EL DIA DE LA FECHA, SIENDO LAS 08:15 HS., PERSONAL POLICIAL DE ESTA UNIDAD, PROCEDIO A ALLANAR EL DOMICILIO DE LA CALLE ANDRADE 944 DE LA LOCALIDAD DE GENERAL RODRIGUEZ, PROVINCIA DE BUENOS AIRES, A EFECTOS DE LOGRAR LA DETENCION DEL CIUDADANO EDUARDO BONIFACIO RIOS.DNI 8000858, FECHA DE NACIMIENTO 15/1/48.LA MISMA NO SE LLEVO A CABO YA QUE LA SEÑORA YESICA PAZ ABENTIN - DNI NRO. 32.961.628, POR QUIEN SOMOS ATENDIDOS MANIFESTA DESCONOCER AL IMPUTADO, LUEGO DE CONSTATAR LA INEXISTENCIA DEL CAUSANTE, SE TRASLADA LA DOCUMENTACION AL JUZGADO EXHORTADO FEDERAL DE MERCEDES B, A CARGO DEL DR. HECTOR RUBEN ECHAVE - SECRETARIA PENAL AD-HOC DELD R. GUILLERMO SCHNAIDER.</t>
  </si>
  <si>
    <t>FISCALIA PENAL CONTRAVENCIONAL Y DE FALTAS - EQUIPO C</t>
  </si>
  <si>
    <t>SERGIO H. FORTUNA</t>
  </si>
  <si>
    <t>TENENCIA ILEGAL DE ARMAS DE USO CIVIL".-</t>
  </si>
  <si>
    <t>EN EL DIA DE LA FECHA SIENDO LAS 11:00HS SE HACE PRESENTE UN MASCULINO EN EL SECTOR ANTES MENCIONADO PARA ABORDAR EL VUELO 864 , CON DESTINO PUERTO MADRYN. EL MISMO PASA SU EQUIPAJE DE MANO POR LA MAQUINA DE RAYOS X POR LO QUE EL OFICIAL RIVAROLA, INTERPRETA EN LA MISMA UNA PISTOLA CON MUNICIONES EN SU RESPECTIVO CARGADOR.SEGUIDAMENTE EL OFICIAL DA AVISO AL ENCARGADO DE PUESTO, QUIEN INFORMA AL JEFE DE TURNO LO SUCEDIDO. ACTO SEGUIDO SE HACEN PRESENTES DOS TESTIGOS HABILES PARA LUEGO DIRIGIRSE A LA GUARDIA DE PREVENCION TODOS LOS INTERVINIENTES. A LOS EFECTOS DE LABRAR LA PREVENCION SUMARIA. SIENDO LAS 11:15 HORAS SE ESTABLECE COMUNICACIÓN CON LA DRA. MORELLI GABRIELA, TITULAR DE LA FISCALIA EN LO PENAL CONTRAVENCIONAL Y DE FALTAS EQUIPO "C", EN TURNO CON LA SECRETARIA DEL DR. SERGIO FORTUNA, A QUIEN SE LE INFORMA DE ECHO ACAECIDO Y QUIEN DISPONE QUE: SE REALICE LECTURA DE DERECHOS, DETENCIÓN EN CARÁCTER DE COMUNICADO, FOTOGRAFÍAS DEL ARMA, SECUESTRO DEL ARMAMENTO Y DEL CARGADOR JUNTO CON LAS RESPECTIVAS MUNICIONES PARA QUE SE CONSTATE LA APTITUD Y FUNCIONAMIENTO DEL ARMA, PRECARIO MEDICO DE INGRESO DE LA DEPENDENCIA POLICIAL, CONSTATACIÓN DE DOMICILIO TELEFÓNICA, ART. 353 BIS, INFORME IDGE, UNA VEZ OBTENIDOS LOS RESULTADOS DE REINCIDENCIAS SE ESTABLEZCA NUEVA COMUNICACIÓN A FIN DE QUE EL CAUSANTE SEA REMITIDO A LA FISCALIA ACTUANTE. SE INFORMA EN PU Nº 6587 QUE SIENDO LAS 16 45 HS DEL DIA 20/10/2010 SE PROCEDIO AL TRASLADO DEL CAUSANTE A SEDE DE LA FISCALIA, REGRESANDO LA COMISION A ESTA JURISDICCION AEROPORTUARIA SIN NOVEDAD.</t>
  </si>
  <si>
    <t>6556/10</t>
  </si>
  <si>
    <t>SE RECTIFICA PARTE URGENTE NRO. 6556 DEL DIA DE LA FECHA, DONDE DICE CLASIFICACION TRATA DE PERSONAS, DEBE DECIR LESA HUMANIDAD.</t>
  </si>
  <si>
    <t>FISCALIA FEDERAL DE RIO GALLEGOS</t>
  </si>
  <si>
    <t>JUANA DOLINA MORRISON DE TISCORNIA S/DENUNCIA</t>
  </si>
  <si>
    <t>36-288-10</t>
  </si>
  <si>
    <t>PASAJE SAN LUIS NUMERO 260</t>
  </si>
  <si>
    <t>CIUDAD DE TRELEW- PROVINCIA DE CHUBUT</t>
  </si>
  <si>
    <t>SE DIO CUMPLIMENTO A ORDEN DE SERVICIO 021/2010, EN DONDE SE ORDENABA CUMPLIMENTAR MANDATO JUDICIAL, POR EL CUAL SE DEBIA VERIFICAR SI EL CIUDADANO JUAN CARLOS LORENZATI, D.N.I. Nº: 7.730.638; RESIDE, EN LA VIVIENDA, UBICADA EN CALLE PASAJE SAN LUIS Nº: 260, DE LA CIUDAD DE TRELEW, PROVINCIA DE CHUBUT, ARROJANDO DICHA VERIFICACION RESULTADOS NEGATIVOS.</t>
  </si>
  <si>
    <t>INF. AL ART. 85 DEL DECRETO LEY 8031/73</t>
  </si>
  <si>
    <t>PERGOLA TAXI - TERMINAL A</t>
  </si>
  <si>
    <t>SIENDO LA FECHA Y HORA ANTES MENCIONADA, EN MOMENTOS QUE EL OFICIAL PONCE QUIEN CUMPLE FUNCIONES COMO JEFE DE TURO DEL C.O.C OBSERVA POR LAS CAMARAS A UNA PERSONA DE SEXO MASCULINO QUE SE APROXIMA DE MANERA SORPRESIVA A LOS PASAJEROS RECIEN ARRIBADOS AL PAIS POR LO QUE DA AVISO VIA NEXTEL AL OFICIAL CARABAJAL QUE SE ENCONTRABA CUMPLIENDO FUNCIONES DE PATRULLA DE PERGOLA CONSTATANDO QUE EL MASCULINO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</si>
  <si>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6538/10</t>
  </si>
  <si>
    <t>SIENDO LAS 12:30 HORAS SE RECIBE OFICIO JUDICIAL AUTOS Nº A-17626 MEDIANTE EL CUAL SE HA DISPUESTO QUE LA AERONAVE TRIAK ULTRALIJERO MATRICULA Nº YV-UL-015 SECUESTRADA POR ESTA REPARTICION PERMANEZCA DEPOSITADA EN TAL CARACTER A DISPOSICION DE AUTORIDAD JUDICIAL INTERVINIENTE CON LAS MEDIDAS DE SEGURIDAD PERTINENTES Y BAJO VIGILANCIA DE PERSONAL DE ESTA POLICIA REAFIRMANDO MEDIDA A LO QUE SE DA CUMPLIMIENTO.</t>
  </si>
  <si>
    <t>INF. AL ART. 78 Y 85 DEL DECRETO LEY 8031/73</t>
  </si>
  <si>
    <t>SIENDO LA FECHA Y HORA ANTES MENCIONADA, EN MOMENTOS QUE EL OFICIAL PONCE QUIEN CUMPLE FUNCIONES COMO JEFE DE TURO DEL C.O.C OBSERVA POR LAS CAMARAS A UNA PERSONA DE SEXO MASCULINO QUE SE APROXIMA DE MANERA SORPRESIVA A LOS PASAJEROS RECIEN ARRIBADOS AL PAIS POR LO QUE DA AVISO VIA NEXTEL AL OFICIAL ORTIZ QUE SE ENCONTRABA CUMPLIENDO FUNCIONES DE PATRULLA DE PERGOLA CONSTATANDO QUE EL MASCULINO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</si>
  <si>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 A LOS ARTS. 78 Y 85 DEL DECRETO LEY 8031/73</t>
  </si>
  <si>
    <t>SIENDO LA FECHA Y HORA ANTES MENCIONADA, EN MOMENTOS EN QUE EL OFICIAL PONCE CUMPLIA FUNCIONES COMO JEFE DE TURNO DEL C.O.C OBSERVA A TRAVES DE LAS CAMARAS A UNA PERSONA DE SEXO MASCULINO QUE SE APROXIMABA A LOS PASAJEROS RECIEN ARRIBADOS AL PAIS DE UNA MANERA PRESUROSA MOTIVO POR LO CUAL DA AVISO VIA NEXTEL AL OFICIAL ORTIZ QUIEN SE ENCONTRABA CUMPLIENDO FUNCIONES DE PATRULLA, EL CUAL SORPRENDE AL MASCULINO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</si>
  <si>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UNIDAD OPERACIONAL RESISTENCIA</t>
  </si>
  <si>
    <t>INFORMO EN EL DIA DE LA FECHA, SIENDO APROXIMADAMENTE LAS 19:05 HS., ARRIBA A ESTE AEROPUERTO EN LA AERONAVE CITATION, MATRICULA LV-BRJ, EL EX PRESIDENTE DE LA NACION DR. NESTOR KIRCHNER, CON MOTIVO DE ASISTIR A UN ACTO EN ESTA CIUDAD. SIENDO APROXIMADAMENTE LAS 21:00 HS. DESPEGA LA AERONAVE ANTES MENCIONADA CON EL DR. NESTOR KIRCHNER CON DESTINO AL AEROPARQUE JORGE NEWBERY. SE IMPLEMENTO OPERATIVO DE SEGURIDAD DE ACUERDO A LO DETERMINADO EN ORDEN DE SERVICIO Nº 33/2010 DE ESTA UOSP, FINALIZANDO EL MISMO SIN NOVEDAD.</t>
  </si>
  <si>
    <t>CINTAS DE ARRIBOS TERMINAL B</t>
  </si>
  <si>
    <t>LUEGO DE RETIRAR SUS EQUIPAJES DESPACHADOS POR BODEGA EN EL AEROPUERTO DE ORIGEN DEL VUELO, LA DENUNCIANTE SE RETIRA DE ESTE MEDIO Y SE DIRIGE HACIA EL HOTEL DONDE SE ALOJARIA DURANTE SU ESTADIA, UBICADO EN LA C.A.B.A. QUE UNA VEZ EN LA HABITACION DEL HOTEL APERTURA EL EQUIPAJE Y DETECTA EL FALTANTE DE LA CAMARA FOTOGRAFICA Y EL LENTE.-</t>
  </si>
  <si>
    <t>EN REFERENCIA Y DANDO CUMPLIMIENTO A ORDEN DE SERVICIO NRO. 270/10 EMANADA DE LA U.R.S.A. II DEL CENTRO, SE EFECTUÓ OPERATIVO DE SEGURIDAD, ARRIBANDO A ESTA AEROESTACIÓN LA AERONAVE F-28 CON LA MINISTRO DE DEFENSA, SRA. NILDA GARRÉ, Y LA CORRESPONDIENTE COMITIVA, RETIRANDOSE SIN NOVEDAD DE ESTE AEROPUERTO INTERNACIONAL HACIA LA CIUDAD DE CORDOBA, EN HORAS 23:00 SIN NOVEDAD.EL OPERATIVO DE SEGURIDAD SE REALIZÓ CON TOTAL NORMALIDAD, CULMINANDO AL FINALIZAR LA SALIDA DE LA MINISTRO Y TODA LA COMITIVA.</t>
  </si>
  <si>
    <t>F-28</t>
  </si>
  <si>
    <t>MAQUINA RX - CONTROL ENVIOS EMPRESA DHL</t>
  </si>
  <si>
    <t>EN EL CONTROL PREVENTIVO SE DETECTARON DOS SOBRES, LOS CUALES DE ACUERDO A LO REFLEJADO EN EL MONITOR DEL EQUIPO DE RX CONTIENIAN CADA UNO DE ELLOS, UN BULTO DE SUSTANCIA ORGANICA DE BAJA DENSIDAD. POR LO CUAL ANTE LA PRESENCIA DE DOS TESTIGOS Y LAS AUTORIZACIONES PERTINENTES, SE LLEVO A CABO LA APERTURA Y REQUISA DE LOS MISMOS OBTENIENDOSE 2 PAQUETES DE CUYO INTERIOR SE EXTRAJO UNA SUSTANCIA QUE SOMETIDA A PRUEBA DE CAMPO CON REACTIVO QUIMICO PARA COCAINA ARROJO RESULTADO POSITIVO EN AMBOS CASOS. SE LLEVAN A CABO LAS ACTUACIONES PERTINENTES AL CASO Y DE ACUERDO A LAS DIRECTIVAS IMPARTIDAS. AMBOS SOBRES FUERON ENVIADOS POR EL MISMO REMITENTE CUYOS DATOS SON: O NOMBRE: SANTIAGO. O TEL: 541143100100. O MARVAL O`FARRELL &amp; MAIRAL -MARCAS. O DOMICILIO: AV. L.N ALEM N° 928 - PLANTA BAJA - C.A.B.A - CP 1001 - ARGENTINA. EN CAMBIO, EL DESTINATARIO DIFIERE EN LOS ENVIOS, ELLOS SON: SOBRE 1 O NOMBRE: PEDRO EUGENIO ABATE O TEL: 634137263. O DOMICILIO: CALLE REAL N°67 2°PISO DPTO "D" - SORIA - CP 42002 - ESPAÑA. SOBRE 2 O NOMBRE: ALICIA ROMERO PAZ O TEL: 603069911. O DOMICILIO: SAN BENITO N°22, 5°PISO, DPTO "C" - SORIA - CP 42001 - ESPAÑA.</t>
  </si>
  <si>
    <t>CROLINA ARNAIZ</t>
  </si>
  <si>
    <t>TENENCIA ILEGITIMA DE ARMA DE GUERRA</t>
  </si>
  <si>
    <t>MAQUINA RX LAN ARGENTINA</t>
  </si>
  <si>
    <t>PATIO DE VALIJAS LAN ARGENTINA</t>
  </si>
  <si>
    <t>SIENDO LA HORA MENCIONADA, MOMENTOS DE ENCONTRARSE REALZIANDO CONTROL DE EQUIPAJE DESPACHADO A BODEGAS DEL VUELO DESCRIPTO, PERSONAL DESTACADO EN EL PUESTO PATIO DE VALIJA, SE PERCATA QUE DENTRO DE UNA VALIJA SE ENCONTRABA UNA SERIE DE ARMAS Y CARTUCHOS LOS CUALES POR SU DISPOSICION SE VISUALIZABA DENTRO DE UN APARATO METALICO, POR LO QUE SE REQUIERE LA PRESENCIA DEL PROPIETARIO DEL EQUIPAJE Y AL APERTURARLO, SE PROCEDE AL ESCANEO DEL APARATO METALICO EL CUAL RESULTO SER UN CALOVENTOR, VISUALIZANDO EN EL INTERIOR DE ESTE ARMAS Y MUNICIONES. POR LO QUE SE ENTABLA COMUNICACION CON LA LA JUDICATURA ACTUANTE, AUTORIZANDO LA MISMA LA REQUISA DEL EQUIPAJE, CON EL RESULTADO POSITIVO SE REALIZA NUEVA COMUNICACION Y LA MISMA DISPONE: DETENIDO INCOMUNICADO, IDGE, 353 BIS, TAREAS INVESTIGATIVAS CON RESPECTO AL DOMICILIO DONDE SE HOSPEDA, SOLICITAR PRESENCIA DE LA UNIDAD DE ANTITERRORISMO DE ESTA POLICIA, INFORME DE LAS ARMAS, NOTA AL RENAR Y TRASLADO A LA JUDICATURA ACTUANTE EL DIA 21 A LAS 08:00 HORAS. EN PU Nº 6588 DEL DIA 21/10/2010 SIENDO LAS 0830 HS SE PROCEDIO AL TRASLADO DEL CAUSANTE LA SEDE DE LA JUDICATURA ACTUANTE.</t>
  </si>
  <si>
    <t>LA 4544</t>
  </si>
  <si>
    <t>6570/10</t>
  </si>
  <si>
    <t>TRASLADO A LA FISCALIA</t>
  </si>
  <si>
    <t>SIENDO LAS 16:45 HORAS DEL DIA 20 DEL CORRIENTE SE PROCEDIO AL TRASLADO DEL SR. ABATE RAÚL JULIO CESAR DNI Nº 12.074.164, HACIA LA SEDE DE LA FISCALIA PENAL CONTRAVENCIONAL Y DE FALTAS -EQUIPO C. REGRESANDO LA COMISION A ESTA JURISDICCION AEROPORTUARIA SIN NOVEDAD.-</t>
  </si>
  <si>
    <t>6584/10</t>
  </si>
  <si>
    <t>PATIO DE VALIJA LAN ARGENTINA</t>
  </si>
  <si>
    <t>SIENDO LAS 08:30 HORAS DEL DIA DE LA FECHA SE PROCEDIO AL TRASDALO DEL SR. MARCELO SERGIO CIONCI CON PASAPORTE ARGENTINO Nº 18305293, HACIA LA SEDE DE LA JUDICATURA ACTUANTE SITA EN LA CALLE COMODORO PY 202 PISO 4º, CIUDAD AUTONOMA DE BUENOS AIRES, JUNTO CON LOS OFICIALES DEL GEP Y EL COMISIONISTA EL OFICIAL MAYOR LEFEVBRE.-</t>
  </si>
  <si>
    <t>EN CUMPLIMIENTO DE LA ORDEN DE SERVICIO NRO 0091/10 Y SIENDO LAS 03:40 HORAS LOCAL DESPEGA DESDE ESTE AEROPUERTO AERONAVE AIRBUS 320, PERTENECIENTE A LA EMPRESA LAN ARGENTINA NRO 4429, CON DESTINO AL AEROPUERTO JORGE NEWBERY DE CAPITAL FEDERAL Y EN CUYAS BODEGAS 11, 12 Y 13 SE EMBARCAN 100 CAJAS CON UN PESO TOTAL DE 2201 KILOGRAMOS DE METAL -MTD- PERTENECIENTE A LA EMPRESA MINERA TRITON ARGENTINA S.A.</t>
  </si>
  <si>
    <t>AEROPUERTOGENERAL MOSCONI-COMODORO RIVADAVIA</t>
  </si>
  <si>
    <t>AEROPARQUE JORGE NEWBERY- BUENOS AIRES</t>
  </si>
  <si>
    <t>EN CUMPLIMIENTO DE LA ORDEN DE SERVICIO NRO 0091/10 Y SIENDO LAS 08:25 HORAS LOCAL DESPEGA DESDE ESTE AEROPUERTO AERONAVE MD-83 MATRICULA LV-AYD, PERTENECIENTE A LA EMPRESA AUSTRAL LINEAS AEREAS NRO 2831 CON DESTINO AL AEROPUERTO JORGE NEWBERY DE CAPITAL FEDERAL Y EN CUYA BODEGA Nº 5 SE EMBARCAN 40 CAJAS CON UN PESO TOTAL DE 1680 KILOGRAMOS DE METAL - MTD- PERTENECIENTE A LA EMPRESA MINERA TRITON ARGENTINA S.A.</t>
  </si>
  <si>
    <t>AEROPARQUE JORGE NEWBERY-CAPITAL FEDERAL</t>
  </si>
  <si>
    <t>6498/10</t>
  </si>
  <si>
    <t>COACCIÓN - ART. 142 BIS C.P.N</t>
  </si>
  <si>
    <t>A - 17.628</t>
  </si>
  <si>
    <t>INFORMO QUE SIENDO LAS 11:30 HS, DEL DÍA 20 DE OCTUBRE DEL CORRIENTE AÑO, SE REALIZA PRESENTACIÓN DE LA PREVENCIÓN SUMARIA 02/2010 Y ELEMENTO ÚTIL PARA LA CAUSA (TEL/FAX PANASONIC) DE ESTA UOSP MALARGÜE AL JUZGADO FEDERAL DE SAN RAFAEL, ENTREGADAS EN MANO POR EL JEFE DE UNIDAD OF. MY. PUEBLA ROBERTO JOSÉ FABIÁN (500.724) EN MESA DE ENTRADA DE LA SECRETARIA PENAL. ASIMISMO INFORMO NÚMERO CAUSA JUDICIAL: A-17.628, CARATULADO: "COACCIÓN" ART. 142 BIS DEL C.P.N.</t>
  </si>
  <si>
    <t>6160/10</t>
  </si>
  <si>
    <t>TARTAGLIONE MARIO ABEL S/TENENCIA ILEGAL DE ARMAS DE FUEGO - AEROPUERTO TRELEW</t>
  </si>
  <si>
    <t>682 F 273 AÑO 2010</t>
  </si>
  <si>
    <t>TENENCIA ILEGAL DE ARMA DE FUEGO</t>
  </si>
  <si>
    <t>INFORMO EN EL DIA DE LA FECHA EL JUZGADO FEDERAL DE PRIMERA INSTANCIA DE RAWSON OTORGA NUMERO Y CAUSA JUDICIAL AL PREVENTIVO 0006/2010 DE ESTA UOSP. LOS MISMOS CONSTAN EN DATOS DE LA CAUSA JUDICIAL.</t>
  </si>
  <si>
    <t>6456/10</t>
  </si>
  <si>
    <t>VIDAL VALENZUELA MARCOS ESTEBAN Y OTROS S/ LEY DE ESTUPEFACIENTES</t>
  </si>
  <si>
    <t>CIUDAD DE BARILOCHE</t>
  </si>
  <si>
    <t>AMPLIANDO PR Nº: 3485 DE FECHA 08/06/2010 QUE SE INFORMABA EL INICIO DE LA INVESTIGACION DE MARRAS, PR Nº 4773/10 DE FECHA 06/08/10 EN EL CUAL SE HABIA SOLICITADO INTERVENCION TELEFONICA DEL ABONADO 02944-427395 POR EL PLAZO DE TREINTA (30) DIAS Y PR Nº 6456/10 DONDE EL JUZGADO SOLICITA DETENCION DEL CIUDADANO RAUL EZEQUIEL CID, ALIAS JABALI. INFORMO QUE EL DIA DE LA FECHA SE RECIBIO OFICIO JUDICIAL Nº 1743/2010, , EMITIDO POR EL JUZGADO INTERVINIENTE A LOS EFECTOS DE SOLICITAR SE CONSTATE SI UNA PERSONA DE NOMBRE MARCOS MARTINEZ RESIDE EN LA CALLE FELIPE LAGUNA CASI ONELLI, DE LA CIUDAD DE SAN CARLOS DE BARILOCHE O EN INMEDIACIONES Y EN SU CASO SI ES PROPIETARIO DE UN AUTOMOVIL VW GOL DOMINIO HGT-854.</t>
  </si>
  <si>
    <t>DE LA TERMINAL B</t>
  </si>
  <si>
    <t>SIENDO LAS 18.00HS DEL DIA 18/10/10, EL DENUNCIANTE HABIA CULMINADO SUS TAREAS LABORALES Y SE DIRIGIA A SU VEHICULO PARTICULAR VW SURAN DOMINIO HQH 469, EL CUAL SE ENCONTRABA ESTACIONADO EN LA PLAYA DE ESTACIONAMIENTO DE LA TERMINAL , MOMENTOS EN QUE PROCEDE A LA APERTURA DEL MISMO OBSERVA QUE SE ENCUENTRA ABIERTO Y SIN SEÑALES DE DAÑOS CON EL FALTANTE DE UN EQUIPO DE COMUNICACION DE MARCA NEXTEL CORRESPONDIENTE AL NRO. 6045697 A NOMBRE DE LA EMPRESA AEROCOMERCIAL AEROLINEAS ARGENTINAS.POR TAL MOTIVO SE HACE PRESENTE EN ESTA DEPENDENCIA PARA REALIZAR LA DENUNCIA CORRESPONDIENTE.</t>
  </si>
  <si>
    <t>KRUGER STANLEY MAX S/TENTATIVA DE CONTRABANDO DE ESTUPEFACIENTES</t>
  </si>
  <si>
    <t>CALLE EL SALVADOR 1157, VILLA DOMINICO - PROVINCIA DE BUENOS AIRES</t>
  </si>
  <si>
    <t>SE RECIBE OFICIO JUDICIAL, ORDENANDO TAREAS INVESTIGATIVAS EN EL DOMICILIO ANTES CITADO, TENDIENTES A DETERMINAR LA IDENTIDAD DE SUS MORADORES, ACTIVIDADES QUE SE DESARROLLEN EN LOS MISMOS Y TODO OTRO DATO DE INTERES PARA LA CAUSA.</t>
  </si>
  <si>
    <t>HALL EMBARQUE 1º PISO</t>
  </si>
  <si>
    <t>EL DIA DE LA FECHA SE PRESENTA LA SEñORITA AYALA TORALES DE SUTTON Y HACE ENTREGA DE LOS ELEMENTOS HALLADOS Y QUE A CONTINUACION SE DETALLA; 1 (UN) SACO DE COLOR MARRON ENCONTRANDOSE EN EL BOLSILLO IZQUIERDO DEL MISMO LA SUMA DE $1634.10, EL DECLARANTE MANIFIESTA QUE DICHOS ELEMENTOS LO HALLó EL DíA 21 DEL MES DE OCTUBRE, SIENDO APROXIMADAMENTE LAS 15:11 HORAS, EN EL SECTOR HALL DE EMBARQUE 1º PISO POR LO QUE SE CONFECCIONA ACTA DE HALLAZGO Nº 0803/10 QUEDANDO LOS MISMOS EN EL DEPOSITO JUDICIAL DE ESTA UNIDAD OPERACIONAL EN RESGUARDO</t>
  </si>
  <si>
    <t>ESTELA NANCY MARINICH</t>
  </si>
  <si>
    <t>GALEANO, ANDRES A.-INSPECTOR-JEFE DE UNIDAD OPERACIONAL RCIA POL. DE SEGURIDAD AEROPORTUARIA S/PEDIDO DE APERTURA DE SACA</t>
  </si>
  <si>
    <t>434/10</t>
  </si>
  <si>
    <t>LOCALIDAD DE BARRAQUERAS, CHACO</t>
  </si>
  <si>
    <t>EN EL DIA DE LA FECHA SE RECEPCIONAN TRES ORDENES DE ALLANAMIENTO DEL JUZGADO ACTUANTE: NRO. 35/10 PARA ALLANAR EL DOMICILIO UBICADO EN AVDA SAN MARTIN N° 1670 -BARRANQUERAS-CHACO, NRO.36/10 PARA ALLANAR EL DOMICILIO UBICADO EN CALLE 2 DE FEBRERO N°1635 DE LA LOCALIDAD DE BARRANQUERAS -CHACO Y NRO. 37/10 PARA ALLANAR -ART 32 LEY 23.737- EL INMUEBLE UBICADO EN CALLE PUEYRREDON N° 1214 -PUERTO SAN JULIAN - SANTA CRUZ-. TODAS LA ORDENES FIJAN COMO HORA PARA SU REALIZACION, A PARTIR DE LAS 07:00 DEL DIA VEINTIDOS DE OCTUBRE DE 2010, HABILITANDOSE HORAS INHABILES. REFERENTE A LA ORDEN DE ALLANAMIENTO NRO. 37/10 SE REALIZARON COORDINACIONES NECESARIAS PARA SER CUMPLIMENTADAS POR PERSONAL DE LA URSA V DE LA PATAGONIA</t>
  </si>
  <si>
    <t>EN LA FECHA SE CUMPLIMENTO O.S. 044/10 SIN NOVEDAD IMPLEMENTADA CON MOTIVO DE LA VISITA DE LA SEÑORA MINISTRA DE INDUSTRIA Y TURISMO DE LA NACION LICENCIADA DEBORA GIORGI QUIEN SE DIRIGIO A INSTALACIONES DE LA INDUSTRIA RANDOM DE ROSARIO</t>
  </si>
  <si>
    <t>NI43HM</t>
  </si>
  <si>
    <t>CAPÌTAL FEDERAL</t>
  </si>
  <si>
    <t>LEDANTES, BERNABE S/CONTRABANDO DE ESTUPEFACIENTES</t>
  </si>
  <si>
    <t>1310/10 - 12858</t>
  </si>
  <si>
    <t>AGENCIA DE VIAJES FALABELLA - FLORIDA Nº 343 - C.A.B.A</t>
  </si>
  <si>
    <t>SE RECIBE OFICIO JUDICIAL, ORDENANDO TAREAS INVESTIGATIVAS EN EL DOMICILIO ANTES CITADO, TENDIENTES A DETERMINAR QUIEN HABRIA ADQUIRIDO EL TICKET DE PASAJE AEREO, DATOS RELATIVOS AL MODO DE PAGO, SE DETERMINE SI EXISTEN CAMARAS DE VIDEO EN LA AGENCIA Y, EN SU CASO, SE REQUIERAN LAS FILMACIONES CORRESPONDIENTES AL DIA DE LA ADQUISICION, EN CASO DE QUE HAYA SIDO ADQUIRIDO VIA MAIL, SE REQUIERA UNA IMPRESION DE LOS MISMOS Y SE OBTENGA LA DIRECCION IP DEL COMRPADOR, Y SE REQUIERA OTRA DOCUMENTACION DE INTERES ADEMAS DE NOTIFICAR A LA VENDEDORA DEL PASAJE EN CUESTION PARA QUE SE PRESENTE EN LA SEDE DEL TRIBUNAL INTERVINIENTE A PRESTAR DECLARACION.</t>
  </si>
  <si>
    <t>6525/10</t>
  </si>
  <si>
    <t>INFORMO QUE EN EL DIA DE LA FECHA A HORAS 12:00, LA A.N.A.C, A TRAVES DEL JEFE DE AEROPUERTO COMODORO RICARDO LUJAN SEGURA DE LA COLINA, PONE EN CONOCIMIENTO A ESTA UOSP LA RIOJA QUE SE PROCEDE A LA APERTURA DE ESTE AEROPUERTO, QUEDANDO DEFINITIVAMENTE HABILITADO EL MISMO PARA LA OPERATIVIDAD DE TODO TIPO DE VUELOS, LUEGO DE SER REPARADO EL VOR POR TECNICOS DEL LA ANAC.</t>
  </si>
  <si>
    <t>EN CUMPLIMIENTO DE LA ORDEN DE SERVICIO NRO.0092/10 Y SIENDO LAS 20:02 HORAS LOCAL ARRIBA AERONAVE MD 83 COMO VUELO NRO. 2836, MATRICULA LV-WGN, PERTENECIENTE A LA EMPRESA AUSTRAL LINEAS AEREAS Y EN CUYAS BODEGAS 4 Y 5 SE EMBARCAN UN TOTAL DE 26 CAJAS CON UN PESO DE 1066 KILOGRAMOS DE METAL- MTD- PERTENECIENTES A LA EMPRESA MINERA TRITON ARGENTINA. EL MISMO DESPEGA COMO VUELO NRO. 2837 CON DESTINO EL AEROPUERTO INTERNACIONAL JORGE NEWBERY A LAS 21:00 HORAS LOCAL.</t>
  </si>
  <si>
    <t>SE PROCEDE A LA RETENCIÓN DE CUATRO SACAS COLECTORAS DEL CORREO OFICIAL, SEGÚN CONSTA EN ACTA DE RETENCIÓN DE CARGAS Nº 0450/10, QUE ORIGINA LA PREVENCIÓN SUMARIA 107/10, LA PRIMERA SACA IDENTIFICADA CON MARBETE, SLA0217020E555700RGL, PRECINTO N° D915624, CON UN PESO DECLARADO DE 5,700 KGS, CON DESTINO LA CIUDAD DE RIO GALLEGOS, CONTENDRÍA UNA PIEZA POSTAL; LA SEGUNDA SACA IDENTIFICADA CON MARBETE, SLA0217776E606000BHI, PRECINTO N° D915619, CON UN PESO DECLARADO DE 4,600 KGS, CON DESTINO LA CIUDAD DE BAHIA BLANCA, CONTENDRÍA UNA PIEZA POSTAL; LA TERCERA SACA IDENTIFICADA CON MARBETE, SLA0212336D555800VAE, PRECINTO N° D915699, CON UN PESO DECLARADO DE 3,500 KGS, CON DESTINO LA CIUDAD DE USHUAIA, CONTENDRÍA UNA PIEZA POSTAL Y LA CUARTA SACA IDENTIFICADA CON MARBETE, SLA0171506E555900RGA, PRECINTO N° D915613, CON UN PESO DECLARADO DE 5,300 KGS, CON DESTINO LA CIUDAD DE RIO GRANDE, CONTENDRÍA UNA PIEZA POSTAL. LAS MISMAS ESTÁ AMPARADAS EN GUÍA DE CARGA Nº 8038463-6, DESPACHADAS A TRAVÉS DE LA EMPRESA DE CARGA AÉREA JET PAQ. LA RETENCIÓN SE REALIZA ANTE LA PRESUNCIÓN QUE PUDIERAN CONTENER ALGÚN ELEMENTO EN INFRACCIÓN A LA LEY 23.737 Y/O 22.415, QUEDANDO LAS MISMAS CERRADAS Y PRECINTADAS EN GUARDA EN ESTA UOSP. SEGÚN LO COORDINADO CON EL DR. SANTIAGO FRENCH, A CARGO DE LA SECRETARIA PENAL Nº 2 DEL JUZGADO FEDERAL DE SALTA Nº 1 A CARGO DEL DR. JULIO LEONARDO BAVIO. LA APERTURA SE REALIZARÁ EN PRESENCIA DEL PERSONAL DEL CORREO OFICIAL.</t>
  </si>
  <si>
    <t>EN CUMPLIMIENTO DE LA ORDEN DE SERVICIO NRO. 0092/10 Y SIENDO LAS 01:11 HORAS LOCAL ARRIBA AERONAVE AIR BUS A 320, MATRICULA LV-BOI, PERTENECIENTE A LA EMPRESA LAN ARGENTINA COMO VUELO NRO. 4428 Y EN CUYA BODEGA NRO. 13 SE EMBARCAN UN TOTAL DE 16 CAJAS CON UN PESO DE 368 KILOGRAMOS DE METAL- MTD- PERTENECIENTES A LA EMPRESA MINERA TRITON S.A.. EL MEMCIONADO VUELO DESPEGA COMO NRO. 4429 CON DESTINO EL AEROPUERTO JORGE NEWBERY DE CAPITAL FEDERAL A LAS 02.15 HORAS LOCAL.</t>
  </si>
  <si>
    <t>6622/10</t>
  </si>
  <si>
    <t>SE PROCEDE A LA APERTURA DE CUATRO SACAS COLECTORAS DEL CORREO OFICIAL, SEGÚN ACTA DEJANDO CONTANCIA Nº 0451/10, CORRESPONDIENTTE A LA PREV. SUM.Nº 107/10, LA 1ª SACA IDENTIFICADA CON MARBETE, SLA0217020E555700RGL, PRECINTO N° D915624, CONTIENE UNA PIEZA POSTAL IDENTIFICADA COMO EP681066329AR, RTTE:MIGUEL LAMAS, FERMIN DE LA QUINTANA Nº 168, Bº SAN MARTIN, S.S. DE JUJUY, CP.4600, DEST: SRA. MIRTA CALISAYA, Bº MALVINAS, CALLE ISLAS GRAN MALVINAS Nº 223, RIO TURBIO,PCIA DE SANTA CRUZ, CP. 9407, QUEDA RETENIDA. LA 2ª SACA IDENTIFICADA CON MARBETE, SLA0217776E606000BHI, PRECINTO N° D915619,CONTIENE UNA PIEZA POSTAL IDENTIFICADA COMO EP691908275A, RTTE: CLAUDIO FARFAN, LEV.QUERD 355, LA QUIACA, CP.4650, DEST:SR. MARIO PADILLA, CORREO CENTRAL, PEDRO LURO, CP. 8148, QUEDA RETENIDA. LA 3ª SACA IDENTIFICADA CON MARBETE, SLA0212336D555800VAE, PRECINTO N° D915699, CONTIENE UNA PIEZA POSTAL IDENTIFICADA COMO EP658930567AR, RTTE: SRA. MARIA TERESA GUTIERREZ, EL SALVADOR Nº 125, Bº LA PAZ, PERICO-JUJUY, CP.4610, DEST: VICTOR MALLON, CALLE PERON SUR Nº 604, Bº SAN SALVADOR, USHUAIA, TIERRA DEL FUEGO, CP. 9410, QUEDA RETENIDA Y LA 4ª SACA IDENTIFICADA CON MARBETE, SLA0171506E555900RGA, PRECINTO N° D915613, CONTIENE UNA PIEZA POSTAL IDENTIFICADA COMO EP693136340AR, RTTE: JUAN CARLOS MAMANI, AV. FELIPE VARELA, Nº 255-SALTA, CP.4400, DEST: SR. SERGIO LUIS IMPA, RIVADAVIA 968, RIO GRANDE, TIERRA DEL FUEGO, CP. 9420, QUEDA RETENIDA. LAS ENCOMIENDAS SON RETENIDAS ANTE LA PRESUNCIÓN DE QUE PUDIERAN CONTENER ALGÚN ELEMENTO EN INFRACCIÓN A LA LEY 23.737 Y/O 22.415, QUEDANDO LAS MISMAS CERRADAS Y EN GUARDA EN ESTA UOSP SEGUN LO COORDINADO CON EL JUZGADO INTERVINIENTE Y LA APERTURA SE REALIZARA CON AUTORIZACION DEL MAGISTRADO ACTUANTE.</t>
  </si>
  <si>
    <t>DRA. AIDA MARIA AHUMADA</t>
  </si>
  <si>
    <t>BATANAS MONTILLA JOSE LUIS,MONTILLA RUIZ, REMEDIOS S/INF LEY 22415</t>
  </si>
  <si>
    <t>1317/10 - Nº INT 11.534</t>
  </si>
  <si>
    <t>GORRTI 6083 Nº 6083 - C.A.B.A</t>
  </si>
  <si>
    <t>SE RECIBE OFICIO JUDICIAL, ORDENANDO TAREAS INVESTIGATIVAS EN EL DOMICILIO ANTES CITADO, TENDIENTES A DETERMINAR LA IDENTIDAD DE SUS MORADORES Y EN SU CASO MOVIMIENTOS MIGRATORIOS DE LOS MISMOS, TAMBIEN SE TENDRA QUE AVERIGUAR LA TITULARIDAD COMPLETA DEL NUMERO TELEFONICO 1139324351, Y TODO DATO DE INTERES PARA LA CAUSA.</t>
  </si>
  <si>
    <t>SE AMPLIA PARTE RESERVADO N° 6403 DE FECHA 14/10/10, EN RELACION AL EXPTE N° 561/10, CARATULADO AVERIGUACION INFRACCION LEY N° 24769, TRAMITADO ANTE EL JUZGADO FEDERAL DE SALTA N° 1 A CARGO DEL DR. JULIO LEONARDO BAVIO, SECRETARIA PENAL N° 2 A CARGO DEL DR. SANTIAGO FRENCH, CON INTERVENCION DE LA FISCALIA FEDERAL DE SALTA N° 2 A CARGO DEL DR. EDUARDO JOSE VILLALBA. SE INFORMA QUE SE HICIERON EFECTIVAS LAS RENOVACIONES DE LAS INTERVENCIONES TELEFONICAS DE LOS SIGUIENTES ABONADOS 3876-660918 Y 3876-425161 POR EL TERMINO DE 15 DIAS, AMBOS ABONADOS SON UTILIZADOS POR LA INVESTIGADA SANDRA ESTHER JEREZ. REFERENTE AL ABONADO NUMERO 3876-473841 EL CUAL SERIA UTILIZADO POR SANDRA ESTHER JEREZ Y EL ABONADO N° 3876-661421 EL QUE SERIA UTILIZADO POR SCARANO LORENA ERICA NATALIA, QUIEN TRABAJARIA JUNTO A SANDRA ESTHER JEREZ, LOS CUALES SE SOLICITO LA INTERVENCION TELEFONICA, SOLAMENTE SE AUTORIZO MEDIANTE OFICIO N° 3030/10 DE FECHA 15/10/10, LA INTERVENCION DEL ABONADO 3876-473841 POR EL LAPSO DE 15 DIAS. SE INFORMA QUE ENTRE LOS DIAS 19 Y 20 DE OCTUBRE DE 2010, SE DIO CUMPLIMIENTO AL OFICIO N° 2870/10 DE FECHA 04/10/10, EL CUAL ORDENABA QUE PERSONAL DE ESTA UNIDAD SE CONSTITUYA EN LA LOCALIDAD DE METAN PROVINCIA DE SALTA, A LOS EFECTOS DE REALIZAR SEGUIMIENTOS, VIGILANCIA, FILMACIONES Y/O TOMAS FOTOGRAFICAS SOBRE LOS DOMICILIOS Y/O PERSONAS INVOLUCRADAS EN LA PRESENTE CAUSA. DICHA COMISION SE REALIZO DE ACUERDO A LA ORDEN DE SERVICIO N° 034/10 DE FECHA 05/10/10, GENERADA POR ESTA UNIDAD. SE AMPLIARA A MEDIDA QUE SURJAN NOVEDADES</t>
  </si>
  <si>
    <t>BORRUTO, Mariel</t>
  </si>
  <si>
    <t>GONZALEZ, ALEJANDRO DAMIAN S/INFRACCION LEY 23.737</t>
  </si>
  <si>
    <t>592/09</t>
  </si>
  <si>
    <t>GONZALEZ, ALEJANDRO DAMIAN S/NOTIFICACION</t>
  </si>
  <si>
    <t>PUESTO DE CONTROL DE DOCUMENTACION</t>
  </si>
  <si>
    <t>INFORMO EN EL DÍA DE LA FECHA, SIENDO LAS 11.40 HS. DURANTE UN CONTROL DE RUTINA EN EL SECTOR DE PREEMBARQUE DEL VUELO AR-1853, DE LA EMPRESA AEROCOMERCIAL AEROLÍNEAS ARGENTINAS, SE INDIVIDUALIZA AL SEÑOR GONZÁLEZ ALEJANDRO DAMIAN, D.N.I. N° 30.505.061, SOBRE QUIEN PESA UNA SOLICITUD DE PARADERO, SEGÚN REGISTRO DE LA RED LINCE Nº 287743, RELACIONADO A LA CAUSA Y JUZGADO DE REFERENCIA. SEGUIDAMENTE SE ENTABLA COMUNICACIÓN EN LA PERSONA DE SU SECRETARIA DRA BORRUTO, MARIEL QUIEN INFORMADA DE LOS HECHOS, MANIFIESTA QUE EL CAUSANTE SE ENCUENTRA SOBRESEÍDO Y QUE SE NOTIFIQUE AL MISMO CONFORME A RESOLUCIÓN QUE ENVIARÁ A LA BREVEDAD VIA FAX A ESTA UNIDAD OPERACIONAL. SEGUIDAMENTE SE RECIBE VÍA FAX RESOLUCIÓN DE FECHA 01/09/10, REGISTRO BAJO EL NRO. 614/10, DEL JUZGADO ANTES CITADO. ACTO SEGUIDO, POR LO DISPUESTO POR S.SA. DRA. LILIAN HERRAEZ, EN LA RESOLUCIÓN ANTES MENCIONADA, SE NOTIFICA AL CAUSANTE, QUE HA SIDO SOBRESEÍDO, EN LA CAUSA DE REFERENCIA. ASIMISMO, SE ELEVARÁN ACTUACIONES REALIZADAS AL JUZGADO INTERVINIENTE.</t>
  </si>
  <si>
    <t>6614/10</t>
  </si>
  <si>
    <t>AV. SAN MARTIN Nº 1670 - BARRANQUERAS - CHACO</t>
  </si>
  <si>
    <t>EN EL DIA DE LA FECHA SE DIO CUMPLIMIENTO A LAS ORDENES DE ALLANAMIENTO DEL JUZGADO ACTUANTE: NRO. 35/10 PARA ALLANAR EL DOMICILIO UBICADO EN AV. SAN MARTÍN N° 1670 -BARRANQUERAS-CHACO,DONDE HABITA IRMA GRACIELA MONZÓN DNI Nº 23.408.874, DE OCUPACIÓN EMPLEADA. EN EL ALLANAMIENTOS NO SE PRODUJERON DETENCIONES NI SECUESTRO DE SUSTANCIA ESTUPEFACIENTE NI ELEMENTOS DE INTERÉS QUE PUEDAN RELACIONARSE CON LA CAUSA.</t>
  </si>
  <si>
    <t>MARINICH, ESTELA</t>
  </si>
  <si>
    <t>"GALEANO, ANDRÉS A. INSPECTOR - JEFE DE UNIDAD OPERACIONAL RCIA. POL. DE SEGURIDAD AEROPORTUARIA S/PEDIDO DE APERTURA DE SACA, EXPTE. N°434/2010",</t>
  </si>
  <si>
    <t>EXPTE 434/2010</t>
  </si>
  <si>
    <t>CALLE PUEYRREDON N° 1214</t>
  </si>
  <si>
    <t>PUERTO SAN JULIAN - PROVINCIA DE SANTA CRUZ</t>
  </si>
  <si>
    <t>SIENDO LAS 09:30 HS PERSONAL DE UOCN Y DC Y UOSP GALLEGOS PROCEDEN A DAR CUMPLIMIENTO A ORDEN DE ALLANAMIENTO N° 37/10 -POR ARTICULO 32 DE LA LEY 23.737- PROCEDENTE DEL JUZGADO FEDERAL DE RESISTENCIA CHACO, EN REFEERENCIA A LA CAUSA DE MARRAS, ENCONTRANDOSE EN LA MORADA DOS PERSONAS UNA SEXO MASCULINO IDENTIFICADO COMO ENRIQUE ORLANDO GONZALEZ Y OTRA FEMENINO IDENTIFICADA COMO SILVIA INES MARTINEZ, LUEGO DEL REGISTRO CORRESPONDIENTE SE ENCUENTRA EN LA VIVIENDA UNA BOLSA PLASTICA CON DE UNA SUSTANCIA VEGETAL A LA CUAL SE LE REALIZA REACTIVO DE CAMPO DANDO POSITIVO A MARIHUANA Y TAMBIEN SE PROCEDE AL SECUESTRO DE DOCUMENTACION QUE SERIA DE INTERES PARA LA CAUSA.-</t>
  </si>
  <si>
    <t>SIENDO LA HORA Y EL DÍA ANTES MENCIONADO SE IMPLEMENTA OPERATIVO DE SEGURIDAD PARA EL ARRIBO Y POSTERIOR PARTIDA DE LA SRA. PRESIDENTE DE LA NACIÓN, QUIEN ARRIBO A LA AEROSTACIÓN MILITAR A LAS 16:17 HORAS EN EL VUELO H-01 Y LUEGO PARTIÓ EN EL VUELO LV-BRJ CON DESTINO A LA CIUDAD DE EL CALAFATE A LAS 16:33 HORAS, FINALIZANDO DICHO OPERATIVO A LAS 16:45 HORAS SIN NOVEDAD.</t>
  </si>
  <si>
    <t>CALLE 2 DE FEBRERO 1635 - BARRANQUERAS - CHACO</t>
  </si>
  <si>
    <t>EN EL DIA DE LA FECHA SE DIO CUMPLIMIENTO A LA ORDEN DE ALLANAMIENTO DEL JUZGADO ACTUANTE NRO.36/10 DONDE SE ALLANO EL DOMICILIO UBICADO EN CALLE 2 DE FEBRERO N°1635 DE LA LOCALIDAD DE BARRANQUERAS -CHACO, DONDE HABITA JORGE EDUARDO MUÑOZ DNI 21.686.550 DE NACIONALIDAD ARGENTINO, DE OCUPACIÓN DOCENTE, NO SE PRODUJERON DETENCIONES NI SECUESTRO DE SUSTANCIA ESTUPEFACIENTE, NI ELEMENTOS ELEMENTOS DE INTERÉS QUE PUEDAN SE RELACIONARSE CON LA CAUSA</t>
  </si>
  <si>
    <t>LAPRIDA 662, LOMAS DE ZAMORA, PCIA DE BS AS</t>
  </si>
  <si>
    <t>EL DIA DE LA FECHA SE CUMPLIMENTO OFICIO JUDICIAL EMANADO POR EL JUZGADO DE MENCION EL DIA 18 DEL CORRIENTE MES Y AÑO, EL CUAL ORDENABA SE TRASLADEN DESDE EL ASIENTO DEL JUZGADO DE RESPONSABILIDAD PENAL JUVENIL NRO 1 DEL DEPARTAMENTO JUDICIAL DE LOMAS DE ZAMORA HACIA LA SEDE DEL JUZGADO ANTES MENCIONADO, QUE EN VIRTUD A LO ORDENADO EL DIA DE LA FECHA SIENDO LAS DIEZ HORAS CINCUENTA MINUTOS PERSONAL POLICIAL SE HACE PRESENTE EN EL JUZGADO PENAL JUVENIL NRO 1 ENTREVISTANDOSE CON S.SA. DRA. ISABEL ACION JUEZA TITULAR DE DICHO ORGANISMO QUIEN HACE ENTREGA DE LOS LIBROS DE TRAMITE, DE REGISTRO Y DE INDICE DE LOS EXPEDIENTES DE GUARDA TRAMITADOS ANTE EL TRIBUNAL DE MENORES NRO 1 DEPARTAMENTAL ENTRE LOS AÑOS 1976 Y 1983, COMO ASI TAMBIEN SIETE LEGAJOS HISTORICOS, SOLICITADOS POR EL DR. FERREIRO PELLA, TRASLADANDO LOS MISMOS A SEDE DEL JUZGADO FEDERAL DE PRIMERA INSTANCIA EN LO CRIMINAL Y CORRECCIONAL NRO 2 DE LOMAS DE ZAMORA, SECRETARIA NRO 4 SIN NOVEDAD.</t>
  </si>
  <si>
    <t>EN CUMPLIMIENTO A ORDEN DE SERVICIO NRO. 270/10 EMANADA POR LA URSA II DEL CENTRO SE EFECTUO OPERATIVO DE SEGURIDAD A LA SRA MINISTRA DRA.NILDA GARRE Y COMITIVA RETIRANDOSE DE ESTE AEROPUERTO INTERNACIONAL HACIA LA CIUDAD AUTONOMA DE BUENOS AIRES SIN NOVEDAD ALGUNA. EL OPERATIVO DE SEGURIDAD SE REALIZO CON TOTAL NORMALIDAD CULMINANDO EL MISMO AL FINALIZAR LA PARTIDA DE LA MINISTRA Y SU COMITIVA</t>
  </si>
  <si>
    <t>ROSANA V. BERLINGIERI</t>
  </si>
  <si>
    <t>SAMUEL, VERONICA ANDREA S/INFRACCION LEY 22415 EN TENTATIVA - INCIDENTE DE SOLICITUD DE ARRESTO DOMICILIARIO DE SAMUEL VERONICA ANDREA -</t>
  </si>
  <si>
    <t>LA PAZ 256 CASA 1 ROSARIO Y HOSPITAL DE NIÑOS VICTOR J VILELA DE ROSARIO</t>
  </si>
  <si>
    <t>EN EL DIA DE LA FECHA SE CUMPLIMENTO O.S. 045/10 EN CUMPLIMIENTO A OFICIO EMANADO DEL JUZGADO ACTUANTE, TRASLADANDO EN EL MOVIL DE DOTACION DE ESTA U.O.S.P., FORD RANGER DOMINIO GTJ-671, A LA CAUSANTE JUNTO A SU HIJO MENOR DESDE SU DOMICILIO DE ARRESTO AL HOSPITAL VICTOR J VILELA DE LA CIUDAD DE ROSARIO. EN EL HOSPITAL EL MENOR FUE ATENDIDO Y EXAMINADO POR LA DRA MARIELLA L. MARTINEZ MEDICA PEDIATRA M.P. 13956 M.N. 109200 Y REG ESP 42/97, EXTENDIENDO CONSTANCIA DE ATENCION. FINALIZADO EL EXAMEN SE REALIZA TRASLADO DE LA MADRE Y EL MENOR A SU DOMICILIO PARTICULAR, LABRANDOSE ACTA DE CONSTANCIA.</t>
  </si>
  <si>
    <t>SE CONFECCIONA EL PRESENTE A LOS EFECTOS DE INFORMAR QUE SIENDO LAS 19:05 HS LOCAL SE PRODUJO EL ARRIBO DE LA AERONAVE CITATION X MATRICULA LV-BRJ PERTENCIENTE A LA EMPRESA ROYAL CLASS LA CUAL TRANSPORTABA A LA SRA PRESIDENTE SU SR ESPOSO Y SECRETARIOS, SIN NOVEDAD</t>
  </si>
  <si>
    <t>TAQUILLA DEL AEROPUERTO</t>
  </si>
  <si>
    <t>SIENDO LA FECHA Y HORA ANTES MENCIONADA EL OFICIAL ELLINGHAUS JUNTAMENTE CON EL OFICIAL VILAS MOMENTOS EN QUE SE ENCONTRABAN REALIZANDO UN CONTROL PREVENTIVO A LOS VEHICULOS EN EL SECTOR TAQUILLA , DETIENEN UN VEHICULO TAXI, EL CUAL POSEIA LA HABILITACION CORRESPONDIENTE VENCIDA CON FECHA 13/5/2010, POR TAL MOTIVO SE PROCEDE A DESCENDER A LOS PASAJEROS QUIENES TOMAN OTRO VEHICULO TAXI, POR LO CUAL SE PROCEDE A TRASLADAR AL INFRACTOR AL TURNO DE PREVENCION PARA REALIZAR LAS ACTUACIONES CONTRAVENCIONALES CORRESPONDIENTES, Y SE PROCEDE A SECUESTRAR EL VEHICULO TAXI.</t>
  </si>
  <si>
    <t>HALLAZGO DE AUTOMOTOR</t>
  </si>
  <si>
    <t>ESTACIONAMIENTO EN CERCANIAS A LA ZONA DE ACCESO A LOS HANGARES DE LA EMPRESA AEROLINEAS ARGENTINAS</t>
  </si>
  <si>
    <t>SIENDO LAS 1800 HORAS APROXIMADAMENTE EL OFICIAL VERA PERTENECIENTE A LA UNIDAD DE OPERACIONES ESPECIALES DE SEGURIDAD AEROPORTUARIA, QUIEN SE ENCONTRABA REALIZANDO RECORRIDAS POR LAS ZONAS RESTRINGIDAS Y PUBLICAS DE ESTE MEDIO, OBSERVA QUE SE ENCONTRABA ESTACIONADO UN RODADO DE COLOR GRIS MARCA CHEVROLET MODELO MERIVA DOMINIO COLOCADO GDS 094, DOMINIO GRABADO EN LOS CRISTALES EQR512, CON CARACTERISTICAS PROPIAS DEL DESUSO Y SIGNOS DE HABER SIDO ABANDONADO. POR TAL MOTIVO LE DA LA NOVEDAD AL OFICIAL RIOS JEFE DE TURNO, QUIEN REALIZA LA CONSULTA PERTINENTE CON LA DNRPA, SOBRE LOS DOMINIOS DE MENCION, DE LA CUAL SE DESPRENDE QUE SOBRE EL DOMINIO EQR 512, PESA UN PEDIDO DE SECUESTRO VIGENTE, Y SOBRE EL DOMINIO GDS 094, UNA PROHIBICION VIGENTE DE CIRCULAR, POR TAL MOTIVO SE REALIZARON LAS CONSULTAS PERTINETES CON EL JUZGADO DE TURNO,QUIEN ORDENO QUE LABRE LAS ACTUACIONES PERTINENTES, SE PROCEDA AL SECUESTRO DEL VEHICULO, SE REALICEN TOMAS FOTOGRAFICAS, SE EFECTUE LEVANTAMIENTO DE RASTROS, Y SE ELEVE TODO LO ACTUADO A SEDE JUDICIAL .</t>
  </si>
  <si>
    <t>DESDE AEROPARQUE A AEROPUERTO DE SANTA FE Y TRASLADO X REMIS AL ALOJAMIENTO DEL PAX A CARGO DE LA COMP. AEREA</t>
  </si>
  <si>
    <t>EL DÍA 18 DEL CORRIENTE ARRIBO EN ESTE AEROPARQUE DE UN VUELO PROVENIENTE DE SAO PAULO, BRASIL, AR 1241, DE AEROLÍNEAS ARGENTINAS RETIRO SU EQUIPAJE DESPACHADO Y LUEGO SE DIRIGIÓ AL CHECK-IN A DESPACHAR SU MOCHILA POR LA MISMA EMPRESA PARA ABORDAR EL VUELO AR 1712, CON DESTINO SANTA FE, CON HORARIO PREVISTO DE PARTIDA 1710 HS. AL LLEGAR A DESTINO SIENDO APROXIMADAMENTE LAS 18:10 HORAS, AGUARDO UNA MEDIA HORA SU EQUIPAJE, PERO AL VER QUE ESTE NO LLEGABA REALIZA EL RECLAMO CON LA EMPRESA, LA CUAL LE INFORMO QUE EL DÍA 19 A LAS 14:00 HORAS RECIBIRÍA SU EQUIPAJE EN EL HOTEL DONDE ESTE SE IBA A HOSPEDAR. EL CUAL RECIBIÓ POR UN CHOFER A LAS 19:00 HORAS, AL APERTURAR LA MOCHILA SE PERCATO DEL FALTANTE DE ELEMENTOS DE SU INTERIOR.</t>
  </si>
  <si>
    <t>OFICINA FISCAL Nº 5 LAS HERAS MENDOZA</t>
  </si>
  <si>
    <t>GONZALEZ</t>
  </si>
  <si>
    <t>CABECERA 36 SUR</t>
  </si>
  <si>
    <t>SIENDO LAS CINCO HORAS CUARENTA Y CINCO MINUTOS, SE COMUNICA VíA NEXTEL, EL DENUNCIANTE QUIEN INFORMA EL FALTANTE EN LA CABECERA SUR DE LA PISTA DENOMINADA 36 DE LOS SIGUIENTES ELEMENTOS: CINCO (05) EQUIPOS REFLECTORES COMPLETOS DENOMINADOS BARRA DE ALA DE UMBRAL. INMEDIATAMENTE Y AL TOMAR CONOCIMIENTO DE LA NOVEDAD, SE TRASLADA EN MóVIL 24 HASTA EL LUGAR DEL HECHO, EL JEFE DE TURNO Y AUXILIAR DE TURNO CORROBORANDO LO INFORMADO POR EL JEFE DE BASE Y POSTERIORMENTE REALIZANDO UNA RECORRIDA COMPLETA POR EL LUGAR NO OBSERVANDO NOVEDAD ALGUNA.SIENDO LAS SEIS HORAS CON TREINTA MINUTOS SE REALIZO LA COMUNICACIóN CON LA FISCALíA DE TURNO A QUIEN SE LE EXPONE LOS HECHOS Y QUIEN DISPONE : 1) SE DERIVE EL DENUNCIANTE A ESA OFICINA FISCAL PARA QUE REALICE LA DENUNCIA CORRESPONDIENTE, 2) SE REALICE UNA INSPECCIóN OCULAR CON COMPLEJO FOTOGRáFICO DE LOS DAñOS CAUSADOS, 3) SE INICIE LAS ACTUACIONES CORRESPONDIENTES Y 4) SE ELEVEN LAS ACTUACIONES, A LO QUE SE DA ESTRICTO CUMPLIMIENTO</t>
  </si>
  <si>
    <t>NACIONAL CRIMINAL DE INSTRUCCION Nº 33</t>
  </si>
  <si>
    <t>Dieta de Herrero</t>
  </si>
  <si>
    <t>HERNANDEZ DIEGO M.</t>
  </si>
  <si>
    <t>INFORMO QUE EN EL CONTROL DE DOCUMENTACIÓN DE LOS PASAJEROS DEL VUELO 2814 DE LA EMPRESA AUSTRAL LINEAS AÉREAS SE DETECTO A TRAVÉS DEL SISTEMA DE INTERPOL PEDIDO DE PARADERO VIGENTE SOLICITADO POR EL JUZGADO DE REFERENCIA SE RECIBE ACTA DE INTERPOL Y SE CONFECCIONA ACTA DE NOTIFICACIÓN CON TERMINO DENTRO DE LOS CINCO DÍAS HÁBILES</t>
  </si>
  <si>
    <t>JUZGADO CRIMINAL DE INSTRUCCION Nº 28</t>
  </si>
  <si>
    <t>DRA DE LAURENTIS NATALIA</t>
  </si>
  <si>
    <t>0006546/00</t>
  </si>
  <si>
    <t>INFORMO QUE EN EL CONTROL DE DOCUMENTACIÓN DE LOS PASAJEROS DEL VUELO 4029 DE LA EMPRESA LAN ARGENTINA SE DETECTO A TRAVÉS DEL SISTEMA DE INTERPOL PEDIDO DE PARADERO VIGENTE SOLICITADO POR EL JUZGADO DE REFERENCIA SE RECIBE ACTA DE INTERPOL Y SE CONFECCIONA ACTA DE NOTIFICACIÓN CON TERMINO DENTRO DE LOS CINCO DIAS HÁBILES</t>
  </si>
  <si>
    <t>HANGAR DE LA FUERZA AEREA ARGENTINA PLATAFORMA</t>
  </si>
  <si>
    <t>SE CONFECCIONA EL PRESENTE A LOS FINES DE INFORMAR QUE SIENDO LA HORA 19:23 (LOCAL) DESPEGA DE ESTE AEROPUERTO ACFT CITATION X, MATRICULA LV-BRJ DE LA EMPRESA ROYAL CLASS CON LA SRA. PRESIDENTE DE LA NACION DRA CRISTINA FERNANDEZ JUNTO A SU ESPOSO DR NESTOR CARLOS KIRCHNER Y COMITIVA RUMBO A LA CIUDAD DE EL CALAFATE (PROVINCIA DE SANTA CRUZ), SIN NOVEDAD</t>
  </si>
  <si>
    <t>SIENDO LAS DIECINUEVE HORAS CON CINCUENTA MINUTOS LOCAL ARRIBA AERONAVE MATRICULA LV-BRJ CON SEÑORA PRESIDENTA DE LA NACIÓN, SEÑOR EX PRESIDENTE DE LA NACIÓN DOCTOR NÉSTOR KIRCHNER Y COMITIVA, PROCEDENTES DE LA CUIDAD DE RÍO GALLEGOS SIN NOVEDAD. AERONAVE PERNOCTA EN ESTE AEROPUERTO HASTA EL DÍA 27 DE OCTUBRE 2010.-</t>
  </si>
  <si>
    <t>RÍO GALLEGOS</t>
  </si>
  <si>
    <t>TENENCIA ILEGAL DE ESTUPEFACIENTE Y BIENES DEL PATRIMONIO CULTURAL DE LA NACION</t>
  </si>
  <si>
    <t>EN MOMENTOS QUE SE REALIZABA CONTROL DE RUTINA EN EQUIPO DE RAYOS X, AL EMBARCAR EL VUELO 1865 SE DETECTA EN EL BOLSO DE MANO DEL PASAJERO CASTILLO, MARCELO QUE TRANSPORTABA UN SUSTANCIA ORGANICA, AL SER INSPECCIONADO EN FORMA MANUAL, SE DETECTA UNA SUSTANCIA VEGETAL QUE PODRIA TRATARSE DE PICADURA DE MARIHUANA, ACTO SEGUIDO Y EN PRESENCIA DE LOS TESTIGOS HABILES, SE REALIZA UN REACTIVO DE CAMPO NIK, ARROJANDO RESULTADO POSITIVO AL TEST DE MARIHUANA. ASIMISMO SE PROCEDE AL REGISTRO DEL EQUIPAJE DESPACHADO, ENCONTRANDO UNA TARJETA DE CREDITO EMITIDA POR EL BANCO NACION DE LA REPUBLICA ARGENTINA A NOMBRE DE UN TERCERO Y UNA PIEZA FOSILIZADA DENOMINADA OSTRERA DECLARADO PATRIMONIO CULTURAL DE LA NACION ARGENTINA. SE DA INTERVENCIÓN AL JUZGADO FEDERAL DE RAWSON SECRETARIA PENAL A CARGO DEL DR. RODOLFO MIQUELARENA, EL CUAL ORDENA SE LABREN ACTUACIONES DE RIGOR, SE SECUESTRE LA SUSTANCIA, LA OSTRERA Y LA TARJETA DE CREDITO Y SE PROCEDA A NOTIFICAR DE LA CAUSA AL IMPUTADO Y UNA VEZ FINALIZADAS EL PASAJERO PROSIGA CON SU VIAJE PROGRAMADO.-</t>
  </si>
  <si>
    <t>TORRE DE CONTROL, SALON PREEMBARQUE, SALON DE ARRIBOS, HALL CENTRAL</t>
  </si>
  <si>
    <t>SIENDO LAS 18:30 HORAS, APROXIMADAMENTE, Y POSTERIOR A UNA FUERTE TORMENTA, LA QUE PRODUJO FILTRACIONES Y ROTURAS EN MANPOSTERIAS DEL INTERIOR DEL AEROPUERTO, ESPECIFICAMENTE EN LAS SALAS DE PREEMBARQUE, ARRIBOS, HALL CENTRAL , SALON TABLEROS ELECTRICOS Y TORRE DE VUELO, EN DONDE SE PRODUJO LA ROTURA DE TRES CRISTALES EN SU ULTIMO PISO , AFECTANDO LA OPERATIVIDAD DE LA SALA DE CONTROL DE TRANSITO AEREO. POSTERIORMENTE SE REALIZA INSPECCION DE LOS SECTORES Y OFICINAS ASIGNADOS A ESTA UNIDAD OPERACIONAL, LOS QUE SE ENCONTRABAN SIN NOVEDAD. SIENDO LAS 19.20 HORAS PERSONAL DE TURNO EN PLAN DE VUELO, INFORMA QUE SE HABIA EMITIDO UN NOTAM, EN EL QUE SE HACIA REFERENCIA A QUE ESTE AEROPUERTO SE ENCONTRABA SIN SERVICIO DE CONTROL DE TRANSITO AEREO, HASTA EL DIA LUNES A LAS 12:00 HORAS, POR HABERSE PRODUCIDO DAÑOS EDILICIOS EN LAS INSTALACIONES DE LA TORRE DE CONTROL.ASIMISMO Y SIENDO LAS 20:00 HORAS EL JEFE DE ANAC INFORMA QUE EL DIA 24 DEL CORRIENTE, A LAS 10:00 HORAS APROXIMADAMENTE SE REEVALUARA DE ACUERDO A DESARROLLO METEOROLOGICO SI ES FACTIBLE RETOMAR LA OPERATIVIDAD DE ESTE AEROPUERTO.</t>
  </si>
  <si>
    <t>LUEGO DE ARRIBAR, EL DENUNCIANTE RETIRA SUS EQUIPAJES DESPACHADOS Y LOS TRASLADA JUNTO A SUS RESTANTES PERTENENCIAS EN UN CARRO HACIA EL SECTOR DE ESTACIONAMIENTO. UNA VEZ ALLI SE CONTACTA CON LA PERSONA QUE LO TRASLADRÍA Y DEPOSITAN SUS PERTENENCIAS DENTRO DEL VEHICULO. LUEGO, YA EN CERCANIAS DEL PEAJE DE LA AUTOPISTA RICCHIERI, SE PERCATA QUE HABIA OLVIDADO UN PORTA NOTEBOOK DENTRO DEL CARRO TRANSPORTADOR DE EQUIPAJES POR LO CUAL REGRESA A ESTE MEDIO Y AL NO PODER DAR CON EL MISMO EFECTUA LA CORRESPONDIENTE DENUNCIA.</t>
  </si>
  <si>
    <t>SIENDO APROXIMADAMENTE LAS 16.00 HORAS DEL DÍA 23 DE OCTUBRE DE 2010, EN EL AEROPUERTO INTERNACIONAL MINISTRO PISTARINI (EZEIZA, BUENOS AIRES), EN MOMENTOS EN QUE SE EFECTUABA EL CONTROL PREVENTIVO DE LOS EQUIPAJES DESPACHADOS POR BODEGA PARA EL VUELO AF 417 DE LA EMPRESA AEROCOMERCIAL AIR FRANCE CON DESTINO A PARIS Y CONEXIONES, EN EL PUESTO DENOMINADO PATIO DE VALIJAS SITO EN LA TERMINAL A, PERSONAL POLICIAL OBSERVÓ A TRAVÉS DE LA MAQUINA DE RX, LA EXISTENCIA DE SUSTANCIA ORGÁNICA DE BAJA DENSIDAD CONTENIDA EN EL INTERIOR DE UNO DE LOS EQUIPAJES DE GRANDES DIMENSIONES TIPO CARRY ON, SIN PODER DISCERNIR DE QUE ELEMENTO SE TRATABA. POR TAL MOTIVO, SE CONVOCÓ LA PRESENCIA DE LOS TESTIGOS Y DEL PROPIETARIO DEL EQUIPAJE Y PREVIA AUTORIZACIÓN DE LA JUDICATURA INTERVINIENTE SE PROCEDIÓ A EFECTUAR LA REQUISA DE LA VALIJA EN CUESTIÓN, HALLÁNDOSE DENTRO DE LA MISMA UN CAMBIADOR PARA BEBE Y UN PORTA NOTEBOOK LOS CUALES CONTENÍAN CADA UNO DOS PAQUETES CON SUSTANCIA, QUE SOMETIDA A REACTIVO PARA CLORHIDRATO DE COCAÍNA ARROJO RESULTADO POSITIVO. EL CAUSANTE POSEÍA A SU VEZ UN PORTA NOTEBOOK COMO EQUIPAJE DE MANO QUE TAMBIÉN POSEÍA 2 PAQUETES CON SUSTANCIA ESTUPEFACIENTE EN SU INTERIOR.INFORMADO EL JUZGADO DEL RESULTADO DE LA REQUISA DISPUSO LA DETENCIÓN DEL CAUSANTE EN CARÁCTER DE INCOMUNICADO Y SE ELEVE EL DETENIDO JUNTO CON LAS ACTUACIONES Y LA TOTALIDAD DE LOS SECUESTROS A PRIMERA HORA DEL DÍA LUNES PRÓXIMO. SE INFORMA EN PU Nº6682 DEL DIA 25/10/2010 QUE SIENDO LAS 07.00 HS SE EFECTUO EL TRASLADO DEL DETENIDO A SEDE JUDICIAL.</t>
  </si>
  <si>
    <t>EN MOMENTOS EN QUE PERSONAL POLICIAL SE ENCONTRABA REALIZANDO EL CONTROL PREVENTIVO A LOS PASAJEROS Y EQUIPAJES DE MANO DEL VUELO AR 1132 DE LA EMPRESA AEROLÍNEAS ARGENTINAS, CON DESTINO A LA CIUDAD MADRID, ESPAÑA, SE HIZO PRESENTE UN PASAJERO DE SEXO MASCULINO QUIEN AL TRASPASAR EL ARCO DETECTOR DE METALES, ACTIVO LA ALARMA SONORA Y LUMÍNICA DEL MISMO, POR LO QUE SE PROCEDIÓ A REALIZARLE UN CONTROL SOBRE SUS ROPAS, DETECTANDO QUE A LA ALTURA DE LA ZONA INGUINAL SE ENCONTRABAN PROTUBERANCIAS AJENAS A LA CONTEXTURA FÍSICA DE LA PERSONA. ANTE ESTE HECHO, SE TRASLADÓ A LOS INTERVINIENTES A LA GUARDIA DE PREVENCIÓN JUNTO CON LOS TESTIGOS Y OBTENIDA LA AUTORIZACIÓN DE LA JUDICATURA ACTUANTE, SE PROCEDIÓ A LA REQUISA DEL PASAJERO. UNA VEZ QUE EL CAUSANTE SE QUITÓ SUS ROPAS, SE OBSERVÓ QUE DEBAJO DE LOS PANTALONES TENÍA COLOCADAS UNA CALZA DE COLOR NEGRO Y POR DEBAJO DE ESTA OTRA DE SIMILARES CARACTERÍSTICAS PERO QUE PRESENTABA DIVERSAS PROTUBERANCIAS. SEGUIDAMENTE SE PROCEDIÓ A DESCOSER UNA DE LAS DIVISIONES VISIBLES QUE OSTENTABA EN LA PARTE DELANTERA HALLÁNDOSE EN SU INTERIOR 31TUBOS CONFECCIONADOS EN NYLON FORRADOS CON CINTA ADHESIVA TRANSPARENTE, DENOMINADOS LOS CUALES POSEÍAN UNA SUSTANCIA QUE AL SER SOMETIDA A REACTIVO DE CAMPO PARA CLORHIDRATO DE COCAÍNA ARROJÓ RESULTADO POSITIVO. SE INFORMARON LOS RESULTADOS AL JUZGADO INTERVINIENTE DISPONIENDO LA DETENCIÓN DEL PASAJERO EN CARÁCTER DE INCOMUNICADO Y SE TRASLADE AL MISMO, JUNTO CON LA ELEVACIÓN DE LAS ACTUACIONES Y SECUESTROS A SEDE JUDICIAL A PRIMERA HORA DEL DÍA LUNES PRÓXIMO. SE INFORMA EN PU Nº6683 DEL DIA 25/10/2010 QUE SIENDO LAS 07.00 HS SE EFECTUO EL TRASLADO DEL DETENIDO A SEDE JUDICIAL</t>
  </si>
  <si>
    <t>6671/10</t>
  </si>
  <si>
    <t>INFORMO QUE EN EL DIA DE LA FECHA SE REALIZARON REPARACIONES DE EMERGENCIA EN LA TORRE DE CONTROL Y SIENDO LAS 10:00 HORAS PERSONAL DE TURNO EN PLAN DE VUELO INFORMA QUE SE EMITIO UN NOTAM EN EL QUE SE HACE REFERENCIA QUE EL AEROPUERTO SAN LUIS SE ENCUENTRA NUEVAMENTE OPERABLE.</t>
  </si>
  <si>
    <t>SALON ADUANERO</t>
  </si>
  <si>
    <t>SIENDO LA FECHA Y HORA ANTES MENCIONADO PERSONAL POLICIAL PERTENECIENTE AL CENTRO OPERATIVO DE CONTROL, DETECTA A TRAVES DE LA IMÁGENES DE LAS CÁMARAS DE SEGURIDAD, LA PRESENCIA DE UN MASCULINO, EL CUAL SE ENCONTRABA EFECTUANDO TAREAS DE ASISTENCIA AL PASAJERO, COMO MALETERO A TRANSEÚNTES EN EL SECTOR DE LAS CINTAS DE EQUIPAJES. POR TAL MOTIVO SE APERSONA PERSONAL POLICIAL QUE CONSTATA, QUE EL MASCULINO EN CUESTIÓN CARECE DE LA HABILITACIÓN CORRESPONDIENTE POR EL CONCESIONARIO DE ESTE AEROPUERTO, PARA EJERCER DICHA TAREA . EN TAL SENTIDO SE PROCEDE A LA IDENTIFICACIÓN Y APREHENSIÓN PREVENTIVA DEL CAUSANTE. QUE UNA VEZ CULMINADAS LAS DILIGENCIAS DE RIGOR EL CAUSANTE SE RETIRA DE ESTA DEPENDENCIA POR SUS PROPIOS MEDIOS</t>
  </si>
  <si>
    <t>DR. HORACIO JOAQUIN SEGURA</t>
  </si>
  <si>
    <t>INFORMO QUE EN EL CONTROL DE DOCUMENTACIÓN DE PASAJEROS DEL VUELO NRO. 4025 DE LA EMPRESA LAN ARGENTINA SE DETECTA A TRAVÉS DEL SISTEMA DE INTERPOL EL PEDIDO DE CAPTURA -VIGENTE SOLICITADO POR EL JUZGADO PENAL ECONÓMICO NRO 5, SECRETARIA Nº 9 - CAPITAL FEDERAL, CORRESPONDIENTE AL SR. JORGE HÉCTOR BETANZOS, ANTE EL HECHO PERSONAL DE INTERPOL REALIZA UN ACTA Y ENTREGA AL JEFE DE TURNO. ACTO SEGUIDO SIENDO LAS 13:00 HS. SE ESTABLECE COMUNICACIÓN TELEFÓNICA CON EL ABONADO Nº 011-1556924979, PERTENECIENTE AL DR. HORACIO JOAQUÍN SEGURA A/C DE LA SECRETARIA Nº 9 DEL JUZGADO SOLICITANTE DE LA MEDIDA, QUIEN ENTERADO DE LOS HECHOS, ORDENA SE NOTIFIQUE AL SR. JORGE HÉCTOR BETANZOS, A COMPARECER AL JUZGADO PENAL ECONÓMICO Nº 5 - SECRETARIA Nº 9, EN EL TÉRMINO DE TRES DÍAS HÁBILES Y SE REALICE CONSTATACIÓN DE DOMICILIO MEDIANTE COMUNICACIÓN TELEFÓNICA Y QUE EL MISMO PROSIGA SU VIAJE.</t>
  </si>
  <si>
    <t>SANSEBASTIAN MIRTA EDITH S/DENUNCIA</t>
  </si>
  <si>
    <t>SANSEBASTIAN MIRTA EDITH S/DENUNCIA-ROBO</t>
  </si>
  <si>
    <t>SECTOR ARRIBO EQUIPAJES</t>
  </si>
  <si>
    <t>EN EL DÍA DE LA FECHA LA CIUDADANA MIRTA EDITH SANSEBASTIAN, DNI 17.185.550, RADICO DENUNCIA DE ROBO POR EL FALTANTE DE UNA UNA BOLSA DE NYLON COLOR AZUL, CONTENIENDO EN SU INTERIOR VARIAS PRENDAS NUEVAS DE VESTIR PARA MUJER POR UN VALOR APROXIMADO DE PESOS QUINIENTOS, LAS QUE FUERON DESPACHADAS DENTRO DE UN BOLSO DE TELA COLOR NEGRO BAJO MARBETE Nº 04-65-39, PERCATÁNDOSE AL RETIRAR SU EQUIPAJE EN EL AEROPUERTO DE USHUAIA, QUE EL MISMO SE ENCONTRABA ABIERTO EN UNO DE SUS COSTADOS Y CON DAÑOS EN LA HEBILLA DEL CIERRE. ASIMISMO POR ESTE HECHO SE DIO INTERVENCIÓN AL JUZGADO DE INSTRUCCIÓN DE SEGUNDA NOMINACIÓN DEL DISTRITO JUDICIAL SUR DE LA PROVINCIA DE TIERRA DEL FUEGO A.E.I.A.S.QUIEN DISPUSO SE LABREN LAS ACTUACIONES DE RIGOR</t>
  </si>
  <si>
    <t>AR1896</t>
  </si>
  <si>
    <t>BUENOS AIRES - JORGE NEWBERY</t>
  </si>
  <si>
    <t>6496/10</t>
  </si>
  <si>
    <t>AMPLIANDO PARTE URGENTE Nº 6496 - Nº REGISTRO PSA 5139, INFORMO: QUE EN EL DIA DE LA FECHA SE PRESENTA EN EL TURNO DE ESTA PREVENCIÓN LA JEFA DE AEROPUERTO ACCIDENTAL SRA. EMILIA MARIANA PEREZ LICENCIA Nº 52241, ENTREGANDO NOTA S/Nº ADUSU DE FECHA 24/10/2010, ADJUNTANDO FOTOCOPIA DE PLANILLA DE REVISIÓN TÉCNICA DE VUELO PNº 520096 CORRESPONDIENTE A LA AERONAVE MATRICULA LV-VBX - CONFECCIONADA POR PERSONAL ESPECIALIZADO DE LA EMPRESA AEROLÍNEAS ARGENTINAS SR. ALDO DE MARCO D.N.I. Nº 13.356.101 LIC. Nº 44303. ANTE ESTA NOVEDAD SE DA AVISO AL JUZGADO Y FISCALÍA INTERVINIENTE NO DISPONIENDO MEDIDA ALGUNA EN RELACIÓN AL HECHO, ASIMISMO LA AERONAVE EN CUESTIÓN DESPEGO HACIA EL AEROPARQUE METROPOLITANO EN FERRY A LA 14:10 HS. LOCAL APROXIMADAMENTE</t>
  </si>
  <si>
    <t>PERSONAL A CARGO DEL PREEMBARQUE SOLICITA LA PRESENCIA DEL JEFE DE TURNO EN VIRTUD A UN INCONVENIENTE CON UN PASAJERO, QUE MANIFESTABA QUE LE HABIAN SACADO DINERO, POR LO CUAL EL JEFE DE TURNO SE HACE PRESENTE EN ESE SECTOR CONVOCANDO LA PRESENCIA DE DOS TESTIGOS. SEGUIDO A ELLO, SE PONE EN CONTACTO CON EL PASAJERO QUE MANIFIESTA HABER NOTADO EN EL SECTOR MIGRATORIO QUE UNO DE LOS BOLSILLOS DE SU PANTALON ESTABA ABIERTO, SIENDO QUE EL LO TENIA CERRADO Y HABIENDO NOTANDO EL FALTANTE DE 500 DOLARES EN EFECTIVO QUE RESGUARDABA EN ESE BOLSILLO. ES INVITADO A RADICAR LA DENUNCIA, DESISTIENDO EN VIRTUD A QUE PERDÍA EL VUELO Y QUE PARA EL NO TENIA SENTIDO. RETIRANDOSE A TOMAR SU VUELO. ANTE ESTA SITUACION SE ORDENA LA REQUISA PREVENTIVA CON LAS CONSIDERACIONES DEL CASO Y LA PRESENCIA DE LOS TESTIGOS, SOBRE LOS OFICIALES QUE SE ENCONTRABAN APOSTADOS EN LA MAQUINA DE RX POR LA CUAL SE SOMETIERA A LOS CONTROLES EL PASAJERO EN CUESTION, EN BUSCA DEL DINERO FALTANTE, OBTENIENDOSE EN TODOS LOS CASOS RESULTADO NEGATIVO. ASIMISMO SE REALIZARON LAS REQUISAS DE LOS BOLSOS Y PERTENENCIAS DE LOS OFICIALES OBTENIENDOSE RESULTADO NEGATIVO. DE ACUERDO A LO INFORMADO POR EL COC, EL CONTROL SOBRE EL PASAJERO, SE LLEVO A CABO EN 7 SEGUNDOS Y PORPARTE DEL OF. AYTE. JUAN G PEREZ RIVAS -504732-SE DIO LA INTERVENCION JUDICIAL PERTINENTE DISPONIENDOSE EL LABRADO DE LAS ACTUACIONES.</t>
  </si>
  <si>
    <t>6673/10</t>
  </si>
  <si>
    <t>DANDO CUMPLIMIENTO A LO ORDENADO SE EFECTUO EL TRASLADO DEL DETENIDO A SEDE JUDICIAL A LAS 07:00 DEL 25/10/10. PTO</t>
  </si>
  <si>
    <t>DUIBLIN</t>
  </si>
  <si>
    <t>6674/10</t>
  </si>
  <si>
    <t>TERMINAL B DEL AEROPUERTO MINISTRO PISTARINI</t>
  </si>
  <si>
    <t>EN CUMPLIMIENTO A LO ORDENADO SE EFECTUO EL TRASLADO DEL DETENIDO A SEDE JUDICIAL A LAS 07:00 HORAS DEL 25/10/10. PTO</t>
  </si>
  <si>
    <t>LA DENUNCIANTE, QUE SE ENCUENTRA JUNTO A SU PRIMA, SE PERCATA QUE SIN LA CEDULA DE IDENTIDAD NO PUEDE VIAJAR, POR LO CUAL COMIENZAN A RETIRARSE DEL HALL DE PARTIDAS, MOMENTOS QUE UN MASCULINO LE OFRECE SERVICIO DE TAXI, AL QUE LA DENUNCIANTE Y SU ACOMPAÑANTE ACCEDEN ACORDANDO UN PRECIO DE 125 PESOS ARGENTINOS POR EL VIAJE. LUEGO DE ELLO SE PERSONA OTRO MASCULINO, EL CUAL MANTIENE UNA COMUNICACION CON EL MASCULINO ANTES MENCIONADO RETIRANDOSE DEL LUGAR. TRANSCURRIDOS UNOS MINUTOS MIENTRAS LA DENUNCIANTE Y EL PRIMER MASCULINO CAMINABAN POR LA PASARELA EL SEGUNDO MASCULINO REGRESA A BORDO DE UN VEHICULO AMARILLO Y NEGRO EN EL CUAL CARGAN SUS EQUIPAJES Y POSTERIORMENTE COMIENZAN LA MARCHA CON EL SEGUNDO MASCULINO AL VOLANTE, INFORMANDO ESTE MASCULINO QUE DEBEN ABONAR POR ADELANTADO Y QUE EFECTUARIAN UNA PARADA PARA CONSULTAR ACERCA DEL COMPROBANTE DE PAGO, MOMENTOS DESPUES EN UN SECTOR DONDE HAY UNA GARITA Y MUCHOS VEHICULOS ESTACIONADOS -NO PRECISANDOSE EL SECTOR- DONDE EL CHOFER DESCIENDE Y EN SU LUGAR SE COLOCA UN TERCER MASCULINO, QUIEN REFIERE QUE DEBEN ABONARLE A EL, POR LO QUE LA DENUNCIANTE INTENTA ABONAR CON DOS BILLETES DE 20 DOLARES ESTADOUNIDENSES MANIFESTANDO EL MASCULINO DE MENCION QUE EL VIAJE DEBE SER ABONADO CON BILLETES DE CINCUENTA O CIEN DOLARES ESTADOUNIDENSES, LA DENUNCIANTE RETIRA DE SU BILLETERA UN BILLETE DE CINCUENTA DOLARES ESTADOUNIDENSE Y EL MASCULINO SE LO RETIRA DE LA MANO, SOLICITANDOLE OTRO BILLETE REFIRIENDO QUE EL OTORGADO ERA DE 5 DOLARES, ANTE ESTA SITUACION REQUIEREN REGRESAR AL HALL DE PASAJEROS POR LO QUE EL MASCULINO MENCIONADO LAS LLEVA HASTA EL SECTOR FRENTE AL BANCO NACION -COORPORATIVO AA200- DONDE SE BAJAN JUNTO CON LOS CORRESPONDIENTES EQUIPAJES PARA LUEGO DIRIGIRSE A LA GUARDIA DE PREVENCION A RADICAR LA DENUNCIA.</t>
  </si>
  <si>
    <t>6532/10</t>
  </si>
  <si>
    <t>CASTELLI</t>
  </si>
  <si>
    <t>EL DIA 21 DEL CORRIENTE LA DAMNIFICADA SE COMUNICA TELEFONICAMENTE CON EL AREA SUMARIOS POLICIALES DE ESTA UNIDAD MANIFESTANDO QUE EL BOLSO PORTA NOTEBOOK CON LA TOTALIDAD DE SU CONTENIDO LA HABIA ENCONTRADO POR LO QUE SE PRESENTE EN LA UNIDAD OPERACIONAL TUCUMAN A FIN DE PRESTAR DECLARACION TESTIMONIAL MANIFESTANDO LO SUCEDIDO, POR LO QUE LA UNIDAD MENCIONADA ENVIA VIA FAX DICHA DECLARACION AL AREA SUMARIO POLICIALES DE ESTA UNIDAD</t>
  </si>
  <si>
    <t>DESPEGA AERONAVE MATRICULA LV-BRJ CON SEÑORA PRESIDENTA DE LA NACIÓN Y COMITIVA, SIN NOVEDAD, CON DESTINO A LA CIUDAD DE SAN CARLOS DE BARILOCHE.-</t>
  </si>
  <si>
    <t>SIENDO LAS 12:45 HORAS ARRIBA A ESTE AEROPUERTO EN VUELO PRESIDENCIAL C750 MATRICULA LV-BRJ LA SRA. PRESIDENTA DE LA NACION CRISTINA FERNANDEZ DE KIRCHNER, PROCEDENTE DE LA CIUDAD DE EL CALAFATE, PARTIENDO LUEGO A LAS 12:55 HORAS HACIA LA LOCALIDAD PILCANIYEU EN HELICOPTERO B412 PRESIDENCIAL MATRICULA LV-BDH SIN NOVEDAD.</t>
  </si>
  <si>
    <t>4365/10</t>
  </si>
  <si>
    <t>NN S/DELITO CONTRA LA PROPIEDAD</t>
  </si>
  <si>
    <t>7689-10</t>
  </si>
  <si>
    <t>CIUDAD DE SAN CARLOS DE BARILOCHE, PROVINCIA DE RIO NEGRO</t>
  </si>
  <si>
    <t>AMPLIANDO PARTE RESERVADO Nº 2057 DE FECHA 06/04/10, PARTE URGENTE Nº 3939/10 DE FECHA 30/06/10 EN EL CUAL SE INFORMO SOBRE ALLANAMIENTO EN LA FINCA UBICADA EN LA CALLE NAMUNCURA NRO 591 DE LA CIUDAD DE SAN CARLOS DE BARILOCHE, Y PR Nº 4365 DEL 20/07/2010 DONDE EL JUZGADO ORDENO SE LLEVE ADELANTE LA COMPULSA DE INFORMACION, DE LOS ELEMENTOS SECUESTRADOS EN EL ALLANAMIENTO ANTES MENCIONADO. INFORMO QUE EN EL MARCO DE LA CAUSA DE REFERENCIA, SE RECEPCIONO OFICIOS Nº: 1766/2010 Y 1767/2010, DE FECHA 25/10/10 EMITIDOS POR EL MAGISTRADO ACTUANTE, EN LOS QUE SE ORDENA, RESPECTIVAMENTE, LOS ALLANAMIENTOS DE LOS DOMICILIOS DE LA CALLE: AV. EZIQUIEL BUSTILLO KM. 7,900, "HOSTERIA DEL LAGO" Y DE LA CALLE JUAN MANUEL DE ROSAS Nº: 180, DE LA CIUDAD DE BARILOCHE, DENTRO DE LAS 48 HORAS DE LA RECEPCION DE LOS MISMOS. A LOS EFECTOS DE QUE SE SECUESTRE TODA DOCUMENTACION VINCULADA CON OPERACIONES CON TARJETAS DE CREDITO, TICKETS AEREOS, ASI COMO CUALQUIER OTRA DOCUMENTACION QUE PUDIERA RESULTAR DE RELEVANCIA PARA LA INVESTIGACION . ASIMISMO SE DEBERA PROCEDER A OBTENER LA INFORMACION QUE SE ENCUENTRE EN LOS SISTEMAS INFORMATICOS QUE SE HALLEN EN EL LUGAR Y RESULTEN DE INTERES A LA PESQUISA, DEBIENDOSE REALIZAR DOS (02) COPIAS DE RESGUARDO DE LAS MISMAS, UNA (01) DE LA CUAL DEBERA QUEDAR EN PODER DEL ENCARGADO DEL LUGAR QUE DEBERA SER DEBIDAMENTE IDENTIFICADO. ASIMISMO SE FACULTA A ESTA FUERZA POLICIAL A EJERCER EL USO DE LA FUERZA PUBLICA EN CASO DE SER ESTRICTAMENTE NECESARIO.</t>
  </si>
  <si>
    <t>SIENDO LAS 14:56 HORAS ARRIBA A ESTE AEROPUERTO EN VUELO PRESIDENCIAL B412 MATRICULA LV-BDH PROCEDENTE DE LA LOCALIDAD DE PILCANIYEU LA SRA PRESIDENTA DE LA NACION CRISTINA FERNANDEZ DE KIRCHNER Y COMITIVA, PARTIENDO LUEGO HACIA LA CUIDAD DE EL CALAFATE EN VUELO PRESIDENCIAL C750, MATRICULA LV-BRJ, SIN NOVEDAD.</t>
  </si>
  <si>
    <t>PILCANIYEU</t>
  </si>
  <si>
    <t>TRIBUNAL ORAL EN LO CRIMINAL FEDERAL N° 2 DE LA PAMPA.</t>
  </si>
  <si>
    <t>TRIPPUTI</t>
  </si>
  <si>
    <t>JOSE MARIO</t>
  </si>
  <si>
    <t>DRA. LILIA BEATRIZ OSPITAL MOLAS</t>
  </si>
  <si>
    <t>IRIART FABIO CRLOS, GREPPI NESTOR OMAR, CONSTANTINO ROBERTO ESTEBAN, FIORUCCHI ROBERTO OSCAR, AGUILERA OMAR, CENIZO NESTOR BONIFACIO, REINHART CARLOS ALBERTO, YORIO OSCAR, RETA ATOOS, MARENCHINO HUGO ROBERTO, S/INFRACCION ART. 144 BIS, INC. 1RO. - Y ULTIMO PARRAFO LEY 14.616, EN FCION. ART. 142 - INC. 1RO. LEY 20.642 -DEL C.P. - ENCONCURSO REAL CON ART. 144 - 1ER. PARRAFO LEY 14.616 Y 55 DEL C.P.</t>
  </si>
  <si>
    <t>INFORMO QUE EN EL DIA DE LA FECHA, SE DAN INICIO A LAS TAREAS DE CARACTER INVESTIGATIVO, TENDIENTES A DETERMINAR EL PARADERO Y POSTERIOR DETENCION DEL EX TENIENTE CORONEL DEL EJERCITO ARGENTINO LUIS ENRIQUE BARALDINI. DNI 4866849 FECHA DE NACIMIENTO 23/2/38. HIJO DE AMELIA PELLEGRI Y ESPARCO BARALDINI VINCULADO CON DELITOS DE LESA HUMANIDAD.</t>
  </si>
  <si>
    <t>ARRIBA AERONAVE MATRÍCULA LV-BRJ CON SEÑORA PRESIDENTA DE LA NACIÓN Y COMITIVA SIN NOVEDAD, PROCEDENTES DE LA CIUDAD DE SAN CARLOS DE BARILOCHE. AERONAVE PERNOCTA EN ESTE AEROPUERTO HASTA EL DÍA 27 DE OCTUBRE DEL 2010.-</t>
  </si>
  <si>
    <t>EN LA FECHA SE PRESENTO EL CAUSANTE A EFECTOS DE DEJAR CONSTANCIA DEL EXTRAVÍO DE SU PERMISO PERSONAL DE SEGURIDAD PERMANENTE, NRO 355784, CON HABILITACION PARA ESTE AEROPUERTO CON FECHA DE VENCIMIENTO EL MES 08 DEL AÑO 2011, DESCONOCIENDO CIRCUNSTANCIA Y LUGAR DEL EXTRAVIO. SE CONFECCIONA ACTA DE EXTRAVIO NRO 060/2010.</t>
  </si>
  <si>
    <t>SECTOR PERGOLA DE ARRIBOS DE LA TERMINAL A</t>
  </si>
  <si>
    <t>SIENDO LAS ONCE HORAS TREINTA MINUTOS SE DIRIGE A TOMAR UN TAXI EN EL SECTOR PERGOLA PARTIDAS DE LA TERMINAL A, PARA QUE LA TRASLADE A LA CIUDAD DE LA BOCA, EL TAXISTA INTRODUCE LAS TRES VALIJAS EN EL INTERIOR DEL BAUL, EN PRIMERA INSTANCIA SE DIRIGEN AL BANCO NACION DE LA TERMINAL B PARA CAMBIAR DIVISAS EUROPEAS A PESOS ARGENTINOS, YA QUE EN EL MISMO HABIA MUCHA GENTE, REGRESO AL TAXI Y SE DIRIGIERON A LA TERMINAL A PARA REALIZAR EL TRAMITE EN EL BANCO PIANO, A POSTERIOR DE TERMINAR CON EL TRAMITE SE DIRIGE A LA PERGOLA DONDE HABIA QUEDADO EL TAXI, DONDE SE DA CUENTA QUE EL MISMO SE RETIRO DEL LUGAR CON TODO EL EQUIPAJE EN SU INTERIOR. POR TAL MOTIVO SE ACERCA A ESTA GUARDIA DE PREVENCION PARA REALIZAR DICHA DENUNCIA. EL CENTRO DE CONTROL OPERATIVO INFORMO QUE EL DOMINIO DEL TAXI ES IBG 473. SE INFORMA EN PU Nº 6815 DEL DIA 31/10/10 SIENDO LAS 0930 HORAS PERSONAL DEL COC INFORMA LA PRESENCIA DEL VEHICULO TAXI MARCA CHEVROLET MODELO CORSA DOMINIO IBG 473. POR LO QUE SE PRESENTA EN EL LUGAR PERSONAL POLICIAL A FIN DE IDENTIFICAR AL CONDUCTOR DEL RODADO, Y SE REALIZA COMUNICACION TELEFONICA CON EL JUZGADO INTERVINIENTE A QUIEN SE LE INFORMA LO SUCEDIDO DISPONIENDO LA APREHENSION EN CALIDAD DE COMUNICADO, SE EFECTUE CONSTATACION DE DOMICILIO, Y FINALIZADAS LAS ACTUACIONES SE PROCEDA A LA LIBERACION DEL CAUSANTE. SIENDO LAS 1530 HORAS SE CUMPLIMENTA LO ORDENADO POR LA JUDICATURA INTERVINIENTE , RETIRANDOSE DE LA GUARDIA DE PREVENCION EL CAUSANTE POR SUS PROPIOS MEDIOS SIN NOVEDAD.</t>
  </si>
  <si>
    <t>ZAMBRA MARCELO DANIEL S/INF. ART. 302</t>
  </si>
  <si>
    <t>1688/01 - EXPTE DNM804089/2004</t>
  </si>
  <si>
    <t>SIENDO LAS 03:20 HORAS LA SUPERVISORA DE LA DIRECCION NACIONAL DE MIGRACIONES, DIVISION CORDOBA, DETECTO EL INGRESO AL PAIS DEL ENCARTADO PROCEDENTE DE LA CIUDAD DE PANAMA QUIEN TIENE PEDIDO DE CAPTURA. SIENDO LAS 04:00 HORAS SE ESTABLECE COMUNICACION TELEFONICA CON LA TITULAR DE SECRETARIA N° 16 DEL JUZGADO INTERVINIENTE, QUIEN DISPONE LA DETENCION EN CARÁCTER DE INCOMUNICADO. SEGUIDAMENTE SE SOLICITA LA COLABORACION A LA UOESA DEL CENTRO, PARA LA CUSTODIA DEL DETENIDO, PRESENTANDOSE EN LA OFICINA DE GUARDIA PREVENTIVA EL OFICIAL MY. HENRY OMAR GUTIERREZ. SIENDO LAS 04:30 HORAS SE LABRA UN PRECARIO MEDICO, POSTERIORMENTE SE LABRA EL ACTA DE DETENCION Y DERECHOS. SIENDO LAS 09:10 HORAS EL JUGADO DISPONE SE FIJE EL DOMICILIO DEL DETENIDO Y EL LEVANTAMIENTO DE LA INCOMUNICACION, ADEMAS DEL SECUESTRO DE LA DOCUMENTACION PERSONAL. SIENDO LAS 15:00 HORAS EL JUZGADO LIBRA OFICIO JUDICIAL ORDENANDO LA LIBERTAD DEL ENCARTADO, DEBIENDO PRESENTARSE EL 28OCT10 EN EL JUZGADO INTERVINIENTE A LAS 10:00 HORAS A EFECTO DE LEVANTAR LA REBELDIA, HACER CIRCULAR LA PROHIBICION DE SALIDA DEL PAIS DEL ENCARTADO. FINALMENTE REMITIR LAS ACTUACIONES AL JUZGADO INTERVINIENTE. SIENDO LAS 16:00 HORAS SE LE PRACTICA EL PRECARIO MEDICO CORRESPONDIENTE QUEDANDO LIBERADO. DRICA II - CORREPONDE TIPO RESTRICCION A LA LIBERTAD Y NECESITA OTRAS MODIFICACIONES PERO LUEGO DE 3 DíAS DE INTENTO HA SIDO IMPOSIBLE EDITARLO.</t>
  </si>
  <si>
    <t>CM463</t>
  </si>
  <si>
    <t>QUE EL DIA 24 DEL CORRIENTE MES Y AÑO ARRIBO EL DAMNIFICADO A ESTE AEROPUERTO PROCEDENTE DE LA CIUDAD DE MONTEVIDEO. POSTERIORMENTE SIENDO APROXIMADAMENTE LAS 1830 HORAS SE DIRIGIO HACIA EL CAJERO AUTOMATICO UBICADO EN EL SECTOR A1 DONDE REALIZO UNA EXTRACCION POR UN MONTO DE 600 PESOS ARGENTINOS EQUIVALENTES A 280,74 REALES, RETIRANDOSE RAPIDAMENTE, OLVIDANDO SU TARJETA DENTRO DEL CAJERO CON LA CUENTA AUN ACTIVA. SIENDO LAS 2130 HORAS SE PERCATO DE LO SUCEDIDO Y DE INMEDIATO REALIZO UNA COMUNICACION TELEFONICA CON EL BANCO DO BRASIL A LOS EFECTOS DE CANCELAR LA TARJETA, EN DONDE LO COMUNICARON QUE POSTERIOR A LA EXTRACCION POR ÉL REALIZADA, SE REALIZARON CUATRO EXTRACCIONES MAS POR UN VALOR DE 700 PESOS ARGENTINOS EQUIVALENTES A 326,33 REALES CADA UNA. RAZON POR LA CUAL EN EL DIA DE LA FECHA SE HACE PRESENTE EN ESTA GUARDIA DE PREVENCION A LOS EFECTOS DE RADICAR LA CORRESPONDIENTE DENUNCIA.</t>
  </si>
  <si>
    <t>AL REALIZAR LA DESCARGA, PERSONAL DE INTERCARGO JUNTO CON LA AUXILIAR DE SEGURIDAD DE LA EMPRESA LAN, CONSTATAN QUE DIEZ EQUIPAJES SE ENCONTRABAN APERTURADOS, POR LO QUE INMEDIATAMENTE SOLICITAN LA PRESENCIA DE PERSONAL POLICIAL. SE CONSTATA DICHA NOVEDAD. POR LO QUE EN PRESENCIA DE TESTIGOS HABILES TRANSPORTAN DICHOS EQUIPAJES HACIA EL SECTOR DE ARRIBOS A1, DONDE LOS PROPIETARIOS DE LOS MISMOS VERIFICAN SI EXISTEN FALTANTES, HABIENDO FALTANTES EN UN SOLO EQUIPAJE. SE TRASLADA A TODOS LOS INTERVINIENTES HACIA ESTA GUARDIA A LOS EFECTOS COMENZAR CON LAS ACTUACIONES DE OFICIO CORRESPONDIENTES.-</t>
  </si>
  <si>
    <t>KIOSKO UBICADO EN EL SECOTR A1</t>
  </si>
  <si>
    <t>EN EL DIA DE LA FECHA LA SRA MARIA LUISA COLOMBO, SE ENCONTRABA COMPRANDO EN UNO DE LOS KIOSKOS QUE SE ENCUENTRAN UBICADOS EN EL SECTOR A1 DE ESTE AEROPUERTO, AL MOMENTO DE ABONAR LA MISMA DEJA EL BOLSO DE MANO ABIERTO, EN ESE MOMENTO SE ACERCO UN MASCULINO PARA REALIZAR UNA COMPRA, EL MISMO SE ARRIMA MUY CERCA DE LA SRA. TOMANDO UNAS GOLOSINAS DE ABAJO DEL MOSTRADOR, Y ABONANDO LAS MISMAS, POR LO QUE SE RETIRA EN ESE MOMENTO. ACTO SEGUIDO LA SRA ABONA SU COMPRA CON EL DINERO QUE TENIA SUELTO EN SU CARTERA, LUEGO LA CIERRA Y SE RETIRA PARA ABORDAR EL VUELO LA4032,DESTINO IGUAZU. SIENDO LAS 16:00 LA SRA SE ENCONTRABA EN EL HOTEL CUANDO BUSCA SU BILLETRA Y SE PERCATA QUE NO LA TENIA.</t>
  </si>
  <si>
    <t>EN MOMENTOS DE ESTAR EFECTUÁNDOSE EL CONTROL PREVENTIVO EN EL PUNTO DE INSPECCIÓN DENOMINADO PATIO DE VALIJAS, SITO EN LA TERMINAL A, DE LOS EQUIPAJES DESPACHADOS A BODEGA DEL VUELO DE LA EMPRESA IBERIA Nº 6844 CON DESTINO A LA CIUDAD DE MADRID, PERSONAL POLICIAL VISUALIZÓ A TRAVÉS DEL MONITOR DE LA MAQUINA DE RX DOS VALIJAS DEL TIPO CARRY ON, DESPACHADAS POR EL MISMO PASAJERO, DE LAS CUALES UNA DE ELLAS PRESENTABA EN SU INTERIOR SUSTANCIA ORGÁNICA DE BAJA DENSIDAD, NO PUDIENDO PRECISAR FEHACIENTEMENTE DE QUE SE TRATABA. POR TAL MOTIVO, SE CONVOCÓ LA PRESENCIA DE DOS TESTIGOS Y DEL PERSONAL DE LA DIVISIÓN CANES QUIEN EXHIBIÓ DICHO EQUIPAJE AL CAN A SU CARGO, MARCANDO ÉSTE EN FORMA POSITIVA ANTE LA POSIBLE PRESENCIA DE SUSTANCIA ESTUPEFACIENTE. SEGUIDAMENTE, SE CONTACTÓ AL PROPIETARIO DE AMBAS VALIJAS Y SE TRASLADARON TODOS LOS INTERVINIENTES A LA GUARDIA DE PREVENCIÓN DONDE, PREVIA AUTORIZACIÓN DE LA JUDICATURA INTERVINIENTE, SE PROCEDIÓ A EFECTUAR LA REQUISA DE LOS EQUIPAJES HALLÁNDOSE 2 CAMPERAS, UN ALMOHADÓN Y UNA CUCHA PARA PERRO QUE CONTENÍAN EN SU INTERIOR 14 PAQUETES LOS CUALES PRESENTABAN UNA SUSTANCIA LIQUIDA DE CONSISTENCIA ESPESA LA CUAL FUE SOMETIDA A REACTIVO DE CAMPO PARA CLORHIDRATO DE COCAÍNA, ARROJANDO RESULTADO POSITIVO. QUE ANOTICIADO EL JUZGADO DISPUSO QUE SE PROCEDA A LA DETENCIÓN DEL PASAJERO Y SE ELEVE LO ACTUADO JUNTO AL DETENIDO A PRIMERA HORA DEL DIA DE LA FECHA.</t>
  </si>
  <si>
    <t>EXTRADICION DE POBLETE FARIAS, LUIS ALBERTO, SOLICITADO POR AUTORIDADES DE LA REPUBLICA DE CHILE</t>
  </si>
  <si>
    <t>14.285/D</t>
  </si>
  <si>
    <t>DESDE TAQUILLA DE INGRESO/EGRESO DEL AEROPUERTO HASTA PUESTO BRAVO, PLATAFORMA OPERATIVA</t>
  </si>
  <si>
    <t>SIENDO LAS 12:20 HS. EMBARCA DESDE ESTA AEROESTACION EL DETENIDO Y SU CORRESPONDIENTE CUSTODIA, SRES. ABRAHAN FEDERICO JAVIER, JERARQUIA OFICIAL AYUDANTE LEGAJO N 2753, Y CARRIZO DIEGO RENE, JERARQUIA OFICIAL PRINCIPAL LEGAJO N° 3573, AMBOS DE INTERPOL. EL MENCIONADO IMPUTADO FUE TRASLADADO DESDE EL COMPLEJO PENITENCIARIO III ALMAFUERTE HASTA ESTA AEROPUERTO POR LOS SRES. MORAL SANTIAGO DNI N° 27.487.272, JERARQUIA SUBAYUDANTE, Y POR DICAMPLI JUAN DNI N° 22.678.180, JERARQUIA SUBAYUDANTE, AMBOS DEL SERVICIO PENITENCIARIO PROVINCIAL, POR LO QUE SE IMPLEMENTA DISPOSITIVO DE COLABORAIOCN SEGUN LO ORDENADO POR ORDEN DE SERVICIO N° 391/10 Y MEMORANDO N° 1097/10 DE FECHA 25 DE OCTUBRE DE 2010. POSTERIOR A ELLO UNA VEZ DESPEGADA DICHA AERONAVE SE DA AVISO AL TURNO DE AEROPARQUE OFICIAL AYUDANTE LUCAS ALINA, A FIN DE PONERLE EN CONOCIMIENTO.</t>
  </si>
  <si>
    <t>CINTA DE ARRIBOS DE EQUIAPJES</t>
  </si>
  <si>
    <t>AL ARRIBAR AL PAÍS, LUEGO DE REALIZAR LOS TRAMITES MIGRATORIOS PERTINENTES, SE HACE PRESENTE EN LAS CINTAS TRANSPORTADORAS DE DONDE RETIRA SUS EQUIPAJES, PERCATÁNDOSE QUE LA VALIJA DESPACHADA BAJO MARBETE IB212766 NO POSEÍA SU CANDADO, POR LO CHEQUEA SU CONTENIDO PERCATÁNDOSE DE LOS FALTANTES. LUEGO HACE EL RECLAMO EN LAS OFICINAS DE LA EMPRESA IBERIA.</t>
  </si>
  <si>
    <t>AV. BUSTILOO KM 7,900 Y CALLE JUAN MANUEL DE ROSAS Nº: 180</t>
  </si>
  <si>
    <t>DANDO CUMPLIMIENTO A LO ORDENADO POR EL JUZGADO FEDERAL BARILOCHE MEDIANTE OFICIOS Nº 1766/10 Y Nº 1767/10 SE INFORMA QUE EL DIA DE LA FECHA SIENDO LAS 11:10 HS, SE DA COMIENZO A LOS ALLANAMIENTOS EN FORMA SIMULTANEA, DE DOS MORADAS. UNA SITUADA EN LA CALLE JUAN MANUEL DE ROSAS Nº 180 LUGAR DONDE FUNCIONA LA SEDE ADMINISTRATIVA DE LA EMPRESA PATAGONIA INN-HOSTERIA DEL LAGO, ESTANDO COMO RESPONSABLES Y APODERADOS DE LA EMPRESA LOS SRES GUSTAVO HERNÁN HERMIDA Y ANDRÉS NAHUEL HERMIDA. SE PROCEDE AL REGISTRO PROCEDIENDO AL SECUESTRO DOS (02) SOBRES CONTENIENDO DOCUMENTACION VARIA RELACIONDA CON LA CAUSA Y UN (01) DVD COMO SOPORTE MAGNETICO EXTRAIDO DE LOS DISPOSITIVOS INFORMATICOS HALLADOS EN EL LUGAR. ASIMISMO EL ALLANAMIENTO EN LA FINCA UBICADA EN AV BUSTILLO KM. 7,900 LUGAR DONDE FUNCIONA LA HOSTERIA DEL LAGO SE PROCEDE A IDENTIFICAR AL RESPONSABLE RESULTANDO SER EL SR. SEBASTIAN URBANO PARA LUEGO DAR COMIENZO AL REGISTRO DONDE SE PROCEDE AL SECUESTRO DE DOS (02) SOBRES CONTENIENDO DOCUMENTACION VARIA Y UN (01) DVD COMO SOPORTE MAGNETICO DE RESGUARDO DE LOS DISPOSITIVOS INFORMATICOS ENCONTRADOS EN EL LUGAR, TODO ELLO EN RELACION A LA PRESENTE CAUSA JUDICIAL. FINALIZANDOSE LA PRESENTE DILIGENCIA JUDICIAL A LAS 16:30 HORAS.</t>
  </si>
  <si>
    <t>DR. JORGE PABLO HUARTE</t>
  </si>
  <si>
    <t>DEL VALLE CARABAJAL, GRACIELA NAZAR, CRISTAN JESUS Y OTROS S/INF. LEY 26364</t>
  </si>
  <si>
    <t>CALLE MITRE 2739 A JUZGADO FEDERAL 3 DE MAR DEL PLATA</t>
  </si>
  <si>
    <t>REFERENTE A ORDEN DE SERVICIO Nº 1160, SE INFORMA QUE EL DETENIDO MUELAS LUCIANO MARCELO FUE TRASLADADO POR PERSONAL DE ESTA UNIDAD CON ASIENTO EN LA CIUDAD DE MAR DEL PLATA, EN EL DIA DE LA FECHA DESDE LA DEPENDENCIA DE DROGAS ILICITAS DE LA POLICIA DE LA PROV. DE BUENOS AIRES DELEGACION MAR DEL PLATA, HASTA SEDE DEL JUZGAGO FEDERAL Nº 3 A FIN DE NOTIFICARSE DE UNA RESOLUCION, LUEGO DE LO CUAL FUE TRASLADADO A SU LUGAR DE ALOJAMIENTO S/N</t>
  </si>
  <si>
    <t>14285D</t>
  </si>
  <si>
    <t>PLATAFORMA COMERCIAL- GUARDIA DE PREVENCION</t>
  </si>
  <si>
    <t>SIENDO LA HORA Y EL DÍA ANTES MENCIONADO, SE IMPLEMENTA OPERATIVO DE SEGURIDAD PARA LA PARTIDA DEL EXTRADITADO SR. LUIS ALBERTO POBRETE FARIAS, FINALIZANDO DICHO OPERATIVO A LAS 14:25 HORAS SIN NOVEDAD.</t>
  </si>
  <si>
    <t>LA 4638</t>
  </si>
  <si>
    <t>DR. AÍDA AHUMADA</t>
  </si>
  <si>
    <t>MIENTRAS SE EFECTUABA EL CONTROL PREVENTIVO EN EL PUESTO DENOMINADO PATIO DE VALIJAS SITO EN LA TERMINAL A, DE LOS EQUIPAJES DESPACHADOS POR BODEGA PERTENECIENTES AL VUELO DE LA EMPRESA AEROCOMERCIAL AIR EUROPA N° UX042 CON DESTINO A LA CIUDAD DE MADRID, ESPAÑA, PERSONAL POLICIAL OBSERVÓ QUE EN EL INTERIOR DE UN BOLSO TIPO CARRY ON, ERA HABIDA SUSTANCIA ORGÁNICA DE BAJA DENSIDAD DISPUESTA ENTRE LA ROPA, SIN PODER DETERMINAR FEHACIENTEMENTE DE QUE SE TRATABA. POR TAL MOTIVO, SE CONVOCÓ LA PRESENCIA DE DOS TESTIGOS Y DE PERSONAL DE LA DIVISIÓN CANES DE ESTA POLICÍA JUNTO AL CAN ESPECIALIZADO EN BUSCA DE NARCÓTICOS, QUIEN MARCÓ AL EQUIPAJE EN CUESTIÓN DE MANERA POSITIVA. SEGUIDAMENTE, SE LOCALIZÓ AL PROPIETARIO Y SE EFECTUÓ COMUNICACIÓN TELEFÓNICA CON LA JUDICATURA INTERVINIENTE, AUTORIZANDO ESTA LA REQUISA DEL EQUIPAJE, PROCEDIMIENTO QUE ARROJÓ RESULTADO POSITIVO PARA LA SUSTANCIA COCAÍNA, HALLÁNDOSE LA MISMA IMPREGNADA EN 65 PRENDAS DE VESTIR. SE INFORMARON LOS RESULTADOS AL JUZGADO INTERVINIENTE DISPONIENDO LA DETENCIÓN DEL PASAJERO EN CARÁCTER DE INCOMUNICADO Y SE TRASLADE EL MISMO EL DÍA JUEVES PRÓXIMO JUNTO CON LA ELEVACIÓN DE LO ACTUADO Y LA TOTALIDAD DE LOS SECUESTROS.</t>
  </si>
  <si>
    <t>6576/10</t>
  </si>
  <si>
    <t>SECTOR AEROCLUB</t>
  </si>
  <si>
    <t>EN EL DIA DE LA FECHA SIENDO LAS 13:30 HORAS SE RECIBE OFICIO JUDICIAL EMITIDO POR EL JUZGADO FEDERAL NRO 1 DE SAN RAFAEL ORDENANDO QUE LA AERONAVE ULTRALIGERA MODELO TRIAK MATRICULA YV-UL-015 Y SUS EQUIPOS ACCESORIOS SEAN PUESTOS A DISPOSICION EXCLUSIVA DE LA AUTORIDAD AERONAUTICA LOCAL, A LAS 15:40 HORAS SE REALIZA LA ENTREGA DE LA AERONAVE ANTES MENCIONADA AL PERSONAL DEL A.N.A.C. SUBOFICIAL AUXILIAR OSCAR DANIEL LUCCHESI D.N.I. Nº 22093605 CONTROLADOR DE TRANSITO AEREO DE TURNO MEDIANTE ACTA DE ENTREGA DE FECHA 26 DE OCTUBRE DE 2010</t>
  </si>
  <si>
    <t>DE 1º INST EN LO PENAL CONT Y DE FALTAS Nº 1</t>
  </si>
  <si>
    <t>Durante</t>
  </si>
  <si>
    <t>Alfredo</t>
  </si>
  <si>
    <t>DR. DIEGO CRUDO</t>
  </si>
  <si>
    <t>EXPEDIENTE Nº 8004772009</t>
  </si>
  <si>
    <t>SIENDO LA HORA Y EL DÍA ANTES MENCIONADO, SE RECIBE COMUNICACIÓN TELEFÓNICA DEL OFICIAL QUE SE ENCUENTRA EN EL PREEMBARQUE INTERNACIONAL, INFORMANDO QUE EL SR. ALBERTO CIGNO PERTENECIENTE A LA DIRECCIÓN NACIONAL DE MIGRACIONES SOLICITABA LA PRESENCIA DE PERSONAL POLICIAL EN LAS OFICINAS DE DICHA DIRECCIÓN DEBIDO A QUE EN SUS SISTEMA SE DETECTO UN PEDIDO DE CAPTURA POR PARTE DEL JUZGADO PENAL CONTRAVENCIONAL Y DE FALTAS Nº 01, DE UNA PASAJERA QUE PRETENDÍA VIAJAR EN EL VUELO AR 1282 DE LA EMPRESA AEROLÍNEAS ARGENTINAS CON DESTINO A LA CIUDAD DE SANTIAGO DE CHILE. SE COMISIONO PERSONAL A DICHO PREEMBARQUE Y SE TRASLADO A LA CAUSANTE A LA GUARDIA DE PREVENCIÓN. SIENDO LAS 0820 HORAS SE REALIZA COMUNICACIÓN CON EL DR. CATRIEL, QUIEN DISPUSO: QUE NO SE TOME TEMPERAMENTO CON RESPECTO A LA PASAJERA, QUE REALIZARÍA CONSULTA CON EL TITULAR DEL JUZGADO. SIENDO LAS 0900 HORAS SE RECIBE COMUNICACIÓN TELEFÓNICA POR PARTE DEL DR. DIEGO CRUDO PERTENECIENTE A LA JUDICATURA ACTUANTE QUIEN DISPONE: SE PROCEDA A LA DETENCIÓN DE LA PASAJERA EN CARÁCTER DE COMUNICADA, LECTURA DE DERECHOS, PRECARIO MEDICO DE ENTRADA, IDGE Y LUEGO SE PROCEDA AL TRASLADO DE LA DETENIDA A ALA SEDE DEL JUZGADO, SIENDO LAS 1230 HORAS Y EN MOMENTOS EN QUE SE ULTIMABAN LAS ACTUACIONES CORRESPONDIENTES, SE HACE PRESENTE UNA PERSONA QUE DESEABA RADICAR UNA DENUNCIA POR HURTO Y ES EN ESE MOMENTO, LA OFICIAL DE FILIPPI, QUIEN REALIZO EL SECUESTRO DE LOS ELEMENTOS PERSONALES DE LA CAUSANTE, SE PERCATA QUE DENTRO DE ÉSTOS SE ENCONTRABAN LA CEDULA DE IDENTIDAD Y UNA TARJETA DE CRÉDITO AMERICAN EXPRESS A NOMBRE DE LA DENUNCIANTE, POR LO QUE SE ENTABLA NUEVA COMUNICACIÓN CON LA JUDICATURA ACTUANTE QUIEN DISPONE SE PROCEDA A LA SOLTURA DE LA PREVENIDA EN ESTA SEDE POLICIAL Y SE REALICE COMUNICACIÓN CON EL JUZGADO CORRECCIONAL Nº 8. POSTERIORMENTE SE ENTABLA COMUNICACION TELEFONICA CON LA JUDICATURA DISPONIENDO SE PROCEDA A LA DENTENCION DE LA CAUSANTE EN CARACTER DE COMUNICADA INICIANDOSE LA PREVENCION SUMARIA 424-A/10.</t>
  </si>
  <si>
    <t>DRA. LORENA PAEZ</t>
  </si>
  <si>
    <t>LOCAL TIENDA DE CAFE</t>
  </si>
  <si>
    <t>SIENDO LA HORA Y EL DÍA ANTES MENCIONADO, SE HACE PRESENTE UNA PERSONA QUE DESEA RADICAR UNA DENUNCIA, INFORMANDO QUE EL DÍA 25 DEL CORRIENTE MES Y AÑO, SIENDO LAS 20:15 HORAS APROXIMADAMENTE, HABÍA ARRIBADO A ESTA AEROSTACIÓN EN EL VUELO PU 177 DE LA EMPRESA AEROCOMERCIAL PLUNA LÍNEAS AÉREAS, PROCEDENTE DE LA CIUDAD DE MONTEVIDEO, LUEGO DE RETIRAR SUS VALIJAS DEL SECTOR DE ARRIBOS A1, SE DIRIGIÓ JUNTO CON UNA AMIGA HACIA EL CAFÉ QUE SE ENCUENTRA EN EL HALL PRINCIPAL LLAMADO "TIENDA DE CAFÉ", DONDE SE SENTÓ EN LA BARRA Y SOLICITO UN CHAMPAGNE, EL CUAL ABONO ANTES DE CONSUMIRLO, COLOCANDO SUS VALIJAS EN EL SUELO JUNTO CON SU CARTERA. LUEGO DE UNOS VEINTE MINUTOS APROXIMADAMENTE SE DIRIGIÓ HACIA LA VEREDA DEL SECTOR A1, DONDE LA AGUARDABA SU MARIDO Y SE RETIRO HACIA SU DOMICILIO PARTICULAR. SIENDO LAS 08:30 HORAS APROXIMADAMENTE DEL DÍA DE LA FECHA, RECIBE UNA LLAMADA TELEFÓNICA POR PARTE DE SU SERVICIO MECÁNICO ACA, QUIEN LE INFORMA QUE UN TAXISTA HABÍA ENCONTRADO SU BILLETERA, CON LO CUAL SE CONTACTO CON DICHO CHOFER, QUIEN LE RELATO QUE EN EL DÍA DE AYER POR LA NOCHE, EN UNOS DE SUS ÚLTIMOS VIAJES Y DESPUÉS QUE ABORDAR SU VEHICULO UNA PAREJA, HABÍA ENCONTRADO SU BILLETERA DE CUERO VERDE. ACTO SEGUIDO CONVINO CON EL TAXISTA QUE SE ACERCARÍA A SU DOMICILIO LABORAL DONDE LE ENTREGO LA BILLETERA, LA CUAL AL MOMENTO DE CONSTATAR SUS PERTENENCIAS SE PERCATO DE LOS FALTANTES. POR TAL MOTIVO SE HIZO PRESENTE EN ESTA GUARDIA DE PREVENCIÓN PARA RADICAR LA DENUNCIA CORRESPONDIENTE, DONDE SE LE SOLICITO QUE AGUARDE CON MOTIVO DE EXHIBIRLE LA CEDULA Y LA TARJETA DE CRÉDITO AMERICAN EXPRESS, QUE SE LE HABÍA SECUESTRADO A LA CAUSANTE AFECTADA AL PEDIDO DE CAPTURA VIGENTE QUE SE ENCONTRABA AL MOMENTO EN ESTA GUARDIA DE PREVENCIÓN. SIENDO LAS 13:20 HORAS SE ENTABLO COMUNICACIÓN CON LA JUDICATURA ACTUANTE QUIEN DISPUSO: DILIGENCIAS DE RIGOR, COPIA DE LAS ACTUACIONES LABRADAS CON EL JUZGADO CONTRAVENCIONAL, 353 BIS Y CON RESULTADO DE REINCIDENCIA NUEVA COMUNICACIÓN. SE AMPLIARA PARTE CON RESULTADO DE REINCIDENCIA. EN P.U. Nº 6742 SE INFORMA QU E SIENDO LAS 0055 HS DEL 27/10/10 SE PROCEDIO A LA LIBERACION DE LA CAUSANTE LA CUAL SE RETIRA CON SUS EFECTOS, QUE ESTABAN EN RESGUARDO DE ESTA UNIDAD.</t>
  </si>
  <si>
    <t>LOCAL DE EXPENDIO DE COMIDA MC DONALD´S</t>
  </si>
  <si>
    <t>EN MOMENTOS QUE LA DENUNCIANTE SE SIENTA EN UNA DE LAS MESAS DEL LOCAL DE COMIDAS RÁPIDAS DE NOMBRE MC DONALD´S, A LOS EFECTOS DE CONSUMIR ALIMENTOS, DEJA EL CARRO PORTA EQUIPAJE QUE CONTENÍA SUS PERTENENCIAS A UN LADO SUYO Y EN DETERMINADO MOMENTO PIERDE DE VISTA DICHO CARRO. AL REGRESAR LA VISTA SE PERCATA DEL FALTANTE DE SU CARTERA, LA CUAL SE ENCONTRABA EN EL BUCHE SUPERIOR DEL CARRO.</t>
  </si>
  <si>
    <t>UBICADO EN LA AV. JULIO A. ROCA Nº 562.</t>
  </si>
  <si>
    <t>HOTEL NOGARO.</t>
  </si>
  <si>
    <t>SIENDO EL DÍA Y LA HORA ANTES MENCIONADA SE HACE PRESENTE EN ESTA GUARDIA DE PREVENCIÓN UNA PERSONA DE SEXO MASCULINO MANIFESTANDO HABER SIDO VICTIMA DE UN HECHO DELICTIVO, INFORMANDO QUE SE ESTABA HOSPEDANDO EN EL HOTEL NOGARO, Y QUE SIENDO APROXIMADAMENTE LAS 18:30 HORAS ESTABA AGUARDANDO EN LA PLANTA BAJA DEL HOTEL REALIZANDO LOS ÚLTIMOS TRAMITES YA QUE SE RETIRABA DEL MISMO, DEJANDO EN EL SUELO SU BOLSO PORTA NOTEBOOK, COLOR NEGRO, LUEGO DE UNOS MINUTOS SE ACECAN AL DENUNCIANTE DOS MASCULINOS DE UNOS 40 AÑOS, DE CABELLO ENTRECANO, MERODEAN POR EL LUGAR Y AL RATO SE RETIRAN, AL FINALIZAR LOS TRAMITES EN EL HOTEL TOMA SU BOLSO PORTA NOTEBOOK Y EN ESE MOMENTO SE PERCATA QUE EL BOLSO NO ERA EL MISMO, SEGUIDAMENTE PROCEDE A SU APERTURA OBSERVANDO QUE DENTRO DEL MISMO HABÍA UNA BOTELLA CON AGUA. MOTIVO POR EL CUAL RADICA LA DENUNCIA. SIENDO LAS 21:00 SE REALIZA COMUNICACIÓN A LA FISCALIA LA CUAL DISPONE: SE COMISIONE PERSONAL POLICIAL AL HOTEL NOGARO, A EFECTOS DE SOLICITAR LOS REGISTROS FÍLMICOS, CIERRE Y ELEVACIÓN DE LAS ACTUACIONES.</t>
  </si>
  <si>
    <t>EL DIA Y LA HORA ANTES MENCIONADO EL COMISIONADO MAYOR MARTINEZ Y EL OFICIAL AYUDANTE VILAS EN RECORRIDA QUE EFECTUABAN POR EL SECTOR DENOMINADO PARKING A, OBSERVAN A UNA PERSONA DE SEXO MASCULINO QUE SE ENCONTRABA ASCENDIENDO EN UN VEHICULO TAXI CAPITAL MARCA PEUGEOT MADELO 504 LICANCIA Nº 27455, A PASAJEROS RECIEN ARRIBADOS EN UN LUGAR NO HABILITADO PARA DICHA ACTIVIDAD, MOTIVO POR EL CUAL SE LE LABRA UNA MULTA, Y SE INICIAN LAS ACTUACIONES CONTRAVENCIONALES CORRESPONDIENTES.</t>
  </si>
  <si>
    <t>6737/10</t>
  </si>
  <si>
    <t>SIENDO LAS 00:20 HORAS DEL DIA 27 DEL CORRIENTE MES Y AÑO, SE REALIZA NUEVA COMUNICACION CON EL JUZGADO, INFORMANDOLE QUE LA DETENIDA NO POSEE IMPEDIMENTO LEGAL VIGENTE, SEGUN EL SISTEMA DEL REGISTRO NACIONAL DE REINCIDENCIA Y ESTADISTICA CRIMINAL, ORDENANDO LA MISMA QUE SE PROCEDA A LA LIBERACION DE LA CAUSANTE. POR LO QUE SIENDO LAS 00:55 HORAS LUEGO DE REALIZARLE PRECARIO MEDICO DE SALIDA Y EN PRESENCIA DE DOS TESTIGOS HABILES, SE REALIZA LA LIBERACION HACIENDOLE ENTREGA DE LOS ELEMENTOS PERSONALES SECUESTRADOS Y RETIRANDOSE DE ESTA DEPENDENCIA SIN NOVEDAD.</t>
  </si>
  <si>
    <t>PARTICULAR</t>
  </si>
  <si>
    <t>DR.JORGE DÄMORE</t>
  </si>
  <si>
    <t>TRAYECTO DESDE VEREDA/PERGOLA DE LA TERMINAL B HASTA CALLE ALFONSINA STORNI Y CASTELLANO- BARRIO UNO-PCIA DE BS. AS.</t>
  </si>
  <si>
    <t>SIENDO LAS 18:30HS EL OFICIAL JEFE DELL´ERBA-JEFE DE TURNO - RECIBE COMUNICACION TELEFONICA DEL OFICIAL JEFE VEGA-RESPONSABLE DE AREA OPERACIONES POLICIALES DE ESTA UNIDAD- QUIEN LE ORDENA QUE COMISIONE UN MOVIL DE DOTACION JUNTO A PERSONAL POLICIAL UNIFORMADO, HACIA LAS INTERSECCIONES DE LAS CALLES ALFONSINA STORNI Y CASTELLANO, BARRIO UNO, PARA PRESTAR APOYO AL COMISIONADO MAYOR LENCINA -JEFE DE LA UNIDAD REGIONAL I DEL ESTE, QUIEN SE ENCONTRABAN JUNTO A PERSONAL POLICIAL A SU CARGO,PROCEDIENDO A LA DEMORA DE CINCO PERSONAS DEL GENERO MASCULINO HABIDAS EN EL LUGAR.ATENTO A ELLO SE DIRIGE EL MOVIL NRO 673, CON EFECTIVOS POLICIALES Y UNA VEZ EN EL LUGAR SE PROCEDE A LA IDENTIFICACION DE DOS MASCULINOS Y A LA DETENCION DE LOS OTROS TRES MASCULINOS.LOS MISMOS FUERON DEMORADOS Y TRASLADADO A ESTA DEPENDENCIA EN VIRTUD A HABER OFRECIDO SERVICO DE TAXI A VIVA VOZ A DOS PASAJEROS RECIEN ARRIBADOS AL PAIS LLEVANDOLOS HACIA UN TAXI CHEVROLET CORSA FHI960 EN EL CUAL ASCENDIERON LOS PASAJEROS. Y LUEGO DICHO SUJETO SE RETIRA DEL SECTOR CON OTROS TRES MASCULINOS QUE SE ENCONTRABAN JUNTO A EL Y ASCENDIEN A UN VEHICULO PARTICULAR DE ACUERDO A LO MONITOREADO POR EL C.O.C QUE SIGUIERA AL TAXI ANTES MENCIONADO.AL SER ESTE ACCIONAR NO HABITUAL PERSONAL ACTUANTE REALIZA UN SEGUIMIENTO EN UN VEHICULO NO IDENTIFICADO PUDIENDO OBSERVAR QUE EN EL SECTOR DEL BARRIO UNO SE HABIAN DETENIDO AMBOS VEHICULOS INTERCAMBIANDO EL CONDUCTOR DEL TAXI Y POSTERIORMENTE UNO DE LOS MASCULINO QUE SE DESPLAZARA EN EL VEHICULO PARTICULAR SE ACERCARA AL TAXI Y REALIZARA GESTICULACIONES COMO AMEDRENTANDO A LOS PASAJERO POR LO CUAL Y ANTE UN POSIBLE HECHO DELICTIVO EL PERSONAL QUE SE ENCONTRABA EN EL SECTOR SE IDENTIFICA COMO POLICIA E INTERVIENE IDENTIFICANDO A TODOS LOS NOMBRADOS Y A LOS PRESUNTOS DAMNIFICADOS DEL HECHO. PTO.- SE INFORMA EN PU Nº 6752 QUE SIENDO LAS 07 00 HS DEL DIA 28/10/2010 SE PROCEDE AL TRASLADO DE LOS DETENIDOS A SEDE JUDICIAL. SE INFORMA EN PU Nº 6766 QUE SIENDO LAS 14 00 HS DEL DIA 28/10/2010 REGRES LA COMISION JUNTO CON LOS DETENIDOS Y OFICIO JUDICIAL DISPONIENDO LA INMEDIATA LIBERTAD DE LOS CAUSANTES.</t>
  </si>
  <si>
    <t>KATJA ALEXANDRA ZIELINSKI S/ DENUNCIA</t>
  </si>
  <si>
    <t>DOMICILIO DE LA DENUNCIANTE SITO EN LA CALLE MONTEAGUDO Nº 661, VILLA BOSCH, PCIA. DE BS. AS.</t>
  </si>
  <si>
    <t>EL DIA DE LA FECHA, LA DAMNIFICADA EN MOMENTOS DE ENCONTRANDOSE EN LA CASA DE SU ABUELA , SIENDO LAS 1600 HORAS APROXIMADAMENTE, ESCUCHA UNA DISCUSION EN LA CASA DE SUS PADRES POR LO QUE SE DIRIGE HACIA ALLI Y AL INGRESAR, SU PADRE LE GRITA E INSULTA Y POSTERIORMENTE LA TOMA DE LOS PELOS Y LE PROPINA GOLPES DE PUÑO EN SU CABEZA Y BRAZOS COMO ASI TAMBIEN PATADAS EN LAS PIERNAS. SEGUIDO A ELLO SE HACE PRESENTE EN ESTA GUARDIA DE PREVENCION CON MOTIVO DE SU PROXIMA PARTIDA EN UN VUELO QUE PARTIRIA ESTA AEROESTACION POR LO QUE EFECTUA LA CORRESPONDIENTE DENUNCIA DE LOS HECHOS.</t>
  </si>
  <si>
    <t>DRA. MARIANA SERVERA</t>
  </si>
  <si>
    <t>LEGAJO DE: BALDIVIESO CAMPO ROSA Y LEGAJO DE: SOTO USQUIANO KATIA TERESITA</t>
  </si>
  <si>
    <t>1784/10-ES-, 1781/10-ES-</t>
  </si>
  <si>
    <t>SIENDO HS. 11:50 DEL DIA DE LA FECHA SE PRESENTA CABO 1º DE GENDARMERIA NACIONAL SOSA LUCIANA Y EL SUB ALFEREZ SALINAS NIEVES, CON LAS CIUDADANAS DE NACIONALIDAD BOLIVIANA. SOTO USQUIANO KATIA TERESA Y BALVIESO CAMPOS MARIA ROSA, SOBRE QUIENES RECAYERA LA DISPOSICION MIGRATORIA Nº 149399/10 DNM Y Nº 150509/10 DNM. A RESUELTO LA EXPULCION DEL TERRITORIO NACIONAL CON PROHIBICION DE REINGRESO AL PAIS EN CARACTER PERMANENTE, SE DA CUMPLIMIENTO A ORDEN DE SERVICIO Nº 238/10, CON LA COLABORACION DE DOS EFECTIVOS DE LA UOESA DEL NORTE, AL MOMENTO DE LA PARTIDA SIN NOVEDAD.</t>
  </si>
  <si>
    <t>BODEGA DE LA AERONAVE-PLATAFORMA OPERATIVA-CINTAS DE ARRIBOS DE EQUIPAJES</t>
  </si>
  <si>
    <t>AL ARRIBAR A ESTE MEDIO SE DIPUSO A RETIRAR SUS EQUIPAJES DESPACHADOS POR BODEGA EN EL AEROPUERTO DE ORIGEN DEL VUELO, EFECTUANDO EN EL LUGAR LA APERTURA DE SU EQUIPAJE NOTANDO EL FALTANTE DE SUS PERTENENCIAS.POR LO QUE INTENTA REALIZAR EL RECLAMO EN LA COMPAÑIA PERO LE MANIFIESTAN QUE NO EXISTE DIFERENCIA DE PESO POR LO CUAL NO SE LO PUEDEN RECIBIR Y SEGUIDO A ELLO SE PRESENTA EN ESTA DEPENDENCIA A RADICAR LA DENUNCIA. PTO.-</t>
  </si>
  <si>
    <t>JJ 8010</t>
  </si>
  <si>
    <t>SECRETARIA Nº 2</t>
  </si>
  <si>
    <t>MIGUEL ANGEL GERRERO</t>
  </si>
  <si>
    <t>PISTA DE ATERRIZAJE SECTOR 3-1</t>
  </si>
  <si>
    <t>INFORMO QUE SIENDO LAS 11:45HS, SE RECIBE EN LA GUARDIA DE PREVENCION UN LLAMADO TELEFONICO DE PARTE DEL SR. ROBERTO BORGES ADMINISTRADOR DE LA EMPRESA AEROPUERTO ARGENTINA 2000 DE ESTA ESTACION AEREA,QUIEN INFORMA DE UN INCIDENTE AEREO QUE INVOLUCRA LA AERONAVE BE 58 MATRICULA LV JTY PERTENECIENTE AL SR. HORIANSKI JAVIER, DNI 7.588.666 PRODUCIDO EN LA PISTA DE ATERRIZAJE CABECERA 3-1 DE ESTE AEROPUERTO, LA AUTORIDAD AERONAUTICA ESTABLECE LA SUSPENCION DE LAS OPERACIONES AEREAS A PARTIR DE SUCITADO EL HECHO. DICHA AERONAVE DESPEGO DESDE EL AEROPUERTO INTERNACIONAL LIBERTADOR GENERAL SAN MARTIN DE LA CIUDAD DE POSADAS A LAS 10:45HS Y AL REALIZAR EL PROCEDIMIENTO DE ATERRIZAJE EN EL AEROPUERTO INTERNACIONAL CATARATAS DEL IGUAZU, ES EFECTUADO SIN EL CORESPONDIENTE TREN DE ATERRIZAJE POR APARENTES DESPERFECTOS TECNICOS EN EL MISMO.NO SUFRIENDO LESIONES LAS CINCO PERSONAS QUE SE ENCONTRABAN A BORDO DE DICHA AERONAVE, SIENDO ELLAS, PILOTO: BENITEZ RUBEN D.N.I. 20.375.858, ´PASAJEROS: HORIANSKI JAVIER D.N.I. 7.588.666, HORIANSKI RICARDO D.N.I. 24.601.497, THOMAS MARIA CRISTINA D.N.I. 6.273.815, CASTELAR SILVIA D.N.I. 31. 471 246. EN EL LUGAR DEL HECHO SE HICIERON PRESENTES EFECTIVOS DE ESTA UNIDAD OPERACIONAL, PERSONAL DE UOESA IV, LOS SERVICIOS DE BOMBEROS, PERSONAL DE LA ANAC Y DE LA EMPRESA AEROPUERTOS ARGENTINA 2000 SIENDO LAS 14:30HS UNA VEZ REMOVIDA LA AERONAVE SINIESTRADA SE RESTABLECEN LAS OPERACIONES AEREAS EN ESTA AEROESTACION DE MANERA NORMAL.</t>
  </si>
  <si>
    <t>EN CUMPLIMIENTO DE LA ORDEN DE SERVICIO NRO. 0094/10 Y SIENDO LAS 01: 05 HORA LOCAL ARRIBA AERONAVE AIR BUS A 320, MATRICULA LV- BTM, PERTENECIENTE A LA EMPRESA LAN ARGENTINA COMO VUELO NRO. 4428 Y EN CUYAS BODEGAS NRO. 31 Y 32 SE EMBARCAN UN TOTAL DE 80 CAJAS CON UN PESO DE 1720 KILOGRAMOS DE METAL- MTD- PERTENECIENTES A LA EMPRESA MINERA SANTA CRUZ. EL MISMO DESPEGA CON DESTINO EL AEROPUERTO JORGE NEWBERY COMO VUELO NRO. 4429 A LAS 03:35 HORA LOCAL.</t>
  </si>
  <si>
    <t>DESPEGA AERONAVE MATRICULA LV-BAW CON SEÑORA PRESIDENTA DE LA NACION ., FERETRO DEL EX PRESIDENTE DE LA NACION DR.NESTOR KIRCHNER Y SU HIJO MAXIMO KIRCHNER, CON DESTINO AEROPARQUE</t>
  </si>
  <si>
    <t>6743/10</t>
  </si>
  <si>
    <t>CALLE ALFONSINA STORNI Y CASTELLANO- BARRIO UNO</t>
  </si>
  <si>
    <t>INFORMO POR MEDIO DEL PRESENTE QUE SIENDO LAS SIETE HORAS TREINTA MINUTOS DEL DIA 28 DEL CORRIENTE MES Y AÑO SE PROCEDIO A TRASLADAR A LOS DETENIDOS EN AUTOS HACIA SEDE JUDICIAL S/N.</t>
  </si>
  <si>
    <t>UNIDAD OPERACIONAL CONTROL DEL NARCOTRAFICO Y DELITOS COMPLEJOS DE LA URSA I DEL ESTE</t>
  </si>
  <si>
    <t>EL DIA 27/10/2010 SE INICIA LA PREVENCION SUMARIA NRO. 09R/10 EN VIRTUD A QUE LA SUPERIORIDAD DE LA POLICIA DE SEGURIDAD AEROPORTUARIA ES ALERTADA A TRAVES DE LA COOPERACION DE INFORMACION POLICIAL DE LA EMBAJADA DE ESTADOS UNIDOS DE NORTE AMERICA, ACERCA DEL INGRESO AL PAIS DEL SEÑOR JAVIER ALEJANDRO ACOSTA CARDOZO,DE NACIONALIDAD ESPAÑOLA, PASAPORTE Nº AAB896664, A TRAVES DE LA EMPRESA DELTA AIRLINES. DICHO MASCULINO ESTARIA RELACIONADO CON UN GRUPO DELICTIVO ORGANIZADO DEDICADO AL TRAFICO INTERNACIONAL DE ESTUPEFACIENTES. ANTE ESTO SE VERIFICO LA RESERVA DEL MISMO CONSTATANDOSE QUE ARRIBARIA EN EL VUELO DL 101 DEL DIA 28-10-10 A LAS 07.45 HORAS. SE DIO LA NOVEDAD AL JUZGADO INTERVINIENTE QUIEN ORDENO ACTUACIONES DE RIGOR Y QUE LOS ACTUADOS SEAN ELEVADOS A LA CAMARA DEL FUERO NACIONAL EN LO PENAL ECONOMICO PARA QUE DETERMINE QUE JUZGADO ENTENDERA EN LA CAUSA.ADEMAS QUE SE EMITA NOTA A LA DNM SOBRE ALERTA MIGRATORIA DEL MASCULINO EN CUESTION. SE DEJA CONSTANCIA QUE SE REALIZARON TAREAS EN EL ARRIBO DEL VUELO MENCIONADO, A FIN DE IDENTIFICAR AL CAUSANTE Y PROCEDER A SU SEGUIMIENTO, A FIN DE LOCALIZAR SU LUGAR DE ALOJAMIENTO.</t>
  </si>
  <si>
    <t>EMBAJADA DE EE.UU.</t>
  </si>
  <si>
    <t>6734/10</t>
  </si>
  <si>
    <t>POR MEDIO DEL PRESENTE INFORMO QUE EL DIA 28 DEL CORRIENTE MES Y AÑO SIENDO APROXIMADAMENTE LAS SIETE HORAS CUARENTA MINUTOS SE PROCEDIO AL TRASLADO DEL DETENIDO EN AUTOS S/N.-</t>
  </si>
  <si>
    <t>EN CUMPLIMENTO DE LA ORDEN DE SERVICIO NRO. 0095/10 Y SIENDO LAS 10:55 HORA LOCAL ARRIBA AERONAVE BOEING 737, MATRICULA LV-BAT, PERTENECIENTE A LA EMPRESA AEROLINEAS ARGENTINAS NRO. 1832 Y EN CUYAS BODEGAS SE CARGAN UN TOTAL DE 40 CAJAS CON UN PESO DE 800 KILOGRAMOS DE METAL- MTD- PERTENECIENTES A LA EMPRESA MINERA SANTA CRUZ. EL MISMO DESPEGA CON DESTINO EL AEROPUERTO JORGE NEWBERY A LAS 11:45 HORAS LOCAL COMO VUELO NRO. 1833.</t>
  </si>
  <si>
    <t>AEROPUERTO GRAL. MOSCONI</t>
  </si>
  <si>
    <t>BOX MIGRATORIOS DE SALIDA</t>
  </si>
  <si>
    <t>SIENDO LA HORA Y LA FECHA ANTES MENCIONADA LA DIRECCION NACIONAL DE MIGRACIONES REMITE A LA GUARDIA DE PREVENCION AL SR. MARTOS GARDNER CON MOTIVO DE PESAR SOBRE ESTE UNA ORDEN DE CAPTURA INTERNACIONAL SOLICITADA POR EL DEPARTAMENTO INTERPOL EN CAUSA CARATULADA TENENCIA ILICITA DE ARMAS Y PERTENECER A ORGANIZACION DELICTIVA DE FECHA 03/11/2004 A SOLICITUD DE INTERPOL MADRID EN TRAMITE CR 11853/ 04 SEGUN OBRA EN LOS REGUISTROS DE ESE ORGANISMO. QUE REALIZADA LA CONSULTA CON INTERPOL EZEIZA SE DESPRENDE QUE LA MEDIDA SE ENCONTRABA SIN EFECTO DESDE LA FECHA 24/08/2007. POR TAL MOTIVO SE ESTABLECE COMUNICACION TELEFONICA CON EL JUZGADO INTERVINIENTE A QUIEN SE LE INFORMA LO ACONTECIDO DISPONIENDO QUE EN VIRTUD QUE LA MEDIDA SE ENCONTRABA SIN EFECTO SE REMITA AL SR. MARTOS GARDNER A LA DIRECCION NACIONAL DE MIGRACIONES A LOS EFECTOS QUE ESE ORGANISMO ESTIME CORRESPONDER.</t>
  </si>
  <si>
    <t>6606/10</t>
  </si>
  <si>
    <t>Lopez Da Silva Walter</t>
  </si>
  <si>
    <t>VIDAL VALENZUELA MARCOS ESTEBAN Y OTROS S/LEY DE ESTUPEFACIENTES</t>
  </si>
  <si>
    <t>CUIDAD DE SAN CARLOS DE BARILOCHE - RIO NEGRO</t>
  </si>
  <si>
    <t>AMPLIANDO PR Nº 3485 DE FECHA 08/06/2010 QUE SE INFORMABA EL INICIO DE LA INVESTIGACION DE MARRAS, PR Nº 4773/10 DE FECHA 06/08/10 EN EL CUAL SE HABIA SOLICITADO INTERVENCION TELEFONICA DEL ABONADO 02944-427395 POR EL PLAZO DETREINTA (30) DIAS, PR Nº 6456/10 EN EL CUAL CAMBIA LA CARATULA DE LA CAUSA DE MARRAS Y QUE ORDENA LA INMEDIATA DETENCION DE RAUL EZEQUIEL CID, ALIAS JABALI, Y PR Nº 6606 /10 DE 21/10/10 DONDE SE SOLICITA SE CONSTATE DOMICILIO Y TITULARIDAD DE VEHICULO HGT 854 INFORMO QUE EN EL DIA DE LA FECHA SE RECEPCIONO OFICIO JUDICIAL Nº 1777/10, DE FECHA 26 DE OCTUBRE DEL CORRIENTE EN EL QUE SE AMPLIAN LAS TAREAS INVESTIGATIVAS QUE SE VIENEN DESARROLLANDO EN EL PRESENTE LEGAJO EN POS DE LOGRAR LA INDIVIDUALIZACION DE QUIEN HABRIA EFECTUADO LA REMISION DE LA ENCOMIENDA CON SUSTANCIA ESTUPEFACIENTES SECUESTRADAS EN ESTA CAUSA, COMO ASI TAMBIEN SE PROFUNDICE LA PESQUISA EN RELACION CON AQUELLOS SUJETOS QUE HABRIAN RECIBIDO DINERO DE PARTE DE ENCARTADO EZEQUIEL CID</t>
  </si>
  <si>
    <t>AUTOPISTA TENIENTE GENERAL RICCHIERI MANO SENTIDO INGRESO A ESTE AEROPUERTO INTERNACIONAL A 1.5KM DEL MISMO.</t>
  </si>
  <si>
    <t>QUE SIENDO LAS VENTIDOS HORAS CINCUENTA MINUTOS APROXIMADAMENTE DEL DIA VEINTISIETE DEL CORRIENTE MES Y AÑO SE RECIBE MODULACION RADIAL A ESTA GUARDIA DE PREVENCION DESDE EL PUESTO DENOMINADO TAQUILLA TRANSMITIENDO LA NOVEDAD DE QUE SE PRODUJO UN ACCIDENTE AUTOMOVILISTICO A 1.5 KILOMETROS DE DISTANCIA SOBRE LA AUTOPISTA TENIENTE GENERAL RICCHIERI, MANO SENTIDO INGRESO A ESTE AEROPUERTO INTERNACIONAL ENTRE TRES VEHICULOS. VEHICULO UNO MARCA TOYOTA, MODELO COROLLA, DOMINIO FQI330, PERTENECIENTE A LA EMPRESA DE REMISES UNIVERSAL. CONDUCIDO POR EL SR. JUAN JOSE ALVAREZ. VEHICULO DOS MARCA VOLKSWAGEN, MODELO POLO, DOMINIO GIT628, PERTENECIENTE A LA EMPRESA DE REMISES VIP CAR, CONDUCIRO POR EL SR. MAXIMILIANO ANGEL JOSE IGLESIAS. VEHICULO TRES MARCA VOKSWAGEN, MODELO SURAN, PERTENECIENTE A LA EMPRESA DE REMISES MANUEL TIENDA LEON, CONDUCIDO POR EL SR. ANGEL ROSARIO CIPRIANO. QUE EL VEHICULO UNO REALIZA UNA MALA MANIOBRA COLISIONANDO EN SU PARTE TRASERA AL DENOMINADO VEHICULO DOS EL CUAL A SU VEZ COLISIONA CON EL VEHICULO TRES EN UN COSTADO. QUE SE HACE PRESENTE PERSONAL DE SANIDAD DE ESTE AEROPUERTO Y CONSTATA QUE TODOS LOS CONDUCTORES SE ENCONTRABAN CONCIENTES Y SIN LESIONES. QUE SE PRESENTA PERSONAL DE AUTOPISTA DEL SUR QUIENES SE RESPONSABILIZARON DE LA LIMPIEZA Y SEÑALIZACION. QUE SE CONSULTA A LOS INVOLUCRADOS SI DESEAN REALIZAR ALGUNA DENUNCIA Y MANIFIESTAN QUE NO. QUE EL AGENTE FISCAL DISPUSO QUE NO SE LABREN ACTUACIONES SUMARIAS.-</t>
  </si>
  <si>
    <t>CECCONI, CLAUDIA</t>
  </si>
  <si>
    <t>QUE SIENDO LA HORA Y LA FECHA ANTES MENCIONADA EL OFICIAL ROBLES SE ENCONTRABA REALIZANDO UN CONTROL A VEHICULOS EN EL PUESTO TAQUILLA CUANDO OBSERVA UN VEHICULO MARCA RENAULT MODELO R19 DOMINIO BCG 803 CON UNA PASAJERA EN SU PARTE TRASERA DETENIDO DE FORMA IRREGULAR POR LO QUE SE ACERCA AL MISMO PARA SOLICITARLE LA DOCUMENTACION CORRESPONDIENTE AL CONDUCTOR DEL RODADO, QUIEN REFIERE NO POSEER LA HABILITACION CORRESPONDIENTE PARA REALIZAR DICHO SERVICIO POR TAL MOTIVO EL OFICIAL SOLICITA LA PRESENCIA VIA RADIO FRECUENCIA DEL OFICIAL VILAS EL CUAL AL APERSONARSE CORROBORA LA FALTA. QUE SE CONVOCAN DOS TESTIGOS, Y SE TRASLADA AL CAUSANTE AL SERVICIO DE SANIDAD DE ESTE AEROPUERTO INTERNACIONAL Y LUEGO A LA GUARDIA DE PREVENCION A FIN DE LABRAR LAS ACTUACIONES CONTRAVENCIONALES Y SE PROCEDE AL SECUESTRO DEL RODADO.</t>
  </si>
  <si>
    <t>PLATAFORMA OPERATIVA SECTOR V</t>
  </si>
  <si>
    <t>INFORMO DIA DE LA FECHA PERSONAL DE TURNO DE ESTA UOSP REALIZA CUSTODIA TRASLADO DE VALORES AL VUELO ACFT LV-WPB TIPO BE-90 DE LA GOBERNACION DEL CHUBUT PROVENIENTE DE LA CIUDAD DE TRELEW PROV CHUBUT FINALIZA CUSTODIA SIN NOVEDAD . DESPEGA ACFT DESTINO TRELEWPROV CHUBUT. TRIPULACION CHIARANDINI SERGIO DNI 29.983.581, FERNANDEZ MARCELO DNI 11.769.612. CUSTODIA A BORDO: GOMEZ WALTER DNI 29.346.809, VOGADO LUCAS DNI 32.538.242. RESPONSABLE ENTREGA DE VALORES BANCO DEL CHUBUT: VALSECHI MARIA DEL CARMEN DNI 16.421.108</t>
  </si>
  <si>
    <t>TRELEW - REL</t>
  </si>
  <si>
    <t>REL</t>
  </si>
  <si>
    <t>INFORMO QUE EN EL DIA DE LA FECHA SIENDO APROXIMADAMENTE LAS CATORCE HORAS REGRESO LA COMISION POLICIAL JUNTO A LOS DETENIDOS EN AUTOS Y OFICIOS JUDICIALES DISPONIENDO SU INMEDIATA LIBERTAD. MOTIVO POR EL CUAL PREVIO CONSTATAR QUE NO REGISTRAN IMPEDIMENTO ALGUNO SE PROCEDIO A LIBERAR A LOS CAUSANTES QUIENES HACEN ABANDONO DE ESTA DEPENDENCIA SIN NOVEDAD.</t>
  </si>
  <si>
    <t>EN CUMPLIMENTO DE LA ORDEN DE SERVICIO NRO. 0095/10 Y SIENDO LAS 19:00 HORA LOCAL ARRIBA AERONAVE MD 83, MATRICULA LV-BHN, PERTENECIENTE A LA EMPRESA AUSTRAL LINEAS AEREAS COMO VUELO NRO. 2836 Y EN CUYA BODEGA NRO. 5 SE EMBARCAN UN TOTAL DE 49 CAJAS CON UN PESO DE 1004,500 KILOGRAMOS DE METAL -MTD- PERTENECIENTES A LA EMPRESA MINERA SANTA CRUZ. EL MISMO DESPEGA CON DESTINO EL AEROPUERTO JORGE NEWBERY A LAS 20:01 HORA LOCAL COMO VUELO NRO. 2837.</t>
  </si>
  <si>
    <t>EN MOMENTOS EN QUE SE EFECTUABA UN CONTROL PREVENTIVO EN EL PUNTO DE INSPECCIÓN DENOMINADO PATIO DE VALIJAS, SITO EN LA TERMINAL A, SOBRE EL EQUIPAJE DESPACHADO POR BODEGA DEL VUELO Nº AZ 0681 DE LA EMPRESA AEROCOMERCIAL ALITALIA CON DESTINO A LA CIUDAD DE ROMA, ITALIA, PERSONAL POLICIAL OBSERVÓ A TRAVÉS DE LA PANTALLA DE LA MAQUINA DE RX, QUE DOS VALIJAS TIPO CARRY ON, PRESENTABAN SUSTANCIA ORGÁNICA DE BAJA DENSIDAD, SIN PODER DETERMINAR FEHACIENTEMENTE DE QUE SE TRATABA. PORT TAL MOTIVO, SE CONVOCÓ LA PRESENCIA DE DOS TESTIGOS Y DE LA PROPIETARIA DEL EQUIPAJE, QUIEN SE ENCONTRABA VIAJANDO CON SU HERMANO. SEGUIDAMENTE, SE TRASLADARON TODOS LOS INTERVINIENTES A LA GUARDIA DE PREVENCIÓN, DONDE PREVIA AUTORIZACIÓN JUDICIAL, SE EFECTÚO LA REQUISA DE LOS EQUIPAJES. EN DONDE SE CONSTATÓ, QUE EN LAS VALIJAS ERAN HABIDAS PLANCHAS GOMOSAS QUE SE ENCONTRABAN ADHERIDAS A LA ESTRUCTURA DE LA MISMA DEL LADO INTERNO (DEBAJO DE UN DOBLE FONDO), A LAS CUALES SE LE PRACTICARON REACTIVO DE CAMPO PARA LA SUSTANCIA CLORHIDRATO DE COCAÍNA, ARROJANDO AMBAS RESULTADO POSITIVO A LA PRESENCIA DE COCAINA. SEGUIDAMENTE SE ENTABLO COMUNICACION CON LA JUDICATURA INTERVINIENTE QUIEN DISPUSO LA DETENCION DE AMBOS PASAJEROS EN CARACTER DE INCOMUNICADOS, DEBIENDO SER TRASLADADOS JUNTO A TODO LO ACTUADO EL DIA VIERNES 29 DEL CORRIENTE MES Y AÑO A PRIMERA HORA DE LA MAÑANA .</t>
  </si>
  <si>
    <t>AZ0681</t>
  </si>
  <si>
    <t>OYANARTE</t>
  </si>
  <si>
    <t>MIGUEL - FISCAL</t>
  </si>
  <si>
    <t>DRA. MARIA TORRES</t>
  </si>
  <si>
    <t>SIENDO LAS 13:50 HS APROXIMADAMENTE LA DENUNCIANTE, DESPACHO CON DESTINO CORDOBA EN EL VUELO DE AEROLINEAS ARGENTINAS, N° AR1534, BAJO MARBETE N° 17-51-33, UN BOLSO COLOR NEGRO MARCA WELL DA CON MANIJA ROJA, CONTENIENDO EN SU INTERIOR EFECTOS PERSONALES Y UNA CAMARA DIGITAL MARCA KODAK DE 12,5 MP COLOR NEGRA EN UN ESTUCHE COLOR AZUL. AL ARRIBAR A ESTA AEROESTACION CONSTATA LA FALTA DEL MENCIONADO ELEMENTO. AFIRMA QUE CUANDO DESPACHO EN AEROPARQUE EL BOLSO, ESTE CONTENIA LA CAMARA. ACLARANDO QUE EL MISMO NO TENIA CANDADO NI NINGUN DISPOSITIVO DE SEGURIDAD.</t>
  </si>
  <si>
    <t>AR1534</t>
  </si>
  <si>
    <t>SIENDO LA HORA Y LA FECHA ANTES MENCIONADA EN MOMENTOS EN QUE EL OFICIAL ORTIZ SECUNDADO POR EL OFICIAL ZALAZAR EN RECORRIDA QUE EFECTUABAN POR LA TERMINAL A OBSERVAN A UNA PERSONA DE SEXO MASCULINO QUIEN SE ENCONTRABA REALIZANDO TAREAS DE VENTA AMBULANTE DE PRODUCTOS DE LIMPIEZA, A TRANSEUNTES QUE PASABAN POR EL LUGAR, POR UNA SUMA DE DINERO A CONVENIR, SEGUIDAMENTE Y EN PRESENCIA DE TESTIGO HABIL SE LE REQUIERE AL VENDEDOR QUE EXHIBA LA HABILITACION O PERMISO OTORGADO POR EL ADMINISTRADOR DE AEROPUERTO, PARA REALIZAR DICHA TAREA, EXPRESANDO EL MISMO QUE CARECIA DEL MISMO. ACTO SEGUIDO SE PROCEDE A CONDUCIR AL INFRACTOR JUNTO CON TODOS LOS ELEMENTOS DE LIMPIEZA AL SERVICIO DE SANIDAD DE ESTA AEROESTACION A FIN DE REALIZAR UN PRECARIO MEDICO DE ENTRADA PARA LUEGO SER TRASLADADO A LA OFICINA DE CONTRAVENCIONES Y FALTAS A FIN DE CONTINUAR CON LAS ACTUACIONES CONTRAVENCIONALES.</t>
  </si>
  <si>
    <t>EL DIA Y LA HORA ANTES MENCIONADA EN MOMENTOS EN QUE EL OFICIAL ORTIZ, SECUNDADO POR EL OFICIAL ZALAZAR, EN RECORRIDA QUE REALIZABAN POR LA TERMINAL A OBSERVAN A UNA PERSONA DE SEXO FEMENINO QUE SE ENCONTRABA REALIZANDO TAREAS DE VENTA AMBULANTE DE PRODUCTOS DE LIMPIEZA A TRANSEUNTES QUE PASABAN POR EL LUGAR. SEGUIDAMENTE Y EN PRESENCIA DE TESTIGO HABIL SE LO REQUIERE A LA VENDEDORA QUE EXHIBA LA HABILITACION O PERMISO OTORGADO POR EL ADMINISTRADOR DE AEROPUERTO, PARA REALIZAR DICHA TAREA, EXPRESANDO LA FEMENINA QUE CARECIA DE LA MISMA. ACTO SEGUIDO SE PROCEDE A CONDUCIR A LA INFRACTORA AL SERVICIO DE SANIDAD DE ESTA AEROESTACION A FIN DE REALIZAR UN PRECARIO MEDICO DE ENTRADA PARA LUEGO SER TRASLADADA A LA OFICINA DE CONTRAVENCIONES Y FALTAS A FIN DE CONTINUAR CON LAS ACTUACIONES CONTRAVENCIONALES CORRESPONDIENTES.</t>
  </si>
  <si>
    <t>BODEGAS DE AERONAVES - PLATAFORMA - CINTAS DE ARRIBOS</t>
  </si>
  <si>
    <t>QUE EL DIA 26-OCT-10, SIENDO APROXIMADAMENTE LAS 0630 HS. LA DAMNIFICADA TOMA EL VUELO IB 3477 EN SUIZA, CON DESTINO MADRID ESPAÑA. ESE MISMO DIA REALIZA TRASBORDO DE AERONAVE PARA REALIZAR EL VUELO IB 6843 CON DESTINO FINAL EZEIZA, SIN TOMAR CONTACTO CON SU EQUIPAJE DESPACAHDO A BODEGA EN ORIGEN. QUE LUEGO DE HABER ARRIBADO A ESTA AEROESTACIÓN Y EN MOMENTOS EN QUE SE HACE DE SU EQUIPAJE DESPACHADO EN EL AEROPUERTO DE SUIZA, EL CUAL CONSTA DE UNA VALIJA CARRY-ON, COLOR NEGRA, MARCA RADA, MARBETE NUMERO IB 684090, NOTA QUE LA MISMA SE ENCONTRABA ENVUELTA EN UNA BOLSA DE NYLON TRANSPARENTE CON LA INSCRIPCIÓN IBERIA LA QUE EL DAMNIFICADO NO HABIA COLOCADO, Y QUE DICHA VALIJA POSEÍA SIGNOS DE HABER SIDO VIOLENTADA.. SEGUIDAMENTE REALIZA EL RECLAMO CORRESPONDIENTE ANTE LA COMPAÑÍA AÉREA Y SE RETIRA DE ESTE AEROPUERTO. QUE UNA VEZ EN SU DOMICILIO Y AL REALIZAR LA APERTURA DE LA VALIJA EN CUESTIÓN SE PERCATA DEL FALTANTE DE MENCIÓN.</t>
  </si>
  <si>
    <t>PERSONAL POLICIAL OBSERVA POR MEDIO DE LAS IMAGENES QUE SE PROYECTAN POR EL MONITOR DE LA MAQUINA DE RAYOS X, QUE EN EL INTERIOR DE UN ZAPATO ERA HABIDO UN TELEFONO CELULAR. SEGUIDAMENTE SE LE CONSULTA SOBRE EL ORIGEN DEL TELEFONO EN CUESTION, MANIFESTANDO QUE ERA DE SU PERTENENCIA.MOTIVO POR EL CUAL PERSONAL POLICIA COTEJA EL LIBRO DONDE EL PERSONAL QUE TRABAJA EN ESTA AEROSTACION, EL CUAL INGRESA AL SECTOR RESTRINGIDO DECLARA ESTE TIPO DE ELEMENTOS, NO HALLANDO EL MISMO. POR TAL MOTIVO EL CAUSANTE, LOS TESTIGOS Y PERSONAL INTEVINIENTES SON TRASLADADOS HACIA ESTA GUARDIA DE PREVENCION, QUE MANTENIDA COMUNICACION TELEFONICA CON EL JUZGADO, EL MISMO DISPUSO QUE SE PROCEDA A LA DETENCION DEL MISMO Y QUE SEA TRASLADADO A SEDE JUDICIAL. QUE EL DIA 29/10/10, SIENDO LA 09:00 HS EL MISMO FUE TRASLADADO A SEDE JUDICIAL .-</t>
  </si>
  <si>
    <t>S/ORTIZ VALIENTE SUSANA VIOLETA S/PROTECCION DE DERECHOS</t>
  </si>
  <si>
    <t>HIDRANTE 34</t>
  </si>
  <si>
    <t>SIENDO LA HORA MENCIONADA SE DA CUMPLIMIENTO AL MEMORANDO Nº 1190/10 DEL CEAC, REFERENTE A LA CUSTODIA DE LA MENOR SUSANA VIOLETA ORTIZ VALIENTE DESDE EL MOMENTO QUE ARRIBA A ESTA AEROESTACION EN EL VUELO MENCIONADO Y TRASLADARLA PARA LA CUSTODIA DE LA MISMA POR PERSONAL DE PFA Y EL CONSUL PARAGUAYO SEÑOR LUIS ALFONSO COPARI, PASAPORTE D9172, RETIRANDOSE DE JURISDICCION A LAS 08:15 HORAS SIN NOVEDAD.</t>
  </si>
  <si>
    <t>MICELI, EDWARD S/DCIA INF. ARTS. 266 Y 267 DEL CP.</t>
  </si>
  <si>
    <t>CALLE TENIENTE GENERAL MORILLAS S/N CASA Nº 16, BARRIO VALENTINA, EZEIZA, PCIA. DE BS. AS.</t>
  </si>
  <si>
    <t>EN CUMPLIMIENTO A ORDEN DE SERVICIO Nº 1172/10 EN EL DIA DE LA FECHA SE PROCEDIO A DAR CUMPLIMIENTO A LA ORDEN DE ALLANAMIENTO, REQUISA Y SECUESTRO, EN LA FINCA INDICADA, ARROJANDO RESULTADO NEGATIVO CON RESPECTO AL SECUESTRO DE ELEMENTOS DE INTERES PARA LA INVESTIGACION.</t>
  </si>
  <si>
    <t>DEFENSORIA DE LOS DERECHOS DEL NIÑO Y ADOLESCENTE DE NEUQUEN</t>
  </si>
  <si>
    <t>OSES</t>
  </si>
  <si>
    <t>NARA</t>
  </si>
  <si>
    <t>DEPARTAMENTO SEGURIDAD PERSONAL S/ INVESTIGACION PROMOCION Y FACILITACION A LA PROSTITUCION</t>
  </si>
  <si>
    <t>19156/10</t>
  </si>
  <si>
    <t>HALL PUBLICO SECTOR CHECK-IN</t>
  </si>
  <si>
    <t>EN CUMPLIMIENTO O.S. 048/10, SE BRINDO COLABORACION Y SEGURIDAD A LA MENOR DURANTE SU PERMANENCIA EN LA JURISDICCION Y POSTERIOR EMBARQUE CON DESTINO FINAL AEROPARQUE JORGE NEWBERY, ASIMISMO SE PUSO EN CONOCIMIENTO AL JEFE DE TURNO DE AEROPARQUE OF. GOY SUETA A EFECTOS DE COORDINAR CON PERSONAL DEL CONSULADO PARAGUAYO LA RECEPCION DE LA MENOR.</t>
  </si>
  <si>
    <t>AA2651</t>
  </si>
  <si>
    <t>CALLE JULIO ARGENTINO ROCA Nº 3024, MONTE GRANDE, PCIA. DE BS. AS.</t>
  </si>
  <si>
    <t>EN CUMPLIMIENTO A LA ORDEN DE SERVICIO Nº 1172/10, EN EL DIA DE LA FECHA SE PROCEDIO A DAR CUMPLIMIENTO A LA ORDEN DE ALLANAMIENTO, REQUISA Y SECUESTRO, EN LA FINCA INDICADA, SIN PRODUCIRSE SECUESTROS DE ELEMENTOS DE INTERES PARA LA INVESTIGACION.</t>
  </si>
  <si>
    <t>CALLE BENAVIDEZ Nº 1742 - ESTEBAN ECHEVERRIA - PROVINCIA DE BUENOS AIRES</t>
  </si>
  <si>
    <t>EN CUMPLIMIENTO A ORDEN DE SERVICIO NRO. 1172/10, EN EL DIA DE LA FECHA SE PROCEDIO A EFECTIVIZAR LA ORDEN DE ALLANAMIENTO, REQUISA Y SECUESTRO, EN LA FINCA INDICADA, SIENDO EL RESULTADO DE DICHO PROCEDIMIENTO NEGATIVO EN CUANTO A QUE NO SE PRODUJERON SECUESTROS DE ELEMENTOS DE INTERES PARA LA CAUSA NI DEL LINGOTE DE ORO DE APROXIMADAMENTE 500 GRAMOS.</t>
  </si>
  <si>
    <t>DR. JORGE D MORE</t>
  </si>
  <si>
    <t>MICELI, EDWARD S/DCIA. INF. ART. 266 Y 267 DEL C.P.</t>
  </si>
  <si>
    <t>CALLE LA RIOJA N° 454, BARRIO LA MORITA, LOCALIDAD DE EL JAGUEL PARTIDO DE ESTEBAN ECHEVERRIA - PROVINCIA DE BUENOS AIRES</t>
  </si>
  <si>
    <t>EN CUMPLIMIENTO A ORDEN DE SERVICIO N° 1172/10, EN EL DIA DE LA FECHA SE PROCEDIO A EFECTIVIZAR LA ORDEN DE ALLANAMIENTO, REQUISA Y SECUESTRO, EN LA FINCA INDICADA, ARROJANDO DICHO PROCEDIMIENTO RESULTADO NEGATIVO EN CUANTO AL SECUESTRO DE UN LINGOTE DE ORO DE 500 GRAMOS Y DE OTROS ELEMENTOS DE INTERES PARA LA CAUSA.</t>
  </si>
  <si>
    <t>HABITACION 1- PRIMERA A LA IZQUIERDA</t>
  </si>
  <si>
    <t>HOTEL SINDICAL CAMPO RECREATIVO SMATA RUTA 205 - CAÑUELAS - PROVINCIA DE BUENOS AIRES</t>
  </si>
  <si>
    <t>EN CUMPLIMIENTO DE LA ORDEN DE SERVICIO N° 1172/10, EN EL DIA DE LA FECHA SE PROCEDIO A EFECTIVIZAR LA ORDEN DE ALLANAMIENTO, REQUISA, Y SECUESTRO, EN LA FINCA INDICADA, PROCEDIMIENTO EL CUAL ARROJO RESULTADO NEGATIVO EN CUANTO AL SECUESTRO DE UN LINGOTE DE ORO DE APROXIMADAMENTE 500 GRAMOS Y DE ELEMENTOS DE INTERES PARA LA CAUSA.</t>
  </si>
  <si>
    <t>AEROPUERTO DE EZEIZA, PUERTA 49, VESTUARIO DEL PERSONAL POLICIAL DE LA POLICIA DE SEGURIDAD AEROPORTUARIA LOCKERS ARMARIOS COFRES.</t>
  </si>
  <si>
    <t>EN CUMPLIMIENTO A LA ORDEN DE SERVICIO N° 1172/10, EN EL DIA DE LA FECHA SE PROCEDIO A DAR CUMPLIMIENTO A LA ORDEN DE REGISTRO Y SECUESTRO, EN EL LUGAR INDICADO, ARROJANDO LA REQUISA DE LOS LOCKERS DEL PERSONAL DE LA PSA RESULTADO NEGATIVO SOBRE EL SECUESTRO DE ELEMENTOS DE INTERES PARA LA INVESTIGACION.</t>
  </si>
  <si>
    <t>CALLE JOSE MARIA BOSCH 1028, ENTRE GAUCHO CRUZ Y EL PAYADOR, VILLA BOSCH, PARTIDO DE TRES DE FEBRERO, PCIA. DE BS. AS.</t>
  </si>
  <si>
    <t>EN CUMPLIMIENTO A LA ORDEN DE SERVICIO N° 1175/10, EN EL DIA DE LA FECHA SE PROCEDIO A DAR CUMPLIMIENTO A LA ORDEN DE ALLANAMIENTO EMANADA DEL JUZGADO FEDERAL EN LO CRIMINAL Y CORRECCIONAL DE 3 DE FEBRERO, ARROJANDO RESULTADO NEGATIVO CON RESPECTO AL SECUESTRO DE ELEMENTOS DE INTERES PARA LA CAUSA.</t>
  </si>
  <si>
    <t>CALLE CARHUE Nº 3088, DPTO. 3, C.A.B.A.</t>
  </si>
  <si>
    <t>EN CUMPLIMIENTO A LA ORDEN DE SERVICIO 1178/10, EN EL DIA DE LA FECHA SE PROCEDIO A DAR CUMPLIMIENTO A LA ORDEN DE ALLANAMIENTO EMANADA DEL JUZGADO CRIMINAL Y CORRECCIONAL FEDERAL N° 2, ARROJANDO RESULTADO NEGATIVO CON RELACION AL SECUESTRO DE ELEMENTOS DE INTERES PARA LA CAUSA.</t>
  </si>
  <si>
    <t>DR ADOLFO VILLATE</t>
  </si>
  <si>
    <t>RIBEIRO FERNANDES RAFAEL MENOR S/LEY 23737</t>
  </si>
  <si>
    <t>EXPTE.995/10 A</t>
  </si>
  <si>
    <t>INFRACCIÓN LEY 23737</t>
  </si>
  <si>
    <t>HALL DE PREEMBARQUE INTERNACIONAL</t>
  </si>
  <si>
    <t>SIENDO LAS 04:15 HS DEL DÍA DE LA FECHA LOS OFICIALES:MAYOR GERMAN JAHN JEFE TURNO Y LOS OFICIALES:PRINCIPAL CAMMARATA IVAN, AYUDANTE RODRIGUEZ VERONICA, PRINCIPAL ROLON ANDRES Y AYUDANTE FONTANA DIEGO, EN EL MOMENTO DE REALIZAR LOS CONTROLES PREVENTIVOS DE RUTINA SOBRE LOS PASAJEROS DEL VUELO MENCIONADO, EL OFICIAL AYUDANTE DIEGO FONTANA DETECTA EN EL BOLSILLO DELANTERO DERECHO DE UN PANTALÓN TIPO BERMUDA DE UNA PERSONA DE SEXO MASCULINO MENOR DE EDAD UN SOBRE TRANSPARENTE CONTENIENDO UNA SUSTANCIA ORGÁNICA DE COLOR VERDE OSCURA PICADA LA CUAL AL PRACTICARSELE LA PRUEBA DE CAMPO CON REACTIVO DE DOTACIÓN EN PRESENCIA DE DOS TESTIGOS HÁBILES: ARRIOLA JUAN MANUEL DNI 31696726 Y ORTEGA CAROLINA SOLEDAD DNI 30381732, ARROJA RESULTADO POSITIVO PARA MARIHUANA QUE LUEGO DEL PASAJE CORRESPONDIENTE ARROJA UNA CANTIDAD DE 4 GRAMOS INCLUIDO SU ENVOLTORIO POR LO QUE SE INICIAN LAS ACTUACIONES DE RIGOR INTERVINIENDO EL JUZGADO FEDERAL NRO 3 DE ROSARIO QUIEN DISPUSO SE REMITAN A DICHO JUZGADO AL MENOR Y A SU TUTOR CONJUNTAMENTE CON LAS ACTUACIONES LABRADAS PROCEDIENDO EN CONSECUENCIA Y UNA VEZ CUMPLIMENTADA LA MEDIDA, A LIBRAR OFICIO 5630 A EFECTOS DE INFORMAR A ESTA INSTANCIA DE LA RESOLUCIÓN NRO 1642 EN LA CUAL DISPONE SOBRESEER AL MENOR EN CUESTIÓN, DISPONER SU INMEDIATA LIBERTAD Y ENTREGARLO A SU TUTOR ROSANE SOARES FRAGA CI 4011374974 QUIEN ESTUVO PERMANENTEMENTE ACOMPAÑANDO AL MENOR.</t>
  </si>
  <si>
    <t>SE CONFECCIONA EL PRESENTE A LOS EFECTOS DE INFORMAR QUE SIENDO LAS 17:45 HS. ARRIBA AL AEROPUERTO INTERNACIONAL NORBERTO FERNANDEZ LA AERONAVE FAA-01 -F-28 TC55 TRASLADANDO A LA SEÑORA PRESIDENTE DE LA NACION Y LAS EXEQUIAS DE QUIEN EN VIDA FURA EL EX PRESIDENTE DR. NESTOR CARLOS KIRCHNER, PARA SER INHUMADOS EN EL CEMENTERIO DE ESTA CIUDAD DE RIO GALLEGOS, ASIMISMO SE INFORMA QUE EN LA MISMA AERONAVE ARRIBARON EL JEFE DE GABINETE DR. ANIBAL FERNANDEZ, LA SEÑORA MINISTRA DRA. ALICIA KIRCHNER, LOS HIJOS DE LA SEÑORA PRESIDENTE DE LA NACION, Y COMITIVA. TAMBIEN SE INFORMA QUE SIENDO LAS DIECISEIS CUARENTA Y CINCO MINUTOS ATERRIZO EN ESTE AEROPUERTO LA AERONAVE AIRBUS 319 MATRICULA FAV-001 DE BANDERA VENEZOLANA TRANSPORTANDO AL SEÑOR PRESIDENTE DE LA REPUBLICA DE VENEZUELA SR. HUGO CHAVEZ, COMITIVA DE MINISTROS Y FUNCIONARIOS DE ESE PAIS PERMANECIENDO EN ESTA AEROSTACION HASTA LA HORA 20:30 EN LA QUE DESPEGO. PARA FINALIZAR SE INFORMA QUE LA SEÑORA PRESIDENTE DE LA NACION PERMANECERÁ EN LA LOCALIDAD DE RIO GALEGOS, NO CONOCIENDOSE HASTA EL MOMENTO FECHA Y HORA DE PARTIDA.</t>
  </si>
  <si>
    <t>LAURA RONGO DE MICHERO</t>
  </si>
  <si>
    <t>SIENDO LA HORA Y FECHA ANTES CONSIGNADA, LA DAMNIFICADA ARRIBO A ESTA AEROESTACION Y LUEGO DE RETIRAR SU EQUIPAJE SE DIRIGIO A LA VEREDA DEL ARRIBO A2 A LOS EFECTOS DE ABORDAR UN VEHICULO TAXIMETRO. YA EN EL LUGAR EN MOMENTOS QUE HACIA LA COLA PARA ABORDAR EL MISMO, SE LE ACERCA PERSONAL POLICIAL, JUNTO UNA SEÑORA QUIEN DECIA SER LA DUEÑA DEL EQUIPAJE QUE PERMANECIA EN PODER DE LA DENUNCIANTE, AL CORROBORAR EL MARBETE SE COMPRUEBA QUE DICHO EQUIPAJE ERA FEHACIENTEMENTE DE LA SEÑORA QUE ERA ACOMPAÑADA POR EL PERSONAL POLICIAL, POR TAL MOTIVO Y DEBIDO A QUE LA DENUNCIANTE HABIA TOMADO EL EQUIPAJE POR EQUIVOCACION, SE DIRIGE AL SECTOR DE RECLAMOS DE EQUIPAJES DE LA EMPRESA AEROLINEAS ARGENTINAS A LOS EFECTOS DE RECLAMAR SU EQUIPAJE FALTANTE Y AL NO TENER NOVEDAD RESPECTO AL MISMO LUEGO SE DIRIGIO A ESTA GUARDIA DE PREVENCION A REALIZAR LA CORRESPONDIENTE DENUNCIA. SIENDO LAS DOCE HORAS SE ENTABLA COMUNICACION TELEFONICA CON LA JUDICATURA ACTUANTE QUIEN DISPONE: SE RECIBA DECLARACION TESTIMONIAL DEL PERSONAL POLICIAL, COPIA DEL REGISTRO FILMICO Y CIERRE Y ELEVACION DE LAS ACTUACIONES PERTINENTES.</t>
  </si>
  <si>
    <t>AR 2479</t>
  </si>
  <si>
    <t>DUTTO</t>
  </si>
  <si>
    <t>RODOLFO FELIX - FISCAL</t>
  </si>
  <si>
    <t>DR. TEODORO NURNBERGER</t>
  </si>
  <si>
    <t>PRESUNTO ROBO ALAMBRE PERIMETRAL VOR</t>
  </si>
  <si>
    <t>ACCESO A BARRIO CALETA CORDOVA A 9 KM DE ESTE AEROPUERTO</t>
  </si>
  <si>
    <t>SECTOR VOR- RADIO AYUDA PARA LA NAVEGABILIDAD-</t>
  </si>
  <si>
    <t>EN RECORRIDA PERIMETRAL EN EL SECTOR DEL VOR -RADIO AYUDA PARA LA NAVEGABILIDAD- UBICADO A 9 KM APROXIMADAMENTE DEL AEROPUERTO, PERSONAL DE ESTA UOSP, SE ENCUENTRA CON LA NOVEDAD DEL FALTANTE DE 1 PAÑO DE ALAMBRE DE TRES HILOS DE APROXIMADAMENTE DE 3 METROS, Y DOS PORTONES DE ACCESO DE DOS HOJAS DE 2 METROS CADA UNO, NO OBSERVANDOSE ROTURAS VISIBLES EN EL EQUIPO DE RADIO AYUDA. SE DA LA INTERVENCIÓN AL JUZGADO FEDERAL DE COMODORO RIVADAVIA QUIEN DISPONE QUE AL SER AUTOR IGNORADO SE DE INTERVENCIÓN A LA FISCALÍA FEDERAL DE COMODORO RIVADAVIA A CARGO DEL FISCAL FEDERAL RODOLFO DUTTO, SECRETARIA DR. TEODORO NURNBERGER, QUIEN ORDENA REALIZAR LAS ACTUACIONES CORRESPONDIENTES Y ELEVARLAS MISMAS EL DÍA LUNES 01 DE NOVIEMBRE DEL CORRIENTE AÑO.</t>
  </si>
  <si>
    <t>CONFITERIA TIENDA DE CAFE, SECTOR A1, PARTE PUBLICA</t>
  </si>
  <si>
    <t>SIENDO LAS 0930 HORAS APROXIMADAMENTE SE RECIBE COMUNICACION POR PARTE DEL OF GUSTAVO LEDESMA,LP 501226, NUMERARIO DE ESTA UNIDAD OPERACIONAL QUIEN SE ENCONTRABA COMO CENTINELA EN EL HALL SECTOR A1, DANDO AVISO DE UN MALETIN OLVIDADO EN LA CAFETERIA UBICADA EN EL SERCTOR A1 DE LA PARTE PUBLICA DE ESTA AEROESTACION, LUEGO DE DAR AVISO POR AUDIO Y AL NO HACERSE PRESENTE EL DUEÑO DE DICHO MALETIN, SE REALIZA COMUNICACION CON PERSONAL DE BOMBEROS DE PFA Y PERSONAL MEDICO DE EMERGERPARA PROCEDER A REALIZAR EL OPERATIVO GEDEX DANDO ESTE COMO RESULTADO NEGATIVO. SEGUIDAMENTE SE TRASLADO EL MALETIN A LA GUARDIA DE PREVENSION A LOS FINES DE REALIZAR EL ACTA DE HALLAZGO CORRESPONDIENTE CON NUMERO 2758/10. SIENDO LAS 1030 HORAS APROXIMADAMENTE SE HACE PRESENTE EN ESTA GUARDIA EL SEÑOR PABLO SOTOMAYOR CON DNI Nº 17185321, QUIEN DIJO SER EL PROPIETARIO DEL MALETIN, A CONTINUACION SE REALIZA ACTA DE ENTREGA Nº2758/10 CON LA PRESENCIA DEL TESTIGO PERTINENTE. RETIRANDOSE EL MISMO SIN NOVEDAD DE ESTA DEPENDENCIA POLICIAL.</t>
  </si>
  <si>
    <t>PRIMER PISO DE TERMINAL A</t>
  </si>
  <si>
    <t>LOCAL 22 DUTTY FREE SHOP</t>
  </si>
  <si>
    <t>SE RECIBE EN ESTA DEPENDENCIA VIA TELEFONICA EL AVISO DE QUE, PERSONAL DE VIGILANCIA DE LA EMPRESA INTERBAIRES, HABRIA INTERCEPTADO UN MASCULINO QUE HABRIA SUSTRAIDO PRODUCTOS DEL LOCAL NUMERO 22 SIN ABONAR SU CORRESPONDIENTE VALOR.A TAL EFECTO SE COMISIONA PERSONAL POLICIAL HACIA EL LUGAR Y SE CONVOCAN DOS TESTIGOS HABILES.UNA VEZ EN ESTAS DEPENDENCIAS Y SIEMPRE EN PRESENCIA DE LOS TESTIGOS SE SOLICITA AL PASAJERO QUE MUESTRE TODAS SUS PERTENENCIAS, ENTRE LAS CUALES SE ENCONTRABAN PRODUCTOS QUE PERTENECIAN A LA EMPRESA MENCIONADA, LOS CUALES NO FIGURABAN COMO ABONADOS.SEGUIDAMENTE SE LABRAN LAS ACTUACIONES DE RIGOR</t>
  </si>
  <si>
    <t>SECTOR DE ARRIBOS NACIONALES A2</t>
  </si>
  <si>
    <t>QUE EN EL DIA DE LA FECHA SIENDO APROXIMADAMENTE LAS 18:30HS ARRIBO EN EL VUELO AR 1896 PROCEDENTE DE LA CIUDAD DE EL CALAFATE. POCOS MINUTOS MAS TARDE ENCONTRANDOSE EN EL SECTOR DE ARRIBOS NACIONALES A2 SE DIRIGE AL BAÑO DE DAMAS DONDE DEJA OLVIDADO SU TELEFONO CELULAR. AL PERCATARSE DEL FALTANTATE, REGRESA NO ENCONTRANDO EL CELULAR EXTRAVIADO POR LO QUE SE SE HACE PRESENTE EN ESTA GUARDIA A RADICAR LA CORRESPONDIENTE DENUNCIA PENAL.-</t>
  </si>
  <si>
    <t>ACTA DE HALLAZGO N° 032/2010</t>
  </si>
  <si>
    <t>SECTOR DE ARRIBOS DEL AEROPUERTO INTERNACIONAL- USHUAIA- TDF.</t>
  </si>
  <si>
    <t>INFORMO: EN EL DIA DE LA FECHA, DURANTE UN RECORRIDO DE PREVENCION, REALIZADO POR EL OFICIAL PPAL. FERNANDO CAROU EN EL SECTOR DE ARRIBOS DE PASAJEROS, SE PRODUCE EL HALLAZGO DE UNA MOCHILA.SE REALIZA APERTURA DE LA MISMA, EN PRESENCIA DE TESTIGOS HABILES, COTENIENDO EN SU INTERIOR UNA CÁMARA DIGITAL MARCA NIKON MODELO D50 CON UN ZOOM TAMRON 18-270MM, UN ZOOM TAMRON 11-18MM, UNA CAJA ESTANCA UNIVERSAL PARA SUMERGIR MARCA SEASHELL MODELO SS-1, UN IPOD (4GB) MARCA APPLE, CINCO CABLES DE CONEXIÓN, UN CARGADOR DE BATERÍAS MARCA NIKKON, UN CARGADOR DE BATERÍAS MARCA SONY, UN PENDRIVE MARCA KINGSTON (4GB), UN LECTOR TARJETA DE MEMORIA MARCA NOKIA, UNA TARJETA DE MEMORIA DE 256MB, UNA TARJETA DE MEMORIA DE 1GB, UN TRÍPODE PARA CÁMARA DE 15CM DE LONGITUD, UN FILTRO MARCA COKIN 62MM. LA MISMA NO POSEE EN SU INTERIOR IDENTIFICACIÓN ALGUNA, POR LO QUE NO SE PUEDE LOCALIZAR A SU PROPIETARIO. QUEDANDO LOS ELEMENTOS MENCIONADOS EN RESGUARDO EN LA OFICINA DE INTELIGENCIA CRIMINAL DE ESTA PREVENCION.</t>
  </si>
  <si>
    <t>MIENTRAS SE EFECTUABA EL CONTROL PREVENTIVO DE PASAJEROS Y EQUIPAJE DE MANO, EN EL PUNTO DE INSPECCIÓN, CONTROL Y REGISTRO DENOMINADO PREEMBARQUE 1/16, A LOS PASAJEROS DEL VUELO DE MENCION, UN PASAJERO DE SEXO MASCULINO, DE TEZ BLANCA, QUIEN VESTÍA EN LA OPORTUNIDAD, CAMISA GRIS OSCURA, JEAN DE COLOR AZUL, Y ZAPATILLAS DE COLOR BLANCO, TRASPASÓ AL ARCO DETECTOR Y ACTIVÓ LA ALARMA SONORA DEL MISMO, MOTIVO POR EL CUAL PERSONAL POLICIAL PROCEDIÓ AL CHEQUEO MANUAL DEL PASAJERO EN CUESTIÓN, NOTANDO A LA ALTURA DE SU INGLE PROTUBERANCIAS QUE NO ERAN ACORDES CON LA FISONOMÍA DE SU CUERPO, MOTIVO POR EL CUAL, SE CONVOCÓ LA PRESENCIA DE DOS TESTIGOS Y SE TRASLADARON LOS INTERVINIENTES A LA GUARDIA DE PREVENCIÓN DONDE PREVIA AUTORIZACIÓN DE LA JUDICATURA ACTUANTE, SE EFECTUÓ LA REQUISA DEL CIUDADANO DE MENCIÓN Y SUS PERTENENCIAS, VISUALIZÁNDOSE EN LA CAMISA DE MANGAS CORTAS DE COLOR BLANCA QUE LLEVABA PUESTA, QUE EN SUS DOS BOLSILLOS FRONTALES, CONTENÍA UNA TOTALIDAD DE 8 CAPSULAS LAS CUALES POSEÍAN SUSTANCIA QUE SOMETIDA AL REACTIVO DE CAMPO PARA CLORHIDRATO DE COCAÍNA ARROJÓ RESULTADO POSITIVO. SE CONTINUÓ CON LA REQUISA Y PUDO VERSE QUE DEBAJO DE UN TERCER BOXER QUE LLEVABA PUESTO, ERAN HABIDAS 65 (SESENTA Y CINCO CAPSULAS) MAS, LAS CUALES ARROJARON RESULTADO POSITIVO PARA COCAÍNA CUANDO FUE SOMETIDA LA SUSTANCIA QUE CONTENÍAN A REACTIVO DE CAMPO PARA DICHA SUSTANCIA. POSTERIORMENTE, EL CAUSANTE FUE TRASLADADO AL HOSPITAL ZONAL DE EZEIZA, ALFREDO EURNEKIAN, DONDE LE TOMARON PLACAS RADIOGRÁFICAS TENDIENTES A DETERMINAR LA POSIBLE INGESTA DE CUERPOS EXTRAÑOS, ARROJANDO DICHOS ESTUDIOS RESULTADO NEGATIVO.SEGUIDAMENTE, SE COMENZO CON LAS ACTUACIONES DE RIGOR, QUE DEBERAN SER REMITIDAS A SEDE JUDICIAL EL DIA LUNES PRIMERO DE NOVIEMBRE DEL CORRIENTE AÑO JUNTAMENTE CON EL DETENIDO EN AUTOS.</t>
  </si>
  <si>
    <t>DRA. VANESA RISETTI</t>
  </si>
  <si>
    <t>11731/08</t>
  </si>
  <si>
    <t>BOX DE LA DIRECCION NACIONAL DE MIGRACIONES</t>
  </si>
  <si>
    <t>EL DIA Y LA HORA ANTES MENCIONADA SE DRECIBE DE LA DNM, A UNA PERSONA DE SEXO FEMENINO, SOBRE LA CUAL PESA UNA ORDEN DE CAPTURA, EMANADA POR EL JUZGADO DE PRIMERA INSTANCIA EN LO PENAL SECRETARIA UNICA DE LA CIUDAD AUTONOMA DE BUENOS AIRES SEGUN LO INFORMADO POR DICHO ORGANISMO, MOTIVO POR EL CUAL SE CURSA NOTA A LA DIVISION INTERPOL DE LA PFA A FIN DE SOLICITAR LOS ANTECEDENTES DE LA CAUSANTE ARROJANDO DICHA CONSULTA QUE LA IMPUTADA SOLO REGISTRA UNA ORDEN DE REBELDIA VIGENTE DE FECHA 16/02/2009 EN EL MARCO DE LA CAUSA Nº 11731 CARATULADA LEY 23737 A SOLICITUD DEL JUZGADO NACIONAL EN LO CRIMINAL Y CORRECCIONAL Nº 02. SEGUIDAMENTE SE INTENTA ENTABLAR COMUNICACION TELEFONICA CON EL JUZGADO SOLICITANTE, NO PUDIENDO ENTABLAR LA MISMA, MOTIVO POR EL CUAL LE DA AVISO DE LO ACONTECIDO AL JUZGADO FEDERAL EN TURNO DE LOMAS DE ZAMORA, SIENDO ATENDIDO EN LA OPORTUNIDAD POR EL DR. JORGE D AMORE, QUIEN PREVIAS CONSULTAS Y POR ASI HABERLO DISPUESTO SSA, INDICO QUE SE PROCEDA A LA DETENCION EN CARACTER DE COMUNICADO, HASTA QUE SE PUEDA ESTABLECER LA COMUNICACION TELEFONICA CORRESPONDIENTE. CON EL JUZGADO SOLICITANTE, Y EN CASO DE NO PODER COMUNICARSE CON DICHO JUZGADO SE PROCEDA AL TRASLADO DE LA DETENIDA A SEDE JUDICIAL. SE INFORMA EN PU Nº 6843 DEL DIA 01/11/10 SIENDO LAS 1000 HORAS SE MANTUVO COMUNICACION TELEFONICA CON EL JUZGADO SOLICITANTE QUIEN MANIFESTO QUE NO ERA DE INTERES LA DETENCION DE LA CAUSANTE POR ENCONTRARSE SIN VIGENCIA LA MEDIDA, MOTIVO POR EL CUAL SE PROCEDIO A SU LIBERACION RETIRANDOSE DE LA JURISDICCION CON LA TOTALIDAD DE SUS PERTENENCIAS SIN NOVEDAD.</t>
  </si>
  <si>
    <t>DESDE PREEMBARQUE HASTA AERONAVE</t>
  </si>
  <si>
    <t>EN EL DIA DE LA FECHA SE HACE PRESENTE LA DAMNIFICA MANIFESTANDO QUE EL DIA 27 DEL CORRIENTE LUEGO DE REALIZAR EL PREEMBARQUE, ESPERAR SU VUELO EN EL HALL DE ESPERA, Y ABORDAR EL VUELO MENCIONADO, UNA VEZ ABORDO DE LA AERONAVE, SE PERCATA DEL FALTANTE DE UN MALETIN PORTA NETBOOK.</t>
  </si>
  <si>
    <t>AR 2530</t>
  </si>
  <si>
    <t>6808/10</t>
  </si>
  <si>
    <t>INFORMO EN EL DIA DE LA FECHA SE REALIZA ENTREGA DE ELEMENTOS DETALLADOS EN ACTA DE HALLAZGO N°32/10 AL SR. SOLA ESPEJO RUBEN ANTONIO DE NACIONALIDAD ESPAÑOLA PASAPORTE N° AE480467 PREVIO CORROBORAR QUE LOS ELEMENTOS SON DE SU PROPIEDAD. RETIRANDOSE DEL TURNO DE PREVENCION SIN OTRA NOVEDAD.-</t>
  </si>
  <si>
    <t>PLATAFORMA - ACCESO A PLATAFORMA - AERONAVE PRESIDENCIAL T- 03</t>
  </si>
  <si>
    <t>SE CONFECCIONA EL PRESENTE A LOS EFECTOS DE INFORMAR QUE SIENDO LA HORA 17:20 (LOCAL) DESPEGA DE ESTE AEROPUERTO, ACFT FOKKER F-28 MATRICULA T-03 CON LA SRA PRESIDENTE DE LA NACION DRA CRISTINA FERNANDEZ, LA MINISTRA DE DESARROLLO SOCIAL DE LA NACION DRA. ALICIA KIRCHNER Y COMITIVA RUMBO A AEROPARQUE JORGE NEWBERY, SIN NOVEDAD</t>
  </si>
  <si>
    <t>MOSTRADOR N 71 CHECK IN</t>
  </si>
  <si>
    <t>EL OF CABRERA LEONARDO INFORMA QUE EN EL MOSTRADOR 71 SE ENCONTRABA UN BULTO SOSPECHOSO POR TAL MOTIVO SE DA AVISO A PERSONAL DEL COC, SE CONVOCA PERSONAL DEL GEDEX, SANIDAD Y BOMBEROS AISLANDO Y EVACUANDO EL SECTOR DE MANERA PREVENTIVA. SEGUIDO A ELLO Y DESPLEGADO LOS SISTEMAS DE EMERGENCIAS, YA CON CONOCIMIENTO DEL JUZGADO EL PERSONAL DEL GEDEX REALIZA LAS TAREAS DE LA ESPECIALIDAD DETERMINANDO QUE EL ELEMENTO EN CUESTION NO REVISTE PELIGROSIDAD. POR LO CUAL EN PRESENCIA DE DOS TESTIGOS SE TRASLADA EL EQUIPAJE EN CUESTION A ESTA GUARDIA,DONDE SE LABRA LA CORRESPONDIENTE ACTA DE HALLAZGO NUMERO 2082/10, RETORNANDO EL SECTOR A SU NORMAL ACTIVIDAD.DICHO ELEMENTO DE TRATA DE UN EQUIPAJE TIPO CARRY-ON DE COLOR NEGRO DE GRANDES DIMENSIONES, EL CUAL CONTIENE VESTIMENTAS VARIAS Y ELEMENTOS MEDICOS. PTO.</t>
  </si>
  <si>
    <t>6705/10</t>
  </si>
  <si>
    <t>CALLE CENTRAL DE LA PERGOLA DOS DE LA TERMINAL A</t>
  </si>
  <si>
    <t>SIENDO LAS 9 HORAS 30 MINUTOS EL PERSONAL DEL COC INFORMA QUE EN LA PERGOLA DE LA TERMINAL DE PARTIDA DEL SECTOR A,SE ENCONTRABA UN VEHICULO TAXI CHEVROLET CON DOMINIO COLOCADO IBG473, EL CUAL FIGURABA INSERTO EN EL SISTEMA VIGILANT, DEBIDO A QUE ESTARIA INVOCUCRADO EN UN HECHO ILICITO, POR EL CUAL SE HABRIAN LABRADO ACTUACIONES EN ESTA DEPENDENCIA. A TAL EFECTO SE COMISIONA PERSONAL POLICIAL JUNTO A DOS TESTIGOS PARA PROCEDER A INDIVIDUALIZAR E IDENTIFICAR AL OCUPANTE DE DICHO AUTOMOVIL. QUE UNA VEZ QUE SE IDENTIFICA AL OCUPANTE DEL TAXI SE CONSTATA QUE DICHA PERSONA RESULTA SER EL SR MARIANO PATRICIO VALENZISI QUE SE ENCUENTRA INVOLUCRADO EN CAUSA 555-E/10.POR ULTIMO SE TRASMITE LA NOVEDAD AL JUZGADO INTERVINIENTE QUE INDICA LA APREHENCION EN CALIDAD DE COMUNICADO HASTA TANTO SE LABREN LAS DILIGENCIAS ORDENADAS Y FINALIZADAS LAS MISMAS SE PROCEDA A LA LIBERTAD DEL MISMO PREVIA CONSTATACION DE DOMICILIO.SIENDO LAS 15 HORAS 30 MINUTOS EL CAUSANTE SE RETIRA DE ESTA DEPENDENCIA POR SUS PROPIOS MEDIOS</t>
  </si>
  <si>
    <t>SIENDO LAS 18:00 HORAS SE INICIA OPERATIVO DE SEGURIDAD PARA EL ARRIBO DE LA SEÑORA PRESIDENTA DE LA NACION, PROCEDENTE DE LA CUIDAD DE RIO GALLEGOS. SIENDO LAS 19:58 HORAS ARRIBA A LA PLATAFORMA MILITAR DE ESTE AEROPUERTO LA SRA. PRESIDENTA EN LA AERONAVE T-03, RETIRANDOSE VIA AEREA A LAS 20:06 HORAS EN EL H-01, SIENDO LAS 20:15 HORAS FINALIZA EL OPERATIVO DE SEGURIDAD SIN NOVEDAD.</t>
  </si>
  <si>
    <t>SIENDO LAS 19:55 HORAS, LA AERONAVE RAMS COYOTE ES 6S, MATRÍCULA LV-X193, SOCIA DEL AEROCLUB PUERTO MADRYN, EN MOMENTOS DE PROCEDER A LA MANIOBRA DE ATERRIZAJE SUFRE AL ROTURA DE SU TREN DE ATERRIZAJE PRINCIPAL, DEL LADO IZQUIERDO, PROVOCANDO ASIMISMO LA ROTURA DE LA HELICE. DICHA AERONAVE DESPEGO DEL AEROCLUB, SITO EN LA JURISDICCION DE LA UOSP PUERTO MADRYN, ALREDEDOR DE LAS 19.00 HORAS, CON DOS TRIPULANTES, PROPIETARIOS DE LA MISMA, PILOTADA POR EL SR. NESTOR BASSO, DNI 13.423.501 Y ACOMPAÑANTE SR. GUILLERMO VILLA, DNI 23.067.978. EL INCIDENTE SE PRODUJO A LA ALTURA DE LA CABECERA 05. SE RETIRO DEL SECTOR MEDIANTE REMOLQUE CON EL VEHÍCULO PARTICULAR DEL SR VILLA, ACOMPAÑADO POR EL MÓVIL DE AA2000 Y EL MÓVIL DE DOTACIÓN DE LA UOSP CITADA. NO SE PRODUJERON DAÑOS FISICOS EN LOS TRIPULANTES. NO SE PRODUJERON DAÑOS EN LA PISTA. LA ACTIVIDAD AÉREA SE DESARROLLO CON POSTERIORIDAD AL CIERRE DE LA OPERATIVIDAD AÉREA, 16:00 HORAS LOCAL, POR LO QUE NO TENIAN CONTROL AÉREO POR PARTE DE LA ANAC.</t>
  </si>
  <si>
    <t>AVERIGUACION DE INF. ART 175 DEL C.P.</t>
  </si>
  <si>
    <t>MIENTRAS SE EFECTUABA EL CONTROL RUTINARIO MEDIANTE EQUIPO DE RAYOS X, EN EL PUESTO DE MENCION, EL OFICIAL AYUDANTE AREVALO DOMINGO OBSERVA QUE EN EL INTERIOR DE LAS PERTENENCIAS DE UN A PERSONA DE SEXO FEMENINO DE LA EMPRESA PERTENECER ERA HABIDO UN TELEFONO CELULAR E INFORMA LO OBSERVADO A LA RESPONSABLE DEL PUESTO OFICIAL AYUDANTE GUERRA MIRTA SEGUIDAMENTE SE IDENTIFICA A LA EMPLEADA COMO OLGA DEL VALLE GARCIA SE LE SOLICITA QUE EXHIBA EL TELEFONO, SIENDO ESTE DE COLOR NEGRO MARCA MOTOROLA V3 BLACK Y SE LE CONSULTA SOBRE LA PROCEDENCIA DEL MISMO, MANIFESTANDO QUE EL TELEFONO DE MENCION NO ERA DE SU PERTENENCIA Y QUE SE LO HABIA DADO UN COMPAÑERO. SEGUIDAMENTE LA SRA GARCIA, TESTIGOS Y PERSONAL INTERVINIENTE SON TRASLADADOS HACIA EL TURNO DE PREVENCION A EFECTOS DE LABRAR LAS ACTUACIONES QUE CORRESPONDAN. QUE UNA VEZ ANOTICIADO EL JUZGADO EN TURNO Y PREVIAS CONSULTAS CON S.SA. INDICA SE NOTIFIQUE A LA CAUSANTE SOBRE EL INICIO DE LAS PRESENTES ACTUACIONES, SE REALICE CONSTATACION DE DOMICILIO Y QUE UNA VEZ CULMINADAS DICHAS DILIGENCIAS SE RETIRE DE ESTA DEPENDENCIA. QUE SIENDO APROXIMADAMENTE LAS CINCO HORAS DEL DIA DE LA FECHA LA SRA. GARCIA SE RETIRA DE ESTA DEPENDENCIA POLICIAL CONFORME A LOS TRATOS RECIBIDOS.-</t>
  </si>
  <si>
    <t>FERRAROTTI, MARIA ALEJANDRA S/DENUNCIA</t>
  </si>
  <si>
    <t>QUE SIENDO LA HORA INDICADA SE HACE PRESENTE LA SRA FERRAROTTI MANIFESTANDO SUS DESEOS DE RADICAR UNA DENUNCIA PENAL EN VIRTUD A QUE SU ESPOSO SR. ALEJANDRO GABRIEL KOKAS, EMPLEADO DE LA EMPRESA HAS, LLEVA A SU DOMICILIO ELEMENTOS CUYA PROCEDENCIA DESCONOCE Y ES DUDOSA, SIENDO ALGUNOS ELEMENTOS CAMARAS DE FOTOS, PEN DRIVES, RELOJES, GPS, FILMADORAS Y PRENDAS DE VESTIR. PRESUMIENDO QUE DICHOS ELEMENTOS SON EXTRAIDOS POR EL SR. KOKAS DE LAS VALIJAS DESPACHADAS A BODEGA DE LAS AERONAVES POR LOS PASAJEROS DE ESTE AEROPUERTO, EN VIRTUD A QUE ESCUCHA LAS CONVERSACIONES QUE REALIZABA SU ESPOSO VIA NEXTEL CON SUS COMPAÑEROS DE TRABAJO DONDE MANIFIESTAN COMO EXTRAIAN LOS ELEMENTOS EN CUESTION Y LOS COMERCIALIZABAN.-</t>
  </si>
  <si>
    <t>DENTRO DE LAS INSTALACIONES DEL AEROPUERTO DE SAN FERNANDO NO PUDIENDO DETERMINAR EL LUGAR EXACTO DEL EXTRAVIO.</t>
  </si>
  <si>
    <t>EL DIA Y LA HORA ANTES MENCIONADA SE HACE PRESENTE EN ESTA DEPENDENCIA POLICIAL EL SEÑOR TURANO, MANIFESTANDO EL EXTRAVIO DE SU PERMISO PERSONAL DE SEGURIDAD AEROPORTUARIO VENCIDO, NO RECORDANDO EL DIA, Y EL LUGAR EXACTO DENTRO DE LAS INSTALACIONES AEROPORTUARIAS DONDE EXTRAVIO DICHO PERMISO.</t>
  </si>
  <si>
    <t>SUPUESTA AMENAZA</t>
  </si>
  <si>
    <t>ROTONDA UBICADA A 400 MTS DE LA AEROESTACIÓN</t>
  </si>
  <si>
    <t>SE PRESENTA EN EL PUESTO SABRE, LA DENUNCIANTE QUIEN MANIFIESTA QUE MOMENTOS ANTES MIENTRAS CAMINABA UNA PERSONA DE SEXO MASCULINO QUE SE MOVILIZABA EN UNA MOTOCICLETA LE HABIA SEGUIDO Y A LOS GRITOS LE DECIA QUE LA IBA A VIOLAR. POR TAL MOTIVO SE DESPLEGO UN PATRULLAJE POR LA JURISDICCION EN DONDE SE LOGRA DEMORAR A ESTE INDIVIDUO TRASLADANDOLO A LA GUARDIA DE PREVENCION DE ESTA UNIDAD. SE DA INTERVENCION A LA FISCALIA EN TURNO QUIEN DISPONE SE REALICEN LAS ACTUACIONES CORRESPONDIENTES, SE LE REALICE ANTECEDENTES EN LA POLICIA DEL CHACO, LOS CUALES DIERON NEGATIVOS, SE LO NOTIFIQUE DE LA CAUSA Y POSTERIORMENTE SE RETIRE A SU DOMICILIO A LAS 13:00 HS.</t>
  </si>
  <si>
    <t>SE AMPLIA PARTE RESERVADO N° 5633, DE FECHA 22/10/10, REFERENTE AL EXPTE. N° 561/10, CARATULADO AVERIGUACION INFRACCION A LA LEY 24769, TRAMITADO ANTE EL JUZGADO FEDERAL DE SALTA N° 1 A CARGO DEL DR. JULIO LEONARDO BAVIO, SECRETARIA PENAL N° 2 A CARGO DEL DR. SANTIAGO FRENCH, CON INTERVENCION DE LA FISCALIA FEDERAL DE SALTA N° 2 A CARGO DEL DR. EDUARDO JOSE VILLALBA. SE INFORMA QUE SE PROCEDIO A LA RPORROGA DE LAS INTERVENCIONES TELEFONICAS POR EL LAPSO DE 15 DIAS DE LOS ABONADOS INTERVENIDOS EN LA PRESENTE CAUSA, DE ACUERDO A LO ORDENADO MEDIANTE OFICIO N° 3201/10 DE FECHA 28/10/10. LIBRADO POR EL JUZGADO INTERVININIENTE. CON RESPECTO AL ABONADO 3876-551707,EL QUE SERIA UTILIZADO POR FEDERICO BIERRUN, IMPLICADO EN LA CAUSA QUE SE INVESTIGA, DICHO CELULAR TODAVIA NO FUE INTERVENIDO, HASTA EL MOMENTO POR OBSERVACIONES JUDICIALES, ESTANDO A LA ESPERA DE DICHA CONEXION. SE AMPLIARA A MEDIDAS QUE SURJAN NOVEDADES.</t>
  </si>
  <si>
    <t>LEAL, RAFAEL</t>
  </si>
  <si>
    <t>CINTA DE ARRIBOS DE LA TERMINAL B</t>
  </si>
  <si>
    <t>QUE EN EL DIA DE LA FECHA SE HACE PRESENTE EN ESTE ASIENTO DE GUARDIA UNA PERSONA DE SEXO FEMENINO, QUIEN DIJO SER Y LLAMARSE MARIA CAROLINA FRISSIA DE MENDIVIL, MANIFESTANDO HABER ARRIBADO A ESTE MEDIO, Y QUE LUEGO DE REALIZAR LOS TRAMITES MIGRATORIOS DE RIGOR, CORRESPONDIENTES AL INGRESO AL TERRITORIO NACIONAL, SE DIRIGE HACIA LA CINTA DE ARRIBOS DE LA TERMINAL B, RETIRANDO SU EQUIPAJE DESPACHADO A BODEGA,DONDE SE PERCATA DEL FALTANTE DE EFECTOS PERSONALES VARIOS. MANIFESTANDO LA DENUNCIANTE QUE AL NO CONTAR CON EL TIEMPO NECESARIO, NO RADICARIA FORMAL DENUNCIA, DEJANDO ASENTADO LO SUCEDIDO Y RETIRANDOSE DEL LUGAR. INICIANDO ESTA PREVENCION ACTUACIONES DE OFICIO.</t>
  </si>
  <si>
    <t>LEGAJO DE QUIÑONES CHIRI, AGRIPINA</t>
  </si>
  <si>
    <t>2318/10-ES-</t>
  </si>
  <si>
    <t>EN EL DIA DE LA FECHA, SE PRESENTA PERSONAL DE GENDARMERÍA NACIONAL ALFERE CANTERO SANTIAGO COD. EST. 63.918 Y C1º SOSA LUCIA COD. EST. 67170,CON LA CIUDADANA DE NACIONALIDAD BOLIVIANA, QUIÑONES CHIRI, AGRIPINA C.I.: 7208720, A QUIEN POR DISPOSICION Nº 89485/10 DEL REGISTRO DE LA DNM, SE ORDENO LA EXPULSIÓN DEL TERRITORIO NACIONAL C/PROHIBICIÓN DE REINGRESO AL PAÍS CON CARÁCTER DE PERMANENTE. SE DA CUMPLIMIENTO A LA ORDEN DE SERVICIO Nº 034/10 DE LA UOESA DEL NORTE, CON LA INTERVENCIÓN DE 03 EFECTIVO DE LA UOESA DEL NORTE Y DE 03 EFECTIVO DE LA UOSP SALTA, PARA SU RECEPCION, CUSTODIA Y EMBARQUE, EN EL VUELO Nº 251 5L DE LA EMPRESA AÉREA AEROSUR, EMBARCANDO A HORAS 14:40 SIN NOVEDAD</t>
  </si>
  <si>
    <t>6810/10</t>
  </si>
  <si>
    <t>INSTALACIONES DE LA DNM</t>
  </si>
  <si>
    <t>POR MEDIO DEL PRESENTE INFORMO QUE EN EL DIA DE LA FECHA SIENDO APROXIMADAMENTE LAS DIEZ HORAS SE MANTUVO COMUNICACION TELEFONICA CON EL JUZGADO SOLICITANTE, INFORMANDO LA SECRETARIA DEL MISMO QUE NO ERA DE INTERES LA DETENCION DE LA CAUSANTE POR ENCONTRARSE SIN VIGENCIA LA MEDIDA, MOTIVO POR EL CUAL SE PROCEDIO A SU LIBERACION, HACEINDO ABANDONO DE ESTA DEPENDENCIA SIN NOVEDAD.</t>
  </si>
  <si>
    <t>G37456</t>
  </si>
  <si>
    <t>LEGAJO DE ABANILLO ROMERO, CESAR OSCAR</t>
  </si>
  <si>
    <t>2325/10-ES-</t>
  </si>
  <si>
    <t>EN EL DIA DE LA FECHA, SE PRESENTA PERSONAL DE GENDARMERÍA NACIONAL ALFERE CANTERO SANTIAGO COD. EST. 63.918 Y C1º SOSA LUCIA COD. EST. 67170, CON EL CIUDADANO DE NACIONALIDAD BOLIVIANA, ABANILLO ROMERO, CESAR OSCAR, C.I.: 5421011, QUIEN POR DISPOSICION Nº 91850/10 DEL REGISTRO DE LA DNM, SERA EXPULSADO DEL TERRITORIO NACIONAL C/PROHIBICIÓN DE REINGRESO AL PAÍS CON CARÁCTER DE PERMANENTE, DANDO CUMPLIMIENTO A LA ORDEN DE SERVICIO Nº 034/10 DE LA UOESA DEL NORTE, CON LA INTERVENCIÓN DE 03 EFECTIVO DE LA UOESA DEL NORTE Y DE 03 EFECTIVO DE LA UOSP SALTA, PARA SU RECEPCION, CUSTODIA Y EMBARQUE, EN EL VUELO Nº 251 5L DE LA EMPRESA AÉREA AEROSUR, EMBARCANDO A HORAS 14:40 SIN NOVEDAD</t>
  </si>
  <si>
    <t>4726/10</t>
  </si>
  <si>
    <t>PSA S/INFRACCION A LA LEY 23.737</t>
  </si>
  <si>
    <t>CIUDAD DE USHUAIA - TIERRA DEL FUEGO</t>
  </si>
  <si>
    <t>AMPLIANDO PR Nº 3321/10 DE FECHA 02/06/10 Y PR Nº 4050/10 DE FECHA 06/07/10 Y PR Nº 4726/10 DE FECHA 04/08/10 DONDE SE AUTORIZA LA PRORROGA DE LA INTERVENCION TELEFONICA, POR UN PLAZO DE 30 DIAS, QUE PESA SOBRE LOS ABONADOS SOLICITADOS. INFORMO QUE EL DIA 01/10/10 SE RECEPCIONA VIA FAX EN ESTA UOCN Y DC V, OFICIO JUDICIAL Nº 413/10, DE FECHA 29 DE OCTUBRE , EMANADO POR LA FISCALIA FEDERAL DE LA CIUDAD DE USHUAIA EN RELACION CON CAUSA 97.233/10 (INVESTIGACION PRELIMINAR NRO 15) CARATULADA "PSA S/INV INFRACCION A LA LEY 23.737, CON EL FIN DE INFORMAR QUE EL SEÑOR JUEZ FEDERAL DISPUSO PRORROGAR LA INTERVENCION TELEFONICA DE LOS ABONADOS Nº 2901-15474174; 2901- 15471987 Y 2901-15475660 (VOZ Y MENSAJES DE TEXTOS ENTRANTES Y SALIENTES) DURANTE LAS 24 HS POR EL TERMINO DE 30 DIAS, ASIMISMO SE REQUIERE SE PROCEDA A LA ESCUCHA Y TRANSCRIPCION DE LOS SOPORTES QUE RESULTEN, LOS CUALES DEBERAN SER ELEVADOS A LA FISCALIA.</t>
  </si>
  <si>
    <t>BULOS Y OTROS S/INFRACCION AL ART. Nº 190 DEL CODIGO PENAL DE LA NACION.-</t>
  </si>
  <si>
    <t>746/10</t>
  </si>
  <si>
    <t>INFRACCION AL ARTICULO 190 DEL CODIGO PENAL DE LA NACION</t>
  </si>
  <si>
    <t>SIENDO APROXIMADAMENTE LAS 12:40 HS. SE PRESENTA LA SRA. AGUSTINA MAZAFRA , JEFA DE BASE DE LA EMPRESA AEROSUR, INFORMANDO QUE EL OPERADOR DE TORRE DE CONTROL SR. JORGE BLANCART LE DIO LA NOVEDAD QUE EL COMANDANTE SR. EDWIN RAUL ROBLES VELAZCO DEL VUELO Nº 250-5L AUN EN VUELO INFORMO QUE DOS PASAJEROS SE ESTABAN AGREDIENDO EN EL INTERIOR DE LA AERONAVE, SOLICITANDO LA INTERVENCIÓN DE ESTA POLICIA AL MOMENTO DEL ARRIBO. EL JEFE DE UOSP DIO LA NOVEDAD AL DR SANTIAGO FRENCH SECRETARIO PENAL Nº 2 DEL JUZGADO FEDERAL DE SALTA Nº 1 A CARGO DEL DR. JULIO LEONARDO BAVIO, QUIEN MANIFIESTA QUE AL SER RADICADA LA CORRESPONDIENTE DENUNCIA SE REALICE UNA NUEVA COMUNICACIÓN PARA SEGUIR LAS INSTRUCCIONES CORRESPONDIENTES, A HS. 13:05 ARRIBÓ EL MENCIONADO VUELO, CON LA COLABORACIÓN DEL PERSONAL DE LA UOESA DEL NORTE Y EFECTIVOS DEL TURNO POLICIAL PREVENTIVO JUNTO AL JEFE Y SUBJEFE DE UOSP, SE HIZO PRESENCIA AL PIE DE LA AERONAVE DE MANERA PREVENTIVA PROCEDIÉNDOSE IDENTIFICAR A LOS PASAJEROS PERTURBADORES, POSTERIORMENTE EL COMANDANTE DE LA AERONAVE SE DIRIGIÓ A LA OFICINA DE OPERACIONES POLICIALES A RADICAR LA CORRESPONDIENTE DENUNCIA. A LAS 13:55 HS. EL SUBJEFE OF. JEFE JAVIER SARMIENTO INFORMA AL DR. FRENCH QUE LA DENUNCIA FUE RADICADA POR EL MENCIONADO COMANDANTE DE LA AERONAVE. EL MAGISTRADO ACTUANTE DISPONE QUE SE NOTIFIQUE A LOS CAUSANTES DE SUS DERECHOS Y CAUSAL DE DETENCIÓN, SE CONFECCIONEN LOS FORMULARIOS DE LEVANTAMIENTO DE HUELLAS DACTILARES, FOTOGRAFÍAS DE LOS MISMOS Y QUE ESTARÍAN EN CALIDAD DE DETENIDOS COMUNICADOS, PARA SER TRASLADADOS CON POSTERIORIDAD AL JUZGADO INTERVINIENTE, LOS PASAJEROS EN CUESTIÓN FUERON IDENTIFICADOS, SIENDO REVISADOS POR PERSONAL DEL SERVICIO MEDICO DEL AEROPUERTO Y TRASLADADOS AL TURNO POLICIAL PREVENTIVO EN PRESENCIA DE DOS TESTIGOS HÁBILES CON LA CUSTODIA DEL PERSONAL DE LA UOESA III DEL NORTE. A HS. 14:45 EL OF. JAVIER SARMIENTO NOTIFICA A LOS CAUSANTES DE SUS DERECHOS Y CAUSAL DE DETENCIÓN REALIZÁNDOSE LAS ACTUACIONES CORRESPONDIENTES EN PRESENCIA DE LOS TESTIGOS. A HS. 20:15 LOS IMPUTADOS SON TRASLADADOS AL JUZGADO FEDERAL DE SALTA Nº 1 EN CUSTODIA DEL PERSONAL DE LA UOESA III DEL NORTE EN MÓVILES DE DOTACIÓN. P.U. Nº 6859/10 (AMPLIACION) SIENDO LAS 23:00 HS. SE TRASLADA A LOS CAUSANTES DE SEDE JUDICIAL HASTA LA UOSP SALTA Y DE ACUERDO A LO DISPUESTO POR S.S. DR. JULIO LEONARDO BAVIO A CARGO DEL JUZGADO FEDERAL DE SALTA Nº 1 EN SU OFICIO JUDICIAL Nº 3239/10 EN EL EXPTE. Nº 746/10 EL JEFE DE UOSP PROCEDE A LA INMEDIATA LIBERACION DE EDUARDO BULOS Y PATRICIO PERONDI, QUEDANDO LOS CAUSANTES EN LIBERTAD HABIENDOSE REALIZADO LAS CORRESPONDIENTES CONSTATACIONES DE DOMICILO E INFORMADO DICHA NOVEDAD AL MAGISTRADO INTERVINIENTE, HACIENDO ENTREGA EN ESE MISMO ACTO DE LOS EFECTOS PERSONALES DE LOS CAUSANTES EN PRESENCIA DE 02 TESTIGOS HABILES.</t>
  </si>
  <si>
    <t>250 5L</t>
  </si>
  <si>
    <t>6805/10</t>
  </si>
  <si>
    <t>LOCAL 22 DEL DUTTY FREE SHOP - PRIMER PISO DE TERMINAL A</t>
  </si>
  <si>
    <t>INFORMO QUE EN EL DIA DE LA FECHA SIENDO APROXIMADAMENTE LAS DIECISIETE HORAS REGRESO LA COMISION ENCARGADA DEL TRASLADO DEL DETENIDO A SEDE JUDICIAL, JUNATAMENTE CON ESTE ULTIMO Y OFICIO JUDICIAL ORDENANDO SU INMEDIATA LIBERTAD. POR TAL MOTIVO SIENDO LAS DIECIOCHO HORAS EL CAUSANTE HACE ABANDONO DE ESTA DEPENDENCIA SIN NOVEDAD.</t>
  </si>
  <si>
    <t>TA022</t>
  </si>
  <si>
    <t>SLUPSKI DIEGO JAVIER</t>
  </si>
  <si>
    <t>SIENDO LA FECHA Y HORA ANTES MENCIONADA SE RECIBE COMUNICACION TELEFONICA POR PARTE DE LA DIRECCION GENERAL DE DEFENSA CIVIL GCBA LA CUAL MANIFIESTA QUE UNA DE SUS OPERADORAS HABIA RECIBIDO UNA LLAMADA ANONIMA CON LA VOZ DE UNA MUJER DE UNOS 50 A 60 AÑOS DE EDAD APROXIMADAMENTE LA CUAL MANIFESTABA QUE EN ESTE AEROPUERTO HABIA UNA BOMBA. SIENDO LAS 1700 HORAS SE ENTABLA COMUNICACCION CON EL DR.SLUPSKI TITULAR DE LA SECRETARIA Nº 23 DE LA JUDICATURA ACTUANTE EL CUAL ANOTICIADO DISPONE CONTROL PREVENTIVO DE TODOS LOS SECTORES PUBLICOS Y RESTRINGIDOS DEL AEROPUERTO JORGE NEWBERY Y CON EL RESULTADO SE ENTABLE NUEVA COMUNICACION . SIENDO LAS 1845 HORAS FINALIZA EL CONTROL PREVENTIVO ARROJANDO RESULTADO NEGATIVO CON RESPECTO AL HALLAZGO DE ELEMENTOS EXPLOSIVOS. POSTERIORMENTE SE ENTABLA COMUNICACION CON LA JUDICATURA ORDENANDO DECLARACION TESTIMONIAL DE LA OPERADORA, NOTA DE LA EMPRESA PRESTATARIA DEL SERVICIO TELEFONICO,CIERRE Y ELEVE.</t>
  </si>
  <si>
    <t>DEFENSA CIVIL</t>
  </si>
  <si>
    <t>SECTOR SALIDA DE ARRIBOS DE LA TERMINAL A</t>
  </si>
  <si>
    <t>SIENDO LA HORA Y LA FECHA ANTES MENCIONADA, EL OFICIAL PONCE, JEFE DE TURNO DEL COC, OBSERVA POR LAS CAMARAS EN EL SECTOR DE MENCION, A UNA PERSONA DE SEXO MASCULINO JUNTO CON DOS PASAJEROS DETENIENDO UN TAXI. QUE EL MISMO ASISTE A LOS PASAJEROS CARGANDOLE SUS EQUIPAJES DENTRO DEL VEHICULO RECIBIENDO UNA SUMA DE DINERO A CAMBIO. ACTO SEGUIDO SE DA AVISO VIA NEXTEL AL OFICIAL CARABAJAL, QUIEN SE ENCONTRABA CUMPLIENDO FUNCIONES DE PATRULLA EN LA PERGOLA DE LA TERMINAL A. EL MISMO SORPRENDE IN FRAGANTI AL MASCULINO EJERCIENDO FUNCIONES DE MALETERO POR LO QUE SE LO LLEVA A SANIDAD DEL AEROPUERTO Y POSTERIORMENTE AL TURNO DE PREVENCION A FIN DE LABRAR LAS ACTUACIONES CONTRAVENCIONALES CORRESPONDIENTES.</t>
  </si>
  <si>
    <t>SIENDO LA HORA Y LA FECHA ANTES MENCIONADA, LA OFICIAL AYUDANTE CAFFERATA, SECUNDADA EN LA OPORTUNIDAD POR EL OFICIAL AYUDANTE ORTIZ, MIENTRAS DESEMPEÑABAN SUS FUNCIONES DE PATRULLA EN LA PERGOLA DE LA TERMINAL A OBSERVAN A UNA PERSONA DE SEXO MASCULINO, EL CUAL SE ACERCA A UN PASAJERO Y LUEGO DE UN BREVE DIALOGO TOMA SUS EQUIPAJES Y SE DIRIGEN HACIA EL ESPIGON DE LA TERMINAL B, DONDE SE ACERCAN A LOS STAND DE SERVICIOS DE TRANSPORTE, DONDE LOS OFICIALES SE HACEN PRESENTES EN EL LUGAR CONSTANDO LA FALTA, EL CUAL HABIA SIDO INFORMADO PREVIAMENTE QUE NO PODIA EJERCER LA ACTIVIDAD DE MALETERO CONTRARIANDO LA NORMATIVA LEGAL VIGENTE A LOS ARTS. 2 Y 7 DE LA RESOLUCION 269/98 DE LA SECRETARIA DE TRANSPORTE DE LA NACION, INICIANDOSE LAS ACTUACIONES CONTRAVENCIONALES CORRESPONDIENTES.</t>
  </si>
  <si>
    <t>ARTICULO 45 LEY 12962</t>
  </si>
  <si>
    <t>PUERTA Nº1</t>
  </si>
  <si>
    <t>INFORMO QUE EN EL CONTROL DE DOCUMENTACIÓN DE PASAJEROS DEL VUELO Nº 4031 DE LA EMPRESA LAN ARGENTINA SE DETECTA A TRAVES DEL SISTEMA DE INTERPOL EL PEDIDO DE CAPTURA VIGENTE SOLICITADO POR EL JUZGADO CORRECIONAL Nº 5, SECRETARIA Nº 73, CAUSA Nº 0030596 CARATULADA "ART. 45 LEY 12962" DE FECHA 21/11/1998, POR EXPEDIENTE Nº 584-31284-09-CAPITAL FEDERAL, CORRESPONDIENTE AL SR. RAFAEL OSCAR HANONO, ANTE EL HECHO PERSONAL DE INTERPOL REALIZA UN ACTA Y ENTREGA AL JEFE DE TURNO. ACTO SEGUIDO SIENDO LAS 19:10 HS SE ESTABLECE COMUNICACIÓN TELEFONICA CON EL ABONADO Nº 011-1555623404, PERTENECIENTE AL DR. EDGARDO FABIAN BISTOLFI A/C DE LA SECRETARIA 73 DEL JUZGADO SOLICITANTE DE LA MEDIDA, QUIEN ENTERADO DE LOS HECHOS, ORDENA SE NOTIFIQUE AL SR. RAFAEL OSCAR HANONO, A COMPARACER ANTE DICHO JUZGADO, EN EL TERMINO DE TRES DIAS HABILES Y QUE EL MISMO PROSIGA SU VIAJE.</t>
  </si>
  <si>
    <t>6852/10</t>
  </si>
  <si>
    <t>BULOS EDUARDO Y OTROS S/INFRACCION AL ART. 190 DEL CODIGO PENAL</t>
  </si>
  <si>
    <t>3239/10 EXTE. Nº 746/10</t>
  </si>
  <si>
    <t>SIENDO LAS 23:00 HS. SE TRASLADA A LOS CAUSANTES DE SEDE JUDICIAL HASTA LA UOSP SALTA Y DE ACUERDO A LO DISPUESTO POR S.S. DR. JULIO LEONARDO BAVIO A CARGO DEL JUZGADO FEDERAL DE SALTA Nº 1 EN SU OFICIO JUDICIAL Nº 3239/10 EN EL EXPTE. Nº 746/10 EL JEFE DE UOSP PROCEDE A LA INMEDIATA LIBERACION DE EDUARDO BULOS Y PATRICIO PERONDI, QUEDANDO LOS CAUSANTES EN LIBERTAD HABIENDOSE REALIZADO LAS CORRESPONDIENTES CONSTATACIONES DE DOMICILO E INFORMADO DICHA NOVEDAD AL MAGISTRADO INTERVINIENTE, HACIENDO ENTREGA EN ESE MISMO ACTO DE LOS EFECTOS PERSONALES DE LOS CAUSANTES EN PRESENCIA DE 02 TESTIGOS HABILES.</t>
  </si>
  <si>
    <t>EL DIA Y LA HORA ANTES MENCIONADA SE HACE PRESENTE EN ESTA DEPENDENCIA POLICIAL EL SR.MOCDESE , MANIFESTANDO EL EXTRAVIO DE SU PERMISO PERSONAL DE SEGURIDAD AEROPORTUARIO VIGENTE EL DIA 29/10/10, NO PUDIENDO PRECISAR EL LUGAR EXACTO DEL EXTRAVIO.</t>
  </si>
  <si>
    <t>PREEMBARQUE 1/16 - PUNTO DE INSPECCION Y REGISTRO</t>
  </si>
  <si>
    <t>EN MOMENTOS EN QUE SE EFECTUABA EL CONTROL PREVENTIVO DE PASAJEROS Y EQUIPAJES DE MANO, EN EL PUNTO DE INSPECCIÓN Y REGISTRO DENOMINADO PREEMBARQUE 1/16, SITO EN LA TERMINAL A, PARA EL VUELO DE MENCION, SE HIZO PRESENTE UNA PERSONA DE SEXO MASCULINO QUE AL MOMENTO DE TRASPASAR EL MARCO DETECTOR DE METALES, ACTIVÓ LA ALARMA SONORA DEL MISMO, MOTIVO POR EL CUAL, PERSONAL POLICIAL LE EFECTUÓ UN CHEQUEO MANUAL POR SOBRE LAS ROPAS DEL PASAJERO, DETECTANDO A LA ALTURA DE LA ZONA INGUINAL BULTOS AJENOS A SU FISONOMÍA. ACTO SEGUIDO SE CONVOCÓ LA PRESENCIA DE DOS TESTIGOS Y SE TRASLADARON TODOS LOS INTERVINIENTES A LA GUARDIA DE PREVENCIÓN, DONDE PREVIA AUTORIZACIÓN JUDICIAL, SE PRACTICÓ LA REQUISA DEL PASAJERO EN CUESTIÓN, A QUIEN SE LE SOLICITÓ QUE SE QUITE EL PANTALÓN COLOR BEIGE QUE VESTÍA, OBSERVÁNDOSE QUE DEBAJO DE ESE, VESTÍA OTRO PANTALÓN DE SIMILARES CARACTERÍSTICAS Y COLOR, EL CUAL ALOJABA DENTRO DE SU BOLSILLO IZQUIERDO Y DE SU BOLSILLO DERECHO, UNA MEDIA CONTENIENDO CAPSULAS DEL TIPO INGESTA, POR UN TOTAL DE 101 UNIDADES, LAS CUALES CONTENÍAN SUSTANCIA QUE AL SER SOMETIDA A REACTIVO PARA CLORHIDRATO DE COCAÍNA, ARROJÓ RESULTADO POSITIVO. EL IMPUTADO FUE TRASLADADO AL HOSPITAL ZONAL DE EZEIZA "ALFREDO EURNEKIAN", DONDE LUEGO DE LOS EXÁMENES PERTINENTES, EL PERSONAL INFORMÓ QUE NO SE OBSERVARON CUERPOS EXTRAÑOS EN LA MODALIDAD DE INGESTA. UNA VEZ ANOTICIADO EL JUZGADO INTERVINIENTE EL RESULTADO OBTENIDO, EL MISMO INDICA QUE SE PROCEDA A LA DETENCIÓN DEL PASAJERO Y LABRARA ACTUACIONES DE RIGOR. QUE EL DIA 02/11/10, SIENDO APROXIMADAMENTE LAS 08:00HS SE PROCEDIÓ AL TRASLADO DEL DETENIDO A SEDE JUDICIAL</t>
  </si>
  <si>
    <t>QATAR AIRWAYS</t>
  </si>
  <si>
    <t>QR-922</t>
  </si>
  <si>
    <t>Qatar</t>
  </si>
  <si>
    <t>DOHA</t>
  </si>
  <si>
    <t>AVERIGUACION INFRACCIONA LA LEY 24769</t>
  </si>
  <si>
    <t>647/10</t>
  </si>
  <si>
    <t>SE INFORMA QUE EL DIA 01 DE NOVIEMBRE DE 2010, SE RECEPCIONA OFICIO N° 3189/10, DE FECHA 28/10/10, REFERENTE AL EXPTE. N° 647/10, CARATULADO AVERIGUACION A LA LEY 24769, LIBRADO POR EL JUZGADO FEDERAL DE SALTA N° 1 A CARGO DEL DR. JULIO LEONARDO BAVIO, SECRETARIA PENAL N° 2 A CARGO DEL DR. SANTIAGO FRENCH, POR EL CUAL DISPONE LIBRAR EL PRESENTE A LOS FINES DE INFORMAR QUE PERSONAL DE ESTA FUERZA PRACTIQUE TAREAS INVESTIGATIVAS DE LA CAUSA DE REFERENCIA. SE INFORMA QUE CON FECHA 01/11/10, SE TOMO VISTA DE LA DENUNCIA REALIZADA POR EL SR. MARTIN ALFREDO KNUDTSEN, QUIEN SE DESEMPEÑA COMO SUPERVISOR DE LA AFIP - SALTA. DICHA DENUNCIA FUE ENTREGADA UNA COPIA A PERSONAL DE ESTA FUERZA. EL EXPTE. SE INCIA POR UNA DENUNCIA REALIZADA POR UNA INVESTIGACION QUE LLEVABA LA AFIP SALTA, SOBRE UNA ORGANIZACION DELICTIVA A LOS FINES DE PODER DETECTAR CONSTRIBUYENTES PRESTANOMBRES INSOLVENTES, EMPRESAS FICTICIAS, LAS CUALES SON UTILIZADAS PARA REALIZAR TRASLADO Y BLANQUEO DE GRANOS, DONDE DICHOS ACTORES LOGRAN EVADIR EL IMPUESTO TRIBUTARIO DE LA PRODUCCION Y COMERCIALIZACION DE GRANOS, DENTRO DEL TERRITORIO NACIONAL. EL PRINCIPAL SOSPECHADO INVESTIGADO EN LA CAUSA SE TRATARIA DEL CONTADOR PUBLICO NACIONAL RICARDO ISAAC VILARDEL, DNI N° 20.218.341, QUIEN ES EL QUE LLEVA LA PARTE CONTABLE DE DIFERENTES EMPRESAS QUE TRABAJAN CON EL. ESTA PERSONA RESIDIRIA EN LA CIUDAD DE SALTA CAPITAL. ACTUALMENTE SE ENCUENTRA INTERVENIDO EL ABONADO N° 387-5014557, EL QUE SERIA UTILIZADO POR RICARDO ISAAC VILARDEL, POR EL LAPSO DE QUINCE DIAS, DE ACUERDO A LO ORDENADO POR OFICIO N° 3183/10, DE FECHA 28/10/10, LIBRADO POR EL JUZGADO INTERVINIENTE. SE AMPLIARA A MEDIDA QUE SURJAN NOVEADES.</t>
  </si>
  <si>
    <t>PISTA ATERRIZAJE CABECERA 10</t>
  </si>
  <si>
    <t>SIENDO LAS 13.38 HORAS AL ATERRIZAR, DEBIDO A UNA CORTANTE DE RAFAGA DE VIENTO EL PILOTO NO PUEDE DOMINAR LA AERONAVE PA11 MATRICULA LV-YQG EN CABECERA 10, POR LO QUE LA PUNTA DEL ALA HACE CONTACTO CON LA TIERRA PRODUCIENDO AVERIA EN LA MISMA, LUEGO EL ATERRIZAJE FUE NORMAL HACIA PLATAFORMA. ANAC DA INTERVENCION A LA JUNTA DE ACCIDENTE AEROPUERTO EL PLUMERILLO CIUDAD DE MENDOZA.</t>
  </si>
  <si>
    <t>EN CUMPLIMIENTO DE LA ORDEN DE SERVICIO N° 2611 DE FECHA 02NOV10, EMANADA DE LA URSA II DEL CENTRO, SIENDO LAS 14:00 HORAS SE IMPLEMENTA EL OPERATIVO DE SEGURIDAD PRESIDENCIAL, SIENDO LAS 16:05 ARRIBA LA AERONAVE F-27 MATRICULA T-47 CON COMITIVA. SIENDO LAS 16:35 ARRIBA AERONAVE MATRICULA T-10, AMBOS DE LA FUERZA AEREA, SIENDO LAS 17:23 HORAS ARRIBA AERONAVE CESSNA CITATION MATRICULA LV-BRJ, CON LA PRESIDENTE DE LA NACION, ABORDA HELICOPTERO EUROCOPTER MATRICULA LQ-CCZ CON DESTINO A FABRICA DE RENAULT (B° SANTA ISABEL - CORDOBA), JUNTO CON HELICOPTERO MATRICULA LV-WMB CON FUNCIONARIOS QUE INTEGRAN LA COMITIVA, DESPEGANDO AMBOS A LAS 17:34.</t>
  </si>
  <si>
    <t>DR. SEBASTIAN CANDELA</t>
  </si>
  <si>
    <t>FRENTE A CHECK IN DE LA EMPRESA ANDES</t>
  </si>
  <si>
    <t>SIENDO EL DIA Y LA HORA ANTES MENCIONADA SE HACE PRESENTE EN ESTA GUARDIA DE PREVENCIÓN UNA PERSONA DE SEXO MASCULINO MANIFESTANDO QUE HABÍA SIDO VICTIMA DE UN HECHO DELICTIVO, INFORMANDO QUE SIENDO LAS 09:20 HORAS SE HABÍA ACERCADO AL CHECK-IN DE LA EMPRESA ANDES YA QUE DEBÍA TOMAR UN VUELO CON DESTINO A PUERTO MADRYN, DEJANDO DE SU LADO DERECHO UN (01) BOLSO EL CUAL IBA A DESPACHAR Y UNA (01) MOCHILA ENCIMA, AL TRANSCURRIR UNOS SEGUNDOS GIRA PARA AGARRAR EL BOLSO A DESPACHAR Y SE PERCATA DEL FALTANTE DE SU MOCHILA, MOTIVO POR EL CUAL RADICA LA CORRESPONDIENTE DENUNCIA. SIENDO LAS 12:10 HORAS SE REALIZA COMUNICACIÓN CON LA FISCALIA LA CUAL DISPONE: QUE EL MASCULINO APORTE UN TELEFONO CELULAR, REGISTRO FILMICO Y APOYO TECNOLOGICO DE LA PFA..</t>
  </si>
  <si>
    <t>DRA. MARIA VIERGINIA DUFFY</t>
  </si>
  <si>
    <t>GUAYRA 1810 - PISO 8 - DPTO. A - C.A.B.A.</t>
  </si>
  <si>
    <t>SIENDO LAS 19:45 HORAS DEL DIA 01 DE NOVIEMBRE DE 2010, PERSONAL DE ESTA U.O.C.N. Y D.C. CENTRAL, PROCEDIO, SEGUN LO ORDENADO POR S.SA. DR. CLAUDIO BONADIO, TITULAR DEL JUZGADO NACIONAL EN LO CRIMINAL Y CORRECCIONAL FEDERAL NRO. 11 - SECRETARIA NRO. 21 DE LA DRA. CAROLINA ARNAIZ, EN CAUSA NRO. 11879/10 - CARATULADA: EXHORTO DEL JUZGADO FEDERAL NRO. 1 DE TUCUMAN, SE PROCEDIO A LA DETENCION EN LA MODALIDAD DOMICILIARIA DEL CIUDADANO ADOLFO ERNESTO MOORE, EN EL DOMICILIO DE LA CALLE GUAYRA NRO. 1810 - PISO 8 - DPTO. A - CABA, NOTIFICANDOLE QUE SU DETENCION SE DEBE A DISPOSICION DEL JUZGADO FEDERAL NRO. 1 DE TUCUMAN - SECRETARIA DE DERECHOS HUMANOS, SIENDO EN LA MODALIDAD DE DOMICILIARIA, HASTA TANTO SE RESUELVA SU SITUACION PROCESAL, QUEDANDO A DISPOSICION DE ESTE MAGISTRADO Y SECRETARIA.</t>
  </si>
  <si>
    <t>FRENTE A PREEMBARQUE INTERNACIONAL</t>
  </si>
  <si>
    <t>EN EL DIA DE LA FECHA SIENDO LAS 15:11 HORAS SE RECEPCIONA UNA DENUNCIA DE UNA PERSONA MANIFESTANDO QUE SIENDO LAS 13:30 HORAS, LUEGO DE REALIZAR EL CHECK IN PARA SU VUELO, SE DIRIGIO HACIA LA PLANTA ALTA DE ESTA AEROESTACION, DONDE DECIDIO ESPERAR SENTADA FRENTE AL INGRESO DEL PREEMBARQUE INTERNACIONAL, PASADO UNOS MINUTOS SE PERCATA DEL FALTANTE DE UN BOLSO DE COLOR BEIGE EL CUAL HABIA DEJADO COLOCADO EN UN ASIENTO CONTIGUO AL DE ELLA. RAZON POR LA CUAL SE PRESENTA EN ESTA GUARDIA A RADICAR LA CORRESPONDIENTE DENUNCIA PENAL.-</t>
  </si>
  <si>
    <t>UNIDAD FISCAL BAHIA BLANCA</t>
  </si>
  <si>
    <t>ABEL DARIO</t>
  </si>
  <si>
    <t>MINISTERIO PUBLICO FISCAL S/SU DENUNCIA.</t>
  </si>
  <si>
    <t>100/10</t>
  </si>
  <si>
    <t>EN EL DIA DE LA FECHA, SE RECEPCIONO EN LA CUENTA DEL CORREO ELECTRONICO OFICIAL DE ESTA UNIDAD, OFICIO JUDICIAL NRO. 465/10, PROVENIENTE DE LA CASILLA DE CORREO ELECTRONICO DE LA UNIDAD DE ASISTENCIA PARA CAUSAS POR VIOLACIONES A LOS DERECHOS HUMANOS - UNIDAD FISCAL BAHIA BLANCA, EN EL CUAL REMITE UN ARCHIVO ADJUNTO PROVENIENTE DE LA COMPAÑIA TELEFONICA DE ARGENTINA S.A., CORRESPONDIENTE A LA LINEA NRO. 02932-424528 PARA SU INCORPORACIóN A LA BASE DE DATOS QUE FUERA REMITIDA MEDIANTE OFICIO NRO. 417/10 Y A EFECTOS QUE CONTINUEN LAS TAREAS DE ENTRECRUZAMIENTO Y COTEJOS REQUERIDAS OPORTUNAMENTE. ASIMISMO SOLICITA SE REALIZEN AVERIGUACIONES SOBRE LOS DOMICILIOS DONDE SE ENCUENTRAN INSTALADAS LAS LINEAS TELEFONICAS INFORMADAS CON ANTERIORIDAD.</t>
  </si>
  <si>
    <t>EN CUMPLIMIENTO DE LA ORDEN DE SERVICIO N° 2611 DE FECHA 02NOV10, EMANADA DE LA URSA II DEL CENTRO, SIENDO LAS 19:20 ARRIBA HELICOPTERO CON LA PRESIDENTE DE LA NACION A ESTE AEROPUERTO. SIENDO LAS 19:32 DESPEGA AERONAVE CESSNA CITATION MATRICULA LV-BRJ CON LA PRESIDENTE DE LA NACION A BORDO. SIN NOVEDAD.</t>
  </si>
  <si>
    <t>POSICION Nº 33.</t>
  </si>
  <si>
    <t>AEROSTACION MILITAR.</t>
  </si>
  <si>
    <t>SIENDO LAS 14:00 HORAS, SE IMPLEMENTA OPERATIVO DE SEGURIDAD PRESIDENCIAL CON MOTIVO DE LA PARTIDA DE LA SRA PRESIDENTA DE LA NACION Y COMITIVA CON DESTINO A LA CIUDAD DE CORDOBA. SIENDO LAS 16:09 HORAS, SE HACE PRESENTE EN ESTE AEROPUERTO METROPOLITANO LA MANDATARIA EN HELICÓPTERO MATRICULA H-02, SIENDO LAS 16:23 HORAS SE EFECTÚA LA PARTIDA DE LA MENCIONADA EN AERONAVE MATRICULA LV-BRJ. SIENDO LAS 16:35 HORAS, FINALIZA EL OPERATIVO SIN NOVEDAD.</t>
  </si>
  <si>
    <t>CINTAS DE ARRIBO - TERMINAL A</t>
  </si>
  <si>
    <t>BODEGA - AERONAVE - PLATAFORMA - CINTA DE ARRIBOS</t>
  </si>
  <si>
    <t>EN EL DIA DE LA FECHA SIENDO LAS DIECISIETE HORAS Y CUARENTA MINUTOS SE HACE PRESENTE EN ESTE TURNO EL SR. MATIAS EZEQUIEL SMITH GIACONI PARA RADICAR UNA DENUNCIA . LA PERSONA OBSERVA EL FALTANTE DE LOS CANDADOS Y CREMALLERA DE LOS CIERRES DE AMBAS VALIJAS Y SE DIRIGE INMEDIATAMENTE AL MOSTRADOR DE LA EMPRESA A REALIZAR EL RECLAMO, SIN REALIZAR LA DENUNCIA CORRESPONDIENTE PORQUE EN LA EMPRESA LE INFORMAN QUE NO HACIA FALTA MAS TRAMITES, PERO DIAS DESPUES SE LO SOLICITAN PARA EL CORRESPONDIENTE SEGURO. SE REALIZA COMUNICACION AL DR. MOYANO, A CARGO DE LA UFI Nº 5, QUIEN DISPONE LAS ACTUACIONES DE RIGOR Y LA POSTERIOR ELEVACION A LA FISCALIA DE DETERMINACION DE AUTORES.</t>
  </si>
  <si>
    <t>SIENDO LAS 19:00 HORAS SE IMPLEMENTA OPERATIVO CON MOTIVO DE BRINDAR SEGURIDAD EN LA LLEGADA DE LA SRA. PRESIDENTE DE LA NACION, DEL VUELO PROCEDENTE DE LA PROVINCIA DE CORDOBA. SIENDO LAS 20:20 HORAS ATERRIZA LA MANDATARIA EN AERONAVE MATRICULA LV-BRJ. EN HORAS 20:27, SE RETIRA DE ESTE AEROPUERTO METROPOLITANO EN HELICOPTERO MATRICULA H-02. SIENDO LAS 20:35 HORAS, FINALIZA EL OPERATIVO SIN NOVEDAD.</t>
  </si>
  <si>
    <t>6670/10</t>
  </si>
  <si>
    <t>CASTILLO, MARCELO AGUSTÍN PSA POR INFRANCCIÓN LEY 23.737 - AEROPUERTO TRELEW</t>
  </si>
  <si>
    <t>730 Fº 281 AÑO 2010</t>
  </si>
  <si>
    <t>INFORMO EN EL DÍA DE LA FECHA EL JUZGADO FEDERAL DE PRIMERA INSTANCIA RAWSON CHUBUT OTORGA NÚMERO Y CARATULA JUDICIAL AL PREVENTIVO Nº 0007/10 DE ÉSTA UOSP. LOS MISMOS CONSTAN EN DATOS DE CAUSA JUDICIAL</t>
  </si>
  <si>
    <t>EN LA FECHA SE DIO CUMPLIMIENTO O.S. 048/10 CON MOTIVO DEL TRASLADO DE FONDOS DEL TESORO REGIONAL NO SURGIENDO NOVEDADES.</t>
  </si>
  <si>
    <t>PLATAFORMA OPERATIVA -POSICION 14</t>
  </si>
  <si>
    <t>EN REFERENCIA A ORDEN DE SERVICIO Nº 280/2010, DE FECHA 03 DE NOVIEMBRE DE 2010 EMANADA DE LA URSA II DEL CENTRO EN RELACIÓN A OPERATIVO PARA BRINDAR SEGURIDAD A LOS VALORES, AERONAVES, CAMIONES DE CAUDALES DE LA EMPRESA PROSEGUR Y PERSONAL DEL BANCO CENTRAL DE LA REPUBLICA ARGENTINA, SE PROCEDIO AL REFUERZO DE PUESTOS DE INGRESO Y RECORRIDOS PREVENTIVOS CON VEHÍCULOS DE DOTACIÓN EN ZONA PUBLICA FINALIZANDO EL DISPOSITIVO A LAS 12:50 HS APROXIMADAMENTE SIN NOVEDAD. CABE DESTACAR QUE EL PERSONAL DEL BANCO CENTRAL DE LA REPUBLICA ARGENTINA AFECTADO A DICHO OPERATIVO SON : SR LASCANO ERNESTO DNI Nº 17.385.529,RESPONSABLE DE LA COORDINACION DEL OPERTAVO, SR GAMBOA IVAN DNI Nº 23.710.708, SR OLIVA JORGE DNI Nº 17.534.634 Y SR NAVARRETE JOSE DNI Nº 23.748.207,SON LOS RESPONSABLES DE LA CUSTODIA DE LOS VALORES</t>
  </si>
  <si>
    <t>TC 55</t>
  </si>
  <si>
    <t>SEGUN ORDEN DE SERVICIO N° 167/10. INFORMO QUE A HORAS 13:53 ARRIBA EN ESTE AEROPUERTO C 130 - MATRICULA TC 56 PERTENECIENTE A LA FUERZA AEREA ARGENTINA TRANSPORTANDO CAUDALES DEL BANCO CENTRAL DE LA REPUBLICA ARGENTINA. SE REALIZO OPERATIVO DE SEGURIDAD PERTINENTE, SALIENDO A HORAS 14:15 VIA TERRESTE LOS CAMIONES QUE TRANSPORTAN LOS VALORES SIN REGISTRARSE NOVEDAD. ASIMISMO INFORMO QUE SIENDO 15:06 HORAS, PARTIO EL VUELO CITADO CON DESTINO AL AEROPUERTO DEL PALOMAR.</t>
  </si>
  <si>
    <t>PERMISO PERSONAL EXTRAVIADO Nº 252013</t>
  </si>
  <si>
    <t>EN EL DIA DE LA FECHA SE PRESENTO EN LAS OFCINAS DE IDENTIFICACION Y REGISTRO DE ESTA UOSP EL SR IBAÑEZ FABIAN ORLANDO QUIEN CUMPLE FUNCIONES PARA LINEAS AEREAS DEL ESTADO,ACREDITANDO IDENTIDAD CON DNI NRO 20075948 QUIEN MANIFESTO HABER EXTRAVIADO EL PERMISO DE SEGURIDAD AEROPORTUARIO NRO 252013 CON VENCIMIENTO EN FECHA 01/07/2009 NO PUDIENDO PRESISAR MAYORES DATOS DE LAS CIRCUNSTANCIAS O DEL MOMENTO EN QUE SE PRODUJO EL EXTRAVIO DEL CITADO PERMISO.-</t>
  </si>
  <si>
    <t>EXTRAVIO DE PERMISO PERSONAL Nº 255508</t>
  </si>
  <si>
    <t>EN EL DIA DE LA FECHA 03 DE NOVIEMBRE DEL 2010 SE PRESENTO EN LAS OFICINAS DE IDENTIFICACION Y RIGISTRO DE ESTA UOSP EL SR. GAMBOA PABLO ERNESTO QUIEN CUMPLE FUNCIONES EN EL SECTOR DE AERO-AIS QUIEN ACREDITO SU IDENTIDAD CON EL DNI NUMERO 18581128 A FIN DE INFORMAR EL EXTRAVIO DEL PERMISO DE SEGURIDAD AEROPORTUARIO NUMERO 255508 CON FECHA DE VENCIMIENTO EL 28/07/2009 QUIEN NO PUDO PRECISAR MAYORES DATOS DEL LUGAR O DE LAS CIRCUNSTANCIAS EN QUE SE PRODUJO EL EXTRAVIO DEL MISMO.</t>
  </si>
  <si>
    <t>FISCALIA FEDERAL DE PASO DE LOS LIBRES</t>
  </si>
  <si>
    <t>PONT</t>
  </si>
  <si>
    <t>BENITO ANTONIO</t>
  </si>
  <si>
    <t>DR. HUGO DANIEL FROY</t>
  </si>
  <si>
    <t>AVERIGUACIÓN DE SUPUESTA INFRACCIÓN A LA LEY 23.737.-</t>
  </si>
  <si>
    <t>AVERIGUACIÓN DE SUPUESTA INFRACCIÓN A LA LEY 23737.-</t>
  </si>
  <si>
    <t>CIUDAD DE PASO DE LOS LIBRES CTES.</t>
  </si>
  <si>
    <t>INFORMO EN EL DÍA DE LA FECHA, SIENDO APROXIMADAMENTE LAS ONCE HORAS Y TREINTA MINUTOS, EL JEFE DE TURNO DE ESTA UOSP, OFICIAL PRINCIPAL ENRIQUE LAGRILLA, RECEPCIONA UNA LLAMADA TELEFÓNICA ANÓNIMA AL NRO. 03772-425800,CORRESPONDIENTE A LA GUARDIA DE PREVENCIÓN DE ESTA UOSP, MEDIANTE LA CUAL SE DENUNCIA QUE ENTRE LAS CALLES YATAY ENTRE MAESTRO LLANES Y ROJAS DE ESTA CIUDAD, UNA PERSONA DE APELLIDO RAMIREZ, ALIAS CEPILLO, ESTARÍA ACOPIANDO ESTUPEFACIENTES EN LA VIVIENDA PROPIEDAD DE UNA PERSONA APODADA CORDOBÉS. ACTOS SEGUIDO, SE PROMUEVE CONSULTA CON LA FISCALIA FEDERAL DE PASO DE LOS LIBRES, DR. HUGO D. FROY, SECRETARIO, QUIEN PUESTO EN CONOCIMIENTO DE LOS HECHOS, DISPONE SE REALICEN ACTUACIONES DE OFICIO POR AVERIGUACIÓN DE SUPUESTA INFRACCIÓN A LA LEY 23737.</t>
  </si>
  <si>
    <t>DANTIAK EDGAR JUVENAL</t>
  </si>
  <si>
    <t>ACTA DE PROCEDIMIENTO Nº 0026/10</t>
  </si>
  <si>
    <t>EN EL DIA DE LA FECHA, AL REALIZARSE EL CONTROL DE EQUIPAJES Y CARGAS DEL VUELO Nº 1779 DE AA/AU CON DESTINO A AEROPARQUE, SE DETECTA UNA ENCOMIENDA DE LA EMPRESA ANDREANI S.A., DESPACHADA POR LA EMPRESA JET PAQ, GUIA AEREA Nº 8044632-1, LA CUAL AL NO PODER PRECISARº SU CONTENIDO A TRAVES DE LA MAQUINA DE RAYOS X Y PRESUMIENDO UNA INFRACCION A LA LEY 23737, CON FINES DE PREVENCION GENERAL Y SEGURIDAD DE LA AVIACION CIVIL, SE PONE EN CONOCIMIENTO DEL JUZGADO FEDERAL Nº 2 DE FORMOSA, DISPONIENDO S.SA A TRAVES DE SU SECRETARIA, SE RETENGA LA MISMA EN ESTA UNIDAD HASTA EL DIA 04-NOV-10, EN DONDE PREVIA SOLICITUD DE APERTURA AL JUZGADO INTERVINIENTE Y CON LA PRESENCIA DEL DESTINATARIO, PERSONAL DE ANDREANI S.A. Y TESTIGOS, SE PROCEDA A LA APERTURA Y POSTERIOR ENTREGA MEDIANTE ACTA, DE NO EXISTIR IMPEDIMENTOS LEGALES.</t>
  </si>
  <si>
    <t>DAÑOS ART. 183 C.P.N</t>
  </si>
  <si>
    <t>ALAMBRADO PERIMETRAL. SECTOR SUR-OESTE, LINDANTE AL CEMENTERIO</t>
  </si>
  <si>
    <t>SIENDO APROXIMADAMENTE LAS 17:20 HORAS, SE PRESENTA A RADICAR DENUNCIA, EL CIUDADANO SAMBRANO, FRANCISCO AUGUSTO. QUIEN EXPONE QUE HACIENDO UN RECORRIDO DE PISTA OBSERVA A PERSONAS DENTRO DEL PERÍMETRO DEL AEROPUERTO, DANDO AVISO A TORRE DE CONTROL, LA CUAL PONE EN CONOCIMIENTO A LA P.S.A, HACIÉNDONOS PRESENTES EN AL LUGAR, NO ENCONTRANDO PERSONAS Y SOLAMENTE SE OBSERVA UN CORTE DEL ALAMBRADO PERIMETRAL DE 1.30 METROS DE LARGO EN FORMA VERTICAL. EL MISMO CORTE ES REPARADO POR PERSONAL DE MANTENIMIENTO DE AA 2000. SIENDO LAS 17:53 HORAS SE REALIZA COMUNICACIÓN TELEFÓNICA CON JUZGADO FEDERAL DE SAN RAFAEL, INFORMANDO SOBRE LA DENUNCIA Y EN BASE A LO EXPUESTO, ORDENA LLEVAR A CABO LAS MEDIDAS DE CONSTATAR EL HECHO DENUNCIADO Y LLEVAR A CABO LAS ACTUACIONES DE RIGOR ELEVÁNDOLAS UNA VEZ FINALIZADAS LAS MISMAS.</t>
  </si>
  <si>
    <t>AVERIGUACION DE CAUSALES DE ACCIDENTE</t>
  </si>
  <si>
    <t>AUTOPISTA RICHIERI, A UNOS 1500 METROS APROXIMADAMENTE DE LA BARRERAS DE ENTRADA A ESTE AEROPUERTO</t>
  </si>
  <si>
    <t>SIENDO LAS 0050 HORAS APROXIMADAMENTE DEL DIA DE LA FECHA EN MOMENTOS EN QUE EL SUBINSPECTOR JURSUK, SE ENCONTRABA CIRCULANDO EN MOVIL DE DOTACION POR LA AUTOPISTA RICHIERI, EN DIRECCIÓN A ESTE AEROPUERTO, OBSERVA UN VEHICULO TAXI DEL GCABA MARCA CHEVROLET, MODELO CORSA WAGON, DOMINIO GBD-764, QUE SE ENCONTRABA DETENIDO EN LA VIA RAPIDA DE LA AUTOPISTA Y A UNOS 250 METROS APROXIMADAMENTE SE ENCONTRABA DETENIDO EN LA BANQUINA UN RODADO MARCA CHEVROLET, MODELO MERIVA, DOMINIO HDC-505. POR TAL MOTIVO DA AVISO AL JEFE DE TURNO, QUIEN SE HACE PRESENTE EN EL SECTOR DE FORMA INMEDIATA, QUE AL TOMAR CONTACTO CON EL CONDUCTOR DE RODADO CORSA, EL MISMO SE ENCONTRABA CONCIENTE Y PRESENTABA EXCORIACIONES EN SU BRAZO DERECHO Y EN SU ROSTRO. QUE AL TOMAR CONTACTO CON EL CONDUCTOR DEL VEHICULO MERIVA, EL MISMO MANIFIESTA UN FUERTE DOLOR EN SU PECHO, PERO ESTE NO PRESENTA LESIONES VISIBLES A SIMPLE VISTA. SEGUIDAMENTE SE HACE PRESENTE PERSONAL MEDICO DE SANIDAD DEL AEROPUERTO, QUE CONDUCE A LOS DOS CONDUCTORES AL HOSPITAL INTERZONAL DE EZEIZA. QUE MANTENIDA COMUNICACIÓN TELEFÓNICA CON EL MAGISTRADO INTERVINIENTE, EL MISMO DISPONE QUE SOLO SE IDENTIFIQUEN A LOS CONDUCTORES DE LOS VEHICULOS, SE PROCEDA A LA INCAUTACIÓN PREVENTIVA DE LOS VEHICULOS Y SU DOCUMENTACION Y POSTERIORMENTE SE HAGA ENTREGA DE LOS MISMOS A SUS PROPIETARIOS EN CARÁCTER DE DEPOSITARIO JUDICIAL.</t>
  </si>
  <si>
    <t>CIUDAD AUTONOMA DE BUENOS AIRES Y PROVINCIA DE BUENOS AIRES</t>
  </si>
  <si>
    <t>SE RECIBE OFICIO JUDICIAL ORDENANDO AMPLIAS TAREAS INVESTIGATIVAS ENCUBIERTAS RESPECTO DE: 1) RAUL ROMERO ARIAS, DOMINICANO, PASAPORTE SC3713819. 2) DIOSTENES ALEJANDRO PATIÑO BIERD. 3) LOS USUARIOS Y/O TITULARES DE LOS VEHICULOS: A) AUDI 3, DOMINIO GTB-856; B) PEUGEOT 206, DOMINIO GOZ-865. ASIMISMO ORDENA QUE UNA VEZ HALLADAS AQUELLAS PERSONAS Y VEHICULOS, SE DEBERAN PRACTICAR SEGUIMIENTOS DE LAS MISMAS COMO ASI TAMBIEN RESPECTO DE LAS PERSONAS CON LAS QUE SE RELACIONEN , CON EL OBJETO QUE SE DETERMINE SI ESTAN INCURSOS EN LA ACTIVIDAD ILICITA INVESTIGADA EN AUTOS, EN INFRACCION A LA LEY 23737, DEBIENDOSE EFECTUAR FILMACIONES, EXTRAER FOTOGRAFIAS, COMO ASI TAMBIEN DEBERA INDICARSE ABONADOS TELEFONICOS QUE ESTARIAN UTILIZANDO Y/O TODA OTRA CLASE DE MEDIOS DE COMUNICACION QUE EMPLEEN.</t>
  </si>
  <si>
    <t>EN EL DÍA DE LA FECHA SE PRESENTO ANTE ESTA PREVENCIÓN EL EXPONENTE MANIFESTANDO EL EXTRAVÍO DE SU PERMISO PERSONAL PERMANENTE SNA N° 331544 SECTORES 5 Y 6 CON VENCIMIENTO EL DÍA 03-06-2011 NO PUDIENDO PRECISAR LUGAR NI DÍA DEL EXTRAVÍO.</t>
  </si>
  <si>
    <t>CASTILLO MARTINEZ RAFAEL, CASTILLO MARTINEZ ANA MARIA S/INF. LEY 22415</t>
  </si>
  <si>
    <t>SEDE JUDICIAL-AV. DE LOS INMIGRANTES 1950, 2° PISO</t>
  </si>
  <si>
    <t>SE RECIBE OFICIO JUDICIAL A FIN DE QUE PERSONAL DE ESTA UNIDAD SE CONSTITUYA EN SEDE DEL TRIBUNAL A EFECTOS DE TOMAR VISTA DE LAS ACTUACIONES Y OBTENER COPIAS DE LAS PARTES PERTINENTES, CON EL OBJETO DE REALIZAR AMPLIAS TAREAS INVESTIGATIVAS EN RAZON DE LO MANIFESTADO POR EL DETENIDO RAFAEL CASTILLO MARTINEZ EN OCASION DE PRESTAR DECLARACION INDAGATORIA.</t>
  </si>
  <si>
    <t>UNIDAD OPERACIONAL DE SEGURIDAD PREVENTIVA DE PALOMAR</t>
  </si>
  <si>
    <t>PLATAFORMA AEROPUERTO I BRIGADA AEREA EL PALOMAR</t>
  </si>
  <si>
    <t>QUE EL DIA DE LA FECHA SIENDO LA HORA 09:00 SE IMPLEMENTO OPERATIVO DE SEGURIDAD EN LA PLATAFORMA OPERATIVA DEL AEROPUERTO I BRIGADA AEREA EL PALOMAR, EN CUMPLIMIENTO A LA ORDEN DE SERVICIO NRO. 0807/10 REGIONAL I DEL ESTE. QUE LUEGO DE CUMPLIMENTARSE LAS MISIONES ESPECIFICAS, SE DA POR FINALIZADO DICHO OPERATIVO, PARTIENDO LA SRA. PRESIDENTA EN AERONAVE MATRICULA LV-BRJ EN EL HORARIO DE LAS 11:05, SIN NOVEDAD.</t>
  </si>
  <si>
    <t>RODRIGUEZ PERALTA CARMEN VALENTINA S/PRESUNTA INF. ART. 282 CP</t>
  </si>
  <si>
    <t>8400/09</t>
  </si>
  <si>
    <t>CALLE OLAVARRIA 603 BARRIO PUEYRREDÓN</t>
  </si>
  <si>
    <t>DANDO CUMPLIMIENTO A ORDEN DE SERVICIO Nº 0096/10 EL JEFE DE UNIDAD OPERACIONAL OFICIAL JEFE ALEJANDRO TOLOSA, JUNTO AL OFICIAL JEFE NICOLÁS DÍAZ Y EL OFICIAL AYUDANTE CARLOS SOSA, SE DIRIGEN A REALIZAR UNA CONSTATACIÓN DE DOMICILIO POR PEDIDO DE LA UNIDAD OPERACIONAL DE SEGURIDAD PREVENTIVA EZEIZA, DE LA CIUDADANA DE ORIGEN REPUBLICA DOMINICANA CARMEN VALENTINA RODRIGUEZ PERALTA PAS Nº LV0232021, CON DOMICILIO EN CALLE OLÁVARRIA Nº 603 DEL BARRIO PUEYRREDÓN DE ESTA CIUDAD, DONDE SOMOS RECIBIDOS POR LA SRA. ELIZABETH CARMEN PAPE CON DNI Nº 13.564.991, QUIEN DICE SER LA PROPIETARIA DEL INMUEBLE ANTES MENCIONADO, Y QUE RESIDIRÍA EN ESA VIVIENDA LA SRA. RODRIGUEZ PERALTA.</t>
  </si>
  <si>
    <t>PLATAFORMA OPERATIVA I BRIGADA AEREA EL PALOMAR</t>
  </si>
  <si>
    <t>QUE EL DIA DE LA FECHA SIENDO LAS 12:30 HORAS, SE IMPLEMENTA OPERATIVO DE SEGURIDAD, SEGUN LO ORDENADO POR O.S. NRO. 811/10, POR ARRIBO DE LA SRA. PRESIDENTA DE LA NACION, FINALIZANDO EN HORAS 13:50 SIN NOVEDAD.</t>
  </si>
  <si>
    <t>INFORMO QUE EN EL DIA DE LA FECHA Y EN CUMPLIMIENTO A LA ORDEN DE SERVICIO NUMERO 078/2010 GENERADA POR ESTA UOSP, SIENDO LAS 11:40 HORAS ARRIBA A ESTE AEROPUERTO, EN AERONAVE LV-BRJ LA SRA PRESIDENTA DE LA NACION DRA CRISTINA FERNANDEZ Y COMITIVA, RETIRANDOSE DE LA JURISDICCION EN HELICOPTERO DE LA DPAO, MATRICULA LV-WRW A LA HORA 11:47 CON DESTINO AL HELIPUERTO DEL HOTEL HERMITAGE EN LA CIUDAD DE MAR DEL PLATA, SIN NOVEDADES, REGRESANDO A ESTE AEROPUERTO POR EL MISMO MEDIO A LA HORA 12:40 PARA TRANSBORDAR EN LA AERONAVE LV-BRJ, DECOLANDO A LA HORA 13:05 CON DESTINO A LA PRIMERA BRIGADA AEREA EL PALOMAR SIN NOVEDADES</t>
  </si>
  <si>
    <t>CINTA NUMERO 3 DE ARRIBOS</t>
  </si>
  <si>
    <t>QUE UNA VEZ ARRIBADO A ESTE AEROPUERTO EL DENUNCIANTE LUEGO DE REALIZARLOS TRAMITES MIGRATORIOS DE INGRESO, SE DISPUSO A RETIRAR LOS EQUIPAJES DESPACHADOS POR BODEGA, APRECIANDO QUE UNO DE ELLOS SE ENCONTRABA SIN EL ENVOLTORIO DE NYLON QUE LO RECUBRIA,CON SUS CIERRES ABIERTOS Y LAS TRABAS ROTAS. SEGUIDAMENTE CONSTATA EL FALTANTE DE VARIOS ELEMENTOS DE SU PROPIEDAD</t>
  </si>
  <si>
    <t>6922/10</t>
  </si>
  <si>
    <t>POLICIA DE SEGURIDAD AEROPORTUARIA S/PEDIDO DE APERTURA ENCOMIENDA</t>
  </si>
  <si>
    <t>765/2010</t>
  </si>
  <si>
    <t>ACTA 0027/10</t>
  </si>
  <si>
    <t>OFICINA TURNO</t>
  </si>
  <si>
    <t>EN EL DIA DE LA FECHA SIENDO LAS 16:30 HS DANDO CUMPLIMIENTO A LO EMANADO POR EL JUZGADO FEDERAL DE INSTRUCCION Y CORRECCIONAL Nº 2 DE FORMOSA A TRAVES DEL OFICIO Nº 2051/10SSI, SE PROCEDE A LA APERTURA DE LA ENCOMIENDA DE LA EMPRESA ANDREANI SA GUIA AEREA Nº 8044632-1, QUE FUERA RETENIDA Y PERMANECIA EN CUSTODIA EN ESTA UNIDAD OPERACIONAL FORMOSA DESDE EL DIA 03 NOV-2010 CONTENIENDO EN SU INTERIOR UNA OLLA DE MEDIANA DIMENSION BAÑADA EN COBRE,CON DOS ASAS Y TAPA , UN CENICERO DE MADERA TIPO ARTESANAL , UNA CAJA DE CARTON CONTENIENDO EN SU INTERIOR UN TOTAL DE TREINTA BOMBONES PRESUMIBLEMENTE DE CHOCOLATE , UNA TABLA DE MADERA PARA PICAR CARNE TIPO ARTESANAL, DOS CATALOGOS TURISTICO Y UN SOBRE DE PAPEL TIPO CARTA ABIERTO, CONTENIENDO EN SU INTERIOR UNA ESQUELA PERSONAL. TODOS ESTOS ELEMENTOS FUERON SOMETIDO A PRUEBA DE CAMPO UTILIZANDOSE AL EFECTO REACTIVO EN AEROSOL COCA-TEST Y REACTIVO NIK PARA COCAINA ARROJANDO RESULTADO NEGATIVO, POR LO QUE SE PROCEDE AL CIERRE DE LA MISMA CON LA TOTALIDAD DE LOS ELEMENTOS /SUSTANCIAS INSPECCIONADOS Y POSTERIOR ENTREGA A LA SEÑORA BOBADILLA, MIRTA ELIZABETH RESPONSABLE DE LA EMPRESA ANDREANI SA QUIEN RECIBE DE CONFORMIDAD SIEMPRE EN PRESENCIA DE TESTIGOS, LABRANDOSE ACTA CORRESPONDIENTE.</t>
  </si>
  <si>
    <t>DUARTE ANIBAL Y OTROS S/INF. LEY 23737</t>
  </si>
  <si>
    <t>CAUSA N° 2503</t>
  </si>
  <si>
    <t>INFORMO QUE EN EL DIA DE LA FECHA EN VUELO LD-487 DE LA EMPRESA AEROCOMERCIAL LINEAS AEREAS DEL ESTADO SE ENVIO BAJO GUIA DE CARGA 022-28004513 UN SOBRE CERRADO CONTENIENDO INFORMACION SOBRE LA CAUSA DE REFERENCIA A LA EXCMA CAMARA FEDERAL DE APELACIONES DE COMODORO RIVADAVIA, CONFORME LO DISPUESTO POR S.SA. DR. FEDERICO H. CALVETE. ASI MISMO INFORMO SE ESTIMA EL ARRIBO AL AEROPUERTO DE COMODORO RIVADAVIA A LAS 01:30HS DEL 05/11/10 APROXIMADAMENTE.-</t>
  </si>
  <si>
    <t>EL CALAFATE-SANTA CRUZ</t>
  </si>
  <si>
    <t>CINTA DE EQUIPAJES N° 03</t>
  </si>
  <si>
    <t>QUE UNA VEZ QUE ARRIBO AL TERRITORIO NACIONAL, LA DENUNCIANTE, LUEGO DE REALIZAR LOS TRAMITES MIGRATORIOS CORRESPONDIENTES, SE DISPUSO A RETIRAR LOS EQUIPAJES DESPACHADOS POR BODEGA. QUE UNA VEZ QUE TOMA CONTACTO CON SUS VALIJAS, OBSERVA QUE UNA DE ELLAS SE ENCONTRABA SIN EL CANDADO METALICO QUE TENIA COLOCADO Y CON EL BOLSILLO DE SU COMPARTIMIENTO PRINCIPAL ABIERTO. POR ULTIMO CONSTATA EL FALTANTE DE ELEMENTOS DE SU PROPIEDAD.</t>
  </si>
  <si>
    <t>PUESTO DE DIARIOS Y REVISTAS FRENTE AL MOSTRADOR N° 23</t>
  </si>
  <si>
    <t>QUE MIENTRAS EL DENUNCIANTE SE ENCONTRABA EN EL PUESTO DE REVISTAS OBSERVANDO EL MATERIAL ALLI EXPUESTO PARA LA VENTA, DEJA DE SU LADO IZQUIERDO UN CARRO PORTAMALETAS, CON TRES EQUIPAJES Y UNA BOLSA. QUE POR UNOS INSTANTES QUITA LA VISTA DE LOS ELEMENTOS DE SU PROPIEDAD Y TRANSCURRIDOS UNOS SEGUNDOS, APRECIA QUE EL CARRO EN CUESTION SE MOVILIZA UNOS CENTIMETROS Y QUE DOS MASCULINOS QUE PASABAN POR ALLI SE APARTABAN DEL SECTOR EN DIRECCIONES OPUESTAS. SEGUIDAMENTE SE PERCATA DEL FALTANTE DE UN BOLSO TIPO CARRY ON EL CUAL CONTENIA VARIOS ELEMENTOS DE SU PROPIEDAD. SE INFORMA QUE EL DIA 06 DEL CORRIENTE MES Y AÑO SE PRESENTA EN LA GUARDIA DE PREVENCION EL DENUNCIANTE PARA EFECTUAR UNA AMPLIACION DE DENUNCIA.</t>
  </si>
  <si>
    <t>RODRIGUEZ PERALTA, CARMEN VALENTINA S/PRESUNTA INFRACCION AL ART. 282 DEL CP</t>
  </si>
  <si>
    <t>BOXES DE PARTIDA DE LA DIRECCION NACIONAL DE MIGRACIONES</t>
  </si>
  <si>
    <t>SIENDO LA FECHA Y LA HORA ANTES MENCIONADA SE RECIBE EN ESTA DEPENDENCIA POLICIAL NOTA POR PARTE DE LA DIRECCION NACIONAL DE MIGRACIONES REMITIENDO A UNA CIUDADANA DE NACIONALIDAD DOMINICANA, SOBRE LA CUAL RECAE UNA ORDEN DE CAPTURA, SEGUN EL SISTEMA INFORMATICO DE DICHA INSTITUCION. SEGUIDAMENTE SE PROCEDE A TOMAR CONTACTO CON EL JUZGADO INTERVINIENTE QUIEN DISPUSO QUE LA CAUSANTE SEA AFECTADA A ACTUACIONES, SE REALICE CONSTATACION DE SU DOMICILIO. QUE UNA VEZ REALIZADA ESTA ULTIMA, SE MANTIENE NUEVAMENTE COMUNICACION TELEFONICA CON EL JUZGADO DE MENCION, QUIEN DISPONE SE NOTIFIQUE A LA CAUSANTE PARA QUE COMPAREZCA ANTE LOS ESTRADOS PARA REGULARIZAR SU SITUACION Y LUEGO SE RETIRE DE ESTA DEPENDENCIA. SIENDO LAS 1300 HORAS APROXIMADAMENTE SE PROCEDE A CUMPLIMENTAR LO ORDENADO POR LA JUDICATURA ACTUANTE, RETIRANDOSE DE ESTA GUARDIA DE PREVENCION LA CAUSANTE POR SUS PROPIOS MEDIOS CON LA TOTALIDAD DE SUS PERTENECIAS SIN NOVEDAD.</t>
  </si>
  <si>
    <t>POSICION 52 ALFA - PLATAFORMA OPERATIVA</t>
  </si>
  <si>
    <t>SE RECIBE COMUNICACION TELEFONICA POR PARTE DE LA OFICINA DEL A.N.A.C., A EFECTOS DE INFORMAR QUE SE SOLICITA PRESENCIA POLICIAL EN LA POSICION 52 ALFA, DEL SECTOR DE PLATAFORMA DE ESTA AEROESTACION, DONDE SE ENCUENTRA UNA AERONAVE DE LA EMPRESA AUSTRAL, PROXIMA A PARTIR A LA CIUDAD DE IGUAZU, A PEDIDO DE SU COMANDANTE. QUE UNA VEZ EN EL LUGAR Y ACOMPAÑADO DE DOS TESTIGOS, EL JEFE DE TURNO SE ENCUENTRA CON EL COMANDANTE DE AERONAVE, QUIEN LE EXPLICA QUE ACABA DE SUFRIR AGRESIONES VERBALES POR PARTE DE SU COPILOTO, EN MOMENTOS EN QUE SE DISPONIA A REALIZAR LAS MANIOBRAS PARA DESPEGUE, Y QUE POR TAL RAZON DESEA REALIZAR UNA DENUNCIA. POR ULTIMO SE TRASLADAN TODOS HACIA EL ASIENTO DE ESTA GUARDIA DE PREVENCION.</t>
  </si>
  <si>
    <t>AU 2734</t>
  </si>
  <si>
    <t>AUSTRAL LV BHN</t>
  </si>
  <si>
    <t>QUE MIENTRAS SE ENCONTRABA EN LA CABINA DEL AVION DEL VUELO DE AUSTRAL CON DESTINO A IGUAZU REALIZANDO LOS PROCEDIMIENTOS DE PREPARATIVO PARA DESPEGUE, EL COMANDANTE QUE LO ACOMPAÑABA SR. SEBASTIAN GARCIA, COMENZO A DIRIGIRLE DE FORMA REPENTINA Y SIN NIGUNA RAZON UNA SERIE DE IMPROPERIOS E INSULTOS. LUEGO SE ABALANZO SOBRE SU PERSONA Y DE FORMA VIOLENTA LE ARREBATO UNA LAPICERA QUE TENIA EN EL BOLSILLO DE SU CAMISA. POR ULTIMO EL COMANDANTE DESCENDIO DE LA AERONAVE Y ALREDEDOR DE LAS 15 HORAS SE HIZO PRESENTE PERSONAL POLICIAL EN EL LUGAR.</t>
  </si>
  <si>
    <t>DENTRO DE LAS INSTALACIONES DEL AEROPUERTO INTERNACIONAL DE EZEIZA</t>
  </si>
  <si>
    <t>SIENDO LA HORA Y LA FECHA ANTES MENCIONADA SE RECIBE EN ESTA DEPENDENCIA POLICIAL UN LLAMADO TELEFONICO DESDE EL CENTRO DE OPERACIONES 911 POR PARTE DEL SARGENTO YAMILA BREA, NUMERARIO DE LA POLICIA DE LA PROVINCIA DE BUENOS AIRES, A LOS EFECTOS DE INFORMAR QUE HABIAN RECIBIDO UNA LLAMADA DESDE EL NUMERO DE ABONADO 1569553990 , A TRAVES DEL CUAL UNA PERSONA APARENTEMENTE DE SEXO FEMENINO, MANIFESTANDO SIC: EN EL AEROPUERTO EZEIZA HAY UNA BOMBA..., CORTANDOSE LUEGO LA COMUNICACION. SEGUIDAMENTE SE PROCEDE A DAR INTERVENCION AL JUZGADO DE TURNO, QUIEN DISPONE QUE SE EXTREMEN LAS MEDIDAS DE SEGURIDAD DENTRO DE LAS INSTALACIONES, SE DE INTERVENCION A LA UNIDAD OPERACIONAL DE CONTROL DEL NARCOTRAFICO Y DE LOS DELITOS COMPLEJOS DE LA URSA 1 DEL ESTE A LOS EFECTOS QUE SE REALICEN TAREAS INVESTIGATIVAS EN RELACION AL NUMERO DE ABONADO DEL CUAL SE REALIZO EL LLAMADO.</t>
  </si>
  <si>
    <t>POLICIA DE LA PROVINCIA DE BUENOS AIRES</t>
  </si>
  <si>
    <t>SIENDO LA HORA Y LA FECHA ANTES MENCIONADA EL PERSONAL POLICIAL QUE SE ENCONTRABA DE RECORRIDA DE PREVENCION EN LA TERMINAL A, OBSERVA UNA PERSONA DE SEXO MASCULINO QUE SE ENCONTRABA OFRECIENDO TRANSPORTE PUBLICO A VIVA VOZ EN LAS PUERTAS AUTOMATICAS A PASAJEROS RECIEN ARRIBADOS AL PAIS. A TAL EFECTO Y LUEGO DE CONVOCAR UN TESTIGO,Y SE IDENTIFICA AL INFRACTOR, A LOS EFECTOS DE LABRAR ACTUACIONES CONTRAVENCIONALES. EL CONTRAVENTOR AL MOMENTO DE LA INFRACCION NO SE ENCONTRABA CON SU VEHICULO TAXI, MOTIVO POR EL CUAL NO SE REALIZO NINGUN TIPO DE SECUESTRO SOBRE EL MISMO, COMO ASI TAMPOCO POSEIA NINGUN TIPO DE DOCUMENTACION RELACIONADA AL RODADO.</t>
  </si>
  <si>
    <t>SECTOR DE PARTIDAS DE PASAJEROS</t>
  </si>
  <si>
    <t>TERMINAL C</t>
  </si>
  <si>
    <t>PERSONAL POLICIAL QUE SE ENCONTRABA DE RECORRIDA DE PREVENCION EN LA TERMINAL C, OBSERVA UNA PERSONA DE SEXO MASCULINO QUE SE ENCONTRABA REALIZANDO SERVICIO DE MALETERO EN EL SECTOR DE PARTIDAS DE PASAJEROS DE DICHA TERMINAL .A TAL EFECTO Y LUEGO DE CONVOCAR UN TESTIGO, PROCEDE A SOLICITARLE A ESTA PERSONA LA HABILITACION PARA REALIZAR DICHA ACTIVIDAD, CARECIENDO DE LA MISMA. POR ULTIMO SE IDENTIFICA Y DEMORA AL INFRACTOR, A LOS EFECTOS DE LABRAR ACTUACIONES.</t>
  </si>
  <si>
    <t>DUARTE ANIBAL Y OTROS S/INF. LEY 23.737</t>
  </si>
  <si>
    <t>Nº 2503</t>
  </si>
  <si>
    <t>SIENDO LAS 11:40 HORAS LOCAL SE PROCEDE A TRASLADAR SOBRE CERRADO CONTENIENDO LA CAUSA Nº 2503 CARATULADA DUARTE ANÍBAL Y OTROS S/INF. LEY 23.737 A LA EXCELENTÍSIMA CÁMARA FEDERAL DE APELACIONES DE COMODORO RIVADAVIA A CARGO DEL DR. ALDO E. SUÁREZ ENVIADA POR LA UNIDAD OPERACIONAL USHUAIA.</t>
  </si>
  <si>
    <t>DENTRO DE LAS INSTALACIONES DEL AEROPUERTO DE SAN FERNANDO NO PUDIENDO PRECISAR EL LUGAR EXACTO DONDE LO EXTRAVIO.</t>
  </si>
  <si>
    <t>SIENDO LA FECHA Y LA HORA ANTES MENCIONADA SE HACE PRESENTE EN ESTA DEPENDENCIA POLICIAL, EL SEÑOR LEDESMA, QUIEN MANIFIESTA QUE EXTRAVIO EL PERMISO DE SEGURIDAD AEROPORTUARIO CON ACOMPAÑAMIENTO Nº 8001, INFORMANDO QUE LA PERDIDA SE PRODUJO DENTRO DE LAS INSTALACIONES DE ESTE AEROPUERTO, NO PUDIENDO PRECISAR LA HORA Y EL LUGAR EXACTO.</t>
  </si>
  <si>
    <t>HUGO D. FROY</t>
  </si>
  <si>
    <t>UOSP - PSA S/AV. SUP. INF. LEY 23.737</t>
  </si>
  <si>
    <t>EN EL DÍA DE LA FECHA SE RECEPCIONA OFICIO JUDICIAL NRO. 714 DE FECHA 05 NOV 2010 DE LA FISCALIA ACTUANTE DONDE ORDENA SE CONTINÚE CON LAS TAREAS INVESTIGATIVAS INICIADAS MEDIANTE UNA DENUNCIA RECEPCIONADA EN LA UOSP PASO DE LOS LIBRES SOBRE SUPUESTA INFRACCIÓN A LA LEY 23.737, POR TAL MOTIVO SE COMISIONA PERSONAL MEDIANTE ORDEN DE SERVICIO 275/2010 URSA IV Y SE REALIZA EL PREVENTIVO CORRESPONDIENTE, CONFIRMANDO LA EXISTENCIA DE UNA PERSONA DE ALIAS CORDOBÉS EN UN DOMICILIO SIN NUMERACIÓN CATASTRAL VISIBLE SOBRE CALLE YATAY, ENTRE LAS CALLES MAESTRO LLANES Y ROJAS, SEGÚN LO MANIFESTADO EN LA DENUNCIA. SE CONTINÚAN LAS TAREAS INVESTIGATIVAS MEDIANTE ORDEN DE SERVICIO 278/2010 URSA IV.-</t>
  </si>
  <si>
    <t>MARIO A. FERNANDEZ</t>
  </si>
  <si>
    <t>OFICIO DEL SR. PRESIDENTE DE LA EXCMA. CAMARA FEDERAL DE APELACIONES DE BAHIA BLANCA DR. ANGEL A. ARGAÑARAZ, LIBRADO EN LOS AUTOS CARATULADOS: GRANADA JORGE HORACIO S/NUEVO PEDIDO DE EXCARCELACION EXPTE. 66.502.</t>
  </si>
  <si>
    <t>CALLE ALMAFUERTE 1963 - LOCALIDAD DE ESCOBAR - PROVINCIA DE BUENOS AIRES</t>
  </si>
  <si>
    <t>EN EL DIA DE LA FECHA PERSONAL POLICIAL DE ESTA UNIDAD, PROCEDE A REALIZAR TAREAS INVESTIGATIVAS TENDIENTES A LOCALIZAR AL CIUDADANO JORGE HORACIO GRANADA, DNI 4540769 A LOS FINES DE SU DETENCION, DE ACUERDO A LO ORDENADO POR EL JUZGADO INTERVINIENTE.</t>
  </si>
  <si>
    <t>DISTITRO III - TURNO N° 2</t>
  </si>
  <si>
    <t>ZANELLO, EDUARDO</t>
  </si>
  <si>
    <t>MOSTRADORES DE TURISMO</t>
  </si>
  <si>
    <t>HALL INFERIOR</t>
  </si>
  <si>
    <t>SIENDO LAS 12:05 HS APROXIMADAMENTE DEL DÍA DE LA FECHA, EL DENUNCIANTE SE PRESENTA EN LOS MOSTRADORES DE TURISMO UBICADO EN EL HALL INFERIOR DE ESTA AEROSTACIÓN CON EL FIN DE SOLICITAR EL LIBRO DE QUEJAS PARA REALIZAR UN RECLAMO, EN ESE INSTANTE RECIBE UN LLAMADO TELEFÓNICO POR LO CUAL PROCEDE A DEJAR EN EL PISO UNA MOCHILA COLOR AZUL Y GRIS CON LA INSCRIPCIÓN IBM DEVELOPER WORKS; AL FINALIZAR DICHO LLAMADO OBSERVA QUE SU MOCHILA HABÍA SIDO SUSTRAÍDA</t>
  </si>
  <si>
    <t>VIDAL VALEZUELA Y OTROS S/ LEY ESTUPEFACIENTES</t>
  </si>
  <si>
    <t>CIUDAD DE SAN CARLOS DE BARILOCHE - RIO NEGRO</t>
  </si>
  <si>
    <t>AMPLIANDO PR Nº 3485 DE FECHA 08/06/2010 QUE SE INFORMABA EL INICIO DE LA INVESTIGACION DE MARRAS, PR Nº 4773/10 DE FECHA 06/08/10 EN EL CUAL SE HABIA SOLICITADO INTERVENCION TELEFONICA DEL ABONADO 02944-427395 POR EL PLAZO DETREINTA (30) DIAS, PR Nº 6456/10 EN EL CUAL CAMBIA LA CARATULA DE LA CAUSA DE MARRAS Y QUE ORDENA LA INMEDIATA DETENCION DE RAUL EZEQUIEL CID, ALIAS JABALI, PR Nº 6606 /10 DE 21/10/10 DONDE SE SOLICITA SE CONSTATE DOMICILIO Y TITULARIDAD DE VEHICULO HGT 854 Y PR 6758/10 DE FECHA 05/11/10 EL QUE SE AMPLIAN LAS TAREAS INVESTIGATIVAS EN EL DIA DE LA FECHA SE RECEPCIONO OFICIOS JUDICIALES Nº 1841/2010, 1842/2010 Y 1843/2010 TODO ELLOS DE FECHA 05 DE NOVIEMBRE DEL CORRIENTE AÑO, POR PARTE DEL JUZGADO FEDERAL DE SAN CARLOS DE BARILOCHE EN LOS QUE SE ORDENA RESPECTIVAMENTE ALLANAMIENTO DE: KIOSKO UBICADO EN CALLE LA PAZ 1341, CASA Nº 81 BARRIO AYELEN AMBAS DE LA CIUDAD DE BARILOCHE Y DETENCION DEL CIUDADANO NELSON ALEJO VELAZQUEZ "A" GORDO POR TERMINO DE 72 HORAS A PARTIR DEL LIBRAMIENTO DE LOS CITADOS OFICIOS.</t>
  </si>
  <si>
    <t>ALAMO VALIDO PEDRO MANUEL S/INF. LEY 22415</t>
  </si>
  <si>
    <t>1381/2010</t>
  </si>
  <si>
    <t>AV. DE LOS IMIGRANTES Nº 1950, 2 PISO, C.A.B.A</t>
  </si>
  <si>
    <t>SE RECIBE OFICIO JUDICIAL, A FIN DE NOTIFICAR QUE PERSONAL DE ESTA UNIDAD DEBERA CONSTITUIRSE EN LA SEDE DEL TRIBINAL INTERVINIENTE, A LOS EFECTOS DE TOMAR VISTA DE LAS PRESENTES ACTUACIONES Y OBTENER COPIAS DE LAS PARTES PERTINENTES. PARA LA REALIZACION DE AMPLIAS TAREAS INVESTIGATIVAS.</t>
  </si>
  <si>
    <t>DR. GONZALO OLMEDO</t>
  </si>
  <si>
    <t>POR EL PRESENTE SE INFORMA QUE EN EL DIA DE LA FECHA SE RECEPCIONO OFICIO JUDICIAL POR ORIGINAL DIRECCIONADO AL SR. JEFE DEL OBSERVACIONES JUDICIALES DONDE LE ORDENA LA INMEDIATA INTERVENCION DE LAS LINEAS TELEFONICAS FIJAS IDENTIFICADA CON LOS NUMEROS 0351-5230179 / 0351-4744559 / 0351-4725009 Y LA LINEA TELEFONICA CELULAR IDENTIFICADA CON EL NUMERO 0351-155515571. SE DEJA ASENTADO EN LA PRESENTE QUE EL CITADO OFICIO JUDICIAL HABIA SIDO ENVIADO VIA FAX POR LA FISCALIA ACTUANTE A LA DIRECCION DE OBSERVACIONES JUDICIALES EL DIA 3 DE NOVIEMBRE DEL CORRIENTE AÑO. AMPLIANDO EL CITADO PARRAFO EL DIA 4 DE NOVIEMBRE SE PRODUJO LA INTERVENCION EFECTIVA DE LAS LINEAS TELEFONICAS FIJAS QUE A CONTINUACION SE DETALLAN: Nº 0351-5230179 CUYA LINEA SE ENCUENTRA INSTALADA EN EL DOMICILIO PARTICULAR DEL SR. WALTER MOTA UBICADO EN CALLE JUSTO ARGUELLO 1971. Nº 0351-4725009 LINEA QUE SE ENCUENTRA INSTALADA EN EL DOMICILIO UBICADO EN CALLE GANDARA Nº 200 Y CUYA TITULAR ES LA SRA. BASILIA MOTA. FINALIZANDO EL CITADO RELATO LA PRESENTE UNIDAD SE ENCUENTRA A LA ESPERA DE LA INTERVENCION EFECTIVA DE LOS NUMEROS 0351-4744559 Y DEL Nº 0351-155515571.</t>
  </si>
  <si>
    <t>6021/10</t>
  </si>
  <si>
    <t>POLICIA DE SEGURIDAD AEROPORTUARIA S/SOLICITUD DE APERTURA DE ENCOMIENDA</t>
  </si>
  <si>
    <t>Expte. N° 3-7462/10</t>
  </si>
  <si>
    <t>DANIELA CARMENA</t>
  </si>
  <si>
    <t>ROSA GLADIS ACEVEDO</t>
  </si>
  <si>
    <t>PU 6021 DE FECHA 01 OCT 2010 EN CONTROLES PREVENTIVOS DE RUTINA REALIZADOS A LA CARGA Y CORREO A EMBARCAR EN EL VUELO Nº AR1759 DE LA EMPRESA AEROLÍNEAS ARGENTINAS SE OBSERVA MEDIANTE IMAGEN REFLEJADA EN EQUIPO DE RAYOS X, QUE EN EL INTERIOR DE DOS SACAS DE LA EMPRESA CORREOS ARGENTINO CERRADAS CON PRECINTO DE SEGURIDAD Nº 346458 Y 346459, CARÁTULAS PSS Nº 7376366.E Y Nº 7376367.E, GRAN CANTIDAD DE ROPA DE TIPO LENCERÍA, LAS SACAS ESTABAN AMPARADAS POR GUÍA AÉREA Nº PSS 803844-0.E DE LA EMPRESA JET PAQ. CADA SACA ANTES MENCIONADA CONTENÍA UNA CAJA DE CARTÓN DE SIMILARES CARACTERÍSTICAS CON INSCRIPCIONES DE CORREO ARGENTINO, POR LO QUE SE INFORMA AL JUZGADO INTERVINIENTE QUIEN DISPONE SE REALICE LA INTERDICCIÓN PREVENTIVA POR PRESUNTA INFRACCIÓN A LA LEY 22415 Y SE SOLICITE LA APERTURA JUDICIAL. PU 6982 EL DIA 5 DE NOVIEMBRE SE DA CUMPLIMIENTO A OFICIO NRO 3-5366 LIBRADO POR EL JUZGADO INTERVINIENTE SE PROCEDE A LA APERTURA EN PRESENCIA DE TESTIGOS HABILES, DE LAS ENCOMIENDAS QUE FUERAN INTERDICTADAS MEDIANTE ACTA NRO 178/10 UOSP POSADAS. DEBIDO A QUE EL CONTENIDO DE LAS MISMAS SE ENCONTRARIAN EN PRESUNTA INFRACCIÓN A LA LEY 22415 SE PROCEDE A LA ENTREGA AL DEPOSITO DE ADUANA, DE DICHAS ENCOMIENDAS Y SU CONTENIDO MEDIANTE ACTA DE ESTILO Y CON NRO DE DENUNCIA DE LA ADUANA DN46-1740/10.</t>
  </si>
  <si>
    <t>TRIBUNAL DE JUICIO EN LO CRIMINAL Y CORRECCIONAL DE MENORES DE LA PCIA. TIERRA DEL FUEGO.</t>
  </si>
  <si>
    <t>JOFRE</t>
  </si>
  <si>
    <t>JORGE LUIS</t>
  </si>
  <si>
    <t>DRA. MONICA ADRIANA VOLPE</t>
  </si>
  <si>
    <t>G. E. E. S/LESIONES GRAVES CON ALEVOSIA Y LA PARTICIPACION DE 2 O MAS PERSONAS</t>
  </si>
  <si>
    <t>"GIORDANO, Esteban Ernesto S/Restricción Libertad"</t>
  </si>
  <si>
    <t>INFORMO QUE EN EL DIA DE LA FECHA SIENDO LAS 15:30 HS. APROXIMADAMENTE EN UN CONTROL DE RUTINA DEL VUELO AR 1892 DE LA EMPRESA AEROLINEAS ARGENTINAS, SE INDIVIDUALIZA AL SEÑOR GIORDANO ESTEBAN ERNESTO, SOBRE QUIEN PESA UN INTERDICCION DE SALIDA DE LA PCIA Y DEL PAIS,SEGUN REGISTRO DE LA RED LINCE Nº290.284. REALIZADO CONSULTA TELEFONICA CON EL JUZGADO INTERVINIENTE EN LA PERSONA DE LA SECRETARIA DRA. MONICA ADRIANA VOLPE, QUIEN DISPONE POR ORDEN DE S.SA.QUE EL CIUDADANO GIORDANO CUMPLA LA MEDIDA DISPUESTA, Y QUE EL MISMO SE PRESENTE CON SU DEFENSOR ANTE LOS ESTRADOS DEL TRIBUNAL INTERVINIENTE PARA TRAMITAR LA CORRESPONDIENTE AUTORIZACION DE VIAJE, REALIZANDOSE ACTA DEJANDO CONSTANCIA Nº 029/10 Y RETIRANDOSE EL CAUSANTE DE ESTA DEPENDENCIA.</t>
  </si>
  <si>
    <t>EZEIZA AEROPUERTO MINISTRO PISTARINI</t>
  </si>
  <si>
    <t>GUERBEROSS</t>
  </si>
  <si>
    <t>EMILIO</t>
  </si>
  <si>
    <t>DANIEL SCHURJIN ALMENAR</t>
  </si>
  <si>
    <t>INYAMA, ANTHONY S/INFR. LEY 22.415</t>
  </si>
  <si>
    <t>HOTEL OMEGA-PARAGUAY 2991, HOTEL SAVOY-AV. CALLAO 181, HOTEL SHERATON BUENOS AIRES-SAN MARTIN 1225 - CIUDAD AUTONOMA DE BUENOS AIRES</t>
  </si>
  <si>
    <t>SE RECIBE OFICIO JUDICIAL A FIN QUE PERSONAL DE ESTA UNIDAD SE HAGA PRESENTE EN LOS HOTELES INDICADOS Y OBTENGA INFORMACION ACERCA DE LA POSIBLE ESTADIA DEL IMPUTADO, ENTRE EL 12 Y EL 23 DE OCTUBRE DE 2010.</t>
  </si>
  <si>
    <t>Rafael LEAL</t>
  </si>
  <si>
    <t>PATIO DE VALIJAS / PLATAFORMA COMERCIAL / BODEGA DE AERONAVE</t>
  </si>
  <si>
    <t>TOMA CONOCIMIENTO DEL HECHO EN LA CIUDAD DE BEIRUT</t>
  </si>
  <si>
    <t>EL DIA 13 DE OCTUBRE DEL CORRIENTE AÑO EL DENUNCIANTE EMBARCA DESDE EN EL VUELO AZ0681 CON DESTINO A LA CIUDAD DE ROMA, DESDE DONDE ABORDA CON POSTERIORIDAD EL VUELO AZ0826 CON DESTINO A LA CIUDAD DE BEIRUT. QUE UNA VEZ ARRIBADO A ESTA CIUDAD SE HACE DE SU EQUIPAJE DESPACHADO EN BODEGA PERCATANDOSE DE LA ROTURA DEL FILM DE SEGURIDAD. UNA VEZ ARRIBADO A SU LUGAR DE ESTADIA PROCEDE A LA APERTURA DE SU EQUIPAJE Y VERIFICANDO EL FALTANTE DE LOS ELEMENTOS ESTIMANDO EL VALOR DE LOS MISMOS EN MIL DOLARES ESTADOUNIDENSES APROXIMADAMENTE.</t>
  </si>
  <si>
    <t>INVESTIGACION DE DELITOS DE LESA HUMANIDAD</t>
  </si>
  <si>
    <t>EXPTE. 04/07</t>
  </si>
  <si>
    <t>Oficina de esta U.O.S.P.</t>
  </si>
  <si>
    <t>EN EL DIA DE LA FECHA SE HACE PRESENTE EN ESTA UOSP MERLO EL IMPUTADO - DANDO CUMPLIMIENTO A LO DISPUESTO POR EL JUZGADO INTERVINIENTE.</t>
  </si>
  <si>
    <t>INFRACCION AL ARTICULO 239 DEL C.P.</t>
  </si>
  <si>
    <t>PUERTAS IDENTIFICADAS COMO DOS DE DICHA TERMINAL</t>
  </si>
  <si>
    <t>QUE SIENDO LAS DIECISIETE HORAS DEL DIA DE LA FECHA SE HACE PRESENTE EN EL HALL DE LA TERMINAL A DE ESTA AEROSTACION UNA PERSONA DE SEXO FEMENINO LA CUAL SE ENCONTRABA VOCIFERANDO EPITETOS IRREPRODUCIBLES HACIA LAS PERSONAS QUE CIRCULABAN POR EL LUGAR, MOLESTANDO A LOS NIÑOS Y DANDOLES GOLPES CON UN PAÑUELO. QUE EL PERSONAL POLICIAL QUE SE ENCONTRABA DE PATRULLA EN EL HALL DE DICHA TERMINAL SE PRESENTA ANTE LA MUJER A LOS FINES DE SU IDENTIFICACION CIRCUNSTANCIA EN LA CUAL AGREDE VERBALMENTE Y FORCEJEA CON EL PERSONAL POLICIAL, MOTIVO POR EL CUAL LA OFICIAL CAFFERATA PROCEDE A REDUCIRLA Y TRASLADARLA HACIA LA GUARDIA DE PREVENCION . INFOMO QUE LOS DATOS DE LA CAUSANTE OBRANTES EN EL PUNTO PERSONAS INVOLUCRADAS SON LOS UNICOS APORTADOS AL MOMENTO DE SU IDENTIFICACION.</t>
  </si>
  <si>
    <t>EL DIA Y LA HORA ANTES MENCIONADA SE RECEPCIONA EN ESTE TURNO POLICIAL COMUNICACIÓN POR PARTE DE PERSONAL DE AERO AIS, EN LA CUAL DA CUENTA QUE EN LA AERONAVE DEL VUELO AU 2734, LA TRIPULACIÓN HABÍA MANIFESTADO TENER INCONVENIENTES CON UN PASAJERO. A TAL EFECTO SE LE DA AVISO AL COMISIONADO GENERAL FERNANDO TELPUK DIRECTOR DE CONTROL NARCOTRAFICO, EL CUAL SE ENCONTRABA CUMPLIENDO UNA SUPERVISIÓN AL SERVICIO DE GUARDIA, EL CUAL INDICA AL JEFE DE TURNO SE EFECTÚE LAS TAREAS PREVENTIVAS PERTINENTES. POR TAL MOTIVO SE COMISIONA A PERSONAL POLICIAL A LA POSICION DIECIOCHO. UNA VEZ EN EL SECTOR EL PERSONAL POLICIAL CONSTATA QUE EL VUELO SE ENCONTRABA EN PROCESO DE DESEMBARQUE, EN VIRTUD AL FALTANTE DE UNA AUTORIZACIÓN DE TURNO PARA PUESTA EN MARCHA Y EN VIRTUD A UN INCONVENIENTE CON UN PASAJERO. DE IGUAL MANERA EL PERSONAL POLICIAL INVITA AL COMANDANTE DE LA AERONAVE , COMO ASI TAMBIÉN AL PASAJERO CONFLICTIVO AL ASIENTO DE LA GUARDIA A LOS EFECTOS DE LABRAR LAS ACTUACIONES QUE PUDIERAN CORRESPONDER. SIMULTÁNEAMENTE EN LA POSICIÓN DIECISIETE SE ENCONTRABA ESTACIONADA LA AERONAVE DEL VUELO NRO. 2420, CON DESTINO A LA CIUDAD DE MENDOZA, EN LA CUAL SE HABRÍA SUCITADO UN SITUACIÓN SIMILAR A LA DE LA AERONAVE DEL VUELO 2734, POR TAL MOTIVO SE COMISIONA PERSONAL POLICIAL A LA MANGA 17, DONDE EL PERSONAL POLICIAL VERIFICA QUE EL PASAJE DE DICHO VUELO SE ENCONTRABA DESCENDIENDO DEL MISMO SIN NOVEDAD. QUE MANTENIDA COMUNICACIÓN TELEFÓNICA CON EL JUZGADO INTERVIENIENTE, EL MISMO DISPUSO QUE SE PROCEDA A LA IDENTIFICACIÓN DE LA TRIPULACIÓN Y DEL PASAJERO Y LUEGO LOS MISMOS SE RETIREN DE ESTA DEPENDENCIA POLICIAL, SE LABREN LAS ACTUACIONES CORRESPONDIENTES, RESULTANDO IMPUTADO NN.</t>
  </si>
  <si>
    <t>INFRACCION AL ARTICULO 78 DECRETO LEY 8031/73</t>
  </si>
  <si>
    <t>EN EL HORARIO ANTES MENCIONADO EL OFICIAL ZUMPANO Y LA OFICIAL COTELLESSO, AL MOMENTO DE EFECTUAR UNA RECORRIDA POR LA PERGOLA DE ARRIBOS DE LA TERMINAL A, OBSERVAN Y SORPRENDEN IN FRAGANTI A UNA PERSONA DE SEXO MASCULINO QUE SE ENCONTRABA OFRECIENDO SERVICIO DE TRANSPORTE A VIVA VOZ A PASAJEROS RECIEN ARRIBADOS AL PAIS, EN PRESENCIA DE UN TESTIGO HABIL. POR LO QUE SE PROCEDE A IDENTIFICAR AL INFRACTOR Y CONDUCIRLO AL SERVICIO DE SANIDAD DE ESTE AEROPUERTO, A FIN DE REALIZAR UN PRECARIO MEDICO DE ENTRADA, PARA POSTERIORMENTE SER TRASLADADO A LA OFICINA DE CONTRAVENCIONES Y FALTAS A LOS EFECTOS DE LABRAR LAS ACTUACIONES CORRESPONDIENTES.</t>
  </si>
  <si>
    <t>ROBO SIMPLE EN GRADO DE TENTATIVA</t>
  </si>
  <si>
    <t>STAND DE VENTAS DE PASAJES DE LA EMPRESA AEROLINEAS ARGENTINAS</t>
  </si>
  <si>
    <t>SALON DE VENTAS DE PASAJES</t>
  </si>
  <si>
    <t>MIENTRAS PERSONAL POLICIAL SE ENCONTRABA DESEMPEÑANDO FUNCIONES DE PATRULLA POR EL HALL DE LA TERMINAL B, ES INTERCEPTADO POR UN PERSONAL DE LA EMPRESA HIGH ASISTANCE SERVICE, EL CUAL MANIFIESTA QUE UNA PERSONA DE SEXO MASCULINO, QUIEN TIENE UN BRAZO AMPUTADO HABÍA INTENTADO ARREBATAR LA CARTERA A UNA PASAJERA Y QUE EL NOVIO DE LA MISMA HABIA FORCEJEADO CON EL MASCULINO EL CUAL SE DIO A LA FUGA. POR TAL MOTIVO EL PERSONAL POLICIAL JUNTO AL DE SEGURIDAD DE HAS SE DIRIGEN AL SECTOR Y OBSERVAN QUE EL SOSPECHOSO QUE SE RETIRABA CON DIRECCION A LA PERGOLA DE LA TERMINAL B. ANTE ELLO EL PERSONAL POLICÍAL SE DIRIGE AL LUGAR EN DONDE LOGRA INDIVIDUALIZAR AL MISMO. SEGUIDAMENTE SE INVITA A LA PASAJERA A RADICAR LA FORMAL DENUNCIA , LA CUAL MANIFIESTA QUE EN VIRTUD A PRÓXIMA PARTIDA DE SU VUELO, RADICARÍA LA MISMA, CUANDO REGRESE DE SU VIAJE. A CONTINUACIÓN SE TRASLADA AL SOSPECHOSO A LA GUARDIA, A LOS EFECTOS DE LABRAR LAS ACTUACIONES QUE DIERAN A LUGAR. MANTENIDA COMUNICACIÓN CON EL MAGISTRADO INTERVINIENTE, EL MISMO DISPUSO, QUE SE PROCEDA A LA APREHENSIÓN DEL CAUSANTE Y SE LO TRASLADE EN EL DÍA DE LA FECHA, EN EL HORARIO DE LA 09:30 HS A SEDE JUDICIAL SE INFORMO EN PU 7004 QUE A HS. 10 EL DETENIDO FUE TRASLADADO A SEDE JUDICIAL Y LUEGO DE PRESTAR DECLARACION REGRESO A ESTA SEDE POLICIAL EN DONDE PERMANECERA HASTA NUEVAS DIRECTIVAS JUDICIALES.</t>
  </si>
  <si>
    <t>EN RELACION A LA CAUSA P.S.A. S/ PRESENTACION DENUNCIA ANONIMA EXPTE. 1.791/07, INFORMO SE RECEPCIONA OFICIO JUDICIAL S/N DE FECHA 5/11/10 DONDE SE DISPUSO OFICIAR A FIN DE REQUERIR SE PRACTIQUE UNA INVESTIGACION RESERVADA, TENDIENTE A DETERMINAR LA FRECUENCIA DE LOS VIAJES ,EN ESPECIAL SI ES UN AMBITO FIJO, DE LUIS ANTONIO JUAREZ Y SUSANA DEL VALLE CARABAJAL. COMO ASI TAMBIEN SE REQUIERA A SU PAR DE LA PCIA. DE BS AS PROCURE DETERMINAR QUE DOMICILIO VISITA Y DONDE SE DEJAN LAS VALIJAS QUE HACE REFERENCIA EN EL INFORME DE FS. 90/92. A TALES EFECTOS, PRORROGUESE LA JURISDICCION DE ESTE JUZGADO HASTA LA JURISDICCION DE ESTA PROVINCIA, CONFORME LO AUTORIZA EL ART. 32 DE LA LEY 23.737. ASIMISMO DEBERA DETERMINARSE, EN LO POSIBLE, RESPETANDO LAS GARANTIAS CONSTITUCIONALES, Y CON LOS ELEMENTOS TECNICOS QUE CUENTE DICHA FUERZA, QUE TRANSPORTAN LAS PERSONAS INVESTIGADAS EN AUTOS.</t>
  </si>
  <si>
    <t>JAVIER ALEJANDRO ACOSTA CARDOZO S/INF. LEY. 22415</t>
  </si>
  <si>
    <t>1386/10</t>
  </si>
  <si>
    <t>EN EL DIA DE LA FECHA SE PROCEDIO A LA DETENCION DE LA PERSONA MENCIONADA POR TENER EN EL SISTEMA DE MIGRACIONES UNA ALERTA MIGRATORIA, PERSONAL DE ESTA UNIDAD SE HACE PRESENTE EN EL LUGAR, MANTENIENDO COMUNICACIÓN CON EL JUZGADO INTERVINIENTE EL CUAL ORDENO UNA REQUISA PERSONAL Y DEL EQUIPAJE, DANDO RESULTADO NEGATIVO, POR LO QUE SE MANTUVO COMUNICACIÓN NUEVAMENTE CON SSA. ORDENANDO QUE ESTA PERSONA SEA PASADA POR EL BODY SCAN DE ADUANA, LO CUAL ARROJO RESULTADO POSITIVO ANTE LA PRESENCIA DE CUERPOS EXTRAÑOS. POR TAL MOTIVO, SE MANTUVO COMUNICACION NUEVAMENTE CON SSA. QUIEN ORDENO QUE SE TRASLADE AL CAUSANTE AL HOSPITAL MADRE TERESA DE CALCUTA PARA EFECTUARLE UNA PLACA RADIOGRAFICA, LA CUAL UNA VEZ OBTENIDA, CONFIRMO LA PRESENCIA DE LOS CUERPOS EXTRAÑOS. SE REALIZA UNA NUEVA COMUNICACIÓN CON SSA. EL CUAL ORDENA QUE EL CAUSANTE PERMANEZCA DETENIDO E INCOMUNICADO Y QUE QUEDE INTERNADO EN EL DICHO HOSPITAL EN CUSTODIA DE PERSONAL DE ESTA DEPENDENCIA. YA EN LA HABITACION, EL DETENIDO REALIZO LA DEPOSICION Nº 1. SEGUN PU Nº 7098 DEL DIA 10/11/2010, SE INFORMA QUE EL DETENIDO EFECTUO LA DEPOSICION Nº 2 Y Nº 3. SEGUN PU Nº 7108 DEL DIA 10/11/2010, SE INFORMA QUE EL DETENIDO EFECTUO LA DEPOSICION Nº 4. SEGUN PU Nº 7125 DEL DIA 10/11/2010, SE INFORMA QUE EL DETENIDO EFECTUO LA DEPOSICION Nº 5. SEGUN PU Nº 7183 DEL DIA 12/11/2010, SE INFORMA QUE EL DETENIDO EFECTUO LA DEPOSICION Nº 6. SEGUN PU Nº 7247 DEL DIA 15/11/2010, SE INFORMA QUE EL DETENIDO EFECTUO LAS DEPOSICIONES Nº 7, 8, 9 Y 10. SEGUN PU Nº 7276 DEL DIA 16/11/2010, SE INFORMA QUE EL DETENIDO EFECTUO LA DEPOSICION Nº 11. SEGUN PU Nº 7324 DEL DIA 18/11/2010, SE INFORMA QUE EL DETENIDO EFECTUO LA DEPOSICION Nº12. SEGUN PU Nº 7335 DEL DIA 18/11/2010, SE INFORMA QUE EL DETENIDO EFECTUO LA DEPOSICION Nº13. SEGUN PU Nº 7417 DEL DIA 23/11/2010, SE INFORMA QUE EL DETENIDO FUE DADO DE ALTA, Y TRASLADADO A LAS INSTALACIONES DE LA UOSP EZEIZA DONDE PERMANECERA ALOJADO HASTA EL DIA DE MAÑANA QUE SERA CONDUCIDO A SEDE TRIBUNALICIA.</t>
  </si>
  <si>
    <t>7000/10</t>
  </si>
  <si>
    <t>INFORMO QUE EN EL DIA DE LA FECHA Y SIENDO APROXIMADAMENTE LAS DIEZ HORAS EL DETENIDO EN AUTOS FUE TRASLADADO A SEDE JUDICIAL, Y LUEGO DE PRESTAR DECLARACION REGRESO A ESTA SEDE POLICIAL, LUGAR DONDE PERMANECERA A LA ESPERA DE NUEVAS DIRECTIVAS JUDICIALES</t>
  </si>
  <si>
    <t>6988/10</t>
  </si>
  <si>
    <t>SE INFORMA QUE EL DIA SEIS DE NOVIEMBRE DEL 2010 SIENDO APROXIMADAMENTE LAS 12:30 HS, SE HIZO PRESENTE EN ESTA DEPENDENCIA EL DAMNIFICADO EN AUTOS, AMPLIANDO LA DENUNCIA EL DIA CUATRO DEL CORRIENTE MES Y AÑO . A EFECTOS DE EXPONER QUE EN MOMENTOS DE ENCONTRARSE EN SU DOMICILIO SE PERCATO DEL FALTANTE DE VARIOS ELEMENTOS QUE EN LA DENUNCIA INICIAL NO HABIA MENCIONADO.-</t>
  </si>
  <si>
    <t>MARCELO DANIEL</t>
  </si>
  <si>
    <t>DR. ROBERTO CARLOS SOLA</t>
  </si>
  <si>
    <t>EN DIAGONAL AL PORTON DEL PUESTO PAMPA.</t>
  </si>
  <si>
    <t>ACERA PERIMETRAL.</t>
  </si>
  <si>
    <t>SE HACE PRESENTE EN ESTA GUARDIA DE PREVENCIÓN EL DENUNCIANTE MANIFESTANDO HABER SIDO VICTIMA DE UN HECHO DELICTIVO, INFORMANDO QUE SIENDO LAS 10:00 HORAS DEL DÍA DE LA FECHA, ESTACIONO SOBRE LA ACERA DE LA CALLE PERIMETRAL EN DIAGONAL AL PORTÓN DEL PUESTO PAMPA DE ESTE AEROPARQUE, UNA CAMIONETA MARCA FORD, MODELO RANGER XLT, DOBLE CABINA, AÑO 2003, DOMINIO EGA 294, DE LA EMPRESA GESTIÓN Y ESTRATEGIA S.A., LA CUAL ESTABA A SU CARGO. INGRESO AL AEROPUERTO PARA COMENZAR CON SU JORNADA LABORAL Y SIENDO LAS 17:00 HORAS, AL LLEGAR AL LUGAR DONDE HABÍA DEJADO ESTACIONADA LA CAMIONETA, SE PERCATA QUE LA MISMA NO ESTABA, MOTIVO POR EL CUAL RADICA LA DENUNCIA. SE DA INTERVENCIÓN A LA JUDICATURA ACTUANTE QUIEN DISPUSO SE REALICEN ACTUACIONES DE RIGOR, CIERRE Y ELEVE.</t>
  </si>
  <si>
    <t>ENTRE LAS PERGOLAS DOS Y TRES</t>
  </si>
  <si>
    <t>PERGOLA NUMERO TRES</t>
  </si>
  <si>
    <t>EL VIGILADOR DE LA EMPRESA SASA OBSERVA A UN MASCULINO, SUJETO 1, CORRER DETRAS DE OTRO, SUJETO 2. UNA VEZ QUE EL SUJETO 1 ALCANZA AL SUJETO 2, LE QUITA UN BOLSO COLOR NEGRO, MANIFESTANDO QUE ERA SUYO Y QUE EL SUJETO 2 SE LO HABIA SUSTRAIDO. POR TAL MOTIVO EL PERSONAL DE SEGURIDAD RETIENE AL SUJETO 2 E INFORMA LA NOVEDAD Y SOLICITA PRESENCIA POLICIAL. LOS CUALES AL ARRIBAR AL LUGAR SE PERCATAN QUE EL DAMNIFICADO YA SE HABIA RETIRADO DEL LUGAR, TRASLADANDO AL SUJETO 2 A LA GUARDIA DE PREVENCION. CONSULTADO EL COC INFORMA QUE EL CAUSANTE MINUTOS ANTES SE HABIA DESPLAZADO EN ESTE MEDIO ACOMPAÑADO DE DOS PERSONAS UN MASCULINO Y UN FEMENINO, SIENDO ESTA ULTIMA LA PERSONA QUE REALIZARA LOS MOVIMIENTOS DISTRACTORIOS PARA QUE SE EJECUTE EL HECHO, LOGRANDO IDENTIFICAR A LOS MISMOS EN LA TAQUILLA, A BORDO DE UN VEHICULO PARTICULAR, TRASLADANDO A LOS MISMOS A LA GUARDIA DE PREVENCION. REALIZADAS LAS CONSULTAS PERTINENTES EL JUZGADO INTERVINIENTE DISPUSO LA APREHENSION DE LOS TRES CAUSANTES EN CALIDAD DE COMUNICADOS, DEBIENDO TRASLADAR A LOS MISMOS JUNTO A LO ACTUADO EL DIA LUNES OCHO A SEDE JUDICIAL. SE INFORMA EN PU 7014 QUE EL DIA 08-11-2010 A HS. 0730 SE PROCEDIÓ AL TRASLADO DE LOS APREHENDIDOS A SEDE JUDICIAL. OBSERVACION: LOS DATOS DEL DAMNIFICADO NO SON DE FIGURACION EN EL PRESENTE PARTE POR NO HABER SIDO IDENTIFICADO.</t>
  </si>
  <si>
    <t>INFRACCION AL AL ART. 292,293 Y 296 DEL CPN</t>
  </si>
  <si>
    <t>BOXES DE MIGRACIONES</t>
  </si>
  <si>
    <t>SE RECEPCIONA EN ESTA DEPENDENCIA REMITIDO POR LA DIRECCION NACIONAL DE MIGRACIONES UNA PERSONA DE SEXO MASCULINO MEDIANTE NOTA Y DENUNCIA LA CUAL SE ENCONTRABA REALIZANDO LOS TRAMITES PARA EGRESAR DEL TERRITORIO NACIONAL. EN ESTE MOMENTO PERSONAL DE MIGRACIONES DETECTA QUE EL PASAPORTE QUE PORTA ESTA PERSONA, EL CUAL ES DE NACIONALIDAD CHILENA NUMERO 8.813.995-K , SERIA PRESUNTAMENTE APOCRIFO. QUE PREGUNTADA ESTA PERSONA CONTESTO TENER OTROS DATOS FILIATORIOS. SEGUIDAMENTE SE MANTIENE COMUNICACION CON EL JUZGADO FEDERAL DE TURNO QUE INDICA QUE ESTA PERSONA QUEDE DETENIDO-COMUNICADO, SE LABREN LAS ACTUACIONES CORRESPONDIENTES Y LUEGO SEA REMITIDO PARA SU ALOJAMIENTO A LA UNIDAD 28 DEL SPF, DESDE DONDE SERA REMITIDO EL DIA LUNES PROXIMO A SEDE JUDICIAL CON LO ACTUADO. FINALMENTE EL CAUSANTE ES TRASLADADO EL DIA DE LA FECHA A LAS OCHO HORAS.</t>
  </si>
  <si>
    <t>BATULE</t>
  </si>
  <si>
    <t>DOMINGO - FISCAL</t>
  </si>
  <si>
    <t>DR. JURE SEBASTIÁN</t>
  </si>
  <si>
    <t>NVESTIGACIÓN SOBRE SUPUESTO ILICITO / DAÑO A LA PROPIEDAD</t>
  </si>
  <si>
    <t>INVESTIGACIÓN SOBRE SUPUESTO ILICITO / DAÑO A LA PROPIEDAD</t>
  </si>
  <si>
    <t>SECTOR UBICADO A 20 METROS APROXIMADAMENTE DE LA TRANQUERA QUE SE ENCUENTRA PROXIMA AL ACCESO DE LA LOCALIDAD DE LAS PAMPITAS ENTRE EL ALAMBRADO DE 5 HILOS QUE DELIMITA LOS PREDIOS DEL AEROPUERTO Y EL CERCO OLÍMPICO DE SEGURIDAD, DISTANTE A DOS KILOMETROS APROXIMADAMENTE DE LA UOSP.</t>
  </si>
  <si>
    <t>INFORMO QUE SIENDO LAS HORAS 07:20 EN CIRCUNSTANCIAS EN QUE SE REALIZABA UN RECORRIDO PERIMETRAL, SE OBSERVA QUE EN EL SECTOR INDICADO EN EL CAMPO PUNTO DE REFERENCIA, SE ENCONTRABA UN VEHICULO INCENDIADO EN SU TOTALIDAD, EL QUE APARENTEMENTE HABRÍA INGRESADO POR LA TRANQUERA UBICADA EN EL SECTOR, POR LO QUE A HS 08:30 SE ESTABLECE UNA COMUNICACIÓN TELEFONICA CON EL FISCAL FEDERAL N° 1 DE JUJUY DE TURNO DR. DOMINGO BATULE, QUIEN ORDENA QUE SE EFECTUE UNA COMUNICACIÓN TELEFONICA CON LA DIVISIÓN CRIMINALISTICA DE LA POLICIA DE LA PROVINCIA DE JUJUY, PARA QUE ESTOS REALICEN LAS PERICIAS CORRESPONDIENTES. SIENDO LAS HS 08:40 SE EFECTUA UNA COMUNICACIÓN TELEFÓNICA CON LA DIVISIÓN CRIMINALISTICA DE LA POLICIA DE LA PROVINCIA DE JUJUY A QUIENES SE PONE EN CONOCIMIENTO SOBRE LO ORDENADO POR EL FISCAL FEDERAL, RESPONDIENDO ESTOS QUE YA HABRÍAN INTERVENIDO EN UN HECHO REFERENTE AL INCENDIO DE UN RODADO EN PROXIMIDADES DE LA LOCALIDAD DE LAS PAMPITAS EN CERCANIAS AL AEROPUERTO JUJUY, QUE PARA MAYOR INFORMACIÓN SE DEBERÍA SOLICITAR LOS DATOS A LA SECCIONAL N° 58 DE CIUDAD PERICO QUIENES INTERVENIAN EN EL HECHO. A HORAS 08:56 SE ESTABLECE COMUNICACIÓN CON LA SECCIONAL N° 58 ATENDIENDO EL OF. PPAL. ANACHURI HECTOR, QUIEN INFORMA QUE EL DÍA 07 DE NOVIEMBRE DE 2010 SIENDO APROXIMADAMENTE LAS 01:20 INTERVIENEN JUNTO A PERSONAL DE BOMBEROS DE LA LOCALIDAD DE PERICO EN EL HECHO DE UN INCENDIO DE AUTOMOTOR, QUE SE SACARON FOTOGRAFIAS POR PARTE DEL PERSONAL DE CRIMINALISTICA Y QUE EL VEHÍCULO HABÍA SIDO SUSTRAIDO DE LA LOCALIDAD DE MONTERRICO A SU PROPIETARIO QUIEN SE ENCONTRABA EN UN BAILE PUBLICO Y QUE CUYOS DATOS SERÍAN SERRANO HECTOR DANIEL DNI N° 18.719.817 DE PROFESIÓN ALBAÑIL, Y QUE EN LA CAUSA SE ENCONTRABA A CARGO DEL DR. JORGE MANUEL ALVAREZ PRADO DEL JUZGADO DE INSTRUCCIÓN EN LO PENAL N 1 DE JUJUY. SIENDO LA HORA 09:11 SE ESTABLECE COMUNICACIÓN TELEFÓNICA CON EL FISCAL FEDERAL INTERVINIENTE DR. DOMINGO BATULE Y SE LE INFORMA SOBRE LO COMUNICADO POR PERSONAL DE LA POLICIA DE JUJUY, ORDENANDO EN CONSECUENCIA QUE SE LABREN LAS ACTUACIONES QUE CORRESPONDAN Y QUE ESTAS SEAN ELEVADAS A LA FISCALÍA. SIENDO LAS HS. 10:15 SE PRESENTAN EN EL SECTOR DEL HECHO PERSONAL POLICIAL DEL CUERPO DE BOMBEROS, BRIGADA DE INVESTIGACIONES, Y CRIMINALISTICA TODOS DEPENDIENTES DE LA POLICIA DE JUJUY A EFECTOS DE REALIZAR LAS PERICIAS CORRESPONDIENTES, POR LO QUE EL OF. MY. GARCIA, CARLOS PERTENECIENTE A ESTA UOSP JUJUY Y QUIEN SE ENCONTRABA EN EL LUGAR, REALIZA UNA COMUNICACIÓN TELEFONICA CON EL FISCAL FEDERAL BATULE INFORMANDO LA NOVEDAD DE LA PRESENCIA DEL PERSONAL DE LA POLICIA DE JUJUY, ORDENANDO ESTE QUE SE PERMITA QUE EL PERSONAL REALICE LA PERICIAS QUE CORRESPONDAN Y QUE ESTOS CONTINUEN CON LAS ACTUACIONES QUE LA MENCIONADA FUERZA LLEVA A CABO Y QUE POSTERIORMENTE ESA FISCALIA REALIZARÍA LAS COORDINACIONES CORRESPONDIENTES CON EL JUZGADO DE JUJUY INTERVINIENTE, QUE ESTA UOSP JUJUY LABRE LAS ACTUACIONES SOBRE LOS HECHOS A PARTIR DE SU INTERVENCION Y QUE POSTERIORMENTE SE ELEVEN LAS MISMAS AL SR. FISCAL FEDERAL, Y QUE SE RETIRE LA CONSIGNA DEL PERSONAL DE LA POLICIA DE SEGURIDAD AEROPORTUARIA QUE SE ENCONTRABA EN EL LUGAR A EFECTOS DE PRESERVAR LAS PRUEBAS, YA QUE DE ACUERDO A LO OBSERVADO Y DE LAS INFORMACIONES RECIBIDAS NO SE PRODUJERON NI REGISTRARON VÍCTIMAS. Y QUE AL MOMENTO DE LA ENTREGA O REMOSIÓN DEL VEHICULO DEL SECTOR QUE EL PERSONAL POLICIAL DE LA POLICIA DE JUJUY INFORME A ESTA UNIDAD OPERACIONAL, AMPLIANDOSE EL PRESENTE AL MOMENTO DE SURGIR NOVEDADES</t>
  </si>
  <si>
    <t>JUZGADO FEDERAL N° 2 DE MORON</t>
  </si>
  <si>
    <t>DRA.BARBARA TERRAROZA</t>
  </si>
  <si>
    <t>FRENTE AL MODULO DE MANTENIMIENTO DE LA EMPRESA MACAIR JET</t>
  </si>
  <si>
    <t>AEROPUERTO EL PALOMAR</t>
  </si>
  <si>
    <t>EL DENUNCIANTE MANIFIESTA QUE EL DIA CINCO DEL CORREINTE MES Y AÑO HABIA DEJADO ESTACIONADO FRENTE AL MODULO DE MANTENIMINETO DE LA EMPRESA MACAIR JET, UN GRUPO HOBART, GENERADOR DE CORRIENTE CON LA CARGA DE COMBUSTIBLE COMPLETA. EN EL DIA DE LA FECHA EN MOMENTOS EN QUE SE ENCONTRABA OPERANDO DICHO EQUIPO, SE PERCATA DEL FALTANTE DE LA TAPA DEL TANQUE DE COMBUSTIBLE. SEGUIDAMENTE PROCEDE A CHEQUEAR EL MEDIDOR DE COMBUSTIBLE Y NOTA EL FALTANTE DE APROXIMADAMENTE VEINTE LITROS DE NAFTA SUPER. ACTO SEGUIDO POR EL HECHO MENCIONADO EL MISMO SE HACE PRESENTE A RADICAR SU DENUNCIA.SIENDO LAS 11:00 HS SE ENTABLA COMUNICACION TELEFONICA CON LA JUDICATURA ACTUANTE, QUIEN DISPONE SE RECEPCIONE DECLARACION TESTIMONIAL AL PERSONAL DE VIGILANCIA, CIERRE Y ELEVE.</t>
  </si>
  <si>
    <t>LOCAL DE MC DONALS</t>
  </si>
  <si>
    <t>EN MOMENTOS EN QUE LA DENUNCIANTE SE ENCONTRABA JUNTAMENTE CON SU NOVIO REALIZANDO UNA CONSUMICION EN LAS MESAS QUE CUENTA EL LOCAL DE NOMBRE MC DONALDS, EN LA PERGOLA DE LA TERMINAL A, UN MASCULINO QUE SE ENCONTRABA SENTADO EN UN SILLON LINDANTE AL QUE LA MISMA UTILIZABA, SE LEVANTA Y TOMA LA BILLETERA DE LA DENUNCIANTE, LA CUAL SE ENCONTRABA EN EL INTERIOR DE UNA MOCHILA, SIENDO ESTA MANIOBRA ADVERTIDA POR LA DENUNCIANTE, QUIEN LE REFIRIO SOBRE LA PROPIEDAD DE LA MISMA, INTERVINIENDO SU NOVIO, QUIEN RETUVO AL MASCULINO EN CUESTION HASTA LA LLEGADA DE PERSONAL POLICIAL, QUIEN SE HIZO CARGO DE LA SITUACION. LUEGO DE LA COMUNICACION TELEFONICA PERTINENTE CON EL JUZGADO INTERVINIENTE, SE DISPONE QUE SE LABREN ACTUACIONES SUMARIAS, APREHENDIENDOSE AL MASCULINO, DEBIENDOSE ELEVAR TODO LO ACTUADO A SEDE JUDICIAL A PRIMERA HORA DEL DIA OCHO DE NOVIEMBRE DEL 2010. SE INFORMA EN PU 7016 QUE EL 08-11-10A HS. 0730 SE TRASLADA AL APREHENDIDO A SEDE JUDICIAL.</t>
  </si>
  <si>
    <t>7007/10</t>
  </si>
  <si>
    <t>PERGOLA NUEMERO TRES</t>
  </si>
  <si>
    <t>INFORMO QUE EN EL DIA DE LA FECHA, SIENDO LAS 07:30, SE PROCEDIO AL TRASLADO DE LOS APREHENDIDOS EN AUTOS DANIEL HECTOR, VICTOR FABIAN VALENZUELA Y MARY RUTH PEREZ AMADO, A SEDE JUDICIAL</t>
  </si>
  <si>
    <t>7013/10</t>
  </si>
  <si>
    <t>EN LA PERGOLA DE LA TERMINAL A DE ESTE MEDIO</t>
  </si>
  <si>
    <t>INFORMO QUE EN EL DIA DE LA FECHA, SIENDO LAS 07:30, SE PROCEDIO AL TRASLADO DEL APREHENDIDO EN AUTOS ZUÑIGA TORO ALEJANDRO DAVID, A SEDE JUDICIAL</t>
  </si>
  <si>
    <t>LEGAJO DE ROJAS VASQUEZ, GUILLERMO</t>
  </si>
  <si>
    <t>2310/10-ES</t>
  </si>
  <si>
    <t>EN EL DÍA DE LA FECHA, 08/11/2010 A HS. 11:30 SE PRESENTA PERSONAL DE GENDARMERÍA NACIONAL SUB. OF. PPAL JUAN MIGUEL ROJAS DNI Nº 12.220.543, CON EL CIUDADANO DE NACIONALIDAD BOLIVIANA, SR. GUILLERMO ROJAS VASQUEZ C.I. BOLIVIANA Nº 6.353.947 QUIEN POR DISPOSICIÓN Nº 165249/10 DEL REGISTRO DE LA DNM, Y OFICIO JUDICIAL Nº 2005/10-ES EMITIDO POR EL TRIBUNAL ORAL EN LO CRIMINAL FEDERAL DE SALTA, DONDE SE ORDENA LA EXPULSIÓN DEL TERRITORIO NACIONAL C/PROHIBICIÓN DE REINGRESO AL PAÍS CON CARÁCTER DE PERMANENTE, DANDO CUMPLIMIENTO A LA ORDEN DE SERVICIO Nº 041/10 DE LA UOESA DEL NORTE, CON LA INTERVENCIÓN DE 02 EFECTIVOS DE LA UOESA DEL NORTE, PARA SU CUSTODIA Y TRASLADO SIENDO EMBARCADO EN EL VUELO Nº 251-5L DE LA EMPRESA AÉREA AEROSUR, A HORAS 13:30 SIN NOVEDAD.</t>
  </si>
  <si>
    <t>251-5L</t>
  </si>
  <si>
    <t>PLATAFORMA OPERATIVA AEROPUERTO I BRIGADA AEREA EL PALOMAR</t>
  </si>
  <si>
    <t>QUE EL DIA DE LA FECHA SIENDO LAS 13:00 HORAS, SE IMPLEMENTO OPERATIVO DE SEGURIDAD CON MOTIVO DE LA PARTIDA DE LA SRA. PRESIDENTA DE LA NACION CON DESTINO MENCIONADO, PARTIENDO EL VUELO EN HORAS 15:40 SIN NOVEDAD.</t>
  </si>
  <si>
    <t>Corea del Sur</t>
  </si>
  <si>
    <t>COREA DEL SUR</t>
  </si>
  <si>
    <t>VIDAL VALENZUELA MARCOS ESTEBAN Y OTRO S/LEY DE ESTUPEFACIENTES</t>
  </si>
  <si>
    <t>BARRIO AYELEN CASA 81 Y CALLE LA PAZ Nº 1341 AMBAS DE LA LOCALIDAD DE SAN CARLOS DE BARILOCHE, PROVICIA DE RIO NEGRO</t>
  </si>
  <si>
    <t>EEN EL DIA DE LA FECHA Y DANDO CUMPLIMIENTO A LOS OFICIOS 1841/10 EN EL QUE SE ORDENA EL ALLANAMIENTO EN LA VIVIENDA UBICADA EN CALLE LA PAZ Nº 1341, Y OFICIOS 1842/10, Y 1843/10 DONDE ORDENA ALLANAMIENTO EN DOMICILIOUBICADO EN BARRIO AYELEN, CASA 81Y LA DETENCION DEL CIUDADANO NELSON ALEJO VELAZQUEZ ALIAS "GORDO" RESPECTIVAMENTE, LOS CUALES SON LLEVADOS A CABO POR PERSONAL DE ESTA URSA V, UOCN YDC V, UOESA V Y DE LA UOSP BAR. SE INFORMA QUE DEL ALLANAMIENTO EN LA VIVIENDA DELBARRIO AYELEN CASA Nº 81 SE PROCEDIO A LA DETENCION DEL CIUDADANO NELSON ALEJO VELAZQUEZ Y EL SECUESTRO DE SUSTANCIA ESTUPEFACIENTE CANNAVIS SATIVA Y 11 GRAMOS DE CLORHIDRATO DE COCAINA DOCUMENTACION Y ELEMENTOS DE INTERES PARA LA CAUSA. Y EN LA FINCA UBICADA EN LA PAZ Nº 1341 SE PROCEDIO A LA DETENCION DE LA CIUDADANA MARCELA ROMERO Y EL SECUESTRO DE 522 GR DE MARIHUANA. LOS DETENIDOS QUEDARON A DISPOSICION DEL JUZGADO INTERVINIENTE, EN CARÁCTER DE DETENIOS INCOMUNICADOS EN DEPENDENCIAS DE LA UOSP BARILOCHE</t>
  </si>
  <si>
    <t>LOCAL COMERCIAL DE BOCA JUNIORS</t>
  </si>
  <si>
    <t>MIENTRAS PERSONAL SE ENCONTRABA EFECTUANDO UNA RECORRIDA POR EL HALL DE PARTIDAS DE LA TERMINAL A, TOMA CONTACTO CON UNA PERSONA LA CUAL LE MANIFIESTA QUE EN MOMENTOS QUE HABIA INGRESADO AL LOCAL DONDE HAY PRODUCTOS DEL CLUB DE FUTBOL BOCA PARA LA VENTA, DEJA FUERA DEL LOCAL SU CARRO PORTA MALETAS CON SUS PERTENENCIAS, ENTRE LAS QUE SE ENCUENTRA UNA CARTERA DE COLOR NARANJA Y ROSA. CUANDO SALE DEL COMERCIO SE PERCATA QUE LE FALTABA DEL CARRO LA CARTERA EN CUESTION. POR TAL MOTIVO PERSONAL POLICIAL EFECTUA UNA RECORRIDA POR LAS INSTALACIONES DE LA TERMINAL Y SUS ADYACENCIAS, ARROJANDO RESULTADO NEGATIVO EN CUANTO AL HALLAZGO DE LA CARTERA. DEBIDO A LA PRONTA PARTIDA DE SU VIAJE LA DAMNIFICADA NO QUISO RADICAR LA CORRESPONDIENTE DENUNCIA</t>
  </si>
  <si>
    <t>SILVIA MASTORI</t>
  </si>
  <si>
    <t>HALL CENTRAL DEL AEROPUERTO</t>
  </si>
  <si>
    <t>SE PRESENTA EN LA GUARDIA DE PREVENCIÓN LA DENUNCIANTE MANIFESTANDO QUE LUEGO DE REALIZAR EL CHEK IN EN EL MOSTRADOR DE LA EMPRESA AEROLÍNEAS ARGENTINAS PARA EL VUELO N° 1789, SE DIRIGE JUNTO CON EL EQUIPAJE DE MANO A LOS ASIENTOS DEL HALL CENTRAL DEL AEROPUERTO DE RESISTENCIA PARA ESPERAR EL LLAMADO AL EMBARQUE. AL CABO DE UNOS MINUTOS SE PERCATA QUE LE HABÍAN CAMBIADO DICHO EQUIPAJE POR OTRO DE SIMILARES CARACTERÍSTICAS EL QUE CONTENÍA SOLO UNA BOTELLA DE AGUA. EL JEFE DE TURNO ORDENA AL PERSONAL QUE SE ENCONTRABA EN EL HALL QUE REALICE UNA PATRULLA POR LA PARTE PUBLICA, DANDO ESTA RESULTADO NEGATIVO.SE DA INTERVENCIÓN A LA FISCALÍA ACTUANTE QUIEN ORDENA SE LABREN ACTUACIONES Y SE ELEVE LO ACTUADO EL DÍA 09 DE NOVIEMBRE 2010.</t>
  </si>
  <si>
    <t>7014/10</t>
  </si>
  <si>
    <t>INFORMO QUE EN EL DIA DE LA FECHA, SIENDO LAS 21:15, SE PROCEDIO A CUMPLIMENTAR EL TRAMITE DE LIBERTAD DESDE ESTA DEPENDENCIA,DISPUESTA MEDIANTE OFICIO JUDICIAL ,DE LOS APREHENDIDOS EN AUTOS DANIEL HECTOR, VICTOR FABIAN VALENZUELA Y MARY RUTH PEREZ AMADO.</t>
  </si>
  <si>
    <t>7016/10</t>
  </si>
  <si>
    <t>INFORMO QUE EN EL DIA DE LA FECHA, SIENDO LAS 20:30, SE PROCEDIO A CUMPLIMENTAR LA LIBERTAD DESDE ESTA DEPENDENCIA,DECRETADA MEDIANTE OFICIO JUDICIAL ,DEL APREHENDIDO EN AUTOS ZUÑIGA TORO ALEJANDRO DAVID.</t>
  </si>
  <si>
    <t>7004/10</t>
  </si>
  <si>
    <t>INFORMO QUE EN EL DIA DE LA FECHA SIENDO APROXIMADAMENTE LAS 18 HORAS 30 MINUTOS EL DETENIDO EN AUTOS FUE TRASLADADO POR ORDEN JUDICIAL, PARA SU ALOJAMIENTO,HACIA LA COMISARIA PRIMERA DE EZEIZA DE LA POLICIA DE LA PROVINCIA DE BUENOS AIRES.</t>
  </si>
  <si>
    <t>EN MOMENTOS QUE FINALIZABA LA FISCALIZACION DEL SERVICIO DE GUARDIA EL OFICIAL JEFE ANDRES AGUIRRE, ACOMPAÑADO POR LA OFICIAL CEBALLOS, OBSERVAN A UN MASCULINO QUE SE ENCONTRABA OFRECIENDO SERVICIO DE TAXI A DOS PASAJEROS,FUERA DE LOS LUGARES HABILITADOS,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</si>
  <si>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ANDREA SILVINA FAIENZO</t>
  </si>
  <si>
    <t>AV. PTA. INF. LEY 23737 Y LEY 26364</t>
  </si>
  <si>
    <t>VIAMONTE Nº 2216 - MAR DEL PLATA - PCIA. DE BS AS</t>
  </si>
  <si>
    <t>EN EL DIA DE LA FECHA SE RECIBIO OFICIO JUDICIAL, A FIN QUE PERSONAL DE ESTA UNIDAD SE CONSTITUYA EN LA SEDE DEL TRIBUNAL INTERVINIENTE, A LOS EFECTOS DE TOMAR CONOCIMIENTO DE LOS EXTREMOS DENUNCIADOS, PARA LA REALIZACION DE TAREAS INVESTIGATIVAS DE LA CAUSA DE MENCION.</t>
  </si>
  <si>
    <t>CANGALLO Nº 153 - AVELLANEDA Y MIGUEL CANE Nº 571 - LANUS - PROVINCIA DE BUENOS AIRES</t>
  </si>
  <si>
    <t>SE RECIBE OFICIO JUDICIAL DE FECHA , A FIN DE PRACTICAR DISCRETAS TAREAS DE INTELIGENCIA SOBRE LOS DOMICILIOS INDICADOS A EFECTOS DE ESTABLECER SI, QUIEN PODRIA SER DANIEL GUSTAVO LOPEZ, INGRESA O EGRESA DE LOS DOMICILIOS INDICADOS.SE DEJA CONSTANCIA QUE LA PRESENTE CAUSA SE RELACIONA CON LAS CAUSAS 1.193, 13.762 Y 13.765.</t>
  </si>
  <si>
    <t>ADALIAN HUGO SERGIO S/ART. 86 DECRETO LEY 8031/73</t>
  </si>
  <si>
    <t>150/10</t>
  </si>
  <si>
    <t>ENTRE LOS ESTACIONAMIENTOS DE REMISES DESTINADOS A LAS EMPRESAS VIP CAR Y TAXI EZEIZA</t>
  </si>
  <si>
    <t>PLAYA DE ESTACIONAMIENTO PARA EMPLEADOS AEROPORTUARIOS DEL AEROPUERTO INTERNACIONAL DE EZEIZA</t>
  </si>
  <si>
    <t>EN EL DIA DE LA FECHA SE RECIBE OFICIO JUDICIAL A FIN DE REALIZAR TAREAS INVESTIGATIVAS SOBRE EL ACTUAL ESTADO Y FUNCIONAMIENTO DEL LOCAL DE COMIDAS SITO EN EL LUGAR ARRIBA INDICADO, EN RELACION A LA PENA IMPUESTA EN EL ART 86 DECRETO LEY 8031/73, EL ABRA O REGENTEE NEGOCIOS, ESTABLECIMIENTOS, EMPRESAS O AGENCIAS DE LOS MISMOS, SIN LICENNCIA O DECLARACION PREVIA DE LA AUTORIDAD</t>
  </si>
  <si>
    <t>OFICIO JUDICIAL DEL SR. PRESIDENTE DE LA EXCMA. CAMA FEDERAL DE APELACIONES DE BAHIA BLANCA DR. ANGEL A. ARGAÑARAZ, LIBRADO EN LOS AUTOS CARATULADOS:GRANADA JORGE HORACIO S/NUEVO PEDIDO DE EXCARCELACION - EXPTE. NRO. 66.502.</t>
  </si>
  <si>
    <t>CALLE ALMAFUERTE NRO. 1963 DE LA LOCALIDAD DE INGENIERO MASCHWITZ - PARTIDO DE ESCOBAR - PCIA. DE BUENOS AIRES</t>
  </si>
  <si>
    <t>EN EL DIA DE LA FECHA, SIENDO LAS 09:30 HORAS, PERSONAL POLICIAL DE ESTA UNIDAD OPERACIONAL DE CONTROL DEL NARCOTRAFICO Y EL DELITO COMPELJO CENTRAL, PROCEDIO A LA DETENCION EN LA VIA PUBLICA DEL TENIENTE CORONEL RETIRADO DEL EJERCITO ARGENTINO JORGE HORACIO GRANADA, FRENTE A SU DOMICILIO PARTICULAR DE LA CALLE ALMAFUERTE NRO. 1963 - DE LA LOCALIDAD DE INGENIERO MASCHWITZ - PARTIDO DE ESCOBAR - PCIA. DE BUENOS AIRES. EN EL LUGAR SE LE EFECTUO LA REVISACION MEDICA CORRESPONDIENTE, EXTRACCION DE JUEGOS DACTILOSCOPICOS Y MUESTRAS DE IMAGENES FOTOGRAFICAS. POSTERIORMENTE ES TRASLADADO ANTE EL JUZGADO EXHORTADO FEDERAL DE PRIMERA INSTANCIA DE LA CIUDAD DE CAMPANA A CARGO DEL DR. ADRIAN GONZALEZ CHARVAY - SECRETARIA PENAL NRO. 1 DEL DR. RAUL ALEJANDRO ROUST, A EFECTOS DE DAR CUMPLIMIENTO CON LO DISPUESTO EN EL ARTICULO 52 Y CONCORDANTES, DEL CODIGO PROCESAL PENAL DE LA NACION, PARA LUEGO SERA DERIVADO CUSTODIADO POR PERSONAL POLICIAL DE ESTA UNIDAD AL COMPLEJO PENITENCIARIO FEDERAL II DE LA CIUDAD DE MARCOS PAZ - PCIA. DE BUENSO AIRES, QUEDANDO DETENIDO EN CALIDAD DE COMUNICADO, A DISPOSICION DEL JUZGADO EXHORTANTE.</t>
  </si>
  <si>
    <t>LA PAZ 1362 SAN CARLOS DE BARILOCHE, RIO NEGRO</t>
  </si>
  <si>
    <t>AMPLIANDO PR Nº 3485 DE FECHA 08/06/2010 QUE SE INFORMABA EL INICIO DE LA INVESTIGACION DE MARRAS, PR Nº 4773/10 DE FECHA 06/08/10 EN EL CUAL SE HABIA SOLICITADO INTERVENCION TELEFONICA DEL ABONADO 02944-427395 POR EL PLAZO DETREINTA (30) DIAS, PR Nº 6456/10 EN EL CUAL CAMBIA LA CARATULA DE LA CAUSA DE MARRAS Y QUE ORDENA LA INMEDIATA DETENCION DE RAUL EZEQUIEL CID, ALIAS JABALI, PR Nº 6606 /10 DE 21/10/10 DONDE SE SOLICITA SE CONSTATE DOMICILIO Y TITULARIDAD DE VEHICULO HGT 854 Y PR 6758/10 DE FECHA 05/11/10 EL QUE SE AMPLIAN LAS TAREAS INVESTIGATIVAS , PR 6978/10 EN ELQUE SE INFORMA ALLANAMIENTO DE: KIOSKO UBICADO EN CALLE LA PAZ 1341 CASA Nº 81 BARRIO AYELEN SE INFORMA QUE EN EL DIA DE LA FECHA SE RECEPCIONO OFICIO JUDICIAL Nº 1868/10 DE FECHA 09 DE NOVIEMBRE DEL CORRIENTE AÑO, POR PARTE DEL JUZGADO FEDERAL DE SAN CARLOS DE BARILOCHE EN EL QUE SE ORDENA INMEDIATA DETENCION PARA RECIBIRLE DECLARACION INDAGATORIA AL CIUDADANO SIXTO VELAZQUEZ. ASIMISMO PROCEDER AL ALLANAMIENTO DE LA CASA UBICADA EN LA PAZ 1362 DE ESTA CIUDAD LUGAR DE RESIDENCIA DE LA PERSONA ANTES MENCIONADA, CON EL OBJETO DE SECUESTRAR MATERIAL ESTUPEFACIENTE Y/O CUALQUIER OTRO ELEMENTO DE INTERES A LA INVESTIGACION.</t>
  </si>
  <si>
    <t>ALAMBRADO PERIMETRAL DEL SECTOR ESTE DEL AEROPUERTO, A 20 METROS DEL PORTON Nº 6</t>
  </si>
  <si>
    <t>SIENDO APROXIMADAMENTE LAS 11:00 HORAS, SE PRESENTA EL DENUNCIANTE. QUIEN EXPONE QUE HACIENDO UN RECORRIDO PERIMETRAL OBSERVA UNA ROTURA DEL ALAMBRADO PERIMETRAL DANDO AVISO A LA P.S.A Y AL ADMINISTRADOR DE AA 2000, HACIÉNDONOS PRESENTES EN AL LUGAR, NO ENCONTRANDO PERSONAS Y SOLAMENTE SE OBSERVA UN CORTE DEL ALAMBRADO PERIMETRAL EN LA PARTE INFERIOR DE 40 CENTÍMETROS DE LARGO EN FORMA VERTICAL. EL MISMO CORTE ES REPARADO POR PERSONAL DE MANTENIMIENTO DE AA 2000. SIENDO LAS 11:20 HORAS SE REALIZA COMUNICACIÓN TELEFÓNICA CON JUZGADO FEDERAL DE SAN RAFAEL, INFORMANDO SOBRE LA DENUNCIA Y EN BASE A LO EXPUESTO, ORDENA LLEVAR A CABO LAS MEDIDAS DE CONSTATAR EL HECHO DENUNCIADO Y LLEVAR A CABO LAS ACTUACIONES DE RIGOR ELEVÁNDOLAS UNA VEZ FINALIZADAS LAS MISMAS.</t>
  </si>
  <si>
    <t>AVERIGUACION DELITO DE ACCION PUBLICA CNU</t>
  </si>
  <si>
    <t>DOMICILIO UBICADO EN CALLE FRAY MAMERTO ESQUIU Nº 78, LOCALIDAD ALTA GRACIA, PROVINCIA DE CORDOBA.</t>
  </si>
  <si>
    <t>POR EL PRESENTE SE INFORMA DE LA RECEPCION VIA FAX DE EXHORTO ORIGINADO POR EL JUZGADO FEDERAL EN LO CRIMINAL Y CORRECCIONAL Nº 3 DE MAR DEL PLATA A CARGO DEL DR. RODOLFO A. PRADAS SUBROGANTE, SECRETARIA DE ACTUACION EN DERECHOS HUMANOS A CARGO DE LA DRA. SILVIA GONZALEZ, DONDE SOLICITA AL SR. JUEZ FEDERAL A CARGO DEL JUZGADO EN LO CRIMINAL Y CORRECCIONAL FEDERAL EN TURNO DE LA CIUDAD DE CORDOBA, ARBITRE LOS MEDIOS NECESARIOS A EFECTOS DE DAR CUMPLIMIENTO A LA DETENCION Y POSTERIOR TRASLADO A ESTA CIUDAD DE PATRICIO AGUSTO FERNANDEZ RIVERO, DE NACIONALIDAD ARGENTINO, DNI Nº 8.347.937, FECHA DE NACIMIENTO 29-09-1946, HIJO DE MARIO Y DE MARIA JOSEFINA RIVERO, DOMICILIADO EN FRAY MAMERTO ESQUIU Nº 78 DE LA LOCALIDAD DE ALTA GRACIA, PROVINCIA DE CORDOBA, A FIN DE RECIBIRLE DECLARACION INDAGATORIA ART. 294 CPPN. EN EL CASO DE LLEVARSE A CABO LA DETENCION EL ENCARTADO DEBERA QUEDAR ALOJADO EN LA DELEGACION DE LA POLICIA FEDERAL DE ESTA CIUDAD Y/O EN LA PREFECTURA NAVAL ARGENTINA DE ESTA CIUDAD Y/O EN LA UNIDAD PENAL Nº 44 DE BATAN.</t>
  </si>
  <si>
    <t>EN EL DIA DE LA FECHA SE PRESENTA EL DENUNCIANTE MANIFESTANDO EL EXTRAVIO DE SU PERMISO PERSONAL DE SEGURIDAD AEROPORTUARIO PERMANENTE VENCIDO, NO PUDIENDO PRECISAR EL LUGAR EXACTO DENTRO DE LAS INSTALACIONES NI LA FECHA.</t>
  </si>
  <si>
    <t>DRA.NORMA PARRELLO</t>
  </si>
  <si>
    <t>EN EL DIA DE LA FECHA SE PRESENTO EL DENUNCIANTE ANTE EL SERVICIO DE GUARDIA PREVENTIVA MANIFESTADNDO QUE SIENDO LAS10:00HS APROXIMADAMENTE DEL DÍA 11 DE OCTUBRE DEL 2010 DESPACHA DESDE MADRID UNA ENCOMIENDA POR LA EMPRESA TRANSCALI SL. DICHA ENCOMIENDA FUE ENVIADA AL AEROPUERTO INTERNACIONAL EZEIZA-BUENOS AIRES- ARGENTINA, EN EL VUELO AR 1133 DE AEROLÍNEAS ARGENTINAS, EL CUAL SALE DE MADRID EL 24/10/10 Y LLEGA A EZEIZA EL 25/10/10. EL NÚMERO DE RECONOCIMIENTO AÉREO ES 044-42170435 . EL DÍA 15 DE OCTUBRE EL DENUNCIANTE VIAJA DESDE MADRID HASTA BUENOS AIRES Y EL DÍA 25/10/10, SE DIRIGE AL AEROPUERTO INTERNACIONAL DE EZEIZA POR LA MAÑANA; ALLÍ SE COMUNICA CON PERSONAL DE ADUANA ARGENTINA, EL CUAL REALIZA EL CONTROL ADUANERO DE LA MENCIONADA CARGA EN PRESENCIA DEL DENUNCIANTE PARA LUEGO CERRAR EL PALLET CON UN FILM. EL DENUNCIANTE ACLARA QUE DURANTE LA INSPECCIÓN DE LOS BULTOS, PERDIÓ DE VISTA EN VARIAS OCASIONES LAS CAJAS ABIERTAS DEBIDO A QUE DEBÍA PRESTAR ATENCIÓN AL PROCEDIMIENTO QUE REALIZABA EL PERSONAL DE ADUANA EL CUAL ABRÍA UNA POR UNA LAS CAJAS DE LA ENCOMIENDA, ACLARANDO QUE NO TODAS LAS CAJAS FUERON ABIERTAS. UNA VEZ FINALIZADO EL CONTROL, SE RETIRA DEL AEROPUERTO JUNTO CON LA ENCOMIENDA EN UN CAMIÓN QUE REALIZA EL FLETE HASTA LA EMPRESA DE TRANSPORTE BRIO, Y CONTRATA EL FLETE PARA QUE LA ENCOMIENDA SEA ENVIADA A LA SUCURSAL DE LA MISMA EMPRESA EN LA CIUDAD DE CÓRDOBA, SITO EN AVENIDA JAPÓN 1500. SIENDO LAS 09:00HS DEL DÍA 26 DE OCTUBRE DE 2010 SE PRESENTA EN LA MENCIONADA SEDE DE AV. JAPÓN PARA RETIRAR SU ENCOMIENDA, HASTA SU DOMICILIO PARTICULAR. UNA VEZ ALLÍ Y AL ABRIR LA ENCOMIENDA, LA CUAL A SIMPLE VISTA ESTABA EMBALADA TAL CUAL LA HABÍA DEJADO ADUANA, SE PERCATA DEL FALTANTE DE VARIAS COSAS. EL DENUNCIANTE ACLARA QUE UNA DE LAS CAJAS QUE NO FUE ABIERTA POR ADUANA ESTABA RECORTADA POR DETRÁS Y PRESENTABA UN HUECO, Y LAS DEMÁS MOSTRABAN SIGNOS DE HABER SIDO ABIERTAS Y MANIPULADAS.</t>
  </si>
  <si>
    <t>M ADRID</t>
  </si>
  <si>
    <t>BUENOS AIRES- EZE</t>
  </si>
  <si>
    <t>7072/10</t>
  </si>
  <si>
    <t>LOPEZ DA SILVA,WALTER</t>
  </si>
  <si>
    <t>VIDAL VALENZUELA, MARCOS ESTEBAN Y OTROS S/LEY DE ESTUPEFACIENTES</t>
  </si>
  <si>
    <t>CALLE LA PAZ 1362, SAN CARLOS DE BARILOCHE, RIO NEGRO</t>
  </si>
  <si>
    <t>EN CUMPLIMIENTO DEL OFICIO JUDICIAL NUMERO 1868/10,DE FECHA 09-NOV-2010, EN EL MARCO DE LA CAUSA DE REFERENCIA, SE PROCEDIO AL ALLANAMIENTO EN EL DOMICILIO DE LA CALLE LA PAZ 1362, DE ESTA CIUDAD, CON EL OBJETO DE LA DETENCION DEL CIUDADANO SIXTO ARGENTINO VELAZQUEZ, SE PROCEDE AL REGISTRO DE LA MORADA REALIZANDO EL SECUESTRO DE 7 GRAMOS DE SUSTANCIA VEGETAL PRESUMIBLEMENTE MARIHUANA, Y DOCUMENTACION DE INTERES PARA LA PRESENTE CAUSA Y NO SE PUDIENDOSE DAR CUMPLIMIENTO A LA ORDEN DETENCION DEL DADO QUE IMPUTADO NO FUE HALLADO EN EL DOMICILIO MENCIONADO.</t>
  </si>
  <si>
    <t>6399/10</t>
  </si>
  <si>
    <t>664/10</t>
  </si>
  <si>
    <t>SE PROCEDE A LA APERTURA DE 03 ENCOMIENDAS DEL CORREO OFICIAL, SEGÚN CONSTA EN ACTA DE APERTURA DE CARGAS Nº 0464, CORRESPONDIENTE A LA PREV. SUM. Nº 101/10, EN VIRTUD DE LO ORDENADO MEDIANTE OFICIO JUDICIAL Nº 3181/10 EN EL EXPTE. Nº 664/10, DEL MAGISTRADO ACTUANTE Y EN PRESENCIA DE DOS TESTIGOS HÁBILES, LAS ENCOMIENDAS IDENTIFICADAS COMO, LA 1º EP657464395AR RTTE. SRA. GLADYS CALDERON, CON DOMICILIO EN AV. LAS AMERICAS Nº 1132 SALTA CAPITAL C.P. 4400, DEST. SRA. NOELIA ANDRADE CON DOMICILIO EN CALLE AKAINIC Nº 809 Bº BINTRUS USHUAIA TIERRA DEL FUEGO C.P. 9410, CONTIENE 12 PAQUETES DE HOJAS DE COCA CON UN PESO DE 2.959 GRS. LAS MISMAS QUEDAN SECUESTRADAS, LA 2º EP658936423AR, RTTE. SRA. NOEMI MERCADO CON DOMICILIO EN CALLE PERU Nº 601 Bº LA PAZ CIUDAD PERICO JUJUY C.P. 4610, DEST. IVAN GUSTAVO VILLAROEL, CON DOMICILIO EN CALLE HORCADAS DEL SUR Nº 69 Bº LATINO AMERICANO USHUAIA TIERRA DEL FUEGO, C.P. 9410, CONTIENE 10 PAQUETES DE HOJAS DE COCA CON UN PESO DE 2.445 GRS. LAS MISMAS QUEDAN SECUESTRADAS, LA 3º EP658936437AR, RTTE. SR. LUIS SAYAGO CON DOMICILIO EN CALLE EL SALVADOR Nº 125 Bº LA PAZ CIUDAD PERICO JUJUY, C.P. 4610, CONTIENE 09 PAQUETES DE HOJAS DE COCA CON UN PESO TOTAL DE 2.189 GRS. LAS MISMAS QUEDAN SECUESTRADAS. LAS ENCOMIENDAS SECUESTRADAS SERAN PUESTAS A DISPOSICIÓN DE LA ADUANA DE SALTA POR SUPUESTA INFRACCIÓN AL CODIGO ADUANERO, SEGÚN LEY 22.415 Y LAS ACTUACIONES REMITIDAS A SEDE JUDICIAL. SEGÚN P.U. Nº6389/10 (ORIGINARIO) SE PROCEDE A LA RETENCIÓN DE DOS SACAS COLECTORA DEL CORREO OFICIAL, SEGÚN CONSTA EN ACTA DE RETENCIÓN DE CARGAS Nº 0483/10, QUE ORIGINA LA PREVENCIÓN SUMARIA 101/10, LA PRIMERA SACA IDENTIFICADA CON MARBETE, SLA0212458D555800VAE, PRECINTO N° D907048, CON UN PESO DECLARADO DE 8,100 KGS, CON DESTINO LA CIUDAD DE USHUAIA, CONTENDRÍA DOS PIEZAS POSTALES Y LA SEGUNDA SACA IDENTIFICADA CON MARBETE, SLA0212457D555800VAE, PRECINTO N° D907025, CON UN PESO DECLARADO DE 6,800 KGS, CON DESTINO LA CIUDAD DE USHUAIA, CONTENDRÍA DOS PIEZAS POSTALES. LAS MISMAS ESTÁ AMPARADA EN GUÍA DE CARGA Nº 8038377-4, DESPACHADAS A TRAVÉS DE LA EMPRESA DE CARGA AÉREA JET PAQ. LA RETENCIÓN SE REALIZA ANTE LA PRESUNCIÓN QUE PUDIERAN CONTENER ALGÚN ELEMENTO EN INFRACCIÓN A LA LEY 23.737 Y/O 22.415, QUEDANDO LAS MISMAS CERRADAS Y PRECINTADAS EN GUARDA EN ESTA UOSP. SEGÚN LO COORDINADO CON EL DR. SANTIAGO FRENCH, A CARGO DE LA SECRETARIA PENAL Nº 2 DEL JUZGADO FEDERAL DE SALTA Nº 1 A CARGO DEL DR. JULIO LEONARDO BAVIO. LA APERTURA SE REALIZARÁ EN PRESENCIA DEL PERSONAL DEL CORREO OFICIAL. SEGÚN P.U. Nº 6399/10 (AMPLIACION) SE PROCEDE A LA APERTURA DE DOS SACAS COLECTORA DEL CORREO OFICIAL, SEGÚN CONSTA EN ACTA DEJANDO CONTANCIA Nº 0440/10, CORRESPONDIENTE PREV. SUM. 101/10. LA 1º SACA IDENTIFICADA CON MARBETE SLA0212458D555800VAE, PRECINTO N° D907048, CONTIENE DOS PIEZAS POSTALES :LA 1ª IDENTIFICADA COMO EP657464395AR, RTTE: GLADYS CALDERON, AV. LAS AMERICAS 1132, CP.4400, SALTA Y DEST: NOELIA ANDRADE,AKAINIC 809,Bº BINTRUS, CP.9410, USHUAIA, TIERRA DEL FUEGO, QUEDA RETENIDA Y LA 2ª EP657464413AR, ES ENTREGADA AL SR. ARIAS PARA SU REDESPACHO POR NO SER DE INTERES PARA EL PROCEDIMIENTO. LA 2ª SACA IDENTIFICADA CON MARBETE, SLA0212457D555800VAE, PRECINTO N° D907025, CONTIENE DOS PIEZAS POSTALES: LA 1ª EP658936423AR, RTTE: NOEMI MERCADO, PERU 601, Bº LA PAZ, JUJUY, PERICO, CP. 4610 Y DEST: IVAN GUSTAVO VILLAROEL, ORCADAS DEL SUR 69, Bº LATINO AMERICANO, USHUAIA, CP.9410, Y LA 2ª EP658936437AR, RTTE: LUISA SAYAGO, Bº LA PAZ, EL SALVADOR 125, JUJUY, PERICO,CP.4610 Y DEST: MARCELA MALLON, JUAN D. PERON 604, Bº EL SALVADOR,USHUAIA, CP.9410, TIERRA DEL FUEGO, AMBAS ENCOMIENDAS QUEDAN RETENIDAS. LAS RETENCIÓNES SE REALIZAN ANTE LA PRESUNCIÓN QUE PUDIERAN CONTENER ALGÚN ELEMENTO EN INFRACCIÓN A LA LEY 23.737 Y/O 22.415, QUEDANDO LAS MISMAS CERRADAS Y EN GUARDA EN ESTA UOSP. SEGUN LO COORDINADO CON EL JUZGADO INTERVINIENTE Y LA APERTURA SE REALIZARA CON LA AUTORIZACION DEL MAGISTRADO ACTUANTE.</t>
  </si>
  <si>
    <t>Dra SANDRA LUCCA</t>
  </si>
  <si>
    <t>"UPMYF S/INVESTIGACION S/ILICITO COMETIDO EN PERJUICIO DE LA MENOR SOFIA HERRERA"</t>
  </si>
  <si>
    <t>Nº I -13.139</t>
  </si>
  <si>
    <t>SECTOR DE ARRIBO DE VUELOS DE CABOTAJE</t>
  </si>
  <si>
    <t>SIENDO LAS 16:40 HS DEL DIA DE LA FECHA SE TOMA CONOCIMIENTO POR PARTE DE LA SEÑORA PAULA LUCCHINI PERSONAL DE TRAFICO DE LA EMPRESA LAN ARGENTINA DEL ARRIBO DE UNA MENOR EN EL VUELO LAN 4348 QUE SEGUN SUS DICHOS CORRESPONDERIA EN APARIENCIA CON LA MENOR SOFIA HERRERA CON ESTA INFORMACION INICIAL SE PROCEDIO A RECABAR DATOS DE LOS PASAJEROS DEL VUELO DE DONDE SE DESPRENDE QUE SE TRATARIA DE JULIETA MOYANO QUIEN VIAJABA ACOMPAÑADA DEL SR. JULIO MOYANO APARENTEMENTE SU PADRE DANDO INTERVENCION EN PRIMERA INSTANCIA AL JUZGADO FEDERAL DE BARILOCHE QUIEN INDICA SE DE INTERVENCION AL JUZGADO DE INSTRUCCION DE PRIMERA NOMINACION DEL DISTRITO JUDICIAL NORTE DE TIERRA DEL FUEGO EL CUAL ORDENA SE RECABE LA MAYOR CANTIDAD DE INFORMACION PROCEDIENDOSE A LA OBTENCION DE UNA FOTOGRAFIA DE JULIO MOYANO MEDIANTE EL USO DE LA RED SOCIAL FACEBOOK QUE ES IDENTIFICADA POSITIVAMENTE POR LA SEÑORA LUCCHINI ASIMISMO EN BASE A LOS TELEFONOS FIJOS OBTENIDOS DEL PRINTER DE RESERVA SE ESTABLECIERON DOMICILIOS DEL SR. MOYANO SIENDO ESTOS LAS FRAMBUESAS Nº 59 PB Y LOS ARRAYANES Nº 176, AMBOS DE VILLA LA ANGOSTURA, PROVINCIA DE NEUQUEN. SE TOMO DECLARACION TESTIMONIAL A LA SRA. PAULA LUCCHINI, SR. GRACIELA ALMIRALL Y AL OF. AY. CASAMAJON LEG 503.592 TODOS PRESENTES EN EL SECTOR AL MOMENTO DEL ARRIBO. 18:55 HS SE RECIBIO FAX DEL PODER JUDICIAL DE TIERRA DEL FUEGO DIRIGIDO AL JEFE DE UNIDAD REGIONAL V EN RELACION A LA CAUSA Nº I-13.139 CARATULADA UPMYF S/INVESTIGACION S/ILICITO COMETIDO EN PERJUICIO DE LA MENOR SOFIA HERRERA CON SOLICITUD DE INFORMACION RELEVANTE PARA LA CAUSA. 19:10HS. SE RECIBE VIA MAIL IMAGENES DIGITALIZADAS DEL PREEMBARQUE DEL VUELO MENCIONADO, EN DOS DE LAS CUALES SON IDENTIFICADAS EN FORMA POSITIVA POR LA SRA LUCCHINI LA MENOR Y EL ADULTO QUE LA ACOMPAÑABA.</t>
  </si>
  <si>
    <t>7003/10</t>
  </si>
  <si>
    <t>BOX DE MIGRACIONES DE LA TERMINAL A DEL AEROPUERTO INTERNACIONAL DE EZEIZA</t>
  </si>
  <si>
    <t>TERMINAL A DEL AEROPUERTO INTERNACIONAL DE EZEIZA</t>
  </si>
  <si>
    <t>SE INFORMA QUE EL DETENIDO INTERNADO EN EL HOSPITAL ZONAL DE EZEIZA EN CUSTODIA DE PERSONAL DE ESTA UNIDAD, REALIZO EL DIA 09 DE NOVIEMBRE DE 2010 LA 2DA. DEPOSICIONES A LAS 14:00 HS, DE 5 CAPSULAS CON UN PESO DE 60 GRS. Y LA 3RA. DEPOSICION A LAS 14:50 HS DE 9 CAPSULAS CON UN PESO DE 100 GRS.</t>
  </si>
  <si>
    <t>BENTOS CECILIA CABRERA MARIA ELEONORA S/INF. 22.415</t>
  </si>
  <si>
    <t>BOX MIGRATORIO DE INGRESO AL PAIS DE LA TERMINAL A</t>
  </si>
  <si>
    <t>EL DIA Y LA FECHA ANTES MENCIONADA SE RECIBE EN EL TURNO POLICIAL POR PARTE DE LA DNM A LA CIUDADANA DE MENCIÓN SOBRE QUIEN PESA UNA ORDEN DE CAPTURA. SEGUIDAMENTE EL JEFE DE TURNO MANTIENE COMUNICACIÓN TELEFÓNICA CON EL JUZGADO SOLICITANTE, DISPONIENDO S.SA. SE PROCEDA A LA DETENCIÓN DE LA CAUSANTE, SE REALICEN LAS DILIGENCIAS PERTINENTES Y QUE UNA VEZ FINALIZADAS LAS MISMAS SE PROCEDA AL TRASLADO DE LA MISMA A SEDE TRIBUNALICIA A PRIMERA HORA DEL DÍA 10/11/10.</t>
  </si>
  <si>
    <t>6927/10</t>
  </si>
  <si>
    <t>DAÑOS - ART. 183 C.P.N</t>
  </si>
  <si>
    <t>A-47.677</t>
  </si>
  <si>
    <t>INFORMO QUE SIENDO LAS 09:50 HS, DEL DÍA 09 DE NOVIEMBRE DEL CORRIENTE AÑO SE REALIZA PRESENTACIÓN DE LA PREVENCIÓN SUMARIA 03/2010 DE ESTA UOSP MALARGÜE AL JUZGADO FEDERAL DE SAN RAFAEL, ENTREGADO EN MANO POR EL JEFE UNIDAD OF. MY. PUEBLA, ROBERTO JOSÉ FABIÁN (500.724) EN MESA DE ENTRADA DE LA SECRETARIA PENAL. ASIMISMO INFORMO NÚMERO DE CAUSA JUDICIAL: A - 47.677 CARATULADO: "DAÑOS " ART. 183 DEL C.P.N.</t>
  </si>
  <si>
    <t>SE AMPLIA PARTE N° 6396, TAREAS INVESTIGASTIVAS SEGUN ORDEN DE SERVISIO N°027/10 DE FECHA 01 DE SEPTIEMBRE. EN EL MARCO DEL EXPTE. 560/10 CARATULADO PAEZ MARCELINO S/INFRACCION A LA LEY 24.769, INFORMO QUE SE RECIBIO OFICIO JUDICIAL N° 3117/10, EN DONDE SE AUTORIZA LA INTERVENCION DE LA LINEA TELEFONICA N° 0387-4219324, PERTENECIENTE AL MINISTERIO DE SALUD PUBLICA DE LA PROVINCIA - UNIDAD DE SINDICATURA INTERNA, INSTALADO DONDE TRABAJA EL CONTADOR PUBLICO NACIONAL MARCELINO PAEZ Y LA PRORROGA DE INTERVENCION POR UN LAPSO DE QUINCE DIAZ. DE LA LINEA TELEFONICA 0387-155383159, UTILIZADO POR CONTADOR PAEZ MARCELINO. DEL ABONADO N° 0387-4219324, SURGIERON CONFERENCIAS ENTRE EL CONTADOR PAEZ Y EL SEÑOR OMAR JARAMILLO, EN DONDE ESTE LE SOLICITA LA VENTA DE FACTURAS POR UN VALOR DE PESOS 45.000 PARA UN AMIGO Y EN OTRA CONFERENCIA OTRA PERSONA DE SEXO MASCULINO LE PIDIO DOS FACTURAS DE LA EMPRESA AGRO-CEREALES QUE FIGUREN COMO COMPRA DE MADERA. DE LAS CONFERENCIAS ANTES MENCIONADAS SE PODRIA ESTABLECER QUE EL CONTADOR PAEZ ESTARIA REALIZANDO LA VENTA DE FACTURAS APOCRIFAS Y/O CREANDO EMPRESAS FANTAMAS, TODAS ESTAS NOVEDADES SURGIDAS FUERON INFORMADAS AL JUZGADO INTERVINIENTE. SE AMPLIARA CUANDO SURGAN NOVEDADES</t>
  </si>
  <si>
    <t>6431/10</t>
  </si>
  <si>
    <t>662/10</t>
  </si>
  <si>
    <t>SE PROCEDE A LA APERTURA DE UNA ENCOMIENDA DEL CORREO OFICIAL, SEGUN CONSTA EN ACTA DE APERTURA DE CARGA Nº 0465/10, CORRESPONDIENTE A LA PREV. SUM. Nº 103/10, EN VIRTUD DE LO ORDENADO MEDIANTE OFICIO JUDICIAL Nº 3180/10, DEL MAGISTRADO ACTUANTE, Y EN PRESENCIA DE DOS TESTIGOS HABILES. LA EP691908085AR, RTTE: DAMIAN CRUZ, SAN MARTIN 990, LA QUIACA, CP. 4650, JUJUY, DEST: MARTIN LIQUITAYA, CALLE 10 S/N, HILARIO ASCAZUBI, CP. 8142, BS AS, CONTIENE: 14 PAQUETES DE HOJAS DE COCA CON UN PESO TOTAL DE 3.505 GRS. QUEDANDO SECUESTRADOS. LA MISMA SERA PUESTA A DISPOSICION DE ADUANA DE SALTA POR SUPUESTA INFRACCION A LA LEY 22.415, CODIGO ADUANERO Y LAS ACTUACIONES REMITIDAS A SEDE JUDICIAL. SEGÚN P.U. N° 6425 ( ORIGINARIO) SE PROCEDE A LA RETENCION DE UNA SACA COLECTORA DEL CORREO OFICIAL, SEGUN CONSTA EN ACTA DE RETENCION DE CARGAS Nº 0442/10, QUE ORIGINA LA PREVENCION SUMARIA Nº 103/10, LA SACA IDENTIFICADA CON MARBETE Nº SLA0217786E606000BHI, PRECINTO Nº D907098, CON UN PESO DECLARADO DE 4,300 KGS. CON DESTINO A LA CIUDAD DE BAHIA BLANCA, CONTENDRIA UNA PIEZA POSTAL, LA MISMA ESTA AMPARADA EN GUIA DE CARGA Nº 803830-3, DESPACHADA A TRAVES DE LA EMPRESA DE CARGA AEREA JET PAQ, LA RETENCION SE REALIZA ANTE LA PRESUNCION DE QUE PUDIERA CONTENER ALGUN ELEMENTO EN INFRACCION A LA LEY 23.737 Y/O 22.415, QUEDANDO LA MISMA CERRADA Y PRECINTADA EN GUARDA EN ESTA UOSP. SEGUN LO COORDINADO CON EL DR. SANTIAGO FRENCH, A CARGO DE LA SECRETARIA PENAL Nº 2 DEL JUZGADO FEDERAL DE SALTA Nº 1 A CARGO DEL DR. JULIO LEONARDO BAVIO. LA APERTURA SE REALIZARA EN PRESENCIA DEL PERSONAL DEL CORREO OFICIAL.- SEGÚN P.U. N° 6431 (AMPLIACION) SE PROCEDE A LA APERTURA DE UNA SACA COLECTORA DEL CORREO OFICIAL, SEGUN CONSTA EN ACTA DEJANDO CONTANCIA Nº 0443/10, CORRESPONDIENTE A LA PREV. SUM. Nº 103/10, LA SACA IDENTIFICADA CON MARBETE Nº SLA0217786E606000BHI, PRECINTO Nº D907098, CON TIENE UNA PIEZA POSTAL IDENTIFICADA COMO EP691908085, RTTE: DAMIAN CRUZ, SAN MARTIN 990, LA QUIACA, CP. 4650, JUJUY, DEST: MARTIN LIQUITAYA, CALLE 10 S/N, HILARIO ASCAZIBI, CP. 8142, BS AS, LA MISMA QUEDA RETENIDA.LA RETENCION SE REALIZA ANTE LA PRESUNCION DE QUE PUDIERAN CONTENER ALGUN ELEMENTO EN INFRACCION A LA LEY 23.737 Y/O 22.415, QUEDANDO LA MISMA CERRADA Y EN GUARDA EN ESTA UOSP SEGUN LO COORDINADO CON EL JUZGADO INTERVINIENTE Y LA APERTURA SE REALIZARA CON AUTORIZACION DEL MAGISTRADO ACTUANTE</t>
  </si>
  <si>
    <t>6402/10</t>
  </si>
  <si>
    <t>663/10</t>
  </si>
  <si>
    <t>SE PROCEDE A LA APERTURA DE UNA ENCOMIENDA DEL CORREO OFICIAL, SEGUN CONSTA EN ACTA DE APERTURA DE CARGA Nº 0466/10, CORRESPONDIENTE A LA PREV. SUM. Nº 102/10, EN VIRTUD DE LO ORDENADO MEDIANTE OFICIO JUDICIAL Nº 3182/10, DEL MAGISTRADO ACTUANTE, Y EN PRESENCIA DE DOS TESTIGOS HABILES. LA EP711093753AR, RTTE: RUBEN ORLANDO PAEZ, SALTA, DEST: CINTIA ANAHI JUAREZ, Bº MALVINA, MZA 238, SOLAR 38, LAS HERAS. PCIA DE SANTA CRUZ, CP.9017, CONTIENE 15 PAQUETES DE HOJAS DE COCA CON UN PESO TOTAL DE 3.457 GRS. QUEDA SECUESTRADA. LA MISMA SERA PUESTA A DISPOSICION DE LA ADUANA DE SALTA POR SUPUESTA INFRACCION A LA LEY 22.415, CODIGO ADUANERO, Y LAS ACTUACIONES REMITIDAS A SEDE JUDICIAL. SEGÚN P.U. N° 6392/10 (ORIGINARIO) SE PROCEDE A LA RETENCIÓN DE UNA SACA COLECTORA DEL CORREO OFICIAL, SEGÚN CONSTA EN ACTA DE RETENCIÓN DE CARGAS Nº 0439/10, QUE ORIGINA LA PREVENCIÓN SUMARIA 102/10, LA SACA IDENTIFICADA CON MARBETE, SLA0216557E555600CRD, PRECINTO N° D907042, CON UN PESO DECLARADO DE 11,200 KGS, CON DESTINO LA CIUDAD DE COMODORO RIVADAVIA, CONTENDRÍA TRES PIEZAS POSTALES, LA MISMA ESTÁ AMPARADA EN GUÍA DE CARGA Nº 8038377-4, DESPACHADAS A TRAVÉS DE LA EMPRESA DE CARGA AÉREA JET PAQ. LA RETENCIÓN SE REALIZA ANTE LA PRESUNCIÓN QUE PUDIERAN CONTENER ALGÚN ELEMENTO EN INFRACCIÓN A LA LEY 23.737 Y/O 22.415, QUEDANDO LA MISMA CERRADA Y PRECINTADA EN GUARDA EN ESTA UOSP. SEGÚN LO COORDINADO CON EL DR. SANTIAGO FRENCH, A CARGO DE LA SECRETARIA PENAL Nº 2 DEL JUZGADO FEDERAL DE SALTA Nº 1 A CARGO DEL DR. JULIO LEONARDO BAVIO. LA APERTURA SE REALIZARÁ EN PRESENCIA DEL PERSONAL DEL CORREO OFICIAL. SEGÚN P.U. N° 6402/10 (AMPLIACION) SE PROCEDE A LA APERTURA DE UNA SACA COLECTORA DEL CORREO OFICIAL SEGUN CONTA EN ACTA DEJANDO CONTANCIA Nº 0441/10, CORRESPONDIENTE A LA PREV. SUM. 102/10. LA SACA IDENTIFICADA CON MARBETE, SLA0216557E555600CRD, PRECINTO N° D907042, CONTIENE TRES PIEZAS POSTALES: LA 1ª EP711093753AR, RTTE: RUBEN ORLANDO PAEZ, SALTA, DEST: CINTIA ANAHI JUAREZ, Bº MALVINA, MANZANA 238, SOLAR 38, LAS HERAS PCIA DE SANTA CRUZ, CP.9017, QUEDA RETENIDA Y LAS DOS RESTANTES IDENTIFICADAS COMO EP681066709AR, Y EP711093740AR SON ENTREGADAS AL SR. ARIAS PARA SU REDESPACHO POR NO SER DE INTERES PARA EL PROCEDIMIENTO. LA RETENCION SE REALIZA ANTE LA PRESUNCIÓN QUE PUDIERA CONTENER ALGÚN ELEMENTO EN INFRACCIÓN A LA LEY 23.737 Y/O 22.415, QUEDANDO LA MISMA CERRADA Y EN GUARDA EN ESTA UOSP SEGUN LO COORDINADO CON EL JUZGADO INTERVINIENTE Y LA APERTURA SE REALIZARA CON AUTORIZACION DEL MAGISTRADO ACTUANTE.</t>
  </si>
  <si>
    <t>7037/10</t>
  </si>
  <si>
    <t>UNIDAD OPERACIONAL DE SEGURIDAD PREVENTIVA BARILOCHE</t>
  </si>
  <si>
    <t>AMPLIANDO PR Nº 3485 DE FECHA 08/06/2010 QUE SE INFORMABA EL INICIO DE LA INVESTIGACION DE MARRAS, PR Nº 4773/10 DE FECHA 06/08/10 EN EL CUAL SE HABIA SOLICITADO INTERVENCION TELEFONICA DEL ABONADO 02944-427395 POR EL PLAZO DETREINTA (30) DIAS, PR Nº 6456/10 EN EL CUAL CAMBIA LA CARATULA DE LA CAUSA DE MARRAS Y QUE ORDENA LA INMEDIATA DETENCION DE RAUL EZEQUIEL CID, ALIAS JABALI, PR Nº 6606 /10 DE 21/10/10 DONDE SE SOLICITA SE CONSTATE DOMICILIO Y TITULARIDAD DE VEHICULO HGT 854 Y PR 6758/10 DE FECHA 05/11/10 EL QUE SE AMPLIAN LAS TAREAS INVESTIGATIVAS , PR 6978/10 EN ELQUE SE INFORMA ALLANAMIENTO DE: KIOSKO UBICADO EN CALLE LA PAZ 1341 CASA Nº 81 BARRIO AYELEN Y PR 7072/10 09/11/10, OFICIO QUE ORDENA DETENCION DE SIXTO VELAZQUEZ. YALLANAMIENTO DE LA CASA SITA EN LA PAZ 1362 SE INFORMA QUE EN EL DIA DE LA FECHA SE RECEPCIONA OFICIO JUDICIAL Nº 1893/10, DONDE EN LA CAUSA DE MARRAS EL TRIBUNAL ACTUANTE ORDENA PARA EL DIA DE LA FECHA LA LIBERTAD DE MARCELA ROMERO LA CUAL SE DEBERA MATERIALIZAR DESDE ESTA DEPENDENCIA POLICIAL SIEMPRE QUE NO REGISTRE ORDEN RESTRICTIVA DE LIBERTAD EMANADA DE OTRO TRIBUNAL.</t>
  </si>
  <si>
    <t>AMPLIANDO PR Nº 3485 DE FECHA 08/06/2010 QUE SE INFORMABA EL INICIO DE LA INVESTIGACION DE MARRAS, PR Nº 4773/10 DE FECHA 06/08/10 EN EL CUAL SE HABIA SOLICITADO INTERVENCION TELEFONICA DEL ABONADO 02944-427395 POR EL PLAZO DETREINTA (30) DIAS, PR Nº 6456/10 EN EL CUAL CAMBIA LA CARATULA DE LA CAUSA DE MARRAS Y QUE ORDENA LA INMEDIATA DETENCION DE RAUL EZEQUIEL CID, ALIAS JABALI, PR Nº 6606 /10 DE 21/10/10 DONDE SE SOLICITA SE CONSTATE DOMICILIO Y TITULARIDAD DE VEHICULO HGT 854 Y PR 6758/10 DE FECHA 05/11/10 EL QUE SE AMPLIAN LAS TAREAS INVESTIGATIVAS , PR 6978/10 EN ELQUE SE INFORMA ALLANAMIENTO DE: KIOSKO UBICADO EN CALLE LA PAZ 1341 CASA Nº 81 BARRIO AYELEN PR 7072/10 09/11/10, OFICIO QUE ORDENA INMEDIATA DETENCION PARA RECIBIRLE DECLARACION INDAGATORIA AL CIUDADANO SIXTO VELAZQUEZ. Y PR 7106/10 DEL10/11/10 DONDE EL TRIBUNAL ACTUANTE ORDENA LA LIBERTAD DE MARCELA ROMERO EN EL DIA DE LA FECHA SE RECEPCIONO OFICIO JUDICIAL Nº 1894/10 DONDE EN EL MARCO DE LA CAUSA DE MARRAS EL TRIBUNAL INTERVINIENTE ORDENA QUE DE MANERA URGENTE SE EFECTUEN AVERIGUACIONES NECESARIAS PARA DETERMINAR LA TITULARIDAD Y DEMAS DATOS DE INTERES RESPECTO DE LOS ABONADOS TELEFONICOS NUMERO: 02944- 1580 - 9124 Y 02944- 1580 - 1753.</t>
  </si>
  <si>
    <t>7098/10</t>
  </si>
  <si>
    <t>SE INFORMA QUE EL DETENIDO INTERNADO EN EL HOSPITAL ZONAL DE EZEIZA EN CUSTODIA DE PERSONAL DE ESTA UNIDAD, REALIZO EL DIA 10 DE NOVIEMBRE DE 2010 LA 4TA. DEPOSICIONES A LAS 12:50 HS, DE 04 CAPSULAS CON UN PESO DE 55 GRS.</t>
  </si>
  <si>
    <t>6639/10</t>
  </si>
  <si>
    <t>JUZGADO FEDERAL RESISTENCIA - CHACO- ORDEN ALLANAMIENTO Y SEC. ART 32 LEY 23.737</t>
  </si>
  <si>
    <t>EXPTE 141-305-10</t>
  </si>
  <si>
    <t>EN RELACION A ALLANAMIENTO REALIZADO EL DIA 10/11/2010 INFORMADO EN PU Nº 6639/10 SE INFORMA QUE EN EL DIA DE LA FECHA SE RECEPCIONA VIA FAX EN ESTA UOCN Y DC V, OFICIO JUDICIAL Nº 1676/10, DE FECHA 08 DE NOVIEMBRE DEL CORRIENTE AÑO POR DISPOSICION DE LA SRA JUEZ SUBROGANTE A CARGO DEL JUZGADO FEDERAL DE RIO GALLEGOS DRA ANA CECILIA ALVAREZ EN LOS AUTOS: JUZGADO FEDERAL RESISTENCIA-CHACO-ORDEN ALLANAMIENTO Y SEC. ART 32 DE LA LEY 23737- EXPTE 141 - 305 - 10, DE TRAMITE EN LA SECRETARIA PENAL N º 1 A LOS FINES DE SOLICITAR INFORME EN RELACION AL ESTADO DE LAS MEDIDAS LLEVADAS A CABO POR LA UNIDAD OPERACIONAL CONTROL DEL NARCOTRAFICO Y EL DELITO COMPLEJOS - RIO GALLEGOS, EN PUERTO SAN JULIAN, RESULTADO DE AQUELLAS DISPUESTAS EN AUTOS "GALEANO, ANDRES - INSPECTOR JEFE DE SEGURIDAD OPERACIONAL - POLICIA DE SEGURIDADA AEROPORTUARIA S/ PEDIDO DE APERTURA DE SACA - EXPTE 434/10, EN EL MARCO DE LAS PREVISIONES DEL ART 32 DE LA LEY 23.737", SOLICITADAS POR EL SR. JUEZ FEDERAL CON ASIENTO EN RESISTENCIA (CHACO).</t>
  </si>
  <si>
    <t>SEDE DE LA FISCALIA INTERVINIENTE</t>
  </si>
  <si>
    <t>VIAMONTE Nº 2216 - MAR DEL PLATA - PCIA. DE BS. AS.</t>
  </si>
  <si>
    <t>EN EL DIA DE LA FECHA SE RECIBE OFICIO JUDICIAL, A FIN QUE PERSONAL DE ESTA UNIDAD DEBERA CONSTITUIRSE EN LA SEDE DEL TRIBUNAL INTERVINIENTE, A LOS EFECTOS DE TOMAR CONOCIMIENTO DE LOS EXTREMOS DENUNCIADOS, PARA LA REALIZACION DE TAREAS INVESTIGATIVAS.</t>
  </si>
  <si>
    <t>CONTROL DE CARGA Y CORREO POR RAYOS X</t>
  </si>
  <si>
    <t>MIENTRAS SE REALIZABA EL CONTROL A LA CARGA Y CORREO ARRIBADOS EN EL EQUIPO DE RAYOS X, SE DETECTA MATERIAL ORGÁNICO, ACTO SEGUIDO SE MANTIENE COMUNICACIÓN CON JUZGADO FEDERAL DE RAWSON, EL CUAL ORDENA LA APERTURA DE DICHA SACA DE CORREO IDENTIFICADA CON ROTULO EXPRESO SLA0172574E555500REL CONTENIENDO EN SU INTERIOR ELEMENTOS DE LIMPIEZA, CIGARRILLOS, UN PAQUETE DE 150 GRS. DE PIMENTÓN Y UNA BOLSA CON HOJAS SIMILARES A LA DE COCA ARROJANDO LA MISMA UN PESO DE 230 GRAMOS.. ACTO SEGUIDO SE MANTIENE NUEVAMENTE COMUNICACIÓN TELEFÓNICA CON EL JUZGADO FEDERAL INFORMÁNDOLE DE LOS ELEMENTOS ENCONTRADOS EL CUAL ORDENA QUE LA ENCOMIENDA SEA CERRADA CON LOS ELEMENTOS Y ENTREGADA AL PERSONAL DE LA EMPRESA JET PAQ JUNTO A LA CORRESPONDIENTE ACTA PARA CONSTANCIA DE LO ACTUADO.</t>
  </si>
  <si>
    <t>CALLE CANGALLO 153 - PUERTA DE MADERA - AVELLANEDA - PROVINCIA DE BUENOS AIRES</t>
  </si>
  <si>
    <t>EN CUMPLIMIENTO A ORDEN DE SERVICIO NRO. 1242/10 EN EL DIA DE LA FECHA SE PROCEDIO A CUMPLIMENTAR ORDENES DE ALLANAMIENTO, SECUESTRO Y DETENCION, EMANADAS DEL JUZGADO INTERVINIENTE, EN EL DOMICILIO INDICADO.EN DICHA FINCA,SE PROCEDIO A LA DETENCION DE CARLOS ALEJANDRO BARRERA Y ALFREDO RUBEN SOSA. ASIMISMO SE PROCEDIO A DEMORAR A CUATRO PERSONAS, QUE SE ENCONTRABAN EN EL LUGAR HASTA TANTO EL JUZGADO RESOLVIO SU SITUACION JUDICIAL, PROCEDIENDOSE LUEGO DE FIRMADA EL ACTA A LIBERARLOS. EN DICHO DOMICILIO SE SECUESTRARON LOS ELEMENTOS DETALLADOS. SE DEJA CONSTANCIA QUE REFERENTE A LAS COLILLAS DE CIGARRILLOS Y A LAS BOLSAS DE NYLON CON RESTOS DE SUSTANCIA BLANCA DE CONSISTENCIA POLVO QUE FUE SECUESTRADA, NO SE PUDIERON PESAR NI EFECTUARLE REATIVO DE CAMPO, DEBIDO A LA ESCASA CANTIDAD DE LAS MISMAS. CON RELACION A LOS DETENIDOS LOS MISMOS PERMANECERAN ALOJADOS EN LOS CALABOZOS DE LA UOSP EZEIZA HASTA EL DIA DE MAÑANA A PRIMERA HORA, CUANDO SERAN TRASLADADOS A SEDE JUDICIAL.</t>
  </si>
  <si>
    <t>CANGALLO Nº 153, PUERTA DE REJA DPTO 2 - AVELLANEDA - PROVINCIA DE BUENOS AIRES</t>
  </si>
  <si>
    <t>EN CUMPLIMIENTO A ORDEN DE SERVICIO NRO. 1249/10 EN EL DIA DE LA FECHA SE PROCEDIO A CUMPLIMENTAR ORDEN DE ALLANAMIENTO, SECUESTRO Y DETENCION, EMANADA DEL JUZGADO INTERVINIENTE, EN EL DOMICILIO INDICADO, SECUESTRANDOSE LOS ELEMENTOS DETALLADOS.</t>
  </si>
  <si>
    <t>DRA. ARAMENDI IVANA</t>
  </si>
  <si>
    <t>PRESUNTA INFRACCION LEY 22421</t>
  </si>
  <si>
    <t>SIENDO LAS 15:00 HS. AL REALIZAR CONTROL DE RUTINA A EQUIPAJE DE BODEGA PERTENECIENTE AL SEÑOR GARCIA BARRIOS JUAN SEBASTIAN SE ENCUENTRA EN SU INTERIOR 04 CUATRO HUEVOS VACIOS APARENTEMENTE DE AVESTRUZ POR LO QUE SE REALIZA EN PRESENCIA DE TESTIGOS HABILES ACTA DE INFRACCION -MEDIOAMBIENTE N° 0408 QUEDANDO LOS MISMOS EN CUSTODIA DE ESTA UNIDAD OPERACIONAL, POR LO QUE SE EFECTUA COMUNICACION TELEFONICA CON EL JUZGADO DE TURNO EL CUAL ORDENA SE DERIVE EL ACTA DE INFRACCION Y LOS ELEMENTOS QUE ESTEN EN CUSTODIA A LA AUTORIDAD DE APLICACION A LO QUE SE LE DA ESTRICTO CUMPLIMIENTO</t>
  </si>
  <si>
    <t>DR. VILLANUEVA GUSTAVO</t>
  </si>
  <si>
    <t>GODOY, MARIA TERESA - CASTILLO GABRIEL ALBERTO S/ DELITO C/ LA LIBERTAD</t>
  </si>
  <si>
    <t>2818/1</t>
  </si>
  <si>
    <t>SE BRINDO COLABORACION Y SEGURIDAD A LA CIUDADANA ELISA MENCIA MALDONADO CEDULA IDENTIDAD PARAGUAYA Nº 5.652.864 QUIEN VIAJA EN COMPAÑIA DE LA SEÑORA MARIA JOSEFINA BIANCHINI PSICOLOGA DNI 29.620.885 Y EL DOCTOR CRISTIAN ENCINAS ABOGADO DNI 29.989.165 AMBOS EMPLEADOS DE LA OFICINA DE RESCATE Y ACOMPAÑAMIENTO A LAS PERSONAS DAMNIFICADAS POR EL DELITO DE TRATA DEPENDIENTE DEL MINISTERIO DE JUSTICIA, SEGURIDAD Y DERECHOS HUMANOS DE LA NACION, DURANTE SU PERMANENCIA EN LA JURISDICCION Y POSTERIOR EMBARQUE CON DESTINO FINAL EZEIZA ASIMISMO SE PUSO EN CONOCIMIENTO A LA OFICIAL SUSANA CABRERA ENCARGADA DE TURNO DE DICHO AEROPUERTO A EFECTOS DE COORDINAR CON PERSONAL DE POLICIA FEDERAL ARGENTINA LA RECEPCION DE LAS PERSONAS ANTES MENCIONADAS</t>
  </si>
  <si>
    <t>7095/10</t>
  </si>
  <si>
    <t>JUZGADO EN TODOS LOS FUEROS DE VILLA LA ANGOSTURA - NEUQUEN</t>
  </si>
  <si>
    <t>VIDELA</t>
  </si>
  <si>
    <t>JORGE ALBERTO</t>
  </si>
  <si>
    <t>DR AMAYA RAMIRO</t>
  </si>
  <si>
    <t>JUZGADO DE INTRUCCCION DE PRIMERA NOMINACION DEL DISTRITO JUDICIAL NORTE DE LA PROVINCIA DE TIERRA DEL FUEGO S/SOLICITA ALLANAMIENTO</t>
  </si>
  <si>
    <t>EXPTE N° 265/2010</t>
  </si>
  <si>
    <t>CALLE LAS FRAMBUESAS N° 59 - VILLA LA ANGOSTURA - PROVINCIA DEL NEUQUEN</t>
  </si>
  <si>
    <t>EN CUMPLIMIENTO A OFICIO JUDICIAL N° 2197/2010, PROCEDENTE DEL JUZGADO EN TODOS LOS FUEROS DE LA LOCALIDAD DE VILLA LA ANGOSTURA DE LA PROVINCIA DE NEUQUEN; PERSONAL DE ESTA URSA V Y UOCN Y DC V, EN COLABORACION CON PERSONAL DE LA POLICIA DE LA PROVINCIA DEL NEUQUEN PROCEDIO AL ALLANAMIENTO DEL DOMICILIO EMPLAZADO EN CALLE LAS FRAMBUESAS NRO 59 PB DE VILLA LA ANGOSTURA, CON LA FINALIDAD DE ESTABLECER SI LA MENOR , BAJO EL NOMBRE DE JULIETA MOYANO DNI 48.786.910 QUE MORARIA EN LA MENCIONADA VIVIENDA PRESENTARIA RASGOS FISONOMICOS SIMILARES A LOS DE LA MENOR SOFIA HERRERA DESAPARECIDA EN LA LOCALIDAD DE RIO GRANDE PROVINCIA DE TIERRA DEL FUEGO. FINALIZADO EL ALLANAMIENTO SE PROCEDIO AL SECUESTRO DE DOCUMENTACION POR PARTE DE LA POLICIA NEUQUINA REFERENTE A LA MENOR JULIETA MOYANO LA QUE SERA ELEVADA AL JUZGADO INTERVINIENTE.</t>
  </si>
  <si>
    <t>HOSPITAL INTERZONAL DE EZEIZA, BARRIO LA UNION, EZEIZA.</t>
  </si>
  <si>
    <t>SE INFORMA QUE EL DETENIDO INTERNADO EN EL NOSOCOMIO MENCIONADO, EN CUSTODIA DE PERSONAL DE ESTA UNIDAD, REALIZO EN EL DIA DE LA FECHA, SIENDO LAS 20:40 HORAS, LA 5TA. DEPOSICION DE 2 CAPSULAS CON UN PESO DE 30 GRS.</t>
  </si>
  <si>
    <t>AVERIGUACION INFRACCION A LA LEY 23737</t>
  </si>
  <si>
    <t>SE INFORMA QUE EN EL DÍA DE LA FECHA DURANTE EL CONTROL DE EQUIPAJES CON EQUIPO "RX" SCAN VAN ALL VUELO Nº 1455 DE LA EMPRESA AEROLÍNEAS ARGENTINAS, EL OPERADOR DE TURNO OF. PPAL. MARINA ESPINOSA OBSERVA EN UN EQUIPAJE, ENVASES QUE ARROJAN DUDAS SOBRE SU CONTENIDO, PROCEDIENDO A LA APERTURA DEL MISMO EN PRESENCIA DEL PROPIETARIO SR. SANTIAGO PAYO, OFICIANDO COMO TESTIGOS LOS SRS. LUIS MARIO BILLONE Y DIEGO DUVAL, DICHO EQUIPAJE CONTIENE EN SU INTERIOR VEINTIUN CAJAS CON LA INSCRIPCIÓN "OFF" REPELENTES PARA MOSQUITOS, CON 248 POTES CON UN PESO TOTAL DE 18.637 GRS. LOS CUALES CONTENÍAN UNA SUSTANCIA CREMOSA DE COLOR BLANCO EN SU INTERIOR, PROCEDIENDO A REALIZAR A TRES POTES SELECCIONADOS AL AZAR POR PARTE DE PERSONAL DE LA U.O.C.N..Y D.C. SUBINSPECTOR JUAN CARLOS SERNA Y OF. MY. ARNALDO MACHIN PRUEBAS DE CAMPO CON REACTIVOS TIPO NIK , REACTIVO PENTEST Y CON REACTIVO COCA TEST EN AEROSOL, PARA COCAINA, ARROJANDO COMO RESULTADO POSITIVO EN LOS TRES CASOS. SE INFORMA TELEFÓNICAMENTE AL DR. SANTIAGO FRENCH SECRETARIO PENAL Nº 2 DEL JUZGADO FEDERAL DE SALTA Nº 1 A CARGO DEL DR. JULIO LEONARDO BAVIO, EL CUAL ORDENA QUE EL SR. PAYO QUEDE DEMORADO POR AVERIGUACIÓN POR INFRACCIÓN A LA LEY 23.737 Y SE CONSTATE EL DOMICILIO DEL CAUSANTE EN LA CIUDAD DE TARTAGAL, LA CUAL SE SOLICITO A LA COMISARIA Nº 42 DE LA POLICIA DE LA PROVINCIA DE SALTA EN LA CIUDAD DE TARTAGAL, DONDE EL SGTO. 1º CARLOS BARRERO INFORMA A ESTA INSTANCIA QUE LA MISMA DIO POSITIVO; COMO ASI TAMBIEN EL DR. FRENCH ORDENA QUE SE REALICEN LAS AVERIGUACIONES PARA CONFIRMAR LOS DICHOS DEL CAUSANTE RESPECTO A LA CONFERENCIA QUE SE LLEVARÍA A CABO EN EL HOTEL SHERATON DE LA CIUDAD DE BUENOS AIRES CAPITAL FEDERAL, SE SECUESTRE LOS POTES DE CREMA Y SE REALICE A OTRO POTE DE LA MISMA MARCA Y CARACTERISTICA COMPRADO EN UN NEGOCIO DE LA ZONA LAS MISMAS PRUEBAS DE CAMPOS UTILIZANDO LOS MISMOS REACTIVOS, LO CUAL ARROJO RESULTADO POSITIVO, Y SE REALISE UN ACTA POR SEPARADO, A HORAS QUINCE CON TREINTA MINUTOS DEL DÍA DE LA FECHA, EL JEFE DE TURNO SE COMUNICA CON EL DR. SANTIAGO FRENCH, INFORMANDOLE QUE SE CUMPLIO CON LAS ACTUACIONES JUDICIALES REQUERIDAS, ANTE LO CUAL EL FUNCIONARIO JUDICIAL DISPONE QUE EL SR. PAYO CONTINÚE SU VIAJE A LA CIUDAD DE BUENOS AIRES Y SE SECUESTREN LOS DOSCIENTOS CUARENTA Y OCHO POTES PARA EFECTUAR EL PERITAJE CORRESPONDIENTE. SIENDO HS. 16:40 SE RETIRA EL SR. PAYO DE ESTA UNIDAD PARA CONTINUAR SU VIAJE A LA CIUDAD DE BS. AS.</t>
  </si>
  <si>
    <t>APROPIACION DE COSA PERDIDA O HALLADA</t>
  </si>
  <si>
    <t>PUESTO FIJO Nº 1</t>
  </si>
  <si>
    <t>MIENTRAS PERSONAL POLICIAL SE ENCONTRABA EFECTUANDO UN CONTROL RUTINARIO, A LOS EMPLEADOS QUE INGRESABAN Y EGRESABAN DE LA PLATAFORMA OPERATIVA, SE HACE PRESENTE UN EMPLEADO DE LA EMPRESA PERTENECER, EL CUAL SE RETIRABA DEL SECTOR RESTRINGIDO, QUIEN AL TRASPASAR EL ARCO DETECTOR DE METALES ACTIVA LA ALAMAR SONORA Y LUMÍNICA DEL MISMO. RAZON POR LA CUAL PERSONAL POLICIAL LE EFECTUA UN CONTROL PREVENTIVO POR SOBRE SUS ROPAS, DETECTANDO EN UN BUZO QUE LLEVABA SOBRE SUS HOMBROS UN DISPOSITIVO ELECTRÓNICO. A CONTINUACIÓN EL PERSONAL POLICIAL LE CONSULTA SI HABÍA DECLARADO EL MISMO ANTES DE INGRESAR A LA ZONA RESTRINGIDA O SI POSEIA ALGUNA DOCUMENTACION QUE AVALE SU PROCEDENCIA, RESPONDIENDO QUE NO, QUE LO HABIA HALLADO MOMENTOS ANTES EN EL SECTOR RESTRINGIDO. MANTENIDA COMUNICACIÓN TELEFÓNICA, EL MAGISTRADO INTERVINIENTE DISPUSO LA APREHENSIÓN DE CAUSANTE, A LA INCAUTACIÓN PREVENTIVA DE ELEMENTO ELECTRONICO Y UNA VEZ CULMINADAS TODAS LA DILIGANCIAS SE PROCEDA A LA LIBERACIÓN DEL IMPUTADO, QUIEN SIENDO LAS 17:30 HS, UNA VEZ CULMINADAS TODAS LAS DILIGENCIAS, SE RETIRO DE ESTA DEPENDENCIA POR SUS PROPIOS MEDIOS</t>
  </si>
  <si>
    <t>INFRACCION A LOS ARTS. 293 EN GRADO DE TENTATIVA Y 288 DEL CPN</t>
  </si>
  <si>
    <t>BOX DE MIGRACIONES DE SALIDA DEL PAIS</t>
  </si>
  <si>
    <t>OFICINAS DE MIGRACIONES DE LA TERMINAL A</t>
  </si>
  <si>
    <t>SIENDO LA HORA Y LA FECHA ANTES MENCIONADA PERSONAL DE MIGRACIONES REMITE A ESTA DEPENDENCIA POLICIAL A UNA PASAJERA, QUE INTENTABA EGRESAR DEL TERRITORIO NACIONAL, LA CUAL EXHIBIÓ ANTE EL PERSONAL DEL CITADO ORGANISMO UN PASAPORTE DE ORIGEN COLOMBIANO, QUE SEGÚN EL PERSONAL DE MIGRACIONES POSEÍA EN LAS PAGINAS 10 Y 11 DE DICHO PASAPORTE LOS SELLOS DE INGRESO Y EGRESO MIGRATORIOS APÓCRIFOS. EN ESTE CONTEXTO SE CONVOCA DOS TESTIGOS Y SE DA INTERVENCIÓN AL JUZGADO INTERVINIENTE, INDICANDO EL MISMO, SE PROCEDA A LA DETENCIÓN EN CALIDAD DE INCOMUNICADA DE LA PASAJERA, SE PROCEDA AL SECUESTRO DEL DOCUMENTO EN CUESTION Y SE TRASLADE A LA DETENIDA A LA UNIDAD 28 DEL SERVICIO PENITENCIARIO FEDERAL. SIENDO LAS 2200 HORAS SE PROCEDIO AL TRASLADADO DE LA DETENIDA A LA UNIDAD 28 S.P.F. SIN NOVEDAD.</t>
  </si>
  <si>
    <t>LA 756</t>
  </si>
  <si>
    <t>SOBRE OFICINAS DE AMERICAN AIRLINES</t>
  </si>
  <si>
    <t>CONFITERIA UBICADA EN EL PRIMER PISO</t>
  </si>
  <si>
    <t>EN EL DÍA DE LA FECHA SIENDO APROXIMADAMENTE LAS VEINTIUNA HORAS QUINCE MINUTOS EL DENUNCIANTE SE ENCONTRABA SENTADO EN UNA CONFITERIA UBICADA EN EL PRIMER PISO DE LA TERMINAL A JUNTO A SU EQUIPAJE, ENTRE LOS QUE SE ENCONTRABA UNA MOCHILA DE TAMAÑO MEDIANO DE COLOR GRIS EN CUYO INTERIOR TENIA UNA COMPUTADORA PORTATIL, PAPELES VARIOS Y REVISTAS. AL MOMENTO DE RETIRARSE DEL LUGAR SE PERCATA DEL FALTANTE DE LA MISMA ENCONTRANDO EN SU LUGAR OTRA DE COLOR NEGRO DE LA CUAL DESCONOCE SU ORIGEN. SEGUIDAMENTE SE DIRIGE A ESTE TURNO DE GUARDIA A FIN DE RADICAR LA DENUNCIA.-</t>
  </si>
  <si>
    <t>SE PROCEDE A LA RETENCION DE TRES SACAS COLECTORAS DEL CORREO OFICIAL, SEGUN CONSTA EN ACTA DE RETENCION DE CARGA Nº 0469/10, QUE ORIGINA LA PREVENCION SUMARIA Nº 110/10, LA PRIMERA SACA IDENTIFICADA CON MARBETE SLA0171495E555900RGA, PRECINTO Nº E239780, CON UN PESO DECLARADO DE 17,800 KGS. CON DESTINO A LA CIUDAD DE RIO GRANDE, CONTENDRIA 5 PIEZAS POSTALES, LA SEGUNDA SACA IDENTIFICADA CON MARBETE SLA0216522E555600CRD, PRECINTO Nº E055618 CON UN PESO DECLARADO DE 18,300 KGS. CON DESTINO A LA CIUDAD DE COMODORO RIVADAVIA, CONTENDRIA 6 PIEZAS POSTALES Y LA TERCERA SACA IDENTIFICADA CON MARBETE SLA0216980E555700RGL, PRECINTO Nº E248660, CON UN PESO DECLARADO DE 28,100 KGS., CON DESTINO A LA CIUDAD DE RIO GALLEGOS, CONTENDRIA 6 PIEZAS POSTALES, LAS MISMAS ESTAN AMPARADAS EN GUIA DE CARGA Nº 9308953-3, DESPACHADAS A TRAVES DE LA EMPRESA DE CARGA AEREAS JET PAQ. LA RETENCION SE REALIZA ANTE LA PRESUNCION DE QUE PUDIERAN CONTENER ALGUN ELEMENTO EN INFRACCION A LA LEY 23.737 Y/O 22.415, QUEDANDO LAS MISMAS CERRADAS Y PRECINTADAS EN GUARDA EN ESTA UOSP. SEGUN LO COORDINADO CON EL DR. SANTIAGO FRENCH, A CARGO DE LA SECRETARIA PENAL Nº 2 DEL JUZGADO FEDERAL DE SALTA Nº 1 A CARGO DEL DR. JULIO LEONARDO BAVIO. LA APERTURA SE REALIZARA EN PRESENCIA DEL PERSONAL DEL CORREO OFICIAL.</t>
  </si>
  <si>
    <t>JUZGADO NACIONAL EN LO CRIMINAL DE INSTRUCCION N° 22.</t>
  </si>
  <si>
    <t>RONGO</t>
  </si>
  <si>
    <t>GUILLERMO RICARDO</t>
  </si>
  <si>
    <t>DR. CAVANILLAS LOPEZ</t>
  </si>
  <si>
    <t>MALATRASI, SUSANA S/DEFRAUDACION PUBLICA</t>
  </si>
  <si>
    <t>BOX DE MIGRACIONES DE INGRESO AL PAIS DE LA TERMINAL A</t>
  </si>
  <si>
    <t>SIENDO LA FECHA Y LA HORA ANTES MENCIONADA SE RECEPCIONA EN EL TURNO POLICIAL POR PARTE DE MIGRACIONES A LA CAUSANTE, LA CUAL INTENTABA INGRESAR AL TERRITORIO NACIONAL Y REGISTRA UNA ORDEN DE CAPTURA. A TAL EVENTO SE CONVOCA DOS TESTIGOS Y SE EFECTÚA COMUNICACION TELEFONICA CON EL JUZGADO SOLICITANTE DE LA CAPTURA, EL CUAL DISPONE QUE SE PROCEDA A LA DETENCION DE LA CAUSANTE, SE LIBREN ACTUACIONES DE RIGOR Y QUE LA MISMA SEA TRASLADA A SEDE JUDICIAL A PRIMERA HORA EL DIA 11/11/10, SE DEJA CONSTANCIA QUE POR ORDEN DEL JUZGADO SE REALIZA ACTA DE ENTREGA AL HIJO DE LA CAUSANTE LA TOTALIDAD DE LOS ELEMENTOS PERSONALES Y DE VALOR DE LA IMPUTADA.</t>
  </si>
  <si>
    <t>SIENDO LA FECHA Y HORA ANTES MENCIONADA REALIZANDO UN CONTROL VEHICULAR PREVENTIVO,EL OFICIAL AYUDANTE DARIO MAUAD SECUNDADO POR EL OFICIAL AYUDANTE JUAN PABLO GUZZO PROCEDEN A CONTROLAR UN VEHICULO CON UNA PERSONA DE SEXO MASCULINO EN SU INTERIOR, QUIEN MANIFIESTA QUE SE ENCONTRABA EFECTUANDO SERVICIO DE REMIS. QUE SE LE SOLICITAN LAS HABILITACIONES CORRESPONDIENTES CARECIENDO DE LAS MISMAS POR LO QUE SE PROCEDE A IDENTIFICARLO Y CONDUCIRLO AL SERVICIO DE SANIDAD DE ESTE MEDIO Y A LA OFICINA DE CONTRAVENCIONES Y FALTAS PARA REALIZAR LAS ACTUACIOENS CORRESPONDIENTES. EN RELACION AL MEMORANDO N° 699/10 PRODUCIDO POR EL CEAC - DEPARTAMENTO DE INTELIGENCIA CRIMINAL AEROPORTUARIA, SE DEJA CONSTANCIA QUE LOS DATOS OBTENIDOS SE DETALLAN EN LA INFORMACION DEL CAUSANTE.-</t>
  </si>
  <si>
    <t>ISLA DE TAXI DE LA TERMINAL A</t>
  </si>
  <si>
    <t>EN MOMENTOS EN QUE EL OFICIAL PONCE SE DESEMPEÑABA COMO OPERADOR DEL C.O.C OBSERVA POR UNA DE LAS CAMARAS DE SEGURIDAD A UNA PERSONA DE SEXO MASCULINO EJERCIENDO LA ACTIVIDAD DE MALETERO, DANDO AVISO VIA NEXTEL AL OFICIAL ZALAZAR OBSERVANDO LA FALTA ANTES MENCIONADA PROCEDIENDO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</si>
  <si>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BRINKS ARGENTINA SA</t>
  </si>
  <si>
    <t>EN CUMPLIMIENTE DE ORDEN DE SERVICIO Nº 101/10 SIENDO LAS 03:30 HS DESPEGA VUELO LAN ARG. Nº 4429 EN CUYAS BODEGAS 11, 12, 13 SE CARGAN UN TOTAL DE 100 BULTOS CON UN PESO DE 2000 KG DE METAL MTD, PERTENECIENTE A LA EMPRESA MINERA SANTA CRUZ DESTINO FINAL EZEIZA.-</t>
  </si>
  <si>
    <t>Florencia Viñuales</t>
  </si>
  <si>
    <t>S/PTA. ESTAFA</t>
  </si>
  <si>
    <t>3152/08</t>
  </si>
  <si>
    <t>SIENDO LAS 09:45 HS AL MOMENTO DEL PREEMBARQUE DEL VUELO DE LADE SE NOTIFICO A LA CIUDADANA ECHEVERRIA ANA ROSA - D.N.I N° 25.113.733, SOBRE QUIEN RECAE UN PEDIDO DE PEDIDO PARADERO CON COMPARENDO SEGUN SISTEMA DE "RED LINCE" REGISTRO Nº 273739. QUE EN EL MARCO DE LOS AUTOS DE REFEENCIA LA CIUDADANA FIJO DOMICILIO REAL EN CALLE JUAN PABLO II DE LA CIUDAD DEL CALAFATE PROVINCIA DE SANTA CRUZ Y SE LE NOTIFICO QUE DEBERA COMPARECER ANTE EL JUZGADO INTERVINIENTE A LA BREVEDAD</t>
  </si>
  <si>
    <t>GUERSCOVICH</t>
  </si>
  <si>
    <t>SIENDO LA HORA MENCIONADA DEL DIA 10NOV2010, LA OFICIAL AYUDANTE SANDRA OBREGON, EN CALIDAD DE JEFE DE TURNO, RECIBE POR PARTE DEL OFICIAL JEFE MARIANO STABILE VILLANUSTRE, LA CUSTODIA DE LOS DETENIDOS BARRERA CARLOS ALEJANDRO, DNI 22.279.185 Y EL SEÑOR SOSA ALFREDO RUBEN, DNI 16.580.731, EN CALIDAD DE DETENIDOS INCOMUNICADOS BAJO LA CARATULA NN S/TENTATIVA DE CONTRABANDO DE ESTUPEFACIENTES, QUIENES SON ALOJADOS EN ESTA UNIDAD. EL DIA DE LA FECHA SIENDO LAS 07:00 HORAS, LA SUBINSPECTOR SILVIA CASTILLO, JEFE DE TURNO DE ESTA UOSP, PROCEDE A REALIZAR LA ENTREGA DE LA CUSTODIA DE LOS DETENIDOS ANTES MENCIONADOS AL SUBINSPECTOR NESTOR CHALE, PERTENECIENTE A LA UNIDAD OPERACIONAL DE DELITOS COMPLEJOS. RETIRANDOSE DE ESTA JURISDICCION SIN NOVEDAD.</t>
  </si>
  <si>
    <t>INFRACCION LEY DE PROTECCIÓN DEL PATRIMONIO CULTURAL DE LA PROVINCIA DE SANTA CRUZ,</t>
  </si>
  <si>
    <t>SE CONFECCIONA EL PRESENTE A LOS EFECTOS DE INFORMAR QUE EN CIRCUNSTANCIA DE REALIZAR EL CONTROL PREVENTIVO DEL VUELO AU 2851 EL OF. AYUDANTE RICARDO MARTIN A CARGO DEL CONTROL CON EL EQUIPO DE RX SCAN VAN, DETECTA EN UN EQUIPAJE DESPACHADO UNA PIEZA APARENTEMENTE FOSIL- PARTE DE UN ARBOL PETRIFICADO- SIN QUE LA PERSONA QUE LO TRANSPORTA TENGA LA CORRESPONDIENTE AUTORIZACION, POR LO QUE SE PROCEDE AL SECUESTRO DE LA MISMA EN LOS TERMINOS DE LA LEY PROVINCIAL NRO. 3137/10 DE PROTECCION DEL PATRIMONIO CULTURAL Y RESTOS ARQUEOLOGICOS, CABE ACLARAR QUE LA JUSTICIA ORDINARIA O FEDERAL EN ESTA PROVINCIA NO TOMA INTERVENCIÓN EN ESTOS CASOS DE INFRACCION, DANDOSE LA CORRESPONDIENTE NOTIFICACIÓN Y REMISIÓN DE LAS PIEZAS INCAUTADAS A LA SECRETARIA DE CULTURA DE LA PROVINCIA DE SANTA CRUZ.</t>
  </si>
  <si>
    <t>AU2850</t>
  </si>
  <si>
    <t>7130/10</t>
  </si>
  <si>
    <t>SE PROCEDE A LA APERTURA DE TRES SACAS COLECTORAS DEL CORREO OFICIAL, SEGUN CONSTA EN ACTA DE RETENCION DE CARGA Nº 0469/10, QUE ORIGINA LA PREVENCION SUMARIA Nº 110/10, LA PRIMERA SACA IDENTIFICADA CON MARBETE SLA0171495E555900RGA, PRECINTO Nº E239780, CONTIENE CUATRO PIEZAS POSTALES: LA 1ª IDENTIFICADA COMO EP768545AR,RTTE. SR. CHOQUE DANIEL,DOMICILIO LUIS NENNET Nº 753,C.P.4600 S.S. DE JUJUY,DESTINATARIO SR.CHOQUE FRANCISCO, DOMICILIO MARIA AUXILIADORA Nº 465,Bº EDIFICIO 23 DPTO.1,RIO GRANDE C.P. 9420,TIERRA DEL FUEGO, QUEDA RETENIDA, Y LAS EP065010347AR, EP716771156AR, EP669755736AR SON ENTREGADAS AL SR. ARIAS PARA SU REDESPACHO, LA 2ª IDENTIFICADA CON MARBETE SLA0216522E555600CRD, PRECINTO Nº E055618 CON TIENE SIETE PIEZAS POSTALES: LA 1ª IDENTIFICADA COMO EP065010421AR, RTTE. SR. SIMON CORONEL,DOMICILIO CALLE SANTIBAÑEZ Nº 826,PALPALA JUJUY,C.P. 4612 Y DEST.SRA. ELENA UVSAGAATI, DOMICILIO AVDA. LOS MINEROS Nº 1434, RIO TURBIO,C.P. 9407,STA. CRUZ, QUEDA RETENIDA, LAS EP065010395AR, EP655042046AR,EP668224572AR, EP669755679AR, EP669755696AR, EP711448289AR, SON ENTREGADAS AL SR. ARIAS PARA SU REDESPACHO. LA 3ª SACA IDENTIFICADA CON MARBETE SLA0216980E555700RGL, PRECINTO Nº E248660, CONTIENE TRES PIEZAS POSTALES: LA 1ª IDENTIFICADA COMO EP705772235AR, RTTE. SR. SIPRIANA SOITO, DOMICILIO CALLE 61 MZA. 28 E 4, Bª CAMPO VERDE S.S.DE JUJUY,C.P. 4600, DESTINATARIO SRA. NORALLI TOLABA, DOMICILIO CALLE LILA ESQ.SAUCE, Bº KOLTUN, CALETA OLIVIA STA. CRUZ C.P. 9011, QUEDA RETENIDA Y LAS EP711448258AR, EP724945741AR, SON ENTREGADAS AL SR. ARIAS PARA SU REDESPACHO . LA MISMA SE REALIZA ANTE LA PRESUNCION DE QUE PUDIERAN CONTENER ALGUN ELEMENTO EN INFRACCION A LA LEY 23.737 Y/O 22.415, QUEDANDO LAS MISMAS CERRADAS Y EN GUARDA EN ESTA UOSP. SE COMUNICO TELEFONICAMENTE AL JUZGADO INTERVINIENTE. Y LA APERTURA SE REALIZARA CON LA AUTORIZACION DEL MAGISTRADO ACTUANTE.</t>
  </si>
  <si>
    <t>VIDAL VALENZUELA, MARCOS ESTEBAN Y OTROS S/ LEY DE ESTUPEFACIENTES</t>
  </si>
  <si>
    <t>AMPLIANDO PR Nº 3485 DE FECHA 08/06/2010 QUE SE INFORMABA EL INICIO DE LA INVESTIGACION DE MARRAS, PR Nº 4773/10 DE FECHA 06/08/10 EN EL CUAL SE HABIA SOLICITADO INTERVENCION TELEFONICA DEL ABONADO 02944-427395 POR EL PLAZO DETREINTA (30) DIAS, PR Nº 6456/10 EN EL CUAL CAMBIA LA CARATULA DE LA CAUSA DE MARRAS Y QUE ORDENA LA INMEDIATA DETENCION DE RAUL EZEQUIEL CID, ALIAS JABALI, PR Nº 6606 /10 DE 21/10/10 DONDE SE SOLICITA SE CONSTATE DOMICILIO Y TITULARIDAD DE VEHICULO HGT 854 Y PR 6758/10 DE FECHA 05/11/10 EL QUE SE AMPLIAN LAS TAREAS INVESTIGATIVAS , PR 6978/10 EN ELQUE SE INFORMA ALLANAMIENTO DE: KIOSKO UBICADO EN CALLE LA PAZ 1341 CASA Nº 81 BARRIO AYELEN PR 7072/10 09/11/10, OFICIO QUE ORDENA INMEDIATA DETENCION PARA RECIBIRLE DECLARACION INDAGATORIA AL CIUDADANO SIXTO VELAZQUEZ. PR 7106/10 DEL10/11/10 DONDE EL TRIBUNAL ACTUANTE ORDENA LA LIBERTAD DE MARCELA ROMERO PR Nº 7107/10 DONDE SE SOLICITA TITULARIDAD DE LOS ABONADOS 02944- 1580 - 9124 Y 02944- 1580 - 1753. EN EL DIA DE HOY SE RECEPCIONO OFICIO JUDICIAL NUMERO 1912/10, DE FECHA 11 DE NOV DE 2010, DONDE EL MAGISTRADO INTERVINIENTE HACE SABER QUE DISPONE EN EL DIA DE LA FECHA LA LIBERTAD DEL NELSON ALEJO VELAZQUEZ, LA QUE DEBERA MATERIALIZAR SIEMPRE QUE EL MENCIONADO NO REGISTRE ORDEN RESTRICTIVA DE LIBERTAD EMANADA POR OTRO TRIBUNAL</t>
  </si>
  <si>
    <t>7131/10</t>
  </si>
  <si>
    <t>QUE SIENDO LAS OCHO HORAS DEL DÍA ONCE DE NOVIEMBRE DEL CORRIENTE AÑO, SALE DE ESTA GUARDIA DE PREVENCIÓN UNA COMISION POLICIAL TRASLADANDO A LA DETENIDA EN AUTOS AL ASIENTO DEL JUZGADO INTERVINIENTE.</t>
  </si>
  <si>
    <t>MINISTERIO PUBLICO FISCAL S/SOLICITA EN CAUSA NRO. 05/07 - FLORIDIA OSVALDO VICENTE.</t>
  </si>
  <si>
    <t>05/07 - INC. 255</t>
  </si>
  <si>
    <t>CALLE JAMAICA NRO. 420 - CIUDAD DE VIEDMA - PCIA. DE RIO NEGRO</t>
  </si>
  <si>
    <t>EN EL DIA DE LA FECHA SIENDO LAS 11:30 HORAS, PERSONAL DE ESTA UNIDAD OPERACIONAL DE CONTROL DEL NARCOTRAFICO Y EL DELITO COMPLEJO CENTRAL, JUNTO CON EL JEFE DE LA U.O.S.P. VIEDMA Y PERSONAL A SU CARGO, SE PROCEDIO A LA DETENCION DEL CIUDADANO OSVALDO VICENTE FLORIDIA, EN SU DOMICILIO PARTICULAR DE LA CALLE JAMAICA AL 420 DE LA CIUDAD DE VIEDMA - PCIA. DE RIO NEGRO, DANDO CUMPLIMIENTO A LO ORDENADO POR EL JUZGADO EXHORTADO FEDERAL DE PRIMERA INSTANCIA DE VIEDMA - RIO NEGRO. POSTERIORMENTE SIENDO LAS 13:40 HORAS, SE TRASLADA AL IMPUTADO HASTA EL HOSPITAL ARTIMIDES ZATTI DE ESTA CIUDAD, A EFECTOS DE REALIZAR LA CORRESPONDIENTE REVISACION MEDICA. SIGUIENDO CON LO ORDENADO POR EL JUZGADO EXHORTADO, A LAS 14:35 HORAS, EL CAUSANTE ES LLEVADO A LA UNIDAD OPERACIONAL VIEDMA, PARA LA EXTRACCION DE JUEGOS DACTILOSCIPICOS Y MUESTRAS FOTOGRAFICAS. SEGUIDAMENTE SE TRASLADA AL IMPUTADO HASTA LA CEDE JUDICIAL DE VIEDMA, DONDE QUEDARA A DISPOSICION DEL MAGRISTRADO EXHORTADO, QUIEN ORDENARA A ESTA COMISION LA DERIVACION DEL IMPUTADO A LA UNIDAD PENAL NRO. 4 DEL SERVICIO PENITENCIARIO BONAERENSE DE LA CIUDAD DE BAHIA BLANCA, DONDE QUEDARA ALOJADO EN CALIDAD DE DETENIDO COMUNICADO. A DISPOSICION DEL JUZGADO EXHORTANTE.</t>
  </si>
  <si>
    <t>SE AMPLIA PARTE N°6380. FECHA 11-NOV-10. TAREAS INVESTIGATIVAS SEGUN O.SN. N° 013/10. DE LAS ESCUCHAS TELEFÓNICAS SURGEN LAS SIGUIENTES NOVEDADES: AL INVESTIGADO LE RETUVIERON LA CAMIONETA FORD EXPLORER DOMINIO EXTRANJERO, EN ADUANA DE POCITOS, A RAIZ DE ELLO SE REQUIRIÓ A LA ADUANA UN INFORME AL RESPECTO, TODAVÍA NO FUE RESPONDIDO. POR OTRA PARTE EL ENCARTADO SE COMUNICA HABITUALMENTE CON UNA PERSONA DE SEXO MASCULINO, DE LA EMPRESA LA BANDA S.A. LA CUAL SE DEDICA A LA VENTA Y EXPORTACION DE VINOS, APARENTEMENTE TENDRÍAN ALGUNA RELACIÓN LABORAL, HASTA EL MOMENTO NO SE PUDO ESTABLECER CUAL. A SU VEZ INFORMO QUE DE OTRA DE LAS LÍNEAS INTERVENIDAS SURGEN CONFERENCIAS, ENTRE EL ENCARTADO Y UN MASCULINO, EN EL IDIOMA ITALIANO. POR ULTIMO INFORMO QUE ESTARÍA POR VIAJAR A BS.AS. SE AMPLIARÁ CUANDO SURJAN NOVEDADES.</t>
  </si>
  <si>
    <t>ARAMENDI IVANA</t>
  </si>
  <si>
    <t>CABECERA 36</t>
  </si>
  <si>
    <t>SECTOR PISTA</t>
  </si>
  <si>
    <t>SIENDO LAS 10:00 HORAS SE PRESENTA EN LA OFICINA DE GUARDIA DE ESTA UNIDAD OPERACIONAL EL SR. CERUTTI MIGUEL ANGEL DE AEROPUERTOS ARGENTINA 2000 PARA REALIZAR LA DENUNCIA SOBRE EL FALTANTE DE UN REFLECTOR DE BARRA DE ALA ELEVADA DEL UMBRAL DE CABECERA 36. SE REALIZA COMUNICACION CON LA AUTORIDAD JUDICIAL DE TURNO QUIEN ORDENA REALIZAR UNA INSPECCION OCULAR EN EL LUGAR DEL HECHO. SE INICIEN LAS ACTUACIONES DE RIGOR POR ROBO Y QUE SE DEJE DEBIDA CONSTANCIA DE LA RECORRIDA PERIMETRAL POR EL LUGAR DE HECHO Y POR ULTIMO SE ELEVEN LAS ACTUACIONES DE RIGOR A LO QUE SE DA ESTRICTO CUMPLIMIENTO.</t>
  </si>
  <si>
    <t>JUZGADO NACIONAL EN LO CORRECCIONAL Nº 5</t>
  </si>
  <si>
    <t>SECRETARIA Nº 75</t>
  </si>
  <si>
    <t>CLAUDIA LETICIA CAVALLERI</t>
  </si>
  <si>
    <t>S/USURPACION ART. 181 DEL C.P.N.</t>
  </si>
  <si>
    <t>EL DIA Y LA HORA ANTES MENCIONADA SE RECEPCIONA EN LA GUARDIA POLICIAL POR PARTE DE LA DIRECCIÓN NACIONAL DE MIGRACIONES AL CAUSANTE QUIEN REGISTRABA EN EL SISTEMA INFORMÁTICO DE DICHO ORGANISMO, ORDEN DE CAPTURA VIGENTE SOLICITADA POR EL JUZGADO INTERVINIENTE. MANTENIDA COMUNICACIÓN TELEFÓNICA CON EL JUZGADO SOLICITANTE DE LA CAPTURA, DISPUESO QUE SE NOTIFIQUE AL CAUSANTE QUE DEBERÁ COMPARECER A SEDE JUDICIAL DENTRO DE LAS CUARENTA Y OCHO HORAS DE ARRIBADO AL PAÍS, A LOS EFECTOS DE REGULARIZAR SU SITUACIÓN JUDICIAL, QUE SE ENCUENTRA AFECTADO A ACTUACIONES, AUTORIZANDO LA JUDICATURA ACTUANTE AL CAUSANTE A REALIZAR EL VIAJE EN EL DIA DE LA FECHA, POR LO QUE SE RETIRA DE LA JURIDICCION SIN NOVEDAD.</t>
  </si>
  <si>
    <t>LA 4640</t>
  </si>
  <si>
    <t>S/PTA. COMISION DELITO DE ACCION PUBLICA</t>
  </si>
  <si>
    <t>MAQUINA DE RAYOS X DE ADUANA</t>
  </si>
  <si>
    <t>ZONA DE CONTROL ADUANERO-ARRIBOS</t>
  </si>
  <si>
    <t>A RAIZ DE LA DENUNCIA ANONIMA RECIBIDA VIA TELEFONICA EL DIA 10 DE NOVIEMBRE A LAS 1645 HS EN LA SEDE DE ESTA UOCNYDC I , REFERENTE A LA LLEGADA DEL PASAJERO EN CUESTION, EN EL VUELO MENCIONADO, EL CUAL TENDRIA UN ARREGLO CON MIGRACIONES PARA SALIR DEL PAIS Y NO QUEDAR REGISTRADO.POR TAL MOTIVO Y SEGUN LO ORDENADO POR EL JUZGADO FEDERAL Nº 2 DE LOMAS DE ZAMORA SECRETARIA Nº 4,EL DIA 11 DE NOVIEMBRE SE REALIZO EN HORAS 1315 HS UN CONTROL EN CONJUNTO CON LA DIRECCION NACIONAL DE MIGRACIONES Y LA DIRECCION NACIONAL DE ADUANAS, RESULTANDO QUE EL PASAJERO LLEVABA OCULTOS EN SU PERSONA ALGUNOS OBJETOS ELECTRONICOS, COMO ASI TAMBIEN OTROS ENTRE SUS PERTENENCIAS, RAZON POR LA CUAL EL MAGISTRADO ACTUANTE ORDENA LA REQUISA PERSONAL, LA CUAL ARROJA RESULTADO NEGATIVO EN CUANTO A ELEMENTOS PROHIBIDOS. CON RELACION A LOS TRAMITES MIGRATORIOS LOS MISMOS ESTABAN EN ORDEN. POR TAL MOTIVO EL JUZGADO ACTUANTE ORDENA SE DE INTERVENCION AL JUZGADO NACIONAL EN LO PENAL ECONOMICO EN TURNO, RECAYENDO EN LA SECRETARIA 12 DEL DR. GUILLERMO BRUGO,DEL JUZGADO 6 DEL DR. AGUINSKY, QUIEN, ENTERADO DE LOS HECHOS, ORDENA SE DE INTERVENCION A LA DIRECCION NACIONAL DE ADUANAS, LA CUAL LABRA ACTUACIONES POR PRESUNTA INFRACCION AL ART.947 DEL CODIGO ADUANERO, YA QUE SU ACCIONAR NO CONFIGURA UN DELITO PENAL.</t>
  </si>
  <si>
    <t>FISCALIA PENAL JUVENIL DE SAN ISIDRO</t>
  </si>
  <si>
    <t>ZARATE</t>
  </si>
  <si>
    <t>ANDRES</t>
  </si>
  <si>
    <t>ROBO CALIFICADO POR USO DE ARMA DE UTILERIA</t>
  </si>
  <si>
    <t>A CUATRO CUADRAS DEL AEROPUERTO</t>
  </si>
  <si>
    <t>RUTA 202 DIRECCION ACCESO TIGRE</t>
  </si>
  <si>
    <t>SE APERSONA EN ESTA DEPENDENCIA POLICIAL EL DENUNCIANTE INFORMANDO QUE FUE ABORDADO ANTES DE INGRESAR AL AEROPUERTO POR UN MASCULINO NN QUIEN A PUNTA DE PISTOLA LE SUSTRAE DINERO Y EL CELULAR, EL JEFE DE TURNO, CON DESCRIPCION PRESISA POR PARTE DEL DAMNIFICADO, INTERCEPTA AL SOSPECHOSO A POCAS CUADRAS DEL AEROPUERTO. POR LA PREMURA DEL CASO Y LA TEMPRANA HORA SE POCEDE A PALPAR DE ARMAS AL INDIVIDUO EN PRESENCIA DEL DENUNCIANTE, ENCONTRANDOSELE UNA REPLICA DE PISTOLA Y UN CELULAR, ESTE ULTIMO RECONOCIDO COMO PROPIO POR EL DAMNIFICADO. SE DIO INTERVENCION A LA FISCALIA PENAL JUVENIL DE SAN ISIDRO A CARGO DEL DOCTOR ANDRES ZARATE, QUIEN ORDENA LA DETENCION DEL INDIVIDUO, REQUISA EN PRESENCIA DE TESTIGOS, SECUESTRO DE ELEMENTOS, ENTREGA DE ELEMNETOS RECONOCIDOS POR EL DAMANIFICADO. SIENDO LAS 14.30 HORAS EL DETENIDO ES TRASLADADO AL CENTRO DE RECEPCION MALVINAS ARGENTINAS DE PABLO NOGUEZ, CALLE PASCO 1748, PROVINCIA DE BUENOS AIRES, EN DONDE EL SEÑOR EZEQUIEL R. SOZZI, DIRECTOR DEL CENTRO, MANIFIESTA LA SATURACION DE VACANTES DE ESA DEPENDENCIA, COMUNICANDOSE ÉL MISMO CON LA FISCALIA INTERVINIENTE, EL CUAL DISPONE EL TRASLADO DEL DETENIDO AL CENTRO DE RECEPCION DE LOMAS DE ZAMORA, UBICADO EN CALLE LARROQUE Y 12 DE OCTUBRE QUEDANDO ALOJADO EN ESTE ULTIMO CENTRO.</t>
  </si>
  <si>
    <t>7116/10</t>
  </si>
  <si>
    <t>AV. DE LOS INMIGRANTES 1950, 2º PISO</t>
  </si>
  <si>
    <t>EN CUMPLIMIENTO A ORDEN DE SERVICIO NRO. 1253/10 EN EL DIA DE LA FECHA SE PROCEDE A TRASLADAR A LOS DETENIDOS A SEDE JUDICIAL, LOS CUALES LUEGO DE PRESTAR DECLARACION INDAGATORIA FUERON TRASLADADOS A LA UNIDAD 29 PARA SU ALOJAMIENTO. SIN NOVEDAD.</t>
  </si>
  <si>
    <t>SIENDO LA FECHA Y HORA ANTES MENCIONADA, EN MOMENTOS EN QUE LOS OFICIALES GONZALEZ Y CARRANZA SE ENCONTRABAN EN UNA RECORRIDA POR EL SECTOR MENCIONADO CON ANTERIORIDAD, OBSERVAN Y SORPRENDEN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</si>
  <si>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INF. ART. 292, 293 Y 296 DEL C.P.N.</t>
  </si>
  <si>
    <t>BOX DE MIGRACIONES DE SALIDAS DEL PAIS</t>
  </si>
  <si>
    <t>SIENDO LA FECHA Y LA HORA ANTES MENCIONADA SE RECEPCIONA EN LA GUARDIA DE PREVENCION POR PARTE DE LA DIRECCIÓN NACIONAL DE MIGRACIONES AL CAUSANTE QUIEN AL INTENTAR EGRESAR DEL PAÍS CON PASAPORTE ARGENTINO, EL CUAL PRESENTA LOS SELLOS MIGRATORIOS DE LA REPUBLICA ARGENTINA APÓCRIFOS Y POSIBLE SUSTITUCIÓN DE LA PÁGINA DE DATOS FILIATORIOS, SEGÚN LO INFORMADO POR DICHO ORGANISMO.UNA VEZ EN EL ASIENTO DE ESTA DEPENDENCIA EL CAUSANTE MANIFIESTA SER Y LLAMARSE HECTOR MANUEL MENA MIRANDA. INFORMADO EL JUZGADO FEDERAL EN TURNO, DISPUSO LA DETENCIÓN DEL CAUSANTE EN CARACTER DE INCOMUNICADO Y SU TRASLADO A LA UNIDAD 28 DEL SERVICIO PENITENCIARIO FEDERAL, Y SE ELEVEN LAS ACTUACIONES A SEDE JUDICIAL EL DÍA DOCE DEL CORRIENTE MES Y AÑO.</t>
  </si>
  <si>
    <t>MOSTRADORES DE CHECK IN DE AEROLINEAS ARGENTINAS</t>
  </si>
  <si>
    <t>MOMENTOS EN QUE EL DENUNCIANTE SE DISPONIA A REALIZAR EL CHECK-IN ES ADVERTIDO POR SU COMPAÑERA Y UN PERSONAL DE VIGILANCIA QUE UNA PERSONA DE SEXO FEMENINO SE HABIA COLOCADO DETRAS SUYO E INTENTABA SACARLE LA BILLETERA DEL BOLSILLO IZQUIERDO TRASERO DEL PANTALON. SEGUIDAMENTE SE APROXIMA PERSONAL POLICIAL Y LO INVITA A RADICAR LA DENUNCIA. REALIZADAS LAS COMUNICACONES PERTINENTES CON EL JUZGADO INTERVINIENTE, SE ORDENA LA APREHENSIÓN DE LA IMPUTADA Y SU TRASLADO A SEDE JUDICIAL EL DIA 12-111-10 A PRIMERA HORA. NO SE LABRO ACTA DE EFECTOS DE VALOR</t>
  </si>
  <si>
    <t>MATTA M.P. S/INF 24241</t>
  </si>
  <si>
    <t>PUNTO DE INSPECCION PREEMBARQUE DE CABOTAJE</t>
  </si>
  <si>
    <t>DURANTE EL CONTROL DE ANTECEDENTES DE MEDIDAS CAUTELARES MEDIANTE SISTEMA RED LINCE SOBRE LOS PASAJEROS DEL VUELO DE REFERENCIA Y BAJO EL NUMERO 210645 EL PERSONAL DESTACADO EN EL PUNTO DE INSPECCION DETECTA EL PEDIDO DE COMPARENDO DEL CAUSANTE, PROCEDIENDOSE A COMUNICARLE AL PASAJERO SOBRE LA MEDIDA NO PERMITIENDO SU EMBARQUE. SEGUIDAMENTE SE ESTABLECE COMUNICACION TELEFONICA CON EL SECRETARIO DEL JUZGADO ACTUANTE QUIEN ESTABLECE QUE SE REALICE IDENTIFICACION DE LA PERSONA, LO CUAL SE REALIZA MEDIANTE FICHA DACTILOSCOPICA Y TOMAS FOTOGRAFICAS, QUE EL CAUSANTE ESTABLEZCA DOMICILIO ACTUAL Y SE ELEVEN A ESA MAGISTRATURA LAS ACTUACIONES CORRESPONDIENTES. TERMINADA EL ACTA DE PROCEDIMIENTO Y LAS MEDIDAS ORDENADAS EL CAUSANTE PROCEDE A RETIRARSE DE LA U.O.S.P.</t>
  </si>
  <si>
    <t>EN EL DÍA DE LA FECHA SE PRESENTA EL EXPONENTE ANTE ESTA PREVENCIÓN MANIFESTANDO EL EXTRAVIO DE SU PERMISO PERSONAL PERMANENTE N° 341954, CON TODOS LOS SECTORES, CON VENCIMIENTO 08/06/2011, NO PUDIENDO PRECISAR EL LUGAR NI EL MOMENTO DEL EXTRAVÍO.</t>
  </si>
  <si>
    <t>MEDCALF, ALBERT IAN S/INF. LEY 22415</t>
  </si>
  <si>
    <t>1413/2010</t>
  </si>
  <si>
    <t>SE RECIBE OFICIO JUDICIAL A FIN DE PRACTICAR TAREAS DE INVESTIGACION SOBRE EL CELULAR MARCA NOKIA, LOS CHIPS Y LOS PAPELES DE INTERES, ELEMENTOS QUE FUERAN SECUESTRADOS EN OPORTUNIDAD DE LA DETENCION DEL CAUSANTE.</t>
  </si>
  <si>
    <t>ACTA DE EXTRAVIO</t>
  </si>
  <si>
    <t>CERCADO PERIMETRAL EXTERNO DEL AEROPUERTO, DENTRO DE LA JURISDICCION AEROPORTUARIA</t>
  </si>
  <si>
    <t>EN EL DIA DE LA FECHA SE PRESENTA EN ESTA OFICINA DEL TURNO POLICIAL PREVENTIVO EL OF. MY. MAITA MIGUEL LEGAJO Nº 500716, NUMERARIO DE ESTA UOSP SALTA, MANIFESTANDO QUE EL DIA 11/NOV/2010 A LAS 22:50 HS. APROXIMADAMENTE EN UN RECORRIDO POR LA CERCA PERIMETRAL EXTERNA DENTRO DE LA JURISDICCION AEROPORTUARIA, EXTRAVIO SU PERMISO PERSONAL DE SEGURIDAD AERPORTUARIO Nº 346636 CON FECHA DE VENCIMIENTO EL 26/JUN/2012.</t>
  </si>
  <si>
    <t>OTERO CARNOTA CARMEN S/ DCIA. ROBO</t>
  </si>
  <si>
    <t>SE RECIBIO OFICIO JUDICIAL, A FIN DE QUE PERSONAL DE ESTA UNIDAD PROCEDA A EXAMINAR LAS FILMACIONES DEL CD RESGUARDADO BAJO EFECTO NRO 4962, A LOS FINES DE IDENTIFICAR IRREGULARIDADES O ANOMALIAS RESPECTO AL MANIPULEO DEL EQUIPAJE D ELA SRA. CARMEN OTERO CARNOTA, DEBIENDOSE PROCEDER A LA IMPRESION DE PLACAS PRINTER.</t>
  </si>
  <si>
    <t>7110/10</t>
  </si>
  <si>
    <t>Bonnin Manuel</t>
  </si>
  <si>
    <t>JUZGADO FEDERAL RESISTENCIA- CHACO- ORDEN ALLANAMIENTO Y SEC. ART 32 LEY 23.737</t>
  </si>
  <si>
    <t>Expte 141-305-10</t>
  </si>
  <si>
    <t>MEDIANTE OFICIO JUDICIAL Nº 37/10, DE FECHA 21/10/10 EL JUZ. FED. DE 1ª INST DE RESIST (CHACO) EXHORTA AL JUZ FED DE 1ª INST DE STA CRUZ, REALIZAR ALLANAMIENTO EN DOMICILIO DE CALLE PUEYRREDON 1214, PTO SAN JULIAN, STA CRUZ. EN RELACION A LO ANTES EXPUESTO PERSONAL U.O.C.N DC - RIO GALLEGOS LLEVO ADELANTE LA MANDA JUDICIAL REMITIENDO EN FECHA 01/11/10 AL RESPONSABLE U.O.C.N DC. IV RESISTENCIA OF JEFE JORGE A. BORGEAUD LAS ACTUACIONES Y ELEMENTOS SECUESTRADOS PARA SER POSTERIORMENTE ELEVADOS AL JUZGADO FEDERAL DE RESISTENCIA (CHACO). EN OTRO ORDEN DE COSAS EN FECHA 10/11/10 EL JUZ FED DE RIO GALLEGOS MEDIANTE OFICIO JUDICIAL 1676/10-M (INFORMADO OPORTUNAMENTE EN PARTE RESERVADO Nº 7110/10 DE FECHA 10/11/10) SOLICITO INFORME EN RELACION AL ESTADO DE LAS MEDIDAS LLEVADAS A CABO POR ESTA FUERZA DE SEGURIDAD POR LO QUE EL PERSONAL ACTUANTE, EN FECHA 10 DE NOVIEMBRE DEL 2010 NOTIFICO DE LAS DILIGENCIAS ADMINISTRATIVAS REALIZADAS AL RESPECTO.</t>
  </si>
  <si>
    <t>CINTAS DE EQUIPAJES TERMINAL A</t>
  </si>
  <si>
    <t>UNA VEZ ARRIBADO AL PAÍS, EL DENUNCIANTE SE HACE DE SUS EQUIPAJES DESPACHADOS A BODEGA SIENDO UNA VALIJA TIPO CARRY-ON DE COLOR AZUL Y UN BOLSO DE COLOR VERDE, OBSERVANDO QUE ESTE ÚLTIMO SE ENCONTRABA CON EL CIERRE ABIERTO POR LO QUE INMEDIATAMENTE PROCEDE A LA APERTURA DEL MISMO NOTANDO EL FALTANTE DESCRIPTO. EN VIRTUD A ELLO Y CUANDO SE HACE DE LA VALIJA CARRY-ON REALIZA LA APERTURA DE LA MISMA Y NOTA EL FALTANTE DE DOS PARES DE ZAPATILLAS. SEGUIDAMENTE RADICA LA CORRESPONDIENTE DENUNCIA.-</t>
  </si>
  <si>
    <t>CM274Y</t>
  </si>
  <si>
    <t>Trinidad y Tobago</t>
  </si>
  <si>
    <t>PUERTO DE ESPAÑA</t>
  </si>
  <si>
    <t>FISCALIA EN LO CRIMINAL DE INSTRUCCION Nº 13</t>
  </si>
  <si>
    <t>SOLA,ROBERTO CARLOS</t>
  </si>
  <si>
    <t>PATIO DE MANIOBRAS</t>
  </si>
  <si>
    <t>PLATAFORMA DE CARGAS</t>
  </si>
  <si>
    <t>EL 12-11-10 SIENDO LAS 0830, EL DENUNCIANTE RECIBE LA NOVEDAD DE PARTE DEL SR. BARRERA JOSE RICARDO QUE AL REALIZAR ESTE ÚLTIMO EL CHEQUEO HABITUAL DE LAS MAQUINAS CONSTATA EL FALTANTE DE UNA CAJA DE METAL QUE ERA UTILIZADA COMO CAJA DE HERRAMIENTAS LA QUE ESTABA ABULONADA A UNA MAQUINA PINTA BANDAS</t>
  </si>
  <si>
    <t>TEXSELRIO S.A.</t>
  </si>
  <si>
    <t>6383/10</t>
  </si>
  <si>
    <t>ADMINISTRADOR AFIP-DGA IGUAZU S/SOLICITA ORDEN DE REQUISA</t>
  </si>
  <si>
    <t>EXP. Q-736/2010</t>
  </si>
  <si>
    <t>AMPLIANDO EL PARTE URGENTE Nº 6383 INFORMO QUE EN EL DIA DE LA FECHA SIENDO LAS 10:30 HS EN EL RESGUARDO JURISDICCIONAL DEL PUENTE INTERNACIONAL TANCREDO NEVES DEPENDIENTE DE LA DIVISIÓN ADUANA DE IGUAZU SE REALIZO LA APERTURA DE DOS BULTOS TIPO ENCOMIENDA AMPARADOS POR GUIA AEREA Nº 94448491-3 DE LA EMPRESA JET PAQ DONDE FIGURA COMO REMITENTE EL SR. FEDERICO BIXIO DNI 30.281.780 Y DESTINATARIO EL SR. JORGE SAADE QUE FUERON RETENIDOS POR ACTA DE INTERDICION Nº 289/10 RI DE LA P.S.A SEGUN LO ORDENADO POR EL SR. JUEZ FEDERAL DE PRIMERA INSTANCIA DE ELDORADO DR. JOSE LUIS CASALS EXPEDIENTE Q - 736/2010 CARATULADO ADMINISTRADOR AFIP - DGA IGUAZU S/SOLICITA ORDEN DE REQUISA EN PRESENCIA DE TESTIGOS HABILES CONVOCADOS PARA TAL FIN SE REALIZA LA APERTURA DE LOS BULTOS MENCIONADOS DESCRIBIENDO A CONTINUACIÓN LA MERCADERÍA ENCONTRADA: 10 ROLLOS DE PAPEL DE 39 CENTÍMETROS DE DIÁMETRO CON 5 CENTÍMETROS DE ESPESOR DE 5460 GRAMOS DE PESO CADA UNO DEJANDO CONSTANCIA QUE LOS ROLLOS CUENTAN CON LA INSCRIPCIÓN MELBOUR SIN INDUSTRIA VISIBLE POR LO EXPUESTO SE PROCEDE AL SECUESTRO DE LA MERCADERÍA EN PRESUNTA INFRACCIÓN AL CÓDIGO ADUANERO LEY 22415 BAJO ACTA DE REQUISA Y SECUESTRO Nº 254/10 QUEDANDO LOS MISMOS A DISPOSICIÓN DEL ADMINISTRADOR DE LA ADUANA DE IGUZU</t>
  </si>
  <si>
    <t>HOSPITAL INTERZONAL DE EZEIZA, BARRIO LA UNION, EZEIZA</t>
  </si>
  <si>
    <t>SE INFORMA QUE EL DETENIDO INTERNADO EN EL NOSOCOMIO MENCIONADO, EN CUSTODIA DE PERSONAL DE ESTA UNIDAD, REALIZO EN EL DIA DE LA FECHA ,SIENDO LAS 14:30 HORAS, LA 6TA. DEPOSICION DE 4 CAPSULAS CON UN PESO DE 50 GRS.</t>
  </si>
  <si>
    <t>OFICINA ALMACEN TRANSPORTES - AEROLINEAS ARGENTINAS</t>
  </si>
  <si>
    <t>HANGARES DE AEROLINEAS ARGNETINAS</t>
  </si>
  <si>
    <t>MIENTRAS EL PERSONAL DE LA EMPRESA PERTENECER, SR. MARTINEZ JOSE, SE ENCONTRABA CUMPLIENDO FUNCIONES LABORALES EN LA OFICINA MENCIONADA Y SIENDO APROXIMADAMENTE LAS CATORCE HORAS,DEL DIA CINCO DE NOVIEMBRE DEL AÑO EN CURSO, ABANDONA LA MISMA A EFECTOS DE REALIZAR OTRAS TAREAS ASIGNADAS, DEJANDO EN EL INTERIOR DE LA OFICINA VARIOS COMPAÑEROS. SIENDO APROXIMADAMENTE LAS DIECISÉIS HORAS REGRESA A LA OFICINA Y SUS COMPAÑEROS YA HABÍAN CULMINADO SUS FUNCIONES LABORALES, NOTANDO EN ESE MOMENTO EL FALTANTE DE MENCIÓN. POR TAL MOTIVO DA AVISO AL DENUNCIANTE QUIEN INFORMA A SU SUPERIORIDAD Y LE INDICAN AL QUE RADIQUE LA CORRESPONDIENTE DENUNCIA.-</t>
  </si>
  <si>
    <t>7166/10</t>
  </si>
  <si>
    <t>MOSTRADORES DE CHECK-IN DE AEROLINEAS ARGENTINAS</t>
  </si>
  <si>
    <t>QUE SIENDO APROXIMADAMENTE LAS OCHO HORAS DEL DIA DE LA FECHA SE PROCEDIO AL TRASLADO DE LA CAUSANTE HACIA SEDE TRIBUNALICIA.-</t>
  </si>
  <si>
    <t>7165/10</t>
  </si>
  <si>
    <t>BOX DE MIGRACIONES TERMINAL A</t>
  </si>
  <si>
    <t>QUE SIENDO APROXIMADAMENTE LAS OCHO HORAS DEL DIA DE LA FECHA SE PROCEDIO AL TRASLADO DEL CAUSANTE HACIA LA UNIDAD PENITENCIARIA FEDERAL NUMERO 28</t>
  </si>
  <si>
    <t>PLATAFORMA OPERATIVA I BRIGADA EL PALOMAR</t>
  </si>
  <si>
    <t>EN EL DIA DE LA FECHA SIENDO LA HORA ANTES MENCIONADA SE IMPLEMENTAN LAS MEDIDAS DE SEGURIDAD CON MOTIVO DEL ARRIBO DE LA SRA. PRESIDENTE DE LA NACION CRISTINA FERNANDEZ DE KIRCHNER Y COMITIVA. SIENDO LAS 07:20 HORAS ARRIBA A ESTA AEROESTACION LA SRA. PRESIDENTE EN AERONAVE MATRICULA HBJGH, RETIRANDOSE EN VEHICULO OFICIAL, FINALIZANDO EL OPERATIVO SIN NOVEDAD.-</t>
  </si>
  <si>
    <t>DRA. GABRIELA CASTELLANO - PROSECRETARIA</t>
  </si>
  <si>
    <t>AUTOS CARATULADO: BANCO PROVINCIA DE TIERRA DEL FUEGO C/ALVAREZ VERA CESAR S/EJECUCION</t>
  </si>
  <si>
    <t>EXPTE.11121</t>
  </si>
  <si>
    <t>"ÁLVAREZ VERA, CÉSAR MIGUEL S/ NOTIFICACIÓN</t>
  </si>
  <si>
    <t>PUESTO DE CONTROL DOCUMENTACION</t>
  </si>
  <si>
    <t>EN CONTROL DE PREEMBARQUE DEL VUELO AR-1853, SE INDIVIDUALIZA AL SEÑOR CESAR MIGUEL ALVAREZ VERA D.N.I. NRO. 28.509.860, SOBRE QUIEN PESA UNA SOLICITUD DE PARADERO, SEGUN REGISTRO DE LA RED LINCE NRO. 287129, RELACIONADO A LA CAUSA Y JUZGADO DE REFERENCIA. SEGUIDAMENTE SE ENTABLA COMUNICACION AL JUZGADO EN LA PERSONA DE LA PROSECRETARIA DRA. GABRIELA CASTELLANO QUIEN ES INFORMADA DE LOS HECHOS, MANIFIESTANDO SE NOTIFIQUE AL CAUSANTE DE LOS AUTOS DE REFERENCIA, FIJE DOMICILIO REAL Y EVENTUAL Y CONTINUE SU VIAJE. SE LABRA ACTA DE NOTIFICACION NRO.09/10.-</t>
  </si>
  <si>
    <t>HOTEL CAESAR PARK SILVER - SITO EN CALLE CERRITO N° 330.-</t>
  </si>
  <si>
    <t>EN MOMENTOS EN QUE LA DENUNCIANTE SE RETIRABA DEL HOTEL EN UN VEHICULO DE ALQUILER QUE LA TRASLADARÍA HACIA ESTE AEROPUERTO, PARA EMBARCARSE EN EL VUELO IB 6842 DE LA COMPAÑÍA IBERIA, NOTA QUE AL EMPRENDER LA MARCHA DEL VEHICULO, SE ABRÍA UNA DE LAS PUERTAS TRASERAS DE LA COMBI Y SIMULTÁNEAMENTE OBSERVA A DOS MASCULINOS QUE EMPRENDEN UNA CARRERA CON DIRECCIÓN INVERSA A LA DEL VEHICULO PERDIÉNDOSE ENTRE LOS TRANSEÚNTES. SEGUIDAMENTE LA DENUNCIANTE Y UNA VEZ QUE EL CHOFER DETIENE LA MARCHA DE LA COMBI , SE PERCATA DE QUE HABÍAN SACADO UNA DE SUS VALIJAS, SIENDO ESTA DE COLOR BEIGE DEL TIPO CARRY-ON. POR TAL MOTIVO Y DADO QUE DEBÍA EMBARCARSE EN EL VUELO DE MENCIÓN SE HACE PRESENTE EN ESTE TURNO DE PREVENCIÓN A RADICAR LA CORRESPONDIENTE DENUNCIA. SE DEJA CONSTANCIA QUE NO SE APORTAN OTROS DATOS DEL VEHICULO Y DE LOS SUJETOS.</t>
  </si>
  <si>
    <t>AL MOMENTO DE LLEVARSE A CABO EL CONTROL DE EQUIPAJES, EL PERSONAL POLICIAL ACTUANTE OBSERVA MEDIANTE MAQUINA DE RAYOS X LA EXISTENCIA DE SUSTANCIA ORGANICA EN EL INTERIOR DE UN EQUIPAJE. CON POSTERIORIDAD SE IDENTIFICA A LA PASAJERA PROPIETARIA DEL MISMO, SE LA TRASLADA AL TURNO DONDE ES APERTURADO EL BOLSO HALLANDOSE EN SU INTERIOR PRENDAS DE VESTIR VARIAS Y UNA COLCHONETA INFLABLE A LA CUAL SE ABRE ENTRE SUS COSTURAS HALLANDOSE ENTRE LAS MISMAS TRES PAQUETES DE PLASTICO ENVUELTOS AL VACIO CONTENIENDO SUSTANCIA ESTUPEFACIENTE. EL JUZGADO INTERVINEINTE DISPUSO LA DETENCION EN CALIDAD DE INCOMUNICADA DE LA PASAJERA DEBIENDO SER TRASALADADA JUNTO A LO ACTUADO EL PROXIMO DIA LUNES QUINCE DEL CORRIENTE MES Y AÑO A PRIMERA HORA A SEDE JUDICIAL. EN PU 7205 DE FECHA 15-11-2010 SE INFORMA QUE FUE TRASLADADA A SEDE JUDICIAL SIN NOVEDAD LA DETENIDA.-</t>
  </si>
  <si>
    <t>SE PROCEDIO A DAR CUMPLIMIENTO A ORDEN DE SERVICIO NRO 052/2010 CON MOTIVO DE LA SALIDA DEL VUELO F-28 DE FUERZA AEREA ARGENTINA , MATRICULA TC 055 TRASLADANDO AL SEÑOR MINISTRO DE AGRICULTURA DE LA NACION, MINISTRO DE AGRICULTURA DE LA REPUBLICA CHINA Y EMBAJADOR CHINO EN LA REPUBLICA ARGENTINA , LA MISMA SE CUMPLIMENTO SIN NOVEDAD.</t>
  </si>
  <si>
    <t>AL MOMENTO DE REALIZARSE EL CONTROL RUTINARIO EN EL PUESTO DE ARRIBOS SE DETECTA QUE LA FEMENINA EN CUESTION TRANSPORTABA DENTRO DE UNA BOLSA UN CARTON DE CIGARRILLOS MARCA MARLBORO NO CONTANDO CON TICKET DE COMPRA. EN FORMA ESPONTANEA MANIFIESTA HABERLO ENCONTRADO POR LO QUE EL PERSONAL POLICIAL LE REFIERE CUAL ES EL PROCEDIMIENTO ADECUADO EN ESOS CASOS Y LA PERSONA REFIERE DESCONOCERLO. SEGUIDAMENTE SE TRASLADAN JUNTO A DOS TESTIGOS A LA GUARDIA Y SE ENTABLA LA COMUNICACION PERTINENTE EN LA CUAL SE INDICA QUE SE NOTIFIQUE A LA CAUSANTE Y FINALIZADAS LAS DILIGENCIAS LA MISMA SE RETIRE DE ESTA DEPENDENCIA.</t>
  </si>
  <si>
    <t>PERSONAL POLICIAL QUE SE ENCONTRABA EFECTUANDO UN CONTROL PREVENTIVO MEDIANTE MAQUINA DE RAYOS X, DETECTAN EN UNA VALIJA TIPO CARRY ON LA PRESENCIA DE SUSTANCIA ORGÁNICA, EN LOS CONTORNOS DE LA MISMA. SEGUIDAMENTE SE CONTROLA OTRA VALIJA DE SIMILARES CARACTERÍSTICAS LA CUAL PRESENTE TAMBIEN SUSTANCIA ORGANICA EN LOS CONTORNOS, SIN PODER DETERMINAR EL PERSONAL POLICIAL DE QUE SUSTANCIA SE TRATA. A TAL EVENTO SE CONVOCA LA PRESENCIA DE DOS TESTIGOS. UNA VEZ QUE EL PERSONAL POLICIAL LOGRA DAR CON EL PASAJERO, EL MISMO ES TRASLADO AL PATIO DE VALIJAS, DONDE UNA VEZ ALLI, RECONOCE COMO DE SU PROPIEDAD LOS DOS EQUIPAJES. POR TAL MOTIVO EL PASAJERO JUNTO A LOS DOS EQUIPAJES ES TRASLADADO, A LA GUARDIA DE PREVENCION, EN PRESENCIA DE LOS TESTIGOS. OBTENIDA LA AUTORIZACIÓN JUDICIAL, SE PROCEDE A LA REQUISA DE UNO DE LOS EQUIPAJES, HALLANDO EN SU INTERIOR SEIS TOALLONES DE CONTEXTURA SEMI RIGIDA, QUE NO CONCUERDA CON LA FISONOMÍA DE ESTE TIPO DE ELEMENTOS. LUEGO SE DETECTA EN DOS BATAS, CON LAS MISMAS CARACTERÍSTICAS QUE LOS TOALLONES, POR TAL MOTIVO SE SOMETE LOS SEIS TOALLONES Y LAS DOS BATAS, A REACTIVO PARA COCAINA, ARROJANDO RESULTA POSITIVO. SEGUIDAMENTE SE PROCEDE A DESPRENDER EL CONTORNO DE LA PRIMER AL QUE SE LE REALIZA REACTIVO DE CAMPO ARROJANDO TAMBIEN RESULTADO POSITIVO PARA COCAINA.ACTO SEGUIDO SE PRACTICA EL MISMO PROCEDIMIENTO CON EL CONTORNO DE LA VALIJA 2 OBTENIENDO TAMBIEN RESULTADO POSITIVO PARA COCAINA.ANOTICIADO EL JUZGADO DEL RESULTADO OBTENIDO, DISPUSO QUE SE PROCEDA A LA DETENCIÓN DEL CAUSANTE, SE SECUESTRO TODOS LOS ELEMENTOS Y SE ELEVE TODO LO ACTUADO JUNTO AL DETENIDO EL DÍA LUNES 15/11/10. EN PU 7206 SE INFORMA QUE EL DIA 15-11-2010 SE REALIZOI EL TRASLADO DEL DETENIDO A SEDE JUDICIAL SIN NOVEDAD.-</t>
  </si>
  <si>
    <t>GRANADA</t>
  </si>
  <si>
    <t>MENDIETA, ERNESTO</t>
  </si>
  <si>
    <t>GOMEZ, OSVALDO MAURICIO ALEXIS Y ESCALANTE, MARTIN ARNALDO S/INFRACCION LEY 23737</t>
  </si>
  <si>
    <t>INFORMO QUE EN EL DÍA DE LA FECHA EN VUELO NRO LD 473 DE LA EMPRESA AEROCOMERCIAL LÍNEAS AÉREAS DEL ESTADO SE ENVÍA BAJO GUÍA DE CARGA NRO 022-28004406 UNA CAJA CERRADA CONTENIENDO COPIA CAUSA NRO 2554 CARATULADA "GÓMEZ OSVALDO MAURICIO ALEXIS Y ESCALANTE, MARTÍN ARNALDO S/INFRACCIÓN LEY 23737" A LA UNIDAD OPERACIONAL DE COMODORO RIVADAVIA PARA QUE SEA TRASLADADA A LA EXCMA CÁMARA FEDERAL DE APELACIONES DE ESA CIUDAD. CONFORME A LO DISPUESTO POR S.S. DR FEDERICO CALVETE A CARGO DEL JUZGADO FEDERAL DE USHUAIA. ASIMISMO INFORMO QUE DICHO VUELO ESTIMA ARRIBAR EN LA CIUDAD DE COMODORO RIVADAVIA A LAS 20:30 HS APROXIMADAMENTE.</t>
  </si>
  <si>
    <t>LD473</t>
  </si>
  <si>
    <t>OFICINA DE LA EMPRESA SERZA</t>
  </si>
  <si>
    <t>TERMINAL B DE ESTE AEROPUERTO INTERNACIONAL</t>
  </si>
  <si>
    <t>EL DIA ONCE DE NOVIEMBRE DEL CORRIENTE AÑO, MOMENTOS EN QUE LA DENUNCIANTE INGRESABA A SU TRABAJO LA SECRETARIA DE LA EMPRESA SERZA GABRIELA ACOSTA LE INFORMA QUE ESE MISMO DIA HABIA RECIBIDO UNA LLAMADA DE UNA PERSONA DE SEXO FEMENINO QUIEN LE SOLICITABA HABLAR CON EL JEFE DE LA EMPRESA O LA DENUNCIANTE, ANTE TAL EVENTO QUIEN PRODUJO LA LLAMADA LOGRA HABLAR CON EL JEFE EDUARDO GARCIA A QUIEN LE CONSULTA LOS HORARIOS DE LA DENUNCIANTE, QUIEN LE MANIFIESTA QUE LOS MISMOS SON CONFIDENCIALES. EN EL DIA DE LA FECHA LA ENCARGADA DE LA MENCIONADA EMPRESA SILVANA TORRES RECIBE UN LLAMADO DE UNA PERSONA DE SEXO FEMENINO SOLICITANDOLE HABLAR CON UNA PERSONA QUE TIENE UN HIJO QUE SE LLAMA AGUSTIN, POR TAL MOTIVO LA COMUNICAN CON LA DENUNCIANTE, A QUIEN LE DICE TEXTUALMENTE DEJA DE MOLESTAR A MI MARIDO SOY LA MUJER DE CARLOS MOYANO TE VOY AGARRAR DE LOS PELOS. POR TAL MOTIVO LA DENUNCIANTE SE TRASLADA A ESTA GUARDIA DE PREVENCION PARA REALIZAR LA CORRESPONDIENTE DENUNCIA.</t>
  </si>
  <si>
    <t>PRESUNTA COMISION DE DELITO DE ACCION PUBLICA</t>
  </si>
  <si>
    <t>PERGOLA DE LA TERMINAL C</t>
  </si>
  <si>
    <t>SIENDO LAS 2100 HORAS APROXIMADAMENTE DEL DIA DE LA FECHA EL DENUNCIANTE ARRIBA A LA TERMINAL C DE ESTE AEROPUERTO INTERNACIONAL EN EL VUELO AR1789 DE LA EMPRESA AEROLINEAS ARGENTINAS PROCEDENTE DE LA CIUDAD DE RESISTENCIA, PROVINCIA DE CHACO. Y SE DIRIGE A LA VEREDA PERGOLA TAXI DE DICHA TERMINAL A EFECTOS DE TOMAR UN TAXI DE LA EMPRESA ALO, EL CUAL HABIA CONTRATADO PREVIAMENTE POR TELEFONO. QUE AL INTENTAR ABORDAR EL MENCIONADO VEHICULO TAXI, SE LE ACERCA UNA PERSONA DE SEXO MASCULINO, EL CUAL INTIMA TANTO AL PASAJERO COMO AL CHOFER DEL TAXI EXPRESANDO QUE NO PODIA TOMAR ESE TAXI. POR LO QUE EL DENUNCIANTE SE PRESENTA EN LA GUARDIA DE PREVENCION A FIN DE RADICAR LA CORRESPONDIENTE DENUNCIA. POSTERIORMENTE SE ENTABLA COMUNICACION TELEFONICA CON LA JUDICATURA ACTUANTE QUIEN DISPONE SE RECEPCIONE LA DENUNCIA, Y SE PROCEDA A IDENTIFICAR Y NOTIFICAR AL MASCULINO QUE HABIA TENIDO EL CONFLICTO CON EL DENUNCIANTE, QUE SE ENCUENTRA IMPUTADO EN LA CAUSA.</t>
  </si>
  <si>
    <t>7192/10</t>
  </si>
  <si>
    <t>INFORMO QUE SE PROCEDIO AL TRASLADO DE LA DETENIDA EN AUTOS, A SEDE JUDICIAL</t>
  </si>
  <si>
    <t>7201/10</t>
  </si>
  <si>
    <t>INFORMO QUE SE PROCEDIO AL TRASLADO DEL DETENIDO EN AUTOS A SEDE JUDICIAL</t>
  </si>
  <si>
    <t>SE INFORMA QUE EL DETENIDO INTERNADO EN EL NOSOCOMIO MENCIONADO, EN CUSTODIA DE PERSONAL DE ESTA UNIDAD, REALIZO LA 7MA. DEPOSICION DE 2 CAPSULAS CON UN PESO DE 25 GRS.</t>
  </si>
  <si>
    <t>GÓMEZ OSVALDO MAURICIO ALEXIS Y ESCALANTE MARTÍN ARNALDO S/INFRACCIÓN LEY 23.737</t>
  </si>
  <si>
    <t>EXCELENTÍSIMA CÁMARA DE APELACIONES DE COMODORO RIVADAVIA</t>
  </si>
  <si>
    <t>SIENDO LAS 10:00 HORAS LOCAL SE TRASLADA UNA CAJA CERRADA CONTENIENDO LA CAUSA Nº 2554 CARATULADA GÓMEZ OSVALDO MAURICIO ALEXIX Y ESCALANTE MARTÍN ARNALDO S/INFRACCIÓN LEY 23.737, A LA EXCELENTÍSIMA CÁMARA FEDERAL DE APELACIONES DE COMODORO RIVADAVIA A CARGO DEL DR. ALDO E. SUÁREZ, ENVIADA POR LA UNIDAD OPERACIONAL DE USHUAÍA.</t>
  </si>
  <si>
    <t>ROBERTO CARLOS SOLA</t>
  </si>
  <si>
    <t>N.N. S/ROBO, DAMN: CARMEN HAYDEE GORLA</t>
  </si>
  <si>
    <t>I-13-20555/10</t>
  </si>
  <si>
    <t>SE RECIBE OFICIO JUDICIAL A FIN QUE PERSONAL DE ESTA UNIDAD, REALICE LAS MEDIDAS QUE CONSIDERE NECESARIAS E INDISPENSABLES A LOS EFECTOS DE ESTABLECER: EL VUELO EN QUE ARRIBO EL EQUIPAJE DE LA SRA. GORLA Y NOVEDADES QUE SE HUBIERAN REGISTRADO A SU LLEGADA, MOMENTO EN QUE AUTORES IGNORADOS HABRIAN VIOLENTADO LAS MALETAS DE LA NOMBRADA MEDIANTE LOS VIDEOS DE SEGURIDAD QUE PUDIERAN HABER FILMADO DICHA CIRCUNSTANCIA, ILUSTRACION DEL RECORRIDO QUE REALIZO EL EQUIPAJE Y DE SER POSIBLE, EL LUGAR O MOMENTO EN QUE PODRIA HABER SIDO ABIERTO, PERSONAL QUE ESTUVO A CARGO DE LA CUSTODIA DEL MISMO, DEBIENDO INDICAR SI SE HAN DENUNCIADO HECHOS SIMILARES EN LOS QUE EL SR. EDUARDO SILVESTRI HAYA TRANSPORTADO EQUIPAJES A DIFERENTES DOMICILIOS.</t>
  </si>
  <si>
    <t>QUE LUEGO DE ARRIBAR EL DAMNIFICADO AL TERRITORIO NACIONAL JUNTO A SU ESPOSA, Y LUEGO DE RETIRAR SUS EQUIPAJES DESPACHADOS POR BODEGA, EN MOMENTOS EN QUE SE DISPONIA A SOMETERSE AL CONTROL DE ADUANAS, SE PERCATA QUE SUS VALIJAS TENIAN LOS CANDADOS DE SEGURIDAD TOTALMENTE DAÑADOS. LUEGO DE REVISAR SUS PERTENENCIAS, CONSTATO QUE EN UNA DE LAS VALIJAS HABIA FALTANTE DE ELEMENTOS. A TAL EFECTO REALIZO EL CORRESPONDIENTE RECLAMO EN LA COMPAÑIA AEROCOMERCIAL, PARA LUEGO RADICAR LA CORRESPONDIENTE DENUNCIA EN LA GUARDIA DE PREVENCION.</t>
  </si>
  <si>
    <t>6872/10</t>
  </si>
  <si>
    <t>SE AMPLIA PARTE RESERVADO Nº 6872, DE FECHA 02 DE NOVIEMBRE DE 2010, REFERENTE A LA CAUSA Nº 647/10 CARATULADO AVERIGUACION INFRACCION A LA LEY 24769 A CARGO DEL JUZGADO FEDERAL DE SALTA Nº 1 A CARGO DEL DR. JULIO LEONARDO BAVIO, SECRETARIA PENAL Nº 2 A CARGO DEL DR. SANTIAGO FRENCH. SE INFORMA EN RELACION A LA PRESENTE CAUSA QUE SE RENOVO LA INTERVENCION TELEFONICA DEL ABONADO 0387-5014557 POR EL LAPSO DE 30 DIAS BAJO OFICIO Nº 3370/10 DEL JUZGADO INTERVINIENTE. DICHO ABONADO SERIA UTILIZADO POR RICARDO ISAAC VILARDEL EL CUAL SERIA EL CABECILLA DE LA ORGANIZACION, LA QUE ESTARIA INTEGRADA POR UN MASCULINO AL QUE LO LLAMAN DAMIAN DE TONADA PORTEÑA, EL CUAL RESIDIRIA EL LA CIUDAD DE CORDOBA Y EL QUE SE ENCARGARIA DE VENDER LAS CARTAS DE PORTE, FACTURAS APOCRIFAS Y CONTRATOS DE ARRIENDO, ESTE ULTIMO PAPEL SERIA SOLICITADO POR RENTAS DE LA PROVINCIA DE SALTA, DICHOS PAPELES SERIAN VENDIDOS EN LAS CIUDADES DE CORDOBA, LA PAMPA, CHACO, BUENOS AIRES Y ENTRE RIOS, CON ESTOS PAPELES LOS COMPRADORES DE CEREALES NO PAGARIAN LOS IMPUESTOS QUE EXIGE EL ESTADO NACIONAL Y QUE COMPRAN LA MERCADERIA EN NEGRO, DICHA ORGANIZACION TAMBIEN ESTARIA INTEGRADA POR SU HERMANO Y UN MASCULINO NO IDENTIFICADO POR EL MOMENTO Y QUE TENDRIA RESIDENCIA Y UNA OFICINA EN EL CENTRO DE LA CIUDAD DE SALTA. DICHA RENOVACION DEL ABONADO ANTES MENCIONADO SERIA UTILIZADO POR EL CABECILLA DE DICHA ORGANIZACION EL SR. RICARDO ISAAC VILARDEL, D.N.I. Nº 20.218.341, EL CUAL RESIDIRIA JUNTO A SU HERMANO EN LISANDRO DE LA TORRE Y PASAJE Nº 1 DEL Bº SANTA ANA II DE SALTA CAPITAL.</t>
  </si>
  <si>
    <t>07-01-007017-10</t>
  </si>
  <si>
    <t>EN EL DIA DE LA FECHA SE RECIBE OFICIO JUDICIAL ORDENANDO TAREAS INVESTIGATIVAS POR EL TERMINO DE 15 DIAS A LOS EFECTOS DE IDENTIFICAR AL PROPIETARIO DEL VEHICULO CHEVROLET CORSA DOMINIO EDS-227</t>
  </si>
  <si>
    <t>LOCALIDAD DE METAN, PROVINCIA DE SALTA Y SALTA CAPITAL</t>
  </si>
  <si>
    <t>SE AMPLIA PARTE RESERVADO N° 6837 DE FECHA 01/11/2010, REFERENTE AL EXPTE. N° 561/10, CARATULADA AVERIGUACION INFRACCION A LA LEY 24769, TRAMITADA ANTE EL JUZGADO FEDERAL DE SALTA N° 1 A CARGO DEL JULIO LEONARDO BAVIO, SECRETARIA PENAL N° 2 A CARGO DEL DR. SANTIAGO FRENCH. SE INFORMA QUE SE SOLICITO LA PRORROGA POR 30 DIAS DE LOS ABONADOS ACTUALMENTE INTERVENIDOS, ADEMAS SE SOLICITO UNA NUEVA INTERVENCION TELEFONICA DEL ABONADO N° 387-052625, POR EL LAPSO DE 15 DIAS, EL CUAL SERIA UTILIZADO POR OTRO DE LOS INVESTIGADOS EN LA PRESENTE CAUSA. ADEMAS SE INFORMA QUE POR LAS TAREAS INVESTIGATIVAS Y DE ACUERDO A LA INFORMACION OBTENIDA DE LAS ESCUCHAS TELEFONICAS, SE PUDO ESTABLECER QUE LA CABEZA DE LA ASOCIACION ILICITA ES LA CONTADORA SANDRA ESTHER JEREZ, QUIEN ACTUA JUNTO A LORENA SCARANO Y FABIAN ORTEGA, QUIENES RESIDEN EN METAN Y JUNTO A MARIO QUIROGA QUIEN RESIDE EN SALTA CAPITAL, TODOS REALIZAN LA EMISION DE CARTAS DE PORTE Y FACTURAS APOCRIFAS PARA EL TRANSPORTE DE GRANOS DENTRO DEL TERRITORIO NACIONAL, EVADIENDO EL PAGO DE LOS IMPUESTOS TRIBUTARIOS. EN UNA ENTREVISTA CON EL SECRETARIO DEL JUZGADO INTERVINIENTE, EL DR. FRENCH ESTABLECIO UNA FECHA APROXIMADA PARA REALIZAR LOS DIFERENTES ALLANAMIENTOS Y DETENCIONES, LA CUAL SERIA HASTA EL 13 DE DICIEMBRE DEL CORRIENTE AÑO. SE AMPLIARA A MEDIDAS QUE SURJAN NOVEDADES.</t>
  </si>
  <si>
    <t>07-01-007035-10</t>
  </si>
  <si>
    <t>EN EL DIA DE LA FECHA SE RECIBE OFICIO JUDICIAL ORDENANDO TAREAS INVESTIGATIVAS POR EL TERMINO DE 15 DIAS A LOS EFECTOS DE IDENTIFICAR AL PROPIETARIO DEL VEHICULO DOMINIO GFQ-872</t>
  </si>
  <si>
    <t>7204/10</t>
  </si>
  <si>
    <t>POSIBLE COMISION DE DELITO DE ACCION PUBLICA.-</t>
  </si>
  <si>
    <t>PERGOLA DE LA TERMINAL C.-</t>
  </si>
  <si>
    <t>MEDIANTE EL PRESENTE, RATIFICO EL RELATO SUCINTO ENVIANDO EN PRIMERA INSTANCIA. EL DENUNCIANTE SE HACE PRESENTE EN SECTOR MENCIONADO A EFECTOS DE ABORDAR UN VEHICULO TAXI CAPITAL PERTENECIENTE A LA EMPRESA ALO, EL CUAL HABÍA CONTRATADO PREVIAMENTE EN FORMA TELEFÓNICA. AL IDENTIFICAR EL VEHICULO SE DIRIGE HACIA EL MISMO CON INTENCIONES DE ABORDARLO, MOMENTO EN EL CUAL EL IMPUTADO LE MANIFIESTA EN TONO AMENAZANTE "FLACO VOS A ESE TAXI NO SUBIS" SIC, Y LUEGO LE MANIFIESTA AL CONDUCTOR DEL TAXI "VOS TOMATELAS DE ACA" SIC. A CONTINUACIÓN EL VEHICULO TAXI EMPRENDE UNA MARCHA LENTA, SIENDO SEGUIDO A PIE POR EL DENUNCIANTE QUIEN TENIA AUN INTENCIONES DE TOMAR EL SERVICIO, CIRCUNSTANCIAS EN LA QUE SE SUMAN AL PRIMER HOMBRE TRES MASCULINOS QUE LO ESCOLTAN EN SU MARCHA, CONTINUADO EL PRIMERO MANIFESTÁNDOLE AL DENUNCIANTE QUE NO DEBÍA TOMAR ESE TAXI E INCREPAN AL TAXISTA VOCIFERÁNDOLE QUE SE RETIRE DEL LUGAR. A CONTINUACIÓN EL DENUNCIANTE SOLICITA LA PRESENCIA DEL OFICIAL ALEJANDRO HOZ DE VILA, A QUIEN LE SOLICITA QUE IDENTIFIQUE LA PERSONA QUE NO LE PERMITE ABORDAR EL TAXI Y LE TRASMITE SUS INTENCIONES DE RADICAR UNA DENUNCIA PENAL POR EL HECHO QUE LO DAMNIFICA, OBTENIENDO COMO RESPUESTA DEL UNIFORMADO QUE REALICE LA DENUNCIA Y QUE EL MASCULINO QUE NO LE PERMITÍA TOMAR SU TAXI ERA UN DELEGADO GREMIAL. LUEGO EL DENUNCIANTE COMPARECE A ESTA GUARDIA DONDE RADICA FORMAL DENUNCIA. EN VIRTUD A ELLO, Y POR ORDEN DE LA UNIDAD FUNCIONAL DE INSTRUCCIÓN INTERVINIENTE EL JEFE DE TURNO COMISIONA A PERSONAL POLICIAL A LOS EFECTOS QUE SE PROCEDA A IDENTIFICAR AL IMPUTADO QUIEN RESULTO SER PEDRO PORTILLO, A QUIEN SE LO NOTIFICA DE LA INICIACIÓN DE LA CAUSA PENAL.</t>
  </si>
  <si>
    <t>AR1789</t>
  </si>
  <si>
    <t>TORQUATO CAYETANO SOBRE INFRACCION LEY 22415</t>
  </si>
  <si>
    <t>1534/2010</t>
  </si>
  <si>
    <t>SIENDO LAS 1820 HORAS SE RECIBE POR PARTE DEL OFICIAL AYUDANTE SERGIO CIOCIA NUMERARIO DE LA UOSP EZEIZA, LA CUSTODIA DEL DETENIDO EL SR CAYETANO TORQUATO, DNI 4335367, CARATULADO EN LA CAUSA NUMERO 1534/210 TORQUATO CAYETANO INFRACCION A LA LAY 22415, QUEDANDO ALOJADO EN ESTA UOSP METROPOLITANA EN CALIDAD DE DETENIDO COMUNICADO A DISPOSICION DE LA JUDICATURA ACTUANTE.</t>
  </si>
  <si>
    <t>RECTIFICACION DEL PARTE 7211. DONDE DICE 7° DEPOSICION DEBE DECIR 9°. DEPOSICION. ASIMIMO SE INFORMA LA CORELATIVIDAD DE LAS DEPOSICIONES DESDE EL DIA 13-NOV-2010 HASTA EL DIA DE LA FECHA. DEPOSICION 7°. DIA 13-11-10 HORA 09:25 CANT. DE CAPSULAS 3, PESO 40 GRS. DEPOSICION 8°. DIA 13-11-10 HORA 16:43 CANT. DE CAPSULAS 1, PESO 20 GRS. DEPOSICION 9°. DIA 14-11-10 HORA 20:00 CANT. DE CAPSULAS 2, PESO 25 GRS. DEPOSICION 10°. DIA 15-11-10 HORA 18:00 CANT. DE CAPSULAS 5, PESO 55 GRS.</t>
  </si>
  <si>
    <t>INFRACCION A LOS ARTICULOS 38 Y 74 INCISO A DEL DECRETO LEY 8031/73</t>
  </si>
  <si>
    <t>SIENDO LA HORA Y LA FECHA ANTES MENCIONADA EL OFICIAL VELAZCO Y EL OFICIAL MORESI, EN MOMENTOS QUE SE ENCONTRABAN REALIZANDO PATRULLAJE DE PREVENCION, EN CERCANIAS DEL PUESTO TAQUILLA, CONSTATAN QUE DOS PERSONAS DEL SEXO MASCULINO SE ENCONTRABAN EN CLARA SITUACION DE RIÑA. A TAL EFECTO, EN VIRTUD DE QUE EL ORDEN PUBLICO FUE ALTERADO PROCEDIERON A LA IDENTIFICACION Y APREHENSION PREVENTIVA DE LOS CAUSANTES CONVOCANDO LA PRESENCIA DE TESTIGOS. POR ULTIMO TRASLADARON A LOS CAUSANTES PREVIO CHEQUEO MEDICO HACIA ESTA GUARDIA DE PREVENCION A LOS EFECTOS DE LABRAR LAS ACTUACIONES CONTRAVENCIONALES CORRESPONDIENTES.</t>
  </si>
  <si>
    <t>DRA. ALEJANDRA VIÑA</t>
  </si>
  <si>
    <t>SALA DE PREEMBARQUE DE CABOTAJE</t>
  </si>
  <si>
    <t>SIENDO LAS 20:20 HS, COMPARECE ANTE ESTA INSTRUCCIÓN UNA PERSONA MANIFESTANDO QUE EL DÍA JUEVES 11 DE NOVIEMBRE DE 2010, SIENDO APROXIMADAMENTE LAS 11:00 HS, SE RETIRO DE SU LUGAR DE TRABAJO DENOMINADO PUNTO A PUNTO, UBICADO EN LA SALA DE EMBARQUE DE CABOTAJE DE ESTA AEROESTACION Y QUE EN EL DÍA DE LA FECHA, AL INGRESAR A ESTE AEROPUERTO, EL SR. GUSTAVO PREVIGLIANO, PERSONAL DE AEROPUERTOS ARGENTINA 2000, LE MANIFESTÓ QUE EN HORAS DE LA MAÑANA DEL DÍA DE LA FECHA, ENCONTRANDOSE ACOMPAÑANDO A PERSONAL DE CABLEVISION PARA REALIZAR TRABAJOS EN EL SECTOR DEL MENCIONADO COMERCIO (PUNTO A PUNTO), SE PERCATO DEL FALTANTE DE UNA NOTEBOOK, YA QUE SOLO SE ENCONTRABAN DOS UNIDADES, Y QUE ENTENDÍA DE LA EXISTENCIA DE TRES, POR LO CUAL LE CONSULTÓ SI ALGÚN PERSONAL DE EL COMERCIO EN CUESTIÓN HABRÍA GUARDADO O LLEVADO EL ELEMENTO FALTANTE, A LO QUE LA EXPONENTE RESPONDIÓ EN FORMA NEGATIVA, SEGUIDAMENTE SE DIRIGIÓ AL LUGAR DE SU TRABAJO Y PUDO CONSTATAR EL FALTANTE DE UNA COMPUTADORA, TIPO NOTEBOOK, MARCA BANGHO CON SU RESPECTIVA BATERÍA, LA CUAL SE ENCONTRABA ASEGURADA AL ESCRITORIO CON UN CABLE DE ACERO QUE NACE EN EL INTERIOR DEL ESCRITORIO Y EN CUYO EXTREMO OPUESTO POSEE UN CANDADO DE SEGURIDAD CON CLAVE NUMÉRICA CONECTADO EN EL LATERAL DEL ELEMENTO OBJETO DEL DELITO. LA DENUNCIANTE MANIFIESTA QUE DESDE EL DÍA EN EL QUE ELLA SE RETIRO DE SU LUGAR DE TRABAJO HASTA EL DÍA DE LA FECHA, NINGÚN PERSONAL DE LA EMPRESA PUNTO A PUNTO CUMPLIÓ TAREAS LABORALES, Y QUE ANTES DE RETIRARSE EL PASADO DÍA JUEVES 11 DEL CORRIENTE, ASEGURÓ LAS COMPUTADORAS CON EL CANDADO Y QUE LA ÚNICA PERSONA QUE CONOCE LA CLAVE DE SEGURIDAD DEL CANDADO ES ELLA Y UN PERSONAL SUPERIOR DE LA EMPRESA QUE NO SE PRESENTÓ EN LA AEROESTACIÓN EN EL TRANSCURSO DE LOS DÍAS DEL POSIBLE ILÍCITO.</t>
  </si>
  <si>
    <t>PUNTO A PUNTO</t>
  </si>
  <si>
    <t>PRESUNTA INFRACCION A LA LEY 23.737 DEL CPN</t>
  </si>
  <si>
    <t>INFRACCION A LA LEY 23.737 DEL C.P.N.</t>
  </si>
  <si>
    <t>MAQUINA DE RAYOS X CORREO JET PAQ</t>
  </si>
  <si>
    <t>LINDANTE CON LA BODEGA DE EXPORTACION</t>
  </si>
  <si>
    <t>MIRTA MARTINEZ, ANICETO LATORRE Nº 47 CP 4400 SALTA</t>
  </si>
  <si>
    <t>MARCELO GIMENEZ, TIRSO LOPEZ Nº 285 BARRIO INDUSTRIAL CP 9000, COMODORO RIVADAVIA CHUBUT</t>
  </si>
  <si>
    <t>SIENDO LA HORA Y LA FECHA ANTES MENCIONADANUTOS APROXIMADAMENTE, EN MOMENTOS QUE LA OFICIAL JEFE SORIA , Y EL OFICIAL PINEDA, AMBOS NUMERARIOS DEL DICA, PERTENECIENTE A ESTA POLICíA DE SEGURIDAD AEROPORTUARIA, SE ENCONTRABAN EFECTUANDO UN CONTROL MEDIANTE LA MAQUINA DE RAYOS X, UBICADA EN EL SECTOR DEL CORREO JET PAQ, SITO ESTE EN LA TERMINAL DE CARGAS ARGENTINAS DE ESTA TERMINAL AéREA, DETECTANDO UNA CAJA CONTENIENDO SUSTANCIA ORGANICA DE BAJA DENSIDAD POR LO QUE SE DIO INTERVENCION AL JUZGADO, QUIEN DISPUSO APERTURAR DICHA ENCOMIENDA, LA CUAL CONTENIA HOJAS DE COCA, POSTERIORMENTE SE CONTINUAN CON LAS ACTUACIONES DE RIGOR.</t>
  </si>
  <si>
    <t>AU 2838</t>
  </si>
  <si>
    <t>EN CUMPLIMIENTO DE LA ORDEN DE SERVICIO NRO. 0102/2010 Y SIENDO LAS 01:40 HORA LOCAL ARRIBA AERONAVE AIR BUS A 320, MATRICULA LV-BGI, PERTENECIENTE A LA EMPRESA LAN ARGENTINA COMO VUELO NRO. 4428 Y EN CUYAS BODEGAS 11, 12 Y 13 SE EMBARCAN UN TOTAL DE 100 CAJAS CON UN PESO DE 2000 KILOGRAMOS DE METAL- MTD- PERTENECIENTES A LA EMPRESA MINERA SANTA CRUZ. EL MISMO DESPEGA COMO VUELO NRO. 4429 CON DESTINO EL AEROPUERTO MINISTRO PISTARINI A LAS 03:25 HORAS LOCAL.</t>
  </si>
  <si>
    <t>AEROPUERTO MINISTRO PISTARINI- EZEIZA</t>
  </si>
  <si>
    <t>FABRIS, ROXANA GUADALUPE</t>
  </si>
  <si>
    <t>ACTUACIONES EN ACCIDENTE DE TRANSITO</t>
  </si>
  <si>
    <t>A 1500 MTS DE LA AEROSTACIÓN</t>
  </si>
  <si>
    <t>PARQUIZADO</t>
  </si>
  <si>
    <t>EL DIA 15 DEL CORRIENTE MES Y AÑO, EN CIRCUNSTANCIA QUE LA DAMNIFICADA VENIA CIRCULANDO CON SU VEHÍCULO MARCA PEUGEOT, MODELO 307, CHAPA PATENTE GRW 832, POR EL CAMINO DE EGRESO DE ESTE AEROPUERTO PIERDE EL CONTROL DEL MISMO SALIENDO DE LA CINTA ASFÁLTICA E IMPACTANDO CONTRA UNO DE LOS ARBOLES LINDANTES EN LA ZONA, EL VEHÍCULO SUFRIÓ DAÑOS DE CONSIDERACIÓN, LA DAMNIFICADA NO SUFRIÓ LESIONES. SE DIO INTERVENCIÓN A LA FISCALIA EN TURNO QUIEN DISPUSO SE LABREN LAS ACTUACIONES DE RIGOR, QUE POR NO HABER TERCEROS INVOLUCRADOS NO SE REALICEN LAS PERICIAS CORRESPONDIENTES Y SE ELEVE LO ACTUADO A ESOS ESTRADOS. POSTERIORMENTE EL VEHÍCULO ES RETIRADO POR UNA GRÚA PERTENECIENTE A LA EMPRESA DE SEGUROS DE LA DAMNIFICADA.</t>
  </si>
  <si>
    <t>SALA EMERGENCIAS EMERGER</t>
  </si>
  <si>
    <t>SIENDO LA 07:15 HS EL SEÑOR CARLOS ALBERTO MAYAN DNI 7.817.857 PERMISIONARIO DEL KIOSCO DE ESTE AEROPUERTO ES LLEVADO A LA SALA DE PRIMEROS AUXILIOS POR PERSONAL DE EMERGER, POR HABER SUFRIDO UN DESMAYO, SIENDO LAS 07:55 HS LA DOCTORA MONICA DUFOUR DNI 25702346, INFORMA EL FALLECIMIENTO DEL MISMO. POR TAL MOTIVO ME COMUNICO CON EL JUZGADO PROVICNCIAL DE INSTRUCCDION NRO 2, SIENDO ATENDIDO POR LA DOCTORA VALERIA LOPEZ LESTON TITULAR DEL MISMO A QUIEN RELATO LO SUCEDIDO LA CUAL ORDENA QUE UNA VEZ QUE EL MEDICO POLICIAL EXTIENDA EL CERTIFICADO DE DEFUNCION SE HAGA ENTREGA DEL CUERPO AL LOS FAMILIARES Y SE ELEVE LO ACTUADO A LOS FINES DE TENER CONSTANCIA.</t>
  </si>
  <si>
    <t>7100/10</t>
  </si>
  <si>
    <t>A-17.677</t>
  </si>
  <si>
    <t>INFORMO POR ERROR DE TIPEO, SE RECTIFICA EL NÚMERO DE CARATULA JUDICIAL A - 47.677, POR EL CORRESPONDIENTE NÚMERO DE CARATULA JUDICIAL: A - 17.677, CARATULA JUDICIAL: DAÑOS ART. 183 C.P.N.</t>
  </si>
  <si>
    <t>7079/10</t>
  </si>
  <si>
    <t>DAÑOS ART. 183 C.P.N.</t>
  </si>
  <si>
    <t>A - 17.685</t>
  </si>
  <si>
    <t>INFORMO QUE SIENDO LAS 09:50 HS DEL DÍA 15 DE NOVIEMBRE DEL CORRIENTE AÑO SE REALIZA PRESENTACIÓN DE LA PREVENCIÓN SUMARIA 04/2010 EN EL JUZGADO FEDERAL DE MARRAS , ENTREGADA EN MANO EN MESA DE ENTRADA DE LA SECRETARIA PENAL. ASIMISMO INFORMOSE ASIGNANDO NÚMERO DE CARATULA JUDICIAL: A - 17.685 CARATULADO: "DAÑOS" ART. 183 DEL C.P.N.</t>
  </si>
  <si>
    <t>MANUEL E. BONNIN</t>
  </si>
  <si>
    <t>PRESUNTA TRATA DE PERSONA</t>
  </si>
  <si>
    <t>SIENDO LAS 07:45 HORAS SE PRESENTA EN ESTA DEPENDENCIA EN CUMPLIMIENTO A OFICIO JUDICIAL 1223/10 DEL JUZGADO FEDERAL DE PRIMERA INSTANCIA DE SANTA CRUZ EMITIDO A LA SECRETARIA DE DERECHOS HUMANOS DE LA PROVICIA DE SANTA CRUZ, LA OFICIAL INSPECTOR MARIA VALERIA HERREA PERTENECIENTE A LA POLICIA DE LA PROVINCIA DE SANTA CRUZ CON LA SRTA YAMILA MAGDA RESER DNI 35.795.632 QUIEN RESULTA SER VICTIMA RESCATADA DEL DELITO DE TRATA DE PERSONA, PROCEDIENDOSE A PARTIR DE ESE MOMENTO A SU CUSTODIA A FIN DE RESGUARDAR SU INTEGRIDAD FISICA Y POSTERIOR EMBARQUE EN EL VUELO DE LA EMPRESA AUSTRAL VUELO AU 2884 CON DESTINO A LA CIUDAD DE BUENOS AIRES, LA MISMA VIAJA SOLA SIENDO RECIBIDA EN DICHA LOCALIDAD POR LA SRA.GUILLERMINA BENITO DE LA SECRETARIA DE DERECHOS HUMANOS DE LA NACION</t>
  </si>
  <si>
    <t>MORENO TORRES, LIDIA S/INFRACCION LEY 22415</t>
  </si>
  <si>
    <t>1532/2010</t>
  </si>
  <si>
    <t>HOTEL MICKY, TALCAHUANO 362, ENTRE AV. CORRIENTES Y SARMIENTO, HABITACION Nº 9.</t>
  </si>
  <si>
    <t>CON RELACION A ORDEN DE SERVICIO NRO. 1279/10, EN EL DIA DE LA FECHA SE PROCEDIO A DAR CUMPLIMIENTO A LA ORDEN DE ALLANAMIENTO LIBRADA POR EL JUZGADO INTERVINIENTE EN EL DOMICILIO INDICADO, A EFECTOS DE PROCEDER A LA DETENCION DE JUAN CARLOS ARTEAGA GUTIERREZ, PASAPORTE ESPAÑOL NRO. 39928160E, RESULTANDO QUE AL LLEGAR AL LUGAR SE CONSTATO QUE EL MISMO SE HABIA RETIRADO DEL HOTEL EN EL DIA DE AYER, POR LO CUAL EL JUZGADO ACTUANTE ORDENA SE LIBRE ACTA DEJANDO CONSTANCIA DE LO SUCEDIDO.</t>
  </si>
  <si>
    <t>Ferrer</t>
  </si>
  <si>
    <t>Emilio</t>
  </si>
  <si>
    <t>AVERIGUACION CAUSALES DE INCENDIO</t>
  </si>
  <si>
    <t>SECTOR SUROESTE DEL AEROPUERTO</t>
  </si>
  <si>
    <t>INFORMO QUE EN EL DÍA DE LA FECHA A HORAS 17:00 SE VISUALIZA EN SECTOR SUROESTE DEL AEROPUERTO DENTRO DEL SECTOR RESTRINGIDO UNA GRAN COLUMNA DE HUMO POR LO QUE SE DESPLIEGA PERSONAL DE ESTA UOSP PARA INSPECCIONAR EL ÁREA, CONSTATANDO EL DESARROLLO DE UN FOCO DE INCENDIO EN EL SECTOR. PRODUCIENDO LA QUEMA DE PASTIZALES, PROPAGÁNDOSE EN UNA ÁREA APROXIMADA DE 200X200 METROS, SEGUIDAMENTE SE PUSO EN CONOCIMIENTO AL SERVICIO CONTRA INCENDIO DEL AEROPUERTO, AL ADMINISTRADOR DEL AEROPUERTO, COMO ASÍ TAMBIÉN SE DIO LA NOVEDAD AL JEFE DE TURNO ANAC QUIEN MANIFIESTA QUE ESTABA EN CONOCIMIENTO DE LA SITUACIÓN Y QUE EL AEROPUERTO SE ENCUENTRA OPERABLE. SIENDO LAS 18:40HS SE HACEN PRESENTE PERSONAL DE DEFENSA CIVIL DE LA PROVINCIA PARA REALIZAR COLABORACIÓN CON EL PERSONAL DE BOMBEROS DE ESTE AEROPUERTO. SIENDO LAS 18:00 Y 18:45 SE INTENTA ESTABLECER COMUNICACIÓN TELEFÓNICA CON EL JUZGADO DE TURNO SIN PODER CONCRETAR LA MISMA. SE REALIZAN LAS ACTUACIONES PERTINENTES PARAS SER PRESENTADAS CON POSTERIORIDAD AL JUZGADO INTERVINIENTE. A HORAS 19:40 PERSONAL DE BOMBEROS Y PERSONAL DE DEFENSA CIVIL CONTINUAN CON EL TRABAJO DE EXTINCION DE LOS FOCOS IGNEOS Y PERSONAL DEL ANAC INFORMA QUE EL AEROPUERTO CONTINUA OPERABLE. SE AMPLIARA UN VEZ FINALIZADA LAS TAREAS DE SOFOCACION DEL FUEGO Y REALIZADA LA COMUNICACION CON EL JUZGADO DE TURNO. SEGÚN AMPL. PU N° 7281/10 INFORMO QUE A HS. 22:00 EL JEFE DE BOMBEROS DE LA POLICIA FEDERAL ARGENTINA COMISARIO PAVON PAULO COMUNICA LA FINALIZACIÓN DE LAS TAREAS DE EXTINCION DE LOS FOCOS DE INCENDIO EN UN CIEN ORCIENTO.SIENDO LAS 20:00 , 20:30 Y 21:20 SE INTENTA ESTABLECER COMUNICACIÓN TELEFÓNICA CON EL JUZGADO DE TURNO SIN PODER CONCRETAR LA MISMA.SE AMPLIARA UNA VEZ REALIZADA LA COMUNICACION TELEFONICA. SEGÚN AMPL. PU N° 7295/10 INFORMO QUE DEVIDO A QUE EL DIA 16/11/10 NO SE PUDO ESTABLECER COMUNICACION TELEFONICA CON EL JUZGADO DE TURNO.EN EL DIA DE LA FECHA A HS. 11:15 SE ESTABLECE COMUNICACIÓN TELEFÓNICA CON EL JUZGADO INTERVINIENTE , DR. HORACIO ARGUELLO, QUIEN ORDENA QUE SE LABREN LAS ACTUACIONES DE RIGOR Y SE ELEVEN CON POSTERIORIDAD.</t>
  </si>
  <si>
    <t>DR. PABLO LEGA</t>
  </si>
  <si>
    <t>TURNO GUARDIA PREVENTIVA</t>
  </si>
  <si>
    <t>CONTROL RAYOS CHEKIN</t>
  </si>
  <si>
    <t>INFORMO EN EL DIA DE LA FECHA EN CONTROL DE RAYOS,EQUIPAJE DE BODEGA, SE DETECTA EN UNA MOCHILA ELEMENTOS ORGANICOS, EN FORMA DE HUESO, TIPO ASTAS. MEDIANTE LA EMPRESA AEROCOMERCIAL SE CONTACTA AL PROPIETARIO QUIEN ACCEDE A ABRIR EL EQUIPAJE Y MOSTRAR SU CONTENIDO, SIEN DO EL ELEMENTO EN CUESTION DOS ASTAS DE CIERVO COLORADO, SE CONSULTA AL PASAJERO SR. PETRACCI PABLO FABRICIO, SI POSEIA PERMISO ALGUNO PARA EL TRASLADO, INFORMANDO EL MISMO QUE NO. SE REALIZO COMUNICACION TELEFONICA CON EL CENTRO AUSTRAL DE INVESTIGACIONES CIENTIFICAS, EN LA PERSONA DE LA VICEDIRECTORA DRA. MONICA SALEMME, LA CUAL INDICA QUE PARA SACAR ELEMENTOS DE LA PROVINCIA ES COMPETENCIA DE LA SUBSECRETARIA DE CIENCIA Y TECNOLOGIA. SE REALIZA COMUNICACION TELEFONICA CON EL SUBSECRETARIO DE CIENCIA Y TECNOLOGIA LICENCIADO CLAUDIO ROIG, EL CUAL EXPONE QUE NADIE PUEDE SACAR ESTE TIPO DE ELEMENTOS DE LA PROVINCIA SIN AUTORIZACION.POR LO QUE SOLICITA SE REALIZA LA RETENCION DE DICHOS ELEMENTOS Y QUE VENDRIA AL TURNO DE PREVENCION EL DIA DE MAÑANA A RETIRAR LOS ELEMENTOS. TAMBIEN SE LE INFORMA QUE SE PONDRIA EN CONOCIMIENTO AL JUZGADO FEDERAL. A CONTINUACION SE ANOTICIA AL JUZGADO FEDERAL EN LA PERSONA DEL SECRETARIO DR. PABLO LEGA QUIEN NOS INFORMA QUE POR DISPOSICION DE S.SA. SE RETENGAN LOS ELEMENTOS, QUE NO ES UN HECHO PENAL SINO UNA FALTA ADMINISTRATIVA POR PARTE DEL CAUSANTE. ACTO SEGUIDO SE RETIENEN LOS ELMENTOS DE REFERENCIA EN PRESENCIA DE TESTIGOS HABILES QUEDANDO LOS MISMOS A RESGUARDO EN EL TURNO DE PREVENCION PARA SU POSTERIOR ENTRGA A LA SUBSECRETARIA DE CIENCIA Y TECNOLOGIA PROVINCIAL, RETIRANDOSE EL CAUSANTE DEL TURNO DE PREVENCION PARA POSTERIORMENTE EMBARCAR EN EL VUELO AR-1872 SIN NOVEDAD.</t>
  </si>
  <si>
    <t>AR-2881</t>
  </si>
  <si>
    <t>SE INFORMA QUE EL DETENIDO INTERNADO EN EL HOSPITAL ZONAL DE EZEIZA EN CUSTODIA DE PERSONAL DE ESTA UNIDAD, REALIZO EL DIA 16 DE NOVIEMBRE DE 2010 LA 11ER. DEPOSICIONES A LAS 14:55 HS, DE 2 CAPSULAS CON UN PESO DE 30 GRS.</t>
  </si>
  <si>
    <t>PLATAFORMA MILITAR I BRIGADA EL PALOMAR</t>
  </si>
  <si>
    <t>EN DIA DE LA FECHA SIENDO LA HORA ANTES MENCIONADA SE PROCEDE A IMPLEMENTAR LAS MEDIDAS DE SEGURIDAD CORRESPONDIENTES PARA LA PARTIDA DE LA SRA. PRESIDENTE DE LA NACION CRISTINA FERNANDEZ DE KIRCHNER. SIENDO LAS 20:53 HORAS PARTE DESDE ESTE AEROPUERTO EL PALOMAR LA SRA. PRESIDENTE EN AERONAVE MATRICULA LV-WJO. FINALIZANDO EL OPERATIVO SIN NOVEDAD.-</t>
  </si>
  <si>
    <t>CURUZU CUATIA</t>
  </si>
  <si>
    <t>DR NESTOR TUHAY</t>
  </si>
  <si>
    <t>HOTEL SHERATON</t>
  </si>
  <si>
    <t>INFORMO SIENDO LAS 19:30 HS SE PRESENTA UNA PERSONA A LOS EFECTOS DE RADICAR UNA DENUNCIA POR UN SUPUESTO HECHO DELICTIVO ACOMPAÑADO POR UNA SEÑORITA QUE MANIFIESTA SER ANNA BARBARA MOSZKO QUIEN OFICIA DE INTERPRETE DEL DENUNCIANTE SEÑOR MARCIN ANDRZEJ JACZEWSKI DE NACIONALIDAD POLACA QUIEN NO SABE HABLAR ESPAÑOL ACTO SEGUIDO PREGUNTADO A TRAVES DEL INTERPRETE DEL MOTIVO DE LA DENUNCIA DICE A TRAVES DEL INTERPRETE EN EL DIA DE LA FECHA SIENDO APROXIMADAMENTE LAS 07:15 HS SE FUERON A REALIZAR UN PASEO TURISTICO A LAS CATARATAS DEL LADO BRASILERO DEJANDO TODOS SUS EQUIPAJES EN EL HOTEL SHERATON IGUAZU RETORNANDO A LAS 13:00 HS PARA VISITAR LAS CATARATAS DEL LADO ARGENTINO TERMINANDO EL PASEO A LAS 18:00 HS TRES VEHÍCULOS DE LA EMPRESA DE REMISSES FALLS DE PUERTO IGUAZÚ RETIRARON DE DICHO HOTEL SUS EQUIPAJES QUE SE ENCONTRABAN EN LA CONSERGERIA DEL HOTEL ANTES NOMBRADO DICHOS EQUIPAJES FUERON ENTREGADOS EN LA SALIDA DEL PARQUE NACIONAL IGUAZU SEGUIDAMENTE SE DIRIGIERON A ESTA AEROESTACION DONDE SE PERCATARON DEL FALTANTE DE UNA VIDEO CAMARA FOTOGRAFICA DIGITAL DE MARCA SONY-CIBERSHOT COLOR GRIS BRILLANTE CON DISCO DURO DE 32 GIGA BYTES.ACTO SEGUIDO SE DA INTERVENCION AL DR. NESTOR ARIEL THUAY SECRETARIO DEL TURNO DEL JUZGADO DE INSTRUCCION Nº 3 DE LA CIUDAD DE PUERTO IGUAZU QUIEN ENTERADO DE LOS HECHOS ORDENA SE TOME LA DENUNCIA Y SE ELEVE LO ACTUADO A SEDE TRIBUNALICIA</t>
  </si>
  <si>
    <t>7248/10</t>
  </si>
  <si>
    <t>DE ACUERDO A LO ORDENADO EN FORMA TELEFONICA POR EL JUZGADO DE PAZ INTERVINEINTE, A LAS 13:00 HORAS DEL DIA 16-11-2010 SE PROCEDIO A LA LIBERACION DE LOS APREHENDIDOS EN AUTO, QUIENES SE RETIRARON DE ESTA DEPENDENCIA POR SUS PROPIOS MEDIOS. PTO.-</t>
  </si>
  <si>
    <t>AL ARRIBAR AL PAIS, LA DENUNCIANTE SE RETIRA DE LA ZONA DE ARRIBOS JUNTO CON SUS EQUIPAJES DE MANO Y DESPACHADOS POR BODEGA, LOS CUALES COLOCÓ EN UN CARRO PORTA MALETAS PARA TRASLADARSE HACIA EL HALL PUBLICO DE ARRIBOS. SEGUIDO A ELLO, ASCIENDE A UN VEHICULO PARTICULAR EN EL QUE SE TRASLADARIA A SU DOMICILIO Y UNA VEZ ARRIBADO AL MISMO DE PERCATA DEL FALTANTE DE UNA MOCHILA DE SU PROPIEDAD. POR TAL MOTIVO EN EL DIA DE LA FECHA SE HACE PRESENTE EN ESTA DEPENDENCIA A FIN DE RADICAR LA DENUNCIA. NO SE APORTA CON EXACTITUD LA HORA DEL HECHO. PTO.-</t>
  </si>
  <si>
    <t>7273/10</t>
  </si>
  <si>
    <t>SECTOR SUROESTE DENTRO DEL SECTOR RESTRINGIDO</t>
  </si>
  <si>
    <t>INFORMO QUE A HS. 22:00 EL JEFE DE BOMBEROS DE LA POLICIA FEDERAL ARGENTINA COMISARIO PAVON PAULO COMUNICA LA FINALIZACIÓN DE LAS TAREAS DE EXTINCION DE LOS FOCOS DE INCENDIO EN UN CIEN PORCIENTO.SIENDO LAS 20:00 , 20:30 Y 21:20 SE INTENTA ESTABLECER COMUNICACIÓN TELEFÓNICA CON EL JUZGADO DE TURNO SIN PODER CONCRETAR LA MISMA.SE AMPLIARA UNA VEZ REALIZADA LA COMUNICACION TELEFONICA.</t>
  </si>
  <si>
    <t>DRA. MARIA I. CARBAJALES</t>
  </si>
  <si>
    <t>EN CIRCUNSTANCIAS DE EFECTUARSE EL CONTROL PREVENTIVO, LOS OFICIALES INTERVINIENTES, DETECTAN LA EXISTENCIA DE BULTOS EXTRAÑOS CONTENIDOS EN LOS CONTORNOS DE DOS EQUIPAJES DESPACHADOS. ATENTO A ELLO, CONVOCAN TESTIGOS Y JUNTO A UNO DE LOS TESTIGOS, PARTE DEL PERSONAL ACTUANTE SE CONSTITUYE EN LA MANGA 8 DONDE CONTACTA AL PASAJERO PROPIETARIO DE LOS EQUIPAJES EN CUESTION. A QUIEN INVITAN AL PATIO DE VALIJAS DONDE EL MISMO EXHIBE LOS COMPROBANTES QUE COINCIDEN CON LOS MARBETES QUE PORTABAN LAS MALETAS EN CUESTION. SEGUIDO A ELLO SE SOLICITA LA AUTORIZACION DE REQUISA Y AUTORIZADA LA DILIGENCIA, SE OBTIENE QUE LOS DOS CONTORNOS INTERNOS DE LOS EQUIPAJES, ERAN DE UN MATERIAL RÍGIDO DE COLOR NEGRO OBTENIENDOSE PEQUEÑAS MUESTRAS DE LOS MISMOS MEDIANTE RASPAJE Y SOMETIDAS A PRUEBA DE CAMPO SE OBTUVO RESULTADO POSITIVO COCAINA. DE IGUAL MODO SE REALIZARON PRUEBAS SOBRE LA SUSTANCIA CONTENIDA EN UN PEQUEÑO CUADRO DE LA CUAL TAMBIEN SE OBTUVO RESULTADO POSITIVO COCAINA. ENTERADO EL MAGISTRADO INTERVINEINTE DISPUSO LA DETENCION DEL CAUANTE, EL LABRADO DE LAS PERTINENTES DILIGENCIAS Y SECUESTROS DE RIGOR.LOS OFICIALES INTERVINIENTES FUERON PRINCIPAL KARINA FRIAS, AYUDANTE MARCELO MANGINI Y AYUDANTE YESICA ESQUIVEL. PTO.-</t>
  </si>
  <si>
    <t>SIENDO LAS 23:45 HORAS DEL DÍA 16 DEL CORRIENTE MES Y AÑO, SE PROCEDE A IMPLEMENTAR LAS MEDIDAS DE SEGURIDAD CORRESPONDIENTES AL ARRIBO DE LA SRA. PRESIDENTE DE LA NACION CRISTINA FERNANDEZ DE KIRCHNER. SIENDO LAS 00:48 HORAS DEL DÍA 17 DEL CORRIENTE MES Y AÑO ARRIBA A ESTA AEROESTCION LA SRA. PRESIDENTE EN AERONAVE CON MATRICULA LV-WJO, RETIRANDOSE DE ESTE AEROPUERTO EN HELICOPTERO CON MATRICULA H-01. FINALIZANDO EL OPERATIVO A LAS 00:55 HORAS SIN NOVEDAD.-</t>
  </si>
  <si>
    <t>INFORMO SE DIO CUMPLIMIENTO A LA ORDEN DE SERVICIO Nº 064/10 UOSP LIB, CON MOTIVO DEL ARRIBO A ESTE AEROPUERTO, PROCEDENTE DEL AERODROMO EL PALOMAR, SIENDO LAS DIECIOCHO HORAS, DE LA AERONAVE FOCKER F-28 TC-54, TRAYENDO A COMITIVA, ENCABEZADA POR EL DIPUTADO NACIONAL HUGO PERIE, Y PERSONAL DE LA CUSTODIA PRESIDENCIAL, A FIN DE PARTICIPAR DE LOS ACTOS POR EL BICENTENARIO DE LA CIUDAD DE CURUZU CUATIA. QUE SIENDO LAS UNA HORAS Y CUARENTA MINUTOS, DESPEGA LA AERONAVE ANTES MENCIONADA CON LA COMITIVA, CON DESTINO EL AERODROMO EL PALOMAR, SIN NOVEDAD.</t>
  </si>
  <si>
    <t>HALL SUPERIOR</t>
  </si>
  <si>
    <t>SIENDO LAS 23:30 HS SE RECIBE COMUNICACIÓN POR PARTE DE PERSONAL DE ESTA POLICÍA EN LA PERSONA DEL OFICIAL PRINCIPAL ALEJANDRO ESPADA INFORMANDO RESPECTO DE LA PRESENCIA DE UNA PERSONA DE SEXO FEMENINO, MAYOR DE EDAD, LA CUAL SE ENCONTRABA CON APARENTES SIGNOS DE ESTAR EXTRAVIADA Y NO ENCONTRARSE EN SUS CABALES, MANIFESTANDO INCOHERENCIAS, POR TAL MOTIVO EL JEFE DE TURNO DEL DIA DE LA FECHA SE APERSONÓ AL HALL SUPERIOR DEL SECTOR PUBLICO, SE PRESENTO ANTE LA CAUSANTE CONSULTÁNDOLE LOS MOTIVOS POR LOS CUALES PERMANECÍA EN EL AEROPUERTO, RESPONDIENDO QUE QUERÍA VIAJAR A ARABIA ,ANTE ESA AFIRMACIÓN LE SOLICITÓ QUE EXHIBA ALGÚN BOARDING PASS, OBTENIENDO RESPUESTA NEGATIVA, LE SOLICITÓ SI POSEE ALGUNA IDENTIFICACIÓN, ANTE LO CUAL EXHIBE SU DNI Nº 29.713.190, A NOMBRE DE CECILIA ELISA LECCO., SEGUIDAMENTE LA SEÑORITA SOLICITA QUE LA ACOMPAÑEN A ALGÚN SERVICIO MÉDICO POR ENCONTRARSE DESCOMPUESTA, POR LO QUE SE LA ACOMPAÑÓ A EMERGER, SERVICIO MÉDICO DE ESTA AEROESTACION, A DONDE SE LE SOLICITÓ AL PROFESIONAL DE TURNO QUE LA EVALÚE, A EFECTOS DE EXPEDIRSE SOBRE SU ESTADO DE SALUD, YA QUE APARENTEMENTE NO ESTABA EN SUS CABALES, NO SE SENTÍA BIEN POR MANIFESTACIONES DE ELLA, Y POR NOTAR INCOHERENCIA EN SUS DICHOS. UNA VEZ EN EL CONSULTORIO, EL DR. ANDRÉS FEDERICO CORDOBA, MP 33248/8 CONSTATA LA ALTERACIÓN EVIDENCIADA ANTERIORMENTE, ACTO SEGUIDO SIENDO LAS 01:00, SE ESTABLECIÓ COMUNICACIÓN CON EL PRECINTO Nº 17, A EFECTOS DE RECIBIR INFORMACIÓN SOBRE LA EXISTENCIA DE ALGUNA ALERTA O MEDIDA RESPECTO DE LA CAUSANTE, SIENDO ATENDIDOS POR LA SARGENTO CORNAGLIA, Y LA QUE AL INTERIORIZARSE DE LA SITUACIÓN, FACILITA EL NUMERO TELEFÓNICO DE CONTROL DE COMUNICACIONES, DEPENDIENTE DE LA POLICÍA PROVINCIAL, DONDE A LAS 01:05 HS, SE ESTABLECE COMUNICACIÓN CON LA OFICIAL CINTIA MOLINA, QUIEN INFORMADA DE LO ACONTECIDO Y OTORGÁNDOLE LOS DATOS FILIATORIOS DE LA PERSONA SUPUESTAMENTE EXTRAVIADA, SOLICITA MANTENERNOS A LA ESPERA DE UNA LLAMADA A EFECTOS DE INFORMAR SI SOBRE LA PERSONA EN CUESTIÓN HAY ALGÚN REGISTRO O ALERTA. SIENDO 01.20 HS.., SE RECIBE COMUNICACIÓN TELEFÓNICA DE LA MENCIONADA OFICIAL, INFORMANDO QUE PESA UNA ALERTA DESDE LAS 16:00 HS DEL DÍA 15 DE NOVIEMBRE DEL CORRIENTE AÑO , RESPECTO DE LA DESAPARICIÓN DE LA PERSONA EN CUESTIÓN, EN ESA COMUNICACIÓN TAMBIÉN INFORMA QUE UN MÓVIL DE LA POLICÍA DE LA PROVINCIA DE CÓRDOBA SE PRESENTÓ AL DOMICILIO DE LA SEÑORITA, Y UNA VEZ EN ESA, EL PADRE DE LA MISMA MANIFESTÓ QUE A LA BREVEDAD SE PRESENTARÍA A ESTA AEROSTACIÓN A FINES DE BUSCARLA. SIENDO LAS 02:10 SE PRESENTA EL SR LUÍS ALDO LECCO, QUIEN ES EL PADRE DE LA SEÑORITA, ACOMPAÑADO DE SU D.N.I. Y UNA CONSTANCIA DE ACTUACIONES, RADICADA EN LA UNIDAD JUDICIAL XX, DE LA CIUDAD DE CORDOBA CAPITAL, SUMARIO INTERNO 2340/10, CARATULADO PRIMA FACIE "DENUNCIA FORMULADA CON MOTIVO DE DESAPARACION DE PERSONA" SIN PRESO, DE FECHA 15-NOV-10, CON MOTIVO DE LA DESAPARICIÓN DE LA SEÑORITA LECCO, CON CONOCIMIENTO DE LA FISCALIA DE INSTRUCCIÓN DISTRITO I, TURNO 4, POR LO QUE ESTA PREVENCION SE COMUNICÓ CON LA UNIDAD JUDICIAL XX, INFORMANDO LA APARICION DE LA CAUSANTE Y EL POSTERIOR RETIRO CON SU PADRE. SIENDO LAS 02:50 HS., LA SEÑORITA LECCO Y SU PROGENITOR SE RETIRAN DE LA AEROESTACION.</t>
  </si>
  <si>
    <t>PREEMBARQUE AEROLINEAS ARGENTINAS</t>
  </si>
  <si>
    <t>SIENDO LA HORA Y EL DÍA ANTES MENCIONADO, EL OFICIAL OLARIAGA SE ENCONTRABA DESEMPEÑANDO FUNCIONES LABORALES EN EL PUNTO DE INSPECCIÓN, CONTROL Y REGISTRO DEL PREEMBARQUE DE AEROLÍNEAS ARGENTINAS DE ESTA AEROSTACIÓN, MOMENTOS EN QUE REALIZANDO EL CONTROL DE LOS PASAJEROS DEL VUELO DE MENCION CON HORARIO DE PARTIDA A LAS 1810 HORAS, SE PRESENTA EN DICHO CONTROL UNA PERSONA DE SEXO MASCULINO, QUIEN DEPOSITA EN LA CINTA TRANSPORTADORA DE LA MAQUINA DE RX, UNA CAMPERA JUNTO CON UNA MOCHILA QUE LLEVABA COMO EQUIPAJE DE MANO, Y ES EN ESE MOMENTO QUE EL OFICIAL OLARIAGA OBSERVA EN LAS IMÁGENES DEL SCANER, BULTOS EXTRAÑOS QUE DADO LA CONSISTENCIA, TAMAÑO Y COLORACIÓN, LO HACEN SUPONER QUE PODRÍA TRATARSE DE DIVISAS. ASIMISMO EL PASAJERO TRASPASA EL ARCO DETECTOR DE METALES, ACCIONÁNDOLO, POR LO QUE EL OFICIAL ANDRADA, PROCEDE AL CHEQUEO DEL PASAJERO, PUDIENDO DETECTAR BULTOS EXTRAÑOS EN LA ZONA PECTORAL IZQUIERDA Y EN AMBOS BOLSILLOS DEL PANTALÓN. A MODO DE SUPERVISIÓN EL OFICIAL OLARIAGA, REALIZA NUEVAMENTE EL CHEQUEO, Y OBSERVA OTRO BULTO EN LA PARTE ABDOMINAL. POR TAL MOTIVO SOLICITO DOS TESTIGOS HÁBILES Y ANTES ESTOS LE CONSULTA POR LOS BULTOS HALLADOS, CONTESTANDO QUE LLEVABA APROXIMADAMENTE UNOS CUARENTA MIL DÓLARES ESTADOUNIDENSES. POSTERIORMENTE SE TRASLADA A LOS INTERVINIENTES A ESTA GUARDIA DE PREVENCIÓN, Y SIENDO LAS 1735 HORAS SE ENTABLA COMUNICACIÓN CON LA JUDICATURA ACTUANTE QUIEN DISPONE: SE CARATULE COMO TENTATIVA DE CONTRABANDO DE DIVISAS, SE REALICE REQUISA PERSONAL Y DE PERTENENCIAS DEL PASAJERO, RECUENTO DE DIVISAS, SE HAGA ENTREGA AL CAUSANTE DE LA SUMA DE DIEZ MIL DÓLARES ESTADOUNIDENSES Y LOS RESTANTES TREINTA Y SEIS MIL DOLARES ESTADOUNIDANSES SE SECUESTREN Y DEPOSITEN EN EL BANCO CIUDAD A DISPOSICIÓN DEL TRIBUNAL, SE DICTE LA PROHIBICIÓN DE SALIDA DEL PASAJERO, SE SOLICITE TRÁNSITOS MIGRATORIOS, SE NOTIFIQUE AL CAUSANTE DE LA CITACIÓN A COMPARECER EL DÍA 18 DEL CORRIENTE MES Y AÑO A PRESTAR DECLARACIÓN INDAGATORIA,, Y QUE SE ELEVEN LAS ACTUACIONES A SEDE JUDICIAL EL DÍA MIÉRCOLES 17 DEL CORRIENTE MES Y AÑO. SE DEJA CONSTANCIA QUE AL FINALIZAR LAS ACTUACIONES EL CAUSANTE SE RETIRA DE LA GUARDIA DE PREVENCION SIN NOVEDAD.</t>
  </si>
  <si>
    <t>INFRACCION A LOS ARTICULOS 292, 293 Y 296 DEL C.P.N.</t>
  </si>
  <si>
    <t>INF. ARTS. 292, 293 Y 296 DEL C.P.N.</t>
  </si>
  <si>
    <t>BOX DE MIGRACIONES DE SALIDA DEL AEROPUERTO INTERNACIONAL DE EZEIZA</t>
  </si>
  <si>
    <t>EL DIA Y LA HORA ANTES MENCIONADO SE RECEPCIONA EN ESTA GUARDIA POLICIAL POR PARTE DE LA DIRECCION NACIONAL DE MIGRACIONES AL CAUSANTE, DEBIDO A QUE EL MISMO AL MOMENTO DE REALIZAR LA SALIDA DEL PAIS CORRESPONDIENTE, PRESENTANDO A TAL EFECTO UN PASAPORTE CHILENO A NOMBRE DE MIGUEL ANTONIO JIMENEZ MORALES, CIRCUSTANCIA EN LA CUAL EL INSPECTOR DE MIGRACIONES DUDA SOBRE LA LEGITIMIDAD DE DICHO PASAPORTE, YA QUE POSEÍA UN SELLO DE SALIDA DE LA REPUBLICA ARGENTINA APÓCRIFO Y NO PERTENECÍA A LA PERSONA QUE LO PORTABA. SE LE INFORMO LA NOVEDAD AL JUZGADO FEDERAL EN TURNO DISPONIENDO LA DETENCIÓN CON CARÁCTER DE INCOMUNICADO, SE SECUESTRE EL PASAPORTE , Y PROCEDA AL TRASLADO DEL DETENIDO JUNTO CON LAS ACTUACIONES A SEDE JUDICIAL EL DIA 17/11/10.</t>
  </si>
  <si>
    <t>EN EL DIA DE LA FECHA A HS. 10:00 SE PRESENTA EL CIUDADANO MENDEZ LUIS ALBERTO, DNI Nº 11.475.872, PERSONAL DE ANAC, QUIEN RADICA DENUNCIA POR EL EXTRAVIO DE SU PERMISO PERSONAL DE SEGURIDAD AEROPORTUARIO Nº 331790, EL MISMO FUE EXTRAVIODO EL DIA DE LA FECHA EN LAS INTALACIONES DE ESTE AEROPUERTO AL MOMENTO QUE SE ENCONTRABA DE TURNO.</t>
  </si>
  <si>
    <t>INF. LEY 23.737</t>
  </si>
  <si>
    <t>OFICINA DE CORREO OFICIAL DE LA REPUBLICA ARGENTINA</t>
  </si>
  <si>
    <t>MAQUINA RX CORREO ARGENTINO</t>
  </si>
  <si>
    <t>ELENA CALDERON, VILLA ASUNCION.MANZANA 17,CASA 12, SALTA.</t>
  </si>
  <si>
    <t>JORGE OSCAR PLATA, PJE AZCUENAGA 1660, RIO GRANDE TIERRA DEL FUEGO.</t>
  </si>
  <si>
    <t>SE RECIBE COMUNICACIÓN TELEFONICA POR PARTE DEL SUBINSPECTOR GABRIEL PELLEGRINI Y EL OFICIAL AYUDANTE ALEJANDRO STATUTO, QUIENES REALIZABAN EL SERVICIO DE FISCALIZACION EN LAS CARGAS DESPACHADAS A TRAVES DE LA EMPRESA JET PAQ, COMUNICANDO QUE OBSERVAN A TRAVES DE LA PANTALLA DE RAYOS X EMPLAZADA EN EL LUGAR, EN EL INTERIOR DE UNA SACA PERTENECIENTE AL CORREO DE LA REPUBLICA ARGENTINA, CON PRECINTOS E245342 Y E211282, UNA CAJA CONTENIENDO VARIOS PAQUETES PEQUEÑOS CON SUSTANCIA ORGANICA DE BAJA DENSIDAD. A TAL EFECTO CONVOCAN TESTIGOS AL LUGAR, PARA LUEGO TRASLADARSE HACIA ESTA GUARDIA DE PREVENCIÓN, DONDE PREVIA AUTORIZACION JUDICIAL SE PROCEDE A LA APERTURA DE LA SACA EXTRAYENDOSE DE LA MISMA UNA CAJA DE CARTÓN, LA CUAL FUE DESPACHADA EN LA CIUDAD DE SALTA CAPITAL, DESTINADA HACIA LA CIUDAD DE RIO GRANDE, PROVINCIA DE TIERRA DEL FUEGO. EN EL INTERIOR DE LA MISMA SON HABIDAS VARIAS BOLSAS DE CONDIMENTOS COMESTIBLES, COMO ASÍ TAMBIÉN CUATRO BULTOS ENVUELTOS EN PAPEL DE DIARIO QUE CONTENIAN EN SU INTERIOR HOJAS DE PLANTA QUE POR SU CONTEXTURA Y OLOR SERIAN SIMILARES A LAS PROVENIENTES DE PLANTAS DE COCA.POR ULTIMO SE INICIARON ACTUACIONES DE RIGOR.</t>
  </si>
  <si>
    <t>TIERRA DEL FUEGO</t>
  </si>
  <si>
    <t>7281/10</t>
  </si>
  <si>
    <t>INFORMO QUE DEVIDO A QUE EL DIA 16/11/10 NO SE PUDO ESTABLECER COMUNICACION TELEFONICA CON EL JUZGADO DE TURNO. EN EL DIA DE LA FECHA A HS. 11:15 SE ESTABLECE COMUNICACIÓN TELEFÓNICA CON EL JUZGADO INTERVINIENTE , DR. HORACIO ARGUELLO, QUIEN ORDENA QUE SE LABREN LAS ACTUACIONES DE RIGOR Y SE ELEVEN CON POSTERIORIDAD</t>
  </si>
  <si>
    <t>SEBASTIAN CANDELA</t>
  </si>
  <si>
    <t>NICOLAS GERMAN BONAVENTO SERCHIA S/ DENUNCIA</t>
  </si>
  <si>
    <t>EL DIA 25 DE NOVIEMBRE DEL 2009 A LAS 09:00 HS SE HIZO PRESENTE EN LA COMISARIA TERCERA DE GENERAL ROCA, PROV DE RIO NEGRO EL SR. NICOLAS GERMAN BONAVENTO SERCHIA, QUE DENUNCIO QUE EL DOMINGO 22 DE NOV DEL 2009 SE ENCONTRABA EN ESTE AEROPARQUE EN UNA SALA DE EMBARQUE LA CUAL NO ESPECIFICO UTILIZANDO SU NOTEBOOK MARCA HP- COMPACT NC6000 CUANDO EN UN INSTANTE SE LEVANTO A REALIZAR UNA CONSULTA Y CUANDO RETORNO AL LUGAR CONSTATO QUE AUTORES IGNORADOS LE SUSTRAJERON LA MISMA Y COMO EL VUELO ESTABA PROXIMO A SALIR,RADICO FORMAL LA DENUNCIA EN ESA CIUDAD. LA DENUNCIA FUE RECEPCIONADA EN ESTA UNIDAD- AREA SUMARIOS POLICIALES-, EL DIA 15 DE NOV DEL 2010. PROCEDENTE DE LA DIRECCION GENERAL DE ASUNTOS JURIDICOS MEDIANTE MEMORANDO Nº 1625/10.</t>
  </si>
  <si>
    <t>EXHORTO DEL JUZGADO FEDERAL Nº 3 DE MAR DEL PLATA.</t>
  </si>
  <si>
    <t>Nº 7059</t>
  </si>
  <si>
    <t>CALLE FRAY MAMERTO ESQUIU Nº 78 DE LA LOCALIDAD DE ALTA GRACIA PROVINCIA DE CORDOBA.</t>
  </si>
  <si>
    <t>EN EL DIA DE LA FECHA SE RECEPCIONA OFICIO JUDICIAL DE FECHA 16 DE NOVIEMBRE DE 2010 DIRIJIDO AL SEÑOR JEFE DE LA DIRECCION REGIONAL DE LA POLICIA DE SEGURIDAD AEROPORTUARIA EN EL CUAL SE SOLICITA DISPONGA DE LO NECESARIO PARA LA DETENCION DE PATRICIO AGUSTO FERNANDEZ RIVERO,ARGENTINO ,DNI Nº 8.347.937 ,DOMICILIADO EN CALLE FRAY MAMERTO ESQUIU Nº 78 DE LA LOCALIDAD DE ALTA GRACIA, PROVINCIA DE CORDOBA, A LOS FINES DE RECIBIRLE DECLARACION INDAGATORIA ART. 294 DEL C.P.P.N., MEDIDA QUE FUERA DISPUESTA POR EL JUZGADO FEDERAL Nº 3 DE MAR DEL PLATA , EN AUTOS AVERIGUACION DELITOS DE ACCION PUBLICA CNU DE TRAMITE EN DICHO TRIBUNAL , MEDIANTE RESOLUCION DE FECHA 08 DE NOVIEMBRE DE 2010 , DEBIENDO SER ALOJADO CON CARACTER DE COMUNICADO EN LA ALCALDIA DE ESTOS TRIBUNALES FEDERALES DE CORDOBA A ESCLUSIVA DISPOSICION DEL JUZGADO FEDERAL Nº3 DE MAR DEL PLATA , A CARGO DEL SR. JUEZ FEDERAL RODOLFO A. PRADA.</t>
  </si>
  <si>
    <t>7244/10</t>
  </si>
  <si>
    <t>EN EL DIA DE LA FECHA, SIENDO LAS 13:35 HORAS, SE HACE ENTREGA DE LA CUSTODIA DEL DETENIDO, EL SR CAYETANO TORQUATO, AL INSPECTOR MARIO JORGE OLIVERO, DE LA UOCNYDC CENTRAL. DANDO CUMPLIMIENTO AL OFICIO JUDICIAL EMANADO POR EL DR. MARCELO AGUINSKY DEL JUZGADO NACIONAL EN LO PENAL ECONOMICO Nº 6, SECRETARIA Nº 11 A CARGO DEL DR.JAVIER KRAUSE MAYOL, QUIEN ORDENA QUE EL IMPUTADO SE CONSTITUYA EN EL DIA DE LA FECHA EN LAS INMEDIACIONES DEL CONGRESO DE LA NACION DURANTE LA MANIFESTACION DE LOS JUBILADOS QUE SE REALIZA TODOS LOS DIAS MIERCOLES, A LOS FINES DE QUE EL IMPUTADO PUEDA IDENTIFICAR A QUIEN MENCIONARA EN SU DECLARACION INDAGATORIA.</t>
  </si>
  <si>
    <t>INFRACCION AL ARTICULO 5 INCISO C DE LA LEY 23.737 EN LA MODALIDAD DE TRANSPORTE</t>
  </si>
  <si>
    <t>PUNTO DE INSPECCION Y REGISTRO 6/10</t>
  </si>
  <si>
    <t>MIENTRAS SE REALIZABA UN CONTROL PREVENTIVO SOBRE LOS PASAJEROS EN TRANSITO EN EL PUNTO DE INSPECCION Y REGISTRO TRANSITO 6/10, SE HACE PRESENTE EN EL CITADO PUESTO UN PASAJERO MASCULINO, QUE AL TRASPASAR EL ARCO DETECTOR DE METALES ACTIVA LA ALARMA SONORA Y LUMÍNICA DEL MISMO. POR TAL MOTIVO EL OF. MOYA, REALIZA UN CONTROL MANUAL SOBRE LAS ROPAS DEL PASAJERO DETECTANDO A LA ALTURA DE LA ZONA INGUINAL UN BULTO AJENO A LA CONTEXTURA DE LA FISONOMÍA DE SU CUERPO. EN ESTE CONTEXTO EL PASAJERO RETIRA DE FORMA DE SU ZONA INGUINAL DOS PAQUETES, MOTIVO POR EL CUAL EL PERSONAL POLICIAL DE REFERENCIA LE SOLICITA QUE GUARDE LOS PAQUETES, GUARDANDO UN PAQUETE EN EL BOLSILLO IZQUIERDO DEL PANTALON Y OTRO EN EL BOLSILLO DERECHO DEL PANTALON Y SIMULTÁNEAMENTE SE CONVOCA A DOS TESTIGOS. SEGUIDAMENTE SE TRASMITE LA NOVEDAD AL JEFE DE TURNO.CON POSTERIORIDAD SE TRASLADA PASAJERO Y LOS TESTIGOS A LA GUARDIA DE PREVENCION. UNA VEZ EN EL TURNO SE REALIZO LA REQUISA DEL PASAJERO HALLANDO EN EL BOLSILLO SUPERIOR DE LA CAMISA UN PAQUETE CONFECCIONADO CON CINTA DE EMBALAJE TRANSPARENTE, SEGUIDAMENTE SE EXTRAEN EL PAQUETE QUE SE ENCONTRABA EN EL BOLSILLO IZQUIERDO DEL PANTALON Y LUEGO EL PAQUETE QUE SE ENCONTRABA EN EL BOLSILLO DERECHO DEL MISMO. LUEGO SE HACE UN INCISIÓN SOBRE LOS MISMOS, HALLANDO EN SU INTERIOR UNA SUSTANCIA DE COLOR VERDE TIPO VEGETAL, QUE SOMETIDA A REACTIVO DE CAMPO PARA MARIHUANA ARROJA RESULTADO POSITIVO. QUE MANTENIDA COMUNICACIÓN CON EL JUZGADO INTERVINIENTE EL MISMO DISPUSO QUE SE PROCEDA A LA DETENCION DEL PASAJERO Y UNA VEZ CULMINADAS LAS DILIGENCIAS IMPARTIDAS POR EL JUZGADO, EL MISMO SEA TRASLADADO A LA UNIDAD DE DETENCIÓN NRO. 02 DEL SPF. EN PU 7316 DE FECHA 18-11-2010 SE INFORMA QUE EL DETENIDO FUE TRASLADADO EL 17-11-2010 A LAS 2100 HS A LA UNIDAD 28 DEL S.P.F SIN NOVEDAD.-</t>
  </si>
  <si>
    <t>AR 1284</t>
  </si>
  <si>
    <t>6847/10</t>
  </si>
  <si>
    <t>SORIA</t>
  </si>
  <si>
    <t>JUAN ARTURO</t>
  </si>
  <si>
    <t>ROTA, FERNANDO</t>
  </si>
  <si>
    <t>P.S.A S/ INVESTIGACION PRELIMINAR Nº 15</t>
  </si>
  <si>
    <t>CIUDAD DE USHUAIA, PROVINCIA DE TIERRA DEL FUEGO ANTARTIDA E ISLAS DEL ATLANTICO SUR</t>
  </si>
  <si>
    <t>AMPLIANDO PR Nº 3321/10 DE FECHA 02/06/10 Y PR Nº 4050/10 DE FECHA 06/07/10 Y PR Nº 4726/10 DE FECHA 04/08/10 DONDE SE AUTORIZA LA PRORROGA DE LA INTERVENCION TELEFONICA, POR UN PLAZO DE 30 DIAS, QUE PESA SOBRE LOS ABONADOS SOLICITADOS Y PR Nº 6847/10 DEL 01/11/10 EN EL QUE SE DISPUSO PRORROGAR LA INTERVENCION TELEFONICA DE LOS ABONADOS INVESTIGADOS. INFORMO QUE EN EL DIA DE LA FECHA SE RECEPCIONO OFICIO JUDICIAL Nº 449/2010 DE FECHA 15 DE NOVIEMBRE DEL CORRIENTE AÑO, EMANADO POR EL MAGISTRADO INTERVINIENTE QUE DISPONE EN EL DIA DE LA FECHA DAR DE BAJA LA INTERVENCION TELEFONICA DE LOS ABONADOS Nº: 2901-471987; 2901-509246 Y 2901-540510. ASI MISMO ORDENA PROCEDER A LA INTERVENCION TELEFONICA DE LOS ABONADOS 011-31527559; 2901-544833 Y 2901-526924 (VOZ Y MENSAJES DE TEXTO ENTRANTES Y SALIENTES), DURANTE LAS 24 HORAS, POR EL TERMINO DE 60 (SESENTA) DIAS CONTADOS A PARTIR DE SU EFECTIVA CONEXIÓN, SIN INTERRUPCIONES, LO CUAL DEBERA SER ESCUCHADO EN FORMA DIRECTA, SOBRE LAS CONVERSACIONES QUE SE PRODUZCAN Y QUE EN FUNCION DE ELLO DEBERA CONTINUARSE CON LA MISMA METODOLOGIA EN CUANTO AL RETIRO Y TRANSCRIPCION DE LAS CONVERSACIONES QUE PUDIERAN RESULTAR DE INTERES PARA LA PRESENTE INVESTIGACION</t>
  </si>
  <si>
    <t>JUZGADO DE INSTRUCCION N° 5 DE FORMOSA</t>
  </si>
  <si>
    <t>LAURA CARINA</t>
  </si>
  <si>
    <t>JOSE LUIS MOLINA</t>
  </si>
  <si>
    <t>ABIGEATO DE ANIMALES VACUNOS</t>
  </si>
  <si>
    <t>SECTOR SUR DE LA JURISDICCIÓN AEROPORTUARIA</t>
  </si>
  <si>
    <t>EN EL DIA DE LA FECHA SE RECIBE COMUNICACIÓN TELEFÓNICA DE UN POBLADOR ALEDAÑO DE ESTE AEROPUERTO INFORMANDO EL HALLAZGO DE RESTOS DE ABIGEATO DE ANIMALES VACUNOS DENTRO DE LA JURISDICCIÓN AEROPORTUARIA.POR LO CUAL SE COMUNICA , AL NO EXISTIR DAÑO CONTRA EL ESTADO NACIONAL, A LA JUSTICIA ORDINARIA, DANDO PARTE AL JUZGADO DE INSTRUCCIÓN Y CORRECCIONAL Nª 5 DE ESTA CIUDAD, QUIEN DISPONE QUE QUE SE LABREN LAS ACTUACIONES Y SE REMITAN, JUNTO CON LOS ELEMENTOS SECUESTRADOS, A LA COMISARIA JURISDICCIONAL DE LA POLICÍA DE LA PROVINCIA DE FORMOSA., DICHAS DISPOSICIONES SE CUMPLEN EN EL DÍA DE LA FECHA ENTREGÁNDOSE LAS ACTUACIONES Y ELEMENTOS SECUESTRADOS AL JEFE DE LA SUBCOMISARIA DE PUENTE URIBURU DE ESTA CIUDAD, OFICIAL PRINCIPAL NATIVIDAD MAZO</t>
  </si>
  <si>
    <t>EN EL DIA DE LA FECHA SIENDO LAS 17:00 HORAS SE RECIBE POR PARTE DEL INSPECTOR MARIO JORGE OLIVERO, DE LA UNIDAD OPERACIONAL DE CONTROL DEL NARCOTRAFICO Y EL DELITO COMPLEJO CENTRAL LA CUSTODIA DEL DETENIDO, EL SR CAYETANO TORQUATO, DNI 4335367, CARATULADO EN LA CAUSA NUMERO 1534/210 TORQUATO CAYETANO INFRACCION A LA LEY 22415, QUEDANDO ALOJADO EN ESTA UOSP METROPOLITANA EN CALIDAD DE DETENIDO COMUNICADO A DISPOSICION DE LA JUDICATURA ACTUANTE.</t>
  </si>
  <si>
    <t>7288/10</t>
  </si>
  <si>
    <t>APROXIMADAMENTE A LAS 7:30 HORAS DEL DIA 17-11-10 SE EFECTUO EL TRASLADO DEL IMPUTADO AL CENTRO DE REGIMEN CERRADO DR. MANUEL ROCCA SITO EN LA CALLE SEGUROLA 1601 CAPITAL FEDERAL. PTO</t>
  </si>
  <si>
    <t>RESTAURANTE TANGO BAR</t>
  </si>
  <si>
    <t>PRIMER PISO PROXIMO AL INGRESO AL PREEMBARQUE</t>
  </si>
  <si>
    <t>EL PERSONAL DEL COC INFORMA AL PERSONAL DE LA PATRULLA ECO, QUE HABIA INDIVIDUALIZADO A UN MASCULINO QUE VESTIA SACO Y PANTALON DE COLOR GRIS, EL CUAL SE ENCONTRABA DEAMBULANDO Y SE HABRIA ACERCADO A DOS PASAJEROS REALIZANDO UN MOVIMIENTO SOSPECHOSO, NO PUDIENDO DETERMINAR SI HABIA SUSTRAIDO ALGUN ELEMENTO. POR LO CUAL, EL PERSONAL DE PATRULLA SE CONTACTO CON LOS PASAJEROS Y UN MASCULINO REFIERE EL FALTANTE DE UNA BILLETERA, INFORMANDO DICHA NOVEDAD AL COC, CUYO PERSONAL INFORMA QUE LA PERSONA SOSPECHOSA HABIA INGRESADO A LOS BAÑOS HABIDOS EN EL SECTOR. POR LO QUE CON LA ASISTENCIA DE UN TESTIGO SE INGRESA Y SE IDENTIFICA AL CAUSANTE, PUDIENDO POSTERIORMENTE DAR CON UNA BILLETERA NEGRA QUE SE ENCONTRABA DENTRO DE UN CESTO DE BASURA RECONOCIENDO EL DAMNIFICADO LOS ELEMENTOS EN SU INTERIOR COMO PROPIOS PERO NO LA BILLETERA. POSTERIORMENTE Y YA EN ESTA DEPENDENCIA, A MODO PREVENTIVO SE EFECTUA LA REQUISA DEL CAUSANTE Y SE OBTIENE UNA BILLETERA DOLARES, PESOS Y CORONAS SUECAS. RECONOCIENDO EL DAMNIFICADO LA BILLETERA Y LAS CORONAS SUECAS COMO DE SU PROPIEDAD. ATENTO A ESTA NOVEDADES Y EN CONOCIMIENTO EL JUZGADO DISPONE LA APREHENSION Y EL LABRADO DE LAS ACTUACIONES Y QUE LOS ELEMENTOS EN CUESTION SEAN ENTREGADOS AL DAMNIFICADO. DEBIENDO EL IMPUTADO SER TRASLADADO A PRIMERA HORA DEL DIA 18-11-10 A SEDE JUDICIAL. PERSONAL DEL COC OF. CALUDIO PONCE, PERSONAL DE LA PATRULLA ECO OF. CARLOS ZALAZAR. PTO.-</t>
  </si>
  <si>
    <t>7305/10</t>
  </si>
  <si>
    <t>PUESTO TRANSITO 6/10</t>
  </si>
  <si>
    <t>APROXIMADAMENTE A LAS 21:00 HORAS DEL DIA 17-11-10 SE EFECTUO EL TRASLADO DEL DETENIDO A LA UNIDAD 28 DEL S.P.F DE ACUERDO A LO ORDENADO POR S.SA OPORTUNAMENTE. PTO</t>
  </si>
  <si>
    <t>EN VIRTUD DE EFECTUAR INSPECCIONES RUTINARIAS DE SEGURIDAD Y CONTROL DE PERMISOS, EL PERSONAL DESTINADO A LA PATRULLA MOVIL EFECTUA UN CONTROL PREVENTIVO SOBRE EL PERSONAL QUE SE ENCONTRABA AL PIE DE LA AERONAVE, CIRCUNSTANCIA EN LA CUAL A UN MASCULINO DE LA EMPRESA H.A.S SE LE CAE DE ENTRE SUS ROPAS UNA TAPA PLASTICA DE COLOR VERDE CLARO. MOTIVO POR EL CUAL SE LLEVA A CABO UNA REQUISA PREVENTIVA DETECTANDO QUE DENTRO DE UN ABRIGO Y UN CHALECO REFRACTARIO QUE PORTABA ENROLLADO BAJO SU BRAZO, SE ENCONTRABA UN PERFUME. POR LO CUAL SE CONVOCARON TESTIGOS, SE IDENTIFICÓ AL PROPIETARIO DEL ELEMENTO DONDE SE ENCONTRABA OCULTO EL PERFUME Y SE IDENTIFICÓ A LAS RESTANTES PERSONAS QUE SE ENCONTRABAN EN EL SECTOR. ENTERADO DEL JUZGADO DISPUSO SE NOTIFIQUE DEL INICIO DE LA CAUSA A LA PERSONA EN CUYAS PERTENENCIAS SE ENCONTRABA EL PERFUME SE IDENTIFIQUE A LOS RESTANTES Y FINALIZADAS LAS DILIGENCIAS TODOS SE RETIREN DE ESTA DEPENDENCIA POR SUS PROPIOS MEDIOS. EL VUELO EN CUESTION OPERO CON TOTAL NORMALIDAD PTO.-</t>
  </si>
  <si>
    <t>AVERIGUACION DE ILCITO</t>
  </si>
  <si>
    <t>TURNO DE GUARDIA DE PREVENCION PSA</t>
  </si>
  <si>
    <t>SIENDO LA HORA Y LA FECHA ANTES MENCIONADA SE RECIBE COMUNICACIÓN TELEFÓNICA EN ESTA GUARDIA DE PREVENCIÓN POR PARTE DE LA SRA. ANGELA MARÍA CUIULI MANIFESTANDO QUE EN ESTE AEROPUERTO SE ENCONTRABA UNA PERSONA DE SEXO MASCULINO, DE BAJA ESTATURA DE APROXIMADAMENTE 32 AÑOS DE NOMBRE TAPIA DÍAZ WILKINS ENOEL, EL CUAL VIAJARIA EL DIA DE LA FECHA EN EL VUELO DE CM 453 DE LA EMPRESA COPA AIRLINES, QUIEN HABRÍA AMENAZADO DE MUERTE A SU AMIGA DE NOMBRE SILVIA GRACIELA KONRAD Y LE HABRÍA ROBADO VEINTE MIL PESOS. QUE REALIZABA DICHA LLAMADA A EFECTOS DE QUE SE LE AVISE AL NUMERO 4432-7449 CUANDO EL MASCULINO DE MENCIÓN SE HAYA EMBARCADO EN EL VUELO DE MENCIÓN. SEGUIDAMENTE SE INFORMA AL JUZGADO EN TURNO QUIEN DISPONE QUE SE PRESENTEN LA DENUNCIANTE Y LA DAMNIFICADA EN SEDE JUDICIAL A FIN DE RADICAR LA DENUNCIA, QUE UNA VEZ IDENTIFICADO EL MASCULINO FIJE DOMICILIO EN REPUBLICA DOMINICANA Y EN CASO DE NO POSEER NINGUNA RESTRICCIÓN LEGAL SOBRE SU PERSONA SE RETIRE DE ESTA DEPENDENCIA POLICIAL. QUE SEGUIDAMENTE EL OFICIAL EZCURRA QUIEN FUERA COMISIONADO POR EL JEFE DE TURNO A LOS EFECTOS DE DAR CON EL PASAJERO EN CUESTIÓN, SE HACE PRESENTE EN LA GUARDIA DE PREVENCIÓN CON EL SR. TAPIA DÍAZ, QUIEN UNA VEZ FINALIZADAS LAS DILIGENCIAS Y AL HABER RECIBIDO EL RESULTADO DE INTERPOL DONDE CONSTA QUE EL SR. TAPIA DÍAZ NO POSEE MEDIDAS RESTRICTIVAS CONTRA SU PERSONA SE RETIRA DE ESTA DEPENDENCIA POR SUS PROPIOS MEDIOS Y CONFORME A LOS TRATOS RECIBIDOS.</t>
  </si>
  <si>
    <t>CINTAS DE RETIRO DE EQUIPAJES</t>
  </si>
  <si>
    <t>AL ARRIBAR AL PAIS LA DENUNCIANTE, SE DISPONE A RETIRAR SUS EQUIPAJES DESPACHADOS, NOTANDO QUE EL CIERRE DE UNO DE ELLOS, UN BOLSO DE MANO DE CUERO COLOR CRUDO, SE ENCONTRABA ABIERTO POR LO QUE VERIFICA EL CONTENIDO DEL MISMO NOTANDO EL FALTANTE DE SUS PERTENENCIAS. A CUENTA DE ELLO SE DIRIGE A REALIZAR EL RECLAMO ANTE LE COMPAÑIA Y ES ALLÍ QUE LE INFORMARON QUE DEBE EFECTUARLO DE MANERA TELEFONICA Y SEGUIDAMENTE SE CONSTITUYE EN ESTA GUARDIA A FIN DE RADICAR LA DENUNCIA. PTO.-</t>
  </si>
  <si>
    <t>EN CUMPLIMIENTO DE LA ORDEN DE SERVICIO NRO. 0103/10 Y SIENDO LAS 01:25 HORA LOCAL ARRIBA AERONAVE AIR BUS A 320, MATRICULA LV-BHU, PERTENECIENTE A LA EMPRESA LAN ARGENTINA COMO VUELO NRO. 4428 Y EN CUYAS BODEGAS 12, 13, 29 Y 40SE EMBARCAN UN TOTAL DE 69 CAJAS CON UN PESO DE 1380 KILOGRAMOS DE METAL- MTD- PERTENECIENTES A LA EMPRESA MINERA SANTA CRUZ. EL MISMO DESPEGA CON DESTINO LA CIUDAD DE EZEIZA A LAS 03:22 HORA LOCAL COMO VUELO NRO. 4429.</t>
  </si>
  <si>
    <t>SE INFORMA QUE EL DETENIDO INTERNADO EN EL HOSPITAL ZONAL DE EZEIZA EN CUSTODIA DE PERSONAL DE ESTA UNIDAD, REALIZO EN EL DIA DE LA FECHA LA 12º DEPOSICION A LAS 07:30 HS, DE 2 CAPSULAS CON UN PESO DE 15 GRS.</t>
  </si>
  <si>
    <t>EASY RENT ARGENTINA SRL S/ART. 86 DECRETO LEY 8031/73</t>
  </si>
  <si>
    <t>1196/09</t>
  </si>
  <si>
    <t>EMPRESA EASY RENT ARGENTINA SRL</t>
  </si>
  <si>
    <t>SIENDO LA HORA Y LA FECHA ANTES MENCIONADA SE RECIBE OFICIO JUDICIAL A FIN DE REALIZAR TAREAS INVESTIGATIVAS PARA DETERMINAR SI EN LA ACTUALIDAD LA EMPRESA IMPUTADA EN AUTOS ESTA REALIZANDO ACTIVIDAD COMERCIAL DISTINTA A LA QUE SE ENCUENTRA AUTORIZADA DENTRO DEL AEROPUERTO DE EZEIZA.</t>
  </si>
  <si>
    <t>DEPOSITO DE LA EMPRESA AREAS, EL CUAL SE ENCUENTRA ADYACENTE AL EDIFICIO VIEJO DE LA AEROESTACION UBICADO EN EL PATIO DENOMINADO DE PALMERAS.</t>
  </si>
  <si>
    <t>SIENDO LAS 14:05 HS COMPARECE ANTE ESTA PREVENCION EL SR. SANGUEDOLCE A LOS FINES DE ANOTICIAR EL EXTRAVÍO DE SU PERMISO PERSONAL DE SEGURIDAD AEROPORTUARIO PERMANENTE, NRO 350598, CON VENCIMIENTO EL DIA 08-JUL-11, HABILITADA PARA TRANSITAR LOS SECTORES 1 Y 4. EL EXPONENTE MANIFESTÓ QUE LA CORRESPONDIENTE CREDENCIAL FUE EXTRAVIADA EN EL DEPOSITO DE LA EMPRESA AREAS, UBICADA EN LAS PROXIMIDADES DEL PATIO DENOMINADO DE PALMERAS, DE ESTA AEROESTACION, EN EL DÍA DE LA FECHA SIN PODER PRECISAR EL HORARIO.</t>
  </si>
  <si>
    <t>SRIO AV S/INF LEY 23737</t>
  </si>
  <si>
    <t>771/09B</t>
  </si>
  <si>
    <t>DE LOS AUTOS CARATULADOS -HALFORD,JORGE Y ERCEGOVIC, MARTA SUSANA S/LEY 23.737- EXPTE NRO.344/09B DEL JUZGADO ACTUANTE, DONDE LOS NOMBRADOS RESULTARON DETENIDOS POR POLICIA DE LA PROVINCIA DE SANTA FE EL DIA 14 DE MAYO DE 2009, TRANSPORTANDO UNA IMPORTANTE CANTIDAD DE MARIHUANA, SECUESTRÁNDOSE DOCUMENTACION Y CELULARES. LA FISCALIA ACTUANTE REQUIERE CON LAS FOTOCOPIAS DE LA DOCUMENTACION SECUESTRADA, LAS PERICIAS DE LOS CELULARES Y TESTIMONIO DE LOS PROCESADO, FORMAR CAUSA POR SEPARADO CON EL FIN DE ANALIZAR LOS DATOS OBTENIDOS PARA INDIVIDUALIZAR LOS INTEGRANTES DE LA ORGANIZACIÓN DELICTIVA, DELEGANDO LAS TAREAS A ESTA FUERZA MEDIANTE OFICIO NRO. 1526, LAS CUALES SERAN REALIZADAS POR ORDEN DE SERVICIO 294/2010 URSA IV</t>
  </si>
  <si>
    <t>TORQUATO CAYETANO S/ INFRACCION LEY 22415</t>
  </si>
  <si>
    <t>HALL PUBLICA TERMINAL C</t>
  </si>
  <si>
    <t>SIENDO EL DIA Y LA HORA ANTES MENCIONADA, SEGUN LO DISPUESTO POR LA JUDICATURA ACTUANTE, SE REALIZA EL TRASLADO DEL DETENIDO COMUNICADO, SR. CAYETANO TORQUATO, AL JUZGADO PENAL ECONOMICO, LUEGO DE REALIZARLE PRECARIO MEDICO DE EGRESO DE LA DEPENDENCIA SIN NOVEDAD Y MUÑIDO DE SUS ELEMENTOS PERSONALES,QUEDANDO A DISPOSICION DEL JUZGADO, COMISIONANDO PARA EL TRASLADO A LOS OFICIALES ABEL PERALTA ISASI Y HECTOR QUINTERO. SIENDO LAS 14:15 HORAS DEL DIA DE LA FECHA REGRESA LA COMISION SIN NOVEDAD.</t>
  </si>
  <si>
    <t>SE INFORMA QUE EL DETENIDO INTERNADO EN EL HOSPITAL ZONAL DE EZEIZA EN CUSTODIA DE PERSONAL DE ESTA UNIDAD, REALIZO EN EL DIA DE LA FECHA LA 13º DEPOSICION A LAS 13:45 HS, DE 1 CAPSULA CON UN PESO DE 10 GRS.</t>
  </si>
  <si>
    <t>TENTATIVA DE HURTO CALIFICADO</t>
  </si>
  <si>
    <t>LINDANTE A LA TERMINAL DE CARGA</t>
  </si>
  <si>
    <t>POSICION CINCUENTA Y CINCO</t>
  </si>
  <si>
    <t>LOS OFICIALES DESTACADOS EN LA PATRULLA MOVIL, INFORMAN QUE TRANSITANDO POR LA PLATAFORMA OPERATIVA EN CERCANIA A LA POSICION CINCUENTA Y CINCO LINDANTE A LA TERMINAL DE CARGAS AEREAS, OBSERVAN QUE DENTRO DE UN CARRO EL CUAL SE ENCONTRABA CERRADO PARCIALMENTE, HABIA UNA CAJA DE COLOR MARRON CON UNA ETIQUETA DE COLOR BLANCA ADOSADA A LA MISMA, MOTIVO POR EL CUAL SE BUSCA UN TESTIGO PARA PROCEDER A LA APERTURA DEL MISMO, OBSERVANDOSE DIESISEIS CAJAS DE LAS CUALES UNA DE ELLAS ESTABA ABIERTA. UNA VEZ EN EL TURNO DE PREVENCION SE RECIBIO DECLARACION TESTIMONIAL A UN EMPLEADO DE LA EMPRESA DHL, QUIEN INFORMA EL FALTANTE DE UNA DE LAS CARGAS QUE DEBERIAN HABER ARRIBADO A ESTA AEROESTACION, SIENDO LA MISMA COINCIDENTE CON LA HALLADA. SE MANTUVO COMUNICACION TELEFONICA CON EL JUZGADO FEDERAL EN TURNO QUIEN DISPUSO SE LABREN LAS ACTUACIONES DE RIGOR CORRESPONDIENTES CARATULANDOLA TENTATIVA DE HURTO CALIFICADO.</t>
  </si>
  <si>
    <t>6487/10</t>
  </si>
  <si>
    <t>669/10</t>
  </si>
  <si>
    <t>ECONTROL CON SCAN VAN</t>
  </si>
  <si>
    <t>SE PROCEDE A LA APERTURA DE DOS ENCOMIENDAS DEL CORREO OFICIAL, SEGÚN CONSTA EN ACTA DE APERTURA DE CARGAS Nº 0474/10, PREV. SUM. Nº 104/10, EN VIRTUD DE LO ORDENADO MEDIANTE OFICIO JUDICIAL Nº 3192/10 DEL MAGISTRADO ACTUANTE Y EN PRESENCIA DE DOS TESTIGOS HÁBILES, LA PRIMERA ENCOMIENDA Nº EP683783018AR, CONTIENE NUEVE PAQUETES DE HOJA DE COCA CON UN PESO TOTAL DE 2.246 GRS. QUEDANDO SECUESTRADOS Y EL RESTO DE LA ENCOMIENDA PRENDAS VARIAS, SERÁN ENTREGADAS AL CORREO OFICIAL. PARA SU REDESPACHO.LA SEGUNDA ENCOMIENDA Nº EP716021815AR, CONTIENE CUATRO PAQUETES DE HOJAS DE COCA CON UN PESO TOTAL DE 0.996 GRS. LOS CUALES QUEDAN SECUESTRADOS, LO SECUESTRADO SERÁN PUESTOS A DISPOSICIÓN DE LA ADUANA DE SALTA POR SUPUESTA INFRACCIÓN AL CÓDIGO ADUANERO LEY 22.415, Y LAS ACTUACIONES REMITIDAS A SEDE JUDICIAL. PU ORIGINARIO N° 6481 SE PROCEDE A LA RETENCIÓN DE UNA SACA COLECTORA DEL CORREO OFICIAL, SEGÚN CONSTA EN ACTA DE RETENCIÓN DE CARGAS Nº 0446/10, QUE ORIGINA LA PREVENCIÓN SUMARIA 104/10, LA SACA IDENTIFICADA CON MARBETE, SLA0217030E555700RGL, PRECINTO N° D907839, CON UN PESO DECLARADO DE 6,900 KGS, CON DESTINO LA CIUDAD DE RÍO GALLEGOS, CONTENDRÍA DOS PIEZAS POSTALES, LA MISMA ESTÁ AMPARADA EN GUÍA DE CARGA Nº 8038408-0, DESPACHADAS A TRAVÉS DE LA EMPRESA DE CARGA AÉREA JET PAQ. LA RETENCIÓN SE REALIZA ANTE LA PRESUNCIÓN QUE PUDIERAN CONTENER ALGÚN ELEMENTO EN INFRACCIÓN A LA LEY 23.737 Y/O 22.415, QUEDANDO LA MISMA CERRADA Y PRECINTADA EN GUARDA EN ESTA UOSP. SEGÚN LO COORDINADO CON EL DR. SANTIAGO FRENCH, A CARGO DE LA SECRETARIA PENAL Nº 2 DEL JUZGADO FEDERAL DE SALTA Nº 1 A CARGO DEL DR. JULIO LEONARDO BAVIO. LA APERTURA SE REALIZARÁ EN PRESENCIA DEL PERSONAL DEL CORREO OFICIAL. SEGÚN AMPL. PU N° 6487/10 SE PROCEDE A LA APERTURA DE UNA SACA COLECTORA DEL CORREO OFICIAL, SEGÚN CONSTA EN ACTA DEJANDO CONTANCIA Nº 0447/10, CORRESPONDIENTE A LA PREV.SUM. 104/10, LA SACA IDENTIFICADA CON MARBETE, SLA0217030E555700RGL, PRECINTO N° D907839, CONTIENE DOS PIEZAS POSTALES IDENTIFICADAS LA 1ª IDENTIFICADA COMO EP683783018AR, RTTE: FELIX TITO, EL TALAR 841, Bº SAN BENITO, ALTO COMEDERO, S.S. DE JUJUY, CP.4600, DEST: SR. MARCELO VARGAS, JULIO A. ROCA, CASA Nº 12, RIO TURBIO, CP.9407, Y LA 2ª PIEZA POSTAL IDENTIFICADA COMO EP716021815AR, RTTE: GONZALEZ FATIMA, ALTO COMEDERO, Bº EXODO JUJUÑO, S.S. DE JUJUY, CP.4600, DEST: RAMON GONZALEZ, GOBERNADOR DE GREGORE, PCIA DE SANTA CRUZ, HOTEL FRANCISCO 463, UNION GUESTER, CP.9311. AMBAS QUEDAN RETENIDAS. LAS RETENCIÓNES SE REALIZAN ANTE LA PRESUNCIÓN QUE PUDIERAN CONTENER ALGÚN ELEMENTO EN INFRACCIÓN A LA LEY 23.737 Y/O 22.415, QUEDANDO LAS MISMAS CERRADAS Y EN GUARDA EN ESTA UOSP SEGUN LO COORDINADO CON EL JUZAGADO INTERVINIENTE Y LA APERTURA SE REALIZARA CON AUTORIZACION DEL MAGISTRADO ACTUANTE</t>
  </si>
  <si>
    <t>AV. ULUSES LOPEZ Y ROTONDA</t>
  </si>
  <si>
    <t>CALLE ACCESO AEROPUERTO</t>
  </si>
  <si>
    <t>EL DIA DE LA FECHA MIENTRAS SE REALIZABA UN CONTROL VEHICULAR EN EL ACCESO AL AEROPUERTO EN CUMPLIMIENTO DE LA ORDEN DE SERVICIO N° 46/2010 DE ESTA UNIDAD, SE PROCEDE A IDENTIFICAR UN VEHICULO MARCA FIAT MODELO FIORINO DOMINIO BYB 228, EL QUE ERA CONDUCIDO POR EL SR. MARCELO ANDRUSYZYN, MEDIANTE CONSULTA DE DOMINIO DE D.R.N.P.A., ATRAVES DE LA UNIDAD OPERACIONAL DE CONTROL DE NARCOTRAFICO Y DELITOS COMPLEJOS DE POSADAS, EN LA PERSONA DEL SUBINSP. ROBERTO GALARZA, QUIEN INFORMA QUE SOBRE DICHO VEHICULO PESA UNA PROHIBICION DE CIRCULAR DE FECHA 03-09-2004, RADICACION DE LEGAJO, REGISTRO SECCIONAL 05002-CORRIENTES N° 1, CUYOS DATOS EN TITULO 1 FIGURA A NOMBRE DE GOMEZ OBREGON DARIO ALBERTO DNI N° 22019698 Y COMO TITULAR 2 GOMEZ OBREGON CARLOS RAMON DNI N°20374182, ATENTO A ESTO SE CONVOCAN A TESTIGOS HABILES Y SE LABRA ACTA DE PROHIBICION DE CIRCULAR, EN PRECENCIA DE LOS TESTIGOS SE PROCEDE A COMUNICAR AL SR. HERNAN GONZALO PEREZ ALVAREZ EL RESULTADO DE LA CONSULTA DE DOMINIO QUE PESA SOBRE EL VEHICULO ANTES MENCIONADO Y EN ESTE MISMO ACTO SE DESIGNA COMO DEPOSITARIO AL SR. HERNAN GONZALO PEREZ ALVAREZ DNI. N° 24717808, QUIEN DETENTA SU TENENCIA AL MOMENTO DE LA CONSTATACION. QUIEN RECIBE EL BIEN Y ASUME LAS OBLIGACIONES Y RESPONZABILIDADES INHERENTES A ESE CARACTER, Y SE OBLIGA A MANTENER EL AUTOMOTOR FUERA DE LA CIRCULACION EN LA VIA PUBLICA, HASTA TANTO SEA REHABILITADO, MANIFESTANDO ESTE QUEDARA EL VEHICULO DEPOSITADO EN LA CALLE JUJUY N° 2492 DE POSADAS MISIONES.</t>
  </si>
  <si>
    <t>BENINATTI, JUAN CARLOS</t>
  </si>
  <si>
    <t>SOBRE DENUNCIA</t>
  </si>
  <si>
    <t>SECTOR INSTALACIONES ANAC</t>
  </si>
  <si>
    <t>CALLE ACCESO HANGAR PROVINCIAL</t>
  </si>
  <si>
    <t>EN LA FECHA SE PRESENTA EN LA GUARDIA DE PREVENCION EL DENUNCIANTE MANIFESTANDO QUE EN CIRCUNSTANCIA QUE VENIA CIRCULANDO POR LA CALLE PUBLICA EN SU VEHÍCULO HACIA EL HANGAR DE AERONÁUTICA DE LA PROVINCIA DEL CHACO, UN PERSONAL DE FUERZA AEREA ARGENTINA QUE SE ENCONTRABA EN UN PUESTO DE GUARDIA MILITAR, EL CUAL ESTA UBICADO A UN COSTADO DE LA CALLE DE ACCESO A DICHO HANGAR LE HACE ADEMANES CON LAS MANOS NO COMPRENDIENDO LA SEÑAL. AL VOLVER DEL HANGAR POR LA MISMA CALLE OBSERVA QUE A LA ALTURA DE DICHO PUESTO LA CALLE SE ENCONTRABA OBSTRUIDA CON CABALLETES METALICOS Y CONOS POR LO QUE DETIENE SU MARCHA. AL DETENERSE EL EFECTIVO DE LA FUERZA AEREA LE SOLICITA SE IDENTIFIQUE Y DECLARE EL MOTIVO Y LUGAR DONDE SE DIRIGIA, POR LO QUE SE IDENTIFICA Y SE RETIRA DEL LUGAR. SE DA INTERVENCION AL JUZGADO ACTUANTE, QUIEN DISPONE SE TOME DENUNCIA, SE LABRE ACTA DE CONSTATACIÓN EN EL LUGAR Y SE ELEVE LO ACTUADO A ESOS ESTRADOS.</t>
  </si>
  <si>
    <t>DAVIES MAXIMILIANO</t>
  </si>
  <si>
    <t>EXHORTO DEL JUZGADO FERERAL N° 3 DE MAR DEL PLATA</t>
  </si>
  <si>
    <t>EXPTE N° 7059</t>
  </si>
  <si>
    <t>CALLE PEDRO BUTORI N° 216 DE LA LOCALIDAD DE ALTA GRACIA PROVINCIA DE CORDOBA</t>
  </si>
  <si>
    <t>EN EL DÍA DE LA FECHA SE PROCEDE A DAR CUMPLIMIENTO A LA ORDEN DE DETENCIÓN DE FECHA 16 DE NOVIEMBRE DEL CORRIENTE AÑO, MEDIDA ORDENADA POR EL JUZGADOINTERVINIENTE A FIN DE DETENER AL IMPUTADO. SIENDO APROXIMADAMENTE LAS 18:22 HORAS SE PROCEDE A DETENER AL SR. FERNÁNDEZ RIVERO PATRICIO AGUSTO EL CUAL ES INTERCEPTADO A BORDO DE UN AUTOMÓVIL REMIS MARCA CHEVROLET MODELO CORSA DOMINIO FLW-438 A LA ALTURA DE LA CALLE PEDRO BUTORI Nº 216 DE LA LOCALIDAD DE ALTA GRACIA PROVINCIA DE CÓRDOBA NO PONIENDO RESISTENCIA ALGUNA Y QUEDANDO EL MENCIONADO EN CARÁCTER DE DETENIDO COMUNICADO Y A DISPOSICIÓN DEL JUZGADO INTERVINIENTE, DISPONIÉNDOSE SU TRASLADO A LA UNIDAD OPERACIONAL CÓRDOBA DE LA POLICÍA DE SEGURIDAD AEROPORTUARIA PARA LABRAR LAS ACTUACIONES DE RIGOR Y A POSTERIORI SU TRASLADO A LA ALCALDÍA DE TRIBUNALES FEDERALES DE ESTA CIUDAD. AMPLIACION CBA_2010_7348_PU -EN CUMPLIMIENTO DE ORDEN DE SERVICIO N° 298/10 DE FECHA 18NOV10, EMITIDA POR LA URSA II DEL CENTRO, SIENDO LAS 22:30 HS. PARTE COMISION CON CUSTODIA Y TRASLADO DE DETENIDO A MEDICINA LEGAL, SIENDO LAS 23:50 HS. QUEDA ALOJADO EN LA ALCAIDIA FEDERAL DE LOS TRIBUNALES FEDERALES DE LA CIUDAD DE CORDOBA.</t>
  </si>
  <si>
    <t>UNICA.</t>
  </si>
  <si>
    <t>DRA.CLAUIDA CECCONI</t>
  </si>
  <si>
    <t>INFRACCION AL ART 85 DECRETO LEY 8031/73</t>
  </si>
  <si>
    <t>SIENDO LA FECHA Y LA HORA ANTES MENCIONADA EL OFICIAL CEPEDA, QUIEN SE ENCONTRABA CUMPLIENDO FUNCIONES EN EL CENTRO OPERATIVO DE CONTROL, OBSERVA POR UNA DE LAS CAMARAS DE SEGURIDAD A UNA PERSONA DE SEXO MASCULINO, QUE SE ENCONTRABA REALIZANDO EL SERVICIO DE MALETERO, POR LO CUAL SE LE COMUNICA VIA NEXTEL AL OFICIAL LONGHINI, QUIEN EFECTUABA RECORRIDA POR LA PERGOLA UNO DE LA TERMINAL A, QUIEN CONSTATA LA INFRACCION, SOLICITANDO QUE EXHIBA LA HABILITACION CORRESPONDIENTE, CARECIENDO EL MISMO DE LA HABILITACION PARA REALIZAR DICHA TAREA POR LO QUE SE LABRAN LAS ACTUACIONES CONTRAVENCIONALES CORRESPONDIENTES.</t>
  </si>
  <si>
    <t>INFRACCION A LOS ARTICULOS 78 Y 79 DECRETO LEY 8031/73</t>
  </si>
  <si>
    <t>QUE SIENDO LA FECHA Y LA HORA ANTES MENCIONADA, EL OFICIAL ELLINGHAUS, Y EL OFICIAL GUZZO, QUIENES SE ENCONTRABAN EN EL PUESTO DE GUARDIA DENOMINADO TAQUILLA, OBSERVAN UN VEHICULO QUE SE APROXIMABA A DICHO SECTOR A ALTA VELOCIDAD, POR TAL MOTIVO EL PERSONAL POLICIAL LE EFECTUA SEÑALES PARA QUE DISMINUYA LA MISMA, QUIEN HACE CASO OMISO. A POSTERIOR SE PROCEDE A DETENER EL VEHICULO, EL CUAL RESULTA SER UN CAMION TIPO TRACTOR MARCA SCANIA MODELO P340 DOMINIO COLOCADO IVI 971 A NOMBRE DE HSBC BANK ARGENTINA S.A. JUNTO A SU TANQUE TIPO SEMIREMOLQUE MARCA HEIL MODELO PETROLEUM CON DOMINIO COLOCADO ISY 357 A NOMBRE DE TRANSPORTES JOSE BERALDI S.A. QUIEN SE NIEGA EN REITERADAS OPORTUNIDADES CON EVASIVAS DESCONOCIENDO A LA AUTORIDAD POLICIAL. ACTO SEGUIDO SE LE SOLICITA AL CHOFER QUE DESCIENDA DEL VEHICULO Y ACOMPAÑE AL PERSONAL POLICIAL A ESTA GUARDIA DE PREVENCION A FIN DE COMENZAR CON LAS ACTUACIONES CONTRAVENCIONALES CORRESPONDIENTES.</t>
  </si>
  <si>
    <t>7315/10</t>
  </si>
  <si>
    <t>QUE SIENDO LAS SIETE HORAS DEL DIA DE LA FECHA SE PROCEDE AL TRASLADO DEL DETENIDO A SEDE JUDICIAL. QUE SIENDO LAS DIECISEIS HORAS REGRESA LA COMISION JUNTO AL DETENIDO. POR TAL MOTIVO SE MANTIENE COMUNICACION TELEFONICA CON LA JUDICATURA INTERVINIENTE QUIEN DISPONE SE ALOJE AL DETENIDO EN ESTA DEPENDENCIA HASTA NUEVAS DIRECTIVAS.</t>
  </si>
  <si>
    <t>DISTANTES CIEN METROS DEL PUESTO DENOMINADO TAQUILLA DE INGRESO A ESTE AEROPUERTO INTERNACIONAL</t>
  </si>
  <si>
    <t>SIENDO LA HORA Y LA FECHA ANTES MENCIONADA SE RECIBE COMUNICACION TELEFONICA VIA RADIAL POR PARTE DEL PERSONAL POLICIAL DESTACADO EN EL PUESTO DENOMINADO TAQUILLA, EN LA QUE DA CUENTA QUE SE HABIA PRODUCIDO UN AGLUTINAMIENTO DE TRANSEUNTES EN LA AUTOPISTA, MOTIVO POR EL CUAL Y ANTE LA PELIGROSIDAD DE LA SITUACION EL OFICIAL PRINCIPAL BARBOZA SE HACE PRESENTE EN EL LUGAR DE LOS HECHOS PUDIENDOSE CONSTATAR QUE UNA MULTITUD DE PERSONAS PORTANDO BANDERAS CON LA INSCRIPCION VISIBLE CTA, HABIAN CORTADO EN SU TOTALIDAD LA CIRCULACION DE LA AUTOPISTA TENIENTE GENERAL RICCIERI, MANO AL AEROPUERTO, POR LO QUE SE CONVOCA LA PRESENCIA DE TRES TESTIGOS HABILES. QUE UNA VEZ EN ESTE ASIENTO DE GUARDIA SE MANTUVO COMUNICACION TELEFONICA CON EL JUZGADO FEDERAL DE TURNO QUIEN DISPUSO SE ENVIE AL LUGAR DEL HECHO A PERSONAL POLICIAL A FIN DE INSTAR A LAS PERSONAS QUE ESTABAN CORTANDO EL TRANSITO A DESISTIR CON EL CORTE O QUE AL MENOS HABILITEN DOS VIAS DE CIRCULACION DE LA AUTOPISTA Y QUE SE MANTENGA NUEVA COMUNICACION TELEFONICA. SIENDO LAS 1600 HORAS SE ENTABLA NUEVA COMUNICACION TELEFONICA CON EL JUZGADO A QUIEN SE LE INFORMO QUE A LAS 1555 HORAS SE PRODUJO LA FINALIZACION DEL CORTE Y LA NORMAL DESCONCENTRACION DE LOS MANIFESTANTES, NO DISPONIENDO NINGUNA OTRA DIRECTIVA A CUMPLIMENTAR.</t>
  </si>
  <si>
    <t>SE PROCEDE A LA RETENCION DE DOS SACAS COLECTORAS DEL CORREO OFICIAL, SEGUN CONSTA EN ACTA DE RETENCION DE CARGAS Nº 0476/10, QUE ORIGINA LA PREVENCION SUMARIA Nº 111/10, LA PRIMERA SACA IDENTIFICADA CON MARBETE SLA9122139D555700RGL, PRECINTO Nº E255959, CON UN PESO DECLARADO DE 10,400 KGS. CON DESTINO A LA CIUDAD DE RIO GALLEGOS, CONTENDRIA DOS PIEZAS POSTALES, LA SEGUNDA SACA IDENTIFICADA CON MARBETE SLA0216507E555600CRD, PRECINTO Nº E255003, CON UN PESO DECLARADO DE 5,900 KGS., CON DESTINO A LA CIUDAD DE COMODORO RIVADAVIA, CONTENDRIA DOS PIEZAS POSTALES, LAS MISMAS ESTAN AMPARADAS EN GUIA AEREA Nº 9309006-0, DESPACHADAS A TRAVES DE LA EMPRESA DE CARGA AEREA JET PAQ. LA RETENCION SE REALIZA ANTE LA PRESUNCION DE QUE PUDIERAN CONTENER ALGUN ELEMENTO EN INFRACCION A LA LEY 23.737 Y/O 22.415, QUEDANDO LAS MISMAS CERRADAS Y PRECINTADAS EN GUARDA EN ESTA UOSP. SEGUN LO COORDINADO CON EL DR. SANTIAGO FRENCH, A CARGO DE LA SECRETARIA PENAL Nº 2 DEL JUZGADO FEDERAL DE SALTA Nº1 A CARGO DEL DR. JULIO LEONARDO BAVIO, LA APERTURA SE REALIZARA EN PRESENCIA DEL PRESONAL DEL CORREO OFICIAL.</t>
  </si>
  <si>
    <t>EXHORTO DEL JUZGADO FEDERAL N° 3 DE MAR DEL PLATA</t>
  </si>
  <si>
    <t>EXPTE 7059</t>
  </si>
  <si>
    <t>ALCIDIA FEDERAL DE LOS TRIBUNALES FEDERALES DE CORDOBA</t>
  </si>
  <si>
    <t>MEDICINA LEGAL DE LA PROVINCIA DE CORDOBA</t>
  </si>
  <si>
    <t>EN CUMPLIMIENTO DE ORDEN DE SERVICIO N° 298/10 DE FECHA 18NOV10, EMITIDA POR LA URSA II DEL CENTRO, SIENDO LAS 22:30 HS. PARTE COMISION CON CUSTODIA Y TRASLADO DE DETENIDO A MEDICINA LEGAL, SIENDO LAS 23:50 HS. QUEDA ALOJADO EN LA ALCIDIA FEDERAL DE LOS TRIBUNALES FEDERALES DE LA CIUDAD DE CORDOBA. SIENDO LAS 00:45 HS REGRESA COMISION SIN NOVEDAD</t>
  </si>
  <si>
    <t>CARBAJALES, MIRTA INES</t>
  </si>
  <si>
    <t>MOMENTOS EN QUE SE ENCONTRABA EFECTUANDO EL CONTROL MEDIANTE MAQUINA DE RX, EN EL PATIO DE VALIJAS DE LA TERMINAL A,SOBRE LOS EQUIPAJES DESPACHADOS A BODEGA POR LOS PASAJEROS DEL VUELO IB6844, SE DETECTO EN EL MONITOR DE DICHO EQUIPO, QUE EN EL CONTORNO INTERIOR DE UN BOLSO DESPACHADO ERA HABIDA LA PRESENCIA DE SUSTANCIA ORGANICA, SIN PODER DETERMINAR FEHACIENTEMENTE DE QUE ELEMENTO SE TRATABA.SE SOLICITO LA PRESENCIA DE DOS TESTIGOS HABILES Y TRANSMITE LA NOVEDAD AL ASIENTO DE GUARDIA DE PREVENCION.ACTO SEGUIDO SE CONTACTA A LA PASAJERA EN LA MANGA NUMERO CINCO DE LA TERMINAL A DE ESTE MEDIO, DONDE SE LA INVITA A QUE SE DIRIGA HACIA EL PATIO DE VALIJAS DE LA TERMINAL A, DONDE RECONOCE EL EQUIPAJE COMO DE SU PROPIEDAD Y ES TRASLADADA JUNTO A LOS TESTIGOS HACIA LA GUARDIA DE PREVENCION. UNA VEZ AHI Y PREVIA COMUNICACION CON LA JUDICATURA DE TURNO SE PROCEDE A LA REQUISA DE LA VALIJA EN CUESTION, DEJANDOSE VER DENTRO DE LA MISMA PRENDAS DE VESTIR VARIAS , QUE AL RETIRARLAS SE OBSERVA UNA MOCHILA DE TIPO CAMPING DE COLOR VERDE Y NEGRO, Y OTRA MOCHILA DEL MISMO TIPO, DE COLOR NEGRO Y BORDO, ACTO SEGUIDO SE LES PRACTICA UNA INCISION EN TODA LA LONGITUD DEL INTERIOR, HALLANDO EN EL DOBLE FONDO UN PAQUETE EN CADA MOCHILA, DENOMINANDOLOS COMO PAQUETE A Y PAQUETE B RESPECTIVAMENTE, CONTENIENDO SEIS PLACAS DE COLOR BLANCA , LAS CUALES SE IDENTIFICAN DEL 1 AL 6 CORRESPONDEN AL PAQUETE A, Y DEL 7 AL 12 CORRESPONDEN AL PAQUETE B, A LAS CUALES SE SOMETIO A REACTIVO DE CAMPO PARA COCAINA, ARROJANDO RESULTADO POSITIVO EN TODOS LOS CASOS.</t>
  </si>
  <si>
    <t>INFORMO EN EL DIA DE LA FECHA SE PRESENTA EL SEÑOR ALGAÑARAZ SERGIO JONATAN DNI Nº 31.004.816, PERSONAL DE LA EMPRESA J&amp;B (SERVICIO DE COORDINACION DE VUELOS EJECUTIVOS), EL MISMO HACE ENTREGA DEL CERTIFICADO DE EXTRAVIO EMANADO POR LA POLICIA DE LA PROVINCIA DE SAN JUAN, EN DONDE SE DEJA CONSTANCIA DEL EXTRAVIO DEL PERMISO DE SEGURIDAD AEROPORTUARIA Nº 323940. ASIMISMO PERSONAL DEL AREA IDENTIFICACION Y REGISTRO DE ESTA UNIDAD DIO LA BAJA DEL SISTEMA DE DICHO PERMISO, CON FECHA 19/11/2010.</t>
  </si>
  <si>
    <t>7353/10</t>
  </si>
  <si>
    <t>SE PROCEDE A LA APERTURA DE DOS SACAS COLECTORAS DEL CORREO OFICIAL, SEGUN CONSTA EN ACTA DE RETENCION DE CARGAS Nº 0476/10, QUE ORIGINA LA PREVENCION SUMARIA Nº 111/10, LA PRIMERA SACA IDENTIFICADA CON MARBETE SLA9122139D555700RGL, PRECINTO Nº E255959, CON TIENE DOS PIEZAS POSTALES, LA 1º IDENTIFICADA COMO EP716771845AR,RTTE. SRA. MARIA GRISELDA RODRIGUEZ,DOMICILIO,TTE 1º BOLZAN Nº 884,Bº 65 VIVIENDAS, ALTO COMEDERO,C.P.4600, S.S.DE JUJUY Y DESTINATARIO OSCAR OSVALDO MENDOZA,DOMICILIO MARIA AUXILIADORA Nº 2288,Bº EVITA,RIO GALLEGOS,C.P. 9400,STA.CRUZ, QUEDA RETENIDA Y LA EU854318788AR, ES ENTREGADA AL SR. ARIAS PARA SU REDESPACHO.LA 2º SACA IDENTIFICADA CON MARBETE SLA0216507E555600CRD,PRESCINTO Nº E255003 ,CONTIENE DOS PIEZAS POSTALES: LA 1º IDENTIFICADA COMO EP716771933AR, RTTE. SRA. SOLEDAD BUSTAMANTE , CALLE 58,MZA. 8 ,LOTE 9, Bº 9 DE JULIO,CAMPO VERDE, JUJUY Y DESTINATARIO SRA. EVA MARIA CARDOZO,Bº VISTA HERMOSA 1, DOMICILIO CALLE PERITO MORENO Nº 1319, C.P. 9011, CALETA OLIVIA , STA. CRUZ , QUEDA RETENIDA Y LA EP711448377AR, ES ENTREGADA AL SR. ARIAS PARA SU REDESPACHO .LA MISMA SE REALIZA ANTE LA PRESUNCION DE QUE PUDIERAN CONTENER ALGUN ELEMENTO EN INFRACCION A LA LEY 23.737 Y/O 22.415,QUEDANDO LAS MISMAS CERRADAS Y EN GUARDA EN ESTA UOSP. SE COMUNICO TELEFONICAMENTE AL JUZGADO INTERVINIENTE. Y LA APERTURA SE REALIZARA CON LA AUTORIZACION DEL MAGISTRADO ACTUANTE.</t>
  </si>
  <si>
    <t>VÍA PUBLICA</t>
  </si>
  <si>
    <t>EN EL DÍA LA FECHA SE PRESENTA LA SEÑORA MARÍA CARINA LUNA DE LA EMPRESA SERVICIOS DEL LITORAL A EXPONER QUE EL DÍA DE AYER AL REGRESO A SU HOGAR EXTRAVIÓ SU PERMISO PERSONAL AEROPORTUARIO NRO. 345004.-</t>
  </si>
  <si>
    <t>PARTIDA DEL VUELO DE REFERENCIA, TRANSPORTANDO AL SEÑOR MINISTRO DE AGRICULTURA, GANADERIA Y PEZCA, JULIAN ANDRES DOMINGUEZ Y COMITIVA. SE REALIZO OPERATIVO DE SEGURIDADSIN NOVEDAD, DANDO CUMPLIMIENTO A ORDEN DE SERVICIO 38/10</t>
  </si>
  <si>
    <t>LV-OAP</t>
  </si>
  <si>
    <t>TRIBUNAL DE JUICIO EN LO CRIMINAL - DISTRITO JUDICIAL NORTE -PROV.TIERRA DEL FUEGO</t>
  </si>
  <si>
    <t>Varela</t>
  </si>
  <si>
    <t>DRA. LORENE NEBREDA</t>
  </si>
  <si>
    <t>S/TTVA ROBO</t>
  </si>
  <si>
    <t>272/05</t>
  </si>
  <si>
    <t>EN EL DIA DE LA FECHA Y AL MOMENTO DEL PREEMBARQUE DEL VUELO 2849 DE AUSTRAL LINEAS AEREAS, SE PRESENTA EN EL MOSTRADOR DE CONTROL DOCUMENTOS DE ESTA FUERZA DE SEGURIDAD EL CIUDADANO JUAN CARLOS SALINAS, DNI Nº 24.976.493, CIUDADANO SOBRE EL CUAL RECAE UNA PROHIBICION DE SALIDA DEL PAIS Y DE LA PROVINCIA DE TIERRA DEL FUEGO, VINCULADO A LA CAUSA 272/05, CARATULADA -S/TTVA ROBO-SEGUN EL REGISTRO RED LINCE Nª 241435. ACTO SEGUIDO Y EN VIRTUD DE LOS AUTOS DE REFERENCIA SE LE RESTRINGE EL EMBARQUE EN EL VUELO DE REFERENCIA Y SE LO NOTIFICA PARA QUE FIJE DOMICILIO REAL.-</t>
  </si>
  <si>
    <t>BET</t>
  </si>
  <si>
    <t>POR SUBROGANCIA LEGAL DR. JORGE D. NOVARINO</t>
  </si>
  <si>
    <t>CROCCIANELLI S/DCIA</t>
  </si>
  <si>
    <t>21814/08</t>
  </si>
  <si>
    <t>INFORMO QUE EN EL DIA DE LA FECHA DURANTE EL CONTROL DEL VUELO DE LA EMPRESA LAN ARGENTINA N° 4443 SE IDENTIFICA AL SEÑOR IGLESIAS ALFREDO RAÚL DNI N° 7.618.390 SOBRE QUIEN PESA UNA PROHIBICIÓN DE SALIDA DE LA PROVINCIA SIN PREVIA AUTORIZACIÓN DE LA MAGISTRATURA INTERVINIENTE SEGÚN REGISTRO RED LINCE N° 265656 CAUSA N° 21814/2008 CARATULADA " CROCCIANELLI S/DCIA" PROVENIENTE DEL JUZGADO DE INSTRUCCIÓN DE PRIMERA NOMINACIÓN DISTRITO JUDICIAL SUR PCIA DE TIERRA DEL FUEGO, QUIEN PRESENTA AUTORIZACIÓN DE VIAJE EMITIDA POR EL TRIBUNAL DE JUICIO EN LO CRIMINAL DEL DISTRITO JUDICIAL SUR DE LA PCIA DE TIERRA DEL FUEGO ANTÁRTIDA E ISLAS DEL ATLÁNTICO SUR PARA SALIR DE LA PCIA CON DESTINO A LA CIUDAD DE BS.AS. ENTRE LOS DIAS 19/11/10 HASTA 19/12/10.</t>
  </si>
  <si>
    <t>4169/10</t>
  </si>
  <si>
    <t>INVESTIGACION PENAL PREPARATORIA S/ PSTA. INF.LEY 26.364</t>
  </si>
  <si>
    <t>AMPLIANDO PR Nº 2803/10 DE FECHA 10-05-2010, Y PARTE RESERVADO Nº 4169/10 DE FECHA 12/07/10 EN DONDE SE SOLICITA SE EXTIEDAN LAS TAREAS INVESTIGATIVAS RESPECTO DE LOS AVISOS CLASIFICADOS DEL RUBRO 12 B - SERVICIOS Y PLACERES - DE LA REVISTA GUIA DE OPORTUNIDADES - DE RIO GRANDE.- SE INFORMA QUE EN EL DIA DE LA FECHA SE RECEPCION OFICIO JUDICIAL SIN NUMERO , DE FECHA 16 DE NOVIEMBRE DE 2010, DONDE EL MAGISTRADO INTERVINIENTE SOLICITA SE PROFUNDICEN LAS TAREAS INVESTIGATIVAS ENTORNO A LAS CIUDADANAS AVILA YOPLA, FLOR MERCI YAGIRA-PASAPORTE REPUBICA DEL PERU N° 3857172 Y DE YOPLA HUHAMANCHLIMO, PASCUALA YOI- PASAPORTE REPUBICA DEL PERU N°4253011, QUIENES SERIAN LAS QUE REGENTEARIAN O GOBERNARIAN A VARIAS MUJERES, LAS CUALES PUBLICAN AVISOS CLASIFICADOS EN EL DIARIO EL SUREÑO, EN EL RUBRO -SERVICIO DE ACOMPÁÑANTES-, TODO ELLO A FIN DE CORROBORAR O DESESTIMAR LA HIPOTESIS INVESTIGATIVA ESBOZADA POR LA PREVENCION, DEBIENDOSE REMITIR LA INFORMACION RECEPCIONADA AL MINISTERIO PUBLICO FISCAL</t>
  </si>
  <si>
    <t>POSICION 50 B</t>
  </si>
  <si>
    <t>EN MOMENTOS QUE SE REALIZA LA DESCARGA DEL VUELO DE LA COMPAÑIA AEROCOMERCIAL LAN, PROVENIENTE DE TUCUMAN, PERSONAL DE LA EMPRESA INTERCARGO SE PERCATA DE QUE UNA SACA DE CORREO SE ENCUENTRA ABIERTA Y CON PARTE DE LOS PAPELES QUE TRANSPORTA DESPARRAMADOS EN LA BODEGA. POR LO QUE SE DA AVISO A PERSONAL DE LA EMPRESA AEREA Y A PERSONAL POLICIAL. SEGUIDAMENTE SE COMISIONA A PERSONAL DESTACADO EN LA PATRULLA MOVIL DEL SECTOR RESTRINGIDO QUIENES CHEQUEAN A LA TOTALIDAD DE LAS PERSONAS HABIDAS EN EL LUGAR, OBTENIENDO RESULTADO NEGATIVO.</t>
  </si>
  <si>
    <t>STANDARD BANK</t>
  </si>
  <si>
    <t>LA 4557</t>
  </si>
  <si>
    <t>PERGOLA DE ARRIBOS DE LA TERMINAL B</t>
  </si>
  <si>
    <t>SIENDO LA HORA Y LA FECHA ANTES MENCIONADA MIENTRAS PERSONAL POLICIAL SE ENCONTRABA DE RECORRIDA EN EL SECTOR DE MENCION, OBSERVAN EN LA PERGOLA DE ARRIBOS,A UNA PERSONA DEL SEXO MASCULINO QUE SE ENCONTRABA OFRECIENDO SERVICIO DE TRANSPORTE PUBLICO A VIVA VOZ A LOS PASAJEROS RECIEN ARRIBADOS AL PAIS POR LO CUAL CONVOCAN LA PRESENCIA DE UN TESTIGO. LUEGO DE CONSTATAR ESTA INFRACCION SE DIRIGEN HACIA ESTE TURNO DE PREVENCION A LOS EFECTOS DE LABRAR LAS ACTUACIONES CONTRAVENCIONALES CORRESPONDIENTES.</t>
  </si>
  <si>
    <t>PLATAFORMA DE LA UOSP EL PALOMAR</t>
  </si>
  <si>
    <t>SIENDO LAS 02:00 HORAS SE PROCEDE A IMPLEMENTAR OEDEN DE SERVICIO Nº 06/2010 DE LA UOSP EL PALOMAR, CON RESPECTO AL ARRIBO DEL VUELO DE LA FAA , EL CUAL TRASLADA LOS RESTOS DE LAS VICTIMAS DEL ACCIDENTE AEREO DE CUBA. SIENDO LAS 03:37 HORAS ARRIBA A ESTA UNIDAD EL AVION F-28, DE LA F.A.A MATRICULA TC-55, SIENDO LAS 04:30 HS SE RETIRA DE ESTA UNIDAD LA COMITIVA CONFORMADA POR LOS FAMILIARES DE LAS VICTIMAS Y PERSONAL DE CANCILLERIA SIN NOVEDAD.</t>
  </si>
  <si>
    <t>BARRIO DE SAN TELMO</t>
  </si>
  <si>
    <t>MIENTRAS SE ENCONTRABA CAMINANDO POR LA ZONA INDICADA LA DENUNCIANTE SIENTE UN FUERTE EMPUJÓN DESDE ATRÁS Y OBSERVA A DOS MASCULINOS, DE LOS CUALES NO RECUERDA ASPECTOS FÍSICOS, LE SACAN DE LAS PERTENECIAS MENCIONADAS. QUE LUEGO SE DIRIGE HACIA EL HOTEL DONDE SE HOSPEDABA Y EN EL DÍA DE LA FECHA SE HACE PRESENTE EN ESTE AEROPUERTO INTERNACIONAL A EFECTOS DE EMBARCARSE EN EL VUELO BA 246 DE LA EMPRESA BRITISH AIRWAYS CON DESTINO BRUSELAS, BELGICA, POR LO QUE SE PRESENTA ANTE ESTA GUARDIA DE PREVENCIÓN A RADICAR LA CORRESPONDIENTE DENUNCIA.-</t>
  </si>
  <si>
    <t>TENTATIVA DE HURTO AGRAVADO</t>
  </si>
  <si>
    <t>POSICION 55 BRAVO</t>
  </si>
  <si>
    <t>CALLES INTERNA PLATAFORMA</t>
  </si>
  <si>
    <t>MIENTRAS LA PATRULLA MOVIL TRANSITANDO EL SECTOR DE MENCIONADO OBSERVAN DOS CONTENEDORES METALICOS DENOMINADOS AKE, SIN CUSTODIA, AMBOS CON INSCRIPCIONES QUE REZAN AA CARGO DKE 16417 AA Y DKN-15743AA, SEGUIDAMENTE DAN AVISO AL JEFE DE TURNO QUIEN ORDENA UNA CONSIGNA POLICIAL, DOS TESTIGOS Y COMISIONA PERSONAL A SU CARGO A LAS OFICINAS DE AMERICAN AIRLINES PARA RECABAR INFORMACION, DONDE INFORMAN QUE LA EMPRESA MUNSER ERA LA ENCARGADA EN CUANTO A LAS CARGAS. EN LAS OFICINAS DE LA EMPRESA MUNSER INFORMAN QUE DICHOS CONTENEDORES ARRIBARON EL DÍA 17 MES Y AÑO EN CURSO EN EL VUELO DESCRIPTO, DEBIENDO HABER SIDO ENTREGADA AL CORREO ARGENTINO. POR LO QUE EL JEFE DE TURNO DISPONE CONVOCAR A PERSONAL DEL CORREO ARGENTINO, HACIENDOSE PRESENTE EL SR. ARRUDA, SUPERVISOR DE DICHA EMPRESA QUIEN REALIZA UNA INSPECCION DEL CONTENIDO EN LOS AKES DE MENCION LOS CUALES CONTENIAN 16 SACAS DENTRO DEL AKE NUMERO AA CARGO DKE-16417 AA Y 34 SACAS DENTRO DEL AKE NUMERO AA CARGO 15743 AA, DEL CUAL NO SE REGISTRAN NOVEDADES.</t>
  </si>
  <si>
    <t>ACTA DE HALLAZGO 34/2010</t>
  </si>
  <si>
    <t>INFORMO QUE EN EL DIA DE LA FECHA DURANTE UN RECORRIDO DE PREVENCION REALIZADO POR LA OFICIAL PRINCIPAL CLAUDIA RAMIREZ EN EL SECTOR DE SALA DE PREEMBARQUE SE PRODUCE EL HALLAZGO DE UN BOLSO DE COLOR NEGRO MARCA CASE LOGIC ANTE LA PRESENCIA DEL SEÑOR SILVIO OSCAR PLAZA EMPLEADO DE LA EMPRESA AEROLINEAS ARGENTINAS. SE REALIZA APERTURA DEL MISMO EN PRESENCIA DE TESTIGOS HABILES CONTENIENDO EN SU INTERIOR UNA -1- COMPUTADORA NOTEBOOK COLOR GRIS MARCA BGH E-NOVA MODELO WQ-4000, UN CARGADOR DE BATERIAS S/N 97W0738213492 COLOR NEGRO, UN MOUSE DE COLOR NEGRO MARCA MANHATTAN MODEL: 176873, UN MODEM DE MARCA HUAWEI MOBILE BROADBAND IMEI: 355851022232034, SN: DT5TAA3922800692 COLOR BLANCO, UN MANUAL HUAWEI E176 HSPA USB STICK, UNA BILLETERA DE CUERO COLOR VERDE QUE CONTIENE EN SU INTERIOR DOS -2- FOTOS CARNET, DOS -2- MONEDAS DE 0,25 PESOS Y UNA DE 00,5 CENTAVOS, DOS -2- CD CON LA LEYENDA BGH E-NOVA UNO -1- CON LA LEYENDA NERO, UNO -1- CON LA LEYENDA TP-LINK, UNA GUIA DE WINDOWS VISTA, UN -1- PAD PARA MOUSE MARCA MANHATTAN, UN -1- MINI VIOLÍN DE COLOR MARRÓN EN SU ESTUCHE DE COLOR AMARILLO, UN -1- ESPEJO DE COLOR GRIS, UN -1- RECIBO DE HABER DUPLICADO A NOMBRE DE MONSALBE, NÉLIDA DNI NRO. 5.138.996, DE FECHA 30-08-10, Y PAPELES VARIOS, SE UBICA A LA PROPIETARIA DE ESTOS ELEMENTOS BAJO APARATO TELEFONICO NRO. 02901-15418010, QUIEN MANIFIESTA QUE SE ENCUENTRA EN LA CIUDAD DE RIO GALLEGOS, DISPUESTA A VIAJAR VIA TERRESTRE A LA LOCALIDAD DE CARMEN DE PATAGONES, TENIENDO PREVISTO SU REGRESO APROXIMADAMENTE EN DOS -2- MESES,MOMENTOS EN QUE HARA PRESENTE EN ESTA UNIDAD OPERACIONAL PARA RETIRAR DICHOS ELEMENTOS, QUEDANDO LOS MISMOS EN RESGUARDO EN ESTA PREVENCION BAJOACTA DE HALLAZGO NRO. 034/10.</t>
  </si>
  <si>
    <t>SIENDO LA HORA INDICADA PERSONAL DE ATENCIÓN AL CLIENTE DE LA EMPRESA AEROPUERTOS ARGENTINA 2000 RECIBE UN LLAMADO TELEFÓNICO EN EL CUAL UNA VOZ MASCULINA LE MANIFIESTA: HAY UNA BOMBA EN EL BAÑO. SIC. POR TAL MOTIVO, EL JEFE DE TURNO DISPONE QUE SE RETIREN A TODAS LAS PERSONAS DE LOS BAÑOS UBICADOS EN LA PARTE PUBLICA Y QUE SE PROHÍBA EL INGRESO A LOS MISMOS. QUE SEGUIDAMENTE PERSONAL DEL GEDEX PROCEDE A EFECTUAR UN PROCEDIMIENTO DE SU ESPECIALIDAD EN LOS BAÑOS PÚBLICOS DE LA TERMINAL A, B Y C DE ESTE MEDIO, NO DETECTANDO NINGÚN TIPO DE NOVEDAD. QUE SEGUIDAMENTE DE ACUERDO A LO INFORMADO POR PERSONAL DE AEROPUERTOS ARGENTINA 2000, LA LLAMADA PUEDO HABER SIDO REALIZADA DESDE UN TELÉFONO DE INFORMES DE AEROPUERTOS ARGENTINA 2000, YA QUE SU TERMINACIÓN ERA 2808, POR LO QUE SE DISPONE UN OPERATIVO RASTRILLAJE CON TODOS LOS TELÉFONOS HABIDOS EN LAS TERMINALES ANTES CITADAS, A LOS EFECTOS DE IDENTIFICAR AL TELÉFONO CON LA TERMINACIÓN REFERIDA, OBTENIÉNDOSE RESULTADO NEGATIVO.</t>
  </si>
  <si>
    <t>CINTA NUMERO 9 TERMINAL B</t>
  </si>
  <si>
    <t>QUE LUEGO DE ARRIBAR A TERRITORIO NACIONAL EN EL VUELO PROVENIENTE DE MIAMI, TRAS HABER REALIZADO LOS TRAMITES MIGRATORIOS DE RIGOR, SE DISPONE A RETIRAR EL EQUIPAJE QUE DESPACHO POR BODEGA, SIENDO ESTE UNA VALIJA TIPO CARRY ON, DE COLOR NEGRO, DESPACHADA CON MARBETE N° AR30-71-27. AL OBSERVARLA SE PERCATA QUE LA MISMA NO POSEIA EL FILM DE NYLON QUE LA ENVOLVIA Y QUE TENIA EL CIERRE ABIERTO. UNA VEZ QUE ABRE LA MISMA OBSERVA QUE EL CANDADO DE SEGURIDAD ESTABA EN EL INTERIOR Y SE ENCONTRABA VIOLENTADO, CONSTATANDO TAMBIEN FALTANTE EN SUS PERTENENCIAS. POR ULTIMO REALIZA EL CORRESPONDIENTE RECLAMO EN LA COMPAÑIA AEREA, PARA LUEGO TRASLADARSE A ESTA DEPENDENCIA A REALIZAR LA CORRESPONDIENTE DENUNCIA</t>
  </si>
  <si>
    <t>EZEIA</t>
  </si>
  <si>
    <t>INFRACCION A LOS ARTICULOS 78, 79 Y 85 DECRETO LEY 8031/73</t>
  </si>
  <si>
    <t>INFRACCION A LOS ARTICULOS 78,79 Y 85 DECRETO LEY 8031/73</t>
  </si>
  <si>
    <t>SIENDO LA FECHA Y LA HORA ANTES MENCIONADA PERSONAL POLICIAL QUE SE ENCONTRABA DE RECORRIDA POR LA PERGOLA DE ARRIBOS, EN PREVENCION DE POSIBLES DELITOS Y FALTAS, OBSERVAN Y SORPRENDEN IN FRAGANTI A UNA PERSONA DE SEXO MASCULINO QUE SE ENCONTRABA OFRECIENDO SERVICIO DE TRANSPORTE PUBLICO A VIVA VOZ A PASAJEROS RECIEN ARRIBADOS AL PAIS, FUERA DE LOS LUGARES HABILITADOS. HABIENDO SIDO ADVERTIDO PREVIAMENTE, HIZO CASO OMISO CONTRARIANDO LA NORMATIVA VIGENTE. POR TAL MOTIVO EL INFRACTOR ES CONDUCIDO HACIA ESTA GUARDIA DE PREVENCION PARA LABRAR LAS ACTUACIONES CONTRAVENCIONALES CORRESPONDIENTES.</t>
  </si>
  <si>
    <t>SIENDO LA HORA Y LA FECHA ANTES MENCIONADA PERSONAL POLICIAL QUE REALIZABAN RECORRIDAS EN LA PERGOLAS DE ARRIBOS EN PREVENCION DE POSIBLES DELITOS Y FALTAS, OBSERVAN A UNA PERSONA DE SEXO MASCULINO, QUIEN HABIENDO HECHO CASO OMISO A LAS ADVERTENCIAS, SE ENCONTRABA OFRECIENDO SERVICIO DE TRANSPORTE PUBLICO A VIVA VOZ, INFRINGIENDO LA NORMATIVA VIGENTE. SEGUIDAMENTE EL INFRACTOR ES CONDUCIDO HACIA ESTA GUARDIA DE PREVENCION PARA LABRAR LAS ACTUACIONES CONTRAVENCIONALES CORRESPONDIENTES.</t>
  </si>
  <si>
    <t>INFORMO QUE EL AEROPUERTO PERMANECERA CERRADO POR MANTENIMIENTO DESDE LAS 7:00 HS HASTA LAS 19:00 HS DEL DIA DE LA FECHA SEGUN INFORMO LA A.N.A.C.</t>
  </si>
  <si>
    <t>DRA MARIA INES GAMBIRASSI</t>
  </si>
  <si>
    <t>KIOSCO DE DIARIOS Y REVISTAS</t>
  </si>
  <si>
    <t>SIENDO LA HORA INDICADA SE HACE PRESENTE EN ESTA GUARDIA DE PREVENCION EL SR MAIDANA JORGE, EMPLEADO DE LA EMPRESA SASA, CON EL FIN DE REALIZAR UNA DENUNCIA YA QUE OBSERVA EN EL HALL SECTOR A1 DE ESTE AEROPUERTO A UN EMPLEADO DE LA EMPRESA HAS, QUIEN DEBIA ESTAR CUSTODIANDO LA OFICINA DE VENTAS DE LA EMPRESA LAN, SUSTRAER DEL INTERIOR DEL KIOSCO DE DIARIOS, UNA SERIE DE REVISTAS, GUARDARLAS ENTRE SUS ROPAS Y LUEGO DIRIGIRSE A SU PUESTO. EL SR MAIDANA DA AVISO VIA HT A SU ENCARGADO PARA LUEGO DAR AVISO AL SUPERVISOR DE AA 2000, JONATHAN CURVA, Y AL PERSONAL POLICIAL QUE SE ENCONTRABA APOSTADO EN LA PATRULLA DE HALL, OFICIAL AYUDANTE LUCAS VELAZQUEZ, QUIEN SE APERSONA EN EL LUGAR Y DA AVISO AL JEFE DE TURNO, OFICIAL PRINCIPAL VALLE ADRIAN. UNA VEZ EN EL LUGAR DEL HECHO, EL EMPLEADO DE LA EMPRESA HAS, AFIRMA HABER SUSTRAIDO LAS REVISTAS Y LUEGO, CON TESTIGO MEDIANTE SE DIRIGEN A ESTA GUARDIA DE PREVENCION CON EL FIN DE REALIZAR LAS ACTUACIONES PERTINENTES. SE INFORMA EN P.U. Nº 7392, QUE POR NO TENER ANTECEDENTES NI IMPEDIMENTOS EL JUZGADO INTERVINIENTE ORDENA LA LIBERACION DEL CAUSANTE, QUIEN SE RETIRA DE LA DEPENDENCAI CON LA TOTALIDAD DE LOS EFECTOS PERSONALES QUE ESTABAN EN RESGUARDO DE LA UNIDAD.</t>
  </si>
  <si>
    <t>EL DIA VEINTE DEL CORRIENTE MES Y AÑO, SIENDO LAS VEINTIUNA HORAS Y CINCUENTA MINUTOS ARRIBO A ESTE AEROPUERTO INTERNACIONAL, EN LA DENOMINADA TERMINAL A, QUE LUEGO DE REALIZAR LOS TRAMITES MIGRATORIOS DE RIGOR, SE HACE PRESENTE EN LA DENOMINADA PERGOLA CON MOTIVOS DE ABORDAR UN VEHICULO TAXI CAPITAL. QUE AL MOMENTO DE CARGAR SUS EQUIPAJES EN EL VEHICULO TAXI CORRESPONDIENTE, SE HACE PRESENTE EN EL SECTOR UNA PERSONA DE SEXO MASCULINO, DE PELO LARGO DE COLOR NEGRO, DE UN METRO SETENTA DE ESTATURA APROXIMADAMENTE, CON MOTIVOS DE FACILITAR LA CARGA DE LOS EQUIPAJES EN EL VEHICULO TAXI. UNA VEZ ARRIBADO A SU DOMICILIO EL DENUNCIANTE SE PERCATA DEL FALTANTE DE UNO DE SUS EQUIPAJES.MOTIVO POR EL CUAL SE PRESENTA EN ESTA DEPENDENCIA A RADICAR FORMAL DENUNCIA.</t>
  </si>
  <si>
    <t>6627/10</t>
  </si>
  <si>
    <t>694/10</t>
  </si>
  <si>
    <t>SE PROCEDE A LA APERTURA DE TRES ENCOMIENDAS DEL CORREO OFICIAL, SEGÚN ACTA DE APERTURA DE CARGA Nº 481/10, PREV. SUM. Nº 107/10, EN VIRTUD DE LO ORDENADO MEDIANTE OFICIO JUDICIAL Nº 3269/10, EN EL EXPEDIENTE Nº 694/10 CARATULADO APERTURA DE ENCOMIENDA SOLIC. POLICIA DE SEGURIDAD AEROPORTUARIA, DEL MAGISTRADO ACTUANTE Y EN PRESENCIA DE DOS TESTIGOS HABILES, LA 1ª EP681066329AR, RTTE:MIGUEL LAMAS, FERMIN DE LA QUINTANA Nº 168, Bº SAN MARTIN, S.S. DE JUJUY, CP.4600, DEST: SRA. MIRTA CALISAYA, Bº MALVINAS, CALLE ISLA GRAN MALVINA Nº 223, RIO TURBIO,PCIA DE SANTA CRUZ, CP. 9407, CONTIENE: OCHO PAQUETES DE HOJAS DE COCA CON UN PESO TOTAL DE 1.976 GRS. QUEDAN SECUESTRADOS, Y EL RESTO DE LA ENCOMIENDA: PRENDAS DE VESTIR VARIAS SERAN ENTREGADAS AL CORREO OFICIAL PARA SU REDESPACHO. LA 2ª EP691908275AR, RTTE: CLAUDIO FARFAN, LEV. DE QUERA 355, LA QUIACA, CP.4650, DEST:SR. MARIO PADILLA, CORREO CENTRAL, PEDRO LURO, CP. 8148, CONTIENE: CATORCE PAQUETES DE HOJAS DE COCA CON UN PESO TOTAL DE 3.278 GRS, QUEDA RETENIDA. LA 3ª EP658930567AR, RTTE: SRA. MARIA TERESA GUTIERREZ, EL SALVADOR Nº 125, Bº LA PAZ, PERICO-JUJUY, CP.4610, DEST: VICTOR MALLON, CALLE PERON SUR Nº 604, Bº SAN SALVADOR, USHUAIA, TIERRA DEL FUEGO, CP. 9410, CONTIENE: CUATRO PAQUETES DE HOJAS DE COCA CON PESO TOTAL DE 983 GRS. LOS CUALES QUEDAN RETENIDOS Y ADEMAS PAPA ANDINA CON UN PESO TOTAL DE 1.522 GRS. A LOS QUE SE LES EFECTUA PRUEBA DE CAMPO CON REACTIVO MARCA COCA TEST -AEROSOL- PARA COCAINA, CON RESULTADO NEGATIVO. LUEGO DE VERIFICADOS SUS CONTENIDOS LAS MISMAS SERAN PUESTAS A DISPOSICION DE LA ADMINISTRACION DE ADUANA SALTA, POR PRESUNTA INFRACCION A LA LEY 22.415, CODIGO ADUANERO. ASIMISMO SE INFORMA QUE EN DICHO OFICIO JUDICIAL POR ERROR DEL JUZGADO SE AUTORIZA LA APERTURA DE UNA CUARTA ENCOMIENDA EP716021815AR, CUYA APERTURA FUE REALIZADA EL DIA 18-11-10, SEGUN CONSTA EN ACTA DE APERTURA DE CARGA Nº 0474/2010 DE LA PREVENCION SUMARIA Nº 104/10, INFORMADO POR PU 7339- LA MISMA FUE AUTORIZADA MEDIANTE OFICIO JUDICIAL Nº 3192/10. LAS ACTUACIONES SERAN REMITIDAS A SEDE JUDICIAL. SEGÚN P.U. N° 6622/10 ORIGINARIO SE PROCEDE A LA RETENCIÓN DE CUATRO SACAS COLECTORAS DEL CORREO OFICIAL, SEGÚN CONSTA EN ACTA DE RETENCIÓN DE CARGAS Nº 0450/10, QUE ORIGINA LA PREVENCIÓN SUMARIA 107/10, LA PRIMERA SACA IDENTIFICADA CON MARBETE, SLA0217020E555700RGL, PRECINTO N° D915624, CON UN PESO DECLARADO DE 5,700 KGS, CON DESTINO LA CIUDAD DE RIO GALLEGOS, CONTENDRÍA UNA PIEZA POSTAL; LA SEGUNDA SACA IDENTIFICADA CON MARBETE, SLA0217776E606000BHI, PRECINTO N° D915619, CON UN PESO DECLARADO DE 4,600 KGS, CON DESTINO LA CIUDAD DE BAHIA BLANCA, CONTENDRÍA UNA PIEZA POSTAL; LA TERCERA SACA IDENTIFICADA CON MARBETE, SLA0212336D555800VAE, PRECINTO N° D915699, CON UN PESO DECLARADO DE 3,500 KGS, CON DESTINO LA CIUDAD DE USHUAIA, CONTENDRÍA UNA PIEZA POSTAL Y LA CUARTA SACA IDENTIFICADA CON MARBETE, SLA0171506E555900RGA, PRECINTO N° D915613, CON UN PESO DECLARADO DE 5,300 KGS, CON DESTINO LA CIUDAD DE RIO GRANDE, CONTENDRÍA UNA PIEZA POSTAL. LAS MISMAS ESTÁ AMPARADAS EN GUÍA DE CARGA Nº 8038463-6, DESPACHADAS A TRAVÉS DE LA EMPRESA DE CARGA AÉREA JET PAQ. LA RETENCIÓN SE REALIZA ANTE LA PRESUNCIÓN QUE PUDIERAN CONTENER ALGÚN ELEMENTO EN INFRACCIÓN A LA LEY 23.737 Y/O 22.415, QUEDANDO LAS MISMAS CERRADAS Y PRECINTADAS EN GUARDA EN ESTA UOSP. SEGÚN LO COORDINADO CON EL DR. SANTIAGO FRENCH, A CARGO DE LA SECRETARIA PENAL Nº 2 DEL JUZGADO FEDERAL DE SALTA Nº 1 A CARGO DEL DR. JULIO LEONARDO BAVIO. LA APERTURA SE REALIZARÁ EN PRESENCIA DEL PERSONAL DEL CORREO OFICIAL. SEGÚN P.U. N° 6627/10 - AMPLIACION SE PROCEDE A LA APERTURA DE CUATRO SACAS COLECTORAS DEL CORREO OFICIAL, SEGÚN ACTA DEJANDO CONTANCIA Nº 0451/10, CORRESPONDIENTTE A LA PREV. SUM.Nº 107/10, LA 1ª SACA IDENTIFICADA CON MARBETE, SLA0217020E555700RGL,PRECINTO N° D915624, CONTIENE UNA PIEZA POSTAL IDENTIFICADA COMO EP681066329AR, RTTE:MIGUEL LAMAS, FERMIN DE LA QUINTANA Nº 168, Bº SAN MARTIN, S.S. DE JUJUY, CP.4600, DEST: SRA. MIRTA CALISAYA, Bº MALVINAS, CALLE ISLAS GRAN MALVINAS Nº 223, RIO TURBIO,PCIA DE SANTA CRUZ, CP. 9407, QUEDA RETENIDA. LA 2ª SACA IDENTIFICADA CON MARBETE, SLA0217776E606000BHI, PRECINTO N° D915619,CONTIENE UNA PIEZA POSTAL IDENTIFICADA COMO EP691908275A, RTTE: CLAUDIO FARFAN, LEV.QUERD 355, LA QUIACA, CP.4650, DEST:SR. MARIO PADILLA, CORREO CENTRAL, PEDRO LURO, CP. 8148, QUEDA RETENIDA. LA 3ª SACA IDENTIFICADA CON MARBETE, SLA0212336D555800VAE, PRECINTO N° D915699, CONTIENE UNA PIEZA POSTAL IDENTIFICADA COMO EP658930567AR, RTTE: SRA. MARIA TERESA GUTIERREZ, EL SALVADOR Nº 125, Bº LA PAZ, PERICO-JUJUY, CP.4610, DEST: VICTOR MALLON, CALLE PERON SUR Nº 604, Bº SAN SALVADOR, USHUAIA, TIERRA DEL FUEGO, CP. 9410, QUEDA RETENIDA Y LA 4ª SACA IDENTIFICADA CON MARBETE, SLA0171506E555900RGA, PRECINTO N° D915613, CONTIENE UNA PIEZA POSTAL IDENTIFICADA COMO EP693136340AR, RTTE: JUAN CARLOS MAMANI, AV. FELIPE VARELA, Nº 255-SALTA, CP.4400, DEST: SR. SERGIO LUIS IMPA, RIVADAVIA 968, RIO GRANDE, TIERRA DEL FUEGO, CP. 9420, QUEDA RETENIDA. LAS ENCOMIENDAS SON RETENIDAS ANTE LA PRESUNCIÓN DE QUE PUDIERAN CONTENER ALGÚN ELEMENTO EN INFRACCIÓN A LA LEY 23.737 Y/O 22.415, QUEDANDO LAS MISMAS CERRADAS Y EN GUARDA EN ESTA UOSP SEGUN LO COORDINADO CON EL JUZGADO INTERVINIENTE Y LA APERTURA SE REALIZARA CON AUTORIZACION DEL MAGISTRADO ACTUANTE.</t>
  </si>
  <si>
    <t>PEDRIEL Nº 4425 PUERTA 3 SAN MARTIN BS. AS.</t>
  </si>
  <si>
    <t>EL DIA VEINTE DEL CORRIENTE MES Y AÑO, SIENDO LAS VEINTIUNA HORAS Y CUARENTA MINUTOS, ARRIBA A ESTE AEROPUERTO INTERNACIONAL EL DENUNCIANTE QUIEN, LUEGO DE REALIZAR LOS TRAMITES MIGRATORIOS CORRESPONDIENTES A LA ENTRADA AL TERRITORIO NACIONAL, SE DIRIGE AL SECTOR DE LA CINTA DE ARRIBOS DE LA TERMINAL A DE ESTE MEDIO, CON EL FIN DE RETIRAR SUS EQUIPAJES. ACTO SEGUIDO SE HACE PRESENTE EN EL SECTOR, PERSONAL DE LA EMPRESA AMERICAN AIRLINES, QUIENES MANIFIESTAN QUE SUS EQUIPAJES QUEDARON VARADOS EN LA CIUDAD DE MIAMI, QUE ARRIBARIAN A ESTE AEROPUERTO EL DIA VEINTIUNO DEL CORRIENTE MES Y AÑO, Y LE SERAN ENTREGADOS EN SU DOMICILIO. SIENDO LAS TRECE HORAS TREINTA MINUTOS DEL DIA VEINTIUNO DEL CORRIENTE MES Y AÑO, SE APERSONA EN EL DOMICILIO DEL DENUNCIANTE, PERSONAL DE LA EMPRESA AMERICAN AIRLINES, HACIENDO ENTREGA DE LOS EQUIPAJES, NOTANDO EL DENUNCIANTE. EL FALTANTE DE LOS CANDADOS DE SEGURIDAD Y DE VARIAS DE SUS PERTENENCIAS.</t>
  </si>
  <si>
    <t>5728/10</t>
  </si>
  <si>
    <t>721/10</t>
  </si>
  <si>
    <t>SE PROCEDE A LA APERTURA DE UNA ENCOMIENDA DEL CORREO OFICIAL, SEGÚN CONSTA EN ACTA DE APERTURA DE CARGAS Nº 482/10, PREV. SUM. 096/10, EN VIRTUD DE LO ORDENADO MEDIANTE OFICIO JUDICIAL S/N DE FECHA 11 DE NOVIEMBRE DE 2010, DEL MAGISTRADO ACTUANTE Y EN PRESENCIA DE DOS TESTIGOS HABILES. LA ENCOMIENDA IDENTIFICADA COMO EP693134128AR, RTTE: ANA GUERRERO ARANÍBAR, MZA. 382 B LOTE Nº 7 Bº UNION, CP Nº 4400 SALTA CAPITAL, DEST. SR. AGUEDO MANSILLA, OLEGARIO ZIERPE Nº 795, CP. 9400, RIO GALLEGOS,SANATA CRUZ, CONTIENE: DIEZ PAQUETES DE HOJAS DE COCA CON UN PESO TOTAL DE 4.847 GRS. QUEDANDO SECUESTRADA Y LA MISMA SERA PUESTA A DISPOSICION DE LA ADUANA DE SALTA POR SUPUESTA INFRACCION AL CODIGO ADUANERO, LEY 22.415, Y LAS ACTUACIONES REMITIDAS A SEDE JUDICIAL. SEGÚN P.U. N° 5721/10 ORIGINARIO SE PROCEDE A LA RETENCIÓN DE UNA SACA COLECTORA DEL CORREO OFICIAL, SEGÚN CONSTA EN ACTA DE RETENCIÓN DE CARGAS Nº 0421/10, QUE ORIGINA LA PREVENCIÓN SUMARIA 096/10, LA SACA IDENTIFICADA CON MARBETE, SLA0216900E555700RGL, PRECINTO N° N887083, CON UN PESO DECLARADO DE 6,100 KGS, CON DESTINO LA CIUDAD DE RIO GALLEGOS, CONTENDRÍA UNA PIEZA POSTAL. LA MISMA ESTÁ AMPARADA EN GUÍA DE CARGA Nº 9453355-2, DESPACHADAS A TRAVÉS DE LA EMPRESA DE CARGA AÉREA JET PAQ. LA RETENCIÓN SE REALIZA ANTE LA PRESUNCIÓN QUE PUDIERAN CONTENER ALGÚN ELEMENTO EN INFRACCIÓN A LA LEY 23.737 Y/O 22.415, QUEDANDO LA MISMA CERRADA Y PRECINTADA EN GUARDA EN ESTA UOSP. SEGÚN LO COORDINADO CON EL DRA. MARÍA ISABEL FALU, A CARGO DE LA SECRETARIA PENAL Nº 4 DEL JUZGADO FEDERAL DE SALTA Nº 2 A CARGO DEL DR. MIGUEL ANTONIO MEDINA. LA APERTURA SE REALIZARÁ EN PRESENCIA DEL PERSONAL DEL CORREO OFICIAL. SEGÚN P.U. N° 5728/10 AMPLIACION SE PROCEDE A LA APERTURA DE UNA SACA COLECTORA DEL CORREO OFICIAL, SEGÚN CONSTA EN ACTA DE RETENCIÓN DE CARGAS Nº 0421/10, QUE ORIGINA LA PREVENCIÓN SUMARIA 096/10, LA SACA IDENTIFICADA CON MARBETE, SLA0216900E555700RGL, PRECINTO N° N887083, CONTIENE UNA PIEZA POSTAL IDENTIFICADA COMO EP693134128AR, RTTE: SRA. ANA GUERRERO ARANÍBAR, CON DOMICILIO EN MZA. 382 B LOTE Nº 7 Bº UNION, CP Nº 4400 SALTA CAPITAL, DEST. SR. AGUEDO MANSILLA, CON DOMICILIO EN CALLE OLEGARIO ZIERPE Nº 795, CP. 9400, RIO GALLEGOS PROV. DE SANATA CRUZ, LA MISMA QUEDA RETENIDA. LA RETENCIÓN SE REALIZA ANTE LA PRESUNCIÓN QUE PUDIERA CONTENER ALGÚN ELEMENTO EN INFRACCIÓN A LA LEY 23.737 Y/O 22.415, QUEDANDO LA MISMA CERRADA Y EN GUARDA EN ESTA UOSP. SEGÚN LO COORDINADO CON EL DRA. MARÍA ISABEL FALU, A CARGO DE LA SECRETARIA PENAL Nº 4 DEL JUZGADO FEDERAL DE SALTA Nº 2 A CARGO DEL DR. MIGUEL ANTONIO MEDINA. LA APERTURA SE REALIZARÁ CON LA AUTORIZACIÓN DEL MAGISTRADO ACTUANTE</t>
  </si>
  <si>
    <t>7386/10</t>
  </si>
  <si>
    <t>ISLA DE OMNIBUS</t>
  </si>
  <si>
    <t>POR MEDIO DEL PRESENTE SE PROCEDE A INFORMAR SOBRE LA RECTIFICACION DEL PARTE 7386 QUE DONDE DICE FUERA DE JURISDICCION DEBE DE DECIR ESTACIONAMIENTO, JURISDICCION DE ESTA POLICIA. Y DONDE DICE DOMICILIO PARTICULAR DEBE DECIR ISLA DE OMNIBUS</t>
  </si>
  <si>
    <t>AA961</t>
  </si>
  <si>
    <t>7385/10</t>
  </si>
  <si>
    <t>SIENDO LAS 18:05 HS DEL DIA 21 DE NOVIEMBRE DE 2010, SE PROCEDE AL LA LIBERACION DEL SEÑOR MADEDDU HECTOR POR NO TENER ANTECEDENTES NI IMPEDIMENTOS Y SEGUN LO ORDENADO POR LA DRA. MARIA INES GAMBIRASSI.</t>
  </si>
  <si>
    <t>CABA - AEROPUERTO</t>
  </si>
  <si>
    <t>EN MOMENTO QUE SE ENCONTRABA TRANSITANDO POR LA CALLE FLORIDA, CIUDAD AUTÓNOMA DE BUENOS AIRES, ABORDA UN VEHÍCULO TAXI DEL CUAL NO APORTA MAS DATOS AL IGUAL QUE DEL CONDUCTOR, A EFECTOS DE DIRIGIRSE A ESTE AEROPUERTO INTERNACIONAL. UNA VEZ EN ESTE AEROPUERTO Y CUANDO INTENTA REALIZAR EL CHEKING DE UN VUELO DE LA EMPRESA GOL DEL CUAL NO APORTA DATOS SE PERCATA DEL FALTANTE DE MENCIÓN, POR TAL MOTIVO RADICA LA CORRESPONDIENTE DENUNCIA.</t>
  </si>
  <si>
    <t>QUE EN MOMENTO QUE LOS OFICIALES DIMILITO Y BEATRICE AMBOS DE LA UNIDAD OPERACIONAL DE SEGURIDAD PREVENTIVA METROPOLITANA, SE ENCONTRABAN EN RECORRIDA POR EL SECTOR DE MENCION EN PREVENCION Y CONJUNCION DE DELITOS Y FALTAS A LA HORA DE MENCION, LLEVAN A CABO UN CONTROL PREVENTIVO DE DOCUMENTACION SOBRE EL VEHICULO TAXI QUE CIRCULABA POR EL SECTOR CON PASAJEROS A BORDO, SOLICITANDOLE AL CONDUCTOR QUE EXHIBA LA DOCUMENTACION PERTINENTE HACIENDO ENTREGA DE LA MISMA, NOTANDO EL PERSONAL POLICIAL QUE LA HABILITACION COMO CONDUCTOR DE TRANSPORTE TAXI SE ENCONTRABA VENCIDA POR LO QUE SE PROCEDE A LA APRENCION PREVENTIVA DEL CAUSANTE Y SE REALIZA LA CORRESPONDIENTE CONTRAVENCION.</t>
  </si>
  <si>
    <t>PERGOLA SECTOR ARRIBOS DE LA TERMINAL A</t>
  </si>
  <si>
    <t>QUE SIENDO LA HORA Y LA FECHA ANTES MENCIONADA LOS OFICIALES ZALAZAR Y CARABAJAL SE ENCONTRABAN REALIZANDO UNA RECORRIDA EN PREVENCION DE DELITOS Y FALTAS, OBSERVAN AL CAUSANTE CUMPLIENDO SERVICIO DE MALETERO. POR LO QUE SE LE SOLICITA LA CORRESPONDIENTE HABILITACION PARA REALIZAR DICHA TAREA MANIFESTANDO NO POSEERLA. POR TAL MOTIVO SE REALIZA LA CORRESPONDIENTE ACTA CONTRAVENCIONAL.</t>
  </si>
  <si>
    <t>7384/10</t>
  </si>
  <si>
    <t>INFORMO QUE EL AEROPUERTO CORRIENTES, PERMACERA ABIERTO A TODO TIPO DE OPÈRACIONES AEREAS, DESDE LA HORA 07:00, DEL DIA DE LA FECHA</t>
  </si>
  <si>
    <t>SIENDO LA FECHA Y LA HORA ANTES MENCIONADA EL OFICIAL SUDERA EN RECORRIDA QUE EFECTUABA POR LA PERGOLA DE ARRIBOS DE LA TERMINAL B, OBSERVA A UNA PERSONA DE SEXO MASCULINO QUE SE ENCONTRABA OFRECIENDO SERVICIO DE TRANSPORTE PUBLICO A VIVA VOZ A PASAJEROS RECIEN ARRIBADOS AL PAIS. EL PERSONAL POLICIAL LE INFORMA LA FALTA COMETIDA Y SE LE INICIAN LAS ACTUACIONES CONTRAVENCIONALES CORRESPONDIENTES.</t>
  </si>
  <si>
    <t>TENENCIA PARA CONSUMO</t>
  </si>
  <si>
    <t>EN MOMENTOS EN QUE PERSONAL POLICIAL SE ENCONTRABA , REALIZANDO UN CONTROL VEHICULAR, DETUVO LA MARCHA DE UN VEHICULO MARCA FORD MODELO ESCORT DOMINIO SGL785,A CUYO CONDUCTOR SE LE SOLICITO LA DOCUMENTACION CORRESPONDIENTE , MOMENTO EN EL CUAL EL PERSONAL POLICIAL PERCIBIO UN FUERTE OLOR. POR LO CUAL SE LE CONSULTO AL MASCULINO QUE SE ENCONTRABA SENTADO EN EL ASIENTO DELANTERO DEL ACOMPAÑANTE , QUE ESTABA FUMANDO, MANIFESTANDO EL MISMO EN FORMA ESPONTANEA UNA TUQUITA, ENCONTRANDOSE EL CIGARRILLO EN EL CENICERO. ASIMISMO EL PERSONAL POLICIAL LE CONSULTO AL MASCULINO SI POSEIA MAS SUSTANCIA, RESPONDIENDO AQUEL QUE SI, SIENDO ESTA UN BULTO DE COLOR VERDE CONTENIENDO SUSTANCIA VEGETAL COMPACTA. POR TAL MOTIVO SE TRANSLADARON TODOS LOS INTERVINIENTES A LA GUARDIA DE PREVENCION, DONDE SE ENTABLO COMUNICACION CON LA JUDICATURA ACTUANTE. QUIEN DISPUSO SE LABREN ACTUACIONES CARATULADAS TENENCIA PARA CONSUMO, Y QUE DE NO MEDIAR IMPEDIMENTOS LEGALES QUE RESTRINJAN LA NORMAL CIRCULACION DE LOS CAUSANTES, LOS MISMOS CONTINUEN CON SU NORMAL ITINERARIO.</t>
  </si>
  <si>
    <t>ALEJANDRA VIÑA</t>
  </si>
  <si>
    <t>ROB0</t>
  </si>
  <si>
    <t>EN EL DIA DE LA FECHA SE PRESENTO LA DENUNCIANTE ANTE EL SERVICIO DE GUARDIA LA DENUNCIANTE MANIFESTANDO QUE SIENDO LAS 19:30 HS. APROXIMADAMENTE DEL DÍA 17 DE NOVIEMBRE DEL CORRIENTE AÑO DESPACHA EN EL VUELO LA 4220 DE LA EMPRESA LAN EL CUAL PARTÍA DEL AEROPUERTO INTERNACIONAL EZEIZA A LAS 20:40 HS. CON DESTINO FINAL LA CIUDAD DE CÓRDOBA, UN (01) VALIJA RÍGIDA MARCA SAMSONITE COLOR GRIS CON VIVOS VERDE FLUOR DE 50 X 65 X 30 CM. APROXIMADAMENTE IDENTIFICA CON MARBETE Nº LA 148882, LA CUAL IBA ACOMPAÑADA POR UNA MOCHILA DE IGUAL MARCA IDENTIFICADA CON MARBETE Nº 148885, AMBOS EQUIPAJES DESPACHADOS A NOMBRE DE CLAUDIO AUDISIO, PAREJA DE LA DENUNCIANTE. CABE DESTACAR QUE AMBOS EQUIPAJES DESPACHADOS FUERON PRECINTADOS POR PERSONAL DE LA EMPRESA LAN A PEDIDO DE LA DENUNCIANTE. AL ARRIBAR A LA CIUDAD DE CÓRDOBA A LAS 22:00 HS APROXIMADAMENTE LA DENUNCIANTE RETIRA SU EQUIPAJE Y OBSERVA QUE LE FALTABA EL PRECINTO A SU VALIJA POR LO CUAL PROCEDE A REVISARLO Y OBSERVA EL FALTANTE DE UN (01) NECESER COLOR PLATEADO COLOR LACOSTE EL CUAL CONTENÍA EN SU INTERIOR ALHAJAS VARIAS. ANTE ESTA SITUACIÓN SE DIRIGE A LA EMPRESA LAN PARA REALIZAR EL RECLAMO CORRESPONDIENTE, LE REALIZAN EL PESAJE DE SU BOLSO Y SE OBSERVA UNA DIFERENCIA DE PESO DE 1 (UN) KILOGRAMOS</t>
  </si>
  <si>
    <t>BUESNOS AIRES - EZEIZA</t>
  </si>
  <si>
    <t>PATIO DE VALIJAS-PLATAFORMA-BODEGA AERONAVE-CINTA DE ARRIBOS</t>
  </si>
  <si>
    <t>QUE SIENDO LAS CUATRO HORAS EL SR. EDGARD HERNAN MAIMBIL ARRIBA A LA TERMINAL A DE ESTE AEROPUERTO INTERNACIONAL EN EL VUELO LR625 DE LA EMPRESA AEROCOMERCIAL TACA, PROVENIENTE DE LA CIUDAD DE MEDELLIN, REPUBLICA DE COLOMBIA. QUE AL HACERSE DE SU EQUIPAJE EN LA CINTA DE ARRIBO DE EQUIPAJES NO: 07 PERCATA QUE DOS DE SUS EQUIPAJES DESPACHADOS EN BODEGA MARBETE AV454710 Y AV454711 PRESENTABAN ROTURAS. ACTO SEGUIDO EL DENUNCIANTE SE DIRIGE HACIA LAS OFICINAS DE RECLAMO CORRESPONDIENTES DONDE SE LE MANIFESTO QUE NO PODIA TOMARSE EL RECLAMO DEBIDO A QUE LOS DAÑOS ERAN MENORES Y QUE NO QUEDARIA ASENTADO NINGUN TIPO DE RECLAMO. MOTIVO POR EL CUAL SE APERSONA A ESTA GUARDIA DE PREVENCION A EFECTOS DE REALIZAR LAS ACCIONES CORRESPONDIENTES.-</t>
  </si>
  <si>
    <t>MEDELLIN</t>
  </si>
  <si>
    <t>CONTRABANDO DE ESTUPEFACIENTES Y TRANSPORTE DE ESTUPEFACIENTES EN GRADO DE TENTATIVA</t>
  </si>
  <si>
    <t>PATIO DE VALIJAS TERMINAL AEROPUERTO CORDOBA</t>
  </si>
  <si>
    <t>QUE SIENDO LAS 06:10HS. APROXIMADAMENTE DEL DÍA DE LA FECHA EL OFICIAL ESTEBAN DANIEL PLACEREANO, QUIEN SE DESEMPEÑABA COMO CONTROLADOR DE IMÁGENES EN EL SCAN VAN, SOLICITA QUE POR MEDIO DE ALTO PARLANTE SE UBIQUE AL SR. FELIX REJAS, PASAJERO DEL VUELO Nº PU297 DE LA EMPRESA PLUNA, EL CUAL TENIA DESTINO FINAL LA CIUDAD DE SAN PABLO, A LAS 06:15HS APROXIMADAMENTE EL OFICIAL FLAVIO AVALOS SOLICITA LA PRESENCIA DEL JEFE DE TURNO EN EL SCAN VAN POR QUE HABRÍA DUDAS DEL CONTENIDO DEL EQUIPAJE DEL SR. REJAS, DUDAS SURGIDAS APARTIR DE LA INTERPRETACIÓN DE LA IMAGEN YA QUE ESTA PRESENTABA UNA CAPA HOMOGÉNEA PERO IRREGULAR OCUPANDO TODO EN EL FONDO DE LA VALIJA, SE PASA NUEVAMENTE LA VALIJA POR EL SCAN VAN, EN PRESENCIA DE LA DESPACHANTE DEL VUELO LA SRA. CECILIA BRUNO, ARROJANDO EL MISMO RESULTADO DE IMÁGENES, POR LO EXPUESTO SE PROCEDE A SOLICITAR AL SR. REJAS, QUIEN YA SE ENCONTRABA PRESENTE EN EL LUGAR, QUE RETIRE SUS PERTENENCIAS, ACCEDIENDO VOLUNTARIAMENTE Y SE PROCEDE A PASAR NUEVAMENTE LA VALIJA, LA CUAL SEGUÍA PRESENTANDO LA MISMA IMAGEN SOBRE LA QUE SE TENIA DUDAS. INMEDIATAMENTE LOS OFICIALES SOLICITAN LA PRESENCIA DE DOS (02) TESTIGOS YA EN PRESENCIA DE LOS MISMOS Y DEL ENCARTADO SE PROCEDE A LA INSPECCIÓN DE LA VALIJA VACÍA, EN PRIMERA INSTANCIA SE OBSERVA, QUE EL PESO DE DICHO EQUIPAJE NO CORRESPONDIDA AL PESO NORMAL DE UNA VALIJA VACÍA, SEGUIDAMENTE OBSERVA QUE EL FORRO DE DICHO EQUIPAJE ESTABA CON PEGAMENTO EN SU BORDE POR LO CUAL EL OFICIAL PLACEREANO PROCEDE A DESPLAZAR EL FORRO NOTANDO UNA SUSTANCIA NEGRA Y ESPESA PEGADA EN EL FONDO DE DICHO EQUIPAJE. SE LE INFORMA A LOS TESTIGOS DEL PROCEDIMIENTO A SEGUIR, SE LES EXPLICA QUE ERA UN NIK Y COMO SE OPERA CON EL Y EL RESULTADO FINAL DE ACUERDO AL COLOR SURGIDO DE ESTA PRUEBA DE CAMPO, SE EXTRAE UNA MUESTRA DEL FONDO DE DICHO EQUIPAJE, SE INTRODUCE UNA PEQUEÑA PORCIÓN DE ESTA SUSTANCIA DENTRO DEL NIK (MARCA SCOTT REAGENT SYSTEM MODIFIED), SE PROCEDE CON LA ROTURA DE LAS AMPOLLAS Y LUEGO DE ROMPER LA ULTIMA AMPOLLA ESTA PRUEBA ARROJA UN LIQUIDO DE COLOR TURQUESA, ( INDICANDO POSITIVO AL CLORHIDRATO DE COCAÍNA) ACTO SEGUIDO SE LES EXPLICA A LOS TESTIGOS Y AL SR. REJAS, EL RESULTADO FINAL DE ESTA PRUEBA DE CAMPO. SIENDO LAS 06:40HS SE COMUNICA CON EL JUZGADO INTERVINIENTE, A QUIEN SE LE INFORMA DE LO SUCEDIDO CON TODOS LOS DETALLES DE LA SITUACIÓN, DISPONIENDO EL JUZGADO QUE EL ENCARTADO SEA CONTROLADO POR PERSONAL MEDICO, SE LE TOMEN HUELLAS DACTILARES Y SE LO FICHE PARA SU IDENTIFICACIÓN Y AVERIGUACIÓN DE ANTECEDENTES Y SEA TRASLADADO A LA ALCAIDIA FEDERAL DE LA CIUDAD DE CÓRDOBA EN CALIDAD DE DETENIDO COMUNICADO Y SE SECUESTRE TODO LO RELACIONADO AL PRESUNTO HECHO DELICTIVO. AMPLIACION CBA_2010_7432_PU - EN CUMPLIMIENTO DE ORDEN DE SERVICIO N° 301/10, EMITIDA POR LA URSA II DEL CENTRO, SIENDO LAS 12:10 HORAS PARTE LA COMISION CON CUSTODIA Y TRASLADO DEL DETENIDO A MEDICINA LEGAL, SIENDO LAS 14:30 HORAS QUEDA ALOJADO EN LA ALCAIDIA FEDERAL DE LOS TRIBUNALES FEDERALES DE CORDOBA.</t>
  </si>
  <si>
    <t>PU 297</t>
  </si>
  <si>
    <t>1884/10</t>
  </si>
  <si>
    <t>SRIO AV S/LEY 23737-.......-</t>
  </si>
  <si>
    <t>SRIO. AV. S/LEY 23737-.........-</t>
  </si>
  <si>
    <t>CIUDADES DE VILLA GOBERNADOR GALVEZ Y ROSARIO.</t>
  </si>
  <si>
    <t>EN EL DIA DE LA FECHA SE SOLICITARON LAS CORRESPONDIENTES ORDENES DE ALLANAMIENTO EN EL MARCO DEL EXPTE DE REFERENCIA. LAS TAREAS INVESTIGATIVAS DIERON COMIENZO EN FEB/2009, INFORMADO EN PU:DOC4 0005/09, DONDE SE ORDENARON LAS TAREAS INVESTIGATIVAS PARA CONFIRMAR EL HECHO DENUNCIADO EN SEDE DEL JUZGADO FEDERAL N° 2 DE JUJUY. SE EFECTUARON LAS TAREAS DE VIGILANCIA PARA CORROBORAR LOS HECHOS Y UBICAR A CRISTIAN (A) GRINGO, QUE COMERCIALIZARIA ESTUPEFACIENTES EN EL DOMICILIO DE AV DEL HUERTO Y CORRIENTES DE LA CIUDAD DE ROSARIO. EN EL TRANSCURRIR DE LA INVESTIGACIÓN, EL COMERCIO DENUNCIADO PERMANECIÓ CLAUSURADO Y EL LAVADERO GARAGE CONTIGUO CERRADO Y NO SE PUDO DAR CON LA PERSONA DENUNCIADA. EN EL MES DE FEBRERO DEL AÑO 2010, SE ACUMULA POR RESOLUCIÓN 1642 DEL 29/12/09 DEL JUZGADO FEDERAL ACTUANTE EL EXPTE NRO. 675/09B DEL MISMO JUZGADO FEDERAL, EN DONDE UNO DE LOS TESTIGOS POR UNA CAUSA DE HOMICIDIO DENUNCIA QUE EN UN DOMICILIO DE LA CIUDAD DE VILLA GOBERNADOR GALVEZ SE VENDERÍA SUSTANCIA ESTUPEFACIENTE Y QUE EL RESPONSABLE DE DICHO LUGAR SERIA UN TAL CRISTIAN ALTAMIRANO (A) GRINGO, QUIEN RESULTARA DETENIDO Y ENCAUSADO POR EL CRIMEN DE UN TAL VARDABASSO POR PRESUNTA DEUDA EN EL COMERCIO DE ESTUPEFACIENTE. EN EL TRANSCURSO DE LA INVESTIGACIÓN SE PUDO ESTABLECER QUE EN EL DOMICILIO DE PELLEGRINI AL 2000 DE LA CIUDAD DE VILLA GOBERNADOR GALVEZ SE COMETEN CONDUCTAS EN INFRACCIÓN A LA LEY 23737, Y SE INDIVIDUALIZO A UNO DE LOS ORGANIZADORES, WALTER SECO, ADEMAS LA INVESTIGACION VINCULA A ESTE CON OTROS DOS DOMICILIOS, UNO EN LA CIUDAD DE VILLA GOBERNADOR GALVEZ, Y OTRO EN EL BARRIO LAS FLORES DE LA CIUDAD DE ROSARIO EN DONDE SE ALMACENARIA LA SUSTANCIA ILICITA. LA COMPROBACION DEL DELITO A TRAVÉS DE FILMACIONES Y SEGUIMIENTOS INFORMADOS A LA FISCALIA A CARGO DE LA INSTRUCCIÓN GENERA EL PRESENTE PEDIDO DE ORDENES DE ALLANAMIENTO PARA DOS DOMICILIO EN VILLA GOBERNADOR GALVEZ Y UNO EN EL BARRIO LAS FLORES DE LA CIUDAD DE ROSARIO.</t>
  </si>
  <si>
    <t>SE INFORMA QUE EL DETENIDO INTERNADO EN EL HOSPITAL ZONAL DE EZEIZA EN CUSTODIA DE PERSONAL DE ESTA UNIDAD,FUE DADO DE ALTA EN EL DIA DE LA FECHA. SERA TRASLADADO A INSTALACIONES DE LA UOSP EZEIZA, DONDE PERMANECERA ALOJADO HASTA EL DIA DE MAÑANA QUE SERA CONDUCIDO A SEDE TRIBUNALICIA. INFORMO ADEMAS QUE EL TOTAL DE DEPOSICIONES FUE DE 13 , 45 CAPSULAS, CON UN PESO TOTAL DE 560 GRS.</t>
  </si>
  <si>
    <t>MAGRANER</t>
  </si>
  <si>
    <t>Roberto</t>
  </si>
  <si>
    <t>ALVAREZ AGUILA SERGIO ISIDORO S/ABUSO SEXUAL REITERADO-EN DOS OPORTUNIDADES-EN CONCURSO REAL</t>
  </si>
  <si>
    <t>143-07</t>
  </si>
  <si>
    <t>HALL PLANTA BAJA AEROESTACION</t>
  </si>
  <si>
    <t>HALL ARRIBOS INTERNACIONAL</t>
  </si>
  <si>
    <t>SIENDO LAS 10:40 HS DEL DIA DE LA FECHA SE PRESENTAN LOS OFICIALES SARGENTO LUCIO MARTIN GOMEZ MARSHALL Y EL CABO 1º SRGIO CLAUDIO GONZALEZ, DEL SERVICIO PENITENCIARIO DE TIERRA DEL FUEGO, SOLICITANDO COLABORACION PARA LA CUSTODIA DEL DETENIDO SERGIO ISIDORO ALVAREZ AGUILA DNI NUMERO 93877526, PRESENTANDO OFICIO JUDUCIAL Nº 143/10, PARA TAL SITUACION SE DIPONE DE PERSONAL DE ESTA DEPENDENCIA YPERSONAL DE UOESA DE LA PATAGONIA. EL EMBARQUE DEL DETENIDO Y DEL PERSONAL DE LA PENITENCIARIA SE EFECTIVIZO A LAS 12:45 HS S/N, EN EL VUELO 2683 DE LA LINEA AEREA AUSTRAL CON DESTINO AL AEROPUERTO DE EZEIZA.</t>
  </si>
  <si>
    <t>DR JOSE MARTIN DE ARRIETA</t>
  </si>
  <si>
    <t>JUAN CARLOS BARBAGLIA S/DENUNCIA HURTO</t>
  </si>
  <si>
    <t>OBRA AMPLIACION AEROPUERTO</t>
  </si>
  <si>
    <t>EN EL DIA DE LA FECHA SE RECIBE DENUNCIA AL SEÑOR JUAN CARLOS BARBAGLIA POR HURTO DE HERRAMIENTA, MARTILLO NEUMATICO, EL CUAL FUERA SUSTRAIDO DE TRAILER QUE OCUPA LA EMPRESA CLIC SA, LA CUAL SE ENCUENTRA REALIZANDO TRABAJOS DE AMPLIACION EN ESTA AEROSTACION, MANIFESTANDO TAMBIEN QUE EL HECHO PUDO HABER OCURRIDO ENTRE EL VIERNES 19/11/10 Y EL DIA DE LA FECHA.</t>
  </si>
  <si>
    <t>CLIC S.A.</t>
  </si>
  <si>
    <t>7403/10</t>
  </si>
  <si>
    <t>EN CUMPLIMIENTO DE ORDEN DE SERVICIO N° 301/10, EMITIDA POR LA URSA II DEL CENTRO, SIENDO LAS 12:10 HORAS PARTE LA COMISION CON CUSTODIA Y TRASLADO DEL DETENIDO A MEDICINA LEGAL, SIENDO LAS 14:30 HORAS QUEDA ALOJADO EN LA ALCIDIA FEDERAL DE LOS TRIBUNALES FEDERALES DE CORDOBA. SIENDO LAS 15:20 HORAS REGRESA COMISION SIN NOVEDAD.</t>
  </si>
  <si>
    <t>SIENDO LAS 18:25 HORAS LOCAL EL PERSONAL INTERVINIENTE EN EL PUESTO PREEMBARQUE LOS OFICIALES PRINCIPAL SANDRA VILDOZA Y EL AYUDANTE GUSTAVO SOZA, PROCEDEN A INSPECCIONAR AL CIUDADANO GARCIA RUBINO , DONDE EL OFICIAL AYUDANTE SOZA REALIZO UN CACHEO DE SEGURIDAD AL PASAJERO ENCONTRANDO EN EL BOLSILLO DELANTERO DEL PANTALÓN, UN ENVOLTORIO DE NYLON CON UNA SUSTANCIA ORGANICA VERDOSA. SE SOLICITA LA PRESENCIA DE DOS TESTIGOS Y SE LE REALIZA REACTIVO DE CAMPO A LA SUSTANCIA DANDO POSITIVO A MARIHUANA. SE DA INTERVENCIÓN AL JUZGADO FEDERAL DE PRIMERA INSTANCIA DE COMODORO RIVADAVIA QUIEN DISPONE QUE SE REALICE LAS ACTUACIONES DE RIGOR SE IMPUTE AL CIUDADANO POR PRESUNTA INFRACCIÓN A LA LEY 23.737 EL CUAL SE DEBE PRESENTAR EL DÍA 30 DE NOVIEMBRE DEL CORRIENTE AÑO EN LA SEDE JUDICIAL, EL SECUESTRO DE LA SUSTANCIA Y QUE SE DEJE EN LIBERTAD AL IMPUTADO.</t>
  </si>
  <si>
    <t>SIENDO LA FECHA Y LA HORA ANTES MENCIONADA EL OFICIAL ZALAZAR Y LA OFICIAL CAFFERATA EN RECORRIDA QUE EFECTUABAN POR LA PERGOLA DE ARRIBOS DE LA TERMINAL A, OBSERVAN A UNA PERSONA DE SEXO MASCULINO QUE SE ENCONTRABA REALIZANDO EL SERVICIO DE MALETERO A PASAJEROS RECIEN ARRIBADOS AL PAIS, POR TAL MOTIVO EL PERSONAL POLICIAL LE SOLICITA LA HABILITACIONA PARA REALIZAR DICHA TAREA, RECIBIENDO COMO RESPUESTA QUE CARECIA DE LA MISMA.POR TAL MOTIVO SE LE INFORMA LA FALTA COMETIDA Y SE LE INICIAN LAS ACTUACIONES CONTRAVENCIONALES CORRESPONDIENTES.</t>
  </si>
  <si>
    <t>SIENDO LA FECHA Y LA HORA ANTES MENCIONADA EL OFICIAL ZALAZAR Y EL OFICIAL CARABAJAL EN RECORRIDA QUE EFECTUABAN POR LA PERGOLA DE ARRIBOS DE LA TERMINAL A, OBSEVAN A UNA PERSONA DE SEXO MASCULINO QUE SE ENCONTRABA REALIZANDO SERVICIO DE MALETERO A PASAJEROS RECIEN ARRIBADOS AL PAIS, POR TAL MOTIVO EL PERSONAL POLICIAL LE SOLICITA A LA PERSONA EN CUESTION LA HABILITACION CORRESPONDIENTE PARA REALIZAR DICHA TAREA, QUIEN MANIFIESTA QUE NO LA POSEE. A POSTERIOR SE LE INFORMA LA FALTA COMETIDA Y SE LE INICIAN LAS ACTUACIONES CONTRAVENCIONALES CORRESPONDIENTES.</t>
  </si>
  <si>
    <t>PERGOLA ARRIBOS DE LA TERMINAL C</t>
  </si>
  <si>
    <t>SIENDO LA HORA Y LA FECHA ANTES MENCIONADA EL OFICIAL MAITA EN RECORRIDA QUE EFECTUABA POR LA PERGOLA ARRIBOS DE LA TERMINAL C, ES CUANDO OBSERVA UN VEHICULO REMIS SIN PASAJEROS EN SU INTERIOR DE LA EMPRESA MANUEL TIENDA LEON, ESTACIONADO EN FORMA INDEBIDA SOBRE EL SECTOR DE ASCENSO Y DESCENSO DE PASAJEROS, OBSTRUYENDO LA NORMAL CIRCULACION DE LOS VEHICULOS QUE INGRESABAN AL LUGAR, MOTIVO POR EL CUAL PERSONAL POLICIAL LE SOLICITA AL CONDUCTOR DEL VEHICULO EN CUESTION QUE DESPLACE EL MISMO DE ESE SECTOR, RECIBIENDO COMO RESPUESTA EN REITERADAS OPORTUNIDADES POR PARTE DEL CONDUCTOR, NO LO CORRO AL VEHICULO - SIC, NO ACATANDO LA INDICACION DEL OFICIAL, MOTIVO POR EL CUAL SE LE INICIAN LAS ACTUACIONES CONTRAVENCIONALES CORRESPONDIENTES.</t>
  </si>
  <si>
    <t>07-01-006596-10</t>
  </si>
  <si>
    <t>EN EL DIA DE LA FECHA , INGRESA EN ESTA UNIDAD LA INSTRUCCION PENAL PREPARATORIA N° 07-01-006596-10, GIRADA POR LA UOSP DE EZEIZA, ORDENANDO SE REALICEN TAREAS INVESTIGATIVAS TENDIENTES A CERTIFICAR SI LA CAUSANTE HA SIDO HABIDA, O SE CONOCEN DATOS SOBRE SU PARADERO, SIENDO ESTA LA SRA. PAOLA PONCHIETTI DE 32 AÑOS DE EDAD, NO TENIENDO MAS DATOS SOBRE LA MISMA.</t>
  </si>
  <si>
    <t>SIENDO LAS 05:45HS DEL DÍA DE LA FECHA MEDIANTE UN CONTROL DE RUTINA REALIZADO SOBRE LAS PERSONAS QUE ESTABAN PRE-EMBARCANDO EN EL VUELO DE MENCIÓN SE DETECTO DINERO OCULTO ENTRE LAS ROPAS DE UNA PASAJERA; QUIEN, ANTE LA CONSULTA DE LOS EFECTIVOS POLICIALES SOBRE EL TRANSPORTE DE DICHO DINERO MANIFESTÓ QUE NO LLEVABA NADA. ANTE TAL SITUACIÓN SE PROCEDIÓ A LLEVAR A LA PASAJERA JUNTO A DOS TESTIGOS HASTA LA SALA DE REQUISA, CONSTATÁNDOSE QUE LLEVABA OCULTO ENTRE SUS ROPAS DÓLARES ESTADOUNIDENSES, SEGUIDAMENTE SE PROCEDIÓ AL RECUENTO DEL DINERO Y A COMUNICAR DE DICHA SITUACIÓN AL JUZGADO FEDERAL DE TURNO EN LA PERSONA DE SECRETARIO PENAL QUIEN UNA VEZ INTERIORIZADO DE LA SITUACIÓN INFORMA QUE SE ESTABLEZCA COMUNICACIÓN EN QUINCE (15) MINUTOS A EFECTOS DE RECIBIR INSTRUCCIONES. SIENDO LAS 06:45HS, MEDIANTE UNA NUEVA COMUNICACIÓN TELEFÓNICA, EL SECRETARIO PENAL DISPONE EL SECUESTRO DE LAS DIVISAS NORTEAMERICANAS, SE LABREN LAS ACTUACIONES DE RIGOR CARATULADAS "TENTATIVA DE CONTRABANDO", SE LE HAGA FIJAR DOMICILIO LEGAL, SE EFECTÚE LA ENTREGA DEL DINERO SECUESTRADO A PERSONAL DEL A.F.I.P CON REVISTA EN ESTE AEROPUERTO Y A LA FINALIZACIÓN DE LAS MISMAS LA CAUSANTE CONTINÚE EN LIBERTAD Y CON SU RUTINA HABITUAL</t>
  </si>
  <si>
    <t>PERGOLA DE SALIDAS DE LA TERMINAL A</t>
  </si>
  <si>
    <t>SIENDO LA FECHA Y LA HORA ANTES MENCIONADA EN MOMENTOS QUE EL OFICIAL ZALAZAR SECUNDADO POR EL OFICIAL CARABAJAL EN RECORRIDA QUE EFECTUABAN POR LA PERGOLA DE SALIDAS DE LA TERMINAL A EN PREVENCION DE DELITOS Y FALTAS OBSERVAN Y SORPRENDEN IN FRAGANTI A UNA PERSONA DE SEXO MASCULINO REALIZANDO LABORES DE MALETERO SIN LA HABILITACION PERTINENTE, POR TAL MOTIVO CONDUCEN AL INFRACTOR A SANIDAD PARA SU CHEQUEO MEDICO Y POSTERIORMENTE A LA OFICINA DE CONTRAVENCIONES Y FALTAS A LOS FINES DE LABRAR LAS ACTUACIONES CONTRAVENCIONALES CORRESPONDIENTES.</t>
  </si>
  <si>
    <t>LOCAL 22 DUTY FREE</t>
  </si>
  <si>
    <t>QUE PERSONAL DE LA EMPRESA SEGURIDAD ARGENTINA SE HACE PRESENTE EN ESTA GUARDIA DE PREVENCION SOLICITANDO PERSONAL POLICIAL A EFECTOS QUE SE PRESENTE EN EL LOCAL DE MENCION. QUE UNA VEZ EN DICHO LOCAL SE CONTACTA CON EL JEFE DE TURNO DE SEGURIDAD SR. AGUSTIN GALLARDO, QUIEN INFORMA QUE HABIAN SORPRENDIDO A UNA PASAJERA QUE HABIA SUSTRAIDO MERCADERIA DEL LOCAL RETIRANDOSE SIN ABONARLA. POR LO QUE SE CONVOCA DOS TESTIGOS Y EN PRESENCIA DE LOS MISMOS LA CAUSANTE MANIFIESTA POSEER EL ELEMENTO DENUNCIADO Y QUE HABIA COMETIDO UN ERROR. POR TAL MOTIVO SE INVITA A LA CAUSANTE, TESTIGOS Y PERSONAL INTERVINIENTE AL TURNO DE PREVENCION DONDE SE REALIZARON LAS ACTUACIONES CORRESPONDIENTES PREVIA AUTORIZACION DEL JUZGADO EN TURNO. DISPONIENDO EL MISMO LA DETENCION DE LA CAUSANTE .- SE INFORMA EN P.U. 7468 QUE EL 24-11-10 A HS. 0800 LA DETENIDA FUE TRASLADADA A SEDE JUDICIAL.</t>
  </si>
  <si>
    <t>7379/10</t>
  </si>
  <si>
    <t>INFORMO QUE EN EL DIA DE LA FECHA SE REALIZA ENTREGA Y RECEPCION DE CONFORMIDAD DE NOTEBOOK BGH E-NOVA Y OTROS ELEMENTOS SEGUN CONSTA EN ACTA DE HALLAZGO N° 034-10 A LA SRA. NELIDA MONSALVE QUIEN SE IDENTIFICA CON DNI N° 5.138.996 EN PRESENCIA DE LOS TESTIGOS SRA. ANA MARIA QUIROGA Y EL SR. LEONARDO RUBEN GARCIA.</t>
  </si>
  <si>
    <t>JUZGADO NACIONAL EN LO PENAL ECONOMICO N° 8, SEC. N° 16.- UNIDAD DE DETENCION N° 29</t>
  </si>
  <si>
    <t>EN CUMPLIMIENTO DE LA ORDEN DE SERVICIO N° 1324, SE INFORMA QUE EL DETENIDO FUE TRASLADADO, EN EL DIA DE LA FECHA , POR PERSONAL DE ESTA UNIDAD CONJUNTAMENTE CON PERSONAL DE LA UOESA, DESDE LAS INSTALACIONES DE LA UOSP EZEIZA HASTA SEDE TRIBUNALICIA Y DESDE ALLI HASTA LA UNIDAD DE DETENCION N° 29, DONDE PERMANECERA ALOJADO A DISPOSICION DEL TRIBUNAL ACTUANTE.</t>
  </si>
  <si>
    <t>MOSTRADOR Nº 208</t>
  </si>
  <si>
    <t>CHECK IN</t>
  </si>
  <si>
    <t>LA DENUNCIANTE SE ENCONTRABA REALIZANDO EL CHECK- IN DE LA EMPRESA AEROLINEAS ARGENTINAS EN EL MOSTRADOR Nº 208, CUANDO SE PERCATA QUE SU CARTERA DE COLOR MARRON SE ENCONTRABA ABIERTA Y NOTO EL FALTANTE.</t>
  </si>
  <si>
    <t>CARRIZO TOMAS HERMOGENES S/EXCARCELACION</t>
  </si>
  <si>
    <t>EN EL DIA DE LA FECHA SE HACE PRESENTE EN ESTA UOSP MERLO EL SEÑOR CARRIZO TOMAS HERMOGENES, D.N.I. 4.284.511 ARGENTINO, EN TIEMPO Y FORMA SEGUN LO ACORDADO CON JUZGADO INTERVINIENTE. SE LABRA ACTA DE PRESENTACION CORRESPONDIENTE.</t>
  </si>
  <si>
    <t>DR. BRAMATI PABLO</t>
  </si>
  <si>
    <t>ALVAREZ AGUILA, SERGIO ISIDORO S/ABUSO SEXUAL REITERADO-EN DOS OPORTUNIDADES- EN CONCURSO REAL.</t>
  </si>
  <si>
    <t>143/07</t>
  </si>
  <si>
    <t>OFICINA DEL TURNO DE PREVENCION DE ESTA UOSP-</t>
  </si>
  <si>
    <t>INFORMO EN EL DIA DE LA FECHA SIENDO LAS 13:15 ARRIBA EN EL VUELO DE REFERENCIA COMISION POLICIAL INTEGRADA POR EL SARGENTO LUCIO MARTIN GOMEZ MARSHALL, DNI N° 27.766.713 -LEGAJO 81.642- Y EL CABO PRIMERO SERGIO GONZALEZ DNI N° 26.041.434 -LEGAJO 81.944- AMBOS DE LA PENITENCIARIA PROVINCIAL DE ACUERDO A LO ORDENADO POR EL TRIBUNAL DE JUICIO EN LO CRIMINAL DEL DISTRITO JUDICIAL SUR-T.D.F.. BRINDANDO ESTA PREVENCION POLICIAL APOYO Y COLABORACION, RETIRANDOSE LA COMITIVA ANTES MENCIONADA DE LA JURISDICCION CON DESTINO A LA ALCAIDIA LOCAL SIN OTRA NOVEDAD.-</t>
  </si>
  <si>
    <t>AR-1896</t>
  </si>
  <si>
    <t>EXTRAVIO PPA</t>
  </si>
  <si>
    <t>SECTOR AERONAUTICO NO ESPECIFICADO</t>
  </si>
  <si>
    <t>INFORMO QUE EL DIA 15 DE NOVIEMBRE DE 2010 SIENDO LAS 12:50 HS, SE CONFECCIONA DENUNCIA DE EXTRAVÍO N° 0055/2010, REFERENTE A UN PERMISO PERSONAL AEROPORTUARIO DE SEGURIDAD CON ACOMPAÑAMIENTO N° 6562 OTORGADO POR ESTA UOSP, AL SOLICITANTE SR. DANIEL OSVALDO TARALLO DNI 18.484.215. HASTA EL DIA DE LA FECHA PERSONAL DE ESTA UNIDAD PROCEDIÓ A LA BÚSQUEDA DE DICHO PERMISO, OBTENIENDO RESULTADO NEGATIVO. PERSONAL RESPONSABLE DEL ÁREA ID. Y REG DE ESTA UOSP, REALIZA COMUNICACIÓN TELEFÓNICA CON LA DIRECCIÓN DE PERMISOS PERSONALES AEROPORTUARIOS PARA COMUNICAR LA NOVEDAD Y SOLICITAR TEMPERAMENTO A SEGUIR, INFORMANDO A ESA DIRECCION LA CONFECCIÓN DEL PRESENTE PU.</t>
  </si>
  <si>
    <t>INGRESO POR PUESTO FIJO I</t>
  </si>
  <si>
    <t>QUE EL DIA DE LA FECHA SIENDO LAS 12:00 HORAS, EN CUMPLIMIENTO A MEMORANDO NRO. 1275/10 PRODUCIDO POR EL DPTO. OPERACIONES POLICIALES C.E.A.C. SE IMPLEMENTA OPERATIVO DE SEGURIDAD SEGUN REQUERIMIENTOS DETALLADOS EN MEMORANDO, POR PARTIDA DE COMITIVA PRESIDENCIAL CON DESTINO A LA REPUBLICA DE GUYANA, PARTIENDO EN AERONAVE MATRICULA T-10, EN HORAS 14:25 SIN NOVEDAD.</t>
  </si>
  <si>
    <t>Guyana</t>
  </si>
  <si>
    <t>INFRACCION AL ART. 289 DEL C.P.</t>
  </si>
  <si>
    <t>INGRESO VEHICULAR HANGARES DE AEROLINEAS ARGENTINAS</t>
  </si>
  <si>
    <t>PUESTO DE CONTROL PSA HANGARES RESTRINGIDOS</t>
  </si>
  <si>
    <t>SIENDO LA HORA Y LA FECHA ANTES MENCIONADA PERSONAL DE VIGILANCIA DE LA EMPRESA HAS LE INFORMA AL OF. PRINCIPAL CUPITO, DANDO CUENTA SOBRE UN VEHICULO DEL TIPO CAMION MARCA NISSAN DIESEL T5U41, CON DOMINIO COLOCADO HLO-069, CONSTATANDO QUE DEBAJO DE ESTA ERA HABIDA OTRA CHAPA PATENTE DOMINIO CJG-057, LA CUAL ES SE ENOCONTRABAN SUJETAS MEDIANTE ALAMBRE. POR LO QUE EL PERSONAL POLICIAL LE DA AVISO AL JEFE DE TURNO QUIEN DISPONE SE CONVOQUE DOS TESTIGOS SE IDENTIFIQUE A LOS OCUPANTES DEL VEHICULO Y SE LE SOLICITE LA DOCUMENTACIÓN PERTINENTE. QUE LUEGO DE REALIZAR LAS COMUNICACIONES CORRESPONDIENTES AL JUZGADO EN TURNO SE DISPONE EL TRASLADO DE TODOS LOS INTERVINIENTES HACIA EL TURNO DE PREVENCIÓN, DISPONIENDO EL AGENTE FISCAL LA APREHENSIÓN DEL CONDUCTOR, SECUESTRO DEL VEHICULO, DE LA DOCUMENTACION, Y DE LAS CHAPAS PATENTES, CONSTATACIÓN DE DOMICILIO, SE REALICE CONSULTA SOBRE LAS RESTRICCIONES LEGALES DEL CAUSANTE Y SI EL MISMO NO POSEE RESTRICCIONES LEGALES SE PROCEDA A LA LIBERACIÓN DEL MISMO. SIENDO APROXIMADAMENTE LAS 2100 HORAS DEL DIA 23/11/10 Y PREVIA CONSTATACION DE QUE EL CAUSANTE NO POSEE IMPEDIMENTOS LEGALES EL MISMO SE RETIRO DE ESTA DEPENDENCIA POR SUS PROPIOS MEDIOS Y CONFORME A LOS TRATOS RECIBIDOS.</t>
  </si>
  <si>
    <t>S/FALSIFICACION DE DOCUMENTO PUBLICO</t>
  </si>
  <si>
    <t>OFICINA DE MIGRACIONES DE INGRESO AL TERRITORIO NACIONAL</t>
  </si>
  <si>
    <t>SIENDO LA HORA Y LA FECHA ANTES MENCIONADA PERSONAL DE LA DIRECCION NACIONAL DE MIGRACIONES REMITE A ESTA DEPENDENCIA POLICIAL A LA CAUSANTE SOBRE QUIEN PESA LA ORDEN DE CAPTURA, LA CUAL SE ENCUENTRA VIGENTE. EN VIRTUD A ELLO EL JEFE DE TURNO MANTIENE COMUNICACIÓN TELEFÓNICA CON EL JUZGADO EN TURNO QUIEN DISPONE SE LABREN ACTUACIONES DE RIGOR, QUE LA CAUSANTE PERMANEZCA DETENIDA COMUNICADA, SE LABRE CONSTATACIÓN DE DOMICILIO, INFORME SOCIO-AMBIENTAL, SECUESTRO DE LOS ELEMENTOS DE INTERES. EL JUZGADO ACTUANTE AUTORIZO LA ENTREGA DE LOS ELEMENTOS PERSONALES Y DE VALOR DE LA CAUSANTE A LA HERMANA DE LA DETENIDA.</t>
  </si>
  <si>
    <t>S/DELITO CONTRA LA PROPIEDAD-HURTO AGRAVADO-ART. 163 CPNA</t>
  </si>
  <si>
    <t>SECTOR MOSTRADORES DE CHEK IN</t>
  </si>
  <si>
    <t>HALL PLANTA ALTA DE AEROESTACION</t>
  </si>
  <si>
    <t>SIENDO LAS 10:30 HS SE PRESENTA EN ESTA DEPENDENCIA EL SR. SAUL CARLOS GINSZPARG CON EL FIN DE RADICAR UNA DENUNCIA POR EL HURTO DE SU CELULAR, EL CUAL HABIA DEJADO CARGANDO EN UNO DE LOS TOMA CORRIENTES DE EL HALL PLANTA ALTA DE ESTE AEROPUERTO, LA CUAL SE CONFECCIONA CON FECHA 24-11-2010. POR TAL MOTIVO SE INICIAN INVESTIGACIONES A EFECTOS DE ESCLARECER EL HECHO, DEBIDO A QUE EL SECTOR EN EL CUAL SE ENCONTRABA EL CEULAR EN CUESTION, SE OBSERVA QUE UNA DE LAS CAMARAS DE AEROPUERTOS ARGENTINA 2000 PODRIA HABER CAPTADO IMAGENES DEL SUPUESTO SUSTRACTOR DEL ELEMENTO, POR ESTE MOTIVO EL OFICIAL JEFE LUIS LUCENTINI SE COMUNICA CON GERENTE DE AA 2000 SR PABLO GRANVILLANO, QUIEN FACILITA LA OBSERVACION DEL MONITOREO, PUDIENDOSE OBSERVAR EN EL VIDEO QUE EL OFICIAL ROBERTO BARRAZA NUMERARIO DE ESTA DEPENDENCIA TOMA EL CELULAR Y SU RESPECTIVO CARGADOR. EL JEFE DE UOSP REALIZA COMUNICACION TELEFONICA CON EL JUZGADO FEDERAL COMUNICANDOSE CON EL DOCTOR WALTER LOPEZ DA SILVA QUIEN ORDENA SE PROCEDA A LA DETENCION DEL OFICIAL BARRAZA Y SE INICIEN ACTUACIONES DE RIGOR, DE LA QUE SE DESPRENDE CAUSA INTERNA Nº 047-2010 S/DELITO CONTRA LA PROPIEDAD-HURTO AGRAVADO-ART 163 CPNA. DE LAS ACTUACIONES REALIZADAS RESULTA QUE EL APARATO EN CUESTION FUE LOCALIZADO EN UNA BOLSA DE RESIDUOS DENTRO DE UN CONTENEDOR DE BASURA COLOR AZUL, EL CUAL SE ENCUENTRA SITUADO EN LA TERMINAL DE CARGAS AEREAS DE ESTA DEPENDENCIA, ANTE LOS HECHOS SE PROCEDE A TOMAR FOTOGRAFIAS DEL TELEFONO Y SU CARGADOR Y LOS ELEMENTOS CONTENEDORES DE LOS MISMOS, QUEDANDO LOS MISMOS EN RESGUARDO DE LA PREVENCION A DISPOCISION DEL JUZGADO INTERVINIENTE</t>
  </si>
  <si>
    <t>PROXIMO A PLATAFORMA</t>
  </si>
  <si>
    <t>PAÑOL DE MANTENIMIENTO AERO HANDLING</t>
  </si>
  <si>
    <t>INFORMO QUE EN EL DIA DE LA FECHA SE RECIBE LA DENUNCIA DEL SR MARIO ANGEL CHACON EMPLEADO DE LA EMPRESA AERO HANDLING QUIEN MANIFIESTA EL FALTANTE DE ELEMENTOS QUE SE ENCONTRABAN EN EL PAÑOL DE DICHA EMPRESA, NO PUDIENDO ESPECIFICAR LA FECHA DESDE QUE FALTAN LOS MISMOS, MENCIONANDO EN LA DENUNCIA QUE EN EL SECTOR SE ENCONTRABAN TRABAJANDO PERSONAL DE MANTENIMIENTO DE UNA EMPRESA DE LA CUAL EL DESCONOCE EL NOMBRE Y LA IDENTIDAD DEL PERSONAL, Y QUE LAS PUERTAS DEL SECTOR SE ENCONTRABAN CON LLAVE Y NO FUERON VIOLADAS, TAMBIEN QUE EL PERSONAL DE LA EMPRESA DE MANTENIMIENTO POSEÍA UNA COPIA DE LA LLAVE ENTREGADA POR EL DENUNCIANTE. A HS 17:45 SE PROCEDE A EFECTUAR UNA COMUNICACIÓN TELEFÓNICA CON EL SEÑOR FISCAL FEDERAL N° 2 DE JUJUY DE TURNO DR. MARIO FRANCISCO SNOPEK QUIEN ORDENA SE REALICE LA COMUNICACION DE LOS HECHOS CON EL JUEZ FEDERAL DE TURNO. A HS. 17:50 SE REALIZA UNA COMUNICACIÓN TELEFÓNICA CON EL JUEZ FEDERAL N° 2 DE JUJUY DR. CARLOS OLIVERA PASTOR, QUIEN ORDENA QUE SE EFECTUEN TOMAS FOTOGRAFICAS DEL PAÑOL DE AERO HANDLING, SE CARATULE EN FORMA PROVISORIA EL HECHO COMO SUPUESTO HURTO, TAMBIEN REALIZA LA CONSULTA SI ESTA UOSP JUJUY CUENTA CON UN LISTADO DEL PERSONAL QUE REALIZO LAS TAREAS DE MANTENIMIENTO EN EL SECTOR DE MENSION, RECIBIENDO COMO RESPUESTA QUE EFECTIVAMENTE SE CONTABA CON EL LISTADO DEL PERSONAL DE LA EMPRESA DEBIDO A QUE LOS MISMOS DEBEN REALIZAR LOS TRAMITES CORRESPONDIENTES PARA LA OBTENCION DE LOS PERMISOS PERSONALES DE SEGURIDAD AEROPORTUARIA, LOS QUE LOS HABILITAN PARA EL INGRESO A LOS SECTORES EN LOS QUE DESEMPEÑEN LABORES, ORDENANDO EN CONSECUENCIA QUE SE ADJUNTE EL LISTADO CORRESPONDIENTE AL SUMARIO, Y QUE POSTERIORMENTE SE ELEVEN LAS ACTUACIONES AL JUZGADO FEDERAL N° 1 DE JUJUY. A CARGO DEL DR. MARIANO WENCESLAO CARDOZO.</t>
  </si>
  <si>
    <t>PTA. INF. AL ART. 194 DEL C.P.</t>
  </si>
  <si>
    <t>QUE SIENDO LA HORA Y LA FECHA INDICADA EL DENUNCIANTE ARRIBA A ESTA AEROESTACION Y EN MOMENTOS QUE INTENTA RETIRAR SUS VALIJAS ES INFORMADO POR PERSONAL DE LA EMPRESA LAN ARGENTINA QUE DADO A UN INCONVENIENTE GREMIAL LOS EQUIPAJES DEL VUELO DE MENCIÓN, TODAVIA SE ENCONTRABAN EN EL INTERIOR DE LA AERONAVE Y SIN PODER ESPECIFICAR LA FECHA EN QUE SE SOLUCIONARIA DICHO INCONVENIENTE, INFORMACION QUE PRODUJO DESCONTENTO DE TODOS LOS PASAJEROS. POR TAL MOTIVO SE HACE PRESENTE EN EL TURNO DE PREVENCION A EFECTOS DE RADICAR LA CORRESPONDIENTE DENUNCIA, EN REPRESENTACIÓN DE TODOS LOS PASAJEROS DE DICHO VUELO.</t>
  </si>
  <si>
    <t>MINISTERIO PUBLICO FISCAL - PUERTO MADRYN</t>
  </si>
  <si>
    <t>BAEZ</t>
  </si>
  <si>
    <t>DANIEL ESTEBAN</t>
  </si>
  <si>
    <t>SIENDO LAS 13:00 HS, SE REALIZA EXPOSICION NRO 139/2010 POR PARTE DE LA SRA LAGIER TANIA, QUIEN EXPONE QUE SE EXTRAVIO UN BOLSO COLOR GRIS CON DOCUMENTACION Y ELEMENTOS PERSONALES. SE PROCEDE A ACTUAR DE OFICIO, NO PUDIENDO HALLAR TESTIGOS DEL HECHO Y NO PUDIENDO RECABARSE MAS INFORMACION POR PARTE DE LA DAMNIFICADA, DEBIDO A QUE EMBARCO EN EL VUELO DE ANDES LINEAS AEREAS NRO 865 A LAS 13:10. SE LLAMA POR TELEFONO AL JUZGADO PROVINCIAL, PERO NO ATIENDEN LA LLAMADA. SE REALIZA EL ACTA DE PROCEDIMIENTO NRO 140/2010 Y LAS ACTUACIONES DE RIGOR. EL DIA 25/11/10 EL JEFE DE UOSP SE COMUNICA CON EL MINISTERIO PUBLICO FISCAL DE MADRYN DISPONIENDO QUE SE REMITAN LAS ACTUACIONES.-</t>
  </si>
  <si>
    <t>7443/10</t>
  </si>
  <si>
    <t>QUE SIENDO LAS OCHO HORA DEL DIA DE LA FECHA SE DIO ESTRICTO CUMPLIMIENTO A LO ORDENADO POR S.SA, PROCEDIENDOSE AL TRASLADO DE LA DETENIDA A SEDE JUDICIAL.-</t>
  </si>
  <si>
    <t>DR. NESTOR ARIEL THUAY</t>
  </si>
  <si>
    <t>INFORMO EN EL DÍA DE LA FECHA SIENDO LAS 18:25 HS SE PRESENTA UNA PERSONA A LOS EFECTOS DE RADICAR UNA DENUNCIA POR EN PRESUNTO HECHO DELICTIVO MANIFESTANDO QUE AL LLEGAR AL AEROPUERTO INTERNACIONAL CATARATAS DEL IGUAZU EN EL VUELO 2728 DE LA EMPRESA AUSTRAL PROCEDENTE DEL AEROPUERTO INTERNACIONAL MINISTRO PISTARINI DE LA CIUDAD DE EZEIZA Y UNA VEZ QUE LOS EQUIPAJES FUERON RETIRADOS DE ESTA AEROESTACION SE DIRIGIÓ AL HOTEL CATARATAS DE ESTA CIUDAD DONDE SE PERCATO DEL FALTANTE DE UNA CÁMARA MARCA NIKON MODELO D80 , UN TELE OBJETIVO MARCA TAMRON PARA NIKON 200-500 Y UN OBJETIVO MARCA NIKON 70-200 QUE SE ENCONTRABAN DENTRO DE UNA VALIJA DE COLOR GRIS AZULADO MARCA SAMSONITE CON CIERRE PROPIO CON CLAVE DE SERIE QUE NO PRESENTABA CAMBIOS. POSTERIORMENTE SE ESTABLECE COMUNICACIÓN TELEFÓNICA CON EL DR. NESTOR ARIEL THUAY SECRETARIO DEL JUZGADO DE INSTRUCCIÓN Nº 3 DE LA CIUDAD DE PUERTO IGUAZU QUIEN ENTERADO DE LOS HECHOS ORDENA SE CONFECCIONE LA DENUNCIA Y SE LABREN LAS ACTUACIONES CORRESPONDIENTES ELEVANDO LO ACTUADO A SEDE TRIBUNALICIA PARA SU CONSIDERACIÓN</t>
  </si>
  <si>
    <t>EZEIZA PROVINCIA DE BUENOS AIRES</t>
  </si>
  <si>
    <t>PUERTO IGUAZU PROVINCIA DE MISIONES</t>
  </si>
  <si>
    <t>DRA. GANGANELLI PATRICIA</t>
  </si>
  <si>
    <t>SIENDO LA FECHA Y LA HORA ANTES MENCIONADA EN MOMENTOS QUE PERSONAL POLICIAL REALIZABA UNA RECORRIDA POR EL SECTOR MENCIONADO, OBSERVA Y SORPRENDE IN FRAGANTI A UNA PERSONA DE SEXO MASCULINO, OFRECIENDO SERVICIO DE TRANSPORTE PUBLICO A VIVA VOZ FUERA DE LOS LUGARES HABILITADOS POR EL CONCESIONARIO PARA REALIZAR DICHA ACTIVIDAD. POR LO QUE SE CONDUCE AL INFRACTOR A LA GUARDIA DE PREVENCION A FIN DE INICIAR LAS ACTUACIONES CONTRAVENCIONALES CORRESPONDIENTES.</t>
  </si>
  <si>
    <t>DRA. GANGANELI PATRICIA</t>
  </si>
  <si>
    <t>SIENDO LA FECHA Y LA HORA ANTES MENCIONADA EN MOMENTOS QUE PERSONAL POLICIAL REALIZABA UNA RECORRIDA POR EL SECTOR MENCIONADO, OBSERVA Y SORPRENDE IN FRAGANTI A UNA PERSONA DE SEXO MASCULINO, REALIZANDO EL SERVICIO DE MALETERO CARECIENDO DE LA HABILITACION PARA EFECTUAR DICHA TAREA. POR LO QUE SE CONDUCE AL INFRACTOR A LA GUARDIA DE PREVENCION A FIN DE COMENZAR CON LAS ACTUACIONES CONTRAVENCIONALES CORRESPONDIENTES.</t>
  </si>
  <si>
    <t>JUZGADO NACIONAL EN LO CORRECCIONAL Nº 1</t>
  </si>
  <si>
    <t>SECRETARIA Nº 51</t>
  </si>
  <si>
    <t>DR PABLO LEMOS</t>
  </si>
  <si>
    <t>FERNANDEZ LUCERO LUCIANO S/DENUNCIA</t>
  </si>
  <si>
    <t>A2</t>
  </si>
  <si>
    <t>HALL PARTE PUBLICA</t>
  </si>
  <si>
    <t>SE HACE PRESENTE EN ESTA GUARDIA DE PREVENCION EL SR FERNANDEZ LUCERO A REALIZAR LA DENUNCIA YA QUE EL DIA 23NOV10 EN MOMENTOS DE TOMARSE SU HORA DE DESCANSO Y RACIONAMIENTO EN EL SECTOR MENCIONADO, SE PERCATA QUE DEL STAND DE LA SECRETARIA DE TURISMO, LUGAR DONDE GUARDO SUS ELEMENTOS PERSONALES Y HERRAMIENTAS, LE HABIAN SUSTRAIDO SU MOCHILA. EN EL DIA DE LA FECHA MOMENTO EN QUE SE PRESENTABA A REALIZAR SUS TAREAS LABORALES EN EL HALL, UN OPERARIO DE NOMBRE LUIS GIMENEZ LE MANIFIESTA TENER EN SU PODER PARTE DE SUS ELEMENTOS PERSONALES Y QUE SI QUERIA RECUPERARLOS DEBIA LLAMARLO AL NUMERO DE TELEFONO CELULAR 15 5461 6078. SE INFORMA EN P.U. Nº 7489 QUE EN HS. 1145 DEL DIA 25-11-10 SE PRESENTA EL DENUNCIANTE, QUIEN INFORMA QUE EL SR. LUIS GIMENEZ LE HABIA MANIFESTADO TENER EN SU PODER LOS ELEMENTOS DENUNCIADOS Y LE PIDIÓ DIEZ PESOS A CAMBIO DE SUS ELEMENTOS. EL AREA SUMARIOS POLICIALES YA CUENTA CON LAS IMAGENES DEL HECHO. Y EL DENUNCIANTE RECONOCE EN LAS MISMAS A GIMENEZ. SE DA INTERVENCION AL JUZGADO ACTUANTE QUIEN ORDENA LA DETENCION DEL CAUSANTE. SE INFORMA EN P.U. Nº 7499 QUE A HS. 2100 DEL 25-11-10, SE PROCEDE A LA LIBERACION DEL IMPUTADO POR NO POSEER ANTECEDENTES NI IMPEDIMENTOS LEGALES, SEGUN LO ORDENADO POR LA JUDICATURA ACTUANTE.</t>
  </si>
  <si>
    <t>FISCALIA FEDERAL 3 DE ROSARIO</t>
  </si>
  <si>
    <t>MARCELO E. ALESSO</t>
  </si>
  <si>
    <t>SRIO. AV. S/LEY 23.737 WHEELWRIGTH Y CORRIENTES</t>
  </si>
  <si>
    <t>EXPTE NRO 1029/08 B</t>
  </si>
  <si>
    <t>CIUDAD DE ROSARIO Y VILLA GOBERNADOR GALVEZ SANTA FE</t>
  </si>
  <si>
    <t>PR 7406 DE FECHA 23 NOV 10 EN EL DIA DE LA FECHA SE SOLICITARON LAS CORRESPONDIENTES ORDENES DE ALLANAMIENTO EN EL MARCO DEL EXPTE DE REFERENCIA. LAS TAREAS INVESTIGATIVAS DIERON COMIENZO EN FEB/2009, INFORMADO EN PU:DOC4 0005/09, DONDE SE ORDENARON LAS TAREAS INVESTIGATIVAS PARA CONFIRMAR EL HECHO DENUNCIADO EN SEDE DEL JUZGADO FEDERAL N° 2 JUJUY. SE EFECTUARON LAS TAREAS DE VIGILANCIA PARA CORROBORAR LOS HECHOS Y UBICAR A CRISTIAN (A) GRINGO, QUE COMERCIALIZARIA ESTUPEFACIENTES EN EL DOMICILIO DE AV DEL HUERTO Y CORRIENTES DE LA CIUDAD DE ROSARIO. EN EL TRANSCURRIR DE LA INVESTIGACIÓN, EL COMERCIO DENUNCIADO PERMANECIÓ CLAUSURADO Y EL LAVADERO GARAGE CONTIGUO CERRADO Y NO SE PUDO DAR CON LA PERSONA DENUNCIADA. EN EL MES DE FEBRERO DEL AÑO 2010, SE ACUMULA POR RESOLUCIÓN 1642 DEL 29/12/09 DEL JUZGADO FEDERAL ACTUANTE EL EXPTE NRO. 675/09B DEL MISMO JUZGADO FEDERAL, EN DONDE UNO DE LOS TESTIGOS POR UNA CAUSA DE HOMICIDIO DENUNCIA QUE EN UN DOMICILIO DE LA CIUDAD DE VILLA GOBERNADOR GALVEZ SE VENDERÍA SUSTANCIA ESTUPEFACIENTE Y QUE EL RESPONSABLE DE DICHO LUGAR SERIA UN TAL CRISTIAN ALTAMIRANO (A) GRINGO, QUIEN RESULTARA DETENIDO Y ENCAUSADO POR EL CRIMEN DE UN TAL VARDABASSO POR PRESUNTA DEUDA EN EL COMERCIO DE ESTUPEFACIENTE. EN EL TRANSCURSO DE LA INVESTIGACIÓN SE PUDO ESTABLECER QUE EN EL DOMICILIO DE PELLEGRINI AL 2000 DE LA CIUDAD DE VILLA GOBERNADOR GALVEZ SE COMETEN CONDUCTAS EN INFRACCIÓN A LA LEY 23737, Y SE INDIVIDUALIZO A UNO DE LOS ORGANIZADORES, WALTER SECO, ADEMAS LA INVESTIGACION VINCULA A ESTE CON OTROS DOS DOMICILIOS, UNO EN LA CIUDAD DE VILLA GOBERNADOR GALVEZ, Y OTRO EN EL BARRIO LAS FLORES DE LA CIUDAD DE ROSARIO EN DONDE SE ALMACENARIA LA SUSTANCIA ILICITA. LA COMPROBACION DEL DELITO A TRAVÉS DE FILMACIONES Y SEGUIMIENTOS INFORMADOS A LA FISCALIA A CARGO DE LA INSTRUCCIÓN GENERA EL PRESENTE PEDIDO DE ORDENES DE ALLANAMIENTO PARA DOS DOMICILIO EN VILLA GOBERNADOR GALVEZ Y UNO EN EL BARRIO LAS FLORES DE LA CIUDAD DE ROSARIO. PR 7478 EN EL DIA DE LA FECHA SE RECEPCIONAN TRES OFICIOS JUDICIALES ORDENANDO REALIZAR ALLANAMIENTOS SIMULTANEOS EN EL MARCO DE LA CAUSA DE REFERENCIA, BAJO OFICIO N° 6050 EN LA VIVIENDA UBICADA EN CALLE SAN NICOLAS 2563 DE VILLA GOBERNADOR GALVEZ VEREDA IMPAR ENTRE PASAJE 6 Y PELLEGRINI, OFICIO N° 6051 EN EL DOMICILIO UBICADO EN CALLE PEREGRINI AL 2000 DE VILLA GOBERNADOR GALVEZ VEREDA PAR ENTRE CALLES CAFERATA Y SAN NICOLAS Y OFICIO N° 6052 DE LA VIVIENDA UBICADA EN FLOR DE NACAR AL 6900 BIS BARRIO LAS FLORES DE ROSARIO PARA DAR CUMPLIMIENTO DIA 25 NOV 10 ENTRE LAS 10 Y 12 HORAS</t>
  </si>
  <si>
    <t>DR. RICARDO BECERRA</t>
  </si>
  <si>
    <t>07-01-006664-09</t>
  </si>
  <si>
    <t>DEL LIBERTADOR 5722, BELGRANO. CABA INDEPENDENCIA 143, PALERMO, CABA</t>
  </si>
  <si>
    <t>SE RECIBE OFICIO JUDICIAL A FIN DE CERTIFICAR SI ANA MARIA ISABEL BAUZADA SE DOMICILIA EN LOS SITIOS QUE SURGEN DEL INFORME DEL PADRON ELECTORAL ADJUNTADO. ASIMISMO, EN CASO QUE DE LAS TAREAS ORDENADAS SURJA QUE ESTA NO SE DOMICILIE EN LOS LUGARES SINDICADOS, SE DEBERA INSERTAR LA AVERIGUACION DE PARADERO DE LA CIUDADANA DE MENCION.</t>
  </si>
  <si>
    <t>OFICINA DE CORREO OFIAL DE LA REPUBLICA ARGENTINA</t>
  </si>
  <si>
    <t>MAQUINA DE RX DEL CORREO ARGENTINO</t>
  </si>
  <si>
    <t>GABRIELA NUÑEZ, JUNIN 1771, PISO 1, DPTO.4, CORRIENTES</t>
  </si>
  <si>
    <t>NUÑEZ CESAR, LAGO ARGENTINO 1932, EL CALAFATE, SANTA CRUZ</t>
  </si>
  <si>
    <t>QUE EL DÍA DE LA FECHA SIENDO LAS TRES HORAS, TREINTA MINUTOS, LA OFICIAL JEFE LILIANA SORIA, DESTACADA EN EL PUNTO DE INSPECCIÓN Y REGISTRO DENOMINADO JET PAQ, SE ENCONTRABA FISCALIZANDO MEDIANTE MAQUINA DE RAYOS X, LA CARGA A DESPACHAR, OBSERVO DENTRO DE UNA SACA DE CORREO ARGENTINO, UNA CAJA DE MEDIANAS DIMENSIONES, CONTENIENDO EN SU INTERIOR UNA SUSTANCIA ORGÁNICA, DE ORIGEN VEGETAL, DE CONSISTENCIA COMPACTA, LA CUAL SE VISUALIZABA DE COLOR ANARANJADO Y DADA SU DENSIDAD PODRÍA SER COMPATIBLE CON SUSTANCIAS ESTUPEFACIENTES, POSIBLE MARIHUANA, VERIFICANDO QUE LA SACA ES DE COLOR BLANCO CON INSCRIPCIÓN "CORREO ARGENTINO", CON PRECINTO NUMERO Z377077, DESTINO FINAL RÍO GALLEGOS. SE ENTABLA COMUNICACIÓN CON EL JUZGADO FEDERAL DE TURNO, A QUIEN SE LO INTERIORIZA DE LOS PORMENORES SUSCITADOS, SEGUIDAMENTE, EL AUXILIAR JUDICIAL PROCEDE A LA APERTURA DE LA SACA CON PRECINTO N: Z377077, OBSERVANDO DENTRO DE LA MISMA, UNA CAJA DE DIMENSIONES MEDIANAS, ENVUELTA EN PAPEL COLOR MADERA, DICHO PAPEL POSEE INSCRIPCIÓN "DEST: NUÑEZ CESAR, LAGO ARGENTINO 1932, C.P:9405, EL CALAFATE- SANTA CRUZ", "RTTE: GABRIELA NUÑEZ, JUNIN 1771-P1-D, CORRIENTES -CAP." Y AL REALIZAR LA APERTURA DEL PAPEL, SE OBSERVA UNA CAJA DE CARTÓN CON INSCRIPCIÓN "PIAMONTESA", LA CUAL SE ENCUENTRA ENCINTADA CON CINTA DE EMBALAR COLOR MARRÓN, SE PROCEDE A LA APERTURA DE LA MISMA, OBSERVÁNDOSE UN PAQUETE ENVUELTO EN BOLSA DE NYLON COLOR NEGRA, AL ABRIR LA MISMA SE OBSERVAR DENTRO DE ESTA, TRES PAQUETES CON ENVOLTORIO EN CINTA DE EMBALAR COLOR MARRÓN, LOS CUALES FUERON IDENTIFICADOS CON "PAQUETE 1", "PAQUETE 2" Y "PAQUETE 3". ACTO SEGUIDO SE PROCEDE A REALIZAR UN PEQUEÑO CORTE EN EL PAQUETE 1, TOMANDO UNA PEQUEÑA MUESTRA DE LA SUSTANCIA QUE SE ENCONTRABA DENTRO, LA CUAL ERA DE ORIGEN VEGETAL COLOR VERDOSO, POSTERIORMENTE EFECTÚA TEST ORIENTATIVO DE CAMPO CON LA UTILIZACIÓN DE REACTIVO QUÍMICO MARCA IDENTA PARA MARIHUANA, ARROJANDO RESULTADO POSITIVO, PROCEDIMIENTO QUE REPITIÓ CON EL PAQUETE 2 Y PAQUETE 3, ARROJANDO EN AMBOS CASOS RESULTADO POSITVO PARA MARIHUANA.</t>
  </si>
  <si>
    <t>CARLOS ALBERTO SILVA</t>
  </si>
  <si>
    <t>SECTOR PARTIDAS DE VUELOS INTERNACIONALES</t>
  </si>
  <si>
    <t>SIENDO LAS 07:00 HS DEL DIA 25/11/2010, LA SUPERVISORA DE TURNO MIRTA MENDEZ DE LA DIRECCION NACIONAL DE MIGRACIONES INGRESA A LA OFICINA DE DICHA ENTIDAD Y SE PERCATA QUE LA PUERTA SE ENCONTRABA SIN LA TRABA Y NOTA EL FALTANTE DE 2 EQUIPOS DE COMUNICACION MOVILINK LOS CUALES HABIA DEJADO EL SUPERVISOR SALIENTE JUAN ALBERTO CIGNO SOBRE EL ESCRITORIO AL MOMENTO DE RETIRARSE SIENDO LAS 22:00 HS DEL DIA 24/11/2010. A HORAS 14:15 REALIZADA LA CONSULTA CON EL JUZGADO INTERVINIENTE, DISPONE RECIBIR FORMAL DENUNCIA , TOMAR FOTOGRAFIAS DEL LUGAR DEL HECHO, CIERRE Y ELEVACION DE ACTUACIONES FINALIZADAS LAS MISMAS</t>
  </si>
  <si>
    <t>Dr WALTER DA SILVA</t>
  </si>
  <si>
    <t>S/ INF. LEY PATRIMONIO CULTURAL</t>
  </si>
  <si>
    <t>SIENDO LAS 11:25 HORAS EN MOMENTOS QUE SE REALIZABA EL CONTROL DE PREEMBARQUE DEL VUELO NRO 1683 DE AEROLINEAS ARGENTINAS, EL OFICIAL ADRIAN WEIMER LEGAJO NRO 500.579 OBSERVA EN EL MONITOR DE LA MAQUINA DE RX HEIMANN QUE UN EQUIPAJE CONTENIA EN SU INTERIOR PIEDRAS POR LO QUE LE SOLICITA A LA OFICIAL LORENA VILLAVERDE LEGAJO NRO 503.521 SU REGISTRO MANUAL, A LA APERTURA DEL MISMO SE ENCUENTRA EN EL INTERIOR PIEDRAS DE LAS CUALES 4 DE ELLAS SERIAN PRESUMIBLEMENTE TRONCOS FOSILIZADOS, INMEDIATAMENTE SE SOLICITA LA PRESENCIA DE DOS TESTIGOS Y SE REALIZA ACTA DE REGISTRO NRO 0853/2010. DEBIDO A QUE EL SR. JUAN CHARLES PEMBERTOM PROPIETARIO DE L EQUIPAJE NO HABLA ESPAÑOL SE SOLICITA LA PRESENCIA DE LA SRTA SOFIA IACONO, DNI 36.344.058 EMPLEADA DE AEROPUERTOS ARGENTINA 2000 COMO TRADUCTORA. SIENDO LAS 11:50 HS EL SR. PEMBERTON CONTINUA CON SU VIAJE PROGRAMADO. LAS PIEZAS SECUESTRADAS SERAN REMITIDAS AL MUSEO RIVADAVIA SEGUN LO COORDINADO CON EL JUZGADO INTERVINIENTE.</t>
  </si>
  <si>
    <t>1682/3</t>
  </si>
  <si>
    <t>PLATAFORMA OPERATIVA PROXIMO A LA MANGA Nº 8</t>
  </si>
  <si>
    <t>SIENDO LA HORA Y LA FECHA ANTES MENCIONADA SE RECIBE MODULACION RADIAL POR PARTE DE LA PATRULLA MOVIL, DANDO CUENTA SOBRE UN ACCIDENTE ENTRE DOS VEHICULOS PRODUCIDO EN LA CALLE DE CIRCULACION VEHICULAR DE LA PLATAFORMA OPERATIVA DE ESTE AEROPUERTO. UNA VEZ EN EL SECTOR SE CONSTATA LA EXISTENCIA DE UN VEHICULO MARCA MERCEDES BENZ, MODELO SPRINTER, CON DOMINIO COLOCADO CLC928, EL CUAL POSEE UNA ABOLLADURA EN SU SECTOR DELANTERO, EL CUAL ESTABA SIENDO CONDUCIDO EN EL MOMENTO DEL ACCIDENTE POR EL SR. SIERRA, SEGUIDAMENTE A UNOS METROS DEL LUGAR DE MENCION SE OBSERVA UN SEGUNDO VEHICULO TIPO COLECTIVO MARCA MERCEDES BENZ, MODELO Q500 U, CON DOMINIO COLOCADO FII465, EL CUAL POSEIA UNA ABOLLADURA EN SU SECTOR TRASERO IZQUIERDO, QUE FUERA CONDUCIDO POR EL SR. CIRO LUCERO. SEGUIDAMENTE EL SR. SIERRA INFORMA QUE SEIS DE LAS PERSONAS QUE TRASLADABA EN LA CAMIONETA HABIAN SUFRIDO LESIONES Y QUE PERSONAL DE SANIDAD DE ESTE MEDIO LOS HABIA TRASLADADO AL HOPITAL INTERZONAL DE EZEIZA. SE DIO INTERVENCION AL JUZGADO FEDERAL DE TURNO, QUIEN DISPUSO SE LABREN ACTUACIONES DE RIGOR Y SE CARATULEN COMO LESIONES CULPOSAS, SE NOTIFIQUE A LOS CONDUCTORES DE LOS VEHICULOS QUE ESTAN IMPUTADOS EN LA CAUSA Y SE PROCEDA AL SECUESTRO DE LOS RODADOS QUEDANDO A DISPOSICION DEL JUZGADO INTERVINIENTE.</t>
  </si>
  <si>
    <t>CARBAJALES, MARIA INES</t>
  </si>
  <si>
    <t>PUNTO DE INSPECCION Y REGISTRO DENOMINADO 1/16</t>
  </si>
  <si>
    <t>SIENDO LA FECHA Y LA HORA ANTES MENCIONADA EL OFICIAL VENERI Y EL OFICIAL GALLARDO, QUIENES SE ENCONTRABAN DESEMPEÑANDO FUNCIONES EN EL PUNTO DE INSPECCIÓN, CONTROL Y REGISTRO DEL PREEMBARQUE INTERNACIONAL , MOMENTOS EN QUE SE PROCEDÍA AL CHEQUEO DE LOS PASAJEROS QUE PROCEDÍAN A EMBARCAR EN EL VUELO DE MENCION, SE PRESENTA EN DICHO CONTROL, UNA PERSONA DE SEXO MASCULINO, QUIEN SE ENCONTRABA ACOMPAÑADO EN LA OPORTUNIDAD POR UNA NIÑA DE UNOS CINCO AÑOS DE EDAD QUIEN SEGÚN LO MANIFESTADO SERIA SU HIJA; DEPOSITA SUS PERTENENCIAS EN LA MAQUINA DE RAYOS X, Y ES ALLÍ QUE EL SUJETO, ATRAVIESA EL ARCO DETECTOR DE METALES HACIENDO ACTIVAR LA ALARMA SONORA DEL MISMO, EL OFICIAL GALLARDO PROCEDE A REALIZAR UN CHEQUEO CORPORAL CON MOTIVO DE SEGURIDAD DE LA AVIACIÓN POR SOBRE SUS ROPAS, NOTANDO A LA ALTURA DE LOS BOLSILLOS DEL PANTALÓN Y LUEGO EN SUS PIERNAS A LA ALTURA DE LOS TOBILLOS, BULTOS EXTRAÑOS, PROCEDIENDO A LA VEZ A CONVOCAR LA PRESENCIA DE DOS TESTIGOS HÁBILES; SE PROCEDE A IDENTIFICAR AL SUJETO, QUIEN MANIFIESTA ESPONTÁNEAMENTE, QUE PORTABA VALORES POR UNA CANTIDAD APROXIMADA DE CINCUENTA MIL DOLARES ESTADOUNIDENSES;UNA VEZ TODOS LOS INTERVINIENTES EN ESTE ASIENTO DE GUARDIA SE DIO INTERVENCION AL JUZGADO NACIONAL EN LO PENAL ECONÓMICO Nº 07; DISPONIENDO SE LABREN ACTUACIONES SUMARIAS BAJO LA CARÁTULA "CONTRABANDO DE DIVISAS",SE PROCEDA AL SECUESTRO DE LA SUMA DE CUARENTA MIL DOLARES ESTADOUNIDENSES, LOS CUALES DEBERÁN SER DEPOSITADOS EN EL BANCO CIUDAD, SE LE HAGA ENTREGA DE LA SUMA DE DIEZ MIL DOLARES ESTADOUNIDENSES AL CAUSANTE Y DE NO MEDIAR IMPEDIMENTOS LEGALES SOBRE EL MISMO SE PROCEDA A LA LIBERACION. SIENDO LAS 0730 HORAS DEL DIA 25/11/10 SE CUMPLIMENTA LO ORDENADO POR LA JUDICATURA ACTUANTE PROCEDIENDO A LA LIBERACION DEL CAUSANTE RETIRANDOSE DE LA GUARDIA POLICIAL CONFORME CON LOS TRATOS RECIBIDOS.</t>
  </si>
  <si>
    <t>AA 900</t>
  </si>
  <si>
    <t>7472/10</t>
  </si>
  <si>
    <t>INFRACCION AL ART 175 DEL CODIGO PENAL</t>
  </si>
  <si>
    <t>FERNANDEZ LUCERO LUCIANO S/ DENUNCIA</t>
  </si>
  <si>
    <t>SIENDO LAS 11:45 HORAS SE HACE PRESENTE EN ESTA GUARDIA DE PREVENCION EL SR FERNANDEZ LUCERO,QUIEN HABIA REALIZADO UNA DENUNCIA EL DIA 24 DEL CORRIENTE MES Y AÑO, PARA DECLARAR QUE EN EL DIA DE LA FECHA EL OPERARIO DE NOMBRE LUIS GIMENEZ, QUIEN EL DIA ANTERIOR LE HABIA MANIFESTADO TENER EN SU PODER PARTE DE SUS ELEMENTOS PERSONALES, SE ACERCO A EL Y LE DEVOLVIO SU BILLETERA A CAMBIO DE DIEZ PESOS PARA LA COCA COLA,POR LO QUE EL SR FERNANDEZ NO ACCEDIO POR QUE NO CONTABA CON DINERO EN ESE MOMENTO.SEGUIDAMENTE SE HACE PRESENTE EN ESTA GUARDIA DE PREVENCION POR LA EXTRAÑA ACTITUD DE ESTE SUJETO. ACTO SEGUIDO SE LE DA AVISO AL AREA SUMARIOS POLICIALES, LOS CUALES YA TENIAN EN SU PODER EL REGISTRO FILMICO DE LA PREVENCION 436-A/10 - DENUNCIA DEL SR FERNANDEZ-. MINUTOS MAS TARDE, SE LE HACE IDENTIFICAR A LA PERSONA QUE SUSTRAE LA MOCHILA Y EL DENUNCIANTE MANIFIESTA QUE ES EL SR GIMENEZ, MOTIVO POR EL CUAL SE LE DA INTERVENCION AL JUZGADO CORRESPONDIENTE, EL MISMO PIDE LA DETENCION DEL SR GIMENEZ, QUIEN SE ENCONTRABA CUMPLIENDO FUNCION LABORAL PARA LA EMPRESA PRIVADA DENIER SRL. EN ESTA AEROESTACION.</t>
  </si>
  <si>
    <t>EN EL DIA DE LA FECHA, SIENDO LAS 12:00 HORAS, SE IMPLEMENTO OPERATIVO DE SEGURIDAD PRESIDENCIAL EN PLATAFORMA OPERATIVA DEL AEROPUERTO DE LA I BRIGADA AEREA EL PALOMAR EN CUMPLIMIENTO A LA ORDEN DE SERVICIO Nº 8801, FINALIZANDO SIN NOVEDAD PARTINDO LA SRA. PRESIDENTA EN LA AERONAVE MATRICULA BVR50.-</t>
  </si>
  <si>
    <t>CONTRABANDO Y TRANSPORTE DE ESTUPEFACIENTES EN GRADO DE TENTATIVA</t>
  </si>
  <si>
    <t>HALL DE PARTIDAS PISO SUPERIOR</t>
  </si>
  <si>
    <t>BOX CHECK-IN EMPREA LAN AIRLINES</t>
  </si>
  <si>
    <t>EL TURNO DE ADUANAS EN EL AEROPUERTO CORDOBA REALIZA UN ALERTA A TODAS LAS DELEGACIONES AL INGRESO DEL PAIS DE LAS DOS PERSONAS POR CONSIDERARLOS COMO PERFIL DE PASAJEROS DE RIESGO. EN EL DIA DE LA FECHA SE PRESENTAN ANTE LOS MOSTRADORES DEL CHECK IN DE LA EMRPRESA AEREA LAN AIRLINES LOS CAUSANTES PARA EMBARCAR EN EL VUELO LA 943 PERO EL DESPACHANTE DETECTA ANOMALIA EN LA RESERVA REALIZADA POR LO QUE TRANSFIEREN SU PARTIDA PARA EL DIA 26 NOV 10. ANTE LA PRESENCIA DE LOS PAX DE RIESGO EL RESPONSABLE DEL TURNO DE ADUANA EN EL AEROPUERTO INFORMA INMEDIATAMENTE AL JUZGADO INTERVINIENTE PARA SOLICITAR AUTORIZACION A LA REQUISA DE URGENCIA SOBRE SUS DOS VALIJAS QUIEN DA LA AUTORIZACION POR VIA TELEFONICA. APROXIMADAMENTE A LAS 15:05 HRS. ACTO SEGUIDO EL FUNCIONARIO DE ADUANAS INFORMA AL JEFE DE LA UNIDAD OPERACIONAL QUIEN PUESTO EN CONOCIMIENTO DE LA SITUACION REALIZA UN OPERATIVO EN FORMA PREVENTIVA CON PERSONAL DE LA GUARDIA.A CONTINUACION SE REQUIERELA PRESENCIA DE DOS TESTIGOS HABILES Y SE LE SOLICITA A LOS ENCARTADOS SUS EQUIPAJES,QUE ANTE LA APERTURA DE LOS MISMOS SE VA A REALIZAR PRUEBAS DE CAMPO CON LOS REACTIVOS NICK SOBRE LAS TABLETAS CHOCOLATES QUE ESTABAN EN EL INTERIOR DE SUS CORRESPONDIENTES CAJAS ORIGINALES DANDO EL M ISMO RESULTADO POSITIVO ANTE LA PRESENCIA DE CLORHIDRATO DE COCAINA, A LO QUE SE LE INFORMA NUEVAMENTE AL JUZGADO DE REFERENCIA EN LA PERSONA DEL DR. MAXIILIANO DAVIES QUIEN DISPONE QUE QUEDEN DETENIDOS EN CALIDAD DE COMUNICADOS Y AL FINALIZAR EL PROCEDIMIENTO DE RIGOR SEAN LLEVADOS A POLICIA JUDICIAL PARA SU REVISACION MEDICA Y ENTREGADOS A POSTERIORI A LA ALCALDIA DE LOS TRIBUNALES FEDERALES. CABE DESTACAR QUE LOS CAUSANTES SON DE NACIONALIDAD LETONIA Y EL PROCEDIMIENTO SE SUSPENDIO HASTA LA LLEGADA DEL TRADUCTOR PUBLICO RUSO, SEÑOR DANIEL VILLALON M.P. 784 QUIEN SE HIZO PRESENTE A LAS 16:15 HRS APROXIMADAMENTE, CONTINUANDO ENTONCES CON LOS TRAMITES DE RIGOR. SIENDO LAS 17:45 HRS SE DIO COMUNICACION VIA TELEFONICA AL NUMERO 00358942428700 CORRESPONDIENTE A LA EMBAJADA ARGENTINA EN FINLANDIA, A CARGO DEL DR. PEDRO VON EYKEN REPRESENTACION ARGENTINA CONCURRENTE QUE ATIENDE LOS ASUNTOS CONSULARES DE LETONIA DE LA SITUACION DE LOS CAUSANTES , QUIEN COMUNICO QUE PONDRA A DISPOSICION UN ASESOR LEGAL AMPLIACION CBA_2010_7505_PU EN CUMPLIMIENTO A LA ORDEN DE SERVICIO NRO. 206/10 DE FECHA 25NOV 10 SIENDO LAS 22:30 HRS PARTE COMISION CON CUSTODIA Y TRASLADO DE LOS DETENIDOS A MEDICINA LEGAL. SIENDO LAS 00:04 HRS. QUEDAN ALOJADOS EN LA ALCALDIA DE LOS TRIBUNALES FEDERALES DE LA CIUDAD DE CORDOBA</t>
  </si>
  <si>
    <t>GONZALO LOPEZ QUINTANA</t>
  </si>
  <si>
    <t>ACTUACIONES TENDIENTES A LOGRAR LA DETENCION DE PERSONAS CON PEDIDO DE CAPTURA DENTRO DE LOS AUTOS GUERRIERI.</t>
  </si>
  <si>
    <t>EXPTE. 367/03 Y ACUM.</t>
  </si>
  <si>
    <t>CALLE IRIGOYEN 98 - LOCALIDAD DE MAR DE OSTENDE - PCIA. DE BUENOS AIRES</t>
  </si>
  <si>
    <t>EN EL DIA DE LA FECHA SE PROCEDE A DAR INICIO A LAS TAREAS DE INTELIGENCIA TENDIENTES A OBTENER LA CAPTURA DEL CIUDADANO RODOLFO DANIEL ISACH, QUIEN SE DESEMPEÑO COMO PERSONAL CIVIL DE INTELIGENCIA EN EL DESTACAMENTO DE INTELIGENCIA 121 DEL COMANDO DEL SEGUNDO CUERPO DEL EJERCITO ENTRE LOS AÑOS 1976/1978.</t>
  </si>
  <si>
    <t>TENENCIA DE ESTUPEFACIENTE PARA CONSUMO PERSONAL</t>
  </si>
  <si>
    <t>EN MOMENTOS EN QUE PERSONAL POLICIAL SE ENCONTRABA EN EL PUNTO DE INSPECCION Y REGISTRO MENCIONADO, SE HIZO PRESENTE UNA PERSONA DE SEXO MASCULINO, QUE SOMETIENDO AL CONTROL PREVENTIVO DE SEGURIDAD FUE HABIDO EN EL BOLSILLO DERECHO DEL PANTALON DENTRO DE UN PAQUETE DE CIGARRILLOS CON INSCRIPCIONES PHILLIPS MORRIS, UN ENVOLTORIO CONSTITUIDO A PRIMA FACIE POR PAPEL DE CIGARRILLOS EL CUAL CONTENIA UNA SUSTANCIA COLOR VERDE OSCURA. SE CONVOCO LA PRESENCIA DE TESTIGOS HABILES, QUE UNA VEZ EN EL TURNO DE GUARDIA TODOS LOS INTERVINIENTES, PREVIA CONSULTA CON EL JUZGADO DE TURNO SE PROCEDIO A LA REQUISA DEL MASCULINO, EXTRAYENDOSE UNA MUESTRA DE LA SUSTANCIA, SOMETIENDOLA A REACTIVO DE CAMPO PARA MARIHUANA ARROJANDO UN RESULTADO POSITIVO. SE DIO INTERVENCION A LA UNIDAD FUNCIONAL DE INSTRUCCION Nº 01 DE EZEIZA, QUIEN DISPUSO SE LABREN ACTUACIONES DE RIGOR Y DE NO MEDIAR RESTRICCIONES CONTRA SU PERSONA MEDIANTE NOTA A INTERPOL AEROPUERTOS, EL CAUSANTE ABANDONE ESTA DEPENDENCIA POR SUS PROPIOS MEDIOS. QUE EL DÍA 25 DEL CORRIENTE MES Y AÑO, SIENDO LAS 16:30HS SE PROCEDIO A LIBERAR AL CAUSANTE. RETIRANDOSE DE LA DEPENDENCIA CONFORME A LOS TRATOS RECIBIDOS POR SUS PROPIOS MEDIOS, SIN NOVEDAD.</t>
  </si>
  <si>
    <t>SIENDO LAS 21:00 HS DEL DIA 25-11-10 SE PROCEDE A LA LIBERACION DE JIMENEZ LUIS POR NO POSEER ANTECEDENTES NI IMPEDIMENTOS LEGALES Y SEGUN LO ORDENADO POR EL JUZGADO INTERVINIENTE.</t>
  </si>
  <si>
    <t>SRIO. AV. S/INF. LEY 23737 WHEELRIGTH Y CORRIENTES</t>
  </si>
  <si>
    <t>EXPTE N° 1029/08B</t>
  </si>
  <si>
    <t>CALLE FLOR DE NACAR AL 6900 BIS BARRIO LAS FLORES DE ROSARIO SANTA FE</t>
  </si>
  <si>
    <t>SE PROCEDE A DAR CUMPLIMIENTO A LO ORDENADO POR EL JUZGADO DE REFERENCIA EN ORDEN DE ALLANAMIENTO N° 6052, CON LA FINALIDAD DE VERIFICAR LA EXISTENCIA DE ELEMENTOS RELACIONADOS CON DELITOS TIPIFICADOS POR LA LEY 23737, REQUISAR PERSONAS COMO ASÍ TAMBIÉN REVISAR LOS AUTOMOVILES Y EL SECUESTRO DE TODO ELEMENTO Y DOCUMENTACIONES DE INTERÉS. LA VIVIENDA EN CUESTIÓN SE ENCONTRABA HABITADA POR AGUIRRE ALICIA CARINA JUNTO AL MENOR DE EDAD LAUTARO LEONEL SECO, HIJO DE LA MENCIONADA Y DE WALTER DAVID SECO. EN LA OCASIÓN FUERON SECUESTRADOS ELEMENTOS VINCULADOS AL FRACCIONAMIENTO DE ESTUPEFACIENTES, TALES COMO, RECTÁNGULOS DE POLIETILENO Y ROLLOS DEL MISMO MATERIAL Y BALANZA. TAMBIÉN FUERON MOTIVO DE SECUESTRO, UNA NOTEBOOK, TELEFONÍA CELULAR Y DEL TIPO NEXTEL. BILLETES DE CIEN Y CINCUENTA PESOS, COMO TAMBIÉN MONEDAS DE UN PESO Y DE CINCUENTA CENTAVOS DE PESO Y UNA MOTOCICLETA. PAGARES, RECIBOS Y CEDULA JUDICIAL A NOMBRE DE WALTER DAVID SECO. EN EL MISMO ACTO SE PROCEDIÓ A LA REQUISA DEL AUTOMÓVIL PEUGEOT 206 MATRICULA EGW630 Y DEL RENAULT TWINGO DOMINIO EDE182, ARROJANDO SALDO NEGATIVO, TAMBIÉN SE REQUISO UN CUATRICICLO MARCA HONDA COLOR AZUL Y UNA MOTOCICLETA EN DESUSO MARCA KAWASAKI ZX600 SIN MOTOR, CON RESULTADO NEGATIVO.</t>
  </si>
  <si>
    <t>7478/10</t>
  </si>
  <si>
    <t>CALLE CAFERATTA Y SAN NICOLAS SIN NUMERACIÓN CASTATRAL - SANTA FE</t>
  </si>
  <si>
    <t>CIUDAD DE VILLA GOBERNADOR GALVEZ - SANTA FE</t>
  </si>
  <si>
    <t>EL DIA 25 DE NOVIEMBRE DEL CORRIENTE SE PROCEDE A DAR CUMPLIMIENTO A LO ORDENADO POR EL JUZGADO DE REFERENCIA EN ORDEN DE ALLANAMIENTO N° 6051 CON LA FINALIDAD DE VERIFICAR LA EXISTENCIA DE ELEMENTOS RELACIONADOS CON DELITOS TIPIFICADOS POR LA LEY 23737, REQUISAR PERSONAS COMO ASI TAMBIEN REVISAR LOS AUTOMOVILES Y EL SECUESTRO DE TODO ELEMENTO Y DOCUMENTACIÓN DE INTERES. EN TAL SENTIDO AL MOMENTO DEL ALLANAMIENTO SE ENCONTRABA EN LA FINCA EN CUESTIÓN, DAVID SERGIO DIAZ, ÚNICO MORADOR, QUIEN INTENTO DARSE A LA FUGA ENTE LA SOLICITUD DE COLABORACIÓN PARA EL RETIRO DE UNOS EQUINOS QUE SE ENCONTRABAN POR LA PELIGROSIDAD PARA CON LOS TESTIGOS Y EL PERSONAL. OCASIÓN QUE PROPICIO LA HUIDA ANTE LA QUITA DE LAS ESPOSAS DE SEGURIDAD. DÁDOSE A LA FUGA POR LA MEDIANERAS DE FINCAS ALEDAÑAS. SIENDO CAPTURADO INMEDIATAMENTE. DICHA SITUACIÓN LE PRODUJO AL DETENIDO LESIONES QUE FUERON CONTROLADAS POR LOS PROFESIONALES CONVOCADOS A TAL FIN, CON SU POSTERIOR TRASLADO AL HOSPITAL GAMEM PARA UN MAYOR CONTROL. FUERON PRODUCTO DE SECUESTRO, LA SUMA DE PESOS 1.340, DOCUMENTACIONES VARIAS, CUADERNO CON ANOTACIONES, ENTRE OTRAS COSAS. PU 7521 26/11/2010 EN EL DIA DE LA FECHA, 26 DE NOVIEMBRE DEL CORRIENTE AÑO, SE PROCEDE A DAR CUMPLIMIENTO AL OFICIO NRO 6096 EMITIDO POR EL JUZGADO DE REFERENCIA, MEDIANTE EL CUAL SE PROCEDE AL TRASLADO PARA SU ALOJAMIENTO EN DEPENDENCIA DE LA ALCAIDIA MAYOR DE LA U.R. II DE: AMALIA PILAR SECO DNI N 20.590.288. FELICIANO ARMANDO ESPINOSA DNI Nº 26.970.339 Y DAVID SERGIO DIAZ DNI N 28.204.301 QUIENES SE ENCUENTRAN DETENIDOS A DISPOSICION DEL JUZGADO Y LA SECRETARIA INTERVINIENTE.</t>
  </si>
  <si>
    <t>S/DELITO CONTRA LA LIBERTAD-AMENAZAS</t>
  </si>
  <si>
    <t>SALIDA PRINCIPAL DE LA AEROESTACION</t>
  </si>
  <si>
    <t>PERGOLA PLANTA BAJA DE AEROESTACION</t>
  </si>
  <si>
    <t>PERSONAL POLICIAL OBSERVA A CUATRO INDIVIDUOS TOMANDOSE A GOLPES DE PUÑOS EN EL SECTOR PERGOLA PLANTA BAJA. UNA VEZ QUE DISIPAN LA PELEA SE IDENTIFICA A LOS SEÑORES GABINO MARIN Y MAURO MARIN, LOS QUE MANIFIESTAN QUE VENIAN AL AEROPUERTO A BUSCAR AL SR. SAAVEDRA ERNESTO QUIEN SERIA EL ABOGADO DE LA AGRUPACION DENOMINADA ANGEL BORLENGUI, EL CUAL HABRIA SIDO AMENAZADO DURANTE EL VUELO 2688 DE LA LINEA AEREA AUSTRAL PROCEDENTE DE LA CIUDAD DE BUENOS AIRES, POR EL SR. WALTER CORTES SECRETARIO DE LA ASOCIACIÓN DE EMPLEADOS DE COMERCIO BARILOCHE, UNA VEZ QUE DESCENDIO DEL VUELO EL SR. CORTES SE DIRIGIO A LA PLAYA DE ESTACIONAMIENTO DONDE SE PRODUJO UNA NUEVA RIÑA ENTRE LAS PERSONAS QUE ESPERABAN AL SR. CORTES Y LAS PERSONAS QUE ESPERABAN AL SR. SAAVEDRA,, UNA VEZ SEPARADOS EL SR. CORTES Y LA GENTE QUE LO ACOMPAÑABA SE RETIRAN DE LA AEROESTACION EN SUS VEHICULOS PARTICULARES, QUEDANDO EN ESTA DEPENDENCIA EL SR. SAAVEDRA ERNESTO Y SANDOVAL CARLOS QUIENES RADICAN UNA DENUNCIA POR AMENAZAS. SE DA INTERVENCION AL JUEZ FEDERAL QUIEN DISPONE SE LABREN ACTUACIONES DE RIGOR Y SE MANTENGA INFORMADO DE LOS HECHOS AL DR. WALTER LOPEZ DA SILVA SECRETARIO DEL JUZGADO INTERVINIENTE</t>
  </si>
  <si>
    <t>PLATAFORMA-BODEGA-PATIO VALIJA</t>
  </si>
  <si>
    <t>SE PROCEDE A LA RETENCION DE DOS SACAS COLECTORAS DEL CORREO OFICIAL ARGENTINO SEGUN CONSTA EN ACTA DE RETENCION DE CARGA 489/10, QUE ORIGINA LA PREV.SUM. 112/10. LA 1ª SACA IDENTIFICADA CON MARBETE SLA8752902D515100LPG, PRECINTO Nº Z5029562, CON UN PESO DE 6,00 KG, CON DESTINO CIUDAD DE CENTRO OPERATIVO LA PLATA. LA 2º SACA IDENTIFICADA CON MARBETE SLA9140516D555700RGL, PRECINTO Nº P052037, CON UN PESO DE 9,100 KG, CON DESTINO RIO GALLEGOS. LAS MISMAS ESTAN AMPARADAS EN GUIA AEREA Nº 9309048-0, DESPACHADAS A TRAVES DE LA EMPRESA DE CARGA AEREA JET PAQ. LAS RETENCIONES SE REALIZAN ANTE LA PRESUNCION QUE PUDIERAN CONTENER ALGUN ELEMENTO EN INFRACCION A LA LEY 23737 Y/O 22415, QUEDANDO LAS MISMAS CERRADAS Y PRECINTADAS EN GUARDA EN ESTA UOSP. SEGUN LO COORDINADO CON LA DRA. MARIA ISABEL FALU, A CARGO DE LA SECRETARIA PENAL Nº 4, DEL JUZGADO FEDERAL DE SALTA Nº 2, A CARGO DEL DR. MIGUEL ANTONIO MEDINA. LA APERTURA SE REALIZARA EN PRESENCIA DEL PERSONAL DEL CORREO OFICIAL.</t>
  </si>
  <si>
    <t>7496/10</t>
  </si>
  <si>
    <t>EN CUMPLIMIENTO A LA ORDEN DE SERVICIO NRO. 206/10 DE FECHA 25NOV 10 SIENDO LAS 22:30 HRS PARTE COMISION CON CUSTODIA Y TRASLADO DE LOS DETENIDOS A MEDICINA LEGAL. SIENDO LAS 00:04 HRS. QUEDAN ALOJADOS EN LA ALCALDIA DE LOS TRIBUNALES FEDERALES DE LA CIUDAD DE CORDOBA. SIENDO LAS 01:40 HRS. REGRESA LA COMISION SIN NOVEDAD</t>
  </si>
  <si>
    <t>SRIO. AV. S/INF. LEY 23737 WHEELWRIGTH Y CORRIENTES</t>
  </si>
  <si>
    <t>CALLE SAN NICOLAS N° 2563 ENTRE PASAJE 6 Y PELLEGRINI</t>
  </si>
  <si>
    <t>CIUDAD DE VILLA GOBERNADOR GALVEZ SANTA FE</t>
  </si>
  <si>
    <t>DANDO CUMPLIMIENTO A LO ORDENADO POR EL JUZGADO DE REFERENCIA EN ORDEN DE ALLANAMIENTO N° 6050 CON LA FINALIDAD DE VERIFICAR LA EXISTENCIA DE ELEMENTOS RELACIONADOS CON DELITOS TIPIFICADOS POR LA LEY 23737, REQUISAR PERSONAS COMO ASÍ TAMBIÉN REVISAR LOS AUTOMÓVILES Y EL SECUESTRO DE TODO ELEMENTO Y DOCUMENTACIÓN DE INTERÉS. EN EL DOMICILIO EN CUESTIÓN SE ENCONTRABA MELISA ROSANA YEGROS JUNTO A SUS HIJOS MENORES DE EDAD JOAQUÍN ELÍAS SECO Y JUAN IGNACIO SECO. ASIMISMO SE ENCONTRABAN MORANDO AMALIA PILAR SECO, FELICIANO ARMANDO ESPINOSA, PABLO MATIAS OPETE, JESICA MELISA OPETE ESTA ULTIMA ACOMPAÑADA DE SUS HIJOS MENORES, RODRIGO NICOLAS JESUS SALINAS Y DELFINA SERENA JULIANA SALINAS. LOS MENORES DE APELLIDO SALINAS FUERON ENTREGADOS A ALEJANDRA ALICIA SALINAS DNI Nº 21.461.088, CUÑADA DE JESICA MELISA OPETE. MIENTRAS QUE LOS MENORES DE APELLIDO SECO FUERON ENTREGADOS A PABLO GABRIEL YEGROS DNI Nº 27.515.970 QUIEN ES HERMANO DE MELISA ROSANA YEGROS FUERON PRODUCTO DE SECUESTRO UN REVOLVER CALIBRE 38 Y PROYECTILES DEL MISMO CALIBRE, UN CARGADOR Y PROYECTILES DE PISTOLA CAL. 11,25, DOCUMENTACIÓN DE AUTOMOTOR, DOCUMENTACIÓN DE MOTOVEHÍCULOS Y LOS MOTOVEHICULOS, CERTIFICADO DE CONVIVENCIA, FOTOGRAFÍAS FAMILIARES, UNA CPU, DIVISAS EN DOLARES POR UN TOTAL DE USS 382 Y PESOS 12.340,30 CENTAVOS Y TELEFONÍA CELULAR. TAMBIÉN FUE REQUISADO EL AUTOMOVIL FORD FALCON DOMINIO VSM953 CON RESULTADO NEGATIVO. PU Nº 7521 - 26/11/2010 EL DIA 26/11/2010 Y SEGÚN OFICIO NRO 6096 EMITIDO POR EL JUZGADO DE REFERENCIA, MEDIANTE EL CUAL SE ORDENA AL TRASLADO PARA SU ALOJAMIENTO EN DEPENDENCIA DE LA ALCAIDIA MAYOR DE LA U.R. II DE: AMALIA PILAR SECO DNI N 20.590.288 Y FELICIANO ARMANDO ESPINOSA DNI N 26.970.339 QUIENES SE ENCUENTRAN DETENIDOS A DISPOSICIÓN DEL JUZGADO Y LA SECRETARIA INTERVINIENTE. ASIMISMO POR OFICIO JUDICIAL Nº 6078 EMITIDO POR EL JUZGADO INTERVINIENTE EN EL CUAL ORDENA LA INMEDIATA LIBERTAD DE: MELISA ROSANA YEGROS DNI Nº 31.566.387. PABLO MATIAS OPETE DNI Nº 36.737.044 Y JESICA MELISA OPETE DNI Nº 35.225.646. PR Nº 7523 - 26/11/2010 POR OTRA PARTE Y SEGÚN LO INFORMADO EN PR Nº 7523 26/11/2010 EL JUZGADO INTERVINIENTE A TRAVES DE ACTA DE DESIGNACION DE DEPOSITARIO JUDICIAL AL OFICIAL JEFE ADRIAN GASTELU DE ESTA PSA, DE: DOS MOTOS MARCA YAMAHA MODELO T1D5 CRYPTON DOMINIO 092 EUK Y DOMINIO 504 DGJ, OTRA MARCA LEGNANO MODELO VERONA DOMINIO 192 FCT Y OTRA MARCA MONDIAL 183 ESX MODELO LD 125 L MAX R. PU Nº 7650 - 02/12/2010 EL DÍA 02DIC 2010 SE DIO CUMPLIMIENTO A LA ORDEN DE SVC NRO. 305/2010 URSA IV, EFECTUANDO EL TRASLADO DE LOS DETENIDOS POR EL EXPTE. 1029/08B DESDE LA ALCAIDÍA MAYOR DE LA URII DE LA POLICÍA DE LA PROVINCIA DE SANTA FE HASTA LA SEDE DEL JUZGADO ACTUANTE. LUEGO DE LA FINALIZACIÓN DE LOS TRAMITES JUDICIALES SE LOS TRASLADO NUEVAMENTE A DICHA ALCAIDÍA MAYOR. ADEMÁS SE DILIGENCIARON LOS OFICIOS NRO. 6178 EN DONDE SE DISPONE LA INMEDIATA LIBERTAD DE AMALIA PILAR SECO Y NRO. 6179 EN DONDE SE DISPONE LA INMEDIATA LIBERTAD DE FELICIANO ARMANDO ESPINOSA, PARA AMBOS CASOS SIEMPRE QUE NO PESARE ORDEN DE DETENCIÓN, CAPTURA O CONDENA EMANADA DE LA AUTORIDAD COMPETENTE. SOBRE DAVID SERGIO DÍAZ, EL JUZGADO ACTUANTE DISPUSO QUE CONTINÚE DETENIDO POR LO QUE PERMANECE ALOJADO EN LA ALCAIDÍA MAYOR.</t>
  </si>
  <si>
    <t>7504/10</t>
  </si>
  <si>
    <t>OFICINA DE TURNO POLICIAL</t>
  </si>
  <si>
    <t>SE PROCEDE A LA APERTURA DE DOS SACAS COLECTORAS DEL CORREO OFICIAL ARGENTINO SEGUN CONSTA EN ACTA DE RETENCION DE CARGAS 489/10, QUE ORIGINA LA PREV.SUM. 112/10. LA 1ª SACA IDENTIFICADA CON MARBETE SLA8752902D515100LPG, PRECINTO Nº Z5029562, CONTIENE CUATRO PIEZAS POSTALES, LA 1º IDENTIFICADA COMO EP695824409AR, RTTE. SRA JUSTINA MUYICUNDO, DOMICILIO EL BANANAL S/Nº, C.P. Nº 4518, YUTO, JUJUY, Y DEST. SR. LORENZO CARRANZA, DOMICILIO: ARANA LA ARMONIA 159 Y 620 VIENTO NORTE, C.P. Nº 1900 LA PLATA, PROVINCIA DE BUENOS AIRES, QUEDA RETENIDA, LA 2º IDENTIFICADA COMO EP668363716AR, LA 3º IDENTICADA COMO EP716768713AR Y LA 4º IDENTIFICADA COMO EP692904301AR, SON ENTREGADAS AL SR. ARIAS PARA SU DEDESPACHO. LA 2º SACA CON MARBETE Nº SLA9140516D555700RGL, PRECINTO Nº P052037, CONTIENE TRES PIEZAS POSTALES: LA 1º IDENTIFICADA COMO EP658932072AR, LA 2º IDENTIFICADA COMO EP711446053AR Y LA 3º IDENTIFICADA COMO EP711446155AR SON ENTREGADAS AL SR. ARIAS PARA SU REDESPACHO.LA MISMA SE REALIZA ANTE LA PRESUNCION DE QUE PUDIERA CONTENER ALGUN ELEMENTO EN INFRACCION A LA LEY 23.737 Y/O 22.415, QUEDANDO LA MISMA CERRADA Y EN GUARDA EN ESTA UOSP. SE COMUNICO TELFONICAMENTE AL JUZGADO INTERVINIENTE. Y LA APERTURA SE REALIZARA CON LA AUTORIZACION DEL MAGISTRADO ACTUANTE.</t>
  </si>
  <si>
    <t>DENUNCIA EXTRAVIO PERMISO PERSONAL Nº 349355</t>
  </si>
  <si>
    <t>SECTOR OBRAS AMPLIACION AEROPUERTO</t>
  </si>
  <si>
    <t>EN EL DIA DE LA FECHA 26 DE NOVIEMBRE DEL 2010 SE PRESENTA EN ESTA UNIDAD OPERACIONAL EN LAS OFICINAS DE IDENTIFICACION Y REGISTRO EL SEÑOR MOISES AGUSTIN AGUILA CASTRO QUIEN ACREDITO SU IDENTIDAD CON EL DNI Nº 92644683 EMPLEADO DE LA EMPRESA UMARE ARGENTINA SA A FIN DE INFORMAR EL EXTRAVIO DEL PERMISO PERSONAL DE SEGURIDAD AEROPORTUARIO Nº 349355 CON VENCIMIENTO EL 10 DE JULIO DEL 2011,MANIFESTANDO QUE EL MISMO SE PRODUJO EN EL AEROPUERTO INTERNACIONAL DE RIO GRANDE ,EN EL SECTOR DE OBRAS DONDE ESTABA TRABAJANDO NO PUDIENDO PRECISAR MAYORES DATOS DEL LUGAR O LAS CIRCUNSTANCIAS EN QUE SE PRODUJO EL EXTRAVIO DEL CITADO PERMISO.-</t>
  </si>
  <si>
    <t>DRA. CERVERA MARINA E.</t>
  </si>
  <si>
    <t>LEGAJO DE LARA LARA,WALTER</t>
  </si>
  <si>
    <t>2366/10-ES</t>
  </si>
  <si>
    <t>EN EL DIA DE LA FECHA, 26/11/2010 A HS. 12:15, SE PRESENTA PERSONAL DE GENDAMERIA NACIONAL SARGENTO 1º FREITES Y LA GENDARME DAVALOS OLGA CON EL CIUDADANO DE NACIONALIDAD BOLIVIANA, SR. WALTER LARA LARA, CEDULA DE IDENTIDAD DE BOLIVIA Nº 2762723, QUIEN POR DISPOSICION Nº 180306/10 DEL REGISTRO DE LA DNM, Y OFICIO JUDICIAL Nº 2180/10- ES, EMITIDO POR EL TRIBUNAL ORAL EN LO CRIMINAL FEDERAL DE SALTA, DONDE SE ORDENA LA EXPULSION DEL TERRITORIO NACIONAL C/PROHIBICION DE REINGRESO AL PAIS CON CARACTER PERMANENTE, DANDO CUMPLIMIENTO A LA ORDEN DE SERVICIO Nº 058/10 DE LA UOESA DEL NORTE, SEGUN MEMORANDO Nº 2653/10 CON FECHA 25/11/2010 DE LA REGIONAL III DEL NORTE, CON LA INTERVENCION DE 02 EFECTIVOS DE LA UOESA DEL NORTE, PARA SU CUSTODIA , SIENDO EMBARCADO EN EL VUELO Nº 251-5L DE LA EMPRESA AEREA AEROSUR, A HS. 13:45 SIN NOVEDAD.</t>
  </si>
  <si>
    <t>SIENDO LAS 14:40 HORA LOCAL, ATERRIZA SIN NOVEDAD AERONAVE MATRICULA T-03 PROCEDENTE DEL AEROPUERTO INTERNACIONAL DR. FERNANDO PIRAGINE - CORRIENTES, TRASLADANDO AL SR. MINISTRO DEL INTERIOR DE LA NACION CPN FLORENCIO RANDAZZO Y COMITIVA. EL MISMO DESARROLLARA ACTIVIDADES EN TORNO AL AREA DE SU COMPETENCIA EN ESTA CIUDAD CAPITAL, TENIENDO PREVISTO SU REGRESO HACIA CAPITAL FEDERAL UNA VEZ FINALIZADO LOS MISMOS. SIENDO LAS 14:55 HORA LOCAL SE RETIRA DEL AERODROMO, VIA TERRESTRE, SIN NOVEDAD EL SR. MINISTRO Y SU COMITIVA. SE AMPLIARA AL MOMENTO DE SURGIR NOVEDADES.</t>
  </si>
  <si>
    <t>BARONE S/DENUNCIA</t>
  </si>
  <si>
    <t>AUTOPISTA RICCHIERI ALTURA KM 28 EN DIRECCION HACIA EL AEROPUERTO</t>
  </si>
  <si>
    <t>EL DIA ANTES MENCIONADO SIENDO APROXIMADAMENTE LAS 2150 HORAS EN MOMENTOS EN QUE SE DIRIGIA HACIA AL AEROPUERTO EN SU VEHICULO MARCA RENAULT MODELO MEGANE DOMINIO IGK 299, UN AUTO MARCA PEUGEOT MODELO 306 DOMINIO CFR 822 QUE VENIA VIAJANDO DETRAS DEL DENUNCIANTE PIERDE EL CONTROL DEL MISMO A CAUSA DE UN CHARCO DE AGUA, PROVOCANDO UNA SERIE DE TROMPOS DANDO ASI LOS LADOS DERECHOS DE LOS VEHICULOS, POR LO QUE AL PARAR INTERCAMBIO TODOS LOS DATOS CON EL OTRO CONDUCTOR DEL VEHICULO A FIN DE QUE LOS SEGUROS DE LOS AUTOMOTORES SE HAGAN CARGO DE LOS COSTOS DEL SINIESTRO, PERO CON EL TRANSCURSO DE LOS DIAS, COMIENZA A SENTIR DOLORES EN SU CUERPO, POR LO QUE EL DENUNCIANTE RADICA LA DENUNCIA DIAS DESPUES POR LA REPERCUSION DEL IMPACTO QUE LE PRODUJO DOLORES EN EL CUELLO, Y POSTERIOR TRATAMIENTO MEDICO.</t>
  </si>
  <si>
    <t>GUTIERREZ, JUAN MANUEL</t>
  </si>
  <si>
    <t>POLICIA DE SEGURIDAD AEROPORTUARIA S/ INV. PSTA. INF. LEY 23737</t>
  </si>
  <si>
    <t>9045/10</t>
  </si>
  <si>
    <t>CIUDAD DE COMODORO RIVADAVIA, PROVINCIA DE CHUBUT</t>
  </si>
  <si>
    <t>SE INFORMA QUE EN EL DIA DE LA FECHA SE RECEPCIONO OFICIO JUDICIAL Nº: 2873/10, DE FECHA 26 DE NOVIEMBRE DE 2010, EN EL QUE EL JUZGADO INTERVINIENTE DISPONE ENCOMENDAR A ESTA FUERZA POLICIAL, LA INVESTIGACION DE LA PRESENTE CAUSA EN RELACION A LOS SINDICADOS: JONATHAN MONTENEGRO (A) TATAN Y OTRO SIDICADO CON EL ALIAS CACHO, LOS CUALES PRESUMIBLEMENTE FUERAN RESPONSABLES DE REALIZAR EL TRASLADO DE ESTUPEFACIENTES A CLIENTES DE TODA LA CIUDAD DE COMODORO RIVADAVIA</t>
  </si>
  <si>
    <t>INFORMO EL HALLAZGO DE UNA NETBOOK MARCA HP MODELO HP MINI 311 CON SU ACCESORIO CARGADOR DE BATERIAS Y SU ESTUCHE CONTENEDOR COLOR NEGRO LA CUAL FUE ENCONTRADA A LAS 11:30 HS DEL DIA DE LA FECHA POR LA OF. DECHANZI SILVINA EN EL HALL DE LA PLANTA ALTA DE ESTA AEROESTACION. ACTO SEGUIDO SIENDO LAS 15:20 HS SE PROCEDE A LA ENTREGA DEL ELEMENTO ENCONTRADO PREVIA VERIFICACION DE LAS CARACTERISTICAS EXACTAS DEL MISMO AL SR. FRANCHI JOSE LUIS. CONFECCIONANDO ACTA DE ENTREGA DE HALLAZGO Nº 319/10</t>
  </si>
  <si>
    <t>7512/10</t>
  </si>
  <si>
    <t>SIENDO LAS 18:05 HORA LOCAL, DESPEGO DE ESTE AEROPUERTO SIN NOVEDAD AERONAVE MATRICULA T-03 CON DESTINO AL AEROPUERTO DE LA CIUDAD DE LA PLATA , TRASLADANDO AL SR. MINISTRO DEL INTERIOR DE LA NACION CPN FLORENCIO RANDAZZO Y COMITIVA, FINALIZANDO ORDEN DE SERVICIO Nº 102/2010 SIN REGISTRARSE NOVEDADES.</t>
  </si>
  <si>
    <t>FISCALIA FEDERAL N° 2 DE CORDOBA</t>
  </si>
  <si>
    <t>DIRECCION REGIONAL ADUANERA CORDOBA S/PEDIDO DE ORDEN DE ALLANAMIENTO.</t>
  </si>
  <si>
    <t>EXPTE. NRO. A-155/2010</t>
  </si>
  <si>
    <t>HOTEL IMPERIO</t>
  </si>
  <si>
    <t>CALLE MEXICO 1161 - CABA</t>
  </si>
  <si>
    <t>INFORMO QUE EL DIA 25-NOV-2010, SIENDO LAS 21:30 HS. PERSONAL DE ESTA UNIDAD OPERACIONAL JUNTO CON PERSONAL DE LA DIRECCION GENERAL DE ADUANAS, SE PROCEDIO AL ALLANAMIENTO DEL DOMICILIO DE LA CALLE MEXICO AL 1161 DE LA CIUDAD AUTONOMA DE BUENOS AIRES, DONDE FUNCIONA UN HOTEL DENOMINADO IMPERIO, CONSTITUIDOS EN EL LUGAR, SON RECIBIDOS POR EL CONSERJE QUIEN HACE SABER QUE EL SR. QUIROZ NO SE ENCONTRABA EN LA HABITACION, POR TAL MOTIVO SE REALIZAN TAREAS INVESTIGATIVAS EN LAS INMEDIACIONES, INDIVIDUALIZANDOSE AL CAUSANTE EN UN BAR CERCANO AL HOTEL. POSTERIORMENTE ES LLEVADO A SU HABITACION DONDE SE PROCEDE A LA REQUISA DEL MISMO, SECUESTRANDOSE LOS ELEMENTOS MENCIONADOS EN EL PRESENTE. FINALIZADO EL ALLANAMIENTO, SE TRASLADA AL IMPUTADO A LA U.O.S.P. EZEIZA, DONDE QUEDARA ALOJADO EN CALIDAD DE COMUNICADO A DISPOSICION DEL JUZGADO INTERVINIENTE, PARA SER LLEVADO A LA UNIDAD NRO. 28 DEL SERVICIO PENITENCIARIO FEDERAL DE LA C.A.B.A., EL DIA 26-NOV-2010, POR PERSONAL DE ESTA UNIDAD ASIGNADO.</t>
  </si>
  <si>
    <t>POSICION Nº 17</t>
  </si>
  <si>
    <t>SIENDO LAS 1740 HORAS APROXIMADAMENTE DEL DIA DE LA FECHA EL DENUNCIANTE SE APERSONA A LA POSICION Nº 17 DONDE ARRIBO UNA AERONAVE DE LA EMPRESA AEROLINEAS ARGENTINAS, UNA VEZ DETENIDA LA MISMA SE DIO COMIENZO A LA DESESTIBA DE LA MISMA, LUGAR EN EL CUAL ESTABA MOYANO DANIEL HUMBERTO, ENCARGADO DE LA VIGILANCIA DE DICHA AERONAVE. A CONTINUACION OBSERVO QUE EN LA BODEGA TRASERA UN PERSONAL DE LA EMPRESA AEROHANDLING RETIRA UN PACK DE GASEOSAS, PARA LUEGO DIRIGIRSE HACIA SU SECTOR DE DESCANSO. POR TAL RAZON TRANSCURRIDOS UNOS MINUTOS SE ACERCA HACIA ESTE PERSONAL Y LE INDICA QUE LO HECHO NO ERA CORRECTO SEGUN LAS NORMATIVAS VIGENTES, QUE PARA RETIRAR ALGO DE UNA AERONAVE SE NECESITABA AUTORIZACION POR ESCRITO. ANTE LO CUAL DICHA PERSONA RESPONDE QUE EL ENCARGADO DE ABASTECIMIENTO DE AERONAVES DE LA EMPRESA AEROLINEAS ARGENTINAS LO HABIA AUTORIZADO A SACAR DICHO PACK, RETIRANDOSE HASTA SU LUGAR DE DESCANSO. EL DENUNCIANTE VOLVIO A ENTABLAR UN CORTO DIALOGO CON EL ENCARGADO DE AEROHANDLING, RAPIDAMENTE SE ACERCO A ELLOS SOLICITANDOLE NUEVAMENTE AL SR. HERNANDEZ LOS DATOS DEL ENCARGADO DE ABASTECIMIENTO, RESPONDIENDO DE MANERA AGRESIVA QUE SU JEFE SE COMUNICARIA CON EL JEFE DE VIGILANCIA DE LA EMPRESA HAS. POR LO QUE VOLVIO A SOLICITARLE ADEMAS QUE NO SE ACERQUE NI SAQUE NADA DE LAS BODEGAS SIN LA DEBIDA AUTORIZACION POR PARTE LOS SUPERIORES, MOMENTO EN QUE EL IMPUTADO COMENZO A INSULTARLO, Y LE PROPINO DOS FUERTES GOLPES DE PUÑO EN LA PARTE LATERAL IZQUIERDA DEL ABDOMEN. SE MANTUVO COMUNICACION CON EL JUZGADO INTERVINIENTE QUIEN DISPUSO SE TOME FORMAL DENUNCIA, SE REALICE LECTURA DE DERECHOS AL IMPUTADO, SE LO NOTIFIQUE DEL INICIO DE LA CAUSA, QUE AL DAMNIFICADO SE LO CITE AL CENTRO MEDICO FORENSE, SE CONSTATE DOMICILIO DEL IMPUTADO, SE TOME TESTIMONIAL A LOS TESTIGOS DEL HECHO, NOTA A INTERPOL, NOTA A AEROHANDLING SOLICINTANDO LISTADO DEL PERSONAL QUE PRESTO SERVICIO EN DICHO VUELO, SE PRACTIQUEN FOTOS AL DAMNIFICADO, Y CON EL RESULTADO DE INTERPOL Y EN CASO DE NO MEDIAR IMPEDIMENTO LEGAL ALGUNO SE LIBERE AL IMPUTADO DEBIENDO ELEVAR TODO LO ACTUADO EL DIA 26-11-2010 A SEDE JUDICIAL.</t>
  </si>
  <si>
    <t>SRIO AV. S/INFR. LEY 23.737 WHEELWRIGTH Y CORRIENTES</t>
  </si>
  <si>
    <t>ALCAIDIA MAYOR U.R. II POLICIA DE PCIA DE STA FE</t>
  </si>
  <si>
    <t>EN EL DIA DE LA FECHA, 26 DE NOVIEMBRE DEL CORRIENTE AÑO, SE PROCEDE A DAR CUMPLIMIENTO AL OFICIO NRO 6096 EMITIDO POR EL JUZGADO DE REFERENCIA, MEDIANTE EL CUAL SE PROCEDE AL TRASLADO PARA SU ALOJAMIENTO EN DEPENDENCIA DE LA ALCAIDIA MAYOR DE LA U.R. II DE: AMALIA PILAR SECO DNI N 20.590.288. FELICIANO ARMANDO ESPINOSA DNI N 26.970.339 Y DAVID SERGIO DIAZ DNI N 28.204.301 QUIENES SE ENCUENTRAN DETENIDOS A DISPOSICION DEL JUZGADO Y LA SECRETARIA INTERVINIENTE. ASIMISMO SE DA CUMPLIMIENTO A OFICIO JUDICIAL Nª 6078 EMITIDO POR EL JUZGADO INTERVINIENTE POR MEDIO DEL CUAL ORDENA LA IMEDIATA LIBERTAD DE: MELISA ROSANA YEGROS DNI Nª 31.566.387. PABLO MATIAS OPETE DNI Nº 36.737.044 Y JESICA MELISA OPETE DNI Nº 35.225.646.</t>
  </si>
  <si>
    <t>SECO, AMALIA PILAR Y OTROS S/LEY 23737</t>
  </si>
  <si>
    <t>EN EL DIA DE LA FECHA SE RECIBE OFICIO N° 6093 DONDE EL JUZGADO DE REFERENCIA DISPONE QUE SE PROCEDA A LA DETENCIÓN DE WALTER DAVID SECO, DNI N° 22.683.379 CON ULTIMO DOMICILIO CONOCIDO EN LA CALLE SAN NICOLÁS 2563 Y/O PELLEGRINI AL 2000 AMBOS DE VILLA GOBERNADOR GALVEZ, HABIDO EL NOMBRADO DEBERÁ SER PUESTO A DISPOSICIÓN DE ESE TRIBUNAL. COMO ASÍ TAMBIÉN OFICIO N° 6098 DONDE SE HA DISPUESTO PROCEDER A SECUESTRAR Y PONER A DISPOSICIÓN DE ESTE JUZGADO FEDERAL N° 3 EL AUTOMOVIL PEUGEOT 206 DE COLOR BLANCO DOMINIO EUF 710.</t>
  </si>
  <si>
    <t>SRIO AV. S/INFR LEY Nº 23.737 WHEELWRIGTH Y CORRIENTES</t>
  </si>
  <si>
    <t>EXPTE Nº 1029/10 B</t>
  </si>
  <si>
    <t>DENTRO PERIMETRO JURISDICCION UOSP ROSARIO</t>
  </si>
  <si>
    <t>EN EL DIA DE LA FECHA SE DA CUMPLIMIENTO A LO ORDENADO POR EL JUZGADO INTERVINIENTE A TRAVES DE ACTA DE DESIGNACION DE DEPOSITARIO JUDICIAL AL OFICIAL JEFE ADRIAN GASTELU DE ESTA PSA, DE: DOS MOTOS MARCA YAMAHA MODELO T1D5 CRYPTON DOMINIO 092 EUK Y DOMINIO 504 DGJ, OTRA MARCA LEGNANO MODELO VERONA DOMINIO 192 FCT Y OTRA MARCA MONDIAL 183 ESX MODELO LD 125 L MAX R.</t>
  </si>
  <si>
    <t>7129/10</t>
  </si>
  <si>
    <t>RICARDO BECERRA</t>
  </si>
  <si>
    <t>CONFITERIA UBICADA EN PRIMER PISO</t>
  </si>
  <si>
    <t>QUE SIENDO LAS VEINTE HORAS DEL DIA VEINTICINCO P.P.D.O. PERSONAL DEL CENTRO OPERATIVO DE CONTROL, EN LA FIGURA DEL OFCIAL AYUDANTE CLAUDIO PONCE, VISUALIZA QUE A LA ALTURA DEL PUESTO BARRERA NORTE, EL CUAL LINDA CON LA ESTACION DE SERVICIO PETROBRAS, SE DETIENE UN VEHICULO MARCA VOLKSWAGEN, MODELO POLO, DOMINIO COLOCADO EFS-765, DESCENDIENDO DEL MISMO DOS PAREJAS, LAS CUALES SE DIRIGEN A CONTINUACION AL HALL DE PARTIDAS, SEPARANDOSE , MANTENIENDO UNA ACTITUD SOSPECHOSA QUE EN ESOS MOMENTOS SE RECONOCE A TRES DE LOS MISMOS COMO PARTICIPES DE LA ACCIONES QUE DIERAN ORIGEN A LA CAUSA 589-E/10, SEGUIDAMENTE SE INTERIORIZA DE LA NOVEDAD SURGIDA AL PERSONAL POLICIAL ASIGNADO EN LA PATRULLA DE LA TERMINAL A, SIENDO ESTE EL OFICIAL MAYOR CARLOS ZALAZAR, QUIEN POSTERIORMENTE INDIVIDUALIZA A LOS NOMBRADOS, COMO ASI TAMBIEN AL CONDUCTOR DEL CITADO VEHICULO, A QUIENES A CONTINUACION IDENTIFICA Y TRASLADA A LA GUARDIA DE PREVENCION. SE MANTUVO COMUNICACION CON LA UFI Nº 02, QUIEN DISPUSO SE PROCEDA A LA APREHENSION DE LAS CINCO PERSONAS INVOLUCRADAS, TRASLADO DE LOS MISMOS A SEDE JUDICIAL EL DIA VEINTISEIS DEL CORRIENTE MES Y AÑO. QUE EN EL DIA DE LA FECHA SE HIZO EFECTIVO EL TRASLADO, Y SIENDO APROXIMADAMENTE LAS DIECIOCHO HORAS, REGRESO LA COMISION CON LOS IMPUTADOS. QUE POR ORDEN JUDICIAL SE PROCEDIO A LA SOLTURA DE CUATRO DE ELLOS, QUEDANDO UNICAMENTE DETENIDO, EL CIUDADANO MIGUEL ANGEL GUZMAN PARDO, QUIEN POR DISPOSICION DEL JUEZ DE GARANTIAS INTERVINIENTE SE TRASLADO A LA COMISARIA SEGUNDA DE TRISTAN SUAREZ DONDE PERMANECERA ALOJADO, HASTA NUEVA DISPOSICION JUDICIAL.</t>
  </si>
  <si>
    <t>PLAYA DE CARGAS -FRENTE A LA TERMINAL DE CARGAS ARGENTINAS -TCA</t>
  </si>
  <si>
    <t>SIENDO LAS 22 HORAS APROXIMADAMENTE DEL DIA 25 DE NOVIEMBRE DEL CORRIENTE AÑO PERSONAL DE ESTA UNIDAD SE ENCONTRABA EFECTUANDO UNA RECORRIDA EN PREVENCION DE DELITOS POR LA PLATAFORMA OPERATIVA Y ZONA RESTRINGIDA DE ESTE AEROPUERTO, CIRCUNSTANCIA EN LA CUAL MIENTRAS RECORRIA EL SECTOR DENOMINADO PLAYA DE CARGAS OBSERVAN QUE UNO DE LOS CARROS PERTENECIENTES A LA EMPRESA LAN CARGO CONTENIA EN SU INTERIOR VARIOS BULTOS ENVUELTOS EN FILM. EN VIRTUD QUE EN ESE SECTOR SOLO SE DISPONEN LOS CARROS VACIOS Y LUEGO DE TRANSCURRIDO UN TIEMPO PRUDENCIAL DE VIGILANCIA, EN EL DIA DE LA FECHA SE PROCEDE A MANTENER COMUNICACION TELEFONICA CON EL JUZGADO ACTUANTE QUIEN DISPONE SE LABREN ACTUACIONES SUMARIAS BAJO LA CARATULA TENTATIVA DE HURTO.</t>
  </si>
  <si>
    <t>SE PROCEDE A LA RETENCION DE TRES SACAS COLECTORAS DEL CORREO OFICIAL, SEGUN CONSTA EN ACTA DE RETENCION DE CARGAS Nº 492/10, QUE ORIGINA LA PREVENCION SUMARIA Nº 113/10, LA PRIMERA SACA IDENTIFICADA CON MARBETE SLA9140514D555700RGL, PRECINTO Nº E352153, CON UN PESO DECLARADO DE 4,600 KGS. CON DESTINO A LA CIUDAD DE RIO GALLEGOS, CONTENDRIA DOS PIEZAS POSTALES, LA SEGUNDA SACA IDENTIFICADA CON MARBETE SLA8752898D515100LPG, PRECINTO Nº E352170, CON UN PESO DECLARADO DE 13,400 KGS. CON DESTINO A LA CIUDAD DE LA PLATA, CONTENDRIA TRES PIEZAS POSTALES, LA TERCERA SACA IDENTIFICADA CON MARBETE SLA0216951E555700RGL, PRECINTO Nº P052059, CON UN PESO DECLARADO DE 15,800 KGS. CON DESTINO A LA CIUDAD DE RIO GALLEGOS, CONTENDRIA CUATRO PIEZAS POSTALES, LAS MISMAS ESTAN AMPARADAS EN GUIA AEREA Nº 9309059-4, DESPACHADAS A TRAVES DE LA EMPRESA DE CARGA AEREA JET PAQ, LA RETENCION SE REALIZA ANTE LA PRESUNCION DE QUE PUDIERAN CONTENER ALGUN ELEMENTO EN INFRACCION A LA LEY 23.737 Y/O 22.415, QUEDANDO LAS MISMAS CERRADAS Y PRECINTADAS EN GUARDA EN ESTA UOSP. SEGUN LO COORDINADO CON EL DR. SANTIAGO FRENCH, A CARGO DE LA SECRETARIA PENAL Nº 2 DEL JUZGADO FEDERAL DE SALTA Nº 1, A CARGO DEL DR. JULIO LEONARDO BAVIO, LA APERTURA SE REALIZARA EN PRESENCIA DEL PERSONAL DEL CORREO OFICIAL.</t>
  </si>
  <si>
    <t>LONARDI EDUARDO ERNESTO S/INF. LEY 22415 EN TENTATIVA</t>
  </si>
  <si>
    <t>OLAZABAL 3082 PISO 5TO DPTO 27 - C.A.B.A. // AV. ARGENTINA 1402 PARTIDO DE MERLO PROVINCIA DE BS. AS.</t>
  </si>
  <si>
    <t>REFERENTE ORDEN DE SERVICIO N° 1349. EN EL DIA DE LA FECHA SE DIO CUMPLIMIENTO A LAS ORDENES DE ALLANAMIENTO EMANADAS POR LA JUDICATURA INTERVINIENTE EN EL MARCO DE LA CAUSA DE REFERENCIA, INICIADA EL DIA 24/11/10 POR PERSONAL DE ADUANA. RESPECTO AL DOMICILIO DE LA CALLE OLAZABAL 3082 SE INFORMA QUE FUE CON RESULTADO NEGATIVO, TANTO EN LA BUSQUEDA DE ESTUPEFACIENTES COMO DE ELEMENTOS DE INTERES. SE INFORMA ADEMAS QUE EN EL DOMICILIO DE LA CALLE AV. ARGENTINA 1402 HUBO RESULTADO NEGATIVO EN LA BUSQUEDA DE ESTUPEFACIENTES SECUESTRANDO LOS ELEMENTOS QUE SE DETALLAN EN EL PRESENTE PARTE.</t>
  </si>
  <si>
    <t>PLATAFORMA-ACCESO A PLATAFORMA - AERONAVE PRESIDENCIAL</t>
  </si>
  <si>
    <t>SE CONFECCIONA LA PRESENTE A LOS EFECTOS DE INFORMAR QUE SIENDO LAS 23:45 HORAS LOCAL ARRIBA AL AEROPUERTO INTERNACIONAL NORBERTO FERNANDEZ LA AERONAVE GLOBAL EXPRESS XRS MATRICULA D-AKAZ, TRASLADANDO A LA SEÑORA PRESIDENTE DE LA NACION DRA. CRISTINA FERNADEZ KIRCHNER Y COMITIVA,</t>
  </si>
  <si>
    <t>GEORGETOWN</t>
  </si>
  <si>
    <t>MARHABAS S/DENUNCIA</t>
  </si>
  <si>
    <t>CALLE LINDANTE A LA ESTACION DE SERVICIO YPF Y A LA PARADA DE COLECTIVOS.-</t>
  </si>
  <si>
    <t>QUE EN EL DIA TRECE DE NOVIEMBRE DEL CORRIENTE, LA DENUNCIANTE EN CIRCUNSTANCIAS EN QUE SE ENCONTRABA CRUZANDO LA CALLE CON MOTIVO DE TOMAR UN COLECTIVO ES ATROPELLADA POR UN AUTOMOVIL MARCA RENAULT MODELO MEGANE DE COLOR GRIS DOMINIO HUH-624, CONDUCIDO EN LA OPORTUNIDAD POR EL SR. NESTOR MIQUERI. QUE EL MISMO DETIENE LA MARCHA DEL VEHICULO Y LE OFRECE LLEVAR A LA DENUNCIANTE AL HOSPITAL POR LO QUE LA MISMA ACEPTA Y A SU VEZ SE COMUNICA CON SU ENCARGADO DE TURNO SR. CARLOS BOLAGNO EL CUAL LE DICE QUE SE DIRIJA HACIA SUS OFICINAS A EFECTOS DE DAR INTERVENCION A LA ART. QUE UNA VEZ EN LAS OFICINAS DE MENCION LA TRANSPORTAN EN REMIS HASTA LA CLINICA IMA SITA EN LA CALLE SEGUI Nº 593 - ADROGUE - PROVINCIA DE BUENOS AIRES DONDE REALIZARON SU DIAGNOSTICO. SE DEJA CONSTANCIA QUE NO SE DECLARA HORA DEL HECHO.-</t>
  </si>
  <si>
    <t>TENTATIVA DE CONTRABANDO DE ESTUPEFACIENTES.-</t>
  </si>
  <si>
    <t>PREEMBARQUE 1-16.-</t>
  </si>
  <si>
    <t>QUE MIENTRAS SE EFECTUABA EL CONTROL DE REGISTRO E INSPECCION EN EL PREEMBARQUE 1-16 DE LOS PASAJEROS DEL VUELO SA227, SE HACE PRESENTE UN MASCULINO,QUE LUEGO DE DEPOSITAR SUS PERTENENCIAS EN LA MAQUINA DE RAYOS X Y DE CRUZAR POR EL MARCO DETECTOR DE METALES DEL CUAL HACE SONAR LA ALARMA SONORA, ES SOMETIDO A UNA REQUISA POR SOBRE SUS ROPAS EN PREVENCION DE LA SEGURIDAD DE LA AVIACION CIVIL.PERSONAL POLICIAL ALLI APOSTADO DENOTA EN ESTA PERSONA UNA ACTITUD DE NERVIOSISMO, RAZON POR LA CUAL EL OFICIAL RICARDO SFERCO, QUIEN ESTABA OPERANDO LA MAQUINA DE RAYOS X Y QUIEN TAMBIEN HABRIA TENIDO DUDAS CON RESPECTO A LA IMAGEN DEL EQUIPAJE SOLICITA COOPERACION A PERSONAL DE LA DIVISION PREVENCION DE NARCOTRAFICO DE ESTA UNIDAD. QUIENES SE ENCONTRABAN EN EL SECTOR DANDO CUMPLIMIENTO A LA ORDEN DE SERVICIO N° 430/09. A CONTINUACION EL OFICIAL MARCELO FERRI NUMERARIO DE ESTA ULTIMA DIVISION PROCEDE A REALIZAR PREGUNTAS DE RIGOR AL PASAJERO EL CUAL NO EMITE RESPUESTAS MANTENIENDO SU ACTITUD DE NERVIOCISMO. ASIMISMO OBSERVA QUE ESTA PERSONA SACA DE ENTRE SUS ROPAS DE MANERA ESPONTANEA UN RECIPIENTE HABIDO EN UNA BOLSA DE NYLON COLOR BLANCA, QUE DESPERTO AUN MAS DUDAS EN EL PERSONAL POLICIAL. SEGUIDAMENTE SE DIO LA NOVEDAD AL JEFE DE TURNO QUIEN DISPUSO QUE EL PASAJERO JUNTO A PERSONAL POLICIAL Y TESTIGOS CONVOCADOS A TAL FIN SE TRASLADEN HACIA LA GUARDIA DE PREVENCION. CONTINUANDO SE DIO INTERVENCION AL JUZGADO DE TURNO, QUIEN AUTORIZO LA REQUISA SOBRE EL PASAJERO Y SUS PERTENENCIAS, PREVIO AL TRASLADO DEL MISMO HACIA EL BODY-SCAN DE ADUANAS, DONDE SE OBTIENE UNA IMAGEN DUDOSA EN CUANTO A LA PRESENCIA DE CUERPOS EXTRAÑOS. A CONTINUACION SE REALIZO LA REQUISA ENCONTRANDO ENTRE LAS ROPAS DE ESTA PERSONA Y SU EQUIPAJE, VARIAS CAPSULAS, LAS CUALES LUEGO DE EXTRAER UNA PEQUEÑA MUESTRA DEL CONTENIDO DE LAS MISMAS, A LA CUAL SE LE REALIZA PRUEBA DE CAMPO DA RESULTADO POSITIVO COCAINA. HABIENDO TOMADO CONOCIMIENTO DE ESTO EL JUZGADO INTERVINIENTE DISPUSO SE LABREN ACTUACIONES DE RIGOR Y SE LLEVE AL CAUSANTE HACIA EL HOSPITAL MULTIZONAL DE EZEIZA, DONDE POR DECISION DE LOS FACULTATIVOS ESTA PERSONA QUEDO INTERNADA.- EN PU 7559 SE INFORMA LA DEPOSICION Nº 1 DEL DIA 27-11-2010, LA CUAL CONSISTIO EN 15 CAPSULAS.-</t>
  </si>
  <si>
    <t>7527/10</t>
  </si>
  <si>
    <t>SE PROCEDE A LA APERTURA DE TRES SACAS COLECTORAS DEL CORREO OFICIAL ARGENTINO, SEGUN CONSTA EN ACTA DEJANDO CONSTANCIA Nº 0494/10, QUE FUERON RETENIDAS EL DIA 26 DE NOVIEMBRE DEL 2010, SEGUN CONSTA EN ACTA DE RETENCION Nº 0492/10, DE LA PREVENCION SUMARIA Nº 113/10.LA 1º SACA IDENTIFICADA CON MARBETE SLA9140514D555700RRGL, PRESCINTO Nº E352153, CONTIENE UNA PIEZA POSTAL, IDENTIFICADA COMO EP658932126AR,RTTE: SR. JONATAN CONDORI, PERICO,JUJUY Y DESTINATARIO SR. WALBERTO CONDORI,DOMICILIO SIN DATOS C.P.Nº 9400,RIO GALLEGOS,QUEDA RETENIDA .LA 2º SACA IDENTIFICADA CON MARBETE Nº SLA8752898D515100LPG, PRESCINTO Nº E352170,CONTIENE TRES PIEZAS POSTALES: LA1º IDENTIFICADA COMO EP716768713AR,RTTE. SRA. SONIA BORJA TEJERINA,DOMICILIO SALTA Nº 856, JUJUY,C.P.4600, DESTINATARIO SR. ALFREDO BORJA ORDOÑEZ,DOMICILIO CAMINO CENTENARIO ESQUINA 43, VILLA ELISA,LA PLATA C.P. 1894,QUEDA RETENIDA.LA 2º IDENTIFICADA COMO EP692904301AR, Y LA 3º IDENTIFICADA COMO EP668363716AR, SON ENTREGADAS AL SR. ARIAS PARA SU REDESPACHO.LA 3º SACA IDENTIFICADA CON MARBETE Nº SLA0216951E555700RGL,PRESCINTO Nº P052059, CONTIENE CINCO PIEZAS POSTALES: LA 1º IDENTIFICADA COMO EP683783185AR,RTTE: SR. SIMON CORONEL, DOMOCILIO Bº PUNTA DIAMANTE M15 L17, C.P.4600,S.S.DE JUJUY, DESTINATARIO SRA. ELENA UVSAGAZT, DOMICILIO AVDA. DE LOS MINEROS Nº 1437,RIO TURBIO,C.P. 9407,STA. CRUZ, QUEDA RETENIDA, LA 2º IDENTIFICADA COMO EP691908620AR,RTTE: SRA. ANGELICA MENDEZ, CALLE STGO. DEL ESTERO S/N,C.P.4650, LA QUIACA PCIA. DE JUJUY, DESTINATARIO SR. DAVID ALFREDO TORRES, DOMICILIO CALLE SAN JUAN Nº 432,C.P.9300,PUERTO DE STA. CRUZ, QUEDA RETENIDA.LA 3º IDENTIFICADA COMO EP 716768850AR,LA 4º IDENTIFICADA COMO EP712244738AR Y LA 5º IDENTIFICADA COMO EP711445058AR, SON ENTREGADAS AL SR. ARIAS PARA SU REDESPACHO.LAS MISMAS SE REALIZAN ANTE LA PRESUNCION DE QUE PUDIERAN CONTENER ALGUN ELEMENTO EN INFRACCION A LA LEY 23.737 Y/O 22.415, QUEDANDO LAS MISMAS CERRADAS Y EN GUARDA EN ESTA UOSP. SE COMUNICO TELEFONICAMENTE AL JUZGADO INTERVINIENTE. Y LAS APERTURAS SE REALIZARAN CON LA AUTORIZACION DEL MAGISTRADO ACTUANTE.</t>
  </si>
  <si>
    <t>S/INF. LEY DE PATRIMONIO</t>
  </si>
  <si>
    <t>EN PREEMBARQUE DEL VUELO DE REFERENCIA SE DETECTA EL BOLSO DE MANO DEL PASAJERO EMBERGER KARL, UNAS PIEDRAS QUE APARENTAN SER FÓSILES , POR TAL MOTIVO SE SOLICITA LA PRESENCIA DE DOS TESTIGOS HÁBILES, SE PROCEDE LA RETENCIÓN DE LAS DOS PIEDRAS POR INFRACCION A LA LEY 25743, QUEDANDO LAS MISMAS EN RESGUARDO DE ESTA UNIDAD PARA SU POSTERIOR REMISIÓN AL MUSEO BERNARDINO RIVADAVIA, SEGÚN LO COORDINADO CON EL JUZGADO FEDERAL DE SAN CARLOS DE BARILOCHE.</t>
  </si>
  <si>
    <t>SIENDO LA HORA Y LA FECHA ANTES MENCIONADA EL OFICIAL LONGHINI Y LOS OFICIALES PEREZ Y ALEGRE, EN RECORRIDA QUE EFECTUABAN POR EL SECTOR PERGOLA MAS PRECISAMENTE EN LA ISLA DE LA TERMINAL A, ES CUANDO OBSERVAN A DOS PERSONAS DE SEXO MASCULINO QUE SE ESTABAN TOMANDO A GOLPES DE PUÑO EN UNA DE LAS CALLES. POR LO QUE SE LOS CONDUCE A AMBOS MASCULINOS A ESTA GUARDIA DE PREVENCION.. POSTERIORMENTE SE REALIZA COMUNICACION TELEFONICA CON LA JUDICATURA ACTUANTE DISPONIENDO SE NOTIFIQUE A LOS CAUSANTES DE LA FORMACION DE LA CAUSA, SE LOS NOTIFIQUE A AMBOS QUE DEBERAN CONCURRIR AL CUERPO MEDICO LEGISTA DE LA POLICIA CIENTIFICA DE EZEIZA, SE REALICE AVERIGUACION DE ANTECEDENTES DE AMBOS Y EN CASO DE NO REGISTRAR IMPEDIMENTOS LEGALES VIGENTES SE PROCEDA A LA SOLTURA DE LOS MISMOS, Y SE ELEVEN LAS ACTUACIONES A SEDE JUDICIAL EL DIA 29 DEL CORRIENTE MES Y AÑO.</t>
  </si>
  <si>
    <t>MOMENTOS EN QUE SE ENCONTRABA POR DESCENDER DE LA AERONAVE SE PERCATA DEL FALTANTE DE UN SOBRE DE COLOR GRIS QUE CONTENIA LOS ELEMENTOS DENUNCIADOS.</t>
  </si>
  <si>
    <t>SM 279</t>
  </si>
  <si>
    <t>DRA MARIANA ZABALA DUFAU</t>
  </si>
  <si>
    <t>EN MOMENTOS EN QUE PERSONAL POLICIAL SE ENCONTRABA REALIZANDO UN CONTROL PREVENTIVO A LOS EQUIPAJES DESPACHADOS A BODEGA DE LOS PASAJEROS PROXIMOS A EMBARCAR EL VUELO DE MENCION,VISUALIZARON A TRAVES DE LA PANTALLA DE LA MAQUINA DE RX, DENTRO DE UN EQUIPAJE TIPO CARRY-ON DE MEDIANAS DIMENSIONES, VARIAS FIGURAS RECTANGULARES COMPUESTAS DE SUSTANCIAS ORGANICA DE BAJA DENSIDAD. MOTIVO POR EL CUAL SE PROCEDIO A BUSCAR AL PROPIETARIO DE LA MISMA. UNA VEZ HABIDO SE TRASLADO AL MISMO Y A LOS TESTIGOS A LA GUARDIA DE PREVENCION , LUGAR DONDE SE REALIZARON LAS CONSULTAS PERTINENTES CON EL JUZGADO INTERVINIENTE QUIEN DISPUSO SE PROCEDA A LA REQUISA DEL EQUIPAJE QUE PRESENTABA DUDAS, PRODUCTO DE LA CUAL SE EXTRAJERON DEL MISMO 14 PAQUETES CONTENIENDO SUSTANCIA ORGANICA, LOS CUALES ERAN HABIDOS OCULTOS EN BARRAS DE CHOCOLATES, SIENDO LA SUSTANCIA HABIDA EN LOS PAQUETES SOMETIDA A PRUEBA DE CAMPO CON REACTIVOS QUIMICOS PARA COCAINA , ARROJANDO EN TODOS LOS CASOS RESULTADO POSITIVO. SEGUIDAMENTE, SE MANTUVO NUEVA COMUNICACION TELEFONICA CON EL JUZGADO INTERVINIENTE A LOS EFECTOS DE COMENTARLE LOS RESULTADOS OBTENIDOS, INDICANDO EL MISMO SE PROCEDA A LA DETENCION E INCOMUNICACION DEL CAUSANTE, LABRANDOSE LAS ACTUACIONES CORRESPONDIENTES.</t>
  </si>
  <si>
    <t>CALLE PALESTINA NRO. 1040 - C.A.B.A</t>
  </si>
  <si>
    <t>MOMENTOS EN QUE SE ENCONTRABA CAMINANDO POR LA VEREDA DE LA CALLE PALESTINA A LA ALTURA 1040 APROXIMADAMENTE, ES CUANDO SIENTE UN FUERTE TIRON EN SU MANO DERECHA EN LA CUAL LLAVABA UNA CAMARA FOTOGRAFICA MARCA MINOLTA CON OBJETIVO, DE LA CUAL NO APORTA MAS DATOS. OBSERVANDO UNA MOTO QUE ERA CONDUCIDA POR UNA PERSONA DE SEXO MASCULINO QUIEN SE LLEVABA LA CAMARA EN CUESTION. POR TAL MOTIVO MOMENTOS ANTES DE PARTIR DE ESTE PAIS EN UN VUELO CON DESTINO A LA CIUDAD DE MADRID ES QUE SE HACE PRESENTE EN ESTA GUARDIA DE PREVENCION PARA RADICAR LA DENUNCIA .</t>
  </si>
  <si>
    <t>DA SILVA, WALTER</t>
  </si>
  <si>
    <t>WRIGHTSON S/INF. LEY PATRIMONIO</t>
  </si>
  <si>
    <t>HALL PLANTA ALTA - PREEMBARQUE DE CABOTAJE</t>
  </si>
  <si>
    <t>PREEMBARQUE DE CABOTAJE -</t>
  </si>
  <si>
    <t>MIENTRAS SE REALIZABA CONTROL DE VUELO PRIVADO MATRICULA N440HB, DE LA EMPRESA OSMOTICA, CON DESTINO FINAL AEROPUERTO SAN FERNANDO, SE IDENTIFICA EN EQUIPAJE DE MANO PERTENECIENTE AL SR. RICHARD WRGHTSON, DE NACIONALIDAD INGLESA, UNA PIEZA DE TRONCO PRESUMIBLEMENTE PETRIFICADA, POR LO CUAL SE PROCEDE A LA RETENCIÓN DE LA MENCIONADA PIEZA, QUEDANDO LA MISMA EN CUSTODIA DE ESTA UNIDAD OPERACIONAL PARA SU POSTERIOR REMISIÓN AL MUSEO BERNARDINO RIVADAVIA, DE ACUERDO A LO COORDINADO CON EL JUZGADO FEDERAL DE SAN CARLOS DE BARILOCHE.</t>
  </si>
  <si>
    <t>OSMOTICA</t>
  </si>
  <si>
    <t>N440HB</t>
  </si>
  <si>
    <t>BARILOCHE - RIO NEGRO</t>
  </si>
  <si>
    <t>SAN FERNANDO - BUENOS AIRES</t>
  </si>
  <si>
    <t>MATHEU</t>
  </si>
  <si>
    <t>SIENDO LAS 18:30 HS, EL DENUNCIANTE, SE AUSENTA DEL LOCAL DE LA EMPRESA DENUNCIANTE, DE LA QUE ES EMPLEADO, UBICADO EN EL SECTOR DE ARRIBOS (PARTE PUBLICA), EN LA PARTE INFERIOR DE ESTA AEROSTACIÓN, PARA RECIBIR UN VEHICULO DE ALQUILER DEVUELTO POR UN CLIENTE, AL FINAL DE LA DÁRSENA INFERIOR SOBRE LA VEREDA EN LA PARTE EXTERIOR DEL EDIFICIO, MINUTOS MAS TARDE AL REGRESAR A LA OFICINA A TERMINAR CON LOS TRAMITES ADMINISTRATIVOS DE LA MENCIONADA DEVOLUCIÓN, OBSERVA LA PUERTA DEL LOCAL ABIERTA, RECORDANDO QUE LA HABÍA DEJADO CERRADA, SE DIRIGE INMEDIATAMENTE A UN MUEBLE DE MADERA, UBICADO EN EL INTERIOR DEL LOCAL DONDE EN UN CAJÓN SE GUARDA UNA CAJA METÁLICA DE CHAPA DE COLOR BLANCO CON DINERO Y VALORES EN SU INTERIOR, CONSTATANDO LA FALTA DE LA MISMA. AL NOTAR EL FALTANTE EL DENUNCIANTE CONSULTA CON PERSONAL DEL LOCAL CONTIGUO QUIEN VIO A UNA PAREJA RETIRAR FOLLETOS DEL MOSTRADOR DEL LOCAL.</t>
  </si>
  <si>
    <t>ALAMO NATIONAL - RENTA CAR -</t>
  </si>
  <si>
    <t>SIENDO LA FECHA Y LA HORA ANTES MENCIONADA PERSONAL POLICIAL QUE DESEMPEÑABA FUNCIONES EN LA PATRULLA DE LA TERMINAL B, EN EL SECTOR DE LA VEREDA PERGOLA OBSERVA QUE UNA PERSONA DE SEXO MASCULINO SE ENCONTRABA REALIZANDO SERVICIO DE MALETERO A LOS PASAJEROS RECIEN ARRIBADOS. POR TAL MOTIVO SE LE SOLICITA QUE EXHIBA ALGUNA AUTORIZACION PARA REALIZAR TAL ACTIVIDAD, MANIFESTANDO DICHA PERSONA QUE NO POSEE DICHA HABILITACION. POR TAL MOTIVO SE LO CONDUCE A ESTA GUARDIA DE PREVENCION A LOS EFECTOS DE LABRAR LAS ACTUACIONES CONTRAVENCIONALES CORRESPONDIENTES.</t>
  </si>
  <si>
    <t>PLATAFORMA - ACCESO A PLATAFORMA - AERONAVE PRESIDENCIAL</t>
  </si>
  <si>
    <t>SE CONFECCIONA LA PRESENTE A LOS EFECTOS DE INFORMAR QUE SIENDO LAS 22:47 HORAS LOCAL DESPEGO LA AERONAVE GLOBAL EXPRESS XRS MATRICULA D-AKAZ, TRASLADANDO A LA PRESIDENTE DE LA NACION DRA. FERNANDEZ DE KIRCHNER, CON DESTINO FINAL LA I BRIGADA AEREA EL PALOMAR</t>
  </si>
  <si>
    <t>PROVICNIA DE BUENOS AIRES</t>
  </si>
  <si>
    <t>Walter</t>
  </si>
  <si>
    <t>CONTIN, ANIBAL S/DENUNCIA ROBO - AEROPUERTO TRELEW</t>
  </si>
  <si>
    <t>STANDS ALQUILERES DE AUTOS</t>
  </si>
  <si>
    <t>SIENDO LAS 19:50 HS SE PRESENTA EL SR. CONTIN, ANIBAL ANTONIO EN REPRESENTACIÓN DE LA EMPRESA ALQUILA AUTOS TRELEW S.A, QUIEN RADICA DENUNICA POR ROBO MEDIANTE FORZAMIENTO DE CERRADURA DE LOS CAJONES DEL STAND DE LA EMPRESA, REGISTRANDO FALTANTE DE PORTA DOCUMENTO Y LLAVE VEHICULO DOMINIO FDI 643, FALTA LLAVE Y PORTA DOCUMENTO VEHICULO DOMINIO FDF 396 Y PORTA DOCUMENTO CON LLAVES Y TARJETA VERDE DE CAMIONETA TOYOTA HILUX DOMINIO FZG 828, ADEMÁS DE ENCONTRARSE FUERA DE FUNCIONAMIENTO CENTRAL TELEFONICA.</t>
  </si>
  <si>
    <t>ALQUILA AUTOS TRELEW S.A.</t>
  </si>
  <si>
    <t>SIENDO LA FECHA Y LA HORA ANTES MENCIONADA EL OFICIAL PONCE QUIEN CUMPLIA FUNCIONES EN EL CENTRO OPERATIVO DE CONTROL, OBSERVO QUE UNA PERSONA DEL SEXO MASCULINO QUE VESTIA EN LA OPORTUNIDAD UN PANTALON CORTO DE JEAN, CAMISETA DE COLOR NEGRA Y ZAPATILLAS COLOR BLANCA SE ENCONTRABA REALIZANDO SERVICIO DE MALETERO A PASAJEROS RECIEN ARRIBADOS AL PAIS. POR TAL MOTIVO SE COMUNICA VIA NEXTEL CON PERSONAL APOSTADO EN LA PATRULLA DE TERMINAL A, PARA COMUNICARLES LA SITUACION A LOS EFECTOS DE QUE PROCEDAN A IDENTIFICAR A DICHA PERSONA. QUE UNA VEZ QUE PERSONAL POLICIAL TOMA CONTACTO CON ESTA PERSONA LE SOLICITAN QUE EXHIBA LA AUTORIZACION PARA LA REALIZACION DE LA ACTIVIDAD QUE SE ENCONTRABA LLEVANDO A CABO, RESPONDIENDO EL MISMO QUE NO LA POSEIA. POR LO QUE SE TRASLADA AL INFRACTOR A LA GUARDIA DE PREVENCION PARA LABRAR LAS ACTUACIONES CONTRAVENCIONALES CORRESPONDIENTES.</t>
  </si>
  <si>
    <t>AEROESTACION I BRIGADA EL PALOMAR</t>
  </si>
  <si>
    <t>SIENDO LA HORA ANTES MENCIONADA DEL DIA DE LA FECHA SE PROCEDE A IMPLEMENTAR LAS MEDIDAS DE SEGURIDAD PERTINENTES AL ARRIBO DE LA SRA. PRESIDENTE DE LA NACIÓN DRA. CRISTINA FERNÁNDEZ DE KIRCHNER Y COMITIVA. SIENDO LAS 01:25 HORAS DEL DÍA DE LA FECHA ARRIBA A ESTA AEROESTACIÓN EL PALOMAR LA SRA PRESIDENTE DE LA NACIÓN, EN AERONAVE CON MATRICULA D-AKAZ. SIENDO LAS 01:30 HORAS PARTE EN HELICÓPTERO PRESIDENCIAL CON DESTINO A LA QUINTA PRESIDENCIAL DE OLIVOS. SIENDO LAS 01:35 HORAS FINALIZA EL OPERATIVO SIN NOVEDAD.</t>
  </si>
  <si>
    <t>7531/10</t>
  </si>
  <si>
    <t>DRA. MARIA INES CARBAJAL</t>
  </si>
  <si>
    <t>INFORMO QUE EL DIA VEINTINUEVE DE NOVIEMBRE DE 2010, EL DETENIDO EN AUTOS FUE DADO DE ALTA DEL HOSPITAL ZONAL DE EZEIZA, Y POSTERIORMENTE TRASLADADO A ESTA DEPENDENCIA DONDE PERMANECERA ALOJADO HASTA EL DIA TREINTA DEL CORRIENTE MES Y AÑO, DIA EN EL CUAL Y POR DISPOSICION JUDICIAL DEBERA SER TRASLADADO A PRIMERA HORA A SEDE JUDICIAL. DEL MISMO MODO INFORMO QUE EL IMPUTADO NO EFECTUO MAS DEPOSICIONES, SIENDO LA UNICA DEPOSICION LA EFECTUADA EL DIA 27/11/10 SIENDO ESTA DE 15 CAPSULAS CON UN PESO TOTAL DE 146 GRAMOS.</t>
  </si>
  <si>
    <t>DAVIES, MAXIMILIANO</t>
  </si>
  <si>
    <t>PUESTO DE CONTROL DENOMINADO PREEMBARQUE</t>
  </si>
  <si>
    <t>SIENDO LAS 14:20HS. APROXIMADAMENTE DEL DÍA DE LA FECHA, EN UN CONTROL DE RUTINA EN EL PUESTO PREEMBARQUE, LA OFICIAL RISOTTI, DETECTÓ AL INSPECCIONAR UN EQUIPAJE A TRAVÉS DE LA MAQUINA DE RAYOS X, UNA ANORMALIDAD EN UN EQUIPAJE DE MANO, ANTE ESTA SITUACIÓN SE LE CONSULTA A LA PASAJERA SOBRE LO QUE LLEVABA EN SU EQUIPAJE A LO QUE RESPONDE POR LA NEGATIVA, SEGUIDAMENTE SE LE SOLICITA A LA MISMA LA APERTURA DEL EQUIPAJE, DONDE LA OFICIAL ACTUANTE OBSERVA EN UNO DE LOS LATERALES, DOS (02) SOBRES CERRADOS, SE PROCEDE A LA IDENTIFICACIÓN DE LA PASAJERA Y SU ACOMPAÑANTE, INMEDIATAMENTE SE SOLICITÓ LA PRESENCIA DE DOS TESTIGOS HÁBILES CON EL FIN DE CONTABILIZAR EL DINERO. ACTO SEGUIDO SE SOLICITA LA COLABORACIÓN DE PERSONAL DE ADUANA EN LA PERSONA DE LA AGENTE SILVIA VAZQUEZ DNI Nº 12.365.723, QUIEN UNA VEZ PRESENTE SE PROCEDE A REALIZAR EL CONTEO DE DINERO EN LA SALA DE REQUISAS SITA EN EL SECTOR DE PREEMBARQUE ARROJANDO COMO RESULTADO UN TOTAL DE NOVENTA Y CUATRO MIL OCHOCIENTOS DÓLARES (U$S 94800) Y TRES MIL CIENTO CINCUENTA EUROS (EUR3150) FRACCIONADOS EN DOS FAJOS QUE SE OCULTABAN EN UN LATERAL EN DOBLE FONDO EN DICHO EQUIPAJE, UN TERCER FAJO EN UNA MANGA DE UN BUZO POLAR AZUL LA CUAL SE ENCONTRABA COCIDA Y TRES FAJOS EN SU CARTERA LA CUAL LLEVABA EN SU MANO. POR LO EXPUESTO Y AL EXCEDER LA SUMA DE DIEZ MIL DÓLARES (U$S 10.000) ESTABLECIDO EN EL DECRETO Nº 1606/2001 (MONTO PERMITIDO POR PERSONA) SE ESTABLECE COMUNICACIÓN A LAS 14:45 HS CON JUZGADO FEDERAL Nº 2 EN LA PERSONA DE SU SECRETARIO PENAL, QUIEN UNA VEZ INTERIORIZADO DE LA SITUACIÓN DISPUSO EQUE SE LABREN LAS ACTUACIONES DE RIGOR BAJO LA CARÁTULA "TENTATIVA DE CONTRABANDO", SE HAGA ENTREGA A AMBOS DEL DINERO PERMITIDO PARA EGRESAR DEL PAÍS, Y QUE EL RESTO SEA SECUESTRADO, SE LES HAGA FIJAR DOMICILIO LEGAL, SE EFECTUÉ LA ENTREGA DEL DINERO SECUESTRADO A PERSONAL DE LA AFIP CON REVISTA EN ESTE AEROPUERTO Y A LA FINALIZACIÓN DE LAS MISMAS LA CAUSANTE CONTINUÉ EN LIBERTAD. SE PROCEDIÓ A HACER ENTREGA DEL DINERO A LA SRA. PANDISCIA CARMELA Y AL SR. SERAFINI DONATO, EN UNA CANTIDAD DE VEINTE MIL DÓLARES (U$S 20.000), EL CUAL FUE CONTABILIZADO Y ENTREGADO ANTE LA PRESENCIA DE LOS TESTIGOS, REALIZÁNDOSE EL SECUESTRO DEL DINERO RESTANTE.</t>
  </si>
  <si>
    <t>AUTOPISTA RICHIERI A 1500 METROS APROXIMADAMENTE DEL INGRESO A LA TAQUILLA.</t>
  </si>
  <si>
    <t>SIENDO LA FECHA Y LA HORA ANTES MENCIONADA SE RECIBE COMUNICACION TELEFONICA DE LA COMISARIA 4º DEL BARRIO UNO, INFORMANDO SOBRE UN ACCIDENTE AUTOMOVILISTICO PRODUCIDO ENTRE UNA MOTOCICLETA Y TRACTOR. POR LO QUE EL OFICIAL VIROCHE SE APERSONA DELIMITANDO EL AREA DONDE SE ENCONTRABA LA MOTOCICLETA Y EL TRACTOR. QUE JUNTO AL TRACTOR SE ENCONTRABAN LOS DOS MASCULINOS. ACTO SEGUIDO SE HACE PRESENTE LA DRA. PERTENECIENTE AL SERVICIO MEDICO DE SANIDAD DE ESTE AEROPUERTO, QUIEN REALIZA EL TRASLADO DEL SR. VERNAZZA, CONDUCTOR DE LA MOTOCICLETA, HACIA EL HOSPITAL ZONAL DE EZEIZA. POR LO QUE SE CONVOCAN A DOS TESTIGOS. A CONTINUACION SE PROCEDE A REALIZAR LA COMUNICACION TELEFONICA CON EL JUZGADO INTERVINIENTE DISPONIENDO SE CARATULE LESIONES CULPOSAS, SE IDENTIFIQUEN A LOS DOS MASCULINOS, SE PROCEDA A LA INCAUTACION PREVENTIVA DE LOS VEHICULOS, QUEDANDO EN CARACTER DE DEPOSITARIO JUDICIAL, CIERRE Y ELEVACION DE LAS ACTUACIONES.</t>
  </si>
  <si>
    <t>BODEGA AERONAVE - PLATAFORMA - CINTA DE EQUIPAJES ARRIBOS</t>
  </si>
  <si>
    <t>UNA VEZ QUE EL DENUNCIANTE SE HACE DE SUS EQUIPAJES LOS CUALES FUERAN DESPACHADOS EN EL AEROPUERTO DE ORIGEN, NOTA EL FALTANTE DE UN PRECINTO DE SEGURIDAD EN UNO DE ELLOS. SE RETIRA DE ESTA AEROESTACIÓN Y CUANDO REALIZA LA APERTURA DEL MISMO EN EL HOTEL NOTA EL FALTANTE DE LOS ELEMENTOS. EL EQUIPAJE EN CUESTION ERA DEL TIPO CARRY-ON DE MEDIANAS DIMENSIONES, DE COLOR MARRÓN DESPACHADO BAJO MARBETE NUMERO 260938. SEGUIDAMENTE Y EN VIRTUD A LO SUCEDIDO SE HACE PRESENTE EN ESTA DEPENDENCIA DONDE RADICA LA CORRESPONDIENTE DENUNCIA.-</t>
  </si>
  <si>
    <t>DR. ERNESTO SEBASTIAN</t>
  </si>
  <si>
    <t>ARRIBOS INTERNACIONAL</t>
  </si>
  <si>
    <t>CONTROL DE SANIDAD DE FRONTERAS</t>
  </si>
  <si>
    <t>SIENDO LA FECHA Y LA HORA ANTES MENCIONADA ARRIBO EL VUELO DE MENCION DE LA FUERZA AEREA DE LA REPUBLICA BOLIVARIANA DE VENEZUELA, TRANSPORTANDO 48 PASAJEROS A BORDO QUIENES SERIAN UNA AVANZADA DE LA COMITIVA PRESIDENCIAL VENEZOLANA. UNA VEZ QUE LOS PASAJEROS REALIZARON LOS PERTINENTES TRAMITES MIGRATORIOS Y ADUANEROS SE RETIRARON DEL SECTOR RESTRINGIDO SIN HABER TOMADO INTERVENCION EN DICHA AERONAVE EL PERSONAL DE SANIDAD DE FRONTERAS,QUIEN SE LLAMARIA MARIANO GUERRA, DADO QUE EL FUNCIONARIO DE DICHO ORGANISMO SE HABIA RETIRADO DE LA AEROESTACION SIN DEJAR EN EL LUGAR UN REEMPLAZO. SIENDO LAS 2200 HORAS SE TOMO CONOCIMIENTO QUE EL SR. NICOLARI ULISES ALBERTO, DESPACHANTE DE LA AERONAVE SE DIRIGIO AL DOMICILIO PARTICULAR DEL JEFE DE SANIDAD DE FRONTERAS, DR. NAZARENO DI GIOVANNI A FIN DE CONSEGUIR LA FIRMA NECESARIA EN EL MANIFIESTO DE VUELO. SIENDO QUE ESTE NO ES EL PROCEDIMIENTO ACOSTUMBRADO PARA TAL DESPACHO, POR TAL MOTIVO SE EFECTUO CONSULTA AL JUZGADO ACTUANTE, ORDENANDO EL MISMO EL SECUESTRO DE LA DOCUMENTACION AL MOMENTO DE SER PRESENTADA EN LA OFICINA DE PLAN DE VUELO DE ESTE AEROPUERTO, COMO ASI TAMBIEN LA IDENTIFICACION DEL DESPACHANTE DE LA AERONAVE, EL LISTADO DE LOS PASAJEROS DEL VUELO, Y SE TRATE DE EVITAR DE QUE EL DESPACHANTE DE LA AERONAVE CONSIGA LA FIRMA DE SANIDAD DE FRONTERAS. POSTERIORMENTE SE PROCEDE A SECUESTRAR LA DOCUMENTACION LA CUAL SE COLOCA DENTRO DE UN SOBRE, A FIN DE SER ELEVADO A SEDE TRIBUNALICIA JUNTO CON LAS ACTUACIONES CORRESPONDIENTES.</t>
  </si>
  <si>
    <t>FAV 027</t>
  </si>
  <si>
    <t>EN CUMPLIMIENTO DE LA ORDEN DE SERVICIO Nº 0107/10 Y SIENDO LAS 01:40 HORA LOCAL ARRIBA AERONAVE AIR BUS A320, MATRICULA LV-BHU, PERTENECIENTE ALA EMPRESA LAN ARGENTINA COMO VUELO Nº 4428 Y EN CUYAS BODEGAS SE EMBARCAN UN TOTAL DE 100 CAJAS CON UN PESO DE 2200 KILOGRAMOS DE METAL-MTD- PERTENECIENTES ALA EMPRESA MINERA TRITON ARGENTINA. EL MENCIONADO VUELO DESPEGA DESDE ESTE AEROPUERTO SIENDO LAS 03:22 HORA LOCAL COMO VUELO Nº 4429 CON DESTINO EL AEROPUERTO MINISTRO PISTARINI.</t>
  </si>
  <si>
    <t>AEROPUERTO GRAL.MOSCONI-COMODORO RIVADAVIA</t>
  </si>
  <si>
    <t>POSICION Nº 7, DE LA PLATAFORMA MILITAR</t>
  </si>
  <si>
    <t>UNIDAD OPERACIONAL EL PALOMAR</t>
  </si>
  <si>
    <t>SIENDO LA HORA Y FECHA CONSIGNADA SE PROCEDE A IMPLEMENTAR EL CONTROL DE SEGURIDAD, SEGUN ORDEN DE SERVICIO Nº 896/10 DE LA URSA I DEL ESTE. SIENDO LAS 10:10 HS, ARRIBA LA SEÑORA PRESIDENTA EN HELICOPTERO, PARTIENDO A LAS 101:35 HS CON DESTINO A LA CIUDAD DE SAN JUAN EN EL AVION T-03 SIN NOVEDAD.</t>
  </si>
  <si>
    <t>INFORMO EN EL DIA DE LA FECHA SIENDO LAS 12:24 HORAS LOCAL ATERRIZA AERONAVE T03 TRASLADANDO A LA SEÑORA PRESIDENTA DE LA NACION ARGENTINA DOCTORA CRISTINA FERNANDEZ, LUEGO DE LA RECEPCION POR PARTE DEL SEÑOR GOBERNADOR DE LA PROVINCIA DE SAN JUAN, SE TRASLADA A LA LOCALIDAD DE ALBARDON EN EL HELICOPTERO DE LA GOBERNACION DE CORDOBA, MATRICULA LQ-CCZ, DANDO CUMPLIMIENTO A ORDEN DE SERVICIO Nº 081/2010 DE FECHA 30/11/2010 CONFECCIONADA POR ESTA UNIDAD, SIN NOVEDAD</t>
  </si>
  <si>
    <t>FK28-T03</t>
  </si>
  <si>
    <t>LUCCA, SANDRA</t>
  </si>
  <si>
    <t>JUZGADO DE GARANTIAS Nº 2 DE MAR DEL PLATA S/SILICTA DE DETENCIÓN</t>
  </si>
  <si>
    <t>16.047/2010</t>
  </si>
  <si>
    <t>AEROSTACIÓN / AERONAVE</t>
  </si>
  <si>
    <t>JURISDICCIÓN PSA</t>
  </si>
  <si>
    <t>EN EL DIA DE LA FECHA Y DE CONFORMIDAD A LA ORDEN DE SERVICIO Nº 031/2010 DE ESTA UNIDAD OPERACIONAL VINCULADA A LOS OFICIOS Nº 1927/2010 Y Nº 1943/2010 AMBOS DE FECHA 29-NOV-2010, SE PRESTO COLABORACIÓN A LA COMISIÓN POLICIAL INTEGRADA POR EL COMISARIO PEREZ, DARIO, EL OFICIAL INSPECTOR BRAVO, ALEJANDRO Y EL SUBTENIENTE MARTIN, WALTER; TODOS NUMERARIOS DE LA POLICIA DE LA PROVINCIA DE BUENOS AIRES, PARA EL TRASLADO VÍA AÉREA DEL DETENIDO PERALTA, FACUNDO DANILO - DNI Nº 36.780.172, QUIEN EMBARCO EN EL VUELO AR 1849 DESDE ESTA CIUDAD DE RÍO GRANDE HASTA EL AEROPUERTO INTERNACIONAL EZEIZA. POSTERIORMENTE DICHA COMITIVA POLICIAL TRASLADARÁ AL DETENIDO HASTA EL JUZGADO DE GARANTIAS Nº 2 DE LA CIUDAD DE MAR DEL PLATA.</t>
  </si>
  <si>
    <t>AR1849</t>
  </si>
  <si>
    <t>INFORMO EN EL DIA DE LA FECHA, SIENDO LAS 14:34 HORAS LOCAL, DESPEGA AERONAVE T03, TRASLADANDO A LA SEÑORA PRESIDENTA DE LA NACION DOCTORA CRISTINA FERNANDEZ, CON DESTINO A PALOMAR, FINALIZANDO EL OPERATIVO SIN NOVEDAD, DANDO CUMPLIMIENTO A ORDEN DE SERVICIO Nº 081/2010 DE FECHA 30/11/2010, COFECCIONADA POR ESTA UNIDAD</t>
  </si>
  <si>
    <t>SIENDO LA HORA Y FECHA CONSIGNADA SE PROCEDE A IMPLEMENTAR CONTROL DE SEGURIDAD POR EL ARRIBO DE LA SEÑORA PRESIDENTA DE LA NACION. SIENDO LAS 16:03 HS ARRIBA A ESTA UNIDAD EN EL AVION T-03, RETIRANDOSE DE ESTA UNIDAD A LAS 16:15 HS EN HELICOPTERO SIN NOVEDAD.</t>
  </si>
  <si>
    <t>JUZGADO FEDERAL Nº 2 DE SAN MARTIN</t>
  </si>
  <si>
    <t>YALJ</t>
  </si>
  <si>
    <t>JUAN MANUEL</t>
  </si>
  <si>
    <t>MARIANO F. AMADURI</t>
  </si>
  <si>
    <t>RIVEROS, SANTIAGO OMAR Y OTROS POR PRIVACION ILEGAL DE LA LIBERTAD, TORMENTOS, HOMICIDIOS, ETC.</t>
  </si>
  <si>
    <t>INFORMO QUE EN EL DIA DE LA FECHA, SE RECEPCIONO OFICIO JUDICIAL, SOLICITANDO SE REALIZEN TAREAS INVESTIGATIVAS TENDIENTES A DAR CON EL PARADERO DEL CIUDADANO NEDO OTTO CARDARELLI.</t>
  </si>
  <si>
    <t>INFORMO QUE A HORAS 16.00 SE IMPLEMENTA OPERATIVO DE SEGURIDAD SEGÚN ORDEN DE SERVICIO NRO 57/10, POR EL ARRIBO DEL EL SR. VICEPRESIDENTE DE LA NACION ING JULIO CESAR CLETO COBOS Y COMITIVA PRESIDENCIAL. SIENDO LAS 17.10 HS ARRIBA EL SR VICEPRESIDENTE EN AERONAVE FOCKER F 28 MATRICULA T 50 DE LA FUERZA AEREA ARGENTINA. RETIRANDOSE DE LA JURISDICCION A LAS 17.22 HS, SIN NOVEDAD.</t>
  </si>
  <si>
    <t>T 50</t>
  </si>
  <si>
    <t>ISLA DE TAXI</t>
  </si>
  <si>
    <t>MOMENTOS EN QUE SE ENCONTRABA CUMPLIENDO FUNCIONES LABORALES, CIRCULANDO EN LAS INMEDIACIONES DE ESTE MEDIO, EN DIRECCION A LA PERGOLA DE LA TERMINAL A, ESTACIONA SU VEHICULO TAXI CAPITAL CON DOMINIO EOS 227, EN EL SECTOR DENOMINADO ISLA, LUGAR EN DONDE OBSERVA A DOS PASAJERAS DEL GENERO FEMENINO, QUE SE ENCONTRABAN A UN COSTADO DE DOS VEHICULOS TAXI ESPERANDO ABORDAR ALGUNO, POR TAL MOTIVO EL DENUNCIANTE LE CONSULTA AL SEÑOR VILLETA SERGIO QUE SE ENCONTRABA EN EL LUGAR SI IBA A LLEVAR A LAS PASAJERAS, QUIEN DICE QUE NO PODIA LLEVARLAS. LUEGO LAS PASAJERAS SUBEN AL TAXI DEL DENUNCIANTE, Y EL SR. VILLETA LE DICE AL DENUNCIANTE QUE DEBIA DARLE UNA COMETA POR EL VIAJE QUE SE ESTABA LLEVANDO O DE LO CONTRARIO LE BAJARIA LAS PASAJERAS. A LO QUE EL DENUNCIANTE PROCEDE A BAJAR A LAS PASAJERAS YA QUE NO QUERIA DARLE NINGUNA COMETA. ES EN ESE MOMENTO QUE EL SEÑOR VILLETA LE APLICA DOS GOLPES DE PUÑOS SOBRE SU ROSTRO, RETIRANDOSE DEL LUGAR. EL DENUNCIANTE REALIZO EL VIAJE Y A POSTERIOR SE PRESENTO EN ESTA GUARDIA DE PREVENCION PARA REALIZAR DICHA DENUNCIA</t>
  </si>
  <si>
    <t>KOROL, PABLO MARTIN</t>
  </si>
  <si>
    <t>PRESUNTA INFRACCION LEY 23.737</t>
  </si>
  <si>
    <t>EN EL DIA DE LA FECHA DURANTE EL CONTROL DE RUTINA EFECTUADO A CARGA, CORREOS Y COURRIER QUE IBAN A SER EMBARCADOS EN EL VUELO SE LOGRA OBSERVAR QUE LA IMAGEN PROYECTADA POR EQUIPO DE RAYOS X DEL CONTENIDO DE DOS ENCOMIENDAS, LA PRIMERA IDENTIFICADA CON EP669135410 EN LA QUE FIGURA COMO REMITENTE GASTON KLIGAULLA O KLIGAUKA CON DOMICILIO EN LAVALLE N° 5234 Y DESTINATARIO KLARA RUEDA CON DOMICILIO EN MAIPU 863, 8H C.P. 1006 C.A.B.A. Y LA SEGUNDA IDENTIFICADA CON EP 719914812 EN LA QUE FIGURA COMO REMITENTE AMUGENAL CON DOMICILIO EN SAN MARTIN 945 OBERA MISIONES Y DESTINATARIO AMUGENAL CON DOMICILIO EN BARTOLOME MITRE 2264 CABA, PODRIA TRATARSE DE ESTUPEFACIENTE POR LO QUE SE COMUNICA AL JUZGADO FEDERAL EN TURNO, EN LA PERSONA DEL SECRETARIO QUIEN IMPUESTO DE LA NOVEDAD DISPONE SE INTERDICTEN LAS MISMAS Y SE TRASLADE A SEDE JUDICIAL EL DIA 1 DE DICIEMBRE DEL CORRIENTE AÑO PARA PROCEDER A LA APERTURA DE LAS MISMAS</t>
  </si>
  <si>
    <t>7582/10</t>
  </si>
  <si>
    <t>INFORMO QUE A HORAS 21:30 SE IMPLEMENTA OPERATIVO DE SEGURIDAD SEGÚN ORDEN DE SERVICIO NRO 57/10, POR EL EMBARQUE DEL EL SR. VICEPRESIDENTE DE LA NACION ING JULIO CESAR CLETO COBOS Y COMITIVA PRESIDENCIAL. SIENDO LAS 23:30 HS DESPEGA AER F 28 MATRICULA T 50 DE LA FUERZA AEREA ARGENTINA. SIN NOVEDAD.</t>
  </si>
  <si>
    <t>ESTACIONAMIENTO SACAN VAN</t>
  </si>
  <si>
    <t>SE PROCEDE A LA RETENCION DE TRES SACAS COLECTORAS DEL CORREO OFICIAL ARGENTINO SEGUN CONSTA EN ACTA DE RETENCION DE CARGAS N° 500/10, QUE ORIGINA LA PREVENCION SUMARIA 114/10. LA 1° SACA IDENTIFICADA CON MARBETE SLA0212360D555800VAE, PRECINTO N° E352554, CON UN PESO DECLARADO DE 12,600 KGS., CON DESTINO A LA CIUDAD DE USHUAIA. LA 2° SACA IDENTIFICADA CON MARBETE SLA0220309D505000, PRECINTO N° E280677, CON UN PESO DECLARADO DE 4,600 KGS., CON DESTINO A LA CIUDAD DE BUENOS AIRES. LA 3° SACA IDENTIFICADA CON MARBETE SLA0216496E555600CRD, PRECINTO N° E352593, CON UN PESO DECLARADO DE 17,000 KGS., CON DESTINO A LA CIUDAD DE COMODORO RIVADAVIA. LAS MISMAS ESTAN AMPARADAS EN GUIA AEREA N°9309077-1, DESPACHADAS A TRAVES DE LA EMPRESA DE CARGA AEREA JET PAQ. LAS RETENCIONES SE REALIZAN ANTE LA PRESUNCION QUE PUDIERAN CONTENER ALGUN ELEMENTO EN INFRACCION A LA LEY 23737 Y/O 22415, QUEDANDO LAS MISMAS CERRADAS Y PRECINTADAS EN GUARDA DE ESTA UOSP SEGUN LO COORDINADO CON LA DRA. MARIA ISABEL FALU, A CARGO DE LA SECRETARIA PENAL N°4, DEL JUZGADO FEDERAL DE SALTA N°2, A CARGO DEL DR. MIGUEL ANTONIO MEDINA. LA APERTURA SE REALIZARA EN PRESENCIA DEL PERSONAL DEL CORREO OFICIAL.</t>
  </si>
  <si>
    <t>CALLE E2</t>
  </si>
  <si>
    <t>PARKING TERMINAL B</t>
  </si>
  <si>
    <t>SIENDO LAS 19:30HS LA SRA. MARGARITA IRENE DRAZNIN DE DUEK ARRIBA A LA TERMINAL B DE ESTE AEROPUERTO INTERNACIONAL EN EL VUELO AR1303 Y A LAS 21:30HS SE DIRIGE HACIA SU VEHICULO EL CUAL SE ENCONTRABA EN EL PARKING B, MOMENTO EN EL QUE PERCATA EL FALTANTE DE UNA CARTERA EN LA QUE CONTENIA LOS ELEMENTOS SUSTRAIDOS. ACTO SEGUIDO SE APERSONA AL TURNO DE PREVENCION DE ESTA GUARDIA A EFECTOS DE RADICAR LA DENUNCIA.-</t>
  </si>
  <si>
    <t>GALVEZ ESCABIA, JUAN MANUEL S/PEDIDO DE EXTRADICION.</t>
  </si>
  <si>
    <t>507/10</t>
  </si>
  <si>
    <t>EN EL DIA DE LA FECHA, SE PRESENTA PERSONAL DEL SERVICIO PENITENCIARIO DE LA PROVINCIA DE SALTA, SARGENTO 1° JUAN CARLO RIVELLI Y ALCAIDE JOSE VARGAS, CON EL CIUDADANO DE NACIONALIDAD ESPAÑOLA, JUAN MANUEL GALVEZ ESCABIA PAS. N° BD420893 N, QUIEN POR OFICIO JUDICIAL N°2853/10 DEL JUZGADO FEDERAL DE SALTA N°2 SE ORDENA EL TRASLADO HACIA LA CIUDAD DE BUENOS AIRES PARA SU POSTERIOR EXTRADICION POR LA COMISION DEL DEPARTAMENTO INTERPOL DE LA POLICIA FEDERAL, COMPUESTA POR EL SARGENTO 1° RAUL OSCAR BARRETO C.P. 51546 (D.N.I. N° 16494486) Y CABO 1° RODRIGO HERNAN GOMEZ C.P. 20266 D.N.I. N°24384627) DANDO CUMPLIMIENTO A LA ORDEN DE SERVICIO Nº 059/10 DE LA UOESA DEL NORTE CON LA INTERVENCION DE 04 EFECTIVOS DE LA UOESA DEL NORTE, PARA SU RECEPCION, CUSTODIA Y EMBARQUE EN EL VUELO 1459 DE LA EMPRESA AEROLINEAS ARGENTINAS A HS 00:10 DEL 01/12/2010. SIN NOVEDAD.</t>
  </si>
  <si>
    <t>DENUNCIA EXTRAVIO PERMISO PERSONAL Nº 270447</t>
  </si>
  <si>
    <t>SECTOR HANGARES</t>
  </si>
  <si>
    <t>EN EL DIA DE LA FECHA 01 DE DICIEMBRE DEL 2010 SE HACE PRESENTE EN LAS OFICINAS DE IDENTIFICACION Y REGISTRO DE ESTA UOSP EL OFICIAL AYUDANTE PEDRO RAMON CANTERO NUMERARIO DE ESTA UNIDAD OPERACIONAL QUIEN SE IDENTIFICO CON EL DNI NUMERO 25281882, A FIN DE INFORMAR EL EXTRAVIO DEL PERMISO DE SEGURIDAD AEROPORTUARIO NUMERO 270447 CON VENCIMIENTO EL 27 DE ENERO DEL 2011 MANIFESTANDO QUE EL MISMO SE PRODUJO EL DIA 30 DE NOVIEMBRE DEL 2010 A LAS 10:00 HS APROXIMADAMENTE EN MOMENTOS DE REALIZAR UN RECORRIDO POR LA PLATAFORMA Y SECTOR DE HANGARES COMO CONSECUENCIA DEL FUERTE VIENTO REINANTE QUE PRODUJO EL DESPRENDIMIENTO DEL CITADO PERMISO SIN QUE PUDIERA RECUPERAR EL MISMO.</t>
  </si>
  <si>
    <t>NO PRECISA EL DIA NI EL LUGAR EXACTO DEL EXTRAVIO</t>
  </si>
  <si>
    <t>SIENDO EL DIA Y LA HORA ANTES MENCIONADA COMPARECE ANTE ESTA DEPENDENCIA POLICIAL EL SEÑOR VARGAS, SARGENTO 1º DE LA AGRUPACIÓN DE AVIACIÓN 601 DEL EJÉRCITO ARGENTINO, A FIN DE DENUNCIAR EL EXTRAVÍO DE SU PERMISO DE FACILITACION AEROPORTUARIO VENCIDO Nº 28667/2009, MANIFESTANDO QUE LO EXTRAVIO DENTRO DE LAS INSTALACIONES DEL AEROPUERTO DE SAN FERNANDO, NO PUDIENDO PRECISAR FECHA NI LUGAR EXACTO DEL EXTRAVIO.</t>
  </si>
  <si>
    <t>NO PRECISA EL DIA NI EL LUGAR EXACTO DEL EXTRAVIO.</t>
  </si>
  <si>
    <t>SIENDO LA HORA Y LA FECHA ANTES MENCIONADA COMPARECE ANTE ESTA DEPENDENCIA POLICIAL EL SEÑOR ROBLEDO, SARGENTO 1º DE LA AGRUPACIÒN DE AVIACIÓN 601 DEL EJÈRCITO ARGENTINO, A FIN DE DENUNCIAR EL EXTRAVÍO DE SU PERMISO DE FACILITACIÓN AEROPORTUARIO Nº 28667/2009 VENCIDO, DENTRO DE LAS INSTALACIONES DEL AEROPUERTO DE SAN FERNANDO, NO PUDIENDO PRECISAR LA FECHA NI LUGAR DEL EXTRAVIO.</t>
  </si>
  <si>
    <t>7587/10</t>
  </si>
  <si>
    <t>OFICINA TURNO POLICIAL PREVENTIVO</t>
  </si>
  <si>
    <t>SE PROCEDE A LA APERTURA DE TRES SACAS COLECTORAS DEL CORREO OFICIAL ARGENTINO, SEGÚN CONSTA EN ACTA DEJANDO CONSTANCIA Nº 0501/10, QUE FUERON RETENIDAS EL DIA 30 DE NOVIEMBRE DEL 2.010, SEGÚN CONSTA EN ACTA DE RETENCION DE CARGAS Nº 0500/10, DE LA PREVENCION SUMARIA Nº 114/10. LA 1ª SACA IDENTIFICADA CON MARBETE, SLA0212360D555800BAE, PRECINTO Nº E352554, CONTIENE UNA (04) CUATRO PIEZAS POSTALES, LA 1º IDENTIFICADA COMO EP655042213AR, RTTE: SRA. SILVANA IBAÑEZ, DOMICILIO Bº MANUEL BELGRANO M 108 - L5, FRAILE PINTADO, JUJUY, C.P. 9506 Y DESTINATARIO: SRA. SUSANA ROJAS, DOMICILIO INTEVU Nº 17, CASA Nº 113, C.P. 9410, USHUAIA, TIERRA DEL FUEGO, QUEDA RETENIDA, LA 2ª IDENTIFICADA COMO EP658933237AR, LA 3ª IDENTIFICADA COMO EP705772439AR Y LA 4ª IDENTIFICADA COMO EP7123219748AR, SON ENTREGADAS AL SR. ARIAS PARA SU REDESPACHO. LA 2ª SACA IDENTIFICADA CON MARBETE SLA0220309D505000BUE, PRECINTO Nº E280677, CONTIENE UNA PIEZA POSTAL IDENTIFICADA COMO EP691908647AR, RTTE. SR. MAMERTO ANZE, DOMICILIO AVDA. ESPAÑA NORTE Nº 03, C.P. 4650, LA QUIACA JUJUY, DESTINATARIO: SR. MIGUEL JOSE PAVIA, DOMICILIO LAS ARITAS Nº 2521, Bº LAMBERTUCHI, C.P. 1625, ESCOBAR B.S.AS., QUEDA RETENIDA. LA 3ª SACA IDENTIFICADA CON MARBETE SLA0216496E555600CRD, PRECINTO Nº E352593, CONTIENE TRES PIEZAS POSTALES, LA 1ª IDENTIFICADA COMO EP711446230AR, LA 2ª EP711447252AR Y LA 3ª IDENTIFICADA COMO EP712245716AR, SON ENTREGADAS AL SR. ARIAS PARA SU REDESPACHO. LAS MISMAS SE REALIZA ANTE LA PRESUNCION DE QUE PUDIERAN CONTENER ALGUN ELEMENTO EN INFRACCION A LA LEY 23.737 Y/O 22.415, QUEDANDO LAS MISMAS CERRADAS Y EN GUARDA EN ESTA UOSP. SE COMUNICO TELEFÓNICAMENTE AL JUZGADO INTERVINIENTE Y LAS APERTURAS SE REALIZARAN CON LA AUTORIZACIÓN DEL MAGISTRADO ACTUANTE.</t>
  </si>
  <si>
    <t>7585/10</t>
  </si>
  <si>
    <t>POLICÍA DE SEGURIDAD AEROPORTUARIA POSADAS MISIONES - S/SOLICITUD APERTURA DE ENCOMIENDA P/PTA. INFRACCIÓN LEY 23.737</t>
  </si>
  <si>
    <t>EXPTE 1-7642/10</t>
  </si>
  <si>
    <t>EQUIPO CONTROL DE EQUIPAJE, CARGAS Y CORREO</t>
  </si>
  <si>
    <t>GASTON KLIGAULLA O KLIGAUKA - LAVALLE Nº 5234 POSADAS - MISIONES</t>
  </si>
  <si>
    <t>KARLA RUEDA - MAIPU Nº 863 8º H CP 1006 C.A.B.A.</t>
  </si>
  <si>
    <t>PU Nº 7585 01/12/2010 DURANTE EL CONTROL DE RUTINA EFECTUADO A CARGA, CORREOS Y COURRIER QUE IBAN A SER EMBARCADOS EN EL VUELO SE LOGRA OBSERVAR QUE LA IMAGEN PROYECTADA POR EQUIPO DE RAYOS X DEL CONTENIDO DE DOS ENCOMIENDAS, LA PRIMERA IDENTIFICADA CON EP669135410 EN LA QUE FIGURA COMO REMITENTE GASTON KLIGAULLA O KLIGAUKA CON DOMICILIO EN LAVALLE N° 5234 Y DESTINATARIO KLARA RUEDA CON DOMICILIO EN MAIPU 863, 8H C.P. 1006 C.A.B.A. Y LA SEGUNDA IDENTIFICADA CON EP 719914812 EN LA QUE FIGURA COMO REMITENTE AMUGENAL CON DOMICILIO EN SAN MARTIN 945 OBERA MISIONES Y DESTINATARIO AMUGENAL CON DOMICILIO EN BARTOLOMÉ MITRE 2264 CABA, PODRÍA TRATARSE DE ESTUPEFACIENTE POR LO QUE SE COMUNICA AL JUZGADO FEDERAL EN TURNO, EN LA PERSONA DEL SECRETARIO QUIEN IMPUESTO DE LA NOVEDAD DISPONE SE INTERDICTEN LAS MISMAS Y SE TRASLADE A SEDE JUDICIAL EL DIA 1 DE DICIEMBRE DEL CORRIENTE AÑO PARA PROCEDER A LA APERTURA DE LAS MISMAS PU Nº 7598 01/12/2010 EL DÍA DE LA FECHA SE TRASLADA LAS ENCOMIENDAS INTERDÍCTADAS MEDIANTE ACTA ESTILO N° 350/2010 DE ESTA UNIDAD, A SEDE DEL JUZGADO INTERVINIENTE A FIN DE REALIZAR LA APERTURA JUDICIAL. PARA DICHA APERTURA LA ENCOMIENDA AMPARADA POR EP 669135410 SE IDENTIFICA COMO CAJA N°1 Y LA AMPARADA CON EP 719914812 SE LA IDENTIFICA COMO CAJA N° 2. SEGUIDAMENTE SE PROCEDE A LA APERTURA DE LA CAJA N°1 LA QUE ARROJA COMO RESULTADO: UNA CAJA TIPO DE ARCHIVO DE PLÁSTICO AZUL SELLADA CON CINTA DE EMBALAJE TRANSPARENTE LA CUAL SE PROCEDE A ABRIR ENCONTRÁNDOSE DENTRO DE LA MISMA: CINCO (5) PAQUETES ENVUELTOS EN FILM DE COCINA LOS QUE CONTIENEN UNA SUSTANCIA VEGETAL SIMILAR A LA MARIHUANA, QUE EL SER PESADOS ARROJARON UN PESO DE MIL CINETO TREINTA GRAMOS (1130 KGRS.), SE LOS ENUMERA DEL 1 AL 5, LUEGO SE PROCEDE A REALIZAR EL NARCOTEST ESCOGIÉNDOSE PARA ELLO AL AZAR UN PAQUETE IDENTIFICADO COMO EL N° 5, EL CUAL ARROJÓ RESULTADO POSITIVO PARA MARIHUANA, SE EXTRAEN MUESTRAS DE CADA PAQUETE COLOCÁNDOSE DENTRO DE DOS SOBRES DEBIDAMENTE CERRADOS E IDENTIFICADOS UNO PARA EL PERITO Y OTRO A LOS FINES DE SER NECESARIA UNA NUEVA PERICIA SE GUARDA EN CAJA FUERTE DEL TRIBUNAL. POSTERIORMENTE SE REALIZA LA APERTURA DE LA CAJA N°2 RESULTANDO UN CAJA QUE DICE CORREO ARGENTINO LA CUAL ES ABIERTA Y EN SU INTERIOR SE OBSERVAN SOBRES VARIOS DE PAPEL MADERA CERRADOS CONTENIENDO EN SU INTERIOR APARENTEMENTE PAPELES, DOS HOJAS TIPO REMITOS, Y TRES PAQUETES UNOS GRANDE Y DOS PEQUEÑOS DE ARPILLERA CONTENIENDO EN SU INTERIOR UNA SUSTANCIA VEGETAL TIPO DE YERBA Y TÉ QUE DICEN "LA OBEREÑA", LOS QUE ARROJARON RESULTADOS NEGATIVOS PARA MARIHUANA, POR LO QUE ESTA ÚLTIMA ENCOMIENDA DEBE SEGUIR SU RECORRIDO Y SER ACONDICIONADA COMO SE ENCONTRABA ANTE DE LA APERTURA, POR LO QUE MEDIANTE ACTA DE ESTILO N° 353/2010 DE ESTA UNIDAD SE REDESPACHA LA ENCOMIENDA AMPARADA POR EP 719914812 POR EL CORREO OFICIAL. EN TANTO LA CAJA N° 1, S.S. ORDENA QUE SE REALICE UN SEGUIMIENTO Y ENTREGA SIMULADA DE LA ENCOMIENDA EN CUESTIÓN Y DICHAS TAREA FUERON ORDENADAS POR EL JUZGADO ACTUANTE A LA UNIDAD OPERACIONAL DE CONTROL DEL NARCOTRÁFICO Y EL DELITO COMPLEJO IV DEL LITORAL POSADAS.</t>
  </si>
  <si>
    <t>PLATAFORMA I BRIGADA EL PALOMAR</t>
  </si>
  <si>
    <t>SIENDO LA HORA ANTES MENCIONADA SE PROCEDE A IMPLEMENTAR LAS MEDIDAS DE SEGURIDAD PERTINENTES A LA PARTIDA DE LA SRA. PRESIDENTE DE LA NACIÓN DRA. CRISTINA FERNÁNDEZ DE KIRCHNER Y COMITIVA CON DESTINO A LA CIUDAD DE PARANA. SIENDO LAS 18:05 HORAS DEL DÍA DE LA FECHA ARRIBA A ESTA AEROESTACIÓN EL PALOMAR LA SRA PRESIDENTE DE LA NACIÓN EN HELICOPTERO PRESIDENCIAL MATRICULA H-02, PARTIENDO A LAS 18:35 EN AERONAVE PRESIDENCIAL CON MATRICULA T-03 CON DESTINO A LA CIUDAD DE PARANA. FINALIZANDO EL OPERATIVO SIN NOVEDAD.-</t>
  </si>
  <si>
    <t>SIENDO LAS 19:20 HS ATERRIZA AERONAVE OFICIAL DE PRESIDENCIA, MATRICULA T 03 PROCEDENTE DE EL PALOMAR, CON LA PRESIDENTA DE LA NACION, SRA. CRISTINA FERNANDEZ DE KIRCHNER, DIRIGIENDOSE LA AERONAVE HACIA LA II BRIGADA AEREA</t>
  </si>
  <si>
    <t>JUZGADO DE INSTRUCCION Y CORRECCIONAL Nº 6 DE FORMOSA</t>
  </si>
  <si>
    <t>MARIA LAURA VIVIANA</t>
  </si>
  <si>
    <t>VIVIANA DEL CARMEN VILLALBA</t>
  </si>
  <si>
    <t>ABIGEATO -FAENA CLANDESTINA DE GANADO VACUNO-</t>
  </si>
  <si>
    <t>SECTOR ESTE DE LA JURISDICCIÓN AEROPORTUARIA</t>
  </si>
  <si>
    <t>EN MOMENTOS EN QUE SE REALIZABA UNA PATRULLA PERIMETRAL EXTERNA EN EL MÓVIL DE DOTACIÓN POR CAMINO VECINAL HACIA EL SECTOR ESTE Y APROXIMADAMENTE A UNOS 2000 METROS DE LA RUTA NACIONAL 11, LOS OFICIALES OBSERVAN DENTRO DEL PERÍMETRO EXTERNO GRAN CANTIDAD DE ANIMALES DE CARROÑA Y PERROS, POR LO QUE LOS FUNCIONARIOS SE ACERCAN AL LUGAR Y OBSERVAN QUE A UNOS CINCUENTA METROS APROXIMADAMENTE DEL ALAMBRADO PERIMETRAL RESTOS DE UN ANIMAL FAENADO Y UN NONATO, SE CONVOCA A DOS TESTIGOS HÁBILES, POR LO QUE SE DIO CONOCIMIENTO EN PRIMERA INSTANCIA AL JUZGADO FEDERAL Nº 1 DE FORMOSA Y POSTERIORMENTE SE DA INTERVENCIÓN AL JUZGADO DE INSTRUCCIÓN Y CORRECCIONAL Nº 6, DISPONIENDO A TRAVÉS DE SU SECRETARIA SE INICIEN LAS ACTUACIONES CORRESPONDIENTES Y SE REMITA LO ACTUADO Y LO SECUESTRADO A LA COMISARÍA JURISDICCIONAL. SE REALIZA ACTA DE PROCEDIMIENTO Nº 0032/2010 Y SE DA CUMPLIMIENTO A LO DISPUESTO POR SU SEÑORÍA.</t>
  </si>
  <si>
    <t>KOROL PABLO MARTIN</t>
  </si>
  <si>
    <t>POLICIA DE SEGURIDAD AEROPORTUARIA POSADAS MISIONES S/SOLICITUD APERTURA DE ENCOMIENDA P/PTA INFRACCION LEY 23737</t>
  </si>
  <si>
    <t>1-7642/10</t>
  </si>
  <si>
    <t>CALLE MAIPU Nº 863 8º H CABA</t>
  </si>
  <si>
    <t>EN EL DIA DE LA FECHA SE RECIBE OFICIO JUDICIAL Nº 1-6139 DEL JUZGADO ACTUANTE A LOS FINES DE DISPONER UNA ENTREGA SIMULADA DE UNA ENCOMIENDA SECUESTRADA EN ESTOS AUTOS Y LA DETENCIÓN DE LA PERSONA QUE RECIBA LA ENCOMIENDA AMPARADA POR EP-669135410 SIENDO EL REMITENTE GASTÓN KLIGAULLA O KLIGAUKA, DOMICILIADO EN LAVALLE Nº 5234-POSADAS, DESTINATARIA KLARA RUEDA CON DOMICILIO EN MAIPÚ Nº 863 8º H CP 1006 DE LA CIUDAD AUTÓNOMA DE BUENOS AIRES, QUIEN LUEGO DEBERÁ QUEDAR EN LIBERTAD SUPEDITADA/O A ULTERIORIDADES DE LA CAUSA, Y A EXCLUSIVA DISPOSICIÓN PREVIA CONSTITUCIÓN DE DOMICILIO, DEBIENDO LAS NOVEDADES SER COMUNICADAS EN FORMA INMEDIATA A ESTE TRIBUNAL. PARA DAR CUMPLIMIENTO A LAS TAREAS ORDENADAS POR EL JUZGADO ACTUANTE SE SOLICITA COLABORACION A URSA I DEL ESTE MEDIANTE MEMORANDO Nº122/2010 DE LA UOCN Y DC IV DEL LITORAL Y ELAVADAS POR MEMORANDO 1405/2010 DE LA URSA IV DEL LITORAL AL CEAC DIRECTOR.</t>
  </si>
  <si>
    <t>SIENDO LAS 21:05HS DESPEGA AERONAVE OFICIAL DE PRESIDENCIA, MATRICULA T03 CON DESTINO AEROPARQUE TRASLADANDO A LA PRESIDENTA DE LA NACION SRA CRISTINA FERNANDEZ DE KIRCHNER.</t>
  </si>
  <si>
    <t>JUZGADO FEDERAL DE MORON Nº 1</t>
  </si>
  <si>
    <t>AGUILAR JULIAN</t>
  </si>
  <si>
    <t>INFRACCION AL ART 194 DEL CPN</t>
  </si>
  <si>
    <t>AERONAVE DE LA EMPRESA ANDES LINEAS AEREA</t>
  </si>
  <si>
    <t>SIENDO LAS 13:00 HORAS, SE COMIENZA CON EL CONTROL DE INGRESO DE PASAJEROS DEL VUELO 572 DE LA EMPRESA ANDES LINEAS AEREAS, CON DESTINO A LA CIUDAD DE FLORIANÓPOLIS, EL CUAL TENIA COMO HORARIO DE PARTIDA 09:00 HORAS. SIENDO LUEGO DEMORADO POR LA EMPRESA MANIFESTANDO QUE EL MISMO NO SE ENCONTRABA AUTORIZADO A INGRESAR A LA REPUBLICA FEDERATIVA DE BRASIL Y QUE EL HORARIO DE PARTIDA SERIA CONFIRMADO. SIENDO LAS 13:30 HORAS APROXIMADAMENTE SE PROCEDE AL EMBARQUE DE LOS PASAJEROS A LA AERONAVE. SIENDO LAS 14:00 HORAS SE HACE PRESENTE A ESTA GUARDIA DE PREVENCIÓN EL COPILOTO DE LA AERONAVE SOLICITANDO PERSONAL POLICIAL, DEBIDO A QUE UN GRUPO DE PASAJEROS SE ENCONTRABAN EN ESTADO DE NERVIOSISMO Y A LOS EMPUJONES. ANTE ESTO Y A SOLICITUD DEL COMANDANTE DE LA AERONAVE SE DESEMBARCA LA MISMA. DÁNDOSE INTERVENCIÓN A LA JUDICATURA ACTUANTE</t>
  </si>
  <si>
    <t>GOIANIAS</t>
  </si>
  <si>
    <t>UOSP. METROPOLITANA</t>
  </si>
  <si>
    <t>SIEN DO LAS 19:50 HS, SE PROCEDE A IMPLEMENTAR CONTROL DE SEGURIDAD SEGUN ORDEN DE SERVICIO Nº 0902/10 PROCEDENTE DE LA URSA I DEL ESTE. SIENDO LAS 21:45 HS ARRIBA EN EL T-03 LA SEÑORA PRESIDENTA PROCEDENTE DE LA CIUDAD DE PARANA, SIENDO LAS 21:50 HS, SE RETIRA DE ESTA AEROESTACION EN EL H-01 SIN NOVEDAD. SIENDO LA 22:00 HS SE REPLIEGA EL OPERATIVO DE SEGURIDAD SIN NOVEDAD.</t>
  </si>
  <si>
    <t>SIENDO LA FECHA Y LA HORA ANTES MENCIONADA , MIENTRAS PERSONAL POLICIAL APOSTADO EN EL PUESTO DE INSPECCION Y CONTROL, SE ENCONTRABA CHEQUEANDO A LOS PASAJEROS, SE HACE PRESENTE UNA PERSONA DE SEXO MASCULINO, AL CUAL SE LE CONSULTO PREGUNTAS PARA AVERIGUAR SU DESTINO, MOTIVO DEL VIAJE, Y AVAL ECONOMICO PARA PODER ENTRAR AL REINO DE ESPAÑA. ESTA PERSONA RESPONDIO CON EVASIVAS Y LUEGO ADMITIO QUE NO TENIA CERTEZAS EN CUANTO A SU ALOJAMIENTO EN DESTINO, Y QUE NO POSEIA TARJETA DE CREDITO NI DE DEBITO. POR TAL MOTIVO EL RESPONSABLE DE PUESTO CONVOCA DOS TESTIGOS HABILES E INFORMA LA NOVEDAD AL JEFE DE TURNO.ESTE ULTIMO DISPONE DAR INTERVENCION AL JUZGADO DE TURNO, QUE A SU VEZ AUTORIZO LA REQUISA DEL MASCULINO, Y DEL EQUIPAJE, Y QUE SE UTILICE EL BODY-SCAN. TRAS SER SOMETIDO A ESTE CONTROL SE OBTIENE RESULTADO NEGATIVO CON RESPECTO A LA POSIBLE INGESTA DE CUERPOS EXTRAÑOS. POR LO CUAL EL JUZGADO ORDENO SE DEJE CONTINUAR AL PASAJERO CON SU VIAJE Y SE LABREN LAS ACTUACIONES CARATULADAS AVERIGUACION DE ILICITO.</t>
  </si>
  <si>
    <t>UX 022</t>
  </si>
  <si>
    <t>SIENDO LAS 13:00 HS APROXIMADAMENTE DEL DÍA DE LA FECHA DESPACHA UNA VALIJA DE TELA COLOR NEGRO TIPO CARRY-ON DE 60X40X30, CON CANDADO DE SEGURIDAD EN SU CIERRE PRINCIPAL, EN EL MOSTRADOR DE LA EMPRESA LAN, EN EL VUELO LA4216. AL RETIRAR SU EQUIPAJE DE LA CINTA EN DESTINO, OBSERVA QUE EL CANDADO YA NO ESTABA COLOCADO EN EL CIERRE, PROCEDE A ABRIR Y CONTROLAR EL CONTENIDO DEL MISMO DETECTANDO EL FALTANTE DEL ELEMENTO DENUNCIADO.</t>
  </si>
  <si>
    <t>LA4216</t>
  </si>
  <si>
    <t>SECTOR ARRIBOS DE LA TERMINAL C</t>
  </si>
  <si>
    <t>SIENDO LA FECHA Y LA HORA INDICADA, SE RECIBE COMUNICACIÓN TELEFÓNICA EN ESTA GUARDIA DE PREVENCIÓN DEL OFICIAL RODAS, JEFE DE TURNO DE LA UOSP IGUAZÚ, QUIEN INFORMA QUE HABRÍA EMBARCADO EN EL VUELO DE MENCION CON DESTINO A ESTE AEROPUERTO INTERNACIONAL UN PASAJERO DE SEXO MASCULINO DE NOMBRE MARIO RUBÉN ROJAS, QUIEN POSEÍA UNA PROHIBICIÓN DE SALIDA DEL PAÍS EN EL SISTEMA INFORMÁTICO DE LA DIRECCIÓN NACIONAL DE MIGRACIONES POR LO QUE LE FUE NEGADA LA SALIDA POR EL PASO FRONTERIZO DE ESA CIUDAD Y QUE LUEGO DE HABER EMBARCADO EN EL VUELO MENCIONADO LE HABRÍAN AVISADO QUE ADEMÁS DE LA PROHIBICIÓN MENCIONADA POSEÍA UNA ORDEN DE CAPTURA, SIN APORTAR MÁS DATOS SOBRE LA CAUSA. ANOTICIADO EL JUZGADO FEDERAL EN TURNO DISPUSO SE INICIEN ACTUACIONES DE RIGOR CARATULADAS: "AVERIGUACIÓN DE ILICITO", SE CURSE NOTA A LA DIRECCIÓN NACIONAL DE MIGRACIONES EZEIZA A LOS EFECTOS DE QUE INFORMEN SI EL PASAJERO POSEE RESTRICCIONES VIGENTES A NIVEL NACIONAL O INTERNACIONAL, Y EN CASO DE NO POSEER RESTRICCIONES SE LO DESAFECTE DE LAS ACTUACIONES. SE PROCEDE A CURSAR LA NOTA A LA D.N.M., OBTENIÉNDOSE COMO RESPUESTA QUE EL PASAJERO FUE NOTIFICADO QUE POSEE UNA PROHIBICIÓN DE SALIDA DEL PAÍS SOLICITADA POR EL JUZGADO DE INSTRUCCIÓN NUMERO 23, DE LA CIUDAD AUTÓNOMA DE BUENOS AIRES, SECRETARIA NUMERO 156, EN EL MARCO DEL SUMARIO NUMERO 37596/97. QUE SEGUIDAMENTE EL PASAJERO SE RETIRA DE ESTA DEPENDENCIA CON LA TOTALIDAD DE SUS EFECTOS PERSONALES Y DE VALOR Y CONFORME CON LOS TRATOS RECIBIDOS.</t>
  </si>
  <si>
    <t>PLATAFORMA- BODEGA - PATIO DE VALIJA</t>
  </si>
  <si>
    <t>SE PROCEDE A LA RETENCIÓN DE DOS SACAS COLECTORAS DEL CORREO OFICIAL, SEGÚN CONSTA EN ACTA DE RETENCIÓN DE CARGAS Nº 0502/10, QUE ORIGINA LA PREVENCIÓN SUMARIA 115/10, LA 1º SACA IDENTIFICADA CON MARBETE, SLA8726363D555900RGA, PRECINTO N° E281000, CON UN PESO DECLARADO DE 5,500 KGS, CON DESTINO LA CIUDAD DE RIO GRANDE, CONTENDRÍA DOS PIEZAS POSTALES, LA 2º SACA IDENTIFICADA CON MARBETE Nº SLA0216496E555600CRD, PRECINTO Nº E280945, CON UN PESO DECLARADO DE 17,00 KGS., CON DESTINO A LA CIUDAD DE COMODORO RIVADAVIA, CONTENDRIA TRES PIEZAS POSTALES, LAS MISMAS ESTÁN AMPARADAS EN GUÍA DE CARGA Nº 9309086-3, DESPACHADAS A TRAVÉS DE LA EMPRESA DE CARGA AÉREA JET PAQ. LA RETENCIÓN SE REALIZA ANTE LA PRESUNCIÓN QUE PUDIERAN CONTENER ALGÚN ELEMENTO EN INFRACCIÓN A LA LEY 23.737 Y/O 22.415, QUEDANDO LAS MISMAS CERRADAS Y PRECINTADAS EN GUARDA EN ESTA UOSP. SEGÚN LO COORDINADO CON LA DRA MARIA ISABEL FALU., A CARGO DE LA SECRETARIA PENAL Nº 4 DEL JUZGADO FEDERAL DE SALTA Nº 2 A CARGO DEL DR. MIGUEL ANTONIO MEDINA. LA APERTURA SE REALIZARÁ EN PRESENCIA DEL PERSONAL DEL CORREO OFICIAL</t>
  </si>
  <si>
    <t>MOMENTOS EN QUE SE ENCONTRABA EN EL VUELO LA 533 , OBSERVA QUE NO HABIA ESPACIO FISICO EN LOS COMPARTIMIENTOS SUPERIORES PARA COLOCAR SU EQUIPAJE DE MANO, DE MEDIANAS DIMENSIONES. POR TAL MOTIVO SE CONTACTA CON LA TRIPULACION QUE LE INFORMA QUE DEBIA SER DESPACHADA POR BODEGA DEBIDO A CUESTIONES DE SEGURIDAD. QUEDANDO DE COMUN ACUERDO QUE LA RETIRARIA EN SANTIAGO DE CHILE, UNA VEZ ARRIBADO AL AEROPUERTO DE CHILE SE DIRIGE A LA CINTA DE EQUIPAJE Y PERSONAL DE LAN LE INFORMA QUE LA MISMA YA HABIA SIDO TRASPASADA AL VUELO LA 4643 CON DESTINO A BUENOS AIRES. CUANDO ARRIBA A ESTE AEROPUERTO RECIBE SU EQUIPAJE DE MANO TOTALMENTE DAÑADO. MOTIVO POR EL CUAL SE ACERCA A ESTA DEPENDENCIA A LOS EFECTOS DE RADICAR LA DENUNCIA.</t>
  </si>
  <si>
    <t>LA 4643</t>
  </si>
  <si>
    <t>PARTIDAS TERMINAL A</t>
  </si>
  <si>
    <t>SIENDO APROXIMADAMENTE LAS 2300 HORAS DEL DÍA 01-DIC-10, SE HACE PRESENTE EN EL TURNO DE PREVENCIÓN DE ESTA UNIDAD, EL SR. ORMEÑO DANIEL, SUPERVISOR DE SEGURIDAD DE LA EMPRESA AA2000, MANIFESTANDO SU INTERÉS DE RADICAR DENUNCIA PENAL, DEBIDO A QUE PERSONAL A SU CARGO PERTENECIENTE A LA EMPRESA DE VIGILANCIA PRIVADA SASA, HABÍA HALLADO UNA CAMPERA EN EL SECTOR DE PÉRGOLA Nº 2 DE LA TERMINAL A, Y NO REALIZO EL ACTA DE HALLAZGO CORRESPONDIENTE, LLEVÁNDOSE DICHO OBJETO AL AREA DE DESCANSO QUE POSEE LA EMPRESA SASA EN LA TERMINAL B DE ESTE MEDIO. SE DIO INTERVENCIÓN EN EL HECHO A LA UFI EN TURNO, DISPONIENDO ACTUACIONES DE RIGOR. FINALIZADAS LAS MISMAS Y DE ACUERDO A LO DISPUESTO OPORTUNAMENTE POR LA UFI INTERVINIENTE, AL NO REGISTRAR EL CAUSANTE IMPEDIMENTO LEGAL DE LIBERTAD, SEGÚN LO INFORMADO POR INTERPOL DE PFA, SE PROCEDIÓ A LA LIBERACIÓN DEL MISMO.-</t>
  </si>
  <si>
    <t>POSICIÓN 02</t>
  </si>
  <si>
    <t>EN CUMPLIMIENTO DE LA ORDEN DE SERVICIO NRO. 0108/10 Y SIENDO LAS 01:25 HORAS LOCAL ARRIBA AIR BUS A320 PERTENECIENTE A LA EMPRESA LAN ARGENTINA, MATRICULA LV-BTM, COMO VUELO NRO. 4428 Y EN CUYAS BODEGAS 12, 13 Y 31 SE TRANSPORTAN UN TOTAL DE 149 CAJAS CON UN PESO DE 3278 KILOGRAMOS DE METAL - MTD - PERTENECIENTE A LA EMPRESA MINERA TRITÓN ARGENTINA, EL MISMO CON DESTINO EL EL AEROPUERTO JORGE NEWBERY DE CAPITAL FEDERAL SIENDO LAS 04:00 HORAS COMO VUELOS NRO. 4429.</t>
  </si>
  <si>
    <t>4M4429</t>
  </si>
  <si>
    <t>DANIEL ALMENAR</t>
  </si>
  <si>
    <t>RUIZ BENITO IVAN S/INFRACCION LEY 22.415</t>
  </si>
  <si>
    <t>RUIZ BENITO IVAN S/ TENTATIVA DE CONTRABANDO DE ESTUPAFACIENTES</t>
  </si>
  <si>
    <t>HOTEL CONDOR</t>
  </si>
  <si>
    <t>LA RIOJA N° 258- C.A.B.A</t>
  </si>
  <si>
    <t>EN EL DIA DE LA FECHA SE RECEPCIONA OFICIO JUDICIAL CON EL FIN DE REQUERIR TAREAS EN FORMA URGENTE CONSISTENTES EN QUE SE INSISTA A LOS RESPONSABLES DEL HOTEL CONDOR PARA QUE APORTE EL LISTADO DE LLAMADAS EFECTUADAS Y RECIBIDAS DESDE LA HABITACION N°115 EN LA CUAL SE ALOJO EL IMPUTADO EN AUTOS JUNTO CON EMILIO ARELLANO GOMEZ DURANTE SU ESTADIA EN NUESTRO PAIS, ENTRE EL DIA 20-10-10 Y 30-10-10</t>
  </si>
  <si>
    <t>POLICÍA DE SEGURIDAD AEROPORTUARIA POSADAS MISIONES S/SOLICITA APERTURA DE ENCOMIENDA P/PTA INFRACCIÓN LEY 23.737</t>
  </si>
  <si>
    <t>CALLE MAIPÚ N° 863 8° H C.A.B.A.</t>
  </si>
  <si>
    <t>SE RECIBE OFICIO JUDICIAL NRO. 1-6139 DEL JUZGADO ACTUANTE A LOS FINES DE DISPONER UNA ENTREGA SIMULADA DE LA ENCOMIENDA SECUESTRADA EN LOS AUTO DE MENCIÓN Y LA DETENCIÓN DE LA PERSONA QUE RECIBA LA ENCOMIENDA AMPARADA POR EP 669135410, SIENDO EL REMITENTE GASTÓN KLIGAULLA O KLIGAUKA, DOMICILIO EN LAVALLE NRO. 5234 POSADAS, DESTINATARIA KLARA RUEDA CON DOMICILIO EN MAIPU N° 863 8° H CP 1006 DE LA CIUDAD AUTÓNOMA DE BUENOS AIRES, QUIEN LUEGO DEBERÁ QUEDAR EN LIBERTAD SUPEDITADA A LA CAUSA, Y A EXCLUSIVA DISPOSICIÓN PREVIA CONSTITUCIÓN DE DOMICILIO, DEBIENDO LAS NOVEDADES SER COMUNICADAS EN FORMA INMEDIATA AL TRIBUNAL. PARA DAR CUMPLIMIENTO DE LA MEDIDA SE SOLICITA COLABORACIÓN A LA URSA I DEL ESTE MEDIANTE MEMORANDO N° 122/2010 UOCN Y DC IV Y ELEVADAS POR MEMORANDO 1405/2010 URSA IV DEL LITORAL AL CEAC DIRECTOR</t>
  </si>
  <si>
    <t>PLAYA DE CARGAS - FRENTE A TERMINAL DE CARGAS ARGENTINAS-TCA</t>
  </si>
  <si>
    <t>SIENDO APROXIMADAMENTE LAS 22.00 HORAS DEL DIA 25 DE NOVIEMBRE DE 2010, PERSONAL DE ESTA UNIDAD QUE SE ENCONTRABA EFECTUANDO UNA RECORRIDA POR LA PLATAFORMA OPERATIVA, EN PREVENCION DE DELITOS,EN CIRCUNSTANCIAS EN QUE RECORRIA EL SECTOR DENOMINADO PLAYA DE CARGAS, OBSERVAN QUE EN EL LUGAR DONDE SE DISPONEN LOS CARROS VACIOS, SE ENCONTRABA UNO DE LOS CARROS PERTENECIENTES A LA EMPRESA LAN CARGO, CONTENIENDO EN SU INTERIOR VARIOS BULTOS ENVUELTOS EN PAPEL FILM. LUEGO DE TRANSCURRIDO UN TIEMPO PRUDENCIAL DE VIGILANCIA, SE DA INTERVENCION AL JUZGADO DE TURNO, QUIEN DISPONE SE LABREN ACTUACIONES POR TENTATIVA DE HURTO.-</t>
  </si>
  <si>
    <t>ASIENTO 26 A</t>
  </si>
  <si>
    <t>LA DENUNCIANTE EMBARCO EN EL AEROPUERTO DE ORIGEN DEL VUELO CON UN BOLSO DE MANO Y UNA COMPUTADORA PORTATIL, OCUPANDO EL ASIENTO 26 A DE LA AERONAVE. OBSERVANDO DURANTE EL VUELO UNA PELICULA EN LA COMPUTADORA Y FINALIZADA LA MISMA , GUARDO LA COMPUTADORA EN SU BOLSO DE MANO. AL ARRIBAR A ESTE AEROPUERTO, SE RETIRA LUEGO DE EFECTUAR LOS TRAMITES CORRESPONDIENTES, TRANSPORTANDO CONSIGO SU BOLSO DE MANO. AL ARRIBAR A SU DOMICILIO PARTICULAR SE PERCATO DEL FALTANTE DE SU COMPUTADORA POR LO CUAL REALIZO UNA DENUNCIA TELEFONICA EN LA CUAL INDICO QUE EL ELEMENTO FALTANTE PODRIA ESTAR EN PODER DE LA PASAJERA DE SEXO FEMENINO QUE OCUPARA EL ASIENTO CONTIGUO AL SUYO DURANTE EL VUELO, APORTANDO LA DESCRIPCION DE LA MISMA Y REFIRIENDO QUE SE ENCONTRARÍA EN TRANSITO. POR LO CUAL SE OBTUVO AUTORIZACION JUDICIAL Y UNA VEZ LOCALIZADA LA PASAJERA EN CUESTION, QUIEN MANIFESTO SER Y LLAMARSE MARIA AMARO, SE REALIZÓ UN CONTROL PREVENTIVO SOBRE LAS PERTENENCIAS DE LA MISMA SIN DETECTARSE EL ELEMENTO FALTANTE. DE IGUAL MODO SE LLEVÓ SIMILAR PROCEDIMIENTO CON LOS RESTANTES PASAJEROS PROXIMOS A ABORDAR EL MISMO VUELO QUE ESA PASAJERA. NO DETECTÁNDOSE NOVEDADES. SEGUIDO A ELLO, LA DENUNCIANTE COMPARECIO ANTE ESTA INSTANCIA, AMPLIANDO Y FORMALIZANDO SU DENUNCIA.</t>
  </si>
  <si>
    <t>INFORMO QUE EN EL DIA DE LA FECHA Y EN CUMPLIMIENTO DE OS N° 04/2010 ORIGINADA POR EL CEAC Y OS N° 877/2010 GENERADA POR URSA I - DEL ESTE, SIENDO LAS 12.40 HS. ARRIBA A ESTE AEROPUERTO EN AERONAVE F-28 VUELO FA-878, MATRICULA T-50, CANCILLER DE GUATEMALA Y COMITIVA, CANCILLER DE PARAGUAY, COMITIVA DE MARRUECOS, COMITIVA DE MEXICO, EMBAJADOR DE ARGENTINA EN NICARAGUA Y OTROS ORGANISMOS, TOTALIZANDO 13 PASAJEROS, PROVENIENTES DE EZEIZA, RETIRANDOSE DE LA JURISDICCION VIA TERRESTRE A LAS 13.10 HS. SIN NOVEDADES.</t>
  </si>
  <si>
    <t>INFORMO QUE EN EL DIA DE LA FECHA Y EN CUMPLIMIENTO DE OS N° 04/2010 GENERADA POR EL CEAC Y OS N° 877/2010 GENERADA POR URSA I - DEL ESTE, SIENDO LAS 16.20 HS. ARRIBA A ESTE AEROPUERTO EN AERONAVE F-28 VUELO FA-878, MATRICULA T-50, PRESIDENTE DE PORTUGAL Y COMITIVA, CANCILLER DE COLOMBIA, EMBAJADOR DE URUGUAY, CANCILLERIA ARGENTINA, EMBAJADOR ARGENTINO EN COLOMBIA Y OTROS ORGANISMOS, TOTALIZANDO 17 PASAJEROS, PROVENIENTES DE EZEIZA, RETIRANDOSE DE LA JURISDICCION VIA TERRESTRE A LAS 16.35 HS. SIN NOVEDADES.</t>
  </si>
  <si>
    <t>INFORMO A HORAS 14:31 ARRIBO A ESTE AEROPUERTO PROCEDENTE DE LA CIUDAD DE CORDOBA DEL MINISTRO DEL INTERIOR RANDAZZO JULIO Y COMITIVA EN AVION OFICIAL T-03 IMPLEMENTANDOSE DISPOSITIVO DE SEGURIDAD RETIRANDOSE A HORAS 14.41 HS DE ESTA JURISDICCION SIN NOVEDAD.-</t>
  </si>
  <si>
    <t>SECO PILAR AMALIA - ESPINOSA FELICIANO S/EXCARCELACION</t>
  </si>
  <si>
    <t>1060/10B</t>
  </si>
  <si>
    <t>EN EL DIA DE LA FECHA SE DIO CUMPLIMIENTO A LA ORDEN DE SVC NRO. 305/2010 URSA IV, EFECTUANDOSE EL TRASLADO DE LOS DETENIDOS POR EL EXPTE. 1029/08B DESDE LA ALCAIDIA MAYOR - URII DE LA POLICIA DE SANTA FE HASTA LA SEDE DEL JUZGADO ACTUANTE. LUEGO DE LA FINALIZACION DE LOS TRAMITES JUDICIALES SE LOS TRASLADO NUEVAMENTE A DICHA ALCAIDIA MAYOR. ADEMAS SE DILIGENCIARON LOS OFICIOS NRO. 6178 EN DONDE SE DISPONE LA INMEDIATA LIBERTAD DE AMALIA PILAR SECO Y NRO. 6179 EN DONDE SE DISPONE LA INMEDIATA LIBERTAD DE FELICIANO ARMANDO ESPINOSA, PARA AMBOS CASOS SIEMPRE QUE NO PESARE ORDEN DE DETENCION, CAPTURA O CONDENA EMANADA DE AUTORIDAD COMPETENTE. SOBRE DAVID SERGIO DIAZ, EL JUZGADO ACTUANTE DISPUSO QUE CONTINUE DETENIDO POR LO QUE PERMANECE ALOJADO EN LA ALCAIDIA MAYOR.</t>
  </si>
  <si>
    <t>7614/10</t>
  </si>
  <si>
    <t>SE PROCEDE A LA APERTURA DE DOS SACAS COLECTORAS DEL CORREO OFICIAL, SEGÚN CONSTA EN ACTA DEJANDO CONTANCIA Nº 503/10,CORRESPONDIENTE A LA PREV. SUM. Nº 115/10, LA 1º SACA IDENTIFICADA CON MARBETE, SLA8726363D555900RGA, PRECINTO N° E281000, CONTIENE DOS PIEZAS POSTALES: LA 1ª IDENTIFICADA COMO EP059276345AR ES ENTREGADA AL SR. ARIAS PARA SU REDESPACHO Y LA 2ª PIEZA POSTAL IDENTIFICADA COMO EP719710332AR, RTTE: SRA. CARMEN GORDILLO, DOMICILIADA EN HONDURAS 360 SANTA ROSA DE LIMA, C.P. 4500, SAN PEDRO DE JUJUY, DEST: MAURO GORDILLO, DOMICILIADO EN 25 DE MAYO 1831, CASA Nº18,C.P.9420, RIO GRANDE, QUEDA RETENIDO LA 2º SACA IDENTIFICADA CON MARBETE Nº SLA0216496E555600CRD, PRECINTO Nº E280945, CONTIENE TRES PIEZAS POSTALES IDENTIFICADAS COMO: EP711446230AR, EP711447252AR Y EP712245716AR, LUEGO DE UNA SEGUNDA REVISION SON ENTREGADAS AL SR. ARIAS PARA SU REDESPACHO. LA RETENCIÓN SE REALIZA ANTE LA PRESUNCIÓN QUE PUDIERAN CONTENER ALGÚN ELEMENTO EN INFRACCIÓN A LA LEY 23.737 Y/O 22.415, QUEDANDO LA MISMA EN GUARDA EN ESTA UOSP. SE COMUNICO TELEFONICAMENTE AL JUZGADO INTERVINIENTE. Y LA APERTURA SE REALIZARÁ ECON LA AUTORIZACION DEL MAGISTRADO ACTUANTE.</t>
  </si>
  <si>
    <t>7632/10</t>
  </si>
  <si>
    <t>INFORMO QUE SIENDO LA HORA 18:31 DESPEGA AERONAVE OFICIAL T-03 TRASLADANDO AL SEÑOR MINISTRO DEL INTERIOR RANDAZZO JULIO FLORENCIO Y COMITIVA, CON DESTINO AEROPARQUE, SE IMPLEMENTO DISPOSITIVO DE SEGURIDAD SIN REGISTRAR NOVEDAD.-</t>
  </si>
  <si>
    <t>INFORMO QUE EN EL DIA DE LA FECHA Y EN CUMPLIMIENTO DE OS N° 04/2010 GENERADA POR EL CEAC Y OS N° 877/2010 GENERADA POR URSA I - DEL ESTE, SIENDO LAS 21.51 HS. ARRIBA A ESTE AEROPUERTO EN VUELO BOEING-737 700 MATRICULA N-8767, EL SR. PRESIDENTE DE REPUBLICA DOMINICANA D. LEONEL FERNANDEZ REYNA Y COMITIVA, PROVENIENTES DE SANTO DOMINGO, RETIRANDOSE DE LA JURISDICCION VIA TERRESTRE A LAS 22:05 HS. SIN NOVEDADES.</t>
  </si>
  <si>
    <t>NARDIELLO</t>
  </si>
  <si>
    <t>ANGEL</t>
  </si>
  <si>
    <t>DRA. MARIA GARELLO</t>
  </si>
  <si>
    <t>DESDE EL AEROPUERTO DE MENDOZA EL PLUMERILLO HASTA ESTE AEROPARQUE</t>
  </si>
  <si>
    <t>BODEGA DE LA AERONAVE-PLATAFORMA-CINTAS DE EQUIPAJES</t>
  </si>
  <si>
    <t>QUE EN EL DIA DE LA FECHA SIENDO LAS 12:40 HORAS APROXIMADAMENTE,EL DAMNIFICADO SE HIZO PRESENTE EN EL AEROPUERTO -EL PLUMERILLO- DE LA PCIA. DE MENDOZA, LUGAR EN EL CUAL DESPACHA SU EQUIPAJE EN MOSTRADORES DE LA EMPRESA LAN PARA EMBARCAR EN EL VUELO LA 4286, CON DESTINO A ESTE AEROPARQUE. UNA VEZ ARRIBADA EN ESTE AEROPARQUE, SE DIRIGIÓ A RETIRAR SU EQUIPAJE DESPACHADO CONSISTENTE EN ENA VALIJA TIPO CARRY-ON DE COLOR NEGRO, AGUARDANDO EN LA SALA DE ARRIBOS A2, PUDIENDO OBSERVAR QUE LOS DEMÁS PASAJEROS QUE HABÍAN ABORDADO EL MISMO VUELO YA HABÍAN RECIBIDO Y RETIRADO SUS EQUIPAJES DESPACHADAS, PASADOS VEINTE MINUTOS APROXIMADAMENTE OBSERVA QUE SALE DE LA CINTA TRANSPORTADORA DE EQUIPAJES SU VALIJA, MOTIVO POR EL CUAL PROCEDE A RETIRARLA MISMA Y AL APERTURARLA SE PERCATA DEL FALTANTE DE ALGUNAS DE SUS PERTENENCIAS.</t>
  </si>
  <si>
    <t>INFORMO QUE EN EL DIA DE LA FECHA Y EN CUMPLIMIENTO DE OS N° 04/2010 GENERADA POR EL CEAC Y OS N° 877/2010 GENERADA POR URSA I - DEL ESTE, SIENDO LAS 22.45 HS. ARRIBA A ESTE AEROPUERTO EN AERONAVE AIRBUS 310 MATRICULA T22-01, LOS REYES DE ESPAÑA S.A.R. JUAN CARLOS I Y SOFIA DE BORBON Y COMITIVA, PROVENIENTES DE RIO DE JANEIRO, RETIRANDOSE DE LA JURISDICCION VIA TERRESTRE A LAS 22:55 HS. SIN NOVEDADES.</t>
  </si>
  <si>
    <t>INFORMO QUE EN EL DIA DE LA FECHA Y EN CUMPLIMIENTO DE OS N° 04/2010 GENERADA POR EL CEAC Y OS N° 877/2010 GENERADA POR URSA I - DEL ESTE, SIENDO LAS 00.18 HS. ARRIBAN A ESTE AEROPUERTO EN AERONAVE F28 MATRICULA T50 PROCEDENTE DE EZEIZA LOS SIGUIENTES FUNCIONARIOS: CANCILLER DE RELACIONES EXTERIORES DE LA REPUBLICA DOMINICANA, SR MINISTRO TRONCOSO,EMBAJADOR DE LA REPUBLICA DOMINICANA, SR. BOGAER MARRA Y COMITIVA, ELMINISTRO DE RELACIONES EXTERIORES DE PORTUGAL, SR. JOAO CRAVINHO, EL VICE CANCILLER DE NICARAGUA, SR. VALCRACK, EL CANCILLER DE ECUADOR, SR RICARDOPATIÑO ROCA, LA PRESIDENTA DE COSTA RICA,. SRA LAURA CHINCHILLA, EL CANCILLER DE CUBA, SR. BRUNO RODRIGUEZ PARRILLA, EL JEFE DE GABINETE DE CUBA, SR. EMILIO LOSADA GARCIA, EL EMBAJADOR DE CUBA EN ARGENTINA, SR. JORGE LAMADRID MASARO, EL CANCILLER DE SURINAM, SR. WINSTON LACKIN Y COMITIVA, RETIRANDOSE DE LA JURISDICCION VIA TERRESTRE LOS NOMBRADOS A LAS 00:40 HS. SIN NOVEDADES.</t>
  </si>
  <si>
    <t>INFORMO QUE EN EL DIA DE LA FECHA Y EN CUMPLIMIENTO DE OS N° 04/2010 GENERADA POR EL CEAC Y OS N° 877/2010 GENERADA POR URSA I - DEL ESTE, SIENDO LAS 02.19 HS. ARRIBA A ESTE AEROPUERTO EN AERONAVE ECO 135 MATRICULA HP 1A EL SR PRESIDENTE DE PANAMA RICARDO ALBERTO MARTINELLI BERROCAL Y COMITIVA PROCEDENTES DE PANAMA RETIRANDOSE DE LA JURISDICCION VIA TERRESTRE A LAS 02 35 SIN NOVEDAD</t>
  </si>
  <si>
    <t>NAC DE 1º INST EN LO CRIMINAL DE INST Nº 11</t>
  </si>
  <si>
    <t>NECOL</t>
  </si>
  <si>
    <t>JUAN ANDRES</t>
  </si>
  <si>
    <t>DR. JUAN IGNACIO BANITO</t>
  </si>
  <si>
    <t>FRENTE A LA POSICION Nº 18</t>
  </si>
  <si>
    <t>MODULO DE LA EMPRESA AEROCOMERCIAL AUSTRAL.</t>
  </si>
  <si>
    <t>SIENDO EL DIA Y LA HORA ANTES MENCIONADA SE HACE PRESENTE UN EMPLEADO DE LA EMPRESA AUSTRAL, MANIFESTANDO QUE EL DÍA 18 DEL MES DE OCTUBRE DEL CORRIENTE AÑO, SIENDO LAS 20:45 HORAS, AL FINALIZAR SU JORNADA LABORAL, DEPOSITO LA CAJA DE HERRAMIENTAS QUE LA EMPRESA LE DA A SU CARGO EN LA JAULA DE HERRAMIENTAS. EL DÍA 02 DEL CORRIENTE, SIENDO LAS 00:30 HORAS, SE DIRIGIÓ A RETIRAR LA MISMA, NOTANDO QUE SE ENCONTRABA MUY LIVIANA Y QUE EL PERNO QUE TENIA LA BISAGRA SE ENCONTRABA DAÑADO Y DESPLAZADO DE SU LUGAR, POR LO QUE PROCEDIO A APERTURARLA, OBSERVANDO QUE LE FALTABAN VARIAS DE LAS HERRAMIENTAS, POR LO QUE RADICA EN ESTA GUARDIA DE PREVENCIÓN LA CORRESPONDIENTE DENUNCIA.</t>
  </si>
  <si>
    <t>AEROSTACION MILITAR AEROPARQUE.</t>
  </si>
  <si>
    <t>SIENDO LAS 22:15 DEL 02 DEL CORRIENTE MES Y AÑO, SE IMPLEMENTAN MEDIDAS DE SEGURIDAD, CON MOTIVO DEL ARRIBO EN AERONAVE PRESIDENCIAL MATRICULA TP 01, DEL SR. DON FELIPE CALDERÓN HINOJOSA, PRESIDENTE DE LOS ESTADOS UNIDOS MEXICANOS Y COMITIVA. EL CUAL ARRIBO EN LA AEROSTACIÓN MILITAR AEROPARQUE, SIENDO LAS 23:10 HORAS, RETIRÁNDOSE EN VEHICULO PARTICULAR, SIN NOVEDAD. SIENDO LAS 23:30 HORAS SE DA POR FINALIZADO EL OPERATIVO, COMISIONANDO A UN OFICIAL COMO CENTINELA DEL AVIÓN TP 01, EN LA AEROSTACIÓN MILITAR.</t>
  </si>
  <si>
    <t>SIENDO LAS 03:00 HORAS DEL 03 DE DICIEMBRE DEL CORRIENTE MES Y AÑO, SE IMPLEMENTAN MEDIDAS DE SEGURIDAD PARA EL ARRIBO EN AERONAVE MATRICULA FAE 691, DEL PRESIENTE DEL ECUADOR DON RAFAEL CORREA Y COMITIVA, PROVENIENTES DE ECUADOR. SIENDO LAS 04:40 HORAS ARRIBA EN LA AEROSTACIÓN MILITAR LA AERONAVE ANTES MENCIONADA, SIENDO LAS 04:55 HORAS SE RETIRA EL SR. PRESIDENTE EN VEHICULO PARTICULAR, SIN NOVEDAD. SIENDO LAS 05:15 HORAS SE DA POR FINALIZADO EL OPERATIVO.</t>
  </si>
  <si>
    <t>SIENDO LA FECHA Y LA HORA ANTES MENCIONADA EN MOMENTOS EN QUE PERSONAL POLICIAL APOSTADO EN EL ARRIBO DE TERMINAL C DE ESTE MEDIO, LE SOLICITA A UNA PERSONA DE SEXO MASCULINO VESTIDO CON EL UNIFORME CORRESPONDIENTE AL PERSONAL DE LA EMPRESA AEROLINEAS ARGENTINAS, QUE INTENTABA EGRESAR DE LA ZONA RESTRINGIDA HACIA LA ZONA PUBLICA DE LA MENCIONADA TERMINAL, QUE EXHIBA SU PERMISO PERSONAL DE SEGURIDAD AEROPORTUARIA, LA CUAL DEBERIA PORTAR DE MANERA VISIBLE EN SUS ROPAS. A TAL REQUERIMIENTO DICHA PERSONA EXHIBE UN PERMISO PERSONAL CON FECHA DE VENCIMIENTO 15-07-2010, POR LO QUE EL PERSONAL ACTUANTE LE INFORMA QUE SE LE LABRARA LA CORRESPONDIENTE INFRACCION POR PORTAR UN PERMISO VENCIDO. LUEGO DE CONVOCAR TESTIGOS HABILES TODOS LOS INVOLUCRADOS SE TRASLADAN HACIA ESTA GUARDIA DE PREVENCION, POR DISPOSICION DEL JEFE DE TURNO, PARA LABRAR LAS ACTUACIONES QUE CORRESPONDIERAN. UNA VEZ EN LA GUARDIA POLICIAL EL SR. RAMIREZ MANIFESTO QUE INGRESO A ZONA RESTRINGIDA UTILIZANDO UNA TARJETA DE EMBARQUE, Y QUE TAL MOVIMIENTO LE FUE INDICADO POR EL GERENTE DE OPERACIONES DE LA EMPRESA AEROLINEAS ARGENTINAS PARA QUE REALIZARA SUS FUNCIONES LABORALES, POR LO QUE SE ENTABLA COMUNICACION TELEFONICA CON EL JUZGADO INTERVINIENTE QUIEN DISPUSO SE CARATULEN LAS ACTUACIONES COMO AVERIGUACION DE ILICITO, SE SOLICITE EL REGISTRO FILMICO DEL SECTOR, Y SE IDENTIFIQUE AL EMPLEADO QUE PORTABA EL PERMISO VENCIDO.</t>
  </si>
  <si>
    <t>INFORMO QUE EN EL DIA DE LA FECHA Y EN CUMPLIMIENTO DE OS N° 04/2010 GENERADA POR EL CEAC Y OS N° 877/2010 GENERADA POR URSA I - DEL ESTE, SIENDO LAS 07:40 HS. ARRIBA A ESTE AEROPUERTO EN AERONAVE F-900 MATRICULA YV-2485 DE LA EMPRESA PETROLERA DE VENEZUELA S.A. EL SR. CANCILLER DE LA REPUBLICA BOLIVARIANA DE VENEZUELA D. NICOLAS MADURO MOROS Y COMITIVA PROCEDENTES DE CARACAS RETIRANDOSE DE LA JURISDICCION VIA TERRESTRE A LAS 07:50 SIN NOVEDAD.</t>
  </si>
  <si>
    <t>6460/10</t>
  </si>
  <si>
    <t>EN EL DIA DE LA FECHA SE HACE PRESENTE EN ESTA DEPENDENCIA POLICIAL EL SR. TOMAS HERMOGENES CARRIZO QUIEN SE IDENTIFICA CON D.N.I. 4.284.511 DE NACIONALIDAD ARGENTINO, EL CUAL SE PRESENTA A LOS EFECTOS DE CUMPLIMENTAR LA ORDEN EMANADA POR EL MAGISTRADO ACTUANTE, SE CERTIFICA LA PRESENCIA POR PARTE DEL FUNCIONARIO POLICIAL ACTUANTE EN ESTE ACTO.-</t>
  </si>
  <si>
    <t>INFORMO QUE EN EL DIA DE LA FECHA Y EN CUMPLIMIENTO DE OS N° 04/2010 GENERADA POR EL CEAC Y OS N° 877/2010 GENERADA POR URSA I - DEL ESTE, SIENDO LAS 11:10 HS. ARRIBA A ESTE AEROPUERTO EN AERONAVE F-28 MATRICULA T-54 EL SR PRESIDENTE DE GUATEMALA D. ALVARO COLOM CABALLEROS Y COMITIVA, PRIMER MINISTRO DE PORTUGAL, D. JOSE SOCRATES, PRIMER MINISTRO DE GUYANA D. SAMUEL HINDS, VICECANCILLER DE ITALIA, PRESIDENTE DEL BID, DELEGACION DE PERU Y EMBAJADOR DE ARGENTINA EN NICARAGUA, TOTALIZANDO 25 PASAJEROS PROCEDENTES DE EZEIZA RETIRANDOSE DE LA JURISDICCION VIA TERRESTRE A LAS 11:25 SIN NOVEDAD.</t>
  </si>
  <si>
    <t>Crio. DANIEL MORAGA</t>
  </si>
  <si>
    <t>NOTIFICACION P.S.A. de SALDAÑA Elvis Gabriel</t>
  </si>
  <si>
    <t>EN EL DIA DE LA FECHA Y SIENDO LAS 09:30 HS AL MOMENTO DEL PRE EMBARQUE DEL VUELO PRIVADO DEL AEROCLUB RIO GRANDE LV-WJB CON DESTINO FINAL EL AEROPUERTO DE RIO GALLEGOS SE HACE PRESENTE ANTE EL MOSTRADOR DE CONTROL MIGRATORIO RED LINCE UNA PERSONA DE SEXO MASCULINO QUIEN RESULTA SER Y LLAMARCE SALDAÑA ELVIS GRABRIEL - DNI - D.N.I. N°27.820.139, CIUDADANO SOBRE QUIEN RECAE UNA SOLICITUD DE PARADERO, SEGUN EL SISTEMA RED LINCE, BAJO EL REGISTRO Nº 265297, MOTIVO POR EL CUAL SE PROCEDE A NOTIFICAR AL CIUDADANO SALDAÑA ELVIS GRABRIEL DE LA MEDIDA JUDICIAL QUE RECAE SOBRE SU PERSONA, FIJANDO DOMICILIO REAL Y LEGAL EN HOUSEY Nº 755 DE LA CIUDAD DE RIO GRANDE TIERRA DEL FUEGO.</t>
  </si>
  <si>
    <t>LV-WJB</t>
  </si>
  <si>
    <t>SECO PILAR AMALIA.ESPINOSA FELICIANO S/EXCARCELACION</t>
  </si>
  <si>
    <t>JUZGADO FEDERAL</t>
  </si>
  <si>
    <t>EL DÍA 02DIC 2010 SE DIO CUMPLIMIENTO A LA ORDEN DE SVC NRO. 305/2010 URSA IV, EFECTUANDO EL TRASLADO DE LOS DETENIDOS POR EL EXPTE. 1029/08B DESDE LA ALCAIDIA MAYOR DE LA URII DE LA POLICIA DE LA PROVINCIA DE SANTA FE HASTA LA SEDE DEL JUZGADO ACTUANTE. LUEGO DE LA FINALIZACIÓN DE LOS TRAMITES JUDICIALES SE LOS TRASLADO NUEVAMENTE A DICHA ALCAIDIA MAYOR. ADEMAS SE DILIGENCIARON LOS OFICIOS NRO. 6178 EN DONDE SE DISPONE LA INMEDIATA LIBERTAD DE AMALIA PILAR SECO Y NRO. 6179 EN DONDE SE DISPONE LA INMEDIATA LIBERTAD DE FELICIANO ARMANDO ESPINOSA, PARA AMBOS CASOS SIEMPRE QUE NO PESARE ORDEN DE DETENCION, CAPTURA O CONDENA EMANADA DE LA AUTORIDAD COMPETENTE. SOBRE DAVID SERGIO DIAZ, EL JUZGADO ACTUANTE DISPUSO QUE CONTINUE DETENIDO POR LO QUE PERMANECE ALOJADO EN LA ALCAIDIA MAYOR.</t>
  </si>
  <si>
    <t>SRIO. AV. INF. ART. 282 CP -IMP LAPIANA FRANCISCO-</t>
  </si>
  <si>
    <t>EXPTE. 146.508/2008</t>
  </si>
  <si>
    <t>CIUDADES DE ROSARIO, GRANADERO BAIGORRIA Y/U OTRAS DE CORRESPONDER.</t>
  </si>
  <si>
    <t>SE RECIBE OFICIO NRO. 1213 DE LA FISCALIA FEDERAL NRO 1 A CARGO DE LA INSTRUCCION DONDE ORDENA DETERMINAR SI EN LOS DOMICILIOS VIVEN O HABITAN LAS PERSONAS QUE SE DETALLAN A CONTINUACIÓN: 1- PTE ROCA NRO. 4252 DE LA CIUDAD DE ROSARIO: FRANCISCO LAPIANA, Y SI EN ESE DOMICILIO FUNCIONA O NO UN ESTUDIO CONTABLE- 2-URDINARRAIN NRO. 7833 DE ROSARIO, JESUS PRADO- 3- DANTE ALIGHIERI ANTE ESQUINA CHILE, CONTIGUO A LA ALTURA CATASTRAL 2654 DE LA CIUDAD DE GRANADERO BAIGORRIA, JORGE Y JAQUELINE- Y 4- NANSEN NRO. 549 DE ROSARIO, ALCIRA PEREYRA. SE REALIZAN LAS TAREAS POR ORDEN DE SERVICIO NRO. 308/2010 URSA IV DEL LITORAL.</t>
  </si>
  <si>
    <t>SECTOR PERGOLA DE ARRIBOS</t>
  </si>
  <si>
    <t>SIENDO LAS 03:05 SE PRESENTÓ EN ESTA INSTRUCCIÓN UN PERSONA DE SEXO MASCULINO CHOFER DE UN VEHÍCULO REMIS, MANIFESTANDO QUE AL DEJAR A UN PAX EN LA PERGOLA SUPERIOR, RECIBE COMUNICACIÓN RADIAL DE SU CENTRAL, SOLICITANDO QUE BUSQUE A UN PASAJERO EN ESTE AEROPUERTO, MOMENTO EN EL CUAL ES INTERCEPTADO POR DOS TAXISTAS QUE, DESCENDIERON DE SUS VEHICULOS Y LO AGREDIERON. POR LO EXPUESTO SE COMISIONÓ A PERSONAL POLICIAL AL LUGAR DEL HECHO INDENTIFICANDO AL SUPUESTO AGRESOR, SOLICITANDOSELE QUE DESCENDIERA DE SU VEHICULO A LO QUE RESPONDIÓ POR LA NEGATIVA. POR LO EXPUESTO SE PROCEDIO A IMPEDIR LA SALIDA DEL VEHICULO OCUPADO POR EL SUPUESTO AGRESOR, HECHO QUE MOTIVO QUE UN NUMERO APROXIMADO DE QUINCE TAXISTAS OBSTACULIZARAN EL INGRESO Y EGRESO DE VEHICULOS A LA JURISDICCIÓN AEROPORTUARIA. ANTE TAL SITUACION SE ESTABLECIÓ COMUNICACIÓN CON EL JUZGADO FEDERAL DE TURNO QUIEN DISPUSO DISUADIR A LOS AUTORES A LOS FINES DE HACER CESAR EL CONFLICTO, Y RESPECTO DEL SUPUESTO AGRESOR SE LE DE PARTICIPACIÓN A LA JUSTICIA ORDINARIA. SIENDO LAS 03:30 HS SE INFORMO A LA UNIDAD JUDICIAL NRO 17 DE LO SUCEDIDO QUIEN DISPUSO SE TRASLADEN LOS INTERVINIENTES A LA UNIDAD JUDICIAL DE REFERENCIA A EFECTOS QUE SE LABREN LAS ACTUACIONES PERTINENTES. SIENDO LAS 03:40 HS SE HICIERON PRESENTES PERSONAL DE LA POLICIA DE CORDOBA PRESTANDO COLABORACIÓN EN LA PARTE PUBLICA DEL AEROPUERTO. SIENDO LAS 05:30HS APROXIMADAMENTE SE TRASLADARON LOS CAUSANTES JUNTO CON PERSONAL POLICIAL DE LA PROVINCIA DE CORDOBA A LA UNIDAD JUDICIAL MENCIONADA A EFECTOS DE INICIAR LA ACTUACIONES CORRESPONDIENTES. SIENDO LAS 05:40 HS SE NORMALIZO EL INGRESO AL AEROPUERTO.</t>
  </si>
  <si>
    <t>DENUNCIA RECIBIDA VIA MAIL</t>
  </si>
  <si>
    <t>PERSONAL POLICIAL DESTACADO EN EL PUESTO COMUNICACIONES, HIZO ENTREGA EN LA GUARDIA DE PREVENCION UNA IMPRESION EN PAPEL DE LO DESCRIPTO EN UN MAIL RECIBIDO EN LA CASILLA DE CORREO ELECTRONICO OFICIAL ASIGNADA A ESTA UNIDAD, PROCEDENTE DE LA CASILLA DE CORREO A NOMBRE DE BELEN DISTASIO, EL CUAL REZABA ...NO SE CUANDO EXACTAMENTE PERO DENTRO DE POCO VAN A LLEGAR DOS CIUDADANAS ARGENTINAS DESDE MEXICO DF LLAMADAS VERONICA GISELA RADICCI Y CECILIA MASSULO, CON MILES DE DOLARES ESCONDIDOS EN SU ROPA INTERIOR, VALIJAS, CARTERAS, TODO DIVIDIDO PARA QUE NO LAS DESCUBRAN, CUYO ORIGEN DEL DINERO JAMAS PODRAN JUSTIFICAR, EN MEXICO DF TRABAJAN COMO PROSTITUTAS PARA UN NARCO LLAMADO SONY QUIEN ESTUVO PRESO HASTA NO HACE MUHCO, VERONICA GISELA RADICCI FIGURA COMO TESTIGO EN UNA CAUSA DE TRATA DE PERSONAS Y NUNCA SE PRESENTO, PUEDEN AVERIGUAR MOVIMIENTOS DE ELLA AL EXTRANJERO SOBRE TODO A CHILE DONDE TIENE MONTADA UNA ORGANIZACION DE PROSTITUCION JUNTO CON MASSULO, CUYA MADRE, SILVIA MASSULO, ES CEREBRO DE ESTA BANDA DE CHICAS DE ROSARIO, BUENOS AIRES Y CORDOBA...POR FAVOR PIDO DISCRECION DE MI IDENTIDAD HAGO ESTO PORQUE UNA AMIGA MIA ESTA MERIDA Y LA QUIERO SACAR, GRACIAS Y SI NO ES EL EMAIL DONDE ACUDIR PIDO ME FACILITEN EL SITIO CORRECTO DONDE HACER LA DENUNCIA.....SIC. POR TAL MOTIVO SE DIO INTERVENCION AL JUZGADO FEDERAL DE TURNO QUIEN DISPUSO COMISIONAR PERSONAL POLICIAL HACIA LOS MOSTRADORES DE LAS COMPAÑIAS AEREAS, A LOS EFECTOS DE CONSTATAR SI LAS CIUDADANAS ANTES MENCIONADAS ESTARIAN ARRIBANDO AL TERRITORIO NACIONAL EN EL DIA DE LA FECHA Y SE INICIEN ACTUACIONES CARATULADAS AVERIGUACION DE ILICITO. UNA VEZ CORROBORADO QUE NO LLEGARIAN VUELOS PROCEDENTES DE LA CIUDAD DE MENCION, SE DIO AVISO A LA DNM PARA QUE ESTABLEZCA UNA ALERTA MIGRATORIA PARA DICHAS CIUDADANAS.</t>
  </si>
  <si>
    <t>SIENDO LAS 08:30 HORAS SE DA CUMPLIMIENTO A LA ORDEN DE SERVICIO 0911/10 DE LA URSA I DEL ESTE, IMPLEMENTANDO OPERATIVO DE SEGURIDAD CON MOTIVO DE LA PARTIDA DEL SEÑOR PRESIDENTE DE LOS ESTADOS UNIDOS DE MEXICO, QUIEN ARRIBO A ESTA AEROESTACION A LAS 12:30 HORAS EN UN VEHICULO OFICIAL, PARA LUEGO ABORAR Y PARTIR CON DESTINO A LA CIUDAD DE MAR DEL PLATA, EN LA AERONAVE MATRICULA TP-01, FINALIZANDO EL OPERATIVO DE SEGURIDAD A LAS 12:50 HORAS SIN NOVEDAD.-</t>
  </si>
  <si>
    <t>INFORMO QUE EN EL DIA DE LA FECHA Y EN CUMPLIMIENTO DE OS N° 04/2010 GENERADA POR EL CEAC Y OS N° 877/2010 GENERADA POR URSA I - DEL ESTE, SIENDO LAS 13:15 HS. ARRIBA A ESTE AEROPUERTO EN AERONAVE LJ-60 MATRICULA T-10 EL SR. CANCILLER HECTOR TIMERMAN Y COMITIVA, PROCEDENTES DE AEROPARQUE RETIRANDOSE DE LA JURISDICCION VIA TERRESTRE A LAS 13:20 SIN NOVEDAD.</t>
  </si>
  <si>
    <t>INFORMO QUE EN EL DIA DE LA FECHA Y EN CUMPLIMIENTO DE OS N° 04/2010 GENERADA POR EL CEAC Y OS N° 877/2010 GENERADA POR URSA I - DEL ESTE, SIENDO LAS 13:40 HS. ARRIBA A ESTE AEROPUERTO EN AERONAVE BOEING 757-200 MATRICULA TP-01 EL SR. PRESIDENTE DE MEXICO D. FELIPE DE JESUS CALDERON HINOJOSA Y COMITIVA, PROCEDENTES DE EZEIZA RETIRANDOSE DE LA JURISDICCION VIA TERRESTRE A LAS 13:50 SIN NOVEDAD.</t>
  </si>
  <si>
    <t>STAND DE LA EMPRESA MANUEL TIENDA LEON</t>
  </si>
  <si>
    <t>QUE EN EL DIA DE LA FECHA ARRIBO A ESTE AEROPUERTO INTERNACIONAL, LUEGO DE REALIZAR LOS TRAMITES MIGRATORIOS CORRESPONDIENTES AL INGRESO AL TERRITORIO NACIONAL, SE DIRIGE A RETIRAR SUS EQUIPAJES, DIRIGIENDOSE POSTERIORMENTE HACIA EL STAND DE MANUEL TIENDA LEON, UBICADO EN EL HALL PUBLICO DE LA TERMINAL A DE ESTE MEDIO, A LOS EFECTOS DE CONTRATAR UN SERVICIO DE CHARTER HACIA LA CIUDAD DE MAR DEL PLATA. EN CIRCUNSTANCIAS EN QUE SE ENCONTRABA AGUARDANDO SU VIAJE, TOMA ASIENTO EN EL SECTOR DE MENCION DONDE DEJA UNA CARTERA DE SU PERTENENCIA, SOBRE SU EQUIPAJE, UBICADO A SU LADO SOBRE UN CARRO TRANSPORTADOR DE EQUIPAJES. ACTO SEGUIDO LA DENUNCIANTE PROCEDE A QUITARSE UN ABRIGO QUE VESTIA EN LA OPORTUNIDAD DESCUIDANDO POR UNOS INSTANTES SUS PERTENECIAS, NOTANDO EL FALTANTE DE LA CARTERA ANTES MENCIONADA. SE DIO INTERVENCION A LA UFI DE TURNO.</t>
  </si>
  <si>
    <t>INFORMO QUE EN EL DIA DE LA FECHA Y EN CUMPLIMIENTO DE OS N° 04/2010 GENERADA POR EL CEAC Y OS N° 877/2010 GENERADA POR URSA I - DEL ESTE, SIENDO LAS 14:55 HS. ARRIBA A ESTE AEROPUERTO EN AERONAVE C-560, MATRICULA N-80-CK, EL SR. PRESIDENTE DE PARAGUAY D. FERNANDO LUGO Y COMITIVA, PROCEDENTES DE ASUNCION RETIRANDOSE DE LA JURISDICCION VIA TERRESTRE A LAS 15:15 HS. SIN NOVEDAD.</t>
  </si>
  <si>
    <t>7514/10</t>
  </si>
  <si>
    <t>9046/10</t>
  </si>
  <si>
    <t>CIUDAD DE COMODORO RIVADAVIA Y ALREDEDORES</t>
  </si>
  <si>
    <t>AMPLIANDO EL PR 7514/10, CON Nº DE REGISTRO PSA 5940, SE INFORMA QUE SE RECEPCIONO OFICIO JUDICIAL Nº 2964/10 MEDIANTE EL CUAL EL MAGISTRADO INTERVINIENTE, RECTIFICA EL OFICIO Nº 2873/10, SIENDO AHORA LA MISMA IDENTIFICADA CORRECTAMENTE COMO: CAUSA Nº 9046/10, CARATULADA "POLICIA DE SEGURIDAD AEROPORTUARIA S/ INV. PSTA. INF. LEY 23737"</t>
  </si>
  <si>
    <t>INFORMO QUE EN EL DIA DE LA FECHA Y EN CUMPLIMIENTO DE OS N° 04/2010 GENERADA POR EL CEAC Y OS N° 877/2010 GENERADA POR URSA I - DEL ESTE, SIENDO LAS 15:40 HS. ARRIBA A ESTE AEROPUERTO EN AERONAVE C-120, MATRICULA FAU-550, EL SR. PRESIDENTE DE URUGUAY D. JOSE MUJICA Y COMITIVA, PROCEDENTES DE MONTEVIDEO RETIRANDOSE DE LA JURISDICCION VIA TERRESTRE A LAS 15:47 HS. SIN NOVEDAD.</t>
  </si>
  <si>
    <t>SIENDO LAS 14:00 HORAS SE IMPLEMENTA OPERATIVO DE SEGURIDAD CON MOTIVO DE LA PARTIDA DE LA SRA. PRESIDENTE DE LA NACION, QUIEN ARRIBO A ESTA AEROESTACION A LAS 15:45 HORAS EN EL HELICOPTERO MATRICULA H-01, PARA LUEGO PARTIR HACIA LA CIUDAD DE MAR DEL PLATA A LAS 16:00 HORAS EN LA AERONAVE MATRICULA T-03. FINALIZANDO EL OPERATIVO DE SEGURIDAD A LAS 16:10 HORAS SIN NOVEDAD.-</t>
  </si>
  <si>
    <t>INFORMO QUE EN EL DIA DE LA FECHA Y EN CUMPLIMIENTO DE OS N° 04/2010 GENERADA POR EL CEAC Y OS N° 877/2010 GENERADA POR URSA I - DEL ESTE, SIENDO LAS 16:00 HS. ARRIBA A ESTE AEROPUERTO EN AERONAVE AIRBUS 319, MATRICULA VC-I-2101, EL SR. PRESIDENTE DE REPUBLICA FEDERATIVA DE BRASIL D. LUIZ INAZIO DA SILVA Y COMITIVA, PROCEDENTES DE SAN PABLO, RETIRANDOSE DE LA JURISDICCION VIA TERRESTRE A LAS 16:10 HS. SIN NOVEDAD.</t>
  </si>
  <si>
    <t>INFORMO QUE EN EL DIA DE LA FECHA Y EN CUMPLIMIENTO DE OS N° 04/2010 GENERADA POR EL CEAC Y OS N° 877/2010 GENERADA POR URSA I - DEL ESTE, SIENDO LAS 16:48 HS. ARRIBA A ESTE AEROPUERTO EN AERONAVE F-28, MATRICULA T-03, LA SRA. PRESIDENTA DE LA REPUBLICA ARGENTINA D. CRISTINA FERNANDEZ, MINISTRO DE GABINETE ANIBAL FERNANDEZ Y COMITIVA, PROCEDENTES DE AEROPARQUE RETIRANDOSE DE LA JURISDICCION EN HELICOPTERO H-02 A LAS 17:00 HS. SIN NOVEDAD.</t>
  </si>
  <si>
    <t>ROBERTO AGUSTIN VERA</t>
  </si>
  <si>
    <t>POLICIA DE SEGURIDAD AEROPORTUARIA POSADAS MISIONES - S/SOLICITUD APERTURA DE ENCOMIENDA P/PTA. INFRACCION LEY 23.737</t>
  </si>
  <si>
    <t>SUCURSAL CORREO ARGENTINO</t>
  </si>
  <si>
    <t>SAMUEL FEIJO Nº 555 - BARRACAS -C.A.B.A</t>
  </si>
  <si>
    <t>KLIPAUKA GASTON EZEQUIEL - LAVALLE Nº 5234 - POSADAS - MISIONES</t>
  </si>
  <si>
    <t>CLARA RUEDA - MAIPU Nº 863 - 8º H - CP 1006 - C.A.B.A</t>
  </si>
  <si>
    <t>EN CUMPLIMIENTO A ORDENES DE SERVICIO NROS. 1374/10 Y 1375/10, EN EL DIA DE LA FECHA, EN EL MARCO DE UNA ENTREGA SIMULADA DE UNA ENCOMIENDA SECUESTRADA EN AUTOS, SE PROCEDIO A LA DETENCION DE LA CAUSANTE EN MOMENTOS EN QUE SE HIZO PRESENTE A RETIRAR LA ENCOMIENDA Nº EP-669135410 EN CUESTION, EN EL CENTRO DE PAQUETERIA DEL CORREO ARGENTINO, PROCEDIENDOSE LUEGO DE ENTABLARSE COMUNICACION TELEFONICA CON LA JUDICATURA INTERVINIENTE A REALIZAR LA TOMA DE FICHAS DACTILOSCOPICAS Y CONSTITUCION DE DOMICILIO. SIENDO LAS 17.20 HORAS SE PROCEDE A LA LIBERACION DE LA MISMA SEGÚN LO ORDENADO POR EL JUZGADO ACTUANTE.-</t>
  </si>
  <si>
    <t>"PEREZ LUCHETTI, MARÍA FERNANDA S/EXTRAVÍO"</t>
  </si>
  <si>
    <t>INFORMO QUE EN EL DIA DE LA FECHA SE PRESENTO EN EL TURNO DE SEGURIDAD AEROPORTUARIA LA CIUDADANA PEREZ LUCHETTI MARIA FERNANDA, SUPERVISORA DE LA EMPRESA LAN ARGENTINA, INFORMANDO EL EXTRAVIO DE SU PERMISO PERSONAL AEROPORTUARIO DE SEGURIDAD PERMANENTE. SE LABRO LA CORRESPONDIENTE ACTA DE EXTRAVIO NRO. 16/10.-</t>
  </si>
  <si>
    <t>INFORMO QUE EN EL DIA DE LA FECHA Y EN CUMPLIMIENTO DE OS N° 04/2010 GENERADA POR EL CEAC Y OS N° 877/2010 GENERADA POR URSA I - DEL ESTE, SIENDO LAS 17:30 HS. ARRIBA A ESTE AEROPUERTO EN AERONAVE 767-200, MATRICULA FAC1202, EL SR. PRESIDENTE DE COLOMBIA D. JUAN MANUEL SANTOS Y COMITIVA, PROCEDENTES DE BOGOTA RETIRANDOSE DE LA JURISDICCION VIA TERRESTRE A LAS 17:45 HS. SIN NOVEDAD</t>
  </si>
  <si>
    <t>ACIAR</t>
  </si>
  <si>
    <t>RAUL A.</t>
  </si>
  <si>
    <t>PEPE DANIEL TOMAS-CASATARI MAURICIO ALEJANDRO-PEREZ GASTON GABRIEL Y BATALLA VANESA BEATRIZ S/INF. LEY 23.737.-</t>
  </si>
  <si>
    <t>INFORMO EN EL DÍA DE LA FECHA EN VUELO NRO LD 482 DE LA EMPRESA LÍNEAS AÉREAS DEL ESTADO, SE PROCEDIÓ AL ENVÍO BAJO GUÍA DE CARGA NRO 022-28004410, DE UN SOBRE CERRADO CONTENIENDO - "INCIDENTE DE SUSPENSIÓN DE JUICIO A PRUEBA DE GASTÓN GABRIEL PÉREZ" EN EL MARCO DE LA CAUSA Nº 2363 CARATULADA "PEPE, DANIEL TOMAS - CASATARI, MAURICIO ALEJANDRO - PÉREZ, GASTÓN GABRIEL Y BATALLA VANESA BEATRIZ S/INF. LEY 23737" CONFORME A LO ORDENADO MEDIANTE OFICIO POR EL SR. CONJUEZ DR. RAÚL A ACIAR DEL JUZGADO FEDERAL USHUAIA, SECRETARIA PENAL NRO 2 INTERINAMENTE A CARGO DEL DR. PABLO JUAN LEGA , A LA UOSP COMODORO RIVADAVIA PARA SER REMITIDO A LA EXCMA. CÁMARA FEDERAL DE APELACIONES DE COMODORO RIVADAVIA - PROVINCIA DE CHUBUT. ESTIMANDO EL ARRIBO DEL VUELO A LAS 21:00 HS.</t>
  </si>
  <si>
    <t>LD 482</t>
  </si>
  <si>
    <t>INFORMO QUE EN EL DIA DE LA FECHA Y EN CUMPLIMIENTO DE OS N° 04/2010 GENERADA POR EL CEAC Y OS N° 877/2010 GENERADA POR URSA I - DEL ESTE, SIENDO LAS 18:25 HS. ARRIBA A ESTE AEROPUERTO EN AERONAVE B-737, MATRICULA FAP-356, EL SR. PRESIDENTE DE PERU D. ALAN GARCIA Y COMITIVA, PROCEDENTES DE AEROPARQUE, RETIRANDOSE DE LA JURISDICCION VIA TERRESTRE A LAS 18:35 HS. SIN NOVEDAD.</t>
  </si>
  <si>
    <t>TRIBUNAL ORAL EN LO CRIMINAL Nº 19</t>
  </si>
  <si>
    <t>GARCIA MENDEZ</t>
  </si>
  <si>
    <t>FEDERICO KESZTI Y OTRO</t>
  </si>
  <si>
    <t>OFICINAS DE LA DIRECCION NACIONAL DE MIGRACIONES DE INGRESO AL TERRITORIO NACIONAL</t>
  </si>
  <si>
    <t>SIENDO LA HORA Y LA FECHA ANTES MENCIONADA SE RECIBE DE LA DNM A UN PASAJERO, SOBRE EL CUAL RECAE UNA ORDEN DE CAPTURA VIGENTE EN SU SISTEMA INFORMATICO, ACTO SEGUIDO SE REALIZAN LAS COMUNICACIONES TELEFONICAS PERTINENTES CON EL JUZGADO SOLICITANTE, QUIEN DISPONE QUE LA MEDIDA SE ENCUENTRA SIN EFECTO, DADO QUE EL DIA 18 DE ABRIL DE 2002 SE DECRETO LA ABSOLUCION DE LA MISMA. POR TAL MOTIVO SE PROCEDIO A LA SOLTURA DEL CAUSANTE.</t>
  </si>
  <si>
    <t>JUZGADO NACIONAL EN LO CRIMINAL DE INSTRUCCION Nº 42</t>
  </si>
  <si>
    <t>DR. JUAN PABLO CAROVANO</t>
  </si>
  <si>
    <t>NISINMAN PABLO Y OTROS S/ESTAFA</t>
  </si>
  <si>
    <t>OFICINA MIGRACIONES DE INGRESO AL TERRITORIO NACIONAL</t>
  </si>
  <si>
    <t>SIENDO LA HORA Y LA FECHA ANTES MENCIONADA SE RECIBE POR PARTE DE PERSONAL DE LA DIRECCION NACIONAL DE MIGRACIONES EN CALIDAD DE CUSTODIA AL PASAJERO EN CUESTION, QUIEN REGISTRA LA ORDEN DE CAPTURA VIGENTE. SEGUIDAMENTE SE PRODEDE A LA DETENCION PREVENTIVA DEL CAUSANTE N Y LUEGO SE MANTIENE COMUNICACION TELEFONICA CON EL JUZGADO SOLICITANTE , QUIEN INFORMA QUE LA CAPTURA DE MENCION NO SE ENCONTRABA VIGENTE, POR LO QUE SIENDO APROXIMADAMENTE LAS DIECINUEVE HORAS SE PROCEDE A DAR LA INMEDIATA LIBERTAD DEL CAUSANTE.</t>
  </si>
  <si>
    <t>SIENDO LA HORA MENCIONADA SE IMPLEMENTA OPERATIVO DE SEGURIDAD AEROPORTUARIA POR PARTIDA DEL PRESIDENTE DE ECUADOR SR. CORREA, EL MISMO ARRIBO EN VEHICULO PARTICULAR A LAS 21:34 HORAS Y PARTIO DE ESTA AEROESTACION EN AERONAVE MATRICULA FAE - 691 A LAS 22:05 HORAS, FINALIZANDO DICHO OPERATIVO A LAS 22:10 HORAS.</t>
  </si>
  <si>
    <t>INFORMO QUE EN EL DIA DE LA FECHA Y EN CUMPLIMIENTO DE OS N° 04/2010 GENERADA POR EL CEAC Y OS N° 877/2010 GENERADA POR URSA I - DEL ESTE, SIENDO LAS 22:45 HS. ARRIBA A ESTE AEROPUERTO EN AERONAVE B-727 MATRICULA FAE-001, EL SR. PRESIDENTE DE ECUADOR D. RAFAEL CORREA DELGADO Y COMITIVA, PROCEDENTE DE AEROPARQUE, RETIRANDOSE DE LA JURISDICCION VIA TERRESTRE A LAS 23:00 HS. SIN NOVEDAD.</t>
  </si>
  <si>
    <t>PRIVACION ILEGITIMA DE LA LIBERTAD, DESOBEDIENCIA JUDICIAL, ABUSO SEXUAL, RETENCIO INDEBIDA EN PERJUICIO DE TERESITA FRIAS-</t>
  </si>
  <si>
    <t>EN EL DÍA DE LA FECHA SIENDO LAS 20:00 HS, ME HAGO CARGO DEL TURNO POLICIAL NOCTURNO EN CARÁCTER DE JEFE DE TURNO CON LA NOVEDAD QUE NO SE PRESENTO EL OF. AY. EVER CABRILLANA, A TOMAR EL SERVICIO CORRESPONDIENTE, ANTE ESTA NOVEDAD SE REALIZAN REITERADAS LLAMADAS A SU CELULAR PARTICULAR DANDO RESULTADO NEGATIVO, SIENDO LA 21:20 HS SE LOGRA HACER CONTACTO CON SU SEÑORA ESPOSA, QUIEN MANIFIESTA QUE EL ESPOSO SE ENCUENTRA DETENIDO EN LA ALCALDÍA DE LA CIUDAD JUDICIAL DE SALTA - CENTRO DE CONTRAVENTORES . SE MANTUVO COMUNICACIÓN CON EL OF. CARDOZO DE DICHA DEPENDENCIA, A QUIEN SE LE CONSULTA SI EL CAUSANTE SE ENCUENTRA ALOJADO EN ESA, QUIEN MANIFIESTA QUE EL SR. CABRILLANA ESTA EN CALIDAD DE DETENIDO COMUNICADO, ALOJADO EN DICHA ALCALDÍA DESDE LAS 00:37 HS DEL DÍA DE LA FECHA, "POR PRIVACION ILEGITIMA DE LA LIBERTAD, DESOBEDIENCIA JUDICIAL, ABUSO SEXUAL, RETENCION INDEBIDA, EN PERJUICIO DE TERESITA FRIAS". INSTRUYENDO EN LA CAUSA EL JUZGADO DE INSTRUCCIÓN FORMAL 8ª NOMINACIÓN A CARGO DEL DR. FEDERICO DIEZ, SIENDO ESTA LA UNICA INFORMACION QUE PUEDE OTORGAR TELEFONICAMENTE, POR NO POSEER LAS ACTUACIONES CORRESPONDIENTES. ASIMISMO INFORMO QUE SE AMPLIARA EL PARTE CUANDO SE OBTENGAN MAS DATOS SOBRE LA CAUSA.</t>
  </si>
  <si>
    <t>PERGOLA NUMERO UNO</t>
  </si>
  <si>
    <t>QUE SIENDO LA HORA Y LA FECHA ANTES MENCIONADA EN MOMENTOS EN QUE LOS OFICIALES CARABAJAL Y ZALAZAR, MIENTRAS EFECTUABAN RECORRIDA POR EL SECTOR DE MENCION OBSERVAN Y SORPRENDEN AL CAUSANTE QUE SE ENCONTRABA OFRECIENDO SERVICIO DE TRANSPORTE PUBLICO A VIVA VOZ A PASAJEROS RECIEN ARRIBADOS, HABIENDO SIDO INFORMADO PREVIAMENTE Y EN REITERADAS OPORTUNIDADES QUE NO PUEDE EJERECER DICHA ACTIVIDAD, HACIENDO CASO OMISO A DICHA ADVERTENCIA. POR TAL MOTIVO SE PROCEDE A LA IDENTIFICACIÓN DEL MISMO Y SE LO TRASLADA AL SERVICIO MEDICO DE SANIDAD Y LUEGO A LA OFICINA DE CONTRAVENCIONES A LOS EFECTOS DE LABRAR LAS ACTUACIONES CONTRAVENCIONALES QUE CORRESPONDAN.</t>
  </si>
  <si>
    <t>TREMOUILLES, VILMA ROSA S/DENUNCIA</t>
  </si>
  <si>
    <t>EN CERCANIAS DE LA VIEJA ESTACION DE SERVICIO YPF Y DEL SECTOR DE TAQUILLA</t>
  </si>
  <si>
    <t>COMEDOR DE LA BASE DE REMISES DE LA EMPRESA TRANSFER</t>
  </si>
  <si>
    <t>QUE EL DIA Y HORA INDICADOS, LA DENUNCIANTE SE HACE PRESENTE MANIFESTANDO QUE MIENTRAS CUMPLIA SUS FUNCIONES LABORALES DE LIMPIEZA EN LA BASE DE REMISES DE LA EMPRESA TRANSFER, MAS PRECISAMENTE EN EL COMEDOR DE LA MISMA, UBICADA EN EL SECTOR INDICADO, SE HACE PRESENTE UN MASCULINO DE APROXIMADAMENTE UN METRO SETENTA CENTIMETROS DE ESTATURA, DE UNOS SESENTA AÑOS DE EDAD, DE TEZ BLANCA, DE CABELLO CORTO Y CANO, VESTIDO EN LA OPORTUNIDAD CON CAMISA BLANCA, PANTALON NEGRO Y ZAPATOS NEGROS, QUIEN SERIA APODADO PALITO. QUE TRAS MANTENER UNA BREVE CHARLA ENTRE AMBOS, EL MASCULINO LA ABRAZA REPENTINAMENTE E INTENTA BESARLA EN LOS LABIOS POR LA FUERZA. YA FINALIZADAS SUS FUNCIONES LA DENUNCIANTE SE DIRIGE A SU SUPERVISORA PARA COMENTARLE LO SUCEDIDO, ACONSEJANDOLE ESTA ULTIMA QUE RADIQUE LA DENUNCIA.</t>
  </si>
  <si>
    <t>SIENDO LAS 23:00 HS SE RECIBE COMUNICACIÓN DE LA DRA. LOPEZ VEGA, SECRETARIA DEL JUZGADO DE INSTRUCCIÓN DE SEGUNDA NOMINACIÓN A FIN DE CUMPLIMENTAR UN REQUERIMIENTO PARA REQUISAR A LA PASAJERA GREGORIA GALVAN LA CUAL ARRIBARÍA A ESTA AEROESTACIÓN PROCEDENTE DE LA CIUDAD DE USHUAIA, APORTANDO DATOS SOBRE EL ASPECTO FISICO Y VESTIMENTA DE LA MISMA AL MOMENTO DE EMBARCAR. POSTERIORMENTE, A LAS 23:30 SE RECIBE VÍA FAX LA ORDEN DE REQUISA, POR LO QUE SE PROCEDE A TRASLADAR A LA MENCIONADA A ESTA GUARDIA DE PREVENCIÓN REALIZANDO LA REQUISA ORDENADA E INFORMANDO LOS RESULTADOS AL JUZGADO DE ROGATORIAS A CARGO DEL DR. HECTOR CINA, DISPONIENDO LA JUDICATURA SECUESTRO DE DIVISAS Y POSTERIOR ENVIO AL JUZGADO QUE INSTRUYE LA MENCIONADA CAUSA Y ELEVACIÓN DE TODO LO ACTUADO AL MISMO. A CONTINUACIÓN, SIENDO NOTIFICADA DE LA CAUSA, SE RETIRA POR SUS PROPIOS MEDIOS DE ESTA DEPENDENCIA, SEGÚN LO ORDENADO POR EL JUZGADO DE ROGATORIA.</t>
  </si>
  <si>
    <t>INFORMO QUE EN EL DIA DE LA FECHA Y EN CUMPLIMIENTO DE OS N° 04/2010 ORIGINADA POR EL CEAC Y OS N° 877/2010 GENERADA POR URSA I - DEL ESTE, SIENDO LAS 07:50 HS. ARRIBA A ESTE AEROPUERTO EN AERONAVE G4, MATRICULA LV-BYC, PRESIDENTE DE LA REPUBLICA DEL SALVADOR D. MAURICIO FUNES Y COMITIVA, PROVENIENTES DEL AEROPARQUE J-NEWBERY , RETIRANDOSE DE LA JURISDICCION VIA TERRESTRE A LAS 08:00 HS. SIN NOVEDADES</t>
  </si>
  <si>
    <t>INFORMO QUE EN EL DIA DE LA FECHA Y EN CUMPLIMIENTO DE OS N° 04/2010 ORIGINADA POR EL CEAC Y OS N° 877/2010 GENERADA POR URSA I - DEL ESTE, SIENDO LAS 08:05 HS. ARRIBA A ESTE AEROPUERTO EN AERONAVE F900, MATRICULA FAB-001, EL SR. VICEPRESIDENTE DE BOLIVIA D. A. GARCIA LINERA Y COMITIVA, PROVENIENTES DE LA PAZ , RETIRANDOSE DE LA JURISDICCION VIA TERRESTRE A LAS 08:12 HS. SIN NOVEDADES.</t>
  </si>
  <si>
    <t>INFORMO QUE EN EL DIA DE LA FECHA Y EN CUMPLIMIENTO DE OS N° 04/2010 ORIGINADA POR EL CEAC Y OS N° 877/2010 GENERADA POR URSA I - DEL ESTE, SIENDO LAS 07:55 HS. PARTE DE ESTE AEROPUERTO EN AERONAVE L35, MATRICULA T-10, EL SR. PRIMER MINISTRO DE GUYANA D. M. SAMUEL HINDS Y EL SR. CANCILLER DE SURINAM CON SUS RESPECTIVAS COMITIVAS, CON DESTINO EZEIZA SIN NOVEDADES.</t>
  </si>
  <si>
    <t>INFORMO QUE EN EL DIA DE LA FECHA Y EN CUMPLIMIENTO DE OS N° 04/2010 ORIGINADA POR EL CEAC Y OS N° 877/2010 GENERADA POR URSA I - DEL ESTE, SIENDO LAS 09:00 HS. ARRIBA A ESTE AEROPUERTO EN AERONAVE G4, MATRICULA FAC 911, EL SR. PRESIDENTE DE CHILE D. SEBASTIAN PIÑERA ECHENIQUE Y COMITIVA, PROVENIENTES DE SANTIAGO DE CHILE, RETIRANDOSE DE LA JURISDICCION VIA TERRESTRE A LAS 09:20 HS. SIN NOVEDADES.</t>
  </si>
  <si>
    <t>REBELDIA DEFRAUDACION POR ADMINISTRACION FRAUDULENTA</t>
  </si>
  <si>
    <t>55.690/01</t>
  </si>
  <si>
    <t>SIENDO LA HORA Y LA FECHA ANTES MENCIONADA SE RECEPCIONA POR PARTE DE PERSONAL DE LA DIRECCION NACIONAL DE MIGRACIONES AL PASAJERO DE MENCION SOBRE QUIEN PESA LA ORDEN DE CAPTURA EN VIRTUD A ELLO Y LUEGO DE NO PODER ENTABLAR COMUNICACION TELEFONICA CON EL JUZGADO SOLICITANTE SE PROCEDE A LA DETENCION PREVENTIVA DEL CAUSANTE. Y SE MANTIENE COMUNICACION TELEFONICA CON EL DR. BASSO PERTENECIENTE AL JUZGADO FEDERAL EN TURNO A CARGO DEL JUEZ ALBERTO P. SANTA MARINA, A QUIEN SE LE INFORMA SOBRE LA CAPTURA DE MENCION. INDICANDO EL DR. BASSO QUE EN CASO DE NO PODER ENTABLAR COMUNICACION CON EL JUZGADO SOLICITANTE, SE REALICE NUEVA COMUNICACION CON ESA JUDICATURA. QUE SIENDO APROXIMADAMENTE LAS OCHO HORAS SE MANTIENE NUEVA COMUNICACION CON EL DR. BASSO QUIEN INDICA QUE ESA JUDICATURA NO PUEDE IMPARTIR DIRECTIVAS Y QUE SE ARBITREN LOS MEDIOS NECESARIOS A EFECTOS DE ENTABLAR COMUNICACION CON EL JUZGADO SOLICITANTE, A EFECTOS DE RECIBIR DIRECTIVAS.SIENDO LAS 0330 HORAS SE PRESENTA EN LA GUARDIA DE PREVENCION LA NOVIA DEL CAUSANTE LA CUAL HACE ENTREGA DE UNA COPIA DE CEDULA DE NOTIFICACION DIRIGIDO AL CAUSANTE EMANADO POR EL JUZGADO SOLICITANTE DE LA ORDEN RESTRICTIVA EL CUAL INFORMA QUE CON FECHA 15/10/04 LA CAUSA 55690/01 SE ENCUANTRA EXTINGUIDA POR PRESCRIPCION Y SE DICTA EL SOBRESEIMIENTO DE LA MISMA EN VIRTUD AL ART. 336 INC. 1 DEL CPC. MANTIENE COMUNICACION TELEFONICA CON EL DR. SCHABAS MADUEÑO SECRETARIO DEL JUZGADO INTERVINIENTE QUIEN NOS INFORMA QUE SE LE DE LA INMEDIATA LIBERTAD, YA QUE NO POSEE RESTRICCION VIGENTE ALGUNA.</t>
  </si>
  <si>
    <t>RODOLFO MARIO MIQUELARENA</t>
  </si>
  <si>
    <t>MIENTRAS SE REALIZABA CONTROL DE CARGA Y CORREO ARRIBADO EN EL EQUIPO DE RAYOS X DEL SECTOR DE PREEMBARQUE SE DETECTA MATERIAL ORGÁNICO, ACTO SEGUIDO SE MANTIENE COMUNICACIÓN CON EL JUZGADO FEDERAL DE RAWSON, EL CUAL ORDENA LA APERTURA DE LA SACA DE CORREO IDENTIFICADA CON ROTULO EXPRESO SLA 0172600E555500REL, CONTENIENDO EN SU INTERIOR UNA ENCOMIENDA CON UN PANTALÓN, DOS CAMISAS, UN PULÓVER UN CHALECO Y 958 GRAMOS DE APARENTEMENTE HOJAS DE COCA DISPUESTA EN CUATRO BOLSAS COMPACTADAS. ACTO SEGUIDO SE MANTIENE NUEVAMENTE COMUNICACIÓN CON EL TITULAR DEL JUZGADO PARA INFORMARLE DE LOS RESULTADOS OBTENIDOS EL CUAL ORDENA QUE LA ENCOMIENDA SEA CERRADA Y ENTREGADA AL PERSONAL DE JET PAQ, CON LA CORRESPONDIENTE COPIA DE LA ACTUACIÓN POLICIAL, PARA CONSTANCIA DE LO ACTUADO.</t>
  </si>
  <si>
    <t>INFORMO QUE EN EL DIA DE LA FECHA Y EN CUMPLIMIENTO DE OS N° 04/2010 GENERADA POR EL CEAC Y OS N° 877/2010 GENERADA POR URSA I - DEL ESTE, SIENDO LAS 12:50 ARRIBA VIA TERRESTRE A ESTA JURISDICCION EL SR. PRESIDENTE DE REPUBLICA FEDERATIVA DE BRASIL D. LUIZ INAZIO DA SILVA Y COMITIVA, PARTIENDO EN AERONAVE AIRBUS 319, MATRICULA VC-I-2101, CON DESTINO A BRASILIA A LAS 13:25 HS. SIN NOVEDAD.</t>
  </si>
  <si>
    <t>INFORMO QUE EN EL DIA DE LA FECHA Y EN CUMPLIMIENTO DE OS N° 04/2010 GENERADA POR EL CEAC Y OS N° 877/2010 GENERADA POR URSA I - DEL ESTE, SIENDO LAS 13:45 HS. ARRIBA VIA TERRESTRE A ESTA JURISDICCION EL SR. PRESIDENTE DE PERU D. ALAN GARCIA Y COMITIVA, PARTIENDO EN AERONAVE B-737, MATRICULA FAP-356, CON DESTINO A LIMA A LAS 14:15 HS. SIN NOVEDAD.</t>
  </si>
  <si>
    <t>INFORMO QUE EN EL DIA DE LA FECHA Y EN CUMPLIMIENTO DE OS N° 04/2010 GENERADA POR EL CEAC Y OS N° 877/2010 GENERADA POR URSA I - DEL ESTE, SIENDO LAS 15:46 HS. ARRIBA VIA TERRESTRE A ESTA JURISDICCION EL SR. PRESIDENTE DE COLOMBIA D. JUAN MANUEL SANTOS Y COMITIVA, PARTIENDO EN AERONAVE 767-200, MATRICULA FAC1202, CON DESTINO HACIA BOGOTA A LAS 16.10 HS. SIN NOVEDAD.</t>
  </si>
  <si>
    <t>INFORMO QUE EN EL DIA DE LA FECHA Y EN CUMPLIMIENTO DE OS N° 04/2010 GENERADA POR EL CEAC Y OS N° 877/2010 GENERADA POR URSA I - DEL ESTE, SIENDO LAS 15:50 HS. ARRIBA VIA TERRESTRE A ESTA JURISDICCION EL SR. PRESIDENTE DE MEXICO D. FELIPE DE JESUS CALDERON HINOJOSA Y COMITIVA, PARTIENDO EN AERONAVE BOEING 757-200 MATRICULA TP-01, CON DESTINO HACIA GUAYAQUIL A LAS 16:20 HS. SIN NOVEDAD.</t>
  </si>
  <si>
    <t>INFORMO QUE EN EL DIA DE LA FECHA Y EN CUMPLIMIENTO DE OS N° 04/2010 ORIGINADA POR EL CEAC Y OS N° 877/2010 GENERADA POR URSA I - DEL ESTE, SIENDO LAS 16:10 HS. ARRIBA VIA TERRESTRE A ESTE AEROPUERTO EL SR. VICEPRESIDENTE DE BOLIVIA D. A. GARCIA LINERA Y COMITIVA, PARTIENDO EN AERONAVE F900, MATRICULA FAB-001, CON DESTINO A LA PAZ A LAS 16:33 HS. SIN NOVEDADES.</t>
  </si>
  <si>
    <t>INFORMO QUE EN EL DIA DE LA FECHA Y EN CUMPLIMIENTO DE OS N° 04/2010 GENERADA POR EL CEAC Y OS N° 877/2010 GENERADA POR URSA I - DEL ESTE, SIENDO LAS 16:38 HS. ARRIBA EN HELICOPTERO H-02 A ESTE AEROPUERTO LA SRA. PRESIDENTA DE LA REPUBLICA ARGENTINA D. CRISTINA FERNANDEZ Y COMITIVA, PARTIENDO EN AERONAVE F-28, MATRICULA T-03, CON DESTINO AEROPARQUE A LAS 16:51 HS. SIN NOVEDAD.</t>
  </si>
  <si>
    <t>INFORMO QUE EN EL DIA DE LA FECHA Y EN CUMPLIMIENTO DE OS N° 04/2010 GENERADA POR EL CEAC Y OS N° 877/2010 GENERADA POR URSA I - DEL ESTE, SIENDO LAS 16:30 HS. ARRIBA VIA TERRESTRE A ESTE AEROPUERTO EL SR. PRESIDENTE DE PARAGUAY D. FERNANDO LUGO Y COMITIVA, PARTIENDO EN AERONAVE C-560, MATRICULA N-80-CK, CON DESTINO A ASUNCION A LAS 17:15 HS. SIN NOVEDAD.</t>
  </si>
  <si>
    <t>INFORMO QUE EN EL DIA DE LA FECHA Y EN CUMPLIMIENTO DE OS N° 04/2010 GENERADA POR EL CEAC Y OS N° 877/2010 GENERADA POR URSA I - DEL ESTE, SIENDO LAS 14:53 HS. ARRIBA VIA TERRESTRE A ESTE AEROPUERTO EL SR. PRESIDENTE DE REPUBLICA DOMINICANA D. LEONEL FERNANDEZ REYNA Y COMITIVA, PARTIENDO EN VUELO BOEING-737 700, MATRICULA N-8767, CON DESTINO A MANAOS, A LAS 17:20 HS. SIN NOVEDADES.</t>
  </si>
  <si>
    <t>INFORMO QUE EN EL DIA DE LA FECHA Y EN CUMPLIMIENTO DE OS N° 04/2010 GENERADA POR EL CEAC Y OS N° 877/2010 GENERADA POR URSA I - DEL ESTE, SIENDO LAS 16:10 HS. ARRIBA POR VIA TERRESTRE A ESTA JURISDICCION EL SR PRESIDENTE DE PANAMA D. RICARDO ALBERTO MARTINELLI BERROCAL Y COMITIVA PARTIENDO EN AERONAVE ECO 135 MATRICULA HP 1A CON DESTINO A PANAMA A LAS 17:24 HS. SIN NOVEDAD.</t>
  </si>
  <si>
    <t>INFORMO QUE EN EL DIA DE LA FECHA Y EN CUMPLIMIENTO DE OS N° 04/2010 ORIGINADA POR EL CEAC Y OS N° 877/2010 GENERADA POR URSA I - DEL ESTE, SIENDO LAS 16:30 HS. ARRIBA A ESTE AEROPUERTO VIA TERRESTRE EL SR. PRESIDENTE DE CHILE D. SEBASTIAN PIÑERA ECHENIQUE Y COMITIVA, PARTIENDO EN AERONAVE G4, MATRICULA FAC 911, CON DESTINO A SANTIAGO DE CHILE, A LAS 17:28 HS. SIN NOVEDADES.</t>
  </si>
  <si>
    <t>INFORMO QUE EN EL DIA DE LA FECHA Y EN CUMPLIMIENTO DE OS N° 04/2010 GENERADA POR EL CEAC Y OS N° 877/2010 GENERADA POR URSA I - DEL ESTE, SIENDO LAS 17.12 HS. ARRIBA A ESTE AEROPUERTO VIA TERRESTRE LOS REYES DE ESPAÑA S.A.R. JUAN CARLOS I DE BORBON JUNTO A SU ESPOSA SOFIA Y COMITIVA, PARTIENDO EN AERONAVE AIRBUS 310 MATRICULA T22-01, CON DESTINO A RIO DE JANEIRO, A LAS 17:38 HS. SIN NOVEDADES.</t>
  </si>
  <si>
    <t>INFORMO QUE EN EL DIA DE LA FECHA Y EN CUMPLIMIENTO DE OS N° 04/2010 GENERADA POR EL CEAC Y OS N° 877/2010 GENERADA POR URSA I - DEL ESTE, SIENDO LAS 16:30 HS. ARRIBA A ESTA JURISDICCION VIA TERRESTRE EL SR. CANCILLER HECTOR TIMERMAN Y COMITIVA, PARTIENDO EN AERONAVE LJ-60 MATRICULA T-10 CON DESTINO A EZEIZA A LAS 17:40 SIN NOVEDAD.</t>
  </si>
  <si>
    <t>INFORMO QUE EN EL DIA DE LA FECHA Y EN CUMPLIMIENTO DE OS N° 04/2010 GENERADA POR EL CEAC Y OS N° 877/2010 GENERADA POR URSA I - DEL ESTE, SIENDO LAS 16:30 HS. ARRIBA A ESTE AEROPUERTO VIA TERRESTRE PRIMER MINISTRO DE PORTUGAL Y COMITIVA, CANCILLERES Y MINISTROS ARGENTINOS Y OTROS ORGANISMOS PARTIENDO EN AERONAVE F-28 VUELO FA-878, MATRICULA T-50, A LAS 17:45 HS. SIN NOVEDADES.</t>
  </si>
  <si>
    <t>INFORMO QUE EN EL DIA DE LA FECHA Y EN CUMPLIMIENTO DE OS N° 04/2010 GENERADA POR EL CEAC Y OS N° 877/2010 GENERADA POR URSA I - DEL ESTE, SIENDO LAS 18:10 HS. ARRIBA A ESTE AEROPUERTO VIA TERRESTRE EL SR. PRESIDENTE DE ECUADOR Y COMITIVA, PARTIENDO EN AERONAVE B-727, MATRICULA FAE-001, A LAS 18:43 HS. CON DESTINO IQUIQUE, SIN NOVEDADES.</t>
  </si>
  <si>
    <t>EN CUMPLIMIENTO A ORDEN DE SERVICIO NRO. 310/10 DE FECHA 04 DIC10 EN EL DIA DE LA FECHA ARRIBO AL AEROPUERTO INTERNACIONAL CORDOBA A LAS 19:15 HRS A PROXIMADAMENTE, PROCEDENTE DE LA CIUDAD DE MAR DEL PLATA ,EL SR. PRESIDENTE DE PANAMA RICARDO MARTINELLI BERROCALL ACOMPAÑADO POR EL VICEPRESIDENTE SR JUAN CARLOS VARELA, DOS ASISTENTES SRES. RAUL SANDOVAL Y ADOLFO DE OBARRIO COMO ASI TAMBIEN EL DIRECTOR INSTITUCIONAL SR.ALFREDO CASTILLERO Y EL MINISTRO DE VIVIENDA SR. CARLOS DUBOY, EN EL AVION EMBRAER 135 MATRICULA HP 1A. LA PRESENCIA DE LA COMITIVA EN LA CIUDAD DE CORDOBA NO REVISTE CARACTER OFICIAL SEGUN LO INFORMADO POR LA OFICINA DE OPERACIONES DE A.A.2000. LA COMITIVA PERMANECERA EN CORDOBA HASTA EL DIA MARTES 07 DIC 2010 DESCONOCIENDOSE LA HORA DE PARTIDA . CABE DESTACAR QUE LA AERONAVE QUEDARA APARCADA EN ESTA AEROESTACION</t>
  </si>
  <si>
    <t>HP 1A</t>
  </si>
  <si>
    <t>INFORMO QUE EN EL DIA DE LA FECHA Y EN CUMPLIMIENTO DE OS N° 04/2010 GENERADA POR EL CEAC Y OS N° 877/2010 GENERADA POR URSA I - DEL ESTE, SIENDO LAS 18:30 HS. ARRIBA A ESTE AEROPUERTO VIA TERRESTRE EL SR. PRESIDENTE DE URUGUAY Y COMITIVA, PARTIENDO EN AERONAVE EMB-120, MATRICULA URU-01, A LAS 19:00 HS. CON DESTINO MONTEVIDEO, SIN NOVEDADES.</t>
  </si>
  <si>
    <t>INFORMO QUE EN EL DIA DE LA FECHA Y EN CUMPLIMIENTO DE OS N°04/201O GENERADA POR EL CEAC Y OS N° 877/2010 GENERADA POR URSA 1 DEL ESTE, SIENDO LAS 22 40 HS, ARRIBA A ESTE AEROPUERTO VIA TERRESTRE EL SR. CANCILLER DE CUBA SR. BRUNO RODRIGUEZ Y COMITIVA, PARTIENDO EN AERONAVE F 28 MATRICULA T- 54 A LAS 23 10 HORAS CON DESTINO A EZEIZA SIN NOVEDAD.</t>
  </si>
  <si>
    <t>SECRETARIA Nº 77</t>
  </si>
  <si>
    <t>DR. GUSTAVO MISCULIN</t>
  </si>
  <si>
    <t>PERGOLA A 1</t>
  </si>
  <si>
    <t>EN CONTROL PREVENTIVO EN EL HALL DEL SECTOR A2 DE ESTE AEROPUERTO METROPOLITANO, EL OFICIAL ARIZA ES INTERCEPTADO POR UN MASCULINO QUIEN FUE IDENTIFICADO COMO MARTÍN IGNACIO LAZZARI, CON CEDULA DE IDENTIDAD Nº 12.639.88N, QUIEN LE MANIFIESTA QUE POCOS MINUTOS ANTES, MIENTRAS SE ENCONTRABA JUNTO CON SU ESPOSA EN LA VEREDA DEL SECTOR DE ARRIBOS INTERNACIONALES, UNA PERSONA DE SEXO FEMENINO INTENTO SUSTRAER LA CARTERA QUE HABÍAN COLOCADO EN EL BUCHE DEL CARRO PORTA MALETA, INDICANDO ADEMÁS, QUE EL FEMENINO SE ENCONTRABAN EN COMPAÑÍA DE UNA PAREJA, QUIENES HACÍAN DE OBERTURA, MIENTRAS LA PRIMER FEMENINO INTENTABA REALIZAR LA SUSTRACCIÓN. POR LO QUE, EL SR. LAZZARI, COMENZÓ LA BÚSQUEDA DE LOS TRES INDIVIDUOS, ENCONTRÁNDOLOS EN EL SECTOR A2 DE ESTA AEROSTACIÓN, RAZÓN POR LA CUAL, INMEDIATAMENTE SOLICITO LA PRESENCIA DE PERSONAL POLICIAL, INDICÁNDOLE AL OFICIAL INTERVINIENTE DONDE SE ENCONTRABA LOS MISMOS. MOTIVO POR EL CUAL EL OFICIAL ARIZA INTERCEPTA A LAS DOS FEMENINAS Y AL MASCULINO, A QUIENES SE LES SOLICITO QUE LOS ACOMPAÑE HACIA ESTA GUARDIA DE PREVENCIÓN. UNA VEZ ALLÍ, SE TOMO LA DENUNCIA CORRESPONDIENTE A LA DAMNIFICADA Y SIENDO LAS 00:30 HORAS DEL DIA 05 DE DICIEMBRE DEL CORRIENTE AÑO, SE ENTABLA COMUNICACIÓN CON LA JUDICATURA ACTUANTE, QUIEN DISPONE: SE REALICEN DILIGENCIAS DE RIGOR Y EN CASO DE NO POSEER IMPEDIMENTOS VIGENTES SE PROCEDA A LA SOLTURA. SIENDO LAS 11:30 HORAS SE PROCEDE A LA SOLTURA DEL SR. ROJAS GONZÁLEZ JESÚS Y DE LA SRA. VILCHES CÉSPEDES YESSICA SIN NOVEDAD. ASIMISMO LA CAUSANTE AGUIRRE PATRICIA KARINA, PRESENTA UN PEDIDO DE CAPTURA VIGENTE A REQUERIMIENTO DEL JUZGADO DE INSTRUCCIÓN Nº 14 DE LA DRA. FABIANA PAMAGHINI, SECRETARIA Nº 143 DE LA DRA. MARIA BOBES. SIENDO LAS 11:50 HORAS SE ENTABLA COMUNICACIÓN CON LA DRA. BOBES, QUIEN DISPONE: SE NOTIFIQUE A LA CAUSANTE PARA COMPARECER ANTE EL TRIBUNAL MENCIONADO Y LE OTORGA LA EXENCIÓN DE PRISIÓN BAJO CAUCIÓN REAL. UNA VEZ NOTIFICADA SE PRECEDIÓ A LA SOLTURA A LAS 12:30 HORAS SIN NOVEDAD.</t>
  </si>
  <si>
    <t>IGUIÑIZ, MONICA</t>
  </si>
  <si>
    <t>EN MOMENTOS DEL ARRIBO DEL VUELO DE MENCION, SE RECIBIO COMUNICACIÓN VIA RADIAL POR PARTE DE PERSONAL DESTACADO EN EL PUESTO ARRIBOS DE LA TERMINAL A, SOLICITANDO LA PRESENCIA DE SANIDAD EN EL SECTOR, DADO QUE UN PASAJERO DE SEXO MASCULINO SE ENCONTRABA DESCOMPUESTO. SEGUIDAMENTE, SE HIZO PRESENTE PERSONAL DEL SERVICIO DE SANIDAD Y LUEGO DE LAS PRIMERAS ATENCIONES PROCEDIERON AL TRASLADO DEL PASAJERO HACIA EL HOSPITAL INTERZONAL ALFREDO EURNEKIAN A LOS EFECTOS DE QUE SE REALICE UN MEJOR CONTROL, SIENDO ACOMPAÑADO DICHO TRASLADO POR PERSONAL POLCIAL. UNA VEZ EN DICHO NOSOCOMIO PERSONAL POLICIAL INFORMO QUE SEGÚN LOS ESTUDIOS REALIZADOS POR EL PERSONAL MEDICO, EL PASAJERO PRESENTABA UN CUADRO DE INGESTA DE CUERPOS EXTRAÑOS EN SU ORGANISMO, POR LO CUAL DEBERIA PERMANECER ALOJADO EN LA UNIDAD DE TERAPIA INTENSIVA. POR TAL MOTIVO SE ENTABLA COMUNICACION CON EL JUZGADO INTERVINIENTE QUIEN DISPUSO LA DETENCION DEL PASAJERO Y QUE SE LABREN ACTUACIONES QUE CORRESPONDAN. PERSONAL MEDICO PROCEDIO A EFECTUAR LA INTERVENCION QUIRURGICA DEL PASAJERO, LA CUAL FUE PRESENCIADA POR PERSONAL POLICIAL, A QUIEN SE LE HIZO LA ENTREGA, DE LAS CAPSULAS EXTRAIDAS DEL INTERIOR DEL ORGANISMO DEL MASCULINO EN CUESTION. SE INVITO A LOS TESTIGOS CONVOCADOS A TAL EFECTO, QUE ELIJAN CINCO CAPSULAS AL AZAR A LAS CUALES SE LES REALIZO UN CORTE CON UN ELEMENTO CORTO PUNZANTE Y SE EXTRAJO UNA PEQUEÑA MUESTRA DE LA SUSTANCIA HABIDA EN EL INTERIOR DE CADA UNA, LAS CUALES SOMETIDAS A PRUEBA DE CAMPO PARA COCAINA MARCA COCA-TEST-PEN-TEST, ARROJARON RESULTADO POSITIVO COCAÍNA. SE DEJA CONSTANCIA QUE EL CAUSANTE SE ENCUENTRA INTERNADO EN LA UNIDAD DE TERAPIA INTENSIVA DEL NOSOCOMIO DE MENCION. EN PU 7802 SE INFORMA QUE EL DIA 08-12-2010 SIENDO LAS 1430HS EL IMPUTADO FUE OPERADO NUEVAMENTE EXTRAYENDOLE DOS CAPSULAS MAS.-</t>
  </si>
  <si>
    <t>LA 4641</t>
  </si>
  <si>
    <t>INFORMO QUE EN EL DIA DE LA FECHA Y EN CUMPLIMIENTO DE OS N° 04/2010 GENERADA POR EL CEAC Y OS N° 877/2010 GENERADA POR URSA I - DEL ESTE, SIENDO LAS 07:45 HS. ARRIBA A ESTE AEROPUERTO VIA TERRESTRE LA SRA. PRESIDENTE DE COSTA RICA DÑA. LAURA CHINCHILLA MIRANDA Y COMITIVA DE CANCILLERES, PARTIENDO EN AERONAVE F-28, MATRICULA TC-54, A LAS 08:14 HS. CON DESTINO A EZEIZA, SIN NOVEDADES.</t>
  </si>
  <si>
    <t>INFORMO QUE EN EL DIA DE LA FECHA Y EN CUMPLIMIENTO DE OS N° 04/2010 GENERADA POR EL CEAC Y OS N° 877/2010 GENERADA POR URSA I - DEL ESTE, SIENDO LAS 08:15 HS. ARRIBA A ESTE AEROPUERTO VIA TERRESTRE EL SR. CANCILLER DE VENEZUELA NICOLAS MADURO MOROS Y COMITIVA, PARTIENDO EN AERONAVE FAV-0207 A LAS 09:06 HS. CON DESTINO ASUNCION SIN NOVEDAD.</t>
  </si>
  <si>
    <t>SIENDO LAS 13:10 HS SE PRESENTA EL SEÑOR ROMERO JAVIER ALBERTO CON PASAPORTE N° 12.584.394 EL CUAL MANIFIESTA EL FALTANTE DE SIETE PERFUMES Y UNA CAJA D E REGALOS SIN ESPECIFICAR MARCAS NI DETALLES DE SU EQUIPAJE DESPACHADO EL DIA 4 DE DIEMBRE POR LA EMPRESA ALITALIA EN EL VUELO AZ1492 DESDE VERONA-ITALIA CON DESTINO ROMA Y LUEGO CONEXIÓN CON EL VUELO AR1141 DE LA EMPRESA AEROLINEAS ARGENTINAS CON DESTINO EZEIZA. UNA VEZ ARRIBADO RETIRA EL EQUIPAJE Y SE PERCATA DEL FALTANTE ANTES MENCIONADO POR LO QUE REALIZA RECLAMO EN LA EMPRESA, EN DONDE LE INFORMAN QUE CONTINUE CON SU ITINERARIO EZEIZA-MENDOZA Y EN ESE DESTINO REALICE DENUNCIA. SE DA ORIGEN AL MEMORANDO 1245/10 REFERENTE A SOLICITAR INVESTIGACION DE HURTO DE EQUIPAJE A LA UOSP EZEIZA ESTANDO EL ESCRIBIENTE OF. BARCAS.</t>
  </si>
  <si>
    <t>BS.AS - EZE</t>
  </si>
  <si>
    <t>QUE EL DIA VEINTISIETE DE NOVIEMBRE PASADO EN MOMENTOS QUE ARRIBO A TERRITORIO NACIONAL, LUEGO DE REALIZAR EL TRAMITE MIGRATORIO CORRESPONDIENTE, SE DISPUSO A RETIRAR EL EQUIPAJE DESPACHADO POR BODEGA, SIENDO ESTE UNA VALIJA TIPO CARRY-ON DE COLOR NEGRA. QUE UNA VEZ QUE TOMO CONTACTO CON LA MISMA SE PERCATA QUE NO POSEIA EL CANDADO DE SEGURIDAD Y TAMBIEN TENIA ROTOS LOS PESTILLOS DEL CIERRE. SEGUIDAMENTE ABRIO SU VALIJA, CONSTATANDO EL FALTANTE DE ALGUNAS DE SUS PERTENENCIAS. A TAL EFECTO REALIZA EL RECLAMO A LA COMPAÑIA PARA LUEGO RETIRARSE HACIA SU DOMICILIO.QUE TRANSCURRIDOS UNOS DIAS LA EMPRESA LE INFORMA QUE PARA LA CONTINUIDAD DE SU RECLAMO DEBE RADICAR DENUNCIA PENAL EN LA POLICIA DE JURISDICCION, POR LO CUAL SE HIZO PRESENTE EN ESTA DEPENDENCIA.</t>
  </si>
  <si>
    <t>EL DIA DE LA FECHA SIENDO LAS 0900 HORAS APROXIMADAMENTE EL DENUNCIANTE LUEGO DE ARRIBAR AL PAIS EN EL VUELO DE LA EMPRESA DELTA 101 PROCEDENTE DE ATLANTA EEUU, SE DIRIGIO A CONTRATAR UN VEHICULO DE ALQUILER QUE LO TRASLADE HACIA LA CIUDAD DE BUENOS AIRES, POR LO QUE SE HACE PRESENTE EN EL STAND DE TAXI EZEIZA, CONTRATANDO DICHO SERVICIO. LUEGO DE ESTO ES ABORDADO POR UN MASCULINO QUIEN RESULTO SER ROQUE JAVIER ROMERO, QUIEN LO CONDUCE HACIA LA ISLA DE TAXI, DONDE LE COBRA POR EL VIAJE LA SUMA DE QUINIENTOS PESOS ARGENTINOS. LUEGO EL DENUNCIANTE ABORDA EL VEHICULO Y SE RETIRA EN EL MISMO DEL AEROPUERTO. ESTANDO EN VIAJE, SE PERCATA QUE EL CHOFER DEL VEHICULO NO ERA LA PERSONA A LA QUE LE HABIA ABONADO LA TARIFA DEL SERVICIO Y QUE EL PAGO DEL MISMO LE RESULTABA EXCESIVO, POR LO QUE LE PIDE AL CONDUCTOR QUE REGRESE. UNA VEZ EN ESTE MEDIO CONTACTA A PERSONAL POLICIAL, A QUIEN LE INFORMA LO SUCEDIDO Y LE INDICA AL MASCULINO QUE LE COBRO LA TARIFA DEL VIAJE, POR LO QUE EL PERSONAL POLICIAL PROCEDE A IDENTIFICAR AL SEÑOR ROMERO. AL CONDUCIRLO A LA GUARDIA, EL SEÑOR ROMERO LE INFORMA AL EFECTIVO POLICIAL QUE EL DINERO LO TENIA EN SU PODER EL SEÑOR OMAR HUMBERTO CAMACHO, AL CUAL SE LO INTERCEPTA EN LA PÉRGOLA DE TAXI DE LA TERMINAL "A" Y TAMBIEN SE LO CONDUCE AL TURNO. UNA VEZ EN EL TURNO, EL SEÑOR CAMACHO EXHIBE LA SUMA DE QUINIENTOS PESOS, INFORMADA LA U.F.I. INTERVINIENTE, DISPUSO SE ENTREGUEN LOS BILLETES AL DENUNCIANTE, SE REALICE LA APREHENSIÓN DE LOS CAUSANTES, SE SOLICITEN ANTECEDENTES A INTERPOL EZEIZA, SE REALICE CONSTATACIÓN DE DOMICILIO Y FINALIZADAS LAS DILIGENCIAS DE RIGOR SE LOS LIBERE EN APLICACIÓN DEL ARTICULO 161 DEL C.P.P.P.B.A. NO SURGIENDO NOVEDAD EN LAS DILIGENCIAS ENCOMENDADAS, Y POR NO REGISTRAR IMPEDIMENTOS LEGALES, SIENDO LAS 1500 HORAS LOS APREHENDIDOS SON LIBERADOS.</t>
  </si>
  <si>
    <t>EN CUMPLIMIENTO DE LA ORDEN DE SERVICIO NRO. 0109/10 Y SIENDO LAS 08:20 HORAS DESPEGA AERONAVE MD PERTENECIENTE A LA EMPRESA AUSTRAL LINEAS AEREAS, MATRICULA LV-BGU, COMO VUELO NRO. 2831 CON DESTINO EL AEROPUERTO JORGE NEWBERY DE CAPITAL FEDERAL Y EN CUYA BODEGA NRO. 4 SE DESPACHAN UN TOTAL DE 21 CAJAS CON UN PESO DE 500 KILOGRAMOS DE METAL- MTD- PERTENECIENTES A LA EMPRESA MINERA CERRO VANGUARDIA.</t>
  </si>
  <si>
    <t>SE PROCEDE A LA RETENCION DE UN CHARANGO CON CAPARAZON TIPO MULITA, ESPECIE PROTEGIDAS BAJO LA LEY PROV. SALTA Nº 7070 - DECRETO REGIONAL 3097/02 LEY NACIONAL Nº 22421, EN EL SALON DE PREEMBARQUE PUERTA Nº 2, A LA PASAJERA GOLDEN TZIPORA QUIEN EMBARCABA EN AEROLINEAS ARGENTINAS VUELO Nº 1451 CON DESTINO BUENOS AIRES, DESPUES DE REALIZAR EL ACTA DE INFRACCION CORRESPONDIENTE, EL OF. MY MIGUEL FABIAN SE COMUNICO CON LA DRA. MARIA ISABEL FALU QUIEN ORDENA SE RETENGA EL CHARANGO Y LAS ACTUACIONES SEAN REMITIDAS A ESA SEDE JUDICIAL SEGUN P.U. Nº 7844/10 - AMPLIACION EN EL DIA DE LA FECHA 10-DIC-2010, SIENDO LAS 10:30 HRS. EL OF. MY. JOSE SANCHEZ , LEGAJO NRO 502797 ENTREGA MEDIANTE ACTA NRO 508/10, 01 (UN) CHARANGO REALIZADO CON CAPARAZON DE QUIRQUINCHO, SECUESTRADO EL DIA 06-12-10 SEGÚN ACTA DE INFRACCION MEDIO DE AMBIENTE NRO 0674, A LA LICENCIADA RAQUEL RUT SARAVIA, JEFA DE PROGRAMA BIODIVERSIDAD-SALTA, CON DNI Nº 17308789, SOLTERA, DE NACIONALIDAD ARGENTINA, CON DOMICILIO EN ZUVIRIA 74-SALTA-CAP,NACIDA EL 05-08-64,SALTA, EN CARÁCTER DE DEPOSITARIO, SEGÚN LO DISPUESTO POR LA DRA. MARIA ISABEL FALU, A CARGO DE LA SECRETARIA PENAL NRO 4, DEL JUZGADO FEDERAL NRO 2, A CARGO DEL DR. MIGUEL ANTONIO MEDINA.</t>
  </si>
  <si>
    <t>PEPE, DANIEL TOMAS-CASATARI, MAURICIO ALEJANDRO-PEREZ, GASTON GABRIEL Y BATALLA, VANESA BEATRIZ S/INF. LEY 23737</t>
  </si>
  <si>
    <t>Nº 2363</t>
  </si>
  <si>
    <t>SIENDO LAS 12:20 HORA LOCAL SE TRASLADA UN SOBRE CONTENIENDO LA CAUSA Nº 2363 CARATULADA PEPE, DANIEL TOMAS- CASATARI, MAURICIO ALEJANDRO- PEREZ, GASTON GABRIEL Y BATALLA, VANESA BEATRIZ S/INF. LEY 23737 , A LA EXCELENTISIMA CAMARA FEDERAL DE APELACIONES DE COMODORO RIVADAVIAA CARGO DEL DR. ALDO E. SUAREZ, ENVIADA POR LA UNIDAD OPERACIONAL USHUAIA.</t>
  </si>
  <si>
    <t>BANCO DE TIERRA DEL FUEGO C/MAIDANA MARCOS DANIEL S/PREPARA VIA-COBRO EJECUTIVO</t>
  </si>
  <si>
    <t>MAIDANA MARCOS DANIEL S/NOTIFICACION</t>
  </si>
  <si>
    <t>INFORMO QUE EN EL DIA DE LA FECHA EN UN CONTROL DE RUTINA DEL VUELO AR 1896 DE LA EMPRESAS AEROLINEAS ARGENTINAS, SE INDIVIDUALIZA AL CIUDADANO MAIDANA, MARCOS DANIEL, SOBRE QUIEN PESA UN PEDIDO DE PARADERO SEGUN REGISTRO DE LA RED LINCE Nº 281.206, REALIZADO CONSULTA CON EL JUZGADO INTERVINIENTE EN LA PERSONA DEL OFICIAL PRIMERO LUIS OJEDA QUIEN MANIFIESTA QUE POR ORDEN DE SU S. SA., EL CAUSANTE FIJE DOMICILIO REAL, EVENTUAL Y TODO CAMBIO DEL MISMO Y A SU REGRESO SE PRESENTE ANTE EL JUZGADO INTERVINIENTE, SE REALIZA ACTA DE NOTIFICACION Nº 010/2010 Y EL CAUSANTE CONTINUA SU VIAJE</t>
  </si>
  <si>
    <t>AR 1896</t>
  </si>
  <si>
    <t>POR LA PRESENTE SE INFORMA QUE EL DIA 4 DE NOVIEMBRE DEL CORRIENTE AÑO SE HIZO EFECTIVA LA INTERVENCION DE LOS NUMEROS 0351-4744559 Y 0351-155515571, FINALIZANDO LAS MISMAS EL DIA 4 DE DICIEMBRE DEL CORRIENTE AÑO. ASIMISMO SE INFORMA QUE EL DIA 6 DE DICIEMBRE DEL CORRIENTE AÑO SE PRESENTO UN INFORME EN LA FISCALIA FEDERAL ACTUANTE DONDE SE PONE EN CONOCIMIENTO QUE DE LAS ESCUCHAS REALIZADAS SOBRE LAS LINEAS INTERVENIDAS NO SURGIERON ELEMENTOS DE IMPORTANCIA PARA LA PRESENTE CAUSA. ANTE ESTA NOVEDAD LA FISCALIA NOS INFORMO QUE QUEDARAMOS A LA ESPERA DEL INFORME QUE DEBERIA PRODUCIR LA AFIP SOBRE LOS PRINCIPALES INVESTIGADOS, Y QUE UNA VEZ RECEPCIONADO ESE INFORME LA FISCALIA DETERMINARA SI CONTINUA CON LA INVESTIGACION DE LA PRESENTE.</t>
  </si>
  <si>
    <t>7633/10</t>
  </si>
  <si>
    <t>AMALIA PILAR SECO Y OTS S/INF LEY 23737</t>
  </si>
  <si>
    <t>1029/08B</t>
  </si>
  <si>
    <t>CIUDADES DE ROSARIO Y VILLA GOBERNADOR GALVEZ.</t>
  </si>
  <si>
    <t>EN EL DIA DE LA FECHA, 06-DIC-2010, SE RECIBEN LOS OFICIOS QUE SE DESCRIBEN MÁS ABAJO, DEL JUZGADO FEDERAL NRO 3 DE ROSARIO, PARA REALIZAR MEDIDAS INFORMATIVAS PARA LEGAJOS DE PERSONALIDAD SOBRE LAS PERSONAS QUE RESULTARAN DETENIDAS EN LOS ALLANAMIENTOS EN EL MARCO DE LA PRESENTE CAUSA. DEBIÉNDOSE PRACTICAR UN AMPLIO Y PORMENORIZADO INFORME AMBIENTAL, FAMILIAR DE VIDA Y COSTUMBRES, DE CONCEPTO, EDUCACIÓN, INSTRUCCIÓN Y SOBRE LA OCUPACIÓN LABORAL ACTUAL O ÚLTIMA DESARROLLADA POR CADA UNO DE LOS IMPUTADOS. OFICIO NRO. 6152 PARA LEGAJO DE AMALIA PILAR SECO- OFICIO NRO. 6156 PARA LEGAJO DE DAVID SERGIO DIAZ Y OFICIO NRO. 6155 PARA LEGAJO DE FELICIANO ARMANDO ESPINOSA. LAS TAREAS SE DESARROLLARAN FUERA DE JURISDICCIÓN MEDIANTE ORDEN DE SERVICIO NRO. 310/2010 URSA IV DEL LITORAL. PU Nº 7846 10-12-2010 13:27:31HS EN EL DÍA DE LA FECHA SE DIO CUMPLIMIENTO A LO REQUERIDO EN LOS OFICIOS NRO. 6152, 6155 Y 6156, DEL JUZGADO FEDERAL NRO. 3 DE ROSARIO, EN LO QUE SE REALIZO PORMENORIZADO INFORME AMBIENTAL, FAMILIAR DE VIDA Y COSTUMBRES, DE CONCEPTO, EDUCACIÓN, INSTRUCCIÓN Y SOBRE LA OCUPACIÓN LABORAL ACTUAL O ÚLTIMA DESARROLLADA POR CADA UNA DE LAS PERSONAS QUE RESULTARAN DETENIDAS EN LOS OPERATIVOS ORDENADOS POR EL JUZGADO ACTUANTE. SE DESARROLLARON LAS TAREAS FUERA DE JURISDICCIÓN MEDIANTE ORDEN DE SERVICIO NRO. 310/2010 URSA IV DEL LITORAL.</t>
  </si>
  <si>
    <t>7682/10</t>
  </si>
  <si>
    <t>DRA. ADRIANA PERALTA</t>
  </si>
  <si>
    <t>PRIVACION ILEGITIMA DE LA LIBERTAD, DESOBEDIENCIA JUDICIAL, ABUSO SEXUAL, RETENCION INDEBIDA EN PERJUICIO DE TERESITA FRIAS-</t>
  </si>
  <si>
    <t>20110/10</t>
  </si>
  <si>
    <t>EN EL DÍA DE LA FECHA SIENDO LAS 13:50 HRS, EL JEFE DE LA UOSP SALTA MANTIENE UNA REUNION CON LA DRA. ADRIANA PERALTA, TITULAR DE LA SECRETARIA DEL JUZGADO DE INSTRUCCION FORMAL 8ª NOMINACION, SOBRE LA SITUACION DEL OF. AY. EVER GASTON EMANUEL CABRILLANA, LEGAJO Nº 504.307, EN LA CUAL LA FUNCIONARIA JUDICIAL INFORMA QUE EL MENCIONADO CAUSANTE SIGUE IMPUTADO EN LA CAUSA Nº 20110/10, CARATULADA: PRIVACION ILEGITIMA DE LA LIBERTAD, DESOBEDIENCIA JUDICIAL, ABUSO SEXUAL, RETENCION INDEBIDA EN PERJUICIO DE TERESITA FRIAS, QUEDANDO EL MISMO ALOJADO EN LA ALCAIDIA JUDICIAL DE SALTA, CON PEDIDO DE LIBERTAD A RESOLVERSE EN LAS PROXIMAS 24 HRS. SE AMPLIARA A MEDIDAS QUE SURJAN NOVEDADES REFERENTES A LA PRESENTE CAUSA.</t>
  </si>
  <si>
    <t>SRIO AV LEY 23737 -..........-</t>
  </si>
  <si>
    <t>585/10</t>
  </si>
  <si>
    <t>SRIO. AV. LEY 23737 -3 MULAS: LASCHERA NASSER SILVA-</t>
  </si>
  <si>
    <t>CIUDAD DE ROSARIO Y/U OTRAS LOCALIDADES DE CORRESPONDER.</t>
  </si>
  <si>
    <t>SE RECIBE EN EL DIA DE LA FECHA OFICIO NRO. 1803 DE LA FISCALIA FEDERAL NRO 2 DE ROSARIO A CARGO DE LA INSTRUCCIÓN, DONDE ORDENA CONTINUAR REALIZANDO LAS MEDIDAS INVESTIGATIVAS TENDIENTES A ESCLARECER LA INFORMACION APORTADA EN EL INFORME DE NARCOTRÁFICO NRO. 092/10 DEL 23/11/2010 PRODUCIDO POR IC CEAC - DONDE SE PODRÍA ESTAR EN PRESENCIA DE UNA ORGANIZACIÓN CONSTITUIDA, EN PRINCIPIO, AL MENOS POR TRES PERSONAS DE SEXO MASCULINO, UNO DE LOS CUALES FUERA DETENIDO EN EL AEROPUERTO DE LA CIUDAD DE BARCELONA EL DIA 25/10/2010 TRANSPORTANDO EN SU EQUIPAJE 4036 GRS. DE CLORHIDRATO DE COCAÍNA DISIMULADOS EN EL INTERIOR DE 8 (OCHO) FRASCOS DE TALCO. LAS MEDIDAS RECAEN SOBRE LOS OTROS DOS HOMBRES QUE SURGEN DEL ANÁLISIS DE LA INFORMACIÓN HABIDA EN LOS PASAJES, QUIENES HICIERON VIAJES JUNTO A CLAUDIO MARCELO LASCHERA Y CUYA RESIDENCIA HABITUAL SERÍA EN LA CIUDAD DE ROSARIO. SE REALIZAN LAS TAREAS ORDENADAS MEDIANTE ORDEN DE SERVICIO NRO. 309/2010 URSA IV DEL LITORAL.</t>
  </si>
  <si>
    <t>EN RELACIÓN A LA CAUSA P.S.A. S/ PRESENTACIÓN DENUNCIA ANÓNIMA EXPTE. 1791/07, DE ACUERDO A OFICIO JUDICIAL S/N DE FECHA 5/11/10 LA SRA. SUSANA DEL VALLE CARAVAJAL REALIZO EN EL TRASCURSO DEL AÑO VARIOS VIAJES HACIA LA PROVINCIA DE BS. AS TANTO VÍA TERRESTRE COMO AÉREA, TAMBIÉN SE PUDO AVERIGUAR QUE LA SRA. SUSANA DEL VALLE CARAVAJAL TENDRÍA A LA FECHA UN PEDIDO DE CAPTURA EN LA PROVINCIA DE BS. AS CARATULADO CARAVAJAL MARÍA EUGENIA Y OTROS S/FALSIFICACIÓN DE DOCUMENTO PUBLICO A CARGO DEL JUZGADO FEDERAL CORRECCIONAL Y CRIMINAL Nº 2 A CARGO DEL DR. JORGE LUIS BALLESTEROS DE LA CIUDAD AUTÓNOMA DE BS. AS Y EL CONYUGUE DE ESTA EL SR. LUIS ANTONIO JUÁREZ FUE DETENIDO EL DÍA 15 DE OCTUBRE DEL CORRIENTE POR PERSONAL DE LA POLICÍA DE LA PROVINCIA DE TUCUMÁN POR UN ATRACO PRODUCIDO EL 27 DE SEPTIEMBRE DEL CORRIENTE EN EL SUR DE ESTA PROVINCIA A UN EMPRESARIO DISTRIBUIDOR DE GASEOSA, LA CAUSA ESTA CARGO DEL FISCALIA DE INSTRUCCIÓN DE LA II NOMINACIÓN A CARGO DE LA DRA. JUANA JUÁREZ DE DURÁN Y DEL JUZGADO DE INSTRUCCIÓN DE LA I NOMINACIÓN, A CARGO DEL DOCTOR RAÚL FERMOSELLE DEL CENTRO JUDICIAL DE CONCEPCIÓN, ACTUALMENTE EL SR. JUÁREZ SE ENCUENTRA EN LIBERTAD. POR ULTIMO INFORMO EN RELACIÓN AL ARTICULO Nº 32 DEL MENCIONADO OFICIO NO SE PUDO DAR CUMPLIMIENTO DEBIDO A QUE NO SE ESTABLECIÓ HASTA EL MOMENTO DOMICILIOS EN LA PROVINCIA DE BS. AS. SE AMPLIARA CUANDO SURJAN NOVEDADES RELEVANTES.</t>
  </si>
  <si>
    <t>N.N. S/ROBO A MANO ARMADA DAMNIFICADO LOCAL ANTARTUR-NUNATAK.</t>
  </si>
  <si>
    <t>Nª 20.242</t>
  </si>
  <si>
    <t>REQUISAL PERSONAL Y TOTALIDAD DE EQUIPAJE</t>
  </si>
  <si>
    <t>REQUISA PERSONAL</t>
  </si>
  <si>
    <t>TURNO PREVENTIVA</t>
  </si>
  <si>
    <t>EN EL DIA DE LA FECHA DE ACUERDO A OFICIO JUDICIAL S/Nª DEL JUZGADO INTERVINIENTE SE PROCEDIO A LA REQUISA DEL SR. SOSA HIBAR EDUARDO, PASAJERO DEL VUELO DE REFERENCIA, EN SU PERSONA Y PERTENENCIA, VALIJA COLOR NEGRA. CON EL OBJETO DE LOCALIZAR ELEMENTOS VINCULANTES A LA CAUSA. DANDO EL MISMO RESULTADO NEGATIVO, CONSULTADO PERSONAL DE POLICIA CIENTIFICA SOBRE SI TENIA ALGUN ELEMENTO DE INTERES MANIFIESTAN LOS MISMOS QUE PODRIA SER UNA CAMPERA COLOR AZUL QUE LLEVABA EL CAUSANTE, REALIZADA CONSULTA TELEFONICA CON S.SA. ESTE ORDENA UNICAMENTE TOMAR MUESTRAS FOTOGRAFICA DE DICHA CAMPERA Y QUE EL CIUDADANO CONTINUE VIAJE Y SE ELEVE LO ACTUADO, NO DISPONIENDO OTRA MEDIDA PARA EL CASO.-</t>
  </si>
  <si>
    <t>AR-2857</t>
  </si>
  <si>
    <t>ZONA PRIMARIA ADUANERA</t>
  </si>
  <si>
    <t>EN MOMENTOS QUE EL DENUNCIANTE CUMPLIA SUS FUNCIONES COMO CONTROLADOR ADUANERO, SE HACE PRESENTE UN MASCULINO QUIEN INTRODUCE EN LA MAQUINA DE RAYOS X EMPLAZADA EN EL LUGAR TODOS SUS EQUIPAJES. AL OBSERVAR QUE EN EL INTERIOR DE LOS MISMOS ERAN HABIDOS DIVERSOS ARTEFACTOS ELECTRONICOS, LE SOLICITA AL PASAJERO RECIEN ARRIBADO QUE APERTURE SUS EQUIPAJES. EN ESE MISMO MOMENTO COMENZO A PROPINAR INSULTOS Y AMENAZO CON AGREDIR FISICAMENTE AL PERSONAL ADUANERO. POR ULTIMO ESTE ULTIMO SE CONTACTA CON PERSONAL POLICIAL, QUIENES AL OBSERVAR LA SITUACION NOTIFICAN LA NOVEDAD AL JEFE DE TURNO, INDICANDO ESTE ULTIMO SE TRASLADEN TODOS HACIA ESTA GUARDIA DE PREVENCION, PARA LABRAR LAS ACTUACIONES QUE DIERAN A LUGAR.</t>
  </si>
  <si>
    <t>FRENTE DE CAJERO CITIBANK</t>
  </si>
  <si>
    <t>EN EL DÍA DE LA FECHA SE HACE PRESENTE EN ESTA DEPENDENCIA PERSONAL POLICIAL ACOMPAÑADO DE UN PASAJERO QUIEN REFIERE SER VICTIMA DE UN HECHO DELICTIVO, Y DOS MASCULINOS LOS CUALES FUERON SEÑALADOS COMO PRESUNTOS AUTORES DEL HECHO EN CUESTIÓN. LUEGO EN PRESENCIA DE LOS TESTIGOS CONVOCADOS, LA VICTIMA IDENTIFICA A LOS DOS MASCULINOS QUE INTENTARON SUSTRAERLE UN BOLSO DE ENTRE SUS PERTENENCIAS. EN EL MARCO DE ESTOS HECHOS EL JEFE DE TURNO SE CONSTITUYO EN EL CENTRO OPERATIVO DE CONTROL (C.O.C.) A FIN DE VISUALIZAR LOS REGISTROS FILMICOS RELACIONADOS A LA SITUACION. EN ESAS CIRCUNSTANCIAS EL JEFE DE TURNO ES ANOTICIADO POR PERSONAL POLICIAL DESTACADO EN LA PATRULLA DE TERMINAL A, SOBRE EL AVISTAMIENTO DE UN VEHICULO EN CERCANÍAS DEL PUESTO DENOMINADO MONTACARGAS, SOBRE EL CUAL ERAN HABIDOS DOS MASCULINOS EN ACTITUD SOSPECHOSA. A CUENTA DE ESTO SE REALIZA UNA BÚSQUEDA EN LOS REGISTROS FÍLMICOS DE DICHO VEHICULO QUE CUENTA CON DOMINIO HDX-752, OBTENIENDO COMO RESULTADO LA CONSTATACION QUE EL MISMO INGRESA A ESTE MEDIO ALREDEDOR DE LAS SIETE HORAS, VEINTIDOS MINUTOS DEL DIA DE LA FECHA, TRANSPORTANDO CUATRO MASCULINOS, DE LOS CUALES DOS DESCIENDEN EN LA PERGOLA DE TERMINAL A, SIENDO ESTOS ULTIMOS LOS QUE FUERAN TRASLADADOS A LA GUARDIA DE PREVENCION. POR ULTIMO SE TRASLADAN LOS DOS OCUPANTES DEL VEHICULO HACIA ESTA DEPENDENCIA A LOS FINES DE LABRAR LAS ACTUACIONES LEGALES CORRESPONDIENTES. LA UFI EN TURNO, DISPONE LA APREHENCION DE LOS CUATRO INDIVIDUOS EN CARACTER DE COMUNICADOS, DILIGENCIAS DE RIGOR Y EL TRASLADO DE LOS MISMOS A SEDE FISCAL JUNTO CON LO ACTUADO.</t>
  </si>
  <si>
    <t>OFICINAS DE ATENCION AL CLIENTE DE LA EMPRESA AEROPUERTOS ARGENTINA 2000</t>
  </si>
  <si>
    <t>EDIFICIO COORPORATIVO DE LA EMPRESA AEROPUERTOS ARGENTINA 2000 UBICADO EN EL AEROPUERTO INTERNACIONAL DE EZEIZA.</t>
  </si>
  <si>
    <t>EN EL DIA DE LA FECHA SE HACE PRESENTE EN ESTA DEPENDENCIA PERSONAL DE LA EMPRESA AEROPUERTOS ARGENTINA 2000, QUE SE IDENTIFICA COMO CARLOS GASTON BARROS, QUIEN MANIFIESTA QUE MIENTRAS SE ENCONTRABA DESEMPEÑANDO SUS FUNCIONES LABORALES EN EL SECTOR DE ATENCION AL CLIENTE, SITUADO EN EL EDIFICIO CORPORATIVO, RECIBE UNA LLAMADA TELEFONICA PRODUCIDA POR UNA VOZ MASCULINA QUIEN MANIFIESTA QUE EN EL VUELO DE MENCION SE ENCONTRARIAN VIAJANDO DOS PASAJEROS DE APELLIDOS MARIA ROBERT DE NACIONALIDAD ARGENTINA Y XAVIER AROBOLEDA DE NACIONALIDAD ECUATORIANA, QUE SERIAN MULAS Y TRANSPORTARIAN DROGA HACIA EL ECUADOR. POR TAL MOTIVO SE MANTIENE COMUNICACION CON EL JUZGADO DE TURNO, PARA INFORMAR DEL HECHO SUSCITADO Y SOLICITAR TEMPERAMENTO A SEGUIR. QUE POR DISPOSICION DEL MAGISTRADO EN TURNO SE PROCEDE A REALIZAR LA BUSQUEDA DE ESTAS PERSONAS. QUE UNA VEZ QUE FUERON CONVOCADOS TESTIGOS, CONSTITUIDOS EN LA POSICION DE DICHO VUELO, Y EN COLABORACION CON PERSONAL DE LA COMPAÑIA AEREA SE CONTACTO A UNA PASAJERA, A QUIEN SE LE SOLICITA DOCUMENTACION, EXHIBIENDO LA MISMA UN PASAPORTE ARGENTINO A NOMBRE DE MARIA EDUVIGES ROBERT. A TAL EVENTO SE LE SOLICITA QUE ACOMPAÑE A PERSONAL POLICIAL HACIA LA GUARDIA DE PREVENCION, EN DONDE EN UN CUARTO DESTINADO A TAL FIN SE PROCEDIO A LA REQUISA SOBRE LA PERSONA Y PERTENENCIAS DE LA PASAJERA, ARROJANDO LA MISMA RESULTADO NEGATIVO EN CUANTO A LA PRESENCIA DE SUSTANCIAS PROHIBIDAS. POR ULTIMO SE CONDUJO A DICHA PASAJERA HACIA LA MAQUINA BODY SCAN DE ADUANA, OBTENIENDO TAMBIEN RESULTADO NEGATIVO EN CUANTO A LA INGESTA DE CUERPOS EXTRAÑOS, POR LO QUE SE LE INFORMARON LOS RESULTADOS AL JUZGADO INTERVINIENTE DISPONIENDO SE PROCEDA A LA SOLTURA DE LA PASAJERA A FIN DE QUE LA MISMA CONTINUE SU VIAJE, CIERRE Y ELEVACION DE LAS ACTUACIONES A SEDE JUDICIAL.</t>
  </si>
  <si>
    <t>LA 1446</t>
  </si>
  <si>
    <t>MIENTRAS SE REALIZABA LA INSPECCION A TRAVES DE LA MAQUINA DE RAYOS X DEL EQUIPAJE DESPACHADO POR BODEGA DEL VUELO DE LA EMPRESA ALITALIA, PERSONAL POLICIAL OBSERVO EN EL MONITOR DE DICHA MAQUINA QUE EN EL INTERIOR DE UNA VALIJA TIPO CARRY ON DE MEDIANAS DIMENSIONES ERA HABIDA SUSTANCIA ORGANICA, SIN PODER DISCENIR DE QUE ELEMENTO SE TRATABA. POR LO CUAL SE CONVOCO LA PRESENCIA DE TESTIGOS HABILES Y DEL PROPIETARIO DEL EQUIPAJE EN CUESTION. SEGUIDAMENTE SE TRASLADARON LOS INTERVINIENTES HACIA LA GUARDIA DE PREVENCION, EN DONDE EN UN CUARTO DESTINADO A TAL FIN Y PREVIA AUTORIZACION JUDICIAL SE PROCEDIO A LA REQUISA SOBRE LA PERSONA Y SU EQUIPAJE. QUE LUEGO DE ABRIR LA VALIJA Y VACIARSU CONTENIDO FUE HALLADO POR DEBAJO DEL FORRO DE TELA DE LA MISMA SIETE PLANCHAS CONFECCIONADAS EN GOMA COLOR NEGRA, DE LAS CUALES A UNA DE ELLAS SE LA RASPO CON UN ELEMENTO CORTOPUNZANTE, OBTENIENDO UNA SUSTANCIA DE COLOR GRIS LA QUE SOMETIDA A REACTIVO DE CAMPO DIO RESULTADO POSITIVO. CONTINUANDO SE PROCEDIO DE IGUAL FORMA CON LAS DEMAS PLANCHAS OBTENIENDO IGUAL RESULTADO, PARA LUEGO REALIZAR EL PESAJE,SECUESTRO Y CONTINUAR CON LAS ACTUACIONES DE RIGOR.</t>
  </si>
  <si>
    <t>AZ 0681</t>
  </si>
  <si>
    <t>DOS REIS, FEDERICO S/AVERIGUACION DE CONTRABANDO</t>
  </si>
  <si>
    <t>PREEMBARQUE 1/16 - PUNTO DE INSPECCION Y REGISTRO DE PASAJEROS</t>
  </si>
  <si>
    <t>MIENTRAS SE REALIZABA EL CONTROL PREVENTIVO SOBRE LOS PASAJEROS DE L VUELO DE MENCION, SE PRESENTO UNA PERSONA DEL SEXO MASCULINO, EL CUAL AL PASAR POR EL MARCO DETECTOR DE METALES ACTIVO LAS ALARMAS SONORAS Y LUMINICAS DEL MISMO. POR TAL RAZON EL PERSONAL POLICIAL ALLI APOSTADO PROCEDIO A CHEQUEAR A DICHO PASAJERO POR SOBRE SUS ROPAS, POR MOTIVOS DE LA SEGURIDAD DE LA AVIACION, NOTANDO EN LA ZONA ABDOMINAL DEL MISMO UNA FAJA Y UNOS BULTOS QUE NO COINCIDIAN CON LA FISONOMIA DE SU CUERPO. ANTE LO CUAL DICHO PASAJERO MANIFIESTO EN FORMA ESPONTANEA QUE PADECIA DE PROBLEMAS EN LA COLUMNA, POR DICHO MOTIVO SE LE SOLICITO QUE SE LEVANTE LA REMERA, PUDIENDO OBSERVARSE QUE SE TRATABA DE UNA FAJA DE COLOR NEGRA. SUSCITADO ESTE HECHO EL PERSONAL INTERVINIENTE PROCEDIO A CONVOCAR TESTIGOS HABILES TRASLADANDOSE JUNTO AL PASAJERO HACIA LA GUARDIA DE PREVENCION. UNA VEZ EN EL ASIENTO DE LA GUARDIA EL PASAJERO MANIFIESTO DELANTE DE LOS TESTIGOS CONVOCADOS QUE TRANSPORTABA LA SUMA DE CINCUENTA MIL DOLARES ESTADOUNIDENSES. POR ULTIMO SE MANTUVO COMUNICACION TELEFONICA CON EL JUZGADO DE TURNO, QUIEN DISPUSO SE LABREN LAS ACTUACIONES CORRESPONDIENTES Y SE REALICE EL SECUESTRO DE LAS DIVISAS.</t>
  </si>
  <si>
    <t>P.S.A. S/INVESTIGACION PRELIMINAR N°15</t>
  </si>
  <si>
    <t>PSA S/INVESTIGACION PRELIMINAR N°15 CAUSA 97233/2010</t>
  </si>
  <si>
    <t>CALLE WALANIKA N°334 Y WALANIKA N° 255, DE LA CIUDAD DE USHUAIA TIERRA DEL FUEGO</t>
  </si>
  <si>
    <t>INFORMO: CON FECHA 06/12/10, EN EL MARCO DE LA CAUSA Y CARATULA DE REFERENCIA, SE PROCEDIO A DAR CUMPLIMIENTO A LA ORDEN DE ALLANAMIENTO Y REGISTRO CON HABILITACION DE HORARIO NOCTURNO DE LAS VIVIENDAS ANTES ENUNCIADAS DONDE HABITAN EN EL DOMICILIO DE WALANIKA N° 334 LOS CIUDADANOS FEDERICO NAHUEL LEICHNER GODOY Y SU HERMANO LUCAS JOEL LEICHNER GODOY, Y EN EL DOMICILIO DE WALANIKA N° 255 DONDE HABITA EL CIUDADANO ALEJANDRO GERMAN WOLSHINK. DEL PROCEDIMIENTO REALIZADO POR ESTA PREVENCION POLICIAL, ARROJO EL SIGUIENTE RESULTADO: EN EL PRIMER DOMICILIO SE PROCEDIO AL SECUESTRO DE SUSTANCIA ESTUPEFACIENTE VEGETAL PARDUZCA CON UN PESO TOTAL DE 1910 GRS. DE MARIHUANA Y EN SUSTANCIA SINTETICA -COCAINA- 2 GRS. BALANZA ELECTRONICA MARCA ASPEN, UNA PLANTA CANNABIS SATIVA DE 30 CM DE ALTURA APROXIMADAMENTE, DINERO EN Y DIVERSA DOCUMENTACION PARA INTERES EN LA CAUSA. EN EL SEGUNDO DOMICILIO SE PROCEDIO AL SECUESTRO DE SUSTANCIA ESTUPEFACIENTE MARIHUANA 76 GRS, Y 3 GRS. DE SEMILLA CANNABIS SATIVA Y DIVERSA DOCUMENTACION PARA INTERES DE LA CAUSA. DE LOS SECUESTROS ANTES ENUNCIADOS SE INFORMO A LA FISCALIA FEDERAL Y AL JUZGADO FEDERAL DISPONIENDO SU SSA. LA DETENCION DE LOS IMPUTADOS EN CALIDAD DE INCOMUNICADOS, LOS CUALES POSTERIORMENTE FUERON ALOJADOS EN EL SERVICIO PENITENCIARIO PROVINCIAL. DANDO FINALIZACION A LA ORDEN DE SERVICIO 34/10 UOSP USU.</t>
  </si>
  <si>
    <t>EN CUMPLIMIENTO DE LA ORDEN DE SERVICIO NRO. 0110/2010 Y SIENDO LAS 04:02 HORA LOCAL DESPEGA AERONAVE AIR BUS A 320, MATRICULA LV-BET, PERTENECIENTE A LA EMPRESA LAN ARGENTINA Y EN CUYAS BODEGAS 12 Y 13 SE EMBARCAN UN TOTAL DE 100 CAJAS CON UN PESO DE 2200 KILOGRAMOS DE METAL-MTD- PERTENECIENTES A LA EMPRESA MINERA CERRO VANGUARDIA, CON DESTINO FINAL EL AEROPUERTO JORGE NEWBERY DE CAPITAL FEDERAL.</t>
  </si>
  <si>
    <t>AERPUERTO JORGE NEWBERY- CAPITAL FEDERAL</t>
  </si>
  <si>
    <t>EN CUMPLIMIENTO DE LA ORDEN DE SERVICIO NRO. 0110/2010 Y SIENDO LAS 08:15 HORA LOCAL DESPEGA AERONAVE MD 83, MATRICULA LV-BOR, PERTENECIENTE A LA EMPRESA AUSTRAL LINEAS AEREAS Y EN CUYAS BODEGAS 3 Y 4 SE EMBARCAN UN TOTAL DE 42 CAJAS CON UN PESO DE 900 KILOGRAMOS DE METAL-MTD- PERTENECIENTES A LA EMPRESA CERRO VANGUARDIA CON DESTINO FINAL EL AEROPUERTO JORGE NEWBERY DE CAPITAL FEDERAL</t>
  </si>
  <si>
    <t>AERPUERTO GRAL. MOSCONI- COMODORO RIVADAVIA</t>
  </si>
  <si>
    <t>6512/10</t>
  </si>
  <si>
    <t>PROVINCIAS DE SALTA, TUCUMAN, SANTIAGO DEL ESTERO, JUJUY Y CATAMARCA</t>
  </si>
  <si>
    <t>SE AMPLIA PARTE RESERVADO N° 6512 DE FECHA 19-10-10 RELACIONADO CON LAS TAREAS INVESTIGATIVAS QUE LLEVA A CABO PERSONAL DE ESTA UNIDAD EN EL MARCO DEL EXPTE. N° 770/10 CARATULADO AVERIGUACION INFRACCION A LA LEY 23737 SOLICITA POLICIA DE SEGURIDAD AEROPORTUARIA, TAREAS INVESTIGATIVAS REALIZADAS MEDIANTE ORDEN DE SERVICIO N° 40/10 DE FECHA 09-11-10. EL GRUPO A CARGO DE LAS MENCIONADAS TAREAS INFORMA QUE LA EMPRESA FLASH CORREO PRIVADO MAYORISTA POSEE SUCURSALES EN SALTA CAPITAL, SANTIAGO DEL ESTERO, JUJUY, CATAMARCA Y LA CASA CENTRAL SE ENCUENTRA EN TUCUMAN. SIN EMBARGO SOLO SE REALIZA EL DESPACHO DE CARGA Y CORREO POR LOS AEROPUERTOS DE SALTA Y TUCUMAN, REALIZANDO DICHOS DESPACHOS POR LAN-CARGO. MEDIANTE O.S. N° 046/10 DE FECHA 18-NOV-10, PERSONAL DE ESTA UNIDAD REALIZÓ CONTROLES EXHAUSTIVOS EN CONJUNTO CON CADA UOSP, SOBRE TODAS LAS CARGAS NACIONALES E INTERNACIONALES DESPACHADAS POR LA EMPRESA FLASH, EN LOS VUELOS DE LAN ARGENTINA, RESULTANDO HASTA EL MOMENTO SIN NOVEDAD. SE AMPLIARÁ CUANDO SURJAN NOVEDADES.</t>
  </si>
  <si>
    <t>FISCALIA PENAL DE INSTRUCCION DE LA IIIª NOMINACION</t>
  </si>
  <si>
    <t>Marnero</t>
  </si>
  <si>
    <t>Teresita</t>
  </si>
  <si>
    <t>ANDREA CARLINO</t>
  </si>
  <si>
    <t>ACTAUCIONES DE OFICIO</t>
  </si>
  <si>
    <t>FRENTE AL EDIFICIO CENTRAL</t>
  </si>
  <si>
    <t>CALLE DE ACCESO PRINCIPAL</t>
  </si>
  <si>
    <t>SIENDO LAS 07:30 HORAS EN MOMENTOS EN QUE PERSONAL DE SERVICIO REALIZABA UNA PATRULLA POR EL SECTOR PUBLICO DE CALLE PRINCIPAL DE LA AEROESTACION, SE VISUALIZA UNA PERSONA DE SEXO FEMENINO QUE SE DESPLAZABA A PIE EN FORMA ERRATICA, MOTIVO POR EL CUAL SE APROXIMARON A LA MISMA LOS OFICIALES IBARRECHE INES Y TABOADA FERNANDO, QUIENES AL ACERCARSELE PARA IDENTIFICAR A ESTA PERSONA, OBSERVARON QUE LA MISMA SE ENCONTRABA SIN CALZADO , LO QUE LLAMO LA ATENCION DEL PERSONAL INTERVINIENTE. SEGUIDAMENTE SE LE EFECTUARON PREGUNTAS PARA TRATAR DE IDENTIFICAR A LA MISMA, TENIENDO COMO RESPUESTA FRASES INCOHERENTES, SIN PODER DETERMINAR DATOS FILIATORIOS. SE LA TRASLADO AL SERVICIO MEDICO DE ESTE AEROPUERTO PARA DETERMINAR LAS CONDICIONES FISICAS DE LA PERSONA EN CUESTION, ENCONTRANDOSE LA MISMA CON PARAMETROS NORMALES. ESPONTANEAMENTE LA CAUSANTE MANIFESTO LLAMARSE ESTEFANIA LIRIO DEROY, CON DNI N° 32.315.554, DE 24 AÑOS DE EDAD, CON DOMICILIO EN BARRIO SMATA MANZANA 4, LOTE 8 DE LA PROVINCIA DE SANTIAGO DEL ESTERO, APORTANDO ADEMAS UN NUMERO TELEFONICO 0385-4317012. SE DIO INTERVENCION A LA FISCALIA PENAL DE INSTRUCCION DE LA III NOMINACION, DETERMINANDO LA DRA, CARLINO ANDREA, PROSECRETARIA, QUE SE VERIFIQUEN LOS DATOS APORTADOS. PARA ESTO SE LLAMA AL NUMERO TELEFONICO OBTENIDO, SIENDO ATENDIDO POR UN FAMILIAR QUE SE IDENTIFICO COMO MARIA ESTER NAUFAL, QUE DIJO SER ABUELA DE LA CAUSANTE,MANIFESTANDO QUE SE PONDRIA EN CONTACTO CON LA MADRE DE LA SEÑORITA DEROY. SEGUIDAMENTE, SE ENTABLO NUEVA COMUNICACION CON LA FISCALIA INTERVINIENTE PARA TRANSMITIR EL AVANCE DE LAS ACTUACIONES, ORDENANDO LA SRA. PROSECRETARIA QUE SE HAGA ENTREGA DE LA PERSONA A SUS FAMILIARES DIRECTOS. NUEVAMENTE SE LLAMA A LA SRA, NAUFAL PARA CONFIRMAR SI SE HABRIA PODIDO COMUNICAR CON LA MADRE DE LA SRTA. DEROY CONFIRMANDO QUE YA LOS FAMILIARES SE ESTABAN TRASLADANDO HACIA ESTA DEPENDENCIA PARA RETIRAR A LA MISMA.SE AMPLIARA EL PRESENTE UNA VEZ FINALIZADAS LAS ACTUACIONES.</t>
  </si>
  <si>
    <t>DR. GONZALO LOPEZ QUINTANA</t>
  </si>
  <si>
    <t>ACTUACIONES TENDIENTES A LOGRAR LA DETENCION DE LAS PERSONAS CON PEDIDO DE CAPTURA DENTRO DE LOS AUTOS GUERRIERI</t>
  </si>
  <si>
    <t>EXPTE. Nº 367/03 y Acum.</t>
  </si>
  <si>
    <t>CALLE BRASIL 876 DE LA CIUDAD DE LA FALDA, PROVINCIA DE CORDOBA.</t>
  </si>
  <si>
    <t>POR EL PRESENTE SE INFORMA QUE SIENDO EL DIA 19 DE NOVIEMBRE DEL CORRIENTE AÑO SE RECEPCIONO OFICIO JUDICIAL VIA FAX CON FECHA 25 DE OCTUBRE DEL CORRIENTE AÑO DIRECCIONADO AL SR. JEFE DE LA POLICIA DE SEGURIDAD AEROPORTUARIA DONDE SOLICITA SE REALICE LAS TAREAS DE INTELIGENCIA TENDIENTES A AVERIGUAR SI EN EL DOMICILIO DE CALLE BRASIL 876 DE LA CIUDAD DE CORDOBA VIVE ANDRES AGUSTIN REBECHI, Y EN EL CASO DE SER POSITIVO SE DEBERA ESTABLECER SI EL MISMO TIENE CONTACTO CON SU HERMANO EDUARDO REBECHI, COMO ASI TAMBIEN SE DEBERAN OBTENER LOS NUMEROS DE TELEFONOS TANTO FIJO COMO CELULAR QUE EL NOMBRADO EN PRIMER TERMINO UTILIZARA. EL PRESENTE REQUERIMIENTO SE REALIZO EN RELACION A LOS AUTOS CARATULADOS ACTUACIONES TENDIENTES A LOGRAR LA DETENCION DE PERSONAS CON PEDIDO DE CAPTURA DENTRO DE LOS AUTOS GUERRERI EXPTE. 367/03 Y ACUM. DE TRAMITE ANTE EL JUZGADO FEDERAL Nº 4 DE ROSARIO A CARGO DE L DR. MARCELO MARTIN BAILAQUE, SECRETARIA DE DERECHOS HUMANOS A CARGO DEL DR. GONZALO LOPEZ QUINTANA. SE REALIZO CONSULTA VIA MAIL A PAGINAS AMARILLAS DONDE SE LOGRA OBTENER UN NUMERO TELEFONICO FIJO A NOMBRE DEL SR. ANDRES AGUSTIN REBECHI CON DIRECCION EN CALLE BRASIL S/N LOCALIDAD DE LA FALDA, PROVINCIA DE CORDOBA. AMPLIANDO PARRAFO ANTERIOR EL DIA 23 DE NOVIEMBRE SE REALIZO COMISION HASTA LA LOCALIDAD DE LA FALDA, PROVINCIA DE CORDOBA, LOGRANDO CONSTATAR QUE EL SR. ANDRES AGUSTIN REBECHI VIVIRIA ACTUALMENTE EN ESE DOMICILIO. POSTERIORMENTE SIENDO EL DIA 24 SE ELEVO EL INFORME PERTINENTE AL JUZGADO ACTUANTE.</t>
  </si>
  <si>
    <t>7142/10</t>
  </si>
  <si>
    <t>822/10</t>
  </si>
  <si>
    <t>SE PROCEDE A LA APERTURA DE TRES ENCOMIENDAS DEL CORREO OFICIAL, SEGUN CONSTA EN ACTA DE APERTURA DE CARGAS Nº 505/10, PREV. SUM. Nº 110/10, EN VIRTUD DE LO ORDENADO EN OFICIO JUDICIAL Nº 4004/10 DEL MAGISTRADO ACTUANTE Y EN PRESENCIA DE DOS TESTIGOS HABILES. LA 1ª IDENTIFICADA COMO EP716768545AR,RTTE. SR. CHOQUE D.LUIS, LUIS NENNET Nº 753,C.P.4600 S.S. DE JUJUY,DEST. SR.CHOQUE FRANCISCO, MARIA AUXILIADORA Nº 465, EDIFICIO 23 DPTO.1,RIO GRANDE C.P. 9420,TIERRA DEL FUEGO,CONTIENE:NUEVE PAQUETES DE HOJAS DE COCA CON UN PESO TOTAL DE 2.236 GRS. LA 2ª EP065010421AR, RTTE. SR. SIMON CORONEL, SANTIBAÑEZ Nº 826,PALPALA JUJUY,C.P. 4612 Y DEST.SRA. ELENA URSAGASTI, AVDA. DE LOS MINEROS Nº 1437 -CRI-SA-RU-, RIO TURBIO,C.P. 9407,STA. CRUZ, CONTIENE: DIEZ PAQUETES DE HOJAS DE COCA CON UN PESO TOTAL DE 3.260 GRS. Y LA 3ª EP705772235AR, RTTE. SR. CIPRIANO ZOITO, CALLE 61 M 28 L 4, Bº CAMPO VERDE S.S.DE JUJUY,C.P. 4600, DEST. SRA. NORALI TOLABA, CALLE LILA ESQ.SAUCE, Bº KOLTUN, CALETA OLIVIA STA. CRUZ C.P. 9011, CONTIENE: CATORCE PAQUETES DE HOJAS DE COCA CON UN PESO TOTAL DE 3.422 GRS. LAS ENCOMIENDAS SECUESTRADAS SERAN PUESTA A DISPOSICION DE LA ADUANA DE SALTA POR SUPUESTA INFRACCION AL CODIGO ADUANERO LEY 22.415 Y LAS ACTUACIONES REMITIDAS A SEDE JUDICIAL. SEGÚN PU ORIGINARIO N° 7130 SE PROCEDE A LA RETENCION DE TRES SACAS COLECTORAS DEL CORREO OFICIAL, SEGUN CONSTA EN ACTA DE RETENCION DE CARGA Nº 0469/10, QUE ORIGINA LA PREVENCION SUMARIA Nº 110/10, LA PRIMERA SACA IDENTIFICADA CON MARBETE SLA0171495E555900RGA, PRECINTO Nº E239780, CON UN PESO DECLARADO DE 17,800 KGS. CON DESTINO A LA CIUDAD DE RIO GRANDE, CONTENDRIA 5 PIEZAS POSTALES, LA SEGUNDA SACA IDENTIFICADA CON MARBETE SLA0216522E555600CRD, PRECINTO Nº E055618 CON UN PESO DECLARADO DE 18,300 KGS. CON DESTINO A LA CIUDAD DE COMODORO RIVADAVIA, CONTENDRIA 6 PIEZAS POSTALES Y LA TERCERA SACA IDENTIFICADA CON MARBETE SLA0216980E555700RGL, PRECINTO Nº E248660, CON UN PESO DECLARADO DE 28,100 KGS., CON DESTINO A LA CIUDAD DE RIO GALLEGOS, CONTENDRIA 6 PIEZAS POSTALES, LAS MISMAS ESTAN AMPARADAS EN GUIA DE CARGA Nº 9308953-3, DESPACHADAS A TRAVES DE LA EMPRESA DE CARGA AEREAS JET PAQ. LA RETENCION SE REALIZA ANTE LA PRESUNCION DE QUE PUDIERAN CONTENER ALGUN ELEMENTO EN INFRACCION A LA LEY 23.737 Y/O 22.415, QUEDANDO LAS MISMAS CERRADAS Y PRECINTADAS EN GUARDA EN ESTA UOSP. SEGUN LO COORDINADO CON EL DR.SANTIAGO FRENCH, A CARGO DE LA SECRETARIA PENAL Nº 2 DEL JUZGADO FEDERAL DE SALTA Nº 1 A CARGO DEL DR. JULIO LEONARDO BAVIO. LA APERTURA SE REALIZARA EN PRESENCIA DEL PERSONAL DEL CORREO OFICIAL. SEGÚN AMPL. PU N° 7142/10 SE PROCEDE A LA APERTURA DE TRES SACAS COLECTORAS DEL CORREO OFICIAL, SEGUN CONSTA EN ACTA DE RETENCION DE CARGA Nº 0469/10, QUE ORIGINA LA PREVENCION SUMARIA Nº 110/10, LA PRIMERA SACA IDENTIFICADA CON MARBETE SLA0171495E555900RGA, PRECINTO Nº E239780, CONTIENE CUATRO PIEZAS POSTALES: LA 1ª IDENTIFICADA COMO EP716768545AR,RTTE. SR. CHOQUE DANIEL,DOMICILIO LUIS NENNET Nº 753,C.P.4600 S.S. DE JUJUY,DESTINATARIO SR.CHOQUE FRANCISCO, DOMICILIO MARIA AUXILIADORA Nº 465,Bº EDIFICIO 23 DPTO.1,RIO GRANDE C.P. 9420,TIERRA DEL FUEGO, QUEDA RETENIDA, Y LAS EP065010347AR, EP716771156AR, EP669755736AR SON ENTREGADAS AL SR. ARIAS PARA SU REDESPACHO, LA 2ª IDENTIFICADA CON MARBETE SLA0216522E555600CRD, PRECINTO Nº E055618 CON TIENE SIETE PIEZAS POSTALES: LA 1ª IDENTIFICADA COMO EP065010421AR, RTTE. SR. SIMON CORONEL,DOMICILIO CALLE SANTIBAÑEZ Nº 826,PALPALA JUJUY,C.P. 4612 Y DEST.SRA. ELENA UVSAGAATI, DOMICILIO AVDA. LOS MINEROS Nº 1434, RIO TURBIO,C.P. 9407,STA. CRUZ, QUEDA RETENIDA, LAS EP065010395AR, EP655042046AR,EP668224572AR, EP669755679AR, EP669755696AR, EP711448289AR, SON ENTREGADAS AL SR. ARIAS PARA SU REDESPACHO. LA 3ª SACA IDENTIFICADA CON MARBETE SLA0216980E555700RGL, PRECINTO Nº E248660, CONTIENE TRES PIEZAS POSTALES: LA 1ª IDENTIFICADA COMO EP705772235AR, RTTE. SR. CIPRIANO ZOITO, DOMICILIO CALLE 61 MZA. 28 E 4, Bª CAMPO VERDE S.S.DE JUJUY,C.P. 4600, DESTINATARIO SRA. NORALLI TOLABA, DOMICILIO CALLE LILA ESQ.SAUCE, Bº KOLTUN, CALETA OLIVIA STA. CRUZ C.P. 9011, QUEDA RETENIDA Y LAS EP711448258AR, EP724945741AR, SON ENTREGADAS AL SR. ARIAS PARA SU REDESPACHO . LA MISMA SE REALIZA ANTE LA PRESUNCION DE QUE PUDIERAN CONTENER ALGUN ELEMENTO EN INFRACCION A LA LEY 23.737 Y/O 22.415, QUEDANDO LAS MISMAS CERRADAS Y EN GUARDA EN ESTA UOSP. SE COMUNICO TELEFONICAMENTE AL JUZGADO INTERVINIENTE. Y LA APERTURA SE REALIZARA CON LA AUTORIZACION DEL MAGISTRADO ACTUANTE.</t>
  </si>
  <si>
    <t>PARTE INTERNA DEL MOSTRADOR</t>
  </si>
  <si>
    <t>MOSTRADOR DE CHECK IN Nº 30</t>
  </si>
  <si>
    <t>QUE EL DIA 06 DEL CORRIENTE MES Y AÑO SIENDO APROXIMADAMENTE LAS 10:30 HORAS, EN MOMENTOS EN QUE EL DENUNCIANTE COMIENZA CON SUS FUNCIONES EN EL MOSTRADOR DE CHECK IN Nº 30 DE LA EMPRESA LAN, DEJA COLOCADA SU MOCHILA EN EL RESPALDO DE LA SILLA. POSTERIORMENTE SIENDO LAS 12:30 HORAS, AL MOMENTO DE FINALIZAR SU TURNO Y RETIRARSE, SE PERCATA DEL FALTANTE DE SU MOCHILA, POR LO QUE CONSULTA CON PERSONAL DE LA EMPRESA QUE SE ENCONTRABA EN EL LUGAR, Y PERSONAL DE HANDLING QUE OPERA EN EL PATIO DE VALIJAS, OBTENIENDO RESULTADO NEGATIVO ANTE LA BUSQUEDA DE LA MISMA. POR LO QUE EN EL DIA DE LA FECHA, AL NO HABER APARECIDO SU MOCHILA, DECIDE RADICAR LA CORRESPONDIENTE DENUNCIA PENAL POR LA SUSTRACCION DE LA MISMA.-</t>
  </si>
  <si>
    <t>7749/10</t>
  </si>
  <si>
    <t>HALL DE ARRIBOS - FRENTE DE CAJERO CITIBANK</t>
  </si>
  <si>
    <t>EL DIA 07 DEL CORRIENTE MES Y AÑO APROXIMADAMENTE A LAS 7:40 HORAS EN CUMPLIMIENTO A LO ORDENADO SE PROCEDIO AL TRASLADO DE LOS APREHENDIDOS HACIA EL ASIENTO DE LA UNIDAD DE INSTRUCCION INTERVININTE. PTO.-</t>
  </si>
  <si>
    <t>AA 909</t>
  </si>
  <si>
    <t>CHICAGO</t>
  </si>
  <si>
    <t>SECTOR ADUANERO DE LA TERMINAL A</t>
  </si>
  <si>
    <t>QUE SIENDO LAS OCHO HORAS CUARENTA Y CINCO MINUTOS APROXIMADAMENTE, ARRIBO A ESTE AEROPUERTO INTERNACIONAL, Y LUEGO DE REALIZAR LOS TRAMITES MIGRATORIOS CORRESPONDIENTES AL INGRESO AL TERRITORIO NACIONAL, SE HIZO PRESENTE EN EL SECTOR ADUANERO, DONDE DEPOSITA SUS EQUIPAJES EN LA MAQUINA DE RX EMPLAZADA EN EL SECTOR, QUITANDO LA ATENCION POR UNOS SEGUNDOS DE UN BOLSO PORTA NOTEBOOK DE SU PROPIEDAD, EL CUAL NO RECUERDA SI QUEDO SOBRE EL PISO O SOBRE EL CARRO PORTAMALETAS, FINALIZADO EL CONTROL SOBRE LOS EQUIPAJES, SE PERCATA QUE EL BOLSO PORTA NOTEBOOK DE MENCION, NO SE ENCONTRABA EN EL LUGAR. AL NO PODER DAR CON SUS PERTENENCIAS FALTANTES, SE CONSTITUYO EN ESTA GUARDIA DE PREVENCION CON EL OBJETO DE RADICAR LA DENUNCIA. SE DIO INTERVENCION AL JUZGADO FEDERAL DE TURNO.</t>
  </si>
  <si>
    <t>COLABORACION EN PERSECUCION CON POLICIA DE LA PROVINCIA</t>
  </si>
  <si>
    <t>SECTOR ESTE DE LA PISTA 18/36 DESDE LOS POLVORINES HASTA LA CABECERA SUR, SEGUN PLANO GRILLADO SECTORES 9J,9K,9L,9M,9N,9O,9P,8Q,8R Y 7R</t>
  </si>
  <si>
    <t>SIENDO LAS 11:00 HORAS EL OF. AYTE SANTANDER DIEGO RECEPCIONA UNA LLAMADA TELEFÓNICA PROCEDENTE DEL SUBOFICIAL MAYOR LLORCA DE LA IV BRIGADA AÉREA, EL CUAL LE INFORMA QUE HA TOMADO CONOCIMIENTO POR PARTE DE PERSONAL MILITAR DE ESA DEPENDENCIA UBICADO EN EL PUESTO B DE LA IV BRIGADA AEREA EL CUAL SE ENCUENTRA JUNTO A LOS POLVORINES, DE QUE HABRIA PERSONAL DE POLICIA DE LA PROVINCIA DE MENDOZA EN PERSECUCION DE UN INDIVIDUO EL CUAL HABRIA INGRESADO AL PERIMETRO DE LA JURISDICCION DE ESTE AEROPUERTO, ASIMISMO EL SUBOFICIAL LLORCA NOS INFORMA QUE LE ORDENO AL PERSONAL APOSTADO EN EL PUESTO ANTERIORMENTE MENCIONADO QUE NO ACTUE FUERA DE LA JURISDICCION DE ESA UNIDAD MILITAR, POR LO ANTERIORMENTE EL OF. SANTANDER LE INFORMA DE DICHA NOVEDAD INMEDIATAMENTE AL JEFE DE UNIDAD OPERACIONAL, QUIEN EN COORDINACION CON EL JEFE DE LA DOESA VI MENDOZA EL OF. AYTE. MIRANDA RUBEN Y EL JEFE DE TURNO DEL DIA DE LA FECHA ORDENA SE DESPLIEGUE PERSONAL EN PLATAFORMA OPERATIVA, EN LA TORRE DE CONTROL DE ESTA AEROESTACION, COMO ASI TAMBIEN SE ORDENA EL DESPLAZAMIENTO DE PERSONAL HACIA EL SECTOR EN CUESTION, ASIMISMO SE REALIZO COMUNICACION TELEFÓNICA CON LA SALA DE SITUACIÓN DEL CONSEJO DE COMPLEMENTACIÓN PROVINCIAL, ENTABLANDO COMUNCIACIÓN CON EL CABO 1RO GOMEZ SERGIO A QUIEN SE LE INFORMO DE QUE ESTA UNIDAD OPERACIONAL YA HABIA TOMADO CONOCIMIENTO DE LOS HECHOS Y DE QUE SE DESPLEGABA PERSONAL DENTRO DEL AMBITO JURISDICCIONAL, CON LA INTENCIÓN DE RASTRILLAR LA ZONA Y DE PRESTAR COLABORACIÓN AL PERSONAL POLICIAL DE LA POLICIA DE LA PROVINCIA DE MENDOZA QUE SE ENCONTRABA EN LAS INMEDIACIONES DEL SECTOR EN LA PROSECUCIÓN DE UN HECHO DELICTIVO, ASIMISMO SIENDO APROXIMADAMENTE LAS 11:35 HORAS SE ENTABLA COMUNICACION TELEFONICA CON EL JEFE DE ESTACIÓN AEREA EL ING. ALEJANDRO BARRIONUEVO A QUIEN SE LE INFORMA DE LA SITUACION Y QUIEN INMEDIATAMENTE DISPONE LA CANCELACION MOMENTANEA DE LAS OPERACIONES AEREAS. ACTO SEGUIDO Y DESPUES DE QUE PERSONAL DE LA POLICIA DE PROVINCIA TANTO POR TIERRA COMO POR AIRE NO DETECTARA A NADIE DENTRO DEL PERIMETRO DE ESTA UNIDAD OPERACIONAL, Y UNA VEZ DE QUE EL PERSONAL DESPLEGADO EN EL LUGAR CORROBORARA QUE EL RASTRILLAJE HABIA FINALIZADO SIN NOVEDAD Y SIENDO LAS 12:10 HORAS SE LE INFORMO AL JEFE DE AEROPUERTO DE QUE EL OPERATIVO HABIA FINALIZADO POR LO QUE EL MISMO DISPUSO LA APERTURA DE LAS OPERACIONES DE LA ESTACION AEREA, SIENDO LAS 13:10 HS</t>
  </si>
  <si>
    <t>7357/10</t>
  </si>
  <si>
    <t>SUP. INFRACCION A LAS LEYES 22.415 Y 23.737</t>
  </si>
  <si>
    <t>830/10</t>
  </si>
  <si>
    <t>SE PROCEDE A LA APERTURA DE DOS ENCOMIENDAS DEL CORREO OFICIAL, SEGUN CONSTA EN ACTA DE APERTURA DE CARGAS Nº 506/10, PREV. SUM. Nº 111/10, EN VIRTUD DE LO ORDENADO MEDIANTE OFICIO JUDICIAL Nº 2837, DEL MAGISTRADO ACTUANTE Y EN PRESENCIA DE DOS TESTIGOS HABILES. LA 1º IDENTIFICADA COMO EP716771845AR,RTTE. SRA. MARIA GRISELDA RODRIGUEZ,TENIENTE 1º BOLZAN 884, 65 VIVIENDAS, ALTO COMEDERO,C.P.4600, S.S.DE JUJUY Y DEST. OSCAR OSVALDO MENDOZA, MARIA AUXILIADORA 2288,Bº EVITA,RIO GALLEGOS, STA.CRUZ, CONTIENE: DIEZ PAQUETES DE HOJAS DE COCA CON UN PESO TOTAL DE 2.462 GRS. LOS CUALES QUEDAN SECUESTRADOS, Y EL RESTO DE LA ENCOMIENDA PRENDAS DE VESTIR VARIAS, ELEMENTOS DE USO PERSONAL VARIOS Y ESPECIES PARA CONDIMENTO -PIMIENTA BLANCA, OREGANO Y COMINO- A LOS QUE SE LES REALIZA PRUEBA DE CAMPO CON REACTIVO PARA COCAINA -MARCA COCA TEST - AEROSOL, DANDO COMO RESULTADO NEGATIVO, LOS MISMOS SERAN ENTREGADOS AL CORREO OFICIAL PARA SU REDESPACHO POR NO SER DE INTERES PARA EL PROCEDIMIENTO. LA 2º EP716771933AR, RTTE. SRA. SOLEDAD BUSTAMANTE, CALLE 58,M 88, LOTE 9, Bº 9 DE JULIO,CAMPO VERDE, JUJUY Y DEST. SRA. EVA MARIA CARDOZO,Bº VISTA HERMOSA 1, CALLE PERITO MORENO Nº 1319, C.P. 9011, CALETA OLIVIA , STA. CRUZ, CONTIENE: DIEZ PAQUETES DE HOJAS DE COCA CON UN PESO TOTAL DE 2.431 GRS. QUEDA SECUESTRADA. LOS SECUESTROS SERAN PUESTOS A DISPOSICION DE LA ADMINISTRACION DE ADUANA DE SALTA POR SUPUESTA INFRACCION AL CODIGO ADUANERO LEY 22.415 Y LAS ACTUACIONES REMITIDAS A SEDE JUDICIAL. PU ORIGINARIO N° 7353 SE PROCEDE A LA RETENCION DE DOS SACAS COLECTORAS DEL CORREO OFICIAL, SEGUN CONSTA EN ACTA DE RETENCION DE CARGAS Nº 0476/10, QUE ORIGINA LA PREVENCION SUMARIA Nº 111/10, LA PRIMERA SACA IDENTIFICADA CON MARBETE SLA9122139D555700RGL, PRECINTO Nº E255959, CON UN PESO DECLARADO DE 10,400 KGS. CON DESTINO A LA CIUDAD DE RIO GALLEGOS, CONTENDRIA DOS PIEZAS POSTALES, LA SEGUNDA SACA IDENTIFICADA CON MARBETE SLA0216507E555600CRD, PRECINTO Nº E255003, CON UN PESO DECLARADO DE 5,900 KGS., CON DESTINO A LA CIUDAD DE COMODORO RIVADAVIA, CONTENDRIA DOS PIEZAS POSTALES, LAS MISMAS ESTAN AMPARADAS EN GUIA AEREA Nº 9309006-0, DESPACHADAS A TRAVES DE LA EMPRESA DE CARGA AEREA JET PAQ. LA RETENCION SE REALIZA ANTE LA PRESUNCION DE QUE PUDIERAN CONTENER ALGUN ELEMENTO EN INFRACCION A LA LEY 23.737 Y/O 22.415, QUEDANDO LAS MISMAS CERRADAS Y PRECINTADAS EN GUARDA EN ESTA UOSP. SEGUN LO COORDINADO CON EL DR. SANTIAGO FRENCH, A CARGO DE LA SECRETARIA PENAL Nº 2 DEL JUZGADO FEDERAL DE SALTA Nº1 A CARGO DEL DR. JULIO LEONARDO BAVIO, LA APERTURA SE REALIZARA EN PRESENCIA DEL PRESONAL DEL CORREO OFICIAL SEGÚN AMPL. PU N° 7357/10 SE PROCEDE A LA APERTURA DE DOS SACAS COLECTORAS DEL CORREO OFICIAL, SEGUN CONSTA EN ACTA DE RETENCION DE CARGAS Nº 0476/10, QUE ORIGINA LA PREVENCION SUMARIA Nº 111/10, LA PRIMERA SACA IDENTIFICADA CON MARBETE SLA9122139D555700RGL, PRECINTO Nº E255959, CON TIENE DOS PIEZAS POSTALES, LA 1º IDENTIFICADA COMO EP716771845AR,RTTE. SRA. MARIA GRISELDA RODRIGUEZ,DOMICILIO,TTE 1º BOLZAN Nº 884,Bº 65 VIVIENDAS, ALTO COMEDERO,C.P.4600, S.S.DE JUJUY Y DESTINATARIO OSCAR OSVALDO MENDOZA,DOMICILIO MARIA AUXILIADORA Nº 2288,Bº EVITA,RIO GALLEGOS,C.P. 9400,STA.CRUZ, QUEDA RETENIDA Y LA EU854318788AR, ES ENTREGADA AL SR. ARIAS PARA SU REDESPACHO.LA 2º SACA IDENTIFICADA CON MARBETE SLA0216507E555600CRD,PRESCINTO Nº E255003 ,CONTIENE DOS PIEZAS POSTALES: LA 1º IDENTIFICADA COMO EP716771933AR, RTTE. SRA. SOLEDAD BUSTAMANTE , CALLE 58,MZA. 8 ,LOTE 9, Bº 9 DE JULIO,CAMPO VERDE, JUJUY Y DESTINATARIO SRA. EVA MARIA CARDOZO,Bº VISTA HERMOSA 1, DOMICILIO CALLE PERITO MORENO Nº 1319, C.P. 9011, CALETA OLIVIA , STA. CRUZ , QUEDA RETENIDA Y LA EP711448377AR, ES ENTREGADA AL SR. ARIAS PARA SU REDESPACHO .LA MISMA SE REALIZA ANTE LA PRESUNCION DE QUE PUDIERAN CONTENER ALGUN ELEMENTO EN INFRACCION A LA LEY 23.737 Y/O 22.415,QUEDANDO LAS MISMAS CERRADAS Y EN GUARDA EN ESTA UOSP. SE COMUNICO TELEFONICAMENTE AL JUZGADO INTERVINIENTE. Y LA APERTURA SE REALIZARA CON LA AUTORIZACION DEL MAGISTRADO ACTUANTE.</t>
  </si>
  <si>
    <t>VERONICA GARCIA</t>
  </si>
  <si>
    <t>ALBA SAVERIO S/ INFRACCION LEY 22.415 EN TENTATIVA</t>
  </si>
  <si>
    <t>1734/2010</t>
  </si>
  <si>
    <t>REPUBLICA DOMINICANA N° 3332 PISO 8º B - C.A.B.A</t>
  </si>
  <si>
    <t>REFERENTE A LA ORDEN DE SERVICIO N° 1396, SE INFORMA QUE EN EL DIA DE LA FECHA SE DIO CUMPLIMIENTO A LA ORDEN DE ALLANAMIENTO EMANADA POR EL JUZGADO INTERVINIENTE EN EL DOMICILIO CITADO CON RESULTADO NEGATIVO EN LA BUSQUEDA DE ESTUPEFACIENTES, PERO POSITIVO RESPECTO A SECUESTROS DE ELEMENTOS DE INTERES PARA LA CAUSA, LOS CUALES SE DETALLAN EN EL PRESENTE.</t>
  </si>
  <si>
    <t>SE CONFECCIONA EL PRESENTE A LOS EFECTOS DE INFORMAR QUE EN EL VUELO DE AU 2880 DE LA EMPRESA AUSTRAL LINEAS AEREAS SE REALIZO EL DESPACHO A BULTO CERRADO HERMETICAMENTE CONTENIENDO UNA CAJA ACORDE A SU TRASLADO SEGUN ESPECIFICA EL GRUPO E INSTRUCCIONES DE EMBALAJE B/U CONTENIENDO MATERIAL RADIOACTIVO EN FORMA ESPECIAL FISIONABLE EXEPTUADO CLASE 7 EL PESO DE LA CAJA ES DE 23,45 KG AMPARADO BAJO NUMERO DE GUIA DE CARGA AEREA 6452560-2 EL QUE TIENE COMO DESTINO LA CIIUDAD DE BUENOS AIRES</t>
  </si>
  <si>
    <t>CALLE ARENALES Nº 4324, MAR DEL PLATA, PCIA. DE BS. AS.</t>
  </si>
  <si>
    <t>QUE SIENDO APROXIMADAMENTE LAS DIECISIETE HORAS Y TREINTA MINUTOS DEL DIA SEIS DEL CORRIENTE MES Y AÑO, MOMENTOS EN QUE LA DENUNCIANTE SE ENCONTRABA EN UN DOMICILIO DE ALQUILER EN LA CIUDAD DE MAR DEL PLATA JUNTO A SU PAREJA DE NOMBRE ARIEL GASTON OLGUIN, UNICOS DATOS FILIATORIOS QUE APORTA LA DENUNCIANTE, INICIAN UNA DISCUSION, EN EL CUAL LUEGO DE UNOS INSTANTES EL SR. OLGUIN TORNA LA CONVERSACION A UN ELEVADO TONO DE VOZ Y DE FORMA REPENTINA COMIENZA A INSULTARLA Y POSTERIORMENTE LA TOMA CON FUERZA POR LA PARTE SUPERIOR DE SUS BRAZOS, PARA LUEGO COMENZAR A PROPINARLE GOLPES DE PUÑO EN SU ROSTRO Y CABEZA. COMO ASI TAMBIEN LA TOMA POR LA PARTE TRASERA DE SU CUELLO Y LA GOLPEA CONTRA UNA MESA QUE SE HALLABA EN EL LUGAR. ACTO SEGUIDO LA DENUNCIANTE TOMA PARTE DE SUS PERTENENCIAS Y ABORDO UN VEHICULO TAXI HASTA LA TERMINAL DE OMNIBUS DE ESA CIUDAD, DONDE TOMO UN MICRO DE LA EMPRESA MANUEL TIENDA LEON CON DESTINO A ESTE AEROPUERTO INTERNACIONAL, DONDE AL ARRIBAR SE HACE PRESENTE EN ESTE ASIENTO DE GUARDIA POLICIAL PARA RADICAR FORMAL DENUNCIA.</t>
  </si>
  <si>
    <t>OFICINAS DE LA EMPRESA SERZA</t>
  </si>
  <si>
    <t>QUE SIENDO LAS SEIS HORAS APROXIMADAMENTE DEL DIA DE LA FECHA, SE APERSONA A LA OFICINA DE LA EMPRESA SERZA CON MOTIVOS DE INICIAR SU JORNADA LABORAL, CIRCUNSTANCIAS EN LA QUE SE ENCONTRABAN DENTRO DE LA OFICINA DE MENCION, EL JEFE DE TURNO SR. EDUARDO HERMAN, LA SRA. CAROLA IBAÑEZ Y LA SRA. YANINA, AMBAS EMPLEADAS ADMINISTRATIVAS DE LA CORRESPONDIENTE EMPRESA. LA DENUNCIANTE DEJA EN LA MENCIONADA OFICINA UNA BOLSA DE COLOR BEIGE CON LA INSCRIPCION AWADA, CONTENIENDO VARIAS PERTENENCIAS. ACTO SEGUIDO INICIA SU JORNADA LABORAL Y REGRESA AL LUGAR DE MENCION SIENDO LAS CATORCE HORAS CON MOTIVO DE TOMAR SU DESCANSO CORRESPONDIENTE, DONDE SE PERCATA DEL FALTANTE DE LA BOLSA DE SU PROPIEDAD ANTERIORMENTE MENCIONADA, MOTIVO POR EL CUAL SE APERSONA A ESTA GUARDIA DE PREVENCION CON MOTIVOS DE RADICAR FORMAL DENUNCIA. SE DIO INTERVENCION A LA UFI DE TURNO.</t>
  </si>
  <si>
    <t>7737/10</t>
  </si>
  <si>
    <t>EN EL DÍA DE LA FECHA SIENDO LAS 14:20 HRS, EL JEFE DE LA UOSP SALTA SE APERSONO AL JUZGADO DE INSTRUCCION FORMAL 8ª NOMINACION CON MOTIVO DE CONSULTAR LA SITUACION DEL OF. AY. EVER GASTON EMANUEL CABRILLANA, LEGAJO Nº 504.307, SOLICITANDO UNA ENTREVISTA CON LA DRA. ADRIANA PERALTA, TITULAR DE LA SECRETARIA DE DICHO JUZGADO, LA CUAL NO PUDO APERSONARCE POR CUESTIONES LABORALES, ENVIANDO LA MISMA AL SR. PEDRO PORTELLA, QUIEN INFORMO QUE LA CAUSA Nº 20.110/10 NO HA TENIDO CAMBIOS DE CARATULA POR LO CUAL SE MANTIENE COMO: PRIVACION ILEGITIMA DE LA LIBERTAD, DESOBEDIENCIA JUDICIAL, ABUSO SEXUAL, RETENCION INDEBIDA EN PERJUICIO DE TERESITA FRIAS, Y QUE SE RESOLVIO LA LIBERTAD DEL CAUSANTE, LA MISMA SE HARA EFECTIVA ENTRE LAS 18:00 Y LAS 19:00 HS. DEL DIA DE LA FECHA, COMO ASI TAMBIEN PESARA SOBRE EL CAUSANTE UNA RESTRICCION DE ACERCAMIENTO A SU SRA. ESPOSA: TERESITA FRIAS, Y DE ESTA SOBRE EL OF. AY. CABRILLANA. SE AMPLIARA A MEDIDAS QUE SURJAN NOVEDADES.</t>
  </si>
  <si>
    <t>7751/10</t>
  </si>
  <si>
    <t>A LAS SIETE HORAS DEL DIA 07/12/10 SE EFECTUO EL TRASLADO DEL DETENIDO A SEDE JUDICIAL EN CUMPLIMIENTO A LO ORDENADO OPORTUNAMENTE. PTO.-</t>
  </si>
  <si>
    <t>7760/10</t>
  </si>
  <si>
    <t>AMPLIANDO PARTE N° 7760 INFORMO QUE SIENDO LAS 17:55 HORAS SE HACE ENTREGA DE LA CIUDADANA LIRIO ESTEFANIA DEROY A SU MADRE, SRA. MARIA LILIANA CORVALAN MEDIANTE ACTA DE ENTREGA CORRESPONDIENTE EN PRESENCIA DE LOS TESTIGOS. SEGUIDAMENTE SE PUSO EN CONOCIMIENTO A LA FISCALIA PENAL DE INSTRUCCION INTERVINIENTE DE LO ACTUADO, QUIEN ORDENO SE LABREN LAS ACTUACIONES CORRESPONDIENTES PARA SU POSTERIOR ELEVACION EL PROXIMO DIA HABIL.</t>
  </si>
  <si>
    <t>FISCALIA DE INVESTIGACION PROVINCIAL N° 9 DE CHACO</t>
  </si>
  <si>
    <t>MANSILLA</t>
  </si>
  <si>
    <t>MIRTA NOEMI</t>
  </si>
  <si>
    <t>PATRICIA VARGAS</t>
  </si>
  <si>
    <t>A 1500 METROS DE LA RUTA 11</t>
  </si>
  <si>
    <t>CERCANO AL BICIVELÓDROMO</t>
  </si>
  <si>
    <t>SE RECEPCIONA LA NOVEDAD DE UNA PERSONA TIRADA EN EL PISO JUNTO A UNA MOTO EN EL SECTOR CITADO ANTERIORMENTE, SE PRESENTA EN EL LUGAR PERSONAL DE ESTA UOSP SOLICITANDO LA PRESENCIA DE LA AMBULANCIA DE FEMECHACO, LA QUE LUEGO DE BRINDARLE AL ACCIDENTADO LOS PRIMEROS AUXILIOS LO TRASLADA AL HOSPITAL PERRANDO CON LESIONES LEVE. LA PERSONA ACCIDENTADA DIJO LLAMARSE MARIO RAMOS, D.N.I. Nº 26.707.579, DE 32 AÑOS DE EDAD, CON DOMICILIO EN Bº VILLA DON ENRIQUE DE LA CIUDAD DE RESISTENCIA. COMUNICADO EL ECHO AL MAGISTRADO EN TURNO, ORDENO SE LABREN LAS ACTUACIONES PERTINENTES Y ANEXANDO LOS CERTIFICADOS OPORTUNOS Y QUEDE EN RESGUARDO EL MOTOVEHÍCULO, QUEDANDO EN CUSTODIA EN ESTA UNIDAD LA MOTO MARCA HONDA WAVE, CUADRO Nº 8CHPCGB219L000839, EN LA QUE CIRCULABA EL ACCIDENTADO. CONSULTADO EL ESTADO DEL DOMINIO EN LAS BASES DEL REGISTRO NACIONAL DE LA PROPIEDAD DEL AUTOMOTOR , ESTE ARROJO RESULTADO NEGATIVO. PU Nº 7799 08/12/2010 SE PROCEDIÓ A LA ENTREGA A LA TITULAR DEL MOTOVEHÍCULO, MARCA HONDA, MODELO NF WAVE, DOMINIO 346 EJK, CUADRO Nº 8CHPCGB219L000839, MOTOR Nº SDH150FMG-285837927, EN EL ESTADO DE USO Y CONSERVACIÓN EN QUE SE ENCUENTRA, DE ACUERDO A LO DISPUESTO POR LA MAGISTRATURA ACTUANTE.</t>
  </si>
  <si>
    <t>QUE EL DÍA SIETE DEL CORRIENTE MES Y AÑO, SIENDO APROXIMADAMENTE LAS SIETE HORAS, SE PROCEDE AL TRASLADO DE LOS CUATRO APREHENDIDOS A LA UNIDAD FUNCIONAL DE INSTRUCCIÓN NÚMERO 01 DE EZEIZA. QUE SIENDO APROXIMADAMENTE LAS DIECIOCHO HORAS REGRESA LA COMISIÓN TRASLADANDO A LOS MISMOS. QUE SIENDO LAS VEINTIUNA HORAS TREINTA Y DOS MINUTOS SE RECIBE OFICIO JUDICIAL DECRETANDO LA LIBERTAD DE LOS APREHENDIDOS, BAJO CAUCIÓN JURATORIA. PREVIA CONSTATACIÓN DE QUE NO REGISTRAN IMPEDIMENTOS LEGALES. SIENDO LAS TRES HORAS, TREINTA MINUTOS DEL DÍA OCHO DEL CORRIENTE MES Y AÑO, SE HACE EFECTIVA LA LIBERTAD DE LOS APREHENDIDOS.</t>
  </si>
  <si>
    <t>DENUNCIA TELEFÓNICA ANÓNIMA</t>
  </si>
  <si>
    <t>INFORMO QUE EN EL DÍA DE LA FECHA SIENDO LAS DIEZ HS. SE RECIBE UN LLAMADO TELEFÓNICO DE UNA PERSONA DE VOZ MASCULINA QUE NO SE IDENTIFICO DICIENDO: SOY UN ENTREGADOR DE MULAS , VAN A VIAJAR BLANCO Y MACHI , SON MULAS HÁGANLO MIERDA .ACTO SEGUIDO SE REALIZA COMUNICACIÓN TELEFÓNICA CON EL ABONADO Nº 03751-15523457 SIENDO ATENDIDO POR A LA DRA. VILMA VALLE RUIDIAZ, SECRETARIA DEL JUZGADO FEDERAL DE PRIMERA INSTANCIA DE LA CIUDAD DE ELDORADO QUIEN ENTERADA DE LOS HECHOS PREGUNTA SI UNA "MULA" PUEDE LLEVAR ESTUPEFACIENTES EN EL CUERPO O EN LAS MALETAS Y SI EN EL AEROPUERTO TENEMOS MEDIOS PARA IDENTIFICAR SI LLEVA ESTUPEFACIENTES EN EL CUERPO COMO RADIOGRAFÍAS A LO QUE SE LE RESPONDE QUE PUEDEN SER LAS DOS POSIBILIDADES Y QUE NO POSEEMOS ESE MEDIO DE IDENTIFICACIÓN, MANIFESTANDO LA DOCTORA QUE SI NECESITAMOS VERIFICAR SI LLEVA ALGO EN SU CUERPO O POSEE ALGÚN SÍNTOMA DE ESTAR INGESTADO SE LE INFORME PARA QUE NOS FACILITE LA DEBIDA AUTORIZACIÓN DE REQUISA A TRAVÉS DE RAYOS X, QUE SE INFORME DE ESTO A LOS AEROPUERTOS DE EZEIZA Y AEROPARQUE JORGE NEWBERY PARA QUE SE ADOPTEN MEDIDAS EN CASO QUE VIAJEN POR ALGUNO DE ESOS AEROPUERTOS Y QUE FINALIZADO EL MOVIMIENTO DE VUELOS REGULARES SE LE INFORME SI HUBO ALGUNA NOVEDAD AL RESPECTO. EN VIRTUD DE LOS DENUNCIADOS SE PUDO ESTABLECER QUE AMBOS POSEÍAN UNA RESERVA POR LA EMPRESA LAN, LA CUAL SE ENCONTRAGA CAIDA POR FALTA DE PAGO, LA MISMA FUE EFECTUADA EN UN EMPRESA DE TURISMO QUE OPERA EN CIUDAD DEL ESTE - PARAGUAY - Y EN FOZ DO IGUAÇU. PU Nº 7810 08/12/2010 23:29:09HS INFORMO QUE FINALIZO EL MOVIMIENTO DE VUELOS REGULARES SIN QUE SE PRESENTEN LOS DENUNCIADOS. SE ESTABLECIÓ COMUNICACIÓN TELEFÓNICA CON LA DOCTORA VILMA VALLE RUIDIAZ INFORMÁNDOLE DE LOS HECHOS, SOLICITÁNDOLE LA POSIBILIDAD DE OTORGAR TAREAS EN VIRTUD DE LO ACONTECIDO POR PARTE DE LA DODC Y CN, A LO QUE COMUNICO QUE EL PEDIDO SE REALICE POR ESCRITO FUNDAMENTANDO LOS MOTIVOS.</t>
  </si>
  <si>
    <t>7793/10</t>
  </si>
  <si>
    <t>ACTA DEJANDO CONSTANCIA Nº 258/2010</t>
  </si>
  <si>
    <t>CERCANO AL BICIVELODROMO</t>
  </si>
  <si>
    <t>EN LA FECHA SE PROCEDIO A LA ENTREGA A LA TITULAR DEL MOTOVEHICULO, MARCA HONDA, MODELO NF WAVE, DOMINIO 346 EJK, CUADRO Nº 8CHPCGB219L000839, MOTOR Nº SDH150FMG-285837927, EN EL ESTADO DE USO Y CONSERVACION EN QUE SE ENCUENTRA, DE ACUERDO A LO DISPUESTO POR LA MAGISTRATURA ACTUANTE.</t>
  </si>
  <si>
    <t>PUNTO DE INSPECCION Y REGISTRO-ARCO DETECTOR DE METALES.</t>
  </si>
  <si>
    <t>EN EL DIA DE LA FECHA, SIENDO LAS 09:40 HORAS SE RECIBE COMUNICACIÓN TELEFONICA POR PARTE DEL OFICIAL AYUDANTE JORGE KADY, ENCARGADO DEL PREEMBARQUE TERMINAL III, INFORMANDO QUE AL REALIZAR EL CONTROL DEL VUELO AR 2696, DE LA EMPRESA AEROLÍNEAS ARGENTINAS, CON DESTINO CALAFATE, CON HORARIO DE PARTIDA A LAS 10:05 HORAS, AL ATRAVESAR EL MARCO DETECTOR DE METALES, UN PASAJERO DE SEXO MASCULINO ACCIONA EL MISMO, POR LO QUE EL OFICIAL AYUDANTE DARIO MAUAD PROCEDE A CHEQUEARLO, PERCATÁNDOSE QUE DENTRO DEL BOLSILLO DERECHO DEL PANTALÓN LLEVABA UN BULTO SOSPECHOSO, SE LE SOLICITA QUE LO EXHIBA, MOSTRANDO UNA BOLSA DE NYLON BLANCA, SE SOLICITA LA PRESENCIA DE DOS TESTIGOS HÁBILES Y SE TRASLADA A LOS INTERVINIENTES A LA SALA DE REQUISA, AL APERTURAR LA BOLSA SE OBSERVA UNA SUSTANCIA VEGETAL DE COLOR VERDOSA COMPACTA, POR LO QUE EL PASAJERO MANIFESTÓ QUE ERA MARIHUANA, SE SOLICITA LA PRESENCIA DEL PERITO EN TURNO, EL CUAL REALIZA LA PRUEBA DE CAMPO ORIENTATIVA PARA MARIHUANA, ARROJANDO RESULTADO POSITIVO, SE TRASLADA A LOS INTERVINIENTES A LA GUARDIA DE PREVENCIÓN, DONDE SE REALIZA EL PESAJE DE LA SUSTANCIA ARROJANDO UN PESO DE 5,5 GRAMOS SIN ENVOLTORIO. SIENDO LAS 10:55 HORAS SE ENTABLA COMUNICACIÓN CON LA JUDICATURA ACTUANTE ANOTICIÁNDOLO DE LOS HECHOS, LA CUAL DISPUSO: QUE EL DETENIDO PERMANEZCA EN CARÁCTER DE COMUNICADO, CERTIFICADO MEDICO DE INGRESO, TRES JUEGOS DE FICHAS DACTILOSCÓPICAS PARA LA CAUSA, FOTOS DEL IMPUTADO, DE LA SUSTANCIA Y EL PESAJE, REINCIDENCIA 353 BIS, IDGE, ART. 86 Y 197, CONSTATACIÓN DE DOMICILIO, DECLARACIÓN TESTIMONIAL A LOS INTERVINIENTES, ART. 258 Y 259, ENVIÓ A LABORATORIO DE LA SUSTANCIA, NOTIFICACIÓN AL CONSULADO DE ALEMANIA Y CON RESULTADO DE REINCIDENCIA SE REALICE NUEVA COMUNICACIÓN. EN PU 7806 DEL DIA 08-12-2010 SE INFORMO QUE SIENDO LAS 2010HS EL IMPUTADO FUE LIBERADO SIN NOVEDAD.-</t>
  </si>
  <si>
    <t>AR 2696</t>
  </si>
  <si>
    <t>LOCAL NUMERO 22 DE LA EMPRESA INTERBAIRES</t>
  </si>
  <si>
    <t>SE RECIBE DENUNCIA FORMAL DEBIDO A QUE UN FEMENINO, SE HABIA RETIRADO DE UNO DE LOS LOCAL ES DE LA EMPRESA INTERBAIRES, CON UNA CARTERA QUE HABIA TOMADO EN EL INTERIOR DEL MISMO Y NO LA HABIA ABONADO. QUE UNA VEZ INTERIORIZADO EL JEFE DE TURNO DE LOS PORMENORES DE LA SITUACION, Y QUE LA FEMENINO EN CUESTION HABIA SIDO NO ADMITIDA EN LA REPUBLICA DE CROACIA, MANTIENE COMUNICACION TELEFONICA CON EL JUZGADO FEDERAL EN TURNO, QUIEN AL TANTO DE LO SUCITADO, DISPUSO QUE SE LABREN ACTUACIONES SUMARIAS, QUEDANDO LA FEMENINA ALOJADA EN ESTA DEPENDENCIA EN CALIDAD DE AFECTADA A ACTUACIONES, DEBIENDO SER EMBARCADA EN EL VUELO PROGRAMADO PARA SU RETORNO, SIENDO ESTE EL NUMERO BOA 707 CON DESTINO A LA CIUDAD DE COCHABAMBA, REPUBLICA DE BOLIVIA. LO CUAL SE CUMPLIMENTO A LAS DIECISEIS HORAS DEL CORRIENTE DIA. SE DEJA CONSTANCIA QU ELA CAUSANTE SE RETIRO CON LA TOTALIDAD DE LOS EFECTOS DE VALOR Y PERSONALES</t>
  </si>
  <si>
    <t>7714/10</t>
  </si>
  <si>
    <t>SECTOR DE ARRIBOS DE PASAJEROS DE LA TERMINAL A DE ESTE MEDIO</t>
  </si>
  <si>
    <t>SIENDO LAS 14:30 HORAS DEL DIA 08/12/10 SE REALIZO UNA INTERVENCION QUIRURJICA AL CAUSANTE EN EL HOSPITAL INTERZONAL DE EZEIZA ALBERTO EURNEKIAN, SITUADO EN LA LOCALIDAD DE LA UNION, PARTIDO DE EZEIZA, LA CUAL EL PERSONAL FACULTATIVO DE DICHO NOSOCOMIO LUEGO DE REALIZAR LOS ESTUDIOS MEDICOS PERTINENTES, SE PROCEDIO A LA EXTRACCION , DE UN TOTAL DE DOS CAPSULAS. AROJANDO UN PESO TOTAL DE DIECIOCHO GRAMOS. DICHA CAPSULA FURON TRASLADADAS A ESTA DEPENDENCIA PARA SU POSTERIOR RESGUARDO.-</t>
  </si>
  <si>
    <t>PATIO DE COMIDAS- PRIMER PISO DE ESTA AEROESTACION</t>
  </si>
  <si>
    <t>CAFETERIA MADELAINE</t>
  </si>
  <si>
    <t>QUE EN EL DIA DE LA FECHA SIENDO LAS 08:15 HORAS SE HACE PRESENTE EN ESTE AEROPUERTO A LOS EFECTOS DE EMBARCAR EN UN VUELO HACIA LA CIUDAD DE EL CALAFATE, EL CUAL TENIA HORARIO DE PARTIDA A LAS 10:05 HORAS, POR LO QUE AL TENER TIEMPO PARA SU EMBARQUE, SE DIRIGE A LA CAFETERIA MADELAINE UBICADA EN EL PRIMER PISO, PARA DESAYUNAR. MINUTOS MAS TARDE SE PERCATA DEL FALTANTE DE SU BOLSO PORTA NOTEBOOK. RAZON POR LA CUAL RADICA LA DENUNCIA. NOTA: EL DENUNCIANTE SE ENCUENTRA EN CALIDAD DE DETENIDO COMUNICADO, DADO QUE SE VIO AFECTADO A ACTUACIONES SUMARIALES Nº 441-A/10, CARATULADA INF. A LA LEY 23.737.-</t>
  </si>
  <si>
    <t>VEREDA DE ARRIBOS DE LA TERMINAL A</t>
  </si>
  <si>
    <t>SIENDO LA FECHA Y LA HORA ANTES MENCIONADA EL OFICIAL LONGHINI Y EL OFICIAL PEREZ EN RECORRIDA QUE EFECTUABAN POR LA TERMINAL A SECTOR PERGOLA ARRIBOS, OBSERVAN A UNA PERSONA DE SEXO MASCULINO OFRECIENDO SERVICIO DE TRANSPORTE PUBLICO A VIVA VOZ A PASAJEROS RECIEN ARRIBADOS AL PAIS FUERA DE LOS LUGARES HABILITADOS A TAL FIN. POR TAL MOTIVO EL PERSONAL POLICIAL LE INFORMA LA FALTA COMETIDA Y SE DIRIGEN HACIA LA GUARDIA DE PREVENCION A LOS EFECTOS DE LABRAR LAS ACTUACIONES CONTRAVENCIONALES CORRESPONDIENTES.</t>
  </si>
  <si>
    <t>QUE EN EL DIA DE LA FECHA SIENDO LAS 14:15 HORAS SE HACE PRESENTE EN ESTA AEROESTACION A LOS EFECTOS DE ABORDAR UN VUELO HACIA LA CIUDAD DE SALTA. LUEGO DE REALIZAR EL CHECK IN SE DIRIGE A MIRA UN MONITOR JUNTO CON SU CARRO PORTA EQUIPAJES DONDE HABIA DEJADO COLOCADO UN BOLSO DE MANO. MINUTOS MAS TARDE SE PERCATA DEL FATA DE DICHO BOLSO. POR LO QUE SE HACE PRESENTE EN ESTA GUARDIA A RADICAR LA CORRESPONDIENTE DENUNCIA.-</t>
  </si>
  <si>
    <t>7800/10</t>
  </si>
  <si>
    <t>SITO EN EL PRIMER PISO DE ESTE AEROPARQUE.</t>
  </si>
  <si>
    <t>NACIONAL, DENOMINADO TERMINAL III,</t>
  </si>
  <si>
    <t>SIENDO LAS 20:10 HORAS, AL NO MEDIAR IMPEDIMENTOS LEGALES VIGENTES SEGUN LOS RESULTADOS OBTENIDOS A TRAVES DEL SISTEMA DE REINCIDENCIA, SE PROCEDE A LA SOLTURA DEL SEÑOR MEYER OHLENDORF LARS. RETIRANDOSE DE ESTA DEPENDENCIA SIN NOVEDAD.-</t>
  </si>
  <si>
    <t>SIENDO LA HORA Y LA FECHA ANTES MENCIONADA, EL OFICIAL LONGHINI, Y EL OFICIAL PEREZ, EN RECORRIDA QUE EFECTUABAN POR EL SECTOR PERGOLA DE LA TERMINAL A, OBSERVAN Y SORPRENDEN A UNA PERSONA DE SEXO MASCULINO QUE SE ENCONTRABA OFRECIENDO SERVICIOS DE TRANSPORTE PUBLICO A VIVA VOZ, A PASAJEROS RECIEN ARRIBADOS AL PAIS, FUERA DE LOS LUGARES HABILITADOS PARA TAL FIN, POR LO QUE SE TRASLADA AL INFRACTOR A LA GUARDIA DE PREVENCION PARA INICIAR LAS ACTUACIONES CONTRAVENCIONALES CORRESPONDIENTES.</t>
  </si>
  <si>
    <t>FIGUEROA MAYRA DENISSE S/INF. LEY 22415 EN TENTATIVA</t>
  </si>
  <si>
    <t>1738/10</t>
  </si>
  <si>
    <t>GUARDIA DE PREVENCION-JUZGADO INTERVINIENTE-DEPARTAMENTO CENTRAL DE POLICIA FEDERAL ARGENTINA</t>
  </si>
  <si>
    <t>SIENDO EL DIA ANTES MENCIONADO, SEGUN LO ORDENADO POR EL JUZGADO INTERVINIENTE, MEDIANTE OFICIO JUDICIAL, SE PROCEDE A COMISIONAR AL SUBINSPECTOR CASTRO Y A LA OFICIAL FERNANDEZ PARA REALIZAR EL TRASLADO Y POSTERIOR ALOJAMIENTO EN CALIDAD DE COMUNICADA HASTA EL DIA 08 DE DICIEMBRE INCLUSIVE EN ESTA DEPENDENCIA POLICIAL A LA SEÑORA FIGUEROA MAYRA DENISSE, QUIEN SE ENCUENTRA A AFECTADA A CAUSA Nº 1738/10, QUIEN FUERA ENTREGADA A PERSONAL DE ESTA POLICIA POR PARTE DEL AYTE. PPAL. FLORENCIO MARTINEZ, JEFE DE TURNO DE LA ALCAIDIA FEDERAL Nº 29 DEL SERVICIO PENITENCIARIO FEDERAL. LA MISMA FUE CUSTODIADA POR PERSONAL FEMENINO DE LOS DISTINTOS GRUPOS DE GUARDIA DE ESTA POLICIA DE SEGURIDAD AEROPORTUARIA DURANTE SU ALOJAMIENTO. SE INFORMA EN PU Nº 7811 QUE SIENDO LAS 07 30 HS DEL DIA 9/12/2010 SE PROCEDE AL TRASLADO DE LA DETENIDA A SEDE JUDICIAL. SE INFORMA EN PU Nº 7835 QUE SIENDO LAS 18 40 HS DEL DIA 9/12/10 SE PROCEDE AL TRASLADO DESDE SEDE JUDICIAL HACIA EL DEPARTAMENTO CENTRAL DE POLICIA FEDERAL ARGENTINA A FIN DE SER LIBERADA EN DICHO DEPARTAMENTO.</t>
  </si>
  <si>
    <t>GOÑI, SANDRA</t>
  </si>
  <si>
    <t>94635/99 S/ESTAFA</t>
  </si>
  <si>
    <t>94635/99</t>
  </si>
  <si>
    <t>OFICINAS DE LA DIRECCION NACIONAL DE MIGRACIONES UBICADAS EN EL AEROPUERTO INTERNACIONAL DE EZEIZA</t>
  </si>
  <si>
    <t>SIENDO EL DIA ANTES MENCIONADO, SE RECIBE DE LA DNM, AL CIUDADANO BENJAMIN JACOBO HERSZKOWIZC, SOBRE QUIEN RECAE UNA ORDEN DE CAPTURA A PEDIDO DEL JUZGADO NACIONAL EN LO PENAL ECONOMICO Nº 3. SIENDO LAS 0930 HORAS SE MANTIENE COMUNICACION TELEFONICA CON EL JUZGADO SOLICITANTE DE LA MEDIDA, QUIEN DISPONE SE LO NOTIFIQUE PARA HACERSE PRESENTE EN EL JUZGADO DE MENCION EL DIA NUEVE DEL CORRIENTE MES Y AÑO A PRIMERA HORA DE LA MAÑANA, SE REALICE COMPULSA A INTERPOL EZEIZA, REINCIDENCIA, Y LUEGO DE REALIZAR CONSTATACION DE DOMICILIO, SE DECRETE LA LIBERTAD DEL CAUSANTE.</t>
  </si>
  <si>
    <t>7796/10</t>
  </si>
  <si>
    <t>INFORMO QUE FINALIZO EL MOVIMIENTO DE VUELOS REGULARES SIN NOVEDAD Y SE ESTABLECIO COMUNICACION TELEFONICA CON LA DOCTORA VILMA VALLE RUIDIAZ INFORMANDOLE DE LOS HECHOS.</t>
  </si>
  <si>
    <t>7808/10</t>
  </si>
  <si>
    <t>EN EL DIA DE LA FECHA SIENDO LAS 07:30 HORAS, SEGUN LO ORDENADO POR EL JUZGADO NACIONAL EN LO PENAL ECONOMICO Nº 08 A CARGO DEL DR. GUSTAVO MEIROVICH, SECRETARIA DE LA DRA. VERONICA GARCIA, MEDIANTE OFICIO JUDICIAL, SE PROCEDE AL TRASLADO DE LA SRA. MAYRA DENISSE FIGUEROA IDENTIFICADA CON PASAPORTE ARGENTINO Nº 35.201.959N, HACIA LA SEDE DEL TRIBUNAL REQUIRIENTE, SITO EN LA CALLE AV. DE LOS INMIGRANTES 1950, PISO 2º, OFICINA 208, CIUDAD AUTONOMA DE BUENOS AIRES, SIENDO CUSTODIADA POR LA OFICIAL ELIZABETH ORTIZ Y EL OFICIAL CRISTIAN AMARILLA A CARGO DE LA COMISION.-</t>
  </si>
  <si>
    <t>EN CUMPLIMIENTO DE LA ORDEN DE SERVICIO NRO. 0111/10 Y SIENDO LAS 03:50 HORA LOCAL DESPEGA AERONAVE AIR BUS A 320, MATRICULA LV-BOI, PERTENECIENTE A LA EMPRESA LAN ARGENTINA COMO VUELO NRO. 4429 Y EN CUYAS BODEGAS 11, 12 Y 13 SE EMBARCAN UN TOTAL DE 75 CAJAS CON UN PESO DE 1575 KILOGRAMOS DE METAL-MTD- PERTENECIENTES A LA EMPRESA MINERA CERRO VANGUARDIA Y 45 CAJAS CON UN PESO DE 945 KILOGRAMOS DE METAL- MTD- PERTENECIENTES A LA EMPRESA MINERA SANTA CRUZ CON DESTINO EL AEROPUERTO JORGE NEWBERY DE CAPITAL FEDERAL.</t>
  </si>
  <si>
    <t>7809/10</t>
  </si>
  <si>
    <t>Adolfo</t>
  </si>
  <si>
    <t>DRA. MARIA FLORENCIA GEIJO</t>
  </si>
  <si>
    <t>S/REBELDE INDAGATORIA</t>
  </si>
  <si>
    <t>OFICINAS DE LA DIRECCION NACIONAL DE MIGRACIONES UBICADASE EN EL AEROPUERTO INTERNACIONAL DE EZEIZA</t>
  </si>
  <si>
    <t>SIENDO EL DIA ANTES MENCIONADO, SE RECIBE DE LA DIRECCION NACIONAL DE MIGRACIONES, AL CIUDADANO BENJAMIN JACOBO HERSZKOWIZC, SOBRE QUIEN RECAE UNA ORDEN DE CAPTURA A PEDIDO DEL JUZGADO NACIONAL EN LO PENAL ECONOMICO Nº 3. SE MANTIENE COMUNICACION TELEFONICA CON EL JUZGADO SOLICITANTE DE LA MEDIDA, QUIEN DISPONE SE LO NOTIFIQUE PARA HACERSE PRESENTE EN EL JUZGADO DE MENCION, EL DIA NUEVE DEL CORRIENTE MES Y AÑO A PRIMERA HORA DE LA MAÑANA, SE REALICE COMPULSA A INTERPOL EZEIZA, Y REINCIDENCIA, Y LUEGO DE REALIZAR CONSTATACION DE DOMICILIO, SE DECRETE LA LIBERTAD DEL CAUSANTE, POR LO QUE SE INFORMA EN EL PU Nº 7809, ASIMISMO RECAE SOBRE EL CAUSANTE OTRA ORDEN DE CAPTURA Y DETENCION SOLICITADA POR EL JUZGADO NACIONAL EN LO CRIMINAL DE INSTRUCCION Nº 33 POR ANTE SECRETARIA Nº 170, POR LO QUE SIENDO LAS 1130 HORAS SE MANTIENE COMUNICACION TELEFONICA CON DICHO JUZGADO A LOS EFECTOS DE SOLICITAR TEMPERAMENTO A SEGUIR. INDICANDO EL MISMO UNA VEZ REALIZADAS LA DILIGENCIAS IMPARTIDAS, SE NOTIFIQUE AL MISMO QUE DEBERA COMPARECER EN LOS ESTRADOS DEL MENCIONADO JUZGADO DENTRO DEL PLAZO DE TRES DIAS A EFECTOS DE REGULARIZAR SU SITUACION.</t>
  </si>
  <si>
    <t>EN CUMPLIMIENTO DE LA ORDEN DE SERVICIO NRO. 0111/10 Y SIENDO LAS 08:10 HORA LOCAL DESPEGA AERONAVE MD 83, MATRICULA LV-WGN, PERTENECIENTE A LA EMPRESA AUSTRAL LINEAS AEREAS COMO VUELO NRO. 2831 Y EN CUYA BODEGA NRO. 5 SE EMBARCAN UN TOTAL DE 80 CAJAS CON UN PESO DE 1600 KILOGRAMOS DE METAL -MTD- PERTENECIENTES A LA EMPRESA MINERA SANTA CRUZ CON DESTINO EL AEROPUERTO JORGE NEWBERY DE CAPITAL FEDERAL.</t>
  </si>
  <si>
    <t>SE AMPLIA PARTE N° 6380. FECHA 09 DE DICIEMBRE DE 2010. TAREAS INVESTIGATIVAS SEGUN O.S. N° 013/2010. SE INFORMA QUE SE RECEPCIONÓ RESPUESTA DE LA D.N.M. AL RESPECTO DE LA PERSONA INVESTIGADA, RESPONDIENDO QUE NO EXISTE NINGÚN TRÁMITE REALIZADO Y SE ENCONTRARÍA ENMARCADO EN LA SITUACIÓN MIGRATORIA DE TURISTA. POR OTRA PARTE COMUNICO QUE DE UNA DE LAS INTERVENCIONES TELEFÓNICAS SURGEN COMUNICACIONES EN EL IDIOMA ITALIANO, POR LO QUE SE REQUIRIÓ AL TRIBUNAL ACTUANTE, UN TRADUCTOR OFICIAL, Y HASTA TANTO Y SEGUN LO COORDINADO CON EL JUZGADO, NO SE CONTINUARÁ CON LA OBSERVACIÓN DE LA LÍNEA. ASIMISMO INFORMO QUE DE LA OTRA INTERVENCIÓN TELEFÓNICA SURGEN , COMO YA SE INFORMÓ, COMUNICACIONES CON PERSONAS DE, APARENTEMENTE, NACIONALIDADES EXTRANJERAS MEXICANAS O COLOMBIANAS, ES POR ELLO QUE SE SOLICITÓ INTERVENCION TELEFÓNICA DE LOS MENCIONADOS. POR ULTIMO SE INFORMA QUE SE RECEPCIONÓ ENTRECRUZAMIENTO SOLICITADO A LA DRICA III DEL NORTE, MEDIANTE EL PROGRAMA I2, EL MISMO RESULTA MUY UTIL PARA LA INVESTIGACION. SE AMPLIARÁ CUANDO SURJAN NOVEDADES.</t>
  </si>
  <si>
    <t>MARZOCCHI Rosa S/INF. PATRIMONIO</t>
  </si>
  <si>
    <t>EN CONTROL PREVENTIVO DEL VUELO AR 1851 ESE DETECTA EN EL INTERIOR DE UN BOLSO DE MANO UNA PIEZA APARENTEMENTE FOSIL - PARTE DE ARBOL PETRIFICADO- SIN QUE LA PERSONA QUE LO TRANSPORTA TENGA LA CORRESPONDIENTE AUTORIZACION SIENDO ESTA LA SEÑORA MARZOCCHI ROSA DNI 12105235 , POR LO QUE SE PROCEDE AL DECOMISO DE LA MISMA EN LOS TERMINOS DE LA LEY PROVINCIAL DE PROTECCION DE PATRIMONIO CULTURAL Y RESTOS ARQUEOLOGICOS , CABE ACLARAR QUE LA JUSTICIA ORDINARIA O FEDERAL EN ESTA PROVINCIA NO TOMA INTERVENCION EN ESTOS CASOS DE INFRACCION, DANDOSE LA CORRESPONDIENTE NOTIFICACION Y REMISION DE LAS PIEZAS INCAUTADAS A LA SECRETARIA DE CULTURA DE LA PROVINCIA DE SANTA CRUZ</t>
  </si>
  <si>
    <t>7101/10</t>
  </si>
  <si>
    <t>SE AMPLIA PARTE N° 7101 DE FECHA 10-11-10, TAREAS INVESTIGASTIVAS SEGUN ORDEN DE SERVICIO N°027/10 DE FECHA 01 DE SEPTIEMBRE DEL 2010. EN EL MARCO DEL EXPTE. 560/10 CARATULADO PAEZ MARCELINO S/INFRACCION A LA LEY 24.769, INFORMO QUE DE LAS ESCUCHAS TELEFONICAS REALIZADAS SOBRE EL ABONADO N° 0387-155-383159 UTILIZADO POR EL INVESTIGADO PAEZ MARCELINO, SE OBTUVO QUE EL DIA 04-DIC-10 FUE ALLANADO SU DOMICILIO PARTICULAR POR EFECTIVO DE GENDARMERIA NACIONAL EN FORMA CONJUNTA CON PERSONAL DE LA AFIP-ADUANA QUIENES LE HABRIAN SECUESTRADO DOCUMENTACIONES VARIAS, UNA CPU DE USO PARTICULAR Y DINERO EN EFECTIVO, DICHAS ACTUACIONES HABRIAN SIDO ORDENADA A RAIZ DE UNA INVESTIGACION RADICADA EN EL JUZGADO FEDERAL DE SAN RAMON DE LA NUEVA ORAN PROVINCIA DE SALTA, POR TAL MOTIVO SE PRESENTO UN INFORME DE FECHA 07-12-10 AL JUZ. FED. DE SALTA N° 1 A CARGO DEL EXPTE. 560/10, A LOS FINES DE INFORMAR Y SOLICITAR DIRECTIVAS A SEGUIR, SE AMPLIARA CUANDO SURJAN NOVEDADES.</t>
  </si>
  <si>
    <t>DRA. MARIANA BULLO</t>
  </si>
  <si>
    <t>EN MOMENTOS EN QUE SE EFECTUABA EL CONTROL PREVENTIVO DEL VUELO DE MENCION, AL TRASPASAR UNA PERSONA DE SEXO MASCULINO POR EL PÓRTICO DETECTA METALES, ACTIVÓ LA ALARMA SONORA Y LUMINICA DEL MISMO POR LO QUE EL PERSONAL POLICIAL, REALIZO EL CHEQUEO CORRESPONDIENTE SOLICITÁNDOLE QUE EXHIBIERA LO LLEVABA DENTRO DE SUS BOLSILLOS, Y ES EN ESE MOMENTO QUE EL PASAJERO SACO DEL BOLSILLO DELANTERO DERECHO DEL PANTALÓN QUE VESTÍA, DOS PEQUEÑOS PAQUETE ENVUELTOS EN CINTA DE PAPEL Y LOS VOLVIO A GUARDAR RÁPIDAMENTE EN SU BOLSILLO, DICIENDO "SON PARA UN PAR DE PORRITOS". POR TAL MOTIVO, SE SOLICITO LA PRESENCIA DOS TESTIGOS HÁBILES Y SE REALIZO EL REACTIVO ORIENTATIVO PARA MARIHUANA ARROJANDO RESULTADO POSITIVO. SEGUIDAMENTE, SE TRASLADARON TODOS LOS INTERVINIENTES A LA GUARDIA DE PREVENCIÓN, DONDE SE REALIZARON LAS DEMÁS DILIGENCIAS DE RIGOR. SEGUN PU Nº7836 DE FECHA 09/12/2010 SE INFORMA QUE EN HORAS 21.37, POR NO MEDIAR IMPEDIMENTOS LEGALES VIGENTES Y SEGUN LO DISPUESTO POR LA JUDICATURA ACTUANTE, SE PROCEDIO A LA LIBERACION DEL CAUSANTE QUIEN SE RETIRO POR SUS PROPIOS MEDIOS, CONFORME A LOS TRATOS RECIBIDOS, SIN NOVEDAD.</t>
  </si>
  <si>
    <t>AR 1662</t>
  </si>
  <si>
    <t>ESQUEL</t>
  </si>
  <si>
    <t>SRIO. AV. LEY 23.737-....-</t>
  </si>
  <si>
    <t>EXPTE 205595/10</t>
  </si>
  <si>
    <t>SRI. AV. LYE 23.737 - MOTEVIDEO Y ENTRE RIOS-</t>
  </si>
  <si>
    <t>EN EL DÍA DE LA FECHA SE RECIBE OFICIO NRO. 1813 DE LA FISCALÍA ACTUANTE MEDIANTE EL CUAL ORDENA CONTINUAR CON LAS TAREAS INVESTIGATIVAS TENDIENTES A DETERMINAR SI EN LOS DOMICILIOS DENUNCIADOS SE ESTA COMETIENDO INFRACCIÓN A LA LEY 23.737. SE COMIENZA A TRABAJAR MEDIANTE LA ORDEN DE SVC 298/2010 URSA A LOS FINES DE DETERMINAR LA VERACIDAD O NO DE LOS DICHOS VERTIDOS A TRAVÉS DE UNA LLAMADA TELEFÓNICA ANÓNIMA QUE MANIFESTÓ: EN UN CIBER DE CALLE ENTRE RIOS Y MONTEVIDEO SE COMERCIALIZA ESTUPEFACIENTES Y QUE EL DUEÑO DEL COMERCIO ES UN POLICÍA Y QUE LA DROGA LA VA A COMPRAR EN TAXI A UN BAR DE CALLE AVELLANEDA Y PELLEGRINI, AL LADO DE UNA PARRILLA, Y A OTRO LUGAR UBICADO EN CALLE MANANTIALES Y PASAJE CASA BLANCA, TODOS DE LA CIUDAD DE ROSARIO. SE CONTINÚAN LAS TAREAS MEDIANTE ORDEN DE SERVICIO 314/2010 URSA IV</t>
  </si>
  <si>
    <t>SRIO. AV. LEY 23.737-...-</t>
  </si>
  <si>
    <t>394/2010</t>
  </si>
  <si>
    <t>EN EL DIA DE LA FECHA SE RECEPCIONA OFICIO JUDICIAL NRO. 1365 DE LA FISCALIA ACTUANTE MEDIANTE EL CUAL ORDENA REALIZAR TAREAS INVESTIGATIVAS SOBRE UN HECHO DENUNCIADO EL CUAL MANIFESTABA QUE EN UN DOMICILIO DE CALLE OCAMPO AL 3500 DE LA CIUDAD DE ROSARIO SE VENDE ESTUPEFACIENTE- SE REALIZARAN LAS TAREAS MEDIANTE ORDEN DE SERVICIO 315/2010 URSA IV</t>
  </si>
  <si>
    <t>JUZGADO DE 1ª INSTANCIA EN LO CONTENCIOSO ADMINISTRATIVO Y TRIBUTARIO Nº 6</t>
  </si>
  <si>
    <t>GALLARDO</t>
  </si>
  <si>
    <t>ROBERTO ANDRES</t>
  </si>
  <si>
    <t>DR. DAMIÀN NATALIO ARIEL CORTI</t>
  </si>
  <si>
    <t>PEREZ OJEDA DIOSNEL CONTRA GCBA SOBRE MEDIDA CAUTELAR</t>
  </si>
  <si>
    <t>OFICINAS DE LA POLICIA METROPOLITANA, SITA EN LA AV. PATRICIOS Nº 1142, C.A.B.A.</t>
  </si>
  <si>
    <t>SIENDO LA FECHA Y LA HORA MENCIONADA SE PROCEDIÓ A DAR CUMPLIMIENTO A LA ORDEN DE ALLANAMIENTO LIBRADA POR EL MAGISTRADO INTERVINIENTE, Y PROCEDER AL SECUESTRO DE FORMA INMEDIATA DE LA TOTALIDAD DE LOS EXPEDIENTES, REGISTROS, CARPETAS, ACTUACIONES Y DOCUMENTACIÓN VINCULADA CON LAS TAREAS DESPLEGADAS EN FUNCIÓN DEL DESALOJO DEL PREDIO PARQUE INDOAMERICANO UBICADO EN VILLA SOLDATI OCURRIDO EL DÍA 07-DIC-2010.</t>
  </si>
  <si>
    <t>7811/10</t>
  </si>
  <si>
    <t>SIENDO LAS 18:40 HORAS DEL DIA 09 DEL CORRIENTE MES Y AÑO, SEGUN LO ORDENADO POR EL JUZGADO NACIONAL EN LO PENAL ECONOMICO Nº 08 A CARGO DEL DR. GUSTAVO MEIROVICH, SECRETARIA DE LA DRA. VERONICA GARCIA, MEDIANTE OFICIO JUDICIAL, SE PROCEDE AL TRASLADO DESDE EL TRIBUNAL ANTES MENCIONADO, DE LA SRA. MAYRA DENISSE FIGUEROA IDENTIFICADA CON PASAPORTE ARGENTINO Nº 35.201.959N, HACIA EL DEPARTAMENTO CENTRAL DE LA POLICIA FEDERAL ARGENTINA, SIENDO CUSTODIADA POR LA OFICIAL CASTILLO MARIELA , EL OFICIAL CRISTIAN AMARILLA, Y EL OFICIAL SANJUAN LEONARDO. SIENDO LA NOMBRADA LIBERADA DESDE LOS ESTRADOS DE ESE DEPARTAMENTO DE POLICIA, DANDOSE ASI CUMPLIMIENTO A LO ORDENADO POR LA JUDICATURA.-</t>
  </si>
  <si>
    <t>7828/10</t>
  </si>
  <si>
    <t>SIENDO LAS 21:37 HORAS DEL DIA 09 DEL CORRIENTE MES Y AÑO, AL NO REGISTRARSE IMPEDIMENTO LEGAL ALGUNO Y SEGUN LO DISPUESTO POR LA JUDICATURA ACTUANTE, SE PROCEDE A LA LIBERACION DEL SR. ALFREDO HORACIO ZUBIRI, LUEGO DE HABERLE REALIZADO PRECARIO MEDICO DE SALIDA , RETIRANDOSE DE ESTA DEPENDENCIA SIN NOVEDAD.</t>
  </si>
  <si>
    <t>DRA LILIANA DALEIA</t>
  </si>
  <si>
    <t>AVERIGUACION DE TENTATIVA DE CONTRABANDO DE DIVISAS</t>
  </si>
  <si>
    <t>SIENDO LA HORA Y LA FECHA ANTES MENCIONADA, EN MOMENTOS EN QUE EL OFICIAL GALLARDO PROCEDIA AL CHEQUEO DE UN PASAJERO DE SEXO MASCULINO, EL CUAL CONTENIA EN SUS TOBILLOS UNOS BULTOS AJENOS A LA CONTEXTURA DE SU CUERPO. EL OFICIAL GALLARDO LE INFORMA AL RESPONSABLE DEL PUESTO OFICIAL CARRANZA, QUIEN SE APERSONA Y EL PASAJERO LE MANIFIESTA QUE TIENE DINERO, QUE ES DIPLOMATICO Y QUE POSEE INMUNIDAD. POR TAL MOTIVO LE DA AVISO AL JEFE DE TURNO OFICIAL ROJAS, QUIEN SE ACERCA RAUDAMENTE AL SECTOR ANTES MENCIONADO. A POSTERIOR SOLICITA LA PRESENCIA DE DOS TESTIGOS, Y SE LE VUELVE A CONSULTAR AL PASAJERO EN PRESENCIA DE LOS TESTIGOS QUE LLEVABA, QUIEN MANIFIESTA QUE TRASLADA DINERO. LUEGO SE APROXIMA EL JEFE DE UNIDAD COMISIONADO MAYOR MARTINEZ QUIEN SE INTERIORIZA DE LA SITUACION Y REALIZA LA COMUNICACION CON EL JUZGADO INTERVINIENTE. EL DR. MEIROVICH QUIEN DISPONE SE PROCEDA AL SECUESTRO DEL DINERO, Y ANTE LA NEGATIVA DEL DIPLOMATICO A SER CHEQUEADO, SE ENTABLA NUEVA COMUNICACION CON EL MAGISTRADO QUIEN ORDENA QUE TRASLADEN AL DIPLOMATICO A SEDE JUDICIAL. SIENDO LAS 23:00HS EL COMISIONADO MAYOR MARTINEZ Y EL OFICIAL RUTH PROCEDEN A REALIZAR EL TRASLADO DEL DIPLOMATICO A SEDE JUDICIAL.</t>
  </si>
  <si>
    <t>POCISION II</t>
  </si>
  <si>
    <t>EN CUMPLIMIENTO DE LA ORDEN DE SERVICIO Nº 0111/10 Y SIENDO LAS 08:22 HORA LOCAL DESPEGA AERONAVE MD-83, MATRICULA LV-AYD, PERTENECIENTE A LA EMPRESA AUSTRAL LINEAS AEREAS COMO VUELO Nº 2831 Y EN CUYA BODEGA Nº 5 SE EMBARCAN UN TOTAL DE 30 CAJAS CON UN PESO DE 600 KILOGRAMOS DE METAL-MTD- PERTENECIENTE A LA EMPRESA MINERA SANTA CRUZ- CON DESTINO EL AEROPUERTO JORGE NEWBERY DE CAPITAL FEDERAL.</t>
  </si>
  <si>
    <t>7547/10</t>
  </si>
  <si>
    <t>CONTIN ANIBAL S/DENUNCIA - ROBO.-</t>
  </si>
  <si>
    <t>CONTIN ANIBAL S/DENUNCIA ROBO - AEROPUERTO TRELEW</t>
  </si>
  <si>
    <t>HALL CENTRAL STANDS ALQUILERES DE AUTOS</t>
  </si>
  <si>
    <t>EN EL DÍA DE LA FECHA SE INFORMA QUE EL MINISTERIO PÚBLICO FISCAL DE LA CIUDAD DE TRELEW, HA PROCEDIDO A DAR NÚMERO DE CAUSA JUDICIAL Y CARATULA, AL PREVENTIVO Nº 0008/2010, LOS MISMOS CONSTAN EN DATOS DE CAUSA JUDICIAL.-</t>
  </si>
  <si>
    <t>7651/10</t>
  </si>
  <si>
    <t>FISCALIA FEDERAL N° 1 DE ROSARIO</t>
  </si>
  <si>
    <t>DEGIOVANNI</t>
  </si>
  <si>
    <t>146.508/2008</t>
  </si>
  <si>
    <t>CIUDADES DE ROSARIO Y GRANADERO BAIGORRIA PROVINCIA DE SANTA FE</t>
  </si>
  <si>
    <t>SE ENTREGA EN EL DIA DE LA FECHA EL INFORME REQUERIDO A ESTA UNIDAD POR OFICIO NRO.1213 DE LA FISCALIA FEDERAL NRO 1 DE ROSARIO A CARGO DE LA INSTRUCCION. SE REALIZARON LAS TAREAS POR ORDEN DE SERVICIO NRO. 308/2010 URSA IV DEL LITORAL EN LOS SIGUIENTES DOMICILIOS 1- PRESIDENTE ROCA 4252 DE LA CIUDAD DE ROSARIO 2- URDINARRAIN 7833 DE ROSARIO 3- DANTE ALIGHERI DE LA LOCALIDAD DE GRANADERO BAIGORRIA Y 4- NANSEN 549 DE ROSARIO TODOS DE LA PROVINCIA DE SANTA FE.-</t>
  </si>
  <si>
    <t>7728/10</t>
  </si>
  <si>
    <t>OFICINA MINISTERIO DE AMBIENTE Y DESARROLLO SUSTENTABLE-SALTA</t>
  </si>
  <si>
    <t>EN EL DIA DE LA FECHA SIENDO LAS 10:30 HRS. EL OF. MY. JOSE SANCHEZ , LEGAJO NRO 502797 ENTREGA MEDIANTE ACTA NRO 508/10, 01 (UN) CHARANGO REALIZADO CON CASCARON DE QUIRQUINCHO, SECUESTRADO EL DIA 06-12-10 SEGÚN ACTA DE INFRACCION MEDIO DE AMBIENTE NRO 0674, A LA LICENCIADA RAQUEL RUT SARAVIA, JEFA DE PROGRAMA BIODIVERSIDAD-SALTA, CON DNI Nº 17308789, SOLTERA, DE NACIONALIDAD ARGENTINA, CON DOMICILIO EN ZUVIRIA 74-SALTA-CAP, NACIDA EL 05-08-64,SALTA, EN CARÁCTER DE DEPOSITARIO, SEGÚN LO DISPUESTO POR LA DRA. MARIA ISABEL FALU, A CARGO DE LA SECRETARIA PENAL NRO 4, DEL JUZGADO FEDERAL NRO 2, A CARGO DEL DR. MIGUEL ANTONIO MEDINA.</t>
  </si>
  <si>
    <t>7736/10</t>
  </si>
  <si>
    <t>1029/10 B</t>
  </si>
  <si>
    <t>EN EL DIA DE LA FECHA SE DIO CUMPLIMIENTO A LO REQUERIDO EN LOS OFICIOS NRO. 6152, NRO. 6155 Y NRO. 6156, DEL JUZGADO FEDERAL NRO 3 DE ROSARIO, EN LO QUE SE REALIZO PORMENORIZADO INFORME AMBIENTAL, FAMILIAR DE VIDA Y COSTUMBRES, DE CONCEPTO, EDUCACIÓN, INSTRUCCIÓN Y SOBRE LA OCUPACION LABORAL ACTUAL O ÚLTIMA DESARROLLADA POR CADA UNA DE LAS PERSONAS QUE RESULTARAN DETENIDAS EN LOS OPERATIVOS ORDENADOS POR EL JUZGADO ACTUANTE. SE DESARROLLARON LAS TAREAS FUERA DE JURISDICCION MEDIANTE ORDEN DE SERVICIO NRO. 310/2010 URSA IV DEL LITORAL.</t>
  </si>
  <si>
    <t>7785/10</t>
  </si>
  <si>
    <t>INFORMO QUE EL DIA 07-12-10 A LAS 23:00 HS. RECUPERO SU LIBERTAD EL OF. AY.GASTON EVER CABRILLANA, LEGAJO 504307, CONSTITUYENDO DOMICILIO EN CALLE EJERCITO ARGENTINO Nº 1294, Bº CIUDAD DEL MILAGRO DE ESTA CIUDAD. SEGUN LO INFORMADO POR EL SR. PEDRO PORTELLA, DEL JUZGADO DE INSTRUCCION FORMAL 8ª NOMINACION A CARGO DEL DR. FEDERICO DIEZ, EN LA CAUSA Nº 20110-10 QUE TIENE COMO IMPUTADO AL OFICIAL CABRILLANA MANTIENE SU CARATULA INICIAL .</t>
  </si>
  <si>
    <t>TENTATIVA DE CONTRABANDO DIVISAS</t>
  </si>
  <si>
    <t>INFORMO QUE MIENTRAS SE EFECTUABA EL CONTROL DE RUTINA SOBRE LOS PASAJEROS, EN EL PUESTO ANTES MENCIONADO SE HACE PRESENTE EN EL MISMO UN PASAJERO QUE AL MOMENTO DE ATRAVESAR EL ARCO DETECTOR DE METALES ACTIVA LA ALARMA DEL MISMO. POR TAL MOTIVO EL OFICIAL AYUDANTE MARIO ROMERO, EFECTUA UN CONTROL DE RUTINA SOBRE LAS ROPAS DEL PASAJERO NOTANDO A LA ALTURA DE LA CINTURA DEL MISMO BULTOS QUE NO COINCIDIAN CON LA FISONOMIA DE SU CUERPO. A TAL EVENTO EL PASAJERO MANIFIESTA EN FORMA ESPONTANEA QUE TRASLADABA DINERO EN EFETCIVO POR UN MONTO APROXIMADO DE VEINTE MIL DOLARES Y QUE VIAJABA CON UNA COLEGA DE TRABAJO LA CUAL LLEVABA LA MISMA SUMA DE DINERO Y A QUIEN INDIVIDUALIZO EL MISMO ENTRE LOS PASAJEROS QUE SE ENCONTRABAN EN EL LUGAR Y EN VIRTUD A QUE ESTA SE ENCONTRABA EN EL SECTOR PERSONAL POLICIAL PROCEDE A CHEQUEAR A LA MISMA DETECTANDO A LA ALTURA DE SU TORSO DEBAJO DEL CORPIÑO Y EN EL ABDOMEN ERAN HABIDOS UNOS BULTOS QUE NO COINCIDIAN CON LA FISONOMIA DE SU CUERPO, CONSTATADONDO LOS DICHOS DEL PASAJERO. EN ESTE CONTEXTO SE CONVOCA A DOS TESTIGOS. SEGUIDAMENTE SE TRASLADA A LOS PASAJEROS Y TESTIGOS A LA GUARDIA DE PREVENCION, A LOS EFECTOS DE LABRAR LAS ACTUACIONES QUE DIERAN A LUGAR. LUEGO SE MANTIENE COMUNICACION TELEFONICA CON EL JUZGADO INTERVINIENTE QUIEN DISPONE QUE SE PROCEDA A LA DETENCION DE LOS PASAJEROS, SE PROCEDA AL SECUESTRO DE LOS BILLETES Y SE TRASLADE A LOS DETENIDOS, JUNTA MENTE CON TODO LO ACTUADO A SEDE JUDICIAL, UNA VEZ CULMINADAS LAS DILIGENCIAS IMPARTIDAS POR EL JUZGADO. EN VIRTUD A LO ORDENADO Y RESULTANTE DE LA REQUISA SOBRE EL PASAJERO ANDERSON SARTOR SE OBTUBIERON EL PAQUETE A, B ,C DEL BOLSILLO DEL PANTALON Y EL PAQUETE DENOMINADO PORTAFOLIO RETIRADO DE UN PORTAFOLIO QUE TRASLADABA EL MISMO, COMO ASI TAMBIEN DE LA REQUISA DE LA PASAJERA SE OBTUVIERON LOS PAQUETES 1 Y 2 CORPIÑO, 4, 3, 5 Y 6 BODY, Y 7 CARTERA. QUE SIENDO LAS 14:00 HS UNA VEZ CULMINADAS TODAS LAS DILIGENCIAS INDICADAS POR EL MAGISTRADO, SE PROCEDE AL TRASLADO DE LOS DOS DETENIDOS A SEDE JUDICIAL.</t>
  </si>
  <si>
    <t>RG 7651</t>
  </si>
  <si>
    <t>JUZGADO CORRECCIONAL 9° NOMINACION</t>
  </si>
  <si>
    <t>NUÑEZ CARTELLE</t>
  </si>
  <si>
    <t>HECTOR OSVALDO</t>
  </si>
  <si>
    <t>DRA VERONICA CARBAJALES</t>
  </si>
  <si>
    <t>PRESUNTA INFRACCIÓN 20429</t>
  </si>
  <si>
    <t>PUNTO DE INSPECCIÓN DE EQUIPAJE DE BODEGA</t>
  </si>
  <si>
    <t>EN LA FECHA DURANTE EL PROCESO DE INSPECCIÓN DE EQUIPAJE DE BODEGA DEL VUELO DE REFERENCIA EL PERSONAL POLICIAL OPERADOR DEL EQUIPO DE RAYOS X MARCA HEIMANN MODELO 9075, OFICIAL PRINCIPAL IVAN CAMARATTA, DETECTA LA PRESENCIA DE TRES ARMAS EN DOS VALIJAS. POR LO CUAL PROCEDE A CONVOCAR AL PROPIETARIO DE LAS MISMAS Y DOS TESTIGOS, A LOS EFECTOS DEL REGISTRO. PROCEDIÉNDOSE AL MISMO HALLANDOSE EN UNA VALIJA IDENTIFICADA CON MARBETE NRO LA 087378 UN REVOLVER Y UNA PISTOLA Y EN UNA VALIJA IDENTIFICADA CON MARBETE LA 087377 UNA PISTOLA. AL SOLICITARLE LA DOCUMENTACIÓN CORRESPONDIENTE AL ARMAMENTO LA MISMA NO ESTABA VIGENTE, POR LO CUAL SE PROCEDIÓ A DAR INTERVENCIÓN AL JUZGADO QUIEN ORDENO SE REALICE EL ACTA DE PROCEDIMIENTO, SE TOME AL PASAJERO SIMPLE INTERROGATORIO DE SUMARIO, SE AVERIGÜEN LOS ANTECEDENTES EN LA UR II POLICÍA DE LA PROVINCIA DE SANTA FE. SE PROCEDIÓ A DAR CUMPLIMIENTO A LO ORDENADO POR EL JUZGADO, SE REALIZO CONSTATACION DE DOMICILIO, SE SECUESTRARON LAS ARMAS Y DOCUMENTACIÓN DE LAS MISMAS LAS CUALES SE ENCONTRABAN VENCIDAS.</t>
  </si>
  <si>
    <t>MARIA GARELLO</t>
  </si>
  <si>
    <t>PUERTA DE PREEMNBARQUE</t>
  </si>
  <si>
    <t>CHECK IN ARSA</t>
  </si>
  <si>
    <t>SIENDO LA HORA MENCIONADA SE HACE PRESENTE LA DAMNIFICADA MANIFESTANDO QUE HABIA SUFRIDO LA SUSTRACCION DE SU CARTERA LA CUAL HABIA COLOCADO EN UN BOLSO DE MANO Y PERCATANDOSE DEL FALTANTE AL MOMENTO DE EMBARCAR, Y POR ESTAR PROXIMO A PARTIR SU VUELO LA MISMA DECIDE EMBARCAR Y REALIZAR LA DENUNCIA AL REGRESAR A ESTE AEROPUERTO.</t>
  </si>
  <si>
    <t>ESTEBAN MURANO</t>
  </si>
  <si>
    <t>MOSTRADOR DE LA PUERTA DE EMBARQUE Nº6</t>
  </si>
  <si>
    <t>SALA DE ESPERA DE EMBARQUE</t>
  </si>
  <si>
    <t>ERNESTO G. BRANDT, PASAJERO DEL VUELO MENCIONADO, AL SER ANOTICIADO SOBRE LA CANCELACION DE SU VUELO Y LA REASIGNACION DE SU PASAJE PARA EL PROXIMO VUELO -HORA DE DESPEGUE 18:45- SE ALTERA, MANIFESTANDO QUE EN CASO DE NO EMBARCAR EN SU VUELO ROMPERIA TODO, AL INFORMARLE LA COMPAÑIA QUE ESO NO SERIA POSIBLE Y QUE NO HABIA OTROS VUELOS ANTES DE LAS 18:45, TOMO EL TECLADO DEL MOSTRADOR Y LO DESTRUYO.</t>
  </si>
  <si>
    <t>AR 2532</t>
  </si>
  <si>
    <t>FRENTE A LAS OFICINAS DE LA DIRECCION NACIONAL DE MIGRACIONES.</t>
  </si>
  <si>
    <t>QUE SIENDO LA HORA INDICADA, LUEGO DE REALIZAR LOS TRAMITES MIGRATORIOS DE RIGOR AL ARRIBO DEL VUELO NUMERO UA 847 DE LA EMPRESA UNITED AIRLINES, SE DIRIGE CON SU AMIGO AL BAÑO UBICADO EN CERCANÍAS DEL LUGAR ANTES INDICADO, INGRESANDO A UNO DE LOS BOXES DE DICHO BAÑO, DEJANDO EN CUSTODIA SUS PERTENENCIAS, LAS CUALES CONSTAN DE UNA VALIJA DE TIPO CARRY-ON, UN BOLSO DE MANO Y UN BOLSO PORTA NOTEBOOK, A CARGO DE SU AMIGO EN EL INTERIOR DEL MENCIONADO BAÑO. QUE AL EGRESAR DEL GABINETE NOTA EL FALTANTE DEL BOLSO PORTA NOTEBOOK. SEGUIDAMENTE SE DIRIGE AL TURNO DE PREVENCIÓN A REALIZAR LA CORRESPONDIENTE DENUNCIA.</t>
  </si>
  <si>
    <t>INFRACCION ART. 189 BIS DEL C.P.N.</t>
  </si>
  <si>
    <t>SIENDO LA HORA Y LA FECHA ANTES MENCIONADA EN MOMENTOS QUE PERSONAL DE LA EMPRESA DE VIGILANCIA LONG PORT REALIZABA EL CONTROL MEDIANTE MAQUINA DE RAYOS X DE LOS EQUIPAJES DESPACHADOS POR BODEGA, OBSERVA EN LA IMAGEN DE LA PANTALLA DE DICHA MAQUINA QUE EN EL INTERIOR DE UNA VALIJA ERA HABIDO UN ELEMENTO DE SIMILARES CARACTERISTICAS A LAS DE UN ARMA DE FUEGO, POR LO QUE LE DA LA NOVEDAD AL PERSONAL POLICIAL DEL SECTOR, SEGUIDAMENTE SE ANOTICIA AL JEFE DE TURNO QUIEN DISPONE SE CONVOQUEN DOS TESTIGOS Y SE UBIQUE AL PROPIETARIO DE DICHO EQUIPAJE. QUE UNA VEZ CONTACTADO EL PROPIETARIO DE LA VALIJA EN CUESTION ES TRASLADADO JUNTO A SU MADRE Y TESTIGOS AL PATIO DE VALIJAS, LUGAR DONDE RECONOCE COMO DE SU PROPIEDAD LA VALIJA EN CUESTION. A SU VEZ DESCONOCE QUE EN EL INTERIOR DE LA MISMA ERA HABIDA UN ARMA DE FUEGO. SEGUIDAMENTE TODOS LOS ALLI PRESENTES SE TRASLADAN A LA GUARDIA DE PREVENCION DONDE SE EFECTUA COMUNICACION TELEFONICA CON EL JUZGADO EN TURNO QUIEN DISPONE SE PROCEDA AL SECUESTRO DEL ARMA DE FUEGO, SE NOTIFIQUE A LOS CAUSANTES QUE SE ENCUENTRAN AFECTADOS A ACTUACIONES,Y QUE UNA VEZ FINALIZADAS LA MISMAS LOS PASAJEROS CONTINUEN CON SU VUELO.</t>
  </si>
  <si>
    <t>LONGPORT</t>
  </si>
  <si>
    <t>G3 7651</t>
  </si>
  <si>
    <t>BAR SECTOR A2</t>
  </si>
  <si>
    <t>SIENDO APROXIMADAMENTE LAS 17.30 HORAS, EL DAMNIFICADO SE DIRIGIÓ HACIA EL BAR QUE SE ENCUENTRA EN EL SECTOR A2 DE ESTE AEROPUERTO DONDE PERMANECIÓ APROXIMADAMENTE DOS HORAS. SIENDO LAS 19:45 HORAS EN MOMENTOS EN QUE SE DISPONÍA A ABONAR LA CONSUMICION, TOMA SU PORTAFOLIO, EL CUAL TENIA SU CIERRE PRINCIPAL ROTO Y AL QUERER RETIRAR SU BILLETERA DE UNO DE LOS COMPARTIMENTOS INTERNOS, EL CUAL POSEIA CIERRE, OBSERVO QUE ÉSTE SE ENCONTRABA ABIERTO Y QUE SU BILLETERA NO SE ENCONTRABA.</t>
  </si>
  <si>
    <t>SE PROCEDE A LA RETENCIÓN DE UNA SACA COLECTORA DEL CORREO OFICIAL, SEGÚN CONSTA EN ACTA DE RETENCIÓN DE CARGAS Nº 510/10, QUE ORIGINA LA PREVENCIÓN SUMARIA 117/10, LA SACA IDENTIFICADA CON MARBETE, SLA0254734E545400MDQ, PRECINTO N° E350237, CON UN PESO DECLARADO DE 6,700 KGS, CON DESTINO LA CIUDAD DE MAR DEL PLATA, CONTENDRÍA UNA PIEZA POSTAL. LA MISMA ESTÁ AMPARADA EN GUÍA DE CARGA Nº 9309168-1, DESPACHADAS A TRAVÉS DE LA EMPRESA DE CARGA AÉREA JET PAQ. LA RETENCIÓN SE REALIZA ANTE LA PRESUNCIÓN QUE PUDIERAN CONTENER ALGÚN ELEMENTO EN INFRACCIÓN A LA LEY 23.737 Y/O 22.415, QUEDANDO LA MISMA CERRADA Y PRECINTADA EN GUARDA EN ESTA UOSP. SEGÚN LO COORDINADO CON EL DRA. MARÍA ISABEL FALU, A CARGO DE LA SECRETARIA PENAL Nº 4 DEL JUZGADO FEDERAL DE SALTA Nº 2 A CARGO DEL DR. MIGUEL ANTONIO MEDINA. LA APERTURA SE REALIZARÁ EN PRESENCIA DEL PERSONAL DEL CORREO OFICIAL.</t>
  </si>
  <si>
    <t>MOSTRADORES DE CHECK-IN LAN-25</t>
  </si>
  <si>
    <t>SIENDO LA HORA Y EL DÍA ANTES MENCIONADO, SE HACE PRESENTE EN ESTA GUARDIA DE PREVENCIÓN UNA PERSONA QUE DESEABA RADICAR UNA DENUNCIA, INFORMANDO QUE EL DÍA 10 DE DICIEMBRE DEL CORRIENTE SIENDO LAS 21:20 HORAS, TOMO SUS ACTIVIDADES LABORALES EN EL MOSTRADOR NUMERO VEINTICINCO DE LA EMPRESA AEROCOMERCIAL LAN ARGENTINA, DONDE SE DESEMPEÑA COMO PERSONAL DE TRAFICO Y COLOCO SU CARTERA DEBAJO DEL ESCRITORIO. LUEGO POR RAZONES OPERATIVAS SE TRASLADO HACIA EL PREEMBARQUE NACIONAL EN LA PLANTA ALTA DE ESTE AEROPUERTO, A SU REGRESO SE DIRIGIÓ HACIA EL STAND DE REMIS DE LA EMPRESA MANUEL TIENDA LEÓN, POR RAZONES OPERATIVAS. SIENDO LAS 03:00 HORAS REGRESO AL MOSTRADOR DONDE HABÍA COLOCADO SU CARTERA Y NO SE ENCONTRABA. BUSCO EN LOS MOSTRADORES LINDANTES Y AL NO ENCONTRARLA SE HIZO PRESENTE EN ESTA GUARDIA DE PREVENCIÓN</t>
  </si>
  <si>
    <t>CINTAS DE ARRIBOS DE EQUIPAJES</t>
  </si>
  <si>
    <t>BODEGA DE LA AERONAVE-PLATAFORMA-CINTAS DE ARRIBOS</t>
  </si>
  <si>
    <t>PERSONAL APOSTADO EN EL SECTOR DE MENCION DA AVISO DE QUE EN EL VUELO EN CUESTION ARRIBARON VARIOS PASAJEROS QUE SE DIRIGIERON A REALIZAR RECLAMOS ANTE LA COMPAÑIA TRANSPORTADORA, POR FALTANTE DE EQUIPAJES Y PERTENENCIAS. POR TAL RAZON EL JEFE DE TURNO DISPONE SE CONVOQUEN TESTIGOS HABILES Y SE DIRIJAN DOS MOVILES CON DOTACION PARA REALIZAR UN CONTROL PREVENTIVO SOBRE EL PERSONAL QUE OPERO EN LA DESCARGA DE DICHO VUELO. SEGUIDAMENTE SE IDENTIFICO A TODAS LAS PERSONAS, PARA LUEGO TRASLADARSE TODOS LOS PRESENTES HACIA ESTA DEPENDENCIA, A LOS FINES DE REALIZAR LAS ACTUACIONES QUE DIERAN A LUGAR. POR ULTIMO SE INVITO A TODOS LOS DAMNIFICADOS A REALIZAR FORMAL DENUNCIA EN ESTA GUARDIA DE PREVENCION.</t>
  </si>
  <si>
    <t>7240/10</t>
  </si>
  <si>
    <t>SE AMPLIA PARTE RESERVADO N° 7240 DE FECHA 15/11/2010, REFERENTE AL EXPTE. N° 561/10, CARATULADA AVERIGUACION INFRACCION A LA LEY 24769, TRAMITADA ANTE EL JUZGADO FEDERAL DE SALTA N° 1 A CARGO DEL JULIO LEONARDO BAVIO, SECRETARIA PENAL N° 2 A CARGO DEL DR. SANTIAGO FRENCH. SE INFORMA QUE DE UNA REUNION MANTENIDA EN EL JUZGADO FEDERAL, EL SECRETARIO DEL JUEZ SOLICITO UNA SERIE DE DILIGENCIAS EN RELACION A LAS TAREAS INVESTIGATIVAS QUE LLEVA A CABO PERSONAL DE ESTA UNIDAD Y DE LO INFORMADO OPORTUNAMENTE, EL TRIBUNAL ACTUANTE SOLICITO A LA AFIP DOCUMENTACIÓN DE IMPORTANCIA A LOS FINES DE RESPALDAR LO QUE SURJEN DE LAS ESCUCHAS TELEFONICAS REALIZADAS A LAS PERSONAS INVESTIGADAS, POR TAL MOTIVO, DE OTRA REUNION MANTENIDA ENTRE EL SECRETARIO Y EL SEÑOR JUEZ NOS INFORMARON QUE SE POSPONDRIA LOS ALLANAMIENTOS Y DETENCIONES APROXIMADAMENTE PARA EL DÍA 20 DEL CORRIENTE MES. SE AMPLIARA A MEDIDA QUE SURJAN NOVEDADES.</t>
  </si>
  <si>
    <t>7870/10</t>
  </si>
  <si>
    <t>SE PROCEDE A LA APERTURA DE UNA SACA COLECTORA DEL CORREO OFICIAL, SEGÚN COSTA EN ACTA DEJANDO CONSTANCIA Nº 511/10, CORRESPONDIENTE A LA PREVENCIÓN SUMARIA Nº 117/10, LA SACA IDENTIFICADA CON MARBETE, SLA0254734E545400MDQ, PRECINTO N° E350237, CONTIENE UNA PIEZA POSTAL IDENTIFICADA COMO EP71971045AR, REMITENTE SR. JORGE HÉCTOR PANTOJA, SAN PEDRO DE JUJUY, ROGELIO LEACH 136, Y DESTINATARIO SRA. LIDIA ANDREA ROJAS MAR DEL PLATA ,BARTAN 760, LA CUAL QUEDA RETENIDA. LA RETENCIÓN SE REALIZA ANTE LA PRESUNCIÓN DE QUE PUDIERA CONTENER ALGÚN ELEMENTO EN INFRACCIÓN A LAS LEYES 23.737 O 22.415, QUEDANDO LA MISMA CERRADA Y EN GUARDA EN ESTA USP. SE COMUNICO TELEFÓNICAMENTE AL JUZGADO INTERVINIENTE Y LA APERTURA SE REALIZA CON LA AUTORIZACIÓN DEL MAGISTRADO ACTUANTE</t>
  </si>
  <si>
    <t>RAMOS GABRIELA RAQUEL, SAUL PABLO FRANCISCO Y LIZARRAGA LISANDRO MATIAS S/INFRACC. LEY 23.737</t>
  </si>
  <si>
    <t>LIZARRAGA LISANDRO MATIAS S/RESTRICCION DE LA LIBERTAD</t>
  </si>
  <si>
    <t>EN CONTROL DE RUTINA EN EL SECTOR DE PREEMBARQUE SE IDENTIFICA AL SR. LISANDRO MATÍAS LIZARRAGA D.N.I. 31.809.907 SOBRE QUIEN PESA SOLICITUD DE CAPTURA, DETENCION, PROHIBICION DE SALIDA DE LA PROVINCIA SEGÚN REGISTROS DE RED LINCE NRO. 269396 - 269900 Y 276491 EN EL MARCO DE LAS CAUSA NRO. 2418 CARATULADA:"D.I.C. Y N.C.U S/AV. PTA. INF. LEY 23.737" EN TRAMITE ANTE EL JUZGADO FEDERAL USHUAIA A CARGO DEL DR. FEDERICO H. CALVETE , SECRETARIA PENAL NRO. 2 A CARGO DEL DR. ERNESTO MENDIETA Y CAUSA NRO. 19.017 CARATULADA:"RAMOS GABRIELA RAQUEL, SAUL PABLO FABRICIO Y LIZARRAGA LISANDRO MATIAS S/ INFRAC. A LA LEY 23.737" EN TRAMITE ANTE EL JUZGADO FEDERAL USHUAIA A CARGO DEL DR. FEDERICO H. CALVETE, SECRETARIA PENAL NRO. 1 A CARGO DEL DR. ISIDORO ARAMBURU. ACTO SEGUIDO EL SR. LIZARRAGA PRESENTA CERTIFICADO EMITIDO CON FECHA 10-12-2010 POR EL JUZGADO FEDERAL DE PRIMERA INSTANCIA, EN EL CUAL SE DISPUSO DEJAR SIN EFECTO LA ORDEN DE DETENCION OPORTUNAMENTE DICTADA EN EL MARCO DE LA CAUSA 19.Y LA PROHIBICION DE SALIDA DE LA PROVINCIA QUE PESABA SOBRE EL NOMBRADO DISPUESTA CON FECHA 29-08-2008. SE REALIZA COMUNICACIÓN TELEFONICA CON EL JUZGADO INTERVINIENTE EN LA PERSONA DEL SECRETARIO DR. PABLO JUAN LEGA A FIN DE HACERLE SABER QUE EL NOMBRADO POSEE PROHIBICION DE SALIDA DE LA PROVINCIA EN EL MARCO DE LA CAUSA NRO. 2418 Y MANIFIESTA QUE ENTABLARA COMUNICACIÓN TELEFONICA CON EL SECRETARIO DE LA SECRETARIA PENAL 2 A FIN DE REALIZAR LA CONSULTA CORRESPONDIENTE. SIENDO LAS 10:15 HS. SE COMUNICA EL DR. PABLO JUAN LEGA QUE DE ACUERDO A LO CONSULTADO CON LA SECRETARIA PENAL NRO. 2 ESTA AUTORIZA AL SR. LIZARRAGA A SALIR DE LA PROVINCIA EN VIRTUD DE HABERSE PUESTO A DERECHO ANTE ESE JUZGADO. SE RETIRA DE ESTE TURNO DE PREVENCION EL SR. LIZARRAGA REPROGRAMANDO SU VUELO PARA EL DIA 12/12/10, SIN OTRA NOVEDAD.- SE LABRA ACTA DEJANDO CONSTANCIA NRO. 31/10.-</t>
  </si>
  <si>
    <t>USHUAIA - AEROPUERTO MALVINAS ARGENTINAS</t>
  </si>
  <si>
    <t>VARELA CASTRO HELENA S/ DENUNCIA ROBO</t>
  </si>
  <si>
    <t>CINTA DE ARRIBO DE EQUIPAJE</t>
  </si>
  <si>
    <t>INFORMO EN EL DIA DE LA FECHA SIENDO 10:55 HS LA CIUDADANA ESPAÑOLA VARELA CASTRO HELENA RADICO DENUNCIA POR ROBO EN EQUIPAJE FACTURADO, POR EL FALTANTE DE UNA CAMARA FOTOGRAFICA DIGITAL, Y ELEMENTOS INFORMATICOS. LOS QUE FUERON DESPACHADOS DENTRO DE UN BOLSO MARCA NEWFEEL A LAS 03:30 HS EN EL AEROPARQUE JORGE NEWBERY, BAJO MARBETE NRO LA 122792. ASIMISMO SE DIO CUMPLIMIENTO A LO ORDENADO MEDIANTE MEMORANDO CEAC 2751/08</t>
  </si>
  <si>
    <t>ESSENCES ET FLEURS SUDAMERICANA S.A. Y OTRO S/INF. ART. 302 C.P.</t>
  </si>
  <si>
    <t>OFICINAS DIRECCION NACIONAL DE MIGRACIONES</t>
  </si>
  <si>
    <t>QUE SIENDO LAS ONCE HORAS DEL DIA ONCE DEL CORRIENTE MES Y AÑO, SE RECIBE DE LA DNM, UNA PERSONA DE SEXO MASCULINO, EL CUAL REGISTRA EN EL SISTEMA INFORMATICO DE DICHO ORGANISMO UNA ORDEN DE CAPTURA ORDENADA POR EL JUZGADO NACIONAL EN LO PENAL ECONOMICO NRO. 4. SEGUIDAMENTE SE MANTIENE COMUNICACION TELEFONICA CON EL JUZGADO SOLICITANTE QUIEN DISPONE SE REALICE CONSTATACION DE DOMICILIO, COMPULSA ANTE REINCIDENCIA, E INTERPOL EZEIZA, SE LO NOTIFIQUE QUE DEBERA COMPARECER ANTE EL MAGISTRADO EL DIA LUNES TRECE DEL CORRIENTE MES Y AÑO, Y SE CONCEDA LA INMEDIATA LIBERTAD DEL CAUSANTE. QUE SIENDO LAS DIECISEIS HORAS Y CUARENTA MINUTOS, EL CAUSANTE SE RETIRA DE ESTA DEPENDENCIA POR SUS PROPIOS MEDIOS Y CONFORME CON LOS TRATOS RECIBIDOS.</t>
  </si>
  <si>
    <t>CO053</t>
  </si>
  <si>
    <t>AVDA. SANTA FE 2781 5º A - C.A.B.A.</t>
  </si>
  <si>
    <t>ARRIBA A ESTE AEROPUERTO INTERNACIONAL, DONDE LUEGO DE REALIZAR LOS TRAMITES MIGRATORIOS SE DIRIGE HACIA EL SECTOR DE ARRIBO, A LOS EFECTOS DE RETIRAR SUS EQUIPAJES, PERCATANDOSE DEL FALTANTE DE UNO DE SUS EQUIPAJES, LUEGO DE REALIZAR EL RECLAMO CORRESPONDIENTE, SE LE INFORMA QUE AL DIA SIGUIENTE LE SERIA REMITIDO A SU DOMICILIO, DEBIDO A QUE EL MISMO SE ENCONTRABA EN EL AEROPUERTO DE ORIGEN. EN EL DIA DE LA FECHA SIENDO LAS DIEZ HORAS Y TREINTA MINUTOS, SE HACE PRESENTE EN SU DOMICILIO PERSONAL DE LA EMPRESA AEREA CON MOTIVO DE HACERLE ENTREGA DEL EQUIPAJE EN CUESTION, APERTURANDO EL MISMO Y PERCATANDOSE QUE EN EL INTERIOR HABIAN ELEMENTOS QUE NO ERAN DE SU PROPIEDAD, COMO ASI TAMBIEN EL FALTANTE DE SUS PERTENENCIAS.</t>
  </si>
  <si>
    <t>SIENDO LA FECHA Y LA HORA ANTES MENCIONADA EL PERSONAL POLICIAL APOSTADO EN EL SECTOR DE MENCION INFORMO SOBRE UNA MEDIDA DE FUERZA INICIADA IMPREVISTAMENTE POR PERSONAL DE LA EMPRESA DE VIGILANCIA H.A.S, EL CUAL TIENE LA FUNCION DEL CONTROL DE DESPACHO DE VUELOS E INSPECCIÓN DE LOS EQUIPAJES FACTURADOS POR BODEGA DE LA AERONAVES, LOS MISMOS APAGARON LOS EQUIPOS DE RAYOS X E HICIERON ABANDONO DEL SECTOR. POR TAL MOTIVO EL JEFE DE TURNO DEL DIA DE LA FECHA, CON EL OBJETO DE EVITAR RETRASOS Y/O CANCELACIONES DE VUELOS, CONVOCA A PERSONAL POLICIAL A EFECTUAR EL MENCIONADO CONTROL. ATENTO A ELLO SE MANTIENE COMUNICACION TELEFONICA CON EL JUZGADO INTERVINIENTE QUIEN AVALO LO ACTUADO Y A SU VEZ INDICO QUE SE MANTENGA INFORMADO DE LOS HECHOS. LUEGO EL PERSONAL DE LA EMPRESA H.A.S. EN CONFLICTO, SIGUIÓ MANIFESTÁNDOSE EN EL HALL DE LA TERMINAL A Y POSTERIORMENTE SE TRASLADARON AL SECTOR DE INGRESO AL AEROPUERTO DENOMINADO TAQUILLA DE ESTE AEROPUERTO, DONDE EFECTÚO UN CORTE PARCIAL DE LA VÍA DE INGRESO DE LA AUTOPISTA RICHIERI DEJANDO UN SOLO CARRIL HABILITADO. QUE CULMINADA LA PROTESTA EL PERSONAL DE H.A.S. SE RETIRA DEL SECTOR, DESPEJANDO LAS VIAS DE INGRESO A ESTE AEROPUERTO, DONDE EL PERSONAL EN CUESTIÓN DA TERMINADA LA PROTESTA, SITUACIÓN ESTA QUE FUE INFORMADA AL JUZGADO. INDICANDO EL MISMO QUE SE ELEVE LO ACTUADO EL DIA LUNES 13/12/10, A SEDE JUDICIAL.</t>
  </si>
  <si>
    <t>JUZGADO FEDERAL DE 1RA. INSTANCIA EN LO CRIMINAL Y CORRECCIONAL N° 2 DE SAN JUAN.</t>
  </si>
  <si>
    <t>SECRETARIA PENAL N° 5</t>
  </si>
  <si>
    <t>DRA. MARIA PAULA CARENA</t>
  </si>
  <si>
    <t>C/ESTEVEZ PEREZ ANTONIO Y MIRTA RAQUEL GIL POR INF. ART. 173 DEL C.P.</t>
  </si>
  <si>
    <t>QUE SIENDO LA HORA INDICADA SE RECIBE LA DE LA DNM A LA PASAJERA EN CUESTIÓN SOBRE QUIEN PESA LA ORDEN DE RESTRICCIÓN. QUE UNA VEZ EN ESTA DEPENDENCIA EL JEFE DE TURNO MANTIENE COMUNICACIÓN TELEFÓNICA CON LA SECRETARIA DEL JUZGADO SOLICITANTE DE DICHA RESTRICCIÓN A QUIEN SE LE INFORMA DE LA SITUACIÓN Y QUE EN DICHA GUARDIA DE PREVENCIÓN SE HABÍA PRESENTADO EL SR. ANTONIO ESTEVEZ PEREZ, MARIDO DE LA CAUSANTE, INDICANDO LA MISMA QUE ERA DE INTERÉS LA CAUSA EN CUESTIÓN Y QUE SE PROCEDA A LA DETENCIÓN DE LA CAUSANTE COMO ASI TAMBIÉN DE SU MARIDO DADO QUE LOS MISMOS DEBEN PRESTAR DECLARACIÓN TESTIMONIAL EN DICHA CAUSA Y QUE UNA VEZ FINALIZADAS LAS DILIGENCIAS DE RIGOR SE TRASLADE A LOS MISMOS A LA U-28. QUE SIENDO APROXIMADAMENTE LAS TRES HORAS DEL DÍA 11/12/10, LOS CAUSANTES SE TRASLADAN HACIA LA U-28 DEL S.P.F. QUIENES SE ENCARGARAN DEL TRASLADO DE LOS MISMOS HACIA LA JUDICATURA EN CUESTIÓN.</t>
  </si>
  <si>
    <t>A HORAS 23:40 DEL DÍA DE LA FECHA SE PRESENTA EN EL TURNO POLICIAL PREVENTIVO EL SR. CROCCO FERNANDO CON INTENCIÓN DE RADICAR UNA DENUNCIA, MANIFESTANDO QUE DESPACHO EQUIPAJE POR BODEGA PARA EL VUELO Nº 2459 EN AUSTRAL LÍNEAS AÉREAS JUNTO A UN GRUPO DE CIRUJANOS. A LAS 23:00 HS. LES INFORMAN QUE NO PODIAN VIAJAR TODOS POR LO QUE SE DIVIDEN EN DOS GRUPOS, AL MOMENTO DE SOLICITAR LE SEA DEVUELTA LA MITAD DEL EQUIPAJE DESPACHADO, ADVIRTIÓ EL FALTANTE DE UNA CAJA CONTENIENDO MATERIAL QUIRÚRGICO. INMEDIATAMENTE CONOCIDO EL HECHO SE DISPUSO AL PERSONAL DE TURNO QUE REALICEN PATRULLA POR LA ZONA DE PLATAFORMA Y PATIO DE VALIJAS, TAMBIÉN SE INCREMENTA EL PERSONAL EN PUNTOS DE INSPECCIÓN DANDO RESULTADOS NEGATIVOS, EL JEFE DE TURNO OF. MY. MIGUEL FABIÁN TRATO DE ENTABLAR COMUNICACIÓN TELEFÓNICA EN REITERADAS OPORTUNIDADES CON LA DRA. MARIA ISABEL FALU SECRETARIA DE LA FISCALIA FEDERAL DE SALTA Nº 2 A CARGO DEL DOCTOR MIGUEL ANTONIO MEDINA CON RESULTADO NEGATIVO, QUEDANDO PENDIENTE DICHA COMUNICACIÓN PARA INFORMAR LA NOVEDAD Y TEMPERAMENTO A SEGUIR., SE AMPLIARA LUEGO DE ESTABLECER LA COMUNICACIÓN. SEGÚN P.U.Nº 7900 (AMPLIACION) EN EL DIA DE LA FECHA 13-DIC-10, A HORAS 09:05 EL OF. MY.FABIAN MIGUEL SE COMUNICA TELEFONICAMENTE CON LA DRA. FALU MARIA ISABEL, SECRETARIA PENAL Nº 4 DEL JUZGADO FEDERAL Nº 2 DE SALTA, A CARGO DEL DR. MIGUEL ANTONIO MEDINA, INFORMANDO DE LA DENUNCIA RADICADA EL DIA 11-12-10. LA MISMA DISPONE QUE SEA DERIVADO A LA FISCALIA FEDERAL Nº 2, A CARGO DEL DR. VILLALBA EDUARDO JOSE. A HS 09:10 EL OF.MY. FABIAN SE COMUNICA CON LA DRA. PAULA GALLO PULO, SECRETARIA DE LA FISCALIA FEDERAL Nº 2, LA CUAL DISPONE QUE SE REALICEN LAS ACTUACIONES Y SEAN DERIVADAS A ESA FISCALIA</t>
  </si>
  <si>
    <t>LOS OFICIALES AYUDANTES MANGINI MARCELO, Y YESICA ESQUIVEL Y LA OFICIAL PRINCIPAL KARINA FRIAS, REALIZABAN UN CONTROL DE RUTINA MEDIANTE MAQUINA DE RX, VISUALIZAN QUE EN EL INTERIOR DE UNA VALIJA DESPACHADA BAJO MARBETE NUMERO UX 552153, A NOMBRE DE RUDEL/CARLOSJORG, ERA HABIDA SUSTANCIA ORGANICA DE BAJA DENSIDAD, POR LO CUAL SE CONVOCO TESTIGOS Y A SU VEZ LA PRESENCIA DEL PROPIETARIO. QUE SE REALIZO CONSULTA CON EL JUZGADO EN TURNO, QUIEN ORDENO LA REQUISA DE LA MENCIONADA VALIJA, DE LA CUAL SE EXTRAJO CINCUENTA Y CUATRO PRENDAS DE VESTIR IMPREGNADAS CON SUSTANCIA QUE SOMETIDA A PRUEBA DE CAMPO CON REACTIVO QUIMICO ARROJO RESULTADO POSITIVO COCAINA. A CONTINUACION SE MANTUVO UNA NUEVA COMUNICACION CON EL JUZGADO INTERVINIENTE, QUIEN DISPUSO LA DETENCION E INCOMUNICACION DEL CAUSANTE, Y TRASLADO DEL MISMO A SEDE JUDICIAL EL DIA TRECE DEL CORRIENTE MES Y AÑO</t>
  </si>
  <si>
    <t>HALL ARRIBOS-CERCANIAS AL BANCO CITIBANK</t>
  </si>
  <si>
    <t>MOMENTOS EN QUE EL DENUNCIANTE SE ENCONTRABA REALIZANDO UNA LLAMADA TELEFONICA EN EL HALL DE ARRIBOS DDE LA TERMINAL A, EN CERCANIAS AL BANCO CITIBANK, ES CUANDO SE PERCATA DEL FALTANTE DE UNA MOCHILA LA CUAL SE ENCONTRABA EN UN CARRO PORTAMALETAS.POR TAL MOTIVO SE DIRIGE A ESTA GUARDIA DE PREVENCION A LOS EFECTOS DE RADICAR LA DENUNCIA CORRESPONDIENTE.</t>
  </si>
  <si>
    <t>DR. JUAN IGNACIO BENITO</t>
  </si>
  <si>
    <t>FRENTE AL AEROPUERTO JORGE NEWBERY.</t>
  </si>
  <si>
    <t>AV COSTANERA RAFAEL OBLIGADO SIN NUMERO.</t>
  </si>
  <si>
    <t>HABIENDO ARRIBADO EL DAMNIFICADO AL AEROPUERTO DE EZEIZA SIENDO LAS 09:30 HORAS EN VUELO DE AL ITALIA Nº AZ 680, PROVENIENTE DE ROMA. AL SALIR DEL MISMO TOMO UN TAXI EN LA VEREDA CON DESTINO A ESTE AEROPARQUE, YA QUE DEBÍA VIAJAR A LA CIUDAD DE CÓRDOBA, ABONANDO POR EL TOTAL DEL MISMO DOSCIENTOS CINCUENTA PESOS ARGENTINOS ($250), RECIBIENDO UN RECIBO DE COBRO DE LA EMPRESA TAXI CARD, SIN NUMERO DEL MÓVIL, NI NOMBRE DEL CHOFER, COLOCANDO EN EL BAÚL UNA (01) VALIJA TIPO CARRY ON, Y LLEVANDO CONSIGO UN BOLSO DE MANO. A POCOS MINUTOS DE LLEGAR AL AEROPARQUE, COMENZÓ A SENTIR MALESTAR ESTOMACAL, MOTIVO POR EL CUAL EL TAXISTA, PARO FRENTE A UN SEMÁFORO, AL COSTADO DE LA COSTANERA, EL SEÑOR DESCENDIÓ DEL VEHICULO, MARCA POLO Y EL CHOFER ARRANCO RAPIDAMENTE, LLEVÁNDOSE SUS PERTENENCIAS, MOTIVO POR EL CUAL RADICA LA CORRESPONDIENTE DENUNCIA.</t>
  </si>
  <si>
    <t>DR MARCOS OCTAVIO HUDECEK</t>
  </si>
  <si>
    <t>BENITEZ FRANCO ALEXIS Y OTROS S/PROTECCION DE PERSONAS - VIERA, ADRIAN Y DIANA-</t>
  </si>
  <si>
    <t>EXPTE. 3942/1999</t>
  </si>
  <si>
    <t>BENITEZ FRANCO ALEXIS Y OTROS S/RESTRICCION A LA LIBERTAD</t>
  </si>
  <si>
    <t>INFORMO QUE EN EL DIA DE LA FECHA SE INDIVIDUALIZO EN EL CONTROL DE DOCUMENTACION DEL PREEMBARQUE DEL VUELO AR 2857 DE LA EMPRESA AEROCOMERCIAL AEROLINEAS ARGENTINAS, A CUATRO MENORES: ADRIAN KEVIN DYLAN VIERA, DIANA DALILA ELIZABETH VIERA, YUSELO GENARO PAULINI Y FRANCO ALEXIS BENITEZ, SOBRE QUIENES PESA UNA PROHIBICION DE SALIDA DE LA PROVINCIA DE TIERRA DEL FUEGO. DICHOS MENORES SE ENCONTRABAN EN COMPAÑIA DE LA ABUELA LA SRA. QUINTEROS MARIA INES. SE REALIZO COMUNICACION CON EL JUZGADO INTERVINIENTE MANIFESTANDO QUE LA MEDIDA CONTINUA VIGENTE. SE LABRA ACTA DEJANDO CONSTANCIA NRO. 32/10. SE RETIRAN LOS MENORES Y LA SRA. QUINTEROS DE ESTA PREVENCION SIN NOVEDAD.</t>
  </si>
  <si>
    <t>BODEGA AERONAVE-PLATAFORMA-CINTAS DE ARRIBOS</t>
  </si>
  <si>
    <t>QUE UNA VEZ ARRIBADA A ESTE AEROPUERTO INTERNACIONAL, LA SEÑORITA MENOR DE EDAD DE NOMBRE CLEMENCE MARIE ISABELLE LEONARD, HIJA DEL DENUNCIANTE, LUEGO DE REALIZAR LOS TRAMITES MIGRATORIOS CORRESPONDIENTES AL INGRESO AL TERRITORIO NACIONAL, SE DIRIGE HACIA EL SECTOR DE CINTA TRANSPORTADORA DE EQUIPAJES, A LOS EFECTOS DE RETIRAR SU EQUIPAJE DESPACHADO A BODEGA, QUE UNA VEZ EN EL SECTOR RETIRA SU EQUIPAJE PARA CONTINUAR CON SU RECORRIDO Y UNA VEZ EN SU DOMICILIO, PROCEDE A APERTURAR SU EQUIPAJE, DONDE LOGRA PERCATASE DEL FALTANTE DE UNA COMPUTADORA PORTATIL, MOTIVO POR EL CUAL SE HIZO PRESENTE EL DENUNCIANTE JUNTO A SU HIJA, EN EL DIA DE LA FECHA A EFECTOS DE REALIZAR LA CORRESPONDIENTE DENUNCIA.</t>
  </si>
  <si>
    <t>DRA. KARINA GALCYNSKY</t>
  </si>
  <si>
    <t>MIENTRAS EL OFICIAL AYUDANTE HUGO CANTERO CUMPLIA CON SUS FUNCIONES EN EL PUESTO DENOMINADO ARRIBOS DE LA TERMINAL A, ADVIERTE QUE UNA PERSONA DE SEXO FEMENINO DE RASGOS ORIENTALES INGRESA A CONTRAFLUJO Y DE MANERA RAPIDA HACIA LA ZONA RESTRINGIDA DEL MENCIONADO SECTOR, MOTIVOS POR EL CUAL EMPRENDE UNA PERSECUCION MANIFESTANDOLE A VIVA VOZ EL GRITO DE ALTO, HACIENDO LA FEMENINA CASO OMISO A DICHA ORDEN Y LOGRANDOLA INTERCEPTAR EN EL SECTOR DE CINTAS DE EQUIPAJES. EN ESOS MOMENTOS SE LE EXPLICA A LA CIUDADANA QUE ESE LUGAR ERA DE USO RESTRINGIDO Y QUE DEBIA RETIRARSE, ANTE LO CUAL LA FEMENINA SE ARROJA AL SUELO. ANTE ESTO SE HACE PRESENTE EN EL SECTOR EL OFICIAL AYUDANTE VIDAL A LOS EFECTOS DE PRESTAR APOYO, COMIENZADO LA MUJER EN ESOS MOMENTOS A PROPINARLES GOLPES DE PUÑO, RASGUÑOS, Y MORDIDAS. UNA VEZ CONTROLADA LA SITUACION LA PERSONA LOGRA HUIR NUEVAMENTE, TRANSMITIENDOSE LA NOVEDAD AL JEFE DE TURNO, QUIEN DISPONE SE LA TRASLADE HACIA LA GUARDIA DE PREVENCION. AL SER INTERCEPTADA POR SEGUNDA VEZ COMIENZAN NUEVAMENTE LAS AGRESIONES HACIA EL PERSONAL POLICIAL, SIENDO REDUCIDA Y TRASLADADA A LA GUARDIA CON LA MINIMA FUERZA NECESARIA. SE DIO INTERVENCION A LA UFI DE TURNO, QUIEN DISPUSO SE LABREN ACTUACIONES CARATULADAS RESISTENCIA A LA AUTORIDAD, Y PROCEDAN A LA APREHENSION EN CALIDAD DE COMUNICADA. SE INFORMA EN P.U. Nº 7920 QUE EL DIA 13 A LAS DIECINUEVE HORAS APROXIMADAMENTE, SE PROCEDIO A EFECTIVIZAR LA LIBERTAD, DE ACUERDO A LO DISPUESTO POR EL AGENTE FISCAL MEDIANTE OFICIO</t>
  </si>
  <si>
    <t>SECRETARIA DE INVESTIGACION PROVINCIAL</t>
  </si>
  <si>
    <t>TORRES, MARÍA</t>
  </si>
  <si>
    <t>SIENDO LAS 20:15 HS. APROXIMADAMENTE DEL DÍA 12 DE DICIEMBRE DEL CORRIENTE AÑOLA DENUNCIANTE DESPACHA SU EQUIPAJE EL CUAL CONSTA DE UNA (01) VALIJA TIPO CARRIÓN MARCA FERGI COLOR ROSA CHICLE DE 60 X 40 X 25 CM. APROXIMADAMENTE IDENTIFICADA CON MARBETE Nº LA 203214. CABE DESTACAR QUE EL EQUIPAJE DESPACHADO FUE PRECINTADO POR PERSONAL DE LA EMPRESA LAN A PEDIDO DE LA DENUNCIANTE. AL ARRIBAR A LA CIUDAD DE CÓRDOBA LA DENUNCIANTE RETIRA SU EQUIPAJE Y OBSERVA QUE LE FALTABA EL PRECINTO A SU VALIJA POR LO CUAL PROCEDE A REVISARLO Y OBSERVA EL FALTANTE DE UN (01) PERFUME DE 50ML MARCA ARMANI MODELO AQUA DI GIOIA, UNA (01) CARTERA MARCA XL COLOR NEGRA PLATINADO CON UNA SOLA TIRA DE 30 X 30 CM Y LA SUMA DE PESOS OCHOCIENTOS ($800). ANTE ESTA SITUACIÓN SE DIRIGE A LA EMPRESA LAN PARA REALIZAR EL RECLAMO CORRESPONDIENTE Y POSTERIORMENTE RADICA LA DENUNCIA</t>
  </si>
  <si>
    <t>LA 4220</t>
  </si>
  <si>
    <t>JUZGADO DE GARANTIAS N° 02 DE MERCEDES</t>
  </si>
  <si>
    <t>OLIVA</t>
  </si>
  <si>
    <t>Facundo Guillermo</t>
  </si>
  <si>
    <t>GALICCHIO, MARIA CRISTINA</t>
  </si>
  <si>
    <t>BOBADILLA JHON ALEXANDER Y OTROS S/HURTO SIMPLE</t>
  </si>
  <si>
    <t>OFICINAS DEL SECTOR DE INGRESO AL TERRITORIO NACIONAL</t>
  </si>
  <si>
    <t>SIENDO LA HORA Y LA FECHA ANTES MENCIONADA SE RECIBE DE LA DIRECCION NACIONAL DE MIGRACIONES, A UNA PERSONA DE SEXO FEMENINO, SOBRE LA CUAL REGISTRA EN EL SISTEMA INFORMATICO DE DICHO ORGANISMO UNA ORDEN DE CAPTURA VIGENTE. SE MANTIENE COMUNICACION TELEFONICA CON EL JUZGADO DE GARANTIAS N° 02 DE MERCEDES SOLICITANTE DE LA MEDIDA, QUIEN DISPUSO SE PROCEDA A LA DETENCION DE LA CAUSANTE, Y SEA TRASLADADA AL ASIENTO DE ESE MAGISTRADO JUNTAMENTE CON TODAS SUS PERTENECIAS Y LAS ACTUACIONES LABRADAS, A PRIMERA HORA DE LA MAÑANA DEL DIA LUNES 13/12/10.</t>
  </si>
  <si>
    <t>SIENDO LAS 20:15 HS. APROXIMADAMENTE DEL DÍA 12 DE DICIEMBRE DE 2010 LA DENUNCIANTE DESPACHA UNA (01) VALIJA DE TELA TIPO CARRIÓN SIN MARCA COLOR AZUL DE 55 X 35 X 20 CM. APROXIMADAMENTE IDENTIFICADA CON MARBETE Nº LA 202258, LA CUAL IBA ACOMPAÑADA POR UNA SEGUNDA VALIJA TIPO CARRIÓN MARCA CACHAREL COLOR MARRÓN DE 75 X 45 X 25 CM. APROXIMADAMENTE. AL ARRIBAR A LA CIUDAD DE CÓRDOBA LA DENUNCIANTE RETIRA SU EQUIPAJE Y OBSERVA QUE DE LA VALIJA AZUL SALÍA UNA PRENDA DE VESTIR POR LO CUAL PROCEDE A REVISARLO Y OBSERVA EL FALTANTE DE UNA (01) MAQUINA DE FOTOS DIGITAL KODAK DE 12.2 MEGA PÍXELES CON SU CORRESPONDIENTE MEMORIA DE 2 GB MARCA KINGSTON, UN (01) PERFUME DE HOMBRE DE 50ML MARCA UNIVERSO GARDEN, UN (01) PERFUME DE MUJER DE 50ML MARCA UNIVERSO GARDEN, UNA (01) CREMA DE MUJER MARCA UNIVERSO GARDEN Y UNA (01) CADENA DE ORO 18 KILATES. ANTE ESTA SITUACIÓN LA DENUNCIANTE SE DIRIGE A LA EMPRESA LAN PARA REALIZAR EL RECLAMO CORRESPONDIENTE Y POSTERIORMENTE RADICA LA CORRESPONDIENTE DENUNCIA.</t>
  </si>
  <si>
    <t>LOCAL DE MC DONALDS UBICADO SITO EN LA TERMINAL A DE ESTE MEDIO</t>
  </si>
  <si>
    <t>QUE SIENDO LAS CATORCE HORAS APROXIMADAMENTE, SE DETECTA DEBAJO DE UNA DE LAS MESAS HABIDAS DENTRO DEL LOCAL DE MC DONALDS UBICADO EN LA TERMINAL A DE ESTE MEDIO, UN BULTO SOSPECHOSO, SIN PODER DETERMINAR FEHACIENTEMENTE DE QUE ELEMENTO SE TRATARA, ACTO SEGUIDO EL JEFE DE TURNO MANTIENE COMUNICACION TELEFONICA CON EL JUZGADO FEDERAL DE TURNO INFORMANDO SOBRE EL HALLAZGO, DISPONIENDO EL MAGISTRADO SE REALICE EL PROCEDIMIENTO DE RUTINA, Y SE INFORMEN LOS RESULTADOS, SEGUIDAMENTE EL JEFE DE TURNO SOLICITA LA PRESENCIA DE PERSONAL DEL GRUPO ESPECIAL DE DESACTIVACION DE EXPLOSIVOS, Y JUNTAMENTE CON ESTOS, PERSONAL DEL SERVICIO MEDICO DE SANIDAD Y BOMBEROS DE LA PFA, PROCEDEN A REALIZAR EL PERIMETRO DE SEGURIDAD CORRESPONDIENTE. A CONTINUACION EL OFICIAL PRINCIPAL ZUBIZARRETA, NUMERARIO DEL GEDEX PROCEDE A REALIZAR UN ANALISIS CON EL EQUIPO DE MARCA SABRE 4000 SOBRE EL BULTO SOSPECHOSO, ARROJANDO UN RESULTADO NEGATIVO EN CUANTO A LA EXISTENCIA DE ARTEFACTOS EXPLOSIVOS. QUE SIENDO LAS CATORCE HORAS Y CUARENTA MINUTOS EL JEFE DE TURNO, MANTIENE UNA NUEVA COMUNICACION TELEFONICA CON EL JUZGADO DE MENCION, A LOS EFECTOS DE ANOTICIARLO DE LOS RESULTADOS OBTENIDOS, DISPONIENDO EL MISMO SE LABREN SOLAMENTE CONSTANCIA INTERNA.</t>
  </si>
  <si>
    <t>EN CUMPLIMIENTO DE LA ORDEN DE SERVICIO NRO. 0112/10 Y SIENDO LAS 08:23 HORA LOCAL DESPEGA AERONAVE MD 83, MATRICULA LV-BEG, PERTENECIENTE A LA EMPRESA AUSTRAL LINEAS AEREAS, COMO VUELO NRO. 2831 Y CUYA BODEGA NRO. 5 SE EMBARCAN UN TOTAL DE 30 CAJAS CON UN PESO DE 600 KILOGRAMOS DE METAL- MTD- PERTENECIENTES AL A EMPRESA MINERA SANTA CRUZ CON DESTINO EL AEROPUERTO JORGE NEWBERY DE CAPITAL FEDERAL.</t>
  </si>
  <si>
    <t>INFRACCION AL ART. 189 BIS CPN</t>
  </si>
  <si>
    <t>SIENDO LA HORA Y LA FECHA ANTES MENCIONADA EN MOMENTOS QUE PERSONAL DE VIGILANCIA DE LA EMPRESA USS CONTROLABAN LOS EQUIPAJES DESPACHADOS POR BODEGA DEL VUELO DE MENCION, MEDIANTE MAQUINA DE RAYOS X, LOS MISMOS OBSERVAN EN LA PANTALLA LA IMAGEN DE UNA VALIJA TIPO CARRY ON CONTENIENDO UN ELEMENTO QUE POR LAS CARACTERISTICAS QUE PRESENTABA PARECIA SER UN ARMA DE FUEGO. A TAL EVENTO LOS MISMOS SOLICITAN PRESENCIA POLICIAL, POR LO QUE PERSONAL APOSTADO EN EL SECTOR SE HIZO PRESENTE, CONVOCANDO SEGUIDAMENTE DOS TESTIGOS Y PASANDO LA NOVEDAD AL JEFE DE TURNO. ANOTICIADO DE LO SUCEDIDO ESTE ULTIMO COMISIONO PERSONAL PARA LA BUSQUEDA DEL PASAJERO QUE DESPACHO DICHO EQUIPAJE. UNA VEZ QUE ESTE FUE LOCALIZADO FUE INVITADO HACIA EL PATIO DE VALIJAS, ANTE LO CUAL ACCEDIO, ACLARANDO PRIMERO QUE DICHA VALIJA FUE DESPACHADA POR SU AMIGO EL CUAL LO ACOMPAÑABA. UNA VEZ EN EL SECTOR ESTAS PERSONAS RECONOCIERON LA VALIJA COMO DE SU PROPIEDAD, PERO MANIFESTARON DESCONOCER LA PRESENCIA DE UN ARMA DENTRO DE SU VALIJA, POR LO QUE EL JEFE DE TURNO DISPUSO QUE TODOS LOS PRESENTES SE TRASLADARAN HACIA ESTA DEPENDENCIA PARA LABRAR LAS ACTUACIONES QUE DIERAN A LUGAR. SEGUIDAMENTE SE ENTABLA COMUNICACION TELEFONICA CON EL JUZGADO INTERVINIENTE A QUIEN SE LE INFORMO LO ACONTECIDO DISPONIENDO SE PROCEDA AL SECUESTRO DEL ARMA DE FUEGO, SE CURSE NOTA AL RENAR A FIN DE DETERMINAR SI EL ARMA POSEE PEDIDO DE SECUESTRO, SE NOTIFIQUE A LOS CAUSANTES QUE SE ENCUENTRAN AFECTADOS A ACTUACIONES, Y QUE UNA VEZ FINALIZADAS LAS DILIGENCIAS, LOS MISMOS SE RETIREN DE LA DEPENDENCIA POLICIAL A FIN DE CONTINUAR CON EL VIAJE, Y SE ELEVE TODO LO ACTUADO A SEDE JUDICIAL.</t>
  </si>
  <si>
    <t>USS VIGILANCIA</t>
  </si>
  <si>
    <t>7882/10</t>
  </si>
  <si>
    <t>PLATAFORMA-PATIO DE VALIJAS</t>
  </si>
  <si>
    <t>EN EL DIA DE LA FECHA A HORAS 09:05 EL OF. MY.FABIAN MIGUEL SE COMUNICA TELEFONICAMENTE CON LA DRA. FALU MARIA ISABEL, SECRETARIA PENAL Nº 4 DEL JUZGADO FEDERAL Nº 2 DE SALTA, A CARGO DEL DR. MIGUEL ANTONIO MEDINA, INFORMANDO DE LA DENUNCIA RADICADA EL DIA 11-12-10. LA MISMA DISPONE QUE SEA DERIVADO A LA FISCALIA FEDERAL Nº 2, A CARGO DEL DR. VILLALBA EDUARDO JOSE. A HS 09:10 EL OF.MY. FABIAN SE COMUNICA CON LA DRA. PAULA GALLO PULO, SECRETARIA DE LA FISCALIA FEDERAL Nº 2, LA CUAL DISPONE QUE SE REALICEN LAS ACTUACIONES Y SEAN DERIVADAS A ESA FISCALIA.</t>
  </si>
  <si>
    <t>ACTUACIONES POR SEPARADO FORMADAS A EFECTOS DE INVESTIGAR LA PARTICIPACION DE TERCERAS PERSONAS EN EL HECHO INVESTIGADO A DIEGO A ARNALDO DE LOS SANTOS MELGAREJO, EN CAUSA N° 22573 CARATULADA DE LOS SANTOS MELGAREJO DIEGO ARNALDO S/ CONTRABANDO DE ESTUPEFACIENTES</t>
  </si>
  <si>
    <t>TENTATIVA DE CONTRABANDODE ESTUPEFACIENTES</t>
  </si>
  <si>
    <t>EN EL DIA DE LA FECHA SE RECIBE OFICIO JUDICIAL ORDENANDO TAREAS INVESTIGATIVAS EN LA CAUSA DE REFERENCIA,ANALISIS DE LOS LISTADOS DE LLAMADAS ENTRANTES Y SALIENTES DEL ABONADO NRO 11-3473-3442, REQUERIDOS POR EL TRIBUNAL A LA EMPRESA DE TELEFONIA CELULAR TELECOM PERSONAL.</t>
  </si>
  <si>
    <t>DENTRO INSTALACIONES DEL AEROPUERTO</t>
  </si>
  <si>
    <t>SE HACE PRESENTE EN ESTA DEPENDENCIA POLICIAL EL SEÑOR CASSINI, DENUNCIANDO EL EXTRAVIO DE UN PERMISO DE FACILITACION , VENCIDO Y A SU NOMBRE, EN INSTALACIONES DE ESTE AEROPUERTO, NO PUDIENDO PRECISAR FECHA NI LUGAR DEL HECHO.</t>
  </si>
  <si>
    <t>RODOLFO MARIANO MIKELARENA</t>
  </si>
  <si>
    <t>PRESUNTA COMISION DE DELITO CONTRA LA SEGURIDAD DEL TRANSPORTE Art. 190 CPN y LA SALUD PUBLICA Art. 202 y 203 CPN"</t>
  </si>
  <si>
    <t>EL DÍA 11/12/2010 SE RECIBE VÍA CORREO ELECTRÓNICO EMITIDO POR LA DRA. MARÍA DE LOURDES JORGE, MÉDICO ESPECIALISTA EN ANATOMÍA PATOLÓGICA, EN REPRESENTACIÓN DE LOS MÉDICOS ESPECIALISTAS DEL NORESTE DEL CHUBUT, EN DONDE MANIFIESTA HABER TOMADO CONOCIMIENTO QUE LAS AUTORIDADES DEL INSTITUTO DE SEGURIDAD SOCIAL DE SEGURO (SEROS) DE LA PROVINCIA DEL CHUBUT, ESTARÍAN ENVIANDO VÍA TRANSPORTE AÉREO A LA CIUDAD DE BUENOS AIRES, "MATERIAL BIOLÓGICO" (MUESTRAS CITOLÓGICOS, LÍQUIDOS DE DERRAME EN CAVIDADES CORPORALES Y BIOPSIAS EXTRAÍDO DE LOS PACIENTES) SIN LA INTERVENCIÓN DE NINGÚN MÉDICO ESPECIALISTA, INFORMANDO QUE ALGUNAS DE TALES MUESTRAS SON POTENCIALMENTE INFECTOCONTAGIOSAS Y QUE LAS MISMAS NO PUEDEN NI DEBEN SER MANIPULADAS POR PERSONAL NO ENTRENADO, PUDIENDO IMPLICAR RIESGO PARA EL TRANSPORTE, PARA EL PERSONAL QUE LA MANIPULA Y TRIPULACIÓN/PASAJEROS. ACTO SEGUIDO SE REALIZA COMUNICACION CON EL JUZGADO FEDERAL DE RAWSON EL CUAL DISPONE SE INICIEN ACTUACIONES BAJO LOS ARREGLOS DEL ARTÍCULO 183 Y 184 DEL CÓDIGO PROCESAL PENAL DE LA NACIÓN, LO QUE DAN INICIO A SUMARIO PREVENTIVO.</t>
  </si>
  <si>
    <t>CLARA MERCEDES CARPIO S/DENUNCIA</t>
  </si>
  <si>
    <t>OFICINAS DE SERZA S.A.</t>
  </si>
  <si>
    <t>EN DÍA DE LA FECHA SIENDO LAS 11:00 HS, SE HACE PRESENTE LA SRA. CARPIO MANIFESTANDO QUE EL DÍA 12 DEL CORRIENTE MES Y AÑO, SIENDO LAS 08:10 HORAS APROXIMADAMENTE SE DIRIGIÓ A LA SALA DE LA EMPRESA SERZA S.A., DESTINADA PARA EL DESCANSO Y RACIONAMIENTO, UBICADA EN EL SECTOR "B" DE ESTE AEROPUERTO, EN CUAL POSEE UN LOCKER, AL QUE AL MOMENTO DE IR A DESAYUNAR Y LUEGO DE SACAR UNA BOLSA DE NYLON CON SUS ELEMENTOS, DEJA DENTRO DEL MISMO ROPAS VARIAS, UNA CARTERA DE COLOR NEGRA, DEJANDO ENTREABIERTO EL LOCKER Y CON EL CANDADO COLGANDO Y SIN CERRAR, AL VER QUE SU MARIDO, EL CUAL TRABAJA PARA LA MISMA EMPRESA, SE ENCONTRABA EN LA SALA ADJUNTA, SE DIRIJO A LA MISMA COMPARTIENDO APROXIMADAMENTE VEINTE MINUTOS CON EL. SIENDO LAS 08:20 HORAS APROXIMADAMENTE, REGRESA AL LUGAR DONDE ESTABA SU LOCKER OBSERVANDO QUE EL MISMO SE ENCONTRABA CERRADO Y CON EL CANDADO COLOCADO, AL VER ESTO SOLO LO ABRIRLO Y GUARDO LA BOLSA DE NYLON. SIENDO LAS 14:00 HORAS APROXIMADAMENTE, SE DIRIGE NUEVAMENTE A LA SALA ANTES MENCIONADA Y POSTERIOR A FICHAR SU SALIDA, ABRIÓ EL LOCKER Y COMENZÓ A REVISAR SU CARTERA PERCATÁNDOSE DEL FALTANTE , MOTIVO POR EL CUAL SE HACE PRESENTE A ESTE GUARDIA DE PREVENCIÓN A FIN DE RADICAR FORMAL DENUNCIA, DÁNDOSE INTERVENCIÓN A LA JUDICATURA ACTUANTE.</t>
  </si>
  <si>
    <t>JUZGADO EN LO PENAL DE SENTENCIA Nº 5 DE ROSARIO</t>
  </si>
  <si>
    <t>SALVADOR</t>
  </si>
  <si>
    <t>DRA. ELEONORA VERON</t>
  </si>
  <si>
    <t>REBELDIA PACIOTTI MIGUEL FEDERICO ENRIQUE S/ROBO SIMPLE</t>
  </si>
  <si>
    <t>24/2002</t>
  </si>
  <si>
    <t>EN LA FECHA PERSONAL DE LA DELEGACION ROSARIO DE LA DIRECCION NACIONAL DE MIGRACIONES, INSPECTOR PABLO TRAINA, DETECTO MEDIANTE EL SISTEMA INFORMATICO DE ESA REPARTICION EL PEDIDO DE CAPTURA SOBRE EL CAUSANTE, DURANTE EL PROCESO DE CONTROL DE SALIDA DE PASAJEROS DEL PAIS. SEGUIDAMENTE SOLICITO LA CUSTODIA DEL PASAJERO Y SU PUESTA A DISPOSICION DEL TRIBUNAL ACTUANTE. ESTABLECIDA LA COMUNICACION CON EL JUZGADO QUE ENTIENDE EN LA CAUSA, EL MISMO INFORMA A ESTA U.O.S.P. QUE EL CAUSANTE SE ENCONTRABA SOBRESEIDO, ENVIANDO COPIA POR ESCRITO A ESTA UNIDAD POR LO CUAL SE HIZO CESAR LA MEDIDA, LABRANDOSE LAS ACTUACIONES CORRESPONDIENTES.</t>
  </si>
  <si>
    <t>ACTA DE HALLAZGO 37/2010</t>
  </si>
  <si>
    <t>BAÑO DE CABALLEROS</t>
  </si>
  <si>
    <t>INFORMO QUE EN EL DIA DE LA FECHA, SE REALIZO UN HALLAZGO DE (01) BOLSA DE TRANSPORTE DE PASAPORTES DE COLOR BEIGE, MARCA "ROUTARD".ENCONTRADO POR LA SRTA ALEJANDRA CANTOS DNI 29.487.256 SE PROCEDE A LA APERTURA DELANTE DE TESTIGOS HABILES,CONTENIENDO:UNA TARJETA VISA A NOMBRE DE JEAN CESVET NRO 4976 7100 4636 9969, UNA TARJETA VISA A NOMBRE DE CESVET BRIGITTE NRO 4976 7860 3092 0918, UNA TARJETA DE ASISTENCIA MEDICA DE VITALE A NOMBRE DE CESVET JEAN NRO 1 32 06 02 224 001 45, UNA TARJETA DE ASISTENCIA MEDICA DE VITALE A NOMBRE DE BRIGITTE CESVET NRO 2 37 11 02 667 001 23, DOS (2) BILLETES DE QUINIENTOS EUROS (EUR 500) DE SERIE; X10406684099, X09610128029; CUATRO (4) BILLETES DE DOSCIENTOS EUROS (EUR 200), DE SERIE NRO: X02136960551, X02136960542, X02136960497, X02136960488; CINCO (5) BILLETES DE CIEN EUROS (EUR100) SERIE NRO: U07016898551, U07016898569, U07016898578, U07016898587, U19032401048; DOCE (12) BILLETES DE CINCUENTA EUROS (EUR50) DE SERIE NRO: S 21039730738, X51831017921, X12311545952, X33937203386, S60628236964, X33606203861, Z37505046726, X48641749751, V04820306593, X48733424282, V24671503966, V01775811388, MEDICAMENTOS EN UN SOBRE, Y PAPELES VARIOS A NOMBRE DE JEAN CESVET.</t>
  </si>
  <si>
    <t>7856/10</t>
  </si>
  <si>
    <t>4784/10</t>
  </si>
  <si>
    <t>CINISI, JUAN DANIEL S/PORTACION DE ARMAS DEFUEGO</t>
  </si>
  <si>
    <t>PRESUNTA INFRACCION LEY 20429</t>
  </si>
  <si>
    <t>PUNTO DE INSPECCION DE EQUIPAJE DE BODEGA</t>
  </si>
  <si>
    <t>EN LA FECHA SE ELEVO AL JUZGADO INTERVINIENTE LAS ACTUACIONES LABRADAS Y LOS SECUESTROS.</t>
  </si>
  <si>
    <t>150 METROS DESDE CABECERA NORTE DE PISTA DE ATERRIZAJE</t>
  </si>
  <si>
    <t>SIENDO LAS 1130 HORAS, SE ACTIVÓ PLAN DE EMERGENCIA DE ESTE AEROPUERTO, CON MOTIVO DEL ATERRIZAJE FORZOSO DE UNA AERONAVE PA-28 MATRICULA LV-LXU, LA QUE ERA COMANDADA POR EL SEÑOR ANTONIO OSVALDO BAUZADA, DNI 8492139, DEBIDO A QUE EL TREN DE ATRERRIZAJE NO HABRÍA SIDO ACCIONADO, DERRAPANDO POR ESPACIO DE 300 METROS APROXIMADAMENTE, DEBIDO A LO CUAL SE PRODUJO EL CIERRE PREVENTIVO DEL AEROPUERTO, HASTA TANTO INTERVENGA LA JUNTA NACIONAL DE ACCIDENTES Y SE PUEDA LIBERAR LA PISTA. SIENDO LAS 12:40 HORAS, EL JEFE UOSP, SE COMUNICÓ CON EL JUZGADO FEDERAL N 1 DE LA CIUDAD DE PARANA, ESTABLECIENDO COMUNICACION CON LA SECRETARIA N 1, DRA. LEONOR DE LA SIERRA, A QUIEN SE LE COMUNICO LA NOVEDAD, POR LO QUE LA DRA DE LA SIERRA, SE DIO POR INFORMADA Y CONSIDERÓ QUE NO AMERITA LA REALIZACIÓN DE ACTUACIONES POR NO CONFIGURARSE HECHO DELICTIVO Y AL NO EXISTIR LESIONADOS. SIENDO LAS 14:15 HORAS Y POR DECISIÓN DE LA JUNTA NACIONAL DE ACCIDENTES, VIA TELEFONICA, EL JEFE DE AEROPUERTO DISPUSO EL TRASLADO DE LA AERONAVE DE LA PISTA, HACIA UNO DE LOS HANGARES DE ESTA AEROPUERTO, DONDE LA AERONAVE FUE CERRADA Y CLAUSURADA POR PERSONAL DE TURNO DE ESTA UOSP, HASTA TANTO SE HAGAN PRESENTES MIEMBROS DE LA JUNTA NACIONAL DE ACCIDENTES PARA SU ANÁLISIS Y DICTAMEN. A PARTIR DE LAS 14:30 HORAS, ESTE AEROPUERTO OPERA NORMALMENTE.</t>
  </si>
  <si>
    <t>7892/10</t>
  </si>
  <si>
    <t>SE RECIBE DE LA DNM, UNA PERSONA DE SEXO FEMENINO, SOBRE LA CUAL REGISTRA EN EL SISTEMA INFORMATICO DE DICHO ORGANISMO UNA ORDEN DE CAPTURA. SE MANTUVO TELEFONICA CON EL JUZGADO DE GARANTIAS N° 02 DE MERCEDES SOLICITANTE DE LA MEDIDA, QUIEN DISPUSO SE PROCEDA A LA DETENCION DE LA CAUSANTE, Y SEA TRASLADADA AL ASIENTO DE ESE MAGISTRADO JUNTAMENTE CON TODAS SUS PERTENECIAS Y LAS ACTUACIONES LABRADAS, A PRIMERA HORA DE LA MAÑANA DEL DIA LUNES TRECE DEL MES Y AÑO EN CURSO. QUE EL DIA TRECE DEL CORRIENTE MES Y AÑO SIENDO LAS DIECISEIS HORAS, SE PROCEDIO A LA LIBERACION DE LA DETENIDA EN AUTOS, Y A LA ENTREGA DE SUS EFECTOS PERSONALES, DANDO CUMPLIMIENTO A LO ORDENADO POR SU SEÑORIA MEDIANTE OFICIO JUDICIAL.</t>
  </si>
  <si>
    <t>7890/10</t>
  </si>
  <si>
    <t>EL DIA TRECE DEL CORRIENTE MES Y AÑO, SIENDO LAS DIECINUEVE HORAS APROXIMADAMENTE, SE PROCEDIO A EFECTIVIZAR LA LIBERTAD DISPUESTA POR EL AGENTE FISCAL MEDIANTE OFICIO JUDICIAL, DESDE ESTA DEPENDENCIA.</t>
  </si>
  <si>
    <t>INFORMO QUE EN EL CONTROL DE EQUIPAJES DESPACHADOS POR BODEGA SE DETECTA DOS EQUIPAJES CON MARBETE NRO 334402 Y334438 QUE CONTENDRIA EN SU INTERIOR MERCADERIAS EN PRESUNTA INFRACCION A LA LEY 22415 SE IDENTIFICA AL PROPIETARIO DEL MISMO Y SE REALIZA LA APERTURA ANTE LA PRESENCIA DE LOS TESTIGOS CONVOCADOS A TAL FIN PROCEDIENDOSE A LABRAR ACTA DE INTERDICCION Y SE HACE ENTREGA DE LOS ELEMENTOS INTERDICTADOS AL PERSONAL DE AFIP DGA HUGO O. ROJAS QUIEN PROCEDE AL SECUESTRO DE LAS MISMAS BAJO ACTA NRO 016/10 VALOR APROXIMADO DE LAS MERCADERIAS DOLARES ESTADOUNIDENSE NOVECIENTOS DIEZ.</t>
  </si>
  <si>
    <t>EXTRAVIO PPA BAIGORRIA</t>
  </si>
  <si>
    <t>EN EL DIA DE LA FECHA SE RECEPCIONA EXPOSICION POLICIAL 0109/10, POR PARTE DEL SEÑOR JAVIER RAMON BAIGORRIA CIPFA NRO. 15589941 EN LA QUE MANIFIESTA QUE MIENTRAS DESARROLLABA TAREAS PARA LA EMPRESA AA2000 EN LA ZONA DE LA PLAYA DE ESTACIONAMIENTO DE ESTE AEROPUERTO, DEBIDO AL TEMPORAL DE VIENTO REINANTE EN LA ZONA , SE LE VOLO EL PERMISO PERSONAL DE SEGURIDAD CON ACOMPAÑAMIENTO NRO.7272, EL CUAL LE HABIA SIDO OTORGADO EL DIA 13 DICIEMBRE 2010 POR PARTE DE LA POLICIA DE SEGURIDAD AEROPORTUARIA</t>
  </si>
  <si>
    <t>EDUARDO JORGE AGUILERA</t>
  </si>
  <si>
    <t>EN EL DIA DE LA FECHA SIENDO HS 18:40 SE PRESENTA LA SRA. LAURA NOEMI PAGLIONE PARA RADICAR UNA DENUNCIA POR ROBO DE ALHAJAS QUE LLEVABA EN EL INTERIOR DE SU EQUIPAJE DESPACHADO EN EL VUELO DE LA EMPRESA LAN-ARGENTINA 4150, PROCEDENTE DEL AEROPARQUE METROPOLITANO. LA DENUNCIANTE EXPONE QUE AL RETIRAR SU VALIJA Y LLEGAR A SU DOMICILIO, AL ABRIR SU EQUIPAJE OBSERVA QUE EL ALHAJERO QUE CONTENIA JOYAS DE FANTASIA Y DE VALOR SE ENCONTRABA ABIERTO. AL BUSCAR LAS JOYAS DE VALOR ENTRE LAS ROPAS DETECTA EL FALTANTE DE DOS ANILLOS DE ACERO QUIRURGICO Y UN COLGANTE DE PLATA, DOS PARES DE AROS, UNA PULSERA Y UN ANILLO DE PLATINO Y BRILLANTES. SE ESTABLECE COMUNICACION CON EL PROSECRETARIO DE LA FISCALIA DE INSTRUCCION PENAL DE LA IIIRA NOMINACION, DR. JORGE E. AGUILERA, QUIEN DISPONE SE LABREN LAS ACTUACIONES PERTINENTES Y SE ELEVEN CON POSTERIORIDAD.</t>
  </si>
  <si>
    <t>JUAN IGNACIO BENITO</t>
  </si>
  <si>
    <t>SIENDO LAS 18:35 HORAS DEL DIA 13 DEL CORRIENTE MES Y AÑO, SE HACE PRESENTE EN ESTA GUARDIA, UNA PERSONA DE SEXO MASCULINO, MANIFESTANDO HABER SIDO VICTIMA DE UN HECHO DELICTIVO, INFORMANDO QUE ARRIBO A LAS 16:50 HORAS PROCEDENTE DE BARILOCHE Y QUE LUEGO AGUARDO EN EL SECTOR DE ARRIBOS A2, DURANTE UNOS CUARENTA MINUTOS, SU EQUIPAJE DESPACHADO. AL TOMAR SU MOCHILA DE COLOR NEGRO, A LA CUAL LE HABIA COLOCADO DOS (02) PRECINTOS PROVISTOS POR LA EMPRESA LAN, ADVIERTE QUE EL PRECINTO SITUADO EN EL CIERRE PRINCIPAL, SE ENCONTRABA MAS CORTO, SEGUIDAMENTE APERTURO LA MOCHILA PERCATANDOSE, EN ESE MOMENTO, DEL FALTANTE. ANTE ELLO REALIZO EL RECLAMO CORRESPONDIENTE CON LAN Y SE DIRIGIO A ESTA GUARDIA DE PREVENCIÓN PARA RADICAR LA DENUNCIA PERTINENTE. SIENDO LAS 20:30 HORAS SE REALIZA COMUNICACION CON LA FISCALIA INTERVINIENTE, DISPONIENDO SU TITULAR QUE SE TOME TESTIMONIAL AL PERSONAL DE LAN AEROPARQUE QUE FISCALIZO EL VUELO, DESCRIPCION DEL PERSONAL DE LAN BARILOCHE QUE COLOCO LOS PRECINTOS, Y EL SECUESTRO DEL PRECINTO Nº 200089.</t>
  </si>
  <si>
    <t>LA 4349</t>
  </si>
  <si>
    <t>SE PROCEDE A LA RETENCIÓN DE UNA SACA COLECTORA DEL CORREO OFICIAL, SEGÚN CONSTA EN ACTA DE RETENCIÓN DE CARGAS Nº 515/10, QUE ORIGINA LA PREVENCIÓN SUMARIA Nº 119/10, LA SACA IDENTIFICADA CON MARBETE YDE1023567D505000PAP, PRECINTO Nº P120753, CON UN PESO DECLARADO DE 5,500 KGS, ORIGEN LA QUIACA Y CON DESTINO BUENOS AIRES, CONTENDRÍA UNA PIEZA POSTAL. LA MISMA ESTA AMPARADA EN GUÍA DE CARGA Nº 932799-4, DESPACHADAS A TRAVÉS DE LA EMPRESA DE CARGA AÉREA JET PAQ. LA RETENCIÓN SE REALIZA ANTE LA PRESUNCIÓN QUE PUDIERA CONTENER ALGÚN ELEMENTO EN INFRACCIÓN A LA LEY 23.737, A RAÍZ DE LA INTERPRETACIÓN DE IMAGEN DE RX EFECTUADO A LA CARGA Y CORREO, EL CUAL POR LA DESCOMPOSICIÓN DE IMÁGENES Y COLORES NO SE PUDO DETERMINAR EL CONTENIDO DE LA SACA, QUEDANDO LA MISMA CERRADA Y PRECINTADA EN GUARDA DE ESTA UOSP. SEGÚN LO COORDINADO CON LA DRA MARIA ISABEL FALU, A CARGO DE LA SECRETARIA PENAL Nº 4 DEL JUZGADO FEDERAL DE SALTA Nº 2, QUIEN DETERMINO COMO CARATULA PROVISORIA: "SUPUESTA INFRACCION A LA LEY 23.737", SE EFECTUE LA APERTURA DE LA SACA EN PRESENCIA DEL PERSONAL DEL CORREO OFICIAL, Y QUE SE ELEVE LA SOLICITUD DE APERTURA DE ENCOMIENDA EN EL DIA DE LA FECHA PARA EL LIBRAMIENTO DEL OFICIO CORRESPONDIENTE.- SEGÚN AMPL PU N° 7931/10 EN EL DÍA DE LA FECHA SE PROCEDE A LA APERTURA DE UNA SACA COLECTORA DEL CORREO OFICIAL ARGENTINO IDENTIFICADA COMO YDE1023567D505000PAP, PRECINTO Nº P120753, PROCEDENTE DE LA CIUDAD DE LA QUIACA PCIA. DE JUJUY CON DESTINO FINAL LA CIUDAD DE BUENOS AIRES, CONTENIENDO EN SU INTERIOR UN BOLSÍN DEL CORREO OFICIAL ARGENTINO IDENTIFICADO CON PRECINTO Nº P120975, RTTE. CORRESPONSAL 012792 ADUANA LA QUIACA, CON DOMICILIO EN LAMADRID Nº 555 CP 04650 LA QUIACA, DEST. 03171 AFIP MESA DE ENTRADAS CON DOMICILIO EN H. IRIGOYEN 370 - P/2 OFICINA 207 LOCALIDAD 01086 BS. AS. (CORREO ARGENTINO PUERTA A PUERTA) LA RETENCIÓN SE REALIZA ANTE LA PRESUNCIÓN DE QUE PUDIERA CONTENER EN SU INTERIOR ALGUN ELEMENTO EN SUPUESTA INFRACCIÓN A LA LEY 23.737, QUEDANDO LA MISMA CERRADA Y EN GUARDA EN DEPOSITO JUDICIAL DE ESTA UNIDAD, SEGÚN LO COORDINADO CON EL JUZGADO INTERVINIENTE, LA APERTURA SE REALIZARA CON LA AUTORIZACIÓN DEL MAGISTRADO ACTUANTE. SEGÚN AMPL. PU N° 7944/10 EN EL DÍA DE LA FECHA SE PROCEDE A LA APERTURA DE ENCOMIENDA SEGÚN CONSTA EN ACTA DE APERTURA DE CARGAS Nº 516/10 DE LA PREV. SUM. Nº 119/10 MEDIANTE OFICIO JUDICIAL 3010/10 EN EL EXPEDIENTE 941/10 CARATULADO "POLICÍA DE SEGURIDAD AEROPORTUARIA SOLICITA APERTURA DE ENCOMIENDA DEL JUZGADO FEDERAL DE SALTA Nº 2 A CARGO DEL DR MIGUEL ANTONIO MEDINA", Y EN PRESENCIA DE DOS TESTIGOS HÁBILES, EL BOLSÍN DEL CORREO OFICIAL ARGENTINO IDENTIFICADO CON PRECINTO Nº P120975 PROCEDENTE DE LA CIUDAD DE LA QUIACA PCIA. DE JUJUY CON DESTINO FINAL LA CIUDAD DE BUENOS AIRES, CONTIENE EN SU INTERIOR, DOCUMENTACIONES VARIAS CON MEMBRESÍAS A TITULO DE LA AFIP Y UN SOBRE DE PAPEL MADERA CONTENIENDO VEINTE SOBRES METÁLICOS CON UN PESO DE 2.740 GRS. LOS CUALES EN SU INTERIOR CONTENÍAN UNA SUSTANCIA PULVERULENTA Y BLANQUECINA, PARA REALIZAR LAS PRUEBAS LOS TESTIGOS ELIGIERON CUATRO SOBRES A LOS QUE SE LES REALIZARON LAS PRUEBAS DE CAMPO CON DIFERENTES REACTIVOS, ARROJANDO RESULTADO NEGATIVO, A LAS 14:40 HS. EL OF. MY. FABIAN MIGUEL SE COMUNICA TELEFÓNICAMENTE CON LA DRA. FALU INFORMANDO EL CONTENIDO Y RESULTADO DE LAS PRUEBAS, LA FUNCIONARIA DISPONE SE TOMEN REGISTROS FOTOGRÁFICOS DE LAS SUSTANCIAS Y SE ENTREGUE EL BOLSIN AL CORREO OFICIAL PARA SU REDESPACHO, A LAS 14:55 SE REALIZA LA ENTREGA AL SR. ARIAS EMPLEADO DEL CORREO OFICIAL ARGENTINO.</t>
  </si>
  <si>
    <t>EN CUMPLIMIENTO DE LA ORDEN DE SERVICIO NRO. 0113/10 Y SIENDO LAS 04:05 HORA LOCAL DESPEGA AERONAVE AIR BUS A320, MATRICULA LV-BGI, PERTENECIENTE A LA EMPRESA LAN ARGENTINA, COMO VUELO NRO. 4429 Y EN CUYAS BODEGAS 12 Y 13 SE EMBARCAN UN TOTAL DE 77 CAJAS CON UN PESO DE 1540 KILOGRAMOS DE METAL-MTD- PERTENECIENTES A LA EMPRESA MINERA SANTA CRUZ, CON DESTINO EL AEROPUERTO JORGE NEWBERY DE CAPITAL FEDERAL.</t>
  </si>
  <si>
    <t>JORGE NEWBERY- CAPITAL FEDERAL</t>
  </si>
  <si>
    <t>EN EL DIA DE LA FECHA SE PRESENTA ANTE ESTA PERVENCION LA EXPONENTE MANIFESTANDO EL EXTRAVIO DE SU PERMISO PERSONAL DE SEGURIDAD PERMANENTE SNA NRO 356040 OTORGADO EL 12/08/2010 Y CON FECHA DE VENCIMIENTO EL 12/08/2011, HABILITADA PARA LOS SECTORES 1-2-3-4-5 Y 6, SIN PODER PRECISAR EL LUGAR Y FECHA DEL EXTRAVÍO.</t>
  </si>
  <si>
    <t>7925/10</t>
  </si>
  <si>
    <t>EN EL DÍA DE LA FECHA SE PROCEDE A LA APERTURA DE UNA SACA COLECTORA DEL CORREO OFICIAL ARGENTINO IDENTIFICADA COMO YDE1023567D505000PAP, PRECINTO Nº P120753, PROCEDENTE DE LA CIUDAD DE LA QUIACA PCIA. DE JUJUY CON DESTINO FINAL LA CIUDAD DE BUENOS AIRES, CONTENIENDO EN SU INTERIOR UN BOLSÍN DEL CORREO OFICIAL ARGENTINO IDENTIFICADO CON PRECINTO Nº P120975, RTTE. CORRESPONSAL 012792 ADUANA LA QUIACA, CON DOMICILIO EN LAMADRID Nº 555 CP 04650 LA QUIACA, DEST. 03171 AFIP MESA DE ENTRADAS CON DOMICILIO EN H. IRIGOYEN 370 - P/2 OFICINA 207 LOCALIDAD 01086 BS. AS. (CORREO ARGENTINO PUERTA A PUERTA) LA RETENCIÓN SE REALIZA ANTE LA PRESUNCIÓN DE QUE PUDIERA CONTENER EN SU INTERIOR ALGUN ELEMENTO EN SUPUESTA INFRACCIÓN A LA LEY 23.737, QUEDANDO LA MISMA CERRADA Y EN GUARDA EN DEPOSITO JUDICIAL DE ESTA UNIDAD, SEGÚN LO COORDINADO CON EL JUZGADO INTERVINIENTE, LA APERTURA SE REALIZARA CON LA AUTORIZACIÓN DEL MAGISTRADO ACTUANTE</t>
  </si>
  <si>
    <t>EXTRAVIOPPA OF. BENENCIA</t>
  </si>
  <si>
    <t>EN CIRCUNSTANCIA QUE EL OFICIAL PRINCIPAL MIGUEL ANGEL BENENCIA CONTROL 500768 AL DESCENDER DE SU VEHICULO EN LA PLAYA DE ESTACIONAMIENTO , SE LE DESPRENDE DEL SOPORTE EL PERMISO DE SEGURIDAD AEROPORTUARIO DEBIDO AL FUERTE VIENTO REINANTE , PRODUCIENDOSE EN CONSECUENCIA EL EXTRAVIO DEL MISMO.-</t>
  </si>
  <si>
    <t>GARRIDO</t>
  </si>
  <si>
    <t>MARIA EUGENIA</t>
  </si>
  <si>
    <t>IPP 07-01-007851-10</t>
  </si>
  <si>
    <t>CALLE MAIPO N° 765</t>
  </si>
  <si>
    <t>VILLA CELINA</t>
  </si>
  <si>
    <t>EN EL DIA DE LA FECHA SE RECIBE OFICIO JUDICIAL ORDENANDO LA REALIZACION DE TAREAS INVESTIGATIVAS EN EL DOMICILIO CITADO, A FIN DE ESTABLECER SI ALLI SE DOMICILIA LOBOS JUAN DAVID, DEL CUAL SE DESCONOCEN MAS DATOS.</t>
  </si>
  <si>
    <t>S/DCIA</t>
  </si>
  <si>
    <t>1949/08</t>
  </si>
  <si>
    <t>EN EL PREEMBARQUE DEL VUELO DE REFERENCIA SE IDENTIFICO A LA CIUDADANA QUINTERO PATRICIA DNI Nº 22451314, SOBRE QUIEN PESA UN PEDIDO DE PARADERO SEGUN SISTEMA RED LINCE BAJO EL REGISTRO Nº 270129 AUTOS CARATULADOS S/DCIA, CAUSA Nº 1949/08, EN TRAMITE POR ANTE EL JUZGADO FEDERAL DE PRIMERA INSTANCIA RIO GRANDE. QUE EN VIRTUR DE LOS EXPUESTO, LA SEÑORA QUINTEROS PATRICIA FIJO DOMICILIO REAL DEBIENDOSE PRESENTAR ANTE LOS ESTRADOS DEL TRIBUNAL INTERVINIENTE A SU REGRESO.</t>
  </si>
  <si>
    <t>7931/10</t>
  </si>
  <si>
    <t>3010/10</t>
  </si>
  <si>
    <t>EN EL DÍA DE LA FECHA SE PROCEDE A LA APERTURA DE ENCOMIENDA SEGÚN CONSTA EN ACTA DE APERTURA DE CARGAS Nº 516/10 DE LA PREV. SUM. Nº 119/10 MEDIANTE OFICIO JUDICIAL 3010/10 EN EL EXPEDIENTE 941/10 CARATULADO "POLICÍA DE SEGURIDAD AEROPORTUARIA SOLICITA APERTURA DE ENCOMIENDA DEL JUZGADO FEDERAL DE SALTA Nº 2 A CARGO DEL DR MIGUEL ANTONIO MEDINA", Y EN PRESENCIA DE DOS TESTIGOS HÁBILES, EL BOLSÍN DEL CORREO OFICIAL ARGENTINO IDENTIFICADO CON PRECINTO Nº P120975 PROCEDENTE DE LA CIUDAD DE LA QUIACA PCIA. DE JUJUY CON DESTINO FINAL LA CIUDAD DE BUENOS AIRES, CONTIENE EN SU INTERIOR, DOCUMENTACIONES VARIAS CON MEMBRESÍAS A TITULO DE LA AFIP Y UN SOBRE DE PAPEL MADERA CONTENIENDO VEINTE SOBRES METÁLICOS CON UN PESO DE 2.740 GRS. LOS CUALES EN SU INTERIOR CONTENÍAN UNA SUSTANCIA PULVERULENTA Y BLANQUECINA, PARA REALIZAR LAS PRUEBAS LOS TESTIGOS ELIGIERON CUATRO SOBRES A LOS QUE SE LES REALIZARON LAS PRUEBAS DE CAMPO CON DIFERENTES REACTIVOS, ARROJANDO RESULTADO NEGATIVO, A LAS 14:40 HS. EL OF. MY. FABIAN MIGUEL SE COMUNICA TELEFÓNICAMENTE CON LA DRA. FALU INFORMANDO EL CONTENIDO Y RESULTADO DE LAS PRUEBAS, LA FUNCIONARIA DISPONE SE TOMEN REGISTROS FOTOGRÁFICOS DE LAS SUSTANCIAS Y SE ENTREGUE EL BOLSIN AL CORREO OFICIAL PARA SU REDESPACHO, A LAS 14:55 SE REALIZA LA ENTREGA AL SR. ARIAS EMPLEADO DEL CORREO OFICIAL ARGENTINO.</t>
  </si>
  <si>
    <t>SE AMPLIA PARTE N° 6837. SE INFORMA QUE EN EL DIA DE LA FECHA 14/12/2010 SE RECIBE OFICIO JUDICIAL N° 4174/10, EN EL MARCO DE LA CAUSA DE REFERENCIA TRAMITADA ANTE EL JUZGADO FEDERAL DE SALTA Nº 1 A CARGO DEL DR. JULIO LEONARDO BAVIO, SECRETARIA PENAL Nº 2 A CARGO DEL DR. SANTIAGO FRENCH, POR EL CUAL DISPONE QUE PERSONAL DE ESTA FUERZA SE CONSTITUYA EN LA LOCALIDAD DE METAN CON EL OBJETO DE REALIZAR TAREAS DE SEGUIMIENTO, VIGILANCIA, FILMACIONES Y TOMAS FOTOGRÁFICAS EN RELACIÓN A VICTOR HUGO SOTO, QUIEN RESIDE EN LA CALLE 9 DE JULIO N° 692 DE ESA LOCALIDAD Y PERSONAS INVOLUCRADAS EN EL MARCO DE LAS PRESENTES ACTUACIONES. A TAL EFECTO SE GENERÓ O.S. N° 051/2010 PARA SER CUMPLIMENTADA EL DIA 15 DE DICIEMBRE DE 2010. SE AMPLIARÁ CUANDO SURJAN NOVEDADES.</t>
  </si>
  <si>
    <t>DENUNCIA EXTRAVIO PPA</t>
  </si>
  <si>
    <t>INFORMO EN EL DÍA DE LA FECHA SE CONFECCIONA DENUNCIA DE EXTRAVÍO N° 0066/2010, REFERENTE A UN PERMISO PERSONAL AEROPORTUARIO DE IDENTIFICACIÓN N° 268056-ESQ1597/08 CON VENCIMIENTO EL DÍA 16 DIC 10, PERTENENCIENTE AL OFICIAL PRINCIPAL NESTOR EDUARDO VARGAS LEGAJO N° 503.519 NUMERARIO DE ESTA UOSP.</t>
  </si>
  <si>
    <t>JUZGADO FEDERAL CRIMINAL Y CORRECCIONAL Nº 09</t>
  </si>
  <si>
    <t>MATIAS BUENAVENTURA</t>
  </si>
  <si>
    <t>CABILINE S.A. S/MALVERSACION DE CAUDALES PUBLICOS</t>
  </si>
  <si>
    <t>2058/2010</t>
  </si>
  <si>
    <t>OFICINAS DE LA EMPRESA INTERNATIONAL GENERAL SERVICES S.A.</t>
  </si>
  <si>
    <t>GURRUCHAGA 830, PISO 5º, ENTRE AGUIRRE Y LOYOLA, CABA.</t>
  </si>
  <si>
    <t>EN REFERENCIA ORDEN DE SERVICIO N° 1421/10. EN EL DIA DE LA FECHA SE CUMPLIMENTO LA ORDEN DE PRESENTACION EN EL DOMICILIO CITADO A FIN DE SECUESTRAR TODA LA DOCUMENTACION EXISTENTE RESPECTO DE LOS VUELOS CONTRATADOS EL PASADO 27 DE MARZO DE 2009 Y 17 DE MAYO DEL MISMO AÑO, POR LA SECRETARIA GENERAL DE LA PRESIDENCIA DE LA NACION A EFECTOS DE TRASLADAR A LA SRA. PRESIDENTA DE LA NACION A LAS CIUDADES DE VIÑA DEL MAR Y EL CALAFATE. SECUESTRANDOSE LOS ELEMENTOS DETALLADOS</t>
  </si>
  <si>
    <t>EN CERCANIAS A LAS INSTALACIONES DE LA YPF ABANDONADA</t>
  </si>
  <si>
    <t>SECTOR PARA PERSONAL</t>
  </si>
  <si>
    <t>EL DIA DIEZ DEL CORRIENTE MES Y AÑO A HS. 2200 APROXIMADAMENTE Y LUEGO DE FINALIZAR CON LAS TAREAS LABORALES EL SR. LATORRE DEJA ESTACIONADO EN DICHO SECTOR UN VEHICULO CAMION MARCA FIAT IVECCO - MODELO 150E20, DOMINIO BMG-477. SIENDO APROXIMADAMENTE LAS SEIS HORAS DEL DIA DOCE, EL DENUNCIANTE SE HACE RPESENTE EN ESTE AEROPUERTO A LOS EFECTOS DE COMENZAR CON SUS TAREAS LABORALES Y EN TALES CIRCUNSTANCIAS ES ANOTICIADO POR EL SR. LATORRE QUE EN MOMENTOS EN QUE INTENTO PONER EN MARCHA EL VEHICULO ANTES DESCRIPTO, ESTE NO ARRANCABA NOTANDO EL FALTANTE DE SUS DOS BATERIAS DE MARCA WILLIAR PLATA. POR TAL MOTIVO Y LUEGO DE QUE EL DENUNCIANTE DIERA AVISO A LA SUPERIORIDAD SE HACE PRESENTE EN ESTA DEPENDENCIA A LOS EFECTOS DE REALIZAR LA CORESPONDIENTE DENUNCIA.-</t>
  </si>
  <si>
    <t>SIENDO LA HORA MENCIONADA SE HACE PRESENTE EL DAMNIFICADO MANIFESTANDO QUE SE HIZO PRESENTE A ESTE AEROPUERTO A FIN DE TRAER A UN COMPAÑERO DE TRABAJO EL CUAL VIAJABA, Y QUE AL MOMENTO DE DESCARGAR SU VEHICULO SE PERCATA QUE UN MASCULINO PASA ENTRE ÉL Y SU VEHICULO, POR LO QUE LE PARECE SOSPECHOSO QUE EL MISMO INMEDIATAMENTE ENTRA EN UN VEHICULO LLEVANDO EN SU MANO UNA CAMPERA COMO CUBRIENDO ALGO DEBAJO DE ELLA, Y RAPIDAMENTE ABANDONA EL SECTOR. A CONTINUACION EL DAMNIFICADO SE PERCATA DEL FALTANTE DE UN PORTAFOLIO EL CUAL ES OBJETO DE LA PRESENTE</t>
  </si>
  <si>
    <t>7883/10</t>
  </si>
  <si>
    <t>LUEGO DE SER TRASLADADO EL DIA TRECE DEL CORRIENTE MES Y AÑO A SEDE JUDICIAL SU SEÑORIA DISPUSO MEDIANTE OFICIO JUDICIAL, SE DE NUEVAMENTE ALOJAMIENTO AL IMPUTADO EN ESTA DEPENDENCIA, EL MISMO FUE RECIBIDO ALREDEDOR DE LA TRECE HORAS VEINTE MINUTOS. DANDO CUMPLIMIENTO CON LO ORDENADO POR EL SEÑOR JUEZ, EL DIA CATORCE DEL CORRIENTE MES Y AÑO, SE EFECTIVIZO EL TRASLADO DEL DETENIDO HACIA LOS ESTRADOS DEL JUZGADO INTERVINIENTE, ABANDONANDO ESTE ULTIMO ALREDEDOR DE LAS OCHO HORAS ESTA DEPENDENCIA.</t>
  </si>
  <si>
    <t>NAC DE 1º INST EN LO CRIMINAL DE INST Nº 29</t>
  </si>
  <si>
    <t>SECRETARIA Nº 152</t>
  </si>
  <si>
    <t>Pinto</t>
  </si>
  <si>
    <t>Ricardo Matias</t>
  </si>
  <si>
    <t>DR. SANTIAGO BIGNONE</t>
  </si>
  <si>
    <t>SEGUIDA A DEBORA FEDER Y OTRO EN ORDEN AL DELITO DE HOMICIDIO AGRAVADO POR EL VINCULO</t>
  </si>
  <si>
    <t>34.315/09</t>
  </si>
  <si>
    <t>OFICINAS DE LA DNM</t>
  </si>
  <si>
    <t>SE HACE PRESENTE EN LA GUARDIA EL PRINCIPAL OSORIO, MIGUEL DE INTERPOL, HACIENDO ENTREGA DE UNA NOTA LA CUAL INFORMA QUE ESTARÍA ARRIBANDO, EN EL VUELO IB 6845, LA PASAJERA DEBORA FEDER, QUIEN POSEE UNA ORDEN DE DETENCIÓN LA CUAL DEBERÁ SER CUMPLIMENTADA POR INTERPOL A SOLICITUD DEL JUZGADO NACIONAL DE INSTRUCCIÓN NUMERO 29, EN CAUSA 34.315/09. ASIMISMO POSEE UNA ORDEN DE CAPTURA SOLICITADA POR EL JUZGADO FEDERAL CRIMINAL CORRECCIONAL NRO. 2 DE MORÓN EN CAUSA NUMERO 4145, CARATULADA: "LLANES MÓNICA ASUNCIÓN Y OTROS S/INF. ART. 293 DEL C.P.N.". UNA VEZ ARRIBADA LA PASAJERA, LA D.N.M. LA REMITE MEDIANTE NOTA DE ESTILO, POR LO QUE SE PROCEDE A MANTENER COMUNICACIÓN TELEFÓNICA CON EL SEGUNDO JUZGADO MENCIONADO, INDICANDO EL MISMO QUE SIN MÁS DILIGENCIAS SE REMITA A LA PASAJERA A INTERPOL A LOS EFECTOS DE QUE ESE ORGANISMO HAGA EFECTIVA LA DETENCIÓN ORDENADA POR EL JUZGADO DE INSTRUCCIÓN.</t>
  </si>
  <si>
    <t>LLANO, CAROLINA</t>
  </si>
  <si>
    <t>INFRACCION ART 290</t>
  </si>
  <si>
    <t>490/00</t>
  </si>
  <si>
    <t>CONTROL ACCESO A SECTOR OPERATIVO. PUESTO BRAVO.</t>
  </si>
  <si>
    <t>EN EL DIA DE LA FECHA, REALIZANDO CONTROL PREVENTIVO DE RUTINA, ANTE LA PRESENCIA EN ESTE AEROPUERTO DEL SEÑOR DEMETRIO JAVIER DNI 30315736, QUIEN ASISTIO PARA ENTREVISTARSE CON PERSONAL DE LA ANAC, MEDIANTE LA RED LINCE, SE DETECTA UN PEDIDO DE CAPTURA CON ESE NOMBRE, SIN ESPECIFICAR NRO DE DOCUMENTO, EN EL MARCO DE LA CAUSA CARATULADA INFRACCION ART. 290 CP EXP. 490/00, VIGENTE DESDE EL 28 DE FEBRERO DE 2003, QUE SE CURSA POR ANTE EL JUZGADO FEDERAL DE SANTA ROSA LA PAMPA, POR LO QUE SE ESTABLECIÓ COMUNICACIÓN TELEFÓNICA A DICHO JUZGADO, CON LA PRO-SECRETARIA PENAL DE DICHO JUZGADO QUIEN IMPONE QUE SE DEMORE AL CIUDADANO DEMETRIO, PARA RECABAR TODOS LOS DATOS FILIATORIOS, DETERMINAR CARACTERÍSTICAS FISÍCAS, QUIEN DEBERÁ ASIMISMO INFORMAR DOMICILIO ACTUAL Y TRAS LO CUAL SE LE PERMITIRA RETIRARSE DE ESTE AEROPUERTO. ASIMISMO, SE REALIZARON FOTOGRAFIAS DE FRENTE Y PERFIL Y SE LEVANTARON HUELLAS DACTILARES Y FOTOCOPIA DE DNI DEL CIUDADANO, A LOS FINES DE SER ELEVADOS A SEDE JUDICIAL.</t>
  </si>
  <si>
    <t>PUESTO CAÑO</t>
  </si>
  <si>
    <t>OFICINA DE PERMISOS PERSONALES</t>
  </si>
  <si>
    <t>A LOS 13 DíAS DEL MES EN CURSO, SIENDO LAS 14:30 HORAS, LA SEÑORA MARíA ADRIANA COLL PERSONAL CIVIL PERTENECIENTE A LA OFICINA DE PERMISOS DE LA UOSP, MANIFIESTA QUE AL PRESENTARSE ALREDEDOR DE LAS NUEVE HORAS DEL DíA DE LA FECHA EL SEñOR DELL ORO, CARLOS A RETIRAR SU PERMISO, DENOTA EL FALTANTE DEL MISMO, ASIMISMO SEGUIDAMENTE LA SEÑORA NATALIA NOELIA FARIÑA TAMBIEN PERSONAL CIVIL PERTENECIENTE A LA OFICINA DE PERMISOS DE ESTA UOSP, AL REALIZAR EL CONTROL POR LA NOVEDAD SURGIDA DETECTA EL FALTANTE DE OTROS CINCO (5) PERMISOS, CONTABILIZANDO UN TOTAL DE 06 (SEIS) PERMISOS PERSONALES AEROPORTUARIOS DE FACILITACIóN DE LA PREFECTURA NAVAL ARGENTINA Y VIGENTES DETALLADOS A CONTINUACIóN: N° APELLIDO NOMBRE D.N.I. 01 LODI ALFREDO 32746062 02 DELL ORO CARLOS 27396357 03 CANESTRO JOSE MARíA 24910179 04 SOSA JAVIER 28019715 05 SANDOVAL RUBEN 23859753 06 MEZA JOSE 27798754 POSTERIORMENTE, SE PROCEDE A LA INSPECCIóN CORRESPONDIENTE A TODA LA OFICINA, INFORMANDOSE LA NOVEDAD Y RETARDáNDOSE EL INGRESO AL SISTEMA A LOS EFECTOS DE EFECTUAR UNA BUSQUEDA MINUCIOSA CON RESULTADOS HASTA EL MOMENTO NEGATIVOS.</t>
  </si>
  <si>
    <t>AUTORES IGNORADOS S/SUP.INFRACCION LEY 23.737</t>
  </si>
  <si>
    <t>209492/2010</t>
  </si>
  <si>
    <t>EN EL DIA DE LA FECHA SE RECEPCIONA OFICIO JUDICIAL NRO 815 DE FECHA 13-DIC-2010 DE LA FISCALÍA ACTUANTE DONDE ORDENA SE REALICEN TAREAS DE INTELIGENCIA POR UN PLAZO DE TREINTA DÍAS, A LOS FINES DE CONSTATAR LA POSIBLE EXISTENCIA DE ACOPIO Y COMERCIALIZACIÓN DE ESTUPEFACIENTE EN LAS DOS VIVIENDAS DE ESTA CIUDAD QUE FUERAN INFORMADAS EN NOTA REMITIDA A ESA SEDE JUDICIAL EL DIA 10-DIC-2010, POR TAL MOTIVO SE COMISIONA PERSONAL MEDIANTE ORDEN DE SERVICIO NRO 318/2010 DE LA URSA IV DEL LITORAL AUTORIZANDO DICHAS TAREAS.-</t>
  </si>
  <si>
    <t>POLICIA DE SEGURIDAD AEROPORTUARIA COMODORO RIVADAVIA S/PTA. INF. LEY 23737</t>
  </si>
  <si>
    <t>9074/10</t>
  </si>
  <si>
    <t>PRESUNTA INFRACCIÓN LEY 23737</t>
  </si>
  <si>
    <t>TAVAREZ, NORMA</t>
  </si>
  <si>
    <t>TAVAREZ, ALCIDES</t>
  </si>
  <si>
    <t>SIENDO LAS 12:25 HORAS LOCAL EL OF. MY. CLAUDIO VEGA REALIZANDO EL CONTROL DE RUTINA DE LA CARGA ARRIBADA DE LA CIUDAD DE BUENOS AIRES JUNTO CON PERSONAL DE FUNBAPA PROCEDE A DETECTAR UNA SACA DE CORREO ARGENTINO Nº DE PRECINTO 220899CNA9010738E555600CRD COLECTORA, ENCOMIENDA Nº CP 69503648, LA CUAL AL SER INSPECCIONADA POR MEDIO DE LA MAQUINA DE RAYOS X SE OBSERVA UN ELEMENTO COMPACTADO Y DUDOSO, SE SOLICITA AL PERSONAL DE CORREO ARGENTINO LA APERTURA DE LA MISMA, Y SE CONVOCA A DOS TESTIGOS HÁBILES PARA TAL CASO, UNA VEZ ABIERTA LA ENCOMIENDA SE ENCUENTRA CON 12 PAQUETES COMPACTADOS DE SUSTANCIA ORGANICA ANTE LA PRESUNCION DE QUE SE TRATARIA DE SUSTANCIA PROHIBIDA ESTUPEFACIENTE SE DA INTERVENCIÓN AL JUZGADO FEDERAL DE LA CIUDAD DE COMODORO RIVADAVIA, EL CUAL DISPONE SE LE REALICE REACTIVO DE CAMPO PARA ESTUPEFACIENTES A UNO DE LOS PAQUETES, DANDO COMO RESULTADO POSITIVO A MARIHUANA, LUEGO SU SEÑORIA ORDENA QUE SE REALICE LAS ACTUACIONES DE RIGOR Y QUE SE PROCEDA AL SECUESTRO DE LA ENCOMIENDA EN CUESTIÓN .-</t>
  </si>
  <si>
    <t>AEROPARQUE JORGE NEWBERY- CIUDAD DE BUENOS AIRES</t>
  </si>
  <si>
    <t>AEROPUERTO GENERAL MOSCONI -COMODORO RIVADAVIA</t>
  </si>
  <si>
    <t>DENUNCIA EXTRAVIO PERMISO PERSONAL</t>
  </si>
  <si>
    <t>SE HACE PRESENTE EN LAS OFICINAS DE IDENTIFICACION Y REGISTRO DE ESTA UOSP EL SR SABUGAL HECTOR DOMINGO QUIEN ACREDITO SU IDENTIDAD CON EL DNI Nº 10085325 EL CUAL SE DESEMPEÑA COMO EMPLEADO PARA LA FIRMA AEROLINEAS ARGENTINAS, A FIN DE INFORMAR EL EXTRAVIO DEL PERMISO PERSONAL DE SEGURIDAD Nº 239737 CON FECHA DE VENCIMIENTO EL 18/03/2009 A SU NOMBRE QUIEN NO PUDO PRECISAR MAYORES DATOS DEL LUGAR O LAS CIRCUNSTANCIAS EN LAS QUE SE PRODUJO EL EXTRAVIO DEL MISMO.</t>
  </si>
  <si>
    <t>POLICIA DE SEGURIDAD AEROPORTUARIA COMODORO RIVADAVIA S/AV. PSTA. INF. LEY 23737.</t>
  </si>
  <si>
    <t>EN CONCORDANCIA AL PROCEDIMIENTO LLEVADO ADELANTE EN EL DIA DE LA FECHA EN LA UOSP DE LA CIUDAD DE COMODORO RIVADAVIA INFORMADO POR LA MISMA MEDIANTE PARTE URGENTE NRO 7975. SE RECEPCIONA EN ESTA UOCN Y DC V - DE LA PATAGONIA - OFICIO JUDICIAL NRO 3025/10 DE FECHA 15 DE DICIEMBRE DE 2010, EMITIDO POR EL JUZGADO FEDERAL DE COMODORO RIVADAVIA, DONDE SE ORDENA A LA DELEGACION LOCAL DE LA POLICIA FEDERAL ARGENTINA Y LA UNIDAD OPERACIONAL CONTROL DEL NARCOTRAFICO Y DELITOS COMPLEJOS - COMODORO RIVADAVIA - EN FORMA CONJUNTA LA INVESTIGACION DE LA PRESENTE CAUSA JUDICIAL .ORDENANDO A ESTA FUERZA POLICIAL CON CARÁCTER DE MUY URGENTE LA SIGUIENTE MEDIDA: ENCOMENDAR PERSONAL QUE EN FORMA PERMANENTE Y DISCRETA PERMANEZCA COMO CONSIGNA EN EL AMBITO DEL AEROPUERTO GENERAL MOSCONI DE LA CIUDAD DE COMODORO RIVADAVIA, Y EN EL CASO QUE SE PRESENTE UNA PERSONA DE NOMBRE ALCIDES TABAREZ Y/O NORMA TABAREZ Y/U OTRA PERSONA O PERSONAS A SU NOMBRE A RECLAMAR LA ENCOMIENDA EN CUESTION O AVERIGUAR DATOS SOBRE LA MISMA SE PROCEDA A SU INMEDIATA DEMORA E IDENTIFICACION CON COMUNICACIÓN AL TRIBUNAL ACTUANTE A LOS FINES DE RECIBIR LAS INTRUCCIONES PERTINENTES.</t>
  </si>
  <si>
    <t>PIENDIBENE, ADOLFO</t>
  </si>
  <si>
    <t>N.N. S/DELITO DE ACCION PUBLICA, DENUNCIANTE: GAGO FERNANDO - MINISTERIO RELACIONES EXTERIORES</t>
  </si>
  <si>
    <t>13893/2004</t>
  </si>
  <si>
    <t>OFICINAS DE LA DNM TERMINAL A DE ESTE MEDIO</t>
  </si>
  <si>
    <t>SIENDO LAS OCHO HORAS Y VEINTE MINUTOS DEL DIA DE LA FECHA SE RECIBE DE LA DNM, UNA PERSONA DE SEXO FEMENINO, SOBRE LA CUAL RECAE UNA ORDEN DE CAPTURA VIGENTE EN EL SISTEMA INFORMATICO DE DICHO ORGANISMO. SE MANTIENE COMUNICACION TELEFONICA CON EL JUZGADO SOLICITANTE DE LA MEDIDA, QUIEN INFORMA QUE LA MISMA SE ENCUENTRA SIN EFECTO DESDE EL AÑO 2005. ACTO SEGUIDO SE PROCEDE A LA RECONDUCCION DE LA PASAJERA EN CUESTION HACIA LA OFICINA DE LA DNM PARA QUE CONTINUE CON SU ITINERARIO.-</t>
  </si>
  <si>
    <t>JUZGADO CRIMINAL DE INSTRUCCION N° 20</t>
  </si>
  <si>
    <t>CAPTURA LESIONES</t>
  </si>
  <si>
    <t>REBELDIA CAUSA NEK 30718</t>
  </si>
  <si>
    <t>SIENDO LAS ONCE HORAS DEL DIA DE LA FECHA, SE RECIBE DE LA DNM UNA PERSONA DE SEXO MASCULINO, SOBRE LA CUAL RECAE UNA ORDEN DE CAPTURA VIGENTE EN EL SISTEMA INFORMATICO DE DICHO ORGANISMOS. SE MANTIENE COMUNICACION TELEFONICA CON LA DIVISION DE ANTECEDENTES DE PERSONAS EL COMANDANTE PRINCIPAL MIGUEL ANGEL QUEVIN, QUIEN INFORMA QUE DICHA SOLICITUD SE ENCUENTRA SIN EFECTO. POR TAL MOTIVO SE LO RECONDUCE AL PASAJERO HACIA LAS OFICINAS DE LA DNM PARA CONTINUAR CON SU ITINERARIO.-</t>
  </si>
  <si>
    <t>BAGNASCO</t>
  </si>
  <si>
    <t>ADOLFO LUIS</t>
  </si>
  <si>
    <t>RUSSO, GUSTAVO</t>
  </si>
  <si>
    <t>DOMINGUEZ FEDERICO GUSTAVO S/INFRACCION LEY 23737</t>
  </si>
  <si>
    <t>14786/01</t>
  </si>
  <si>
    <t>REBELDIA-S/INF LEY 23737</t>
  </si>
  <si>
    <t>SIENDO LAS DIEZ HORAS DEL DIA DE LA FECHA, SE RECIBE DE LA DNM UNA PERSONA DE SEXO MASCULINO, SOBRE LA CUAL RECAE UNA ORDEN DE CAPTURA VIGENTE EN EL SISTEMA INFORMATICO DE DICHO ORGANISMO. SE MANTIENE COMUNICACION TELEFONICA CON EL JUZGADO SOLICITANTE DE LA MEDIDA, QUIEN INFORMA QUE DICHA SOLICITUD SE ENCUENTRA SIN EFECTO DESDE EL DIA 13 DE JUNIO DEL AÑO 2005. POR TAL MOTIVO SE RECONDUCE AL PASAJERO HACIA LAS OFICINAS DE LA DNM PARA CONTINUAR CON SU ITINERARIO.-</t>
  </si>
  <si>
    <t>AZ680</t>
  </si>
  <si>
    <t>SIENDO LAS 16:00 HORAS SE IMPLEMENTA OPERATIVO DE SEGURIDAD CON MOTIVO DE LA PARTIDA DE LA SRA. PRESIDENTE DE LA NACION, QUIEN ARRIBO A ESTA AEROESTACION A LAS 18:28 HORAS EN EL HELICOPTERO MATRICULA H-03, Y PARTIO A LAS 18:44 HS EN T-03 HACIA LA CIUDAD DE MAR DEL PLATA FINALIZANDO EL DISPOSITIVO A LAS 18.55 HS SIN NOVEDAD</t>
  </si>
  <si>
    <t>SECRETARIA N° 122</t>
  </si>
  <si>
    <t>FONTBONA DE POMBO</t>
  </si>
  <si>
    <t>GARCIA, LILIAN</t>
  </si>
  <si>
    <t>QUIEBRA FRAUDULENTA</t>
  </si>
  <si>
    <t>SIENDO LAS ONCE HORAS DEL DIA DE LA FECHA SE RECIBE DE LA DNM, UNA PERSONA DE SEXO FEMENINO, SOBRE LA CUAL RECAE SOBRE UNA REBELDIA VIGENTE EN EL SISTEMA INFORMATICO DE DICHO ORGANISMO. SE MANTIENE COMUNICACION TELEFONICA CON EL JUZGADO SOLICITANTE DE LA MEDIDA, QUIEN DISPONE SE NOTIFIQUE A LA PASAJERA QUE DEBERA COMPARECER ANTE EL ASIENTO DE ESOS MAGISTRADOS A LOS EFECTOS DE REGULARIZAR SU SITUACION, E INFORMANDO QUE DICHA SOLICITUD SE ENCUENTRA SIN EFECTO. POR TAL MOTIVO Y LUEGO DE NOTIFICAR A LA PASAJERA SE LA RECONDUCE HACIA LA DNM PARA CONTINUAR CON SU ITINERARIO.-</t>
  </si>
  <si>
    <t>AM4521</t>
  </si>
  <si>
    <t>POLICIA DE SEGURIDAD AEROPORTUARIA COMODORO RIVADAVIA S/AV. PSTA. INF LEY 23737.</t>
  </si>
  <si>
    <t>URQUIZA 879 - CIUDAD DE COMODORO RIVADAVIA</t>
  </si>
  <si>
    <t>AMPLIANDO PR Nº 7983/10 DE FECHA 15/12/10 EN EL CUAL ENCOMENDABA EL JUZGADO INTERVINIENTE AL PERSONAL DE UOCN YDC EN CONJUNTO CON POLICIA FEDERAL ARGENTINA A REALIZAR TAREAS DE VIGILANCIA EN AEROPUERTO COMODORO RIVADAVIA EN CASO DE QUE SE PRESENTE ALCIDES TABAREZ O NORMA TABAREZ A RETIRAR ENCOMIENDA. INFORMO EN EL DIA DE LA FECHA SE RECEPCIONA EN ESTA UOCN Y DC V - DE LA PATAGONIA - OFICIO JUDICIAL NRO 3027/10, EN EL QUE SE AUTORIZA A PERSONAL DE LA UOCN Y DC - COMODORO RIVADAVIA- A COLABORAR E INTERVENIR EN FORMA CONJUNTA CON PERSONAL DE LA DELEGACION LOCAL DE LA POLICIA FEDERAL EN EL ALLANAMIENTO ORDENADO EN LOS PRESENTES AUTOS A CUMPLIRSE ENTRE LAS 19:00 HORAS Y LAS 24:00 HORAS DEL DIA DE LA FECHA, EN EL DOMICILIO SITO EN LA CALLE URQUIZA 879 DE LA LOCALIDAD DE COMODORO RIVADAVIA.</t>
  </si>
  <si>
    <t>JUZGADO NACIONAL DE 1RA. INSTANCIA EN LO CORRECCIONAL N° 4.</t>
  </si>
  <si>
    <t>SUPREME, HUGO</t>
  </si>
  <si>
    <t>INCUMPLIMIENTO DE LOS DEBERES DE ASISTENCIA FAMILIAR LEY 13944</t>
  </si>
  <si>
    <t>S/DELITO INF LEY 13944</t>
  </si>
  <si>
    <t>OFICINA DE LA DNM TERMINAL A DE ESTE MEDIO</t>
  </si>
  <si>
    <t>QUE SIENDO LAS ONCE HORAS DEL DIA DE LA FECHA, SE RECIBE POR PARTE DE LA DNM UNA PERSONA DE SEXO MASCULINO, SOBRE LA CUAL REGISTRA UNA ORDEN DE CAPTURA VIGENTE EN EL SISTEMA INFORMATICO DE DICHO ORGANISMO. SE MANTIENE COMUNICACION TELEFONICA CON EL JUZGADO SOLICITANTE DE LA MEDIDA QUIEN INFORMA QUE DICHA SOLICITUD DE ENCUENTRA SIN EFECTO DESDE EL AÑO 2007. POR TAL MOTIVO SE RECONDUCE AL PASAJERO HACIA LA OFICINA DE LA DNM PARA CONTINUAR CON SU ITINERARIO.-</t>
  </si>
  <si>
    <t>LA4640</t>
  </si>
  <si>
    <t>INFORMO QUE MIENTRAS EL OF. AYTE. CLAUDIO PONCE, JEFE DE TURNO DE CENTRO OPERATIVO DE CONTROL, REALIZA UN CONTROL MEDIANTE LAS CAMARAS DE SEGURIDAD OBSERVA EN EL HALL DE LA TERMINAL B, A DOS MASCULINOS DE SIMILARES CARACTERISTICAS A INVOLUCRADOS EN CAUSAS ANTERIORES INSTRUIDAS EN ESTA UNIDAD OPERACIONAL. LUEGO EL OFICIAL PONCE, OBSERVA QUE UNO DE LOS MASCULINOS LLAMA LA ATENCIÓN DE UNA PASAJERA QUE SE ENCONTRABA EN EL SECTOR, PROVOCANDO LA DISTRACCIÓN DE LA MISMA HACIÉNDOLA PERDER DE VISTA EL CARRO PORTA MALETAS DONDE TENIA DEPOSITADA SUS PERTENECÍAS, MOMENTO EN EL CUAL EL MASCULINO DE CABELLO GRIS TOMA UN ELEMENTO DE SIMILARES CARACTERÍSTICAS A UN BOLSO DEL CARRO PORTA MALETAS SIN QUE LA PASAJERA PUDIERA PERCATARSE DEL MISMO Y SE RETIRA DEL SECTOR OCULTÁNDOSE DETRÁS DE OTROS PASAJEROS. SEGUIDAMENTE EL OFICIAL PONCE LE DA AVISO AL OF. MY. CARLOS ZALAZAR, RESPONSABLE DE PATRULLA ECO, QUIEN LOGRA INDIVIDUALIZAR A LOS DOS MASCULINOS, UNO DE LOS MISMOS PORTABA EL BOLSO EN CUESTIÓN. EN TAL SENTIDO SE CONVOCA LA PRESENCIA DE DOS TESTIGOS Y SE IDENTIFICA A LA DAMNIFICADA, LA CUAL RECONOCE EL BOLSO EN CUESTIÓN COMO DE SU PROPIEDAD. SEGUIDAMENTE SE TRASLADA A TODOS LOS INTERVINIENTES A LA GUARDIA DE PREVENCIÓN Y UNA VEZ MANTENIDA COMUNICACIÓN TELEFÓNICA CON EL UFI INTERVINIENTE, LA MISMA DISPONE QUE SE PROCEDA A LA APREHENSIÓN DE LOS MASCULINOS Y SE TRASLADE A LOS MISMOS EL DÍA JUEVES 16/12/10 A SU SEDE. EL BOLSO Y ELEMENTOS FUERON RECONOCIDOS POR LA DAMNIFICADA COMO DE SU PROPIEDAD Y POSTERIORMENTE RESTITUIDOS A LA MISMA.</t>
  </si>
  <si>
    <t>INFORMO QUE EN EL DÍA DE LA FECHA Y EN CUMPLIMIENTO DE O.S Nº 081/10 GENERADA POR ÉSTA UOSP SIENDO LAS 19.35 HS. ARRIBA A ÉSTE AEROPUERTO EN AERONAVE T-03 LA SRA. PRESIDENTA DE LA NACIÓN DRA. CRISTINA FERNANDEZ DE KIRCHNER Y COMITIVA RETIRÁNDOSE EN HELICOPTERO H-02 A LAS 19:43 HS. CON DESTINO SANTA CLARA DEL MAR SIN NOVEDADES.REGRESA A ÉSTE AEROPUERTO POR EL MISMO MEDIO A LAS 21:09 HS. PARA ABORDAR AERONAVE T-03 LA CUAL DECOLA A LAS 21.20 HS. CON DESTINO AEROPARQUE JORGE NEWBERY DE LA CIUDAD DE BUENOS AIRES SIN NOVEDADES.</t>
  </si>
  <si>
    <t>7508/10</t>
  </si>
  <si>
    <t>868/2010</t>
  </si>
  <si>
    <t>SE PROCEDE A LA APERTURA DE UNA ENCOMIENDA DEL CORREO OFICIAL, SEGÚN CONSTA EN ACTA DE APERTURA DE CARGAS Nº 518/10, PREV. SUM. Nº 112/10, EN VIRTUD DE LO ORDENADO MEDIANTE OFICIO JUDICIAL 1900/10 DEL MAGISTRADO ACTUANTE Y EN PRESENCIA DE DOS TESTIGOS HABILES. LA ENCOMIENDA IDENTIFICADA COMO EP695824409AR, RTTE. SRA. JUSTINA MUYICUNDO CON DOMICILIO EN EL BANANAL S/N 4518 YUTO PCIA. DE JUJUY, DEST. SR. LORENZO CARRANZA, CON DOMICILIO EN ARANA LA ARMONIA 159 Y 620 VIENTO NORTE CP 1900 LA PLATA PCIA. DE BS. AS., CONTIENE: 12 PAQUETES DE HOJAS DE COCA, CON UN PESO TOTAL DE 2984 GRS., QUEDA SECUESTRADA Y SERA PUESTA A DISPOSICIÓN DE LA ADMINISTRACIÓN NACIONAL DE ADUANA DE SALTA, POR SUPUESTA INFRACCIÓN AL CODIGO ADUANERO LEY 22.415 Y LAS ACTUACIONES REMITIDAS A SEDE JUDICIAL. SEGÚN PU ORIGINARIO N° 7504/10 SE PROCEDE A LA RETENCION DE DOS SACAS COLECTORAS DEL CORREO OFICIAL ARGENTINO SEGUN CONSTA EN ACTA DE RETENCION DE CARGA 489/10, QUE ORIGINA LA PREV.SUM. 112/10. LA 1ª SACA IDENTIFICADA CON MARBETE SLA8752902D515100LPG, PRECINTO Nº Z5029562, CON UN PESO DE 6,00 KG, CON DESTINO CIUDAD DE CENTRO OPERATIVO LA PLATA. LA 2º SACA IDENTIFICADA CON MARBETE SLA9140516D555700RGL, PRECINTO Nº P052037, CON UN PESO DE 9,100 KG, CON DESTINO RIO GALLEGOS. LAS MISMAS ESTAN AMPARADAS EN GUIA AEREA Nº 9309048-0, DESPACHADAS A TRAVES DE LA EMPRESA DE CARGA AEREA JET PAQ. LAS RETENCIONES SE REALIZAN ANTE LA PRESUNCION QUE PUDIERAN CONTENER ALGUN ELEMENTO EN INFRACCION A LA LEY 23737 Y/O 22415, QUEDANDO LAS MISMAS CERRADAS Y PRECINTADAS EN GUARDA EN ESTA UOSP. SEGUN LO COORDINADO CON LA DRA. MARIA ISABEL FALU, A CARGO DE LA SECRETARIA PENAL Nº 4, DEL JUZGADO FEDERAL DE SALTA Nº 2, A CARGO DEL DR. MIGUEL ANTONIO MEDINA. LA APERTURA SE REALIZARA EN PRESENCIA DEL PERSONAL DEL CORREO OFICIAL. SEGÚN AMPL. PU N° 7508 SE PROCEDE A LA APERTURA DE DOS SACAS COLECTORAS DEL CORREO OFICIAL ARGENTINO SEGUN CONSTA EN ACTA DE RETENCION DE CARGAS 489/10, QUE ORIGINA LA PREV.SUM. 112/10. LA 1ª SACA IDENTIFICADA CON MARBETE SLA8752902D515100LPG, PRECINTO Nº Z5029562, CONTIENE CUATRO PIEZAS POSTALES, LA 1º IDENTIFICADA COMO EP695824409AR, RTTE. SRA JUSTINA MUYICUNDO, DOMICILIO EL BANANAL S/Nº, C.P. Nº 4518, YUTO, JUJUY, Y DEST. SR. LORENZO CARRANZA, DOMICILIO: ARANA LA ARMONIA 159 Y 620 VIENTO NORTE, C.P. Nº 1900 LA PLATA, PROVINCIA DE BUENOS AIRES, QUEDA RETENIDA, LA 2º IDENTIFICADA COMO EP668363716AR, LA 3º IDENTICADA COMO EP716768713AR Y LA 4º IDENTIFICADA COMO EP692904301AR, SON ENTREGADAS AL SR. ARIAS PARA SU DEDESPACHO. LA 2º SACA CON MARBETE Nº SLA9140516D555700RGL, PRECINTO Nº P052037, CONTIENE TRES PIEZAS POSTALES: LA 1º IDENTIFICADA COMO EP658932072AR, LA 2º IDENTIFICADA COMO EP711446053AR Y LA 3º IDENTIFICADA COMO EP711446155AR SON ENTREGADAS AL SR. ARIAS PARA SU REDESPACHO.LA MISMA SE REALIZA ANTE LA PRESUNCION DE QUE PUDIERA CONTENER ALGUN ELEMENTO EN INFRACCION A LA LEY 23.737 Y/O 22.415, QUEDANDO LA MISMA CERRADA Y EN GUARDA EN ESTA UOSP. SE COMUNICO TELFONICAMENTE AL JUZGADO INTERVINIENTE. Y LA APERTURA SE REALIZARA CON LA AUTORIZACION DEL MAGISTRADO ACTUANTE.</t>
  </si>
  <si>
    <t>JUZGADO PENAL CONTRAVENCIONAL Y DE FALTAS Nº 28</t>
  </si>
  <si>
    <t>INFRACCION AL ART. 52 DEL CPCYF DEL GCBA</t>
  </si>
  <si>
    <t>MOSTRADORES DEL CHECK IN DE LA EMPRESA PLUNA LINEAS AEREAS</t>
  </si>
  <si>
    <t>SIENDO LA HORA Y LA FECHA ANTES MENCIONADA LA DENUNCIANTE EN MOMENTOS DE ESTAR CUMPLIENDO SUS TAREAS LABORALES MANTIENE UN ALTERCADO CON UN PASAJERO EL CUAL LUEGO DE ENCONTRARSE REALIZANDO EL CHECK IN Y NO ESTAR DE ACUERDO CON LA POLITICA DE LA EMPRESA EMPIEZA A GRITAR Y A SOLICITAR LA PRESENCIA DE UN SUPERVISOR, RETIRANDO SUS PASAJES DEL MOSTRADOR POR SI MISMO, POR LO QUE LA DENUNCIANTE LE SOLICITA QUE LE SEAN DEVUELTOS DICHOS PASAJES Y ES CUANDO SE PRODUCE EL GOLPE DEL PASAJERO SOBRE EL BRAZO DE LA EMPLEADA , POR ESTA RAZON INMEDIATAMENTE SE SOLICITA LA PRESENCIA POLICIAL Y POSTERIORMENTE SON TRASLADADOS A ESTA GUARDIA DE PREVENCION. A CONTINUACION SE ENTABLA COMUNICACION CON EL JUZGADO INTERVINIENTE EL CUAL ANOTICIADO DE LO SUCEDIDO DISPONE, RECEPCIONAR DENUNCIA, NOTIFICAR Y CITAR AL CONTRAVENTOR, CIERRE Y ELEVE DE ACTUACIONES.</t>
  </si>
  <si>
    <t>SUPUESTA INFRACCION LEY 23737</t>
  </si>
  <si>
    <t>ZONA DEL BICIVELODROMO, APROXIMADAMENTE A 2000 MTS DE LA AEROESTACION</t>
  </si>
  <si>
    <t>EN CIRCUNSTANCIAS DE REALIZARSE UNA PATRULLA PREVENTIVA, EFECTIVOS POLICIALES OBSERVAN DOS PERSONAS QUE SE ENCONTRABAN DENTRO DE UNA CONSTRUCCIÓN ABANDONADA AL LADO DEL BICI-VELÓDROMO, Y AL APROXIMARSE AL LUGAR IDENTIFICAN A DICHAS PERSONAS, REALIZANDO UN REGISTRO DENTRO DE DICHA CONSTRUCCIÓN ENCONTRANDO PRÓXIMO A UNA PARED UNA UNA CAJA DE PAPEL DE CIGARRILLOS, UNA CAJA DE CIGARRILLOS EN CUYO INTERIOR SE ENCONTRABA UNA BOLSA DE POLIETILENO CONTENIENDO UNA SUSTANCIA SIMILAR A MARIHUANA Y UNA MOTO MARCA GUERRERO TRIP DOMINIO GGT 132, ANTE LA PREGUNTA DE LOS EFECTIVOS AMBOS MASCULINOS RESPONDEN QUE LOS ELEMENTOS ERAN DE SU PROPIEDAD.SEGUIDAMENTE ANTE LA PRESENCIA DEL TESTIGO SE REALIZA PRUEBA DE CAMPO A LA SUSTANCIA QUE CONTENÍA LA BOLSA, DANDO RESULTADO POSITIVO. SE DA INTERVENCIÓN AL JUZGADO QUIEN DISPONE SE IDENTIFIQUE A LAS PERSONAS, SE LABREN ACTUACIONES, SE LOS NOTIFIQUE DE LA CAUSA Y SE RETIREN DE LA UNIDAD QUEDANDO SUJETO A LA CAUSA SENDOS IMPUTADOS. CON POSTERIORIDAD FUE ENTREGADO EL MOTO-VEHÍCULO</t>
  </si>
  <si>
    <t>7532/10</t>
  </si>
  <si>
    <t>867/10</t>
  </si>
  <si>
    <t>SE PROCEDE A LA APERTURA DE CUATRO ENCOMIENDAS DEL CORREO OFICIAL, SEGUN CONSTA EN ACTA DE APERTURA DE CARGAS Nº 519/10, PREV. SUM. Nº 113/10, EN VIRTUD DE LO ORDENADO MEDIANTE OFICIO JUDICIAL Nº 2883/10 DEL MAGISTRADO ACTUANTE Y EN PRESENCIA DE DOS TESTIGOS HABILES. LA 1º IDENTIFICADA COMO EP658932126AR,RTTE: SR. JONATAN CONDORI, PERICO,JUJUY Y DEST. SR. WALBERTO CONDORI, C.P.Nº 9400,RIO GALLEGOS, -RETIRA EN EL CORREO-, CONTIENE: 16 PAQUETES DE HOJAS DE COCA CON UN PESO TOTAL DE 3.937 GRS. LA 2º EP716768713AR, RTTE. SRA. SONIA BORJA TEJERINA, SALTA Nº 856, JUJUY,C.P.4600, DEST. SR. ALFREDO BORJA ORDOÑEZ, CAMINO CENTENARIO ESQUINA 43, VILLA ELISA,LA PLATA C.P. 1894, POSTE RESTANTE, DNI 34651450, CONTIENE 8 PAQUETES DE HOJAS DE COCA CON UN PESO TOTAL DE 1.567 GRS., LA 3º EP683783185AR,RTTE: SR. SIMON CORONEL, Bº PUNTA DIAMANTE M15 L17, C.P.4600,S.S.DE JUJUY, DEST. SRA. ELENA URSAGAZTI, AVDA. DE LOS MINEROS Nº 1437, -CRI-SA-RU-, RIO TURBIO,C.P. 9407,STA. CRUZ, CONTIENE 13 PAQUETES DE HOJAS DE COCA CON UN PESO TOTAL DE 2.970 GRS., 23 POTES DE UNGUENTO MENTISAN DE 25 GRS. CADA UNO DE INDUSTRIA BOLIVIANA SE EFECTUO PRUEBA DE CAMPO CON REACTIVO NARCO TEST EN AEROSOL PARA COCAINA A CINCO POTES ELEGIDOS AL AZAR CON RESULTADO NEGATIVO.LA 4º EP691908620AR,RTTE: SRA. ANGELICA MENDEZ, STGO. DEL ESTERO S/N,C.P.4650, LA QUIACA PCIA. DE JUJUY, DEST. SR. DAVID ALFREDO TORRES, CALLE SAN JUAN Nº 432,C.P.9300,PUERTO DE STA. CRUZ, SANTA CRUZ, CONTIENE 6 PAQUETES DE HOJAS DE COCA CON UN PESO TOTAL DE 1.513 GRS., 19 SOBRES DE JUGO EN POLVO MARCA RUBYS DE 20 GRS. CADA UNO DE INDUSTRIA BOLIVIANA, SE EFECTUO PRUEBA DE CAMPO CON REACTIVO NARCO TEST EN AEROSOL PARA COCAINA A CUATRO SOBRES ELEGIDOS AL AZAR CON RESULTADO NEGATIVO. LOS MISMOS QUEDAN SECUESTRADOS Y SERAN PUESTOS A DISPOSICION DE LA ADMINISTRACION DE LA ADUANA SALTA POR SUPUESTA INFRACCION AL CODIGO ADUANERO LEY 22.415 Y LAS ACTUACIONES SERAN REMITIDAS A SEDE JUDICIAL SEGÚN PU ORIGINARIO N° 7527/10 SE PROCEDE A LA RETENCION DE TRES SACAS COLECTORAS DEL CORREO OFICIAL, SEGUN CONSTA EN ACTA DE RETENCION DE CARGAS Nº 492/10, QUE ORIGINA LA PREVENCION SUMARIA Nº 113/10, LA PRIMERA SACA IDENTIFICADA CON MARBETE SLA9140514D555700RGL, PRECINTO Nº E352153, CON UN PESO DECLARADO DE 4,600 KGS. CON DESTINO A LA CIUDAD DE RIO GALLEGOS, CONTENDRIA DOS PIEZAS POSTALES, LA SEGUNDA SACA IDENTIFICADA CON MARBETE SLA8752898D515100LPG, PRECINTO Nº E352170, CON UN PESO DECLARADO DE 13,400 KGS. CON DESTINO A LA CIUDAD DE LA PLATA, CONTENDRIA TRES PIEZAS POSTALES, LA TERCERA SACA IDENTIFICADA CON MARBETE SLA0216951E555700RGL, PRECINTO Nº P052059, CON UN PESO DECLARADO DE 15,800 KGS. CON DESTINO A LA CIUDAD DE RIO GALLEGOS, CONTENDRIA CUATRO PIEZAS POSTALES, LAS MISMAS ESTAN AMPARADAS EN GUIA AEREA Nº 9309059-4, DESPACHADAS A TRAVES DE LA EMPRESA DE CARGA AEREA JET PAQ, LA RETENCION SE REALIZA ANTE LA PRESUNCION DE QUE PUDIERAN CONTENER ALGUN ELEMENTO EN INFRACCION A LA LEY 23.737 Y/O 22.415, QUEDANDO LAS MISMAS CERRADAS Y PRECINTADAS EN GUARDA EN ESTA UOSP. SEGUN LO COORDINADO CON EL DR. SANTIAGO FRENCH, A CARGO DE LA SECRETARIA PENAL Nº 2 DEL JUZGADO FEDERAL DE SALTA Nº 1, A CARGO DEL DR. JULIO LEONARDO BAVIO, LA APERTURA SE REALIZARA EN PRESENCIA DEL PERSONAL DEL CORREO OFICIAL SEGUN AMPL PU N° 7532/10 SE PROCEDE A LA APERTURA DE TRES SACAS COLECTORAS DEL CORREO OFICIAL ARGENTINO, SEGUN CONSTA EN ACTA DEJANDO CONSTANCIA Nº 0494/10, QUE FUERON RETENIDAS EL DIA 26 DE NOVIEMBRE DEL 2010, SEGUN CONSTA EN ACTA DE RETENCION Nº 0492/10, DE LA PREVENCION SUMARIA Nº 113/10.LA 1º SACA IDENTIFICADA CON MARBETE SLA9140514D555700RRGL, PRESCINTO Nº E352153, CONTIENE UNA PIEZA POSTAL, IDENTIFICADA COMO EP658932126AR,RTTE: SR. JONATAN CONDORI, PERICO,JUJUY Y DESTINATARIO SR. WALBERTO CONDORI,DOMICILIO SIN DATOS C.P.Nº 9400,RIO GALLEGOS,QUEDA RETENIDA .LA 2º SACA IDENTIFICADA CON MARBETE Nº SLA8752898D515100LPG, PRESCINTO Nº E352170,CONTIENE TRES PIEZAS POSTALES: LA1º IDENTIFICADA COMO EP716768713AR,RTTE. SRA. SONIA BORJA TEJERINA,DOMICILIO SALTA Nº 856, JUJUY,C.P.4600, DESTINATARIO SR. ALFREDO BORJA ORDOÑEZ,DOMICILIO CAMINO CENTENARIO ESQUINA 43, VILLA ELISA,LA PLATA C.P. 1894,QUEDA RETENIDA.LA 2º IDENTIFICADA COMO EP692904301AR, Y LA 3º IDENTIFICADA COMO EP668363716AR, SON ENTREGADAS AL SR. ARIAS PARA SU REDESPACHO.LA 3º SACA IDENTIFICADA CON MARBETE Nº SLA0216951E555700RGL,PRESCINTO Nº P052059, CONTIENE CINCO PIEZAS POSTALES: LA 1º IDENTIFICADA COMO EP683783185AR,RTTE: SR. SIMON CORONEL, DOMOCILIO Bº PUNTA DIAMANTE M15 L17, C.P.4600,S.S.DE JUJUY, DESTINATARIO SRA. ELENA UVSAGAZT, DOMICILIO AVDA. DE LOS MINEROS Nº 1437,RIO TURBIO,C.P. 9407,STA. CRUZ, QUEDA RETENIDA, LA 2º IDENTIFICADA COMO EP691908620AR,RTTE: SRA. ANGELICA MENDEZ, CALLE STGO. DEL ESTERO S/N,C.P.4650, LA QUIACA PCIA. DE JUJUY, DESTINATARIO SR. DAVID ALFREDO TORRES, DOMICILIO CALLE SAN JUAN Nº 432,C.P.9300,PUERTO DE STA. CRUZ, QUEDA RETENIDA.LA 3º IDENTIFICADA COMO EP 716768850AR,LA 4º IDENTIFICADA COMO EP712244738AR Y LA 5º IDENTIFICADA COMO EP711445058AR, SON ENTREGADAS AL SR. ARIAS PARA SU REDESPACHO.LAS MISMAS SE REALIZAN ANTE LA PRESUNCION DE QUE PUDIERAN CONTENER ALGUN ELEMENTO EN INFRACCION A LA LEY 23.737 Y/O 22.415, QUEDANDO LAS MISMAS CERRADAS Y EN GUARDA EN ESTA UOSP. SE COMUNICO TELEFONICAMENTE AL JUZGADO INTERVINIENTE. Y LAS APERTURAS SE REALIZARAN CON LA AUTORIZACION DEL MAGISTRADO ACTUANTE.</t>
  </si>
  <si>
    <t>SIENDO LAS 20:00 HS SE IMPLEMENTA OPERATIVO DE SEGURIDAD CON MOTIVO DE LA LLEGADA DE LA SRA PRESIDENTA DE LA NACION QUIEN ARRIBO A ESTA AEROESTACION MILITAR A LAS 22:15 HS EN T-03 , PARTIO EN HELICOPTERO A LAS 22:22 HS DE ESTA AEROESTACION , FINALIZA OPERATIVO DE SEGURIDAD 22:30 HS</t>
  </si>
  <si>
    <t>SUBSUELO DEL AEROPUERTO</t>
  </si>
  <si>
    <t>EN MOMENTOS DE REALIZAR EL CONTROL DE LA CARGA Y CORREO A EMBARCAR EN EL VUELO DE REFERENCIA, AL PASAR UNA SACA DEL CORREO ARGENTINO POR LA MAQUINA DE RAYOS X EL OFICIAL PRINCIPAL GUSTAVO SICARDI, ADVIERTE QUE DENTRO DE UNA SACA, SE ENCUENTRA UNA CAJA EN CUYO INTERIOR SE OBSERVAN VARIAS FIGURAS CON FORMAS RECTANGULARES DE TIPO ORGANICA. SEGUIDAMENTE EL GUIA CANES REALIZA EL CONTROL CON EL CAN AXEL MARCANDO LA SACA MENCIONADA DANDO RESULTADO POSITIVO PARA LA PRESENCIA DE SUSTANCIAS ESTUPEFACIENTES. SE COMUNICA AL JUZGADO QUIEN DISPONE SE INTERDICTE LA SACA Y SE SOLICITE ORDEN DE APERTURA EL DIA JUEVES 16 DEL CORRIENTE MES Y AÑO.</t>
  </si>
  <si>
    <t>28-DIC-99 REBELDIA - AGRO FARM S.A S/LEY 23771</t>
  </si>
  <si>
    <t>OFICINAS DE CONTROL MIGRATORIO SECTOR SALIDAS DEL TERRITORIO NACIONAL</t>
  </si>
  <si>
    <t>SIENDO LA HORA Y LA FECHA ANTES MENCIONADA SE RECIBE POR PARTE DE LA DIRECCION NACIONAL DE MIGRACIONES AL PASAJERO EN CUESTION DADO QUE PESA EN SU CONTRA LA CITADA MEDIDA RESTRICTIVA, ANTE LO CUAL SE MANTIENE COMUNICACION CON EL JUZGADO INTERVINIENTE, EL CUAL DISPONE QUE SE CITE AL PASAJERO A COMPARECER A SEDE JUDICIAL DENTRO DE LAS 48 HORAS DE ARRIBADO AL PAIS, SE CONSTATE EL DOMICILIO DEL CAUSANTE DE MANERA TELEFONICA Y UNA VEZ FINALIZADAS LAS DILIGENCIAS, EL CAUSANTE CONTINUE CON SU VIAJE. POR TAL MOTIVO FINALIZADAS LAS DILIGENCIAS ORDENADAS Y SIENDO LAS 2200 HORAS APROXIMADAMENTE SE RETIRA DE ESTA DEPENDENCIA POR SUS PROPIOS MEDIOS.</t>
  </si>
  <si>
    <t>7975/10</t>
  </si>
  <si>
    <t>POLICÍA DE SEGURIDAD AEROPORTUARIA COMODORO RIVADAVIA S/AV. PSTA. INF. LEY 23737</t>
  </si>
  <si>
    <t>FINCA SITUADA EN CALLE URQUIZA Nº 879 COMODORO RIVADAVIA</t>
  </si>
  <si>
    <t>SIENDO LAS 20:30 HORAS LOCAL LOS OFICIALES JEFE MARCELO MUSSIO, ALEJANDRO RIQUELME, SIXTO SOTO TODOS ELLOS PERTENECIENTE A LA UNIDAD OPERACIONAL NARCOTRAFICO Y DELITOS COMPLEJOS, PRESTANDO COLABORACION A PERSONAL DE POLICÍA FEDERAL ARGENTINA PROCEDEN A REALIZAR ALLANAMIENTO EN LA FINCA SITUADA EN CALLE URQUIZA 879, DE LA CIUDAD DE COMODORO RIVADAVIA, ORDEN EMANADA POR EL JUZGADO FEDERAL DE PRIMERA INSTANCIA A CARGO DE LA DRA. EVA PARCIO DE SELEME SEC PENAL A CARGO DEL DR. MANUEL PIZARRO. DICHA MORADA CONSTABA DE TRES DEPARTAMENTOS LOS CUALES FUERON REQUISADOS EN SU TOTALIDAD, NO ENCONTRÁNDOSE ALGUNA PERSONA DE APELLIDO TABAREZ, ASI MISMO LA POLICIA FEDERAL A CARGO DEL PROCEDIMIENTO PROCEDIÓ AL SECUESTRO DE ELEMENTOS DE INTERÉS PARA LA CAUSA LOS CUALES RESULTARON SER COMPROBANTES DE DEPOSITOS BANCARIOS, COMPROBANTES DE GIROS DE DINERO ENVIADOS POR LA EMPRESA TRAMAT Y UN CELULAR DE COLOR NEGRO Y PLATEADO.</t>
  </si>
  <si>
    <t>CAFETERIA GIANNI VITTORIO</t>
  </si>
  <si>
    <t>LA DAMNIFICADA EN MOMENTOS DE ENCONTRARSE TOMANDO ALGO CON SU MARIDO EN EL LUGAR INDICADO, A LA ESPERA DE UNA PERSONA QUE ARRIBARÍA EN UN VUELO, SE PERCATA DEL FALTANTE DE SU CARTERA, LA CUAL ESTABA COLOCADA EN EL RESPALDO DE UNA SILLA. RECORDANDO SU MARIDO A UNA PAREJA QUE MERODEÓ EN LAS PROXIMIDADES DE SU MESA.</t>
  </si>
  <si>
    <t>PERGOLA SECTOR ARRIBOS</t>
  </si>
  <si>
    <t>QUE SIENDO LA HORA Y LA FECHA ANTES MENCIONADA, EL OFICIAL ZALAZAR QUIEN SE ENCONTRABA CUMPLIENDO FUNCIONES EN EL SECTOR DE MENCIÓN, RECIBE COMUNICACIÓN VIA NEXTEL POR PARTE DEL OFICIAL PONCE QUIEN SE ENCONTRABA EN EL C.O.C DANDO CUENTA SOBRE UNA PERSONA DE SEXO MASCULINO QUE SE ENCONTRABA REALIZANDO TAREAS DE MALETERO A LOS PASAJEROS RECIEN ARRIBADOS A ESTA AEROESTACIÓN, POR UNA SUMA DE DINERO A CONVENIR. EN VIRTUD A ELLO EL OFICIAL ZALAZAR SE HACE PRESENTE Y CONSTATA LO ANTES MENCIONADO , POR LO QUE SE LE SOLICITA AL MASCULINO QUE PRESENTE EL CORRESPONDIENTE PERMISO O AUTORIZACIÓN PARA REALIZAR DICHA TAREA, CARECIENDO DE DICHA AUTORIZACIÓN, HABIENDO SIDO ADVERTIDO EN REITERADAS OPORTUNIDADES QUE NO PODÍA EJERCER DICHA TAREA, SE PROCEDE A LA APREHENSIÓN PREVENTIVA DEL CAUSANTE Y POSTERIOR TRASLADO HACIA SANIDAD Y LUEGO A LA OFICINA DE CONTRAVENCIONES Y FALTAS A LOS EFECTOS DE REALIZAR LAS ACTUACIONES CONTRAVENCIONALES CORRESPONDIENTES.</t>
  </si>
  <si>
    <t>MOSTRADORES DE CHECK IN DE LA EMPRESA PLUNA LINEAS AEREAS</t>
  </si>
  <si>
    <t>SIENDO LA HORA Y LA FECHA ANTES MENCIONADA EL DENUNCUANTE EN MOMENTOS DE REALIZAR EL CHECK IN PARA EL MENCIONADO VUELO, TIENE UN DESACUERDO CON EL PERSONAL DE LA COMPANÍA AEREA A RAZON DE QUE LA MISMA LE INFORMA QUE SU PASAJE NO INCLUÍA EL TRASLADO DE SU EQUIPAJE. A RAÍZ DE AQUELLO SE ENTABLA UNA DISCUSIÓN ENTRE AMBAS PARTES EN LA QUE EL DENUNCIANTE SE VE AMENAZADO POR UNA EMPLEADA DE LA EMPRESA LA CUAL LE MANIFESTO SIC- YO ME ENCARGO DE QUE VOS NO SUBAS AL AVION, Y TE VOMOS A ARRUINAR LA VIDA, POR LO QUE EL MISMO SE HACE PRESENTE A FIN DE RADICAR LA CORRESPONDIENTE DENUNCIA. SE ENTABLA COMUNICACION TELEFONICA CON EL JUZGADO INTERVINIENTE QUIEN DISPUSO SE RECEPCIONES FORMAL DENUNCIA Y SE ADJUNTEN LAS ACTUACIONES CONTRAVENCIONALES 0004/10 A LAS PRESENTES ACTUACIONES QUE ESTAN RELACIONADAS A LA PRESENTE CAUSA.</t>
  </si>
  <si>
    <t>SIENDO LAS HORAS ONCE CON TREINTA MINUTOS, SE PRESENTA EL SR. GOMEZ, CARLOS HECTOR, QUIEN EXPONE SOBRE EL EXTRAVIO DE UN PERMISO AEROPORTUARIO TEMPORAL N° 374224. EL MISMO SE DESEMPEÑA COMO EMPLEADO DE LA EMPRESA BETA, LA CUAL PRESTA SERVICIOS DE LIMPIEZA PARA LA FIRMA AEROLINEAS ARGENTINAS. EL EXTRAVIO DE DICHO PERMISO SE PRODUJO EL DIA 15-DIC-10 EN EL TRAYECTO DE ESTE AEROPUERTO Y SU DOMICILO PARTICULAR.</t>
  </si>
  <si>
    <t>DENTRO DE LAS INSTALACIONES DEL AEROPUERTO DE SAN FERNANDO NO PUDIENDO PRECISAR EL LUGAR EXACTO.</t>
  </si>
  <si>
    <t>SIENDO EL DIA Y LA FECHA ANTES MENCIONADA SE HACE PRESENTE EN ESTA DEPENDENCIA POLICIAL EL SR. MULLER QUIEN SE DESEMPEÑA COMO PILOTO CIVIL DE LA EMPRESA LUPETTI ASENTADA EN EL AEROPUERTO DE CORDOBA , MANIFESTANDO EL EXTRAVIO DE SU PERMISO PERMANENTE DE FALICITACION VENCIDO, DENTRO DE LAS INSTALACIONES DE ESTE AEROPUERTO,NO PUDIENDO PRECISAR LA FECHA NI EL LUGAR EXACTO DEL EXTRAVIO.</t>
  </si>
  <si>
    <t>DR Manuel Pizarro</t>
  </si>
  <si>
    <t>Policia de Seguridad Aeroportuaria Comodoro Rivadavia S/Av. Psta. Inf. Ley 23.737</t>
  </si>
  <si>
    <t>Sucursal del Correo Argentino - Comodoro Rivadavia.</t>
  </si>
  <si>
    <t>AMPLIANDO PR Nº 7983 DEL 15/12/10 EN EL CUAL EL JUZGADO INTERVINIENTE ENCOMENDABA A PERSONAL DE UOCN Y DC A REALIZAR VIGILANCIA EN EL AMBITO AEROPORTUARIO EN EL CASO QUE SE PRESENTE ALGUNA PERSONA A RETIRAR ENCOMIENDA Y PR Nº 7989/10 DE MISMA FECHA QUE INFORMABA QUE PERSONAL UOCN Y DC DEBIA PRESTAR COLABORACION EN ALLANAMIENTO A CARGO DE PERSONAL PFA EN FINCA UBICADA EN CALLE URQUIZA Nº 879 DE COMODORO RIVADAVIA. INFORMO QUE EN EL DIA DE LA FECHA SE RECEPCIONA EN ESTA UOCN Y DC V - DE LA PATAGONIA - OFICIO JUDICIAL NUMERO 3036/10 DONDE SE ORDENA SIN PERJUICIO A LAS MEDIDAS TOMADAS EN OFICIO JUDICIAL 3035/10 , EN ATENCION A LOS RESULTADOS DEL ALLANAMIENTO DISPUESTO Y A LA MODALIDAD DE ENTREGA DE LA ENCOMIENDA SECUESTRADA, SE DEBERA ENCOMENDAR PERSONAL DE LA UOCN Y DC COMODORO RIVADAVIA PARA QUE EN FORMA PERMANENTE Y DISCRETA PERMANEZCA EN EL AMBITO DE LA SUCURSAL LOCAL DEL CORREO ARGENTINO, ASI TAMBIEN ARBITRAR LAS COORDINACIONES PERTINENTES CON PERSONAL DE FUNBAPA QUE HA INTERVENIDO LA SACA DEL CORREO QUE CONTENIA LA ENCOMIENDA, TODO ELLO A LOS FINES Y EN CASO QUE SE PRESENTE UNA PERSONA DE NOMBRE ALCIDES TABAREZ Y/O NORMA TABAREZ Y/U OTRA PERSONA O PERSONAS A SU NOMBRE A RECLAMAR LA ENCOMIENDA EN CUESTION O A AVERIGUAR DATOS SOBRE LA MISMA SE PROCEDA A SU INMEDIATA DEMORA E IDENTIFICACION CON COMUNICACIÓN AL JUZGADO FEDERAL A LOS FINES DE RECIBIR LAS INSTRUCCCIONES PERTINENTES</t>
  </si>
  <si>
    <t>7634/10</t>
  </si>
  <si>
    <t>SE PROCEDE A LA APERTURA DE UNA ENCOMIENDA DEL CORREO OFICIAL, SEGÚN CONSTA EN ACTA DE APERTURA DE CARGAS Nº 520/10, PREV. SUM. Nº 115/10, EN VIRTUD DE LO ORDENADO MEDIANTE OFICIO JUDICIAL Nº 1908/10, DEL MAGISTRADO ACTUANTE Y EN PRESENCIA DE DOS TESTIGOS HABILES. LA ENCOMIENDA Nº EP719710332AR, RTTE: SRA. CARMEN GORDILLO, HONDURAS 360, SANTA ROSA DE LIMA, CP 4500, SAN PEDRO DE JUJUY, DEST: MAURO GORDILLO, 25 DE MAYO 1831, CASA Nº 18,CP 9420, RIO GRANDE, TIERRA DEL FUEGO, CONTIENE: DOS PAQUETES DE HOJAS DE COCA CON UN PESO TOTAL DE 976 GRS. QUEDA SECUESTRADA Y SERA PUESTA A DISPOSICION DE LA ADMINISTRACION DE ADUANA DE SALTA POR SUPUESTA INFRACCION AL CODIGO ADUANERO LEY 22.415 Y LAS ACTUACIONES REMITIDAS A SEDE JUDICIAL. SEGÚN P.U. N° 7614/10 ( ORIGINARIO) SE PROCEDE A LA RETENCIÓN DE DOS SACAS COLECTORAS DEL CORREO OFICIAL, SEGÚN CONSTA EN ACTA DE RETENCIÓN DE CARGAS Nº 0502/10, QUE ORIGINA LA PREVENCIÓN SUMARIA 115/10, LA 1º SACA IDENTIFICADA CON MARBETE, SLA8726363D555900RGA, PRECINTO N° E281000, CON UN PESO DECLARADO DE 5,500 KGS, CON DESTINO LA CIUDAD DE RIO GRANDE, CONTENDRÍA DOS PIEZAS POSTALES, LA 2º SACA IDENTIFICADA CON MARBETE Nº SLA0216496E555600CRD, PRECINTO Nº E280945, CON UN PESO DECLARADO DE 17,00 KGS., CON DESTINO A LA CIUDAD DE COMODORO RIVADAVIA, CONTENDRIA TRES PIEZAS POSTALES, LAS MISMAS ESTÁN AMPARADAS EN GUÍA DE CARGA Nº 9309086-3, DESPACHADAS A TRAVÉS DE LA EMPRESA DE CARGA AÉREA JET PAQ. LA RETENCIÓN SE REALIZA ANTE LA PRESUNCIÓN QUE PUDIERAN CONTENER ALGÚN ELEMENTO EN INFRACCIÓN A LA LEY 23.737 Y/O 22.415, QUEDANDO LAS MISMAS CERRADAS Y PRECINTADAS EN GUARDA EN ESTA UOSP. SEGÚN LO COORDINADO CON LA DRA MARIA ISABEL FALU., A CARGO DE LA SECRETARIA PENAL Nº 4 DEL JUZGADO FEDERAL DE SALTA Nº 2 A CARGO DEL DR. MIGUEL ANTONIO MEDINA. LA APERTURA SE REALIZARÁ EN PRESENCIA DEL PERSONAL DEL CORREO OFICIAL SEGÚN P.U. N° 7634/10 (AMPLIACION) SE PROCEDE A LA APERTURA DE DOS SACAS COLECTORAS DEL CORREO OFICIAL, SEGÚN CONSTA EN ACTA DEJANDO CONTANCIA Nº 503/10,CORRESPONDIENTE A LA PREV. SUM. Nº 115/10, LA 1º SACA IDENTIFICADA CON MARBETE, SLA8726363D555900RGA, PRECINTO N° E281000, CONTIENE DOS PIEZAS POSTALES: LA 1ª IDENTIFICADA COMO EP059276345AR ES ENTREGADA AL SR. ARIAS PARA SU REDESPACHO Y LA 2ª PIEZA POSTAL IDENTIFICADA COMO EP719710332AR, RTTE: SRA. CARMEN GORDILLO, DOMICILIADA EN HONDURAS 360 SANTA ROSA DE LIMA, C.P. 4500, SAN PEDRO DE JUJUY, DEST: MAURO GORDILLO, DOMICILIADO EN 25 DE MAYO 1831, CASA Nº18,C.P.9420, RIO GRANDE, QUEDA RETENIDO LA 2º SACA IDENTIFICADA CON MARBETE Nº SLA0216496E555600CRD, PRECINTO Nº E280945, CONTIENE TRES PIEZAS POSTALES IDENTIFICADAS COMO: EP711446230AR, EP711447252AR Y EP712245716AR, LUEGO DE UNA SEGUNDA REVISION SON ENTREGADAS AL SR. ARIAS PARA SU REDESPACHO. LA RETENCIÓN SE REALIZA ANTE LA PRESUNCIÓN QUE PUDIERAN CONTENER ALGÚN ELEMENTO EN INFRACCIÓN A LA LEY 23.737 Y/O 22.415, QUEDANDO LA MISMA EN GUARDA EN ESTA UOSP. SE COMUNICO TELEFONICAMENTE AL JUZGADO INTERVINIENTE. Y LA APERTURA SE REALIZARÁ CON LA AUTORIZACION DEL MAGISTRADO ACTUANTE.</t>
  </si>
  <si>
    <t>VERONICA G.L GARCIA</t>
  </si>
  <si>
    <t>FIGUEROA MAYRA DENISSE S/ INF. LEY 22.415 EN TENTATIVA - CONTRABANDO DE ESTUPEFACIENTES</t>
  </si>
  <si>
    <t>1738/2010</t>
  </si>
  <si>
    <t>EN EL DIA DE LA FECHA SE RECIBE OFICIO JUDICIAL SOLICITANDO INTERVENIR CONJUNTAMENTE CON EL DEPARTAMENTO DE NARCOTRAFICO DE LA DGA/AFIP, EN LA PRODUCCION DE LAS MEDIDAS DE INVESTIGACION QUE FUERA DISPUESTAS POR EL MAGISTRADO INTERVINIENTE EN EL MARCO DE LAS PRESENTES ACTUACIONES .</t>
  </si>
  <si>
    <t>Policia de Seguridad Aeroportuaria Comodoro Rivadavia S/AV. Psta. Inf. ley 23.737</t>
  </si>
  <si>
    <t>AMPLIANDO PR Nº 7983 DEL 15/12/10 EN EL CUAL EL JUZGADO INTERVINIENTE ENCOMENDABA A PERSONAL DE UOCN Y DC A REALIZAR VIGILANCIA EN EL AMBITO AEROPORTUARIO EN EL CASO QUE SE PRESENTE ALGUNA PERSONA A RETIRAR ENCOMIENDA, PR Nº 7989/10 DE MISMA FECHA QUE INFORMABA QUE PERSONAL UOCN Y DC DEBIA PRESTAR COLABORACION EN ALLANAMIENTO A CARGO DE PERSONAL PFA EN FINCA UBICADA EN CALLE URQUIZA Nº 879 DE COMODORO RIVADAVIA Y PR 8010/10 DONDE ENCOMENDAR PERSONAL DE LA UOCN Y DC COMODORO RIVADAVIA PARA QUE EN FORMA PERMANENTE Y DISCRETA PERMANEZCA EN EL AMBITO DE LA SUCURSAL LOCAL DEL CORREO ARGENTINO EN EL DIA DE LA FECHA SE RECEPCIONA EN ESTA UOCN Y DC V-DE LA PATAGONIA- OFICIO JUDICIAL NRO 3037/10, DONDE SE ORDENA DISCRETAS TAREAS DE INVESTIGACION EN EL AMBITO DE LAS CIUDADES DE POSADAS MISIONES RESPECTO DE LAS PERSONAS DE ALCIDES RAMON TABAREZ DNI 18.757.502, NORMA ESTELA TABAREZ DNI 17.064.185, NORMA BEATRIZ TABAREZ DNI 13.691.779 Y NORMA DANIELA TABAREZ DNI 27.208.809.</t>
  </si>
  <si>
    <t>SIENDO LA HORA Y LA FECHA ANTES MENCIONADA SE HACE PRESENTE EN ESTA DEPENDENCIA POLICIAL EL SEÑOR REDEL PEDRO WALTER,QUIEN SE DESEMPEÑA COMO CONTROLADOR DE TRANSITO AEREO EN LA TORRE DE CONTROL DE ESTE AEROPUERTO DENUNCIANDO EL EXTRAVIO DE SU PERMISO DE SEGURIDAD PERMANENTE VENCIDO, DENTRO DE LAS INSTALACIONES DE ESTE AEROPUERTO, NO PUDIENDO PRECISAR LA FECHA NI EL LUGAR DEL EXTRAVIO.</t>
  </si>
  <si>
    <t>7595/10</t>
  </si>
  <si>
    <t>896/10</t>
  </si>
  <si>
    <t>SE PROCEDE A LA APERTURA DE DOS ENCOMIENDAS DEL CORREO OFICIAL, SEGÚN CONSTA EN ACTA DE APERTURA DE CARGAS Nº 521/10, PREV. SUM. Nº 114/10, EN VIRTUD DE LO ORDENADO MEDIANTE OFICIO JUDICIAL S/Nº, DEL MAGISTRADO ACTUANTE Y EN PRESENCIA DE DOS TESTIGOS HABILES. LA PRIMERA IDENTIFICADA COMO EP655042134AR, RTTE: SILVANA IBAÑEZ, Bº MANUEL BELGRANO M 108 - L5, FRAILE PINTADO, JUJUY, C.P. 4506 Y DEST.: SUSANA ROJAS, INTEVU Nº 17, CASA Nº 113, CP 9410, USHUAIA, TIERRA DEL FUEGO, CONTIENE: OCHO PAQUETES DE HOJAS DE COCA CON UN PESO TOTAL DE 1999 GRS.. LOS CUALES QUEDAN SECUESTRADAS, EL RESTO DE LA ENCOMIENDA EFECTOS PERSONALES FOTOGRAFIAS UNA CARTA Y SOUVENIR DE COMUNION SERAN ENTREGADOS AL CORREO OFICIAL PARA SU REDESPACHO POR NO CONSTITUIR INFRACCION A LAS NORMATIVAS VIGENTES, LA SEGUNDA IDENTIFICADA COMO EP691908647AR, RTTE. MAMERTO ANZE, AVDA. ESPAÑA NORTE Nº 03, CP 4650, LA QUIACA PCIA DE JUJUY Y DEST.: JOSE MIGUEL PAVIA, LAS ARITAS Nº 2521, Bº LAMBERTUCHI, CP 1625, ESCOBAR BS.AS., CONTIENE: SEIS PAQUETES DE HOJAS DE COCA CON UN PESO TOTAL DE 2609 GRS.QUEDA SECUESTRADA. LOS SECUESTROS SERAN PUESTOS A DISPOSICION DE LA ADMINISTRACION DE ADUANA DE SALTA, POR SUPUESTA INFRACCION AL CODIGO ADUANERO LEY 22.415 Y LAS ACTUACIONES REMITIDAS A SEDE JUDICIAL. SEGÚN P.U. N°7587/10 (ORIGINARIO) SE PROCEDE A LA RETENCION DE TRES SACAS COLECTORAS DEL CORREO OFICIAL ARGENTINO SEGUN CONSTA EN ACTA DE RETENCION DE CARGAS N° 500/10, QUE ORIGINA LA PREVENCION SUMARIA 114/10. LA 1° SACA IDENTIFICADA CON MARBETE SLA0212360D555800VAE, PRECINTO N° E352554, CON UN PESO DECLARADO DE 12,600 KGS., CON DESTINO A LA CIUDAD DE USHUAIA. LA 2° SACA IDENTIFICADA CON MARBETE SLA0220309D505000, PRECINTO N° E280677, CON UN PESO DECLARADO DE 4,600 KGS., CON DESTINO A LA CIUDAD DE BUENOS AIRES. LA 3° SACA IDENTIFICADA CON MARBETE SLA0216496E555600CRD, PRECINTO N° E352593, CON UN PESO DECLARADO DE 17,000 KGS., CON DESTINO A LA CIUDAD DE COMODORO RIVADAVIA. LAS MISMAS ESTAN AMPARADAS EN GUIA AEREA N°9309077-1, DESPACHADAS A TRAVES DE LA EMPRESA DE CARGA AEREA JET PAQ. LAS RETENCIONES SE REALIZAN ANTE LA PRESUNCION QUE PUDIERAN CONTENER ALGUN ELEMENTO EN INFRACCION A LA LEY 23737 Y/O 22415, QUEDANDO LAS MISMAS CERRADAS Y PRECINTADAS EN GUARDA DE ESTA UOSP SEGUN LO COORDINADO CON LA DRA. MARIA ISABEL FALU, A CARGO DE LA SECRETARIA PENAL N°4, DEL JUZGADO FEDERAL DE SALTA N°2, A CARGO DEL DR. MIGUEL ANTONIO MEDINA. LA APERTURA SE REALIZARA EN PRESENCIA DEL PERSONAL DEL CORREO OFICIAL. SEGÚN P.U.N° 7595/10 (AMPLIACION) SE PROCEDE A LA APERTURA DE TRES SACAS COLECTORAS DEL CORREO OFICIAL ARGENTINO, SEGÚN CONSTA EN ACTA DEJANDO CONSTANCIA Nº 0501/10, QUE FUERON RETENIDAS EL DIA 30 DE NOVIEMBRE DEL 2.010, SEGÚN CONSTA EN ACTA DE RETENCION DE CARGAS Nº 0500/10, DE LA PREVENCION SUMARIA Nº 114/10. LA 1ª SACA IDENTIFICADA CON MARBETE, SLA0212360D555800VAE, PRECINTO Nº E352554, CONTIENE UNA (04) CUATRO PIEZAS POSTALES, LA 1º IDENTIFICADA COMO EP655042213AR, RTTE: SRA. SILVANA IBAÑEZ, DOMICILIO Bº MANUEL BELGRANO M 108 - L5, FRAILE PINTADO, JUJUY, C.P. 4506 Y DESTINATARIO: SRA. SUSANA ROJAS, DOMICILIO INTEVU Nº 17, CASA Nº 113, C.P. 9410, USHUAIA, TIERRA DEL FUEGO, QUEDA RETENIDA, LA 2ª IDENTIFICADA COMO EP658933237AR, LA 3ª IDENTIFICADA COMO EP705772439AR Y LA 4ª IDENTIFICADA COMO EP7123219748AR, SON ENTREGADAS AL SR. ARIAS PARA SU REDESPACHO. LA 2ª SACA IDENTIFICADA CON MARBETE SLA0220309D505000BUE, PRECINTO Nº E280677, CONTIENE UNA PIEZA POSTAL IDENTIFICADA COMO EP691908647AR, RTTE. SR. MAMERTO ANZE, DOMICILIO AVDA. ESPAÑA NORTE Nº 03, C.P. 4650, LA QUIACA JUJUY, DESTINATARIO: SR. MIGUEL JOSE PAVIA, DOMICILIO LAS ARITAS Nº 2521, Bº LAMBERTUCHI, C.P. 1625, ESCOBAR B.S.AS., QUEDA RETENIDA. LA 3ª SACA IDENTIFICADA CON MARBETE SLA0216496E555600CRD, PRECINTO Nº E352593, CONTIENE TRES PIEZAS POSTALES, LA 1ª IDENTIFICADA COMO EP711446230AR, LA 2ª EP711447252AR Y LA 3ª IDENTIFICADA COMO EP712245716AR, SON ENTREGADAS AL SR. ARIAS PARA SU REDESPACHO. LAS MISMAS SE REALIZA ANTE LA PRESUNCION DE QUE PUDIERAN CONTENER ALGUN ELEMENTO EN INFRACCION A LA LEY 23.737 Y/O 22.415, QUEDANDO LAS MISMAS CERRADAS Y EN GUARDA EN ESTA UOSP. SE COMUNICO TELEFÓNICAMENTE AL JUZGADO INTERVINIENTE Y LAS APERTURAS SE REALIZARAN CON LA AUTORIZACIÓN DEL MAGISTRADO ACTUANTE.</t>
  </si>
  <si>
    <t>MARCELO FABIAN GARNICA</t>
  </si>
  <si>
    <t>COMPULSA E/AS. 56366-B F. C/RIOS, FELICIA S/AV. INF. ART. 866 LEY 22415</t>
  </si>
  <si>
    <t>56538-B</t>
  </si>
  <si>
    <t>POR LA PRESENTE INFORMO QUE EN EL DÍA DE LA FECHA SE RECEPCIONÓ EN ESTA UNIDAD UN OFICIO JUDICIAL EMANADO POR EL JUZGADO FEDERAL Nº 1 DE LA CIUDAD DE MENDOZA, SECRETARIA PENAL B, INFORMANDO EN DICHO OFICIO QUE SE DISPUSO EL ARCHIVO DE LAS ACTUACIONES EN EL EXPEDIENTE Nª 56538-B, A LA ESPERA DE QUE NUEVAS PRUEBAS PERMITAN AVANZAR EN LA MISMA. DICHA CAUSA SE INICIÓ EL DÍA 17/11/2007 Y FUE INFORMADA A TRAVÉS DE PARTE RESERVADO Nº 18/2008, EN EL MARCO DE LA ORDEN DE OPERACIONES Nª 35/2008. RAZÓN POR LA CUAL EL REGISTRO DE DICHA CAUSA NO ESTÁ DENTRO DEL SISTEMA DE CONTROL POLICIAL</t>
  </si>
  <si>
    <t>PONCE BEDOYA JUANA MARIA S/INF. LEY 22415</t>
  </si>
  <si>
    <t>HOTEL AYAMITRE, SITO EN LA CALLE AYACUCHO 106 - C.A.B.A</t>
  </si>
  <si>
    <t>EN EL DIA DE LA FECHA SE RECIBE OFICIO JUDICIAL CON EL FIN QUE PERSONAL DE ESTA UNIDAD REQUIERA AL HOTEL AYAMITRE LOS REGISTROS FILMICOS QUE OBREN RESPECTO DE LA PERSONA QUE HABRIA VISITADO DURANTE SU ESTADIA, A LA IMPUTADA JUANA MARIA PONCE BEDOYA.</t>
  </si>
  <si>
    <t>SIN ESPECIFICAR</t>
  </si>
  <si>
    <t>SE RECIBE OFICIO JUDICIAL EN EL CUAL SE SOLICITA SE PRACTIQUEN TAREAS DE INTELIGENCIA EN FORMA ENCUBIERTA CON EL FIN DE CORROBORAR SI EL SR. ALEJANDRO GABRIEL KOKAS, QUIEN CUMPLIRÍA FUNCIONES EN LA EMPRESA HIGH ASSISTANCE SERVICE, ESTARÍA COMETIENDO MANIOBRAS ILÍCITAS EN CUANTO AL ROBO O HURTO DE ELEMENTOS DE VALOR QUE SON DESPACHADOS EN LAS BODEGAS DE LAS AERONAVES, COMO SER CÁMARAS FOTOGRÁFICAS , RELOJES, FILMADORAS, SIENDO QUE PARA ELLO CONTARÍA CON LA AYUDA DE COMPAÑEROS DE TRABAJO CON LOS CUALES MANTENDRÍA CONVERSACIONES VÍA NEXTEL. COMO ASÍ TAMBIÉN SE DEBERÁ EFECTUAR SEGUIMIENTOS INDIVIDUALES RESPECTO DE AQUELLAS PERSONAS QUE RESULTEN AUTORES, PARTICIPES, ENCUBRIDORES, Y/O INSTIGADORES DE DICHO ILÍCITO, ASIMISMO OBTENER REGISTROS FÍLMICOS Y/O FOTOGRÁFICOS, DE IGUAL MANERA PROCEDER A ESTABLECER TODOS LOS DATOS POSIBLES VINCULADOS CON LAS PERSONAS QUE RESULTEN SINDICADAS Y POR ULTIMO ESTABLECER LOS MEDIOS DE COMUNICACIÓN EMPLEADO POR LOS MISMOS A FIN DE PROCEDER A UNA FUTURA INTERVENCIÓN , LUEGO REMITIR LAS ACTUACIONES A LA JUDICATURA INTERVINIENTE.</t>
  </si>
  <si>
    <t>Dra. Mariel BORRUTO</t>
  </si>
  <si>
    <t>NAVARRO CARDENAS, LEANDRO NICOLAS S/PTA. INF. ART. 190 CPN</t>
  </si>
  <si>
    <t>ARRIBO DEL AEROPUERTO</t>
  </si>
  <si>
    <t>QUE SIENDO LAS 13:30 HS DEL DIA DE LA FECHA Y EN UN CONTROL DE RUTINA EN CONJUNTO CON PERSONAL DE ADUANA, UTILIZANDO EL SCANNER DE RAYOS X UBICADO EN EL SECTOR DE ARRIBOS DE ESTE AEROPUERTO, PERTENECIENTE A LA DGA-AFIP, SE PROCEDIÓ A DETECTAR UNA VALIJA DE COLOR NEGRO TIPO CARRY-ON,Y LA CUAL CONFRONTADA CON EL SISTEMA DE VISUALIZACIÓN DE RAYOS X A PRIMA FACIE CONTENIA MATERIAL ORGANICO QUE PRESUMIBLEMENTE PODRÍA TRATARSE DE SUSTANCIAS PIROTÉCNICAS O MATERIAL EXPLOSIVO, SEGUIDAMENTE SE DIO AVISO AL JUZGADO FEDERAL Y A LA FISCALIA FEDERAL. ACTO SEGUIDO EN PRESENCIA DE DOS TESTIGOS SE PROCEDIO A IDENTIFICAR AL PROPIETARIO DE LA VALIJA QUIEN RESULTO SER EL SR. NAVARRO CARDENAS LEANDRO, PROPIETARIO DEL EQUIPAJE, SEGUIDAMENTE SE APERTURO EL MISMO, PUDIENDO OBSERVAR QUE EN SU INTERIOR HABIA MATERIAL PIROTECNICO, ACTO SEGUIDO Y DANDO CUMPLIMIENTO A LO ORDENANDO POR LA JUEZA A CARGO Y EL MARCO DE LAS ACTUACIONES INICIADAS POR ESTA UNIDAD OPERACIONAL DE SEGURIDAD AEROPORTUARIA CARATULADAS NAVARRO CARDENAS LEANDRO NICOLAS S/PTA. INF.ART. 190 CPN SE PROCEDIO A SECUESTRAR LOS OBJETOS PIROTECNICOS, NOTIFICAR DE DERECHOS Y GARANTIAS AL CIUDADANO NAVARRO CARDENAS, Y A ENTREGAR EL RESTO DE SUS PERTENENCIAS A SU DUEÑO. SIENDO LAS 16:55 HS DEL DIA DE LA FECHA, EL SEÑOR NAVARRO CARDENAS SE RETIRO DEL AEROPUERTO.</t>
  </si>
  <si>
    <t>AR 1848</t>
  </si>
  <si>
    <t>SIENDO LAS 08:30HS LOS IMPUTADOS FUERON TRASLADADOS A SEDE JUCIAIL.SIENDO LAS 18:30HS LOS APREHENDIDOS VUELVEN A ESTA DEPENDENCIA PARA SER ALOJADOS NUEVAMENTE, PERMANECIENDO EN CALIDAD DE APREHENDIDOS A DISPOSICION DEL JUZGADO DE GARANTIAS N° 08 A CARGO DEL. DR. GABRIEL VITALE, QUIEN EL DIA 17-12-10 MANTENDRA COMUNICACION CON ESTA UNIDAD A LOS EFECTOS DE INFORMAR LA LIBERACION O EN SU DEFECTO EL TRASLADO A COMISARIA DE LA PROVINCIA DE BUENOS AIRES</t>
  </si>
  <si>
    <t>UX - 041</t>
  </si>
  <si>
    <t>7999/10</t>
  </si>
  <si>
    <t>GALEANO ANDRÉS JEFE DE UNIDAD OPERACIONAL RCIA POLICÍA DE SEGURIDAD AEROPORTUARIA S/SOLICITA ORDEN APERTURA DE SACA</t>
  </si>
  <si>
    <t>EXPTE. 537/10</t>
  </si>
  <si>
    <t>APERTURA DE SACA</t>
  </si>
  <si>
    <t>CONTROL CON EQUIPO DE RAYOS X</t>
  </si>
  <si>
    <t>LAURA RIVAS CP. 3400 CORRIENTES - CORRIENTES</t>
  </si>
  <si>
    <t>JULIO RIVAS CP. 9405 EL CALAFATE - SANTA CRUZ</t>
  </si>
  <si>
    <t>PU Nº 7999 - 16-12-2010 EN MOMENTOS DE REALIZAR EL CONTROL DE LA CARGA Y CORREO A EMBARCAR EN EL VUELO DE REFERENCIA, AL PASAR UNA SACA DEL CORREO ARGENTINO POR LA MAQUINA DE RAYOS X EL OFICIAL PRINCIPAL GUSTAVO SICARDI, ADVIERTE QUE DENTRO DE UNA SACA, SE ENCUENTRA UNA CAJA EN CUYO INTERIOR SE OBSERVAN VARIAS FIGURAS CON FORMAS RECTANGULARES DE TIPO ORGÁNICA. SEGUIDAMENTE EL GUIA CANES REALIZA EL CONTROL CON EL CAN AXEL MARCANDO LA SACA MENCIONADA DANDO RESULTADO POSITIVO PARA LA PRESENCIA DE SUSTANCIAS ESTUPEFACIENTES. SE COMUNICA AL JUZGADO QUIEN DISPONE SE INTERDICTE LA SACA Y SE SOLICITE ORDEN DE APERTURA EL DÍA JUEVES 16 DEL CORRIENTE MES Y AÑO. PU Nº 8025 - 16-12-2010 SE PROCEDIÓ A LA APERTURA DE LA SACA INTERDICTADA EL DÍA 15 DE DICIEMBRE DE 2010, DANDO CUMPLIMIENTO A ORDEN DE APERTURA N° 38/10 DEL JUZGADO INTERVINIENTE, ENCONTRANDO EN EL INTERIOR DE LA MISMA UNA CAJA EN LA CUAL FIGURA COMO REMITENTE LAURA RIVAS CP 3400 CORRIENTES Y COMO DESTINATARIO JULIO RIVAS CP 9405 EL CALAFATE SANTA CRUZ, CONTENIENDO EN SU INTERIOR TRES BOLSAS DE POLIETILENO, UNA DENTRO DE LA OTRA,EMBADURNADO CON UNA SUSTANCIA GRASOSA, LA CUAL CONTENÍA CUATRO PAQUETES CONTENIENDO CADA UNO DE ELLOS UNA SUSTANCIA VEGETAL COLOR VERDE AMARRONADA, Y TRES BOLSAS DE PLASTICOS CONTENIENDO EN TOTAL CUATRO REMERAS DE TELA DE ALGODÓN. SE REALIZA A LOS CUATRO PAQUETES TEST DE ORIENTACIÓN REACTIVO ESPECIFICO PARA MARIHUANA DANDO TODOS ELLOS RESULTADO POSITIVO, Y TEST DE ORIENTACIÓN REACTIVO A COCAÍNA A LAS CUATRO REMERAS DANDO RESULTADO POSITIVO LA REMERA COLOR BLANCA Y LA COLOR CELESTE GRISASEO, NO PUDIENDO OBSERVAR EL RESULTADO DEL TEST EN LAS DOS REMERAS DE COLOR AZUL Y NEGRO. SE INFORMA LO ACTUADO AL JUZGADO INTERVINIENTE QUIEN DISPONE SE ELEVE LO ACTUADO Y SECUESTRADO A ESOS ESTRADOS.</t>
  </si>
  <si>
    <t>EN EL DIA DE LA FECHA SIENDO LAS 18:00 HORAS SE IMPLEMENTA OPERATIVO DE SEGURIDAD REFERENTE A LA PARTIDA DE LA SRA. PRESIDENTE DE LA NACION, QUIEN ARRIBO A ESTA AEROESTACION A LAS 20:40 HORAS EN EL HELICOPTERO MATRICULA H-03, PARA POSTERIORMENTE PARTIR A LAS 20:50 HORAS EN LA AERONAVE MATRICULA T-01 CON DESTINO A LA CIUDAD DE FOZ DE IGUAZU, BRASIL. FINALIZANDO EL OPERATIVO DE SEGURIDAD A LAS 21: 00 HORAS SIN NOVEDAD.-</t>
  </si>
  <si>
    <t>FOZ DE IGUAZU</t>
  </si>
  <si>
    <t>IPP 01-007851-10</t>
  </si>
  <si>
    <t>MAIPU Nº 765 - VILLA CELINA, PARTIDO DE LA MATANZA, PROV. DE BS. AS.</t>
  </si>
  <si>
    <t>REF. ORDEN DE SERVICIO 1441/10, EN EL DIA DE LA FECHA EN CUMPLIMIENTO A LA ORDEN DE ALLANAMIENTO EMANADA POR LA JUDICATURA INTERVINIENTE SE PROCEDIO AL MISMO CON RESULTADO POSITIVO SECUESTRANDOSE DOCUMENTACION DE INTERES PARA LA CAUSA ABAJO DETALLADA</t>
  </si>
  <si>
    <t>MARIA TORRES</t>
  </si>
  <si>
    <t>ESETACIONAMIENTO UBICADO EN SECTOR SUR DE LA AEROESTACION</t>
  </si>
  <si>
    <t>DARSENA 3 PLAYA ESTACIONAMIENTO PUBLICO</t>
  </si>
  <si>
    <t>EN EL DIA DE LA FECHA SE PRESENTO EL DENUNCIANTE ANTE EL SERVICIO DE GUARDIA MANIFESTANDO QUE SIENDO LAS 10:00 HS. APROXIMADAMENTE DEL DÍA MARTES 14 DEL CORRIENTE MES Y AÑO, ESTACIONA SU VEHICULO MARCA FORD MODELO ECOSPORT, DOMINIO COLOCADO IWP 489, EN LA DÁRSENA 3 DE LA PLAYA PUBLICA DE ESTACIONAMIENTO DE ESTA AEROESTACIÓN, PARA POSTERIORMENTE ABORDAR EL VUELO AR 1505 DE LA EMPRESA AEROLÍNEAS ARGENTINAS CON DESTINO FINAL LA CIUDAD DE BUENOS AIRES. SIENDO LAS 15:45 HS APROXIMADAMENTE DEL DÍA DE LA FECHA, EL DENUNCIANTE REGRESA A LA CIUDAD DE CÓRDOBA PROVENIENTE DE AEROPARQUE EN EL VUELO AU 2530 Y UNA VEZ QUE SE APERSONA FRENTE A SU AUTOMÓVIL NOTA QUE LAS LLAVES DEL MISMO SE LAS HABÍA OLVIDADO EN LA CIUDAD DE BUENOS AIRES, OBSERVA QUE SU VEHICULO SE ENCUENTRA EN BUENAS CONDICIONES Y SE DIRIGE EN COLECTIVO A LA CIUDAD DE ASCOCHINGA PARA BUSCAR LA COPIA DE DICHAS LLAVES. POSTERIORMENTE, SIENDO YA LAS 20:15 HS APROXIMADAMENTE DEL DÍA DE LA FECHA, EL DENUNCIANTE SE PRESENTA EN ESTA AEROESTACIÓN PARA RETIRAR SU VEHICULO, INTENTA INTRODUCIR LA LLAVE EN EL MISMO, NO PUDIENDO HACERLO DADO QUE LA CERRADURA DEL MISMO SE ENCONTRABA VIOLENTADA, SEGUIDAMENTE OBSERVA QUE TODAS LAS PUERTAS ESTABAN ABIERTAS, CONTROLA EL INTERIOR DEL MISMO Y NOTA EN LA CAJUELA UBICADA DEBAJO DEL ASIENTO DEL ACOMPAÑANTE, LA AUSENCIA DE UN (01) GPS MARCA GARMIN 780 W, UNA (01) LINTERNA FRONTAL, UN (01) REMERA POLO Y UN (01) DETECTOR DE LÁSER MARCA COBRA.</t>
  </si>
  <si>
    <t>CIUDAD AUTONOMOA DE BUENOS AIRES - AEP</t>
  </si>
  <si>
    <t>CAPTURA POR AVERIGUACION DE CONTRABANDO</t>
  </si>
  <si>
    <t>BOX DE SALIDAS DE LA DIRECCION NACIONAL DE MIGRACIONES</t>
  </si>
  <si>
    <t>SIENDO LA HORA Y LA FECHA ANTES MENCIONADA SE RECEPCIONA POR PARTE DE LA DIRECCIÓN NACIONAL DE MIGRACIONES AL PASAJERO JULIO CESAR TIERNO, EN VIRTUD QUE SOBRE EL MISMO PESA UNA ORDEN DE CAPTURA Y UN PARADERO POR CONTRABANDO. POR TAL MOTIVO SE MANTIENE COMUNICACIÓN TELEFÓNICA CON EL JUZGADO SOLICITANTE DE LA CAPTURA, EL CUAL INDICA QUE SE PROCEDA A NOTIFICAR AL CAUSANTE QUE COMPAREZCA AL JUZGADO A PRIMERA HORA, CON EL FIN DE REGULARIZAR SU SITUACIÓN JUDICIAL, SE PROCEDA AL SECUESTRO DEL PASAPORTE Y EL BOARDING PASS, SE REALICE CONSTATACION DE DOMICILIO DE MANERA TELEFONICA, SE CURSE NOTA A MIGRACIONES A FIN DE QUE SE IMPONGA AL CAUSANTE UNA PROHIBICION DE SALIDA DEL TERRITORIO NACIONAL HASTA TANTO REGULARICE SU SITUACION JUDICIAL Y SE ELEVEN LAS ACTUACIONES EL DIA 17/12/10 A SEDE JUDICIAL. SEGUIDAMENTE EL CAUSANTE SE RETIRA DE ESTA DEPENDENCIA POR SUS PROPIOS MEDIOS SIN NOVEDAD.</t>
  </si>
  <si>
    <t>MUSCARA</t>
  </si>
  <si>
    <t>JOSE VICENTE</t>
  </si>
  <si>
    <t>CORNET, RAMON LUCIO</t>
  </si>
  <si>
    <t>CONTRABANDO AGRAVADO</t>
  </si>
  <si>
    <t>EXPTE. Nº 45/03</t>
  </si>
  <si>
    <t>SIENDO LAS 13:30 HS. SE RECIBE UN ALERTA DE PARTE DEL JEFE DE LA URSA I DEL ESTE INFORMANDO QUE EN UN VUELO PROCEDENTE DE ASUNCION DEL PARAGUAY ARRIBARIAN CUATRO INDIVIDUOS PRESUMIBLEMENTE NARCOTRAFICANTES. SE DA EL ALERTA A MIGRACIONES Y ADUANA, SEGUIDAMENTE ARRIBA LA AERONAVE, PROCEDIENDO A CONTROLARSE SU EQUIPAJE POR PARTE DE LA AFIP-ADUANA DANDO RESULTADOS NEGATIVOS, DADO QUE EN EL SISTEMA DE LA OFICINA DE MIGRACIONES NO FIGURAN REGISTROS DE NINGUN IMPEDIMENTO, SUS OCUPANTES SON LIBERADOS, SIENDO ESTOS DOS PILOTOS Y DOS PASAJEROS. ESTOS SE RETIRAN EN UN TAXI POR ELLOS CONTRATADO Y LOS PILOTOS PERMANECEN CON LA AERONAVE. SEGUIDAMENTE, DEL CONTROL SOLICITADO POR ESTA UOSP SAN FERNANDO A INTERPOL, RESULTANDO QUE EL CIUDADANO PARAGUAYO DAVALOS PEREZ TIENE VIGENTE UN PEDIDO DE CAPTURA. SIENDO ESTE UNO DE LOS PASAJEROS QUE SE HABIA RETIRADO. SIENDO LAS 1745 HORAS Y, A FIN DE CONTACTARSE NUEVAMENTE CON LOS PILOTOS, EL SEÑOR DAVALOS, RETORNA AL AEROPUERTO, MOMENTO EN EL QUE SE PROCEDE A CUMPLIMENTAR LA ORDEN DE CAPTURA. LUEGO DE VARIOS INTENTOS, SE LOGRA LA COMUNICACION TELEFONICA CON EL TRIBUNAL INTERVINIENTE QUIEN ORDENA, SIENDO LAS 22:55 HORAS SE CUMPLIMENTE CON LA DETENCION DEL CAUSANTE, Y SE PROCEDE AL TRASLADO DEL DETENIDO A LA UOSP METROPOLITANA DONDE QUEDARA ALOJADO HASTA NUEVAS DIRECTIVAS DEL JUZGADO INTERVINIENTE. SE INFORMA EN PU Nº 8059 DEL DIA 17/12/10 SIENDA LAS 2105 HORAS SE PROCEDE A CUMPLIMENTAR LO ORDENADO POR EL JUZGADO INTERVINIENTE PROCEDIENDOSE AL TRASLADO DEL CAUSANTE A LA U 28 DEL S. P. F.</t>
  </si>
  <si>
    <t>DR. RAMON LUCIO CORNET</t>
  </si>
  <si>
    <t>45/03</t>
  </si>
  <si>
    <t>EN EL DIA DE LA FECHA SIENDO LAS 01:20 HORAS SE PROCEDIO A DAR CUMPLIMIENTO A LA ORDEN DE SERVICIO Nº 943/10 DE LA URSA I DEL ESTE, EL CUAL DISPONE QUE SE PROCEDA A ALOJAR EN ESTA DEPENDENCIA AL SEÑOR DAVALOS PEREZ HUGO, CON CI PARAGUAYA Nº 427.137, QUIEN SE ENCUNTRA EN CALIDAD DE DETENIDO COMUNICADO EN VIRTUD DE CAUSA Nº 45-03, CARATULADA -CONTRABANDO AGRAVADO- QUE SE TRAMITA ANTE EL TRIBUNAL ORAL EN LO CRIMINAL FEDERAL Nº 01 DE CORDOBA, SECRETARIA DEL DR. RAMON LUCIO CORNET. SE PROCEDIO A TOMAR HUELLAS DACTILOSCOPICAS Y VISTAS FOTOGRAFICAS.-</t>
  </si>
  <si>
    <t>EN EL DIA DE LA FECHA SE PRESENTA ANTE ESTA PREVENCION EL DECLARANTE MANIFESTANDO EL EXTRAVIO DE SU PERMISO PERSONAL PERMANENTE SNA N° 331372 CON LOS SECTORES 3-4-5 FECHA DE VENCIMIENTO 02-06-2011. EL EXPONENTE NO PUEDE PRECISAREL LUGAR NI EL MOMENTO DEL EXTRAVIO.</t>
  </si>
  <si>
    <t>LESA HUMANIDAD</t>
  </si>
  <si>
    <t>EXP. Nº 04/07</t>
  </si>
  <si>
    <t>EN EL DIA DE LA FECHA SE HACE PRESENTE EN ESTA DEPENDENCIA POLICIAL EL SR. TOMAS HERMOGENES CARRIZO QUIEN SE IDENTIFICA CON D.N.I. Nº 4.284.511 DE NACIONALIDAD ARGENTINO, EL CUAL SE PRESENTE A LOS EFECTOS DE CUMPLIMENTAR LA ORDEN EMANADA POR EL MAGISTRADO ACTUANTE, SE CERTIFICA LA PRESENCIA POR PARTE DEL FUNCIONARIO POLICIAL ACTUANTE EN ESTE ACTO.-</t>
  </si>
  <si>
    <t>8033/10</t>
  </si>
  <si>
    <t>EN RELACIÓN A EXTRAVÍO DE PERMISO PERSONAL PERMANENTE SNA N° 331372 CON LOS SECTORES 3-4-5 FECHA DE VENCIMIENTO 02-06-2011 SE PRESENTO EL EXPONENTE MANIFESTANDO QUE EN LA CUIDAD DE BAHÍA BLANCA, PCIA DE BS AS COMPAÑEROS DE TRABAJO DE LA EMPRESA A LA CUAL EL PERTENECE LE INFORMARON QUE SU PERMISO PERSONAL FUE ENCONTRADO EN LA BODEGA DE UNA DE LAS AERONAVES PROVENIENTES DE LA CIUDAD DE CÓRDOBA Y QUE EN TRANSCURSO DE LOS DÍAS LA ENVIARÍAN A ESTE AEROPUERTO CORDOBA. DRICA II - MEDIANTE ASUNTO 4035/2010 DEL 23-12-2010 LA UOSP GENERADORA NOS INFORMAN QUE SE PUDO CONSTATAR TELEFONICAMENTE CON EL EXPONENTE LA CONFIRMACION QUE SE ENCUENTRA EN SU PODER LA CREDENCIAL HALLADA.</t>
  </si>
  <si>
    <t>MONICA M IGUIÑIZ</t>
  </si>
  <si>
    <t>DE BONA SARTOR, ANDERSON ,HUAMAN MENDIETA, MAGDA YNES S/INF. LEY 22415 EN TENTATIVA</t>
  </si>
  <si>
    <t>1757/2010</t>
  </si>
  <si>
    <t>S/INF. LEY 22415</t>
  </si>
  <si>
    <t>JUZGADO NACIONAL EN LO PENAL ECONOMICO N° 8, SECRETARIA N° 16.</t>
  </si>
  <si>
    <t>AMBITO C.A.B.A.</t>
  </si>
  <si>
    <t>EN EL DIA DE LA FECHA SE RECIBE OFICIO JUDICIAL ORDENANDO TAREAS INVESTIGATIVAS SOBRE LOS ELEMENTOS DE INFORMATICA SECUESTRADOS Y SOBRE LA DOCUMENTACION QUE SE ENCUENTRA EN SEDE JUDICIAL A LA CUAL SE DEBERA EXTRAER LAS FOTOCOPIAS NECESARIAS, A FIN DE CONFECCIONAR UN INFORME CONCLUSIVO DE ACUERDO A LAS PAUTAS INDICADAS POR EL JUZGADO INTERVINIENTE.</t>
  </si>
  <si>
    <t>DENUNCIA DE EXTRAVIO PERMISO PERSONAL</t>
  </si>
  <si>
    <t>EN EL DIA DE LA FECHA, 17 DE DICIEMBRE DE 2010, SIENDO LAS 18:00 HS SE HACE PRESENTE EN LAS OFICINAS DE IDENTIFICACION Y REGISTRO DE ESTA UOSP EL SR CORREGIDOR MARIANO ANTONIO, QUIEN ACREDITO SU IDENTIDAD CON DNI Nº 32678392, QUIEN SE DESEMPEÑA COMO EMPLEADO DE LA EMPRESA UMARE, A FIN DE INFORMAR EL EXTRAVIO DEL PERMISO DE SEGURIDAD AEROPORTUARIO Nº 349346 CON VENCIMIENTO EN FECHA 07/03/2011. EL MISMO SE PRODUJO EL DIA DE HOY AL MOMENTO DE REALIZAR TRABAJOS DE LIMPIEZA Y MOVIMIENTO DE HERRAMIENTAS EN EL PREDIO DE ESTE AEROPUERTO, AGREGO ADEMAS, QUE EL EXTRAVIO SE PRODUJO DE FORMA CONJUNTA CON UN CELULAR DE MARCA LG DE COLOR NEGRO MODELO GW550 H Y UNA TARJETA DE CAJA DE AHORRO MAESTRO A SU NOMBRE, SIN QUE PUDIERA PRECISAR MAYORES DATOS DEL LUGAR O LAS CIRCUNSTANCIAS EN EL QUE SE PRODUJO EL MISMO.</t>
  </si>
  <si>
    <t>SE DETALLAN EN CAMPO DE OBSERVACIONES DE LA SUSTANCIA</t>
  </si>
  <si>
    <t>EN MOMENTOS EN QUE PERSONAL POLICIAL SE ECONTRABA REALIZANDO FISCALIZACIÓN MEDIANTE MAQUINA DE RAYOS X, SOBRE LA CARGA A DESPACHAR PARA EL VUELO DE MENCION, INFORMA QUE OBSERVÓ ATRAVES DE LA PANTALLA DEL MONITOR, QUE DENTRO DE DOS SACAS DE LA EMPRESA CORREO ARGENTINO, ERAN HABIDAS VARIAS CAJAS DE DISTINTAS DIMENSIONES LAS CUALES CONTENÍAN EN SU INTERIOR UNA SUSTANCIA ORGÁNICA, QUE SE VISUALIZABA DE COLOR ANARANJADO Y EN FORMA COMPACTA, NO SIENDO SER POSIBLE DETERMINAR FEHACIENTEMENTE DE QUE SUSTANCIA SE TRABABA. POR TAL MOTIVO, SE ENTABLO COMUNICACIÓN CON LA JUDICATURA INTERVINIENTE Y PREVIA AUTORIZACIÓN DE LA MISMA, SE PROCEDIO A EFECTUAR LA REQUISA DE LAS MISMAS, OBTENIÉNDOSE COMO RESULTADO QUE EN TRES (03) ENVIOS DE LA SACA 1 Y EN UN (01) ENVIO DE LA SACA 2 SE ENCONTRABAN DIFERENTES PAQUETES QUE SOMETIDOS A REACTIVO ORIENTATIVO PARA LA SUSTANCIA MARIHUANA, ARROJARON RESULTADO POSITIVO.</t>
  </si>
  <si>
    <t>AR 2634</t>
  </si>
  <si>
    <t>EN EL DIA DE LA FECHA SIENDO LAS 15:30 HS SE IMPLEMENTA OPERATIVO DE SEGURIDAD REFERENTE A LA PARTIDA DE LA SRA PRESIDENTE DE LA NACION , QUIEN ARRIBA A ESTA AEROESTACION A LAS 19:28 HS EN EL HELICOPTERO MATRICULA H-02 PARA POSTERIOMENTE PARTIR A LAS 19:45 HS EN LA AERONAVE MATRICULA T-01 CON DESTINO A LA CIUDAD DE RIO GALLEGOS. FINALIZANDO EL OPERATIVO DE SEGURIDAD A LAS 19:55 HS SIN NOVEDAD</t>
  </si>
  <si>
    <t>SE PROCEDE A LA RETENCION DE UNA SACA COLECTORA DEL CORREO OFICIAL, SEGUN CONSTA EN ACTA DE RETENCION DE CARGA 523/10, QUE ORIGINA LA PREVENCION SUMARIA 120/10, LA SACA IDENTIFICADA CON MARBETE SLA0210918D343400MDZ, PRECINTO Nº E350988, CON UN PESO DECLARADO DE 22,100 KGS., CON DESTINO A LA CIUDAD DE MENDOZA, CONTENDRIA TRES PIEZAS POSTALES. LA MISMA ESTA AMPARADA EN GUIA DE CARGA Nº 6461084-0, DESPACHADA A TRAVES DE LA EMPRESA DE CARGA JET PAQ. LA RETENCION SE REALIZA ANTE LA PRESUNCION QUE PUDIERAN CONTENER ALGUN ELEMENTO EN INFRACCION A LA LEY 23737 Y/0 22415, QUEDANDO LA MISMA CERRADA Y PRECINTADA EN GUARDA EN ESTA UOSP. SEGUN LO COORDINADO CON LA DRA. MARIA ISABEL FALU A CARGO DE LA SEGRECTARIA PENAL Nº 4 DEL JUZGADO FEDERAL DE SALTA Nº 2 A CARGO DEL DR. MIGUEL ANTONIO MEDINA. LA APERTURA SE REALIZARA EN PRESENCIA DEL PERSONAL DEL CORREO OFICIAL.</t>
  </si>
  <si>
    <t>7945/10</t>
  </si>
  <si>
    <t>SALTA CAPITAL Y LOCALIDAD DE METAN</t>
  </si>
  <si>
    <t>SE AMPLIA PARTE N° 7945. DE FECHA 14 DE DICIEMBRE DE 2010. SE INFORMA QUE LUEGO DE UNA REUNION MANTENIDA CON EL SECRETARIO DEL TRIBUNAL Y DE ACUERDO A LOS ELEMENTOS PROBATORIOS DE DICHA INVESTIGACION, EN EL DIA DE LA FECHA SE RECIBEN SIETE ORDENES DE ALLANAMIENTO CON CINCO DETENCIONES DE FECHA 17-DIC-10, EN EL MARCO DE LA CAUSA DE REFERENCIA TRAMITADA ANTE EL JUZGADO FEDERAL DE SALTA N° 1 A CARGO DEL DR. JULIO LEONARDO BAVIO, SECRETARIA PENAL N° 2 A CARGO DEL DR. SANTIAGO FRENCH, POR EL CUAL DISPONE QUE PERSONAL DE ESTA FURZA PROCEDA A REALIZAR LA SIGUIENTES DILIGENCIAS: 1- ALLANAMIENTO DEL DOMICILIO UBICADO EN CALLE 9 DE JULIO N° 485 DE LA LOCALIDAD DE METAN PROVINCIA DE SALTA, REQUISA DE LOS VEHICULOS DOMINIO HSL-859 Y DRX-820, LA DETENCION DE SANDRA ESTHER JEREZ Y EL SECUESTRO DE CARTA DE PORTE Y DE TODA DOCUMENTACION Y ELEMENTOS QUE SEAN DE INTERES PARA LA CAUSA 2- ALLANAMIENTO DEL DOMICILIO UBICADO EN CALLE 9 DE JULIO N° 487 DE LA LOCALIDAD DE METAN DONDE POSEE SU ESTUDIO CONTABLE SANDRA ESTHER JEREZ, A LOS EFECTOS DE SECUESTAR CARTAS DE PORTE Y DE TODA DOCUMENTACION DE INTERES PARA LA CAUSA 3- ALLANAMIENTO DEL DOMICILIO DE CALLE SANTA FE N° 14 ESQUINA 9 DE JULIO DE LA LOCALIDAD DE METAN PROVINCIA DE SALTA, DONDE FUNCIONARIA UN CYBER, DETENCION DE SU MORADOR OSCAR FABIAN ORTEGA, SECUESTRO DE CARTA DE PORTE Y DE TODA DOCUMENTACION Y ELEMENTOS QUE SEAN DE INTERES PARA LA CAUSA. 4- ALLANAMIENTO EN DOMICILIO UBICADO EN CALLE BELGRANO N° 551 DE LA LOCALIDAD DE META PROVINCIA DE SALTA, REQUISA DEL VEHICULO DOMINIO HVJ-864 Y DETENCION DE LORENA ERICA NATALIA SCARANO, SECUESTRO DE CARTAS DE PORTE Y DOCUMENTACION DE INTERES PARA LA CAUSA. 5- ALLANAMIENTO EN DOMICILIO UBICADO EN CALLE 9 DE JULIO N°692 DE LA LOCALIDAD DE METAN PROVINCIA DE SALTA, DETENCION DE VICTOR HUGO SOTO, SECUESTRO DE CARTAS DE PORTE Y TODA DOCUMENTACION DE INTERES PARA LA CAUSA. 6- ALLANAMIENTO DEL DOMICILIO UBICADO EN SALTA CAPITAL, CALLE MENDOZA CON LAS NUMERACIONES 1963 Y 1965 QUE SE OBSERVAN EN SU FRENTE, REQUISA DE UN VEHICULO DOMINIO GEJ-645 Y OTROS RODADOS QUE SE ENCUENTREN EN ESE DOMICILIO, DETENCION DE MARIO RICARDO ORQUERA Y EL SECUESTRO DE CARTAS DE PORTE, DOCUMENTACION Y ELEMENTOS QUE SEAN DE INTERS PARA LA CAUSA. 7- ALLANAMIENTO DEL DOMICILIO UBICADO CAMINO A LA ISLA DISTANTE A 4,5 KM DE LA AVENIDA TAVELLA DE LA CUIDAD DE SALTA CAPITAL, FRENTE AL BARRIO LOS PINARES, DONDE FUNCIONA LA EMPRESA LOS TARCOS S.R.L., A LOS FINES DE SECUESTRAR CARTAS DE PORTE Y TODA DOCUMENTACION DE INTERES PARA LA CAUSA. PARA DICHAS DILIGENCIAS SE CONTARA CON LA COLABORACION DEL PERSONAL IDONEO DE LA AFIP-DGI SALTA, QUIENES SE ENCUENTRAN AUTORIZADOS A PRESENCIAR EL ALLANAMIENTO Y REQUISA. FINALMENTE EL TRIBUNAL ACTUANTE HACE SABER QUE LA DOCUMENTACION, EQUIPO DE COMPUTACION Y SOPORTE TECNICO QUE SE SECUESTREN DEBERAN PERMANECER DEPOSITADOS EN DEPENDENCIAS DE ESTA FUERZA.</t>
  </si>
  <si>
    <t>SE CONFECCIONA EL PRESENTE A LOS EFECTOS DE IN FORMAR QUE SIENDO LAS 22:45 HORAS LOCAL ARRIBA A ESTE AEROPUERTO AERONAVE PRESIDENCIAL T-01, TRASLADANDO A LA SEÑORA PRESIDENTE DE LA NACION DRA. CRISTINA FERNANDEZ KIRCHNER Y COMITIVA.</t>
  </si>
  <si>
    <t>JUZGADO CORRECCIONAL N° 2 DE TRENQUE LAUQUEN</t>
  </si>
  <si>
    <t>CRESPO</t>
  </si>
  <si>
    <t>HERNAN JOSE</t>
  </si>
  <si>
    <t>BINDER ADRIAN CESAR S/USO DE DOCUMENTO PUBLICO FALSIFICADO</t>
  </si>
  <si>
    <t>3290/08 -970- IPP 52.272</t>
  </si>
  <si>
    <t>SIENDO LA HORA Y LA FECHA ANTES MENCIONADA EN MOMENTOS DE REALIZARSE EL CONTROL DE LOS PASAJEROS DEL VUELO DE MENCION, SE PRESENTA EN EL PUNTO DE INSPECCION Y REGISTRO DE ESTE MEDIO EL CIUDADANO ADRIAN CESAR BINDER, EL CUAL ES CHEQUEADO EN EL SISTEMA RED LINCE, Y PESA SOBRE EL MISMO UNA ORDEN DE CAPTURA DEL JUZGADO CORRECCIONAL N° 2 DE TRENQUE LAUQUEN, POR LO QUE SE MANTIENE COMUNICACION CON EL JUZGADO REQUIRENTE QUIEN ORDENA SE PROCEDA A LA DETENCION DEL MENCIONADO EN CARACTER DE COMUNICADO. SIENDO LAS 2105 HORAS SE RECIBE VIA FAX OFICIO JUDICIAL S/N DE FECHA 9 DE FEBRERO DEL AÑO EN CURSO QUE ORDENA DICHA MEDIDA. SIENDO LAS 2155 HORAS SE RECIBE VIA FAX OFICIO S/N DEL DIA 17 DEL CORRIENTE MES Y AÑO QUE ORDENA LA INMEDIATA LIBERTAD PREVIAS CONSULTAS RESPECTO DEL DOMICILIO ACTUAL DEL IMPUTADO, N° TELEFONICO Y NOTIFICACION DE LA AUDIENCIA PREELIMINAR A LLEVARSE A CABO EL 29 DE DICIEMBRE DEL CORRIENTE AÑO A LAS 0930 HORAS EN SEDE TRIBUNALICIA. EL CIUDADANO SE RETIRA 2300 HORAS POR SUS PROPIOS MEDIOS SIN NOVEDAD.</t>
  </si>
  <si>
    <t>AU 2647</t>
  </si>
  <si>
    <t>TRESSERRAS MARCIA ESTELA Y OTRO S/TENTATIVA DE CONTRABANDO DE ESTUPEFACIENTES</t>
  </si>
  <si>
    <t>GORRITI 4827, PLANTA BAJA, DPTO. 2.- C.A.B.A</t>
  </si>
  <si>
    <t>EN CUMPLIMIENTO A ORDEN DE SERVICIO Nº 1448 EN EL DIA DE LA FECHA SE PROCEDE A DAR CUMPLIMIENTO A LA ORDEN DE ALLANAMIENTO EN LA FINCA INDICADA, PROCEDIENDOSE A SECUESTRAR LOS ELEMENTOS ABAJO DETALLADOS. SE DEJA CONSTANCIA QUE AL MOMENTO DEL INGRESO LA FINCA SE ENCONTRABA SIN OCUPANTES. CON RELACION AL SECUESTRO DE PICADURA DE MARIHUANA Y SEMILLAS DE MARIHUANA, SE DEJA CONSTANCIA QUE NO SE REALIZA PESAJE DEBIDO A LA ESCASA CANTIDAD DE SUSTANCIA EN RELACION A SU ELEMENTO CONTENEDOR.</t>
  </si>
  <si>
    <t>EN EL COMPARTIMIENTO SOBRE EL ASIENTO Nº 11-A/B.</t>
  </si>
  <si>
    <t>DENTRO DE LA AERONAVE.</t>
  </si>
  <si>
    <t>SIENDO LAS 13:00 HS DEL DIA 17 DEL CORRIENTE MES Y AÑO, SE HACE PRESENTE EN ESTA GUARDIA DE PREVENCIÓN, UN PASAJERO INFORMANDO QUE EL DÍA 16 DEL CORRIENTE MES, ARRIBO A AEROPARQUE PROVENIENTE DE LA PROVINCIA DE CORRIENTES, EN EL VUELO AR 2752, DE LA EMPRESA AEROLÍNEAS ARGENTINAS, CON ESCALA EN POSADAS. AL ABORDAR LA AERONAVE LO HIZO SOLAMENTE CON EL EQUIPAJE DE MANO, COMPRENDIDO POR UN (01) PORTA TRAJE Y UN (01) BOLSO PORTA NOTEBOOK QUE CONTENIA LOS ELEMENTOS FALTANTES COLOCANDOLOS EN EL COMPARTIMIENTO UBICADO SOBRE EL ASIENTO NUMERO 11 A - B, YA QUE EL CORRESPONDIENTE A SU ASIENTO, 18-B, NO TENIA LUGAR. AL LLEGAR A BUENOS AIRES, BUSCO SU EQUIPAJE DE MANO, PERCATÁNDOSE EN ESE MOMENTO DEL FALTANTE DE SU BOLSO PORTA NOTEBOOK. SEGUIDAMENTE SE DIRIGIÓ A LA OFICINA DE RECLAMOS DE LA EMPRESA, EN DONDE LE INFORMAN QUE NO PODÍAN TOMARLE EL MISMO YA QUE NO ERA UN EQUIPAJE DESPACHADO, MOTIVO POR EL CUAL RADICA LA CORRESPONDIENTE DENUNCIA.</t>
  </si>
  <si>
    <t>AR2752</t>
  </si>
  <si>
    <t>FRENTE A LA PUERTA DE EMBARQUE Nº 07.</t>
  </si>
  <si>
    <t>SALA DE ESPERA DEL PREEMBARQUE NACIONAL</t>
  </si>
  <si>
    <t>SIENDO EL DIA 17 DEL CORRIENTE MES Y AÑO,A LAS 10:30 HORAS, SE RECIBE COMUNICACIÓN VÍA RADIAL POR PARTE DE LA OFICIAL BENITEZ PABLA, ENCARGADA DE LA TERMINAL III, INFORMANDO QUE UN PASAJERO QUE DEBÍA TOMAR EL VUELO Nº 4240, DE LA EMPRESA LAN CON DESTINO A LA PROVINCIA DE MENDOZA, ALEGABA HABER SIDO VICTIMA DE UN HECHO DELICTIVO, MANIFESTANDO QUE CUANDO ESPERABA CERCA DE LA PUERTA DE EMBARQUE NÚMERO 7, LE HABRÍAN CAMBIADO SU MALETÍN PORTA NOTEBOOK QUE CONTENIA LOS ELEMENTOS SUSTRAIDOS, POR UN BOLSO COLOR NEGRO CONTENIENDO ROPAS VARIAS. SEGUIDAMENTE SE LO INVITA AL PASAJERO A RADICAR LA CORRESPONDIENTE DENUNCIA, POR LO QUE INDICA QUE DEBÍA TOMAR SU VUELO, DEJANDO EN EL PREEMBARQUE EL MALETÍN QUE LE HABRÍAN INTERCAMBIADO. SIENDO LAS 16:50 HORAS SE REALIZA COMUNICACIÓN CON LA FISCALIA, LA CUAL DISPUSO: SECUESTRO DEL MALETÍN TIPO PORTA NOTEBOOK, APOYO TECNOLÓGICO, TESTIMONIAL A LA ENCARGADA DEL PREEMBARQUE NACIONAL, CIERRE Y ELEVE DE LAS ACTUACIONES.</t>
  </si>
  <si>
    <t>DR. LUCIO CORNET</t>
  </si>
  <si>
    <t>45-D-2003</t>
  </si>
  <si>
    <t>DESDE ESTE AEROPARQUE HASTA LA U 28.</t>
  </si>
  <si>
    <t>SIENDO LAS 21:05 HORAS, DEL DIA 17 DEL CORRIENTE MES Y AÑO, LUEGO DE REALIZARLE PRECARIO MEDICO DE EGRESO DE LA DEPENDENCIA, SIN NOVEDAD Y SEGÚN LO ORDENADO POR LA JUDICATURA ACTUANTE SE PROCEDE AL TRASLADO EN MÓVIL DE DOTACIÓN, COMISIONANDO A LOS OFICIALES RODOLFO RIJTER Y GABRIEL DIEGUEZ, A LA U 28, DEL SEÑOR HUGO ALFONSO DÁVALOS PÉREZ, EN CALIDAD DE COMUNICADO. SIENDO LAS 00:30 HORAS REGRESA MÓVIL DE DOTACIÓN, COMISIONADO PARA EL TRASLADO, SIN NOVEDAD.</t>
  </si>
  <si>
    <t>POLICIA DE SEGURIDAD AEROPORTUARIA COMODORO RIVADAVIA S/ AV. PSTA. INF. LEY 23.737</t>
  </si>
  <si>
    <t>CALLE URQUIZA Nº 879, CIUDAD DE COMODORO RIVADAVIA , PROVINCIA DE CHUBUT</t>
  </si>
  <si>
    <t>SIENDO LAS 19:00 HS. DEL DIA 15-DIC-2010, SE RECEPCIONA OFICIO JUDICIAL Nº 3027/10 PROCEDENTE DEL JUZGADO FEDERAL DE LA CIUDAD DE COMODORO RIVADAVIA DIRIGIDO AL OFICIAL JEFE MARCELO MUSSIO DE LA UOCN Y DC V ORDENANDO COLABORAR E INTERVENIR EN ALLANAMIENTO ENCOMENDADO A LA DELEGACION DE POLICIA FEDERAL ARGENTINA DE LA CIUDAD DE COMORODO RIVADAVIA EN LA FINCA SITO EN CALLE URQUIZA 879 DE LA MENCIONADA CIUDAD.</t>
  </si>
  <si>
    <t>8052/10</t>
  </si>
  <si>
    <t>EN EL DÍA DE LA FECHA SE PROCEDE A LA APERTURA DE UNA SACA COLECTORA DEL CORREO OFICIAL, SEGÚN CONSTA EN ACTA DEJANDO CONSTANCIA NRO 524/10, QUE FUE RETENIDA EL 17/12/10 SEGÚN ACTA DE RETENCION 523/10, CORRESPONDIENTE A LA PREV. SUM. 120/10. LA SACA IDENTIFICADA COMO SLA0210918D343400MDZ, PRECINTO Nº E350988, CONTENIENE CUATRO PIEZAS POSTALES: LA 1ª EP691909571AR, RTTE: EUFRACIO HUAILLA HUAYGUA, SAN MARTIN 678, D.N.I 93941561, DEST: HUAYGUA HUDILLA EUFRACIO, SAN MARTIN 678, POSTE RESTANTE, MENDOZA, C.P 5500, QUEDA RETENIDA. LA 2ª EP691909585AR, RTTE EUFRACIO HUAYGUA HUDILLA GUAYMAYEN 524, MENDOZA, C.P 5500 D.N.I 43391509. DEST: GABRIEL CESAR LOPEZ SAN MARTIN 678, POSTE RESTANTE, MENDOZA, C.P 5500, QUEDA RETENIDA. LA 3ª EP691909608AR, RTTE: SEBASTIAN CONDORI, UGARTECHE S/N, D.N.I 36372414, MENDOZA, C.P 5500 DEST: YUAQUIN BASQUEZ, SAN MARTIN 678, POSTE RESTANTE, MENDOZA, C.P 5500, LA MISMA QUEDA RETENIDA. LA 4ª EP691909611AR, RTTE: VERONICA LOPEZ, UGARTECHE S/N, MENDOZA, C.P 5500, D.N.I 34172736, DEST: JORGE HUMBERTO LOPEZ, SAN MARTIN 678, MENDOZA, C.P 5500 QUEDA RETENIDA. LAS MISMAS SE REALIZAN ANTE LA PRESUNCION DE QUE PUDIERAN CONTENER ALGUN ELEMENTO EN INFRACCION A LA LEY 23737 Y/O 22415. QUEDANDO LAS MISMAS CERRADAS Y EN GUARDA EN ESTA UOSP. LAS APERTURAS SE REALIZARAN CON LA AUTORIZACION DEL MAGISTRADO ACTUANTE.</t>
  </si>
  <si>
    <t>SIENDO LAS 15:20 HORAS ATERRIZA VUELO MATRICULA LV-BEW DE LA EMPRESA SOL, TRANSPORTANDO A SS AA RR PRINCIPE GUILLERMO DE ORANGE, PRINCESA MAXIMA DE LOS PAISES BAJOS Y LAS PRINCESAS AMALIA, ALEXIA Y ARIANE. FINALIZANDO 15:40 HORAS EL OPERATIVO, SEGUN ORDEN DE SERVICIO NRO 32/10, SIN NOVEDAD.</t>
  </si>
  <si>
    <t>SIENDO LAS 08:10 HORAS CIERRA EL AEROPUERTO CORDOBA POR METEOROLOGIA . A LAS 09:40 HORAS SE HABILITAN DESPEGUES UNICAMENTE. VUELO IB6849 DE IBERIA, PROCEDENTE DE MADRID ES DESVIADO A EZEIZA. VUELO FUE REPROGRAMADO PARA LAS 09:00 HORAS DEL 19DIC10. A LAS 16:05 HORAS SE ABRE EL AEROPUERTO CORDOBA PARA TODAS LAS OPERACIONES AEREAS</t>
  </si>
  <si>
    <t>DRA. DE ROSA VERONICA</t>
  </si>
  <si>
    <t>CORRUPCION DE MENORES</t>
  </si>
  <si>
    <t>INFORMO QUE EN EL CONTROL DE DOCUMENTACION DE PASAJEROS DEL VUELO Nº 2729 DE LA EMPRESA AUSTRAL LINEAS AEREAS SE DETECTA A TRAVES DEL SISTEMA DE INTERPOL EL PEDIDO DE PARADERO VIGENTE SOLICITADO POR EL JUZGADO NACIONAL CRIMINAL DE INSTRUCCION Nº 34 SECRETARIA Nº 117 CORRESPONDIENTE A LA SRA. GONZALEZ KARINA ELIANA, A CONTINUACION SE RECIBE ACTA DE INTERPOL Y SE PROCEDE A NOTIFICAR A LA CAUSANTE QUE DEBE COMPARECER ANTE SEDE TRIBUNALICIA DENTRO DE LOS PROXIMOS CINCO DIAS HABILES PARA REGULARIZAR SU SITUACION JUDICIAL, DANDO CUMPLIMINETO CON LO REQUERIDO POR EL JUZGADO SOLICITANTE DE LA MEDIDA</t>
  </si>
  <si>
    <t>JUZGADO NACIONAL DE PRIMERA INSTANCIA EN LO CIVIL Nº 76</t>
  </si>
  <si>
    <t>ALBORES</t>
  </si>
  <si>
    <t>MARIA CECILIA</t>
  </si>
  <si>
    <t>DE PIRRO NELIDA MABEL</t>
  </si>
  <si>
    <t>DENUNCIA VIOLENCIA FAMILIAR</t>
  </si>
  <si>
    <t>NOTIFICACIÓN PEDIDO DE PARADERO</t>
  </si>
  <si>
    <t>INFORMO QUE EN EL CONTROL DE DOCUMENTACION DE PASAJEROS DEL VUELO Nº 2735 DE LA EMPRESA AUSTRAL LINEAS AEREAS SE DETECTA A TRAVES DEL SISTEMA DE INTERPOL EL PEDIDO DE PARADERO VIGENTE SOLICITADO POR EL JUZGADO NACIONAL DE PRIMERA INSTANCIA EN LO CIVIL Nº 76 SECRETARIA DRA. DE PIRRO NELIDA MABEL CORRESPONDIENTE A LA SRA PONCE ROSANA BEATRIZ. ACTO SEGUIDO SE RECIBE ACTA DE INTERPOL Y SE PROCEDE A NOTIFICAR A LA CAUSANTE QUE DEBE COMPARECER EN SEDE TRIBUNALICIA DENTRO DE LOS PROXIMOS CINCO DIAS HABILES PARA REGULARIZAR SU SITUACION JUDICIAL, DANDO CUMPLIMIENTO CON LO REQUERIDO POR EL JUZGADO SOLICITANTE DE LA MEDIDA.</t>
  </si>
  <si>
    <t>EN CIRCUNSTANCIAS QUE EL OFICIAL PPAL. CABRERA SE ENCONTRABA REALIZANDO RECORRIDAS POR LEL SECTOR DE MENCION, ES ANOTICIADO POR EL PERSONAL DEL CENTRO OPERATIVO DE CONTROL (C.O.C) QUE EN DICHO SECTOR UNAPAERSONA DE SEXO MASCULINO SE ENCONTRABA OFRECIENDO SERVICIO DE MALETERO, SEGUIDAMENTE EL OFICIAL SE PRESENTA ANTE EL MASCULINO A QUIEN IDENTIFICA Y LE SOLICITA QUE EXHIBA LA AUTORIZACIÓN Y/O HABILITACIÓN CORRESPONDIENTE PARA EJERCER DICHA TAREA, MANIFESTANDO EL CAUSANTE NO POSEERLA. SEGUIDAMENTE SE PROCEDE A LA APREHENSIÓN PREVENTIVA DEL CAUSANTE A QUIEN SE LO TRASLADA HACIA SANIDAD Y LUEGO HACIA ESTE TURNO DE PREVENCION.-</t>
  </si>
  <si>
    <t>BODEGA AERONAVE / PLATAFORMA / CINTA DE ARRIBOS</t>
  </si>
  <si>
    <t>LA DENUNCIANTE ARRIBA A ESTA AEROESTACION Y EN MOMENTOS EN QUE RECOJE SU EQUIPAJE, CON MARBETE AR-40-88-26 NOTA QUE EL MISMO SE ENCONTRABA SIN EL CANDADO METALICO QUE LE HABIA COLOCADO Y CON LOS CIERRES APERTURADOS. SEGUIDAMENTE RECOGE EL MISMO Y SE DIRIGE HACIA LAS OFICINAS DE RECLAMOS DE EQUIPAJES DONDE REALIZA LA APERTURA DEL MISMO EN PRESENCIA DEL PERSONAL DE LA AEROLINEA, PERCATANDOSE DEL FALTANTE DE MENCION Y SEGUIDAMENTE REALIZA EL CORRESPONDIENTE RECLAMO. LUEGO DE ELLO RADICA LA DENUNCIA.-</t>
  </si>
  <si>
    <t>AR-1363</t>
  </si>
  <si>
    <t>SIENDO LA HORA Y LA FECHA ANTES MENCIONADA EN MOMENTOS EN QUE EL OFICIAL CABRERA REALIZABA RECORRIDA POR LA PERGOLA DE LA TERMINAL A, ES INFORMADO POR PERSONAL POLICIAL QUE SE ENCONTRABA CUMPLIENDO FUNCIONES EN EL CENTRO OPERATIVO DE CONTROL, QUE MEDIANTE LAS CAMARAS QUE SE ENCUENTRAN EN EL SECTOR DE MENCION, OBSERBA A UN MASCULINO DE UNOS 45 AÑOS APROXIMADAMENTE, VESTIDO EN LA OPORTUNIDAD CON CAMISA A CUADROS, PANTALON DE JEANS Y ZAPATOS, QUE SE ENCONTRABA OFRECIENDO SERVICIO DE TRANSPORTE PUBLICO A LOS PASAJEROS RECIEN ARRIBADOS AL PAIS. POR TAL MOTIVO EL OFICIAL CABRERA PROCEDE A IDENTIFICAR AL MASCULINO EN CUESTION SOLICITANDOLE QUE EXHIBA LA HABILITACION Y/O AUTORIZACION CORRESPONDIENTE PARA EJERCER DICHA TAREA, MANIFESTANDO EL MISMO NO POSEERLA. SEGUIDAMENTE SE CONDUCE AL INFRACTOR AL SERVICIO DE SANIDAD DE ESTE AEROPUERTO A FIN DE REALIZAR UN PRECARIO MEDICO DE ENTRADA SOBRE SU PERSONA PARA POSTERIORMENTE SER CONDUCIDO A LA GUARDIA DE PREVENCION A LOS EFECTOS DE LABRAR LAS ACTUACIONES CONTRAVENCIONALES CORRESPONDIENTES.</t>
  </si>
  <si>
    <t>DESDE LA HORA 18:12 EL AEROPUERTO INTERNACIONAL CORDOBA CERRO SUS OPERACIONES AEREAS PARA LAS AERONAVES DE CATEGORIA C Y D, POR METEOROLOGIA ADVERSA. PERMANECIENDO HABILITADAS LAS OPERACIONES DE LAS AERONAVES DE CATEGORIA A Y B. EL TURNO DE LA OFICINA DE INFORMACION DE VUELO ARO-AIS INFORMO QUE A LAS 21:00 HORAS EL AEROPUERTO INTERNACIONAL CORDOBA COMENZO A OPERAR SIN NOVEDAD, CON VISIBILIDAD DE 5000 METROS.</t>
  </si>
  <si>
    <t>DR. GUSTAVO NUÑEZ</t>
  </si>
  <si>
    <t>VERA JOSE FERNANDO S/DCIA</t>
  </si>
  <si>
    <t>SE INICIA PREVENCION SUMARIA Nº 0010/2010 CON INTERVENCION DEL MINISTERIO PUBLICO FISCAL DE LA CIUDAD DE TRELEW, SIENDO DAMNIFICADO EL SR. VERA JOSE FERNANDO D.N.I 30.175.906, EL CUAL DENUNCIO EL FALTANTE DE UN PAR DE ZAPATILLA MARCA NIKE DENTRO DE SU MOCHILA DESPACHADA COMO EQUIPAJE FACTURADO.EL DAMNIFICADO RADICA DENUNCIA EN ESTA SEDE POLICIAL MOMENTO DESPUES DE HABER ARRIBADO A ESTA CIUDAD EN VUELO DE AEROLINEAS ARGENTINAS Y HABER CONSTATADO EL FALTANTE.</t>
  </si>
  <si>
    <t>DR. EDUARDO LOCATELLI</t>
  </si>
  <si>
    <t>HERRERA JORGE EZEQUIEL S/DENUNCIA S/LESIONES</t>
  </si>
  <si>
    <t>11310/06</t>
  </si>
  <si>
    <t>MEZA MANUEL EDUARDO S/RESTRICCIÓN LIBERTAD</t>
  </si>
  <si>
    <t>DURANTE CONTROL DE RUTINA EN EL SECTOR DE PREEMBARQUE DEL VUELO AR 1879 DE LA EMPRESA AEROLINEAS ARGENTINAS SE IDENTIFICA AL SR. MANUEL EDUARDO MEZA, DNI 32.342.100 SOBRE QUIEN PESA UNA SOLICITUD DE PARADERO CON FIJACION DE DOMICILIO SEGUN REGISTRO DE RED LINCE N° 255389 . ASIMISMO EL SR MEZA PRESENTA ACTA DE NOTIFICACION N° 22/2008 REALIZADA POR ESTA PREVENCION . SE ENTABLA COMUNICACION TELEFONICA CON EL JUZGADO INTERVINIENTE EN LA PERSONA DE SU SECRETARIA DRA. VERONICA MARCHISIO A LOS EFECTOS DE SOLICITAR INFORMACION SOBRE EL PARADERO DE REFENCIA, QUIEN MANIFIESTA QUE DICHA CAUSA SE ENCUENTRA EN ARCHIVO, NO TENIENDO IMPEDIMENTO PARA CONTINUAR CON SU VIAJE. SE LABRA ACTA DEJANDO CONSTANCIA N° 034/2010.</t>
  </si>
  <si>
    <t>AR1879</t>
  </si>
  <si>
    <t>SECTOR DE CHECK IN DE LA EMPRESA AEROLINEAS ARGENTINAS</t>
  </si>
  <si>
    <t>HALL DE PARTIDAS TERMINAL B</t>
  </si>
  <si>
    <t>EN MOMENTOS EN QUE PERSONAL POLICIAL SE ENCONTRABA EFECTUANDO UN CONTROL PREVENTIVO EN LA TERMINAL "B", OBSERVO A 2 PASAJEROS, UN MASCULINO Y UN FEMENINO, QUE COINCIDIAN CON LA FISONOMIA DE AQUELLOS QUE FUERAN INFORMADOS POR LA URSA IV COMO POSIBLES MULAS. ANTE ESTA SITUACION EL PERSONAL POLICIAL PROCEDIO A ENTREVISTARSE CON LOS MISMOS, RESPONDIENDO ESTOS DE MANERA NERVIOSA Y DUBITATIVA ACERCA DE LOS MOTIVOS DE SU VIAJE, POR LO QUE SE PROCEDIO A TRASLADARLOS AL SERVICIO DE GUARDIA. UNA VEZ ALLI SE ENTABLO COMUNICACIÓN CON LA JUDICATURA INTERVINIENTE QUIEN DISPUSO QUE SE EFECTUE EL TRASLADO AL NOSOCOMIO CON EL FIN DE DETERMINAR SI AMBOS PASAJEROS SE ENCONTRABAN INGESTADOS. UNA VEZ EN EL HOSPITAL ZONAL DE EZEIZA "DR. ALBERTO EURNEKIAN", SE LES REALIZARON LOS ESTUDIOS MÉDICOS CORRESPONDIENTES, ARROJANDO ESTOS COMO RESULTADO QUE AMBOS PASAJEROS SE ENCONTRABAN INGESTADOS POR LO QUE QUEDARON INTERNADOS A FIN DE EXPULSAR LA TOTALIDAD DE LAS CAPSULAS.INFORMADO EL JUZGADO DISPUSO QUE LOS MISMOS PERMANEZCAN DETENIDOS EN CALIDAD DE INCOMUNICADOS. HASTA EL MOMENTO LA FEMENINO EFECTUO LA DEPOSICION Nº 1, 2 Y 3 Y EL MASCULINO LAS DEPOSICIONES 1 Y 2. SEGUN PU Nº 8081 DEL DIA 20/12/2010 SE INFORMA QUE EL DIA 19/12/2010 LA DETENIDA EFECTUO LAS DEPOSICIONES Nº 4, 5, 6, 7, 8 Y 9. EL DETENIDO EFECTUO LAS DEPOSICIONES Nº 3, 4 Y 5. SEGUN PU Nº 8125 DEL DIA 21/12/2010, SE INFORMA QUE EL DIA 20/12/2010 EFECTUO LA DEPOSICION Nº 10, 11, 12, 13 Y 14. ASI MISMO SE INFORMA QUE EL DETENIDO NO EFECTUO OTRA DEPOSICION. SEGUN PU Nº 8154 DEL DIA 21/12/2010, SE INFORMA QUE LA DETENIDA EFECTUO LAS DEPOSICIONES Nº 15 Y 16. EL DETENIDO EFECTUO LA DEPOSICION Nº 6. SEGUN PU Nº 8220 DEL DIA 24/12/2010, SE INFORMA QUE LA DETENIDA EFECTUO LA DEPOSICION Nº 17. SEGUN PU Nº 8250 DEL DIA 27/12/2010, SE INFORMA QUE SIENDO APROXIMADAMENTE LAS 07.00 HS. EL DETENIDO FUE TRASLADADO HACIA SEDE JUDICIAL. ASIMISMO LA DETENIDA FUE DADA DE ALTA DEL HOSPITAL INTERZONAL DE EZEIZA, INGRESANDO EN ESTA DEPENDENCIA ALREDEDOR DE LAS 11.30 HS. ESTA ULTIMA SERA TRASLADADA A SEDE JUDICIAL EL DIA 28 DEL CORRIENTE MES Y AÑO ALREDEDOR DE LAS 07.00 HS.</t>
  </si>
  <si>
    <t>DESDE LA HORA 06:10 EL AEROPUERTO INTERNACIONAL CORDOBA CERRO SUS OPERACIONES AEREAS PARA ARRIBOS POR METEOROLOGIA ADVERSA. EL TURNO DE LA OFICINA DE INFORMACION DE VUELO ARO-AIS INFORMO QUE A LAS 09:30 HORAS EL AEROPUERTO INTERNACIONAL CORDOBA COMENZO A OPERAR NORMALMENTE.</t>
  </si>
  <si>
    <t>EN MOMENTOS DE EFECTUARSE UN CONTROL PREVENTIVO SOBRE LOS EQUIPAJES DESPACHADOS POR LOS PASAJEROS DEL VUELO DE MENCION, EL PERSONAL POLICIAL ALLI DESTACADO, VISUALIZO EN LA PANTALLA DEL EQUIPO DE RX QUE EN EL INTERIOR DE UNA VALIJA TIPO CARRY ON ERA HABIDA SUSTANCIA ORGÁNICA DE BAJA DENSIDAD SIN PODER IDENTIFICAR FEHACIENTEMENTE DE QUÉ ELEMENTO SE TRATABA. POR TAL MOTIVO, SE CONVOCO LA PRESENCIA DE TESTIGOS HABILES Y DE LA PASAJERA PROPIETARIA DE DICHO EQUIPAJE Y SE TRASLADARON LOS INTERVINIENTES A LA GUARDIA DE PREVENCIÓN DONDE PREVIA AUTORIZACIÓN DE LA JUDICATURA INTERVINEINTE, SE EFECTUO LA REQUISA DE DICHO EQUIPAJE, MOMENTO EN EL CUAL SE VISUALIZÓ QUE DENTRO DE LA VALIJA SE HALLABA UN PORTAFOLIOS EN CUYO INTERIOR HABIA UNA TOTALIDAD DE 10 CARTONES, CON APARIENCIA DE FORMULARIOS QUE CONTENIAN EN SU INTERIOR PAQUETES CON UNA SUSTANCIA PULVERULENTA Y A SU VEZ SE CONSTATO QUE EN LOS LATERALES DEL PORTAFOLIO, MEDIANTE UNA ESPECIE DE DOBLE FONDO SE OCULTABAN 3 PAQUETES MAS. POR TAL MOTIVO, SE PRACTICO UN CORTE SOBRE CADA PAQUETE Y SE SOMETIO UNA PORCION DE LA SUSTANCIA A REACTIVO DE CAMPO PARA CLORHIDRATO DE COCAINA DANDO RESULTADO POSITIVO EN TODOS LOS CASOS.</t>
  </si>
  <si>
    <t>QR922</t>
  </si>
  <si>
    <t>SE CONFECCIONA EL PRESENTE A LOS EFECTOS DE INFORMAR QUE SIENDO LAS DIESICIETE HORAS CON CUATRO MINUTOS- 17:04 HS- SE PRODUCE EL DESPEGUE DE LA AERONAVE PRESIDENCIAL T-01 CON DESTINO A LA CIUDAD DE BUENOS AIRES TRANSPORTANDO A LA SEÑORA PRESIDENTE DE LA NACION DRA. CRISTINA FERNANDEZ DE KIRCHNER, EL SECRETARIO DE LEGAL Y TECNICA DR. ZANINI, LA SRA. MINISTRO DE DESARROLLO SOCIAL DRA. ALICIA KIRCHNER, LA SRTA, FLORENCIA KIRCHNER Y EL SR. MAXIMO KIRCHNER, ASIMISMO PERSONAL DE PROTOCOLO DE NACION Y CUSTODIAS. SIN NOVEDAD.-</t>
  </si>
  <si>
    <t>EN EL DIA DE LA FECHA SIENDO LAS 18:30 HS SE IMPLEMENTA OPERATIVO DE SEGURIDAD REFERENTE A LA LLEGADA DE LA SRA PRESIDENTE DE LA NACION , QUIEN ARRIBA A ESTA AEROESTACION A LAS 19:35 HS EN EL T-01 POSTERIORMENTE 19:40 HS PARTE EN EL HELICOPTERO MATRICULA H-02 , FINALIZANDO EL OPERATIVO DE SEGURIDAD A LAS 19:50 HS SIN NOVEDAD.</t>
  </si>
  <si>
    <t>BUENOS AIRES AEROPARQUE</t>
  </si>
  <si>
    <t>NAC DE 1º INST EN LO CRIMINAL DE INST Nº 25</t>
  </si>
  <si>
    <t>SECRETARIA N° 161</t>
  </si>
  <si>
    <t>JORGE MARASCO</t>
  </si>
  <si>
    <t>BODEGA DE AERONAVE DE LA EMPRESA PLUNA EN POSICION Nº 24</t>
  </si>
  <si>
    <t>SIENDO LA HORA MENCIONADA EL OF. AYUDANTE DI MUCCIO ES ANOTICIADO POR PERSONAL DE LA EMPRESA DE VIGILANCIA DE LA EMPRESA HAS, QUE DURANTE LA OPERATORIA DE CARGA DE LOS EQUIPAJES EL PERSONAL DE LA EMPRESA INTERCARGO CUBRIA LA OPERATORIA DENTRO DE LA BODEGA POR LO QUE LE PARECIO SOSPECHOSO, POSTERIORMENTE EL OFICIAL DI MUCCIO FRENTE AL PERSONAL DE LA EMPRESA HAS LE SOLICITA AL PERSONAL DE INTERCARGO QUE EXHIBA EL CONTENIDO DE SUS BOLSILLOS, SACANDO ESTE ELEMENTOS LOS CUALES NO PODIA ACREDITAR SU EXISTENCIA Y JUSTIFICAR PORQUE LOS TENIA CONSIGO. POSTERIORMENTE SE TRASLADA A TODOS LOS INTERVINIENTES A LA GUARDIA DE PREVENCION A FIN DE CONTINUAR CON LAS DILIGENCIAS DE RIGOR. A CONTINUACION SE ENTABLA COMUNICACION CON EL DR. DE CAMPOS EL CUAL ANOTICIADO DE LO SUCEDIDO ORDENA: QUE PERMANEZCA EL DETENIDO EN CARÁCTER DE COMUNICADO, CERTIFICADO MEDICO DE ENTRADA, REINCIDENCIA 353 BIS, IDGE, FOTOS DEL IMPUTADO FRENTE Y PERFIL, TRES JUEGOS DE FICHAS DACTILOSCÓPICAS PARA ANEXAR A LA CAUSA, ARTICULO 86 Y 197 CPPN, CONSTATACIÓN DE DOMICILIO FEHACIENTE, ART 26 Y 41, PLANILLA PRONTUARIAL, INFORME TÉCNICO Y VISTAS FOTOGRÁFICAS DE LOS OBJETOS SUSTRAÍDOS Y SECUESTRO DE LOS MISMOS, NOMINA DE PASAJEROS DEL VUELO Nº PU 118, NOMINA DE PERSONAL INTERVINIENTE EN LA ESTIBA DEL EQUIPAJE, TESTIMONIAL AL EMPLEADO DE SEGURIDAD PRIVADA Y AL FUNCIONARIO POLICIAL INTERVINIENTE, CON RESULTADO DE REINCIDENCIA 353 BIS REALIZAR NUEVA COMUNICACIÓN. SE INFORMA EN P.U. 8129 QUE EN HORAS 13 50 DEL DIA 20/12/2010 LA JUDICATURA DISPONE LA LIBERACION DEL CAUSANTE POR NO PRESENTAR IMPEDIMENTOS LEGALES, EL MISMO SE RETIRA CON LOS ELEMENTOS DE VALOR Y PERSONALES QUE ESTABAN EN RESGUARDO DE LA UNIDAD.</t>
  </si>
  <si>
    <t>PU 118</t>
  </si>
  <si>
    <t>SUPUESTA AVERIGUACION EN INFRACCION A LA LEY 23.737</t>
  </si>
  <si>
    <t>PLAYA DE ESTACIONAMIENTO DEL SECTOR ARRIBOS</t>
  </si>
  <si>
    <t>SIENDO HS. 21:50 SE PRESENTA EN ESTA DEPENDENCIA EL OFICIAL AUX. CRISTIAN ADRIAN GONZALEZ DE LA DIRECCIÓN GRAL. DE DROGAS PELIGROSAS DE LA POLICÍA DE LA PROV. DE SALTA, JUNTO A OTROS CINCO EFECTIVOS DE LA MISMA DIVISIÓN, MANIFESTANDO QUE DETECTARON EN LA PLAYA DE ESTACIONAMIENTO DE ARRIBOS DE ESTE AEROPUERTO SALTA UN VEHICULO MARCA NISSAN FRONTIER DOMINIO GSY760 DOBLE CABINA COLOR BLANCO LA CUAL ESTA SIENDO BUSCADA POR LA POLICÍA DE SALTA DIV. DROGAS PELIGROSAS EN LA CAUSA Nº 1428/10 CARATULADA -SUPUESTA AVERIGUACIÓN EN INFRACCIÓN A LA LEY 23.737- POR TAL MOTIVO A HS. 22:10 EL OF. MY MIGUEL FABIAN JEFE DE TURNO DE LA FECHA SE COMUNICA TELEFÓNICAMENTE CON LA DRA. MARIA ISABEL FALU A CARGO DE LA SEC. PENAL Nº 4 DEL JUZGADO FEDERAL DE SALTA Nº 2, LA CUAL DISPONE SE PROCEDA A PONER FAJAS DE SEGURIDAD EN TODOS LOS PUNTOS DE APERTURA DEL VEHICULO Y UNA CONSIGNA POLICIAL DE ESTA PSA, HASTA EL DÍA DE MAÑANA DONDE SE LIBRARA UNA ORDEN OFICIAL DE REQUISA. A HS. 22:30 SE PROCEDE A COLOCAR LAS FAJAS DE SEGURIDAD EN EL VEHICULO EN CUESTIÓN EN PRESENCIA DE DOS TESTIGOS HÁBILES Y DEJAR LA CONSIGNA POLICIAL HASTA QUE SE HAGA EFECTIVA LA ORDEN JUDICIAL. SEGÚN AMPL PU N° 8176/10 SIENDO LAS 13:40 HS. SE PRESENTA EL OF. AUX. CRISTIAN ADRIÁN GONZALEZ DE LA POLICÍA DE LA PROV. DE SALTA - DROGAS PELIGROSAS, JUNTO A OTROS 06 EFECTIVOS DE LA MISMA DIVISIÓN, CON CANES ANTINARCOTICOS, DE FRONTERA NORTE, CON OFICIO JUDICIAL S/N DEL JUZGADO FEDERAL DE SALTA Nº 2 EN EXPTE Nº 967/10, A FIN DE REALIZAR EL REGISTRO DE UN VEHICULO MARCA NISSAN FRONTIER, DOMINIO GSY760, QUE SE ENCONTRABA EN LA PLAYA DE ESTACIONAMIENTO DE ESTE AEROPUERTO, CON LA COLABORACIÓN DE PERSONAL DE ESTA UOSP, SIENDO LAS 13:50 HS. SE ESTABLECE COMUNICACIÓN CON LA DRA. MARIA ISABEL FALU A CARGO DE LA SECRETARIA PENAL Nº 4 DEL MENCIONADO JUZGADO, LA CUAL DISPONE QUE EL VEHICULO SEA REQUISADO Y PROCEDER AL SECUESTRO DE SUSTANCIAS ESTUPEFACIENTES, ELEMENTOS DESTINADOS A SU PREPARACIÓN, DOCUMENTACIÓN RELACIONADA Y TODO OTRO ELEMENTO DE INTERÉS PARA LA CAUSA. QUE EL MISMO SEA LLEVADO A LA DIRECCIÓN GRAL. DE DROGAS PELIGROSAS EN CARÁCTER DE SECUESTRO, SEAN HALLADOS O NO ELEMENTOS INCRIMINATORIOS, PARA SER RECLAMADO Y/O RETIRADO. EN PRESENCIA DE UN TESTIGO HÁBIL DE ACUERDO A LO DISPUESTO POR LA DRA. FALÚ. SEGÚN MANIFESTACIÓN DEL OF. AUX. GONZALEZ, SE PROCEDIÓ A DAR CUMPLIMIENTO AL OFICIO JUDICIAL, SE EXTRAJERON E INSPECCIONARON LAS CUATROS RUEDAS DE LA CAMIONETA CON EL EQUIPO DE RX DEL SCAN VAN DE DOTACIÓN, CON RESULTADO NEGATIVO. PERSONAL DE LA POLICÍA DE LA PROV. DE SALTA CONVOCO A UN CERRAJERO, QUIEN REALIZO LA APERTURA DE LAS 4 PUERTAS, PERSONAL DE FRONTERA NORTE CON CANES "VENUS" Y "MAK", REALIZAN EL TRABAJO RESPECTIVO, DESTACANDO QUE LA PERRA "VENUS" EN DOS OPORTUNIDADES SE DIRIGIÓ HACIA LA BASE DEL ASIENTO TRASERO DEL VEHICULO, DONDE RASGUÑÓ VARIAS VECES SOBRE EL TAPIZADO DEL MISMO, EN ACTITUD DE "MARCAR", EN TANTO QUE EL OTRO CAN NO SEÑALÓ NADA, SE PROCEDIÓ AL REGISTRO CON EL CAN "LAISA" GUIADA POR EL OF. PPAL. SERGIO BARRIONUEVO DE ESTA U.O.S.P. EL CUAL SEÑALÓ EL MISMO LUGAR DONDE "MARCÓ" LA PERRA "VENUS", SE PROCEDIÓ A EXTRAER EL ASIENTO PARA SER INSPECCIONADO CON EL EQUIPO DE RX DEL SCAN VAN DE ESTA UNIDAD, ARROJANDO RESULTADO NEGATIVO. LUEGO DE REQUISAR TODO EL VEHICULO SE HIZO SABER AL TESTIGO QUE SE HABÍA CONCLUIDO CON LA REQUISA. SE CONFECCIONO UN "INVENTARIO DE AUTOMOTOR", CON EL OBJETO DE DEJAR CONSTANCIA DEL ESTADO DEL VEHICULO, CONCLUYENDO CON EL PROCEDIMIENTO APROX. A LAS 16:30 HS.; A LAS 17:05 HS. EL OF. AUX. GONZALEZ SE COMUNICÓ TELEFONICAMENTE CON LA DRA. FALU INFORMANDO EL RESULTADO DEL REGISTRO DEL VEHICULO, TRASLADANDO EL MISMO A SU A SU SEDE POLICIAL PARA SU GUARDA, DANDO CUMPLIMIENTO A LO DISPUESTO POR EL MAGISTRADO ACTUANTE Y REALIZÁNDOSE LAS ACTUACIONES CORRESPONDIENTES.</t>
  </si>
  <si>
    <t>8074/10</t>
  </si>
  <si>
    <t>INFORMO QUE LA DETENIDA EFECTUO LAS SIGUIENTES DEPOSICIONES: EL DIA 19-12-10, SIENDO LAS 11:00 HS, DEPOSICION NUMERO 4 - CAPSULAS 12 - PESO 130GRS.-- EL DIA 19-12-10, SIENDO LAS 12:30 HS - DEPOSICION NUMERO 5 - CAPSULAS 4 - PESO 44 GRS -- EL DIA 19-12-10, SIENDO LAS 14:30 HS - DEPOSICION NUMERO 6 - CAPSULAS 6 - PESO 66 GRS, EL DIA 19-12-10, SIENDO LAS 15:15 HS - DEPOSICION NUMERO 7 - CAPSULAS 2 - PESO 22 GRS, EL DIA 19-12-10, SIENDO LAS 17:45 HS - DEPOSICION NUMERO 8 - CAPSULAS 4 - PESO 42 GRS, EL DIA 19-12-10, SIENDO LAS 19:20 HS - DEPOSICION NUMERO 9 - CAPSULAS 2 - PESO 22 GRS. ASIMISMO INFORMO QUE EL DETENIDO REALIZO LAS SIGUIENTES DEPOSICIONES: EL DIA 19-12-10, SIENDO LAS 10:30 HS - DEPOSICION NUMERO 3 - CAPSULAS 24 - PESO 258 GRS, EL DIA 19-12-10, SIENDO LAS 15:00 HS - DEPOSICION NUMERO 4 - CAPSULAS 8 - PESO 80 GRS, EL DIA 19-12-10, SIENDO LAS 17:35 HS - DEPOSICION NUMERO 5 - CAPSULAS 20 - PESO 214 GRS. PTO.-</t>
  </si>
  <si>
    <t>CINTA NUMERO 9</t>
  </si>
  <si>
    <t>QUE SIENDO LA HORA INDICADA EL DENUNCIANTE ARRIBO A ESTA AEROESTACIÓN - TERMINAL B - Y EN MOMENTOS EN QUE SE HACE DE SU EQUIPAJE, SIENDO EL MISMO UN BOLSO TIPO DEPORTIVO COLOR NEGRO, SIN INSCRIPCIÓN VISIBLE - MARBETE NUMERO AR-41-03-51, OBSERVA QUE EL MISMO SE ENCUENTRA CON EL CIERRE ABIERTO HASTA LA MITAD DEL MISMO DEJÁNDOSE OBSERVAR QUE EN EL INTERIOR ERAN HABIDAS VARIAS CAJAS DE RELOJES VACIAS QUE NO ERAN DE SU PERTENENCIA, POR LO QUE LE INDICA A PERSONAL DE LA COMPAÑÍA AÉREA QUE OBSERVE DICHO BOLSO. QUE LUEGO REALIZA EL CORRESPONDIENTE RECLAMO Y UNA VEZ FINALIZADO EL MISMO SE HACE PRESENTE EN EL TURNO DE ESTA POLICÍA, DONDE REALIZA LA APERTURA TOTAL DE SU BOLSO Y NOTA EL FALTANTE DE MENCIÓN. SEGUIDAMENTE RADICA LA CORRESPONDIENTE DENUNCIA</t>
  </si>
  <si>
    <t>AR-1303</t>
  </si>
  <si>
    <t>N° 561/10</t>
  </si>
  <si>
    <t>9 DE JULIO 485 - 487 METAN SALTA</t>
  </si>
  <si>
    <t>EN REFERENCIA A PARTE RESERVADO N° 7945 INFORMO QUE EL 20/12/2010 EN CUMPLIMINETO DE OFICIOS JUDICIALES S/N DEL JUZGADO INTERVINIENTE A HORAS 07:50 SE REALIZA ALLANAMINETO EN EL DOMICILIO DE 9 DE JULIO 483 - 485 Y 487 DE LA LOCALIDAD DE METAN PROVINCIA DE SALTA, PROCEDIENDO A LA DETENCION DE SANDRA ESTHER JEREZ A HORAS 08:00 MOMENTO EN EL QUE SE LE DIO LA LECTURA DE LOS DERECHOS Y CAUSA DE DETENCION, QUEDANDO LA MISMA EN CALIDAD DE DETENIDA INCOMUNICADA. AL MOMENTO DEL PRESENTE SE CONTINUA CON EL ALLANAMIENTO EN BUSCA DE ELEMENTOS DE INTERES PARA LA CAUSA, EN TAL SENTIDO SE CUENTA CON LA COLABORACION DE PERSONAL DEL AFIP-DGI SALTA A CARGO DEL DR. JOSE OLIVA LEG. 40938/68, QUIENES SE ENCUENTRAN AUTORIZADOS POR EL JUZGADO A PRESENCIAR EL ALLANAMIENTO Y REQUISA. SE AMPLIARA AL FINALIZAR EL ALLANAMIENTO O DE SURGIR OTRA NOVEDAD. SEGÚN AMPL PU N° 8122/10 SE AMPLIA PARTE N 8087. INFORMO QUE A HS. 14:00 FINALIZARON LOS ALLANAMIENTOS YA MENCIONADOS, DE LOS CUALES SURGE LO SIGUIENTE: UNA NOTEBOOK MARCA "ACCER", IDENTIFICADA CON EL NÚMERO "SND 91009015920",UNA COMPUTADORA MARCA "COMMODORE", SERIE N° 40801/23054, UN MODEM DE LA EMPRESA "ARNET" NÚMERO DE SERIE 2120140011389, DOCUMENTACION VARIA, TALONARIO DE FACTURA, CONTRATO DE ARRIENDO, BALANCE, UNA AGENDA TELEFÓNICA PERSONAL., CARTAS DE PORTE,CHEQUES RECHAZADOS, ESTADOS CONTABLES DE CONTRIBUYENTES VARIOS, UNA COMPUTADORA NOTEBOOK MARCA "BANGHO", COLOR NEGRA, TRES TELÉFONOS CELULARES, DOS MALETÍNES, UNA CARTERA DE COLOR GRIS, CONTENIENDO PAPELES VARIOS.- UN MODEN DE ARNET N° DE IMEI 352217044082067.- (U$S 1801) MIL OCHOCIENTOS UN DOLARES ($1000) MIL PESOS ARGENTINOS (03) TARJETAS DE CRÉDITO DEL BANCO SANTANDER RIO Y DEL BANCO MACRO. LUEGO SE TRASLADA A LA DETENIDA HASTA LAS DEPENDENCIAS DE LA PSA, DONDE SE LE REALIZA EL CONTROL MEDICO CORRESPONDIENTE Y LAS FICHAS DACTILARES. A LAS 18:15 SE PRESENTA PERSONAL DE LA UNIDAD CARCELARIA N° 16 DEL S.F.P. DE SALTA, CON EL FIN DE TRASLADAR A LA DETENIDA A LA UNIDAD CARCELARIA N° 22 DE JUJUY, COMO FUERA ORDENADO POR EL TRIBUNAL ACTUANTE. SEGÚN AMPL PU N° 8151 SE AMPLIA PARTE N° 8122, SE INFORMA QUE SE ENTREGO LAS ACTUACIONES CORRESPONDIENTE Y DINERO SECUESTRADO EN AUTOS.</t>
  </si>
  <si>
    <t>DENTRO DE LAS INSTALACIONES DEL AEROPUERTO DE SAN FERNANDO NO PUDIENDO PRECISAR EL LUGAR NI LA FECHA EXACTA DEL EXTRAVIO</t>
  </si>
  <si>
    <t>SIENDO LA FECHA Y LA HORA ANTES MENCIONADA SE HACE PRESENTE EN ESTA DEPENDENCIA POLICIAL EL SR.RENDA DANIEL ESTEBAN QUIEN DESEMPEÑA FUNCIONES COMO SOCIO DE LA EMPRESA V.R.M., ASENTADA EN ESTE AEROPUERTO MANIFESTANDO EL EXTRAVIO DE SU PERMISO DE SEGURIDAD PERMANENTE , VENCIDO DENTRO DE LAS INSTALACIONES DE ESTE AEROPUERTO, NO PUDIENDO PRECISAR LA FECHA NI EL LUGAR PRECISO DEL EXTRAVIO.</t>
  </si>
  <si>
    <t>AVERIGUACION INFRACCION LEY 24769</t>
  </si>
  <si>
    <t>SANTA FE 14 METAN SALTA</t>
  </si>
  <si>
    <t>EN REFERENCIA A PARTE RESERVADO 7945/10 INFORMO QUE EL 20/12/2010 EN CUMPLIMIENTO DE ORDEN DE ALLANAMIENTO S/N DEL JUZGADO INTERVINIENTE, A HORAS 07:50 SE REALIZA ALLANAMIENTO EN EL DOMICILIO DE SANTA 14 METAN SALTA, PROCEDIENDO A LA DETENCION DE OSCAR FABIAN ORTEGA A HORAS 08:00 MOMENTO EN EL QUE SE DIO LECTURA DE DERECHOS Y CAUSA DE DETENCION, QUEDANDO EL MISMO EN CALIDAD DE DETENIDO INCOMUNICADO. AL MOMENTO DEL PRESENTE SE CONTINUA CON EL ALLANAMIENTO EN BUSCA DE LEMENTOS DE INTERES PARA LA CAUSA, EN TAL SENTIDO SE CUENTA CON LA COLABORACION DE PERSONAL DEL AFIP-DGI SALTA A CARGO DEL CONTADOR JOSE GABRIEL LORENZO LEG. 40782/27, QUIENES SE ENCUENTRAN AUTORIZADOS POR EL JUZGADO PARA PRESENCIAR EL ALLANAMIENTO Y REQUISA. SE AMPLIARA AL FINALIZAR EL ALLANAMIENTO O AL SURGIR OTRA NOVEDAD. SEGUN AMPL PU N° 8116/10 SE APMLIA PARTE N° 8090 DE FECHA 20 DE DICIEMBRE DE 2010. INFORMO QUE A HS. 10:40 FINALIZÓ EL ALLANAMIENTO EN EL DOMICILIO SANTA FE N° 14 DE METAN, DEL MISMO SURGE EL SIGUIENTE DETALLE: UNA AGENDA CON DOCUMENTACIONES VARIAS. UNA CPU MARCA EURO CASE Nº DE BARRA EU-8025W07481001711.-CELULAR MARCA MOTOROLA DE COLOR GRIS Nº DE IMEI 010659009049694 EL CUAL FUNCIONA CORRECTAMENTE. DOCUMENTO NACIONAL DE IDENTIDAD DEL IMPUTADO UNA NOTEBOOK MARCA ACER Nº DE SERIE LXR7Z080030382C3651601.-TRES FOTOCOPIAS, UNA DE LA CEDULA VERDE DOMINIO HUJ 529 A NOMBRE DE PACHECO INES GRACIELA. CINCO TALONARIOS DE FACTURAS CON LA INSCRIPCIÓN DE FORSALTA (SERVICIO DE ASESORAMIENTO DIRECCIÓN Y GESTIÓN EMPRESARIAL - PRODUCTOS PRIMARIOS A NOMBRE DE ORTEGA OSCAR FABIÁN CON DOMICILIO EN PEDERNERA Nº 911 SALTA CAPITAL.-SIETE CARPETAS CON DOCUMENTACIÓN VARIAS.-QUINCE CHEQUES. SIENDO LAS 11:00 SE TRASLADA AL DETENIDO A DEPENDENCIAS DE ESTA PSA, DONDE SE LE PRACTICA LA REVISACION MEDICA CORRESPONDIENTE, COMO ASI TAMBIEN FICHAS DACTILARES. A HS. 18:50 SE PROCEDIO AL TRASLADO DEL ENCARTADO A LA UNIDAD CARCELARIA N° 16 DEL S.P.F DE SALTA. SEGÚN AMPL PU N° 8147 SE AMPLIA PARTE N° 8116/10. IMFORMO QUE EN EL DIA DE LA FECHA 21 DE DICIEMBRE DE 2010 A HORAS 12:30 SE ENTREGO LA ACTUACION CORRESPONDIENTE.</t>
  </si>
  <si>
    <t>MASCAREÑO , VICTOR ALEJANDRO S.A HOMICIDIO CULPOSO AGRAVADO P/CONDUCCION IMPRUDENTE Y ANTIRREGLAMENTARIA DE VEHICULO-CAPITAL</t>
  </si>
  <si>
    <t>EXPEDIENTE N° 283-10</t>
  </si>
  <si>
    <t>SALA DE DESEMBARQUE INTERNACIONAL - MIGRACIONES</t>
  </si>
  <si>
    <t>EN EL DÍA DE LA FECHA EL SERVICIO DE GUARDIA PREVENTIVA, RECIBE INFORMACIÓN DEL PERSONAL DE MIGRACIONES DELEGACIÓN CÓRDOBA DEL INGRESO DE UN PASAJERO AL PAÍS SOBRE QUIEN PESA UNA ORDEN DE CAPTURA. EN TAL SENTIDO PERSONAL DE MIGRACIONES ENVÍA A ESTA PREVENCIÓN NOTA DE CUSTODIA DEL ENCARTADO. SEGUIDAMENTE SE ESTABLECE COMUNICACIÓN TELEFÓNICA CON EL JUZGADO FEDERAL TURNO A QUIEN SE LE COMUNICA LO SUCEDIDO DISPONIENDO QUE ESTA INSTRUCCIÓN ESPERE HASTA TANTO EL JUZGADO QUE INTERVIENE EN LA CAUSA SE EXPIDA AL RESPECTO. ACTO SEGUIDO SE ENVIÓ VÍA FAX, NOTA A LA SECCIÓN ANTECEDENTES DE PERSONAS DEPENDIENTE DE GENDARMERÍA NACIONAL ARGENTINA, SOLICITANDO INFORMACIÓN AL RESPECTO DE LA CAUSA QUE PESA SOBRE LA PERSONA EN CUESTIÓN. SEGUIDAMENTE ESTA U.O.S.P CÓRDOBA RECIBE VÍA FAX DE GENDARMERÍA NACIONAL, COMUNICANDO QUE LA CAUSA SIGUE VIGENTE, POR TAL MOTIVO SE COMUNICA AL JUZGADO DE MARRAS EL PEDIDO EXISTENTE SOBRE ESTA PERSONA. TOMANDO CONOCIMIENTO EL CITADO JUZGADO ENVÍA VIA A ESTA UNIDAD OPERACIONAL FAX REF. EXP. Nº 283/03 EL CUAL DISPONE REVOCAR LA ORDEN DE DETENCIÓN LIBRADA Y EN CONSECUENCIA NO INTERESA A ESTE JUZGADO LA DETENCIÓN DEL NOMBRADO. ANTE LO EXPUESTO SE DA INICIO A LAS ACTUACIONES CORRESPONDIENTES, CONTINUANDO EL NOMBRADO EN LIBERTAD Y CON SUS ACTIVIDADES DE RIGOR, RETIRÁNDOSE EL ENCARTADO DE ESTA GUARDIA PREVENTIVA SIN NOVEDAD</t>
  </si>
  <si>
    <t>CAMPINAS</t>
  </si>
  <si>
    <t>SALAS VIP Y HALL CENTRAL</t>
  </si>
  <si>
    <t>SEGUN ORDEN DE SERVICIO N° 186/10. INFORMO QUE A HORAS 11:40 ARRIBA EN ESTE AEROPUERTO, AERONAVE T-03 CON EL SEÑOR MINISTRO DE PLANIFICACION FEDERAL ARQ. JULIO DE VIDO Y COMITIVA, EN VISITA NO PROTOCOLAR, SE IMPLEMENTARON LAS MEDIDAS DE SEGURIDAD PERTINENTES SIN REGISTRARSE NOVEDAD.</t>
  </si>
  <si>
    <t>BELGRANO 551 METAN SALTA</t>
  </si>
  <si>
    <t>EN REFERENCIA A PARTE RESERVADO N° 7945 INFORMO QUE EL 20/12/2010 EN CUMPLIMIENTO DE OFICIO JUDICIAL S/N DEL JUZGADO INTERVINIENTE A HORAS 07:40 SE REALIZA ALLANAMIENTO EN EL DOMICILIO DE BELGRANO 551 DE LA LOCALIDAD DE METAN PROVINCIA DE SALTA, PROCEDIENDO A LA DETENCION DE LORENA ERICA NATALIA SCARANO A HORAS 07:50 MOMENTO EN EL QUE SE LE DIO LA LECTURA DE LOS DERECHOS Y CAUSA DE DETENCION, QUEDANDO LA MISMA EN CALIDAD DE DETENIDA INCOMUNICADA. AL MOMENTO DEL PRESENTE SE CONTINUA CON EL ALLANAMIENTO EN BUSCA DE ELEMENTOS DE INTERES PARA LA CAUSA, EN TAL SENTIDO SE CUENTA CON LA COLABORACION DE PERSONAL DEL AFIP-DGI SALTA A CARGO DEL DR. IGNACIO SEGON LEG. 40026/63, QUIENES SE ENCUENTRAN AUTORIZADOS POR EL JUZGADO A PRESENCIAR EL ALLANAMIENTO Y REQUISA. SE AMPLIARA AL FINALIZAR EL ALLANAMIENTO O DE SURGIR OTRA NOVEDAD. SEGUN AMPL PU N° 8115/10 SE AMPLIA PARTE N° 8093. SE INFORMA QUE A LAS 10:30 HS. FINALIZÓ EL ALLANAMIENTO SITO EN BELGRANO 551 METÁN PROVINCIA DE SALTA, DEL MENCIONADO ALLANAMIENTO SURJEN LOS SIGUIENTES SECUESTROS: UNA NETBOOK MARCA HP N° DE SERIE CNC0222ZQR, UNA NOTEBOOK MARCA LG N° 00144330643564, DOS CELULARES MARCA LG DE LA EMPRESA MOVISTAR, UNO MARCA LG DE LA EMPRESA PERSONAL, SIETE MIL CIENTO CUATRO PESOS, PASAPORTE Y DNI A NOMBRE DE LA ENCARTADA, DOCUMENTACIÓN VARIA, DIVERSAS CARTAS DE PORTE, TALONARIOS DE FACTURAS A NOMBRE DE FRUXIAL SERVICIOS AGROPECUARIOS, TALONARIOS DE FACTURA A NOMBRE DE REFEN SERVICIOS AGROPECUARIOS, TALONARIOS DE FACTURAS A NOMBRE DE SCARANO LORENA ERICA NATALIA. SE TRASLADÓ A LA DETENIDA A DEPENDENCIAS DE ESTA PSA ARRIBANDO A HS. 12:30, LUEGO SE PROCEDIÓ A REALIZAR REVISACION MEDICA EN MEDISEN EN EL AEROPUERTO SALTA, SE CONFECCIONÓ FICHAS DACTILARES. SIENDO 18:00 HS. SE PROCEDIÓ A REALIZAR EL TRASLADO DE LA ENCARTADA A LA UNIDAD CARCELARIA N° 23 DEL S.P.F. DE SALTA SEGUN LO ORDENADO MEDIANTE OFICIO JUDICIAL S/N DE FECHA 20-DIC-10 LIBRADO POR EL TRIBUNAL ACTUANTE. SEGÚN AMPL PU N° 8146/10 SE AMPLIA PARTE N° 8115/10. IMFORMO QUE EN EL DIA DE LA FECHA 21 DE DICIEMBRE DE 2010 A HORAS 12:30 SE ENTREGO LA ACTUACION CORRESPONDIENTE Y DINERO EN EFECTIVO SECUESTRADOS EN AUTO,</t>
  </si>
  <si>
    <t>9 DE JULIO 692 METAN SALTA</t>
  </si>
  <si>
    <t>EN REFERENCIA A PARTE RESERVADO N° 7945 INFORMO QUE EL 20/12/2010 EN CUMPLIMINETO DE OFICIOS JUDICIALES S/N DEL JUZGADO INTERVINIENTE A HORAS 07:50 SE REALIZA ALLANAMINETO EN EL DOMICILIO DE 9 DE JULIO 692 DE LA LOCALIDAD DE METAN PROVINCIA DE SALTA, PROCEDIENDO A LA DETENCION DE VICTOR HUGO SOTO A HORAS 08:00 MOMENTO EN EL QUE SE LE DIO LA LECTURA DE LOS DERECHOS Y CAUSA DE DETENCION, QUEDANDO EL MISMO EN CALIDAD DE DETENIDO INCOMUNICADO. AL MOMENTO DEL PRESENTE SE CONTINUA CON EL ALLANAMIENTO EN BUSCA DE ELEMENTOS DE INTERES PARA LA CAUSA, EN TAL SENTIDO SE CUENTA CON LA COLABORACION DE PERSONAL DEL AFIP-DGI SALTA A CARGO DEL DR. NICOLAS FILI LEG. 42400/04, QUIENES SE ENCUENTRAN AUTORIZADOS POR EL JUZGADO A PRESENCIAR EL ALLANAMIENTO Y REQUISA. SE AMPLIARA AL FINALIZAR EL ALLANAMIENTO O DE SURGIR OTRA NOVEDAD. SEGÚN AMPL PU N° 8120/10 SE AMPLIA PARTE N° 8094.AINFORMO QUE A LAS 10:55 HS. FINALIZÓ EL ALLANAMIENTO EN EL DOMICILIO DE 9 DE JULIO 692 DE LA LOCALIDAD DE METAN PROVINCIA DE SALTA DEL CUAL SE SECUESTRÓ LO SIGUIENTE: SIETE MIL NOVECIENTOS SETENTA PESOS($7.970), UN RECIBO TIPO "A", FOTOCOPIAS DE CHEQUES VARIOS, CINCO CELULARES, DOS TARJETAS DE MEMORIA, UN CHIP DE LA EMPRESA PERSONAL,UNA COMPUTADORA NOTEBOOK MARCA "DELL" MODELO PP29L. SE TRASLADA AL DETENIDO A DEPENDENCIAS DE ESTA PSA, DONDE SE LE PRACTICA LA REVISACION CORRESPONDIENTE COMO ASI TAMBIEN LAS FICHAS DACTILARES. A LAS 18:50 HS. SE TRASLADA AL DETENIDO A LA UNIDAD CARCELARIA N° 16 DEL S.P.F. DE SALTA, SEGUN LO ORDENADO MEDIANTE OFICIO SIN NÚMERO DEL JUZGADO INTERVINIENTE. SEGÚN AMPL PU N° 8150 SE AMPLIA PARTE N° 8120, SE INFORMA QUE SE ENTREGO LAS ACTUACIONES CORRESPONDIENTE Y DINERO SECUESTRADO EN AUTOS.</t>
  </si>
  <si>
    <t>EN EL DIA DE LA FECHA, SE PRESENTA A LA GUARDIA DE PREVENCION DE ESTA UOSP, EL SEÑOR DARIO DAMIAN LUQUEZ DNI : 28.827.312 EMPLEADO DE LA ANAC,QUIEN PRESENTA CERTIFICACION VARIAS Nª 16181/10 EMITIDO POR LA COMISARIA SECCIONAL 2ª DE LA POLICIA DE LA PROVINCIA DE FORMOSA EN DONDE MANIFIESTA HABER EXTRAVIADO EN LA VIA PUBLICA SU PERMISO PERSONAL AEROPORTUARIO N° 263853 CON FECHA DE VENCIMIENTO 10-10-09.-</t>
  </si>
  <si>
    <t>MENDOZA 1963 - 1965 SALTA CAPITAL</t>
  </si>
  <si>
    <t>EN REFERENCIA A PARTE RESERVADO N° 7945 INFORMO QUE EL 20/12/2010 EN CUMPLIMIENTO DE OFICIOS JUDICIALES S/N DEL JUZGADO INTERVINIENTE A HORAS 07:50 SE REALIZA ALLANAMIENTO EN EL DOMICILIO DE MENDOZA 1963 Y 1965 SALTA PROVINCIA DE SALTA, PROCEDIENDO A LA DETENCION DE MARIO RICARDO ORQUERA A HORAS 08:00 MOMENTO EN EL QUE SE LE DIO LA LECTURA DE LOS DERECHOS Y CAUSA DE DETENCION, QUEDANDO EL MISMO EN CALIDAD DE DETENIDO INCOMUNICADO. AL MOMENTO DEL PRESENTE SE CONTINUA CON EL ALLANAMIENTO EN BUSCA DE ELEMENTOS DE INTERES PARA LA CAUSA, EN TAL SENTIDO SE CUENTA CON LA COLABORACION DE PERSONAL DEL AFIP-DGI SALTA A CARGO DEL CONTADOR MIGUEL VILTE LEG. 40381/71, QUIENES SE ENCUENTRAN AUTORIZADOS POR EL JUZGADO A PRESENCIAR EL ALLANAMIENTO Y REQUISA. SE AMPLIARA AL FINALIZAR EL ALLANAMIENTO O DE SURGIR OTRA NOVEDAD. SEGÚN AMPL. PU N° 8118/10 SE AMPLIA PARTE N° 8096. INFORMO QUE A LAS 15:00 HS. FINALIZÓ EL ALLANAMIENTO UBICADO EN MENDOZA 1963 Y 1965, SE SECUESTRÓ LO SIGUIENTE: DOCUMENTACIONES VARIAS Y PAPELES VARIOS.- UNA COMPUTADORA PORTÁTIL, MARCA LENOVO, G-550, N° DE SERIE CBP2984724. UNA COMPUTADORA NETBOOK, MARCA ASUS, N° DE SERIE AR0AA5022840. UNA NOTEBOOK, MARCA TOSHIBA, N° DE SERIE 81241617PU.- UN SCANNER MULTIFUNCIÓN HP. UNA IMPRESORA MARCA HP, DOS CELULARES: EL 1° MARCA BLACKBERRY 8.900, N° DE SERIE 17116-116 Y EL 2° MARCA NOKIA, MODELO 1205B, N° DE SERIE 851AB-RH108.DOS CD. CHEQUES VARIOS. DINERO EN EFECTIVO $38.800. SE TRASLADA EL DETENIDO A DEPENDENCIAS DE ESTA PSA, DONDE SE LE PRACTICA LA REVISACION MEDICA CORRESPONDIENTE, COMO ASI TAMBIEN LAS FICHAS DACTILARES. A LAS 18:50 HS. SE PROCEDIO AL TRASLADO DEL CAUSANTE A LA UNIDAD CARCELARIA N° 16 DEL S.P.F. DE SALTA. SEGUN LO ORDENADO MEDIANTE OFICIO SIN NUMERO LIBRADO POR EL JUZGADO INTERVINIENTE. SEGÚN AMPL PU N° 8149 SE AMPLIA PARTE N° 8118, SE INFORMA QUE SE ENTREGO LAS ACTUACIONES CORRESPONDIENTE Y DINERO SECUESTRADO EN AUTOS</t>
  </si>
  <si>
    <t>ALBERTINA A. CARON</t>
  </si>
  <si>
    <t>SUAREZ MASON - CARLOS GUILLERMO Y OTROS S/PRIVACION ILEGAL DE LA LIBERTAD AGRAVADA.</t>
  </si>
  <si>
    <t>14.216/03</t>
  </si>
  <si>
    <t>AEROPUERTO INTERNACIONAL DE EZEIZA - 1ER PISO TERMINAL A</t>
  </si>
  <si>
    <t>SIENDO LAS 12:00 HS. DEL DIA 17-DIC-2010, PERSONAL POLICIAL DE ESTA UNIDAD, PROCEDIO A LA DETENCION DEL CIUDADANO JUAN MIGUEL MENDEZ, EN EL PRIMER PISO DE LA TERMINAL A DEL AEROPUERTO INT. EZEIZA, PROCEDENTE DE LOS EE.UU. CUSTODIADO POR PERSONAL POLICIAL DEL DEPARTAMENTO DE SEGURIDAD NACIONAL DE LOS EE.UU. - OFICINA REMOCIONES. POSTERIORMENTE SE LE EFECTUO REVISACION MEDICA, EXTRACCION DE FICHAS DACTOLOSCOPICAS Y MUESTRAS FOTOGRAFICAS. SIENDO LAS 16:00 HS. PERSONAL DE LA U.O.S.P. EZEIZA TRASLADO AL DETENIDO A LA UNIDAD NRO. 29 DEL SERVICIO PENITENCIARIO FEDERAL, QUEDANDO EN CALIDAD DE DETENIDO COMUNICADO, A DISPOSICION DEL JUZGADO INTERVINIENTE.</t>
  </si>
  <si>
    <t>CAMINO A LA ISLA KM.4,5 SALTA CAPITAL</t>
  </si>
  <si>
    <t>EN REFERENCIA A PARTE RESERVADO N° 7945 INFORMO QUE EL 20/12/2010 EN CUMPLIMINETO DE ORDEN DE ALLANAMIENTO DEL JUZGADO INTERVINIENTE A HORAS 09:20 SE REALIZA ALLANAMINETO EN EL INMUEBLE UBICADO CAMINO A LA ISLA DISTANTE A UNOS 4,5 KM. DE LA AVENIDA TAVELLA ,FRENTE AL B° LOS PINARES ,EN DONDE FUNCIONA LA EMPRESA LOS TARCOS S.R.L., SALTA CAPITAL. AL MOMENTO DEL PRESENTE SE CONTINUA CON EL ALLANAMIENTO EN BUSCA DE LEMENTOS DE INTERES PARA LA CAUSA, EN TAL SENTIDO SE CUENTA CON LA COLABORACION DE PERSONAL DEL AFIP-DGI SALTA A CARGO DEL DR.MIGUEL ARAOZ VALLEJO LEG. 42257/10, QUIENES SE ENCUENTRAN AUTORIZADOS POR EL JUZGADO A PRESENCIAR EL ALLANAMIENTO Y REQUISA. SE AMPLIARA AL FINALIZAR EL ALLANAMIENTO O DE SURGIR OTRA NOVEDAD. SEGUN AMPL PU N° 8117/10 SE AMPLIA PARTE N 8098. INFORMO QUE A HS. 15:30 FINALIZÓ EL ALLANAMIENTO DEL DOMICILIO DE LA EMPRESA LOS TARCOS DEL CUAL SE SECUESTRA LO SIGUIENTE: 13 (TRECE) CARPETAS CON DOCUMENTACION VARIA, CARTAS DE PORTE CHEQUERAS USADAS, 1 (UNA) AGENDA GRIS, CERTIFICADO DE COMPRAVENTA Y DOCUMENTACIÓN INTRANSFERIBLE, 5 (CINCO) DISCOS DVD. TODO LO SECUESTRADO ES TRASLADADO A DEPENDENCIAS DE LA PSA. SEGÚN AMPL PU N° 8148/10 SE AMPLIA PARTE N° 8117/10. IMFORMO QUE EN EL DIA DE LA FECHA 21 DE DICIEMBRE DE 2010 A HORAS 12:30 SE ENTREGO LA ACTUACION CORRESPONDIENTE.</t>
  </si>
  <si>
    <t>SPILOTTI DIEGO MARCELO</t>
  </si>
  <si>
    <t>INFRACCION LEY 26.364</t>
  </si>
  <si>
    <t>2190/10</t>
  </si>
  <si>
    <t>SE RECEPCIONOEN EL DIA DE LA FECHA:OFICIO Nº: 3196/10, DE FECHA 16 DE DICIEMBRE DE 2010, MEDIANTE EL CUAL, EL JUZGADO INTERVINIENTE ORDENA SE PROFUNDICEN TAREAS INVESTIGATIVAS RESPECTO A LAS CIUDADANAS AVILA YOPLA FLOR MERCI YAGIRA, PASAPORTE DE LA REPUBLICA DE PERU Nº: 3.857.172 Y DE YOPLA HUAMANCHUMO PASCUALA YOI, PASAPORTE DE LA REPUBLICA DE PERU Nº: 4.253.011, CON EL OBJETO DE CONFIRMAR O DESCARTAR CONDUCTAS REÑIDAS CON LA LEY 26.364</t>
  </si>
  <si>
    <t>PERCHET, GILLES S/TVA DE CONTRABANDO DE ESTUPEFACIENTES</t>
  </si>
  <si>
    <t>CALLE SAN JOSE 258 - C.A.B.A</t>
  </si>
  <si>
    <t>EN EL DIA DE LA FECHA SE RECIBE OFICIO JUDICIAL A FIN DE SOLICITAR QUE EN EL TERMINO DE 24 HORAS SE CONSTATE SI EL DOMICILIO ANTES INDICADO GUARDA RELACION CON LOS HECHOS INVESTIGADOS EN LA PRESENTE CAUSA.</t>
  </si>
  <si>
    <t>SIENDO LA FECHA Y LA HORA ANTES MENCIONADA SE HACE PRESENTE EN ESTA DEPENDENCIA POLICIAL EL SR.GONZALEZ HUGO RICARDO,QUIEN SE DESEMPEÑA COMO REPRESENTANTE TECNICO,MANIFESTANDO EL EXTRAVIO DE SU PERMISO DE SEGURIDAD PERMANENTE VENCIDO DENTRO DE LAS INSTALACIONES DE ESTE AEROPUERTO,NO PUDIENDO PRECISAR LA FECHA NI EL LUGAR EXACTO DEL EXTRAVIO.</t>
  </si>
  <si>
    <t>8092/10</t>
  </si>
  <si>
    <t>AMPLIANDO PARTE URGENTE N° 8092. INFORMO SIENDO HORAS 16:00 PARTIO DE ESTE AEROPUERTO, AERONAVE T-03 CON EL SEÑOR MINISTRO DE PLANIFICACION FEDERAL ARQ. JULIO DE VIDO Y COMITIVA, SE IMPLEMENTARON LAS MEDIDAS DE SEGURIDAD PERTINENTES SIN REGISTRARSE NOVEDAD, FINALIZANDO ORDEN DE SERVICIO N° 186/10.</t>
  </si>
  <si>
    <t>POSICION Nº 1 DE LA PLATAFORMA COMERCIAL</t>
  </si>
  <si>
    <t>QUE SIENDO LAS 16:00 HS DEL DIA DE LA FECHA, ARRIBA A ESTE AEROPUERTO AERONAVE CESSNA C414 MATRICULA LV-JPZ TRANSPORTANDO 27 BULTOS CON UN PESO TOTAL DE 611 KG, DETALLADOS A CONTINUACION: 2 CAJAS CARGAS HUECAS /RENAR Nº C5 0098 19, 25 CAJAS CARGAS HUECAS TC47HP RENAR Nº C50098 26, SEGUN REMITO Nº 0002-00000746 DE GEOLOG SA. CERTIFICADO Nº 24597 DEL MINISTERIO DE JUSTICIA, SEGURIDAD Y DERECHOS HUMANOS. RESGISTRO NACIONAL DE ARMAS Nº INSCRIPCION Nº 980000027. DICHO MATERIAL ES TRASLADADO EN EL VEHICULO FORD F-4000 DOMINIO GDC 828 CONDUCIDO POR MOISES JORGE LUIS LICENCIA CNRT Nº 32.768.627. DICHO PROCEDIMIENTO RESULTO SIN NOVEDAD.</t>
  </si>
  <si>
    <t>GEOLOG S.A</t>
  </si>
  <si>
    <t>INFORMO SOBRE TRANSPORTE DE MMPP EN AERONAVE MATRICULA LV JPZ LA MERCANCIA TRANSPORTADA CORRESPONDE A 27 CAJAS DE 611 KGS DISTRIBUIDAS EN 2 CAJAS DE CARGAS HUECAS RT 36 H 25 CAJAS DE CARGAS HUECAS TC 47HP SEGUN REMITO N 0002 00000746 DE GEOLOG S.A. CERT. Nº 24597 DEL MINISTERIO DEJUSTICIA Y SEGURIDAD Y DD HH MERCADERIA DE LIBRE CIRCULACION RES 4712/80, ASIMISMO SE COMUNICO A UOSP GDE DESTINO FINAL DEL VUELO.-</t>
  </si>
  <si>
    <t>S/PRESUNTA COMISION DELITO DE ACCION PUBLICA</t>
  </si>
  <si>
    <t>EN LA FECHA INDICADA SE RECIBE UN MAIL EN LA CASILLA DE CORREO OFICIAL MLENCINA@PSA.GOV.AR, PROCEDENTE DE LA CASILLA JUSTICIEROANONIMO67@YAHOO.COM.AR, DENUNCIANDO LA OCURRENCIA DE DELITOS CONTRA LA PROPIEDAD PERPETRADOS EN EL AEROPARQUE METROPOLITANO, POR PERSONAL DE LAS EMPRESAS AEROHANDLING, IDENTIFICANDO PARTICULARMENTE A LOS EMPLEADOS DE NOMBRE JORGE MENCHACA, CRISTIAN ATENCIO Y JUAN PABLO BIGNOLO. ESTOS HECHOS SE REALIZARIAN CON PARTICIPACION DE FUNCIONARIOS DE AEROLINEAS ARGENTINAS Y DE LA POLICIA DE SEGURIDAD AEROPORTUARIA. POR LO EXPUESTO SE INFORMA LA NOVEDAD AL JUZGADO INTERVINIENTE QUIEN DISPONE, INICIO DE ACTUACIONES, CIERRE Y ELEVACION DE LAS MISMAS.-</t>
  </si>
  <si>
    <t>SCHAPOCHNIK</t>
  </si>
  <si>
    <t>PAULA</t>
  </si>
  <si>
    <t>DRA. MARIA DIAZ</t>
  </si>
  <si>
    <t>LESCANO PABLO Y LESCANO CLAUDIA ANDREA S/PROTECCION DE DERECHOS EXP.97/2009</t>
  </si>
  <si>
    <t>EXPTE. 97/2009</t>
  </si>
  <si>
    <t>CLAUDIA ANDREA LESCANO S/NOTIFICACION</t>
  </si>
  <si>
    <t>OFICINAS DEL TURNO PSA</t>
  </si>
  <si>
    <t>INFORMO QUE EN EL DIA DE LA FECHA SIENDO LAS 12:50 HORAS, EN EL CONTROL DE DOCUMENTACION DEL PREEMBARQUE DEL VUELO AR 1896, SE INDIVIDUALIZO A LA SRITA. CLAUDIA ANDREA LESCANO D.N.I. NRO. 38.785.278 SOBRE LA CUAL PESA UNA INTERDICCION DE SALIDA DE LA PROVINCIA DE TIERRA DEL FUEGO SEGÚN REGISTRO RED LINCE NRO. 279076 Y PEDIDO PARADERO BAJO NRO 280796. SE REALIZO COMUNICACION CON EL JUZGADO ANTES MENCIONADO EN LA PERSONA DE LA SECRETARIA DE TURNO DRA. MARIA DIAZ, QUIEN MANIFESTO QUE POR DISPOSICION DE LA JUEZA SUBROGANTE DRA PAULA SCHAPOCHNIK, LA MENOR ESTA AUTORIZADA A VIAJAR, DEBIENDO SER NOTIFICADA, FIJAR FECHA DE REGRESO A ESTA CIUDAD, FIJAR DOMICILIO EVENTUAL Y PRESENTARSE A SU REGRESO DENTRO DE LOS CINCO DIAS AL MENCIONADO JUZGADO. SE PROCEDIO A REALIZAR ACTA DE NOTIFICACION NRO. 007/2010, EN PRESENCIA DE SU MADRE SRA. MARIA CLAUDIA LOBADINO D.N.I. 16.547.201. FINALIZADAS LAS ACUACIONES SE RETIRA LA MENOR Y SU MADRE DE ESTA DEPENDENCIA SIN OTRA NOVEDAD.-</t>
  </si>
  <si>
    <t>EN EL DIA DE LA FECHA SE PRESENTA EN ESTA UOSP EL SEÑOR HECTOR JAVIER RODRIGUEZ,DNI Nº 24.409.671 EMPLEADO DE LA EMPRESA JET-PAQ S.A QUE OPERA EN ESTE AERODROMO EN RECEPCION DE CARGA Y DESCARGA DE CORRESPONDENCIA PARA LA EMPRESA AEROLINEAS ARGENTINA, MANIFESTANDO QUE EL DIA 16 DE DICIEMBRE DEL CORRIENTE AÑO EXTRAVIO SU CREDENCIAL AEROPORTUARIA EN LA VIA PUBLICA Nº 348687,EL MISMO SE PRESENTO ANTE LA DELEGACION DE SANTIAGO DEL ESTERO DE LA POLICIA FEDERAL ARGENTINA DE ESTA CIUDAD CAPITAL EXPIDIENDOLE CONSTANCIA DE EXTRAVIO CORRESPONDIENTE.LA CUAL FUE PRESENTADA ANTE ESTA FUERZA DE SEGURIDAD.</t>
  </si>
  <si>
    <t>AVENIDA GRAL. PAZ Y AVENIDA PANAMERICANA.</t>
  </si>
  <si>
    <t>AL COSTADO DE LA AVENIDA GRAL. PAZ.</t>
  </si>
  <si>
    <t>EN EL DÍA DE LA FECHA SIENDO LAS 14:20 HORAS, SE HACE PRESENTE UNA PERSONA DE SEXO MASCULINO, MANIFESTANDO QUE EL DÍA 15 DEL CORRIENTE MES Y AÑO, SIENDO LAS 23:00 HORAS APROXIMADAMENTE HABÍA ARRIBADO EN ESTE AEROPARQUE DEL VUELO DE LA EMPRESA LAN ARGENTINA, PROVENIENTE DE TUCUMÁN, LUEGO DE RETIRAR SU EQUIPAJE DESPACHADO, SE DIRIGIÓ AL ESTACIONAMIENTO DESCUBIERTO, DONDE TENIA ESTACIONADO SU VEHICULO MARCA CHEVROLET, MODELO MERIVA, DOMINIO ISC 985, COLOR VERDE, COLOCANDO SU EQUIPAJE EN EL ASIENTO TRASERO IZQUIERDO. LLEGANDO A GRAL. PAZ, UN VEHICULO LE HACE LUCES, INDICÁNDOLE QUE TENIA LA RUEDA TRASERA DERECHA PINCHADA, POR LO QUE SE DETIENE A UN LADO SOBRE GRAL. PAZ, PARA CAMBIAR EL NEUMÁTICO. TRASCURRIDO UNOS MINUTOS, FRENA UN VEHICULO, MARCA SUSUKI FUN, PARALELO A DONDE TENIA ESTACIONADO EL SUYO, SIGUE UNOS DIEZ (10) METROS MAS, Y GRITÁNDOLE LE PREGUNTA SI NECESITABA AYUDA, POR LO QUE LE RESPONDIÓ QUE NO, PERO EL MISMO CONTINUO ESTACIONADO UNOS MINUTOS MAS. SIENDO LAS 23:15 HORAS FINALIZO CON EL CAMBIO DEL NEUMÁTICO, SUBIÓ A SU VEHICULO, PERCATÁNDOSE DEL FALTANTE DE SU EQUIPAJE. MOTIVO POR EL CUAL REALIZA LA CORRESPONDIENTE DENUNCIA.</t>
  </si>
  <si>
    <t>8093/10</t>
  </si>
  <si>
    <t>SE AMPLIA PARTE N° 8093. SE INFORMA QUE A LAS 10:30 HS. FINALIZÓ EL ALLANAMIENTO SITO EN BELGRANO 551 METÁN PROVINCIA DE SALTA, DEL MENCIONADO ALLANAMIENTO SURJEN LOS SIGUIENTES SECUESTROS: UNA NETBOOK MARCA HP N° DE SERIE CNC0222ZQR, UNA NOTEBOOK MARCA LG N° 00144330643564, DOS CELULARES MARCA LG DE LA EMPRESA MOVISTAR, UNO MARCA LG DE LA EMPRESA PERSONAL, SIETE MIL CIENTO CUATRO PESOS, PASAPORTE Y DNI A NOMBRE DE LA ENCARTADA, DOCUMENTACIÓN VARIAS, DIVERSAS CARTAS DE PORTE, TALONARIOS DE FACTURAS A NOMBRE DE FRUXIAL SERVICIOS AGROPECUARIOS, TALONARIOS DE FACTURA A NOMBRE DE REFEN SERVICIOS AGROPECUARIOS, TALONARIOS DE FACTURAS A NOMBRE DE SCARANO LORENA ERICA NATALIA. SE TRASLADÓ A LA DETENIDA A DEPENDENCIAS DE ESTA PSA ARRIBANDO A HS. 12:30, LUEGO SE PROCEDIÓ A REALIZAR REVISACION MEDICA EN MEDISEN EN EL AEROPUERTO SALTA, SE CONFECCIONÓ FICHAS DACTILARES. SIENDO 18:00 HS. SE PROCEDIÓ A REALIZAR EL TRASLADO DE LA ENCARTADA A LA UNIDAD CARCELARIA N° 23 DEL S.P.F. DE SALTA SEGUN LO ORDENADO MEDIANTE OFICIO JUDICIAL S/N DE FECHA 20-DIC-10 LIBRADO POR EL TRIBUNAL ACTUANTE.</t>
  </si>
  <si>
    <t>8090/10</t>
  </si>
  <si>
    <t>SE APMLIA PARTE N° 8090 DE FECHA 20 DE DICIEMBRE DE 2010. INFORMO QUE A HS. 10:40 FINALIZÓ EL ALLANAMIENTO EN EL DOMICILIO SANTA FE N° 14 DE METAN, DEL MISMO SURGE EL SIGUIENTE DETALLE: UNA AGENDA CON DOCUMENTACIONES VARIAS. UNA CPU MARCA EURO CASE Nº DE BARRA EU-8025W07481001711.-CELULAR MARCA MOTOROLA DE COLOR GRIS Nº DE IMEI 010659009049694 EL CUAL FUNCIONA CORRECTAMENTE. DOCUMENTO NACIONAL DE IDENTIDAD DEL IMPUTADO UNA NOTEBOOK MARCA ACER Nº DE SERIE LXR7Z080030382C3651601.-TRES FOTOCOPIAS, UNA DE LA CEDULA VERDE DOMINIO HUJ 529 A NOMBRE DE PACHECO INES GRACIELA. CINCO TALONARIOS DE FACTURAS CON LA INSCRIPCIÓN DE FORSALTA (SERVICIO DE ASESORAMIENTO DIRECCIÓN Y GESTIÓN EMPRESARIAL - PRODUCTOS PRIMARIOS A NOMBRE DE ORTEGA OSCAR FABIÁN CON DOMICILIO EN PEDERNERA Nº 911 SALTA CAPITAL.-SIETE CARPETAS CON DOCUMENTACIÓN VARIAS.-QUINCE CHEQUES. SIENDO LAS 11:00 SE TRASLADA AL DETENIDO A DEPENDENCIAS DE ESTA PSA, DONDE SE LE PRACTICA LA REVISACION MEDICA CORRESPONDIENTE, COMO ASI TAMBIEN FICHAS DACTILARES. A HS. 18:50 SE PROCEDIO AL TRASLADO DEL ENCARTADO A LA UNIDAD CARCELARIA N° 16 DEL S.P.F DE SALTA.</t>
  </si>
  <si>
    <t>8098/10</t>
  </si>
  <si>
    <t>SE AMPLIA PARTE N 8098. INFORMO QUE A HS. 15:30 FINALIZÓ EL ALLANAMIENTO DEL DOMICILIO DE LA EMPRESA LOS TARCOS DEL CUAL SE SECUESTRA LO SIGUIENTE: 13 (TRECE) CARPETAS CON DOCUMENTACION VARIA, CARTAS DE PORTE CHEQUERAS USADAS, 1 (UNA) AGENDA GRIS, CERTIFICADO DE COMPRAVENTA Y DOCUMENTACIÓN INTRANSFERIBLE, 5 (CINCO) DISCOS DVD. TODO LO SECUESTRADO ES TRASLADADO A DEPENDENCIAS DE LA PSA.</t>
  </si>
  <si>
    <t>8096/10</t>
  </si>
  <si>
    <t>SE AMPLIA PARTE N° 8096. INFORMO QUE A LAS 15:00 HS. FINALIZÓ EL ALLANAMIENTO UBICADO EN MENDOZA 1963 Y 1965, SE SECUESTRÓ LO SIGUIENTE: DOCUMENTACIONES VARIAS Y PAPELES VARIOS.- UNA COMPUTADORA PORTÁTIL, MARCA LENOVO, G-550, N° DE SERIE CBP2984724. UNA COMPUTADORA NETBOOK, MARCA ASUS, N° DE SERIE AR0AA5022840. UNA NOTEBOOK, MARCA TOSHIBA, N° DE SERIE 81241617PU.- UN SCANNER MULTIFUNCIÓN HP. UNA IMPRESORA MARCA HP, DOS CELULARES: EL 1° MARCA BLACKBERRY 8.900, N° DE SERIE 17116-116 Y EL 2° MARCA NOKIA, MODELO 1205B, N° DE SERIE 851AB-RH108.DOS CD. CHEQUES VARIOS. DINERO EN EFECTIVO $38.800. SE TRASLADA EL DETENIDO A DEPENDENCIAS DE ESTA PSA, DONDE SE LE PRACTICA LA REVISACION MEDICA CORRESPONDIENTE, COMO ASI TAMBIEN LAS FICHAS DACTILARES. A LAS 18:50 HS. SE PROCEDIO AL TRASLADO DEL CAUSANTE A LA UNIDAD CARCELARIA N° 16 DEL S.P.F. DE SALTA. SEGUN LO ORDENADO MEDIANTE OFICIO SIN NUMERO LIBRADO POR EL JUZGADO INTERVINIENTE.</t>
  </si>
  <si>
    <t>Del Valle Garcia</t>
  </si>
  <si>
    <t>VILLAGRA JUAN RAMON</t>
  </si>
  <si>
    <t>RIQUELME MAXIMO C/RIQUELME ROSANA S/PATRIA POTESTAD</t>
  </si>
  <si>
    <t>ROSANA RIQUELME S/NOTIFICACION</t>
  </si>
  <si>
    <t>OFICINA TURNO DE PREVENCION</t>
  </si>
  <si>
    <t>EN EL CONTROL DE DOCUMENTACION DEL PREEMBARQUE DEL VUELO AR 2857 DE LA EMPRESA AEREA AEROLINEAS ARGENTINAS SE INDIVIDUALIZO A LA SRA. ROSANA RIQUELME SOBRE LA CUAL PESA UNA SOLICITUD DE PARADERO SEGÚN REGISTRO LINCE Nº 291100. SE REALIZO COMUNICACION TELEFONICA CON EL JUZGADO INTERVINIENTE EN LA PERSONA DE LA DRA. SILVIA HERRAEZ QUIEN MANIFESTO QUE LA CAUSANTE FIJE DOMICILIO REAL Y EVENTUAL. SE RETIRA LA CAUSANTE DE ESTA PREVENCION Y CONTINUANDO SU VIAJE PROGRAMADO</t>
  </si>
  <si>
    <t>AEROPARQUE JORGE NEWBWERY</t>
  </si>
  <si>
    <t>8094/10</t>
  </si>
  <si>
    <t>SE AMPLIA PARTE N° 8094.AINFORMO QUE A LAS 10:55 HS. FINALIZÓ EL ALLANAMIENTO EN EL DOMICILIO DE 9 DE JULIO 692 DE LA LOCALIDAD DE METAN PROVINCIA DE SALTA DEL CUAL SE SECUESTRÓ LO SIGUIENTE: SIETE MIL NOVECIENTOS SETENTA PESOS($7.970), UN RECIBO TIPO "A", FOTOCOPIAS DE CHEQUES VARIOS, CINCO CELULARES, DOS TARJETAS DE MEMORIA, UN CHIP DE LA EMPRESA PERSONAL,UNA COMPUTADORA NOTEBOOK MARCA "DELL" MODELO PP29L. SE TRASLADA AL DETENIDO A DEPENDENCIAS DE ESTA PSA, DONDE SE LE PRACTICA LA REVISACION CORRESPONDIENTE COMO ASI TAMBIEN LAS FICHAS DACTILARES. A LAS 18:50 HS. SE TRASLADA AL DETENIDO A LA UNIDAD CARCELARIA N° 16 DEL S.P.F. DE SALTA, SEGUN LO ORDENADO MEDIANTE OFICIO SIN NÚMERO DEL JUZGADO INTERVINIENTE.</t>
  </si>
  <si>
    <t>DR. JORGE NICOLAS BALLESTREROS</t>
  </si>
  <si>
    <t>ASOCIACION CIVIL USHUAIA NUESTRA TIERRA S/DENUNCIA</t>
  </si>
  <si>
    <t>19.473/10</t>
  </si>
  <si>
    <t>GRACIELA NOEMI GOLUB S/NOTIFICACION</t>
  </si>
  <si>
    <t>OFICINA DEL TURNO DE PREVENCION</t>
  </si>
  <si>
    <t>EN EL CONTROL DE DOCUMENTACION DEL PREEMBARQUE DEL VUELO AR 1879 DE LA EMPRESA AEREA AEROLINEAS ARGENTINAS, SE INDIVIDUALIZO A LA SRA. GRACIELA NOEMI GOLUB D.N.I. 11.026.456 SOBRE LA CUAL PESA UNA INTERDICCION DE SALIDA DE LA JURISDICCION Y SE NOTIFIQUE DE LOS DERECHOS Y GARANTIAS QUE LE ASISTEN SEGUN RADIOGRAMA NRO. 160/10 -OCPATF -REGISTROS LINCE NROS. 283728-283559- SE REALIZA COMUNICACION TELEFONICA CON LA SECRETARIA DRA. MERCEDEZ LOPEZ VEGA MANIFESTADO LA MISMA QUE POR DISPOSICION DE SU S.SA. SE DISPUSO AUTORIZAR LA SALIDA DE LA PCIA. DE LA CAUSANTE, QUIEN DEBERA FIJAR FECHA DE REGRESO, DOMICILIO REAL Y EVENTUAL Y PRESENTARSE ANTE EL TRIBUNAL INTERVINIENTE. SE RETIRA LA CAUSANTE DE ESTA PREVENCION CONTINUANDO SU VIAJE PROGRAMADO.</t>
  </si>
  <si>
    <t>8087/10</t>
  </si>
  <si>
    <t>9 DE JULIO 483 - 485 - 487 METAN SALTA</t>
  </si>
  <si>
    <t>SE AMPLIA PARTE N 8087. INFORMO QUE A HS. 14:00 FINALIZARON LOS ALLANAMIENTOS YA MENCIONADOS, DE LOS CUALES SURGE LO SIGUIENTE: UNA NOTEBOOK MARCA "ACCER", IDENTIFICADA CON EL NÚMERO "SND 91009015920",UNA COMPUTADORA MARCA "COMMODORE", SERIE N° 40801/23054, UN MODEM DE LA EMPRESA "ARNET" NÚMERO DE SERIE 2120140011389, DOCUMENTACION VARIA, TALONARIO DE FACTURA, CONTRATO DE ARRIENDO, BALANCE, UNA AGENDA TELEFÓNICA PERSONAL., CARTAS DE PORTE,CHEQUES RECHAZADOS, ESTADOS CONTABLES DE CONTRIBUYENTES VARIOS, UNA COMPUTADORA NOTEBOOK MARCA "BANGHO", COLOR NEGRA, TRES TELÉFONOS CELULARES, DOS MALETÍNES, UNA CARTERA DE COLOR GRIS, CONTENIENDO PAPELES VARIOS.- UN MODEN DE ARNET N° DE IMEI 352217044082067.- (U$S 1801) MIL OCHOCIENTOS UN DOLARES ($1000) MIL PESOS ARGENTINOS (03) TARJETAS DE CRÉDITO DEL BANCO SANTANDER RIO Y DEL BANCO MACRO. LUEGO SE TRASLADA A LA DETENIDA HASTA LAS DEPENDENCIAS DE LA PSA, DONDE SE LE REALIZA EL CONTROL MEDICO CORRESPONDIENTE Y LAS FICHAS DACTILARES. A LAS 18:15 SE PRESENTA PERSONAL DE LA UNIDAD CARCELARIA N° 16 DEL S.F.P. DE SALTA, CON EL FIN DE TRASLADAR A LA DETENIDA A LA UNIDAD CARCELARIA N° 22 DE JUJUY, COMO FUERA ORDENADO POR EL TRIBUNAL ACTUANTE.</t>
  </si>
  <si>
    <t>N.N S/AV DE CONTRABANDO DE ESTUPEFACIENTES</t>
  </si>
  <si>
    <t>OFICINA DE INGRESO AL TERRITORIO NACIONAL</t>
  </si>
  <si>
    <t>SIENDO LA HORA Y LA FECHA ANTES MENCIONADA SE RECEPCIONO EN LA GUARDIA DE PREVENCION POR PARTE DE LA DIRECCION NACIONAL DE MIGRACIONES AL CIUDADANO MATIAS SEBASTIAN BECKER, SOBRE EL CUAL PESA UNA ORDEN DE CAPTURA EMANADA POR EL JUZGADO DE MENCION. EN ESTE CONTEXTO SE MANTIENE COMUNICACION TELEFONICA CON EL JUZGADO SOLICITANTE DE LA CAPTURA, EL CUAL DISPONE QUE SE PROCEDA A LA DETENCION EN CALIDAD DE INCOMUNICADO DEL CAUSANTE Y UNA VEZ CULMINADAS LAS DILIGENCIAS DE RIGOR SE PROCEDA AL TRASLADO DEL DETENIDO A LA UNIDAD DE DETENCION Nº 28 DEL S.P.F. Y SE TRASLADE EL DIA 21-12-10 TODO LO ACTUADO A SEDE JUDICIAL. SIENDO LAS 2300 HORAS LUEGO DE REALIZAR LAS DILIGENCIAS ENCOMENDADAS POR EL MAGISTRADO SE PROCEDE AL TRASLADO DEL DETENIDO A LA UNIDAD Nº 28 DEL S.P.F.</t>
  </si>
  <si>
    <t>PREEMBARQUE 1/16 PUNTO DE INSPECCION Y REGISTRO DE PASAJEROS</t>
  </si>
  <si>
    <t>EN MOMENTOS EN QUE EL PERSONAL POLICIAL SE ENCONTRABA EFECTUANDO EL CONTROL PREVENTIVO DE PASAJEROS Y EQUIPAJE DE MANO EN EL PREEMBARQUE 1/16 SITO EN LA TERMINAL "A", DE LOS PASAJEROS DEL VUELO NÚMERO LH 511 DE LA EMPRESA AEROCOMERCIAL LUFTHANSA, EN CUMPLIMIENTO DE LA ORDEN DE SERVICIO Nº 953/2010 DE ESTA URSA I, SE HIZO PRESENTE UNA PERSONA DE SEXO MASCULINO QUIEN AL TRASPASAR EL MARCO DETECTOR DE METALES ACTIVÓ LA ALARMA SONORA DEL MISMO, POR LO QUE SE PROCEDIO A EFECTUARLE UN CHEQUEO MANUAL AL MISMO. EN TALES CIRCUNSTANCIAS SE PUDO DETECTAR QUE A LA ALTURA DE LOS GENITALES ERA HABIDO UN BULTO RÍGIDO QUE NO SE CORRESPONDÍA CON LA FISONOMÍA NORMAL DEL CUERPO. POSTERIORMENTE Y JUNTO A LOS TESTIGOS, SE TRASLADO AL PASAJERO A UN CUARTO PARA EFECTUARLE EL CONTROL MEDIANTE LA MAQUINA DENOMINADA BODY SCAN. UNA VEZ EN EL LUGAR EL MASCULINO DESCARTO UN BULTO, QUE EL MISMO EXTRAJO DE SU ZONA GENITAL, ARROJÁNDOLO AL SUELO. POR TAL MOTIVO, SE TRASLADARON LOS INTERVINIENTES A LA GUARDIA DE PREVENCION, DONDE PREVIA AUTORIZACION JUDICIAL SE EFECTUO LA REQUISA PERSONAL DEL PASAJERO ARROJANDO RESULTADO NEGATIVO ANTE LA PRESENCIA DE ELEMENTOS PROHIBIDOS. SEGUIDAMENTE, SE PRACTICO UN CORTE AL PAQUETE QUE HABIA DESCARTADO EL PASAJERO, PUDIENDOSE OBSERVAR UNA SUSTANCIA PULVERULENTA DE COLOR BLANCA, LA CUAL ARROJO RESULTADO POSITIVO AL REACTIVO DE COCAINA. SEGUN PU Nº 8126 DEL DIA 21/12/2010, SE INFORMA QUE EN HORAS 0130 SE PROCEDIO AL TRASLADO DEL DETENIDO A SEDE JUDICIAL SIN NOVEDAD.</t>
  </si>
  <si>
    <t>8081/10</t>
  </si>
  <si>
    <t>INFORMO QUE LA DETENIDA EFECTUO LAS SIGUIENTES DEPOSICIONES: EL DIA 20-12-10, SIENDO LAS 00:20 HS, DEPOSICION NUMERO 10 - CAPSULAS 5 - PESO 54 GRS.- EL DIA 20-12-10, SIENDO LAS 07:30 HS - DEPOSICION NUMERO 11 - CAPSULAS 7 - PESO 74 GRS -- EL DIA 20-12-10, SIENDO LAS 11:30 HS - DEPOSICION NUMERO 12 - CAPSULAS 4 - PESO 42 GRS, EL DIA 20-12-10, SIENDO LAS 15:15 HS - DEPOSICION NUMERO 13 - CAPSULAS 8 - PESO 88 GRS, EL DIA 20-12-10, SIENDO LAS 16:30 HS - DEPOSICION NUMERO 14 - CAPSULAS 7 - PESO 76 GRS. ASIMISMO INFORMO QUE EL DETENIDO NO EFECTUO HASTA EL MOMENTO OTRA DEPOSICION. PTO.-</t>
  </si>
  <si>
    <t>8124/10</t>
  </si>
  <si>
    <t>INFORMO QUE EN EL DIA DE LA FECHA SIENDO LAS 07:30 HS SE PROCEDE AL TRASLADO A SEDE JUDICIAL DEL DETENIDO EN AUTOS</t>
  </si>
  <si>
    <t>DISTRITO III - TURNO Nº 2</t>
  </si>
  <si>
    <t>BARRERAS DEL INGRESO Y EGRESO A LA JURISDICCION</t>
  </si>
  <si>
    <t>SIENDO LAS 02:30HS APROXIMADAMENTE EL DENUNCIANTE SE ENCONTRABA INGRESANDO A ESTA AEROSTACIÓN COMO CHOFER DEL VEHICULO MARCA FIAT SIENA DE COLOR VERDE, DOMINIO EWR 458, CHAPA DE REMIS Nº 2876, PARA DEJAR A DOS PASAJEROS CUYO VIAJE FUE PEDIDO A LA CENTRAL DE LA EMPRESA DE REMIS RENTA RAP, AL SALIR DE ESTA AEROSTACIÓN A LAS 02:35 HS APROXIMADAMENTE ES SORPRENDIDO POR UN RUIDO FUERTE, EN ESE MOMENTO OBSERVA POR SU ESPEJO RETROVISOR QUE LA LUNETA TRASERA ESTABA TOTALMENTE DESTROZADA Y LOS VIDRIOS COMENZABAN A CAER HACIA EL INTERIOR DEL MISMO. LUEGO OBSERVA UN GRUPO DE TAXISTAS QUE SE ENCONTRABAN DEL LADO DE AFUERA Y CERCA DE LA BARRERA LOS CUALES LO INSULTABAN</t>
  </si>
  <si>
    <t>FISCALIA NACIONAL DE 1RA. INSTANCIA EN LO CRIMINAL DE INSTRUCCION N° 40</t>
  </si>
  <si>
    <t>ANDRADES</t>
  </si>
  <si>
    <t>ESTELA</t>
  </si>
  <si>
    <t>MARIA GABRIELA ANDROVETTO</t>
  </si>
  <si>
    <t>SIENDO EL DÍA Y LA HORA ANTES MENCIONADA, SE HACE PRESENTE EN ESTA GUARDIA DE PREVENCIÓN UNA PERSONA DE SEXO MASCULINO, MANIFESTANDO HABER SIDO VICTIMA DE UN HECHO DELICTIVO, INFORMANDO QUE EL DÍA 19 DEL CORRIENTE MES Y AÑO, HABÍA ARRIBADO EN ESTE AEROPARQUE A LAS 19:30 HORAS, DEL VUELO LA 4031, DE LA EMPRESA LAN ARGENTINA, PROVENIENTE DE LA CIUDAD DE IGUAZÚ, DONDE LUEGO DE ATERRIZAR LA AERONAVE FUE TRASLADADO HASTA EL SECTOR DE ARRIBOS A2, OBSERVANDO AL LLEGAR, QUE SU EQUIPAJE DESPACHADO SE ENCONTRABA AL COSTADO DE LA CINTA TRASPORTADORA DE EQUIPAJES DEL LADO DE LA PLATAFORMA, SEPARADO DEL RESTO. LUEGO DE AGUARDAR UNOS MINUTOS RETIRO SU VALIJA Y SE DIRIGIÓ AL HOTEL DONDE SE HOSPEDARÍA, LUGAR DONDE SE PERCATO QUE EL PRECINTO QUE LE HABÍA COLOCADO A LA VALIJA, COMO MEDIDA DE SEGURIDAD, AL DESPACHARLA YA NO ESTABA, SEGUIDAMENTE APERTURA LA MISMA, ENCONTRANDO LOS FALTANTES, MOTIVO POR EL CUAL RADICA LA CORRESPONDIENTE DENUNCIA. SIENDO LAS 14:20 HORAS SE REALIZA COMUNICACIÓN CON LA FISCALIA, QUIEN DISPUSO: LISTADO DEL PERSONAL DE SEGURIDAD Y HANDLING INTERVINIENTE, REGISTRO FÍLMICO SI LO HUBIERE, CIERRE Y ELEVE DE LAS ACTUACIONES.</t>
  </si>
  <si>
    <t>LA4031</t>
  </si>
  <si>
    <t>8079/10</t>
  </si>
  <si>
    <t>SECRETARIA N° 16</t>
  </si>
  <si>
    <t>MARASCO</t>
  </si>
  <si>
    <t>BODEGA DE AERONAVE DE LA EMPRESA PLUNA</t>
  </si>
  <si>
    <t>POSICION Nº 24</t>
  </si>
  <si>
    <t>SIENDO LAS 13:30 HORAS, DEL DÍA 20 DEL CORRIENTE MES Y AÑO, SE REALIZA COMUNICACIÓN TELEFÓNICA CON EL DR. SEBASTIÁN JORGE MARASCO, A CARGO LA SECRETARIA Nº 01, DE LA JUDICATURA ACTUANTE, QUIEN DISPONE LA LIBERACIÓN DEL CAUSANTE POR NO PRESENTAR IMPEDIMENTO LEGAL ALGUNO. SIENDO LAS 13:50 HORAS DEL MISMO DIA, SE PROCEDE A LA LIBERACIÓN DEL PREVENIDO SIN NOVEDAD.</t>
  </si>
  <si>
    <t>DR.MARIA GARELLO</t>
  </si>
  <si>
    <t>SIENDO LA HORA Y EL DÍA ANTES MENCIONADO, SE HACE PRESENTE UNA PERSONA EN ESTA GUARDIA DE PREVENCIÓN CON EL FIN DE RADICAR UNA DENUNCIA, INFORMANDO QUE EL DÍA 19 DEL CORRIENTE MES Y AÑO, LUEGO DE ARRIBAR EN EL VUELO LAN 4345 DE LA EMPRESA AEROCOMERCIAL LAN ARGENTINA PROCEDENTE DE LA CIUDAD DE BARILOCHE, SE DIRIGE HACIA LA VEREDA DEL SECTOR A2, DONDE AGUARDABA UN TAXI, MIENTRAS CONVERSABA CON SU CUÑADO. LUEGO DE UNOS MINUTOS SE PERCATA DEL FALTANTE DE SU BOLSO DE MANO, EL CUAL SE ENCONTRABA EN UN CARRO PORTA EQUIPAJE. ACTO SEGUIDO SE HACE PRESENTE EN ESTA GUARDIA DE PREVENCIÓN CON EL FIN DE REALIZAR LA DENUNCIA CORRESPONDIENTE</t>
  </si>
  <si>
    <t>MONICA M. IGUINIZ</t>
  </si>
  <si>
    <t>RACE S/INF. LEY 22415</t>
  </si>
  <si>
    <t>1628/2010</t>
  </si>
  <si>
    <t>JURAMENTO 2446 - C.A.B.A</t>
  </si>
  <si>
    <t>EN EL DIA DE LA FECHA SE RECIBE OFICIO JUDICIAL A FIN DE PRACTICAR DISCRETAS MEDIDAS DE INVESTIGACION EN EL DOMICILIO INDICADO, CORRESPONDIENTE AL COMERCIO DENOMINADO RACE, A FIN DE DETERMINAR SI ALLI SE OFRECEN A LA VENTA PRODUCTOS DE CALZADO DE ORIGEN EXTRANJERO, IDENTIFICADOS CON MARCA VANS, SIN CONSTAR CON LA CORRESPONDIENTE ESTAMPILLA FISCAL.</t>
  </si>
  <si>
    <t>AQUINO TORRES HERMES LUIS S/INF. LEY 22.415</t>
  </si>
  <si>
    <t>1479/10</t>
  </si>
  <si>
    <t>OFICINAS AEROCOMERCIALES</t>
  </si>
  <si>
    <t>EN EL DIA DE LA FECHA SE RECEPCIONA OFICIO JUDICIAL ORDENANDO REALIZAR LAS MEDIDAS DE INVESTIGACION QUE CORRESPONDAN A LOS EFECTOS DE AVERIGUAR EN QUE AEROLINEA VIAJO EL DETENIDO CON DESTINO AL AEROPUERTO DE BARAJAS, MADRID, ESPAÑA, EL PASADO 12 O 13 DE AGOSTO DEL 2010, EN QUE AGENCIA SACO ESE TICKET, CUAL FUE EL MEDIO DE PAGO UTILIZADO, SI SE SACO OTRO TICKET JUNTO CON EL DE AQUINO TORRES Y SI VIAJO CON OTRA/S PERSONA/S SE APORTE TODOS LOS DATOS PERSONALES</t>
  </si>
  <si>
    <t>NACIONAL EN LO CRIMINAL DE INSTRUCCION N° 40</t>
  </si>
  <si>
    <t>DRA. MARIA GABRIELA ANDRAVETTO</t>
  </si>
  <si>
    <t>HANGAR AUSTRAL</t>
  </si>
  <si>
    <t>SIENDO LA HORA Y EL DÍA ANTES MENCIONADO, SE HACE PRESENTE UNA PERSONA CON EL FIN DE RADICAR UNA DENUNCIA, INFORMANDO QUE EL DÍA 18 DEL CORRIENTE MES Y AÑO, SIENDO LAS 14:00 HORAS APROXIMADAMENTE LUEGO DE FINALIZAR CON SUS LABORES EN EL HANGAR DE LA EMPRESA AUSTRAL, COLOCO SUS PERTENENCIAS DENTRO DE SUS LOCKER PERSONAL Y LO CERRO CON CANDADO Y SE RETIRO A SU DOMICILIO. EL DÍA 20 DEL CORRIENTE MES Y AÑO, SIENDO LAS 14:00 HORAS SE HACE PRESENTE EN EL HANGAR ANTES MENCIONADO CON EL FIN DE INGRESAR A SUS TAREAS LABORALES Y AL MOMENTO EN QUE SE DISPONE A TOMAR SUS PERTENENCIAS QUE SE ENCONTRABAN DENTRO DE SU LOCKER, ESTE SE ENCONTRABA DAÑADO Y AL APERTURARLO SE PERCATO DEL FALTANTE DE TODOS SUS ELEMENTOS.ACTOS SEGUIDO SE HACE PRESENTE EN ESTA GUARDIA DE PREVENCIÓN PARA REALIZAR LA DENUNCIA CORRESPONDIENTE.</t>
  </si>
  <si>
    <t>JUZGADO DE CONTROL Nº 4 DE LA CIUDAD DE CORDOBA</t>
  </si>
  <si>
    <t>ROMERO</t>
  </si>
  <si>
    <t>CARLOS M.</t>
  </si>
  <si>
    <t>ANTON FLORENCIA</t>
  </si>
  <si>
    <t>SUPLICATORIA DEL SR. FISCAL DE INSTRUCCIÓN DEL DISTRITO III 4º TURNO S/ EXHORTO AL SR. JUEZ EN TURNO DE LA CIUDAD DE MENDOZA, PARA LIBRAR ÓRDENES DE ALLANAMIENTOS EN RELACIÓN AL SRIO. Nº 1769/10 DE LA U.J 17</t>
  </si>
  <si>
    <t>EXHORTO JUZGADO DE CONTROL Nº4 DE LA CIUDAD DE CORDOBA, AL SR. JUEZ DE INSTRUCCIÓN, EN TURNO, CON COMPETENCIA EN LA CIUDAD DE MENDOZA, PARA LIBRAR ÓRDENES DE ALLANAMIENTOS EN RELACIÓN AL SRIO. Nº 1769/10 DE LA U.J 17". DE LOS INMUEBLES UBICADOS EN: A) PASAJE LA CUESTA DE ÁNGEL S/N DE Bº CHACRAS DE CORIA DPTO. DE LUJAN DE CUYO DE LA PCIA. DE MENDOZA, B) ADMINISTRACIÓN MÉDICA DEL HOSPITAL ESPAÑOL. DE AV. SAN MARTÍN 865 DE LA LOCALIDAD DE GODOY CRUZ PCIA. DE MENDOZA: C) RESIDENCIA SITA EN CALLE SAN MARTÍN 548 TERCER PISO, DPTO C DE MENDOZA CAPITAL, D) HOSPITAL LAGOMAGIORE SITO EN CALLE GORDILLO S/N MENDOZA TODO ELLO A EFECTOS DE PROCEDER AL SECUESTRO UNA NOTEBOOK MARCA BANGHO, ADEMAS REGISTRO DE LOS AUTOMÓVILES DOMINIO FVU 036 , DOMINIO HEK 897 Y DOMINIO CCK 806</t>
  </si>
  <si>
    <t>DE 1º INST EN LO PENAL CONT Y DE FALTAS Nº 19</t>
  </si>
  <si>
    <t>EQUIPO B</t>
  </si>
  <si>
    <t>Aostri</t>
  </si>
  <si>
    <t>Carlos Horacio</t>
  </si>
  <si>
    <t>DRA. SABRINA MENENDEZ</t>
  </si>
  <si>
    <t>ALTURA SECTOR B</t>
  </si>
  <si>
    <t>SOBRE AV. RAFAEL OBLIGADO</t>
  </si>
  <si>
    <t>SIENDO LAS 21:40 HS, SE HACE PRESENTE A ESTA GUARDIA DE PREVENCION EL SR. MIGLIETTA ENRIQUE, A FIN DE RADICAR FORMAL DENUNCIA, MANIFESTANDO QUE SIENDO LAS 20:00 HS UN VEHICULO MARCA RENAULT, MODELO MEGANE, DE COLOR VERDE, DETIENE SU MARCHA MUY CERCA DE SU VEHICULO. ANTE ESTO, ES ALERTADO POR SU COMPAÑERO QUE SE ENCONTRABA EN EL ASIENTO DEL ACOMPAÑANTE, DICIENDOLE "ARRANCA QUE NOS ROBAN", POR LO QUE ACELERO RÁPIDAMENTE Y LUEGO SE DETUVO EN LA PARADA DE TAXIS DE ESTE AEROPUERTO, DONDE OBSERVA QUE LE HABÍAN PINCHADO EL NEUMÁTICO TRASERO. ACTO SEGUIDO SE DA INTERVENCION A LA JUDICATURA INTERVINIENTE</t>
  </si>
  <si>
    <t>PREEMBARQUE NACIONAL DENOMINADO TERMINAL III - PUNTO DE INSPECCION Y REGISTRO DE PASAJEROS</t>
  </si>
  <si>
    <t>EN MOMENTOS EN QUE PERSONAL POLICIAL SE ENCONTRABA REALIZANDO EL CONTROL PREVENTIVO DE LOS PASAJEROS DEL VUELO DE MENCION, AL CRUZAR EL PÓRTICO DETECTOR DE METALES UNA PERSONA DEL SEXO MASCULINO, ACTIVA LA ALARMA SONORA, POR LO QUE SE PROCEDIO AL CHEQUEO MANUAL DEL PASAJERO,MOMENTO EN EL CUAL SE ONSERVO QUE EN EL BOLSILLO DELANTERO IZQUIERDO DEL PANTALÓN TENIA UN BULTO SOSPECHOSO, POR LO QUE SE LE SOLICITO QUE LO EXHIBA VISUALIZANDO EL PERSONAL POLICIAL UN ENVASE PLÁSTICO CON FORMA CIRCULAR, DE COLOR ROJO, QUE CONTENIA UNA SUSTANCIA DE ORIGEN VEGETAL LA CUAL EL SUJETO REFIRIO A VIVA VOZ QUE SE TRATABA DE MARIHUANA.POR TAL MOTIVO SE CONVOCA LA PRESENCIA DE TESTIGOS Y SE EFECTUA SOBRE LA SUSTANCIA UN REACTIVO DE CAMPO PARA MARIHUANA ARROJANDO RESULTADO POSITIVO. SEGUIDAMENTE SE TRASLADAN LOS INTERVINIENTES A LA GUARDIA DE PREVENCION DONDE SE ENTABLA COMUNICAICON CON LA JUDICATURA INTERVINIENTE QUIEN ORDENA ACTUACIONES DE RIGORY DE NO PRESENTAR IMPEDIMENTO LEGAL ALGUNO SE PROCEDA A SU SOLTURA. SIENDO LAS 09:30 HORAS DEL DIA 21 DEL CORRIENTE MES Y AÑO SE PROCEDE A LA SOLTURA DEL PREVENIDO SIN NOVEDAD.</t>
  </si>
  <si>
    <t>LA 4428</t>
  </si>
  <si>
    <t>FUNK, SARA S/TENTATIVA DE CONTRABANDO DE ESTUPEFACIENTES</t>
  </si>
  <si>
    <t>HOSTEL SUDAMERIKA H&amp;S</t>
  </si>
  <si>
    <t>JOSE E. URIBURU Nº 1287 - C.A.B.A</t>
  </si>
  <si>
    <t>EN EL DIA DE LA FECHA SE RECIBE OFICIO JUDICIAL A FIN QUE PERSONAL DE ESTA UNIDAD SE CONSTITUYA EN EL ALBERGUE INDICADO Y NOTIFIQUE AL EMPLEADO O EMPLEADOS QUE HUBIERAN ATENDIDO A LA IMPUTADA, A FIN DE CONCURRIR A SEDE JUDICIAL A PRESTAR DECLARACION TESTIMONIAL DENTRO DE LAS 48 HS, MUNIDOS DEL LIBRO DE PASAJEROS Y DE LAS FACTURAS QUE SE LE HUBIERAN EXPEDIDO A LA PASAJERA. ASIMISMO, EN CASO DE CONTAR CON CAMARAS DE SEGURIDAD DEBERA APORTAR UNA COPIA DE LAS FILMACIONES EN SOPORTE MAGNETICO.</t>
  </si>
  <si>
    <t>SCALESE ALEJANDRO</t>
  </si>
  <si>
    <t>IPP01-008568-10</t>
  </si>
  <si>
    <t>CALLE ERNESTO MERLO Nº 41 - LOCALIDAD DE LOMAS DE ZAMORA</t>
  </si>
  <si>
    <t>PROVINCIA DE BUENOS AIRES - PARTIDO DE LOMAS DE ZAMORA</t>
  </si>
  <si>
    <t>EN RELACION A LA ORDEN DE SERVICIO Nº 1461/10 SE PROCEDE A DAR CUMPLIMIENTO A LA ORDEN DE ALLANAMIENTO LIBRADA POR SSA, DONDE SE OBTIENE COMO RESULTADO EL SECUESTRO DE LOS ELEMENTOS QUE ABAJO SE DETALLAN, NO HALLANDO LOS ELEMENTOS BUSCADOS DE INTERES PARA LA CAUSA.</t>
  </si>
  <si>
    <t>DRA. ANTON FLORENCIA</t>
  </si>
  <si>
    <t>SUPLICATORIA DEL SR. FISCAL DE INSTRUCCION DEL DISTRITO III 4º TURNO S/EXHORTO AL SR. JUEZ EN TURNO DE LA CIUDAD DE MENDOZA, PARA LIBRAR ORDENES DE ALLANAMIENTOS EN RELACION AL SUMARIO Nº 1769/10 DE LA U.J. 17</t>
  </si>
  <si>
    <t>DOMICILIO UBICADO EN CALLE PASAJE DE LA CUESTA DE ANGEL S/N DE BARRIO DE CHACRAS DE CORIA , DEPARTAMENTO DE LUJAN DE CUYO, PROVINCIA DE MENDOZA. DOMICILIO LABORAL SITO EN ADMINISTRACION MEDICA DEL HOSPITAL ESPAÑOL EN AVDA. SAN MARTIN 865, LOCALIDAD GODOY CRUZ, PROVINCIA DE MENDOZA. DOMICILIO SITO EN CALLE SAN MARTIN 548, TERCER PISO DEPTO C, DEPARTAMENTO CAPITAL, PROVINCIA DE MENDOZA. DOMICILIO LABORAL EN HOSPITAL LAGOMAGIORE SITO EN CALLE GORDILLO S/N MENDOZA, CAPITAL AREA TERAPIA INTENSIVA.</t>
  </si>
  <si>
    <t>POR EL PRESENTE SE INFORMA QUE SIENDO LAS 13:50 HS DEL DIA DE LA FECHA ESTA UNIDAD RECEPCIONO VIA FAX DESDE LA U.O.C.N. Y D.C. - MENDOZA, LAS SIGUIENTES ORDENES DE ALLANAMIENTOS DIRECCIONADO AL OF. SI MARTIN MIGNATON DE LA POLICIA DE SEGURIDAD AEROPORTUARIA DE LA PCIA. DE MENDOZA Y/O OFICIAL QUE ESTE DESIGNE, A SABER: ORDEN DE ALLANAMIENTO DEL DOMICILIO UBICADO EN CALLE PASAJE LA CUESTA DE ANGEL S/N DE Bº CHACRAS DE CORIA, DEPTO DE LUJAN DE CUYO, PROVINCIA DE MENDOZA, LUGAR DONDE RESIDIRIA EL SR. DANIEL VAZQUEZ, CON LA FINALIDAD DE PROCEDER AL SECUESTRO DE LA NOTEBOOK MARCA BANGHO, MODELO FUTURA 1500 J12, SERIE Nº 153466, CON SU BATERIA Y AL REGISTRO DE LOS AUTOMOVILES MARCA TOYOTA HILUX DOMINIO FVU 036 Y OTRO MARCA HONDA DOMINIO HEK 89, AMBOS PROPIEDAD DE DANIEL VAZQUEZ. ORDEN DE ALLANAMIENTO DEL DOMICILIO LABORAL SITO EN ADMINISTRACION MEDICA DEL HOSPITAL ESPAÑOL EN AVDA. SAN MARTIN 865 DE LA LOCALIDAD DE GODOY CRUZ PCIA. DE MENDOZA, LUGAR DONDE DESARROLLA SUS FUNCIONES EL SR. DANIEL VAZQUEZ. ORDEN DE ALLANAMIENTO DEL DOMICILIO LABORAL EN HOSPITAL LAGOMAGIORE SITO EN CALLE GORDILLO S/N MENDOZA CAPITAL AREA TERAPIA INTENSIVA AL FIN DE PROCEDER AL SECUESTRO DE UNA NOTEBOOK BANGHO MODELO FUTURA 1500 J12 SERIE 153466 Y REGISTRO DEL AUTOMOVIL DE CAMIONETA LAND ROVER, LUGAR DONDE DESARROLLA SUS FUNCIONES EL SR. ARIEL FERNANDO CHENA. ORDEN DE ALLANAMIENTO DEL DOMICILIO PARTICULAR SITA EN CALLE SAN MARTIN 548 TERCER PISO DEPTO C DE MENDOZA CAPITAL, LUGAR DE RESIDENCIA DE ARIEL CHENA, CON LA FINALIDAD DE PROCEDER AL SECUESTRO DE LA NOTEBOOK BANGHO MODELO FUTURA J12 SERIE 153466. LAS PRESENTES ORDENES SE LIBRAN POR SEXTO JUZGADO DE GARANTIAS EN EXPEDIENTE Nº P-93.181/10/2 CARATULADOS EXHORTO: DR. CARLOS MARIA ROMERO JUEZ JUZ. DE CONTROL Nº 4 PCIA. DE CORDOBA SOLIC.: ALLANAMIENTO CON INTERVENCION DE LA SECRETARIA GENERAL DE CAUSAS NN-SE.GE.NN A CARGO DEL DR. CARLOS BENEGAS MAIDANA, SECRETARIA A CARGO DE LA DRA. MARCELA B. VILLALBA.</t>
  </si>
  <si>
    <t>ORMAECHEA, ALBERTO CESAR S/TENTATIVA DE CONTRABANDO DE ESTUPEFACIENTES</t>
  </si>
  <si>
    <t>REMISERIA RAYUELA</t>
  </si>
  <si>
    <t>AV. SAN MARTIN 2944 - PATERNAL - C.A.B.A</t>
  </si>
  <si>
    <t>EN EL DIA DE LA FECHA SE RECIBE OFICIO JUDICIAL A FIN DE REALIZAR DISCRETAS TAREAS DE INVESTIGACION EN EL DOMICILIO INDICADO, DONDE SE ENCONTRARIA LA AGENCIA DE REMISES RAYUELA, TENDIENTES A DETERMINAR SI REALIZA SERVICIOS DE REMIS UN AUTOMOVIL RENAULT CLIO PATENTE FTG 102, Y EN CASO AFIRMATIVO INFORMAR LOS DATOS DEL CHOFER DEL AUTO.</t>
  </si>
  <si>
    <t>SUPLICATORIA DEL SR. FISCAL DE INSTRUCCION DEL DISTRITO III 4º TURNO S/EXHORTO AL SR. JUEZ EN TURNO DE LA CIUDAD DE MENDOZA PARA LIBRAR ORDENES DE ALLANAMIENTOS EN RELACION AL SUMARIO Nº 1769/10 DE LA U.J. 17</t>
  </si>
  <si>
    <t>AV. SAN MARTIN 548 DEPARTAMENTO 3C SECTOR D CIUDAD DE MENDOZA</t>
  </si>
  <si>
    <t>EN EL DIA DE LA FECHA SE PROCEDIO A DAR CUMPLIMIENTO A LA ORDEN DE ALLANAMIENTO DE LA VIVIENDA SITA EN AV. SAN MARTIN 548 3C SECTOR D DE LA CIUDAD DE MENDOZA, DOMICILO DE RESIDENCIA DEL SR. CHENA ARIEL FERNANDO DONDE SE PROCEDIO AL SECUESTRO DE UNA NOTEBOOK MARCA BANGHO MODELO FUTURA 1500 J12 NUMERO DE SERIE 153466, QUEDANDO EL SR ARIEL FERNANDO CHENA SEGUN LO DISPUESTO POR EL JUZGADO ACTUANTE LIBRE Y CITADO POR EL JUZGADO PARA UNA POSTERIOR INDAGATORIA EL DIA 27 DEL CORRIENTE MES Y AÑO, NO SE DA CUMPLIMIENTO A LAS DEMAS ORDENES DE ALLANAMIENTO Y REGISTRO DEBIDO A QUE EL ELEMENTO BUSCADO FUERA SECUESTRADO EN EL PRIMERO DE ELLOS. NOTA - POLICIA PROVINCIAL CORRESPONDE A LA DE LA PCIA. DE CORDOBA.</t>
  </si>
  <si>
    <t>8115/10</t>
  </si>
  <si>
    <t>SE AMPLIA PARTE N° 8115/10. IMFORMO QUE EN EL DIA DE LA FECHA 21 DE DICIEMBRE DE 2010 A HORAS 12:30 SE ENTREGO LA ACTUACION CORRESPONDIENTE Y DINERO EN EFECTIVO SECUESTRADOS EN AUTO</t>
  </si>
  <si>
    <t>8116/10</t>
  </si>
  <si>
    <t>SE AMPLIA PARTE N° 8116/10. IMFORMO QUE EN EL DIA DE LA FECHA 21 DE DICIEMBRE DE 2010 A HORAS 12:30 SE ENTREGO LA ACTUACION CORRESPONDIENTE</t>
  </si>
  <si>
    <t>SE AMPLIA PARTE N° 8117/10. IMFORMO QUE EN EL DIA DE LA FECHA 21 DE DICIEMBRE DE 2010 A HORAS 12:30 SE ENTREGO LA ACTUACION CORRESPONDIENTE</t>
  </si>
  <si>
    <t>8118/10</t>
  </si>
  <si>
    <t>SE AMPLIA PARTE N° 8118, SE INFORMA QUE SE ENTREGO LAS ACTUACIONES CORRESPONDIENTE Y DINERO SECUESTRADO EN AUTOS</t>
  </si>
  <si>
    <t>8120/10</t>
  </si>
  <si>
    <t>SE AMPLIA PARTE N° 8120, SE INFORMA QUE SE ENTREGO LAS ACTUACIONES CORRESPONDIENTE Y DINERO SECUESTRADO EN AUTOS</t>
  </si>
  <si>
    <t>8122/10</t>
  </si>
  <si>
    <t>SE AMPLIA PARTE N° 8122, SE INFORMA QUE SE ENTREGO LAS ACTUACIONES CORRESPONDIENTE Y DINERO SECUESTRADO EN AUTOS</t>
  </si>
  <si>
    <t>PARDO MIGUEL ANGEL S/SU DETENCION</t>
  </si>
  <si>
    <t>OFICINA DE MIGRACIONES SECTOR INGRESO AL TERRITORIO NACIONAL</t>
  </si>
  <si>
    <t>SIENDO LA HORA Y LA FECHA ANTES MENCIONADA SE RECEPCIONA EN ESTA DEPENDENCIA POLICIAL POR PARTE DE LA DIRECCION NACIONAL DE MIGRACIONES AL SR. PARDO, SOBRE EL CUAL SEGUN EL SISTEMA INFORMATICO MIGRATORIO PESA UNA ORDEN DE CAPTURA SOLICITADA POR GENDARMERIA NACIONAL ARGENTINA. A TAL EFECTO SE REALIZA COMPULSA A DICHA INSTITUCION, PARA SOLICITAR MAYORES DATOS. A CONSECUENCIA DE ESTO GENDARMERIA INFORMA QUE DICHA DETENCION LA SOLICITA EL JUZGADO DE INSTRUCCION CRIMINAL Y CORRECCIONAL DE GENERAL ROCA, PROVINCIA DE RIO NEGRO. POR ELLO SE SOLICITA COLABORACION A LA GUARDIA DE PREVENCION DEL AEROPUERTO DE VIEDMA, RIO NEGRO, QUIEN INFORMA QUE EL JUZGADO SOLICITANTE FUE DESARTICULADO, Y QUE PARA SABER EL DESTINO DE LA CAUSA HABIA QUE RECURRIR VIA TELEFONICA AL PALACIO DE LOS JUZGADOS DE LA CIUDAD DE VIEDMA. POR LO CUAL SE INTENTA MANTENER COMUNICACION TELEFONICA CON ESTE ULTIMO DE MANERA INFRUCTUOSA. ATENTO A ELLO SE DA INTERVENCION AL JUZGADO FEDERAL Nº 1 DE LOMAS DE ZAMORA, EN TURNO, EL CUAL INDICA SE DETENGA AL SR. PARDO Y SE MANTENGA COMPAS DE ESPERA HASTA CONTACTARSE CON EL JUZGADO QUE TRAMITA LA CAUSA. QUE EN EL DIA DE LA FECHA EL JEFE DE TURNO EN HORARIO DIURNO OBTIENE EL DATO DE QUE LA CAUSA SE TRAMITA EN EL JUZGADO DE INSTRUCCION CRIMINAL Y CORRECCIONAL Nº 12 DE GENERAL ROCA, PROVINCIA DE RIO NEGRO, CON Nº DE EXPEDIENTE 43.806. POR ULTIMO SE RECIBE ORDEN JUDICIAL MEDIANTE OFICIO DEL JUZGADO FEDERAL INDICANDO S.SA. SE PROCEDA EL TRASLADO DEL DETENIDO HACIA LA UNIDAD 28 DEL SERVICIO PENITENCIARIO FEDERAL, PARA QUE LUEGO SEA TRASLADADO HACIA EL ASIENTO DEL MAGISTRADO SOLICITANTE EN LA PROVINCIA DE RIO NEGRO. SIENDO LAS DIECISIETE HORAS DIEZ MINUTOS SE PROCEDE A REALIZAR EL TRASLADO CORRESPONDIENTE.</t>
  </si>
  <si>
    <t>AC 092</t>
  </si>
  <si>
    <t>8125/10</t>
  </si>
  <si>
    <t>INFORMO QUE LA DETENIDA EFECTUO LAS SIGUIENTES DEPOSICIONES: EL DIA 21-12-10, SIENDO LAS 08:05 HS, DEPOSICION NUMERO 15 - CAPSULAS 2 - PESO 24 GRS.- EL DIA 21-12-10, SIENDO LAS 09:15 HS - DEPOSICION NUMERO 16 - CAPSULAS 4 - PESO 44 GRS . ASIMISMO INFORMO QUE EL DETENIDO EFECTUO LAS SIGUIENTES DEPOSICIONE: EL DIA 21-12-10, SIENDO LAS 16:35 - DEPOSICION NUMERO 6 - CAPSULAS 2 - PESO 22 GRS. PTO.-</t>
  </si>
  <si>
    <t>AEROSTACIÓN MILITAR</t>
  </si>
  <si>
    <t>SIENDO LA HORA Y EL DÍA ANTES MENCIONADO SE IMPLEMENTA OPERATIVO DE SEGURIDAD PARA LA PARTIDA DE LA SRA. PRESIDENTE, QUIEN ARRIBO A LA AEROSTACIÓN MILITAR EN EL VUELO H-02 A LAS 19:28 HORAS, PARTIENDO EN EL VUELO LV-BPV CON DESTINO A LA CIUDAD DE BELL VILLE, PCIA DE CÓRDOBA A LAS 19:42 HORAS SIN NOVEDAD. SIENDO LAS 19:50 HORAS FINALIZA OPERATIVO SIN NOVEDAD.</t>
  </si>
  <si>
    <t>LV-BPV</t>
  </si>
  <si>
    <t>SIENDO LA FECHA Y HORA CONSIGNADA, SE PROCEDE A IMPLEMENTAR EL CONTROL DE SEGURIDAD POR EL ARRIBO DE LA SEÑORA PRESIDENTA, SIENDO LAS 23:20 HS ARRIBA A ESTA AEROESTACION PROCEDENTE DE LA CIUDAD DE CORDOBA EN LA AERONAVE MATRICULA LV- BPV Y SE RETIRA SIENDO LAS 23:25 HS EN EL H-02 SIN NOVEDAD.</t>
  </si>
  <si>
    <t>LLANOS, CAROLINA</t>
  </si>
  <si>
    <t>S/HURTO MOTOVEHICULO</t>
  </si>
  <si>
    <t>SECTOR PUBLICO LINDANTE A LA TORRE DE CONTROL.</t>
  </si>
  <si>
    <t>SIENDO LAS 2200 HORAS APROXIMADAMENTE SE PRESENTO EL DENUNCIANTE EN LA GUARDIA DE PREVENCION DE ESTA UNIDAD A NOTIFICAR AL PERSONAL DE TURNO LA FALTA DEL MOTOVEHICULO DE SU PROPIEDAD PROCEDIENDO EL OFICIAL JEFE DE TURNO A REALIZAR UNA INSPECCION OCULAR DEL LUGAR DEL HECHO NO ENCONTRANDO RESTOS DE ELEMENTOS, MARCAS O DETALLES EN LA SUPERFICIE QUE IDENTIFIQUE QUE SE HAYA EJERCIDO ALGUN TIPO DE VIOLENCIA PARA LA SUSTRACCION. DEL MOTO VEHICULO SE ESTABLECE COMUNICACION CON LA SECRETARIA PENAL DEL JUZGADO FEDERAL QUIEN DISPONE SE LE RECIBA LA DENUNCIA AL DAMNIFICADO, Y SE ELEVEN LAS ACTUACIONES AL JUZGADO POR SER DELITO DE COMPETENCIA DE LA PROVINCIA YA QUE NO HABRIA UNA AFECTACION AL INTERES DEL ESTADO NACIONAL NI A SU PATRIMONIO,</t>
  </si>
  <si>
    <t>GARELLO MARIA</t>
  </si>
  <si>
    <t>MÓDULO DE MANTENIMIENTO DE AUSTRAL LÍNEAS AÉREAS SITO FRENTE A LA POSICIÓN Nº 15 DE LA PLATAFORMA AEROCOMERCIAL DE ÉSTE AEROPUERTO</t>
  </si>
  <si>
    <t>SIENDO LA FECHA Y HORA CONSIGNADA SE HACE PRESENTE A ESTA GUARDIA DE PREVENCIÓN EL DENUNCIANTE, MANIFESTANDO LA SUSTRACCIÓN DE UNA CAJA DE HERRAMIENTAS, LA CUÁL CONTENÍA EN SU INTERIOR HERRAMIENTAS VARIAS PERTENECIENTES A LA EMPRESA MENCIONADA, DEL LOCKER QUE LA MISMA TIENE PARA GUARDAR DICHAS CAJAS EN EL MÓDULO DE MANTENIMIENTO DE ÉSTA, UBICADA EN EL SECTOR DE PLATAFORMA. EL MISMO MANIFIESTA QUE EL DIA 3 DEL CORRIENTE HABIA DEJADO DICHA CAJA, EN EL LOCKER Y EL DIA 18 CUANDO SE DIRIGIO A BUSCAR LA MISMA, YA NO ESTABA.</t>
  </si>
  <si>
    <t>RAMOS</t>
  </si>
  <si>
    <t>EMPRESA JET PAQ</t>
  </si>
  <si>
    <t>JOSE LUNA, DIREC.- MEDRANO Nº 23, TEL 4931-9826, ALMAGRO, C.A.B.A, ARGENTINA</t>
  </si>
  <si>
    <t>AGUILAR JUAN CARLO, DIREC.-RETIRA EN SUCURSAL-RIO GALLEGOS, PCIA. SANTA CRUZ</t>
  </si>
  <si>
    <t>EN MOMENTOS EN DONDE EL PERSONAL POLICIAL QUE SE ECONTRABA REALIZANDO UN CONTROL MEDIANTE MAQUINA DE RAYOS X EN EL PUNTO DE INSPECCIÓN Y REGISTRO DENOMINADO JET PAQ, UBICADO EN EL SECTOR DE CARGAS, SOBRE LA CARGA A DESPACHAR PARA EL VUELO DE MENCION, OBSERVÓ A TRAVES DE LA PANTALLA DEL MONITOR, QUE EN EL INTERIOR DE UNA SACA DE LA EMPRESA CORREO ARGENTINO, HABIA UNA CAJA CON SUSTANCIA ORGÁNICA, QUE SE VISUALIZABA DE COLOR ANARANJADO Y EN FORMA COMPACTA Y DADA SU DENSIDAD PODRIA SER COMPATIBLE CON SUSTANCIA ESTUPEFACIENTE. SE ENTABLO COMUNICACIÓN CON LA JUDICATURA INTERVINIENTE Y PREVIA AUTORIZACIÓN DE LA MISMA, SE PROCEDIO A EFECTUAR LA REQUISA DE LA MISMA, OBTENIÉNDOSE COMO RESULTADO QUE DENTRO DE LA CAJA SE ENCONTRARON DOS MAS PEQUEÑAS, HALLANDOSE DENTRO DE UNA UN PAQUETE Y DENTRO DE LA SEGUNDA DOS PAQUETES MAS, LOS CUALES FUERON SOMETIDOS A REACTIVO ORIENTATIVO PARA LA SUSTANCIA MARIHUANA, ARROJANDO RESULTADO POSITIVO.</t>
  </si>
  <si>
    <t>SIENDO LAS 12:00 HORAS LOCAL SE PRESENTA EL SEÑOR REARTE RAÚL OSCAR CON DNI Nº 33467193, QUIEN SE DESEMPEÑA COMO EMPLEADO DE LA EMPRESA OBYSERV CON EXPOSICIÓN POLICIAL Nº 3120/10 C.D.G.M. DE LA POLICÍA DE LA PROVINCIA DEL CHUBUT, DONDE EXPONE QUE EXTRAVÍO SU PERMISO PERSONAL DE SEGURIDAD AEROPORTUARIA Nº 367572 CON VENCIMIENTO 20/10/2011, EN CIRCUNSTANCIAS QUE DESCONOCE.</t>
  </si>
  <si>
    <t>7875/10</t>
  </si>
  <si>
    <t>SE PROCEDE A LA APERTURA DE UNA ENCOMIENDA DEL CORREO OFICIAL, SEGÚN CONSTA EN ACTA DE APERTURA DE CARGAS Nº 527/10, PREV. SUM. Nº 117/10, EN VIRTUD DE LO ORDENADO MEDIANTE OFICIO JUDICIAL S/N DEL MAGISTRADO ACTUANTE Y EN PRESENCIA DE DOS TESTIGOS HÁBILES. LA ENCOMIENDA SE IDENTIFICA COMO EP719710451AR, RTTE. SR. JORGE HECTOR PANTOJA, SAN PEDRO DE JUJUY, ROGELIO LEACH 136 Y DEST. SRA. LIDIA ANDREA ROJAS, MAR DEL PLATA, BATAN 7601, CONTIENE: 17 PAQUETES DE HOJAS DE COCA CON UN PESO TOTAL DE 4.175 GRS., QUEDA SECUESTRADA, LA MISMA SERÁ PUESTA A DISPOSICIÓN DE LA ADMINISTRACIÓN DE ADUANA DE SALTA POR SUPUESTA INFRACCIÓN AL CÓDIGO ADUANERO, LEY 22.415 Y LAS ACTUACIONES REMITIDAS A SEDE JUDICIAL. SEGÚN PU ORIGINARIO N° 7870/10 SE PROCEDE A LA RETENCIÓN DE UNA SACA COLECTORA DEL CORREO OFICIAL, SEGÚN CONSTA EN ACTA DE RETENCIÓN DE CARGAS Nº 510/10, QUE ORIGINA LA PREVENCIÓN SUMARIA 117/10, LA SACA IDENTIFICADA CON MARBETE, SLA0254734E545400MDQ, PRECINTO N° E350237, CON UN PESO DECLARADO DE 6,700 KGS, CON DESTINO LA CIUDAD DE MAR DEL PLATA, CONTENDRÍA UNA PIEZA POSTAL. LA MISMA ESTÁ AMPARADA EN GUÍA DE CARGA Nº 9309168-1, DESPACHADAS A TRAVÉS DE LA EMPRESA DE CARGA AÉREA JET PAQ. LA RETENCIÓN SE REALIZA ANTE LA PRESUNCIÓN QUE PUDIERAN CONTENER ALGÚN ELEMENTO EN INFRACCIÓN A LA LEY 23.737 Y/O 22.415, QUEDANDO LA MISMA CERRADA Y PRECINTADA EN GUARDA EN ESTA UOSP. SEGÚN LO COORDINADO CON EL DRA. MARÍA ISABEL FALU, A CARGO DE LA SECRETARIA PENAL Nº 4 DEL JUZGADO FEDERAL DE SALTA Nº 2 A CARGO DEL DR. MIGUEL ANTONIO MEDINA. LA APERTURA SE REALIZARÁ EN PRESENCIA DEL PERSONAL DEL CORREO OFICIAL. SEGUN PU N° 7875/10 SE PROCEDE A LA APERTURA DE UNA SACA COLECTORA DEL CORREO OFICIAL, SEGÚN COSTA EN ACTA DEJANDO CONSTANCIA Nº 511/10, CORRESPONDIENTE A LA PREVENCIÓN SUMARIA Nº 117/10, LA SACA IDENTIFICADA CON MARBETE, SLA0254734E545400MDQ, PRECINTO N° E350237, CONTIENE UNA PIEZA POSTAL IDENTIFICADA COMO EP71971045AR, REMITENTE SR. JORGE HÉCTOR PANTOJA, SAN PEDRO DE JUJUY, ROGELIO LEACH 136, Y DESTINATARIO SRA. LIDIA ANDREA ROJAS MAR DEL PLATA ,BARTAN 760, LA CUAL QUEDA RETENIDA. LA RETENCIÓN SE REALIZA ANTE LA PRESUNCIÓN DE QUE PUDIERA CONTENER ALGÚN ELEMENTO EN INFRACCIÓN A LAS LEYES 23.737 O 22.415, QUEDANDO LA MISMA CERRADA Y EN GUARDA EN ESTA USP. SE COMUNICO TELEFÓNICAMENTE AL JUZGADO INTERVINIENTE Y LA APERTURA SE REALIZA CON LA AUTORIZACIÓN DEL MAGISTRADO ACTUANTE.</t>
  </si>
  <si>
    <t>ALMALUEZ CECILIA MARIANGEL S/DENUNCIA- IMP: PINELA FERNANDO DAVID-</t>
  </si>
  <si>
    <t>INFORMO EN EL DIA DE LA FECHA SIENDO LAS 14,10 HORAS, DURANTE EL CONTROL DE DOCUMENTACION DEL PREEMBARQUE CORRESPONDIENTE AL VUELO AR 1892 DE LA EMPRESA AEROLINEAS ARGENTINAS SE INDIVIDUALIZO E IDENTIFICO AL CIUDADANO FERNANDO DAVID PINELA SOBRE QUIEN PESA UNA SOLICITUD DE AVERIGUACION DE PARADERO SEGUN RADIOGRAMA NRO. 684/10 OCPATF RELACIONADO A LA CAUSA NRO. 19022 CARATULADA ´ALMALUEZ, CECILIA MARIANGEL S/DENUNCIA - IMP. PINELA, FERNANDO DAVID´ REGISTRO RED LINCE 287985 EN TRAMITE ANTE EL JUZGADO DE INSTRUCCION DE SEGUNDA NOMINACION DISTRITO JUDICIAL SUR A CARGO DE LA DRA. MARIA C. BARRIONUEVO, SECRETARIA DE LA DRA. MERCEDES LOPEZ VEGA. SE REALIZO COMUNICACION TELEFONICA CON EL JUZGADO DE REFERENCIA EN LA PERSONA DE LA DRA. LOPEZ VEGA, QUIEN MANIFESTO QUE EL CAUSANTE FIJE DOMICILIO REAL Y EVENTUAL E INFORME TODA VEZ QUE CAMBIE DE DOMICILIO O TELEFONO PARTICULAR. SE LABRA ACTA DE NOTIFICACION NRO. 09/10. SE RETIRA EL CAUSANTE CONTINUANDO CON SU VIAJE.</t>
  </si>
  <si>
    <t>USHUAIA - TIERRA DEL FUEGO</t>
  </si>
  <si>
    <t>VEHICULO TAXIMETRO</t>
  </si>
  <si>
    <t>SIENDO LA HORA MENCIONADA SE HACE PRESENTE LA DAMNIFICADA MANIFESTANDO EL DIA 18 DE DICIEMBRE AL MOMENTO DE DESCENDER DEL VEHICULO TAXIMETRO SE DEJA OLVIDADO SU BOLSO PORTA NOTEBOOK, Y POR PERCATARSE HORAS DESPUES DE LLEGADA AL DOMICILIO DECIDE NO RELIAZAR LA DENUNCIA EL MISMO DIA Y HACERSE PRESENTE EL DIA DE LA FECHA A RADICAR LA MISMA.</t>
  </si>
  <si>
    <t>SE AMPLIA PARTE N° 8053 DE FECHA 17/12/2010, INFORMO QUE EN EL DIA DE LA FECHA 22 DE DICIEMBRE DE 2010, SE RECEPCIONO OFICIO JUDICIAL S/N, DE FECHA 21 DE DICIEMBRE DE 2010 EN EL CUAL SE DISPUSO QUE SE ARBITRE LOS MEDIOS NECESARIOS PARA QUE PERSONAL DE ESTA FUERZA CONJUNTAMENTE CON PERSONAL DE LA AFIP-DGI SALTA, REALIZE UN EXHAUSTIVO ANALISIS SOBRE LA DOCUMENTACION ,CPU Y SOPORTE TECNICO QUE FUERON SECUESTRADAS EN EL DOMICILIO DE LAS PERSONAS DETENIDAS EN LAS PRESENTES ACTUACIONES CON EL OBJETO DE RECABAR INFORMACION QUE SEA DE UTILIDAD PARA LA CAUSA.PARA LO CUAL PERSONAL DE ESTA UNIDAD REALIZARA INFORME SOBRE LOS CELULARES SECUESTRADOS ,SE SOLICITARA A LAS EMPRESAS PRESTATARIAS TODA INFORMACION REFERENTE A NUMEROS DE IMEI ,TARJETAS SIM,LLAMADAS ENTRANTES Y SALIENTES, COMO ASI TAMBIEN OBTENER LOS MENSAJES EMITIDOS Y RECIBIDOS DE DICHOS TELEFONOS .SE COORDINARA CON PERSONAL IDONEO DEL AFIP-DGI SALTA PARA REALIZAR EL ANALISIS DE LA DOCUMENTACION SECUESTRADA Y TODA INFORMACION QUE PUEDA OBTENERSE DE LOS CPU Y NOTEBOOK SECUESTRADAS.</t>
  </si>
  <si>
    <t>SEBASTIAN RAMOS</t>
  </si>
  <si>
    <t>N.N. S/INFRACCION LEY 23.737</t>
  </si>
  <si>
    <t>CENTRO DE DISTRIBUCION DEL CORREO ARGENTINO</t>
  </si>
  <si>
    <t>AV. FAIR 1101 ESQ. BVARD CERVETTI, MONTE GRANDE, PCIA. DE BS. AS.</t>
  </si>
  <si>
    <t>EN EL DIA DE LA FECHA SE RECIBE OFICIO JUDICIAL EL CUAL AUTORIZA A LA POLICIA DE SEGURIDAD AEROPORTUARIA A REALIZAR LAS COORDINACIONES NECESARIAS PARA QUE LA ENCOMIENDA NRO. EP719409856 FIGURE EN LOS SISTEMAS DEL CORREO ARGENTINO COMO SI ESTUVIERA EN CURSO NORMAL.</t>
  </si>
  <si>
    <t>TRIBUNAL ORAL EN LO CRIMINAL N° 4.</t>
  </si>
  <si>
    <t>BERTUZZI</t>
  </si>
  <si>
    <t>PABLO DANIEL</t>
  </si>
  <si>
    <t>DRA. POSSETI</t>
  </si>
  <si>
    <t>CAMACHO IVAN JAIME POR FALSIFICACION DE DOCUMENTOS PUBLICOS</t>
  </si>
  <si>
    <t>OFICINAS DE INGRESO AL TERRITORIO NACIONAL</t>
  </si>
  <si>
    <t>QUE SIENDO EL DÍA Y LA HORA INDICADA SE RECEPCIONA POR PARTE DE LA DIRECCION NACIONAL DE MIGRACIONES AL CAUSANTE EN VIRTUD A ELLO SE MANTIENE COMUNICACIÓN TELEFÓNICA CON LA DRA. POSSETI, SECRETARIA DEL TRIBUNAL SOLICITANTE ANOTICIÁNDOLA DE LOS PORMENORES, INDICANDO LA MISMA PREVIAS CONSULTAS Y POR ASÍ HABERLO DISPUESTO S.SA. SE PROCEDA AL SECUESTRO DEL PASAPORTE DEL CAUSANTE Y DEL BOARDING PASS, Y QUE SE RETIRE DE ESTA DEPENDENCIA POLICIAL PREVIA NOTIFICACIÓN DE QUE DEBERÁ COMPARECER AL TRIBUNAL DE MENCIÓN EL DÍA 23 DEL CORRIENTE MES Y AÑO A LAS 1000 HORAS, QUE EL CAUSANTE APORTE UN DOMICILIO EN EL PAÍS,Y SE ELEVE TODO LO ACTUADO A PRIMERA HORA DEL DÍA 23 DEL CORRIENTE MES Y AÑO, JUNTAMENTE CON EL SECUESTRO DE LA DOCUMENTACIÓN. SE CUMPLIMENTA LO ORDENADO POR LA JUDICATURA ACTUANTE RETIRÁNDOSE EL CAUSANTE DE ESTA DEPENDENCIA CONFORME CON LOS TRATOS RECIBIDOS.</t>
  </si>
  <si>
    <t>INF. 78 Y 85 DECRETO LEY 8031/73</t>
  </si>
  <si>
    <t>SIENDO LA HORA Y LA FECHA ANTES MENCIONADA EN MOMENTOS QUE EFECTUABAN LOS OFICIALES CARABAJAL Y CAFFERATA UNA RECORRIDA POR EL SECTOR INDICADO, EN PREVENCIÓN Y CONJURACIÓN DE DELITOS Y FALTAS, OBSERVAN Y SORPRENDEN IN FRAGANTI A UNA PERSONA DE SEXO MASCULINO QUE SE ENCONTRABA REALIZANDO EL SERVICIO DE MALETERO A QUIEN SE LE SOLICITA LA HABILITACIÓN O PERMISO CORRESPONDIENTE PARA REALIZAR DICHA TAREA, DE LA CUAL CARECE. QUE LUEGO DE IDENTIFICARLO SE LO CONDUCE AL SERVICIO DE SANIDAD PARA PRACTICAR SOBRE SU PERSONA UN PRECARIO MEDICO DE ENTRADA Y POSTERIORMENTE TRASLADARLO A LA OFICINA DE CONTRAVENCIONES Y FALTAS A EFECTOS DE LABRAR LAS ACTUACIONES CONTRAVENCIONALES CORRESPONDIENTES.</t>
  </si>
  <si>
    <t>JUZGADO DE INSTRUCCION PENAL DE LA CIUDAD DE ZAPALA PCIA. DE NEUQUEN</t>
  </si>
  <si>
    <t>DOMINGUEZ</t>
  </si>
  <si>
    <t>OSCAR</t>
  </si>
  <si>
    <t>MARIELA ROSSI</t>
  </si>
  <si>
    <t>GRAMAJ E. Y/O S/DAÑO</t>
  </si>
  <si>
    <t>EN EL DIA DE LA FECHA, REALIZANDO CONTROL PREVENTIVO CORRESPONDIENTE AL VUELO SPL1 DE LA EMPRESA LAER, CON DESTINO AEROPARQUE, SE DETECTA EN EL SISTEMA RED LINCE, UN PEDIDO DE PARADERO, A NOMBRE DE HORACIO CEBALLOS, SIN MÁS DATOS FILIATORIOS. HABIÉNDOSE MANTENIDO COMUNICACIÓN CON EL JUZGADO INTERVINIENTE, POR COINCIDIR NOMBRE Y APELLIDO DE PASAJERO CON PEDIDO DE PARADERO, A SOLICITUD DEL JUZGADO SE REALIZA ACTUACIÓN FIJANDO DOMICILIO ACTUAL DEL PASAJERO PARA POSTERIOR ELEVACION DE LO ACTUADO AL JUZGADO DE REFERENCIA.</t>
  </si>
  <si>
    <t>L.A.E.R.</t>
  </si>
  <si>
    <t>SPL1</t>
  </si>
  <si>
    <t>8080/10</t>
  </si>
  <si>
    <t>SOLICITUD DE REGISTRO POR SUP. INFRACCION LEY 23.737</t>
  </si>
  <si>
    <t>967/10</t>
  </si>
  <si>
    <t>SIENDO LAS 13:40 HS. SE PRESENTA EL OF. AUX. CRISTIAN ADRIÁN GONZALEZ DE LA POLICÍA DE LA PROV. DE SALTA - DROGAS PELIGROSAS, JUNTO A OTROS 06 EFECTIVOS DE LA MISMA DIVISIÓN, AG.MATIAS COLQUE, AG.MAXIMILIANO BARROZO,CABO JAVIER TABARCACHE, CABO HUGO BULDURINI, CABO SILVIO AYBAR CON CAN VENUS, CABO ENZO ARENAS CON CAN MAX, DE FRONTERA NORTE, CON OFICIO JUDICIAL S/N DEL JUZGADO FEDERAL DE SALTA Nº 2 EN EXPTE Nº 967/10, A FIN DE REALIZAR EL REGISTRO DE UN VEHICULO MARCA NISSAN FRONTIER, DOMINIO GSY760, QUE SE ENCONTRABA EN LA PLAYA DE ESTACIONAMIENTO DE ESTE AEROPUERTO, CON LA COLABORACIÓN DE PERSONAL DE ESTA UOSP, SIENDO LAS 13:50 HS. SE ESTABLECE COMUNICACIÓN CON LA DRA. MARIA ISABEL FALU A CARGO DE LA SECRETARIA PENAL Nº 4 DEL MENCIONADO JUZGADO, LA CUAL DISPONE QUE EL VEHICULO SEA REQUISADO Y PROCEDER AL SECUESTRO DE SUSTANCIAS ESTUPEFACIENTES, ELEMENTOS DESTINADOS A SU PREPARACIÓN, DOCUMENTACIÓN RELACIONADA Y TODO OTRO ELEMENTO DE INTERÉS PARA LA CAUSA. QUE EL MISMO SEA LLEVADO A LA DIRECCIÓN GRAL. DE DROGAS PELIGROSAS EN CARÁCTER DE SECUESTRO, SEAN HALLADOS O NO ELEMENTOS INCRIMINATORIOS, PARA SER RECLAMADO Y/O RETIRADO. EN PRESENCIA DE UN TESTIGO HÁBIL DE ACUERDO A LO DISPUESTO POR LA DRA. FALÚ. SEGÚN MANIFESTACIÓN DEL OF. AUX. GONZALEZ, SE PROCEDIÓ A DAR CUMPLIMIENTO AL OFICIO JUDICIAL, SE EXTRAJERON E INSPECCIONARON LAS CUATROS RUEDAS DE LA CAMIONETA CON EL EQUIPO DE RX DEL SCAN VAN DE DOTACIÓN, CON RESULTADO NEGATIVO. PERSONAL DE LA POLICÍA DE LA PROV. DE SALTA CONVOCO A UN CERRAJERO, QUIEN REALIZO LA APERTURA DE LAS 4 PUERTAS, PERSONAL DE FRONTERA NORTE CON CANES "VENUS" Y "MAK", REALIZAN EL TRABAJO RESPECTIVO, DESTACANDO QUE LA PERRA "VENUS" EN DOS OPORTUNIDADES SE DIRIGIÓ HACIA LA BASE DEL ASIENTO TRASERO DEL VEHICULO, DONDE RASGUÑÓ VARIAS VECES SOBRE EL TAPIZADO DEL MISMO, EN ACTITUD DE "MARCAR", EN TANTO QUE EL OTRO CAN NO SEÑALÓ NADA, SE PROCEDIÓ AL REGISTRO CON EL CAN "LAISA" GUIADA POR EL OF. PPAL. SERGIO BARRIONUEVO DE ESTA U.O.S.P. EL CUAL SEÑALÓ EL MISMO LUGAR DONDE "MARCÓ" LA PERRA "VENUS", SE PROCEDIÓ A EXTRAER EL ASIENTO PARA SER INSPECCIONADO CON EL EQUIPO DE RX DEL SCAN VAN DE ESTA UNIDAD, ARROJANDO RESULTADO NEGATIVO. LUEGO DE REQUISAR TODO EL VEHICULO SE HIZO SABER AL TESTIGO QUE SE HABÍA CONCLUIDO CON LA REQUISA. SE CONFECCIONO UN "INVENTARIO DE AUTOMOTOR", CON EL OBJETO DE DEJAR CONSTANCIA DEL ESTADO DEL VEHICULO, CONCLUYENDO CON EL PROCEDIMIENTO APROX. A LAS 16:30 HS.; A LAS 17:05 HS. EL OF. AUX. GONZALEZ SE COMUNICÓ TELEFONICAMENTE CON LA DRA. FALU INFORMANDO EL RESULTADO DEL REGISTRO DEL VEHICULO, TRASLADANDO EL MISMO A SU A SU SEDE POLICIAL PARA SU GUARDA, DANDO CUMPLIMIENTO A LO DISPUESTO POR EL MAGISTRADO ACTUANTE Y REALIZÁNDOSE LAS ACTUACIONES CORRESPONDIENTES.</t>
  </si>
  <si>
    <t>JUZGADO DE 1° INSTANCIA DE MENORES</t>
  </si>
  <si>
    <t>MIERS</t>
  </si>
  <si>
    <t>CARLOS MARIA</t>
  </si>
  <si>
    <t>DRA. MARIA ELENA QUINTEROS</t>
  </si>
  <si>
    <t>EN HORAS DE LA MAÑANA SE PRESENTA EN LA GUARDIA DE PREVENCIÓN, EL JOVEN RAMÍREZ EL MISMO TIENE DIECISÉIS AÑOS DE EDAD, QUIEN MANIFIESTA QUE SE ENCONTRABA DE VIAJE EN ÓMNIBUS DESDE LA CIUDAD DE ROSARIO A LA CIUDAD DE RECONQUISTA, HABIÉNDOSE QUEDADO DORMIDO DESCENDIÓ EN LA TERMINAL DE ESTA CIUDAD CAPITAL, DESDE DONDE SE DIRIGIÓ CAMINANDO POR LA RUTA NACIONAL Nº 11 HASTA INGRESAR A ESTE AEROPUERTO PARA PEDIR UN POCO DE AGUA PARA BEBER, MANIFESTANDO ADEMÁS QUE NO POSEÍA DINERO PARA REGRESAR A LA LOCALIDAD DE DESTINO. EL OFICIAL PRINCIPAL ABBATE LE SOLICITA UN NUMERO TELEFÓNICO PARA CONTACTARSE CON UN FAMILIAR CERCANO E INFORMARLE QUE EL MENOR SE ENCONTRABA EN ESTE AEROPUERTO APARTANDO EL MENOR EL Nº 03482-15310758 , SIENDO ATENDIDO POR UNA SEÑORA QUE DECÍA SER SU MADRE. SE LE DA INTERVENCIÓN AL JUZGADO DE 1º INSTANCIA DE MENORES QUIEN DERIVA A LA DIRECCIÓN DE NIÑEZ Y ADOLESCENCIA, QUIENES DISPONEN QUE EL MISMO SEA TRASLADADO A UNA INSTITUCIÓN PARA MENORES "HOGAR PREEGRESO". SEGUIDAMENTE SE SOLICITA LA PRESENCIA DE DOS TESTIGOS HÁBILES A LOS EFECTOS DE DEJAR CONSTANCIA DE QUE EL MENOR NO PRESENTA SIGNOS DE GOLPES NI MALTRATOS. POSTERIORMENTE SE TRASLADA AL MENOR PARA SU REVISACIÓN MEDICA. EXAMINADO EL MISMO POR EL DR. LUIS MARCELO ESQUIVEL (MP 2134), MEDICO FORENSE POLICIAL DE TURNO Y PREVIA EXTENSIÓN DEL CORRESPONDIENTE CERTIFICADO DE EXAMEN MEDICO FORENSE POLICIAL SIN NOVEDAD, EL MENOR ES TRASLADADO AL ESTABLECIMIENTO AL QUE FUE DERIVADO, QUEDANDO ALLÍ BAJO GUARDA DEL PERSONAL DE LA INSTITUCIÓN ANTES MENCIONADA, DE ACUERDO A LO DESCRIPTO EN ACTA DE PROCEDIMIEN TO Nº 0035/2010.</t>
  </si>
  <si>
    <t>EN MOMENTOS DE REALIZAR EL CONTROL DE LA CARGA Y CORREO A EMBARCAR EN EL VUELO DE REFERENCIA, AL PASAR UNA SACA DEL CORREO ARGENTINO POR EL EQUIPO DE RAYOS X LA OFICIAL MAYOR JOSEFINA GIORDAN Y EL OFICIAL PRINCIPAL GUSTAVO SICARDI ADVIERTEN QUE DENTRO DE LA SACA SE ENCUENTRA UNA CAJA CON OBJETOS DE FIGURA RECTANGULAR DEL TIPO ORGANICA Y UN RECIPIENTE METALICO RECTANGULAR SIMILAR A UN EQUIPO ELECTRONICO, EN CUYO INTERIOR SE OBSERVA OTRA FIGURA RECTANGULAR DE TIPO ORGANICA. SEGUIDAMENTE EL GUIA DE CANES REALIZA EL CONTROL CON EL CAN AXEL MARCANDO LA SACA MENCIONADA DANDO RESULTADO POSITIVO PARA LA PRESENCIA DE SUSTANCIAS ESTUPEFCIENTES.SE COMUNICA AL JUZGADO QUIEN DISPONE SE INTERDICTE LA SACA Y SE SOLICITE LA ORDEN DE APERTURA EN EL PRESENTE DIA.</t>
  </si>
  <si>
    <t>DOMICILIO DEL DENUNCIANTE SITO EN CALLE 428 / 136 Y 137 SIN NUMERO CITY BELL, LA PLATA, PCIA. DE BS. AS.</t>
  </si>
  <si>
    <t>SIENDO LA FECHA Y LA HORA ANTES MENCIONADA SE PRESENTA EN LA GUARDIA DE PREVENCION EL DENUNCIANTE MANIFESTANDO QUE EL DÍA VEINTINUEVE DE ENERO DEL CORRIENTE AÑO, SE CONTACTA CON EL SEÑOR JIMENES, EN UN CONSULTORIO. DONDE EL SR. JIMENES LE MANIFESTÓ AL DENUNCIANTE QUE EN EL TERRENO DE SU CASA HABÍA ENTERRADO ORO, POR LO QUE LE SOLICITA QUE LE LLEVE UNA PEQUEÑA CANTIDAD DE TIERRA PARA CONSTATAR SUS DICHOS. QUE AL LLEVARLE LA TIERRA EL SEÑOR JIMENES LE REFIERE QUE EL ORO SE ENCONTRABA EN EL TERRENO DE SU CASA PORQUE LE TIERRA SE CALENTABA Y QUE EN VIRTUD AL DATO QUE LE HABÍA BRINDADO, LE DEBÍA ABONAR LA SUMA DE CUARENTA Y CUATRO MIL DÓLARES. QUE EN TAL SENTIDO EL DENUNCIANTE VENDE UNA PROPIEDAD Y LE PAGA AL SEÑOR JIMENES LA SUMA DE DIEZ MIL DÓLARES. QUE AL CERRAR LA OPERACIÓN DE LA VENTA DE LA PROPIEDAD, EL DENUNCIANTE LE ABONA AL SEÑOR JIMENES LA SUMA DE TREINTA MIL DÓLARES MAS, MOMENTO EN EL CUAL EL SEÑOR JIMENES LE MANIFIESTA AL DENUNCIANTE QUE DEBÍA VIAJAR A BOLIVIA A LOS EFECTOS DE TRAER UNA MAQUINA PARA EXTRAER EL ORO QUE SE ENCONTRABA EN SU DOMICILIO. EL VEINTIDÓS DE SEPTIEMBRE DEL CORRIENTE AÑO SE ENCUENTRAN EN UNA CASA UBICADA EN 31 BIS, NUMERO 124 DE LA LOCALIDAD DE SAN CLEMENTE, PARTIDO DE LA COSTA, DONDE EL DENUNCIANTE LE HACE ENTREGA DEL RESTO DEL DINERO. LUEGO EL SEÑOR JIMENES SE DIRIGE HACIA LA REPUBLICA DE BOLIVIA Y LE DEJA AL DENUNCIANTE UN NÚMERO TELEFÓNICO PARA QUE LO LLAME (0059172668239). QUE AL LLAMAR EL DENUNCIANTE A ESTE NUMERO UNA PERSONA QUE DICE LLAMARSE YOLANDA LE REFIERE QUE EL SEÑOR JIMENES SE ENCONTRABA PRESO POR LA COMPRA DE UNA MAQUINA ROBADA, ANTE ESTOS ACONTECIMIENTOS, RADICA LA CORRESPONDIENTE DENUNCIA.</t>
  </si>
  <si>
    <t>Veron de Astrada</t>
  </si>
  <si>
    <t>ROSITO</t>
  </si>
  <si>
    <t>SIENDO LA HORA Y LA FECHA ANTES MENCIONADA EL OFICIAL PERALTA ISASI, INFORMA QUE DURANTE EL CONTROL DEL VUELO MENCIONADO SE PÈRCATA QUE UN PASAJERO LLEVABA A LA ALTURA DEL ABDOMEN UN BULTO, A LO QUE SE LE CONSULTA Y EL MISMO MANIFIESTA QUE ES DINERO. POR LO QUE SE SOLICITA LA PRESENCIA DE TESTIGOS Y SE CORROBORA LOS DICHOS, POSTERIORMENTE SE TRASLADA A TODOS LOS INTERVINIENTES A LA GUARDIA POLICIAL A FIN DE CONTINUAR CON LA DILIGENCIAS DE RIGOR. A CONTINUACION SE ENTABLA COMUNICACION CON EL JUZGADO DE TURNO EL CUAL ORDENA QUE SE PROCEDA A CHEQUEAR AL PASAJERO Y SE REALICE EL CONTEO DE DICHO DINERO, UNA VEZ OBTENIDO EL CONTEO ARROJANDO UN TOTAL DE 47573 DOLARES ESTADOUNIDENSES, ORDENANDO QUE SE SECUESTREN 37573 DOLARES, SE SECUESTRE EL BOARDING PASS Y LA CEDULA DE IDENTIDAD URUGUAYA Y SE LE DEVUELVA UN TOTAL DE 10000 DOLARES EE.UU Y SE LO NOTIFIQUE PARA QUE SE PRESENTE EL DIA 23 DEL CORRIENTE EN LA JUDICATURA. SIENDO LAS 23:20 HORAS SE PROCEDE A LA LIBERACION DEL MISMO SIN NOVEDAD.</t>
  </si>
  <si>
    <t>PUNTO DE INSPECCION Y REGISTRO-ARCO DETECTOR DE METALES</t>
  </si>
  <si>
    <t>PREEMBARQUE NACIONAL, DENOMINADO TERMINAL III.</t>
  </si>
  <si>
    <t>SIENDO LAS 16:30 HORAS DEL DIA 22 DEL CORRIENTE MES Y AÑO, EL OFICIAL JEFE DARIO PAVON, JEFE DE TURNO, RECIBE COMUNICACION VIA RADIAL, POR PARTE DEL ENCARGADO DE LA TERMINAL III, INFORMANDO QUE AL REALIZAR EL CONTROL DEL VUELO AR 2688, DE LA EMPRESA AEROLINEAS ARGENTINAS, CON DESTINO A LA CIUDAD DE BARILOCHE, UN PASAJERO DE SEXO MASCULINO ACCIONA EL MARCO DETECTOR DE METALES, POR LO QUE EL OFICIAL AYUDANTE ARIEL DESIMONE, AUXILIAR DEL PUESTO, PROCEDE A REALIZAR EL CHEQUEO MANUAL, DETECTANDO EN EL BOLSILLO DELANTERO IZQUIERDO DEL PANTALON UN BULTO SOSPECHOSO, SOLICITANDOLE AL MISMO QUE LO EXHIBA, MANIFESTANDO QUE ERA MARIHUANA, POR LO QUE EN PRESENCIA EDE TESTIGOS EXHIBE EL MISMO, OBSERBANDOSE UNA SUSTANCIA DE ORIGEN VEGETAL COLOR VERDOSASEGUIDAMENTE SE SOLICITA LA PRESENCIA DEL PERITO DE TURNO, OFICIAL AYUDANTE CINTIA ALBORNOZ, LA CUAL REALIZA EL REACTIVO ORIENTATIVO NIK PARA MARIHUANA, ARROJANDO ESTE RESULTADO POSITIVO. SIENDO LAS 17:00 HORAS SE REALIZA COMUNICACION CON EL JUZGADO INTERVINIENTE QUIEN DISPUSO SE REALICEN ACTUACIONES DE RIGOR Y DE NO REGISTRARSE IMPEDIMENTO LEGAL ALGUNO, CON EL RESULTADO DE REINCIDENCIA, SE PROCEDA A LA LIBERACION DEL MISMO.</t>
  </si>
  <si>
    <t>SIENDO LA HORA Y EL DÍA ANTES MENCIONADO, SE RECIBE COMUNICACIÓN VÍA RADIAL DE LA OFICIAL MAYOR PABLA BENITEZ, ENCARGADA DEL PREEMBARQUE NACIONAL, DENOMINADO TERMINAL III, INFORMANDO QUE EN MOMENTOS EN QUE SE ENCONTRABAN REALIZANDO EL CONTROL E INSPECCIÓN DEL VUELO 854 DE LA EMPRESA AEROCOMERCIAL ANDES, CON DESTINO A LA CIUDAD DE JUJUY, AL PASAR UNA PERSONA DE SEXO FEMENINO POR EL PÓRTICO DETECTA METALES, ACCIONA SU ALARMA SONORA POR LO QUE LA OFICIAL AYUDANTE FANNY CALANDRA CONTROL Nº 504.598, PROCEDE A CHEQUEAR A LA PASAJERA OBSERVANDO QUE EN EL BOLSILLO DELANTERO IZQUIERDO DEL PANTALÓN QUE VESTÍA LLEVABA UNA MARQUILLA DE CIGARRILLOS, POR LO QUE LE SOLICITA QUE EXHIBA EL CONTENIDO Y ES EN ESE MOMENTO QUE OBSERVA DOS CIGARRILLOS ARMADOS, A LO QUE LA OFICIAL CALANDRA LE CONSULTA POR EL ORIGEN DE LOS MISMOS, RESPONDIÉNDOLE QUE SE TRATABA DE MARIHUANA. ACTO SEGUIDO SE HACE PRESENTE LA PERITO DE TURNO, REALIZA EL REACTIVO DE CAMPO ARROJANDO RESULTADO POSITIVO, POR LO QUE SE TRASLADA A TODOS LOS INTERVINIENTES A LA GUARDIA DE PREVENCIÓN. SIENDO LAS 23:20 HORAS SE ENTABLA COMUNICACIÓN CON EL DR. SEBASTIÁN RAMOS, QUIEN UNA VEZ PUESTO EN CONOCIMIENTO DE LOS SUCESOS OCURRIDOS, DISPONE: SE REALICE DILIGENCIAS DE RIGOR Y SI NO PRESENTA IMPEDIMENTO LEGAL ALGUNO SE PROCEDA A LA SOLTURA. SE AMPLIARA PARTE CON RESULTADO DE REINCIDENCIA.</t>
  </si>
  <si>
    <t>INFORMO QUE EL DIA VEINTIDOS DEL CORRIENTE MES Y AÑO, SE RECIBE OFICIO JUDICIAL EMITIDO POR EL JUZGADO DE INTERVENCION, MEDIANTE EL CUAL SE DISPONE, QUE LOS IMPUTADOS SEAN RECONDUCIDOS A ESTA DEPENDENCIA PARA QUE SE CUMPLA CON LA INMEDIATA LIBERTAD DE LOS MISMOS. LOS MISMOS SE RETIRAN DE ESTA DEPENDENCIA POR SUS PROPIOS MEDIOS EN EL DIA DE LA FECHA SIENDO APROXIMADAMENTE LAS TRES HORAS VEINTICINCO MINUTOS.</t>
  </si>
  <si>
    <t>EN CUMPLIMIENTO DE LA ORDEN DE SERVICIO NRO 0119/10 Y SIENDO LAS 01:40 HORAS LOCAL ARRIBA AIRBUS A 320 NRO 4429 DE LA EMPRESA LAN ARGENTINA MATRICULA LV-BFO EN CUYAS BODEGAS 11,12,13 Y 31 SE CARGAN UN TOTAL DE 90 CAJAS CON UN PESO DE 3610 KILOGRAMOS DE METAL - MTD - PERTENECIENTE A LA EMPRESA MINERA SANTA CRUZ, EL MISMO DESPEGA CON DESTINO AL AEROPUERTO JORGE NEWBERY A LAS 04:00 HORAS LOCAL.</t>
  </si>
  <si>
    <t>AEROPUERTO JORGE NEWBERY - CIUDAD DE BUENOS AIRES</t>
  </si>
  <si>
    <t>EN CUMPLIMIENTO A LA ORDEN DE SERVICIO NRO. 319/10 DE FECHA 23DIC10 EMITIDA POR LA URSA II CENTRO SIENDO LAS 07:30 HRS SE PRESENTO ANTE EL SERVICIO DE GUARDIA DE PREVENCION UNA COMISION DEL SERVICIO PENITENCIARIO DE LA PROVINCIA DE CORDOBA QUIEN POR ORDEN DEL JUZGADO FEDERAL DE TURNO ORDENA EL TRASLADO DEL CAUSANTE PARA SER EXPULSADO AL PAIS TRASSANDINO, SEGUN DISPOSICION SDX 01 NRO. 13575 DE LA DIRECCION NACIONAL DE MIGRACIONES, EL CUAL TRAS REALIZARSELE EL PRECARIO MEDICO PERMANECIO EN CUSTODIA EN LA GUARDIA DE PREVENCION A CARGO DEL PERSONAL DE PREVENTIVA Y DE LA UOESA .SIENDO LAS 12:30 HRS EL CAUSANTE FUE EMBARCADO EN EL VUELO DE LAN AIRLINES DESPEGANDO SIN NOVEDAD</t>
  </si>
  <si>
    <t>LA952</t>
  </si>
  <si>
    <t>FRENTE A STAND DE TAXIS EZEIZA</t>
  </si>
  <si>
    <t>QUE UNA VEZ ARRIBADO A ESTE AEROPUERTO INTERNACIONAL, EN UN VEHICULO REMIS PARTICULAR, CON MOTIVOS DE REALIZAR LOS TRAMITES CORRESPONDIENTES AL EMBARQUE DEL VUELO AV 088 CON DESTINO A COLOMBIA, LA DENUNCIANTE TOMA ASIENTO JUNTO A SU PAREJA, EN LOS BANCOS UBICADOS EN EL HALL DE ARRIBOS DE PASAJEROS DE LA TERMINAL A DE ESTE MEDIO, FRENTE AL STAND DE TAXI EZEIZA, MOMENTOS EN LOS CUALES APARTAN LA VISTA POR UNOS INSTANTES DE UNA CARTERA DE CUERO DE COLOR MARRON DE SU PROPIEDAD UBICADA SOBRE UN CARRO PORTAMALETAS, SITO A UNO DE SUS LADOS, PARA LUEGO DE QUERER BUSCAR ALGO DENTRO DE LA MISMA, SE PERCATA DEL FALTANTE DE LA MENCIONADA CARTERA.</t>
  </si>
  <si>
    <t>8158/10</t>
  </si>
  <si>
    <t>POLICIA DE SEGURIDAD AEROPORTUARIA S/ DENUNCIA HURTO</t>
  </si>
  <si>
    <t>691/10</t>
  </si>
  <si>
    <t>EN REFERENCIA AL PARTE URGENTE N 8158 SE COMUNICA QUE LA OFICIAL PRINCIPAL SIGNORELLI MARIA FLORENCIA SE APERSONO AL JUZGADO FEDERAL DONDE FUE INFORMADA DEL NUNMERO DE LA CAUSA JUDICIAL.</t>
  </si>
  <si>
    <t>JOSSY ABANTO CASTRO S/FALSIFICACION DE DOCUMENTO PUBLICO</t>
  </si>
  <si>
    <t>BOX DE MIGRACIONES SECTOR DE INGRESO AL TERRITORIO NACIONAL</t>
  </si>
  <si>
    <t>SIENDO AL HORA Y LA FECHA ANTES MENCIONADA LA DIRECCION NACIONAL DE MIGRACIONES REMITIO AL SEÑOR JOSSY STEVEN ABANTO CASTRO,SOBRE EL CUAL PESA UNA ORDEN DE CAPTURA VIGENTE, EN TAL SENTIDO SE PROCEDE A MANTENER COMUNICACION TELEFONICA CON EL JUZGADO SOLICITANTE DE LA CAPTURA EL CUAL INDICA QUE SE PROCEDA A LA DETENCION EN CALIDAD DE COMUNICADO DEL CAUSANTE Y SE TRASLADE EL MISMO A SEDE JUDICIAL UNA VEZ CULMINADAS LAS DILIGENCIAS. QUE SIENDO LAS 1130 HORAS SE PROCEDIO AL TRASLADO DEL DETENIDO A SEDE JUDICIAL SIN NOVEDAD.</t>
  </si>
  <si>
    <t>LR 625</t>
  </si>
  <si>
    <t>INFORMO EN VIRTUD A OFICIO JUDICIAL EN EL DIA DE LA FECHA, SIENDO LAS 14:00 HS SE PROCEDIO AL TRASLADO DEL DETENIDO EN AUTOS, EL CUAL SE ENCONTRABA ALOJADO EN EL HOSPITAL ZONAL DE EZEIZA, HACIA LA UNIDAD DE DETENCION NRO. 28 SPF, DONDE PERMANECERA ALOJADO</t>
  </si>
  <si>
    <t>DESDE PUERTA DE ACCESO A LA AERONAVE HASTA SALIDA DE JURISDICCION.</t>
  </si>
  <si>
    <t>SIENDO LAS 13:10 HS SE PRODUCE EL ARRIBO DEL VUELO AR 1416 DE LA EMPRESA AEROLINEAS ARGENTINAS Y SE REALIZA COMUNICACION TELEFONICA CON EL SR. AGNECA MANUEL AL NRO 011-15-383-24856 A LOS EFECTOS DE OBTENER DESCRIPCION DE LAS CARACTERISTICAS DE LA PERSONA QUE ES OBJETO DE LA CUSTODIA, LA CUAL ES IDENTIFICADA AL REALIZAR EL EGRESO DE LA AERONAVE Y SE PROCEDE A CONTACTARLA. DADO A QUE LA MISMA NO HABIA REALIZADO EL DESPACHO DE EQUIPAJE POR BODEGA SE LA INVITA A DIRIGIRSE POR UN SECTOR QUE PERMITE SORTEAR EL SALON DE ARRIBOS Y ACCEDER DIRECTAMENTE AL AREA PUBLICA DONDE ES ESPERADA POR UN VEHICULO CORSA DOMINIO ILF 307 DEL SERVICIO DE REMIS DE ESTE AEROPUERTO EL CUAL ES CONDUCIDO POR EL SEÑOR EMILIO GRIMAT QUIEN BRINDA EL NUMERO DE CONTACTO NEXTEL 54-640-1835. SE REALIZA LA CUSTODIA DEL VEHICULO POR PARTE DE PERSONAL DE DOESA VI MENDOZA HASTA EL PORTON DE ACCESO AL PERIMETRO DEL AEROPUERTO. SE DA POR FINALIZADA LA CUSTODIA PROGRAMADA PARA EL DIA DE LA FECHA Y SE INFORMA DE ESTA NOVEDAD AL TURNO DE LA URSA II DEL CENTRO.</t>
  </si>
  <si>
    <t>LEANZA</t>
  </si>
  <si>
    <t>DIEGO RODRIGUEZ BOSCH</t>
  </si>
  <si>
    <t>DIFARO S.A. S/INF. LEY 22415</t>
  </si>
  <si>
    <t>DEPOSITO EDCADASSA</t>
  </si>
  <si>
    <t>EN EL DIA DE LA FECHA SE RECIBE OFICIO JUDICIAL ORDENANDO TAREAS INVESTIGATIVAS EN LA CAUSA DE REFERENCIA, REQUERIRLE AL REPRESENTANTE LEGAL DE LA FIRMA EDCADASSA, TENGA A BIEN REMITIR AL LA FISCALIA TODA LA DOCUMENTACION VINCULADA AL DI050731C04088086X, DOCUMENTO DE TRANSPORTE: XXX00051018, MANIFIEST: 05073MDES063819M. ADEMAS INFORMAR NOMBRE Y APELLIDO DE LA PERSONA QUE EFECTUO EL RETIRO DE LA MERCADERIA, Y DEL QUE ABONO LOS GASTOS CORRESPONDIENTES.</t>
  </si>
  <si>
    <t>ROSITO, VALERIA</t>
  </si>
  <si>
    <t>ACTUACIONES LABRADAS POR HALLAZGO DE BOLSO</t>
  </si>
  <si>
    <t>CINTAS DE ARRIBOS DE EQUIPAJES DE LA TERMINAL A</t>
  </si>
  <si>
    <t>SIENDO LA FECHA Y LA HORA ANTES MENCIONADA PERSONAL PERTENECIENTE A SENASA, DA AVISO AL JEFE DE TURNO, SOBRE DOS VALIJAS HALLADAS EN LA CINTA TRANSPORTADORA DE EQUIPAJES DE LA TERMINAL A, CONTENIENDO EN SU INTERIOR AVES VIVAS. SEGUIDAMENTE SE COMISIONA AL OFICIAL ESCOBAR, QUIEN UNA VEZ EN EL LUGAR, LOGRA CONSTATAR LO MANIFESTADO POR EL SENASA, Y VERIFICA QUE LOS BOLSOS SE ENCONTRABAN APERTURADOS OBSERVANDOSE EN EL INTERIOR DE LOS MISMOS VARIAS CAJAS DE CARTON QUE PRESENTABAN ORIFICIOS Y DEJANDOSE VER A TRAVES DE LOS MISMOS QUE EN EL INTERIOR ERAN HABIDAS AVES DE DIFERENTES ESPECIES VIVAS SIN PODER PRECISAR FEHACIENTEMENTE EL ORIGEN DE LAS MISMAS Y SU ESPECIE, NI NOMBRE CIENTIFICO. SEGUIDAMENTE SE CONVOCA LA PRESENCIA DE TESTIGOS, Y POR CUESTIONES DE SEGURIDAD Y PARA PRESERVAR LA SUPERVIVENCIA DE LAS AVES, SE TRASLADAN TODOS LOS INTERVINIENTES A LAS OFICINAS DE SENASA. EN ESTE CONTEXTO DE LOS HECHOS PERSONAL DEL COC SOLICITA LA IDENTIFICACION DE DOS MASCULINOS EN ACTITUD SOSPECHOSA, LOS CUALES SE ENCONTRABAN EN ESTA AEROESTACION, SEGUIDAMENTE EL OFICIAL DOMINGO PROCEDE A IDENTIFICAR A UNO DE LOS MASCULINOS AL INTENTAR ABORDAR UN VEHICULO TIPO CAMIONETA MARCA PEUGEOT MODELO PARTNER CON DOMINIO COLOCADO ILL819, OBSERVANDO QUE EN EL INTERIORDEL VEHICULO JAULAS DE PAJAROS VACIAS, Y EL OFICIAL GOMEZ PROCEDE A IDENTIFICAR AL OTRO MASCULINO EN EL PUESTO TAQUILLA TRATANDO DE SALIR DE ESTA AEROESTACION EN UN VEHICULO MARCA TOYOTA MODELO COROLLA CON DOMINIO HSH538. SE DIO INTERVENCION AL JUZGADO NACIONAL EN LO PENAL ECONOMICO DE TURNO, QUIEN DISPUSO SE LABREN ACTUACIONES DE RIGOR, SE IDENTIFIQUE A LOS MASCULINOS, Y LUEGO SE RETIREN DE ESTE ASIENTO DE GUARDIA DE PREVENCION, Y SE PROCEDA AL REEMBARQUE DE LAS AVES HACIA LA CIUDAD DE ROMA.</t>
  </si>
  <si>
    <t>DR. FEDERICO GRAU</t>
  </si>
  <si>
    <t>SUPUESTA INFRACCIÓN A LA LEY Nº 23.737</t>
  </si>
  <si>
    <t>EN EL DIA DE LA FECHA EN VIRTUD DE LOS CONTROLES PREVENTIVOS EN EL PUNTO DE INSPECCION Y REGISTRO DEL PREEMBARQUE DE LA ESTACION AEREA CORRIENTES, SE DETECTO POR MEDIO DE LOS CACHEOS A LOS PASAJEROS DEL VUELO DE LA EMPRESA AUSTRAL LINEAS AEREAS, QUE UN PASAJERO TENIA A LA ALTURA DEL BOLSILLO DEL PANTALON LADO IZQUIERDO UN BULTO SOSPECHOSO, INTERROGADO SOBRE EL MISMO RESPONDE QUE SE TRATABA DE PASTO PARA FUMAR Y QUE ERA DE USO PERSONAL. AL SOLICITARLE QUE EXTRAIGA DEL BOLSILLO SE OBSERVA QUE SE TRATABA DE UNA BOLSA DE POLIETILENO DE COLOR BLANCO Y ROJO CONTENIENDO UNA SUSTANCIA DE ORIGEN VEGETAL DE CARACTERISTICAS SIMILARES A LA DE LA CANANABIS SATIVA. POR TAL MOTIVO EL PERSONAL DISPUESTO A LAS TAREAS DE INSPECCION INFORMO AL SUPERVISOR DE TURNO QUIEN INICIA LAS TAREAS DE RIGOR. EL CONTENIDO DE LA BOLSA ERA UN TROZO DE FORMA CUBICA DE 4 CM DE ANCHO X 4 CM. DE LARGO X 2 CM. DE ALTO Y UN TROZO DE FORMA IRREGULAR DE UNA SUSTANCIA VEGETAL COMPACTADA. QUE AL EFECTUAR LA PRUEBA DE CAMPO CON TEST DE ORIENTACION NICK PARA MARIHUANA, ARROJA RESULTADO POSITIVO. POR EL HECHO SE PROCEDE AL SECUESTRO DE LA MISMA. QUEDANDO LA PERSONA EN LIBERTAD, LUEGO DE CONSTATACION DE DOMICILIO Y SUJETO A LA CAUSA DE ACUERDO A LO DISPUESTO POR EL JUEZ INTERVINIENTE.</t>
  </si>
  <si>
    <t>8180/10</t>
  </si>
  <si>
    <t>GALEANO, ANDRES -JEFE DE UNIDAD OPERACIONAL RESISTENCIA-POLICÍA DE SEGURIDAD AEROPORTUARIA S/SOLICITA APERTURA DE SACA</t>
  </si>
  <si>
    <t>EXPTE 553/10</t>
  </si>
  <si>
    <t>GABRIELA ZAPATA B° BENITO LINCH 923 CORRIENTES</t>
  </si>
  <si>
    <t>SERGIO ERNESTO BENICIO DNI 31.408.863 CP 9103 RAWSON</t>
  </si>
  <si>
    <t>PU 8180 DE FECHA 22 DIC 2010 EN MOMENTOS DE REALIZAR EL CONTROL DE LA CARGA Y CORREO A EMBARCAR EN EL VUELO DE REFERENCIA, AL PASAR UNA SACA DEL CORREO ARGENTINO POR EL EQUIPO DE RAYOS X LA OFICIAL MAYOR JOSEFINA GIORDAN Y EL OFICIAL PRINCIPAL GUSTAVO SICARDI ADVIERTEN QUE DENTRO DE LA SACA SE ENCUENTRA UNA CAJA CON OBJETOS DE FIGURA RECTANGULAR DEL TIPO ORGANICA Y UN RECIPIENTE METALICO RECTANGULAR SIMILAR A UN EQUIPO ELECTRONICO, EN CUYO INTERIOR SE OBSERVA OTRA FIGURA RECTANGULAR DE TIPO ORGANICA. SEGUIDAMENTE EL GUIA DE CANES REALIZA EL CONTROL CON EL CAN AXEL MARCANDO LA SACA MENCIONADA DANDO RESULTADO POSITIVO PARA LA PRESENCIA DE SUSTANCIAS ESTUPEFACIENTES.SE COMUNICA AL JUZGADO QUIEN DISPONE SE INTERDICTE LA SACA Y SE SOLICITE LA ORDEN DE APERTURA EN EL PRESENTE DIA. PU 8200 DE FECHA 23 DIC 2010 SE PROCEDIO A LA APERTURA DE LA SACA INTERDICTADA EL DIA 22 DE DICIEMBRE DE 2010, DANDO CUMPLIMIENTO A ORDEN DE APERTURA N 40/10 EMANADA POR EL JUZGADO INTERVINIENTE, ENCONTRANDO EN EL INTERIOR DE LA MISMA UNA CAJA EN LA CUAL FIGURA COMO REMITENTE ZAPATA GABRIELA, B BENITO LINCH 923, CORRIENTES Y COMO DESTINATARIO SERGIO ERNESTO BENICIO, DNI 31408863, CP 9103, RAWSON, RETIRA CORREO, CONTENIENDO EN SU INTERIOR RECORTES DE PAPEL DE DIARIO, RESTOS DE CINTA DE EMBALAR, DOS REMERAS MANGAS CORTAS TALLE INFANTIL, UN PANTALON CORTO TALLE INFANTIL, UN PAQUETE DE YERBA MARCA MAÑANITA EN LA QUE EN SU INTERIOR SE ENCONTRO DOS PAQUETES CADA UNO DE ELLOS CON UNA SUSTANCIA VEGETAL VERDE AMARRONADA Y UN APARATO ELECTRONICO TIPO DVD MARCA PHILIPS, COLOR NEGRO, QUE EN SU INTERIOR PUESTO EN UN LUGAR DONDE APARENTEMENTE FALTABAN ELEMENTOS SE ENCONTRO UN PAQUETE CON UNA SUSTANCIA VERDE AMARRONADA ENVUELTO CON DOS BOLSAS DE NYLON Y UNA SUSTANCIA GRANULADA COLOR MARRON SIMILAR AL CAFE. SE LE REALIZO TEST DE ORIENTACION PARA MARIHUNA A LOS TRES PAQUETES Y A LA SUSTANCIA GRANULADA ARROJANDO ESTE RESULTADO POSITIVO, ADEMAS SE LE REALIZO EL TEST A LA SUSTANCIA ENCONTRADA EN EL PAQUETE DE YERBA ARROJANDO RESULTADO NEGATIVO. SEGUIDAMENTE SE REALIZO TEST DE ORIENTACION PARA COCAINA A LAS PRENDAS DE ALGODON Y A LA SUSTANCIA GRANULADA ARROJANDO RESULTADO NEGATIVO. SE INFORMA LO ACTUADO AL JUZGADO INTERVINIENTE QUIEN DISPONE SE ELEVE LO ACTUADO Y SECUESTRADO A ESOS ESTRADOS.</t>
  </si>
  <si>
    <t>RESISTENCIA CHACO</t>
  </si>
  <si>
    <t>GONZALEZ, HERNAN RICARDO S/PTA INF ART 190 DEL CP EN CONC. IDEAL ART 867 DEL CA</t>
  </si>
  <si>
    <t>CONTROL EQUIPO DE RX DE LA AFIP-DGA</t>
  </si>
  <si>
    <t>AL MOMENTO DEL ARRIBO DEL VUELO DE LA EMPRESA AEROLÍNEAS ARGENTINAS AR 1848; PROCEDENTE DEL AEROPARQUE METROPOLITANO JORGE NEWBERY, Y MIENTRAS SE EFECTUABA EL CONTROL RUTINARIO SOBRE LA TOTALIDAD DEL EQUIPAJE FACTURADO Y EQUIPAJE DE MANO ARRIBADO A ESTE AEROPUERTO INTERNACIONAL RIO GRANDE; JUNTAMENTE ENTRE LA POLICÍA DE SEGURIDAD AEROPORTUARIA Y PERSONAL DE ADUANA RIO GRANDE, UTILIZANDO PARA ELLO EL SCANNER RAYOS X MARCA NUCTECH THSCAN MODELO CX 10100T SITUADO EN EL SECTOR DE ARRIBOS Y QUE EN TAL CIRCUNSTANCIA SE PROCEDIÓ A DETECTAR UN BOLSO COLOR NEGRO CON VIVOX GRIS OSCURO MARCA "POLARIS" TIPO CARRY-ON, CUYAS MEDIDAS APROXIMADAS SON 60 CM X 40 CM X 30 CM CON CANDADO DE SEGURIDAD, EL CUAL SE ENCONTRABA IDENTIFICADO CON MARBETE DE AEROLÍNEAS ARGENTINAS CÓDIGO RGA AR 1848 CODIGO DE BARRAS Nº RGA AR 22-80-97 LA CUAL CONFRONTADA CON EL SISTEMA DE VISUALIZACIÓN DE RAYOS X A PRIMA FACIE CONTENÍA MATERIAL ORGÁNICO QUE PRESUMIBLEMENTE PODRÍA TRATARSE DE SUSTANCIAS PIROTÉCNICAS O MATERIAL EXPLOSIVO.ACTO SEGUIDO SE PROCEDIÓ A CONVOCAR A DOS (2) TESTIGOS HABILES Y SE PROCEDIÓ A LA APERTURA DEL EQUIPAJE CUESTIONADO EN EL CUAL SE PROCEDIÓ A DETECTAR MATERIAL PIROTECNICO LOS CUALES EN EL PESAJE ARROJO UN PESO DE 1132 GRAMOS. SE PROCEDIO A NOTIFICAR AL JUZGADO FEDERAL DE PRIMERA INTANCIA RIO GRANDE, EL CUAL ORDENÓ EL SECUESTRO DEL MATERIAL PIROTECNICO Y SE NOTIFICACE DE DERECHOS Y GARANTIAS EL IMPUTADO Y POSTERIOR A ELLO SE ELEVASEN LAS ACTUACIONES UNA VEZ FINALIZADAS ESTAS.</t>
  </si>
  <si>
    <t>SECRETARIA N° 78</t>
  </si>
  <si>
    <t>EDMUNDO RABBIONE</t>
  </si>
  <si>
    <t>ALTURA CHECK IN DE AEROLINEAS ARGENTINAS</t>
  </si>
  <si>
    <t>SIENDO LAS 13:25 HORAS, SE RECIBE COMUNICACION TELEFONICA POR PARTE DEL ENCARGADO DE TURNO, INFORMANDO QUE LOS OFICIALES LEFEVBRE Y CABALLERO, AUXILIARES DEL HALL PARTE PUBLICA, CUANDO SE ENCONTRABAN DE RECORRIDA POR EL SECTOR A1, SE LE PRESENTAN EL SR. WALTER LOPEZ, PERSONAL DE SEGURIDAD PRIVADA Y EL SR. ROBERTO POZZI, SUPERVISOR DE AA2000,INFORMANDO QUE UNA PAREJA DE CIUDADANOS DE NACIONALIDAD BRASILERA LE HABIAN MANIFESTADO QUE DOS PERSONAS DE SEXO MASCULINO LOS ESTABAN PERSIGUIENDO, ANTE ESTO LOS OFICIALES MENCIONADOS SE ENTREVISTAN CON EL PASAJERO DE CIUDADANIA BRASILERA, BRINDANDO ASI LAS CARACTERISTICAS DE ESTAS PERSONAS, A FIN DE PODER IDENTIFICARLOS. UNA VEZ UBICADOS SE PROCEDE A IDENTIFICAR EN PRESENCIA DE LOS TESTIGOS HABILES A ESTOS DOS MASCULINOS,QUIENES PREGUNTADOS ACERCA DE SU ESTADIA Y PERMANENCIA EN EL AEROPUERTO,LOS MISMOS MANIFESTARON QUE ESTABAN TRABAJANDO SIN PODER PRECISAR Y DAR UN RELATO COHERENTE DEL HECHO, AL CONSULTARLES ACERCA DE SUS MOCHILAS ELLOS MANIFIESTAN QUE ERAN PUNGAS. POR LO QUE FUERON TRASLADADOS A LA GUARDIA DE PREVENCION CON TODOS LOS INTERVINIENTES. SIENDO LAS 13:45 SE PROCEDE A DAR INTERVENCION A LA JUDICTAURA INTERVINIENTE. SE INFORMA EN P.U. 8217 QUE SIENDO LAS 21 00 HS. DEL DIA 23/12/2010 SE PROCEDE A LA LIBERACION DE LOS CAUSANTES, QUIENES SE RETIRAN DE LA UNIDAD CON LOS EFECTOS PERSONALES Y DE VALOR QUE ESTABAN EN RESGUARDO DE ESTA, DE ACUERDO A LO ORDENADO POR LA JUDICATURA ACTUANTE POR NO MEDIAR IMPEDIMENTOS LEGALES.</t>
  </si>
  <si>
    <t>ROMERO ROBERTO ALEJANDRO S/PTA. INF. ART. 190 CPN EN CONC. IDEAL ART. 867 DEL C.A.</t>
  </si>
  <si>
    <t>EN EL DIA DE LA FECHA Y AL MOMENTO DEL ARRIBO DEL VUELO AR 1848 DE AEROLINEAS ARGENTINAS MIENTRAS SE EFECTUABA EL CONTROL RUTINARIO SOBRE LA TOTALIDAD DEL EQUIPAJE FACTURADO Y DE MANO ARRIBADO A ESTE AEROPUERTO; JUNTAMENTE ENTRE LA POLICÍA DE SEGURIDAD AEROPORTUARIA Y PERSONAL DE ADUANA RIO GRANDE, UTILIZANDO PARA ELLO EL SCANNER RAYOS X MARCA NUCTECH THSCAN MODELO CX 10100T SITUADO EN EL SECTOR ANTES INDICADO EL CUAL PERTENECE A LA AFIP - DGA. QUE EN TAL CIRCUNSTANCIA SE PROCEDIÓ A DETECTAR UNA VALIJA DE COLOR NEGRO TIPO CARRY-ON, LA QUE CONFRONTADA CON EL SISTEMA DE VISUALIZACIÓN DE RAYOS X, A PRIMA FACIE, CONTENÍA MATERIAL ORGÁNICO QUE PRESUMIBLEMENTE PODRÍA TRATARSE DE SUSTANCIAS PIROTÉCNICAS O MATERIAL EXPLOSIVO. SEGUIDAMENTE, SE SOLICITO A LOS PROPIETARIOS DE LA VALIJA EN CUESTIÓN PROCEDAN A APERTURAR LA MISMA PARA VERIFICAR SU CONTENIDO; SEGUIDAMENTE EL OFICIAL JEFE ALFONSO PABLO, AL CONSTATAR QUE SE TRATABA DE ELEMENTOS DE PIROTECNIA, ENTABLO COMUNICACIÓN TELEFÓNICA CON LA DRA .MARIEL BORRUTO, SECRETARIA PENAL ECONÓMICO DEL JUZGADO FEDERAL DE PRIMERA INSTANCIA RIO GRANDE, INFORMÁNDOLE RESPECTO DE LOS HECHOS DE INTERÉS, ORDENANDO LA JUEZA FEDERAL DRA. LILIAN HERRAEZ A CARGO DEL TRIBUNAL INTERVINIENTE, EN VOZ DE LA DRA. MARIEL BORRUTO QUE SE PROCEDA AL SECUESTRO DEL MATERIA PIROTECNICO Y SE HAGA ENTREGA DE LOS EFECTOS PERSONALES DEL CIUDADANO Y SE LO NOTIFIQUE DE DERECHOS Y GARANTIAS. QUE AL PROCEDER AL SECUESTRO DE LOS ELEMENTOS CONFORME LO ORDENADO POR EL MAGISTRADO INTERVINIENTE, ESTOS ARROJARON UN PESO TOTAL DE 809 GRAMOS.</t>
  </si>
  <si>
    <t>DR. HORACIO D. BOCCARDO</t>
  </si>
  <si>
    <t>ACTUAL S.A. C/MANSILLA NESTOR LEONARDO S/PREPARA VIA EJECUTIVA</t>
  </si>
  <si>
    <t>EXPTE. Nº 13688/10</t>
  </si>
  <si>
    <t>NOTIFICACION Nº 010/2010</t>
  </si>
  <si>
    <t>INFORMO QUE EN EL DIA DE LA FECHA, SIEN DO LAS 19:50 HS. SE INDIVIDUALIZO EN EL CONTROL DE DOCUMENTACION DEL PREEMBARQUE DEL VUELO AR1872 DE LA EMPRESA AEROCOMERCIAL AEROLINEAS ARGENTINAS, AL SR. NESTOR LEONARDO MANSILLA D.N.I. 26.260.680, SOBRE EL CUAL PESA UNA SOLICITUD DE PARADERO, VINCULADO A AUTOS CARATULADOS ACTUAL S.A. C/MANSILLA NESTOR LEONARDO S/PREPARA VIA EJECUTIVA -EXPTE. Nº 13688/10, EN TRAMITE POR ANTE EL JUZGADO DE MENCION. SE REALIZA COMUNICACION ANTE EL TRIBUNAL INTERVINIENTE EN LA PERSONA DE S.SA. QUIEN DISPONE EL CAUSANTE FIJE DOMICILIO REAL, NO DISPONIENTO OTRA MEDIDA. SE REALIZA ACTA DE NOTIFICACION Nº 010/10 - SE RETIRA EL SR. MANSILLA DEL TURNO DE PREVENCION CONTINUANDO SU VIAJE.</t>
  </si>
  <si>
    <t>SERGIO PICHETTO</t>
  </si>
  <si>
    <t>S/INFRACCIÓN LEY 20429</t>
  </si>
  <si>
    <t>PATIO DE VALIJAS- INSPECCIÓN DE EQUIPAJE DE BODEGA</t>
  </si>
  <si>
    <t>SIENDO LAS 21:20 HS, EL OF. AY. BLANCO, QUIEN CUMPLIA FUNCIONES EN EL PATIO DE VALIJAS, VISUALIZA, UN ARMA EN UN EQUIPAJE DESPACHADO BAJO MARBETE NRO LA 697547, DE LA EMPRESA LAN ARGENTINA, NRO DE VUELO 4357. EL PROPIETARIO RESULTO SER EL SR. DANIEL JUAN SOSA, D.N.I. NRO 11739528, QUIEN, AL MOMENTO DE SOLICITARLE LA DOCUMENTACION, NO CONTABA CON LA CREDENCIAL DE TENENCIA DE LA PISTOLA MARCA GLOCK, NRO DE SERIE DHY919 CALIBRE 9 MM. SE DA INTERVENCION AL JUZGADO DE INSTRUCCION NRO 4, SECRETARIA A CARGO DEL DR. PICHETTO, QUIEN DISPONE SE RETENGA EL ARMA, SE REALICEN LAS ACTUACIONES DE RIGOR Y SE REMITA EL ELEMENTO RETENIDO JUNTO CON LO ACTUADO A ESA MAGISTRATURA.</t>
  </si>
  <si>
    <t>HURTO NN EN PERJUICIO DE LUIS BERNABE AGUILERA</t>
  </si>
  <si>
    <t>EN EL DIA DE LA FECHA A HS. 23:40, COMPARECE ANTE ESTA OFICINA DEL TURNO POLICIAL PREVENTIVO EL SR. LUIS BERNABE AGUILERA A EFECTOS DE RADICAR UNA DENUNCIA, DONDE MANIFIESTA QUE UNA VEZ ARRIBADO A ESTE AEROPUERTO SALTA EN EL VUELO Nº 852 DE ANDES LINEAS AEREAS PROCEDENTE DEL AEROPARQUE METROPOLITANO JORGE NEWVERY Y AL MOMENTO DE RETIRAR SU EQUIPAJE DESPACHADO POR BODEGA, ADVIERTE EL FALTANTE DE UNA CAMARA FOTOGRAFICA DIGITAL MARCA SONY, POR TAL MOTIVO EL JEFE DE TURNO SE COMUNICA CON EL SECRETARIO DE LA FISCALIA FEDERAL DE SALTA Nº 1 DR. FERNADO DAVALOS, QUIEN DISPONE QUE SE LABREN LAS ACTUACIONES CORRESPONDIENTES, Y LAS MISMAS SEAN ELEVADAS A LA BREVEDAD.</t>
  </si>
  <si>
    <t>TERMINAL III, PREEMBARQUE NACIONAL</t>
  </si>
  <si>
    <t>EN MOMENTOS EN QUE PERSONAL POLICIAL SE ENCONTRABA REALIZANDO EL CONTROL DEL VUELO DE MENCION, UN PASAJERO DE SEXO MASCULINO ACCIONO EL MARCO DETECTOR DE METALES POR LO QUE SE PROCEDIO A CHEQUEARLO MANUALMENTE, MOMENTO EN EL CUAL EL PERSONAL POLICIAL NOTO QUE EN EL BOLSILLO DERECHO DE LA BERMUDA SE OBSERVABA UN BULTO SOSPECHOSO. POR TAL MOTIVO, SE LE SOLICITO AL PASAJERO QUE LO EXHIBA, EXTRAYENDO DEL MISMO UN TUBO DE PLÁSTICO, EL CUAL CONTENÍA EN SU INTERIOR UNA SUSTANCIA DE ORIGEN VEGETAL COLOR VERDOSA, SEGUIDAMENTE SE CONVOCO LA PRESENCIA DE DOS TESTIGOS HÁBILES Y DEL PERITO DE TURNO QUIEN EFECTUTUO A LA SUSTANCIA REACTIVO DE CAMPO PARA MARIHUANA ARROJANDO RESULTADO POSITIVO. SEGUIDAMENTE SE TRASLADAN LOS INTERVINIENTES A LA GUARDIA DE PREVENCION Y SE EFECTUA COMUNICACION CON LA JUDICATURA INTERVINIENTE QUIEN ANOTICIADO DE LOS HECHOS DISPONE SE DETENGA AL MASCULINO EN CARÁCTER DE COMUNICADO, SE REALICEN ACTUACIONES DE RIGOR Y DE NO PRESENTAR IMPEDIMENTO LEGAL ALGUNO CON RESULTADO DE REINCIDENCIA, SE PROCEDA A LA LIBERACIÓN DEL MISMO. SEGUN PU Nº8210 DEL DIA 24/12/2010, SIENDO LAS 09.00 HS SE PROCEDIO A LIBRERAR AL IMPUTADO SEGUN LO DISPUESTO POR LA JUDICATURA ACTUANTE Y RESULTADOS APORTADOS POR EL REGISTRO NACIONAL DE REINCIDENCIA, ABANDONANDO LA JURISDICCION POR SUS PROPIOS MEDIOS SIN NOVEDAD.</t>
  </si>
  <si>
    <t>8209/10</t>
  </si>
  <si>
    <t>UBICADA EN EL PRIMER PISO DE ESTE AEROPARQUE</t>
  </si>
  <si>
    <t>SIENDO LAS 09:00 HORAS SE PROCEDE A LIBERAR AL IMPUTADO SEGUN LOS DISPUESTO POR LA JUDICATURA ACTUANTE Y RESULTADOS APORTADOS POR EL REGISTRO NACIONAL DE REINCIDENCIA. ABANDONANDO JURISDICCION POR PROPIOS MEDIOS SIN NOVEDAD.-</t>
  </si>
  <si>
    <t>NAC DE 1º INST DE MENORES Nº 2</t>
  </si>
  <si>
    <t>Sassano</t>
  </si>
  <si>
    <t>SIMIAN, MARCELA INES</t>
  </si>
  <si>
    <t>A LA HORA MENCIONADA LA OF. OBREGON INFORMA AL JEFE DE TURNO SOBRE UNA NOVEDAD SUSCITADA EN EL SECTOR B PROTAGONIZADA POR TRES MASCULINOS QUE VIAJABAN EN UN VEHICULO FORD ESCORT COLOR AZUL, DOMINIO EAJ 136, AL PRESENTARSE EN EL LUGAR EL JEFE DE TURNO ENCUENTRA A DICHA OFICIAL CON LOS TRES MASCULINOS Y CUATRO TESTIGOS, Y LE INFORMA AL MISMO QUE UN VIGILADOR HABÍA SIDO ANOTICIADO POR EL CHOFER DE UN VEHICULO EN EL ESTACIONAMIENTO NORTE EL CUÁL LE MANIFESTÓ QUE UN MASCULINO HABÍA DESCENDIDO DEL VEHICULO ANTES MENCIONADO E INTENTO INGRESAR AL SUYO FORZANDO LA PUERTA, A LO CUÁL EL VIGILADOR INFORMA A LA OF. DUARTE, LA CUÁL PONE EN CUSTODIA A DICHO MASCULINO. LUEGO EL OF. DI BELLO DETIENE EL VEHICULO DE LOS MASCULINOS Y JUNTO CON LA OF. OBREGÓN DETIENEN A LOS DOS MASCULINOS RESTANTES QUE SE ENCONTRABAN EN EL MISMO. SE INFORMA EN P.U. 8218 QUE SIENDO LAS 16 15 HS. DEL DIA 24/12/10 SE PROCEDE A LA LIBERACION DE LOS IMPUTADOS POR NO MEDIAR IMPEDIMENTOS LEGALES, LOS MISMOS SE RETIRAN CON LA TOTALIDAD DE LOS EFECTOS PERSONALES QUE ESTABAN EN RESGUARDO DE LA UNIDAD.</t>
  </si>
  <si>
    <t>SECURITAS S.A</t>
  </si>
  <si>
    <t>NO CORRESPONDE</t>
  </si>
  <si>
    <t>SIENDO LA HORA Y EL DIA MENCIONADOS SE IMPLEMENTA OPERATIVO DE SEGURIDAD PARA LA PARTIDA DE LA SRA PRESIDENTE, AL DESPLEGAR EL MISMO EL SR. YAGÜE, CESAR DE CASA MILITAR MANIFIESTA QUE NO HACIA FALTA EL SCANEAR EL EQUIPAJE DE MANO Y BODEGA YA QUE FUE ESCANEADO EL DIA DE AYER Y PERNOCTADO DENTRO DE LA AERONAVE. LA SEÑORA PRESIDENTA ARRIBO EN EL H-01 A LAS 11:42HS Y PARTIO EN EL T-01 A LAS 11:53 CON DESTINO CALAFATE FINALIZANDO A LAS 12:00 SIN NOVEDAD.</t>
  </si>
  <si>
    <t>LEGAJO DE MALAVER CRUZ EDELMIRA</t>
  </si>
  <si>
    <t>2353/10-ES-</t>
  </si>
  <si>
    <t>EN EL DIA DE LA FECHA,A HS. 11:00, SE PRESENTA PERSONAL DE GENDARMERÍA NACIONAL C1º SOSA LUCIA, CON LA CIUDADANA DE NACIONALIDAD BOLIVIANA, MALAVER CRUZ, EDELMIRA C.I. DE BOLIVIA Nº : 7.744.561, QUIEN POR DISPOSICION Nº 175319/10 DEL REGISTRO DE LA DNM Y OFICIO JUDICIAL Nº 2152/10-ES- EMITIDO POR EL TRIBUNAL ORAL EN LO CRIMINAL FEDERAL DE SALTA. DONDE SE ORDENA LA EXPULSIÓN DEL TERRITORIO NACIONAL C/PROHIBICIÓN DE REINGRESO AL PAÍS CON CARÁCTER DE PERMANENTE, DANDO CUMPLIMIENTO A LA ORDEN DE SERVICIO Nº 065/10 DE LA UOESA DEL NORTE , CON LA INTERVENCIÓN DE 02 EFECTIVOS DE LA UOESA DEL NORTE, PARA SU RECEPCION, CUSTODIA Y TRASLADO SIENDO EMBARCADO EN EL VUELO Nº 251 - 5L DE LA EMPRESA AERO SUR, A HORAS 14:20 SIN NOVEDAD</t>
  </si>
  <si>
    <t>SE CONFECCIONA EL PRESENTE A LOS EFECTOS DE INFORMAR QUE SIENDO LAS CATORCE HORAS CON CINCUENTA MINUTOS -14:50 HS - ARRIBO LA AERONAVE PRESIDENCIAL MATRICULA T-01 TRANSPORTANDO A LA SEÑORA PRESIDENTE DE LA NACION DRA. CRISTINA FERNANDEZ DE KIRCHNER, LA SEÑORA MINISTRO DE DESARROLLO SOCIAL DRA. ALICIA KIRCHNER, LA SRTA FLORENCIA KIRCHNER Y EL SR. MAXIMO KIRCHNER, COMITIVA Y CUSTODIA SIN NOVEDAD.-</t>
  </si>
  <si>
    <t>"ROSALES, LUCAS ARIEL S/PTA. INF. ART. 190 DEL CP EN CONC. IDEAL ART. 867 DEL C.A."</t>
  </si>
  <si>
    <t>EQUIPO DE RX DE LA ADUANA</t>
  </si>
  <si>
    <t>AL MOMENTO DEL ARRIBO DEL VUELO DE LA EMPRESA AEROLÍNEAS ARGENTINAS AU 2848 DEL DÍA DE LA FECHA; PROCEDENTE DEL AEROPARQUE METROPOLITANO JORGE NEWBERY, Y MIENTRAS SE EFECTUABA EL CONTROL RUTINARIO SOBRE LA TOTALIDAD DEL EQUIPAJE FACTURADO Y DE MANO ARRIBADO A ESTE AEROPUERTO INTERNACIONAL RIO GRANDE; JUNTAMENTE ENTRE LA POLICÍA DE SEGURIDAD AEROPORTUARIA Y PERSONAL DE ADUANA RIO GRANDE Y LA AFIP - DGA, UTILIZANDO PARA ELLO EL SCANNER DE RAYOS X MARCA NUCTECH THSCAN MODELO CX 10100T SITUADO EN EL SECTOR DE ARRIBOS EL CUAL PERTENECE A LA AFIP - DGA Y QUE EN TAL CIRCUNSTANCIA SE PROCEDIÓ A DETECTAR 1) UNA MOCHILA DE COLOR ROJO CON VIVOS NEGROS SIN MARCA, CUYAS MEDIDAS APROXIMADAS SON 60 CM X 40 CM X 30 CM, LA QUE SE ENCONTRABA IDENTIFICADA CON MARBETE DE AEROLÍNEAS ARGENTINAS CÓDIGO RGA AR 2848 CÓDIGO DE BARRAS Nº RGA AR 23-04-21, Y 2) UNA VALIJA DE COLOR NEGRO MARCA AMERICAN TOURISTER, CUYAS MEDIDAS APROXIMADAS SON DE 63 CM X 40 CM X 30 CM, LA CUAL SE ENCONTRABA IDENTIFICADA CON MARBETE DE AEROLÍNEAS ARGENTINAS CÓDIGO RGA AR 2848 CÓDIGO DE BARRAS RAG AR 23-04-20; LAS CUALES CONFRONTADAS CON EL SISTEMA DE VISUALIZACIÓN DE RAYOS X; CITADO PRECEDENTEMENTE, A PRIMA FACIE CONTENÍA MATERIAL ORGÁNICO QUE PRESUMIBLEMENTE PODRÍA TRATARSE DE SUSTANCIAS PIROTÉCNICAS O MATERIAL EXPLOSIVO. QUE SEGUIDO A ELLO SE PROCEDIÓ A IDENTIFICAR AL PROPIETARIO DE LA VALIJA EN CUESTIÓN Y SE PROCEDIO A CONVOCAR A DOS (2) TESTIGOS HÁBILES A TAL EFECTO Y SE APERTURO LOS EQUIPAJES CUESTIONADOS DETECTANDO EN EL INTERIOR DE LAS MISMAS MATERIAL PIROTECNICO, NOTIFICANDO DE ELLO AL JUZGADO FEDERAL INTERVINIENTE EL CUAL ORDENO EL SECUESTRO DEL MATERIAL PIROTECNICO Y QUE SE LABRASEN LAS ACTUACIONES DE RIGOR. AL MOMENTO DE REALIZARSE EL PESAJE EL MATERIAL PIROTECNICO ARROJO UN PESO TOTAL DE 359 GRAMOS.</t>
  </si>
  <si>
    <t>AR 2848</t>
  </si>
  <si>
    <t>8203/10</t>
  </si>
  <si>
    <t>HALL DEL CHECK IN DE AEROLINEAS ARGENTINAS</t>
  </si>
  <si>
    <t>SIENDO LAS 21:00 HORAS DEL DIA 23 DEL CORRIENTE MES Y AÑO, AL NO MEDIAR IMPEDIMENTO LEGAL VIGENTE ALGUNO Y SEGUN LO DISPUESTO POR LA JUDICATURA ACTUANTE SE POCEDE A LA SOLTURA DE LOS CAUSANTE DESDE ESTA DEPENDENCIA SIN NOVEDAD.-</t>
  </si>
  <si>
    <t>8211/10</t>
  </si>
  <si>
    <t>SIENDO LAS 16:15 HORAS DEL DIA 24 DEL CORRIENTE MES Y AÑO, AL NO MEDIAR IMPEDIMENTO LEGAL VIGENTE ALGUNO SOBRE LOS CAUSANTE Y DANDO CUMPLIMIENTO A LO ORDENADO POR LA JUDICATURA ACTUENTE, SE PROCEDE A LA SOLTURA DE LOS MISMO SIN NOVEDAD.-</t>
  </si>
  <si>
    <t>INFORMO QUE LA DETENIDA EFECTUO LA SIGUIENTE DEPOSICION: EL DIA 24-12-10, SIENDO LAS 10:37 HS, DEPOSICION NUMERO 17 - CAPSULAS 2 - PESO 22 GRS. ASIMISMO INFORMO QUE LA DETENIDA NO EFECTUO HASTA EL MOMENTO OTRA DEPOSICION. PTO.-</t>
  </si>
  <si>
    <t>CONTRA LA PROPIEDAD INTELECTUAL E INDUSTRIAL</t>
  </si>
  <si>
    <t>CR 10322/06</t>
  </si>
  <si>
    <t>EL CAUSANTE LLAMADO ELIYAHU NINIO ES CONDUCIDO A ESTA GUARDIA POR LA DIRECCION NACIONAL DE MIGRACIONES, YA QUE EL MISMO AL REALIZAR EL TRAMITE MIGRATORIO DE ENTRADA REGISTRA UNA ORDEN DE CAPTURA INTERNACIONAL SOLICITADA POR INTERPOL LIMA. EL CAUSANTE EN ESTA OFICINA DE GUARDIA MANIFESTO POSEER UN BYPASS Y QUE NECESITABA LOS MEDICAMENTOS QUE LOS POSEÍA SU ESPOSA. INFORMADO DE LOS HECHOS EL JUZGADO DISPUSO LA DETENCION DEL CAUSANTE, HASTA EL DÍA LUNES, CUANDO DEBERÁ DER REMITIDO AL ASIENTO DE ESE JUZGADO JUNTO CON LAS ACTUACIONES LABRADAS. SIENDO LAS TRES HORAS, EL CAUSANTE SUFRE UNA DESCOMPENSACIÓN POR LO QUE ES TRASLADADO AL HOSPITAL DE EZEIZA, REGRESANDO A LA UNIDAD OPERACIONAL QUEDANDO ALOJADO PARA SU POSTERIOR TRASLADO A SEDE JUDICIAL.</t>
  </si>
  <si>
    <t>INFORMO EN EL DIA DE LA FECHA SIENDO LAS 09:35 HS SE PRESENTA UNA PERSONA A LOS EFECTOS DE RADICAR UNA DENUNCIA POR UN PRESUNTO HECHO DELICTIVO MANIFESTANDO QUE AL LLEGAR AL AEROPUERTO INTERNACIONAL DE EZEIZA PROVENIENTE DE SUDAFRICA EN EL VUELO SA226 DE LA EMPRESA SOUTH AFRICAN AIRWAYS, RETIRA SU EQUIPAJE DE LA CINTA TRANSPORTADORA Y SE DIREGE AL HOTEL, UNA VEZ LLEGADO AL MISMO SE PERCATA DEL FALTANTE DE UNA CAMARA FOTOGRAFICA MARCA NOKIA Y DE UN SOBRE CONTENIENDO LA SUMA DE MIL EUROS QUE SE ENCONTRABAN DENTRO DE UN EQUIPAJE DE COLOR NEGRO CON CIERRE PROPIO Y UN CANDADO, EL CUAL NO PRESENTABA SIGNOS DE SER VIOLENTADO. POSTERIORMENTE SE ESTABLECE COMUNICACION TELEFONICA CON EL DR. MIGUEL MAZAL, SECRETARIO DEL JUZGADO DE INSTRUCCION NRO TRES DE LA CIUDAD DE PUERTO IGUAZU, QUIEN ENTERADO DE LOS HECHOS ORDENA SE LABREN LAS ACTUACIONES CORRESPONDIENTES ELEVANDO LO ACTUADO A SEDE TRIBUNALICIA PARA SU CONSIDERACION. DICHA PERSONA MANIFIESTA QUE NO REALIZO LA DENUNCIA EN BUENOS AIRES POR FALTA DE TIEMPO NECESARIO PARA REALIZAR LA MISMA Y POR ENCONTRARSE EN PROXIMIDAD DEL EMBARQUE DE SU VUELO DESDE AEROPARQUE HASTA LA CIUDAD DE PUERTO IGUAZU EN EL DIA DE LA FECHA.</t>
  </si>
  <si>
    <t>JUZGADO EN LO CORRECCIONAL N° 5.</t>
  </si>
  <si>
    <t>SECRETARIA N° 73</t>
  </si>
  <si>
    <t>BOX MIGRATORIO SECTOR PARTIDAS DEL TERRITORIO NACIONAL</t>
  </si>
  <si>
    <t>SIENDO LA HORA Y LA FECHA ANTES MENCIONADA SE RECEPCIONA POR PARTE DE LA DIRECCION NACIONAL DE MIGRACIONES, AL CIUDADANO CLAUDIO JOSE SALA, QUIEN REGISTRA UNA CAPTURA VIGENTE EN RELACION A LA CAUSA Nº 18846/99 CARATULADA "REBELDIA - P/ROBO". SOLICITADO POR EL JUZGADO NACIONAL EN LO CRIMINAL DE INSTRUCCION Nº 02, ANTE SECRETARIA Nº 107. ASIMISMO SE REALIZA COMPULSA A LA SECCION AEROPUERTO DE INTERPOL, QUIEN INFORMA MEDIANTE LA CORRESPONDIENTE RESPUESTA,QUE SOBRE EL PASAJERO EN CUESTION PESA UN PEDIDO DE CAPTURA VIGENTE CON FECHA 15/04/1993, EN CAUSA Nº 26.267, CARATULADA "HURTO", A SOLICITUD DEL JUZGADO EN LO CORRECCIONAL Nº 5, ANTE SECRETARIA Nº 73, Y QUE ES DE FIGURACION EN EL SISTEMA INFORMATICO UN PEDIDO DE CAPTURA SIN VIGENCIA CON FECHA 28/08/2002, EN CAUSA Nº 18.846, CARATULADA "ROBO", EN TRAMITE ANTE EL JUZGADO NACIONAL EN LO CRIMINAL DE INSTRUCCION Nº 2, ANTE SECRETARIA Nº 107. RECABADA TODA ESTA INFORMACION Y DEBIDO A LA IMPOSIBILIDAD DE MANTENER COMUNICACION TELEFONICA CON EL JUZGADO SOLICITANTE DE LA CAPTURA, SE DA INTERVENCION AL JUZGADO FEDERAL Nº 1 DE LOMAS DE ZAMORA, SECRETARIA Nº 01, DR. PELOSO, QUIEN INDICA PREVIA CONSULTA Y POR ASI HABERLO DISPUESTO SU SEÑORIA: SE PROCEDA A LA DETENCION PREVENTIVA DEL SR. SALA EN CARACTER DE COMUNICADO Y SE MANTENGA COMUNICACION CON EL JUZGADO SOLICITANTE DE LA RESTRICCION. QUE SIENDO LAS 2225 HORAS APROXIMADAMENTE EL JEFE DE TURNO ENTABLA COMUNICACION TELEFONICA CON DRA. GILDA LO SCHIAVO, TITULAR TEMPORAL DE LA SECRETARIA Nº 73, PERTENECIENTE AL JUZGADO EN LO CORRECCIONAL Nº 5, QUIEN ENTERADA DE LO ACTUADO INDICA, PREVIAS CONSULTAS Y POR ASI HABERLO DISPUESTO S.SA.: SE REALICEN ACTUACIONES DE RIGOR, REINCIDENCIA, CONSTATACION DE DOMICILIO DEL CAUSANTE, SE LO NOTIFIQUE AL CAUSANTE A FIN DE QUE SE PRESENTE EN SEDE DEL ESTRADO A FIN DE REGULARIZAR SU SITUACION, SE CONSTATE QUE SOBRE EL MISMO NO RECAE IMPEDIMENTO ALGUNO Y FINALIZADO ESTO SE LO DEJE SEGUIR CON SU LIBRE CIRCULACION, DEBIENDO ELEVAR LO ACTUADO. QUE SIENDO LAS 2245 HORAS SE LOGRA COMUNICACION TELEFONICA CON LA DRA. KARINA CARRELO, TITULAR DE LA SECRETARIA Nº 107, PERTENECIENTE AL JUZGADO NACIONAL EN LO CRIMINAL DE INSTRUCCION Nº 02, QUIEN INFORMADA DE LO SUCEDIDO, INDICA PREVIA CONSULTA Y POR ASI HABERLO DISPUESTO S.SA. SE REALICE CONSTANCIA INTERNA Y SE CITE AL SR. SALA AL ASIENTO DE DICHO JUZGADO A LOS FINES DE REGULARIZAR SU SITUACION, Y FINALIZADO LO MISMO PREVIA CORROBORACION DE QUE SOBRE EL CAUSANTE NO RECAE NINGUN IMPEDIMENTO, SE LE PERMITA SU LIBRE CIRCULACION. SE INFORMA EN PU Nº 8226 DEL DIA 26/12/10 SIENDO LAS 1300 HORAS CON EL RESULTADO DE REINCIDENCIA Y POR NO MEDIAR IMPEDIMENTO LEGAL SOBRE EL CAUSANTE SE PROCEDE A CUMPLIMENTAR LO ORDENADO POR LA JUDICATURA INTERVINIENTE, QUEDANDO EN LIBERTAD Y RETIRANDOSE DE LA GUARDIA POLICIAL CON SUS PERTENENCIAS.</t>
  </si>
  <si>
    <t>SECTOR PERGOLA Nº 1 PARTIDAS</t>
  </si>
  <si>
    <t>SIENDO LA FECHA Y LA HORA ANTES MENCIONADA EL OFICIAL CORVALAN, QUIEN SE ENCONTRABA CUMPLIENDO FUNCIONES EN EL CENTRO OPERATIVO DE CONTROL, DE ESTE AEROPUERTO INTERNACIONAL, OBSERVA MEDIANTE LAS CAMARAS A UNA PERSONA DE SEXO MASCULINO REALIZANDO SERVICIO DE MALETERO. HABIDA CUENTA DE ELLO SE COMUNICA VIA NEXTEL, CON PERSONAL POLICIAL APOSTADO EN LA PATRULLA DE TERMINAL A, QUIEN ANOTICIADO DE LO SUCEDIDO PROCEDE A CONVOCAR LA PRESENCIA DE UN TESTIGO HABIL, CONSTATANDO LA INFRACCION REALIZADA POR LA PERSONA INDICADA POR EL C.O.C. A TAL EVENTO LE SOLICITA AL MASCULINO EN CUESTION QUE EXHIBA LA HABILITACION PARA REALIZAR TAL ACTIVIDAD, MANIFESTANDO EL MISMO QUE CARECIA DE ELLA. SEGUIDAMENTE SE PROCEDE A CONDUCIR AL INFRACTOR HACIA EL SERVICIO DE SANIDAD DE ESTE MEDIO, PARA LUEGO DIRIGIRSE TODOS LOS PRESENTES HACIA LA OFICINA DE CONTRAVENCIONES Y FALTAS DE ESTA UNIDAD OPERACIONAL, A LOS EFECTOS DE LABRAR LAS ACTUACIONES CONTRAVENCIONALES CORRESPONDIENTES.</t>
  </si>
  <si>
    <t>SIENDO LA HORA Y LA FECHA ANTES MENCIONADA EL OFICIAL CORVALAN, QUIEN SE ENCONTRABA CUMPLIENDO FUNCIONES EN EL CENTRO OPERATIVO DE CONTROL, DE ESTE AEROPUERTO INTERNACIONAL, OBSERVA MEDIANTE LAS CAMARAS A UNA PERSONA DE SEXO MASCULINO REALIZANDO SERVICIO DE MALETERO. HABIDA CUENTA DE ELLO SE COMUNICA VIA NEXTEL, CON PERSONAL POLICIAL APOSTADO EN LA PATRULLA DE TERMINAL A, QUIEN ANOTICIADO DE LO SUCEDIDO PROCEDE A CONVOCAR LA PRESENCIA DE UN TESTIGO HABIL, CONSTATANDO LA INFRACCION REALIZADA POR LA PERSONA INDICADA POR EL C.O.C. A TAL EVENTO LE SOLICITA AL MASCULINO EN CUESTION QUE EXHIBA LA HABILITACION PARA REALIZAR TAL ACTIVIDAD, MANIFESTANDO EL MISMO QUE CARECIA DE ELLA. SEGUIDAMENTE PROCEDE A CONDUCIR AL INFRACTOR HACIA EL SERVICIO DE SANIDAD DE ESTE MEDIO, PARA LUEGO DIRIGIRSE TODOS LOS PRESENTES HACIA LA OFICINA DE CONTRAVENCIONES Y FALTAS DE ESTA UNIDAD OPERACIONAL, A LOS EFECTOS DE LABRAR LAS ACTUACIONES CONTRAVENCIONALES CORRESPONDIENTES.</t>
  </si>
  <si>
    <t>8223/10</t>
  </si>
  <si>
    <t>BOXES MIGRATORIOS DE TERMINAL B</t>
  </si>
  <si>
    <t>INFORMO QUE EN EL DIA DE LA FECHA, SIENDO LAS 13:00 HS APROXIMADAMENTE, EN VIRTUD QUE SOBRE EL SEÑOR SALAS NO RECAE NINGUN IMPEDIMIENTO LEGAL, SEGUN LA COMPULSA REALIZADA CON EL REGISTRO NACIONAL DE REINCIDENCIAS, SE PERMITE LA LIBRE CIRCULACION DEL MISMO, RETIRANDOSE DE ESTE TURNO PREVENCION POR SUS PROPIOS MEDIOS Y CON LA TOTALIDAD DE SUS EFECTOS</t>
  </si>
  <si>
    <t>PORTON NORTE</t>
  </si>
  <si>
    <t>SIENDO LAS 13:10, PARTE HACIA EL AEROP. JORGE NEWBERY, VUELO DE AUSTRAL N° 2417, CON PASAJERA NN, INCLUIDA EN PROGRAMA NACIONAL DE PROTECCION DE TESTIGO A LA CUAL SE REALIZA CUSTODIA Y TRASLADO HACIA LA AERONAVE RESULTANDO SIN NOVEDAD, SEGUN ORDEN DE SERVICIO N° 068/10.A LAS 13:30 SE INFORMA VIA TELEFONICA AL TURNO DE AEROPARQUE, LA MISMA ES RECIBIDA POR EL OFICIAL USANTI ESCRIBIENTE DE TURNO.</t>
  </si>
  <si>
    <t>SE CONFECCIONA EL PRESENTE P.U A FIN DE INFORMARQUE SIENDO LAS 15:34 HORA LOCAL SE PRODUCE LA PARTIDA DE LA AERONAVE MATRICULA T 01 CON LA SRA PRESIDENTA DE LA NACION, MINISTRA DE DESAROLLO SOCIAL, FAMILIARES Y COMITIVA.-</t>
  </si>
  <si>
    <t>NUÑEZ, GABRIEL EDGARDO S/RECURSO DE HABEAS CORPUS.</t>
  </si>
  <si>
    <t>N° 2.654</t>
  </si>
  <si>
    <t>INFORMO EN EL DIA DE LA FECHA EN VUELO N° LD-473 DE LA EMPRES LADE, SE ENVIA BAJO GUIA DE CARGA N° 022-28004454 UN SOBRE CERRADO CONTENIENDO EXPEDIENTE DE CAUSA N° 2.654, A LA UNIDAD OPERACIONAL COMODORO RIVADAVIA PARA SER TRASLADADA A LA EXCMA. CAMARA FEDERAL DE APELACIONES DE ESA CIUDAD. CONFORME A LO DISPUESTO POR S.SA. JUEZ SUBROGANTE DR. CLEMENTE VIDAL OLIVER. ASIMISMO INFORMO QUE DICHO VUELO ESTIMA ARRIBAR EN LA CIUDAD DE COMODORO RIVADAVIA A LAS 23:00 HS. APROXIMADAMENTE.-</t>
  </si>
  <si>
    <t>SIENDO LAS 17:00 HORAS SE IMPLEMENTAN LAS MEDIDAS DE SEGURIDAD PARA EL ARRIBO DE LA SRA. PRESIDENTE DE LA NACION CRISTINA FERNANDEZ DE KIRCHNER. SIENDO LAS 18:10 HORAS ARRIBA A ESTA AEROESTACION LA SRA. PRESIDENTE EN AERONAVE PRESIDENCIAL MATRICULA T-01, PARTIENDO LA MISMA DESDE ESTA AEROESTACION A LAS 18:17 HORAS CON DESTINO A LA QUINTA PRESIDENCIAL EN HELICOPTERO CON MATRICULA H-02. FINALIZANDO DICHO OPERATIVO A LAS 18:20 HORAS SIN NOVEDAD.-</t>
  </si>
  <si>
    <t>ACTA CONSTANCIA 35/10</t>
  </si>
  <si>
    <t>EQUIPO DE RAYOS X - ADUANA USU</t>
  </si>
  <si>
    <t>SECTOR DE ARRIBOS - CONTROL DE CARGA Y CORREO DE ADUANA USHUAIA</t>
  </si>
  <si>
    <t>INFORMO: EN EL DÍA DE LA FECHA, SIENDO APROXIMADAMENTE LAS 15:20 HS. AL MOMENTO DEL ARRIBO DEL VUELO AR-2892, Y MIENTRAS EL OFICIAL PRINCIPAL DANIEL SARMIENTO, REALIZABA UN CONTROL DE RUTINA MEDIANTE EQUIPO DE RAYOS X, EN EL SECTOR DE CONTROL DE EQUIPAJE ARRIBADO / CARGA Y CORREO PERTENECIENTE A ADUANA USU, OBSERVA EN CONJUNTO CON EL PERSONAL DE ADUANA JORGE ARMENDARIZ. LEGAJO NRO. 17175-1 , UNA CAJA DE CORREO DE APROXIMADAMENTE 4,60 KG, LA CUAL POSEE EN SU INTERIOR ELEMENTOS QUE PRESUMEN SER MATERIAL DE PIROTECNIA, LOS CUALES SE ENCUENTRAN PROHIBIDOS PARA EL TRANSPORTE Y USO EN ESTA PROVINCIA (SEGÚN LEY PROVINCIAL N° 306, ORDENANZA MUNICIPAL N° 971), REALIZANDO EL OFICIAL ANTES MENCIONADO VISTAS FOTOGRÁFICAS. POR TAL RAZÓN, PERSONAL DE ADUANA USHUAIA, REALIZA LA RETENCIÓN DE LA MISMA. SE ANOTICIA AL JUZGADO FEDERAL USHUAIA, EN LA PERSONA DEL SECRETARIO ERNESTO MENDIETA, QUIEN DISPUSO QUE SEA ADUANA USHUAIA, QUIEN LLEVE ADELANTE EL PROCEDIMIENTO. POSTERIORMENTE, SIENDO LAS 17:00 HS. APROXIMADAMENTE EL SECRETARIO ANTES MENCIONADO, SE COMUNICA CON ESTA PREVENCIÓN, DISPONIENDO QUE SE REALICE EL INICIO DEL SUMARIO EN CONJUNTO CON PERSONAL DE ADUANA USHUAIA, EN EL MARCO DE LOS ARTÍCULOS 190 DEL C.P.N. Y 867 DEL CÓDIGO ADUANERO. SEGUIDAMENTE , SE INFORMO A S.SA. QUE ESTA PREVENCIÓN QUEDA A LA ESPERA DEL ACTA INICIAL POR PARTE DE ADUANA USHUAIA, SEGÚN LO COORDINADO CON DICHO ORGANISMO. SIENDO APROXIMADAMENTE LAS 19:00HS SE REALIZO COMUNICACIÓN CON EL SECRETARIO DR. MENDIETA, QUIEN RESUELVE QUE SEA ADUANA EL ORGANISMO ACTUANTE FRENTE AL HECHO ACONTECIDO, Y QUIEN PROCEDA AL TRASLADO DE LA ENCOMIENDA ANTE SEDE JUDICIAL. ASIMISMO SE HACE CONSTAR QUE LA CAJA DE CORREO PERTENECE A OCA POSTAL BAJO GUIA JET PAQ Nº 720749 RTTE A NOMBRE DE TEOFILA DOMINGUEZ DNI 5.127.941- DIRECCION CABO BAHIA ESPERANZA Nº 1701 BARRIO ANATARTIDA ARGENTINA PALPA JUJUY CP 4612 - DESTINATARIO SONIA MARTINEZ DOMICILIO EN PIONEROS FUEGUINOS Nº 604 1º PISO DPTO 4 CHACRA 1 QUEDANDO RETENIDA POR PERSONAL DE ADUANA USHUAIA CONFORME A LO ORDENADO POR EL JUZGADO INTERVINIENTE.</t>
  </si>
  <si>
    <t>AR-2892</t>
  </si>
  <si>
    <t>EN EL DÍA DE LA FECHA SE PRESENTA EL SEÑOR EVARISTO GUILLERMO URIBURU, EMPLEADO DE LA EMPRESA SOL LINEAS AÉREAS, A EXPONER QUE EN EL DÍA DE LA FECHA APROXIMADAMENTE A LAS 20:00 HS, EN MOMENTOS QUE SE DIRIGIA AL AEROPUERTO PARA CUMPLIR CON SU HORARIO DE TRABAJO EXTRAVIÓ SU PERMISO PERSONAL SNA NRO. 356365 CON FECHA DE VENCIMIENTO 16 ABRIL DE 2011.</t>
  </si>
  <si>
    <t>SECTOR HALL DE ARRIBOS</t>
  </si>
  <si>
    <t>SIENDO LA HORA Y LA FECHA ANTES MENCIONADA EL OFICIAL CABRERA EN RECORRIDA QUE EFECTUABA POR EL HALL DE ARRIBOS DE LA TERMINAL OBSERVA A UNA PERSONA DE SEXO MASCULINO QUE SE ENCONTRABA OFRECIENDO SERVICIO DE TRANSPORTE PUBLICO A VIVA VOZ A PASAJEROS RECIEN ARRIBADOS AL PAIS, POR TAL MOTIVO EL OFICIAL LE INFORMA LA FALTA COMETIDA Y SE TRASLADAN A LA GUARDIA DE PREVENCION A LOS EFECTOS DE REALIZAR LAS CORRESPONDIENTES ACTUACIONES CONTRAVENCIONALES.</t>
  </si>
  <si>
    <t>CAMARA SEGUNDA EN LO CRIMINAL DE CIPOLLIETI</t>
  </si>
  <si>
    <t>DRA FLORENCIA CARUSO</t>
  </si>
  <si>
    <t>INCIDENTE ART. 4 LEY 22278 RESPECTO DE MONTECINO PABLO ANTONIO</t>
  </si>
  <si>
    <t>CR-002/10</t>
  </si>
  <si>
    <t>SIENDO LA HORA 09:20 HS SE PRESENTA PERSONAL DEL MINISTERIO DE FAMILIA DE LA PROVINCIA DE RIO NEGRO PERTENECIENTES AL PROGRAMA PUET DIRECTORA MARGARITA FLORES DNI 16.234.663 , ACOMPAÑANDO AL MENOR PABLO ANDRES MONTECINO D.N.I. 37.047.159. EN REFEERENCIA A ESTE HECHO LA SRA MARGARITA FLORES PRESENTA COPIA DE OFICIO JUDICIAL NRO 2814 DE FECHA 22-12-2010 DE LA CAMARA SEGUNDA EN LO CRIMINAL DE LA CIUDAD DE CIPOLLETTI, DIRIJIDO AL SERVICIO DE SEGURIDAD DEL AEROPUERTO EN EL CUAL SOLICITA ARBITRAR LOS MEDIOS NECESARIOS PARA REALIZAR EL EMBARQUE DEL IMPUTADO MONTECINO PABLO ANTONIO. QUE EN CUMPLIMIENTO AL OFICIO REFERENCIADO SIENDO LAS 09.20 HS DESPEGA EL VUELO DE LAN ARGENTINA 4271 CON DESTINO AEROPARQUE JORGE NEWBERY TRASLADANDO AL IMPUTADO.</t>
  </si>
  <si>
    <t>SRIO. AV. INF. ART. 282 C.P. -IMP. LAPIANA, FRANCISCO</t>
  </si>
  <si>
    <t>272/08</t>
  </si>
  <si>
    <t>SRIO. AV. INF. ART. 282 C.P. -IMP. LAPIANA, F.</t>
  </si>
  <si>
    <t>-URDINARRIAN 7833 - ROSARIO -PRESIDENTE ROCA 4252 - ROSARIO -NANSEN 549 - ROSARIO -DANTE ALIGHIERI Y CHILE - G.BAIGORRIA</t>
  </si>
  <si>
    <t>CIUDADES DE ROSARIO Y GRANADERO BAIGORRIA</t>
  </si>
  <si>
    <t>EN EL DIA DE LA FECHA SE RECIBEN ORDENES DE ALLANAMIENTO Nº. 3990, 3991, 3992 Y 3993 DEL JUZGADO ACTUANTE, SOBRE LOS DOMICILIOS MENCIONADOS, QUE SE CUMPLIMENTARAN MEDIANTE ORDEN DE SERVICIO NRO.324/10. CON POSTERIORIDAD SE RECEPCIONA OFICIO Nº 4005, MODIFICATORIO DEL OFICIO Nº 3991 EL CUAL CONTENÍA MAL EXPRESADO EL DOMICILIO URDINARRAIN 7833.</t>
  </si>
  <si>
    <t>TRIBUNAL CRIMINAL N° 3 DE LOMAS DE ZAMORA.</t>
  </si>
  <si>
    <t>REBELDIA</t>
  </si>
  <si>
    <t>190/3</t>
  </si>
  <si>
    <t>SE RECEPCIONA POR PARTE DE MIGRACIONES AL CIUDADANO JUAN FERNANDO MERLO, QUIEN REGISTRA EN EL SISTEMA INFORMATICO, UN PEDIDO DE CAPTURA INSERTADO POR GENDARMERIA NACIONAL ARGENTINA. A TAL EFECTO SE REALIZAN LAS CONSULTAS PERTINENTES PARA OBTENER MAYORES DATOS DEL JUZGADO SOLICITANTE. QUE ANTE LA IMPOSIBILIDAD DE MANTENER COMUNICACION TELEFONICA CON EL TRIBUNAL DE INTERVENCION, SE DA INTERVENCION AL JUZGADO FEDERAL DE TURNO, QUIEN DISPONE SE PROCEDA A LA DETENCION PREVENTIVA DEL PASAJERO, HASTA TANTO SE LOGRE COMUNICACION CON EL JUZGADO SOLICITANTE. QUE SIENDO EL DIA VEINTISIETE DEL MES Y AÑO EN CURSO APROXIMADAMENTE A LAS NUEVE HORAS VEINTE MINUTOS, EL JEFE DE TURNO MANTIENE COMUNICACION CON EL DOCTOR ROBERTO CONTI, PROSECRETARIO DEL TRIBUNAL SOLICITANTE QUIEN LUEGO DE TOMAR CONOCIMIENTO DE LO SUCEDIDO, INDICA PREVIAS CONSULTAS CON S.SA . SE PROCEDA A DECRETAR LA LIBERTAD DEL DETENIDO. EL SR. MERLO SE RETIRA POR SUS PROPIOS MEDIOS DE ESTA DEPENDENCIA ALREDEDOR DE LAS ONCE HORAS CINCUENTA MINUTOS DEL DIA DE LA FECHA.</t>
  </si>
  <si>
    <t>GOMEZ HECTOR LEONARDO, WOROBIEJ JAVIER ANDRES, CAMACHO MAXIMO MARTIN S/INFRACCION LEY 22415</t>
  </si>
  <si>
    <t>A DETERMINAR</t>
  </si>
  <si>
    <t>SE RECIBE OFICIO JUDICIAL A FIN DE REALIZAR LAS TAREAS INVESTIGATIVAS QUE CORRESPONDAN, EN FORMA CONJUNTA CON EL ORGANISMO PREVENTOR, AUTORIZANDOSE A TAL FIN A COMPULSAR LAS ACTUACIONES DE REFERENCIA, COMO ASI TAMBIEN LA DOCUMENTACION RESERVADA EN SECRETARIA.</t>
  </si>
  <si>
    <t>Nº 2654</t>
  </si>
  <si>
    <t>EXCELENTÍSIMA CÁMARA FEDERAL DE APELACIONES DE COMODORO RIVADVIA</t>
  </si>
  <si>
    <t>SIENDO LAS 12:00 HORAS LOCAL SE PROCEDE A TRASLADAR UN SOBRE CERRADO CONTENIENDO EN SU INTERIOR CAUSA Nº 2.654 DE LA CUAL CONSTA UN CUERPO DE 27 FOJAS, A LA EXCELENTÍSIMA CÁMARA FEDERAL DE APELACIONES DE LA CIUDAD DE COMODORO RIVADAVIA A CARGO DEL DR. ALDO E. SUAREZ, EN VIADA POR LA UNIDAD OPERACIONAL DE USHUAÍA.</t>
  </si>
  <si>
    <t>8220/10</t>
  </si>
  <si>
    <t>INFORMO QUE EL DIA VEINTISIETE DEL MES Y AÑO EN CURSO, SIENDO APROXIMADAMNET LAS SIETE HORAS EL DETENIDO, SR. DOROTEO VILLAMAYOR CARMONA, FUE TRASLADADO HACIA SEDE JUDICIAL. ASIMISMO LA DETENIDA, SRA. LUCIA CARRERA DE RODRIGUEZ, FUE DADA DE ALTA DEL HOSPITAL INTERZONAL DE EZEIZA, INGRESANDO EN ESTA DEPENDENCIA ALREDEDOR DE LAS ONCE HORAS TREINTA MINUTOS. ESTA ULTIMA SERA TRASLADADA A SEDE JUDICIAL EL DIA VEINTIOCHO DEL CORRIENTE MES Y AÑO ALREDEDOR DE LAS SIETE HORAS.</t>
  </si>
  <si>
    <t>DR. AUGUSTO PELLOSO</t>
  </si>
  <si>
    <t>SUMARIO INSTRUIDO POR PRESUNTA COMISION DE DELITO DE ACCION PUBLICA</t>
  </si>
  <si>
    <t>Dirección Nacional de la P.S.A.</t>
  </si>
  <si>
    <t>EN HORAS DEL MEDIODIA, EL DIRECTOR NACIONAL DE POLICIA DE SEGURIDAD AEROPORTUARIA, RECIBE POR INTERMEDIO DE LA CASILLA DE CORREO NRO. 11, APARTADO POSTAL OFICIAL DE LA P.S.A., UNA CARTA DENUNCIANDO AL SR. JOSE LUIS BAROT BORGOGNO,DE NACIONALIDAD URUGUAYA, DNI. 92.141.119, EL CUAL ESTARIA SALIENDO DEL PAIS CON DOCUMENTACION APOCRIFA, CON EL FIN DE REALIZAR OPERACIONES COMERCIALES VINCULADAS CON EL CONTRABANDO, A TAL EFECTO SE JUDICIALIZA LA MISMA Y SE DA COMIENZO A LAS DILIGENCIAS ORDENADAS.</t>
  </si>
  <si>
    <t>N/ C</t>
  </si>
  <si>
    <t>ASIENTO DE LA PLAZA LINDANTE AL RIO DE LA PLATA FRENTE AL AEROPARQUE METROPOLITANO</t>
  </si>
  <si>
    <t>PLAZA SOBRE COSTANERA, EN AV. RAFAEL OBLIGADO S/N</t>
  </si>
  <si>
    <t>SIENDO LA HORA Y LA FECHA ANTES MENCIONADA SE HACE PRESENTE EL DENUNCIANTE INFORMANDO QUE SIENDO APROXIMADAMENTE LAS 1430 HORAS DEL DIA DE LA FECHA SE ENCONTRABA RECORRIENDO LA PLAZA,UBICADA SOBRE COSTANERA, FRENTE AL ESTACIONAMIENTO CUBIERTO DE ESTE AEROPUERTO. AGUARDANDO EL HORARIO PARA QUE PARTA SU VUELO CON DESTINO A LA CIUDAD DE BARILOCHE, POR LO QUE SE SENTO EN UNO DE LOS BANCOS QUE SE ENCUENTRAN EN DICHA PLAZA,COLOCANDO EN AMBOS LADO DEL BANCO SUS DOS BOLSOS. MINUTOS MAS TARDE SE ACERCA UNA PERSONA DE SEXO MASCULINO DE ENTRE 30 Y 40 AÑOS DE EDAD, DE TEZ BLANCA, DE 1.80 MTS DE ALTURA APROXIMADAMENTE, QUIEN LE CONSULTA LA HORA, EN IDIOMA ESPAÑOL, A LO QUE LE RESPONDIO QUE NO POSEIA RELOJ. EN MEDIO DE LA CONVERSACION QUE DURO POCOS MINUTOS, SE PERCATA QUE LE FALTABA UNA DE SUS MOCHILAS, POR LO QUE RAPIDAMENTE SE LEVANTA Y EL SUJETO QUE ESTABA CHARLANDO CON EL SALE CORRIENDO. POR LO QUE SE HACE PRESENTE EN ESTA GUARDIA DE PREVENCION A FIN DE RADICAR LA DENUNCIA.</t>
  </si>
  <si>
    <t>8221/10</t>
  </si>
  <si>
    <t>BOX DE MIGRACIONES DE LLEGADA</t>
  </si>
  <si>
    <t>INFORMO QUE EL DIA VEINTISIETE DEL CORRIENTE MES Y AÑO, SIENDO APROXIMADAMENTE LAS SIETE HORAS EL CAUSANTE FUE TRASLADADO HACIA SEDE JUDICIAL. QUE SIENDO APROXIMADAMENTE LAS QUINCE HORAS CUARENTA Y CINCO MINUTOS EL IMPUTADO REGRESA A ESTA DEPENDENCIA POR DISPOSICION DE SU SEÑORIA, QUIEN MEDIANTE OFICIO JUDICIAL SOLICITA SE LE DE ALOJAMIENTO EN EL HOSPITAL ZONAL DE EZEIZA PARA QUE SE LO ATIENDA CON RESPECTO A SUS DOLENCIAS FISICAS. EL MISMO PERMANECERA EN OBSERVACION Y BAJO LA CUSTODIA DE ESTA DEPENDENCIA HASTA NUEVA ORDEN DEL SEÑOR JUEZ.</t>
  </si>
  <si>
    <t>SRIO. AV. INF. LEY 282 C.P.-IMP. LAPIANA, FRANCISCO</t>
  </si>
  <si>
    <t>EXPTE 272/08</t>
  </si>
  <si>
    <t>CALLE PRESIDENTE ROCA 4252 DE LA CIUDAD DE ROSARIO</t>
  </si>
  <si>
    <t>DANDO CUMPLIMIENTO AL OFICIO NRO. 3990 DEL JUZGADO DE REFERENCIA SE PROCEDE AL ALLANAMIENTO DE LA MORADA CON LA UNICA FINALIDAD DE VERIFICAR LA EXISTENCIA DE BILLETES APOCRIFOS NACIONALES DE CURSO LEGAL Y DE DINERO EXTRANJERO Y ELEMENTOS RELACIONADOS CON LA FALSIFICACION DE BILLETES. SE IDENTIFICA A LOS MORADORES DE LA FINCA EL SR FRANCISCO RAFAEL LAPIANA TITULAR DEL DNI N° 11871403 Y SU SRA GRISELDA RITA GARAFFA DNI N° 13448647, SEGUIDAMENTE SE PROCEDE A PRACTICAR LA REQUISA EN EL DOMICILIO OBJETO DE LA MEDIDA EN DONDE SE PUEDE CONTASTAR LA EXISTENCIA DE BILLETES DE CIRCULACION DE MONEDA NACIONAL APOCRIFOS MEDIANTE VERIFICACION CON LAPIZ DETECTOR DE BILLETES FALSOS MARCA PELIKAN COMO ASI TAMBIEN TODA DOCUMENTACIONES Y ELEMENTOS DE INTERES PARA LA CAUSA LOS QUE SE PROCEDE A SECUESTRAR. CABE DESTACAR QUE SE EFECTUA REQUISA A UN VEHICULO MARCA VW MODELO FOX DE COLOR GRIS DOMINIO GIC 857 DANDO RESULTADO LA MISMA NEGATIVO.SEGUIDAMENTE Y EN VIRTUD DE LOS SECUESTROS PRODUCIDOS SIENDO LAS 12,20 HORAS SE PROCEDE A LA DETENCION EN CARACTER DE INCOMUNICADO DEL MORADOR DE LA VIVIENDA. PARTE N° 8296 28 DIC 2010 INFORMO QUE EN EL DIA DE LA FECHA 28/12/2010, SE CUMPLIMENTO ORDEN DE SERVICIO NRO 326/10, SE PROCEDIO AL TRASLADO DEL DETENIDO LAPIANA FRANCISCO DNI N° 11.871.403, HASTA LOS ESTRADOS DEL JUZGADO INTERVINIENTE, QUIEN POR DISPOSICION DEL DR. BAILAQUE MARCELO MARTIN MEDIANTE OFICIO NRO 4023, SE TRASLADO AL MISMO HASTA LA SEDE DE LA ALCAIDIA DONDE PERMANECERA ALOJADO A DISPOSICION DEL JUZGADO FEDERAL NRO 4 DE ROSARIO. PARTE N° 8303 30 DIC 2010 INFORMO QUE EN EL DIA DE LA FECHA, SE CUMPLIMENTO ORDEN DE SERVICIO NRO 330/10, DONDE SE PROCEDIO AL TRASLADO DE DETENIDO LAPIANA FRANCISCO DNI N° 11.871.403, HASTA LOS ESTRADOS DEL JUZGADO INTERVINIENTE, DONDE SE LO NOTIFICAN DE LA EXCARCELACION Y MEDIANTE OFICIO NRO 4031, SE HACE EFECTIVA LA INMEDIATA LIBERTAD DEL DETENIDO, YA QUE NO PESA ORDEN DE DETENCION, CAPTURA O CONDENA DE AUTORIDAD COMPETENTE.-</t>
  </si>
  <si>
    <t>DRA. NORMA PARRELLO</t>
  </si>
  <si>
    <t>RAUL SERGIO PINTO S/DENUNCIA</t>
  </si>
  <si>
    <t>EN EL DIA DE LA FECHA, SIENDO LAS 22:30HS, COMPARECE ANTE ESTA INSTRUCCIÓN UNA PERSONA DENUNCIANDO QUE EL DÍA MIÉRCOLES 22 DE DICIEMBRE DE 2010, SIENDO LAS 22:00HS APROXIMADAMENTE, AL TERMINO DE SU JORNADA LABORAL PARA LA EMPRESA SERZA EN ESTA AEROESTACIÓN, EN OCASIÓN DE DIRIGIRSE A LA PÉRGOLA COLINDANTE AL PUESTO CREDENCIALES DE PSA EN EL SECTOR PÚBLICO, DONDE DEJÓ ESTACIONADA SU MOTOCICLETA, NOTA QUE LA MISMA PRESENTABA EL TRABA VOLANTE Y LA CERRADURA DEL BAÚL ROTOS. AGREGÓ TAMBIEN QUE EL DÍA 24 DEL CORRIENTE A LAS 22:00HS DEJO ESTACIONADA LA MOTO EN EL LUGAR ANTES MENCIONADO, NOTANDO QUE LE SUSTRAJERON LA BUJÍA DE LA MISMA. FINALMENTE SIENDO LAS 21:00HS APROXIMADAMENTE, MIENTRAS CUMPLIA SUS TAREAS HABITUALES EN CERCANIAS DEL ESTACIONAMIENTO DE SU MOTO, NOTA QUE LA MISMA SE ENCONTRABA VOLCADA SOBRE SU LATERAL IZQUIERDO, PRESENTANDO ROTURAS DE LOS PLÁSTICOS LATERALES, DESPRENDIMIENTO DE FARO TRASERO Y DE SU CHAPA PATENTE, ROTURA EN PLÁSTICO DE GUARDABARROS DELANTERO Y GOLPE EN MANOPLA IZQUIERDA. EL DENUNCIANTE MANIFIESTA QUE LLEVA POCO TIEMPO TRABAJANDO PARA LA EMPRESA SERZA Y CREE NO TENER PROBLEMAS CON NINGUNA DE LAS PERSONAS DE LA COMUNIDAD AEROPORTUARIA.</t>
  </si>
  <si>
    <t>VEREDA SECTOR PARTIDAS DE PASAJEROS DE LA TERMINAL B</t>
  </si>
  <si>
    <t>QUE SIENDO LAS 1640 HORAS APROXIMADAMENTE DEL DIA ANTES MENCIONADO SE RECIBE DEL OFICIAL PONCE COMUNICACIÓN VÍA NEXTEL DESDE EL C.O.C., QUIEN DA CUENTA QUE EN EL SECTOR MENCIONADO SE INDIVIDUALIZA A DOS PERSONAS DE DISTINTO SEXO LAS CUALES HABRÍAN SUSTRAÍDO UNA MOCHILA DE COLOR NEGRO. ACTO SEGUIDO SE RETIRAN RAUDAMENTE HACIA EL SECTOR DEL ESTACIONAMIENTO DE LA TERMINAL B. MIENTRAS TANTO OTRA PAREJA QUE SE ENCONTRABA EN EL LUGAR, QUE TENDRÍA RELACIÓN CON LOS INDIVIDUOS DE MENCIÓN, SE RETIRA INMEDIATAMENTE HACIA LA PÉRGOLA DE LA TERMINAL A. ACTO SEGUIDO EL JEFE DE TURNO COMISIONA PERSONAL POLICIAL Y DESPLAZA MÓVILES DE DOTACIÓN A MODO DE ENCONTRAR E IDENTIFICAR A LAS DOS PAREJAS. MINUTOS MÁS TARDE PERSONAL POLICIAL INDIVIDUALIZA A UNA DE LAS PAREJAS EN EL SECTOR DEL ESTACIONAMIENTO, QUE PORTABA CONSIGO LA MOCHILA SUSTRAÍDA. SIMULTANEAMENTE PERSONAL POLICIAL COMISIONADO INDIVIDUALIZA LA SEGUNDA PAREJA EN LA PÉRGOLA DE LA TERMINAL B. ACTO SEGUIDO SON CONDUCIDOS EN PRESENCIA DE LOS TESTIGOS AL TURNO DE PREVENCIÓN. LA PERSONA DAMNIFICADA HABÍA SIDO CONTACTADA POR PERSONAL POLICIAL E INVITADA A RADICAR LA FORMAL DENUNCIA. QUE SIENDO LAS 1700 HORAS SE MANTIENE COMUNICACIÓN TELEFÓNICA CON JUZGADO INTERVINIENTE, QUIEN INDICA QUE SE REALICEN LAS ACTUACIONES DE RIGOR, SE PROCEDA A LA APREHENSIÓN EN CARACTER DE INCOMUNICADOS DE LAS DOS PAREJAS, Y FINALIZADAS LAS DILIGENCIAS SE REMITAN A PRIMERA HORA DEL DÍA 28 DEL CORRIENTE MES Y AÑO JUNTAMENTE CON LOS APREHENDIDOS A SEDE JUDICIAL. SEGUIDAMENTE EL DAMNIFICADO SE RETIRA DE ESTA DEPENDENCIA CON LA MOCHILA EN CUESTIÓN JUNTAMENTE CON LA TOTALIDAD DE SUS PERTENENCIAS Y CONFORME CON LOS TRATOS RECIBIDOS.</t>
  </si>
  <si>
    <t>SRIO. AV. INF. ART. 282 C.P. -IMP. LAPIANA FRANCISCO</t>
  </si>
  <si>
    <t>CALLE URDINARRAIN 7833</t>
  </si>
  <si>
    <t>DANDO CUMPLIMIENTO A LA ORDEN DE ALLANAMIENTO NRO. 4005 EMANADA POR EL JUZGADO DE REFERENCIA, SIENDO ATENDIDO POR EL SEÑOR GREGORIO JESUS PRADO DNI N° 14444942 QUIEN SE ENCONTRABA ACOMPAÑADO POR EL SEÑOR ALBERTO GABRIEL ORDOÑEZ ACREDITANDO IDENTIDAD CON CARNET DE CONDUCIR N° 32246257B1 DONDE SE LEE DNI N° 22462537. SEGUIDAMENTE SE PROCEDE A LA REQUISA DE LA MORADA CON LA FINALIDAD DE VERIFICAR LA EXISTENCIA DE BILLETES APOCRIFOS NACIONALES DE CURSO LEGAL Y DE DINERO EXTRANJERO Y ELEMENTOS RELACIONADOS CON LA FALSIFICACION DE BILLETES Y EN SU CASO PROCEDER AL SECUESTRO DE LOS MISMOS. FINALMENTE SIENDO APROXIMADAMENTE LAS 18,20 HORAS SE CONCLUYE LA REQUISA DE LA VIVIENDA PROCEDIENDO AL SECUESTRO DE ELEMENTOS Y DOCUMENTACIONES DE INTERES PARA LA CAUSA.</t>
  </si>
  <si>
    <t>SRIO. AV. INF. ART. 282 C.P. IMP. LAPIANA, FRANCISCO</t>
  </si>
  <si>
    <t>CALLE DANTE ALIGHIERI ANTES DE ESQUINA CHILE, CONTIGUO A LA ALTURA CATASTRAL DEL 2654</t>
  </si>
  <si>
    <t>CIUDAD DE GRANADERO BAIGORRIA SANTA FE</t>
  </si>
  <si>
    <t>DANDO CUMPLIMIENTO A LA ORDEN DE ALLANAMIENTO NRO. 3992, DEL JUZGADO DE REFERENCIA MEDIANTE EL CUAL SE DISPONE VERIFICAR LA EXISTENCIA DE BILLETES APOCRIFOS NACIONALES DE CURSO LEGAL Y DE DINERO EXTRANJERO Y ELEMENTOS RELACIONADOS CON LA FALSIFICACION DE BILLETES Y PROCEDER AL SECUESTRO. SIENDO ATENDIDOS POR LA SEÑORA DANIELA LAURA FARAONE DNI 22087863 QUIEN SE ENCONTRABA JUNTO A SUS HIJOS CARLA PODOVA, PABLO SEBASTIAN PODOVA DNI 43230001, ANA ROCIO PODOVA DNI 42324371, CINTIA MILAGROS PODOVA DNI 42131267, JAVIER AGUSTIN PODOVA DNI 38042217, MATIAS EMANUEL PODOVA DNI 38442030 JORGE EZEQUIEL PODOVA DNI 47036768 ELIANA SOLEDAD PODOVA NO RECUERDA SU DNI Y LAURA ROMINA PODOVA DNI 34003070 SIENDO SU ESPOSO JORGE FABIAN PODOVA, OCUPACION REMISERO DNI N° 18590262 TODOS ELLOS MORADORES DE LA FINCA OBJETO DE LA MEDIDA. SE PROCEDE A LA REQUISA DE LA VIVIENDA Y APROXIMADAMENTE SIENDO LAS 18,50 HORAS SE CULMINA LA MISMA EFECTUANDO EL SECUESTRO DE ELEMENTOS Y DOCUMENTACIONES DE INTERES PARA LA CAUSA.</t>
  </si>
  <si>
    <t>SRIO. AV. INF. ART. 282 C.P. IMP. LAPIANA FRANCISCO</t>
  </si>
  <si>
    <t>EXPTE N° 272/08</t>
  </si>
  <si>
    <t>CALLE NANSEN 549</t>
  </si>
  <si>
    <t>DANDO CUMPLIMIENTO AL OFICIO NRO. 3993 DEL JUZGADO DE REFERENCIA DONDE DISPONE SE PROCEDE A ALLANAR LA VIVIENDA UBICADA EN CALLE NANSEN 549 DE LA CIUDAD DE ROSARIO SANTA FE CON LA UNICA FINALIDAD DE VERIFICAR LA EXISTENCIA DE BILLETES APOCRIFOS NACIONALES DE CURSO LEGAL Y DE DINERO EXTRANJERO Y ELEMENTOS RELACIONADOS CON LA FALSIFICACION DE BILLETES. SE EFECTUA EL INGRESO A LA MORADA DONDE SE ENCONTRABA LA SEÑORA LUCIANA ALCIRA PEREYRA DNI N° 3189061 JUNTO A SU NIETO MENOR DE NOMBRE FRANCO EMANUEL PODOVA Y SU HIJO MARCELO LUIS FARAONE QUIEN NO POSEE DOCUMENTO DE IDENTIDAD Y REFIERE QUE SU DNI ES EL N° 14180448. ACTO SEGUIDO SE DA COMIENZO A LA REQUISA DE LA VIVIENDA EN CUESTION PROCEDIENDOSE AL SECUESTRO DE DOCUMENTACIONES VARIAS DE INTERES PARA LA CAUSA. CABE DESTACAR QUE EN EL DOMICILIO OBJETO DE LA MEDIDA SE PUDO OBSERVAR RESTOS DE UNA SUSTANCIA BLANCA ADHERIDA AL INTERIOR DE UNA BOLSA DE NYLON ARROJANDO RESULTADO POSITIVO PARA CLORHIDRATO DE COCAINA AL EFECTUARSE LA PRUEBA DE CAMPO CON REACTIVO COCATES EN SPRAY. TAMBIEN SE ENCUENTRA DENTRO DE UNA BOLSA DE ESCASAS DIMENSIONES UNA SUSTANCIA DE COLOR VERDE COMPACTADA QUE SOMETIDA A REACTIVO DE CAMPO MARCA NIK ARROJA RESULTADO POSITIVO PARA MARIHUANA MANISFESTANDO ESPONTANEAMENTE EL SR MARCELO LUIS FARAONE QUE ERA PARA USO PERSONAL. DE LA COMUNICACION TELEFONICA CON EL JUZGADO INTERVINIENTE INFORMANDO LA NOVEDAD SOBRE LA SUSTANCIA HALLADA DISPONE QUE EL SR FARAONE SEA CITADO A COMPARECER ANTE EL TRIBUNAL ACTUANTE.</t>
  </si>
  <si>
    <t>FRENTE AL ESTACIONAMIENTO DESCUBIERTO DE ESTE AEROPARQUE METROPOLITANO.</t>
  </si>
  <si>
    <t>SIENDO LA FECHA Y LA HORA ANTES MENCIONADA SE HACE PRESENTE EN ESTA GUARDIA DE PREVENCION, UN PERSONAL DE LA EMPRESA DE VIGILANCIA SECURITAS QUIEN INFORMA QUE UN MASCULINO SE ENCONTRABA RECOSTADO SOBRE EL SECTOR ANTES DESCRIPTO. UNA VEZ EN EL LUGAR, EL MASCULINO MANIFESTO QUE UN COMPAÑERO DE LA REMISERIA, GODANO S.R.L., LE HABIA PROPINADO UN GOLPE DE PUÑO EN EL PECHO,Y QUE DOS COMPAÑEROS HABIAN SIDO TESTIGOS DEL HECHO, POSTERIORMENTE SE SOLICITO LA PRESENCIA DEL SERVICIO MEDICO, QUIEN PROCEDE A TRASLADAR AL MASCULINO HASTA SANIDAD DE ESTE AEROPARQUE, PARA UNA MEJOR ATENCION. SIENDO LAS 2220 HORAS SE REALIZA COMUNICACION CON LA JUDICATURA ACTUANTE LA CUAL DISPUSO: SE NOTIFIQUE PARA PRESTAR DECLARACION TESTIMONIAL A LOS TESTIGOS DEL HECHO Y AL DAMNIFICADO, Y CON RESPECTO AL SUPUESTO AUTOR DEL HECHO SE LO INDIVIDUALICE, SE LO NOTIFIQUE QUE SE ENCUENTRA IMPUTADO EN LA CAUSA, SE LE TOMEN TRES JUEGOS DE FICHAS PARA LA CAUSA, IDGE, CONSTATACION DE DOMICILIO TELEFONICA Y MEDICO LEGISTA, CIERRE Y ELEVE.</t>
  </si>
  <si>
    <t>PIZARRO MANUEL</t>
  </si>
  <si>
    <t>POLICIA DE SEGURIDAD AEROPORTUARIA COMODORO RIVADAVIA S/ PSTA. INF. LEY 23737</t>
  </si>
  <si>
    <t>CALLE URQUIZA Nº: 879, CIUDAD DE COMODORO RIVADAVIA, PROVINCIA DE CHUBUT</t>
  </si>
  <si>
    <t>SIENDO LAS 20:30 HS. DEL DIA 15-DIC-2010, Y EN CUMPLIMIENTO AL OFICIO JUDICIAL 3027/10, DEL JUZGADO FEDFERAL DE COMODORO RIVADAVIA LOS OFICIALES JEFE MARCELO MUSSIO, ALEJANDRO RIQUELME Y SIXTO SOTO, TODOS ELLOS PERTENECIENTES A ESTA FUERZA DE SEGURIDAD, PRESTAN COLABORACION AL PERSONAL DE LA POLICIA FEDERAL ARGENTINA LA CUAL PROCEDIO A REALIZAR EL ALLANAMIENTO EN LA FINCA SITUADA EN LA CALLE URQUIZA 879, DE LA CIUDAD DE COMODORO RIVADAVIA, ORDEN EMANADA POR EL JUZGADO FEDERAL DE PRIMERA INSTANCIA A CARGO DE LA DRA. EVA PARCIO DE SELEME, SECRETARIA PENAL A CARGO DEL DR. MANUEL PIZARRO. DICHA MORADA CONTABA CON TRES DEPARTAMENTOS LOS CUALES FUERON REQUISADOS EN SU TOTALIDAD, ASIMISMO LA POLICIA FEDERAL A CARGO DEL PROCEDIMIENTO EFECTUO EL SECUESTRO DE ELEMENTOS DE INTERES PARA LA CAUSA LOS CUALES RESULTARON SER COMPROBANTES DE DEPOSITOS BANCARIOS, COMPROBANTES DE GIROS DE DINERO A TRAVES DE LA EMPRESA TRAMAT Y UN CELULAR DE COLOR NEGRO Y PLATEADO. SIN MAS INFORMACION.</t>
  </si>
  <si>
    <t>LA DENUNCIANTE TRAS LLEGAR A SU CASA LUEGO DE ARRIBAR DEL MENCIONADO VUELO SE PERCATA DEL FALTANTE EN SU BOLSO DE VARIOS ELEMENTOS, BOLSO QUE HABIA RETIRADO MOMENTOS ANTES DE LA CINTA CERRADO Y EN PERFECTAS CONDICIONES. POR LO QUE SE DIRIGE AL DIA SIGUIENTE A REALIZAR EL CORRESPONDIENTE RECLAMO EN LA EMPRESA AEREA Y A RADICAR LA PRESENTE DENUNCIA.</t>
  </si>
  <si>
    <t>LOIACONO MATIAS Y OTROS S/TENTATIVA DE CONTRABANDO DE ESTUPEFACIENTES</t>
  </si>
  <si>
    <t>LOCAL DE LA COOPERATIVA DE VIVIENDA, CREDITO Y CONSUMO MULTICREDITO BELGRANO</t>
  </si>
  <si>
    <t>JURAMENTO Nº 2387 - C.A.B.A</t>
  </si>
  <si>
    <t>REF. ORDEN DE SERVICIO Nº 1487/10, EN EL DIA DE LA FECHA SE DIO CUMPLIMIENTO A LA ORDEN DE ALLANAMIENTO EMANADA POR LA JUDICATURA INTERVINIENTE, NO PRODUCIENDOSE NINGUN SECUESTRO. SE DEJA CONSTANCIA QUE PARA CUMPLIMENTAR LA MEDIDA SE CONTO CON LA COLABORACION DEL CONTADOR FERNANDO ANDRES POLITO, DNI Nº 14.364.026 - LEGAJO Nº 70.745. QUIEN DESEMPEÑA FUNCIONES EN ESTA INSTITUCION.</t>
  </si>
  <si>
    <t>SE AMPLIA PARTE N° 8151. INFORMO QUE EL DIA 28/12/2010 A HS. 13:00 SE PROCEDIÓ A HACER ENTREGA DE LOS ELEMENTOS SECUESTRADOS AL JUZGADO INTERVINIENTE, EXCEPTO LOS TELEFONOS CELULARES YA QUE LOS MISMOS SERÁN SOMETIDOS A ANÁLISIS POR PARTE DEL PERSONAL DE ESTA UNIDAD, COMO FUERA ORDENADO POR EL TRIBUNAL ACTUANTE.</t>
  </si>
  <si>
    <t>SE AMPLIA PARTE N° 8147. INFORMO QUE EL DIA 28/12/2010 A HS. 13:00 SE PROCEDIÓ A HACER ENTREGA DE LOS ELEMENTOS SECUESTRADOS AL JUZGADO INTERVINIENTE, EXCEPTO EL TELEFONO CELULAR YA QUE EL MISMO SERÁ SOMETIDO A ANÁLISIS POR PARTE DEL PERSONAL DE ESTA UNIDAD, COMO FUERA ORDENADO POR EL TRIBUNAL ACTUANTE.</t>
  </si>
  <si>
    <t>SE AMPLIA PARTE N° 8146. INFORMO QUE EL DIA 28/12/2010 A HS. 13:00 SE PROCEDIÓ A HACER ENTREGA DE LOS ELEMENTOS SECUESTRADOS AL JUZGADO INTERVINIENTE, EXCEPTO LOS TELEFONOS CELULARES YA QUE LOS MISMOS SERÁN SOMETIDOS A ANÁLISIS POR PARTE DEL PERSONAL DE ESTA UNIDAD, COMO FUERA ORDENADO POR EL TRIBUNAL ACTUANTE.</t>
  </si>
  <si>
    <t>SE AMPLIA PARTE N° 8150. INFORMO QUE EL DIA 28/12/2010 A HS. 13:00 SE PROCEDIÓ A HACER ENTREGA DE LOS ELEMENTOS SECUESTRADOS AL JUZGADO INTERVINIENTE, EXCEPTO LOS TELEFONOS CELULARES YA QUE LOS MISMOS SERÁN SOMETIDOS A ANÁLISIS POR PARTE DEL PERSONAL DE ESTA UNIDAD, COMO FUERA ORDENADO POR EL TRIBUNAL ACTUANTE.</t>
  </si>
  <si>
    <t>8250/10</t>
  </si>
  <si>
    <t>INFORMO QUE EL DIA VEINTIOCHO DEL MES Y AÑO EN CURSO, SIENDO APROXIMADAMENTE LAS SIETE HORAS LA DETENIDA, SRA. LUCIA CARRERA DE RODRIGUEZ FUE TRASLADADA HACIA SEDE JUDICIAL.</t>
  </si>
  <si>
    <t>SE AMPLIA PARTE N° 8149. INFORMO QUE EL DIA 28/12/2010 A HS. 13:00 SE PROCEDIÓ A HACER ENTREGA DE LOS ELEMENTOS SECUESTRADOS AL JUZGADO INTERVINIENTE, EXCEPTO LOS TELEFONOS CELULARES YA QUE LOS MISMOS SERÁN SOMETIDOS A ANÁLISIS POR PARTE DEL PERSONAL DE ESTA UNIDAD, COMO FUERA ORDENADO POR EL TRIBUNAL ACTUANTE.</t>
  </si>
  <si>
    <t>SE AMPLIA PARTE N° 8148. INFORMO QUE EL DIA 28/12/2010 A HS. 13:00 SE PROCEDIÓ A HACER ENTREGA DE LOS ELEMENTOS SECUESTRADOS AL JUZGADO INTERVINIENTE.</t>
  </si>
  <si>
    <t>8261/10</t>
  </si>
  <si>
    <t>QUE SIENDO EL DÍA VEINTIOCHO DEL CORRIENTE MES Y AÑO Y SIENDO LAS SIETE HORAS APROXIMADAMENTE, SE PROCEDIO AL TRASLADO DE LOS DETENIDOS A SEDE JUDICIAL. QUE SIENDO APROXIMADAMENTE LAS DIECISIETE HORAS APROXIMADAMENTE REGRESA LA COMISION A ESTA DEPENDENCIA JUNTO A LOS IMPUTADOS,INFORMANDO QUE LOS MISMOS QUEDARAN ALOJADOS EN ESTA DEPENDENCIA HASTA NUEVO AVISO.</t>
  </si>
  <si>
    <t>SALA VIP AEROPUERTO INTERNACIONAL FORMOSA</t>
  </si>
  <si>
    <t>1ER PISO DE AEROESTACION</t>
  </si>
  <si>
    <t>EN EL DIA DE LA FECHA SE DA CUMPLIMIENTO A ORDEN DE SERVICIO NRO 329/10 DE URSA IV DEBIDO A REQUERIMIENTO DE LA DIRECCION DEL PROGRAMA NACIONAL DE PROTECCION DE TESTIGOS E IMPUTADOS.SE REALIZAN LAS COORDINACIONES CON EL DR. GUSTAVO TORRELLI, EL CUAL, JUNTO A LOS TESTIGOS ARRIBAN A ESTE AEROPUERTO A LAS 14:00 HS , BRINDANDOSE LA CUSTODIA A LOS MISMOS, QUIENES ABORDAN EL VUELO NRO 1779 DE LA EMPRESA AEROLINEAS ARGENTINAS MAT LV-AYE SIN NOVEDAD. DESPEGANDO LA MISMA A LAS 15:20 HS DE ESTE AEROPUERTO INTERNACIONAL FORMOSA CON DESTINO AL AEROPARQUE JORGE NEWBERY DE LA CIUDAD DE BUENOS AIRES SIN NOVEDADES AL RESPECTO.</t>
  </si>
  <si>
    <t>MAIL RECEPCIONADO EN LA CASILLA DE CORREO ELECTRONICO DE LA UNIDAD OPERACIONAL CONTROL DEL NARCOTRAFICO Y EL DELITO COMPLEJO DE LA URSA I DEL ESTE</t>
  </si>
  <si>
    <t>SIENDO LA FECHA Y HORA MENCIONADA, SE RECIBIO EN LA CASILLA DE CORREO OFICIAL DE ESTA UNIDAD OPERACIONAL UN MAIL DE LA DIRECCION DE CORREO ELECTRONICO "111222" TORRENTES571@HOTMAIL.COM, CON EL SIGUIENTE CONTENIDO "!!!!!!LES AVISO QUE LOS DIAS 27 O 28 DE DICIEMBRE LLEGAN EN EL AVION DE LAN PERU DEL MEDIO DIA DOS PASAJEROS CON CAPSULAS DE COCAINA PARA MANDAR A EUROPA, SON PARTE DE UNA BANDA QUE HACE VARIOS AÑOS ESTA INSTALADA EN EL PAIS¡¡¡¡¡¡¡¡. POR TAL MOTIVO, SE DIO INTERVENCION AL JUZGADO DE MENCION QUIEN DISPUSO SE REALICE UN CONTROL ALEATORIO A LOS PASAJEROS DEL VUELO DE MENCION LOS DIAS 27 Y 28 DE DICIEMBRE DEL CORRIENTE AÑO, HACIENDO INCAPIE A LOS QUE PRESENTEN CONEXION O ITINERARIO CON DESTINO A EUROPA. CON FIN DE CUMPLIMENTAR LA DILIGENCIA ORDENADA POR LA JUDICATURA INTERVINIENTE, SE LLEVARON A CABO DICHOS CONTROLES, ARROJANDO LOS MISMOS RESULTADO NEGATIVO. SE DEJA CONSTANCIA QUE SU S.S.A. ORDENA QUE SE LABRE DILIGENCIA DEJANDO CONSTANCIA PARA ARCHIVO INTERNO DE ESTA UNIDAD OPERACIONAL.</t>
  </si>
  <si>
    <t>EL EXPONENTE MANIFESTÓ EL EXTRAVÍO DE SU PERMISO PERSONAL DE SEGURIDAD AEROPORTUARIO PERMANENTE , CON EL NUMERO 358608, SECTORES 1 - 4, CON VENCIMIENTO EN FECHA 27/08/2011. EL EXPONENTE NO PUDO PRECISAR NI EL LUGAR NI EL MOMENTO DEL EXTRAVIO.</t>
  </si>
  <si>
    <t>DRA. BARRIOS</t>
  </si>
  <si>
    <t>PORTACION ILEGAL DE ARMA DE GUERRA</t>
  </si>
  <si>
    <t>ZANJA LINDANTE A LA BANQUINA</t>
  </si>
  <si>
    <t>INMEDIACIONES DEL PUESTO DENOMINADO FIJO UNO</t>
  </si>
  <si>
    <t>SIENDO LA FECHA Y LA HORA ANTES MENCIONADA EN MOMENTOS EN QUE LOS OFICIALES MARTINEZ Y AREVALO, SE ENCONTRABAN CUMPLIENDO FUNCIONES COMO AUXILIARES DEL PUESTO DENOMINADO FIJO UNO, SE PERCATAN QUE A DOSCIENTOS METROS DEL PUESTO DE MENCION, UN VEHICULO TIPO CAMIONETA MARCA CHEVROLET MODELO C 20 CUSTOM DE LUXE, DOMINIO COLOCADO VJK738, QUE SE HALLABA CIRCULANDO POR LA CALLE DE INGRESO QUE CONDUCE AL CITADO PUESTO, SALIRSE DEL CAMINO DE ASFALTO, Y FINALIZANDO SU TRAYECTO DENTRO DE LA ZANJA, LINDANTE A LA BANQUINA. AL APROXIMARSE AL VEHICULO, LOGRAN OBSERVAR UN MASCULINO UBICADO EN EL SECTOR DEL CONDUCTOR, QUIEN HACE CASO OMISO A LOS REQUERIMIENTOS DEL PERSONAL POLICIAL DE IDENTIFICACION, SE INFORMA LA NOVEDAD AL JEFE DE TURNO, Y SOLICITA LA PRESENCIA DE PERSONAL DEL SERVICIO MEDICO DE SANIDAD, DEBIDO A QUE EL MASCULINO EN CUESTION NO RESPONDIA A NINGUNA CONSULTA EFECTUADA Y MOSTRABA UNA ACTITUD ERRATICA. SEGUIDAMENTE EL MASCULINO EN CUESTION SE NIEGA A SER ATENDIDO POR PERSONAL MEDICO Y MANIFIESTA SER NUMERARIO DE LA POLICIA METROPOLITANA, SIEMPRE CON ACTITUD DESORIENTADA.UNA VEZ EN LA GUARDIA SE DIO INTERVENCION A LA UFI DE TURNO QUIEN AUTORIZA LA REQUISA DEL MASCULINO Y DEL VEHICULO, DE LA CUAL SURGEN DOS ARMAS DE FUEGO, UNA GRANADA DE GAS, Y DEMAS ELEMENTOS DE DEFENSA POLICIALES. UNA VEZ ANOTICIADO EL AGENTE FISCAL DE TURNO DISPUSO LA APREHENCION DEL MASCULINO, COMO ASI TAMBIEN EL SECUESTRO DE TODO TIPO DE ARMAMENTOS O ELEMENTOS DE DEFENSA, SE LABREN ACTUACIONES DE RIGOR CARATULADAS PORTACION ILEGAL DE ARMAS DE GUERRA, Y SE TRASLADE AL IMPUTADO A SEDE JUDICIAL EL DIA VEINTINUEVE DEL CORRIENTE MES Y AÑO.</t>
  </si>
  <si>
    <t>DR. ADRIAN RIVERA SOLARI</t>
  </si>
  <si>
    <t>PUNTO DE INSPECCION Y REGISTRO DENOMINADO JET PAQ</t>
  </si>
  <si>
    <t>SE MENCIONA EN RELATO SUCINTO</t>
  </si>
  <si>
    <t>EN MOMENTOS EN QUE PERSONAL POLICIAL SE ENCONTRABA EFECTUANDO UNA FISCALIZACION MEDIANTE MAQUINA DE RAYOS X, SOBRE LA CARGA A DESPACHAR EN EL VUELO DE MENCION, OBSERVARON EN EL INTERIOR DE 2 SACAS DE LA EMPRESA CORREO ARGENTINO, SUSTANCIA ORGANICA QUE SE VISUALIZABA COLOR ANARANJADO Y EN FORMA COMPACTA, Y DADA SU DENSIDAD PODIAN SER COMPATIBLES CON SUSTANCIA ESTUPEFACIENTE. POR TAL MOTIVO, SE CONVOCÓ LA PRESENCIA DE TESTIGOS HABILES Y SE EFECTUÓ EL TRASLADO DE LOS INTERVINIENTES A LA GUARDIA DE PREVENCION, DONDE PREVIA AUTORIZACIÓN JUDICIAL SE EFECTUÓ LA REQUISA DE LAS SACAS EN CUESTION, PUDIENDOSE OBSERVAR EN LA SACA Nº 1 UNA CAJA DE ENCOMIENDA QUE POSEIA EN SU INTERIOR UNA CAJA DE ZAPATOS CON DOS PAQUETES, EN CUYO INTERIOR HABIA UNA SUSTANCIA QUE SOMETIDA A REACTIVO DE CAMPO PARA MARIHUANA ARROJO RESULTADO POSITIVO. POSTERIORMENTE SE EFECTUÓ LA REQUISA DE LA SACA Nº 2 LA CUAL AL SER ABIERTA PERMITIO DIVISAR UNA CAJA DE ENCONMIENDA QUE EN SU INTERIOR CONTENIA ALIMENTOS Y ENTRE ELLOS UN PAQUETE DE CAFÉ, EL CUAL CONTENIA OTRO PAQUETE EN SU INTERIOR, QUE UNA VEZ ABIERTO PERMITIO VISUALIZAR UNA SUSTANCIA QUE AL SER SOMETIDA A REACTIVO DE CAMPO PARA LA SUSTANCIA COCAINA ARROJO RESULTADO POSITIVO. ITINERARIO SACA Nº 1 ORIGEN PAíS ORIGEN CIUDAD DESTINO PAíS DESTINO CIUDAD CóDIGO DEL VUELO ARGENTINA FORMOSA ARGENTINA RESISTENCIA TERRESTRE ARGENTINA RESISTENCIA ARGENTINA AEROPARQUE S/D ARGENTINA AEROPARQUE ARGENTINA RIO GALLEGOS AR 1850 ITINERARIO SACA Nº 2 ORIGEN PAíS ORIGEN CIUDAD DESTINO PAíS DESTINO CIUDAD CóDIGO DEL VUELO ARGENTINA LAS HERAS ARGENTINA MENDOZA TERRESTRE ARGENTINA MENDOZA ARGENTINA AEROPARQUE S/D ARGENTINA AEROPARQUE ARGENTINA RIO GALLEGOS AR 1850</t>
  </si>
  <si>
    <t>AR 1850</t>
  </si>
  <si>
    <t>ANTOLA ALFREDO</t>
  </si>
  <si>
    <t>PSA - SACA CON PRESUNTO MATERIAL ORGANICO</t>
  </si>
  <si>
    <t>157-308-10</t>
  </si>
  <si>
    <t>SE CONFECCIONA EL PRESENTE A LOS EFECTOS DE INFORMAR QUE EN CUMPLIMIENTO DE ORDEN DE SERVICIO NRO. 060/10 DE COLABORACION CON LA ADUANA LOCAL EL OFICIAL PPAL LUIS ALBERTO LOTO CON LA COLABORACION DEL OFICIAL JEFE MARTIN MARTINEZ LOPEZ Y OFICIAL MAYOR MARCELO GARCIA STEINER DETECTAN EN UNA SACA DEL CORREO ARGENTINA CON UN PESO DE 10,700 KGS. IDENTIFICADA CON NRO DE PRECINTO E 392345 CON TARJETA IDENTIFICATORIA NRO:SLA01721412E555800VAE REMITIDA DESDE LA CIUDAD DE SALTA CON DESTINO A LA CIUDAD DE USHUAIA PROVINCIA DE TIERRA DEL FUEGO COMA LA QUE ANTE LA INSPECCION POR MEDIO DEL EQUIPO DE RAYOS X CONTIENEN SUSTANCIA DE ASPECTO VEGETAL APARENTEMENTE COMPACTADA Y QUE NO PUEDE DETERMINARSE SU NATURALEZA COMA ANTE ESTA SITUACION SE NOTIFICA DE LO DETECTADO AL JUZGADO FEDERAL LOCAL EL QUE ORDENA LA INTERDICCION Y SECUESTRO DE LA SACA EN CUESTIÒN COMA DEBIENDO REMITIR LOS ACTUADOS Y LA SACA AL JUZGADO PUNTO YA EN SEDE JUDICIAL SE PROCEDE EN PRESENCIA DE LA MAGISTRADA ACTUANTE, SECRETARIOS DE JUZGADO Y LOS OFICIALES JEFE MARTIN MARTINEZ LOPEZ COMA MAYOR MARCELO GARCIA STEINER Y PRINCIPAL JUAN MANUEL CEPEDA A LA APERTURA DE LA SACA Y ENCOMIENDAS ENCONTRANDOSE EN SU INTERIOR CINCUENTA Y UNO (51) PAQUETES DE BICARBONATO DE SODIO Y VEINTIDOS (22) PAQUETES DE HOJAS DE COCA PRENSADA COMA Y DOS BOLSAS CON FIDEOS SECOS SUELTOS Y DIENTES DE AJO SUELTOS.PROCEDIENDO EL JUZGADO AL SECUESTRO DE LAS MISMAS EN INFRACCION AL CODIGO ADUANERO ASIMISMO SE ENCONTRO OTRO ENVOLTORIO MAS PEQUEÑO CONTENIENDO DOS (02) BIELAS DE AUTOMOTOR. SOBRE ESTE ULTIMO PAQUETE SE ORDENO A LA PREVENCION REALIZAR LA DEVOLUCION MEDIANTE ACTA DE ESTILO AL CORREO ARGENTINO PARA QUE PROSIGA SU ITINERARIO.</t>
  </si>
  <si>
    <t>8259/10</t>
  </si>
  <si>
    <t>272/10</t>
  </si>
  <si>
    <t>JUZGADO FEDERAL NRO 4 DE ROSARIO</t>
  </si>
  <si>
    <t>INFORMO QUE EN EL DIA DE LA FECHA 28/12/2010, SE CUMPLIMENTO ORDEN DE SERVICIO NRO 326/10, SE PROCEDIO AL TRASLADO DEL DETENIDO LAPIANA FRANCISCO DNI N° 11.871.403, HASTA LOS ESTRADOS DEL JUZGADO INTERVINIENTE, QUIEN POR DISPOSICION DEL DR. BAILAQUE MARCELO MARTIN MEDIANTE OFICIO NRO 4023, SE TRASLADO AL MISMO HASTA LA SEDE DE LA ALCAIDIA DONDE PERMANECERA ALOJADO A DISPOSICION DEL JUZGADO FEDERAL NRO 4 DE ROSARIO Y PARA LA PRESENTE CAUSA.-</t>
  </si>
  <si>
    <t>8288/10</t>
  </si>
  <si>
    <t>QUE SIENDO EL DÍA VEINTIOCHO DEL CORRIENTE MES Y AÑO Y SIENDO LAS VEINTIUNA HORAS APROXIMADAMENTE, SE PROCEDIO AL TRASLADO DEL CIUDADANO JORGE ALBERTO BORREGO MENDOZA A LA COMISARIA QUINTA DE EZEIZA. AL TRASLADO DEL CIUDADANO LUIS SALAZAR RIVAS A LA COMISARIA PRIMERA DE EZEIZA. Y AL TRASLADO DE LAS CIUDADANAS MELISSA PAOLA REYES HUAPAYA Y NADIA DAVILA TORRE A LA COMISARIA PRIMERA DE ADROGUE-ALMIRANTE BROWN.</t>
  </si>
  <si>
    <t>ARROYO PERIMETRAL - ZANJON - SITO A 20 METROS DE SU PROPIEDAD</t>
  </si>
  <si>
    <t>BARRIO MILITAR LA VALENTINA</t>
  </si>
  <si>
    <t>SIENDO LA HORA Y LA FECHA ANTES MENCIONADA SE PRESENTA EN LA GUARDIA DE PREVENCION EL DENUNCIANTE INFORMANDO QUE EN CERCANIAS A SU DOMICILIO HAY UN ARROYO - ZANJA - QUE TENDRIA SU ORIGEN EN LA PLANTA INDUSTRIAL DE AERONAVES LINDANTE A LOS HANGARES DE LA EMPRESA AEROLINEAS ARGENTINAS, Y EL CUAL APARENTEMENTE TENDRIA EL AGUA QUE CONTIENE CONTAMINADA CON PRODUCTOS QUIMICOS DERRAMADOS EN LA PLANTA DE MENCION QUE SERIAN NOCIVOS PARA LA SALUD. QUE EN EL DIA DE LA FECHA EL DENUNCIANTE OBSERVO QUE TRES PERROS DE SU PROPIEDAD SE INTRODUJERON EN LAS AGUAS CONTENIDAS EN EL ARROYO, SALIENDO DE ALLI SOLO DOS, LOS QUE LUEGO DE SUFRIR CONVULSIONES SE MURIERON, QUEDANDO EL RESTANTE EN EL INTERIOR DEL ARROYO DE MENCION MUERTO. EL DENUNCIANTE ADUCE HABER OBSERVADO SIMILARES SITUACIONES CON ANIMALES PERTENECIENTES A SUS VECINOS, COMO ASI TAMBIEN CONSTATO MAS DE UNA VEZ, QUE PERSONAS MAYORES Y MENORES DE EDAD, QUE TUVIERON CONTACTO CON LAS MENCIONADAS AGUAS, LUEGO SUFRIERON IRRITACIONES DE PIEL FUERA DE LO COMUN.A TAL EVENTO SE PRESENTA EN ESTA DEPENDENCIA PARA REALIZAR LA CORRESPONDIENTE DENUNCIA.</t>
  </si>
  <si>
    <t>8296/10</t>
  </si>
  <si>
    <t>INFORMO QUE EN EL DIA DE LA FECHA, SE CUMPLIMENTO ORDEN DE SERVICIO NRO 330/10, DONDE SE PROCEDIO AL TRASLADO DEL DETENIDO LAPIANA FRANCISCO DNI N° 11.871.403, HASTA LOS ESTRADOS DEL JUZGADO INTERVINIENTE, DONDE SE LO NOTIFICAN DE LA EXCARCELACION Y MEDIANTE OFICIO NRO 4031, SE HACE EFECTIVA LA INMEDIATA LIBERTAD DEL DETENIDO, YA QUE NO PESA ORDEN DE DETENCION, CAPTURA O CONDENA DE AUTORIDAD COMPETENTE.-</t>
  </si>
  <si>
    <t>POLICIA DE SEGURIDAD AEROPORTUARIA COMODORO RIVADAVIA S/AV. PSTA. INF. LEY 23.737</t>
  </si>
  <si>
    <t>CIUDAD DE POSADAS PROVINCIA DE MISIONES</t>
  </si>
  <si>
    <t>SE DA CUMPLIMIENTO AL MEMORANDO Nº 1380/2010 CEAC-DEPARTAMENTO OPERACIONES POLICIALES, CUMPLIMENTANDO OFICIO JUDICIAL Nº 3037/10 DEL JUZGADO ACTUANTE, DONDE ESTABLECE QUE SE REALICEN DISCRETAS TAREA INVESTIGATIVAS SOBRE LAS PERSONAS MENCIONADAS EN LA CAUSA DE REFERENCIA, LAS MISMAS FUERON ORDENADAS POR ORDEN DE SERVICIO Nº 320/2010 DE LA URSA IV DEL LITORAL, ASIMISMO EL RESULTADO DE LOS TRABAJOS DE INVESTIGACIÓN LLEVADOS ADELANTE POR LA UOCN Y DC IV DEL LITORAL - POSADAS, FUERON ADELANTADAS VIA CORREO ELECTRÓNICO A LA UOCN Y DC V DE LA PATAGONIA PARA LA PROSECUCIÓN DEL TRAMITE CORRESPONDIENTE, EN CUANTO LOS ORIGINALES FUERON ENVIADOS POR BOLSÍN INSTITUCIONAL A LA URSA IV DEL LITORAL PARA SU CONOCIMIENTO Y POSTERIOR TRÁMITE.-</t>
  </si>
  <si>
    <t>GALPON CON DOBLE ENTRADA</t>
  </si>
  <si>
    <t>CALLE MAGNASCO Nº 1855 Y CALLE CAMUZZO Nº 1820, BARRIO VILLA EVITA - MAR DEL PLATA</t>
  </si>
  <si>
    <t>EN EL DIA DE LA FECHA SE RECIBE OFICIO JUDICIAL A FIN DE SOLICITAR SE REALICEN MUY DISCRETAS OBSERVACIONES, DURANTE EL TERMINO DE 24 HORAS, DIRIGIDAS A: 1- CONSTATAR LA POSIBLE COMISION DE HECHOS EN INFRACCION A LA LEY 26364 EN UN GALPON CON DOBLE ENTRADA POR LA CALLE MAGNASCO 1855 Y CAMUZZO 1820, BARRIO VILLA EVITA DE MAR DEL PLATA, 2- ESTABLECER LA POSIBLE PARTICIPACION DE PERSONAL POLICIAL, PRESUMIBLEMENTE DE LA COMISARIA Nº 16 DE MAR DEL PLATA, EN LOS REFERIDOS HECHOS.</t>
  </si>
  <si>
    <t>DRA. ANDROVETTO</t>
  </si>
  <si>
    <t>ASIENTO UBICADO DENTRO DE LA ESTACION DE OMNIBUS</t>
  </si>
  <si>
    <t>SIENDO LA HORA Y LA FECHA ANTES MENCIONADA SE HACE PRESENTE LA DENUNCIANTE MANIFESTANDO QUE EL DIA 02 DE NOVIEMBRE DEL CORRIENTE AÑO SIENDO APROXIMADAMENTE LAS 1400 HORAS, EN MOMENTOS DE ESTAR UBICADA EN UN ASIENTO DE LA TERMINAL DE OMNIBUS SE LE ACERCO UN MASCULINO QUE LE ARREBATO SU MOCHILA MIENTRAS ESPERABA UN OMNIBUS PARA VIAJAR A IGUAZU, Y QUE POSTERIORMENTE REALIZA EL CRUCE A BRASIL, MOTIVO POR EL CUAL NO REALIZA LA DENUNCIA HASTA REGRESAR EL DIA DE LA FECHA A ESTE PAIS, MOMENTO EN QUE RADICA LA CORRESPONDIENTE DENUNCIA.</t>
  </si>
  <si>
    <t>DR. ALFREDO ANTOLA</t>
  </si>
  <si>
    <t>PSA- SACA CON PRESUNTO MATERIAL ORGANICO ESTUPEFACIENTE</t>
  </si>
  <si>
    <t>158-308-10</t>
  </si>
  <si>
    <t>PSA- SACA CON PRESUNTO MATERIAL ORGANICO</t>
  </si>
  <si>
    <t>SE CONFECCIONA EL PRESENTE A LOS EFECTOS DE INFORMAR QUE EN CUMPLIMIENTO DE ORDEN DE SERVICIO NRO. 0060/2010 DE COLABORACION PARA REALIZAR SERVICIO DE SEGURIDAD MEDIANTE EQUIPO DE RAYOS X CON PERSONAL DE ADUANA DE LA DELEGACION RIO GALLEGOS PARA CONTROLAR VEHICULO DE CORREO ARGENTINO QUE TRASLADA SACAS POR VIA TERRESTRE HACIA LA PROVINCIA DE TIERRA DEL FUEGO EL OFICIAL MAYOR MARCELO GARCIA STEINER CONJUNTAMENTE CON LOS OFICIALES JEFE MARTIN MARTINEZ LOPEZ Y MAYOR GERMAN GUILLERMO JULITA DETECTAN EN UNA BOLSA COLECTORA DE LA EMPRESA CORREO ARGENTINO IDENTIFICADA CON EL PRECINTO NRO Z509329 TARJETA IDENTIFICATORIA DEL CORREO ARGENTINO SLA0172138E555800VAE CON UN PESO REGISTRADO DE 25,300 KGRS CON CINCO- 05- PIEZAS DE CORREO EN SU INTERIOR COMA LAS QUE AL SER INSPECIONADAS POR EL EQUIPO DE RAYOS X SE OBSERVA EN EL INTERIOR DE CADA UNA DE LAS PIEZAS UNA SUSTANCIA DE TIPO VEGETAL DE ASPECTO COMPACTADO NO PUDIENDO DETERMINARSE SU ORIGEN COMA LA SACA EN CUESTION SE DESPACHO EN LA PROVINCIA DE SALTA Y TENIA COMO DESTINO LA CIUDAD DE USHUAIA COMA ANTE ESTA SITIACION SE DA NOTIFICACION AL JUZGADO FEDERAL LOCAL EL QUE ORDENA LA INTERCEPTACION Y SECUESTRO DE LA SACA Y SU INMEDIATA REMICION A SEDE JUDICIAL PUNTO YA EN SEDE DEL JUZGADO Y EN PRESENCIA DE LOS OFICIALES MAYORES MARCELO GARCIA STEINER Y JULITA Y LA OFICIAL AYUDANTE MARCELA MARINI SE PROCEDE A SU APERTURA RESULTANDO DE LA MISMA QUE EN LA PIEZA POSTAL EP059276500 AR REMITE RUIZ MARCELO , DOMICILIO ALBERDI 755 , 23 DE AGOSTO, PALPALA- JUJUY DESTINATARIO ORTEGA ABCOM, DOMICILIO YOWEN LA CUMBRE, USHUAIA, TIERRA DEL FUEGO SE ENCONTRO ENTRE OTRAS COSAS SEIS -06- PAQUETES PRENSADOS CON HOJAS DE COCA COMA EN LA PIEZA POSTAL EP065010228 AR REMITE CRUZ ANA, DOMICILIO ALTO LA TORRE, FINCA STACHIOLA, PALPALA-JUJUY DESTINATARIO SOLIS NESTOR MILAGROUSHUAIA , TIERRA DEL FUEGO CON LA LEYENDA RETIRA EN CORREO ENTRE OTRAS COSAS CUATRO -04- PAQUETES PRENSADOS DE HOJAS DE COCA COMA EN LA PIEZA POSTAL NRO EP058932452 AR DESTINATARIO CASTILLO LUIS, DOMICILIO FUEGIA BASQUET N 1209 BARRIO LIBERTADOR USHUAIA TIERRA DEL FUEGO , REMITE ALARCON ISABEL, DOMICILIO SAN JOSE 447 , PERICO JUJUY ENTRE OTRAS COSAS OCHO - 08- PAQUETES PRENSADOS DE HOJAS DE COCA COMA EN LA PIEZA POSTAL NRO EP687690890 AR REMITE TERESA CHOQUE, BARRIO OLIVOS, PARAJE VILLA VISTA, LOTE 33, MANZANA B, DESTINATARIO NICOLAS ESPINOSA, DOMICILIO INTENDENTE TORRELLI N 1710, TIERRA DEL FUEGO USHUAIA ENTRE OTRAS COSAS LA CANTIDAD DE DOS -02 PAQUETES DE HOJAS DE COCA SIN COMPACTAR EN PROFORMA ADJUNTA A LA PIEZA ENTRE OTROS DATOS ESTA DECLARADO - 1 K DE COCA COMA EN LA PIEZA POSTAL NRO. EP716024349 AR REMITE MARGARITA CHOILE, DOMICILIO MIGUEL AVILA 3391, BARRIO MALVINAS, S.S.JUJUY DESTINATARIO FATIMA MARIELA GARCIA , CON LEYENDA RETIRA EN CORREO CENTRAL TIERRA DEL FUEGO , USHUAIA ENTRE OTRAS COSAS DOS -02 PAQUETES PRENSADOS DE HOJAS DE COCA. PROCEDIENDO EN TRIBUNAL ACTUANTE A SU SECUESTRO EN INFRACCION AL CODIGO ADUANERO COMA CON RESPECTO AL EMBARQUE DESDE SALTA A USHUAIA CUANDO AUTORIDADES DEL CORREO ARGENTINO INFORMEN COMO SALIO LA ENCOMIENDA DESDE EL ORIGEN SE AMPLIARA. ACTO SEGUIDO MEDIANTE CONFECCION DE PU N° 8341 AMPLIATORIO DEL PRESENTE Y EN RELACION A INFORMACION PROPORCIONADA POR CORREO ARGENTINA SE INFORMA QUE LA BOLSA COLECTORA REALIZO SU TRANSITO DESDE LA PROVINCIA DE SALTA HASTA LA CIUDAD DE RIO GALLEGOS VIA TERRESTRE Y POSTERIOR AL CONTROL REALIZADO LA MISMA DEBIA PROSEGUIR VIAJE A LA PROVINCIA DE TIERRA DEL FUEGO VIA TERRESTRE.</t>
  </si>
  <si>
    <t>DR. MARIO FERNANDEZ MORENO</t>
  </si>
  <si>
    <t>MORETTI JUAN CARLOS S/DENUNCIA DELITO DE ACCION PUBLICA</t>
  </si>
  <si>
    <t>83/10</t>
  </si>
  <si>
    <t>GRUPO ESPECIAL DE ASISTENCIA JUDICIAL</t>
  </si>
  <si>
    <t>JUZGADO FEDERAL N°1, SEC. DERECHOS HUMANOS - BAHIA BLANCA</t>
  </si>
  <si>
    <t>EN EL DIA DE LA FECHA, SIENDO LAS 09:40 HORAS, PERSONAL POLICIAL DE ESTA UNIDAD, CONJUNTAMENTE CON PERSONAL DEL GRUPO ESPECIAL DE ASISTENCIA JUDICIAL GEAJ, DEPENDIENTE DEL MINISTERIO DE JUSTICIA Y DERECHOS HUMANOS DE LA NACION A CARGO DE LA DRA. ANA MARIA CAREAGA Y EL TECNICO EN HEMOTERAPIA DANIEL HORACIO ALCAZAR EN CALIDAD DE REPRESENTANTE DEL BANCO NACIONAL DE DATOS GENETICOS EN EL G.E.A.J., SE HICIERON PRESENTES EN EL JUZGADO FEDERAL NRO. 1 - SECRETARIA DE DERECHOS HUMANOS DE LA CIUDAD DE BAHIA BLANCA, QUIENES EN PRESENCIA DEL SR. FISCAL FEDERAL SUBROGANTE DR. ABEL CORDOBA, SE PROCEDIO A LA EXTRACCION DE MUESTRAS DE SANGRE DEL CIUDADANO PABLO VICTOR CUCHAN, BAJO SU CONSENTIMIENTO, QUIEN SE ENCUENTRA ACTUALMENTE DETENIDO EN LA UNIDAD PENAL NRO. 4 DE VILLA FLORESTA DE BAHIA BLANCA, PARA SER ANALIZADA BAJO TECNICAS DE BIOLOGIA MOLECULAR, HABIENDOSE TOMADO IMAGENES FOTOGRAFICAS DEL PROCESO DE EXTRACCION DE SANGRE. POSTERIORMENTE, SE DEJA EN CUSTODIA DEL SR. DANIEL ALCAZAR LAS MUESTRAS DE ADN TOMADAS, QUIEN LAS TRASLADARA HASTA EL HOSPITAL DURAND - SEDE DEL B.N.D.G. - ACOMPAÑADO POR PERSONAL POLICIAL DE ESTA UNIDAD.</t>
  </si>
  <si>
    <t>PLAZOLETA LINDANTE AL RIO DE LA PLATA</t>
  </si>
  <si>
    <t>FRENTE AL AEROPARQUE METROPOLITANO</t>
  </si>
  <si>
    <t>SIENDO LA HORA Y LA FECHA ANTES MENCIONADA SE HACE PRESENTE EN LA GUARDIA DE PREVENCION LA DENUNCIANTE MANIFESTANDO QUE EN EL DIA DE LA FECHA EMBARCARIA EN UN VUELO CON DESTINO A LA CIUDAD DE BARILOCHE, Y DEBIDO A QUE CONTABA CON TIEMPO ANTES DE LA PARTIDA DEL VUELO CRUZO A LA PLAZOLETA ANTES MENCIONADA, SIENDO LAS 1000 HORAS APROXIMADAMENTE DESCUIDA SUS PERTENENCIAS, MIENTRAS QUE SE ENCONTRABA ENVIANDO UN MENSAJE, Y SE PERCATA A LOS POCOS MINUTOS DEL FALTANTE DE SU CARTERA. POSTERIORMENTE RADICA LA CORRESPONDIENTE DENUNCIA.</t>
  </si>
  <si>
    <t>SIENDO LAS DIEZ CON VEINTICINCO MINUTOS SE HACE PRESENTE EN ESTA GUARDIA DE PREVENCION EL EXPONENETE, MANIFESTANDO EL EXTRAVIO DE SU PERMISO PERSONAL AEROPORTUARIO NUMERO 272325 CON VENCIMIENTO EL 09-MAY-2010.</t>
  </si>
  <si>
    <t>EN MOMENTOS EN QUE PERSONAL POLICIAL SE ENCONTRABA EFECTUANDO EL CONTROL PREVENTIVO DE PASAJEROS Y EQUIPAJES DE MANO DEL VUELO DE MENCION, SE PRESENTARON DOS PERSONAS DE SEXO FEMENINO QUE LUEGO DE DEPOSITAR SU EQUIPAJE EN LA CINTA TRANSPORTADORA DE LA MAQUINA DE RX, TRASPASARON EL MARCO DETECTOR ACTIVANDO LA ALARMA DEL MISMO, MOTIVO POR EL CUAL EL PERSONAL POLICIAL EFECTUO SOBRE LAS MISMAS UN CHEQUEO POR SOBRE SUS ROPAS, PERCATANDOSE QUE EN AMBOS CASOS, A LA ALTURA DE LOS GLUTEOS, TENIAN BULTOS AJENOS A LA FISONOMÍA DE SU CUERPO. POR TAL MOTIVO, SE CONVOCO A DOS TESTIGOS HABILES Y SE ENTABLO COMUNICACIÓN CON LA JUDICATURA INTERVINIENTE QUIEN AUTORIZO LA REQUISA DE AMBAS PASAJERAS, OBTENIENDO COMO RESULTADO DE DICHA DILIGENCIA, QUE CADA UNA LLEVABA ADHERIDO A SUS GLUTEOS DOS PAQUETES Y UNA DE ELLAS INTRODUCIDO EN SU VAGINA OTRO PAQUETE. A LOS MENCIONADOS BULTOS SE LES EXTRAJO UNA PEQUEÑA PORCION DE LA SUSTANCIA QUE CONTENIAN, LA CUAL FUE SOMETIDA A REACTIVO PARA COCAINA ARROJANDO RESULTADO POSTIVO.</t>
  </si>
  <si>
    <t>GERCOVICH, GRACIELA</t>
  </si>
  <si>
    <t>PATIO DE VALIJAS A</t>
  </si>
  <si>
    <t>SIENDO LA HORA Y FECHA ANTES CONSIGNADA RECIBO COMUNICACION VIA HT, POR PARTE DEL OFICIAL AYUDANTE VIROCHE, CENTINELA DEL PATIO DE VALIJAS A. QUIEN MANIFIESTA QUE EN TRES EQUIPAJES CON MARBETE AR 138230,AR 138231, 138478, LAS CUALES DOS ERAN CAJAS CON INSCRIPCIONES DE JUGUETES Y UNA VALIJA TIPO CARRI - ON, SE OBSERVABA APARENTEMENTE MATERIAL PIROTECNICO. SEGUIDAMENTE COMISIONO AL ENC. DE TURNO OF. AGUADO, QUIEN CONSTATA MEDIANTE LA IMAGEN POR MAQUINA DE RX, QUE UNA DE LAS CAJAS CON MARBETE AR 138246 Y EN LA VALIJA TIPO CARRI ON AR138247, HABIA MATERIAL PIROTECNICO, INMEDIATAMENTE EL OFICIAL SILVA ALEJANDRO PROCEDE A SOLICITAR LA PRESENCIA DE DOS TESTIGOS HÁBILES, COMO ASI TAMBIEN PROCEDE A COMISIONAR AL OF. AGUADO DANIEL QUE SE DIRIJA A UBICAR A LAS PROPIETARIAS DE LOS EQUIPAJES PARA SU RECONOCIMIENTO UNA VEZ UBICADA LAS MISMAS SE LAS ACOMPAÑA A ESTA GUARDIA DE PREVENCIÓN PARA REALIZAR LAS DILIGENCIAS PERTINENTES. POSTERIORMENTE SE ENTABLA COMUNICACIÓN CON EL DR. ADRIAN RIVERA SOLARI, TITULAR DE SEC. Nº 6 DEL JUZGADO FEDERAL Nº 3, A CARGO DEL DR. EDUARDO RAFECAS, A QUIEN SE LE INFORMA DE LOS HECHOS, EL CUAL DISPONE: QUE POR SER MATERIAL PIROTÉCNICO NO CONSTITUYE DELITO QUE ENCUADRE A LOS EFECTOS DE INICIAR ACTUACIONES, QUE SE LE INFORME A LOS PASAJEROS QUE NO PODRÁN EMBARCAR DICHO MATERIAL VIA AÉREA Y QUE SE REALICE ACTA DEJANDO CONSTANCIA DE LAS DILIGENCIAS REALIZADAS. POSTERIORMENTE SIENDO LAS 09:00 HS, SE ENTABLA COMUNICACION TELEFONICA CON LA DRA. GRACIELA GUERCOVICH, DE LA SEC. Nº 1 DEL JUZGADO PENAL ECONÓMICO Nº 1 A CARGO DEL DR. EZEQUIEL VERON DE ESTRADA, A QUIEN SE LE INFORMA DE LO ACONTECIDO Y DE LA ORDEN EMANADA POR LA SUPERIORIDAD, DISPONIENDO LA MISMA: QUE POR SER UN VUELO DE CABOTAJE, DONDE EL MATERIAL SE TRASLAD DESDE UN PUNTO DE SALIDA A PUNTO DE LLEGADA DENTRO DEL TERRITORIO NACIONAL NO CONSTITUYE CONTRANBADO, POR LO CUAL DICHO JUZGADO NO TIENE COMPETENCIA. SEGUIDAMENTE SE PROCEDE A NOTIFICAR A LOS PASAJEROS QUE NO PRODIAN EMBARCAR CON DICHO MATERIAL PIROTECNICO Y SE LE HACE ENTRAGA DE LOS EQUIPAJES LOS CUALES RECIBEN CON CONFORMIDAD.</t>
  </si>
  <si>
    <t>AR1852</t>
  </si>
  <si>
    <t>SALIDA E INGRESO SUR DEL HALL PRINCIPAL</t>
  </si>
  <si>
    <t>FRENTE DE AEROESTACION</t>
  </si>
  <si>
    <t>SIENDO LAS 02:00 HS. PERSONAL DE EMPRESA SERZA DA AVISO QUE EN UN CARRO PORTAEQUIPAJE SE ENCUENTRA APARENTEMENTE UN EQUIPAJE POR LO QUE SE TOMAN LAS MEDIDAS PREVENTIVAS PARA BULTO SOSPECHOSO DANDOLE AVISO A EL PERSONAL DE GEDEX DE TURNO EL CUAL PIDE COLABORACION A CANES QUIENES SIENDO LAS 03:00 SE APERSONAN HASTA EL LUGAR DEL HECHO REALIZANDO LOS CONTROLES CORRESPONDIENTES DANDO ESTOS RESULTADO NEGATIVO POR LO QUE SE PROCEDE A SER INSPECCIONADO CON EL EQUIPO DE RAYOS X EN EL PREEMBARQUE CABOTAJE RESULTANDO SIN NOVEDAD POR LO QUE LABRA ACTA DE HALLAZGO N° 224/10</t>
  </si>
  <si>
    <t>DR. EDMUNDO RABBIONE</t>
  </si>
  <si>
    <t>PUERTA DE INGRESO A LAS OFICINAS DE TRÁFICO.</t>
  </si>
  <si>
    <t>OFICINAS DE TRAFICO DE LA EMPRESA AEROLINEAS ARGENTINAS</t>
  </si>
  <si>
    <t>SIENDO LA FECHA Y LA HORA ANTES MENCIONADA SE RECIBE COMUNICACION TELFONICA A ESTA GUARDIA DE PREVENCION, POR PARTE DE UN EMPLEADO DE LA EMPRESA AEROLINEAS ARGENTINAS MANIFESTANDO QUE EN LAS OFICINAS DE TRAFICO DE DICHA EMPRESA, SE ENCONTRABA UN PASAJERO DE SEXO MASCULINO REALIZANDO DISTURBIOS. ACTO SEGUIDO SE DIRIGE AL LUGAR EL OF. RIJTER, Y UNA VEZ ALLI LE MANIFIESTAN QUE UN MASCULINO LE HABIA PROPINADO UN GOLPE A UNA DE SUS COMPAÑERAS Y QUE LA MISMA ESTABA SIENDO ATENDIDA POR EL SERVICIO MEDICO DE LA EMPRESA, UNA VEZ FINALIZADA LA ATENCION MEDICA A LA EMPLEADA, LA MISMA LE INDICA AL OF. RIJTER CUAL ERA EL PASAJERO Y SE TRASLADAN A LOS INTERVINIENTES A LA GUARDIA POLICIAL A FIN DE INICIAR LAS ACTUACIONES. SIENDO LAS 0030 HORAS DEL DIA 30 DEL CORRIENTE, SE PROCEDE A ENTABLAR CUMUNICACION TELFONICA CON LA JUDICATURA ACTUANTE, QUIEN DISPONE LECTURA DE DERECHO, DETENCION EN CARACTER DE COMUNICADO, TRES JUEGOS DE FICHAS, IDGE, FOTOS, MEDICO, CONSTATACION DE DOMICILIO Y DE NO POSEER IMPEDIMENTOS LEGALES POR IDGE SE PROCEDA A LA LIBERACION DEL IMPUTADO. SIENDO LAS 0410 HORAS, AL NO PRESENTAR IMPEDIMENTOS POR IDGE SE PROCEDE A LA LIBERACION DEL IMPUTADO RETIRANDOSE DE ESTA DEPENDENCIA SIN NOVEDAD.</t>
  </si>
  <si>
    <t>AR 2460</t>
  </si>
  <si>
    <t>7909/10</t>
  </si>
  <si>
    <t>RODOLFO MARIANO MIQUELARENA</t>
  </si>
  <si>
    <t>INSTITUTO DE SEGURIDAD SOCIAL Y SEGUROS SEROS DEL CHUBUT S/PTA INFRACCIÓN ART 190 CP, 202 Y 203 CP.-</t>
  </si>
  <si>
    <t>829 Fº 295 - AÑO 2010</t>
  </si>
  <si>
    <t>INFORMO QUE EN EL DÍA DE LA FECHA EL JUZGADO FEDERAL DE PRIMERA INSTANCIA RAWSON CHUBUT OTORGA NÚMERO DE CAUSA Y CARATULA JUDICIAL AL PREVENTIVO Nº 0009/10 DE ÉSTA UOSP. LOS MISMOS CONSTAN EN DATOS DE CAUSA JUDICIAL.</t>
  </si>
  <si>
    <t>SIENDO LAS 10:00 HS SE IMPLEMENTAN LAS MEDIDAS DE SEGURIDAD PARA LA PARTIDA DE LA SEÑORA PRESIDENTE DE LA NACION CRISTINA FERNADEZ DE KIRCHNER , SIENDO LAS 13:50 HS ARRIBA A ESTA AEROESTACION EN HELICOPTERO MATRICULA H-03 PARTIENDO A LAS 14:05 HS EN AERONAVE MATRICULA T-01 CON DESTINO A RIO GALLEGOS . FINALIZANDO EL OPERATIVO 14:20 HS SIN NOVEDAD</t>
  </si>
  <si>
    <t>8311/10</t>
  </si>
  <si>
    <t>INTERDICCION SACA DE CORREO S/PRESUNTO MATERIAL ORGANICO</t>
  </si>
  <si>
    <t>SE CONFECCIONA EL PRESENTE A LOS EFECTOS INFORMAR QUE DE INFORMACION PROPORCIONADA POR LA EMPRESA CORREO ARGENTINO EN RELACION A LA BOLSA CONTENEDORA IDENTIFICADA CON CODIGO SLA0172138E555800VAE CONTENIENDO LAS PIEZAS POSTALES: EP 059276500 AR, EP 065010228 AR, EP 658932452 AR, EP 687690890 AR Y EP 716024349 AR QUE FUERA SECUESTRADA POR PARTE DEL JUZGADO FEDERAL LOCAL EN EL MARCO DE LA CAUSA JUDICIAL CARATULADA PSA-SACA CON PRESUNTO MATERIAL ORGANICO ESTUPEFACIENTE EXPTE: 158-308-10, EN ESE SENTIDO SE INFORMA QUE LA BOLSA COLECTORA EN CUESTION REALIZO SU TRANSITO DESDE LA LOCALIDAD DE SALTA HASTA RIO GALLEGOS POR VIA TERRESTRE, Y POSTERIORMENTE AL CONTROL REALIZADO TENIA PROGRAMADO SEGUIR VIAJE A LA PROVINCIA DE TIERRA DEL FUEGO POR LA MISMA VIA -</t>
  </si>
  <si>
    <t>MENENDEZ SABRINA</t>
  </si>
  <si>
    <t>INFRACCION AL ART 189 BIS CPN</t>
  </si>
  <si>
    <t>SIENDO LA HORA Y LA FECHA ANTES MENCIONADA EL OFICIAL SAGUES INFORMA QUE DURANTE EL CONTROL DEL VUELO DESCRIPTO SE VISUALIZA DENTRO DE UN EQUIPAJE POR MEDIO DE MAQUINA DE RAYOS X UN ARMA TIPO REVOLVER POR LO QUE SE SOLICITA LA PRESENCIA DEL PASAJERO Y POSTERIORMENTE EL MISMO APERTURA EL BOLSO Y MANIFIESTA QUE NO POSEIA LOS PAPELES DE LA MISMA. POSTERIORMENTE JUNTO A DOS TESTIGOS SE TRASLADAN A LA GUARDIA DE PREVENCION A FIN DE CONTINUAR CON LAS DILIGENCIAS CORRESPONDIENTES. SEGUIDAMENTE SE ENTABLA COMUNICACION CON EL DR. MARTIN A CARGO DE LA JUDICATURA ACTUANTE EL CUAL DISPONE REALIZAR ACTUACION DE RIGOR, DETENCION EN CARACTER DE COMUNICADO, REINCIDENCIA, SECUESTRO DEL ARMA, ENVIAR NOTA PFA DIVISION BALISTICA, NOTA A LA EMPRESA AEREA CON ITINERARIO DEL PASAJERO. POSTERIOREMNTE SIENDO LAS 1500 HORAS EL DR. MARTIN SE COMUNICA A ESTA GUARDIA POLICIAL ORDENANDO QUE SE TRASLADE AL CAUSANTE Y LO ACTUADO A LA SEDE JUDICIAL.</t>
  </si>
  <si>
    <t>DRA. ANALIA ESTANGA</t>
  </si>
  <si>
    <t>IMPUTADOS MERCADO GUSTAVO ARIEL Y MERCADO LOPEZ RUBEN S/LESIONES GRAVES</t>
  </si>
  <si>
    <t>SIENDO LA HORA MENCIONADA SE RECIBE COMUNICACION POR PARTE DEL OFICIAL TAVERA INFORMANDO QUE PERSONAL DE MIGRACIONES TENIA UNA PERSONA CON PEDIDO DE CAPTURA, POR LO QUE SE RECIBE MEDIANTE NOTA EL CAUSANTE, POSTERIORMENTE SE ENTABLA COMUNICACION CON EL JUZGADO SOLICITANTE DE DICHA CAPTURA, DONDE NOS INFORMA QUE EL CAUSANTE DE LOS AUTOS NO ERA EL SR. QUE SE ENCONTRABA EN NUESTRA DEPENDENCIA POR LO QUE ORDENA QUE SE VERIFIQUE MEDIANTE SISTEMA IDGE, POSTERIORMENTE CON EL RESULTADO DE INTERPOL AL NO MEDIAR IMPEDIMENTO LEGAL ALGUNO EL CAUSANTE SE RETIRA DE ESTA DEPENDENCIA SIN NOVEDAD, POR ULTIMO SE HACE ENTREGA DE NOTA A LA DNM CON RESULTADOS DE LAS DILIGENCIAS REALIZADAS.</t>
  </si>
  <si>
    <t>AR</t>
  </si>
  <si>
    <t>SE CONFECCIONA EL PRESENTE A LOS EFECTOS DE INFORMAR QUE SIENDO LAS 16:52 HS, ARRIBO LA AERONAVE PRESIDENCIAL T-01 TRANSPORTANDO A LA SEÑORA PRESIDENTE DE LA NACION DRA. CRISTINA FERNANDEZ DE KIRCHNER, LA SEÑORA MINISTRO DE DESARROLLO SOCIAL DRA. ALICIA KIRCHNER, COMITIVA Y CUSTODIA SIN NOVEDAD.</t>
  </si>
  <si>
    <t>GABRIELA ANDROVETTO</t>
  </si>
  <si>
    <t>SIENDO LA HORA MENCIONADA SE HACE PRESENTE UN PASAJERO EL CUAL MANIFIESTA QUE LE HABIAN SUSTRAIDO DOS CELULARES DEL INTERIOR DE SU EQUIPAJE DESPACHADO POR BODEGA, PERCATANDOSE AL MOMENTO DE RETIRAR EL MISMO DE LA CINTA DE EQUIPAJES DEL HALL DE ARRIBOS, CUANDO OBSERVO QUE LOS CIERRES ESTABAN EN DIFERENTE POSICION DE LAS QUE EL DAMNIFICADO SUELE DEJARLOS.</t>
  </si>
  <si>
    <t>CARLOS IGNACIO FORNARI</t>
  </si>
  <si>
    <t>PALACIOS VERDE EDGAILYS, OVIEDO SULBARAN DESIREE DEL CARMEN S/TTVA DE CONTRABANDO DE ESTUPEFACIENTES</t>
  </si>
  <si>
    <t>BRANDSEN Nº 1196 PISO 5º. DPTO C - C.A.B.A</t>
  </si>
  <si>
    <t>REFERENTE ORDEN DE SERVICIO N° 1505.EN EL DIA DE LA FECHA SE PROCEDE A DAR CUMPLIMIENTO A LA ORDEN DE ALLANAMIENTO EN LA FINCA INDICADA,PROCEDIENDO A SECUESTRAR LOS ELEMENTOS ABAJO DETALLADOS Y A LA DETENCION DEL SR.SARACENI. SE INFORMA QUE EL DETENIDO SERA TRASLADADO A LAS INSTALACIONES DE LA UOSP EZEIZA DONDE PERMANECERA ALOJADO HASTA EL DIA LUNES, CUANDO PERSONAL DE ESTA UNIDAD LO TRASLADARA HASTA SEDE JUDICIAL.</t>
  </si>
  <si>
    <t>MIENTRAS PERSONAL POLICIAL EFECTUABA EL CONTROL PREVENTIVO MEDIANTE MAQUINA DE RAYOS X, SOBRE LOS EQUIPAJES DESPACHADOS POR BODEGA POR LOS PASAJEROS DEL VUELO DE MENCION, OBSERVARON QUE EN LA IMAGEN DEL MONITOR DE DICHO EQUIPO, SE DISTINGUIA LA PRESENCIA DE SUSTANCIA ORGANICA DE BAJA DENSIDAD SIN PODER DETERMINAR DE QUE ELEMENTO SE TRATABA, CONTENIDA EN EL INTERIOR DE UN EQUIPAJE TIPO CARRY ON, POR LO QUE SE PROCEDIO A SEPARAR EL EQUIPAJE. UNA VEZ IDENTIFICADO EL PASAJERO PROPIETARIO DE LA VALIJA Y LUEGO DE TRASLADAR A TODOS LOS INTERVINIENTES A LA GUARDIA DE PREVENCION, SE PROCEDIO A REQUISAR EL EQUIPAJE, EL CUAL UNA VEZ VACIO, PRESENTABA UN PESO EXCESIVO PARA SUS CARACTERISTICAS. POR ESTE MOTIVO SE LE EFECTUO UNA INCISION SOBRE EL FORRO QUE RECUBRIA LA PARTE INTERNA DE LA BASE DE LA VALIJA, LO QUE DEJO VER UN PROTECTOR PLASTICO COLOR GRIS QUE AL SER RETIRADO, DEJO APRECIAR LA EXISTENCIA DE UN PAQUETE DE FORMA RECTANGULAR DE COLOR NEGRO, EFECTUANDO EL MISMO PROCEDIMIENTO CON LA PARTE INTERNA DE LA TAPA DE LA VALIJA, OBSERVANDOSE OTRO PAQUETE DE SIMILARES CARACTERISTICAS AL ANTERIOR. POSTERIORMENTE SE LE REALIZO UN PEQUEÑO CORTE AL NYLON COLOR NEGRO DE AMBOS PAQUETES, APRECIANDO EN SU INTERIOR OTRO NYLON TRANSPARENTE QUE RECUBRIA UNA SUSTANCIA COLOR BLANCO A LAS CUALES SE LE EFECTUO EL REACTIVO ORIENTATIVO PARA SUSTANCIA ESTUPEFACIENTE ARROJANDO RESULTADO POSITIVO PARA CLORHIDRATO DE COCAINA. SIENDO LAS 19:30 HORAS SE ENTABLO NUEVA COMUNICACIÓN TELEFONICA CON LA JUDICATURA ACTUANTE, A QUIEN SE LE INFORMO LOS RESULTADOS OBTENIDOS, DISPONIENDO EL MAGISTRADO QUE SE LABREN LAS ACTUACIONES DE RIGOR.</t>
  </si>
  <si>
    <t>ORDEN DE CAPTURA 6-MAR-2002 REBELDIA SABOGNANI CRISSTIAN JAVIER SOBRE DEFRAUDACION POR DEBARATAMIENTO</t>
  </si>
  <si>
    <t>EXPTE NRO. 10344/10</t>
  </si>
  <si>
    <t>EN EL DÍA DE LA FECHA PERSONAL DE MIGRACIONES DELEGACIÓN CÓRDOBA DE ESTE AEROPUERTO INFORMA A PERSONAL PSA QUE REGISTRA EL INGRESO DE UN PASAJERO SOBRE QUIEN PESA UNA ORDEN DE CAPTURA SEGÚN CONSTA EN LA BASE DE DATOS DE ESA DELEGACION. EN TAL SENTIDO SE RECIBE DE ESA DEPENDENCIA NOTA DE CUSTODIA DEL ENCARTADO. ACTO SEGUIDO SE ENVÍA VÍA FAX, NOTA DE FORMA A LA SECCIÓN ANTECEDENTES DE PERSONAS DEPENDIENTE DE GENDARMERÍA NACIONAL ARGENTINA, SOLICITANDO INFORMACIÓN AL RESPECTO DE LA CAUSA QUE PESA SOBRE LA PERSONA EN CUESTIÓN. SEGUIDAMENTE SE RECIBE VÍA FAX DE GENDARMERÍA NACIONAL LO SOLICITADO CON ANTERIORIDAD, INFORMANDO ESA PREVENCIÓN QUE LA CAUSA SIGUE VIGENTE. ANTE TAL SITUACIÓN SE SOLICITA A LA DIRECCIÓN DE MIGRACIONES UNA AMPLIACIÓN DE LA INFORMACIÓN RESPECTO DEL ENCARTADO RECIBIENDO POR PARTE DE ESA DEPENDENCIA UNA NOTA DE FORMA DE INGRESO Y/O EGRESO DE PERSONAS INFORMANDO QUE ESTE PASAJERO FIGURA CON PEDIDO DE CAPTURA MAYOR Y QUE AL MOMENTO DE EGRESAR DEL PAÍS PERFECTURA NAVAL ARGENTINA SE COMUNICO CON EL JUZGADO DE MARRAS INFORMANDO DE LA NOVEDAD RESOLVIENDO EL MISMO QUE A SU RETORNO SE PRESENTE A COMPARECER EN EL JUZGADO DE REFERENCIA A FIN DE REGULARIZAR SU SITUACIÓN. SEGUIDAMENTE SE LE HACE FIJAR FIJA DOMICILIO, SE DA INICIO A LAS ACTUACIONES SUMARIALES CORRESPONDIENTES, CONTINUANDO EL NOMBRADO EN LIBERTAD Y CON SUS ACTIVIDADES DE RIGOR, SIENDO LAS 05:30HS APROXIMADAMENTE SE RETIRA EL NOMBRADO DE ESTA GUARDIA PREVENTIVA SIN MÁS NOVEDADES.</t>
  </si>
  <si>
    <t>SAO PABLO</t>
  </si>
  <si>
    <t>MIENTRAS PERSONAL POLICIAL EFECTUABA EL CONTROL PREVENTIVO MEDIANTE MAQUINA DE RAYOS X SOBRE LOS EQUIPAJES DESPACHADOS POR BODEGA DE LOS PASAJEROS DEL VUELO DE MENCION, OBSERVARON QUE EN LA IMAGEN DEL MONITOR DE DICHO EQUIPO, SE DISTINGUIA LA PRESENCIA DE SUSTANCIA ORGANICA DE BAJA DENSIDAD, SIN PODER DETERMINAR DE QUE ELEMENTO SE TRATABA, EL CUAL SE ENCONTRABA EN EL INTERIOR DE UN BULTO SIMILAR A UNA ESTATUA. SEGUIDAMENTE SE PROCEDIO A SEPARAR EL BULTO, EL CUAL ESTABA ENVUELTO EN FILM DE NYLON CON MARBETE COLOCADO Nº LH345917 A NOMBRE DE BEKS HUBERTUS, CON ITINERARIO DE VIAJE BUENOS AIRES - FRANKFURT (ALEMANIA) - BRUSELAS (BELGICA). UNA VEZ IDENTIFICADO EL PASAJERO PROPIETARIO DEL ELEMENTO Y LUEGO DE TRASLADAR A TODOS LOS INTERVINIENTES A LA GUARDIA DE PREVENCION, SE PROCEDIO A QUITAR EL FILM DE NYLON QUE RECUBRIA UNA ESTATUA DE YESO PINTADO, CON LA IMAGEN DE UN GAUCHO, DE APROXIMADAMENTE CINCUENTA Y SIETE CENTIMETROS DE ALTURA. PROCEDIENDOSE A ROMPER EL YESO, OBSERVANDO EN EL INTERIOR DE LA ESTATUA, DIEZ PAQUETES ENVUELTOS EN NYLON TRANSPARENTE, PINTADOS DE COLOR GRIS, A LOS CUALES SE LE REALIZO UN CORTE, APRECIANDO UNA SUSTANCIA COLOR BLANCO, A LA CUAL SE LE EFECTUO UN REACTIVO ORIENTATIVO PARA SUSTANCIA ESTUPEFACIENTE, ARROJANDO RESULTADO POSITIVO PARA CLORHIDRATO DE COCAINA EN LOS DIEZ PAQUETES.</t>
  </si>
  <si>
    <t>SECTOR ARRIBOS DE PASAJEROS</t>
  </si>
  <si>
    <t>SIENDO LA FECHA Y LA HORA ANTES MENCIONADA LOS OFICIALES ALEGRE Y ZUMPANO EN RECORRIDA QUE EFECTUABAN POR EL SECTOR DE MENCION. OBSERVAN A UNA PERSONA DE SEXO MASCULINO QUE SE ENCONTRABA OFRECIENDO SERVICIO DE TRANSPORTE PUBLICO A VIVA VOZ A PASAJEROS RECIEN ARRIBADOS AL PAIS, FUERA DE LOS LUGARES HABILITADOS PARA TAL FIN, POR TAL MOTIVO LOS OFICIALES LE INFORMAN LA FALTA COMETIDA Y LO INVITAN A LA GUARDIA DE PREVENCION PARA REALIZAR LAS ACTUACIONES CONTRAVENCIONALES CORRESPONDIENTES.</t>
  </si>
  <si>
    <t>SIENDO LA FECHA Y HORA ANTES MENCIONADA, EN MOMENTOS EN QUE EL OFICIAL ZUMPANO SE ENCONTRABA EN UNA RECORRIDA POR EL SECTOR MENCIONADO CON ANTERIORIDAD, OBSERVA Y SORPRENDE A UNA PERSONA DE SEXO MASCULINO, LA CUAL SE ENCONTRABA OFRECIENDO SERVICIO DE TRANSPORTE PUBLICO A VIVA VOZ A LOS PASAJEROS, FUERA DE LOS LUGARES HABILITADOS, POR LO CUAL SE LE INFORMA EN REITERADAS OCASIONES QUE NO PODIA EJERCER DICHO ACCIONAR. HACIENDO CASO OMISO A LAS ADVERTENCIAS SE PROCEDE A LA IDENTIFICACION, APREHENSION PREVENTIVA DEL CAUSANTE. ACTO SEGUIDO SE TRASLADA AL INFRACTOR AL SERVICIO DE SANIDAD Y LUEGO A LA OFICINA DE CONTRAVENCIONES Y FALTAS DONDE SE LABRA LA CORRESPONDIENTE ACTA Y SE EFECTUA CONSTATACION DE ANTECEDENTES PENALES DEL INFRACTOR. LUEGO DE REALIZADO ESTOS TRAMITES EL INFRACTOR SE RETIRA POR SUS PROPIOS MEDIOS.-</t>
  </si>
  <si>
    <t>DRA. MARIA GABRIELA ANDROVETTO</t>
  </si>
  <si>
    <t>AERONAVE MATRICULA LV-WFN, UBICADA EN LA POSICION Nº 05</t>
  </si>
  <si>
    <t>SIENDO LAS 11:15 HORAS DEL DIA DE LA FECHA, SE HACE PRESENTE UN PILOTO DE LA EMPRESA AUSTRAL LINEAS AEREAS, MANIFESTANDO QUE EN EL DIA 30 DEL CORRIENTE, SE DESEMPEÑABA COMO PILOTO DE LA AERONAVE MATRICULA LV-WFN, CORRESPONDIENTE AL VUELO AU 2735, PROCEDENTE DE LA CIUDAD DE IGUAZÚ, EL CUAL ARRIBO EN ESTE AEROPARQUE A LAS 20:02 HORAS, SEGUIDAMENTE SE DIRIGIÓ JUNTO A LA TRIPULACIÓN A LA OFICINA DE OPERACIONES DE LA EMPRESA, DEJANDO EN LA AERONAVE SU BOLSO TIPO CARRY-ON, DE COLOR NEGRO. TRASCURRIDOS UNOS 20 MINUTOS, SE DIRIGIÓ A LA AERONAVE MATRICULA LV-BGZ, POR UN CAMBIO DE EQUIPO, DONDE LE PREGUNTO A LOS TRIPULANTES SI HABÍAN TRAÍDO SU BOLSO DE LA OTRA AERONAVE, CON RESPUESTA NEGATIVA, LUEGO SE DIRIGIÓ A LA AERONAVE LV-WFN, CORROBORANDO QUE SU BOLSO NO ESTABA, MOTIVO POR EL CUAL SE HACE PRESENTE EN ESTA GUARDIA DE PREVENCIÓN PARA RADICAR LA CORRESPONDIENTE DENUNCIA.</t>
  </si>
  <si>
    <t>AU2735</t>
  </si>
  <si>
    <t>GHIONI, CARLOS ALBERTO S/INF. ART N°190 C.P.N.</t>
  </si>
  <si>
    <t>EQUIPO DE RAYOS X - ADUANA USHUAIA</t>
  </si>
  <si>
    <t>SECTOR DE ARRIBO-CONTROL DE CARGAS ADUANA USHUAIA</t>
  </si>
  <si>
    <t>INFORMO QUE EN EL DIA FECHA SIENDO LAS 12:30HS APROXIMADAMENTE AL ARRIBO DEL VUELO AR-1852 EN CONTROL DE RUTINA Y SEGUN ORDEN DE SERVICIO N°12/10 EL OFICIAL PRINCIPAL SARMIENTO, REALIZABA UN CONTROL DE EQUIPO RAYOS X, EN EL SECTOR DE EQUIPAJES ARRIBADO/CARGA Y CORREO PERTENECIENTE A ADUANA USHUAIA, OBSERVA EN CONJUNTO CON PERSONAL DE ADUANA SR. JORGE MARIO DNI N° 12.461.099, UNA VALIJA LA CUAL POSEE EN SU INTERIOR ELEMENTOS QUE SE PRESUME SER MATERIAL DE PIROTECNIA. REALIZANDO EL OFICIAL ANTES MENCIONADO MUESTRAS FOTOGRAFICAS DE LA MISMA Y DE LAS IMAGENES DE RAYOS X. POR TAL RAZON SE ANOTICIA AL JUZGADO FEDERAL USHUAIA, EN LA PERSONA DEL DR. ERNESTO MENDIETA, QUIEN INDICA QUE POR DISPOSICION DE S.SA. SE PROCEDA AL SECUESTRO DE LOS ELEMENTOS DETECTADOS POR INFRACCION AL ART. N°190 C.P.N., COMO ASI TAMBIEN LECTURA DE DERECHOS Y GARANTIAS. SE IDENTIFICA AL DUEÑO DE DICHO EQUIPAJE, SIENDO EL SR. GHIONI CARLOS ALBERTO DNI N° 13.146.927. SE REALIZA SECUESTRO DE LOS ELEMENTOS QUEDANDO A RESGUARDO PARA SER ENVIADOS AL TRIBUNAL ANTES MENCIONADO, Y LECTURA DE DERECHOS Y GARANTIAS EN PRESENCIA DE TESTIGOS HABILES. POSTERIORMENTE SE RETIRA EL CAUSANTE DE ESTA PREVENCION QUEDANDO SUJETO A LAS ACTUACIONES DE DICHO TRIBUNAL.-</t>
  </si>
  <si>
    <t>GEROMETTA</t>
  </si>
  <si>
    <t>Ricardo Ruben</t>
  </si>
  <si>
    <t>MIGUEL MOISES MAZAL</t>
  </si>
  <si>
    <t>INFORMO EN EL DIA DE LA FECHA SIENDO LAS 10:12 HORAS SE PRESENTA UNA PERSONA A LOS EFECTOS DE RADICAR UNA DEUNCIA POR UN PRESUNTO HECHO DELICTIVO MANIFESTANDO QUE EN MOMENTOS DE EMBARCAR EN EL VUELO Nº 1720 DE LA EMPRESA AEROLINEAS ARGENTINAS QUE PARTIA DESDE EL AEROPARQUE JORGE NEWBERY CON DESTINO A LA CIUDAD DE IGUAZU DEPOSITO UN TELEFONO CELULAR MARCA BLACKBERRY MODELO CURVE 8950 DE COLOR NEGRO SOBRE LA CINTA DE LA MAQUINA DE RAYOS X NO ENCONTRANDO MAS EL MISMO DESPUES DE HABER PASADO A TRAVES DE LA PUERTA DETECTORA DE METALES ACTO SEGUIDO SE ESTABLECE COMUNICION TELEFONICA CON LA DRA KARINA NOVAC SECRETARIA DE TURNO A CARGO DE LA SECRTARIA Nº 1 DEL JUZGADO DE INSTRUCCIÓN Nº 2 DE LA CIUDAD DE ELDORADO QUIEN ENTERADA DE LOS HECHOS ORDENA SE LABREN LAS ACTUACIONES CORRESPONDIENTES ELEVANDO LO ACTUADO AL JUZGADO DE INSTRUCCION Nº 3 SECRETARIA Nº 2 A CARGO DEL DR. MIGUEL MOISES MAZAL SEGUIDAMENTE SIENDO LAS 15:50 HORAS SE PRESENTA NUEVAMENTE LA MISMA PERSONA MANIFESTANDO QUE HABIA RECUPERDO SU TELEFONO QUE LE SUSTRAJERON ANTERIORMENTE Y QUE EL MISMO FUE TOMADO ERRONEAMENTE POR EL PILOTO DE UNA AEROLINEAS QUIEN SE PUSO EN CONTACO CON EL A LOS EFECTOS DE DEVOLVERLO. ACTO SEGUIDO SE ESTABLECE COMUNICACIÓN TELEFONICA CON LA DRA KARINA NOVAC SECRETARIA DE TURNO A CARGO DE LA SECRTARIA Nº 1 DEL JUZGADO DE INSTRUCCIÓN Nº 2 DE LA CIUDAD DE ELDORADO QUIEN ENTERADA DE LOS HECHOS ORDENA SE LABRE UNA AMPLIACION DE LA DENUNCIA ANTERIORMENTE MENCIONADA Y QUE SE ELEVE TODO LO ACTUADO AL JUZGADO DE INSTRUCCION Nº 3 SECRETARIA Nº 2 DE LA CIUDAD DE PUERTO IGUAZU A CARGO DEL DR. MIGUEL MOISES MAZAL PARA SU CONSIDERACION .</t>
  </si>
  <si>
    <t>AERONAVE A 320 LV-BTM</t>
  </si>
  <si>
    <t>POSICION Nº 26, DE LA PLATAFORMA</t>
  </si>
  <si>
    <t>SIENDO LAS 11:05 HORAS DEL DIA DE LA FECHA, SE RECIBE COMUNICACION VIA HT, POR PARTE DEL OFICIAL AYUDANTE EMANUEL ROUQUETTE, ENCARGADO DE LA PATRULLA PLATAFORMA, INFORMANDO QUE AL REALIZAR EL CONTROL DEL VUELO LA 4286, OBSERVA QUE UN BOLSO, IDENTIFICADO CON EL MARBETE Nº LA 009755, TENIA EL CIERRE ABIERTO, POR LO QUE SOLICITA LA PRESENCIA DEL PASAJERO, QUIEN EN PRESENCIA DE DOS TESTIGOS MANIFIESTA EL FALTANTE DE UN ESTUCHE NEGRO, EL CUAL CONTENIA UN RELOJ PULSERA, SE LO INVITA A REALIZAR LA CORRESPONDIENTE DENUNCIA, MANIFESTANDO QUE SU VUELO ESTABA PROXIMO A PARTIR Y QUE NO LO QUERIA PERDER, MOTIVO POR EL CUAL SE REALIZA DE OFICIO.</t>
  </si>
  <si>
    <t>BUSANICHE</t>
  </si>
  <si>
    <t>MATEO</t>
  </si>
  <si>
    <t>384/2010</t>
  </si>
  <si>
    <t>EN EL DIA DE LA FECHA SE PRESENTA EL AGENTE DE LA POLICIA FEDERAL ARGENTINA LOPEZ ANGEL LP 1689 CON SU DOCUMENTACION POLICIAL PARA DESPACHAR TRES ARMAMENTOS DE NUMERACION 11-528569, 11-237093 Y 11-85903, DE LAS CUALES NO TENIA NINGUN TIPO DE DOCUMENTACION. DEBIDO A DICHA ANOMALIA NOS COMUNICAMOS AL JUZGADO FEDERAL Nº2 A CARGO DEL DR. MATEO JOSE BUSANICHE, QUIEN INFORMADO DEL CASO SUGIERE SIN ENTRAR EN ESFERA JUDICIAL SE LE RETENGA LOS ARMAMENTOS HASTA OPTENER LA DOCUMENTACION PERTINENTE. SIENDO LAS 19:40 HS. SE RECEPCIONA FAX DE LA POLICIA FEDERAL ARGENTINA EN EL CUAL CERTIFICA EL TRASLADO DE LOS ARMAMENTOS POR EL MENCIONADO AGENTE FEDERAL, DICHO FAX FUE ENVIADO POR EL INSPECTOR MUGICA LUCAS MARTIN. SE LE ENTREGA DICHOS ARMAMENTOS AL AGENTE LO CUAL QUEDA ASCENTADO EN ACTA 384/10.</t>
  </si>
  <si>
    <t>JAIME ANDRES PARRA S/DENUNCIA</t>
  </si>
  <si>
    <t>MATRICULA CC-CVB, POSICION Nº 29 DE LA PLATAFORMA COMERCIAL DEL AEROPARQUE METROPOLITANO</t>
  </si>
  <si>
    <t>AERONAVE DE LA EMPRESA LAN ARGENTINA</t>
  </si>
  <si>
    <t>SIENDO LA HORA Y EL DÍA ANTES MENCIONADO, SE REQUIRIÓ LA PRESENCIA POLICIAL EN LA POSICION ANTES MENCIONADA, AL PIE DE LA AERONAVE, DEBIDO A QUE DENTRO DEL PASAJE SE ENCONTRABA UNA PASAJERA DE SEXO FEMENINO EN ESTADO DE EBRIEDAD, POR LO QUE EL COMANDANTE DE LA AERONAVE SOLICITO DICHA PRESENCIA. SE PROCEDE A TRASLADAR A LA FEMENINA A ESTA GUARDIA DE PREVENCIÓN, DONDE SE SOLICITA LA ASISTENCIA DEL PERSONAL DEL SERVICIO DE EMERGENCIAS MEDICAS EMERGER, QUIEN INDICA QUE LA PASAJERA SE ENCONTRABA CON INGESTA ETÍLICA. SIENDO LAS 2100 HORAS SE ENTABLA COMUNICACIÓN CON LA JUDICATURA ACTUANTE QUIEN DISPONE: SE TOME LA DENUNCIA AL PILOTO, SE IDENTIFIQUE A LA PASAJERA, QUE LA MISMA FIJE DOMICILIO EN ESTA CIUDAD, Y QUE NO SE TOME NINGUNA MEDIDA JUDICIAL CON LA MISMA.</t>
  </si>
  <si>
    <t>LA 471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</si>
</sst>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CCCC"/>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33" borderId="10" xfId="0" applyFont="1" applyFill="1" applyBorder="1" applyAlignment="1">
      <alignment horizontal="center" vertical="center" wrapText="1"/>
    </xf>
    <xf numFmtId="0" fontId="0" fillId="0" borderId="10" xfId="0" applyBorder="1"/>
    <xf numFmtId="14" fontId="0" fillId="0" borderId="10" xfId="0" applyNumberFormat="1" applyBorder="1"/>
    <xf numFmtId="21" fontId="0" fillId="0" borderId="10" xfId="0" applyNumberFormat="1" applyBorder="1"/>
    <xf numFmtId="17" fontId="0" fillId="0" borderId="10" xfId="0" applyNumberFormat="1" applyBorder="1"/>
    <xf numFmtId="16" fontId="0" fillId="0" borderId="10" xfId="0" applyNumberFormat="1" applyBorder="1"/>
    <xf numFmtId="3" fontId="0" fillId="0" borderId="10" xfId="0" applyNumberForma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397"/>
  <sheetViews>
    <sheetView showGridLines="0" tabSelected="1" workbookViewId="0">
      <selection activeCell="C4" sqref="C4"/>
    </sheetView>
  </sheetViews>
  <sheetFormatPr baseColWidth="10" defaultRowHeight="15" x14ac:dyDescent="0.25"/>
  <cols>
    <col min="1" max="1" width="13" bestFit="1" customWidth="1"/>
    <col min="2" max="2" width="9.85546875" bestFit="1" customWidth="1"/>
    <col min="3" max="3" width="45.7109375" bestFit="1" customWidth="1"/>
    <col min="4" max="4" width="32.140625" bestFit="1" customWidth="1"/>
    <col min="5" max="5" width="15.42578125" bestFit="1" customWidth="1"/>
    <col min="6" max="6" width="18.42578125" bestFit="1" customWidth="1"/>
    <col min="7" max="7" width="45.7109375" bestFit="1" customWidth="1"/>
    <col min="8" max="8" width="12.7109375" bestFit="1" customWidth="1"/>
    <col min="9" max="9" width="45.7109375" bestFit="1" customWidth="1"/>
    <col min="10" max="10" width="7.7109375" bestFit="1" customWidth="1"/>
    <col min="11" max="11" width="24.42578125" bestFit="1" customWidth="1"/>
    <col min="12" max="12" width="31.28515625" bestFit="1" customWidth="1"/>
    <col min="13" max="13" width="20" bestFit="1" customWidth="1"/>
    <col min="14" max="15" width="45.7109375" bestFit="1" customWidth="1"/>
    <col min="16" max="16" width="33.140625" bestFit="1" customWidth="1"/>
    <col min="17" max="17" width="22.140625" bestFit="1" customWidth="1"/>
    <col min="18" max="19" width="45.7109375" bestFit="1" customWidth="1"/>
    <col min="20" max="20" width="9.42578125" bestFit="1" customWidth="1"/>
    <col min="21" max="22" width="13.42578125" bestFit="1" customWidth="1"/>
    <col min="23" max="23" width="17.7109375" bestFit="1" customWidth="1"/>
    <col min="24" max="24" width="22.140625" bestFit="1" customWidth="1"/>
    <col min="25" max="25" width="38" bestFit="1" customWidth="1"/>
    <col min="26" max="26" width="19.7109375" bestFit="1" customWidth="1"/>
    <col min="27" max="27" width="45.7109375" bestFit="1" customWidth="1"/>
    <col min="28" max="28" width="14.85546875" bestFit="1" customWidth="1"/>
    <col min="29" max="29" width="18.7109375" bestFit="1" customWidth="1"/>
    <col min="30" max="30" width="27.140625" bestFit="1" customWidth="1"/>
    <col min="31" max="31" width="11.7109375" bestFit="1" customWidth="1"/>
    <col min="32" max="32" width="15.42578125" bestFit="1" customWidth="1"/>
    <col min="33" max="33" width="14.42578125" bestFit="1" customWidth="1"/>
    <col min="34" max="34" width="11.5703125" bestFit="1" customWidth="1"/>
    <col min="35" max="35" width="41" bestFit="1" customWidth="1"/>
    <col min="36" max="36" width="20.140625" bestFit="1" customWidth="1"/>
    <col min="37" max="37" width="45.7109375" bestFit="1" customWidth="1"/>
    <col min="38" max="38" width="8.5703125" bestFit="1" customWidth="1"/>
    <col min="39" max="39" width="38.5703125" bestFit="1" customWidth="1"/>
    <col min="40" max="41" width="45.7109375" bestFit="1" customWidth="1"/>
    <col min="42" max="42" width="9.85546875" bestFit="1" customWidth="1"/>
    <col min="43" max="43" width="21.7109375" bestFit="1" customWidth="1"/>
    <col min="44" max="46" width="45.7109375" bestFit="1" customWidth="1"/>
    <col min="47" max="47" width="23.28515625" bestFit="1" customWidth="1"/>
    <col min="48" max="48" width="24.7109375" bestFit="1" customWidth="1"/>
    <col min="49" max="49" width="13.5703125" bestFit="1" customWidth="1"/>
    <col min="50" max="50" width="15" bestFit="1" customWidth="1"/>
    <col min="51" max="51" width="15.85546875" bestFit="1" customWidth="1"/>
    <col min="52" max="52" width="30.28515625" bestFit="1" customWidth="1"/>
    <col min="53" max="53" width="15.42578125" bestFit="1" customWidth="1"/>
    <col min="54" max="54" width="40.28515625" bestFit="1" customWidth="1"/>
    <col min="55" max="55" width="15" bestFit="1" customWidth="1"/>
    <col min="56" max="56" width="36.42578125" bestFit="1" customWidth="1"/>
    <col min="57" max="57" width="17.85546875" bestFit="1" customWidth="1"/>
    <col min="58" max="58" width="36.42578125" bestFit="1" customWidth="1"/>
    <col min="59" max="59" width="13.42578125" bestFit="1" customWidth="1"/>
    <col min="60" max="60" width="12.5703125" bestFit="1" customWidth="1"/>
    <col min="61" max="61" width="16.28515625" bestFit="1" customWidth="1"/>
    <col min="62" max="62" width="19.42578125" bestFit="1" customWidth="1"/>
    <col min="63" max="63" width="20.7109375" bestFit="1" customWidth="1"/>
    <col min="64" max="64" width="45.7109375" bestFit="1" customWidth="1"/>
    <col min="65" max="65" width="13.7109375" bestFit="1" customWidth="1"/>
    <col min="66" max="66" width="14.28515625" bestFit="1" customWidth="1"/>
    <col min="67" max="67" width="45.7109375" bestFit="1" customWidth="1"/>
    <col min="68" max="68" width="15.28515625" bestFit="1" customWidth="1"/>
    <col min="69" max="69" width="22.140625" bestFit="1" customWidth="1"/>
    <col min="70" max="70" width="45.7109375" bestFit="1" customWidth="1"/>
    <col min="71" max="71" width="14.28515625" bestFit="1" customWidth="1"/>
    <col min="72" max="72" width="13.28515625" bestFit="1" customWidth="1"/>
  </cols>
  <sheetData>
    <row r="1" spans="1:7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row>
    <row r="2" spans="1:72" x14ac:dyDescent="0.25">
      <c r="A2" s="2">
        <v>1</v>
      </c>
      <c r="B2" s="2">
        <v>2010</v>
      </c>
      <c r="C2" s="2" t="s">
        <v>72</v>
      </c>
      <c r="D2" s="2" t="s">
        <v>73</v>
      </c>
      <c r="E2" s="2"/>
      <c r="F2" s="2">
        <v>419</v>
      </c>
      <c r="G2" s="2" t="s">
        <v>74</v>
      </c>
      <c r="H2" s="2">
        <v>22</v>
      </c>
      <c r="I2" s="2" t="s">
        <v>75</v>
      </c>
      <c r="J2" s="2">
        <v>306</v>
      </c>
      <c r="K2" s="2" t="s">
        <v>76</v>
      </c>
      <c r="L2" s="2" t="s">
        <v>77</v>
      </c>
      <c r="M2" s="3">
        <v>40179</v>
      </c>
      <c r="N2" s="2"/>
      <c r="O2" s="2" t="s">
        <v>78</v>
      </c>
      <c r="P2" s="2"/>
      <c r="Q2" s="2" t="str">
        <f>"01-A/10"</f>
        <v>01-A/10</v>
      </c>
      <c r="R2" s="2" t="s">
        <v>78</v>
      </c>
      <c r="S2" s="2" t="s">
        <v>78</v>
      </c>
      <c r="T2" s="2">
        <v>1</v>
      </c>
      <c r="U2" s="2" t="s">
        <v>79</v>
      </c>
      <c r="V2" s="2">
        <v>1</v>
      </c>
      <c r="W2" s="2" t="s">
        <v>80</v>
      </c>
      <c r="X2" s="2">
        <v>1</v>
      </c>
      <c r="Y2" s="2" t="s">
        <v>81</v>
      </c>
      <c r="Z2" s="2">
        <v>1</v>
      </c>
      <c r="AA2" s="2" t="s">
        <v>82</v>
      </c>
      <c r="AB2" s="2">
        <v>6</v>
      </c>
      <c r="AC2" s="2" t="s">
        <v>83</v>
      </c>
      <c r="AD2" s="3">
        <v>40179</v>
      </c>
      <c r="AE2" s="4">
        <v>0.38194444444444442</v>
      </c>
      <c r="AF2" s="3">
        <v>40179</v>
      </c>
      <c r="AG2" s="4">
        <v>0.39583333333333331</v>
      </c>
      <c r="AH2" s="2">
        <v>2</v>
      </c>
      <c r="AI2" s="2" t="s">
        <v>84</v>
      </c>
      <c r="AJ2" s="2">
        <v>12</v>
      </c>
      <c r="AK2" s="2" t="s">
        <v>85</v>
      </c>
      <c r="AL2" s="2">
        <v>12</v>
      </c>
      <c r="AM2" s="2" t="s">
        <v>86</v>
      </c>
      <c r="AN2" s="2" t="s">
        <v>87</v>
      </c>
      <c r="AO2" s="2" t="s">
        <v>88</v>
      </c>
      <c r="AP2" s="2">
        <v>11</v>
      </c>
      <c r="AQ2" s="2" t="s">
        <v>82</v>
      </c>
      <c r="AR2" s="2"/>
      <c r="AS2" s="2"/>
      <c r="AT2" s="2" t="s">
        <v>89</v>
      </c>
      <c r="AU2" s="2"/>
      <c r="AV2" s="2"/>
      <c r="AW2" s="2"/>
      <c r="AX2" s="2"/>
      <c r="AY2" s="2">
        <v>41</v>
      </c>
      <c r="AZ2" s="2" t="s">
        <v>82</v>
      </c>
      <c r="BA2" s="2">
        <v>41</v>
      </c>
      <c r="BB2" s="2" t="s">
        <v>82</v>
      </c>
      <c r="BC2" s="2">
        <v>41</v>
      </c>
      <c r="BD2" s="2" t="s">
        <v>82</v>
      </c>
      <c r="BE2" s="2">
        <v>4</v>
      </c>
      <c r="BF2" s="2" t="s">
        <v>90</v>
      </c>
      <c r="BG2" s="2"/>
      <c r="BH2" s="2"/>
      <c r="BI2" s="4">
        <v>0.3923611111111111</v>
      </c>
      <c r="BJ2" s="2">
        <v>13</v>
      </c>
      <c r="BK2" s="2" t="s">
        <v>91</v>
      </c>
      <c r="BL2" s="2"/>
      <c r="BM2" s="2">
        <v>241</v>
      </c>
      <c r="BN2" s="2" t="s">
        <v>82</v>
      </c>
      <c r="BO2" s="2"/>
      <c r="BP2" s="2">
        <v>13</v>
      </c>
      <c r="BQ2" s="2" t="s">
        <v>91</v>
      </c>
      <c r="BR2" s="2" t="s">
        <v>92</v>
      </c>
      <c r="BS2" s="3">
        <v>40179</v>
      </c>
      <c r="BT2" s="4">
        <v>0.73608796296296297</v>
      </c>
    </row>
    <row r="3" spans="1:72" x14ac:dyDescent="0.25">
      <c r="A3" s="2">
        <v>2</v>
      </c>
      <c r="B3" s="2">
        <v>2010</v>
      </c>
      <c r="C3" s="2" t="s">
        <v>93</v>
      </c>
      <c r="D3" s="2" t="s">
        <v>73</v>
      </c>
      <c r="E3" s="2"/>
      <c r="F3" s="2">
        <v>398</v>
      </c>
      <c r="G3" s="2" t="s">
        <v>94</v>
      </c>
      <c r="H3" s="2">
        <v>12</v>
      </c>
      <c r="I3" s="2" t="s">
        <v>95</v>
      </c>
      <c r="J3" s="2">
        <v>245</v>
      </c>
      <c r="K3" s="2" t="s">
        <v>96</v>
      </c>
      <c r="L3" s="2" t="s">
        <v>97</v>
      </c>
      <c r="M3" s="3">
        <v>40179</v>
      </c>
      <c r="N3" s="2" t="s">
        <v>98</v>
      </c>
      <c r="O3" s="2" t="s">
        <v>99</v>
      </c>
      <c r="P3" s="2"/>
      <c r="Q3" s="2" t="str">
        <f>""</f>
        <v/>
      </c>
      <c r="R3" s="2"/>
      <c r="S3" s="2" t="s">
        <v>100</v>
      </c>
      <c r="T3" s="2">
        <v>1</v>
      </c>
      <c r="U3" s="2" t="s">
        <v>79</v>
      </c>
      <c r="V3" s="2">
        <v>1</v>
      </c>
      <c r="W3" s="2" t="s">
        <v>80</v>
      </c>
      <c r="X3" s="2">
        <v>5</v>
      </c>
      <c r="Y3" s="2" t="s">
        <v>82</v>
      </c>
      <c r="Z3" s="2">
        <v>6</v>
      </c>
      <c r="AA3" s="2" t="s">
        <v>101</v>
      </c>
      <c r="AB3" s="2">
        <v>2</v>
      </c>
      <c r="AC3" s="2" t="s">
        <v>102</v>
      </c>
      <c r="AD3" s="3">
        <v>40179</v>
      </c>
      <c r="AE3" s="4">
        <v>0.4375</v>
      </c>
      <c r="AF3" s="2"/>
      <c r="AG3" s="2"/>
      <c r="AH3" s="2">
        <v>2</v>
      </c>
      <c r="AI3" s="2" t="s">
        <v>84</v>
      </c>
      <c r="AJ3" s="2">
        <v>9</v>
      </c>
      <c r="AK3" s="2" t="s">
        <v>103</v>
      </c>
      <c r="AL3" s="2">
        <v>15</v>
      </c>
      <c r="AM3" s="2" t="s">
        <v>104</v>
      </c>
      <c r="AN3" s="2"/>
      <c r="AO3" s="2" t="s">
        <v>105</v>
      </c>
      <c r="AP3" s="2">
        <v>11</v>
      </c>
      <c r="AQ3" s="2" t="s">
        <v>82</v>
      </c>
      <c r="AR3" s="2"/>
      <c r="AS3" s="2"/>
      <c r="AT3" s="2" t="s">
        <v>106</v>
      </c>
      <c r="AU3" s="2">
        <v>1</v>
      </c>
      <c r="AV3" s="2"/>
      <c r="AW3" s="2"/>
      <c r="AX3" s="2"/>
      <c r="AY3" s="2">
        <v>1</v>
      </c>
      <c r="AZ3" s="2" t="s">
        <v>107</v>
      </c>
      <c r="BA3" s="2">
        <v>1</v>
      </c>
      <c r="BB3" s="2" t="s">
        <v>107</v>
      </c>
      <c r="BC3" s="2">
        <v>1</v>
      </c>
      <c r="BD3" s="2" t="s">
        <v>107</v>
      </c>
      <c r="BE3" s="2">
        <v>13</v>
      </c>
      <c r="BF3" s="2" t="s">
        <v>108</v>
      </c>
      <c r="BG3" s="2" t="s">
        <v>109</v>
      </c>
      <c r="BH3" s="4">
        <v>0.41666666666666669</v>
      </c>
      <c r="BI3" s="2"/>
      <c r="BJ3" s="2">
        <v>112</v>
      </c>
      <c r="BK3" s="2" t="s">
        <v>110</v>
      </c>
      <c r="BL3" s="2" t="s">
        <v>111</v>
      </c>
      <c r="BM3" s="2">
        <v>241</v>
      </c>
      <c r="BN3" s="2" t="s">
        <v>82</v>
      </c>
      <c r="BO3" s="2"/>
      <c r="BP3" s="2">
        <v>13</v>
      </c>
      <c r="BQ3" s="2" t="s">
        <v>91</v>
      </c>
      <c r="BR3" s="2" t="s">
        <v>112</v>
      </c>
      <c r="BS3" s="3">
        <v>40179</v>
      </c>
      <c r="BT3" s="4">
        <v>0.9014699074074074</v>
      </c>
    </row>
    <row r="4" spans="1:72" x14ac:dyDescent="0.25">
      <c r="A4" s="2">
        <v>3</v>
      </c>
      <c r="B4" s="2">
        <v>2010</v>
      </c>
      <c r="C4" s="2" t="s">
        <v>72</v>
      </c>
      <c r="D4" s="2" t="s">
        <v>73</v>
      </c>
      <c r="E4" s="2"/>
      <c r="F4" s="2">
        <v>2</v>
      </c>
      <c r="G4" s="2" t="s">
        <v>113</v>
      </c>
      <c r="H4" s="2">
        <v>1</v>
      </c>
      <c r="I4" s="2" t="s">
        <v>82</v>
      </c>
      <c r="J4" s="2">
        <v>300</v>
      </c>
      <c r="K4" s="2" t="s">
        <v>114</v>
      </c>
      <c r="L4" s="2" t="s">
        <v>115</v>
      </c>
      <c r="M4" s="3">
        <v>40180</v>
      </c>
      <c r="N4" s="2"/>
      <c r="O4" s="2" t="s">
        <v>116</v>
      </c>
      <c r="P4" s="2"/>
      <c r="Q4" s="2" t="str">
        <f>"001-E/10"</f>
        <v>001-E/10</v>
      </c>
      <c r="R4" s="2"/>
      <c r="S4" s="2" t="s">
        <v>116</v>
      </c>
      <c r="T4" s="2">
        <v>1</v>
      </c>
      <c r="U4" s="2" t="s">
        <v>79</v>
      </c>
      <c r="V4" s="2">
        <v>1</v>
      </c>
      <c r="W4" s="2" t="s">
        <v>80</v>
      </c>
      <c r="X4" s="2">
        <v>5</v>
      </c>
      <c r="Y4" s="2" t="s">
        <v>82</v>
      </c>
      <c r="Z4" s="2">
        <v>1</v>
      </c>
      <c r="AA4" s="2" t="s">
        <v>82</v>
      </c>
      <c r="AB4" s="2">
        <v>6</v>
      </c>
      <c r="AC4" s="2" t="s">
        <v>83</v>
      </c>
      <c r="AD4" s="3">
        <v>40179</v>
      </c>
      <c r="AE4" s="4">
        <v>0.60416666666666663</v>
      </c>
      <c r="AF4" s="3">
        <v>40179</v>
      </c>
      <c r="AG4" s="4">
        <v>0.70486111111111116</v>
      </c>
      <c r="AH4" s="2">
        <v>2</v>
      </c>
      <c r="AI4" s="2" t="s">
        <v>84</v>
      </c>
      <c r="AJ4" s="2">
        <v>9</v>
      </c>
      <c r="AK4" s="2" t="s">
        <v>103</v>
      </c>
      <c r="AL4" s="2">
        <v>13</v>
      </c>
      <c r="AM4" s="2" t="s">
        <v>117</v>
      </c>
      <c r="AN4" s="2"/>
      <c r="AO4" s="2" t="s">
        <v>118</v>
      </c>
      <c r="AP4" s="2">
        <v>11</v>
      </c>
      <c r="AQ4" s="2" t="s">
        <v>82</v>
      </c>
      <c r="AR4" s="2"/>
      <c r="AS4" s="2"/>
      <c r="AT4" s="2" t="s">
        <v>119</v>
      </c>
      <c r="AU4" s="2"/>
      <c r="AV4" s="2"/>
      <c r="AW4" s="2"/>
      <c r="AX4" s="2"/>
      <c r="AY4" s="2">
        <v>62</v>
      </c>
      <c r="AZ4" s="2" t="s">
        <v>120</v>
      </c>
      <c r="BA4" s="2">
        <v>62</v>
      </c>
      <c r="BB4" s="2" t="s">
        <v>120</v>
      </c>
      <c r="BC4" s="2">
        <v>41</v>
      </c>
      <c r="BD4" s="2" t="s">
        <v>82</v>
      </c>
      <c r="BE4" s="2">
        <v>41</v>
      </c>
      <c r="BF4" s="2" t="s">
        <v>82</v>
      </c>
      <c r="BG4" s="2"/>
      <c r="BH4" s="2"/>
      <c r="BI4" s="2"/>
      <c r="BJ4" s="2">
        <v>241</v>
      </c>
      <c r="BK4" s="2" t="s">
        <v>82</v>
      </c>
      <c r="BL4" s="2"/>
      <c r="BM4" s="2">
        <v>241</v>
      </c>
      <c r="BN4" s="2" t="s">
        <v>82</v>
      </c>
      <c r="BO4" s="2"/>
      <c r="BP4" s="2">
        <v>241</v>
      </c>
      <c r="BQ4" s="2" t="s">
        <v>82</v>
      </c>
      <c r="BR4" s="2"/>
      <c r="BS4" s="3">
        <v>40180</v>
      </c>
      <c r="BT4" s="4">
        <v>8.3252314814814821E-2</v>
      </c>
    </row>
    <row r="5" spans="1:72" x14ac:dyDescent="0.25">
      <c r="A5" s="2">
        <v>5</v>
      </c>
      <c r="B5" s="2">
        <v>2010</v>
      </c>
      <c r="C5" s="2" t="s">
        <v>121</v>
      </c>
      <c r="D5" s="2" t="s">
        <v>122</v>
      </c>
      <c r="E5" s="2"/>
      <c r="F5" s="2">
        <v>1</v>
      </c>
      <c r="G5" s="2" t="s">
        <v>82</v>
      </c>
      <c r="H5" s="2">
        <v>1</v>
      </c>
      <c r="I5" s="2" t="s">
        <v>82</v>
      </c>
      <c r="J5" s="2">
        <v>1</v>
      </c>
      <c r="K5" s="2" t="s">
        <v>107</v>
      </c>
      <c r="L5" s="2" t="s">
        <v>107</v>
      </c>
      <c r="M5" s="3">
        <v>40180</v>
      </c>
      <c r="N5" s="2"/>
      <c r="O5" s="2"/>
      <c r="P5" s="2"/>
      <c r="Q5" s="2" t="str">
        <f>""</f>
        <v/>
      </c>
      <c r="R5" s="2"/>
      <c r="S5" s="2"/>
      <c r="T5" s="2">
        <v>2</v>
      </c>
      <c r="U5" s="2" t="s">
        <v>123</v>
      </c>
      <c r="V5" s="2">
        <v>1</v>
      </c>
      <c r="W5" s="2" t="s">
        <v>80</v>
      </c>
      <c r="X5" s="2">
        <v>5</v>
      </c>
      <c r="Y5" s="2" t="s">
        <v>82</v>
      </c>
      <c r="Z5" s="2">
        <v>1</v>
      </c>
      <c r="AA5" s="2" t="s">
        <v>82</v>
      </c>
      <c r="AB5" s="2">
        <v>9</v>
      </c>
      <c r="AC5" s="2" t="s">
        <v>124</v>
      </c>
      <c r="AD5" s="2"/>
      <c r="AE5" s="2"/>
      <c r="AF5" s="2"/>
      <c r="AG5" s="2"/>
      <c r="AH5" s="2">
        <v>4</v>
      </c>
      <c r="AI5" s="2" t="s">
        <v>125</v>
      </c>
      <c r="AJ5" s="2">
        <v>33</v>
      </c>
      <c r="AK5" s="2" t="s">
        <v>126</v>
      </c>
      <c r="AL5" s="2">
        <v>18</v>
      </c>
      <c r="AM5" s="2" t="s">
        <v>82</v>
      </c>
      <c r="AN5" s="2"/>
      <c r="AO5" s="2"/>
      <c r="AP5" s="2">
        <v>11</v>
      </c>
      <c r="AQ5" s="2" t="s">
        <v>82</v>
      </c>
      <c r="AR5" s="2"/>
      <c r="AS5" s="2"/>
      <c r="AT5" s="2" t="s">
        <v>127</v>
      </c>
      <c r="AU5" s="2"/>
      <c r="AV5" s="2"/>
      <c r="AW5" s="2"/>
      <c r="AX5" s="2"/>
      <c r="AY5" s="2">
        <v>1</v>
      </c>
      <c r="AZ5" s="2" t="s">
        <v>107</v>
      </c>
      <c r="BA5" s="2">
        <v>1</v>
      </c>
      <c r="BB5" s="2" t="s">
        <v>107</v>
      </c>
      <c r="BC5" s="2">
        <v>1</v>
      </c>
      <c r="BD5" s="2" t="s">
        <v>107</v>
      </c>
      <c r="BE5" s="2">
        <v>1</v>
      </c>
      <c r="BF5" s="2" t="s">
        <v>107</v>
      </c>
      <c r="BG5" s="2"/>
      <c r="BH5" s="2"/>
      <c r="BI5" s="2"/>
      <c r="BJ5" s="2">
        <v>242</v>
      </c>
      <c r="BK5" s="2" t="s">
        <v>107</v>
      </c>
      <c r="BL5" s="2"/>
      <c r="BM5" s="2">
        <v>242</v>
      </c>
      <c r="BN5" s="2" t="s">
        <v>107</v>
      </c>
      <c r="BO5" s="2"/>
      <c r="BP5" s="2">
        <v>242</v>
      </c>
      <c r="BQ5" s="2" t="s">
        <v>107</v>
      </c>
      <c r="BR5" s="2"/>
      <c r="BS5" s="3">
        <v>40180</v>
      </c>
      <c r="BT5" s="4">
        <v>0.497037037037037</v>
      </c>
    </row>
    <row r="6" spans="1:72" x14ac:dyDescent="0.25">
      <c r="A6" s="2">
        <v>6</v>
      </c>
      <c r="B6" s="2">
        <v>2010</v>
      </c>
      <c r="C6" s="2" t="s">
        <v>128</v>
      </c>
      <c r="D6" s="2" t="s">
        <v>122</v>
      </c>
      <c r="E6" s="2"/>
      <c r="F6" s="2">
        <v>265</v>
      </c>
      <c r="G6" s="2" t="s">
        <v>129</v>
      </c>
      <c r="H6" s="2">
        <v>15</v>
      </c>
      <c r="I6" s="2" t="s">
        <v>130</v>
      </c>
      <c r="J6" s="2">
        <v>91</v>
      </c>
      <c r="K6" s="2" t="s">
        <v>131</v>
      </c>
      <c r="L6" s="2" t="s">
        <v>132</v>
      </c>
      <c r="M6" s="3">
        <v>40180</v>
      </c>
      <c r="N6" s="2" t="s">
        <v>133</v>
      </c>
      <c r="O6" s="2" t="s">
        <v>134</v>
      </c>
      <c r="P6" s="2">
        <v>1</v>
      </c>
      <c r="Q6" s="2" t="str">
        <f>"00001"</f>
        <v>00001</v>
      </c>
      <c r="R6" s="2" t="s">
        <v>135</v>
      </c>
      <c r="S6" s="2">
        <v>0</v>
      </c>
      <c r="T6" s="2">
        <v>1</v>
      </c>
      <c r="U6" s="2" t="s">
        <v>79</v>
      </c>
      <c r="V6" s="2">
        <v>1</v>
      </c>
      <c r="W6" s="2" t="s">
        <v>80</v>
      </c>
      <c r="X6" s="2">
        <v>2</v>
      </c>
      <c r="Y6" s="2" t="s">
        <v>136</v>
      </c>
      <c r="Z6" s="2">
        <v>1</v>
      </c>
      <c r="AA6" s="2" t="s">
        <v>82</v>
      </c>
      <c r="AB6" s="2">
        <v>9</v>
      </c>
      <c r="AC6" s="2" t="s">
        <v>124</v>
      </c>
      <c r="AD6" s="3">
        <v>40179</v>
      </c>
      <c r="AE6" s="4">
        <v>1.3888888888888889E-3</v>
      </c>
      <c r="AF6" s="3">
        <v>40179</v>
      </c>
      <c r="AG6" s="4">
        <v>6.9444444444444447E-4</v>
      </c>
      <c r="AH6" s="2">
        <v>2</v>
      </c>
      <c r="AI6" s="2" t="s">
        <v>84</v>
      </c>
      <c r="AJ6" s="2">
        <v>12</v>
      </c>
      <c r="AK6" s="2" t="s">
        <v>85</v>
      </c>
      <c r="AL6" s="2">
        <v>11</v>
      </c>
      <c r="AM6" s="2" t="s">
        <v>137</v>
      </c>
      <c r="AN6" s="2" t="s">
        <v>138</v>
      </c>
      <c r="AO6" s="2" t="s">
        <v>138</v>
      </c>
      <c r="AP6" s="2">
        <v>7</v>
      </c>
      <c r="AQ6" s="2" t="s">
        <v>139</v>
      </c>
      <c r="AR6" s="2" t="s">
        <v>140</v>
      </c>
      <c r="AS6" s="2" t="s">
        <v>140</v>
      </c>
      <c r="AT6" s="2" t="s">
        <v>141</v>
      </c>
      <c r="AU6" s="2"/>
      <c r="AV6" s="2"/>
      <c r="AW6" s="2"/>
      <c r="AX6" s="2"/>
      <c r="AY6" s="2">
        <v>46</v>
      </c>
      <c r="AZ6" s="2" t="s">
        <v>142</v>
      </c>
      <c r="BA6" s="2">
        <v>46</v>
      </c>
      <c r="BB6" s="2" t="s">
        <v>142</v>
      </c>
      <c r="BC6" s="2">
        <v>46</v>
      </c>
      <c r="BD6" s="2" t="s">
        <v>142</v>
      </c>
      <c r="BE6" s="2">
        <v>46</v>
      </c>
      <c r="BF6" s="2" t="s">
        <v>142</v>
      </c>
      <c r="BG6" s="2">
        <v>1</v>
      </c>
      <c r="BH6" s="4">
        <v>6.9444444444444447E-4</v>
      </c>
      <c r="BI6" s="4">
        <v>6.9444444444444447E-4</v>
      </c>
      <c r="BJ6" s="2">
        <v>1</v>
      </c>
      <c r="BK6" s="2" t="s">
        <v>143</v>
      </c>
      <c r="BL6" s="2">
        <v>0</v>
      </c>
      <c r="BM6" s="2">
        <v>12</v>
      </c>
      <c r="BN6" s="2" t="s">
        <v>144</v>
      </c>
      <c r="BO6" s="2" t="s">
        <v>145</v>
      </c>
      <c r="BP6" s="2">
        <v>11</v>
      </c>
      <c r="BQ6" s="2" t="s">
        <v>146</v>
      </c>
      <c r="BR6" s="2" t="s">
        <v>145</v>
      </c>
      <c r="BS6" s="3">
        <v>40180</v>
      </c>
      <c r="BT6" s="4">
        <v>0.52519675925925924</v>
      </c>
    </row>
    <row r="7" spans="1:72" x14ac:dyDescent="0.25">
      <c r="A7" s="2">
        <v>8</v>
      </c>
      <c r="B7" s="2">
        <v>2010</v>
      </c>
      <c r="C7" s="2" t="s">
        <v>147</v>
      </c>
      <c r="D7" s="2" t="s">
        <v>73</v>
      </c>
      <c r="E7" s="2"/>
      <c r="F7" s="2">
        <v>1</v>
      </c>
      <c r="G7" s="2" t="s">
        <v>82</v>
      </c>
      <c r="H7" s="2">
        <v>1</v>
      </c>
      <c r="I7" s="2" t="s">
        <v>82</v>
      </c>
      <c r="J7" s="2">
        <v>1</v>
      </c>
      <c r="K7" s="2" t="s">
        <v>107</v>
      </c>
      <c r="L7" s="2" t="s">
        <v>107</v>
      </c>
      <c r="M7" s="3">
        <v>40180</v>
      </c>
      <c r="N7" s="2"/>
      <c r="O7" s="2"/>
      <c r="P7" s="2"/>
      <c r="Q7" s="2" t="str">
        <f>""</f>
        <v/>
      </c>
      <c r="R7" s="2"/>
      <c r="S7" s="2"/>
      <c r="T7" s="2">
        <v>2</v>
      </c>
      <c r="U7" s="2" t="s">
        <v>123</v>
      </c>
      <c r="V7" s="2">
        <v>1</v>
      </c>
      <c r="W7" s="2" t="s">
        <v>80</v>
      </c>
      <c r="X7" s="2">
        <v>12</v>
      </c>
      <c r="Y7" s="2" t="s">
        <v>148</v>
      </c>
      <c r="Z7" s="2">
        <v>1</v>
      </c>
      <c r="AA7" s="2" t="s">
        <v>82</v>
      </c>
      <c r="AB7" s="2">
        <v>9</v>
      </c>
      <c r="AC7" s="2" t="s">
        <v>124</v>
      </c>
      <c r="AD7" s="3">
        <v>40180</v>
      </c>
      <c r="AE7" s="4">
        <v>0.41666666666666669</v>
      </c>
      <c r="AF7" s="3">
        <v>40180</v>
      </c>
      <c r="AG7" s="4">
        <v>0.53055555555555556</v>
      </c>
      <c r="AH7" s="2">
        <v>2</v>
      </c>
      <c r="AI7" s="2" t="s">
        <v>84</v>
      </c>
      <c r="AJ7" s="2">
        <v>12</v>
      </c>
      <c r="AK7" s="2" t="s">
        <v>85</v>
      </c>
      <c r="AL7" s="2">
        <v>19</v>
      </c>
      <c r="AM7" s="2" t="s">
        <v>107</v>
      </c>
      <c r="AN7" s="2" t="s">
        <v>107</v>
      </c>
      <c r="AO7" s="2" t="s">
        <v>149</v>
      </c>
      <c r="AP7" s="2">
        <v>11</v>
      </c>
      <c r="AQ7" s="2" t="s">
        <v>82</v>
      </c>
      <c r="AR7" s="2"/>
      <c r="AS7" s="2"/>
      <c r="AT7" s="2" t="s">
        <v>150</v>
      </c>
      <c r="AU7" s="2"/>
      <c r="AV7" s="2"/>
      <c r="AW7" s="2"/>
      <c r="AX7" s="2"/>
      <c r="AY7" s="2">
        <v>41</v>
      </c>
      <c r="AZ7" s="2" t="s">
        <v>82</v>
      </c>
      <c r="BA7" s="2">
        <v>41</v>
      </c>
      <c r="BB7" s="2" t="s">
        <v>82</v>
      </c>
      <c r="BC7" s="2">
        <v>41</v>
      </c>
      <c r="BD7" s="2" t="s">
        <v>82</v>
      </c>
      <c r="BE7" s="2">
        <v>41</v>
      </c>
      <c r="BF7" s="2" t="s">
        <v>82</v>
      </c>
      <c r="BG7" s="2"/>
      <c r="BH7" s="2"/>
      <c r="BI7" s="2"/>
      <c r="BJ7" s="2">
        <v>241</v>
      </c>
      <c r="BK7" s="2" t="s">
        <v>82</v>
      </c>
      <c r="BL7" s="2"/>
      <c r="BM7" s="2">
        <v>241</v>
      </c>
      <c r="BN7" s="2" t="s">
        <v>82</v>
      </c>
      <c r="BO7" s="2"/>
      <c r="BP7" s="2">
        <v>241</v>
      </c>
      <c r="BQ7" s="2" t="s">
        <v>82</v>
      </c>
      <c r="BR7" s="2"/>
      <c r="BS7" s="3">
        <v>40180</v>
      </c>
      <c r="BT7" s="4">
        <v>0.57425925925925925</v>
      </c>
    </row>
    <row r="8" spans="1:72" x14ac:dyDescent="0.25">
      <c r="A8" s="2">
        <v>9</v>
      </c>
      <c r="B8" s="2">
        <v>2010</v>
      </c>
      <c r="C8" s="2" t="s">
        <v>121</v>
      </c>
      <c r="D8" s="2" t="s">
        <v>122</v>
      </c>
      <c r="E8" s="2"/>
      <c r="F8" s="2">
        <v>1</v>
      </c>
      <c r="G8" s="2" t="s">
        <v>82</v>
      </c>
      <c r="H8" s="2">
        <v>1</v>
      </c>
      <c r="I8" s="2" t="s">
        <v>82</v>
      </c>
      <c r="J8" s="2">
        <v>1</v>
      </c>
      <c r="K8" s="2" t="s">
        <v>107</v>
      </c>
      <c r="L8" s="2" t="s">
        <v>107</v>
      </c>
      <c r="M8" s="3">
        <v>40180</v>
      </c>
      <c r="N8" s="2"/>
      <c r="O8" s="2"/>
      <c r="P8" s="2"/>
      <c r="Q8" s="2" t="str">
        <f>""</f>
        <v/>
      </c>
      <c r="R8" s="2"/>
      <c r="S8" s="2"/>
      <c r="T8" s="2">
        <v>2</v>
      </c>
      <c r="U8" s="2" t="s">
        <v>123</v>
      </c>
      <c r="V8" s="2">
        <v>1</v>
      </c>
      <c r="W8" s="2" t="s">
        <v>80</v>
      </c>
      <c r="X8" s="2">
        <v>5</v>
      </c>
      <c r="Y8" s="2" t="s">
        <v>82</v>
      </c>
      <c r="Z8" s="2">
        <v>1</v>
      </c>
      <c r="AA8" s="2" t="s">
        <v>82</v>
      </c>
      <c r="AB8" s="2">
        <v>9</v>
      </c>
      <c r="AC8" s="2" t="s">
        <v>124</v>
      </c>
      <c r="AD8" s="2"/>
      <c r="AE8" s="2"/>
      <c r="AF8" s="2"/>
      <c r="AG8" s="2"/>
      <c r="AH8" s="2">
        <v>4</v>
      </c>
      <c r="AI8" s="2" t="s">
        <v>125</v>
      </c>
      <c r="AJ8" s="2">
        <v>33</v>
      </c>
      <c r="AK8" s="2" t="s">
        <v>126</v>
      </c>
      <c r="AL8" s="2">
        <v>18</v>
      </c>
      <c r="AM8" s="2" t="s">
        <v>82</v>
      </c>
      <c r="AN8" s="2"/>
      <c r="AO8" s="2"/>
      <c r="AP8" s="2">
        <v>11</v>
      </c>
      <c r="AQ8" s="2" t="s">
        <v>82</v>
      </c>
      <c r="AR8" s="2"/>
      <c r="AS8" s="2"/>
      <c r="AT8" s="2" t="s">
        <v>151</v>
      </c>
      <c r="AU8" s="2"/>
      <c r="AV8" s="2"/>
      <c r="AW8" s="2"/>
      <c r="AX8" s="2"/>
      <c r="AY8" s="2">
        <v>1</v>
      </c>
      <c r="AZ8" s="2" t="s">
        <v>107</v>
      </c>
      <c r="BA8" s="2">
        <v>1</v>
      </c>
      <c r="BB8" s="2" t="s">
        <v>107</v>
      </c>
      <c r="BC8" s="2">
        <v>1</v>
      </c>
      <c r="BD8" s="2" t="s">
        <v>107</v>
      </c>
      <c r="BE8" s="2">
        <v>1</v>
      </c>
      <c r="BF8" s="2" t="s">
        <v>107</v>
      </c>
      <c r="BG8" s="2"/>
      <c r="BH8" s="2"/>
      <c r="BI8" s="2"/>
      <c r="BJ8" s="2">
        <v>242</v>
      </c>
      <c r="BK8" s="2" t="s">
        <v>107</v>
      </c>
      <c r="BL8" s="2"/>
      <c r="BM8" s="2">
        <v>242</v>
      </c>
      <c r="BN8" s="2" t="s">
        <v>107</v>
      </c>
      <c r="BO8" s="2"/>
      <c r="BP8" s="2">
        <v>242</v>
      </c>
      <c r="BQ8" s="2" t="s">
        <v>107</v>
      </c>
      <c r="BR8" s="2"/>
      <c r="BS8" s="3">
        <v>40180</v>
      </c>
      <c r="BT8" s="4">
        <v>0.60697916666666674</v>
      </c>
    </row>
    <row r="9" spans="1:72" x14ac:dyDescent="0.25">
      <c r="A9" s="2">
        <v>11</v>
      </c>
      <c r="B9" s="2">
        <v>2010</v>
      </c>
      <c r="C9" s="2" t="s">
        <v>72</v>
      </c>
      <c r="D9" s="2" t="s">
        <v>73</v>
      </c>
      <c r="E9" s="2"/>
      <c r="F9" s="2">
        <v>420</v>
      </c>
      <c r="G9" s="2" t="s">
        <v>152</v>
      </c>
      <c r="H9" s="2">
        <v>22</v>
      </c>
      <c r="I9" s="2" t="s">
        <v>75</v>
      </c>
      <c r="J9" s="2">
        <v>301</v>
      </c>
      <c r="K9" s="2" t="s">
        <v>153</v>
      </c>
      <c r="L9" s="2" t="s">
        <v>154</v>
      </c>
      <c r="M9" s="3">
        <v>40180</v>
      </c>
      <c r="N9" s="2" t="s">
        <v>155</v>
      </c>
      <c r="O9" s="2" t="s">
        <v>107</v>
      </c>
      <c r="P9" s="2" t="s">
        <v>107</v>
      </c>
      <c r="Q9" s="2" t="str">
        <f>"002-A/10"</f>
        <v>002-A/10</v>
      </c>
      <c r="R9" s="2" t="s">
        <v>107</v>
      </c>
      <c r="S9" s="2" t="s">
        <v>156</v>
      </c>
      <c r="T9" s="2">
        <v>1</v>
      </c>
      <c r="U9" s="2" t="s">
        <v>79</v>
      </c>
      <c r="V9" s="2">
        <v>1</v>
      </c>
      <c r="W9" s="2" t="s">
        <v>80</v>
      </c>
      <c r="X9" s="2">
        <v>5</v>
      </c>
      <c r="Y9" s="2" t="s">
        <v>82</v>
      </c>
      <c r="Z9" s="2">
        <v>1</v>
      </c>
      <c r="AA9" s="2" t="s">
        <v>82</v>
      </c>
      <c r="AB9" s="2">
        <v>6</v>
      </c>
      <c r="AC9" s="2" t="s">
        <v>83</v>
      </c>
      <c r="AD9" s="3">
        <v>40178</v>
      </c>
      <c r="AE9" s="2"/>
      <c r="AF9" s="3">
        <v>40513</v>
      </c>
      <c r="AG9" s="4">
        <v>0.4861111111111111</v>
      </c>
      <c r="AH9" s="2">
        <v>2</v>
      </c>
      <c r="AI9" s="2" t="s">
        <v>84</v>
      </c>
      <c r="AJ9" s="2">
        <v>12</v>
      </c>
      <c r="AK9" s="2" t="s">
        <v>85</v>
      </c>
      <c r="AL9" s="2">
        <v>18</v>
      </c>
      <c r="AM9" s="2" t="s">
        <v>82</v>
      </c>
      <c r="AN9" s="2" t="s">
        <v>157</v>
      </c>
      <c r="AO9" s="2" t="s">
        <v>158</v>
      </c>
      <c r="AP9" s="2">
        <v>11</v>
      </c>
      <c r="AQ9" s="2" t="s">
        <v>82</v>
      </c>
      <c r="AR9" s="2"/>
      <c r="AS9" s="2"/>
      <c r="AT9" s="2" t="s">
        <v>159</v>
      </c>
      <c r="AU9" s="2"/>
      <c r="AV9" s="2"/>
      <c r="AW9" s="2"/>
      <c r="AX9" s="2"/>
      <c r="AY9" s="2">
        <v>41</v>
      </c>
      <c r="AZ9" s="2" t="s">
        <v>82</v>
      </c>
      <c r="BA9" s="2">
        <v>41</v>
      </c>
      <c r="BB9" s="2" t="s">
        <v>82</v>
      </c>
      <c r="BC9" s="2">
        <v>41</v>
      </c>
      <c r="BD9" s="2" t="s">
        <v>82</v>
      </c>
      <c r="BE9" s="2">
        <v>41</v>
      </c>
      <c r="BF9" s="2" t="s">
        <v>82</v>
      </c>
      <c r="BG9" s="2"/>
      <c r="BH9" s="2"/>
      <c r="BI9" s="2"/>
      <c r="BJ9" s="2">
        <v>241</v>
      </c>
      <c r="BK9" s="2" t="s">
        <v>82</v>
      </c>
      <c r="BL9" s="2"/>
      <c r="BM9" s="2">
        <v>241</v>
      </c>
      <c r="BN9" s="2" t="s">
        <v>82</v>
      </c>
      <c r="BO9" s="2"/>
      <c r="BP9" s="2">
        <v>241</v>
      </c>
      <c r="BQ9" s="2" t="s">
        <v>82</v>
      </c>
      <c r="BR9" s="2"/>
      <c r="BS9" s="3">
        <v>40180</v>
      </c>
      <c r="BT9" s="4">
        <v>0.99074074074074081</v>
      </c>
    </row>
    <row r="10" spans="1:72" x14ac:dyDescent="0.25">
      <c r="A10" s="2">
        <v>12</v>
      </c>
      <c r="B10" s="2">
        <v>2010</v>
      </c>
      <c r="C10" s="2" t="s">
        <v>72</v>
      </c>
      <c r="D10" s="2" t="s">
        <v>73</v>
      </c>
      <c r="E10" s="2"/>
      <c r="F10" s="2">
        <v>419</v>
      </c>
      <c r="G10" s="2" t="s">
        <v>74</v>
      </c>
      <c r="H10" s="2">
        <v>22</v>
      </c>
      <c r="I10" s="2" t="s">
        <v>75</v>
      </c>
      <c r="J10" s="2">
        <v>305</v>
      </c>
      <c r="K10" s="2" t="s">
        <v>160</v>
      </c>
      <c r="L10" s="2" t="s">
        <v>161</v>
      </c>
      <c r="M10" s="3">
        <v>40181</v>
      </c>
      <c r="N10" s="2" t="s">
        <v>162</v>
      </c>
      <c r="O10" s="2" t="s">
        <v>107</v>
      </c>
      <c r="P10" s="2" t="s">
        <v>107</v>
      </c>
      <c r="Q10" s="2" t="str">
        <f>""</f>
        <v/>
      </c>
      <c r="R10" s="2"/>
      <c r="S10" s="2" t="s">
        <v>78</v>
      </c>
      <c r="T10" s="2">
        <v>1</v>
      </c>
      <c r="U10" s="2" t="s">
        <v>79</v>
      </c>
      <c r="V10" s="2">
        <v>1</v>
      </c>
      <c r="W10" s="2" t="s">
        <v>80</v>
      </c>
      <c r="X10" s="2">
        <v>5</v>
      </c>
      <c r="Y10" s="2" t="s">
        <v>82</v>
      </c>
      <c r="Z10" s="2">
        <v>1</v>
      </c>
      <c r="AA10" s="2" t="s">
        <v>82</v>
      </c>
      <c r="AB10" s="2">
        <v>6</v>
      </c>
      <c r="AC10" s="2" t="s">
        <v>83</v>
      </c>
      <c r="AD10" s="3">
        <v>40180</v>
      </c>
      <c r="AE10" s="4">
        <v>0.79861111111111116</v>
      </c>
      <c r="AF10" s="3">
        <v>40180</v>
      </c>
      <c r="AG10" s="4">
        <v>0.86111111111111116</v>
      </c>
      <c r="AH10" s="2">
        <v>2</v>
      </c>
      <c r="AI10" s="2" t="s">
        <v>84</v>
      </c>
      <c r="AJ10" s="2">
        <v>12</v>
      </c>
      <c r="AK10" s="2" t="s">
        <v>85</v>
      </c>
      <c r="AL10" s="2">
        <v>2</v>
      </c>
      <c r="AM10" s="2" t="s">
        <v>163</v>
      </c>
      <c r="AN10" s="2" t="s">
        <v>164</v>
      </c>
      <c r="AO10" s="2" t="s">
        <v>165</v>
      </c>
      <c r="AP10" s="2">
        <v>11</v>
      </c>
      <c r="AQ10" s="2" t="s">
        <v>82</v>
      </c>
      <c r="AR10" s="2" t="s">
        <v>82</v>
      </c>
      <c r="AS10" s="2" t="s">
        <v>82</v>
      </c>
      <c r="AT10" s="2" t="s">
        <v>166</v>
      </c>
      <c r="AU10" s="2"/>
      <c r="AV10" s="2"/>
      <c r="AW10" s="2"/>
      <c r="AX10" s="2"/>
      <c r="AY10" s="2">
        <v>41</v>
      </c>
      <c r="AZ10" s="2" t="s">
        <v>82</v>
      </c>
      <c r="BA10" s="2">
        <v>41</v>
      </c>
      <c r="BB10" s="2" t="s">
        <v>82</v>
      </c>
      <c r="BC10" s="2">
        <v>41</v>
      </c>
      <c r="BD10" s="2" t="s">
        <v>82</v>
      </c>
      <c r="BE10" s="2">
        <v>47</v>
      </c>
      <c r="BF10" s="2" t="s">
        <v>167</v>
      </c>
      <c r="BG10" s="2" t="s">
        <v>168</v>
      </c>
      <c r="BH10" s="4">
        <v>0.79861111111111116</v>
      </c>
      <c r="BI10" s="4">
        <v>0.73611111111111116</v>
      </c>
      <c r="BJ10" s="2">
        <v>13</v>
      </c>
      <c r="BK10" s="2" t="s">
        <v>91</v>
      </c>
      <c r="BL10" s="2" t="s">
        <v>169</v>
      </c>
      <c r="BM10" s="2">
        <v>241</v>
      </c>
      <c r="BN10" s="2" t="s">
        <v>82</v>
      </c>
      <c r="BO10" s="2" t="s">
        <v>82</v>
      </c>
      <c r="BP10" s="2">
        <v>13</v>
      </c>
      <c r="BQ10" s="2" t="s">
        <v>91</v>
      </c>
      <c r="BR10" s="2" t="s">
        <v>170</v>
      </c>
      <c r="BS10" s="3">
        <v>40181</v>
      </c>
      <c r="BT10" s="4">
        <v>2.2210648148148149E-2</v>
      </c>
    </row>
    <row r="11" spans="1:72" x14ac:dyDescent="0.25">
      <c r="A11" s="2">
        <v>13</v>
      </c>
      <c r="B11" s="2">
        <v>2010</v>
      </c>
      <c r="C11" s="2" t="s">
        <v>171</v>
      </c>
      <c r="D11" s="2" t="s">
        <v>73</v>
      </c>
      <c r="E11" s="2"/>
      <c r="F11" s="2">
        <v>394</v>
      </c>
      <c r="G11" s="2" t="s">
        <v>172</v>
      </c>
      <c r="H11" s="2">
        <v>4</v>
      </c>
      <c r="I11" s="2" t="s">
        <v>173</v>
      </c>
      <c r="J11" s="2">
        <v>241</v>
      </c>
      <c r="K11" s="2" t="s">
        <v>174</v>
      </c>
      <c r="L11" s="2" t="s">
        <v>175</v>
      </c>
      <c r="M11" s="3">
        <v>40181</v>
      </c>
      <c r="N11" s="2" t="s">
        <v>176</v>
      </c>
      <c r="O11" s="2" t="s">
        <v>82</v>
      </c>
      <c r="P11" s="2" t="s">
        <v>82</v>
      </c>
      <c r="Q11" s="2" t="str">
        <f>"002-E10"</f>
        <v>002-E10</v>
      </c>
      <c r="R11" s="2" t="s">
        <v>82</v>
      </c>
      <c r="S11" s="2" t="s">
        <v>177</v>
      </c>
      <c r="T11" s="2">
        <v>1</v>
      </c>
      <c r="U11" s="2" t="s">
        <v>79</v>
      </c>
      <c r="V11" s="2">
        <v>1</v>
      </c>
      <c r="W11" s="2" t="s">
        <v>80</v>
      </c>
      <c r="X11" s="2">
        <v>1</v>
      </c>
      <c r="Y11" s="2" t="s">
        <v>81</v>
      </c>
      <c r="Z11" s="2">
        <v>1</v>
      </c>
      <c r="AA11" s="2" t="s">
        <v>82</v>
      </c>
      <c r="AB11" s="2">
        <v>1</v>
      </c>
      <c r="AC11" s="2" t="s">
        <v>178</v>
      </c>
      <c r="AD11" s="3">
        <v>40180</v>
      </c>
      <c r="AE11" s="4">
        <v>0.44791666666666669</v>
      </c>
      <c r="AF11" s="2"/>
      <c r="AG11" s="2"/>
      <c r="AH11" s="2">
        <v>2</v>
      </c>
      <c r="AI11" s="2" t="s">
        <v>84</v>
      </c>
      <c r="AJ11" s="2">
        <v>9</v>
      </c>
      <c r="AK11" s="2" t="s">
        <v>103</v>
      </c>
      <c r="AL11" s="2">
        <v>8</v>
      </c>
      <c r="AM11" s="2" t="s">
        <v>179</v>
      </c>
      <c r="AN11" s="2" t="s">
        <v>82</v>
      </c>
      <c r="AO11" s="2" t="s">
        <v>180</v>
      </c>
      <c r="AP11" s="2">
        <v>11</v>
      </c>
      <c r="AQ11" s="2" t="s">
        <v>82</v>
      </c>
      <c r="AR11" s="2" t="s">
        <v>82</v>
      </c>
      <c r="AS11" s="2" t="s">
        <v>82</v>
      </c>
      <c r="AT11" s="2" t="s">
        <v>181</v>
      </c>
      <c r="AU11" s="2"/>
      <c r="AV11" s="2">
        <v>1</v>
      </c>
      <c r="AW11" s="2"/>
      <c r="AX11" s="2"/>
      <c r="AY11" s="2">
        <v>42</v>
      </c>
      <c r="AZ11" s="2" t="s">
        <v>182</v>
      </c>
      <c r="BA11" s="2">
        <v>41</v>
      </c>
      <c r="BB11" s="2" t="s">
        <v>82</v>
      </c>
      <c r="BC11" s="2">
        <v>23</v>
      </c>
      <c r="BD11" s="2" t="s">
        <v>183</v>
      </c>
      <c r="BE11" s="2">
        <v>23</v>
      </c>
      <c r="BF11" s="2" t="s">
        <v>183</v>
      </c>
      <c r="BG11" s="2" t="s">
        <v>184</v>
      </c>
      <c r="BH11" s="4">
        <v>4.1666666666666664E-2</v>
      </c>
      <c r="BI11" s="4">
        <v>0.55208333333333337</v>
      </c>
      <c r="BJ11" s="2">
        <v>13</v>
      </c>
      <c r="BK11" s="2" t="s">
        <v>91</v>
      </c>
      <c r="BL11" s="2" t="s">
        <v>185</v>
      </c>
      <c r="BM11" s="2">
        <v>241</v>
      </c>
      <c r="BN11" s="2" t="s">
        <v>82</v>
      </c>
      <c r="BO11" s="2" t="s">
        <v>82</v>
      </c>
      <c r="BP11" s="2">
        <v>73</v>
      </c>
      <c r="BQ11" s="2" t="s">
        <v>186</v>
      </c>
      <c r="BR11" s="2" t="s">
        <v>187</v>
      </c>
      <c r="BS11" s="3">
        <v>40181</v>
      </c>
      <c r="BT11" s="4">
        <v>4.8287037037037038E-2</v>
      </c>
    </row>
    <row r="12" spans="1:72" x14ac:dyDescent="0.25">
      <c r="A12" s="2">
        <v>14</v>
      </c>
      <c r="B12" s="2">
        <v>2010</v>
      </c>
      <c r="C12" s="2" t="s">
        <v>72</v>
      </c>
      <c r="D12" s="2" t="s">
        <v>73</v>
      </c>
      <c r="E12" s="2"/>
      <c r="F12" s="2">
        <v>419</v>
      </c>
      <c r="G12" s="2" t="s">
        <v>74</v>
      </c>
      <c r="H12" s="2">
        <v>22</v>
      </c>
      <c r="I12" s="2" t="s">
        <v>75</v>
      </c>
      <c r="J12" s="2">
        <v>305</v>
      </c>
      <c r="K12" s="2" t="s">
        <v>160</v>
      </c>
      <c r="L12" s="2" t="s">
        <v>161</v>
      </c>
      <c r="M12" s="3">
        <v>40181</v>
      </c>
      <c r="N12" s="2" t="s">
        <v>188</v>
      </c>
      <c r="O12" s="2" t="s">
        <v>107</v>
      </c>
      <c r="P12" s="2" t="s">
        <v>107</v>
      </c>
      <c r="Q12" s="2" t="str">
        <f>"001-A/10"</f>
        <v>001-A/10</v>
      </c>
      <c r="R12" s="2" t="s">
        <v>78</v>
      </c>
      <c r="S12" s="2" t="s">
        <v>107</v>
      </c>
      <c r="T12" s="2">
        <v>1</v>
      </c>
      <c r="U12" s="2" t="s">
        <v>79</v>
      </c>
      <c r="V12" s="2">
        <v>1</v>
      </c>
      <c r="W12" s="2" t="s">
        <v>80</v>
      </c>
      <c r="X12" s="2">
        <v>5</v>
      </c>
      <c r="Y12" s="2" t="s">
        <v>82</v>
      </c>
      <c r="Z12" s="2">
        <v>1</v>
      </c>
      <c r="AA12" s="2" t="s">
        <v>82</v>
      </c>
      <c r="AB12" s="2">
        <v>6</v>
      </c>
      <c r="AC12" s="2" t="s">
        <v>83</v>
      </c>
      <c r="AD12" s="3">
        <v>40179</v>
      </c>
      <c r="AE12" s="4">
        <v>0.375</v>
      </c>
      <c r="AF12" s="3">
        <v>40179</v>
      </c>
      <c r="AG12" s="4">
        <v>0.39583333333333331</v>
      </c>
      <c r="AH12" s="2">
        <v>2</v>
      </c>
      <c r="AI12" s="2" t="s">
        <v>84</v>
      </c>
      <c r="AJ12" s="2">
        <v>12</v>
      </c>
      <c r="AK12" s="2" t="s">
        <v>85</v>
      </c>
      <c r="AL12" s="2">
        <v>12</v>
      </c>
      <c r="AM12" s="2" t="s">
        <v>86</v>
      </c>
      <c r="AN12" s="2" t="s">
        <v>189</v>
      </c>
      <c r="AO12" s="2" t="s">
        <v>190</v>
      </c>
      <c r="AP12" s="2">
        <v>11</v>
      </c>
      <c r="AQ12" s="2" t="s">
        <v>82</v>
      </c>
      <c r="AR12" s="2"/>
      <c r="AS12" s="2"/>
      <c r="AT12" s="2" t="s">
        <v>191</v>
      </c>
      <c r="AU12" s="2"/>
      <c r="AV12" s="2"/>
      <c r="AW12" s="2"/>
      <c r="AX12" s="2"/>
      <c r="AY12" s="2">
        <v>41</v>
      </c>
      <c r="AZ12" s="2" t="s">
        <v>82</v>
      </c>
      <c r="BA12" s="2">
        <v>41</v>
      </c>
      <c r="BB12" s="2" t="s">
        <v>82</v>
      </c>
      <c r="BC12" s="2">
        <v>41</v>
      </c>
      <c r="BD12" s="2" t="s">
        <v>82</v>
      </c>
      <c r="BE12" s="2">
        <v>41</v>
      </c>
      <c r="BF12" s="2" t="s">
        <v>82</v>
      </c>
      <c r="BG12" s="2"/>
      <c r="BH12" s="2"/>
      <c r="BI12" s="2"/>
      <c r="BJ12" s="2">
        <v>241</v>
      </c>
      <c r="BK12" s="2" t="s">
        <v>82</v>
      </c>
      <c r="BL12" s="2"/>
      <c r="BM12" s="2">
        <v>241</v>
      </c>
      <c r="BN12" s="2" t="s">
        <v>82</v>
      </c>
      <c r="BO12" s="2"/>
      <c r="BP12" s="2">
        <v>241</v>
      </c>
      <c r="BQ12" s="2" t="s">
        <v>82</v>
      </c>
      <c r="BR12" s="2"/>
      <c r="BS12" s="3">
        <v>40181</v>
      </c>
      <c r="BT12" s="4">
        <v>5.603009259259259E-2</v>
      </c>
    </row>
    <row r="13" spans="1:72" x14ac:dyDescent="0.25">
      <c r="A13" s="2">
        <v>15</v>
      </c>
      <c r="B13" s="2">
        <v>2010</v>
      </c>
      <c r="C13" s="2" t="s">
        <v>72</v>
      </c>
      <c r="D13" s="2" t="s">
        <v>73</v>
      </c>
      <c r="E13" s="2"/>
      <c r="F13" s="2">
        <v>419</v>
      </c>
      <c r="G13" s="2" t="s">
        <v>74</v>
      </c>
      <c r="H13" s="2">
        <v>1</v>
      </c>
      <c r="I13" s="2" t="s">
        <v>82</v>
      </c>
      <c r="J13" s="2">
        <v>305</v>
      </c>
      <c r="K13" s="2" t="s">
        <v>160</v>
      </c>
      <c r="L13" s="2" t="s">
        <v>161</v>
      </c>
      <c r="M13" s="3">
        <v>40181</v>
      </c>
      <c r="N13" s="2" t="s">
        <v>192</v>
      </c>
      <c r="O13" s="2"/>
      <c r="P13" s="2" t="s">
        <v>107</v>
      </c>
      <c r="Q13" s="2" t="str">
        <f>"004-A/10"</f>
        <v>004-A/10</v>
      </c>
      <c r="R13" s="2" t="s">
        <v>78</v>
      </c>
      <c r="S13" s="2" t="s">
        <v>107</v>
      </c>
      <c r="T13" s="2">
        <v>1</v>
      </c>
      <c r="U13" s="2" t="s">
        <v>79</v>
      </c>
      <c r="V13" s="2">
        <v>1</v>
      </c>
      <c r="W13" s="2" t="s">
        <v>80</v>
      </c>
      <c r="X13" s="2">
        <v>1</v>
      </c>
      <c r="Y13" s="2" t="s">
        <v>81</v>
      </c>
      <c r="Z13" s="2">
        <v>1</v>
      </c>
      <c r="AA13" s="2" t="s">
        <v>82</v>
      </c>
      <c r="AB13" s="2">
        <v>6</v>
      </c>
      <c r="AC13" s="2" t="s">
        <v>83</v>
      </c>
      <c r="AD13" s="3">
        <v>40181</v>
      </c>
      <c r="AE13" s="4">
        <v>0.66666666666666663</v>
      </c>
      <c r="AF13" s="3">
        <v>40181</v>
      </c>
      <c r="AG13" s="4">
        <v>0.6875</v>
      </c>
      <c r="AH13" s="2">
        <v>2</v>
      </c>
      <c r="AI13" s="2" t="s">
        <v>84</v>
      </c>
      <c r="AJ13" s="2">
        <v>12</v>
      </c>
      <c r="AK13" s="2" t="s">
        <v>85</v>
      </c>
      <c r="AL13" s="2">
        <v>5</v>
      </c>
      <c r="AM13" s="2" t="s">
        <v>193</v>
      </c>
      <c r="AN13" s="2" t="s">
        <v>194</v>
      </c>
      <c r="AO13" s="2" t="s">
        <v>82</v>
      </c>
      <c r="AP13" s="2">
        <v>11</v>
      </c>
      <c r="AQ13" s="2" t="s">
        <v>82</v>
      </c>
      <c r="AR13" s="2"/>
      <c r="AS13" s="2"/>
      <c r="AT13" s="2" t="s">
        <v>195</v>
      </c>
      <c r="AU13" s="2"/>
      <c r="AV13" s="2"/>
      <c r="AW13" s="2"/>
      <c r="AX13" s="2"/>
      <c r="AY13" s="2">
        <v>41</v>
      </c>
      <c r="AZ13" s="2" t="s">
        <v>82</v>
      </c>
      <c r="BA13" s="2">
        <v>41</v>
      </c>
      <c r="BB13" s="2" t="s">
        <v>82</v>
      </c>
      <c r="BC13" s="2">
        <v>41</v>
      </c>
      <c r="BD13" s="2" t="s">
        <v>82</v>
      </c>
      <c r="BE13" s="2">
        <v>41</v>
      </c>
      <c r="BF13" s="2" t="s">
        <v>82</v>
      </c>
      <c r="BG13" s="2" t="s">
        <v>82</v>
      </c>
      <c r="BH13" s="2"/>
      <c r="BI13" s="2"/>
      <c r="BJ13" s="2">
        <v>241</v>
      </c>
      <c r="BK13" s="2" t="s">
        <v>82</v>
      </c>
      <c r="BL13" s="2" t="s">
        <v>82</v>
      </c>
      <c r="BM13" s="2">
        <v>241</v>
      </c>
      <c r="BN13" s="2" t="s">
        <v>82</v>
      </c>
      <c r="BO13" s="2" t="s">
        <v>82</v>
      </c>
      <c r="BP13" s="2">
        <v>241</v>
      </c>
      <c r="BQ13" s="2" t="s">
        <v>82</v>
      </c>
      <c r="BR13" s="2" t="s">
        <v>82</v>
      </c>
      <c r="BS13" s="3">
        <v>40181</v>
      </c>
      <c r="BT13" s="4">
        <v>0.75767361111111109</v>
      </c>
    </row>
    <row r="14" spans="1:72" x14ac:dyDescent="0.25">
      <c r="A14" s="2">
        <v>16</v>
      </c>
      <c r="B14" s="2">
        <v>2010</v>
      </c>
      <c r="C14" s="2" t="s">
        <v>196</v>
      </c>
      <c r="D14" s="2" t="s">
        <v>122</v>
      </c>
      <c r="E14" s="2"/>
      <c r="F14" s="2">
        <v>1</v>
      </c>
      <c r="G14" s="2" t="s">
        <v>82</v>
      </c>
      <c r="H14" s="2">
        <v>1</v>
      </c>
      <c r="I14" s="2" t="s">
        <v>82</v>
      </c>
      <c r="J14" s="2">
        <v>1</v>
      </c>
      <c r="K14" s="2" t="s">
        <v>107</v>
      </c>
      <c r="L14" s="2" t="s">
        <v>107</v>
      </c>
      <c r="M14" s="3">
        <v>40181</v>
      </c>
      <c r="N14" s="2"/>
      <c r="O14" s="2"/>
      <c r="P14" s="2"/>
      <c r="Q14" s="2" t="str">
        <f>""</f>
        <v/>
      </c>
      <c r="R14" s="2"/>
      <c r="S14" s="2"/>
      <c r="T14" s="2">
        <v>2</v>
      </c>
      <c r="U14" s="2" t="s">
        <v>123</v>
      </c>
      <c r="V14" s="2">
        <v>1</v>
      </c>
      <c r="W14" s="2" t="s">
        <v>80</v>
      </c>
      <c r="X14" s="2">
        <v>5</v>
      </c>
      <c r="Y14" s="2" t="s">
        <v>82</v>
      </c>
      <c r="Z14" s="2">
        <v>1</v>
      </c>
      <c r="AA14" s="2" t="s">
        <v>82</v>
      </c>
      <c r="AB14" s="2">
        <v>9</v>
      </c>
      <c r="AC14" s="2" t="s">
        <v>124</v>
      </c>
      <c r="AD14" s="2"/>
      <c r="AE14" s="2"/>
      <c r="AF14" s="2"/>
      <c r="AG14" s="2"/>
      <c r="AH14" s="2">
        <v>6</v>
      </c>
      <c r="AI14" s="2" t="s">
        <v>197</v>
      </c>
      <c r="AJ14" s="2">
        <v>59</v>
      </c>
      <c r="AK14" s="2" t="s">
        <v>198</v>
      </c>
      <c r="AL14" s="2">
        <v>18</v>
      </c>
      <c r="AM14" s="2" t="s">
        <v>82</v>
      </c>
      <c r="AN14" s="2" t="s">
        <v>199</v>
      </c>
      <c r="AO14" s="2" t="s">
        <v>200</v>
      </c>
      <c r="AP14" s="2">
        <v>11</v>
      </c>
      <c r="AQ14" s="2" t="s">
        <v>82</v>
      </c>
      <c r="AR14" s="2"/>
      <c r="AS14" s="2"/>
      <c r="AT14" s="2" t="s">
        <v>201</v>
      </c>
      <c r="AU14" s="2"/>
      <c r="AV14" s="2"/>
      <c r="AW14" s="2"/>
      <c r="AX14" s="2"/>
      <c r="AY14" s="2">
        <v>1</v>
      </c>
      <c r="AZ14" s="2" t="s">
        <v>107</v>
      </c>
      <c r="BA14" s="2">
        <v>1</v>
      </c>
      <c r="BB14" s="2" t="s">
        <v>107</v>
      </c>
      <c r="BC14" s="2">
        <v>1</v>
      </c>
      <c r="BD14" s="2" t="s">
        <v>107</v>
      </c>
      <c r="BE14" s="2">
        <v>1</v>
      </c>
      <c r="BF14" s="2" t="s">
        <v>107</v>
      </c>
      <c r="BG14" s="2"/>
      <c r="BH14" s="4">
        <v>0.75</v>
      </c>
      <c r="BI14" s="2"/>
      <c r="BJ14" s="2">
        <v>242</v>
      </c>
      <c r="BK14" s="2" t="s">
        <v>107</v>
      </c>
      <c r="BL14" s="2" t="s">
        <v>202</v>
      </c>
      <c r="BM14" s="2">
        <v>242</v>
      </c>
      <c r="BN14" s="2" t="s">
        <v>107</v>
      </c>
      <c r="BO14" s="2" t="s">
        <v>203</v>
      </c>
      <c r="BP14" s="2">
        <v>242</v>
      </c>
      <c r="BQ14" s="2" t="s">
        <v>107</v>
      </c>
      <c r="BR14" s="2" t="s">
        <v>204</v>
      </c>
      <c r="BS14" s="3">
        <v>40181</v>
      </c>
      <c r="BT14" s="4">
        <v>0.82228009259259249</v>
      </c>
    </row>
    <row r="15" spans="1:72" x14ac:dyDescent="0.25">
      <c r="A15" s="2">
        <v>17</v>
      </c>
      <c r="B15" s="2">
        <v>2010</v>
      </c>
      <c r="C15" s="2" t="s">
        <v>72</v>
      </c>
      <c r="D15" s="2" t="s">
        <v>73</v>
      </c>
      <c r="E15" s="2"/>
      <c r="F15" s="2">
        <v>420</v>
      </c>
      <c r="G15" s="2" t="s">
        <v>152</v>
      </c>
      <c r="H15" s="2">
        <v>1</v>
      </c>
      <c r="I15" s="2" t="s">
        <v>82</v>
      </c>
      <c r="J15" s="2">
        <v>301</v>
      </c>
      <c r="K15" s="2" t="s">
        <v>153</v>
      </c>
      <c r="L15" s="2" t="s">
        <v>154</v>
      </c>
      <c r="M15" s="3">
        <v>40181</v>
      </c>
      <c r="N15" s="2" t="s">
        <v>205</v>
      </c>
      <c r="O15" s="2" t="s">
        <v>107</v>
      </c>
      <c r="P15" s="2" t="s">
        <v>107</v>
      </c>
      <c r="Q15" s="2" t="str">
        <f>"005-A/10"</f>
        <v>005-A/10</v>
      </c>
      <c r="R15" s="2" t="s">
        <v>107</v>
      </c>
      <c r="S15" s="2" t="s">
        <v>206</v>
      </c>
      <c r="T15" s="2">
        <v>1</v>
      </c>
      <c r="U15" s="2" t="s">
        <v>79</v>
      </c>
      <c r="V15" s="2">
        <v>1</v>
      </c>
      <c r="W15" s="2" t="s">
        <v>80</v>
      </c>
      <c r="X15" s="2">
        <v>5</v>
      </c>
      <c r="Y15" s="2" t="s">
        <v>82</v>
      </c>
      <c r="Z15" s="2">
        <v>1</v>
      </c>
      <c r="AA15" s="2" t="s">
        <v>82</v>
      </c>
      <c r="AB15" s="2">
        <v>6</v>
      </c>
      <c r="AC15" s="2" t="s">
        <v>83</v>
      </c>
      <c r="AD15" s="3">
        <v>40179</v>
      </c>
      <c r="AE15" s="4">
        <v>0.58333333333333337</v>
      </c>
      <c r="AF15" s="3">
        <v>40181</v>
      </c>
      <c r="AG15" s="4">
        <v>0.82291666666666663</v>
      </c>
      <c r="AH15" s="2">
        <v>2</v>
      </c>
      <c r="AI15" s="2" t="s">
        <v>84</v>
      </c>
      <c r="AJ15" s="2">
        <v>12</v>
      </c>
      <c r="AK15" s="2" t="s">
        <v>85</v>
      </c>
      <c r="AL15" s="2">
        <v>10</v>
      </c>
      <c r="AM15" s="2" t="s">
        <v>200</v>
      </c>
      <c r="AN15" s="2" t="s">
        <v>207</v>
      </c>
      <c r="AO15" s="2" t="s">
        <v>107</v>
      </c>
      <c r="AP15" s="2">
        <v>11</v>
      </c>
      <c r="AQ15" s="2" t="s">
        <v>82</v>
      </c>
      <c r="AR15" s="2" t="s">
        <v>82</v>
      </c>
      <c r="AS15" s="2" t="s">
        <v>82</v>
      </c>
      <c r="AT15" s="2" t="s">
        <v>208</v>
      </c>
      <c r="AU15" s="2"/>
      <c r="AV15" s="2"/>
      <c r="AW15" s="2"/>
      <c r="AX15" s="2"/>
      <c r="AY15" s="2">
        <v>41</v>
      </c>
      <c r="AZ15" s="2" t="s">
        <v>82</v>
      </c>
      <c r="BA15" s="2">
        <v>41</v>
      </c>
      <c r="BB15" s="2" t="s">
        <v>82</v>
      </c>
      <c r="BC15" s="2">
        <v>41</v>
      </c>
      <c r="BD15" s="2" t="s">
        <v>82</v>
      </c>
      <c r="BE15" s="2">
        <v>4</v>
      </c>
      <c r="BF15" s="2" t="s">
        <v>90</v>
      </c>
      <c r="BG15" s="2" t="s">
        <v>209</v>
      </c>
      <c r="BH15" s="4">
        <v>0.55902777777777779</v>
      </c>
      <c r="BI15" s="4">
        <v>0.4861111111111111</v>
      </c>
      <c r="BJ15" s="2">
        <v>13</v>
      </c>
      <c r="BK15" s="2" t="s">
        <v>91</v>
      </c>
      <c r="BL15" s="2" t="s">
        <v>170</v>
      </c>
      <c r="BM15" s="2">
        <v>241</v>
      </c>
      <c r="BN15" s="2" t="s">
        <v>82</v>
      </c>
      <c r="BO15" s="2"/>
      <c r="BP15" s="2">
        <v>13</v>
      </c>
      <c r="BQ15" s="2" t="s">
        <v>91</v>
      </c>
      <c r="BR15" s="2" t="s">
        <v>210</v>
      </c>
      <c r="BS15" s="3">
        <v>40181</v>
      </c>
      <c r="BT15" s="4">
        <v>0.89952546296296287</v>
      </c>
    </row>
    <row r="16" spans="1:72" x14ac:dyDescent="0.25">
      <c r="A16" s="2">
        <v>20</v>
      </c>
      <c r="B16" s="2">
        <v>2010</v>
      </c>
      <c r="C16" s="2" t="s">
        <v>93</v>
      </c>
      <c r="D16" s="2" t="s">
        <v>73</v>
      </c>
      <c r="E16" s="2"/>
      <c r="F16" s="2">
        <v>547</v>
      </c>
      <c r="G16" s="2" t="s">
        <v>211</v>
      </c>
      <c r="H16" s="2">
        <v>50</v>
      </c>
      <c r="I16" s="2" t="s">
        <v>107</v>
      </c>
      <c r="J16" s="2">
        <v>1</v>
      </c>
      <c r="K16" s="2" t="s">
        <v>107</v>
      </c>
      <c r="L16" s="2" t="s">
        <v>107</v>
      </c>
      <c r="M16" s="3">
        <v>40182</v>
      </c>
      <c r="N16" s="2" t="s">
        <v>107</v>
      </c>
      <c r="O16" s="2" t="s">
        <v>212</v>
      </c>
      <c r="P16" s="2" t="s">
        <v>213</v>
      </c>
      <c r="Q16" s="2" t="str">
        <f>"01/10"</f>
        <v>01/10</v>
      </c>
      <c r="R16" s="2"/>
      <c r="S16" s="2" t="s">
        <v>100</v>
      </c>
      <c r="T16" s="2">
        <v>1</v>
      </c>
      <c r="U16" s="2" t="s">
        <v>79</v>
      </c>
      <c r="V16" s="2">
        <v>1</v>
      </c>
      <c r="W16" s="2" t="s">
        <v>80</v>
      </c>
      <c r="X16" s="2">
        <v>1</v>
      </c>
      <c r="Y16" s="2" t="s">
        <v>81</v>
      </c>
      <c r="Z16" s="2">
        <v>6</v>
      </c>
      <c r="AA16" s="2" t="s">
        <v>101</v>
      </c>
      <c r="AB16" s="2">
        <v>2</v>
      </c>
      <c r="AC16" s="2" t="s">
        <v>102</v>
      </c>
      <c r="AD16" s="3">
        <v>40181</v>
      </c>
      <c r="AE16" s="4">
        <v>0.84375</v>
      </c>
      <c r="AF16" s="3">
        <v>40181</v>
      </c>
      <c r="AG16" s="4">
        <v>0.89583333333333337</v>
      </c>
      <c r="AH16" s="2">
        <v>3</v>
      </c>
      <c r="AI16" s="2" t="s">
        <v>214</v>
      </c>
      <c r="AJ16" s="2">
        <v>24</v>
      </c>
      <c r="AK16" s="2" t="s">
        <v>215</v>
      </c>
      <c r="AL16" s="2">
        <v>14</v>
      </c>
      <c r="AM16" s="2" t="s">
        <v>216</v>
      </c>
      <c r="AN16" s="2" t="s">
        <v>217</v>
      </c>
      <c r="AO16" s="2" t="s">
        <v>218</v>
      </c>
      <c r="AP16" s="2">
        <v>11</v>
      </c>
      <c r="AQ16" s="2" t="s">
        <v>82</v>
      </c>
      <c r="AR16" s="2" t="s">
        <v>82</v>
      </c>
      <c r="AS16" s="2" t="s">
        <v>82</v>
      </c>
      <c r="AT16" s="2" t="s">
        <v>219</v>
      </c>
      <c r="AU16" s="2"/>
      <c r="AV16" s="2"/>
      <c r="AW16" s="2"/>
      <c r="AX16" s="2"/>
      <c r="AY16" s="2">
        <v>43</v>
      </c>
      <c r="AZ16" s="2" t="s">
        <v>220</v>
      </c>
      <c r="BA16" s="2">
        <v>43</v>
      </c>
      <c r="BB16" s="2" t="s">
        <v>220</v>
      </c>
      <c r="BC16" s="2">
        <v>41</v>
      </c>
      <c r="BD16" s="2" t="s">
        <v>82</v>
      </c>
      <c r="BE16" s="2">
        <v>38</v>
      </c>
      <c r="BF16" s="2" t="s">
        <v>221</v>
      </c>
      <c r="BG16" s="2" t="s">
        <v>222</v>
      </c>
      <c r="BH16" s="4">
        <v>0.95138888888888884</v>
      </c>
      <c r="BI16" s="4">
        <v>0.88541666666666663</v>
      </c>
      <c r="BJ16" s="2">
        <v>13</v>
      </c>
      <c r="BK16" s="2" t="s">
        <v>91</v>
      </c>
      <c r="BL16" s="2" t="s">
        <v>169</v>
      </c>
      <c r="BM16" s="2">
        <v>241</v>
      </c>
      <c r="BN16" s="2" t="s">
        <v>82</v>
      </c>
      <c r="BO16" s="2" t="s">
        <v>82</v>
      </c>
      <c r="BP16" s="2">
        <v>173</v>
      </c>
      <c r="BQ16" s="2" t="s">
        <v>223</v>
      </c>
      <c r="BR16" s="2" t="s">
        <v>224</v>
      </c>
      <c r="BS16" s="3">
        <v>40182</v>
      </c>
      <c r="BT16" s="4">
        <v>2.2754629629629628E-2</v>
      </c>
    </row>
    <row r="17" spans="1:72" x14ac:dyDescent="0.25">
      <c r="A17" s="2">
        <v>21</v>
      </c>
      <c r="B17" s="2">
        <v>2010</v>
      </c>
      <c r="C17" s="2" t="s">
        <v>128</v>
      </c>
      <c r="D17" s="2" t="s">
        <v>73</v>
      </c>
      <c r="E17" s="2"/>
      <c r="F17" s="2">
        <v>398</v>
      </c>
      <c r="G17" s="2" t="s">
        <v>94</v>
      </c>
      <c r="H17" s="2">
        <v>12</v>
      </c>
      <c r="I17" s="2" t="s">
        <v>95</v>
      </c>
      <c r="J17" s="2">
        <v>1</v>
      </c>
      <c r="K17" s="2" t="s">
        <v>107</v>
      </c>
      <c r="L17" s="2" t="s">
        <v>107</v>
      </c>
      <c r="M17" s="3">
        <v>40182</v>
      </c>
      <c r="N17" s="2"/>
      <c r="O17" s="2" t="s">
        <v>107</v>
      </c>
      <c r="P17" s="2">
        <v>11737</v>
      </c>
      <c r="Q17" s="2" t="str">
        <f>""</f>
        <v/>
      </c>
      <c r="R17" s="2"/>
      <c r="S17" s="2"/>
      <c r="T17" s="2">
        <v>1</v>
      </c>
      <c r="U17" s="2" t="s">
        <v>79</v>
      </c>
      <c r="V17" s="2">
        <v>3</v>
      </c>
      <c r="W17" s="2" t="s">
        <v>225</v>
      </c>
      <c r="X17" s="2">
        <v>10</v>
      </c>
      <c r="Y17" s="2" t="s">
        <v>226</v>
      </c>
      <c r="Z17" s="2">
        <v>6</v>
      </c>
      <c r="AA17" s="2" t="s">
        <v>101</v>
      </c>
      <c r="AB17" s="2">
        <v>9</v>
      </c>
      <c r="AC17" s="2" t="s">
        <v>124</v>
      </c>
      <c r="AD17" s="2"/>
      <c r="AE17" s="2"/>
      <c r="AF17" s="2"/>
      <c r="AG17" s="2"/>
      <c r="AH17" s="2">
        <v>4</v>
      </c>
      <c r="AI17" s="2" t="s">
        <v>125</v>
      </c>
      <c r="AJ17" s="2">
        <v>29</v>
      </c>
      <c r="AK17" s="2" t="s">
        <v>227</v>
      </c>
      <c r="AL17" s="2">
        <v>11</v>
      </c>
      <c r="AM17" s="2" t="s">
        <v>137</v>
      </c>
      <c r="AN17" s="2"/>
      <c r="AO17" s="2"/>
      <c r="AP17" s="2">
        <v>11</v>
      </c>
      <c r="AQ17" s="2" t="s">
        <v>82</v>
      </c>
      <c r="AR17" s="2"/>
      <c r="AS17" s="2"/>
      <c r="AT17" s="2" t="s">
        <v>228</v>
      </c>
      <c r="AU17" s="2"/>
      <c r="AV17" s="2"/>
      <c r="AW17" s="2"/>
      <c r="AX17" s="2"/>
      <c r="AY17" s="2">
        <v>1</v>
      </c>
      <c r="AZ17" s="2" t="s">
        <v>107</v>
      </c>
      <c r="BA17" s="2">
        <v>1</v>
      </c>
      <c r="BB17" s="2" t="s">
        <v>107</v>
      </c>
      <c r="BC17" s="2">
        <v>1</v>
      </c>
      <c r="BD17" s="2" t="s">
        <v>107</v>
      </c>
      <c r="BE17" s="2">
        <v>1</v>
      </c>
      <c r="BF17" s="2" t="s">
        <v>107</v>
      </c>
      <c r="BG17" s="2"/>
      <c r="BH17" s="2"/>
      <c r="BI17" s="2"/>
      <c r="BJ17" s="2">
        <v>242</v>
      </c>
      <c r="BK17" s="2" t="s">
        <v>107</v>
      </c>
      <c r="BL17" s="2"/>
      <c r="BM17" s="2">
        <v>242</v>
      </c>
      <c r="BN17" s="2" t="s">
        <v>107</v>
      </c>
      <c r="BO17" s="2"/>
      <c r="BP17" s="2">
        <v>242</v>
      </c>
      <c r="BQ17" s="2" t="s">
        <v>107</v>
      </c>
      <c r="BR17" s="2"/>
      <c r="BS17" s="3">
        <v>40182</v>
      </c>
      <c r="BT17" s="4">
        <v>6.3773148148148148E-2</v>
      </c>
    </row>
    <row r="18" spans="1:72" x14ac:dyDescent="0.25">
      <c r="A18" s="2">
        <v>22</v>
      </c>
      <c r="B18" s="2">
        <v>2010</v>
      </c>
      <c r="C18" s="2" t="s">
        <v>196</v>
      </c>
      <c r="D18" s="2" t="s">
        <v>122</v>
      </c>
      <c r="E18" s="2"/>
      <c r="F18" s="2">
        <v>1</v>
      </c>
      <c r="G18" s="2" t="s">
        <v>82</v>
      </c>
      <c r="H18" s="2">
        <v>1</v>
      </c>
      <c r="I18" s="2" t="s">
        <v>82</v>
      </c>
      <c r="J18" s="2">
        <v>1</v>
      </c>
      <c r="K18" s="2" t="s">
        <v>107</v>
      </c>
      <c r="L18" s="2" t="s">
        <v>107</v>
      </c>
      <c r="M18" s="3">
        <v>40182</v>
      </c>
      <c r="N18" s="2"/>
      <c r="O18" s="2"/>
      <c r="P18" s="2"/>
      <c r="Q18" s="2" t="str">
        <f>""</f>
        <v/>
      </c>
      <c r="R18" s="2"/>
      <c r="S18" s="2"/>
      <c r="T18" s="2">
        <v>2</v>
      </c>
      <c r="U18" s="2" t="s">
        <v>123</v>
      </c>
      <c r="V18" s="2">
        <v>1</v>
      </c>
      <c r="W18" s="2" t="s">
        <v>80</v>
      </c>
      <c r="X18" s="2">
        <v>5</v>
      </c>
      <c r="Y18" s="2" t="s">
        <v>82</v>
      </c>
      <c r="Z18" s="2">
        <v>1</v>
      </c>
      <c r="AA18" s="2" t="s">
        <v>82</v>
      </c>
      <c r="AB18" s="2">
        <v>9</v>
      </c>
      <c r="AC18" s="2" t="s">
        <v>124</v>
      </c>
      <c r="AD18" s="2"/>
      <c r="AE18" s="2"/>
      <c r="AF18" s="2"/>
      <c r="AG18" s="2"/>
      <c r="AH18" s="2">
        <v>6</v>
      </c>
      <c r="AI18" s="2" t="s">
        <v>197</v>
      </c>
      <c r="AJ18" s="2">
        <v>59</v>
      </c>
      <c r="AK18" s="2" t="s">
        <v>198</v>
      </c>
      <c r="AL18" s="2">
        <v>18</v>
      </c>
      <c r="AM18" s="2" t="s">
        <v>82</v>
      </c>
      <c r="AN18" s="2" t="s">
        <v>229</v>
      </c>
      <c r="AO18" s="2" t="s">
        <v>230</v>
      </c>
      <c r="AP18" s="2">
        <v>11</v>
      </c>
      <c r="AQ18" s="2" t="s">
        <v>82</v>
      </c>
      <c r="AR18" s="2"/>
      <c r="AS18" s="2"/>
      <c r="AT18" s="2" t="s">
        <v>231</v>
      </c>
      <c r="AU18" s="2"/>
      <c r="AV18" s="2"/>
      <c r="AW18" s="2"/>
      <c r="AX18" s="2"/>
      <c r="AY18" s="2">
        <v>1</v>
      </c>
      <c r="AZ18" s="2" t="s">
        <v>107</v>
      </c>
      <c r="BA18" s="2">
        <v>1</v>
      </c>
      <c r="BB18" s="2" t="s">
        <v>107</v>
      </c>
      <c r="BC18" s="2">
        <v>1</v>
      </c>
      <c r="BD18" s="2" t="s">
        <v>107</v>
      </c>
      <c r="BE18" s="2">
        <v>1</v>
      </c>
      <c r="BF18" s="2" t="s">
        <v>107</v>
      </c>
      <c r="BG18" s="2"/>
      <c r="BH18" s="2"/>
      <c r="BI18" s="4">
        <v>0.43055555555555558</v>
      </c>
      <c r="BJ18" s="2">
        <v>242</v>
      </c>
      <c r="BK18" s="2" t="s">
        <v>107</v>
      </c>
      <c r="BL18" s="2"/>
      <c r="BM18" s="2">
        <v>242</v>
      </c>
      <c r="BN18" s="2" t="s">
        <v>107</v>
      </c>
      <c r="BO18" s="2"/>
      <c r="BP18" s="2">
        <v>242</v>
      </c>
      <c r="BQ18" s="2" t="s">
        <v>107</v>
      </c>
      <c r="BR18" s="2"/>
      <c r="BS18" s="3">
        <v>40182</v>
      </c>
      <c r="BT18" s="4">
        <v>0.43708333333333332</v>
      </c>
    </row>
    <row r="19" spans="1:72" x14ac:dyDescent="0.25">
      <c r="A19" s="2">
        <v>23</v>
      </c>
      <c r="B19" s="2">
        <v>2010</v>
      </c>
      <c r="C19" s="2" t="s">
        <v>147</v>
      </c>
      <c r="D19" s="2" t="s">
        <v>73</v>
      </c>
      <c r="E19" s="2"/>
      <c r="F19" s="2">
        <v>1</v>
      </c>
      <c r="G19" s="2" t="s">
        <v>82</v>
      </c>
      <c r="H19" s="2">
        <v>1</v>
      </c>
      <c r="I19" s="2" t="s">
        <v>82</v>
      </c>
      <c r="J19" s="2">
        <v>1</v>
      </c>
      <c r="K19" s="2" t="s">
        <v>107</v>
      </c>
      <c r="L19" s="2" t="s">
        <v>107</v>
      </c>
      <c r="M19" s="3">
        <v>40182</v>
      </c>
      <c r="N19" s="2"/>
      <c r="O19" s="2"/>
      <c r="P19" s="2"/>
      <c r="Q19" s="2" t="str">
        <f>""</f>
        <v/>
      </c>
      <c r="R19" s="2"/>
      <c r="S19" s="2"/>
      <c r="T19" s="2">
        <v>2</v>
      </c>
      <c r="U19" s="2" t="s">
        <v>123</v>
      </c>
      <c r="V19" s="2">
        <v>1</v>
      </c>
      <c r="W19" s="2" t="s">
        <v>80</v>
      </c>
      <c r="X19" s="2">
        <v>12</v>
      </c>
      <c r="Y19" s="2" t="s">
        <v>148</v>
      </c>
      <c r="Z19" s="2">
        <v>1</v>
      </c>
      <c r="AA19" s="2" t="s">
        <v>82</v>
      </c>
      <c r="AB19" s="2">
        <v>9</v>
      </c>
      <c r="AC19" s="2" t="s">
        <v>124</v>
      </c>
      <c r="AD19" s="3">
        <v>40178</v>
      </c>
      <c r="AE19" s="2"/>
      <c r="AF19" s="3">
        <v>40182</v>
      </c>
      <c r="AG19" s="4">
        <v>0.36458333333333331</v>
      </c>
      <c r="AH19" s="2">
        <v>2</v>
      </c>
      <c r="AI19" s="2" t="s">
        <v>84</v>
      </c>
      <c r="AJ19" s="2">
        <v>12</v>
      </c>
      <c r="AK19" s="2" t="s">
        <v>85</v>
      </c>
      <c r="AL19" s="2">
        <v>17</v>
      </c>
      <c r="AM19" s="2" t="s">
        <v>232</v>
      </c>
      <c r="AN19" s="2"/>
      <c r="AO19" s="2"/>
      <c r="AP19" s="2">
        <v>11</v>
      </c>
      <c r="AQ19" s="2" t="s">
        <v>82</v>
      </c>
      <c r="AR19" s="2"/>
      <c r="AS19" s="2"/>
      <c r="AT19" s="2" t="s">
        <v>233</v>
      </c>
      <c r="AU19" s="2"/>
      <c r="AV19" s="2"/>
      <c r="AW19" s="2"/>
      <c r="AX19" s="2"/>
      <c r="AY19" s="2">
        <v>41</v>
      </c>
      <c r="AZ19" s="2" t="s">
        <v>82</v>
      </c>
      <c r="BA19" s="2">
        <v>41</v>
      </c>
      <c r="BB19" s="2" t="s">
        <v>82</v>
      </c>
      <c r="BC19" s="2">
        <v>41</v>
      </c>
      <c r="BD19" s="2" t="s">
        <v>82</v>
      </c>
      <c r="BE19" s="2">
        <v>41</v>
      </c>
      <c r="BF19" s="2" t="s">
        <v>82</v>
      </c>
      <c r="BG19" s="2"/>
      <c r="BH19" s="2"/>
      <c r="BI19" s="2"/>
      <c r="BJ19" s="2">
        <v>241</v>
      </c>
      <c r="BK19" s="2" t="s">
        <v>82</v>
      </c>
      <c r="BL19" s="2"/>
      <c r="BM19" s="2">
        <v>241</v>
      </c>
      <c r="BN19" s="2" t="s">
        <v>82</v>
      </c>
      <c r="BO19" s="2"/>
      <c r="BP19" s="2">
        <v>241</v>
      </c>
      <c r="BQ19" s="2" t="s">
        <v>82</v>
      </c>
      <c r="BR19" s="2"/>
      <c r="BS19" s="3">
        <v>40182</v>
      </c>
      <c r="BT19" s="4">
        <v>0.44623842592592594</v>
      </c>
    </row>
    <row r="20" spans="1:72" x14ac:dyDescent="0.25">
      <c r="A20" s="2">
        <v>25</v>
      </c>
      <c r="B20" s="2">
        <v>2010</v>
      </c>
      <c r="C20" s="2" t="s">
        <v>147</v>
      </c>
      <c r="D20" s="2" t="s">
        <v>73</v>
      </c>
      <c r="E20" s="2"/>
      <c r="F20" s="2">
        <v>1</v>
      </c>
      <c r="G20" s="2" t="s">
        <v>82</v>
      </c>
      <c r="H20" s="2">
        <v>1</v>
      </c>
      <c r="I20" s="2" t="s">
        <v>82</v>
      </c>
      <c r="J20" s="2">
        <v>1</v>
      </c>
      <c r="K20" s="2" t="s">
        <v>107</v>
      </c>
      <c r="L20" s="2" t="s">
        <v>107</v>
      </c>
      <c r="M20" s="3">
        <v>40182</v>
      </c>
      <c r="N20" s="2"/>
      <c r="O20" s="2"/>
      <c r="P20" s="2"/>
      <c r="Q20" s="2" t="str">
        <f>""</f>
        <v/>
      </c>
      <c r="R20" s="2"/>
      <c r="S20" s="2"/>
      <c r="T20" s="2">
        <v>2</v>
      </c>
      <c r="U20" s="2" t="s">
        <v>123</v>
      </c>
      <c r="V20" s="2">
        <v>1</v>
      </c>
      <c r="W20" s="2" t="s">
        <v>80</v>
      </c>
      <c r="X20" s="2">
        <v>12</v>
      </c>
      <c r="Y20" s="2" t="s">
        <v>148</v>
      </c>
      <c r="Z20" s="2">
        <v>1</v>
      </c>
      <c r="AA20" s="2" t="s">
        <v>82</v>
      </c>
      <c r="AB20" s="2">
        <v>9</v>
      </c>
      <c r="AC20" s="2" t="s">
        <v>124</v>
      </c>
      <c r="AD20" s="3">
        <v>40176</v>
      </c>
      <c r="AE20" s="4">
        <v>0.58333333333333337</v>
      </c>
      <c r="AF20" s="3">
        <v>40182</v>
      </c>
      <c r="AG20" s="4">
        <v>0.34375</v>
      </c>
      <c r="AH20" s="2">
        <v>3</v>
      </c>
      <c r="AI20" s="2" t="s">
        <v>214</v>
      </c>
      <c r="AJ20" s="2">
        <v>24</v>
      </c>
      <c r="AK20" s="2" t="s">
        <v>215</v>
      </c>
      <c r="AL20" s="2">
        <v>14</v>
      </c>
      <c r="AM20" s="2" t="s">
        <v>216</v>
      </c>
      <c r="AN20" s="2" t="s">
        <v>234</v>
      </c>
      <c r="AO20" s="2"/>
      <c r="AP20" s="2">
        <v>11</v>
      </c>
      <c r="AQ20" s="2" t="s">
        <v>82</v>
      </c>
      <c r="AR20" s="2"/>
      <c r="AS20" s="2"/>
      <c r="AT20" s="2" t="s">
        <v>235</v>
      </c>
      <c r="AU20" s="2"/>
      <c r="AV20" s="2"/>
      <c r="AW20" s="2"/>
      <c r="AX20" s="2"/>
      <c r="AY20" s="2">
        <v>70</v>
      </c>
      <c r="AZ20" s="2" t="s">
        <v>236</v>
      </c>
      <c r="BA20" s="2">
        <v>1</v>
      </c>
      <c r="BB20" s="2" t="s">
        <v>107</v>
      </c>
      <c r="BC20" s="2">
        <v>1</v>
      </c>
      <c r="BD20" s="2" t="s">
        <v>107</v>
      </c>
      <c r="BE20" s="2">
        <v>41</v>
      </c>
      <c r="BF20" s="2" t="s">
        <v>82</v>
      </c>
      <c r="BG20" s="2"/>
      <c r="BH20" s="2"/>
      <c r="BI20" s="2"/>
      <c r="BJ20" s="2">
        <v>241</v>
      </c>
      <c r="BK20" s="2" t="s">
        <v>82</v>
      </c>
      <c r="BL20" s="2"/>
      <c r="BM20" s="2">
        <v>241</v>
      </c>
      <c r="BN20" s="2" t="s">
        <v>82</v>
      </c>
      <c r="BO20" s="2"/>
      <c r="BP20" s="2">
        <v>241</v>
      </c>
      <c r="BQ20" s="2" t="s">
        <v>82</v>
      </c>
      <c r="BR20" s="2"/>
      <c r="BS20" s="3">
        <v>40182</v>
      </c>
      <c r="BT20" s="4">
        <v>0.46027777777777779</v>
      </c>
    </row>
    <row r="21" spans="1:72" x14ac:dyDescent="0.25">
      <c r="A21" s="2">
        <v>26</v>
      </c>
      <c r="B21" s="2">
        <v>2010</v>
      </c>
      <c r="C21" s="2" t="s">
        <v>237</v>
      </c>
      <c r="D21" s="2" t="s">
        <v>122</v>
      </c>
      <c r="E21" s="2"/>
      <c r="F21" s="2">
        <v>1</v>
      </c>
      <c r="G21" s="2" t="s">
        <v>82</v>
      </c>
      <c r="H21" s="2">
        <v>1</v>
      </c>
      <c r="I21" s="2" t="s">
        <v>82</v>
      </c>
      <c r="J21" s="2">
        <v>1</v>
      </c>
      <c r="K21" s="2" t="s">
        <v>107</v>
      </c>
      <c r="L21" s="2" t="s">
        <v>107</v>
      </c>
      <c r="M21" s="3">
        <v>40182</v>
      </c>
      <c r="N21" s="2" t="s">
        <v>82</v>
      </c>
      <c r="O21" s="2" t="s">
        <v>82</v>
      </c>
      <c r="P21" s="2" t="s">
        <v>82</v>
      </c>
      <c r="Q21" s="2" t="str">
        <f>""</f>
        <v/>
      </c>
      <c r="R21" s="2"/>
      <c r="S21" s="2" t="s">
        <v>82</v>
      </c>
      <c r="T21" s="2">
        <v>2</v>
      </c>
      <c r="U21" s="2" t="s">
        <v>123</v>
      </c>
      <c r="V21" s="2">
        <v>1</v>
      </c>
      <c r="W21" s="2" t="s">
        <v>80</v>
      </c>
      <c r="X21" s="2">
        <v>5</v>
      </c>
      <c r="Y21" s="2" t="s">
        <v>82</v>
      </c>
      <c r="Z21" s="2">
        <v>1</v>
      </c>
      <c r="AA21" s="2" t="s">
        <v>82</v>
      </c>
      <c r="AB21" s="2">
        <v>9</v>
      </c>
      <c r="AC21" s="2" t="s">
        <v>124</v>
      </c>
      <c r="AD21" s="3">
        <v>40182</v>
      </c>
      <c r="AE21" s="4">
        <v>0.39930555555555558</v>
      </c>
      <c r="AF21" s="2"/>
      <c r="AG21" s="2"/>
      <c r="AH21" s="2">
        <v>6</v>
      </c>
      <c r="AI21" s="2" t="s">
        <v>197</v>
      </c>
      <c r="AJ21" s="2">
        <v>51</v>
      </c>
      <c r="AK21" s="2" t="s">
        <v>238</v>
      </c>
      <c r="AL21" s="2">
        <v>11</v>
      </c>
      <c r="AM21" s="2" t="s">
        <v>137</v>
      </c>
      <c r="AN21" s="2" t="s">
        <v>82</v>
      </c>
      <c r="AO21" s="2" t="s">
        <v>82</v>
      </c>
      <c r="AP21" s="2">
        <v>11</v>
      </c>
      <c r="AQ21" s="2" t="s">
        <v>82</v>
      </c>
      <c r="AR21" s="2"/>
      <c r="AS21" s="2"/>
      <c r="AT21" s="2" t="s">
        <v>239</v>
      </c>
      <c r="AU21" s="2"/>
      <c r="AV21" s="2"/>
      <c r="AW21" s="2"/>
      <c r="AX21" s="2"/>
      <c r="AY21" s="2">
        <v>41</v>
      </c>
      <c r="AZ21" s="2" t="s">
        <v>82</v>
      </c>
      <c r="BA21" s="2">
        <v>41</v>
      </c>
      <c r="BB21" s="2" t="s">
        <v>82</v>
      </c>
      <c r="BC21" s="2">
        <v>1</v>
      </c>
      <c r="BD21" s="2" t="s">
        <v>107</v>
      </c>
      <c r="BE21" s="2">
        <v>4</v>
      </c>
      <c r="BF21" s="2" t="s">
        <v>90</v>
      </c>
      <c r="BG21" s="2">
        <v>4271</v>
      </c>
      <c r="BH21" s="4">
        <v>0.375</v>
      </c>
      <c r="BI21" s="4">
        <v>0.40972222222222227</v>
      </c>
      <c r="BJ21" s="2">
        <v>13</v>
      </c>
      <c r="BK21" s="2" t="s">
        <v>91</v>
      </c>
      <c r="BL21" s="2" t="s">
        <v>240</v>
      </c>
      <c r="BM21" s="2">
        <v>13</v>
      </c>
      <c r="BN21" s="2" t="s">
        <v>91</v>
      </c>
      <c r="BO21" s="2" t="s">
        <v>82</v>
      </c>
      <c r="BP21" s="2">
        <v>13</v>
      </c>
      <c r="BQ21" s="2" t="s">
        <v>91</v>
      </c>
      <c r="BR21" s="2" t="s">
        <v>241</v>
      </c>
      <c r="BS21" s="3">
        <v>40182</v>
      </c>
      <c r="BT21" s="4">
        <v>0.48811342592592594</v>
      </c>
    </row>
    <row r="22" spans="1:72" x14ac:dyDescent="0.25">
      <c r="A22" s="2">
        <v>28</v>
      </c>
      <c r="B22" s="2">
        <v>2010</v>
      </c>
      <c r="C22" s="2" t="s">
        <v>147</v>
      </c>
      <c r="D22" s="2" t="s">
        <v>73</v>
      </c>
      <c r="E22" s="2"/>
      <c r="F22" s="2">
        <v>1</v>
      </c>
      <c r="G22" s="2" t="s">
        <v>82</v>
      </c>
      <c r="H22" s="2">
        <v>1</v>
      </c>
      <c r="I22" s="2" t="s">
        <v>82</v>
      </c>
      <c r="J22" s="2">
        <v>1</v>
      </c>
      <c r="K22" s="2" t="s">
        <v>107</v>
      </c>
      <c r="L22" s="2" t="s">
        <v>107</v>
      </c>
      <c r="M22" s="3">
        <v>40182</v>
      </c>
      <c r="N22" s="2"/>
      <c r="O22" s="2"/>
      <c r="P22" s="2"/>
      <c r="Q22" s="2" t="str">
        <f>""</f>
        <v/>
      </c>
      <c r="R22" s="2"/>
      <c r="S22" s="2"/>
      <c r="T22" s="2">
        <v>2</v>
      </c>
      <c r="U22" s="2" t="s">
        <v>123</v>
      </c>
      <c r="V22" s="2">
        <v>1</v>
      </c>
      <c r="W22" s="2" t="s">
        <v>80</v>
      </c>
      <c r="X22" s="2">
        <v>12</v>
      </c>
      <c r="Y22" s="2" t="s">
        <v>148</v>
      </c>
      <c r="Z22" s="2">
        <v>1</v>
      </c>
      <c r="AA22" s="2" t="s">
        <v>82</v>
      </c>
      <c r="AB22" s="2">
        <v>9</v>
      </c>
      <c r="AC22" s="2" t="s">
        <v>124</v>
      </c>
      <c r="AD22" s="3">
        <v>40176</v>
      </c>
      <c r="AE22" s="2"/>
      <c r="AF22" s="3">
        <v>40182</v>
      </c>
      <c r="AG22" s="4">
        <v>0.51388888888888895</v>
      </c>
      <c r="AH22" s="2">
        <v>2</v>
      </c>
      <c r="AI22" s="2" t="s">
        <v>84</v>
      </c>
      <c r="AJ22" s="2">
        <v>12</v>
      </c>
      <c r="AK22" s="2" t="s">
        <v>85</v>
      </c>
      <c r="AL22" s="2">
        <v>10</v>
      </c>
      <c r="AM22" s="2" t="s">
        <v>200</v>
      </c>
      <c r="AN22" s="2" t="s">
        <v>107</v>
      </c>
      <c r="AO22" s="2" t="s">
        <v>107</v>
      </c>
      <c r="AP22" s="2">
        <v>11</v>
      </c>
      <c r="AQ22" s="2" t="s">
        <v>82</v>
      </c>
      <c r="AR22" s="2"/>
      <c r="AS22" s="2"/>
      <c r="AT22" s="2" t="s">
        <v>242</v>
      </c>
      <c r="AU22" s="2"/>
      <c r="AV22" s="2"/>
      <c r="AW22" s="2"/>
      <c r="AX22" s="2"/>
      <c r="AY22" s="2">
        <v>41</v>
      </c>
      <c r="AZ22" s="2" t="s">
        <v>82</v>
      </c>
      <c r="BA22" s="2">
        <v>41</v>
      </c>
      <c r="BB22" s="2" t="s">
        <v>82</v>
      </c>
      <c r="BC22" s="2">
        <v>41</v>
      </c>
      <c r="BD22" s="2" t="s">
        <v>82</v>
      </c>
      <c r="BE22" s="2">
        <v>41</v>
      </c>
      <c r="BF22" s="2" t="s">
        <v>82</v>
      </c>
      <c r="BG22" s="2"/>
      <c r="BH22" s="2"/>
      <c r="BI22" s="2"/>
      <c r="BJ22" s="2">
        <v>241</v>
      </c>
      <c r="BK22" s="2" t="s">
        <v>82</v>
      </c>
      <c r="BL22" s="2"/>
      <c r="BM22" s="2">
        <v>241</v>
      </c>
      <c r="BN22" s="2" t="s">
        <v>82</v>
      </c>
      <c r="BO22" s="2"/>
      <c r="BP22" s="2">
        <v>241</v>
      </c>
      <c r="BQ22" s="2" t="s">
        <v>82</v>
      </c>
      <c r="BR22" s="2"/>
      <c r="BS22" s="3">
        <v>40182</v>
      </c>
      <c r="BT22" s="4">
        <v>0.5625</v>
      </c>
    </row>
    <row r="23" spans="1:72" x14ac:dyDescent="0.25">
      <c r="A23" s="2">
        <v>30</v>
      </c>
      <c r="B23" s="2">
        <v>2010</v>
      </c>
      <c r="C23" s="2" t="s">
        <v>243</v>
      </c>
      <c r="D23" s="2" t="s">
        <v>73</v>
      </c>
      <c r="E23" s="2"/>
      <c r="F23" s="2">
        <v>423</v>
      </c>
      <c r="G23" s="2" t="s">
        <v>244</v>
      </c>
      <c r="H23" s="2">
        <v>1</v>
      </c>
      <c r="I23" s="2" t="s">
        <v>82</v>
      </c>
      <c r="J23" s="2">
        <v>307</v>
      </c>
      <c r="K23" s="2" t="s">
        <v>245</v>
      </c>
      <c r="L23" s="2" t="s">
        <v>246</v>
      </c>
      <c r="M23" s="3">
        <v>40182</v>
      </c>
      <c r="N23" s="2"/>
      <c r="O23" s="2" t="s">
        <v>247</v>
      </c>
      <c r="P23" s="2" t="s">
        <v>248</v>
      </c>
      <c r="Q23" s="2" t="str">
        <f>""</f>
        <v/>
      </c>
      <c r="R23" s="2"/>
      <c r="S23" s="2"/>
      <c r="T23" s="2">
        <v>1</v>
      </c>
      <c r="U23" s="2" t="s">
        <v>79</v>
      </c>
      <c r="V23" s="2">
        <v>3</v>
      </c>
      <c r="W23" s="2" t="s">
        <v>225</v>
      </c>
      <c r="X23" s="2">
        <v>6</v>
      </c>
      <c r="Y23" s="2" t="s">
        <v>249</v>
      </c>
      <c r="Z23" s="2">
        <v>1</v>
      </c>
      <c r="AA23" s="2" t="s">
        <v>82</v>
      </c>
      <c r="AB23" s="2">
        <v>9</v>
      </c>
      <c r="AC23" s="2" t="s">
        <v>124</v>
      </c>
      <c r="AD23" s="2"/>
      <c r="AE23" s="2"/>
      <c r="AF23" s="2"/>
      <c r="AG23" s="2"/>
      <c r="AH23" s="2">
        <v>6</v>
      </c>
      <c r="AI23" s="2" t="s">
        <v>197</v>
      </c>
      <c r="AJ23" s="2">
        <v>47</v>
      </c>
      <c r="AK23" s="2" t="s">
        <v>250</v>
      </c>
      <c r="AL23" s="2">
        <v>23</v>
      </c>
      <c r="AM23" s="2" t="s">
        <v>251</v>
      </c>
      <c r="AN23" s="2" t="s">
        <v>252</v>
      </c>
      <c r="AO23" s="2" t="s">
        <v>253</v>
      </c>
      <c r="AP23" s="2">
        <v>11</v>
      </c>
      <c r="AQ23" s="2" t="s">
        <v>82</v>
      </c>
      <c r="AR23" s="2"/>
      <c r="AS23" s="2"/>
      <c r="AT23" s="2" t="s">
        <v>254</v>
      </c>
      <c r="AU23" s="2"/>
      <c r="AV23" s="2"/>
      <c r="AW23" s="2"/>
      <c r="AX23" s="2"/>
      <c r="AY23" s="2">
        <v>41</v>
      </c>
      <c r="AZ23" s="2" t="s">
        <v>82</v>
      </c>
      <c r="BA23" s="2">
        <v>41</v>
      </c>
      <c r="BB23" s="2" t="s">
        <v>82</v>
      </c>
      <c r="BC23" s="2">
        <v>41</v>
      </c>
      <c r="BD23" s="2" t="s">
        <v>82</v>
      </c>
      <c r="BE23" s="2">
        <v>41</v>
      </c>
      <c r="BF23" s="2" t="s">
        <v>82</v>
      </c>
      <c r="BG23" s="2"/>
      <c r="BH23" s="2"/>
      <c r="BI23" s="2"/>
      <c r="BJ23" s="2">
        <v>241</v>
      </c>
      <c r="BK23" s="2" t="s">
        <v>82</v>
      </c>
      <c r="BL23" s="2"/>
      <c r="BM23" s="2">
        <v>241</v>
      </c>
      <c r="BN23" s="2" t="s">
        <v>82</v>
      </c>
      <c r="BO23" s="2"/>
      <c r="BP23" s="2">
        <v>241</v>
      </c>
      <c r="BQ23" s="2" t="s">
        <v>82</v>
      </c>
      <c r="BR23" s="2"/>
      <c r="BS23" s="3">
        <v>40182</v>
      </c>
      <c r="BT23" s="4">
        <v>0.58811342592592586</v>
      </c>
    </row>
    <row r="24" spans="1:72" x14ac:dyDescent="0.25">
      <c r="A24" s="2">
        <v>32</v>
      </c>
      <c r="B24" s="2">
        <v>2010</v>
      </c>
      <c r="C24" s="2" t="s">
        <v>255</v>
      </c>
      <c r="D24" s="2" t="s">
        <v>73</v>
      </c>
      <c r="E24" s="2"/>
      <c r="F24" s="2">
        <v>1</v>
      </c>
      <c r="G24" s="2" t="s">
        <v>82</v>
      </c>
      <c r="H24" s="2">
        <v>1</v>
      </c>
      <c r="I24" s="2" t="s">
        <v>82</v>
      </c>
      <c r="J24" s="2">
        <v>1</v>
      </c>
      <c r="K24" s="2" t="s">
        <v>107</v>
      </c>
      <c r="L24" s="2" t="s">
        <v>107</v>
      </c>
      <c r="M24" s="3">
        <v>40182</v>
      </c>
      <c r="N24" s="2"/>
      <c r="O24" s="2" t="s">
        <v>256</v>
      </c>
      <c r="P24" s="2"/>
      <c r="Q24" s="2" t="str">
        <f>"01/10 PSA"</f>
        <v>01/10 PSA</v>
      </c>
      <c r="R24" s="2"/>
      <c r="S24" s="2"/>
      <c r="T24" s="2">
        <v>1</v>
      </c>
      <c r="U24" s="2" t="s">
        <v>79</v>
      </c>
      <c r="V24" s="2">
        <v>1</v>
      </c>
      <c r="W24" s="2" t="s">
        <v>80</v>
      </c>
      <c r="X24" s="2">
        <v>5</v>
      </c>
      <c r="Y24" s="2" t="s">
        <v>82</v>
      </c>
      <c r="Z24" s="2">
        <v>3</v>
      </c>
      <c r="AA24" s="2" t="s">
        <v>257</v>
      </c>
      <c r="AB24" s="2">
        <v>9</v>
      </c>
      <c r="AC24" s="2" t="s">
        <v>124</v>
      </c>
      <c r="AD24" s="3">
        <v>40181</v>
      </c>
      <c r="AE24" s="4">
        <v>0.82291666666666663</v>
      </c>
      <c r="AF24" s="3">
        <v>40181</v>
      </c>
      <c r="AG24" s="4">
        <v>0.85416666666666663</v>
      </c>
      <c r="AH24" s="2">
        <v>4</v>
      </c>
      <c r="AI24" s="2" t="s">
        <v>125</v>
      </c>
      <c r="AJ24" s="2">
        <v>30</v>
      </c>
      <c r="AK24" s="2" t="s">
        <v>258</v>
      </c>
      <c r="AL24" s="2">
        <v>9</v>
      </c>
      <c r="AM24" s="2" t="s">
        <v>259</v>
      </c>
      <c r="AN24" s="2" t="s">
        <v>260</v>
      </c>
      <c r="AO24" s="2"/>
      <c r="AP24" s="2">
        <v>11</v>
      </c>
      <c r="AQ24" s="2" t="s">
        <v>82</v>
      </c>
      <c r="AR24" s="2"/>
      <c r="AS24" s="2"/>
      <c r="AT24" s="2" t="s">
        <v>261</v>
      </c>
      <c r="AU24" s="2"/>
      <c r="AV24" s="2"/>
      <c r="AW24" s="2"/>
      <c r="AX24" s="2"/>
      <c r="AY24" s="2">
        <v>44</v>
      </c>
      <c r="AZ24" s="2" t="s">
        <v>262</v>
      </c>
      <c r="BA24" s="2">
        <v>44</v>
      </c>
      <c r="BB24" s="2" t="s">
        <v>262</v>
      </c>
      <c r="BC24" s="2">
        <v>44</v>
      </c>
      <c r="BD24" s="2" t="s">
        <v>262</v>
      </c>
      <c r="BE24" s="2">
        <v>41</v>
      </c>
      <c r="BF24" s="2" t="s">
        <v>82</v>
      </c>
      <c r="BG24" s="2"/>
      <c r="BH24" s="2"/>
      <c r="BI24" s="2"/>
      <c r="BJ24" s="2">
        <v>241</v>
      </c>
      <c r="BK24" s="2" t="s">
        <v>82</v>
      </c>
      <c r="BL24" s="2"/>
      <c r="BM24" s="2">
        <v>241</v>
      </c>
      <c r="BN24" s="2" t="s">
        <v>82</v>
      </c>
      <c r="BO24" s="2"/>
      <c r="BP24" s="2">
        <v>241</v>
      </c>
      <c r="BQ24" s="2" t="s">
        <v>82</v>
      </c>
      <c r="BR24" s="2"/>
      <c r="BS24" s="3">
        <v>40182</v>
      </c>
      <c r="BT24" s="4">
        <v>0.60501157407407413</v>
      </c>
    </row>
    <row r="25" spans="1:72" x14ac:dyDescent="0.25">
      <c r="A25" s="2">
        <v>33</v>
      </c>
      <c r="B25" s="2">
        <v>2010</v>
      </c>
      <c r="C25" s="2" t="s">
        <v>196</v>
      </c>
      <c r="D25" s="2" t="s">
        <v>122</v>
      </c>
      <c r="E25" s="2"/>
      <c r="F25" s="2">
        <v>1</v>
      </c>
      <c r="G25" s="2" t="s">
        <v>82</v>
      </c>
      <c r="H25" s="2">
        <v>1</v>
      </c>
      <c r="I25" s="2" t="s">
        <v>82</v>
      </c>
      <c r="J25" s="2">
        <v>1</v>
      </c>
      <c r="K25" s="2" t="s">
        <v>107</v>
      </c>
      <c r="L25" s="2" t="s">
        <v>107</v>
      </c>
      <c r="M25" s="3">
        <v>40182</v>
      </c>
      <c r="N25" s="2"/>
      <c r="O25" s="2"/>
      <c r="P25" s="2"/>
      <c r="Q25" s="2" t="str">
        <f>""</f>
        <v/>
      </c>
      <c r="R25" s="2"/>
      <c r="S25" s="2"/>
      <c r="T25" s="2">
        <v>2</v>
      </c>
      <c r="U25" s="2" t="s">
        <v>123</v>
      </c>
      <c r="V25" s="2">
        <v>1</v>
      </c>
      <c r="W25" s="2" t="s">
        <v>80</v>
      </c>
      <c r="X25" s="2">
        <v>5</v>
      </c>
      <c r="Y25" s="2" t="s">
        <v>82</v>
      </c>
      <c r="Z25" s="2">
        <v>1</v>
      </c>
      <c r="AA25" s="2" t="s">
        <v>82</v>
      </c>
      <c r="AB25" s="2">
        <v>9</v>
      </c>
      <c r="AC25" s="2" t="s">
        <v>124</v>
      </c>
      <c r="AD25" s="2"/>
      <c r="AE25" s="2"/>
      <c r="AF25" s="2"/>
      <c r="AG25" s="2"/>
      <c r="AH25" s="2">
        <v>2</v>
      </c>
      <c r="AI25" s="2" t="s">
        <v>84</v>
      </c>
      <c r="AJ25" s="2">
        <v>12</v>
      </c>
      <c r="AK25" s="2" t="s">
        <v>85</v>
      </c>
      <c r="AL25" s="2">
        <v>18</v>
      </c>
      <c r="AM25" s="2" t="s">
        <v>82</v>
      </c>
      <c r="AN25" s="2"/>
      <c r="AO25" s="2" t="s">
        <v>263</v>
      </c>
      <c r="AP25" s="2">
        <v>11</v>
      </c>
      <c r="AQ25" s="2" t="s">
        <v>82</v>
      </c>
      <c r="AR25" s="2"/>
      <c r="AS25" s="2"/>
      <c r="AT25" s="2" t="s">
        <v>264</v>
      </c>
      <c r="AU25" s="2"/>
      <c r="AV25" s="2"/>
      <c r="AW25" s="2"/>
      <c r="AX25" s="2"/>
      <c r="AY25" s="2">
        <v>1</v>
      </c>
      <c r="AZ25" s="2" t="s">
        <v>107</v>
      </c>
      <c r="BA25" s="2">
        <v>1</v>
      </c>
      <c r="BB25" s="2" t="s">
        <v>107</v>
      </c>
      <c r="BC25" s="2">
        <v>1</v>
      </c>
      <c r="BD25" s="2" t="s">
        <v>107</v>
      </c>
      <c r="BE25" s="2">
        <v>1</v>
      </c>
      <c r="BF25" s="2" t="s">
        <v>107</v>
      </c>
      <c r="BG25" s="2" t="s">
        <v>265</v>
      </c>
      <c r="BH25" s="4">
        <v>0.54861111111111105</v>
      </c>
      <c r="BI25" s="2"/>
      <c r="BJ25" s="2">
        <v>13</v>
      </c>
      <c r="BK25" s="2" t="s">
        <v>91</v>
      </c>
      <c r="BL25" s="2" t="s">
        <v>204</v>
      </c>
      <c r="BM25" s="2">
        <v>242</v>
      </c>
      <c r="BN25" s="2" t="s">
        <v>107</v>
      </c>
      <c r="BO25" s="2"/>
      <c r="BP25" s="2">
        <v>13</v>
      </c>
      <c r="BQ25" s="2" t="s">
        <v>91</v>
      </c>
      <c r="BR25" s="2" t="s">
        <v>185</v>
      </c>
      <c r="BS25" s="3">
        <v>40182</v>
      </c>
      <c r="BT25" s="4">
        <v>0.60947916666666668</v>
      </c>
    </row>
    <row r="26" spans="1:72" x14ac:dyDescent="0.25">
      <c r="A26" s="2">
        <v>34</v>
      </c>
      <c r="B26" s="2">
        <v>2010</v>
      </c>
      <c r="C26" s="2" t="s">
        <v>171</v>
      </c>
      <c r="D26" s="2" t="s">
        <v>73</v>
      </c>
      <c r="E26" s="2"/>
      <c r="F26" s="2">
        <v>424</v>
      </c>
      <c r="G26" s="2" t="s">
        <v>266</v>
      </c>
      <c r="H26" s="2">
        <v>2</v>
      </c>
      <c r="I26" s="2" t="s">
        <v>267</v>
      </c>
      <c r="J26" s="2">
        <v>309</v>
      </c>
      <c r="K26" s="2" t="s">
        <v>268</v>
      </c>
      <c r="L26" s="2" t="s">
        <v>269</v>
      </c>
      <c r="M26" s="3">
        <v>40182</v>
      </c>
      <c r="N26" s="2" t="s">
        <v>270</v>
      </c>
      <c r="O26" s="2" t="s">
        <v>271</v>
      </c>
      <c r="P26" s="2" t="s">
        <v>272</v>
      </c>
      <c r="Q26" s="2" t="str">
        <f>"321/09"</f>
        <v>321/09</v>
      </c>
      <c r="R26" s="2" t="s">
        <v>82</v>
      </c>
      <c r="S26" s="2" t="s">
        <v>273</v>
      </c>
      <c r="T26" s="2">
        <v>1</v>
      </c>
      <c r="U26" s="2" t="s">
        <v>79</v>
      </c>
      <c r="V26" s="2">
        <v>3</v>
      </c>
      <c r="W26" s="2" t="s">
        <v>225</v>
      </c>
      <c r="X26" s="2">
        <v>2</v>
      </c>
      <c r="Y26" s="2" t="s">
        <v>136</v>
      </c>
      <c r="Z26" s="2">
        <v>1</v>
      </c>
      <c r="AA26" s="2" t="s">
        <v>82</v>
      </c>
      <c r="AB26" s="2">
        <v>9</v>
      </c>
      <c r="AC26" s="2" t="s">
        <v>124</v>
      </c>
      <c r="AD26" s="2"/>
      <c r="AE26" s="2"/>
      <c r="AF26" s="3">
        <v>40126</v>
      </c>
      <c r="AG26" s="4">
        <v>0.66666666666666663</v>
      </c>
      <c r="AH26" s="2">
        <v>5</v>
      </c>
      <c r="AI26" s="2" t="s">
        <v>274</v>
      </c>
      <c r="AJ26" s="2">
        <v>35</v>
      </c>
      <c r="AK26" s="2" t="s">
        <v>275</v>
      </c>
      <c r="AL26" s="2">
        <v>23</v>
      </c>
      <c r="AM26" s="2" t="s">
        <v>251</v>
      </c>
      <c r="AN26" s="2" t="s">
        <v>276</v>
      </c>
      <c r="AO26" s="2" t="s">
        <v>277</v>
      </c>
      <c r="AP26" s="2">
        <v>11</v>
      </c>
      <c r="AQ26" s="2" t="s">
        <v>82</v>
      </c>
      <c r="AR26" s="2"/>
      <c r="AS26" s="2"/>
      <c r="AT26" s="2" t="s">
        <v>278</v>
      </c>
      <c r="AU26" s="2"/>
      <c r="AV26" s="2"/>
      <c r="AW26" s="2"/>
      <c r="AX26" s="2"/>
      <c r="AY26" s="2">
        <v>41</v>
      </c>
      <c r="AZ26" s="2" t="s">
        <v>82</v>
      </c>
      <c r="BA26" s="2">
        <v>41</v>
      </c>
      <c r="BB26" s="2" t="s">
        <v>82</v>
      </c>
      <c r="BC26" s="2">
        <v>41</v>
      </c>
      <c r="BD26" s="2" t="s">
        <v>82</v>
      </c>
      <c r="BE26" s="2">
        <v>41</v>
      </c>
      <c r="BF26" s="2" t="s">
        <v>82</v>
      </c>
      <c r="BG26" s="2"/>
      <c r="BH26" s="2"/>
      <c r="BI26" s="2"/>
      <c r="BJ26" s="2">
        <v>241</v>
      </c>
      <c r="BK26" s="2" t="s">
        <v>82</v>
      </c>
      <c r="BL26" s="2"/>
      <c r="BM26" s="2">
        <v>241</v>
      </c>
      <c r="BN26" s="2" t="s">
        <v>82</v>
      </c>
      <c r="BO26" s="2"/>
      <c r="BP26" s="2">
        <v>241</v>
      </c>
      <c r="BQ26" s="2" t="s">
        <v>82</v>
      </c>
      <c r="BR26" s="2"/>
      <c r="BS26" s="3">
        <v>40182</v>
      </c>
      <c r="BT26" s="4">
        <v>0.64119212962962957</v>
      </c>
    </row>
    <row r="27" spans="1:72" x14ac:dyDescent="0.25">
      <c r="A27" s="2">
        <v>35</v>
      </c>
      <c r="B27" s="2">
        <v>2010</v>
      </c>
      <c r="C27" s="2" t="s">
        <v>171</v>
      </c>
      <c r="D27" s="2" t="s">
        <v>73</v>
      </c>
      <c r="E27" s="2"/>
      <c r="F27" s="2">
        <v>424</v>
      </c>
      <c r="G27" s="2" t="s">
        <v>266</v>
      </c>
      <c r="H27" s="2">
        <v>2</v>
      </c>
      <c r="I27" s="2" t="s">
        <v>267</v>
      </c>
      <c r="J27" s="2">
        <v>309</v>
      </c>
      <c r="K27" s="2" t="s">
        <v>268</v>
      </c>
      <c r="L27" s="2" t="s">
        <v>269</v>
      </c>
      <c r="M27" s="3">
        <v>40182</v>
      </c>
      <c r="N27" s="2" t="s">
        <v>279</v>
      </c>
      <c r="O27" s="2" t="s">
        <v>280</v>
      </c>
      <c r="P27" s="2" t="s">
        <v>281</v>
      </c>
      <c r="Q27" s="2" t="str">
        <f>"577/09"</f>
        <v>577/09</v>
      </c>
      <c r="R27" s="2" t="s">
        <v>82</v>
      </c>
      <c r="S27" s="2" t="s">
        <v>282</v>
      </c>
      <c r="T27" s="2">
        <v>1</v>
      </c>
      <c r="U27" s="2" t="s">
        <v>79</v>
      </c>
      <c r="V27" s="2">
        <v>3</v>
      </c>
      <c r="W27" s="2" t="s">
        <v>225</v>
      </c>
      <c r="X27" s="2">
        <v>2</v>
      </c>
      <c r="Y27" s="2" t="s">
        <v>136</v>
      </c>
      <c r="Z27" s="2">
        <v>1</v>
      </c>
      <c r="AA27" s="2" t="s">
        <v>82</v>
      </c>
      <c r="AB27" s="2">
        <v>9</v>
      </c>
      <c r="AC27" s="2" t="s">
        <v>124</v>
      </c>
      <c r="AD27" s="2"/>
      <c r="AE27" s="2"/>
      <c r="AF27" s="3">
        <v>40182</v>
      </c>
      <c r="AG27" s="4">
        <v>0.63888888888888895</v>
      </c>
      <c r="AH27" s="2">
        <v>5</v>
      </c>
      <c r="AI27" s="2" t="s">
        <v>274</v>
      </c>
      <c r="AJ27" s="2">
        <v>35</v>
      </c>
      <c r="AK27" s="2" t="s">
        <v>275</v>
      </c>
      <c r="AL27" s="2">
        <v>23</v>
      </c>
      <c r="AM27" s="2" t="s">
        <v>251</v>
      </c>
      <c r="AN27" s="2" t="s">
        <v>283</v>
      </c>
      <c r="AO27" s="2" t="s">
        <v>284</v>
      </c>
      <c r="AP27" s="2">
        <v>11</v>
      </c>
      <c r="AQ27" s="2" t="s">
        <v>82</v>
      </c>
      <c r="AR27" s="2"/>
      <c r="AS27" s="2"/>
      <c r="AT27" s="2" t="s">
        <v>285</v>
      </c>
      <c r="AU27" s="2"/>
      <c r="AV27" s="2"/>
      <c r="AW27" s="2"/>
      <c r="AX27" s="2"/>
      <c r="AY27" s="2">
        <v>41</v>
      </c>
      <c r="AZ27" s="2" t="s">
        <v>82</v>
      </c>
      <c r="BA27" s="2">
        <v>41</v>
      </c>
      <c r="BB27" s="2" t="s">
        <v>82</v>
      </c>
      <c r="BC27" s="2">
        <v>41</v>
      </c>
      <c r="BD27" s="2" t="s">
        <v>82</v>
      </c>
      <c r="BE27" s="2">
        <v>41</v>
      </c>
      <c r="BF27" s="2" t="s">
        <v>82</v>
      </c>
      <c r="BG27" s="2"/>
      <c r="BH27" s="2"/>
      <c r="BI27" s="2"/>
      <c r="BJ27" s="2">
        <v>241</v>
      </c>
      <c r="BK27" s="2" t="s">
        <v>82</v>
      </c>
      <c r="BL27" s="2"/>
      <c r="BM27" s="2">
        <v>241</v>
      </c>
      <c r="BN27" s="2" t="s">
        <v>82</v>
      </c>
      <c r="BO27" s="2"/>
      <c r="BP27" s="2">
        <v>241</v>
      </c>
      <c r="BQ27" s="2" t="s">
        <v>82</v>
      </c>
      <c r="BR27" s="2"/>
      <c r="BS27" s="3">
        <v>40182</v>
      </c>
      <c r="BT27" s="4">
        <v>0.66107638888888887</v>
      </c>
    </row>
    <row r="28" spans="1:72" x14ac:dyDescent="0.25">
      <c r="A28" s="2">
        <v>36</v>
      </c>
      <c r="B28" s="2">
        <v>2010</v>
      </c>
      <c r="C28" s="2" t="s">
        <v>171</v>
      </c>
      <c r="D28" s="2" t="s">
        <v>73</v>
      </c>
      <c r="E28" s="2"/>
      <c r="F28" s="2">
        <v>425</v>
      </c>
      <c r="G28" s="2" t="s">
        <v>286</v>
      </c>
      <c r="H28" s="2">
        <v>24</v>
      </c>
      <c r="I28" s="2" t="s">
        <v>287</v>
      </c>
      <c r="J28" s="2">
        <v>310</v>
      </c>
      <c r="K28" s="2" t="s">
        <v>288</v>
      </c>
      <c r="L28" s="2" t="s">
        <v>289</v>
      </c>
      <c r="M28" s="3">
        <v>40182</v>
      </c>
      <c r="N28" s="2" t="s">
        <v>290</v>
      </c>
      <c r="O28" s="2" t="s">
        <v>291</v>
      </c>
      <c r="P28" s="2" t="s">
        <v>292</v>
      </c>
      <c r="Q28" s="2" t="str">
        <f>""</f>
        <v/>
      </c>
      <c r="R28" s="2"/>
      <c r="S28" s="2"/>
      <c r="T28" s="2">
        <v>1</v>
      </c>
      <c r="U28" s="2" t="s">
        <v>79</v>
      </c>
      <c r="V28" s="2">
        <v>3</v>
      </c>
      <c r="W28" s="2" t="s">
        <v>225</v>
      </c>
      <c r="X28" s="2">
        <v>6</v>
      </c>
      <c r="Y28" s="2" t="s">
        <v>249</v>
      </c>
      <c r="Z28" s="2">
        <v>1</v>
      </c>
      <c r="AA28" s="2" t="s">
        <v>82</v>
      </c>
      <c r="AB28" s="2">
        <v>9</v>
      </c>
      <c r="AC28" s="2" t="s">
        <v>124</v>
      </c>
      <c r="AD28" s="2"/>
      <c r="AE28" s="2"/>
      <c r="AF28" s="2"/>
      <c r="AG28" s="2"/>
      <c r="AH28" s="2">
        <v>4</v>
      </c>
      <c r="AI28" s="2" t="s">
        <v>125</v>
      </c>
      <c r="AJ28" s="2">
        <v>26</v>
      </c>
      <c r="AK28" s="2" t="s">
        <v>293</v>
      </c>
      <c r="AL28" s="2">
        <v>19</v>
      </c>
      <c r="AM28" s="2" t="s">
        <v>107</v>
      </c>
      <c r="AN28" s="2"/>
      <c r="AO28" s="2"/>
      <c r="AP28" s="2">
        <v>11</v>
      </c>
      <c r="AQ28" s="2" t="s">
        <v>82</v>
      </c>
      <c r="AR28" s="2"/>
      <c r="AS28" s="2"/>
      <c r="AT28" s="2" t="s">
        <v>294</v>
      </c>
      <c r="AU28" s="2"/>
      <c r="AV28" s="2"/>
      <c r="AW28" s="2"/>
      <c r="AX28" s="2"/>
      <c r="AY28" s="2">
        <v>1</v>
      </c>
      <c r="AZ28" s="2" t="s">
        <v>107</v>
      </c>
      <c r="BA28" s="2">
        <v>1</v>
      </c>
      <c r="BB28" s="2" t="s">
        <v>107</v>
      </c>
      <c r="BC28" s="2">
        <v>1</v>
      </c>
      <c r="BD28" s="2" t="s">
        <v>107</v>
      </c>
      <c r="BE28" s="2">
        <v>1</v>
      </c>
      <c r="BF28" s="2" t="s">
        <v>107</v>
      </c>
      <c r="BG28" s="2"/>
      <c r="BH28" s="2"/>
      <c r="BI28" s="2"/>
      <c r="BJ28" s="2">
        <v>242</v>
      </c>
      <c r="BK28" s="2" t="s">
        <v>107</v>
      </c>
      <c r="BL28" s="2"/>
      <c r="BM28" s="2">
        <v>242</v>
      </c>
      <c r="BN28" s="2" t="s">
        <v>107</v>
      </c>
      <c r="BO28" s="2"/>
      <c r="BP28" s="2">
        <v>242</v>
      </c>
      <c r="BQ28" s="2" t="s">
        <v>107</v>
      </c>
      <c r="BR28" s="2"/>
      <c r="BS28" s="3">
        <v>40182</v>
      </c>
      <c r="BT28" s="4">
        <v>0.58811342592592586</v>
      </c>
    </row>
    <row r="29" spans="1:72" x14ac:dyDescent="0.25">
      <c r="A29" s="2">
        <v>38</v>
      </c>
      <c r="B29" s="2">
        <v>2010</v>
      </c>
      <c r="C29" s="2" t="s">
        <v>72</v>
      </c>
      <c r="D29" s="2" t="s">
        <v>73</v>
      </c>
      <c r="E29" s="2"/>
      <c r="F29" s="2">
        <v>419</v>
      </c>
      <c r="G29" s="2" t="s">
        <v>74</v>
      </c>
      <c r="H29" s="2">
        <v>22</v>
      </c>
      <c r="I29" s="2" t="s">
        <v>75</v>
      </c>
      <c r="J29" s="2">
        <v>306</v>
      </c>
      <c r="K29" s="2" t="s">
        <v>76</v>
      </c>
      <c r="L29" s="2" t="s">
        <v>77</v>
      </c>
      <c r="M29" s="3">
        <v>40182</v>
      </c>
      <c r="N29" s="2" t="s">
        <v>295</v>
      </c>
      <c r="O29" s="2" t="s">
        <v>78</v>
      </c>
      <c r="P29" s="2"/>
      <c r="Q29" s="2" t="str">
        <f>"006-A/10"</f>
        <v>006-A/10</v>
      </c>
      <c r="R29" s="2" t="s">
        <v>78</v>
      </c>
      <c r="S29" s="2" t="s">
        <v>78</v>
      </c>
      <c r="T29" s="2">
        <v>1</v>
      </c>
      <c r="U29" s="2" t="s">
        <v>79</v>
      </c>
      <c r="V29" s="2">
        <v>1</v>
      </c>
      <c r="W29" s="2" t="s">
        <v>80</v>
      </c>
      <c r="X29" s="2">
        <v>5</v>
      </c>
      <c r="Y29" s="2" t="s">
        <v>82</v>
      </c>
      <c r="Z29" s="2">
        <v>1</v>
      </c>
      <c r="AA29" s="2" t="s">
        <v>82</v>
      </c>
      <c r="AB29" s="2">
        <v>6</v>
      </c>
      <c r="AC29" s="2" t="s">
        <v>83</v>
      </c>
      <c r="AD29" s="3">
        <v>40182</v>
      </c>
      <c r="AE29" s="4">
        <v>0.55902777777777779</v>
      </c>
      <c r="AF29" s="3">
        <v>40182</v>
      </c>
      <c r="AG29" s="4">
        <v>0.65277777777777779</v>
      </c>
      <c r="AH29" s="2">
        <v>2</v>
      </c>
      <c r="AI29" s="2" t="s">
        <v>84</v>
      </c>
      <c r="AJ29" s="2">
        <v>12</v>
      </c>
      <c r="AK29" s="2" t="s">
        <v>85</v>
      </c>
      <c r="AL29" s="2">
        <v>17</v>
      </c>
      <c r="AM29" s="2" t="s">
        <v>232</v>
      </c>
      <c r="AN29" s="2" t="s">
        <v>296</v>
      </c>
      <c r="AO29" s="2" t="s">
        <v>297</v>
      </c>
      <c r="AP29" s="2">
        <v>11</v>
      </c>
      <c r="AQ29" s="2" t="s">
        <v>82</v>
      </c>
      <c r="AR29" s="2"/>
      <c r="AS29" s="2"/>
      <c r="AT29" s="2" t="s">
        <v>298</v>
      </c>
      <c r="AU29" s="2"/>
      <c r="AV29" s="2"/>
      <c r="AW29" s="2"/>
      <c r="AX29" s="2"/>
      <c r="AY29" s="2">
        <v>41</v>
      </c>
      <c r="AZ29" s="2" t="s">
        <v>82</v>
      </c>
      <c r="BA29" s="2">
        <v>41</v>
      </c>
      <c r="BB29" s="2" t="s">
        <v>82</v>
      </c>
      <c r="BC29" s="2">
        <v>41</v>
      </c>
      <c r="BD29" s="2" t="s">
        <v>82</v>
      </c>
      <c r="BE29" s="2">
        <v>13</v>
      </c>
      <c r="BF29" s="2" t="s">
        <v>108</v>
      </c>
      <c r="BG29" s="2" t="s">
        <v>299</v>
      </c>
      <c r="BH29" s="4">
        <v>0.54861111111111105</v>
      </c>
      <c r="BI29" s="4">
        <v>0.51736111111111105</v>
      </c>
      <c r="BJ29" s="2">
        <v>229</v>
      </c>
      <c r="BK29" s="2" t="s">
        <v>300</v>
      </c>
      <c r="BL29" s="2" t="s">
        <v>301</v>
      </c>
      <c r="BM29" s="2">
        <v>241</v>
      </c>
      <c r="BN29" s="2" t="s">
        <v>82</v>
      </c>
      <c r="BO29" s="2"/>
      <c r="BP29" s="2">
        <v>13</v>
      </c>
      <c r="BQ29" s="2" t="s">
        <v>91</v>
      </c>
      <c r="BR29" s="2"/>
      <c r="BS29" s="3">
        <v>40182</v>
      </c>
      <c r="BT29" s="4">
        <v>0.82700231481481479</v>
      </c>
    </row>
    <row r="30" spans="1:72" x14ac:dyDescent="0.25">
      <c r="A30" s="2">
        <v>40</v>
      </c>
      <c r="B30" s="2">
        <v>2010</v>
      </c>
      <c r="C30" s="2" t="s">
        <v>72</v>
      </c>
      <c r="D30" s="2" t="s">
        <v>73</v>
      </c>
      <c r="E30" s="2"/>
      <c r="F30" s="2">
        <v>2</v>
      </c>
      <c r="G30" s="2" t="s">
        <v>113</v>
      </c>
      <c r="H30" s="2">
        <v>1</v>
      </c>
      <c r="I30" s="2" t="s">
        <v>82</v>
      </c>
      <c r="J30" s="2">
        <v>300</v>
      </c>
      <c r="K30" s="2" t="s">
        <v>114</v>
      </c>
      <c r="L30" s="2" t="s">
        <v>115</v>
      </c>
      <c r="M30" s="3">
        <v>40182</v>
      </c>
      <c r="N30" s="2"/>
      <c r="O30" s="2"/>
      <c r="P30" s="2"/>
      <c r="Q30" s="2" t="str">
        <f>"007-E/10"</f>
        <v>007-E/10</v>
      </c>
      <c r="R30" s="2"/>
      <c r="S30" s="2" t="s">
        <v>302</v>
      </c>
      <c r="T30" s="2">
        <v>1</v>
      </c>
      <c r="U30" s="2" t="s">
        <v>79</v>
      </c>
      <c r="V30" s="2">
        <v>1</v>
      </c>
      <c r="W30" s="2" t="s">
        <v>80</v>
      </c>
      <c r="X30" s="2">
        <v>1</v>
      </c>
      <c r="Y30" s="2" t="s">
        <v>81</v>
      </c>
      <c r="Z30" s="2">
        <v>1</v>
      </c>
      <c r="AA30" s="2" t="s">
        <v>82</v>
      </c>
      <c r="AB30" s="2">
        <v>6</v>
      </c>
      <c r="AC30" s="2" t="s">
        <v>83</v>
      </c>
      <c r="AD30" s="3">
        <v>40182</v>
      </c>
      <c r="AE30" s="4">
        <v>0.60416666666666663</v>
      </c>
      <c r="AF30" s="3">
        <v>40182</v>
      </c>
      <c r="AG30" s="4">
        <v>0.67361111111111116</v>
      </c>
      <c r="AH30" s="2">
        <v>2</v>
      </c>
      <c r="AI30" s="2" t="s">
        <v>84</v>
      </c>
      <c r="AJ30" s="2">
        <v>9</v>
      </c>
      <c r="AK30" s="2" t="s">
        <v>103</v>
      </c>
      <c r="AL30" s="2">
        <v>14</v>
      </c>
      <c r="AM30" s="2" t="s">
        <v>216</v>
      </c>
      <c r="AN30" s="2" t="s">
        <v>303</v>
      </c>
      <c r="AO30" s="2" t="s">
        <v>304</v>
      </c>
      <c r="AP30" s="2">
        <v>11</v>
      </c>
      <c r="AQ30" s="2" t="s">
        <v>82</v>
      </c>
      <c r="AR30" s="2"/>
      <c r="AS30" s="2"/>
      <c r="AT30" s="2" t="s">
        <v>305</v>
      </c>
      <c r="AU30" s="2"/>
      <c r="AV30" s="2"/>
      <c r="AW30" s="2"/>
      <c r="AX30" s="2"/>
      <c r="AY30" s="2">
        <v>41</v>
      </c>
      <c r="AZ30" s="2" t="s">
        <v>82</v>
      </c>
      <c r="BA30" s="2">
        <v>41</v>
      </c>
      <c r="BB30" s="2" t="s">
        <v>82</v>
      </c>
      <c r="BC30" s="2">
        <v>41</v>
      </c>
      <c r="BD30" s="2" t="s">
        <v>82</v>
      </c>
      <c r="BE30" s="2">
        <v>13</v>
      </c>
      <c r="BF30" s="2" t="s">
        <v>108</v>
      </c>
      <c r="BG30" s="2" t="s">
        <v>306</v>
      </c>
      <c r="BH30" s="2"/>
      <c r="BI30" s="2"/>
      <c r="BJ30" s="2">
        <v>13</v>
      </c>
      <c r="BK30" s="2" t="s">
        <v>91</v>
      </c>
      <c r="BL30" s="2"/>
      <c r="BM30" s="2">
        <v>241</v>
      </c>
      <c r="BN30" s="2" t="s">
        <v>82</v>
      </c>
      <c r="BO30" s="2"/>
      <c r="BP30" s="2">
        <v>46</v>
      </c>
      <c r="BQ30" s="2" t="s">
        <v>307</v>
      </c>
      <c r="BR30" s="2" t="s">
        <v>308</v>
      </c>
      <c r="BS30" s="3">
        <v>40182</v>
      </c>
      <c r="BT30" s="4">
        <v>0.97016203703703707</v>
      </c>
    </row>
    <row r="31" spans="1:72" x14ac:dyDescent="0.25">
      <c r="A31" s="2">
        <v>43</v>
      </c>
      <c r="B31" s="2">
        <v>2010</v>
      </c>
      <c r="C31" s="2" t="s">
        <v>121</v>
      </c>
      <c r="D31" s="2" t="s">
        <v>122</v>
      </c>
      <c r="E31" s="2"/>
      <c r="F31" s="2">
        <v>1</v>
      </c>
      <c r="G31" s="2" t="s">
        <v>82</v>
      </c>
      <c r="H31" s="2">
        <v>1</v>
      </c>
      <c r="I31" s="2" t="s">
        <v>82</v>
      </c>
      <c r="J31" s="2">
        <v>1</v>
      </c>
      <c r="K31" s="2" t="s">
        <v>107</v>
      </c>
      <c r="L31" s="2" t="s">
        <v>107</v>
      </c>
      <c r="M31" s="3">
        <v>40183</v>
      </c>
      <c r="N31" s="2"/>
      <c r="O31" s="2"/>
      <c r="P31" s="2"/>
      <c r="Q31" s="2" t="str">
        <f>""</f>
        <v/>
      </c>
      <c r="R31" s="2"/>
      <c r="S31" s="2"/>
      <c r="T31" s="2">
        <v>2</v>
      </c>
      <c r="U31" s="2" t="s">
        <v>123</v>
      </c>
      <c r="V31" s="2">
        <v>1</v>
      </c>
      <c r="W31" s="2" t="s">
        <v>80</v>
      </c>
      <c r="X31" s="2">
        <v>1</v>
      </c>
      <c r="Y31" s="2" t="s">
        <v>81</v>
      </c>
      <c r="Z31" s="2">
        <v>1</v>
      </c>
      <c r="AA31" s="2" t="s">
        <v>82</v>
      </c>
      <c r="AB31" s="2">
        <v>9</v>
      </c>
      <c r="AC31" s="2" t="s">
        <v>124</v>
      </c>
      <c r="AD31" s="3">
        <v>40183</v>
      </c>
      <c r="AE31" s="4">
        <v>0.1423611111111111</v>
      </c>
      <c r="AF31" s="2"/>
      <c r="AG31" s="2"/>
      <c r="AH31" s="2">
        <v>3</v>
      </c>
      <c r="AI31" s="2" t="s">
        <v>214</v>
      </c>
      <c r="AJ31" s="2">
        <v>17</v>
      </c>
      <c r="AK31" s="2" t="s">
        <v>309</v>
      </c>
      <c r="AL31" s="2">
        <v>9</v>
      </c>
      <c r="AM31" s="2" t="s">
        <v>259</v>
      </c>
      <c r="AN31" s="2" t="s">
        <v>310</v>
      </c>
      <c r="AO31" s="2"/>
      <c r="AP31" s="2">
        <v>11</v>
      </c>
      <c r="AQ31" s="2" t="s">
        <v>82</v>
      </c>
      <c r="AR31" s="2"/>
      <c r="AS31" s="2"/>
      <c r="AT31" s="2" t="s">
        <v>311</v>
      </c>
      <c r="AU31" s="2"/>
      <c r="AV31" s="2"/>
      <c r="AW31" s="2"/>
      <c r="AX31" s="2"/>
      <c r="AY31" s="2">
        <v>41</v>
      </c>
      <c r="AZ31" s="2" t="s">
        <v>82</v>
      </c>
      <c r="BA31" s="2">
        <v>41</v>
      </c>
      <c r="BB31" s="2" t="s">
        <v>82</v>
      </c>
      <c r="BC31" s="2">
        <v>41</v>
      </c>
      <c r="BD31" s="2" t="s">
        <v>82</v>
      </c>
      <c r="BE31" s="2">
        <v>41</v>
      </c>
      <c r="BF31" s="2" t="s">
        <v>82</v>
      </c>
      <c r="BG31" s="2"/>
      <c r="BH31" s="4">
        <v>0.20833333333333334</v>
      </c>
      <c r="BI31" s="4">
        <v>0.15625</v>
      </c>
      <c r="BJ31" s="2">
        <v>13</v>
      </c>
      <c r="BK31" s="2" t="s">
        <v>91</v>
      </c>
      <c r="BL31" s="2" t="s">
        <v>312</v>
      </c>
      <c r="BM31" s="2">
        <v>241</v>
      </c>
      <c r="BN31" s="2" t="s">
        <v>82</v>
      </c>
      <c r="BO31" s="2"/>
      <c r="BP31" s="2">
        <v>13</v>
      </c>
      <c r="BQ31" s="2" t="s">
        <v>91</v>
      </c>
      <c r="BR31" s="2" t="s">
        <v>313</v>
      </c>
      <c r="BS31" s="3">
        <v>40183</v>
      </c>
      <c r="BT31" s="4">
        <v>0.19920138888888891</v>
      </c>
    </row>
    <row r="32" spans="1:72" x14ac:dyDescent="0.25">
      <c r="A32" s="2">
        <v>46</v>
      </c>
      <c r="B32" s="2">
        <v>2010</v>
      </c>
      <c r="C32" s="2" t="s">
        <v>171</v>
      </c>
      <c r="D32" s="2" t="s">
        <v>73</v>
      </c>
      <c r="E32" s="2"/>
      <c r="F32" s="2">
        <v>151</v>
      </c>
      <c r="G32" s="2" t="s">
        <v>314</v>
      </c>
      <c r="H32" s="2">
        <v>3</v>
      </c>
      <c r="I32" s="2" t="s">
        <v>315</v>
      </c>
      <c r="J32" s="2">
        <v>163</v>
      </c>
      <c r="K32" s="2" t="s">
        <v>316</v>
      </c>
      <c r="L32" s="2" t="s">
        <v>317</v>
      </c>
      <c r="M32" s="3">
        <v>40183</v>
      </c>
      <c r="N32" s="2"/>
      <c r="O32" s="2" t="s">
        <v>318</v>
      </c>
      <c r="P32" s="2" t="s">
        <v>319</v>
      </c>
      <c r="Q32" s="2" t="str">
        <f>""</f>
        <v/>
      </c>
      <c r="R32" s="2"/>
      <c r="S32" s="2"/>
      <c r="T32" s="2">
        <v>1</v>
      </c>
      <c r="U32" s="2" t="s">
        <v>79</v>
      </c>
      <c r="V32" s="2">
        <v>3</v>
      </c>
      <c r="W32" s="2" t="s">
        <v>225</v>
      </c>
      <c r="X32" s="2">
        <v>6</v>
      </c>
      <c r="Y32" s="2" t="s">
        <v>249</v>
      </c>
      <c r="Z32" s="2">
        <v>1</v>
      </c>
      <c r="AA32" s="2" t="s">
        <v>82</v>
      </c>
      <c r="AB32" s="2">
        <v>9</v>
      </c>
      <c r="AC32" s="2" t="s">
        <v>124</v>
      </c>
      <c r="AD32" s="3">
        <v>40182</v>
      </c>
      <c r="AE32" s="4">
        <v>0.4770833333333333</v>
      </c>
      <c r="AF32" s="2"/>
      <c r="AG32" s="2"/>
      <c r="AH32" s="2">
        <v>6</v>
      </c>
      <c r="AI32" s="2" t="s">
        <v>197</v>
      </c>
      <c r="AJ32" s="2">
        <v>47</v>
      </c>
      <c r="AK32" s="2" t="s">
        <v>250</v>
      </c>
      <c r="AL32" s="2">
        <v>23</v>
      </c>
      <c r="AM32" s="2" t="s">
        <v>251</v>
      </c>
      <c r="AN32" s="2" t="s">
        <v>320</v>
      </c>
      <c r="AO32" s="2" t="s">
        <v>321</v>
      </c>
      <c r="AP32" s="2">
        <v>12</v>
      </c>
      <c r="AQ32" s="2" t="s">
        <v>322</v>
      </c>
      <c r="AR32" s="2"/>
      <c r="AS32" s="2"/>
      <c r="AT32" s="2" t="s">
        <v>323</v>
      </c>
      <c r="AU32" s="2"/>
      <c r="AV32" s="2">
        <v>3</v>
      </c>
      <c r="AW32" s="2"/>
      <c r="AX32" s="2"/>
      <c r="AY32" s="2">
        <v>41</v>
      </c>
      <c r="AZ32" s="2" t="s">
        <v>82</v>
      </c>
      <c r="BA32" s="2">
        <v>41</v>
      </c>
      <c r="BB32" s="2" t="s">
        <v>82</v>
      </c>
      <c r="BC32" s="2">
        <v>41</v>
      </c>
      <c r="BD32" s="2" t="s">
        <v>82</v>
      </c>
      <c r="BE32" s="2">
        <v>41</v>
      </c>
      <c r="BF32" s="2" t="s">
        <v>82</v>
      </c>
      <c r="BG32" s="2"/>
      <c r="BH32" s="2"/>
      <c r="BI32" s="2"/>
      <c r="BJ32" s="2">
        <v>241</v>
      </c>
      <c r="BK32" s="2" t="s">
        <v>82</v>
      </c>
      <c r="BL32" s="2"/>
      <c r="BM32" s="2">
        <v>241</v>
      </c>
      <c r="BN32" s="2" t="s">
        <v>82</v>
      </c>
      <c r="BO32" s="2"/>
      <c r="BP32" s="2">
        <v>241</v>
      </c>
      <c r="BQ32" s="2" t="s">
        <v>82</v>
      </c>
      <c r="BR32" s="2"/>
      <c r="BS32" s="3">
        <v>40183</v>
      </c>
      <c r="BT32" s="4">
        <v>0.48619212962962965</v>
      </c>
    </row>
    <row r="33" spans="1:72" x14ac:dyDescent="0.25">
      <c r="A33" s="2">
        <v>47</v>
      </c>
      <c r="B33" s="2">
        <v>2010</v>
      </c>
      <c r="C33" s="2" t="s">
        <v>171</v>
      </c>
      <c r="D33" s="2" t="s">
        <v>73</v>
      </c>
      <c r="E33" s="2"/>
      <c r="F33" s="2">
        <v>96</v>
      </c>
      <c r="G33" s="2" t="s">
        <v>324</v>
      </c>
      <c r="H33" s="2">
        <v>22</v>
      </c>
      <c r="I33" s="2" t="s">
        <v>75</v>
      </c>
      <c r="J33" s="2">
        <v>119</v>
      </c>
      <c r="K33" s="2" t="s">
        <v>325</v>
      </c>
      <c r="L33" s="2" t="s">
        <v>326</v>
      </c>
      <c r="M33" s="3">
        <v>40183</v>
      </c>
      <c r="N33" s="2" t="s">
        <v>327</v>
      </c>
      <c r="O33" s="2" t="s">
        <v>328</v>
      </c>
      <c r="P33" s="2" t="s">
        <v>107</v>
      </c>
      <c r="Q33" s="2" t="str">
        <f>"01/2010"</f>
        <v>01/2010</v>
      </c>
      <c r="R33" s="2" t="s">
        <v>328</v>
      </c>
      <c r="S33" s="2" t="s">
        <v>329</v>
      </c>
      <c r="T33" s="2">
        <v>1</v>
      </c>
      <c r="U33" s="2" t="s">
        <v>79</v>
      </c>
      <c r="V33" s="2">
        <v>1</v>
      </c>
      <c r="W33" s="2" t="s">
        <v>80</v>
      </c>
      <c r="X33" s="2">
        <v>1</v>
      </c>
      <c r="Y33" s="2" t="s">
        <v>81</v>
      </c>
      <c r="Z33" s="2">
        <v>1</v>
      </c>
      <c r="AA33" s="2" t="s">
        <v>82</v>
      </c>
      <c r="AB33" s="2">
        <v>1</v>
      </c>
      <c r="AC33" s="2" t="s">
        <v>178</v>
      </c>
      <c r="AD33" s="3">
        <v>40182</v>
      </c>
      <c r="AE33" s="4">
        <v>0.62152777777777779</v>
      </c>
      <c r="AF33" s="2"/>
      <c r="AG33" s="2"/>
      <c r="AH33" s="2">
        <v>6</v>
      </c>
      <c r="AI33" s="2" t="s">
        <v>197</v>
      </c>
      <c r="AJ33" s="2">
        <v>50</v>
      </c>
      <c r="AK33" s="2" t="s">
        <v>330</v>
      </c>
      <c r="AL33" s="2">
        <v>11</v>
      </c>
      <c r="AM33" s="2" t="s">
        <v>137</v>
      </c>
      <c r="AN33" s="2"/>
      <c r="AO33" s="2"/>
      <c r="AP33" s="2">
        <v>11</v>
      </c>
      <c r="AQ33" s="2" t="s">
        <v>82</v>
      </c>
      <c r="AR33" s="2"/>
      <c r="AS33" s="2"/>
      <c r="AT33" s="2" t="s">
        <v>331</v>
      </c>
      <c r="AU33" s="2"/>
      <c r="AV33" s="2"/>
      <c r="AW33" s="2"/>
      <c r="AX33" s="2"/>
      <c r="AY33" s="2">
        <v>41</v>
      </c>
      <c r="AZ33" s="2" t="s">
        <v>82</v>
      </c>
      <c r="BA33" s="2">
        <v>41</v>
      </c>
      <c r="BB33" s="2" t="s">
        <v>82</v>
      </c>
      <c r="BC33" s="2">
        <v>41</v>
      </c>
      <c r="BD33" s="2" t="s">
        <v>82</v>
      </c>
      <c r="BE33" s="2">
        <v>47</v>
      </c>
      <c r="BF33" s="2" t="s">
        <v>167</v>
      </c>
      <c r="BG33" s="2">
        <v>2685</v>
      </c>
      <c r="BH33" s="4">
        <v>0.60416666666666663</v>
      </c>
      <c r="BI33" s="4">
        <v>0.63194444444444442</v>
      </c>
      <c r="BJ33" s="2">
        <v>13</v>
      </c>
      <c r="BK33" s="2" t="s">
        <v>91</v>
      </c>
      <c r="BL33" s="2" t="s">
        <v>332</v>
      </c>
      <c r="BM33" s="2">
        <v>13</v>
      </c>
      <c r="BN33" s="2" t="s">
        <v>91</v>
      </c>
      <c r="BO33" s="2" t="s">
        <v>82</v>
      </c>
      <c r="BP33" s="2">
        <v>13</v>
      </c>
      <c r="BQ33" s="2" t="s">
        <v>91</v>
      </c>
      <c r="BR33" s="2" t="s">
        <v>185</v>
      </c>
      <c r="BS33" s="3">
        <v>40183</v>
      </c>
      <c r="BT33" s="4">
        <v>0.58686342592592589</v>
      </c>
    </row>
    <row r="34" spans="1:72" x14ac:dyDescent="0.25">
      <c r="A34" s="2">
        <v>48</v>
      </c>
      <c r="B34" s="2">
        <v>2010</v>
      </c>
      <c r="C34" s="2" t="s">
        <v>147</v>
      </c>
      <c r="D34" s="2" t="s">
        <v>73</v>
      </c>
      <c r="E34" s="2"/>
      <c r="F34" s="2">
        <v>1</v>
      </c>
      <c r="G34" s="2" t="s">
        <v>82</v>
      </c>
      <c r="H34" s="2">
        <v>1</v>
      </c>
      <c r="I34" s="2" t="s">
        <v>82</v>
      </c>
      <c r="J34" s="2">
        <v>1</v>
      </c>
      <c r="K34" s="2" t="s">
        <v>107</v>
      </c>
      <c r="L34" s="2" t="s">
        <v>107</v>
      </c>
      <c r="M34" s="3">
        <v>40183</v>
      </c>
      <c r="N34" s="2" t="s">
        <v>82</v>
      </c>
      <c r="O34" s="2" t="s">
        <v>82</v>
      </c>
      <c r="P34" s="2" t="s">
        <v>82</v>
      </c>
      <c r="Q34" s="2" t="str">
        <f>"N/C"</f>
        <v>N/C</v>
      </c>
      <c r="R34" s="2" t="s">
        <v>82</v>
      </c>
      <c r="S34" s="2" t="s">
        <v>82</v>
      </c>
      <c r="T34" s="2">
        <v>2</v>
      </c>
      <c r="U34" s="2" t="s">
        <v>123</v>
      </c>
      <c r="V34" s="2">
        <v>1</v>
      </c>
      <c r="W34" s="2" t="s">
        <v>80</v>
      </c>
      <c r="X34" s="2">
        <v>12</v>
      </c>
      <c r="Y34" s="2" t="s">
        <v>148</v>
      </c>
      <c r="Z34" s="2">
        <v>1</v>
      </c>
      <c r="AA34" s="2" t="s">
        <v>82</v>
      </c>
      <c r="AB34" s="2">
        <v>9</v>
      </c>
      <c r="AC34" s="2" t="s">
        <v>124</v>
      </c>
      <c r="AD34" s="3">
        <v>40182</v>
      </c>
      <c r="AE34" s="4">
        <v>0.70833333333333337</v>
      </c>
      <c r="AF34" s="3">
        <v>40214</v>
      </c>
      <c r="AG34" s="4">
        <v>0.45833333333333331</v>
      </c>
      <c r="AH34" s="2">
        <v>2</v>
      </c>
      <c r="AI34" s="2" t="s">
        <v>84</v>
      </c>
      <c r="AJ34" s="2">
        <v>12</v>
      </c>
      <c r="AK34" s="2" t="s">
        <v>85</v>
      </c>
      <c r="AL34" s="2">
        <v>10</v>
      </c>
      <c r="AM34" s="2" t="s">
        <v>200</v>
      </c>
      <c r="AN34" s="2" t="s">
        <v>107</v>
      </c>
      <c r="AO34" s="2" t="s">
        <v>107</v>
      </c>
      <c r="AP34" s="2">
        <v>11</v>
      </c>
      <c r="AQ34" s="2" t="s">
        <v>82</v>
      </c>
      <c r="AR34" s="2" t="s">
        <v>82</v>
      </c>
      <c r="AS34" s="2" t="s">
        <v>82</v>
      </c>
      <c r="AT34" s="2" t="s">
        <v>333</v>
      </c>
      <c r="AU34" s="2"/>
      <c r="AV34" s="2"/>
      <c r="AW34" s="2"/>
      <c r="AX34" s="2"/>
      <c r="AY34" s="2">
        <v>41</v>
      </c>
      <c r="AZ34" s="2" t="s">
        <v>82</v>
      </c>
      <c r="BA34" s="2">
        <v>41</v>
      </c>
      <c r="BB34" s="2" t="s">
        <v>82</v>
      </c>
      <c r="BC34" s="2">
        <v>41</v>
      </c>
      <c r="BD34" s="2" t="s">
        <v>82</v>
      </c>
      <c r="BE34" s="2">
        <v>41</v>
      </c>
      <c r="BF34" s="2" t="s">
        <v>82</v>
      </c>
      <c r="BG34" s="2" t="s">
        <v>82</v>
      </c>
      <c r="BH34" s="2"/>
      <c r="BI34" s="2"/>
      <c r="BJ34" s="2">
        <v>241</v>
      </c>
      <c r="BK34" s="2" t="s">
        <v>82</v>
      </c>
      <c r="BL34" s="2" t="s">
        <v>82</v>
      </c>
      <c r="BM34" s="2">
        <v>241</v>
      </c>
      <c r="BN34" s="2" t="s">
        <v>82</v>
      </c>
      <c r="BO34" s="2" t="s">
        <v>82</v>
      </c>
      <c r="BP34" s="2">
        <v>241</v>
      </c>
      <c r="BQ34" s="2" t="s">
        <v>82</v>
      </c>
      <c r="BR34" s="2" t="s">
        <v>82</v>
      </c>
      <c r="BS34" s="3">
        <v>40183</v>
      </c>
      <c r="BT34" s="4">
        <v>0.59996527777777775</v>
      </c>
    </row>
    <row r="35" spans="1:72" x14ac:dyDescent="0.25">
      <c r="A35" s="2">
        <v>49</v>
      </c>
      <c r="B35" s="2">
        <v>2010</v>
      </c>
      <c r="C35" s="2" t="s">
        <v>171</v>
      </c>
      <c r="D35" s="2" t="s">
        <v>73</v>
      </c>
      <c r="E35" s="2"/>
      <c r="F35" s="2">
        <v>34</v>
      </c>
      <c r="G35" s="2" t="s">
        <v>334</v>
      </c>
      <c r="H35" s="2">
        <v>71</v>
      </c>
      <c r="I35" s="2" t="s">
        <v>335</v>
      </c>
      <c r="J35" s="2">
        <v>47</v>
      </c>
      <c r="K35" s="2" t="s">
        <v>336</v>
      </c>
      <c r="L35" s="2" t="s">
        <v>337</v>
      </c>
      <c r="M35" s="3">
        <v>40183</v>
      </c>
      <c r="N35" s="2" t="s">
        <v>338</v>
      </c>
      <c r="O35" s="2" t="s">
        <v>339</v>
      </c>
      <c r="P35" s="2" t="s">
        <v>340</v>
      </c>
      <c r="Q35" s="2" t="str">
        <f>"01/10"</f>
        <v>01/10</v>
      </c>
      <c r="R35" s="2"/>
      <c r="S35" s="2" t="s">
        <v>341</v>
      </c>
      <c r="T35" s="2">
        <v>1</v>
      </c>
      <c r="U35" s="2" t="s">
        <v>79</v>
      </c>
      <c r="V35" s="2">
        <v>1</v>
      </c>
      <c r="W35" s="2" t="s">
        <v>80</v>
      </c>
      <c r="X35" s="2">
        <v>2</v>
      </c>
      <c r="Y35" s="2" t="s">
        <v>136</v>
      </c>
      <c r="Z35" s="2">
        <v>1</v>
      </c>
      <c r="AA35" s="2" t="s">
        <v>82</v>
      </c>
      <c r="AB35" s="2">
        <v>1</v>
      </c>
      <c r="AC35" s="2" t="s">
        <v>178</v>
      </c>
      <c r="AD35" s="3">
        <v>40183</v>
      </c>
      <c r="AE35" s="4">
        <v>0.66666666666666663</v>
      </c>
      <c r="AF35" s="2"/>
      <c r="AG35" s="2"/>
      <c r="AH35" s="2">
        <v>3</v>
      </c>
      <c r="AI35" s="2" t="s">
        <v>214</v>
      </c>
      <c r="AJ35" s="2">
        <v>14</v>
      </c>
      <c r="AK35" s="2" t="s">
        <v>342</v>
      </c>
      <c r="AL35" s="2">
        <v>18</v>
      </c>
      <c r="AM35" s="2" t="s">
        <v>82</v>
      </c>
      <c r="AN35" s="2"/>
      <c r="AO35" s="2" t="s">
        <v>343</v>
      </c>
      <c r="AP35" s="2">
        <v>11</v>
      </c>
      <c r="AQ35" s="2" t="s">
        <v>82</v>
      </c>
      <c r="AR35" s="2"/>
      <c r="AS35" s="2"/>
      <c r="AT35" s="2" t="s">
        <v>344</v>
      </c>
      <c r="AU35" s="2"/>
      <c r="AV35" s="2"/>
      <c r="AW35" s="2"/>
      <c r="AX35" s="2"/>
      <c r="AY35" s="2">
        <v>41</v>
      </c>
      <c r="AZ35" s="2" t="s">
        <v>82</v>
      </c>
      <c r="BA35" s="2">
        <v>42</v>
      </c>
      <c r="BB35" s="2" t="s">
        <v>182</v>
      </c>
      <c r="BC35" s="2">
        <v>41</v>
      </c>
      <c r="BD35" s="2" t="s">
        <v>82</v>
      </c>
      <c r="BE35" s="2">
        <v>41</v>
      </c>
      <c r="BF35" s="2" t="s">
        <v>82</v>
      </c>
      <c r="BG35" s="2"/>
      <c r="BH35" s="2"/>
      <c r="BI35" s="2"/>
      <c r="BJ35" s="2">
        <v>241</v>
      </c>
      <c r="BK35" s="2" t="s">
        <v>82</v>
      </c>
      <c r="BL35" s="2"/>
      <c r="BM35" s="2">
        <v>241</v>
      </c>
      <c r="BN35" s="2" t="s">
        <v>82</v>
      </c>
      <c r="BO35" s="2"/>
      <c r="BP35" s="2">
        <v>241</v>
      </c>
      <c r="BQ35" s="2" t="s">
        <v>82</v>
      </c>
      <c r="BR35" s="2"/>
      <c r="BS35" s="3">
        <v>40183</v>
      </c>
      <c r="BT35" s="4">
        <v>0.63180555555555562</v>
      </c>
    </row>
    <row r="36" spans="1:72" x14ac:dyDescent="0.25">
      <c r="A36" s="2">
        <v>50</v>
      </c>
      <c r="B36" s="2">
        <v>2010</v>
      </c>
      <c r="C36" s="2" t="s">
        <v>93</v>
      </c>
      <c r="D36" s="2" t="s">
        <v>73</v>
      </c>
      <c r="E36" s="2"/>
      <c r="F36" s="2">
        <v>115</v>
      </c>
      <c r="G36" s="2" t="s">
        <v>345</v>
      </c>
      <c r="H36" s="2">
        <v>22</v>
      </c>
      <c r="I36" s="2" t="s">
        <v>75</v>
      </c>
      <c r="J36" s="2">
        <v>1</v>
      </c>
      <c r="K36" s="2" t="s">
        <v>107</v>
      </c>
      <c r="L36" s="2" t="s">
        <v>107</v>
      </c>
      <c r="M36" s="3">
        <v>40183</v>
      </c>
      <c r="N36" s="2" t="s">
        <v>346</v>
      </c>
      <c r="O36" s="2" t="s">
        <v>347</v>
      </c>
      <c r="P36" s="2" t="s">
        <v>82</v>
      </c>
      <c r="Q36" s="2" t="str">
        <f>"N/C"</f>
        <v>N/C</v>
      </c>
      <c r="R36" s="2" t="s">
        <v>82</v>
      </c>
      <c r="S36" s="2" t="s">
        <v>82</v>
      </c>
      <c r="T36" s="2">
        <v>1</v>
      </c>
      <c r="U36" s="2" t="s">
        <v>79</v>
      </c>
      <c r="V36" s="2">
        <v>1</v>
      </c>
      <c r="W36" s="2" t="s">
        <v>80</v>
      </c>
      <c r="X36" s="2">
        <v>1</v>
      </c>
      <c r="Y36" s="2" t="s">
        <v>81</v>
      </c>
      <c r="Z36" s="2">
        <v>1</v>
      </c>
      <c r="AA36" s="2" t="s">
        <v>82</v>
      </c>
      <c r="AB36" s="2">
        <v>2</v>
      </c>
      <c r="AC36" s="2" t="s">
        <v>102</v>
      </c>
      <c r="AD36" s="3">
        <v>40183</v>
      </c>
      <c r="AE36" s="4">
        <v>0.33888888888888885</v>
      </c>
      <c r="AF36" s="2"/>
      <c r="AG36" s="2"/>
      <c r="AH36" s="2">
        <v>6</v>
      </c>
      <c r="AI36" s="2" t="s">
        <v>197</v>
      </c>
      <c r="AJ36" s="2">
        <v>54</v>
      </c>
      <c r="AK36" s="2" t="s">
        <v>348</v>
      </c>
      <c r="AL36" s="2">
        <v>11</v>
      </c>
      <c r="AM36" s="2" t="s">
        <v>137</v>
      </c>
      <c r="AN36" s="2" t="s">
        <v>349</v>
      </c>
      <c r="AO36" s="2" t="s">
        <v>350</v>
      </c>
      <c r="AP36" s="2">
        <v>11</v>
      </c>
      <c r="AQ36" s="2" t="s">
        <v>82</v>
      </c>
      <c r="AR36" s="2" t="s">
        <v>82</v>
      </c>
      <c r="AS36" s="2" t="s">
        <v>82</v>
      </c>
      <c r="AT36" s="2" t="s">
        <v>351</v>
      </c>
      <c r="AU36" s="2"/>
      <c r="AV36" s="2"/>
      <c r="AW36" s="2"/>
      <c r="AX36" s="2"/>
      <c r="AY36" s="2">
        <v>41</v>
      </c>
      <c r="AZ36" s="2" t="s">
        <v>82</v>
      </c>
      <c r="BA36" s="2">
        <v>41</v>
      </c>
      <c r="BB36" s="2" t="s">
        <v>82</v>
      </c>
      <c r="BC36" s="2">
        <v>41</v>
      </c>
      <c r="BD36" s="2" t="s">
        <v>82</v>
      </c>
      <c r="BE36" s="2">
        <v>47</v>
      </c>
      <c r="BF36" s="2" t="s">
        <v>167</v>
      </c>
      <c r="BG36" s="2" t="s">
        <v>352</v>
      </c>
      <c r="BH36" s="4">
        <v>0.31736111111111115</v>
      </c>
      <c r="BI36" s="4">
        <v>0.35555555555555557</v>
      </c>
      <c r="BJ36" s="2">
        <v>13</v>
      </c>
      <c r="BK36" s="2" t="s">
        <v>91</v>
      </c>
      <c r="BL36" s="2" t="s">
        <v>185</v>
      </c>
      <c r="BM36" s="2">
        <v>13</v>
      </c>
      <c r="BN36" s="2" t="s">
        <v>91</v>
      </c>
      <c r="BO36" s="2" t="s">
        <v>353</v>
      </c>
      <c r="BP36" s="2">
        <v>13</v>
      </c>
      <c r="BQ36" s="2" t="s">
        <v>91</v>
      </c>
      <c r="BR36" s="2" t="s">
        <v>185</v>
      </c>
      <c r="BS36" s="3">
        <v>40183</v>
      </c>
      <c r="BT36" s="4">
        <v>0.63736111111111116</v>
      </c>
    </row>
    <row r="37" spans="1:72" x14ac:dyDescent="0.25">
      <c r="A37" s="2">
        <v>54</v>
      </c>
      <c r="B37" s="2">
        <v>2010</v>
      </c>
      <c r="C37" s="2" t="s">
        <v>121</v>
      </c>
      <c r="D37" s="2" t="s">
        <v>122</v>
      </c>
      <c r="E37" s="2"/>
      <c r="F37" s="2">
        <v>1</v>
      </c>
      <c r="G37" s="2" t="s">
        <v>82</v>
      </c>
      <c r="H37" s="2">
        <v>1</v>
      </c>
      <c r="I37" s="2" t="s">
        <v>82</v>
      </c>
      <c r="J37" s="2">
        <v>1</v>
      </c>
      <c r="K37" s="2" t="s">
        <v>107</v>
      </c>
      <c r="L37" s="2" t="s">
        <v>107</v>
      </c>
      <c r="M37" s="3">
        <v>40183</v>
      </c>
      <c r="N37" s="2"/>
      <c r="O37" s="2"/>
      <c r="P37" s="2"/>
      <c r="Q37" s="2" t="str">
        <f>""</f>
        <v/>
      </c>
      <c r="R37" s="2"/>
      <c r="S37" s="2"/>
      <c r="T37" s="2">
        <v>2</v>
      </c>
      <c r="U37" s="2" t="s">
        <v>123</v>
      </c>
      <c r="V37" s="2">
        <v>1</v>
      </c>
      <c r="W37" s="2" t="s">
        <v>80</v>
      </c>
      <c r="X37" s="2">
        <v>5</v>
      </c>
      <c r="Y37" s="2" t="s">
        <v>82</v>
      </c>
      <c r="Z37" s="2">
        <v>1</v>
      </c>
      <c r="AA37" s="2" t="s">
        <v>82</v>
      </c>
      <c r="AB37" s="2">
        <v>9</v>
      </c>
      <c r="AC37" s="2" t="s">
        <v>124</v>
      </c>
      <c r="AD37" s="3">
        <v>40183</v>
      </c>
      <c r="AE37" s="4">
        <v>0.72916666666666663</v>
      </c>
      <c r="AF37" s="2"/>
      <c r="AG37" s="2"/>
      <c r="AH37" s="2">
        <v>4</v>
      </c>
      <c r="AI37" s="2" t="s">
        <v>125</v>
      </c>
      <c r="AJ37" s="2">
        <v>33</v>
      </c>
      <c r="AK37" s="2" t="s">
        <v>126</v>
      </c>
      <c r="AL37" s="2">
        <v>18</v>
      </c>
      <c r="AM37" s="2" t="s">
        <v>82</v>
      </c>
      <c r="AN37" s="2"/>
      <c r="AO37" s="2"/>
      <c r="AP37" s="2">
        <v>11</v>
      </c>
      <c r="AQ37" s="2" t="s">
        <v>82</v>
      </c>
      <c r="AR37" s="2"/>
      <c r="AS37" s="2"/>
      <c r="AT37" s="2" t="s">
        <v>354</v>
      </c>
      <c r="AU37" s="2"/>
      <c r="AV37" s="2"/>
      <c r="AW37" s="2"/>
      <c r="AX37" s="2"/>
      <c r="AY37" s="2">
        <v>1</v>
      </c>
      <c r="AZ37" s="2" t="s">
        <v>107</v>
      </c>
      <c r="BA37" s="2">
        <v>1</v>
      </c>
      <c r="BB37" s="2" t="s">
        <v>107</v>
      </c>
      <c r="BC37" s="2">
        <v>1</v>
      </c>
      <c r="BD37" s="2" t="s">
        <v>107</v>
      </c>
      <c r="BE37" s="2">
        <v>1</v>
      </c>
      <c r="BF37" s="2" t="s">
        <v>107</v>
      </c>
      <c r="BG37" s="2"/>
      <c r="BH37" s="2"/>
      <c r="BI37" s="2"/>
      <c r="BJ37" s="2">
        <v>242</v>
      </c>
      <c r="BK37" s="2" t="s">
        <v>107</v>
      </c>
      <c r="BL37" s="2"/>
      <c r="BM37" s="2">
        <v>242</v>
      </c>
      <c r="BN37" s="2" t="s">
        <v>107</v>
      </c>
      <c r="BO37" s="2"/>
      <c r="BP37" s="2">
        <v>242</v>
      </c>
      <c r="BQ37" s="2" t="s">
        <v>107</v>
      </c>
      <c r="BR37" s="2"/>
      <c r="BS37" s="3">
        <v>40183</v>
      </c>
      <c r="BT37" s="4">
        <v>0.74597222222222215</v>
      </c>
    </row>
    <row r="38" spans="1:72" x14ac:dyDescent="0.25">
      <c r="A38" s="2">
        <v>55</v>
      </c>
      <c r="B38" s="2">
        <v>2010</v>
      </c>
      <c r="C38" s="2" t="s">
        <v>72</v>
      </c>
      <c r="D38" s="2" t="s">
        <v>73</v>
      </c>
      <c r="E38" s="2"/>
      <c r="F38" s="2">
        <v>2</v>
      </c>
      <c r="G38" s="2" t="s">
        <v>113</v>
      </c>
      <c r="H38" s="2">
        <v>1</v>
      </c>
      <c r="I38" s="2" t="s">
        <v>82</v>
      </c>
      <c r="J38" s="2">
        <v>300</v>
      </c>
      <c r="K38" s="2" t="s">
        <v>114</v>
      </c>
      <c r="L38" s="2" t="s">
        <v>115</v>
      </c>
      <c r="M38" s="3">
        <v>40183</v>
      </c>
      <c r="N38" s="2"/>
      <c r="O38" s="2"/>
      <c r="P38" s="2"/>
      <c r="Q38" s="2" t="str">
        <f>"009-E/10"</f>
        <v>009-E/10</v>
      </c>
      <c r="R38" s="2" t="s">
        <v>116</v>
      </c>
      <c r="S38" s="2" t="s">
        <v>116</v>
      </c>
      <c r="T38" s="2">
        <v>1</v>
      </c>
      <c r="U38" s="2" t="s">
        <v>79</v>
      </c>
      <c r="V38" s="2">
        <v>1</v>
      </c>
      <c r="W38" s="2" t="s">
        <v>80</v>
      </c>
      <c r="X38" s="2">
        <v>1</v>
      </c>
      <c r="Y38" s="2" t="s">
        <v>81</v>
      </c>
      <c r="Z38" s="2">
        <v>1</v>
      </c>
      <c r="AA38" s="2" t="s">
        <v>82</v>
      </c>
      <c r="AB38" s="2">
        <v>6</v>
      </c>
      <c r="AC38" s="2" t="s">
        <v>83</v>
      </c>
      <c r="AD38" s="3">
        <v>40183</v>
      </c>
      <c r="AE38" s="4">
        <v>0.375</v>
      </c>
      <c r="AF38" s="3">
        <v>40183</v>
      </c>
      <c r="AG38" s="4">
        <v>0.3888888888888889</v>
      </c>
      <c r="AH38" s="2">
        <v>2</v>
      </c>
      <c r="AI38" s="2" t="s">
        <v>84</v>
      </c>
      <c r="AJ38" s="2">
        <v>9</v>
      </c>
      <c r="AK38" s="2" t="s">
        <v>103</v>
      </c>
      <c r="AL38" s="2">
        <v>12</v>
      </c>
      <c r="AM38" s="2" t="s">
        <v>86</v>
      </c>
      <c r="AN38" s="2" t="s">
        <v>355</v>
      </c>
      <c r="AO38" s="2" t="s">
        <v>356</v>
      </c>
      <c r="AP38" s="2">
        <v>11</v>
      </c>
      <c r="AQ38" s="2" t="s">
        <v>82</v>
      </c>
      <c r="AR38" s="2"/>
      <c r="AS38" s="2"/>
      <c r="AT38" s="2" t="s">
        <v>357</v>
      </c>
      <c r="AU38" s="2"/>
      <c r="AV38" s="2"/>
      <c r="AW38" s="2"/>
      <c r="AX38" s="2"/>
      <c r="AY38" s="2">
        <v>41</v>
      </c>
      <c r="AZ38" s="2" t="s">
        <v>82</v>
      </c>
      <c r="BA38" s="2">
        <v>41</v>
      </c>
      <c r="BB38" s="2" t="s">
        <v>82</v>
      </c>
      <c r="BC38" s="2">
        <v>41</v>
      </c>
      <c r="BD38" s="2" t="s">
        <v>82</v>
      </c>
      <c r="BE38" s="2">
        <v>25</v>
      </c>
      <c r="BF38" s="2" t="s">
        <v>358</v>
      </c>
      <c r="BG38" s="2" t="s">
        <v>359</v>
      </c>
      <c r="BH38" s="4">
        <v>0.375</v>
      </c>
      <c r="BI38" s="4">
        <v>0.44791666666666669</v>
      </c>
      <c r="BJ38" s="2">
        <v>13</v>
      </c>
      <c r="BK38" s="2" t="s">
        <v>91</v>
      </c>
      <c r="BL38" s="2" t="s">
        <v>360</v>
      </c>
      <c r="BM38" s="2">
        <v>241</v>
      </c>
      <c r="BN38" s="2" t="s">
        <v>82</v>
      </c>
      <c r="BO38" s="2"/>
      <c r="BP38" s="2">
        <v>33</v>
      </c>
      <c r="BQ38" s="2" t="s">
        <v>361</v>
      </c>
      <c r="BR38" s="2"/>
      <c r="BS38" s="3">
        <v>40183</v>
      </c>
      <c r="BT38" s="4">
        <v>0.74888888888888883</v>
      </c>
    </row>
    <row r="39" spans="1:72" x14ac:dyDescent="0.25">
      <c r="A39" s="2">
        <v>59</v>
      </c>
      <c r="B39" s="2">
        <v>2010</v>
      </c>
      <c r="C39" s="2" t="s">
        <v>147</v>
      </c>
      <c r="D39" s="2" t="s">
        <v>73</v>
      </c>
      <c r="E39" s="2"/>
      <c r="F39" s="2">
        <v>1</v>
      </c>
      <c r="G39" s="2" t="s">
        <v>82</v>
      </c>
      <c r="H39" s="2">
        <v>1</v>
      </c>
      <c r="I39" s="2" t="s">
        <v>82</v>
      </c>
      <c r="J39" s="2">
        <v>1</v>
      </c>
      <c r="K39" s="2" t="s">
        <v>107</v>
      </c>
      <c r="L39" s="2" t="s">
        <v>107</v>
      </c>
      <c r="M39" s="3">
        <v>40183</v>
      </c>
      <c r="N39" s="2"/>
      <c r="O39" s="2"/>
      <c r="P39" s="2"/>
      <c r="Q39" s="2" t="str">
        <f>""</f>
        <v/>
      </c>
      <c r="R39" s="2"/>
      <c r="S39" s="2"/>
      <c r="T39" s="2">
        <v>2</v>
      </c>
      <c r="U39" s="2" t="s">
        <v>123</v>
      </c>
      <c r="V39" s="2">
        <v>1</v>
      </c>
      <c r="W39" s="2" t="s">
        <v>80</v>
      </c>
      <c r="X39" s="2">
        <v>12</v>
      </c>
      <c r="Y39" s="2" t="s">
        <v>148</v>
      </c>
      <c r="Z39" s="2">
        <v>1</v>
      </c>
      <c r="AA39" s="2" t="s">
        <v>82</v>
      </c>
      <c r="AB39" s="2">
        <v>9</v>
      </c>
      <c r="AC39" s="2" t="s">
        <v>124</v>
      </c>
      <c r="AD39" s="3">
        <v>40181</v>
      </c>
      <c r="AE39" s="4">
        <v>0.4375</v>
      </c>
      <c r="AF39" s="3">
        <v>40183</v>
      </c>
      <c r="AG39" s="4">
        <v>0.71875</v>
      </c>
      <c r="AH39" s="2">
        <v>2</v>
      </c>
      <c r="AI39" s="2" t="s">
        <v>84</v>
      </c>
      <c r="AJ39" s="2">
        <v>12</v>
      </c>
      <c r="AK39" s="2" t="s">
        <v>85</v>
      </c>
      <c r="AL39" s="2">
        <v>19</v>
      </c>
      <c r="AM39" s="2" t="s">
        <v>107</v>
      </c>
      <c r="AN39" s="2" t="s">
        <v>107</v>
      </c>
      <c r="AO39" s="2" t="s">
        <v>362</v>
      </c>
      <c r="AP39" s="2">
        <v>11</v>
      </c>
      <c r="AQ39" s="2" t="s">
        <v>82</v>
      </c>
      <c r="AR39" s="2"/>
      <c r="AS39" s="2"/>
      <c r="AT39" s="2" t="s">
        <v>363</v>
      </c>
      <c r="AU39" s="2"/>
      <c r="AV39" s="2"/>
      <c r="AW39" s="2"/>
      <c r="AX39" s="2"/>
      <c r="AY39" s="2">
        <v>41</v>
      </c>
      <c r="AZ39" s="2" t="s">
        <v>82</v>
      </c>
      <c r="BA39" s="2">
        <v>41</v>
      </c>
      <c r="BB39" s="2" t="s">
        <v>82</v>
      </c>
      <c r="BC39" s="2">
        <v>41</v>
      </c>
      <c r="BD39" s="2" t="s">
        <v>82</v>
      </c>
      <c r="BE39" s="2">
        <v>41</v>
      </c>
      <c r="BF39" s="2" t="s">
        <v>82</v>
      </c>
      <c r="BG39" s="2"/>
      <c r="BH39" s="2"/>
      <c r="BI39" s="2"/>
      <c r="BJ39" s="2">
        <v>241</v>
      </c>
      <c r="BK39" s="2" t="s">
        <v>82</v>
      </c>
      <c r="BL39" s="2"/>
      <c r="BM39" s="2">
        <v>241</v>
      </c>
      <c r="BN39" s="2" t="s">
        <v>82</v>
      </c>
      <c r="BO39" s="2"/>
      <c r="BP39" s="2">
        <v>241</v>
      </c>
      <c r="BQ39" s="2" t="s">
        <v>82</v>
      </c>
      <c r="BR39" s="2"/>
      <c r="BS39" s="3">
        <v>40183</v>
      </c>
      <c r="BT39" s="4">
        <v>0.8064930555555555</v>
      </c>
    </row>
    <row r="40" spans="1:72" x14ac:dyDescent="0.25">
      <c r="A40" s="2">
        <v>60</v>
      </c>
      <c r="B40" s="2">
        <v>2010</v>
      </c>
      <c r="C40" s="2" t="s">
        <v>72</v>
      </c>
      <c r="D40" s="2" t="s">
        <v>73</v>
      </c>
      <c r="E40" s="2"/>
      <c r="F40" s="2">
        <v>9</v>
      </c>
      <c r="G40" s="2" t="s">
        <v>364</v>
      </c>
      <c r="H40" s="2">
        <v>2</v>
      </c>
      <c r="I40" s="2" t="s">
        <v>267</v>
      </c>
      <c r="J40" s="2">
        <v>18</v>
      </c>
      <c r="K40" s="2" t="s">
        <v>365</v>
      </c>
      <c r="L40" s="2" t="s">
        <v>115</v>
      </c>
      <c r="M40" s="3">
        <v>40183</v>
      </c>
      <c r="N40" s="2" t="s">
        <v>366</v>
      </c>
      <c r="O40" s="2" t="s">
        <v>107</v>
      </c>
      <c r="P40" s="2" t="s">
        <v>107</v>
      </c>
      <c r="Q40" s="2" t="str">
        <f>"002/10"</f>
        <v>002/10</v>
      </c>
      <c r="R40" s="2" t="s">
        <v>107</v>
      </c>
      <c r="S40" s="2" t="s">
        <v>116</v>
      </c>
      <c r="T40" s="2">
        <v>1</v>
      </c>
      <c r="U40" s="2" t="s">
        <v>79</v>
      </c>
      <c r="V40" s="2">
        <v>1</v>
      </c>
      <c r="W40" s="2" t="s">
        <v>80</v>
      </c>
      <c r="X40" s="2">
        <v>5</v>
      </c>
      <c r="Y40" s="2" t="s">
        <v>82</v>
      </c>
      <c r="Z40" s="2">
        <v>1</v>
      </c>
      <c r="AA40" s="2" t="s">
        <v>82</v>
      </c>
      <c r="AB40" s="2">
        <v>6</v>
      </c>
      <c r="AC40" s="2" t="s">
        <v>83</v>
      </c>
      <c r="AD40" s="3">
        <v>40170</v>
      </c>
      <c r="AE40" s="2"/>
      <c r="AF40" s="3">
        <v>40183</v>
      </c>
      <c r="AG40" s="4">
        <v>0.80208333333333337</v>
      </c>
      <c r="AH40" s="2">
        <v>3</v>
      </c>
      <c r="AI40" s="2" t="s">
        <v>214</v>
      </c>
      <c r="AJ40" s="2">
        <v>24</v>
      </c>
      <c r="AK40" s="2" t="s">
        <v>215</v>
      </c>
      <c r="AL40" s="2">
        <v>10</v>
      </c>
      <c r="AM40" s="2" t="s">
        <v>200</v>
      </c>
      <c r="AN40" s="2" t="s">
        <v>367</v>
      </c>
      <c r="AO40" s="2" t="s">
        <v>368</v>
      </c>
      <c r="AP40" s="2">
        <v>11</v>
      </c>
      <c r="AQ40" s="2" t="s">
        <v>82</v>
      </c>
      <c r="AR40" s="2" t="s">
        <v>369</v>
      </c>
      <c r="AS40" s="2" t="s">
        <v>369</v>
      </c>
      <c r="AT40" s="2" t="s">
        <v>370</v>
      </c>
      <c r="AU40" s="2"/>
      <c r="AV40" s="2"/>
      <c r="AW40" s="2"/>
      <c r="AX40" s="2"/>
      <c r="AY40" s="2">
        <v>54</v>
      </c>
      <c r="AZ40" s="2" t="s">
        <v>369</v>
      </c>
      <c r="BA40" s="2">
        <v>54</v>
      </c>
      <c r="BB40" s="2" t="s">
        <v>369</v>
      </c>
      <c r="BC40" s="2">
        <v>4</v>
      </c>
      <c r="BD40" s="2" t="s">
        <v>90</v>
      </c>
      <c r="BE40" s="2">
        <v>4</v>
      </c>
      <c r="BF40" s="2" t="s">
        <v>90</v>
      </c>
      <c r="BG40" s="2">
        <v>4216</v>
      </c>
      <c r="BH40" s="4">
        <v>0.81944444444444453</v>
      </c>
      <c r="BI40" s="4">
        <v>0.77083333333333337</v>
      </c>
      <c r="BJ40" s="2">
        <v>13</v>
      </c>
      <c r="BK40" s="2" t="s">
        <v>91</v>
      </c>
      <c r="BL40" s="2" t="s">
        <v>371</v>
      </c>
      <c r="BM40" s="2">
        <v>241</v>
      </c>
      <c r="BN40" s="2" t="s">
        <v>82</v>
      </c>
      <c r="BO40" s="2"/>
      <c r="BP40" s="2">
        <v>13</v>
      </c>
      <c r="BQ40" s="2" t="s">
        <v>91</v>
      </c>
      <c r="BR40" s="2" t="s">
        <v>372</v>
      </c>
      <c r="BS40" s="3">
        <v>40183</v>
      </c>
      <c r="BT40" s="4">
        <v>0.82700231481481479</v>
      </c>
    </row>
    <row r="41" spans="1:72" x14ac:dyDescent="0.25">
      <c r="A41" s="2">
        <v>62</v>
      </c>
      <c r="B41" s="2">
        <v>2010</v>
      </c>
      <c r="C41" s="2" t="s">
        <v>171</v>
      </c>
      <c r="D41" s="2" t="s">
        <v>73</v>
      </c>
      <c r="E41" s="2"/>
      <c r="F41" s="2">
        <v>34</v>
      </c>
      <c r="G41" s="2" t="s">
        <v>334</v>
      </c>
      <c r="H41" s="2">
        <v>71</v>
      </c>
      <c r="I41" s="2" t="s">
        <v>335</v>
      </c>
      <c r="J41" s="2">
        <v>47</v>
      </c>
      <c r="K41" s="2" t="s">
        <v>336</v>
      </c>
      <c r="L41" s="2" t="s">
        <v>337</v>
      </c>
      <c r="M41" s="3">
        <v>40183</v>
      </c>
      <c r="N41" s="2" t="s">
        <v>338</v>
      </c>
      <c r="O41" s="2" t="s">
        <v>373</v>
      </c>
      <c r="P41" s="2" t="s">
        <v>374</v>
      </c>
      <c r="Q41" s="2" t="str">
        <f>"01/10"</f>
        <v>01/10</v>
      </c>
      <c r="R41" s="2"/>
      <c r="S41" s="2" t="s">
        <v>373</v>
      </c>
      <c r="T41" s="2">
        <v>1</v>
      </c>
      <c r="U41" s="2" t="s">
        <v>79</v>
      </c>
      <c r="V41" s="2">
        <v>1</v>
      </c>
      <c r="W41" s="2" t="s">
        <v>80</v>
      </c>
      <c r="X41" s="2">
        <v>8</v>
      </c>
      <c r="Y41" s="2" t="s">
        <v>375</v>
      </c>
      <c r="Z41" s="2">
        <v>1</v>
      </c>
      <c r="AA41" s="2" t="s">
        <v>82</v>
      </c>
      <c r="AB41" s="2">
        <v>1</v>
      </c>
      <c r="AC41" s="2" t="s">
        <v>178</v>
      </c>
      <c r="AD41" s="3">
        <v>40183</v>
      </c>
      <c r="AE41" s="4">
        <v>0.66666666666666663</v>
      </c>
      <c r="AF41" s="2"/>
      <c r="AG41" s="2"/>
      <c r="AH41" s="2">
        <v>3</v>
      </c>
      <c r="AI41" s="2" t="s">
        <v>214</v>
      </c>
      <c r="AJ41" s="2">
        <v>17</v>
      </c>
      <c r="AK41" s="2" t="s">
        <v>309</v>
      </c>
      <c r="AL41" s="2">
        <v>23</v>
      </c>
      <c r="AM41" s="2" t="s">
        <v>251</v>
      </c>
      <c r="AN41" s="2" t="s">
        <v>343</v>
      </c>
      <c r="AO41" s="2"/>
      <c r="AP41" s="2">
        <v>11</v>
      </c>
      <c r="AQ41" s="2" t="s">
        <v>82</v>
      </c>
      <c r="AR41" s="2"/>
      <c r="AS41" s="2"/>
      <c r="AT41" s="2" t="s">
        <v>376</v>
      </c>
      <c r="AU41" s="2">
        <v>1</v>
      </c>
      <c r="AV41" s="2"/>
      <c r="AW41" s="2"/>
      <c r="AX41" s="2"/>
      <c r="AY41" s="2">
        <v>41</v>
      </c>
      <c r="AZ41" s="2" t="s">
        <v>82</v>
      </c>
      <c r="BA41" s="2">
        <v>42</v>
      </c>
      <c r="BB41" s="2" t="s">
        <v>182</v>
      </c>
      <c r="BC41" s="2">
        <v>41</v>
      </c>
      <c r="BD41" s="2" t="s">
        <v>82</v>
      </c>
      <c r="BE41" s="2">
        <v>41</v>
      </c>
      <c r="BF41" s="2" t="s">
        <v>82</v>
      </c>
      <c r="BG41" s="2"/>
      <c r="BH41" s="2"/>
      <c r="BI41" s="2"/>
      <c r="BJ41" s="2">
        <v>241</v>
      </c>
      <c r="BK41" s="2" t="s">
        <v>82</v>
      </c>
      <c r="BL41" s="2"/>
      <c r="BM41" s="2">
        <v>241</v>
      </c>
      <c r="BN41" s="2" t="s">
        <v>82</v>
      </c>
      <c r="BO41" s="2"/>
      <c r="BP41" s="2">
        <v>241</v>
      </c>
      <c r="BQ41" s="2" t="s">
        <v>82</v>
      </c>
      <c r="BR41" s="2"/>
      <c r="BS41" s="3">
        <v>40183</v>
      </c>
      <c r="BT41" s="4">
        <v>0.89881944444444439</v>
      </c>
    </row>
    <row r="42" spans="1:72" x14ac:dyDescent="0.25">
      <c r="A42" s="2">
        <v>63</v>
      </c>
      <c r="B42" s="2">
        <v>2010</v>
      </c>
      <c r="C42" s="2" t="s">
        <v>377</v>
      </c>
      <c r="D42" s="2" t="s">
        <v>73</v>
      </c>
      <c r="E42" s="2"/>
      <c r="F42" s="2">
        <v>426</v>
      </c>
      <c r="G42" s="2" t="s">
        <v>378</v>
      </c>
      <c r="H42" s="2">
        <v>22</v>
      </c>
      <c r="I42" s="2" t="s">
        <v>75</v>
      </c>
      <c r="J42" s="2">
        <v>311</v>
      </c>
      <c r="K42" s="2" t="s">
        <v>379</v>
      </c>
      <c r="L42" s="2" t="s">
        <v>380</v>
      </c>
      <c r="M42" s="3">
        <v>40183</v>
      </c>
      <c r="N42" s="2" t="s">
        <v>381</v>
      </c>
      <c r="O42" s="2" t="s">
        <v>107</v>
      </c>
      <c r="P42" s="2" t="s">
        <v>107</v>
      </c>
      <c r="Q42" s="2" t="str">
        <f>"001-E/10"</f>
        <v>001-E/10</v>
      </c>
      <c r="R42" s="2" t="s">
        <v>382</v>
      </c>
      <c r="S42" s="2" t="s">
        <v>382</v>
      </c>
      <c r="T42" s="2">
        <v>1</v>
      </c>
      <c r="U42" s="2" t="s">
        <v>79</v>
      </c>
      <c r="V42" s="2">
        <v>1</v>
      </c>
      <c r="W42" s="2" t="s">
        <v>80</v>
      </c>
      <c r="X42" s="2">
        <v>1</v>
      </c>
      <c r="Y42" s="2" t="s">
        <v>81</v>
      </c>
      <c r="Z42" s="2">
        <v>1</v>
      </c>
      <c r="AA42" s="2" t="s">
        <v>82</v>
      </c>
      <c r="AB42" s="2">
        <v>9</v>
      </c>
      <c r="AC42" s="2" t="s">
        <v>124</v>
      </c>
      <c r="AD42" s="3">
        <v>40183</v>
      </c>
      <c r="AE42" s="4">
        <v>0.61805555555555558</v>
      </c>
      <c r="AF42" s="3">
        <v>40183</v>
      </c>
      <c r="AG42" s="4">
        <v>0.65972222222222221</v>
      </c>
      <c r="AH42" s="2">
        <v>2</v>
      </c>
      <c r="AI42" s="2" t="s">
        <v>84</v>
      </c>
      <c r="AJ42" s="2">
        <v>9</v>
      </c>
      <c r="AK42" s="2" t="s">
        <v>103</v>
      </c>
      <c r="AL42" s="2">
        <v>12</v>
      </c>
      <c r="AM42" s="2" t="s">
        <v>86</v>
      </c>
      <c r="AN42" s="2" t="s">
        <v>383</v>
      </c>
      <c r="AO42" s="2" t="s">
        <v>107</v>
      </c>
      <c r="AP42" s="2">
        <v>11</v>
      </c>
      <c r="AQ42" s="2" t="s">
        <v>82</v>
      </c>
      <c r="AR42" s="2"/>
      <c r="AS42" s="2"/>
      <c r="AT42" s="2" t="s">
        <v>384</v>
      </c>
      <c r="AU42" s="2"/>
      <c r="AV42" s="2"/>
      <c r="AW42" s="2"/>
      <c r="AX42" s="2"/>
      <c r="AY42" s="2">
        <v>41</v>
      </c>
      <c r="AZ42" s="2" t="s">
        <v>82</v>
      </c>
      <c r="BA42" s="2">
        <v>41</v>
      </c>
      <c r="BB42" s="2" t="s">
        <v>82</v>
      </c>
      <c r="BC42" s="2">
        <v>41</v>
      </c>
      <c r="BD42" s="2" t="s">
        <v>82</v>
      </c>
      <c r="BE42" s="2">
        <v>41</v>
      </c>
      <c r="BF42" s="2" t="s">
        <v>82</v>
      </c>
      <c r="BG42" s="2"/>
      <c r="BH42" s="2"/>
      <c r="BI42" s="2"/>
      <c r="BJ42" s="2">
        <v>241</v>
      </c>
      <c r="BK42" s="2" t="s">
        <v>82</v>
      </c>
      <c r="BL42" s="2"/>
      <c r="BM42" s="2">
        <v>241</v>
      </c>
      <c r="BN42" s="2" t="s">
        <v>82</v>
      </c>
      <c r="BO42" s="2"/>
      <c r="BP42" s="2">
        <v>241</v>
      </c>
      <c r="BQ42" s="2" t="s">
        <v>82</v>
      </c>
      <c r="BR42" s="2"/>
      <c r="BS42" s="3">
        <v>40183</v>
      </c>
      <c r="BT42" s="4">
        <v>0.94012731481481471</v>
      </c>
    </row>
    <row r="43" spans="1:72" x14ac:dyDescent="0.25">
      <c r="A43" s="2">
        <v>64</v>
      </c>
      <c r="B43" s="2">
        <v>2010</v>
      </c>
      <c r="C43" s="2" t="s">
        <v>385</v>
      </c>
      <c r="D43" s="2" t="s">
        <v>122</v>
      </c>
      <c r="E43" s="2"/>
      <c r="F43" s="2">
        <v>34</v>
      </c>
      <c r="G43" s="2" t="s">
        <v>334</v>
      </c>
      <c r="H43" s="2">
        <v>71</v>
      </c>
      <c r="I43" s="2" t="s">
        <v>335</v>
      </c>
      <c r="J43" s="2">
        <v>47</v>
      </c>
      <c r="K43" s="2" t="s">
        <v>336</v>
      </c>
      <c r="L43" s="2" t="s">
        <v>337</v>
      </c>
      <c r="M43" s="3">
        <v>40183</v>
      </c>
      <c r="N43" s="2" t="s">
        <v>338</v>
      </c>
      <c r="O43" s="2" t="s">
        <v>386</v>
      </c>
      <c r="P43" s="2" t="s">
        <v>387</v>
      </c>
      <c r="Q43" s="2" t="str">
        <f>"01/10"</f>
        <v>01/10</v>
      </c>
      <c r="R43" s="2"/>
      <c r="S43" s="2" t="s">
        <v>386</v>
      </c>
      <c r="T43" s="2">
        <v>1</v>
      </c>
      <c r="U43" s="2" t="s">
        <v>79</v>
      </c>
      <c r="V43" s="2">
        <v>1</v>
      </c>
      <c r="W43" s="2" t="s">
        <v>80</v>
      </c>
      <c r="X43" s="2">
        <v>2</v>
      </c>
      <c r="Y43" s="2" t="s">
        <v>136</v>
      </c>
      <c r="Z43" s="2">
        <v>1</v>
      </c>
      <c r="AA43" s="2" t="s">
        <v>82</v>
      </c>
      <c r="AB43" s="2">
        <v>9</v>
      </c>
      <c r="AC43" s="2" t="s">
        <v>124</v>
      </c>
      <c r="AD43" s="3">
        <v>40183</v>
      </c>
      <c r="AE43" s="4">
        <v>0.88541666666666663</v>
      </c>
      <c r="AF43" s="2"/>
      <c r="AG43" s="2"/>
      <c r="AH43" s="2">
        <v>3</v>
      </c>
      <c r="AI43" s="2" t="s">
        <v>214</v>
      </c>
      <c r="AJ43" s="2">
        <v>17</v>
      </c>
      <c r="AK43" s="2" t="s">
        <v>309</v>
      </c>
      <c r="AL43" s="2">
        <v>18</v>
      </c>
      <c r="AM43" s="2" t="s">
        <v>82</v>
      </c>
      <c r="AN43" s="2" t="s">
        <v>388</v>
      </c>
      <c r="AO43" s="2"/>
      <c r="AP43" s="2">
        <v>11</v>
      </c>
      <c r="AQ43" s="2" t="s">
        <v>82</v>
      </c>
      <c r="AR43" s="2"/>
      <c r="AS43" s="2"/>
      <c r="AT43" s="2" t="s">
        <v>389</v>
      </c>
      <c r="AU43" s="2">
        <v>1</v>
      </c>
      <c r="AV43" s="2"/>
      <c r="AW43" s="2"/>
      <c r="AX43" s="2"/>
      <c r="AY43" s="2">
        <v>41</v>
      </c>
      <c r="AZ43" s="2" t="s">
        <v>82</v>
      </c>
      <c r="BA43" s="2">
        <v>42</v>
      </c>
      <c r="BB43" s="2" t="s">
        <v>182</v>
      </c>
      <c r="BC43" s="2">
        <v>41</v>
      </c>
      <c r="BD43" s="2" t="s">
        <v>82</v>
      </c>
      <c r="BE43" s="2">
        <v>41</v>
      </c>
      <c r="BF43" s="2" t="s">
        <v>82</v>
      </c>
      <c r="BG43" s="2"/>
      <c r="BH43" s="2"/>
      <c r="BI43" s="2"/>
      <c r="BJ43" s="2">
        <v>241</v>
      </c>
      <c r="BK43" s="2" t="s">
        <v>82</v>
      </c>
      <c r="BL43" s="2"/>
      <c r="BM43" s="2">
        <v>241</v>
      </c>
      <c r="BN43" s="2" t="s">
        <v>82</v>
      </c>
      <c r="BO43" s="2"/>
      <c r="BP43" s="2">
        <v>241</v>
      </c>
      <c r="BQ43" s="2" t="s">
        <v>82</v>
      </c>
      <c r="BR43" s="2"/>
      <c r="BS43" s="3">
        <v>40183</v>
      </c>
      <c r="BT43" s="4">
        <v>0.94593749999999999</v>
      </c>
    </row>
    <row r="44" spans="1:72" x14ac:dyDescent="0.25">
      <c r="A44" s="2">
        <v>65</v>
      </c>
      <c r="B44" s="2">
        <v>2010</v>
      </c>
      <c r="C44" s="2" t="s">
        <v>171</v>
      </c>
      <c r="D44" s="2" t="s">
        <v>73</v>
      </c>
      <c r="E44" s="2"/>
      <c r="F44" s="2">
        <v>394</v>
      </c>
      <c r="G44" s="2" t="s">
        <v>172</v>
      </c>
      <c r="H44" s="2">
        <v>4</v>
      </c>
      <c r="I44" s="2" t="s">
        <v>173</v>
      </c>
      <c r="J44" s="2">
        <v>241</v>
      </c>
      <c r="K44" s="2" t="s">
        <v>174</v>
      </c>
      <c r="L44" s="2" t="s">
        <v>175</v>
      </c>
      <c r="M44" s="3">
        <v>40184</v>
      </c>
      <c r="N44" s="2" t="s">
        <v>390</v>
      </c>
      <c r="O44" s="2"/>
      <c r="P44" s="2"/>
      <c r="Q44" s="2" t="str">
        <f>"010-E/09"</f>
        <v>010-E/09</v>
      </c>
      <c r="R44" s="2" t="s">
        <v>391</v>
      </c>
      <c r="S44" s="2" t="s">
        <v>391</v>
      </c>
      <c r="T44" s="2">
        <v>1</v>
      </c>
      <c r="U44" s="2" t="s">
        <v>79</v>
      </c>
      <c r="V44" s="2">
        <v>1</v>
      </c>
      <c r="W44" s="2" t="s">
        <v>80</v>
      </c>
      <c r="X44" s="2">
        <v>1</v>
      </c>
      <c r="Y44" s="2" t="s">
        <v>81</v>
      </c>
      <c r="Z44" s="2">
        <v>1</v>
      </c>
      <c r="AA44" s="2" t="s">
        <v>82</v>
      </c>
      <c r="AB44" s="2">
        <v>1</v>
      </c>
      <c r="AC44" s="2" t="s">
        <v>178</v>
      </c>
      <c r="AD44" s="3">
        <v>40184</v>
      </c>
      <c r="AE44" s="4">
        <v>8.3333333333333329E-2</v>
      </c>
      <c r="AF44" s="2"/>
      <c r="AG44" s="2"/>
      <c r="AH44" s="2">
        <v>2</v>
      </c>
      <c r="AI44" s="2" t="s">
        <v>84</v>
      </c>
      <c r="AJ44" s="2">
        <v>9</v>
      </c>
      <c r="AK44" s="2" t="s">
        <v>103</v>
      </c>
      <c r="AL44" s="2">
        <v>16</v>
      </c>
      <c r="AM44" s="2" t="s">
        <v>392</v>
      </c>
      <c r="AN44" s="2" t="s">
        <v>393</v>
      </c>
      <c r="AO44" s="2"/>
      <c r="AP44" s="2">
        <v>6</v>
      </c>
      <c r="AQ44" s="2" t="s">
        <v>394</v>
      </c>
      <c r="AR44" s="2" t="s">
        <v>395</v>
      </c>
      <c r="AS44" s="2" t="s">
        <v>396</v>
      </c>
      <c r="AT44" s="2" t="s">
        <v>397</v>
      </c>
      <c r="AU44" s="2"/>
      <c r="AV44" s="2"/>
      <c r="AW44" s="2"/>
      <c r="AX44" s="2"/>
      <c r="AY44" s="2">
        <v>41</v>
      </c>
      <c r="AZ44" s="2" t="s">
        <v>82</v>
      </c>
      <c r="BA44" s="2">
        <v>41</v>
      </c>
      <c r="BB44" s="2" t="s">
        <v>82</v>
      </c>
      <c r="BC44" s="2">
        <v>41</v>
      </c>
      <c r="BD44" s="2" t="s">
        <v>82</v>
      </c>
      <c r="BE44" s="2">
        <v>31</v>
      </c>
      <c r="BF44" s="2" t="s">
        <v>398</v>
      </c>
      <c r="BG44" s="2" t="s">
        <v>399</v>
      </c>
      <c r="BH44" s="2"/>
      <c r="BI44" s="4">
        <v>0.75</v>
      </c>
      <c r="BJ44" s="2">
        <v>13</v>
      </c>
      <c r="BK44" s="2" t="s">
        <v>91</v>
      </c>
      <c r="BL44" s="2" t="s">
        <v>185</v>
      </c>
      <c r="BM44" s="2">
        <v>73</v>
      </c>
      <c r="BN44" s="2" t="s">
        <v>186</v>
      </c>
      <c r="BO44" s="2" t="s">
        <v>400</v>
      </c>
      <c r="BP44" s="2">
        <v>166</v>
      </c>
      <c r="BQ44" s="2" t="s">
        <v>401</v>
      </c>
      <c r="BR44" s="2" t="s">
        <v>402</v>
      </c>
      <c r="BS44" s="3">
        <v>40184</v>
      </c>
      <c r="BT44" s="4">
        <v>0.17193287037037039</v>
      </c>
    </row>
    <row r="45" spans="1:72" x14ac:dyDescent="0.25">
      <c r="A45" s="2">
        <v>69</v>
      </c>
      <c r="B45" s="2">
        <v>2010</v>
      </c>
      <c r="C45" s="2" t="s">
        <v>171</v>
      </c>
      <c r="D45" s="2" t="s">
        <v>73</v>
      </c>
      <c r="E45" s="2"/>
      <c r="F45" s="2">
        <v>177</v>
      </c>
      <c r="G45" s="2" t="s">
        <v>403</v>
      </c>
      <c r="H45" s="2">
        <v>3</v>
      </c>
      <c r="I45" s="2" t="s">
        <v>315</v>
      </c>
      <c r="J45" s="2">
        <v>163</v>
      </c>
      <c r="K45" s="2" t="s">
        <v>316</v>
      </c>
      <c r="L45" s="2" t="s">
        <v>317</v>
      </c>
      <c r="M45" s="3">
        <v>40184</v>
      </c>
      <c r="N45" s="2" t="s">
        <v>404</v>
      </c>
      <c r="O45" s="2" t="s">
        <v>318</v>
      </c>
      <c r="P45" s="2" t="s">
        <v>405</v>
      </c>
      <c r="Q45" s="2" t="str">
        <f>""</f>
        <v/>
      </c>
      <c r="R45" s="2"/>
      <c r="S45" s="2"/>
      <c r="T45" s="2">
        <v>1</v>
      </c>
      <c r="U45" s="2" t="s">
        <v>79</v>
      </c>
      <c r="V45" s="2">
        <v>1</v>
      </c>
      <c r="W45" s="2" t="s">
        <v>80</v>
      </c>
      <c r="X45" s="2">
        <v>1</v>
      </c>
      <c r="Y45" s="2" t="s">
        <v>81</v>
      </c>
      <c r="Z45" s="2">
        <v>1</v>
      </c>
      <c r="AA45" s="2" t="s">
        <v>82</v>
      </c>
      <c r="AB45" s="2">
        <v>1</v>
      </c>
      <c r="AC45" s="2" t="s">
        <v>178</v>
      </c>
      <c r="AD45" s="3">
        <v>40182</v>
      </c>
      <c r="AE45" s="4">
        <v>0.43541666666666662</v>
      </c>
      <c r="AF45" s="2"/>
      <c r="AG45" s="2"/>
      <c r="AH45" s="2">
        <v>6</v>
      </c>
      <c r="AI45" s="2" t="s">
        <v>197</v>
      </c>
      <c r="AJ45" s="2">
        <v>58</v>
      </c>
      <c r="AK45" s="2" t="s">
        <v>406</v>
      </c>
      <c r="AL45" s="2">
        <v>19</v>
      </c>
      <c r="AM45" s="2" t="s">
        <v>107</v>
      </c>
      <c r="AN45" s="2"/>
      <c r="AO45" s="2" t="s">
        <v>407</v>
      </c>
      <c r="AP45" s="2">
        <v>11</v>
      </c>
      <c r="AQ45" s="2" t="s">
        <v>82</v>
      </c>
      <c r="AR45" s="2"/>
      <c r="AS45" s="2"/>
      <c r="AT45" s="2" t="s">
        <v>408</v>
      </c>
      <c r="AU45" s="2"/>
      <c r="AV45" s="2">
        <v>3</v>
      </c>
      <c r="AW45" s="2"/>
      <c r="AX45" s="2"/>
      <c r="AY45" s="2">
        <v>41</v>
      </c>
      <c r="AZ45" s="2" t="s">
        <v>82</v>
      </c>
      <c r="BA45" s="2">
        <v>41</v>
      </c>
      <c r="BB45" s="2" t="s">
        <v>82</v>
      </c>
      <c r="BC45" s="2">
        <v>41</v>
      </c>
      <c r="BD45" s="2" t="s">
        <v>82</v>
      </c>
      <c r="BE45" s="2">
        <v>41</v>
      </c>
      <c r="BF45" s="2" t="s">
        <v>82</v>
      </c>
      <c r="BG45" s="2"/>
      <c r="BH45" s="2"/>
      <c r="BI45" s="2"/>
      <c r="BJ45" s="2">
        <v>241</v>
      </c>
      <c r="BK45" s="2" t="s">
        <v>82</v>
      </c>
      <c r="BL45" s="2"/>
      <c r="BM45" s="2">
        <v>241</v>
      </c>
      <c r="BN45" s="2" t="s">
        <v>82</v>
      </c>
      <c r="BO45" s="2"/>
      <c r="BP45" s="2">
        <v>241</v>
      </c>
      <c r="BQ45" s="2" t="s">
        <v>82</v>
      </c>
      <c r="BR45" s="2"/>
      <c r="BS45" s="3">
        <v>40184</v>
      </c>
      <c r="BT45" s="4">
        <v>0.49329861111111112</v>
      </c>
    </row>
    <row r="46" spans="1:72" x14ac:dyDescent="0.25">
      <c r="A46" s="2">
        <v>71</v>
      </c>
      <c r="B46" s="2">
        <v>2010</v>
      </c>
      <c r="C46" s="2" t="s">
        <v>409</v>
      </c>
      <c r="D46" s="2" t="s">
        <v>122</v>
      </c>
      <c r="E46" s="2"/>
      <c r="F46" s="2">
        <v>151</v>
      </c>
      <c r="G46" s="2" t="s">
        <v>314</v>
      </c>
      <c r="H46" s="2">
        <v>3</v>
      </c>
      <c r="I46" s="2" t="s">
        <v>315</v>
      </c>
      <c r="J46" s="2">
        <v>163</v>
      </c>
      <c r="K46" s="2" t="s">
        <v>316</v>
      </c>
      <c r="L46" s="2" t="s">
        <v>317</v>
      </c>
      <c r="M46" s="3">
        <v>40184</v>
      </c>
      <c r="N46" s="2" t="s">
        <v>410</v>
      </c>
      <c r="O46" s="2" t="s">
        <v>318</v>
      </c>
      <c r="P46" s="2" t="s">
        <v>411</v>
      </c>
      <c r="Q46" s="2" t="str">
        <f>""</f>
        <v/>
      </c>
      <c r="R46" s="2"/>
      <c r="S46" s="2"/>
      <c r="T46" s="2">
        <v>1</v>
      </c>
      <c r="U46" s="2" t="s">
        <v>79</v>
      </c>
      <c r="V46" s="2">
        <v>1</v>
      </c>
      <c r="W46" s="2" t="s">
        <v>80</v>
      </c>
      <c r="X46" s="2">
        <v>1</v>
      </c>
      <c r="Y46" s="2" t="s">
        <v>81</v>
      </c>
      <c r="Z46" s="2">
        <v>1</v>
      </c>
      <c r="AA46" s="2" t="s">
        <v>82</v>
      </c>
      <c r="AB46" s="2">
        <v>9</v>
      </c>
      <c r="AC46" s="2" t="s">
        <v>124</v>
      </c>
      <c r="AD46" s="3">
        <v>40183</v>
      </c>
      <c r="AE46" s="2"/>
      <c r="AF46" s="2"/>
      <c r="AG46" s="2"/>
      <c r="AH46" s="2">
        <v>6</v>
      </c>
      <c r="AI46" s="2" t="s">
        <v>197</v>
      </c>
      <c r="AJ46" s="2">
        <v>58</v>
      </c>
      <c r="AK46" s="2" t="s">
        <v>406</v>
      </c>
      <c r="AL46" s="2">
        <v>18</v>
      </c>
      <c r="AM46" s="2" t="s">
        <v>82</v>
      </c>
      <c r="AN46" s="2"/>
      <c r="AO46" s="2" t="s">
        <v>412</v>
      </c>
      <c r="AP46" s="2">
        <v>11</v>
      </c>
      <c r="AQ46" s="2" t="s">
        <v>82</v>
      </c>
      <c r="AR46" s="2"/>
      <c r="AS46" s="2"/>
      <c r="AT46" s="2" t="s">
        <v>413</v>
      </c>
      <c r="AU46" s="2"/>
      <c r="AV46" s="2"/>
      <c r="AW46" s="2"/>
      <c r="AX46" s="2"/>
      <c r="AY46" s="2">
        <v>41</v>
      </c>
      <c r="AZ46" s="2" t="s">
        <v>82</v>
      </c>
      <c r="BA46" s="2">
        <v>41</v>
      </c>
      <c r="BB46" s="2" t="s">
        <v>82</v>
      </c>
      <c r="BC46" s="2">
        <v>41</v>
      </c>
      <c r="BD46" s="2" t="s">
        <v>82</v>
      </c>
      <c r="BE46" s="2">
        <v>41</v>
      </c>
      <c r="BF46" s="2" t="s">
        <v>82</v>
      </c>
      <c r="BG46" s="2"/>
      <c r="BH46" s="2"/>
      <c r="BI46" s="2"/>
      <c r="BJ46" s="2">
        <v>241</v>
      </c>
      <c r="BK46" s="2" t="s">
        <v>82</v>
      </c>
      <c r="BL46" s="2"/>
      <c r="BM46" s="2">
        <v>241</v>
      </c>
      <c r="BN46" s="2" t="s">
        <v>82</v>
      </c>
      <c r="BO46" s="2"/>
      <c r="BP46" s="2">
        <v>241</v>
      </c>
      <c r="BQ46" s="2" t="s">
        <v>82</v>
      </c>
      <c r="BR46" s="2"/>
      <c r="BS46" s="3">
        <v>40184</v>
      </c>
      <c r="BT46" s="4">
        <v>0.54915509259259265</v>
      </c>
    </row>
    <row r="47" spans="1:72" x14ac:dyDescent="0.25">
      <c r="A47" s="2">
        <v>74</v>
      </c>
      <c r="B47" s="2">
        <v>2010</v>
      </c>
      <c r="C47" s="2" t="s">
        <v>414</v>
      </c>
      <c r="D47" s="2" t="s">
        <v>122</v>
      </c>
      <c r="E47" s="2"/>
      <c r="F47" s="2">
        <v>1</v>
      </c>
      <c r="G47" s="2" t="s">
        <v>82</v>
      </c>
      <c r="H47" s="2">
        <v>1</v>
      </c>
      <c r="I47" s="2" t="s">
        <v>82</v>
      </c>
      <c r="J47" s="2">
        <v>1</v>
      </c>
      <c r="K47" s="2" t="s">
        <v>107</v>
      </c>
      <c r="L47" s="2" t="s">
        <v>107</v>
      </c>
      <c r="M47" s="3">
        <v>40184</v>
      </c>
      <c r="N47" s="2" t="s">
        <v>82</v>
      </c>
      <c r="O47" s="2"/>
      <c r="P47" s="2" t="s">
        <v>82</v>
      </c>
      <c r="Q47" s="2" t="str">
        <f>""</f>
        <v/>
      </c>
      <c r="R47" s="2"/>
      <c r="S47" s="2"/>
      <c r="T47" s="2">
        <v>1</v>
      </c>
      <c r="U47" s="2" t="s">
        <v>79</v>
      </c>
      <c r="V47" s="2">
        <v>1</v>
      </c>
      <c r="W47" s="2" t="s">
        <v>80</v>
      </c>
      <c r="X47" s="2">
        <v>5</v>
      </c>
      <c r="Y47" s="2" t="s">
        <v>82</v>
      </c>
      <c r="Z47" s="2">
        <v>1</v>
      </c>
      <c r="AA47" s="2" t="s">
        <v>82</v>
      </c>
      <c r="AB47" s="2">
        <v>9</v>
      </c>
      <c r="AC47" s="2" t="s">
        <v>124</v>
      </c>
      <c r="AD47" s="3">
        <v>40184</v>
      </c>
      <c r="AE47" s="4">
        <v>0.56597222222222221</v>
      </c>
      <c r="AF47" s="2"/>
      <c r="AG47" s="2"/>
      <c r="AH47" s="2">
        <v>6</v>
      </c>
      <c r="AI47" s="2" t="s">
        <v>197</v>
      </c>
      <c r="AJ47" s="2">
        <v>50</v>
      </c>
      <c r="AK47" s="2" t="s">
        <v>330</v>
      </c>
      <c r="AL47" s="2">
        <v>18</v>
      </c>
      <c r="AM47" s="2" t="s">
        <v>82</v>
      </c>
      <c r="AN47" s="2" t="s">
        <v>415</v>
      </c>
      <c r="AO47" s="2" t="s">
        <v>416</v>
      </c>
      <c r="AP47" s="2">
        <v>11</v>
      </c>
      <c r="AQ47" s="2" t="s">
        <v>82</v>
      </c>
      <c r="AR47" s="2"/>
      <c r="AS47" s="2"/>
      <c r="AT47" s="2" t="s">
        <v>417</v>
      </c>
      <c r="AU47" s="2"/>
      <c r="AV47" s="2"/>
      <c r="AW47" s="2"/>
      <c r="AX47" s="2"/>
      <c r="AY47" s="2">
        <v>1</v>
      </c>
      <c r="AZ47" s="2" t="s">
        <v>107</v>
      </c>
      <c r="BA47" s="2">
        <v>1</v>
      </c>
      <c r="BB47" s="2" t="s">
        <v>107</v>
      </c>
      <c r="BC47" s="2">
        <v>1</v>
      </c>
      <c r="BD47" s="2" t="s">
        <v>107</v>
      </c>
      <c r="BE47" s="2">
        <v>1</v>
      </c>
      <c r="BF47" s="2" t="s">
        <v>107</v>
      </c>
      <c r="BG47" s="2"/>
      <c r="BH47" s="2"/>
      <c r="BI47" s="2"/>
      <c r="BJ47" s="2">
        <v>242</v>
      </c>
      <c r="BK47" s="2" t="s">
        <v>107</v>
      </c>
      <c r="BL47" s="2"/>
      <c r="BM47" s="2">
        <v>242</v>
      </c>
      <c r="BN47" s="2" t="s">
        <v>107</v>
      </c>
      <c r="BO47" s="2"/>
      <c r="BP47" s="2">
        <v>242</v>
      </c>
      <c r="BQ47" s="2" t="s">
        <v>107</v>
      </c>
      <c r="BR47" s="2"/>
      <c r="BS47" s="3">
        <v>40184</v>
      </c>
      <c r="BT47" s="4">
        <v>0.6151388888888889</v>
      </c>
    </row>
    <row r="48" spans="1:72" x14ac:dyDescent="0.25">
      <c r="A48" s="2">
        <v>75</v>
      </c>
      <c r="B48" s="2">
        <v>2010</v>
      </c>
      <c r="C48" s="2" t="s">
        <v>418</v>
      </c>
      <c r="D48" s="2" t="s">
        <v>122</v>
      </c>
      <c r="E48" s="2"/>
      <c r="F48" s="2">
        <v>1</v>
      </c>
      <c r="G48" s="2" t="s">
        <v>82</v>
      </c>
      <c r="H48" s="2">
        <v>1</v>
      </c>
      <c r="I48" s="2" t="s">
        <v>82</v>
      </c>
      <c r="J48" s="2">
        <v>1</v>
      </c>
      <c r="K48" s="2" t="s">
        <v>107</v>
      </c>
      <c r="L48" s="2" t="s">
        <v>107</v>
      </c>
      <c r="M48" s="3">
        <v>40184</v>
      </c>
      <c r="N48" s="2"/>
      <c r="O48" s="2"/>
      <c r="P48" s="2"/>
      <c r="Q48" s="2" t="str">
        <f>""</f>
        <v/>
      </c>
      <c r="R48" s="2"/>
      <c r="S48" s="2"/>
      <c r="T48" s="2">
        <v>2</v>
      </c>
      <c r="U48" s="2" t="s">
        <v>123</v>
      </c>
      <c r="V48" s="2">
        <v>1</v>
      </c>
      <c r="W48" s="2" t="s">
        <v>80</v>
      </c>
      <c r="X48" s="2">
        <v>5</v>
      </c>
      <c r="Y48" s="2" t="s">
        <v>82</v>
      </c>
      <c r="Z48" s="2">
        <v>1</v>
      </c>
      <c r="AA48" s="2" t="s">
        <v>82</v>
      </c>
      <c r="AB48" s="2">
        <v>9</v>
      </c>
      <c r="AC48" s="2" t="s">
        <v>124</v>
      </c>
      <c r="AD48" s="3">
        <v>40184</v>
      </c>
      <c r="AE48" s="4">
        <v>0.61111111111111105</v>
      </c>
      <c r="AF48" s="2"/>
      <c r="AG48" s="2"/>
      <c r="AH48" s="2">
        <v>4</v>
      </c>
      <c r="AI48" s="2" t="s">
        <v>125</v>
      </c>
      <c r="AJ48" s="2">
        <v>32</v>
      </c>
      <c r="AK48" s="2" t="s">
        <v>419</v>
      </c>
      <c r="AL48" s="2">
        <v>18</v>
      </c>
      <c r="AM48" s="2" t="s">
        <v>82</v>
      </c>
      <c r="AN48" s="2"/>
      <c r="AO48" s="2"/>
      <c r="AP48" s="2">
        <v>11</v>
      </c>
      <c r="AQ48" s="2" t="s">
        <v>82</v>
      </c>
      <c r="AR48" s="2"/>
      <c r="AS48" s="2"/>
      <c r="AT48" s="2" t="s">
        <v>420</v>
      </c>
      <c r="AU48" s="2"/>
      <c r="AV48" s="2"/>
      <c r="AW48" s="2"/>
      <c r="AX48" s="2"/>
      <c r="AY48" s="2">
        <v>41</v>
      </c>
      <c r="AZ48" s="2" t="s">
        <v>82</v>
      </c>
      <c r="BA48" s="2">
        <v>41</v>
      </c>
      <c r="BB48" s="2" t="s">
        <v>82</v>
      </c>
      <c r="BC48" s="2">
        <v>41</v>
      </c>
      <c r="BD48" s="2" t="s">
        <v>82</v>
      </c>
      <c r="BE48" s="2">
        <v>13</v>
      </c>
      <c r="BF48" s="2" t="s">
        <v>108</v>
      </c>
      <c r="BG48" s="2">
        <v>1440</v>
      </c>
      <c r="BH48" s="2"/>
      <c r="BI48" s="2"/>
      <c r="BJ48" s="2">
        <v>13</v>
      </c>
      <c r="BK48" s="2" t="s">
        <v>91</v>
      </c>
      <c r="BL48" s="2" t="s">
        <v>421</v>
      </c>
      <c r="BM48" s="2">
        <v>13</v>
      </c>
      <c r="BN48" s="2" t="s">
        <v>91</v>
      </c>
      <c r="BO48" s="2"/>
      <c r="BP48" s="2">
        <v>13</v>
      </c>
      <c r="BQ48" s="2" t="s">
        <v>91</v>
      </c>
      <c r="BR48" s="2"/>
      <c r="BS48" s="3">
        <v>40184</v>
      </c>
      <c r="BT48" s="4">
        <v>0.64307870370370368</v>
      </c>
    </row>
    <row r="49" spans="1:72" x14ac:dyDescent="0.25">
      <c r="A49" s="2">
        <v>76</v>
      </c>
      <c r="B49" s="2">
        <v>2010</v>
      </c>
      <c r="C49" s="2" t="s">
        <v>171</v>
      </c>
      <c r="D49" s="2" t="s">
        <v>73</v>
      </c>
      <c r="E49" s="2"/>
      <c r="F49" s="2">
        <v>9</v>
      </c>
      <c r="G49" s="2" t="s">
        <v>364</v>
      </c>
      <c r="H49" s="2">
        <v>23</v>
      </c>
      <c r="I49" s="2" t="s">
        <v>422</v>
      </c>
      <c r="J49" s="2">
        <v>18</v>
      </c>
      <c r="K49" s="2" t="s">
        <v>365</v>
      </c>
      <c r="L49" s="2" t="s">
        <v>115</v>
      </c>
      <c r="M49" s="3">
        <v>40184</v>
      </c>
      <c r="N49" s="2" t="s">
        <v>423</v>
      </c>
      <c r="O49" s="2" t="s">
        <v>424</v>
      </c>
      <c r="P49" s="2" t="s">
        <v>425</v>
      </c>
      <c r="Q49" s="2" t="str">
        <f>"01/10"</f>
        <v>01/10</v>
      </c>
      <c r="R49" s="2" t="s">
        <v>82</v>
      </c>
      <c r="S49" s="2" t="s">
        <v>426</v>
      </c>
      <c r="T49" s="2">
        <v>1</v>
      </c>
      <c r="U49" s="2" t="s">
        <v>79</v>
      </c>
      <c r="V49" s="2">
        <v>3</v>
      </c>
      <c r="W49" s="2" t="s">
        <v>225</v>
      </c>
      <c r="X49" s="2">
        <v>6</v>
      </c>
      <c r="Y49" s="2" t="s">
        <v>249</v>
      </c>
      <c r="Z49" s="2">
        <v>1</v>
      </c>
      <c r="AA49" s="2" t="s">
        <v>82</v>
      </c>
      <c r="AB49" s="2">
        <v>9</v>
      </c>
      <c r="AC49" s="2" t="s">
        <v>124</v>
      </c>
      <c r="AD49" s="2"/>
      <c r="AE49" s="2"/>
      <c r="AF49" s="2"/>
      <c r="AG49" s="2"/>
      <c r="AH49" s="2">
        <v>3</v>
      </c>
      <c r="AI49" s="2" t="s">
        <v>214</v>
      </c>
      <c r="AJ49" s="2">
        <v>14</v>
      </c>
      <c r="AK49" s="2" t="s">
        <v>342</v>
      </c>
      <c r="AL49" s="2">
        <v>23</v>
      </c>
      <c r="AM49" s="2" t="s">
        <v>251</v>
      </c>
      <c r="AN49" s="2" t="s">
        <v>427</v>
      </c>
      <c r="AO49" s="2" t="s">
        <v>428</v>
      </c>
      <c r="AP49" s="2">
        <v>11</v>
      </c>
      <c r="AQ49" s="2" t="s">
        <v>82</v>
      </c>
      <c r="AR49" s="2"/>
      <c r="AS49" s="2"/>
      <c r="AT49" s="2" t="s">
        <v>429</v>
      </c>
      <c r="AU49" s="2"/>
      <c r="AV49" s="2"/>
      <c r="AW49" s="2"/>
      <c r="AX49" s="2"/>
      <c r="AY49" s="2">
        <v>1</v>
      </c>
      <c r="AZ49" s="2" t="s">
        <v>107</v>
      </c>
      <c r="BA49" s="2">
        <v>1</v>
      </c>
      <c r="BB49" s="2" t="s">
        <v>107</v>
      </c>
      <c r="BC49" s="2">
        <v>1</v>
      </c>
      <c r="BD49" s="2" t="s">
        <v>107</v>
      </c>
      <c r="BE49" s="2">
        <v>1</v>
      </c>
      <c r="BF49" s="2" t="s">
        <v>107</v>
      </c>
      <c r="BG49" s="2"/>
      <c r="BH49" s="2"/>
      <c r="BI49" s="2"/>
      <c r="BJ49" s="2">
        <v>242</v>
      </c>
      <c r="BK49" s="2" t="s">
        <v>107</v>
      </c>
      <c r="BL49" s="2"/>
      <c r="BM49" s="2">
        <v>242</v>
      </c>
      <c r="BN49" s="2" t="s">
        <v>107</v>
      </c>
      <c r="BO49" s="2"/>
      <c r="BP49" s="2">
        <v>242</v>
      </c>
      <c r="BQ49" s="2" t="s">
        <v>107</v>
      </c>
      <c r="BR49" s="2"/>
      <c r="BS49" s="3">
        <v>40184</v>
      </c>
      <c r="BT49" s="4">
        <v>0.65298611111111116</v>
      </c>
    </row>
    <row r="50" spans="1:72" x14ac:dyDescent="0.25">
      <c r="A50" s="2">
        <v>77</v>
      </c>
      <c r="B50" s="2">
        <v>2010</v>
      </c>
      <c r="C50" s="2" t="s">
        <v>72</v>
      </c>
      <c r="D50" s="2" t="s">
        <v>73</v>
      </c>
      <c r="E50" s="2"/>
      <c r="F50" s="2">
        <v>38</v>
      </c>
      <c r="G50" s="2" t="s">
        <v>430</v>
      </c>
      <c r="H50" s="2">
        <v>1</v>
      </c>
      <c r="I50" s="2" t="s">
        <v>82</v>
      </c>
      <c r="J50" s="2">
        <v>57</v>
      </c>
      <c r="K50" s="2" t="s">
        <v>431</v>
      </c>
      <c r="L50" s="2" t="s">
        <v>432</v>
      </c>
      <c r="M50" s="3">
        <v>40184</v>
      </c>
      <c r="N50" s="2"/>
      <c r="O50" s="2" t="s">
        <v>156</v>
      </c>
      <c r="P50" s="2" t="s">
        <v>107</v>
      </c>
      <c r="Q50" s="2" t="str">
        <f>"02/10"</f>
        <v>02/10</v>
      </c>
      <c r="R50" s="2" t="s">
        <v>156</v>
      </c>
      <c r="S50" s="2" t="s">
        <v>156</v>
      </c>
      <c r="T50" s="2">
        <v>1</v>
      </c>
      <c r="U50" s="2" t="s">
        <v>79</v>
      </c>
      <c r="V50" s="2">
        <v>1</v>
      </c>
      <c r="W50" s="2" t="s">
        <v>80</v>
      </c>
      <c r="X50" s="2">
        <v>5</v>
      </c>
      <c r="Y50" s="2" t="s">
        <v>82</v>
      </c>
      <c r="Z50" s="2">
        <v>3</v>
      </c>
      <c r="AA50" s="2" t="s">
        <v>257</v>
      </c>
      <c r="AB50" s="2">
        <v>6</v>
      </c>
      <c r="AC50" s="2" t="s">
        <v>83</v>
      </c>
      <c r="AD50" s="3">
        <v>40183</v>
      </c>
      <c r="AE50" s="4">
        <v>0.60416666666666663</v>
      </c>
      <c r="AF50" s="3">
        <v>40184</v>
      </c>
      <c r="AG50" s="4">
        <v>0.49652777777777773</v>
      </c>
      <c r="AH50" s="2">
        <v>3</v>
      </c>
      <c r="AI50" s="2" t="s">
        <v>214</v>
      </c>
      <c r="AJ50" s="2">
        <v>17</v>
      </c>
      <c r="AK50" s="2" t="s">
        <v>309</v>
      </c>
      <c r="AL50" s="2">
        <v>9</v>
      </c>
      <c r="AM50" s="2" t="s">
        <v>259</v>
      </c>
      <c r="AN50" s="2" t="s">
        <v>433</v>
      </c>
      <c r="AO50" s="2" t="s">
        <v>434</v>
      </c>
      <c r="AP50" s="2">
        <v>11</v>
      </c>
      <c r="AQ50" s="2" t="s">
        <v>82</v>
      </c>
      <c r="AR50" s="2"/>
      <c r="AS50" s="2"/>
      <c r="AT50" s="2" t="s">
        <v>435</v>
      </c>
      <c r="AU50" s="2"/>
      <c r="AV50" s="2"/>
      <c r="AW50" s="2"/>
      <c r="AX50" s="2"/>
      <c r="AY50" s="2">
        <v>44</v>
      </c>
      <c r="AZ50" s="2" t="s">
        <v>262</v>
      </c>
      <c r="BA50" s="2">
        <v>44</v>
      </c>
      <c r="BB50" s="2" t="s">
        <v>262</v>
      </c>
      <c r="BC50" s="2">
        <v>44</v>
      </c>
      <c r="BD50" s="2" t="s">
        <v>262</v>
      </c>
      <c r="BE50" s="2">
        <v>41</v>
      </c>
      <c r="BF50" s="2" t="s">
        <v>82</v>
      </c>
      <c r="BG50" s="2"/>
      <c r="BH50" s="2"/>
      <c r="BI50" s="2"/>
      <c r="BJ50" s="2">
        <v>241</v>
      </c>
      <c r="BK50" s="2" t="s">
        <v>82</v>
      </c>
      <c r="BL50" s="2"/>
      <c r="BM50" s="2">
        <v>241</v>
      </c>
      <c r="BN50" s="2" t="s">
        <v>82</v>
      </c>
      <c r="BO50" s="2"/>
      <c r="BP50" s="2">
        <v>241</v>
      </c>
      <c r="BQ50" s="2" t="s">
        <v>82</v>
      </c>
      <c r="BR50" s="2"/>
      <c r="BS50" s="3">
        <v>40184</v>
      </c>
      <c r="BT50" s="4">
        <v>0.66934027777777771</v>
      </c>
    </row>
    <row r="51" spans="1:72" x14ac:dyDescent="0.25">
      <c r="A51" s="2">
        <v>78</v>
      </c>
      <c r="B51" s="2">
        <v>2010</v>
      </c>
      <c r="C51" s="2" t="s">
        <v>409</v>
      </c>
      <c r="D51" s="2" t="s">
        <v>122</v>
      </c>
      <c r="E51" s="2"/>
      <c r="F51" s="2">
        <v>1</v>
      </c>
      <c r="G51" s="2" t="s">
        <v>82</v>
      </c>
      <c r="H51" s="2">
        <v>1</v>
      </c>
      <c r="I51" s="2" t="s">
        <v>82</v>
      </c>
      <c r="J51" s="2">
        <v>1</v>
      </c>
      <c r="K51" s="2" t="s">
        <v>107</v>
      </c>
      <c r="L51" s="2" t="s">
        <v>107</v>
      </c>
      <c r="M51" s="3">
        <v>40184</v>
      </c>
      <c r="N51" s="2"/>
      <c r="O51" s="2"/>
      <c r="P51" s="2"/>
      <c r="Q51" s="2" t="str">
        <f>""</f>
        <v/>
      </c>
      <c r="R51" s="2"/>
      <c r="S51" s="2"/>
      <c r="T51" s="2">
        <v>1</v>
      </c>
      <c r="U51" s="2" t="s">
        <v>79</v>
      </c>
      <c r="V51" s="2">
        <v>1</v>
      </c>
      <c r="W51" s="2" t="s">
        <v>80</v>
      </c>
      <c r="X51" s="2">
        <v>5</v>
      </c>
      <c r="Y51" s="2" t="s">
        <v>82</v>
      </c>
      <c r="Z51" s="2">
        <v>1</v>
      </c>
      <c r="AA51" s="2" t="s">
        <v>82</v>
      </c>
      <c r="AB51" s="2">
        <v>9</v>
      </c>
      <c r="AC51" s="2" t="s">
        <v>124</v>
      </c>
      <c r="AD51" s="3">
        <v>40184</v>
      </c>
      <c r="AE51" s="4">
        <v>0.60416666666666663</v>
      </c>
      <c r="AF51" s="2"/>
      <c r="AG51" s="2"/>
      <c r="AH51" s="2">
        <v>2</v>
      </c>
      <c r="AI51" s="2" t="s">
        <v>84</v>
      </c>
      <c r="AJ51" s="2">
        <v>8</v>
      </c>
      <c r="AK51" s="2" t="s">
        <v>436</v>
      </c>
      <c r="AL51" s="2">
        <v>18</v>
      </c>
      <c r="AM51" s="2" t="s">
        <v>82</v>
      </c>
      <c r="AN51" s="2"/>
      <c r="AO51" s="2"/>
      <c r="AP51" s="2">
        <v>11</v>
      </c>
      <c r="AQ51" s="2" t="s">
        <v>82</v>
      </c>
      <c r="AR51" s="2"/>
      <c r="AS51" s="2"/>
      <c r="AT51" s="2" t="s">
        <v>437</v>
      </c>
      <c r="AU51" s="2"/>
      <c r="AV51" s="2"/>
      <c r="AW51" s="2"/>
      <c r="AX51" s="2"/>
      <c r="AY51" s="2">
        <v>1</v>
      </c>
      <c r="AZ51" s="2" t="s">
        <v>107</v>
      </c>
      <c r="BA51" s="2">
        <v>1</v>
      </c>
      <c r="BB51" s="2" t="s">
        <v>107</v>
      </c>
      <c r="BC51" s="2">
        <v>1</v>
      </c>
      <c r="BD51" s="2" t="s">
        <v>107</v>
      </c>
      <c r="BE51" s="2">
        <v>1</v>
      </c>
      <c r="BF51" s="2" t="s">
        <v>107</v>
      </c>
      <c r="BG51" s="2"/>
      <c r="BH51" s="2"/>
      <c r="BI51" s="2"/>
      <c r="BJ51" s="2">
        <v>242</v>
      </c>
      <c r="BK51" s="2" t="s">
        <v>107</v>
      </c>
      <c r="BL51" s="2"/>
      <c r="BM51" s="2">
        <v>242</v>
      </c>
      <c r="BN51" s="2" t="s">
        <v>107</v>
      </c>
      <c r="BO51" s="2"/>
      <c r="BP51" s="2">
        <v>242</v>
      </c>
      <c r="BQ51" s="2" t="s">
        <v>107</v>
      </c>
      <c r="BR51" s="2"/>
      <c r="BS51" s="3">
        <v>40184</v>
      </c>
      <c r="BT51" s="4">
        <v>0.67347222222222225</v>
      </c>
    </row>
    <row r="52" spans="1:72" x14ac:dyDescent="0.25">
      <c r="A52" s="2">
        <v>79</v>
      </c>
      <c r="B52" s="2">
        <v>2010</v>
      </c>
      <c r="C52" s="2" t="s">
        <v>72</v>
      </c>
      <c r="D52" s="2" t="s">
        <v>73</v>
      </c>
      <c r="E52" s="2"/>
      <c r="F52" s="2">
        <v>2</v>
      </c>
      <c r="G52" s="2" t="s">
        <v>113</v>
      </c>
      <c r="H52" s="2">
        <v>22</v>
      </c>
      <c r="I52" s="2" t="s">
        <v>75</v>
      </c>
      <c r="J52" s="2">
        <v>300</v>
      </c>
      <c r="K52" s="2" t="s">
        <v>114</v>
      </c>
      <c r="L52" s="2" t="s">
        <v>115</v>
      </c>
      <c r="M52" s="3">
        <v>40184</v>
      </c>
      <c r="N52" s="2"/>
      <c r="O52" s="2"/>
      <c r="P52" s="2"/>
      <c r="Q52" s="2" t="str">
        <f>"011-E/10"</f>
        <v>011-E/10</v>
      </c>
      <c r="R52" s="2"/>
      <c r="S52" s="2" t="s">
        <v>116</v>
      </c>
      <c r="T52" s="2">
        <v>1</v>
      </c>
      <c r="U52" s="2" t="s">
        <v>79</v>
      </c>
      <c r="V52" s="2">
        <v>1</v>
      </c>
      <c r="W52" s="2" t="s">
        <v>80</v>
      </c>
      <c r="X52" s="2">
        <v>5</v>
      </c>
      <c r="Y52" s="2" t="s">
        <v>82</v>
      </c>
      <c r="Z52" s="2">
        <v>1</v>
      </c>
      <c r="AA52" s="2" t="s">
        <v>82</v>
      </c>
      <c r="AB52" s="2">
        <v>6</v>
      </c>
      <c r="AC52" s="2" t="s">
        <v>83</v>
      </c>
      <c r="AD52" s="3">
        <v>40184</v>
      </c>
      <c r="AE52" s="4">
        <v>0.47222222222222227</v>
      </c>
      <c r="AF52" s="3">
        <v>40184</v>
      </c>
      <c r="AG52" s="4">
        <v>0.5</v>
      </c>
      <c r="AH52" s="2">
        <v>2</v>
      </c>
      <c r="AI52" s="2" t="s">
        <v>84</v>
      </c>
      <c r="AJ52" s="2">
        <v>9</v>
      </c>
      <c r="AK52" s="2" t="s">
        <v>103</v>
      </c>
      <c r="AL52" s="2">
        <v>12</v>
      </c>
      <c r="AM52" s="2" t="s">
        <v>86</v>
      </c>
      <c r="AN52" s="2" t="s">
        <v>438</v>
      </c>
      <c r="AO52" s="2"/>
      <c r="AP52" s="2">
        <v>11</v>
      </c>
      <c r="AQ52" s="2" t="s">
        <v>82</v>
      </c>
      <c r="AR52" s="2"/>
      <c r="AS52" s="2"/>
      <c r="AT52" s="2" t="s">
        <v>439</v>
      </c>
      <c r="AU52" s="2"/>
      <c r="AV52" s="2"/>
      <c r="AW52" s="2"/>
      <c r="AX52" s="2"/>
      <c r="AY52" s="2">
        <v>41</v>
      </c>
      <c r="AZ52" s="2" t="s">
        <v>82</v>
      </c>
      <c r="BA52" s="2">
        <v>41</v>
      </c>
      <c r="BB52" s="2" t="s">
        <v>82</v>
      </c>
      <c r="BC52" s="2">
        <v>41</v>
      </c>
      <c r="BD52" s="2" t="s">
        <v>82</v>
      </c>
      <c r="BE52" s="2">
        <v>39</v>
      </c>
      <c r="BF52" s="2" t="s">
        <v>440</v>
      </c>
      <c r="BG52" s="2"/>
      <c r="BH52" s="2"/>
      <c r="BI52" s="2"/>
      <c r="BJ52" s="2">
        <v>13</v>
      </c>
      <c r="BK52" s="2" t="s">
        <v>91</v>
      </c>
      <c r="BL52" s="2"/>
      <c r="BM52" s="2">
        <v>241</v>
      </c>
      <c r="BN52" s="2" t="s">
        <v>82</v>
      </c>
      <c r="BO52" s="2"/>
      <c r="BP52" s="2">
        <v>33</v>
      </c>
      <c r="BQ52" s="2" t="s">
        <v>361</v>
      </c>
      <c r="BR52" s="2"/>
      <c r="BS52" s="3">
        <v>40184</v>
      </c>
      <c r="BT52" s="4">
        <v>0.68541666666666667</v>
      </c>
    </row>
    <row r="53" spans="1:72" x14ac:dyDescent="0.25">
      <c r="A53" s="2">
        <v>83</v>
      </c>
      <c r="B53" s="2">
        <v>2010</v>
      </c>
      <c r="C53" s="2" t="s">
        <v>72</v>
      </c>
      <c r="D53" s="2" t="s">
        <v>73</v>
      </c>
      <c r="E53" s="2"/>
      <c r="F53" s="2">
        <v>38</v>
      </c>
      <c r="G53" s="2" t="s">
        <v>430</v>
      </c>
      <c r="H53" s="2">
        <v>1</v>
      </c>
      <c r="I53" s="2" t="s">
        <v>82</v>
      </c>
      <c r="J53" s="2">
        <v>313</v>
      </c>
      <c r="K53" s="2" t="s">
        <v>441</v>
      </c>
      <c r="L53" s="2" t="s">
        <v>442</v>
      </c>
      <c r="M53" s="3">
        <v>40184</v>
      </c>
      <c r="N53" s="2"/>
      <c r="O53" s="2" t="s">
        <v>156</v>
      </c>
      <c r="P53" s="2" t="s">
        <v>107</v>
      </c>
      <c r="Q53" s="2" t="str">
        <f>"03/10"</f>
        <v>03/10</v>
      </c>
      <c r="R53" s="2"/>
      <c r="S53" s="2" t="s">
        <v>156</v>
      </c>
      <c r="T53" s="2">
        <v>1</v>
      </c>
      <c r="U53" s="2" t="s">
        <v>79</v>
      </c>
      <c r="V53" s="2">
        <v>1</v>
      </c>
      <c r="W53" s="2" t="s">
        <v>80</v>
      </c>
      <c r="X53" s="2">
        <v>5</v>
      </c>
      <c r="Y53" s="2" t="s">
        <v>82</v>
      </c>
      <c r="Z53" s="2">
        <v>1</v>
      </c>
      <c r="AA53" s="2" t="s">
        <v>82</v>
      </c>
      <c r="AB53" s="2">
        <v>6</v>
      </c>
      <c r="AC53" s="2" t="s">
        <v>83</v>
      </c>
      <c r="AD53" s="3">
        <v>40182</v>
      </c>
      <c r="AE53" s="4">
        <v>0.53472222222222221</v>
      </c>
      <c r="AF53" s="3">
        <v>40184</v>
      </c>
      <c r="AG53" s="4">
        <v>0.65277777777777779</v>
      </c>
      <c r="AH53" s="2">
        <v>3</v>
      </c>
      <c r="AI53" s="2" t="s">
        <v>214</v>
      </c>
      <c r="AJ53" s="2">
        <v>17</v>
      </c>
      <c r="AK53" s="2" t="s">
        <v>309</v>
      </c>
      <c r="AL53" s="2">
        <v>10</v>
      </c>
      <c r="AM53" s="2" t="s">
        <v>200</v>
      </c>
      <c r="AN53" s="2"/>
      <c r="AO53" s="2"/>
      <c r="AP53" s="2">
        <v>11</v>
      </c>
      <c r="AQ53" s="2" t="s">
        <v>82</v>
      </c>
      <c r="AR53" s="2"/>
      <c r="AS53" s="2"/>
      <c r="AT53" s="2" t="s">
        <v>443</v>
      </c>
      <c r="AU53" s="2"/>
      <c r="AV53" s="2"/>
      <c r="AW53" s="2"/>
      <c r="AX53" s="2"/>
      <c r="AY53" s="2">
        <v>41</v>
      </c>
      <c r="AZ53" s="2" t="s">
        <v>82</v>
      </c>
      <c r="BA53" s="2">
        <v>41</v>
      </c>
      <c r="BB53" s="2" t="s">
        <v>82</v>
      </c>
      <c r="BC53" s="2">
        <v>13</v>
      </c>
      <c r="BD53" s="2" t="s">
        <v>108</v>
      </c>
      <c r="BE53" s="2">
        <v>13</v>
      </c>
      <c r="BF53" s="2" t="s">
        <v>108</v>
      </c>
      <c r="BG53" s="2">
        <v>2416</v>
      </c>
      <c r="BH53" s="4">
        <v>0.52777777777777779</v>
      </c>
      <c r="BI53" s="4">
        <v>0.46527777777777773</v>
      </c>
      <c r="BJ53" s="2">
        <v>13</v>
      </c>
      <c r="BK53" s="2" t="s">
        <v>91</v>
      </c>
      <c r="BL53" s="2" t="s">
        <v>444</v>
      </c>
      <c r="BM53" s="2">
        <v>241</v>
      </c>
      <c r="BN53" s="2" t="s">
        <v>82</v>
      </c>
      <c r="BO53" s="2"/>
      <c r="BP53" s="2">
        <v>13</v>
      </c>
      <c r="BQ53" s="2" t="s">
        <v>91</v>
      </c>
      <c r="BR53" s="2" t="s">
        <v>445</v>
      </c>
      <c r="BS53" s="3">
        <v>40184</v>
      </c>
      <c r="BT53" s="4">
        <v>0.76814814814814814</v>
      </c>
    </row>
    <row r="54" spans="1:72" x14ac:dyDescent="0.25">
      <c r="A54" s="2">
        <v>84</v>
      </c>
      <c r="B54" s="2">
        <v>2010</v>
      </c>
      <c r="C54" s="2" t="s">
        <v>128</v>
      </c>
      <c r="D54" s="2" t="s">
        <v>122</v>
      </c>
      <c r="E54" s="2"/>
      <c r="F54" s="2">
        <v>398</v>
      </c>
      <c r="G54" s="2" t="s">
        <v>94</v>
      </c>
      <c r="H54" s="2">
        <v>12</v>
      </c>
      <c r="I54" s="2" t="s">
        <v>95</v>
      </c>
      <c r="J54" s="2">
        <v>245</v>
      </c>
      <c r="K54" s="2" t="s">
        <v>96</v>
      </c>
      <c r="L54" s="2" t="s">
        <v>97</v>
      </c>
      <c r="M54" s="3">
        <v>40184</v>
      </c>
      <c r="N54" s="2" t="s">
        <v>446</v>
      </c>
      <c r="O54" s="2" t="s">
        <v>447</v>
      </c>
      <c r="P54" s="2" t="s">
        <v>448</v>
      </c>
      <c r="Q54" s="2" t="str">
        <f>""</f>
        <v/>
      </c>
      <c r="R54" s="2"/>
      <c r="S54" s="2"/>
      <c r="T54" s="2">
        <v>1</v>
      </c>
      <c r="U54" s="2" t="s">
        <v>79</v>
      </c>
      <c r="V54" s="2">
        <v>1</v>
      </c>
      <c r="W54" s="2" t="s">
        <v>80</v>
      </c>
      <c r="X54" s="2">
        <v>5</v>
      </c>
      <c r="Y54" s="2" t="s">
        <v>82</v>
      </c>
      <c r="Z54" s="2">
        <v>1</v>
      </c>
      <c r="AA54" s="2" t="s">
        <v>82</v>
      </c>
      <c r="AB54" s="2">
        <v>9</v>
      </c>
      <c r="AC54" s="2" t="s">
        <v>124</v>
      </c>
      <c r="AD54" s="3">
        <v>40184</v>
      </c>
      <c r="AE54" s="4">
        <v>0.64583333333333337</v>
      </c>
      <c r="AF54" s="2"/>
      <c r="AG54" s="2"/>
      <c r="AH54" s="2">
        <v>2</v>
      </c>
      <c r="AI54" s="2" t="s">
        <v>84</v>
      </c>
      <c r="AJ54" s="2">
        <v>8</v>
      </c>
      <c r="AK54" s="2" t="s">
        <v>436</v>
      </c>
      <c r="AL54" s="2">
        <v>18</v>
      </c>
      <c r="AM54" s="2" t="s">
        <v>82</v>
      </c>
      <c r="AN54" s="2"/>
      <c r="AO54" s="2"/>
      <c r="AP54" s="2">
        <v>11</v>
      </c>
      <c r="AQ54" s="2" t="s">
        <v>82</v>
      </c>
      <c r="AR54" s="2"/>
      <c r="AS54" s="2"/>
      <c r="AT54" s="2" t="s">
        <v>449</v>
      </c>
      <c r="AU54" s="2"/>
      <c r="AV54" s="2">
        <v>1</v>
      </c>
      <c r="AW54" s="2"/>
      <c r="AX54" s="2"/>
      <c r="AY54" s="2">
        <v>41</v>
      </c>
      <c r="AZ54" s="2" t="s">
        <v>82</v>
      </c>
      <c r="BA54" s="2">
        <v>41</v>
      </c>
      <c r="BB54" s="2" t="s">
        <v>82</v>
      </c>
      <c r="BC54" s="2">
        <v>41</v>
      </c>
      <c r="BD54" s="2" t="s">
        <v>82</v>
      </c>
      <c r="BE54" s="2">
        <v>41</v>
      </c>
      <c r="BF54" s="2" t="s">
        <v>82</v>
      </c>
      <c r="BG54" s="2"/>
      <c r="BH54" s="2"/>
      <c r="BI54" s="2"/>
      <c r="BJ54" s="2">
        <v>241</v>
      </c>
      <c r="BK54" s="2" t="s">
        <v>82</v>
      </c>
      <c r="BL54" s="2"/>
      <c r="BM54" s="2">
        <v>241</v>
      </c>
      <c r="BN54" s="2" t="s">
        <v>82</v>
      </c>
      <c r="BO54" s="2"/>
      <c r="BP54" s="2">
        <v>241</v>
      </c>
      <c r="BQ54" s="2" t="s">
        <v>82</v>
      </c>
      <c r="BR54" s="2"/>
      <c r="BS54" s="3">
        <v>40184</v>
      </c>
      <c r="BT54" s="4">
        <v>0.7782175925925926</v>
      </c>
    </row>
    <row r="55" spans="1:72" x14ac:dyDescent="0.25">
      <c r="A55" s="2">
        <v>85</v>
      </c>
      <c r="B55" s="2">
        <v>2010</v>
      </c>
      <c r="C55" s="2" t="s">
        <v>171</v>
      </c>
      <c r="D55" s="2" t="s">
        <v>73</v>
      </c>
      <c r="E55" s="2"/>
      <c r="F55" s="2">
        <v>231</v>
      </c>
      <c r="G55" s="2" t="s">
        <v>450</v>
      </c>
      <c r="H55" s="2">
        <v>12</v>
      </c>
      <c r="I55" s="2" t="s">
        <v>95</v>
      </c>
      <c r="J55" s="2">
        <v>245</v>
      </c>
      <c r="K55" s="2" t="s">
        <v>96</v>
      </c>
      <c r="L55" s="2" t="s">
        <v>97</v>
      </c>
      <c r="M55" s="3">
        <v>40184</v>
      </c>
      <c r="N55" s="2" t="s">
        <v>451</v>
      </c>
      <c r="O55" s="2" t="s">
        <v>452</v>
      </c>
      <c r="P55" s="2">
        <v>11876</v>
      </c>
      <c r="Q55" s="2" t="str">
        <f>"546E/09"</f>
        <v>546E/09</v>
      </c>
      <c r="R55" s="2" t="s">
        <v>391</v>
      </c>
      <c r="S55" s="2"/>
      <c r="T55" s="2">
        <v>1</v>
      </c>
      <c r="U55" s="2" t="s">
        <v>79</v>
      </c>
      <c r="V55" s="2">
        <v>1</v>
      </c>
      <c r="W55" s="2" t="s">
        <v>80</v>
      </c>
      <c r="X55" s="2">
        <v>2</v>
      </c>
      <c r="Y55" s="2" t="s">
        <v>136</v>
      </c>
      <c r="Z55" s="2">
        <v>1</v>
      </c>
      <c r="AA55" s="2" t="s">
        <v>82</v>
      </c>
      <c r="AB55" s="2">
        <v>1</v>
      </c>
      <c r="AC55" s="2" t="s">
        <v>178</v>
      </c>
      <c r="AD55" s="3">
        <v>40184</v>
      </c>
      <c r="AE55" s="4">
        <v>0.61458333333333337</v>
      </c>
      <c r="AF55" s="2"/>
      <c r="AG55" s="2"/>
      <c r="AH55" s="2">
        <v>2</v>
      </c>
      <c r="AI55" s="2" t="s">
        <v>84</v>
      </c>
      <c r="AJ55" s="2">
        <v>6</v>
      </c>
      <c r="AK55" s="2" t="s">
        <v>453</v>
      </c>
      <c r="AL55" s="2">
        <v>18</v>
      </c>
      <c r="AM55" s="2" t="s">
        <v>82</v>
      </c>
      <c r="AN55" s="2" t="s">
        <v>454</v>
      </c>
      <c r="AO55" s="2" t="s">
        <v>455</v>
      </c>
      <c r="AP55" s="2">
        <v>11</v>
      </c>
      <c r="AQ55" s="2" t="s">
        <v>82</v>
      </c>
      <c r="AR55" s="2"/>
      <c r="AS55" s="2"/>
      <c r="AT55" s="2" t="s">
        <v>456</v>
      </c>
      <c r="AU55" s="2"/>
      <c r="AV55" s="2">
        <v>1</v>
      </c>
      <c r="AW55" s="2"/>
      <c r="AX55" s="2"/>
      <c r="AY55" s="2">
        <v>42</v>
      </c>
      <c r="AZ55" s="2" t="s">
        <v>182</v>
      </c>
      <c r="BA55" s="2">
        <v>41</v>
      </c>
      <c r="BB55" s="2" t="s">
        <v>82</v>
      </c>
      <c r="BC55" s="2">
        <v>41</v>
      </c>
      <c r="BD55" s="2" t="s">
        <v>82</v>
      </c>
      <c r="BE55" s="2">
        <v>41</v>
      </c>
      <c r="BF55" s="2" t="s">
        <v>82</v>
      </c>
      <c r="BG55" s="2"/>
      <c r="BH55" s="2"/>
      <c r="BI55" s="2"/>
      <c r="BJ55" s="2">
        <v>241</v>
      </c>
      <c r="BK55" s="2" t="s">
        <v>82</v>
      </c>
      <c r="BL55" s="2"/>
      <c r="BM55" s="2">
        <v>241</v>
      </c>
      <c r="BN55" s="2" t="s">
        <v>82</v>
      </c>
      <c r="BO55" s="2"/>
      <c r="BP55" s="2">
        <v>241</v>
      </c>
      <c r="BQ55" s="2" t="s">
        <v>82</v>
      </c>
      <c r="BR55" s="2"/>
      <c r="BS55" s="3">
        <v>40184</v>
      </c>
      <c r="BT55" s="4">
        <v>0.78696759259259252</v>
      </c>
    </row>
    <row r="56" spans="1:72" x14ac:dyDescent="0.25">
      <c r="A56" s="2">
        <v>86</v>
      </c>
      <c r="B56" s="2">
        <v>2010</v>
      </c>
      <c r="C56" s="2" t="s">
        <v>457</v>
      </c>
      <c r="D56" s="2" t="s">
        <v>73</v>
      </c>
      <c r="E56" s="2"/>
      <c r="F56" s="2">
        <v>429</v>
      </c>
      <c r="G56" s="2" t="s">
        <v>458</v>
      </c>
      <c r="H56" s="2">
        <v>2</v>
      </c>
      <c r="I56" s="2" t="s">
        <v>267</v>
      </c>
      <c r="J56" s="2">
        <v>312</v>
      </c>
      <c r="K56" s="2" t="s">
        <v>459</v>
      </c>
      <c r="L56" s="2" t="s">
        <v>460</v>
      </c>
      <c r="M56" s="3">
        <v>40184</v>
      </c>
      <c r="N56" s="2" t="s">
        <v>107</v>
      </c>
      <c r="O56" s="2" t="s">
        <v>461</v>
      </c>
      <c r="P56" s="2" t="s">
        <v>462</v>
      </c>
      <c r="Q56" s="2" t="str">
        <f>"N/C"</f>
        <v>N/C</v>
      </c>
      <c r="R56" s="2" t="s">
        <v>107</v>
      </c>
      <c r="S56" s="2" t="s">
        <v>82</v>
      </c>
      <c r="T56" s="2">
        <v>1</v>
      </c>
      <c r="U56" s="2" t="s">
        <v>79</v>
      </c>
      <c r="V56" s="2">
        <v>1</v>
      </c>
      <c r="W56" s="2" t="s">
        <v>80</v>
      </c>
      <c r="X56" s="2">
        <v>4</v>
      </c>
      <c r="Y56" s="2" t="s">
        <v>463</v>
      </c>
      <c r="Z56" s="2">
        <v>1</v>
      </c>
      <c r="AA56" s="2" t="s">
        <v>82</v>
      </c>
      <c r="AB56" s="2">
        <v>9</v>
      </c>
      <c r="AC56" s="2" t="s">
        <v>124</v>
      </c>
      <c r="AD56" s="2"/>
      <c r="AE56" s="2"/>
      <c r="AF56" s="2"/>
      <c r="AG56" s="2"/>
      <c r="AH56" s="2">
        <v>2</v>
      </c>
      <c r="AI56" s="2" t="s">
        <v>84</v>
      </c>
      <c r="AJ56" s="2">
        <v>12</v>
      </c>
      <c r="AK56" s="2" t="s">
        <v>85</v>
      </c>
      <c r="AL56" s="2">
        <v>19</v>
      </c>
      <c r="AM56" s="2" t="s">
        <v>107</v>
      </c>
      <c r="AN56" s="2" t="s">
        <v>464</v>
      </c>
      <c r="AO56" s="2" t="s">
        <v>465</v>
      </c>
      <c r="AP56" s="2">
        <v>11</v>
      </c>
      <c r="AQ56" s="2" t="s">
        <v>82</v>
      </c>
      <c r="AR56" s="2" t="s">
        <v>82</v>
      </c>
      <c r="AS56" s="2" t="s">
        <v>82</v>
      </c>
      <c r="AT56" s="2" t="s">
        <v>466</v>
      </c>
      <c r="AU56" s="2">
        <v>1</v>
      </c>
      <c r="AV56" s="2"/>
      <c r="AW56" s="2"/>
      <c r="AX56" s="2"/>
      <c r="AY56" s="2">
        <v>41</v>
      </c>
      <c r="AZ56" s="2" t="s">
        <v>82</v>
      </c>
      <c r="BA56" s="2">
        <v>41</v>
      </c>
      <c r="BB56" s="2" t="s">
        <v>82</v>
      </c>
      <c r="BC56" s="2">
        <v>41</v>
      </c>
      <c r="BD56" s="2" t="s">
        <v>82</v>
      </c>
      <c r="BE56" s="2">
        <v>13</v>
      </c>
      <c r="BF56" s="2" t="s">
        <v>108</v>
      </c>
      <c r="BG56" s="2" t="s">
        <v>467</v>
      </c>
      <c r="BH56" s="4">
        <v>0.49305555555555558</v>
      </c>
      <c r="BI56" s="4">
        <v>0.45833333333333331</v>
      </c>
      <c r="BJ56" s="2">
        <v>13</v>
      </c>
      <c r="BK56" s="2" t="s">
        <v>91</v>
      </c>
      <c r="BL56" s="2" t="s">
        <v>468</v>
      </c>
      <c r="BM56" s="2">
        <v>241</v>
      </c>
      <c r="BN56" s="2" t="s">
        <v>82</v>
      </c>
      <c r="BO56" s="2" t="s">
        <v>82</v>
      </c>
      <c r="BP56" s="2">
        <v>13</v>
      </c>
      <c r="BQ56" s="2" t="s">
        <v>91</v>
      </c>
      <c r="BR56" s="2" t="s">
        <v>469</v>
      </c>
      <c r="BS56" s="3">
        <v>40184</v>
      </c>
      <c r="BT56" s="4">
        <v>0.87025462962962974</v>
      </c>
    </row>
    <row r="57" spans="1:72" x14ac:dyDescent="0.25">
      <c r="A57" s="2">
        <v>87</v>
      </c>
      <c r="B57" s="2">
        <v>2010</v>
      </c>
      <c r="C57" s="2" t="s">
        <v>385</v>
      </c>
      <c r="D57" s="2" t="s">
        <v>122</v>
      </c>
      <c r="E57" s="2"/>
      <c r="F57" s="2">
        <v>398</v>
      </c>
      <c r="G57" s="2" t="s">
        <v>94</v>
      </c>
      <c r="H57" s="2">
        <v>12</v>
      </c>
      <c r="I57" s="2" t="s">
        <v>95</v>
      </c>
      <c r="J57" s="2">
        <v>245</v>
      </c>
      <c r="K57" s="2" t="s">
        <v>96</v>
      </c>
      <c r="L57" s="2" t="s">
        <v>97</v>
      </c>
      <c r="M57" s="3">
        <v>40184</v>
      </c>
      <c r="N57" s="2" t="s">
        <v>470</v>
      </c>
      <c r="O57" s="2" t="s">
        <v>471</v>
      </c>
      <c r="P57" s="2" t="s">
        <v>472</v>
      </c>
      <c r="Q57" s="2" t="str">
        <f>"---"</f>
        <v>---</v>
      </c>
      <c r="R57" s="2" t="s">
        <v>473</v>
      </c>
      <c r="S57" s="2" t="s">
        <v>473</v>
      </c>
      <c r="T57" s="2">
        <v>1</v>
      </c>
      <c r="U57" s="2" t="s">
        <v>79</v>
      </c>
      <c r="V57" s="2">
        <v>1</v>
      </c>
      <c r="W57" s="2" t="s">
        <v>80</v>
      </c>
      <c r="X57" s="2">
        <v>5</v>
      </c>
      <c r="Y57" s="2" t="s">
        <v>82</v>
      </c>
      <c r="Z57" s="2">
        <v>1</v>
      </c>
      <c r="AA57" s="2" t="s">
        <v>82</v>
      </c>
      <c r="AB57" s="2">
        <v>9</v>
      </c>
      <c r="AC57" s="2" t="s">
        <v>124</v>
      </c>
      <c r="AD57" s="3">
        <v>40184</v>
      </c>
      <c r="AE57" s="4">
        <v>0.85763888888888884</v>
      </c>
      <c r="AF57" s="2"/>
      <c r="AG57" s="2"/>
      <c r="AH57" s="2">
        <v>2</v>
      </c>
      <c r="AI57" s="2" t="s">
        <v>84</v>
      </c>
      <c r="AJ57" s="2">
        <v>8</v>
      </c>
      <c r="AK57" s="2" t="s">
        <v>436</v>
      </c>
      <c r="AL57" s="2">
        <v>18</v>
      </c>
      <c r="AM57" s="2" t="s">
        <v>82</v>
      </c>
      <c r="AN57" s="2"/>
      <c r="AO57" s="2"/>
      <c r="AP57" s="2">
        <v>11</v>
      </c>
      <c r="AQ57" s="2" t="s">
        <v>82</v>
      </c>
      <c r="AR57" s="2" t="s">
        <v>82</v>
      </c>
      <c r="AS57" s="2" t="s">
        <v>82</v>
      </c>
      <c r="AT57" s="2" t="s">
        <v>474</v>
      </c>
      <c r="AU57" s="2"/>
      <c r="AV57" s="2">
        <v>1</v>
      </c>
      <c r="AW57" s="2"/>
      <c r="AX57" s="2"/>
      <c r="AY57" s="2">
        <v>1</v>
      </c>
      <c r="AZ57" s="2" t="s">
        <v>107</v>
      </c>
      <c r="BA57" s="2">
        <v>1</v>
      </c>
      <c r="BB57" s="2" t="s">
        <v>107</v>
      </c>
      <c r="BC57" s="2">
        <v>1</v>
      </c>
      <c r="BD57" s="2" t="s">
        <v>107</v>
      </c>
      <c r="BE57" s="2">
        <v>1</v>
      </c>
      <c r="BF57" s="2" t="s">
        <v>107</v>
      </c>
      <c r="BG57" s="2"/>
      <c r="BH57" s="2"/>
      <c r="BI57" s="2"/>
      <c r="BJ57" s="2">
        <v>242</v>
      </c>
      <c r="BK57" s="2" t="s">
        <v>107</v>
      </c>
      <c r="BL57" s="2" t="s">
        <v>82</v>
      </c>
      <c r="BM57" s="2">
        <v>242</v>
      </c>
      <c r="BN57" s="2" t="s">
        <v>107</v>
      </c>
      <c r="BO57" s="2" t="s">
        <v>82</v>
      </c>
      <c r="BP57" s="2">
        <v>242</v>
      </c>
      <c r="BQ57" s="2" t="s">
        <v>107</v>
      </c>
      <c r="BR57" s="2" t="s">
        <v>82</v>
      </c>
      <c r="BS57" s="3">
        <v>40184</v>
      </c>
      <c r="BT57" s="4">
        <v>0.96472222222222215</v>
      </c>
    </row>
    <row r="58" spans="1:72" x14ac:dyDescent="0.25">
      <c r="A58" s="2">
        <v>88</v>
      </c>
      <c r="B58" s="2">
        <v>2010</v>
      </c>
      <c r="C58" s="2" t="s">
        <v>72</v>
      </c>
      <c r="D58" s="2" t="s">
        <v>73</v>
      </c>
      <c r="E58" s="2"/>
      <c r="F58" s="2">
        <v>390</v>
      </c>
      <c r="G58" s="2" t="s">
        <v>475</v>
      </c>
      <c r="H58" s="2">
        <v>7</v>
      </c>
      <c r="I58" s="2" t="s">
        <v>476</v>
      </c>
      <c r="J58" s="2">
        <v>314</v>
      </c>
      <c r="K58" s="2" t="s">
        <v>477</v>
      </c>
      <c r="L58" s="2" t="s">
        <v>478</v>
      </c>
      <c r="M58" s="3">
        <v>40185</v>
      </c>
      <c r="N58" s="2" t="s">
        <v>479</v>
      </c>
      <c r="O58" s="2"/>
      <c r="P58" s="2"/>
      <c r="Q58" s="2" t="str">
        <f>"012-E/10"</f>
        <v>012-E/10</v>
      </c>
      <c r="R58" s="2"/>
      <c r="S58" s="2" t="s">
        <v>480</v>
      </c>
      <c r="T58" s="2">
        <v>1</v>
      </c>
      <c r="U58" s="2" t="s">
        <v>79</v>
      </c>
      <c r="V58" s="2">
        <v>1</v>
      </c>
      <c r="W58" s="2" t="s">
        <v>80</v>
      </c>
      <c r="X58" s="2">
        <v>1</v>
      </c>
      <c r="Y58" s="2" t="s">
        <v>81</v>
      </c>
      <c r="Z58" s="2">
        <v>1</v>
      </c>
      <c r="AA58" s="2" t="s">
        <v>82</v>
      </c>
      <c r="AB58" s="2">
        <v>6</v>
      </c>
      <c r="AC58" s="2" t="s">
        <v>83</v>
      </c>
      <c r="AD58" s="3">
        <v>40184</v>
      </c>
      <c r="AE58" s="4">
        <v>0.70833333333333337</v>
      </c>
      <c r="AF58" s="3">
        <v>40184</v>
      </c>
      <c r="AG58" s="4">
        <v>0.73958333333333337</v>
      </c>
      <c r="AH58" s="2">
        <v>2</v>
      </c>
      <c r="AI58" s="2" t="s">
        <v>84</v>
      </c>
      <c r="AJ58" s="2">
        <v>9</v>
      </c>
      <c r="AK58" s="2" t="s">
        <v>103</v>
      </c>
      <c r="AL58" s="2">
        <v>14</v>
      </c>
      <c r="AM58" s="2" t="s">
        <v>216</v>
      </c>
      <c r="AN58" s="2" t="s">
        <v>481</v>
      </c>
      <c r="AO58" s="2"/>
      <c r="AP58" s="2">
        <v>11</v>
      </c>
      <c r="AQ58" s="2" t="s">
        <v>82</v>
      </c>
      <c r="AR58" s="2"/>
      <c r="AS58" s="2"/>
      <c r="AT58" s="2" t="s">
        <v>482</v>
      </c>
      <c r="AU58" s="2"/>
      <c r="AV58" s="2">
        <v>1</v>
      </c>
      <c r="AW58" s="2"/>
      <c r="AX58" s="2"/>
      <c r="AY58" s="2">
        <v>69</v>
      </c>
      <c r="AZ58" s="2" t="s">
        <v>483</v>
      </c>
      <c r="BA58" s="2">
        <v>41</v>
      </c>
      <c r="BB58" s="2" t="s">
        <v>82</v>
      </c>
      <c r="BC58" s="2">
        <v>41</v>
      </c>
      <c r="BD58" s="2" t="s">
        <v>82</v>
      </c>
      <c r="BE58" s="2">
        <v>14</v>
      </c>
      <c r="BF58" s="2" t="s">
        <v>484</v>
      </c>
      <c r="BG58" s="2" t="s">
        <v>485</v>
      </c>
      <c r="BH58" s="2"/>
      <c r="BI58" s="4">
        <v>0.75694444444444453</v>
      </c>
      <c r="BJ58" s="2">
        <v>13</v>
      </c>
      <c r="BK58" s="2" t="s">
        <v>91</v>
      </c>
      <c r="BL58" s="2" t="s">
        <v>486</v>
      </c>
      <c r="BM58" s="2">
        <v>241</v>
      </c>
      <c r="BN58" s="2" t="s">
        <v>82</v>
      </c>
      <c r="BO58" s="2"/>
      <c r="BP58" s="2">
        <v>82</v>
      </c>
      <c r="BQ58" s="2" t="s">
        <v>487</v>
      </c>
      <c r="BR58" s="2" t="s">
        <v>488</v>
      </c>
      <c r="BS58" s="3">
        <v>40185</v>
      </c>
      <c r="BT58" s="4">
        <v>0.39386574074074071</v>
      </c>
    </row>
    <row r="59" spans="1:72" x14ac:dyDescent="0.25">
      <c r="A59" s="2">
        <v>89</v>
      </c>
      <c r="B59" s="2">
        <v>2010</v>
      </c>
      <c r="C59" s="2" t="s">
        <v>385</v>
      </c>
      <c r="D59" s="2" t="s">
        <v>122</v>
      </c>
      <c r="E59" s="2"/>
      <c r="F59" s="2">
        <v>151</v>
      </c>
      <c r="G59" s="2" t="s">
        <v>314</v>
      </c>
      <c r="H59" s="2">
        <v>3</v>
      </c>
      <c r="I59" s="2" t="s">
        <v>315</v>
      </c>
      <c r="J59" s="2">
        <v>163</v>
      </c>
      <c r="K59" s="2" t="s">
        <v>316</v>
      </c>
      <c r="L59" s="2" t="s">
        <v>317</v>
      </c>
      <c r="M59" s="3">
        <v>40185</v>
      </c>
      <c r="N59" s="2" t="s">
        <v>410</v>
      </c>
      <c r="O59" s="2" t="s">
        <v>489</v>
      </c>
      <c r="P59" s="2" t="s">
        <v>490</v>
      </c>
      <c r="Q59" s="2" t="str">
        <f>""</f>
        <v/>
      </c>
      <c r="R59" s="2"/>
      <c r="S59" s="2"/>
      <c r="T59" s="2">
        <v>1</v>
      </c>
      <c r="U59" s="2" t="s">
        <v>79</v>
      </c>
      <c r="V59" s="2">
        <v>1</v>
      </c>
      <c r="W59" s="2" t="s">
        <v>80</v>
      </c>
      <c r="X59" s="2">
        <v>1</v>
      </c>
      <c r="Y59" s="2" t="s">
        <v>81</v>
      </c>
      <c r="Z59" s="2">
        <v>1</v>
      </c>
      <c r="AA59" s="2" t="s">
        <v>82</v>
      </c>
      <c r="AB59" s="2">
        <v>9</v>
      </c>
      <c r="AC59" s="2" t="s">
        <v>124</v>
      </c>
      <c r="AD59" s="3">
        <v>40184</v>
      </c>
      <c r="AE59" s="4">
        <v>0.84375</v>
      </c>
      <c r="AF59" s="2"/>
      <c r="AG59" s="2"/>
      <c r="AH59" s="2">
        <v>6</v>
      </c>
      <c r="AI59" s="2" t="s">
        <v>197</v>
      </c>
      <c r="AJ59" s="2">
        <v>58</v>
      </c>
      <c r="AK59" s="2" t="s">
        <v>406</v>
      </c>
      <c r="AL59" s="2">
        <v>18</v>
      </c>
      <c r="AM59" s="2" t="s">
        <v>82</v>
      </c>
      <c r="AN59" s="2"/>
      <c r="AO59" s="2"/>
      <c r="AP59" s="2">
        <v>11</v>
      </c>
      <c r="AQ59" s="2" t="s">
        <v>82</v>
      </c>
      <c r="AR59" s="2"/>
      <c r="AS59" s="2"/>
      <c r="AT59" s="2" t="s">
        <v>491</v>
      </c>
      <c r="AU59" s="2"/>
      <c r="AV59" s="2">
        <v>1</v>
      </c>
      <c r="AW59" s="2"/>
      <c r="AX59" s="2"/>
      <c r="AY59" s="2">
        <v>41</v>
      </c>
      <c r="AZ59" s="2" t="s">
        <v>82</v>
      </c>
      <c r="BA59" s="2">
        <v>41</v>
      </c>
      <c r="BB59" s="2" t="s">
        <v>82</v>
      </c>
      <c r="BC59" s="2">
        <v>41</v>
      </c>
      <c r="BD59" s="2" t="s">
        <v>82</v>
      </c>
      <c r="BE59" s="2">
        <v>13</v>
      </c>
      <c r="BF59" s="2" t="s">
        <v>108</v>
      </c>
      <c r="BG59" s="2">
        <v>1880</v>
      </c>
      <c r="BH59" s="4">
        <v>0.80902777777777779</v>
      </c>
      <c r="BI59" s="4">
        <v>0.84375</v>
      </c>
      <c r="BJ59" s="2">
        <v>13</v>
      </c>
      <c r="BK59" s="2" t="s">
        <v>91</v>
      </c>
      <c r="BL59" s="2" t="s">
        <v>492</v>
      </c>
      <c r="BM59" s="2">
        <v>241</v>
      </c>
      <c r="BN59" s="2" t="s">
        <v>82</v>
      </c>
      <c r="BO59" s="2"/>
      <c r="BP59" s="2">
        <v>13</v>
      </c>
      <c r="BQ59" s="2" t="s">
        <v>91</v>
      </c>
      <c r="BR59" s="2" t="s">
        <v>185</v>
      </c>
      <c r="BS59" s="3">
        <v>40185</v>
      </c>
      <c r="BT59" s="4">
        <v>0.42358796296296292</v>
      </c>
    </row>
    <row r="60" spans="1:72" x14ac:dyDescent="0.25">
      <c r="A60" s="2">
        <v>90</v>
      </c>
      <c r="B60" s="2">
        <v>2010</v>
      </c>
      <c r="C60" s="2" t="s">
        <v>385</v>
      </c>
      <c r="D60" s="2" t="s">
        <v>122</v>
      </c>
      <c r="E60" s="2"/>
      <c r="F60" s="2">
        <v>151</v>
      </c>
      <c r="G60" s="2" t="s">
        <v>314</v>
      </c>
      <c r="H60" s="2">
        <v>3</v>
      </c>
      <c r="I60" s="2" t="s">
        <v>315</v>
      </c>
      <c r="J60" s="2">
        <v>163</v>
      </c>
      <c r="K60" s="2" t="s">
        <v>316</v>
      </c>
      <c r="L60" s="2" t="s">
        <v>317</v>
      </c>
      <c r="M60" s="3">
        <v>40185</v>
      </c>
      <c r="N60" s="2" t="s">
        <v>410</v>
      </c>
      <c r="O60" s="2" t="s">
        <v>489</v>
      </c>
      <c r="P60" s="2" t="s">
        <v>493</v>
      </c>
      <c r="Q60" s="2" t="str">
        <f>""</f>
        <v/>
      </c>
      <c r="R60" s="2"/>
      <c r="S60" s="2"/>
      <c r="T60" s="2">
        <v>1</v>
      </c>
      <c r="U60" s="2" t="s">
        <v>79</v>
      </c>
      <c r="V60" s="2">
        <v>1</v>
      </c>
      <c r="W60" s="2" t="s">
        <v>80</v>
      </c>
      <c r="X60" s="2">
        <v>1</v>
      </c>
      <c r="Y60" s="2" t="s">
        <v>81</v>
      </c>
      <c r="Z60" s="2">
        <v>1</v>
      </c>
      <c r="AA60" s="2" t="s">
        <v>82</v>
      </c>
      <c r="AB60" s="2">
        <v>9</v>
      </c>
      <c r="AC60" s="2" t="s">
        <v>124</v>
      </c>
      <c r="AD60" s="3">
        <v>40185</v>
      </c>
      <c r="AE60" s="4">
        <v>9.0277777777777776E-2</v>
      </c>
      <c r="AF60" s="2"/>
      <c r="AG60" s="2"/>
      <c r="AH60" s="2">
        <v>6</v>
      </c>
      <c r="AI60" s="2" t="s">
        <v>197</v>
      </c>
      <c r="AJ60" s="2">
        <v>58</v>
      </c>
      <c r="AK60" s="2" t="s">
        <v>406</v>
      </c>
      <c r="AL60" s="2">
        <v>18</v>
      </c>
      <c r="AM60" s="2" t="s">
        <v>82</v>
      </c>
      <c r="AN60" s="2"/>
      <c r="AO60" s="2"/>
      <c r="AP60" s="2">
        <v>11</v>
      </c>
      <c r="AQ60" s="2" t="s">
        <v>82</v>
      </c>
      <c r="AR60" s="2"/>
      <c r="AS60" s="2"/>
      <c r="AT60" s="2" t="s">
        <v>494</v>
      </c>
      <c r="AU60" s="2"/>
      <c r="AV60" s="2">
        <v>1</v>
      </c>
      <c r="AW60" s="2"/>
      <c r="AX60" s="2"/>
      <c r="AY60" s="2">
        <v>41</v>
      </c>
      <c r="AZ60" s="2" t="s">
        <v>82</v>
      </c>
      <c r="BA60" s="2">
        <v>41</v>
      </c>
      <c r="BB60" s="2" t="s">
        <v>82</v>
      </c>
      <c r="BC60" s="2">
        <v>41</v>
      </c>
      <c r="BD60" s="2" t="s">
        <v>82</v>
      </c>
      <c r="BE60" s="2">
        <v>13</v>
      </c>
      <c r="BF60" s="2" t="s">
        <v>108</v>
      </c>
      <c r="BG60" s="2">
        <v>2883</v>
      </c>
      <c r="BH60" s="4">
        <v>9.0277777777777776E-2</v>
      </c>
      <c r="BI60" s="4">
        <v>0.13541666666666666</v>
      </c>
      <c r="BJ60" s="2">
        <v>13</v>
      </c>
      <c r="BK60" s="2" t="s">
        <v>91</v>
      </c>
      <c r="BL60" s="2" t="s">
        <v>492</v>
      </c>
      <c r="BM60" s="2">
        <v>241</v>
      </c>
      <c r="BN60" s="2" t="s">
        <v>82</v>
      </c>
      <c r="BO60" s="2"/>
      <c r="BP60" s="2">
        <v>13</v>
      </c>
      <c r="BQ60" s="2" t="s">
        <v>91</v>
      </c>
      <c r="BR60" s="2" t="s">
        <v>185</v>
      </c>
      <c r="BS60" s="3">
        <v>40185</v>
      </c>
      <c r="BT60" s="4">
        <v>0.44810185185185186</v>
      </c>
    </row>
    <row r="61" spans="1:72" x14ac:dyDescent="0.25">
      <c r="A61" s="2">
        <v>92</v>
      </c>
      <c r="B61" s="2">
        <v>2010</v>
      </c>
      <c r="C61" s="2" t="s">
        <v>418</v>
      </c>
      <c r="D61" s="2" t="s">
        <v>122</v>
      </c>
      <c r="E61" s="2" t="s">
        <v>495</v>
      </c>
      <c r="F61" s="2">
        <v>1</v>
      </c>
      <c r="G61" s="2" t="s">
        <v>82</v>
      </c>
      <c r="H61" s="2">
        <v>1</v>
      </c>
      <c r="I61" s="2" t="s">
        <v>82</v>
      </c>
      <c r="J61" s="2">
        <v>1</v>
      </c>
      <c r="K61" s="2" t="s">
        <v>107</v>
      </c>
      <c r="L61" s="2" t="s">
        <v>107</v>
      </c>
      <c r="M61" s="3">
        <v>40185</v>
      </c>
      <c r="N61" s="2"/>
      <c r="O61" s="2"/>
      <c r="P61" s="2"/>
      <c r="Q61" s="2" t="str">
        <f>""</f>
        <v/>
      </c>
      <c r="R61" s="2"/>
      <c r="S61" s="2"/>
      <c r="T61" s="2">
        <v>2</v>
      </c>
      <c r="U61" s="2" t="s">
        <v>123</v>
      </c>
      <c r="V61" s="2">
        <v>1</v>
      </c>
      <c r="W61" s="2" t="s">
        <v>80</v>
      </c>
      <c r="X61" s="2">
        <v>5</v>
      </c>
      <c r="Y61" s="2" t="s">
        <v>82</v>
      </c>
      <c r="Z61" s="2">
        <v>1</v>
      </c>
      <c r="AA61" s="2" t="s">
        <v>82</v>
      </c>
      <c r="AB61" s="2">
        <v>9</v>
      </c>
      <c r="AC61" s="2" t="s">
        <v>124</v>
      </c>
      <c r="AD61" s="3">
        <v>40185</v>
      </c>
      <c r="AE61" s="4">
        <v>0.4236111111111111</v>
      </c>
      <c r="AF61" s="2"/>
      <c r="AG61" s="2"/>
      <c r="AH61" s="2">
        <v>4</v>
      </c>
      <c r="AI61" s="2" t="s">
        <v>125</v>
      </c>
      <c r="AJ61" s="2">
        <v>32</v>
      </c>
      <c r="AK61" s="2" t="s">
        <v>419</v>
      </c>
      <c r="AL61" s="2">
        <v>18</v>
      </c>
      <c r="AM61" s="2" t="s">
        <v>82</v>
      </c>
      <c r="AN61" s="2"/>
      <c r="AO61" s="2"/>
      <c r="AP61" s="2">
        <v>11</v>
      </c>
      <c r="AQ61" s="2" t="s">
        <v>82</v>
      </c>
      <c r="AR61" s="2"/>
      <c r="AS61" s="2"/>
      <c r="AT61" s="2" t="s">
        <v>496</v>
      </c>
      <c r="AU61" s="2"/>
      <c r="AV61" s="2"/>
      <c r="AW61" s="2"/>
      <c r="AX61" s="2"/>
      <c r="AY61" s="2">
        <v>1</v>
      </c>
      <c r="AZ61" s="2" t="s">
        <v>107</v>
      </c>
      <c r="BA61" s="2">
        <v>1</v>
      </c>
      <c r="BB61" s="2" t="s">
        <v>107</v>
      </c>
      <c r="BC61" s="2">
        <v>1</v>
      </c>
      <c r="BD61" s="2" t="s">
        <v>107</v>
      </c>
      <c r="BE61" s="2">
        <v>1</v>
      </c>
      <c r="BF61" s="2" t="s">
        <v>107</v>
      </c>
      <c r="BG61" s="2">
        <v>1440</v>
      </c>
      <c r="BH61" s="2"/>
      <c r="BI61" s="2"/>
      <c r="BJ61" s="2">
        <v>242</v>
      </c>
      <c r="BK61" s="2" t="s">
        <v>107</v>
      </c>
      <c r="BL61" s="2"/>
      <c r="BM61" s="2">
        <v>242</v>
      </c>
      <c r="BN61" s="2" t="s">
        <v>107</v>
      </c>
      <c r="BO61" s="2"/>
      <c r="BP61" s="2">
        <v>242</v>
      </c>
      <c r="BQ61" s="2" t="s">
        <v>107</v>
      </c>
      <c r="BR61" s="2"/>
      <c r="BS61" s="3">
        <v>40185</v>
      </c>
      <c r="BT61" s="4">
        <v>0.47921296296296295</v>
      </c>
    </row>
    <row r="62" spans="1:72" x14ac:dyDescent="0.25">
      <c r="A62" s="2">
        <v>94</v>
      </c>
      <c r="B62" s="2">
        <v>2010</v>
      </c>
      <c r="C62" s="2" t="s">
        <v>121</v>
      </c>
      <c r="D62" s="2" t="s">
        <v>122</v>
      </c>
      <c r="E62" s="2"/>
      <c r="F62" s="2">
        <v>1</v>
      </c>
      <c r="G62" s="2" t="s">
        <v>82</v>
      </c>
      <c r="H62" s="2">
        <v>1</v>
      </c>
      <c r="I62" s="2" t="s">
        <v>82</v>
      </c>
      <c r="J62" s="2">
        <v>1</v>
      </c>
      <c r="K62" s="2" t="s">
        <v>107</v>
      </c>
      <c r="L62" s="2" t="s">
        <v>107</v>
      </c>
      <c r="M62" s="3">
        <v>40185</v>
      </c>
      <c r="N62" s="2"/>
      <c r="O62" s="2"/>
      <c r="P62" s="2"/>
      <c r="Q62" s="2" t="str">
        <f>""</f>
        <v/>
      </c>
      <c r="R62" s="2"/>
      <c r="S62" s="2"/>
      <c r="T62" s="2">
        <v>2</v>
      </c>
      <c r="U62" s="2" t="s">
        <v>123</v>
      </c>
      <c r="V62" s="2">
        <v>1</v>
      </c>
      <c r="W62" s="2" t="s">
        <v>80</v>
      </c>
      <c r="X62" s="2">
        <v>4</v>
      </c>
      <c r="Y62" s="2" t="s">
        <v>463</v>
      </c>
      <c r="Z62" s="2">
        <v>1</v>
      </c>
      <c r="AA62" s="2" t="s">
        <v>82</v>
      </c>
      <c r="AB62" s="2">
        <v>9</v>
      </c>
      <c r="AC62" s="2" t="s">
        <v>124</v>
      </c>
      <c r="AD62" s="3">
        <v>40185</v>
      </c>
      <c r="AE62" s="4">
        <v>0.40972222222222227</v>
      </c>
      <c r="AF62" s="2"/>
      <c r="AG62" s="2"/>
      <c r="AH62" s="2">
        <v>5</v>
      </c>
      <c r="AI62" s="2" t="s">
        <v>274</v>
      </c>
      <c r="AJ62" s="2">
        <v>37</v>
      </c>
      <c r="AK62" s="2" t="s">
        <v>497</v>
      </c>
      <c r="AL62" s="2">
        <v>11</v>
      </c>
      <c r="AM62" s="2" t="s">
        <v>137</v>
      </c>
      <c r="AN62" s="2" t="s">
        <v>498</v>
      </c>
      <c r="AO62" s="2" t="s">
        <v>499</v>
      </c>
      <c r="AP62" s="2">
        <v>11</v>
      </c>
      <c r="AQ62" s="2" t="s">
        <v>82</v>
      </c>
      <c r="AR62" s="2"/>
      <c r="AS62" s="2"/>
      <c r="AT62" s="2" t="s">
        <v>500</v>
      </c>
      <c r="AU62" s="2"/>
      <c r="AV62" s="2"/>
      <c r="AW62" s="2"/>
      <c r="AX62" s="2"/>
      <c r="AY62" s="2">
        <v>41</v>
      </c>
      <c r="AZ62" s="2" t="s">
        <v>82</v>
      </c>
      <c r="BA62" s="2">
        <v>41</v>
      </c>
      <c r="BB62" s="2" t="s">
        <v>82</v>
      </c>
      <c r="BC62" s="2">
        <v>41</v>
      </c>
      <c r="BD62" s="2" t="s">
        <v>82</v>
      </c>
      <c r="BE62" s="2">
        <v>47</v>
      </c>
      <c r="BF62" s="2" t="s">
        <v>167</v>
      </c>
      <c r="BG62" s="2" t="s">
        <v>501</v>
      </c>
      <c r="BH62" s="4">
        <v>0.51736111111111105</v>
      </c>
      <c r="BI62" s="4">
        <v>0.46875</v>
      </c>
      <c r="BJ62" s="2">
        <v>13</v>
      </c>
      <c r="BK62" s="2" t="s">
        <v>91</v>
      </c>
      <c r="BL62" s="2" t="s">
        <v>502</v>
      </c>
      <c r="BM62" s="2">
        <v>241</v>
      </c>
      <c r="BN62" s="2" t="s">
        <v>82</v>
      </c>
      <c r="BO62" s="2"/>
      <c r="BP62" s="2">
        <v>13</v>
      </c>
      <c r="BQ62" s="2" t="s">
        <v>91</v>
      </c>
      <c r="BR62" s="2" t="s">
        <v>503</v>
      </c>
      <c r="BS62" s="3">
        <v>40185</v>
      </c>
      <c r="BT62" s="4">
        <v>0.49069444444444449</v>
      </c>
    </row>
    <row r="63" spans="1:72" x14ac:dyDescent="0.25">
      <c r="A63" s="2">
        <v>95</v>
      </c>
      <c r="B63" s="2">
        <v>2010</v>
      </c>
      <c r="C63" s="2" t="s">
        <v>457</v>
      </c>
      <c r="D63" s="2" t="s">
        <v>73</v>
      </c>
      <c r="E63" s="2"/>
      <c r="F63" s="2">
        <v>433</v>
      </c>
      <c r="G63" s="2" t="s">
        <v>504</v>
      </c>
      <c r="H63" s="2">
        <v>25</v>
      </c>
      <c r="I63" s="2" t="s">
        <v>505</v>
      </c>
      <c r="J63" s="2">
        <v>1</v>
      </c>
      <c r="K63" s="2" t="s">
        <v>107</v>
      </c>
      <c r="L63" s="2" t="s">
        <v>107</v>
      </c>
      <c r="M63" s="3">
        <v>40185</v>
      </c>
      <c r="N63" s="2" t="s">
        <v>107</v>
      </c>
      <c r="O63" s="2" t="s">
        <v>107</v>
      </c>
      <c r="P63" s="2"/>
      <c r="Q63" s="2" t="str">
        <f>"S/D"</f>
        <v>S/D</v>
      </c>
      <c r="R63" s="2" t="s">
        <v>107</v>
      </c>
      <c r="S63" s="2" t="s">
        <v>107</v>
      </c>
      <c r="T63" s="2">
        <v>1</v>
      </c>
      <c r="U63" s="2" t="s">
        <v>79</v>
      </c>
      <c r="V63" s="2">
        <v>1</v>
      </c>
      <c r="W63" s="2" t="s">
        <v>80</v>
      </c>
      <c r="X63" s="2">
        <v>4</v>
      </c>
      <c r="Y63" s="2" t="s">
        <v>463</v>
      </c>
      <c r="Z63" s="2">
        <v>6</v>
      </c>
      <c r="AA63" s="2" t="s">
        <v>101</v>
      </c>
      <c r="AB63" s="2">
        <v>9</v>
      </c>
      <c r="AC63" s="2" t="s">
        <v>124</v>
      </c>
      <c r="AD63" s="3">
        <v>40185</v>
      </c>
      <c r="AE63" s="4">
        <v>0.3263888888888889</v>
      </c>
      <c r="AF63" s="2"/>
      <c r="AG63" s="2"/>
      <c r="AH63" s="2">
        <v>3</v>
      </c>
      <c r="AI63" s="2" t="s">
        <v>214</v>
      </c>
      <c r="AJ63" s="2">
        <v>24</v>
      </c>
      <c r="AK63" s="2" t="s">
        <v>215</v>
      </c>
      <c r="AL63" s="2">
        <v>11</v>
      </c>
      <c r="AM63" s="2" t="s">
        <v>137</v>
      </c>
      <c r="AN63" s="2"/>
      <c r="AO63" s="2" t="s">
        <v>506</v>
      </c>
      <c r="AP63" s="2">
        <v>11</v>
      </c>
      <c r="AQ63" s="2" t="s">
        <v>82</v>
      </c>
      <c r="AR63" s="2"/>
      <c r="AS63" s="2"/>
      <c r="AT63" s="2" t="s">
        <v>507</v>
      </c>
      <c r="AU63" s="2"/>
      <c r="AV63" s="2"/>
      <c r="AW63" s="2"/>
      <c r="AX63" s="2"/>
      <c r="AY63" s="2">
        <v>41</v>
      </c>
      <c r="AZ63" s="2" t="s">
        <v>82</v>
      </c>
      <c r="BA63" s="2">
        <v>41</v>
      </c>
      <c r="BB63" s="2" t="s">
        <v>82</v>
      </c>
      <c r="BC63" s="2">
        <v>41</v>
      </c>
      <c r="BD63" s="2" t="s">
        <v>82</v>
      </c>
      <c r="BE63" s="2">
        <v>17</v>
      </c>
      <c r="BF63" s="2" t="s">
        <v>508</v>
      </c>
      <c r="BG63" s="2" t="s">
        <v>509</v>
      </c>
      <c r="BH63" s="4">
        <v>0.52777777777777779</v>
      </c>
      <c r="BI63" s="4">
        <v>0.46736111111111112</v>
      </c>
      <c r="BJ63" s="2">
        <v>13</v>
      </c>
      <c r="BK63" s="2" t="s">
        <v>91</v>
      </c>
      <c r="BL63" s="2" t="s">
        <v>169</v>
      </c>
      <c r="BM63" s="2">
        <v>241</v>
      </c>
      <c r="BN63" s="2" t="s">
        <v>82</v>
      </c>
      <c r="BO63" s="2"/>
      <c r="BP63" s="2">
        <v>46</v>
      </c>
      <c r="BQ63" s="2" t="s">
        <v>307</v>
      </c>
      <c r="BR63" s="2" t="s">
        <v>308</v>
      </c>
      <c r="BS63" s="3">
        <v>40185</v>
      </c>
      <c r="BT63" s="4">
        <v>0.51001157407407405</v>
      </c>
    </row>
    <row r="64" spans="1:72" x14ac:dyDescent="0.25">
      <c r="A64" s="2">
        <v>98</v>
      </c>
      <c r="B64" s="2">
        <v>2010</v>
      </c>
      <c r="C64" s="2" t="s">
        <v>93</v>
      </c>
      <c r="D64" s="2" t="s">
        <v>73</v>
      </c>
      <c r="E64" s="2"/>
      <c r="F64" s="2">
        <v>432</v>
      </c>
      <c r="G64" s="2" t="s">
        <v>510</v>
      </c>
      <c r="H64" s="2">
        <v>22</v>
      </c>
      <c r="I64" s="2" t="s">
        <v>75</v>
      </c>
      <c r="J64" s="2">
        <v>315</v>
      </c>
      <c r="K64" s="2" t="s">
        <v>511</v>
      </c>
      <c r="L64" s="2" t="s">
        <v>512</v>
      </c>
      <c r="M64" s="3">
        <v>40185</v>
      </c>
      <c r="N64" s="2"/>
      <c r="O64" s="2" t="s">
        <v>513</v>
      </c>
      <c r="P64" s="2"/>
      <c r="Q64" s="2" t="str">
        <f>""</f>
        <v/>
      </c>
      <c r="R64" s="2"/>
      <c r="S64" s="2"/>
      <c r="T64" s="2">
        <v>1</v>
      </c>
      <c r="U64" s="2" t="s">
        <v>79</v>
      </c>
      <c r="V64" s="2">
        <v>1</v>
      </c>
      <c r="W64" s="2" t="s">
        <v>80</v>
      </c>
      <c r="X64" s="2">
        <v>1</v>
      </c>
      <c r="Y64" s="2" t="s">
        <v>81</v>
      </c>
      <c r="Z64" s="2">
        <v>1</v>
      </c>
      <c r="AA64" s="2" t="s">
        <v>82</v>
      </c>
      <c r="AB64" s="2">
        <v>2</v>
      </c>
      <c r="AC64" s="2" t="s">
        <v>102</v>
      </c>
      <c r="AD64" s="3">
        <v>40185</v>
      </c>
      <c r="AE64" s="4">
        <v>0.33333333333333331</v>
      </c>
      <c r="AF64" s="2"/>
      <c r="AG64" s="2"/>
      <c r="AH64" s="2">
        <v>2</v>
      </c>
      <c r="AI64" s="2" t="s">
        <v>84</v>
      </c>
      <c r="AJ64" s="2">
        <v>12</v>
      </c>
      <c r="AK64" s="2" t="s">
        <v>85</v>
      </c>
      <c r="AL64" s="2">
        <v>18</v>
      </c>
      <c r="AM64" s="2" t="s">
        <v>82</v>
      </c>
      <c r="AN64" s="2" t="s">
        <v>514</v>
      </c>
      <c r="AO64" s="2" t="s">
        <v>515</v>
      </c>
      <c r="AP64" s="2">
        <v>11</v>
      </c>
      <c r="AQ64" s="2" t="s">
        <v>82</v>
      </c>
      <c r="AR64" s="2"/>
      <c r="AS64" s="2"/>
      <c r="AT64" s="2" t="s">
        <v>516</v>
      </c>
      <c r="AU64" s="2"/>
      <c r="AV64" s="2"/>
      <c r="AW64" s="2"/>
      <c r="AX64" s="2"/>
      <c r="AY64" s="2">
        <v>41</v>
      </c>
      <c r="AZ64" s="2" t="s">
        <v>82</v>
      </c>
      <c r="BA64" s="2">
        <v>41</v>
      </c>
      <c r="BB64" s="2" t="s">
        <v>82</v>
      </c>
      <c r="BC64" s="2">
        <v>41</v>
      </c>
      <c r="BD64" s="2" t="s">
        <v>82</v>
      </c>
      <c r="BE64" s="2">
        <v>41</v>
      </c>
      <c r="BF64" s="2" t="s">
        <v>82</v>
      </c>
      <c r="BG64" s="2"/>
      <c r="BH64" s="2"/>
      <c r="BI64" s="2"/>
      <c r="BJ64" s="2">
        <v>241</v>
      </c>
      <c r="BK64" s="2" t="s">
        <v>82</v>
      </c>
      <c r="BL64" s="2"/>
      <c r="BM64" s="2">
        <v>241</v>
      </c>
      <c r="BN64" s="2" t="s">
        <v>82</v>
      </c>
      <c r="BO64" s="2"/>
      <c r="BP64" s="2">
        <v>241</v>
      </c>
      <c r="BQ64" s="2" t="s">
        <v>82</v>
      </c>
      <c r="BR64" s="2"/>
      <c r="BS64" s="3">
        <v>40185</v>
      </c>
      <c r="BT64" s="4">
        <v>0.62019675925925932</v>
      </c>
    </row>
    <row r="65" spans="1:72" x14ac:dyDescent="0.25">
      <c r="A65" s="2">
        <v>99</v>
      </c>
      <c r="B65" s="2">
        <v>2010</v>
      </c>
      <c r="C65" s="2" t="s">
        <v>171</v>
      </c>
      <c r="D65" s="2" t="s">
        <v>73</v>
      </c>
      <c r="E65" s="2"/>
      <c r="F65" s="2">
        <v>100</v>
      </c>
      <c r="G65" s="2" t="s">
        <v>517</v>
      </c>
      <c r="H65" s="2">
        <v>22</v>
      </c>
      <c r="I65" s="2" t="s">
        <v>75</v>
      </c>
      <c r="J65" s="2">
        <v>119</v>
      </c>
      <c r="K65" s="2" t="s">
        <v>325</v>
      </c>
      <c r="L65" s="2" t="s">
        <v>326</v>
      </c>
      <c r="M65" s="3">
        <v>40185</v>
      </c>
      <c r="N65" s="2"/>
      <c r="O65" s="2" t="s">
        <v>518</v>
      </c>
      <c r="P65" s="2" t="s">
        <v>519</v>
      </c>
      <c r="Q65" s="2" t="str">
        <f>""</f>
        <v/>
      </c>
      <c r="R65" s="2"/>
      <c r="S65" s="2"/>
      <c r="T65" s="2">
        <v>1</v>
      </c>
      <c r="U65" s="2" t="s">
        <v>79</v>
      </c>
      <c r="V65" s="2">
        <v>3</v>
      </c>
      <c r="W65" s="2" t="s">
        <v>225</v>
      </c>
      <c r="X65" s="2">
        <v>2</v>
      </c>
      <c r="Y65" s="2" t="s">
        <v>136</v>
      </c>
      <c r="Z65" s="2">
        <v>1</v>
      </c>
      <c r="AA65" s="2" t="s">
        <v>82</v>
      </c>
      <c r="AB65" s="2">
        <v>9</v>
      </c>
      <c r="AC65" s="2" t="s">
        <v>124</v>
      </c>
      <c r="AD65" s="2"/>
      <c r="AE65" s="2"/>
      <c r="AF65" s="2"/>
      <c r="AG65" s="2"/>
      <c r="AH65" s="2">
        <v>6</v>
      </c>
      <c r="AI65" s="2" t="s">
        <v>197</v>
      </c>
      <c r="AJ65" s="2">
        <v>47</v>
      </c>
      <c r="AK65" s="2" t="s">
        <v>250</v>
      </c>
      <c r="AL65" s="2">
        <v>23</v>
      </c>
      <c r="AM65" s="2" t="s">
        <v>251</v>
      </c>
      <c r="AN65" s="2"/>
      <c r="AO65" s="2"/>
      <c r="AP65" s="2">
        <v>11</v>
      </c>
      <c r="AQ65" s="2" t="s">
        <v>82</v>
      </c>
      <c r="AR65" s="2"/>
      <c r="AS65" s="2"/>
      <c r="AT65" s="2" t="s">
        <v>520</v>
      </c>
      <c r="AU65" s="2"/>
      <c r="AV65" s="2"/>
      <c r="AW65" s="2"/>
      <c r="AX65" s="2"/>
      <c r="AY65" s="2">
        <v>41</v>
      </c>
      <c r="AZ65" s="2" t="s">
        <v>82</v>
      </c>
      <c r="BA65" s="2">
        <v>41</v>
      </c>
      <c r="BB65" s="2" t="s">
        <v>82</v>
      </c>
      <c r="BC65" s="2">
        <v>41</v>
      </c>
      <c r="BD65" s="2" t="s">
        <v>82</v>
      </c>
      <c r="BE65" s="2">
        <v>41</v>
      </c>
      <c r="BF65" s="2" t="s">
        <v>82</v>
      </c>
      <c r="BG65" s="2"/>
      <c r="BH65" s="2"/>
      <c r="BI65" s="2"/>
      <c r="BJ65" s="2">
        <v>241</v>
      </c>
      <c r="BK65" s="2" t="s">
        <v>82</v>
      </c>
      <c r="BL65" s="2"/>
      <c r="BM65" s="2">
        <v>241</v>
      </c>
      <c r="BN65" s="2" t="s">
        <v>82</v>
      </c>
      <c r="BO65" s="2"/>
      <c r="BP65" s="2">
        <v>241</v>
      </c>
      <c r="BQ65" s="2" t="s">
        <v>82</v>
      </c>
      <c r="BR65" s="2"/>
      <c r="BS65" s="3">
        <v>40185</v>
      </c>
      <c r="BT65" s="4">
        <v>0.62894675925925925</v>
      </c>
    </row>
    <row r="66" spans="1:72" x14ac:dyDescent="0.25">
      <c r="A66" s="2">
        <v>100</v>
      </c>
      <c r="B66" s="2">
        <v>2010</v>
      </c>
      <c r="C66" s="2" t="s">
        <v>171</v>
      </c>
      <c r="D66" s="2" t="s">
        <v>73</v>
      </c>
      <c r="E66" s="2"/>
      <c r="F66" s="2">
        <v>9</v>
      </c>
      <c r="G66" s="2" t="s">
        <v>364</v>
      </c>
      <c r="H66" s="2">
        <v>2</v>
      </c>
      <c r="I66" s="2" t="s">
        <v>267</v>
      </c>
      <c r="J66" s="2">
        <v>18</v>
      </c>
      <c r="K66" s="2" t="s">
        <v>365</v>
      </c>
      <c r="L66" s="2" t="s">
        <v>115</v>
      </c>
      <c r="M66" s="3">
        <v>40185</v>
      </c>
      <c r="N66" s="2" t="s">
        <v>423</v>
      </c>
      <c r="O66" s="2" t="s">
        <v>521</v>
      </c>
      <c r="P66" s="2" t="s">
        <v>522</v>
      </c>
      <c r="Q66" s="2" t="str">
        <f>"02/10"</f>
        <v>02/10</v>
      </c>
      <c r="R66" s="2" t="s">
        <v>82</v>
      </c>
      <c r="S66" s="2" t="s">
        <v>523</v>
      </c>
      <c r="T66" s="2">
        <v>1</v>
      </c>
      <c r="U66" s="2" t="s">
        <v>79</v>
      </c>
      <c r="V66" s="2">
        <v>3</v>
      </c>
      <c r="W66" s="2" t="s">
        <v>225</v>
      </c>
      <c r="X66" s="2">
        <v>6</v>
      </c>
      <c r="Y66" s="2" t="s">
        <v>249</v>
      </c>
      <c r="Z66" s="2">
        <v>1</v>
      </c>
      <c r="AA66" s="2" t="s">
        <v>82</v>
      </c>
      <c r="AB66" s="2">
        <v>9</v>
      </c>
      <c r="AC66" s="2" t="s">
        <v>124</v>
      </c>
      <c r="AD66" s="2"/>
      <c r="AE66" s="2"/>
      <c r="AF66" s="2"/>
      <c r="AG66" s="2"/>
      <c r="AH66" s="2">
        <v>3</v>
      </c>
      <c r="AI66" s="2" t="s">
        <v>214</v>
      </c>
      <c r="AJ66" s="2">
        <v>14</v>
      </c>
      <c r="AK66" s="2" t="s">
        <v>342</v>
      </c>
      <c r="AL66" s="2">
        <v>19</v>
      </c>
      <c r="AM66" s="2" t="s">
        <v>107</v>
      </c>
      <c r="AN66" s="2" t="s">
        <v>82</v>
      </c>
      <c r="AO66" s="2" t="s">
        <v>524</v>
      </c>
      <c r="AP66" s="2">
        <v>11</v>
      </c>
      <c r="AQ66" s="2" t="s">
        <v>82</v>
      </c>
      <c r="AR66" s="2"/>
      <c r="AS66" s="2"/>
      <c r="AT66" s="2" t="s">
        <v>525</v>
      </c>
      <c r="AU66" s="2"/>
      <c r="AV66" s="2"/>
      <c r="AW66" s="2"/>
      <c r="AX66" s="2"/>
      <c r="AY66" s="2">
        <v>1</v>
      </c>
      <c r="AZ66" s="2" t="s">
        <v>107</v>
      </c>
      <c r="BA66" s="2">
        <v>1</v>
      </c>
      <c r="BB66" s="2" t="s">
        <v>107</v>
      </c>
      <c r="BC66" s="2">
        <v>1</v>
      </c>
      <c r="BD66" s="2" t="s">
        <v>107</v>
      </c>
      <c r="BE66" s="2">
        <v>1</v>
      </c>
      <c r="BF66" s="2" t="s">
        <v>107</v>
      </c>
      <c r="BG66" s="2"/>
      <c r="BH66" s="2"/>
      <c r="BI66" s="2"/>
      <c r="BJ66" s="2">
        <v>242</v>
      </c>
      <c r="BK66" s="2" t="s">
        <v>107</v>
      </c>
      <c r="BL66" s="2"/>
      <c r="BM66" s="2">
        <v>242</v>
      </c>
      <c r="BN66" s="2" t="s">
        <v>107</v>
      </c>
      <c r="BO66" s="2"/>
      <c r="BP66" s="2">
        <v>242</v>
      </c>
      <c r="BQ66" s="2" t="s">
        <v>107</v>
      </c>
      <c r="BR66" s="2"/>
      <c r="BS66" s="3">
        <v>40185</v>
      </c>
      <c r="BT66" s="4">
        <v>0.67350694444444448</v>
      </c>
    </row>
    <row r="67" spans="1:72" x14ac:dyDescent="0.25">
      <c r="A67" s="2">
        <v>101</v>
      </c>
      <c r="B67" s="2">
        <v>2010</v>
      </c>
      <c r="C67" s="2" t="s">
        <v>72</v>
      </c>
      <c r="D67" s="2" t="s">
        <v>73</v>
      </c>
      <c r="E67" s="2"/>
      <c r="F67" s="2">
        <v>390</v>
      </c>
      <c r="G67" s="2" t="s">
        <v>475</v>
      </c>
      <c r="H67" s="2">
        <v>7</v>
      </c>
      <c r="I67" s="2" t="s">
        <v>476</v>
      </c>
      <c r="J67" s="2">
        <v>314</v>
      </c>
      <c r="K67" s="2" t="s">
        <v>477</v>
      </c>
      <c r="L67" s="2" t="s">
        <v>478</v>
      </c>
      <c r="M67" s="3">
        <v>40185</v>
      </c>
      <c r="N67" s="2" t="s">
        <v>526</v>
      </c>
      <c r="O67" s="2"/>
      <c r="P67" s="2"/>
      <c r="Q67" s="2" t="str">
        <f>"013-E/10"</f>
        <v>013-E/10</v>
      </c>
      <c r="R67" s="2" t="s">
        <v>527</v>
      </c>
      <c r="S67" s="2" t="s">
        <v>527</v>
      </c>
      <c r="T67" s="2">
        <v>1</v>
      </c>
      <c r="U67" s="2" t="s">
        <v>79</v>
      </c>
      <c r="V67" s="2">
        <v>1</v>
      </c>
      <c r="W67" s="2" t="s">
        <v>80</v>
      </c>
      <c r="X67" s="2">
        <v>1</v>
      </c>
      <c r="Y67" s="2" t="s">
        <v>81</v>
      </c>
      <c r="Z67" s="2">
        <v>1</v>
      </c>
      <c r="AA67" s="2" t="s">
        <v>82</v>
      </c>
      <c r="AB67" s="2">
        <v>6</v>
      </c>
      <c r="AC67" s="2" t="s">
        <v>83</v>
      </c>
      <c r="AD67" s="3">
        <v>40185</v>
      </c>
      <c r="AE67" s="4">
        <v>0.32291666666666669</v>
      </c>
      <c r="AF67" s="3">
        <v>40185</v>
      </c>
      <c r="AG67" s="2"/>
      <c r="AH67" s="2">
        <v>2</v>
      </c>
      <c r="AI67" s="2" t="s">
        <v>84</v>
      </c>
      <c r="AJ67" s="2">
        <v>9</v>
      </c>
      <c r="AK67" s="2" t="s">
        <v>103</v>
      </c>
      <c r="AL67" s="2">
        <v>2</v>
      </c>
      <c r="AM67" s="2" t="s">
        <v>163</v>
      </c>
      <c r="AN67" s="2" t="s">
        <v>528</v>
      </c>
      <c r="AO67" s="2"/>
      <c r="AP67" s="2">
        <v>11</v>
      </c>
      <c r="AQ67" s="2" t="s">
        <v>82</v>
      </c>
      <c r="AR67" s="2"/>
      <c r="AS67" s="2"/>
      <c r="AT67" s="2" t="s">
        <v>529</v>
      </c>
      <c r="AU67" s="2"/>
      <c r="AV67" s="2">
        <v>1</v>
      </c>
      <c r="AW67" s="2"/>
      <c r="AX67" s="2"/>
      <c r="AY67" s="2">
        <v>13</v>
      </c>
      <c r="AZ67" s="2" t="s">
        <v>108</v>
      </c>
      <c r="BA67" s="2">
        <v>41</v>
      </c>
      <c r="BB67" s="2" t="s">
        <v>82</v>
      </c>
      <c r="BC67" s="2">
        <v>41</v>
      </c>
      <c r="BD67" s="2" t="s">
        <v>82</v>
      </c>
      <c r="BE67" s="2">
        <v>13</v>
      </c>
      <c r="BF67" s="2" t="s">
        <v>108</v>
      </c>
      <c r="BG67" s="2" t="s">
        <v>530</v>
      </c>
      <c r="BH67" s="4">
        <v>0.29166666666666669</v>
      </c>
      <c r="BI67" s="2"/>
      <c r="BJ67" s="2">
        <v>73</v>
      </c>
      <c r="BK67" s="2" t="s">
        <v>186</v>
      </c>
      <c r="BL67" s="2" t="s">
        <v>531</v>
      </c>
      <c r="BM67" s="2">
        <v>241</v>
      </c>
      <c r="BN67" s="2" t="s">
        <v>82</v>
      </c>
      <c r="BO67" s="2"/>
      <c r="BP67" s="2">
        <v>13</v>
      </c>
      <c r="BQ67" s="2" t="s">
        <v>91</v>
      </c>
      <c r="BR67" s="2" t="s">
        <v>486</v>
      </c>
      <c r="BS67" s="3">
        <v>40185</v>
      </c>
      <c r="BT67" s="4">
        <v>0.69173611111111111</v>
      </c>
    </row>
    <row r="68" spans="1:72" x14ac:dyDescent="0.25">
      <c r="A68" s="2">
        <v>105</v>
      </c>
      <c r="B68" s="2">
        <v>2010</v>
      </c>
      <c r="C68" s="2" t="s">
        <v>72</v>
      </c>
      <c r="D68" s="2" t="s">
        <v>73</v>
      </c>
      <c r="E68" s="2"/>
      <c r="F68" s="2">
        <v>24</v>
      </c>
      <c r="G68" s="2" t="s">
        <v>532</v>
      </c>
      <c r="H68" s="2">
        <v>1</v>
      </c>
      <c r="I68" s="2" t="s">
        <v>82</v>
      </c>
      <c r="J68" s="2">
        <v>300</v>
      </c>
      <c r="K68" s="2" t="s">
        <v>114</v>
      </c>
      <c r="L68" s="2" t="s">
        <v>115</v>
      </c>
      <c r="M68" s="3">
        <v>40185</v>
      </c>
      <c r="N68" s="2"/>
      <c r="O68" s="2"/>
      <c r="P68" s="2"/>
      <c r="Q68" s="2" t="str">
        <f>"05-E/10"</f>
        <v>05-E/10</v>
      </c>
      <c r="R68" s="2" t="s">
        <v>116</v>
      </c>
      <c r="S68" s="2" t="s">
        <v>116</v>
      </c>
      <c r="T68" s="2">
        <v>1</v>
      </c>
      <c r="U68" s="2" t="s">
        <v>79</v>
      </c>
      <c r="V68" s="2">
        <v>1</v>
      </c>
      <c r="W68" s="2" t="s">
        <v>80</v>
      </c>
      <c r="X68" s="2">
        <v>1</v>
      </c>
      <c r="Y68" s="2" t="s">
        <v>81</v>
      </c>
      <c r="Z68" s="2">
        <v>1</v>
      </c>
      <c r="AA68" s="2" t="s">
        <v>82</v>
      </c>
      <c r="AB68" s="2">
        <v>6</v>
      </c>
      <c r="AC68" s="2" t="s">
        <v>83</v>
      </c>
      <c r="AD68" s="3">
        <v>40182</v>
      </c>
      <c r="AE68" s="4">
        <v>0.52083333333333337</v>
      </c>
      <c r="AF68" s="3">
        <v>40182</v>
      </c>
      <c r="AG68" s="4">
        <v>0.65277777777777779</v>
      </c>
      <c r="AH68" s="2">
        <v>2</v>
      </c>
      <c r="AI68" s="2" t="s">
        <v>84</v>
      </c>
      <c r="AJ68" s="2">
        <v>9</v>
      </c>
      <c r="AK68" s="2" t="s">
        <v>103</v>
      </c>
      <c r="AL68" s="2">
        <v>18</v>
      </c>
      <c r="AM68" s="2" t="s">
        <v>82</v>
      </c>
      <c r="AN68" s="2" t="s">
        <v>533</v>
      </c>
      <c r="AO68" s="2" t="s">
        <v>534</v>
      </c>
      <c r="AP68" s="2">
        <v>11</v>
      </c>
      <c r="AQ68" s="2" t="s">
        <v>82</v>
      </c>
      <c r="AR68" s="2"/>
      <c r="AS68" s="2"/>
      <c r="AT68" s="2" t="s">
        <v>535</v>
      </c>
      <c r="AU68" s="2"/>
      <c r="AV68" s="2"/>
      <c r="AW68" s="2"/>
      <c r="AX68" s="2"/>
      <c r="AY68" s="2">
        <v>41</v>
      </c>
      <c r="AZ68" s="2" t="s">
        <v>82</v>
      </c>
      <c r="BA68" s="2">
        <v>41</v>
      </c>
      <c r="BB68" s="2" t="s">
        <v>82</v>
      </c>
      <c r="BC68" s="2">
        <v>41</v>
      </c>
      <c r="BD68" s="2" t="s">
        <v>82</v>
      </c>
      <c r="BE68" s="2">
        <v>41</v>
      </c>
      <c r="BF68" s="2" t="s">
        <v>82</v>
      </c>
      <c r="BG68" s="2" t="s">
        <v>82</v>
      </c>
      <c r="BH68" s="2"/>
      <c r="BI68" s="2"/>
      <c r="BJ68" s="2">
        <v>241</v>
      </c>
      <c r="BK68" s="2" t="s">
        <v>82</v>
      </c>
      <c r="BL68" s="2"/>
      <c r="BM68" s="2">
        <v>241</v>
      </c>
      <c r="BN68" s="2" t="s">
        <v>82</v>
      </c>
      <c r="BO68" s="2"/>
      <c r="BP68" s="2">
        <v>241</v>
      </c>
      <c r="BQ68" s="2" t="s">
        <v>82</v>
      </c>
      <c r="BR68" s="2"/>
      <c r="BS68" s="3">
        <v>40185</v>
      </c>
      <c r="BT68" s="4">
        <v>0.72268518518518521</v>
      </c>
    </row>
    <row r="69" spans="1:72" x14ac:dyDescent="0.25">
      <c r="A69" s="2">
        <v>106</v>
      </c>
      <c r="B69" s="2">
        <v>2010</v>
      </c>
      <c r="C69" s="2" t="s">
        <v>385</v>
      </c>
      <c r="D69" s="2" t="s">
        <v>122</v>
      </c>
      <c r="E69" s="2"/>
      <c r="F69" s="2">
        <v>398</v>
      </c>
      <c r="G69" s="2" t="s">
        <v>94</v>
      </c>
      <c r="H69" s="2">
        <v>12</v>
      </c>
      <c r="I69" s="2" t="s">
        <v>95</v>
      </c>
      <c r="J69" s="2">
        <v>245</v>
      </c>
      <c r="K69" s="2" t="s">
        <v>96</v>
      </c>
      <c r="L69" s="2" t="s">
        <v>97</v>
      </c>
      <c r="M69" s="3">
        <v>40185</v>
      </c>
      <c r="N69" s="2" t="s">
        <v>470</v>
      </c>
      <c r="O69" s="2" t="s">
        <v>471</v>
      </c>
      <c r="P69" s="2" t="s">
        <v>472</v>
      </c>
      <c r="Q69" s="2" t="str">
        <f>""</f>
        <v/>
      </c>
      <c r="R69" s="2"/>
      <c r="S69" s="2"/>
      <c r="T69" s="2">
        <v>1</v>
      </c>
      <c r="U69" s="2" t="s">
        <v>79</v>
      </c>
      <c r="V69" s="2">
        <v>1</v>
      </c>
      <c r="W69" s="2" t="s">
        <v>80</v>
      </c>
      <c r="X69" s="2">
        <v>5</v>
      </c>
      <c r="Y69" s="2" t="s">
        <v>82</v>
      </c>
      <c r="Z69" s="2">
        <v>1</v>
      </c>
      <c r="AA69" s="2" t="s">
        <v>82</v>
      </c>
      <c r="AB69" s="2">
        <v>9</v>
      </c>
      <c r="AC69" s="2" t="s">
        <v>124</v>
      </c>
      <c r="AD69" s="3">
        <v>40185</v>
      </c>
      <c r="AE69" s="4">
        <v>0.72916666666666663</v>
      </c>
      <c r="AF69" s="2"/>
      <c r="AG69" s="2"/>
      <c r="AH69" s="2">
        <v>2</v>
      </c>
      <c r="AI69" s="2" t="s">
        <v>84</v>
      </c>
      <c r="AJ69" s="2">
        <v>8</v>
      </c>
      <c r="AK69" s="2" t="s">
        <v>436</v>
      </c>
      <c r="AL69" s="2">
        <v>18</v>
      </c>
      <c r="AM69" s="2" t="s">
        <v>82</v>
      </c>
      <c r="AN69" s="2"/>
      <c r="AO69" s="2"/>
      <c r="AP69" s="2">
        <v>11</v>
      </c>
      <c r="AQ69" s="2" t="s">
        <v>82</v>
      </c>
      <c r="AR69" s="2"/>
      <c r="AS69" s="2"/>
      <c r="AT69" s="2" t="s">
        <v>536</v>
      </c>
      <c r="AU69" s="2"/>
      <c r="AV69" s="2">
        <v>1</v>
      </c>
      <c r="AW69" s="2"/>
      <c r="AX69" s="2"/>
      <c r="AY69" s="2">
        <v>1</v>
      </c>
      <c r="AZ69" s="2" t="s">
        <v>107</v>
      </c>
      <c r="BA69" s="2">
        <v>1</v>
      </c>
      <c r="BB69" s="2" t="s">
        <v>107</v>
      </c>
      <c r="BC69" s="2">
        <v>1</v>
      </c>
      <c r="BD69" s="2" t="s">
        <v>107</v>
      </c>
      <c r="BE69" s="2">
        <v>1</v>
      </c>
      <c r="BF69" s="2" t="s">
        <v>107</v>
      </c>
      <c r="BG69" s="2"/>
      <c r="BH69" s="2"/>
      <c r="BI69" s="2"/>
      <c r="BJ69" s="2">
        <v>242</v>
      </c>
      <c r="BK69" s="2" t="s">
        <v>107</v>
      </c>
      <c r="BL69" s="2"/>
      <c r="BM69" s="2">
        <v>242</v>
      </c>
      <c r="BN69" s="2" t="s">
        <v>107</v>
      </c>
      <c r="BO69" s="2"/>
      <c r="BP69" s="2">
        <v>242</v>
      </c>
      <c r="BQ69" s="2" t="s">
        <v>107</v>
      </c>
      <c r="BR69" s="2"/>
      <c r="BS69" s="3">
        <v>40185</v>
      </c>
      <c r="BT69" s="4">
        <v>0.745</v>
      </c>
    </row>
    <row r="70" spans="1:72" x14ac:dyDescent="0.25">
      <c r="A70" s="2">
        <v>107</v>
      </c>
      <c r="B70" s="2">
        <v>2010</v>
      </c>
      <c r="C70" s="2" t="s">
        <v>93</v>
      </c>
      <c r="D70" s="2" t="s">
        <v>73</v>
      </c>
      <c r="E70" s="2"/>
      <c r="F70" s="2">
        <v>144</v>
      </c>
      <c r="G70" s="2" t="s">
        <v>537</v>
      </c>
      <c r="H70" s="2">
        <v>22</v>
      </c>
      <c r="I70" s="2" t="s">
        <v>75</v>
      </c>
      <c r="J70" s="2">
        <v>160</v>
      </c>
      <c r="K70" s="2" t="s">
        <v>538</v>
      </c>
      <c r="L70" s="2" t="s">
        <v>539</v>
      </c>
      <c r="M70" s="3">
        <v>40185</v>
      </c>
      <c r="N70" s="2" t="s">
        <v>540</v>
      </c>
      <c r="O70" s="2" t="s">
        <v>541</v>
      </c>
      <c r="P70" s="2">
        <v>13852</v>
      </c>
      <c r="Q70" s="2" t="str">
        <f>"AP 0001_10"</f>
        <v>AP 0001_10</v>
      </c>
      <c r="R70" s="2" t="s">
        <v>542</v>
      </c>
      <c r="S70" s="2" t="s">
        <v>82</v>
      </c>
      <c r="T70" s="2">
        <v>1</v>
      </c>
      <c r="U70" s="2" t="s">
        <v>79</v>
      </c>
      <c r="V70" s="2">
        <v>1</v>
      </c>
      <c r="W70" s="2" t="s">
        <v>80</v>
      </c>
      <c r="X70" s="2">
        <v>1</v>
      </c>
      <c r="Y70" s="2" t="s">
        <v>81</v>
      </c>
      <c r="Z70" s="2">
        <v>1</v>
      </c>
      <c r="AA70" s="2" t="s">
        <v>82</v>
      </c>
      <c r="AB70" s="2">
        <v>2</v>
      </c>
      <c r="AC70" s="2" t="s">
        <v>102</v>
      </c>
      <c r="AD70" s="3">
        <v>40185</v>
      </c>
      <c r="AE70" s="4">
        <v>0.68055555555555547</v>
      </c>
      <c r="AF70" s="2"/>
      <c r="AG70" s="2"/>
      <c r="AH70" s="2">
        <v>6</v>
      </c>
      <c r="AI70" s="2" t="s">
        <v>197</v>
      </c>
      <c r="AJ70" s="2">
        <v>60</v>
      </c>
      <c r="AK70" s="2" t="s">
        <v>543</v>
      </c>
      <c r="AL70" s="2">
        <v>11</v>
      </c>
      <c r="AM70" s="2" t="s">
        <v>137</v>
      </c>
      <c r="AN70" s="2" t="s">
        <v>107</v>
      </c>
      <c r="AO70" s="2" t="s">
        <v>544</v>
      </c>
      <c r="AP70" s="2">
        <v>11</v>
      </c>
      <c r="AQ70" s="2" t="s">
        <v>82</v>
      </c>
      <c r="AR70" s="2"/>
      <c r="AS70" s="2"/>
      <c r="AT70" s="2" t="s">
        <v>545</v>
      </c>
      <c r="AU70" s="2"/>
      <c r="AV70" s="2"/>
      <c r="AW70" s="2"/>
      <c r="AX70" s="2"/>
      <c r="AY70" s="2">
        <v>41</v>
      </c>
      <c r="AZ70" s="2" t="s">
        <v>82</v>
      </c>
      <c r="BA70" s="2">
        <v>41</v>
      </c>
      <c r="BB70" s="2" t="s">
        <v>82</v>
      </c>
      <c r="BC70" s="2">
        <v>41</v>
      </c>
      <c r="BD70" s="2" t="s">
        <v>82</v>
      </c>
      <c r="BE70" s="2">
        <v>42</v>
      </c>
      <c r="BF70" s="2" t="s">
        <v>182</v>
      </c>
      <c r="BG70" s="2" t="s">
        <v>546</v>
      </c>
      <c r="BH70" s="2"/>
      <c r="BI70" s="4">
        <v>0.6875</v>
      </c>
      <c r="BJ70" s="2">
        <v>13</v>
      </c>
      <c r="BK70" s="2" t="s">
        <v>91</v>
      </c>
      <c r="BL70" s="2" t="s">
        <v>547</v>
      </c>
      <c r="BM70" s="2">
        <v>13</v>
      </c>
      <c r="BN70" s="2" t="s">
        <v>91</v>
      </c>
      <c r="BO70" s="2" t="s">
        <v>548</v>
      </c>
      <c r="BP70" s="2">
        <v>13</v>
      </c>
      <c r="BQ70" s="2" t="s">
        <v>91</v>
      </c>
      <c r="BR70" s="2" t="s">
        <v>547</v>
      </c>
      <c r="BS70" s="3">
        <v>40185</v>
      </c>
      <c r="BT70" s="4">
        <v>0.74637731481481484</v>
      </c>
    </row>
    <row r="71" spans="1:72" x14ac:dyDescent="0.25">
      <c r="A71" s="2">
        <v>108</v>
      </c>
      <c r="B71" s="2">
        <v>2010</v>
      </c>
      <c r="C71" s="2" t="s">
        <v>549</v>
      </c>
      <c r="D71" s="2" t="s">
        <v>73</v>
      </c>
      <c r="E71" s="2"/>
      <c r="F71" s="2">
        <v>2</v>
      </c>
      <c r="G71" s="2" t="s">
        <v>113</v>
      </c>
      <c r="H71" s="2">
        <v>1</v>
      </c>
      <c r="I71" s="2" t="s">
        <v>82</v>
      </c>
      <c r="J71" s="2">
        <v>300</v>
      </c>
      <c r="K71" s="2" t="s">
        <v>114</v>
      </c>
      <c r="L71" s="2" t="s">
        <v>115</v>
      </c>
      <c r="M71" s="3">
        <v>40185</v>
      </c>
      <c r="N71" s="2"/>
      <c r="O71" s="2"/>
      <c r="P71" s="2"/>
      <c r="Q71" s="2" t="str">
        <f>"06-E/10"</f>
        <v>06-E/10</v>
      </c>
      <c r="R71" s="2" t="s">
        <v>550</v>
      </c>
      <c r="S71" s="2" t="s">
        <v>550</v>
      </c>
      <c r="T71" s="2">
        <v>1</v>
      </c>
      <c r="U71" s="2" t="s">
        <v>79</v>
      </c>
      <c r="V71" s="2">
        <v>1</v>
      </c>
      <c r="W71" s="2" t="s">
        <v>80</v>
      </c>
      <c r="X71" s="2">
        <v>1</v>
      </c>
      <c r="Y71" s="2" t="s">
        <v>81</v>
      </c>
      <c r="Z71" s="2">
        <v>1</v>
      </c>
      <c r="AA71" s="2" t="s">
        <v>82</v>
      </c>
      <c r="AB71" s="2">
        <v>9</v>
      </c>
      <c r="AC71" s="2" t="s">
        <v>124</v>
      </c>
      <c r="AD71" s="3">
        <v>40182</v>
      </c>
      <c r="AE71" s="4">
        <v>0.16666666666666666</v>
      </c>
      <c r="AF71" s="3">
        <v>40182</v>
      </c>
      <c r="AG71" s="4">
        <v>0.33333333333333331</v>
      </c>
      <c r="AH71" s="2">
        <v>2</v>
      </c>
      <c r="AI71" s="2" t="s">
        <v>84</v>
      </c>
      <c r="AJ71" s="2">
        <v>9</v>
      </c>
      <c r="AK71" s="2" t="s">
        <v>103</v>
      </c>
      <c r="AL71" s="2">
        <v>18</v>
      </c>
      <c r="AM71" s="2" t="s">
        <v>82</v>
      </c>
      <c r="AN71" s="2" t="s">
        <v>551</v>
      </c>
      <c r="AO71" s="2" t="s">
        <v>552</v>
      </c>
      <c r="AP71" s="2">
        <v>11</v>
      </c>
      <c r="AQ71" s="2" t="s">
        <v>82</v>
      </c>
      <c r="AR71" s="2"/>
      <c r="AS71" s="2"/>
      <c r="AT71" s="2" t="s">
        <v>553</v>
      </c>
      <c r="AU71" s="2"/>
      <c r="AV71" s="2"/>
      <c r="AW71" s="2"/>
      <c r="AX71" s="2"/>
      <c r="AY71" s="2">
        <v>41</v>
      </c>
      <c r="AZ71" s="2" t="s">
        <v>82</v>
      </c>
      <c r="BA71" s="2">
        <v>41</v>
      </c>
      <c r="BB71" s="2" t="s">
        <v>82</v>
      </c>
      <c r="BC71" s="2">
        <v>41</v>
      </c>
      <c r="BD71" s="2" t="s">
        <v>82</v>
      </c>
      <c r="BE71" s="2">
        <v>41</v>
      </c>
      <c r="BF71" s="2" t="s">
        <v>82</v>
      </c>
      <c r="BG71" s="2"/>
      <c r="BH71" s="2"/>
      <c r="BI71" s="2"/>
      <c r="BJ71" s="2">
        <v>241</v>
      </c>
      <c r="BK71" s="2" t="s">
        <v>82</v>
      </c>
      <c r="BL71" s="2"/>
      <c r="BM71" s="2">
        <v>241</v>
      </c>
      <c r="BN71" s="2" t="s">
        <v>82</v>
      </c>
      <c r="BO71" s="2"/>
      <c r="BP71" s="2">
        <v>241</v>
      </c>
      <c r="BQ71" s="2" t="s">
        <v>82</v>
      </c>
      <c r="BR71" s="2"/>
      <c r="BS71" s="3">
        <v>40185</v>
      </c>
      <c r="BT71" s="4">
        <v>0.75905092592592593</v>
      </c>
    </row>
    <row r="72" spans="1:72" x14ac:dyDescent="0.25">
      <c r="A72" s="2">
        <v>110</v>
      </c>
      <c r="B72" s="2">
        <v>2010</v>
      </c>
      <c r="C72" s="2" t="s">
        <v>554</v>
      </c>
      <c r="D72" s="2" t="s">
        <v>73</v>
      </c>
      <c r="E72" s="2"/>
      <c r="F72" s="2">
        <v>178</v>
      </c>
      <c r="G72" s="2" t="s">
        <v>555</v>
      </c>
      <c r="H72" s="2">
        <v>26</v>
      </c>
      <c r="I72" s="2" t="s">
        <v>556</v>
      </c>
      <c r="J72" s="2">
        <v>301</v>
      </c>
      <c r="K72" s="2" t="s">
        <v>153</v>
      </c>
      <c r="L72" s="2" t="s">
        <v>154</v>
      </c>
      <c r="M72" s="3">
        <v>40185</v>
      </c>
      <c r="N72" s="2" t="s">
        <v>557</v>
      </c>
      <c r="O72" s="2" t="s">
        <v>558</v>
      </c>
      <c r="P72" s="2"/>
      <c r="Q72" s="2" t="str">
        <f>"007-A/10"</f>
        <v>007-A/10</v>
      </c>
      <c r="R72" s="2" t="s">
        <v>107</v>
      </c>
      <c r="S72" s="2" t="s">
        <v>558</v>
      </c>
      <c r="T72" s="2">
        <v>1</v>
      </c>
      <c r="U72" s="2" t="s">
        <v>79</v>
      </c>
      <c r="V72" s="2">
        <v>1</v>
      </c>
      <c r="W72" s="2" t="s">
        <v>80</v>
      </c>
      <c r="X72" s="2">
        <v>1</v>
      </c>
      <c r="Y72" s="2" t="s">
        <v>81</v>
      </c>
      <c r="Z72" s="2">
        <v>1</v>
      </c>
      <c r="AA72" s="2" t="s">
        <v>82</v>
      </c>
      <c r="AB72" s="2">
        <v>5</v>
      </c>
      <c r="AC72" s="2" t="s">
        <v>559</v>
      </c>
      <c r="AD72" s="3">
        <v>40185</v>
      </c>
      <c r="AE72" s="4">
        <v>0.70138888888888884</v>
      </c>
      <c r="AF72" s="3">
        <v>40185</v>
      </c>
      <c r="AG72" s="4">
        <v>0.79166666666666663</v>
      </c>
      <c r="AH72" s="2">
        <v>2</v>
      </c>
      <c r="AI72" s="2" t="s">
        <v>84</v>
      </c>
      <c r="AJ72" s="2">
        <v>12</v>
      </c>
      <c r="AK72" s="2" t="s">
        <v>85</v>
      </c>
      <c r="AL72" s="2">
        <v>17</v>
      </c>
      <c r="AM72" s="2" t="s">
        <v>232</v>
      </c>
      <c r="AN72" s="2" t="s">
        <v>560</v>
      </c>
      <c r="AO72" s="2" t="s">
        <v>561</v>
      </c>
      <c r="AP72" s="2">
        <v>11</v>
      </c>
      <c r="AQ72" s="2" t="s">
        <v>82</v>
      </c>
      <c r="AR72" s="2"/>
      <c r="AS72" s="2"/>
      <c r="AT72" s="2" t="s">
        <v>562</v>
      </c>
      <c r="AU72" s="2"/>
      <c r="AV72" s="2"/>
      <c r="AW72" s="2"/>
      <c r="AX72" s="2"/>
      <c r="AY72" s="2">
        <v>41</v>
      </c>
      <c r="AZ72" s="2" t="s">
        <v>82</v>
      </c>
      <c r="BA72" s="2">
        <v>41</v>
      </c>
      <c r="BB72" s="2" t="s">
        <v>82</v>
      </c>
      <c r="BC72" s="2">
        <v>41</v>
      </c>
      <c r="BD72" s="2" t="s">
        <v>82</v>
      </c>
      <c r="BE72" s="2">
        <v>13</v>
      </c>
      <c r="BF72" s="2" t="s">
        <v>108</v>
      </c>
      <c r="BG72" s="2" t="s">
        <v>563</v>
      </c>
      <c r="BH72" s="4">
        <v>0.69791666666666663</v>
      </c>
      <c r="BI72" s="4">
        <v>0.57638888888888895</v>
      </c>
      <c r="BJ72" s="2">
        <v>13</v>
      </c>
      <c r="BK72" s="2" t="s">
        <v>91</v>
      </c>
      <c r="BL72" s="2" t="s">
        <v>332</v>
      </c>
      <c r="BM72" s="2">
        <v>241</v>
      </c>
      <c r="BN72" s="2" t="s">
        <v>82</v>
      </c>
      <c r="BO72" s="2"/>
      <c r="BP72" s="2">
        <v>13</v>
      </c>
      <c r="BQ72" s="2" t="s">
        <v>91</v>
      </c>
      <c r="BR72" s="2" t="s">
        <v>564</v>
      </c>
      <c r="BS72" s="3">
        <v>40185</v>
      </c>
      <c r="BT72" s="4">
        <v>0.87127314814814805</v>
      </c>
    </row>
    <row r="73" spans="1:72" x14ac:dyDescent="0.25">
      <c r="A73" s="2">
        <v>111</v>
      </c>
      <c r="B73" s="2">
        <v>2010</v>
      </c>
      <c r="C73" s="2" t="s">
        <v>457</v>
      </c>
      <c r="D73" s="2" t="s">
        <v>73</v>
      </c>
      <c r="E73" s="2"/>
      <c r="F73" s="2">
        <v>435</v>
      </c>
      <c r="G73" s="2" t="s">
        <v>565</v>
      </c>
      <c r="H73" s="2">
        <v>1</v>
      </c>
      <c r="I73" s="2" t="s">
        <v>82</v>
      </c>
      <c r="J73" s="2">
        <v>1</v>
      </c>
      <c r="K73" s="2" t="s">
        <v>107</v>
      </c>
      <c r="L73" s="2" t="s">
        <v>107</v>
      </c>
      <c r="M73" s="3">
        <v>40185</v>
      </c>
      <c r="N73" s="2" t="s">
        <v>107</v>
      </c>
      <c r="O73" s="2" t="s">
        <v>566</v>
      </c>
      <c r="P73" s="2" t="s">
        <v>567</v>
      </c>
      <c r="Q73" s="2" t="str">
        <f>""</f>
        <v/>
      </c>
      <c r="R73" s="2"/>
      <c r="S73" s="2"/>
      <c r="T73" s="2">
        <v>1</v>
      </c>
      <c r="U73" s="2" t="s">
        <v>79</v>
      </c>
      <c r="V73" s="2">
        <v>1</v>
      </c>
      <c r="W73" s="2" t="s">
        <v>80</v>
      </c>
      <c r="X73" s="2">
        <v>4</v>
      </c>
      <c r="Y73" s="2" t="s">
        <v>463</v>
      </c>
      <c r="Z73" s="2">
        <v>6</v>
      </c>
      <c r="AA73" s="2" t="s">
        <v>101</v>
      </c>
      <c r="AB73" s="2">
        <v>9</v>
      </c>
      <c r="AC73" s="2" t="s">
        <v>124</v>
      </c>
      <c r="AD73" s="2"/>
      <c r="AE73" s="2"/>
      <c r="AF73" s="2"/>
      <c r="AG73" s="2"/>
      <c r="AH73" s="2">
        <v>2</v>
      </c>
      <c r="AI73" s="2" t="s">
        <v>84</v>
      </c>
      <c r="AJ73" s="2">
        <v>12</v>
      </c>
      <c r="AK73" s="2" t="s">
        <v>85</v>
      </c>
      <c r="AL73" s="2">
        <v>18</v>
      </c>
      <c r="AM73" s="2" t="s">
        <v>82</v>
      </c>
      <c r="AN73" s="2" t="s">
        <v>568</v>
      </c>
      <c r="AO73" s="2" t="s">
        <v>569</v>
      </c>
      <c r="AP73" s="2">
        <v>11</v>
      </c>
      <c r="AQ73" s="2" t="s">
        <v>82</v>
      </c>
      <c r="AR73" s="2"/>
      <c r="AS73" s="2"/>
      <c r="AT73" s="2" t="s">
        <v>570</v>
      </c>
      <c r="AU73" s="2"/>
      <c r="AV73" s="2"/>
      <c r="AW73" s="2"/>
      <c r="AX73" s="2"/>
      <c r="AY73" s="2">
        <v>41</v>
      </c>
      <c r="AZ73" s="2" t="s">
        <v>82</v>
      </c>
      <c r="BA73" s="2">
        <v>41</v>
      </c>
      <c r="BB73" s="2" t="s">
        <v>82</v>
      </c>
      <c r="BC73" s="2">
        <v>41</v>
      </c>
      <c r="BD73" s="2" t="s">
        <v>82</v>
      </c>
      <c r="BE73" s="2">
        <v>13</v>
      </c>
      <c r="BF73" s="2" t="s">
        <v>108</v>
      </c>
      <c r="BG73" s="2" t="s">
        <v>571</v>
      </c>
      <c r="BH73" s="2"/>
      <c r="BI73" s="4">
        <v>0.81944444444444453</v>
      </c>
      <c r="BJ73" s="2">
        <v>13</v>
      </c>
      <c r="BK73" s="2" t="s">
        <v>91</v>
      </c>
      <c r="BL73" s="2" t="s">
        <v>572</v>
      </c>
      <c r="BM73" s="2">
        <v>241</v>
      </c>
      <c r="BN73" s="2" t="s">
        <v>82</v>
      </c>
      <c r="BO73" s="2" t="s">
        <v>82</v>
      </c>
      <c r="BP73" s="2">
        <v>229</v>
      </c>
      <c r="BQ73" s="2" t="s">
        <v>300</v>
      </c>
      <c r="BR73" s="2" t="s">
        <v>573</v>
      </c>
      <c r="BS73" s="3">
        <v>40185</v>
      </c>
      <c r="BT73" s="4">
        <v>0.87409722222222219</v>
      </c>
    </row>
    <row r="74" spans="1:72" x14ac:dyDescent="0.25">
      <c r="A74" s="2">
        <v>112</v>
      </c>
      <c r="B74" s="2">
        <v>2010</v>
      </c>
      <c r="C74" s="2" t="s">
        <v>128</v>
      </c>
      <c r="D74" s="2" t="s">
        <v>122</v>
      </c>
      <c r="E74" s="2"/>
      <c r="F74" s="2">
        <v>398</v>
      </c>
      <c r="G74" s="2" t="s">
        <v>94</v>
      </c>
      <c r="H74" s="2">
        <v>12</v>
      </c>
      <c r="I74" s="2" t="s">
        <v>95</v>
      </c>
      <c r="J74" s="2">
        <v>316</v>
      </c>
      <c r="K74" s="2" t="s">
        <v>574</v>
      </c>
      <c r="L74" s="2" t="s">
        <v>575</v>
      </c>
      <c r="M74" s="3">
        <v>40185</v>
      </c>
      <c r="N74" s="2" t="s">
        <v>451</v>
      </c>
      <c r="O74" s="2" t="s">
        <v>576</v>
      </c>
      <c r="P74" s="2">
        <v>11876</v>
      </c>
      <c r="Q74" s="2" t="str">
        <f>""</f>
        <v/>
      </c>
      <c r="R74" s="2"/>
      <c r="S74" s="2"/>
      <c r="T74" s="2">
        <v>1</v>
      </c>
      <c r="U74" s="2" t="s">
        <v>79</v>
      </c>
      <c r="V74" s="2">
        <v>1</v>
      </c>
      <c r="W74" s="2" t="s">
        <v>80</v>
      </c>
      <c r="X74" s="2">
        <v>5</v>
      </c>
      <c r="Y74" s="2" t="s">
        <v>82</v>
      </c>
      <c r="Z74" s="2">
        <v>1</v>
      </c>
      <c r="AA74" s="2" t="s">
        <v>82</v>
      </c>
      <c r="AB74" s="2">
        <v>9</v>
      </c>
      <c r="AC74" s="2" t="s">
        <v>124</v>
      </c>
      <c r="AD74" s="3">
        <v>40185</v>
      </c>
      <c r="AE74" s="4">
        <v>0.78125</v>
      </c>
      <c r="AF74" s="2"/>
      <c r="AG74" s="2"/>
      <c r="AH74" s="2">
        <v>2</v>
      </c>
      <c r="AI74" s="2" t="s">
        <v>84</v>
      </c>
      <c r="AJ74" s="2">
        <v>8</v>
      </c>
      <c r="AK74" s="2" t="s">
        <v>436</v>
      </c>
      <c r="AL74" s="2">
        <v>18</v>
      </c>
      <c r="AM74" s="2" t="s">
        <v>82</v>
      </c>
      <c r="AN74" s="2"/>
      <c r="AO74" s="2"/>
      <c r="AP74" s="2">
        <v>11</v>
      </c>
      <c r="AQ74" s="2" t="s">
        <v>82</v>
      </c>
      <c r="AR74" s="2"/>
      <c r="AS74" s="2"/>
      <c r="AT74" s="2" t="s">
        <v>577</v>
      </c>
      <c r="AU74" s="2"/>
      <c r="AV74" s="2">
        <v>1</v>
      </c>
      <c r="AW74" s="2"/>
      <c r="AX74" s="2"/>
      <c r="AY74" s="2">
        <v>1</v>
      </c>
      <c r="AZ74" s="2" t="s">
        <v>107</v>
      </c>
      <c r="BA74" s="2">
        <v>1</v>
      </c>
      <c r="BB74" s="2" t="s">
        <v>107</v>
      </c>
      <c r="BC74" s="2">
        <v>1</v>
      </c>
      <c r="BD74" s="2" t="s">
        <v>107</v>
      </c>
      <c r="BE74" s="2">
        <v>1</v>
      </c>
      <c r="BF74" s="2" t="s">
        <v>107</v>
      </c>
      <c r="BG74" s="2"/>
      <c r="BH74" s="2"/>
      <c r="BI74" s="2"/>
      <c r="BJ74" s="2">
        <v>242</v>
      </c>
      <c r="BK74" s="2" t="s">
        <v>107</v>
      </c>
      <c r="BL74" s="2"/>
      <c r="BM74" s="2">
        <v>242</v>
      </c>
      <c r="BN74" s="2" t="s">
        <v>107</v>
      </c>
      <c r="BO74" s="2"/>
      <c r="BP74" s="2">
        <v>242</v>
      </c>
      <c r="BQ74" s="2" t="s">
        <v>107</v>
      </c>
      <c r="BR74" s="2"/>
      <c r="BS74" s="3">
        <v>40185</v>
      </c>
      <c r="BT74" s="4">
        <v>0.91480324074074071</v>
      </c>
    </row>
    <row r="75" spans="1:72" x14ac:dyDescent="0.25">
      <c r="A75" s="2">
        <v>113</v>
      </c>
      <c r="B75" s="2">
        <v>2010</v>
      </c>
      <c r="C75" s="2" t="s">
        <v>385</v>
      </c>
      <c r="D75" s="2" t="s">
        <v>73</v>
      </c>
      <c r="E75" s="2"/>
      <c r="F75" s="2">
        <v>34</v>
      </c>
      <c r="G75" s="2" t="s">
        <v>334</v>
      </c>
      <c r="H75" s="2">
        <v>1</v>
      </c>
      <c r="I75" s="2" t="s">
        <v>82</v>
      </c>
      <c r="J75" s="2">
        <v>47</v>
      </c>
      <c r="K75" s="2" t="s">
        <v>336</v>
      </c>
      <c r="L75" s="2" t="s">
        <v>337</v>
      </c>
      <c r="M75" s="3">
        <v>40185</v>
      </c>
      <c r="N75" s="2"/>
      <c r="O75" s="2" t="s">
        <v>578</v>
      </c>
      <c r="P75" s="2" t="s">
        <v>340</v>
      </c>
      <c r="Q75" s="2" t="str">
        <f>"01/10"</f>
        <v>01/10</v>
      </c>
      <c r="R75" s="2"/>
      <c r="S75" s="2"/>
      <c r="T75" s="2">
        <v>1</v>
      </c>
      <c r="U75" s="2" t="s">
        <v>79</v>
      </c>
      <c r="V75" s="2">
        <v>1</v>
      </c>
      <c r="W75" s="2" t="s">
        <v>80</v>
      </c>
      <c r="X75" s="2">
        <v>2</v>
      </c>
      <c r="Y75" s="2" t="s">
        <v>136</v>
      </c>
      <c r="Z75" s="2">
        <v>1</v>
      </c>
      <c r="AA75" s="2" t="s">
        <v>82</v>
      </c>
      <c r="AB75" s="2">
        <v>9</v>
      </c>
      <c r="AC75" s="2" t="s">
        <v>124</v>
      </c>
      <c r="AD75" s="2"/>
      <c r="AE75" s="2"/>
      <c r="AF75" s="2"/>
      <c r="AG75" s="2"/>
      <c r="AH75" s="2">
        <v>3</v>
      </c>
      <c r="AI75" s="2" t="s">
        <v>214</v>
      </c>
      <c r="AJ75" s="2">
        <v>14</v>
      </c>
      <c r="AK75" s="2" t="s">
        <v>342</v>
      </c>
      <c r="AL75" s="2">
        <v>18</v>
      </c>
      <c r="AM75" s="2" t="s">
        <v>82</v>
      </c>
      <c r="AN75" s="2"/>
      <c r="AO75" s="2"/>
      <c r="AP75" s="2">
        <v>11</v>
      </c>
      <c r="AQ75" s="2" t="s">
        <v>82</v>
      </c>
      <c r="AR75" s="2"/>
      <c r="AS75" s="2"/>
      <c r="AT75" s="2" t="s">
        <v>579</v>
      </c>
      <c r="AU75" s="2">
        <v>1</v>
      </c>
      <c r="AV75" s="2"/>
      <c r="AW75" s="2"/>
      <c r="AX75" s="2"/>
      <c r="AY75" s="2">
        <v>41</v>
      </c>
      <c r="AZ75" s="2" t="s">
        <v>82</v>
      </c>
      <c r="BA75" s="2">
        <v>41</v>
      </c>
      <c r="BB75" s="2" t="s">
        <v>82</v>
      </c>
      <c r="BC75" s="2">
        <v>41</v>
      </c>
      <c r="BD75" s="2" t="s">
        <v>82</v>
      </c>
      <c r="BE75" s="2">
        <v>41</v>
      </c>
      <c r="BF75" s="2" t="s">
        <v>82</v>
      </c>
      <c r="BG75" s="2"/>
      <c r="BH75" s="2"/>
      <c r="BI75" s="2"/>
      <c r="BJ75" s="2">
        <v>241</v>
      </c>
      <c r="BK75" s="2" t="s">
        <v>82</v>
      </c>
      <c r="BL75" s="2"/>
      <c r="BM75" s="2">
        <v>241</v>
      </c>
      <c r="BN75" s="2" t="s">
        <v>82</v>
      </c>
      <c r="BO75" s="2"/>
      <c r="BP75" s="2">
        <v>241</v>
      </c>
      <c r="BQ75" s="2" t="s">
        <v>82</v>
      </c>
      <c r="BR75" s="2"/>
      <c r="BS75" s="3">
        <v>40185</v>
      </c>
      <c r="BT75" s="4">
        <v>0.92060185185185184</v>
      </c>
    </row>
    <row r="76" spans="1:72" x14ac:dyDescent="0.25">
      <c r="A76" s="2">
        <v>114</v>
      </c>
      <c r="B76" s="2">
        <v>2010</v>
      </c>
      <c r="C76" s="2" t="s">
        <v>72</v>
      </c>
      <c r="D76" s="2" t="s">
        <v>122</v>
      </c>
      <c r="E76" s="2"/>
      <c r="F76" s="2">
        <v>390</v>
      </c>
      <c r="G76" s="2" t="s">
        <v>475</v>
      </c>
      <c r="H76" s="2">
        <v>7</v>
      </c>
      <c r="I76" s="2" t="s">
        <v>476</v>
      </c>
      <c r="J76" s="2">
        <v>314</v>
      </c>
      <c r="K76" s="2" t="s">
        <v>477</v>
      </c>
      <c r="L76" s="2" t="s">
        <v>478</v>
      </c>
      <c r="M76" s="3">
        <v>40185</v>
      </c>
      <c r="N76" s="2" t="s">
        <v>580</v>
      </c>
      <c r="O76" s="2" t="s">
        <v>581</v>
      </c>
      <c r="P76" s="2"/>
      <c r="Q76" s="2" t="str">
        <f>"012-E/10"</f>
        <v>012-E/10</v>
      </c>
      <c r="R76" s="2" t="s">
        <v>116</v>
      </c>
      <c r="S76" s="2" t="s">
        <v>116</v>
      </c>
      <c r="T76" s="2">
        <v>1</v>
      </c>
      <c r="U76" s="2" t="s">
        <v>79</v>
      </c>
      <c r="V76" s="2">
        <v>1</v>
      </c>
      <c r="W76" s="2" t="s">
        <v>80</v>
      </c>
      <c r="X76" s="2">
        <v>1</v>
      </c>
      <c r="Y76" s="2" t="s">
        <v>81</v>
      </c>
      <c r="Z76" s="2">
        <v>1</v>
      </c>
      <c r="AA76" s="2" t="s">
        <v>82</v>
      </c>
      <c r="AB76" s="2">
        <v>6</v>
      </c>
      <c r="AC76" s="2" t="s">
        <v>83</v>
      </c>
      <c r="AD76" s="3">
        <v>40184</v>
      </c>
      <c r="AE76" s="4">
        <v>0.70833333333333337</v>
      </c>
      <c r="AF76" s="3">
        <v>40184</v>
      </c>
      <c r="AG76" s="4">
        <v>0.73958333333333337</v>
      </c>
      <c r="AH76" s="2">
        <v>2</v>
      </c>
      <c r="AI76" s="2" t="s">
        <v>84</v>
      </c>
      <c r="AJ76" s="2">
        <v>9</v>
      </c>
      <c r="AK76" s="2" t="s">
        <v>103</v>
      </c>
      <c r="AL76" s="2">
        <v>14</v>
      </c>
      <c r="AM76" s="2" t="s">
        <v>216</v>
      </c>
      <c r="AN76" s="2"/>
      <c r="AO76" s="2"/>
      <c r="AP76" s="2">
        <v>11</v>
      </c>
      <c r="AQ76" s="2" t="s">
        <v>82</v>
      </c>
      <c r="AR76" s="2"/>
      <c r="AS76" s="2"/>
      <c r="AT76" s="2" t="s">
        <v>582</v>
      </c>
      <c r="AU76" s="2"/>
      <c r="AV76" s="2">
        <v>1</v>
      </c>
      <c r="AW76" s="2"/>
      <c r="AX76" s="2"/>
      <c r="AY76" s="2">
        <v>41</v>
      </c>
      <c r="AZ76" s="2" t="s">
        <v>82</v>
      </c>
      <c r="BA76" s="2">
        <v>41</v>
      </c>
      <c r="BB76" s="2" t="s">
        <v>82</v>
      </c>
      <c r="BC76" s="2">
        <v>41</v>
      </c>
      <c r="BD76" s="2" t="s">
        <v>82</v>
      </c>
      <c r="BE76" s="2">
        <v>41</v>
      </c>
      <c r="BF76" s="2" t="s">
        <v>82</v>
      </c>
      <c r="BG76" s="2"/>
      <c r="BH76" s="2"/>
      <c r="BI76" s="2"/>
      <c r="BJ76" s="2">
        <v>241</v>
      </c>
      <c r="BK76" s="2" t="s">
        <v>82</v>
      </c>
      <c r="BL76" s="2"/>
      <c r="BM76" s="2">
        <v>241</v>
      </c>
      <c r="BN76" s="2" t="s">
        <v>82</v>
      </c>
      <c r="BO76" s="2"/>
      <c r="BP76" s="2">
        <v>241</v>
      </c>
      <c r="BQ76" s="2" t="s">
        <v>82</v>
      </c>
      <c r="BR76" s="2"/>
      <c r="BS76" s="3">
        <v>40185</v>
      </c>
      <c r="BT76" s="4">
        <v>0.95837962962962964</v>
      </c>
    </row>
    <row r="77" spans="1:72" x14ac:dyDescent="0.25">
      <c r="A77" s="2">
        <v>116</v>
      </c>
      <c r="B77" s="2">
        <v>2010</v>
      </c>
      <c r="C77" s="2" t="s">
        <v>171</v>
      </c>
      <c r="D77" s="2" t="s">
        <v>73</v>
      </c>
      <c r="E77" s="2"/>
      <c r="F77" s="2">
        <v>398</v>
      </c>
      <c r="G77" s="2" t="s">
        <v>94</v>
      </c>
      <c r="H77" s="2">
        <v>12</v>
      </c>
      <c r="I77" s="2" t="s">
        <v>95</v>
      </c>
      <c r="J77" s="2">
        <v>316</v>
      </c>
      <c r="K77" s="2" t="s">
        <v>574</v>
      </c>
      <c r="L77" s="2" t="s">
        <v>575</v>
      </c>
      <c r="M77" s="3">
        <v>40185</v>
      </c>
      <c r="N77" s="2" t="s">
        <v>451</v>
      </c>
      <c r="O77" s="2" t="s">
        <v>452</v>
      </c>
      <c r="P77" s="2">
        <v>11876</v>
      </c>
      <c r="Q77" s="2" t="str">
        <f>"546E/09"</f>
        <v>546E/09</v>
      </c>
      <c r="R77" s="2"/>
      <c r="S77" s="2" t="s">
        <v>391</v>
      </c>
      <c r="T77" s="2">
        <v>1</v>
      </c>
      <c r="U77" s="2" t="s">
        <v>79</v>
      </c>
      <c r="V77" s="2">
        <v>1</v>
      </c>
      <c r="W77" s="2" t="s">
        <v>80</v>
      </c>
      <c r="X77" s="2">
        <v>2</v>
      </c>
      <c r="Y77" s="2" t="s">
        <v>136</v>
      </c>
      <c r="Z77" s="2">
        <v>1</v>
      </c>
      <c r="AA77" s="2" t="s">
        <v>82</v>
      </c>
      <c r="AB77" s="2">
        <v>1</v>
      </c>
      <c r="AC77" s="2" t="s">
        <v>178</v>
      </c>
      <c r="AD77" s="3">
        <v>40185</v>
      </c>
      <c r="AE77" s="4">
        <v>0.77083333333333337</v>
      </c>
      <c r="AF77" s="2"/>
      <c r="AG77" s="2"/>
      <c r="AH77" s="2">
        <v>2</v>
      </c>
      <c r="AI77" s="2" t="s">
        <v>84</v>
      </c>
      <c r="AJ77" s="2">
        <v>6</v>
      </c>
      <c r="AK77" s="2" t="s">
        <v>453</v>
      </c>
      <c r="AL77" s="2">
        <v>18</v>
      </c>
      <c r="AM77" s="2" t="s">
        <v>82</v>
      </c>
      <c r="AN77" s="2" t="s">
        <v>583</v>
      </c>
      <c r="AO77" s="2" t="s">
        <v>584</v>
      </c>
      <c r="AP77" s="2">
        <v>11</v>
      </c>
      <c r="AQ77" s="2" t="s">
        <v>82</v>
      </c>
      <c r="AR77" s="2"/>
      <c r="AS77" s="2"/>
      <c r="AT77" s="2" t="s">
        <v>585</v>
      </c>
      <c r="AU77" s="2"/>
      <c r="AV77" s="2">
        <v>1</v>
      </c>
      <c r="AW77" s="2"/>
      <c r="AX77" s="2"/>
      <c r="AY77" s="2">
        <v>42</v>
      </c>
      <c r="AZ77" s="2" t="s">
        <v>182</v>
      </c>
      <c r="BA77" s="2">
        <v>41</v>
      </c>
      <c r="BB77" s="2" t="s">
        <v>82</v>
      </c>
      <c r="BC77" s="2">
        <v>41</v>
      </c>
      <c r="BD77" s="2" t="s">
        <v>82</v>
      </c>
      <c r="BE77" s="2">
        <v>41</v>
      </c>
      <c r="BF77" s="2" t="s">
        <v>82</v>
      </c>
      <c r="BG77" s="2"/>
      <c r="BH77" s="2"/>
      <c r="BI77" s="2"/>
      <c r="BJ77" s="2">
        <v>241</v>
      </c>
      <c r="BK77" s="2" t="s">
        <v>82</v>
      </c>
      <c r="BL77" s="2"/>
      <c r="BM77" s="2">
        <v>241</v>
      </c>
      <c r="BN77" s="2" t="s">
        <v>82</v>
      </c>
      <c r="BO77" s="2"/>
      <c r="BP77" s="2">
        <v>241</v>
      </c>
      <c r="BQ77" s="2" t="s">
        <v>82</v>
      </c>
      <c r="BR77" s="2"/>
      <c r="BS77" s="3">
        <v>40185</v>
      </c>
      <c r="BT77" s="4">
        <v>0.97834490740740743</v>
      </c>
    </row>
    <row r="78" spans="1:72" x14ac:dyDescent="0.25">
      <c r="A78" s="2">
        <v>117</v>
      </c>
      <c r="B78" s="2">
        <v>2010</v>
      </c>
      <c r="C78" s="2" t="s">
        <v>385</v>
      </c>
      <c r="D78" s="2" t="s">
        <v>122</v>
      </c>
      <c r="E78" s="2"/>
      <c r="F78" s="2">
        <v>398</v>
      </c>
      <c r="G78" s="2" t="s">
        <v>94</v>
      </c>
      <c r="H78" s="2">
        <v>12</v>
      </c>
      <c r="I78" s="2" t="s">
        <v>95</v>
      </c>
      <c r="J78" s="2">
        <v>316</v>
      </c>
      <c r="K78" s="2" t="s">
        <v>574</v>
      </c>
      <c r="L78" s="2" t="s">
        <v>575</v>
      </c>
      <c r="M78" s="3">
        <v>40185</v>
      </c>
      <c r="N78" s="2" t="s">
        <v>470</v>
      </c>
      <c r="O78" s="2" t="s">
        <v>447</v>
      </c>
      <c r="P78" s="2">
        <v>11876</v>
      </c>
      <c r="Q78" s="2" t="str">
        <f>""</f>
        <v/>
      </c>
      <c r="R78" s="2"/>
      <c r="S78" s="2"/>
      <c r="T78" s="2">
        <v>1</v>
      </c>
      <c r="U78" s="2" t="s">
        <v>79</v>
      </c>
      <c r="V78" s="2">
        <v>1</v>
      </c>
      <c r="W78" s="2" t="s">
        <v>80</v>
      </c>
      <c r="X78" s="2">
        <v>5</v>
      </c>
      <c r="Y78" s="2" t="s">
        <v>82</v>
      </c>
      <c r="Z78" s="2">
        <v>1</v>
      </c>
      <c r="AA78" s="2" t="s">
        <v>82</v>
      </c>
      <c r="AB78" s="2">
        <v>9</v>
      </c>
      <c r="AC78" s="2" t="s">
        <v>124</v>
      </c>
      <c r="AD78" s="3">
        <v>40185</v>
      </c>
      <c r="AE78" s="4">
        <v>0.95833333333333337</v>
      </c>
      <c r="AF78" s="2"/>
      <c r="AG78" s="2"/>
      <c r="AH78" s="2">
        <v>2</v>
      </c>
      <c r="AI78" s="2" t="s">
        <v>84</v>
      </c>
      <c r="AJ78" s="2">
        <v>8</v>
      </c>
      <c r="AK78" s="2" t="s">
        <v>436</v>
      </c>
      <c r="AL78" s="2">
        <v>18</v>
      </c>
      <c r="AM78" s="2" t="s">
        <v>82</v>
      </c>
      <c r="AN78" s="2"/>
      <c r="AO78" s="2"/>
      <c r="AP78" s="2">
        <v>11</v>
      </c>
      <c r="AQ78" s="2" t="s">
        <v>82</v>
      </c>
      <c r="AR78" s="2"/>
      <c r="AS78" s="2"/>
      <c r="AT78" s="2" t="s">
        <v>586</v>
      </c>
      <c r="AU78" s="2"/>
      <c r="AV78" s="2">
        <v>1</v>
      </c>
      <c r="AW78" s="2"/>
      <c r="AX78" s="2"/>
      <c r="AY78" s="2">
        <v>41</v>
      </c>
      <c r="AZ78" s="2" t="s">
        <v>82</v>
      </c>
      <c r="BA78" s="2">
        <v>41</v>
      </c>
      <c r="BB78" s="2" t="s">
        <v>82</v>
      </c>
      <c r="BC78" s="2">
        <v>41</v>
      </c>
      <c r="BD78" s="2" t="s">
        <v>82</v>
      </c>
      <c r="BE78" s="2">
        <v>41</v>
      </c>
      <c r="BF78" s="2" t="s">
        <v>82</v>
      </c>
      <c r="BG78" s="2"/>
      <c r="BH78" s="2"/>
      <c r="BI78" s="2"/>
      <c r="BJ78" s="2">
        <v>241</v>
      </c>
      <c r="BK78" s="2" t="s">
        <v>82</v>
      </c>
      <c r="BL78" s="2"/>
      <c r="BM78" s="2">
        <v>241</v>
      </c>
      <c r="BN78" s="2" t="s">
        <v>82</v>
      </c>
      <c r="BO78" s="2"/>
      <c r="BP78" s="2">
        <v>241</v>
      </c>
      <c r="BQ78" s="2" t="s">
        <v>82</v>
      </c>
      <c r="BR78" s="2"/>
      <c r="BS78" s="3">
        <v>40185</v>
      </c>
      <c r="BT78" s="4">
        <v>0.98844907407407412</v>
      </c>
    </row>
    <row r="79" spans="1:72" x14ac:dyDescent="0.25">
      <c r="A79" s="2">
        <v>118</v>
      </c>
      <c r="B79" s="2">
        <v>2010</v>
      </c>
      <c r="C79" s="2" t="s">
        <v>171</v>
      </c>
      <c r="D79" s="2" t="s">
        <v>73</v>
      </c>
      <c r="E79" s="2"/>
      <c r="F79" s="2">
        <v>399</v>
      </c>
      <c r="G79" s="2" t="s">
        <v>587</v>
      </c>
      <c r="H79" s="2">
        <v>15</v>
      </c>
      <c r="I79" s="2" t="s">
        <v>130</v>
      </c>
      <c r="J79" s="2">
        <v>245</v>
      </c>
      <c r="K79" s="2" t="s">
        <v>96</v>
      </c>
      <c r="L79" s="2" t="s">
        <v>97</v>
      </c>
      <c r="M79" s="3">
        <v>40186</v>
      </c>
      <c r="N79" s="2" t="s">
        <v>588</v>
      </c>
      <c r="O79" s="2" t="s">
        <v>589</v>
      </c>
      <c r="P79" s="2" t="s">
        <v>589</v>
      </c>
      <c r="Q79" s="2" t="str">
        <f>"589-E/09"</f>
        <v>589-E/09</v>
      </c>
      <c r="R79" s="2" t="s">
        <v>391</v>
      </c>
      <c r="S79" s="2" t="s">
        <v>391</v>
      </c>
      <c r="T79" s="2">
        <v>1</v>
      </c>
      <c r="U79" s="2" t="s">
        <v>79</v>
      </c>
      <c r="V79" s="2">
        <v>1</v>
      </c>
      <c r="W79" s="2" t="s">
        <v>80</v>
      </c>
      <c r="X79" s="2">
        <v>1</v>
      </c>
      <c r="Y79" s="2" t="s">
        <v>81</v>
      </c>
      <c r="Z79" s="2">
        <v>1</v>
      </c>
      <c r="AA79" s="2" t="s">
        <v>82</v>
      </c>
      <c r="AB79" s="2">
        <v>1</v>
      </c>
      <c r="AC79" s="2" t="s">
        <v>178</v>
      </c>
      <c r="AD79" s="3">
        <v>40177</v>
      </c>
      <c r="AE79" s="4">
        <v>0.97222222222222221</v>
      </c>
      <c r="AF79" s="2"/>
      <c r="AG79" s="2"/>
      <c r="AH79" s="2">
        <v>2</v>
      </c>
      <c r="AI79" s="2" t="s">
        <v>84</v>
      </c>
      <c r="AJ79" s="2">
        <v>9</v>
      </c>
      <c r="AK79" s="2" t="s">
        <v>103</v>
      </c>
      <c r="AL79" s="2">
        <v>11</v>
      </c>
      <c r="AM79" s="2" t="s">
        <v>137</v>
      </c>
      <c r="AN79" s="2" t="s">
        <v>82</v>
      </c>
      <c r="AO79" s="2" t="s">
        <v>590</v>
      </c>
      <c r="AP79" s="2">
        <v>11</v>
      </c>
      <c r="AQ79" s="2" t="s">
        <v>82</v>
      </c>
      <c r="AR79" s="2"/>
      <c r="AS79" s="2"/>
      <c r="AT79" s="2" t="s">
        <v>591</v>
      </c>
      <c r="AU79" s="2"/>
      <c r="AV79" s="2">
        <v>1</v>
      </c>
      <c r="AW79" s="2"/>
      <c r="AX79" s="2"/>
      <c r="AY79" s="2">
        <v>41</v>
      </c>
      <c r="AZ79" s="2" t="s">
        <v>82</v>
      </c>
      <c r="BA79" s="2">
        <v>41</v>
      </c>
      <c r="BB79" s="2" t="s">
        <v>82</v>
      </c>
      <c r="BC79" s="2">
        <v>41</v>
      </c>
      <c r="BD79" s="2" t="s">
        <v>82</v>
      </c>
      <c r="BE79" s="2">
        <v>13</v>
      </c>
      <c r="BF79" s="2" t="s">
        <v>108</v>
      </c>
      <c r="BG79" s="2" t="s">
        <v>592</v>
      </c>
      <c r="BH79" s="2"/>
      <c r="BI79" s="2"/>
      <c r="BJ79" s="2">
        <v>241</v>
      </c>
      <c r="BK79" s="2" t="s">
        <v>82</v>
      </c>
      <c r="BL79" s="2"/>
      <c r="BM79" s="2">
        <v>241</v>
      </c>
      <c r="BN79" s="2" t="s">
        <v>82</v>
      </c>
      <c r="BO79" s="2"/>
      <c r="BP79" s="2">
        <v>112</v>
      </c>
      <c r="BQ79" s="2" t="s">
        <v>110</v>
      </c>
      <c r="BR79" s="2" t="s">
        <v>111</v>
      </c>
      <c r="BS79" s="3">
        <v>40186</v>
      </c>
      <c r="BT79" s="4">
        <v>1.5277777777777779E-3</v>
      </c>
    </row>
    <row r="80" spans="1:72" x14ac:dyDescent="0.25">
      <c r="A80" s="2">
        <v>119</v>
      </c>
      <c r="B80" s="2">
        <v>2010</v>
      </c>
      <c r="C80" s="2" t="s">
        <v>171</v>
      </c>
      <c r="D80" s="2" t="s">
        <v>122</v>
      </c>
      <c r="E80" s="2"/>
      <c r="F80" s="2">
        <v>394</v>
      </c>
      <c r="G80" s="2" t="s">
        <v>172</v>
      </c>
      <c r="H80" s="2">
        <v>4</v>
      </c>
      <c r="I80" s="2" t="s">
        <v>173</v>
      </c>
      <c r="J80" s="2">
        <v>241</v>
      </c>
      <c r="K80" s="2" t="s">
        <v>174</v>
      </c>
      <c r="L80" s="2" t="s">
        <v>175</v>
      </c>
      <c r="M80" s="3">
        <v>40186</v>
      </c>
      <c r="N80" s="2" t="s">
        <v>176</v>
      </c>
      <c r="O80" s="2" t="s">
        <v>82</v>
      </c>
      <c r="P80" s="2" t="s">
        <v>82</v>
      </c>
      <c r="Q80" s="2" t="str">
        <f>"002-E10"</f>
        <v>002-E10</v>
      </c>
      <c r="R80" s="2" t="s">
        <v>177</v>
      </c>
      <c r="S80" s="2" t="s">
        <v>82</v>
      </c>
      <c r="T80" s="2">
        <v>1</v>
      </c>
      <c r="U80" s="2" t="s">
        <v>79</v>
      </c>
      <c r="V80" s="2">
        <v>1</v>
      </c>
      <c r="W80" s="2" t="s">
        <v>80</v>
      </c>
      <c r="X80" s="2">
        <v>1</v>
      </c>
      <c r="Y80" s="2" t="s">
        <v>81</v>
      </c>
      <c r="Z80" s="2">
        <v>10</v>
      </c>
      <c r="AA80" s="2" t="s">
        <v>236</v>
      </c>
      <c r="AB80" s="2">
        <v>1</v>
      </c>
      <c r="AC80" s="2" t="s">
        <v>178</v>
      </c>
      <c r="AD80" s="3">
        <v>40180</v>
      </c>
      <c r="AE80" s="4">
        <v>0.58333333333333337</v>
      </c>
      <c r="AF80" s="2"/>
      <c r="AG80" s="2"/>
      <c r="AH80" s="2">
        <v>2</v>
      </c>
      <c r="AI80" s="2" t="s">
        <v>84</v>
      </c>
      <c r="AJ80" s="2">
        <v>9</v>
      </c>
      <c r="AK80" s="2" t="s">
        <v>103</v>
      </c>
      <c r="AL80" s="2">
        <v>14</v>
      </c>
      <c r="AM80" s="2" t="s">
        <v>216</v>
      </c>
      <c r="AN80" s="2" t="s">
        <v>179</v>
      </c>
      <c r="AO80" s="2"/>
      <c r="AP80" s="2">
        <v>11</v>
      </c>
      <c r="AQ80" s="2" t="s">
        <v>82</v>
      </c>
      <c r="AR80" s="2"/>
      <c r="AS80" s="2"/>
      <c r="AT80" s="2" t="s">
        <v>593</v>
      </c>
      <c r="AU80" s="2"/>
      <c r="AV80" s="2"/>
      <c r="AW80" s="2"/>
      <c r="AX80" s="2"/>
      <c r="AY80" s="2">
        <v>1</v>
      </c>
      <c r="AZ80" s="2" t="s">
        <v>107</v>
      </c>
      <c r="BA80" s="2">
        <v>1</v>
      </c>
      <c r="BB80" s="2" t="s">
        <v>107</v>
      </c>
      <c r="BC80" s="2">
        <v>1</v>
      </c>
      <c r="BD80" s="2" t="s">
        <v>107</v>
      </c>
      <c r="BE80" s="2">
        <v>23</v>
      </c>
      <c r="BF80" s="2" t="s">
        <v>183</v>
      </c>
      <c r="BG80" s="2" t="s">
        <v>184</v>
      </c>
      <c r="BH80" s="2"/>
      <c r="BI80" s="4">
        <v>0.52083333333333337</v>
      </c>
      <c r="BJ80" s="2">
        <v>13</v>
      </c>
      <c r="BK80" s="2" t="s">
        <v>91</v>
      </c>
      <c r="BL80" s="2" t="s">
        <v>360</v>
      </c>
      <c r="BM80" s="2">
        <v>242</v>
      </c>
      <c r="BN80" s="2" t="s">
        <v>107</v>
      </c>
      <c r="BO80" s="2"/>
      <c r="BP80" s="2">
        <v>73</v>
      </c>
      <c r="BQ80" s="2" t="s">
        <v>186</v>
      </c>
      <c r="BR80" s="2" t="s">
        <v>187</v>
      </c>
      <c r="BS80" s="3">
        <v>40186</v>
      </c>
      <c r="BT80" s="4">
        <v>1.8993055555555558E-2</v>
      </c>
    </row>
    <row r="81" spans="1:72" x14ac:dyDescent="0.25">
      <c r="A81" s="2">
        <v>120</v>
      </c>
      <c r="B81" s="2">
        <v>2010</v>
      </c>
      <c r="C81" s="2" t="s">
        <v>594</v>
      </c>
      <c r="D81" s="2" t="s">
        <v>122</v>
      </c>
      <c r="E81" s="2"/>
      <c r="F81" s="2">
        <v>1</v>
      </c>
      <c r="G81" s="2" t="s">
        <v>82</v>
      </c>
      <c r="H81" s="2">
        <v>1</v>
      </c>
      <c r="I81" s="2" t="s">
        <v>82</v>
      </c>
      <c r="J81" s="2">
        <v>1</v>
      </c>
      <c r="K81" s="2" t="s">
        <v>107</v>
      </c>
      <c r="L81" s="2" t="s">
        <v>107</v>
      </c>
      <c r="M81" s="3">
        <v>40186</v>
      </c>
      <c r="N81" s="2"/>
      <c r="O81" s="2"/>
      <c r="P81" s="2"/>
      <c r="Q81" s="2" t="str">
        <f>""</f>
        <v/>
      </c>
      <c r="R81" s="2"/>
      <c r="S81" s="2"/>
      <c r="T81" s="2">
        <v>1</v>
      </c>
      <c r="U81" s="2" t="s">
        <v>79</v>
      </c>
      <c r="V81" s="2">
        <v>1</v>
      </c>
      <c r="W81" s="2" t="s">
        <v>80</v>
      </c>
      <c r="X81" s="2">
        <v>5</v>
      </c>
      <c r="Y81" s="2" t="s">
        <v>82</v>
      </c>
      <c r="Z81" s="2">
        <v>1</v>
      </c>
      <c r="AA81" s="2" t="s">
        <v>82</v>
      </c>
      <c r="AB81" s="2">
        <v>9</v>
      </c>
      <c r="AC81" s="2" t="s">
        <v>124</v>
      </c>
      <c r="AD81" s="2"/>
      <c r="AE81" s="2"/>
      <c r="AF81" s="2"/>
      <c r="AG81" s="2"/>
      <c r="AH81" s="2">
        <v>6</v>
      </c>
      <c r="AI81" s="2" t="s">
        <v>197</v>
      </c>
      <c r="AJ81" s="2">
        <v>54</v>
      </c>
      <c r="AK81" s="2" t="s">
        <v>348</v>
      </c>
      <c r="AL81" s="2">
        <v>18</v>
      </c>
      <c r="AM81" s="2" t="s">
        <v>82</v>
      </c>
      <c r="AN81" s="2" t="s">
        <v>595</v>
      </c>
      <c r="AO81" s="2" t="s">
        <v>200</v>
      </c>
      <c r="AP81" s="2">
        <v>11</v>
      </c>
      <c r="AQ81" s="2" t="s">
        <v>82</v>
      </c>
      <c r="AR81" s="2" t="s">
        <v>596</v>
      </c>
      <c r="AS81" s="2" t="s">
        <v>596</v>
      </c>
      <c r="AT81" s="2" t="s">
        <v>597</v>
      </c>
      <c r="AU81" s="2"/>
      <c r="AV81" s="2"/>
      <c r="AW81" s="2"/>
      <c r="AX81" s="2"/>
      <c r="AY81" s="2">
        <v>1</v>
      </c>
      <c r="AZ81" s="2" t="s">
        <v>107</v>
      </c>
      <c r="BA81" s="2">
        <v>1</v>
      </c>
      <c r="BB81" s="2" t="s">
        <v>107</v>
      </c>
      <c r="BC81" s="2">
        <v>1</v>
      </c>
      <c r="BD81" s="2" t="s">
        <v>107</v>
      </c>
      <c r="BE81" s="2">
        <v>4</v>
      </c>
      <c r="BF81" s="2" t="s">
        <v>90</v>
      </c>
      <c r="BG81" s="2" t="s">
        <v>598</v>
      </c>
      <c r="BH81" s="4">
        <v>0.99305555555555547</v>
      </c>
      <c r="BI81" s="4">
        <v>4.1666666666666664E-2</v>
      </c>
      <c r="BJ81" s="2">
        <v>13</v>
      </c>
      <c r="BK81" s="2" t="s">
        <v>91</v>
      </c>
      <c r="BL81" s="2" t="s">
        <v>534</v>
      </c>
      <c r="BM81" s="2">
        <v>13</v>
      </c>
      <c r="BN81" s="2" t="s">
        <v>91</v>
      </c>
      <c r="BO81" s="2" t="s">
        <v>353</v>
      </c>
      <c r="BP81" s="2">
        <v>13</v>
      </c>
      <c r="BQ81" s="2" t="s">
        <v>91</v>
      </c>
      <c r="BR81" s="2" t="s">
        <v>534</v>
      </c>
      <c r="BS81" s="3">
        <v>40186</v>
      </c>
      <c r="BT81" s="4">
        <v>4.1678240740740745E-2</v>
      </c>
    </row>
    <row r="82" spans="1:72" x14ac:dyDescent="0.25">
      <c r="A82" s="2">
        <v>121</v>
      </c>
      <c r="B82" s="2">
        <v>2010</v>
      </c>
      <c r="C82" s="2" t="s">
        <v>93</v>
      </c>
      <c r="D82" s="2" t="s">
        <v>73</v>
      </c>
      <c r="E82" s="2"/>
      <c r="F82" s="2">
        <v>436</v>
      </c>
      <c r="G82" s="2" t="s">
        <v>599</v>
      </c>
      <c r="H82" s="2">
        <v>22</v>
      </c>
      <c r="I82" s="2" t="s">
        <v>75</v>
      </c>
      <c r="J82" s="2">
        <v>1</v>
      </c>
      <c r="K82" s="2" t="s">
        <v>107</v>
      </c>
      <c r="L82" s="2" t="s">
        <v>107</v>
      </c>
      <c r="M82" s="3">
        <v>40186</v>
      </c>
      <c r="N82" s="2" t="s">
        <v>600</v>
      </c>
      <c r="O82" s="2" t="s">
        <v>601</v>
      </c>
      <c r="P82" s="2">
        <v>1130</v>
      </c>
      <c r="Q82" s="2" t="str">
        <f>"N/C"</f>
        <v>N/C</v>
      </c>
      <c r="R82" s="2" t="s">
        <v>601</v>
      </c>
      <c r="S82" s="2" t="s">
        <v>602</v>
      </c>
      <c r="T82" s="2">
        <v>1</v>
      </c>
      <c r="U82" s="2" t="s">
        <v>79</v>
      </c>
      <c r="V82" s="2">
        <v>1</v>
      </c>
      <c r="W82" s="2" t="s">
        <v>80</v>
      </c>
      <c r="X82" s="2">
        <v>1</v>
      </c>
      <c r="Y82" s="2" t="s">
        <v>81</v>
      </c>
      <c r="Z82" s="2">
        <v>6</v>
      </c>
      <c r="AA82" s="2" t="s">
        <v>101</v>
      </c>
      <c r="AB82" s="2">
        <v>2</v>
      </c>
      <c r="AC82" s="2" t="s">
        <v>102</v>
      </c>
      <c r="AD82" s="3">
        <v>40178</v>
      </c>
      <c r="AE82" s="4">
        <v>0.375</v>
      </c>
      <c r="AF82" s="2"/>
      <c r="AG82" s="2"/>
      <c r="AH82" s="2">
        <v>2</v>
      </c>
      <c r="AI82" s="2" t="s">
        <v>84</v>
      </c>
      <c r="AJ82" s="2">
        <v>9</v>
      </c>
      <c r="AK82" s="2" t="s">
        <v>103</v>
      </c>
      <c r="AL82" s="2">
        <v>15</v>
      </c>
      <c r="AM82" s="2" t="s">
        <v>104</v>
      </c>
      <c r="AN82" s="2" t="s">
        <v>82</v>
      </c>
      <c r="AO82" s="2" t="s">
        <v>603</v>
      </c>
      <c r="AP82" s="2">
        <v>11</v>
      </c>
      <c r="AQ82" s="2" t="s">
        <v>82</v>
      </c>
      <c r="AR82" s="2"/>
      <c r="AS82" s="2"/>
      <c r="AT82" s="2" t="s">
        <v>604</v>
      </c>
      <c r="AU82" s="2">
        <v>1</v>
      </c>
      <c r="AV82" s="2"/>
      <c r="AW82" s="2"/>
      <c r="AX82" s="2"/>
      <c r="AY82" s="2">
        <v>1</v>
      </c>
      <c r="AZ82" s="2" t="s">
        <v>107</v>
      </c>
      <c r="BA82" s="2">
        <v>1</v>
      </c>
      <c r="BB82" s="2" t="s">
        <v>107</v>
      </c>
      <c r="BC82" s="2">
        <v>1</v>
      </c>
      <c r="BD82" s="2" t="s">
        <v>107</v>
      </c>
      <c r="BE82" s="2">
        <v>13</v>
      </c>
      <c r="BF82" s="2" t="s">
        <v>108</v>
      </c>
      <c r="BG82" s="2" t="s">
        <v>605</v>
      </c>
      <c r="BH82" s="4">
        <v>0.36805555555555558</v>
      </c>
      <c r="BI82" s="2"/>
      <c r="BJ82" s="2">
        <v>73</v>
      </c>
      <c r="BK82" s="2" t="s">
        <v>186</v>
      </c>
      <c r="BL82" s="2" t="s">
        <v>187</v>
      </c>
      <c r="BM82" s="2">
        <v>242</v>
      </c>
      <c r="BN82" s="2" t="s">
        <v>107</v>
      </c>
      <c r="BO82" s="2" t="s">
        <v>82</v>
      </c>
      <c r="BP82" s="2">
        <v>13</v>
      </c>
      <c r="BQ82" s="2" t="s">
        <v>91</v>
      </c>
      <c r="BR82" s="2" t="s">
        <v>185</v>
      </c>
      <c r="BS82" s="3">
        <v>40186</v>
      </c>
      <c r="BT82" s="4">
        <v>0.10275462962962963</v>
      </c>
    </row>
    <row r="83" spans="1:72" x14ac:dyDescent="0.25">
      <c r="A83" s="2">
        <v>122</v>
      </c>
      <c r="B83" s="2">
        <v>2010</v>
      </c>
      <c r="C83" s="2" t="s">
        <v>385</v>
      </c>
      <c r="D83" s="2" t="s">
        <v>122</v>
      </c>
      <c r="E83" s="2"/>
      <c r="F83" s="2">
        <v>151</v>
      </c>
      <c r="G83" s="2" t="s">
        <v>314</v>
      </c>
      <c r="H83" s="2">
        <v>3</v>
      </c>
      <c r="I83" s="2" t="s">
        <v>315</v>
      </c>
      <c r="J83" s="2">
        <v>163</v>
      </c>
      <c r="K83" s="2" t="s">
        <v>316</v>
      </c>
      <c r="L83" s="2" t="s">
        <v>317</v>
      </c>
      <c r="M83" s="3">
        <v>40186</v>
      </c>
      <c r="N83" s="2" t="s">
        <v>410</v>
      </c>
      <c r="O83" s="2" t="s">
        <v>318</v>
      </c>
      <c r="P83" s="2" t="s">
        <v>606</v>
      </c>
      <c r="Q83" s="2" t="str">
        <f>"---"</f>
        <v>---</v>
      </c>
      <c r="R83" s="2" t="s">
        <v>473</v>
      </c>
      <c r="S83" s="2" t="s">
        <v>473</v>
      </c>
      <c r="T83" s="2">
        <v>1</v>
      </c>
      <c r="U83" s="2" t="s">
        <v>79</v>
      </c>
      <c r="V83" s="2">
        <v>1</v>
      </c>
      <c r="W83" s="2" t="s">
        <v>80</v>
      </c>
      <c r="X83" s="2">
        <v>5</v>
      </c>
      <c r="Y83" s="2" t="s">
        <v>82</v>
      </c>
      <c r="Z83" s="2">
        <v>1</v>
      </c>
      <c r="AA83" s="2" t="s">
        <v>82</v>
      </c>
      <c r="AB83" s="2">
        <v>9</v>
      </c>
      <c r="AC83" s="2" t="s">
        <v>124</v>
      </c>
      <c r="AD83" s="3">
        <v>40186</v>
      </c>
      <c r="AE83" s="4">
        <v>9.375E-2</v>
      </c>
      <c r="AF83" s="2"/>
      <c r="AG83" s="2"/>
      <c r="AH83" s="2">
        <v>6</v>
      </c>
      <c r="AI83" s="2" t="s">
        <v>197</v>
      </c>
      <c r="AJ83" s="2">
        <v>58</v>
      </c>
      <c r="AK83" s="2" t="s">
        <v>406</v>
      </c>
      <c r="AL83" s="2">
        <v>18</v>
      </c>
      <c r="AM83" s="2" t="s">
        <v>82</v>
      </c>
      <c r="AN83" s="2" t="s">
        <v>607</v>
      </c>
      <c r="AO83" s="2" t="s">
        <v>608</v>
      </c>
      <c r="AP83" s="2">
        <v>11</v>
      </c>
      <c r="AQ83" s="2" t="s">
        <v>82</v>
      </c>
      <c r="AR83" s="2" t="s">
        <v>473</v>
      </c>
      <c r="AS83" s="2" t="s">
        <v>473</v>
      </c>
      <c r="AT83" s="2" t="s">
        <v>609</v>
      </c>
      <c r="AU83" s="2">
        <v>1</v>
      </c>
      <c r="AV83" s="2"/>
      <c r="AW83" s="2"/>
      <c r="AX83" s="2"/>
      <c r="AY83" s="2">
        <v>1</v>
      </c>
      <c r="AZ83" s="2" t="s">
        <v>107</v>
      </c>
      <c r="BA83" s="2">
        <v>1</v>
      </c>
      <c r="BB83" s="2" t="s">
        <v>107</v>
      </c>
      <c r="BC83" s="2">
        <v>1</v>
      </c>
      <c r="BD83" s="2" t="s">
        <v>107</v>
      </c>
      <c r="BE83" s="2">
        <v>1</v>
      </c>
      <c r="BF83" s="2" t="s">
        <v>107</v>
      </c>
      <c r="BG83" s="2" t="s">
        <v>610</v>
      </c>
      <c r="BH83" s="4">
        <v>9.375E-2</v>
      </c>
      <c r="BI83" s="4">
        <v>0.13541666666666666</v>
      </c>
      <c r="BJ83" s="2">
        <v>242</v>
      </c>
      <c r="BK83" s="2" t="s">
        <v>107</v>
      </c>
      <c r="BL83" s="2" t="s">
        <v>185</v>
      </c>
      <c r="BM83" s="2">
        <v>242</v>
      </c>
      <c r="BN83" s="2" t="s">
        <v>107</v>
      </c>
      <c r="BO83" s="2" t="s">
        <v>492</v>
      </c>
      <c r="BP83" s="2">
        <v>242</v>
      </c>
      <c r="BQ83" s="2" t="s">
        <v>107</v>
      </c>
      <c r="BR83" s="2" t="s">
        <v>185</v>
      </c>
      <c r="BS83" s="3">
        <v>40186</v>
      </c>
      <c r="BT83" s="4">
        <v>0.14303240740740741</v>
      </c>
    </row>
    <row r="84" spans="1:72" x14ac:dyDescent="0.25">
      <c r="A84" s="2">
        <v>123</v>
      </c>
      <c r="B84" s="2">
        <v>2010</v>
      </c>
      <c r="C84" s="2" t="s">
        <v>72</v>
      </c>
      <c r="D84" s="2" t="s">
        <v>73</v>
      </c>
      <c r="E84" s="2"/>
      <c r="F84" s="2">
        <v>24</v>
      </c>
      <c r="G84" s="2" t="s">
        <v>532</v>
      </c>
      <c r="H84" s="2">
        <v>1</v>
      </c>
      <c r="I84" s="2" t="s">
        <v>82</v>
      </c>
      <c r="J84" s="2">
        <v>300</v>
      </c>
      <c r="K84" s="2" t="s">
        <v>114</v>
      </c>
      <c r="L84" s="2" t="s">
        <v>115</v>
      </c>
      <c r="M84" s="3">
        <v>40186</v>
      </c>
      <c r="N84" s="2"/>
      <c r="O84" s="2"/>
      <c r="P84" s="2"/>
      <c r="Q84" s="2" t="str">
        <f>"008-E/10"</f>
        <v>008-E/10</v>
      </c>
      <c r="R84" s="2" t="s">
        <v>601</v>
      </c>
      <c r="S84" s="2"/>
      <c r="T84" s="2">
        <v>1</v>
      </c>
      <c r="U84" s="2" t="s">
        <v>79</v>
      </c>
      <c r="V84" s="2">
        <v>1</v>
      </c>
      <c r="W84" s="2" t="s">
        <v>80</v>
      </c>
      <c r="X84" s="2">
        <v>5</v>
      </c>
      <c r="Y84" s="2" t="s">
        <v>82</v>
      </c>
      <c r="Z84" s="2">
        <v>1</v>
      </c>
      <c r="AA84" s="2" t="s">
        <v>82</v>
      </c>
      <c r="AB84" s="2">
        <v>6</v>
      </c>
      <c r="AC84" s="2" t="s">
        <v>83</v>
      </c>
      <c r="AD84" s="3">
        <v>40182</v>
      </c>
      <c r="AE84" s="4">
        <v>0.61458333333333337</v>
      </c>
      <c r="AF84" s="3">
        <v>40182</v>
      </c>
      <c r="AG84" s="4">
        <v>0.80555555555555547</v>
      </c>
      <c r="AH84" s="2">
        <v>2</v>
      </c>
      <c r="AI84" s="2" t="s">
        <v>84</v>
      </c>
      <c r="AJ84" s="2">
        <v>9</v>
      </c>
      <c r="AK84" s="2" t="s">
        <v>103</v>
      </c>
      <c r="AL84" s="2">
        <v>13</v>
      </c>
      <c r="AM84" s="2" t="s">
        <v>117</v>
      </c>
      <c r="AN84" s="2"/>
      <c r="AO84" s="2" t="s">
        <v>611</v>
      </c>
      <c r="AP84" s="2">
        <v>11</v>
      </c>
      <c r="AQ84" s="2" t="s">
        <v>82</v>
      </c>
      <c r="AR84" s="2"/>
      <c r="AS84" s="2"/>
      <c r="AT84" s="2" t="s">
        <v>612</v>
      </c>
      <c r="AU84" s="2"/>
      <c r="AV84" s="2"/>
      <c r="AW84" s="2"/>
      <c r="AX84" s="2"/>
      <c r="AY84" s="2">
        <v>69</v>
      </c>
      <c r="AZ84" s="2" t="s">
        <v>483</v>
      </c>
      <c r="BA84" s="2">
        <v>41</v>
      </c>
      <c r="BB84" s="2" t="s">
        <v>82</v>
      </c>
      <c r="BC84" s="2">
        <v>41</v>
      </c>
      <c r="BD84" s="2" t="s">
        <v>82</v>
      </c>
      <c r="BE84" s="2">
        <v>41</v>
      </c>
      <c r="BF84" s="2" t="s">
        <v>82</v>
      </c>
      <c r="BG84" s="2"/>
      <c r="BH84" s="2"/>
      <c r="BI84" s="2"/>
      <c r="BJ84" s="2">
        <v>241</v>
      </c>
      <c r="BK84" s="2" t="s">
        <v>82</v>
      </c>
      <c r="BL84" s="2"/>
      <c r="BM84" s="2">
        <v>241</v>
      </c>
      <c r="BN84" s="2" t="s">
        <v>82</v>
      </c>
      <c r="BO84" s="2"/>
      <c r="BP84" s="2">
        <v>241</v>
      </c>
      <c r="BQ84" s="2" t="s">
        <v>82</v>
      </c>
      <c r="BR84" s="2"/>
      <c r="BS84" s="3">
        <v>40186</v>
      </c>
      <c r="BT84" s="4">
        <v>0.36981481481481482</v>
      </c>
    </row>
    <row r="85" spans="1:72" x14ac:dyDescent="0.25">
      <c r="A85" s="2">
        <v>124</v>
      </c>
      <c r="B85" s="2">
        <v>2010</v>
      </c>
      <c r="C85" s="2" t="s">
        <v>72</v>
      </c>
      <c r="D85" s="2" t="s">
        <v>73</v>
      </c>
      <c r="E85" s="2"/>
      <c r="F85" s="2">
        <v>390</v>
      </c>
      <c r="G85" s="2" t="s">
        <v>475</v>
      </c>
      <c r="H85" s="2">
        <v>7</v>
      </c>
      <c r="I85" s="2" t="s">
        <v>476</v>
      </c>
      <c r="J85" s="2">
        <v>314</v>
      </c>
      <c r="K85" s="2" t="s">
        <v>477</v>
      </c>
      <c r="L85" s="2" t="s">
        <v>478</v>
      </c>
      <c r="M85" s="3">
        <v>40186</v>
      </c>
      <c r="N85" s="2" t="s">
        <v>613</v>
      </c>
      <c r="O85" s="2"/>
      <c r="P85" s="2"/>
      <c r="Q85" s="2" t="str">
        <f>"004-E/10"</f>
        <v>004-E/10</v>
      </c>
      <c r="R85" s="2" t="s">
        <v>116</v>
      </c>
      <c r="S85" s="2"/>
      <c r="T85" s="2">
        <v>1</v>
      </c>
      <c r="U85" s="2" t="s">
        <v>79</v>
      </c>
      <c r="V85" s="2">
        <v>1</v>
      </c>
      <c r="W85" s="2" t="s">
        <v>80</v>
      </c>
      <c r="X85" s="2">
        <v>5</v>
      </c>
      <c r="Y85" s="2" t="s">
        <v>82</v>
      </c>
      <c r="Z85" s="2">
        <v>1</v>
      </c>
      <c r="AA85" s="2" t="s">
        <v>82</v>
      </c>
      <c r="AB85" s="2">
        <v>6</v>
      </c>
      <c r="AC85" s="2" t="s">
        <v>83</v>
      </c>
      <c r="AD85" s="3">
        <v>40180</v>
      </c>
      <c r="AE85" s="4">
        <v>0.85416666666666663</v>
      </c>
      <c r="AF85" s="3">
        <v>40180</v>
      </c>
      <c r="AG85" s="4">
        <v>0.9375</v>
      </c>
      <c r="AH85" s="2">
        <v>2</v>
      </c>
      <c r="AI85" s="2" t="s">
        <v>84</v>
      </c>
      <c r="AJ85" s="2">
        <v>9</v>
      </c>
      <c r="AK85" s="2" t="s">
        <v>103</v>
      </c>
      <c r="AL85" s="2">
        <v>14</v>
      </c>
      <c r="AM85" s="2" t="s">
        <v>216</v>
      </c>
      <c r="AN85" s="2"/>
      <c r="AO85" s="2" t="s">
        <v>614</v>
      </c>
      <c r="AP85" s="2">
        <v>11</v>
      </c>
      <c r="AQ85" s="2" t="s">
        <v>82</v>
      </c>
      <c r="AR85" s="2"/>
      <c r="AS85" s="2"/>
      <c r="AT85" s="2" t="s">
        <v>615</v>
      </c>
      <c r="AU85" s="2"/>
      <c r="AV85" s="2"/>
      <c r="AW85" s="2"/>
      <c r="AX85" s="2"/>
      <c r="AY85" s="2">
        <v>41</v>
      </c>
      <c r="AZ85" s="2" t="s">
        <v>82</v>
      </c>
      <c r="BA85" s="2">
        <v>41</v>
      </c>
      <c r="BB85" s="2" t="s">
        <v>82</v>
      </c>
      <c r="BC85" s="2">
        <v>41</v>
      </c>
      <c r="BD85" s="2" t="s">
        <v>82</v>
      </c>
      <c r="BE85" s="2">
        <v>6</v>
      </c>
      <c r="BF85" s="2" t="s">
        <v>616</v>
      </c>
      <c r="BG85" s="2" t="s">
        <v>617</v>
      </c>
      <c r="BH85" s="4">
        <v>0.85416666666666663</v>
      </c>
      <c r="BI85" s="2"/>
      <c r="BJ85" s="2">
        <v>4</v>
      </c>
      <c r="BK85" s="2" t="s">
        <v>618</v>
      </c>
      <c r="BL85" s="2" t="s">
        <v>619</v>
      </c>
      <c r="BM85" s="2">
        <v>241</v>
      </c>
      <c r="BN85" s="2" t="s">
        <v>82</v>
      </c>
      <c r="BO85" s="2"/>
      <c r="BP85" s="2">
        <v>13</v>
      </c>
      <c r="BQ85" s="2" t="s">
        <v>91</v>
      </c>
      <c r="BR85" s="2" t="s">
        <v>185</v>
      </c>
      <c r="BS85" s="3">
        <v>40186</v>
      </c>
      <c r="BT85" s="4">
        <v>0.38262731481481477</v>
      </c>
    </row>
    <row r="86" spans="1:72" x14ac:dyDescent="0.25">
      <c r="A86" s="2">
        <v>127</v>
      </c>
      <c r="B86" s="2">
        <v>2010</v>
      </c>
      <c r="C86" s="2" t="s">
        <v>72</v>
      </c>
      <c r="D86" s="2" t="s">
        <v>73</v>
      </c>
      <c r="E86" s="2"/>
      <c r="F86" s="2">
        <v>2</v>
      </c>
      <c r="G86" s="2" t="s">
        <v>113</v>
      </c>
      <c r="H86" s="2">
        <v>22</v>
      </c>
      <c r="I86" s="2" t="s">
        <v>75</v>
      </c>
      <c r="J86" s="2">
        <v>300</v>
      </c>
      <c r="K86" s="2" t="s">
        <v>114</v>
      </c>
      <c r="L86" s="2" t="s">
        <v>115</v>
      </c>
      <c r="M86" s="3">
        <v>40186</v>
      </c>
      <c r="N86" s="2" t="s">
        <v>107</v>
      </c>
      <c r="O86" s="2"/>
      <c r="P86" s="2"/>
      <c r="Q86" s="2" t="str">
        <f>"003-E/10"</f>
        <v>003-E/10</v>
      </c>
      <c r="R86" s="2"/>
      <c r="S86" s="2" t="s">
        <v>116</v>
      </c>
      <c r="T86" s="2">
        <v>1</v>
      </c>
      <c r="U86" s="2" t="s">
        <v>79</v>
      </c>
      <c r="V86" s="2">
        <v>1</v>
      </c>
      <c r="W86" s="2" t="s">
        <v>80</v>
      </c>
      <c r="X86" s="2">
        <v>5</v>
      </c>
      <c r="Y86" s="2" t="s">
        <v>82</v>
      </c>
      <c r="Z86" s="2">
        <v>1</v>
      </c>
      <c r="AA86" s="2" t="s">
        <v>82</v>
      </c>
      <c r="AB86" s="2">
        <v>6</v>
      </c>
      <c r="AC86" s="2" t="s">
        <v>83</v>
      </c>
      <c r="AD86" s="3">
        <v>40180</v>
      </c>
      <c r="AE86" s="4">
        <v>0.59722222222222221</v>
      </c>
      <c r="AF86" s="3">
        <v>40180</v>
      </c>
      <c r="AG86" s="4">
        <v>0.67708333333333337</v>
      </c>
      <c r="AH86" s="2">
        <v>2</v>
      </c>
      <c r="AI86" s="2" t="s">
        <v>84</v>
      </c>
      <c r="AJ86" s="2">
        <v>9</v>
      </c>
      <c r="AK86" s="2" t="s">
        <v>103</v>
      </c>
      <c r="AL86" s="2">
        <v>12</v>
      </c>
      <c r="AM86" s="2" t="s">
        <v>86</v>
      </c>
      <c r="AN86" s="2" t="s">
        <v>620</v>
      </c>
      <c r="AO86" s="2"/>
      <c r="AP86" s="2">
        <v>11</v>
      </c>
      <c r="AQ86" s="2" t="s">
        <v>82</v>
      </c>
      <c r="AR86" s="2"/>
      <c r="AS86" s="2"/>
      <c r="AT86" s="2" t="s">
        <v>621</v>
      </c>
      <c r="AU86" s="2"/>
      <c r="AV86" s="2"/>
      <c r="AW86" s="2"/>
      <c r="AX86" s="2"/>
      <c r="AY86" s="2">
        <v>41</v>
      </c>
      <c r="AZ86" s="2" t="s">
        <v>82</v>
      </c>
      <c r="BA86" s="2">
        <v>41</v>
      </c>
      <c r="BB86" s="2" t="s">
        <v>82</v>
      </c>
      <c r="BC86" s="2">
        <v>41</v>
      </c>
      <c r="BD86" s="2" t="s">
        <v>82</v>
      </c>
      <c r="BE86" s="2">
        <v>41</v>
      </c>
      <c r="BF86" s="2" t="s">
        <v>82</v>
      </c>
      <c r="BG86" s="2"/>
      <c r="BH86" s="2"/>
      <c r="BI86" s="2"/>
      <c r="BJ86" s="2">
        <v>241</v>
      </c>
      <c r="BK86" s="2" t="s">
        <v>82</v>
      </c>
      <c r="BL86" s="2"/>
      <c r="BM86" s="2">
        <v>241</v>
      </c>
      <c r="BN86" s="2" t="s">
        <v>82</v>
      </c>
      <c r="BO86" s="2"/>
      <c r="BP86" s="2">
        <v>241</v>
      </c>
      <c r="BQ86" s="2" t="s">
        <v>82</v>
      </c>
      <c r="BR86" s="2"/>
      <c r="BS86" s="3">
        <v>40186</v>
      </c>
      <c r="BT86" s="4">
        <v>0.52650462962962963</v>
      </c>
    </row>
    <row r="87" spans="1:72" x14ac:dyDescent="0.25">
      <c r="A87" s="2">
        <v>128</v>
      </c>
      <c r="B87" s="2">
        <v>2010</v>
      </c>
      <c r="C87" s="2" t="s">
        <v>171</v>
      </c>
      <c r="D87" s="2" t="s">
        <v>122</v>
      </c>
      <c r="E87" s="2">
        <v>118</v>
      </c>
      <c r="F87" s="2">
        <v>399</v>
      </c>
      <c r="G87" s="2" t="s">
        <v>587</v>
      </c>
      <c r="H87" s="2">
        <v>15</v>
      </c>
      <c r="I87" s="2" t="s">
        <v>130</v>
      </c>
      <c r="J87" s="2">
        <v>245</v>
      </c>
      <c r="K87" s="2" t="s">
        <v>96</v>
      </c>
      <c r="L87" s="2" t="s">
        <v>97</v>
      </c>
      <c r="M87" s="3">
        <v>40186</v>
      </c>
      <c r="N87" s="2" t="s">
        <v>588</v>
      </c>
      <c r="O87" s="2" t="s">
        <v>589</v>
      </c>
      <c r="P87" s="2" t="s">
        <v>589</v>
      </c>
      <c r="Q87" s="2" t="str">
        <f>"589-E/09"</f>
        <v>589-E/09</v>
      </c>
      <c r="R87" s="2" t="s">
        <v>391</v>
      </c>
      <c r="S87" s="2" t="s">
        <v>391</v>
      </c>
      <c r="T87" s="2">
        <v>1</v>
      </c>
      <c r="U87" s="2" t="s">
        <v>79</v>
      </c>
      <c r="V87" s="2">
        <v>1</v>
      </c>
      <c r="W87" s="2" t="s">
        <v>80</v>
      </c>
      <c r="X87" s="2">
        <v>1</v>
      </c>
      <c r="Y87" s="2" t="s">
        <v>81</v>
      </c>
      <c r="Z87" s="2">
        <v>1</v>
      </c>
      <c r="AA87" s="2" t="s">
        <v>82</v>
      </c>
      <c r="AB87" s="2">
        <v>1</v>
      </c>
      <c r="AC87" s="2" t="s">
        <v>178</v>
      </c>
      <c r="AD87" s="3">
        <v>40177</v>
      </c>
      <c r="AE87" s="4">
        <v>0.97222222222222221</v>
      </c>
      <c r="AF87" s="2"/>
      <c r="AG87" s="2"/>
      <c r="AH87" s="2">
        <v>2</v>
      </c>
      <c r="AI87" s="2" t="s">
        <v>84</v>
      </c>
      <c r="AJ87" s="2">
        <v>9</v>
      </c>
      <c r="AK87" s="2" t="s">
        <v>103</v>
      </c>
      <c r="AL87" s="2">
        <v>11</v>
      </c>
      <c r="AM87" s="2" t="s">
        <v>137</v>
      </c>
      <c r="AN87" s="2" t="s">
        <v>82</v>
      </c>
      <c r="AO87" s="2" t="s">
        <v>590</v>
      </c>
      <c r="AP87" s="2">
        <v>11</v>
      </c>
      <c r="AQ87" s="2" t="s">
        <v>82</v>
      </c>
      <c r="AR87" s="2"/>
      <c r="AS87" s="2"/>
      <c r="AT87" s="2" t="s">
        <v>622</v>
      </c>
      <c r="AU87" s="2"/>
      <c r="AV87" s="2">
        <v>1</v>
      </c>
      <c r="AW87" s="2"/>
      <c r="AX87" s="2"/>
      <c r="AY87" s="2">
        <v>41</v>
      </c>
      <c r="AZ87" s="2" t="s">
        <v>82</v>
      </c>
      <c r="BA87" s="2">
        <v>41</v>
      </c>
      <c r="BB87" s="2" t="s">
        <v>82</v>
      </c>
      <c r="BC87" s="2">
        <v>41</v>
      </c>
      <c r="BD87" s="2" t="s">
        <v>82</v>
      </c>
      <c r="BE87" s="2">
        <v>13</v>
      </c>
      <c r="BF87" s="2" t="s">
        <v>108</v>
      </c>
      <c r="BG87" s="2" t="s">
        <v>592</v>
      </c>
      <c r="BH87" s="2"/>
      <c r="BI87" s="2"/>
      <c r="BJ87" s="2">
        <v>241</v>
      </c>
      <c r="BK87" s="2" t="s">
        <v>82</v>
      </c>
      <c r="BL87" s="2"/>
      <c r="BM87" s="2">
        <v>241</v>
      </c>
      <c r="BN87" s="2" t="s">
        <v>82</v>
      </c>
      <c r="BO87" s="2"/>
      <c r="BP87" s="2">
        <v>112</v>
      </c>
      <c r="BQ87" s="2" t="s">
        <v>110</v>
      </c>
      <c r="BR87" s="2" t="s">
        <v>111</v>
      </c>
      <c r="BS87" s="3">
        <v>40186</v>
      </c>
      <c r="BT87" s="4">
        <v>0.55780092592592589</v>
      </c>
    </row>
    <row r="88" spans="1:72" x14ac:dyDescent="0.25">
      <c r="A88" s="2">
        <v>129</v>
      </c>
      <c r="B88" s="2">
        <v>2010</v>
      </c>
      <c r="C88" s="2" t="s">
        <v>385</v>
      </c>
      <c r="D88" s="2" t="s">
        <v>122</v>
      </c>
      <c r="E88" s="2" t="s">
        <v>623</v>
      </c>
      <c r="F88" s="2">
        <v>398</v>
      </c>
      <c r="G88" s="2" t="s">
        <v>94</v>
      </c>
      <c r="H88" s="2">
        <v>12</v>
      </c>
      <c r="I88" s="2" t="s">
        <v>95</v>
      </c>
      <c r="J88" s="2">
        <v>316</v>
      </c>
      <c r="K88" s="2" t="s">
        <v>574</v>
      </c>
      <c r="L88" s="2" t="s">
        <v>575</v>
      </c>
      <c r="M88" s="3">
        <v>40186</v>
      </c>
      <c r="N88" s="2" t="s">
        <v>470</v>
      </c>
      <c r="O88" s="2" t="s">
        <v>447</v>
      </c>
      <c r="P88" s="2">
        <v>11876</v>
      </c>
      <c r="Q88" s="2" t="str">
        <f>""</f>
        <v/>
      </c>
      <c r="R88" s="2"/>
      <c r="S88" s="2"/>
      <c r="T88" s="2">
        <v>1</v>
      </c>
      <c r="U88" s="2" t="s">
        <v>79</v>
      </c>
      <c r="V88" s="2">
        <v>1</v>
      </c>
      <c r="W88" s="2" t="s">
        <v>80</v>
      </c>
      <c r="X88" s="2">
        <v>5</v>
      </c>
      <c r="Y88" s="2" t="s">
        <v>82</v>
      </c>
      <c r="Z88" s="2">
        <v>1</v>
      </c>
      <c r="AA88" s="2" t="s">
        <v>82</v>
      </c>
      <c r="AB88" s="2">
        <v>9</v>
      </c>
      <c r="AC88" s="2" t="s">
        <v>124</v>
      </c>
      <c r="AD88" s="3">
        <v>40186</v>
      </c>
      <c r="AE88" s="4">
        <v>0.44097222222222227</v>
      </c>
      <c r="AF88" s="2"/>
      <c r="AG88" s="2"/>
      <c r="AH88" s="2">
        <v>2</v>
      </c>
      <c r="AI88" s="2" t="s">
        <v>84</v>
      </c>
      <c r="AJ88" s="2">
        <v>8</v>
      </c>
      <c r="AK88" s="2" t="s">
        <v>436</v>
      </c>
      <c r="AL88" s="2">
        <v>18</v>
      </c>
      <c r="AM88" s="2" t="s">
        <v>82</v>
      </c>
      <c r="AN88" s="2"/>
      <c r="AO88" s="2"/>
      <c r="AP88" s="2">
        <v>11</v>
      </c>
      <c r="AQ88" s="2" t="s">
        <v>82</v>
      </c>
      <c r="AR88" s="2"/>
      <c r="AS88" s="2"/>
      <c r="AT88" s="2" t="s">
        <v>624</v>
      </c>
      <c r="AU88" s="2"/>
      <c r="AV88" s="2">
        <v>1</v>
      </c>
      <c r="AW88" s="2"/>
      <c r="AX88" s="2"/>
      <c r="AY88" s="2">
        <v>41</v>
      </c>
      <c r="AZ88" s="2" t="s">
        <v>82</v>
      </c>
      <c r="BA88" s="2">
        <v>41</v>
      </c>
      <c r="BB88" s="2" t="s">
        <v>82</v>
      </c>
      <c r="BC88" s="2">
        <v>41</v>
      </c>
      <c r="BD88" s="2" t="s">
        <v>82</v>
      </c>
      <c r="BE88" s="2">
        <v>41</v>
      </c>
      <c r="BF88" s="2" t="s">
        <v>82</v>
      </c>
      <c r="BG88" s="2"/>
      <c r="BH88" s="2"/>
      <c r="BI88" s="2"/>
      <c r="BJ88" s="2">
        <v>241</v>
      </c>
      <c r="BK88" s="2" t="s">
        <v>82</v>
      </c>
      <c r="BL88" s="2"/>
      <c r="BM88" s="2">
        <v>241</v>
      </c>
      <c r="BN88" s="2" t="s">
        <v>82</v>
      </c>
      <c r="BO88" s="2"/>
      <c r="BP88" s="2">
        <v>241</v>
      </c>
      <c r="BQ88" s="2" t="s">
        <v>82</v>
      </c>
      <c r="BR88" s="2"/>
      <c r="BS88" s="3">
        <v>40186</v>
      </c>
      <c r="BT88" s="4">
        <v>0.58680555555555558</v>
      </c>
    </row>
    <row r="89" spans="1:72" x14ac:dyDescent="0.25">
      <c r="A89" s="2">
        <v>132</v>
      </c>
      <c r="B89" s="2">
        <v>2010</v>
      </c>
      <c r="C89" s="2" t="s">
        <v>625</v>
      </c>
      <c r="D89" s="2" t="s">
        <v>122</v>
      </c>
      <c r="E89" s="2"/>
      <c r="F89" s="2">
        <v>398</v>
      </c>
      <c r="G89" s="2" t="s">
        <v>94</v>
      </c>
      <c r="H89" s="2">
        <v>12</v>
      </c>
      <c r="I89" s="2" t="s">
        <v>95</v>
      </c>
      <c r="J89" s="2">
        <v>316</v>
      </c>
      <c r="K89" s="2" t="s">
        <v>574</v>
      </c>
      <c r="L89" s="2" t="s">
        <v>575</v>
      </c>
      <c r="M89" s="3">
        <v>40186</v>
      </c>
      <c r="N89" s="2" t="s">
        <v>470</v>
      </c>
      <c r="O89" s="2" t="s">
        <v>626</v>
      </c>
      <c r="P89" s="2">
        <v>11876</v>
      </c>
      <c r="Q89" s="2" t="str">
        <f>""</f>
        <v/>
      </c>
      <c r="R89" s="2"/>
      <c r="S89" s="2"/>
      <c r="T89" s="2">
        <v>1</v>
      </c>
      <c r="U89" s="2" t="s">
        <v>79</v>
      </c>
      <c r="V89" s="2">
        <v>1</v>
      </c>
      <c r="W89" s="2" t="s">
        <v>80</v>
      </c>
      <c r="X89" s="2">
        <v>4</v>
      </c>
      <c r="Y89" s="2" t="s">
        <v>463</v>
      </c>
      <c r="Z89" s="2">
        <v>10</v>
      </c>
      <c r="AA89" s="2" t="s">
        <v>236</v>
      </c>
      <c r="AB89" s="2">
        <v>9</v>
      </c>
      <c r="AC89" s="2" t="s">
        <v>124</v>
      </c>
      <c r="AD89" s="3">
        <v>40186</v>
      </c>
      <c r="AE89" s="4">
        <v>0.52083333333333337</v>
      </c>
      <c r="AF89" s="2"/>
      <c r="AG89" s="2"/>
      <c r="AH89" s="2">
        <v>2</v>
      </c>
      <c r="AI89" s="2" t="s">
        <v>84</v>
      </c>
      <c r="AJ89" s="2">
        <v>8</v>
      </c>
      <c r="AK89" s="2" t="s">
        <v>436</v>
      </c>
      <c r="AL89" s="2">
        <v>18</v>
      </c>
      <c r="AM89" s="2" t="s">
        <v>82</v>
      </c>
      <c r="AN89" s="2" t="s">
        <v>627</v>
      </c>
      <c r="AO89" s="2" t="s">
        <v>628</v>
      </c>
      <c r="AP89" s="2">
        <v>11</v>
      </c>
      <c r="AQ89" s="2" t="s">
        <v>82</v>
      </c>
      <c r="AR89" s="2"/>
      <c r="AS89" s="2"/>
      <c r="AT89" s="2" t="s">
        <v>629</v>
      </c>
      <c r="AU89" s="2"/>
      <c r="AV89" s="2"/>
      <c r="AW89" s="2"/>
      <c r="AX89" s="2"/>
      <c r="AY89" s="2">
        <v>41</v>
      </c>
      <c r="AZ89" s="2" t="s">
        <v>82</v>
      </c>
      <c r="BA89" s="2">
        <v>41</v>
      </c>
      <c r="BB89" s="2" t="s">
        <v>82</v>
      </c>
      <c r="BC89" s="2">
        <v>41</v>
      </c>
      <c r="BD89" s="2" t="s">
        <v>82</v>
      </c>
      <c r="BE89" s="2">
        <v>41</v>
      </c>
      <c r="BF89" s="2" t="s">
        <v>82</v>
      </c>
      <c r="BG89" s="2"/>
      <c r="BH89" s="2"/>
      <c r="BI89" s="2"/>
      <c r="BJ89" s="2">
        <v>241</v>
      </c>
      <c r="BK89" s="2" t="s">
        <v>82</v>
      </c>
      <c r="BL89" s="2"/>
      <c r="BM89" s="2">
        <v>241</v>
      </c>
      <c r="BN89" s="2" t="s">
        <v>82</v>
      </c>
      <c r="BO89" s="2"/>
      <c r="BP89" s="2">
        <v>241</v>
      </c>
      <c r="BQ89" s="2" t="s">
        <v>82</v>
      </c>
      <c r="BR89" s="2"/>
      <c r="BS89" s="3">
        <v>40186</v>
      </c>
      <c r="BT89" s="4">
        <v>0.62946759259259266</v>
      </c>
    </row>
    <row r="90" spans="1:72" x14ac:dyDescent="0.25">
      <c r="A90" s="2">
        <v>134</v>
      </c>
      <c r="B90" s="2">
        <v>2010</v>
      </c>
      <c r="C90" s="2" t="s">
        <v>147</v>
      </c>
      <c r="D90" s="2" t="s">
        <v>73</v>
      </c>
      <c r="E90" s="2"/>
      <c r="F90" s="2">
        <v>1</v>
      </c>
      <c r="G90" s="2" t="s">
        <v>82</v>
      </c>
      <c r="H90" s="2">
        <v>1</v>
      </c>
      <c r="I90" s="2" t="s">
        <v>82</v>
      </c>
      <c r="J90" s="2">
        <v>1</v>
      </c>
      <c r="K90" s="2" t="s">
        <v>107</v>
      </c>
      <c r="L90" s="2" t="s">
        <v>107</v>
      </c>
      <c r="M90" s="3">
        <v>40186</v>
      </c>
      <c r="N90" s="2"/>
      <c r="O90" s="2"/>
      <c r="P90" s="2"/>
      <c r="Q90" s="2" t="str">
        <f>""</f>
        <v/>
      </c>
      <c r="R90" s="2"/>
      <c r="S90" s="2"/>
      <c r="T90" s="2">
        <v>2</v>
      </c>
      <c r="U90" s="2" t="s">
        <v>123</v>
      </c>
      <c r="V90" s="2">
        <v>1</v>
      </c>
      <c r="W90" s="2" t="s">
        <v>80</v>
      </c>
      <c r="X90" s="2">
        <v>12</v>
      </c>
      <c r="Y90" s="2" t="s">
        <v>148</v>
      </c>
      <c r="Z90" s="2">
        <v>1</v>
      </c>
      <c r="AA90" s="2" t="s">
        <v>82</v>
      </c>
      <c r="AB90" s="2">
        <v>9</v>
      </c>
      <c r="AC90" s="2" t="s">
        <v>124</v>
      </c>
      <c r="AD90" s="3">
        <v>40177</v>
      </c>
      <c r="AE90" s="4">
        <v>0.5</v>
      </c>
      <c r="AF90" s="3">
        <v>40186</v>
      </c>
      <c r="AG90" s="4">
        <v>0.54861111111111105</v>
      </c>
      <c r="AH90" s="2">
        <v>2</v>
      </c>
      <c r="AI90" s="2" t="s">
        <v>84</v>
      </c>
      <c r="AJ90" s="2">
        <v>12</v>
      </c>
      <c r="AK90" s="2" t="s">
        <v>85</v>
      </c>
      <c r="AL90" s="2">
        <v>19</v>
      </c>
      <c r="AM90" s="2" t="s">
        <v>107</v>
      </c>
      <c r="AN90" s="2" t="s">
        <v>630</v>
      </c>
      <c r="AO90" s="2" t="s">
        <v>631</v>
      </c>
      <c r="AP90" s="2">
        <v>11</v>
      </c>
      <c r="AQ90" s="2" t="s">
        <v>82</v>
      </c>
      <c r="AR90" s="2"/>
      <c r="AS90" s="2"/>
      <c r="AT90" s="2" t="s">
        <v>632</v>
      </c>
      <c r="AU90" s="2"/>
      <c r="AV90" s="2"/>
      <c r="AW90" s="2"/>
      <c r="AX90" s="2"/>
      <c r="AY90" s="2">
        <v>41</v>
      </c>
      <c r="AZ90" s="2" t="s">
        <v>82</v>
      </c>
      <c r="BA90" s="2">
        <v>41</v>
      </c>
      <c r="BB90" s="2" t="s">
        <v>82</v>
      </c>
      <c r="BC90" s="2">
        <v>41</v>
      </c>
      <c r="BD90" s="2" t="s">
        <v>82</v>
      </c>
      <c r="BE90" s="2">
        <v>41</v>
      </c>
      <c r="BF90" s="2" t="s">
        <v>82</v>
      </c>
      <c r="BG90" s="2"/>
      <c r="BH90" s="2"/>
      <c r="BI90" s="2"/>
      <c r="BJ90" s="2">
        <v>241</v>
      </c>
      <c r="BK90" s="2" t="s">
        <v>82</v>
      </c>
      <c r="BL90" s="2"/>
      <c r="BM90" s="2">
        <v>241</v>
      </c>
      <c r="BN90" s="2" t="s">
        <v>82</v>
      </c>
      <c r="BO90" s="2"/>
      <c r="BP90" s="2">
        <v>241</v>
      </c>
      <c r="BQ90" s="2" t="s">
        <v>82</v>
      </c>
      <c r="BR90" s="2"/>
      <c r="BS90" s="3">
        <v>40186</v>
      </c>
      <c r="BT90" s="4">
        <v>0.64959490740740744</v>
      </c>
    </row>
    <row r="91" spans="1:72" x14ac:dyDescent="0.25">
      <c r="A91" s="2">
        <v>135</v>
      </c>
      <c r="B91" s="2">
        <v>2010</v>
      </c>
      <c r="C91" s="2" t="s">
        <v>255</v>
      </c>
      <c r="D91" s="2" t="s">
        <v>73</v>
      </c>
      <c r="E91" s="2"/>
      <c r="F91" s="2">
        <v>437</v>
      </c>
      <c r="G91" s="2" t="s">
        <v>633</v>
      </c>
      <c r="H91" s="2">
        <v>5</v>
      </c>
      <c r="I91" s="2" t="s">
        <v>634</v>
      </c>
      <c r="J91" s="2">
        <v>318</v>
      </c>
      <c r="K91" s="2" t="s">
        <v>635</v>
      </c>
      <c r="L91" s="2" t="s">
        <v>636</v>
      </c>
      <c r="M91" s="3">
        <v>40186</v>
      </c>
      <c r="N91" s="2" t="s">
        <v>637</v>
      </c>
      <c r="O91" s="2"/>
      <c r="P91" s="2"/>
      <c r="Q91" s="2" t="str">
        <f>"02/10 PSA"</f>
        <v>02/10 PSA</v>
      </c>
      <c r="R91" s="2" t="s">
        <v>638</v>
      </c>
      <c r="S91" s="2" t="s">
        <v>638</v>
      </c>
      <c r="T91" s="2">
        <v>1</v>
      </c>
      <c r="U91" s="2" t="s">
        <v>79</v>
      </c>
      <c r="V91" s="2">
        <v>1</v>
      </c>
      <c r="W91" s="2" t="s">
        <v>80</v>
      </c>
      <c r="X91" s="2">
        <v>5</v>
      </c>
      <c r="Y91" s="2" t="s">
        <v>82</v>
      </c>
      <c r="Z91" s="2">
        <v>3</v>
      </c>
      <c r="AA91" s="2" t="s">
        <v>257</v>
      </c>
      <c r="AB91" s="2">
        <v>9</v>
      </c>
      <c r="AC91" s="2" t="s">
        <v>124</v>
      </c>
      <c r="AD91" s="3">
        <v>40186</v>
      </c>
      <c r="AE91" s="4">
        <v>0.39583333333333331</v>
      </c>
      <c r="AF91" s="3">
        <v>40186</v>
      </c>
      <c r="AG91" s="4">
        <v>0.5</v>
      </c>
      <c r="AH91" s="2">
        <v>4</v>
      </c>
      <c r="AI91" s="2" t="s">
        <v>125</v>
      </c>
      <c r="AJ91" s="2">
        <v>30</v>
      </c>
      <c r="AK91" s="2" t="s">
        <v>258</v>
      </c>
      <c r="AL91" s="2">
        <v>9</v>
      </c>
      <c r="AM91" s="2" t="s">
        <v>259</v>
      </c>
      <c r="AN91" s="2" t="s">
        <v>639</v>
      </c>
      <c r="AO91" s="2" t="s">
        <v>640</v>
      </c>
      <c r="AP91" s="2">
        <v>11</v>
      </c>
      <c r="AQ91" s="2" t="s">
        <v>82</v>
      </c>
      <c r="AR91" s="2"/>
      <c r="AS91" s="2"/>
      <c r="AT91" s="2" t="s">
        <v>641</v>
      </c>
      <c r="AU91" s="2"/>
      <c r="AV91" s="2"/>
      <c r="AW91" s="2"/>
      <c r="AX91" s="2"/>
      <c r="AY91" s="2">
        <v>44</v>
      </c>
      <c r="AZ91" s="2" t="s">
        <v>262</v>
      </c>
      <c r="BA91" s="2">
        <v>44</v>
      </c>
      <c r="BB91" s="2" t="s">
        <v>262</v>
      </c>
      <c r="BC91" s="2">
        <v>44</v>
      </c>
      <c r="BD91" s="2" t="s">
        <v>262</v>
      </c>
      <c r="BE91" s="2">
        <v>41</v>
      </c>
      <c r="BF91" s="2" t="s">
        <v>82</v>
      </c>
      <c r="BG91" s="2"/>
      <c r="BH91" s="2"/>
      <c r="BI91" s="2"/>
      <c r="BJ91" s="2">
        <v>241</v>
      </c>
      <c r="BK91" s="2" t="s">
        <v>82</v>
      </c>
      <c r="BL91" s="2"/>
      <c r="BM91" s="2">
        <v>241</v>
      </c>
      <c r="BN91" s="2" t="s">
        <v>82</v>
      </c>
      <c r="BO91" s="2"/>
      <c r="BP91" s="2">
        <v>241</v>
      </c>
      <c r="BQ91" s="2" t="s">
        <v>82</v>
      </c>
      <c r="BR91" s="2"/>
      <c r="BS91" s="3">
        <v>40186</v>
      </c>
      <c r="BT91" s="4">
        <v>0.66665509259259259</v>
      </c>
    </row>
    <row r="92" spans="1:72" x14ac:dyDescent="0.25">
      <c r="A92" s="2">
        <v>136</v>
      </c>
      <c r="B92" s="2">
        <v>2010</v>
      </c>
      <c r="C92" s="2" t="s">
        <v>642</v>
      </c>
      <c r="D92" s="2" t="s">
        <v>122</v>
      </c>
      <c r="E92" s="2" t="s">
        <v>643</v>
      </c>
      <c r="F92" s="2">
        <v>151</v>
      </c>
      <c r="G92" s="2" t="s">
        <v>314</v>
      </c>
      <c r="H92" s="2">
        <v>3</v>
      </c>
      <c r="I92" s="2" t="s">
        <v>315</v>
      </c>
      <c r="J92" s="2">
        <v>163</v>
      </c>
      <c r="K92" s="2" t="s">
        <v>316</v>
      </c>
      <c r="L92" s="2" t="s">
        <v>317</v>
      </c>
      <c r="M92" s="3">
        <v>40186</v>
      </c>
      <c r="N92" s="2" t="s">
        <v>410</v>
      </c>
      <c r="O92" s="2" t="s">
        <v>489</v>
      </c>
      <c r="P92" s="2" t="s">
        <v>319</v>
      </c>
      <c r="Q92" s="2" t="str">
        <f>""</f>
        <v/>
      </c>
      <c r="R92" s="2"/>
      <c r="S92" s="2"/>
      <c r="T92" s="2">
        <v>1</v>
      </c>
      <c r="U92" s="2" t="s">
        <v>79</v>
      </c>
      <c r="V92" s="2">
        <v>3</v>
      </c>
      <c r="W92" s="2" t="s">
        <v>225</v>
      </c>
      <c r="X92" s="2">
        <v>1</v>
      </c>
      <c r="Y92" s="2" t="s">
        <v>81</v>
      </c>
      <c r="Z92" s="2">
        <v>1</v>
      </c>
      <c r="AA92" s="2" t="s">
        <v>82</v>
      </c>
      <c r="AB92" s="2">
        <v>9</v>
      </c>
      <c r="AC92" s="2" t="s">
        <v>124</v>
      </c>
      <c r="AD92" s="3">
        <v>40183</v>
      </c>
      <c r="AE92" s="2"/>
      <c r="AF92" s="2"/>
      <c r="AG92" s="2"/>
      <c r="AH92" s="2">
        <v>6</v>
      </c>
      <c r="AI92" s="2" t="s">
        <v>197</v>
      </c>
      <c r="AJ92" s="2">
        <v>47</v>
      </c>
      <c r="AK92" s="2" t="s">
        <v>250</v>
      </c>
      <c r="AL92" s="2">
        <v>18</v>
      </c>
      <c r="AM92" s="2" t="s">
        <v>82</v>
      </c>
      <c r="AN92" s="2" t="s">
        <v>82</v>
      </c>
      <c r="AO92" s="2" t="s">
        <v>82</v>
      </c>
      <c r="AP92" s="2">
        <v>11</v>
      </c>
      <c r="AQ92" s="2" t="s">
        <v>82</v>
      </c>
      <c r="AR92" s="2" t="s">
        <v>82</v>
      </c>
      <c r="AS92" s="2" t="s">
        <v>82</v>
      </c>
      <c r="AT92" s="2" t="s">
        <v>644</v>
      </c>
      <c r="AU92" s="2"/>
      <c r="AV92" s="2">
        <v>3</v>
      </c>
      <c r="AW92" s="2"/>
      <c r="AX92" s="2"/>
      <c r="AY92" s="2">
        <v>41</v>
      </c>
      <c r="AZ92" s="2" t="s">
        <v>82</v>
      </c>
      <c r="BA92" s="2">
        <v>41</v>
      </c>
      <c r="BB92" s="2" t="s">
        <v>82</v>
      </c>
      <c r="BC92" s="2">
        <v>41</v>
      </c>
      <c r="BD92" s="2" t="s">
        <v>82</v>
      </c>
      <c r="BE92" s="2">
        <v>13</v>
      </c>
      <c r="BF92" s="2" t="s">
        <v>108</v>
      </c>
      <c r="BG92" s="2"/>
      <c r="BH92" s="2"/>
      <c r="BI92" s="2"/>
      <c r="BJ92" s="2">
        <v>13</v>
      </c>
      <c r="BK92" s="2" t="s">
        <v>91</v>
      </c>
      <c r="BL92" s="2" t="s">
        <v>492</v>
      </c>
      <c r="BM92" s="2">
        <v>241</v>
      </c>
      <c r="BN92" s="2" t="s">
        <v>82</v>
      </c>
      <c r="BO92" s="2" t="s">
        <v>82</v>
      </c>
      <c r="BP92" s="2">
        <v>13</v>
      </c>
      <c r="BQ92" s="2" t="s">
        <v>91</v>
      </c>
      <c r="BR92" s="2" t="s">
        <v>185</v>
      </c>
      <c r="BS92" s="3">
        <v>40186</v>
      </c>
      <c r="BT92" s="4">
        <v>0.69363425925925926</v>
      </c>
    </row>
    <row r="93" spans="1:72" x14ac:dyDescent="0.25">
      <c r="A93" s="2">
        <v>137</v>
      </c>
      <c r="B93" s="2">
        <v>2010</v>
      </c>
      <c r="C93" s="2" t="s">
        <v>625</v>
      </c>
      <c r="D93" s="2" t="s">
        <v>73</v>
      </c>
      <c r="E93" s="2"/>
      <c r="F93" s="2">
        <v>398</v>
      </c>
      <c r="G93" s="2" t="s">
        <v>94</v>
      </c>
      <c r="H93" s="2">
        <v>12</v>
      </c>
      <c r="I93" s="2" t="s">
        <v>95</v>
      </c>
      <c r="J93" s="2">
        <v>316</v>
      </c>
      <c r="K93" s="2" t="s">
        <v>574</v>
      </c>
      <c r="L93" s="2" t="s">
        <v>575</v>
      </c>
      <c r="M93" s="3">
        <v>40186</v>
      </c>
      <c r="N93" s="2" t="s">
        <v>451</v>
      </c>
      <c r="O93" s="2" t="s">
        <v>645</v>
      </c>
      <c r="P93" s="2">
        <v>11876</v>
      </c>
      <c r="Q93" s="2" t="str">
        <f>"546E/09"</f>
        <v>546E/09</v>
      </c>
      <c r="R93" s="2"/>
      <c r="S93" s="2" t="s">
        <v>391</v>
      </c>
      <c r="T93" s="2">
        <v>1</v>
      </c>
      <c r="U93" s="2" t="s">
        <v>79</v>
      </c>
      <c r="V93" s="2">
        <v>1</v>
      </c>
      <c r="W93" s="2" t="s">
        <v>80</v>
      </c>
      <c r="X93" s="2">
        <v>2</v>
      </c>
      <c r="Y93" s="2" t="s">
        <v>136</v>
      </c>
      <c r="Z93" s="2">
        <v>10</v>
      </c>
      <c r="AA93" s="2" t="s">
        <v>236</v>
      </c>
      <c r="AB93" s="2">
        <v>9</v>
      </c>
      <c r="AC93" s="2" t="s">
        <v>124</v>
      </c>
      <c r="AD93" s="3">
        <v>40186</v>
      </c>
      <c r="AE93" s="4">
        <v>6.25E-2</v>
      </c>
      <c r="AF93" s="2"/>
      <c r="AG93" s="2"/>
      <c r="AH93" s="2">
        <v>2</v>
      </c>
      <c r="AI93" s="2" t="s">
        <v>84</v>
      </c>
      <c r="AJ93" s="2">
        <v>6</v>
      </c>
      <c r="AK93" s="2" t="s">
        <v>453</v>
      </c>
      <c r="AL93" s="2">
        <v>18</v>
      </c>
      <c r="AM93" s="2" t="s">
        <v>82</v>
      </c>
      <c r="AN93" s="2" t="s">
        <v>646</v>
      </c>
      <c r="AO93" s="2" t="s">
        <v>647</v>
      </c>
      <c r="AP93" s="2">
        <v>11</v>
      </c>
      <c r="AQ93" s="2" t="s">
        <v>82</v>
      </c>
      <c r="AR93" s="2"/>
      <c r="AS93" s="2"/>
      <c r="AT93" s="2" t="s">
        <v>648</v>
      </c>
      <c r="AU93" s="2"/>
      <c r="AV93" s="2"/>
      <c r="AW93" s="2"/>
      <c r="AX93" s="2"/>
      <c r="AY93" s="2">
        <v>42</v>
      </c>
      <c r="AZ93" s="2" t="s">
        <v>182</v>
      </c>
      <c r="BA93" s="2">
        <v>41</v>
      </c>
      <c r="BB93" s="2" t="s">
        <v>82</v>
      </c>
      <c r="BC93" s="2">
        <v>41</v>
      </c>
      <c r="BD93" s="2" t="s">
        <v>82</v>
      </c>
      <c r="BE93" s="2">
        <v>41</v>
      </c>
      <c r="BF93" s="2" t="s">
        <v>82</v>
      </c>
      <c r="BG93" s="2"/>
      <c r="BH93" s="2"/>
      <c r="BI93" s="2"/>
      <c r="BJ93" s="2">
        <v>241</v>
      </c>
      <c r="BK93" s="2" t="s">
        <v>82</v>
      </c>
      <c r="BL93" s="2"/>
      <c r="BM93" s="2">
        <v>241</v>
      </c>
      <c r="BN93" s="2" t="s">
        <v>82</v>
      </c>
      <c r="BO93" s="2"/>
      <c r="BP93" s="2">
        <v>241</v>
      </c>
      <c r="BQ93" s="2" t="s">
        <v>82</v>
      </c>
      <c r="BR93" s="2"/>
      <c r="BS93" s="3">
        <v>40186</v>
      </c>
      <c r="BT93" s="4">
        <v>0.76302083333333337</v>
      </c>
    </row>
    <row r="94" spans="1:72" x14ac:dyDescent="0.25">
      <c r="A94" s="2">
        <v>137</v>
      </c>
      <c r="B94" s="2">
        <v>2010</v>
      </c>
      <c r="C94" s="2" t="s">
        <v>171</v>
      </c>
      <c r="D94" s="2" t="s">
        <v>73</v>
      </c>
      <c r="E94" s="2"/>
      <c r="F94" s="2">
        <v>398</v>
      </c>
      <c r="G94" s="2" t="s">
        <v>94</v>
      </c>
      <c r="H94" s="2">
        <v>12</v>
      </c>
      <c r="I94" s="2" t="s">
        <v>95</v>
      </c>
      <c r="J94" s="2">
        <v>316</v>
      </c>
      <c r="K94" s="2" t="s">
        <v>574</v>
      </c>
      <c r="L94" s="2" t="s">
        <v>575</v>
      </c>
      <c r="M94" s="3">
        <v>40186</v>
      </c>
      <c r="N94" s="2" t="s">
        <v>451</v>
      </c>
      <c r="O94" s="2" t="s">
        <v>645</v>
      </c>
      <c r="P94" s="2">
        <v>11876</v>
      </c>
      <c r="Q94" s="2" t="str">
        <f>"546E/09"</f>
        <v>546E/09</v>
      </c>
      <c r="R94" s="2"/>
      <c r="S94" s="2" t="s">
        <v>391</v>
      </c>
      <c r="T94" s="2">
        <v>1</v>
      </c>
      <c r="U94" s="2" t="s">
        <v>79</v>
      </c>
      <c r="V94" s="2">
        <v>1</v>
      </c>
      <c r="W94" s="2" t="s">
        <v>80</v>
      </c>
      <c r="X94" s="2">
        <v>2</v>
      </c>
      <c r="Y94" s="2" t="s">
        <v>136</v>
      </c>
      <c r="Z94" s="2">
        <v>10</v>
      </c>
      <c r="AA94" s="2" t="s">
        <v>236</v>
      </c>
      <c r="AB94" s="2">
        <v>1</v>
      </c>
      <c r="AC94" s="2" t="s">
        <v>178</v>
      </c>
      <c r="AD94" s="3">
        <v>40186</v>
      </c>
      <c r="AE94" s="4">
        <v>6.25E-2</v>
      </c>
      <c r="AF94" s="2"/>
      <c r="AG94" s="2"/>
      <c r="AH94" s="2">
        <v>2</v>
      </c>
      <c r="AI94" s="2" t="s">
        <v>84</v>
      </c>
      <c r="AJ94" s="2">
        <v>6</v>
      </c>
      <c r="AK94" s="2" t="s">
        <v>453</v>
      </c>
      <c r="AL94" s="2">
        <v>18</v>
      </c>
      <c r="AM94" s="2" t="s">
        <v>82</v>
      </c>
      <c r="AN94" s="2" t="s">
        <v>646</v>
      </c>
      <c r="AO94" s="2" t="s">
        <v>647</v>
      </c>
      <c r="AP94" s="2">
        <v>11</v>
      </c>
      <c r="AQ94" s="2" t="s">
        <v>82</v>
      </c>
      <c r="AR94" s="2"/>
      <c r="AS94" s="2"/>
      <c r="AT94" s="2" t="s">
        <v>648</v>
      </c>
      <c r="AU94" s="2"/>
      <c r="AV94" s="2"/>
      <c r="AW94" s="2"/>
      <c r="AX94" s="2"/>
      <c r="AY94" s="2">
        <v>42</v>
      </c>
      <c r="AZ94" s="2" t="s">
        <v>182</v>
      </c>
      <c r="BA94" s="2">
        <v>41</v>
      </c>
      <c r="BB94" s="2" t="s">
        <v>82</v>
      </c>
      <c r="BC94" s="2">
        <v>41</v>
      </c>
      <c r="BD94" s="2" t="s">
        <v>82</v>
      </c>
      <c r="BE94" s="2">
        <v>41</v>
      </c>
      <c r="BF94" s="2" t="s">
        <v>82</v>
      </c>
      <c r="BG94" s="2"/>
      <c r="BH94" s="2"/>
      <c r="BI94" s="2"/>
      <c r="BJ94" s="2">
        <v>241</v>
      </c>
      <c r="BK94" s="2" t="s">
        <v>82</v>
      </c>
      <c r="BL94" s="2"/>
      <c r="BM94" s="2">
        <v>241</v>
      </c>
      <c r="BN94" s="2" t="s">
        <v>82</v>
      </c>
      <c r="BO94" s="2"/>
      <c r="BP94" s="2">
        <v>241</v>
      </c>
      <c r="BQ94" s="2" t="s">
        <v>82</v>
      </c>
      <c r="BR94" s="2"/>
      <c r="BS94" s="3">
        <v>40186</v>
      </c>
      <c r="BT94" s="4">
        <v>0.76302083333333337</v>
      </c>
    </row>
    <row r="95" spans="1:72" x14ac:dyDescent="0.25">
      <c r="A95" s="2">
        <v>139</v>
      </c>
      <c r="B95" s="2">
        <v>2010</v>
      </c>
      <c r="C95" s="2" t="s">
        <v>72</v>
      </c>
      <c r="D95" s="2" t="s">
        <v>73</v>
      </c>
      <c r="E95" s="2"/>
      <c r="F95" s="2">
        <v>2</v>
      </c>
      <c r="G95" s="2" t="s">
        <v>113</v>
      </c>
      <c r="H95" s="2">
        <v>1</v>
      </c>
      <c r="I95" s="2" t="s">
        <v>82</v>
      </c>
      <c r="J95" s="2">
        <v>300</v>
      </c>
      <c r="K95" s="2" t="s">
        <v>114</v>
      </c>
      <c r="L95" s="2" t="s">
        <v>115</v>
      </c>
      <c r="M95" s="3">
        <v>40186</v>
      </c>
      <c r="N95" s="2" t="s">
        <v>82</v>
      </c>
      <c r="O95" s="2" t="s">
        <v>107</v>
      </c>
      <c r="P95" s="2" t="s">
        <v>107</v>
      </c>
      <c r="Q95" s="2" t="str">
        <f>"014-E/10"</f>
        <v>014-E/10</v>
      </c>
      <c r="R95" s="2" t="s">
        <v>82</v>
      </c>
      <c r="S95" s="2" t="s">
        <v>116</v>
      </c>
      <c r="T95" s="2">
        <v>1</v>
      </c>
      <c r="U95" s="2" t="s">
        <v>79</v>
      </c>
      <c r="V95" s="2">
        <v>1</v>
      </c>
      <c r="W95" s="2" t="s">
        <v>80</v>
      </c>
      <c r="X95" s="2">
        <v>5</v>
      </c>
      <c r="Y95" s="2" t="s">
        <v>82</v>
      </c>
      <c r="Z95" s="2">
        <v>1</v>
      </c>
      <c r="AA95" s="2" t="s">
        <v>82</v>
      </c>
      <c r="AB95" s="2">
        <v>6</v>
      </c>
      <c r="AC95" s="2" t="s">
        <v>83</v>
      </c>
      <c r="AD95" s="3">
        <v>40185</v>
      </c>
      <c r="AE95" s="4">
        <v>0.70833333333333337</v>
      </c>
      <c r="AF95" s="3">
        <v>40186</v>
      </c>
      <c r="AG95" s="4">
        <v>0.64583333333333337</v>
      </c>
      <c r="AH95" s="2">
        <v>2</v>
      </c>
      <c r="AI95" s="2" t="s">
        <v>84</v>
      </c>
      <c r="AJ95" s="2">
        <v>9</v>
      </c>
      <c r="AK95" s="2" t="s">
        <v>103</v>
      </c>
      <c r="AL95" s="2">
        <v>18</v>
      </c>
      <c r="AM95" s="2" t="s">
        <v>82</v>
      </c>
      <c r="AN95" s="2" t="s">
        <v>649</v>
      </c>
      <c r="AO95" s="2" t="s">
        <v>650</v>
      </c>
      <c r="AP95" s="2">
        <v>11</v>
      </c>
      <c r="AQ95" s="2" t="s">
        <v>82</v>
      </c>
      <c r="AR95" s="2"/>
      <c r="AS95" s="2"/>
      <c r="AT95" s="2" t="s">
        <v>651</v>
      </c>
      <c r="AU95" s="2"/>
      <c r="AV95" s="2"/>
      <c r="AW95" s="2"/>
      <c r="AX95" s="2"/>
      <c r="AY95" s="2">
        <v>41</v>
      </c>
      <c r="AZ95" s="2" t="s">
        <v>82</v>
      </c>
      <c r="BA95" s="2">
        <v>41</v>
      </c>
      <c r="BB95" s="2" t="s">
        <v>82</v>
      </c>
      <c r="BC95" s="2">
        <v>41</v>
      </c>
      <c r="BD95" s="2" t="s">
        <v>82</v>
      </c>
      <c r="BE95" s="2">
        <v>41</v>
      </c>
      <c r="BF95" s="2" t="s">
        <v>82</v>
      </c>
      <c r="BG95" s="2"/>
      <c r="BH95" s="2"/>
      <c r="BI95" s="2"/>
      <c r="BJ95" s="2">
        <v>241</v>
      </c>
      <c r="BK95" s="2" t="s">
        <v>82</v>
      </c>
      <c r="BL95" s="2"/>
      <c r="BM95" s="2">
        <v>241</v>
      </c>
      <c r="BN95" s="2" t="s">
        <v>82</v>
      </c>
      <c r="BO95" s="2"/>
      <c r="BP95" s="2">
        <v>241</v>
      </c>
      <c r="BQ95" s="2" t="s">
        <v>82</v>
      </c>
      <c r="BR95" s="2"/>
      <c r="BS95" s="3">
        <v>40186</v>
      </c>
      <c r="BT95" s="4">
        <v>0.88924768518518515</v>
      </c>
    </row>
    <row r="96" spans="1:72" x14ac:dyDescent="0.25">
      <c r="A96" s="2">
        <v>140</v>
      </c>
      <c r="B96" s="2">
        <v>2010</v>
      </c>
      <c r="C96" s="2" t="s">
        <v>72</v>
      </c>
      <c r="D96" s="2" t="s">
        <v>73</v>
      </c>
      <c r="E96" s="2"/>
      <c r="F96" s="2">
        <v>2</v>
      </c>
      <c r="G96" s="2" t="s">
        <v>113</v>
      </c>
      <c r="H96" s="2">
        <v>1</v>
      </c>
      <c r="I96" s="2" t="s">
        <v>82</v>
      </c>
      <c r="J96" s="2">
        <v>300</v>
      </c>
      <c r="K96" s="2" t="s">
        <v>114</v>
      </c>
      <c r="L96" s="2" t="s">
        <v>115</v>
      </c>
      <c r="M96" s="3">
        <v>40186</v>
      </c>
      <c r="N96" s="2" t="s">
        <v>82</v>
      </c>
      <c r="O96" s="2" t="s">
        <v>107</v>
      </c>
      <c r="P96" s="2" t="s">
        <v>107</v>
      </c>
      <c r="Q96" s="2" t="str">
        <f>"015-E/10"</f>
        <v>015-E/10</v>
      </c>
      <c r="R96" s="2" t="s">
        <v>107</v>
      </c>
      <c r="S96" s="2" t="s">
        <v>116</v>
      </c>
      <c r="T96" s="2">
        <v>1</v>
      </c>
      <c r="U96" s="2" t="s">
        <v>79</v>
      </c>
      <c r="V96" s="2">
        <v>1</v>
      </c>
      <c r="W96" s="2" t="s">
        <v>80</v>
      </c>
      <c r="X96" s="2">
        <v>5</v>
      </c>
      <c r="Y96" s="2" t="s">
        <v>82</v>
      </c>
      <c r="Z96" s="2">
        <v>1</v>
      </c>
      <c r="AA96" s="2" t="s">
        <v>82</v>
      </c>
      <c r="AB96" s="2">
        <v>6</v>
      </c>
      <c r="AC96" s="2" t="s">
        <v>83</v>
      </c>
      <c r="AD96" s="3">
        <v>40182</v>
      </c>
      <c r="AE96" s="4">
        <v>0.58333333333333337</v>
      </c>
      <c r="AF96" s="3">
        <v>40186</v>
      </c>
      <c r="AG96" s="4">
        <v>0.55902777777777779</v>
      </c>
      <c r="AH96" s="2">
        <v>2</v>
      </c>
      <c r="AI96" s="2" t="s">
        <v>84</v>
      </c>
      <c r="AJ96" s="2">
        <v>9</v>
      </c>
      <c r="AK96" s="2" t="s">
        <v>103</v>
      </c>
      <c r="AL96" s="2">
        <v>13</v>
      </c>
      <c r="AM96" s="2" t="s">
        <v>117</v>
      </c>
      <c r="AN96" s="2"/>
      <c r="AO96" s="2" t="s">
        <v>652</v>
      </c>
      <c r="AP96" s="2">
        <v>11</v>
      </c>
      <c r="AQ96" s="2" t="s">
        <v>82</v>
      </c>
      <c r="AR96" s="2"/>
      <c r="AS96" s="2"/>
      <c r="AT96" s="2" t="s">
        <v>653</v>
      </c>
      <c r="AU96" s="2"/>
      <c r="AV96" s="2"/>
      <c r="AW96" s="2"/>
      <c r="AX96" s="2"/>
      <c r="AY96" s="2">
        <v>41</v>
      </c>
      <c r="AZ96" s="2" t="s">
        <v>82</v>
      </c>
      <c r="BA96" s="2">
        <v>41</v>
      </c>
      <c r="BB96" s="2" t="s">
        <v>82</v>
      </c>
      <c r="BC96" s="2">
        <v>41</v>
      </c>
      <c r="BD96" s="2" t="s">
        <v>82</v>
      </c>
      <c r="BE96" s="2">
        <v>41</v>
      </c>
      <c r="BF96" s="2" t="s">
        <v>82</v>
      </c>
      <c r="BG96" s="2"/>
      <c r="BH96" s="2"/>
      <c r="BI96" s="2"/>
      <c r="BJ96" s="2">
        <v>241</v>
      </c>
      <c r="BK96" s="2" t="s">
        <v>82</v>
      </c>
      <c r="BL96" s="2"/>
      <c r="BM96" s="2">
        <v>241</v>
      </c>
      <c r="BN96" s="2" t="s">
        <v>82</v>
      </c>
      <c r="BO96" s="2"/>
      <c r="BP96" s="2">
        <v>241</v>
      </c>
      <c r="BQ96" s="2" t="s">
        <v>82</v>
      </c>
      <c r="BR96" s="2"/>
      <c r="BS96" s="3">
        <v>40186</v>
      </c>
      <c r="BT96" s="4">
        <v>0.92270833333333335</v>
      </c>
    </row>
    <row r="97" spans="1:72" x14ac:dyDescent="0.25">
      <c r="A97" s="2">
        <v>141</v>
      </c>
      <c r="B97" s="2">
        <v>2010</v>
      </c>
      <c r="C97" s="2" t="s">
        <v>72</v>
      </c>
      <c r="D97" s="2" t="s">
        <v>73</v>
      </c>
      <c r="E97" s="2"/>
      <c r="F97" s="2">
        <v>33</v>
      </c>
      <c r="G97" s="2" t="s">
        <v>654</v>
      </c>
      <c r="H97" s="2">
        <v>1</v>
      </c>
      <c r="I97" s="2" t="s">
        <v>82</v>
      </c>
      <c r="J97" s="2">
        <v>42</v>
      </c>
      <c r="K97" s="2" t="s">
        <v>655</v>
      </c>
      <c r="L97" s="2" t="s">
        <v>656</v>
      </c>
      <c r="M97" s="3">
        <v>40186</v>
      </c>
      <c r="N97" s="2"/>
      <c r="O97" s="2"/>
      <c r="P97" s="2"/>
      <c r="Q97" s="2" t="str">
        <f>"001-M/10"</f>
        <v>001-M/10</v>
      </c>
      <c r="R97" s="2" t="s">
        <v>657</v>
      </c>
      <c r="S97" s="2"/>
      <c r="T97" s="2">
        <v>1</v>
      </c>
      <c r="U97" s="2" t="s">
        <v>79</v>
      </c>
      <c r="V97" s="2">
        <v>1</v>
      </c>
      <c r="W97" s="2" t="s">
        <v>80</v>
      </c>
      <c r="X97" s="2">
        <v>1</v>
      </c>
      <c r="Y97" s="2" t="s">
        <v>81</v>
      </c>
      <c r="Z97" s="2">
        <v>1</v>
      </c>
      <c r="AA97" s="2" t="s">
        <v>82</v>
      </c>
      <c r="AB97" s="2">
        <v>6</v>
      </c>
      <c r="AC97" s="2" t="s">
        <v>83</v>
      </c>
      <c r="AD97" s="3">
        <v>40186</v>
      </c>
      <c r="AE97" s="2"/>
      <c r="AF97" s="3">
        <v>40186</v>
      </c>
      <c r="AG97" s="4">
        <v>0.60416666666666663</v>
      </c>
      <c r="AH97" s="2">
        <v>2</v>
      </c>
      <c r="AI97" s="2" t="s">
        <v>84</v>
      </c>
      <c r="AJ97" s="2">
        <v>8</v>
      </c>
      <c r="AK97" s="2" t="s">
        <v>436</v>
      </c>
      <c r="AL97" s="2">
        <v>9</v>
      </c>
      <c r="AM97" s="2" t="s">
        <v>259</v>
      </c>
      <c r="AN97" s="2"/>
      <c r="AO97" s="2"/>
      <c r="AP97" s="2">
        <v>11</v>
      </c>
      <c r="AQ97" s="2" t="s">
        <v>82</v>
      </c>
      <c r="AR97" s="2"/>
      <c r="AS97" s="2"/>
      <c r="AT97" s="2" t="s">
        <v>658</v>
      </c>
      <c r="AU97" s="2"/>
      <c r="AV97" s="2"/>
      <c r="AW97" s="2"/>
      <c r="AX97" s="2"/>
      <c r="AY97" s="2">
        <v>44</v>
      </c>
      <c r="AZ97" s="2" t="s">
        <v>262</v>
      </c>
      <c r="BA97" s="2">
        <v>44</v>
      </c>
      <c r="BB97" s="2" t="s">
        <v>262</v>
      </c>
      <c r="BC97" s="2">
        <v>1</v>
      </c>
      <c r="BD97" s="2" t="s">
        <v>107</v>
      </c>
      <c r="BE97" s="2">
        <v>1</v>
      </c>
      <c r="BF97" s="2" t="s">
        <v>107</v>
      </c>
      <c r="BG97" s="2"/>
      <c r="BH97" s="2"/>
      <c r="BI97" s="2"/>
      <c r="BJ97" s="2">
        <v>242</v>
      </c>
      <c r="BK97" s="2" t="s">
        <v>107</v>
      </c>
      <c r="BL97" s="2"/>
      <c r="BM97" s="2">
        <v>242</v>
      </c>
      <c r="BN97" s="2" t="s">
        <v>107</v>
      </c>
      <c r="BO97" s="2"/>
      <c r="BP97" s="2">
        <v>242</v>
      </c>
      <c r="BQ97" s="2" t="s">
        <v>107</v>
      </c>
      <c r="BR97" s="2"/>
      <c r="BS97" s="3">
        <v>40186</v>
      </c>
      <c r="BT97" s="4">
        <v>0.92424768518518519</v>
      </c>
    </row>
    <row r="98" spans="1:72" x14ac:dyDescent="0.25">
      <c r="A98" s="2">
        <v>142</v>
      </c>
      <c r="B98" s="2">
        <v>2010</v>
      </c>
      <c r="C98" s="2" t="s">
        <v>659</v>
      </c>
      <c r="D98" s="2" t="s">
        <v>73</v>
      </c>
      <c r="E98" s="2"/>
      <c r="F98" s="2">
        <v>1</v>
      </c>
      <c r="G98" s="2" t="s">
        <v>82</v>
      </c>
      <c r="H98" s="2">
        <v>1</v>
      </c>
      <c r="I98" s="2" t="s">
        <v>82</v>
      </c>
      <c r="J98" s="2">
        <v>1</v>
      </c>
      <c r="K98" s="2" t="s">
        <v>107</v>
      </c>
      <c r="L98" s="2" t="s">
        <v>107</v>
      </c>
      <c r="M98" s="3">
        <v>40186</v>
      </c>
      <c r="N98" s="2"/>
      <c r="O98" s="2"/>
      <c r="P98" s="2"/>
      <c r="Q98" s="2" t="str">
        <f>""</f>
        <v/>
      </c>
      <c r="R98" s="2"/>
      <c r="S98" s="2"/>
      <c r="T98" s="2">
        <v>1</v>
      </c>
      <c r="U98" s="2" t="s">
        <v>79</v>
      </c>
      <c r="V98" s="2">
        <v>1</v>
      </c>
      <c r="W98" s="2" t="s">
        <v>80</v>
      </c>
      <c r="X98" s="2">
        <v>5</v>
      </c>
      <c r="Y98" s="2" t="s">
        <v>82</v>
      </c>
      <c r="Z98" s="2">
        <v>1</v>
      </c>
      <c r="AA98" s="2" t="s">
        <v>82</v>
      </c>
      <c r="AB98" s="2">
        <v>9</v>
      </c>
      <c r="AC98" s="2" t="s">
        <v>124</v>
      </c>
      <c r="AD98" s="3">
        <v>39821</v>
      </c>
      <c r="AE98" s="2"/>
      <c r="AF98" s="3">
        <v>39821</v>
      </c>
      <c r="AG98" s="4">
        <v>0.88541666666666663</v>
      </c>
      <c r="AH98" s="2">
        <v>5</v>
      </c>
      <c r="AI98" s="2" t="s">
        <v>274</v>
      </c>
      <c r="AJ98" s="2">
        <v>42</v>
      </c>
      <c r="AK98" s="2" t="s">
        <v>660</v>
      </c>
      <c r="AL98" s="2">
        <v>9</v>
      </c>
      <c r="AM98" s="2" t="s">
        <v>259</v>
      </c>
      <c r="AN98" s="2" t="s">
        <v>661</v>
      </c>
      <c r="AO98" s="2"/>
      <c r="AP98" s="2">
        <v>11</v>
      </c>
      <c r="AQ98" s="2" t="s">
        <v>82</v>
      </c>
      <c r="AR98" s="2"/>
      <c r="AS98" s="2"/>
      <c r="AT98" s="2" t="s">
        <v>662</v>
      </c>
      <c r="AU98" s="2"/>
      <c r="AV98" s="2"/>
      <c r="AW98" s="2"/>
      <c r="AX98" s="2"/>
      <c r="AY98" s="2">
        <v>41</v>
      </c>
      <c r="AZ98" s="2" t="s">
        <v>82</v>
      </c>
      <c r="BA98" s="2">
        <v>41</v>
      </c>
      <c r="BB98" s="2" t="s">
        <v>82</v>
      </c>
      <c r="BC98" s="2">
        <v>41</v>
      </c>
      <c r="BD98" s="2" t="s">
        <v>82</v>
      </c>
      <c r="BE98" s="2">
        <v>41</v>
      </c>
      <c r="BF98" s="2" t="s">
        <v>82</v>
      </c>
      <c r="BG98" s="2"/>
      <c r="BH98" s="2"/>
      <c r="BI98" s="2"/>
      <c r="BJ98" s="2">
        <v>241</v>
      </c>
      <c r="BK98" s="2" t="s">
        <v>82</v>
      </c>
      <c r="BL98" s="2"/>
      <c r="BM98" s="2">
        <v>241</v>
      </c>
      <c r="BN98" s="2" t="s">
        <v>82</v>
      </c>
      <c r="BO98" s="2"/>
      <c r="BP98" s="2">
        <v>241</v>
      </c>
      <c r="BQ98" s="2" t="s">
        <v>82</v>
      </c>
      <c r="BR98" s="2"/>
      <c r="BS98" s="3">
        <v>40186</v>
      </c>
      <c r="BT98" s="4">
        <v>0.93385416666666676</v>
      </c>
    </row>
    <row r="99" spans="1:72" x14ac:dyDescent="0.25">
      <c r="A99" s="2">
        <v>144</v>
      </c>
      <c r="B99" s="2">
        <v>2010</v>
      </c>
      <c r="C99" s="2" t="s">
        <v>594</v>
      </c>
      <c r="D99" s="2" t="s">
        <v>73</v>
      </c>
      <c r="E99" s="2"/>
      <c r="F99" s="2">
        <v>329</v>
      </c>
      <c r="G99" s="2" t="s">
        <v>663</v>
      </c>
      <c r="H99" s="2">
        <v>22</v>
      </c>
      <c r="I99" s="2" t="s">
        <v>75</v>
      </c>
      <c r="J99" s="2">
        <v>320</v>
      </c>
      <c r="K99" s="2" t="s">
        <v>664</v>
      </c>
      <c r="L99" s="2" t="s">
        <v>665</v>
      </c>
      <c r="M99" s="3">
        <v>40187</v>
      </c>
      <c r="N99" s="2" t="s">
        <v>666</v>
      </c>
      <c r="O99" s="2" t="s">
        <v>82</v>
      </c>
      <c r="P99" s="2" t="s">
        <v>82</v>
      </c>
      <c r="Q99" s="2" t="str">
        <f>"0001/10"</f>
        <v>0001/10</v>
      </c>
      <c r="R99" s="2" t="s">
        <v>82</v>
      </c>
      <c r="S99" s="2" t="s">
        <v>82</v>
      </c>
      <c r="T99" s="2">
        <v>1</v>
      </c>
      <c r="U99" s="2" t="s">
        <v>79</v>
      </c>
      <c r="V99" s="2">
        <v>1</v>
      </c>
      <c r="W99" s="2" t="s">
        <v>80</v>
      </c>
      <c r="X99" s="2">
        <v>1</v>
      </c>
      <c r="Y99" s="2" t="s">
        <v>81</v>
      </c>
      <c r="Z99" s="2">
        <v>10</v>
      </c>
      <c r="AA99" s="2" t="s">
        <v>236</v>
      </c>
      <c r="AB99" s="2">
        <v>9</v>
      </c>
      <c r="AC99" s="2" t="s">
        <v>124</v>
      </c>
      <c r="AD99" s="3">
        <v>40186</v>
      </c>
      <c r="AE99" s="4">
        <v>0.91666666666666663</v>
      </c>
      <c r="AF99" s="2"/>
      <c r="AG99" s="2"/>
      <c r="AH99" s="2">
        <v>5</v>
      </c>
      <c r="AI99" s="2" t="s">
        <v>274</v>
      </c>
      <c r="AJ99" s="2">
        <v>44</v>
      </c>
      <c r="AK99" s="2" t="s">
        <v>667</v>
      </c>
      <c r="AL99" s="2">
        <v>9</v>
      </c>
      <c r="AM99" s="2" t="s">
        <v>259</v>
      </c>
      <c r="AN99" s="2" t="s">
        <v>668</v>
      </c>
      <c r="AO99" s="2" t="s">
        <v>669</v>
      </c>
      <c r="AP99" s="2">
        <v>11</v>
      </c>
      <c r="AQ99" s="2" t="s">
        <v>82</v>
      </c>
      <c r="AR99" s="2"/>
      <c r="AS99" s="2"/>
      <c r="AT99" s="2" t="s">
        <v>670</v>
      </c>
      <c r="AU99" s="2"/>
      <c r="AV99" s="2"/>
      <c r="AW99" s="2"/>
      <c r="AX99" s="2"/>
      <c r="AY99" s="2">
        <v>41</v>
      </c>
      <c r="AZ99" s="2" t="s">
        <v>82</v>
      </c>
      <c r="BA99" s="2">
        <v>41</v>
      </c>
      <c r="BB99" s="2" t="s">
        <v>82</v>
      </c>
      <c r="BC99" s="2">
        <v>41</v>
      </c>
      <c r="BD99" s="2" t="s">
        <v>82</v>
      </c>
      <c r="BE99" s="2">
        <v>41</v>
      </c>
      <c r="BF99" s="2" t="s">
        <v>82</v>
      </c>
      <c r="BG99" s="2" t="s">
        <v>82</v>
      </c>
      <c r="BH99" s="2"/>
      <c r="BI99" s="2"/>
      <c r="BJ99" s="2">
        <v>241</v>
      </c>
      <c r="BK99" s="2" t="s">
        <v>82</v>
      </c>
      <c r="BL99" s="2"/>
      <c r="BM99" s="2">
        <v>241</v>
      </c>
      <c r="BN99" s="2" t="s">
        <v>82</v>
      </c>
      <c r="BO99" s="2"/>
      <c r="BP99" s="2">
        <v>241</v>
      </c>
      <c r="BQ99" s="2" t="s">
        <v>82</v>
      </c>
      <c r="BR99" s="2"/>
      <c r="BS99" s="3">
        <v>40187</v>
      </c>
      <c r="BT99" s="4">
        <v>3.5509259259259261E-2</v>
      </c>
    </row>
    <row r="100" spans="1:72" x14ac:dyDescent="0.25">
      <c r="A100" s="2">
        <v>145</v>
      </c>
      <c r="B100" s="2">
        <v>2010</v>
      </c>
      <c r="C100" s="2" t="s">
        <v>72</v>
      </c>
      <c r="D100" s="2" t="s">
        <v>73</v>
      </c>
      <c r="E100" s="2"/>
      <c r="F100" s="2">
        <v>2</v>
      </c>
      <c r="G100" s="2" t="s">
        <v>113</v>
      </c>
      <c r="H100" s="2">
        <v>1</v>
      </c>
      <c r="I100" s="2" t="s">
        <v>82</v>
      </c>
      <c r="J100" s="2">
        <v>300</v>
      </c>
      <c r="K100" s="2" t="s">
        <v>114</v>
      </c>
      <c r="L100" s="2" t="s">
        <v>115</v>
      </c>
      <c r="M100" s="3">
        <v>40187</v>
      </c>
      <c r="N100" s="2" t="s">
        <v>82</v>
      </c>
      <c r="O100" s="2" t="s">
        <v>107</v>
      </c>
      <c r="P100" s="2"/>
      <c r="Q100" s="2" t="str">
        <f>"016-E/10"</f>
        <v>016-E/10</v>
      </c>
      <c r="R100" s="2" t="s">
        <v>671</v>
      </c>
      <c r="S100" s="2" t="s">
        <v>671</v>
      </c>
      <c r="T100" s="2">
        <v>1</v>
      </c>
      <c r="U100" s="2" t="s">
        <v>79</v>
      </c>
      <c r="V100" s="2">
        <v>1</v>
      </c>
      <c r="W100" s="2" t="s">
        <v>80</v>
      </c>
      <c r="X100" s="2">
        <v>5</v>
      </c>
      <c r="Y100" s="2" t="s">
        <v>82</v>
      </c>
      <c r="Z100" s="2">
        <v>1</v>
      </c>
      <c r="AA100" s="2" t="s">
        <v>82</v>
      </c>
      <c r="AB100" s="2">
        <v>6</v>
      </c>
      <c r="AC100" s="2" t="s">
        <v>83</v>
      </c>
      <c r="AD100" s="3">
        <v>40186</v>
      </c>
      <c r="AE100" s="4">
        <v>0.54166666666666663</v>
      </c>
      <c r="AF100" s="3">
        <v>40186</v>
      </c>
      <c r="AG100" s="4">
        <v>0.56944444444444442</v>
      </c>
      <c r="AH100" s="2">
        <v>2</v>
      </c>
      <c r="AI100" s="2" t="s">
        <v>84</v>
      </c>
      <c r="AJ100" s="2">
        <v>9</v>
      </c>
      <c r="AK100" s="2" t="s">
        <v>103</v>
      </c>
      <c r="AL100" s="2">
        <v>13</v>
      </c>
      <c r="AM100" s="2" t="s">
        <v>117</v>
      </c>
      <c r="AN100" s="2" t="s">
        <v>82</v>
      </c>
      <c r="AO100" s="2" t="s">
        <v>672</v>
      </c>
      <c r="AP100" s="2">
        <v>11</v>
      </c>
      <c r="AQ100" s="2" t="s">
        <v>82</v>
      </c>
      <c r="AR100" s="2"/>
      <c r="AS100" s="2"/>
      <c r="AT100" s="2" t="s">
        <v>673</v>
      </c>
      <c r="AU100" s="2"/>
      <c r="AV100" s="2"/>
      <c r="AW100" s="2">
        <v>1</v>
      </c>
      <c r="AX100" s="2"/>
      <c r="AY100" s="2">
        <v>41</v>
      </c>
      <c r="AZ100" s="2" t="s">
        <v>82</v>
      </c>
      <c r="BA100" s="2">
        <v>41</v>
      </c>
      <c r="BB100" s="2" t="s">
        <v>82</v>
      </c>
      <c r="BC100" s="2">
        <v>41</v>
      </c>
      <c r="BD100" s="2" t="s">
        <v>82</v>
      </c>
      <c r="BE100" s="2">
        <v>13</v>
      </c>
      <c r="BF100" s="2" t="s">
        <v>108</v>
      </c>
      <c r="BG100" s="2" t="s">
        <v>674</v>
      </c>
      <c r="BH100" s="2"/>
      <c r="BI100" s="4">
        <v>0.58333333333333337</v>
      </c>
      <c r="BJ100" s="2">
        <v>13</v>
      </c>
      <c r="BK100" s="2" t="s">
        <v>91</v>
      </c>
      <c r="BL100" s="2" t="s">
        <v>185</v>
      </c>
      <c r="BM100" s="2">
        <v>241</v>
      </c>
      <c r="BN100" s="2" t="s">
        <v>82</v>
      </c>
      <c r="BO100" s="2"/>
      <c r="BP100" s="2">
        <v>73</v>
      </c>
      <c r="BQ100" s="2" t="s">
        <v>186</v>
      </c>
      <c r="BR100" s="2" t="s">
        <v>675</v>
      </c>
      <c r="BS100" s="3">
        <v>40187</v>
      </c>
      <c r="BT100" s="4">
        <v>0.3699305555555556</v>
      </c>
    </row>
    <row r="101" spans="1:72" x14ac:dyDescent="0.25">
      <c r="A101" s="2">
        <v>146</v>
      </c>
      <c r="B101" s="2">
        <v>2010</v>
      </c>
      <c r="C101" s="2" t="s">
        <v>377</v>
      </c>
      <c r="D101" s="2" t="s">
        <v>73</v>
      </c>
      <c r="E101" s="2"/>
      <c r="F101" s="2">
        <v>426</v>
      </c>
      <c r="G101" s="2" t="s">
        <v>378</v>
      </c>
      <c r="H101" s="2">
        <v>1</v>
      </c>
      <c r="I101" s="2" t="s">
        <v>82</v>
      </c>
      <c r="J101" s="2">
        <v>311</v>
      </c>
      <c r="K101" s="2" t="s">
        <v>379</v>
      </c>
      <c r="L101" s="2" t="s">
        <v>380</v>
      </c>
      <c r="M101" s="3">
        <v>40187</v>
      </c>
      <c r="N101" s="2" t="s">
        <v>107</v>
      </c>
      <c r="O101" s="2" t="s">
        <v>107</v>
      </c>
      <c r="P101" s="2" t="s">
        <v>107</v>
      </c>
      <c r="Q101" s="2" t="str">
        <f>"002-E/10"</f>
        <v>002-E/10</v>
      </c>
      <c r="R101" s="2" t="s">
        <v>107</v>
      </c>
      <c r="S101" s="2" t="s">
        <v>676</v>
      </c>
      <c r="T101" s="2">
        <v>1</v>
      </c>
      <c r="U101" s="2" t="s">
        <v>79</v>
      </c>
      <c r="V101" s="2">
        <v>1</v>
      </c>
      <c r="W101" s="2" t="s">
        <v>80</v>
      </c>
      <c r="X101" s="2">
        <v>1</v>
      </c>
      <c r="Y101" s="2" t="s">
        <v>81</v>
      </c>
      <c r="Z101" s="2">
        <v>1</v>
      </c>
      <c r="AA101" s="2" t="s">
        <v>82</v>
      </c>
      <c r="AB101" s="2">
        <v>9</v>
      </c>
      <c r="AC101" s="2" t="s">
        <v>124</v>
      </c>
      <c r="AD101" s="3">
        <v>40186</v>
      </c>
      <c r="AE101" s="4">
        <v>0.76041666666666663</v>
      </c>
      <c r="AF101" s="3">
        <v>40186</v>
      </c>
      <c r="AG101" s="4">
        <v>0.98611111111111116</v>
      </c>
      <c r="AH101" s="2">
        <v>2</v>
      </c>
      <c r="AI101" s="2" t="s">
        <v>84</v>
      </c>
      <c r="AJ101" s="2">
        <v>9</v>
      </c>
      <c r="AK101" s="2" t="s">
        <v>103</v>
      </c>
      <c r="AL101" s="2">
        <v>13</v>
      </c>
      <c r="AM101" s="2" t="s">
        <v>117</v>
      </c>
      <c r="AN101" s="2" t="s">
        <v>82</v>
      </c>
      <c r="AO101" s="2" t="s">
        <v>677</v>
      </c>
      <c r="AP101" s="2">
        <v>11</v>
      </c>
      <c r="AQ101" s="2" t="s">
        <v>82</v>
      </c>
      <c r="AR101" s="2"/>
      <c r="AS101" s="2"/>
      <c r="AT101" s="2" t="s">
        <v>678</v>
      </c>
      <c r="AU101" s="2"/>
      <c r="AV101" s="2"/>
      <c r="AW101" s="2"/>
      <c r="AX101" s="2"/>
      <c r="AY101" s="2">
        <v>41</v>
      </c>
      <c r="AZ101" s="2" t="s">
        <v>82</v>
      </c>
      <c r="BA101" s="2">
        <v>41</v>
      </c>
      <c r="BB101" s="2" t="s">
        <v>82</v>
      </c>
      <c r="BC101" s="2">
        <v>41</v>
      </c>
      <c r="BD101" s="2" t="s">
        <v>82</v>
      </c>
      <c r="BE101" s="2">
        <v>41</v>
      </c>
      <c r="BF101" s="2" t="s">
        <v>82</v>
      </c>
      <c r="BG101" s="2"/>
      <c r="BH101" s="2"/>
      <c r="BI101" s="2"/>
      <c r="BJ101" s="2">
        <v>241</v>
      </c>
      <c r="BK101" s="2" t="s">
        <v>82</v>
      </c>
      <c r="BL101" s="2"/>
      <c r="BM101" s="2">
        <v>241</v>
      </c>
      <c r="BN101" s="2" t="s">
        <v>82</v>
      </c>
      <c r="BO101" s="2"/>
      <c r="BP101" s="2">
        <v>241</v>
      </c>
      <c r="BQ101" s="2" t="s">
        <v>82</v>
      </c>
      <c r="BR101" s="2"/>
      <c r="BS101" s="3">
        <v>40187</v>
      </c>
      <c r="BT101" s="4">
        <v>0.39785879629629628</v>
      </c>
    </row>
    <row r="102" spans="1:72" x14ac:dyDescent="0.25">
      <c r="A102" s="2">
        <v>147</v>
      </c>
      <c r="B102" s="2">
        <v>2010</v>
      </c>
      <c r="C102" s="2" t="s">
        <v>93</v>
      </c>
      <c r="D102" s="2" t="s">
        <v>73</v>
      </c>
      <c r="E102" s="2"/>
      <c r="F102" s="2">
        <v>127</v>
      </c>
      <c r="G102" s="2" t="s">
        <v>679</v>
      </c>
      <c r="H102" s="2">
        <v>22</v>
      </c>
      <c r="I102" s="2" t="s">
        <v>75</v>
      </c>
      <c r="J102" s="2">
        <v>141</v>
      </c>
      <c r="K102" s="2" t="s">
        <v>680</v>
      </c>
      <c r="L102" s="2" t="s">
        <v>681</v>
      </c>
      <c r="M102" s="3">
        <v>40187</v>
      </c>
      <c r="N102" s="2" t="s">
        <v>682</v>
      </c>
      <c r="O102" s="2" t="s">
        <v>683</v>
      </c>
      <c r="P102" s="2" t="s">
        <v>684</v>
      </c>
      <c r="Q102" s="2" t="str">
        <f>"PREV. SUM Nº 0001/10"</f>
        <v>PREV. SUM Nº 0001/10</v>
      </c>
      <c r="R102" s="2" t="s">
        <v>107</v>
      </c>
      <c r="S102" s="2" t="s">
        <v>685</v>
      </c>
      <c r="T102" s="2">
        <v>1</v>
      </c>
      <c r="U102" s="2" t="s">
        <v>79</v>
      </c>
      <c r="V102" s="2">
        <v>1</v>
      </c>
      <c r="W102" s="2" t="s">
        <v>80</v>
      </c>
      <c r="X102" s="2">
        <v>1</v>
      </c>
      <c r="Y102" s="2" t="s">
        <v>81</v>
      </c>
      <c r="Z102" s="2">
        <v>1</v>
      </c>
      <c r="AA102" s="2" t="s">
        <v>82</v>
      </c>
      <c r="AB102" s="2">
        <v>2</v>
      </c>
      <c r="AC102" s="2" t="s">
        <v>102</v>
      </c>
      <c r="AD102" s="3">
        <v>40187</v>
      </c>
      <c r="AE102" s="4">
        <v>0.43055555555555558</v>
      </c>
      <c r="AF102" s="2"/>
      <c r="AG102" s="2"/>
      <c r="AH102" s="2">
        <v>6</v>
      </c>
      <c r="AI102" s="2" t="s">
        <v>197</v>
      </c>
      <c r="AJ102" s="2">
        <v>61</v>
      </c>
      <c r="AK102" s="2" t="s">
        <v>686</v>
      </c>
      <c r="AL102" s="2">
        <v>11</v>
      </c>
      <c r="AM102" s="2" t="s">
        <v>137</v>
      </c>
      <c r="AN102" s="2" t="s">
        <v>82</v>
      </c>
      <c r="AO102" s="2" t="s">
        <v>687</v>
      </c>
      <c r="AP102" s="2">
        <v>11</v>
      </c>
      <c r="AQ102" s="2" t="s">
        <v>82</v>
      </c>
      <c r="AR102" s="2" t="s">
        <v>82</v>
      </c>
      <c r="AS102" s="2" t="s">
        <v>82</v>
      </c>
      <c r="AT102" s="2" t="s">
        <v>688</v>
      </c>
      <c r="AU102" s="2"/>
      <c r="AV102" s="2"/>
      <c r="AW102" s="2"/>
      <c r="AX102" s="2"/>
      <c r="AY102" s="2">
        <v>41</v>
      </c>
      <c r="AZ102" s="2" t="s">
        <v>82</v>
      </c>
      <c r="BA102" s="2">
        <v>41</v>
      </c>
      <c r="BB102" s="2" t="s">
        <v>82</v>
      </c>
      <c r="BC102" s="2">
        <v>41</v>
      </c>
      <c r="BD102" s="2" t="s">
        <v>82</v>
      </c>
      <c r="BE102" s="2">
        <v>47</v>
      </c>
      <c r="BF102" s="2" t="s">
        <v>167</v>
      </c>
      <c r="BG102" s="2" t="s">
        <v>689</v>
      </c>
      <c r="BH102" s="4">
        <v>0.42499999999999999</v>
      </c>
      <c r="BI102" s="4">
        <v>0.47222222222222227</v>
      </c>
      <c r="BJ102" s="2">
        <v>13</v>
      </c>
      <c r="BK102" s="2" t="s">
        <v>91</v>
      </c>
      <c r="BL102" s="2" t="s">
        <v>690</v>
      </c>
      <c r="BM102" s="2">
        <v>13</v>
      </c>
      <c r="BN102" s="2" t="s">
        <v>91</v>
      </c>
      <c r="BO102" s="2" t="s">
        <v>82</v>
      </c>
      <c r="BP102" s="2">
        <v>13</v>
      </c>
      <c r="BQ102" s="2" t="s">
        <v>91</v>
      </c>
      <c r="BR102" s="2" t="s">
        <v>691</v>
      </c>
      <c r="BS102" s="3">
        <v>40187</v>
      </c>
      <c r="BT102" s="4">
        <v>0.51175925925925925</v>
      </c>
    </row>
    <row r="103" spans="1:72" x14ac:dyDescent="0.25">
      <c r="A103" s="2">
        <v>150</v>
      </c>
      <c r="B103" s="2">
        <v>2010</v>
      </c>
      <c r="C103" s="2" t="s">
        <v>72</v>
      </c>
      <c r="D103" s="2" t="s">
        <v>73</v>
      </c>
      <c r="E103" s="2"/>
      <c r="F103" s="2">
        <v>2</v>
      </c>
      <c r="G103" s="2" t="s">
        <v>113</v>
      </c>
      <c r="H103" s="2">
        <v>1</v>
      </c>
      <c r="I103" s="2" t="s">
        <v>82</v>
      </c>
      <c r="J103" s="2">
        <v>300</v>
      </c>
      <c r="K103" s="2" t="s">
        <v>114</v>
      </c>
      <c r="L103" s="2" t="s">
        <v>115</v>
      </c>
      <c r="M103" s="3">
        <v>40187</v>
      </c>
      <c r="N103" s="2"/>
      <c r="O103" s="2"/>
      <c r="P103" s="2"/>
      <c r="Q103" s="2" t="str">
        <f>"017-E/10"</f>
        <v>017-E/10</v>
      </c>
      <c r="R103" s="2" t="s">
        <v>116</v>
      </c>
      <c r="S103" s="2" t="s">
        <v>116</v>
      </c>
      <c r="T103" s="2">
        <v>1</v>
      </c>
      <c r="U103" s="2" t="s">
        <v>79</v>
      </c>
      <c r="V103" s="2">
        <v>1</v>
      </c>
      <c r="W103" s="2" t="s">
        <v>80</v>
      </c>
      <c r="X103" s="2">
        <v>1</v>
      </c>
      <c r="Y103" s="2" t="s">
        <v>81</v>
      </c>
      <c r="Z103" s="2">
        <v>1</v>
      </c>
      <c r="AA103" s="2" t="s">
        <v>82</v>
      </c>
      <c r="AB103" s="2">
        <v>6</v>
      </c>
      <c r="AC103" s="2" t="s">
        <v>83</v>
      </c>
      <c r="AD103" s="3">
        <v>40187</v>
      </c>
      <c r="AE103" s="4">
        <v>0.30902777777777779</v>
      </c>
      <c r="AF103" s="3">
        <v>40187</v>
      </c>
      <c r="AG103" s="4">
        <v>0.40972222222222227</v>
      </c>
      <c r="AH103" s="2">
        <v>2</v>
      </c>
      <c r="AI103" s="2" t="s">
        <v>84</v>
      </c>
      <c r="AJ103" s="2">
        <v>9</v>
      </c>
      <c r="AK103" s="2" t="s">
        <v>103</v>
      </c>
      <c r="AL103" s="2">
        <v>12</v>
      </c>
      <c r="AM103" s="2" t="s">
        <v>86</v>
      </c>
      <c r="AN103" s="2" t="s">
        <v>692</v>
      </c>
      <c r="AO103" s="2" t="s">
        <v>82</v>
      </c>
      <c r="AP103" s="2">
        <v>11</v>
      </c>
      <c r="AQ103" s="2" t="s">
        <v>82</v>
      </c>
      <c r="AR103" s="2"/>
      <c r="AS103" s="2"/>
      <c r="AT103" s="2" t="s">
        <v>693</v>
      </c>
      <c r="AU103" s="2"/>
      <c r="AV103" s="2"/>
      <c r="AW103" s="2"/>
      <c r="AX103" s="2"/>
      <c r="AY103" s="2">
        <v>41</v>
      </c>
      <c r="AZ103" s="2" t="s">
        <v>82</v>
      </c>
      <c r="BA103" s="2">
        <v>41</v>
      </c>
      <c r="BB103" s="2" t="s">
        <v>82</v>
      </c>
      <c r="BC103" s="2">
        <v>41</v>
      </c>
      <c r="BD103" s="2" t="s">
        <v>82</v>
      </c>
      <c r="BE103" s="2">
        <v>38</v>
      </c>
      <c r="BF103" s="2" t="s">
        <v>221</v>
      </c>
      <c r="BG103" s="2">
        <v>2427</v>
      </c>
      <c r="BH103" s="2"/>
      <c r="BI103" s="4">
        <v>0.41666666666666669</v>
      </c>
      <c r="BJ103" s="2">
        <v>13</v>
      </c>
      <c r="BK103" s="2" t="s">
        <v>91</v>
      </c>
      <c r="BL103" s="2" t="s">
        <v>185</v>
      </c>
      <c r="BM103" s="2">
        <v>241</v>
      </c>
      <c r="BN103" s="2" t="s">
        <v>82</v>
      </c>
      <c r="BO103" s="2"/>
      <c r="BP103" s="2">
        <v>173</v>
      </c>
      <c r="BQ103" s="2" t="s">
        <v>223</v>
      </c>
      <c r="BR103" s="2" t="s">
        <v>224</v>
      </c>
      <c r="BS103" s="3">
        <v>40187</v>
      </c>
      <c r="BT103" s="4">
        <v>0.66006944444444449</v>
      </c>
    </row>
    <row r="104" spans="1:72" x14ac:dyDescent="0.25">
      <c r="A104" s="2">
        <v>151</v>
      </c>
      <c r="B104" s="2">
        <v>2010</v>
      </c>
      <c r="C104" s="2" t="s">
        <v>72</v>
      </c>
      <c r="D104" s="2" t="s">
        <v>122</v>
      </c>
      <c r="E104" s="2" t="s">
        <v>694</v>
      </c>
      <c r="F104" s="2">
        <v>2</v>
      </c>
      <c r="G104" s="2" t="s">
        <v>113</v>
      </c>
      <c r="H104" s="2">
        <v>1</v>
      </c>
      <c r="I104" s="2" t="s">
        <v>82</v>
      </c>
      <c r="J104" s="2">
        <v>300</v>
      </c>
      <c r="K104" s="2" t="s">
        <v>114</v>
      </c>
      <c r="L104" s="2" t="s">
        <v>115</v>
      </c>
      <c r="M104" s="3">
        <v>40187</v>
      </c>
      <c r="N104" s="2" t="s">
        <v>82</v>
      </c>
      <c r="O104" s="2" t="s">
        <v>107</v>
      </c>
      <c r="P104" s="2"/>
      <c r="Q104" s="2" t="str">
        <f>"016-E/10"</f>
        <v>016-E/10</v>
      </c>
      <c r="R104" s="2" t="s">
        <v>671</v>
      </c>
      <c r="S104" s="2" t="s">
        <v>671</v>
      </c>
      <c r="T104" s="2">
        <v>1</v>
      </c>
      <c r="U104" s="2" t="s">
        <v>79</v>
      </c>
      <c r="V104" s="2">
        <v>1</v>
      </c>
      <c r="W104" s="2" t="s">
        <v>80</v>
      </c>
      <c r="X104" s="2">
        <v>5</v>
      </c>
      <c r="Y104" s="2" t="s">
        <v>82</v>
      </c>
      <c r="Z104" s="2">
        <v>1</v>
      </c>
      <c r="AA104" s="2" t="s">
        <v>82</v>
      </c>
      <c r="AB104" s="2">
        <v>6</v>
      </c>
      <c r="AC104" s="2" t="s">
        <v>83</v>
      </c>
      <c r="AD104" s="3">
        <v>40186</v>
      </c>
      <c r="AE104" s="4">
        <v>0.54166666666666663</v>
      </c>
      <c r="AF104" s="3">
        <v>40186</v>
      </c>
      <c r="AG104" s="4">
        <v>0.56944444444444442</v>
      </c>
      <c r="AH104" s="2">
        <v>2</v>
      </c>
      <c r="AI104" s="2" t="s">
        <v>84</v>
      </c>
      <c r="AJ104" s="2">
        <v>9</v>
      </c>
      <c r="AK104" s="2" t="s">
        <v>103</v>
      </c>
      <c r="AL104" s="2">
        <v>13</v>
      </c>
      <c r="AM104" s="2" t="s">
        <v>117</v>
      </c>
      <c r="AN104" s="2" t="s">
        <v>82</v>
      </c>
      <c r="AO104" s="2" t="s">
        <v>672</v>
      </c>
      <c r="AP104" s="2">
        <v>11</v>
      </c>
      <c r="AQ104" s="2" t="s">
        <v>82</v>
      </c>
      <c r="AR104" s="2"/>
      <c r="AS104" s="2"/>
      <c r="AT104" s="2" t="s">
        <v>695</v>
      </c>
      <c r="AU104" s="2"/>
      <c r="AV104" s="2"/>
      <c r="AW104" s="2">
        <v>1</v>
      </c>
      <c r="AX104" s="2"/>
      <c r="AY104" s="2">
        <v>41</v>
      </c>
      <c r="AZ104" s="2" t="s">
        <v>82</v>
      </c>
      <c r="BA104" s="2">
        <v>41</v>
      </c>
      <c r="BB104" s="2" t="s">
        <v>82</v>
      </c>
      <c r="BC104" s="2">
        <v>41</v>
      </c>
      <c r="BD104" s="2" t="s">
        <v>82</v>
      </c>
      <c r="BE104" s="2">
        <v>13</v>
      </c>
      <c r="BF104" s="2" t="s">
        <v>108</v>
      </c>
      <c r="BG104" s="2" t="s">
        <v>674</v>
      </c>
      <c r="BH104" s="2"/>
      <c r="BI104" s="4">
        <v>0.58333333333333337</v>
      </c>
      <c r="BJ104" s="2">
        <v>13</v>
      </c>
      <c r="BK104" s="2" t="s">
        <v>91</v>
      </c>
      <c r="BL104" s="2" t="s">
        <v>185</v>
      </c>
      <c r="BM104" s="2">
        <v>241</v>
      </c>
      <c r="BN104" s="2" t="s">
        <v>82</v>
      </c>
      <c r="BO104" s="2"/>
      <c r="BP104" s="2">
        <v>73</v>
      </c>
      <c r="BQ104" s="2" t="s">
        <v>186</v>
      </c>
      <c r="BR104" s="2" t="s">
        <v>675</v>
      </c>
      <c r="BS104" s="3">
        <v>40187</v>
      </c>
      <c r="BT104" s="4">
        <v>0.78942129629629632</v>
      </c>
    </row>
    <row r="105" spans="1:72" x14ac:dyDescent="0.25">
      <c r="A105" s="2">
        <v>152</v>
      </c>
      <c r="B105" s="2">
        <v>2010</v>
      </c>
      <c r="C105" s="2" t="s">
        <v>93</v>
      </c>
      <c r="D105" s="2" t="s">
        <v>73</v>
      </c>
      <c r="E105" s="2"/>
      <c r="F105" s="2">
        <v>441</v>
      </c>
      <c r="G105" s="2" t="s">
        <v>696</v>
      </c>
      <c r="H105" s="2">
        <v>1</v>
      </c>
      <c r="I105" s="2" t="s">
        <v>82</v>
      </c>
      <c r="J105" s="2">
        <v>1</v>
      </c>
      <c r="K105" s="2" t="s">
        <v>107</v>
      </c>
      <c r="L105" s="2" t="s">
        <v>107</v>
      </c>
      <c r="M105" s="3">
        <v>40187</v>
      </c>
      <c r="N105" s="2"/>
      <c r="O105" s="2" t="s">
        <v>697</v>
      </c>
      <c r="P105" s="2">
        <v>675</v>
      </c>
      <c r="Q105" s="2" t="str">
        <f>"N/C"</f>
        <v>N/C</v>
      </c>
      <c r="R105" s="2" t="s">
        <v>82</v>
      </c>
      <c r="S105" s="2" t="s">
        <v>82</v>
      </c>
      <c r="T105" s="2">
        <v>1</v>
      </c>
      <c r="U105" s="2" t="s">
        <v>79</v>
      </c>
      <c r="V105" s="2">
        <v>1</v>
      </c>
      <c r="W105" s="2" t="s">
        <v>80</v>
      </c>
      <c r="X105" s="2">
        <v>3</v>
      </c>
      <c r="Y105" s="2" t="s">
        <v>698</v>
      </c>
      <c r="Z105" s="2">
        <v>6</v>
      </c>
      <c r="AA105" s="2" t="s">
        <v>101</v>
      </c>
      <c r="AB105" s="2">
        <v>2</v>
      </c>
      <c r="AC105" s="2" t="s">
        <v>102</v>
      </c>
      <c r="AD105" s="3">
        <v>40187</v>
      </c>
      <c r="AE105" s="4">
        <v>0.61805555555555558</v>
      </c>
      <c r="AF105" s="2"/>
      <c r="AG105" s="2"/>
      <c r="AH105" s="2">
        <v>2</v>
      </c>
      <c r="AI105" s="2" t="s">
        <v>84</v>
      </c>
      <c r="AJ105" s="2">
        <v>9</v>
      </c>
      <c r="AK105" s="2" t="s">
        <v>103</v>
      </c>
      <c r="AL105" s="2">
        <v>14</v>
      </c>
      <c r="AM105" s="2" t="s">
        <v>216</v>
      </c>
      <c r="AN105" s="2" t="s">
        <v>699</v>
      </c>
      <c r="AO105" s="2"/>
      <c r="AP105" s="2">
        <v>11</v>
      </c>
      <c r="AQ105" s="2" t="s">
        <v>82</v>
      </c>
      <c r="AR105" s="2"/>
      <c r="AS105" s="2"/>
      <c r="AT105" s="2" t="s">
        <v>700</v>
      </c>
      <c r="AU105" s="2">
        <v>1</v>
      </c>
      <c r="AV105" s="2"/>
      <c r="AW105" s="2"/>
      <c r="AX105" s="2"/>
      <c r="AY105" s="2">
        <v>41</v>
      </c>
      <c r="AZ105" s="2" t="s">
        <v>82</v>
      </c>
      <c r="BA105" s="2">
        <v>41</v>
      </c>
      <c r="BB105" s="2" t="s">
        <v>82</v>
      </c>
      <c r="BC105" s="2">
        <v>41</v>
      </c>
      <c r="BD105" s="2" t="s">
        <v>82</v>
      </c>
      <c r="BE105" s="2">
        <v>38</v>
      </c>
      <c r="BF105" s="2" t="s">
        <v>221</v>
      </c>
      <c r="BG105" s="2" t="s">
        <v>701</v>
      </c>
      <c r="BH105" s="4">
        <v>0.59027777777777779</v>
      </c>
      <c r="BI105" s="2"/>
      <c r="BJ105" s="2">
        <v>173</v>
      </c>
      <c r="BK105" s="2" t="s">
        <v>223</v>
      </c>
      <c r="BL105" s="2" t="s">
        <v>224</v>
      </c>
      <c r="BM105" s="2">
        <v>241</v>
      </c>
      <c r="BN105" s="2" t="s">
        <v>82</v>
      </c>
      <c r="BO105" s="2"/>
      <c r="BP105" s="2">
        <v>13</v>
      </c>
      <c r="BQ105" s="2" t="s">
        <v>91</v>
      </c>
      <c r="BR105" s="2" t="s">
        <v>185</v>
      </c>
      <c r="BS105" s="3">
        <v>40187</v>
      </c>
      <c r="BT105" s="4">
        <v>0.87951388888888893</v>
      </c>
    </row>
    <row r="106" spans="1:72" x14ac:dyDescent="0.25">
      <c r="A106" s="2">
        <v>153</v>
      </c>
      <c r="B106" s="2">
        <v>2010</v>
      </c>
      <c r="C106" s="2" t="s">
        <v>702</v>
      </c>
      <c r="D106" s="2" t="s">
        <v>73</v>
      </c>
      <c r="E106" s="2"/>
      <c r="F106" s="2">
        <v>168</v>
      </c>
      <c r="G106" s="2" t="s">
        <v>703</v>
      </c>
      <c r="H106" s="2">
        <v>29</v>
      </c>
      <c r="I106" s="2" t="s">
        <v>704</v>
      </c>
      <c r="J106" s="2">
        <v>305</v>
      </c>
      <c r="K106" s="2" t="s">
        <v>160</v>
      </c>
      <c r="L106" s="2" t="s">
        <v>161</v>
      </c>
      <c r="M106" s="3">
        <v>40187</v>
      </c>
      <c r="N106" s="2" t="s">
        <v>705</v>
      </c>
      <c r="O106" s="2"/>
      <c r="P106" s="2"/>
      <c r="Q106" s="2" t="str">
        <f>"008-A/10"</f>
        <v>008-A/10</v>
      </c>
      <c r="R106" s="2"/>
      <c r="S106" s="2" t="s">
        <v>706</v>
      </c>
      <c r="T106" s="2">
        <v>1</v>
      </c>
      <c r="U106" s="2" t="s">
        <v>79</v>
      </c>
      <c r="V106" s="2">
        <v>1</v>
      </c>
      <c r="W106" s="2" t="s">
        <v>80</v>
      </c>
      <c r="X106" s="2">
        <v>1</v>
      </c>
      <c r="Y106" s="2" t="s">
        <v>81</v>
      </c>
      <c r="Z106" s="2">
        <v>1</v>
      </c>
      <c r="AA106" s="2" t="s">
        <v>82</v>
      </c>
      <c r="AB106" s="2">
        <v>9</v>
      </c>
      <c r="AC106" s="2" t="s">
        <v>124</v>
      </c>
      <c r="AD106" s="3">
        <v>40187</v>
      </c>
      <c r="AE106" s="4">
        <v>0.46875</v>
      </c>
      <c r="AF106" s="2"/>
      <c r="AG106" s="2"/>
      <c r="AH106" s="2">
        <v>2</v>
      </c>
      <c r="AI106" s="2" t="s">
        <v>84</v>
      </c>
      <c r="AJ106" s="2">
        <v>12</v>
      </c>
      <c r="AK106" s="2" t="s">
        <v>85</v>
      </c>
      <c r="AL106" s="2">
        <v>12</v>
      </c>
      <c r="AM106" s="2" t="s">
        <v>86</v>
      </c>
      <c r="AN106" s="2" t="s">
        <v>707</v>
      </c>
      <c r="AO106" s="2" t="s">
        <v>708</v>
      </c>
      <c r="AP106" s="2">
        <v>11</v>
      </c>
      <c r="AQ106" s="2" t="s">
        <v>82</v>
      </c>
      <c r="AR106" s="2"/>
      <c r="AS106" s="2"/>
      <c r="AT106" s="2" t="s">
        <v>709</v>
      </c>
      <c r="AU106" s="2"/>
      <c r="AV106" s="2"/>
      <c r="AW106" s="2">
        <v>1</v>
      </c>
      <c r="AX106" s="2"/>
      <c r="AY106" s="2">
        <v>41</v>
      </c>
      <c r="AZ106" s="2" t="s">
        <v>82</v>
      </c>
      <c r="BA106" s="2">
        <v>41</v>
      </c>
      <c r="BB106" s="2" t="s">
        <v>82</v>
      </c>
      <c r="BC106" s="2">
        <v>41</v>
      </c>
      <c r="BD106" s="2" t="s">
        <v>82</v>
      </c>
      <c r="BE106" s="2">
        <v>41</v>
      </c>
      <c r="BF106" s="2" t="s">
        <v>82</v>
      </c>
      <c r="BG106" s="2"/>
      <c r="BH106" s="2"/>
      <c r="BI106" s="2"/>
      <c r="BJ106" s="2">
        <v>241</v>
      </c>
      <c r="BK106" s="2" t="s">
        <v>82</v>
      </c>
      <c r="BL106" s="2"/>
      <c r="BM106" s="2">
        <v>241</v>
      </c>
      <c r="BN106" s="2" t="s">
        <v>82</v>
      </c>
      <c r="BO106" s="2"/>
      <c r="BP106" s="2">
        <v>241</v>
      </c>
      <c r="BQ106" s="2" t="s">
        <v>82</v>
      </c>
      <c r="BR106" s="2"/>
      <c r="BS106" s="3">
        <v>40187</v>
      </c>
      <c r="BT106" s="4">
        <v>0.91901620370370374</v>
      </c>
    </row>
    <row r="107" spans="1:72" x14ac:dyDescent="0.25">
      <c r="A107" s="2">
        <v>154</v>
      </c>
      <c r="B107" s="2">
        <v>2010</v>
      </c>
      <c r="C107" s="2" t="s">
        <v>72</v>
      </c>
      <c r="D107" s="2" t="s">
        <v>122</v>
      </c>
      <c r="E107" s="2" t="s">
        <v>694</v>
      </c>
      <c r="F107" s="2">
        <v>2</v>
      </c>
      <c r="G107" s="2" t="s">
        <v>113</v>
      </c>
      <c r="H107" s="2">
        <v>1</v>
      </c>
      <c r="I107" s="2" t="s">
        <v>82</v>
      </c>
      <c r="J107" s="2">
        <v>300</v>
      </c>
      <c r="K107" s="2" t="s">
        <v>114</v>
      </c>
      <c r="L107" s="2" t="s">
        <v>115</v>
      </c>
      <c r="M107" s="3">
        <v>40187</v>
      </c>
      <c r="N107" s="2" t="s">
        <v>82</v>
      </c>
      <c r="O107" s="2" t="s">
        <v>107</v>
      </c>
      <c r="P107" s="2"/>
      <c r="Q107" s="2" t="str">
        <f>"016-E/10"</f>
        <v>016-E/10</v>
      </c>
      <c r="R107" s="2" t="s">
        <v>671</v>
      </c>
      <c r="S107" s="2" t="s">
        <v>671</v>
      </c>
      <c r="T107" s="2">
        <v>1</v>
      </c>
      <c r="U107" s="2" t="s">
        <v>79</v>
      </c>
      <c r="V107" s="2">
        <v>1</v>
      </c>
      <c r="W107" s="2" t="s">
        <v>80</v>
      </c>
      <c r="X107" s="2">
        <v>5</v>
      </c>
      <c r="Y107" s="2" t="s">
        <v>82</v>
      </c>
      <c r="Z107" s="2">
        <v>1</v>
      </c>
      <c r="AA107" s="2" t="s">
        <v>82</v>
      </c>
      <c r="AB107" s="2">
        <v>6</v>
      </c>
      <c r="AC107" s="2" t="s">
        <v>83</v>
      </c>
      <c r="AD107" s="3">
        <v>40186</v>
      </c>
      <c r="AE107" s="4">
        <v>0.54166666666666663</v>
      </c>
      <c r="AF107" s="3">
        <v>40186</v>
      </c>
      <c r="AG107" s="4">
        <v>0.56944444444444442</v>
      </c>
      <c r="AH107" s="2">
        <v>2</v>
      </c>
      <c r="AI107" s="2" t="s">
        <v>84</v>
      </c>
      <c r="AJ107" s="2">
        <v>9</v>
      </c>
      <c r="AK107" s="2" t="s">
        <v>103</v>
      </c>
      <c r="AL107" s="2">
        <v>13</v>
      </c>
      <c r="AM107" s="2" t="s">
        <v>117</v>
      </c>
      <c r="AN107" s="2" t="s">
        <v>82</v>
      </c>
      <c r="AO107" s="2" t="s">
        <v>672</v>
      </c>
      <c r="AP107" s="2">
        <v>11</v>
      </c>
      <c r="AQ107" s="2" t="s">
        <v>82</v>
      </c>
      <c r="AR107" s="2"/>
      <c r="AS107" s="2"/>
      <c r="AT107" s="2" t="s">
        <v>710</v>
      </c>
      <c r="AU107" s="2"/>
      <c r="AV107" s="2"/>
      <c r="AW107" s="2">
        <v>1</v>
      </c>
      <c r="AX107" s="2"/>
      <c r="AY107" s="2">
        <v>41</v>
      </c>
      <c r="AZ107" s="2" t="s">
        <v>82</v>
      </c>
      <c r="BA107" s="2">
        <v>41</v>
      </c>
      <c r="BB107" s="2" t="s">
        <v>82</v>
      </c>
      <c r="BC107" s="2">
        <v>41</v>
      </c>
      <c r="BD107" s="2" t="s">
        <v>82</v>
      </c>
      <c r="BE107" s="2">
        <v>13</v>
      </c>
      <c r="BF107" s="2" t="s">
        <v>108</v>
      </c>
      <c r="BG107" s="2" t="s">
        <v>674</v>
      </c>
      <c r="BH107" s="2"/>
      <c r="BI107" s="4">
        <v>0.58333333333333337</v>
      </c>
      <c r="BJ107" s="2">
        <v>13</v>
      </c>
      <c r="BK107" s="2" t="s">
        <v>91</v>
      </c>
      <c r="BL107" s="2" t="s">
        <v>185</v>
      </c>
      <c r="BM107" s="2">
        <v>241</v>
      </c>
      <c r="BN107" s="2" t="s">
        <v>82</v>
      </c>
      <c r="BO107" s="2"/>
      <c r="BP107" s="2">
        <v>73</v>
      </c>
      <c r="BQ107" s="2" t="s">
        <v>186</v>
      </c>
      <c r="BR107" s="2" t="s">
        <v>675</v>
      </c>
      <c r="BS107" s="3">
        <v>40187</v>
      </c>
      <c r="BT107" s="4">
        <v>0.93177083333333333</v>
      </c>
    </row>
    <row r="108" spans="1:72" x14ac:dyDescent="0.25">
      <c r="A108" s="2">
        <v>155</v>
      </c>
      <c r="B108" s="2">
        <v>2010</v>
      </c>
      <c r="C108" s="2" t="s">
        <v>72</v>
      </c>
      <c r="D108" s="2" t="s">
        <v>73</v>
      </c>
      <c r="E108" s="2"/>
      <c r="F108" s="2">
        <v>419</v>
      </c>
      <c r="G108" s="2" t="s">
        <v>74</v>
      </c>
      <c r="H108" s="2">
        <v>22</v>
      </c>
      <c r="I108" s="2" t="s">
        <v>75</v>
      </c>
      <c r="J108" s="2">
        <v>306</v>
      </c>
      <c r="K108" s="2" t="s">
        <v>76</v>
      </c>
      <c r="L108" s="2" t="s">
        <v>77</v>
      </c>
      <c r="M108" s="3">
        <v>40188</v>
      </c>
      <c r="N108" s="2" t="s">
        <v>711</v>
      </c>
      <c r="O108" s="2"/>
      <c r="P108" s="2"/>
      <c r="Q108" s="2" t="str">
        <f>"009-A/10"</f>
        <v>009-A/10</v>
      </c>
      <c r="R108" s="2"/>
      <c r="S108" s="2" t="s">
        <v>78</v>
      </c>
      <c r="T108" s="2">
        <v>1</v>
      </c>
      <c r="U108" s="2" t="s">
        <v>79</v>
      </c>
      <c r="V108" s="2">
        <v>1</v>
      </c>
      <c r="W108" s="2" t="s">
        <v>80</v>
      </c>
      <c r="X108" s="2">
        <v>1</v>
      </c>
      <c r="Y108" s="2" t="s">
        <v>81</v>
      </c>
      <c r="Z108" s="2">
        <v>1</v>
      </c>
      <c r="AA108" s="2" t="s">
        <v>82</v>
      </c>
      <c r="AB108" s="2">
        <v>6</v>
      </c>
      <c r="AC108" s="2" t="s">
        <v>83</v>
      </c>
      <c r="AD108" s="3">
        <v>40185</v>
      </c>
      <c r="AE108" s="4">
        <v>0.39583333333333331</v>
      </c>
      <c r="AF108" s="3">
        <v>40187</v>
      </c>
      <c r="AG108" s="4">
        <v>0.66666666666666663</v>
      </c>
      <c r="AH108" s="2">
        <v>2</v>
      </c>
      <c r="AI108" s="2" t="s">
        <v>84</v>
      </c>
      <c r="AJ108" s="2">
        <v>12</v>
      </c>
      <c r="AK108" s="2" t="s">
        <v>85</v>
      </c>
      <c r="AL108" s="2">
        <v>17</v>
      </c>
      <c r="AM108" s="2" t="s">
        <v>232</v>
      </c>
      <c r="AN108" s="2" t="s">
        <v>712</v>
      </c>
      <c r="AO108" s="2" t="s">
        <v>713</v>
      </c>
      <c r="AP108" s="2">
        <v>11</v>
      </c>
      <c r="AQ108" s="2" t="s">
        <v>82</v>
      </c>
      <c r="AR108" s="2"/>
      <c r="AS108" s="2"/>
      <c r="AT108" s="2" t="s">
        <v>714</v>
      </c>
      <c r="AU108" s="2"/>
      <c r="AV108" s="2"/>
      <c r="AW108" s="2"/>
      <c r="AX108" s="2"/>
      <c r="AY108" s="2">
        <v>41</v>
      </c>
      <c r="AZ108" s="2" t="s">
        <v>82</v>
      </c>
      <c r="BA108" s="2">
        <v>41</v>
      </c>
      <c r="BB108" s="2" t="s">
        <v>82</v>
      </c>
      <c r="BC108" s="2">
        <v>41</v>
      </c>
      <c r="BD108" s="2" t="s">
        <v>82</v>
      </c>
      <c r="BE108" s="2">
        <v>41</v>
      </c>
      <c r="BF108" s="2" t="s">
        <v>82</v>
      </c>
      <c r="BG108" s="2"/>
      <c r="BH108" s="2"/>
      <c r="BI108" s="2"/>
      <c r="BJ108" s="2">
        <v>241</v>
      </c>
      <c r="BK108" s="2" t="s">
        <v>82</v>
      </c>
      <c r="BL108" s="2"/>
      <c r="BM108" s="2">
        <v>241</v>
      </c>
      <c r="BN108" s="2" t="s">
        <v>82</v>
      </c>
      <c r="BO108" s="2"/>
      <c r="BP108" s="2">
        <v>241</v>
      </c>
      <c r="BQ108" s="2" t="s">
        <v>82</v>
      </c>
      <c r="BR108" s="2"/>
      <c r="BS108" s="3">
        <v>40188</v>
      </c>
      <c r="BT108" s="4">
        <v>5.858796296296296E-2</v>
      </c>
    </row>
    <row r="109" spans="1:72" x14ac:dyDescent="0.25">
      <c r="A109" s="2">
        <v>156</v>
      </c>
      <c r="B109" s="2">
        <v>2010</v>
      </c>
      <c r="C109" s="2" t="s">
        <v>72</v>
      </c>
      <c r="D109" s="2" t="s">
        <v>73</v>
      </c>
      <c r="E109" s="2"/>
      <c r="F109" s="2">
        <v>419</v>
      </c>
      <c r="G109" s="2" t="s">
        <v>74</v>
      </c>
      <c r="H109" s="2">
        <v>22</v>
      </c>
      <c r="I109" s="2" t="s">
        <v>75</v>
      </c>
      <c r="J109" s="2">
        <v>306</v>
      </c>
      <c r="K109" s="2" t="s">
        <v>76</v>
      </c>
      <c r="L109" s="2" t="s">
        <v>77</v>
      </c>
      <c r="M109" s="3">
        <v>40188</v>
      </c>
      <c r="N109" s="2" t="s">
        <v>162</v>
      </c>
      <c r="O109" s="2" t="s">
        <v>107</v>
      </c>
      <c r="P109" s="2" t="s">
        <v>107</v>
      </c>
      <c r="Q109" s="2" t="str">
        <f>"010-A/10"</f>
        <v>010-A/10</v>
      </c>
      <c r="R109" s="2" t="s">
        <v>107</v>
      </c>
      <c r="S109" s="2" t="s">
        <v>78</v>
      </c>
      <c r="T109" s="2">
        <v>1</v>
      </c>
      <c r="U109" s="2" t="s">
        <v>79</v>
      </c>
      <c r="V109" s="2">
        <v>1</v>
      </c>
      <c r="W109" s="2" t="s">
        <v>80</v>
      </c>
      <c r="X109" s="2">
        <v>1</v>
      </c>
      <c r="Y109" s="2" t="s">
        <v>81</v>
      </c>
      <c r="Z109" s="2">
        <v>1</v>
      </c>
      <c r="AA109" s="2" t="s">
        <v>82</v>
      </c>
      <c r="AB109" s="2">
        <v>6</v>
      </c>
      <c r="AC109" s="2" t="s">
        <v>83</v>
      </c>
      <c r="AD109" s="3">
        <v>40184</v>
      </c>
      <c r="AE109" s="4">
        <v>0.33333333333333331</v>
      </c>
      <c r="AF109" s="3">
        <v>40187</v>
      </c>
      <c r="AG109" s="4">
        <v>0.88888888888888884</v>
      </c>
      <c r="AH109" s="2">
        <v>2</v>
      </c>
      <c r="AI109" s="2" t="s">
        <v>84</v>
      </c>
      <c r="AJ109" s="2">
        <v>12</v>
      </c>
      <c r="AK109" s="2" t="s">
        <v>85</v>
      </c>
      <c r="AL109" s="2">
        <v>14</v>
      </c>
      <c r="AM109" s="2" t="s">
        <v>216</v>
      </c>
      <c r="AN109" s="2" t="s">
        <v>715</v>
      </c>
      <c r="AO109" s="2" t="s">
        <v>716</v>
      </c>
      <c r="AP109" s="2">
        <v>11</v>
      </c>
      <c r="AQ109" s="2" t="s">
        <v>82</v>
      </c>
      <c r="AR109" s="2" t="s">
        <v>82</v>
      </c>
      <c r="AS109" s="2" t="s">
        <v>82</v>
      </c>
      <c r="AT109" s="2" t="s">
        <v>717</v>
      </c>
      <c r="AU109" s="2"/>
      <c r="AV109" s="2"/>
      <c r="AW109" s="2"/>
      <c r="AX109" s="2"/>
      <c r="AY109" s="2">
        <v>41</v>
      </c>
      <c r="AZ109" s="2" t="s">
        <v>82</v>
      </c>
      <c r="BA109" s="2">
        <v>41</v>
      </c>
      <c r="BB109" s="2" t="s">
        <v>82</v>
      </c>
      <c r="BC109" s="2">
        <v>41</v>
      </c>
      <c r="BD109" s="2" t="s">
        <v>82</v>
      </c>
      <c r="BE109" s="2">
        <v>13</v>
      </c>
      <c r="BF109" s="2" t="s">
        <v>108</v>
      </c>
      <c r="BG109" s="2" t="s">
        <v>718</v>
      </c>
      <c r="BH109" s="2"/>
      <c r="BI109" s="4">
        <v>0.375</v>
      </c>
      <c r="BJ109" s="2">
        <v>13</v>
      </c>
      <c r="BK109" s="2" t="s">
        <v>91</v>
      </c>
      <c r="BL109" s="2" t="s">
        <v>185</v>
      </c>
      <c r="BM109" s="2">
        <v>241</v>
      </c>
      <c r="BN109" s="2" t="s">
        <v>82</v>
      </c>
      <c r="BO109" s="2" t="s">
        <v>82</v>
      </c>
      <c r="BP109" s="2">
        <v>229</v>
      </c>
      <c r="BQ109" s="2" t="s">
        <v>300</v>
      </c>
      <c r="BR109" s="2" t="s">
        <v>301</v>
      </c>
      <c r="BS109" s="3">
        <v>40188</v>
      </c>
      <c r="BT109" s="4">
        <v>9.9467592592592594E-2</v>
      </c>
    </row>
    <row r="110" spans="1:72" x14ac:dyDescent="0.25">
      <c r="A110" s="2">
        <v>157</v>
      </c>
      <c r="B110" s="2">
        <v>2010</v>
      </c>
      <c r="C110" s="2" t="s">
        <v>171</v>
      </c>
      <c r="D110" s="2" t="s">
        <v>73</v>
      </c>
      <c r="E110" s="2"/>
      <c r="F110" s="2">
        <v>394</v>
      </c>
      <c r="G110" s="2" t="s">
        <v>172</v>
      </c>
      <c r="H110" s="2">
        <v>5</v>
      </c>
      <c r="I110" s="2" t="s">
        <v>634</v>
      </c>
      <c r="J110" s="2">
        <v>241</v>
      </c>
      <c r="K110" s="2" t="s">
        <v>174</v>
      </c>
      <c r="L110" s="2" t="s">
        <v>175</v>
      </c>
      <c r="M110" s="3">
        <v>40188</v>
      </c>
      <c r="N110" s="2" t="s">
        <v>719</v>
      </c>
      <c r="O110" s="2" t="s">
        <v>107</v>
      </c>
      <c r="P110" s="2" t="s">
        <v>107</v>
      </c>
      <c r="Q110" s="2" t="str">
        <f>"018-E/10"</f>
        <v>018-E/10</v>
      </c>
      <c r="R110" s="2" t="s">
        <v>391</v>
      </c>
      <c r="S110" s="2" t="s">
        <v>391</v>
      </c>
      <c r="T110" s="2">
        <v>1</v>
      </c>
      <c r="U110" s="2" t="s">
        <v>79</v>
      </c>
      <c r="V110" s="2">
        <v>1</v>
      </c>
      <c r="W110" s="2" t="s">
        <v>80</v>
      </c>
      <c r="X110" s="2">
        <v>1</v>
      </c>
      <c r="Y110" s="2" t="s">
        <v>81</v>
      </c>
      <c r="Z110" s="2">
        <v>1</v>
      </c>
      <c r="AA110" s="2" t="s">
        <v>82</v>
      </c>
      <c r="AB110" s="2">
        <v>1</v>
      </c>
      <c r="AC110" s="2" t="s">
        <v>178</v>
      </c>
      <c r="AD110" s="3">
        <v>40187</v>
      </c>
      <c r="AE110" s="4">
        <v>0.91666666666666663</v>
      </c>
      <c r="AF110" s="2"/>
      <c r="AG110" s="2"/>
      <c r="AH110" s="2">
        <v>2</v>
      </c>
      <c r="AI110" s="2" t="s">
        <v>84</v>
      </c>
      <c r="AJ110" s="2">
        <v>9</v>
      </c>
      <c r="AK110" s="2" t="s">
        <v>103</v>
      </c>
      <c r="AL110" s="2">
        <v>14</v>
      </c>
      <c r="AM110" s="2" t="s">
        <v>216</v>
      </c>
      <c r="AN110" s="2" t="s">
        <v>720</v>
      </c>
      <c r="AO110" s="2"/>
      <c r="AP110" s="2">
        <v>11</v>
      </c>
      <c r="AQ110" s="2" t="s">
        <v>82</v>
      </c>
      <c r="AR110" s="2"/>
      <c r="AS110" s="2"/>
      <c r="AT110" s="2" t="s">
        <v>721</v>
      </c>
      <c r="AU110" s="2"/>
      <c r="AV110" s="2">
        <v>1</v>
      </c>
      <c r="AW110" s="2"/>
      <c r="AX110" s="2"/>
      <c r="AY110" s="2">
        <v>41</v>
      </c>
      <c r="AZ110" s="2" t="s">
        <v>82</v>
      </c>
      <c r="BA110" s="2">
        <v>41</v>
      </c>
      <c r="BB110" s="2" t="s">
        <v>82</v>
      </c>
      <c r="BC110" s="2">
        <v>41</v>
      </c>
      <c r="BD110" s="2" t="s">
        <v>82</v>
      </c>
      <c r="BE110" s="2">
        <v>31</v>
      </c>
      <c r="BF110" s="2" t="s">
        <v>398</v>
      </c>
      <c r="BG110" s="2" t="s">
        <v>722</v>
      </c>
      <c r="BH110" s="2"/>
      <c r="BI110" s="4">
        <v>0.91666666666666663</v>
      </c>
      <c r="BJ110" s="2">
        <v>13</v>
      </c>
      <c r="BK110" s="2" t="s">
        <v>91</v>
      </c>
      <c r="BL110" s="2" t="s">
        <v>723</v>
      </c>
      <c r="BM110" s="2">
        <v>73</v>
      </c>
      <c r="BN110" s="2" t="s">
        <v>186</v>
      </c>
      <c r="BO110" s="2" t="s">
        <v>187</v>
      </c>
      <c r="BP110" s="2">
        <v>177</v>
      </c>
      <c r="BQ110" s="2" t="s">
        <v>724</v>
      </c>
      <c r="BR110" s="2" t="s">
        <v>725</v>
      </c>
      <c r="BS110" s="3">
        <v>40188</v>
      </c>
      <c r="BT110" s="4">
        <v>0.23829861111111109</v>
      </c>
    </row>
    <row r="111" spans="1:72" x14ac:dyDescent="0.25">
      <c r="A111" s="2">
        <v>158</v>
      </c>
      <c r="B111" s="2">
        <v>2010</v>
      </c>
      <c r="C111" s="2" t="s">
        <v>726</v>
      </c>
      <c r="D111" s="2" t="s">
        <v>73</v>
      </c>
      <c r="E111" s="2"/>
      <c r="F111" s="2">
        <v>390</v>
      </c>
      <c r="G111" s="2" t="s">
        <v>475</v>
      </c>
      <c r="H111" s="2">
        <v>7</v>
      </c>
      <c r="I111" s="2" t="s">
        <v>476</v>
      </c>
      <c r="J111" s="2">
        <v>314</v>
      </c>
      <c r="K111" s="2" t="s">
        <v>477</v>
      </c>
      <c r="L111" s="2" t="s">
        <v>478</v>
      </c>
      <c r="M111" s="3">
        <v>40188</v>
      </c>
      <c r="N111" s="2" t="s">
        <v>727</v>
      </c>
      <c r="O111" s="2"/>
      <c r="P111" s="2"/>
      <c r="Q111" s="2" t="str">
        <f>"019-E/10"</f>
        <v>019-E/10</v>
      </c>
      <c r="R111" s="2"/>
      <c r="S111" s="2" t="s">
        <v>480</v>
      </c>
      <c r="T111" s="2">
        <v>1</v>
      </c>
      <c r="U111" s="2" t="s">
        <v>79</v>
      </c>
      <c r="V111" s="2">
        <v>1</v>
      </c>
      <c r="W111" s="2" t="s">
        <v>80</v>
      </c>
      <c r="X111" s="2">
        <v>1</v>
      </c>
      <c r="Y111" s="2" t="s">
        <v>81</v>
      </c>
      <c r="Z111" s="2">
        <v>1</v>
      </c>
      <c r="AA111" s="2" t="s">
        <v>82</v>
      </c>
      <c r="AB111" s="2">
        <v>9</v>
      </c>
      <c r="AC111" s="2" t="s">
        <v>124</v>
      </c>
      <c r="AD111" s="3">
        <v>40188</v>
      </c>
      <c r="AE111" s="4">
        <v>0.36458333333333331</v>
      </c>
      <c r="AF111" s="3">
        <v>40188</v>
      </c>
      <c r="AG111" s="4">
        <v>0.45833333333333331</v>
      </c>
      <c r="AH111" s="2">
        <v>2</v>
      </c>
      <c r="AI111" s="2" t="s">
        <v>84</v>
      </c>
      <c r="AJ111" s="2">
        <v>9</v>
      </c>
      <c r="AK111" s="2" t="s">
        <v>103</v>
      </c>
      <c r="AL111" s="2">
        <v>15</v>
      </c>
      <c r="AM111" s="2" t="s">
        <v>104</v>
      </c>
      <c r="AN111" s="2" t="s">
        <v>728</v>
      </c>
      <c r="AO111" s="2" t="s">
        <v>729</v>
      </c>
      <c r="AP111" s="2">
        <v>11</v>
      </c>
      <c r="AQ111" s="2" t="s">
        <v>82</v>
      </c>
      <c r="AR111" s="2"/>
      <c r="AS111" s="2"/>
      <c r="AT111" s="2" t="s">
        <v>730</v>
      </c>
      <c r="AU111" s="2"/>
      <c r="AV111" s="2"/>
      <c r="AW111" s="2"/>
      <c r="AX111" s="2"/>
      <c r="AY111" s="2">
        <v>1</v>
      </c>
      <c r="AZ111" s="2" t="s">
        <v>107</v>
      </c>
      <c r="BA111" s="2">
        <v>13</v>
      </c>
      <c r="BB111" s="2" t="s">
        <v>108</v>
      </c>
      <c r="BC111" s="2">
        <v>13</v>
      </c>
      <c r="BD111" s="2" t="s">
        <v>108</v>
      </c>
      <c r="BE111" s="2">
        <v>13</v>
      </c>
      <c r="BF111" s="2" t="s">
        <v>108</v>
      </c>
      <c r="BG111" s="2" t="s">
        <v>731</v>
      </c>
      <c r="BH111" s="2"/>
      <c r="BI111" s="4">
        <v>0.3666666666666667</v>
      </c>
      <c r="BJ111" s="2">
        <v>13</v>
      </c>
      <c r="BK111" s="2" t="s">
        <v>91</v>
      </c>
      <c r="BL111" s="2"/>
      <c r="BM111" s="2">
        <v>241</v>
      </c>
      <c r="BN111" s="2" t="s">
        <v>82</v>
      </c>
      <c r="BO111" s="2" t="s">
        <v>82</v>
      </c>
      <c r="BP111" s="2">
        <v>13</v>
      </c>
      <c r="BQ111" s="2" t="s">
        <v>91</v>
      </c>
      <c r="BR111" s="2" t="s">
        <v>204</v>
      </c>
      <c r="BS111" s="3">
        <v>40188</v>
      </c>
      <c r="BT111" s="4">
        <v>0.8031018518518519</v>
      </c>
    </row>
    <row r="112" spans="1:72" x14ac:dyDescent="0.25">
      <c r="A112" s="2">
        <v>159</v>
      </c>
      <c r="B112" s="2">
        <v>2010</v>
      </c>
      <c r="C112" s="2" t="s">
        <v>72</v>
      </c>
      <c r="D112" s="2" t="s">
        <v>73</v>
      </c>
      <c r="E112" s="2"/>
      <c r="F112" s="2">
        <v>2</v>
      </c>
      <c r="G112" s="2" t="s">
        <v>113</v>
      </c>
      <c r="H112" s="2">
        <v>22</v>
      </c>
      <c r="I112" s="2" t="s">
        <v>75</v>
      </c>
      <c r="J112" s="2">
        <v>300</v>
      </c>
      <c r="K112" s="2" t="s">
        <v>114</v>
      </c>
      <c r="L112" s="2" t="s">
        <v>115</v>
      </c>
      <c r="M112" s="3">
        <v>40188</v>
      </c>
      <c r="N112" s="2"/>
      <c r="O112" s="2"/>
      <c r="P112" s="2"/>
      <c r="Q112" s="2" t="str">
        <f>"020-E/10"</f>
        <v>020-E/10</v>
      </c>
      <c r="R112" s="2"/>
      <c r="S112" s="2" t="s">
        <v>480</v>
      </c>
      <c r="T112" s="2">
        <v>1</v>
      </c>
      <c r="U112" s="2" t="s">
        <v>79</v>
      </c>
      <c r="V112" s="2">
        <v>1</v>
      </c>
      <c r="W112" s="2" t="s">
        <v>80</v>
      </c>
      <c r="X112" s="2">
        <v>5</v>
      </c>
      <c r="Y112" s="2" t="s">
        <v>82</v>
      </c>
      <c r="Z112" s="2">
        <v>1</v>
      </c>
      <c r="AA112" s="2" t="s">
        <v>82</v>
      </c>
      <c r="AB112" s="2">
        <v>6</v>
      </c>
      <c r="AC112" s="2" t="s">
        <v>83</v>
      </c>
      <c r="AD112" s="3">
        <v>40188</v>
      </c>
      <c r="AE112" s="2"/>
      <c r="AF112" s="3">
        <v>40188</v>
      </c>
      <c r="AG112" s="4">
        <v>0.59375</v>
      </c>
      <c r="AH112" s="2">
        <v>2</v>
      </c>
      <c r="AI112" s="2" t="s">
        <v>84</v>
      </c>
      <c r="AJ112" s="2">
        <v>9</v>
      </c>
      <c r="AK112" s="2" t="s">
        <v>103</v>
      </c>
      <c r="AL112" s="2">
        <v>13</v>
      </c>
      <c r="AM112" s="2" t="s">
        <v>117</v>
      </c>
      <c r="AN112" s="2" t="s">
        <v>732</v>
      </c>
      <c r="AO112" s="2"/>
      <c r="AP112" s="2">
        <v>11</v>
      </c>
      <c r="AQ112" s="2" t="s">
        <v>82</v>
      </c>
      <c r="AR112" s="2"/>
      <c r="AS112" s="2"/>
      <c r="AT112" s="2" t="s">
        <v>733</v>
      </c>
      <c r="AU112" s="2"/>
      <c r="AV112" s="2"/>
      <c r="AW112" s="2"/>
      <c r="AX112" s="2"/>
      <c r="AY112" s="2">
        <v>41</v>
      </c>
      <c r="AZ112" s="2" t="s">
        <v>82</v>
      </c>
      <c r="BA112" s="2">
        <v>41</v>
      </c>
      <c r="BB112" s="2" t="s">
        <v>82</v>
      </c>
      <c r="BC112" s="2">
        <v>41</v>
      </c>
      <c r="BD112" s="2" t="s">
        <v>82</v>
      </c>
      <c r="BE112" s="2">
        <v>41</v>
      </c>
      <c r="BF112" s="2" t="s">
        <v>82</v>
      </c>
      <c r="BG112" s="2" t="s">
        <v>82</v>
      </c>
      <c r="BH112" s="2"/>
      <c r="BI112" s="2"/>
      <c r="BJ112" s="2">
        <v>241</v>
      </c>
      <c r="BK112" s="2" t="s">
        <v>82</v>
      </c>
      <c r="BL112" s="2"/>
      <c r="BM112" s="2">
        <v>241</v>
      </c>
      <c r="BN112" s="2" t="s">
        <v>82</v>
      </c>
      <c r="BO112" s="2"/>
      <c r="BP112" s="2">
        <v>241</v>
      </c>
      <c r="BQ112" s="2" t="s">
        <v>82</v>
      </c>
      <c r="BR112" s="2"/>
      <c r="BS112" s="3">
        <v>40188</v>
      </c>
      <c r="BT112" s="4">
        <v>0.84939814814814818</v>
      </c>
    </row>
    <row r="113" spans="1:72" x14ac:dyDescent="0.25">
      <c r="A113" s="2">
        <v>161</v>
      </c>
      <c r="B113" s="2">
        <v>2010</v>
      </c>
      <c r="C113" s="2" t="s">
        <v>72</v>
      </c>
      <c r="D113" s="2" t="s">
        <v>73</v>
      </c>
      <c r="E113" s="2"/>
      <c r="F113" s="2">
        <v>2</v>
      </c>
      <c r="G113" s="2" t="s">
        <v>113</v>
      </c>
      <c r="H113" s="2">
        <v>22</v>
      </c>
      <c r="I113" s="2" t="s">
        <v>75</v>
      </c>
      <c r="J113" s="2">
        <v>300</v>
      </c>
      <c r="K113" s="2" t="s">
        <v>114</v>
      </c>
      <c r="L113" s="2" t="s">
        <v>115</v>
      </c>
      <c r="M113" s="3">
        <v>40189</v>
      </c>
      <c r="N113" s="2"/>
      <c r="O113" s="2"/>
      <c r="P113" s="2"/>
      <c r="Q113" s="2" t="str">
        <f>"021-E/10"</f>
        <v>021-E/10</v>
      </c>
      <c r="R113" s="2"/>
      <c r="S113" s="2" t="s">
        <v>480</v>
      </c>
      <c r="T113" s="2">
        <v>1</v>
      </c>
      <c r="U113" s="2" t="s">
        <v>79</v>
      </c>
      <c r="V113" s="2">
        <v>1</v>
      </c>
      <c r="W113" s="2" t="s">
        <v>80</v>
      </c>
      <c r="X113" s="2">
        <v>1</v>
      </c>
      <c r="Y113" s="2" t="s">
        <v>81</v>
      </c>
      <c r="Z113" s="2">
        <v>10</v>
      </c>
      <c r="AA113" s="2" t="s">
        <v>236</v>
      </c>
      <c r="AB113" s="2">
        <v>6</v>
      </c>
      <c r="AC113" s="2" t="s">
        <v>83</v>
      </c>
      <c r="AD113" s="3">
        <v>40188</v>
      </c>
      <c r="AE113" s="4">
        <v>0.80902777777777779</v>
      </c>
      <c r="AF113" s="2"/>
      <c r="AG113" s="2"/>
      <c r="AH113" s="2">
        <v>2</v>
      </c>
      <c r="AI113" s="2" t="s">
        <v>84</v>
      </c>
      <c r="AJ113" s="2">
        <v>9</v>
      </c>
      <c r="AK113" s="2" t="s">
        <v>103</v>
      </c>
      <c r="AL113" s="2">
        <v>12</v>
      </c>
      <c r="AM113" s="2" t="s">
        <v>86</v>
      </c>
      <c r="AN113" s="2" t="s">
        <v>734</v>
      </c>
      <c r="AO113" s="2"/>
      <c r="AP113" s="2">
        <v>11</v>
      </c>
      <c r="AQ113" s="2" t="s">
        <v>82</v>
      </c>
      <c r="AR113" s="2"/>
      <c r="AS113" s="2"/>
      <c r="AT113" s="2" t="s">
        <v>735</v>
      </c>
      <c r="AU113" s="2"/>
      <c r="AV113" s="2"/>
      <c r="AW113" s="2">
        <v>5</v>
      </c>
      <c r="AX113" s="2"/>
      <c r="AY113" s="2">
        <v>41</v>
      </c>
      <c r="AZ113" s="2" t="s">
        <v>82</v>
      </c>
      <c r="BA113" s="2">
        <v>41</v>
      </c>
      <c r="BB113" s="2" t="s">
        <v>82</v>
      </c>
      <c r="BC113" s="2">
        <v>41</v>
      </c>
      <c r="BD113" s="2" t="s">
        <v>82</v>
      </c>
      <c r="BE113" s="2">
        <v>41</v>
      </c>
      <c r="BF113" s="2" t="s">
        <v>82</v>
      </c>
      <c r="BG113" s="2"/>
      <c r="BH113" s="2"/>
      <c r="BI113" s="2"/>
      <c r="BJ113" s="2">
        <v>241</v>
      </c>
      <c r="BK113" s="2" t="s">
        <v>82</v>
      </c>
      <c r="BL113" s="2"/>
      <c r="BM113" s="2">
        <v>241</v>
      </c>
      <c r="BN113" s="2" t="s">
        <v>82</v>
      </c>
      <c r="BO113" s="2"/>
      <c r="BP113" s="2">
        <v>241</v>
      </c>
      <c r="BQ113" s="2" t="s">
        <v>82</v>
      </c>
      <c r="BR113" s="2"/>
      <c r="BS113" s="3">
        <v>40189</v>
      </c>
      <c r="BT113" s="4">
        <v>0.37798611111111113</v>
      </c>
    </row>
    <row r="114" spans="1:72" x14ac:dyDescent="0.25">
      <c r="A114" s="2">
        <v>162</v>
      </c>
      <c r="B114" s="2">
        <v>2010</v>
      </c>
      <c r="C114" s="2" t="s">
        <v>72</v>
      </c>
      <c r="D114" s="2" t="s">
        <v>73</v>
      </c>
      <c r="E114" s="2"/>
      <c r="F114" s="2">
        <v>2</v>
      </c>
      <c r="G114" s="2" t="s">
        <v>113</v>
      </c>
      <c r="H114" s="2">
        <v>22</v>
      </c>
      <c r="I114" s="2" t="s">
        <v>75</v>
      </c>
      <c r="J114" s="2">
        <v>300</v>
      </c>
      <c r="K114" s="2" t="s">
        <v>114</v>
      </c>
      <c r="L114" s="2" t="s">
        <v>115</v>
      </c>
      <c r="M114" s="3">
        <v>40189</v>
      </c>
      <c r="N114" s="2"/>
      <c r="O114" s="2"/>
      <c r="P114" s="2"/>
      <c r="Q114" s="2" t="str">
        <f>"022-E/10"</f>
        <v>022-E/10</v>
      </c>
      <c r="R114" s="2"/>
      <c r="S114" s="2" t="s">
        <v>116</v>
      </c>
      <c r="T114" s="2">
        <v>1</v>
      </c>
      <c r="U114" s="2" t="s">
        <v>79</v>
      </c>
      <c r="V114" s="2">
        <v>1</v>
      </c>
      <c r="W114" s="2" t="s">
        <v>80</v>
      </c>
      <c r="X114" s="2">
        <v>5</v>
      </c>
      <c r="Y114" s="2" t="s">
        <v>82</v>
      </c>
      <c r="Z114" s="2">
        <v>1</v>
      </c>
      <c r="AA114" s="2" t="s">
        <v>82</v>
      </c>
      <c r="AB114" s="2">
        <v>6</v>
      </c>
      <c r="AC114" s="2" t="s">
        <v>83</v>
      </c>
      <c r="AD114" s="3">
        <v>40164</v>
      </c>
      <c r="AE114" s="2"/>
      <c r="AF114" s="3">
        <v>40188</v>
      </c>
      <c r="AG114" s="4">
        <v>0.91666666666666663</v>
      </c>
      <c r="AH114" s="2">
        <v>2</v>
      </c>
      <c r="AI114" s="2" t="s">
        <v>84</v>
      </c>
      <c r="AJ114" s="2">
        <v>9</v>
      </c>
      <c r="AK114" s="2" t="s">
        <v>103</v>
      </c>
      <c r="AL114" s="2">
        <v>18</v>
      </c>
      <c r="AM114" s="2" t="s">
        <v>82</v>
      </c>
      <c r="AN114" s="2"/>
      <c r="AO114" s="2" t="s">
        <v>736</v>
      </c>
      <c r="AP114" s="2">
        <v>11</v>
      </c>
      <c r="AQ114" s="2" t="s">
        <v>82</v>
      </c>
      <c r="AR114" s="2"/>
      <c r="AS114" s="2"/>
      <c r="AT114" s="2" t="s">
        <v>737</v>
      </c>
      <c r="AU114" s="2"/>
      <c r="AV114" s="2"/>
      <c r="AW114" s="2"/>
      <c r="AX114" s="2"/>
      <c r="AY114" s="2">
        <v>41</v>
      </c>
      <c r="AZ114" s="2" t="s">
        <v>82</v>
      </c>
      <c r="BA114" s="2">
        <v>41</v>
      </c>
      <c r="BB114" s="2" t="s">
        <v>82</v>
      </c>
      <c r="BC114" s="2">
        <v>41</v>
      </c>
      <c r="BD114" s="2" t="s">
        <v>82</v>
      </c>
      <c r="BE114" s="2">
        <v>41</v>
      </c>
      <c r="BF114" s="2" t="s">
        <v>82</v>
      </c>
      <c r="BG114" s="2"/>
      <c r="BH114" s="2"/>
      <c r="BI114" s="2"/>
      <c r="BJ114" s="2">
        <v>241</v>
      </c>
      <c r="BK114" s="2" t="s">
        <v>82</v>
      </c>
      <c r="BL114" s="2"/>
      <c r="BM114" s="2">
        <v>241</v>
      </c>
      <c r="BN114" s="2" t="s">
        <v>82</v>
      </c>
      <c r="BO114" s="2"/>
      <c r="BP114" s="2">
        <v>241</v>
      </c>
      <c r="BQ114" s="2" t="s">
        <v>82</v>
      </c>
      <c r="BR114" s="2"/>
      <c r="BS114" s="3">
        <v>40189</v>
      </c>
      <c r="BT114" s="4">
        <v>0.39478009259259261</v>
      </c>
    </row>
    <row r="115" spans="1:72" x14ac:dyDescent="0.25">
      <c r="A115" s="2">
        <v>164</v>
      </c>
      <c r="B115" s="2">
        <v>2010</v>
      </c>
      <c r="C115" s="2" t="s">
        <v>72</v>
      </c>
      <c r="D115" s="2" t="s">
        <v>73</v>
      </c>
      <c r="E115" s="2"/>
      <c r="F115" s="2">
        <v>61</v>
      </c>
      <c r="G115" s="2" t="s">
        <v>738</v>
      </c>
      <c r="H115" s="2">
        <v>22</v>
      </c>
      <c r="I115" s="2" t="s">
        <v>75</v>
      </c>
      <c r="J115" s="2">
        <v>93</v>
      </c>
      <c r="K115" s="2" t="s">
        <v>739</v>
      </c>
      <c r="L115" s="2" t="s">
        <v>132</v>
      </c>
      <c r="M115" s="3">
        <v>40189</v>
      </c>
      <c r="N115" s="2" t="s">
        <v>740</v>
      </c>
      <c r="O115" s="2"/>
      <c r="P115" s="2"/>
      <c r="Q115" s="2" t="str">
        <f>"001/10"</f>
        <v>001/10</v>
      </c>
      <c r="R115" s="2"/>
      <c r="S115" s="2" t="s">
        <v>116</v>
      </c>
      <c r="T115" s="2">
        <v>1</v>
      </c>
      <c r="U115" s="2" t="s">
        <v>79</v>
      </c>
      <c r="V115" s="2">
        <v>1</v>
      </c>
      <c r="W115" s="2" t="s">
        <v>80</v>
      </c>
      <c r="X115" s="2">
        <v>5</v>
      </c>
      <c r="Y115" s="2" t="s">
        <v>82</v>
      </c>
      <c r="Z115" s="2">
        <v>1</v>
      </c>
      <c r="AA115" s="2" t="s">
        <v>82</v>
      </c>
      <c r="AB115" s="2">
        <v>6</v>
      </c>
      <c r="AC115" s="2" t="s">
        <v>83</v>
      </c>
      <c r="AD115" s="3">
        <v>40186</v>
      </c>
      <c r="AE115" s="2"/>
      <c r="AF115" s="3">
        <v>40189</v>
      </c>
      <c r="AG115" s="4">
        <v>0.41666666666666669</v>
      </c>
      <c r="AH115" s="2">
        <v>4</v>
      </c>
      <c r="AI115" s="2" t="s">
        <v>125</v>
      </c>
      <c r="AJ115" s="2">
        <v>28</v>
      </c>
      <c r="AK115" s="2" t="s">
        <v>741</v>
      </c>
      <c r="AL115" s="2">
        <v>19</v>
      </c>
      <c r="AM115" s="2" t="s">
        <v>107</v>
      </c>
      <c r="AN115" s="2"/>
      <c r="AO115" s="2"/>
      <c r="AP115" s="2">
        <v>11</v>
      </c>
      <c r="AQ115" s="2" t="s">
        <v>82</v>
      </c>
      <c r="AR115" s="2"/>
      <c r="AS115" s="2"/>
      <c r="AT115" s="2" t="s">
        <v>742</v>
      </c>
      <c r="AU115" s="2"/>
      <c r="AV115" s="2"/>
      <c r="AW115" s="2"/>
      <c r="AX115" s="2"/>
      <c r="AY115" s="2">
        <v>41</v>
      </c>
      <c r="AZ115" s="2" t="s">
        <v>82</v>
      </c>
      <c r="BA115" s="2">
        <v>41</v>
      </c>
      <c r="BB115" s="2" t="s">
        <v>82</v>
      </c>
      <c r="BC115" s="2">
        <v>41</v>
      </c>
      <c r="BD115" s="2" t="s">
        <v>82</v>
      </c>
      <c r="BE115" s="2">
        <v>4</v>
      </c>
      <c r="BF115" s="2" t="s">
        <v>90</v>
      </c>
      <c r="BG115" s="2" t="s">
        <v>743</v>
      </c>
      <c r="BH115" s="4">
        <v>0.77083333333333337</v>
      </c>
      <c r="BI115" s="4">
        <v>0.70833333333333337</v>
      </c>
      <c r="BJ115" s="2">
        <v>13</v>
      </c>
      <c r="BK115" s="2" t="s">
        <v>91</v>
      </c>
      <c r="BL115" s="2" t="s">
        <v>185</v>
      </c>
      <c r="BM115" s="2">
        <v>241</v>
      </c>
      <c r="BN115" s="2" t="s">
        <v>82</v>
      </c>
      <c r="BO115" s="2"/>
      <c r="BP115" s="2">
        <v>13</v>
      </c>
      <c r="BQ115" s="2" t="s">
        <v>91</v>
      </c>
      <c r="BR115" s="2" t="s">
        <v>744</v>
      </c>
      <c r="BS115" s="3">
        <v>40189</v>
      </c>
      <c r="BT115" s="4">
        <v>0.47012731481481485</v>
      </c>
    </row>
    <row r="116" spans="1:72" x14ac:dyDescent="0.25">
      <c r="A116" s="2">
        <v>169</v>
      </c>
      <c r="B116" s="2">
        <v>2010</v>
      </c>
      <c r="C116" s="2" t="s">
        <v>93</v>
      </c>
      <c r="D116" s="2" t="s">
        <v>122</v>
      </c>
      <c r="E116" s="2" t="s">
        <v>745</v>
      </c>
      <c r="F116" s="2">
        <v>441</v>
      </c>
      <c r="G116" s="2" t="s">
        <v>696</v>
      </c>
      <c r="H116" s="2">
        <v>1</v>
      </c>
      <c r="I116" s="2" t="s">
        <v>82</v>
      </c>
      <c r="J116" s="2">
        <v>1</v>
      </c>
      <c r="K116" s="2" t="s">
        <v>107</v>
      </c>
      <c r="L116" s="2" t="s">
        <v>107</v>
      </c>
      <c r="M116" s="3">
        <v>40189</v>
      </c>
      <c r="N116" s="2"/>
      <c r="O116" s="2" t="s">
        <v>697</v>
      </c>
      <c r="P116" s="2">
        <v>675</v>
      </c>
      <c r="Q116" s="2" t="str">
        <f>"N/C"</f>
        <v>N/C</v>
      </c>
      <c r="R116" s="2" t="s">
        <v>82</v>
      </c>
      <c r="S116" s="2" t="s">
        <v>82</v>
      </c>
      <c r="T116" s="2">
        <v>1</v>
      </c>
      <c r="U116" s="2" t="s">
        <v>79</v>
      </c>
      <c r="V116" s="2">
        <v>1</v>
      </c>
      <c r="W116" s="2" t="s">
        <v>80</v>
      </c>
      <c r="X116" s="2">
        <v>3</v>
      </c>
      <c r="Y116" s="2" t="s">
        <v>698</v>
      </c>
      <c r="Z116" s="2">
        <v>6</v>
      </c>
      <c r="AA116" s="2" t="s">
        <v>101</v>
      </c>
      <c r="AB116" s="2">
        <v>2</v>
      </c>
      <c r="AC116" s="2" t="s">
        <v>102</v>
      </c>
      <c r="AD116" s="3">
        <v>40187</v>
      </c>
      <c r="AE116" s="4">
        <v>0.61805555555555558</v>
      </c>
      <c r="AF116" s="2"/>
      <c r="AG116" s="2"/>
      <c r="AH116" s="2">
        <v>2</v>
      </c>
      <c r="AI116" s="2" t="s">
        <v>84</v>
      </c>
      <c r="AJ116" s="2">
        <v>9</v>
      </c>
      <c r="AK116" s="2" t="s">
        <v>103</v>
      </c>
      <c r="AL116" s="2">
        <v>14</v>
      </c>
      <c r="AM116" s="2" t="s">
        <v>216</v>
      </c>
      <c r="AN116" s="2" t="s">
        <v>699</v>
      </c>
      <c r="AO116" s="2"/>
      <c r="AP116" s="2">
        <v>11</v>
      </c>
      <c r="AQ116" s="2" t="s">
        <v>82</v>
      </c>
      <c r="AR116" s="2"/>
      <c r="AS116" s="2"/>
      <c r="AT116" s="2" t="s">
        <v>746</v>
      </c>
      <c r="AU116" s="2"/>
      <c r="AV116" s="2"/>
      <c r="AW116" s="2"/>
      <c r="AX116" s="2"/>
      <c r="AY116" s="2">
        <v>41</v>
      </c>
      <c r="AZ116" s="2" t="s">
        <v>82</v>
      </c>
      <c r="BA116" s="2">
        <v>41</v>
      </c>
      <c r="BB116" s="2" t="s">
        <v>82</v>
      </c>
      <c r="BC116" s="2">
        <v>41</v>
      </c>
      <c r="BD116" s="2" t="s">
        <v>82</v>
      </c>
      <c r="BE116" s="2">
        <v>38</v>
      </c>
      <c r="BF116" s="2" t="s">
        <v>221</v>
      </c>
      <c r="BG116" s="2" t="s">
        <v>701</v>
      </c>
      <c r="BH116" s="4">
        <v>0.59027777777777779</v>
      </c>
      <c r="BI116" s="2"/>
      <c r="BJ116" s="2">
        <v>173</v>
      </c>
      <c r="BK116" s="2" t="s">
        <v>223</v>
      </c>
      <c r="BL116" s="2" t="s">
        <v>224</v>
      </c>
      <c r="BM116" s="2">
        <v>241</v>
      </c>
      <c r="BN116" s="2" t="s">
        <v>82</v>
      </c>
      <c r="BO116" s="2"/>
      <c r="BP116" s="2">
        <v>13</v>
      </c>
      <c r="BQ116" s="2" t="s">
        <v>91</v>
      </c>
      <c r="BR116" s="2" t="s">
        <v>185</v>
      </c>
      <c r="BS116" s="3">
        <v>40189</v>
      </c>
      <c r="BT116" s="4">
        <v>0.56351851851851853</v>
      </c>
    </row>
    <row r="117" spans="1:72" x14ac:dyDescent="0.25">
      <c r="A117" s="2">
        <v>170</v>
      </c>
      <c r="B117" s="2">
        <v>2010</v>
      </c>
      <c r="C117" s="2" t="s">
        <v>147</v>
      </c>
      <c r="D117" s="2" t="s">
        <v>73</v>
      </c>
      <c r="E117" s="2"/>
      <c r="F117" s="2">
        <v>1</v>
      </c>
      <c r="G117" s="2" t="s">
        <v>82</v>
      </c>
      <c r="H117" s="2">
        <v>1</v>
      </c>
      <c r="I117" s="2" t="s">
        <v>82</v>
      </c>
      <c r="J117" s="2">
        <v>1</v>
      </c>
      <c r="K117" s="2" t="s">
        <v>107</v>
      </c>
      <c r="L117" s="2" t="s">
        <v>107</v>
      </c>
      <c r="M117" s="3">
        <v>40189</v>
      </c>
      <c r="N117" s="2"/>
      <c r="O117" s="2"/>
      <c r="P117" s="2"/>
      <c r="Q117" s="2" t="str">
        <f>""</f>
        <v/>
      </c>
      <c r="R117" s="2"/>
      <c r="S117" s="2"/>
      <c r="T117" s="2">
        <v>2</v>
      </c>
      <c r="U117" s="2" t="s">
        <v>123</v>
      </c>
      <c r="V117" s="2">
        <v>1</v>
      </c>
      <c r="W117" s="2" t="s">
        <v>80</v>
      </c>
      <c r="X117" s="2">
        <v>12</v>
      </c>
      <c r="Y117" s="2" t="s">
        <v>148</v>
      </c>
      <c r="Z117" s="2">
        <v>1</v>
      </c>
      <c r="AA117" s="2" t="s">
        <v>82</v>
      </c>
      <c r="AB117" s="2">
        <v>9</v>
      </c>
      <c r="AC117" s="2" t="s">
        <v>124</v>
      </c>
      <c r="AD117" s="3">
        <v>40189</v>
      </c>
      <c r="AE117" s="4">
        <v>0.16666666666666666</v>
      </c>
      <c r="AF117" s="3">
        <v>40189</v>
      </c>
      <c r="AG117" s="4">
        <v>0.50694444444444442</v>
      </c>
      <c r="AH117" s="2">
        <v>2</v>
      </c>
      <c r="AI117" s="2" t="s">
        <v>84</v>
      </c>
      <c r="AJ117" s="2">
        <v>12</v>
      </c>
      <c r="AK117" s="2" t="s">
        <v>85</v>
      </c>
      <c r="AL117" s="2">
        <v>10</v>
      </c>
      <c r="AM117" s="2" t="s">
        <v>200</v>
      </c>
      <c r="AN117" s="2" t="s">
        <v>107</v>
      </c>
      <c r="AO117" s="2" t="s">
        <v>230</v>
      </c>
      <c r="AP117" s="2">
        <v>11</v>
      </c>
      <c r="AQ117" s="2" t="s">
        <v>82</v>
      </c>
      <c r="AR117" s="2"/>
      <c r="AS117" s="2"/>
      <c r="AT117" s="2" t="s">
        <v>747</v>
      </c>
      <c r="AU117" s="2"/>
      <c r="AV117" s="2"/>
      <c r="AW117" s="2"/>
      <c r="AX117" s="2"/>
      <c r="AY117" s="2">
        <v>41</v>
      </c>
      <c r="AZ117" s="2" t="s">
        <v>82</v>
      </c>
      <c r="BA117" s="2">
        <v>41</v>
      </c>
      <c r="BB117" s="2" t="s">
        <v>82</v>
      </c>
      <c r="BC117" s="2">
        <v>41</v>
      </c>
      <c r="BD117" s="2" t="s">
        <v>82</v>
      </c>
      <c r="BE117" s="2">
        <v>41</v>
      </c>
      <c r="BF117" s="2" t="s">
        <v>82</v>
      </c>
      <c r="BG117" s="2"/>
      <c r="BH117" s="2"/>
      <c r="BI117" s="2"/>
      <c r="BJ117" s="2">
        <v>241</v>
      </c>
      <c r="BK117" s="2" t="s">
        <v>82</v>
      </c>
      <c r="BL117" s="2"/>
      <c r="BM117" s="2">
        <v>241</v>
      </c>
      <c r="BN117" s="2" t="s">
        <v>82</v>
      </c>
      <c r="BO117" s="2"/>
      <c r="BP117" s="2">
        <v>241</v>
      </c>
      <c r="BQ117" s="2" t="s">
        <v>82</v>
      </c>
      <c r="BR117" s="2"/>
      <c r="BS117" s="3">
        <v>40189</v>
      </c>
      <c r="BT117" s="4">
        <v>0.59373842592592596</v>
      </c>
    </row>
    <row r="118" spans="1:72" x14ac:dyDescent="0.25">
      <c r="A118" s="2">
        <v>171</v>
      </c>
      <c r="B118" s="2">
        <v>2010</v>
      </c>
      <c r="C118" s="2" t="s">
        <v>147</v>
      </c>
      <c r="D118" s="2" t="s">
        <v>73</v>
      </c>
      <c r="E118" s="2"/>
      <c r="F118" s="2">
        <v>1</v>
      </c>
      <c r="G118" s="2" t="s">
        <v>82</v>
      </c>
      <c r="H118" s="2">
        <v>1</v>
      </c>
      <c r="I118" s="2" t="s">
        <v>82</v>
      </c>
      <c r="J118" s="2">
        <v>1</v>
      </c>
      <c r="K118" s="2" t="s">
        <v>107</v>
      </c>
      <c r="L118" s="2" t="s">
        <v>107</v>
      </c>
      <c r="M118" s="3">
        <v>40189</v>
      </c>
      <c r="N118" s="2"/>
      <c r="O118" s="2"/>
      <c r="P118" s="2"/>
      <c r="Q118" s="2" t="str">
        <f>""</f>
        <v/>
      </c>
      <c r="R118" s="2"/>
      <c r="S118" s="2"/>
      <c r="T118" s="2">
        <v>2</v>
      </c>
      <c r="U118" s="2" t="s">
        <v>123</v>
      </c>
      <c r="V118" s="2">
        <v>1</v>
      </c>
      <c r="W118" s="2" t="s">
        <v>80</v>
      </c>
      <c r="X118" s="2">
        <v>12</v>
      </c>
      <c r="Y118" s="2" t="s">
        <v>148</v>
      </c>
      <c r="Z118" s="2">
        <v>1</v>
      </c>
      <c r="AA118" s="2" t="s">
        <v>82</v>
      </c>
      <c r="AB118" s="2">
        <v>9</v>
      </c>
      <c r="AC118" s="2" t="s">
        <v>124</v>
      </c>
      <c r="AD118" s="3">
        <v>40186</v>
      </c>
      <c r="AE118" s="4">
        <v>8.3333333333333329E-2</v>
      </c>
      <c r="AF118" s="3">
        <v>40189</v>
      </c>
      <c r="AG118" s="4">
        <v>0.51388888888888895</v>
      </c>
      <c r="AH118" s="2">
        <v>2</v>
      </c>
      <c r="AI118" s="2" t="s">
        <v>84</v>
      </c>
      <c r="AJ118" s="2">
        <v>12</v>
      </c>
      <c r="AK118" s="2" t="s">
        <v>85</v>
      </c>
      <c r="AL118" s="2">
        <v>19</v>
      </c>
      <c r="AM118" s="2" t="s">
        <v>107</v>
      </c>
      <c r="AN118" s="2" t="s">
        <v>748</v>
      </c>
      <c r="AO118" s="2"/>
      <c r="AP118" s="2">
        <v>11</v>
      </c>
      <c r="AQ118" s="2" t="s">
        <v>82</v>
      </c>
      <c r="AR118" s="2"/>
      <c r="AS118" s="2"/>
      <c r="AT118" s="2" t="s">
        <v>749</v>
      </c>
      <c r="AU118" s="2"/>
      <c r="AV118" s="2"/>
      <c r="AW118" s="2"/>
      <c r="AX118" s="2"/>
      <c r="AY118" s="2">
        <v>41</v>
      </c>
      <c r="AZ118" s="2" t="s">
        <v>82</v>
      </c>
      <c r="BA118" s="2">
        <v>41</v>
      </c>
      <c r="BB118" s="2" t="s">
        <v>82</v>
      </c>
      <c r="BC118" s="2">
        <v>67</v>
      </c>
      <c r="BD118" s="2" t="s">
        <v>750</v>
      </c>
      <c r="BE118" s="2">
        <v>41</v>
      </c>
      <c r="BF118" s="2" t="s">
        <v>82</v>
      </c>
      <c r="BG118" s="2"/>
      <c r="BH118" s="2"/>
      <c r="BI118" s="2"/>
      <c r="BJ118" s="2">
        <v>241</v>
      </c>
      <c r="BK118" s="2" t="s">
        <v>82</v>
      </c>
      <c r="BL118" s="2"/>
      <c r="BM118" s="2">
        <v>241</v>
      </c>
      <c r="BN118" s="2" t="s">
        <v>82</v>
      </c>
      <c r="BO118" s="2"/>
      <c r="BP118" s="2">
        <v>241</v>
      </c>
      <c r="BQ118" s="2" t="s">
        <v>82</v>
      </c>
      <c r="BR118" s="2"/>
      <c r="BS118" s="3">
        <v>40189</v>
      </c>
      <c r="BT118" s="4">
        <v>0.62027777777777782</v>
      </c>
    </row>
    <row r="119" spans="1:72" x14ac:dyDescent="0.25">
      <c r="A119" s="2">
        <v>173</v>
      </c>
      <c r="B119" s="2">
        <v>2010</v>
      </c>
      <c r="C119" s="2" t="s">
        <v>147</v>
      </c>
      <c r="D119" s="2" t="s">
        <v>73</v>
      </c>
      <c r="E119" s="2"/>
      <c r="F119" s="2">
        <v>1</v>
      </c>
      <c r="G119" s="2" t="s">
        <v>82</v>
      </c>
      <c r="H119" s="2">
        <v>1</v>
      </c>
      <c r="I119" s="2" t="s">
        <v>82</v>
      </c>
      <c r="J119" s="2">
        <v>1</v>
      </c>
      <c r="K119" s="2" t="s">
        <v>107</v>
      </c>
      <c r="L119" s="2" t="s">
        <v>107</v>
      </c>
      <c r="M119" s="3">
        <v>40189</v>
      </c>
      <c r="N119" s="2"/>
      <c r="O119" s="2"/>
      <c r="P119" s="2"/>
      <c r="Q119" s="2" t="str">
        <f>""</f>
        <v/>
      </c>
      <c r="R119" s="2"/>
      <c r="S119" s="2"/>
      <c r="T119" s="2">
        <v>2</v>
      </c>
      <c r="U119" s="2" t="s">
        <v>123</v>
      </c>
      <c r="V119" s="2">
        <v>1</v>
      </c>
      <c r="W119" s="2" t="s">
        <v>80</v>
      </c>
      <c r="X119" s="2">
        <v>12</v>
      </c>
      <c r="Y119" s="2" t="s">
        <v>148</v>
      </c>
      <c r="Z119" s="2">
        <v>1</v>
      </c>
      <c r="AA119" s="2" t="s">
        <v>82</v>
      </c>
      <c r="AB119" s="2">
        <v>9</v>
      </c>
      <c r="AC119" s="2" t="s">
        <v>124</v>
      </c>
      <c r="AD119" s="2"/>
      <c r="AE119" s="2"/>
      <c r="AF119" s="3">
        <v>40189</v>
      </c>
      <c r="AG119" s="4">
        <v>0.58333333333333337</v>
      </c>
      <c r="AH119" s="2">
        <v>2</v>
      </c>
      <c r="AI119" s="2" t="s">
        <v>84</v>
      </c>
      <c r="AJ119" s="2">
        <v>11</v>
      </c>
      <c r="AK119" s="2" t="s">
        <v>751</v>
      </c>
      <c r="AL119" s="2">
        <v>19</v>
      </c>
      <c r="AM119" s="2" t="s">
        <v>107</v>
      </c>
      <c r="AN119" s="2" t="s">
        <v>82</v>
      </c>
      <c r="AO119" s="2" t="s">
        <v>82</v>
      </c>
      <c r="AP119" s="2">
        <v>11</v>
      </c>
      <c r="AQ119" s="2" t="s">
        <v>82</v>
      </c>
      <c r="AR119" s="2"/>
      <c r="AS119" s="2"/>
      <c r="AT119" s="2" t="s">
        <v>752</v>
      </c>
      <c r="AU119" s="2"/>
      <c r="AV119" s="2"/>
      <c r="AW119" s="2"/>
      <c r="AX119" s="2"/>
      <c r="AY119" s="2">
        <v>41</v>
      </c>
      <c r="AZ119" s="2" t="s">
        <v>82</v>
      </c>
      <c r="BA119" s="2">
        <v>41</v>
      </c>
      <c r="BB119" s="2" t="s">
        <v>82</v>
      </c>
      <c r="BC119" s="2">
        <v>41</v>
      </c>
      <c r="BD119" s="2" t="s">
        <v>82</v>
      </c>
      <c r="BE119" s="2">
        <v>41</v>
      </c>
      <c r="BF119" s="2" t="s">
        <v>82</v>
      </c>
      <c r="BG119" s="2"/>
      <c r="BH119" s="2"/>
      <c r="BI119" s="2"/>
      <c r="BJ119" s="2">
        <v>241</v>
      </c>
      <c r="BK119" s="2" t="s">
        <v>82</v>
      </c>
      <c r="BL119" s="2"/>
      <c r="BM119" s="2">
        <v>241</v>
      </c>
      <c r="BN119" s="2" t="s">
        <v>82</v>
      </c>
      <c r="BO119" s="2"/>
      <c r="BP119" s="2">
        <v>241</v>
      </c>
      <c r="BQ119" s="2" t="s">
        <v>82</v>
      </c>
      <c r="BR119" s="2"/>
      <c r="BS119" s="3">
        <v>40189</v>
      </c>
      <c r="BT119" s="4">
        <v>0.67143518518518519</v>
      </c>
    </row>
    <row r="120" spans="1:72" x14ac:dyDescent="0.25">
      <c r="A120" s="2">
        <v>174</v>
      </c>
      <c r="B120" s="2">
        <v>2010</v>
      </c>
      <c r="C120" s="2" t="s">
        <v>128</v>
      </c>
      <c r="D120" s="2" t="s">
        <v>73</v>
      </c>
      <c r="E120" s="2"/>
      <c r="F120" s="2">
        <v>146</v>
      </c>
      <c r="G120" s="2" t="s">
        <v>753</v>
      </c>
      <c r="H120" s="2">
        <v>24</v>
      </c>
      <c r="I120" s="2" t="s">
        <v>287</v>
      </c>
      <c r="J120" s="2">
        <v>322</v>
      </c>
      <c r="K120" s="2" t="s">
        <v>754</v>
      </c>
      <c r="L120" s="2" t="s">
        <v>755</v>
      </c>
      <c r="M120" s="3">
        <v>40189</v>
      </c>
      <c r="N120" s="2" t="s">
        <v>756</v>
      </c>
      <c r="O120" s="2"/>
      <c r="P120" s="2"/>
      <c r="Q120" s="2" t="str">
        <f>"AP 0002_10"</f>
        <v>AP 0002_10</v>
      </c>
      <c r="R120" s="2"/>
      <c r="S120" s="2"/>
      <c r="T120" s="2">
        <v>1</v>
      </c>
      <c r="U120" s="2" t="s">
        <v>79</v>
      </c>
      <c r="V120" s="2">
        <v>1</v>
      </c>
      <c r="W120" s="2" t="s">
        <v>80</v>
      </c>
      <c r="X120" s="2">
        <v>1</v>
      </c>
      <c r="Y120" s="2" t="s">
        <v>81</v>
      </c>
      <c r="Z120" s="2">
        <v>1</v>
      </c>
      <c r="AA120" s="2" t="s">
        <v>82</v>
      </c>
      <c r="AB120" s="2">
        <v>9</v>
      </c>
      <c r="AC120" s="2" t="s">
        <v>124</v>
      </c>
      <c r="AD120" s="3">
        <v>40189</v>
      </c>
      <c r="AE120" s="4">
        <v>0.4861111111111111</v>
      </c>
      <c r="AF120" s="2"/>
      <c r="AG120" s="2"/>
      <c r="AH120" s="2">
        <v>6</v>
      </c>
      <c r="AI120" s="2" t="s">
        <v>197</v>
      </c>
      <c r="AJ120" s="2">
        <v>60</v>
      </c>
      <c r="AK120" s="2" t="s">
        <v>543</v>
      </c>
      <c r="AL120" s="2">
        <v>2</v>
      </c>
      <c r="AM120" s="2" t="s">
        <v>163</v>
      </c>
      <c r="AN120" s="2" t="s">
        <v>757</v>
      </c>
      <c r="AO120" s="2" t="s">
        <v>758</v>
      </c>
      <c r="AP120" s="2">
        <v>11</v>
      </c>
      <c r="AQ120" s="2" t="s">
        <v>82</v>
      </c>
      <c r="AR120" s="2" t="s">
        <v>82</v>
      </c>
      <c r="AS120" s="2" t="s">
        <v>82</v>
      </c>
      <c r="AT120" s="2" t="s">
        <v>759</v>
      </c>
      <c r="AU120" s="2"/>
      <c r="AV120" s="2"/>
      <c r="AW120" s="2"/>
      <c r="AX120" s="2"/>
      <c r="AY120" s="2">
        <v>41</v>
      </c>
      <c r="AZ120" s="2" t="s">
        <v>82</v>
      </c>
      <c r="BA120" s="2">
        <v>41</v>
      </c>
      <c r="BB120" s="2" t="s">
        <v>82</v>
      </c>
      <c r="BC120" s="2">
        <v>41</v>
      </c>
      <c r="BD120" s="2" t="s">
        <v>82</v>
      </c>
      <c r="BE120" s="2">
        <v>4</v>
      </c>
      <c r="BF120" s="2" t="s">
        <v>90</v>
      </c>
      <c r="BG120" s="2" t="s">
        <v>760</v>
      </c>
      <c r="BH120" s="4">
        <v>0.43055555555555558</v>
      </c>
      <c r="BI120" s="4">
        <v>0.51111111111111118</v>
      </c>
      <c r="BJ120" s="2">
        <v>13</v>
      </c>
      <c r="BK120" s="2" t="s">
        <v>91</v>
      </c>
      <c r="BL120" s="2" t="s">
        <v>761</v>
      </c>
      <c r="BM120" s="2">
        <v>241</v>
      </c>
      <c r="BN120" s="2" t="s">
        <v>82</v>
      </c>
      <c r="BO120" s="2" t="s">
        <v>762</v>
      </c>
      <c r="BP120" s="2">
        <v>241</v>
      </c>
      <c r="BQ120" s="2" t="s">
        <v>82</v>
      </c>
      <c r="BR120" s="2" t="s">
        <v>185</v>
      </c>
      <c r="BS120" s="3">
        <v>40189</v>
      </c>
      <c r="BT120" s="4">
        <v>0.68685185185185194</v>
      </c>
    </row>
    <row r="121" spans="1:72" x14ac:dyDescent="0.25">
      <c r="A121" s="2">
        <v>174</v>
      </c>
      <c r="B121" s="2">
        <v>2010</v>
      </c>
      <c r="C121" s="2" t="s">
        <v>763</v>
      </c>
      <c r="D121" s="2" t="s">
        <v>73</v>
      </c>
      <c r="E121" s="2"/>
      <c r="F121" s="2">
        <v>146</v>
      </c>
      <c r="G121" s="2" t="s">
        <v>753</v>
      </c>
      <c r="H121" s="2">
        <v>24</v>
      </c>
      <c r="I121" s="2" t="s">
        <v>287</v>
      </c>
      <c r="J121" s="2">
        <v>322</v>
      </c>
      <c r="K121" s="2" t="s">
        <v>754</v>
      </c>
      <c r="L121" s="2" t="s">
        <v>755</v>
      </c>
      <c r="M121" s="3">
        <v>40189</v>
      </c>
      <c r="N121" s="2" t="s">
        <v>756</v>
      </c>
      <c r="O121" s="2"/>
      <c r="P121" s="2"/>
      <c r="Q121" s="2" t="str">
        <f>"AP 0002_10"</f>
        <v>AP 0002_10</v>
      </c>
      <c r="R121" s="2"/>
      <c r="S121" s="2"/>
      <c r="T121" s="2">
        <v>1</v>
      </c>
      <c r="U121" s="2" t="s">
        <v>79</v>
      </c>
      <c r="V121" s="2">
        <v>1</v>
      </c>
      <c r="W121" s="2" t="s">
        <v>80</v>
      </c>
      <c r="X121" s="2">
        <v>1</v>
      </c>
      <c r="Y121" s="2" t="s">
        <v>81</v>
      </c>
      <c r="Z121" s="2">
        <v>1</v>
      </c>
      <c r="AA121" s="2" t="s">
        <v>82</v>
      </c>
      <c r="AB121" s="2">
        <v>9</v>
      </c>
      <c r="AC121" s="2" t="s">
        <v>124</v>
      </c>
      <c r="AD121" s="3">
        <v>40189</v>
      </c>
      <c r="AE121" s="4">
        <v>0.4861111111111111</v>
      </c>
      <c r="AF121" s="2"/>
      <c r="AG121" s="2"/>
      <c r="AH121" s="2">
        <v>6</v>
      </c>
      <c r="AI121" s="2" t="s">
        <v>197</v>
      </c>
      <c r="AJ121" s="2">
        <v>60</v>
      </c>
      <c r="AK121" s="2" t="s">
        <v>543</v>
      </c>
      <c r="AL121" s="2">
        <v>2</v>
      </c>
      <c r="AM121" s="2" t="s">
        <v>163</v>
      </c>
      <c r="AN121" s="2" t="s">
        <v>757</v>
      </c>
      <c r="AO121" s="2" t="s">
        <v>758</v>
      </c>
      <c r="AP121" s="2">
        <v>11</v>
      </c>
      <c r="AQ121" s="2" t="s">
        <v>82</v>
      </c>
      <c r="AR121" s="2" t="s">
        <v>82</v>
      </c>
      <c r="AS121" s="2" t="s">
        <v>82</v>
      </c>
      <c r="AT121" s="2" t="s">
        <v>759</v>
      </c>
      <c r="AU121" s="2"/>
      <c r="AV121" s="2"/>
      <c r="AW121" s="2"/>
      <c r="AX121" s="2"/>
      <c r="AY121" s="2">
        <v>41</v>
      </c>
      <c r="AZ121" s="2" t="s">
        <v>82</v>
      </c>
      <c r="BA121" s="2">
        <v>41</v>
      </c>
      <c r="BB121" s="2" t="s">
        <v>82</v>
      </c>
      <c r="BC121" s="2">
        <v>41</v>
      </c>
      <c r="BD121" s="2" t="s">
        <v>82</v>
      </c>
      <c r="BE121" s="2">
        <v>4</v>
      </c>
      <c r="BF121" s="2" t="s">
        <v>90</v>
      </c>
      <c r="BG121" s="2" t="s">
        <v>760</v>
      </c>
      <c r="BH121" s="4">
        <v>0.43055555555555558</v>
      </c>
      <c r="BI121" s="4">
        <v>0.51111111111111118</v>
      </c>
      <c r="BJ121" s="2">
        <v>13</v>
      </c>
      <c r="BK121" s="2" t="s">
        <v>91</v>
      </c>
      <c r="BL121" s="2" t="s">
        <v>761</v>
      </c>
      <c r="BM121" s="2">
        <v>241</v>
      </c>
      <c r="BN121" s="2" t="s">
        <v>82</v>
      </c>
      <c r="BO121" s="2" t="s">
        <v>762</v>
      </c>
      <c r="BP121" s="2">
        <v>241</v>
      </c>
      <c r="BQ121" s="2" t="s">
        <v>82</v>
      </c>
      <c r="BR121" s="2" t="s">
        <v>185</v>
      </c>
      <c r="BS121" s="3">
        <v>40189</v>
      </c>
      <c r="BT121" s="4">
        <v>0.68685185185185194</v>
      </c>
    </row>
    <row r="122" spans="1:72" x14ac:dyDescent="0.25">
      <c r="A122" s="2">
        <v>177</v>
      </c>
      <c r="B122" s="2">
        <v>2010</v>
      </c>
      <c r="C122" s="2" t="s">
        <v>764</v>
      </c>
      <c r="D122" s="2" t="s">
        <v>73</v>
      </c>
      <c r="E122" s="2"/>
      <c r="F122" s="2">
        <v>390</v>
      </c>
      <c r="G122" s="2" t="s">
        <v>475</v>
      </c>
      <c r="H122" s="2">
        <v>7</v>
      </c>
      <c r="I122" s="2" t="s">
        <v>476</v>
      </c>
      <c r="J122" s="2">
        <v>314</v>
      </c>
      <c r="K122" s="2" t="s">
        <v>477</v>
      </c>
      <c r="L122" s="2" t="s">
        <v>478</v>
      </c>
      <c r="M122" s="3">
        <v>40189</v>
      </c>
      <c r="N122" s="2" t="s">
        <v>765</v>
      </c>
      <c r="O122" s="2" t="s">
        <v>107</v>
      </c>
      <c r="P122" s="2" t="s">
        <v>107</v>
      </c>
      <c r="Q122" s="2" t="str">
        <f>"023-E/10"</f>
        <v>023-E/10</v>
      </c>
      <c r="R122" s="2" t="s">
        <v>766</v>
      </c>
      <c r="S122" s="2"/>
      <c r="T122" s="2">
        <v>1</v>
      </c>
      <c r="U122" s="2" t="s">
        <v>79</v>
      </c>
      <c r="V122" s="2">
        <v>1</v>
      </c>
      <c r="W122" s="2" t="s">
        <v>80</v>
      </c>
      <c r="X122" s="2">
        <v>1</v>
      </c>
      <c r="Y122" s="2" t="s">
        <v>81</v>
      </c>
      <c r="Z122" s="2">
        <v>10</v>
      </c>
      <c r="AA122" s="2" t="s">
        <v>236</v>
      </c>
      <c r="AB122" s="2">
        <v>9</v>
      </c>
      <c r="AC122" s="2" t="s">
        <v>124</v>
      </c>
      <c r="AD122" s="3">
        <v>40180</v>
      </c>
      <c r="AE122" s="4">
        <v>0.64583333333333337</v>
      </c>
      <c r="AF122" s="3">
        <v>40189</v>
      </c>
      <c r="AG122" s="4">
        <v>0.45833333333333331</v>
      </c>
      <c r="AH122" s="2">
        <v>2</v>
      </c>
      <c r="AI122" s="2" t="s">
        <v>84</v>
      </c>
      <c r="AJ122" s="2">
        <v>9</v>
      </c>
      <c r="AK122" s="2" t="s">
        <v>103</v>
      </c>
      <c r="AL122" s="2">
        <v>9</v>
      </c>
      <c r="AM122" s="2" t="s">
        <v>259</v>
      </c>
      <c r="AN122" s="2" t="s">
        <v>767</v>
      </c>
      <c r="AO122" s="2"/>
      <c r="AP122" s="2">
        <v>11</v>
      </c>
      <c r="AQ122" s="2" t="s">
        <v>82</v>
      </c>
      <c r="AR122" s="2"/>
      <c r="AS122" s="2"/>
      <c r="AT122" s="2" t="s">
        <v>768</v>
      </c>
      <c r="AU122" s="2"/>
      <c r="AV122" s="2"/>
      <c r="AW122" s="2"/>
      <c r="AX122" s="2"/>
      <c r="AY122" s="2">
        <v>1</v>
      </c>
      <c r="AZ122" s="2" t="s">
        <v>107</v>
      </c>
      <c r="BA122" s="2">
        <v>70</v>
      </c>
      <c r="BB122" s="2" t="s">
        <v>236</v>
      </c>
      <c r="BC122" s="2">
        <v>41</v>
      </c>
      <c r="BD122" s="2" t="s">
        <v>82</v>
      </c>
      <c r="BE122" s="2">
        <v>41</v>
      </c>
      <c r="BF122" s="2" t="s">
        <v>82</v>
      </c>
      <c r="BG122" s="2"/>
      <c r="BH122" s="2"/>
      <c r="BI122" s="2"/>
      <c r="BJ122" s="2">
        <v>241</v>
      </c>
      <c r="BK122" s="2" t="s">
        <v>82</v>
      </c>
      <c r="BL122" s="2"/>
      <c r="BM122" s="2">
        <v>241</v>
      </c>
      <c r="BN122" s="2" t="s">
        <v>82</v>
      </c>
      <c r="BO122" s="2"/>
      <c r="BP122" s="2">
        <v>241</v>
      </c>
      <c r="BQ122" s="2" t="s">
        <v>82</v>
      </c>
      <c r="BR122" s="2"/>
      <c r="BS122" s="3">
        <v>40189</v>
      </c>
      <c r="BT122" s="4">
        <v>0.74177083333333327</v>
      </c>
    </row>
    <row r="123" spans="1:72" x14ac:dyDescent="0.25">
      <c r="A123" s="2">
        <v>179</v>
      </c>
      <c r="B123" s="2">
        <v>2010</v>
      </c>
      <c r="C123" s="2" t="s">
        <v>726</v>
      </c>
      <c r="D123" s="2" t="s">
        <v>122</v>
      </c>
      <c r="E123" s="2" t="s">
        <v>769</v>
      </c>
      <c r="F123" s="2">
        <v>442</v>
      </c>
      <c r="G123" s="2" t="s">
        <v>770</v>
      </c>
      <c r="H123" s="2">
        <v>22</v>
      </c>
      <c r="I123" s="2" t="s">
        <v>75</v>
      </c>
      <c r="J123" s="2">
        <v>159</v>
      </c>
      <c r="K123" s="2" t="s">
        <v>771</v>
      </c>
      <c r="L123" s="2" t="s">
        <v>772</v>
      </c>
      <c r="M123" s="3">
        <v>40189</v>
      </c>
      <c r="N123" s="2" t="s">
        <v>773</v>
      </c>
      <c r="O123" s="2" t="s">
        <v>82</v>
      </c>
      <c r="P123" s="2" t="s">
        <v>82</v>
      </c>
      <c r="Q123" s="2" t="str">
        <f>"AP0003_10"</f>
        <v>AP0003_10</v>
      </c>
      <c r="R123" s="2" t="s">
        <v>774</v>
      </c>
      <c r="S123" s="2" t="s">
        <v>774</v>
      </c>
      <c r="T123" s="2">
        <v>1</v>
      </c>
      <c r="U123" s="2" t="s">
        <v>79</v>
      </c>
      <c r="V123" s="2">
        <v>1</v>
      </c>
      <c r="W123" s="2" t="s">
        <v>80</v>
      </c>
      <c r="X123" s="2">
        <v>1</v>
      </c>
      <c r="Y123" s="2" t="s">
        <v>81</v>
      </c>
      <c r="Z123" s="2">
        <v>1</v>
      </c>
      <c r="AA123" s="2" t="s">
        <v>82</v>
      </c>
      <c r="AB123" s="2">
        <v>9</v>
      </c>
      <c r="AC123" s="2" t="s">
        <v>124</v>
      </c>
      <c r="AD123" s="3">
        <v>40189</v>
      </c>
      <c r="AE123" s="4">
        <v>0.4548611111111111</v>
      </c>
      <c r="AF123" s="3">
        <v>40189</v>
      </c>
      <c r="AG123" s="4">
        <v>0.68055555555555547</v>
      </c>
      <c r="AH123" s="2">
        <v>6</v>
      </c>
      <c r="AI123" s="2" t="s">
        <v>197</v>
      </c>
      <c r="AJ123" s="2">
        <v>60</v>
      </c>
      <c r="AK123" s="2" t="s">
        <v>543</v>
      </c>
      <c r="AL123" s="2">
        <v>11</v>
      </c>
      <c r="AM123" s="2" t="s">
        <v>137</v>
      </c>
      <c r="AN123" s="2" t="s">
        <v>775</v>
      </c>
      <c r="AO123" s="2" t="s">
        <v>776</v>
      </c>
      <c r="AP123" s="2">
        <v>11</v>
      </c>
      <c r="AQ123" s="2" t="s">
        <v>82</v>
      </c>
      <c r="AR123" s="2"/>
      <c r="AS123" s="2"/>
      <c r="AT123" s="2" t="s">
        <v>777</v>
      </c>
      <c r="AU123" s="2"/>
      <c r="AV123" s="2"/>
      <c r="AW123" s="2"/>
      <c r="AX123" s="2"/>
      <c r="AY123" s="2">
        <v>41</v>
      </c>
      <c r="AZ123" s="2" t="s">
        <v>82</v>
      </c>
      <c r="BA123" s="2">
        <v>41</v>
      </c>
      <c r="BB123" s="2" t="s">
        <v>82</v>
      </c>
      <c r="BC123" s="2">
        <v>41</v>
      </c>
      <c r="BD123" s="2" t="s">
        <v>82</v>
      </c>
      <c r="BE123" s="2">
        <v>4</v>
      </c>
      <c r="BF123" s="2" t="s">
        <v>90</v>
      </c>
      <c r="BG123" s="2" t="s">
        <v>778</v>
      </c>
      <c r="BH123" s="4">
        <v>0.47222222222222227</v>
      </c>
      <c r="BI123" s="4">
        <v>0.51111111111111118</v>
      </c>
      <c r="BJ123" s="2">
        <v>13</v>
      </c>
      <c r="BK123" s="2" t="s">
        <v>91</v>
      </c>
      <c r="BL123" s="2" t="s">
        <v>185</v>
      </c>
      <c r="BM123" s="2">
        <v>13</v>
      </c>
      <c r="BN123" s="2" t="s">
        <v>91</v>
      </c>
      <c r="BO123" s="2" t="s">
        <v>779</v>
      </c>
      <c r="BP123" s="2">
        <v>13</v>
      </c>
      <c r="BQ123" s="2" t="s">
        <v>91</v>
      </c>
      <c r="BR123" s="2" t="s">
        <v>185</v>
      </c>
      <c r="BS123" s="3">
        <v>40189</v>
      </c>
      <c r="BT123" s="4">
        <v>0.851099537037037</v>
      </c>
    </row>
    <row r="124" spans="1:72" x14ac:dyDescent="0.25">
      <c r="A124" s="2">
        <v>180</v>
      </c>
      <c r="B124" s="2">
        <v>2010</v>
      </c>
      <c r="C124" s="2" t="s">
        <v>72</v>
      </c>
      <c r="D124" s="2" t="s">
        <v>73</v>
      </c>
      <c r="E124" s="2"/>
      <c r="F124" s="2">
        <v>61</v>
      </c>
      <c r="G124" s="2" t="s">
        <v>738</v>
      </c>
      <c r="H124" s="2">
        <v>22</v>
      </c>
      <c r="I124" s="2" t="s">
        <v>75</v>
      </c>
      <c r="J124" s="2">
        <v>93</v>
      </c>
      <c r="K124" s="2" t="s">
        <v>739</v>
      </c>
      <c r="L124" s="2" t="s">
        <v>132</v>
      </c>
      <c r="M124" s="3">
        <v>40189</v>
      </c>
      <c r="N124" s="2" t="s">
        <v>740</v>
      </c>
      <c r="O124" s="2"/>
      <c r="P124" s="2"/>
      <c r="Q124" s="2" t="str">
        <f>"002"</f>
        <v>002</v>
      </c>
      <c r="R124" s="2"/>
      <c r="S124" s="2" t="s">
        <v>657</v>
      </c>
      <c r="T124" s="2">
        <v>1</v>
      </c>
      <c r="U124" s="2" t="s">
        <v>79</v>
      </c>
      <c r="V124" s="2">
        <v>1</v>
      </c>
      <c r="W124" s="2" t="s">
        <v>80</v>
      </c>
      <c r="X124" s="2">
        <v>5</v>
      </c>
      <c r="Y124" s="2" t="s">
        <v>82</v>
      </c>
      <c r="Z124" s="2">
        <v>1</v>
      </c>
      <c r="AA124" s="2" t="s">
        <v>82</v>
      </c>
      <c r="AB124" s="2">
        <v>6</v>
      </c>
      <c r="AC124" s="2" t="s">
        <v>83</v>
      </c>
      <c r="AD124" s="3">
        <v>40189</v>
      </c>
      <c r="AE124" s="2"/>
      <c r="AF124" s="3">
        <v>40189</v>
      </c>
      <c r="AG124" s="4">
        <v>0.74305555555555547</v>
      </c>
      <c r="AH124" s="2">
        <v>4</v>
      </c>
      <c r="AI124" s="2" t="s">
        <v>125</v>
      </c>
      <c r="AJ124" s="2">
        <v>28</v>
      </c>
      <c r="AK124" s="2" t="s">
        <v>741</v>
      </c>
      <c r="AL124" s="2">
        <v>18</v>
      </c>
      <c r="AM124" s="2" t="s">
        <v>82</v>
      </c>
      <c r="AN124" s="2"/>
      <c r="AO124" s="2"/>
      <c r="AP124" s="2">
        <v>11</v>
      </c>
      <c r="AQ124" s="2" t="s">
        <v>82</v>
      </c>
      <c r="AR124" s="2"/>
      <c r="AS124" s="2"/>
      <c r="AT124" s="2" t="s">
        <v>780</v>
      </c>
      <c r="AU124" s="2"/>
      <c r="AV124" s="2"/>
      <c r="AW124" s="2"/>
      <c r="AX124" s="2"/>
      <c r="AY124" s="2">
        <v>41</v>
      </c>
      <c r="AZ124" s="2" t="s">
        <v>82</v>
      </c>
      <c r="BA124" s="2">
        <v>41</v>
      </c>
      <c r="BB124" s="2" t="s">
        <v>82</v>
      </c>
      <c r="BC124" s="2">
        <v>13</v>
      </c>
      <c r="BD124" s="2" t="s">
        <v>108</v>
      </c>
      <c r="BE124" s="2">
        <v>13</v>
      </c>
      <c r="BF124" s="2" t="s">
        <v>108</v>
      </c>
      <c r="BG124" s="2">
        <v>1472</v>
      </c>
      <c r="BH124" s="4">
        <v>0.33680555555555558</v>
      </c>
      <c r="BI124" s="2"/>
      <c r="BJ124" s="2">
        <v>13</v>
      </c>
      <c r="BK124" s="2" t="s">
        <v>91</v>
      </c>
      <c r="BL124" s="2" t="s">
        <v>690</v>
      </c>
      <c r="BM124" s="2">
        <v>13</v>
      </c>
      <c r="BN124" s="2" t="s">
        <v>91</v>
      </c>
      <c r="BO124" s="2" t="s">
        <v>185</v>
      </c>
      <c r="BP124" s="2">
        <v>13</v>
      </c>
      <c r="BQ124" s="2" t="s">
        <v>91</v>
      </c>
      <c r="BR124" s="2" t="s">
        <v>744</v>
      </c>
      <c r="BS124" s="3">
        <v>40189</v>
      </c>
      <c r="BT124" s="4">
        <v>0.86468750000000005</v>
      </c>
    </row>
    <row r="125" spans="1:72" x14ac:dyDescent="0.25">
      <c r="A125" s="2">
        <v>181</v>
      </c>
      <c r="B125" s="2">
        <v>2010</v>
      </c>
      <c r="C125" s="2" t="s">
        <v>72</v>
      </c>
      <c r="D125" s="2" t="s">
        <v>73</v>
      </c>
      <c r="E125" s="2"/>
      <c r="F125" s="2">
        <v>9</v>
      </c>
      <c r="G125" s="2" t="s">
        <v>364</v>
      </c>
      <c r="H125" s="2">
        <v>2</v>
      </c>
      <c r="I125" s="2" t="s">
        <v>267</v>
      </c>
      <c r="J125" s="2">
        <v>18</v>
      </c>
      <c r="K125" s="2" t="s">
        <v>365</v>
      </c>
      <c r="L125" s="2" t="s">
        <v>115</v>
      </c>
      <c r="M125" s="3">
        <v>40189</v>
      </c>
      <c r="N125" s="2" t="s">
        <v>781</v>
      </c>
      <c r="O125" s="2" t="s">
        <v>116</v>
      </c>
      <c r="P125" s="2"/>
      <c r="Q125" s="2" t="str">
        <f>"03/10"</f>
        <v>03/10</v>
      </c>
      <c r="R125" s="2"/>
      <c r="S125" s="2" t="s">
        <v>116</v>
      </c>
      <c r="T125" s="2">
        <v>1</v>
      </c>
      <c r="U125" s="2" t="s">
        <v>79</v>
      </c>
      <c r="V125" s="2">
        <v>1</v>
      </c>
      <c r="W125" s="2" t="s">
        <v>80</v>
      </c>
      <c r="X125" s="2">
        <v>1</v>
      </c>
      <c r="Y125" s="2" t="s">
        <v>81</v>
      </c>
      <c r="Z125" s="2">
        <v>1</v>
      </c>
      <c r="AA125" s="2" t="s">
        <v>82</v>
      </c>
      <c r="AB125" s="2">
        <v>6</v>
      </c>
      <c r="AC125" s="2" t="s">
        <v>83</v>
      </c>
      <c r="AD125" s="3">
        <v>40182</v>
      </c>
      <c r="AE125" s="4">
        <v>0.3125</v>
      </c>
      <c r="AF125" s="3">
        <v>40189</v>
      </c>
      <c r="AG125" s="4">
        <v>0.73611111111111116</v>
      </c>
      <c r="AH125" s="2">
        <v>3</v>
      </c>
      <c r="AI125" s="2" t="s">
        <v>214</v>
      </c>
      <c r="AJ125" s="2">
        <v>24</v>
      </c>
      <c r="AK125" s="2" t="s">
        <v>215</v>
      </c>
      <c r="AL125" s="2">
        <v>10</v>
      </c>
      <c r="AM125" s="2" t="s">
        <v>200</v>
      </c>
      <c r="AN125" s="2"/>
      <c r="AO125" s="2"/>
      <c r="AP125" s="2">
        <v>11</v>
      </c>
      <c r="AQ125" s="2" t="s">
        <v>82</v>
      </c>
      <c r="AR125" s="2"/>
      <c r="AS125" s="2"/>
      <c r="AT125" s="2" t="s">
        <v>782</v>
      </c>
      <c r="AU125" s="2"/>
      <c r="AV125" s="2"/>
      <c r="AW125" s="2"/>
      <c r="AX125" s="2"/>
      <c r="AY125" s="2">
        <v>41</v>
      </c>
      <c r="AZ125" s="2" t="s">
        <v>82</v>
      </c>
      <c r="BA125" s="2">
        <v>41</v>
      </c>
      <c r="BB125" s="2" t="s">
        <v>82</v>
      </c>
      <c r="BC125" s="2">
        <v>41</v>
      </c>
      <c r="BD125" s="2" t="s">
        <v>82</v>
      </c>
      <c r="BE125" s="2">
        <v>46</v>
      </c>
      <c r="BF125" s="2" t="s">
        <v>142</v>
      </c>
      <c r="BG125" s="2">
        <v>7221</v>
      </c>
      <c r="BH125" s="4">
        <v>0.5625</v>
      </c>
      <c r="BI125" s="4">
        <v>0.4375</v>
      </c>
      <c r="BJ125" s="2">
        <v>13</v>
      </c>
      <c r="BK125" s="2" t="s">
        <v>91</v>
      </c>
      <c r="BL125" s="2" t="s">
        <v>169</v>
      </c>
      <c r="BM125" s="2">
        <v>241</v>
      </c>
      <c r="BN125" s="2" t="s">
        <v>82</v>
      </c>
      <c r="BO125" s="2"/>
      <c r="BP125" s="2">
        <v>33</v>
      </c>
      <c r="BQ125" s="2" t="s">
        <v>361</v>
      </c>
      <c r="BR125" s="2" t="s">
        <v>783</v>
      </c>
      <c r="BS125" s="3">
        <v>40189</v>
      </c>
      <c r="BT125" s="4">
        <v>0.87001157407407403</v>
      </c>
    </row>
    <row r="126" spans="1:72" x14ac:dyDescent="0.25">
      <c r="A126" s="2">
        <v>182</v>
      </c>
      <c r="B126" s="2">
        <v>2010</v>
      </c>
      <c r="C126" s="2" t="s">
        <v>171</v>
      </c>
      <c r="D126" s="2" t="s">
        <v>73</v>
      </c>
      <c r="E126" s="2"/>
      <c r="F126" s="2">
        <v>28</v>
      </c>
      <c r="G126" s="2" t="s">
        <v>784</v>
      </c>
      <c r="H126" s="2">
        <v>1</v>
      </c>
      <c r="I126" s="2" t="s">
        <v>82</v>
      </c>
      <c r="J126" s="2">
        <v>37</v>
      </c>
      <c r="K126" s="2" t="s">
        <v>785</v>
      </c>
      <c r="L126" s="2" t="s">
        <v>786</v>
      </c>
      <c r="M126" s="3">
        <v>40190</v>
      </c>
      <c r="N126" s="2"/>
      <c r="O126" s="2"/>
      <c r="P126" s="2"/>
      <c r="Q126" s="2" t="str">
        <f>"002-M/10"</f>
        <v>002-M/10</v>
      </c>
      <c r="R126" s="2" t="s">
        <v>787</v>
      </c>
      <c r="S126" s="2"/>
      <c r="T126" s="2">
        <v>1</v>
      </c>
      <c r="U126" s="2" t="s">
        <v>79</v>
      </c>
      <c r="V126" s="2">
        <v>1</v>
      </c>
      <c r="W126" s="2" t="s">
        <v>80</v>
      </c>
      <c r="X126" s="2">
        <v>1</v>
      </c>
      <c r="Y126" s="2" t="s">
        <v>81</v>
      </c>
      <c r="Z126" s="2">
        <v>10</v>
      </c>
      <c r="AA126" s="2" t="s">
        <v>236</v>
      </c>
      <c r="AB126" s="2">
        <v>1</v>
      </c>
      <c r="AC126" s="2" t="s">
        <v>178</v>
      </c>
      <c r="AD126" s="3">
        <v>40189</v>
      </c>
      <c r="AE126" s="4">
        <v>0.91666666666666663</v>
      </c>
      <c r="AF126" s="2"/>
      <c r="AG126" s="2"/>
      <c r="AH126" s="2">
        <v>2</v>
      </c>
      <c r="AI126" s="2" t="s">
        <v>84</v>
      </c>
      <c r="AJ126" s="2">
        <v>8</v>
      </c>
      <c r="AK126" s="2" t="s">
        <v>436</v>
      </c>
      <c r="AL126" s="2">
        <v>11</v>
      </c>
      <c r="AM126" s="2" t="s">
        <v>137</v>
      </c>
      <c r="AN126" s="2" t="s">
        <v>788</v>
      </c>
      <c r="AO126" s="2"/>
      <c r="AP126" s="2">
        <v>11</v>
      </c>
      <c r="AQ126" s="2" t="s">
        <v>82</v>
      </c>
      <c r="AR126" s="2"/>
      <c r="AS126" s="2"/>
      <c r="AT126" s="2" t="s">
        <v>789</v>
      </c>
      <c r="AU126" s="2"/>
      <c r="AV126" s="2"/>
      <c r="AW126" s="2"/>
      <c r="AX126" s="2"/>
      <c r="AY126" s="2">
        <v>41</v>
      </c>
      <c r="AZ126" s="2" t="s">
        <v>82</v>
      </c>
      <c r="BA126" s="2">
        <v>41</v>
      </c>
      <c r="BB126" s="2" t="s">
        <v>82</v>
      </c>
      <c r="BC126" s="2">
        <v>41</v>
      </c>
      <c r="BD126" s="2" t="s">
        <v>82</v>
      </c>
      <c r="BE126" s="2">
        <v>13</v>
      </c>
      <c r="BF126" s="2" t="s">
        <v>108</v>
      </c>
      <c r="BG126" s="2" t="s">
        <v>790</v>
      </c>
      <c r="BH126" s="4">
        <v>0.90277777777777779</v>
      </c>
      <c r="BI126" s="4">
        <v>0.92361111111111116</v>
      </c>
      <c r="BJ126" s="2">
        <v>13</v>
      </c>
      <c r="BK126" s="2" t="s">
        <v>91</v>
      </c>
      <c r="BL126" s="2" t="s">
        <v>647</v>
      </c>
      <c r="BM126" s="2">
        <v>241</v>
      </c>
      <c r="BN126" s="2" t="s">
        <v>82</v>
      </c>
      <c r="BO126" s="2"/>
      <c r="BP126" s="2">
        <v>13</v>
      </c>
      <c r="BQ126" s="2" t="s">
        <v>91</v>
      </c>
      <c r="BR126" s="2" t="s">
        <v>564</v>
      </c>
      <c r="BS126" s="3">
        <v>40190</v>
      </c>
      <c r="BT126" s="4">
        <v>0.2726041666666667</v>
      </c>
    </row>
    <row r="127" spans="1:72" x14ac:dyDescent="0.25">
      <c r="A127" s="2">
        <v>184</v>
      </c>
      <c r="B127" s="2">
        <v>2010</v>
      </c>
      <c r="C127" s="2" t="s">
        <v>93</v>
      </c>
      <c r="D127" s="2" t="s">
        <v>73</v>
      </c>
      <c r="E127" s="2"/>
      <c r="F127" s="2">
        <v>390</v>
      </c>
      <c r="G127" s="2" t="s">
        <v>475</v>
      </c>
      <c r="H127" s="2">
        <v>7</v>
      </c>
      <c r="I127" s="2" t="s">
        <v>476</v>
      </c>
      <c r="J127" s="2">
        <v>314</v>
      </c>
      <c r="K127" s="2" t="s">
        <v>477</v>
      </c>
      <c r="L127" s="2" t="s">
        <v>478</v>
      </c>
      <c r="M127" s="3">
        <v>40190</v>
      </c>
      <c r="N127" s="2" t="s">
        <v>580</v>
      </c>
      <c r="O127" s="2" t="s">
        <v>82</v>
      </c>
      <c r="P127" s="2"/>
      <c r="Q127" s="2" t="str">
        <f>"N/C"</f>
        <v>N/C</v>
      </c>
      <c r="R127" s="2" t="s">
        <v>100</v>
      </c>
      <c r="S127" s="2" t="s">
        <v>100</v>
      </c>
      <c r="T127" s="2">
        <v>1</v>
      </c>
      <c r="U127" s="2" t="s">
        <v>79</v>
      </c>
      <c r="V127" s="2">
        <v>1</v>
      </c>
      <c r="W127" s="2" t="s">
        <v>80</v>
      </c>
      <c r="X127" s="2">
        <v>1</v>
      </c>
      <c r="Y127" s="2" t="s">
        <v>81</v>
      </c>
      <c r="Z127" s="2">
        <v>6</v>
      </c>
      <c r="AA127" s="2" t="s">
        <v>101</v>
      </c>
      <c r="AB127" s="2">
        <v>2</v>
      </c>
      <c r="AC127" s="2" t="s">
        <v>102</v>
      </c>
      <c r="AD127" s="3">
        <v>40190</v>
      </c>
      <c r="AE127" s="4">
        <v>0.13541666666666666</v>
      </c>
      <c r="AF127" s="2"/>
      <c r="AG127" s="2"/>
      <c r="AH127" s="2">
        <v>2</v>
      </c>
      <c r="AI127" s="2" t="s">
        <v>84</v>
      </c>
      <c r="AJ127" s="2">
        <v>9</v>
      </c>
      <c r="AK127" s="2" t="s">
        <v>103</v>
      </c>
      <c r="AL127" s="2">
        <v>14</v>
      </c>
      <c r="AM127" s="2" t="s">
        <v>216</v>
      </c>
      <c r="AN127" s="2"/>
      <c r="AO127" s="2" t="s">
        <v>603</v>
      </c>
      <c r="AP127" s="2">
        <v>11</v>
      </c>
      <c r="AQ127" s="2" t="s">
        <v>82</v>
      </c>
      <c r="AR127" s="2"/>
      <c r="AS127" s="2"/>
      <c r="AT127" s="2" t="s">
        <v>791</v>
      </c>
      <c r="AU127" s="2">
        <v>1</v>
      </c>
      <c r="AV127" s="2"/>
      <c r="AW127" s="2"/>
      <c r="AX127" s="2"/>
      <c r="AY127" s="2">
        <v>41</v>
      </c>
      <c r="AZ127" s="2" t="s">
        <v>82</v>
      </c>
      <c r="BA127" s="2">
        <v>41</v>
      </c>
      <c r="BB127" s="2" t="s">
        <v>82</v>
      </c>
      <c r="BC127" s="2">
        <v>41</v>
      </c>
      <c r="BD127" s="2" t="s">
        <v>82</v>
      </c>
      <c r="BE127" s="2">
        <v>31</v>
      </c>
      <c r="BF127" s="2" t="s">
        <v>398</v>
      </c>
      <c r="BG127" s="2" t="s">
        <v>792</v>
      </c>
      <c r="BH127" s="4">
        <v>6.9444444444444441E-3</v>
      </c>
      <c r="BI127" s="2"/>
      <c r="BJ127" s="2">
        <v>73</v>
      </c>
      <c r="BK127" s="2" t="s">
        <v>186</v>
      </c>
      <c r="BL127" s="2" t="s">
        <v>187</v>
      </c>
      <c r="BM127" s="2">
        <v>241</v>
      </c>
      <c r="BN127" s="2" t="s">
        <v>82</v>
      </c>
      <c r="BO127" s="2" t="s">
        <v>82</v>
      </c>
      <c r="BP127" s="2">
        <v>13</v>
      </c>
      <c r="BQ127" s="2" t="s">
        <v>91</v>
      </c>
      <c r="BR127" s="2" t="s">
        <v>185</v>
      </c>
      <c r="BS127" s="3">
        <v>40190</v>
      </c>
      <c r="BT127" s="4">
        <v>0.34533564814814816</v>
      </c>
    </row>
    <row r="128" spans="1:72" x14ac:dyDescent="0.25">
      <c r="A128" s="2">
        <v>185</v>
      </c>
      <c r="B128" s="2">
        <v>2010</v>
      </c>
      <c r="C128" s="2" t="s">
        <v>625</v>
      </c>
      <c r="D128" s="2" t="s">
        <v>73</v>
      </c>
      <c r="E128" s="2"/>
      <c r="F128" s="2">
        <v>154</v>
      </c>
      <c r="G128" s="2" t="s">
        <v>793</v>
      </c>
      <c r="H128" s="2">
        <v>9</v>
      </c>
      <c r="I128" s="2" t="s">
        <v>794</v>
      </c>
      <c r="J128" s="2">
        <v>166</v>
      </c>
      <c r="K128" s="2" t="s">
        <v>795</v>
      </c>
      <c r="L128" s="2" t="s">
        <v>796</v>
      </c>
      <c r="M128" s="3">
        <v>40190</v>
      </c>
      <c r="N128" s="2" t="s">
        <v>797</v>
      </c>
      <c r="O128" s="2" t="s">
        <v>798</v>
      </c>
      <c r="P128" s="2" t="s">
        <v>799</v>
      </c>
      <c r="Q128" s="2" t="str">
        <f>"no posee"</f>
        <v>no posee</v>
      </c>
      <c r="R128" s="2" t="s">
        <v>800</v>
      </c>
      <c r="S128" s="2" t="s">
        <v>800</v>
      </c>
      <c r="T128" s="2">
        <v>1</v>
      </c>
      <c r="U128" s="2" t="s">
        <v>79</v>
      </c>
      <c r="V128" s="2">
        <v>1</v>
      </c>
      <c r="W128" s="2" t="s">
        <v>80</v>
      </c>
      <c r="X128" s="2">
        <v>5</v>
      </c>
      <c r="Y128" s="2" t="s">
        <v>82</v>
      </c>
      <c r="Z128" s="2">
        <v>1</v>
      </c>
      <c r="AA128" s="2" t="s">
        <v>82</v>
      </c>
      <c r="AB128" s="2">
        <v>9</v>
      </c>
      <c r="AC128" s="2" t="s">
        <v>124</v>
      </c>
      <c r="AD128" s="3">
        <v>40190</v>
      </c>
      <c r="AE128" s="4">
        <v>0.28125</v>
      </c>
      <c r="AF128" s="2"/>
      <c r="AG128" s="2"/>
      <c r="AH128" s="2">
        <v>7</v>
      </c>
      <c r="AI128" s="2" t="s">
        <v>801</v>
      </c>
      <c r="AJ128" s="2">
        <v>3</v>
      </c>
      <c r="AK128" s="2" t="s">
        <v>802</v>
      </c>
      <c r="AL128" s="2">
        <v>19</v>
      </c>
      <c r="AM128" s="2" t="s">
        <v>107</v>
      </c>
      <c r="AN128" s="2" t="s">
        <v>803</v>
      </c>
      <c r="AO128" s="2" t="s">
        <v>804</v>
      </c>
      <c r="AP128" s="2">
        <v>11</v>
      </c>
      <c r="AQ128" s="2" t="s">
        <v>82</v>
      </c>
      <c r="AR128" s="2"/>
      <c r="AS128" s="2"/>
      <c r="AT128" s="2" t="s">
        <v>805</v>
      </c>
      <c r="AU128" s="2">
        <v>2</v>
      </c>
      <c r="AV128" s="2"/>
      <c r="AW128" s="2"/>
      <c r="AX128" s="2"/>
      <c r="AY128" s="2">
        <v>1</v>
      </c>
      <c r="AZ128" s="2" t="s">
        <v>107</v>
      </c>
      <c r="BA128" s="2">
        <v>1</v>
      </c>
      <c r="BB128" s="2" t="s">
        <v>107</v>
      </c>
      <c r="BC128" s="2">
        <v>1</v>
      </c>
      <c r="BD128" s="2" t="s">
        <v>107</v>
      </c>
      <c r="BE128" s="2">
        <v>1</v>
      </c>
      <c r="BF128" s="2" t="s">
        <v>107</v>
      </c>
      <c r="BG128" s="2"/>
      <c r="BH128" s="2"/>
      <c r="BI128" s="2"/>
      <c r="BJ128" s="2">
        <v>242</v>
      </c>
      <c r="BK128" s="2" t="s">
        <v>107</v>
      </c>
      <c r="BL128" s="2"/>
      <c r="BM128" s="2">
        <v>242</v>
      </c>
      <c r="BN128" s="2" t="s">
        <v>107</v>
      </c>
      <c r="BO128" s="2"/>
      <c r="BP128" s="2">
        <v>242</v>
      </c>
      <c r="BQ128" s="2" t="s">
        <v>107</v>
      </c>
      <c r="BR128" s="2"/>
      <c r="BS128" s="3">
        <v>40190</v>
      </c>
      <c r="BT128" s="4">
        <v>0.46119212962962958</v>
      </c>
    </row>
    <row r="129" spans="1:72" x14ac:dyDescent="0.25">
      <c r="A129" s="2">
        <v>185</v>
      </c>
      <c r="B129" s="2">
        <v>2010</v>
      </c>
      <c r="C129" s="2" t="s">
        <v>806</v>
      </c>
      <c r="D129" s="2" t="s">
        <v>73</v>
      </c>
      <c r="E129" s="2"/>
      <c r="F129" s="2">
        <v>154</v>
      </c>
      <c r="G129" s="2" t="s">
        <v>793</v>
      </c>
      <c r="H129" s="2">
        <v>9</v>
      </c>
      <c r="I129" s="2" t="s">
        <v>794</v>
      </c>
      <c r="J129" s="2">
        <v>166</v>
      </c>
      <c r="K129" s="2" t="s">
        <v>795</v>
      </c>
      <c r="L129" s="2" t="s">
        <v>796</v>
      </c>
      <c r="M129" s="3">
        <v>40190</v>
      </c>
      <c r="N129" s="2" t="s">
        <v>797</v>
      </c>
      <c r="O129" s="2" t="s">
        <v>798</v>
      </c>
      <c r="P129" s="2" t="s">
        <v>799</v>
      </c>
      <c r="Q129" s="2" t="str">
        <f>"no posee"</f>
        <v>no posee</v>
      </c>
      <c r="R129" s="2" t="s">
        <v>800</v>
      </c>
      <c r="S129" s="2" t="s">
        <v>800</v>
      </c>
      <c r="T129" s="2">
        <v>1</v>
      </c>
      <c r="U129" s="2" t="s">
        <v>79</v>
      </c>
      <c r="V129" s="2">
        <v>1</v>
      </c>
      <c r="W129" s="2" t="s">
        <v>80</v>
      </c>
      <c r="X129" s="2">
        <v>5</v>
      </c>
      <c r="Y129" s="2" t="s">
        <v>82</v>
      </c>
      <c r="Z129" s="2">
        <v>1</v>
      </c>
      <c r="AA129" s="2" t="s">
        <v>82</v>
      </c>
      <c r="AB129" s="2">
        <v>9</v>
      </c>
      <c r="AC129" s="2" t="s">
        <v>124</v>
      </c>
      <c r="AD129" s="3">
        <v>40190</v>
      </c>
      <c r="AE129" s="4">
        <v>0.28125</v>
      </c>
      <c r="AF129" s="2"/>
      <c r="AG129" s="2"/>
      <c r="AH129" s="2">
        <v>7</v>
      </c>
      <c r="AI129" s="2" t="s">
        <v>801</v>
      </c>
      <c r="AJ129" s="2">
        <v>3</v>
      </c>
      <c r="AK129" s="2" t="s">
        <v>802</v>
      </c>
      <c r="AL129" s="2">
        <v>19</v>
      </c>
      <c r="AM129" s="2" t="s">
        <v>107</v>
      </c>
      <c r="AN129" s="2" t="s">
        <v>803</v>
      </c>
      <c r="AO129" s="2" t="s">
        <v>804</v>
      </c>
      <c r="AP129" s="2">
        <v>11</v>
      </c>
      <c r="AQ129" s="2" t="s">
        <v>82</v>
      </c>
      <c r="AR129" s="2"/>
      <c r="AS129" s="2"/>
      <c r="AT129" s="2" t="s">
        <v>805</v>
      </c>
      <c r="AU129" s="2">
        <v>2</v>
      </c>
      <c r="AV129" s="2"/>
      <c r="AW129" s="2"/>
      <c r="AX129" s="2"/>
      <c r="AY129" s="2">
        <v>1</v>
      </c>
      <c r="AZ129" s="2" t="s">
        <v>107</v>
      </c>
      <c r="BA129" s="2">
        <v>1</v>
      </c>
      <c r="BB129" s="2" t="s">
        <v>107</v>
      </c>
      <c r="BC129" s="2">
        <v>1</v>
      </c>
      <c r="BD129" s="2" t="s">
        <v>107</v>
      </c>
      <c r="BE129" s="2">
        <v>1</v>
      </c>
      <c r="BF129" s="2" t="s">
        <v>107</v>
      </c>
      <c r="BG129" s="2"/>
      <c r="BH129" s="2"/>
      <c r="BI129" s="2"/>
      <c r="BJ129" s="2">
        <v>242</v>
      </c>
      <c r="BK129" s="2" t="s">
        <v>107</v>
      </c>
      <c r="BL129" s="2"/>
      <c r="BM129" s="2">
        <v>242</v>
      </c>
      <c r="BN129" s="2" t="s">
        <v>107</v>
      </c>
      <c r="BO129" s="2"/>
      <c r="BP129" s="2">
        <v>242</v>
      </c>
      <c r="BQ129" s="2" t="s">
        <v>107</v>
      </c>
      <c r="BR129" s="2"/>
      <c r="BS129" s="3">
        <v>40190</v>
      </c>
      <c r="BT129" s="4">
        <v>0.46119212962962958</v>
      </c>
    </row>
    <row r="130" spans="1:72" x14ac:dyDescent="0.25">
      <c r="A130" s="2">
        <v>186</v>
      </c>
      <c r="B130" s="2">
        <v>2010</v>
      </c>
      <c r="C130" s="2" t="s">
        <v>385</v>
      </c>
      <c r="D130" s="2" t="s">
        <v>122</v>
      </c>
      <c r="E130" s="2"/>
      <c r="F130" s="2">
        <v>398</v>
      </c>
      <c r="G130" s="2" t="s">
        <v>94</v>
      </c>
      <c r="H130" s="2">
        <v>12</v>
      </c>
      <c r="I130" s="2" t="s">
        <v>95</v>
      </c>
      <c r="J130" s="2">
        <v>316</v>
      </c>
      <c r="K130" s="2" t="s">
        <v>574</v>
      </c>
      <c r="L130" s="2" t="s">
        <v>575</v>
      </c>
      <c r="M130" s="3">
        <v>40190</v>
      </c>
      <c r="N130" s="2" t="s">
        <v>446</v>
      </c>
      <c r="O130" s="2" t="s">
        <v>807</v>
      </c>
      <c r="P130" s="2">
        <v>11876</v>
      </c>
      <c r="Q130" s="2" t="str">
        <f>""</f>
        <v/>
      </c>
      <c r="R130" s="2"/>
      <c r="S130" s="2"/>
      <c r="T130" s="2">
        <v>1</v>
      </c>
      <c r="U130" s="2" t="s">
        <v>79</v>
      </c>
      <c r="V130" s="2">
        <v>1</v>
      </c>
      <c r="W130" s="2" t="s">
        <v>80</v>
      </c>
      <c r="X130" s="2">
        <v>4</v>
      </c>
      <c r="Y130" s="2" t="s">
        <v>463</v>
      </c>
      <c r="Z130" s="2">
        <v>1</v>
      </c>
      <c r="AA130" s="2" t="s">
        <v>82</v>
      </c>
      <c r="AB130" s="2">
        <v>9</v>
      </c>
      <c r="AC130" s="2" t="s">
        <v>124</v>
      </c>
      <c r="AD130" s="3">
        <v>40190</v>
      </c>
      <c r="AE130" s="4">
        <v>0.3125</v>
      </c>
      <c r="AF130" s="2"/>
      <c r="AG130" s="2"/>
      <c r="AH130" s="2">
        <v>2</v>
      </c>
      <c r="AI130" s="2" t="s">
        <v>84</v>
      </c>
      <c r="AJ130" s="2">
        <v>12</v>
      </c>
      <c r="AK130" s="2" t="s">
        <v>85</v>
      </c>
      <c r="AL130" s="2">
        <v>19</v>
      </c>
      <c r="AM130" s="2" t="s">
        <v>107</v>
      </c>
      <c r="AN130" s="2" t="s">
        <v>808</v>
      </c>
      <c r="AO130" s="2" t="s">
        <v>809</v>
      </c>
      <c r="AP130" s="2">
        <v>11</v>
      </c>
      <c r="AQ130" s="2" t="s">
        <v>82</v>
      </c>
      <c r="AR130" s="2"/>
      <c r="AS130" s="2"/>
      <c r="AT130" s="2" t="s">
        <v>810</v>
      </c>
      <c r="AU130" s="2">
        <v>1</v>
      </c>
      <c r="AV130" s="2"/>
      <c r="AW130" s="2"/>
      <c r="AX130" s="2"/>
      <c r="AY130" s="2">
        <v>41</v>
      </c>
      <c r="AZ130" s="2" t="s">
        <v>82</v>
      </c>
      <c r="BA130" s="2">
        <v>41</v>
      </c>
      <c r="BB130" s="2" t="s">
        <v>82</v>
      </c>
      <c r="BC130" s="2">
        <v>41</v>
      </c>
      <c r="BD130" s="2" t="s">
        <v>82</v>
      </c>
      <c r="BE130" s="2">
        <v>41</v>
      </c>
      <c r="BF130" s="2" t="s">
        <v>82</v>
      </c>
      <c r="BG130" s="2"/>
      <c r="BH130" s="2"/>
      <c r="BI130" s="2"/>
      <c r="BJ130" s="2">
        <v>241</v>
      </c>
      <c r="BK130" s="2" t="s">
        <v>82</v>
      </c>
      <c r="BL130" s="2"/>
      <c r="BM130" s="2">
        <v>241</v>
      </c>
      <c r="BN130" s="2" t="s">
        <v>82</v>
      </c>
      <c r="BO130" s="2"/>
      <c r="BP130" s="2">
        <v>241</v>
      </c>
      <c r="BQ130" s="2" t="s">
        <v>82</v>
      </c>
      <c r="BR130" s="2"/>
      <c r="BS130" s="3">
        <v>40190</v>
      </c>
      <c r="BT130" s="4">
        <v>0.47938657407407409</v>
      </c>
    </row>
    <row r="131" spans="1:72" x14ac:dyDescent="0.25">
      <c r="A131" s="2">
        <v>187</v>
      </c>
      <c r="B131" s="2">
        <v>2010</v>
      </c>
      <c r="C131" s="2" t="s">
        <v>72</v>
      </c>
      <c r="D131" s="2" t="s">
        <v>73</v>
      </c>
      <c r="E131" s="2"/>
      <c r="F131" s="2">
        <v>100</v>
      </c>
      <c r="G131" s="2" t="s">
        <v>517</v>
      </c>
      <c r="H131" s="2">
        <v>22</v>
      </c>
      <c r="I131" s="2" t="s">
        <v>75</v>
      </c>
      <c r="J131" s="2">
        <v>119</v>
      </c>
      <c r="K131" s="2" t="s">
        <v>325</v>
      </c>
      <c r="L131" s="2" t="s">
        <v>326</v>
      </c>
      <c r="M131" s="3">
        <v>40190</v>
      </c>
      <c r="N131" s="2" t="s">
        <v>811</v>
      </c>
      <c r="O131" s="2"/>
      <c r="P131" s="2"/>
      <c r="Q131" s="2" t="str">
        <f>"0003/10"</f>
        <v>0003/10</v>
      </c>
      <c r="R131" s="2" t="s">
        <v>116</v>
      </c>
      <c r="S131" s="2" t="s">
        <v>116</v>
      </c>
      <c r="T131" s="2">
        <v>1</v>
      </c>
      <c r="U131" s="2" t="s">
        <v>79</v>
      </c>
      <c r="V131" s="2">
        <v>1</v>
      </c>
      <c r="W131" s="2" t="s">
        <v>80</v>
      </c>
      <c r="X131" s="2">
        <v>1</v>
      </c>
      <c r="Y131" s="2" t="s">
        <v>81</v>
      </c>
      <c r="Z131" s="2">
        <v>1</v>
      </c>
      <c r="AA131" s="2" t="s">
        <v>82</v>
      </c>
      <c r="AB131" s="2">
        <v>6</v>
      </c>
      <c r="AC131" s="2" t="s">
        <v>83</v>
      </c>
      <c r="AD131" s="3">
        <v>40189</v>
      </c>
      <c r="AE131" s="4">
        <v>0.4375</v>
      </c>
      <c r="AF131" s="3">
        <v>40190</v>
      </c>
      <c r="AG131" s="4">
        <v>0.4375</v>
      </c>
      <c r="AH131" s="2">
        <v>6</v>
      </c>
      <c r="AI131" s="2" t="s">
        <v>197</v>
      </c>
      <c r="AJ131" s="2">
        <v>50</v>
      </c>
      <c r="AK131" s="2" t="s">
        <v>330</v>
      </c>
      <c r="AL131" s="2">
        <v>10</v>
      </c>
      <c r="AM131" s="2" t="s">
        <v>200</v>
      </c>
      <c r="AN131" s="2"/>
      <c r="AO131" s="2"/>
      <c r="AP131" s="2">
        <v>11</v>
      </c>
      <c r="AQ131" s="2" t="s">
        <v>82</v>
      </c>
      <c r="AR131" s="2" t="s">
        <v>82</v>
      </c>
      <c r="AS131" s="2" t="s">
        <v>82</v>
      </c>
      <c r="AT131" s="2" t="s">
        <v>812</v>
      </c>
      <c r="AU131" s="2"/>
      <c r="AV131" s="2"/>
      <c r="AW131" s="2"/>
      <c r="AX131" s="2"/>
      <c r="AY131" s="2">
        <v>41</v>
      </c>
      <c r="AZ131" s="2" t="s">
        <v>82</v>
      </c>
      <c r="BA131" s="2">
        <v>41</v>
      </c>
      <c r="BB131" s="2" t="s">
        <v>82</v>
      </c>
      <c r="BC131" s="2">
        <v>41</v>
      </c>
      <c r="BD131" s="2" t="s">
        <v>82</v>
      </c>
      <c r="BE131" s="2">
        <v>13</v>
      </c>
      <c r="BF131" s="2" t="s">
        <v>108</v>
      </c>
      <c r="BG131" s="2">
        <v>1680</v>
      </c>
      <c r="BH131" s="4">
        <v>0.4375</v>
      </c>
      <c r="BI131" s="4">
        <v>0.34375</v>
      </c>
      <c r="BJ131" s="2">
        <v>13</v>
      </c>
      <c r="BK131" s="2" t="s">
        <v>91</v>
      </c>
      <c r="BL131" s="2" t="s">
        <v>170</v>
      </c>
      <c r="BM131" s="2">
        <v>241</v>
      </c>
      <c r="BN131" s="2" t="s">
        <v>82</v>
      </c>
      <c r="BO131" s="2" t="s">
        <v>82</v>
      </c>
      <c r="BP131" s="2">
        <v>13</v>
      </c>
      <c r="BQ131" s="2" t="s">
        <v>91</v>
      </c>
      <c r="BR131" s="2" t="s">
        <v>332</v>
      </c>
      <c r="BS131" s="3">
        <v>40190</v>
      </c>
      <c r="BT131" s="4">
        <v>0.49754629629629626</v>
      </c>
    </row>
    <row r="132" spans="1:72" x14ac:dyDescent="0.25">
      <c r="A132" s="2">
        <v>193</v>
      </c>
      <c r="B132" s="2">
        <v>2010</v>
      </c>
      <c r="C132" s="2" t="s">
        <v>594</v>
      </c>
      <c r="D132" s="2" t="s">
        <v>122</v>
      </c>
      <c r="E132" s="2"/>
      <c r="F132" s="2">
        <v>1</v>
      </c>
      <c r="G132" s="2" t="s">
        <v>82</v>
      </c>
      <c r="H132" s="2">
        <v>1</v>
      </c>
      <c r="I132" s="2" t="s">
        <v>82</v>
      </c>
      <c r="J132" s="2">
        <v>1</v>
      </c>
      <c r="K132" s="2" t="s">
        <v>107</v>
      </c>
      <c r="L132" s="2" t="s">
        <v>107</v>
      </c>
      <c r="M132" s="3">
        <v>40190</v>
      </c>
      <c r="N132" s="2"/>
      <c r="O132" s="2"/>
      <c r="P132" s="2"/>
      <c r="Q132" s="2" t="str">
        <f>""</f>
        <v/>
      </c>
      <c r="R132" s="2"/>
      <c r="S132" s="2"/>
      <c r="T132" s="2">
        <v>1</v>
      </c>
      <c r="U132" s="2" t="s">
        <v>79</v>
      </c>
      <c r="V132" s="2">
        <v>1</v>
      </c>
      <c r="W132" s="2" t="s">
        <v>80</v>
      </c>
      <c r="X132" s="2">
        <v>5</v>
      </c>
      <c r="Y132" s="2" t="s">
        <v>82</v>
      </c>
      <c r="Z132" s="2">
        <v>1</v>
      </c>
      <c r="AA132" s="2" t="s">
        <v>82</v>
      </c>
      <c r="AB132" s="2">
        <v>9</v>
      </c>
      <c r="AC132" s="2" t="s">
        <v>124</v>
      </c>
      <c r="AD132" s="2"/>
      <c r="AE132" s="2"/>
      <c r="AF132" s="2"/>
      <c r="AG132" s="2"/>
      <c r="AH132" s="2">
        <v>6</v>
      </c>
      <c r="AI132" s="2" t="s">
        <v>197</v>
      </c>
      <c r="AJ132" s="2">
        <v>54</v>
      </c>
      <c r="AK132" s="2" t="s">
        <v>348</v>
      </c>
      <c r="AL132" s="2">
        <v>18</v>
      </c>
      <c r="AM132" s="2" t="s">
        <v>82</v>
      </c>
      <c r="AN132" s="2" t="s">
        <v>595</v>
      </c>
      <c r="AO132" s="2" t="s">
        <v>200</v>
      </c>
      <c r="AP132" s="2">
        <v>12</v>
      </c>
      <c r="AQ132" s="2" t="s">
        <v>322</v>
      </c>
      <c r="AR132" s="2" t="s">
        <v>596</v>
      </c>
      <c r="AS132" s="2" t="s">
        <v>596</v>
      </c>
      <c r="AT132" s="2" t="s">
        <v>813</v>
      </c>
      <c r="AU132" s="2"/>
      <c r="AV132" s="2"/>
      <c r="AW132" s="2"/>
      <c r="AX132" s="2"/>
      <c r="AY132" s="2">
        <v>1</v>
      </c>
      <c r="AZ132" s="2" t="s">
        <v>107</v>
      </c>
      <c r="BA132" s="2">
        <v>1</v>
      </c>
      <c r="BB132" s="2" t="s">
        <v>107</v>
      </c>
      <c r="BC132" s="2">
        <v>1</v>
      </c>
      <c r="BD132" s="2" t="s">
        <v>107</v>
      </c>
      <c r="BE132" s="2">
        <v>13</v>
      </c>
      <c r="BF132" s="2" t="s">
        <v>108</v>
      </c>
      <c r="BG132" s="2" t="s">
        <v>814</v>
      </c>
      <c r="BH132" s="4">
        <v>0.72569444444444453</v>
      </c>
      <c r="BI132" s="4">
        <v>0.76944444444444438</v>
      </c>
      <c r="BJ132" s="2">
        <v>13</v>
      </c>
      <c r="BK132" s="2" t="s">
        <v>91</v>
      </c>
      <c r="BL132" s="2" t="s">
        <v>534</v>
      </c>
      <c r="BM132" s="2">
        <v>13</v>
      </c>
      <c r="BN132" s="2" t="s">
        <v>91</v>
      </c>
      <c r="BO132" s="2" t="s">
        <v>353</v>
      </c>
      <c r="BP132" s="2">
        <v>13</v>
      </c>
      <c r="BQ132" s="2" t="s">
        <v>91</v>
      </c>
      <c r="BR132" s="2" t="s">
        <v>353</v>
      </c>
      <c r="BS132" s="3">
        <v>40190</v>
      </c>
      <c r="BT132" s="4">
        <v>0.93217592592592602</v>
      </c>
    </row>
    <row r="133" spans="1:72" x14ac:dyDescent="0.25">
      <c r="A133" s="2">
        <v>194</v>
      </c>
      <c r="B133" s="2">
        <v>2010</v>
      </c>
      <c r="C133" s="2" t="s">
        <v>72</v>
      </c>
      <c r="D133" s="2" t="s">
        <v>73</v>
      </c>
      <c r="E133" s="2"/>
      <c r="F133" s="2">
        <v>2</v>
      </c>
      <c r="G133" s="2" t="s">
        <v>113</v>
      </c>
      <c r="H133" s="2">
        <v>1</v>
      </c>
      <c r="I133" s="2" t="s">
        <v>82</v>
      </c>
      <c r="J133" s="2">
        <v>300</v>
      </c>
      <c r="K133" s="2" t="s">
        <v>114</v>
      </c>
      <c r="L133" s="2" t="s">
        <v>115</v>
      </c>
      <c r="M133" s="3">
        <v>40190</v>
      </c>
      <c r="N133" s="2"/>
      <c r="O133" s="2" t="s">
        <v>82</v>
      </c>
      <c r="P133" s="2" t="s">
        <v>82</v>
      </c>
      <c r="Q133" s="2" t="str">
        <f>"024-E/10"</f>
        <v>024-E/10</v>
      </c>
      <c r="R133" s="2" t="s">
        <v>671</v>
      </c>
      <c r="S133" s="2" t="s">
        <v>671</v>
      </c>
      <c r="T133" s="2">
        <v>1</v>
      </c>
      <c r="U133" s="2" t="s">
        <v>79</v>
      </c>
      <c r="V133" s="2">
        <v>1</v>
      </c>
      <c r="W133" s="2" t="s">
        <v>80</v>
      </c>
      <c r="X133" s="2">
        <v>5</v>
      </c>
      <c r="Y133" s="2" t="s">
        <v>82</v>
      </c>
      <c r="Z133" s="2">
        <v>1</v>
      </c>
      <c r="AA133" s="2" t="s">
        <v>82</v>
      </c>
      <c r="AB133" s="2">
        <v>6</v>
      </c>
      <c r="AC133" s="2" t="s">
        <v>83</v>
      </c>
      <c r="AD133" s="3">
        <v>40190</v>
      </c>
      <c r="AE133" s="4">
        <v>0.71875</v>
      </c>
      <c r="AF133" s="3">
        <v>40190</v>
      </c>
      <c r="AG133" s="4">
        <v>0.78472222222222221</v>
      </c>
      <c r="AH133" s="2">
        <v>2</v>
      </c>
      <c r="AI133" s="2" t="s">
        <v>84</v>
      </c>
      <c r="AJ133" s="2">
        <v>9</v>
      </c>
      <c r="AK133" s="2" t="s">
        <v>103</v>
      </c>
      <c r="AL133" s="2">
        <v>14</v>
      </c>
      <c r="AM133" s="2" t="s">
        <v>216</v>
      </c>
      <c r="AN133" s="2" t="s">
        <v>815</v>
      </c>
      <c r="AO133" s="2" t="s">
        <v>816</v>
      </c>
      <c r="AP133" s="2">
        <v>11</v>
      </c>
      <c r="AQ133" s="2" t="s">
        <v>82</v>
      </c>
      <c r="AR133" s="2"/>
      <c r="AS133" s="2"/>
      <c r="AT133" s="2" t="s">
        <v>817</v>
      </c>
      <c r="AU133" s="2"/>
      <c r="AV133" s="2"/>
      <c r="AW133" s="2"/>
      <c r="AX133" s="2"/>
      <c r="AY133" s="2">
        <v>69</v>
      </c>
      <c r="AZ133" s="2" t="s">
        <v>483</v>
      </c>
      <c r="BA133" s="2">
        <v>69</v>
      </c>
      <c r="BB133" s="2" t="s">
        <v>483</v>
      </c>
      <c r="BC133" s="2">
        <v>41</v>
      </c>
      <c r="BD133" s="2" t="s">
        <v>82</v>
      </c>
      <c r="BE133" s="2">
        <v>14</v>
      </c>
      <c r="BF133" s="2" t="s">
        <v>484</v>
      </c>
      <c r="BG133" s="2" t="s">
        <v>818</v>
      </c>
      <c r="BH133" s="4">
        <v>0.25</v>
      </c>
      <c r="BI133" s="4">
        <v>0.75</v>
      </c>
      <c r="BJ133" s="2">
        <v>13</v>
      </c>
      <c r="BK133" s="2" t="s">
        <v>91</v>
      </c>
      <c r="BL133" s="2" t="s">
        <v>360</v>
      </c>
      <c r="BM133" s="2">
        <v>241</v>
      </c>
      <c r="BN133" s="2" t="s">
        <v>82</v>
      </c>
      <c r="BO133" s="2" t="s">
        <v>82</v>
      </c>
      <c r="BP133" s="2">
        <v>82</v>
      </c>
      <c r="BQ133" s="2" t="s">
        <v>487</v>
      </c>
      <c r="BR133" s="2" t="s">
        <v>488</v>
      </c>
      <c r="BS133" s="3">
        <v>40190</v>
      </c>
      <c r="BT133" s="4">
        <v>0.96297453703703706</v>
      </c>
    </row>
    <row r="134" spans="1:72" x14ac:dyDescent="0.25">
      <c r="A134" s="2">
        <v>195</v>
      </c>
      <c r="B134" s="2">
        <v>2010</v>
      </c>
      <c r="C134" s="2" t="s">
        <v>819</v>
      </c>
      <c r="D134" s="2" t="s">
        <v>122</v>
      </c>
      <c r="E134" s="2"/>
      <c r="F134" s="2">
        <v>445</v>
      </c>
      <c r="G134" s="2"/>
      <c r="H134" s="2">
        <v>27</v>
      </c>
      <c r="I134" s="2" t="s">
        <v>820</v>
      </c>
      <c r="J134" s="2">
        <v>1</v>
      </c>
      <c r="K134" s="2" t="s">
        <v>107</v>
      </c>
      <c r="L134" s="2" t="s">
        <v>107</v>
      </c>
      <c r="M134" s="3">
        <v>40190</v>
      </c>
      <c r="N134" s="2" t="s">
        <v>821</v>
      </c>
      <c r="O134" s="2" t="s">
        <v>107</v>
      </c>
      <c r="P134" s="2" t="s">
        <v>107</v>
      </c>
      <c r="Q134" s="2" t="str">
        <f>"001/10"</f>
        <v>001/10</v>
      </c>
      <c r="R134" s="2" t="s">
        <v>107</v>
      </c>
      <c r="S134" s="2" t="s">
        <v>822</v>
      </c>
      <c r="T134" s="2">
        <v>1</v>
      </c>
      <c r="U134" s="2" t="s">
        <v>79</v>
      </c>
      <c r="V134" s="2">
        <v>1</v>
      </c>
      <c r="W134" s="2" t="s">
        <v>80</v>
      </c>
      <c r="X134" s="2">
        <v>1</v>
      </c>
      <c r="Y134" s="2" t="s">
        <v>81</v>
      </c>
      <c r="Z134" s="2">
        <v>10</v>
      </c>
      <c r="AA134" s="2" t="s">
        <v>236</v>
      </c>
      <c r="AB134" s="2">
        <v>9</v>
      </c>
      <c r="AC134" s="2" t="s">
        <v>124</v>
      </c>
      <c r="AD134" s="3">
        <v>40190</v>
      </c>
      <c r="AE134" s="4">
        <v>0.94444444444444453</v>
      </c>
      <c r="AF134" s="2"/>
      <c r="AG134" s="2"/>
      <c r="AH134" s="2">
        <v>4</v>
      </c>
      <c r="AI134" s="2" t="s">
        <v>125</v>
      </c>
      <c r="AJ134" s="2">
        <v>29</v>
      </c>
      <c r="AK134" s="2" t="s">
        <v>227</v>
      </c>
      <c r="AL134" s="2">
        <v>10</v>
      </c>
      <c r="AM134" s="2" t="s">
        <v>200</v>
      </c>
      <c r="AN134" s="2" t="s">
        <v>823</v>
      </c>
      <c r="AO134" s="2" t="s">
        <v>200</v>
      </c>
      <c r="AP134" s="2">
        <v>12</v>
      </c>
      <c r="AQ134" s="2" t="s">
        <v>322</v>
      </c>
      <c r="AR134" s="2" t="s">
        <v>824</v>
      </c>
      <c r="AS134" s="2" t="s">
        <v>825</v>
      </c>
      <c r="AT134" s="2" t="s">
        <v>826</v>
      </c>
      <c r="AU134" s="2"/>
      <c r="AV134" s="2"/>
      <c r="AW134" s="2"/>
      <c r="AX134" s="2"/>
      <c r="AY134" s="2">
        <v>41</v>
      </c>
      <c r="AZ134" s="2" t="s">
        <v>82</v>
      </c>
      <c r="BA134" s="2">
        <v>41</v>
      </c>
      <c r="BB134" s="2" t="s">
        <v>82</v>
      </c>
      <c r="BC134" s="2">
        <v>51</v>
      </c>
      <c r="BD134" s="2" t="s">
        <v>827</v>
      </c>
      <c r="BE134" s="2">
        <v>47</v>
      </c>
      <c r="BF134" s="2" t="s">
        <v>167</v>
      </c>
      <c r="BG134" s="2">
        <v>2459</v>
      </c>
      <c r="BH134" s="4">
        <v>0.93402777777777779</v>
      </c>
      <c r="BI134" s="4">
        <v>0.96527777777777779</v>
      </c>
      <c r="BJ134" s="2">
        <v>13</v>
      </c>
      <c r="BK134" s="2" t="s">
        <v>91</v>
      </c>
      <c r="BL134" s="2" t="s">
        <v>185</v>
      </c>
      <c r="BM134" s="2">
        <v>13</v>
      </c>
      <c r="BN134" s="2" t="s">
        <v>91</v>
      </c>
      <c r="BO134" s="2" t="s">
        <v>828</v>
      </c>
      <c r="BP134" s="2">
        <v>13</v>
      </c>
      <c r="BQ134" s="2" t="s">
        <v>91</v>
      </c>
      <c r="BR134" s="2" t="s">
        <v>185</v>
      </c>
      <c r="BS134" s="3">
        <v>40190</v>
      </c>
      <c r="BT134" s="4">
        <v>0.96906250000000005</v>
      </c>
    </row>
    <row r="135" spans="1:72" x14ac:dyDescent="0.25">
      <c r="A135" s="2">
        <v>196</v>
      </c>
      <c r="B135" s="2">
        <v>2010</v>
      </c>
      <c r="C135" s="2" t="s">
        <v>72</v>
      </c>
      <c r="D135" s="2" t="s">
        <v>73</v>
      </c>
      <c r="E135" s="2"/>
      <c r="F135" s="2">
        <v>358</v>
      </c>
      <c r="G135" s="2" t="s">
        <v>829</v>
      </c>
      <c r="H135" s="2">
        <v>22</v>
      </c>
      <c r="I135" s="2" t="s">
        <v>75</v>
      </c>
      <c r="J135" s="2">
        <v>323</v>
      </c>
      <c r="K135" s="2" t="s">
        <v>830</v>
      </c>
      <c r="L135" s="2" t="s">
        <v>831</v>
      </c>
      <c r="M135" s="3">
        <v>40191</v>
      </c>
      <c r="N135" s="2" t="s">
        <v>832</v>
      </c>
      <c r="O135" s="2" t="s">
        <v>107</v>
      </c>
      <c r="P135" s="2" t="s">
        <v>107</v>
      </c>
      <c r="Q135" s="2" t="str">
        <f>"001/10"</f>
        <v>001/10</v>
      </c>
      <c r="R135" s="2" t="s">
        <v>107</v>
      </c>
      <c r="S135" s="2" t="s">
        <v>833</v>
      </c>
      <c r="T135" s="2">
        <v>1</v>
      </c>
      <c r="U135" s="2" t="s">
        <v>79</v>
      </c>
      <c r="V135" s="2">
        <v>1</v>
      </c>
      <c r="W135" s="2" t="s">
        <v>80</v>
      </c>
      <c r="X135" s="2">
        <v>1</v>
      </c>
      <c r="Y135" s="2" t="s">
        <v>81</v>
      </c>
      <c r="Z135" s="2">
        <v>1</v>
      </c>
      <c r="AA135" s="2" t="s">
        <v>82</v>
      </c>
      <c r="AB135" s="2">
        <v>6</v>
      </c>
      <c r="AC135" s="2" t="s">
        <v>83</v>
      </c>
      <c r="AD135" s="3">
        <v>40191</v>
      </c>
      <c r="AE135" s="4">
        <v>8.3333333333333329E-2</v>
      </c>
      <c r="AF135" s="3">
        <v>40191</v>
      </c>
      <c r="AG135" s="4">
        <v>0.125</v>
      </c>
      <c r="AH135" s="2">
        <v>5</v>
      </c>
      <c r="AI135" s="2" t="s">
        <v>274</v>
      </c>
      <c r="AJ135" s="2">
        <v>45</v>
      </c>
      <c r="AK135" s="2" t="s">
        <v>834</v>
      </c>
      <c r="AL135" s="2">
        <v>18</v>
      </c>
      <c r="AM135" s="2" t="s">
        <v>82</v>
      </c>
      <c r="AN135" s="2" t="s">
        <v>835</v>
      </c>
      <c r="AO135" s="2" t="s">
        <v>836</v>
      </c>
      <c r="AP135" s="2">
        <v>11</v>
      </c>
      <c r="AQ135" s="2" t="s">
        <v>82</v>
      </c>
      <c r="AR135" s="2" t="s">
        <v>82</v>
      </c>
      <c r="AS135" s="2" t="s">
        <v>82</v>
      </c>
      <c r="AT135" s="2" t="s">
        <v>837</v>
      </c>
      <c r="AU135" s="2"/>
      <c r="AV135" s="2"/>
      <c r="AW135" s="2"/>
      <c r="AX135" s="2"/>
      <c r="AY135" s="2">
        <v>73</v>
      </c>
      <c r="AZ135" s="2" t="s">
        <v>838</v>
      </c>
      <c r="BA135" s="2">
        <v>41</v>
      </c>
      <c r="BB135" s="2" t="s">
        <v>82</v>
      </c>
      <c r="BC135" s="2">
        <v>41</v>
      </c>
      <c r="BD135" s="2" t="s">
        <v>82</v>
      </c>
      <c r="BE135" s="2">
        <v>41</v>
      </c>
      <c r="BF135" s="2" t="s">
        <v>82</v>
      </c>
      <c r="BG135" s="2" t="s">
        <v>82</v>
      </c>
      <c r="BH135" s="2"/>
      <c r="BI135" s="2"/>
      <c r="BJ135" s="2">
        <v>241</v>
      </c>
      <c r="BK135" s="2" t="s">
        <v>82</v>
      </c>
      <c r="BL135" s="2" t="s">
        <v>82</v>
      </c>
      <c r="BM135" s="2">
        <v>241</v>
      </c>
      <c r="BN135" s="2" t="s">
        <v>82</v>
      </c>
      <c r="BO135" s="2" t="s">
        <v>82</v>
      </c>
      <c r="BP135" s="2">
        <v>241</v>
      </c>
      <c r="BQ135" s="2" t="s">
        <v>82</v>
      </c>
      <c r="BR135" s="2" t="s">
        <v>82</v>
      </c>
      <c r="BS135" s="3">
        <v>40191</v>
      </c>
      <c r="BT135" s="4">
        <v>0.21879629629629629</v>
      </c>
    </row>
    <row r="136" spans="1:72" x14ac:dyDescent="0.25">
      <c r="A136" s="2">
        <v>197</v>
      </c>
      <c r="B136" s="2">
        <v>2010</v>
      </c>
      <c r="C136" s="2" t="s">
        <v>171</v>
      </c>
      <c r="D136" s="2" t="s">
        <v>73</v>
      </c>
      <c r="E136" s="2"/>
      <c r="F136" s="2">
        <v>390</v>
      </c>
      <c r="G136" s="2" t="s">
        <v>475</v>
      </c>
      <c r="H136" s="2">
        <v>7</v>
      </c>
      <c r="I136" s="2" t="s">
        <v>476</v>
      </c>
      <c r="J136" s="2">
        <v>314</v>
      </c>
      <c r="K136" s="2" t="s">
        <v>477</v>
      </c>
      <c r="L136" s="2" t="s">
        <v>478</v>
      </c>
      <c r="M136" s="3">
        <v>40191</v>
      </c>
      <c r="N136" s="2" t="s">
        <v>839</v>
      </c>
      <c r="O136" s="2" t="s">
        <v>82</v>
      </c>
      <c r="P136" s="2" t="s">
        <v>82</v>
      </c>
      <c r="Q136" s="2" t="str">
        <f>"025-10"</f>
        <v>025-10</v>
      </c>
      <c r="R136" s="2" t="s">
        <v>840</v>
      </c>
      <c r="S136" s="2" t="s">
        <v>840</v>
      </c>
      <c r="T136" s="2">
        <v>1</v>
      </c>
      <c r="U136" s="2" t="s">
        <v>79</v>
      </c>
      <c r="V136" s="2">
        <v>1</v>
      </c>
      <c r="W136" s="2" t="s">
        <v>80</v>
      </c>
      <c r="X136" s="2">
        <v>1</v>
      </c>
      <c r="Y136" s="2" t="s">
        <v>81</v>
      </c>
      <c r="Z136" s="2">
        <v>10</v>
      </c>
      <c r="AA136" s="2" t="s">
        <v>236</v>
      </c>
      <c r="AB136" s="2">
        <v>1</v>
      </c>
      <c r="AC136" s="2" t="s">
        <v>178</v>
      </c>
      <c r="AD136" s="3">
        <v>40190</v>
      </c>
      <c r="AE136" s="4">
        <v>0.75</v>
      </c>
      <c r="AF136" s="2"/>
      <c r="AG136" s="2"/>
      <c r="AH136" s="2">
        <v>2</v>
      </c>
      <c r="AI136" s="2" t="s">
        <v>84</v>
      </c>
      <c r="AJ136" s="2">
        <v>9</v>
      </c>
      <c r="AK136" s="2" t="s">
        <v>103</v>
      </c>
      <c r="AL136" s="2">
        <v>15</v>
      </c>
      <c r="AM136" s="2" t="s">
        <v>104</v>
      </c>
      <c r="AN136" s="2"/>
      <c r="AO136" s="2" t="s">
        <v>179</v>
      </c>
      <c r="AP136" s="2">
        <v>11</v>
      </c>
      <c r="AQ136" s="2" t="s">
        <v>82</v>
      </c>
      <c r="AR136" s="2"/>
      <c r="AS136" s="2"/>
      <c r="AT136" s="2" t="s">
        <v>841</v>
      </c>
      <c r="AU136" s="2"/>
      <c r="AV136" s="2">
        <v>1</v>
      </c>
      <c r="AW136" s="2"/>
      <c r="AX136" s="2"/>
      <c r="AY136" s="2">
        <v>42</v>
      </c>
      <c r="AZ136" s="2" t="s">
        <v>182</v>
      </c>
      <c r="BA136" s="2">
        <v>41</v>
      </c>
      <c r="BB136" s="2" t="s">
        <v>82</v>
      </c>
      <c r="BC136" s="2">
        <v>70</v>
      </c>
      <c r="BD136" s="2" t="s">
        <v>236</v>
      </c>
      <c r="BE136" s="2">
        <v>13</v>
      </c>
      <c r="BF136" s="2" t="s">
        <v>108</v>
      </c>
      <c r="BG136" s="2" t="s">
        <v>842</v>
      </c>
      <c r="BH136" s="4">
        <v>0.41666666666666669</v>
      </c>
      <c r="BI136" s="4">
        <v>0.91666666666666663</v>
      </c>
      <c r="BJ136" s="2">
        <v>172</v>
      </c>
      <c r="BK136" s="2" t="s">
        <v>843</v>
      </c>
      <c r="BL136" s="2" t="s">
        <v>844</v>
      </c>
      <c r="BM136" s="2">
        <v>13</v>
      </c>
      <c r="BN136" s="2" t="s">
        <v>91</v>
      </c>
      <c r="BO136" s="2" t="s">
        <v>185</v>
      </c>
      <c r="BP136" s="2">
        <v>73</v>
      </c>
      <c r="BQ136" s="2" t="s">
        <v>186</v>
      </c>
      <c r="BR136" s="2" t="s">
        <v>187</v>
      </c>
      <c r="BS136" s="3">
        <v>40191</v>
      </c>
      <c r="BT136" s="4">
        <v>0.29165509259259259</v>
      </c>
    </row>
    <row r="137" spans="1:72" x14ac:dyDescent="0.25">
      <c r="A137" s="2">
        <v>198</v>
      </c>
      <c r="B137" s="2">
        <v>2010</v>
      </c>
      <c r="C137" s="2" t="s">
        <v>594</v>
      </c>
      <c r="D137" s="2" t="s">
        <v>122</v>
      </c>
      <c r="E137" s="2"/>
      <c r="F137" s="2">
        <v>1</v>
      </c>
      <c r="G137" s="2" t="s">
        <v>82</v>
      </c>
      <c r="H137" s="2">
        <v>1</v>
      </c>
      <c r="I137" s="2" t="s">
        <v>82</v>
      </c>
      <c r="J137" s="2">
        <v>1</v>
      </c>
      <c r="K137" s="2" t="s">
        <v>107</v>
      </c>
      <c r="L137" s="2" t="s">
        <v>107</v>
      </c>
      <c r="M137" s="3">
        <v>40191</v>
      </c>
      <c r="N137" s="2"/>
      <c r="O137" s="2"/>
      <c r="P137" s="2"/>
      <c r="Q137" s="2" t="str">
        <f>""</f>
        <v/>
      </c>
      <c r="R137" s="2"/>
      <c r="S137" s="2"/>
      <c r="T137" s="2">
        <v>1</v>
      </c>
      <c r="U137" s="2" t="s">
        <v>79</v>
      </c>
      <c r="V137" s="2">
        <v>1</v>
      </c>
      <c r="W137" s="2" t="s">
        <v>80</v>
      </c>
      <c r="X137" s="2">
        <v>5</v>
      </c>
      <c r="Y137" s="2" t="s">
        <v>82</v>
      </c>
      <c r="Z137" s="2">
        <v>1</v>
      </c>
      <c r="AA137" s="2" t="s">
        <v>82</v>
      </c>
      <c r="AB137" s="2">
        <v>9</v>
      </c>
      <c r="AC137" s="2" t="s">
        <v>124</v>
      </c>
      <c r="AD137" s="2"/>
      <c r="AE137" s="2"/>
      <c r="AF137" s="2"/>
      <c r="AG137" s="2"/>
      <c r="AH137" s="2">
        <v>6</v>
      </c>
      <c r="AI137" s="2" t="s">
        <v>197</v>
      </c>
      <c r="AJ137" s="2">
        <v>54</v>
      </c>
      <c r="AK137" s="2" t="s">
        <v>348</v>
      </c>
      <c r="AL137" s="2">
        <v>18</v>
      </c>
      <c r="AM137" s="2" t="s">
        <v>82</v>
      </c>
      <c r="AN137" s="2" t="s">
        <v>595</v>
      </c>
      <c r="AO137" s="2" t="s">
        <v>200</v>
      </c>
      <c r="AP137" s="2">
        <v>12</v>
      </c>
      <c r="AQ137" s="2" t="s">
        <v>322</v>
      </c>
      <c r="AR137" s="2" t="s">
        <v>596</v>
      </c>
      <c r="AS137" s="2" t="s">
        <v>596</v>
      </c>
      <c r="AT137" s="2" t="s">
        <v>845</v>
      </c>
      <c r="AU137" s="2"/>
      <c r="AV137" s="2"/>
      <c r="AW137" s="2"/>
      <c r="AX137" s="2"/>
      <c r="AY137" s="2">
        <v>1</v>
      </c>
      <c r="AZ137" s="2" t="s">
        <v>107</v>
      </c>
      <c r="BA137" s="2">
        <v>1</v>
      </c>
      <c r="BB137" s="2" t="s">
        <v>107</v>
      </c>
      <c r="BC137" s="2">
        <v>1</v>
      </c>
      <c r="BD137" s="2" t="s">
        <v>107</v>
      </c>
      <c r="BE137" s="2">
        <v>13</v>
      </c>
      <c r="BF137" s="2" t="s">
        <v>108</v>
      </c>
      <c r="BG137" s="2" t="s">
        <v>846</v>
      </c>
      <c r="BH137" s="2"/>
      <c r="BI137" s="4">
        <v>0.2986111111111111</v>
      </c>
      <c r="BJ137" s="2">
        <v>13</v>
      </c>
      <c r="BK137" s="2" t="s">
        <v>91</v>
      </c>
      <c r="BL137" s="2" t="s">
        <v>607</v>
      </c>
      <c r="BM137" s="2">
        <v>13</v>
      </c>
      <c r="BN137" s="2" t="s">
        <v>91</v>
      </c>
      <c r="BO137" s="2" t="s">
        <v>353</v>
      </c>
      <c r="BP137" s="2">
        <v>13</v>
      </c>
      <c r="BQ137" s="2" t="s">
        <v>91</v>
      </c>
      <c r="BR137" s="2" t="s">
        <v>534</v>
      </c>
      <c r="BS137" s="3">
        <v>40191</v>
      </c>
      <c r="BT137" s="4">
        <v>0.3961689814814815</v>
      </c>
    </row>
    <row r="138" spans="1:72" x14ac:dyDescent="0.25">
      <c r="A138" s="2">
        <v>199</v>
      </c>
      <c r="B138" s="2">
        <v>2010</v>
      </c>
      <c r="C138" s="2" t="s">
        <v>594</v>
      </c>
      <c r="D138" s="2" t="s">
        <v>122</v>
      </c>
      <c r="E138" s="2"/>
      <c r="F138" s="2">
        <v>1</v>
      </c>
      <c r="G138" s="2" t="s">
        <v>82</v>
      </c>
      <c r="H138" s="2">
        <v>1</v>
      </c>
      <c r="I138" s="2" t="s">
        <v>82</v>
      </c>
      <c r="J138" s="2">
        <v>1</v>
      </c>
      <c r="K138" s="2" t="s">
        <v>107</v>
      </c>
      <c r="L138" s="2" t="s">
        <v>107</v>
      </c>
      <c r="M138" s="3">
        <v>40191</v>
      </c>
      <c r="N138" s="2"/>
      <c r="O138" s="2"/>
      <c r="P138" s="2"/>
      <c r="Q138" s="2" t="str">
        <f>""</f>
        <v/>
      </c>
      <c r="R138" s="2"/>
      <c r="S138" s="2"/>
      <c r="T138" s="2">
        <v>1</v>
      </c>
      <c r="U138" s="2" t="s">
        <v>79</v>
      </c>
      <c r="V138" s="2">
        <v>1</v>
      </c>
      <c r="W138" s="2" t="s">
        <v>80</v>
      </c>
      <c r="X138" s="2">
        <v>1</v>
      </c>
      <c r="Y138" s="2" t="s">
        <v>81</v>
      </c>
      <c r="Z138" s="2">
        <v>1</v>
      </c>
      <c r="AA138" s="2" t="s">
        <v>82</v>
      </c>
      <c r="AB138" s="2">
        <v>9</v>
      </c>
      <c r="AC138" s="2" t="s">
        <v>124</v>
      </c>
      <c r="AD138" s="3">
        <v>40191</v>
      </c>
      <c r="AE138" s="4">
        <v>0.3611111111111111</v>
      </c>
      <c r="AF138" s="2"/>
      <c r="AG138" s="2"/>
      <c r="AH138" s="2">
        <v>6</v>
      </c>
      <c r="AI138" s="2" t="s">
        <v>197</v>
      </c>
      <c r="AJ138" s="2">
        <v>54</v>
      </c>
      <c r="AK138" s="2" t="s">
        <v>348</v>
      </c>
      <c r="AL138" s="2">
        <v>18</v>
      </c>
      <c r="AM138" s="2" t="s">
        <v>82</v>
      </c>
      <c r="AN138" s="2" t="s">
        <v>595</v>
      </c>
      <c r="AO138" s="2" t="s">
        <v>200</v>
      </c>
      <c r="AP138" s="2">
        <v>12</v>
      </c>
      <c r="AQ138" s="2" t="s">
        <v>322</v>
      </c>
      <c r="AR138" s="2" t="s">
        <v>596</v>
      </c>
      <c r="AS138" s="2" t="s">
        <v>596</v>
      </c>
      <c r="AT138" s="2" t="s">
        <v>847</v>
      </c>
      <c r="AU138" s="2"/>
      <c r="AV138" s="2"/>
      <c r="AW138" s="2"/>
      <c r="AX138" s="2"/>
      <c r="AY138" s="2">
        <v>1</v>
      </c>
      <c r="AZ138" s="2" t="s">
        <v>107</v>
      </c>
      <c r="BA138" s="2">
        <v>1</v>
      </c>
      <c r="BB138" s="2" t="s">
        <v>107</v>
      </c>
      <c r="BC138" s="2">
        <v>1</v>
      </c>
      <c r="BD138" s="2" t="s">
        <v>107</v>
      </c>
      <c r="BE138" s="2">
        <v>47</v>
      </c>
      <c r="BF138" s="2" t="s">
        <v>167</v>
      </c>
      <c r="BG138" s="2" t="s">
        <v>848</v>
      </c>
      <c r="BH138" s="4">
        <v>0.31944444444444448</v>
      </c>
      <c r="BI138" s="4">
        <v>0.3611111111111111</v>
      </c>
      <c r="BJ138" s="2">
        <v>13</v>
      </c>
      <c r="BK138" s="2" t="s">
        <v>91</v>
      </c>
      <c r="BL138" s="2" t="s">
        <v>849</v>
      </c>
      <c r="BM138" s="2">
        <v>242</v>
      </c>
      <c r="BN138" s="2" t="s">
        <v>107</v>
      </c>
      <c r="BO138" s="2" t="s">
        <v>607</v>
      </c>
      <c r="BP138" s="2">
        <v>13</v>
      </c>
      <c r="BQ138" s="2" t="s">
        <v>91</v>
      </c>
      <c r="BR138" s="2" t="s">
        <v>850</v>
      </c>
      <c r="BS138" s="3">
        <v>40191</v>
      </c>
      <c r="BT138" s="4">
        <v>0.40434027777777781</v>
      </c>
    </row>
    <row r="139" spans="1:72" x14ac:dyDescent="0.25">
      <c r="A139" s="2">
        <v>200</v>
      </c>
      <c r="B139" s="2">
        <v>2010</v>
      </c>
      <c r="C139" s="2" t="s">
        <v>121</v>
      </c>
      <c r="D139" s="2" t="s">
        <v>122</v>
      </c>
      <c r="E139" s="2"/>
      <c r="F139" s="2">
        <v>1</v>
      </c>
      <c r="G139" s="2" t="s">
        <v>82</v>
      </c>
      <c r="H139" s="2">
        <v>1</v>
      </c>
      <c r="I139" s="2" t="s">
        <v>82</v>
      </c>
      <c r="J139" s="2">
        <v>1</v>
      </c>
      <c r="K139" s="2" t="s">
        <v>107</v>
      </c>
      <c r="L139" s="2" t="s">
        <v>107</v>
      </c>
      <c r="M139" s="3">
        <v>40191</v>
      </c>
      <c r="N139" s="2"/>
      <c r="O139" s="2"/>
      <c r="P139" s="2"/>
      <c r="Q139" s="2" t="str">
        <f>""</f>
        <v/>
      </c>
      <c r="R139" s="2"/>
      <c r="S139" s="2"/>
      <c r="T139" s="2">
        <v>2</v>
      </c>
      <c r="U139" s="2" t="s">
        <v>123</v>
      </c>
      <c r="V139" s="2">
        <v>1</v>
      </c>
      <c r="W139" s="2" t="s">
        <v>80</v>
      </c>
      <c r="X139" s="2">
        <v>5</v>
      </c>
      <c r="Y139" s="2" t="s">
        <v>82</v>
      </c>
      <c r="Z139" s="2">
        <v>1</v>
      </c>
      <c r="AA139" s="2" t="s">
        <v>82</v>
      </c>
      <c r="AB139" s="2">
        <v>9</v>
      </c>
      <c r="AC139" s="2" t="s">
        <v>124</v>
      </c>
      <c r="AD139" s="3">
        <v>40191</v>
      </c>
      <c r="AE139" s="4">
        <v>0.3979166666666667</v>
      </c>
      <c r="AF139" s="2"/>
      <c r="AG139" s="2"/>
      <c r="AH139" s="2">
        <v>3</v>
      </c>
      <c r="AI139" s="2" t="s">
        <v>214</v>
      </c>
      <c r="AJ139" s="2">
        <v>23</v>
      </c>
      <c r="AK139" s="2" t="s">
        <v>851</v>
      </c>
      <c r="AL139" s="2">
        <v>18</v>
      </c>
      <c r="AM139" s="2" t="s">
        <v>82</v>
      </c>
      <c r="AN139" s="2" t="s">
        <v>230</v>
      </c>
      <c r="AO139" s="2"/>
      <c r="AP139" s="2">
        <v>11</v>
      </c>
      <c r="AQ139" s="2" t="s">
        <v>82</v>
      </c>
      <c r="AR139" s="2"/>
      <c r="AS139" s="2"/>
      <c r="AT139" s="2" t="s">
        <v>852</v>
      </c>
      <c r="AU139" s="2"/>
      <c r="AV139" s="2"/>
      <c r="AW139" s="2"/>
      <c r="AX139" s="2"/>
      <c r="AY139" s="2">
        <v>1</v>
      </c>
      <c r="AZ139" s="2" t="s">
        <v>107</v>
      </c>
      <c r="BA139" s="2">
        <v>1</v>
      </c>
      <c r="BB139" s="2" t="s">
        <v>107</v>
      </c>
      <c r="BC139" s="2">
        <v>1</v>
      </c>
      <c r="BD139" s="2" t="s">
        <v>107</v>
      </c>
      <c r="BE139" s="2">
        <v>42</v>
      </c>
      <c r="BF139" s="2" t="s">
        <v>182</v>
      </c>
      <c r="BG139" s="2" t="s">
        <v>853</v>
      </c>
      <c r="BH139" s="4">
        <v>0.3979166666666667</v>
      </c>
      <c r="BI139" s="2"/>
      <c r="BJ139" s="2">
        <v>13</v>
      </c>
      <c r="BK139" s="2" t="s">
        <v>91</v>
      </c>
      <c r="BL139" s="2" t="s">
        <v>185</v>
      </c>
      <c r="BM139" s="2">
        <v>242</v>
      </c>
      <c r="BN139" s="2" t="s">
        <v>107</v>
      </c>
      <c r="BO139" s="2"/>
      <c r="BP139" s="2">
        <v>13</v>
      </c>
      <c r="BQ139" s="2" t="s">
        <v>91</v>
      </c>
      <c r="BR139" s="2" t="s">
        <v>854</v>
      </c>
      <c r="BS139" s="3">
        <v>40191</v>
      </c>
      <c r="BT139" s="4">
        <v>0.40880787037037036</v>
      </c>
    </row>
    <row r="140" spans="1:72" x14ac:dyDescent="0.25">
      <c r="A140" s="2">
        <v>201</v>
      </c>
      <c r="B140" s="2">
        <v>2010</v>
      </c>
      <c r="C140" s="2" t="s">
        <v>171</v>
      </c>
      <c r="D140" s="2" t="s">
        <v>122</v>
      </c>
      <c r="E140" s="2">
        <v>197</v>
      </c>
      <c r="F140" s="2">
        <v>390</v>
      </c>
      <c r="G140" s="2" t="s">
        <v>475</v>
      </c>
      <c r="H140" s="2">
        <v>7</v>
      </c>
      <c r="I140" s="2" t="s">
        <v>476</v>
      </c>
      <c r="J140" s="2">
        <v>314</v>
      </c>
      <c r="K140" s="2" t="s">
        <v>477</v>
      </c>
      <c r="L140" s="2" t="s">
        <v>478</v>
      </c>
      <c r="M140" s="3">
        <v>40191</v>
      </c>
      <c r="N140" s="2" t="s">
        <v>839</v>
      </c>
      <c r="O140" s="2" t="s">
        <v>82</v>
      </c>
      <c r="P140" s="2" t="s">
        <v>82</v>
      </c>
      <c r="Q140" s="2" t="str">
        <f>"025-10"</f>
        <v>025-10</v>
      </c>
      <c r="R140" s="2" t="s">
        <v>840</v>
      </c>
      <c r="S140" s="2" t="s">
        <v>840</v>
      </c>
      <c r="T140" s="2">
        <v>1</v>
      </c>
      <c r="U140" s="2" t="s">
        <v>79</v>
      </c>
      <c r="V140" s="2">
        <v>1</v>
      </c>
      <c r="W140" s="2" t="s">
        <v>80</v>
      </c>
      <c r="X140" s="2">
        <v>1</v>
      </c>
      <c r="Y140" s="2" t="s">
        <v>81</v>
      </c>
      <c r="Z140" s="2">
        <v>10</v>
      </c>
      <c r="AA140" s="2" t="s">
        <v>236</v>
      </c>
      <c r="AB140" s="2">
        <v>1</v>
      </c>
      <c r="AC140" s="2" t="s">
        <v>178</v>
      </c>
      <c r="AD140" s="3">
        <v>40190</v>
      </c>
      <c r="AE140" s="4">
        <v>0.75</v>
      </c>
      <c r="AF140" s="2"/>
      <c r="AG140" s="2"/>
      <c r="AH140" s="2">
        <v>2</v>
      </c>
      <c r="AI140" s="2" t="s">
        <v>84</v>
      </c>
      <c r="AJ140" s="2">
        <v>9</v>
      </c>
      <c r="AK140" s="2" t="s">
        <v>103</v>
      </c>
      <c r="AL140" s="2">
        <v>15</v>
      </c>
      <c r="AM140" s="2" t="s">
        <v>104</v>
      </c>
      <c r="AN140" s="2"/>
      <c r="AO140" s="2" t="s">
        <v>179</v>
      </c>
      <c r="AP140" s="2">
        <v>11</v>
      </c>
      <c r="AQ140" s="2" t="s">
        <v>82</v>
      </c>
      <c r="AR140" s="2"/>
      <c r="AS140" s="2"/>
      <c r="AT140" s="2" t="s">
        <v>855</v>
      </c>
      <c r="AU140" s="2"/>
      <c r="AV140" s="2">
        <v>1</v>
      </c>
      <c r="AW140" s="2"/>
      <c r="AX140" s="2"/>
      <c r="AY140" s="2">
        <v>42</v>
      </c>
      <c r="AZ140" s="2" t="s">
        <v>182</v>
      </c>
      <c r="BA140" s="2">
        <v>41</v>
      </c>
      <c r="BB140" s="2" t="s">
        <v>82</v>
      </c>
      <c r="BC140" s="2">
        <v>70</v>
      </c>
      <c r="BD140" s="2" t="s">
        <v>236</v>
      </c>
      <c r="BE140" s="2">
        <v>13</v>
      </c>
      <c r="BF140" s="2" t="s">
        <v>108</v>
      </c>
      <c r="BG140" s="2" t="s">
        <v>842</v>
      </c>
      <c r="BH140" s="4">
        <v>0.41666666666666669</v>
      </c>
      <c r="BI140" s="4">
        <v>0.91666666666666663</v>
      </c>
      <c r="BJ140" s="2">
        <v>172</v>
      </c>
      <c r="BK140" s="2" t="s">
        <v>843</v>
      </c>
      <c r="BL140" s="2" t="s">
        <v>844</v>
      </c>
      <c r="BM140" s="2">
        <v>13</v>
      </c>
      <c r="BN140" s="2" t="s">
        <v>91</v>
      </c>
      <c r="BO140" s="2" t="s">
        <v>185</v>
      </c>
      <c r="BP140" s="2">
        <v>73</v>
      </c>
      <c r="BQ140" s="2" t="s">
        <v>186</v>
      </c>
      <c r="BR140" s="2" t="s">
        <v>187</v>
      </c>
      <c r="BS140" s="3">
        <v>40191</v>
      </c>
      <c r="BT140" s="4">
        <v>0.41424768518518523</v>
      </c>
    </row>
    <row r="141" spans="1:72" x14ac:dyDescent="0.25">
      <c r="A141" s="2">
        <v>202</v>
      </c>
      <c r="B141" s="2">
        <v>2010</v>
      </c>
      <c r="C141" s="2" t="s">
        <v>72</v>
      </c>
      <c r="D141" s="2" t="s">
        <v>73</v>
      </c>
      <c r="E141" s="2"/>
      <c r="F141" s="2">
        <v>61</v>
      </c>
      <c r="G141" s="2" t="s">
        <v>738</v>
      </c>
      <c r="H141" s="2">
        <v>22</v>
      </c>
      <c r="I141" s="2" t="s">
        <v>75</v>
      </c>
      <c r="J141" s="2">
        <v>93</v>
      </c>
      <c r="K141" s="2" t="s">
        <v>739</v>
      </c>
      <c r="L141" s="2" t="s">
        <v>132</v>
      </c>
      <c r="M141" s="3">
        <v>40191</v>
      </c>
      <c r="N141" s="2" t="s">
        <v>856</v>
      </c>
      <c r="O141" s="2"/>
      <c r="P141" s="2"/>
      <c r="Q141" s="2" t="str">
        <f>"003/10"</f>
        <v>003/10</v>
      </c>
      <c r="R141" s="2" t="s">
        <v>857</v>
      </c>
      <c r="S141" s="2" t="s">
        <v>858</v>
      </c>
      <c r="T141" s="2">
        <v>1</v>
      </c>
      <c r="U141" s="2" t="s">
        <v>79</v>
      </c>
      <c r="V141" s="2">
        <v>1</v>
      </c>
      <c r="W141" s="2" t="s">
        <v>80</v>
      </c>
      <c r="X141" s="2">
        <v>5</v>
      </c>
      <c r="Y141" s="2" t="s">
        <v>82</v>
      </c>
      <c r="Z141" s="2">
        <v>11</v>
      </c>
      <c r="AA141" s="2" t="s">
        <v>859</v>
      </c>
      <c r="AB141" s="2">
        <v>6</v>
      </c>
      <c r="AC141" s="2" t="s">
        <v>83</v>
      </c>
      <c r="AD141" s="3">
        <v>40190</v>
      </c>
      <c r="AE141" s="2"/>
      <c r="AF141" s="3">
        <v>40190</v>
      </c>
      <c r="AG141" s="4">
        <v>0.88888888888888884</v>
      </c>
      <c r="AH141" s="2">
        <v>4</v>
      </c>
      <c r="AI141" s="2" t="s">
        <v>125</v>
      </c>
      <c r="AJ141" s="2">
        <v>28</v>
      </c>
      <c r="AK141" s="2" t="s">
        <v>741</v>
      </c>
      <c r="AL141" s="2">
        <v>19</v>
      </c>
      <c r="AM141" s="2" t="s">
        <v>107</v>
      </c>
      <c r="AN141" s="2" t="s">
        <v>860</v>
      </c>
      <c r="AO141" s="2" t="s">
        <v>861</v>
      </c>
      <c r="AP141" s="2">
        <v>11</v>
      </c>
      <c r="AQ141" s="2" t="s">
        <v>82</v>
      </c>
      <c r="AR141" s="2"/>
      <c r="AS141" s="2"/>
      <c r="AT141" s="2" t="s">
        <v>862</v>
      </c>
      <c r="AU141" s="2"/>
      <c r="AV141" s="2"/>
      <c r="AW141" s="2"/>
      <c r="AX141" s="2"/>
      <c r="AY141" s="2">
        <v>41</v>
      </c>
      <c r="AZ141" s="2" t="s">
        <v>82</v>
      </c>
      <c r="BA141" s="2">
        <v>41</v>
      </c>
      <c r="BB141" s="2" t="s">
        <v>82</v>
      </c>
      <c r="BC141" s="2">
        <v>41</v>
      </c>
      <c r="BD141" s="2" t="s">
        <v>82</v>
      </c>
      <c r="BE141" s="2">
        <v>41</v>
      </c>
      <c r="BF141" s="2" t="s">
        <v>82</v>
      </c>
      <c r="BG141" s="2"/>
      <c r="BH141" s="2"/>
      <c r="BI141" s="2"/>
      <c r="BJ141" s="2">
        <v>241</v>
      </c>
      <c r="BK141" s="2" t="s">
        <v>82</v>
      </c>
      <c r="BL141" s="2"/>
      <c r="BM141" s="2">
        <v>241</v>
      </c>
      <c r="BN141" s="2" t="s">
        <v>82</v>
      </c>
      <c r="BO141" s="2"/>
      <c r="BP141" s="2">
        <v>241</v>
      </c>
      <c r="BQ141" s="2" t="s">
        <v>82</v>
      </c>
      <c r="BR141" s="2"/>
      <c r="BS141" s="3">
        <v>40191</v>
      </c>
      <c r="BT141" s="4">
        <v>0.44307870370370367</v>
      </c>
    </row>
    <row r="142" spans="1:72" x14ac:dyDescent="0.25">
      <c r="A142" s="2">
        <v>204</v>
      </c>
      <c r="B142" s="2">
        <v>2010</v>
      </c>
      <c r="C142" s="2" t="s">
        <v>93</v>
      </c>
      <c r="D142" s="2" t="s">
        <v>73</v>
      </c>
      <c r="E142" s="2"/>
      <c r="F142" s="2">
        <v>448</v>
      </c>
      <c r="G142" s="2" t="s">
        <v>863</v>
      </c>
      <c r="H142" s="2">
        <v>22</v>
      </c>
      <c r="I142" s="2" t="s">
        <v>75</v>
      </c>
      <c r="J142" s="2">
        <v>140</v>
      </c>
      <c r="K142" s="2" t="s">
        <v>864</v>
      </c>
      <c r="L142" s="2" t="s">
        <v>865</v>
      </c>
      <c r="M142" s="3">
        <v>40191</v>
      </c>
      <c r="N142" s="2" t="s">
        <v>866</v>
      </c>
      <c r="O142" s="2" t="s">
        <v>867</v>
      </c>
      <c r="P142" s="2" t="s">
        <v>868</v>
      </c>
      <c r="Q142" s="2" t="str">
        <f>"AP0004_10"</f>
        <v>AP0004_10</v>
      </c>
      <c r="R142" s="2" t="s">
        <v>82</v>
      </c>
      <c r="S142" s="2" t="s">
        <v>869</v>
      </c>
      <c r="T142" s="2">
        <v>1</v>
      </c>
      <c r="U142" s="2" t="s">
        <v>79</v>
      </c>
      <c r="V142" s="2">
        <v>1</v>
      </c>
      <c r="W142" s="2" t="s">
        <v>80</v>
      </c>
      <c r="X142" s="2">
        <v>1</v>
      </c>
      <c r="Y142" s="2" t="s">
        <v>81</v>
      </c>
      <c r="Z142" s="2">
        <v>10</v>
      </c>
      <c r="AA142" s="2" t="s">
        <v>236</v>
      </c>
      <c r="AB142" s="2">
        <v>2</v>
      </c>
      <c r="AC142" s="2" t="s">
        <v>102</v>
      </c>
      <c r="AD142" s="3">
        <v>40191</v>
      </c>
      <c r="AE142" s="4">
        <v>0.40972222222222227</v>
      </c>
      <c r="AF142" s="2"/>
      <c r="AG142" s="2"/>
      <c r="AH142" s="2">
        <v>6</v>
      </c>
      <c r="AI142" s="2" t="s">
        <v>197</v>
      </c>
      <c r="AJ142" s="2">
        <v>60</v>
      </c>
      <c r="AK142" s="2" t="s">
        <v>543</v>
      </c>
      <c r="AL142" s="2">
        <v>11</v>
      </c>
      <c r="AM142" s="2" t="s">
        <v>137</v>
      </c>
      <c r="AN142" s="2" t="s">
        <v>870</v>
      </c>
      <c r="AO142" s="2" t="s">
        <v>871</v>
      </c>
      <c r="AP142" s="2">
        <v>11</v>
      </c>
      <c r="AQ142" s="2" t="s">
        <v>82</v>
      </c>
      <c r="AR142" s="2" t="s">
        <v>82</v>
      </c>
      <c r="AS142" s="2" t="s">
        <v>82</v>
      </c>
      <c r="AT142" s="2" t="s">
        <v>872</v>
      </c>
      <c r="AU142" s="2"/>
      <c r="AV142" s="2"/>
      <c r="AW142" s="2"/>
      <c r="AX142" s="2"/>
      <c r="AY142" s="2">
        <v>41</v>
      </c>
      <c r="AZ142" s="2" t="s">
        <v>82</v>
      </c>
      <c r="BA142" s="2">
        <v>41</v>
      </c>
      <c r="BB142" s="2" t="s">
        <v>82</v>
      </c>
      <c r="BC142" s="2">
        <v>41</v>
      </c>
      <c r="BD142" s="2" t="s">
        <v>82</v>
      </c>
      <c r="BE142" s="2">
        <v>13</v>
      </c>
      <c r="BF142" s="2" t="s">
        <v>108</v>
      </c>
      <c r="BG142" s="2" t="s">
        <v>873</v>
      </c>
      <c r="BH142" s="4">
        <v>0.38194444444444442</v>
      </c>
      <c r="BI142" s="4">
        <v>0.41319444444444442</v>
      </c>
      <c r="BJ142" s="2">
        <v>13</v>
      </c>
      <c r="BK142" s="2" t="s">
        <v>91</v>
      </c>
      <c r="BL142" s="2" t="s">
        <v>762</v>
      </c>
      <c r="BM142" s="2">
        <v>13</v>
      </c>
      <c r="BN142" s="2" t="s">
        <v>91</v>
      </c>
      <c r="BO142" s="2" t="s">
        <v>874</v>
      </c>
      <c r="BP142" s="2">
        <v>13</v>
      </c>
      <c r="BQ142" s="2" t="s">
        <v>91</v>
      </c>
      <c r="BR142" s="2" t="s">
        <v>875</v>
      </c>
      <c r="BS142" s="3">
        <v>40191</v>
      </c>
      <c r="BT142" s="4">
        <v>0.51446759259259256</v>
      </c>
    </row>
    <row r="143" spans="1:72" x14ac:dyDescent="0.25">
      <c r="A143" s="2">
        <v>205</v>
      </c>
      <c r="B143" s="2">
        <v>2010</v>
      </c>
      <c r="C143" s="2" t="s">
        <v>72</v>
      </c>
      <c r="D143" s="2" t="s">
        <v>73</v>
      </c>
      <c r="E143" s="2"/>
      <c r="F143" s="2">
        <v>419</v>
      </c>
      <c r="G143" s="2" t="s">
        <v>74</v>
      </c>
      <c r="H143" s="2">
        <v>22</v>
      </c>
      <c r="I143" s="2" t="s">
        <v>75</v>
      </c>
      <c r="J143" s="2">
        <v>306</v>
      </c>
      <c r="K143" s="2" t="s">
        <v>76</v>
      </c>
      <c r="L143" s="2" t="s">
        <v>77</v>
      </c>
      <c r="M143" s="3">
        <v>40191</v>
      </c>
      <c r="N143" s="2" t="s">
        <v>162</v>
      </c>
      <c r="O143" s="2" t="s">
        <v>107</v>
      </c>
      <c r="P143" s="2" t="s">
        <v>107</v>
      </c>
      <c r="Q143" s="2" t="str">
        <f>"011-A/10"</f>
        <v>011-A/10</v>
      </c>
      <c r="R143" s="2" t="s">
        <v>107</v>
      </c>
      <c r="S143" s="2" t="s">
        <v>78</v>
      </c>
      <c r="T143" s="2">
        <v>1</v>
      </c>
      <c r="U143" s="2" t="s">
        <v>79</v>
      </c>
      <c r="V143" s="2">
        <v>1</v>
      </c>
      <c r="W143" s="2" t="s">
        <v>80</v>
      </c>
      <c r="X143" s="2">
        <v>5</v>
      </c>
      <c r="Y143" s="2" t="s">
        <v>82</v>
      </c>
      <c r="Z143" s="2">
        <v>1</v>
      </c>
      <c r="AA143" s="2" t="s">
        <v>82</v>
      </c>
      <c r="AB143" s="2">
        <v>6</v>
      </c>
      <c r="AC143" s="2" t="s">
        <v>83</v>
      </c>
      <c r="AD143" s="3">
        <v>40191</v>
      </c>
      <c r="AE143" s="4">
        <v>0.43402777777777773</v>
      </c>
      <c r="AF143" s="3">
        <v>40191</v>
      </c>
      <c r="AG143" s="4">
        <v>0.50694444444444442</v>
      </c>
      <c r="AH143" s="2">
        <v>2</v>
      </c>
      <c r="AI143" s="2" t="s">
        <v>84</v>
      </c>
      <c r="AJ143" s="2">
        <v>12</v>
      </c>
      <c r="AK143" s="2" t="s">
        <v>85</v>
      </c>
      <c r="AL143" s="2">
        <v>12</v>
      </c>
      <c r="AM143" s="2" t="s">
        <v>86</v>
      </c>
      <c r="AN143" s="2" t="s">
        <v>876</v>
      </c>
      <c r="AO143" s="2" t="s">
        <v>107</v>
      </c>
      <c r="AP143" s="2">
        <v>11</v>
      </c>
      <c r="AQ143" s="2" t="s">
        <v>82</v>
      </c>
      <c r="AR143" s="2" t="s">
        <v>82</v>
      </c>
      <c r="AS143" s="2" t="s">
        <v>82</v>
      </c>
      <c r="AT143" s="2" t="s">
        <v>877</v>
      </c>
      <c r="AU143" s="2"/>
      <c r="AV143" s="2"/>
      <c r="AW143" s="2"/>
      <c r="AX143" s="2"/>
      <c r="AY143" s="2">
        <v>41</v>
      </c>
      <c r="AZ143" s="2" t="s">
        <v>82</v>
      </c>
      <c r="BA143" s="2">
        <v>41</v>
      </c>
      <c r="BB143" s="2" t="s">
        <v>82</v>
      </c>
      <c r="BC143" s="2">
        <v>41</v>
      </c>
      <c r="BD143" s="2" t="s">
        <v>82</v>
      </c>
      <c r="BE143" s="2">
        <v>13</v>
      </c>
      <c r="BF143" s="2" t="s">
        <v>108</v>
      </c>
      <c r="BG143" s="2" t="s">
        <v>878</v>
      </c>
      <c r="BH143" s="4">
        <v>0.42708333333333331</v>
      </c>
      <c r="BI143" s="4">
        <v>0.375</v>
      </c>
      <c r="BJ143" s="2">
        <v>13</v>
      </c>
      <c r="BK143" s="2" t="s">
        <v>91</v>
      </c>
      <c r="BL143" s="2" t="s">
        <v>169</v>
      </c>
      <c r="BM143" s="2">
        <v>241</v>
      </c>
      <c r="BN143" s="2" t="s">
        <v>82</v>
      </c>
      <c r="BO143" s="2" t="s">
        <v>82</v>
      </c>
      <c r="BP143" s="2">
        <v>13</v>
      </c>
      <c r="BQ143" s="2" t="s">
        <v>91</v>
      </c>
      <c r="BR143" s="2" t="s">
        <v>185</v>
      </c>
      <c r="BS143" s="3">
        <v>40191</v>
      </c>
      <c r="BT143" s="4">
        <v>0.5543865740740741</v>
      </c>
    </row>
    <row r="144" spans="1:72" x14ac:dyDescent="0.25">
      <c r="A144" s="2">
        <v>206</v>
      </c>
      <c r="B144" s="2">
        <v>2010</v>
      </c>
      <c r="C144" s="2" t="s">
        <v>819</v>
      </c>
      <c r="D144" s="2" t="s">
        <v>73</v>
      </c>
      <c r="E144" s="2"/>
      <c r="F144" s="2">
        <v>451</v>
      </c>
      <c r="G144" s="2" t="s">
        <v>879</v>
      </c>
      <c r="H144" s="2">
        <v>31</v>
      </c>
      <c r="I144" s="2" t="s">
        <v>880</v>
      </c>
      <c r="J144" s="2">
        <v>326</v>
      </c>
      <c r="K144" s="2" t="s">
        <v>881</v>
      </c>
      <c r="L144" s="2" t="s">
        <v>882</v>
      </c>
      <c r="M144" s="3">
        <v>40191</v>
      </c>
      <c r="N144" s="2" t="s">
        <v>821</v>
      </c>
      <c r="O144" s="2" t="s">
        <v>107</v>
      </c>
      <c r="P144" s="2" t="s">
        <v>107</v>
      </c>
      <c r="Q144" s="2" t="str">
        <f>"001/10"</f>
        <v>001/10</v>
      </c>
      <c r="R144" s="2" t="s">
        <v>822</v>
      </c>
      <c r="S144" s="2" t="s">
        <v>107</v>
      </c>
      <c r="T144" s="2">
        <v>1</v>
      </c>
      <c r="U144" s="2" t="s">
        <v>79</v>
      </c>
      <c r="V144" s="2">
        <v>1</v>
      </c>
      <c r="W144" s="2" t="s">
        <v>80</v>
      </c>
      <c r="X144" s="2">
        <v>1</v>
      </c>
      <c r="Y144" s="2" t="s">
        <v>81</v>
      </c>
      <c r="Z144" s="2">
        <v>10</v>
      </c>
      <c r="AA144" s="2" t="s">
        <v>236</v>
      </c>
      <c r="AB144" s="2">
        <v>9</v>
      </c>
      <c r="AC144" s="2" t="s">
        <v>124</v>
      </c>
      <c r="AD144" s="3">
        <v>40191</v>
      </c>
      <c r="AE144" s="4">
        <v>0.5</v>
      </c>
      <c r="AF144" s="2"/>
      <c r="AG144" s="2"/>
      <c r="AH144" s="2">
        <v>4</v>
      </c>
      <c r="AI144" s="2" t="s">
        <v>125</v>
      </c>
      <c r="AJ144" s="2">
        <v>29</v>
      </c>
      <c r="AK144" s="2" t="s">
        <v>227</v>
      </c>
      <c r="AL144" s="2">
        <v>10</v>
      </c>
      <c r="AM144" s="2" t="s">
        <v>200</v>
      </c>
      <c r="AN144" s="2"/>
      <c r="AO144" s="2" t="s">
        <v>883</v>
      </c>
      <c r="AP144" s="2">
        <v>12</v>
      </c>
      <c r="AQ144" s="2" t="s">
        <v>322</v>
      </c>
      <c r="AR144" s="2" t="s">
        <v>824</v>
      </c>
      <c r="AS144" s="2" t="s">
        <v>884</v>
      </c>
      <c r="AT144" s="2" t="s">
        <v>885</v>
      </c>
      <c r="AU144" s="2"/>
      <c r="AV144" s="2"/>
      <c r="AW144" s="2"/>
      <c r="AX144" s="2"/>
      <c r="AY144" s="2">
        <v>41</v>
      </c>
      <c r="AZ144" s="2" t="s">
        <v>82</v>
      </c>
      <c r="BA144" s="2">
        <v>41</v>
      </c>
      <c r="BB144" s="2" t="s">
        <v>82</v>
      </c>
      <c r="BC144" s="2">
        <v>51</v>
      </c>
      <c r="BD144" s="2" t="s">
        <v>827</v>
      </c>
      <c r="BE144" s="2">
        <v>47</v>
      </c>
      <c r="BF144" s="2" t="s">
        <v>167</v>
      </c>
      <c r="BG144" s="2">
        <v>2459</v>
      </c>
      <c r="BH144" s="4">
        <v>0.9375</v>
      </c>
      <c r="BI144" s="4">
        <v>0.96527777777777779</v>
      </c>
      <c r="BJ144" s="2">
        <v>13</v>
      </c>
      <c r="BK144" s="2" t="s">
        <v>91</v>
      </c>
      <c r="BL144" s="2" t="s">
        <v>185</v>
      </c>
      <c r="BM144" s="2">
        <v>13</v>
      </c>
      <c r="BN144" s="2" t="s">
        <v>91</v>
      </c>
      <c r="BO144" s="2" t="s">
        <v>828</v>
      </c>
      <c r="BP144" s="2">
        <v>13</v>
      </c>
      <c r="BQ144" s="2" t="s">
        <v>91</v>
      </c>
      <c r="BR144" s="2" t="s">
        <v>185</v>
      </c>
      <c r="BS144" s="3">
        <v>40191</v>
      </c>
      <c r="BT144" s="4">
        <v>0.58703703703703702</v>
      </c>
    </row>
    <row r="145" spans="1:72" x14ac:dyDescent="0.25">
      <c r="A145" s="2">
        <v>207</v>
      </c>
      <c r="B145" s="2">
        <v>2010</v>
      </c>
      <c r="C145" s="2" t="s">
        <v>72</v>
      </c>
      <c r="D145" s="2" t="s">
        <v>73</v>
      </c>
      <c r="E145" s="2"/>
      <c r="F145" s="2">
        <v>437</v>
      </c>
      <c r="G145" s="2" t="s">
        <v>633</v>
      </c>
      <c r="H145" s="2">
        <v>5</v>
      </c>
      <c r="I145" s="2" t="s">
        <v>634</v>
      </c>
      <c r="J145" s="2">
        <v>318</v>
      </c>
      <c r="K145" s="2" t="s">
        <v>635</v>
      </c>
      <c r="L145" s="2" t="s">
        <v>636</v>
      </c>
      <c r="M145" s="3">
        <v>40191</v>
      </c>
      <c r="N145" s="2" t="s">
        <v>886</v>
      </c>
      <c r="O145" s="2" t="s">
        <v>116</v>
      </c>
      <c r="P145" s="2"/>
      <c r="Q145" s="2" t="str">
        <f>"03/10 PSA"</f>
        <v>03/10 PSA</v>
      </c>
      <c r="R145" s="2" t="s">
        <v>116</v>
      </c>
      <c r="S145" s="2" t="s">
        <v>116</v>
      </c>
      <c r="T145" s="2">
        <v>1</v>
      </c>
      <c r="U145" s="2" t="s">
        <v>79</v>
      </c>
      <c r="V145" s="2">
        <v>1</v>
      </c>
      <c r="W145" s="2" t="s">
        <v>80</v>
      </c>
      <c r="X145" s="2">
        <v>5</v>
      </c>
      <c r="Y145" s="2" t="s">
        <v>82</v>
      </c>
      <c r="Z145" s="2">
        <v>3</v>
      </c>
      <c r="AA145" s="2" t="s">
        <v>257</v>
      </c>
      <c r="AB145" s="2">
        <v>6</v>
      </c>
      <c r="AC145" s="2" t="s">
        <v>83</v>
      </c>
      <c r="AD145" s="3">
        <v>40190</v>
      </c>
      <c r="AE145" s="2"/>
      <c r="AF145" s="3">
        <v>40191</v>
      </c>
      <c r="AG145" s="4">
        <v>0.4513888888888889</v>
      </c>
      <c r="AH145" s="2">
        <v>4</v>
      </c>
      <c r="AI145" s="2" t="s">
        <v>125</v>
      </c>
      <c r="AJ145" s="2">
        <v>30</v>
      </c>
      <c r="AK145" s="2" t="s">
        <v>258</v>
      </c>
      <c r="AL145" s="2">
        <v>18</v>
      </c>
      <c r="AM145" s="2" t="s">
        <v>82</v>
      </c>
      <c r="AN145" s="2" t="s">
        <v>887</v>
      </c>
      <c r="AO145" s="2" t="s">
        <v>888</v>
      </c>
      <c r="AP145" s="2">
        <v>11</v>
      </c>
      <c r="AQ145" s="2" t="s">
        <v>82</v>
      </c>
      <c r="AR145" s="2"/>
      <c r="AS145" s="2"/>
      <c r="AT145" s="2" t="s">
        <v>889</v>
      </c>
      <c r="AU145" s="2"/>
      <c r="AV145" s="2"/>
      <c r="AW145" s="2"/>
      <c r="AX145" s="2"/>
      <c r="AY145" s="2">
        <v>44</v>
      </c>
      <c r="AZ145" s="2" t="s">
        <v>262</v>
      </c>
      <c r="BA145" s="2">
        <v>44</v>
      </c>
      <c r="BB145" s="2" t="s">
        <v>262</v>
      </c>
      <c r="BC145" s="2">
        <v>44</v>
      </c>
      <c r="BD145" s="2" t="s">
        <v>262</v>
      </c>
      <c r="BE145" s="2">
        <v>44</v>
      </c>
      <c r="BF145" s="2" t="s">
        <v>262</v>
      </c>
      <c r="BG145" s="2"/>
      <c r="BH145" s="2"/>
      <c r="BI145" s="2"/>
      <c r="BJ145" s="2">
        <v>241</v>
      </c>
      <c r="BK145" s="2" t="s">
        <v>82</v>
      </c>
      <c r="BL145" s="2"/>
      <c r="BM145" s="2">
        <v>241</v>
      </c>
      <c r="BN145" s="2" t="s">
        <v>82</v>
      </c>
      <c r="BO145" s="2"/>
      <c r="BP145" s="2">
        <v>241</v>
      </c>
      <c r="BQ145" s="2" t="s">
        <v>82</v>
      </c>
      <c r="BR145" s="2"/>
      <c r="BS145" s="3">
        <v>40191</v>
      </c>
      <c r="BT145" s="4">
        <v>0.59077546296296302</v>
      </c>
    </row>
    <row r="146" spans="1:72" x14ac:dyDescent="0.25">
      <c r="A146" s="2">
        <v>209</v>
      </c>
      <c r="B146" s="2">
        <v>2010</v>
      </c>
      <c r="C146" s="2" t="s">
        <v>72</v>
      </c>
      <c r="D146" s="2" t="s">
        <v>73</v>
      </c>
      <c r="E146" s="2"/>
      <c r="F146" s="2">
        <v>24</v>
      </c>
      <c r="G146" s="2" t="s">
        <v>532</v>
      </c>
      <c r="H146" s="2">
        <v>22</v>
      </c>
      <c r="I146" s="2" t="s">
        <v>75</v>
      </c>
      <c r="J146" s="2">
        <v>300</v>
      </c>
      <c r="K146" s="2" t="s">
        <v>114</v>
      </c>
      <c r="L146" s="2" t="s">
        <v>115</v>
      </c>
      <c r="M146" s="3">
        <v>40191</v>
      </c>
      <c r="N146" s="2"/>
      <c r="O146" s="2"/>
      <c r="P146" s="2"/>
      <c r="Q146" s="2" t="str">
        <f>"026-E/10"</f>
        <v>026-E/10</v>
      </c>
      <c r="R146" s="2" t="s">
        <v>116</v>
      </c>
      <c r="S146" s="2" t="s">
        <v>116</v>
      </c>
      <c r="T146" s="2">
        <v>1</v>
      </c>
      <c r="U146" s="2" t="s">
        <v>79</v>
      </c>
      <c r="V146" s="2">
        <v>1</v>
      </c>
      <c r="W146" s="2" t="s">
        <v>80</v>
      </c>
      <c r="X146" s="2">
        <v>1</v>
      </c>
      <c r="Y146" s="2" t="s">
        <v>81</v>
      </c>
      <c r="Z146" s="2">
        <v>1</v>
      </c>
      <c r="AA146" s="2" t="s">
        <v>82</v>
      </c>
      <c r="AB146" s="2">
        <v>6</v>
      </c>
      <c r="AC146" s="2" t="s">
        <v>83</v>
      </c>
      <c r="AD146" s="3">
        <v>40174</v>
      </c>
      <c r="AE146" s="4">
        <v>0.91666666666666663</v>
      </c>
      <c r="AF146" s="3">
        <v>40191</v>
      </c>
      <c r="AG146" s="4">
        <v>0.41666666666666669</v>
      </c>
      <c r="AH146" s="2">
        <v>2</v>
      </c>
      <c r="AI146" s="2" t="s">
        <v>84</v>
      </c>
      <c r="AJ146" s="2">
        <v>9</v>
      </c>
      <c r="AK146" s="2" t="s">
        <v>103</v>
      </c>
      <c r="AL146" s="2">
        <v>12</v>
      </c>
      <c r="AM146" s="2" t="s">
        <v>86</v>
      </c>
      <c r="AN146" s="2" t="s">
        <v>890</v>
      </c>
      <c r="AO146" s="2"/>
      <c r="AP146" s="2">
        <v>11</v>
      </c>
      <c r="AQ146" s="2" t="s">
        <v>82</v>
      </c>
      <c r="AR146" s="2"/>
      <c r="AS146" s="2"/>
      <c r="AT146" s="2" t="s">
        <v>891</v>
      </c>
      <c r="AU146" s="2"/>
      <c r="AV146" s="2"/>
      <c r="AW146" s="2"/>
      <c r="AX146" s="2"/>
      <c r="AY146" s="2">
        <v>41</v>
      </c>
      <c r="AZ146" s="2" t="s">
        <v>82</v>
      </c>
      <c r="BA146" s="2">
        <v>41</v>
      </c>
      <c r="BB146" s="2" t="s">
        <v>82</v>
      </c>
      <c r="BC146" s="2">
        <v>41</v>
      </c>
      <c r="BD146" s="2" t="s">
        <v>82</v>
      </c>
      <c r="BE146" s="2">
        <v>41</v>
      </c>
      <c r="BF146" s="2" t="s">
        <v>82</v>
      </c>
      <c r="BG146" s="2"/>
      <c r="BH146" s="2"/>
      <c r="BI146" s="2"/>
      <c r="BJ146" s="2">
        <v>241</v>
      </c>
      <c r="BK146" s="2" t="s">
        <v>82</v>
      </c>
      <c r="BL146" s="2"/>
      <c r="BM146" s="2">
        <v>241</v>
      </c>
      <c r="BN146" s="2" t="s">
        <v>82</v>
      </c>
      <c r="BO146" s="2"/>
      <c r="BP146" s="2">
        <v>241</v>
      </c>
      <c r="BQ146" s="2" t="s">
        <v>82</v>
      </c>
      <c r="BR146" s="2"/>
      <c r="BS146" s="3">
        <v>40191</v>
      </c>
      <c r="BT146" s="4">
        <v>0.6306828703703703</v>
      </c>
    </row>
    <row r="147" spans="1:72" x14ac:dyDescent="0.25">
      <c r="A147" s="2">
        <v>213</v>
      </c>
      <c r="B147" s="2">
        <v>2010</v>
      </c>
      <c r="C147" s="2" t="s">
        <v>72</v>
      </c>
      <c r="D147" s="2" t="s">
        <v>73</v>
      </c>
      <c r="E147" s="2"/>
      <c r="F147" s="2">
        <v>419</v>
      </c>
      <c r="G147" s="2" t="s">
        <v>74</v>
      </c>
      <c r="H147" s="2">
        <v>22</v>
      </c>
      <c r="I147" s="2" t="s">
        <v>75</v>
      </c>
      <c r="J147" s="2">
        <v>306</v>
      </c>
      <c r="K147" s="2" t="s">
        <v>76</v>
      </c>
      <c r="L147" s="2" t="s">
        <v>77</v>
      </c>
      <c r="M147" s="3">
        <v>40191</v>
      </c>
      <c r="N147" s="2" t="s">
        <v>162</v>
      </c>
      <c r="O147" s="2" t="s">
        <v>107</v>
      </c>
      <c r="P147" s="2" t="s">
        <v>107</v>
      </c>
      <c r="Q147" s="2" t="str">
        <f>"012-A/10"</f>
        <v>012-A/10</v>
      </c>
      <c r="R147" s="2" t="s">
        <v>107</v>
      </c>
      <c r="S147" s="2" t="s">
        <v>78</v>
      </c>
      <c r="T147" s="2">
        <v>1</v>
      </c>
      <c r="U147" s="2" t="s">
        <v>79</v>
      </c>
      <c r="V147" s="2">
        <v>1</v>
      </c>
      <c r="W147" s="2" t="s">
        <v>80</v>
      </c>
      <c r="X147" s="2">
        <v>5</v>
      </c>
      <c r="Y147" s="2" t="s">
        <v>82</v>
      </c>
      <c r="Z147" s="2">
        <v>1</v>
      </c>
      <c r="AA147" s="2" t="s">
        <v>82</v>
      </c>
      <c r="AB147" s="2">
        <v>6</v>
      </c>
      <c r="AC147" s="2" t="s">
        <v>83</v>
      </c>
      <c r="AD147" s="3">
        <v>40179</v>
      </c>
      <c r="AE147" s="4">
        <v>5.2083333333333336E-2</v>
      </c>
      <c r="AF147" s="3">
        <v>40191</v>
      </c>
      <c r="AG147" s="4">
        <v>0.60416666666666663</v>
      </c>
      <c r="AH147" s="2">
        <v>2</v>
      </c>
      <c r="AI147" s="2" t="s">
        <v>84</v>
      </c>
      <c r="AJ147" s="2">
        <v>12</v>
      </c>
      <c r="AK147" s="2" t="s">
        <v>85</v>
      </c>
      <c r="AL147" s="2">
        <v>12</v>
      </c>
      <c r="AM147" s="2" t="s">
        <v>86</v>
      </c>
      <c r="AN147" s="2" t="s">
        <v>560</v>
      </c>
      <c r="AO147" s="2" t="s">
        <v>892</v>
      </c>
      <c r="AP147" s="2">
        <v>11</v>
      </c>
      <c r="AQ147" s="2" t="s">
        <v>82</v>
      </c>
      <c r="AR147" s="2" t="s">
        <v>82</v>
      </c>
      <c r="AS147" s="2" t="s">
        <v>82</v>
      </c>
      <c r="AT147" s="2" t="s">
        <v>893</v>
      </c>
      <c r="AU147" s="2"/>
      <c r="AV147" s="2"/>
      <c r="AW147" s="2"/>
      <c r="AX147" s="2"/>
      <c r="AY147" s="2">
        <v>41</v>
      </c>
      <c r="AZ147" s="2" t="s">
        <v>82</v>
      </c>
      <c r="BA147" s="2">
        <v>41</v>
      </c>
      <c r="BB147" s="2" t="s">
        <v>82</v>
      </c>
      <c r="BC147" s="2">
        <v>41</v>
      </c>
      <c r="BD147" s="2" t="s">
        <v>82</v>
      </c>
      <c r="BE147" s="2">
        <v>13</v>
      </c>
      <c r="BF147" s="2" t="s">
        <v>108</v>
      </c>
      <c r="BG147" s="2" t="s">
        <v>894</v>
      </c>
      <c r="BH147" s="4">
        <v>0.99305555555555547</v>
      </c>
      <c r="BI147" s="4">
        <v>0.82638888888888884</v>
      </c>
      <c r="BJ147" s="2">
        <v>13</v>
      </c>
      <c r="BK147" s="2" t="s">
        <v>91</v>
      </c>
      <c r="BL147" s="2" t="s">
        <v>895</v>
      </c>
      <c r="BM147" s="2">
        <v>241</v>
      </c>
      <c r="BN147" s="2" t="s">
        <v>82</v>
      </c>
      <c r="BO147" s="2" t="s">
        <v>82</v>
      </c>
      <c r="BP147" s="2">
        <v>13</v>
      </c>
      <c r="BQ147" s="2" t="s">
        <v>91</v>
      </c>
      <c r="BR147" s="2" t="s">
        <v>185</v>
      </c>
      <c r="BS147" s="3">
        <v>40191</v>
      </c>
      <c r="BT147" s="4">
        <v>0.67995370370370367</v>
      </c>
    </row>
    <row r="148" spans="1:72" x14ac:dyDescent="0.25">
      <c r="A148" s="2">
        <v>217</v>
      </c>
      <c r="B148" s="2">
        <v>2010</v>
      </c>
      <c r="C148" s="2" t="s">
        <v>121</v>
      </c>
      <c r="D148" s="2" t="s">
        <v>122</v>
      </c>
      <c r="E148" s="2"/>
      <c r="F148" s="2">
        <v>1</v>
      </c>
      <c r="G148" s="2" t="s">
        <v>82</v>
      </c>
      <c r="H148" s="2">
        <v>1</v>
      </c>
      <c r="I148" s="2" t="s">
        <v>82</v>
      </c>
      <c r="J148" s="2">
        <v>1</v>
      </c>
      <c r="K148" s="2" t="s">
        <v>107</v>
      </c>
      <c r="L148" s="2" t="s">
        <v>107</v>
      </c>
      <c r="M148" s="3">
        <v>40191</v>
      </c>
      <c r="N148" s="2"/>
      <c r="O148" s="2" t="s">
        <v>107</v>
      </c>
      <c r="P148" s="2" t="s">
        <v>107</v>
      </c>
      <c r="Q148" s="2" t="str">
        <f>""</f>
        <v/>
      </c>
      <c r="R148" s="2"/>
      <c r="S148" s="2"/>
      <c r="T148" s="2">
        <v>2</v>
      </c>
      <c r="U148" s="2" t="s">
        <v>123</v>
      </c>
      <c r="V148" s="2">
        <v>1</v>
      </c>
      <c r="W148" s="2" t="s">
        <v>80</v>
      </c>
      <c r="X148" s="2">
        <v>5</v>
      </c>
      <c r="Y148" s="2" t="s">
        <v>82</v>
      </c>
      <c r="Z148" s="2">
        <v>1</v>
      </c>
      <c r="AA148" s="2" t="s">
        <v>82</v>
      </c>
      <c r="AB148" s="2">
        <v>9</v>
      </c>
      <c r="AC148" s="2" t="s">
        <v>124</v>
      </c>
      <c r="AD148" s="3">
        <v>40191</v>
      </c>
      <c r="AE148" s="4">
        <v>0.90138888888888891</v>
      </c>
      <c r="AF148" s="2"/>
      <c r="AG148" s="2"/>
      <c r="AH148" s="2">
        <v>3</v>
      </c>
      <c r="AI148" s="2" t="s">
        <v>214</v>
      </c>
      <c r="AJ148" s="2">
        <v>23</v>
      </c>
      <c r="AK148" s="2" t="s">
        <v>851</v>
      </c>
      <c r="AL148" s="2">
        <v>18</v>
      </c>
      <c r="AM148" s="2" t="s">
        <v>82</v>
      </c>
      <c r="AN148" s="2" t="s">
        <v>230</v>
      </c>
      <c r="AO148" s="2"/>
      <c r="AP148" s="2">
        <v>11</v>
      </c>
      <c r="AQ148" s="2" t="s">
        <v>82</v>
      </c>
      <c r="AR148" s="2"/>
      <c r="AS148" s="2"/>
      <c r="AT148" s="2" t="s">
        <v>896</v>
      </c>
      <c r="AU148" s="2"/>
      <c r="AV148" s="2"/>
      <c r="AW148" s="2"/>
      <c r="AX148" s="2"/>
      <c r="AY148" s="2">
        <v>1</v>
      </c>
      <c r="AZ148" s="2" t="s">
        <v>107</v>
      </c>
      <c r="BA148" s="2">
        <v>1</v>
      </c>
      <c r="BB148" s="2" t="s">
        <v>107</v>
      </c>
      <c r="BC148" s="2">
        <v>1</v>
      </c>
      <c r="BD148" s="2" t="s">
        <v>107</v>
      </c>
      <c r="BE148" s="2">
        <v>42</v>
      </c>
      <c r="BF148" s="2" t="s">
        <v>182</v>
      </c>
      <c r="BG148" s="2" t="s">
        <v>853</v>
      </c>
      <c r="BH148" s="4">
        <v>0.97222222222222221</v>
      </c>
      <c r="BI148" s="4">
        <v>0.90138888888888891</v>
      </c>
      <c r="BJ148" s="2">
        <v>13</v>
      </c>
      <c r="BK148" s="2" t="s">
        <v>91</v>
      </c>
      <c r="BL148" s="2" t="s">
        <v>854</v>
      </c>
      <c r="BM148" s="2">
        <v>242</v>
      </c>
      <c r="BN148" s="2" t="s">
        <v>107</v>
      </c>
      <c r="BO148" s="2"/>
      <c r="BP148" s="2">
        <v>13</v>
      </c>
      <c r="BQ148" s="2" t="s">
        <v>91</v>
      </c>
      <c r="BR148" s="2" t="s">
        <v>185</v>
      </c>
      <c r="BS148" s="3">
        <v>40191</v>
      </c>
      <c r="BT148" s="4">
        <v>0.94409722222222225</v>
      </c>
    </row>
    <row r="149" spans="1:72" x14ac:dyDescent="0.25">
      <c r="A149" s="2">
        <v>219</v>
      </c>
      <c r="B149" s="2">
        <v>2010</v>
      </c>
      <c r="C149" s="2" t="s">
        <v>72</v>
      </c>
      <c r="D149" s="2" t="s">
        <v>73</v>
      </c>
      <c r="E149" s="2"/>
      <c r="F149" s="2">
        <v>193</v>
      </c>
      <c r="G149" s="2" t="s">
        <v>897</v>
      </c>
      <c r="H149" s="2">
        <v>22</v>
      </c>
      <c r="I149" s="2" t="s">
        <v>75</v>
      </c>
      <c r="J149" s="2">
        <v>301</v>
      </c>
      <c r="K149" s="2" t="s">
        <v>153</v>
      </c>
      <c r="L149" s="2" t="s">
        <v>154</v>
      </c>
      <c r="M149" s="3">
        <v>40192</v>
      </c>
      <c r="N149" s="2" t="s">
        <v>898</v>
      </c>
      <c r="O149" s="2" t="s">
        <v>82</v>
      </c>
      <c r="P149" s="2" t="s">
        <v>82</v>
      </c>
      <c r="Q149" s="2" t="str">
        <f>"0013-A/10"</f>
        <v>0013-A/10</v>
      </c>
      <c r="R149" s="2" t="s">
        <v>82</v>
      </c>
      <c r="S149" s="2" t="s">
        <v>899</v>
      </c>
      <c r="T149" s="2">
        <v>1</v>
      </c>
      <c r="U149" s="2" t="s">
        <v>79</v>
      </c>
      <c r="V149" s="2">
        <v>1</v>
      </c>
      <c r="W149" s="2" t="s">
        <v>80</v>
      </c>
      <c r="X149" s="2">
        <v>1</v>
      </c>
      <c r="Y149" s="2" t="s">
        <v>81</v>
      </c>
      <c r="Z149" s="2">
        <v>1</v>
      </c>
      <c r="AA149" s="2" t="s">
        <v>82</v>
      </c>
      <c r="AB149" s="2">
        <v>6</v>
      </c>
      <c r="AC149" s="2" t="s">
        <v>83</v>
      </c>
      <c r="AD149" s="3">
        <v>40049</v>
      </c>
      <c r="AE149" s="4">
        <v>0.39583333333333331</v>
      </c>
      <c r="AF149" s="3">
        <v>40191</v>
      </c>
      <c r="AG149" s="4">
        <v>0.91666666666666663</v>
      </c>
      <c r="AH149" s="2">
        <v>2</v>
      </c>
      <c r="AI149" s="2" t="s">
        <v>84</v>
      </c>
      <c r="AJ149" s="2">
        <v>12</v>
      </c>
      <c r="AK149" s="2" t="s">
        <v>85</v>
      </c>
      <c r="AL149" s="2">
        <v>10</v>
      </c>
      <c r="AM149" s="2" t="s">
        <v>200</v>
      </c>
      <c r="AN149" s="2" t="s">
        <v>107</v>
      </c>
      <c r="AO149" s="2" t="s">
        <v>107</v>
      </c>
      <c r="AP149" s="2">
        <v>11</v>
      </c>
      <c r="AQ149" s="2" t="s">
        <v>82</v>
      </c>
      <c r="AR149" s="2" t="s">
        <v>82</v>
      </c>
      <c r="AS149" s="2" t="s">
        <v>82</v>
      </c>
      <c r="AT149" s="2" t="s">
        <v>900</v>
      </c>
      <c r="AU149" s="2"/>
      <c r="AV149" s="2"/>
      <c r="AW149" s="2"/>
      <c r="AX149" s="2"/>
      <c r="AY149" s="2">
        <v>41</v>
      </c>
      <c r="AZ149" s="2" t="s">
        <v>82</v>
      </c>
      <c r="BA149" s="2">
        <v>41</v>
      </c>
      <c r="BB149" s="2" t="s">
        <v>82</v>
      </c>
      <c r="BC149" s="2">
        <v>10</v>
      </c>
      <c r="BD149" s="2" t="s">
        <v>901</v>
      </c>
      <c r="BE149" s="2">
        <v>10</v>
      </c>
      <c r="BF149" s="2" t="s">
        <v>901</v>
      </c>
      <c r="BG149" s="2" t="s">
        <v>902</v>
      </c>
      <c r="BH149" s="4">
        <v>0.46875</v>
      </c>
      <c r="BI149" s="4">
        <v>0.4375</v>
      </c>
      <c r="BJ149" s="2">
        <v>13</v>
      </c>
      <c r="BK149" s="2" t="s">
        <v>91</v>
      </c>
      <c r="BL149" s="2" t="s">
        <v>185</v>
      </c>
      <c r="BM149" s="2">
        <v>241</v>
      </c>
      <c r="BN149" s="2" t="s">
        <v>82</v>
      </c>
      <c r="BO149" s="2" t="s">
        <v>82</v>
      </c>
      <c r="BP149" s="2">
        <v>229</v>
      </c>
      <c r="BQ149" s="2" t="s">
        <v>300</v>
      </c>
      <c r="BR149" s="2" t="s">
        <v>573</v>
      </c>
      <c r="BS149" s="3">
        <v>40192</v>
      </c>
      <c r="BT149" s="4">
        <v>7.2013888888888891E-2</v>
      </c>
    </row>
    <row r="150" spans="1:72" x14ac:dyDescent="0.25">
      <c r="A150" s="2">
        <v>221</v>
      </c>
      <c r="B150" s="2">
        <v>2010</v>
      </c>
      <c r="C150" s="2" t="s">
        <v>594</v>
      </c>
      <c r="D150" s="2" t="s">
        <v>122</v>
      </c>
      <c r="E150" s="2"/>
      <c r="F150" s="2">
        <v>1</v>
      </c>
      <c r="G150" s="2" t="s">
        <v>82</v>
      </c>
      <c r="H150" s="2">
        <v>1</v>
      </c>
      <c r="I150" s="2" t="s">
        <v>82</v>
      </c>
      <c r="J150" s="2">
        <v>1</v>
      </c>
      <c r="K150" s="2" t="s">
        <v>107</v>
      </c>
      <c r="L150" s="2" t="s">
        <v>107</v>
      </c>
      <c r="M150" s="3">
        <v>40192</v>
      </c>
      <c r="N150" s="2"/>
      <c r="O150" s="2"/>
      <c r="P150" s="2"/>
      <c r="Q150" s="2" t="str">
        <f>""</f>
        <v/>
      </c>
      <c r="R150" s="2"/>
      <c r="S150" s="2"/>
      <c r="T150" s="2">
        <v>1</v>
      </c>
      <c r="U150" s="2" t="s">
        <v>79</v>
      </c>
      <c r="V150" s="2">
        <v>1</v>
      </c>
      <c r="W150" s="2" t="s">
        <v>80</v>
      </c>
      <c r="X150" s="2">
        <v>1</v>
      </c>
      <c r="Y150" s="2" t="s">
        <v>81</v>
      </c>
      <c r="Z150" s="2">
        <v>1</v>
      </c>
      <c r="AA150" s="2" t="s">
        <v>82</v>
      </c>
      <c r="AB150" s="2">
        <v>9</v>
      </c>
      <c r="AC150" s="2" t="s">
        <v>124</v>
      </c>
      <c r="AD150" s="3">
        <v>40192</v>
      </c>
      <c r="AE150" s="4">
        <v>0.30555555555555552</v>
      </c>
      <c r="AF150" s="2"/>
      <c r="AG150" s="2"/>
      <c r="AH150" s="2">
        <v>6</v>
      </c>
      <c r="AI150" s="2" t="s">
        <v>197</v>
      </c>
      <c r="AJ150" s="2">
        <v>54</v>
      </c>
      <c r="AK150" s="2" t="s">
        <v>348</v>
      </c>
      <c r="AL150" s="2">
        <v>18</v>
      </c>
      <c r="AM150" s="2" t="s">
        <v>82</v>
      </c>
      <c r="AN150" s="2" t="s">
        <v>595</v>
      </c>
      <c r="AO150" s="2" t="s">
        <v>200</v>
      </c>
      <c r="AP150" s="2">
        <v>12</v>
      </c>
      <c r="AQ150" s="2" t="s">
        <v>322</v>
      </c>
      <c r="AR150" s="2" t="s">
        <v>596</v>
      </c>
      <c r="AS150" s="2" t="s">
        <v>596</v>
      </c>
      <c r="AT150" s="2" t="s">
        <v>903</v>
      </c>
      <c r="AU150" s="2"/>
      <c r="AV150" s="2"/>
      <c r="AW150" s="2"/>
      <c r="AX150" s="2"/>
      <c r="AY150" s="2">
        <v>1</v>
      </c>
      <c r="AZ150" s="2" t="s">
        <v>107</v>
      </c>
      <c r="BA150" s="2">
        <v>1</v>
      </c>
      <c r="BB150" s="2" t="s">
        <v>107</v>
      </c>
      <c r="BC150" s="2">
        <v>1</v>
      </c>
      <c r="BD150" s="2" t="s">
        <v>107</v>
      </c>
      <c r="BE150" s="2">
        <v>13</v>
      </c>
      <c r="BF150" s="2" t="s">
        <v>108</v>
      </c>
      <c r="BG150" s="2" t="s">
        <v>846</v>
      </c>
      <c r="BH150" s="2"/>
      <c r="BI150" s="4">
        <v>0.30555555555555552</v>
      </c>
      <c r="BJ150" s="2">
        <v>13</v>
      </c>
      <c r="BK150" s="2" t="s">
        <v>91</v>
      </c>
      <c r="BL150" s="2" t="s">
        <v>904</v>
      </c>
      <c r="BM150" s="2">
        <v>242</v>
      </c>
      <c r="BN150" s="2" t="s">
        <v>107</v>
      </c>
      <c r="BO150" s="2" t="s">
        <v>607</v>
      </c>
      <c r="BP150" s="2">
        <v>242</v>
      </c>
      <c r="BQ150" s="2" t="s">
        <v>107</v>
      </c>
      <c r="BR150" s="2" t="s">
        <v>905</v>
      </c>
      <c r="BS150" s="3">
        <v>40192</v>
      </c>
      <c r="BT150" s="4">
        <v>0.36972222222222223</v>
      </c>
    </row>
    <row r="151" spans="1:72" x14ac:dyDescent="0.25">
      <c r="A151" s="2">
        <v>223</v>
      </c>
      <c r="B151" s="2">
        <v>2010</v>
      </c>
      <c r="C151" s="2" t="s">
        <v>906</v>
      </c>
      <c r="D151" s="2" t="s">
        <v>122</v>
      </c>
      <c r="E151" s="2"/>
      <c r="F151" s="2">
        <v>1</v>
      </c>
      <c r="G151" s="2" t="s">
        <v>82</v>
      </c>
      <c r="H151" s="2">
        <v>1</v>
      </c>
      <c r="I151" s="2" t="s">
        <v>82</v>
      </c>
      <c r="J151" s="2">
        <v>1</v>
      </c>
      <c r="K151" s="2" t="s">
        <v>107</v>
      </c>
      <c r="L151" s="2" t="s">
        <v>107</v>
      </c>
      <c r="M151" s="3">
        <v>40192</v>
      </c>
      <c r="N151" s="2"/>
      <c r="O151" s="2" t="s">
        <v>107</v>
      </c>
      <c r="P151" s="2"/>
      <c r="Q151" s="2" t="str">
        <f>"S/D"</f>
        <v>S/D</v>
      </c>
      <c r="R151" s="2" t="s">
        <v>107</v>
      </c>
      <c r="S151" s="2" t="s">
        <v>107</v>
      </c>
      <c r="T151" s="2">
        <v>1</v>
      </c>
      <c r="U151" s="2" t="s">
        <v>79</v>
      </c>
      <c r="V151" s="2">
        <v>1</v>
      </c>
      <c r="W151" s="2" t="s">
        <v>80</v>
      </c>
      <c r="X151" s="2">
        <v>5</v>
      </c>
      <c r="Y151" s="2" t="s">
        <v>82</v>
      </c>
      <c r="Z151" s="2">
        <v>1</v>
      </c>
      <c r="AA151" s="2" t="s">
        <v>82</v>
      </c>
      <c r="AB151" s="2">
        <v>9</v>
      </c>
      <c r="AC151" s="2" t="s">
        <v>124</v>
      </c>
      <c r="AD151" s="3">
        <v>40192</v>
      </c>
      <c r="AE151" s="2"/>
      <c r="AF151" s="3">
        <v>40192</v>
      </c>
      <c r="AG151" s="4">
        <v>0.33333333333333331</v>
      </c>
      <c r="AH151" s="2">
        <v>6</v>
      </c>
      <c r="AI151" s="2" t="s">
        <v>197</v>
      </c>
      <c r="AJ151" s="2">
        <v>54</v>
      </c>
      <c r="AK151" s="2" t="s">
        <v>348</v>
      </c>
      <c r="AL151" s="2">
        <v>18</v>
      </c>
      <c r="AM151" s="2" t="s">
        <v>82</v>
      </c>
      <c r="AN151" s="2" t="s">
        <v>82</v>
      </c>
      <c r="AO151" s="2" t="s">
        <v>82</v>
      </c>
      <c r="AP151" s="2">
        <v>11</v>
      </c>
      <c r="AQ151" s="2" t="s">
        <v>82</v>
      </c>
      <c r="AR151" s="2" t="s">
        <v>82</v>
      </c>
      <c r="AS151" s="2" t="s">
        <v>82</v>
      </c>
      <c r="AT151" s="2" t="s">
        <v>907</v>
      </c>
      <c r="AU151" s="2"/>
      <c r="AV151" s="2"/>
      <c r="AW151" s="2"/>
      <c r="AX151" s="2"/>
      <c r="AY151" s="2">
        <v>1</v>
      </c>
      <c r="AZ151" s="2" t="s">
        <v>107</v>
      </c>
      <c r="BA151" s="2">
        <v>1</v>
      </c>
      <c r="BB151" s="2" t="s">
        <v>107</v>
      </c>
      <c r="BC151" s="2">
        <v>1</v>
      </c>
      <c r="BD151" s="2" t="s">
        <v>107</v>
      </c>
      <c r="BE151" s="2">
        <v>1</v>
      </c>
      <c r="BF151" s="2" t="s">
        <v>107</v>
      </c>
      <c r="BG151" s="2" t="s">
        <v>107</v>
      </c>
      <c r="BH151" s="2"/>
      <c r="BI151" s="2"/>
      <c r="BJ151" s="2">
        <v>242</v>
      </c>
      <c r="BK151" s="2" t="s">
        <v>107</v>
      </c>
      <c r="BL151" s="2" t="s">
        <v>107</v>
      </c>
      <c r="BM151" s="2">
        <v>242</v>
      </c>
      <c r="BN151" s="2" t="s">
        <v>107</v>
      </c>
      <c r="BO151" s="2" t="s">
        <v>107</v>
      </c>
      <c r="BP151" s="2">
        <v>242</v>
      </c>
      <c r="BQ151" s="2" t="s">
        <v>107</v>
      </c>
      <c r="BR151" s="2" t="s">
        <v>107</v>
      </c>
      <c r="BS151" s="3">
        <v>40192</v>
      </c>
      <c r="BT151" s="4">
        <v>0.42812500000000003</v>
      </c>
    </row>
    <row r="152" spans="1:72" x14ac:dyDescent="0.25">
      <c r="A152" s="2">
        <v>224</v>
      </c>
      <c r="B152" s="2">
        <v>2010</v>
      </c>
      <c r="C152" s="2" t="s">
        <v>594</v>
      </c>
      <c r="D152" s="2" t="s">
        <v>122</v>
      </c>
      <c r="E152" s="2" t="s">
        <v>908</v>
      </c>
      <c r="F152" s="2">
        <v>1</v>
      </c>
      <c r="G152" s="2" t="s">
        <v>82</v>
      </c>
      <c r="H152" s="2">
        <v>1</v>
      </c>
      <c r="I152" s="2" t="s">
        <v>82</v>
      </c>
      <c r="J152" s="2">
        <v>1</v>
      </c>
      <c r="K152" s="2" t="s">
        <v>107</v>
      </c>
      <c r="L152" s="2" t="s">
        <v>107</v>
      </c>
      <c r="M152" s="3">
        <v>40192</v>
      </c>
      <c r="N152" s="2"/>
      <c r="O152" s="2"/>
      <c r="P152" s="2"/>
      <c r="Q152" s="2" t="str">
        <f>""</f>
        <v/>
      </c>
      <c r="R152" s="2"/>
      <c r="S152" s="2"/>
      <c r="T152" s="2">
        <v>1</v>
      </c>
      <c r="U152" s="2" t="s">
        <v>79</v>
      </c>
      <c r="V152" s="2">
        <v>1</v>
      </c>
      <c r="W152" s="2" t="s">
        <v>80</v>
      </c>
      <c r="X152" s="2">
        <v>5</v>
      </c>
      <c r="Y152" s="2" t="s">
        <v>82</v>
      </c>
      <c r="Z152" s="2">
        <v>1</v>
      </c>
      <c r="AA152" s="2" t="s">
        <v>82</v>
      </c>
      <c r="AB152" s="2">
        <v>9</v>
      </c>
      <c r="AC152" s="2" t="s">
        <v>124</v>
      </c>
      <c r="AD152" s="3">
        <v>40191</v>
      </c>
      <c r="AE152" s="4">
        <v>0.2986111111111111</v>
      </c>
      <c r="AF152" s="2"/>
      <c r="AG152" s="2"/>
      <c r="AH152" s="2">
        <v>6</v>
      </c>
      <c r="AI152" s="2" t="s">
        <v>197</v>
      </c>
      <c r="AJ152" s="2">
        <v>54</v>
      </c>
      <c r="AK152" s="2" t="s">
        <v>348</v>
      </c>
      <c r="AL152" s="2">
        <v>18</v>
      </c>
      <c r="AM152" s="2" t="s">
        <v>82</v>
      </c>
      <c r="AN152" s="2" t="s">
        <v>595</v>
      </c>
      <c r="AO152" s="2" t="s">
        <v>200</v>
      </c>
      <c r="AP152" s="2">
        <v>12</v>
      </c>
      <c r="AQ152" s="2" t="s">
        <v>322</v>
      </c>
      <c r="AR152" s="2" t="s">
        <v>596</v>
      </c>
      <c r="AS152" s="2" t="s">
        <v>596</v>
      </c>
      <c r="AT152" s="2" t="s">
        <v>845</v>
      </c>
      <c r="AU152" s="2"/>
      <c r="AV152" s="2"/>
      <c r="AW152" s="2"/>
      <c r="AX152" s="2"/>
      <c r="AY152" s="2">
        <v>1</v>
      </c>
      <c r="AZ152" s="2" t="s">
        <v>107</v>
      </c>
      <c r="BA152" s="2">
        <v>1</v>
      </c>
      <c r="BB152" s="2" t="s">
        <v>107</v>
      </c>
      <c r="BC152" s="2">
        <v>1</v>
      </c>
      <c r="BD152" s="2" t="s">
        <v>107</v>
      </c>
      <c r="BE152" s="2">
        <v>13</v>
      </c>
      <c r="BF152" s="2" t="s">
        <v>108</v>
      </c>
      <c r="BG152" s="2" t="s">
        <v>846</v>
      </c>
      <c r="BH152" s="2"/>
      <c r="BI152" s="4">
        <v>0.2986111111111111</v>
      </c>
      <c r="BJ152" s="2">
        <v>13</v>
      </c>
      <c r="BK152" s="2" t="s">
        <v>91</v>
      </c>
      <c r="BL152" s="2" t="s">
        <v>904</v>
      </c>
      <c r="BM152" s="2">
        <v>13</v>
      </c>
      <c r="BN152" s="2" t="s">
        <v>91</v>
      </c>
      <c r="BO152" s="2" t="s">
        <v>353</v>
      </c>
      <c r="BP152" s="2">
        <v>13</v>
      </c>
      <c r="BQ152" s="2" t="s">
        <v>91</v>
      </c>
      <c r="BR152" s="2" t="s">
        <v>534</v>
      </c>
      <c r="BS152" s="3">
        <v>40192</v>
      </c>
      <c r="BT152" s="4">
        <v>0.44813657407407409</v>
      </c>
    </row>
    <row r="153" spans="1:72" x14ac:dyDescent="0.25">
      <c r="A153" s="2">
        <v>225</v>
      </c>
      <c r="B153" s="2">
        <v>2010</v>
      </c>
      <c r="C153" s="2" t="s">
        <v>147</v>
      </c>
      <c r="D153" s="2" t="s">
        <v>73</v>
      </c>
      <c r="E153" s="2"/>
      <c r="F153" s="2">
        <v>1</v>
      </c>
      <c r="G153" s="2" t="s">
        <v>82</v>
      </c>
      <c r="H153" s="2">
        <v>1</v>
      </c>
      <c r="I153" s="2" t="s">
        <v>82</v>
      </c>
      <c r="J153" s="2">
        <v>1</v>
      </c>
      <c r="K153" s="2" t="s">
        <v>107</v>
      </c>
      <c r="L153" s="2" t="s">
        <v>107</v>
      </c>
      <c r="M153" s="3">
        <v>40192</v>
      </c>
      <c r="N153" s="2"/>
      <c r="O153" s="2" t="s">
        <v>107</v>
      </c>
      <c r="P153" s="2" t="s">
        <v>107</v>
      </c>
      <c r="Q153" s="2" t="str">
        <f>""</f>
        <v/>
      </c>
      <c r="R153" s="2"/>
      <c r="S153" s="2"/>
      <c r="T153" s="2">
        <v>2</v>
      </c>
      <c r="U153" s="2" t="s">
        <v>123</v>
      </c>
      <c r="V153" s="2">
        <v>1</v>
      </c>
      <c r="W153" s="2" t="s">
        <v>80</v>
      </c>
      <c r="X153" s="2">
        <v>12</v>
      </c>
      <c r="Y153" s="2" t="s">
        <v>148</v>
      </c>
      <c r="Z153" s="2">
        <v>1</v>
      </c>
      <c r="AA153" s="2" t="s">
        <v>82</v>
      </c>
      <c r="AB153" s="2">
        <v>9</v>
      </c>
      <c r="AC153" s="2" t="s">
        <v>124</v>
      </c>
      <c r="AD153" s="3">
        <v>40191</v>
      </c>
      <c r="AE153" s="4">
        <v>0.375</v>
      </c>
      <c r="AF153" s="3">
        <v>40192</v>
      </c>
      <c r="AG153" s="4">
        <v>0.41666666666666669</v>
      </c>
      <c r="AH153" s="2">
        <v>2</v>
      </c>
      <c r="AI153" s="2" t="s">
        <v>84</v>
      </c>
      <c r="AJ153" s="2">
        <v>12</v>
      </c>
      <c r="AK153" s="2" t="s">
        <v>85</v>
      </c>
      <c r="AL153" s="2">
        <v>10</v>
      </c>
      <c r="AM153" s="2" t="s">
        <v>200</v>
      </c>
      <c r="AN153" s="2" t="s">
        <v>909</v>
      </c>
      <c r="AO153" s="2" t="s">
        <v>82</v>
      </c>
      <c r="AP153" s="2">
        <v>11</v>
      </c>
      <c r="AQ153" s="2" t="s">
        <v>82</v>
      </c>
      <c r="AR153" s="2"/>
      <c r="AS153" s="2"/>
      <c r="AT153" s="2" t="s">
        <v>910</v>
      </c>
      <c r="AU153" s="2"/>
      <c r="AV153" s="2"/>
      <c r="AW153" s="2"/>
      <c r="AX153" s="2"/>
      <c r="AY153" s="2">
        <v>41</v>
      </c>
      <c r="AZ153" s="2" t="s">
        <v>82</v>
      </c>
      <c r="BA153" s="2">
        <v>41</v>
      </c>
      <c r="BB153" s="2" t="s">
        <v>82</v>
      </c>
      <c r="BC153" s="2">
        <v>41</v>
      </c>
      <c r="BD153" s="2" t="s">
        <v>82</v>
      </c>
      <c r="BE153" s="2">
        <v>41</v>
      </c>
      <c r="BF153" s="2" t="s">
        <v>82</v>
      </c>
      <c r="BG153" s="2"/>
      <c r="BH153" s="2"/>
      <c r="BI153" s="2"/>
      <c r="BJ153" s="2">
        <v>241</v>
      </c>
      <c r="BK153" s="2" t="s">
        <v>82</v>
      </c>
      <c r="BL153" s="2"/>
      <c r="BM153" s="2">
        <v>241</v>
      </c>
      <c r="BN153" s="2" t="s">
        <v>82</v>
      </c>
      <c r="BO153" s="2"/>
      <c r="BP153" s="2">
        <v>241</v>
      </c>
      <c r="BQ153" s="2" t="s">
        <v>82</v>
      </c>
      <c r="BR153" s="2"/>
      <c r="BS153" s="3">
        <v>40192</v>
      </c>
      <c r="BT153" s="4">
        <v>0.4689699074074074</v>
      </c>
    </row>
    <row r="154" spans="1:72" x14ac:dyDescent="0.25">
      <c r="A154" s="2">
        <v>228</v>
      </c>
      <c r="B154" s="2">
        <v>2010</v>
      </c>
      <c r="C154" s="2" t="s">
        <v>171</v>
      </c>
      <c r="D154" s="2" t="s">
        <v>73</v>
      </c>
      <c r="E154" s="2"/>
      <c r="F154" s="2">
        <v>4</v>
      </c>
      <c r="G154" s="2" t="s">
        <v>911</v>
      </c>
      <c r="H154" s="2">
        <v>30</v>
      </c>
      <c r="I154" s="2" t="s">
        <v>912</v>
      </c>
      <c r="J154" s="2">
        <v>332</v>
      </c>
      <c r="K154" s="2" t="s">
        <v>913</v>
      </c>
      <c r="L154" s="2" t="s">
        <v>914</v>
      </c>
      <c r="M154" s="3">
        <v>40192</v>
      </c>
      <c r="N154" s="2" t="s">
        <v>915</v>
      </c>
      <c r="O154" s="2" t="s">
        <v>916</v>
      </c>
      <c r="P154" s="2" t="s">
        <v>107</v>
      </c>
      <c r="Q154" s="2" t="str">
        <f>"0001/10"</f>
        <v>0001/10</v>
      </c>
      <c r="R154" s="2"/>
      <c r="S154" s="2" t="s">
        <v>917</v>
      </c>
      <c r="T154" s="2">
        <v>1</v>
      </c>
      <c r="U154" s="2" t="s">
        <v>79</v>
      </c>
      <c r="V154" s="2">
        <v>1</v>
      </c>
      <c r="W154" s="2" t="s">
        <v>80</v>
      </c>
      <c r="X154" s="2">
        <v>1</v>
      </c>
      <c r="Y154" s="2" t="s">
        <v>81</v>
      </c>
      <c r="Z154" s="2">
        <v>10</v>
      </c>
      <c r="AA154" s="2" t="s">
        <v>236</v>
      </c>
      <c r="AB154" s="2">
        <v>1</v>
      </c>
      <c r="AC154" s="2" t="s">
        <v>178</v>
      </c>
      <c r="AD154" s="3">
        <v>40192</v>
      </c>
      <c r="AE154" s="4">
        <v>0.28472222222222221</v>
      </c>
      <c r="AF154" s="2"/>
      <c r="AG154" s="2"/>
      <c r="AH154" s="2">
        <v>5</v>
      </c>
      <c r="AI154" s="2" t="s">
        <v>274</v>
      </c>
      <c r="AJ154" s="2">
        <v>43</v>
      </c>
      <c r="AK154" s="2" t="s">
        <v>918</v>
      </c>
      <c r="AL154" s="2">
        <v>11</v>
      </c>
      <c r="AM154" s="2" t="s">
        <v>137</v>
      </c>
      <c r="AN154" s="2" t="s">
        <v>919</v>
      </c>
      <c r="AO154" s="2" t="s">
        <v>82</v>
      </c>
      <c r="AP154" s="2">
        <v>11</v>
      </c>
      <c r="AQ154" s="2" t="s">
        <v>82</v>
      </c>
      <c r="AR154" s="2" t="s">
        <v>82</v>
      </c>
      <c r="AS154" s="2" t="s">
        <v>82</v>
      </c>
      <c r="AT154" s="2" t="s">
        <v>920</v>
      </c>
      <c r="AU154" s="2"/>
      <c r="AV154" s="2">
        <v>1</v>
      </c>
      <c r="AW154" s="2"/>
      <c r="AX154" s="2"/>
      <c r="AY154" s="2">
        <v>41</v>
      </c>
      <c r="AZ154" s="2" t="s">
        <v>82</v>
      </c>
      <c r="BA154" s="2">
        <v>41</v>
      </c>
      <c r="BB154" s="2" t="s">
        <v>82</v>
      </c>
      <c r="BC154" s="2">
        <v>41</v>
      </c>
      <c r="BD154" s="2" t="s">
        <v>82</v>
      </c>
      <c r="BE154" s="2">
        <v>13</v>
      </c>
      <c r="BF154" s="2" t="s">
        <v>108</v>
      </c>
      <c r="BG154" s="2">
        <v>1793</v>
      </c>
      <c r="BH154" s="2"/>
      <c r="BI154" s="4">
        <v>0.31944444444444448</v>
      </c>
      <c r="BJ154" s="2">
        <v>13</v>
      </c>
      <c r="BK154" s="2" t="s">
        <v>91</v>
      </c>
      <c r="BL154" s="2" t="s">
        <v>82</v>
      </c>
      <c r="BM154" s="2">
        <v>241</v>
      </c>
      <c r="BN154" s="2" t="s">
        <v>82</v>
      </c>
      <c r="BO154" s="2" t="s">
        <v>82</v>
      </c>
      <c r="BP154" s="2">
        <v>13</v>
      </c>
      <c r="BQ154" s="2" t="s">
        <v>91</v>
      </c>
      <c r="BR154" s="2" t="s">
        <v>170</v>
      </c>
      <c r="BS154" s="3">
        <v>40192</v>
      </c>
      <c r="BT154" s="4">
        <v>0.52157407407407408</v>
      </c>
    </row>
    <row r="155" spans="1:72" x14ac:dyDescent="0.25">
      <c r="A155" s="2">
        <v>229</v>
      </c>
      <c r="B155" s="2">
        <v>2010</v>
      </c>
      <c r="C155" s="2" t="s">
        <v>147</v>
      </c>
      <c r="D155" s="2" t="s">
        <v>73</v>
      </c>
      <c r="E155" s="2"/>
      <c r="F155" s="2">
        <v>1</v>
      </c>
      <c r="G155" s="2" t="s">
        <v>82</v>
      </c>
      <c r="H155" s="2">
        <v>1</v>
      </c>
      <c r="I155" s="2" t="s">
        <v>82</v>
      </c>
      <c r="J155" s="2">
        <v>1</v>
      </c>
      <c r="K155" s="2" t="s">
        <v>107</v>
      </c>
      <c r="L155" s="2" t="s">
        <v>107</v>
      </c>
      <c r="M155" s="3">
        <v>40192</v>
      </c>
      <c r="N155" s="2"/>
      <c r="O155" s="2"/>
      <c r="P155" s="2"/>
      <c r="Q155" s="2" t="str">
        <f>""</f>
        <v/>
      </c>
      <c r="R155" s="2"/>
      <c r="S155" s="2"/>
      <c r="T155" s="2">
        <v>2</v>
      </c>
      <c r="U155" s="2" t="s">
        <v>123</v>
      </c>
      <c r="V155" s="2">
        <v>1</v>
      </c>
      <c r="W155" s="2" t="s">
        <v>80</v>
      </c>
      <c r="X155" s="2">
        <v>12</v>
      </c>
      <c r="Y155" s="2" t="s">
        <v>148</v>
      </c>
      <c r="Z155" s="2">
        <v>1</v>
      </c>
      <c r="AA155" s="2" t="s">
        <v>82</v>
      </c>
      <c r="AB155" s="2">
        <v>9</v>
      </c>
      <c r="AC155" s="2" t="s">
        <v>124</v>
      </c>
      <c r="AD155" s="3">
        <v>40191</v>
      </c>
      <c r="AE155" s="4">
        <v>0.41666666666666669</v>
      </c>
      <c r="AF155" s="3">
        <v>40192</v>
      </c>
      <c r="AG155" s="4">
        <v>0.51041666666666663</v>
      </c>
      <c r="AH155" s="2">
        <v>2</v>
      </c>
      <c r="AI155" s="2" t="s">
        <v>84</v>
      </c>
      <c r="AJ155" s="2">
        <v>12</v>
      </c>
      <c r="AK155" s="2" t="s">
        <v>85</v>
      </c>
      <c r="AL155" s="2">
        <v>10</v>
      </c>
      <c r="AM155" s="2" t="s">
        <v>200</v>
      </c>
      <c r="AN155" s="2" t="s">
        <v>909</v>
      </c>
      <c r="AO155" s="2" t="s">
        <v>82</v>
      </c>
      <c r="AP155" s="2">
        <v>11</v>
      </c>
      <c r="AQ155" s="2" t="s">
        <v>82</v>
      </c>
      <c r="AR155" s="2"/>
      <c r="AS155" s="2"/>
      <c r="AT155" s="2" t="s">
        <v>921</v>
      </c>
      <c r="AU155" s="2"/>
      <c r="AV155" s="2"/>
      <c r="AW155" s="2"/>
      <c r="AX155" s="2"/>
      <c r="AY155" s="2">
        <v>41</v>
      </c>
      <c r="AZ155" s="2" t="s">
        <v>82</v>
      </c>
      <c r="BA155" s="2">
        <v>41</v>
      </c>
      <c r="BB155" s="2" t="s">
        <v>82</v>
      </c>
      <c r="BC155" s="2">
        <v>41</v>
      </c>
      <c r="BD155" s="2" t="s">
        <v>82</v>
      </c>
      <c r="BE155" s="2">
        <v>41</v>
      </c>
      <c r="BF155" s="2" t="s">
        <v>82</v>
      </c>
      <c r="BG155" s="2"/>
      <c r="BH155" s="2"/>
      <c r="BI155" s="2"/>
      <c r="BJ155" s="2">
        <v>241</v>
      </c>
      <c r="BK155" s="2" t="s">
        <v>82</v>
      </c>
      <c r="BL155" s="2"/>
      <c r="BM155" s="2">
        <v>241</v>
      </c>
      <c r="BN155" s="2" t="s">
        <v>82</v>
      </c>
      <c r="BO155" s="2"/>
      <c r="BP155" s="2">
        <v>241</v>
      </c>
      <c r="BQ155" s="2" t="s">
        <v>82</v>
      </c>
      <c r="BR155" s="2"/>
      <c r="BS155" s="3">
        <v>40192</v>
      </c>
      <c r="BT155" s="4">
        <v>0.55087962962962966</v>
      </c>
    </row>
    <row r="156" spans="1:72" x14ac:dyDescent="0.25">
      <c r="A156" s="2">
        <v>232</v>
      </c>
      <c r="B156" s="2">
        <v>2010</v>
      </c>
      <c r="C156" s="2" t="s">
        <v>385</v>
      </c>
      <c r="D156" s="2" t="s">
        <v>122</v>
      </c>
      <c r="E156" s="2"/>
      <c r="F156" s="2">
        <v>406</v>
      </c>
      <c r="G156" s="2" t="s">
        <v>922</v>
      </c>
      <c r="H156" s="2">
        <v>12</v>
      </c>
      <c r="I156" s="2" t="s">
        <v>95</v>
      </c>
      <c r="J156" s="2">
        <v>316</v>
      </c>
      <c r="K156" s="2" t="s">
        <v>574</v>
      </c>
      <c r="L156" s="2" t="s">
        <v>575</v>
      </c>
      <c r="M156" s="3">
        <v>40192</v>
      </c>
      <c r="N156" s="2" t="s">
        <v>446</v>
      </c>
      <c r="O156" s="2" t="s">
        <v>807</v>
      </c>
      <c r="P156" s="2">
        <v>11876</v>
      </c>
      <c r="Q156" s="2" t="str">
        <f>"N/C"</f>
        <v>N/C</v>
      </c>
      <c r="R156" s="2" t="s">
        <v>82</v>
      </c>
      <c r="S156" s="2" t="s">
        <v>82</v>
      </c>
      <c r="T156" s="2">
        <v>1</v>
      </c>
      <c r="U156" s="2" t="s">
        <v>79</v>
      </c>
      <c r="V156" s="2">
        <v>1</v>
      </c>
      <c r="W156" s="2" t="s">
        <v>80</v>
      </c>
      <c r="X156" s="2">
        <v>4</v>
      </c>
      <c r="Y156" s="2" t="s">
        <v>463</v>
      </c>
      <c r="Z156" s="2">
        <v>1</v>
      </c>
      <c r="AA156" s="2" t="s">
        <v>82</v>
      </c>
      <c r="AB156" s="2">
        <v>9</v>
      </c>
      <c r="AC156" s="2" t="s">
        <v>124</v>
      </c>
      <c r="AD156" s="3">
        <v>40192</v>
      </c>
      <c r="AE156" s="4">
        <v>0.375</v>
      </c>
      <c r="AF156" s="2"/>
      <c r="AG156" s="2"/>
      <c r="AH156" s="2">
        <v>2</v>
      </c>
      <c r="AI156" s="2" t="s">
        <v>84</v>
      </c>
      <c r="AJ156" s="2">
        <v>12</v>
      </c>
      <c r="AK156" s="2" t="s">
        <v>85</v>
      </c>
      <c r="AL156" s="2">
        <v>18</v>
      </c>
      <c r="AM156" s="2" t="s">
        <v>82</v>
      </c>
      <c r="AN156" s="2"/>
      <c r="AO156" s="2" t="s">
        <v>923</v>
      </c>
      <c r="AP156" s="2">
        <v>11</v>
      </c>
      <c r="AQ156" s="2" t="s">
        <v>82</v>
      </c>
      <c r="AR156" s="2"/>
      <c r="AS156" s="2"/>
      <c r="AT156" s="2" t="s">
        <v>924</v>
      </c>
      <c r="AU156" s="2">
        <v>1</v>
      </c>
      <c r="AV156" s="2"/>
      <c r="AW156" s="2"/>
      <c r="AX156" s="2"/>
      <c r="AY156" s="2">
        <v>41</v>
      </c>
      <c r="AZ156" s="2" t="s">
        <v>82</v>
      </c>
      <c r="BA156" s="2">
        <v>41</v>
      </c>
      <c r="BB156" s="2" t="s">
        <v>82</v>
      </c>
      <c r="BC156" s="2">
        <v>41</v>
      </c>
      <c r="BD156" s="2" t="s">
        <v>82</v>
      </c>
      <c r="BE156" s="2">
        <v>41</v>
      </c>
      <c r="BF156" s="2" t="s">
        <v>82</v>
      </c>
      <c r="BG156" s="2"/>
      <c r="BH156" s="2"/>
      <c r="BI156" s="2"/>
      <c r="BJ156" s="2">
        <v>241</v>
      </c>
      <c r="BK156" s="2" t="s">
        <v>82</v>
      </c>
      <c r="BL156" s="2"/>
      <c r="BM156" s="2">
        <v>241</v>
      </c>
      <c r="BN156" s="2" t="s">
        <v>82</v>
      </c>
      <c r="BO156" s="2"/>
      <c r="BP156" s="2">
        <v>241</v>
      </c>
      <c r="BQ156" s="2" t="s">
        <v>82</v>
      </c>
      <c r="BR156" s="2"/>
      <c r="BS156" s="3">
        <v>40192</v>
      </c>
      <c r="BT156" s="4">
        <v>0.61365740740740737</v>
      </c>
    </row>
    <row r="157" spans="1:72" x14ac:dyDescent="0.25">
      <c r="A157" s="2">
        <v>233</v>
      </c>
      <c r="B157" s="2">
        <v>2010</v>
      </c>
      <c r="C157" s="2" t="s">
        <v>147</v>
      </c>
      <c r="D157" s="2" t="s">
        <v>73</v>
      </c>
      <c r="E157" s="2"/>
      <c r="F157" s="2">
        <v>1</v>
      </c>
      <c r="G157" s="2" t="s">
        <v>82</v>
      </c>
      <c r="H157" s="2">
        <v>1</v>
      </c>
      <c r="I157" s="2" t="s">
        <v>82</v>
      </c>
      <c r="J157" s="2">
        <v>1</v>
      </c>
      <c r="K157" s="2" t="s">
        <v>107</v>
      </c>
      <c r="L157" s="2" t="s">
        <v>107</v>
      </c>
      <c r="M157" s="3">
        <v>40192</v>
      </c>
      <c r="N157" s="2"/>
      <c r="O157" s="2"/>
      <c r="P157" s="2"/>
      <c r="Q157" s="2" t="str">
        <f>""</f>
        <v/>
      </c>
      <c r="R157" s="2"/>
      <c r="S157" s="2"/>
      <c r="T157" s="2">
        <v>2</v>
      </c>
      <c r="U157" s="2" t="s">
        <v>123</v>
      </c>
      <c r="V157" s="2">
        <v>1</v>
      </c>
      <c r="W157" s="2" t="s">
        <v>80</v>
      </c>
      <c r="X157" s="2">
        <v>12</v>
      </c>
      <c r="Y157" s="2" t="s">
        <v>148</v>
      </c>
      <c r="Z157" s="2">
        <v>1</v>
      </c>
      <c r="AA157" s="2" t="s">
        <v>82</v>
      </c>
      <c r="AB157" s="2">
        <v>9</v>
      </c>
      <c r="AC157" s="2" t="s">
        <v>124</v>
      </c>
      <c r="AD157" s="2"/>
      <c r="AE157" s="2"/>
      <c r="AF157" s="3">
        <v>40192</v>
      </c>
      <c r="AG157" s="4">
        <v>0.45833333333333331</v>
      </c>
      <c r="AH157" s="2">
        <v>2</v>
      </c>
      <c r="AI157" s="2" t="s">
        <v>84</v>
      </c>
      <c r="AJ157" s="2">
        <v>11</v>
      </c>
      <c r="AK157" s="2" t="s">
        <v>751</v>
      </c>
      <c r="AL157" s="2">
        <v>19</v>
      </c>
      <c r="AM157" s="2" t="s">
        <v>107</v>
      </c>
      <c r="AN157" s="2" t="s">
        <v>107</v>
      </c>
      <c r="AO157" s="2" t="s">
        <v>925</v>
      </c>
      <c r="AP157" s="2">
        <v>11</v>
      </c>
      <c r="AQ157" s="2" t="s">
        <v>82</v>
      </c>
      <c r="AR157" s="2"/>
      <c r="AS157" s="2"/>
      <c r="AT157" s="2" t="s">
        <v>926</v>
      </c>
      <c r="AU157" s="2"/>
      <c r="AV157" s="2"/>
      <c r="AW157" s="2"/>
      <c r="AX157" s="2"/>
      <c r="AY157" s="2">
        <v>41</v>
      </c>
      <c r="AZ157" s="2" t="s">
        <v>82</v>
      </c>
      <c r="BA157" s="2">
        <v>41</v>
      </c>
      <c r="BB157" s="2" t="s">
        <v>82</v>
      </c>
      <c r="BC157" s="2">
        <v>41</v>
      </c>
      <c r="BD157" s="2" t="s">
        <v>82</v>
      </c>
      <c r="BE157" s="2">
        <v>41</v>
      </c>
      <c r="BF157" s="2" t="s">
        <v>82</v>
      </c>
      <c r="BG157" s="2"/>
      <c r="BH157" s="2"/>
      <c r="BI157" s="2"/>
      <c r="BJ157" s="2">
        <v>241</v>
      </c>
      <c r="BK157" s="2" t="s">
        <v>82</v>
      </c>
      <c r="BL157" s="2"/>
      <c r="BM157" s="2">
        <v>241</v>
      </c>
      <c r="BN157" s="2" t="s">
        <v>82</v>
      </c>
      <c r="BO157" s="2"/>
      <c r="BP157" s="2">
        <v>241</v>
      </c>
      <c r="BQ157" s="2" t="s">
        <v>82</v>
      </c>
      <c r="BR157" s="2"/>
      <c r="BS157" s="3">
        <v>40192</v>
      </c>
      <c r="BT157" s="4">
        <v>0.63023148148148145</v>
      </c>
    </row>
    <row r="158" spans="1:72" x14ac:dyDescent="0.25">
      <c r="A158" s="2">
        <v>234</v>
      </c>
      <c r="B158" s="2">
        <v>2010</v>
      </c>
      <c r="C158" s="2" t="s">
        <v>255</v>
      </c>
      <c r="D158" s="2" t="s">
        <v>73</v>
      </c>
      <c r="E158" s="2"/>
      <c r="F158" s="2">
        <v>2</v>
      </c>
      <c r="G158" s="2" t="s">
        <v>113</v>
      </c>
      <c r="H158" s="2">
        <v>22</v>
      </c>
      <c r="I158" s="2" t="s">
        <v>75</v>
      </c>
      <c r="J158" s="2">
        <v>300</v>
      </c>
      <c r="K158" s="2" t="s">
        <v>114</v>
      </c>
      <c r="L158" s="2" t="s">
        <v>115</v>
      </c>
      <c r="M158" s="3">
        <v>40192</v>
      </c>
      <c r="N158" s="2"/>
      <c r="O158" s="2"/>
      <c r="P158" s="2"/>
      <c r="Q158" s="2" t="str">
        <f>"027-E/10"</f>
        <v>027-E/10</v>
      </c>
      <c r="R158" s="2"/>
      <c r="S158" s="2" t="s">
        <v>480</v>
      </c>
      <c r="T158" s="2">
        <v>1</v>
      </c>
      <c r="U158" s="2" t="s">
        <v>79</v>
      </c>
      <c r="V158" s="2">
        <v>1</v>
      </c>
      <c r="W158" s="2" t="s">
        <v>80</v>
      </c>
      <c r="X158" s="2">
        <v>5</v>
      </c>
      <c r="Y158" s="2" t="s">
        <v>82</v>
      </c>
      <c r="Z158" s="2">
        <v>1</v>
      </c>
      <c r="AA158" s="2" t="s">
        <v>82</v>
      </c>
      <c r="AB158" s="2">
        <v>9</v>
      </c>
      <c r="AC158" s="2" t="s">
        <v>124</v>
      </c>
      <c r="AD158" s="3">
        <v>40192</v>
      </c>
      <c r="AE158" s="4">
        <v>0.5</v>
      </c>
      <c r="AF158" s="3">
        <v>40192</v>
      </c>
      <c r="AG158" s="4">
        <v>0.56944444444444442</v>
      </c>
      <c r="AH158" s="2">
        <v>2</v>
      </c>
      <c r="AI158" s="2" t="s">
        <v>84</v>
      </c>
      <c r="AJ158" s="2">
        <v>9</v>
      </c>
      <c r="AK158" s="2" t="s">
        <v>103</v>
      </c>
      <c r="AL158" s="2">
        <v>12</v>
      </c>
      <c r="AM158" s="2" t="s">
        <v>86</v>
      </c>
      <c r="AN158" s="2" t="s">
        <v>927</v>
      </c>
      <c r="AO158" s="2"/>
      <c r="AP158" s="2">
        <v>11</v>
      </c>
      <c r="AQ158" s="2" t="s">
        <v>82</v>
      </c>
      <c r="AR158" s="2"/>
      <c r="AS158" s="2"/>
      <c r="AT158" s="2" t="s">
        <v>928</v>
      </c>
      <c r="AU158" s="2"/>
      <c r="AV158" s="2"/>
      <c r="AW158" s="2"/>
      <c r="AX158" s="2"/>
      <c r="AY158" s="2">
        <v>41</v>
      </c>
      <c r="AZ158" s="2" t="s">
        <v>82</v>
      </c>
      <c r="BA158" s="2">
        <v>41</v>
      </c>
      <c r="BB158" s="2" t="s">
        <v>82</v>
      </c>
      <c r="BC158" s="2">
        <v>41</v>
      </c>
      <c r="BD158" s="2" t="s">
        <v>82</v>
      </c>
      <c r="BE158" s="2">
        <v>41</v>
      </c>
      <c r="BF158" s="2" t="s">
        <v>82</v>
      </c>
      <c r="BG158" s="2"/>
      <c r="BH158" s="2"/>
      <c r="BI158" s="2"/>
      <c r="BJ158" s="2">
        <v>241</v>
      </c>
      <c r="BK158" s="2" t="s">
        <v>82</v>
      </c>
      <c r="BL158" s="2"/>
      <c r="BM158" s="2">
        <v>241</v>
      </c>
      <c r="BN158" s="2" t="s">
        <v>82</v>
      </c>
      <c r="BO158" s="2"/>
      <c r="BP158" s="2">
        <v>241</v>
      </c>
      <c r="BQ158" s="2" t="s">
        <v>82</v>
      </c>
      <c r="BR158" s="2"/>
      <c r="BS158" s="3">
        <v>40192</v>
      </c>
      <c r="BT158" s="4">
        <v>0.63479166666666664</v>
      </c>
    </row>
    <row r="159" spans="1:72" x14ac:dyDescent="0.25">
      <c r="A159" s="2">
        <v>236</v>
      </c>
      <c r="B159" s="2">
        <v>2010</v>
      </c>
      <c r="C159" s="2" t="s">
        <v>255</v>
      </c>
      <c r="D159" s="2" t="s">
        <v>73</v>
      </c>
      <c r="E159" s="2"/>
      <c r="F159" s="2">
        <v>307</v>
      </c>
      <c r="G159" s="2" t="s">
        <v>929</v>
      </c>
      <c r="H159" s="2">
        <v>2</v>
      </c>
      <c r="I159" s="2" t="s">
        <v>267</v>
      </c>
      <c r="J159" s="2">
        <v>333</v>
      </c>
      <c r="K159" s="2" t="s">
        <v>930</v>
      </c>
      <c r="L159" s="2" t="s">
        <v>931</v>
      </c>
      <c r="M159" s="3">
        <v>40192</v>
      </c>
      <c r="N159" s="2" t="s">
        <v>932</v>
      </c>
      <c r="O159" s="2" t="s">
        <v>933</v>
      </c>
      <c r="P159" s="2" t="s">
        <v>107</v>
      </c>
      <c r="Q159" s="2" t="str">
        <f>"001/10"</f>
        <v>001/10</v>
      </c>
      <c r="R159" s="2" t="s">
        <v>934</v>
      </c>
      <c r="S159" s="2"/>
      <c r="T159" s="2">
        <v>1</v>
      </c>
      <c r="U159" s="2" t="s">
        <v>79</v>
      </c>
      <c r="V159" s="2">
        <v>1</v>
      </c>
      <c r="W159" s="2" t="s">
        <v>80</v>
      </c>
      <c r="X159" s="2">
        <v>5</v>
      </c>
      <c r="Y159" s="2" t="s">
        <v>82</v>
      </c>
      <c r="Z159" s="2">
        <v>1</v>
      </c>
      <c r="AA159" s="2" t="s">
        <v>82</v>
      </c>
      <c r="AB159" s="2">
        <v>9</v>
      </c>
      <c r="AC159" s="2" t="s">
        <v>124</v>
      </c>
      <c r="AD159" s="2"/>
      <c r="AE159" s="2"/>
      <c r="AF159" s="3">
        <v>40192</v>
      </c>
      <c r="AG159" s="4">
        <v>0.5</v>
      </c>
      <c r="AH159" s="2">
        <v>5</v>
      </c>
      <c r="AI159" s="2" t="s">
        <v>274</v>
      </c>
      <c r="AJ159" s="2">
        <v>40</v>
      </c>
      <c r="AK159" s="2" t="s">
        <v>935</v>
      </c>
      <c r="AL159" s="2">
        <v>9</v>
      </c>
      <c r="AM159" s="2" t="s">
        <v>259</v>
      </c>
      <c r="AN159" s="2" t="s">
        <v>936</v>
      </c>
      <c r="AO159" s="2" t="s">
        <v>937</v>
      </c>
      <c r="AP159" s="2">
        <v>11</v>
      </c>
      <c r="AQ159" s="2" t="s">
        <v>82</v>
      </c>
      <c r="AR159" s="2"/>
      <c r="AS159" s="2"/>
      <c r="AT159" s="2" t="s">
        <v>938</v>
      </c>
      <c r="AU159" s="2"/>
      <c r="AV159" s="2"/>
      <c r="AW159" s="2"/>
      <c r="AX159" s="2"/>
      <c r="AY159" s="2">
        <v>42</v>
      </c>
      <c r="AZ159" s="2" t="s">
        <v>182</v>
      </c>
      <c r="BA159" s="2">
        <v>44</v>
      </c>
      <c r="BB159" s="2" t="s">
        <v>262</v>
      </c>
      <c r="BC159" s="2">
        <v>44</v>
      </c>
      <c r="BD159" s="2" t="s">
        <v>262</v>
      </c>
      <c r="BE159" s="2">
        <v>1</v>
      </c>
      <c r="BF159" s="2" t="s">
        <v>107</v>
      </c>
      <c r="BG159" s="2"/>
      <c r="BH159" s="2"/>
      <c r="BI159" s="2"/>
      <c r="BJ159" s="2">
        <v>242</v>
      </c>
      <c r="BK159" s="2" t="s">
        <v>107</v>
      </c>
      <c r="BL159" s="2"/>
      <c r="BM159" s="2">
        <v>242</v>
      </c>
      <c r="BN159" s="2" t="s">
        <v>107</v>
      </c>
      <c r="BO159" s="2"/>
      <c r="BP159" s="2">
        <v>242</v>
      </c>
      <c r="BQ159" s="2" t="s">
        <v>107</v>
      </c>
      <c r="BR159" s="2"/>
      <c r="BS159" s="3">
        <v>40192</v>
      </c>
      <c r="BT159" s="4">
        <v>0.65511574074074075</v>
      </c>
    </row>
    <row r="160" spans="1:72" x14ac:dyDescent="0.25">
      <c r="A160" s="2">
        <v>240</v>
      </c>
      <c r="B160" s="2">
        <v>2010</v>
      </c>
      <c r="C160" s="2" t="s">
        <v>72</v>
      </c>
      <c r="D160" s="2" t="s">
        <v>73</v>
      </c>
      <c r="E160" s="2"/>
      <c r="F160" s="2">
        <v>419</v>
      </c>
      <c r="G160" s="2" t="s">
        <v>74</v>
      </c>
      <c r="H160" s="2">
        <v>22</v>
      </c>
      <c r="I160" s="2" t="s">
        <v>75</v>
      </c>
      <c r="J160" s="2">
        <v>305</v>
      </c>
      <c r="K160" s="2" t="s">
        <v>160</v>
      </c>
      <c r="L160" s="2" t="s">
        <v>161</v>
      </c>
      <c r="M160" s="3">
        <v>40192</v>
      </c>
      <c r="N160" s="2" t="s">
        <v>162</v>
      </c>
      <c r="O160" s="2" t="s">
        <v>107</v>
      </c>
      <c r="P160" s="2" t="s">
        <v>107</v>
      </c>
      <c r="Q160" s="2" t="str">
        <f>"014-A/10"</f>
        <v>014-A/10</v>
      </c>
      <c r="R160" s="2" t="s">
        <v>107</v>
      </c>
      <c r="S160" s="2" t="s">
        <v>78</v>
      </c>
      <c r="T160" s="2">
        <v>1</v>
      </c>
      <c r="U160" s="2" t="s">
        <v>79</v>
      </c>
      <c r="V160" s="2">
        <v>1</v>
      </c>
      <c r="W160" s="2" t="s">
        <v>80</v>
      </c>
      <c r="X160" s="2">
        <v>5</v>
      </c>
      <c r="Y160" s="2" t="s">
        <v>82</v>
      </c>
      <c r="Z160" s="2">
        <v>1</v>
      </c>
      <c r="AA160" s="2" t="s">
        <v>82</v>
      </c>
      <c r="AB160" s="2">
        <v>6</v>
      </c>
      <c r="AC160" s="2" t="s">
        <v>83</v>
      </c>
      <c r="AD160" s="3">
        <v>40192</v>
      </c>
      <c r="AE160" s="4">
        <v>0.52777777777777779</v>
      </c>
      <c r="AF160" s="3">
        <v>40192</v>
      </c>
      <c r="AG160" s="4">
        <v>0.58333333333333337</v>
      </c>
      <c r="AH160" s="2">
        <v>2</v>
      </c>
      <c r="AI160" s="2" t="s">
        <v>84</v>
      </c>
      <c r="AJ160" s="2">
        <v>12</v>
      </c>
      <c r="AK160" s="2" t="s">
        <v>85</v>
      </c>
      <c r="AL160" s="2">
        <v>18</v>
      </c>
      <c r="AM160" s="2" t="s">
        <v>82</v>
      </c>
      <c r="AN160" s="2" t="s">
        <v>939</v>
      </c>
      <c r="AO160" s="2" t="s">
        <v>940</v>
      </c>
      <c r="AP160" s="2">
        <v>11</v>
      </c>
      <c r="AQ160" s="2" t="s">
        <v>82</v>
      </c>
      <c r="AR160" s="2" t="s">
        <v>82</v>
      </c>
      <c r="AS160" s="2"/>
      <c r="AT160" s="2" t="s">
        <v>941</v>
      </c>
      <c r="AU160" s="2"/>
      <c r="AV160" s="2"/>
      <c r="AW160" s="2"/>
      <c r="AX160" s="2"/>
      <c r="AY160" s="2">
        <v>41</v>
      </c>
      <c r="AZ160" s="2" t="s">
        <v>82</v>
      </c>
      <c r="BA160" s="2">
        <v>41</v>
      </c>
      <c r="BB160" s="2" t="s">
        <v>82</v>
      </c>
      <c r="BC160" s="2">
        <v>41</v>
      </c>
      <c r="BD160" s="2" t="s">
        <v>82</v>
      </c>
      <c r="BE160" s="2">
        <v>4</v>
      </c>
      <c r="BF160" s="2" t="s">
        <v>90</v>
      </c>
      <c r="BG160" s="2" t="s">
        <v>942</v>
      </c>
      <c r="BH160" s="4">
        <v>0.5</v>
      </c>
      <c r="BI160" s="2"/>
      <c r="BJ160" s="2">
        <v>13</v>
      </c>
      <c r="BK160" s="2" t="s">
        <v>91</v>
      </c>
      <c r="BL160" s="2" t="s">
        <v>312</v>
      </c>
      <c r="BM160" s="2">
        <v>241</v>
      </c>
      <c r="BN160" s="2" t="s">
        <v>82</v>
      </c>
      <c r="BO160" s="2" t="s">
        <v>82</v>
      </c>
      <c r="BP160" s="2">
        <v>13</v>
      </c>
      <c r="BQ160" s="2" t="s">
        <v>91</v>
      </c>
      <c r="BR160" s="2" t="s">
        <v>469</v>
      </c>
      <c r="BS160" s="3">
        <v>40192</v>
      </c>
      <c r="BT160" s="4">
        <v>0.92027777777777775</v>
      </c>
    </row>
    <row r="161" spans="1:72" x14ac:dyDescent="0.25">
      <c r="A161" s="2">
        <v>241</v>
      </c>
      <c r="B161" s="2">
        <v>2010</v>
      </c>
      <c r="C161" s="2" t="s">
        <v>196</v>
      </c>
      <c r="D161" s="2" t="s">
        <v>122</v>
      </c>
      <c r="E161" s="2"/>
      <c r="F161" s="2">
        <v>1</v>
      </c>
      <c r="G161" s="2" t="s">
        <v>82</v>
      </c>
      <c r="H161" s="2">
        <v>1</v>
      </c>
      <c r="I161" s="2" t="s">
        <v>82</v>
      </c>
      <c r="J161" s="2">
        <v>1</v>
      </c>
      <c r="K161" s="2" t="s">
        <v>107</v>
      </c>
      <c r="L161" s="2" t="s">
        <v>107</v>
      </c>
      <c r="M161" s="3">
        <v>40192</v>
      </c>
      <c r="N161" s="2"/>
      <c r="O161" s="2"/>
      <c r="P161" s="2"/>
      <c r="Q161" s="2" t="str">
        <f>""</f>
        <v/>
      </c>
      <c r="R161" s="2"/>
      <c r="S161" s="2"/>
      <c r="T161" s="2">
        <v>2</v>
      </c>
      <c r="U161" s="2" t="s">
        <v>123</v>
      </c>
      <c r="V161" s="2">
        <v>1</v>
      </c>
      <c r="W161" s="2" t="s">
        <v>80</v>
      </c>
      <c r="X161" s="2">
        <v>1</v>
      </c>
      <c r="Y161" s="2" t="s">
        <v>81</v>
      </c>
      <c r="Z161" s="2">
        <v>1</v>
      </c>
      <c r="AA161" s="2" t="s">
        <v>82</v>
      </c>
      <c r="AB161" s="2">
        <v>9</v>
      </c>
      <c r="AC161" s="2" t="s">
        <v>124</v>
      </c>
      <c r="AD161" s="3">
        <v>40192</v>
      </c>
      <c r="AE161" s="4">
        <v>0.66666666666666663</v>
      </c>
      <c r="AF161" s="2"/>
      <c r="AG161" s="2"/>
      <c r="AH161" s="2">
        <v>2</v>
      </c>
      <c r="AI161" s="2" t="s">
        <v>84</v>
      </c>
      <c r="AJ161" s="2">
        <v>12</v>
      </c>
      <c r="AK161" s="2" t="s">
        <v>85</v>
      </c>
      <c r="AL161" s="2">
        <v>18</v>
      </c>
      <c r="AM161" s="2" t="s">
        <v>82</v>
      </c>
      <c r="AN161" s="2" t="s">
        <v>107</v>
      </c>
      <c r="AO161" s="2" t="s">
        <v>943</v>
      </c>
      <c r="AP161" s="2">
        <v>11</v>
      </c>
      <c r="AQ161" s="2" t="s">
        <v>82</v>
      </c>
      <c r="AR161" s="2" t="s">
        <v>82</v>
      </c>
      <c r="AS161" s="2" t="s">
        <v>82</v>
      </c>
      <c r="AT161" s="2" t="s">
        <v>944</v>
      </c>
      <c r="AU161" s="2"/>
      <c r="AV161" s="2"/>
      <c r="AW161" s="2"/>
      <c r="AX161" s="2"/>
      <c r="AY161" s="2">
        <v>41</v>
      </c>
      <c r="AZ161" s="2" t="s">
        <v>82</v>
      </c>
      <c r="BA161" s="2">
        <v>41</v>
      </c>
      <c r="BB161" s="2" t="s">
        <v>82</v>
      </c>
      <c r="BC161" s="2">
        <v>41</v>
      </c>
      <c r="BD161" s="2" t="s">
        <v>82</v>
      </c>
      <c r="BE161" s="2">
        <v>41</v>
      </c>
      <c r="BF161" s="2" t="s">
        <v>82</v>
      </c>
      <c r="BG161" s="2"/>
      <c r="BH161" s="2"/>
      <c r="BI161" s="2"/>
      <c r="BJ161" s="2">
        <v>241</v>
      </c>
      <c r="BK161" s="2" t="s">
        <v>82</v>
      </c>
      <c r="BL161" s="2"/>
      <c r="BM161" s="2">
        <v>241</v>
      </c>
      <c r="BN161" s="2" t="s">
        <v>82</v>
      </c>
      <c r="BO161" s="2"/>
      <c r="BP161" s="2">
        <v>241</v>
      </c>
      <c r="BQ161" s="2" t="s">
        <v>82</v>
      </c>
      <c r="BR161" s="2"/>
      <c r="BS161" s="3">
        <v>40192</v>
      </c>
      <c r="BT161" s="4">
        <v>0.93472222222222223</v>
      </c>
    </row>
    <row r="162" spans="1:72" x14ac:dyDescent="0.25">
      <c r="A162" s="2">
        <v>243</v>
      </c>
      <c r="B162" s="2">
        <v>2010</v>
      </c>
      <c r="C162" s="2" t="s">
        <v>255</v>
      </c>
      <c r="D162" s="2" t="s">
        <v>73</v>
      </c>
      <c r="E162" s="2"/>
      <c r="F162" s="2">
        <v>38</v>
      </c>
      <c r="G162" s="2" t="s">
        <v>430</v>
      </c>
      <c r="H162" s="2">
        <v>1</v>
      </c>
      <c r="I162" s="2" t="s">
        <v>82</v>
      </c>
      <c r="J162" s="2">
        <v>334</v>
      </c>
      <c r="K162" s="2" t="s">
        <v>945</v>
      </c>
      <c r="L162" s="2" t="s">
        <v>946</v>
      </c>
      <c r="M162" s="3">
        <v>40192</v>
      </c>
      <c r="N162" s="2" t="s">
        <v>82</v>
      </c>
      <c r="O162" s="2" t="s">
        <v>947</v>
      </c>
      <c r="P162" s="2" t="s">
        <v>107</v>
      </c>
      <c r="Q162" s="2" t="str">
        <f>"04/10"</f>
        <v>04/10</v>
      </c>
      <c r="R162" s="2"/>
      <c r="S162" s="2" t="s">
        <v>947</v>
      </c>
      <c r="T162" s="2">
        <v>1</v>
      </c>
      <c r="U162" s="2" t="s">
        <v>79</v>
      </c>
      <c r="V162" s="2">
        <v>1</v>
      </c>
      <c r="W162" s="2" t="s">
        <v>80</v>
      </c>
      <c r="X162" s="2">
        <v>5</v>
      </c>
      <c r="Y162" s="2" t="s">
        <v>82</v>
      </c>
      <c r="Z162" s="2">
        <v>3</v>
      </c>
      <c r="AA162" s="2" t="s">
        <v>257</v>
      </c>
      <c r="AB162" s="2">
        <v>9</v>
      </c>
      <c r="AC162" s="2" t="s">
        <v>124</v>
      </c>
      <c r="AD162" s="3">
        <v>40192</v>
      </c>
      <c r="AE162" s="4">
        <v>0.86805555555555547</v>
      </c>
      <c r="AF162" s="3">
        <v>40192</v>
      </c>
      <c r="AG162" s="4">
        <v>0.92361111111111116</v>
      </c>
      <c r="AH162" s="2">
        <v>3</v>
      </c>
      <c r="AI162" s="2" t="s">
        <v>214</v>
      </c>
      <c r="AJ162" s="2">
        <v>17</v>
      </c>
      <c r="AK162" s="2" t="s">
        <v>309</v>
      </c>
      <c r="AL162" s="2">
        <v>9</v>
      </c>
      <c r="AM162" s="2" t="s">
        <v>259</v>
      </c>
      <c r="AN162" s="2" t="s">
        <v>948</v>
      </c>
      <c r="AO162" s="2"/>
      <c r="AP162" s="2">
        <v>11</v>
      </c>
      <c r="AQ162" s="2" t="s">
        <v>82</v>
      </c>
      <c r="AR162" s="2"/>
      <c r="AS162" s="2"/>
      <c r="AT162" s="2" t="s">
        <v>949</v>
      </c>
      <c r="AU162" s="2"/>
      <c r="AV162" s="2"/>
      <c r="AW162" s="2"/>
      <c r="AX162" s="2"/>
      <c r="AY162" s="2">
        <v>44</v>
      </c>
      <c r="AZ162" s="2" t="s">
        <v>262</v>
      </c>
      <c r="BA162" s="2">
        <v>44</v>
      </c>
      <c r="BB162" s="2" t="s">
        <v>262</v>
      </c>
      <c r="BC162" s="2">
        <v>44</v>
      </c>
      <c r="BD162" s="2" t="s">
        <v>262</v>
      </c>
      <c r="BE162" s="2">
        <v>41</v>
      </c>
      <c r="BF162" s="2" t="s">
        <v>82</v>
      </c>
      <c r="BG162" s="2"/>
      <c r="BH162" s="2"/>
      <c r="BI162" s="2"/>
      <c r="BJ162" s="2">
        <v>241</v>
      </c>
      <c r="BK162" s="2" t="s">
        <v>82</v>
      </c>
      <c r="BL162" s="2"/>
      <c r="BM162" s="2">
        <v>241</v>
      </c>
      <c r="BN162" s="2" t="s">
        <v>82</v>
      </c>
      <c r="BO162" s="2"/>
      <c r="BP162" s="2">
        <v>241</v>
      </c>
      <c r="BQ162" s="2" t="s">
        <v>82</v>
      </c>
      <c r="BR162" s="2"/>
      <c r="BS162" s="3">
        <v>40192</v>
      </c>
      <c r="BT162" s="4">
        <v>0.97553240740740732</v>
      </c>
    </row>
    <row r="163" spans="1:72" x14ac:dyDescent="0.25">
      <c r="A163" s="2">
        <v>244</v>
      </c>
      <c r="B163" s="2">
        <v>2010</v>
      </c>
      <c r="C163" s="2" t="s">
        <v>594</v>
      </c>
      <c r="D163" s="2" t="s">
        <v>122</v>
      </c>
      <c r="E163" s="2"/>
      <c r="F163" s="2">
        <v>1</v>
      </c>
      <c r="G163" s="2" t="s">
        <v>82</v>
      </c>
      <c r="H163" s="2">
        <v>1</v>
      </c>
      <c r="I163" s="2" t="s">
        <v>82</v>
      </c>
      <c r="J163" s="2">
        <v>1</v>
      </c>
      <c r="K163" s="2" t="s">
        <v>107</v>
      </c>
      <c r="L163" s="2" t="s">
        <v>107</v>
      </c>
      <c r="M163" s="3">
        <v>40192</v>
      </c>
      <c r="N163" s="2"/>
      <c r="O163" s="2"/>
      <c r="P163" s="2"/>
      <c r="Q163" s="2" t="str">
        <f>""</f>
        <v/>
      </c>
      <c r="R163" s="2"/>
      <c r="S163" s="2"/>
      <c r="T163" s="2">
        <v>1</v>
      </c>
      <c r="U163" s="2" t="s">
        <v>79</v>
      </c>
      <c r="V163" s="2">
        <v>1</v>
      </c>
      <c r="W163" s="2" t="s">
        <v>80</v>
      </c>
      <c r="X163" s="2">
        <v>1</v>
      </c>
      <c r="Y163" s="2" t="s">
        <v>81</v>
      </c>
      <c r="Z163" s="2">
        <v>1</v>
      </c>
      <c r="AA163" s="2" t="s">
        <v>82</v>
      </c>
      <c r="AB163" s="2">
        <v>9</v>
      </c>
      <c r="AC163" s="2" t="s">
        <v>124</v>
      </c>
      <c r="AD163" s="3">
        <v>40192</v>
      </c>
      <c r="AE163" s="4">
        <v>0.98263888888888884</v>
      </c>
      <c r="AF163" s="2"/>
      <c r="AG163" s="2"/>
      <c r="AH163" s="2">
        <v>6</v>
      </c>
      <c r="AI163" s="2" t="s">
        <v>197</v>
      </c>
      <c r="AJ163" s="2">
        <v>54</v>
      </c>
      <c r="AK163" s="2" t="s">
        <v>348</v>
      </c>
      <c r="AL163" s="2">
        <v>18</v>
      </c>
      <c r="AM163" s="2" t="s">
        <v>82</v>
      </c>
      <c r="AN163" s="2" t="s">
        <v>595</v>
      </c>
      <c r="AO163" s="2" t="s">
        <v>200</v>
      </c>
      <c r="AP163" s="2">
        <v>11</v>
      </c>
      <c r="AQ163" s="2" t="s">
        <v>82</v>
      </c>
      <c r="AR163" s="2" t="s">
        <v>596</v>
      </c>
      <c r="AS163" s="2" t="s">
        <v>596</v>
      </c>
      <c r="AT163" s="2" t="s">
        <v>950</v>
      </c>
      <c r="AU163" s="2"/>
      <c r="AV163" s="2"/>
      <c r="AW163" s="2"/>
      <c r="AX163" s="2"/>
      <c r="AY163" s="2">
        <v>1</v>
      </c>
      <c r="AZ163" s="2" t="s">
        <v>107</v>
      </c>
      <c r="BA163" s="2">
        <v>1</v>
      </c>
      <c r="BB163" s="2" t="s">
        <v>107</v>
      </c>
      <c r="BC163" s="2">
        <v>1</v>
      </c>
      <c r="BD163" s="2" t="s">
        <v>107</v>
      </c>
      <c r="BE163" s="2">
        <v>4</v>
      </c>
      <c r="BF163" s="2" t="s">
        <v>90</v>
      </c>
      <c r="BG163" s="2" t="s">
        <v>598</v>
      </c>
      <c r="BH163" s="4">
        <v>0.93194444444444446</v>
      </c>
      <c r="BI163" s="4">
        <v>0.98263888888888884</v>
      </c>
      <c r="BJ163" s="2">
        <v>13</v>
      </c>
      <c r="BK163" s="2" t="s">
        <v>91</v>
      </c>
      <c r="BL163" s="2" t="s">
        <v>904</v>
      </c>
      <c r="BM163" s="2">
        <v>242</v>
      </c>
      <c r="BN163" s="2" t="s">
        <v>107</v>
      </c>
      <c r="BO163" s="2" t="s">
        <v>107</v>
      </c>
      <c r="BP163" s="2">
        <v>13</v>
      </c>
      <c r="BQ163" s="2" t="s">
        <v>91</v>
      </c>
      <c r="BR163" s="2" t="s">
        <v>905</v>
      </c>
      <c r="BS163" s="3">
        <v>40192</v>
      </c>
      <c r="BT163" s="4">
        <v>0.98518518518518527</v>
      </c>
    </row>
    <row r="164" spans="1:72" x14ac:dyDescent="0.25">
      <c r="A164" s="2">
        <v>245</v>
      </c>
      <c r="B164" s="2">
        <v>2010</v>
      </c>
      <c r="C164" s="2" t="s">
        <v>255</v>
      </c>
      <c r="D164" s="2" t="s">
        <v>73</v>
      </c>
      <c r="E164" s="2"/>
      <c r="F164" s="2">
        <v>243</v>
      </c>
      <c r="G164" s="2" t="s">
        <v>951</v>
      </c>
      <c r="H164" s="2">
        <v>1</v>
      </c>
      <c r="I164" s="2" t="s">
        <v>82</v>
      </c>
      <c r="J164" s="2">
        <v>282</v>
      </c>
      <c r="K164" s="2" t="s">
        <v>952</v>
      </c>
      <c r="L164" s="2" t="s">
        <v>953</v>
      </c>
      <c r="M164" s="3">
        <v>40193</v>
      </c>
      <c r="N164" s="2" t="s">
        <v>954</v>
      </c>
      <c r="O164" s="2" t="s">
        <v>955</v>
      </c>
      <c r="P164" s="2" t="s">
        <v>107</v>
      </c>
      <c r="Q164" s="2" t="str">
        <f>"015-A/09"</f>
        <v>015-A/09</v>
      </c>
      <c r="R164" s="2" t="s">
        <v>107</v>
      </c>
      <c r="S164" s="2" t="s">
        <v>947</v>
      </c>
      <c r="T164" s="2">
        <v>1</v>
      </c>
      <c r="U164" s="2" t="s">
        <v>79</v>
      </c>
      <c r="V164" s="2">
        <v>1</v>
      </c>
      <c r="W164" s="2" t="s">
        <v>80</v>
      </c>
      <c r="X164" s="2">
        <v>5</v>
      </c>
      <c r="Y164" s="2" t="s">
        <v>82</v>
      </c>
      <c r="Z164" s="2">
        <v>1</v>
      </c>
      <c r="AA164" s="2" t="s">
        <v>82</v>
      </c>
      <c r="AB164" s="2">
        <v>9</v>
      </c>
      <c r="AC164" s="2" t="s">
        <v>124</v>
      </c>
      <c r="AD164" s="3">
        <v>40192</v>
      </c>
      <c r="AE164" s="4">
        <v>0.53125</v>
      </c>
      <c r="AF164" s="3">
        <v>40192</v>
      </c>
      <c r="AG164" s="4">
        <v>0.79166666666666663</v>
      </c>
      <c r="AH164" s="2">
        <v>2</v>
      </c>
      <c r="AI164" s="2" t="s">
        <v>84</v>
      </c>
      <c r="AJ164" s="2">
        <v>12</v>
      </c>
      <c r="AK164" s="2" t="s">
        <v>85</v>
      </c>
      <c r="AL164" s="2">
        <v>18</v>
      </c>
      <c r="AM164" s="2" t="s">
        <v>82</v>
      </c>
      <c r="AN164" s="2" t="s">
        <v>939</v>
      </c>
      <c r="AO164" s="2" t="s">
        <v>956</v>
      </c>
      <c r="AP164" s="2">
        <v>11</v>
      </c>
      <c r="AQ164" s="2" t="s">
        <v>82</v>
      </c>
      <c r="AR164" s="2" t="s">
        <v>82</v>
      </c>
      <c r="AS164" s="2" t="s">
        <v>82</v>
      </c>
      <c r="AT164" s="2" t="s">
        <v>957</v>
      </c>
      <c r="AU164" s="2"/>
      <c r="AV164" s="2"/>
      <c r="AW164" s="2"/>
      <c r="AX164" s="2"/>
      <c r="AY164" s="2">
        <v>41</v>
      </c>
      <c r="AZ164" s="2" t="s">
        <v>82</v>
      </c>
      <c r="BA164" s="2">
        <v>41</v>
      </c>
      <c r="BB164" s="2" t="s">
        <v>82</v>
      </c>
      <c r="BC164" s="2">
        <v>41</v>
      </c>
      <c r="BD164" s="2" t="s">
        <v>82</v>
      </c>
      <c r="BE164" s="2">
        <v>41</v>
      </c>
      <c r="BF164" s="2" t="s">
        <v>82</v>
      </c>
      <c r="BG164" s="2"/>
      <c r="BH164" s="2"/>
      <c r="BI164" s="2"/>
      <c r="BJ164" s="2">
        <v>241</v>
      </c>
      <c r="BK164" s="2" t="s">
        <v>82</v>
      </c>
      <c r="BL164" s="2"/>
      <c r="BM164" s="2">
        <v>241</v>
      </c>
      <c r="BN164" s="2" t="s">
        <v>82</v>
      </c>
      <c r="BO164" s="2"/>
      <c r="BP164" s="2">
        <v>241</v>
      </c>
      <c r="BQ164" s="2" t="s">
        <v>82</v>
      </c>
      <c r="BR164" s="2"/>
      <c r="BS164" s="3">
        <v>40193</v>
      </c>
      <c r="BT164" s="4">
        <v>3.9456018518518522E-2</v>
      </c>
    </row>
    <row r="165" spans="1:72" x14ac:dyDescent="0.25">
      <c r="A165" s="2">
        <v>247</v>
      </c>
      <c r="B165" s="2">
        <v>2010</v>
      </c>
      <c r="C165" s="2" t="s">
        <v>121</v>
      </c>
      <c r="D165" s="2" t="s">
        <v>122</v>
      </c>
      <c r="E165" s="2"/>
      <c r="F165" s="2">
        <v>1</v>
      </c>
      <c r="G165" s="2" t="s">
        <v>82</v>
      </c>
      <c r="H165" s="2">
        <v>1</v>
      </c>
      <c r="I165" s="2" t="s">
        <v>82</v>
      </c>
      <c r="J165" s="2">
        <v>1</v>
      </c>
      <c r="K165" s="2" t="s">
        <v>107</v>
      </c>
      <c r="L165" s="2" t="s">
        <v>107</v>
      </c>
      <c r="M165" s="3">
        <v>40193</v>
      </c>
      <c r="N165" s="2"/>
      <c r="O165" s="2"/>
      <c r="P165" s="2"/>
      <c r="Q165" s="2" t="str">
        <f>""</f>
        <v/>
      </c>
      <c r="R165" s="2"/>
      <c r="S165" s="2"/>
      <c r="T165" s="2">
        <v>2</v>
      </c>
      <c r="U165" s="2" t="s">
        <v>123</v>
      </c>
      <c r="V165" s="2">
        <v>1</v>
      </c>
      <c r="W165" s="2" t="s">
        <v>80</v>
      </c>
      <c r="X165" s="2">
        <v>5</v>
      </c>
      <c r="Y165" s="2" t="s">
        <v>82</v>
      </c>
      <c r="Z165" s="2">
        <v>1</v>
      </c>
      <c r="AA165" s="2" t="s">
        <v>82</v>
      </c>
      <c r="AB165" s="2">
        <v>9</v>
      </c>
      <c r="AC165" s="2" t="s">
        <v>124</v>
      </c>
      <c r="AD165" s="3">
        <v>40192</v>
      </c>
      <c r="AE165" s="4">
        <v>0.38194444444444442</v>
      </c>
      <c r="AF165" s="2"/>
      <c r="AG165" s="2"/>
      <c r="AH165" s="2">
        <v>6</v>
      </c>
      <c r="AI165" s="2" t="s">
        <v>197</v>
      </c>
      <c r="AJ165" s="2">
        <v>46</v>
      </c>
      <c r="AK165" s="2" t="s">
        <v>197</v>
      </c>
      <c r="AL165" s="2">
        <v>18</v>
      </c>
      <c r="AM165" s="2" t="s">
        <v>82</v>
      </c>
      <c r="AN165" s="2" t="s">
        <v>259</v>
      </c>
      <c r="AO165" s="2" t="s">
        <v>230</v>
      </c>
      <c r="AP165" s="2">
        <v>11</v>
      </c>
      <c r="AQ165" s="2" t="s">
        <v>82</v>
      </c>
      <c r="AR165" s="2"/>
      <c r="AS165" s="2"/>
      <c r="AT165" s="2" t="s">
        <v>958</v>
      </c>
      <c r="AU165" s="2"/>
      <c r="AV165" s="2"/>
      <c r="AW165" s="2"/>
      <c r="AX165" s="2"/>
      <c r="AY165" s="2">
        <v>1</v>
      </c>
      <c r="AZ165" s="2" t="s">
        <v>107</v>
      </c>
      <c r="BA165" s="2">
        <v>1</v>
      </c>
      <c r="BB165" s="2" t="s">
        <v>107</v>
      </c>
      <c r="BC165" s="2">
        <v>1</v>
      </c>
      <c r="BD165" s="2" t="s">
        <v>107</v>
      </c>
      <c r="BE165" s="2">
        <v>1</v>
      </c>
      <c r="BF165" s="2" t="s">
        <v>107</v>
      </c>
      <c r="BG165" s="2"/>
      <c r="BH165" s="4">
        <v>0.38194444444444442</v>
      </c>
      <c r="BI165" s="2"/>
      <c r="BJ165" s="2">
        <v>242</v>
      </c>
      <c r="BK165" s="2" t="s">
        <v>107</v>
      </c>
      <c r="BL165" s="2" t="s">
        <v>185</v>
      </c>
      <c r="BM165" s="2">
        <v>242</v>
      </c>
      <c r="BN165" s="2" t="s">
        <v>107</v>
      </c>
      <c r="BO165" s="2"/>
      <c r="BP165" s="2">
        <v>242</v>
      </c>
      <c r="BQ165" s="2" t="s">
        <v>107</v>
      </c>
      <c r="BR165" s="2" t="s">
        <v>204</v>
      </c>
      <c r="BS165" s="3">
        <v>40193</v>
      </c>
      <c r="BT165" s="4">
        <v>6.6087962962962959E-2</v>
      </c>
    </row>
    <row r="166" spans="1:72" x14ac:dyDescent="0.25">
      <c r="A166" s="2">
        <v>248</v>
      </c>
      <c r="B166" s="2">
        <v>2010</v>
      </c>
      <c r="C166" s="2" t="s">
        <v>93</v>
      </c>
      <c r="D166" s="2" t="s">
        <v>73</v>
      </c>
      <c r="E166" s="2"/>
      <c r="F166" s="2">
        <v>390</v>
      </c>
      <c r="G166" s="2" t="s">
        <v>475</v>
      </c>
      <c r="H166" s="2">
        <v>7</v>
      </c>
      <c r="I166" s="2" t="s">
        <v>476</v>
      </c>
      <c r="J166" s="2">
        <v>314</v>
      </c>
      <c r="K166" s="2" t="s">
        <v>477</v>
      </c>
      <c r="L166" s="2" t="s">
        <v>478</v>
      </c>
      <c r="M166" s="3">
        <v>40193</v>
      </c>
      <c r="N166" s="2" t="s">
        <v>479</v>
      </c>
      <c r="O166" s="2"/>
      <c r="P166" s="2"/>
      <c r="Q166" s="2" t="str">
        <f>""</f>
        <v/>
      </c>
      <c r="R166" s="2"/>
      <c r="S166" s="2" t="s">
        <v>602</v>
      </c>
      <c r="T166" s="2">
        <v>1</v>
      </c>
      <c r="U166" s="2" t="s">
        <v>79</v>
      </c>
      <c r="V166" s="2">
        <v>1</v>
      </c>
      <c r="W166" s="2" t="s">
        <v>80</v>
      </c>
      <c r="X166" s="2">
        <v>1</v>
      </c>
      <c r="Y166" s="2" t="s">
        <v>81</v>
      </c>
      <c r="Z166" s="2">
        <v>6</v>
      </c>
      <c r="AA166" s="2" t="s">
        <v>101</v>
      </c>
      <c r="AB166" s="2">
        <v>2</v>
      </c>
      <c r="AC166" s="2" t="s">
        <v>102</v>
      </c>
      <c r="AD166" s="3">
        <v>40192</v>
      </c>
      <c r="AE166" s="4">
        <v>0.5</v>
      </c>
      <c r="AF166" s="2"/>
      <c r="AG166" s="2"/>
      <c r="AH166" s="2">
        <v>2</v>
      </c>
      <c r="AI166" s="2" t="s">
        <v>84</v>
      </c>
      <c r="AJ166" s="2">
        <v>9</v>
      </c>
      <c r="AK166" s="2" t="s">
        <v>103</v>
      </c>
      <c r="AL166" s="2">
        <v>15</v>
      </c>
      <c r="AM166" s="2" t="s">
        <v>104</v>
      </c>
      <c r="AN166" s="2" t="s">
        <v>959</v>
      </c>
      <c r="AO166" s="2"/>
      <c r="AP166" s="2">
        <v>11</v>
      </c>
      <c r="AQ166" s="2" t="s">
        <v>82</v>
      </c>
      <c r="AR166" s="2"/>
      <c r="AS166" s="2"/>
      <c r="AT166" s="2" t="s">
        <v>960</v>
      </c>
      <c r="AU166" s="2">
        <v>1</v>
      </c>
      <c r="AV166" s="2"/>
      <c r="AW166" s="2"/>
      <c r="AX166" s="2"/>
      <c r="AY166" s="2">
        <v>41</v>
      </c>
      <c r="AZ166" s="2" t="s">
        <v>82</v>
      </c>
      <c r="BA166" s="2">
        <v>41</v>
      </c>
      <c r="BB166" s="2" t="s">
        <v>82</v>
      </c>
      <c r="BC166" s="2">
        <v>41</v>
      </c>
      <c r="BD166" s="2" t="s">
        <v>82</v>
      </c>
      <c r="BE166" s="2">
        <v>13</v>
      </c>
      <c r="BF166" s="2" t="s">
        <v>108</v>
      </c>
      <c r="BG166" s="2" t="s">
        <v>961</v>
      </c>
      <c r="BH166" s="2"/>
      <c r="BI166" s="4">
        <v>0.44097222222222227</v>
      </c>
      <c r="BJ166" s="2">
        <v>13</v>
      </c>
      <c r="BK166" s="2" t="s">
        <v>91</v>
      </c>
      <c r="BL166" s="2" t="s">
        <v>185</v>
      </c>
      <c r="BM166" s="2">
        <v>241</v>
      </c>
      <c r="BN166" s="2" t="s">
        <v>82</v>
      </c>
      <c r="BO166" s="2"/>
      <c r="BP166" s="2">
        <v>29</v>
      </c>
      <c r="BQ166" s="2" t="s">
        <v>962</v>
      </c>
      <c r="BR166" s="2" t="s">
        <v>963</v>
      </c>
      <c r="BS166" s="3">
        <v>40193</v>
      </c>
      <c r="BT166" s="4">
        <v>8.3587962962962961E-2</v>
      </c>
    </row>
    <row r="167" spans="1:72" x14ac:dyDescent="0.25">
      <c r="A167" s="2">
        <v>249</v>
      </c>
      <c r="B167" s="2">
        <v>2010</v>
      </c>
      <c r="C167" s="2" t="s">
        <v>72</v>
      </c>
      <c r="D167" s="2" t="s">
        <v>73</v>
      </c>
      <c r="E167" s="2"/>
      <c r="F167" s="2">
        <v>2</v>
      </c>
      <c r="G167" s="2" t="s">
        <v>113</v>
      </c>
      <c r="H167" s="2">
        <v>22</v>
      </c>
      <c r="I167" s="2" t="s">
        <v>75</v>
      </c>
      <c r="J167" s="2">
        <v>300</v>
      </c>
      <c r="K167" s="2" t="s">
        <v>114</v>
      </c>
      <c r="L167" s="2" t="s">
        <v>115</v>
      </c>
      <c r="M167" s="3">
        <v>40193</v>
      </c>
      <c r="N167" s="2"/>
      <c r="O167" s="2"/>
      <c r="P167" s="2"/>
      <c r="Q167" s="2" t="str">
        <f>"028-E/10"</f>
        <v>028-E/10</v>
      </c>
      <c r="R167" s="2"/>
      <c r="S167" s="2" t="s">
        <v>116</v>
      </c>
      <c r="T167" s="2">
        <v>1</v>
      </c>
      <c r="U167" s="2" t="s">
        <v>79</v>
      </c>
      <c r="V167" s="2">
        <v>1</v>
      </c>
      <c r="W167" s="2" t="s">
        <v>80</v>
      </c>
      <c r="X167" s="2">
        <v>5</v>
      </c>
      <c r="Y167" s="2" t="s">
        <v>82</v>
      </c>
      <c r="Z167" s="2">
        <v>1</v>
      </c>
      <c r="AA167" s="2" t="s">
        <v>82</v>
      </c>
      <c r="AB167" s="2">
        <v>6</v>
      </c>
      <c r="AC167" s="2" t="s">
        <v>83</v>
      </c>
      <c r="AD167" s="3">
        <v>40192</v>
      </c>
      <c r="AE167" s="4">
        <v>0.90625</v>
      </c>
      <c r="AF167" s="3">
        <v>40192</v>
      </c>
      <c r="AG167" s="4">
        <v>0.95833333333333337</v>
      </c>
      <c r="AH167" s="2">
        <v>2</v>
      </c>
      <c r="AI167" s="2" t="s">
        <v>84</v>
      </c>
      <c r="AJ167" s="2">
        <v>9</v>
      </c>
      <c r="AK167" s="2" t="s">
        <v>103</v>
      </c>
      <c r="AL167" s="2">
        <v>13</v>
      </c>
      <c r="AM167" s="2" t="s">
        <v>117</v>
      </c>
      <c r="AN167" s="2" t="s">
        <v>964</v>
      </c>
      <c r="AO167" s="2"/>
      <c r="AP167" s="2">
        <v>11</v>
      </c>
      <c r="AQ167" s="2" t="s">
        <v>82</v>
      </c>
      <c r="AR167" s="2"/>
      <c r="AS167" s="2"/>
      <c r="AT167" s="2" t="s">
        <v>965</v>
      </c>
      <c r="AU167" s="2"/>
      <c r="AV167" s="2"/>
      <c r="AW167" s="2"/>
      <c r="AX167" s="2"/>
      <c r="AY167" s="2">
        <v>41</v>
      </c>
      <c r="AZ167" s="2" t="s">
        <v>82</v>
      </c>
      <c r="BA167" s="2">
        <v>41</v>
      </c>
      <c r="BB167" s="2" t="s">
        <v>82</v>
      </c>
      <c r="BC167" s="2">
        <v>41</v>
      </c>
      <c r="BD167" s="2" t="s">
        <v>82</v>
      </c>
      <c r="BE167" s="2">
        <v>9</v>
      </c>
      <c r="BF167" s="2" t="s">
        <v>966</v>
      </c>
      <c r="BG167" s="2" t="s">
        <v>967</v>
      </c>
      <c r="BH167" s="4">
        <v>0.875</v>
      </c>
      <c r="BI167" s="2"/>
      <c r="BJ167" s="2">
        <v>170</v>
      </c>
      <c r="BK167" s="2" t="s">
        <v>968</v>
      </c>
      <c r="BL167" s="2" t="s">
        <v>969</v>
      </c>
      <c r="BM167" s="2">
        <v>241</v>
      </c>
      <c r="BN167" s="2" t="s">
        <v>82</v>
      </c>
      <c r="BO167" s="2"/>
      <c r="BP167" s="2">
        <v>13</v>
      </c>
      <c r="BQ167" s="2" t="s">
        <v>91</v>
      </c>
      <c r="BR167" s="2" t="s">
        <v>185</v>
      </c>
      <c r="BS167" s="3">
        <v>40193</v>
      </c>
      <c r="BT167" s="4">
        <v>0.10306712962962962</v>
      </c>
    </row>
    <row r="168" spans="1:72" x14ac:dyDescent="0.25">
      <c r="A168" s="2">
        <v>250</v>
      </c>
      <c r="B168" s="2">
        <v>2010</v>
      </c>
      <c r="C168" s="2" t="s">
        <v>93</v>
      </c>
      <c r="D168" s="2" t="s">
        <v>73</v>
      </c>
      <c r="E168" s="2"/>
      <c r="F168" s="2">
        <v>390</v>
      </c>
      <c r="G168" s="2" t="s">
        <v>475</v>
      </c>
      <c r="H168" s="2">
        <v>7</v>
      </c>
      <c r="I168" s="2" t="s">
        <v>476</v>
      </c>
      <c r="J168" s="2">
        <v>314</v>
      </c>
      <c r="K168" s="2" t="s">
        <v>477</v>
      </c>
      <c r="L168" s="2" t="s">
        <v>478</v>
      </c>
      <c r="M168" s="3">
        <v>40193</v>
      </c>
      <c r="N168" s="2" t="s">
        <v>479</v>
      </c>
      <c r="O168" s="2"/>
      <c r="P168" s="2"/>
      <c r="Q168" s="2" t="str">
        <f>""</f>
        <v/>
      </c>
      <c r="R168" s="2"/>
      <c r="S168" s="2" t="s">
        <v>602</v>
      </c>
      <c r="T168" s="2">
        <v>1</v>
      </c>
      <c r="U168" s="2" t="s">
        <v>79</v>
      </c>
      <c r="V168" s="2">
        <v>1</v>
      </c>
      <c r="W168" s="2" t="s">
        <v>80</v>
      </c>
      <c r="X168" s="2">
        <v>1</v>
      </c>
      <c r="Y168" s="2" t="s">
        <v>81</v>
      </c>
      <c r="Z168" s="2">
        <v>6</v>
      </c>
      <c r="AA168" s="2" t="s">
        <v>101</v>
      </c>
      <c r="AB168" s="2">
        <v>2</v>
      </c>
      <c r="AC168" s="2" t="s">
        <v>102</v>
      </c>
      <c r="AD168" s="3">
        <v>40192</v>
      </c>
      <c r="AE168" s="4">
        <v>0.91666666666666663</v>
      </c>
      <c r="AF168" s="2"/>
      <c r="AG168" s="2"/>
      <c r="AH168" s="2">
        <v>2</v>
      </c>
      <c r="AI168" s="2" t="s">
        <v>84</v>
      </c>
      <c r="AJ168" s="2">
        <v>9</v>
      </c>
      <c r="AK168" s="2" t="s">
        <v>103</v>
      </c>
      <c r="AL168" s="2">
        <v>14</v>
      </c>
      <c r="AM168" s="2" t="s">
        <v>216</v>
      </c>
      <c r="AN168" s="2" t="s">
        <v>959</v>
      </c>
      <c r="AO168" s="2"/>
      <c r="AP168" s="2">
        <v>11</v>
      </c>
      <c r="AQ168" s="2" t="s">
        <v>82</v>
      </c>
      <c r="AR168" s="2"/>
      <c r="AS168" s="2"/>
      <c r="AT168" s="2" t="s">
        <v>970</v>
      </c>
      <c r="AU168" s="2">
        <v>1</v>
      </c>
      <c r="AV168" s="2"/>
      <c r="AW168" s="2"/>
      <c r="AX168" s="2"/>
      <c r="AY168" s="2">
        <v>41</v>
      </c>
      <c r="AZ168" s="2" t="s">
        <v>82</v>
      </c>
      <c r="BA168" s="2">
        <v>41</v>
      </c>
      <c r="BB168" s="2" t="s">
        <v>82</v>
      </c>
      <c r="BC168" s="2">
        <v>41</v>
      </c>
      <c r="BD168" s="2" t="s">
        <v>82</v>
      </c>
      <c r="BE168" s="2">
        <v>25</v>
      </c>
      <c r="BF168" s="2" t="s">
        <v>358</v>
      </c>
      <c r="BG168" s="2" t="s">
        <v>971</v>
      </c>
      <c r="BH168" s="2"/>
      <c r="BI168" s="4">
        <v>0.94444444444444453</v>
      </c>
      <c r="BJ168" s="2">
        <v>13</v>
      </c>
      <c r="BK168" s="2" t="s">
        <v>91</v>
      </c>
      <c r="BL168" s="2" t="s">
        <v>185</v>
      </c>
      <c r="BM168" s="2">
        <v>241</v>
      </c>
      <c r="BN168" s="2" t="s">
        <v>82</v>
      </c>
      <c r="BO168" s="2"/>
      <c r="BP168" s="2">
        <v>33</v>
      </c>
      <c r="BQ168" s="2" t="s">
        <v>361</v>
      </c>
      <c r="BR168" s="2" t="s">
        <v>783</v>
      </c>
      <c r="BS168" s="3">
        <v>40193</v>
      </c>
      <c r="BT168" s="4">
        <v>0.34726851851851853</v>
      </c>
    </row>
    <row r="169" spans="1:72" x14ac:dyDescent="0.25">
      <c r="A169" s="2">
        <v>254</v>
      </c>
      <c r="B169" s="2">
        <v>2010</v>
      </c>
      <c r="C169" s="2" t="s">
        <v>93</v>
      </c>
      <c r="D169" s="2" t="s">
        <v>122</v>
      </c>
      <c r="E169" s="2" t="s">
        <v>972</v>
      </c>
      <c r="F169" s="2">
        <v>390</v>
      </c>
      <c r="G169" s="2" t="s">
        <v>475</v>
      </c>
      <c r="H169" s="2">
        <v>7</v>
      </c>
      <c r="I169" s="2" t="s">
        <v>476</v>
      </c>
      <c r="J169" s="2">
        <v>314</v>
      </c>
      <c r="K169" s="2" t="s">
        <v>477</v>
      </c>
      <c r="L169" s="2" t="s">
        <v>478</v>
      </c>
      <c r="M169" s="3">
        <v>40193</v>
      </c>
      <c r="N169" s="2" t="s">
        <v>479</v>
      </c>
      <c r="O169" s="2"/>
      <c r="P169" s="2"/>
      <c r="Q169" s="2" t="str">
        <f>""</f>
        <v/>
      </c>
      <c r="R169" s="2" t="s">
        <v>602</v>
      </c>
      <c r="S169" s="2"/>
      <c r="T169" s="2">
        <v>1</v>
      </c>
      <c r="U169" s="2" t="s">
        <v>79</v>
      </c>
      <c r="V169" s="2">
        <v>1</v>
      </c>
      <c r="W169" s="2" t="s">
        <v>80</v>
      </c>
      <c r="X169" s="2">
        <v>1</v>
      </c>
      <c r="Y169" s="2" t="s">
        <v>81</v>
      </c>
      <c r="Z169" s="2">
        <v>6</v>
      </c>
      <c r="AA169" s="2" t="s">
        <v>101</v>
      </c>
      <c r="AB169" s="2">
        <v>2</v>
      </c>
      <c r="AC169" s="2" t="s">
        <v>102</v>
      </c>
      <c r="AD169" s="3">
        <v>40192</v>
      </c>
      <c r="AE169" s="4">
        <v>0.91666666666666663</v>
      </c>
      <c r="AF169" s="2"/>
      <c r="AG169" s="2"/>
      <c r="AH169" s="2">
        <v>2</v>
      </c>
      <c r="AI169" s="2" t="s">
        <v>84</v>
      </c>
      <c r="AJ169" s="2">
        <v>9</v>
      </c>
      <c r="AK169" s="2" t="s">
        <v>103</v>
      </c>
      <c r="AL169" s="2">
        <v>14</v>
      </c>
      <c r="AM169" s="2" t="s">
        <v>216</v>
      </c>
      <c r="AN169" s="2" t="s">
        <v>959</v>
      </c>
      <c r="AO169" s="2"/>
      <c r="AP169" s="2">
        <v>11</v>
      </c>
      <c r="AQ169" s="2" t="s">
        <v>82</v>
      </c>
      <c r="AR169" s="2"/>
      <c r="AS169" s="2"/>
      <c r="AT169" s="2" t="s">
        <v>973</v>
      </c>
      <c r="AU169" s="2"/>
      <c r="AV169" s="2"/>
      <c r="AW169" s="2"/>
      <c r="AX169" s="2"/>
      <c r="AY169" s="2">
        <v>41</v>
      </c>
      <c r="AZ169" s="2" t="s">
        <v>82</v>
      </c>
      <c r="BA169" s="2">
        <v>41</v>
      </c>
      <c r="BB169" s="2" t="s">
        <v>82</v>
      </c>
      <c r="BC169" s="2">
        <v>41</v>
      </c>
      <c r="BD169" s="2" t="s">
        <v>82</v>
      </c>
      <c r="BE169" s="2">
        <v>25</v>
      </c>
      <c r="BF169" s="2" t="s">
        <v>358</v>
      </c>
      <c r="BG169" s="2" t="s">
        <v>971</v>
      </c>
      <c r="BH169" s="2"/>
      <c r="BI169" s="4">
        <v>0.94444444444444453</v>
      </c>
      <c r="BJ169" s="2">
        <v>13</v>
      </c>
      <c r="BK169" s="2" t="s">
        <v>91</v>
      </c>
      <c r="BL169" s="2" t="s">
        <v>185</v>
      </c>
      <c r="BM169" s="2">
        <v>241</v>
      </c>
      <c r="BN169" s="2" t="s">
        <v>82</v>
      </c>
      <c r="BO169" s="2"/>
      <c r="BP169" s="2">
        <v>33</v>
      </c>
      <c r="BQ169" s="2" t="s">
        <v>361</v>
      </c>
      <c r="BR169" s="2" t="s">
        <v>783</v>
      </c>
      <c r="BS169" s="3">
        <v>40193</v>
      </c>
      <c r="BT169" s="4">
        <v>0.52047453703703705</v>
      </c>
    </row>
    <row r="170" spans="1:72" x14ac:dyDescent="0.25">
      <c r="A170" s="2">
        <v>255</v>
      </c>
      <c r="B170" s="2">
        <v>2010</v>
      </c>
      <c r="C170" s="2" t="s">
        <v>72</v>
      </c>
      <c r="D170" s="2" t="s">
        <v>73</v>
      </c>
      <c r="E170" s="2"/>
      <c r="F170" s="2">
        <v>38</v>
      </c>
      <c r="G170" s="2" t="s">
        <v>430</v>
      </c>
      <c r="H170" s="2">
        <v>1</v>
      </c>
      <c r="I170" s="2" t="s">
        <v>82</v>
      </c>
      <c r="J170" s="2">
        <v>57</v>
      </c>
      <c r="K170" s="2" t="s">
        <v>431</v>
      </c>
      <c r="L170" s="2" t="s">
        <v>432</v>
      </c>
      <c r="M170" s="3">
        <v>40193</v>
      </c>
      <c r="N170" s="2"/>
      <c r="O170" s="2" t="s">
        <v>156</v>
      </c>
      <c r="P170" s="2" t="s">
        <v>107</v>
      </c>
      <c r="Q170" s="2" t="str">
        <f>"05/10"</f>
        <v>05/10</v>
      </c>
      <c r="R170" s="2"/>
      <c r="S170" s="2" t="s">
        <v>156</v>
      </c>
      <c r="T170" s="2">
        <v>1</v>
      </c>
      <c r="U170" s="2" t="s">
        <v>79</v>
      </c>
      <c r="V170" s="2">
        <v>1</v>
      </c>
      <c r="W170" s="2" t="s">
        <v>80</v>
      </c>
      <c r="X170" s="2">
        <v>5</v>
      </c>
      <c r="Y170" s="2" t="s">
        <v>82</v>
      </c>
      <c r="Z170" s="2">
        <v>1</v>
      </c>
      <c r="AA170" s="2" t="s">
        <v>82</v>
      </c>
      <c r="AB170" s="2">
        <v>6</v>
      </c>
      <c r="AC170" s="2" t="s">
        <v>83</v>
      </c>
      <c r="AD170" s="3">
        <v>40175</v>
      </c>
      <c r="AE170" s="4">
        <v>0.84027777777777779</v>
      </c>
      <c r="AF170" s="3">
        <v>40193</v>
      </c>
      <c r="AG170" s="4">
        <v>0.4375</v>
      </c>
      <c r="AH170" s="2">
        <v>3</v>
      </c>
      <c r="AI170" s="2" t="s">
        <v>214</v>
      </c>
      <c r="AJ170" s="2">
        <v>17</v>
      </c>
      <c r="AK170" s="2" t="s">
        <v>309</v>
      </c>
      <c r="AL170" s="2">
        <v>10</v>
      </c>
      <c r="AM170" s="2" t="s">
        <v>200</v>
      </c>
      <c r="AN170" s="2" t="s">
        <v>974</v>
      </c>
      <c r="AO170" s="2"/>
      <c r="AP170" s="2">
        <v>11</v>
      </c>
      <c r="AQ170" s="2" t="s">
        <v>82</v>
      </c>
      <c r="AR170" s="2"/>
      <c r="AS170" s="2"/>
      <c r="AT170" s="2" t="s">
        <v>975</v>
      </c>
      <c r="AU170" s="2"/>
      <c r="AV170" s="2"/>
      <c r="AW170" s="2"/>
      <c r="AX170" s="2"/>
      <c r="AY170" s="2">
        <v>41</v>
      </c>
      <c r="AZ170" s="2" t="s">
        <v>82</v>
      </c>
      <c r="BA170" s="2">
        <v>41</v>
      </c>
      <c r="BB170" s="2" t="s">
        <v>82</v>
      </c>
      <c r="BC170" s="2">
        <v>4</v>
      </c>
      <c r="BD170" s="2" t="s">
        <v>90</v>
      </c>
      <c r="BE170" s="2">
        <v>4</v>
      </c>
      <c r="BF170" s="2" t="s">
        <v>90</v>
      </c>
      <c r="BG170" s="2">
        <v>4248</v>
      </c>
      <c r="BH170" s="4">
        <v>0.84027777777777779</v>
      </c>
      <c r="BI170" s="4">
        <v>0.77083333333333337</v>
      </c>
      <c r="BJ170" s="2">
        <v>13</v>
      </c>
      <c r="BK170" s="2" t="s">
        <v>91</v>
      </c>
      <c r="BL170" s="2" t="s">
        <v>976</v>
      </c>
      <c r="BM170" s="2">
        <v>241</v>
      </c>
      <c r="BN170" s="2" t="s">
        <v>82</v>
      </c>
      <c r="BO170" s="2" t="s">
        <v>82</v>
      </c>
      <c r="BP170" s="2">
        <v>13</v>
      </c>
      <c r="BQ170" s="2" t="s">
        <v>91</v>
      </c>
      <c r="BR170" s="2" t="s">
        <v>977</v>
      </c>
      <c r="BS170" s="3">
        <v>40193</v>
      </c>
      <c r="BT170" s="4">
        <v>0.52989583333333334</v>
      </c>
    </row>
    <row r="171" spans="1:72" x14ac:dyDescent="0.25">
      <c r="A171" s="2">
        <v>256</v>
      </c>
      <c r="B171" s="2">
        <v>2010</v>
      </c>
      <c r="C171" s="2" t="s">
        <v>72</v>
      </c>
      <c r="D171" s="2" t="s">
        <v>73</v>
      </c>
      <c r="E171" s="2"/>
      <c r="F171" s="2">
        <v>464</v>
      </c>
      <c r="G171" s="2" t="s">
        <v>978</v>
      </c>
      <c r="H171" s="2">
        <v>22</v>
      </c>
      <c r="I171" s="2" t="s">
        <v>75</v>
      </c>
      <c r="J171" s="2">
        <v>159</v>
      </c>
      <c r="K171" s="2" t="s">
        <v>771</v>
      </c>
      <c r="L171" s="2" t="s">
        <v>772</v>
      </c>
      <c r="M171" s="3">
        <v>40193</v>
      </c>
      <c r="N171" s="2" t="s">
        <v>979</v>
      </c>
      <c r="O171" s="2"/>
      <c r="P171" s="2"/>
      <c r="Q171" s="2" t="str">
        <f>"AP 0005 -10"</f>
        <v>AP 0005 -10</v>
      </c>
      <c r="R171" s="2" t="s">
        <v>980</v>
      </c>
      <c r="S171" s="2" t="s">
        <v>980</v>
      </c>
      <c r="T171" s="2">
        <v>1</v>
      </c>
      <c r="U171" s="2" t="s">
        <v>79</v>
      </c>
      <c r="V171" s="2">
        <v>1</v>
      </c>
      <c r="W171" s="2" t="s">
        <v>80</v>
      </c>
      <c r="X171" s="2">
        <v>1</v>
      </c>
      <c r="Y171" s="2" t="s">
        <v>81</v>
      </c>
      <c r="Z171" s="2">
        <v>10</v>
      </c>
      <c r="AA171" s="2" t="s">
        <v>236</v>
      </c>
      <c r="AB171" s="2">
        <v>6</v>
      </c>
      <c r="AC171" s="2" t="s">
        <v>83</v>
      </c>
      <c r="AD171" s="3">
        <v>40193</v>
      </c>
      <c r="AE171" s="4">
        <v>0.375</v>
      </c>
      <c r="AF171" s="3">
        <v>40193</v>
      </c>
      <c r="AG171" s="4">
        <v>0.43402777777777773</v>
      </c>
      <c r="AH171" s="2">
        <v>6</v>
      </c>
      <c r="AI171" s="2" t="s">
        <v>197</v>
      </c>
      <c r="AJ171" s="2">
        <v>60</v>
      </c>
      <c r="AK171" s="2" t="s">
        <v>543</v>
      </c>
      <c r="AL171" s="2">
        <v>8</v>
      </c>
      <c r="AM171" s="2" t="s">
        <v>179</v>
      </c>
      <c r="AN171" s="2" t="s">
        <v>981</v>
      </c>
      <c r="AO171" s="2" t="s">
        <v>982</v>
      </c>
      <c r="AP171" s="2">
        <v>11</v>
      </c>
      <c r="AQ171" s="2" t="s">
        <v>82</v>
      </c>
      <c r="AR171" s="2" t="s">
        <v>82</v>
      </c>
      <c r="AS171" s="2" t="s">
        <v>82</v>
      </c>
      <c r="AT171" s="2" t="s">
        <v>983</v>
      </c>
      <c r="AU171" s="2"/>
      <c r="AV171" s="2"/>
      <c r="AW171" s="2"/>
      <c r="AX171" s="2"/>
      <c r="AY171" s="2">
        <v>41</v>
      </c>
      <c r="AZ171" s="2" t="s">
        <v>82</v>
      </c>
      <c r="BA171" s="2">
        <v>41</v>
      </c>
      <c r="BB171" s="2" t="s">
        <v>82</v>
      </c>
      <c r="BC171" s="2">
        <v>41</v>
      </c>
      <c r="BD171" s="2" t="s">
        <v>82</v>
      </c>
      <c r="BE171" s="2">
        <v>13</v>
      </c>
      <c r="BF171" s="2" t="s">
        <v>108</v>
      </c>
      <c r="BG171" s="2">
        <v>1852</v>
      </c>
      <c r="BH171" s="4">
        <v>0.3888888888888889</v>
      </c>
      <c r="BI171" s="2"/>
      <c r="BJ171" s="2">
        <v>13</v>
      </c>
      <c r="BK171" s="2" t="s">
        <v>91</v>
      </c>
      <c r="BL171" s="2" t="s">
        <v>984</v>
      </c>
      <c r="BM171" s="2">
        <v>13</v>
      </c>
      <c r="BN171" s="2" t="s">
        <v>91</v>
      </c>
      <c r="BO171" s="2" t="s">
        <v>82</v>
      </c>
      <c r="BP171" s="2">
        <v>13</v>
      </c>
      <c r="BQ171" s="2" t="s">
        <v>91</v>
      </c>
      <c r="BR171" s="2" t="s">
        <v>895</v>
      </c>
      <c r="BS171" s="3">
        <v>40193</v>
      </c>
      <c r="BT171" s="4">
        <v>0.56005787037037036</v>
      </c>
    </row>
    <row r="172" spans="1:72" x14ac:dyDescent="0.25">
      <c r="A172" s="2">
        <v>257</v>
      </c>
      <c r="B172" s="2">
        <v>2010</v>
      </c>
      <c r="C172" s="2" t="s">
        <v>72</v>
      </c>
      <c r="D172" s="2" t="s">
        <v>73</v>
      </c>
      <c r="E172" s="2"/>
      <c r="F172" s="2">
        <v>24</v>
      </c>
      <c r="G172" s="2" t="s">
        <v>532</v>
      </c>
      <c r="H172" s="2">
        <v>22</v>
      </c>
      <c r="I172" s="2" t="s">
        <v>75</v>
      </c>
      <c r="J172" s="2">
        <v>300</v>
      </c>
      <c r="K172" s="2" t="s">
        <v>114</v>
      </c>
      <c r="L172" s="2" t="s">
        <v>115</v>
      </c>
      <c r="M172" s="3">
        <v>40193</v>
      </c>
      <c r="N172" s="2" t="s">
        <v>107</v>
      </c>
      <c r="O172" s="2" t="s">
        <v>107</v>
      </c>
      <c r="P172" s="2" t="s">
        <v>107</v>
      </c>
      <c r="Q172" s="2" t="str">
        <f>"029-E/09"</f>
        <v>029-E/09</v>
      </c>
      <c r="R172" s="2" t="s">
        <v>116</v>
      </c>
      <c r="S172" s="2" t="s">
        <v>116</v>
      </c>
      <c r="T172" s="2">
        <v>1</v>
      </c>
      <c r="U172" s="2" t="s">
        <v>79</v>
      </c>
      <c r="V172" s="2">
        <v>1</v>
      </c>
      <c r="W172" s="2" t="s">
        <v>80</v>
      </c>
      <c r="X172" s="2">
        <v>1</v>
      </c>
      <c r="Y172" s="2" t="s">
        <v>81</v>
      </c>
      <c r="Z172" s="2">
        <v>1</v>
      </c>
      <c r="AA172" s="2" t="s">
        <v>82</v>
      </c>
      <c r="AB172" s="2">
        <v>6</v>
      </c>
      <c r="AC172" s="2" t="s">
        <v>83</v>
      </c>
      <c r="AD172" s="3">
        <v>40193</v>
      </c>
      <c r="AE172" s="4">
        <v>0.4236111111111111</v>
      </c>
      <c r="AF172" s="3">
        <v>40193</v>
      </c>
      <c r="AG172" s="4">
        <v>0.5</v>
      </c>
      <c r="AH172" s="2">
        <v>2</v>
      </c>
      <c r="AI172" s="2" t="s">
        <v>84</v>
      </c>
      <c r="AJ172" s="2">
        <v>9</v>
      </c>
      <c r="AK172" s="2" t="s">
        <v>103</v>
      </c>
      <c r="AL172" s="2">
        <v>3</v>
      </c>
      <c r="AM172" s="2" t="s">
        <v>985</v>
      </c>
      <c r="AN172" s="2" t="s">
        <v>986</v>
      </c>
      <c r="AO172" s="2" t="s">
        <v>987</v>
      </c>
      <c r="AP172" s="2">
        <v>11</v>
      </c>
      <c r="AQ172" s="2" t="s">
        <v>82</v>
      </c>
      <c r="AR172" s="2" t="s">
        <v>82</v>
      </c>
      <c r="AS172" s="2" t="s">
        <v>82</v>
      </c>
      <c r="AT172" s="2" t="s">
        <v>988</v>
      </c>
      <c r="AU172" s="2"/>
      <c r="AV172" s="2"/>
      <c r="AW172" s="2"/>
      <c r="AX172" s="2"/>
      <c r="AY172" s="2">
        <v>41</v>
      </c>
      <c r="AZ172" s="2" t="s">
        <v>82</v>
      </c>
      <c r="BA172" s="2">
        <v>41</v>
      </c>
      <c r="BB172" s="2" t="s">
        <v>82</v>
      </c>
      <c r="BC172" s="2">
        <v>41</v>
      </c>
      <c r="BD172" s="2" t="s">
        <v>82</v>
      </c>
      <c r="BE172" s="2">
        <v>31</v>
      </c>
      <c r="BF172" s="2" t="s">
        <v>398</v>
      </c>
      <c r="BG172" s="2" t="s">
        <v>989</v>
      </c>
      <c r="BH172" s="4">
        <v>0.41666666666666669</v>
      </c>
      <c r="BI172" s="2"/>
      <c r="BJ172" s="2">
        <v>73</v>
      </c>
      <c r="BK172" s="2" t="s">
        <v>186</v>
      </c>
      <c r="BL172" s="2" t="s">
        <v>187</v>
      </c>
      <c r="BM172" s="2">
        <v>241</v>
      </c>
      <c r="BN172" s="2" t="s">
        <v>82</v>
      </c>
      <c r="BO172" s="2" t="s">
        <v>82</v>
      </c>
      <c r="BP172" s="2">
        <v>13</v>
      </c>
      <c r="BQ172" s="2" t="s">
        <v>91</v>
      </c>
      <c r="BR172" s="2" t="s">
        <v>185</v>
      </c>
      <c r="BS172" s="3">
        <v>40193</v>
      </c>
      <c r="BT172" s="4">
        <v>0.57329861111111113</v>
      </c>
    </row>
    <row r="173" spans="1:72" x14ac:dyDescent="0.25">
      <c r="A173" s="2">
        <v>259</v>
      </c>
      <c r="B173" s="2">
        <v>2010</v>
      </c>
      <c r="C173" s="2" t="s">
        <v>409</v>
      </c>
      <c r="D173" s="2" t="s">
        <v>73</v>
      </c>
      <c r="E173" s="2"/>
      <c r="F173" s="2">
        <v>385</v>
      </c>
      <c r="G173" s="2" t="s">
        <v>990</v>
      </c>
      <c r="H173" s="2">
        <v>30</v>
      </c>
      <c r="I173" s="2" t="s">
        <v>912</v>
      </c>
      <c r="J173" s="2">
        <v>332</v>
      </c>
      <c r="K173" s="2" t="s">
        <v>913</v>
      </c>
      <c r="L173" s="2" t="s">
        <v>914</v>
      </c>
      <c r="M173" s="3">
        <v>40193</v>
      </c>
      <c r="N173" s="2" t="s">
        <v>915</v>
      </c>
      <c r="O173" s="2" t="s">
        <v>917</v>
      </c>
      <c r="P173" s="2" t="s">
        <v>107</v>
      </c>
      <c r="Q173" s="2" t="str">
        <f>"0001/10"</f>
        <v>0001/10</v>
      </c>
      <c r="R173" s="2" t="s">
        <v>917</v>
      </c>
      <c r="S173" s="2"/>
      <c r="T173" s="2">
        <v>1</v>
      </c>
      <c r="U173" s="2" t="s">
        <v>79</v>
      </c>
      <c r="V173" s="2">
        <v>1</v>
      </c>
      <c r="W173" s="2" t="s">
        <v>80</v>
      </c>
      <c r="X173" s="2">
        <v>5</v>
      </c>
      <c r="Y173" s="2" t="s">
        <v>82</v>
      </c>
      <c r="Z173" s="2">
        <v>10</v>
      </c>
      <c r="AA173" s="2" t="s">
        <v>236</v>
      </c>
      <c r="AB173" s="2">
        <v>9</v>
      </c>
      <c r="AC173" s="2" t="s">
        <v>124</v>
      </c>
      <c r="AD173" s="3">
        <v>40193</v>
      </c>
      <c r="AE173" s="4">
        <v>0.60763888888888895</v>
      </c>
      <c r="AF173" s="2"/>
      <c r="AG173" s="2"/>
      <c r="AH173" s="2">
        <v>5</v>
      </c>
      <c r="AI173" s="2" t="s">
        <v>274</v>
      </c>
      <c r="AJ173" s="2">
        <v>43</v>
      </c>
      <c r="AK173" s="2" t="s">
        <v>918</v>
      </c>
      <c r="AL173" s="2">
        <v>18</v>
      </c>
      <c r="AM173" s="2" t="s">
        <v>82</v>
      </c>
      <c r="AN173" s="2" t="s">
        <v>82</v>
      </c>
      <c r="AO173" s="2" t="s">
        <v>82</v>
      </c>
      <c r="AP173" s="2">
        <v>11</v>
      </c>
      <c r="AQ173" s="2" t="s">
        <v>82</v>
      </c>
      <c r="AR173" s="2" t="s">
        <v>82</v>
      </c>
      <c r="AS173" s="2" t="s">
        <v>82</v>
      </c>
      <c r="AT173" s="2" t="s">
        <v>991</v>
      </c>
      <c r="AU173" s="2"/>
      <c r="AV173" s="2"/>
      <c r="AW173" s="2"/>
      <c r="AX173" s="2"/>
      <c r="AY173" s="2">
        <v>41</v>
      </c>
      <c r="AZ173" s="2" t="s">
        <v>82</v>
      </c>
      <c r="BA173" s="2">
        <v>41</v>
      </c>
      <c r="BB173" s="2" t="s">
        <v>82</v>
      </c>
      <c r="BC173" s="2">
        <v>41</v>
      </c>
      <c r="BD173" s="2" t="s">
        <v>82</v>
      </c>
      <c r="BE173" s="2">
        <v>41</v>
      </c>
      <c r="BF173" s="2" t="s">
        <v>82</v>
      </c>
      <c r="BG173" s="2" t="s">
        <v>82</v>
      </c>
      <c r="BH173" s="2"/>
      <c r="BI173" s="2"/>
      <c r="BJ173" s="2">
        <v>241</v>
      </c>
      <c r="BK173" s="2" t="s">
        <v>82</v>
      </c>
      <c r="BL173" s="2"/>
      <c r="BM173" s="2">
        <v>241</v>
      </c>
      <c r="BN173" s="2" t="s">
        <v>82</v>
      </c>
      <c r="BO173" s="2"/>
      <c r="BP173" s="2">
        <v>241</v>
      </c>
      <c r="BQ173" s="2" t="s">
        <v>82</v>
      </c>
      <c r="BR173" s="2"/>
      <c r="BS173" s="3">
        <v>40193</v>
      </c>
      <c r="BT173" s="4">
        <v>0.65891203703703705</v>
      </c>
    </row>
    <row r="174" spans="1:72" x14ac:dyDescent="0.25">
      <c r="A174" s="2">
        <v>260</v>
      </c>
      <c r="B174" s="2">
        <v>2010</v>
      </c>
      <c r="C174" s="2" t="s">
        <v>196</v>
      </c>
      <c r="D174" s="2" t="s">
        <v>122</v>
      </c>
      <c r="E174" s="2"/>
      <c r="F174" s="2">
        <v>1</v>
      </c>
      <c r="G174" s="2" t="s">
        <v>82</v>
      </c>
      <c r="H174" s="2">
        <v>1</v>
      </c>
      <c r="I174" s="2" t="s">
        <v>82</v>
      </c>
      <c r="J174" s="2">
        <v>1</v>
      </c>
      <c r="K174" s="2" t="s">
        <v>107</v>
      </c>
      <c r="L174" s="2" t="s">
        <v>107</v>
      </c>
      <c r="M174" s="3">
        <v>40193</v>
      </c>
      <c r="N174" s="2" t="s">
        <v>82</v>
      </c>
      <c r="O174" s="2" t="s">
        <v>82</v>
      </c>
      <c r="P174" s="2" t="s">
        <v>82</v>
      </c>
      <c r="Q174" s="2" t="str">
        <f>"N/C"</f>
        <v>N/C</v>
      </c>
      <c r="R174" s="2" t="s">
        <v>82</v>
      </c>
      <c r="S174" s="2" t="s">
        <v>82</v>
      </c>
      <c r="T174" s="2">
        <v>2</v>
      </c>
      <c r="U174" s="2" t="s">
        <v>123</v>
      </c>
      <c r="V174" s="2">
        <v>1</v>
      </c>
      <c r="W174" s="2" t="s">
        <v>80</v>
      </c>
      <c r="X174" s="2">
        <v>1</v>
      </c>
      <c r="Y174" s="2" t="s">
        <v>81</v>
      </c>
      <c r="Z174" s="2">
        <v>1</v>
      </c>
      <c r="AA174" s="2" t="s">
        <v>82</v>
      </c>
      <c r="AB174" s="2">
        <v>9</v>
      </c>
      <c r="AC174" s="2" t="s">
        <v>124</v>
      </c>
      <c r="AD174" s="3">
        <v>40193</v>
      </c>
      <c r="AE174" s="4">
        <v>0.6020833333333333</v>
      </c>
      <c r="AF174" s="2"/>
      <c r="AG174" s="2"/>
      <c r="AH174" s="2">
        <v>2</v>
      </c>
      <c r="AI174" s="2" t="s">
        <v>84</v>
      </c>
      <c r="AJ174" s="2">
        <v>12</v>
      </c>
      <c r="AK174" s="2" t="s">
        <v>85</v>
      </c>
      <c r="AL174" s="2">
        <v>20</v>
      </c>
      <c r="AM174" s="2" t="s">
        <v>992</v>
      </c>
      <c r="AN174" s="2" t="s">
        <v>993</v>
      </c>
      <c r="AO174" s="2" t="s">
        <v>107</v>
      </c>
      <c r="AP174" s="2">
        <v>11</v>
      </c>
      <c r="AQ174" s="2" t="s">
        <v>82</v>
      </c>
      <c r="AR174" s="2" t="s">
        <v>82</v>
      </c>
      <c r="AS174" s="2" t="s">
        <v>82</v>
      </c>
      <c r="AT174" s="2" t="s">
        <v>994</v>
      </c>
      <c r="AU174" s="2"/>
      <c r="AV174" s="2"/>
      <c r="AW174" s="2"/>
      <c r="AX174" s="2"/>
      <c r="AY174" s="2">
        <v>41</v>
      </c>
      <c r="AZ174" s="2" t="s">
        <v>82</v>
      </c>
      <c r="BA174" s="2">
        <v>41</v>
      </c>
      <c r="BB174" s="2" t="s">
        <v>82</v>
      </c>
      <c r="BC174" s="2">
        <v>70</v>
      </c>
      <c r="BD174" s="2" t="s">
        <v>236</v>
      </c>
      <c r="BE174" s="2">
        <v>41</v>
      </c>
      <c r="BF174" s="2" t="s">
        <v>82</v>
      </c>
      <c r="BG174" s="2" t="s">
        <v>82</v>
      </c>
      <c r="BH174" s="4">
        <v>0.59722222222222221</v>
      </c>
      <c r="BI174" s="4">
        <v>0.6020833333333333</v>
      </c>
      <c r="BJ174" s="2">
        <v>13</v>
      </c>
      <c r="BK174" s="2" t="s">
        <v>91</v>
      </c>
      <c r="BL174" s="2" t="s">
        <v>185</v>
      </c>
      <c r="BM174" s="2">
        <v>241</v>
      </c>
      <c r="BN174" s="2" t="s">
        <v>82</v>
      </c>
      <c r="BO174" s="2" t="s">
        <v>82</v>
      </c>
      <c r="BP174" s="2">
        <v>13</v>
      </c>
      <c r="BQ174" s="2" t="s">
        <v>91</v>
      </c>
      <c r="BR174" s="2" t="s">
        <v>204</v>
      </c>
      <c r="BS174" s="3">
        <v>40193</v>
      </c>
      <c r="BT174" s="4">
        <v>0.67086805555555562</v>
      </c>
    </row>
    <row r="175" spans="1:72" x14ac:dyDescent="0.25">
      <c r="A175" s="2">
        <v>263</v>
      </c>
      <c r="B175" s="2">
        <v>2010</v>
      </c>
      <c r="C175" s="2" t="s">
        <v>72</v>
      </c>
      <c r="D175" s="2" t="s">
        <v>73</v>
      </c>
      <c r="E175" s="2"/>
      <c r="F175" s="2">
        <v>465</v>
      </c>
      <c r="G175" s="2" t="s">
        <v>995</v>
      </c>
      <c r="H175" s="2">
        <v>7</v>
      </c>
      <c r="I175" s="2" t="s">
        <v>476</v>
      </c>
      <c r="J175" s="2">
        <v>347</v>
      </c>
      <c r="K175" s="2" t="s">
        <v>996</v>
      </c>
      <c r="L175" s="2" t="s">
        <v>997</v>
      </c>
      <c r="M175" s="3">
        <v>40193</v>
      </c>
      <c r="N175" s="2" t="s">
        <v>998</v>
      </c>
      <c r="O175" s="2" t="s">
        <v>999</v>
      </c>
      <c r="P175" s="2"/>
      <c r="Q175" s="2" t="str">
        <f>"0001/10"</f>
        <v>0001/10</v>
      </c>
      <c r="R175" s="2"/>
      <c r="S175" s="2"/>
      <c r="T175" s="2">
        <v>1</v>
      </c>
      <c r="U175" s="2" t="s">
        <v>79</v>
      </c>
      <c r="V175" s="2">
        <v>1</v>
      </c>
      <c r="W175" s="2" t="s">
        <v>80</v>
      </c>
      <c r="X175" s="2">
        <v>1</v>
      </c>
      <c r="Y175" s="2" t="s">
        <v>81</v>
      </c>
      <c r="Z175" s="2">
        <v>10</v>
      </c>
      <c r="AA175" s="2" t="s">
        <v>236</v>
      </c>
      <c r="AB175" s="2">
        <v>6</v>
      </c>
      <c r="AC175" s="2" t="s">
        <v>83</v>
      </c>
      <c r="AD175" s="3">
        <v>40193</v>
      </c>
      <c r="AE175" s="4">
        <v>0.33333333333333331</v>
      </c>
      <c r="AF175" s="3">
        <v>40193</v>
      </c>
      <c r="AG175" s="4">
        <v>0.47222222222222227</v>
      </c>
      <c r="AH175" s="2">
        <v>5</v>
      </c>
      <c r="AI175" s="2" t="s">
        <v>274</v>
      </c>
      <c r="AJ175" s="2">
        <v>42</v>
      </c>
      <c r="AK175" s="2" t="s">
        <v>660</v>
      </c>
      <c r="AL175" s="2">
        <v>9</v>
      </c>
      <c r="AM175" s="2" t="s">
        <v>259</v>
      </c>
      <c r="AN175" s="2"/>
      <c r="AO175" s="2" t="s">
        <v>1000</v>
      </c>
      <c r="AP175" s="2">
        <v>11</v>
      </c>
      <c r="AQ175" s="2" t="s">
        <v>82</v>
      </c>
      <c r="AR175" s="2"/>
      <c r="AS175" s="2"/>
      <c r="AT175" s="2" t="s">
        <v>1001</v>
      </c>
      <c r="AU175" s="2"/>
      <c r="AV175" s="2"/>
      <c r="AW175" s="2"/>
      <c r="AX175" s="2"/>
      <c r="AY175" s="2">
        <v>43</v>
      </c>
      <c r="AZ175" s="2" t="s">
        <v>220</v>
      </c>
      <c r="BA175" s="2">
        <v>43</v>
      </c>
      <c r="BB175" s="2" t="s">
        <v>220</v>
      </c>
      <c r="BC175" s="2">
        <v>41</v>
      </c>
      <c r="BD175" s="2" t="s">
        <v>82</v>
      </c>
      <c r="BE175" s="2">
        <v>41</v>
      </c>
      <c r="BF175" s="2" t="s">
        <v>82</v>
      </c>
      <c r="BG175" s="2"/>
      <c r="BH175" s="2"/>
      <c r="BI175" s="2"/>
      <c r="BJ175" s="2">
        <v>241</v>
      </c>
      <c r="BK175" s="2" t="s">
        <v>82</v>
      </c>
      <c r="BL175" s="2"/>
      <c r="BM175" s="2">
        <v>241</v>
      </c>
      <c r="BN175" s="2" t="s">
        <v>82</v>
      </c>
      <c r="BO175" s="2"/>
      <c r="BP175" s="2">
        <v>241</v>
      </c>
      <c r="BQ175" s="2" t="s">
        <v>82</v>
      </c>
      <c r="BR175" s="2"/>
      <c r="BS175" s="3">
        <v>40193</v>
      </c>
      <c r="BT175" s="4">
        <v>0.70791666666666664</v>
      </c>
    </row>
    <row r="176" spans="1:72" x14ac:dyDescent="0.25">
      <c r="A176" s="2">
        <v>264</v>
      </c>
      <c r="B176" s="2">
        <v>2010</v>
      </c>
      <c r="C176" s="2" t="s">
        <v>196</v>
      </c>
      <c r="D176" s="2" t="s">
        <v>122</v>
      </c>
      <c r="E176" s="2"/>
      <c r="F176" s="2">
        <v>1</v>
      </c>
      <c r="G176" s="2" t="s">
        <v>82</v>
      </c>
      <c r="H176" s="2">
        <v>1</v>
      </c>
      <c r="I176" s="2" t="s">
        <v>82</v>
      </c>
      <c r="J176" s="2">
        <v>1</v>
      </c>
      <c r="K176" s="2" t="s">
        <v>107</v>
      </c>
      <c r="L176" s="2" t="s">
        <v>107</v>
      </c>
      <c r="M176" s="3">
        <v>40193</v>
      </c>
      <c r="N176" s="2"/>
      <c r="O176" s="2"/>
      <c r="P176" s="2"/>
      <c r="Q176" s="2" t="str">
        <f>""</f>
        <v/>
      </c>
      <c r="R176" s="2"/>
      <c r="S176" s="2"/>
      <c r="T176" s="2">
        <v>2</v>
      </c>
      <c r="U176" s="2" t="s">
        <v>123</v>
      </c>
      <c r="V176" s="2">
        <v>1</v>
      </c>
      <c r="W176" s="2" t="s">
        <v>80</v>
      </c>
      <c r="X176" s="2">
        <v>5</v>
      </c>
      <c r="Y176" s="2" t="s">
        <v>82</v>
      </c>
      <c r="Z176" s="2">
        <v>1</v>
      </c>
      <c r="AA176" s="2" t="s">
        <v>82</v>
      </c>
      <c r="AB176" s="2">
        <v>9</v>
      </c>
      <c r="AC176" s="2" t="s">
        <v>124</v>
      </c>
      <c r="AD176" s="3">
        <v>40193</v>
      </c>
      <c r="AE176" s="4">
        <v>0.72222222222222221</v>
      </c>
      <c r="AF176" s="2"/>
      <c r="AG176" s="2"/>
      <c r="AH176" s="2">
        <v>6</v>
      </c>
      <c r="AI176" s="2" t="s">
        <v>197</v>
      </c>
      <c r="AJ176" s="2">
        <v>59</v>
      </c>
      <c r="AK176" s="2" t="s">
        <v>198</v>
      </c>
      <c r="AL176" s="2">
        <v>18</v>
      </c>
      <c r="AM176" s="2" t="s">
        <v>82</v>
      </c>
      <c r="AN176" s="2" t="s">
        <v>199</v>
      </c>
      <c r="AO176" s="2" t="s">
        <v>1002</v>
      </c>
      <c r="AP176" s="2">
        <v>11</v>
      </c>
      <c r="AQ176" s="2" t="s">
        <v>82</v>
      </c>
      <c r="AR176" s="2"/>
      <c r="AS176" s="2"/>
      <c r="AT176" s="2" t="s">
        <v>1003</v>
      </c>
      <c r="AU176" s="2"/>
      <c r="AV176" s="2"/>
      <c r="AW176" s="2"/>
      <c r="AX176" s="2"/>
      <c r="AY176" s="2">
        <v>1</v>
      </c>
      <c r="AZ176" s="2" t="s">
        <v>107</v>
      </c>
      <c r="BA176" s="2">
        <v>1</v>
      </c>
      <c r="BB176" s="2" t="s">
        <v>107</v>
      </c>
      <c r="BC176" s="2">
        <v>1</v>
      </c>
      <c r="BD176" s="2" t="s">
        <v>107</v>
      </c>
      <c r="BE176" s="2">
        <v>1</v>
      </c>
      <c r="BF176" s="2" t="s">
        <v>107</v>
      </c>
      <c r="BG176" s="2"/>
      <c r="BH176" s="4">
        <v>0.72222222222222221</v>
      </c>
      <c r="BI176" s="2"/>
      <c r="BJ176" s="2">
        <v>242</v>
      </c>
      <c r="BK176" s="2" t="s">
        <v>107</v>
      </c>
      <c r="BL176" s="2" t="s">
        <v>185</v>
      </c>
      <c r="BM176" s="2">
        <v>242</v>
      </c>
      <c r="BN176" s="2" t="s">
        <v>107</v>
      </c>
      <c r="BO176" s="2"/>
      <c r="BP176" s="2">
        <v>242</v>
      </c>
      <c r="BQ176" s="2" t="s">
        <v>107</v>
      </c>
      <c r="BR176" s="2" t="s">
        <v>204</v>
      </c>
      <c r="BS176" s="3">
        <v>40193</v>
      </c>
      <c r="BT176" s="4">
        <v>0.73217592592592595</v>
      </c>
    </row>
    <row r="177" spans="1:72" x14ac:dyDescent="0.25">
      <c r="A177" s="2">
        <v>267</v>
      </c>
      <c r="B177" s="2">
        <v>2010</v>
      </c>
      <c r="C177" s="2" t="s">
        <v>196</v>
      </c>
      <c r="D177" s="2" t="s">
        <v>122</v>
      </c>
      <c r="E177" s="2"/>
      <c r="F177" s="2">
        <v>1</v>
      </c>
      <c r="G177" s="2" t="s">
        <v>82</v>
      </c>
      <c r="H177" s="2">
        <v>1</v>
      </c>
      <c r="I177" s="2" t="s">
        <v>82</v>
      </c>
      <c r="J177" s="2">
        <v>1</v>
      </c>
      <c r="K177" s="2" t="s">
        <v>107</v>
      </c>
      <c r="L177" s="2" t="s">
        <v>107</v>
      </c>
      <c r="M177" s="3">
        <v>40193</v>
      </c>
      <c r="N177" s="2"/>
      <c r="O177" s="2"/>
      <c r="P177" s="2"/>
      <c r="Q177" s="2" t="str">
        <f>""</f>
        <v/>
      </c>
      <c r="R177" s="2"/>
      <c r="S177" s="2"/>
      <c r="T177" s="2">
        <v>2</v>
      </c>
      <c r="U177" s="2" t="s">
        <v>123</v>
      </c>
      <c r="V177" s="2">
        <v>1</v>
      </c>
      <c r="W177" s="2" t="s">
        <v>80</v>
      </c>
      <c r="X177" s="2">
        <v>5</v>
      </c>
      <c r="Y177" s="2" t="s">
        <v>82</v>
      </c>
      <c r="Z177" s="2">
        <v>1</v>
      </c>
      <c r="AA177" s="2" t="s">
        <v>82</v>
      </c>
      <c r="AB177" s="2">
        <v>9</v>
      </c>
      <c r="AC177" s="2" t="s">
        <v>124</v>
      </c>
      <c r="AD177" s="3">
        <v>40193</v>
      </c>
      <c r="AE177" s="4">
        <v>0.76180555555555562</v>
      </c>
      <c r="AF177" s="2"/>
      <c r="AG177" s="2"/>
      <c r="AH177" s="2">
        <v>6</v>
      </c>
      <c r="AI177" s="2" t="s">
        <v>197</v>
      </c>
      <c r="AJ177" s="2">
        <v>58</v>
      </c>
      <c r="AK177" s="2" t="s">
        <v>406</v>
      </c>
      <c r="AL177" s="2">
        <v>18</v>
      </c>
      <c r="AM177" s="2" t="s">
        <v>82</v>
      </c>
      <c r="AN177" s="2" t="s">
        <v>1004</v>
      </c>
      <c r="AO177" s="2" t="s">
        <v>259</v>
      </c>
      <c r="AP177" s="2">
        <v>11</v>
      </c>
      <c r="AQ177" s="2" t="s">
        <v>82</v>
      </c>
      <c r="AR177" s="2" t="s">
        <v>82</v>
      </c>
      <c r="AS177" s="2" t="s">
        <v>82</v>
      </c>
      <c r="AT177" s="2" t="s">
        <v>1005</v>
      </c>
      <c r="AU177" s="2"/>
      <c r="AV177" s="2"/>
      <c r="AW177" s="2"/>
      <c r="AX177" s="2"/>
      <c r="AY177" s="2">
        <v>1</v>
      </c>
      <c r="AZ177" s="2" t="s">
        <v>107</v>
      </c>
      <c r="BA177" s="2">
        <v>1</v>
      </c>
      <c r="BB177" s="2" t="s">
        <v>107</v>
      </c>
      <c r="BC177" s="2">
        <v>1</v>
      </c>
      <c r="BD177" s="2" t="s">
        <v>107</v>
      </c>
      <c r="BE177" s="2">
        <v>1</v>
      </c>
      <c r="BF177" s="2" t="s">
        <v>107</v>
      </c>
      <c r="BG177" s="2" t="s">
        <v>265</v>
      </c>
      <c r="BH177" s="4">
        <v>0.76180555555555562</v>
      </c>
      <c r="BI177" s="2"/>
      <c r="BJ177" s="2">
        <v>242</v>
      </c>
      <c r="BK177" s="2" t="s">
        <v>107</v>
      </c>
      <c r="BL177" s="2" t="s">
        <v>204</v>
      </c>
      <c r="BM177" s="2">
        <v>242</v>
      </c>
      <c r="BN177" s="2" t="s">
        <v>107</v>
      </c>
      <c r="BO177" s="2" t="s">
        <v>82</v>
      </c>
      <c r="BP177" s="2">
        <v>242</v>
      </c>
      <c r="BQ177" s="2" t="s">
        <v>107</v>
      </c>
      <c r="BR177" s="2" t="s">
        <v>82</v>
      </c>
      <c r="BS177" s="3">
        <v>40193</v>
      </c>
      <c r="BT177" s="4">
        <v>0.76841435185185192</v>
      </c>
    </row>
    <row r="178" spans="1:72" x14ac:dyDescent="0.25">
      <c r="A178" s="2">
        <v>268</v>
      </c>
      <c r="B178" s="2">
        <v>2010</v>
      </c>
      <c r="C178" s="2" t="s">
        <v>1006</v>
      </c>
      <c r="D178" s="2" t="s">
        <v>122</v>
      </c>
      <c r="E178" s="2"/>
      <c r="F178" s="2">
        <v>1</v>
      </c>
      <c r="G178" s="2" t="s">
        <v>82</v>
      </c>
      <c r="H178" s="2">
        <v>1</v>
      </c>
      <c r="I178" s="2" t="s">
        <v>82</v>
      </c>
      <c r="J178" s="2">
        <v>1</v>
      </c>
      <c r="K178" s="2" t="s">
        <v>107</v>
      </c>
      <c r="L178" s="2" t="s">
        <v>107</v>
      </c>
      <c r="M178" s="3">
        <v>40193</v>
      </c>
      <c r="N178" s="2"/>
      <c r="O178" s="2"/>
      <c r="P178" s="2"/>
      <c r="Q178" s="2" t="str">
        <f>""</f>
        <v/>
      </c>
      <c r="R178" s="2"/>
      <c r="S178" s="2"/>
      <c r="T178" s="2">
        <v>2</v>
      </c>
      <c r="U178" s="2" t="s">
        <v>123</v>
      </c>
      <c r="V178" s="2">
        <v>1</v>
      </c>
      <c r="W178" s="2" t="s">
        <v>80</v>
      </c>
      <c r="X178" s="2">
        <v>5</v>
      </c>
      <c r="Y178" s="2" t="s">
        <v>82</v>
      </c>
      <c r="Z178" s="2">
        <v>1</v>
      </c>
      <c r="AA178" s="2" t="s">
        <v>82</v>
      </c>
      <c r="AB178" s="2">
        <v>9</v>
      </c>
      <c r="AC178" s="2" t="s">
        <v>124</v>
      </c>
      <c r="AD178" s="3">
        <v>40038</v>
      </c>
      <c r="AE178" s="4">
        <v>0.69444444444444453</v>
      </c>
      <c r="AF178" s="2"/>
      <c r="AG178" s="2"/>
      <c r="AH178" s="2">
        <v>5</v>
      </c>
      <c r="AI178" s="2" t="s">
        <v>274</v>
      </c>
      <c r="AJ178" s="2">
        <v>37</v>
      </c>
      <c r="AK178" s="2" t="s">
        <v>497</v>
      </c>
      <c r="AL178" s="2">
        <v>18</v>
      </c>
      <c r="AM178" s="2" t="s">
        <v>82</v>
      </c>
      <c r="AN178" s="2" t="s">
        <v>1007</v>
      </c>
      <c r="AO178" s="2" t="s">
        <v>230</v>
      </c>
      <c r="AP178" s="2">
        <v>11</v>
      </c>
      <c r="AQ178" s="2" t="s">
        <v>82</v>
      </c>
      <c r="AR178" s="2"/>
      <c r="AS178" s="2"/>
      <c r="AT178" s="2" t="s">
        <v>1008</v>
      </c>
      <c r="AU178" s="2"/>
      <c r="AV178" s="2"/>
      <c r="AW178" s="2"/>
      <c r="AX178" s="2"/>
      <c r="AY178" s="2">
        <v>1</v>
      </c>
      <c r="AZ178" s="2" t="s">
        <v>107</v>
      </c>
      <c r="BA178" s="2">
        <v>1</v>
      </c>
      <c r="BB178" s="2" t="s">
        <v>107</v>
      </c>
      <c r="BC178" s="2">
        <v>1</v>
      </c>
      <c r="BD178" s="2" t="s">
        <v>107</v>
      </c>
      <c r="BE178" s="2">
        <v>1</v>
      </c>
      <c r="BF178" s="2" t="s">
        <v>107</v>
      </c>
      <c r="BG178" s="2"/>
      <c r="BH178" s="2"/>
      <c r="BI178" s="2"/>
      <c r="BJ178" s="2">
        <v>242</v>
      </c>
      <c r="BK178" s="2" t="s">
        <v>107</v>
      </c>
      <c r="BL178" s="2"/>
      <c r="BM178" s="2">
        <v>242</v>
      </c>
      <c r="BN178" s="2" t="s">
        <v>107</v>
      </c>
      <c r="BO178" s="2"/>
      <c r="BP178" s="2">
        <v>242</v>
      </c>
      <c r="BQ178" s="2" t="s">
        <v>107</v>
      </c>
      <c r="BR178" s="2"/>
      <c r="BS178" s="3">
        <v>40193</v>
      </c>
      <c r="BT178" s="4">
        <v>0.7710300925925927</v>
      </c>
    </row>
    <row r="179" spans="1:72" x14ac:dyDescent="0.25">
      <c r="A179" s="2">
        <v>269</v>
      </c>
      <c r="B179" s="2">
        <v>2010</v>
      </c>
      <c r="C179" s="2" t="s">
        <v>72</v>
      </c>
      <c r="D179" s="2" t="s">
        <v>73</v>
      </c>
      <c r="E179" s="2"/>
      <c r="F179" s="2">
        <v>169</v>
      </c>
      <c r="G179" s="2" t="s">
        <v>1009</v>
      </c>
      <c r="H179" s="2">
        <v>22</v>
      </c>
      <c r="I179" s="2" t="s">
        <v>75</v>
      </c>
      <c r="J179" s="2">
        <v>305</v>
      </c>
      <c r="K179" s="2" t="s">
        <v>160</v>
      </c>
      <c r="L179" s="2" t="s">
        <v>161</v>
      </c>
      <c r="M179" s="3">
        <v>40193</v>
      </c>
      <c r="N179" s="2" t="s">
        <v>1010</v>
      </c>
      <c r="O179" s="2" t="s">
        <v>107</v>
      </c>
      <c r="P179" s="2" t="s">
        <v>107</v>
      </c>
      <c r="Q179" s="2" t="str">
        <f>"016-A/10"</f>
        <v>016-A/10</v>
      </c>
      <c r="R179" s="2" t="s">
        <v>116</v>
      </c>
      <c r="S179" s="2" t="s">
        <v>78</v>
      </c>
      <c r="T179" s="2">
        <v>1</v>
      </c>
      <c r="U179" s="2" t="s">
        <v>79</v>
      </c>
      <c r="V179" s="2">
        <v>1</v>
      </c>
      <c r="W179" s="2" t="s">
        <v>80</v>
      </c>
      <c r="X179" s="2">
        <v>1</v>
      </c>
      <c r="Y179" s="2" t="s">
        <v>81</v>
      </c>
      <c r="Z179" s="2">
        <v>1</v>
      </c>
      <c r="AA179" s="2" t="s">
        <v>82</v>
      </c>
      <c r="AB179" s="2">
        <v>6</v>
      </c>
      <c r="AC179" s="2" t="s">
        <v>83</v>
      </c>
      <c r="AD179" s="3">
        <v>40193</v>
      </c>
      <c r="AE179" s="4">
        <v>0.55902777777777779</v>
      </c>
      <c r="AF179" s="3">
        <v>40193</v>
      </c>
      <c r="AG179" s="4">
        <v>0.61458333333333337</v>
      </c>
      <c r="AH179" s="2">
        <v>2</v>
      </c>
      <c r="AI179" s="2" t="s">
        <v>84</v>
      </c>
      <c r="AJ179" s="2">
        <v>12</v>
      </c>
      <c r="AK179" s="2" t="s">
        <v>85</v>
      </c>
      <c r="AL179" s="2">
        <v>12</v>
      </c>
      <c r="AM179" s="2" t="s">
        <v>86</v>
      </c>
      <c r="AN179" s="2" t="s">
        <v>1011</v>
      </c>
      <c r="AO179" s="2" t="s">
        <v>107</v>
      </c>
      <c r="AP179" s="2">
        <v>11</v>
      </c>
      <c r="AQ179" s="2" t="s">
        <v>82</v>
      </c>
      <c r="AR179" s="2" t="s">
        <v>82</v>
      </c>
      <c r="AS179" s="2" t="s">
        <v>82</v>
      </c>
      <c r="AT179" s="2" t="s">
        <v>1012</v>
      </c>
      <c r="AU179" s="2"/>
      <c r="AV179" s="2"/>
      <c r="AW179" s="2"/>
      <c r="AX179" s="2"/>
      <c r="AY179" s="2">
        <v>41</v>
      </c>
      <c r="AZ179" s="2" t="s">
        <v>82</v>
      </c>
      <c r="BA179" s="2">
        <v>41</v>
      </c>
      <c r="BB179" s="2" t="s">
        <v>82</v>
      </c>
      <c r="BC179" s="2">
        <v>41</v>
      </c>
      <c r="BD179" s="2" t="s">
        <v>82</v>
      </c>
      <c r="BE179" s="2">
        <v>13</v>
      </c>
      <c r="BF179" s="2" t="s">
        <v>108</v>
      </c>
      <c r="BG179" s="2" t="s">
        <v>1013</v>
      </c>
      <c r="BH179" s="4">
        <v>0.85416666666666663</v>
      </c>
      <c r="BI179" s="4">
        <v>0.75</v>
      </c>
      <c r="BJ179" s="2">
        <v>13</v>
      </c>
      <c r="BK179" s="2" t="s">
        <v>91</v>
      </c>
      <c r="BL179" s="2" t="s">
        <v>185</v>
      </c>
      <c r="BM179" s="2">
        <v>13</v>
      </c>
      <c r="BN179" s="2" t="s">
        <v>91</v>
      </c>
      <c r="BO179" s="2" t="s">
        <v>82</v>
      </c>
      <c r="BP179" s="2">
        <v>13</v>
      </c>
      <c r="BQ179" s="2" t="s">
        <v>91</v>
      </c>
      <c r="BR179" s="2" t="s">
        <v>1014</v>
      </c>
      <c r="BS179" s="3">
        <v>40193</v>
      </c>
      <c r="BT179" s="4">
        <v>0.82439814814814805</v>
      </c>
    </row>
    <row r="180" spans="1:72" x14ac:dyDescent="0.25">
      <c r="A180" s="2">
        <v>270</v>
      </c>
      <c r="B180" s="2">
        <v>2010</v>
      </c>
      <c r="C180" s="2" t="s">
        <v>819</v>
      </c>
      <c r="D180" s="2" t="s">
        <v>122</v>
      </c>
      <c r="E180" s="2"/>
      <c r="F180" s="2">
        <v>451</v>
      </c>
      <c r="G180" s="2" t="s">
        <v>879</v>
      </c>
      <c r="H180" s="2">
        <v>31</v>
      </c>
      <c r="I180" s="2" t="s">
        <v>880</v>
      </c>
      <c r="J180" s="2">
        <v>326</v>
      </c>
      <c r="K180" s="2" t="s">
        <v>881</v>
      </c>
      <c r="L180" s="2" t="s">
        <v>882</v>
      </c>
      <c r="M180" s="3">
        <v>40193</v>
      </c>
      <c r="N180" s="2" t="s">
        <v>821</v>
      </c>
      <c r="O180" s="2"/>
      <c r="P180" s="2"/>
      <c r="Q180" s="2" t="str">
        <f>"002/10"</f>
        <v>002/10</v>
      </c>
      <c r="R180" s="2" t="s">
        <v>822</v>
      </c>
      <c r="S180" s="2"/>
      <c r="T180" s="2">
        <v>1</v>
      </c>
      <c r="U180" s="2" t="s">
        <v>79</v>
      </c>
      <c r="V180" s="2">
        <v>1</v>
      </c>
      <c r="W180" s="2" t="s">
        <v>80</v>
      </c>
      <c r="X180" s="2">
        <v>1</v>
      </c>
      <c r="Y180" s="2" t="s">
        <v>81</v>
      </c>
      <c r="Z180" s="2">
        <v>10</v>
      </c>
      <c r="AA180" s="2" t="s">
        <v>236</v>
      </c>
      <c r="AB180" s="2">
        <v>9</v>
      </c>
      <c r="AC180" s="2" t="s">
        <v>124</v>
      </c>
      <c r="AD180" s="3">
        <v>40193</v>
      </c>
      <c r="AE180" s="4">
        <v>0.88194444444444453</v>
      </c>
      <c r="AF180" s="2"/>
      <c r="AG180" s="2"/>
      <c r="AH180" s="2">
        <v>4</v>
      </c>
      <c r="AI180" s="2" t="s">
        <v>125</v>
      </c>
      <c r="AJ180" s="2">
        <v>29</v>
      </c>
      <c r="AK180" s="2" t="s">
        <v>227</v>
      </c>
      <c r="AL180" s="2">
        <v>10</v>
      </c>
      <c r="AM180" s="2" t="s">
        <v>200</v>
      </c>
      <c r="AN180" s="2" t="s">
        <v>1015</v>
      </c>
      <c r="AO180" s="2" t="s">
        <v>200</v>
      </c>
      <c r="AP180" s="2">
        <v>12</v>
      </c>
      <c r="AQ180" s="2" t="s">
        <v>322</v>
      </c>
      <c r="AR180" s="2" t="s">
        <v>824</v>
      </c>
      <c r="AS180" s="2" t="s">
        <v>825</v>
      </c>
      <c r="AT180" s="2" t="s">
        <v>1016</v>
      </c>
      <c r="AU180" s="2"/>
      <c r="AV180" s="2"/>
      <c r="AW180" s="2"/>
      <c r="AX180" s="2"/>
      <c r="AY180" s="2">
        <v>41</v>
      </c>
      <c r="AZ180" s="2" t="s">
        <v>82</v>
      </c>
      <c r="BA180" s="2">
        <v>41</v>
      </c>
      <c r="BB180" s="2" t="s">
        <v>82</v>
      </c>
      <c r="BC180" s="2">
        <v>51</v>
      </c>
      <c r="BD180" s="2" t="s">
        <v>827</v>
      </c>
      <c r="BE180" s="2">
        <v>47</v>
      </c>
      <c r="BF180" s="2" t="s">
        <v>167</v>
      </c>
      <c r="BG180" s="2">
        <v>2459</v>
      </c>
      <c r="BH180" s="4">
        <v>0.83680555555555547</v>
      </c>
      <c r="BI180" s="4">
        <v>0.88541666666666663</v>
      </c>
      <c r="BJ180" s="2">
        <v>13</v>
      </c>
      <c r="BK180" s="2" t="s">
        <v>91</v>
      </c>
      <c r="BL180" s="2" t="s">
        <v>185</v>
      </c>
      <c r="BM180" s="2">
        <v>13</v>
      </c>
      <c r="BN180" s="2" t="s">
        <v>91</v>
      </c>
      <c r="BO180" s="2" t="s">
        <v>828</v>
      </c>
      <c r="BP180" s="2">
        <v>13</v>
      </c>
      <c r="BQ180" s="2" t="s">
        <v>91</v>
      </c>
      <c r="BR180" s="2" t="s">
        <v>185</v>
      </c>
      <c r="BS180" s="3">
        <v>40193</v>
      </c>
      <c r="BT180" s="4">
        <v>0.90531249999999996</v>
      </c>
    </row>
    <row r="181" spans="1:72" x14ac:dyDescent="0.25">
      <c r="A181" s="2">
        <v>271</v>
      </c>
      <c r="B181" s="2">
        <v>2010</v>
      </c>
      <c r="C181" s="2" t="s">
        <v>1017</v>
      </c>
      <c r="D181" s="2" t="s">
        <v>73</v>
      </c>
      <c r="E181" s="2"/>
      <c r="F181" s="2">
        <v>318</v>
      </c>
      <c r="G181" s="2" t="s">
        <v>1018</v>
      </c>
      <c r="H181" s="2">
        <v>22</v>
      </c>
      <c r="I181" s="2" t="s">
        <v>75</v>
      </c>
      <c r="J181" s="2">
        <v>367</v>
      </c>
      <c r="K181" s="2" t="s">
        <v>1019</v>
      </c>
      <c r="L181" s="2" t="s">
        <v>1020</v>
      </c>
      <c r="M181" s="3">
        <v>40193</v>
      </c>
      <c r="N181" s="2" t="s">
        <v>1021</v>
      </c>
      <c r="O181" s="2" t="s">
        <v>82</v>
      </c>
      <c r="P181" s="2" t="s">
        <v>82</v>
      </c>
      <c r="Q181" s="2" t="str">
        <f>"0002/10"</f>
        <v>0002/10</v>
      </c>
      <c r="R181" s="2" t="s">
        <v>82</v>
      </c>
      <c r="S181" s="2" t="s">
        <v>1022</v>
      </c>
      <c r="T181" s="2">
        <v>1</v>
      </c>
      <c r="U181" s="2" t="s">
        <v>79</v>
      </c>
      <c r="V181" s="2">
        <v>1</v>
      </c>
      <c r="W181" s="2" t="s">
        <v>80</v>
      </c>
      <c r="X181" s="2">
        <v>1</v>
      </c>
      <c r="Y181" s="2" t="s">
        <v>81</v>
      </c>
      <c r="Z181" s="2">
        <v>10</v>
      </c>
      <c r="AA181" s="2" t="s">
        <v>236</v>
      </c>
      <c r="AB181" s="2">
        <v>7</v>
      </c>
      <c r="AC181" s="2" t="s">
        <v>1023</v>
      </c>
      <c r="AD181" s="3">
        <v>40193</v>
      </c>
      <c r="AE181" s="4">
        <v>0.75</v>
      </c>
      <c r="AF181" s="2"/>
      <c r="AG181" s="2"/>
      <c r="AH181" s="2">
        <v>5</v>
      </c>
      <c r="AI181" s="2" t="s">
        <v>274</v>
      </c>
      <c r="AJ181" s="2">
        <v>44</v>
      </c>
      <c r="AK181" s="2" t="s">
        <v>667</v>
      </c>
      <c r="AL181" s="2">
        <v>11</v>
      </c>
      <c r="AM181" s="2" t="s">
        <v>137</v>
      </c>
      <c r="AN181" s="2" t="s">
        <v>1024</v>
      </c>
      <c r="AO181" s="2" t="s">
        <v>82</v>
      </c>
      <c r="AP181" s="2">
        <v>11</v>
      </c>
      <c r="AQ181" s="2" t="s">
        <v>82</v>
      </c>
      <c r="AR181" s="2"/>
      <c r="AS181" s="2"/>
      <c r="AT181" s="2" t="s">
        <v>1025</v>
      </c>
      <c r="AU181" s="2"/>
      <c r="AV181" s="2"/>
      <c r="AW181" s="2"/>
      <c r="AX181" s="2"/>
      <c r="AY181" s="2">
        <v>41</v>
      </c>
      <c r="AZ181" s="2" t="s">
        <v>82</v>
      </c>
      <c r="BA181" s="2">
        <v>41</v>
      </c>
      <c r="BB181" s="2" t="s">
        <v>82</v>
      </c>
      <c r="BC181" s="2">
        <v>41</v>
      </c>
      <c r="BD181" s="2" t="s">
        <v>82</v>
      </c>
      <c r="BE181" s="2">
        <v>13</v>
      </c>
      <c r="BF181" s="2" t="s">
        <v>108</v>
      </c>
      <c r="BG181" s="2">
        <v>1781</v>
      </c>
      <c r="BH181" s="4">
        <v>0.76180555555555562</v>
      </c>
      <c r="BI181" s="4">
        <v>0.80347222222222225</v>
      </c>
      <c r="BJ181" s="2">
        <v>13</v>
      </c>
      <c r="BK181" s="2" t="s">
        <v>91</v>
      </c>
      <c r="BL181" s="2" t="s">
        <v>1026</v>
      </c>
      <c r="BM181" s="2">
        <v>241</v>
      </c>
      <c r="BN181" s="2" t="s">
        <v>82</v>
      </c>
      <c r="BO181" s="2" t="s">
        <v>82</v>
      </c>
      <c r="BP181" s="2">
        <v>13</v>
      </c>
      <c r="BQ181" s="2" t="s">
        <v>91</v>
      </c>
      <c r="BR181" s="2" t="s">
        <v>185</v>
      </c>
      <c r="BS181" s="3">
        <v>40193</v>
      </c>
      <c r="BT181" s="4">
        <v>0.9848958333333333</v>
      </c>
    </row>
    <row r="182" spans="1:72" x14ac:dyDescent="0.25">
      <c r="A182" s="2">
        <v>273</v>
      </c>
      <c r="B182" s="2">
        <v>2010</v>
      </c>
      <c r="C182" s="2" t="s">
        <v>72</v>
      </c>
      <c r="D182" s="2" t="s">
        <v>73</v>
      </c>
      <c r="E182" s="2"/>
      <c r="F182" s="2">
        <v>1</v>
      </c>
      <c r="G182" s="2" t="s">
        <v>82</v>
      </c>
      <c r="H182" s="2">
        <v>1</v>
      </c>
      <c r="I182" s="2" t="s">
        <v>82</v>
      </c>
      <c r="J182" s="2">
        <v>1</v>
      </c>
      <c r="K182" s="2" t="s">
        <v>107</v>
      </c>
      <c r="L182" s="2" t="s">
        <v>107</v>
      </c>
      <c r="M182" s="3">
        <v>40194</v>
      </c>
      <c r="N182" s="2" t="s">
        <v>82</v>
      </c>
      <c r="O182" s="2" t="s">
        <v>107</v>
      </c>
      <c r="P182" s="2" t="s">
        <v>107</v>
      </c>
      <c r="Q182" s="2" t="str">
        <f>"031-E/10"</f>
        <v>031-E/10</v>
      </c>
      <c r="R182" s="2" t="s">
        <v>116</v>
      </c>
      <c r="S182" s="2" t="s">
        <v>116</v>
      </c>
      <c r="T182" s="2">
        <v>1</v>
      </c>
      <c r="U182" s="2" t="s">
        <v>79</v>
      </c>
      <c r="V182" s="2">
        <v>1</v>
      </c>
      <c r="W182" s="2" t="s">
        <v>80</v>
      </c>
      <c r="X182" s="2">
        <v>5</v>
      </c>
      <c r="Y182" s="2" t="s">
        <v>82</v>
      </c>
      <c r="Z182" s="2">
        <v>1</v>
      </c>
      <c r="AA182" s="2" t="s">
        <v>82</v>
      </c>
      <c r="AB182" s="2">
        <v>6</v>
      </c>
      <c r="AC182" s="2" t="s">
        <v>83</v>
      </c>
      <c r="AD182" s="3">
        <v>40194</v>
      </c>
      <c r="AE182" s="4">
        <v>0.43055555555555558</v>
      </c>
      <c r="AF182" s="3">
        <v>40194</v>
      </c>
      <c r="AG182" s="4">
        <v>0.47916666666666669</v>
      </c>
      <c r="AH182" s="2">
        <v>2</v>
      </c>
      <c r="AI182" s="2" t="s">
        <v>84</v>
      </c>
      <c r="AJ182" s="2">
        <v>9</v>
      </c>
      <c r="AK182" s="2" t="s">
        <v>103</v>
      </c>
      <c r="AL182" s="2">
        <v>13</v>
      </c>
      <c r="AM182" s="2" t="s">
        <v>117</v>
      </c>
      <c r="AN182" s="2" t="s">
        <v>1027</v>
      </c>
      <c r="AO182" s="2" t="s">
        <v>1028</v>
      </c>
      <c r="AP182" s="2">
        <v>11</v>
      </c>
      <c r="AQ182" s="2" t="s">
        <v>82</v>
      </c>
      <c r="AR182" s="2"/>
      <c r="AS182" s="2"/>
      <c r="AT182" s="2" t="s">
        <v>1029</v>
      </c>
      <c r="AU182" s="2"/>
      <c r="AV182" s="2"/>
      <c r="AW182" s="2"/>
      <c r="AX182" s="2"/>
      <c r="AY182" s="2">
        <v>41</v>
      </c>
      <c r="AZ182" s="2" t="s">
        <v>82</v>
      </c>
      <c r="BA182" s="2">
        <v>41</v>
      </c>
      <c r="BB182" s="2" t="s">
        <v>82</v>
      </c>
      <c r="BC182" s="2">
        <v>41</v>
      </c>
      <c r="BD182" s="2" t="s">
        <v>82</v>
      </c>
      <c r="BE182" s="2">
        <v>41</v>
      </c>
      <c r="BF182" s="2" t="s">
        <v>82</v>
      </c>
      <c r="BG182" s="2"/>
      <c r="BH182" s="2"/>
      <c r="BI182" s="2"/>
      <c r="BJ182" s="2">
        <v>241</v>
      </c>
      <c r="BK182" s="2" t="s">
        <v>82</v>
      </c>
      <c r="BL182" s="2"/>
      <c r="BM182" s="2">
        <v>241</v>
      </c>
      <c r="BN182" s="2" t="s">
        <v>82</v>
      </c>
      <c r="BO182" s="2"/>
      <c r="BP182" s="2">
        <v>241</v>
      </c>
      <c r="BQ182" s="2" t="s">
        <v>82</v>
      </c>
      <c r="BR182" s="2"/>
      <c r="BS182" s="3">
        <v>40194</v>
      </c>
      <c r="BT182" s="4">
        <v>0.52585648148148145</v>
      </c>
    </row>
    <row r="183" spans="1:72" x14ac:dyDescent="0.25">
      <c r="A183" s="2">
        <v>276</v>
      </c>
      <c r="B183" s="2">
        <v>2010</v>
      </c>
      <c r="C183" s="2" t="s">
        <v>171</v>
      </c>
      <c r="D183" s="2" t="s">
        <v>73</v>
      </c>
      <c r="E183" s="2"/>
      <c r="F183" s="2">
        <v>155</v>
      </c>
      <c r="G183" s="2" t="s">
        <v>1030</v>
      </c>
      <c r="H183" s="2">
        <v>10</v>
      </c>
      <c r="I183" s="2" t="s">
        <v>1031</v>
      </c>
      <c r="J183" s="2">
        <v>167</v>
      </c>
      <c r="K183" s="2" t="s">
        <v>1032</v>
      </c>
      <c r="L183" s="2" t="s">
        <v>1033</v>
      </c>
      <c r="M183" s="3">
        <v>40194</v>
      </c>
      <c r="N183" s="2" t="s">
        <v>1034</v>
      </c>
      <c r="O183" s="2"/>
      <c r="P183" s="2"/>
      <c r="Q183" s="2" t="str">
        <f>"017-A/10"</f>
        <v>017-A/10</v>
      </c>
      <c r="R183" s="2"/>
      <c r="S183" s="2" t="s">
        <v>1035</v>
      </c>
      <c r="T183" s="2">
        <v>1</v>
      </c>
      <c r="U183" s="2" t="s">
        <v>79</v>
      </c>
      <c r="V183" s="2">
        <v>1</v>
      </c>
      <c r="W183" s="2" t="s">
        <v>80</v>
      </c>
      <c r="X183" s="2">
        <v>1</v>
      </c>
      <c r="Y183" s="2" t="s">
        <v>81</v>
      </c>
      <c r="Z183" s="2">
        <v>1</v>
      </c>
      <c r="AA183" s="2" t="s">
        <v>82</v>
      </c>
      <c r="AB183" s="2">
        <v>1</v>
      </c>
      <c r="AC183" s="2" t="s">
        <v>178</v>
      </c>
      <c r="AD183" s="3">
        <v>40194</v>
      </c>
      <c r="AE183" s="4">
        <v>0.3923611111111111</v>
      </c>
      <c r="AF183" s="2"/>
      <c r="AG183" s="2"/>
      <c r="AH183" s="2">
        <v>2</v>
      </c>
      <c r="AI183" s="2" t="s">
        <v>84</v>
      </c>
      <c r="AJ183" s="2">
        <v>12</v>
      </c>
      <c r="AK183" s="2" t="s">
        <v>85</v>
      </c>
      <c r="AL183" s="2">
        <v>11</v>
      </c>
      <c r="AM183" s="2" t="s">
        <v>137</v>
      </c>
      <c r="AN183" s="2" t="s">
        <v>1036</v>
      </c>
      <c r="AO183" s="2" t="s">
        <v>1037</v>
      </c>
      <c r="AP183" s="2">
        <v>11</v>
      </c>
      <c r="AQ183" s="2" t="s">
        <v>82</v>
      </c>
      <c r="AR183" s="2"/>
      <c r="AS183" s="2"/>
      <c r="AT183" s="2" t="s">
        <v>1038</v>
      </c>
      <c r="AU183" s="2">
        <v>1</v>
      </c>
      <c r="AV183" s="2"/>
      <c r="AW183" s="2"/>
      <c r="AX183" s="2"/>
      <c r="AY183" s="2">
        <v>41</v>
      </c>
      <c r="AZ183" s="2" t="s">
        <v>82</v>
      </c>
      <c r="BA183" s="2">
        <v>41</v>
      </c>
      <c r="BB183" s="2" t="s">
        <v>82</v>
      </c>
      <c r="BC183" s="2">
        <v>41</v>
      </c>
      <c r="BD183" s="2" t="s">
        <v>82</v>
      </c>
      <c r="BE183" s="2">
        <v>13</v>
      </c>
      <c r="BF183" s="2" t="s">
        <v>108</v>
      </c>
      <c r="BG183" s="2" t="s">
        <v>1039</v>
      </c>
      <c r="BH183" s="2"/>
      <c r="BI183" s="4">
        <v>0.40277777777777773</v>
      </c>
      <c r="BJ183" s="2">
        <v>13</v>
      </c>
      <c r="BK183" s="2" t="s">
        <v>91</v>
      </c>
      <c r="BL183" s="2" t="s">
        <v>1040</v>
      </c>
      <c r="BM183" s="2">
        <v>241</v>
      </c>
      <c r="BN183" s="2" t="s">
        <v>82</v>
      </c>
      <c r="BO183" s="2"/>
      <c r="BP183" s="2">
        <v>13</v>
      </c>
      <c r="BQ183" s="2" t="s">
        <v>91</v>
      </c>
      <c r="BR183" s="2" t="s">
        <v>332</v>
      </c>
      <c r="BS183" s="3">
        <v>40194</v>
      </c>
      <c r="BT183" s="4">
        <v>0.84304398148148152</v>
      </c>
    </row>
    <row r="184" spans="1:72" x14ac:dyDescent="0.25">
      <c r="A184" s="2">
        <v>278</v>
      </c>
      <c r="B184" s="2">
        <v>2010</v>
      </c>
      <c r="C184" s="2" t="s">
        <v>549</v>
      </c>
      <c r="D184" s="2" t="s">
        <v>73</v>
      </c>
      <c r="E184" s="2"/>
      <c r="F184" s="2">
        <v>3</v>
      </c>
      <c r="G184" s="2" t="s">
        <v>1041</v>
      </c>
      <c r="H184" s="2">
        <v>1</v>
      </c>
      <c r="I184" s="2" t="s">
        <v>82</v>
      </c>
      <c r="J184" s="2">
        <v>368</v>
      </c>
      <c r="K184" s="2" t="s">
        <v>1042</v>
      </c>
      <c r="L184" s="2" t="s">
        <v>1043</v>
      </c>
      <c r="M184" s="3">
        <v>40194</v>
      </c>
      <c r="N184" s="2"/>
      <c r="O184" s="2" t="s">
        <v>82</v>
      </c>
      <c r="P184" s="2" t="s">
        <v>82</v>
      </c>
      <c r="Q184" s="2" t="str">
        <f>"032-E/10"</f>
        <v>032-E/10</v>
      </c>
      <c r="R184" s="2" t="s">
        <v>82</v>
      </c>
      <c r="S184" s="2" t="s">
        <v>1044</v>
      </c>
      <c r="T184" s="2">
        <v>1</v>
      </c>
      <c r="U184" s="2" t="s">
        <v>79</v>
      </c>
      <c r="V184" s="2">
        <v>1</v>
      </c>
      <c r="W184" s="2" t="s">
        <v>80</v>
      </c>
      <c r="X184" s="2">
        <v>5</v>
      </c>
      <c r="Y184" s="2" t="s">
        <v>82</v>
      </c>
      <c r="Z184" s="2">
        <v>1</v>
      </c>
      <c r="AA184" s="2" t="s">
        <v>82</v>
      </c>
      <c r="AB184" s="2">
        <v>9</v>
      </c>
      <c r="AC184" s="2" t="s">
        <v>124</v>
      </c>
      <c r="AD184" s="3">
        <v>40194</v>
      </c>
      <c r="AE184" s="4">
        <v>0.77777777777777779</v>
      </c>
      <c r="AF184" s="3">
        <v>40194</v>
      </c>
      <c r="AG184" s="4">
        <v>0.80555555555555547</v>
      </c>
      <c r="AH184" s="2">
        <v>2</v>
      </c>
      <c r="AI184" s="2" t="s">
        <v>84</v>
      </c>
      <c r="AJ184" s="2">
        <v>9</v>
      </c>
      <c r="AK184" s="2" t="s">
        <v>103</v>
      </c>
      <c r="AL184" s="2">
        <v>18</v>
      </c>
      <c r="AM184" s="2" t="s">
        <v>82</v>
      </c>
      <c r="AN184" s="2" t="s">
        <v>1045</v>
      </c>
      <c r="AO184" s="2" t="s">
        <v>1046</v>
      </c>
      <c r="AP184" s="2">
        <v>11</v>
      </c>
      <c r="AQ184" s="2" t="s">
        <v>82</v>
      </c>
      <c r="AR184" s="2"/>
      <c r="AS184" s="2"/>
      <c r="AT184" s="2" t="s">
        <v>1047</v>
      </c>
      <c r="AU184" s="2"/>
      <c r="AV184" s="2"/>
      <c r="AW184" s="2"/>
      <c r="AX184" s="2"/>
      <c r="AY184" s="2">
        <v>41</v>
      </c>
      <c r="AZ184" s="2" t="s">
        <v>82</v>
      </c>
      <c r="BA184" s="2">
        <v>41</v>
      </c>
      <c r="BB184" s="2" t="s">
        <v>82</v>
      </c>
      <c r="BC184" s="2">
        <v>41</v>
      </c>
      <c r="BD184" s="2" t="s">
        <v>82</v>
      </c>
      <c r="BE184" s="2">
        <v>41</v>
      </c>
      <c r="BF184" s="2" t="s">
        <v>82</v>
      </c>
      <c r="BG184" s="2"/>
      <c r="BH184" s="2"/>
      <c r="BI184" s="2"/>
      <c r="BJ184" s="2">
        <v>241</v>
      </c>
      <c r="BK184" s="2" t="s">
        <v>82</v>
      </c>
      <c r="BL184" s="2"/>
      <c r="BM184" s="2">
        <v>241</v>
      </c>
      <c r="BN184" s="2" t="s">
        <v>82</v>
      </c>
      <c r="BO184" s="2"/>
      <c r="BP184" s="2">
        <v>241</v>
      </c>
      <c r="BQ184" s="2" t="s">
        <v>82</v>
      </c>
      <c r="BR184" s="2"/>
      <c r="BS184" s="3">
        <v>40194</v>
      </c>
      <c r="BT184" s="4">
        <v>0.96989583333333329</v>
      </c>
    </row>
    <row r="185" spans="1:72" x14ac:dyDescent="0.25">
      <c r="A185" s="2">
        <v>279</v>
      </c>
      <c r="B185" s="2">
        <v>2010</v>
      </c>
      <c r="C185" s="2" t="s">
        <v>414</v>
      </c>
      <c r="D185" s="2" t="s">
        <v>122</v>
      </c>
      <c r="E185" s="2"/>
      <c r="F185" s="2">
        <v>442</v>
      </c>
      <c r="G185" s="2" t="s">
        <v>770</v>
      </c>
      <c r="H185" s="2">
        <v>22</v>
      </c>
      <c r="I185" s="2" t="s">
        <v>75</v>
      </c>
      <c r="J185" s="2">
        <v>159</v>
      </c>
      <c r="K185" s="2" t="s">
        <v>771</v>
      </c>
      <c r="L185" s="2" t="s">
        <v>772</v>
      </c>
      <c r="M185" s="3">
        <v>40195</v>
      </c>
      <c r="N185" s="2" t="s">
        <v>1048</v>
      </c>
      <c r="O185" s="2" t="s">
        <v>82</v>
      </c>
      <c r="P185" s="2" t="s">
        <v>82</v>
      </c>
      <c r="Q185" s="2" t="str">
        <f>"AP 0006_10"</f>
        <v>AP 0006_10</v>
      </c>
      <c r="R185" s="2" t="s">
        <v>82</v>
      </c>
      <c r="S185" s="2" t="s">
        <v>1049</v>
      </c>
      <c r="T185" s="2">
        <v>1</v>
      </c>
      <c r="U185" s="2" t="s">
        <v>79</v>
      </c>
      <c r="V185" s="2">
        <v>1</v>
      </c>
      <c r="W185" s="2" t="s">
        <v>80</v>
      </c>
      <c r="X185" s="2">
        <v>5</v>
      </c>
      <c r="Y185" s="2" t="s">
        <v>82</v>
      </c>
      <c r="Z185" s="2">
        <v>1</v>
      </c>
      <c r="AA185" s="2" t="s">
        <v>82</v>
      </c>
      <c r="AB185" s="2">
        <v>9</v>
      </c>
      <c r="AC185" s="2" t="s">
        <v>124</v>
      </c>
      <c r="AD185" s="3">
        <v>40195</v>
      </c>
      <c r="AE185" s="4">
        <v>0.35416666666666669</v>
      </c>
      <c r="AF185" s="2"/>
      <c r="AG185" s="2"/>
      <c r="AH185" s="2">
        <v>6</v>
      </c>
      <c r="AI185" s="2" t="s">
        <v>197</v>
      </c>
      <c r="AJ185" s="2">
        <v>60</v>
      </c>
      <c r="AK185" s="2" t="s">
        <v>543</v>
      </c>
      <c r="AL185" s="2">
        <v>18</v>
      </c>
      <c r="AM185" s="2" t="s">
        <v>82</v>
      </c>
      <c r="AN185" s="2" t="s">
        <v>1050</v>
      </c>
      <c r="AO185" s="2" t="s">
        <v>1051</v>
      </c>
      <c r="AP185" s="2">
        <v>11</v>
      </c>
      <c r="AQ185" s="2" t="s">
        <v>82</v>
      </c>
      <c r="AR185" s="2"/>
      <c r="AS185" s="2"/>
      <c r="AT185" s="2" t="s">
        <v>1052</v>
      </c>
      <c r="AU185" s="2"/>
      <c r="AV185" s="2"/>
      <c r="AW185" s="2"/>
      <c r="AX185" s="2"/>
      <c r="AY185" s="2">
        <v>1</v>
      </c>
      <c r="AZ185" s="2" t="s">
        <v>107</v>
      </c>
      <c r="BA185" s="2">
        <v>1</v>
      </c>
      <c r="BB185" s="2" t="s">
        <v>107</v>
      </c>
      <c r="BC185" s="2">
        <v>1</v>
      </c>
      <c r="BD185" s="2" t="s">
        <v>107</v>
      </c>
      <c r="BE185" s="2">
        <v>1</v>
      </c>
      <c r="BF185" s="2" t="s">
        <v>107</v>
      </c>
      <c r="BG185" s="2"/>
      <c r="BH185" s="2"/>
      <c r="BI185" s="2"/>
      <c r="BJ185" s="2">
        <v>242</v>
      </c>
      <c r="BK185" s="2" t="s">
        <v>107</v>
      </c>
      <c r="BL185" s="2"/>
      <c r="BM185" s="2">
        <v>242</v>
      </c>
      <c r="BN185" s="2" t="s">
        <v>107</v>
      </c>
      <c r="BO185" s="2"/>
      <c r="BP185" s="2">
        <v>242</v>
      </c>
      <c r="BQ185" s="2" t="s">
        <v>107</v>
      </c>
      <c r="BR185" s="2"/>
      <c r="BS185" s="3">
        <v>40195</v>
      </c>
      <c r="BT185" s="4">
        <v>0.47182870370370367</v>
      </c>
    </row>
    <row r="186" spans="1:72" x14ac:dyDescent="0.25">
      <c r="A186" s="2">
        <v>280</v>
      </c>
      <c r="B186" s="2">
        <v>2010</v>
      </c>
      <c r="C186" s="2" t="s">
        <v>457</v>
      </c>
      <c r="D186" s="2" t="s">
        <v>73</v>
      </c>
      <c r="E186" s="2"/>
      <c r="F186" s="2">
        <v>467</v>
      </c>
      <c r="G186" s="2" t="s">
        <v>1053</v>
      </c>
      <c r="H186" s="2">
        <v>22</v>
      </c>
      <c r="I186" s="2" t="s">
        <v>75</v>
      </c>
      <c r="J186" s="2">
        <v>369</v>
      </c>
      <c r="K186" s="2" t="s">
        <v>1054</v>
      </c>
      <c r="L186" s="2" t="s">
        <v>1055</v>
      </c>
      <c r="M186" s="3">
        <v>40195</v>
      </c>
      <c r="N186" s="2" t="s">
        <v>1056</v>
      </c>
      <c r="O186" s="2" t="s">
        <v>1057</v>
      </c>
      <c r="P186" s="2" t="s">
        <v>1058</v>
      </c>
      <c r="Q186" s="2" t="str">
        <f>""</f>
        <v/>
      </c>
      <c r="R186" s="2"/>
      <c r="S186" s="2"/>
      <c r="T186" s="2">
        <v>1</v>
      </c>
      <c r="U186" s="2" t="s">
        <v>79</v>
      </c>
      <c r="V186" s="2">
        <v>1</v>
      </c>
      <c r="W186" s="2" t="s">
        <v>80</v>
      </c>
      <c r="X186" s="2">
        <v>4</v>
      </c>
      <c r="Y186" s="2" t="s">
        <v>463</v>
      </c>
      <c r="Z186" s="2">
        <v>6</v>
      </c>
      <c r="AA186" s="2" t="s">
        <v>101</v>
      </c>
      <c r="AB186" s="2">
        <v>9</v>
      </c>
      <c r="AC186" s="2" t="s">
        <v>124</v>
      </c>
      <c r="AD186" s="3">
        <v>40195</v>
      </c>
      <c r="AE186" s="4">
        <v>0.40625</v>
      </c>
      <c r="AF186" s="2"/>
      <c r="AG186" s="2"/>
      <c r="AH186" s="2">
        <v>4</v>
      </c>
      <c r="AI186" s="2" t="s">
        <v>125</v>
      </c>
      <c r="AJ186" s="2">
        <v>29</v>
      </c>
      <c r="AK186" s="2" t="s">
        <v>227</v>
      </c>
      <c r="AL186" s="2">
        <v>11</v>
      </c>
      <c r="AM186" s="2" t="s">
        <v>137</v>
      </c>
      <c r="AN186" s="2"/>
      <c r="AO186" s="2" t="s">
        <v>1059</v>
      </c>
      <c r="AP186" s="2">
        <v>11</v>
      </c>
      <c r="AQ186" s="2" t="s">
        <v>82</v>
      </c>
      <c r="AR186" s="2"/>
      <c r="AS186" s="2"/>
      <c r="AT186" s="2" t="s">
        <v>1060</v>
      </c>
      <c r="AU186" s="2"/>
      <c r="AV186" s="2"/>
      <c r="AW186" s="2"/>
      <c r="AX186" s="2"/>
      <c r="AY186" s="2">
        <v>41</v>
      </c>
      <c r="AZ186" s="2" t="s">
        <v>82</v>
      </c>
      <c r="BA186" s="2">
        <v>41</v>
      </c>
      <c r="BB186" s="2" t="s">
        <v>82</v>
      </c>
      <c r="BC186" s="2">
        <v>41</v>
      </c>
      <c r="BD186" s="2" t="s">
        <v>82</v>
      </c>
      <c r="BE186" s="2">
        <v>19</v>
      </c>
      <c r="BF186" s="2" t="s">
        <v>1061</v>
      </c>
      <c r="BG186" s="2">
        <v>250</v>
      </c>
      <c r="BH186" s="4">
        <v>0.37847222222222227</v>
      </c>
      <c r="BI186" s="4">
        <v>0.40972222222222227</v>
      </c>
      <c r="BJ186" s="2">
        <v>29</v>
      </c>
      <c r="BK186" s="2" t="s">
        <v>962</v>
      </c>
      <c r="BL186" s="2" t="s">
        <v>963</v>
      </c>
      <c r="BM186" s="2">
        <v>13</v>
      </c>
      <c r="BN186" s="2" t="s">
        <v>91</v>
      </c>
      <c r="BO186" s="2" t="s">
        <v>828</v>
      </c>
      <c r="BP186" s="2">
        <v>29</v>
      </c>
      <c r="BQ186" s="2" t="s">
        <v>962</v>
      </c>
      <c r="BR186" s="2" t="s">
        <v>963</v>
      </c>
      <c r="BS186" s="3">
        <v>40195</v>
      </c>
      <c r="BT186" s="4">
        <v>0.54787037037037034</v>
      </c>
    </row>
    <row r="187" spans="1:72" x14ac:dyDescent="0.25">
      <c r="A187" s="2">
        <v>281</v>
      </c>
      <c r="B187" s="2">
        <v>2010</v>
      </c>
      <c r="C187" s="2" t="s">
        <v>196</v>
      </c>
      <c r="D187" s="2" t="s">
        <v>122</v>
      </c>
      <c r="E187" s="2"/>
      <c r="F187" s="2">
        <v>1</v>
      </c>
      <c r="G187" s="2" t="s">
        <v>82</v>
      </c>
      <c r="H187" s="2">
        <v>1</v>
      </c>
      <c r="I187" s="2" t="s">
        <v>82</v>
      </c>
      <c r="J187" s="2">
        <v>1</v>
      </c>
      <c r="K187" s="2" t="s">
        <v>107</v>
      </c>
      <c r="L187" s="2" t="s">
        <v>107</v>
      </c>
      <c r="M187" s="3">
        <v>40195</v>
      </c>
      <c r="N187" s="2"/>
      <c r="O187" s="2"/>
      <c r="P187" s="2"/>
      <c r="Q187" s="2" t="str">
        <f>""</f>
        <v/>
      </c>
      <c r="R187" s="2"/>
      <c r="S187" s="2"/>
      <c r="T187" s="2">
        <v>2</v>
      </c>
      <c r="U187" s="2" t="s">
        <v>123</v>
      </c>
      <c r="V187" s="2">
        <v>1</v>
      </c>
      <c r="W187" s="2" t="s">
        <v>80</v>
      </c>
      <c r="X187" s="2">
        <v>5</v>
      </c>
      <c r="Y187" s="2" t="s">
        <v>82</v>
      </c>
      <c r="Z187" s="2">
        <v>1</v>
      </c>
      <c r="AA187" s="2" t="s">
        <v>82</v>
      </c>
      <c r="AB187" s="2">
        <v>9</v>
      </c>
      <c r="AC187" s="2" t="s">
        <v>124</v>
      </c>
      <c r="AD187" s="3">
        <v>40195</v>
      </c>
      <c r="AE187" s="4">
        <v>0.65277777777777779</v>
      </c>
      <c r="AF187" s="2"/>
      <c r="AG187" s="2"/>
      <c r="AH187" s="2">
        <v>6</v>
      </c>
      <c r="AI187" s="2" t="s">
        <v>197</v>
      </c>
      <c r="AJ187" s="2">
        <v>58</v>
      </c>
      <c r="AK187" s="2" t="s">
        <v>406</v>
      </c>
      <c r="AL187" s="2">
        <v>18</v>
      </c>
      <c r="AM187" s="2" t="s">
        <v>82</v>
      </c>
      <c r="AN187" s="2" t="s">
        <v>1062</v>
      </c>
      <c r="AO187" s="2" t="s">
        <v>259</v>
      </c>
      <c r="AP187" s="2">
        <v>11</v>
      </c>
      <c r="AQ187" s="2" t="s">
        <v>82</v>
      </c>
      <c r="AR187" s="2" t="s">
        <v>107</v>
      </c>
      <c r="AS187" s="2" t="s">
        <v>107</v>
      </c>
      <c r="AT187" s="2" t="s">
        <v>1063</v>
      </c>
      <c r="AU187" s="2"/>
      <c r="AV187" s="2"/>
      <c r="AW187" s="2"/>
      <c r="AX187" s="2"/>
      <c r="AY187" s="2">
        <v>1</v>
      </c>
      <c r="AZ187" s="2" t="s">
        <v>107</v>
      </c>
      <c r="BA187" s="2">
        <v>1</v>
      </c>
      <c r="BB187" s="2" t="s">
        <v>107</v>
      </c>
      <c r="BC187" s="2">
        <v>1</v>
      </c>
      <c r="BD187" s="2" t="s">
        <v>107</v>
      </c>
      <c r="BE187" s="2">
        <v>1</v>
      </c>
      <c r="BF187" s="2" t="s">
        <v>107</v>
      </c>
      <c r="BG187" s="2" t="s">
        <v>265</v>
      </c>
      <c r="BH187" s="2"/>
      <c r="BI187" s="4">
        <v>0.65277777777777779</v>
      </c>
      <c r="BJ187" s="2">
        <v>242</v>
      </c>
      <c r="BK187" s="2" t="s">
        <v>107</v>
      </c>
      <c r="BL187" s="2" t="s">
        <v>107</v>
      </c>
      <c r="BM187" s="2">
        <v>242</v>
      </c>
      <c r="BN187" s="2" t="s">
        <v>107</v>
      </c>
      <c r="BO187" s="2" t="s">
        <v>107</v>
      </c>
      <c r="BP187" s="2">
        <v>242</v>
      </c>
      <c r="BQ187" s="2" t="s">
        <v>107</v>
      </c>
      <c r="BR187" s="2" t="s">
        <v>204</v>
      </c>
      <c r="BS187" s="3">
        <v>40195</v>
      </c>
      <c r="BT187" s="4">
        <v>0.67011574074074076</v>
      </c>
    </row>
    <row r="188" spans="1:72" x14ac:dyDescent="0.25">
      <c r="A188" s="2">
        <v>282</v>
      </c>
      <c r="B188" s="2">
        <v>2010</v>
      </c>
      <c r="C188" s="2" t="s">
        <v>726</v>
      </c>
      <c r="D188" s="2" t="s">
        <v>73</v>
      </c>
      <c r="E188" s="2"/>
      <c r="F188" s="2">
        <v>390</v>
      </c>
      <c r="G188" s="2" t="s">
        <v>475</v>
      </c>
      <c r="H188" s="2">
        <v>7</v>
      </c>
      <c r="I188" s="2" t="s">
        <v>476</v>
      </c>
      <c r="J188" s="2">
        <v>314</v>
      </c>
      <c r="K188" s="2" t="s">
        <v>477</v>
      </c>
      <c r="L188" s="2" t="s">
        <v>478</v>
      </c>
      <c r="M188" s="3">
        <v>40195</v>
      </c>
      <c r="N188" s="2" t="s">
        <v>580</v>
      </c>
      <c r="O188" s="2"/>
      <c r="P188" s="2"/>
      <c r="Q188" s="2" t="str">
        <f>"033-E/10"</f>
        <v>033-E/10</v>
      </c>
      <c r="R188" s="2" t="s">
        <v>480</v>
      </c>
      <c r="S188" s="2" t="s">
        <v>480</v>
      </c>
      <c r="T188" s="2">
        <v>1</v>
      </c>
      <c r="U188" s="2" t="s">
        <v>79</v>
      </c>
      <c r="V188" s="2">
        <v>1</v>
      </c>
      <c r="W188" s="2" t="s">
        <v>80</v>
      </c>
      <c r="X188" s="2">
        <v>1</v>
      </c>
      <c r="Y188" s="2" t="s">
        <v>81</v>
      </c>
      <c r="Z188" s="2">
        <v>1</v>
      </c>
      <c r="AA188" s="2" t="s">
        <v>82</v>
      </c>
      <c r="AB188" s="2">
        <v>9</v>
      </c>
      <c r="AC188" s="2" t="s">
        <v>124</v>
      </c>
      <c r="AD188" s="3">
        <v>40195</v>
      </c>
      <c r="AE188" s="4">
        <v>0.27777777777777779</v>
      </c>
      <c r="AF188" s="3">
        <v>40195</v>
      </c>
      <c r="AG188" s="4">
        <v>0.35416666666666669</v>
      </c>
      <c r="AH188" s="2">
        <v>2</v>
      </c>
      <c r="AI188" s="2" t="s">
        <v>84</v>
      </c>
      <c r="AJ188" s="2">
        <v>9</v>
      </c>
      <c r="AK188" s="2" t="s">
        <v>103</v>
      </c>
      <c r="AL188" s="2">
        <v>14</v>
      </c>
      <c r="AM188" s="2" t="s">
        <v>216</v>
      </c>
      <c r="AN188" s="2" t="s">
        <v>1064</v>
      </c>
      <c r="AO188" s="2"/>
      <c r="AP188" s="2">
        <v>11</v>
      </c>
      <c r="AQ188" s="2" t="s">
        <v>82</v>
      </c>
      <c r="AR188" s="2"/>
      <c r="AS188" s="2"/>
      <c r="AT188" s="2" t="s">
        <v>1065</v>
      </c>
      <c r="AU188" s="2"/>
      <c r="AV188" s="2"/>
      <c r="AW188" s="2"/>
      <c r="AX188" s="2"/>
      <c r="AY188" s="2">
        <v>41</v>
      </c>
      <c r="AZ188" s="2" t="s">
        <v>82</v>
      </c>
      <c r="BA188" s="2">
        <v>41</v>
      </c>
      <c r="BB188" s="2" t="s">
        <v>82</v>
      </c>
      <c r="BC188" s="2">
        <v>41</v>
      </c>
      <c r="BD188" s="2" t="s">
        <v>82</v>
      </c>
      <c r="BE188" s="2">
        <v>13</v>
      </c>
      <c r="BF188" s="2" t="s">
        <v>108</v>
      </c>
      <c r="BG188" s="2" t="s">
        <v>1066</v>
      </c>
      <c r="BH188" s="4">
        <v>0.27083333333333331</v>
      </c>
      <c r="BI188" s="2"/>
      <c r="BJ188" s="2">
        <v>73</v>
      </c>
      <c r="BK188" s="2" t="s">
        <v>186</v>
      </c>
      <c r="BL188" s="2" t="s">
        <v>187</v>
      </c>
      <c r="BM188" s="2">
        <v>241</v>
      </c>
      <c r="BN188" s="2" t="s">
        <v>82</v>
      </c>
      <c r="BO188" s="2"/>
      <c r="BP188" s="2">
        <v>13</v>
      </c>
      <c r="BQ188" s="2" t="s">
        <v>91</v>
      </c>
      <c r="BR188" s="2" t="s">
        <v>1067</v>
      </c>
      <c r="BS188" s="3">
        <v>40195</v>
      </c>
      <c r="BT188" s="4">
        <v>0.68746527777777777</v>
      </c>
    </row>
    <row r="189" spans="1:72" x14ac:dyDescent="0.25">
      <c r="A189" s="2">
        <v>283</v>
      </c>
      <c r="B189" s="2">
        <v>2010</v>
      </c>
      <c r="C189" s="2" t="s">
        <v>726</v>
      </c>
      <c r="D189" s="2" t="s">
        <v>73</v>
      </c>
      <c r="E189" s="2"/>
      <c r="F189" s="2">
        <v>390</v>
      </c>
      <c r="G189" s="2" t="s">
        <v>475</v>
      </c>
      <c r="H189" s="2">
        <v>7</v>
      </c>
      <c r="I189" s="2" t="s">
        <v>476</v>
      </c>
      <c r="J189" s="2">
        <v>314</v>
      </c>
      <c r="K189" s="2" t="s">
        <v>477</v>
      </c>
      <c r="L189" s="2" t="s">
        <v>478</v>
      </c>
      <c r="M189" s="3">
        <v>40195</v>
      </c>
      <c r="N189" s="2" t="s">
        <v>580</v>
      </c>
      <c r="O189" s="2"/>
      <c r="P189" s="2"/>
      <c r="Q189" s="2" t="str">
        <f>"034-E/10"</f>
        <v>034-E/10</v>
      </c>
      <c r="R189" s="2" t="s">
        <v>480</v>
      </c>
      <c r="S189" s="2" t="s">
        <v>480</v>
      </c>
      <c r="T189" s="2">
        <v>1</v>
      </c>
      <c r="U189" s="2" t="s">
        <v>79</v>
      </c>
      <c r="V189" s="2">
        <v>1</v>
      </c>
      <c r="W189" s="2" t="s">
        <v>80</v>
      </c>
      <c r="X189" s="2">
        <v>1</v>
      </c>
      <c r="Y189" s="2" t="s">
        <v>81</v>
      </c>
      <c r="Z189" s="2">
        <v>1</v>
      </c>
      <c r="AA189" s="2" t="s">
        <v>82</v>
      </c>
      <c r="AB189" s="2">
        <v>9</v>
      </c>
      <c r="AC189" s="2" t="s">
        <v>124</v>
      </c>
      <c r="AD189" s="3">
        <v>40195</v>
      </c>
      <c r="AE189" s="4">
        <v>0.28125</v>
      </c>
      <c r="AF189" s="3">
        <v>40195</v>
      </c>
      <c r="AG189" s="4">
        <v>0.4375</v>
      </c>
      <c r="AH189" s="2">
        <v>2</v>
      </c>
      <c r="AI189" s="2" t="s">
        <v>84</v>
      </c>
      <c r="AJ189" s="2">
        <v>9</v>
      </c>
      <c r="AK189" s="2" t="s">
        <v>103</v>
      </c>
      <c r="AL189" s="2">
        <v>14</v>
      </c>
      <c r="AM189" s="2" t="s">
        <v>216</v>
      </c>
      <c r="AN189" s="2" t="s">
        <v>1064</v>
      </c>
      <c r="AO189" s="2"/>
      <c r="AP189" s="2">
        <v>11</v>
      </c>
      <c r="AQ189" s="2" t="s">
        <v>82</v>
      </c>
      <c r="AR189" s="2"/>
      <c r="AS189" s="2"/>
      <c r="AT189" s="2" t="s">
        <v>1068</v>
      </c>
      <c r="AU189" s="2"/>
      <c r="AV189" s="2"/>
      <c r="AW189" s="2"/>
      <c r="AX189" s="2"/>
      <c r="AY189" s="2">
        <v>41</v>
      </c>
      <c r="AZ189" s="2" t="s">
        <v>82</v>
      </c>
      <c r="BA189" s="2">
        <v>41</v>
      </c>
      <c r="BB189" s="2" t="s">
        <v>82</v>
      </c>
      <c r="BC189" s="2">
        <v>41</v>
      </c>
      <c r="BD189" s="2" t="s">
        <v>82</v>
      </c>
      <c r="BE189" s="2">
        <v>13</v>
      </c>
      <c r="BF189" s="2" t="s">
        <v>108</v>
      </c>
      <c r="BG189" s="2" t="s">
        <v>605</v>
      </c>
      <c r="BH189" s="4">
        <v>0.27083333333333331</v>
      </c>
      <c r="BI189" s="2"/>
      <c r="BJ189" s="2">
        <v>73</v>
      </c>
      <c r="BK189" s="2" t="s">
        <v>186</v>
      </c>
      <c r="BL189" s="2" t="s">
        <v>187</v>
      </c>
      <c r="BM189" s="2">
        <v>241</v>
      </c>
      <c r="BN189" s="2" t="s">
        <v>82</v>
      </c>
      <c r="BO189" s="2"/>
      <c r="BP189" s="2">
        <v>13</v>
      </c>
      <c r="BQ189" s="2" t="s">
        <v>91</v>
      </c>
      <c r="BR189" s="2" t="s">
        <v>723</v>
      </c>
      <c r="BS189" s="3">
        <v>40195</v>
      </c>
      <c r="BT189" s="4">
        <v>0.71305555555555555</v>
      </c>
    </row>
    <row r="190" spans="1:72" x14ac:dyDescent="0.25">
      <c r="A190" s="2">
        <v>284</v>
      </c>
      <c r="B190" s="2">
        <v>2010</v>
      </c>
      <c r="C190" s="2" t="s">
        <v>726</v>
      </c>
      <c r="D190" s="2" t="s">
        <v>73</v>
      </c>
      <c r="E190" s="2"/>
      <c r="F190" s="2">
        <v>390</v>
      </c>
      <c r="G190" s="2" t="s">
        <v>475</v>
      </c>
      <c r="H190" s="2">
        <v>7</v>
      </c>
      <c r="I190" s="2" t="s">
        <v>476</v>
      </c>
      <c r="J190" s="2">
        <v>314</v>
      </c>
      <c r="K190" s="2" t="s">
        <v>477</v>
      </c>
      <c r="L190" s="2" t="s">
        <v>478</v>
      </c>
      <c r="M190" s="3">
        <v>40195</v>
      </c>
      <c r="N190" s="2" t="s">
        <v>580</v>
      </c>
      <c r="O190" s="2"/>
      <c r="P190" s="2"/>
      <c r="Q190" s="2" t="str">
        <f>"035-E/10"</f>
        <v>035-E/10</v>
      </c>
      <c r="R190" s="2" t="s">
        <v>480</v>
      </c>
      <c r="S190" s="2" t="s">
        <v>480</v>
      </c>
      <c r="T190" s="2">
        <v>1</v>
      </c>
      <c r="U190" s="2" t="s">
        <v>79</v>
      </c>
      <c r="V190" s="2">
        <v>1</v>
      </c>
      <c r="W190" s="2" t="s">
        <v>80</v>
      </c>
      <c r="X190" s="2">
        <v>1</v>
      </c>
      <c r="Y190" s="2" t="s">
        <v>81</v>
      </c>
      <c r="Z190" s="2">
        <v>1</v>
      </c>
      <c r="AA190" s="2" t="s">
        <v>82</v>
      </c>
      <c r="AB190" s="2">
        <v>9</v>
      </c>
      <c r="AC190" s="2" t="s">
        <v>124</v>
      </c>
      <c r="AD190" s="3">
        <v>40195</v>
      </c>
      <c r="AE190" s="4">
        <v>0.28472222222222221</v>
      </c>
      <c r="AF190" s="3">
        <v>40195</v>
      </c>
      <c r="AG190" s="4">
        <v>0.44444444444444442</v>
      </c>
      <c r="AH190" s="2">
        <v>2</v>
      </c>
      <c r="AI190" s="2" t="s">
        <v>84</v>
      </c>
      <c r="AJ190" s="2">
        <v>9</v>
      </c>
      <c r="AK190" s="2" t="s">
        <v>103</v>
      </c>
      <c r="AL190" s="2">
        <v>14</v>
      </c>
      <c r="AM190" s="2" t="s">
        <v>216</v>
      </c>
      <c r="AN190" s="2" t="s">
        <v>1064</v>
      </c>
      <c r="AO190" s="2"/>
      <c r="AP190" s="2">
        <v>11</v>
      </c>
      <c r="AQ190" s="2" t="s">
        <v>82</v>
      </c>
      <c r="AR190" s="2"/>
      <c r="AS190" s="2"/>
      <c r="AT190" s="2" t="s">
        <v>1069</v>
      </c>
      <c r="AU190" s="2"/>
      <c r="AV190" s="2"/>
      <c r="AW190" s="2"/>
      <c r="AX190" s="2"/>
      <c r="AY190" s="2">
        <v>41</v>
      </c>
      <c r="AZ190" s="2" t="s">
        <v>82</v>
      </c>
      <c r="BA190" s="2">
        <v>41</v>
      </c>
      <c r="BB190" s="2" t="s">
        <v>82</v>
      </c>
      <c r="BC190" s="2">
        <v>41</v>
      </c>
      <c r="BD190" s="2" t="s">
        <v>82</v>
      </c>
      <c r="BE190" s="2">
        <v>13</v>
      </c>
      <c r="BF190" s="2" t="s">
        <v>108</v>
      </c>
      <c r="BG190" s="2" t="s">
        <v>605</v>
      </c>
      <c r="BH190" s="4">
        <v>0.27083333333333331</v>
      </c>
      <c r="BI190" s="2"/>
      <c r="BJ190" s="2">
        <v>73</v>
      </c>
      <c r="BK190" s="2" t="s">
        <v>186</v>
      </c>
      <c r="BL190" s="2" t="s">
        <v>187</v>
      </c>
      <c r="BM190" s="2">
        <v>241</v>
      </c>
      <c r="BN190" s="2" t="s">
        <v>82</v>
      </c>
      <c r="BO190" s="2"/>
      <c r="BP190" s="2">
        <v>13</v>
      </c>
      <c r="BQ190" s="2" t="s">
        <v>91</v>
      </c>
      <c r="BR190" s="2" t="s">
        <v>1070</v>
      </c>
      <c r="BS190" s="3">
        <v>40195</v>
      </c>
      <c r="BT190" s="4">
        <v>0.73898148148148157</v>
      </c>
    </row>
    <row r="191" spans="1:72" x14ac:dyDescent="0.25">
      <c r="A191" s="2">
        <v>285</v>
      </c>
      <c r="B191" s="2">
        <v>2010</v>
      </c>
      <c r="C191" s="2" t="s">
        <v>196</v>
      </c>
      <c r="D191" s="2" t="s">
        <v>122</v>
      </c>
      <c r="E191" s="2"/>
      <c r="F191" s="2">
        <v>1</v>
      </c>
      <c r="G191" s="2" t="s">
        <v>82</v>
      </c>
      <c r="H191" s="2">
        <v>1</v>
      </c>
      <c r="I191" s="2" t="s">
        <v>82</v>
      </c>
      <c r="J191" s="2">
        <v>1</v>
      </c>
      <c r="K191" s="2" t="s">
        <v>107</v>
      </c>
      <c r="L191" s="2" t="s">
        <v>107</v>
      </c>
      <c r="M191" s="3">
        <v>40195</v>
      </c>
      <c r="N191" s="2"/>
      <c r="O191" s="2"/>
      <c r="P191" s="2"/>
      <c r="Q191" s="2" t="str">
        <f>""</f>
        <v/>
      </c>
      <c r="R191" s="2"/>
      <c r="S191" s="2"/>
      <c r="T191" s="2">
        <v>2</v>
      </c>
      <c r="U191" s="2" t="s">
        <v>123</v>
      </c>
      <c r="V191" s="2">
        <v>1</v>
      </c>
      <c r="W191" s="2" t="s">
        <v>80</v>
      </c>
      <c r="X191" s="2">
        <v>5</v>
      </c>
      <c r="Y191" s="2" t="s">
        <v>82</v>
      </c>
      <c r="Z191" s="2">
        <v>1</v>
      </c>
      <c r="AA191" s="2" t="s">
        <v>82</v>
      </c>
      <c r="AB191" s="2">
        <v>9</v>
      </c>
      <c r="AC191" s="2" t="s">
        <v>124</v>
      </c>
      <c r="AD191" s="3">
        <v>40195</v>
      </c>
      <c r="AE191" s="4">
        <v>0.78472222222222221</v>
      </c>
      <c r="AF191" s="2"/>
      <c r="AG191" s="2"/>
      <c r="AH191" s="2">
        <v>6</v>
      </c>
      <c r="AI191" s="2" t="s">
        <v>197</v>
      </c>
      <c r="AJ191" s="2">
        <v>59</v>
      </c>
      <c r="AK191" s="2" t="s">
        <v>198</v>
      </c>
      <c r="AL191" s="2">
        <v>18</v>
      </c>
      <c r="AM191" s="2" t="s">
        <v>82</v>
      </c>
      <c r="AN191" s="2" t="s">
        <v>230</v>
      </c>
      <c r="AO191" s="2" t="s">
        <v>82</v>
      </c>
      <c r="AP191" s="2">
        <v>11</v>
      </c>
      <c r="AQ191" s="2" t="s">
        <v>82</v>
      </c>
      <c r="AR191" s="2"/>
      <c r="AS191" s="2"/>
      <c r="AT191" s="2" t="s">
        <v>1071</v>
      </c>
      <c r="AU191" s="2"/>
      <c r="AV191" s="2"/>
      <c r="AW191" s="2"/>
      <c r="AX191" s="2"/>
      <c r="AY191" s="2">
        <v>1</v>
      </c>
      <c r="AZ191" s="2" t="s">
        <v>107</v>
      </c>
      <c r="BA191" s="2">
        <v>1</v>
      </c>
      <c r="BB191" s="2" t="s">
        <v>107</v>
      </c>
      <c r="BC191" s="2">
        <v>1</v>
      </c>
      <c r="BD191" s="2" t="s">
        <v>107</v>
      </c>
      <c r="BE191" s="2">
        <v>1</v>
      </c>
      <c r="BF191" s="2" t="s">
        <v>107</v>
      </c>
      <c r="BG191" s="2"/>
      <c r="BH191" s="2"/>
      <c r="BI191" s="4">
        <v>0.78472222222222221</v>
      </c>
      <c r="BJ191" s="2">
        <v>242</v>
      </c>
      <c r="BK191" s="2" t="s">
        <v>107</v>
      </c>
      <c r="BL191" s="2"/>
      <c r="BM191" s="2">
        <v>242</v>
      </c>
      <c r="BN191" s="2" t="s">
        <v>107</v>
      </c>
      <c r="BO191" s="2"/>
      <c r="BP191" s="2">
        <v>242</v>
      </c>
      <c r="BQ191" s="2" t="s">
        <v>107</v>
      </c>
      <c r="BR191" s="2" t="s">
        <v>185</v>
      </c>
      <c r="BS191" s="3">
        <v>40195</v>
      </c>
      <c r="BT191" s="4">
        <v>0.79343750000000002</v>
      </c>
    </row>
    <row r="192" spans="1:72" x14ac:dyDescent="0.25">
      <c r="A192" s="2">
        <v>286</v>
      </c>
      <c r="B192" s="2">
        <v>2010</v>
      </c>
      <c r="C192" s="2" t="s">
        <v>819</v>
      </c>
      <c r="D192" s="2" t="s">
        <v>122</v>
      </c>
      <c r="E192" s="2"/>
      <c r="F192" s="2">
        <v>451</v>
      </c>
      <c r="G192" s="2" t="s">
        <v>879</v>
      </c>
      <c r="H192" s="2">
        <v>31</v>
      </c>
      <c r="I192" s="2" t="s">
        <v>880</v>
      </c>
      <c r="J192" s="2">
        <v>326</v>
      </c>
      <c r="K192" s="2" t="s">
        <v>881</v>
      </c>
      <c r="L192" s="2" t="s">
        <v>882</v>
      </c>
      <c r="M192" s="3">
        <v>40195</v>
      </c>
      <c r="N192" s="2" t="s">
        <v>1072</v>
      </c>
      <c r="O192" s="2"/>
      <c r="P192" s="2"/>
      <c r="Q192" s="2" t="str">
        <f>"0012/10"</f>
        <v>0012/10</v>
      </c>
      <c r="R192" s="2"/>
      <c r="S192" s="2" t="s">
        <v>822</v>
      </c>
      <c r="T192" s="2">
        <v>1</v>
      </c>
      <c r="U192" s="2" t="s">
        <v>79</v>
      </c>
      <c r="V192" s="2">
        <v>1</v>
      </c>
      <c r="W192" s="2" t="s">
        <v>80</v>
      </c>
      <c r="X192" s="2">
        <v>1</v>
      </c>
      <c r="Y192" s="2" t="s">
        <v>81</v>
      </c>
      <c r="Z192" s="2">
        <v>10</v>
      </c>
      <c r="AA192" s="2" t="s">
        <v>236</v>
      </c>
      <c r="AB192" s="2">
        <v>9</v>
      </c>
      <c r="AC192" s="2" t="s">
        <v>124</v>
      </c>
      <c r="AD192" s="3">
        <v>40195</v>
      </c>
      <c r="AE192" s="4">
        <v>0.84375</v>
      </c>
      <c r="AF192" s="2"/>
      <c r="AG192" s="2"/>
      <c r="AH192" s="2">
        <v>4</v>
      </c>
      <c r="AI192" s="2" t="s">
        <v>125</v>
      </c>
      <c r="AJ192" s="2">
        <v>29</v>
      </c>
      <c r="AK192" s="2" t="s">
        <v>227</v>
      </c>
      <c r="AL192" s="2">
        <v>10</v>
      </c>
      <c r="AM192" s="2" t="s">
        <v>200</v>
      </c>
      <c r="AN192" s="2" t="s">
        <v>1073</v>
      </c>
      <c r="AO192" s="2" t="s">
        <v>200</v>
      </c>
      <c r="AP192" s="2">
        <v>12</v>
      </c>
      <c r="AQ192" s="2" t="s">
        <v>322</v>
      </c>
      <c r="AR192" s="2" t="s">
        <v>824</v>
      </c>
      <c r="AS192" s="2" t="s">
        <v>825</v>
      </c>
      <c r="AT192" s="2" t="s">
        <v>1074</v>
      </c>
      <c r="AU192" s="2"/>
      <c r="AV192" s="2"/>
      <c r="AW192" s="2"/>
      <c r="AX192" s="2"/>
      <c r="AY192" s="2">
        <v>41</v>
      </c>
      <c r="AZ192" s="2" t="s">
        <v>82</v>
      </c>
      <c r="BA192" s="2">
        <v>41</v>
      </c>
      <c r="BB192" s="2" t="s">
        <v>82</v>
      </c>
      <c r="BC192" s="2">
        <v>47</v>
      </c>
      <c r="BD192" s="2" t="s">
        <v>167</v>
      </c>
      <c r="BE192" s="2">
        <v>47</v>
      </c>
      <c r="BF192" s="2" t="s">
        <v>167</v>
      </c>
      <c r="BG192" s="2">
        <v>1459</v>
      </c>
      <c r="BH192" s="4">
        <v>0.83333333333333337</v>
      </c>
      <c r="BI192" s="4">
        <v>0.86805555555555547</v>
      </c>
      <c r="BJ192" s="2">
        <v>13</v>
      </c>
      <c r="BK192" s="2" t="s">
        <v>91</v>
      </c>
      <c r="BL192" s="2" t="s">
        <v>185</v>
      </c>
      <c r="BM192" s="2">
        <v>13</v>
      </c>
      <c r="BN192" s="2" t="s">
        <v>91</v>
      </c>
      <c r="BO192" s="2" t="s">
        <v>828</v>
      </c>
      <c r="BP192" s="2">
        <v>13</v>
      </c>
      <c r="BQ192" s="2" t="s">
        <v>91</v>
      </c>
      <c r="BR192" s="2" t="s">
        <v>185</v>
      </c>
      <c r="BS192" s="3">
        <v>40195</v>
      </c>
      <c r="BT192" s="4">
        <v>0.87615740740740744</v>
      </c>
    </row>
    <row r="193" spans="1:72" x14ac:dyDescent="0.25">
      <c r="A193" s="2">
        <v>289</v>
      </c>
      <c r="B193" s="2">
        <v>2010</v>
      </c>
      <c r="C193" s="2" t="s">
        <v>196</v>
      </c>
      <c r="D193" s="2" t="s">
        <v>122</v>
      </c>
      <c r="E193" s="2"/>
      <c r="F193" s="2">
        <v>1</v>
      </c>
      <c r="G193" s="2" t="s">
        <v>82</v>
      </c>
      <c r="H193" s="2">
        <v>1</v>
      </c>
      <c r="I193" s="2" t="s">
        <v>82</v>
      </c>
      <c r="J193" s="2">
        <v>1</v>
      </c>
      <c r="K193" s="2" t="s">
        <v>107</v>
      </c>
      <c r="L193" s="2" t="s">
        <v>107</v>
      </c>
      <c r="M193" s="3">
        <v>40195</v>
      </c>
      <c r="N193" s="2" t="s">
        <v>82</v>
      </c>
      <c r="O193" s="2"/>
      <c r="P193" s="2" t="s">
        <v>82</v>
      </c>
      <c r="Q193" s="2" t="str">
        <f>""</f>
        <v/>
      </c>
      <c r="R193" s="2"/>
      <c r="S193" s="2"/>
      <c r="T193" s="2">
        <v>2</v>
      </c>
      <c r="U193" s="2" t="s">
        <v>123</v>
      </c>
      <c r="V193" s="2">
        <v>1</v>
      </c>
      <c r="W193" s="2" t="s">
        <v>80</v>
      </c>
      <c r="X193" s="2">
        <v>1</v>
      </c>
      <c r="Y193" s="2" t="s">
        <v>81</v>
      </c>
      <c r="Z193" s="2">
        <v>10</v>
      </c>
      <c r="AA193" s="2" t="s">
        <v>236</v>
      </c>
      <c r="AB193" s="2">
        <v>9</v>
      </c>
      <c r="AC193" s="2" t="s">
        <v>124</v>
      </c>
      <c r="AD193" s="3">
        <v>40195</v>
      </c>
      <c r="AE193" s="4">
        <v>0.8125</v>
      </c>
      <c r="AF193" s="2"/>
      <c r="AG193" s="2"/>
      <c r="AH193" s="2">
        <v>2</v>
      </c>
      <c r="AI193" s="2" t="s">
        <v>84</v>
      </c>
      <c r="AJ193" s="2">
        <v>12</v>
      </c>
      <c r="AK193" s="2" t="s">
        <v>85</v>
      </c>
      <c r="AL193" s="2">
        <v>20</v>
      </c>
      <c r="AM193" s="2" t="s">
        <v>992</v>
      </c>
      <c r="AN193" s="2"/>
      <c r="AO193" s="2"/>
      <c r="AP193" s="2">
        <v>11</v>
      </c>
      <c r="AQ193" s="2" t="s">
        <v>82</v>
      </c>
      <c r="AR193" s="2"/>
      <c r="AS193" s="2"/>
      <c r="AT193" s="2" t="s">
        <v>1075</v>
      </c>
      <c r="AU193" s="2"/>
      <c r="AV193" s="2"/>
      <c r="AW193" s="2"/>
      <c r="AX193" s="2"/>
      <c r="AY193" s="2">
        <v>41</v>
      </c>
      <c r="AZ193" s="2" t="s">
        <v>82</v>
      </c>
      <c r="BA193" s="2">
        <v>41</v>
      </c>
      <c r="BB193" s="2" t="s">
        <v>82</v>
      </c>
      <c r="BC193" s="2">
        <v>70</v>
      </c>
      <c r="BD193" s="2" t="s">
        <v>236</v>
      </c>
      <c r="BE193" s="2">
        <v>42</v>
      </c>
      <c r="BF193" s="2" t="s">
        <v>182</v>
      </c>
      <c r="BG193" s="2" t="s">
        <v>265</v>
      </c>
      <c r="BH193" s="4">
        <v>0.89583333333333337</v>
      </c>
      <c r="BI193" s="2"/>
      <c r="BJ193" s="2">
        <v>13</v>
      </c>
      <c r="BK193" s="2" t="s">
        <v>91</v>
      </c>
      <c r="BL193" s="2" t="s">
        <v>204</v>
      </c>
      <c r="BM193" s="2">
        <v>241</v>
      </c>
      <c r="BN193" s="2" t="s">
        <v>82</v>
      </c>
      <c r="BO193" s="2"/>
      <c r="BP193" s="2">
        <v>241</v>
      </c>
      <c r="BQ193" s="2" t="s">
        <v>82</v>
      </c>
      <c r="BR193" s="2" t="s">
        <v>170</v>
      </c>
      <c r="BS193" s="3">
        <v>40195</v>
      </c>
      <c r="BT193" s="4">
        <v>0.95502314814814815</v>
      </c>
    </row>
    <row r="194" spans="1:72" x14ac:dyDescent="0.25">
      <c r="A194" s="2">
        <v>290</v>
      </c>
      <c r="B194" s="2">
        <v>2010</v>
      </c>
      <c r="C194" s="2" t="s">
        <v>171</v>
      </c>
      <c r="D194" s="2" t="s">
        <v>73</v>
      </c>
      <c r="E194" s="2"/>
      <c r="F194" s="2">
        <v>395</v>
      </c>
      <c r="G194" s="2" t="s">
        <v>1076</v>
      </c>
      <c r="H194" s="2">
        <v>7</v>
      </c>
      <c r="I194" s="2" t="s">
        <v>476</v>
      </c>
      <c r="J194" s="2">
        <v>242</v>
      </c>
      <c r="K194" s="2" t="s">
        <v>1077</v>
      </c>
      <c r="L194" s="2" t="s">
        <v>1078</v>
      </c>
      <c r="M194" s="3">
        <v>40196</v>
      </c>
      <c r="N194" s="2" t="s">
        <v>1079</v>
      </c>
      <c r="O194" s="2"/>
      <c r="P194" s="2">
        <v>9676</v>
      </c>
      <c r="Q194" s="2" t="str">
        <f>"036-E/10"</f>
        <v>036-E/10</v>
      </c>
      <c r="R194" s="2" t="s">
        <v>1080</v>
      </c>
      <c r="S194" s="2" t="s">
        <v>1080</v>
      </c>
      <c r="T194" s="2">
        <v>1</v>
      </c>
      <c r="U194" s="2" t="s">
        <v>79</v>
      </c>
      <c r="V194" s="2">
        <v>1</v>
      </c>
      <c r="W194" s="2" t="s">
        <v>80</v>
      </c>
      <c r="X194" s="2">
        <v>1</v>
      </c>
      <c r="Y194" s="2" t="s">
        <v>81</v>
      </c>
      <c r="Z194" s="2">
        <v>10</v>
      </c>
      <c r="AA194" s="2" t="s">
        <v>236</v>
      </c>
      <c r="AB194" s="2">
        <v>1</v>
      </c>
      <c r="AC194" s="2" t="s">
        <v>178</v>
      </c>
      <c r="AD194" s="3">
        <v>40195</v>
      </c>
      <c r="AE194" s="4">
        <v>0.66666666666666663</v>
      </c>
      <c r="AF194" s="3">
        <v>40195</v>
      </c>
      <c r="AG194" s="4">
        <v>0.66666666666666663</v>
      </c>
      <c r="AH194" s="2">
        <v>2</v>
      </c>
      <c r="AI194" s="2" t="s">
        <v>84</v>
      </c>
      <c r="AJ194" s="2">
        <v>9</v>
      </c>
      <c r="AK194" s="2" t="s">
        <v>103</v>
      </c>
      <c r="AL194" s="2">
        <v>12</v>
      </c>
      <c r="AM194" s="2" t="s">
        <v>86</v>
      </c>
      <c r="AN194" s="2" t="s">
        <v>1081</v>
      </c>
      <c r="AO194" s="2"/>
      <c r="AP194" s="2">
        <v>11</v>
      </c>
      <c r="AQ194" s="2" t="s">
        <v>82</v>
      </c>
      <c r="AR194" s="2"/>
      <c r="AS194" s="2"/>
      <c r="AT194" s="2" t="s">
        <v>1082</v>
      </c>
      <c r="AU194" s="2">
        <v>1</v>
      </c>
      <c r="AV194" s="2"/>
      <c r="AW194" s="2"/>
      <c r="AX194" s="2"/>
      <c r="AY194" s="2">
        <v>41</v>
      </c>
      <c r="AZ194" s="2" t="s">
        <v>82</v>
      </c>
      <c r="BA194" s="2">
        <v>41</v>
      </c>
      <c r="BB194" s="2" t="s">
        <v>82</v>
      </c>
      <c r="BC194" s="2">
        <v>41</v>
      </c>
      <c r="BD194" s="2" t="s">
        <v>82</v>
      </c>
      <c r="BE194" s="2">
        <v>33</v>
      </c>
      <c r="BF194" s="2" t="s">
        <v>1083</v>
      </c>
      <c r="BG194" s="2">
        <v>227</v>
      </c>
      <c r="BH194" s="2"/>
      <c r="BI194" s="4">
        <v>0.76041666666666663</v>
      </c>
      <c r="BJ194" s="2">
        <v>13</v>
      </c>
      <c r="BK194" s="2" t="s">
        <v>91</v>
      </c>
      <c r="BL194" s="2" t="s">
        <v>1084</v>
      </c>
      <c r="BM194" s="2">
        <v>241</v>
      </c>
      <c r="BN194" s="2" t="s">
        <v>82</v>
      </c>
      <c r="BO194" s="2"/>
      <c r="BP194" s="2">
        <v>205</v>
      </c>
      <c r="BQ194" s="2" t="s">
        <v>1085</v>
      </c>
      <c r="BR194" s="2" t="s">
        <v>1086</v>
      </c>
      <c r="BS194" s="3">
        <v>40196</v>
      </c>
      <c r="BT194" s="4">
        <v>6.2245370370370368E-2</v>
      </c>
    </row>
    <row r="195" spans="1:72" x14ac:dyDescent="0.25">
      <c r="A195" s="2">
        <v>291</v>
      </c>
      <c r="B195" s="2">
        <v>2010</v>
      </c>
      <c r="C195" s="2" t="s">
        <v>594</v>
      </c>
      <c r="D195" s="2" t="s">
        <v>122</v>
      </c>
      <c r="E195" s="2"/>
      <c r="F195" s="2">
        <v>228</v>
      </c>
      <c r="G195" s="2" t="s">
        <v>1087</v>
      </c>
      <c r="H195" s="2">
        <v>6</v>
      </c>
      <c r="I195" s="2" t="s">
        <v>1088</v>
      </c>
      <c r="J195" s="2">
        <v>242</v>
      </c>
      <c r="K195" s="2" t="s">
        <v>1077</v>
      </c>
      <c r="L195" s="2" t="s">
        <v>1078</v>
      </c>
      <c r="M195" s="3">
        <v>40196</v>
      </c>
      <c r="N195" s="2" t="s">
        <v>1089</v>
      </c>
      <c r="O195" s="2" t="s">
        <v>107</v>
      </c>
      <c r="P195" s="2"/>
      <c r="Q195" s="2" t="str">
        <f>"N/C"</f>
        <v>N/C</v>
      </c>
      <c r="R195" s="2" t="s">
        <v>107</v>
      </c>
      <c r="S195" s="2" t="s">
        <v>82</v>
      </c>
      <c r="T195" s="2">
        <v>1</v>
      </c>
      <c r="U195" s="2" t="s">
        <v>79</v>
      </c>
      <c r="V195" s="2">
        <v>1</v>
      </c>
      <c r="W195" s="2" t="s">
        <v>80</v>
      </c>
      <c r="X195" s="2">
        <v>1</v>
      </c>
      <c r="Y195" s="2" t="s">
        <v>81</v>
      </c>
      <c r="Z195" s="2">
        <v>10</v>
      </c>
      <c r="AA195" s="2" t="s">
        <v>236</v>
      </c>
      <c r="AB195" s="2">
        <v>9</v>
      </c>
      <c r="AC195" s="2" t="s">
        <v>124</v>
      </c>
      <c r="AD195" s="3">
        <v>40195</v>
      </c>
      <c r="AE195" s="4">
        <v>0.75</v>
      </c>
      <c r="AF195" s="3">
        <v>40195</v>
      </c>
      <c r="AG195" s="4">
        <v>0.75</v>
      </c>
      <c r="AH195" s="2">
        <v>2</v>
      </c>
      <c r="AI195" s="2" t="s">
        <v>84</v>
      </c>
      <c r="AJ195" s="2">
        <v>9</v>
      </c>
      <c r="AK195" s="2" t="s">
        <v>103</v>
      </c>
      <c r="AL195" s="2">
        <v>12</v>
      </c>
      <c r="AM195" s="2" t="s">
        <v>86</v>
      </c>
      <c r="AN195" s="2" t="s">
        <v>1081</v>
      </c>
      <c r="AO195" s="2"/>
      <c r="AP195" s="2">
        <v>11</v>
      </c>
      <c r="AQ195" s="2" t="s">
        <v>82</v>
      </c>
      <c r="AR195" s="2"/>
      <c r="AS195" s="2"/>
      <c r="AT195" s="2" t="s">
        <v>1090</v>
      </c>
      <c r="AU195" s="2"/>
      <c r="AV195" s="2"/>
      <c r="AW195" s="2"/>
      <c r="AX195" s="2"/>
      <c r="AY195" s="2">
        <v>41</v>
      </c>
      <c r="AZ195" s="2" t="s">
        <v>82</v>
      </c>
      <c r="BA195" s="2">
        <v>41</v>
      </c>
      <c r="BB195" s="2" t="s">
        <v>82</v>
      </c>
      <c r="BC195" s="2">
        <v>41</v>
      </c>
      <c r="BD195" s="2" t="s">
        <v>82</v>
      </c>
      <c r="BE195" s="2">
        <v>18</v>
      </c>
      <c r="BF195" s="2" t="s">
        <v>1091</v>
      </c>
      <c r="BG195" s="2" t="s">
        <v>1092</v>
      </c>
      <c r="BH195" s="2"/>
      <c r="BI195" s="4">
        <v>0.84722222222222221</v>
      </c>
      <c r="BJ195" s="2">
        <v>13</v>
      </c>
      <c r="BK195" s="2" t="s">
        <v>91</v>
      </c>
      <c r="BL195" s="2" t="s">
        <v>1093</v>
      </c>
      <c r="BM195" s="2">
        <v>242</v>
      </c>
      <c r="BN195" s="2" t="s">
        <v>107</v>
      </c>
      <c r="BO195" s="2"/>
      <c r="BP195" s="2">
        <v>205</v>
      </c>
      <c r="BQ195" s="2" t="s">
        <v>1085</v>
      </c>
      <c r="BR195" s="2" t="s">
        <v>1086</v>
      </c>
      <c r="BS195" s="3">
        <v>40196</v>
      </c>
      <c r="BT195" s="4">
        <v>9.7245370370370357E-2</v>
      </c>
    </row>
    <row r="196" spans="1:72" x14ac:dyDescent="0.25">
      <c r="A196" s="2">
        <v>292</v>
      </c>
      <c r="B196" s="2">
        <v>2010</v>
      </c>
      <c r="C196" s="2" t="s">
        <v>1094</v>
      </c>
      <c r="D196" s="2" t="s">
        <v>73</v>
      </c>
      <c r="E196" s="2"/>
      <c r="F196" s="2">
        <v>468</v>
      </c>
      <c r="G196" s="2" t="s">
        <v>1095</v>
      </c>
      <c r="H196" s="2">
        <v>42</v>
      </c>
      <c r="I196" s="2" t="s">
        <v>1096</v>
      </c>
      <c r="J196" s="2">
        <v>370</v>
      </c>
      <c r="K196" s="2" t="s">
        <v>1097</v>
      </c>
      <c r="L196" s="2" t="s">
        <v>1098</v>
      </c>
      <c r="M196" s="3">
        <v>40196</v>
      </c>
      <c r="N196" s="2" t="s">
        <v>1099</v>
      </c>
      <c r="O196" s="2" t="s">
        <v>107</v>
      </c>
      <c r="P196" s="2" t="s">
        <v>107</v>
      </c>
      <c r="Q196" s="2" t="str">
        <f>"019-A/10"</f>
        <v>019-A/10</v>
      </c>
      <c r="R196" s="2" t="s">
        <v>107</v>
      </c>
      <c r="S196" s="2" t="s">
        <v>1100</v>
      </c>
      <c r="T196" s="2">
        <v>1</v>
      </c>
      <c r="U196" s="2" t="s">
        <v>79</v>
      </c>
      <c r="V196" s="2">
        <v>1</v>
      </c>
      <c r="W196" s="2" t="s">
        <v>80</v>
      </c>
      <c r="X196" s="2">
        <v>5</v>
      </c>
      <c r="Y196" s="2" t="s">
        <v>82</v>
      </c>
      <c r="Z196" s="2">
        <v>1</v>
      </c>
      <c r="AA196" s="2" t="s">
        <v>82</v>
      </c>
      <c r="AB196" s="2">
        <v>9</v>
      </c>
      <c r="AC196" s="2" t="s">
        <v>124</v>
      </c>
      <c r="AD196" s="3">
        <v>40195</v>
      </c>
      <c r="AE196" s="4">
        <v>0.48958333333333331</v>
      </c>
      <c r="AF196" s="3">
        <v>40195</v>
      </c>
      <c r="AG196" s="4">
        <v>0.81666666666666676</v>
      </c>
      <c r="AH196" s="2">
        <v>2</v>
      </c>
      <c r="AI196" s="2" t="s">
        <v>84</v>
      </c>
      <c r="AJ196" s="2">
        <v>12</v>
      </c>
      <c r="AK196" s="2" t="s">
        <v>85</v>
      </c>
      <c r="AL196" s="2">
        <v>18</v>
      </c>
      <c r="AM196" s="2" t="s">
        <v>82</v>
      </c>
      <c r="AN196" s="2" t="s">
        <v>1101</v>
      </c>
      <c r="AO196" s="2" t="s">
        <v>804</v>
      </c>
      <c r="AP196" s="2">
        <v>11</v>
      </c>
      <c r="AQ196" s="2" t="s">
        <v>82</v>
      </c>
      <c r="AR196" s="2"/>
      <c r="AS196" s="2"/>
      <c r="AT196" s="2" t="s">
        <v>1102</v>
      </c>
      <c r="AU196" s="2"/>
      <c r="AV196" s="2"/>
      <c r="AW196" s="2"/>
      <c r="AX196" s="2"/>
      <c r="AY196" s="2">
        <v>41</v>
      </c>
      <c r="AZ196" s="2" t="s">
        <v>82</v>
      </c>
      <c r="BA196" s="2">
        <v>41</v>
      </c>
      <c r="BB196" s="2" t="s">
        <v>82</v>
      </c>
      <c r="BC196" s="2">
        <v>41</v>
      </c>
      <c r="BD196" s="2" t="s">
        <v>82</v>
      </c>
      <c r="BE196" s="2">
        <v>41</v>
      </c>
      <c r="BF196" s="2" t="s">
        <v>82</v>
      </c>
      <c r="BG196" s="2"/>
      <c r="BH196" s="2"/>
      <c r="BI196" s="2"/>
      <c r="BJ196" s="2">
        <v>241</v>
      </c>
      <c r="BK196" s="2" t="s">
        <v>82</v>
      </c>
      <c r="BL196" s="2"/>
      <c r="BM196" s="2">
        <v>241</v>
      </c>
      <c r="BN196" s="2" t="s">
        <v>82</v>
      </c>
      <c r="BO196" s="2"/>
      <c r="BP196" s="2">
        <v>241</v>
      </c>
      <c r="BQ196" s="2" t="s">
        <v>82</v>
      </c>
      <c r="BR196" s="2"/>
      <c r="BS196" s="3">
        <v>40196</v>
      </c>
      <c r="BT196" s="4">
        <v>0.19583333333333333</v>
      </c>
    </row>
    <row r="197" spans="1:72" x14ac:dyDescent="0.25">
      <c r="A197" s="2">
        <v>293</v>
      </c>
      <c r="B197" s="2">
        <v>2010</v>
      </c>
      <c r="C197" s="2" t="s">
        <v>1094</v>
      </c>
      <c r="D197" s="2" t="s">
        <v>73</v>
      </c>
      <c r="E197" s="2"/>
      <c r="F197" s="2">
        <v>468</v>
      </c>
      <c r="G197" s="2" t="s">
        <v>1095</v>
      </c>
      <c r="H197" s="2">
        <v>22</v>
      </c>
      <c r="I197" s="2" t="s">
        <v>75</v>
      </c>
      <c r="J197" s="2">
        <v>370</v>
      </c>
      <c r="K197" s="2" t="s">
        <v>1097</v>
      </c>
      <c r="L197" s="2" t="s">
        <v>1098</v>
      </c>
      <c r="M197" s="3">
        <v>40196</v>
      </c>
      <c r="N197" s="2" t="s">
        <v>1103</v>
      </c>
      <c r="O197" s="2" t="s">
        <v>107</v>
      </c>
      <c r="P197" s="2" t="s">
        <v>107</v>
      </c>
      <c r="Q197" s="2" t="str">
        <f>"020-A/10"</f>
        <v>020-A/10</v>
      </c>
      <c r="R197" s="2" t="s">
        <v>107</v>
      </c>
      <c r="S197" s="2" t="s">
        <v>1100</v>
      </c>
      <c r="T197" s="2">
        <v>1</v>
      </c>
      <c r="U197" s="2" t="s">
        <v>79</v>
      </c>
      <c r="V197" s="2">
        <v>1</v>
      </c>
      <c r="W197" s="2" t="s">
        <v>80</v>
      </c>
      <c r="X197" s="2">
        <v>5</v>
      </c>
      <c r="Y197" s="2" t="s">
        <v>82</v>
      </c>
      <c r="Z197" s="2">
        <v>1</v>
      </c>
      <c r="AA197" s="2" t="s">
        <v>82</v>
      </c>
      <c r="AB197" s="2">
        <v>9</v>
      </c>
      <c r="AC197" s="2" t="s">
        <v>124</v>
      </c>
      <c r="AD197" s="3">
        <v>40195</v>
      </c>
      <c r="AE197" s="4">
        <v>0.93402777777777779</v>
      </c>
      <c r="AF197" s="3">
        <v>40195</v>
      </c>
      <c r="AG197" s="4">
        <v>0.95833333333333337</v>
      </c>
      <c r="AH197" s="2">
        <v>2</v>
      </c>
      <c r="AI197" s="2" t="s">
        <v>84</v>
      </c>
      <c r="AJ197" s="2">
        <v>12</v>
      </c>
      <c r="AK197" s="2" t="s">
        <v>85</v>
      </c>
      <c r="AL197" s="2">
        <v>17</v>
      </c>
      <c r="AM197" s="2" t="s">
        <v>232</v>
      </c>
      <c r="AN197" s="2" t="s">
        <v>1104</v>
      </c>
      <c r="AO197" s="2" t="s">
        <v>561</v>
      </c>
      <c r="AP197" s="2">
        <v>11</v>
      </c>
      <c r="AQ197" s="2" t="s">
        <v>82</v>
      </c>
      <c r="AR197" s="2"/>
      <c r="AS197" s="2"/>
      <c r="AT197" s="2" t="s">
        <v>1105</v>
      </c>
      <c r="AU197" s="2">
        <v>1</v>
      </c>
      <c r="AV197" s="2"/>
      <c r="AW197" s="2"/>
      <c r="AX197" s="2"/>
      <c r="AY197" s="2">
        <v>41</v>
      </c>
      <c r="AZ197" s="2" t="s">
        <v>82</v>
      </c>
      <c r="BA197" s="2">
        <v>41</v>
      </c>
      <c r="BB197" s="2" t="s">
        <v>82</v>
      </c>
      <c r="BC197" s="2">
        <v>41</v>
      </c>
      <c r="BD197" s="2" t="s">
        <v>82</v>
      </c>
      <c r="BE197" s="2">
        <v>41</v>
      </c>
      <c r="BF197" s="2" t="s">
        <v>82</v>
      </c>
      <c r="BG197" s="2"/>
      <c r="BH197" s="2"/>
      <c r="BI197" s="2"/>
      <c r="BJ197" s="2">
        <v>241</v>
      </c>
      <c r="BK197" s="2" t="s">
        <v>82</v>
      </c>
      <c r="BL197" s="2"/>
      <c r="BM197" s="2">
        <v>241</v>
      </c>
      <c r="BN197" s="2" t="s">
        <v>82</v>
      </c>
      <c r="BO197" s="2"/>
      <c r="BP197" s="2">
        <v>241</v>
      </c>
      <c r="BQ197" s="2" t="s">
        <v>82</v>
      </c>
      <c r="BR197" s="2"/>
      <c r="BS197" s="3">
        <v>40196</v>
      </c>
      <c r="BT197" s="4">
        <v>0.21010416666666668</v>
      </c>
    </row>
    <row r="198" spans="1:72" x14ac:dyDescent="0.25">
      <c r="A198" s="2">
        <v>296</v>
      </c>
      <c r="B198" s="2">
        <v>2010</v>
      </c>
      <c r="C198" s="2" t="s">
        <v>819</v>
      </c>
      <c r="D198" s="2" t="s">
        <v>122</v>
      </c>
      <c r="E198" s="2" t="s">
        <v>1106</v>
      </c>
      <c r="F198" s="2">
        <v>451</v>
      </c>
      <c r="G198" s="2" t="s">
        <v>879</v>
      </c>
      <c r="H198" s="2">
        <v>31</v>
      </c>
      <c r="I198" s="2" t="s">
        <v>880</v>
      </c>
      <c r="J198" s="2">
        <v>326</v>
      </c>
      <c r="K198" s="2" t="s">
        <v>881</v>
      </c>
      <c r="L198" s="2" t="s">
        <v>882</v>
      </c>
      <c r="M198" s="3">
        <v>40196</v>
      </c>
      <c r="N198" s="2" t="s">
        <v>821</v>
      </c>
      <c r="O198" s="2"/>
      <c r="P198" s="2"/>
      <c r="Q198" s="2" t="str">
        <f>"002/10"</f>
        <v>002/10</v>
      </c>
      <c r="R198" s="2"/>
      <c r="S198" s="2" t="s">
        <v>822</v>
      </c>
      <c r="T198" s="2">
        <v>1</v>
      </c>
      <c r="U198" s="2" t="s">
        <v>79</v>
      </c>
      <c r="V198" s="2">
        <v>1</v>
      </c>
      <c r="W198" s="2" t="s">
        <v>80</v>
      </c>
      <c r="X198" s="2">
        <v>1</v>
      </c>
      <c r="Y198" s="2" t="s">
        <v>81</v>
      </c>
      <c r="Z198" s="2">
        <v>10</v>
      </c>
      <c r="AA198" s="2" t="s">
        <v>236</v>
      </c>
      <c r="AB198" s="2">
        <v>9</v>
      </c>
      <c r="AC198" s="2" t="s">
        <v>124</v>
      </c>
      <c r="AD198" s="3">
        <v>40193</v>
      </c>
      <c r="AE198" s="4">
        <v>0.41666666666666669</v>
      </c>
      <c r="AF198" s="2"/>
      <c r="AG198" s="2"/>
      <c r="AH198" s="2">
        <v>4</v>
      </c>
      <c r="AI198" s="2" t="s">
        <v>125</v>
      </c>
      <c r="AJ198" s="2">
        <v>29</v>
      </c>
      <c r="AK198" s="2" t="s">
        <v>227</v>
      </c>
      <c r="AL198" s="2">
        <v>10</v>
      </c>
      <c r="AM198" s="2" t="s">
        <v>200</v>
      </c>
      <c r="AN198" s="2" t="s">
        <v>883</v>
      </c>
      <c r="AO198" s="2"/>
      <c r="AP198" s="2">
        <v>12</v>
      </c>
      <c r="AQ198" s="2" t="s">
        <v>322</v>
      </c>
      <c r="AR198" s="2" t="s">
        <v>824</v>
      </c>
      <c r="AS198" s="2" t="s">
        <v>825</v>
      </c>
      <c r="AT198" s="2" t="s">
        <v>1107</v>
      </c>
      <c r="AU198" s="2"/>
      <c r="AV198" s="2"/>
      <c r="AW198" s="2"/>
      <c r="AX198" s="2"/>
      <c r="AY198" s="2">
        <v>41</v>
      </c>
      <c r="AZ198" s="2" t="s">
        <v>82</v>
      </c>
      <c r="BA198" s="2">
        <v>41</v>
      </c>
      <c r="BB198" s="2" t="s">
        <v>82</v>
      </c>
      <c r="BC198" s="2">
        <v>51</v>
      </c>
      <c r="BD198" s="2" t="s">
        <v>827</v>
      </c>
      <c r="BE198" s="2">
        <v>47</v>
      </c>
      <c r="BF198" s="2" t="s">
        <v>167</v>
      </c>
      <c r="BG198" s="2">
        <v>2459</v>
      </c>
      <c r="BH198" s="4">
        <v>0.83680555555555547</v>
      </c>
      <c r="BI198" s="4">
        <v>0.88541666666666663</v>
      </c>
      <c r="BJ198" s="2">
        <v>13</v>
      </c>
      <c r="BK198" s="2" t="s">
        <v>91</v>
      </c>
      <c r="BL198" s="2" t="s">
        <v>1108</v>
      </c>
      <c r="BM198" s="2">
        <v>13</v>
      </c>
      <c r="BN198" s="2" t="s">
        <v>91</v>
      </c>
      <c r="BO198" s="2" t="s">
        <v>828</v>
      </c>
      <c r="BP198" s="2">
        <v>13</v>
      </c>
      <c r="BQ198" s="2" t="s">
        <v>91</v>
      </c>
      <c r="BR198" s="2" t="s">
        <v>185</v>
      </c>
      <c r="BS198" s="3">
        <v>40196</v>
      </c>
      <c r="BT198" s="4">
        <v>0.57734953703703706</v>
      </c>
    </row>
    <row r="199" spans="1:72" x14ac:dyDescent="0.25">
      <c r="A199" s="2">
        <v>297</v>
      </c>
      <c r="B199" s="2">
        <v>2010</v>
      </c>
      <c r="C199" s="2" t="s">
        <v>819</v>
      </c>
      <c r="D199" s="2" t="s">
        <v>122</v>
      </c>
      <c r="E199" s="2" t="s">
        <v>1109</v>
      </c>
      <c r="F199" s="2">
        <v>451</v>
      </c>
      <c r="G199" s="2" t="s">
        <v>879</v>
      </c>
      <c r="H199" s="2">
        <v>31</v>
      </c>
      <c r="I199" s="2" t="s">
        <v>880</v>
      </c>
      <c r="J199" s="2">
        <v>326</v>
      </c>
      <c r="K199" s="2" t="s">
        <v>881</v>
      </c>
      <c r="L199" s="2" t="s">
        <v>882</v>
      </c>
      <c r="M199" s="3">
        <v>40196</v>
      </c>
      <c r="N199" s="2" t="s">
        <v>1072</v>
      </c>
      <c r="O199" s="2"/>
      <c r="P199" s="2"/>
      <c r="Q199" s="2" t="str">
        <f>"0012/10"</f>
        <v>0012/10</v>
      </c>
      <c r="R199" s="2" t="s">
        <v>822</v>
      </c>
      <c r="S199" s="2"/>
      <c r="T199" s="2">
        <v>1</v>
      </c>
      <c r="U199" s="2" t="s">
        <v>79</v>
      </c>
      <c r="V199" s="2">
        <v>1</v>
      </c>
      <c r="W199" s="2" t="s">
        <v>80</v>
      </c>
      <c r="X199" s="2">
        <v>1</v>
      </c>
      <c r="Y199" s="2" t="s">
        <v>81</v>
      </c>
      <c r="Z199" s="2">
        <v>10</v>
      </c>
      <c r="AA199" s="2" t="s">
        <v>236</v>
      </c>
      <c r="AB199" s="2">
        <v>9</v>
      </c>
      <c r="AC199" s="2" t="s">
        <v>124</v>
      </c>
      <c r="AD199" s="3">
        <v>40196</v>
      </c>
      <c r="AE199" s="4">
        <v>0.4375</v>
      </c>
      <c r="AF199" s="2"/>
      <c r="AG199" s="2"/>
      <c r="AH199" s="2">
        <v>4</v>
      </c>
      <c r="AI199" s="2" t="s">
        <v>125</v>
      </c>
      <c r="AJ199" s="2">
        <v>29</v>
      </c>
      <c r="AK199" s="2" t="s">
        <v>227</v>
      </c>
      <c r="AL199" s="2">
        <v>10</v>
      </c>
      <c r="AM199" s="2" t="s">
        <v>200</v>
      </c>
      <c r="AN199" s="2" t="s">
        <v>883</v>
      </c>
      <c r="AO199" s="2"/>
      <c r="AP199" s="2">
        <v>12</v>
      </c>
      <c r="AQ199" s="2" t="s">
        <v>322</v>
      </c>
      <c r="AR199" s="2" t="s">
        <v>824</v>
      </c>
      <c r="AS199" s="2" t="s">
        <v>884</v>
      </c>
      <c r="AT199" s="2" t="s">
        <v>1110</v>
      </c>
      <c r="AU199" s="2"/>
      <c r="AV199" s="2"/>
      <c r="AW199" s="2"/>
      <c r="AX199" s="2"/>
      <c r="AY199" s="2">
        <v>41</v>
      </c>
      <c r="AZ199" s="2" t="s">
        <v>82</v>
      </c>
      <c r="BA199" s="2">
        <v>41</v>
      </c>
      <c r="BB199" s="2" t="s">
        <v>82</v>
      </c>
      <c r="BC199" s="2">
        <v>47</v>
      </c>
      <c r="BD199" s="2" t="s">
        <v>167</v>
      </c>
      <c r="BE199" s="2">
        <v>47</v>
      </c>
      <c r="BF199" s="2" t="s">
        <v>167</v>
      </c>
      <c r="BG199" s="2">
        <v>1459</v>
      </c>
      <c r="BH199" s="4">
        <v>0.83333333333333337</v>
      </c>
      <c r="BI199" s="4">
        <v>0.86805555555555547</v>
      </c>
      <c r="BJ199" s="2">
        <v>13</v>
      </c>
      <c r="BK199" s="2" t="s">
        <v>91</v>
      </c>
      <c r="BL199" s="2" t="s">
        <v>1108</v>
      </c>
      <c r="BM199" s="2">
        <v>13</v>
      </c>
      <c r="BN199" s="2" t="s">
        <v>91</v>
      </c>
      <c r="BO199" s="2" t="s">
        <v>828</v>
      </c>
      <c r="BP199" s="2">
        <v>13</v>
      </c>
      <c r="BQ199" s="2" t="s">
        <v>91</v>
      </c>
      <c r="BR199" s="2" t="s">
        <v>1108</v>
      </c>
      <c r="BS199" s="3">
        <v>40196</v>
      </c>
      <c r="BT199" s="4">
        <v>0.58687500000000004</v>
      </c>
    </row>
    <row r="200" spans="1:72" x14ac:dyDescent="0.25">
      <c r="A200" s="2">
        <v>298</v>
      </c>
      <c r="B200" s="2">
        <v>2010</v>
      </c>
      <c r="C200" s="2" t="s">
        <v>457</v>
      </c>
      <c r="D200" s="2" t="s">
        <v>73</v>
      </c>
      <c r="E200" s="2"/>
      <c r="F200" s="2">
        <v>467</v>
      </c>
      <c r="G200" s="2" t="s">
        <v>1053</v>
      </c>
      <c r="H200" s="2">
        <v>22</v>
      </c>
      <c r="I200" s="2" t="s">
        <v>75</v>
      </c>
      <c r="J200" s="2">
        <v>369</v>
      </c>
      <c r="K200" s="2" t="s">
        <v>1054</v>
      </c>
      <c r="L200" s="2" t="s">
        <v>1055</v>
      </c>
      <c r="M200" s="3">
        <v>40196</v>
      </c>
      <c r="N200" s="2" t="s">
        <v>1111</v>
      </c>
      <c r="O200" s="2" t="s">
        <v>1112</v>
      </c>
      <c r="P200" s="2" t="s">
        <v>1113</v>
      </c>
      <c r="Q200" s="2" t="str">
        <f>""</f>
        <v/>
      </c>
      <c r="R200" s="2"/>
      <c r="S200" s="2"/>
      <c r="T200" s="2">
        <v>1</v>
      </c>
      <c r="U200" s="2" t="s">
        <v>79</v>
      </c>
      <c r="V200" s="2">
        <v>1</v>
      </c>
      <c r="W200" s="2" t="s">
        <v>80</v>
      </c>
      <c r="X200" s="2">
        <v>4</v>
      </c>
      <c r="Y200" s="2" t="s">
        <v>463</v>
      </c>
      <c r="Z200" s="2">
        <v>6</v>
      </c>
      <c r="AA200" s="2" t="s">
        <v>101</v>
      </c>
      <c r="AB200" s="2">
        <v>9</v>
      </c>
      <c r="AC200" s="2" t="s">
        <v>124</v>
      </c>
      <c r="AD200" s="3">
        <v>40196</v>
      </c>
      <c r="AE200" s="4">
        <v>0.51388888888888895</v>
      </c>
      <c r="AF200" s="2"/>
      <c r="AG200" s="2"/>
      <c r="AH200" s="2">
        <v>4</v>
      </c>
      <c r="AI200" s="2" t="s">
        <v>125</v>
      </c>
      <c r="AJ200" s="2">
        <v>29</v>
      </c>
      <c r="AK200" s="2" t="s">
        <v>227</v>
      </c>
      <c r="AL200" s="2">
        <v>11</v>
      </c>
      <c r="AM200" s="2" t="s">
        <v>137</v>
      </c>
      <c r="AN200" s="2" t="s">
        <v>1114</v>
      </c>
      <c r="AO200" s="2"/>
      <c r="AP200" s="2">
        <v>11</v>
      </c>
      <c r="AQ200" s="2" t="s">
        <v>82</v>
      </c>
      <c r="AR200" s="2"/>
      <c r="AS200" s="2"/>
      <c r="AT200" s="2" t="s">
        <v>1115</v>
      </c>
      <c r="AU200" s="2"/>
      <c r="AV200" s="2"/>
      <c r="AW200" s="2"/>
      <c r="AX200" s="2"/>
      <c r="AY200" s="2">
        <v>41</v>
      </c>
      <c r="AZ200" s="2" t="s">
        <v>82</v>
      </c>
      <c r="BA200" s="2">
        <v>41</v>
      </c>
      <c r="BB200" s="2" t="s">
        <v>82</v>
      </c>
      <c r="BC200" s="2">
        <v>19</v>
      </c>
      <c r="BD200" s="2" t="s">
        <v>1061</v>
      </c>
      <c r="BE200" s="2">
        <v>19</v>
      </c>
      <c r="BF200" s="2" t="s">
        <v>1061</v>
      </c>
      <c r="BG200" s="2">
        <v>250</v>
      </c>
      <c r="BH200" s="4">
        <v>0.52083333333333337</v>
      </c>
      <c r="BI200" s="4">
        <v>0.54861111111111105</v>
      </c>
      <c r="BJ200" s="2">
        <v>29</v>
      </c>
      <c r="BK200" s="2" t="s">
        <v>962</v>
      </c>
      <c r="BL200" s="2" t="s">
        <v>1116</v>
      </c>
      <c r="BM200" s="2">
        <v>13</v>
      </c>
      <c r="BN200" s="2" t="s">
        <v>91</v>
      </c>
      <c r="BO200" s="2" t="s">
        <v>828</v>
      </c>
      <c r="BP200" s="2">
        <v>29</v>
      </c>
      <c r="BQ200" s="2" t="s">
        <v>962</v>
      </c>
      <c r="BR200" s="2" t="s">
        <v>1116</v>
      </c>
      <c r="BS200" s="3">
        <v>40196</v>
      </c>
      <c r="BT200" s="4">
        <v>0.63082175925925921</v>
      </c>
    </row>
    <row r="201" spans="1:72" x14ac:dyDescent="0.25">
      <c r="A201" s="2">
        <v>302</v>
      </c>
      <c r="B201" s="2">
        <v>2010</v>
      </c>
      <c r="C201" s="2" t="s">
        <v>93</v>
      </c>
      <c r="D201" s="2" t="s">
        <v>73</v>
      </c>
      <c r="E201" s="2"/>
      <c r="F201" s="2">
        <v>425</v>
      </c>
      <c r="G201" s="2" t="s">
        <v>286</v>
      </c>
      <c r="H201" s="2">
        <v>39</v>
      </c>
      <c r="I201" s="2" t="s">
        <v>1117</v>
      </c>
      <c r="J201" s="2">
        <v>326</v>
      </c>
      <c r="K201" s="2" t="s">
        <v>881</v>
      </c>
      <c r="L201" s="2" t="s">
        <v>882</v>
      </c>
      <c r="M201" s="3">
        <v>40196</v>
      </c>
      <c r="N201" s="2"/>
      <c r="O201" s="2" t="s">
        <v>1118</v>
      </c>
      <c r="P201" s="2">
        <v>1296</v>
      </c>
      <c r="Q201" s="2" t="str">
        <f>""</f>
        <v/>
      </c>
      <c r="R201" s="2"/>
      <c r="S201" s="2"/>
      <c r="T201" s="2">
        <v>1</v>
      </c>
      <c r="U201" s="2" t="s">
        <v>79</v>
      </c>
      <c r="V201" s="2">
        <v>1</v>
      </c>
      <c r="W201" s="2" t="s">
        <v>80</v>
      </c>
      <c r="X201" s="2">
        <v>1</v>
      </c>
      <c r="Y201" s="2" t="s">
        <v>81</v>
      </c>
      <c r="Z201" s="2">
        <v>9</v>
      </c>
      <c r="AA201" s="2" t="s">
        <v>1119</v>
      </c>
      <c r="AB201" s="2">
        <v>2</v>
      </c>
      <c r="AC201" s="2" t="s">
        <v>102</v>
      </c>
      <c r="AD201" s="3">
        <v>40196</v>
      </c>
      <c r="AE201" s="4">
        <v>0.60763888888888895</v>
      </c>
      <c r="AF201" s="2"/>
      <c r="AG201" s="2"/>
      <c r="AH201" s="2">
        <v>5</v>
      </c>
      <c r="AI201" s="2" t="s">
        <v>274</v>
      </c>
      <c r="AJ201" s="2">
        <v>38</v>
      </c>
      <c r="AK201" s="2" t="s">
        <v>1120</v>
      </c>
      <c r="AL201" s="2">
        <v>11</v>
      </c>
      <c r="AM201" s="2" t="s">
        <v>137</v>
      </c>
      <c r="AN201" s="2" t="s">
        <v>1121</v>
      </c>
      <c r="AO201" s="2"/>
      <c r="AP201" s="2">
        <v>11</v>
      </c>
      <c r="AQ201" s="2" t="s">
        <v>82</v>
      </c>
      <c r="AR201" s="2"/>
      <c r="AS201" s="2"/>
      <c r="AT201" s="2" t="s">
        <v>1122</v>
      </c>
      <c r="AU201" s="2"/>
      <c r="AV201" s="2"/>
      <c r="AW201" s="2"/>
      <c r="AX201" s="2"/>
      <c r="AY201" s="2">
        <v>41</v>
      </c>
      <c r="AZ201" s="2" t="s">
        <v>82</v>
      </c>
      <c r="BA201" s="2">
        <v>41</v>
      </c>
      <c r="BB201" s="2" t="s">
        <v>82</v>
      </c>
      <c r="BC201" s="2">
        <v>41</v>
      </c>
      <c r="BD201" s="2" t="s">
        <v>82</v>
      </c>
      <c r="BE201" s="2">
        <v>48</v>
      </c>
      <c r="BF201" s="2" t="s">
        <v>1123</v>
      </c>
      <c r="BG201" s="2">
        <v>893</v>
      </c>
      <c r="BH201" s="4">
        <v>0.57291666666666663</v>
      </c>
      <c r="BI201" s="4">
        <v>0.625</v>
      </c>
      <c r="BJ201" s="2">
        <v>13</v>
      </c>
      <c r="BK201" s="2" t="s">
        <v>91</v>
      </c>
      <c r="BL201" s="2" t="s">
        <v>828</v>
      </c>
      <c r="BM201" s="2">
        <v>13</v>
      </c>
      <c r="BN201" s="2" t="s">
        <v>91</v>
      </c>
      <c r="BO201" s="2" t="s">
        <v>92</v>
      </c>
      <c r="BP201" s="2">
        <v>13</v>
      </c>
      <c r="BQ201" s="2" t="s">
        <v>91</v>
      </c>
      <c r="BR201" s="2" t="s">
        <v>828</v>
      </c>
      <c r="BS201" s="3">
        <v>40196</v>
      </c>
      <c r="BT201" s="4">
        <v>0.69712962962962965</v>
      </c>
    </row>
    <row r="202" spans="1:72" x14ac:dyDescent="0.25">
      <c r="A202" s="2">
        <v>303</v>
      </c>
      <c r="B202" s="2">
        <v>2010</v>
      </c>
      <c r="C202" s="2" t="s">
        <v>121</v>
      </c>
      <c r="D202" s="2" t="s">
        <v>122</v>
      </c>
      <c r="E202" s="2"/>
      <c r="F202" s="2">
        <v>1</v>
      </c>
      <c r="G202" s="2" t="s">
        <v>82</v>
      </c>
      <c r="H202" s="2">
        <v>1</v>
      </c>
      <c r="I202" s="2" t="s">
        <v>82</v>
      </c>
      <c r="J202" s="2">
        <v>1</v>
      </c>
      <c r="K202" s="2" t="s">
        <v>107</v>
      </c>
      <c r="L202" s="2" t="s">
        <v>107</v>
      </c>
      <c r="M202" s="3">
        <v>40196</v>
      </c>
      <c r="N202" s="2"/>
      <c r="O202" s="2"/>
      <c r="P202" s="2"/>
      <c r="Q202" s="2" t="str">
        <f>""</f>
        <v/>
      </c>
      <c r="R202" s="2"/>
      <c r="S202" s="2"/>
      <c r="T202" s="2">
        <v>2</v>
      </c>
      <c r="U202" s="2" t="s">
        <v>123</v>
      </c>
      <c r="V202" s="2">
        <v>1</v>
      </c>
      <c r="W202" s="2" t="s">
        <v>80</v>
      </c>
      <c r="X202" s="2">
        <v>4</v>
      </c>
      <c r="Y202" s="2" t="s">
        <v>463</v>
      </c>
      <c r="Z202" s="2">
        <v>5</v>
      </c>
      <c r="AA202" s="2" t="s">
        <v>1124</v>
      </c>
      <c r="AB202" s="2">
        <v>9</v>
      </c>
      <c r="AC202" s="2" t="s">
        <v>124</v>
      </c>
      <c r="AD202" s="3">
        <v>40196</v>
      </c>
      <c r="AE202" s="4">
        <v>0.57986111111111105</v>
      </c>
      <c r="AF202" s="2"/>
      <c r="AG202" s="2"/>
      <c r="AH202" s="2">
        <v>5</v>
      </c>
      <c r="AI202" s="2" t="s">
        <v>274</v>
      </c>
      <c r="AJ202" s="2">
        <v>37</v>
      </c>
      <c r="AK202" s="2" t="s">
        <v>497</v>
      </c>
      <c r="AL202" s="2">
        <v>10</v>
      </c>
      <c r="AM202" s="2" t="s">
        <v>200</v>
      </c>
      <c r="AN202" s="2" t="s">
        <v>1125</v>
      </c>
      <c r="AO202" s="2" t="s">
        <v>1126</v>
      </c>
      <c r="AP202" s="2">
        <v>11</v>
      </c>
      <c r="AQ202" s="2" t="s">
        <v>82</v>
      </c>
      <c r="AR202" s="2"/>
      <c r="AS202" s="2"/>
      <c r="AT202" s="2" t="s">
        <v>1127</v>
      </c>
      <c r="AU202" s="2"/>
      <c r="AV202" s="2"/>
      <c r="AW202" s="2"/>
      <c r="AX202" s="2"/>
      <c r="AY202" s="2">
        <v>41</v>
      </c>
      <c r="AZ202" s="2" t="s">
        <v>82</v>
      </c>
      <c r="BA202" s="2">
        <v>41</v>
      </c>
      <c r="BB202" s="2" t="s">
        <v>82</v>
      </c>
      <c r="BC202" s="2">
        <v>42</v>
      </c>
      <c r="BD202" s="2" t="s">
        <v>182</v>
      </c>
      <c r="BE202" s="2">
        <v>41</v>
      </c>
      <c r="BF202" s="2" t="s">
        <v>82</v>
      </c>
      <c r="BG202" s="2" t="s">
        <v>1128</v>
      </c>
      <c r="BH202" s="4">
        <v>0.57986111111111105</v>
      </c>
      <c r="BI202" s="4">
        <v>0.50694444444444442</v>
      </c>
      <c r="BJ202" s="2">
        <v>13</v>
      </c>
      <c r="BK202" s="2" t="s">
        <v>91</v>
      </c>
      <c r="BL202" s="2" t="s">
        <v>170</v>
      </c>
      <c r="BM202" s="2">
        <v>241</v>
      </c>
      <c r="BN202" s="2" t="s">
        <v>82</v>
      </c>
      <c r="BO202" s="2"/>
      <c r="BP202" s="2">
        <v>13</v>
      </c>
      <c r="BQ202" s="2" t="s">
        <v>91</v>
      </c>
      <c r="BR202" s="2" t="s">
        <v>1129</v>
      </c>
      <c r="BS202" s="3">
        <v>40196</v>
      </c>
      <c r="BT202" s="4">
        <v>0.69943287037037039</v>
      </c>
    </row>
    <row r="203" spans="1:72" x14ac:dyDescent="0.25">
      <c r="A203" s="2">
        <v>305</v>
      </c>
      <c r="B203" s="2">
        <v>2010</v>
      </c>
      <c r="C203" s="2" t="s">
        <v>554</v>
      </c>
      <c r="D203" s="2" t="s">
        <v>73</v>
      </c>
      <c r="E203" s="2"/>
      <c r="F203" s="2">
        <v>169</v>
      </c>
      <c r="G203" s="2" t="s">
        <v>1009</v>
      </c>
      <c r="H203" s="2">
        <v>22</v>
      </c>
      <c r="I203" s="2" t="s">
        <v>75</v>
      </c>
      <c r="J203" s="2">
        <v>305</v>
      </c>
      <c r="K203" s="2" t="s">
        <v>160</v>
      </c>
      <c r="L203" s="2" t="s">
        <v>161</v>
      </c>
      <c r="M203" s="3">
        <v>40196</v>
      </c>
      <c r="N203" s="2" t="s">
        <v>192</v>
      </c>
      <c r="O203" s="2" t="s">
        <v>82</v>
      </c>
      <c r="P203" s="2" t="s">
        <v>82</v>
      </c>
      <c r="Q203" s="2" t="str">
        <f>"021-A/10"</f>
        <v>021-A/10</v>
      </c>
      <c r="R203" s="2" t="s">
        <v>82</v>
      </c>
      <c r="S203" s="2" t="s">
        <v>1130</v>
      </c>
      <c r="T203" s="2">
        <v>1</v>
      </c>
      <c r="U203" s="2" t="s">
        <v>79</v>
      </c>
      <c r="V203" s="2">
        <v>1</v>
      </c>
      <c r="W203" s="2" t="s">
        <v>80</v>
      </c>
      <c r="X203" s="2">
        <v>1</v>
      </c>
      <c r="Y203" s="2" t="s">
        <v>81</v>
      </c>
      <c r="Z203" s="2">
        <v>1</v>
      </c>
      <c r="AA203" s="2" t="s">
        <v>82</v>
      </c>
      <c r="AB203" s="2">
        <v>5</v>
      </c>
      <c r="AC203" s="2" t="s">
        <v>559</v>
      </c>
      <c r="AD203" s="3">
        <v>40196</v>
      </c>
      <c r="AE203" s="4">
        <v>0.375</v>
      </c>
      <c r="AF203" s="3">
        <v>40196</v>
      </c>
      <c r="AG203" s="4">
        <v>0.45833333333333331</v>
      </c>
      <c r="AH203" s="2">
        <v>2</v>
      </c>
      <c r="AI203" s="2" t="s">
        <v>84</v>
      </c>
      <c r="AJ203" s="2">
        <v>12</v>
      </c>
      <c r="AK203" s="2" t="s">
        <v>85</v>
      </c>
      <c r="AL203" s="2">
        <v>17</v>
      </c>
      <c r="AM203" s="2" t="s">
        <v>232</v>
      </c>
      <c r="AN203" s="2" t="s">
        <v>1131</v>
      </c>
      <c r="AO203" s="2" t="s">
        <v>1132</v>
      </c>
      <c r="AP203" s="2">
        <v>11</v>
      </c>
      <c r="AQ203" s="2" t="s">
        <v>82</v>
      </c>
      <c r="AR203" s="2" t="s">
        <v>82</v>
      </c>
      <c r="AS203" s="2" t="s">
        <v>82</v>
      </c>
      <c r="AT203" s="2" t="s">
        <v>1133</v>
      </c>
      <c r="AU203" s="2"/>
      <c r="AV203" s="2"/>
      <c r="AW203" s="2"/>
      <c r="AX203" s="2"/>
      <c r="AY203" s="2">
        <v>41</v>
      </c>
      <c r="AZ203" s="2" t="s">
        <v>82</v>
      </c>
      <c r="BA203" s="2">
        <v>41</v>
      </c>
      <c r="BB203" s="2" t="s">
        <v>82</v>
      </c>
      <c r="BC203" s="2">
        <v>41</v>
      </c>
      <c r="BD203" s="2" t="s">
        <v>82</v>
      </c>
      <c r="BE203" s="2">
        <v>4</v>
      </c>
      <c r="BF203" s="2" t="s">
        <v>90</v>
      </c>
      <c r="BG203" s="2" t="s">
        <v>209</v>
      </c>
      <c r="BH203" s="4">
        <v>0.5625</v>
      </c>
      <c r="BI203" s="4">
        <v>0.48958333333333331</v>
      </c>
      <c r="BJ203" s="2">
        <v>13</v>
      </c>
      <c r="BK203" s="2" t="s">
        <v>91</v>
      </c>
      <c r="BL203" s="2" t="s">
        <v>185</v>
      </c>
      <c r="BM203" s="2">
        <v>241</v>
      </c>
      <c r="BN203" s="2" t="s">
        <v>82</v>
      </c>
      <c r="BO203" s="2" t="s">
        <v>82</v>
      </c>
      <c r="BP203" s="2">
        <v>13</v>
      </c>
      <c r="BQ203" s="2" t="s">
        <v>91</v>
      </c>
      <c r="BR203" s="2" t="s">
        <v>92</v>
      </c>
      <c r="BS203" s="3">
        <v>40196</v>
      </c>
      <c r="BT203" s="4">
        <v>0.71765046296296298</v>
      </c>
    </row>
    <row r="204" spans="1:72" x14ac:dyDescent="0.25">
      <c r="A204" s="2">
        <v>307</v>
      </c>
      <c r="B204" s="2">
        <v>2010</v>
      </c>
      <c r="C204" s="2" t="s">
        <v>147</v>
      </c>
      <c r="D204" s="2" t="s">
        <v>73</v>
      </c>
      <c r="E204" s="2"/>
      <c r="F204" s="2">
        <v>1</v>
      </c>
      <c r="G204" s="2" t="s">
        <v>82</v>
      </c>
      <c r="H204" s="2">
        <v>1</v>
      </c>
      <c r="I204" s="2" t="s">
        <v>82</v>
      </c>
      <c r="J204" s="2">
        <v>1</v>
      </c>
      <c r="K204" s="2" t="s">
        <v>107</v>
      </c>
      <c r="L204" s="2" t="s">
        <v>107</v>
      </c>
      <c r="M204" s="3">
        <v>40196</v>
      </c>
      <c r="N204" s="2" t="s">
        <v>82</v>
      </c>
      <c r="O204" s="2" t="s">
        <v>82</v>
      </c>
      <c r="P204" s="2" t="s">
        <v>82</v>
      </c>
      <c r="Q204" s="2" t="str">
        <f>"N/C"</f>
        <v>N/C</v>
      </c>
      <c r="R204" s="2" t="s">
        <v>82</v>
      </c>
      <c r="S204" s="2" t="s">
        <v>82</v>
      </c>
      <c r="T204" s="2">
        <v>2</v>
      </c>
      <c r="U204" s="2" t="s">
        <v>123</v>
      </c>
      <c r="V204" s="2">
        <v>1</v>
      </c>
      <c r="W204" s="2" t="s">
        <v>80</v>
      </c>
      <c r="X204" s="2">
        <v>12</v>
      </c>
      <c r="Y204" s="2" t="s">
        <v>148</v>
      </c>
      <c r="Z204" s="2">
        <v>1</v>
      </c>
      <c r="AA204" s="2" t="s">
        <v>82</v>
      </c>
      <c r="AB204" s="2">
        <v>9</v>
      </c>
      <c r="AC204" s="2" t="s">
        <v>124</v>
      </c>
      <c r="AD204" s="3">
        <v>40196</v>
      </c>
      <c r="AE204" s="4">
        <v>0.33333333333333331</v>
      </c>
      <c r="AF204" s="3">
        <v>40196</v>
      </c>
      <c r="AG204" s="4">
        <v>0.64583333333333337</v>
      </c>
      <c r="AH204" s="2">
        <v>2</v>
      </c>
      <c r="AI204" s="2" t="s">
        <v>84</v>
      </c>
      <c r="AJ204" s="2">
        <v>12</v>
      </c>
      <c r="AK204" s="2" t="s">
        <v>85</v>
      </c>
      <c r="AL204" s="2">
        <v>19</v>
      </c>
      <c r="AM204" s="2" t="s">
        <v>107</v>
      </c>
      <c r="AN204" s="2" t="s">
        <v>82</v>
      </c>
      <c r="AO204" s="2" t="s">
        <v>251</v>
      </c>
      <c r="AP204" s="2">
        <v>11</v>
      </c>
      <c r="AQ204" s="2" t="s">
        <v>82</v>
      </c>
      <c r="AR204" s="2" t="s">
        <v>82</v>
      </c>
      <c r="AS204" s="2" t="s">
        <v>82</v>
      </c>
      <c r="AT204" s="2" t="s">
        <v>1134</v>
      </c>
      <c r="AU204" s="2"/>
      <c r="AV204" s="2"/>
      <c r="AW204" s="2"/>
      <c r="AX204" s="2"/>
      <c r="AY204" s="2">
        <v>41</v>
      </c>
      <c r="AZ204" s="2" t="s">
        <v>82</v>
      </c>
      <c r="BA204" s="2">
        <v>41</v>
      </c>
      <c r="BB204" s="2" t="s">
        <v>82</v>
      </c>
      <c r="BC204" s="2">
        <v>41</v>
      </c>
      <c r="BD204" s="2" t="s">
        <v>82</v>
      </c>
      <c r="BE204" s="2">
        <v>41</v>
      </c>
      <c r="BF204" s="2" t="s">
        <v>82</v>
      </c>
      <c r="BG204" s="2" t="s">
        <v>82</v>
      </c>
      <c r="BH204" s="2"/>
      <c r="BI204" s="2"/>
      <c r="BJ204" s="2">
        <v>241</v>
      </c>
      <c r="BK204" s="2" t="s">
        <v>82</v>
      </c>
      <c r="BL204" s="2" t="s">
        <v>82</v>
      </c>
      <c r="BM204" s="2">
        <v>241</v>
      </c>
      <c r="BN204" s="2" t="s">
        <v>82</v>
      </c>
      <c r="BO204" s="2" t="s">
        <v>82</v>
      </c>
      <c r="BP204" s="2">
        <v>241</v>
      </c>
      <c r="BQ204" s="2" t="s">
        <v>82</v>
      </c>
      <c r="BR204" s="2" t="s">
        <v>82</v>
      </c>
      <c r="BS204" s="3">
        <v>40196</v>
      </c>
      <c r="BT204" s="4">
        <v>0.79365740740740742</v>
      </c>
    </row>
    <row r="205" spans="1:72" x14ac:dyDescent="0.25">
      <c r="A205" s="2">
        <v>309</v>
      </c>
      <c r="B205" s="2">
        <v>2010</v>
      </c>
      <c r="C205" s="2" t="s">
        <v>171</v>
      </c>
      <c r="D205" s="2" t="s">
        <v>122</v>
      </c>
      <c r="E205" s="2" t="s">
        <v>1135</v>
      </c>
      <c r="F205" s="2">
        <v>395</v>
      </c>
      <c r="G205" s="2" t="s">
        <v>1076</v>
      </c>
      <c r="H205" s="2">
        <v>7</v>
      </c>
      <c r="I205" s="2" t="s">
        <v>476</v>
      </c>
      <c r="J205" s="2">
        <v>242</v>
      </c>
      <c r="K205" s="2" t="s">
        <v>1077</v>
      </c>
      <c r="L205" s="2" t="s">
        <v>1078</v>
      </c>
      <c r="M205" s="3">
        <v>40196</v>
      </c>
      <c r="N205" s="2" t="s">
        <v>1079</v>
      </c>
      <c r="O205" s="2"/>
      <c r="P205" s="2"/>
      <c r="Q205" s="2" t="str">
        <f>"036-E/10"</f>
        <v>036-E/10</v>
      </c>
      <c r="R205" s="2" t="s">
        <v>1080</v>
      </c>
      <c r="S205" s="2" t="s">
        <v>1080</v>
      </c>
      <c r="T205" s="2">
        <v>1</v>
      </c>
      <c r="U205" s="2" t="s">
        <v>79</v>
      </c>
      <c r="V205" s="2">
        <v>1</v>
      </c>
      <c r="W205" s="2" t="s">
        <v>80</v>
      </c>
      <c r="X205" s="2">
        <v>1</v>
      </c>
      <c r="Y205" s="2" t="s">
        <v>81</v>
      </c>
      <c r="Z205" s="2">
        <v>10</v>
      </c>
      <c r="AA205" s="2" t="s">
        <v>236</v>
      </c>
      <c r="AB205" s="2">
        <v>1</v>
      </c>
      <c r="AC205" s="2" t="s">
        <v>178</v>
      </c>
      <c r="AD205" s="3">
        <v>40195</v>
      </c>
      <c r="AE205" s="4">
        <v>0.66666666666666663</v>
      </c>
      <c r="AF205" s="3">
        <v>40195</v>
      </c>
      <c r="AG205" s="4">
        <v>0.66666666666666663</v>
      </c>
      <c r="AH205" s="2">
        <v>2</v>
      </c>
      <c r="AI205" s="2" t="s">
        <v>84</v>
      </c>
      <c r="AJ205" s="2">
        <v>9</v>
      </c>
      <c r="AK205" s="2" t="s">
        <v>103</v>
      </c>
      <c r="AL205" s="2">
        <v>12</v>
      </c>
      <c r="AM205" s="2" t="s">
        <v>86</v>
      </c>
      <c r="AN205" s="2" t="s">
        <v>1081</v>
      </c>
      <c r="AO205" s="2"/>
      <c r="AP205" s="2">
        <v>11</v>
      </c>
      <c r="AQ205" s="2" t="s">
        <v>82</v>
      </c>
      <c r="AR205" s="2"/>
      <c r="AS205" s="2"/>
      <c r="AT205" s="2" t="s">
        <v>1136</v>
      </c>
      <c r="AU205" s="2"/>
      <c r="AV205" s="2"/>
      <c r="AW205" s="2"/>
      <c r="AX205" s="2"/>
      <c r="AY205" s="2">
        <v>41</v>
      </c>
      <c r="AZ205" s="2" t="s">
        <v>82</v>
      </c>
      <c r="BA205" s="2">
        <v>41</v>
      </c>
      <c r="BB205" s="2" t="s">
        <v>82</v>
      </c>
      <c r="BC205" s="2">
        <v>41</v>
      </c>
      <c r="BD205" s="2" t="s">
        <v>82</v>
      </c>
      <c r="BE205" s="2">
        <v>33</v>
      </c>
      <c r="BF205" s="2" t="s">
        <v>1083</v>
      </c>
      <c r="BG205" s="2">
        <v>227</v>
      </c>
      <c r="BH205" s="2"/>
      <c r="BI205" s="4">
        <v>0.76041666666666663</v>
      </c>
      <c r="BJ205" s="2">
        <v>13</v>
      </c>
      <c r="BK205" s="2" t="s">
        <v>91</v>
      </c>
      <c r="BL205" s="2" t="s">
        <v>1084</v>
      </c>
      <c r="BM205" s="2">
        <v>241</v>
      </c>
      <c r="BN205" s="2" t="s">
        <v>82</v>
      </c>
      <c r="BO205" s="2"/>
      <c r="BP205" s="2">
        <v>205</v>
      </c>
      <c r="BQ205" s="2" t="s">
        <v>1085</v>
      </c>
      <c r="BR205" s="2" t="s">
        <v>1086</v>
      </c>
      <c r="BS205" s="3">
        <v>40196</v>
      </c>
      <c r="BT205" s="4">
        <v>0.9547106481481481</v>
      </c>
    </row>
    <row r="206" spans="1:72" x14ac:dyDescent="0.25">
      <c r="A206" s="2">
        <v>310</v>
      </c>
      <c r="B206" s="2">
        <v>2010</v>
      </c>
      <c r="C206" s="2" t="s">
        <v>409</v>
      </c>
      <c r="D206" s="2" t="s">
        <v>122</v>
      </c>
      <c r="E206" s="2"/>
      <c r="F206" s="2">
        <v>311</v>
      </c>
      <c r="G206" s="2" t="s">
        <v>1137</v>
      </c>
      <c r="H206" s="2">
        <v>22</v>
      </c>
      <c r="I206" s="2" t="s">
        <v>75</v>
      </c>
      <c r="J206" s="2">
        <v>371</v>
      </c>
      <c r="K206" s="2" t="s">
        <v>1138</v>
      </c>
      <c r="L206" s="2" t="s">
        <v>1139</v>
      </c>
      <c r="M206" s="3">
        <v>40196</v>
      </c>
      <c r="N206" s="2" t="s">
        <v>1140</v>
      </c>
      <c r="O206" s="2" t="s">
        <v>1141</v>
      </c>
      <c r="P206" s="2" t="s">
        <v>1142</v>
      </c>
      <c r="Q206" s="2" t="str">
        <f>"202/09"</f>
        <v>202/09</v>
      </c>
      <c r="R206" s="2" t="s">
        <v>1143</v>
      </c>
      <c r="S206" s="2" t="s">
        <v>1144</v>
      </c>
      <c r="T206" s="2">
        <v>1</v>
      </c>
      <c r="U206" s="2" t="s">
        <v>79</v>
      </c>
      <c r="V206" s="2">
        <v>1</v>
      </c>
      <c r="W206" s="2" t="s">
        <v>80</v>
      </c>
      <c r="X206" s="2">
        <v>5</v>
      </c>
      <c r="Y206" s="2" t="s">
        <v>82</v>
      </c>
      <c r="Z206" s="2">
        <v>1</v>
      </c>
      <c r="AA206" s="2" t="s">
        <v>82</v>
      </c>
      <c r="AB206" s="2">
        <v>9</v>
      </c>
      <c r="AC206" s="2" t="s">
        <v>124</v>
      </c>
      <c r="AD206" s="2"/>
      <c r="AE206" s="2"/>
      <c r="AF206" s="2"/>
      <c r="AG206" s="2"/>
      <c r="AH206" s="2">
        <v>5</v>
      </c>
      <c r="AI206" s="2" t="s">
        <v>274</v>
      </c>
      <c r="AJ206" s="2">
        <v>38</v>
      </c>
      <c r="AK206" s="2" t="s">
        <v>1120</v>
      </c>
      <c r="AL206" s="2">
        <v>18</v>
      </c>
      <c r="AM206" s="2" t="s">
        <v>82</v>
      </c>
      <c r="AN206" s="2"/>
      <c r="AO206" s="2"/>
      <c r="AP206" s="2">
        <v>11</v>
      </c>
      <c r="AQ206" s="2" t="s">
        <v>82</v>
      </c>
      <c r="AR206" s="2"/>
      <c r="AS206" s="2"/>
      <c r="AT206" s="2" t="s">
        <v>1145</v>
      </c>
      <c r="AU206" s="2">
        <v>1</v>
      </c>
      <c r="AV206" s="2"/>
      <c r="AW206" s="2"/>
      <c r="AX206" s="2"/>
      <c r="AY206" s="2">
        <v>1</v>
      </c>
      <c r="AZ206" s="2" t="s">
        <v>107</v>
      </c>
      <c r="BA206" s="2">
        <v>1</v>
      </c>
      <c r="BB206" s="2" t="s">
        <v>107</v>
      </c>
      <c r="BC206" s="2">
        <v>1</v>
      </c>
      <c r="BD206" s="2" t="s">
        <v>107</v>
      </c>
      <c r="BE206" s="2">
        <v>41</v>
      </c>
      <c r="BF206" s="2" t="s">
        <v>82</v>
      </c>
      <c r="BG206" s="2"/>
      <c r="BH206" s="2"/>
      <c r="BI206" s="2"/>
      <c r="BJ206" s="2">
        <v>241</v>
      </c>
      <c r="BK206" s="2" t="s">
        <v>82</v>
      </c>
      <c r="BL206" s="2"/>
      <c r="BM206" s="2">
        <v>242</v>
      </c>
      <c r="BN206" s="2" t="s">
        <v>107</v>
      </c>
      <c r="BO206" s="2"/>
      <c r="BP206" s="2">
        <v>242</v>
      </c>
      <c r="BQ206" s="2" t="s">
        <v>107</v>
      </c>
      <c r="BR206" s="2"/>
      <c r="BS206" s="3">
        <v>40196</v>
      </c>
      <c r="BT206" s="4">
        <v>0.96723379629629624</v>
      </c>
    </row>
    <row r="207" spans="1:72" x14ac:dyDescent="0.25">
      <c r="A207" s="2">
        <v>311</v>
      </c>
      <c r="B207" s="2">
        <v>2010</v>
      </c>
      <c r="C207" s="2" t="s">
        <v>409</v>
      </c>
      <c r="D207" s="2" t="s">
        <v>122</v>
      </c>
      <c r="E207" s="2"/>
      <c r="F207" s="2">
        <v>311</v>
      </c>
      <c r="G207" s="2" t="s">
        <v>1137</v>
      </c>
      <c r="H207" s="2">
        <v>22</v>
      </c>
      <c r="I207" s="2" t="s">
        <v>75</v>
      </c>
      <c r="J207" s="2">
        <v>371</v>
      </c>
      <c r="K207" s="2" t="s">
        <v>1138</v>
      </c>
      <c r="L207" s="2" t="s">
        <v>1139</v>
      </c>
      <c r="M207" s="3">
        <v>40197</v>
      </c>
      <c r="N207" s="2" t="s">
        <v>1146</v>
      </c>
      <c r="O207" s="2" t="s">
        <v>1147</v>
      </c>
      <c r="P207" s="2" t="s">
        <v>1148</v>
      </c>
      <c r="Q207" s="2" t="str">
        <f>"205/09"</f>
        <v>205/09</v>
      </c>
      <c r="R207" s="2" t="s">
        <v>82</v>
      </c>
      <c r="S207" s="2" t="s">
        <v>1143</v>
      </c>
      <c r="T207" s="2">
        <v>1</v>
      </c>
      <c r="U207" s="2" t="s">
        <v>79</v>
      </c>
      <c r="V207" s="2">
        <v>1</v>
      </c>
      <c r="W207" s="2" t="s">
        <v>80</v>
      </c>
      <c r="X207" s="2">
        <v>5</v>
      </c>
      <c r="Y207" s="2" t="s">
        <v>82</v>
      </c>
      <c r="Z207" s="2">
        <v>1</v>
      </c>
      <c r="AA207" s="2" t="s">
        <v>82</v>
      </c>
      <c r="AB207" s="2">
        <v>9</v>
      </c>
      <c r="AC207" s="2" t="s">
        <v>124</v>
      </c>
      <c r="AD207" s="2"/>
      <c r="AE207" s="2"/>
      <c r="AF207" s="2"/>
      <c r="AG207" s="2"/>
      <c r="AH207" s="2">
        <v>5</v>
      </c>
      <c r="AI207" s="2" t="s">
        <v>274</v>
      </c>
      <c r="AJ207" s="2">
        <v>38</v>
      </c>
      <c r="AK207" s="2" t="s">
        <v>1120</v>
      </c>
      <c r="AL207" s="2">
        <v>18</v>
      </c>
      <c r="AM207" s="2" t="s">
        <v>82</v>
      </c>
      <c r="AN207" s="2"/>
      <c r="AO207" s="2"/>
      <c r="AP207" s="2">
        <v>11</v>
      </c>
      <c r="AQ207" s="2" t="s">
        <v>82</v>
      </c>
      <c r="AR207" s="2"/>
      <c r="AS207" s="2"/>
      <c r="AT207" s="2" t="s">
        <v>1149</v>
      </c>
      <c r="AU207" s="2">
        <v>1</v>
      </c>
      <c r="AV207" s="2"/>
      <c r="AW207" s="2"/>
      <c r="AX207" s="2"/>
      <c r="AY207" s="2">
        <v>1</v>
      </c>
      <c r="AZ207" s="2" t="s">
        <v>107</v>
      </c>
      <c r="BA207" s="2">
        <v>1</v>
      </c>
      <c r="BB207" s="2" t="s">
        <v>107</v>
      </c>
      <c r="BC207" s="2">
        <v>1</v>
      </c>
      <c r="BD207" s="2" t="s">
        <v>107</v>
      </c>
      <c r="BE207" s="2">
        <v>1</v>
      </c>
      <c r="BF207" s="2" t="s">
        <v>107</v>
      </c>
      <c r="BG207" s="2"/>
      <c r="BH207" s="2"/>
      <c r="BI207" s="2"/>
      <c r="BJ207" s="2">
        <v>242</v>
      </c>
      <c r="BK207" s="2" t="s">
        <v>107</v>
      </c>
      <c r="BL207" s="2"/>
      <c r="BM207" s="2">
        <v>242</v>
      </c>
      <c r="BN207" s="2" t="s">
        <v>107</v>
      </c>
      <c r="BO207" s="2"/>
      <c r="BP207" s="2">
        <v>242</v>
      </c>
      <c r="BQ207" s="2" t="s">
        <v>107</v>
      </c>
      <c r="BR207" s="2"/>
      <c r="BS207" s="3">
        <v>40197</v>
      </c>
      <c r="BT207" s="4">
        <v>1.9143518518518518E-2</v>
      </c>
    </row>
    <row r="208" spans="1:72" x14ac:dyDescent="0.25">
      <c r="A208" s="2">
        <v>312</v>
      </c>
      <c r="B208" s="2">
        <v>2010</v>
      </c>
      <c r="C208" s="2" t="s">
        <v>72</v>
      </c>
      <c r="D208" s="2" t="s">
        <v>73</v>
      </c>
      <c r="E208" s="2"/>
      <c r="F208" s="2">
        <v>29</v>
      </c>
      <c r="G208" s="2" t="s">
        <v>1150</v>
      </c>
      <c r="H208" s="2">
        <v>1</v>
      </c>
      <c r="I208" s="2" t="s">
        <v>82</v>
      </c>
      <c r="J208" s="2">
        <v>38</v>
      </c>
      <c r="K208" s="2" t="s">
        <v>1151</v>
      </c>
      <c r="L208" s="2" t="s">
        <v>1152</v>
      </c>
      <c r="M208" s="3">
        <v>40197</v>
      </c>
      <c r="N208" s="2"/>
      <c r="O208" s="2" t="s">
        <v>78</v>
      </c>
      <c r="P208" s="2"/>
      <c r="Q208" s="2" t="str">
        <f>"003-M/10"</f>
        <v>003-M/10</v>
      </c>
      <c r="R208" s="2"/>
      <c r="S208" s="2" t="s">
        <v>78</v>
      </c>
      <c r="T208" s="2">
        <v>1</v>
      </c>
      <c r="U208" s="2" t="s">
        <v>79</v>
      </c>
      <c r="V208" s="2">
        <v>1</v>
      </c>
      <c r="W208" s="2" t="s">
        <v>80</v>
      </c>
      <c r="X208" s="2">
        <v>5</v>
      </c>
      <c r="Y208" s="2" t="s">
        <v>82</v>
      </c>
      <c r="Z208" s="2">
        <v>1</v>
      </c>
      <c r="AA208" s="2" t="s">
        <v>82</v>
      </c>
      <c r="AB208" s="2">
        <v>6</v>
      </c>
      <c r="AC208" s="2" t="s">
        <v>83</v>
      </c>
      <c r="AD208" s="3">
        <v>40196</v>
      </c>
      <c r="AE208" s="4">
        <v>0.90277777777777779</v>
      </c>
      <c r="AF208" s="3">
        <v>40196</v>
      </c>
      <c r="AG208" s="4">
        <v>0.9375</v>
      </c>
      <c r="AH208" s="2">
        <v>2</v>
      </c>
      <c r="AI208" s="2" t="s">
        <v>84</v>
      </c>
      <c r="AJ208" s="2">
        <v>8</v>
      </c>
      <c r="AK208" s="2" t="s">
        <v>436</v>
      </c>
      <c r="AL208" s="2">
        <v>12</v>
      </c>
      <c r="AM208" s="2" t="s">
        <v>86</v>
      </c>
      <c r="AN208" s="2"/>
      <c r="AO208" s="2"/>
      <c r="AP208" s="2">
        <v>11</v>
      </c>
      <c r="AQ208" s="2" t="s">
        <v>82</v>
      </c>
      <c r="AR208" s="2"/>
      <c r="AS208" s="2"/>
      <c r="AT208" s="2" t="s">
        <v>1153</v>
      </c>
      <c r="AU208" s="2"/>
      <c r="AV208" s="2"/>
      <c r="AW208" s="2"/>
      <c r="AX208" s="2"/>
      <c r="AY208" s="2">
        <v>41</v>
      </c>
      <c r="AZ208" s="2" t="s">
        <v>82</v>
      </c>
      <c r="BA208" s="2">
        <v>41</v>
      </c>
      <c r="BB208" s="2" t="s">
        <v>82</v>
      </c>
      <c r="BC208" s="2">
        <v>41</v>
      </c>
      <c r="BD208" s="2" t="s">
        <v>82</v>
      </c>
      <c r="BE208" s="2">
        <v>47</v>
      </c>
      <c r="BF208" s="2" t="s">
        <v>167</v>
      </c>
      <c r="BG208" s="2" t="s">
        <v>1154</v>
      </c>
      <c r="BH208" s="4">
        <v>0.96875</v>
      </c>
      <c r="BI208" s="4">
        <v>0.99305555555555547</v>
      </c>
      <c r="BJ208" s="2">
        <v>13</v>
      </c>
      <c r="BK208" s="2" t="s">
        <v>91</v>
      </c>
      <c r="BL208" s="2" t="s">
        <v>185</v>
      </c>
      <c r="BM208" s="2">
        <v>241</v>
      </c>
      <c r="BN208" s="2" t="s">
        <v>82</v>
      </c>
      <c r="BO208" s="2"/>
      <c r="BP208" s="2">
        <v>13</v>
      </c>
      <c r="BQ208" s="2" t="s">
        <v>91</v>
      </c>
      <c r="BR208" s="2" t="s">
        <v>185</v>
      </c>
      <c r="BS208" s="3">
        <v>40197</v>
      </c>
      <c r="BT208" s="4">
        <v>2.1168981481481483E-2</v>
      </c>
    </row>
    <row r="209" spans="1:72" x14ac:dyDescent="0.25">
      <c r="A209" s="2">
        <v>315</v>
      </c>
      <c r="B209" s="2">
        <v>2010</v>
      </c>
      <c r="C209" s="2" t="s">
        <v>72</v>
      </c>
      <c r="D209" s="2" t="s">
        <v>73</v>
      </c>
      <c r="E209" s="2"/>
      <c r="F209" s="2">
        <v>390</v>
      </c>
      <c r="G209" s="2" t="s">
        <v>475</v>
      </c>
      <c r="H209" s="2">
        <v>7</v>
      </c>
      <c r="I209" s="2" t="s">
        <v>476</v>
      </c>
      <c r="J209" s="2">
        <v>314</v>
      </c>
      <c r="K209" s="2" t="s">
        <v>477</v>
      </c>
      <c r="L209" s="2" t="s">
        <v>478</v>
      </c>
      <c r="M209" s="3">
        <v>40197</v>
      </c>
      <c r="N209" s="2" t="s">
        <v>1155</v>
      </c>
      <c r="O209" s="2" t="s">
        <v>107</v>
      </c>
      <c r="P209" s="2" t="s">
        <v>107</v>
      </c>
      <c r="Q209" s="2" t="str">
        <f>"037-E/10"</f>
        <v>037-E/10</v>
      </c>
      <c r="R209" s="2" t="s">
        <v>1156</v>
      </c>
      <c r="S209" s="2" t="s">
        <v>1156</v>
      </c>
      <c r="T209" s="2">
        <v>1</v>
      </c>
      <c r="U209" s="2" t="s">
        <v>79</v>
      </c>
      <c r="V209" s="2">
        <v>1</v>
      </c>
      <c r="W209" s="2" t="s">
        <v>80</v>
      </c>
      <c r="X209" s="2">
        <v>1</v>
      </c>
      <c r="Y209" s="2" t="s">
        <v>81</v>
      </c>
      <c r="Z209" s="2">
        <v>1</v>
      </c>
      <c r="AA209" s="2" t="s">
        <v>82</v>
      </c>
      <c r="AB209" s="2">
        <v>6</v>
      </c>
      <c r="AC209" s="2" t="s">
        <v>83</v>
      </c>
      <c r="AD209" s="3">
        <v>40197</v>
      </c>
      <c r="AE209" s="4">
        <v>0.33333333333333331</v>
      </c>
      <c r="AF209" s="2"/>
      <c r="AG209" s="2"/>
      <c r="AH209" s="2">
        <v>2</v>
      </c>
      <c r="AI209" s="2" t="s">
        <v>84</v>
      </c>
      <c r="AJ209" s="2">
        <v>9</v>
      </c>
      <c r="AK209" s="2" t="s">
        <v>103</v>
      </c>
      <c r="AL209" s="2">
        <v>15</v>
      </c>
      <c r="AM209" s="2" t="s">
        <v>104</v>
      </c>
      <c r="AN209" s="2"/>
      <c r="AO209" s="2" t="s">
        <v>1157</v>
      </c>
      <c r="AP209" s="2">
        <v>11</v>
      </c>
      <c r="AQ209" s="2" t="s">
        <v>82</v>
      </c>
      <c r="AR209" s="2"/>
      <c r="AS209" s="2"/>
      <c r="AT209" s="2" t="s">
        <v>1158</v>
      </c>
      <c r="AU209" s="2">
        <v>1</v>
      </c>
      <c r="AV209" s="2"/>
      <c r="AW209" s="2"/>
      <c r="AX209" s="2"/>
      <c r="AY209" s="2">
        <v>13</v>
      </c>
      <c r="AZ209" s="2" t="s">
        <v>108</v>
      </c>
      <c r="BA209" s="2">
        <v>1</v>
      </c>
      <c r="BB209" s="2" t="s">
        <v>107</v>
      </c>
      <c r="BC209" s="2">
        <v>1</v>
      </c>
      <c r="BD209" s="2" t="s">
        <v>107</v>
      </c>
      <c r="BE209" s="2">
        <v>13</v>
      </c>
      <c r="BF209" s="2" t="s">
        <v>108</v>
      </c>
      <c r="BG209" s="2"/>
      <c r="BH209" s="2"/>
      <c r="BI209" s="2"/>
      <c r="BJ209" s="2">
        <v>242</v>
      </c>
      <c r="BK209" s="2" t="s">
        <v>107</v>
      </c>
      <c r="BL209" s="2"/>
      <c r="BM209" s="2">
        <v>242</v>
      </c>
      <c r="BN209" s="2" t="s">
        <v>107</v>
      </c>
      <c r="BO209" s="2"/>
      <c r="BP209" s="2">
        <v>242</v>
      </c>
      <c r="BQ209" s="2" t="s">
        <v>107</v>
      </c>
      <c r="BR209" s="2"/>
      <c r="BS209" s="3">
        <v>40197</v>
      </c>
      <c r="BT209" s="4">
        <v>0.52261574074074069</v>
      </c>
    </row>
    <row r="210" spans="1:72" x14ac:dyDescent="0.25">
      <c r="A210" s="2">
        <v>316</v>
      </c>
      <c r="B210" s="2">
        <v>2010</v>
      </c>
      <c r="C210" s="2" t="s">
        <v>171</v>
      </c>
      <c r="D210" s="2" t="s">
        <v>122</v>
      </c>
      <c r="E210" s="2" t="s">
        <v>1159</v>
      </c>
      <c r="F210" s="2">
        <v>395</v>
      </c>
      <c r="G210" s="2" t="s">
        <v>1076</v>
      </c>
      <c r="H210" s="2">
        <v>7</v>
      </c>
      <c r="I210" s="2" t="s">
        <v>476</v>
      </c>
      <c r="J210" s="2">
        <v>242</v>
      </c>
      <c r="K210" s="2" t="s">
        <v>1077</v>
      </c>
      <c r="L210" s="2" t="s">
        <v>1078</v>
      </c>
      <c r="M210" s="3">
        <v>40197</v>
      </c>
      <c r="N210" s="2" t="s">
        <v>1079</v>
      </c>
      <c r="O210" s="2"/>
      <c r="P210" s="2"/>
      <c r="Q210" s="2" t="str">
        <f>"036-E/10"</f>
        <v>036-E/10</v>
      </c>
      <c r="R210" s="2" t="s">
        <v>1080</v>
      </c>
      <c r="S210" s="2" t="s">
        <v>1080</v>
      </c>
      <c r="T210" s="2">
        <v>1</v>
      </c>
      <c r="U210" s="2" t="s">
        <v>79</v>
      </c>
      <c r="V210" s="2">
        <v>1</v>
      </c>
      <c r="W210" s="2" t="s">
        <v>80</v>
      </c>
      <c r="X210" s="2">
        <v>1</v>
      </c>
      <c r="Y210" s="2" t="s">
        <v>81</v>
      </c>
      <c r="Z210" s="2">
        <v>10</v>
      </c>
      <c r="AA210" s="2" t="s">
        <v>236</v>
      </c>
      <c r="AB210" s="2">
        <v>1</v>
      </c>
      <c r="AC210" s="2" t="s">
        <v>178</v>
      </c>
      <c r="AD210" s="3">
        <v>40195</v>
      </c>
      <c r="AE210" s="4">
        <v>0.66666666666666663</v>
      </c>
      <c r="AF210" s="3">
        <v>40195</v>
      </c>
      <c r="AG210" s="4">
        <v>0.66666666666666663</v>
      </c>
      <c r="AH210" s="2">
        <v>2</v>
      </c>
      <c r="AI210" s="2" t="s">
        <v>84</v>
      </c>
      <c r="AJ210" s="2">
        <v>9</v>
      </c>
      <c r="AK210" s="2" t="s">
        <v>103</v>
      </c>
      <c r="AL210" s="2">
        <v>12</v>
      </c>
      <c r="AM210" s="2" t="s">
        <v>86</v>
      </c>
      <c r="AN210" s="2" t="s">
        <v>1081</v>
      </c>
      <c r="AO210" s="2"/>
      <c r="AP210" s="2">
        <v>11</v>
      </c>
      <c r="AQ210" s="2" t="s">
        <v>82</v>
      </c>
      <c r="AR210" s="2"/>
      <c r="AS210" s="2"/>
      <c r="AT210" s="2" t="s">
        <v>1160</v>
      </c>
      <c r="AU210" s="2"/>
      <c r="AV210" s="2"/>
      <c r="AW210" s="2"/>
      <c r="AX210" s="2"/>
      <c r="AY210" s="2">
        <v>41</v>
      </c>
      <c r="AZ210" s="2" t="s">
        <v>82</v>
      </c>
      <c r="BA210" s="2">
        <v>41</v>
      </c>
      <c r="BB210" s="2" t="s">
        <v>82</v>
      </c>
      <c r="BC210" s="2">
        <v>41</v>
      </c>
      <c r="BD210" s="2" t="s">
        <v>82</v>
      </c>
      <c r="BE210" s="2">
        <v>33</v>
      </c>
      <c r="BF210" s="2" t="s">
        <v>1083</v>
      </c>
      <c r="BG210" s="2">
        <v>227</v>
      </c>
      <c r="BH210" s="2"/>
      <c r="BI210" s="4">
        <v>0.76041666666666663</v>
      </c>
      <c r="BJ210" s="2">
        <v>13</v>
      </c>
      <c r="BK210" s="2" t="s">
        <v>91</v>
      </c>
      <c r="BL210" s="2" t="s">
        <v>1084</v>
      </c>
      <c r="BM210" s="2">
        <v>241</v>
      </c>
      <c r="BN210" s="2" t="s">
        <v>82</v>
      </c>
      <c r="BO210" s="2"/>
      <c r="BP210" s="2">
        <v>205</v>
      </c>
      <c r="BQ210" s="2" t="s">
        <v>1085</v>
      </c>
      <c r="BR210" s="2" t="s">
        <v>1086</v>
      </c>
      <c r="BS210" s="3">
        <v>40197</v>
      </c>
      <c r="BT210" s="4">
        <v>0.53546296296296292</v>
      </c>
    </row>
    <row r="211" spans="1:72" x14ac:dyDescent="0.25">
      <c r="A211" s="2">
        <v>326</v>
      </c>
      <c r="B211" s="2">
        <v>2010</v>
      </c>
      <c r="C211" s="2" t="s">
        <v>147</v>
      </c>
      <c r="D211" s="2" t="s">
        <v>73</v>
      </c>
      <c r="E211" s="2"/>
      <c r="F211" s="2">
        <v>1</v>
      </c>
      <c r="G211" s="2" t="s">
        <v>82</v>
      </c>
      <c r="H211" s="2">
        <v>1</v>
      </c>
      <c r="I211" s="2" t="s">
        <v>82</v>
      </c>
      <c r="J211" s="2">
        <v>1</v>
      </c>
      <c r="K211" s="2" t="s">
        <v>107</v>
      </c>
      <c r="L211" s="2" t="s">
        <v>107</v>
      </c>
      <c r="M211" s="3">
        <v>40197</v>
      </c>
      <c r="N211" s="2"/>
      <c r="O211" s="2"/>
      <c r="P211" s="2"/>
      <c r="Q211" s="2" t="str">
        <f>""</f>
        <v/>
      </c>
      <c r="R211" s="2"/>
      <c r="S211" s="2"/>
      <c r="T211" s="2">
        <v>2</v>
      </c>
      <c r="U211" s="2" t="s">
        <v>123</v>
      </c>
      <c r="V211" s="2">
        <v>1</v>
      </c>
      <c r="W211" s="2" t="s">
        <v>80</v>
      </c>
      <c r="X211" s="2">
        <v>12</v>
      </c>
      <c r="Y211" s="2" t="s">
        <v>148</v>
      </c>
      <c r="Z211" s="2">
        <v>1</v>
      </c>
      <c r="AA211" s="2" t="s">
        <v>82</v>
      </c>
      <c r="AB211" s="2">
        <v>9</v>
      </c>
      <c r="AC211" s="2" t="s">
        <v>124</v>
      </c>
      <c r="AD211" s="3">
        <v>40196</v>
      </c>
      <c r="AE211" s="2"/>
      <c r="AF211" s="3">
        <v>40197</v>
      </c>
      <c r="AG211" s="4">
        <v>0.60416666666666663</v>
      </c>
      <c r="AH211" s="2">
        <v>6</v>
      </c>
      <c r="AI211" s="2" t="s">
        <v>197</v>
      </c>
      <c r="AJ211" s="2">
        <v>51</v>
      </c>
      <c r="AK211" s="2" t="s">
        <v>238</v>
      </c>
      <c r="AL211" s="2">
        <v>10</v>
      </c>
      <c r="AM211" s="2" t="s">
        <v>200</v>
      </c>
      <c r="AN211" s="2"/>
      <c r="AO211" s="2"/>
      <c r="AP211" s="2">
        <v>11</v>
      </c>
      <c r="AQ211" s="2" t="s">
        <v>82</v>
      </c>
      <c r="AR211" s="2"/>
      <c r="AS211" s="2"/>
      <c r="AT211" s="2" t="s">
        <v>1161</v>
      </c>
      <c r="AU211" s="2"/>
      <c r="AV211" s="2"/>
      <c r="AW211" s="2"/>
      <c r="AX211" s="2"/>
      <c r="AY211" s="2">
        <v>41</v>
      </c>
      <c r="AZ211" s="2" t="s">
        <v>82</v>
      </c>
      <c r="BA211" s="2">
        <v>41</v>
      </c>
      <c r="BB211" s="2" t="s">
        <v>82</v>
      </c>
      <c r="BC211" s="2">
        <v>41</v>
      </c>
      <c r="BD211" s="2" t="s">
        <v>82</v>
      </c>
      <c r="BE211" s="2">
        <v>41</v>
      </c>
      <c r="BF211" s="2" t="s">
        <v>82</v>
      </c>
      <c r="BG211" s="2" t="s">
        <v>82</v>
      </c>
      <c r="BH211" s="2"/>
      <c r="BI211" s="2"/>
      <c r="BJ211" s="2">
        <v>241</v>
      </c>
      <c r="BK211" s="2" t="s">
        <v>82</v>
      </c>
      <c r="BL211" s="2"/>
      <c r="BM211" s="2">
        <v>241</v>
      </c>
      <c r="BN211" s="2" t="s">
        <v>82</v>
      </c>
      <c r="BO211" s="2"/>
      <c r="BP211" s="2">
        <v>241</v>
      </c>
      <c r="BQ211" s="2" t="s">
        <v>82</v>
      </c>
      <c r="BR211" s="2"/>
      <c r="BS211" s="3">
        <v>40197</v>
      </c>
      <c r="BT211" s="4">
        <v>0.68900462962962961</v>
      </c>
    </row>
    <row r="212" spans="1:72" x14ac:dyDescent="0.25">
      <c r="A212" s="2">
        <v>332</v>
      </c>
      <c r="B212" s="2">
        <v>2010</v>
      </c>
      <c r="C212" s="2" t="s">
        <v>171</v>
      </c>
      <c r="D212" s="2" t="s">
        <v>122</v>
      </c>
      <c r="E212" s="2" t="s">
        <v>1162</v>
      </c>
      <c r="F212" s="2">
        <v>395</v>
      </c>
      <c r="G212" s="2" t="s">
        <v>1076</v>
      </c>
      <c r="H212" s="2">
        <v>7</v>
      </c>
      <c r="I212" s="2" t="s">
        <v>476</v>
      </c>
      <c r="J212" s="2">
        <v>242</v>
      </c>
      <c r="K212" s="2" t="s">
        <v>1077</v>
      </c>
      <c r="L212" s="2" t="s">
        <v>1078</v>
      </c>
      <c r="M212" s="3">
        <v>40197</v>
      </c>
      <c r="N212" s="2" t="s">
        <v>1079</v>
      </c>
      <c r="O212" s="2"/>
      <c r="P212" s="2"/>
      <c r="Q212" s="2" t="str">
        <f>"036-E/10"</f>
        <v>036-E/10</v>
      </c>
      <c r="R212" s="2" t="s">
        <v>1080</v>
      </c>
      <c r="S212" s="2" t="s">
        <v>1080</v>
      </c>
      <c r="T212" s="2">
        <v>1</v>
      </c>
      <c r="U212" s="2" t="s">
        <v>79</v>
      </c>
      <c r="V212" s="2">
        <v>1</v>
      </c>
      <c r="W212" s="2" t="s">
        <v>80</v>
      </c>
      <c r="X212" s="2">
        <v>1</v>
      </c>
      <c r="Y212" s="2" t="s">
        <v>81</v>
      </c>
      <c r="Z212" s="2">
        <v>10</v>
      </c>
      <c r="AA212" s="2" t="s">
        <v>236</v>
      </c>
      <c r="AB212" s="2">
        <v>1</v>
      </c>
      <c r="AC212" s="2" t="s">
        <v>178</v>
      </c>
      <c r="AD212" s="3">
        <v>40195</v>
      </c>
      <c r="AE212" s="4">
        <v>0.66666666666666663</v>
      </c>
      <c r="AF212" s="3">
        <v>40195</v>
      </c>
      <c r="AG212" s="4">
        <v>0.66666666666666663</v>
      </c>
      <c r="AH212" s="2">
        <v>2</v>
      </c>
      <c r="AI212" s="2" t="s">
        <v>84</v>
      </c>
      <c r="AJ212" s="2">
        <v>9</v>
      </c>
      <c r="AK212" s="2" t="s">
        <v>103</v>
      </c>
      <c r="AL212" s="2">
        <v>12</v>
      </c>
      <c r="AM212" s="2" t="s">
        <v>86</v>
      </c>
      <c r="AN212" s="2" t="s">
        <v>1081</v>
      </c>
      <c r="AO212" s="2"/>
      <c r="AP212" s="2">
        <v>11</v>
      </c>
      <c r="AQ212" s="2" t="s">
        <v>82</v>
      </c>
      <c r="AR212" s="2"/>
      <c r="AS212" s="2"/>
      <c r="AT212" s="2" t="s">
        <v>1163</v>
      </c>
      <c r="AU212" s="2"/>
      <c r="AV212" s="2"/>
      <c r="AW212" s="2"/>
      <c r="AX212" s="2"/>
      <c r="AY212" s="2">
        <v>41</v>
      </c>
      <c r="AZ212" s="2" t="s">
        <v>82</v>
      </c>
      <c r="BA212" s="2">
        <v>41</v>
      </c>
      <c r="BB212" s="2" t="s">
        <v>82</v>
      </c>
      <c r="BC212" s="2">
        <v>41</v>
      </c>
      <c r="BD212" s="2" t="s">
        <v>82</v>
      </c>
      <c r="BE212" s="2">
        <v>33</v>
      </c>
      <c r="BF212" s="2" t="s">
        <v>1083</v>
      </c>
      <c r="BG212" s="2">
        <v>227</v>
      </c>
      <c r="BH212" s="2"/>
      <c r="BI212" s="4">
        <v>0.76041666666666663</v>
      </c>
      <c r="BJ212" s="2">
        <v>13</v>
      </c>
      <c r="BK212" s="2" t="s">
        <v>91</v>
      </c>
      <c r="BL212" s="2" t="s">
        <v>1084</v>
      </c>
      <c r="BM212" s="2">
        <v>241</v>
      </c>
      <c r="BN212" s="2" t="s">
        <v>82</v>
      </c>
      <c r="BO212" s="2"/>
      <c r="BP212" s="2">
        <v>205</v>
      </c>
      <c r="BQ212" s="2" t="s">
        <v>1085</v>
      </c>
      <c r="BR212" s="2" t="s">
        <v>1086</v>
      </c>
      <c r="BS212" s="3">
        <v>40197</v>
      </c>
      <c r="BT212" s="4">
        <v>0.89541666666666664</v>
      </c>
    </row>
    <row r="213" spans="1:72" x14ac:dyDescent="0.25">
      <c r="A213" s="2">
        <v>333</v>
      </c>
      <c r="B213" s="2">
        <v>2010</v>
      </c>
      <c r="C213" s="2" t="s">
        <v>594</v>
      </c>
      <c r="D213" s="2" t="s">
        <v>122</v>
      </c>
      <c r="E213" s="2"/>
      <c r="F213" s="2">
        <v>1</v>
      </c>
      <c r="G213" s="2" t="s">
        <v>82</v>
      </c>
      <c r="H213" s="2">
        <v>1</v>
      </c>
      <c r="I213" s="2" t="s">
        <v>82</v>
      </c>
      <c r="J213" s="2">
        <v>1</v>
      </c>
      <c r="K213" s="2" t="s">
        <v>107</v>
      </c>
      <c r="L213" s="2" t="s">
        <v>107</v>
      </c>
      <c r="M213" s="3">
        <v>40197</v>
      </c>
      <c r="N213" s="2"/>
      <c r="O213" s="2"/>
      <c r="P213" s="2"/>
      <c r="Q213" s="2" t="str">
        <f>""</f>
        <v/>
      </c>
      <c r="R213" s="2"/>
      <c r="S213" s="2"/>
      <c r="T213" s="2">
        <v>1</v>
      </c>
      <c r="U213" s="2" t="s">
        <v>79</v>
      </c>
      <c r="V213" s="2">
        <v>1</v>
      </c>
      <c r="W213" s="2" t="s">
        <v>80</v>
      </c>
      <c r="X213" s="2">
        <v>1</v>
      </c>
      <c r="Y213" s="2" t="s">
        <v>81</v>
      </c>
      <c r="Z213" s="2">
        <v>1</v>
      </c>
      <c r="AA213" s="2" t="s">
        <v>82</v>
      </c>
      <c r="AB213" s="2">
        <v>9</v>
      </c>
      <c r="AC213" s="2" t="s">
        <v>124</v>
      </c>
      <c r="AD213" s="3">
        <v>40197</v>
      </c>
      <c r="AE213" s="4">
        <v>0.90486111111111101</v>
      </c>
      <c r="AF213" s="2"/>
      <c r="AG213" s="2"/>
      <c r="AH213" s="2">
        <v>6</v>
      </c>
      <c r="AI213" s="2" t="s">
        <v>197</v>
      </c>
      <c r="AJ213" s="2">
        <v>54</v>
      </c>
      <c r="AK213" s="2" t="s">
        <v>348</v>
      </c>
      <c r="AL213" s="2">
        <v>18</v>
      </c>
      <c r="AM213" s="2" t="s">
        <v>82</v>
      </c>
      <c r="AN213" s="2" t="s">
        <v>595</v>
      </c>
      <c r="AO213" s="2" t="s">
        <v>200</v>
      </c>
      <c r="AP213" s="2">
        <v>12</v>
      </c>
      <c r="AQ213" s="2" t="s">
        <v>322</v>
      </c>
      <c r="AR213" s="2" t="s">
        <v>596</v>
      </c>
      <c r="AS213" s="2" t="s">
        <v>596</v>
      </c>
      <c r="AT213" s="2" t="s">
        <v>1164</v>
      </c>
      <c r="AU213" s="2"/>
      <c r="AV213" s="2"/>
      <c r="AW213" s="2"/>
      <c r="AX213" s="2"/>
      <c r="AY213" s="2">
        <v>1</v>
      </c>
      <c r="AZ213" s="2" t="s">
        <v>107</v>
      </c>
      <c r="BA213" s="2">
        <v>1</v>
      </c>
      <c r="BB213" s="2" t="s">
        <v>107</v>
      </c>
      <c r="BC213" s="2">
        <v>1</v>
      </c>
      <c r="BD213" s="2" t="s">
        <v>107</v>
      </c>
      <c r="BE213" s="2">
        <v>47</v>
      </c>
      <c r="BF213" s="2" t="s">
        <v>167</v>
      </c>
      <c r="BG213" s="2" t="s">
        <v>1165</v>
      </c>
      <c r="BH213" s="4">
        <v>0.86458333333333337</v>
      </c>
      <c r="BI213" s="4">
        <v>0.90486111111111101</v>
      </c>
      <c r="BJ213" s="2">
        <v>13</v>
      </c>
      <c r="BK213" s="2" t="s">
        <v>91</v>
      </c>
      <c r="BL213" s="2" t="s">
        <v>904</v>
      </c>
      <c r="BM213" s="2">
        <v>242</v>
      </c>
      <c r="BN213" s="2" t="s">
        <v>107</v>
      </c>
      <c r="BO213" s="2"/>
      <c r="BP213" s="2">
        <v>13</v>
      </c>
      <c r="BQ213" s="2" t="s">
        <v>91</v>
      </c>
      <c r="BR213" s="2" t="s">
        <v>905</v>
      </c>
      <c r="BS213" s="3">
        <v>40197</v>
      </c>
      <c r="BT213" s="4">
        <v>0.91446759259259258</v>
      </c>
    </row>
    <row r="214" spans="1:72" x14ac:dyDescent="0.25">
      <c r="A214" s="2">
        <v>335</v>
      </c>
      <c r="B214" s="2">
        <v>2010</v>
      </c>
      <c r="C214" s="2" t="s">
        <v>72</v>
      </c>
      <c r="D214" s="2" t="s">
        <v>73</v>
      </c>
      <c r="E214" s="2"/>
      <c r="F214" s="2">
        <v>168</v>
      </c>
      <c r="G214" s="2" t="s">
        <v>703</v>
      </c>
      <c r="H214" s="2">
        <v>43</v>
      </c>
      <c r="I214" s="2" t="s">
        <v>1166</v>
      </c>
      <c r="J214" s="2">
        <v>305</v>
      </c>
      <c r="K214" s="2" t="s">
        <v>160</v>
      </c>
      <c r="L214" s="2" t="s">
        <v>161</v>
      </c>
      <c r="M214" s="3">
        <v>40198</v>
      </c>
      <c r="N214" s="2" t="s">
        <v>1167</v>
      </c>
      <c r="O214" s="2"/>
      <c r="P214" s="2"/>
      <c r="Q214" s="2" t="str">
        <f>"022-A/10"</f>
        <v>022-A/10</v>
      </c>
      <c r="R214" s="2"/>
      <c r="S214" s="2" t="s">
        <v>302</v>
      </c>
      <c r="T214" s="2">
        <v>1</v>
      </c>
      <c r="U214" s="2" t="s">
        <v>79</v>
      </c>
      <c r="V214" s="2">
        <v>1</v>
      </c>
      <c r="W214" s="2" t="s">
        <v>80</v>
      </c>
      <c r="X214" s="2">
        <v>1</v>
      </c>
      <c r="Y214" s="2" t="s">
        <v>81</v>
      </c>
      <c r="Z214" s="2">
        <v>1</v>
      </c>
      <c r="AA214" s="2" t="s">
        <v>82</v>
      </c>
      <c r="AB214" s="2">
        <v>6</v>
      </c>
      <c r="AC214" s="2" t="s">
        <v>83</v>
      </c>
      <c r="AD214" s="3">
        <v>40197</v>
      </c>
      <c r="AE214" s="4">
        <v>0.84375</v>
      </c>
      <c r="AF214" s="2"/>
      <c r="AG214" s="2"/>
      <c r="AH214" s="2">
        <v>2</v>
      </c>
      <c r="AI214" s="2" t="s">
        <v>84</v>
      </c>
      <c r="AJ214" s="2">
        <v>12</v>
      </c>
      <c r="AK214" s="2" t="s">
        <v>85</v>
      </c>
      <c r="AL214" s="2">
        <v>14</v>
      </c>
      <c r="AM214" s="2" t="s">
        <v>216</v>
      </c>
      <c r="AN214" s="2" t="s">
        <v>1168</v>
      </c>
      <c r="AO214" s="2" t="s">
        <v>1169</v>
      </c>
      <c r="AP214" s="2">
        <v>11</v>
      </c>
      <c r="AQ214" s="2" t="s">
        <v>82</v>
      </c>
      <c r="AR214" s="2"/>
      <c r="AS214" s="2"/>
      <c r="AT214" s="2" t="s">
        <v>1170</v>
      </c>
      <c r="AU214" s="2">
        <v>1</v>
      </c>
      <c r="AV214" s="2"/>
      <c r="AW214" s="2"/>
      <c r="AX214" s="2"/>
      <c r="AY214" s="2">
        <v>41</v>
      </c>
      <c r="AZ214" s="2" t="s">
        <v>82</v>
      </c>
      <c r="BA214" s="2">
        <v>41</v>
      </c>
      <c r="BB214" s="2" t="s">
        <v>82</v>
      </c>
      <c r="BC214" s="2">
        <v>41</v>
      </c>
      <c r="BD214" s="2" t="s">
        <v>82</v>
      </c>
      <c r="BE214" s="2">
        <v>13</v>
      </c>
      <c r="BF214" s="2" t="s">
        <v>108</v>
      </c>
      <c r="BG214" s="2" t="s">
        <v>1171</v>
      </c>
      <c r="BH214" s="4">
        <v>0.94444444444444453</v>
      </c>
      <c r="BI214" s="4">
        <v>0.85763888888888884</v>
      </c>
      <c r="BJ214" s="2">
        <v>13</v>
      </c>
      <c r="BK214" s="2" t="s">
        <v>91</v>
      </c>
      <c r="BL214" s="2" t="s">
        <v>1040</v>
      </c>
      <c r="BM214" s="2">
        <v>241</v>
      </c>
      <c r="BN214" s="2" t="s">
        <v>82</v>
      </c>
      <c r="BO214" s="2" t="s">
        <v>82</v>
      </c>
      <c r="BP214" s="2">
        <v>13</v>
      </c>
      <c r="BQ214" s="2" t="s">
        <v>91</v>
      </c>
      <c r="BR214" s="2" t="s">
        <v>169</v>
      </c>
      <c r="BS214" s="3">
        <v>40198</v>
      </c>
      <c r="BT214" s="4">
        <v>1.2847222222222223E-3</v>
      </c>
    </row>
    <row r="215" spans="1:72" x14ac:dyDescent="0.25">
      <c r="A215" s="2">
        <v>336</v>
      </c>
      <c r="B215" s="2">
        <v>2010</v>
      </c>
      <c r="C215" s="2" t="s">
        <v>1172</v>
      </c>
      <c r="D215" s="2" t="s">
        <v>73</v>
      </c>
      <c r="E215" s="2"/>
      <c r="F215" s="2">
        <v>40</v>
      </c>
      <c r="G215" s="2" t="s">
        <v>1173</v>
      </c>
      <c r="H215" s="2">
        <v>6</v>
      </c>
      <c r="I215" s="2" t="s">
        <v>1088</v>
      </c>
      <c r="J215" s="2">
        <v>1</v>
      </c>
      <c r="K215" s="2" t="s">
        <v>107</v>
      </c>
      <c r="L215" s="2" t="s">
        <v>107</v>
      </c>
      <c r="M215" s="3">
        <v>40198</v>
      </c>
      <c r="N215" s="2" t="s">
        <v>1174</v>
      </c>
      <c r="O215" s="2"/>
      <c r="P215" s="2"/>
      <c r="Q215" s="2" t="str">
        <f>"01-S/10"</f>
        <v>01-S/10</v>
      </c>
      <c r="R215" s="2" t="s">
        <v>1175</v>
      </c>
      <c r="S215" s="2" t="s">
        <v>1175</v>
      </c>
      <c r="T215" s="2">
        <v>1</v>
      </c>
      <c r="U215" s="2" t="s">
        <v>79</v>
      </c>
      <c r="V215" s="2">
        <v>1</v>
      </c>
      <c r="W215" s="2" t="s">
        <v>80</v>
      </c>
      <c r="X215" s="2">
        <v>1</v>
      </c>
      <c r="Y215" s="2" t="s">
        <v>81</v>
      </c>
      <c r="Z215" s="2">
        <v>8</v>
      </c>
      <c r="AA215" s="2" t="s">
        <v>1176</v>
      </c>
      <c r="AB215" s="2">
        <v>9</v>
      </c>
      <c r="AC215" s="2" t="s">
        <v>124</v>
      </c>
      <c r="AD215" s="3">
        <v>40197</v>
      </c>
      <c r="AE215" s="4">
        <v>0.59375</v>
      </c>
      <c r="AF215" s="2"/>
      <c r="AG215" s="2"/>
      <c r="AH215" s="2">
        <v>2</v>
      </c>
      <c r="AI215" s="2" t="s">
        <v>84</v>
      </c>
      <c r="AJ215" s="2">
        <v>11</v>
      </c>
      <c r="AK215" s="2" t="s">
        <v>751</v>
      </c>
      <c r="AL215" s="2">
        <v>9</v>
      </c>
      <c r="AM215" s="2" t="s">
        <v>259</v>
      </c>
      <c r="AN215" s="2" t="s">
        <v>1177</v>
      </c>
      <c r="AO215" s="2" t="s">
        <v>1178</v>
      </c>
      <c r="AP215" s="2">
        <v>11</v>
      </c>
      <c r="AQ215" s="2" t="s">
        <v>82</v>
      </c>
      <c r="AR215" s="2"/>
      <c r="AS215" s="2"/>
      <c r="AT215" s="2" t="s">
        <v>1179</v>
      </c>
      <c r="AU215" s="2"/>
      <c r="AV215" s="2"/>
      <c r="AW215" s="2"/>
      <c r="AX215" s="2"/>
      <c r="AY215" s="2">
        <v>42</v>
      </c>
      <c r="AZ215" s="2" t="s">
        <v>182</v>
      </c>
      <c r="BA215" s="2">
        <v>41</v>
      </c>
      <c r="BB215" s="2" t="s">
        <v>82</v>
      </c>
      <c r="BC215" s="2">
        <v>41</v>
      </c>
      <c r="BD215" s="2" t="s">
        <v>82</v>
      </c>
      <c r="BE215" s="2">
        <v>41</v>
      </c>
      <c r="BF215" s="2" t="s">
        <v>82</v>
      </c>
      <c r="BG215" s="2"/>
      <c r="BH215" s="2"/>
      <c r="BI215" s="2"/>
      <c r="BJ215" s="2">
        <v>241</v>
      </c>
      <c r="BK215" s="2" t="s">
        <v>82</v>
      </c>
      <c r="BL215" s="2"/>
      <c r="BM215" s="2">
        <v>241</v>
      </c>
      <c r="BN215" s="2" t="s">
        <v>82</v>
      </c>
      <c r="BO215" s="2"/>
      <c r="BP215" s="2">
        <v>241</v>
      </c>
      <c r="BQ215" s="2" t="s">
        <v>82</v>
      </c>
      <c r="BR215" s="2"/>
      <c r="BS215" s="3">
        <v>40198</v>
      </c>
      <c r="BT215" s="4">
        <v>5.0474537037037033E-2</v>
      </c>
    </row>
    <row r="216" spans="1:72" x14ac:dyDescent="0.25">
      <c r="A216" s="2">
        <v>337</v>
      </c>
      <c r="B216" s="2">
        <v>2010</v>
      </c>
      <c r="C216" s="2" t="s">
        <v>93</v>
      </c>
      <c r="D216" s="2" t="s">
        <v>73</v>
      </c>
      <c r="E216" s="2"/>
      <c r="F216" s="2">
        <v>395</v>
      </c>
      <c r="G216" s="2" t="s">
        <v>1076</v>
      </c>
      <c r="H216" s="2">
        <v>6</v>
      </c>
      <c r="I216" s="2" t="s">
        <v>1088</v>
      </c>
      <c r="J216" s="2">
        <v>242</v>
      </c>
      <c r="K216" s="2" t="s">
        <v>1077</v>
      </c>
      <c r="L216" s="2" t="s">
        <v>1078</v>
      </c>
      <c r="M216" s="3">
        <v>40198</v>
      </c>
      <c r="N216" s="2" t="s">
        <v>1180</v>
      </c>
      <c r="O216" s="2" t="s">
        <v>1181</v>
      </c>
      <c r="P216" s="2">
        <v>10737</v>
      </c>
      <c r="Q216" s="2" t="str">
        <f>""</f>
        <v/>
      </c>
      <c r="R216" s="2" t="s">
        <v>602</v>
      </c>
      <c r="S216" s="2"/>
      <c r="T216" s="2">
        <v>1</v>
      </c>
      <c r="U216" s="2" t="s">
        <v>79</v>
      </c>
      <c r="V216" s="2">
        <v>1</v>
      </c>
      <c r="W216" s="2" t="s">
        <v>80</v>
      </c>
      <c r="X216" s="2">
        <v>4</v>
      </c>
      <c r="Y216" s="2" t="s">
        <v>463</v>
      </c>
      <c r="Z216" s="2">
        <v>6</v>
      </c>
      <c r="AA216" s="2" t="s">
        <v>101</v>
      </c>
      <c r="AB216" s="2">
        <v>2</v>
      </c>
      <c r="AC216" s="2" t="s">
        <v>102</v>
      </c>
      <c r="AD216" s="3">
        <v>40195</v>
      </c>
      <c r="AE216" s="4">
        <v>0.72916666666666663</v>
      </c>
      <c r="AF216" s="2"/>
      <c r="AG216" s="2"/>
      <c r="AH216" s="2">
        <v>2</v>
      </c>
      <c r="AI216" s="2" t="s">
        <v>84</v>
      </c>
      <c r="AJ216" s="2">
        <v>12</v>
      </c>
      <c r="AK216" s="2" t="s">
        <v>85</v>
      </c>
      <c r="AL216" s="2">
        <v>18</v>
      </c>
      <c r="AM216" s="2" t="s">
        <v>82</v>
      </c>
      <c r="AN216" s="2" t="s">
        <v>1182</v>
      </c>
      <c r="AO216" s="2" t="s">
        <v>1183</v>
      </c>
      <c r="AP216" s="2">
        <v>11</v>
      </c>
      <c r="AQ216" s="2" t="s">
        <v>82</v>
      </c>
      <c r="AR216" s="2"/>
      <c r="AS216" s="2"/>
      <c r="AT216" s="2" t="s">
        <v>1184</v>
      </c>
      <c r="AU216" s="2"/>
      <c r="AV216" s="2"/>
      <c r="AW216" s="2"/>
      <c r="AX216" s="2"/>
      <c r="AY216" s="2">
        <v>41</v>
      </c>
      <c r="AZ216" s="2" t="s">
        <v>82</v>
      </c>
      <c r="BA216" s="2">
        <v>41</v>
      </c>
      <c r="BB216" s="2" t="s">
        <v>82</v>
      </c>
      <c r="BC216" s="2">
        <v>41</v>
      </c>
      <c r="BD216" s="2" t="s">
        <v>82</v>
      </c>
      <c r="BE216" s="2">
        <v>52</v>
      </c>
      <c r="BF216" s="2" t="s">
        <v>1185</v>
      </c>
      <c r="BG216" s="2"/>
      <c r="BH216" s="4">
        <v>0.77777777777777779</v>
      </c>
      <c r="BI216" s="4">
        <v>0.73958333333333337</v>
      </c>
      <c r="BJ216" s="2">
        <v>13</v>
      </c>
      <c r="BK216" s="2" t="s">
        <v>91</v>
      </c>
      <c r="BL216" s="2" t="s">
        <v>1040</v>
      </c>
      <c r="BM216" s="2">
        <v>241</v>
      </c>
      <c r="BN216" s="2" t="s">
        <v>82</v>
      </c>
      <c r="BO216" s="2" t="s">
        <v>82</v>
      </c>
      <c r="BP216" s="2">
        <v>229</v>
      </c>
      <c r="BQ216" s="2" t="s">
        <v>300</v>
      </c>
      <c r="BR216" s="2" t="s">
        <v>301</v>
      </c>
      <c r="BS216" s="3">
        <v>40198</v>
      </c>
      <c r="BT216" s="4">
        <v>0.13805555555555557</v>
      </c>
    </row>
    <row r="217" spans="1:72" x14ac:dyDescent="0.25">
      <c r="A217" s="2">
        <v>338</v>
      </c>
      <c r="B217" s="2">
        <v>2010</v>
      </c>
      <c r="C217" s="2" t="s">
        <v>594</v>
      </c>
      <c r="D217" s="2" t="s">
        <v>122</v>
      </c>
      <c r="E217" s="2"/>
      <c r="F217" s="2">
        <v>1</v>
      </c>
      <c r="G217" s="2" t="s">
        <v>82</v>
      </c>
      <c r="H217" s="2">
        <v>1</v>
      </c>
      <c r="I217" s="2" t="s">
        <v>82</v>
      </c>
      <c r="J217" s="2">
        <v>1</v>
      </c>
      <c r="K217" s="2" t="s">
        <v>107</v>
      </c>
      <c r="L217" s="2" t="s">
        <v>107</v>
      </c>
      <c r="M217" s="3">
        <v>40198</v>
      </c>
      <c r="N217" s="2"/>
      <c r="O217" s="2"/>
      <c r="P217" s="2"/>
      <c r="Q217" s="2" t="str">
        <f>""</f>
        <v/>
      </c>
      <c r="R217" s="2"/>
      <c r="S217" s="2"/>
      <c r="T217" s="2">
        <v>1</v>
      </c>
      <c r="U217" s="2" t="s">
        <v>79</v>
      </c>
      <c r="V217" s="2">
        <v>1</v>
      </c>
      <c r="W217" s="2" t="s">
        <v>80</v>
      </c>
      <c r="X217" s="2">
        <v>1</v>
      </c>
      <c r="Y217" s="2" t="s">
        <v>81</v>
      </c>
      <c r="Z217" s="2">
        <v>1</v>
      </c>
      <c r="AA217" s="2" t="s">
        <v>82</v>
      </c>
      <c r="AB217" s="2">
        <v>9</v>
      </c>
      <c r="AC217" s="2" t="s">
        <v>124</v>
      </c>
      <c r="AD217" s="3">
        <v>40198</v>
      </c>
      <c r="AE217" s="4">
        <v>0.29930555555555555</v>
      </c>
      <c r="AF217" s="2"/>
      <c r="AG217" s="2"/>
      <c r="AH217" s="2">
        <v>6</v>
      </c>
      <c r="AI217" s="2" t="s">
        <v>197</v>
      </c>
      <c r="AJ217" s="2">
        <v>54</v>
      </c>
      <c r="AK217" s="2" t="s">
        <v>348</v>
      </c>
      <c r="AL217" s="2">
        <v>18</v>
      </c>
      <c r="AM217" s="2" t="s">
        <v>82</v>
      </c>
      <c r="AN217" s="2" t="s">
        <v>595</v>
      </c>
      <c r="AO217" s="2" t="s">
        <v>200</v>
      </c>
      <c r="AP217" s="2">
        <v>12</v>
      </c>
      <c r="AQ217" s="2" t="s">
        <v>322</v>
      </c>
      <c r="AR217" s="2" t="s">
        <v>596</v>
      </c>
      <c r="AS217" s="2" t="s">
        <v>596</v>
      </c>
      <c r="AT217" s="2" t="s">
        <v>1186</v>
      </c>
      <c r="AU217" s="2"/>
      <c r="AV217" s="2"/>
      <c r="AW217" s="2"/>
      <c r="AX217" s="2"/>
      <c r="AY217" s="2">
        <v>1</v>
      </c>
      <c r="AZ217" s="2" t="s">
        <v>107</v>
      </c>
      <c r="BA217" s="2">
        <v>1</v>
      </c>
      <c r="BB217" s="2" t="s">
        <v>107</v>
      </c>
      <c r="BC217" s="2">
        <v>1</v>
      </c>
      <c r="BD217" s="2" t="s">
        <v>107</v>
      </c>
      <c r="BE217" s="2">
        <v>13</v>
      </c>
      <c r="BF217" s="2" t="s">
        <v>108</v>
      </c>
      <c r="BG217" s="2" t="s">
        <v>846</v>
      </c>
      <c r="BH217" s="2"/>
      <c r="BI217" s="4">
        <v>0.29930555555555555</v>
      </c>
      <c r="BJ217" s="2">
        <v>13</v>
      </c>
      <c r="BK217" s="2" t="s">
        <v>91</v>
      </c>
      <c r="BL217" s="2" t="s">
        <v>904</v>
      </c>
      <c r="BM217" s="2">
        <v>242</v>
      </c>
      <c r="BN217" s="2" t="s">
        <v>107</v>
      </c>
      <c r="BO217" s="2"/>
      <c r="BP217" s="2">
        <v>13</v>
      </c>
      <c r="BQ217" s="2" t="s">
        <v>91</v>
      </c>
      <c r="BR217" s="2" t="s">
        <v>905</v>
      </c>
      <c r="BS217" s="3">
        <v>40198</v>
      </c>
      <c r="BT217" s="4">
        <v>0.31457175925925923</v>
      </c>
    </row>
    <row r="218" spans="1:72" x14ac:dyDescent="0.25">
      <c r="A218" s="2">
        <v>339</v>
      </c>
      <c r="B218" s="2">
        <v>2010</v>
      </c>
      <c r="C218" s="2" t="s">
        <v>594</v>
      </c>
      <c r="D218" s="2" t="s">
        <v>122</v>
      </c>
      <c r="E218" s="2"/>
      <c r="F218" s="2">
        <v>1</v>
      </c>
      <c r="G218" s="2" t="s">
        <v>82</v>
      </c>
      <c r="H218" s="2">
        <v>1</v>
      </c>
      <c r="I218" s="2" t="s">
        <v>82</v>
      </c>
      <c r="J218" s="2">
        <v>1</v>
      </c>
      <c r="K218" s="2" t="s">
        <v>107</v>
      </c>
      <c r="L218" s="2" t="s">
        <v>107</v>
      </c>
      <c r="M218" s="3">
        <v>40198</v>
      </c>
      <c r="N218" s="2"/>
      <c r="O218" s="2"/>
      <c r="P218" s="2"/>
      <c r="Q218" s="2" t="str">
        <f>""</f>
        <v/>
      </c>
      <c r="R218" s="2"/>
      <c r="S218" s="2"/>
      <c r="T218" s="2">
        <v>1</v>
      </c>
      <c r="U218" s="2" t="s">
        <v>79</v>
      </c>
      <c r="V218" s="2">
        <v>1</v>
      </c>
      <c r="W218" s="2" t="s">
        <v>80</v>
      </c>
      <c r="X218" s="2">
        <v>1</v>
      </c>
      <c r="Y218" s="2" t="s">
        <v>81</v>
      </c>
      <c r="Z218" s="2">
        <v>1</v>
      </c>
      <c r="AA218" s="2" t="s">
        <v>82</v>
      </c>
      <c r="AB218" s="2">
        <v>9</v>
      </c>
      <c r="AC218" s="2" t="s">
        <v>124</v>
      </c>
      <c r="AD218" s="3">
        <v>40198</v>
      </c>
      <c r="AE218" s="4">
        <v>0.37152777777777773</v>
      </c>
      <c r="AF218" s="2"/>
      <c r="AG218" s="2"/>
      <c r="AH218" s="2">
        <v>6</v>
      </c>
      <c r="AI218" s="2" t="s">
        <v>197</v>
      </c>
      <c r="AJ218" s="2">
        <v>54</v>
      </c>
      <c r="AK218" s="2" t="s">
        <v>348</v>
      </c>
      <c r="AL218" s="2">
        <v>18</v>
      </c>
      <c r="AM218" s="2" t="s">
        <v>82</v>
      </c>
      <c r="AN218" s="2" t="s">
        <v>595</v>
      </c>
      <c r="AO218" s="2" t="s">
        <v>200</v>
      </c>
      <c r="AP218" s="2">
        <v>12</v>
      </c>
      <c r="AQ218" s="2" t="s">
        <v>322</v>
      </c>
      <c r="AR218" s="2" t="s">
        <v>596</v>
      </c>
      <c r="AS218" s="2" t="s">
        <v>596</v>
      </c>
      <c r="AT218" s="2" t="s">
        <v>1187</v>
      </c>
      <c r="AU218" s="2"/>
      <c r="AV218" s="2"/>
      <c r="AW218" s="2"/>
      <c r="AX218" s="2"/>
      <c r="AY218" s="2">
        <v>1</v>
      </c>
      <c r="AZ218" s="2" t="s">
        <v>107</v>
      </c>
      <c r="BA218" s="2">
        <v>1</v>
      </c>
      <c r="BB218" s="2" t="s">
        <v>107</v>
      </c>
      <c r="BC218" s="2">
        <v>1</v>
      </c>
      <c r="BD218" s="2" t="s">
        <v>107</v>
      </c>
      <c r="BE218" s="2">
        <v>47</v>
      </c>
      <c r="BF218" s="2" t="s">
        <v>167</v>
      </c>
      <c r="BG218" s="2" t="s">
        <v>848</v>
      </c>
      <c r="BH218" s="4">
        <v>0.32916666666666666</v>
      </c>
      <c r="BI218" s="4">
        <v>0.37152777777777773</v>
      </c>
      <c r="BJ218" s="2">
        <v>13</v>
      </c>
      <c r="BK218" s="2" t="s">
        <v>91</v>
      </c>
      <c r="BL218" s="2" t="s">
        <v>1188</v>
      </c>
      <c r="BM218" s="2">
        <v>242</v>
      </c>
      <c r="BN218" s="2" t="s">
        <v>107</v>
      </c>
      <c r="BO218" s="2"/>
      <c r="BP218" s="2">
        <v>13</v>
      </c>
      <c r="BQ218" s="2" t="s">
        <v>91</v>
      </c>
      <c r="BR218" s="2" t="s">
        <v>905</v>
      </c>
      <c r="BS218" s="3">
        <v>40198</v>
      </c>
      <c r="BT218" s="4">
        <v>0.39118055555555559</v>
      </c>
    </row>
    <row r="219" spans="1:72" x14ac:dyDescent="0.25">
      <c r="A219" s="2">
        <v>340</v>
      </c>
      <c r="B219" s="2">
        <v>2010</v>
      </c>
      <c r="C219" s="2" t="s">
        <v>147</v>
      </c>
      <c r="D219" s="2" t="s">
        <v>73</v>
      </c>
      <c r="E219" s="2"/>
      <c r="F219" s="2">
        <v>1</v>
      </c>
      <c r="G219" s="2" t="s">
        <v>82</v>
      </c>
      <c r="H219" s="2">
        <v>1</v>
      </c>
      <c r="I219" s="2" t="s">
        <v>82</v>
      </c>
      <c r="J219" s="2">
        <v>1</v>
      </c>
      <c r="K219" s="2" t="s">
        <v>107</v>
      </c>
      <c r="L219" s="2" t="s">
        <v>107</v>
      </c>
      <c r="M219" s="3">
        <v>40198</v>
      </c>
      <c r="N219" s="2"/>
      <c r="O219" s="2"/>
      <c r="P219" s="2"/>
      <c r="Q219" s="2" t="str">
        <f>""</f>
        <v/>
      </c>
      <c r="R219" s="2"/>
      <c r="S219" s="2"/>
      <c r="T219" s="2">
        <v>2</v>
      </c>
      <c r="U219" s="2" t="s">
        <v>123</v>
      </c>
      <c r="V219" s="2">
        <v>1</v>
      </c>
      <c r="W219" s="2" t="s">
        <v>80</v>
      </c>
      <c r="X219" s="2">
        <v>12</v>
      </c>
      <c r="Y219" s="2" t="s">
        <v>148</v>
      </c>
      <c r="Z219" s="2">
        <v>1</v>
      </c>
      <c r="AA219" s="2" t="s">
        <v>82</v>
      </c>
      <c r="AB219" s="2">
        <v>9</v>
      </c>
      <c r="AC219" s="2" t="s">
        <v>124</v>
      </c>
      <c r="AD219" s="3">
        <v>40192</v>
      </c>
      <c r="AE219" s="2"/>
      <c r="AF219" s="3">
        <v>40198</v>
      </c>
      <c r="AG219" s="4">
        <v>0.36805555555555558</v>
      </c>
      <c r="AH219" s="2">
        <v>2</v>
      </c>
      <c r="AI219" s="2" t="s">
        <v>84</v>
      </c>
      <c r="AJ219" s="2">
        <v>12</v>
      </c>
      <c r="AK219" s="2" t="s">
        <v>85</v>
      </c>
      <c r="AL219" s="2">
        <v>19</v>
      </c>
      <c r="AM219" s="2" t="s">
        <v>107</v>
      </c>
      <c r="AN219" s="2" t="s">
        <v>107</v>
      </c>
      <c r="AO219" s="2" t="s">
        <v>149</v>
      </c>
      <c r="AP219" s="2">
        <v>11</v>
      </c>
      <c r="AQ219" s="2" t="s">
        <v>82</v>
      </c>
      <c r="AR219" s="2"/>
      <c r="AS219" s="2"/>
      <c r="AT219" s="2" t="s">
        <v>1189</v>
      </c>
      <c r="AU219" s="2"/>
      <c r="AV219" s="2"/>
      <c r="AW219" s="2"/>
      <c r="AX219" s="2"/>
      <c r="AY219" s="2">
        <v>41</v>
      </c>
      <c r="AZ219" s="2" t="s">
        <v>82</v>
      </c>
      <c r="BA219" s="2">
        <v>41</v>
      </c>
      <c r="BB219" s="2" t="s">
        <v>82</v>
      </c>
      <c r="BC219" s="2">
        <v>41</v>
      </c>
      <c r="BD219" s="2" t="s">
        <v>82</v>
      </c>
      <c r="BE219" s="2">
        <v>41</v>
      </c>
      <c r="BF219" s="2" t="s">
        <v>82</v>
      </c>
      <c r="BG219" s="2"/>
      <c r="BH219" s="2"/>
      <c r="BI219" s="2"/>
      <c r="BJ219" s="2">
        <v>241</v>
      </c>
      <c r="BK219" s="2" t="s">
        <v>82</v>
      </c>
      <c r="BL219" s="2"/>
      <c r="BM219" s="2">
        <v>241</v>
      </c>
      <c r="BN219" s="2" t="s">
        <v>82</v>
      </c>
      <c r="BO219" s="2"/>
      <c r="BP219" s="2">
        <v>241</v>
      </c>
      <c r="BQ219" s="2" t="s">
        <v>82</v>
      </c>
      <c r="BR219" s="2"/>
      <c r="BS219" s="3">
        <v>40198</v>
      </c>
      <c r="BT219" s="4">
        <v>0.42936342592592597</v>
      </c>
    </row>
    <row r="220" spans="1:72" x14ac:dyDescent="0.25">
      <c r="A220" s="2">
        <v>341</v>
      </c>
      <c r="B220" s="2">
        <v>2010</v>
      </c>
      <c r="C220" s="2" t="s">
        <v>726</v>
      </c>
      <c r="D220" s="2" t="s">
        <v>73</v>
      </c>
      <c r="E220" s="2"/>
      <c r="F220" s="2">
        <v>337</v>
      </c>
      <c r="G220" s="2" t="s">
        <v>1190</v>
      </c>
      <c r="H220" s="2">
        <v>3</v>
      </c>
      <c r="I220" s="2" t="s">
        <v>315</v>
      </c>
      <c r="J220" s="2">
        <v>374</v>
      </c>
      <c r="K220" s="2" t="s">
        <v>1191</v>
      </c>
      <c r="L220" s="2" t="s">
        <v>132</v>
      </c>
      <c r="M220" s="3">
        <v>40198</v>
      </c>
      <c r="N220" s="2" t="s">
        <v>1192</v>
      </c>
      <c r="O220" s="2" t="s">
        <v>107</v>
      </c>
      <c r="P220" s="2" t="s">
        <v>107</v>
      </c>
      <c r="Q220" s="2" t="str">
        <f>"0002/10"</f>
        <v>0002/10</v>
      </c>
      <c r="R220" s="2" t="s">
        <v>1193</v>
      </c>
      <c r="S220" s="2" t="s">
        <v>1193</v>
      </c>
      <c r="T220" s="2">
        <v>1</v>
      </c>
      <c r="U220" s="2" t="s">
        <v>79</v>
      </c>
      <c r="V220" s="2">
        <v>1</v>
      </c>
      <c r="W220" s="2" t="s">
        <v>80</v>
      </c>
      <c r="X220" s="2">
        <v>5</v>
      </c>
      <c r="Y220" s="2" t="s">
        <v>82</v>
      </c>
      <c r="Z220" s="2">
        <v>1</v>
      </c>
      <c r="AA220" s="2" t="s">
        <v>82</v>
      </c>
      <c r="AB220" s="2">
        <v>9</v>
      </c>
      <c r="AC220" s="2" t="s">
        <v>124</v>
      </c>
      <c r="AD220" s="3">
        <v>40183</v>
      </c>
      <c r="AE220" s="4">
        <v>0.8847222222222223</v>
      </c>
      <c r="AF220" s="3">
        <v>40198</v>
      </c>
      <c r="AG220" s="4">
        <v>0.35416666666666669</v>
      </c>
      <c r="AH220" s="2">
        <v>5</v>
      </c>
      <c r="AI220" s="2" t="s">
        <v>274</v>
      </c>
      <c r="AJ220" s="2">
        <v>45</v>
      </c>
      <c r="AK220" s="2" t="s">
        <v>834</v>
      </c>
      <c r="AL220" s="2">
        <v>18</v>
      </c>
      <c r="AM220" s="2" t="s">
        <v>82</v>
      </c>
      <c r="AN220" s="2" t="s">
        <v>1194</v>
      </c>
      <c r="AO220" s="2"/>
      <c r="AP220" s="2">
        <v>11</v>
      </c>
      <c r="AQ220" s="2" t="s">
        <v>82</v>
      </c>
      <c r="AR220" s="2"/>
      <c r="AS220" s="2"/>
      <c r="AT220" s="2" t="s">
        <v>1195</v>
      </c>
      <c r="AU220" s="2"/>
      <c r="AV220" s="2"/>
      <c r="AW220" s="2"/>
      <c r="AX220" s="2"/>
      <c r="AY220" s="2">
        <v>41</v>
      </c>
      <c r="AZ220" s="2" t="s">
        <v>82</v>
      </c>
      <c r="BA220" s="2">
        <v>41</v>
      </c>
      <c r="BB220" s="2" t="s">
        <v>82</v>
      </c>
      <c r="BC220" s="2">
        <v>41</v>
      </c>
      <c r="BD220" s="2" t="s">
        <v>82</v>
      </c>
      <c r="BE220" s="2">
        <v>41</v>
      </c>
      <c r="BF220" s="2" t="s">
        <v>82</v>
      </c>
      <c r="BG220" s="2"/>
      <c r="BH220" s="2"/>
      <c r="BI220" s="2"/>
      <c r="BJ220" s="2">
        <v>241</v>
      </c>
      <c r="BK220" s="2" t="s">
        <v>82</v>
      </c>
      <c r="BL220" s="2"/>
      <c r="BM220" s="2">
        <v>241</v>
      </c>
      <c r="BN220" s="2" t="s">
        <v>82</v>
      </c>
      <c r="BO220" s="2"/>
      <c r="BP220" s="2">
        <v>241</v>
      </c>
      <c r="BQ220" s="2" t="s">
        <v>82</v>
      </c>
      <c r="BR220" s="2"/>
      <c r="BS220" s="3">
        <v>40198</v>
      </c>
      <c r="BT220" s="4">
        <v>0.45172453703703702</v>
      </c>
    </row>
    <row r="221" spans="1:72" x14ac:dyDescent="0.25">
      <c r="A221" s="2">
        <v>342</v>
      </c>
      <c r="B221" s="2">
        <v>2010</v>
      </c>
      <c r="C221" s="2" t="s">
        <v>196</v>
      </c>
      <c r="D221" s="2" t="s">
        <v>122</v>
      </c>
      <c r="E221" s="2"/>
      <c r="F221" s="2">
        <v>1</v>
      </c>
      <c r="G221" s="2" t="s">
        <v>82</v>
      </c>
      <c r="H221" s="2">
        <v>1</v>
      </c>
      <c r="I221" s="2" t="s">
        <v>82</v>
      </c>
      <c r="J221" s="2">
        <v>1</v>
      </c>
      <c r="K221" s="2" t="s">
        <v>107</v>
      </c>
      <c r="L221" s="2" t="s">
        <v>107</v>
      </c>
      <c r="M221" s="3">
        <v>40198</v>
      </c>
      <c r="N221" s="2"/>
      <c r="O221" s="2"/>
      <c r="P221" s="2"/>
      <c r="Q221" s="2" t="str">
        <f>""</f>
        <v/>
      </c>
      <c r="R221" s="2"/>
      <c r="S221" s="2"/>
      <c r="T221" s="2">
        <v>2</v>
      </c>
      <c r="U221" s="2" t="s">
        <v>123</v>
      </c>
      <c r="V221" s="2">
        <v>1</v>
      </c>
      <c r="W221" s="2" t="s">
        <v>80</v>
      </c>
      <c r="X221" s="2">
        <v>1</v>
      </c>
      <c r="Y221" s="2" t="s">
        <v>81</v>
      </c>
      <c r="Z221" s="2">
        <v>4</v>
      </c>
      <c r="AA221" s="2" t="s">
        <v>182</v>
      </c>
      <c r="AB221" s="2">
        <v>9</v>
      </c>
      <c r="AC221" s="2" t="s">
        <v>124</v>
      </c>
      <c r="AD221" s="3">
        <v>40198</v>
      </c>
      <c r="AE221" s="4">
        <v>0.35416666666666669</v>
      </c>
      <c r="AF221" s="2"/>
      <c r="AG221" s="2"/>
      <c r="AH221" s="2">
        <v>2</v>
      </c>
      <c r="AI221" s="2" t="s">
        <v>84</v>
      </c>
      <c r="AJ221" s="2">
        <v>12</v>
      </c>
      <c r="AK221" s="2" t="s">
        <v>85</v>
      </c>
      <c r="AL221" s="2">
        <v>20</v>
      </c>
      <c r="AM221" s="2" t="s">
        <v>992</v>
      </c>
      <c r="AN221" s="2"/>
      <c r="AO221" s="2"/>
      <c r="AP221" s="2">
        <v>11</v>
      </c>
      <c r="AQ221" s="2" t="s">
        <v>82</v>
      </c>
      <c r="AR221" s="2"/>
      <c r="AS221" s="2"/>
      <c r="AT221" s="2" t="s">
        <v>1196</v>
      </c>
      <c r="AU221" s="2"/>
      <c r="AV221" s="2"/>
      <c r="AW221" s="2"/>
      <c r="AX221" s="2"/>
      <c r="AY221" s="2">
        <v>41</v>
      </c>
      <c r="AZ221" s="2" t="s">
        <v>82</v>
      </c>
      <c r="BA221" s="2">
        <v>41</v>
      </c>
      <c r="BB221" s="2" t="s">
        <v>82</v>
      </c>
      <c r="BC221" s="2">
        <v>41</v>
      </c>
      <c r="BD221" s="2" t="s">
        <v>82</v>
      </c>
      <c r="BE221" s="2">
        <v>42</v>
      </c>
      <c r="BF221" s="2" t="s">
        <v>182</v>
      </c>
      <c r="BG221" s="2" t="s">
        <v>265</v>
      </c>
      <c r="BH221" s="2"/>
      <c r="BI221" s="4">
        <v>0.45833333333333331</v>
      </c>
      <c r="BJ221" s="2">
        <v>13</v>
      </c>
      <c r="BK221" s="2" t="s">
        <v>91</v>
      </c>
      <c r="BL221" s="2" t="s">
        <v>469</v>
      </c>
      <c r="BM221" s="2">
        <v>241</v>
      </c>
      <c r="BN221" s="2" t="s">
        <v>82</v>
      </c>
      <c r="BO221" s="2" t="s">
        <v>82</v>
      </c>
      <c r="BP221" s="2">
        <v>13</v>
      </c>
      <c r="BQ221" s="2" t="s">
        <v>91</v>
      </c>
      <c r="BR221" s="2" t="s">
        <v>1197</v>
      </c>
      <c r="BS221" s="3">
        <v>40198</v>
      </c>
      <c r="BT221" s="4">
        <v>0.47273148148148153</v>
      </c>
    </row>
    <row r="222" spans="1:72" x14ac:dyDescent="0.25">
      <c r="A222" s="2">
        <v>344</v>
      </c>
      <c r="B222" s="2">
        <v>2010</v>
      </c>
      <c r="C222" s="2" t="s">
        <v>196</v>
      </c>
      <c r="D222" s="2" t="s">
        <v>122</v>
      </c>
      <c r="E222" s="2"/>
      <c r="F222" s="2">
        <v>1</v>
      </c>
      <c r="G222" s="2" t="s">
        <v>82</v>
      </c>
      <c r="H222" s="2">
        <v>1</v>
      </c>
      <c r="I222" s="2" t="s">
        <v>82</v>
      </c>
      <c r="J222" s="2">
        <v>1</v>
      </c>
      <c r="K222" s="2" t="s">
        <v>107</v>
      </c>
      <c r="L222" s="2" t="s">
        <v>107</v>
      </c>
      <c r="M222" s="3">
        <v>40198</v>
      </c>
      <c r="N222" s="2"/>
      <c r="O222" s="2" t="s">
        <v>82</v>
      </c>
      <c r="P222" s="2" t="s">
        <v>82</v>
      </c>
      <c r="Q222" s="2" t="str">
        <f>"N/C"</f>
        <v>N/C</v>
      </c>
      <c r="R222" s="2" t="s">
        <v>82</v>
      </c>
      <c r="S222" s="2" t="s">
        <v>82</v>
      </c>
      <c r="T222" s="2">
        <v>2</v>
      </c>
      <c r="U222" s="2" t="s">
        <v>123</v>
      </c>
      <c r="V222" s="2">
        <v>1</v>
      </c>
      <c r="W222" s="2" t="s">
        <v>80</v>
      </c>
      <c r="X222" s="2">
        <v>5</v>
      </c>
      <c r="Y222" s="2" t="s">
        <v>82</v>
      </c>
      <c r="Z222" s="2">
        <v>1</v>
      </c>
      <c r="AA222" s="2" t="s">
        <v>82</v>
      </c>
      <c r="AB222" s="2">
        <v>9</v>
      </c>
      <c r="AC222" s="2" t="s">
        <v>124</v>
      </c>
      <c r="AD222" s="3">
        <v>40198</v>
      </c>
      <c r="AE222" s="4">
        <v>0.53472222222222221</v>
      </c>
      <c r="AF222" s="2"/>
      <c r="AG222" s="2"/>
      <c r="AH222" s="2">
        <v>6</v>
      </c>
      <c r="AI222" s="2" t="s">
        <v>197</v>
      </c>
      <c r="AJ222" s="2">
        <v>50</v>
      </c>
      <c r="AK222" s="2" t="s">
        <v>330</v>
      </c>
      <c r="AL222" s="2">
        <v>18</v>
      </c>
      <c r="AM222" s="2" t="s">
        <v>82</v>
      </c>
      <c r="AN222" s="2" t="s">
        <v>82</v>
      </c>
      <c r="AO222" s="2" t="s">
        <v>230</v>
      </c>
      <c r="AP222" s="2">
        <v>11</v>
      </c>
      <c r="AQ222" s="2" t="s">
        <v>82</v>
      </c>
      <c r="AR222" s="2" t="s">
        <v>82</v>
      </c>
      <c r="AS222" s="2" t="s">
        <v>82</v>
      </c>
      <c r="AT222" s="2" t="s">
        <v>1198</v>
      </c>
      <c r="AU222" s="2"/>
      <c r="AV222" s="2"/>
      <c r="AW222" s="2"/>
      <c r="AX222" s="2"/>
      <c r="AY222" s="2">
        <v>1</v>
      </c>
      <c r="AZ222" s="2" t="s">
        <v>107</v>
      </c>
      <c r="BA222" s="2">
        <v>1</v>
      </c>
      <c r="BB222" s="2" t="s">
        <v>107</v>
      </c>
      <c r="BC222" s="2">
        <v>1</v>
      </c>
      <c r="BD222" s="2" t="s">
        <v>107</v>
      </c>
      <c r="BE222" s="2">
        <v>41</v>
      </c>
      <c r="BF222" s="2" t="s">
        <v>82</v>
      </c>
      <c r="BG222" s="2" t="s">
        <v>265</v>
      </c>
      <c r="BH222" s="4">
        <v>0.53472222222222221</v>
      </c>
      <c r="BI222" s="2"/>
      <c r="BJ222" s="2">
        <v>13</v>
      </c>
      <c r="BK222" s="2" t="s">
        <v>91</v>
      </c>
      <c r="BL222" s="2" t="s">
        <v>170</v>
      </c>
      <c r="BM222" s="2">
        <v>241</v>
      </c>
      <c r="BN222" s="2" t="s">
        <v>82</v>
      </c>
      <c r="BO222" s="2"/>
      <c r="BP222" s="2">
        <v>13</v>
      </c>
      <c r="BQ222" s="2" t="s">
        <v>91</v>
      </c>
      <c r="BR222" s="2" t="s">
        <v>1199</v>
      </c>
      <c r="BS222" s="3">
        <v>40198</v>
      </c>
      <c r="BT222" s="4">
        <v>0.57446759259259261</v>
      </c>
    </row>
    <row r="223" spans="1:72" x14ac:dyDescent="0.25">
      <c r="A223" s="2">
        <v>345</v>
      </c>
      <c r="B223" s="2">
        <v>2010</v>
      </c>
      <c r="C223" s="2" t="s">
        <v>72</v>
      </c>
      <c r="D223" s="2" t="s">
        <v>73</v>
      </c>
      <c r="E223" s="2"/>
      <c r="F223" s="2">
        <v>3</v>
      </c>
      <c r="G223" s="2" t="s">
        <v>1041</v>
      </c>
      <c r="H223" s="2">
        <v>1</v>
      </c>
      <c r="I223" s="2" t="s">
        <v>82</v>
      </c>
      <c r="J223" s="2">
        <v>368</v>
      </c>
      <c r="K223" s="2" t="s">
        <v>1042</v>
      </c>
      <c r="L223" s="2" t="s">
        <v>1043</v>
      </c>
      <c r="M223" s="3">
        <v>40198</v>
      </c>
      <c r="N223" s="2"/>
      <c r="O223" s="2" t="s">
        <v>82</v>
      </c>
      <c r="P223" s="2" t="s">
        <v>82</v>
      </c>
      <c r="Q223" s="2" t="str">
        <f>"038-E/10"</f>
        <v>038-E/10</v>
      </c>
      <c r="R223" s="2" t="s">
        <v>116</v>
      </c>
      <c r="S223" s="2" t="s">
        <v>116</v>
      </c>
      <c r="T223" s="2">
        <v>1</v>
      </c>
      <c r="U223" s="2" t="s">
        <v>79</v>
      </c>
      <c r="V223" s="2">
        <v>1</v>
      </c>
      <c r="W223" s="2" t="s">
        <v>80</v>
      </c>
      <c r="X223" s="2">
        <v>5</v>
      </c>
      <c r="Y223" s="2" t="s">
        <v>82</v>
      </c>
      <c r="Z223" s="2">
        <v>1</v>
      </c>
      <c r="AA223" s="2" t="s">
        <v>82</v>
      </c>
      <c r="AB223" s="2">
        <v>6</v>
      </c>
      <c r="AC223" s="2" t="s">
        <v>83</v>
      </c>
      <c r="AD223" s="3">
        <v>40198</v>
      </c>
      <c r="AE223" s="2"/>
      <c r="AF223" s="3">
        <v>40198</v>
      </c>
      <c r="AG223" s="4">
        <v>0.41666666666666669</v>
      </c>
      <c r="AH223" s="2">
        <v>2</v>
      </c>
      <c r="AI223" s="2" t="s">
        <v>84</v>
      </c>
      <c r="AJ223" s="2">
        <v>9</v>
      </c>
      <c r="AK223" s="2" t="s">
        <v>103</v>
      </c>
      <c r="AL223" s="2">
        <v>9</v>
      </c>
      <c r="AM223" s="2" t="s">
        <v>259</v>
      </c>
      <c r="AN223" s="2"/>
      <c r="AO223" s="2" t="s">
        <v>1200</v>
      </c>
      <c r="AP223" s="2">
        <v>11</v>
      </c>
      <c r="AQ223" s="2" t="s">
        <v>82</v>
      </c>
      <c r="AR223" s="2"/>
      <c r="AS223" s="2"/>
      <c r="AT223" s="2" t="s">
        <v>1201</v>
      </c>
      <c r="AU223" s="2"/>
      <c r="AV223" s="2"/>
      <c r="AW223" s="2"/>
      <c r="AX223" s="2"/>
      <c r="AY223" s="2">
        <v>41</v>
      </c>
      <c r="AZ223" s="2" t="s">
        <v>82</v>
      </c>
      <c r="BA223" s="2">
        <v>41</v>
      </c>
      <c r="BB223" s="2" t="s">
        <v>82</v>
      </c>
      <c r="BC223" s="2">
        <v>41</v>
      </c>
      <c r="BD223" s="2" t="s">
        <v>82</v>
      </c>
      <c r="BE223" s="2">
        <v>41</v>
      </c>
      <c r="BF223" s="2" t="s">
        <v>82</v>
      </c>
      <c r="BG223" s="2"/>
      <c r="BH223" s="2"/>
      <c r="BI223" s="2"/>
      <c r="BJ223" s="2">
        <v>241</v>
      </c>
      <c r="BK223" s="2" t="s">
        <v>82</v>
      </c>
      <c r="BL223" s="2"/>
      <c r="BM223" s="2">
        <v>241</v>
      </c>
      <c r="BN223" s="2" t="s">
        <v>82</v>
      </c>
      <c r="BO223" s="2"/>
      <c r="BP223" s="2">
        <v>241</v>
      </c>
      <c r="BQ223" s="2" t="s">
        <v>82</v>
      </c>
      <c r="BR223" s="2"/>
      <c r="BS223" s="3">
        <v>40198</v>
      </c>
      <c r="BT223" s="4">
        <v>0.58071759259259259</v>
      </c>
    </row>
    <row r="224" spans="1:72" x14ac:dyDescent="0.25">
      <c r="A224" s="2">
        <v>347</v>
      </c>
      <c r="B224" s="2">
        <v>2010</v>
      </c>
      <c r="C224" s="2" t="s">
        <v>171</v>
      </c>
      <c r="D224" s="2" t="s">
        <v>122</v>
      </c>
      <c r="E224" s="2" t="s">
        <v>1135</v>
      </c>
      <c r="F224" s="2">
        <v>395</v>
      </c>
      <c r="G224" s="2" t="s">
        <v>1076</v>
      </c>
      <c r="H224" s="2">
        <v>7</v>
      </c>
      <c r="I224" s="2" t="s">
        <v>476</v>
      </c>
      <c r="J224" s="2">
        <v>242</v>
      </c>
      <c r="K224" s="2" t="s">
        <v>1077</v>
      </c>
      <c r="L224" s="2" t="s">
        <v>1078</v>
      </c>
      <c r="M224" s="3">
        <v>40198</v>
      </c>
      <c r="N224" s="2" t="s">
        <v>1079</v>
      </c>
      <c r="O224" s="2"/>
      <c r="P224" s="2"/>
      <c r="Q224" s="2" t="str">
        <f>"036-E/10"</f>
        <v>036-E/10</v>
      </c>
      <c r="R224" s="2" t="s">
        <v>1080</v>
      </c>
      <c r="S224" s="2" t="s">
        <v>1080</v>
      </c>
      <c r="T224" s="2">
        <v>1</v>
      </c>
      <c r="U224" s="2" t="s">
        <v>79</v>
      </c>
      <c r="V224" s="2">
        <v>1</v>
      </c>
      <c r="W224" s="2" t="s">
        <v>80</v>
      </c>
      <c r="X224" s="2">
        <v>1</v>
      </c>
      <c r="Y224" s="2" t="s">
        <v>81</v>
      </c>
      <c r="Z224" s="2">
        <v>10</v>
      </c>
      <c r="AA224" s="2" t="s">
        <v>236</v>
      </c>
      <c r="AB224" s="2">
        <v>1</v>
      </c>
      <c r="AC224" s="2" t="s">
        <v>178</v>
      </c>
      <c r="AD224" s="3">
        <v>40195</v>
      </c>
      <c r="AE224" s="4">
        <v>0.66666666666666663</v>
      </c>
      <c r="AF224" s="3">
        <v>40195</v>
      </c>
      <c r="AG224" s="4">
        <v>0.66666666666666663</v>
      </c>
      <c r="AH224" s="2">
        <v>2</v>
      </c>
      <c r="AI224" s="2" t="s">
        <v>84</v>
      </c>
      <c r="AJ224" s="2">
        <v>9</v>
      </c>
      <c r="AK224" s="2" t="s">
        <v>103</v>
      </c>
      <c r="AL224" s="2">
        <v>12</v>
      </c>
      <c r="AM224" s="2" t="s">
        <v>86</v>
      </c>
      <c r="AN224" s="2" t="s">
        <v>1081</v>
      </c>
      <c r="AO224" s="2"/>
      <c r="AP224" s="2">
        <v>11</v>
      </c>
      <c r="AQ224" s="2" t="s">
        <v>82</v>
      </c>
      <c r="AR224" s="2"/>
      <c r="AS224" s="2"/>
      <c r="AT224" s="2" t="s">
        <v>1202</v>
      </c>
      <c r="AU224" s="2"/>
      <c r="AV224" s="2">
        <v>1</v>
      </c>
      <c r="AW224" s="2"/>
      <c r="AX224" s="2"/>
      <c r="AY224" s="2">
        <v>41</v>
      </c>
      <c r="AZ224" s="2" t="s">
        <v>82</v>
      </c>
      <c r="BA224" s="2">
        <v>41</v>
      </c>
      <c r="BB224" s="2" t="s">
        <v>82</v>
      </c>
      <c r="BC224" s="2">
        <v>41</v>
      </c>
      <c r="BD224" s="2" t="s">
        <v>82</v>
      </c>
      <c r="BE224" s="2">
        <v>33</v>
      </c>
      <c r="BF224" s="2" t="s">
        <v>1083</v>
      </c>
      <c r="BG224" s="2">
        <v>227</v>
      </c>
      <c r="BH224" s="2"/>
      <c r="BI224" s="4">
        <v>0.76041666666666663</v>
      </c>
      <c r="BJ224" s="2">
        <v>13</v>
      </c>
      <c r="BK224" s="2" t="s">
        <v>91</v>
      </c>
      <c r="BL224" s="2" t="s">
        <v>1084</v>
      </c>
      <c r="BM224" s="2">
        <v>241</v>
      </c>
      <c r="BN224" s="2" t="s">
        <v>82</v>
      </c>
      <c r="BO224" s="2"/>
      <c r="BP224" s="2">
        <v>205</v>
      </c>
      <c r="BQ224" s="2" t="s">
        <v>1085</v>
      </c>
      <c r="BR224" s="2" t="s">
        <v>1086</v>
      </c>
      <c r="BS224" s="3">
        <v>40198</v>
      </c>
      <c r="BT224" s="4">
        <v>0.59343749999999995</v>
      </c>
    </row>
    <row r="225" spans="1:72" x14ac:dyDescent="0.25">
      <c r="A225" s="2">
        <v>349</v>
      </c>
      <c r="B225" s="2">
        <v>2010</v>
      </c>
      <c r="C225" s="2" t="s">
        <v>171</v>
      </c>
      <c r="D225" s="2" t="s">
        <v>73</v>
      </c>
      <c r="E225" s="2"/>
      <c r="F225" s="2">
        <v>425</v>
      </c>
      <c r="G225" s="2" t="s">
        <v>286</v>
      </c>
      <c r="H225" s="2">
        <v>30</v>
      </c>
      <c r="I225" s="2" t="s">
        <v>912</v>
      </c>
      <c r="J225" s="2">
        <v>326</v>
      </c>
      <c r="K225" s="2" t="s">
        <v>881</v>
      </c>
      <c r="L225" s="2" t="s">
        <v>882</v>
      </c>
      <c r="M225" s="3">
        <v>40198</v>
      </c>
      <c r="N225" s="2" t="s">
        <v>1203</v>
      </c>
      <c r="O225" s="2" t="s">
        <v>1204</v>
      </c>
      <c r="P225" s="2" t="s">
        <v>1205</v>
      </c>
      <c r="Q225" s="2" t="str">
        <f>"001/09"</f>
        <v>001/09</v>
      </c>
      <c r="R225" s="2"/>
      <c r="S225" s="2" t="s">
        <v>1206</v>
      </c>
      <c r="T225" s="2">
        <v>1</v>
      </c>
      <c r="U225" s="2" t="s">
        <v>79</v>
      </c>
      <c r="V225" s="2">
        <v>3</v>
      </c>
      <c r="W225" s="2" t="s">
        <v>225</v>
      </c>
      <c r="X225" s="2">
        <v>6</v>
      </c>
      <c r="Y225" s="2" t="s">
        <v>249</v>
      </c>
      <c r="Z225" s="2">
        <v>1</v>
      </c>
      <c r="AA225" s="2" t="s">
        <v>82</v>
      </c>
      <c r="AB225" s="2">
        <v>9</v>
      </c>
      <c r="AC225" s="2" t="s">
        <v>124</v>
      </c>
      <c r="AD225" s="2"/>
      <c r="AE225" s="2"/>
      <c r="AF225" s="2"/>
      <c r="AG225" s="2"/>
      <c r="AH225" s="2">
        <v>4</v>
      </c>
      <c r="AI225" s="2" t="s">
        <v>125</v>
      </c>
      <c r="AJ225" s="2">
        <v>26</v>
      </c>
      <c r="AK225" s="2" t="s">
        <v>293</v>
      </c>
      <c r="AL225" s="2">
        <v>23</v>
      </c>
      <c r="AM225" s="2" t="s">
        <v>251</v>
      </c>
      <c r="AN225" s="2"/>
      <c r="AO225" s="2" t="s">
        <v>1207</v>
      </c>
      <c r="AP225" s="2">
        <v>11</v>
      </c>
      <c r="AQ225" s="2" t="s">
        <v>82</v>
      </c>
      <c r="AR225" s="2"/>
      <c r="AS225" s="2"/>
      <c r="AT225" s="2" t="s">
        <v>1208</v>
      </c>
      <c r="AU225" s="2"/>
      <c r="AV225" s="2"/>
      <c r="AW225" s="2"/>
      <c r="AX225" s="2"/>
      <c r="AY225" s="2">
        <v>1</v>
      </c>
      <c r="AZ225" s="2" t="s">
        <v>107</v>
      </c>
      <c r="BA225" s="2">
        <v>1</v>
      </c>
      <c r="BB225" s="2" t="s">
        <v>107</v>
      </c>
      <c r="BC225" s="2">
        <v>1</v>
      </c>
      <c r="BD225" s="2" t="s">
        <v>107</v>
      </c>
      <c r="BE225" s="2">
        <v>1</v>
      </c>
      <c r="BF225" s="2" t="s">
        <v>107</v>
      </c>
      <c r="BG225" s="2"/>
      <c r="BH225" s="2"/>
      <c r="BI225" s="2"/>
      <c r="BJ225" s="2">
        <v>242</v>
      </c>
      <c r="BK225" s="2" t="s">
        <v>107</v>
      </c>
      <c r="BL225" s="2"/>
      <c r="BM225" s="2">
        <v>242</v>
      </c>
      <c r="BN225" s="2" t="s">
        <v>107</v>
      </c>
      <c r="BO225" s="2"/>
      <c r="BP225" s="2">
        <v>242</v>
      </c>
      <c r="BQ225" s="2" t="s">
        <v>107</v>
      </c>
      <c r="BR225" s="2"/>
      <c r="BS225" s="3">
        <v>40198</v>
      </c>
      <c r="BT225" s="4">
        <v>0.66693287037037041</v>
      </c>
    </row>
    <row r="226" spans="1:72" x14ac:dyDescent="0.25">
      <c r="A226" s="2">
        <v>350</v>
      </c>
      <c r="B226" s="2">
        <v>2010</v>
      </c>
      <c r="C226" s="2" t="s">
        <v>196</v>
      </c>
      <c r="D226" s="2" t="s">
        <v>122</v>
      </c>
      <c r="E226" s="2"/>
      <c r="F226" s="2">
        <v>1</v>
      </c>
      <c r="G226" s="2" t="s">
        <v>82</v>
      </c>
      <c r="H226" s="2">
        <v>1</v>
      </c>
      <c r="I226" s="2" t="s">
        <v>82</v>
      </c>
      <c r="J226" s="2">
        <v>1</v>
      </c>
      <c r="K226" s="2" t="s">
        <v>107</v>
      </c>
      <c r="L226" s="2" t="s">
        <v>107</v>
      </c>
      <c r="M226" s="3">
        <v>40198</v>
      </c>
      <c r="N226" s="2"/>
      <c r="O226" s="2"/>
      <c r="P226" s="2"/>
      <c r="Q226" s="2" t="str">
        <f>""</f>
        <v/>
      </c>
      <c r="R226" s="2"/>
      <c r="S226" s="2"/>
      <c r="T226" s="2">
        <v>2</v>
      </c>
      <c r="U226" s="2" t="s">
        <v>123</v>
      </c>
      <c r="V226" s="2">
        <v>1</v>
      </c>
      <c r="W226" s="2" t="s">
        <v>80</v>
      </c>
      <c r="X226" s="2">
        <v>5</v>
      </c>
      <c r="Y226" s="2" t="s">
        <v>82</v>
      </c>
      <c r="Z226" s="2">
        <v>1</v>
      </c>
      <c r="AA226" s="2" t="s">
        <v>82</v>
      </c>
      <c r="AB226" s="2">
        <v>9</v>
      </c>
      <c r="AC226" s="2" t="s">
        <v>124</v>
      </c>
      <c r="AD226" s="3">
        <v>40198</v>
      </c>
      <c r="AE226" s="4">
        <v>0.65763888888888888</v>
      </c>
      <c r="AF226" s="2"/>
      <c r="AG226" s="2"/>
      <c r="AH226" s="2">
        <v>6</v>
      </c>
      <c r="AI226" s="2" t="s">
        <v>197</v>
      </c>
      <c r="AJ226" s="2">
        <v>50</v>
      </c>
      <c r="AK226" s="2" t="s">
        <v>330</v>
      </c>
      <c r="AL226" s="2">
        <v>18</v>
      </c>
      <c r="AM226" s="2" t="s">
        <v>82</v>
      </c>
      <c r="AN226" s="2"/>
      <c r="AO226" s="2" t="s">
        <v>1209</v>
      </c>
      <c r="AP226" s="2">
        <v>11</v>
      </c>
      <c r="AQ226" s="2" t="s">
        <v>82</v>
      </c>
      <c r="AR226" s="2"/>
      <c r="AS226" s="2"/>
      <c r="AT226" s="2" t="s">
        <v>1210</v>
      </c>
      <c r="AU226" s="2"/>
      <c r="AV226" s="2"/>
      <c r="AW226" s="2"/>
      <c r="AX226" s="2"/>
      <c r="AY226" s="2">
        <v>41</v>
      </c>
      <c r="AZ226" s="2" t="s">
        <v>82</v>
      </c>
      <c r="BA226" s="2">
        <v>41</v>
      </c>
      <c r="BB226" s="2" t="s">
        <v>82</v>
      </c>
      <c r="BC226" s="2">
        <v>41</v>
      </c>
      <c r="BD226" s="2" t="s">
        <v>82</v>
      </c>
      <c r="BE226" s="2">
        <v>42</v>
      </c>
      <c r="BF226" s="2" t="s">
        <v>182</v>
      </c>
      <c r="BG226" s="2" t="s">
        <v>265</v>
      </c>
      <c r="BH226" s="4">
        <v>0.53472222222222221</v>
      </c>
      <c r="BI226" s="4">
        <v>0.65763888888888888</v>
      </c>
      <c r="BJ226" s="2">
        <v>13</v>
      </c>
      <c r="BK226" s="2" t="s">
        <v>91</v>
      </c>
      <c r="BL226" s="2" t="s">
        <v>332</v>
      </c>
      <c r="BM226" s="2">
        <v>241</v>
      </c>
      <c r="BN226" s="2" t="s">
        <v>82</v>
      </c>
      <c r="BO226" s="2" t="s">
        <v>82</v>
      </c>
      <c r="BP226" s="2">
        <v>13</v>
      </c>
      <c r="BQ226" s="2" t="s">
        <v>91</v>
      </c>
      <c r="BR226" s="2" t="s">
        <v>185</v>
      </c>
      <c r="BS226" s="3">
        <v>40198</v>
      </c>
      <c r="BT226" s="4">
        <v>0.71118055555555548</v>
      </c>
    </row>
    <row r="227" spans="1:72" x14ac:dyDescent="0.25">
      <c r="A227" s="2">
        <v>351</v>
      </c>
      <c r="B227" s="2">
        <v>2010</v>
      </c>
      <c r="C227" s="2" t="s">
        <v>72</v>
      </c>
      <c r="D227" s="2" t="s">
        <v>73</v>
      </c>
      <c r="E227" s="2"/>
      <c r="F227" s="2">
        <v>469</v>
      </c>
      <c r="G227" s="2" t="s">
        <v>1211</v>
      </c>
      <c r="H227" s="2">
        <v>42</v>
      </c>
      <c r="I227" s="2" t="s">
        <v>1096</v>
      </c>
      <c r="J227" s="2">
        <v>305</v>
      </c>
      <c r="K227" s="2" t="s">
        <v>160</v>
      </c>
      <c r="L227" s="2" t="s">
        <v>161</v>
      </c>
      <c r="M227" s="3">
        <v>40198</v>
      </c>
      <c r="N227" s="2" t="s">
        <v>162</v>
      </c>
      <c r="O227" s="2" t="s">
        <v>107</v>
      </c>
      <c r="P227" s="2" t="s">
        <v>107</v>
      </c>
      <c r="Q227" s="2" t="str">
        <f>"023-A/10"</f>
        <v>023-A/10</v>
      </c>
      <c r="R227" s="2" t="s">
        <v>107</v>
      </c>
      <c r="S227" s="2" t="s">
        <v>78</v>
      </c>
      <c r="T227" s="2">
        <v>1</v>
      </c>
      <c r="U227" s="2" t="s">
        <v>79</v>
      </c>
      <c r="V227" s="2">
        <v>1</v>
      </c>
      <c r="W227" s="2" t="s">
        <v>80</v>
      </c>
      <c r="X227" s="2">
        <v>5</v>
      </c>
      <c r="Y227" s="2" t="s">
        <v>82</v>
      </c>
      <c r="Z227" s="2">
        <v>1</v>
      </c>
      <c r="AA227" s="2" t="s">
        <v>82</v>
      </c>
      <c r="AB227" s="2">
        <v>6</v>
      </c>
      <c r="AC227" s="2" t="s">
        <v>83</v>
      </c>
      <c r="AD227" s="3">
        <v>40198</v>
      </c>
      <c r="AE227" s="4">
        <v>0.55208333333333337</v>
      </c>
      <c r="AF227" s="3">
        <v>40198</v>
      </c>
      <c r="AG227" s="4">
        <v>0.65625</v>
      </c>
      <c r="AH227" s="2">
        <v>2</v>
      </c>
      <c r="AI227" s="2" t="s">
        <v>84</v>
      </c>
      <c r="AJ227" s="2">
        <v>12</v>
      </c>
      <c r="AK227" s="2" t="s">
        <v>85</v>
      </c>
      <c r="AL227" s="2">
        <v>18</v>
      </c>
      <c r="AM227" s="2" t="s">
        <v>82</v>
      </c>
      <c r="AN227" s="2" t="s">
        <v>1212</v>
      </c>
      <c r="AO227" s="2" t="s">
        <v>816</v>
      </c>
      <c r="AP227" s="2">
        <v>11</v>
      </c>
      <c r="AQ227" s="2" t="s">
        <v>82</v>
      </c>
      <c r="AR227" s="2" t="s">
        <v>82</v>
      </c>
      <c r="AS227" s="2" t="s">
        <v>82</v>
      </c>
      <c r="AT227" s="2" t="s">
        <v>1213</v>
      </c>
      <c r="AU227" s="2"/>
      <c r="AV227" s="2"/>
      <c r="AW227" s="2"/>
      <c r="AX227" s="2"/>
      <c r="AY227" s="2">
        <v>41</v>
      </c>
      <c r="AZ227" s="2" t="s">
        <v>82</v>
      </c>
      <c r="BA227" s="2">
        <v>41</v>
      </c>
      <c r="BB227" s="2" t="s">
        <v>82</v>
      </c>
      <c r="BC227" s="2">
        <v>41</v>
      </c>
      <c r="BD227" s="2" t="s">
        <v>82</v>
      </c>
      <c r="BE227" s="2">
        <v>4</v>
      </c>
      <c r="BF227" s="2" t="s">
        <v>90</v>
      </c>
      <c r="BG227" s="2" t="s">
        <v>1214</v>
      </c>
      <c r="BH227" s="2"/>
      <c r="BI227" s="4">
        <v>0.70833333333333337</v>
      </c>
      <c r="BJ227" s="2">
        <v>13</v>
      </c>
      <c r="BK227" s="2" t="s">
        <v>91</v>
      </c>
      <c r="BL227" s="2" t="s">
        <v>170</v>
      </c>
      <c r="BM227" s="2">
        <v>241</v>
      </c>
      <c r="BN227" s="2" t="s">
        <v>82</v>
      </c>
      <c r="BO227" s="2" t="s">
        <v>82</v>
      </c>
      <c r="BP227" s="2">
        <v>13</v>
      </c>
      <c r="BQ227" s="2" t="s">
        <v>91</v>
      </c>
      <c r="BR227" s="2" t="s">
        <v>1215</v>
      </c>
      <c r="BS227" s="3">
        <v>40198</v>
      </c>
      <c r="BT227" s="4">
        <v>0.75092592592592589</v>
      </c>
    </row>
    <row r="228" spans="1:72" x14ac:dyDescent="0.25">
      <c r="A228" s="2">
        <v>353</v>
      </c>
      <c r="B228" s="2">
        <v>2010</v>
      </c>
      <c r="C228" s="2" t="s">
        <v>196</v>
      </c>
      <c r="D228" s="2" t="s">
        <v>122</v>
      </c>
      <c r="E228" s="2"/>
      <c r="F228" s="2">
        <v>1</v>
      </c>
      <c r="G228" s="2" t="s">
        <v>82</v>
      </c>
      <c r="H228" s="2">
        <v>1</v>
      </c>
      <c r="I228" s="2" t="s">
        <v>82</v>
      </c>
      <c r="J228" s="2">
        <v>1</v>
      </c>
      <c r="K228" s="2" t="s">
        <v>107</v>
      </c>
      <c r="L228" s="2" t="s">
        <v>107</v>
      </c>
      <c r="M228" s="3">
        <v>40198</v>
      </c>
      <c r="N228" s="2"/>
      <c r="O228" s="2"/>
      <c r="P228" s="2"/>
      <c r="Q228" s="2" t="str">
        <f>""</f>
        <v/>
      </c>
      <c r="R228" s="2"/>
      <c r="S228" s="2"/>
      <c r="T228" s="2">
        <v>2</v>
      </c>
      <c r="U228" s="2" t="s">
        <v>123</v>
      </c>
      <c r="V228" s="2">
        <v>1</v>
      </c>
      <c r="W228" s="2" t="s">
        <v>80</v>
      </c>
      <c r="X228" s="2">
        <v>1</v>
      </c>
      <c r="Y228" s="2" t="s">
        <v>81</v>
      </c>
      <c r="Z228" s="2">
        <v>4</v>
      </c>
      <c r="AA228" s="2" t="s">
        <v>182</v>
      </c>
      <c r="AB228" s="2">
        <v>9</v>
      </c>
      <c r="AC228" s="2" t="s">
        <v>124</v>
      </c>
      <c r="AD228" s="3">
        <v>40198</v>
      </c>
      <c r="AE228" s="4">
        <v>0.68055555555555547</v>
      </c>
      <c r="AF228" s="2"/>
      <c r="AG228" s="2"/>
      <c r="AH228" s="2">
        <v>2</v>
      </c>
      <c r="AI228" s="2" t="s">
        <v>84</v>
      </c>
      <c r="AJ228" s="2">
        <v>12</v>
      </c>
      <c r="AK228" s="2" t="s">
        <v>85</v>
      </c>
      <c r="AL228" s="2">
        <v>20</v>
      </c>
      <c r="AM228" s="2" t="s">
        <v>992</v>
      </c>
      <c r="AN228" s="2"/>
      <c r="AO228" s="2"/>
      <c r="AP228" s="2">
        <v>11</v>
      </c>
      <c r="AQ228" s="2" t="s">
        <v>82</v>
      </c>
      <c r="AR228" s="2"/>
      <c r="AS228" s="2"/>
      <c r="AT228" s="2" t="s">
        <v>1216</v>
      </c>
      <c r="AU228" s="2"/>
      <c r="AV228" s="2"/>
      <c r="AW228" s="2"/>
      <c r="AX228" s="2"/>
      <c r="AY228" s="2">
        <v>41</v>
      </c>
      <c r="AZ228" s="2" t="s">
        <v>82</v>
      </c>
      <c r="BA228" s="2">
        <v>41</v>
      </c>
      <c r="BB228" s="2" t="s">
        <v>82</v>
      </c>
      <c r="BC228" s="2">
        <v>42</v>
      </c>
      <c r="BD228" s="2" t="s">
        <v>182</v>
      </c>
      <c r="BE228" s="2">
        <v>42</v>
      </c>
      <c r="BF228" s="2" t="s">
        <v>182</v>
      </c>
      <c r="BG228" s="2" t="s">
        <v>265</v>
      </c>
      <c r="BH228" s="4">
        <v>0.72222222222222221</v>
      </c>
      <c r="BI228" s="2"/>
      <c r="BJ228" s="2">
        <v>13</v>
      </c>
      <c r="BK228" s="2" t="s">
        <v>91</v>
      </c>
      <c r="BL228" s="2" t="s">
        <v>332</v>
      </c>
      <c r="BM228" s="2">
        <v>241</v>
      </c>
      <c r="BN228" s="2" t="s">
        <v>82</v>
      </c>
      <c r="BO228" s="2"/>
      <c r="BP228" s="2">
        <v>13</v>
      </c>
      <c r="BQ228" s="2" t="s">
        <v>91</v>
      </c>
      <c r="BR228" s="2" t="s">
        <v>170</v>
      </c>
      <c r="BS228" s="3">
        <v>40198</v>
      </c>
      <c r="BT228" s="4">
        <v>0.76005787037037031</v>
      </c>
    </row>
    <row r="229" spans="1:72" x14ac:dyDescent="0.25">
      <c r="A229" s="2">
        <v>354</v>
      </c>
      <c r="B229" s="2">
        <v>2010</v>
      </c>
      <c r="C229" s="2" t="s">
        <v>171</v>
      </c>
      <c r="D229" s="2" t="s">
        <v>73</v>
      </c>
      <c r="E229" s="2"/>
      <c r="F229" s="2">
        <v>472</v>
      </c>
      <c r="G229" s="2" t="s">
        <v>1217</v>
      </c>
      <c r="H229" s="2">
        <v>22</v>
      </c>
      <c r="I229" s="2" t="s">
        <v>75</v>
      </c>
      <c r="J229" s="2">
        <v>376</v>
      </c>
      <c r="K229" s="2" t="s">
        <v>1218</v>
      </c>
      <c r="L229" s="2" t="s">
        <v>1219</v>
      </c>
      <c r="M229" s="3">
        <v>40198</v>
      </c>
      <c r="N229" s="2" t="s">
        <v>1220</v>
      </c>
      <c r="O229" s="2" t="s">
        <v>1221</v>
      </c>
      <c r="P229" s="5">
        <v>39783</v>
      </c>
      <c r="Q229" s="2" t="str">
        <f>"N/C"</f>
        <v>N/C</v>
      </c>
      <c r="R229" s="2" t="s">
        <v>82</v>
      </c>
      <c r="S229" s="2" t="s">
        <v>82</v>
      </c>
      <c r="T229" s="2">
        <v>1</v>
      </c>
      <c r="U229" s="2" t="s">
        <v>79</v>
      </c>
      <c r="V229" s="2">
        <v>3</v>
      </c>
      <c r="W229" s="2" t="s">
        <v>225</v>
      </c>
      <c r="X229" s="2">
        <v>6</v>
      </c>
      <c r="Y229" s="2" t="s">
        <v>249</v>
      </c>
      <c r="Z229" s="2">
        <v>1</v>
      </c>
      <c r="AA229" s="2" t="s">
        <v>82</v>
      </c>
      <c r="AB229" s="2">
        <v>9</v>
      </c>
      <c r="AC229" s="2" t="s">
        <v>124</v>
      </c>
      <c r="AD229" s="2"/>
      <c r="AE229" s="2"/>
      <c r="AF229" s="2"/>
      <c r="AG229" s="2"/>
      <c r="AH229" s="2">
        <v>3</v>
      </c>
      <c r="AI229" s="2" t="s">
        <v>214</v>
      </c>
      <c r="AJ229" s="2">
        <v>13</v>
      </c>
      <c r="AK229" s="2" t="s">
        <v>214</v>
      </c>
      <c r="AL229" s="2">
        <v>11</v>
      </c>
      <c r="AM229" s="2" t="s">
        <v>137</v>
      </c>
      <c r="AN229" s="2" t="s">
        <v>82</v>
      </c>
      <c r="AO229" s="2" t="s">
        <v>82</v>
      </c>
      <c r="AP229" s="2">
        <v>11</v>
      </c>
      <c r="AQ229" s="2" t="s">
        <v>82</v>
      </c>
      <c r="AR229" s="2"/>
      <c r="AS229" s="2"/>
      <c r="AT229" s="2" t="s">
        <v>1222</v>
      </c>
      <c r="AU229" s="2"/>
      <c r="AV229" s="2"/>
      <c r="AW229" s="2"/>
      <c r="AX229" s="2"/>
      <c r="AY229" s="2">
        <v>1</v>
      </c>
      <c r="AZ229" s="2" t="s">
        <v>107</v>
      </c>
      <c r="BA229" s="2">
        <v>1</v>
      </c>
      <c r="BB229" s="2" t="s">
        <v>107</v>
      </c>
      <c r="BC229" s="2">
        <v>1</v>
      </c>
      <c r="BD229" s="2" t="s">
        <v>107</v>
      </c>
      <c r="BE229" s="2">
        <v>17</v>
      </c>
      <c r="BF229" s="2" t="s">
        <v>508</v>
      </c>
      <c r="BG229" s="2">
        <v>951</v>
      </c>
      <c r="BH229" s="2"/>
      <c r="BI229" s="2"/>
      <c r="BJ229" s="2">
        <v>242</v>
      </c>
      <c r="BK229" s="2" t="s">
        <v>107</v>
      </c>
      <c r="BL229" s="2"/>
      <c r="BM229" s="2">
        <v>242</v>
      </c>
      <c r="BN229" s="2" t="s">
        <v>107</v>
      </c>
      <c r="BO229" s="2"/>
      <c r="BP229" s="2">
        <v>242</v>
      </c>
      <c r="BQ229" s="2" t="s">
        <v>107</v>
      </c>
      <c r="BR229" s="2"/>
      <c r="BS229" s="3">
        <v>40198</v>
      </c>
      <c r="BT229" s="4">
        <v>0.87519675925925933</v>
      </c>
    </row>
    <row r="230" spans="1:72" x14ac:dyDescent="0.25">
      <c r="A230" s="2">
        <v>355</v>
      </c>
      <c r="B230" s="2">
        <v>2010</v>
      </c>
      <c r="C230" s="2" t="s">
        <v>625</v>
      </c>
      <c r="D230" s="2" t="s">
        <v>73</v>
      </c>
      <c r="E230" s="2"/>
      <c r="F230" s="2">
        <v>398</v>
      </c>
      <c r="G230" s="2" t="s">
        <v>94</v>
      </c>
      <c r="H230" s="2">
        <v>12</v>
      </c>
      <c r="I230" s="2" t="s">
        <v>95</v>
      </c>
      <c r="J230" s="2">
        <v>377</v>
      </c>
      <c r="K230" s="2" t="s">
        <v>1223</v>
      </c>
      <c r="L230" s="2" t="s">
        <v>1224</v>
      </c>
      <c r="M230" s="3">
        <v>40198</v>
      </c>
      <c r="N230" s="2" t="s">
        <v>446</v>
      </c>
      <c r="O230" s="2" t="s">
        <v>452</v>
      </c>
      <c r="P230" s="2">
        <v>11876</v>
      </c>
      <c r="Q230" s="2" t="str">
        <f>"546E/09"</f>
        <v>546E/09</v>
      </c>
      <c r="R230" s="2" t="s">
        <v>391</v>
      </c>
      <c r="S230" s="2"/>
      <c r="T230" s="2">
        <v>1</v>
      </c>
      <c r="U230" s="2" t="s">
        <v>79</v>
      </c>
      <c r="V230" s="2">
        <v>1</v>
      </c>
      <c r="W230" s="2" t="s">
        <v>80</v>
      </c>
      <c r="X230" s="2">
        <v>2</v>
      </c>
      <c r="Y230" s="2" t="s">
        <v>136</v>
      </c>
      <c r="Z230" s="2">
        <v>1</v>
      </c>
      <c r="AA230" s="2" t="s">
        <v>82</v>
      </c>
      <c r="AB230" s="2">
        <v>9</v>
      </c>
      <c r="AC230" s="2" t="s">
        <v>124</v>
      </c>
      <c r="AD230" s="3">
        <v>40198</v>
      </c>
      <c r="AE230" s="4">
        <v>0.61458333333333337</v>
      </c>
      <c r="AF230" s="2"/>
      <c r="AG230" s="2"/>
      <c r="AH230" s="2">
        <v>2</v>
      </c>
      <c r="AI230" s="2" t="s">
        <v>84</v>
      </c>
      <c r="AJ230" s="2">
        <v>6</v>
      </c>
      <c r="AK230" s="2" t="s">
        <v>453</v>
      </c>
      <c r="AL230" s="2">
        <v>18</v>
      </c>
      <c r="AM230" s="2" t="s">
        <v>82</v>
      </c>
      <c r="AN230" s="2" t="s">
        <v>1225</v>
      </c>
      <c r="AO230" s="2" t="s">
        <v>1226</v>
      </c>
      <c r="AP230" s="2">
        <v>11</v>
      </c>
      <c r="AQ230" s="2" t="s">
        <v>82</v>
      </c>
      <c r="AR230" s="2"/>
      <c r="AS230" s="2"/>
      <c r="AT230" s="2" t="s">
        <v>1227</v>
      </c>
      <c r="AU230" s="2"/>
      <c r="AV230" s="2"/>
      <c r="AW230" s="2"/>
      <c r="AX230" s="2"/>
      <c r="AY230" s="2">
        <v>42</v>
      </c>
      <c r="AZ230" s="2" t="s">
        <v>182</v>
      </c>
      <c r="BA230" s="2">
        <v>41</v>
      </c>
      <c r="BB230" s="2" t="s">
        <v>82</v>
      </c>
      <c r="BC230" s="2">
        <v>41</v>
      </c>
      <c r="BD230" s="2" t="s">
        <v>82</v>
      </c>
      <c r="BE230" s="2">
        <v>41</v>
      </c>
      <c r="BF230" s="2" t="s">
        <v>82</v>
      </c>
      <c r="BG230" s="2"/>
      <c r="BH230" s="2"/>
      <c r="BI230" s="2"/>
      <c r="BJ230" s="2">
        <v>241</v>
      </c>
      <c r="BK230" s="2" t="s">
        <v>82</v>
      </c>
      <c r="BL230" s="2"/>
      <c r="BM230" s="2">
        <v>241</v>
      </c>
      <c r="BN230" s="2" t="s">
        <v>82</v>
      </c>
      <c r="BO230" s="2"/>
      <c r="BP230" s="2">
        <v>241</v>
      </c>
      <c r="BQ230" s="2" t="s">
        <v>82</v>
      </c>
      <c r="BR230" s="2"/>
      <c r="BS230" s="3">
        <v>40198</v>
      </c>
      <c r="BT230" s="4">
        <v>0.97253472222222215</v>
      </c>
    </row>
    <row r="231" spans="1:72" x14ac:dyDescent="0.25">
      <c r="A231" s="2">
        <v>355</v>
      </c>
      <c r="B231" s="2">
        <v>2010</v>
      </c>
      <c r="C231" s="2" t="s">
        <v>171</v>
      </c>
      <c r="D231" s="2" t="s">
        <v>73</v>
      </c>
      <c r="E231" s="2"/>
      <c r="F231" s="2">
        <v>398</v>
      </c>
      <c r="G231" s="2" t="s">
        <v>94</v>
      </c>
      <c r="H231" s="2">
        <v>12</v>
      </c>
      <c r="I231" s="2" t="s">
        <v>95</v>
      </c>
      <c r="J231" s="2">
        <v>377</v>
      </c>
      <c r="K231" s="2" t="s">
        <v>1223</v>
      </c>
      <c r="L231" s="2" t="s">
        <v>1224</v>
      </c>
      <c r="M231" s="3">
        <v>40198</v>
      </c>
      <c r="N231" s="2" t="s">
        <v>446</v>
      </c>
      <c r="O231" s="2" t="s">
        <v>452</v>
      </c>
      <c r="P231" s="2">
        <v>11876</v>
      </c>
      <c r="Q231" s="2" t="str">
        <f>"546E/09"</f>
        <v>546E/09</v>
      </c>
      <c r="R231" s="2" t="s">
        <v>391</v>
      </c>
      <c r="S231" s="2"/>
      <c r="T231" s="2">
        <v>1</v>
      </c>
      <c r="U231" s="2" t="s">
        <v>79</v>
      </c>
      <c r="V231" s="2">
        <v>1</v>
      </c>
      <c r="W231" s="2" t="s">
        <v>80</v>
      </c>
      <c r="X231" s="2">
        <v>2</v>
      </c>
      <c r="Y231" s="2" t="s">
        <v>136</v>
      </c>
      <c r="Z231" s="2">
        <v>1</v>
      </c>
      <c r="AA231" s="2" t="s">
        <v>82</v>
      </c>
      <c r="AB231" s="2">
        <v>1</v>
      </c>
      <c r="AC231" s="2" t="s">
        <v>178</v>
      </c>
      <c r="AD231" s="3">
        <v>40198</v>
      </c>
      <c r="AE231" s="4">
        <v>0.61458333333333337</v>
      </c>
      <c r="AF231" s="2"/>
      <c r="AG231" s="2"/>
      <c r="AH231" s="2">
        <v>2</v>
      </c>
      <c r="AI231" s="2" t="s">
        <v>84</v>
      </c>
      <c r="AJ231" s="2">
        <v>6</v>
      </c>
      <c r="AK231" s="2" t="s">
        <v>453</v>
      </c>
      <c r="AL231" s="2">
        <v>18</v>
      </c>
      <c r="AM231" s="2" t="s">
        <v>82</v>
      </c>
      <c r="AN231" s="2" t="s">
        <v>1225</v>
      </c>
      <c r="AO231" s="2" t="s">
        <v>1226</v>
      </c>
      <c r="AP231" s="2">
        <v>11</v>
      </c>
      <c r="AQ231" s="2" t="s">
        <v>82</v>
      </c>
      <c r="AR231" s="2"/>
      <c r="AS231" s="2"/>
      <c r="AT231" s="2" t="s">
        <v>1227</v>
      </c>
      <c r="AU231" s="2"/>
      <c r="AV231" s="2"/>
      <c r="AW231" s="2"/>
      <c r="AX231" s="2"/>
      <c r="AY231" s="2">
        <v>42</v>
      </c>
      <c r="AZ231" s="2" t="s">
        <v>182</v>
      </c>
      <c r="BA231" s="2">
        <v>41</v>
      </c>
      <c r="BB231" s="2" t="s">
        <v>82</v>
      </c>
      <c r="BC231" s="2">
        <v>41</v>
      </c>
      <c r="BD231" s="2" t="s">
        <v>82</v>
      </c>
      <c r="BE231" s="2">
        <v>41</v>
      </c>
      <c r="BF231" s="2" t="s">
        <v>82</v>
      </c>
      <c r="BG231" s="2"/>
      <c r="BH231" s="2"/>
      <c r="BI231" s="2"/>
      <c r="BJ231" s="2">
        <v>241</v>
      </c>
      <c r="BK231" s="2" t="s">
        <v>82</v>
      </c>
      <c r="BL231" s="2"/>
      <c r="BM231" s="2">
        <v>241</v>
      </c>
      <c r="BN231" s="2" t="s">
        <v>82</v>
      </c>
      <c r="BO231" s="2"/>
      <c r="BP231" s="2">
        <v>241</v>
      </c>
      <c r="BQ231" s="2" t="s">
        <v>82</v>
      </c>
      <c r="BR231" s="2"/>
      <c r="BS231" s="3">
        <v>40198</v>
      </c>
      <c r="BT231" s="4">
        <v>0.97253472222222215</v>
      </c>
    </row>
    <row r="232" spans="1:72" x14ac:dyDescent="0.25">
      <c r="A232" s="2">
        <v>356</v>
      </c>
      <c r="B232" s="2">
        <v>2010</v>
      </c>
      <c r="C232" s="2" t="s">
        <v>171</v>
      </c>
      <c r="D232" s="2" t="s">
        <v>73</v>
      </c>
      <c r="E232" s="2"/>
      <c r="F232" s="2">
        <v>395</v>
      </c>
      <c r="G232" s="2" t="s">
        <v>1076</v>
      </c>
      <c r="H232" s="2">
        <v>6</v>
      </c>
      <c r="I232" s="2" t="s">
        <v>1088</v>
      </c>
      <c r="J232" s="2">
        <v>242</v>
      </c>
      <c r="K232" s="2" t="s">
        <v>1077</v>
      </c>
      <c r="L232" s="2" t="s">
        <v>1078</v>
      </c>
      <c r="M232" s="3">
        <v>40199</v>
      </c>
      <c r="N232" s="2" t="s">
        <v>1228</v>
      </c>
      <c r="O232" s="2" t="s">
        <v>107</v>
      </c>
      <c r="P232" s="2">
        <v>11749</v>
      </c>
      <c r="Q232" s="2" t="str">
        <f>"039-E/10"</f>
        <v>039-E/10</v>
      </c>
      <c r="R232" s="2" t="s">
        <v>391</v>
      </c>
      <c r="S232" s="2" t="s">
        <v>391</v>
      </c>
      <c r="T232" s="2">
        <v>1</v>
      </c>
      <c r="U232" s="2" t="s">
        <v>79</v>
      </c>
      <c r="V232" s="2">
        <v>1</v>
      </c>
      <c r="W232" s="2" t="s">
        <v>80</v>
      </c>
      <c r="X232" s="2">
        <v>5</v>
      </c>
      <c r="Y232" s="2" t="s">
        <v>82</v>
      </c>
      <c r="Z232" s="2">
        <v>10</v>
      </c>
      <c r="AA232" s="2" t="s">
        <v>236</v>
      </c>
      <c r="AB232" s="2">
        <v>1</v>
      </c>
      <c r="AC232" s="2" t="s">
        <v>178</v>
      </c>
      <c r="AD232" s="3">
        <v>40198</v>
      </c>
      <c r="AE232" s="4">
        <v>0.70833333333333337</v>
      </c>
      <c r="AF232" s="3">
        <v>40198</v>
      </c>
      <c r="AG232" s="4">
        <v>0.72916666666666663</v>
      </c>
      <c r="AH232" s="2">
        <v>2</v>
      </c>
      <c r="AI232" s="2" t="s">
        <v>84</v>
      </c>
      <c r="AJ232" s="2">
        <v>9</v>
      </c>
      <c r="AK232" s="2" t="s">
        <v>103</v>
      </c>
      <c r="AL232" s="2">
        <v>14</v>
      </c>
      <c r="AM232" s="2" t="s">
        <v>216</v>
      </c>
      <c r="AN232" s="2" t="s">
        <v>1229</v>
      </c>
      <c r="AO232" s="2" t="s">
        <v>1230</v>
      </c>
      <c r="AP232" s="2">
        <v>11</v>
      </c>
      <c r="AQ232" s="2" t="s">
        <v>82</v>
      </c>
      <c r="AR232" s="2" t="s">
        <v>82</v>
      </c>
      <c r="AS232" s="2" t="s">
        <v>82</v>
      </c>
      <c r="AT232" s="2" t="s">
        <v>1231</v>
      </c>
      <c r="AU232" s="2"/>
      <c r="AV232" s="2">
        <v>1</v>
      </c>
      <c r="AW232" s="2"/>
      <c r="AX232" s="2"/>
      <c r="AY232" s="2">
        <v>41</v>
      </c>
      <c r="AZ232" s="2" t="s">
        <v>82</v>
      </c>
      <c r="BA232" s="2">
        <v>41</v>
      </c>
      <c r="BB232" s="2" t="s">
        <v>82</v>
      </c>
      <c r="BC232" s="2">
        <v>41</v>
      </c>
      <c r="BD232" s="2" t="s">
        <v>82</v>
      </c>
      <c r="BE232" s="2">
        <v>2</v>
      </c>
      <c r="BF232" s="2" t="s">
        <v>1232</v>
      </c>
      <c r="BG232" s="2" t="s">
        <v>1233</v>
      </c>
      <c r="BH232" s="4">
        <v>0.20833333333333334</v>
      </c>
      <c r="BI232" s="4">
        <v>0.72916666666666663</v>
      </c>
      <c r="BJ232" s="2">
        <v>13</v>
      </c>
      <c r="BK232" s="2" t="s">
        <v>91</v>
      </c>
      <c r="BL232" s="2" t="s">
        <v>185</v>
      </c>
      <c r="BM232" s="2">
        <v>42</v>
      </c>
      <c r="BN232" s="2" t="s">
        <v>1234</v>
      </c>
      <c r="BO232" s="2" t="s">
        <v>1235</v>
      </c>
      <c r="BP232" s="2">
        <v>244</v>
      </c>
      <c r="BQ232" s="2" t="s">
        <v>1236</v>
      </c>
      <c r="BR232" s="2" t="s">
        <v>1237</v>
      </c>
      <c r="BS232" s="3">
        <v>40199</v>
      </c>
      <c r="BT232" s="4">
        <v>0.32642361111111112</v>
      </c>
    </row>
    <row r="233" spans="1:72" x14ac:dyDescent="0.25">
      <c r="A233" s="2">
        <v>357</v>
      </c>
      <c r="B233" s="2">
        <v>2010</v>
      </c>
      <c r="C233" s="2" t="s">
        <v>171</v>
      </c>
      <c r="D233" s="2" t="s">
        <v>122</v>
      </c>
      <c r="E233" s="2" t="s">
        <v>1135</v>
      </c>
      <c r="F233" s="2">
        <v>395</v>
      </c>
      <c r="G233" s="2" t="s">
        <v>1076</v>
      </c>
      <c r="H233" s="2">
        <v>7</v>
      </c>
      <c r="I233" s="2" t="s">
        <v>476</v>
      </c>
      <c r="J233" s="2">
        <v>242</v>
      </c>
      <c r="K233" s="2" t="s">
        <v>1077</v>
      </c>
      <c r="L233" s="2" t="s">
        <v>1078</v>
      </c>
      <c r="M233" s="3">
        <v>40199</v>
      </c>
      <c r="N233" s="2" t="s">
        <v>1079</v>
      </c>
      <c r="O233" s="2"/>
      <c r="P233" s="2"/>
      <c r="Q233" s="2" t="str">
        <f>"036-E/10"</f>
        <v>036-E/10</v>
      </c>
      <c r="R233" s="2" t="s">
        <v>1080</v>
      </c>
      <c r="S233" s="2" t="s">
        <v>1080</v>
      </c>
      <c r="T233" s="2">
        <v>1</v>
      </c>
      <c r="U233" s="2" t="s">
        <v>79</v>
      </c>
      <c r="V233" s="2">
        <v>1</v>
      </c>
      <c r="W233" s="2" t="s">
        <v>80</v>
      </c>
      <c r="X233" s="2">
        <v>1</v>
      </c>
      <c r="Y233" s="2" t="s">
        <v>81</v>
      </c>
      <c r="Z233" s="2">
        <v>10</v>
      </c>
      <c r="AA233" s="2" t="s">
        <v>236</v>
      </c>
      <c r="AB233" s="2">
        <v>1</v>
      </c>
      <c r="AC233" s="2" t="s">
        <v>178</v>
      </c>
      <c r="AD233" s="3">
        <v>40195</v>
      </c>
      <c r="AE233" s="4">
        <v>0.66666666666666663</v>
      </c>
      <c r="AF233" s="3">
        <v>40195</v>
      </c>
      <c r="AG233" s="4">
        <v>0.66666666666666663</v>
      </c>
      <c r="AH233" s="2">
        <v>2</v>
      </c>
      <c r="AI233" s="2" t="s">
        <v>84</v>
      </c>
      <c r="AJ233" s="2">
        <v>9</v>
      </c>
      <c r="AK233" s="2" t="s">
        <v>103</v>
      </c>
      <c r="AL233" s="2">
        <v>12</v>
      </c>
      <c r="AM233" s="2" t="s">
        <v>86</v>
      </c>
      <c r="AN233" s="2" t="s">
        <v>1081</v>
      </c>
      <c r="AO233" s="2"/>
      <c r="AP233" s="2">
        <v>11</v>
      </c>
      <c r="AQ233" s="2" t="s">
        <v>82</v>
      </c>
      <c r="AR233" s="2"/>
      <c r="AS233" s="2"/>
      <c r="AT233" s="2" t="s">
        <v>1238</v>
      </c>
      <c r="AU233" s="2"/>
      <c r="AV233" s="2">
        <v>1</v>
      </c>
      <c r="AW233" s="2"/>
      <c r="AX233" s="2"/>
      <c r="AY233" s="2">
        <v>41</v>
      </c>
      <c r="AZ233" s="2" t="s">
        <v>82</v>
      </c>
      <c r="BA233" s="2">
        <v>41</v>
      </c>
      <c r="BB233" s="2" t="s">
        <v>82</v>
      </c>
      <c r="BC233" s="2">
        <v>41</v>
      </c>
      <c r="BD233" s="2" t="s">
        <v>82</v>
      </c>
      <c r="BE233" s="2">
        <v>33</v>
      </c>
      <c r="BF233" s="2" t="s">
        <v>1083</v>
      </c>
      <c r="BG233" s="2">
        <v>227</v>
      </c>
      <c r="BH233" s="2"/>
      <c r="BI233" s="4">
        <v>0.76041666666666663</v>
      </c>
      <c r="BJ233" s="2">
        <v>13</v>
      </c>
      <c r="BK233" s="2" t="s">
        <v>91</v>
      </c>
      <c r="BL233" s="2" t="s">
        <v>1084</v>
      </c>
      <c r="BM233" s="2">
        <v>241</v>
      </c>
      <c r="BN233" s="2" t="s">
        <v>82</v>
      </c>
      <c r="BO233" s="2"/>
      <c r="BP233" s="2">
        <v>205</v>
      </c>
      <c r="BQ233" s="2" t="s">
        <v>1085</v>
      </c>
      <c r="BR233" s="2" t="s">
        <v>1086</v>
      </c>
      <c r="BS233" s="3">
        <v>40199</v>
      </c>
      <c r="BT233" s="4">
        <v>0.33141203703703703</v>
      </c>
    </row>
    <row r="234" spans="1:72" x14ac:dyDescent="0.25">
      <c r="A234" s="2">
        <v>358</v>
      </c>
      <c r="B234" s="2">
        <v>2010</v>
      </c>
      <c r="C234" s="2" t="s">
        <v>171</v>
      </c>
      <c r="D234" s="2" t="s">
        <v>73</v>
      </c>
      <c r="E234" s="2"/>
      <c r="F234" s="2">
        <v>390</v>
      </c>
      <c r="G234" s="2" t="s">
        <v>475</v>
      </c>
      <c r="H234" s="2">
        <v>7</v>
      </c>
      <c r="I234" s="2" t="s">
        <v>476</v>
      </c>
      <c r="J234" s="2">
        <v>314</v>
      </c>
      <c r="K234" s="2" t="s">
        <v>477</v>
      </c>
      <c r="L234" s="2" t="s">
        <v>478</v>
      </c>
      <c r="M234" s="3">
        <v>40199</v>
      </c>
      <c r="N234" s="2" t="s">
        <v>613</v>
      </c>
      <c r="O234" s="2" t="s">
        <v>107</v>
      </c>
      <c r="P234" s="2" t="s">
        <v>107</v>
      </c>
      <c r="Q234" s="2" t="str">
        <f>"040-E/10"</f>
        <v>040-E/10</v>
      </c>
      <c r="R234" s="2" t="s">
        <v>1239</v>
      </c>
      <c r="S234" s="2" t="s">
        <v>1239</v>
      </c>
      <c r="T234" s="2">
        <v>1</v>
      </c>
      <c r="U234" s="2" t="s">
        <v>79</v>
      </c>
      <c r="V234" s="2">
        <v>1</v>
      </c>
      <c r="W234" s="2" t="s">
        <v>80</v>
      </c>
      <c r="X234" s="2">
        <v>1</v>
      </c>
      <c r="Y234" s="2" t="s">
        <v>81</v>
      </c>
      <c r="Z234" s="2">
        <v>1</v>
      </c>
      <c r="AA234" s="2" t="s">
        <v>82</v>
      </c>
      <c r="AB234" s="2">
        <v>1</v>
      </c>
      <c r="AC234" s="2" t="s">
        <v>178</v>
      </c>
      <c r="AD234" s="3">
        <v>40198</v>
      </c>
      <c r="AE234" s="4">
        <v>0.75</v>
      </c>
      <c r="AF234" s="3">
        <v>40198</v>
      </c>
      <c r="AG234" s="4">
        <v>0.98958333333333337</v>
      </c>
      <c r="AH234" s="2">
        <v>2</v>
      </c>
      <c r="AI234" s="2" t="s">
        <v>84</v>
      </c>
      <c r="AJ234" s="2">
        <v>9</v>
      </c>
      <c r="AK234" s="2" t="s">
        <v>103</v>
      </c>
      <c r="AL234" s="2">
        <v>14</v>
      </c>
      <c r="AM234" s="2" t="s">
        <v>216</v>
      </c>
      <c r="AN234" s="2" t="s">
        <v>1240</v>
      </c>
      <c r="AO234" s="2" t="s">
        <v>179</v>
      </c>
      <c r="AP234" s="2">
        <v>11</v>
      </c>
      <c r="AQ234" s="2" t="s">
        <v>82</v>
      </c>
      <c r="AR234" s="2"/>
      <c r="AS234" s="2"/>
      <c r="AT234" s="2" t="s">
        <v>1241</v>
      </c>
      <c r="AU234" s="2"/>
      <c r="AV234" s="2">
        <v>1</v>
      </c>
      <c r="AW234" s="2"/>
      <c r="AX234" s="2"/>
      <c r="AY234" s="2">
        <v>41</v>
      </c>
      <c r="AZ234" s="2" t="s">
        <v>82</v>
      </c>
      <c r="BA234" s="2">
        <v>41</v>
      </c>
      <c r="BB234" s="2" t="s">
        <v>82</v>
      </c>
      <c r="BC234" s="2">
        <v>41</v>
      </c>
      <c r="BD234" s="2" t="s">
        <v>82</v>
      </c>
      <c r="BE234" s="2">
        <v>19</v>
      </c>
      <c r="BF234" s="2" t="s">
        <v>1061</v>
      </c>
      <c r="BG234" s="2" t="s">
        <v>1242</v>
      </c>
      <c r="BH234" s="4">
        <v>0.58333333333333337</v>
      </c>
      <c r="BI234" s="2"/>
      <c r="BJ234" s="2">
        <v>29</v>
      </c>
      <c r="BK234" s="2" t="s">
        <v>962</v>
      </c>
      <c r="BL234" s="2" t="s">
        <v>1116</v>
      </c>
      <c r="BM234" s="2">
        <v>13</v>
      </c>
      <c r="BN234" s="2" t="s">
        <v>91</v>
      </c>
      <c r="BO234" s="2" t="s">
        <v>1084</v>
      </c>
      <c r="BP234" s="2">
        <v>205</v>
      </c>
      <c r="BQ234" s="2" t="s">
        <v>1085</v>
      </c>
      <c r="BR234" s="2" t="s">
        <v>1086</v>
      </c>
      <c r="BS234" s="3">
        <v>40199</v>
      </c>
      <c r="BT234" s="4">
        <v>0.38134259259259262</v>
      </c>
    </row>
    <row r="235" spans="1:72" x14ac:dyDescent="0.25">
      <c r="A235" s="2">
        <v>359</v>
      </c>
      <c r="B235" s="2">
        <v>2010</v>
      </c>
      <c r="C235" s="2" t="s">
        <v>72</v>
      </c>
      <c r="D235" s="2" t="s">
        <v>73</v>
      </c>
      <c r="E235" s="2"/>
      <c r="F235" s="2">
        <v>3</v>
      </c>
      <c r="G235" s="2" t="s">
        <v>1041</v>
      </c>
      <c r="H235" s="2">
        <v>1</v>
      </c>
      <c r="I235" s="2" t="s">
        <v>82</v>
      </c>
      <c r="J235" s="2">
        <v>368</v>
      </c>
      <c r="K235" s="2" t="s">
        <v>1042</v>
      </c>
      <c r="L235" s="2" t="s">
        <v>1043</v>
      </c>
      <c r="M235" s="3">
        <v>40199</v>
      </c>
      <c r="N235" s="2" t="s">
        <v>82</v>
      </c>
      <c r="O235" s="2" t="s">
        <v>116</v>
      </c>
      <c r="P235" s="2" t="s">
        <v>1243</v>
      </c>
      <c r="Q235" s="2" t="str">
        <f>"542-E/09"</f>
        <v>542-E/09</v>
      </c>
      <c r="R235" s="2" t="s">
        <v>116</v>
      </c>
      <c r="S235" s="2" t="s">
        <v>116</v>
      </c>
      <c r="T235" s="2">
        <v>1</v>
      </c>
      <c r="U235" s="2" t="s">
        <v>79</v>
      </c>
      <c r="V235" s="2">
        <v>1</v>
      </c>
      <c r="W235" s="2" t="s">
        <v>80</v>
      </c>
      <c r="X235" s="2">
        <v>1</v>
      </c>
      <c r="Y235" s="2" t="s">
        <v>81</v>
      </c>
      <c r="Z235" s="2">
        <v>1</v>
      </c>
      <c r="AA235" s="2" t="s">
        <v>82</v>
      </c>
      <c r="AB235" s="2">
        <v>6</v>
      </c>
      <c r="AC235" s="2" t="s">
        <v>83</v>
      </c>
      <c r="AD235" s="3">
        <v>40158</v>
      </c>
      <c r="AE235" s="4">
        <v>0.47916666666666669</v>
      </c>
      <c r="AF235" s="3">
        <v>40158</v>
      </c>
      <c r="AG235" s="4">
        <v>0.57638888888888895</v>
      </c>
      <c r="AH235" s="2">
        <v>2</v>
      </c>
      <c r="AI235" s="2" t="s">
        <v>84</v>
      </c>
      <c r="AJ235" s="2">
        <v>9</v>
      </c>
      <c r="AK235" s="2" t="s">
        <v>103</v>
      </c>
      <c r="AL235" s="2">
        <v>12</v>
      </c>
      <c r="AM235" s="2" t="s">
        <v>86</v>
      </c>
      <c r="AN235" s="2" t="s">
        <v>1244</v>
      </c>
      <c r="AO235" s="2" t="s">
        <v>987</v>
      </c>
      <c r="AP235" s="2">
        <v>11</v>
      </c>
      <c r="AQ235" s="2" t="s">
        <v>82</v>
      </c>
      <c r="AR235" s="2"/>
      <c r="AS235" s="2"/>
      <c r="AT235" s="2" t="s">
        <v>1245</v>
      </c>
      <c r="AU235" s="2">
        <v>2</v>
      </c>
      <c r="AV235" s="2"/>
      <c r="AW235" s="2"/>
      <c r="AX235" s="2"/>
      <c r="AY235" s="2">
        <v>41</v>
      </c>
      <c r="AZ235" s="2" t="s">
        <v>82</v>
      </c>
      <c r="BA235" s="2">
        <v>41</v>
      </c>
      <c r="BB235" s="2" t="s">
        <v>82</v>
      </c>
      <c r="BC235" s="2">
        <v>41</v>
      </c>
      <c r="BD235" s="2" t="s">
        <v>82</v>
      </c>
      <c r="BE235" s="2">
        <v>41</v>
      </c>
      <c r="BF235" s="2" t="s">
        <v>82</v>
      </c>
      <c r="BG235" s="2"/>
      <c r="BH235" s="2"/>
      <c r="BI235" s="2"/>
      <c r="BJ235" s="2">
        <v>241</v>
      </c>
      <c r="BK235" s="2" t="s">
        <v>82</v>
      </c>
      <c r="BL235" s="2"/>
      <c r="BM235" s="2">
        <v>241</v>
      </c>
      <c r="BN235" s="2" t="s">
        <v>82</v>
      </c>
      <c r="BO235" s="2"/>
      <c r="BP235" s="2">
        <v>241</v>
      </c>
      <c r="BQ235" s="2" t="s">
        <v>82</v>
      </c>
      <c r="BR235" s="2"/>
      <c r="BS235" s="3">
        <v>40199</v>
      </c>
      <c r="BT235" s="4">
        <v>0.41604166666666664</v>
      </c>
    </row>
    <row r="236" spans="1:72" x14ac:dyDescent="0.25">
      <c r="A236" s="2">
        <v>361</v>
      </c>
      <c r="B236" s="2">
        <v>2010</v>
      </c>
      <c r="C236" s="2" t="s">
        <v>147</v>
      </c>
      <c r="D236" s="2" t="s">
        <v>73</v>
      </c>
      <c r="E236" s="2"/>
      <c r="F236" s="2">
        <v>1</v>
      </c>
      <c r="G236" s="2" t="s">
        <v>82</v>
      </c>
      <c r="H236" s="2">
        <v>1</v>
      </c>
      <c r="I236" s="2" t="s">
        <v>82</v>
      </c>
      <c r="J236" s="2">
        <v>1</v>
      </c>
      <c r="K236" s="2" t="s">
        <v>107</v>
      </c>
      <c r="L236" s="2" t="s">
        <v>107</v>
      </c>
      <c r="M236" s="3">
        <v>40199</v>
      </c>
      <c r="N236" s="2" t="s">
        <v>82</v>
      </c>
      <c r="O236" s="2" t="s">
        <v>82</v>
      </c>
      <c r="P236" s="2" t="s">
        <v>82</v>
      </c>
      <c r="Q236" s="2" t="str">
        <f>"N/C"</f>
        <v>N/C</v>
      </c>
      <c r="R236" s="2" t="s">
        <v>82</v>
      </c>
      <c r="S236" s="2" t="s">
        <v>82</v>
      </c>
      <c r="T236" s="2">
        <v>2</v>
      </c>
      <c r="U236" s="2" t="s">
        <v>123</v>
      </c>
      <c r="V236" s="2">
        <v>1</v>
      </c>
      <c r="W236" s="2" t="s">
        <v>80</v>
      </c>
      <c r="X236" s="2">
        <v>12</v>
      </c>
      <c r="Y236" s="2" t="s">
        <v>148</v>
      </c>
      <c r="Z236" s="2">
        <v>1</v>
      </c>
      <c r="AA236" s="2" t="s">
        <v>82</v>
      </c>
      <c r="AB236" s="2">
        <v>9</v>
      </c>
      <c r="AC236" s="2" t="s">
        <v>124</v>
      </c>
      <c r="AD236" s="3">
        <v>40199</v>
      </c>
      <c r="AE236" s="4">
        <v>0.375</v>
      </c>
      <c r="AF236" s="3">
        <v>40199</v>
      </c>
      <c r="AG236" s="4">
        <v>0.4861111111111111</v>
      </c>
      <c r="AH236" s="2">
        <v>2</v>
      </c>
      <c r="AI236" s="2" t="s">
        <v>84</v>
      </c>
      <c r="AJ236" s="2">
        <v>12</v>
      </c>
      <c r="AK236" s="2" t="s">
        <v>85</v>
      </c>
      <c r="AL236" s="2">
        <v>19</v>
      </c>
      <c r="AM236" s="2" t="s">
        <v>107</v>
      </c>
      <c r="AN236" s="2" t="s">
        <v>107</v>
      </c>
      <c r="AO236" s="2" t="s">
        <v>107</v>
      </c>
      <c r="AP236" s="2">
        <v>11</v>
      </c>
      <c r="AQ236" s="2" t="s">
        <v>82</v>
      </c>
      <c r="AR236" s="2" t="s">
        <v>82</v>
      </c>
      <c r="AS236" s="2" t="s">
        <v>82</v>
      </c>
      <c r="AT236" s="2" t="s">
        <v>1246</v>
      </c>
      <c r="AU236" s="2"/>
      <c r="AV236" s="2"/>
      <c r="AW236" s="2"/>
      <c r="AX236" s="2"/>
      <c r="AY236" s="2">
        <v>41</v>
      </c>
      <c r="AZ236" s="2" t="s">
        <v>82</v>
      </c>
      <c r="BA236" s="2">
        <v>41</v>
      </c>
      <c r="BB236" s="2" t="s">
        <v>82</v>
      </c>
      <c r="BC236" s="2">
        <v>41</v>
      </c>
      <c r="BD236" s="2" t="s">
        <v>82</v>
      </c>
      <c r="BE236" s="2">
        <v>41</v>
      </c>
      <c r="BF236" s="2" t="s">
        <v>82</v>
      </c>
      <c r="BG236" s="2" t="s">
        <v>82</v>
      </c>
      <c r="BH236" s="2"/>
      <c r="BI236" s="2"/>
      <c r="BJ236" s="2">
        <v>241</v>
      </c>
      <c r="BK236" s="2" t="s">
        <v>82</v>
      </c>
      <c r="BL236" s="2" t="s">
        <v>82</v>
      </c>
      <c r="BM236" s="2">
        <v>241</v>
      </c>
      <c r="BN236" s="2" t="s">
        <v>82</v>
      </c>
      <c r="BO236" s="2" t="s">
        <v>82</v>
      </c>
      <c r="BP236" s="2">
        <v>241</v>
      </c>
      <c r="BQ236" s="2" t="s">
        <v>82</v>
      </c>
      <c r="BR236" s="2" t="s">
        <v>82</v>
      </c>
      <c r="BS236" s="3">
        <v>40199</v>
      </c>
      <c r="BT236" s="4">
        <v>0.61920138888888887</v>
      </c>
    </row>
    <row r="237" spans="1:72" x14ac:dyDescent="0.25">
      <c r="A237" s="2">
        <v>365</v>
      </c>
      <c r="B237" s="2">
        <v>2010</v>
      </c>
      <c r="C237" s="2" t="s">
        <v>128</v>
      </c>
      <c r="D237" s="2" t="s">
        <v>122</v>
      </c>
      <c r="E237" s="2"/>
      <c r="F237" s="2">
        <v>145</v>
      </c>
      <c r="G237" s="2" t="s">
        <v>1247</v>
      </c>
      <c r="H237" s="2">
        <v>42</v>
      </c>
      <c r="I237" s="2" t="s">
        <v>1096</v>
      </c>
      <c r="J237" s="2">
        <v>378</v>
      </c>
      <c r="K237" s="2" t="s">
        <v>1248</v>
      </c>
      <c r="L237" s="2" t="s">
        <v>1249</v>
      </c>
      <c r="M237" s="3">
        <v>40199</v>
      </c>
      <c r="N237" s="2" t="s">
        <v>1250</v>
      </c>
      <c r="O237" s="2" t="s">
        <v>1251</v>
      </c>
      <c r="P237" s="2" t="s">
        <v>1252</v>
      </c>
      <c r="Q237" s="2" t="str">
        <f>"N/C"</f>
        <v>N/C</v>
      </c>
      <c r="R237" s="2" t="s">
        <v>82</v>
      </c>
      <c r="S237" s="2" t="s">
        <v>82</v>
      </c>
      <c r="T237" s="2">
        <v>1</v>
      </c>
      <c r="U237" s="2" t="s">
        <v>79</v>
      </c>
      <c r="V237" s="2">
        <v>1</v>
      </c>
      <c r="W237" s="2" t="s">
        <v>80</v>
      </c>
      <c r="X237" s="2">
        <v>5</v>
      </c>
      <c r="Y237" s="2" t="s">
        <v>82</v>
      </c>
      <c r="Z237" s="2">
        <v>1</v>
      </c>
      <c r="AA237" s="2" t="s">
        <v>82</v>
      </c>
      <c r="AB237" s="2">
        <v>9</v>
      </c>
      <c r="AC237" s="2" t="s">
        <v>124</v>
      </c>
      <c r="AD237" s="2"/>
      <c r="AE237" s="2"/>
      <c r="AF237" s="2"/>
      <c r="AG237" s="2"/>
      <c r="AH237" s="2">
        <v>6</v>
      </c>
      <c r="AI237" s="2" t="s">
        <v>197</v>
      </c>
      <c r="AJ237" s="2">
        <v>60</v>
      </c>
      <c r="AK237" s="2" t="s">
        <v>543</v>
      </c>
      <c r="AL237" s="2">
        <v>18</v>
      </c>
      <c r="AM237" s="2" t="s">
        <v>82</v>
      </c>
      <c r="AN237" s="2" t="s">
        <v>82</v>
      </c>
      <c r="AO237" s="2" t="s">
        <v>82</v>
      </c>
      <c r="AP237" s="2">
        <v>11</v>
      </c>
      <c r="AQ237" s="2" t="s">
        <v>82</v>
      </c>
      <c r="AR237" s="2" t="s">
        <v>82</v>
      </c>
      <c r="AS237" s="2" t="s">
        <v>82</v>
      </c>
      <c r="AT237" s="2" t="s">
        <v>1253</v>
      </c>
      <c r="AU237" s="2"/>
      <c r="AV237" s="2"/>
      <c r="AW237" s="2"/>
      <c r="AX237" s="2"/>
      <c r="AY237" s="2">
        <v>41</v>
      </c>
      <c r="AZ237" s="2" t="s">
        <v>82</v>
      </c>
      <c r="BA237" s="2">
        <v>41</v>
      </c>
      <c r="BB237" s="2" t="s">
        <v>82</v>
      </c>
      <c r="BC237" s="2">
        <v>41</v>
      </c>
      <c r="BD237" s="2" t="s">
        <v>82</v>
      </c>
      <c r="BE237" s="2">
        <v>49</v>
      </c>
      <c r="BF237" s="2" t="s">
        <v>1254</v>
      </c>
      <c r="BG237" s="2" t="s">
        <v>1255</v>
      </c>
      <c r="BH237" s="4">
        <v>0.74305555555555547</v>
      </c>
      <c r="BI237" s="4">
        <v>0.77083333333333337</v>
      </c>
      <c r="BJ237" s="2">
        <v>13</v>
      </c>
      <c r="BK237" s="2" t="s">
        <v>91</v>
      </c>
      <c r="BL237" s="2" t="s">
        <v>895</v>
      </c>
      <c r="BM237" s="2">
        <v>13</v>
      </c>
      <c r="BN237" s="2" t="s">
        <v>91</v>
      </c>
      <c r="BO237" s="2" t="s">
        <v>492</v>
      </c>
      <c r="BP237" s="2">
        <v>13</v>
      </c>
      <c r="BQ237" s="2" t="s">
        <v>91</v>
      </c>
      <c r="BR237" s="2" t="s">
        <v>353</v>
      </c>
      <c r="BS237" s="3">
        <v>40199</v>
      </c>
      <c r="BT237" s="4">
        <v>0.79136574074074073</v>
      </c>
    </row>
    <row r="238" spans="1:72" x14ac:dyDescent="0.25">
      <c r="A238" s="2">
        <v>371</v>
      </c>
      <c r="B238" s="2">
        <v>2010</v>
      </c>
      <c r="C238" s="2" t="s">
        <v>72</v>
      </c>
      <c r="D238" s="2" t="s">
        <v>73</v>
      </c>
      <c r="E238" s="2"/>
      <c r="F238" s="2">
        <v>390</v>
      </c>
      <c r="G238" s="2" t="s">
        <v>475</v>
      </c>
      <c r="H238" s="2">
        <v>7</v>
      </c>
      <c r="I238" s="2" t="s">
        <v>476</v>
      </c>
      <c r="J238" s="2">
        <v>314</v>
      </c>
      <c r="K238" s="2" t="s">
        <v>477</v>
      </c>
      <c r="L238" s="2" t="s">
        <v>478</v>
      </c>
      <c r="M238" s="3">
        <v>40199</v>
      </c>
      <c r="N238" s="2" t="s">
        <v>765</v>
      </c>
      <c r="O238" s="2" t="s">
        <v>82</v>
      </c>
      <c r="P238" s="2" t="s">
        <v>82</v>
      </c>
      <c r="Q238" s="2" t="str">
        <f>"041-E/10"</f>
        <v>041-E/10</v>
      </c>
      <c r="R238" s="2" t="s">
        <v>601</v>
      </c>
      <c r="S238" s="2" t="s">
        <v>601</v>
      </c>
      <c r="T238" s="2">
        <v>1</v>
      </c>
      <c r="U238" s="2" t="s">
        <v>79</v>
      </c>
      <c r="V238" s="2">
        <v>1</v>
      </c>
      <c r="W238" s="2" t="s">
        <v>80</v>
      </c>
      <c r="X238" s="2">
        <v>1</v>
      </c>
      <c r="Y238" s="2" t="s">
        <v>81</v>
      </c>
      <c r="Z238" s="2">
        <v>1</v>
      </c>
      <c r="AA238" s="2" t="s">
        <v>82</v>
      </c>
      <c r="AB238" s="2">
        <v>6</v>
      </c>
      <c r="AC238" s="2" t="s">
        <v>83</v>
      </c>
      <c r="AD238" s="3">
        <v>40192</v>
      </c>
      <c r="AE238" s="4">
        <v>0.375</v>
      </c>
      <c r="AF238" s="3">
        <v>40199</v>
      </c>
      <c r="AG238" s="4">
        <v>0.72916666666666663</v>
      </c>
      <c r="AH238" s="2">
        <v>2</v>
      </c>
      <c r="AI238" s="2" t="s">
        <v>84</v>
      </c>
      <c r="AJ238" s="2">
        <v>9</v>
      </c>
      <c r="AK238" s="2" t="s">
        <v>103</v>
      </c>
      <c r="AL238" s="2">
        <v>16</v>
      </c>
      <c r="AM238" s="2" t="s">
        <v>392</v>
      </c>
      <c r="AN238" s="2" t="s">
        <v>82</v>
      </c>
      <c r="AO238" s="2" t="s">
        <v>1256</v>
      </c>
      <c r="AP238" s="2">
        <v>13</v>
      </c>
      <c r="AQ238" s="2" t="s">
        <v>1257</v>
      </c>
      <c r="AR238" s="2" t="s">
        <v>1258</v>
      </c>
      <c r="AS238" s="2" t="s">
        <v>1259</v>
      </c>
      <c r="AT238" s="2" t="s">
        <v>1260</v>
      </c>
      <c r="AU238" s="2"/>
      <c r="AV238" s="2"/>
      <c r="AW238" s="2"/>
      <c r="AX238" s="2"/>
      <c r="AY238" s="2">
        <v>52</v>
      </c>
      <c r="AZ238" s="2" t="s">
        <v>1261</v>
      </c>
      <c r="BA238" s="2">
        <v>52</v>
      </c>
      <c r="BB238" s="2" t="s">
        <v>1261</v>
      </c>
      <c r="BC238" s="2">
        <v>52</v>
      </c>
      <c r="BD238" s="2" t="s">
        <v>1261</v>
      </c>
      <c r="BE238" s="2">
        <v>22</v>
      </c>
      <c r="BF238" s="2" t="s">
        <v>1262</v>
      </c>
      <c r="BG238" s="2" t="s">
        <v>1263</v>
      </c>
      <c r="BH238" s="4">
        <v>0.27777777777777779</v>
      </c>
      <c r="BI238" s="4">
        <v>0.89583333333333337</v>
      </c>
      <c r="BJ238" s="2">
        <v>13</v>
      </c>
      <c r="BK238" s="2" t="s">
        <v>91</v>
      </c>
      <c r="BL238" s="2" t="s">
        <v>112</v>
      </c>
      <c r="BM238" s="2">
        <v>75</v>
      </c>
      <c r="BN238" s="2" t="s">
        <v>1264</v>
      </c>
      <c r="BO238" s="2" t="s">
        <v>1265</v>
      </c>
      <c r="BP238" s="2">
        <v>208</v>
      </c>
      <c r="BQ238" s="2" t="s">
        <v>1266</v>
      </c>
      <c r="BR238" s="2" t="s">
        <v>1267</v>
      </c>
      <c r="BS238" s="3">
        <v>40199</v>
      </c>
      <c r="BT238" s="4">
        <v>0.89568287037037031</v>
      </c>
    </row>
    <row r="239" spans="1:72" x14ac:dyDescent="0.25">
      <c r="A239" s="2">
        <v>372</v>
      </c>
      <c r="B239" s="2">
        <v>2010</v>
      </c>
      <c r="C239" s="2" t="s">
        <v>819</v>
      </c>
      <c r="D239" s="2" t="s">
        <v>122</v>
      </c>
      <c r="E239" s="2"/>
      <c r="F239" s="2">
        <v>451</v>
      </c>
      <c r="G239" s="2" t="s">
        <v>879</v>
      </c>
      <c r="H239" s="2">
        <v>31</v>
      </c>
      <c r="I239" s="2" t="s">
        <v>880</v>
      </c>
      <c r="J239" s="2">
        <v>326</v>
      </c>
      <c r="K239" s="2" t="s">
        <v>881</v>
      </c>
      <c r="L239" s="2" t="s">
        <v>882</v>
      </c>
      <c r="M239" s="3">
        <v>40199</v>
      </c>
      <c r="N239" s="2" t="s">
        <v>1072</v>
      </c>
      <c r="O239" s="2"/>
      <c r="P239" s="2"/>
      <c r="Q239" s="2" t="str">
        <f>"004/10"</f>
        <v>004/10</v>
      </c>
      <c r="R239" s="2"/>
      <c r="S239" s="2" t="s">
        <v>822</v>
      </c>
      <c r="T239" s="2">
        <v>1</v>
      </c>
      <c r="U239" s="2" t="s">
        <v>79</v>
      </c>
      <c r="V239" s="2">
        <v>1</v>
      </c>
      <c r="W239" s="2" t="s">
        <v>80</v>
      </c>
      <c r="X239" s="2">
        <v>1</v>
      </c>
      <c r="Y239" s="2" t="s">
        <v>81</v>
      </c>
      <c r="Z239" s="2">
        <v>10</v>
      </c>
      <c r="AA239" s="2" t="s">
        <v>236</v>
      </c>
      <c r="AB239" s="2">
        <v>9</v>
      </c>
      <c r="AC239" s="2" t="s">
        <v>124</v>
      </c>
      <c r="AD239" s="3">
        <v>40199</v>
      </c>
      <c r="AE239" s="4">
        <v>0.86458333333333337</v>
      </c>
      <c r="AF239" s="2"/>
      <c r="AG239" s="2"/>
      <c r="AH239" s="2">
        <v>4</v>
      </c>
      <c r="AI239" s="2" t="s">
        <v>125</v>
      </c>
      <c r="AJ239" s="2">
        <v>29</v>
      </c>
      <c r="AK239" s="2" t="s">
        <v>227</v>
      </c>
      <c r="AL239" s="2">
        <v>10</v>
      </c>
      <c r="AM239" s="2" t="s">
        <v>200</v>
      </c>
      <c r="AN239" s="2" t="s">
        <v>1015</v>
      </c>
      <c r="AO239" s="2" t="s">
        <v>200</v>
      </c>
      <c r="AP239" s="2">
        <v>12</v>
      </c>
      <c r="AQ239" s="2" t="s">
        <v>322</v>
      </c>
      <c r="AR239" s="2" t="s">
        <v>824</v>
      </c>
      <c r="AS239" s="2" t="s">
        <v>825</v>
      </c>
      <c r="AT239" s="2" t="s">
        <v>1268</v>
      </c>
      <c r="AU239" s="2"/>
      <c r="AV239" s="2"/>
      <c r="AW239" s="2"/>
      <c r="AX239" s="2"/>
      <c r="AY239" s="2">
        <v>41</v>
      </c>
      <c r="AZ239" s="2" t="s">
        <v>82</v>
      </c>
      <c r="BA239" s="2">
        <v>41</v>
      </c>
      <c r="BB239" s="2" t="s">
        <v>82</v>
      </c>
      <c r="BC239" s="2">
        <v>51</v>
      </c>
      <c r="BD239" s="2" t="s">
        <v>827</v>
      </c>
      <c r="BE239" s="2">
        <v>47</v>
      </c>
      <c r="BF239" s="2" t="s">
        <v>167</v>
      </c>
      <c r="BG239" s="2">
        <v>2459</v>
      </c>
      <c r="BH239" s="4">
        <v>0.84722222222222221</v>
      </c>
      <c r="BI239" s="4">
        <v>0.87847222222222221</v>
      </c>
      <c r="BJ239" s="2">
        <v>13</v>
      </c>
      <c r="BK239" s="2" t="s">
        <v>91</v>
      </c>
      <c r="BL239" s="2" t="s">
        <v>185</v>
      </c>
      <c r="BM239" s="2">
        <v>13</v>
      </c>
      <c r="BN239" s="2" t="s">
        <v>91</v>
      </c>
      <c r="BO239" s="2" t="s">
        <v>828</v>
      </c>
      <c r="BP239" s="2">
        <v>13</v>
      </c>
      <c r="BQ239" s="2" t="s">
        <v>91</v>
      </c>
      <c r="BR239" s="2" t="s">
        <v>185</v>
      </c>
      <c r="BS239" s="3">
        <v>40199</v>
      </c>
      <c r="BT239" s="4">
        <v>0.90387731481481481</v>
      </c>
    </row>
    <row r="240" spans="1:72" x14ac:dyDescent="0.25">
      <c r="A240" s="2">
        <v>373</v>
      </c>
      <c r="B240" s="2">
        <v>2010</v>
      </c>
      <c r="C240" s="2" t="s">
        <v>72</v>
      </c>
      <c r="D240" s="2" t="s">
        <v>122</v>
      </c>
      <c r="E240" s="2" t="s">
        <v>1269</v>
      </c>
      <c r="F240" s="2">
        <v>3</v>
      </c>
      <c r="G240" s="2" t="s">
        <v>1041</v>
      </c>
      <c r="H240" s="2">
        <v>1</v>
      </c>
      <c r="I240" s="2" t="s">
        <v>82</v>
      </c>
      <c r="J240" s="2">
        <v>368</v>
      </c>
      <c r="K240" s="2" t="s">
        <v>1042</v>
      </c>
      <c r="L240" s="2" t="s">
        <v>1043</v>
      </c>
      <c r="M240" s="3">
        <v>40199</v>
      </c>
      <c r="N240" s="2" t="s">
        <v>82</v>
      </c>
      <c r="O240" s="2" t="s">
        <v>116</v>
      </c>
      <c r="P240" s="2" t="s">
        <v>1243</v>
      </c>
      <c r="Q240" s="2" t="str">
        <f>"542-E/09"</f>
        <v>542-E/09</v>
      </c>
      <c r="R240" s="2" t="s">
        <v>116</v>
      </c>
      <c r="S240" s="2" t="s">
        <v>116</v>
      </c>
      <c r="T240" s="2">
        <v>1</v>
      </c>
      <c r="U240" s="2" t="s">
        <v>79</v>
      </c>
      <c r="V240" s="2">
        <v>1</v>
      </c>
      <c r="W240" s="2" t="s">
        <v>80</v>
      </c>
      <c r="X240" s="2">
        <v>1</v>
      </c>
      <c r="Y240" s="2" t="s">
        <v>81</v>
      </c>
      <c r="Z240" s="2">
        <v>1</v>
      </c>
      <c r="AA240" s="2" t="s">
        <v>82</v>
      </c>
      <c r="AB240" s="2">
        <v>6</v>
      </c>
      <c r="AC240" s="2" t="s">
        <v>83</v>
      </c>
      <c r="AD240" s="3">
        <v>40158</v>
      </c>
      <c r="AE240" s="4">
        <v>0.47916666666666669</v>
      </c>
      <c r="AF240" s="3">
        <v>40158</v>
      </c>
      <c r="AG240" s="4">
        <v>0.57638888888888895</v>
      </c>
      <c r="AH240" s="2">
        <v>2</v>
      </c>
      <c r="AI240" s="2" t="s">
        <v>84</v>
      </c>
      <c r="AJ240" s="2">
        <v>9</v>
      </c>
      <c r="AK240" s="2" t="s">
        <v>103</v>
      </c>
      <c r="AL240" s="2">
        <v>12</v>
      </c>
      <c r="AM240" s="2" t="s">
        <v>86</v>
      </c>
      <c r="AN240" s="2" t="s">
        <v>1244</v>
      </c>
      <c r="AO240" s="2" t="s">
        <v>987</v>
      </c>
      <c r="AP240" s="2">
        <v>11</v>
      </c>
      <c r="AQ240" s="2" t="s">
        <v>82</v>
      </c>
      <c r="AR240" s="2"/>
      <c r="AS240" s="2"/>
      <c r="AT240" s="2" t="s">
        <v>1270</v>
      </c>
      <c r="AU240" s="2">
        <v>1</v>
      </c>
      <c r="AV240" s="2"/>
      <c r="AW240" s="2"/>
      <c r="AX240" s="2"/>
      <c r="AY240" s="2">
        <v>41</v>
      </c>
      <c r="AZ240" s="2" t="s">
        <v>82</v>
      </c>
      <c r="BA240" s="2">
        <v>41</v>
      </c>
      <c r="BB240" s="2" t="s">
        <v>82</v>
      </c>
      <c r="BC240" s="2">
        <v>41</v>
      </c>
      <c r="BD240" s="2" t="s">
        <v>82</v>
      </c>
      <c r="BE240" s="2">
        <v>41</v>
      </c>
      <c r="BF240" s="2" t="s">
        <v>82</v>
      </c>
      <c r="BG240" s="2"/>
      <c r="BH240" s="2"/>
      <c r="BI240" s="2"/>
      <c r="BJ240" s="2">
        <v>241</v>
      </c>
      <c r="BK240" s="2" t="s">
        <v>82</v>
      </c>
      <c r="BL240" s="2"/>
      <c r="BM240" s="2">
        <v>241</v>
      </c>
      <c r="BN240" s="2" t="s">
        <v>82</v>
      </c>
      <c r="BO240" s="2"/>
      <c r="BP240" s="2">
        <v>241</v>
      </c>
      <c r="BQ240" s="2" t="s">
        <v>82</v>
      </c>
      <c r="BR240" s="2"/>
      <c r="BS240" s="3">
        <v>40199</v>
      </c>
      <c r="BT240" s="4">
        <v>0.95832175925925922</v>
      </c>
    </row>
    <row r="241" spans="1:72" x14ac:dyDescent="0.25">
      <c r="A241" s="2">
        <v>374</v>
      </c>
      <c r="B241" s="2">
        <v>2010</v>
      </c>
      <c r="C241" s="2" t="s">
        <v>171</v>
      </c>
      <c r="D241" s="2" t="s">
        <v>122</v>
      </c>
      <c r="E241" s="2"/>
      <c r="F241" s="2">
        <v>475</v>
      </c>
      <c r="G241" s="2" t="s">
        <v>1271</v>
      </c>
      <c r="H241" s="2">
        <v>44</v>
      </c>
      <c r="I241" s="2" t="s">
        <v>1272</v>
      </c>
      <c r="J241" s="2">
        <v>379</v>
      </c>
      <c r="K241" s="2" t="s">
        <v>1273</v>
      </c>
      <c r="L241" s="2" t="s">
        <v>1274</v>
      </c>
      <c r="M241" s="3">
        <v>40199</v>
      </c>
      <c r="N241" s="2" t="s">
        <v>1275</v>
      </c>
      <c r="O241" s="2" t="s">
        <v>1276</v>
      </c>
      <c r="P241" s="2"/>
      <c r="Q241" s="2" t="str">
        <f>"002/2010"</f>
        <v>002/2010</v>
      </c>
      <c r="R241" s="2"/>
      <c r="S241" s="2"/>
      <c r="T241" s="2">
        <v>1</v>
      </c>
      <c r="U241" s="2" t="s">
        <v>79</v>
      </c>
      <c r="V241" s="2">
        <v>1</v>
      </c>
      <c r="W241" s="2" t="s">
        <v>80</v>
      </c>
      <c r="X241" s="2">
        <v>1</v>
      </c>
      <c r="Y241" s="2" t="s">
        <v>81</v>
      </c>
      <c r="Z241" s="2">
        <v>10</v>
      </c>
      <c r="AA241" s="2" t="s">
        <v>236</v>
      </c>
      <c r="AB241" s="2">
        <v>1</v>
      </c>
      <c r="AC241" s="2" t="s">
        <v>178</v>
      </c>
      <c r="AD241" s="3">
        <v>40199</v>
      </c>
      <c r="AE241" s="4">
        <v>0.82291666666666663</v>
      </c>
      <c r="AF241" s="3">
        <v>40199</v>
      </c>
      <c r="AG241" s="4">
        <v>0.82291666666666663</v>
      </c>
      <c r="AH241" s="2">
        <v>5</v>
      </c>
      <c r="AI241" s="2" t="s">
        <v>274</v>
      </c>
      <c r="AJ241" s="2">
        <v>42</v>
      </c>
      <c r="AK241" s="2" t="s">
        <v>660</v>
      </c>
      <c r="AL241" s="2">
        <v>11</v>
      </c>
      <c r="AM241" s="2" t="s">
        <v>137</v>
      </c>
      <c r="AN241" s="2"/>
      <c r="AO241" s="2"/>
      <c r="AP241" s="2">
        <v>5</v>
      </c>
      <c r="AQ241" s="2" t="s">
        <v>827</v>
      </c>
      <c r="AR241" s="2"/>
      <c r="AS241" s="2"/>
      <c r="AT241" s="2" t="s">
        <v>1277</v>
      </c>
      <c r="AU241" s="2"/>
      <c r="AV241" s="2"/>
      <c r="AW241" s="2"/>
      <c r="AX241" s="2"/>
      <c r="AY241" s="2">
        <v>41</v>
      </c>
      <c r="AZ241" s="2" t="s">
        <v>82</v>
      </c>
      <c r="BA241" s="2">
        <v>70</v>
      </c>
      <c r="BB241" s="2" t="s">
        <v>236</v>
      </c>
      <c r="BC241" s="2">
        <v>51</v>
      </c>
      <c r="BD241" s="2" t="s">
        <v>827</v>
      </c>
      <c r="BE241" s="2">
        <v>47</v>
      </c>
      <c r="BF241" s="2" t="s">
        <v>167</v>
      </c>
      <c r="BG241" s="2">
        <v>2788</v>
      </c>
      <c r="BH241" s="4">
        <v>0.92361111111111116</v>
      </c>
      <c r="BI241" s="4">
        <v>0.95138888888888884</v>
      </c>
      <c r="BJ241" s="2">
        <v>13</v>
      </c>
      <c r="BK241" s="2" t="s">
        <v>91</v>
      </c>
      <c r="BL241" s="2" t="s">
        <v>1278</v>
      </c>
      <c r="BM241" s="2">
        <v>13</v>
      </c>
      <c r="BN241" s="2" t="s">
        <v>91</v>
      </c>
      <c r="BO241" s="2" t="s">
        <v>1279</v>
      </c>
      <c r="BP241" s="2">
        <v>13</v>
      </c>
      <c r="BQ241" s="2" t="s">
        <v>91</v>
      </c>
      <c r="BR241" s="2" t="s">
        <v>1280</v>
      </c>
      <c r="BS241" s="3">
        <v>40199</v>
      </c>
      <c r="BT241" s="4">
        <v>0.99782407407407403</v>
      </c>
    </row>
    <row r="242" spans="1:72" x14ac:dyDescent="0.25">
      <c r="A242" s="2">
        <v>375</v>
      </c>
      <c r="B242" s="2">
        <v>2010</v>
      </c>
      <c r="C242" s="2" t="s">
        <v>702</v>
      </c>
      <c r="D242" s="2" t="s">
        <v>73</v>
      </c>
      <c r="E242" s="2"/>
      <c r="F242" s="2">
        <v>168</v>
      </c>
      <c r="G242" s="2" t="s">
        <v>703</v>
      </c>
      <c r="H242" s="2">
        <v>43</v>
      </c>
      <c r="I242" s="2" t="s">
        <v>1166</v>
      </c>
      <c r="J242" s="2">
        <v>305</v>
      </c>
      <c r="K242" s="2" t="s">
        <v>160</v>
      </c>
      <c r="L242" s="2" t="s">
        <v>161</v>
      </c>
      <c r="M242" s="3">
        <v>40200</v>
      </c>
      <c r="N242" s="2" t="s">
        <v>1167</v>
      </c>
      <c r="O242" s="2" t="s">
        <v>82</v>
      </c>
      <c r="P242" s="2" t="s">
        <v>82</v>
      </c>
      <c r="Q242" s="2" t="str">
        <f>"024-A/10"</f>
        <v>024-A/10</v>
      </c>
      <c r="R242" s="2" t="s">
        <v>82</v>
      </c>
      <c r="S242" s="2" t="s">
        <v>1281</v>
      </c>
      <c r="T242" s="2">
        <v>1</v>
      </c>
      <c r="U242" s="2" t="s">
        <v>79</v>
      </c>
      <c r="V242" s="2">
        <v>1</v>
      </c>
      <c r="W242" s="2" t="s">
        <v>80</v>
      </c>
      <c r="X242" s="2">
        <v>1</v>
      </c>
      <c r="Y242" s="2" t="s">
        <v>81</v>
      </c>
      <c r="Z242" s="2">
        <v>10</v>
      </c>
      <c r="AA242" s="2" t="s">
        <v>236</v>
      </c>
      <c r="AB242" s="2">
        <v>9</v>
      </c>
      <c r="AC242" s="2" t="s">
        <v>124</v>
      </c>
      <c r="AD242" s="3">
        <v>40199</v>
      </c>
      <c r="AE242" s="4">
        <v>0.79861111111111116</v>
      </c>
      <c r="AF242" s="2"/>
      <c r="AG242" s="2"/>
      <c r="AH242" s="2">
        <v>2</v>
      </c>
      <c r="AI242" s="2" t="s">
        <v>84</v>
      </c>
      <c r="AJ242" s="2">
        <v>12</v>
      </c>
      <c r="AK242" s="2" t="s">
        <v>85</v>
      </c>
      <c r="AL242" s="2">
        <v>9</v>
      </c>
      <c r="AM242" s="2" t="s">
        <v>259</v>
      </c>
      <c r="AN242" s="2" t="s">
        <v>1282</v>
      </c>
      <c r="AO242" s="2" t="s">
        <v>1283</v>
      </c>
      <c r="AP242" s="2">
        <v>11</v>
      </c>
      <c r="AQ242" s="2" t="s">
        <v>82</v>
      </c>
      <c r="AR242" s="2" t="s">
        <v>82</v>
      </c>
      <c r="AS242" s="2" t="s">
        <v>82</v>
      </c>
      <c r="AT242" s="2" t="s">
        <v>1284</v>
      </c>
      <c r="AU242" s="2"/>
      <c r="AV242" s="2"/>
      <c r="AW242" s="2"/>
      <c r="AX242" s="2"/>
      <c r="AY242" s="2">
        <v>41</v>
      </c>
      <c r="AZ242" s="2" t="s">
        <v>82</v>
      </c>
      <c r="BA242" s="2">
        <v>41</v>
      </c>
      <c r="BB242" s="2" t="s">
        <v>82</v>
      </c>
      <c r="BC242" s="2">
        <v>41</v>
      </c>
      <c r="BD242" s="2" t="s">
        <v>82</v>
      </c>
      <c r="BE242" s="2">
        <v>41</v>
      </c>
      <c r="BF242" s="2" t="s">
        <v>82</v>
      </c>
      <c r="BG242" s="2" t="s">
        <v>82</v>
      </c>
      <c r="BH242" s="2"/>
      <c r="BI242" s="2"/>
      <c r="BJ242" s="2">
        <v>241</v>
      </c>
      <c r="BK242" s="2" t="s">
        <v>82</v>
      </c>
      <c r="BL242" s="2" t="s">
        <v>82</v>
      </c>
      <c r="BM242" s="2">
        <v>241</v>
      </c>
      <c r="BN242" s="2" t="s">
        <v>82</v>
      </c>
      <c r="BO242" s="2" t="s">
        <v>82</v>
      </c>
      <c r="BP242" s="2">
        <v>241</v>
      </c>
      <c r="BQ242" s="2" t="s">
        <v>82</v>
      </c>
      <c r="BR242" s="2" t="s">
        <v>82</v>
      </c>
      <c r="BS242" s="3">
        <v>40200</v>
      </c>
      <c r="BT242" s="4">
        <v>5.1469907407407402E-2</v>
      </c>
    </row>
    <row r="243" spans="1:72" x14ac:dyDescent="0.25">
      <c r="A243" s="2">
        <v>376</v>
      </c>
      <c r="B243" s="2">
        <v>2010</v>
      </c>
      <c r="C243" s="2" t="s">
        <v>72</v>
      </c>
      <c r="D243" s="2" t="s">
        <v>73</v>
      </c>
      <c r="E243" s="2"/>
      <c r="F243" s="2">
        <v>3</v>
      </c>
      <c r="G243" s="2" t="s">
        <v>1041</v>
      </c>
      <c r="H243" s="2">
        <v>22</v>
      </c>
      <c r="I243" s="2" t="s">
        <v>75</v>
      </c>
      <c r="J243" s="2">
        <v>368</v>
      </c>
      <c r="K243" s="2" t="s">
        <v>1042</v>
      </c>
      <c r="L243" s="2" t="s">
        <v>1043</v>
      </c>
      <c r="M243" s="3">
        <v>40200</v>
      </c>
      <c r="N243" s="2"/>
      <c r="O243" s="2"/>
      <c r="P243" s="2"/>
      <c r="Q243" s="2" t="str">
        <f>"042-E/10"</f>
        <v>042-E/10</v>
      </c>
      <c r="R243" s="2" t="s">
        <v>116</v>
      </c>
      <c r="S243" s="2" t="s">
        <v>116</v>
      </c>
      <c r="T243" s="2">
        <v>1</v>
      </c>
      <c r="U243" s="2" t="s">
        <v>79</v>
      </c>
      <c r="V243" s="2">
        <v>1</v>
      </c>
      <c r="W243" s="2" t="s">
        <v>80</v>
      </c>
      <c r="X243" s="2">
        <v>1</v>
      </c>
      <c r="Y243" s="2" t="s">
        <v>81</v>
      </c>
      <c r="Z243" s="2">
        <v>1</v>
      </c>
      <c r="AA243" s="2" t="s">
        <v>82</v>
      </c>
      <c r="AB243" s="2">
        <v>6</v>
      </c>
      <c r="AC243" s="2" t="s">
        <v>83</v>
      </c>
      <c r="AD243" s="3">
        <v>40199</v>
      </c>
      <c r="AE243" s="4">
        <v>0.75</v>
      </c>
      <c r="AF243" s="3">
        <v>40200</v>
      </c>
      <c r="AG243" s="4">
        <v>5.5555555555555552E-2</v>
      </c>
      <c r="AH243" s="2">
        <v>2</v>
      </c>
      <c r="AI243" s="2" t="s">
        <v>84</v>
      </c>
      <c r="AJ243" s="2">
        <v>9</v>
      </c>
      <c r="AK243" s="2" t="s">
        <v>103</v>
      </c>
      <c r="AL243" s="2">
        <v>18</v>
      </c>
      <c r="AM243" s="2" t="s">
        <v>82</v>
      </c>
      <c r="AN243" s="2" t="s">
        <v>1285</v>
      </c>
      <c r="AO243" s="2" t="s">
        <v>628</v>
      </c>
      <c r="AP243" s="2">
        <v>11</v>
      </c>
      <c r="AQ243" s="2" t="s">
        <v>82</v>
      </c>
      <c r="AR243" s="2"/>
      <c r="AS243" s="2"/>
      <c r="AT243" s="2" t="s">
        <v>1286</v>
      </c>
      <c r="AU243" s="2"/>
      <c r="AV243" s="2"/>
      <c r="AW243" s="2"/>
      <c r="AX243" s="2"/>
      <c r="AY243" s="2">
        <v>63</v>
      </c>
      <c r="AZ243" s="2" t="s">
        <v>1287</v>
      </c>
      <c r="BA243" s="2">
        <v>63</v>
      </c>
      <c r="BB243" s="2" t="s">
        <v>1287</v>
      </c>
      <c r="BC243" s="2">
        <v>41</v>
      </c>
      <c r="BD243" s="2" t="s">
        <v>82</v>
      </c>
      <c r="BE243" s="2">
        <v>41</v>
      </c>
      <c r="BF243" s="2" t="s">
        <v>82</v>
      </c>
      <c r="BG243" s="2"/>
      <c r="BH243" s="2"/>
      <c r="BI243" s="2"/>
      <c r="BJ243" s="2">
        <v>241</v>
      </c>
      <c r="BK243" s="2" t="s">
        <v>82</v>
      </c>
      <c r="BL243" s="2"/>
      <c r="BM243" s="2">
        <v>241</v>
      </c>
      <c r="BN243" s="2" t="s">
        <v>82</v>
      </c>
      <c r="BO243" s="2"/>
      <c r="BP243" s="2">
        <v>241</v>
      </c>
      <c r="BQ243" s="2" t="s">
        <v>82</v>
      </c>
      <c r="BR243" s="2"/>
      <c r="BS243" s="3">
        <v>40200</v>
      </c>
      <c r="BT243" s="4">
        <v>0.13568287037037038</v>
      </c>
    </row>
    <row r="244" spans="1:72" x14ac:dyDescent="0.25">
      <c r="A244" s="2">
        <v>377</v>
      </c>
      <c r="B244" s="2">
        <v>2010</v>
      </c>
      <c r="C244" s="2" t="s">
        <v>764</v>
      </c>
      <c r="D244" s="2" t="s">
        <v>73</v>
      </c>
      <c r="E244" s="2"/>
      <c r="F244" s="2">
        <v>155</v>
      </c>
      <c r="G244" s="2" t="s">
        <v>1030</v>
      </c>
      <c r="H244" s="2">
        <v>10</v>
      </c>
      <c r="I244" s="2" t="s">
        <v>1031</v>
      </c>
      <c r="J244" s="2">
        <v>167</v>
      </c>
      <c r="K244" s="2" t="s">
        <v>1032</v>
      </c>
      <c r="L244" s="2" t="s">
        <v>1033</v>
      </c>
      <c r="M244" s="3">
        <v>40200</v>
      </c>
      <c r="N244" s="2" t="s">
        <v>1288</v>
      </c>
      <c r="O244" s="2" t="s">
        <v>480</v>
      </c>
      <c r="P244" s="2" t="s">
        <v>107</v>
      </c>
      <c r="Q244" s="2" t="str">
        <f>"025A/10"</f>
        <v>025A/10</v>
      </c>
      <c r="R244" s="2" t="s">
        <v>480</v>
      </c>
      <c r="S244" s="2" t="s">
        <v>480</v>
      </c>
      <c r="T244" s="2">
        <v>1</v>
      </c>
      <c r="U244" s="2" t="s">
        <v>79</v>
      </c>
      <c r="V244" s="2">
        <v>1</v>
      </c>
      <c r="W244" s="2" t="s">
        <v>80</v>
      </c>
      <c r="X244" s="2">
        <v>1</v>
      </c>
      <c r="Y244" s="2" t="s">
        <v>81</v>
      </c>
      <c r="Z244" s="2">
        <v>10</v>
      </c>
      <c r="AA244" s="2" t="s">
        <v>236</v>
      </c>
      <c r="AB244" s="2">
        <v>9</v>
      </c>
      <c r="AC244" s="2" t="s">
        <v>124</v>
      </c>
      <c r="AD244" s="3">
        <v>40199</v>
      </c>
      <c r="AE244" s="4">
        <v>0.91666666666666663</v>
      </c>
      <c r="AF244" s="2"/>
      <c r="AG244" s="2"/>
      <c r="AH244" s="2">
        <v>2</v>
      </c>
      <c r="AI244" s="2" t="s">
        <v>84</v>
      </c>
      <c r="AJ244" s="2">
        <v>12</v>
      </c>
      <c r="AK244" s="2" t="s">
        <v>85</v>
      </c>
      <c r="AL244" s="2">
        <v>9</v>
      </c>
      <c r="AM244" s="2" t="s">
        <v>259</v>
      </c>
      <c r="AN244" s="2" t="s">
        <v>1283</v>
      </c>
      <c r="AO244" s="2" t="s">
        <v>1289</v>
      </c>
      <c r="AP244" s="2">
        <v>11</v>
      </c>
      <c r="AQ244" s="2" t="s">
        <v>82</v>
      </c>
      <c r="AR244" s="2"/>
      <c r="AS244" s="2"/>
      <c r="AT244" s="2" t="s">
        <v>1290</v>
      </c>
      <c r="AU244" s="2">
        <v>2</v>
      </c>
      <c r="AV244" s="2"/>
      <c r="AW244" s="2"/>
      <c r="AX244" s="2"/>
      <c r="AY244" s="2">
        <v>42</v>
      </c>
      <c r="AZ244" s="2" t="s">
        <v>182</v>
      </c>
      <c r="BA244" s="2">
        <v>70</v>
      </c>
      <c r="BB244" s="2" t="s">
        <v>236</v>
      </c>
      <c r="BC244" s="2">
        <v>41</v>
      </c>
      <c r="BD244" s="2" t="s">
        <v>82</v>
      </c>
      <c r="BE244" s="2">
        <v>41</v>
      </c>
      <c r="BF244" s="2" t="s">
        <v>82</v>
      </c>
      <c r="BG244" s="2"/>
      <c r="BH244" s="2"/>
      <c r="BI244" s="2"/>
      <c r="BJ244" s="2">
        <v>241</v>
      </c>
      <c r="BK244" s="2" t="s">
        <v>82</v>
      </c>
      <c r="BL244" s="2"/>
      <c r="BM244" s="2">
        <v>241</v>
      </c>
      <c r="BN244" s="2" t="s">
        <v>82</v>
      </c>
      <c r="BO244" s="2"/>
      <c r="BP244" s="2">
        <v>241</v>
      </c>
      <c r="BQ244" s="2" t="s">
        <v>82</v>
      </c>
      <c r="BR244" s="2"/>
      <c r="BS244" s="3">
        <v>40200</v>
      </c>
      <c r="BT244" s="4">
        <v>0.23146990740740739</v>
      </c>
    </row>
    <row r="245" spans="1:72" x14ac:dyDescent="0.25">
      <c r="A245" s="2">
        <v>381</v>
      </c>
      <c r="B245" s="2">
        <v>2010</v>
      </c>
      <c r="C245" s="2" t="s">
        <v>819</v>
      </c>
      <c r="D245" s="2" t="s">
        <v>122</v>
      </c>
      <c r="E245" s="2" t="s">
        <v>1291</v>
      </c>
      <c r="F245" s="2">
        <v>451</v>
      </c>
      <c r="G245" s="2" t="s">
        <v>879</v>
      </c>
      <c r="H245" s="2">
        <v>31</v>
      </c>
      <c r="I245" s="2" t="s">
        <v>880</v>
      </c>
      <c r="J245" s="2">
        <v>326</v>
      </c>
      <c r="K245" s="2" t="s">
        <v>881</v>
      </c>
      <c r="L245" s="2" t="s">
        <v>882</v>
      </c>
      <c r="M245" s="3">
        <v>40200</v>
      </c>
      <c r="N245" s="2" t="s">
        <v>1072</v>
      </c>
      <c r="O245" s="2"/>
      <c r="P245" s="2"/>
      <c r="Q245" s="2" t="str">
        <f>"004/10"</f>
        <v>004/10</v>
      </c>
      <c r="R245" s="2" t="s">
        <v>822</v>
      </c>
      <c r="S245" s="2"/>
      <c r="T245" s="2">
        <v>1</v>
      </c>
      <c r="U245" s="2" t="s">
        <v>79</v>
      </c>
      <c r="V245" s="2">
        <v>1</v>
      </c>
      <c r="W245" s="2" t="s">
        <v>80</v>
      </c>
      <c r="X245" s="2">
        <v>1</v>
      </c>
      <c r="Y245" s="2" t="s">
        <v>81</v>
      </c>
      <c r="Z245" s="2">
        <v>10</v>
      </c>
      <c r="AA245" s="2" t="s">
        <v>236</v>
      </c>
      <c r="AB245" s="2">
        <v>9</v>
      </c>
      <c r="AC245" s="2" t="s">
        <v>124</v>
      </c>
      <c r="AD245" s="3">
        <v>40200</v>
      </c>
      <c r="AE245" s="4">
        <v>0.375</v>
      </c>
      <c r="AF245" s="2"/>
      <c r="AG245" s="2"/>
      <c r="AH245" s="2">
        <v>4</v>
      </c>
      <c r="AI245" s="2" t="s">
        <v>125</v>
      </c>
      <c r="AJ245" s="2">
        <v>29</v>
      </c>
      <c r="AK245" s="2" t="s">
        <v>227</v>
      </c>
      <c r="AL245" s="2">
        <v>10</v>
      </c>
      <c r="AM245" s="2" t="s">
        <v>200</v>
      </c>
      <c r="AN245" s="2" t="s">
        <v>883</v>
      </c>
      <c r="AO245" s="2"/>
      <c r="AP245" s="2">
        <v>12</v>
      </c>
      <c r="AQ245" s="2" t="s">
        <v>322</v>
      </c>
      <c r="AR245" s="2" t="s">
        <v>824</v>
      </c>
      <c r="AS245" s="2" t="s">
        <v>825</v>
      </c>
      <c r="AT245" s="2" t="s">
        <v>1292</v>
      </c>
      <c r="AU245" s="2"/>
      <c r="AV245" s="2"/>
      <c r="AW245" s="2"/>
      <c r="AX245" s="2"/>
      <c r="AY245" s="2">
        <v>41</v>
      </c>
      <c r="AZ245" s="2" t="s">
        <v>82</v>
      </c>
      <c r="BA245" s="2">
        <v>41</v>
      </c>
      <c r="BB245" s="2" t="s">
        <v>82</v>
      </c>
      <c r="BC245" s="2">
        <v>51</v>
      </c>
      <c r="BD245" s="2" t="s">
        <v>827</v>
      </c>
      <c r="BE245" s="2">
        <v>47</v>
      </c>
      <c r="BF245" s="2" t="s">
        <v>167</v>
      </c>
      <c r="BG245" s="2">
        <v>2459</v>
      </c>
      <c r="BH245" s="4">
        <v>0.84722222222222221</v>
      </c>
      <c r="BI245" s="4">
        <v>0.87847222222222221</v>
      </c>
      <c r="BJ245" s="2">
        <v>13</v>
      </c>
      <c r="BK245" s="2" t="s">
        <v>91</v>
      </c>
      <c r="BL245" s="2" t="s">
        <v>185</v>
      </c>
      <c r="BM245" s="2">
        <v>13</v>
      </c>
      <c r="BN245" s="2" t="s">
        <v>91</v>
      </c>
      <c r="BO245" s="2" t="s">
        <v>828</v>
      </c>
      <c r="BP245" s="2">
        <v>13</v>
      </c>
      <c r="BQ245" s="2" t="s">
        <v>91</v>
      </c>
      <c r="BR245" s="2" t="s">
        <v>185</v>
      </c>
      <c r="BS245" s="3">
        <v>40200</v>
      </c>
      <c r="BT245" s="4">
        <v>0.40421296296296294</v>
      </c>
    </row>
    <row r="246" spans="1:72" x14ac:dyDescent="0.25">
      <c r="A246" s="2">
        <v>383</v>
      </c>
      <c r="B246" s="2">
        <v>2010</v>
      </c>
      <c r="C246" s="2" t="s">
        <v>147</v>
      </c>
      <c r="D246" s="2" t="s">
        <v>73</v>
      </c>
      <c r="E246" s="2"/>
      <c r="F246" s="2">
        <v>1</v>
      </c>
      <c r="G246" s="2" t="s">
        <v>82</v>
      </c>
      <c r="H246" s="2">
        <v>1</v>
      </c>
      <c r="I246" s="2" t="s">
        <v>82</v>
      </c>
      <c r="J246" s="2">
        <v>1</v>
      </c>
      <c r="K246" s="2" t="s">
        <v>107</v>
      </c>
      <c r="L246" s="2" t="s">
        <v>107</v>
      </c>
      <c r="M246" s="3">
        <v>40200</v>
      </c>
      <c r="N246" s="2"/>
      <c r="O246" s="2"/>
      <c r="P246" s="2"/>
      <c r="Q246" s="2" t="str">
        <f>""</f>
        <v/>
      </c>
      <c r="R246" s="2"/>
      <c r="S246" s="2"/>
      <c r="T246" s="2">
        <v>2</v>
      </c>
      <c r="U246" s="2" t="s">
        <v>123</v>
      </c>
      <c r="V246" s="2">
        <v>1</v>
      </c>
      <c r="W246" s="2" t="s">
        <v>80</v>
      </c>
      <c r="X246" s="2">
        <v>12</v>
      </c>
      <c r="Y246" s="2" t="s">
        <v>148</v>
      </c>
      <c r="Z246" s="2">
        <v>1</v>
      </c>
      <c r="AA246" s="2" t="s">
        <v>82</v>
      </c>
      <c r="AB246" s="2">
        <v>9</v>
      </c>
      <c r="AC246" s="2" t="s">
        <v>124</v>
      </c>
      <c r="AD246" s="3">
        <v>40198</v>
      </c>
      <c r="AE246" s="4">
        <v>0.29166666666666669</v>
      </c>
      <c r="AF246" s="3">
        <v>40200</v>
      </c>
      <c r="AG246" s="4">
        <v>0.4375</v>
      </c>
      <c r="AH246" s="2">
        <v>2</v>
      </c>
      <c r="AI246" s="2" t="s">
        <v>84</v>
      </c>
      <c r="AJ246" s="2">
        <v>12</v>
      </c>
      <c r="AK246" s="2" t="s">
        <v>85</v>
      </c>
      <c r="AL246" s="2">
        <v>19</v>
      </c>
      <c r="AM246" s="2" t="s">
        <v>107</v>
      </c>
      <c r="AN246" s="2"/>
      <c r="AO246" s="2" t="s">
        <v>1293</v>
      </c>
      <c r="AP246" s="2">
        <v>11</v>
      </c>
      <c r="AQ246" s="2" t="s">
        <v>82</v>
      </c>
      <c r="AR246" s="2"/>
      <c r="AS246" s="2"/>
      <c r="AT246" s="2" t="s">
        <v>1294</v>
      </c>
      <c r="AU246" s="2"/>
      <c r="AV246" s="2"/>
      <c r="AW246" s="2"/>
      <c r="AX246" s="2"/>
      <c r="AY246" s="2">
        <v>41</v>
      </c>
      <c r="AZ246" s="2" t="s">
        <v>82</v>
      </c>
      <c r="BA246" s="2">
        <v>41</v>
      </c>
      <c r="BB246" s="2" t="s">
        <v>82</v>
      </c>
      <c r="BC246" s="2">
        <v>41</v>
      </c>
      <c r="BD246" s="2" t="s">
        <v>82</v>
      </c>
      <c r="BE246" s="2">
        <v>41</v>
      </c>
      <c r="BF246" s="2" t="s">
        <v>82</v>
      </c>
      <c r="BG246" s="2"/>
      <c r="BH246" s="2"/>
      <c r="BI246" s="2"/>
      <c r="BJ246" s="2">
        <v>241</v>
      </c>
      <c r="BK246" s="2" t="s">
        <v>82</v>
      </c>
      <c r="BL246" s="2"/>
      <c r="BM246" s="2">
        <v>241</v>
      </c>
      <c r="BN246" s="2" t="s">
        <v>82</v>
      </c>
      <c r="BO246" s="2"/>
      <c r="BP246" s="2">
        <v>241</v>
      </c>
      <c r="BQ246" s="2" t="s">
        <v>82</v>
      </c>
      <c r="BR246" s="2"/>
      <c r="BS246" s="3">
        <v>40200</v>
      </c>
      <c r="BT246" s="4">
        <v>0.46782407407407406</v>
      </c>
    </row>
    <row r="247" spans="1:72" x14ac:dyDescent="0.25">
      <c r="A247" s="2">
        <v>384</v>
      </c>
      <c r="B247" s="2">
        <v>2010</v>
      </c>
      <c r="C247" s="2" t="s">
        <v>72</v>
      </c>
      <c r="D247" s="2" t="s">
        <v>73</v>
      </c>
      <c r="E247" s="2"/>
      <c r="F247" s="2">
        <v>3</v>
      </c>
      <c r="G247" s="2" t="s">
        <v>1041</v>
      </c>
      <c r="H247" s="2">
        <v>42</v>
      </c>
      <c r="I247" s="2" t="s">
        <v>1096</v>
      </c>
      <c r="J247" s="2">
        <v>368</v>
      </c>
      <c r="K247" s="2" t="s">
        <v>1042</v>
      </c>
      <c r="L247" s="2" t="s">
        <v>1043</v>
      </c>
      <c r="M247" s="3">
        <v>40200</v>
      </c>
      <c r="N247" s="2"/>
      <c r="O247" s="2"/>
      <c r="P247" s="2"/>
      <c r="Q247" s="2" t="str">
        <f>"043-E/10"</f>
        <v>043-E/10</v>
      </c>
      <c r="R247" s="2"/>
      <c r="S247" s="2" t="s">
        <v>116</v>
      </c>
      <c r="T247" s="2">
        <v>1</v>
      </c>
      <c r="U247" s="2" t="s">
        <v>79</v>
      </c>
      <c r="V247" s="2">
        <v>1</v>
      </c>
      <c r="W247" s="2" t="s">
        <v>80</v>
      </c>
      <c r="X247" s="2">
        <v>5</v>
      </c>
      <c r="Y247" s="2" t="s">
        <v>82</v>
      </c>
      <c r="Z247" s="2">
        <v>10</v>
      </c>
      <c r="AA247" s="2" t="s">
        <v>236</v>
      </c>
      <c r="AB247" s="2">
        <v>6</v>
      </c>
      <c r="AC247" s="2" t="s">
        <v>83</v>
      </c>
      <c r="AD247" s="3">
        <v>40199</v>
      </c>
      <c r="AE247" s="4">
        <v>0.97916666666666663</v>
      </c>
      <c r="AF247" s="3">
        <v>40200</v>
      </c>
      <c r="AG247" s="4">
        <v>0.33333333333333331</v>
      </c>
      <c r="AH247" s="2">
        <v>2</v>
      </c>
      <c r="AI247" s="2" t="s">
        <v>84</v>
      </c>
      <c r="AJ247" s="2">
        <v>9</v>
      </c>
      <c r="AK247" s="2" t="s">
        <v>103</v>
      </c>
      <c r="AL247" s="2">
        <v>18</v>
      </c>
      <c r="AM247" s="2" t="s">
        <v>82</v>
      </c>
      <c r="AN247" s="2" t="s">
        <v>1295</v>
      </c>
      <c r="AO247" s="2" t="s">
        <v>251</v>
      </c>
      <c r="AP247" s="2">
        <v>11</v>
      </c>
      <c r="AQ247" s="2" t="s">
        <v>82</v>
      </c>
      <c r="AR247" s="2"/>
      <c r="AS247" s="2"/>
      <c r="AT247" s="2" t="s">
        <v>1296</v>
      </c>
      <c r="AU247" s="2"/>
      <c r="AV247" s="2"/>
      <c r="AW247" s="2"/>
      <c r="AX247" s="2"/>
      <c r="AY247" s="2">
        <v>41</v>
      </c>
      <c r="AZ247" s="2" t="s">
        <v>82</v>
      </c>
      <c r="BA247" s="2">
        <v>41</v>
      </c>
      <c r="BB247" s="2" t="s">
        <v>82</v>
      </c>
      <c r="BC247" s="2">
        <v>41</v>
      </c>
      <c r="BD247" s="2" t="s">
        <v>82</v>
      </c>
      <c r="BE247" s="2">
        <v>41</v>
      </c>
      <c r="BF247" s="2" t="s">
        <v>82</v>
      </c>
      <c r="BG247" s="2"/>
      <c r="BH247" s="2"/>
      <c r="BI247" s="2"/>
      <c r="BJ247" s="2">
        <v>241</v>
      </c>
      <c r="BK247" s="2" t="s">
        <v>82</v>
      </c>
      <c r="BL247" s="2"/>
      <c r="BM247" s="2">
        <v>241</v>
      </c>
      <c r="BN247" s="2" t="s">
        <v>82</v>
      </c>
      <c r="BO247" s="2"/>
      <c r="BP247" s="2">
        <v>241</v>
      </c>
      <c r="BQ247" s="2" t="s">
        <v>82</v>
      </c>
      <c r="BR247" s="2"/>
      <c r="BS247" s="3">
        <v>40200</v>
      </c>
      <c r="BT247" s="4">
        <v>0.47281250000000002</v>
      </c>
    </row>
    <row r="248" spans="1:72" x14ac:dyDescent="0.25">
      <c r="A248" s="2">
        <v>391</v>
      </c>
      <c r="B248" s="2">
        <v>2010</v>
      </c>
      <c r="C248" s="2" t="s">
        <v>72</v>
      </c>
      <c r="D248" s="2" t="s">
        <v>73</v>
      </c>
      <c r="E248" s="2"/>
      <c r="F248" s="2">
        <v>419</v>
      </c>
      <c r="G248" s="2" t="s">
        <v>74</v>
      </c>
      <c r="H248" s="2">
        <v>22</v>
      </c>
      <c r="I248" s="2" t="s">
        <v>75</v>
      </c>
      <c r="J248" s="2">
        <v>305</v>
      </c>
      <c r="K248" s="2" t="s">
        <v>160</v>
      </c>
      <c r="L248" s="2" t="s">
        <v>161</v>
      </c>
      <c r="M248" s="3">
        <v>40200</v>
      </c>
      <c r="N248" s="2" t="s">
        <v>1167</v>
      </c>
      <c r="O248" s="2"/>
      <c r="P248" s="2"/>
      <c r="Q248" s="2" t="str">
        <f>"026-A/10"</f>
        <v>026-A/10</v>
      </c>
      <c r="R248" s="2"/>
      <c r="S248" s="2" t="s">
        <v>116</v>
      </c>
      <c r="T248" s="2">
        <v>1</v>
      </c>
      <c r="U248" s="2" t="s">
        <v>79</v>
      </c>
      <c r="V248" s="2">
        <v>1</v>
      </c>
      <c r="W248" s="2" t="s">
        <v>80</v>
      </c>
      <c r="X248" s="2">
        <v>1</v>
      </c>
      <c r="Y248" s="2" t="s">
        <v>81</v>
      </c>
      <c r="Z248" s="2">
        <v>1</v>
      </c>
      <c r="AA248" s="2" t="s">
        <v>82</v>
      </c>
      <c r="AB248" s="2">
        <v>6</v>
      </c>
      <c r="AC248" s="2" t="s">
        <v>83</v>
      </c>
      <c r="AD248" s="3">
        <v>40200</v>
      </c>
      <c r="AE248" s="4">
        <v>0.375</v>
      </c>
      <c r="AF248" s="3">
        <v>40200</v>
      </c>
      <c r="AG248" s="4">
        <v>0.46875</v>
      </c>
      <c r="AH248" s="2">
        <v>2</v>
      </c>
      <c r="AI248" s="2" t="s">
        <v>84</v>
      </c>
      <c r="AJ248" s="2">
        <v>12</v>
      </c>
      <c r="AK248" s="2" t="s">
        <v>85</v>
      </c>
      <c r="AL248" s="2">
        <v>19</v>
      </c>
      <c r="AM248" s="2" t="s">
        <v>107</v>
      </c>
      <c r="AN248" s="2" t="s">
        <v>1297</v>
      </c>
      <c r="AO248" s="2" t="s">
        <v>628</v>
      </c>
      <c r="AP248" s="2">
        <v>11</v>
      </c>
      <c r="AQ248" s="2" t="s">
        <v>82</v>
      </c>
      <c r="AR248" s="2"/>
      <c r="AS248" s="2"/>
      <c r="AT248" s="2" t="s">
        <v>1298</v>
      </c>
      <c r="AU248" s="2"/>
      <c r="AV248" s="2"/>
      <c r="AW248" s="2"/>
      <c r="AX248" s="2"/>
      <c r="AY248" s="2">
        <v>41</v>
      </c>
      <c r="AZ248" s="2" t="s">
        <v>82</v>
      </c>
      <c r="BA248" s="2">
        <v>41</v>
      </c>
      <c r="BB248" s="2" t="s">
        <v>82</v>
      </c>
      <c r="BC248" s="2">
        <v>41</v>
      </c>
      <c r="BD248" s="2" t="s">
        <v>82</v>
      </c>
      <c r="BE248" s="2">
        <v>13</v>
      </c>
      <c r="BF248" s="2" t="s">
        <v>108</v>
      </c>
      <c r="BG248" s="2" t="s">
        <v>1299</v>
      </c>
      <c r="BH248" s="4">
        <v>0.6333333333333333</v>
      </c>
      <c r="BI248" s="4">
        <v>0.51041666666666663</v>
      </c>
      <c r="BJ248" s="2">
        <v>13</v>
      </c>
      <c r="BK248" s="2" t="s">
        <v>91</v>
      </c>
      <c r="BL248" s="2" t="s">
        <v>564</v>
      </c>
      <c r="BM248" s="2">
        <v>241</v>
      </c>
      <c r="BN248" s="2" t="s">
        <v>82</v>
      </c>
      <c r="BO248" s="2"/>
      <c r="BP248" s="2">
        <v>13</v>
      </c>
      <c r="BQ248" s="2" t="s">
        <v>91</v>
      </c>
      <c r="BR248" s="2" t="s">
        <v>204</v>
      </c>
      <c r="BS248" s="3">
        <v>40200</v>
      </c>
      <c r="BT248" s="4">
        <v>0.65173611111111118</v>
      </c>
    </row>
    <row r="249" spans="1:72" x14ac:dyDescent="0.25">
      <c r="A249" s="2">
        <v>393</v>
      </c>
      <c r="B249" s="2">
        <v>2010</v>
      </c>
      <c r="C249" s="2" t="s">
        <v>385</v>
      </c>
      <c r="D249" s="2" t="s">
        <v>73</v>
      </c>
      <c r="E249" s="2"/>
      <c r="F249" s="2">
        <v>477</v>
      </c>
      <c r="G249" s="2" t="s">
        <v>1300</v>
      </c>
      <c r="H249" s="2">
        <v>42</v>
      </c>
      <c r="I249" s="2" t="s">
        <v>1096</v>
      </c>
      <c r="J249" s="2">
        <v>383</v>
      </c>
      <c r="K249" s="2" t="s">
        <v>1301</v>
      </c>
      <c r="L249" s="2" t="s">
        <v>1302</v>
      </c>
      <c r="M249" s="3">
        <v>40200</v>
      </c>
      <c r="N249" s="2" t="s">
        <v>1303</v>
      </c>
      <c r="O249" s="2" t="s">
        <v>1304</v>
      </c>
      <c r="P249" s="2" t="s">
        <v>1305</v>
      </c>
      <c r="Q249" s="2" t="str">
        <f>""</f>
        <v/>
      </c>
      <c r="R249" s="2"/>
      <c r="S249" s="2"/>
      <c r="T249" s="2">
        <v>1</v>
      </c>
      <c r="U249" s="2" t="s">
        <v>79</v>
      </c>
      <c r="V249" s="2">
        <v>1</v>
      </c>
      <c r="W249" s="2" t="s">
        <v>80</v>
      </c>
      <c r="X249" s="2">
        <v>4</v>
      </c>
      <c r="Y249" s="2" t="s">
        <v>463</v>
      </c>
      <c r="Z249" s="2">
        <v>9</v>
      </c>
      <c r="AA249" s="2" t="s">
        <v>1119</v>
      </c>
      <c r="AB249" s="2">
        <v>9</v>
      </c>
      <c r="AC249" s="2" t="s">
        <v>124</v>
      </c>
      <c r="AD249" s="3">
        <v>40200</v>
      </c>
      <c r="AE249" s="4">
        <v>0.47569444444444442</v>
      </c>
      <c r="AF249" s="2"/>
      <c r="AG249" s="2"/>
      <c r="AH249" s="2">
        <v>2</v>
      </c>
      <c r="AI249" s="2" t="s">
        <v>84</v>
      </c>
      <c r="AJ249" s="2">
        <v>12</v>
      </c>
      <c r="AK249" s="2" t="s">
        <v>85</v>
      </c>
      <c r="AL249" s="2">
        <v>2</v>
      </c>
      <c r="AM249" s="2" t="s">
        <v>163</v>
      </c>
      <c r="AN249" s="2" t="s">
        <v>1306</v>
      </c>
      <c r="AO249" s="2" t="s">
        <v>1307</v>
      </c>
      <c r="AP249" s="2">
        <v>11</v>
      </c>
      <c r="AQ249" s="2" t="s">
        <v>82</v>
      </c>
      <c r="AR249" s="2"/>
      <c r="AS249" s="2"/>
      <c r="AT249" s="2" t="s">
        <v>1308</v>
      </c>
      <c r="AU249" s="2">
        <v>1</v>
      </c>
      <c r="AV249" s="2"/>
      <c r="AW249" s="2"/>
      <c r="AX249" s="2"/>
      <c r="AY249" s="2">
        <v>41</v>
      </c>
      <c r="AZ249" s="2" t="s">
        <v>82</v>
      </c>
      <c r="BA249" s="2">
        <v>41</v>
      </c>
      <c r="BB249" s="2" t="s">
        <v>82</v>
      </c>
      <c r="BC249" s="2">
        <v>41</v>
      </c>
      <c r="BD249" s="2" t="s">
        <v>82</v>
      </c>
      <c r="BE249" s="2">
        <v>13</v>
      </c>
      <c r="BF249" s="2" t="s">
        <v>108</v>
      </c>
      <c r="BG249" s="2" t="s">
        <v>1309</v>
      </c>
      <c r="BH249" s="4">
        <v>0.5625</v>
      </c>
      <c r="BI249" s="4">
        <v>0.49652777777777773</v>
      </c>
      <c r="BJ249" s="2">
        <v>13</v>
      </c>
      <c r="BK249" s="2" t="s">
        <v>91</v>
      </c>
      <c r="BL249" s="2" t="s">
        <v>1040</v>
      </c>
      <c r="BM249" s="2">
        <v>241</v>
      </c>
      <c r="BN249" s="2" t="s">
        <v>82</v>
      </c>
      <c r="BO249" s="2"/>
      <c r="BP249" s="2">
        <v>13</v>
      </c>
      <c r="BQ249" s="2" t="s">
        <v>91</v>
      </c>
      <c r="BR249" s="2" t="s">
        <v>828</v>
      </c>
      <c r="BS249" s="3">
        <v>40200</v>
      </c>
      <c r="BT249" s="4">
        <v>0.73170138888888892</v>
      </c>
    </row>
    <row r="250" spans="1:72" x14ac:dyDescent="0.25">
      <c r="A250" s="2">
        <v>394</v>
      </c>
      <c r="B250" s="2">
        <v>2010</v>
      </c>
      <c r="C250" s="2" t="s">
        <v>659</v>
      </c>
      <c r="D250" s="2" t="s">
        <v>73</v>
      </c>
      <c r="E250" s="2"/>
      <c r="F250" s="2">
        <v>1</v>
      </c>
      <c r="G250" s="2" t="s">
        <v>82</v>
      </c>
      <c r="H250" s="2">
        <v>1</v>
      </c>
      <c r="I250" s="2" t="s">
        <v>82</v>
      </c>
      <c r="J250" s="2">
        <v>1</v>
      </c>
      <c r="K250" s="2" t="s">
        <v>107</v>
      </c>
      <c r="L250" s="2" t="s">
        <v>107</v>
      </c>
      <c r="M250" s="3">
        <v>40200</v>
      </c>
      <c r="N250" s="2" t="s">
        <v>1310</v>
      </c>
      <c r="O250" s="2" t="s">
        <v>107</v>
      </c>
      <c r="P250" s="2" t="s">
        <v>107</v>
      </c>
      <c r="Q250" s="2" t="str">
        <f>"0001/10"</f>
        <v>0001/10</v>
      </c>
      <c r="R250" s="2"/>
      <c r="S250" s="2"/>
      <c r="T250" s="2">
        <v>1</v>
      </c>
      <c r="U250" s="2" t="s">
        <v>79</v>
      </c>
      <c r="V250" s="2">
        <v>1</v>
      </c>
      <c r="W250" s="2" t="s">
        <v>80</v>
      </c>
      <c r="X250" s="2">
        <v>4</v>
      </c>
      <c r="Y250" s="2" t="s">
        <v>463</v>
      </c>
      <c r="Z250" s="2">
        <v>1</v>
      </c>
      <c r="AA250" s="2" t="s">
        <v>82</v>
      </c>
      <c r="AB250" s="2">
        <v>9</v>
      </c>
      <c r="AC250" s="2" t="s">
        <v>124</v>
      </c>
      <c r="AD250" s="3">
        <v>40200</v>
      </c>
      <c r="AE250" s="4">
        <v>0.53125</v>
      </c>
      <c r="AF250" s="3">
        <v>40200</v>
      </c>
      <c r="AG250" s="4">
        <v>0.53472222222222221</v>
      </c>
      <c r="AH250" s="2">
        <v>5</v>
      </c>
      <c r="AI250" s="2" t="s">
        <v>274</v>
      </c>
      <c r="AJ250" s="2">
        <v>37</v>
      </c>
      <c r="AK250" s="2" t="s">
        <v>497</v>
      </c>
      <c r="AL250" s="2">
        <v>21</v>
      </c>
      <c r="AM250" s="2" t="s">
        <v>1311</v>
      </c>
      <c r="AN250" s="2" t="s">
        <v>82</v>
      </c>
      <c r="AO250" s="2" t="s">
        <v>1312</v>
      </c>
      <c r="AP250" s="2">
        <v>11</v>
      </c>
      <c r="AQ250" s="2" t="s">
        <v>82</v>
      </c>
      <c r="AR250" s="2"/>
      <c r="AS250" s="2"/>
      <c r="AT250" s="2" t="s">
        <v>1313</v>
      </c>
      <c r="AU250" s="2"/>
      <c r="AV250" s="2"/>
      <c r="AW250" s="2"/>
      <c r="AX250" s="2"/>
      <c r="AY250" s="2">
        <v>41</v>
      </c>
      <c r="AZ250" s="2" t="s">
        <v>82</v>
      </c>
      <c r="BA250" s="2">
        <v>41</v>
      </c>
      <c r="BB250" s="2" t="s">
        <v>82</v>
      </c>
      <c r="BC250" s="2">
        <v>41</v>
      </c>
      <c r="BD250" s="2" t="s">
        <v>82</v>
      </c>
      <c r="BE250" s="2">
        <v>41</v>
      </c>
      <c r="BF250" s="2" t="s">
        <v>82</v>
      </c>
      <c r="BG250" s="2"/>
      <c r="BH250" s="2"/>
      <c r="BI250" s="2"/>
      <c r="BJ250" s="2">
        <v>241</v>
      </c>
      <c r="BK250" s="2" t="s">
        <v>82</v>
      </c>
      <c r="BL250" s="2"/>
      <c r="BM250" s="2">
        <v>241</v>
      </c>
      <c r="BN250" s="2" t="s">
        <v>82</v>
      </c>
      <c r="BO250" s="2"/>
      <c r="BP250" s="2">
        <v>241</v>
      </c>
      <c r="BQ250" s="2" t="s">
        <v>82</v>
      </c>
      <c r="BR250" s="2"/>
      <c r="BS250" s="3">
        <v>40200</v>
      </c>
      <c r="BT250" s="4">
        <v>0.76769675925925929</v>
      </c>
    </row>
    <row r="251" spans="1:72" x14ac:dyDescent="0.25">
      <c r="A251" s="2">
        <v>395</v>
      </c>
      <c r="B251" s="2">
        <v>2010</v>
      </c>
      <c r="C251" s="2" t="s">
        <v>171</v>
      </c>
      <c r="D251" s="2" t="s">
        <v>73</v>
      </c>
      <c r="E251" s="2"/>
      <c r="F251" s="2">
        <v>475</v>
      </c>
      <c r="G251" s="2" t="s">
        <v>1271</v>
      </c>
      <c r="H251" s="2">
        <v>44</v>
      </c>
      <c r="I251" s="2" t="s">
        <v>1272</v>
      </c>
      <c r="J251" s="2">
        <v>385</v>
      </c>
      <c r="K251" s="2" t="s">
        <v>1314</v>
      </c>
      <c r="L251" s="2" t="s">
        <v>1315</v>
      </c>
      <c r="M251" s="3">
        <v>40200</v>
      </c>
      <c r="N251" s="2" t="s">
        <v>1275</v>
      </c>
      <c r="O251" s="2" t="s">
        <v>1316</v>
      </c>
      <c r="P251" s="2" t="s">
        <v>107</v>
      </c>
      <c r="Q251" s="2" t="str">
        <f>"02/2010"</f>
        <v>02/2010</v>
      </c>
      <c r="R251" s="2" t="s">
        <v>107</v>
      </c>
      <c r="S251" s="2" t="s">
        <v>107</v>
      </c>
      <c r="T251" s="2">
        <v>1</v>
      </c>
      <c r="U251" s="2" t="s">
        <v>79</v>
      </c>
      <c r="V251" s="2">
        <v>1</v>
      </c>
      <c r="W251" s="2" t="s">
        <v>80</v>
      </c>
      <c r="X251" s="2">
        <v>5</v>
      </c>
      <c r="Y251" s="2" t="s">
        <v>82</v>
      </c>
      <c r="Z251" s="2">
        <v>10</v>
      </c>
      <c r="AA251" s="2" t="s">
        <v>236</v>
      </c>
      <c r="AB251" s="2">
        <v>1</v>
      </c>
      <c r="AC251" s="2" t="s">
        <v>178</v>
      </c>
      <c r="AD251" s="3">
        <v>40200</v>
      </c>
      <c r="AE251" s="4">
        <v>0.5</v>
      </c>
      <c r="AF251" s="3">
        <v>40200</v>
      </c>
      <c r="AG251" s="4">
        <v>0.5</v>
      </c>
      <c r="AH251" s="2">
        <v>5</v>
      </c>
      <c r="AI251" s="2" t="s">
        <v>274</v>
      </c>
      <c r="AJ251" s="2">
        <v>42</v>
      </c>
      <c r="AK251" s="2" t="s">
        <v>660</v>
      </c>
      <c r="AL251" s="2">
        <v>18</v>
      </c>
      <c r="AM251" s="2" t="s">
        <v>82</v>
      </c>
      <c r="AN251" s="2" t="s">
        <v>82</v>
      </c>
      <c r="AO251" s="2" t="s">
        <v>1317</v>
      </c>
      <c r="AP251" s="2">
        <v>5</v>
      </c>
      <c r="AQ251" s="2" t="s">
        <v>827</v>
      </c>
      <c r="AR251" s="2" t="s">
        <v>82</v>
      </c>
      <c r="AS251" s="2" t="s">
        <v>82</v>
      </c>
      <c r="AT251" s="2" t="s">
        <v>1318</v>
      </c>
      <c r="AU251" s="2"/>
      <c r="AV251" s="2"/>
      <c r="AW251" s="2"/>
      <c r="AX251" s="2"/>
      <c r="AY251" s="2">
        <v>41</v>
      </c>
      <c r="AZ251" s="2" t="s">
        <v>82</v>
      </c>
      <c r="BA251" s="2">
        <v>41</v>
      </c>
      <c r="BB251" s="2" t="s">
        <v>82</v>
      </c>
      <c r="BC251" s="2">
        <v>41</v>
      </c>
      <c r="BD251" s="2" t="s">
        <v>82</v>
      </c>
      <c r="BE251" s="2">
        <v>41</v>
      </c>
      <c r="BF251" s="2" t="s">
        <v>82</v>
      </c>
      <c r="BG251" s="2" t="s">
        <v>107</v>
      </c>
      <c r="BH251" s="2"/>
      <c r="BI251" s="2"/>
      <c r="BJ251" s="2">
        <v>241</v>
      </c>
      <c r="BK251" s="2" t="s">
        <v>82</v>
      </c>
      <c r="BL251" s="2" t="s">
        <v>82</v>
      </c>
      <c r="BM251" s="2">
        <v>241</v>
      </c>
      <c r="BN251" s="2" t="s">
        <v>82</v>
      </c>
      <c r="BO251" s="2" t="s">
        <v>82</v>
      </c>
      <c r="BP251" s="2">
        <v>241</v>
      </c>
      <c r="BQ251" s="2" t="s">
        <v>82</v>
      </c>
      <c r="BR251" s="2" t="s">
        <v>82</v>
      </c>
      <c r="BS251" s="3">
        <v>40200</v>
      </c>
      <c r="BT251" s="4">
        <v>0.78192129629629636</v>
      </c>
    </row>
    <row r="252" spans="1:72" x14ac:dyDescent="0.25">
      <c r="A252" s="2">
        <v>396</v>
      </c>
      <c r="B252" s="2">
        <v>2010</v>
      </c>
      <c r="C252" s="2" t="s">
        <v>906</v>
      </c>
      <c r="D252" s="2" t="s">
        <v>122</v>
      </c>
      <c r="E252" s="2"/>
      <c r="F252" s="2">
        <v>1</v>
      </c>
      <c r="G252" s="2" t="s">
        <v>82</v>
      </c>
      <c r="H252" s="2">
        <v>1</v>
      </c>
      <c r="I252" s="2" t="s">
        <v>82</v>
      </c>
      <c r="J252" s="2">
        <v>1</v>
      </c>
      <c r="K252" s="2" t="s">
        <v>107</v>
      </c>
      <c r="L252" s="2" t="s">
        <v>107</v>
      </c>
      <c r="M252" s="3">
        <v>40200</v>
      </c>
      <c r="N252" s="2"/>
      <c r="O252" s="2" t="s">
        <v>107</v>
      </c>
      <c r="P252" s="2"/>
      <c r="Q252" s="2" t="str">
        <f>"S/D"</f>
        <v>S/D</v>
      </c>
      <c r="R252" s="2" t="s">
        <v>107</v>
      </c>
      <c r="S252" s="2" t="s">
        <v>107</v>
      </c>
      <c r="T252" s="2">
        <v>1</v>
      </c>
      <c r="U252" s="2" t="s">
        <v>79</v>
      </c>
      <c r="V252" s="2">
        <v>1</v>
      </c>
      <c r="W252" s="2" t="s">
        <v>80</v>
      </c>
      <c r="X252" s="2">
        <v>5</v>
      </c>
      <c r="Y252" s="2" t="s">
        <v>82</v>
      </c>
      <c r="Z252" s="2">
        <v>1</v>
      </c>
      <c r="AA252" s="2" t="s">
        <v>82</v>
      </c>
      <c r="AB252" s="2">
        <v>9</v>
      </c>
      <c r="AC252" s="2" t="s">
        <v>124</v>
      </c>
      <c r="AD252" s="3">
        <v>40200</v>
      </c>
      <c r="AE252" s="4">
        <v>0.54513888888888895</v>
      </c>
      <c r="AF252" s="2"/>
      <c r="AG252" s="2"/>
      <c r="AH252" s="2">
        <v>6</v>
      </c>
      <c r="AI252" s="2" t="s">
        <v>197</v>
      </c>
      <c r="AJ252" s="2">
        <v>54</v>
      </c>
      <c r="AK252" s="2" t="s">
        <v>348</v>
      </c>
      <c r="AL252" s="2">
        <v>18</v>
      </c>
      <c r="AM252" s="2" t="s">
        <v>82</v>
      </c>
      <c r="AN252" s="2" t="s">
        <v>1319</v>
      </c>
      <c r="AO252" s="2" t="s">
        <v>1320</v>
      </c>
      <c r="AP252" s="2">
        <v>11</v>
      </c>
      <c r="AQ252" s="2" t="s">
        <v>82</v>
      </c>
      <c r="AR252" s="2" t="s">
        <v>107</v>
      </c>
      <c r="AS252" s="2" t="s">
        <v>107</v>
      </c>
      <c r="AT252" s="2" t="s">
        <v>1321</v>
      </c>
      <c r="AU252" s="2"/>
      <c r="AV252" s="2"/>
      <c r="AW252" s="2"/>
      <c r="AX252" s="2"/>
      <c r="AY252" s="2">
        <v>1</v>
      </c>
      <c r="AZ252" s="2" t="s">
        <v>107</v>
      </c>
      <c r="BA252" s="2">
        <v>1</v>
      </c>
      <c r="BB252" s="2" t="s">
        <v>107</v>
      </c>
      <c r="BC252" s="2">
        <v>1</v>
      </c>
      <c r="BD252" s="2" t="s">
        <v>107</v>
      </c>
      <c r="BE252" s="2">
        <v>1</v>
      </c>
      <c r="BF252" s="2" t="s">
        <v>107</v>
      </c>
      <c r="BG252" s="2"/>
      <c r="BH252" s="2"/>
      <c r="BI252" s="2"/>
      <c r="BJ252" s="2">
        <v>242</v>
      </c>
      <c r="BK252" s="2" t="s">
        <v>107</v>
      </c>
      <c r="BL252" s="2"/>
      <c r="BM252" s="2">
        <v>242</v>
      </c>
      <c r="BN252" s="2" t="s">
        <v>107</v>
      </c>
      <c r="BO252" s="2"/>
      <c r="BP252" s="2">
        <v>242</v>
      </c>
      <c r="BQ252" s="2" t="s">
        <v>107</v>
      </c>
      <c r="BR252" s="2"/>
      <c r="BS252" s="3">
        <v>40200</v>
      </c>
      <c r="BT252" s="4">
        <v>0.80303240740740733</v>
      </c>
    </row>
    <row r="253" spans="1:72" x14ac:dyDescent="0.25">
      <c r="A253" s="2">
        <v>398</v>
      </c>
      <c r="B253" s="2">
        <v>2010</v>
      </c>
      <c r="C253" s="2" t="s">
        <v>72</v>
      </c>
      <c r="D253" s="2" t="s">
        <v>73</v>
      </c>
      <c r="E253" s="2"/>
      <c r="F253" s="2">
        <v>3</v>
      </c>
      <c r="G253" s="2" t="s">
        <v>1041</v>
      </c>
      <c r="H253" s="2">
        <v>1</v>
      </c>
      <c r="I253" s="2" t="s">
        <v>82</v>
      </c>
      <c r="J253" s="2">
        <v>368</v>
      </c>
      <c r="K253" s="2" t="s">
        <v>1042</v>
      </c>
      <c r="L253" s="2" t="s">
        <v>1043</v>
      </c>
      <c r="M253" s="3">
        <v>40200</v>
      </c>
      <c r="N253" s="2"/>
      <c r="O253" s="2"/>
      <c r="P253" s="2"/>
      <c r="Q253" s="2" t="str">
        <f>"044-E/10"</f>
        <v>044-E/10</v>
      </c>
      <c r="R253" s="2"/>
      <c r="S253" s="2" t="s">
        <v>116</v>
      </c>
      <c r="T253" s="2">
        <v>1</v>
      </c>
      <c r="U253" s="2" t="s">
        <v>79</v>
      </c>
      <c r="V253" s="2">
        <v>1</v>
      </c>
      <c r="W253" s="2" t="s">
        <v>80</v>
      </c>
      <c r="X253" s="2">
        <v>5</v>
      </c>
      <c r="Y253" s="2" t="s">
        <v>82</v>
      </c>
      <c r="Z253" s="2">
        <v>1</v>
      </c>
      <c r="AA253" s="2" t="s">
        <v>82</v>
      </c>
      <c r="AB253" s="2">
        <v>6</v>
      </c>
      <c r="AC253" s="2" t="s">
        <v>83</v>
      </c>
      <c r="AD253" s="3">
        <v>40200</v>
      </c>
      <c r="AE253" s="4">
        <v>0.60416666666666663</v>
      </c>
      <c r="AF253" s="3">
        <v>40200</v>
      </c>
      <c r="AG253" s="4">
        <v>0.66666666666666663</v>
      </c>
      <c r="AH253" s="2">
        <v>2</v>
      </c>
      <c r="AI253" s="2" t="s">
        <v>84</v>
      </c>
      <c r="AJ253" s="2">
        <v>9</v>
      </c>
      <c r="AK253" s="2" t="s">
        <v>103</v>
      </c>
      <c r="AL253" s="2">
        <v>18</v>
      </c>
      <c r="AM253" s="2" t="s">
        <v>82</v>
      </c>
      <c r="AN253" s="2" t="s">
        <v>1322</v>
      </c>
      <c r="AO253" s="2" t="s">
        <v>628</v>
      </c>
      <c r="AP253" s="2">
        <v>11</v>
      </c>
      <c r="AQ253" s="2" t="s">
        <v>82</v>
      </c>
      <c r="AR253" s="2" t="s">
        <v>82</v>
      </c>
      <c r="AS253" s="2" t="s">
        <v>82</v>
      </c>
      <c r="AT253" s="2" t="s">
        <v>1323</v>
      </c>
      <c r="AU253" s="2"/>
      <c r="AV253" s="2"/>
      <c r="AW253" s="2"/>
      <c r="AX253" s="2"/>
      <c r="AY253" s="2">
        <v>41</v>
      </c>
      <c r="AZ253" s="2" t="s">
        <v>82</v>
      </c>
      <c r="BA253" s="2">
        <v>41</v>
      </c>
      <c r="BB253" s="2" t="s">
        <v>82</v>
      </c>
      <c r="BC253" s="2">
        <v>41</v>
      </c>
      <c r="BD253" s="2" t="s">
        <v>82</v>
      </c>
      <c r="BE253" s="2">
        <v>25</v>
      </c>
      <c r="BF253" s="2" t="s">
        <v>358</v>
      </c>
      <c r="BG253" s="2">
        <v>7653</v>
      </c>
      <c r="BH253" s="2"/>
      <c r="BI253" s="4">
        <v>0.75</v>
      </c>
      <c r="BJ253" s="2">
        <v>13</v>
      </c>
      <c r="BK253" s="2" t="s">
        <v>91</v>
      </c>
      <c r="BL253" s="2" t="s">
        <v>486</v>
      </c>
      <c r="BM253" s="2">
        <v>241</v>
      </c>
      <c r="BN253" s="2" t="s">
        <v>82</v>
      </c>
      <c r="BO253" s="2" t="s">
        <v>107</v>
      </c>
      <c r="BP253" s="2">
        <v>33</v>
      </c>
      <c r="BQ253" s="2" t="s">
        <v>361</v>
      </c>
      <c r="BR253" s="2" t="s">
        <v>107</v>
      </c>
      <c r="BS253" s="3">
        <v>40200</v>
      </c>
      <c r="BT253" s="4">
        <v>0.84978009259259257</v>
      </c>
    </row>
    <row r="254" spans="1:72" x14ac:dyDescent="0.25">
      <c r="A254" s="2">
        <v>399</v>
      </c>
      <c r="B254" s="2">
        <v>2010</v>
      </c>
      <c r="C254" s="2" t="s">
        <v>385</v>
      </c>
      <c r="D254" s="2" t="s">
        <v>122</v>
      </c>
      <c r="E254" s="2"/>
      <c r="F254" s="2">
        <v>326</v>
      </c>
      <c r="G254" s="2" t="s">
        <v>1324</v>
      </c>
      <c r="H254" s="2">
        <v>10</v>
      </c>
      <c r="I254" s="2" t="s">
        <v>1031</v>
      </c>
      <c r="J254" s="2">
        <v>167</v>
      </c>
      <c r="K254" s="2" t="s">
        <v>1032</v>
      </c>
      <c r="L254" s="2" t="s">
        <v>1033</v>
      </c>
      <c r="M254" s="3">
        <v>40200</v>
      </c>
      <c r="N254" s="2" t="s">
        <v>1325</v>
      </c>
      <c r="O254" s="2" t="s">
        <v>1326</v>
      </c>
      <c r="P254" s="2" t="s">
        <v>1327</v>
      </c>
      <c r="Q254" s="2" t="str">
        <f>""</f>
        <v/>
      </c>
      <c r="R254" s="2"/>
      <c r="S254" s="2"/>
      <c r="T254" s="2">
        <v>1</v>
      </c>
      <c r="U254" s="2" t="s">
        <v>79</v>
      </c>
      <c r="V254" s="2">
        <v>1</v>
      </c>
      <c r="W254" s="2" t="s">
        <v>80</v>
      </c>
      <c r="X254" s="2">
        <v>4</v>
      </c>
      <c r="Y254" s="2" t="s">
        <v>463</v>
      </c>
      <c r="Z254" s="2">
        <v>1</v>
      </c>
      <c r="AA254" s="2" t="s">
        <v>82</v>
      </c>
      <c r="AB254" s="2">
        <v>9</v>
      </c>
      <c r="AC254" s="2" t="s">
        <v>124</v>
      </c>
      <c r="AD254" s="2"/>
      <c r="AE254" s="2"/>
      <c r="AF254" s="2"/>
      <c r="AG254" s="2"/>
      <c r="AH254" s="2">
        <v>3</v>
      </c>
      <c r="AI254" s="2" t="s">
        <v>214</v>
      </c>
      <c r="AJ254" s="2">
        <v>17</v>
      </c>
      <c r="AK254" s="2" t="s">
        <v>309</v>
      </c>
      <c r="AL254" s="2">
        <v>10</v>
      </c>
      <c r="AM254" s="2" t="s">
        <v>200</v>
      </c>
      <c r="AN254" s="2" t="s">
        <v>923</v>
      </c>
      <c r="AO254" s="2" t="s">
        <v>1328</v>
      </c>
      <c r="AP254" s="2">
        <v>11</v>
      </c>
      <c r="AQ254" s="2" t="s">
        <v>82</v>
      </c>
      <c r="AR254" s="2"/>
      <c r="AS254" s="2"/>
      <c r="AT254" s="2" t="s">
        <v>1329</v>
      </c>
      <c r="AU254" s="2"/>
      <c r="AV254" s="2">
        <v>1</v>
      </c>
      <c r="AW254" s="2"/>
      <c r="AX254" s="2"/>
      <c r="AY254" s="2">
        <v>41</v>
      </c>
      <c r="AZ254" s="2" t="s">
        <v>82</v>
      </c>
      <c r="BA254" s="2">
        <v>41</v>
      </c>
      <c r="BB254" s="2" t="s">
        <v>82</v>
      </c>
      <c r="BC254" s="2">
        <v>41</v>
      </c>
      <c r="BD254" s="2" t="s">
        <v>82</v>
      </c>
      <c r="BE254" s="2">
        <v>13</v>
      </c>
      <c r="BF254" s="2" t="s">
        <v>108</v>
      </c>
      <c r="BG254" s="2" t="s">
        <v>1330</v>
      </c>
      <c r="BH254" s="4">
        <v>0.8125</v>
      </c>
      <c r="BI254" s="4">
        <v>0.74305555555555547</v>
      </c>
      <c r="BJ254" s="2">
        <v>13</v>
      </c>
      <c r="BK254" s="2" t="s">
        <v>91</v>
      </c>
      <c r="BL254" s="2" t="s">
        <v>170</v>
      </c>
      <c r="BM254" s="2">
        <v>241</v>
      </c>
      <c r="BN254" s="2" t="s">
        <v>82</v>
      </c>
      <c r="BO254" s="2"/>
      <c r="BP254" s="2">
        <v>13</v>
      </c>
      <c r="BQ254" s="2" t="s">
        <v>91</v>
      </c>
      <c r="BR254" s="2" t="s">
        <v>445</v>
      </c>
      <c r="BS254" s="3">
        <v>40200</v>
      </c>
      <c r="BT254" s="4">
        <v>0.85333333333333339</v>
      </c>
    </row>
    <row r="255" spans="1:72" x14ac:dyDescent="0.25">
      <c r="A255" s="2">
        <v>400</v>
      </c>
      <c r="B255" s="2">
        <v>2010</v>
      </c>
      <c r="C255" s="2" t="s">
        <v>128</v>
      </c>
      <c r="D255" s="2" t="s">
        <v>122</v>
      </c>
      <c r="E255" s="2" t="s">
        <v>1331</v>
      </c>
      <c r="F255" s="2">
        <v>155</v>
      </c>
      <c r="G255" s="2" t="s">
        <v>1030</v>
      </c>
      <c r="H255" s="2">
        <v>10</v>
      </c>
      <c r="I255" s="2" t="s">
        <v>1031</v>
      </c>
      <c r="J255" s="2">
        <v>167</v>
      </c>
      <c r="K255" s="2" t="s">
        <v>1032</v>
      </c>
      <c r="L255" s="2" t="s">
        <v>1033</v>
      </c>
      <c r="M255" s="3">
        <v>40200</v>
      </c>
      <c r="N255" s="2" t="s">
        <v>1288</v>
      </c>
      <c r="O255" s="2" t="s">
        <v>480</v>
      </c>
      <c r="P255" s="2" t="s">
        <v>107</v>
      </c>
      <c r="Q255" s="2" t="str">
        <f>"025A/10"</f>
        <v>025A/10</v>
      </c>
      <c r="R255" s="2" t="s">
        <v>480</v>
      </c>
      <c r="S255" s="2" t="s">
        <v>480</v>
      </c>
      <c r="T255" s="2">
        <v>1</v>
      </c>
      <c r="U255" s="2" t="s">
        <v>79</v>
      </c>
      <c r="V255" s="2">
        <v>1</v>
      </c>
      <c r="W255" s="2" t="s">
        <v>80</v>
      </c>
      <c r="X255" s="2">
        <v>1</v>
      </c>
      <c r="Y255" s="2" t="s">
        <v>81</v>
      </c>
      <c r="Z255" s="2">
        <v>10</v>
      </c>
      <c r="AA255" s="2" t="s">
        <v>236</v>
      </c>
      <c r="AB255" s="2">
        <v>9</v>
      </c>
      <c r="AC255" s="2" t="s">
        <v>124</v>
      </c>
      <c r="AD255" s="3">
        <v>40199</v>
      </c>
      <c r="AE255" s="4">
        <v>0.91666666666666663</v>
      </c>
      <c r="AF255" s="2"/>
      <c r="AG255" s="2"/>
      <c r="AH255" s="2">
        <v>2</v>
      </c>
      <c r="AI255" s="2" t="s">
        <v>84</v>
      </c>
      <c r="AJ255" s="2">
        <v>12</v>
      </c>
      <c r="AK255" s="2" t="s">
        <v>85</v>
      </c>
      <c r="AL255" s="2">
        <v>9</v>
      </c>
      <c r="AM255" s="2" t="s">
        <v>259</v>
      </c>
      <c r="AN255" s="2" t="s">
        <v>1283</v>
      </c>
      <c r="AO255" s="2" t="s">
        <v>1289</v>
      </c>
      <c r="AP255" s="2">
        <v>11</v>
      </c>
      <c r="AQ255" s="2" t="s">
        <v>82</v>
      </c>
      <c r="AR255" s="2"/>
      <c r="AS255" s="2"/>
      <c r="AT255" s="2" t="s">
        <v>1332</v>
      </c>
      <c r="AU255" s="2">
        <v>2</v>
      </c>
      <c r="AV255" s="2"/>
      <c r="AW255" s="2"/>
      <c r="AX255" s="2"/>
      <c r="AY255" s="2">
        <v>42</v>
      </c>
      <c r="AZ255" s="2" t="s">
        <v>182</v>
      </c>
      <c r="BA255" s="2">
        <v>70</v>
      </c>
      <c r="BB255" s="2" t="s">
        <v>236</v>
      </c>
      <c r="BC255" s="2">
        <v>41</v>
      </c>
      <c r="BD255" s="2" t="s">
        <v>82</v>
      </c>
      <c r="BE255" s="2">
        <v>41</v>
      </c>
      <c r="BF255" s="2" t="s">
        <v>82</v>
      </c>
      <c r="BG255" s="2"/>
      <c r="BH255" s="2"/>
      <c r="BI255" s="2"/>
      <c r="BJ255" s="2">
        <v>241</v>
      </c>
      <c r="BK255" s="2" t="s">
        <v>82</v>
      </c>
      <c r="BL255" s="2"/>
      <c r="BM255" s="2">
        <v>241</v>
      </c>
      <c r="BN255" s="2" t="s">
        <v>82</v>
      </c>
      <c r="BO255" s="2"/>
      <c r="BP255" s="2">
        <v>241</v>
      </c>
      <c r="BQ255" s="2" t="s">
        <v>82</v>
      </c>
      <c r="BR255" s="2"/>
      <c r="BS255" s="3">
        <v>40200</v>
      </c>
      <c r="BT255" s="4">
        <v>0.86302083333333324</v>
      </c>
    </row>
    <row r="256" spans="1:72" x14ac:dyDescent="0.25">
      <c r="A256" s="2">
        <v>402</v>
      </c>
      <c r="B256" s="2">
        <v>2010</v>
      </c>
      <c r="C256" s="2" t="s">
        <v>72</v>
      </c>
      <c r="D256" s="2" t="s">
        <v>73</v>
      </c>
      <c r="E256" s="2"/>
      <c r="F256" s="2">
        <v>9</v>
      </c>
      <c r="G256" s="2" t="s">
        <v>364</v>
      </c>
      <c r="H256" s="2">
        <v>44</v>
      </c>
      <c r="I256" s="2" t="s">
        <v>1272</v>
      </c>
      <c r="J256" s="2">
        <v>18</v>
      </c>
      <c r="K256" s="2" t="s">
        <v>365</v>
      </c>
      <c r="L256" s="2" t="s">
        <v>115</v>
      </c>
      <c r="M256" s="3">
        <v>40200</v>
      </c>
      <c r="N256" s="2" t="s">
        <v>423</v>
      </c>
      <c r="O256" s="2"/>
      <c r="P256" s="2" t="s">
        <v>107</v>
      </c>
      <c r="Q256" s="2" t="str">
        <f>"04/10"</f>
        <v>04/10</v>
      </c>
      <c r="R256" s="2"/>
      <c r="S256" s="2" t="s">
        <v>601</v>
      </c>
      <c r="T256" s="2">
        <v>1</v>
      </c>
      <c r="U256" s="2" t="s">
        <v>79</v>
      </c>
      <c r="V256" s="2">
        <v>1</v>
      </c>
      <c r="W256" s="2" t="s">
        <v>80</v>
      </c>
      <c r="X256" s="2">
        <v>5</v>
      </c>
      <c r="Y256" s="2" t="s">
        <v>82</v>
      </c>
      <c r="Z256" s="2">
        <v>1</v>
      </c>
      <c r="AA256" s="2" t="s">
        <v>82</v>
      </c>
      <c r="AB256" s="2">
        <v>6</v>
      </c>
      <c r="AC256" s="2" t="s">
        <v>83</v>
      </c>
      <c r="AD256" s="2"/>
      <c r="AE256" s="2"/>
      <c r="AF256" s="3">
        <v>40200</v>
      </c>
      <c r="AG256" s="4">
        <v>0.9375</v>
      </c>
      <c r="AH256" s="2">
        <v>3</v>
      </c>
      <c r="AI256" s="2" t="s">
        <v>214</v>
      </c>
      <c r="AJ256" s="2">
        <v>24</v>
      </c>
      <c r="AK256" s="2" t="s">
        <v>215</v>
      </c>
      <c r="AL256" s="2">
        <v>18</v>
      </c>
      <c r="AM256" s="2" t="s">
        <v>82</v>
      </c>
      <c r="AN256" s="2" t="s">
        <v>82</v>
      </c>
      <c r="AO256" s="2" t="s">
        <v>82</v>
      </c>
      <c r="AP256" s="2">
        <v>11</v>
      </c>
      <c r="AQ256" s="2" t="s">
        <v>82</v>
      </c>
      <c r="AR256" s="2"/>
      <c r="AS256" s="2"/>
      <c r="AT256" s="2" t="s">
        <v>1333</v>
      </c>
      <c r="AU256" s="2"/>
      <c r="AV256" s="2"/>
      <c r="AW256" s="2"/>
      <c r="AX256" s="2"/>
      <c r="AY256" s="2">
        <v>41</v>
      </c>
      <c r="AZ256" s="2" t="s">
        <v>82</v>
      </c>
      <c r="BA256" s="2">
        <v>41</v>
      </c>
      <c r="BB256" s="2" t="s">
        <v>82</v>
      </c>
      <c r="BC256" s="2">
        <v>41</v>
      </c>
      <c r="BD256" s="2" t="s">
        <v>82</v>
      </c>
      <c r="BE256" s="2">
        <v>31</v>
      </c>
      <c r="BF256" s="2" t="s">
        <v>398</v>
      </c>
      <c r="BG256" s="2">
        <v>6845</v>
      </c>
      <c r="BH256" s="2"/>
      <c r="BI256" s="2"/>
      <c r="BJ256" s="2">
        <v>73</v>
      </c>
      <c r="BK256" s="2" t="s">
        <v>186</v>
      </c>
      <c r="BL256" s="2" t="s">
        <v>187</v>
      </c>
      <c r="BM256" s="2">
        <v>241</v>
      </c>
      <c r="BN256" s="2" t="s">
        <v>82</v>
      </c>
      <c r="BO256" s="2"/>
      <c r="BP256" s="2">
        <v>13</v>
      </c>
      <c r="BQ256" s="2" t="s">
        <v>91</v>
      </c>
      <c r="BR256" s="2" t="s">
        <v>360</v>
      </c>
      <c r="BS256" s="3">
        <v>40200</v>
      </c>
      <c r="BT256" s="4">
        <v>0.99995370370370373</v>
      </c>
    </row>
    <row r="257" spans="1:72" x14ac:dyDescent="0.25">
      <c r="A257" s="2">
        <v>404</v>
      </c>
      <c r="B257" s="2">
        <v>2010</v>
      </c>
      <c r="C257" s="2" t="s">
        <v>72</v>
      </c>
      <c r="D257" s="2" t="s">
        <v>73</v>
      </c>
      <c r="E257" s="2"/>
      <c r="F257" s="2">
        <v>168</v>
      </c>
      <c r="G257" s="2" t="s">
        <v>703</v>
      </c>
      <c r="H257" s="2">
        <v>43</v>
      </c>
      <c r="I257" s="2" t="s">
        <v>1166</v>
      </c>
      <c r="J257" s="2">
        <v>305</v>
      </c>
      <c r="K257" s="2" t="s">
        <v>160</v>
      </c>
      <c r="L257" s="2" t="s">
        <v>161</v>
      </c>
      <c r="M257" s="3">
        <v>40201</v>
      </c>
      <c r="N257" s="2" t="s">
        <v>1334</v>
      </c>
      <c r="O257" s="2" t="s">
        <v>671</v>
      </c>
      <c r="P257" s="2"/>
      <c r="Q257" s="2" t="str">
        <f>"027-A/10"</f>
        <v>027-A/10</v>
      </c>
      <c r="R257" s="2"/>
      <c r="S257" s="2"/>
      <c r="T257" s="2">
        <v>1</v>
      </c>
      <c r="U257" s="2" t="s">
        <v>79</v>
      </c>
      <c r="V257" s="2">
        <v>1</v>
      </c>
      <c r="W257" s="2" t="s">
        <v>80</v>
      </c>
      <c r="X257" s="2">
        <v>1</v>
      </c>
      <c r="Y257" s="2" t="s">
        <v>81</v>
      </c>
      <c r="Z257" s="2">
        <v>1</v>
      </c>
      <c r="AA257" s="2" t="s">
        <v>82</v>
      </c>
      <c r="AB257" s="2">
        <v>6</v>
      </c>
      <c r="AC257" s="2" t="s">
        <v>83</v>
      </c>
      <c r="AD257" s="3">
        <v>40200</v>
      </c>
      <c r="AE257" s="4">
        <v>0.92361111111111116</v>
      </c>
      <c r="AF257" s="3">
        <v>40200</v>
      </c>
      <c r="AG257" s="4">
        <v>0.95833333333333337</v>
      </c>
      <c r="AH257" s="2">
        <v>2</v>
      </c>
      <c r="AI257" s="2" t="s">
        <v>84</v>
      </c>
      <c r="AJ257" s="2">
        <v>12</v>
      </c>
      <c r="AK257" s="2" t="s">
        <v>85</v>
      </c>
      <c r="AL257" s="2">
        <v>17</v>
      </c>
      <c r="AM257" s="2" t="s">
        <v>232</v>
      </c>
      <c r="AN257" s="2" t="s">
        <v>1335</v>
      </c>
      <c r="AO257" s="2" t="s">
        <v>1336</v>
      </c>
      <c r="AP257" s="2">
        <v>11</v>
      </c>
      <c r="AQ257" s="2" t="s">
        <v>82</v>
      </c>
      <c r="AR257" s="2"/>
      <c r="AS257" s="2"/>
      <c r="AT257" s="2" t="s">
        <v>1337</v>
      </c>
      <c r="AU257" s="2"/>
      <c r="AV257" s="2"/>
      <c r="AW257" s="2"/>
      <c r="AX257" s="2"/>
      <c r="AY257" s="2">
        <v>41</v>
      </c>
      <c r="AZ257" s="2" t="s">
        <v>82</v>
      </c>
      <c r="BA257" s="2">
        <v>41</v>
      </c>
      <c r="BB257" s="2" t="s">
        <v>82</v>
      </c>
      <c r="BC257" s="2">
        <v>41</v>
      </c>
      <c r="BD257" s="2" t="s">
        <v>82</v>
      </c>
      <c r="BE257" s="2">
        <v>4</v>
      </c>
      <c r="BF257" s="2" t="s">
        <v>90</v>
      </c>
      <c r="BG257" s="2" t="s">
        <v>1338</v>
      </c>
      <c r="BH257" s="4">
        <v>0.89583333333333337</v>
      </c>
      <c r="BI257" s="4">
        <v>0.79166666666666663</v>
      </c>
      <c r="BJ257" s="2">
        <v>13</v>
      </c>
      <c r="BK257" s="2" t="s">
        <v>91</v>
      </c>
      <c r="BL257" s="2" t="s">
        <v>332</v>
      </c>
      <c r="BM257" s="2">
        <v>241</v>
      </c>
      <c r="BN257" s="2" t="s">
        <v>82</v>
      </c>
      <c r="BO257" s="2" t="s">
        <v>82</v>
      </c>
      <c r="BP257" s="2">
        <v>13</v>
      </c>
      <c r="BQ257" s="2" t="s">
        <v>91</v>
      </c>
      <c r="BR257" s="2" t="s">
        <v>1040</v>
      </c>
      <c r="BS257" s="3">
        <v>40201</v>
      </c>
      <c r="BT257" s="4">
        <v>4.1608796296296297E-2</v>
      </c>
    </row>
    <row r="258" spans="1:72" x14ac:dyDescent="0.25">
      <c r="A258" s="2">
        <v>405</v>
      </c>
      <c r="B258" s="2">
        <v>2010</v>
      </c>
      <c r="C258" s="2" t="s">
        <v>171</v>
      </c>
      <c r="D258" s="2" t="s">
        <v>73</v>
      </c>
      <c r="E258" s="2"/>
      <c r="F258" s="2">
        <v>395</v>
      </c>
      <c r="G258" s="2" t="s">
        <v>1076</v>
      </c>
      <c r="H258" s="2">
        <v>7</v>
      </c>
      <c r="I258" s="2" t="s">
        <v>476</v>
      </c>
      <c r="J258" s="2">
        <v>242</v>
      </c>
      <c r="K258" s="2" t="s">
        <v>1077</v>
      </c>
      <c r="L258" s="2" t="s">
        <v>1078</v>
      </c>
      <c r="M258" s="3">
        <v>40201</v>
      </c>
      <c r="N258" s="2" t="s">
        <v>1339</v>
      </c>
      <c r="O258" s="2"/>
      <c r="P258" s="2">
        <v>9682</v>
      </c>
      <c r="Q258" s="2" t="str">
        <f>"045-E/10"</f>
        <v>045-E/10</v>
      </c>
      <c r="R258" s="2"/>
      <c r="S258" s="2" t="s">
        <v>391</v>
      </c>
      <c r="T258" s="2">
        <v>1</v>
      </c>
      <c r="U258" s="2" t="s">
        <v>79</v>
      </c>
      <c r="V258" s="2">
        <v>1</v>
      </c>
      <c r="W258" s="2" t="s">
        <v>80</v>
      </c>
      <c r="X258" s="2">
        <v>1</v>
      </c>
      <c r="Y258" s="2" t="s">
        <v>81</v>
      </c>
      <c r="Z258" s="2">
        <v>10</v>
      </c>
      <c r="AA258" s="2" t="s">
        <v>236</v>
      </c>
      <c r="AB258" s="2">
        <v>1</v>
      </c>
      <c r="AC258" s="2" t="s">
        <v>178</v>
      </c>
      <c r="AD258" s="3">
        <v>40200</v>
      </c>
      <c r="AE258" s="4">
        <v>0.71875</v>
      </c>
      <c r="AF258" s="3">
        <v>40200</v>
      </c>
      <c r="AG258" s="4">
        <v>0.71875</v>
      </c>
      <c r="AH258" s="2">
        <v>2</v>
      </c>
      <c r="AI258" s="2" t="s">
        <v>84</v>
      </c>
      <c r="AJ258" s="2">
        <v>9</v>
      </c>
      <c r="AK258" s="2" t="s">
        <v>103</v>
      </c>
      <c r="AL258" s="2">
        <v>11</v>
      </c>
      <c r="AM258" s="2" t="s">
        <v>137</v>
      </c>
      <c r="AN258" s="2" t="s">
        <v>1340</v>
      </c>
      <c r="AO258" s="2" t="s">
        <v>1341</v>
      </c>
      <c r="AP258" s="2">
        <v>11</v>
      </c>
      <c r="AQ258" s="2" t="s">
        <v>82</v>
      </c>
      <c r="AR258" s="2"/>
      <c r="AS258" s="2"/>
      <c r="AT258" s="2" t="s">
        <v>1342</v>
      </c>
      <c r="AU258" s="2"/>
      <c r="AV258" s="2">
        <v>1</v>
      </c>
      <c r="AW258" s="2"/>
      <c r="AX258" s="2"/>
      <c r="AY258" s="2">
        <v>42</v>
      </c>
      <c r="AZ258" s="2" t="s">
        <v>182</v>
      </c>
      <c r="BA258" s="2">
        <v>41</v>
      </c>
      <c r="BB258" s="2" t="s">
        <v>82</v>
      </c>
      <c r="BC258" s="2">
        <v>41</v>
      </c>
      <c r="BD258" s="2" t="s">
        <v>82</v>
      </c>
      <c r="BE258" s="2">
        <v>14</v>
      </c>
      <c r="BF258" s="2" t="s">
        <v>484</v>
      </c>
      <c r="BG258" s="2">
        <v>417</v>
      </c>
      <c r="BH258" s="2"/>
      <c r="BI258" s="4">
        <v>0.75</v>
      </c>
      <c r="BJ258" s="2">
        <v>13</v>
      </c>
      <c r="BK258" s="2" t="s">
        <v>91</v>
      </c>
      <c r="BL258" s="2" t="s">
        <v>360</v>
      </c>
      <c r="BM258" s="2">
        <v>82</v>
      </c>
      <c r="BN258" s="2" t="s">
        <v>487</v>
      </c>
      <c r="BO258" s="2" t="s">
        <v>488</v>
      </c>
      <c r="BP258" s="2">
        <v>73</v>
      </c>
      <c r="BQ258" s="2" t="s">
        <v>186</v>
      </c>
      <c r="BR258" s="2" t="s">
        <v>1343</v>
      </c>
      <c r="BS258" s="3">
        <v>40201</v>
      </c>
      <c r="BT258" s="4">
        <v>7.2187500000000002E-2</v>
      </c>
    </row>
    <row r="259" spans="1:72" x14ac:dyDescent="0.25">
      <c r="A259" s="2">
        <v>406</v>
      </c>
      <c r="B259" s="2">
        <v>2010</v>
      </c>
      <c r="C259" s="2" t="s">
        <v>377</v>
      </c>
      <c r="D259" s="2" t="s">
        <v>73</v>
      </c>
      <c r="E259" s="2"/>
      <c r="F259" s="2">
        <v>426</v>
      </c>
      <c r="G259" s="2" t="s">
        <v>378</v>
      </c>
      <c r="H259" s="2">
        <v>1</v>
      </c>
      <c r="I259" s="2" t="s">
        <v>82</v>
      </c>
      <c r="J259" s="2">
        <v>311</v>
      </c>
      <c r="K259" s="2" t="s">
        <v>379</v>
      </c>
      <c r="L259" s="2" t="s">
        <v>380</v>
      </c>
      <c r="M259" s="3">
        <v>40201</v>
      </c>
      <c r="N259" s="2"/>
      <c r="O259" s="2"/>
      <c r="P259" s="2"/>
      <c r="Q259" s="2" t="str">
        <f>"003-E/10"</f>
        <v>003-E/10</v>
      </c>
      <c r="R259" s="2"/>
      <c r="S259" s="2" t="s">
        <v>1344</v>
      </c>
      <c r="T259" s="2">
        <v>1</v>
      </c>
      <c r="U259" s="2" t="s">
        <v>79</v>
      </c>
      <c r="V259" s="2">
        <v>1</v>
      </c>
      <c r="W259" s="2" t="s">
        <v>80</v>
      </c>
      <c r="X259" s="2">
        <v>1</v>
      </c>
      <c r="Y259" s="2" t="s">
        <v>81</v>
      </c>
      <c r="Z259" s="2">
        <v>1</v>
      </c>
      <c r="AA259" s="2" t="s">
        <v>82</v>
      </c>
      <c r="AB259" s="2">
        <v>9</v>
      </c>
      <c r="AC259" s="2" t="s">
        <v>124</v>
      </c>
      <c r="AD259" s="3">
        <v>40200</v>
      </c>
      <c r="AE259" s="4">
        <v>0.74305555555555547</v>
      </c>
      <c r="AF259" s="3">
        <v>40200</v>
      </c>
      <c r="AG259" s="4">
        <v>0.77083333333333337</v>
      </c>
      <c r="AH259" s="2">
        <v>2</v>
      </c>
      <c r="AI259" s="2" t="s">
        <v>84</v>
      </c>
      <c r="AJ259" s="2">
        <v>9</v>
      </c>
      <c r="AK259" s="2" t="s">
        <v>103</v>
      </c>
      <c r="AL259" s="2">
        <v>12</v>
      </c>
      <c r="AM259" s="2" t="s">
        <v>86</v>
      </c>
      <c r="AN259" s="2" t="s">
        <v>1345</v>
      </c>
      <c r="AO259" s="2" t="s">
        <v>1346</v>
      </c>
      <c r="AP259" s="2">
        <v>11</v>
      </c>
      <c r="AQ259" s="2" t="s">
        <v>82</v>
      </c>
      <c r="AR259" s="2"/>
      <c r="AS259" s="2"/>
      <c r="AT259" s="2" t="s">
        <v>1347</v>
      </c>
      <c r="AU259" s="2"/>
      <c r="AV259" s="2"/>
      <c r="AW259" s="2"/>
      <c r="AX259" s="2"/>
      <c r="AY259" s="2">
        <v>41</v>
      </c>
      <c r="AZ259" s="2" t="s">
        <v>82</v>
      </c>
      <c r="BA259" s="2">
        <v>41</v>
      </c>
      <c r="BB259" s="2" t="s">
        <v>82</v>
      </c>
      <c r="BC259" s="2">
        <v>41</v>
      </c>
      <c r="BD259" s="2" t="s">
        <v>82</v>
      </c>
      <c r="BE259" s="2">
        <v>41</v>
      </c>
      <c r="BF259" s="2" t="s">
        <v>82</v>
      </c>
      <c r="BG259" s="2" t="s">
        <v>82</v>
      </c>
      <c r="BH259" s="2"/>
      <c r="BI259" s="2"/>
      <c r="BJ259" s="2">
        <v>241</v>
      </c>
      <c r="BK259" s="2" t="s">
        <v>82</v>
      </c>
      <c r="BL259" s="2" t="s">
        <v>82</v>
      </c>
      <c r="BM259" s="2">
        <v>241</v>
      </c>
      <c r="BN259" s="2" t="s">
        <v>82</v>
      </c>
      <c r="BO259" s="2" t="s">
        <v>82</v>
      </c>
      <c r="BP259" s="2">
        <v>241</v>
      </c>
      <c r="BQ259" s="2" t="s">
        <v>82</v>
      </c>
      <c r="BR259" s="2" t="s">
        <v>82</v>
      </c>
      <c r="BS259" s="3">
        <v>40201</v>
      </c>
      <c r="BT259" s="4">
        <v>0.16126157407407407</v>
      </c>
    </row>
    <row r="260" spans="1:72" x14ac:dyDescent="0.25">
      <c r="A260" s="2">
        <v>407</v>
      </c>
      <c r="B260" s="2">
        <v>2010</v>
      </c>
      <c r="C260" s="2" t="s">
        <v>385</v>
      </c>
      <c r="D260" s="2" t="s">
        <v>73</v>
      </c>
      <c r="E260" s="2"/>
      <c r="F260" s="2">
        <v>478</v>
      </c>
      <c r="G260" s="2" t="s">
        <v>1348</v>
      </c>
      <c r="H260" s="2">
        <v>42</v>
      </c>
      <c r="I260" s="2" t="s">
        <v>1096</v>
      </c>
      <c r="J260" s="2">
        <v>1</v>
      </c>
      <c r="K260" s="2" t="s">
        <v>107</v>
      </c>
      <c r="L260" s="2" t="s">
        <v>107</v>
      </c>
      <c r="M260" s="3">
        <v>40201</v>
      </c>
      <c r="N260" s="2"/>
      <c r="O260" s="2" t="s">
        <v>1349</v>
      </c>
      <c r="P260" s="2">
        <v>632</v>
      </c>
      <c r="Q260" s="2" t="str">
        <f>""</f>
        <v/>
      </c>
      <c r="R260" s="2"/>
      <c r="S260" s="2"/>
      <c r="T260" s="2">
        <v>1</v>
      </c>
      <c r="U260" s="2" t="s">
        <v>79</v>
      </c>
      <c r="V260" s="2">
        <v>1</v>
      </c>
      <c r="W260" s="2" t="s">
        <v>80</v>
      </c>
      <c r="X260" s="2">
        <v>4</v>
      </c>
      <c r="Y260" s="2" t="s">
        <v>463</v>
      </c>
      <c r="Z260" s="2">
        <v>9</v>
      </c>
      <c r="AA260" s="2" t="s">
        <v>1119</v>
      </c>
      <c r="AB260" s="2">
        <v>9</v>
      </c>
      <c r="AC260" s="2" t="s">
        <v>124</v>
      </c>
      <c r="AD260" s="3">
        <v>40201</v>
      </c>
      <c r="AE260" s="4">
        <v>0.28472222222222221</v>
      </c>
      <c r="AF260" s="2"/>
      <c r="AG260" s="2"/>
      <c r="AH260" s="2">
        <v>2</v>
      </c>
      <c r="AI260" s="2" t="s">
        <v>84</v>
      </c>
      <c r="AJ260" s="2">
        <v>12</v>
      </c>
      <c r="AK260" s="2" t="s">
        <v>85</v>
      </c>
      <c r="AL260" s="2">
        <v>2</v>
      </c>
      <c r="AM260" s="2" t="s">
        <v>163</v>
      </c>
      <c r="AN260" s="2"/>
      <c r="AO260" s="2" t="s">
        <v>1350</v>
      </c>
      <c r="AP260" s="2">
        <v>11</v>
      </c>
      <c r="AQ260" s="2" t="s">
        <v>82</v>
      </c>
      <c r="AR260" s="2" t="s">
        <v>82</v>
      </c>
      <c r="AS260" s="2" t="s">
        <v>82</v>
      </c>
      <c r="AT260" s="2" t="s">
        <v>1351</v>
      </c>
      <c r="AU260" s="2"/>
      <c r="AV260" s="2"/>
      <c r="AW260" s="2"/>
      <c r="AX260" s="2"/>
      <c r="AY260" s="2">
        <v>41</v>
      </c>
      <c r="AZ260" s="2" t="s">
        <v>82</v>
      </c>
      <c r="BA260" s="2">
        <v>41</v>
      </c>
      <c r="BB260" s="2" t="s">
        <v>82</v>
      </c>
      <c r="BC260" s="2">
        <v>41</v>
      </c>
      <c r="BD260" s="2" t="s">
        <v>82</v>
      </c>
      <c r="BE260" s="2">
        <v>13</v>
      </c>
      <c r="BF260" s="2" t="s">
        <v>108</v>
      </c>
      <c r="BG260" s="2" t="s">
        <v>1352</v>
      </c>
      <c r="BH260" s="4">
        <v>0.375</v>
      </c>
      <c r="BI260" s="4">
        <v>0.30902777777777779</v>
      </c>
      <c r="BJ260" s="2">
        <v>13</v>
      </c>
      <c r="BK260" s="2" t="s">
        <v>91</v>
      </c>
      <c r="BL260" s="2" t="s">
        <v>564</v>
      </c>
      <c r="BM260" s="2">
        <v>241</v>
      </c>
      <c r="BN260" s="2" t="s">
        <v>82</v>
      </c>
      <c r="BO260" s="2" t="s">
        <v>82</v>
      </c>
      <c r="BP260" s="2">
        <v>13</v>
      </c>
      <c r="BQ260" s="2" t="s">
        <v>91</v>
      </c>
      <c r="BR260" s="2" t="s">
        <v>1353</v>
      </c>
      <c r="BS260" s="3">
        <v>40201</v>
      </c>
      <c r="BT260" s="4">
        <v>0.36175925925925928</v>
      </c>
    </row>
    <row r="261" spans="1:72" x14ac:dyDescent="0.25">
      <c r="A261" s="2">
        <v>409</v>
      </c>
      <c r="B261" s="2">
        <v>2010</v>
      </c>
      <c r="C261" s="2" t="s">
        <v>171</v>
      </c>
      <c r="D261" s="2" t="s">
        <v>73</v>
      </c>
      <c r="E261" s="2" t="s">
        <v>1354</v>
      </c>
      <c r="F261" s="2">
        <v>395</v>
      </c>
      <c r="G261" s="2" t="s">
        <v>1076</v>
      </c>
      <c r="H261" s="2">
        <v>7</v>
      </c>
      <c r="I261" s="2" t="s">
        <v>476</v>
      </c>
      <c r="J261" s="2">
        <v>242</v>
      </c>
      <c r="K261" s="2" t="s">
        <v>1077</v>
      </c>
      <c r="L261" s="2" t="s">
        <v>1078</v>
      </c>
      <c r="M261" s="3">
        <v>40201</v>
      </c>
      <c r="N261" s="2" t="s">
        <v>1339</v>
      </c>
      <c r="O261" s="2"/>
      <c r="P261" s="2"/>
      <c r="Q261" s="2" t="str">
        <f>"045-E/10"</f>
        <v>045-E/10</v>
      </c>
      <c r="R261" s="2" t="s">
        <v>391</v>
      </c>
      <c r="S261" s="2"/>
      <c r="T261" s="2">
        <v>1</v>
      </c>
      <c r="U261" s="2" t="s">
        <v>79</v>
      </c>
      <c r="V261" s="2">
        <v>1</v>
      </c>
      <c r="W261" s="2" t="s">
        <v>80</v>
      </c>
      <c r="X261" s="2">
        <v>1</v>
      </c>
      <c r="Y261" s="2" t="s">
        <v>81</v>
      </c>
      <c r="Z261" s="2">
        <v>10</v>
      </c>
      <c r="AA261" s="2" t="s">
        <v>236</v>
      </c>
      <c r="AB261" s="2">
        <v>1</v>
      </c>
      <c r="AC261" s="2" t="s">
        <v>178</v>
      </c>
      <c r="AD261" s="3">
        <v>40200</v>
      </c>
      <c r="AE261" s="4">
        <v>0.71875</v>
      </c>
      <c r="AF261" s="3">
        <v>40200</v>
      </c>
      <c r="AG261" s="4">
        <v>0.71875</v>
      </c>
      <c r="AH261" s="2">
        <v>2</v>
      </c>
      <c r="AI261" s="2" t="s">
        <v>84</v>
      </c>
      <c r="AJ261" s="2">
        <v>9</v>
      </c>
      <c r="AK261" s="2" t="s">
        <v>103</v>
      </c>
      <c r="AL261" s="2">
        <v>11</v>
      </c>
      <c r="AM261" s="2" t="s">
        <v>137</v>
      </c>
      <c r="AN261" s="2" t="s">
        <v>1340</v>
      </c>
      <c r="AO261" s="2" t="s">
        <v>1341</v>
      </c>
      <c r="AP261" s="2">
        <v>11</v>
      </c>
      <c r="AQ261" s="2" t="s">
        <v>82</v>
      </c>
      <c r="AR261" s="2"/>
      <c r="AS261" s="2"/>
      <c r="AT261" s="2" t="s">
        <v>1355</v>
      </c>
      <c r="AU261" s="2"/>
      <c r="AV261" s="2">
        <v>1</v>
      </c>
      <c r="AW261" s="2"/>
      <c r="AX261" s="2"/>
      <c r="AY261" s="2">
        <v>42</v>
      </c>
      <c r="AZ261" s="2" t="s">
        <v>182</v>
      </c>
      <c r="BA261" s="2">
        <v>41</v>
      </c>
      <c r="BB261" s="2" t="s">
        <v>82</v>
      </c>
      <c r="BC261" s="2">
        <v>41</v>
      </c>
      <c r="BD261" s="2" t="s">
        <v>82</v>
      </c>
      <c r="BE261" s="2">
        <v>14</v>
      </c>
      <c r="BF261" s="2" t="s">
        <v>484</v>
      </c>
      <c r="BG261" s="2">
        <v>417</v>
      </c>
      <c r="BH261" s="2"/>
      <c r="BI261" s="4">
        <v>0.75</v>
      </c>
      <c r="BJ261" s="2">
        <v>13</v>
      </c>
      <c r="BK261" s="2" t="s">
        <v>91</v>
      </c>
      <c r="BL261" s="2" t="s">
        <v>360</v>
      </c>
      <c r="BM261" s="2">
        <v>82</v>
      </c>
      <c r="BN261" s="2" t="s">
        <v>487</v>
      </c>
      <c r="BO261" s="2" t="s">
        <v>488</v>
      </c>
      <c r="BP261" s="2">
        <v>73</v>
      </c>
      <c r="BQ261" s="2" t="s">
        <v>186</v>
      </c>
      <c r="BR261" s="2" t="s">
        <v>1343</v>
      </c>
      <c r="BS261" s="3">
        <v>40201</v>
      </c>
      <c r="BT261" s="4">
        <v>0.41368055555555555</v>
      </c>
    </row>
    <row r="262" spans="1:72" x14ac:dyDescent="0.25">
      <c r="A262" s="2">
        <v>411</v>
      </c>
      <c r="B262" s="2">
        <v>2010</v>
      </c>
      <c r="C262" s="2" t="s">
        <v>128</v>
      </c>
      <c r="D262" s="2" t="s">
        <v>122</v>
      </c>
      <c r="E262" s="2"/>
      <c r="F262" s="2">
        <v>1</v>
      </c>
      <c r="G262" s="2" t="s">
        <v>82</v>
      </c>
      <c r="H262" s="2">
        <v>1</v>
      </c>
      <c r="I262" s="2" t="s">
        <v>82</v>
      </c>
      <c r="J262" s="2">
        <v>1</v>
      </c>
      <c r="K262" s="2" t="s">
        <v>107</v>
      </c>
      <c r="L262" s="2" t="s">
        <v>107</v>
      </c>
      <c r="M262" s="3">
        <v>40201</v>
      </c>
      <c r="N262" s="2"/>
      <c r="O262" s="2"/>
      <c r="P262" s="2"/>
      <c r="Q262" s="2" t="str">
        <f>""</f>
        <v/>
      </c>
      <c r="R262" s="2"/>
      <c r="S262" s="2"/>
      <c r="T262" s="2">
        <v>1</v>
      </c>
      <c r="U262" s="2" t="s">
        <v>79</v>
      </c>
      <c r="V262" s="2">
        <v>1</v>
      </c>
      <c r="W262" s="2" t="s">
        <v>80</v>
      </c>
      <c r="X262" s="2">
        <v>4</v>
      </c>
      <c r="Y262" s="2" t="s">
        <v>463</v>
      </c>
      <c r="Z262" s="2">
        <v>9</v>
      </c>
      <c r="AA262" s="2" t="s">
        <v>1119</v>
      </c>
      <c r="AB262" s="2">
        <v>9</v>
      </c>
      <c r="AC262" s="2" t="s">
        <v>124</v>
      </c>
      <c r="AD262" s="3">
        <v>40201</v>
      </c>
      <c r="AE262" s="4">
        <v>0.39583333333333331</v>
      </c>
      <c r="AF262" s="2"/>
      <c r="AG262" s="2"/>
      <c r="AH262" s="2">
        <v>3</v>
      </c>
      <c r="AI262" s="2" t="s">
        <v>214</v>
      </c>
      <c r="AJ262" s="2">
        <v>17</v>
      </c>
      <c r="AK262" s="2" t="s">
        <v>309</v>
      </c>
      <c r="AL262" s="2">
        <v>9</v>
      </c>
      <c r="AM262" s="2" t="s">
        <v>259</v>
      </c>
      <c r="AN262" s="2"/>
      <c r="AO262" s="2"/>
      <c r="AP262" s="2">
        <v>11</v>
      </c>
      <c r="AQ262" s="2" t="s">
        <v>82</v>
      </c>
      <c r="AR262" s="2"/>
      <c r="AS262" s="2"/>
      <c r="AT262" s="2" t="s">
        <v>1356</v>
      </c>
      <c r="AU262" s="2"/>
      <c r="AV262" s="2">
        <v>1</v>
      </c>
      <c r="AW262" s="2"/>
      <c r="AX262" s="2"/>
      <c r="AY262" s="2">
        <v>41</v>
      </c>
      <c r="AZ262" s="2" t="s">
        <v>82</v>
      </c>
      <c r="BA262" s="2">
        <v>41</v>
      </c>
      <c r="BB262" s="2" t="s">
        <v>82</v>
      </c>
      <c r="BC262" s="2">
        <v>41</v>
      </c>
      <c r="BD262" s="2" t="s">
        <v>82</v>
      </c>
      <c r="BE262" s="2">
        <v>13</v>
      </c>
      <c r="BF262" s="2" t="s">
        <v>108</v>
      </c>
      <c r="BG262" s="2">
        <v>2404</v>
      </c>
      <c r="BH262" s="4">
        <v>0.39583333333333331</v>
      </c>
      <c r="BI262" s="4">
        <v>0.34722222222222227</v>
      </c>
      <c r="BJ262" s="2">
        <v>13</v>
      </c>
      <c r="BK262" s="2" t="s">
        <v>91</v>
      </c>
      <c r="BL262" s="2" t="s">
        <v>1357</v>
      </c>
      <c r="BM262" s="2">
        <v>241</v>
      </c>
      <c r="BN262" s="2" t="s">
        <v>82</v>
      </c>
      <c r="BO262" s="2"/>
      <c r="BP262" s="2">
        <v>13</v>
      </c>
      <c r="BQ262" s="2" t="s">
        <v>91</v>
      </c>
      <c r="BR262" s="2" t="s">
        <v>1358</v>
      </c>
      <c r="BS262" s="3">
        <v>40201</v>
      </c>
      <c r="BT262" s="4">
        <v>0.46619212962962964</v>
      </c>
    </row>
    <row r="263" spans="1:72" x14ac:dyDescent="0.25">
      <c r="A263" s="2">
        <v>413</v>
      </c>
      <c r="B263" s="2">
        <v>2010</v>
      </c>
      <c r="C263" s="2" t="s">
        <v>72</v>
      </c>
      <c r="D263" s="2" t="s">
        <v>73</v>
      </c>
      <c r="E263" s="2"/>
      <c r="F263" s="2">
        <v>390</v>
      </c>
      <c r="G263" s="2" t="s">
        <v>475</v>
      </c>
      <c r="H263" s="2">
        <v>7</v>
      </c>
      <c r="I263" s="2" t="s">
        <v>476</v>
      </c>
      <c r="J263" s="2">
        <v>314</v>
      </c>
      <c r="K263" s="2" t="s">
        <v>477</v>
      </c>
      <c r="L263" s="2" t="s">
        <v>478</v>
      </c>
      <c r="M263" s="3">
        <v>40201</v>
      </c>
      <c r="N263" s="2" t="s">
        <v>479</v>
      </c>
      <c r="O263" s="2" t="s">
        <v>107</v>
      </c>
      <c r="P263" s="2" t="s">
        <v>107</v>
      </c>
      <c r="Q263" s="2" t="str">
        <f>"046-E/10"</f>
        <v>046-E/10</v>
      </c>
      <c r="R263" s="2" t="s">
        <v>116</v>
      </c>
      <c r="S263" s="2" t="s">
        <v>116</v>
      </c>
      <c r="T263" s="2">
        <v>1</v>
      </c>
      <c r="U263" s="2" t="s">
        <v>79</v>
      </c>
      <c r="V263" s="2">
        <v>1</v>
      </c>
      <c r="W263" s="2" t="s">
        <v>80</v>
      </c>
      <c r="X263" s="2">
        <v>5</v>
      </c>
      <c r="Y263" s="2" t="s">
        <v>82</v>
      </c>
      <c r="Z263" s="2">
        <v>1</v>
      </c>
      <c r="AA263" s="2" t="s">
        <v>82</v>
      </c>
      <c r="AB263" s="2">
        <v>6</v>
      </c>
      <c r="AC263" s="2" t="s">
        <v>83</v>
      </c>
      <c r="AD263" s="3">
        <v>40201</v>
      </c>
      <c r="AE263" s="4">
        <v>0.20833333333333334</v>
      </c>
      <c r="AF263" s="3">
        <v>40201</v>
      </c>
      <c r="AG263" s="4">
        <v>0.39583333333333331</v>
      </c>
      <c r="AH263" s="2">
        <v>2</v>
      </c>
      <c r="AI263" s="2" t="s">
        <v>84</v>
      </c>
      <c r="AJ263" s="2">
        <v>9</v>
      </c>
      <c r="AK263" s="2" t="s">
        <v>103</v>
      </c>
      <c r="AL263" s="2">
        <v>14</v>
      </c>
      <c r="AM263" s="2" t="s">
        <v>216</v>
      </c>
      <c r="AN263" s="2" t="s">
        <v>1359</v>
      </c>
      <c r="AO263" s="2"/>
      <c r="AP263" s="2">
        <v>11</v>
      </c>
      <c r="AQ263" s="2" t="s">
        <v>82</v>
      </c>
      <c r="AR263" s="2"/>
      <c r="AS263" s="2"/>
      <c r="AT263" s="2" t="s">
        <v>1360</v>
      </c>
      <c r="AU263" s="2"/>
      <c r="AV263" s="2"/>
      <c r="AW263" s="2"/>
      <c r="AX263" s="2"/>
      <c r="AY263" s="2">
        <v>41</v>
      </c>
      <c r="AZ263" s="2" t="s">
        <v>82</v>
      </c>
      <c r="BA263" s="2">
        <v>41</v>
      </c>
      <c r="BB263" s="2" t="s">
        <v>82</v>
      </c>
      <c r="BC263" s="2">
        <v>41</v>
      </c>
      <c r="BD263" s="2" t="s">
        <v>82</v>
      </c>
      <c r="BE263" s="2">
        <v>13</v>
      </c>
      <c r="BF263" s="2" t="s">
        <v>108</v>
      </c>
      <c r="BG263" s="2">
        <v>1303</v>
      </c>
      <c r="BH263" s="4">
        <v>0.20833333333333334</v>
      </c>
      <c r="BI263" s="2"/>
      <c r="BJ263" s="2">
        <v>75</v>
      </c>
      <c r="BK263" s="2" t="s">
        <v>1264</v>
      </c>
      <c r="BL263" s="2" t="s">
        <v>1361</v>
      </c>
      <c r="BM263" s="2">
        <v>241</v>
      </c>
      <c r="BN263" s="2" t="s">
        <v>82</v>
      </c>
      <c r="BO263" s="2" t="s">
        <v>82</v>
      </c>
      <c r="BP263" s="2">
        <v>13</v>
      </c>
      <c r="BQ263" s="2" t="s">
        <v>91</v>
      </c>
      <c r="BR263" s="2" t="s">
        <v>1362</v>
      </c>
      <c r="BS263" s="3">
        <v>40201</v>
      </c>
      <c r="BT263" s="4">
        <v>0.51517361111111104</v>
      </c>
    </row>
    <row r="264" spans="1:72" x14ac:dyDescent="0.25">
      <c r="A264" s="2">
        <v>414</v>
      </c>
      <c r="B264" s="2">
        <v>2010</v>
      </c>
      <c r="C264" s="2" t="s">
        <v>171</v>
      </c>
      <c r="D264" s="2" t="s">
        <v>122</v>
      </c>
      <c r="E264" s="2" t="s">
        <v>1354</v>
      </c>
      <c r="F264" s="2">
        <v>395</v>
      </c>
      <c r="G264" s="2" t="s">
        <v>1076</v>
      </c>
      <c r="H264" s="2">
        <v>7</v>
      </c>
      <c r="I264" s="2" t="s">
        <v>476</v>
      </c>
      <c r="J264" s="2">
        <v>242</v>
      </c>
      <c r="K264" s="2" t="s">
        <v>1077</v>
      </c>
      <c r="L264" s="2" t="s">
        <v>1078</v>
      </c>
      <c r="M264" s="3">
        <v>40201</v>
      </c>
      <c r="N264" s="2" t="s">
        <v>1339</v>
      </c>
      <c r="O264" s="2"/>
      <c r="P264" s="2"/>
      <c r="Q264" s="2" t="str">
        <f>"045-E/10"</f>
        <v>045-E/10</v>
      </c>
      <c r="R264" s="2" t="s">
        <v>391</v>
      </c>
      <c r="S264" s="2"/>
      <c r="T264" s="2">
        <v>1</v>
      </c>
      <c r="U264" s="2" t="s">
        <v>79</v>
      </c>
      <c r="V264" s="2">
        <v>1</v>
      </c>
      <c r="W264" s="2" t="s">
        <v>80</v>
      </c>
      <c r="X264" s="2">
        <v>1</v>
      </c>
      <c r="Y264" s="2" t="s">
        <v>81</v>
      </c>
      <c r="Z264" s="2">
        <v>10</v>
      </c>
      <c r="AA264" s="2" t="s">
        <v>236</v>
      </c>
      <c r="AB264" s="2">
        <v>1</v>
      </c>
      <c r="AC264" s="2" t="s">
        <v>178</v>
      </c>
      <c r="AD264" s="3">
        <v>40200</v>
      </c>
      <c r="AE264" s="4">
        <v>0.71875</v>
      </c>
      <c r="AF264" s="3">
        <v>40200</v>
      </c>
      <c r="AG264" s="4">
        <v>0.71875</v>
      </c>
      <c r="AH264" s="2">
        <v>2</v>
      </c>
      <c r="AI264" s="2" t="s">
        <v>84</v>
      </c>
      <c r="AJ264" s="2">
        <v>9</v>
      </c>
      <c r="AK264" s="2" t="s">
        <v>103</v>
      </c>
      <c r="AL264" s="2">
        <v>11</v>
      </c>
      <c r="AM264" s="2" t="s">
        <v>137</v>
      </c>
      <c r="AN264" s="2" t="s">
        <v>1340</v>
      </c>
      <c r="AO264" s="2" t="s">
        <v>1341</v>
      </c>
      <c r="AP264" s="2">
        <v>11</v>
      </c>
      <c r="AQ264" s="2" t="s">
        <v>82</v>
      </c>
      <c r="AR264" s="2"/>
      <c r="AS264" s="2"/>
      <c r="AT264" s="2" t="s">
        <v>1363</v>
      </c>
      <c r="AU264" s="2"/>
      <c r="AV264" s="2">
        <v>1</v>
      </c>
      <c r="AW264" s="2"/>
      <c r="AX264" s="2"/>
      <c r="AY264" s="2">
        <v>42</v>
      </c>
      <c r="AZ264" s="2" t="s">
        <v>182</v>
      </c>
      <c r="BA264" s="2">
        <v>41</v>
      </c>
      <c r="BB264" s="2" t="s">
        <v>82</v>
      </c>
      <c r="BC264" s="2">
        <v>41</v>
      </c>
      <c r="BD264" s="2" t="s">
        <v>82</v>
      </c>
      <c r="BE264" s="2">
        <v>14</v>
      </c>
      <c r="BF264" s="2" t="s">
        <v>484</v>
      </c>
      <c r="BG264" s="2">
        <v>417</v>
      </c>
      <c r="BH264" s="2"/>
      <c r="BI264" s="4">
        <v>0.75</v>
      </c>
      <c r="BJ264" s="2">
        <v>13</v>
      </c>
      <c r="BK264" s="2" t="s">
        <v>91</v>
      </c>
      <c r="BL264" s="2" t="s">
        <v>360</v>
      </c>
      <c r="BM264" s="2">
        <v>82</v>
      </c>
      <c r="BN264" s="2" t="s">
        <v>487</v>
      </c>
      <c r="BO264" s="2" t="s">
        <v>488</v>
      </c>
      <c r="BP264" s="2">
        <v>73</v>
      </c>
      <c r="BQ264" s="2" t="s">
        <v>186</v>
      </c>
      <c r="BR264" s="2" t="s">
        <v>1343</v>
      </c>
      <c r="BS264" s="3">
        <v>40201</v>
      </c>
      <c r="BT264" s="4">
        <v>0.67410879629629628</v>
      </c>
    </row>
    <row r="265" spans="1:72" x14ac:dyDescent="0.25">
      <c r="A265" s="2">
        <v>416</v>
      </c>
      <c r="B265" s="2">
        <v>2010</v>
      </c>
      <c r="C265" s="2" t="s">
        <v>171</v>
      </c>
      <c r="D265" s="2" t="s">
        <v>73</v>
      </c>
      <c r="E265" s="2"/>
      <c r="F265" s="2">
        <v>403</v>
      </c>
      <c r="G265" s="2" t="s">
        <v>1364</v>
      </c>
      <c r="H265" s="2">
        <v>7</v>
      </c>
      <c r="I265" s="2" t="s">
        <v>476</v>
      </c>
      <c r="J265" s="2">
        <v>242</v>
      </c>
      <c r="K265" s="2" t="s">
        <v>1077</v>
      </c>
      <c r="L265" s="2" t="s">
        <v>1078</v>
      </c>
      <c r="M265" s="3">
        <v>40201</v>
      </c>
      <c r="N265" s="2"/>
      <c r="O265" s="2" t="s">
        <v>1365</v>
      </c>
      <c r="P265" s="2">
        <v>9676</v>
      </c>
      <c r="Q265" s="2" t="str">
        <f>"036-E/10"</f>
        <v>036-E/10</v>
      </c>
      <c r="R265" s="2"/>
      <c r="S265" s="2" t="s">
        <v>391</v>
      </c>
      <c r="T265" s="2">
        <v>1</v>
      </c>
      <c r="U265" s="2" t="s">
        <v>79</v>
      </c>
      <c r="V265" s="2">
        <v>3</v>
      </c>
      <c r="W265" s="2" t="s">
        <v>225</v>
      </c>
      <c r="X265" s="2">
        <v>6</v>
      </c>
      <c r="Y265" s="2" t="s">
        <v>249</v>
      </c>
      <c r="Z265" s="2">
        <v>1</v>
      </c>
      <c r="AA265" s="2" t="s">
        <v>82</v>
      </c>
      <c r="AB265" s="2">
        <v>9</v>
      </c>
      <c r="AC265" s="2" t="s">
        <v>124</v>
      </c>
      <c r="AD265" s="3">
        <v>40195</v>
      </c>
      <c r="AE265" s="4">
        <v>0.66666666666666663</v>
      </c>
      <c r="AF265" s="2"/>
      <c r="AG265" s="2"/>
      <c r="AH265" s="2">
        <v>2</v>
      </c>
      <c r="AI265" s="2" t="s">
        <v>84</v>
      </c>
      <c r="AJ265" s="2">
        <v>6</v>
      </c>
      <c r="AK265" s="2" t="s">
        <v>453</v>
      </c>
      <c r="AL265" s="2">
        <v>12</v>
      </c>
      <c r="AM265" s="2" t="s">
        <v>86</v>
      </c>
      <c r="AN265" s="2"/>
      <c r="AO265" s="2"/>
      <c r="AP265" s="2">
        <v>11</v>
      </c>
      <c r="AQ265" s="2" t="s">
        <v>82</v>
      </c>
      <c r="AR265" s="2"/>
      <c r="AS265" s="2"/>
      <c r="AT265" s="2" t="s">
        <v>1366</v>
      </c>
      <c r="AU265" s="2"/>
      <c r="AV265" s="2">
        <v>1</v>
      </c>
      <c r="AW265" s="2"/>
      <c r="AX265" s="2"/>
      <c r="AY265" s="2">
        <v>42</v>
      </c>
      <c r="AZ265" s="2" t="s">
        <v>182</v>
      </c>
      <c r="BA265" s="2">
        <v>70</v>
      </c>
      <c r="BB265" s="2" t="s">
        <v>236</v>
      </c>
      <c r="BC265" s="2">
        <v>70</v>
      </c>
      <c r="BD265" s="2" t="s">
        <v>236</v>
      </c>
      <c r="BE265" s="2">
        <v>33</v>
      </c>
      <c r="BF265" s="2" t="s">
        <v>1083</v>
      </c>
      <c r="BG265" s="2">
        <v>227</v>
      </c>
      <c r="BH265" s="2"/>
      <c r="BI265" s="2"/>
      <c r="BJ265" s="2">
        <v>242</v>
      </c>
      <c r="BK265" s="2" t="s">
        <v>107</v>
      </c>
      <c r="BL265" s="2"/>
      <c r="BM265" s="2">
        <v>242</v>
      </c>
      <c r="BN265" s="2" t="s">
        <v>107</v>
      </c>
      <c r="BO265" s="2"/>
      <c r="BP265" s="2">
        <v>205</v>
      </c>
      <c r="BQ265" s="2" t="s">
        <v>1085</v>
      </c>
      <c r="BR265" s="2"/>
      <c r="BS265" s="3">
        <v>40201</v>
      </c>
      <c r="BT265" s="4">
        <v>0.80792824074074077</v>
      </c>
    </row>
    <row r="266" spans="1:72" x14ac:dyDescent="0.25">
      <c r="A266" s="2">
        <v>417</v>
      </c>
      <c r="B266" s="2">
        <v>2010</v>
      </c>
      <c r="C266" s="2" t="s">
        <v>171</v>
      </c>
      <c r="D266" s="2" t="s">
        <v>73</v>
      </c>
      <c r="E266" s="2"/>
      <c r="F266" s="2">
        <v>395</v>
      </c>
      <c r="G266" s="2" t="s">
        <v>1076</v>
      </c>
      <c r="H266" s="2">
        <v>6</v>
      </c>
      <c r="I266" s="2" t="s">
        <v>1088</v>
      </c>
      <c r="J266" s="2">
        <v>242</v>
      </c>
      <c r="K266" s="2" t="s">
        <v>1077</v>
      </c>
      <c r="L266" s="2" t="s">
        <v>1078</v>
      </c>
      <c r="M266" s="3">
        <v>40201</v>
      </c>
      <c r="N266" s="2" t="s">
        <v>1367</v>
      </c>
      <c r="O266" s="2" t="s">
        <v>1368</v>
      </c>
      <c r="P266" s="2">
        <v>11749</v>
      </c>
      <c r="Q266" s="2" t="str">
        <f>"039-E/10"</f>
        <v>039-E/10</v>
      </c>
      <c r="R266" s="2"/>
      <c r="S266" s="2" t="s">
        <v>391</v>
      </c>
      <c r="T266" s="2">
        <v>1</v>
      </c>
      <c r="U266" s="2" t="s">
        <v>79</v>
      </c>
      <c r="V266" s="2">
        <v>3</v>
      </c>
      <c r="W266" s="2" t="s">
        <v>225</v>
      </c>
      <c r="X266" s="2">
        <v>6</v>
      </c>
      <c r="Y266" s="2" t="s">
        <v>249</v>
      </c>
      <c r="Z266" s="2">
        <v>1</v>
      </c>
      <c r="AA266" s="2" t="s">
        <v>82</v>
      </c>
      <c r="AB266" s="2">
        <v>9</v>
      </c>
      <c r="AC266" s="2" t="s">
        <v>124</v>
      </c>
      <c r="AD266" s="3">
        <v>40198</v>
      </c>
      <c r="AE266" s="4">
        <v>0.70833333333333337</v>
      </c>
      <c r="AF266" s="2"/>
      <c r="AG266" s="2"/>
      <c r="AH266" s="2">
        <v>2</v>
      </c>
      <c r="AI266" s="2" t="s">
        <v>84</v>
      </c>
      <c r="AJ266" s="2">
        <v>6</v>
      </c>
      <c r="AK266" s="2" t="s">
        <v>453</v>
      </c>
      <c r="AL266" s="2">
        <v>23</v>
      </c>
      <c r="AM266" s="2" t="s">
        <v>251</v>
      </c>
      <c r="AN266" s="2"/>
      <c r="AO266" s="2" t="s">
        <v>1369</v>
      </c>
      <c r="AP266" s="2">
        <v>11</v>
      </c>
      <c r="AQ266" s="2" t="s">
        <v>82</v>
      </c>
      <c r="AR266" s="2"/>
      <c r="AS266" s="2"/>
      <c r="AT266" s="2" t="s">
        <v>1370</v>
      </c>
      <c r="AU266" s="2"/>
      <c r="AV266" s="2">
        <v>1</v>
      </c>
      <c r="AW266" s="2"/>
      <c r="AX266" s="2"/>
      <c r="AY266" s="2">
        <v>42</v>
      </c>
      <c r="AZ266" s="2" t="s">
        <v>182</v>
      </c>
      <c r="BA266" s="2">
        <v>41</v>
      </c>
      <c r="BB266" s="2" t="s">
        <v>82</v>
      </c>
      <c r="BC266" s="2">
        <v>41</v>
      </c>
      <c r="BD266" s="2" t="s">
        <v>82</v>
      </c>
      <c r="BE266" s="2">
        <v>2</v>
      </c>
      <c r="BF266" s="2" t="s">
        <v>1232</v>
      </c>
      <c r="BG266" s="2" t="s">
        <v>1371</v>
      </c>
      <c r="BH266" s="2"/>
      <c r="BI266" s="2"/>
      <c r="BJ266" s="2">
        <v>13</v>
      </c>
      <c r="BK266" s="2" t="s">
        <v>91</v>
      </c>
      <c r="BL266" s="2" t="s">
        <v>185</v>
      </c>
      <c r="BM266" s="2">
        <v>42</v>
      </c>
      <c r="BN266" s="2" t="s">
        <v>1234</v>
      </c>
      <c r="BO266" s="2" t="s">
        <v>1235</v>
      </c>
      <c r="BP266" s="2">
        <v>244</v>
      </c>
      <c r="BQ266" s="2" t="s">
        <v>1236</v>
      </c>
      <c r="BR266" s="2" t="s">
        <v>1237</v>
      </c>
      <c r="BS266" s="3">
        <v>40201</v>
      </c>
      <c r="BT266" s="4">
        <v>0.84513888888888899</v>
      </c>
    </row>
    <row r="267" spans="1:72" x14ac:dyDescent="0.25">
      <c r="A267" s="2">
        <v>418</v>
      </c>
      <c r="B267" s="2">
        <v>2010</v>
      </c>
      <c r="C267" s="2" t="s">
        <v>72</v>
      </c>
      <c r="D267" s="2" t="s">
        <v>73</v>
      </c>
      <c r="E267" s="2"/>
      <c r="F267" s="2">
        <v>3</v>
      </c>
      <c r="G267" s="2" t="s">
        <v>1041</v>
      </c>
      <c r="H267" s="2">
        <v>1</v>
      </c>
      <c r="I267" s="2" t="s">
        <v>82</v>
      </c>
      <c r="J267" s="2">
        <v>368</v>
      </c>
      <c r="K267" s="2" t="s">
        <v>1042</v>
      </c>
      <c r="L267" s="2" t="s">
        <v>1043</v>
      </c>
      <c r="M267" s="3">
        <v>40201</v>
      </c>
      <c r="N267" s="2" t="s">
        <v>82</v>
      </c>
      <c r="O267" s="2" t="s">
        <v>107</v>
      </c>
      <c r="P267" s="2" t="s">
        <v>107</v>
      </c>
      <c r="Q267" s="2" t="str">
        <f>"047-E/10"</f>
        <v>047-E/10</v>
      </c>
      <c r="R267" s="2" t="s">
        <v>601</v>
      </c>
      <c r="S267" s="2" t="s">
        <v>601</v>
      </c>
      <c r="T267" s="2">
        <v>1</v>
      </c>
      <c r="U267" s="2" t="s">
        <v>79</v>
      </c>
      <c r="V267" s="2">
        <v>1</v>
      </c>
      <c r="W267" s="2" t="s">
        <v>80</v>
      </c>
      <c r="X267" s="2">
        <v>1</v>
      </c>
      <c r="Y267" s="2" t="s">
        <v>81</v>
      </c>
      <c r="Z267" s="2">
        <v>1</v>
      </c>
      <c r="AA267" s="2" t="s">
        <v>82</v>
      </c>
      <c r="AB267" s="2">
        <v>6</v>
      </c>
      <c r="AC267" s="2" t="s">
        <v>83</v>
      </c>
      <c r="AD267" s="3">
        <v>40201</v>
      </c>
      <c r="AE267" s="4">
        <v>0.70833333333333337</v>
      </c>
      <c r="AF267" s="3">
        <v>40201</v>
      </c>
      <c r="AG267" s="4">
        <v>0.875</v>
      </c>
      <c r="AH267" s="2">
        <v>2</v>
      </c>
      <c r="AI267" s="2" t="s">
        <v>84</v>
      </c>
      <c r="AJ267" s="2">
        <v>9</v>
      </c>
      <c r="AK267" s="2" t="s">
        <v>103</v>
      </c>
      <c r="AL267" s="2">
        <v>18</v>
      </c>
      <c r="AM267" s="2" t="s">
        <v>82</v>
      </c>
      <c r="AN267" s="2" t="s">
        <v>1372</v>
      </c>
      <c r="AO267" s="2" t="s">
        <v>1373</v>
      </c>
      <c r="AP267" s="2">
        <v>11</v>
      </c>
      <c r="AQ267" s="2" t="s">
        <v>82</v>
      </c>
      <c r="AR267" s="2" t="s">
        <v>82</v>
      </c>
      <c r="AS267" s="2" t="s">
        <v>82</v>
      </c>
      <c r="AT267" s="2" t="s">
        <v>1374</v>
      </c>
      <c r="AU267" s="2"/>
      <c r="AV267" s="2"/>
      <c r="AW267" s="2"/>
      <c r="AX267" s="2"/>
      <c r="AY267" s="2">
        <v>41</v>
      </c>
      <c r="AZ267" s="2" t="s">
        <v>82</v>
      </c>
      <c r="BA267" s="2">
        <v>41</v>
      </c>
      <c r="BB267" s="2" t="s">
        <v>82</v>
      </c>
      <c r="BC267" s="2">
        <v>23</v>
      </c>
      <c r="BD267" s="2" t="s">
        <v>183</v>
      </c>
      <c r="BE267" s="2">
        <v>23</v>
      </c>
      <c r="BF267" s="2" t="s">
        <v>183</v>
      </c>
      <c r="BG267" s="2" t="s">
        <v>1375</v>
      </c>
      <c r="BH267" s="4">
        <v>0.39583333333333331</v>
      </c>
      <c r="BI267" s="4">
        <v>8.6805555555555566E-2</v>
      </c>
      <c r="BJ267" s="2">
        <v>73</v>
      </c>
      <c r="BK267" s="2" t="s">
        <v>186</v>
      </c>
      <c r="BL267" s="2" t="s">
        <v>187</v>
      </c>
      <c r="BM267" s="2">
        <v>241</v>
      </c>
      <c r="BN267" s="2" t="s">
        <v>82</v>
      </c>
      <c r="BO267" s="2" t="s">
        <v>82</v>
      </c>
      <c r="BP267" s="2">
        <v>13</v>
      </c>
      <c r="BQ267" s="2" t="s">
        <v>91</v>
      </c>
      <c r="BR267" s="2" t="s">
        <v>1376</v>
      </c>
      <c r="BS267" s="3">
        <v>40201</v>
      </c>
      <c r="BT267" s="4">
        <v>0.94733796296296291</v>
      </c>
    </row>
    <row r="268" spans="1:72" x14ac:dyDescent="0.25">
      <c r="A268" s="2">
        <v>419</v>
      </c>
      <c r="B268" s="2">
        <v>2010</v>
      </c>
      <c r="C268" s="2" t="s">
        <v>763</v>
      </c>
      <c r="D268" s="2" t="s">
        <v>73</v>
      </c>
      <c r="E268" s="2"/>
      <c r="F268" s="2">
        <v>479</v>
      </c>
      <c r="G268" s="2" t="s">
        <v>1377</v>
      </c>
      <c r="H268" s="2">
        <v>42</v>
      </c>
      <c r="I268" s="2" t="s">
        <v>1096</v>
      </c>
      <c r="J268" s="2">
        <v>387</v>
      </c>
      <c r="K268" s="2" t="s">
        <v>1378</v>
      </c>
      <c r="L268" s="2" t="s">
        <v>1379</v>
      </c>
      <c r="M268" s="3">
        <v>40202</v>
      </c>
      <c r="N268" s="2" t="s">
        <v>1380</v>
      </c>
      <c r="O268" s="2" t="s">
        <v>1381</v>
      </c>
      <c r="P268" s="2" t="s">
        <v>107</v>
      </c>
      <c r="Q268" s="2" t="str">
        <f>"028-A/10"</f>
        <v>028-A/10</v>
      </c>
      <c r="R268" s="2" t="s">
        <v>107</v>
      </c>
      <c r="S268" s="2" t="s">
        <v>1381</v>
      </c>
      <c r="T268" s="2">
        <v>1</v>
      </c>
      <c r="U268" s="2" t="s">
        <v>79</v>
      </c>
      <c r="V268" s="2">
        <v>1</v>
      </c>
      <c r="W268" s="2" t="s">
        <v>80</v>
      </c>
      <c r="X268" s="2">
        <v>5</v>
      </c>
      <c r="Y268" s="2" t="s">
        <v>82</v>
      </c>
      <c r="Z268" s="2">
        <v>1</v>
      </c>
      <c r="AA268" s="2" t="s">
        <v>82</v>
      </c>
      <c r="AB268" s="2">
        <v>9</v>
      </c>
      <c r="AC268" s="2" t="s">
        <v>124</v>
      </c>
      <c r="AD268" s="3">
        <v>40201</v>
      </c>
      <c r="AE268" s="4">
        <v>0.70833333333333337</v>
      </c>
      <c r="AF268" s="2"/>
      <c r="AG268" s="2"/>
      <c r="AH268" s="2">
        <v>2</v>
      </c>
      <c r="AI268" s="2" t="s">
        <v>84</v>
      </c>
      <c r="AJ268" s="2">
        <v>12</v>
      </c>
      <c r="AK268" s="2" t="s">
        <v>85</v>
      </c>
      <c r="AL268" s="2">
        <v>18</v>
      </c>
      <c r="AM268" s="2" t="s">
        <v>82</v>
      </c>
      <c r="AN268" s="2" t="s">
        <v>1212</v>
      </c>
      <c r="AO268" s="2" t="s">
        <v>816</v>
      </c>
      <c r="AP268" s="2">
        <v>11</v>
      </c>
      <c r="AQ268" s="2" t="s">
        <v>82</v>
      </c>
      <c r="AR268" s="2" t="s">
        <v>82</v>
      </c>
      <c r="AS268" s="2" t="s">
        <v>82</v>
      </c>
      <c r="AT268" s="2" t="s">
        <v>1382</v>
      </c>
      <c r="AU268" s="2"/>
      <c r="AV268" s="2"/>
      <c r="AW268" s="2"/>
      <c r="AX268" s="2"/>
      <c r="AY268" s="2">
        <v>41</v>
      </c>
      <c r="AZ268" s="2" t="s">
        <v>82</v>
      </c>
      <c r="BA268" s="2">
        <v>41</v>
      </c>
      <c r="BB268" s="2" t="s">
        <v>82</v>
      </c>
      <c r="BC268" s="2">
        <v>79</v>
      </c>
      <c r="BD268" s="2" t="s">
        <v>1383</v>
      </c>
      <c r="BE268" s="2">
        <v>41</v>
      </c>
      <c r="BF268" s="2" t="s">
        <v>82</v>
      </c>
      <c r="BG268" s="2"/>
      <c r="BH268" s="2"/>
      <c r="BI268" s="2"/>
      <c r="BJ268" s="2">
        <v>241</v>
      </c>
      <c r="BK268" s="2" t="s">
        <v>82</v>
      </c>
      <c r="BL268" s="2"/>
      <c r="BM268" s="2">
        <v>241</v>
      </c>
      <c r="BN268" s="2" t="s">
        <v>82</v>
      </c>
      <c r="BO268" s="2"/>
      <c r="BP268" s="2">
        <v>241</v>
      </c>
      <c r="BQ268" s="2" t="s">
        <v>82</v>
      </c>
      <c r="BR268" s="2"/>
      <c r="BS268" s="3">
        <v>40202</v>
      </c>
      <c r="BT268" s="4">
        <v>7.3252314814814812E-2</v>
      </c>
    </row>
    <row r="269" spans="1:72" x14ac:dyDescent="0.25">
      <c r="A269" s="2">
        <v>420</v>
      </c>
      <c r="B269" s="2">
        <v>2010</v>
      </c>
      <c r="C269" s="2" t="s">
        <v>72</v>
      </c>
      <c r="D269" s="2" t="s">
        <v>73</v>
      </c>
      <c r="E269" s="2"/>
      <c r="F269" s="2">
        <v>390</v>
      </c>
      <c r="G269" s="2" t="s">
        <v>475</v>
      </c>
      <c r="H269" s="2">
        <v>7</v>
      </c>
      <c r="I269" s="2" t="s">
        <v>476</v>
      </c>
      <c r="J269" s="2">
        <v>314</v>
      </c>
      <c r="K269" s="2" t="s">
        <v>477</v>
      </c>
      <c r="L269" s="2" t="s">
        <v>478</v>
      </c>
      <c r="M269" s="3">
        <v>40202</v>
      </c>
      <c r="N269" s="2" t="s">
        <v>1384</v>
      </c>
      <c r="O269" s="2" t="s">
        <v>82</v>
      </c>
      <c r="P269" s="2" t="s">
        <v>82</v>
      </c>
      <c r="Q269" s="2" t="str">
        <f>"048-E/10"</f>
        <v>048-E/10</v>
      </c>
      <c r="R269" s="2" t="s">
        <v>601</v>
      </c>
      <c r="S269" s="2" t="s">
        <v>601</v>
      </c>
      <c r="T269" s="2">
        <v>1</v>
      </c>
      <c r="U269" s="2" t="s">
        <v>79</v>
      </c>
      <c r="V269" s="2">
        <v>1</v>
      </c>
      <c r="W269" s="2" t="s">
        <v>80</v>
      </c>
      <c r="X269" s="2">
        <v>5</v>
      </c>
      <c r="Y269" s="2" t="s">
        <v>82</v>
      </c>
      <c r="Z269" s="2">
        <v>10</v>
      </c>
      <c r="AA269" s="2" t="s">
        <v>236</v>
      </c>
      <c r="AB269" s="2">
        <v>6</v>
      </c>
      <c r="AC269" s="2" t="s">
        <v>83</v>
      </c>
      <c r="AD269" s="3">
        <v>40202</v>
      </c>
      <c r="AE269" s="4">
        <v>0.25</v>
      </c>
      <c r="AF269" s="3">
        <v>40202</v>
      </c>
      <c r="AG269" s="4">
        <v>0.45833333333333331</v>
      </c>
      <c r="AH269" s="2">
        <v>2</v>
      </c>
      <c r="AI269" s="2" t="s">
        <v>84</v>
      </c>
      <c r="AJ269" s="2">
        <v>9</v>
      </c>
      <c r="AK269" s="2" t="s">
        <v>103</v>
      </c>
      <c r="AL269" s="2">
        <v>18</v>
      </c>
      <c r="AM269" s="2" t="s">
        <v>82</v>
      </c>
      <c r="AN269" s="2" t="s">
        <v>82</v>
      </c>
      <c r="AO269" s="2" t="s">
        <v>1385</v>
      </c>
      <c r="AP269" s="2">
        <v>11</v>
      </c>
      <c r="AQ269" s="2" t="s">
        <v>82</v>
      </c>
      <c r="AR269" s="2"/>
      <c r="AS269" s="2"/>
      <c r="AT269" s="2" t="s">
        <v>1386</v>
      </c>
      <c r="AU269" s="2"/>
      <c r="AV269" s="2"/>
      <c r="AW269" s="2"/>
      <c r="AX269" s="2"/>
      <c r="AY269" s="2">
        <v>41</v>
      </c>
      <c r="AZ269" s="2" t="s">
        <v>82</v>
      </c>
      <c r="BA269" s="2">
        <v>41</v>
      </c>
      <c r="BB269" s="2" t="s">
        <v>82</v>
      </c>
      <c r="BC269" s="2">
        <v>41</v>
      </c>
      <c r="BD269" s="2" t="s">
        <v>82</v>
      </c>
      <c r="BE269" s="2">
        <v>9</v>
      </c>
      <c r="BF269" s="2" t="s">
        <v>966</v>
      </c>
      <c r="BG269" s="2" t="s">
        <v>1387</v>
      </c>
      <c r="BH269" s="4">
        <v>0.25</v>
      </c>
      <c r="BI269" s="2"/>
      <c r="BJ269" s="2">
        <v>146</v>
      </c>
      <c r="BK269" s="2" t="s">
        <v>1388</v>
      </c>
      <c r="BL269" s="2" t="s">
        <v>1389</v>
      </c>
      <c r="BM269" s="2">
        <v>170</v>
      </c>
      <c r="BN269" s="2" t="s">
        <v>968</v>
      </c>
      <c r="BO269" s="2" t="s">
        <v>1390</v>
      </c>
      <c r="BP269" s="2">
        <v>13</v>
      </c>
      <c r="BQ269" s="2" t="s">
        <v>91</v>
      </c>
      <c r="BR269" s="2" t="s">
        <v>185</v>
      </c>
      <c r="BS269" s="3">
        <v>40202</v>
      </c>
      <c r="BT269" s="4">
        <v>0.49431712962962965</v>
      </c>
    </row>
    <row r="270" spans="1:72" x14ac:dyDescent="0.25">
      <c r="A270" s="2">
        <v>421</v>
      </c>
      <c r="B270" s="2">
        <v>2010</v>
      </c>
      <c r="C270" s="2" t="s">
        <v>625</v>
      </c>
      <c r="D270" s="2" t="s">
        <v>122</v>
      </c>
      <c r="E270" s="2"/>
      <c r="F270" s="2">
        <v>395</v>
      </c>
      <c r="G270" s="2" t="s">
        <v>1076</v>
      </c>
      <c r="H270" s="2">
        <v>7</v>
      </c>
      <c r="I270" s="2" t="s">
        <v>476</v>
      </c>
      <c r="J270" s="2">
        <v>242</v>
      </c>
      <c r="K270" s="2" t="s">
        <v>1077</v>
      </c>
      <c r="L270" s="2" t="s">
        <v>1078</v>
      </c>
      <c r="M270" s="3">
        <v>40202</v>
      </c>
      <c r="N270" s="2" t="s">
        <v>1391</v>
      </c>
      <c r="O270" s="2" t="s">
        <v>1392</v>
      </c>
      <c r="P270" s="2">
        <v>9682</v>
      </c>
      <c r="Q270" s="2" t="str">
        <f>"045-E/10"</f>
        <v>045-E/10</v>
      </c>
      <c r="R270" s="2"/>
      <c r="S270" s="2" t="s">
        <v>391</v>
      </c>
      <c r="T270" s="2">
        <v>1</v>
      </c>
      <c r="U270" s="2" t="s">
        <v>79</v>
      </c>
      <c r="V270" s="2">
        <v>1</v>
      </c>
      <c r="W270" s="2" t="s">
        <v>80</v>
      </c>
      <c r="X270" s="2">
        <v>2</v>
      </c>
      <c r="Y270" s="2" t="s">
        <v>136</v>
      </c>
      <c r="Z270" s="2">
        <v>10</v>
      </c>
      <c r="AA270" s="2" t="s">
        <v>236</v>
      </c>
      <c r="AB270" s="2">
        <v>9</v>
      </c>
      <c r="AC270" s="2" t="s">
        <v>124</v>
      </c>
      <c r="AD270" s="3">
        <v>40201</v>
      </c>
      <c r="AE270" s="4">
        <v>0.70833333333333337</v>
      </c>
      <c r="AF270" s="2"/>
      <c r="AG270" s="2"/>
      <c r="AH270" s="2">
        <v>2</v>
      </c>
      <c r="AI270" s="2" t="s">
        <v>84</v>
      </c>
      <c r="AJ270" s="2">
        <v>6</v>
      </c>
      <c r="AK270" s="2" t="s">
        <v>453</v>
      </c>
      <c r="AL270" s="2">
        <v>18</v>
      </c>
      <c r="AM270" s="2" t="s">
        <v>82</v>
      </c>
      <c r="AN270" s="2" t="s">
        <v>1393</v>
      </c>
      <c r="AO270" s="2" t="s">
        <v>1394</v>
      </c>
      <c r="AP270" s="2">
        <v>11</v>
      </c>
      <c r="AQ270" s="2" t="s">
        <v>82</v>
      </c>
      <c r="AR270" s="2"/>
      <c r="AS270" s="2"/>
      <c r="AT270" s="2" t="s">
        <v>1395</v>
      </c>
      <c r="AU270" s="2"/>
      <c r="AV270" s="2"/>
      <c r="AW270" s="2"/>
      <c r="AX270" s="2"/>
      <c r="AY270" s="2">
        <v>42</v>
      </c>
      <c r="AZ270" s="2" t="s">
        <v>182</v>
      </c>
      <c r="BA270" s="2">
        <v>70</v>
      </c>
      <c r="BB270" s="2" t="s">
        <v>236</v>
      </c>
      <c r="BC270" s="2">
        <v>70</v>
      </c>
      <c r="BD270" s="2" t="s">
        <v>236</v>
      </c>
      <c r="BE270" s="2">
        <v>1</v>
      </c>
      <c r="BF270" s="2" t="s">
        <v>107</v>
      </c>
      <c r="BG270" s="2"/>
      <c r="BH270" s="2"/>
      <c r="BI270" s="2"/>
      <c r="BJ270" s="2">
        <v>242</v>
      </c>
      <c r="BK270" s="2" t="s">
        <v>107</v>
      </c>
      <c r="BL270" s="2"/>
      <c r="BM270" s="2">
        <v>242</v>
      </c>
      <c r="BN270" s="2" t="s">
        <v>107</v>
      </c>
      <c r="BO270" s="2"/>
      <c r="BP270" s="2">
        <v>242</v>
      </c>
      <c r="BQ270" s="2" t="s">
        <v>107</v>
      </c>
      <c r="BR270" s="2"/>
      <c r="BS270" s="3">
        <v>40202</v>
      </c>
      <c r="BT270" s="4">
        <v>0.53627314814814808</v>
      </c>
    </row>
    <row r="271" spans="1:72" x14ac:dyDescent="0.25">
      <c r="A271" s="2">
        <v>422</v>
      </c>
      <c r="B271" s="2">
        <v>2010</v>
      </c>
      <c r="C271" s="2" t="s">
        <v>72</v>
      </c>
      <c r="D271" s="2" t="s">
        <v>73</v>
      </c>
      <c r="E271" s="2"/>
      <c r="F271" s="2">
        <v>9</v>
      </c>
      <c r="G271" s="2" t="s">
        <v>364</v>
      </c>
      <c r="H271" s="2">
        <v>44</v>
      </c>
      <c r="I271" s="2" t="s">
        <v>1272</v>
      </c>
      <c r="J271" s="2">
        <v>18</v>
      </c>
      <c r="K271" s="2" t="s">
        <v>365</v>
      </c>
      <c r="L271" s="2" t="s">
        <v>115</v>
      </c>
      <c r="M271" s="3">
        <v>40202</v>
      </c>
      <c r="N271" s="2" t="s">
        <v>423</v>
      </c>
      <c r="O271" s="2"/>
      <c r="P271" s="2"/>
      <c r="Q271" s="2" t="str">
        <f>"05-10"</f>
        <v>05-10</v>
      </c>
      <c r="R271" s="2"/>
      <c r="S271" s="2" t="s">
        <v>601</v>
      </c>
      <c r="T271" s="2">
        <v>1</v>
      </c>
      <c r="U271" s="2" t="s">
        <v>79</v>
      </c>
      <c r="V271" s="2">
        <v>1</v>
      </c>
      <c r="W271" s="2" t="s">
        <v>80</v>
      </c>
      <c r="X271" s="2">
        <v>1</v>
      </c>
      <c r="Y271" s="2" t="s">
        <v>81</v>
      </c>
      <c r="Z271" s="2">
        <v>1</v>
      </c>
      <c r="AA271" s="2" t="s">
        <v>82</v>
      </c>
      <c r="AB271" s="2">
        <v>6</v>
      </c>
      <c r="AC271" s="2" t="s">
        <v>83</v>
      </c>
      <c r="AD271" s="3">
        <v>40202</v>
      </c>
      <c r="AE271" s="2"/>
      <c r="AF271" s="3">
        <v>40202</v>
      </c>
      <c r="AG271" s="4">
        <v>0.54861111111111105</v>
      </c>
      <c r="AH271" s="2">
        <v>3</v>
      </c>
      <c r="AI271" s="2" t="s">
        <v>214</v>
      </c>
      <c r="AJ271" s="2">
        <v>24</v>
      </c>
      <c r="AK271" s="2" t="s">
        <v>215</v>
      </c>
      <c r="AL271" s="2">
        <v>21</v>
      </c>
      <c r="AM271" s="2" t="s">
        <v>1311</v>
      </c>
      <c r="AN271" s="2"/>
      <c r="AO271" s="2"/>
      <c r="AP271" s="2">
        <v>11</v>
      </c>
      <c r="AQ271" s="2" t="s">
        <v>82</v>
      </c>
      <c r="AR271" s="2"/>
      <c r="AS271" s="2"/>
      <c r="AT271" s="2" t="s">
        <v>1396</v>
      </c>
      <c r="AU271" s="2"/>
      <c r="AV271" s="2"/>
      <c r="AW271" s="2"/>
      <c r="AX271" s="2"/>
      <c r="AY271" s="2">
        <v>41</v>
      </c>
      <c r="AZ271" s="2" t="s">
        <v>82</v>
      </c>
      <c r="BA271" s="2">
        <v>41</v>
      </c>
      <c r="BB271" s="2" t="s">
        <v>82</v>
      </c>
      <c r="BC271" s="2">
        <v>41</v>
      </c>
      <c r="BD271" s="2" t="s">
        <v>82</v>
      </c>
      <c r="BE271" s="2">
        <v>41</v>
      </c>
      <c r="BF271" s="2" t="s">
        <v>82</v>
      </c>
      <c r="BG271" s="2" t="s">
        <v>82</v>
      </c>
      <c r="BH271" s="2"/>
      <c r="BI271" s="2"/>
      <c r="BJ271" s="2">
        <v>241</v>
      </c>
      <c r="BK271" s="2" t="s">
        <v>82</v>
      </c>
      <c r="BL271" s="2"/>
      <c r="BM271" s="2">
        <v>241</v>
      </c>
      <c r="BN271" s="2" t="s">
        <v>82</v>
      </c>
      <c r="BO271" s="2"/>
      <c r="BP271" s="2">
        <v>241</v>
      </c>
      <c r="BQ271" s="2" t="s">
        <v>82</v>
      </c>
      <c r="BR271" s="2"/>
      <c r="BS271" s="3">
        <v>40202</v>
      </c>
      <c r="BT271" s="4">
        <v>0.63493055555555555</v>
      </c>
    </row>
    <row r="272" spans="1:72" x14ac:dyDescent="0.25">
      <c r="A272" s="2">
        <v>423</v>
      </c>
      <c r="B272" s="2">
        <v>2010</v>
      </c>
      <c r="C272" s="2" t="s">
        <v>764</v>
      </c>
      <c r="D272" s="2" t="s">
        <v>73</v>
      </c>
      <c r="E272" s="2"/>
      <c r="F272" s="2">
        <v>155</v>
      </c>
      <c r="G272" s="2" t="s">
        <v>1030</v>
      </c>
      <c r="H272" s="2">
        <v>11</v>
      </c>
      <c r="I272" s="2" t="s">
        <v>1397</v>
      </c>
      <c r="J272" s="2">
        <v>167</v>
      </c>
      <c r="K272" s="2" t="s">
        <v>1032</v>
      </c>
      <c r="L272" s="2" t="s">
        <v>1033</v>
      </c>
      <c r="M272" s="3">
        <v>40202</v>
      </c>
      <c r="N272" s="2" t="s">
        <v>1398</v>
      </c>
      <c r="O272" s="2"/>
      <c r="P272" s="2"/>
      <c r="Q272" s="2" t="str">
        <f>"029-A/10"</f>
        <v>029-A/10</v>
      </c>
      <c r="R272" s="2"/>
      <c r="S272" s="2" t="s">
        <v>480</v>
      </c>
      <c r="T272" s="2">
        <v>1</v>
      </c>
      <c r="U272" s="2" t="s">
        <v>79</v>
      </c>
      <c r="V272" s="2">
        <v>1</v>
      </c>
      <c r="W272" s="2" t="s">
        <v>80</v>
      </c>
      <c r="X272" s="2">
        <v>1</v>
      </c>
      <c r="Y272" s="2" t="s">
        <v>81</v>
      </c>
      <c r="Z272" s="2">
        <v>1</v>
      </c>
      <c r="AA272" s="2" t="s">
        <v>82</v>
      </c>
      <c r="AB272" s="2">
        <v>9</v>
      </c>
      <c r="AC272" s="2" t="s">
        <v>124</v>
      </c>
      <c r="AD272" s="3">
        <v>40202</v>
      </c>
      <c r="AE272" s="4">
        <v>0.41666666666666669</v>
      </c>
      <c r="AF272" s="2"/>
      <c r="AG272" s="2"/>
      <c r="AH272" s="2">
        <v>2</v>
      </c>
      <c r="AI272" s="2" t="s">
        <v>84</v>
      </c>
      <c r="AJ272" s="2">
        <v>12</v>
      </c>
      <c r="AK272" s="2" t="s">
        <v>85</v>
      </c>
      <c r="AL272" s="2">
        <v>10</v>
      </c>
      <c r="AM272" s="2" t="s">
        <v>200</v>
      </c>
      <c r="AN272" s="2" t="s">
        <v>1399</v>
      </c>
      <c r="AO272" s="2" t="s">
        <v>993</v>
      </c>
      <c r="AP272" s="2">
        <v>11</v>
      </c>
      <c r="AQ272" s="2" t="s">
        <v>82</v>
      </c>
      <c r="AR272" s="2"/>
      <c r="AS272" s="2"/>
      <c r="AT272" s="2" t="s">
        <v>1400</v>
      </c>
      <c r="AU272" s="2">
        <v>1</v>
      </c>
      <c r="AV272" s="2"/>
      <c r="AW272" s="2"/>
      <c r="AX272" s="2"/>
      <c r="AY272" s="2">
        <v>41</v>
      </c>
      <c r="AZ272" s="2" t="s">
        <v>82</v>
      </c>
      <c r="BA272" s="2">
        <v>41</v>
      </c>
      <c r="BB272" s="2" t="s">
        <v>82</v>
      </c>
      <c r="BC272" s="2">
        <v>41</v>
      </c>
      <c r="BD272" s="2" t="s">
        <v>82</v>
      </c>
      <c r="BE272" s="2">
        <v>41</v>
      </c>
      <c r="BF272" s="2" t="s">
        <v>82</v>
      </c>
      <c r="BG272" s="2"/>
      <c r="BH272" s="2"/>
      <c r="BI272" s="2"/>
      <c r="BJ272" s="2">
        <v>241</v>
      </c>
      <c r="BK272" s="2" t="s">
        <v>82</v>
      </c>
      <c r="BL272" s="2"/>
      <c r="BM272" s="2">
        <v>241</v>
      </c>
      <c r="BN272" s="2" t="s">
        <v>82</v>
      </c>
      <c r="BO272" s="2"/>
      <c r="BP272" s="2">
        <v>241</v>
      </c>
      <c r="BQ272" s="2" t="s">
        <v>82</v>
      </c>
      <c r="BR272" s="2"/>
      <c r="BS272" s="3">
        <v>40202</v>
      </c>
      <c r="BT272" s="4">
        <v>0.64041666666666663</v>
      </c>
    </row>
    <row r="273" spans="1:72" x14ac:dyDescent="0.25">
      <c r="A273" s="2">
        <v>424</v>
      </c>
      <c r="B273" s="2">
        <v>2010</v>
      </c>
      <c r="C273" s="2" t="s">
        <v>171</v>
      </c>
      <c r="D273" s="2" t="s">
        <v>122</v>
      </c>
      <c r="E273" s="2" t="s">
        <v>1354</v>
      </c>
      <c r="F273" s="2">
        <v>395</v>
      </c>
      <c r="G273" s="2" t="s">
        <v>1076</v>
      </c>
      <c r="H273" s="2">
        <v>7</v>
      </c>
      <c r="I273" s="2" t="s">
        <v>476</v>
      </c>
      <c r="J273" s="2">
        <v>242</v>
      </c>
      <c r="K273" s="2" t="s">
        <v>1077</v>
      </c>
      <c r="L273" s="2" t="s">
        <v>1078</v>
      </c>
      <c r="M273" s="3">
        <v>40203</v>
      </c>
      <c r="N273" s="2" t="s">
        <v>1339</v>
      </c>
      <c r="O273" s="2"/>
      <c r="P273" s="2"/>
      <c r="Q273" s="2" t="str">
        <f>"045-E/10"</f>
        <v>045-E/10</v>
      </c>
      <c r="R273" s="2" t="s">
        <v>391</v>
      </c>
      <c r="S273" s="2"/>
      <c r="T273" s="2">
        <v>1</v>
      </c>
      <c r="U273" s="2" t="s">
        <v>79</v>
      </c>
      <c r="V273" s="2">
        <v>1</v>
      </c>
      <c r="W273" s="2" t="s">
        <v>80</v>
      </c>
      <c r="X273" s="2">
        <v>1</v>
      </c>
      <c r="Y273" s="2" t="s">
        <v>81</v>
      </c>
      <c r="Z273" s="2">
        <v>10</v>
      </c>
      <c r="AA273" s="2" t="s">
        <v>236</v>
      </c>
      <c r="AB273" s="2">
        <v>1</v>
      </c>
      <c r="AC273" s="2" t="s">
        <v>178</v>
      </c>
      <c r="AD273" s="3">
        <v>40200</v>
      </c>
      <c r="AE273" s="4">
        <v>0.71875</v>
      </c>
      <c r="AF273" s="3">
        <v>40200</v>
      </c>
      <c r="AG273" s="4">
        <v>0.71875</v>
      </c>
      <c r="AH273" s="2">
        <v>2</v>
      </c>
      <c r="AI273" s="2" t="s">
        <v>84</v>
      </c>
      <c r="AJ273" s="2">
        <v>9</v>
      </c>
      <c r="AK273" s="2" t="s">
        <v>103</v>
      </c>
      <c r="AL273" s="2">
        <v>11</v>
      </c>
      <c r="AM273" s="2" t="s">
        <v>137</v>
      </c>
      <c r="AN273" s="2" t="s">
        <v>1340</v>
      </c>
      <c r="AO273" s="2" t="s">
        <v>1341</v>
      </c>
      <c r="AP273" s="2">
        <v>11</v>
      </c>
      <c r="AQ273" s="2" t="s">
        <v>82</v>
      </c>
      <c r="AR273" s="2"/>
      <c r="AS273" s="2"/>
      <c r="AT273" s="2" t="s">
        <v>1401</v>
      </c>
      <c r="AU273" s="2"/>
      <c r="AV273" s="2">
        <v>1</v>
      </c>
      <c r="AW273" s="2"/>
      <c r="AX273" s="2"/>
      <c r="AY273" s="2">
        <v>42</v>
      </c>
      <c r="AZ273" s="2" t="s">
        <v>182</v>
      </c>
      <c r="BA273" s="2">
        <v>41</v>
      </c>
      <c r="BB273" s="2" t="s">
        <v>82</v>
      </c>
      <c r="BC273" s="2">
        <v>41</v>
      </c>
      <c r="BD273" s="2" t="s">
        <v>82</v>
      </c>
      <c r="BE273" s="2">
        <v>14</v>
      </c>
      <c r="BF273" s="2" t="s">
        <v>484</v>
      </c>
      <c r="BG273" s="2">
        <v>417</v>
      </c>
      <c r="BH273" s="2"/>
      <c r="BI273" s="4">
        <v>0.75</v>
      </c>
      <c r="BJ273" s="2">
        <v>13</v>
      </c>
      <c r="BK273" s="2" t="s">
        <v>91</v>
      </c>
      <c r="BL273" s="2" t="s">
        <v>360</v>
      </c>
      <c r="BM273" s="2">
        <v>82</v>
      </c>
      <c r="BN273" s="2" t="s">
        <v>487</v>
      </c>
      <c r="BO273" s="2" t="s">
        <v>488</v>
      </c>
      <c r="BP273" s="2">
        <v>73</v>
      </c>
      <c r="BQ273" s="2" t="s">
        <v>186</v>
      </c>
      <c r="BR273" s="2" t="s">
        <v>1343</v>
      </c>
      <c r="BS273" s="3">
        <v>40203</v>
      </c>
      <c r="BT273" s="4">
        <v>0.3379050925925926</v>
      </c>
    </row>
    <row r="274" spans="1:72" x14ac:dyDescent="0.25">
      <c r="A274" s="2">
        <v>426</v>
      </c>
      <c r="B274" s="2">
        <v>2010</v>
      </c>
      <c r="C274" s="2" t="s">
        <v>1402</v>
      </c>
      <c r="D274" s="2" t="s">
        <v>73</v>
      </c>
      <c r="E274" s="2"/>
      <c r="F274" s="2">
        <v>544</v>
      </c>
      <c r="G274" s="2" t="s">
        <v>1403</v>
      </c>
      <c r="H274" s="2">
        <v>4</v>
      </c>
      <c r="I274" s="2" t="s">
        <v>173</v>
      </c>
      <c r="J274" s="2">
        <v>347</v>
      </c>
      <c r="K274" s="2" t="s">
        <v>996</v>
      </c>
      <c r="L274" s="2" t="s">
        <v>997</v>
      </c>
      <c r="M274" s="3">
        <v>40203</v>
      </c>
      <c r="N274" s="2" t="s">
        <v>1404</v>
      </c>
      <c r="O274" s="2" t="s">
        <v>1405</v>
      </c>
      <c r="P274" s="2" t="s">
        <v>107</v>
      </c>
      <c r="Q274" s="2" t="str">
        <f>"0003/2010"</f>
        <v>0003/2010</v>
      </c>
      <c r="R274" s="2" t="s">
        <v>107</v>
      </c>
      <c r="S274" s="2" t="s">
        <v>107</v>
      </c>
      <c r="T274" s="2">
        <v>1</v>
      </c>
      <c r="U274" s="2" t="s">
        <v>79</v>
      </c>
      <c r="V274" s="2">
        <v>1</v>
      </c>
      <c r="W274" s="2" t="s">
        <v>80</v>
      </c>
      <c r="X274" s="2">
        <v>1</v>
      </c>
      <c r="Y274" s="2" t="s">
        <v>81</v>
      </c>
      <c r="Z274" s="2">
        <v>10</v>
      </c>
      <c r="AA274" s="2" t="s">
        <v>236</v>
      </c>
      <c r="AB274" s="2">
        <v>9</v>
      </c>
      <c r="AC274" s="2" t="s">
        <v>124</v>
      </c>
      <c r="AD274" s="3">
        <v>40203</v>
      </c>
      <c r="AE274" s="4">
        <v>0.2638888888888889</v>
      </c>
      <c r="AF274" s="3">
        <v>40203</v>
      </c>
      <c r="AG274" s="4">
        <v>0.27083333333333331</v>
      </c>
      <c r="AH274" s="2">
        <v>5</v>
      </c>
      <c r="AI274" s="2" t="s">
        <v>274</v>
      </c>
      <c r="AJ274" s="2">
        <v>42</v>
      </c>
      <c r="AK274" s="2" t="s">
        <v>660</v>
      </c>
      <c r="AL274" s="2">
        <v>9</v>
      </c>
      <c r="AM274" s="2" t="s">
        <v>259</v>
      </c>
      <c r="AN274" s="2" t="s">
        <v>1406</v>
      </c>
      <c r="AO274" s="2" t="s">
        <v>1000</v>
      </c>
      <c r="AP274" s="2">
        <v>11</v>
      </c>
      <c r="AQ274" s="2" t="s">
        <v>82</v>
      </c>
      <c r="AR274" s="2" t="s">
        <v>82</v>
      </c>
      <c r="AS274" s="2" t="s">
        <v>82</v>
      </c>
      <c r="AT274" s="2" t="s">
        <v>1407</v>
      </c>
      <c r="AU274" s="2"/>
      <c r="AV274" s="2"/>
      <c r="AW274" s="2"/>
      <c r="AX274" s="2"/>
      <c r="AY274" s="2">
        <v>41</v>
      </c>
      <c r="AZ274" s="2" t="s">
        <v>82</v>
      </c>
      <c r="BA274" s="2">
        <v>41</v>
      </c>
      <c r="BB274" s="2" t="s">
        <v>82</v>
      </c>
      <c r="BC274" s="2">
        <v>41</v>
      </c>
      <c r="BD274" s="2" t="s">
        <v>82</v>
      </c>
      <c r="BE274" s="2">
        <v>41</v>
      </c>
      <c r="BF274" s="2" t="s">
        <v>82</v>
      </c>
      <c r="BG274" s="2" t="s">
        <v>82</v>
      </c>
      <c r="BH274" s="2"/>
      <c r="BI274" s="2"/>
      <c r="BJ274" s="2">
        <v>241</v>
      </c>
      <c r="BK274" s="2" t="s">
        <v>82</v>
      </c>
      <c r="BL274" s="2" t="s">
        <v>82</v>
      </c>
      <c r="BM274" s="2">
        <v>241</v>
      </c>
      <c r="BN274" s="2" t="s">
        <v>82</v>
      </c>
      <c r="BO274" s="2" t="s">
        <v>82</v>
      </c>
      <c r="BP274" s="2">
        <v>241</v>
      </c>
      <c r="BQ274" s="2" t="s">
        <v>82</v>
      </c>
      <c r="BR274" s="2" t="s">
        <v>82</v>
      </c>
      <c r="BS274" s="3">
        <v>40203</v>
      </c>
      <c r="BT274" s="4">
        <v>0.4720138888888889</v>
      </c>
    </row>
    <row r="275" spans="1:72" x14ac:dyDescent="0.25">
      <c r="A275" s="2">
        <v>427</v>
      </c>
      <c r="B275" s="2">
        <v>2010</v>
      </c>
      <c r="C275" s="2" t="s">
        <v>255</v>
      </c>
      <c r="D275" s="2" t="s">
        <v>73</v>
      </c>
      <c r="E275" s="2"/>
      <c r="F275" s="2">
        <v>45</v>
      </c>
      <c r="G275" s="2" t="s">
        <v>1408</v>
      </c>
      <c r="H275" s="2">
        <v>47</v>
      </c>
      <c r="I275" s="2" t="s">
        <v>1409</v>
      </c>
      <c r="J275" s="2">
        <v>388</v>
      </c>
      <c r="K275" s="2" t="s">
        <v>1410</v>
      </c>
      <c r="L275" s="2" t="s">
        <v>865</v>
      </c>
      <c r="M275" s="3">
        <v>40203</v>
      </c>
      <c r="N275" s="2"/>
      <c r="O275" s="2"/>
      <c r="P275" s="2"/>
      <c r="Q275" s="2" t="str">
        <f>"01/2010"</f>
        <v>01/2010</v>
      </c>
      <c r="R275" s="2" t="s">
        <v>1411</v>
      </c>
      <c r="S275" s="2" t="s">
        <v>1412</v>
      </c>
      <c r="T275" s="2">
        <v>1</v>
      </c>
      <c r="U275" s="2" t="s">
        <v>79</v>
      </c>
      <c r="V275" s="2">
        <v>1</v>
      </c>
      <c r="W275" s="2" t="s">
        <v>80</v>
      </c>
      <c r="X275" s="2">
        <v>5</v>
      </c>
      <c r="Y275" s="2" t="s">
        <v>82</v>
      </c>
      <c r="Z275" s="2">
        <v>3</v>
      </c>
      <c r="AA275" s="2" t="s">
        <v>257</v>
      </c>
      <c r="AB275" s="2">
        <v>9</v>
      </c>
      <c r="AC275" s="2" t="s">
        <v>124</v>
      </c>
      <c r="AD275" s="3">
        <v>40203</v>
      </c>
      <c r="AE275" s="4">
        <v>0.41666666666666669</v>
      </c>
      <c r="AF275" s="3">
        <v>40203</v>
      </c>
      <c r="AG275" s="4">
        <v>0.41666666666666669</v>
      </c>
      <c r="AH275" s="2">
        <v>4</v>
      </c>
      <c r="AI275" s="2" t="s">
        <v>125</v>
      </c>
      <c r="AJ275" s="2">
        <v>31</v>
      </c>
      <c r="AK275" s="2" t="s">
        <v>1413</v>
      </c>
      <c r="AL275" s="2">
        <v>18</v>
      </c>
      <c r="AM275" s="2" t="s">
        <v>82</v>
      </c>
      <c r="AN275" s="2"/>
      <c r="AO275" s="2" t="s">
        <v>1414</v>
      </c>
      <c r="AP275" s="2">
        <v>11</v>
      </c>
      <c r="AQ275" s="2" t="s">
        <v>82</v>
      </c>
      <c r="AR275" s="2"/>
      <c r="AS275" s="2"/>
      <c r="AT275" s="2" t="s">
        <v>1415</v>
      </c>
      <c r="AU275" s="2"/>
      <c r="AV275" s="2"/>
      <c r="AW275" s="2"/>
      <c r="AX275" s="2"/>
      <c r="AY275" s="2">
        <v>44</v>
      </c>
      <c r="AZ275" s="2" t="s">
        <v>262</v>
      </c>
      <c r="BA275" s="2">
        <v>44</v>
      </c>
      <c r="BB275" s="2" t="s">
        <v>262</v>
      </c>
      <c r="BC275" s="2">
        <v>44</v>
      </c>
      <c r="BD275" s="2" t="s">
        <v>262</v>
      </c>
      <c r="BE275" s="2">
        <v>44</v>
      </c>
      <c r="BF275" s="2" t="s">
        <v>262</v>
      </c>
      <c r="BG275" s="2"/>
      <c r="BH275" s="2"/>
      <c r="BI275" s="2"/>
      <c r="BJ275" s="2">
        <v>242</v>
      </c>
      <c r="BK275" s="2" t="s">
        <v>107</v>
      </c>
      <c r="BL275" s="2"/>
      <c r="BM275" s="2">
        <v>242</v>
      </c>
      <c r="BN275" s="2" t="s">
        <v>107</v>
      </c>
      <c r="BO275" s="2"/>
      <c r="BP275" s="2">
        <v>242</v>
      </c>
      <c r="BQ275" s="2" t="s">
        <v>107</v>
      </c>
      <c r="BR275" s="2"/>
      <c r="BS275" s="3">
        <v>40203</v>
      </c>
      <c r="BT275" s="4">
        <v>0.54515046296296299</v>
      </c>
    </row>
    <row r="276" spans="1:72" x14ac:dyDescent="0.25">
      <c r="A276" s="2">
        <v>429</v>
      </c>
      <c r="B276" s="2">
        <v>2010</v>
      </c>
      <c r="C276" s="2" t="s">
        <v>554</v>
      </c>
      <c r="D276" s="2" t="s">
        <v>73</v>
      </c>
      <c r="E276" s="2"/>
      <c r="F276" s="2">
        <v>286</v>
      </c>
      <c r="G276" s="2" t="s">
        <v>1416</v>
      </c>
      <c r="H276" s="2">
        <v>42</v>
      </c>
      <c r="I276" s="2" t="s">
        <v>1096</v>
      </c>
      <c r="J276" s="2">
        <v>340</v>
      </c>
      <c r="K276" s="2" t="s">
        <v>1417</v>
      </c>
      <c r="L276" s="2" t="s">
        <v>1418</v>
      </c>
      <c r="M276" s="3">
        <v>40203</v>
      </c>
      <c r="N276" s="2" t="s">
        <v>1419</v>
      </c>
      <c r="O276" s="2"/>
      <c r="P276" s="2"/>
      <c r="Q276" s="2" t="str">
        <f>"002/10"</f>
        <v>002/10</v>
      </c>
      <c r="R276" s="2" t="s">
        <v>1420</v>
      </c>
      <c r="S276" s="2" t="s">
        <v>822</v>
      </c>
      <c r="T276" s="2">
        <v>1</v>
      </c>
      <c r="U276" s="2" t="s">
        <v>79</v>
      </c>
      <c r="V276" s="2">
        <v>1</v>
      </c>
      <c r="W276" s="2" t="s">
        <v>80</v>
      </c>
      <c r="X276" s="2">
        <v>5</v>
      </c>
      <c r="Y276" s="2" t="s">
        <v>82</v>
      </c>
      <c r="Z276" s="2">
        <v>1</v>
      </c>
      <c r="AA276" s="2" t="s">
        <v>82</v>
      </c>
      <c r="AB276" s="2">
        <v>5</v>
      </c>
      <c r="AC276" s="2" t="s">
        <v>559</v>
      </c>
      <c r="AD276" s="3">
        <v>40203</v>
      </c>
      <c r="AE276" s="2"/>
      <c r="AF276" s="3">
        <v>40203</v>
      </c>
      <c r="AG276" s="4">
        <v>0.48819444444444443</v>
      </c>
      <c r="AH276" s="2">
        <v>5</v>
      </c>
      <c r="AI276" s="2" t="s">
        <v>274</v>
      </c>
      <c r="AJ276" s="2">
        <v>37</v>
      </c>
      <c r="AK276" s="2" t="s">
        <v>497</v>
      </c>
      <c r="AL276" s="2">
        <v>19</v>
      </c>
      <c r="AM276" s="2" t="s">
        <v>107</v>
      </c>
      <c r="AN276" s="2"/>
      <c r="AO276" s="2"/>
      <c r="AP276" s="2">
        <v>11</v>
      </c>
      <c r="AQ276" s="2" t="s">
        <v>82</v>
      </c>
      <c r="AR276" s="2"/>
      <c r="AS276" s="2"/>
      <c r="AT276" s="2" t="s">
        <v>1421</v>
      </c>
      <c r="AU276" s="2"/>
      <c r="AV276" s="2"/>
      <c r="AW276" s="2"/>
      <c r="AX276" s="2"/>
      <c r="AY276" s="2">
        <v>41</v>
      </c>
      <c r="AZ276" s="2" t="s">
        <v>82</v>
      </c>
      <c r="BA276" s="2">
        <v>41</v>
      </c>
      <c r="BB276" s="2" t="s">
        <v>82</v>
      </c>
      <c r="BC276" s="2">
        <v>13</v>
      </c>
      <c r="BD276" s="2" t="s">
        <v>108</v>
      </c>
      <c r="BE276" s="2">
        <v>13</v>
      </c>
      <c r="BF276" s="2" t="s">
        <v>108</v>
      </c>
      <c r="BG276" s="2" t="s">
        <v>1422</v>
      </c>
      <c r="BH276" s="4">
        <v>0.46527777777777773</v>
      </c>
      <c r="BI276" s="4">
        <v>0.40277777777777773</v>
      </c>
      <c r="BJ276" s="2">
        <v>13</v>
      </c>
      <c r="BK276" s="2" t="s">
        <v>91</v>
      </c>
      <c r="BL276" s="2" t="s">
        <v>170</v>
      </c>
      <c r="BM276" s="2">
        <v>241</v>
      </c>
      <c r="BN276" s="2" t="s">
        <v>82</v>
      </c>
      <c r="BO276" s="2"/>
      <c r="BP276" s="2">
        <v>13</v>
      </c>
      <c r="BQ276" s="2" t="s">
        <v>91</v>
      </c>
      <c r="BR276" s="2" t="s">
        <v>1423</v>
      </c>
      <c r="BS276" s="3">
        <v>40203</v>
      </c>
      <c r="BT276" s="4">
        <v>0.59753472222222215</v>
      </c>
    </row>
    <row r="277" spans="1:72" x14ac:dyDescent="0.25">
      <c r="A277" s="2">
        <v>431</v>
      </c>
      <c r="B277" s="2">
        <v>2010</v>
      </c>
      <c r="C277" s="2" t="s">
        <v>72</v>
      </c>
      <c r="D277" s="2" t="s">
        <v>73</v>
      </c>
      <c r="E277" s="2"/>
      <c r="F277" s="2">
        <v>168</v>
      </c>
      <c r="G277" s="2" t="s">
        <v>703</v>
      </c>
      <c r="H277" s="2">
        <v>43</v>
      </c>
      <c r="I277" s="2" t="s">
        <v>1166</v>
      </c>
      <c r="J277" s="2">
        <v>305</v>
      </c>
      <c r="K277" s="2" t="s">
        <v>160</v>
      </c>
      <c r="L277" s="2" t="s">
        <v>161</v>
      </c>
      <c r="M277" s="3">
        <v>40203</v>
      </c>
      <c r="N277" s="2" t="s">
        <v>1010</v>
      </c>
      <c r="O277" s="2" t="s">
        <v>82</v>
      </c>
      <c r="P277" s="2" t="s">
        <v>82</v>
      </c>
      <c r="Q277" s="2" t="str">
        <f>"30-A/10"</f>
        <v>30-A/10</v>
      </c>
      <c r="R277" s="2" t="s">
        <v>82</v>
      </c>
      <c r="S277" s="2" t="s">
        <v>78</v>
      </c>
      <c r="T277" s="2">
        <v>1</v>
      </c>
      <c r="U277" s="2" t="s">
        <v>79</v>
      </c>
      <c r="V277" s="2">
        <v>1</v>
      </c>
      <c r="W277" s="2" t="s">
        <v>80</v>
      </c>
      <c r="X277" s="2">
        <v>1</v>
      </c>
      <c r="Y277" s="2" t="s">
        <v>81</v>
      </c>
      <c r="Z277" s="2">
        <v>1</v>
      </c>
      <c r="AA277" s="2" t="s">
        <v>82</v>
      </c>
      <c r="AB277" s="2">
        <v>6</v>
      </c>
      <c r="AC277" s="2" t="s">
        <v>83</v>
      </c>
      <c r="AD277" s="3">
        <v>40203</v>
      </c>
      <c r="AE277" s="4">
        <v>0.4375</v>
      </c>
      <c r="AF277" s="2"/>
      <c r="AG277" s="2"/>
      <c r="AH277" s="2">
        <v>2</v>
      </c>
      <c r="AI277" s="2" t="s">
        <v>84</v>
      </c>
      <c r="AJ277" s="2">
        <v>12</v>
      </c>
      <c r="AK277" s="2" t="s">
        <v>85</v>
      </c>
      <c r="AL277" s="2">
        <v>11</v>
      </c>
      <c r="AM277" s="2" t="s">
        <v>137</v>
      </c>
      <c r="AN277" s="2" t="s">
        <v>816</v>
      </c>
      <c r="AO277" s="2" t="s">
        <v>1424</v>
      </c>
      <c r="AP277" s="2">
        <v>11</v>
      </c>
      <c r="AQ277" s="2" t="s">
        <v>82</v>
      </c>
      <c r="AR277" s="2" t="s">
        <v>82</v>
      </c>
      <c r="AS277" s="2" t="s">
        <v>82</v>
      </c>
      <c r="AT277" s="2" t="s">
        <v>1425</v>
      </c>
      <c r="AU277" s="2"/>
      <c r="AV277" s="2"/>
      <c r="AW277" s="2"/>
      <c r="AX277" s="2"/>
      <c r="AY277" s="2">
        <v>41</v>
      </c>
      <c r="AZ277" s="2" t="s">
        <v>82</v>
      </c>
      <c r="BA277" s="2">
        <v>41</v>
      </c>
      <c r="BB277" s="2" t="s">
        <v>82</v>
      </c>
      <c r="BC277" s="2">
        <v>41</v>
      </c>
      <c r="BD277" s="2" t="s">
        <v>82</v>
      </c>
      <c r="BE277" s="2">
        <v>47</v>
      </c>
      <c r="BF277" s="2" t="s">
        <v>167</v>
      </c>
      <c r="BG277" s="2" t="s">
        <v>1426</v>
      </c>
      <c r="BH277" s="4">
        <v>0.5625</v>
      </c>
      <c r="BI277" s="4">
        <v>0.4826388888888889</v>
      </c>
      <c r="BJ277" s="2">
        <v>13</v>
      </c>
      <c r="BK277" s="2" t="s">
        <v>91</v>
      </c>
      <c r="BL277" s="2" t="s">
        <v>185</v>
      </c>
      <c r="BM277" s="2">
        <v>241</v>
      </c>
      <c r="BN277" s="2" t="s">
        <v>82</v>
      </c>
      <c r="BO277" s="2" t="s">
        <v>82</v>
      </c>
      <c r="BP277" s="2">
        <v>13</v>
      </c>
      <c r="BQ277" s="2" t="s">
        <v>91</v>
      </c>
      <c r="BR277" s="2" t="s">
        <v>828</v>
      </c>
      <c r="BS277" s="3">
        <v>40203</v>
      </c>
      <c r="BT277" s="4">
        <v>0.64364583333333336</v>
      </c>
    </row>
    <row r="278" spans="1:72" x14ac:dyDescent="0.25">
      <c r="A278" s="2">
        <v>433</v>
      </c>
      <c r="B278" s="2">
        <v>2010</v>
      </c>
      <c r="C278" s="2" t="s">
        <v>72</v>
      </c>
      <c r="D278" s="2" t="s">
        <v>73</v>
      </c>
      <c r="E278" s="2"/>
      <c r="F278" s="2">
        <v>390</v>
      </c>
      <c r="G278" s="2" t="s">
        <v>475</v>
      </c>
      <c r="H278" s="2">
        <v>7</v>
      </c>
      <c r="I278" s="2" t="s">
        <v>476</v>
      </c>
      <c r="J278" s="2">
        <v>314</v>
      </c>
      <c r="K278" s="2" t="s">
        <v>477</v>
      </c>
      <c r="L278" s="2" t="s">
        <v>478</v>
      </c>
      <c r="M278" s="3">
        <v>40203</v>
      </c>
      <c r="N278" s="2" t="s">
        <v>1427</v>
      </c>
      <c r="O278" s="2" t="s">
        <v>107</v>
      </c>
      <c r="P278" s="2" t="s">
        <v>107</v>
      </c>
      <c r="Q278" s="2" t="str">
        <f>"049-E/10"</f>
        <v>049-E/10</v>
      </c>
      <c r="R278" s="2" t="s">
        <v>601</v>
      </c>
      <c r="S278" s="2" t="s">
        <v>601</v>
      </c>
      <c r="T278" s="2">
        <v>1</v>
      </c>
      <c r="U278" s="2" t="s">
        <v>79</v>
      </c>
      <c r="V278" s="2">
        <v>1</v>
      </c>
      <c r="W278" s="2" t="s">
        <v>80</v>
      </c>
      <c r="X278" s="2">
        <v>1</v>
      </c>
      <c r="Y278" s="2" t="s">
        <v>81</v>
      </c>
      <c r="Z278" s="2">
        <v>1</v>
      </c>
      <c r="AA278" s="2" t="s">
        <v>82</v>
      </c>
      <c r="AB278" s="2">
        <v>6</v>
      </c>
      <c r="AC278" s="2" t="s">
        <v>83</v>
      </c>
      <c r="AD278" s="3">
        <v>40188</v>
      </c>
      <c r="AE278" s="4">
        <v>0.39583333333333331</v>
      </c>
      <c r="AF278" s="3">
        <v>40203</v>
      </c>
      <c r="AG278" s="4">
        <v>0.5</v>
      </c>
      <c r="AH278" s="2">
        <v>2</v>
      </c>
      <c r="AI278" s="2" t="s">
        <v>84</v>
      </c>
      <c r="AJ278" s="2">
        <v>9</v>
      </c>
      <c r="AK278" s="2" t="s">
        <v>103</v>
      </c>
      <c r="AL278" s="2">
        <v>10</v>
      </c>
      <c r="AM278" s="2" t="s">
        <v>200</v>
      </c>
      <c r="AN278" s="2"/>
      <c r="AO278" s="2" t="s">
        <v>1428</v>
      </c>
      <c r="AP278" s="2">
        <v>11</v>
      </c>
      <c r="AQ278" s="2" t="s">
        <v>82</v>
      </c>
      <c r="AR278" s="2"/>
      <c r="AS278" s="2"/>
      <c r="AT278" s="2" t="s">
        <v>1429</v>
      </c>
      <c r="AU278" s="2"/>
      <c r="AV278" s="2"/>
      <c r="AW278" s="2"/>
      <c r="AX278" s="2"/>
      <c r="AY278" s="2">
        <v>41</v>
      </c>
      <c r="AZ278" s="2" t="s">
        <v>82</v>
      </c>
      <c r="BA278" s="2">
        <v>41</v>
      </c>
      <c r="BB278" s="2" t="s">
        <v>82</v>
      </c>
      <c r="BC278" s="2">
        <v>41</v>
      </c>
      <c r="BD278" s="2" t="s">
        <v>82</v>
      </c>
      <c r="BE278" s="2">
        <v>31</v>
      </c>
      <c r="BF278" s="2" t="s">
        <v>398</v>
      </c>
      <c r="BG278" s="2" t="s">
        <v>1430</v>
      </c>
      <c r="BH278" s="4">
        <v>0.39583333333333331</v>
      </c>
      <c r="BI278" s="4">
        <v>0.91666666666666663</v>
      </c>
      <c r="BJ278" s="2">
        <v>73</v>
      </c>
      <c r="BK278" s="2" t="s">
        <v>186</v>
      </c>
      <c r="BL278" s="2" t="s">
        <v>1431</v>
      </c>
      <c r="BM278" s="2">
        <v>73</v>
      </c>
      <c r="BN278" s="2" t="s">
        <v>186</v>
      </c>
      <c r="BO278" s="2" t="s">
        <v>187</v>
      </c>
      <c r="BP278" s="2">
        <v>13</v>
      </c>
      <c r="BQ278" s="2" t="s">
        <v>91</v>
      </c>
      <c r="BR278" s="2" t="s">
        <v>112</v>
      </c>
      <c r="BS278" s="3">
        <v>40203</v>
      </c>
      <c r="BT278" s="4">
        <v>0.67031249999999998</v>
      </c>
    </row>
    <row r="279" spans="1:72" x14ac:dyDescent="0.25">
      <c r="A279" s="2">
        <v>434</v>
      </c>
      <c r="B279" s="2">
        <v>2010</v>
      </c>
      <c r="C279" s="2" t="s">
        <v>72</v>
      </c>
      <c r="D279" s="2" t="s">
        <v>73</v>
      </c>
      <c r="E279" s="2"/>
      <c r="F279" s="2">
        <v>92</v>
      </c>
      <c r="G279" s="2" t="s">
        <v>1432</v>
      </c>
      <c r="H279" s="2">
        <v>42</v>
      </c>
      <c r="I279" s="2" t="s">
        <v>1096</v>
      </c>
      <c r="J279" s="2">
        <v>119</v>
      </c>
      <c r="K279" s="2" t="s">
        <v>325</v>
      </c>
      <c r="L279" s="2" t="s">
        <v>326</v>
      </c>
      <c r="M279" s="3">
        <v>40203</v>
      </c>
      <c r="N279" s="2" t="s">
        <v>1433</v>
      </c>
      <c r="O279" s="2"/>
      <c r="P279" s="2"/>
      <c r="Q279" s="2" t="str">
        <f>"0004/10"</f>
        <v>0004/10</v>
      </c>
      <c r="R279" s="2" t="s">
        <v>1434</v>
      </c>
      <c r="S279" s="2" t="s">
        <v>1434</v>
      </c>
      <c r="T279" s="2">
        <v>1</v>
      </c>
      <c r="U279" s="2" t="s">
        <v>79</v>
      </c>
      <c r="V279" s="2">
        <v>1</v>
      </c>
      <c r="W279" s="2" t="s">
        <v>80</v>
      </c>
      <c r="X279" s="2">
        <v>2</v>
      </c>
      <c r="Y279" s="2" t="s">
        <v>136</v>
      </c>
      <c r="Z279" s="2">
        <v>1</v>
      </c>
      <c r="AA279" s="2" t="s">
        <v>82</v>
      </c>
      <c r="AB279" s="2">
        <v>6</v>
      </c>
      <c r="AC279" s="2" t="s">
        <v>83</v>
      </c>
      <c r="AD279" s="3">
        <v>40199</v>
      </c>
      <c r="AE279" s="4">
        <v>0.52083333333333337</v>
      </c>
      <c r="AF279" s="2"/>
      <c r="AG279" s="2"/>
      <c r="AH279" s="2">
        <v>6</v>
      </c>
      <c r="AI279" s="2" t="s">
        <v>197</v>
      </c>
      <c r="AJ279" s="2">
        <v>50</v>
      </c>
      <c r="AK279" s="2" t="s">
        <v>330</v>
      </c>
      <c r="AL279" s="2">
        <v>2</v>
      </c>
      <c r="AM279" s="2" t="s">
        <v>163</v>
      </c>
      <c r="AN279" s="2" t="s">
        <v>1435</v>
      </c>
      <c r="AO279" s="2" t="s">
        <v>1436</v>
      </c>
      <c r="AP279" s="2">
        <v>11</v>
      </c>
      <c r="AQ279" s="2" t="s">
        <v>82</v>
      </c>
      <c r="AR279" s="2"/>
      <c r="AS279" s="2"/>
      <c r="AT279" s="2" t="s">
        <v>1437</v>
      </c>
      <c r="AU279" s="2"/>
      <c r="AV279" s="2"/>
      <c r="AW279" s="2"/>
      <c r="AX279" s="2"/>
      <c r="AY279" s="2">
        <v>41</v>
      </c>
      <c r="AZ279" s="2" t="s">
        <v>82</v>
      </c>
      <c r="BA279" s="2">
        <v>41</v>
      </c>
      <c r="BB279" s="2" t="s">
        <v>82</v>
      </c>
      <c r="BC279" s="2">
        <v>41</v>
      </c>
      <c r="BD279" s="2" t="s">
        <v>82</v>
      </c>
      <c r="BE279" s="2">
        <v>41</v>
      </c>
      <c r="BF279" s="2" t="s">
        <v>82</v>
      </c>
      <c r="BG279" s="2"/>
      <c r="BH279" s="2"/>
      <c r="BI279" s="2"/>
      <c r="BJ279" s="2">
        <v>241</v>
      </c>
      <c r="BK279" s="2" t="s">
        <v>82</v>
      </c>
      <c r="BL279" s="2"/>
      <c r="BM279" s="2">
        <v>241</v>
      </c>
      <c r="BN279" s="2" t="s">
        <v>82</v>
      </c>
      <c r="BO279" s="2"/>
      <c r="BP279" s="2">
        <v>241</v>
      </c>
      <c r="BQ279" s="2" t="s">
        <v>82</v>
      </c>
      <c r="BR279" s="2"/>
      <c r="BS279" s="3">
        <v>40203</v>
      </c>
      <c r="BT279" s="4">
        <v>0.70321759259259264</v>
      </c>
    </row>
    <row r="280" spans="1:72" x14ac:dyDescent="0.25">
      <c r="A280" s="2">
        <v>436</v>
      </c>
      <c r="B280" s="2">
        <v>2010</v>
      </c>
      <c r="C280" s="2" t="s">
        <v>72</v>
      </c>
      <c r="D280" s="2" t="s">
        <v>73</v>
      </c>
      <c r="E280" s="2"/>
      <c r="F280" s="2">
        <v>481</v>
      </c>
      <c r="G280" s="2" t="s">
        <v>1438</v>
      </c>
      <c r="H280" s="2">
        <v>1</v>
      </c>
      <c r="I280" s="2" t="s">
        <v>82</v>
      </c>
      <c r="J280" s="2">
        <v>313</v>
      </c>
      <c r="K280" s="2" t="s">
        <v>441</v>
      </c>
      <c r="L280" s="2" t="s">
        <v>442</v>
      </c>
      <c r="M280" s="3">
        <v>40203</v>
      </c>
      <c r="N280" s="2"/>
      <c r="O280" s="2" t="s">
        <v>107</v>
      </c>
      <c r="P280" s="2" t="s">
        <v>107</v>
      </c>
      <c r="Q280" s="2" t="str">
        <f>"06/10"</f>
        <v>06/10</v>
      </c>
      <c r="R280" s="2" t="s">
        <v>78</v>
      </c>
      <c r="S280" s="2" t="s">
        <v>78</v>
      </c>
      <c r="T280" s="2">
        <v>1</v>
      </c>
      <c r="U280" s="2" t="s">
        <v>79</v>
      </c>
      <c r="V280" s="2">
        <v>1</v>
      </c>
      <c r="W280" s="2" t="s">
        <v>80</v>
      </c>
      <c r="X280" s="2">
        <v>1</v>
      </c>
      <c r="Y280" s="2" t="s">
        <v>81</v>
      </c>
      <c r="Z280" s="2">
        <v>1</v>
      </c>
      <c r="AA280" s="2" t="s">
        <v>82</v>
      </c>
      <c r="AB280" s="2">
        <v>6</v>
      </c>
      <c r="AC280" s="2" t="s">
        <v>83</v>
      </c>
      <c r="AD280" s="3">
        <v>40203</v>
      </c>
      <c r="AE280" s="2"/>
      <c r="AF280" s="3">
        <v>40203</v>
      </c>
      <c r="AG280" s="4">
        <v>0.66666666666666663</v>
      </c>
      <c r="AH280" s="2">
        <v>3</v>
      </c>
      <c r="AI280" s="2" t="s">
        <v>214</v>
      </c>
      <c r="AJ280" s="2">
        <v>17</v>
      </c>
      <c r="AK280" s="2" t="s">
        <v>309</v>
      </c>
      <c r="AL280" s="2">
        <v>10</v>
      </c>
      <c r="AM280" s="2" t="s">
        <v>200</v>
      </c>
      <c r="AN280" s="2"/>
      <c r="AO280" s="2"/>
      <c r="AP280" s="2">
        <v>11</v>
      </c>
      <c r="AQ280" s="2" t="s">
        <v>82</v>
      </c>
      <c r="AR280" s="2"/>
      <c r="AS280" s="2"/>
      <c r="AT280" s="2" t="s">
        <v>1439</v>
      </c>
      <c r="AU280" s="2"/>
      <c r="AV280" s="2"/>
      <c r="AW280" s="2"/>
      <c r="AX280" s="2"/>
      <c r="AY280" s="2">
        <v>41</v>
      </c>
      <c r="AZ280" s="2" t="s">
        <v>82</v>
      </c>
      <c r="BA280" s="2">
        <v>41</v>
      </c>
      <c r="BB280" s="2" t="s">
        <v>82</v>
      </c>
      <c r="BC280" s="2">
        <v>13</v>
      </c>
      <c r="BD280" s="2" t="s">
        <v>108</v>
      </c>
      <c r="BE280" s="2">
        <v>13</v>
      </c>
      <c r="BF280" s="2" t="s">
        <v>108</v>
      </c>
      <c r="BG280" s="2" t="s">
        <v>1440</v>
      </c>
      <c r="BH280" s="4">
        <v>0.60416666666666663</v>
      </c>
      <c r="BI280" s="4">
        <v>0.50694444444444442</v>
      </c>
      <c r="BJ280" s="2">
        <v>13</v>
      </c>
      <c r="BK280" s="2" t="s">
        <v>91</v>
      </c>
      <c r="BL280" s="2" t="s">
        <v>185</v>
      </c>
      <c r="BM280" s="2">
        <v>13</v>
      </c>
      <c r="BN280" s="2" t="s">
        <v>91</v>
      </c>
      <c r="BO280" s="2" t="s">
        <v>169</v>
      </c>
      <c r="BP280" s="2">
        <v>13</v>
      </c>
      <c r="BQ280" s="2" t="s">
        <v>91</v>
      </c>
      <c r="BR280" s="2" t="s">
        <v>445</v>
      </c>
      <c r="BS280" s="3">
        <v>40203</v>
      </c>
      <c r="BT280" s="4">
        <v>0.7259606481481482</v>
      </c>
    </row>
    <row r="281" spans="1:72" x14ac:dyDescent="0.25">
      <c r="A281" s="2">
        <v>437</v>
      </c>
      <c r="B281" s="2">
        <v>2010</v>
      </c>
      <c r="C281" s="2" t="s">
        <v>121</v>
      </c>
      <c r="D281" s="2" t="s">
        <v>122</v>
      </c>
      <c r="E281" s="2"/>
      <c r="F281" s="2">
        <v>1</v>
      </c>
      <c r="G281" s="2" t="s">
        <v>82</v>
      </c>
      <c r="H281" s="2">
        <v>1</v>
      </c>
      <c r="I281" s="2" t="s">
        <v>82</v>
      </c>
      <c r="J281" s="2">
        <v>1</v>
      </c>
      <c r="K281" s="2" t="s">
        <v>107</v>
      </c>
      <c r="L281" s="2" t="s">
        <v>107</v>
      </c>
      <c r="M281" s="3">
        <v>40203</v>
      </c>
      <c r="N281" s="2"/>
      <c r="O281" s="2"/>
      <c r="P281" s="2"/>
      <c r="Q281" s="2" t="str">
        <f>""</f>
        <v/>
      </c>
      <c r="R281" s="2"/>
      <c r="S281" s="2"/>
      <c r="T281" s="2">
        <v>2</v>
      </c>
      <c r="U281" s="2" t="s">
        <v>123</v>
      </c>
      <c r="V281" s="2">
        <v>1</v>
      </c>
      <c r="W281" s="2" t="s">
        <v>80</v>
      </c>
      <c r="X281" s="2">
        <v>5</v>
      </c>
      <c r="Y281" s="2" t="s">
        <v>82</v>
      </c>
      <c r="Z281" s="2">
        <v>1</v>
      </c>
      <c r="AA281" s="2" t="s">
        <v>82</v>
      </c>
      <c r="AB281" s="2">
        <v>9</v>
      </c>
      <c r="AC281" s="2" t="s">
        <v>124</v>
      </c>
      <c r="AD281" s="3">
        <v>40203</v>
      </c>
      <c r="AE281" s="4">
        <v>0.76597222222222217</v>
      </c>
      <c r="AF281" s="2"/>
      <c r="AG281" s="2"/>
      <c r="AH281" s="2">
        <v>3</v>
      </c>
      <c r="AI281" s="2" t="s">
        <v>214</v>
      </c>
      <c r="AJ281" s="2">
        <v>23</v>
      </c>
      <c r="AK281" s="2" t="s">
        <v>851</v>
      </c>
      <c r="AL281" s="2">
        <v>18</v>
      </c>
      <c r="AM281" s="2" t="s">
        <v>82</v>
      </c>
      <c r="AN281" s="2" t="s">
        <v>230</v>
      </c>
      <c r="AO281" s="2" t="s">
        <v>82</v>
      </c>
      <c r="AP281" s="2">
        <v>11</v>
      </c>
      <c r="AQ281" s="2" t="s">
        <v>82</v>
      </c>
      <c r="AR281" s="2" t="s">
        <v>82</v>
      </c>
      <c r="AS281" s="2" t="s">
        <v>82</v>
      </c>
      <c r="AT281" s="2" t="s">
        <v>1441</v>
      </c>
      <c r="AU281" s="2"/>
      <c r="AV281" s="2"/>
      <c r="AW281" s="2"/>
      <c r="AX281" s="2"/>
      <c r="AY281" s="2">
        <v>1</v>
      </c>
      <c r="AZ281" s="2" t="s">
        <v>107</v>
      </c>
      <c r="BA281" s="2">
        <v>1</v>
      </c>
      <c r="BB281" s="2" t="s">
        <v>107</v>
      </c>
      <c r="BC281" s="2">
        <v>1</v>
      </c>
      <c r="BD281" s="2" t="s">
        <v>107</v>
      </c>
      <c r="BE281" s="2">
        <v>13</v>
      </c>
      <c r="BF281" s="2" t="s">
        <v>108</v>
      </c>
      <c r="BG281" s="2">
        <v>1913</v>
      </c>
      <c r="BH281" s="4">
        <v>0.76597222222222217</v>
      </c>
      <c r="BI281" s="4">
        <v>0.70138888888888884</v>
      </c>
      <c r="BJ281" s="2">
        <v>13</v>
      </c>
      <c r="BK281" s="2" t="s">
        <v>91</v>
      </c>
      <c r="BL281" s="2" t="s">
        <v>564</v>
      </c>
      <c r="BM281" s="2">
        <v>242</v>
      </c>
      <c r="BN281" s="2" t="s">
        <v>107</v>
      </c>
      <c r="BO281" s="2" t="s">
        <v>82</v>
      </c>
      <c r="BP281" s="2">
        <v>13</v>
      </c>
      <c r="BQ281" s="2" t="s">
        <v>91</v>
      </c>
      <c r="BR281" s="2" t="s">
        <v>854</v>
      </c>
      <c r="BS281" s="3">
        <v>40203</v>
      </c>
      <c r="BT281" s="4">
        <v>0.77542824074074079</v>
      </c>
    </row>
    <row r="282" spans="1:72" x14ac:dyDescent="0.25">
      <c r="A282" s="2">
        <v>438</v>
      </c>
      <c r="B282" s="2">
        <v>2010</v>
      </c>
      <c r="C282" s="2" t="s">
        <v>72</v>
      </c>
      <c r="D282" s="2" t="s">
        <v>73</v>
      </c>
      <c r="E282" s="2"/>
      <c r="F282" s="2">
        <v>3</v>
      </c>
      <c r="G282" s="2" t="s">
        <v>1041</v>
      </c>
      <c r="H282" s="2">
        <v>22</v>
      </c>
      <c r="I282" s="2" t="s">
        <v>75</v>
      </c>
      <c r="J282" s="2">
        <v>368</v>
      </c>
      <c r="K282" s="2" t="s">
        <v>1042</v>
      </c>
      <c r="L282" s="2" t="s">
        <v>1043</v>
      </c>
      <c r="M282" s="3">
        <v>40203</v>
      </c>
      <c r="N282" s="2"/>
      <c r="O282" s="2"/>
      <c r="P282" s="2"/>
      <c r="Q282" s="2" t="str">
        <f>"050-E/10"</f>
        <v>050-E/10</v>
      </c>
      <c r="R282" s="2" t="s">
        <v>601</v>
      </c>
      <c r="S282" s="2" t="s">
        <v>601</v>
      </c>
      <c r="T282" s="2">
        <v>1</v>
      </c>
      <c r="U282" s="2" t="s">
        <v>79</v>
      </c>
      <c r="V282" s="2">
        <v>1</v>
      </c>
      <c r="W282" s="2" t="s">
        <v>80</v>
      </c>
      <c r="X282" s="2">
        <v>1</v>
      </c>
      <c r="Y282" s="2" t="s">
        <v>81</v>
      </c>
      <c r="Z282" s="2">
        <v>1</v>
      </c>
      <c r="AA282" s="2" t="s">
        <v>82</v>
      </c>
      <c r="AB282" s="2">
        <v>6</v>
      </c>
      <c r="AC282" s="2" t="s">
        <v>83</v>
      </c>
      <c r="AD282" s="3">
        <v>40198</v>
      </c>
      <c r="AE282" s="4">
        <v>0.79166666666666663</v>
      </c>
      <c r="AF282" s="3">
        <v>40203</v>
      </c>
      <c r="AG282" s="4">
        <v>0.64930555555555558</v>
      </c>
      <c r="AH282" s="2">
        <v>2</v>
      </c>
      <c r="AI282" s="2" t="s">
        <v>84</v>
      </c>
      <c r="AJ282" s="2">
        <v>9</v>
      </c>
      <c r="AK282" s="2" t="s">
        <v>103</v>
      </c>
      <c r="AL282" s="2">
        <v>19</v>
      </c>
      <c r="AM282" s="2" t="s">
        <v>107</v>
      </c>
      <c r="AN282" s="2"/>
      <c r="AO282" s="2" t="s">
        <v>1442</v>
      </c>
      <c r="AP282" s="2">
        <v>11</v>
      </c>
      <c r="AQ282" s="2" t="s">
        <v>82</v>
      </c>
      <c r="AR282" s="2"/>
      <c r="AS282" s="2"/>
      <c r="AT282" s="2" t="s">
        <v>1443</v>
      </c>
      <c r="AU282" s="2"/>
      <c r="AV282" s="2"/>
      <c r="AW282" s="2"/>
      <c r="AX282" s="2"/>
      <c r="AY282" s="2">
        <v>41</v>
      </c>
      <c r="AZ282" s="2" t="s">
        <v>82</v>
      </c>
      <c r="BA282" s="2">
        <v>41</v>
      </c>
      <c r="BB282" s="2" t="s">
        <v>82</v>
      </c>
      <c r="BC282" s="2">
        <v>41</v>
      </c>
      <c r="BD282" s="2" t="s">
        <v>82</v>
      </c>
      <c r="BE282" s="2">
        <v>23</v>
      </c>
      <c r="BF282" s="2" t="s">
        <v>183</v>
      </c>
      <c r="BG282" s="2" t="s">
        <v>1375</v>
      </c>
      <c r="BH282" s="4">
        <v>0.52083333333333337</v>
      </c>
      <c r="BI282" s="4">
        <v>0</v>
      </c>
      <c r="BJ282" s="2">
        <v>73</v>
      </c>
      <c r="BK282" s="2" t="s">
        <v>186</v>
      </c>
      <c r="BL282" s="2" t="s">
        <v>187</v>
      </c>
      <c r="BM282" s="2">
        <v>73</v>
      </c>
      <c r="BN282" s="2" t="s">
        <v>186</v>
      </c>
      <c r="BO282" s="2" t="s">
        <v>675</v>
      </c>
      <c r="BP282" s="2">
        <v>13</v>
      </c>
      <c r="BQ282" s="2" t="s">
        <v>91</v>
      </c>
      <c r="BR282" s="2" t="s">
        <v>1444</v>
      </c>
      <c r="BS282" s="3">
        <v>40203</v>
      </c>
      <c r="BT282" s="4">
        <v>0.85994212962962957</v>
      </c>
    </row>
    <row r="283" spans="1:72" x14ac:dyDescent="0.25">
      <c r="A283" s="2">
        <v>439</v>
      </c>
      <c r="B283" s="2">
        <v>2010</v>
      </c>
      <c r="C283" s="2" t="s">
        <v>72</v>
      </c>
      <c r="D283" s="2" t="s">
        <v>73</v>
      </c>
      <c r="E283" s="2" t="s">
        <v>1445</v>
      </c>
      <c r="F283" s="2">
        <v>168</v>
      </c>
      <c r="G283" s="2" t="s">
        <v>703</v>
      </c>
      <c r="H283" s="2">
        <v>43</v>
      </c>
      <c r="I283" s="2" t="s">
        <v>1166</v>
      </c>
      <c r="J283" s="2">
        <v>305</v>
      </c>
      <c r="K283" s="2" t="s">
        <v>160</v>
      </c>
      <c r="L283" s="2" t="s">
        <v>161</v>
      </c>
      <c r="M283" s="3">
        <v>40203</v>
      </c>
      <c r="N283" s="2" t="s">
        <v>1010</v>
      </c>
      <c r="O283" s="2" t="s">
        <v>82</v>
      </c>
      <c r="P283" s="2" t="s">
        <v>82</v>
      </c>
      <c r="Q283" s="2" t="str">
        <f>"30-A/10"</f>
        <v>30-A/10</v>
      </c>
      <c r="R283" s="2" t="s">
        <v>78</v>
      </c>
      <c r="S283" s="2" t="s">
        <v>82</v>
      </c>
      <c r="T283" s="2">
        <v>1</v>
      </c>
      <c r="U283" s="2" t="s">
        <v>79</v>
      </c>
      <c r="V283" s="2">
        <v>1</v>
      </c>
      <c r="W283" s="2" t="s">
        <v>80</v>
      </c>
      <c r="X283" s="2">
        <v>1</v>
      </c>
      <c r="Y283" s="2" t="s">
        <v>81</v>
      </c>
      <c r="Z283" s="2">
        <v>1</v>
      </c>
      <c r="AA283" s="2" t="s">
        <v>82</v>
      </c>
      <c r="AB283" s="2">
        <v>6</v>
      </c>
      <c r="AC283" s="2" t="s">
        <v>83</v>
      </c>
      <c r="AD283" s="3">
        <v>40203</v>
      </c>
      <c r="AE283" s="4">
        <v>0.4375</v>
      </c>
      <c r="AF283" s="2"/>
      <c r="AG283" s="2"/>
      <c r="AH283" s="2">
        <v>2</v>
      </c>
      <c r="AI283" s="2" t="s">
        <v>84</v>
      </c>
      <c r="AJ283" s="2">
        <v>12</v>
      </c>
      <c r="AK283" s="2" t="s">
        <v>85</v>
      </c>
      <c r="AL283" s="2">
        <v>11</v>
      </c>
      <c r="AM283" s="2" t="s">
        <v>137</v>
      </c>
      <c r="AN283" s="2" t="s">
        <v>816</v>
      </c>
      <c r="AO283" s="2" t="s">
        <v>1424</v>
      </c>
      <c r="AP283" s="2">
        <v>11</v>
      </c>
      <c r="AQ283" s="2" t="s">
        <v>82</v>
      </c>
      <c r="AR283" s="2" t="s">
        <v>82</v>
      </c>
      <c r="AS283" s="2" t="s">
        <v>82</v>
      </c>
      <c r="AT283" s="2" t="s">
        <v>1446</v>
      </c>
      <c r="AU283" s="2"/>
      <c r="AV283" s="2"/>
      <c r="AW283" s="2"/>
      <c r="AX283" s="2"/>
      <c r="AY283" s="2">
        <v>41</v>
      </c>
      <c r="AZ283" s="2" t="s">
        <v>82</v>
      </c>
      <c r="BA283" s="2">
        <v>41</v>
      </c>
      <c r="BB283" s="2" t="s">
        <v>82</v>
      </c>
      <c r="BC283" s="2">
        <v>41</v>
      </c>
      <c r="BD283" s="2" t="s">
        <v>82</v>
      </c>
      <c r="BE283" s="2">
        <v>47</v>
      </c>
      <c r="BF283" s="2" t="s">
        <v>167</v>
      </c>
      <c r="BG283" s="2" t="s">
        <v>1426</v>
      </c>
      <c r="BH283" s="4">
        <v>0.5625</v>
      </c>
      <c r="BI283" s="4">
        <v>0.4826388888888889</v>
      </c>
      <c r="BJ283" s="2">
        <v>13</v>
      </c>
      <c r="BK283" s="2" t="s">
        <v>91</v>
      </c>
      <c r="BL283" s="2" t="s">
        <v>185</v>
      </c>
      <c r="BM283" s="2">
        <v>241</v>
      </c>
      <c r="BN283" s="2" t="s">
        <v>82</v>
      </c>
      <c r="BO283" s="2" t="s">
        <v>82</v>
      </c>
      <c r="BP283" s="2">
        <v>13</v>
      </c>
      <c r="BQ283" s="2" t="s">
        <v>91</v>
      </c>
      <c r="BR283" s="2" t="s">
        <v>828</v>
      </c>
      <c r="BS283" s="3">
        <v>40203</v>
      </c>
      <c r="BT283" s="4">
        <v>0.87320601851851853</v>
      </c>
    </row>
    <row r="284" spans="1:72" x14ac:dyDescent="0.25">
      <c r="A284" s="2">
        <v>440</v>
      </c>
      <c r="B284" s="2">
        <v>2010</v>
      </c>
      <c r="C284" s="2" t="s">
        <v>72</v>
      </c>
      <c r="D284" s="2" t="s">
        <v>73</v>
      </c>
      <c r="E284" s="2"/>
      <c r="F284" s="2">
        <v>3</v>
      </c>
      <c r="G284" s="2" t="s">
        <v>1041</v>
      </c>
      <c r="H284" s="2">
        <v>1</v>
      </c>
      <c r="I284" s="2" t="s">
        <v>82</v>
      </c>
      <c r="J284" s="2">
        <v>368</v>
      </c>
      <c r="K284" s="2" t="s">
        <v>1042</v>
      </c>
      <c r="L284" s="2" t="s">
        <v>1043</v>
      </c>
      <c r="M284" s="3">
        <v>40203</v>
      </c>
      <c r="N284" s="2" t="s">
        <v>82</v>
      </c>
      <c r="O284" s="2" t="s">
        <v>107</v>
      </c>
      <c r="P284" s="2" t="s">
        <v>107</v>
      </c>
      <c r="Q284" s="2" t="str">
        <f>"051-E/10"</f>
        <v>051-E/10</v>
      </c>
      <c r="R284" s="2" t="s">
        <v>116</v>
      </c>
      <c r="S284" s="2" t="s">
        <v>116</v>
      </c>
      <c r="T284" s="2">
        <v>1</v>
      </c>
      <c r="U284" s="2" t="s">
        <v>79</v>
      </c>
      <c r="V284" s="2">
        <v>1</v>
      </c>
      <c r="W284" s="2" t="s">
        <v>80</v>
      </c>
      <c r="X284" s="2">
        <v>1</v>
      </c>
      <c r="Y284" s="2" t="s">
        <v>81</v>
      </c>
      <c r="Z284" s="2">
        <v>1</v>
      </c>
      <c r="AA284" s="2" t="s">
        <v>82</v>
      </c>
      <c r="AB284" s="2">
        <v>6</v>
      </c>
      <c r="AC284" s="2" t="s">
        <v>83</v>
      </c>
      <c r="AD284" s="3">
        <v>40203</v>
      </c>
      <c r="AE284" s="4">
        <v>0.625</v>
      </c>
      <c r="AF284" s="3">
        <v>40203</v>
      </c>
      <c r="AG284" s="4">
        <v>0.70138888888888884</v>
      </c>
      <c r="AH284" s="2">
        <v>2</v>
      </c>
      <c r="AI284" s="2" t="s">
        <v>84</v>
      </c>
      <c r="AJ284" s="2">
        <v>9</v>
      </c>
      <c r="AK284" s="2" t="s">
        <v>103</v>
      </c>
      <c r="AL284" s="2">
        <v>12</v>
      </c>
      <c r="AM284" s="2" t="s">
        <v>86</v>
      </c>
      <c r="AN284" s="2"/>
      <c r="AO284" s="2" t="s">
        <v>1447</v>
      </c>
      <c r="AP284" s="2">
        <v>11</v>
      </c>
      <c r="AQ284" s="2" t="s">
        <v>82</v>
      </c>
      <c r="AR284" s="2"/>
      <c r="AS284" s="2"/>
      <c r="AT284" s="2" t="s">
        <v>1448</v>
      </c>
      <c r="AU284" s="2"/>
      <c r="AV284" s="2"/>
      <c r="AW284" s="2"/>
      <c r="AX284" s="2"/>
      <c r="AY284" s="2">
        <v>41</v>
      </c>
      <c r="AZ284" s="2" t="s">
        <v>82</v>
      </c>
      <c r="BA284" s="2">
        <v>41</v>
      </c>
      <c r="BB284" s="2" t="s">
        <v>82</v>
      </c>
      <c r="BC284" s="2">
        <v>41</v>
      </c>
      <c r="BD284" s="2" t="s">
        <v>82</v>
      </c>
      <c r="BE284" s="2">
        <v>14</v>
      </c>
      <c r="BF284" s="2" t="s">
        <v>484</v>
      </c>
      <c r="BG284" s="2" t="s">
        <v>818</v>
      </c>
      <c r="BH284" s="4">
        <v>0.25</v>
      </c>
      <c r="BI284" s="4">
        <v>0.71527777777777779</v>
      </c>
      <c r="BJ284" s="2">
        <v>13</v>
      </c>
      <c r="BK284" s="2" t="s">
        <v>91</v>
      </c>
      <c r="BL284" s="2" t="s">
        <v>112</v>
      </c>
      <c r="BM284" s="2">
        <v>241</v>
      </c>
      <c r="BN284" s="2" t="s">
        <v>82</v>
      </c>
      <c r="BO284" s="2"/>
      <c r="BP284" s="2">
        <v>82</v>
      </c>
      <c r="BQ284" s="2" t="s">
        <v>487</v>
      </c>
      <c r="BR284" s="2" t="s">
        <v>488</v>
      </c>
      <c r="BS284" s="3">
        <v>40203</v>
      </c>
      <c r="BT284" s="4">
        <v>0.88422453703703707</v>
      </c>
    </row>
    <row r="285" spans="1:72" x14ac:dyDescent="0.25">
      <c r="A285" s="2">
        <v>441</v>
      </c>
      <c r="B285" s="2">
        <v>2010</v>
      </c>
      <c r="C285" s="2" t="s">
        <v>72</v>
      </c>
      <c r="D285" s="2" t="s">
        <v>73</v>
      </c>
      <c r="E285" s="2"/>
      <c r="F285" s="2">
        <v>197</v>
      </c>
      <c r="G285" s="2" t="s">
        <v>1449</v>
      </c>
      <c r="H285" s="2">
        <v>42</v>
      </c>
      <c r="I285" s="2" t="s">
        <v>1096</v>
      </c>
      <c r="J285" s="2">
        <v>387</v>
      </c>
      <c r="K285" s="2" t="s">
        <v>1378</v>
      </c>
      <c r="L285" s="2" t="s">
        <v>1379</v>
      </c>
      <c r="M285" s="3">
        <v>40204</v>
      </c>
      <c r="N285" s="2" t="s">
        <v>1380</v>
      </c>
      <c r="O285" s="2" t="s">
        <v>107</v>
      </c>
      <c r="P285" s="2" t="s">
        <v>107</v>
      </c>
      <c r="Q285" s="2" t="str">
        <f>"031-A/10"</f>
        <v>031-A/10</v>
      </c>
      <c r="R285" s="2" t="s">
        <v>107</v>
      </c>
      <c r="S285" s="2" t="s">
        <v>156</v>
      </c>
      <c r="T285" s="2">
        <v>1</v>
      </c>
      <c r="U285" s="2" t="s">
        <v>79</v>
      </c>
      <c r="V285" s="2">
        <v>1</v>
      </c>
      <c r="W285" s="2" t="s">
        <v>80</v>
      </c>
      <c r="X285" s="2">
        <v>1</v>
      </c>
      <c r="Y285" s="2" t="s">
        <v>81</v>
      </c>
      <c r="Z285" s="2">
        <v>1</v>
      </c>
      <c r="AA285" s="2" t="s">
        <v>82</v>
      </c>
      <c r="AB285" s="2">
        <v>6</v>
      </c>
      <c r="AC285" s="2" t="s">
        <v>83</v>
      </c>
      <c r="AD285" s="3">
        <v>40203</v>
      </c>
      <c r="AE285" s="4">
        <v>8.3333333333333329E-2</v>
      </c>
      <c r="AF285" s="3">
        <v>40203</v>
      </c>
      <c r="AG285" s="4">
        <v>0.81597222222222221</v>
      </c>
      <c r="AH285" s="2">
        <v>2</v>
      </c>
      <c r="AI285" s="2" t="s">
        <v>84</v>
      </c>
      <c r="AJ285" s="2">
        <v>12</v>
      </c>
      <c r="AK285" s="2" t="s">
        <v>85</v>
      </c>
      <c r="AL285" s="2">
        <v>7</v>
      </c>
      <c r="AM285" s="2" t="s">
        <v>1450</v>
      </c>
      <c r="AN285" s="2" t="s">
        <v>1451</v>
      </c>
      <c r="AO285" s="2" t="s">
        <v>1452</v>
      </c>
      <c r="AP285" s="2">
        <v>11</v>
      </c>
      <c r="AQ285" s="2" t="s">
        <v>82</v>
      </c>
      <c r="AR285" s="2" t="s">
        <v>82</v>
      </c>
      <c r="AS285" s="2" t="s">
        <v>82</v>
      </c>
      <c r="AT285" s="2" t="s">
        <v>1453</v>
      </c>
      <c r="AU285" s="2"/>
      <c r="AV285" s="2"/>
      <c r="AW285" s="2"/>
      <c r="AX285" s="2"/>
      <c r="AY285" s="2">
        <v>47</v>
      </c>
      <c r="AZ285" s="2" t="s">
        <v>167</v>
      </c>
      <c r="BA285" s="2">
        <v>1</v>
      </c>
      <c r="BB285" s="2" t="s">
        <v>107</v>
      </c>
      <c r="BC285" s="2">
        <v>41</v>
      </c>
      <c r="BD285" s="2" t="s">
        <v>82</v>
      </c>
      <c r="BE285" s="2">
        <v>1</v>
      </c>
      <c r="BF285" s="2" t="s">
        <v>107</v>
      </c>
      <c r="BG285" s="2" t="s">
        <v>82</v>
      </c>
      <c r="BH285" s="2"/>
      <c r="BI285" s="2"/>
      <c r="BJ285" s="2">
        <v>242</v>
      </c>
      <c r="BK285" s="2" t="s">
        <v>107</v>
      </c>
      <c r="BL285" s="2"/>
      <c r="BM285" s="2">
        <v>242</v>
      </c>
      <c r="BN285" s="2" t="s">
        <v>107</v>
      </c>
      <c r="BO285" s="2"/>
      <c r="BP285" s="2">
        <v>242</v>
      </c>
      <c r="BQ285" s="2" t="s">
        <v>107</v>
      </c>
      <c r="BR285" s="2"/>
      <c r="BS285" s="3">
        <v>40204</v>
      </c>
      <c r="BT285" s="4">
        <v>3.6342592592592594E-3</v>
      </c>
    </row>
    <row r="286" spans="1:72" x14ac:dyDescent="0.25">
      <c r="A286" s="2">
        <v>442</v>
      </c>
      <c r="B286" s="2">
        <v>2010</v>
      </c>
      <c r="C286" s="2" t="s">
        <v>72</v>
      </c>
      <c r="D286" s="2" t="s">
        <v>73</v>
      </c>
      <c r="E286" s="2"/>
      <c r="F286" s="2">
        <v>544</v>
      </c>
      <c r="G286" s="2" t="s">
        <v>1403</v>
      </c>
      <c r="H286" s="2">
        <v>1</v>
      </c>
      <c r="I286" s="2" t="s">
        <v>82</v>
      </c>
      <c r="J286" s="2">
        <v>347</v>
      </c>
      <c r="K286" s="2" t="s">
        <v>996</v>
      </c>
      <c r="L286" s="2" t="s">
        <v>997</v>
      </c>
      <c r="M286" s="3">
        <v>40204</v>
      </c>
      <c r="N286" s="2"/>
      <c r="O286" s="2" t="s">
        <v>1454</v>
      </c>
      <c r="P286" s="2"/>
      <c r="Q286" s="2" t="str">
        <f>"0004/2010"</f>
        <v>0004/2010</v>
      </c>
      <c r="R286" s="2"/>
      <c r="S286" s="2" t="s">
        <v>1454</v>
      </c>
      <c r="T286" s="2">
        <v>1</v>
      </c>
      <c r="U286" s="2" t="s">
        <v>79</v>
      </c>
      <c r="V286" s="2">
        <v>1</v>
      </c>
      <c r="W286" s="2" t="s">
        <v>80</v>
      </c>
      <c r="X286" s="2">
        <v>5</v>
      </c>
      <c r="Y286" s="2" t="s">
        <v>82</v>
      </c>
      <c r="Z286" s="2">
        <v>1</v>
      </c>
      <c r="AA286" s="2" t="s">
        <v>82</v>
      </c>
      <c r="AB286" s="2">
        <v>6</v>
      </c>
      <c r="AC286" s="2" t="s">
        <v>83</v>
      </c>
      <c r="AD286" s="3">
        <v>40203</v>
      </c>
      <c r="AE286" s="4">
        <v>0.90972222222222221</v>
      </c>
      <c r="AF286" s="3">
        <v>40203</v>
      </c>
      <c r="AG286" s="4">
        <v>0.92013888888888884</v>
      </c>
      <c r="AH286" s="2">
        <v>5</v>
      </c>
      <c r="AI286" s="2" t="s">
        <v>274</v>
      </c>
      <c r="AJ286" s="2">
        <v>42</v>
      </c>
      <c r="AK286" s="2" t="s">
        <v>660</v>
      </c>
      <c r="AL286" s="2">
        <v>21</v>
      </c>
      <c r="AM286" s="2" t="s">
        <v>1311</v>
      </c>
      <c r="AN286" s="2" t="s">
        <v>1455</v>
      </c>
      <c r="AO286" s="2"/>
      <c r="AP286" s="2">
        <v>11</v>
      </c>
      <c r="AQ286" s="2" t="s">
        <v>82</v>
      </c>
      <c r="AR286" s="2"/>
      <c r="AS286" s="2"/>
      <c r="AT286" s="2" t="s">
        <v>1456</v>
      </c>
      <c r="AU286" s="2"/>
      <c r="AV286" s="2"/>
      <c r="AW286" s="2"/>
      <c r="AX286" s="2"/>
      <c r="AY286" s="2">
        <v>41</v>
      </c>
      <c r="AZ286" s="2" t="s">
        <v>82</v>
      </c>
      <c r="BA286" s="2">
        <v>41</v>
      </c>
      <c r="BB286" s="2" t="s">
        <v>82</v>
      </c>
      <c r="BC286" s="2">
        <v>41</v>
      </c>
      <c r="BD286" s="2" t="s">
        <v>82</v>
      </c>
      <c r="BE286" s="2">
        <v>41</v>
      </c>
      <c r="BF286" s="2" t="s">
        <v>82</v>
      </c>
      <c r="BG286" s="2" t="s">
        <v>107</v>
      </c>
      <c r="BH286" s="2"/>
      <c r="BI286" s="2"/>
      <c r="BJ286" s="2">
        <v>241</v>
      </c>
      <c r="BK286" s="2" t="s">
        <v>82</v>
      </c>
      <c r="BL286" s="2"/>
      <c r="BM286" s="2">
        <v>241</v>
      </c>
      <c r="BN286" s="2" t="s">
        <v>82</v>
      </c>
      <c r="BO286" s="2"/>
      <c r="BP286" s="2">
        <v>241</v>
      </c>
      <c r="BQ286" s="2" t="s">
        <v>82</v>
      </c>
      <c r="BR286" s="2"/>
      <c r="BS286" s="3">
        <v>40204</v>
      </c>
      <c r="BT286" s="4">
        <v>3.8344907407407411E-2</v>
      </c>
    </row>
    <row r="287" spans="1:72" x14ac:dyDescent="0.25">
      <c r="A287" s="2">
        <v>444</v>
      </c>
      <c r="B287" s="2">
        <v>2010</v>
      </c>
      <c r="C287" s="2" t="s">
        <v>385</v>
      </c>
      <c r="D287" s="2" t="s">
        <v>122</v>
      </c>
      <c r="E287" s="2"/>
      <c r="F287" s="2">
        <v>482</v>
      </c>
      <c r="G287" s="2" t="s">
        <v>1457</v>
      </c>
      <c r="H287" s="2">
        <v>14</v>
      </c>
      <c r="I287" s="2" t="s">
        <v>1458</v>
      </c>
      <c r="J287" s="2">
        <v>167</v>
      </c>
      <c r="K287" s="2" t="s">
        <v>1032</v>
      </c>
      <c r="L287" s="2" t="s">
        <v>1033</v>
      </c>
      <c r="M287" s="3">
        <v>40204</v>
      </c>
      <c r="N287" s="2" t="s">
        <v>1459</v>
      </c>
      <c r="O287" s="2" t="s">
        <v>1460</v>
      </c>
      <c r="P287" s="2" t="s">
        <v>1461</v>
      </c>
      <c r="Q287" s="2" t="str">
        <f>"N/C"</f>
        <v>N/C</v>
      </c>
      <c r="R287" s="2" t="s">
        <v>107</v>
      </c>
      <c r="S287" s="2" t="s">
        <v>82</v>
      </c>
      <c r="T287" s="2">
        <v>1</v>
      </c>
      <c r="U287" s="2" t="s">
        <v>79</v>
      </c>
      <c r="V287" s="2">
        <v>1</v>
      </c>
      <c r="W287" s="2" t="s">
        <v>80</v>
      </c>
      <c r="X287" s="2">
        <v>4</v>
      </c>
      <c r="Y287" s="2" t="s">
        <v>463</v>
      </c>
      <c r="Z287" s="2">
        <v>7</v>
      </c>
      <c r="AA287" s="2" t="s">
        <v>1462</v>
      </c>
      <c r="AB287" s="2">
        <v>9</v>
      </c>
      <c r="AC287" s="2" t="s">
        <v>124</v>
      </c>
      <c r="AD287" s="3">
        <v>40204</v>
      </c>
      <c r="AE287" s="4">
        <v>0.35416666666666669</v>
      </c>
      <c r="AF287" s="2"/>
      <c r="AG287" s="2"/>
      <c r="AH287" s="2">
        <v>2</v>
      </c>
      <c r="AI287" s="2" t="s">
        <v>84</v>
      </c>
      <c r="AJ287" s="2">
        <v>12</v>
      </c>
      <c r="AK287" s="2" t="s">
        <v>85</v>
      </c>
      <c r="AL287" s="2">
        <v>2</v>
      </c>
      <c r="AM287" s="2" t="s">
        <v>163</v>
      </c>
      <c r="AN287" s="2" t="s">
        <v>1463</v>
      </c>
      <c r="AO287" s="2" t="s">
        <v>1464</v>
      </c>
      <c r="AP287" s="2">
        <v>11</v>
      </c>
      <c r="AQ287" s="2" t="s">
        <v>82</v>
      </c>
      <c r="AR287" s="2" t="s">
        <v>82</v>
      </c>
      <c r="AS287" s="2" t="s">
        <v>82</v>
      </c>
      <c r="AT287" s="2" t="s">
        <v>1465</v>
      </c>
      <c r="AU287" s="2">
        <v>1</v>
      </c>
      <c r="AV287" s="2"/>
      <c r="AW287" s="2"/>
      <c r="AX287" s="2"/>
      <c r="AY287" s="2">
        <v>41</v>
      </c>
      <c r="AZ287" s="2" t="s">
        <v>82</v>
      </c>
      <c r="BA287" s="2">
        <v>41</v>
      </c>
      <c r="BB287" s="2" t="s">
        <v>82</v>
      </c>
      <c r="BC287" s="2">
        <v>41</v>
      </c>
      <c r="BD287" s="2" t="s">
        <v>82</v>
      </c>
      <c r="BE287" s="2">
        <v>13</v>
      </c>
      <c r="BF287" s="2" t="s">
        <v>108</v>
      </c>
      <c r="BG287" s="2" t="s">
        <v>1466</v>
      </c>
      <c r="BH287" s="4">
        <v>0.35416666666666669</v>
      </c>
      <c r="BI287" s="2"/>
      <c r="BJ287" s="2">
        <v>13</v>
      </c>
      <c r="BK287" s="2" t="s">
        <v>91</v>
      </c>
      <c r="BL287" s="2" t="s">
        <v>1467</v>
      </c>
      <c r="BM287" s="2">
        <v>241</v>
      </c>
      <c r="BN287" s="2" t="s">
        <v>82</v>
      </c>
      <c r="BO287" s="2" t="s">
        <v>82</v>
      </c>
      <c r="BP287" s="2">
        <v>13</v>
      </c>
      <c r="BQ287" s="2" t="s">
        <v>91</v>
      </c>
      <c r="BR287" s="2" t="s">
        <v>1468</v>
      </c>
      <c r="BS287" s="3">
        <v>40204</v>
      </c>
      <c r="BT287" s="4">
        <v>0.47449074074074077</v>
      </c>
    </row>
    <row r="288" spans="1:72" x14ac:dyDescent="0.25">
      <c r="A288" s="2">
        <v>449</v>
      </c>
      <c r="B288" s="2">
        <v>2010</v>
      </c>
      <c r="C288" s="2" t="s">
        <v>72</v>
      </c>
      <c r="D288" s="2" t="s">
        <v>73</v>
      </c>
      <c r="E288" s="2"/>
      <c r="F288" s="2">
        <v>29</v>
      </c>
      <c r="G288" s="2" t="s">
        <v>1150</v>
      </c>
      <c r="H288" s="2">
        <v>1</v>
      </c>
      <c r="I288" s="2" t="s">
        <v>82</v>
      </c>
      <c r="J288" s="2">
        <v>38</v>
      </c>
      <c r="K288" s="2" t="s">
        <v>1151</v>
      </c>
      <c r="L288" s="2" t="s">
        <v>1152</v>
      </c>
      <c r="M288" s="3">
        <v>40204</v>
      </c>
      <c r="N288" s="2"/>
      <c r="O288" s="2"/>
      <c r="P288" s="2"/>
      <c r="Q288" s="2" t="str">
        <f>"004-M/10"</f>
        <v>004-M/10</v>
      </c>
      <c r="R288" s="2" t="s">
        <v>78</v>
      </c>
      <c r="S288" s="2" t="s">
        <v>78</v>
      </c>
      <c r="T288" s="2">
        <v>1</v>
      </c>
      <c r="U288" s="2" t="s">
        <v>79</v>
      </c>
      <c r="V288" s="2">
        <v>1</v>
      </c>
      <c r="W288" s="2" t="s">
        <v>80</v>
      </c>
      <c r="X288" s="2">
        <v>5</v>
      </c>
      <c r="Y288" s="2" t="s">
        <v>82</v>
      </c>
      <c r="Z288" s="2">
        <v>1</v>
      </c>
      <c r="AA288" s="2" t="s">
        <v>82</v>
      </c>
      <c r="AB288" s="2">
        <v>6</v>
      </c>
      <c r="AC288" s="2" t="s">
        <v>83</v>
      </c>
      <c r="AD288" s="3">
        <v>40202</v>
      </c>
      <c r="AE288" s="4">
        <v>0.75</v>
      </c>
      <c r="AF288" s="3">
        <v>40204</v>
      </c>
      <c r="AG288" s="4">
        <v>0.40972222222222227</v>
      </c>
      <c r="AH288" s="2">
        <v>2</v>
      </c>
      <c r="AI288" s="2" t="s">
        <v>84</v>
      </c>
      <c r="AJ288" s="2">
        <v>8</v>
      </c>
      <c r="AK288" s="2" t="s">
        <v>436</v>
      </c>
      <c r="AL288" s="2">
        <v>12</v>
      </c>
      <c r="AM288" s="2" t="s">
        <v>86</v>
      </c>
      <c r="AN288" s="2"/>
      <c r="AO288" s="2" t="s">
        <v>1469</v>
      </c>
      <c r="AP288" s="2">
        <v>11</v>
      </c>
      <c r="AQ288" s="2" t="s">
        <v>82</v>
      </c>
      <c r="AR288" s="2"/>
      <c r="AS288" s="2"/>
      <c r="AT288" s="2" t="s">
        <v>1470</v>
      </c>
      <c r="AU288" s="2"/>
      <c r="AV288" s="2"/>
      <c r="AW288" s="2"/>
      <c r="AX288" s="2"/>
      <c r="AY288" s="2">
        <v>41</v>
      </c>
      <c r="AZ288" s="2" t="s">
        <v>82</v>
      </c>
      <c r="BA288" s="2">
        <v>41</v>
      </c>
      <c r="BB288" s="2" t="s">
        <v>82</v>
      </c>
      <c r="BC288" s="2">
        <v>41</v>
      </c>
      <c r="BD288" s="2" t="s">
        <v>82</v>
      </c>
      <c r="BE288" s="2">
        <v>13</v>
      </c>
      <c r="BF288" s="2" t="s">
        <v>108</v>
      </c>
      <c r="BG288" s="2" t="s">
        <v>1471</v>
      </c>
      <c r="BH288" s="4">
        <v>0.77083333333333337</v>
      </c>
      <c r="BI288" s="4">
        <v>0.79513888888888884</v>
      </c>
      <c r="BJ288" s="2">
        <v>13</v>
      </c>
      <c r="BK288" s="2" t="s">
        <v>91</v>
      </c>
      <c r="BL288" s="2" t="s">
        <v>647</v>
      </c>
      <c r="BM288" s="2">
        <v>241</v>
      </c>
      <c r="BN288" s="2" t="s">
        <v>82</v>
      </c>
      <c r="BO288" s="2"/>
      <c r="BP288" s="2">
        <v>13</v>
      </c>
      <c r="BQ288" s="2" t="s">
        <v>91</v>
      </c>
      <c r="BR288" s="2" t="s">
        <v>185</v>
      </c>
      <c r="BS288" s="3">
        <v>40204</v>
      </c>
      <c r="BT288" s="4">
        <v>0.54577546296296298</v>
      </c>
    </row>
    <row r="289" spans="1:72" x14ac:dyDescent="0.25">
      <c r="A289" s="2">
        <v>450</v>
      </c>
      <c r="B289" s="2">
        <v>2010</v>
      </c>
      <c r="C289" s="2" t="s">
        <v>72</v>
      </c>
      <c r="D289" s="2" t="s">
        <v>73</v>
      </c>
      <c r="E289" s="2"/>
      <c r="F289" s="2">
        <v>3</v>
      </c>
      <c r="G289" s="2" t="s">
        <v>1041</v>
      </c>
      <c r="H289" s="2">
        <v>42</v>
      </c>
      <c r="I289" s="2" t="s">
        <v>1096</v>
      </c>
      <c r="J289" s="2">
        <v>368</v>
      </c>
      <c r="K289" s="2" t="s">
        <v>1042</v>
      </c>
      <c r="L289" s="2" t="s">
        <v>1043</v>
      </c>
      <c r="M289" s="3">
        <v>40204</v>
      </c>
      <c r="N289" s="2"/>
      <c r="O289" s="2"/>
      <c r="P289" s="2"/>
      <c r="Q289" s="2" t="str">
        <f>"052-E/10"</f>
        <v>052-E/10</v>
      </c>
      <c r="R289" s="2"/>
      <c r="S289" s="2" t="s">
        <v>116</v>
      </c>
      <c r="T289" s="2">
        <v>1</v>
      </c>
      <c r="U289" s="2" t="s">
        <v>79</v>
      </c>
      <c r="V289" s="2">
        <v>1</v>
      </c>
      <c r="W289" s="2" t="s">
        <v>80</v>
      </c>
      <c r="X289" s="2">
        <v>5</v>
      </c>
      <c r="Y289" s="2" t="s">
        <v>82</v>
      </c>
      <c r="Z289" s="2">
        <v>1</v>
      </c>
      <c r="AA289" s="2" t="s">
        <v>82</v>
      </c>
      <c r="AB289" s="2">
        <v>6</v>
      </c>
      <c r="AC289" s="2" t="s">
        <v>83</v>
      </c>
      <c r="AD289" s="3">
        <v>40203</v>
      </c>
      <c r="AE289" s="4">
        <v>0.70833333333333337</v>
      </c>
      <c r="AF289" s="3">
        <v>40204</v>
      </c>
      <c r="AG289" s="4">
        <v>0.5</v>
      </c>
      <c r="AH289" s="2">
        <v>2</v>
      </c>
      <c r="AI289" s="2" t="s">
        <v>84</v>
      </c>
      <c r="AJ289" s="2">
        <v>9</v>
      </c>
      <c r="AK289" s="2" t="s">
        <v>103</v>
      </c>
      <c r="AL289" s="2">
        <v>14</v>
      </c>
      <c r="AM289" s="2" t="s">
        <v>216</v>
      </c>
      <c r="AN289" s="2" t="s">
        <v>1472</v>
      </c>
      <c r="AO289" s="2" t="s">
        <v>1473</v>
      </c>
      <c r="AP289" s="2">
        <v>11</v>
      </c>
      <c r="AQ289" s="2" t="s">
        <v>82</v>
      </c>
      <c r="AR289" s="2" t="s">
        <v>82</v>
      </c>
      <c r="AS289" s="2" t="s">
        <v>82</v>
      </c>
      <c r="AT289" s="2" t="s">
        <v>1474</v>
      </c>
      <c r="AU289" s="2"/>
      <c r="AV289" s="2"/>
      <c r="AW289" s="2"/>
      <c r="AX289" s="2"/>
      <c r="AY289" s="2">
        <v>41</v>
      </c>
      <c r="AZ289" s="2" t="s">
        <v>82</v>
      </c>
      <c r="BA289" s="2">
        <v>41</v>
      </c>
      <c r="BB289" s="2" t="s">
        <v>82</v>
      </c>
      <c r="BC289" s="2">
        <v>41</v>
      </c>
      <c r="BD289" s="2" t="s">
        <v>82</v>
      </c>
      <c r="BE289" s="2">
        <v>14</v>
      </c>
      <c r="BF289" s="2" t="s">
        <v>484</v>
      </c>
      <c r="BG289" s="2">
        <v>417</v>
      </c>
      <c r="BH289" s="2"/>
      <c r="BI289" s="4">
        <v>0.75</v>
      </c>
      <c r="BJ289" s="2">
        <v>13</v>
      </c>
      <c r="BK289" s="2" t="s">
        <v>91</v>
      </c>
      <c r="BL289" s="2" t="s">
        <v>360</v>
      </c>
      <c r="BM289" s="2">
        <v>241</v>
      </c>
      <c r="BN289" s="2" t="s">
        <v>82</v>
      </c>
      <c r="BO289" s="2" t="s">
        <v>82</v>
      </c>
      <c r="BP289" s="2">
        <v>82</v>
      </c>
      <c r="BQ289" s="2" t="s">
        <v>487</v>
      </c>
      <c r="BR289" s="2" t="s">
        <v>488</v>
      </c>
      <c r="BS289" s="3">
        <v>40204</v>
      </c>
      <c r="BT289" s="4">
        <v>0.56491898148148145</v>
      </c>
    </row>
    <row r="290" spans="1:72" x14ac:dyDescent="0.25">
      <c r="A290" s="2">
        <v>453</v>
      </c>
      <c r="B290" s="2">
        <v>2010</v>
      </c>
      <c r="C290" s="2" t="s">
        <v>72</v>
      </c>
      <c r="D290" s="2" t="s">
        <v>73</v>
      </c>
      <c r="E290" s="2"/>
      <c r="F290" s="2">
        <v>3</v>
      </c>
      <c r="G290" s="2" t="s">
        <v>1041</v>
      </c>
      <c r="H290" s="2">
        <v>22</v>
      </c>
      <c r="I290" s="2" t="s">
        <v>75</v>
      </c>
      <c r="J290" s="2">
        <v>368</v>
      </c>
      <c r="K290" s="2" t="s">
        <v>1042</v>
      </c>
      <c r="L290" s="2" t="s">
        <v>1043</v>
      </c>
      <c r="M290" s="3">
        <v>40204</v>
      </c>
      <c r="N290" s="2"/>
      <c r="O290" s="2"/>
      <c r="P290" s="2"/>
      <c r="Q290" s="2" t="str">
        <f>"053-E/10"</f>
        <v>053-E/10</v>
      </c>
      <c r="R290" s="2"/>
      <c r="S290" s="2" t="s">
        <v>116</v>
      </c>
      <c r="T290" s="2">
        <v>1</v>
      </c>
      <c r="U290" s="2" t="s">
        <v>79</v>
      </c>
      <c r="V290" s="2">
        <v>1</v>
      </c>
      <c r="W290" s="2" t="s">
        <v>80</v>
      </c>
      <c r="X290" s="2">
        <v>5</v>
      </c>
      <c r="Y290" s="2" t="s">
        <v>82</v>
      </c>
      <c r="Z290" s="2">
        <v>1</v>
      </c>
      <c r="AA290" s="2" t="s">
        <v>82</v>
      </c>
      <c r="AB290" s="2">
        <v>6</v>
      </c>
      <c r="AC290" s="2" t="s">
        <v>83</v>
      </c>
      <c r="AD290" s="3">
        <v>40204</v>
      </c>
      <c r="AE290" s="4">
        <v>0.41666666666666669</v>
      </c>
      <c r="AF290" s="3">
        <v>40204</v>
      </c>
      <c r="AG290" s="4">
        <v>0.50694444444444442</v>
      </c>
      <c r="AH290" s="2">
        <v>2</v>
      </c>
      <c r="AI290" s="2" t="s">
        <v>84</v>
      </c>
      <c r="AJ290" s="2">
        <v>9</v>
      </c>
      <c r="AK290" s="2" t="s">
        <v>103</v>
      </c>
      <c r="AL290" s="2">
        <v>12</v>
      </c>
      <c r="AM290" s="2" t="s">
        <v>86</v>
      </c>
      <c r="AN290" s="2" t="s">
        <v>1475</v>
      </c>
      <c r="AO290" s="2" t="s">
        <v>1341</v>
      </c>
      <c r="AP290" s="2">
        <v>11</v>
      </c>
      <c r="AQ290" s="2" t="s">
        <v>82</v>
      </c>
      <c r="AR290" s="2" t="s">
        <v>82</v>
      </c>
      <c r="AS290" s="2" t="s">
        <v>82</v>
      </c>
      <c r="AT290" s="2" t="s">
        <v>1476</v>
      </c>
      <c r="AU290" s="2"/>
      <c r="AV290" s="2"/>
      <c r="AW290" s="2"/>
      <c r="AX290" s="2"/>
      <c r="AY290" s="2">
        <v>39</v>
      </c>
      <c r="AZ290" s="2" t="s">
        <v>440</v>
      </c>
      <c r="BA290" s="2">
        <v>39</v>
      </c>
      <c r="BB290" s="2" t="s">
        <v>440</v>
      </c>
      <c r="BC290" s="2">
        <v>41</v>
      </c>
      <c r="BD290" s="2" t="s">
        <v>82</v>
      </c>
      <c r="BE290" s="2">
        <v>41</v>
      </c>
      <c r="BF290" s="2" t="s">
        <v>82</v>
      </c>
      <c r="BG290" s="2" t="s">
        <v>107</v>
      </c>
      <c r="BH290" s="2"/>
      <c r="BI290" s="2"/>
      <c r="BJ290" s="2">
        <v>241</v>
      </c>
      <c r="BK290" s="2" t="s">
        <v>82</v>
      </c>
      <c r="BL290" s="2"/>
      <c r="BM290" s="2">
        <v>241</v>
      </c>
      <c r="BN290" s="2" t="s">
        <v>82</v>
      </c>
      <c r="BO290" s="2"/>
      <c r="BP290" s="2">
        <v>241</v>
      </c>
      <c r="BQ290" s="2" t="s">
        <v>82</v>
      </c>
      <c r="BR290" s="2" t="s">
        <v>82</v>
      </c>
      <c r="BS290" s="3">
        <v>40204</v>
      </c>
      <c r="BT290" s="4">
        <v>0.58962962962962961</v>
      </c>
    </row>
    <row r="291" spans="1:72" x14ac:dyDescent="0.25">
      <c r="A291" s="2">
        <v>456</v>
      </c>
      <c r="B291" s="2">
        <v>2010</v>
      </c>
      <c r="C291" s="2" t="s">
        <v>171</v>
      </c>
      <c r="D291" s="2" t="s">
        <v>73</v>
      </c>
      <c r="E291" s="2"/>
      <c r="F291" s="2">
        <v>483</v>
      </c>
      <c r="G291" s="2" t="s">
        <v>1477</v>
      </c>
      <c r="H291" s="2">
        <v>11</v>
      </c>
      <c r="I291" s="2" t="s">
        <v>1397</v>
      </c>
      <c r="J291" s="2">
        <v>167</v>
      </c>
      <c r="K291" s="2" t="s">
        <v>1032</v>
      </c>
      <c r="L291" s="2" t="s">
        <v>1033</v>
      </c>
      <c r="M291" s="3">
        <v>40204</v>
      </c>
      <c r="N291" s="2" t="s">
        <v>1478</v>
      </c>
      <c r="O291" s="2" t="s">
        <v>107</v>
      </c>
      <c r="P291" s="2" t="s">
        <v>107</v>
      </c>
      <c r="Q291" s="2" t="str">
        <f>"032-A/10"</f>
        <v>032-A/10</v>
      </c>
      <c r="R291" s="2" t="s">
        <v>107</v>
      </c>
      <c r="S291" s="2" t="s">
        <v>1479</v>
      </c>
      <c r="T291" s="2">
        <v>1</v>
      </c>
      <c r="U291" s="2" t="s">
        <v>79</v>
      </c>
      <c r="V291" s="2">
        <v>1</v>
      </c>
      <c r="W291" s="2" t="s">
        <v>80</v>
      </c>
      <c r="X291" s="2">
        <v>1</v>
      </c>
      <c r="Y291" s="2" t="s">
        <v>81</v>
      </c>
      <c r="Z291" s="2">
        <v>1</v>
      </c>
      <c r="AA291" s="2" t="s">
        <v>82</v>
      </c>
      <c r="AB291" s="2">
        <v>1</v>
      </c>
      <c r="AC291" s="2" t="s">
        <v>178</v>
      </c>
      <c r="AD291" s="3">
        <v>40204</v>
      </c>
      <c r="AE291" s="4">
        <v>0.38194444444444442</v>
      </c>
      <c r="AF291" s="2"/>
      <c r="AG291" s="2"/>
      <c r="AH291" s="2">
        <v>2</v>
      </c>
      <c r="AI291" s="2" t="s">
        <v>84</v>
      </c>
      <c r="AJ291" s="2">
        <v>12</v>
      </c>
      <c r="AK291" s="2" t="s">
        <v>85</v>
      </c>
      <c r="AL291" s="2">
        <v>16</v>
      </c>
      <c r="AM291" s="2" t="s">
        <v>392</v>
      </c>
      <c r="AN291" s="2" t="s">
        <v>1480</v>
      </c>
      <c r="AO291" s="2"/>
      <c r="AP291" s="2">
        <v>12</v>
      </c>
      <c r="AQ291" s="2" t="s">
        <v>322</v>
      </c>
      <c r="AR291" s="2" t="s">
        <v>827</v>
      </c>
      <c r="AS291" s="2" t="s">
        <v>107</v>
      </c>
      <c r="AT291" s="2" t="s">
        <v>1481</v>
      </c>
      <c r="AU291" s="2"/>
      <c r="AV291" s="2"/>
      <c r="AW291" s="2"/>
      <c r="AX291" s="2"/>
      <c r="AY291" s="2">
        <v>41</v>
      </c>
      <c r="AZ291" s="2" t="s">
        <v>82</v>
      </c>
      <c r="BA291" s="2">
        <v>41</v>
      </c>
      <c r="BB291" s="2" t="s">
        <v>82</v>
      </c>
      <c r="BC291" s="2">
        <v>51</v>
      </c>
      <c r="BD291" s="2" t="s">
        <v>827</v>
      </c>
      <c r="BE291" s="2">
        <v>13</v>
      </c>
      <c r="BF291" s="2" t="s">
        <v>108</v>
      </c>
      <c r="BG291" s="2" t="s">
        <v>1482</v>
      </c>
      <c r="BH291" s="2"/>
      <c r="BI291" s="4">
        <v>0.66319444444444442</v>
      </c>
      <c r="BJ291" s="2">
        <v>13</v>
      </c>
      <c r="BK291" s="2" t="s">
        <v>91</v>
      </c>
      <c r="BL291" s="2" t="s">
        <v>828</v>
      </c>
      <c r="BM291" s="2">
        <v>13</v>
      </c>
      <c r="BN291" s="2" t="s">
        <v>91</v>
      </c>
      <c r="BO291" s="2" t="s">
        <v>1468</v>
      </c>
      <c r="BP291" s="2">
        <v>13</v>
      </c>
      <c r="BQ291" s="2" t="s">
        <v>91</v>
      </c>
      <c r="BR291" s="2" t="s">
        <v>492</v>
      </c>
      <c r="BS291" s="3">
        <v>40204</v>
      </c>
      <c r="BT291" s="4">
        <v>0.74413194444444442</v>
      </c>
    </row>
    <row r="292" spans="1:72" x14ac:dyDescent="0.25">
      <c r="A292" s="2">
        <v>457</v>
      </c>
      <c r="B292" s="2">
        <v>2010</v>
      </c>
      <c r="C292" s="2" t="s">
        <v>93</v>
      </c>
      <c r="D292" s="2" t="s">
        <v>73</v>
      </c>
      <c r="E292" s="2"/>
      <c r="F292" s="2">
        <v>125</v>
      </c>
      <c r="G292" s="2" t="s">
        <v>1483</v>
      </c>
      <c r="H292" s="2">
        <v>49</v>
      </c>
      <c r="I292" s="2" t="s">
        <v>1484</v>
      </c>
      <c r="J292" s="2">
        <v>139</v>
      </c>
      <c r="K292" s="2" t="s">
        <v>1485</v>
      </c>
      <c r="L292" s="2" t="s">
        <v>1486</v>
      </c>
      <c r="M292" s="3">
        <v>40204</v>
      </c>
      <c r="N292" s="2" t="s">
        <v>1487</v>
      </c>
      <c r="O292" s="2" t="s">
        <v>1488</v>
      </c>
      <c r="P292" s="2" t="s">
        <v>1489</v>
      </c>
      <c r="Q292" s="2" t="str">
        <f>"Prev. Pol. 002/2010"</f>
        <v>Prev. Pol. 002/2010</v>
      </c>
      <c r="R292" s="2" t="s">
        <v>82</v>
      </c>
      <c r="S292" s="2" t="s">
        <v>1488</v>
      </c>
      <c r="T292" s="2">
        <v>1</v>
      </c>
      <c r="U292" s="2" t="s">
        <v>79</v>
      </c>
      <c r="V292" s="2">
        <v>1</v>
      </c>
      <c r="W292" s="2" t="s">
        <v>80</v>
      </c>
      <c r="X292" s="2">
        <v>1</v>
      </c>
      <c r="Y292" s="2" t="s">
        <v>81</v>
      </c>
      <c r="Z292" s="2">
        <v>1</v>
      </c>
      <c r="AA292" s="2" t="s">
        <v>82</v>
      </c>
      <c r="AB292" s="2">
        <v>2</v>
      </c>
      <c r="AC292" s="2" t="s">
        <v>102</v>
      </c>
      <c r="AD292" s="3">
        <v>40204</v>
      </c>
      <c r="AE292" s="4">
        <v>0.5625</v>
      </c>
      <c r="AF292" s="2"/>
      <c r="AG292" s="2"/>
      <c r="AH292" s="2">
        <v>6</v>
      </c>
      <c r="AI292" s="2" t="s">
        <v>197</v>
      </c>
      <c r="AJ292" s="2">
        <v>61</v>
      </c>
      <c r="AK292" s="2" t="s">
        <v>686</v>
      </c>
      <c r="AL292" s="2">
        <v>11</v>
      </c>
      <c r="AM292" s="2" t="s">
        <v>137</v>
      </c>
      <c r="AN292" s="2" t="s">
        <v>1490</v>
      </c>
      <c r="AO292" s="2" t="s">
        <v>82</v>
      </c>
      <c r="AP292" s="2">
        <v>11</v>
      </c>
      <c r="AQ292" s="2" t="s">
        <v>82</v>
      </c>
      <c r="AR292" s="2"/>
      <c r="AS292" s="2"/>
      <c r="AT292" s="2" t="s">
        <v>1491</v>
      </c>
      <c r="AU292" s="2"/>
      <c r="AV292" s="2"/>
      <c r="AW292" s="2"/>
      <c r="AX292" s="2"/>
      <c r="AY292" s="2">
        <v>41</v>
      </c>
      <c r="AZ292" s="2" t="s">
        <v>82</v>
      </c>
      <c r="BA292" s="2">
        <v>41</v>
      </c>
      <c r="BB292" s="2" t="s">
        <v>82</v>
      </c>
      <c r="BC292" s="2">
        <v>41</v>
      </c>
      <c r="BD292" s="2" t="s">
        <v>82</v>
      </c>
      <c r="BE292" s="2">
        <v>47</v>
      </c>
      <c r="BF292" s="2" t="s">
        <v>167</v>
      </c>
      <c r="BG292" s="2">
        <v>2849</v>
      </c>
      <c r="BH292" s="4">
        <v>0.55902777777777779</v>
      </c>
      <c r="BI292" s="4">
        <v>0.61111111111111105</v>
      </c>
      <c r="BJ292" s="2">
        <v>13</v>
      </c>
      <c r="BK292" s="2" t="s">
        <v>91</v>
      </c>
      <c r="BL292" s="2" t="s">
        <v>690</v>
      </c>
      <c r="BM292" s="2">
        <v>13</v>
      </c>
      <c r="BN292" s="2" t="s">
        <v>91</v>
      </c>
      <c r="BO292" s="2"/>
      <c r="BP292" s="2">
        <v>13</v>
      </c>
      <c r="BQ292" s="2" t="s">
        <v>91</v>
      </c>
      <c r="BR292" s="2" t="s">
        <v>185</v>
      </c>
      <c r="BS292" s="3">
        <v>40204</v>
      </c>
      <c r="BT292" s="4">
        <v>0.7462847222222222</v>
      </c>
    </row>
    <row r="293" spans="1:72" x14ac:dyDescent="0.25">
      <c r="A293" s="2">
        <v>458</v>
      </c>
      <c r="B293" s="2">
        <v>2010</v>
      </c>
      <c r="C293" s="2" t="s">
        <v>93</v>
      </c>
      <c r="D293" s="2" t="s">
        <v>73</v>
      </c>
      <c r="E293" s="2"/>
      <c r="F293" s="2">
        <v>484</v>
      </c>
      <c r="G293" s="2" t="s">
        <v>1492</v>
      </c>
      <c r="H293" s="2">
        <v>1</v>
      </c>
      <c r="I293" s="2" t="s">
        <v>82</v>
      </c>
      <c r="J293" s="2">
        <v>1</v>
      </c>
      <c r="K293" s="2" t="s">
        <v>107</v>
      </c>
      <c r="L293" s="2" t="s">
        <v>107</v>
      </c>
      <c r="M293" s="3">
        <v>40204</v>
      </c>
      <c r="N293" s="2"/>
      <c r="O293" s="2" t="s">
        <v>685</v>
      </c>
      <c r="P293" s="2"/>
      <c r="Q293" s="2" t="str">
        <f>"PREV. POL. 003/2010"</f>
        <v>PREV. POL. 003/2010</v>
      </c>
      <c r="R293" s="2" t="s">
        <v>82</v>
      </c>
      <c r="S293" s="2" t="s">
        <v>1493</v>
      </c>
      <c r="T293" s="2">
        <v>1</v>
      </c>
      <c r="U293" s="2" t="s">
        <v>79</v>
      </c>
      <c r="V293" s="2">
        <v>1</v>
      </c>
      <c r="W293" s="2" t="s">
        <v>80</v>
      </c>
      <c r="X293" s="2">
        <v>1</v>
      </c>
      <c r="Y293" s="2" t="s">
        <v>81</v>
      </c>
      <c r="Z293" s="2">
        <v>10</v>
      </c>
      <c r="AA293" s="2" t="s">
        <v>236</v>
      </c>
      <c r="AB293" s="2">
        <v>2</v>
      </c>
      <c r="AC293" s="2" t="s">
        <v>102</v>
      </c>
      <c r="AD293" s="3">
        <v>40204</v>
      </c>
      <c r="AE293" s="4">
        <v>0.63194444444444442</v>
      </c>
      <c r="AF293" s="2"/>
      <c r="AG293" s="2"/>
      <c r="AH293" s="2">
        <v>6</v>
      </c>
      <c r="AI293" s="2" t="s">
        <v>197</v>
      </c>
      <c r="AJ293" s="2">
        <v>61</v>
      </c>
      <c r="AK293" s="2" t="s">
        <v>686</v>
      </c>
      <c r="AL293" s="2">
        <v>11</v>
      </c>
      <c r="AM293" s="2" t="s">
        <v>137</v>
      </c>
      <c r="AN293" s="2" t="s">
        <v>1490</v>
      </c>
      <c r="AO293" s="2" t="s">
        <v>82</v>
      </c>
      <c r="AP293" s="2">
        <v>11</v>
      </c>
      <c r="AQ293" s="2" t="s">
        <v>82</v>
      </c>
      <c r="AR293" s="2"/>
      <c r="AS293" s="2"/>
      <c r="AT293" s="2" t="s">
        <v>1494</v>
      </c>
      <c r="AU293" s="2"/>
      <c r="AV293" s="2"/>
      <c r="AW293" s="2"/>
      <c r="AX293" s="2"/>
      <c r="AY293" s="2">
        <v>41</v>
      </c>
      <c r="AZ293" s="2" t="s">
        <v>82</v>
      </c>
      <c r="BA293" s="2">
        <v>41</v>
      </c>
      <c r="BB293" s="2" t="s">
        <v>82</v>
      </c>
      <c r="BC293" s="2">
        <v>41</v>
      </c>
      <c r="BD293" s="2" t="s">
        <v>82</v>
      </c>
      <c r="BE293" s="2">
        <v>49</v>
      </c>
      <c r="BF293" s="2" t="s">
        <v>1254</v>
      </c>
      <c r="BG293" s="2">
        <v>439</v>
      </c>
      <c r="BH293" s="4">
        <v>0.625</v>
      </c>
      <c r="BI293" s="4">
        <v>0.65277777777777779</v>
      </c>
      <c r="BJ293" s="2">
        <v>13</v>
      </c>
      <c r="BK293" s="2" t="s">
        <v>91</v>
      </c>
      <c r="BL293" s="2" t="s">
        <v>690</v>
      </c>
      <c r="BM293" s="2">
        <v>13</v>
      </c>
      <c r="BN293" s="2" t="s">
        <v>91</v>
      </c>
      <c r="BO293" s="2" t="s">
        <v>1495</v>
      </c>
      <c r="BP293" s="2">
        <v>13</v>
      </c>
      <c r="BQ293" s="2" t="s">
        <v>91</v>
      </c>
      <c r="BR293" s="2" t="s">
        <v>353</v>
      </c>
      <c r="BS293" s="3">
        <v>40204</v>
      </c>
      <c r="BT293" s="4">
        <v>0.79598379629629623</v>
      </c>
    </row>
    <row r="294" spans="1:72" x14ac:dyDescent="0.25">
      <c r="A294" s="2">
        <v>460</v>
      </c>
      <c r="B294" s="2">
        <v>2010</v>
      </c>
      <c r="C294" s="2" t="s">
        <v>72</v>
      </c>
      <c r="D294" s="2" t="s">
        <v>73</v>
      </c>
      <c r="E294" s="2"/>
      <c r="F294" s="2">
        <v>483</v>
      </c>
      <c r="G294" s="2" t="s">
        <v>1477</v>
      </c>
      <c r="H294" s="2">
        <v>11</v>
      </c>
      <c r="I294" s="2" t="s">
        <v>1397</v>
      </c>
      <c r="J294" s="2">
        <v>167</v>
      </c>
      <c r="K294" s="2" t="s">
        <v>1032</v>
      </c>
      <c r="L294" s="2" t="s">
        <v>1033</v>
      </c>
      <c r="M294" s="3">
        <v>40204</v>
      </c>
      <c r="N294" s="2" t="s">
        <v>1496</v>
      </c>
      <c r="O294" s="2" t="s">
        <v>107</v>
      </c>
      <c r="P294" s="2" t="s">
        <v>107</v>
      </c>
      <c r="Q294" s="2" t="str">
        <f>"033-A/10"</f>
        <v>033-A/10</v>
      </c>
      <c r="R294" s="2" t="s">
        <v>1497</v>
      </c>
      <c r="S294" s="2" t="s">
        <v>1497</v>
      </c>
      <c r="T294" s="2">
        <v>1</v>
      </c>
      <c r="U294" s="2" t="s">
        <v>79</v>
      </c>
      <c r="V294" s="2">
        <v>1</v>
      </c>
      <c r="W294" s="2" t="s">
        <v>80</v>
      </c>
      <c r="X294" s="2">
        <v>5</v>
      </c>
      <c r="Y294" s="2" t="s">
        <v>82</v>
      </c>
      <c r="Z294" s="2">
        <v>1</v>
      </c>
      <c r="AA294" s="2" t="s">
        <v>82</v>
      </c>
      <c r="AB294" s="2">
        <v>6</v>
      </c>
      <c r="AC294" s="2" t="s">
        <v>83</v>
      </c>
      <c r="AD294" s="3">
        <v>40204</v>
      </c>
      <c r="AE294" s="4">
        <v>0.5</v>
      </c>
      <c r="AF294" s="3">
        <v>40204</v>
      </c>
      <c r="AG294" s="4">
        <v>0.58333333333333337</v>
      </c>
      <c r="AH294" s="2">
        <v>2</v>
      </c>
      <c r="AI294" s="2" t="s">
        <v>84</v>
      </c>
      <c r="AJ294" s="2">
        <v>12</v>
      </c>
      <c r="AK294" s="2" t="s">
        <v>85</v>
      </c>
      <c r="AL294" s="2">
        <v>16</v>
      </c>
      <c r="AM294" s="2" t="s">
        <v>392</v>
      </c>
      <c r="AN294" s="2" t="s">
        <v>1498</v>
      </c>
      <c r="AO294" s="2" t="s">
        <v>1499</v>
      </c>
      <c r="AP294" s="2">
        <v>12</v>
      </c>
      <c r="AQ294" s="2" t="s">
        <v>322</v>
      </c>
      <c r="AR294" s="2" t="s">
        <v>1500</v>
      </c>
      <c r="AS294" s="2" t="s">
        <v>1501</v>
      </c>
      <c r="AT294" s="2" t="s">
        <v>1502</v>
      </c>
      <c r="AU294" s="2"/>
      <c r="AV294" s="2"/>
      <c r="AW294" s="2"/>
      <c r="AX294" s="2"/>
      <c r="AY294" s="2">
        <v>41</v>
      </c>
      <c r="AZ294" s="2" t="s">
        <v>82</v>
      </c>
      <c r="BA294" s="2">
        <v>41</v>
      </c>
      <c r="BB294" s="2" t="s">
        <v>82</v>
      </c>
      <c r="BC294" s="2">
        <v>41</v>
      </c>
      <c r="BD294" s="2" t="s">
        <v>82</v>
      </c>
      <c r="BE294" s="2">
        <v>13</v>
      </c>
      <c r="BF294" s="2" t="s">
        <v>108</v>
      </c>
      <c r="BG294" s="2" t="s">
        <v>1503</v>
      </c>
      <c r="BH294" s="4">
        <v>0.9375</v>
      </c>
      <c r="BI294" s="4">
        <v>0.85416666666666663</v>
      </c>
      <c r="BJ294" s="2">
        <v>13</v>
      </c>
      <c r="BK294" s="2" t="s">
        <v>91</v>
      </c>
      <c r="BL294" s="2" t="s">
        <v>445</v>
      </c>
      <c r="BM294" s="2">
        <v>241</v>
      </c>
      <c r="BN294" s="2" t="s">
        <v>82</v>
      </c>
      <c r="BO294" s="2" t="s">
        <v>82</v>
      </c>
      <c r="BP294" s="2">
        <v>241</v>
      </c>
      <c r="BQ294" s="2" t="s">
        <v>82</v>
      </c>
      <c r="BR294" s="2" t="s">
        <v>1504</v>
      </c>
      <c r="BS294" s="3">
        <v>40204</v>
      </c>
      <c r="BT294" s="4">
        <v>0.8351736111111111</v>
      </c>
    </row>
    <row r="295" spans="1:72" x14ac:dyDescent="0.25">
      <c r="A295" s="2">
        <v>461</v>
      </c>
      <c r="B295" s="2">
        <v>2010</v>
      </c>
      <c r="C295" s="2" t="s">
        <v>72</v>
      </c>
      <c r="D295" s="2" t="s">
        <v>73</v>
      </c>
      <c r="E295" s="2"/>
      <c r="F295" s="2">
        <v>3</v>
      </c>
      <c r="G295" s="2" t="s">
        <v>1041</v>
      </c>
      <c r="H295" s="2">
        <v>1</v>
      </c>
      <c r="I295" s="2" t="s">
        <v>82</v>
      </c>
      <c r="J295" s="2">
        <v>368</v>
      </c>
      <c r="K295" s="2" t="s">
        <v>1042</v>
      </c>
      <c r="L295" s="2" t="s">
        <v>1043</v>
      </c>
      <c r="M295" s="3">
        <v>40204</v>
      </c>
      <c r="N295" s="2"/>
      <c r="O295" s="2"/>
      <c r="P295" s="2"/>
      <c r="Q295" s="2" t="str">
        <f>"054-E/10"</f>
        <v>054-E/10</v>
      </c>
      <c r="R295" s="2"/>
      <c r="S295" s="2" t="s">
        <v>601</v>
      </c>
      <c r="T295" s="2">
        <v>1</v>
      </c>
      <c r="U295" s="2" t="s">
        <v>79</v>
      </c>
      <c r="V295" s="2">
        <v>1</v>
      </c>
      <c r="W295" s="2" t="s">
        <v>80</v>
      </c>
      <c r="X295" s="2">
        <v>5</v>
      </c>
      <c r="Y295" s="2" t="s">
        <v>82</v>
      </c>
      <c r="Z295" s="2">
        <v>1</v>
      </c>
      <c r="AA295" s="2" t="s">
        <v>82</v>
      </c>
      <c r="AB295" s="2">
        <v>6</v>
      </c>
      <c r="AC295" s="2" t="s">
        <v>83</v>
      </c>
      <c r="AD295" s="3">
        <v>40199</v>
      </c>
      <c r="AE295" s="4">
        <v>0.3888888888888889</v>
      </c>
      <c r="AF295" s="3">
        <v>40204</v>
      </c>
      <c r="AG295" s="4">
        <v>0.73263888888888884</v>
      </c>
      <c r="AH295" s="2">
        <v>2</v>
      </c>
      <c r="AI295" s="2" t="s">
        <v>84</v>
      </c>
      <c r="AJ295" s="2">
        <v>9</v>
      </c>
      <c r="AK295" s="2" t="s">
        <v>103</v>
      </c>
      <c r="AL295" s="2">
        <v>14</v>
      </c>
      <c r="AM295" s="2" t="s">
        <v>216</v>
      </c>
      <c r="AN295" s="2"/>
      <c r="AO295" s="2" t="s">
        <v>1505</v>
      </c>
      <c r="AP295" s="2">
        <v>11</v>
      </c>
      <c r="AQ295" s="2" t="s">
        <v>82</v>
      </c>
      <c r="AR295" s="2"/>
      <c r="AS295" s="2"/>
      <c r="AT295" s="2" t="s">
        <v>1506</v>
      </c>
      <c r="AU295" s="2"/>
      <c r="AV295" s="2"/>
      <c r="AW295" s="2"/>
      <c r="AX295" s="2"/>
      <c r="AY295" s="2">
        <v>41</v>
      </c>
      <c r="AZ295" s="2" t="s">
        <v>82</v>
      </c>
      <c r="BA295" s="2">
        <v>41</v>
      </c>
      <c r="BB295" s="2" t="s">
        <v>82</v>
      </c>
      <c r="BC295" s="2">
        <v>41</v>
      </c>
      <c r="BD295" s="2" t="s">
        <v>82</v>
      </c>
      <c r="BE295" s="2">
        <v>31</v>
      </c>
      <c r="BF295" s="2" t="s">
        <v>398</v>
      </c>
      <c r="BG295" s="2">
        <v>6841</v>
      </c>
      <c r="BH295" s="4">
        <v>0.3888888888888889</v>
      </c>
      <c r="BI295" s="2"/>
      <c r="BJ295" s="2">
        <v>73</v>
      </c>
      <c r="BK295" s="2" t="s">
        <v>186</v>
      </c>
      <c r="BL295" s="2" t="s">
        <v>187</v>
      </c>
      <c r="BM295" s="2">
        <v>241</v>
      </c>
      <c r="BN295" s="2" t="s">
        <v>82</v>
      </c>
      <c r="BO295" s="2"/>
      <c r="BP295" s="2">
        <v>13</v>
      </c>
      <c r="BQ295" s="2" t="s">
        <v>91</v>
      </c>
      <c r="BR295" s="2" t="s">
        <v>185</v>
      </c>
      <c r="BS295" s="3">
        <v>40204</v>
      </c>
      <c r="BT295" s="4">
        <v>0.84590277777777778</v>
      </c>
    </row>
    <row r="296" spans="1:72" x14ac:dyDescent="0.25">
      <c r="A296" s="2">
        <v>462</v>
      </c>
      <c r="B296" s="2">
        <v>2010</v>
      </c>
      <c r="C296" s="2" t="s">
        <v>625</v>
      </c>
      <c r="D296" s="2" t="s">
        <v>73</v>
      </c>
      <c r="E296" s="2"/>
      <c r="F296" s="2">
        <v>228</v>
      </c>
      <c r="G296" s="2" t="s">
        <v>1087</v>
      </c>
      <c r="H296" s="2">
        <v>7</v>
      </c>
      <c r="I296" s="2" t="s">
        <v>476</v>
      </c>
      <c r="J296" s="2">
        <v>242</v>
      </c>
      <c r="K296" s="2" t="s">
        <v>1077</v>
      </c>
      <c r="L296" s="2" t="s">
        <v>1078</v>
      </c>
      <c r="M296" s="3">
        <v>40204</v>
      </c>
      <c r="N296" s="2" t="s">
        <v>1391</v>
      </c>
      <c r="O296" s="2" t="s">
        <v>1392</v>
      </c>
      <c r="P296" s="2">
        <v>9682</v>
      </c>
      <c r="Q296" s="2" t="str">
        <f>"045-E/10"</f>
        <v>045-E/10</v>
      </c>
      <c r="R296" s="2"/>
      <c r="S296" s="2" t="s">
        <v>391</v>
      </c>
      <c r="T296" s="2">
        <v>1</v>
      </c>
      <c r="U296" s="2" t="s">
        <v>79</v>
      </c>
      <c r="V296" s="2">
        <v>1</v>
      </c>
      <c r="W296" s="2" t="s">
        <v>80</v>
      </c>
      <c r="X296" s="2">
        <v>2</v>
      </c>
      <c r="Y296" s="2" t="s">
        <v>136</v>
      </c>
      <c r="Z296" s="2">
        <v>10</v>
      </c>
      <c r="AA296" s="2" t="s">
        <v>236</v>
      </c>
      <c r="AB296" s="2">
        <v>9</v>
      </c>
      <c r="AC296" s="2" t="s">
        <v>124</v>
      </c>
      <c r="AD296" s="3">
        <v>40204</v>
      </c>
      <c r="AE296" s="4">
        <v>0.52083333333333337</v>
      </c>
      <c r="AF296" s="2"/>
      <c r="AG296" s="2"/>
      <c r="AH296" s="2">
        <v>2</v>
      </c>
      <c r="AI296" s="2" t="s">
        <v>84</v>
      </c>
      <c r="AJ296" s="2">
        <v>6</v>
      </c>
      <c r="AK296" s="2" t="s">
        <v>453</v>
      </c>
      <c r="AL296" s="2">
        <v>18</v>
      </c>
      <c r="AM296" s="2" t="s">
        <v>82</v>
      </c>
      <c r="AN296" s="2" t="s">
        <v>1507</v>
      </c>
      <c r="AO296" s="2" t="s">
        <v>1226</v>
      </c>
      <c r="AP296" s="2">
        <v>11</v>
      </c>
      <c r="AQ296" s="2" t="s">
        <v>82</v>
      </c>
      <c r="AR296" s="2"/>
      <c r="AS296" s="2"/>
      <c r="AT296" s="2" t="s">
        <v>1508</v>
      </c>
      <c r="AU296" s="2"/>
      <c r="AV296" s="2"/>
      <c r="AW296" s="2"/>
      <c r="AX296" s="2"/>
      <c r="AY296" s="2">
        <v>42</v>
      </c>
      <c r="AZ296" s="2" t="s">
        <v>182</v>
      </c>
      <c r="BA296" s="2">
        <v>70</v>
      </c>
      <c r="BB296" s="2" t="s">
        <v>236</v>
      </c>
      <c r="BC296" s="2">
        <v>70</v>
      </c>
      <c r="BD296" s="2" t="s">
        <v>236</v>
      </c>
      <c r="BE296" s="2">
        <v>41</v>
      </c>
      <c r="BF296" s="2" t="s">
        <v>82</v>
      </c>
      <c r="BG296" s="2"/>
      <c r="BH296" s="2"/>
      <c r="BI296" s="2"/>
      <c r="BJ296" s="2">
        <v>241</v>
      </c>
      <c r="BK296" s="2" t="s">
        <v>82</v>
      </c>
      <c r="BL296" s="2"/>
      <c r="BM296" s="2">
        <v>241</v>
      </c>
      <c r="BN296" s="2" t="s">
        <v>82</v>
      </c>
      <c r="BO296" s="2"/>
      <c r="BP296" s="2">
        <v>241</v>
      </c>
      <c r="BQ296" s="2" t="s">
        <v>82</v>
      </c>
      <c r="BR296" s="2"/>
      <c r="BS296" s="3">
        <v>40204</v>
      </c>
      <c r="BT296" s="4">
        <v>0.86293981481481474</v>
      </c>
    </row>
    <row r="297" spans="1:72" x14ac:dyDescent="0.25">
      <c r="A297" s="2">
        <v>462</v>
      </c>
      <c r="B297" s="2">
        <v>2010</v>
      </c>
      <c r="C297" s="2" t="s">
        <v>171</v>
      </c>
      <c r="D297" s="2" t="s">
        <v>73</v>
      </c>
      <c r="E297" s="2"/>
      <c r="F297" s="2">
        <v>228</v>
      </c>
      <c r="G297" s="2" t="s">
        <v>1087</v>
      </c>
      <c r="H297" s="2">
        <v>7</v>
      </c>
      <c r="I297" s="2" t="s">
        <v>476</v>
      </c>
      <c r="J297" s="2">
        <v>242</v>
      </c>
      <c r="K297" s="2" t="s">
        <v>1077</v>
      </c>
      <c r="L297" s="2" t="s">
        <v>1078</v>
      </c>
      <c r="M297" s="3">
        <v>40204</v>
      </c>
      <c r="N297" s="2" t="s">
        <v>1391</v>
      </c>
      <c r="O297" s="2" t="s">
        <v>1392</v>
      </c>
      <c r="P297" s="2">
        <v>9682</v>
      </c>
      <c r="Q297" s="2" t="str">
        <f>"045-E/10"</f>
        <v>045-E/10</v>
      </c>
      <c r="R297" s="2"/>
      <c r="S297" s="2" t="s">
        <v>391</v>
      </c>
      <c r="T297" s="2">
        <v>1</v>
      </c>
      <c r="U297" s="2" t="s">
        <v>79</v>
      </c>
      <c r="V297" s="2">
        <v>1</v>
      </c>
      <c r="W297" s="2" t="s">
        <v>80</v>
      </c>
      <c r="X297" s="2">
        <v>2</v>
      </c>
      <c r="Y297" s="2" t="s">
        <v>136</v>
      </c>
      <c r="Z297" s="2">
        <v>10</v>
      </c>
      <c r="AA297" s="2" t="s">
        <v>236</v>
      </c>
      <c r="AB297" s="2">
        <v>1</v>
      </c>
      <c r="AC297" s="2" t="s">
        <v>178</v>
      </c>
      <c r="AD297" s="3">
        <v>40204</v>
      </c>
      <c r="AE297" s="4">
        <v>0.52083333333333337</v>
      </c>
      <c r="AF297" s="2"/>
      <c r="AG297" s="2"/>
      <c r="AH297" s="2">
        <v>2</v>
      </c>
      <c r="AI297" s="2" t="s">
        <v>84</v>
      </c>
      <c r="AJ297" s="2">
        <v>6</v>
      </c>
      <c r="AK297" s="2" t="s">
        <v>453</v>
      </c>
      <c r="AL297" s="2">
        <v>18</v>
      </c>
      <c r="AM297" s="2" t="s">
        <v>82</v>
      </c>
      <c r="AN297" s="2" t="s">
        <v>1507</v>
      </c>
      <c r="AO297" s="2" t="s">
        <v>1226</v>
      </c>
      <c r="AP297" s="2">
        <v>11</v>
      </c>
      <c r="AQ297" s="2" t="s">
        <v>82</v>
      </c>
      <c r="AR297" s="2"/>
      <c r="AS297" s="2"/>
      <c r="AT297" s="2" t="s">
        <v>1508</v>
      </c>
      <c r="AU297" s="2"/>
      <c r="AV297" s="2"/>
      <c r="AW297" s="2"/>
      <c r="AX297" s="2"/>
      <c r="AY297" s="2">
        <v>42</v>
      </c>
      <c r="AZ297" s="2" t="s">
        <v>182</v>
      </c>
      <c r="BA297" s="2">
        <v>70</v>
      </c>
      <c r="BB297" s="2" t="s">
        <v>236</v>
      </c>
      <c r="BC297" s="2">
        <v>70</v>
      </c>
      <c r="BD297" s="2" t="s">
        <v>236</v>
      </c>
      <c r="BE297" s="2">
        <v>41</v>
      </c>
      <c r="BF297" s="2" t="s">
        <v>82</v>
      </c>
      <c r="BG297" s="2"/>
      <c r="BH297" s="2"/>
      <c r="BI297" s="2"/>
      <c r="BJ297" s="2">
        <v>241</v>
      </c>
      <c r="BK297" s="2" t="s">
        <v>82</v>
      </c>
      <c r="BL297" s="2"/>
      <c r="BM297" s="2">
        <v>241</v>
      </c>
      <c r="BN297" s="2" t="s">
        <v>82</v>
      </c>
      <c r="BO297" s="2"/>
      <c r="BP297" s="2">
        <v>241</v>
      </c>
      <c r="BQ297" s="2" t="s">
        <v>82</v>
      </c>
      <c r="BR297" s="2"/>
      <c r="BS297" s="3">
        <v>40204</v>
      </c>
      <c r="BT297" s="4">
        <v>0.86293981481481474</v>
      </c>
    </row>
    <row r="298" spans="1:72" x14ac:dyDescent="0.25">
      <c r="A298" s="2">
        <v>463</v>
      </c>
      <c r="B298" s="2">
        <v>2010</v>
      </c>
      <c r="C298" s="2" t="s">
        <v>147</v>
      </c>
      <c r="D298" s="2" t="s">
        <v>73</v>
      </c>
      <c r="E298" s="2"/>
      <c r="F298" s="2">
        <v>1</v>
      </c>
      <c r="G298" s="2" t="s">
        <v>82</v>
      </c>
      <c r="H298" s="2">
        <v>1</v>
      </c>
      <c r="I298" s="2" t="s">
        <v>82</v>
      </c>
      <c r="J298" s="2">
        <v>1</v>
      </c>
      <c r="K298" s="2" t="s">
        <v>107</v>
      </c>
      <c r="L298" s="2" t="s">
        <v>107</v>
      </c>
      <c r="M298" s="3">
        <v>40204</v>
      </c>
      <c r="N298" s="2" t="s">
        <v>82</v>
      </c>
      <c r="O298" s="2" t="s">
        <v>82</v>
      </c>
      <c r="P298" s="2" t="s">
        <v>82</v>
      </c>
      <c r="Q298" s="2" t="str">
        <f>"N/C"</f>
        <v>N/C</v>
      </c>
      <c r="R298" s="2" t="s">
        <v>82</v>
      </c>
      <c r="S298" s="2" t="s">
        <v>82</v>
      </c>
      <c r="T298" s="2">
        <v>2</v>
      </c>
      <c r="U298" s="2" t="s">
        <v>123</v>
      </c>
      <c r="V298" s="2">
        <v>1</v>
      </c>
      <c r="W298" s="2" t="s">
        <v>80</v>
      </c>
      <c r="X298" s="2">
        <v>12</v>
      </c>
      <c r="Y298" s="2" t="s">
        <v>148</v>
      </c>
      <c r="Z298" s="2">
        <v>1</v>
      </c>
      <c r="AA298" s="2" t="s">
        <v>82</v>
      </c>
      <c r="AB298" s="2">
        <v>9</v>
      </c>
      <c r="AC298" s="2" t="s">
        <v>124</v>
      </c>
      <c r="AD298" s="3">
        <v>40200</v>
      </c>
      <c r="AE298" s="4">
        <v>0.85416666666666663</v>
      </c>
      <c r="AF298" s="3">
        <v>40204</v>
      </c>
      <c r="AG298" s="4">
        <v>0.55555555555555558</v>
      </c>
      <c r="AH298" s="2">
        <v>2</v>
      </c>
      <c r="AI298" s="2" t="s">
        <v>84</v>
      </c>
      <c r="AJ298" s="2">
        <v>12</v>
      </c>
      <c r="AK298" s="2" t="s">
        <v>85</v>
      </c>
      <c r="AL298" s="2">
        <v>19</v>
      </c>
      <c r="AM298" s="2" t="s">
        <v>107</v>
      </c>
      <c r="AN298" s="2"/>
      <c r="AO298" s="2" t="s">
        <v>149</v>
      </c>
      <c r="AP298" s="2">
        <v>11</v>
      </c>
      <c r="AQ298" s="2" t="s">
        <v>82</v>
      </c>
      <c r="AR298" s="2" t="s">
        <v>82</v>
      </c>
      <c r="AS298" s="2" t="s">
        <v>82</v>
      </c>
      <c r="AT298" s="2" t="s">
        <v>1509</v>
      </c>
      <c r="AU298" s="2"/>
      <c r="AV298" s="2"/>
      <c r="AW298" s="2"/>
      <c r="AX298" s="2"/>
      <c r="AY298" s="2">
        <v>41</v>
      </c>
      <c r="AZ298" s="2" t="s">
        <v>82</v>
      </c>
      <c r="BA298" s="2">
        <v>41</v>
      </c>
      <c r="BB298" s="2" t="s">
        <v>82</v>
      </c>
      <c r="BC298" s="2">
        <v>41</v>
      </c>
      <c r="BD298" s="2" t="s">
        <v>82</v>
      </c>
      <c r="BE298" s="2">
        <v>41</v>
      </c>
      <c r="BF298" s="2" t="s">
        <v>82</v>
      </c>
      <c r="BG298" s="2"/>
      <c r="BH298" s="2"/>
      <c r="BI298" s="2"/>
      <c r="BJ298" s="2">
        <v>241</v>
      </c>
      <c r="BK298" s="2" t="s">
        <v>82</v>
      </c>
      <c r="BL298" s="2" t="s">
        <v>82</v>
      </c>
      <c r="BM298" s="2">
        <v>241</v>
      </c>
      <c r="BN298" s="2" t="s">
        <v>82</v>
      </c>
      <c r="BO298" s="2" t="s">
        <v>82</v>
      </c>
      <c r="BP298" s="2">
        <v>241</v>
      </c>
      <c r="BQ298" s="2" t="s">
        <v>82</v>
      </c>
      <c r="BR298" s="2"/>
      <c r="BS298" s="3">
        <v>40204</v>
      </c>
      <c r="BT298" s="4">
        <v>0.98362268518518514</v>
      </c>
    </row>
    <row r="299" spans="1:72" x14ac:dyDescent="0.25">
      <c r="A299" s="2">
        <v>464</v>
      </c>
      <c r="B299" s="2">
        <v>2010</v>
      </c>
      <c r="C299" s="2" t="s">
        <v>171</v>
      </c>
      <c r="D299" s="2" t="s">
        <v>73</v>
      </c>
      <c r="E299" s="2"/>
      <c r="F299" s="2">
        <v>395</v>
      </c>
      <c r="G299" s="2" t="s">
        <v>1076</v>
      </c>
      <c r="H299" s="2">
        <v>7</v>
      </c>
      <c r="I299" s="2" t="s">
        <v>476</v>
      </c>
      <c r="J299" s="2">
        <v>242</v>
      </c>
      <c r="K299" s="2" t="s">
        <v>1077</v>
      </c>
      <c r="L299" s="2" t="s">
        <v>1078</v>
      </c>
      <c r="M299" s="3">
        <v>40205</v>
      </c>
      <c r="N299" s="2" t="s">
        <v>1339</v>
      </c>
      <c r="O299" s="2"/>
      <c r="P299" s="2"/>
      <c r="Q299" s="2" t="str">
        <f>"055-E/10"</f>
        <v>055-E/10</v>
      </c>
      <c r="R299" s="2"/>
      <c r="S299" s="2" t="s">
        <v>391</v>
      </c>
      <c r="T299" s="2">
        <v>1</v>
      </c>
      <c r="U299" s="2" t="s">
        <v>79</v>
      </c>
      <c r="V299" s="2">
        <v>1</v>
      </c>
      <c r="W299" s="2" t="s">
        <v>80</v>
      </c>
      <c r="X299" s="2">
        <v>1</v>
      </c>
      <c r="Y299" s="2" t="s">
        <v>81</v>
      </c>
      <c r="Z299" s="2">
        <v>1</v>
      </c>
      <c r="AA299" s="2" t="s">
        <v>82</v>
      </c>
      <c r="AB299" s="2">
        <v>1</v>
      </c>
      <c r="AC299" s="2" t="s">
        <v>178</v>
      </c>
      <c r="AD299" s="3">
        <v>40204</v>
      </c>
      <c r="AE299" s="4">
        <v>0.89583333333333337</v>
      </c>
      <c r="AF299" s="3">
        <v>40204</v>
      </c>
      <c r="AG299" s="4">
        <v>0.89583333333333337</v>
      </c>
      <c r="AH299" s="2">
        <v>2</v>
      </c>
      <c r="AI299" s="2" t="s">
        <v>84</v>
      </c>
      <c r="AJ299" s="2">
        <v>9</v>
      </c>
      <c r="AK299" s="2" t="s">
        <v>103</v>
      </c>
      <c r="AL299" s="2">
        <v>8</v>
      </c>
      <c r="AM299" s="2" t="s">
        <v>179</v>
      </c>
      <c r="AN299" s="2"/>
      <c r="AO299" s="2" t="s">
        <v>1230</v>
      </c>
      <c r="AP299" s="2">
        <v>11</v>
      </c>
      <c r="AQ299" s="2" t="s">
        <v>82</v>
      </c>
      <c r="AR299" s="2"/>
      <c r="AS299" s="2"/>
      <c r="AT299" s="2" t="s">
        <v>1510</v>
      </c>
      <c r="AU299" s="2"/>
      <c r="AV299" s="2">
        <v>1</v>
      </c>
      <c r="AW299" s="2"/>
      <c r="AX299" s="2"/>
      <c r="AY299" s="2">
        <v>41</v>
      </c>
      <c r="AZ299" s="2" t="s">
        <v>82</v>
      </c>
      <c r="BA299" s="2">
        <v>41</v>
      </c>
      <c r="BB299" s="2" t="s">
        <v>82</v>
      </c>
      <c r="BC299" s="2">
        <v>41</v>
      </c>
      <c r="BD299" s="2" t="s">
        <v>82</v>
      </c>
      <c r="BE299" s="2">
        <v>31</v>
      </c>
      <c r="BF299" s="2" t="s">
        <v>398</v>
      </c>
      <c r="BG299" s="2" t="s">
        <v>1511</v>
      </c>
      <c r="BH299" s="2"/>
      <c r="BI299" s="4">
        <v>0.91666666666666663</v>
      </c>
      <c r="BJ299" s="2">
        <v>13</v>
      </c>
      <c r="BK299" s="2" t="s">
        <v>91</v>
      </c>
      <c r="BL299" s="2" t="s">
        <v>185</v>
      </c>
      <c r="BM299" s="2">
        <v>73</v>
      </c>
      <c r="BN299" s="2" t="s">
        <v>186</v>
      </c>
      <c r="BO299" s="2" t="s">
        <v>187</v>
      </c>
      <c r="BP299" s="2">
        <v>166</v>
      </c>
      <c r="BQ299" s="2" t="s">
        <v>401</v>
      </c>
      <c r="BR299" s="2" t="s">
        <v>1512</v>
      </c>
      <c r="BS299" s="3">
        <v>40205</v>
      </c>
      <c r="BT299" s="4">
        <v>0.21146990740740743</v>
      </c>
    </row>
    <row r="300" spans="1:72" x14ac:dyDescent="0.25">
      <c r="A300" s="2">
        <v>465</v>
      </c>
      <c r="B300" s="2">
        <v>2010</v>
      </c>
      <c r="C300" s="2" t="s">
        <v>121</v>
      </c>
      <c r="D300" s="2" t="s">
        <v>122</v>
      </c>
      <c r="E300" s="2" t="s">
        <v>1513</v>
      </c>
      <c r="F300" s="2">
        <v>1</v>
      </c>
      <c r="G300" s="2" t="s">
        <v>82</v>
      </c>
      <c r="H300" s="2">
        <v>1</v>
      </c>
      <c r="I300" s="2" t="s">
        <v>82</v>
      </c>
      <c r="J300" s="2">
        <v>1</v>
      </c>
      <c r="K300" s="2" t="s">
        <v>107</v>
      </c>
      <c r="L300" s="2" t="s">
        <v>107</v>
      </c>
      <c r="M300" s="3">
        <v>40205</v>
      </c>
      <c r="N300" s="2"/>
      <c r="O300" s="2"/>
      <c r="P300" s="2"/>
      <c r="Q300" s="2" t="str">
        <f>""</f>
        <v/>
      </c>
      <c r="R300" s="2"/>
      <c r="S300" s="2"/>
      <c r="T300" s="2">
        <v>2</v>
      </c>
      <c r="U300" s="2" t="s">
        <v>123</v>
      </c>
      <c r="V300" s="2">
        <v>1</v>
      </c>
      <c r="W300" s="2" t="s">
        <v>80</v>
      </c>
      <c r="X300" s="2">
        <v>5</v>
      </c>
      <c r="Y300" s="2" t="s">
        <v>82</v>
      </c>
      <c r="Z300" s="2">
        <v>1</v>
      </c>
      <c r="AA300" s="2" t="s">
        <v>82</v>
      </c>
      <c r="AB300" s="2">
        <v>9</v>
      </c>
      <c r="AC300" s="2" t="s">
        <v>124</v>
      </c>
      <c r="AD300" s="3">
        <v>40205</v>
      </c>
      <c r="AE300" s="4">
        <v>0.37152777777777773</v>
      </c>
      <c r="AF300" s="2"/>
      <c r="AG300" s="2"/>
      <c r="AH300" s="2">
        <v>3</v>
      </c>
      <c r="AI300" s="2" t="s">
        <v>214</v>
      </c>
      <c r="AJ300" s="2">
        <v>23</v>
      </c>
      <c r="AK300" s="2" t="s">
        <v>851</v>
      </c>
      <c r="AL300" s="2">
        <v>18</v>
      </c>
      <c r="AM300" s="2" t="s">
        <v>82</v>
      </c>
      <c r="AN300" s="2" t="s">
        <v>230</v>
      </c>
      <c r="AO300" s="2" t="s">
        <v>82</v>
      </c>
      <c r="AP300" s="2">
        <v>11</v>
      </c>
      <c r="AQ300" s="2" t="s">
        <v>82</v>
      </c>
      <c r="AR300" s="2" t="s">
        <v>82</v>
      </c>
      <c r="AS300" s="2" t="s">
        <v>82</v>
      </c>
      <c r="AT300" s="2" t="s">
        <v>1514</v>
      </c>
      <c r="AU300" s="2"/>
      <c r="AV300" s="2"/>
      <c r="AW300" s="2"/>
      <c r="AX300" s="2"/>
      <c r="AY300" s="2">
        <v>1</v>
      </c>
      <c r="AZ300" s="2" t="s">
        <v>107</v>
      </c>
      <c r="BA300" s="2">
        <v>1</v>
      </c>
      <c r="BB300" s="2" t="s">
        <v>107</v>
      </c>
      <c r="BC300" s="2">
        <v>1</v>
      </c>
      <c r="BD300" s="2" t="s">
        <v>107</v>
      </c>
      <c r="BE300" s="2">
        <v>47</v>
      </c>
      <c r="BF300" s="2" t="s">
        <v>167</v>
      </c>
      <c r="BG300" s="2">
        <v>2435</v>
      </c>
      <c r="BH300" s="4">
        <v>0.4375</v>
      </c>
      <c r="BI300" s="4">
        <v>0.37152777777777773</v>
      </c>
      <c r="BJ300" s="2">
        <v>13</v>
      </c>
      <c r="BK300" s="2" t="s">
        <v>91</v>
      </c>
      <c r="BL300" s="2" t="s">
        <v>854</v>
      </c>
      <c r="BM300" s="2">
        <v>242</v>
      </c>
      <c r="BN300" s="2" t="s">
        <v>107</v>
      </c>
      <c r="BO300" s="2" t="s">
        <v>82</v>
      </c>
      <c r="BP300" s="2">
        <v>13</v>
      </c>
      <c r="BQ300" s="2" t="s">
        <v>91</v>
      </c>
      <c r="BR300" s="2" t="s">
        <v>564</v>
      </c>
      <c r="BS300" s="3">
        <v>40205</v>
      </c>
      <c r="BT300" s="4">
        <v>0.38787037037037037</v>
      </c>
    </row>
    <row r="301" spans="1:72" x14ac:dyDescent="0.25">
      <c r="A301" s="2">
        <v>466</v>
      </c>
      <c r="B301" s="2">
        <v>2010</v>
      </c>
      <c r="C301" s="2" t="s">
        <v>171</v>
      </c>
      <c r="D301" s="2" t="s">
        <v>122</v>
      </c>
      <c r="E301" s="2" t="s">
        <v>1515</v>
      </c>
      <c r="F301" s="2">
        <v>395</v>
      </c>
      <c r="G301" s="2" t="s">
        <v>1076</v>
      </c>
      <c r="H301" s="2">
        <v>7</v>
      </c>
      <c r="I301" s="2" t="s">
        <v>476</v>
      </c>
      <c r="J301" s="2">
        <v>242</v>
      </c>
      <c r="K301" s="2" t="s">
        <v>1077</v>
      </c>
      <c r="L301" s="2" t="s">
        <v>1078</v>
      </c>
      <c r="M301" s="3">
        <v>40205</v>
      </c>
      <c r="N301" s="2" t="s">
        <v>1339</v>
      </c>
      <c r="O301" s="2"/>
      <c r="P301" s="2"/>
      <c r="Q301" s="2" t="str">
        <f>"055-E/10"</f>
        <v>055-E/10</v>
      </c>
      <c r="R301" s="2" t="s">
        <v>391</v>
      </c>
      <c r="S301" s="2"/>
      <c r="T301" s="2">
        <v>1</v>
      </c>
      <c r="U301" s="2" t="s">
        <v>79</v>
      </c>
      <c r="V301" s="2">
        <v>1</v>
      </c>
      <c r="W301" s="2" t="s">
        <v>80</v>
      </c>
      <c r="X301" s="2">
        <v>1</v>
      </c>
      <c r="Y301" s="2" t="s">
        <v>81</v>
      </c>
      <c r="Z301" s="2">
        <v>1</v>
      </c>
      <c r="AA301" s="2" t="s">
        <v>82</v>
      </c>
      <c r="AB301" s="2">
        <v>1</v>
      </c>
      <c r="AC301" s="2" t="s">
        <v>178</v>
      </c>
      <c r="AD301" s="3">
        <v>40204</v>
      </c>
      <c r="AE301" s="4">
        <v>0.89583333333333337</v>
      </c>
      <c r="AF301" s="3">
        <v>40204</v>
      </c>
      <c r="AG301" s="4">
        <v>0.89583333333333337</v>
      </c>
      <c r="AH301" s="2">
        <v>2</v>
      </c>
      <c r="AI301" s="2" t="s">
        <v>84</v>
      </c>
      <c r="AJ301" s="2">
        <v>9</v>
      </c>
      <c r="AK301" s="2" t="s">
        <v>103</v>
      </c>
      <c r="AL301" s="2">
        <v>8</v>
      </c>
      <c r="AM301" s="2" t="s">
        <v>179</v>
      </c>
      <c r="AN301" s="2"/>
      <c r="AO301" s="2" t="s">
        <v>1230</v>
      </c>
      <c r="AP301" s="2">
        <v>11</v>
      </c>
      <c r="AQ301" s="2" t="s">
        <v>82</v>
      </c>
      <c r="AR301" s="2"/>
      <c r="AS301" s="2"/>
      <c r="AT301" s="2" t="s">
        <v>1516</v>
      </c>
      <c r="AU301" s="2"/>
      <c r="AV301" s="2">
        <v>1</v>
      </c>
      <c r="AW301" s="2"/>
      <c r="AX301" s="2"/>
      <c r="AY301" s="2">
        <v>41</v>
      </c>
      <c r="AZ301" s="2" t="s">
        <v>82</v>
      </c>
      <c r="BA301" s="2">
        <v>41</v>
      </c>
      <c r="BB301" s="2" t="s">
        <v>82</v>
      </c>
      <c r="BC301" s="2">
        <v>41</v>
      </c>
      <c r="BD301" s="2" t="s">
        <v>82</v>
      </c>
      <c r="BE301" s="2">
        <v>31</v>
      </c>
      <c r="BF301" s="2" t="s">
        <v>398</v>
      </c>
      <c r="BG301" s="2" t="s">
        <v>1511</v>
      </c>
      <c r="BH301" s="2"/>
      <c r="BI301" s="4">
        <v>0.91666666666666663</v>
      </c>
      <c r="BJ301" s="2">
        <v>13</v>
      </c>
      <c r="BK301" s="2" t="s">
        <v>91</v>
      </c>
      <c r="BL301" s="2" t="s">
        <v>185</v>
      </c>
      <c r="BM301" s="2">
        <v>73</v>
      </c>
      <c r="BN301" s="2" t="s">
        <v>186</v>
      </c>
      <c r="BO301" s="2" t="s">
        <v>187</v>
      </c>
      <c r="BP301" s="2">
        <v>166</v>
      </c>
      <c r="BQ301" s="2" t="s">
        <v>401</v>
      </c>
      <c r="BR301" s="2" t="s">
        <v>1512</v>
      </c>
      <c r="BS301" s="3">
        <v>40205</v>
      </c>
      <c r="BT301" s="4">
        <v>0.38819444444444445</v>
      </c>
    </row>
    <row r="302" spans="1:72" x14ac:dyDescent="0.25">
      <c r="A302" s="2">
        <v>468</v>
      </c>
      <c r="B302" s="2">
        <v>2010</v>
      </c>
      <c r="C302" s="2" t="s">
        <v>457</v>
      </c>
      <c r="D302" s="2" t="s">
        <v>122</v>
      </c>
      <c r="E302" s="2"/>
      <c r="F302" s="2">
        <v>434</v>
      </c>
      <c r="G302" s="2" t="s">
        <v>1517</v>
      </c>
      <c r="H302" s="2">
        <v>25</v>
      </c>
      <c r="I302" s="2" t="s">
        <v>505</v>
      </c>
      <c r="J302" s="2">
        <v>1</v>
      </c>
      <c r="K302" s="2" t="s">
        <v>107</v>
      </c>
      <c r="L302" s="2" t="s">
        <v>107</v>
      </c>
      <c r="M302" s="3">
        <v>40205</v>
      </c>
      <c r="N302" s="2" t="s">
        <v>1518</v>
      </c>
      <c r="O302" s="2" t="s">
        <v>1519</v>
      </c>
      <c r="P302" s="2"/>
      <c r="Q302" s="2" t="str">
        <f>"N/C"</f>
        <v>N/C</v>
      </c>
      <c r="R302" s="2" t="s">
        <v>82</v>
      </c>
      <c r="S302" s="2" t="s">
        <v>82</v>
      </c>
      <c r="T302" s="2">
        <v>1</v>
      </c>
      <c r="U302" s="2" t="s">
        <v>79</v>
      </c>
      <c r="V302" s="2">
        <v>1</v>
      </c>
      <c r="W302" s="2" t="s">
        <v>80</v>
      </c>
      <c r="X302" s="2">
        <v>1</v>
      </c>
      <c r="Y302" s="2" t="s">
        <v>81</v>
      </c>
      <c r="Z302" s="2">
        <v>1</v>
      </c>
      <c r="AA302" s="2" t="s">
        <v>82</v>
      </c>
      <c r="AB302" s="2">
        <v>9</v>
      </c>
      <c r="AC302" s="2" t="s">
        <v>124</v>
      </c>
      <c r="AD302" s="2"/>
      <c r="AE302" s="2"/>
      <c r="AF302" s="2"/>
      <c r="AG302" s="2"/>
      <c r="AH302" s="2">
        <v>3</v>
      </c>
      <c r="AI302" s="2" t="s">
        <v>214</v>
      </c>
      <c r="AJ302" s="2">
        <v>24</v>
      </c>
      <c r="AK302" s="2" t="s">
        <v>215</v>
      </c>
      <c r="AL302" s="2">
        <v>18</v>
      </c>
      <c r="AM302" s="2" t="s">
        <v>82</v>
      </c>
      <c r="AN302" s="2"/>
      <c r="AO302" s="2"/>
      <c r="AP302" s="2">
        <v>11</v>
      </c>
      <c r="AQ302" s="2" t="s">
        <v>82</v>
      </c>
      <c r="AR302" s="2"/>
      <c r="AS302" s="2"/>
      <c r="AT302" s="2" t="s">
        <v>1520</v>
      </c>
      <c r="AU302" s="2"/>
      <c r="AV302" s="2"/>
      <c r="AW302" s="2"/>
      <c r="AX302" s="2"/>
      <c r="AY302" s="2">
        <v>41</v>
      </c>
      <c r="AZ302" s="2" t="s">
        <v>82</v>
      </c>
      <c r="BA302" s="2">
        <v>41</v>
      </c>
      <c r="BB302" s="2" t="s">
        <v>82</v>
      </c>
      <c r="BC302" s="2">
        <v>41</v>
      </c>
      <c r="BD302" s="2" t="s">
        <v>82</v>
      </c>
      <c r="BE302" s="2">
        <v>47</v>
      </c>
      <c r="BF302" s="2" t="s">
        <v>167</v>
      </c>
      <c r="BG302" s="2" t="s">
        <v>1521</v>
      </c>
      <c r="BH302" s="4">
        <v>0.42708333333333331</v>
      </c>
      <c r="BI302" s="4">
        <v>0.3888888888888889</v>
      </c>
      <c r="BJ302" s="2">
        <v>13</v>
      </c>
      <c r="BK302" s="2" t="s">
        <v>91</v>
      </c>
      <c r="BL302" s="2" t="s">
        <v>169</v>
      </c>
      <c r="BM302" s="2">
        <v>241</v>
      </c>
      <c r="BN302" s="2" t="s">
        <v>82</v>
      </c>
      <c r="BO302" s="2"/>
      <c r="BP302" s="2">
        <v>13</v>
      </c>
      <c r="BQ302" s="2" t="s">
        <v>91</v>
      </c>
      <c r="BR302" s="2" t="s">
        <v>185</v>
      </c>
      <c r="BS302" s="3">
        <v>40205</v>
      </c>
      <c r="BT302" s="4">
        <v>0.43827546296296299</v>
      </c>
    </row>
    <row r="303" spans="1:72" x14ac:dyDescent="0.25">
      <c r="A303" s="2">
        <v>476</v>
      </c>
      <c r="B303" s="2">
        <v>2010</v>
      </c>
      <c r="C303" s="2" t="s">
        <v>457</v>
      </c>
      <c r="D303" s="2" t="s">
        <v>122</v>
      </c>
      <c r="E303" s="2" t="s">
        <v>1522</v>
      </c>
      <c r="F303" s="2">
        <v>434</v>
      </c>
      <c r="G303" s="2" t="s">
        <v>1517</v>
      </c>
      <c r="H303" s="2">
        <v>25</v>
      </c>
      <c r="I303" s="2" t="s">
        <v>505</v>
      </c>
      <c r="J303" s="2">
        <v>1</v>
      </c>
      <c r="K303" s="2" t="s">
        <v>107</v>
      </c>
      <c r="L303" s="2" t="s">
        <v>107</v>
      </c>
      <c r="M303" s="3">
        <v>40205</v>
      </c>
      <c r="N303" s="2" t="s">
        <v>1518</v>
      </c>
      <c r="O303" s="2" t="s">
        <v>1519</v>
      </c>
      <c r="P303" s="2"/>
      <c r="Q303" s="2" t="str">
        <f>"N/C"</f>
        <v>N/C</v>
      </c>
      <c r="R303" s="2" t="s">
        <v>82</v>
      </c>
      <c r="S303" s="2" t="s">
        <v>82</v>
      </c>
      <c r="T303" s="2">
        <v>1</v>
      </c>
      <c r="U303" s="2" t="s">
        <v>79</v>
      </c>
      <c r="V303" s="2">
        <v>1</v>
      </c>
      <c r="W303" s="2" t="s">
        <v>80</v>
      </c>
      <c r="X303" s="2">
        <v>1</v>
      </c>
      <c r="Y303" s="2" t="s">
        <v>81</v>
      </c>
      <c r="Z303" s="2">
        <v>1</v>
      </c>
      <c r="AA303" s="2" t="s">
        <v>82</v>
      </c>
      <c r="AB303" s="2">
        <v>9</v>
      </c>
      <c r="AC303" s="2" t="s">
        <v>124</v>
      </c>
      <c r="AD303" s="2"/>
      <c r="AE303" s="2"/>
      <c r="AF303" s="2"/>
      <c r="AG303" s="2"/>
      <c r="AH303" s="2">
        <v>3</v>
      </c>
      <c r="AI303" s="2" t="s">
        <v>214</v>
      </c>
      <c r="AJ303" s="2">
        <v>24</v>
      </c>
      <c r="AK303" s="2" t="s">
        <v>215</v>
      </c>
      <c r="AL303" s="2">
        <v>18</v>
      </c>
      <c r="AM303" s="2" t="s">
        <v>82</v>
      </c>
      <c r="AN303" s="2"/>
      <c r="AO303" s="2"/>
      <c r="AP303" s="2">
        <v>11</v>
      </c>
      <c r="AQ303" s="2" t="s">
        <v>82</v>
      </c>
      <c r="AR303" s="2"/>
      <c r="AS303" s="2"/>
      <c r="AT303" s="2" t="s">
        <v>1523</v>
      </c>
      <c r="AU303" s="2"/>
      <c r="AV303" s="2"/>
      <c r="AW303" s="2"/>
      <c r="AX303" s="2"/>
      <c r="AY303" s="2">
        <v>41</v>
      </c>
      <c r="AZ303" s="2" t="s">
        <v>82</v>
      </c>
      <c r="BA303" s="2">
        <v>41</v>
      </c>
      <c r="BB303" s="2" t="s">
        <v>82</v>
      </c>
      <c r="BC303" s="2">
        <v>41</v>
      </c>
      <c r="BD303" s="2" t="s">
        <v>82</v>
      </c>
      <c r="BE303" s="2">
        <v>47</v>
      </c>
      <c r="BF303" s="2" t="s">
        <v>167</v>
      </c>
      <c r="BG303" s="2" t="s">
        <v>1521</v>
      </c>
      <c r="BH303" s="4">
        <v>0.42708333333333331</v>
      </c>
      <c r="BI303" s="4">
        <v>0.3888888888888889</v>
      </c>
      <c r="BJ303" s="2">
        <v>13</v>
      </c>
      <c r="BK303" s="2" t="s">
        <v>91</v>
      </c>
      <c r="BL303" s="2" t="s">
        <v>169</v>
      </c>
      <c r="BM303" s="2">
        <v>241</v>
      </c>
      <c r="BN303" s="2" t="s">
        <v>82</v>
      </c>
      <c r="BO303" s="2"/>
      <c r="BP303" s="2">
        <v>13</v>
      </c>
      <c r="BQ303" s="2" t="s">
        <v>91</v>
      </c>
      <c r="BR303" s="2" t="s">
        <v>185</v>
      </c>
      <c r="BS303" s="3">
        <v>40205</v>
      </c>
      <c r="BT303" s="4">
        <v>0.56574074074074077</v>
      </c>
    </row>
    <row r="304" spans="1:72" x14ac:dyDescent="0.25">
      <c r="A304" s="2">
        <v>477</v>
      </c>
      <c r="B304" s="2">
        <v>2010</v>
      </c>
      <c r="C304" s="2" t="s">
        <v>147</v>
      </c>
      <c r="D304" s="2" t="s">
        <v>73</v>
      </c>
      <c r="E304" s="2"/>
      <c r="F304" s="2">
        <v>1</v>
      </c>
      <c r="G304" s="2" t="s">
        <v>82</v>
      </c>
      <c r="H304" s="2">
        <v>1</v>
      </c>
      <c r="I304" s="2" t="s">
        <v>82</v>
      </c>
      <c r="J304" s="2">
        <v>1</v>
      </c>
      <c r="K304" s="2" t="s">
        <v>107</v>
      </c>
      <c r="L304" s="2" t="s">
        <v>107</v>
      </c>
      <c r="M304" s="3">
        <v>40205</v>
      </c>
      <c r="N304" s="2" t="s">
        <v>82</v>
      </c>
      <c r="O304" s="2" t="s">
        <v>82</v>
      </c>
      <c r="P304" s="2" t="s">
        <v>82</v>
      </c>
      <c r="Q304" s="2" t="str">
        <f>"N/C"</f>
        <v>N/C</v>
      </c>
      <c r="R304" s="2" t="s">
        <v>82</v>
      </c>
      <c r="S304" s="2" t="s">
        <v>82</v>
      </c>
      <c r="T304" s="2">
        <v>2</v>
      </c>
      <c r="U304" s="2" t="s">
        <v>123</v>
      </c>
      <c r="V304" s="2">
        <v>1</v>
      </c>
      <c r="W304" s="2" t="s">
        <v>80</v>
      </c>
      <c r="X304" s="2">
        <v>12</v>
      </c>
      <c r="Y304" s="2" t="s">
        <v>148</v>
      </c>
      <c r="Z304" s="2">
        <v>1</v>
      </c>
      <c r="AA304" s="2" t="s">
        <v>82</v>
      </c>
      <c r="AB304" s="2">
        <v>9</v>
      </c>
      <c r="AC304" s="2" t="s">
        <v>124</v>
      </c>
      <c r="AD304" s="3">
        <v>40204</v>
      </c>
      <c r="AE304" s="2"/>
      <c r="AF304" s="3">
        <v>40205</v>
      </c>
      <c r="AG304" s="4">
        <v>0.53472222222222221</v>
      </c>
      <c r="AH304" s="2">
        <v>2</v>
      </c>
      <c r="AI304" s="2" t="s">
        <v>84</v>
      </c>
      <c r="AJ304" s="2">
        <v>12</v>
      </c>
      <c r="AK304" s="2" t="s">
        <v>85</v>
      </c>
      <c r="AL304" s="2">
        <v>19</v>
      </c>
      <c r="AM304" s="2" t="s">
        <v>107</v>
      </c>
      <c r="AN304" s="2" t="s">
        <v>107</v>
      </c>
      <c r="AO304" s="2" t="s">
        <v>149</v>
      </c>
      <c r="AP304" s="2">
        <v>11</v>
      </c>
      <c r="AQ304" s="2" t="s">
        <v>82</v>
      </c>
      <c r="AR304" s="2" t="s">
        <v>82</v>
      </c>
      <c r="AS304" s="2" t="s">
        <v>82</v>
      </c>
      <c r="AT304" s="2" t="s">
        <v>1524</v>
      </c>
      <c r="AU304" s="2"/>
      <c r="AV304" s="2"/>
      <c r="AW304" s="2"/>
      <c r="AX304" s="2"/>
      <c r="AY304" s="2">
        <v>41</v>
      </c>
      <c r="AZ304" s="2" t="s">
        <v>82</v>
      </c>
      <c r="BA304" s="2">
        <v>41</v>
      </c>
      <c r="BB304" s="2" t="s">
        <v>82</v>
      </c>
      <c r="BC304" s="2">
        <v>41</v>
      </c>
      <c r="BD304" s="2" t="s">
        <v>82</v>
      </c>
      <c r="BE304" s="2">
        <v>41</v>
      </c>
      <c r="BF304" s="2" t="s">
        <v>82</v>
      </c>
      <c r="BG304" s="2" t="s">
        <v>82</v>
      </c>
      <c r="BH304" s="2"/>
      <c r="BI304" s="2"/>
      <c r="BJ304" s="2">
        <v>241</v>
      </c>
      <c r="BK304" s="2" t="s">
        <v>82</v>
      </c>
      <c r="BL304" s="2" t="s">
        <v>82</v>
      </c>
      <c r="BM304" s="2">
        <v>241</v>
      </c>
      <c r="BN304" s="2" t="s">
        <v>82</v>
      </c>
      <c r="BO304" s="2" t="s">
        <v>82</v>
      </c>
      <c r="BP304" s="2">
        <v>241</v>
      </c>
      <c r="BQ304" s="2" t="s">
        <v>82</v>
      </c>
      <c r="BR304" s="2" t="s">
        <v>82</v>
      </c>
      <c r="BS304" s="3">
        <v>40205</v>
      </c>
      <c r="BT304" s="4">
        <v>0.63989583333333333</v>
      </c>
    </row>
    <row r="305" spans="1:72" x14ac:dyDescent="0.25">
      <c r="A305" s="2">
        <v>480</v>
      </c>
      <c r="B305" s="2">
        <v>2010</v>
      </c>
      <c r="C305" s="2" t="s">
        <v>147</v>
      </c>
      <c r="D305" s="2" t="s">
        <v>73</v>
      </c>
      <c r="E305" s="2"/>
      <c r="F305" s="2">
        <v>1</v>
      </c>
      <c r="G305" s="2" t="s">
        <v>82</v>
      </c>
      <c r="H305" s="2">
        <v>1</v>
      </c>
      <c r="I305" s="2" t="s">
        <v>82</v>
      </c>
      <c r="J305" s="2">
        <v>1</v>
      </c>
      <c r="K305" s="2" t="s">
        <v>107</v>
      </c>
      <c r="L305" s="2" t="s">
        <v>107</v>
      </c>
      <c r="M305" s="3">
        <v>40205</v>
      </c>
      <c r="N305" s="2" t="s">
        <v>82</v>
      </c>
      <c r="O305" s="2" t="s">
        <v>82</v>
      </c>
      <c r="P305" s="2" t="s">
        <v>82</v>
      </c>
      <c r="Q305" s="2" t="str">
        <f>"N/C"</f>
        <v>N/C</v>
      </c>
      <c r="R305" s="2" t="s">
        <v>82</v>
      </c>
      <c r="S305" s="2" t="s">
        <v>82</v>
      </c>
      <c r="T305" s="2">
        <v>2</v>
      </c>
      <c r="U305" s="2" t="s">
        <v>123</v>
      </c>
      <c r="V305" s="2">
        <v>1</v>
      </c>
      <c r="W305" s="2" t="s">
        <v>80</v>
      </c>
      <c r="X305" s="2">
        <v>12</v>
      </c>
      <c r="Y305" s="2" t="s">
        <v>148</v>
      </c>
      <c r="Z305" s="2">
        <v>1</v>
      </c>
      <c r="AA305" s="2" t="s">
        <v>82</v>
      </c>
      <c r="AB305" s="2">
        <v>9</v>
      </c>
      <c r="AC305" s="2" t="s">
        <v>124</v>
      </c>
      <c r="AD305" s="2"/>
      <c r="AE305" s="2"/>
      <c r="AF305" s="3">
        <v>40205</v>
      </c>
      <c r="AG305" s="4">
        <v>0.65972222222222221</v>
      </c>
      <c r="AH305" s="2">
        <v>2</v>
      </c>
      <c r="AI305" s="2" t="s">
        <v>84</v>
      </c>
      <c r="AJ305" s="2">
        <v>12</v>
      </c>
      <c r="AK305" s="2" t="s">
        <v>85</v>
      </c>
      <c r="AL305" s="2">
        <v>12</v>
      </c>
      <c r="AM305" s="2" t="s">
        <v>86</v>
      </c>
      <c r="AN305" s="2" t="s">
        <v>107</v>
      </c>
      <c r="AO305" s="2" t="s">
        <v>1525</v>
      </c>
      <c r="AP305" s="2">
        <v>11</v>
      </c>
      <c r="AQ305" s="2" t="s">
        <v>82</v>
      </c>
      <c r="AR305" s="2" t="s">
        <v>82</v>
      </c>
      <c r="AS305" s="2" t="s">
        <v>82</v>
      </c>
      <c r="AT305" s="2" t="s">
        <v>1526</v>
      </c>
      <c r="AU305" s="2"/>
      <c r="AV305" s="2"/>
      <c r="AW305" s="2"/>
      <c r="AX305" s="2"/>
      <c r="AY305" s="2">
        <v>41</v>
      </c>
      <c r="AZ305" s="2" t="s">
        <v>82</v>
      </c>
      <c r="BA305" s="2">
        <v>41</v>
      </c>
      <c r="BB305" s="2" t="s">
        <v>82</v>
      </c>
      <c r="BC305" s="2">
        <v>41</v>
      </c>
      <c r="BD305" s="2" t="s">
        <v>82</v>
      </c>
      <c r="BE305" s="2">
        <v>41</v>
      </c>
      <c r="BF305" s="2" t="s">
        <v>82</v>
      </c>
      <c r="BG305" s="2" t="s">
        <v>82</v>
      </c>
      <c r="BH305" s="2"/>
      <c r="BI305" s="2"/>
      <c r="BJ305" s="2">
        <v>241</v>
      </c>
      <c r="BK305" s="2" t="s">
        <v>82</v>
      </c>
      <c r="BL305" s="2" t="s">
        <v>82</v>
      </c>
      <c r="BM305" s="2">
        <v>241</v>
      </c>
      <c r="BN305" s="2" t="s">
        <v>82</v>
      </c>
      <c r="BO305" s="2" t="s">
        <v>82</v>
      </c>
      <c r="BP305" s="2">
        <v>241</v>
      </c>
      <c r="BQ305" s="2" t="s">
        <v>82</v>
      </c>
      <c r="BR305" s="2" t="s">
        <v>82</v>
      </c>
      <c r="BS305" s="3">
        <v>40205</v>
      </c>
      <c r="BT305" s="4">
        <v>0.84636574074074078</v>
      </c>
    </row>
    <row r="306" spans="1:72" x14ac:dyDescent="0.25">
      <c r="A306" s="2">
        <v>481</v>
      </c>
      <c r="B306" s="2">
        <v>2010</v>
      </c>
      <c r="C306" s="2" t="s">
        <v>457</v>
      </c>
      <c r="D306" s="2" t="s">
        <v>73</v>
      </c>
      <c r="E306" s="2"/>
      <c r="F306" s="2">
        <v>434</v>
      </c>
      <c r="G306" s="2" t="s">
        <v>1517</v>
      </c>
      <c r="H306" s="2">
        <v>42</v>
      </c>
      <c r="I306" s="2" t="s">
        <v>1096</v>
      </c>
      <c r="J306" s="2">
        <v>1</v>
      </c>
      <c r="K306" s="2" t="s">
        <v>107</v>
      </c>
      <c r="L306" s="2" t="s">
        <v>107</v>
      </c>
      <c r="M306" s="3">
        <v>40205</v>
      </c>
      <c r="N306" s="2" t="s">
        <v>1527</v>
      </c>
      <c r="O306" s="2" t="s">
        <v>1528</v>
      </c>
      <c r="P306" s="2" t="s">
        <v>1529</v>
      </c>
      <c r="Q306" s="2" t="str">
        <f>"N/C"</f>
        <v>N/C</v>
      </c>
      <c r="R306" s="2" t="s">
        <v>107</v>
      </c>
      <c r="S306" s="2" t="s">
        <v>82</v>
      </c>
      <c r="T306" s="2">
        <v>1</v>
      </c>
      <c r="U306" s="2" t="s">
        <v>79</v>
      </c>
      <c r="V306" s="2">
        <v>1</v>
      </c>
      <c r="W306" s="2" t="s">
        <v>80</v>
      </c>
      <c r="X306" s="2">
        <v>1</v>
      </c>
      <c r="Y306" s="2" t="s">
        <v>81</v>
      </c>
      <c r="Z306" s="2">
        <v>1</v>
      </c>
      <c r="AA306" s="2" t="s">
        <v>82</v>
      </c>
      <c r="AB306" s="2">
        <v>9</v>
      </c>
      <c r="AC306" s="2" t="s">
        <v>124</v>
      </c>
      <c r="AD306" s="3">
        <v>40205</v>
      </c>
      <c r="AE306" s="4">
        <v>0.4375</v>
      </c>
      <c r="AF306" s="2"/>
      <c r="AG306" s="2"/>
      <c r="AH306" s="2">
        <v>2</v>
      </c>
      <c r="AI306" s="2" t="s">
        <v>84</v>
      </c>
      <c r="AJ306" s="2">
        <v>12</v>
      </c>
      <c r="AK306" s="2" t="s">
        <v>85</v>
      </c>
      <c r="AL306" s="2">
        <v>18</v>
      </c>
      <c r="AM306" s="2" t="s">
        <v>82</v>
      </c>
      <c r="AN306" s="2" t="s">
        <v>1530</v>
      </c>
      <c r="AO306" s="2" t="s">
        <v>82</v>
      </c>
      <c r="AP306" s="2">
        <v>11</v>
      </c>
      <c r="AQ306" s="2" t="s">
        <v>82</v>
      </c>
      <c r="AR306" s="2" t="s">
        <v>82</v>
      </c>
      <c r="AS306" s="2" t="s">
        <v>82</v>
      </c>
      <c r="AT306" s="2" t="s">
        <v>1531</v>
      </c>
      <c r="AU306" s="2">
        <v>1</v>
      </c>
      <c r="AV306" s="2"/>
      <c r="AW306" s="2"/>
      <c r="AX306" s="2"/>
      <c r="AY306" s="2">
        <v>41</v>
      </c>
      <c r="AZ306" s="2" t="s">
        <v>82</v>
      </c>
      <c r="BA306" s="2">
        <v>41</v>
      </c>
      <c r="BB306" s="2" t="s">
        <v>82</v>
      </c>
      <c r="BC306" s="2">
        <v>41</v>
      </c>
      <c r="BD306" s="2" t="s">
        <v>82</v>
      </c>
      <c r="BE306" s="2">
        <v>47</v>
      </c>
      <c r="BF306" s="2" t="s">
        <v>167</v>
      </c>
      <c r="BG306" s="2" t="s">
        <v>1521</v>
      </c>
      <c r="BH306" s="4">
        <v>0.4375</v>
      </c>
      <c r="BI306" s="4">
        <v>0.38194444444444442</v>
      </c>
      <c r="BJ306" s="2">
        <v>13</v>
      </c>
      <c r="BK306" s="2" t="s">
        <v>91</v>
      </c>
      <c r="BL306" s="2" t="s">
        <v>169</v>
      </c>
      <c r="BM306" s="2">
        <v>241</v>
      </c>
      <c r="BN306" s="2" t="s">
        <v>82</v>
      </c>
      <c r="BO306" s="2" t="s">
        <v>82</v>
      </c>
      <c r="BP306" s="2">
        <v>13</v>
      </c>
      <c r="BQ306" s="2" t="s">
        <v>91</v>
      </c>
      <c r="BR306" s="2" t="s">
        <v>1040</v>
      </c>
      <c r="BS306" s="3">
        <v>40205</v>
      </c>
      <c r="BT306" s="4">
        <v>0.86973379629629621</v>
      </c>
    </row>
    <row r="307" spans="1:72" x14ac:dyDescent="0.25">
      <c r="A307" s="2">
        <v>482</v>
      </c>
      <c r="B307" s="2">
        <v>2010</v>
      </c>
      <c r="C307" s="2" t="s">
        <v>819</v>
      </c>
      <c r="D307" s="2" t="s">
        <v>122</v>
      </c>
      <c r="E307" s="2"/>
      <c r="F307" s="2">
        <v>451</v>
      </c>
      <c r="G307" s="2" t="s">
        <v>879</v>
      </c>
      <c r="H307" s="2">
        <v>31</v>
      </c>
      <c r="I307" s="2" t="s">
        <v>880</v>
      </c>
      <c r="J307" s="2">
        <v>326</v>
      </c>
      <c r="K307" s="2" t="s">
        <v>881</v>
      </c>
      <c r="L307" s="2" t="s">
        <v>882</v>
      </c>
      <c r="M307" s="3">
        <v>40205</v>
      </c>
      <c r="N307" s="2" t="s">
        <v>821</v>
      </c>
      <c r="O307" s="2"/>
      <c r="P307" s="2"/>
      <c r="Q307" s="2" t="str">
        <f>"005/10"</f>
        <v>005/10</v>
      </c>
      <c r="R307" s="2"/>
      <c r="S307" s="2" t="s">
        <v>822</v>
      </c>
      <c r="T307" s="2">
        <v>1</v>
      </c>
      <c r="U307" s="2" t="s">
        <v>79</v>
      </c>
      <c r="V307" s="2">
        <v>1</v>
      </c>
      <c r="W307" s="2" t="s">
        <v>80</v>
      </c>
      <c r="X307" s="2">
        <v>1</v>
      </c>
      <c r="Y307" s="2" t="s">
        <v>81</v>
      </c>
      <c r="Z307" s="2">
        <v>10</v>
      </c>
      <c r="AA307" s="2" t="s">
        <v>236</v>
      </c>
      <c r="AB307" s="2">
        <v>9</v>
      </c>
      <c r="AC307" s="2" t="s">
        <v>124</v>
      </c>
      <c r="AD307" s="3">
        <v>40205</v>
      </c>
      <c r="AE307" s="4">
        <v>0.82638888888888884</v>
      </c>
      <c r="AF307" s="2"/>
      <c r="AG307" s="2"/>
      <c r="AH307" s="2">
        <v>4</v>
      </c>
      <c r="AI307" s="2" t="s">
        <v>125</v>
      </c>
      <c r="AJ307" s="2">
        <v>29</v>
      </c>
      <c r="AK307" s="2" t="s">
        <v>227</v>
      </c>
      <c r="AL307" s="2">
        <v>10</v>
      </c>
      <c r="AM307" s="2" t="s">
        <v>200</v>
      </c>
      <c r="AN307" s="2" t="s">
        <v>1015</v>
      </c>
      <c r="AO307" s="2" t="s">
        <v>200</v>
      </c>
      <c r="AP307" s="2">
        <v>12</v>
      </c>
      <c r="AQ307" s="2" t="s">
        <v>322</v>
      </c>
      <c r="AR307" s="2" t="s">
        <v>824</v>
      </c>
      <c r="AS307" s="2" t="s">
        <v>825</v>
      </c>
      <c r="AT307" s="2" t="s">
        <v>1532</v>
      </c>
      <c r="AU307" s="2"/>
      <c r="AV307" s="2"/>
      <c r="AW307" s="2"/>
      <c r="AX307" s="2"/>
      <c r="AY307" s="2">
        <v>41</v>
      </c>
      <c r="AZ307" s="2" t="s">
        <v>82</v>
      </c>
      <c r="BA307" s="2">
        <v>41</v>
      </c>
      <c r="BB307" s="2" t="s">
        <v>82</v>
      </c>
      <c r="BC307" s="2">
        <v>51</v>
      </c>
      <c r="BD307" s="2" t="s">
        <v>827</v>
      </c>
      <c r="BE307" s="2">
        <v>47</v>
      </c>
      <c r="BF307" s="2" t="s">
        <v>167</v>
      </c>
      <c r="BG307" s="2">
        <v>2459</v>
      </c>
      <c r="BH307" s="4">
        <v>0.81944444444444453</v>
      </c>
      <c r="BI307" s="4">
        <v>0.85763888888888884</v>
      </c>
      <c r="BJ307" s="2">
        <v>13</v>
      </c>
      <c r="BK307" s="2" t="s">
        <v>91</v>
      </c>
      <c r="BL307" s="2" t="s">
        <v>185</v>
      </c>
      <c r="BM307" s="2">
        <v>13</v>
      </c>
      <c r="BN307" s="2" t="s">
        <v>91</v>
      </c>
      <c r="BO307" s="2" t="s">
        <v>828</v>
      </c>
      <c r="BP307" s="2">
        <v>13</v>
      </c>
      <c r="BQ307" s="2" t="s">
        <v>91</v>
      </c>
      <c r="BR307" s="2" t="s">
        <v>185</v>
      </c>
      <c r="BS307" s="3">
        <v>40205</v>
      </c>
      <c r="BT307" s="4">
        <v>0.87844907407407413</v>
      </c>
    </row>
    <row r="308" spans="1:72" x14ac:dyDescent="0.25">
      <c r="A308" s="2">
        <v>484</v>
      </c>
      <c r="B308" s="2">
        <v>2010</v>
      </c>
      <c r="C308" s="2" t="s">
        <v>147</v>
      </c>
      <c r="D308" s="2" t="s">
        <v>73</v>
      </c>
      <c r="E308" s="2"/>
      <c r="F308" s="2">
        <v>1</v>
      </c>
      <c r="G308" s="2" t="s">
        <v>82</v>
      </c>
      <c r="H308" s="2">
        <v>1</v>
      </c>
      <c r="I308" s="2" t="s">
        <v>82</v>
      </c>
      <c r="J308" s="2">
        <v>1</v>
      </c>
      <c r="K308" s="2" t="s">
        <v>107</v>
      </c>
      <c r="L308" s="2" t="s">
        <v>107</v>
      </c>
      <c r="M308" s="3">
        <v>40206</v>
      </c>
      <c r="N308" s="2"/>
      <c r="O308" s="2" t="s">
        <v>82</v>
      </c>
      <c r="P308" s="2"/>
      <c r="Q308" s="2" t="str">
        <f>""</f>
        <v/>
      </c>
      <c r="R308" s="2"/>
      <c r="S308" s="2"/>
      <c r="T308" s="2">
        <v>2</v>
      </c>
      <c r="U308" s="2" t="s">
        <v>123</v>
      </c>
      <c r="V308" s="2">
        <v>1</v>
      </c>
      <c r="W308" s="2" t="s">
        <v>80</v>
      </c>
      <c r="X308" s="2">
        <v>12</v>
      </c>
      <c r="Y308" s="2" t="s">
        <v>148</v>
      </c>
      <c r="Z308" s="2">
        <v>1</v>
      </c>
      <c r="AA308" s="2" t="s">
        <v>82</v>
      </c>
      <c r="AB308" s="2">
        <v>9</v>
      </c>
      <c r="AC308" s="2" t="s">
        <v>124</v>
      </c>
      <c r="AD308" s="3">
        <v>40205</v>
      </c>
      <c r="AE308" s="2"/>
      <c r="AF308" s="3">
        <v>40206</v>
      </c>
      <c r="AG308" s="4">
        <v>0.38541666666666669</v>
      </c>
      <c r="AH308" s="2">
        <v>2</v>
      </c>
      <c r="AI308" s="2" t="s">
        <v>84</v>
      </c>
      <c r="AJ308" s="2">
        <v>12</v>
      </c>
      <c r="AK308" s="2" t="s">
        <v>85</v>
      </c>
      <c r="AL308" s="2">
        <v>19</v>
      </c>
      <c r="AM308" s="2" t="s">
        <v>107</v>
      </c>
      <c r="AN308" s="2" t="s">
        <v>1533</v>
      </c>
      <c r="AO308" s="2" t="s">
        <v>1534</v>
      </c>
      <c r="AP308" s="2">
        <v>11</v>
      </c>
      <c r="AQ308" s="2" t="s">
        <v>82</v>
      </c>
      <c r="AR308" s="2"/>
      <c r="AS308" s="2"/>
      <c r="AT308" s="2" t="s">
        <v>1535</v>
      </c>
      <c r="AU308" s="2"/>
      <c r="AV308" s="2"/>
      <c r="AW308" s="2"/>
      <c r="AX308" s="2"/>
      <c r="AY308" s="2">
        <v>41</v>
      </c>
      <c r="AZ308" s="2" t="s">
        <v>82</v>
      </c>
      <c r="BA308" s="2">
        <v>41</v>
      </c>
      <c r="BB308" s="2" t="s">
        <v>82</v>
      </c>
      <c r="BC308" s="2">
        <v>41</v>
      </c>
      <c r="BD308" s="2" t="s">
        <v>82</v>
      </c>
      <c r="BE308" s="2">
        <v>41</v>
      </c>
      <c r="BF308" s="2" t="s">
        <v>82</v>
      </c>
      <c r="BG308" s="2"/>
      <c r="BH308" s="2"/>
      <c r="BI308" s="2"/>
      <c r="BJ308" s="2">
        <v>241</v>
      </c>
      <c r="BK308" s="2" t="s">
        <v>82</v>
      </c>
      <c r="BL308" s="2"/>
      <c r="BM308" s="2">
        <v>241</v>
      </c>
      <c r="BN308" s="2" t="s">
        <v>82</v>
      </c>
      <c r="BO308" s="2"/>
      <c r="BP308" s="2">
        <v>241</v>
      </c>
      <c r="BQ308" s="2" t="s">
        <v>82</v>
      </c>
      <c r="BR308" s="2"/>
      <c r="BS308" s="3">
        <v>40206</v>
      </c>
      <c r="BT308" s="4">
        <v>0.43738425925925922</v>
      </c>
    </row>
    <row r="309" spans="1:72" x14ac:dyDescent="0.25">
      <c r="A309" s="2">
        <v>486</v>
      </c>
      <c r="B309" s="2">
        <v>2010</v>
      </c>
      <c r="C309" s="2" t="s">
        <v>819</v>
      </c>
      <c r="D309" s="2" t="s">
        <v>122</v>
      </c>
      <c r="E309" s="2" t="s">
        <v>1536</v>
      </c>
      <c r="F309" s="2">
        <v>451</v>
      </c>
      <c r="G309" s="2" t="s">
        <v>879</v>
      </c>
      <c r="H309" s="2">
        <v>31</v>
      </c>
      <c r="I309" s="2" t="s">
        <v>880</v>
      </c>
      <c r="J309" s="2">
        <v>326</v>
      </c>
      <c r="K309" s="2" t="s">
        <v>881</v>
      </c>
      <c r="L309" s="2" t="s">
        <v>882</v>
      </c>
      <c r="M309" s="3">
        <v>40206</v>
      </c>
      <c r="N309" s="2" t="s">
        <v>821</v>
      </c>
      <c r="O309" s="2"/>
      <c r="P309" s="2"/>
      <c r="Q309" s="2" t="str">
        <f>"005/10"</f>
        <v>005/10</v>
      </c>
      <c r="R309" s="2" t="s">
        <v>822</v>
      </c>
      <c r="S309" s="2"/>
      <c r="T309" s="2">
        <v>1</v>
      </c>
      <c r="U309" s="2" t="s">
        <v>79</v>
      </c>
      <c r="V309" s="2">
        <v>1</v>
      </c>
      <c r="W309" s="2" t="s">
        <v>80</v>
      </c>
      <c r="X309" s="2">
        <v>1</v>
      </c>
      <c r="Y309" s="2" t="s">
        <v>81</v>
      </c>
      <c r="Z309" s="2">
        <v>10</v>
      </c>
      <c r="AA309" s="2" t="s">
        <v>236</v>
      </c>
      <c r="AB309" s="2">
        <v>9</v>
      </c>
      <c r="AC309" s="2" t="s">
        <v>124</v>
      </c>
      <c r="AD309" s="3">
        <v>40206</v>
      </c>
      <c r="AE309" s="4">
        <v>0.39583333333333331</v>
      </c>
      <c r="AF309" s="2"/>
      <c r="AG309" s="2"/>
      <c r="AH309" s="2">
        <v>4</v>
      </c>
      <c r="AI309" s="2" t="s">
        <v>125</v>
      </c>
      <c r="AJ309" s="2">
        <v>29</v>
      </c>
      <c r="AK309" s="2" t="s">
        <v>227</v>
      </c>
      <c r="AL309" s="2">
        <v>10</v>
      </c>
      <c r="AM309" s="2" t="s">
        <v>200</v>
      </c>
      <c r="AN309" s="2" t="s">
        <v>883</v>
      </c>
      <c r="AO309" s="2"/>
      <c r="AP309" s="2">
        <v>12</v>
      </c>
      <c r="AQ309" s="2" t="s">
        <v>322</v>
      </c>
      <c r="AR309" s="2" t="s">
        <v>824</v>
      </c>
      <c r="AS309" s="2" t="s">
        <v>825</v>
      </c>
      <c r="AT309" s="2" t="s">
        <v>1537</v>
      </c>
      <c r="AU309" s="2"/>
      <c r="AV309" s="2"/>
      <c r="AW309" s="2"/>
      <c r="AX309" s="2"/>
      <c r="AY309" s="2">
        <v>41</v>
      </c>
      <c r="AZ309" s="2" t="s">
        <v>82</v>
      </c>
      <c r="BA309" s="2">
        <v>41</v>
      </c>
      <c r="BB309" s="2" t="s">
        <v>82</v>
      </c>
      <c r="BC309" s="2">
        <v>51</v>
      </c>
      <c r="BD309" s="2" t="s">
        <v>827</v>
      </c>
      <c r="BE309" s="2">
        <v>47</v>
      </c>
      <c r="BF309" s="2" t="s">
        <v>167</v>
      </c>
      <c r="BG309" s="2">
        <v>2459</v>
      </c>
      <c r="BH309" s="4">
        <v>0.81944444444444453</v>
      </c>
      <c r="BI309" s="4">
        <v>0.85763888888888884</v>
      </c>
      <c r="BJ309" s="2">
        <v>13</v>
      </c>
      <c r="BK309" s="2" t="s">
        <v>91</v>
      </c>
      <c r="BL309" s="2" t="s">
        <v>185</v>
      </c>
      <c r="BM309" s="2">
        <v>13</v>
      </c>
      <c r="BN309" s="2" t="s">
        <v>91</v>
      </c>
      <c r="BO309" s="2" t="s">
        <v>828</v>
      </c>
      <c r="BP309" s="2">
        <v>13</v>
      </c>
      <c r="BQ309" s="2" t="s">
        <v>91</v>
      </c>
      <c r="BR309" s="2" t="s">
        <v>185</v>
      </c>
      <c r="BS309" s="3">
        <v>40206</v>
      </c>
      <c r="BT309" s="4">
        <v>0.44659722222222226</v>
      </c>
    </row>
    <row r="310" spans="1:72" x14ac:dyDescent="0.25">
      <c r="A310" s="2">
        <v>489</v>
      </c>
      <c r="B310" s="2">
        <v>2010</v>
      </c>
      <c r="C310" s="2" t="s">
        <v>196</v>
      </c>
      <c r="D310" s="2" t="s">
        <v>122</v>
      </c>
      <c r="E310" s="2"/>
      <c r="F310" s="2">
        <v>1</v>
      </c>
      <c r="G310" s="2" t="s">
        <v>82</v>
      </c>
      <c r="H310" s="2">
        <v>1</v>
      </c>
      <c r="I310" s="2" t="s">
        <v>82</v>
      </c>
      <c r="J310" s="2">
        <v>1</v>
      </c>
      <c r="K310" s="2" t="s">
        <v>107</v>
      </c>
      <c r="L310" s="2" t="s">
        <v>107</v>
      </c>
      <c r="M310" s="3">
        <v>40206</v>
      </c>
      <c r="N310" s="2"/>
      <c r="O310" s="2" t="s">
        <v>82</v>
      </c>
      <c r="P310" s="2"/>
      <c r="Q310" s="2" t="str">
        <f>""</f>
        <v/>
      </c>
      <c r="R310" s="2"/>
      <c r="S310" s="2"/>
      <c r="T310" s="2">
        <v>2</v>
      </c>
      <c r="U310" s="2" t="s">
        <v>123</v>
      </c>
      <c r="V310" s="2">
        <v>1</v>
      </c>
      <c r="W310" s="2" t="s">
        <v>80</v>
      </c>
      <c r="X310" s="2">
        <v>1</v>
      </c>
      <c r="Y310" s="2" t="s">
        <v>81</v>
      </c>
      <c r="Z310" s="2">
        <v>1</v>
      </c>
      <c r="AA310" s="2" t="s">
        <v>82</v>
      </c>
      <c r="AB310" s="2">
        <v>9</v>
      </c>
      <c r="AC310" s="2" t="s">
        <v>124</v>
      </c>
      <c r="AD310" s="3">
        <v>40206</v>
      </c>
      <c r="AE310" s="4">
        <v>0.35416666666666669</v>
      </c>
      <c r="AF310" s="2"/>
      <c r="AG310" s="2"/>
      <c r="AH310" s="2">
        <v>2</v>
      </c>
      <c r="AI310" s="2" t="s">
        <v>84</v>
      </c>
      <c r="AJ310" s="2">
        <v>12</v>
      </c>
      <c r="AK310" s="2" t="s">
        <v>85</v>
      </c>
      <c r="AL310" s="2">
        <v>20</v>
      </c>
      <c r="AM310" s="2" t="s">
        <v>992</v>
      </c>
      <c r="AN310" s="2" t="s">
        <v>82</v>
      </c>
      <c r="AO310" s="2" t="s">
        <v>82</v>
      </c>
      <c r="AP310" s="2">
        <v>11</v>
      </c>
      <c r="AQ310" s="2" t="s">
        <v>82</v>
      </c>
      <c r="AR310" s="2"/>
      <c r="AS310" s="2"/>
      <c r="AT310" s="2" t="s">
        <v>1538</v>
      </c>
      <c r="AU310" s="2"/>
      <c r="AV310" s="2"/>
      <c r="AW310" s="2"/>
      <c r="AX310" s="2"/>
      <c r="AY310" s="2">
        <v>41</v>
      </c>
      <c r="AZ310" s="2" t="s">
        <v>82</v>
      </c>
      <c r="BA310" s="2">
        <v>41</v>
      </c>
      <c r="BB310" s="2" t="s">
        <v>82</v>
      </c>
      <c r="BC310" s="2">
        <v>41</v>
      </c>
      <c r="BD310" s="2" t="s">
        <v>82</v>
      </c>
      <c r="BE310" s="2">
        <v>41</v>
      </c>
      <c r="BF310" s="2" t="s">
        <v>82</v>
      </c>
      <c r="BG310" s="2"/>
      <c r="BH310" s="2"/>
      <c r="BI310" s="4">
        <v>0.46875</v>
      </c>
      <c r="BJ310" s="2">
        <v>13</v>
      </c>
      <c r="BK310" s="2" t="s">
        <v>91</v>
      </c>
      <c r="BL310" s="2" t="s">
        <v>1040</v>
      </c>
      <c r="BM310" s="2">
        <v>241</v>
      </c>
      <c r="BN310" s="2" t="s">
        <v>82</v>
      </c>
      <c r="BO310" s="2"/>
      <c r="BP310" s="2">
        <v>13</v>
      </c>
      <c r="BQ310" s="2" t="s">
        <v>91</v>
      </c>
      <c r="BR310" s="2" t="s">
        <v>1539</v>
      </c>
      <c r="BS310" s="3">
        <v>40206</v>
      </c>
      <c r="BT310" s="4">
        <v>0.48710648148148145</v>
      </c>
    </row>
    <row r="311" spans="1:72" x14ac:dyDescent="0.25">
      <c r="A311" s="2">
        <v>490</v>
      </c>
      <c r="B311" s="2">
        <v>2010</v>
      </c>
      <c r="C311" s="2" t="s">
        <v>414</v>
      </c>
      <c r="D311" s="2" t="s">
        <v>122</v>
      </c>
      <c r="E311" s="2"/>
      <c r="F311" s="2">
        <v>1</v>
      </c>
      <c r="G311" s="2" t="s">
        <v>82</v>
      </c>
      <c r="H311" s="2">
        <v>1</v>
      </c>
      <c r="I311" s="2" t="s">
        <v>82</v>
      </c>
      <c r="J311" s="2">
        <v>1</v>
      </c>
      <c r="K311" s="2" t="s">
        <v>107</v>
      </c>
      <c r="L311" s="2" t="s">
        <v>107</v>
      </c>
      <c r="M311" s="3">
        <v>40206</v>
      </c>
      <c r="N311" s="2"/>
      <c r="O311" s="2"/>
      <c r="P311" s="2"/>
      <c r="Q311" s="2" t="str">
        <f>""</f>
        <v/>
      </c>
      <c r="R311" s="2"/>
      <c r="S311" s="2"/>
      <c r="T311" s="2">
        <v>1</v>
      </c>
      <c r="U311" s="2" t="s">
        <v>79</v>
      </c>
      <c r="V311" s="2">
        <v>1</v>
      </c>
      <c r="W311" s="2" t="s">
        <v>80</v>
      </c>
      <c r="X311" s="2">
        <v>5</v>
      </c>
      <c r="Y311" s="2" t="s">
        <v>82</v>
      </c>
      <c r="Z311" s="2">
        <v>1</v>
      </c>
      <c r="AA311" s="2" t="s">
        <v>82</v>
      </c>
      <c r="AB311" s="2">
        <v>9</v>
      </c>
      <c r="AC311" s="2" t="s">
        <v>124</v>
      </c>
      <c r="AD311" s="3">
        <v>40206</v>
      </c>
      <c r="AE311" s="4">
        <v>0.47916666666666669</v>
      </c>
      <c r="AF311" s="2"/>
      <c r="AG311" s="2"/>
      <c r="AH311" s="2">
        <v>6</v>
      </c>
      <c r="AI311" s="2" t="s">
        <v>197</v>
      </c>
      <c r="AJ311" s="2">
        <v>59</v>
      </c>
      <c r="AK311" s="2" t="s">
        <v>198</v>
      </c>
      <c r="AL311" s="2">
        <v>18</v>
      </c>
      <c r="AM311" s="2" t="s">
        <v>82</v>
      </c>
      <c r="AN311" s="2"/>
      <c r="AO311" s="2" t="s">
        <v>1540</v>
      </c>
      <c r="AP311" s="2">
        <v>11</v>
      </c>
      <c r="AQ311" s="2" t="s">
        <v>82</v>
      </c>
      <c r="AR311" s="2"/>
      <c r="AS311" s="2"/>
      <c r="AT311" s="2" t="s">
        <v>1541</v>
      </c>
      <c r="AU311" s="2"/>
      <c r="AV311" s="2"/>
      <c r="AW311" s="2"/>
      <c r="AX311" s="2"/>
      <c r="AY311" s="2">
        <v>1</v>
      </c>
      <c r="AZ311" s="2" t="s">
        <v>107</v>
      </c>
      <c r="BA311" s="2">
        <v>1</v>
      </c>
      <c r="BB311" s="2" t="s">
        <v>107</v>
      </c>
      <c r="BC311" s="2">
        <v>1</v>
      </c>
      <c r="BD311" s="2" t="s">
        <v>107</v>
      </c>
      <c r="BE311" s="2">
        <v>1</v>
      </c>
      <c r="BF311" s="2" t="s">
        <v>107</v>
      </c>
      <c r="BG311" s="2"/>
      <c r="BH311" s="2"/>
      <c r="BI311" s="2"/>
      <c r="BJ311" s="2">
        <v>242</v>
      </c>
      <c r="BK311" s="2" t="s">
        <v>107</v>
      </c>
      <c r="BL311" s="2"/>
      <c r="BM311" s="2">
        <v>242</v>
      </c>
      <c r="BN311" s="2" t="s">
        <v>107</v>
      </c>
      <c r="BO311" s="2"/>
      <c r="BP311" s="2">
        <v>242</v>
      </c>
      <c r="BQ311" s="2" t="s">
        <v>107</v>
      </c>
      <c r="BR311" s="2"/>
      <c r="BS311" s="3">
        <v>40206</v>
      </c>
      <c r="BT311" s="4">
        <v>0.55337962962962961</v>
      </c>
    </row>
    <row r="312" spans="1:72" x14ac:dyDescent="0.25">
      <c r="A312" s="2">
        <v>492</v>
      </c>
      <c r="B312" s="2">
        <v>2010</v>
      </c>
      <c r="C312" s="2" t="s">
        <v>147</v>
      </c>
      <c r="D312" s="2" t="s">
        <v>73</v>
      </c>
      <c r="E312" s="2"/>
      <c r="F312" s="2">
        <v>1</v>
      </c>
      <c r="G312" s="2" t="s">
        <v>82</v>
      </c>
      <c r="H312" s="2">
        <v>1</v>
      </c>
      <c r="I312" s="2" t="s">
        <v>82</v>
      </c>
      <c r="J312" s="2">
        <v>1</v>
      </c>
      <c r="K312" s="2" t="s">
        <v>107</v>
      </c>
      <c r="L312" s="2" t="s">
        <v>107</v>
      </c>
      <c r="M312" s="3">
        <v>40206</v>
      </c>
      <c r="N312" s="2"/>
      <c r="O312" s="2" t="s">
        <v>82</v>
      </c>
      <c r="P312" s="2"/>
      <c r="Q312" s="2" t="str">
        <f>""</f>
        <v/>
      </c>
      <c r="R312" s="2"/>
      <c r="S312" s="2"/>
      <c r="T312" s="2">
        <v>2</v>
      </c>
      <c r="U312" s="2" t="s">
        <v>123</v>
      </c>
      <c r="V312" s="2">
        <v>1</v>
      </c>
      <c r="W312" s="2" t="s">
        <v>80</v>
      </c>
      <c r="X312" s="2">
        <v>12</v>
      </c>
      <c r="Y312" s="2" t="s">
        <v>148</v>
      </c>
      <c r="Z312" s="2">
        <v>1</v>
      </c>
      <c r="AA312" s="2" t="s">
        <v>82</v>
      </c>
      <c r="AB312" s="2">
        <v>9</v>
      </c>
      <c r="AC312" s="2" t="s">
        <v>124</v>
      </c>
      <c r="AD312" s="3">
        <v>40203</v>
      </c>
      <c r="AE312" s="2"/>
      <c r="AF312" s="3">
        <v>40206</v>
      </c>
      <c r="AG312" s="4">
        <v>0.54513888888888895</v>
      </c>
      <c r="AH312" s="2">
        <v>2</v>
      </c>
      <c r="AI312" s="2" t="s">
        <v>84</v>
      </c>
      <c r="AJ312" s="2">
        <v>12</v>
      </c>
      <c r="AK312" s="2" t="s">
        <v>85</v>
      </c>
      <c r="AL312" s="2">
        <v>23</v>
      </c>
      <c r="AM312" s="2" t="s">
        <v>251</v>
      </c>
      <c r="AN312" s="2" t="s">
        <v>1533</v>
      </c>
      <c r="AO312" s="2" t="s">
        <v>107</v>
      </c>
      <c r="AP312" s="2">
        <v>11</v>
      </c>
      <c r="AQ312" s="2" t="s">
        <v>82</v>
      </c>
      <c r="AR312" s="2"/>
      <c r="AS312" s="2"/>
      <c r="AT312" s="2" t="s">
        <v>1542</v>
      </c>
      <c r="AU312" s="2"/>
      <c r="AV312" s="2"/>
      <c r="AW312" s="2"/>
      <c r="AX312" s="2"/>
      <c r="AY312" s="2">
        <v>41</v>
      </c>
      <c r="AZ312" s="2" t="s">
        <v>82</v>
      </c>
      <c r="BA312" s="2">
        <v>41</v>
      </c>
      <c r="BB312" s="2" t="s">
        <v>82</v>
      </c>
      <c r="BC312" s="2">
        <v>41</v>
      </c>
      <c r="BD312" s="2" t="s">
        <v>82</v>
      </c>
      <c r="BE312" s="2">
        <v>41</v>
      </c>
      <c r="BF312" s="2" t="s">
        <v>82</v>
      </c>
      <c r="BG312" s="2"/>
      <c r="BH312" s="2"/>
      <c r="BI312" s="2"/>
      <c r="BJ312" s="2">
        <v>241</v>
      </c>
      <c r="BK312" s="2" t="s">
        <v>82</v>
      </c>
      <c r="BL312" s="2"/>
      <c r="BM312" s="2">
        <v>241</v>
      </c>
      <c r="BN312" s="2" t="s">
        <v>82</v>
      </c>
      <c r="BO312" s="2"/>
      <c r="BP312" s="2">
        <v>241</v>
      </c>
      <c r="BQ312" s="2" t="s">
        <v>82</v>
      </c>
      <c r="BR312" s="2"/>
      <c r="BS312" s="3">
        <v>40206</v>
      </c>
      <c r="BT312" s="4">
        <v>0.56803240740740735</v>
      </c>
    </row>
    <row r="313" spans="1:72" x14ac:dyDescent="0.25">
      <c r="A313" s="2">
        <v>496</v>
      </c>
      <c r="B313" s="2">
        <v>2010</v>
      </c>
      <c r="C313" s="2" t="s">
        <v>196</v>
      </c>
      <c r="D313" s="2" t="s">
        <v>122</v>
      </c>
      <c r="E313" s="2"/>
      <c r="F313" s="2">
        <v>1</v>
      </c>
      <c r="G313" s="2" t="s">
        <v>82</v>
      </c>
      <c r="H313" s="2">
        <v>1</v>
      </c>
      <c r="I313" s="2" t="s">
        <v>82</v>
      </c>
      <c r="J313" s="2">
        <v>1</v>
      </c>
      <c r="K313" s="2" t="s">
        <v>107</v>
      </c>
      <c r="L313" s="2" t="s">
        <v>107</v>
      </c>
      <c r="M313" s="3">
        <v>40206</v>
      </c>
      <c r="N313" s="2"/>
      <c r="O313" s="2" t="s">
        <v>82</v>
      </c>
      <c r="P313" s="2"/>
      <c r="Q313" s="2" t="str">
        <f>""</f>
        <v/>
      </c>
      <c r="R313" s="2"/>
      <c r="S313" s="2"/>
      <c r="T313" s="2">
        <v>2</v>
      </c>
      <c r="U313" s="2" t="s">
        <v>123</v>
      </c>
      <c r="V313" s="2">
        <v>1</v>
      </c>
      <c r="W313" s="2" t="s">
        <v>80</v>
      </c>
      <c r="X313" s="2">
        <v>1</v>
      </c>
      <c r="Y313" s="2" t="s">
        <v>81</v>
      </c>
      <c r="Z313" s="2">
        <v>1</v>
      </c>
      <c r="AA313" s="2" t="s">
        <v>82</v>
      </c>
      <c r="AB313" s="2">
        <v>9</v>
      </c>
      <c r="AC313" s="2" t="s">
        <v>124</v>
      </c>
      <c r="AD313" s="3">
        <v>40206</v>
      </c>
      <c r="AE313" s="4">
        <v>0.53125</v>
      </c>
      <c r="AF313" s="2"/>
      <c r="AG313" s="2"/>
      <c r="AH313" s="2">
        <v>2</v>
      </c>
      <c r="AI313" s="2" t="s">
        <v>84</v>
      </c>
      <c r="AJ313" s="2">
        <v>12</v>
      </c>
      <c r="AK313" s="2" t="s">
        <v>85</v>
      </c>
      <c r="AL313" s="2">
        <v>20</v>
      </c>
      <c r="AM313" s="2" t="s">
        <v>992</v>
      </c>
      <c r="AN313" s="2" t="s">
        <v>82</v>
      </c>
      <c r="AO313" s="2" t="s">
        <v>82</v>
      </c>
      <c r="AP313" s="2">
        <v>11</v>
      </c>
      <c r="AQ313" s="2" t="s">
        <v>82</v>
      </c>
      <c r="AR313" s="2"/>
      <c r="AS313" s="2"/>
      <c r="AT313" s="2" t="s">
        <v>1543</v>
      </c>
      <c r="AU313" s="2"/>
      <c r="AV313" s="2"/>
      <c r="AW313" s="2"/>
      <c r="AX313" s="2"/>
      <c r="AY313" s="2">
        <v>41</v>
      </c>
      <c r="AZ313" s="2" t="s">
        <v>82</v>
      </c>
      <c r="BA313" s="2">
        <v>41</v>
      </c>
      <c r="BB313" s="2" t="s">
        <v>82</v>
      </c>
      <c r="BC313" s="2">
        <v>41</v>
      </c>
      <c r="BD313" s="2" t="s">
        <v>82</v>
      </c>
      <c r="BE313" s="2">
        <v>41</v>
      </c>
      <c r="BF313" s="2" t="s">
        <v>82</v>
      </c>
      <c r="BG313" s="2"/>
      <c r="BH313" s="4">
        <v>0.57986111111111105</v>
      </c>
      <c r="BI313" s="4">
        <v>0.58333333333333337</v>
      </c>
      <c r="BJ313" s="2">
        <v>13</v>
      </c>
      <c r="BK313" s="2" t="s">
        <v>91</v>
      </c>
      <c r="BL313" s="2" t="s">
        <v>1539</v>
      </c>
      <c r="BM313" s="2">
        <v>241</v>
      </c>
      <c r="BN313" s="2" t="s">
        <v>82</v>
      </c>
      <c r="BO313" s="2"/>
      <c r="BP313" s="2">
        <v>13</v>
      </c>
      <c r="BQ313" s="2" t="s">
        <v>91</v>
      </c>
      <c r="BR313" s="2" t="s">
        <v>1040</v>
      </c>
      <c r="BS313" s="3">
        <v>40206</v>
      </c>
      <c r="BT313" s="4">
        <v>0.61155092592592586</v>
      </c>
    </row>
    <row r="314" spans="1:72" x14ac:dyDescent="0.25">
      <c r="A314" s="2">
        <v>498</v>
      </c>
      <c r="B314" s="2">
        <v>2010</v>
      </c>
      <c r="C314" s="2" t="s">
        <v>72</v>
      </c>
      <c r="D314" s="2" t="s">
        <v>73</v>
      </c>
      <c r="E314" s="2"/>
      <c r="F314" s="2">
        <v>182</v>
      </c>
      <c r="G314" s="2" t="s">
        <v>1544</v>
      </c>
      <c r="H314" s="2">
        <v>46</v>
      </c>
      <c r="I314" s="2" t="s">
        <v>1545</v>
      </c>
      <c r="J314" s="2">
        <v>387</v>
      </c>
      <c r="K314" s="2" t="s">
        <v>1378</v>
      </c>
      <c r="L314" s="2" t="s">
        <v>1379</v>
      </c>
      <c r="M314" s="3">
        <v>40206</v>
      </c>
      <c r="N314" s="2" t="s">
        <v>1546</v>
      </c>
      <c r="O314" s="2" t="s">
        <v>107</v>
      </c>
      <c r="P314" s="2"/>
      <c r="Q314" s="2" t="str">
        <f>"034-A/10"</f>
        <v>034-A/10</v>
      </c>
      <c r="R314" s="2" t="s">
        <v>107</v>
      </c>
      <c r="S314" s="2" t="s">
        <v>1547</v>
      </c>
      <c r="T314" s="2">
        <v>1</v>
      </c>
      <c r="U314" s="2" t="s">
        <v>79</v>
      </c>
      <c r="V314" s="2">
        <v>1</v>
      </c>
      <c r="W314" s="2" t="s">
        <v>80</v>
      </c>
      <c r="X314" s="2">
        <v>1</v>
      </c>
      <c r="Y314" s="2" t="s">
        <v>81</v>
      </c>
      <c r="Z314" s="2">
        <v>1</v>
      </c>
      <c r="AA314" s="2" t="s">
        <v>82</v>
      </c>
      <c r="AB314" s="2">
        <v>6</v>
      </c>
      <c r="AC314" s="2" t="s">
        <v>83</v>
      </c>
      <c r="AD314" s="3">
        <v>40206</v>
      </c>
      <c r="AE314" s="4">
        <v>0.4826388888888889</v>
      </c>
      <c r="AF314" s="3">
        <v>40206</v>
      </c>
      <c r="AG314" s="4">
        <v>0.57291666666666663</v>
      </c>
      <c r="AH314" s="2">
        <v>2</v>
      </c>
      <c r="AI314" s="2" t="s">
        <v>84</v>
      </c>
      <c r="AJ314" s="2">
        <v>12</v>
      </c>
      <c r="AK314" s="2" t="s">
        <v>85</v>
      </c>
      <c r="AL314" s="2">
        <v>17</v>
      </c>
      <c r="AM314" s="2" t="s">
        <v>232</v>
      </c>
      <c r="AN314" s="2" t="s">
        <v>1548</v>
      </c>
      <c r="AO314" s="2" t="s">
        <v>1549</v>
      </c>
      <c r="AP314" s="2">
        <v>11</v>
      </c>
      <c r="AQ314" s="2" t="s">
        <v>82</v>
      </c>
      <c r="AR314" s="2"/>
      <c r="AS314" s="2"/>
      <c r="AT314" s="2" t="s">
        <v>1550</v>
      </c>
      <c r="AU314" s="2"/>
      <c r="AV314" s="2"/>
      <c r="AW314" s="2"/>
      <c r="AX314" s="2"/>
      <c r="AY314" s="2">
        <v>41</v>
      </c>
      <c r="AZ314" s="2" t="s">
        <v>82</v>
      </c>
      <c r="BA314" s="2">
        <v>41</v>
      </c>
      <c r="BB314" s="2" t="s">
        <v>82</v>
      </c>
      <c r="BC314" s="2">
        <v>41</v>
      </c>
      <c r="BD314" s="2" t="s">
        <v>82</v>
      </c>
      <c r="BE314" s="2">
        <v>13</v>
      </c>
      <c r="BF314" s="2" t="s">
        <v>108</v>
      </c>
      <c r="BG314" s="2" t="s">
        <v>1551</v>
      </c>
      <c r="BH314" s="2"/>
      <c r="BI314" s="2"/>
      <c r="BJ314" s="2">
        <v>13</v>
      </c>
      <c r="BK314" s="2" t="s">
        <v>91</v>
      </c>
      <c r="BL314" s="2" t="s">
        <v>1040</v>
      </c>
      <c r="BM314" s="2">
        <v>241</v>
      </c>
      <c r="BN314" s="2" t="s">
        <v>82</v>
      </c>
      <c r="BO314" s="2"/>
      <c r="BP314" s="2">
        <v>13</v>
      </c>
      <c r="BQ314" s="2" t="s">
        <v>91</v>
      </c>
      <c r="BR314" s="2" t="s">
        <v>1552</v>
      </c>
      <c r="BS314" s="3">
        <v>40206</v>
      </c>
      <c r="BT314" s="4">
        <v>0.64126157407407403</v>
      </c>
    </row>
    <row r="315" spans="1:72" x14ac:dyDescent="0.25">
      <c r="A315" s="2">
        <v>499</v>
      </c>
      <c r="B315" s="2">
        <v>2010</v>
      </c>
      <c r="C315" s="2" t="s">
        <v>72</v>
      </c>
      <c r="D315" s="2" t="s">
        <v>73</v>
      </c>
      <c r="E315" s="2"/>
      <c r="F315" s="2">
        <v>9</v>
      </c>
      <c r="G315" s="2" t="s">
        <v>364</v>
      </c>
      <c r="H315" s="2">
        <v>25</v>
      </c>
      <c r="I315" s="2" t="s">
        <v>505</v>
      </c>
      <c r="J315" s="2">
        <v>18</v>
      </c>
      <c r="K315" s="2" t="s">
        <v>365</v>
      </c>
      <c r="L315" s="2" t="s">
        <v>115</v>
      </c>
      <c r="M315" s="3">
        <v>40206</v>
      </c>
      <c r="N315" s="2" t="s">
        <v>1553</v>
      </c>
      <c r="O315" s="2"/>
      <c r="P315" s="2"/>
      <c r="Q315" s="2" t="str">
        <f>"06/2010"</f>
        <v>06/2010</v>
      </c>
      <c r="R315" s="2" t="s">
        <v>116</v>
      </c>
      <c r="S315" s="2" t="s">
        <v>116</v>
      </c>
      <c r="T315" s="2">
        <v>1</v>
      </c>
      <c r="U315" s="2" t="s">
        <v>79</v>
      </c>
      <c r="V315" s="2">
        <v>1</v>
      </c>
      <c r="W315" s="2" t="s">
        <v>80</v>
      </c>
      <c r="X315" s="2">
        <v>1</v>
      </c>
      <c r="Y315" s="2" t="s">
        <v>81</v>
      </c>
      <c r="Z315" s="2">
        <v>1</v>
      </c>
      <c r="AA315" s="2" t="s">
        <v>82</v>
      </c>
      <c r="AB315" s="2">
        <v>6</v>
      </c>
      <c r="AC315" s="2" t="s">
        <v>83</v>
      </c>
      <c r="AD315" s="3">
        <v>40200</v>
      </c>
      <c r="AE315" s="2"/>
      <c r="AF315" s="3">
        <v>40206</v>
      </c>
      <c r="AG315" s="4">
        <v>0.5625</v>
      </c>
      <c r="AH315" s="2">
        <v>3</v>
      </c>
      <c r="AI315" s="2" t="s">
        <v>214</v>
      </c>
      <c r="AJ315" s="2">
        <v>24</v>
      </c>
      <c r="AK315" s="2" t="s">
        <v>215</v>
      </c>
      <c r="AL315" s="2">
        <v>19</v>
      </c>
      <c r="AM315" s="2" t="s">
        <v>107</v>
      </c>
      <c r="AN315" s="2" t="s">
        <v>1554</v>
      </c>
      <c r="AO315" s="2" t="s">
        <v>1555</v>
      </c>
      <c r="AP315" s="2">
        <v>11</v>
      </c>
      <c r="AQ315" s="2" t="s">
        <v>82</v>
      </c>
      <c r="AR315" s="2"/>
      <c r="AS315" s="2"/>
      <c r="AT315" s="2" t="s">
        <v>1556</v>
      </c>
      <c r="AU315" s="2"/>
      <c r="AV315" s="2"/>
      <c r="AW315" s="2"/>
      <c r="AX315" s="2"/>
      <c r="AY315" s="2">
        <v>82</v>
      </c>
      <c r="AZ315" s="2" t="s">
        <v>1557</v>
      </c>
      <c r="BA315" s="2">
        <v>82</v>
      </c>
      <c r="BB315" s="2" t="s">
        <v>1557</v>
      </c>
      <c r="BC315" s="2">
        <v>82</v>
      </c>
      <c r="BD315" s="2" t="s">
        <v>1557</v>
      </c>
      <c r="BE315" s="2">
        <v>1</v>
      </c>
      <c r="BF315" s="2" t="s">
        <v>107</v>
      </c>
      <c r="BG315" s="2"/>
      <c r="BH315" s="2"/>
      <c r="BI315" s="2"/>
      <c r="BJ315" s="2">
        <v>242</v>
      </c>
      <c r="BK315" s="2" t="s">
        <v>107</v>
      </c>
      <c r="BL315" s="2"/>
      <c r="BM315" s="2">
        <v>242</v>
      </c>
      <c r="BN315" s="2" t="s">
        <v>107</v>
      </c>
      <c r="BO315" s="2"/>
      <c r="BP315" s="2">
        <v>242</v>
      </c>
      <c r="BQ315" s="2" t="s">
        <v>107</v>
      </c>
      <c r="BR315" s="2"/>
      <c r="BS315" s="3">
        <v>40206</v>
      </c>
      <c r="BT315" s="4">
        <v>0.64298611111111115</v>
      </c>
    </row>
    <row r="316" spans="1:72" x14ac:dyDescent="0.25">
      <c r="A316" s="2">
        <v>502</v>
      </c>
      <c r="B316" s="2">
        <v>2010</v>
      </c>
      <c r="C316" s="2" t="s">
        <v>196</v>
      </c>
      <c r="D316" s="2" t="s">
        <v>122</v>
      </c>
      <c r="E316" s="2"/>
      <c r="F316" s="2">
        <v>1</v>
      </c>
      <c r="G316" s="2" t="s">
        <v>82</v>
      </c>
      <c r="H316" s="2">
        <v>1</v>
      </c>
      <c r="I316" s="2" t="s">
        <v>82</v>
      </c>
      <c r="J316" s="2">
        <v>1</v>
      </c>
      <c r="K316" s="2" t="s">
        <v>107</v>
      </c>
      <c r="L316" s="2" t="s">
        <v>107</v>
      </c>
      <c r="M316" s="3">
        <v>40206</v>
      </c>
      <c r="N316" s="2"/>
      <c r="O316" s="2" t="s">
        <v>82</v>
      </c>
      <c r="P316" s="2"/>
      <c r="Q316" s="2" t="str">
        <f>""</f>
        <v/>
      </c>
      <c r="R316" s="2"/>
      <c r="S316" s="2"/>
      <c r="T316" s="2">
        <v>2</v>
      </c>
      <c r="U316" s="2" t="s">
        <v>123</v>
      </c>
      <c r="V316" s="2">
        <v>1</v>
      </c>
      <c r="W316" s="2" t="s">
        <v>80</v>
      </c>
      <c r="X316" s="2">
        <v>1</v>
      </c>
      <c r="Y316" s="2" t="s">
        <v>81</v>
      </c>
      <c r="Z316" s="2">
        <v>1</v>
      </c>
      <c r="AA316" s="2" t="s">
        <v>82</v>
      </c>
      <c r="AB316" s="2">
        <v>9</v>
      </c>
      <c r="AC316" s="2" t="s">
        <v>124</v>
      </c>
      <c r="AD316" s="3">
        <v>40206</v>
      </c>
      <c r="AE316" s="4">
        <v>0.625</v>
      </c>
      <c r="AF316" s="2"/>
      <c r="AG316" s="2"/>
      <c r="AH316" s="2">
        <v>2</v>
      </c>
      <c r="AI316" s="2" t="s">
        <v>84</v>
      </c>
      <c r="AJ316" s="2">
        <v>12</v>
      </c>
      <c r="AK316" s="2" t="s">
        <v>85</v>
      </c>
      <c r="AL316" s="2">
        <v>20</v>
      </c>
      <c r="AM316" s="2" t="s">
        <v>992</v>
      </c>
      <c r="AN316" s="2" t="s">
        <v>82</v>
      </c>
      <c r="AO316" s="2" t="s">
        <v>82</v>
      </c>
      <c r="AP316" s="2">
        <v>11</v>
      </c>
      <c r="AQ316" s="2" t="s">
        <v>82</v>
      </c>
      <c r="AR316" s="2"/>
      <c r="AS316" s="2"/>
      <c r="AT316" s="2" t="s">
        <v>1558</v>
      </c>
      <c r="AU316" s="2"/>
      <c r="AV316" s="2"/>
      <c r="AW316" s="2"/>
      <c r="AX316" s="2"/>
      <c r="AY316" s="2">
        <v>41</v>
      </c>
      <c r="AZ316" s="2" t="s">
        <v>82</v>
      </c>
      <c r="BA316" s="2">
        <v>41</v>
      </c>
      <c r="BB316" s="2" t="s">
        <v>82</v>
      </c>
      <c r="BC316" s="2">
        <v>41</v>
      </c>
      <c r="BD316" s="2" t="s">
        <v>82</v>
      </c>
      <c r="BE316" s="2">
        <v>41</v>
      </c>
      <c r="BF316" s="2" t="s">
        <v>82</v>
      </c>
      <c r="BG316" s="2"/>
      <c r="BH316" s="2"/>
      <c r="BI316" s="2"/>
      <c r="BJ316" s="2">
        <v>13</v>
      </c>
      <c r="BK316" s="2" t="s">
        <v>91</v>
      </c>
      <c r="BL316" s="2" t="s">
        <v>1040</v>
      </c>
      <c r="BM316" s="2">
        <v>241</v>
      </c>
      <c r="BN316" s="2" t="s">
        <v>82</v>
      </c>
      <c r="BO316" s="2"/>
      <c r="BP316" s="2">
        <v>13</v>
      </c>
      <c r="BQ316" s="2" t="s">
        <v>91</v>
      </c>
      <c r="BR316" s="2" t="s">
        <v>204</v>
      </c>
      <c r="BS316" s="3">
        <v>40206</v>
      </c>
      <c r="BT316" s="4">
        <v>0.72829861111111116</v>
      </c>
    </row>
    <row r="317" spans="1:72" x14ac:dyDescent="0.25">
      <c r="A317" s="2">
        <v>503</v>
      </c>
      <c r="B317" s="2">
        <v>2010</v>
      </c>
      <c r="C317" s="2" t="s">
        <v>1559</v>
      </c>
      <c r="D317" s="2" t="s">
        <v>73</v>
      </c>
      <c r="E317" s="2"/>
      <c r="F317" s="2">
        <v>125</v>
      </c>
      <c r="G317" s="2" t="s">
        <v>1483</v>
      </c>
      <c r="H317" s="2">
        <v>47</v>
      </c>
      <c r="I317" s="2" t="s">
        <v>1409</v>
      </c>
      <c r="J317" s="2">
        <v>390</v>
      </c>
      <c r="K317" s="2" t="s">
        <v>1560</v>
      </c>
      <c r="L317" s="2" t="s">
        <v>1561</v>
      </c>
      <c r="M317" s="3">
        <v>40206</v>
      </c>
      <c r="N317" s="2" t="s">
        <v>1562</v>
      </c>
      <c r="O317" s="2" t="s">
        <v>1563</v>
      </c>
      <c r="P317" s="2" t="s">
        <v>1564</v>
      </c>
      <c r="Q317" s="2" t="str">
        <f>""</f>
        <v/>
      </c>
      <c r="R317" s="2"/>
      <c r="S317" s="2"/>
      <c r="T317" s="2">
        <v>1</v>
      </c>
      <c r="U317" s="2" t="s">
        <v>79</v>
      </c>
      <c r="V317" s="2">
        <v>3</v>
      </c>
      <c r="W317" s="2" t="s">
        <v>225</v>
      </c>
      <c r="X317" s="2">
        <v>6</v>
      </c>
      <c r="Y317" s="2" t="s">
        <v>249</v>
      </c>
      <c r="Z317" s="2">
        <v>1</v>
      </c>
      <c r="AA317" s="2" t="s">
        <v>82</v>
      </c>
      <c r="AB317" s="2">
        <v>9</v>
      </c>
      <c r="AC317" s="2" t="s">
        <v>124</v>
      </c>
      <c r="AD317" s="3">
        <v>40206</v>
      </c>
      <c r="AE317" s="4">
        <v>0.54166666666666663</v>
      </c>
      <c r="AF317" s="2"/>
      <c r="AG317" s="2"/>
      <c r="AH317" s="2">
        <v>6</v>
      </c>
      <c r="AI317" s="2" t="s">
        <v>197</v>
      </c>
      <c r="AJ317" s="2">
        <v>47</v>
      </c>
      <c r="AK317" s="2" t="s">
        <v>250</v>
      </c>
      <c r="AL317" s="2">
        <v>23</v>
      </c>
      <c r="AM317" s="2" t="s">
        <v>251</v>
      </c>
      <c r="AN317" s="2" t="s">
        <v>1565</v>
      </c>
      <c r="AO317" s="2" t="s">
        <v>1566</v>
      </c>
      <c r="AP317" s="2">
        <v>11</v>
      </c>
      <c r="AQ317" s="2" t="s">
        <v>82</v>
      </c>
      <c r="AR317" s="2"/>
      <c r="AS317" s="2"/>
      <c r="AT317" s="2" t="s">
        <v>1567</v>
      </c>
      <c r="AU317" s="2"/>
      <c r="AV317" s="2"/>
      <c r="AW317" s="2"/>
      <c r="AX317" s="2"/>
      <c r="AY317" s="2">
        <v>41</v>
      </c>
      <c r="AZ317" s="2" t="s">
        <v>82</v>
      </c>
      <c r="BA317" s="2">
        <v>1</v>
      </c>
      <c r="BB317" s="2" t="s">
        <v>107</v>
      </c>
      <c r="BC317" s="2">
        <v>1</v>
      </c>
      <c r="BD317" s="2" t="s">
        <v>107</v>
      </c>
      <c r="BE317" s="2">
        <v>41</v>
      </c>
      <c r="BF317" s="2" t="s">
        <v>82</v>
      </c>
      <c r="BG317" s="2"/>
      <c r="BH317" s="2"/>
      <c r="BI317" s="2"/>
      <c r="BJ317" s="2">
        <v>241</v>
      </c>
      <c r="BK317" s="2" t="s">
        <v>82</v>
      </c>
      <c r="BL317" s="2"/>
      <c r="BM317" s="2">
        <v>241</v>
      </c>
      <c r="BN317" s="2" t="s">
        <v>82</v>
      </c>
      <c r="BO317" s="2"/>
      <c r="BP317" s="2">
        <v>241</v>
      </c>
      <c r="BQ317" s="2" t="s">
        <v>82</v>
      </c>
      <c r="BR317" s="2"/>
      <c r="BS317" s="3">
        <v>40206</v>
      </c>
      <c r="BT317" s="4">
        <v>0.73552083333333329</v>
      </c>
    </row>
    <row r="318" spans="1:72" x14ac:dyDescent="0.25">
      <c r="A318" s="2">
        <v>504</v>
      </c>
      <c r="B318" s="2">
        <v>2010</v>
      </c>
      <c r="C318" s="2" t="s">
        <v>1568</v>
      </c>
      <c r="D318" s="2" t="s">
        <v>122</v>
      </c>
      <c r="E318" s="2"/>
      <c r="F318" s="2">
        <v>1</v>
      </c>
      <c r="G318" s="2" t="s">
        <v>82</v>
      </c>
      <c r="H318" s="2">
        <v>1</v>
      </c>
      <c r="I318" s="2" t="s">
        <v>82</v>
      </c>
      <c r="J318" s="2">
        <v>1</v>
      </c>
      <c r="K318" s="2" t="s">
        <v>107</v>
      </c>
      <c r="L318" s="2" t="s">
        <v>107</v>
      </c>
      <c r="M318" s="3">
        <v>40206</v>
      </c>
      <c r="N318" s="2"/>
      <c r="O318" s="2"/>
      <c r="P318" s="2"/>
      <c r="Q318" s="2" t="str">
        <f>""</f>
        <v/>
      </c>
      <c r="R318" s="2"/>
      <c r="S318" s="2"/>
      <c r="T318" s="2">
        <v>1</v>
      </c>
      <c r="U318" s="2" t="s">
        <v>79</v>
      </c>
      <c r="V318" s="2">
        <v>1</v>
      </c>
      <c r="W318" s="2" t="s">
        <v>80</v>
      </c>
      <c r="X318" s="2">
        <v>1</v>
      </c>
      <c r="Y318" s="2" t="s">
        <v>81</v>
      </c>
      <c r="Z318" s="2">
        <v>1</v>
      </c>
      <c r="AA318" s="2" t="s">
        <v>82</v>
      </c>
      <c r="AB318" s="2">
        <v>4</v>
      </c>
      <c r="AC318" s="2" t="s">
        <v>1569</v>
      </c>
      <c r="AD318" s="3">
        <v>40206</v>
      </c>
      <c r="AE318" s="4">
        <v>0.62847222222222221</v>
      </c>
      <c r="AF318" s="2"/>
      <c r="AG318" s="2"/>
      <c r="AH318" s="2">
        <v>6</v>
      </c>
      <c r="AI318" s="2" t="s">
        <v>197</v>
      </c>
      <c r="AJ318" s="2">
        <v>50</v>
      </c>
      <c r="AK318" s="2" t="s">
        <v>330</v>
      </c>
      <c r="AL318" s="2">
        <v>8</v>
      </c>
      <c r="AM318" s="2" t="s">
        <v>179</v>
      </c>
      <c r="AN318" s="2"/>
      <c r="AO318" s="2" t="s">
        <v>1570</v>
      </c>
      <c r="AP318" s="2">
        <v>11</v>
      </c>
      <c r="AQ318" s="2" t="s">
        <v>82</v>
      </c>
      <c r="AR318" s="2"/>
      <c r="AS318" s="2"/>
      <c r="AT318" s="2" t="s">
        <v>1571</v>
      </c>
      <c r="AU318" s="2"/>
      <c r="AV318" s="2"/>
      <c r="AW318" s="2"/>
      <c r="AX318" s="2"/>
      <c r="AY318" s="2">
        <v>41</v>
      </c>
      <c r="AZ318" s="2" t="s">
        <v>82</v>
      </c>
      <c r="BA318" s="2">
        <v>41</v>
      </c>
      <c r="BB318" s="2" t="s">
        <v>82</v>
      </c>
      <c r="BC318" s="2">
        <v>41</v>
      </c>
      <c r="BD318" s="2" t="s">
        <v>82</v>
      </c>
      <c r="BE318" s="2">
        <v>13</v>
      </c>
      <c r="BF318" s="2" t="s">
        <v>108</v>
      </c>
      <c r="BG318" s="2">
        <v>2678</v>
      </c>
      <c r="BH318" s="4">
        <v>0.59027777777777779</v>
      </c>
      <c r="BI318" s="4">
        <v>0.625</v>
      </c>
      <c r="BJ318" s="2">
        <v>13</v>
      </c>
      <c r="BK318" s="2" t="s">
        <v>91</v>
      </c>
      <c r="BL318" s="2" t="s">
        <v>170</v>
      </c>
      <c r="BM318" s="2">
        <v>241</v>
      </c>
      <c r="BN318" s="2" t="s">
        <v>82</v>
      </c>
      <c r="BO318" s="2" t="s">
        <v>82</v>
      </c>
      <c r="BP318" s="2">
        <v>13</v>
      </c>
      <c r="BQ318" s="2" t="s">
        <v>91</v>
      </c>
      <c r="BR318" s="2" t="s">
        <v>332</v>
      </c>
      <c r="BS318" s="3">
        <v>40206</v>
      </c>
      <c r="BT318" s="4">
        <v>0.73991898148148139</v>
      </c>
    </row>
    <row r="319" spans="1:72" x14ac:dyDescent="0.25">
      <c r="A319" s="2">
        <v>506</v>
      </c>
      <c r="B319" s="2">
        <v>2010</v>
      </c>
      <c r="C319" s="2" t="s">
        <v>72</v>
      </c>
      <c r="D319" s="2" t="s">
        <v>73</v>
      </c>
      <c r="E319" s="2"/>
      <c r="F319" s="2">
        <v>3</v>
      </c>
      <c r="G319" s="2" t="s">
        <v>1041</v>
      </c>
      <c r="H319" s="2">
        <v>1</v>
      </c>
      <c r="I319" s="2" t="s">
        <v>82</v>
      </c>
      <c r="J319" s="2">
        <v>368</v>
      </c>
      <c r="K319" s="2" t="s">
        <v>1042</v>
      </c>
      <c r="L319" s="2" t="s">
        <v>1043</v>
      </c>
      <c r="M319" s="3">
        <v>40206</v>
      </c>
      <c r="N319" s="2" t="s">
        <v>107</v>
      </c>
      <c r="O319" s="2" t="s">
        <v>107</v>
      </c>
      <c r="P319" s="2" t="s">
        <v>107</v>
      </c>
      <c r="Q319" s="2" t="str">
        <f>"056-E/10"</f>
        <v>056-E/10</v>
      </c>
      <c r="R319" s="2" t="s">
        <v>601</v>
      </c>
      <c r="S319" s="2" t="s">
        <v>601</v>
      </c>
      <c r="T319" s="2">
        <v>1</v>
      </c>
      <c r="U319" s="2" t="s">
        <v>79</v>
      </c>
      <c r="V319" s="2">
        <v>1</v>
      </c>
      <c r="W319" s="2" t="s">
        <v>80</v>
      </c>
      <c r="X319" s="2">
        <v>5</v>
      </c>
      <c r="Y319" s="2" t="s">
        <v>82</v>
      </c>
      <c r="Z319" s="2">
        <v>1</v>
      </c>
      <c r="AA319" s="2" t="s">
        <v>82</v>
      </c>
      <c r="AB319" s="2">
        <v>6</v>
      </c>
      <c r="AC319" s="2" t="s">
        <v>83</v>
      </c>
      <c r="AD319" s="3">
        <v>40202</v>
      </c>
      <c r="AE319" s="2"/>
      <c r="AF319" s="3">
        <v>40206</v>
      </c>
      <c r="AG319" s="4">
        <v>0.69444444444444453</v>
      </c>
      <c r="AH319" s="2">
        <v>2</v>
      </c>
      <c r="AI319" s="2" t="s">
        <v>84</v>
      </c>
      <c r="AJ319" s="2">
        <v>9</v>
      </c>
      <c r="AK319" s="2" t="s">
        <v>103</v>
      </c>
      <c r="AL319" s="2">
        <v>14</v>
      </c>
      <c r="AM319" s="2" t="s">
        <v>216</v>
      </c>
      <c r="AN319" s="2" t="s">
        <v>107</v>
      </c>
      <c r="AO319" s="2" t="s">
        <v>1572</v>
      </c>
      <c r="AP319" s="2">
        <v>11</v>
      </c>
      <c r="AQ319" s="2" t="s">
        <v>82</v>
      </c>
      <c r="AR319" s="2" t="s">
        <v>82</v>
      </c>
      <c r="AS319" s="2" t="s">
        <v>82</v>
      </c>
      <c r="AT319" s="2" t="s">
        <v>1573</v>
      </c>
      <c r="AU319" s="2"/>
      <c r="AV319" s="2"/>
      <c r="AW319" s="2"/>
      <c r="AX319" s="2"/>
      <c r="AY319" s="2">
        <v>41</v>
      </c>
      <c r="AZ319" s="2" t="s">
        <v>82</v>
      </c>
      <c r="BA319" s="2">
        <v>41</v>
      </c>
      <c r="BB319" s="2" t="s">
        <v>82</v>
      </c>
      <c r="BC319" s="2">
        <v>41</v>
      </c>
      <c r="BD319" s="2" t="s">
        <v>82</v>
      </c>
      <c r="BE319" s="2">
        <v>23</v>
      </c>
      <c r="BF319" s="2" t="s">
        <v>183</v>
      </c>
      <c r="BG319" s="2" t="s">
        <v>1574</v>
      </c>
      <c r="BH319" s="4">
        <v>0.375</v>
      </c>
      <c r="BI319" s="2"/>
      <c r="BJ319" s="2">
        <v>73</v>
      </c>
      <c r="BK319" s="2" t="s">
        <v>186</v>
      </c>
      <c r="BL319" s="2" t="s">
        <v>187</v>
      </c>
      <c r="BM319" s="2">
        <v>112</v>
      </c>
      <c r="BN319" s="2" t="s">
        <v>110</v>
      </c>
      <c r="BO319" s="2" t="s">
        <v>107</v>
      </c>
      <c r="BP319" s="2">
        <v>13</v>
      </c>
      <c r="BQ319" s="2" t="s">
        <v>91</v>
      </c>
      <c r="BR319" s="2" t="s">
        <v>1575</v>
      </c>
      <c r="BS319" s="3">
        <v>40206</v>
      </c>
      <c r="BT319" s="4">
        <v>0.76271990740740747</v>
      </c>
    </row>
    <row r="320" spans="1:72" x14ac:dyDescent="0.25">
      <c r="A320" s="2">
        <v>507</v>
      </c>
      <c r="B320" s="2">
        <v>2010</v>
      </c>
      <c r="C320" s="2" t="s">
        <v>1559</v>
      </c>
      <c r="D320" s="2" t="s">
        <v>73</v>
      </c>
      <c r="E320" s="2"/>
      <c r="F320" s="2">
        <v>125</v>
      </c>
      <c r="G320" s="2" t="s">
        <v>1483</v>
      </c>
      <c r="H320" s="2">
        <v>47</v>
      </c>
      <c r="I320" s="2" t="s">
        <v>1409</v>
      </c>
      <c r="J320" s="2">
        <v>390</v>
      </c>
      <c r="K320" s="2" t="s">
        <v>1560</v>
      </c>
      <c r="L320" s="2" t="s">
        <v>1561</v>
      </c>
      <c r="M320" s="3">
        <v>40206</v>
      </c>
      <c r="N320" s="2" t="s">
        <v>1562</v>
      </c>
      <c r="O320" s="2" t="s">
        <v>1576</v>
      </c>
      <c r="P320" s="2" t="s">
        <v>1564</v>
      </c>
      <c r="Q320" s="2" t="str">
        <f>"004/2010 PSA"</f>
        <v>004/2010 PSA</v>
      </c>
      <c r="R320" s="2"/>
      <c r="S320" s="2"/>
      <c r="T320" s="2">
        <v>1</v>
      </c>
      <c r="U320" s="2" t="s">
        <v>79</v>
      </c>
      <c r="V320" s="2">
        <v>3</v>
      </c>
      <c r="W320" s="2" t="s">
        <v>225</v>
      </c>
      <c r="X320" s="2">
        <v>2</v>
      </c>
      <c r="Y320" s="2" t="s">
        <v>136</v>
      </c>
      <c r="Z320" s="2">
        <v>1</v>
      </c>
      <c r="AA320" s="2" t="s">
        <v>82</v>
      </c>
      <c r="AB320" s="2">
        <v>9</v>
      </c>
      <c r="AC320" s="2" t="s">
        <v>124</v>
      </c>
      <c r="AD320" s="3">
        <v>40206</v>
      </c>
      <c r="AE320" s="4">
        <v>0.67013888888888884</v>
      </c>
      <c r="AF320" s="2"/>
      <c r="AG320" s="2"/>
      <c r="AH320" s="2">
        <v>6</v>
      </c>
      <c r="AI320" s="2" t="s">
        <v>197</v>
      </c>
      <c r="AJ320" s="2">
        <v>61</v>
      </c>
      <c r="AK320" s="2" t="s">
        <v>686</v>
      </c>
      <c r="AL320" s="2">
        <v>23</v>
      </c>
      <c r="AM320" s="2" t="s">
        <v>251</v>
      </c>
      <c r="AN320" s="2" t="s">
        <v>1577</v>
      </c>
      <c r="AO320" s="2" t="s">
        <v>1578</v>
      </c>
      <c r="AP320" s="2">
        <v>11</v>
      </c>
      <c r="AQ320" s="2" t="s">
        <v>82</v>
      </c>
      <c r="AR320" s="2" t="s">
        <v>82</v>
      </c>
      <c r="AS320" s="2" t="s">
        <v>82</v>
      </c>
      <c r="AT320" s="2" t="s">
        <v>1579</v>
      </c>
      <c r="AU320" s="2"/>
      <c r="AV320" s="2"/>
      <c r="AW320" s="2"/>
      <c r="AX320" s="2"/>
      <c r="AY320" s="2">
        <v>41</v>
      </c>
      <c r="AZ320" s="2" t="s">
        <v>82</v>
      </c>
      <c r="BA320" s="2">
        <v>41</v>
      </c>
      <c r="BB320" s="2" t="s">
        <v>82</v>
      </c>
      <c r="BC320" s="2">
        <v>41</v>
      </c>
      <c r="BD320" s="2" t="s">
        <v>82</v>
      </c>
      <c r="BE320" s="2">
        <v>41</v>
      </c>
      <c r="BF320" s="2" t="s">
        <v>82</v>
      </c>
      <c r="BG320" s="2"/>
      <c r="BH320" s="2"/>
      <c r="BI320" s="2"/>
      <c r="BJ320" s="2">
        <v>241</v>
      </c>
      <c r="BK320" s="2" t="s">
        <v>82</v>
      </c>
      <c r="BL320" s="2"/>
      <c r="BM320" s="2">
        <v>241</v>
      </c>
      <c r="BN320" s="2" t="s">
        <v>82</v>
      </c>
      <c r="BO320" s="2"/>
      <c r="BP320" s="2">
        <v>241</v>
      </c>
      <c r="BQ320" s="2" t="s">
        <v>82</v>
      </c>
      <c r="BR320" s="2"/>
      <c r="BS320" s="3">
        <v>40206</v>
      </c>
      <c r="BT320" s="4">
        <v>0.76442129629629629</v>
      </c>
    </row>
    <row r="321" spans="1:72" x14ac:dyDescent="0.25">
      <c r="A321" s="2">
        <v>508</v>
      </c>
      <c r="B321" s="2">
        <v>2010</v>
      </c>
      <c r="C321" s="2" t="s">
        <v>457</v>
      </c>
      <c r="D321" s="2" t="s">
        <v>73</v>
      </c>
      <c r="E321" s="2"/>
      <c r="F321" s="2">
        <v>486</v>
      </c>
      <c r="G321" s="2" t="s">
        <v>1580</v>
      </c>
      <c r="H321" s="2">
        <v>50</v>
      </c>
      <c r="I321" s="2" t="s">
        <v>107</v>
      </c>
      <c r="J321" s="2">
        <v>391</v>
      </c>
      <c r="K321" s="2" t="s">
        <v>1581</v>
      </c>
      <c r="L321" s="2" t="s">
        <v>1582</v>
      </c>
      <c r="M321" s="3">
        <v>40206</v>
      </c>
      <c r="N321" s="2" t="s">
        <v>1583</v>
      </c>
      <c r="O321" s="2" t="s">
        <v>107</v>
      </c>
      <c r="P321" s="2">
        <v>2630</v>
      </c>
      <c r="Q321" s="2" t="str">
        <f>""</f>
        <v/>
      </c>
      <c r="R321" s="2"/>
      <c r="S321" s="2"/>
      <c r="T321" s="2">
        <v>1</v>
      </c>
      <c r="U321" s="2" t="s">
        <v>79</v>
      </c>
      <c r="V321" s="2">
        <v>1</v>
      </c>
      <c r="W321" s="2" t="s">
        <v>80</v>
      </c>
      <c r="X321" s="2">
        <v>4</v>
      </c>
      <c r="Y321" s="2" t="s">
        <v>463</v>
      </c>
      <c r="Z321" s="2">
        <v>9</v>
      </c>
      <c r="AA321" s="2" t="s">
        <v>1119</v>
      </c>
      <c r="AB321" s="2">
        <v>9</v>
      </c>
      <c r="AC321" s="2" t="s">
        <v>124</v>
      </c>
      <c r="AD321" s="3">
        <v>40206</v>
      </c>
      <c r="AE321" s="4">
        <v>0.59375</v>
      </c>
      <c r="AF321" s="2"/>
      <c r="AG321" s="2"/>
      <c r="AH321" s="2">
        <v>2</v>
      </c>
      <c r="AI321" s="2" t="s">
        <v>84</v>
      </c>
      <c r="AJ321" s="2">
        <v>12</v>
      </c>
      <c r="AK321" s="2" t="s">
        <v>85</v>
      </c>
      <c r="AL321" s="2">
        <v>2</v>
      </c>
      <c r="AM321" s="2" t="s">
        <v>163</v>
      </c>
      <c r="AN321" s="2" t="s">
        <v>1584</v>
      </c>
      <c r="AO321" s="2" t="s">
        <v>1585</v>
      </c>
      <c r="AP321" s="2">
        <v>11</v>
      </c>
      <c r="AQ321" s="2" t="s">
        <v>82</v>
      </c>
      <c r="AR321" s="2"/>
      <c r="AS321" s="2"/>
      <c r="AT321" s="2" t="s">
        <v>1586</v>
      </c>
      <c r="AU321" s="2"/>
      <c r="AV321" s="2"/>
      <c r="AW321" s="2"/>
      <c r="AX321" s="2"/>
      <c r="AY321" s="2">
        <v>41</v>
      </c>
      <c r="AZ321" s="2" t="s">
        <v>82</v>
      </c>
      <c r="BA321" s="2">
        <v>41</v>
      </c>
      <c r="BB321" s="2" t="s">
        <v>82</v>
      </c>
      <c r="BC321" s="2">
        <v>41</v>
      </c>
      <c r="BD321" s="2" t="s">
        <v>82</v>
      </c>
      <c r="BE321" s="2">
        <v>13</v>
      </c>
      <c r="BF321" s="2" t="s">
        <v>108</v>
      </c>
      <c r="BG321" s="2" t="s">
        <v>571</v>
      </c>
      <c r="BH321" s="4">
        <v>0.79166666666666663</v>
      </c>
      <c r="BI321" s="4">
        <v>0.76041666666666663</v>
      </c>
      <c r="BJ321" s="2">
        <v>13</v>
      </c>
      <c r="BK321" s="2" t="s">
        <v>91</v>
      </c>
      <c r="BL321" s="2" t="s">
        <v>564</v>
      </c>
      <c r="BM321" s="2">
        <v>241</v>
      </c>
      <c r="BN321" s="2" t="s">
        <v>82</v>
      </c>
      <c r="BO321" s="2"/>
      <c r="BP321" s="2">
        <v>229</v>
      </c>
      <c r="BQ321" s="2" t="s">
        <v>300</v>
      </c>
      <c r="BR321" s="2" t="s">
        <v>573</v>
      </c>
      <c r="BS321" s="3">
        <v>40206</v>
      </c>
      <c r="BT321" s="4">
        <v>0.79697916666666668</v>
      </c>
    </row>
    <row r="322" spans="1:72" x14ac:dyDescent="0.25">
      <c r="A322" s="2">
        <v>509</v>
      </c>
      <c r="B322" s="2">
        <v>2010</v>
      </c>
      <c r="C322" s="2" t="s">
        <v>457</v>
      </c>
      <c r="D322" s="2" t="s">
        <v>73</v>
      </c>
      <c r="E322" s="2"/>
      <c r="F322" s="2">
        <v>485</v>
      </c>
      <c r="G322" s="2" t="s">
        <v>1587</v>
      </c>
      <c r="H322" s="2">
        <v>50</v>
      </c>
      <c r="I322" s="2" t="s">
        <v>107</v>
      </c>
      <c r="J322" s="2">
        <v>1</v>
      </c>
      <c r="K322" s="2" t="s">
        <v>107</v>
      </c>
      <c r="L322" s="2" t="s">
        <v>107</v>
      </c>
      <c r="M322" s="3">
        <v>40206</v>
      </c>
      <c r="N322" s="2"/>
      <c r="O322" s="2" t="s">
        <v>1588</v>
      </c>
      <c r="P322" s="2">
        <v>59927</v>
      </c>
      <c r="Q322" s="2" t="str">
        <f>""</f>
        <v/>
      </c>
      <c r="R322" s="2"/>
      <c r="S322" s="2"/>
      <c r="T322" s="2">
        <v>1</v>
      </c>
      <c r="U322" s="2" t="s">
        <v>79</v>
      </c>
      <c r="V322" s="2">
        <v>1</v>
      </c>
      <c r="W322" s="2" t="s">
        <v>80</v>
      </c>
      <c r="X322" s="2">
        <v>4</v>
      </c>
      <c r="Y322" s="2" t="s">
        <v>463</v>
      </c>
      <c r="Z322" s="2">
        <v>9</v>
      </c>
      <c r="AA322" s="2" t="s">
        <v>1119</v>
      </c>
      <c r="AB322" s="2">
        <v>9</v>
      </c>
      <c r="AC322" s="2" t="s">
        <v>124</v>
      </c>
      <c r="AD322" s="3">
        <v>40206</v>
      </c>
      <c r="AE322" s="4">
        <v>0.59722222222222221</v>
      </c>
      <c r="AF322" s="2"/>
      <c r="AG322" s="2"/>
      <c r="AH322" s="2">
        <v>2</v>
      </c>
      <c r="AI322" s="2" t="s">
        <v>84</v>
      </c>
      <c r="AJ322" s="2">
        <v>12</v>
      </c>
      <c r="AK322" s="2" t="s">
        <v>85</v>
      </c>
      <c r="AL322" s="2">
        <v>2</v>
      </c>
      <c r="AM322" s="2" t="s">
        <v>163</v>
      </c>
      <c r="AN322" s="2" t="s">
        <v>1584</v>
      </c>
      <c r="AO322" s="2" t="s">
        <v>1589</v>
      </c>
      <c r="AP322" s="2">
        <v>11</v>
      </c>
      <c r="AQ322" s="2" t="s">
        <v>82</v>
      </c>
      <c r="AR322" s="2"/>
      <c r="AS322" s="2"/>
      <c r="AT322" s="2" t="s">
        <v>1590</v>
      </c>
      <c r="AU322" s="2"/>
      <c r="AV322" s="2"/>
      <c r="AW322" s="2"/>
      <c r="AX322" s="2"/>
      <c r="AY322" s="2">
        <v>41</v>
      </c>
      <c r="AZ322" s="2" t="s">
        <v>82</v>
      </c>
      <c r="BA322" s="2">
        <v>41</v>
      </c>
      <c r="BB322" s="2" t="s">
        <v>82</v>
      </c>
      <c r="BC322" s="2">
        <v>41</v>
      </c>
      <c r="BD322" s="2" t="s">
        <v>82</v>
      </c>
      <c r="BE322" s="2">
        <v>13</v>
      </c>
      <c r="BF322" s="2" t="s">
        <v>108</v>
      </c>
      <c r="BG322" s="2" t="s">
        <v>571</v>
      </c>
      <c r="BH322" s="4">
        <v>0.79166666666666663</v>
      </c>
      <c r="BI322" s="4">
        <v>0.76041666666666663</v>
      </c>
      <c r="BJ322" s="2">
        <v>13</v>
      </c>
      <c r="BK322" s="2" t="s">
        <v>91</v>
      </c>
      <c r="BL322" s="2" t="s">
        <v>1040</v>
      </c>
      <c r="BM322" s="2">
        <v>241</v>
      </c>
      <c r="BN322" s="2" t="s">
        <v>82</v>
      </c>
      <c r="BO322" s="2"/>
      <c r="BP322" s="2">
        <v>229</v>
      </c>
      <c r="BQ322" s="2" t="s">
        <v>300</v>
      </c>
      <c r="BR322" s="2" t="s">
        <v>573</v>
      </c>
      <c r="BS322" s="3">
        <v>40206</v>
      </c>
      <c r="BT322" s="4">
        <v>0.81396990740740749</v>
      </c>
    </row>
    <row r="323" spans="1:72" x14ac:dyDescent="0.25">
      <c r="A323" s="2">
        <v>512</v>
      </c>
      <c r="B323" s="2">
        <v>2010</v>
      </c>
      <c r="C323" s="2" t="s">
        <v>196</v>
      </c>
      <c r="D323" s="2" t="s">
        <v>122</v>
      </c>
      <c r="E323" s="2"/>
      <c r="F323" s="2">
        <v>1</v>
      </c>
      <c r="G323" s="2" t="s">
        <v>82</v>
      </c>
      <c r="H323" s="2">
        <v>1</v>
      </c>
      <c r="I323" s="2" t="s">
        <v>82</v>
      </c>
      <c r="J323" s="2">
        <v>1</v>
      </c>
      <c r="K323" s="2" t="s">
        <v>107</v>
      </c>
      <c r="L323" s="2" t="s">
        <v>107</v>
      </c>
      <c r="M323" s="3">
        <v>40206</v>
      </c>
      <c r="N323" s="2"/>
      <c r="O323" s="2"/>
      <c r="P323" s="2"/>
      <c r="Q323" s="2" t="str">
        <f>""</f>
        <v/>
      </c>
      <c r="R323" s="2"/>
      <c r="S323" s="2"/>
      <c r="T323" s="2">
        <v>2</v>
      </c>
      <c r="U323" s="2" t="s">
        <v>123</v>
      </c>
      <c r="V323" s="2">
        <v>1</v>
      </c>
      <c r="W323" s="2" t="s">
        <v>80</v>
      </c>
      <c r="X323" s="2">
        <v>5</v>
      </c>
      <c r="Y323" s="2" t="s">
        <v>82</v>
      </c>
      <c r="Z323" s="2">
        <v>1</v>
      </c>
      <c r="AA323" s="2" t="s">
        <v>82</v>
      </c>
      <c r="AB323" s="2">
        <v>9</v>
      </c>
      <c r="AC323" s="2" t="s">
        <v>124</v>
      </c>
      <c r="AD323" s="3">
        <v>40206</v>
      </c>
      <c r="AE323" s="4">
        <v>0.82638888888888884</v>
      </c>
      <c r="AF323" s="2"/>
      <c r="AG323" s="2"/>
      <c r="AH323" s="2">
        <v>6</v>
      </c>
      <c r="AI323" s="2" t="s">
        <v>197</v>
      </c>
      <c r="AJ323" s="2">
        <v>59</v>
      </c>
      <c r="AK323" s="2" t="s">
        <v>198</v>
      </c>
      <c r="AL323" s="2">
        <v>18</v>
      </c>
      <c r="AM323" s="2" t="s">
        <v>82</v>
      </c>
      <c r="AN323" s="2" t="s">
        <v>1591</v>
      </c>
      <c r="AO323" s="2" t="s">
        <v>1209</v>
      </c>
      <c r="AP323" s="2">
        <v>11</v>
      </c>
      <c r="AQ323" s="2" t="s">
        <v>82</v>
      </c>
      <c r="AR323" s="2"/>
      <c r="AS323" s="2"/>
      <c r="AT323" s="2" t="s">
        <v>1592</v>
      </c>
      <c r="AU323" s="2"/>
      <c r="AV323" s="2"/>
      <c r="AW323" s="2"/>
      <c r="AX323" s="2"/>
      <c r="AY323" s="2">
        <v>1</v>
      </c>
      <c r="AZ323" s="2" t="s">
        <v>107</v>
      </c>
      <c r="BA323" s="2">
        <v>1</v>
      </c>
      <c r="BB323" s="2" t="s">
        <v>107</v>
      </c>
      <c r="BC323" s="2">
        <v>1</v>
      </c>
      <c r="BD323" s="2" t="s">
        <v>107</v>
      </c>
      <c r="BE323" s="2">
        <v>1</v>
      </c>
      <c r="BF323" s="2" t="s">
        <v>107</v>
      </c>
      <c r="BG323" s="2"/>
      <c r="BH323" s="2"/>
      <c r="BI323" s="2"/>
      <c r="BJ323" s="2">
        <v>242</v>
      </c>
      <c r="BK323" s="2" t="s">
        <v>107</v>
      </c>
      <c r="BL323" s="2"/>
      <c r="BM323" s="2">
        <v>242</v>
      </c>
      <c r="BN323" s="2" t="s">
        <v>107</v>
      </c>
      <c r="BO323" s="2"/>
      <c r="BP323" s="2">
        <v>242</v>
      </c>
      <c r="BQ323" s="2" t="s">
        <v>107</v>
      </c>
      <c r="BR323" s="2"/>
      <c r="BS323" s="3">
        <v>40206</v>
      </c>
      <c r="BT323" s="4">
        <v>0.84327546296296296</v>
      </c>
    </row>
    <row r="324" spans="1:72" x14ac:dyDescent="0.25">
      <c r="A324" s="2">
        <v>515</v>
      </c>
      <c r="B324" s="2">
        <v>2010</v>
      </c>
      <c r="C324" s="2" t="s">
        <v>72</v>
      </c>
      <c r="D324" s="2" t="s">
        <v>73</v>
      </c>
      <c r="E324" s="2"/>
      <c r="F324" s="2">
        <v>182</v>
      </c>
      <c r="G324" s="2" t="s">
        <v>1544</v>
      </c>
      <c r="H324" s="2">
        <v>46</v>
      </c>
      <c r="I324" s="2" t="s">
        <v>1545</v>
      </c>
      <c r="J324" s="2">
        <v>387</v>
      </c>
      <c r="K324" s="2" t="s">
        <v>1378</v>
      </c>
      <c r="L324" s="2" t="s">
        <v>1379</v>
      </c>
      <c r="M324" s="3">
        <v>40206</v>
      </c>
      <c r="N324" s="2" t="s">
        <v>1380</v>
      </c>
      <c r="O324" s="2" t="s">
        <v>107</v>
      </c>
      <c r="P324" s="2"/>
      <c r="Q324" s="2" t="str">
        <f>"035-A/10"</f>
        <v>035-A/10</v>
      </c>
      <c r="R324" s="2" t="s">
        <v>1593</v>
      </c>
      <c r="S324" s="2" t="s">
        <v>206</v>
      </c>
      <c r="T324" s="2">
        <v>1</v>
      </c>
      <c r="U324" s="2" t="s">
        <v>79</v>
      </c>
      <c r="V324" s="2">
        <v>1</v>
      </c>
      <c r="W324" s="2" t="s">
        <v>80</v>
      </c>
      <c r="X324" s="2">
        <v>1</v>
      </c>
      <c r="Y324" s="2" t="s">
        <v>81</v>
      </c>
      <c r="Z324" s="2">
        <v>1</v>
      </c>
      <c r="AA324" s="2" t="s">
        <v>82</v>
      </c>
      <c r="AB324" s="2">
        <v>6</v>
      </c>
      <c r="AC324" s="2" t="s">
        <v>83</v>
      </c>
      <c r="AD324" s="3">
        <v>40206</v>
      </c>
      <c r="AE324" s="2"/>
      <c r="AF324" s="3">
        <v>40206</v>
      </c>
      <c r="AG324" s="4">
        <v>0.7729166666666667</v>
      </c>
      <c r="AH324" s="2">
        <v>2</v>
      </c>
      <c r="AI324" s="2" t="s">
        <v>84</v>
      </c>
      <c r="AJ324" s="2">
        <v>12</v>
      </c>
      <c r="AK324" s="2" t="s">
        <v>85</v>
      </c>
      <c r="AL324" s="2">
        <v>10</v>
      </c>
      <c r="AM324" s="2" t="s">
        <v>200</v>
      </c>
      <c r="AN324" s="2" t="s">
        <v>1040</v>
      </c>
      <c r="AO324" s="2" t="s">
        <v>1594</v>
      </c>
      <c r="AP324" s="2">
        <v>11</v>
      </c>
      <c r="AQ324" s="2" t="s">
        <v>82</v>
      </c>
      <c r="AR324" s="2"/>
      <c r="AS324" s="2"/>
      <c r="AT324" s="2" t="s">
        <v>1595</v>
      </c>
      <c r="AU324" s="2"/>
      <c r="AV324" s="2"/>
      <c r="AW324" s="2"/>
      <c r="AX324" s="2"/>
      <c r="AY324" s="2">
        <v>41</v>
      </c>
      <c r="AZ324" s="2" t="s">
        <v>82</v>
      </c>
      <c r="BA324" s="2">
        <v>41</v>
      </c>
      <c r="BB324" s="2" t="s">
        <v>82</v>
      </c>
      <c r="BC324" s="2">
        <v>41</v>
      </c>
      <c r="BD324" s="2" t="s">
        <v>82</v>
      </c>
      <c r="BE324" s="2">
        <v>13</v>
      </c>
      <c r="BF324" s="2" t="s">
        <v>108</v>
      </c>
      <c r="BG324" s="2" t="s">
        <v>1596</v>
      </c>
      <c r="BH324" s="4">
        <v>0.71527777777777779</v>
      </c>
      <c r="BI324" s="4">
        <v>0.625</v>
      </c>
      <c r="BJ324" s="2">
        <v>13</v>
      </c>
      <c r="BK324" s="2" t="s">
        <v>91</v>
      </c>
      <c r="BL324" s="2" t="s">
        <v>332</v>
      </c>
      <c r="BM324" s="2">
        <v>241</v>
      </c>
      <c r="BN324" s="2" t="s">
        <v>82</v>
      </c>
      <c r="BO324" s="2"/>
      <c r="BP324" s="2">
        <v>13</v>
      </c>
      <c r="BQ324" s="2" t="s">
        <v>91</v>
      </c>
      <c r="BR324" s="2" t="s">
        <v>1040</v>
      </c>
      <c r="BS324" s="3">
        <v>40206</v>
      </c>
      <c r="BT324" s="4">
        <v>0.88883101851851853</v>
      </c>
    </row>
    <row r="325" spans="1:72" x14ac:dyDescent="0.25">
      <c r="A325" s="2">
        <v>517</v>
      </c>
      <c r="B325" s="2">
        <v>2010</v>
      </c>
      <c r="C325" s="2" t="s">
        <v>457</v>
      </c>
      <c r="D325" s="2" t="s">
        <v>73</v>
      </c>
      <c r="E325" s="2"/>
      <c r="F325" s="2">
        <v>541</v>
      </c>
      <c r="G325" s="2" t="s">
        <v>1597</v>
      </c>
      <c r="H325" s="2">
        <v>1</v>
      </c>
      <c r="I325" s="2" t="s">
        <v>82</v>
      </c>
      <c r="J325" s="2">
        <v>1</v>
      </c>
      <c r="K325" s="2" t="s">
        <v>107</v>
      </c>
      <c r="L325" s="2" t="s">
        <v>107</v>
      </c>
      <c r="M325" s="3">
        <v>40206</v>
      </c>
      <c r="N325" s="2"/>
      <c r="O325" s="2" t="s">
        <v>107</v>
      </c>
      <c r="P325" s="2" t="s">
        <v>1529</v>
      </c>
      <c r="Q325" s="2" t="str">
        <f>"N/C"</f>
        <v>N/C</v>
      </c>
      <c r="R325" s="2" t="s">
        <v>107</v>
      </c>
      <c r="S325" s="2" t="s">
        <v>82</v>
      </c>
      <c r="T325" s="2">
        <v>1</v>
      </c>
      <c r="U325" s="2" t="s">
        <v>79</v>
      </c>
      <c r="V325" s="2">
        <v>1</v>
      </c>
      <c r="W325" s="2" t="s">
        <v>80</v>
      </c>
      <c r="X325" s="2">
        <v>5</v>
      </c>
      <c r="Y325" s="2" t="s">
        <v>82</v>
      </c>
      <c r="Z325" s="2">
        <v>1</v>
      </c>
      <c r="AA325" s="2" t="s">
        <v>82</v>
      </c>
      <c r="AB325" s="2">
        <v>9</v>
      </c>
      <c r="AC325" s="2" t="s">
        <v>124</v>
      </c>
      <c r="AD325" s="3">
        <v>40206</v>
      </c>
      <c r="AE325" s="4">
        <v>0.51388888888888895</v>
      </c>
      <c r="AF325" s="2"/>
      <c r="AG325" s="2"/>
      <c r="AH325" s="2">
        <v>2</v>
      </c>
      <c r="AI325" s="2" t="s">
        <v>84</v>
      </c>
      <c r="AJ325" s="2">
        <v>9</v>
      </c>
      <c r="AK325" s="2" t="s">
        <v>103</v>
      </c>
      <c r="AL325" s="2">
        <v>18</v>
      </c>
      <c r="AM325" s="2" t="s">
        <v>82</v>
      </c>
      <c r="AN325" s="2"/>
      <c r="AO325" s="2"/>
      <c r="AP325" s="2">
        <v>11</v>
      </c>
      <c r="AQ325" s="2" t="s">
        <v>82</v>
      </c>
      <c r="AR325" s="2"/>
      <c r="AS325" s="2"/>
      <c r="AT325" s="2" t="s">
        <v>1598</v>
      </c>
      <c r="AU325" s="2"/>
      <c r="AV325" s="2"/>
      <c r="AW325" s="2"/>
      <c r="AX325" s="2"/>
      <c r="AY325" s="2">
        <v>1</v>
      </c>
      <c r="AZ325" s="2" t="s">
        <v>107</v>
      </c>
      <c r="BA325" s="2">
        <v>1</v>
      </c>
      <c r="BB325" s="2" t="s">
        <v>107</v>
      </c>
      <c r="BC325" s="2">
        <v>1</v>
      </c>
      <c r="BD325" s="2" t="s">
        <v>107</v>
      </c>
      <c r="BE325" s="2">
        <v>6</v>
      </c>
      <c r="BF325" s="2" t="s">
        <v>616</v>
      </c>
      <c r="BG325" s="2" t="s">
        <v>1599</v>
      </c>
      <c r="BH325" s="2"/>
      <c r="BI325" s="4">
        <v>0.53472222222222221</v>
      </c>
      <c r="BJ325" s="2">
        <v>242</v>
      </c>
      <c r="BK325" s="2" t="s">
        <v>107</v>
      </c>
      <c r="BL325" s="2"/>
      <c r="BM325" s="2">
        <v>242</v>
      </c>
      <c r="BN325" s="2" t="s">
        <v>107</v>
      </c>
      <c r="BO325" s="2"/>
      <c r="BP325" s="2">
        <v>4</v>
      </c>
      <c r="BQ325" s="2" t="s">
        <v>618</v>
      </c>
      <c r="BR325" s="2" t="s">
        <v>1600</v>
      </c>
      <c r="BS325" s="3">
        <v>40206</v>
      </c>
      <c r="BT325" s="4">
        <v>0.89085648148148155</v>
      </c>
    </row>
    <row r="326" spans="1:72" x14ac:dyDescent="0.25">
      <c r="A326" s="2">
        <v>519</v>
      </c>
      <c r="B326" s="2">
        <v>2010</v>
      </c>
      <c r="C326" s="2" t="s">
        <v>196</v>
      </c>
      <c r="D326" s="2" t="s">
        <v>122</v>
      </c>
      <c r="E326" s="2"/>
      <c r="F326" s="2">
        <v>1</v>
      </c>
      <c r="G326" s="2" t="s">
        <v>82</v>
      </c>
      <c r="H326" s="2">
        <v>1</v>
      </c>
      <c r="I326" s="2" t="s">
        <v>82</v>
      </c>
      <c r="J326" s="2">
        <v>1</v>
      </c>
      <c r="K326" s="2" t="s">
        <v>107</v>
      </c>
      <c r="L326" s="2" t="s">
        <v>107</v>
      </c>
      <c r="M326" s="3">
        <v>40206</v>
      </c>
      <c r="N326" s="2"/>
      <c r="O326" s="2"/>
      <c r="P326" s="2"/>
      <c r="Q326" s="2" t="str">
        <f>""</f>
        <v/>
      </c>
      <c r="R326" s="2"/>
      <c r="S326" s="2"/>
      <c r="T326" s="2">
        <v>2</v>
      </c>
      <c r="U326" s="2" t="s">
        <v>123</v>
      </c>
      <c r="V326" s="2">
        <v>1</v>
      </c>
      <c r="W326" s="2" t="s">
        <v>80</v>
      </c>
      <c r="X326" s="2">
        <v>5</v>
      </c>
      <c r="Y326" s="2" t="s">
        <v>82</v>
      </c>
      <c r="Z326" s="2">
        <v>1</v>
      </c>
      <c r="AA326" s="2" t="s">
        <v>82</v>
      </c>
      <c r="AB326" s="2">
        <v>9</v>
      </c>
      <c r="AC326" s="2" t="s">
        <v>124</v>
      </c>
      <c r="AD326" s="3">
        <v>40206</v>
      </c>
      <c r="AE326" s="4">
        <v>0.86458333333333337</v>
      </c>
      <c r="AF326" s="2"/>
      <c r="AG326" s="2"/>
      <c r="AH326" s="2">
        <v>6</v>
      </c>
      <c r="AI326" s="2" t="s">
        <v>197</v>
      </c>
      <c r="AJ326" s="2">
        <v>58</v>
      </c>
      <c r="AK326" s="2" t="s">
        <v>406</v>
      </c>
      <c r="AL326" s="2">
        <v>18</v>
      </c>
      <c r="AM326" s="2" t="s">
        <v>82</v>
      </c>
      <c r="AN326" s="2" t="s">
        <v>1004</v>
      </c>
      <c r="AO326" s="2" t="s">
        <v>259</v>
      </c>
      <c r="AP326" s="2">
        <v>11</v>
      </c>
      <c r="AQ326" s="2" t="s">
        <v>82</v>
      </c>
      <c r="AR326" s="2"/>
      <c r="AS326" s="2"/>
      <c r="AT326" s="2" t="s">
        <v>1601</v>
      </c>
      <c r="AU326" s="2"/>
      <c r="AV326" s="2"/>
      <c r="AW326" s="2"/>
      <c r="AX326" s="2"/>
      <c r="AY326" s="2">
        <v>41</v>
      </c>
      <c r="AZ326" s="2" t="s">
        <v>82</v>
      </c>
      <c r="BA326" s="2">
        <v>41</v>
      </c>
      <c r="BB326" s="2" t="s">
        <v>82</v>
      </c>
      <c r="BC326" s="2">
        <v>41</v>
      </c>
      <c r="BD326" s="2" t="s">
        <v>82</v>
      </c>
      <c r="BE326" s="2">
        <v>41</v>
      </c>
      <c r="BF326" s="2" t="s">
        <v>82</v>
      </c>
      <c r="BG326" s="2" t="s">
        <v>265</v>
      </c>
      <c r="BH326" s="4">
        <v>0.86458333333333337</v>
      </c>
      <c r="BI326" s="2"/>
      <c r="BJ326" s="2">
        <v>13</v>
      </c>
      <c r="BK326" s="2" t="s">
        <v>91</v>
      </c>
      <c r="BL326" s="2" t="s">
        <v>185</v>
      </c>
      <c r="BM326" s="2">
        <v>13</v>
      </c>
      <c r="BN326" s="2" t="s">
        <v>91</v>
      </c>
      <c r="BO326" s="2" t="s">
        <v>204</v>
      </c>
      <c r="BP326" s="2">
        <v>13</v>
      </c>
      <c r="BQ326" s="2" t="s">
        <v>91</v>
      </c>
      <c r="BR326" s="2" t="s">
        <v>492</v>
      </c>
      <c r="BS326" s="3">
        <v>40206</v>
      </c>
      <c r="BT326" s="4">
        <v>0.90623842592592585</v>
      </c>
    </row>
    <row r="327" spans="1:72" x14ac:dyDescent="0.25">
      <c r="A327" s="2">
        <v>520</v>
      </c>
      <c r="B327" s="2">
        <v>2010</v>
      </c>
      <c r="C327" s="2" t="s">
        <v>377</v>
      </c>
      <c r="D327" s="2" t="s">
        <v>73</v>
      </c>
      <c r="E327" s="2"/>
      <c r="F327" s="2">
        <v>426</v>
      </c>
      <c r="G327" s="2" t="s">
        <v>378</v>
      </c>
      <c r="H327" s="2">
        <v>1</v>
      </c>
      <c r="I327" s="2" t="s">
        <v>82</v>
      </c>
      <c r="J327" s="2">
        <v>311</v>
      </c>
      <c r="K327" s="2" t="s">
        <v>379</v>
      </c>
      <c r="L327" s="2" t="s">
        <v>380</v>
      </c>
      <c r="M327" s="3">
        <v>40206</v>
      </c>
      <c r="N327" s="2" t="s">
        <v>107</v>
      </c>
      <c r="O327" s="2" t="s">
        <v>107</v>
      </c>
      <c r="P327" s="2" t="s">
        <v>107</v>
      </c>
      <c r="Q327" s="2" t="str">
        <f>"004-E/10"</f>
        <v>004-E/10</v>
      </c>
      <c r="R327" s="2" t="s">
        <v>1602</v>
      </c>
      <c r="S327" s="2" t="s">
        <v>1602</v>
      </c>
      <c r="T327" s="2">
        <v>1</v>
      </c>
      <c r="U327" s="2" t="s">
        <v>79</v>
      </c>
      <c r="V327" s="2">
        <v>1</v>
      </c>
      <c r="W327" s="2" t="s">
        <v>80</v>
      </c>
      <c r="X327" s="2">
        <v>1</v>
      </c>
      <c r="Y327" s="2" t="s">
        <v>81</v>
      </c>
      <c r="Z327" s="2">
        <v>1</v>
      </c>
      <c r="AA327" s="2" t="s">
        <v>82</v>
      </c>
      <c r="AB327" s="2">
        <v>9</v>
      </c>
      <c r="AC327" s="2" t="s">
        <v>124</v>
      </c>
      <c r="AD327" s="3">
        <v>40206</v>
      </c>
      <c r="AE327" s="4">
        <v>0.73611111111111116</v>
      </c>
      <c r="AF327" s="2"/>
      <c r="AG327" s="2"/>
      <c r="AH327" s="2">
        <v>2</v>
      </c>
      <c r="AI327" s="2" t="s">
        <v>84</v>
      </c>
      <c r="AJ327" s="2">
        <v>9</v>
      </c>
      <c r="AK327" s="2" t="s">
        <v>103</v>
      </c>
      <c r="AL327" s="2">
        <v>12</v>
      </c>
      <c r="AM327" s="2" t="s">
        <v>86</v>
      </c>
      <c r="AN327" s="2" t="s">
        <v>1603</v>
      </c>
      <c r="AO327" s="2" t="s">
        <v>107</v>
      </c>
      <c r="AP327" s="2">
        <v>11</v>
      </c>
      <c r="AQ327" s="2" t="s">
        <v>82</v>
      </c>
      <c r="AR327" s="2"/>
      <c r="AS327" s="2"/>
      <c r="AT327" s="2" t="s">
        <v>1604</v>
      </c>
      <c r="AU327" s="2"/>
      <c r="AV327" s="2"/>
      <c r="AW327" s="2"/>
      <c r="AX327" s="2"/>
      <c r="AY327" s="2">
        <v>41</v>
      </c>
      <c r="AZ327" s="2" t="s">
        <v>82</v>
      </c>
      <c r="BA327" s="2">
        <v>41</v>
      </c>
      <c r="BB327" s="2" t="s">
        <v>82</v>
      </c>
      <c r="BC327" s="2">
        <v>41</v>
      </c>
      <c r="BD327" s="2" t="s">
        <v>82</v>
      </c>
      <c r="BE327" s="2">
        <v>41</v>
      </c>
      <c r="BF327" s="2" t="s">
        <v>82</v>
      </c>
      <c r="BG327" s="2"/>
      <c r="BH327" s="2"/>
      <c r="BI327" s="2"/>
      <c r="BJ327" s="2">
        <v>241</v>
      </c>
      <c r="BK327" s="2" t="s">
        <v>82</v>
      </c>
      <c r="BL327" s="2"/>
      <c r="BM327" s="2">
        <v>241</v>
      </c>
      <c r="BN327" s="2" t="s">
        <v>82</v>
      </c>
      <c r="BO327" s="2"/>
      <c r="BP327" s="2">
        <v>241</v>
      </c>
      <c r="BQ327" s="2" t="s">
        <v>82</v>
      </c>
      <c r="BR327" s="2"/>
      <c r="BS327" s="3">
        <v>40206</v>
      </c>
      <c r="BT327" s="4">
        <v>0.9523611111111111</v>
      </c>
    </row>
    <row r="328" spans="1:72" x14ac:dyDescent="0.25">
      <c r="A328" s="2">
        <v>521</v>
      </c>
      <c r="B328" s="2">
        <v>2010</v>
      </c>
      <c r="C328" s="2" t="s">
        <v>171</v>
      </c>
      <c r="D328" s="2" t="s">
        <v>122</v>
      </c>
      <c r="E328" s="2"/>
      <c r="F328" s="2">
        <v>475</v>
      </c>
      <c r="G328" s="2" t="s">
        <v>1271</v>
      </c>
      <c r="H328" s="2">
        <v>44</v>
      </c>
      <c r="I328" s="2" t="s">
        <v>1272</v>
      </c>
      <c r="J328" s="2">
        <v>385</v>
      </c>
      <c r="K328" s="2" t="s">
        <v>1314</v>
      </c>
      <c r="L328" s="2" t="s">
        <v>1315</v>
      </c>
      <c r="M328" s="3">
        <v>40206</v>
      </c>
      <c r="N328" s="2" t="s">
        <v>1605</v>
      </c>
      <c r="O328" s="2" t="s">
        <v>1606</v>
      </c>
      <c r="P328" s="2"/>
      <c r="Q328" s="2" t="str">
        <f>"05/2010"</f>
        <v>05/2010</v>
      </c>
      <c r="R328" s="2" t="s">
        <v>107</v>
      </c>
      <c r="S328" s="2" t="s">
        <v>1607</v>
      </c>
      <c r="T328" s="2">
        <v>1</v>
      </c>
      <c r="U328" s="2" t="s">
        <v>79</v>
      </c>
      <c r="V328" s="2">
        <v>1</v>
      </c>
      <c r="W328" s="2" t="s">
        <v>80</v>
      </c>
      <c r="X328" s="2">
        <v>1</v>
      </c>
      <c r="Y328" s="2" t="s">
        <v>81</v>
      </c>
      <c r="Z328" s="2">
        <v>10</v>
      </c>
      <c r="AA328" s="2" t="s">
        <v>236</v>
      </c>
      <c r="AB328" s="2">
        <v>1</v>
      </c>
      <c r="AC328" s="2" t="s">
        <v>178</v>
      </c>
      <c r="AD328" s="3">
        <v>40206</v>
      </c>
      <c r="AE328" s="4">
        <v>0.81944444444444453</v>
      </c>
      <c r="AF328" s="3">
        <v>40206</v>
      </c>
      <c r="AG328" s="4">
        <v>0.81944444444444453</v>
      </c>
      <c r="AH328" s="2">
        <v>5</v>
      </c>
      <c r="AI328" s="2" t="s">
        <v>274</v>
      </c>
      <c r="AJ328" s="2">
        <v>42</v>
      </c>
      <c r="AK328" s="2" t="s">
        <v>660</v>
      </c>
      <c r="AL328" s="2">
        <v>11</v>
      </c>
      <c r="AM328" s="2" t="s">
        <v>137</v>
      </c>
      <c r="AN328" s="2" t="s">
        <v>82</v>
      </c>
      <c r="AO328" s="2" t="s">
        <v>82</v>
      </c>
      <c r="AP328" s="2">
        <v>5</v>
      </c>
      <c r="AQ328" s="2" t="s">
        <v>827</v>
      </c>
      <c r="AR328" s="2" t="s">
        <v>107</v>
      </c>
      <c r="AS328" s="2" t="s">
        <v>107</v>
      </c>
      <c r="AT328" s="2" t="s">
        <v>1608</v>
      </c>
      <c r="AU328" s="2"/>
      <c r="AV328" s="2"/>
      <c r="AW328" s="2"/>
      <c r="AX328" s="2"/>
      <c r="AY328" s="2">
        <v>41</v>
      </c>
      <c r="AZ328" s="2" t="s">
        <v>82</v>
      </c>
      <c r="BA328" s="2">
        <v>70</v>
      </c>
      <c r="BB328" s="2" t="s">
        <v>236</v>
      </c>
      <c r="BC328" s="2">
        <v>51</v>
      </c>
      <c r="BD328" s="2" t="s">
        <v>827</v>
      </c>
      <c r="BE328" s="2">
        <v>47</v>
      </c>
      <c r="BF328" s="2" t="s">
        <v>167</v>
      </c>
      <c r="BG328" s="2">
        <v>2788</v>
      </c>
      <c r="BH328" s="4">
        <v>0.88194444444444453</v>
      </c>
      <c r="BI328" s="4">
        <v>0.90625</v>
      </c>
      <c r="BJ328" s="2">
        <v>13</v>
      </c>
      <c r="BK328" s="2" t="s">
        <v>91</v>
      </c>
      <c r="BL328" s="2" t="s">
        <v>1609</v>
      </c>
      <c r="BM328" s="2">
        <v>13</v>
      </c>
      <c r="BN328" s="2" t="s">
        <v>91</v>
      </c>
      <c r="BO328" s="2" t="s">
        <v>1610</v>
      </c>
      <c r="BP328" s="2">
        <v>13</v>
      </c>
      <c r="BQ328" s="2" t="s">
        <v>91</v>
      </c>
      <c r="BR328" s="2" t="s">
        <v>1609</v>
      </c>
      <c r="BS328" s="3">
        <v>40206</v>
      </c>
      <c r="BT328" s="4">
        <v>0.97380787037037031</v>
      </c>
    </row>
    <row r="329" spans="1:72" x14ac:dyDescent="0.25">
      <c r="A329" s="2">
        <v>522</v>
      </c>
      <c r="B329" s="2">
        <v>2010</v>
      </c>
      <c r="C329" s="2" t="s">
        <v>906</v>
      </c>
      <c r="D329" s="2" t="s">
        <v>73</v>
      </c>
      <c r="E329" s="2"/>
      <c r="F329" s="2">
        <v>464</v>
      </c>
      <c r="G329" s="2" t="s">
        <v>978</v>
      </c>
      <c r="H329" s="2">
        <v>22</v>
      </c>
      <c r="I329" s="2" t="s">
        <v>75</v>
      </c>
      <c r="J329" s="2">
        <v>159</v>
      </c>
      <c r="K329" s="2" t="s">
        <v>771</v>
      </c>
      <c r="L329" s="2" t="s">
        <v>772</v>
      </c>
      <c r="M329" s="3">
        <v>40207</v>
      </c>
      <c r="N329" s="2" t="s">
        <v>1611</v>
      </c>
      <c r="O329" s="2" t="s">
        <v>82</v>
      </c>
      <c r="P329" s="2" t="s">
        <v>82</v>
      </c>
      <c r="Q329" s="2" t="str">
        <f>"AP0009_10"</f>
        <v>AP0009_10</v>
      </c>
      <c r="R329" s="2" t="s">
        <v>1612</v>
      </c>
      <c r="S329" s="2" t="s">
        <v>1613</v>
      </c>
      <c r="T329" s="2">
        <v>1</v>
      </c>
      <c r="U329" s="2" t="s">
        <v>79</v>
      </c>
      <c r="V329" s="2">
        <v>1</v>
      </c>
      <c r="W329" s="2" t="s">
        <v>80</v>
      </c>
      <c r="X329" s="2">
        <v>1</v>
      </c>
      <c r="Y329" s="2" t="s">
        <v>81</v>
      </c>
      <c r="Z329" s="2">
        <v>10</v>
      </c>
      <c r="AA329" s="2" t="s">
        <v>236</v>
      </c>
      <c r="AB329" s="2">
        <v>9</v>
      </c>
      <c r="AC329" s="2" t="s">
        <v>124</v>
      </c>
      <c r="AD329" s="3">
        <v>40206</v>
      </c>
      <c r="AE329" s="4">
        <v>0.77083333333333337</v>
      </c>
      <c r="AF329" s="3">
        <v>40206</v>
      </c>
      <c r="AG329" s="4">
        <v>0.88541666666666663</v>
      </c>
      <c r="AH329" s="2">
        <v>6</v>
      </c>
      <c r="AI329" s="2" t="s">
        <v>197</v>
      </c>
      <c r="AJ329" s="2">
        <v>60</v>
      </c>
      <c r="AK329" s="2" t="s">
        <v>543</v>
      </c>
      <c r="AL329" s="2">
        <v>19</v>
      </c>
      <c r="AM329" s="2" t="s">
        <v>107</v>
      </c>
      <c r="AN329" s="2" t="s">
        <v>1614</v>
      </c>
      <c r="AO329" s="2" t="s">
        <v>1615</v>
      </c>
      <c r="AP329" s="2">
        <v>11</v>
      </c>
      <c r="AQ329" s="2" t="s">
        <v>82</v>
      </c>
      <c r="AR329" s="2" t="s">
        <v>82</v>
      </c>
      <c r="AS329" s="2" t="s">
        <v>82</v>
      </c>
      <c r="AT329" s="2" t="s">
        <v>1616</v>
      </c>
      <c r="AU329" s="2"/>
      <c r="AV329" s="2">
        <v>1</v>
      </c>
      <c r="AW329" s="2"/>
      <c r="AX329" s="2"/>
      <c r="AY329" s="2">
        <v>41</v>
      </c>
      <c r="AZ329" s="2" t="s">
        <v>82</v>
      </c>
      <c r="BA329" s="2">
        <v>41</v>
      </c>
      <c r="BB329" s="2" t="s">
        <v>82</v>
      </c>
      <c r="BC329" s="2">
        <v>41</v>
      </c>
      <c r="BD329" s="2" t="s">
        <v>82</v>
      </c>
      <c r="BE329" s="2">
        <v>43</v>
      </c>
      <c r="BF329" s="2" t="s">
        <v>220</v>
      </c>
      <c r="BG329" s="2" t="s">
        <v>1617</v>
      </c>
      <c r="BH329" s="4">
        <v>0.76111111111111107</v>
      </c>
      <c r="BI329" s="2"/>
      <c r="BJ329" s="2">
        <v>13</v>
      </c>
      <c r="BK329" s="2" t="s">
        <v>91</v>
      </c>
      <c r="BL329" s="2" t="s">
        <v>690</v>
      </c>
      <c r="BM329" s="2">
        <v>13</v>
      </c>
      <c r="BN329" s="2" t="s">
        <v>91</v>
      </c>
      <c r="BO329" s="2" t="s">
        <v>82</v>
      </c>
      <c r="BP329" s="2">
        <v>13</v>
      </c>
      <c r="BQ329" s="2" t="s">
        <v>91</v>
      </c>
      <c r="BR329" s="2" t="s">
        <v>895</v>
      </c>
      <c r="BS329" s="3">
        <v>40207</v>
      </c>
      <c r="BT329" s="4">
        <v>1.6354166666666666E-2</v>
      </c>
    </row>
    <row r="330" spans="1:72" x14ac:dyDescent="0.25">
      <c r="A330" s="2">
        <v>522</v>
      </c>
      <c r="B330" s="2">
        <v>2010</v>
      </c>
      <c r="C330" s="2" t="s">
        <v>72</v>
      </c>
      <c r="D330" s="2" t="s">
        <v>73</v>
      </c>
      <c r="E330" s="2"/>
      <c r="F330" s="2">
        <v>464</v>
      </c>
      <c r="G330" s="2" t="s">
        <v>978</v>
      </c>
      <c r="H330" s="2">
        <v>22</v>
      </c>
      <c r="I330" s="2" t="s">
        <v>75</v>
      </c>
      <c r="J330" s="2">
        <v>159</v>
      </c>
      <c r="K330" s="2" t="s">
        <v>771</v>
      </c>
      <c r="L330" s="2" t="s">
        <v>772</v>
      </c>
      <c r="M330" s="3">
        <v>40207</v>
      </c>
      <c r="N330" s="2" t="s">
        <v>1611</v>
      </c>
      <c r="O330" s="2" t="s">
        <v>82</v>
      </c>
      <c r="P330" s="2" t="s">
        <v>82</v>
      </c>
      <c r="Q330" s="2" t="str">
        <f>"AP0009_10"</f>
        <v>AP0009_10</v>
      </c>
      <c r="R330" s="2" t="s">
        <v>1612</v>
      </c>
      <c r="S330" s="2" t="s">
        <v>1613</v>
      </c>
      <c r="T330" s="2">
        <v>1</v>
      </c>
      <c r="U330" s="2" t="s">
        <v>79</v>
      </c>
      <c r="V330" s="2">
        <v>1</v>
      </c>
      <c r="W330" s="2" t="s">
        <v>80</v>
      </c>
      <c r="X330" s="2">
        <v>1</v>
      </c>
      <c r="Y330" s="2" t="s">
        <v>81</v>
      </c>
      <c r="Z330" s="2">
        <v>10</v>
      </c>
      <c r="AA330" s="2" t="s">
        <v>236</v>
      </c>
      <c r="AB330" s="2">
        <v>6</v>
      </c>
      <c r="AC330" s="2" t="s">
        <v>83</v>
      </c>
      <c r="AD330" s="3">
        <v>40206</v>
      </c>
      <c r="AE330" s="4">
        <v>0.77083333333333337</v>
      </c>
      <c r="AF330" s="3">
        <v>40206</v>
      </c>
      <c r="AG330" s="4">
        <v>0.88541666666666663</v>
      </c>
      <c r="AH330" s="2">
        <v>6</v>
      </c>
      <c r="AI330" s="2" t="s">
        <v>197</v>
      </c>
      <c r="AJ330" s="2">
        <v>60</v>
      </c>
      <c r="AK330" s="2" t="s">
        <v>543</v>
      </c>
      <c r="AL330" s="2">
        <v>19</v>
      </c>
      <c r="AM330" s="2" t="s">
        <v>107</v>
      </c>
      <c r="AN330" s="2" t="s">
        <v>1614</v>
      </c>
      <c r="AO330" s="2" t="s">
        <v>1615</v>
      </c>
      <c r="AP330" s="2">
        <v>11</v>
      </c>
      <c r="AQ330" s="2" t="s">
        <v>82</v>
      </c>
      <c r="AR330" s="2" t="s">
        <v>82</v>
      </c>
      <c r="AS330" s="2" t="s">
        <v>82</v>
      </c>
      <c r="AT330" s="2" t="s">
        <v>1616</v>
      </c>
      <c r="AU330" s="2"/>
      <c r="AV330" s="2">
        <v>1</v>
      </c>
      <c r="AW330" s="2"/>
      <c r="AX330" s="2"/>
      <c r="AY330" s="2">
        <v>41</v>
      </c>
      <c r="AZ330" s="2" t="s">
        <v>82</v>
      </c>
      <c r="BA330" s="2">
        <v>41</v>
      </c>
      <c r="BB330" s="2" t="s">
        <v>82</v>
      </c>
      <c r="BC330" s="2">
        <v>41</v>
      </c>
      <c r="BD330" s="2" t="s">
        <v>82</v>
      </c>
      <c r="BE330" s="2">
        <v>43</v>
      </c>
      <c r="BF330" s="2" t="s">
        <v>220</v>
      </c>
      <c r="BG330" s="2" t="s">
        <v>1617</v>
      </c>
      <c r="BH330" s="4">
        <v>0.76111111111111107</v>
      </c>
      <c r="BI330" s="2"/>
      <c r="BJ330" s="2">
        <v>13</v>
      </c>
      <c r="BK330" s="2" t="s">
        <v>91</v>
      </c>
      <c r="BL330" s="2" t="s">
        <v>690</v>
      </c>
      <c r="BM330" s="2">
        <v>13</v>
      </c>
      <c r="BN330" s="2" t="s">
        <v>91</v>
      </c>
      <c r="BO330" s="2" t="s">
        <v>82</v>
      </c>
      <c r="BP330" s="2">
        <v>13</v>
      </c>
      <c r="BQ330" s="2" t="s">
        <v>91</v>
      </c>
      <c r="BR330" s="2" t="s">
        <v>895</v>
      </c>
      <c r="BS330" s="3">
        <v>40207</v>
      </c>
      <c r="BT330" s="4">
        <v>1.6354166666666666E-2</v>
      </c>
    </row>
    <row r="331" spans="1:72" x14ac:dyDescent="0.25">
      <c r="A331" s="2">
        <v>523</v>
      </c>
      <c r="B331" s="2">
        <v>2010</v>
      </c>
      <c r="C331" s="2" t="s">
        <v>764</v>
      </c>
      <c r="D331" s="2" t="s">
        <v>73</v>
      </c>
      <c r="E331" s="2"/>
      <c r="F331" s="2">
        <v>142</v>
      </c>
      <c r="G331" s="2" t="s">
        <v>1618</v>
      </c>
      <c r="H331" s="2">
        <v>7</v>
      </c>
      <c r="I331" s="2" t="s">
        <v>476</v>
      </c>
      <c r="J331" s="2">
        <v>468</v>
      </c>
      <c r="K331" s="2" t="s">
        <v>1619</v>
      </c>
      <c r="L331" s="2" t="s">
        <v>1620</v>
      </c>
      <c r="M331" s="3">
        <v>40207</v>
      </c>
      <c r="N331" s="2" t="s">
        <v>1621</v>
      </c>
      <c r="O331" s="2"/>
      <c r="P331" s="2"/>
      <c r="Q331" s="2" t="str">
        <f>"02-S/10"</f>
        <v>02-S/10</v>
      </c>
      <c r="R331" s="2" t="s">
        <v>480</v>
      </c>
      <c r="S331" s="2" t="s">
        <v>480</v>
      </c>
      <c r="T331" s="2">
        <v>1</v>
      </c>
      <c r="U331" s="2" t="s">
        <v>79</v>
      </c>
      <c r="V331" s="2">
        <v>1</v>
      </c>
      <c r="W331" s="2" t="s">
        <v>80</v>
      </c>
      <c r="X331" s="2">
        <v>1</v>
      </c>
      <c r="Y331" s="2" t="s">
        <v>81</v>
      </c>
      <c r="Z331" s="2">
        <v>8</v>
      </c>
      <c r="AA331" s="2" t="s">
        <v>1176</v>
      </c>
      <c r="AB331" s="2">
        <v>9</v>
      </c>
      <c r="AC331" s="2" t="s">
        <v>124</v>
      </c>
      <c r="AD331" s="3">
        <v>40203</v>
      </c>
      <c r="AE331" s="2"/>
      <c r="AF331" s="3">
        <v>40206</v>
      </c>
      <c r="AG331" s="4">
        <v>0.71875</v>
      </c>
      <c r="AH331" s="2">
        <v>2</v>
      </c>
      <c r="AI331" s="2" t="s">
        <v>84</v>
      </c>
      <c r="AJ331" s="2">
        <v>11</v>
      </c>
      <c r="AK331" s="2" t="s">
        <v>751</v>
      </c>
      <c r="AL331" s="2">
        <v>18</v>
      </c>
      <c r="AM331" s="2" t="s">
        <v>82</v>
      </c>
      <c r="AN331" s="2"/>
      <c r="AO331" s="2"/>
      <c r="AP331" s="2">
        <v>11</v>
      </c>
      <c r="AQ331" s="2" t="s">
        <v>82</v>
      </c>
      <c r="AR331" s="2"/>
      <c r="AS331" s="2"/>
      <c r="AT331" s="2" t="s">
        <v>1622</v>
      </c>
      <c r="AU331" s="2"/>
      <c r="AV331" s="2"/>
      <c r="AW331" s="2"/>
      <c r="AX331" s="2"/>
      <c r="AY331" s="2">
        <v>1</v>
      </c>
      <c r="AZ331" s="2" t="s">
        <v>107</v>
      </c>
      <c r="BA331" s="2">
        <v>1</v>
      </c>
      <c r="BB331" s="2" t="s">
        <v>107</v>
      </c>
      <c r="BC331" s="2">
        <v>1</v>
      </c>
      <c r="BD331" s="2" t="s">
        <v>107</v>
      </c>
      <c r="BE331" s="2">
        <v>1</v>
      </c>
      <c r="BF331" s="2" t="s">
        <v>107</v>
      </c>
      <c r="BG331" s="2"/>
      <c r="BH331" s="2"/>
      <c r="BI331" s="2"/>
      <c r="BJ331" s="2">
        <v>242</v>
      </c>
      <c r="BK331" s="2" t="s">
        <v>107</v>
      </c>
      <c r="BL331" s="2"/>
      <c r="BM331" s="2">
        <v>242</v>
      </c>
      <c r="BN331" s="2" t="s">
        <v>107</v>
      </c>
      <c r="BO331" s="2"/>
      <c r="BP331" s="2">
        <v>242</v>
      </c>
      <c r="BQ331" s="2" t="s">
        <v>107</v>
      </c>
      <c r="BR331" s="2"/>
      <c r="BS331" s="3">
        <v>40207</v>
      </c>
      <c r="BT331" s="4">
        <v>5.0995370370370365E-2</v>
      </c>
    </row>
    <row r="332" spans="1:72" x14ac:dyDescent="0.25">
      <c r="A332" s="2">
        <v>524</v>
      </c>
      <c r="B332" s="2">
        <v>2010</v>
      </c>
      <c r="C332" s="2" t="s">
        <v>726</v>
      </c>
      <c r="D332" s="2" t="s">
        <v>122</v>
      </c>
      <c r="E332" s="2" t="s">
        <v>1623</v>
      </c>
      <c r="F332" s="2">
        <v>464</v>
      </c>
      <c r="G332" s="2" t="s">
        <v>978</v>
      </c>
      <c r="H332" s="2">
        <v>22</v>
      </c>
      <c r="I332" s="2" t="s">
        <v>75</v>
      </c>
      <c r="J332" s="2">
        <v>159</v>
      </c>
      <c r="K332" s="2" t="s">
        <v>771</v>
      </c>
      <c r="L332" s="2" t="s">
        <v>772</v>
      </c>
      <c r="M332" s="3">
        <v>40207</v>
      </c>
      <c r="N332" s="2" t="s">
        <v>1611</v>
      </c>
      <c r="O332" s="2" t="s">
        <v>82</v>
      </c>
      <c r="P332" s="2" t="s">
        <v>82</v>
      </c>
      <c r="Q332" s="2" t="str">
        <f>"AP0009_10"</f>
        <v>AP0009_10</v>
      </c>
      <c r="R332" s="2" t="s">
        <v>1613</v>
      </c>
      <c r="S332" s="2" t="s">
        <v>1612</v>
      </c>
      <c r="T332" s="2">
        <v>1</v>
      </c>
      <c r="U332" s="2" t="s">
        <v>79</v>
      </c>
      <c r="V332" s="2">
        <v>1</v>
      </c>
      <c r="W332" s="2" t="s">
        <v>80</v>
      </c>
      <c r="X332" s="2">
        <v>1</v>
      </c>
      <c r="Y332" s="2" t="s">
        <v>81</v>
      </c>
      <c r="Z332" s="2">
        <v>10</v>
      </c>
      <c r="AA332" s="2" t="s">
        <v>236</v>
      </c>
      <c r="AB332" s="2">
        <v>9</v>
      </c>
      <c r="AC332" s="2" t="s">
        <v>124</v>
      </c>
      <c r="AD332" s="3">
        <v>40206</v>
      </c>
      <c r="AE332" s="4">
        <v>0.77083333333333337</v>
      </c>
      <c r="AF332" s="3">
        <v>40206</v>
      </c>
      <c r="AG332" s="4">
        <v>0.88541666666666663</v>
      </c>
      <c r="AH332" s="2">
        <v>6</v>
      </c>
      <c r="AI332" s="2" t="s">
        <v>197</v>
      </c>
      <c r="AJ332" s="2">
        <v>60</v>
      </c>
      <c r="AK332" s="2" t="s">
        <v>543</v>
      </c>
      <c r="AL332" s="2">
        <v>19</v>
      </c>
      <c r="AM332" s="2" t="s">
        <v>107</v>
      </c>
      <c r="AN332" s="2" t="s">
        <v>1614</v>
      </c>
      <c r="AO332" s="2" t="s">
        <v>1615</v>
      </c>
      <c r="AP332" s="2">
        <v>11</v>
      </c>
      <c r="AQ332" s="2" t="s">
        <v>82</v>
      </c>
      <c r="AR332" s="2" t="s">
        <v>82</v>
      </c>
      <c r="AS332" s="2" t="s">
        <v>82</v>
      </c>
      <c r="AT332" s="2" t="s">
        <v>1624</v>
      </c>
      <c r="AU332" s="2"/>
      <c r="AV332" s="2">
        <v>1</v>
      </c>
      <c r="AW332" s="2"/>
      <c r="AX332" s="2"/>
      <c r="AY332" s="2">
        <v>41</v>
      </c>
      <c r="AZ332" s="2" t="s">
        <v>82</v>
      </c>
      <c r="BA332" s="2">
        <v>41</v>
      </c>
      <c r="BB332" s="2" t="s">
        <v>82</v>
      </c>
      <c r="BC332" s="2">
        <v>41</v>
      </c>
      <c r="BD332" s="2" t="s">
        <v>82</v>
      </c>
      <c r="BE332" s="2">
        <v>43</v>
      </c>
      <c r="BF332" s="2" t="s">
        <v>220</v>
      </c>
      <c r="BG332" s="2" t="s">
        <v>1617</v>
      </c>
      <c r="BH332" s="4">
        <v>0.76111111111111107</v>
      </c>
      <c r="BI332" s="2"/>
      <c r="BJ332" s="2">
        <v>13</v>
      </c>
      <c r="BK332" s="2" t="s">
        <v>91</v>
      </c>
      <c r="BL332" s="2" t="s">
        <v>690</v>
      </c>
      <c r="BM332" s="2">
        <v>13</v>
      </c>
      <c r="BN332" s="2" t="s">
        <v>91</v>
      </c>
      <c r="BO332" s="2" t="s">
        <v>82</v>
      </c>
      <c r="BP332" s="2">
        <v>13</v>
      </c>
      <c r="BQ332" s="2" t="s">
        <v>91</v>
      </c>
      <c r="BR332" s="2" t="s">
        <v>895</v>
      </c>
      <c r="BS332" s="3">
        <v>40207</v>
      </c>
      <c r="BT332" s="4">
        <v>0.22665509259259262</v>
      </c>
    </row>
    <row r="333" spans="1:72" x14ac:dyDescent="0.25">
      <c r="A333" s="2">
        <v>526</v>
      </c>
      <c r="B333" s="2">
        <v>2010</v>
      </c>
      <c r="C333" s="2" t="s">
        <v>93</v>
      </c>
      <c r="D333" s="2" t="s">
        <v>73</v>
      </c>
      <c r="E333" s="2"/>
      <c r="F333" s="2">
        <v>128</v>
      </c>
      <c r="G333" s="2" t="s">
        <v>1625</v>
      </c>
      <c r="H333" s="2">
        <v>42</v>
      </c>
      <c r="I333" s="2" t="s">
        <v>1096</v>
      </c>
      <c r="J333" s="2">
        <v>151</v>
      </c>
      <c r="K333" s="2" t="s">
        <v>1485</v>
      </c>
      <c r="L333" s="2" t="s">
        <v>1626</v>
      </c>
      <c r="M333" s="3">
        <v>40207</v>
      </c>
      <c r="N333" s="2" t="s">
        <v>1627</v>
      </c>
      <c r="O333" s="2" t="s">
        <v>1628</v>
      </c>
      <c r="P333" s="2" t="s">
        <v>1629</v>
      </c>
      <c r="Q333" s="2" t="str">
        <f>"AP0010_10"</f>
        <v>AP0010_10</v>
      </c>
      <c r="R333" s="2" t="s">
        <v>82</v>
      </c>
      <c r="S333" s="2" t="s">
        <v>1630</v>
      </c>
      <c r="T333" s="2">
        <v>1</v>
      </c>
      <c r="U333" s="2" t="s">
        <v>79</v>
      </c>
      <c r="V333" s="2">
        <v>1</v>
      </c>
      <c r="W333" s="2" t="s">
        <v>80</v>
      </c>
      <c r="X333" s="2">
        <v>1</v>
      </c>
      <c r="Y333" s="2" t="s">
        <v>81</v>
      </c>
      <c r="Z333" s="2">
        <v>10</v>
      </c>
      <c r="AA333" s="2" t="s">
        <v>236</v>
      </c>
      <c r="AB333" s="2">
        <v>2</v>
      </c>
      <c r="AC333" s="2" t="s">
        <v>102</v>
      </c>
      <c r="AD333" s="3">
        <v>40207</v>
      </c>
      <c r="AE333" s="4">
        <v>0.40972222222222227</v>
      </c>
      <c r="AF333" s="2"/>
      <c r="AG333" s="2"/>
      <c r="AH333" s="2">
        <v>6</v>
      </c>
      <c r="AI333" s="2" t="s">
        <v>197</v>
      </c>
      <c r="AJ333" s="2">
        <v>60</v>
      </c>
      <c r="AK333" s="2" t="s">
        <v>543</v>
      </c>
      <c r="AL333" s="2">
        <v>11</v>
      </c>
      <c r="AM333" s="2" t="s">
        <v>137</v>
      </c>
      <c r="AN333" s="2" t="s">
        <v>82</v>
      </c>
      <c r="AO333" s="2" t="s">
        <v>1631</v>
      </c>
      <c r="AP333" s="2">
        <v>11</v>
      </c>
      <c r="AQ333" s="2" t="s">
        <v>82</v>
      </c>
      <c r="AR333" s="2" t="s">
        <v>82</v>
      </c>
      <c r="AS333" s="2" t="s">
        <v>82</v>
      </c>
      <c r="AT333" s="2" t="s">
        <v>1632</v>
      </c>
      <c r="AU333" s="2"/>
      <c r="AV333" s="2"/>
      <c r="AW333" s="2"/>
      <c r="AX333" s="2"/>
      <c r="AY333" s="2">
        <v>41</v>
      </c>
      <c r="AZ333" s="2" t="s">
        <v>82</v>
      </c>
      <c r="BA333" s="2">
        <v>41</v>
      </c>
      <c r="BB333" s="2" t="s">
        <v>82</v>
      </c>
      <c r="BC333" s="2">
        <v>41</v>
      </c>
      <c r="BD333" s="2" t="s">
        <v>82</v>
      </c>
      <c r="BE333" s="2">
        <v>13</v>
      </c>
      <c r="BF333" s="2" t="s">
        <v>108</v>
      </c>
      <c r="BG333" s="2" t="s">
        <v>873</v>
      </c>
      <c r="BH333" s="4">
        <v>0.37847222222222227</v>
      </c>
      <c r="BI333" s="4">
        <v>0.40972222222222227</v>
      </c>
      <c r="BJ333" s="2">
        <v>13</v>
      </c>
      <c r="BK333" s="2" t="s">
        <v>91</v>
      </c>
      <c r="BL333" s="2" t="s">
        <v>895</v>
      </c>
      <c r="BM333" s="2">
        <v>13</v>
      </c>
      <c r="BN333" s="2" t="s">
        <v>91</v>
      </c>
      <c r="BO333" s="2" t="s">
        <v>492</v>
      </c>
      <c r="BP333" s="2">
        <v>13</v>
      </c>
      <c r="BQ333" s="2" t="s">
        <v>91</v>
      </c>
      <c r="BR333" s="2" t="s">
        <v>185</v>
      </c>
      <c r="BS333" s="3">
        <v>40207</v>
      </c>
      <c r="BT333" s="4">
        <v>0.50201388888888887</v>
      </c>
    </row>
    <row r="334" spans="1:72" x14ac:dyDescent="0.25">
      <c r="A334" s="2">
        <v>527</v>
      </c>
      <c r="B334" s="2">
        <v>2010</v>
      </c>
      <c r="C334" s="2" t="s">
        <v>457</v>
      </c>
      <c r="D334" s="2" t="s">
        <v>122</v>
      </c>
      <c r="E334" s="2"/>
      <c r="F334" s="2">
        <v>489</v>
      </c>
      <c r="G334" s="2" t="s">
        <v>1633</v>
      </c>
      <c r="H334" s="2">
        <v>50</v>
      </c>
      <c r="I334" s="2" t="s">
        <v>107</v>
      </c>
      <c r="J334" s="2">
        <v>1</v>
      </c>
      <c r="K334" s="2" t="s">
        <v>107</v>
      </c>
      <c r="L334" s="2" t="s">
        <v>107</v>
      </c>
      <c r="M334" s="3">
        <v>40207</v>
      </c>
      <c r="N334" s="2" t="s">
        <v>107</v>
      </c>
      <c r="O334" s="2" t="s">
        <v>1634</v>
      </c>
      <c r="P334" s="2" t="s">
        <v>1635</v>
      </c>
      <c r="Q334" s="2" t="str">
        <f>""</f>
        <v/>
      </c>
      <c r="R334" s="2"/>
      <c r="S334" s="2"/>
      <c r="T334" s="2">
        <v>1</v>
      </c>
      <c r="U334" s="2" t="s">
        <v>79</v>
      </c>
      <c r="V334" s="2">
        <v>1</v>
      </c>
      <c r="W334" s="2" t="s">
        <v>80</v>
      </c>
      <c r="X334" s="2">
        <v>4</v>
      </c>
      <c r="Y334" s="2" t="s">
        <v>463</v>
      </c>
      <c r="Z334" s="2">
        <v>7</v>
      </c>
      <c r="AA334" s="2" t="s">
        <v>1462</v>
      </c>
      <c r="AB334" s="2">
        <v>9</v>
      </c>
      <c r="AC334" s="2" t="s">
        <v>124</v>
      </c>
      <c r="AD334" s="3">
        <v>40207</v>
      </c>
      <c r="AE334" s="4">
        <v>0.40972222222222227</v>
      </c>
      <c r="AF334" s="2"/>
      <c r="AG334" s="2"/>
      <c r="AH334" s="2">
        <v>2</v>
      </c>
      <c r="AI334" s="2" t="s">
        <v>84</v>
      </c>
      <c r="AJ334" s="2">
        <v>12</v>
      </c>
      <c r="AK334" s="2" t="s">
        <v>85</v>
      </c>
      <c r="AL334" s="2">
        <v>2</v>
      </c>
      <c r="AM334" s="2" t="s">
        <v>163</v>
      </c>
      <c r="AN334" s="2"/>
      <c r="AO334" s="2" t="s">
        <v>1636</v>
      </c>
      <c r="AP334" s="2">
        <v>11</v>
      </c>
      <c r="AQ334" s="2" t="s">
        <v>82</v>
      </c>
      <c r="AR334" s="2"/>
      <c r="AS334" s="2"/>
      <c r="AT334" s="2" t="s">
        <v>1637</v>
      </c>
      <c r="AU334" s="2">
        <v>1</v>
      </c>
      <c r="AV334" s="2"/>
      <c r="AW334" s="2"/>
      <c r="AX334" s="2"/>
      <c r="AY334" s="2">
        <v>41</v>
      </c>
      <c r="AZ334" s="2" t="s">
        <v>82</v>
      </c>
      <c r="BA334" s="2">
        <v>41</v>
      </c>
      <c r="BB334" s="2" t="s">
        <v>82</v>
      </c>
      <c r="BC334" s="2">
        <v>41</v>
      </c>
      <c r="BD334" s="2" t="s">
        <v>82</v>
      </c>
      <c r="BE334" s="2">
        <v>13</v>
      </c>
      <c r="BF334" s="2" t="s">
        <v>108</v>
      </c>
      <c r="BG334" s="2" t="s">
        <v>1638</v>
      </c>
      <c r="BH334" s="4">
        <v>0.5625</v>
      </c>
      <c r="BI334" s="4">
        <v>0.53472222222222221</v>
      </c>
      <c r="BJ334" s="2">
        <v>13</v>
      </c>
      <c r="BK334" s="2" t="s">
        <v>91</v>
      </c>
      <c r="BL334" s="2" t="s">
        <v>564</v>
      </c>
      <c r="BM334" s="2">
        <v>241</v>
      </c>
      <c r="BN334" s="2" t="s">
        <v>82</v>
      </c>
      <c r="BO334" s="2"/>
      <c r="BP334" s="2">
        <v>229</v>
      </c>
      <c r="BQ334" s="2" t="s">
        <v>300</v>
      </c>
      <c r="BR334" s="2" t="s">
        <v>573</v>
      </c>
      <c r="BS334" s="3">
        <v>40207</v>
      </c>
      <c r="BT334" s="4">
        <v>0.5533217592592593</v>
      </c>
    </row>
    <row r="335" spans="1:72" x14ac:dyDescent="0.25">
      <c r="A335" s="2">
        <v>528</v>
      </c>
      <c r="B335" s="2">
        <v>2010</v>
      </c>
      <c r="C335" s="2" t="s">
        <v>171</v>
      </c>
      <c r="D335" s="2" t="s">
        <v>73</v>
      </c>
      <c r="E335" s="2"/>
      <c r="F335" s="2">
        <v>395</v>
      </c>
      <c r="G335" s="2" t="s">
        <v>1076</v>
      </c>
      <c r="H335" s="2">
        <v>7</v>
      </c>
      <c r="I335" s="2" t="s">
        <v>476</v>
      </c>
      <c r="J335" s="2">
        <v>242</v>
      </c>
      <c r="K335" s="2" t="s">
        <v>1077</v>
      </c>
      <c r="L335" s="2" t="s">
        <v>1078</v>
      </c>
      <c r="M335" s="3">
        <v>40207</v>
      </c>
      <c r="N335" s="2" t="s">
        <v>1639</v>
      </c>
      <c r="O335" s="2" t="s">
        <v>1640</v>
      </c>
      <c r="P335" s="2">
        <v>9683</v>
      </c>
      <c r="Q335" s="2" t="str">
        <f>"055-E/10"</f>
        <v>055-E/10</v>
      </c>
      <c r="R335" s="2"/>
      <c r="S335" s="2" t="s">
        <v>391</v>
      </c>
      <c r="T335" s="2">
        <v>1</v>
      </c>
      <c r="U335" s="2" t="s">
        <v>79</v>
      </c>
      <c r="V335" s="2">
        <v>3</v>
      </c>
      <c r="W335" s="2" t="s">
        <v>225</v>
      </c>
      <c r="X335" s="2">
        <v>6</v>
      </c>
      <c r="Y335" s="2" t="s">
        <v>249</v>
      </c>
      <c r="Z335" s="2">
        <v>1</v>
      </c>
      <c r="AA335" s="2" t="s">
        <v>82</v>
      </c>
      <c r="AB335" s="2">
        <v>9</v>
      </c>
      <c r="AC335" s="2" t="s">
        <v>124</v>
      </c>
      <c r="AD335" s="3">
        <v>40207</v>
      </c>
      <c r="AE335" s="4">
        <v>0.4375</v>
      </c>
      <c r="AF335" s="2"/>
      <c r="AG335" s="2"/>
      <c r="AH335" s="2">
        <v>2</v>
      </c>
      <c r="AI335" s="2" t="s">
        <v>84</v>
      </c>
      <c r="AJ335" s="2">
        <v>6</v>
      </c>
      <c r="AK335" s="2" t="s">
        <v>453</v>
      </c>
      <c r="AL335" s="2">
        <v>19</v>
      </c>
      <c r="AM335" s="2" t="s">
        <v>107</v>
      </c>
      <c r="AN335" s="2"/>
      <c r="AO335" s="2"/>
      <c r="AP335" s="2">
        <v>11</v>
      </c>
      <c r="AQ335" s="2" t="s">
        <v>82</v>
      </c>
      <c r="AR335" s="2"/>
      <c r="AS335" s="2"/>
      <c r="AT335" s="2" t="s">
        <v>1641</v>
      </c>
      <c r="AU335" s="2"/>
      <c r="AV335" s="2"/>
      <c r="AW335" s="2"/>
      <c r="AX335" s="2"/>
      <c r="AY335" s="2">
        <v>42</v>
      </c>
      <c r="AZ335" s="2" t="s">
        <v>182</v>
      </c>
      <c r="BA335" s="2">
        <v>70</v>
      </c>
      <c r="BB335" s="2" t="s">
        <v>236</v>
      </c>
      <c r="BC335" s="2">
        <v>70</v>
      </c>
      <c r="BD335" s="2" t="s">
        <v>236</v>
      </c>
      <c r="BE335" s="2">
        <v>41</v>
      </c>
      <c r="BF335" s="2" t="s">
        <v>82</v>
      </c>
      <c r="BG335" s="2"/>
      <c r="BH335" s="2"/>
      <c r="BI335" s="2"/>
      <c r="BJ335" s="2">
        <v>241</v>
      </c>
      <c r="BK335" s="2" t="s">
        <v>82</v>
      </c>
      <c r="BL335" s="2"/>
      <c r="BM335" s="2">
        <v>241</v>
      </c>
      <c r="BN335" s="2" t="s">
        <v>82</v>
      </c>
      <c r="BO335" s="2"/>
      <c r="BP335" s="2">
        <v>241</v>
      </c>
      <c r="BQ335" s="2" t="s">
        <v>82</v>
      </c>
      <c r="BR335" s="2"/>
      <c r="BS335" s="3">
        <v>40207</v>
      </c>
      <c r="BT335" s="4">
        <v>0.57914351851851853</v>
      </c>
    </row>
    <row r="336" spans="1:72" x14ac:dyDescent="0.25">
      <c r="A336" s="2">
        <v>529</v>
      </c>
      <c r="B336" s="2">
        <v>2010</v>
      </c>
      <c r="C336" s="2" t="s">
        <v>414</v>
      </c>
      <c r="D336" s="2" t="s">
        <v>122</v>
      </c>
      <c r="E336" s="2"/>
      <c r="F336" s="2">
        <v>1</v>
      </c>
      <c r="G336" s="2" t="s">
        <v>82</v>
      </c>
      <c r="H336" s="2">
        <v>1</v>
      </c>
      <c r="I336" s="2" t="s">
        <v>82</v>
      </c>
      <c r="J336" s="2">
        <v>1</v>
      </c>
      <c r="K336" s="2" t="s">
        <v>107</v>
      </c>
      <c r="L336" s="2" t="s">
        <v>107</v>
      </c>
      <c r="M336" s="3">
        <v>40207</v>
      </c>
      <c r="N336" s="2"/>
      <c r="O336" s="2"/>
      <c r="P336" s="2"/>
      <c r="Q336" s="2" t="str">
        <f>""</f>
        <v/>
      </c>
      <c r="R336" s="2"/>
      <c r="S336" s="2"/>
      <c r="T336" s="2">
        <v>1</v>
      </c>
      <c r="U336" s="2" t="s">
        <v>79</v>
      </c>
      <c r="V336" s="2">
        <v>1</v>
      </c>
      <c r="W336" s="2" t="s">
        <v>80</v>
      </c>
      <c r="X336" s="2">
        <v>1</v>
      </c>
      <c r="Y336" s="2" t="s">
        <v>81</v>
      </c>
      <c r="Z336" s="2">
        <v>10</v>
      </c>
      <c r="AA336" s="2" t="s">
        <v>236</v>
      </c>
      <c r="AB336" s="2">
        <v>9</v>
      </c>
      <c r="AC336" s="2" t="s">
        <v>124</v>
      </c>
      <c r="AD336" s="3">
        <v>40207</v>
      </c>
      <c r="AE336" s="4">
        <v>0.47222222222222227</v>
      </c>
      <c r="AF336" s="2"/>
      <c r="AG336" s="2"/>
      <c r="AH336" s="2">
        <v>3</v>
      </c>
      <c r="AI336" s="2" t="s">
        <v>214</v>
      </c>
      <c r="AJ336" s="2">
        <v>17</v>
      </c>
      <c r="AK336" s="2" t="s">
        <v>309</v>
      </c>
      <c r="AL336" s="2">
        <v>18</v>
      </c>
      <c r="AM336" s="2" t="s">
        <v>82</v>
      </c>
      <c r="AN336" s="2" t="s">
        <v>1642</v>
      </c>
      <c r="AO336" s="2" t="s">
        <v>1643</v>
      </c>
      <c r="AP336" s="2">
        <v>11</v>
      </c>
      <c r="AQ336" s="2" t="s">
        <v>82</v>
      </c>
      <c r="AR336" s="2"/>
      <c r="AS336" s="2"/>
      <c r="AT336" s="2" t="s">
        <v>1644</v>
      </c>
      <c r="AU336" s="2"/>
      <c r="AV336" s="2"/>
      <c r="AW336" s="2"/>
      <c r="AX336" s="2"/>
      <c r="AY336" s="2">
        <v>41</v>
      </c>
      <c r="AZ336" s="2" t="s">
        <v>82</v>
      </c>
      <c r="BA336" s="2">
        <v>41</v>
      </c>
      <c r="BB336" s="2" t="s">
        <v>82</v>
      </c>
      <c r="BC336" s="2">
        <v>41</v>
      </c>
      <c r="BD336" s="2" t="s">
        <v>82</v>
      </c>
      <c r="BE336" s="2">
        <v>41</v>
      </c>
      <c r="BF336" s="2" t="s">
        <v>82</v>
      </c>
      <c r="BG336" s="2"/>
      <c r="BH336" s="2"/>
      <c r="BI336" s="2"/>
      <c r="BJ336" s="2">
        <v>241</v>
      </c>
      <c r="BK336" s="2" t="s">
        <v>82</v>
      </c>
      <c r="BL336" s="2"/>
      <c r="BM336" s="2">
        <v>241</v>
      </c>
      <c r="BN336" s="2" t="s">
        <v>82</v>
      </c>
      <c r="BO336" s="2"/>
      <c r="BP336" s="2">
        <v>241</v>
      </c>
      <c r="BQ336" s="2" t="s">
        <v>82</v>
      </c>
      <c r="BR336" s="2"/>
      <c r="BS336" s="3">
        <v>40207</v>
      </c>
      <c r="BT336" s="4">
        <v>0.59252314814814822</v>
      </c>
    </row>
    <row r="337" spans="1:72" x14ac:dyDescent="0.25">
      <c r="A337" s="2">
        <v>531</v>
      </c>
      <c r="B337" s="2">
        <v>2010</v>
      </c>
      <c r="C337" s="2" t="s">
        <v>414</v>
      </c>
      <c r="D337" s="2" t="s">
        <v>122</v>
      </c>
      <c r="E337" s="2"/>
      <c r="F337" s="2">
        <v>1</v>
      </c>
      <c r="G337" s="2" t="s">
        <v>82</v>
      </c>
      <c r="H337" s="2">
        <v>1</v>
      </c>
      <c r="I337" s="2" t="s">
        <v>82</v>
      </c>
      <c r="J337" s="2">
        <v>1</v>
      </c>
      <c r="K337" s="2" t="s">
        <v>107</v>
      </c>
      <c r="L337" s="2" t="s">
        <v>107</v>
      </c>
      <c r="M337" s="3">
        <v>40207</v>
      </c>
      <c r="N337" s="2"/>
      <c r="O337" s="2" t="s">
        <v>107</v>
      </c>
      <c r="P337" s="2" t="s">
        <v>107</v>
      </c>
      <c r="Q337" s="2" t="str">
        <f>""</f>
        <v/>
      </c>
      <c r="R337" s="2"/>
      <c r="S337" s="2"/>
      <c r="T337" s="2">
        <v>1</v>
      </c>
      <c r="U337" s="2" t="s">
        <v>79</v>
      </c>
      <c r="V337" s="2">
        <v>1</v>
      </c>
      <c r="W337" s="2" t="s">
        <v>80</v>
      </c>
      <c r="X337" s="2">
        <v>5</v>
      </c>
      <c r="Y337" s="2" t="s">
        <v>82</v>
      </c>
      <c r="Z337" s="2">
        <v>1</v>
      </c>
      <c r="AA337" s="2" t="s">
        <v>82</v>
      </c>
      <c r="AB337" s="2">
        <v>9</v>
      </c>
      <c r="AC337" s="2" t="s">
        <v>124</v>
      </c>
      <c r="AD337" s="3">
        <v>40206</v>
      </c>
      <c r="AE337" s="4">
        <v>0.79166666666666663</v>
      </c>
      <c r="AF337" s="2"/>
      <c r="AG337" s="2"/>
      <c r="AH337" s="2">
        <v>6</v>
      </c>
      <c r="AI337" s="2" t="s">
        <v>197</v>
      </c>
      <c r="AJ337" s="2">
        <v>59</v>
      </c>
      <c r="AK337" s="2" t="s">
        <v>198</v>
      </c>
      <c r="AL337" s="2">
        <v>18</v>
      </c>
      <c r="AM337" s="2" t="s">
        <v>82</v>
      </c>
      <c r="AN337" s="2"/>
      <c r="AO337" s="2"/>
      <c r="AP337" s="2">
        <v>11</v>
      </c>
      <c r="AQ337" s="2" t="s">
        <v>82</v>
      </c>
      <c r="AR337" s="2"/>
      <c r="AS337" s="2"/>
      <c r="AT337" s="2" t="s">
        <v>1645</v>
      </c>
      <c r="AU337" s="2"/>
      <c r="AV337" s="2"/>
      <c r="AW337" s="2"/>
      <c r="AX337" s="2"/>
      <c r="AY337" s="2">
        <v>1</v>
      </c>
      <c r="AZ337" s="2" t="s">
        <v>107</v>
      </c>
      <c r="BA337" s="2">
        <v>1</v>
      </c>
      <c r="BB337" s="2" t="s">
        <v>107</v>
      </c>
      <c r="BC337" s="2">
        <v>1</v>
      </c>
      <c r="BD337" s="2" t="s">
        <v>107</v>
      </c>
      <c r="BE337" s="2">
        <v>1</v>
      </c>
      <c r="BF337" s="2" t="s">
        <v>107</v>
      </c>
      <c r="BG337" s="2"/>
      <c r="BH337" s="2"/>
      <c r="BI337" s="2"/>
      <c r="BJ337" s="2">
        <v>242</v>
      </c>
      <c r="BK337" s="2" t="s">
        <v>107</v>
      </c>
      <c r="BL337" s="2"/>
      <c r="BM337" s="2">
        <v>242</v>
      </c>
      <c r="BN337" s="2" t="s">
        <v>107</v>
      </c>
      <c r="BO337" s="2"/>
      <c r="BP337" s="2">
        <v>242</v>
      </c>
      <c r="BQ337" s="2" t="s">
        <v>107</v>
      </c>
      <c r="BR337" s="2"/>
      <c r="BS337" s="3">
        <v>40207</v>
      </c>
      <c r="BT337" s="4">
        <v>0.60350694444444442</v>
      </c>
    </row>
    <row r="338" spans="1:72" x14ac:dyDescent="0.25">
      <c r="A338" s="2">
        <v>536</v>
      </c>
      <c r="B338" s="2">
        <v>2010</v>
      </c>
      <c r="C338" s="2" t="s">
        <v>72</v>
      </c>
      <c r="D338" s="2" t="s">
        <v>73</v>
      </c>
      <c r="E338" s="2"/>
      <c r="F338" s="2">
        <v>3</v>
      </c>
      <c r="G338" s="2" t="s">
        <v>1041</v>
      </c>
      <c r="H338" s="2">
        <v>1</v>
      </c>
      <c r="I338" s="2" t="s">
        <v>82</v>
      </c>
      <c r="J338" s="2">
        <v>368</v>
      </c>
      <c r="K338" s="2" t="s">
        <v>1042</v>
      </c>
      <c r="L338" s="2" t="s">
        <v>1043</v>
      </c>
      <c r="M338" s="3">
        <v>40207</v>
      </c>
      <c r="N338" s="2"/>
      <c r="O338" s="2"/>
      <c r="P338" s="2"/>
      <c r="Q338" s="2" t="str">
        <f>"057-E/10"</f>
        <v>057-E/10</v>
      </c>
      <c r="R338" s="2" t="s">
        <v>480</v>
      </c>
      <c r="S338" s="2" t="s">
        <v>480</v>
      </c>
      <c r="T338" s="2">
        <v>1</v>
      </c>
      <c r="U338" s="2" t="s">
        <v>79</v>
      </c>
      <c r="V338" s="2">
        <v>1</v>
      </c>
      <c r="W338" s="2" t="s">
        <v>80</v>
      </c>
      <c r="X338" s="2">
        <v>1</v>
      </c>
      <c r="Y338" s="2" t="s">
        <v>81</v>
      </c>
      <c r="Z338" s="2">
        <v>1</v>
      </c>
      <c r="AA338" s="2" t="s">
        <v>82</v>
      </c>
      <c r="AB338" s="2">
        <v>6</v>
      </c>
      <c r="AC338" s="2" t="s">
        <v>83</v>
      </c>
      <c r="AD338" s="3">
        <v>40207</v>
      </c>
      <c r="AE338" s="4">
        <v>0.40972222222222227</v>
      </c>
      <c r="AF338" s="3">
        <v>40207</v>
      </c>
      <c r="AG338" s="4">
        <v>0.4513888888888889</v>
      </c>
      <c r="AH338" s="2">
        <v>2</v>
      </c>
      <c r="AI338" s="2" t="s">
        <v>84</v>
      </c>
      <c r="AJ338" s="2">
        <v>9</v>
      </c>
      <c r="AK338" s="2" t="s">
        <v>103</v>
      </c>
      <c r="AL338" s="2">
        <v>12</v>
      </c>
      <c r="AM338" s="2" t="s">
        <v>86</v>
      </c>
      <c r="AN338" s="2" t="s">
        <v>1646</v>
      </c>
      <c r="AO338" s="2"/>
      <c r="AP338" s="2">
        <v>11</v>
      </c>
      <c r="AQ338" s="2" t="s">
        <v>82</v>
      </c>
      <c r="AR338" s="2"/>
      <c r="AS338" s="2"/>
      <c r="AT338" s="2" t="s">
        <v>1647</v>
      </c>
      <c r="AU338" s="2"/>
      <c r="AV338" s="2"/>
      <c r="AW338" s="2"/>
      <c r="AX338" s="2"/>
      <c r="AY338" s="2">
        <v>41</v>
      </c>
      <c r="AZ338" s="2" t="s">
        <v>82</v>
      </c>
      <c r="BA338" s="2">
        <v>41</v>
      </c>
      <c r="BB338" s="2" t="s">
        <v>82</v>
      </c>
      <c r="BC338" s="2">
        <v>41</v>
      </c>
      <c r="BD338" s="2" t="s">
        <v>82</v>
      </c>
      <c r="BE338" s="2">
        <v>41</v>
      </c>
      <c r="BF338" s="2" t="s">
        <v>82</v>
      </c>
      <c r="BG338" s="2"/>
      <c r="BH338" s="2"/>
      <c r="BI338" s="2"/>
      <c r="BJ338" s="2">
        <v>241</v>
      </c>
      <c r="BK338" s="2" t="s">
        <v>82</v>
      </c>
      <c r="BL338" s="2"/>
      <c r="BM338" s="2">
        <v>241</v>
      </c>
      <c r="BN338" s="2" t="s">
        <v>82</v>
      </c>
      <c r="BO338" s="2"/>
      <c r="BP338" s="2">
        <v>241</v>
      </c>
      <c r="BQ338" s="2" t="s">
        <v>82</v>
      </c>
      <c r="BR338" s="2"/>
      <c r="BS338" s="3">
        <v>40207</v>
      </c>
      <c r="BT338" s="4">
        <v>0.66386574074074078</v>
      </c>
    </row>
    <row r="339" spans="1:72" x14ac:dyDescent="0.25">
      <c r="A339" s="2">
        <v>537</v>
      </c>
      <c r="B339" s="2">
        <v>2010</v>
      </c>
      <c r="C339" s="2" t="s">
        <v>147</v>
      </c>
      <c r="D339" s="2" t="s">
        <v>73</v>
      </c>
      <c r="E339" s="2"/>
      <c r="F339" s="2">
        <v>1</v>
      </c>
      <c r="G339" s="2" t="s">
        <v>82</v>
      </c>
      <c r="H339" s="2">
        <v>1</v>
      </c>
      <c r="I339" s="2" t="s">
        <v>82</v>
      </c>
      <c r="J339" s="2">
        <v>1</v>
      </c>
      <c r="K339" s="2" t="s">
        <v>107</v>
      </c>
      <c r="L339" s="2" t="s">
        <v>107</v>
      </c>
      <c r="M339" s="3">
        <v>40207</v>
      </c>
      <c r="N339" s="2"/>
      <c r="O339" s="2"/>
      <c r="P339" s="2"/>
      <c r="Q339" s="2" t="str">
        <f>""</f>
        <v/>
      </c>
      <c r="R339" s="2"/>
      <c r="S339" s="2"/>
      <c r="T339" s="2">
        <v>2</v>
      </c>
      <c r="U339" s="2" t="s">
        <v>123</v>
      </c>
      <c r="V339" s="2">
        <v>1</v>
      </c>
      <c r="W339" s="2" t="s">
        <v>80</v>
      </c>
      <c r="X339" s="2">
        <v>12</v>
      </c>
      <c r="Y339" s="2" t="s">
        <v>148</v>
      </c>
      <c r="Z339" s="2">
        <v>1</v>
      </c>
      <c r="AA339" s="2" t="s">
        <v>82</v>
      </c>
      <c r="AB339" s="2">
        <v>9</v>
      </c>
      <c r="AC339" s="2" t="s">
        <v>124</v>
      </c>
      <c r="AD339" s="2"/>
      <c r="AE339" s="2"/>
      <c r="AF339" s="3">
        <v>40207</v>
      </c>
      <c r="AG339" s="4">
        <v>0.60416666666666663</v>
      </c>
      <c r="AH339" s="2">
        <v>2</v>
      </c>
      <c r="AI339" s="2" t="s">
        <v>84</v>
      </c>
      <c r="AJ339" s="2">
        <v>11</v>
      </c>
      <c r="AK339" s="2" t="s">
        <v>751</v>
      </c>
      <c r="AL339" s="2">
        <v>19</v>
      </c>
      <c r="AM339" s="2" t="s">
        <v>107</v>
      </c>
      <c r="AN339" s="2" t="s">
        <v>1648</v>
      </c>
      <c r="AO339" s="2" t="s">
        <v>107</v>
      </c>
      <c r="AP339" s="2">
        <v>11</v>
      </c>
      <c r="AQ339" s="2" t="s">
        <v>82</v>
      </c>
      <c r="AR339" s="2"/>
      <c r="AS339" s="2"/>
      <c r="AT339" s="2" t="s">
        <v>1649</v>
      </c>
      <c r="AU339" s="2"/>
      <c r="AV339" s="2"/>
      <c r="AW339" s="2"/>
      <c r="AX339" s="2"/>
      <c r="AY339" s="2">
        <v>41</v>
      </c>
      <c r="AZ339" s="2" t="s">
        <v>82</v>
      </c>
      <c r="BA339" s="2">
        <v>41</v>
      </c>
      <c r="BB339" s="2" t="s">
        <v>82</v>
      </c>
      <c r="BC339" s="2">
        <v>41</v>
      </c>
      <c r="BD339" s="2" t="s">
        <v>82</v>
      </c>
      <c r="BE339" s="2">
        <v>41</v>
      </c>
      <c r="BF339" s="2" t="s">
        <v>82</v>
      </c>
      <c r="BG339" s="2"/>
      <c r="BH339" s="2"/>
      <c r="BI339" s="2"/>
      <c r="BJ339" s="2">
        <v>241</v>
      </c>
      <c r="BK339" s="2" t="s">
        <v>82</v>
      </c>
      <c r="BL339" s="2"/>
      <c r="BM339" s="2">
        <v>241</v>
      </c>
      <c r="BN339" s="2" t="s">
        <v>82</v>
      </c>
      <c r="BO339" s="2"/>
      <c r="BP339" s="2">
        <v>241</v>
      </c>
      <c r="BQ339" s="2" t="s">
        <v>82</v>
      </c>
      <c r="BR339" s="2"/>
      <c r="BS339" s="3">
        <v>40207</v>
      </c>
      <c r="BT339" s="4">
        <v>0.66775462962962961</v>
      </c>
    </row>
    <row r="340" spans="1:72" x14ac:dyDescent="0.25">
      <c r="A340" s="2">
        <v>538</v>
      </c>
      <c r="B340" s="2">
        <v>2010</v>
      </c>
      <c r="C340" s="2" t="s">
        <v>72</v>
      </c>
      <c r="D340" s="2" t="s">
        <v>73</v>
      </c>
      <c r="E340" s="2"/>
      <c r="F340" s="2">
        <v>3</v>
      </c>
      <c r="G340" s="2" t="s">
        <v>1041</v>
      </c>
      <c r="H340" s="2">
        <v>22</v>
      </c>
      <c r="I340" s="2" t="s">
        <v>75</v>
      </c>
      <c r="J340" s="2">
        <v>368</v>
      </c>
      <c r="K340" s="2" t="s">
        <v>1042</v>
      </c>
      <c r="L340" s="2" t="s">
        <v>1043</v>
      </c>
      <c r="M340" s="3">
        <v>40207</v>
      </c>
      <c r="N340" s="2"/>
      <c r="O340" s="2"/>
      <c r="P340" s="2"/>
      <c r="Q340" s="2" t="str">
        <f>"058-E/10"</f>
        <v>058-E/10</v>
      </c>
      <c r="R340" s="2" t="s">
        <v>116</v>
      </c>
      <c r="S340" s="2" t="s">
        <v>116</v>
      </c>
      <c r="T340" s="2">
        <v>1</v>
      </c>
      <c r="U340" s="2" t="s">
        <v>79</v>
      </c>
      <c r="V340" s="2">
        <v>1</v>
      </c>
      <c r="W340" s="2" t="s">
        <v>80</v>
      </c>
      <c r="X340" s="2">
        <v>1</v>
      </c>
      <c r="Y340" s="2" t="s">
        <v>81</v>
      </c>
      <c r="Z340" s="2">
        <v>1</v>
      </c>
      <c r="AA340" s="2" t="s">
        <v>82</v>
      </c>
      <c r="AB340" s="2">
        <v>6</v>
      </c>
      <c r="AC340" s="2" t="s">
        <v>83</v>
      </c>
      <c r="AD340" s="3">
        <v>40207</v>
      </c>
      <c r="AE340" s="4">
        <v>0.41666666666666669</v>
      </c>
      <c r="AF340" s="3">
        <v>40207</v>
      </c>
      <c r="AG340" s="4">
        <v>0.54166666666666663</v>
      </c>
      <c r="AH340" s="2">
        <v>2</v>
      </c>
      <c r="AI340" s="2" t="s">
        <v>84</v>
      </c>
      <c r="AJ340" s="2">
        <v>9</v>
      </c>
      <c r="AK340" s="2" t="s">
        <v>103</v>
      </c>
      <c r="AL340" s="2">
        <v>9</v>
      </c>
      <c r="AM340" s="2" t="s">
        <v>259</v>
      </c>
      <c r="AN340" s="2" t="s">
        <v>1650</v>
      </c>
      <c r="AO340" s="2" t="s">
        <v>1651</v>
      </c>
      <c r="AP340" s="2">
        <v>11</v>
      </c>
      <c r="AQ340" s="2" t="s">
        <v>82</v>
      </c>
      <c r="AR340" s="2"/>
      <c r="AS340" s="2"/>
      <c r="AT340" s="2" t="s">
        <v>1652</v>
      </c>
      <c r="AU340" s="2"/>
      <c r="AV340" s="2"/>
      <c r="AW340" s="2"/>
      <c r="AX340" s="2"/>
      <c r="AY340" s="2">
        <v>41</v>
      </c>
      <c r="AZ340" s="2" t="s">
        <v>82</v>
      </c>
      <c r="BA340" s="2">
        <v>41</v>
      </c>
      <c r="BB340" s="2" t="s">
        <v>82</v>
      </c>
      <c r="BC340" s="2">
        <v>41</v>
      </c>
      <c r="BD340" s="2" t="s">
        <v>82</v>
      </c>
      <c r="BE340" s="2">
        <v>23</v>
      </c>
      <c r="BF340" s="2" t="s">
        <v>183</v>
      </c>
      <c r="BG340" s="2" t="s">
        <v>1375</v>
      </c>
      <c r="BH340" s="4">
        <v>0.375</v>
      </c>
      <c r="BI340" s="2"/>
      <c r="BJ340" s="2">
        <v>73</v>
      </c>
      <c r="BK340" s="2" t="s">
        <v>186</v>
      </c>
      <c r="BL340" s="2" t="s">
        <v>187</v>
      </c>
      <c r="BM340" s="2">
        <v>241</v>
      </c>
      <c r="BN340" s="2" t="s">
        <v>82</v>
      </c>
      <c r="BO340" s="2" t="s">
        <v>82</v>
      </c>
      <c r="BP340" s="2">
        <v>13</v>
      </c>
      <c r="BQ340" s="2" t="s">
        <v>91</v>
      </c>
      <c r="BR340" s="2" t="s">
        <v>1084</v>
      </c>
      <c r="BS340" s="3">
        <v>40207</v>
      </c>
      <c r="BT340" s="4">
        <v>0.72228009259259263</v>
      </c>
    </row>
    <row r="341" spans="1:72" x14ac:dyDescent="0.25">
      <c r="A341" s="2">
        <v>543</v>
      </c>
      <c r="B341" s="2">
        <v>2010</v>
      </c>
      <c r="C341" s="2" t="s">
        <v>72</v>
      </c>
      <c r="D341" s="2" t="s">
        <v>73</v>
      </c>
      <c r="E341" s="2"/>
      <c r="F341" s="2">
        <v>9</v>
      </c>
      <c r="G341" s="2" t="s">
        <v>364</v>
      </c>
      <c r="H341" s="2">
        <v>2</v>
      </c>
      <c r="I341" s="2" t="s">
        <v>267</v>
      </c>
      <c r="J341" s="2">
        <v>18</v>
      </c>
      <c r="K341" s="2" t="s">
        <v>365</v>
      </c>
      <c r="L341" s="2" t="s">
        <v>115</v>
      </c>
      <c r="M341" s="3">
        <v>40207</v>
      </c>
      <c r="N341" s="2" t="s">
        <v>1653</v>
      </c>
      <c r="O341" s="2" t="s">
        <v>107</v>
      </c>
      <c r="P341" s="2" t="s">
        <v>1654</v>
      </c>
      <c r="Q341" s="2" t="str">
        <f>"007/2010"</f>
        <v>007/2010</v>
      </c>
      <c r="R341" s="2" t="s">
        <v>116</v>
      </c>
      <c r="S341" s="2" t="s">
        <v>116</v>
      </c>
      <c r="T341" s="2">
        <v>1</v>
      </c>
      <c r="U341" s="2" t="s">
        <v>79</v>
      </c>
      <c r="V341" s="2">
        <v>1</v>
      </c>
      <c r="W341" s="2" t="s">
        <v>80</v>
      </c>
      <c r="X341" s="2">
        <v>1</v>
      </c>
      <c r="Y341" s="2" t="s">
        <v>81</v>
      </c>
      <c r="Z341" s="2">
        <v>1</v>
      </c>
      <c r="AA341" s="2" t="s">
        <v>82</v>
      </c>
      <c r="AB341" s="2">
        <v>6</v>
      </c>
      <c r="AC341" s="2" t="s">
        <v>83</v>
      </c>
      <c r="AD341" s="3">
        <v>40203</v>
      </c>
      <c r="AE341" s="4">
        <v>0.45833333333333331</v>
      </c>
      <c r="AF341" s="3">
        <v>40207</v>
      </c>
      <c r="AG341" s="4">
        <v>0.79861111111111116</v>
      </c>
      <c r="AH341" s="2">
        <v>3</v>
      </c>
      <c r="AI341" s="2" t="s">
        <v>214</v>
      </c>
      <c r="AJ341" s="2">
        <v>24</v>
      </c>
      <c r="AK341" s="2" t="s">
        <v>215</v>
      </c>
      <c r="AL341" s="2">
        <v>18</v>
      </c>
      <c r="AM341" s="2" t="s">
        <v>82</v>
      </c>
      <c r="AN341" s="2" t="s">
        <v>107</v>
      </c>
      <c r="AO341" s="2" t="s">
        <v>107</v>
      </c>
      <c r="AP341" s="2">
        <v>11</v>
      </c>
      <c r="AQ341" s="2" t="s">
        <v>82</v>
      </c>
      <c r="AR341" s="2" t="s">
        <v>82</v>
      </c>
      <c r="AS341" s="2" t="s">
        <v>82</v>
      </c>
      <c r="AT341" s="2" t="s">
        <v>1655</v>
      </c>
      <c r="AU341" s="2"/>
      <c r="AV341" s="2"/>
      <c r="AW341" s="2"/>
      <c r="AX341" s="2"/>
      <c r="AY341" s="2">
        <v>41</v>
      </c>
      <c r="AZ341" s="2" t="s">
        <v>82</v>
      </c>
      <c r="BA341" s="2">
        <v>41</v>
      </c>
      <c r="BB341" s="2" t="s">
        <v>82</v>
      </c>
      <c r="BC341" s="2">
        <v>41</v>
      </c>
      <c r="BD341" s="2" t="s">
        <v>82</v>
      </c>
      <c r="BE341" s="2">
        <v>48</v>
      </c>
      <c r="BF341" s="2" t="s">
        <v>1123</v>
      </c>
      <c r="BG341" s="2">
        <v>892</v>
      </c>
      <c r="BH341" s="4">
        <v>0.45833333333333331</v>
      </c>
      <c r="BI341" s="4">
        <v>0.41666666666666669</v>
      </c>
      <c r="BJ341" s="2">
        <v>13</v>
      </c>
      <c r="BK341" s="2" t="s">
        <v>91</v>
      </c>
      <c r="BL341" s="2" t="s">
        <v>169</v>
      </c>
      <c r="BM341" s="2">
        <v>242</v>
      </c>
      <c r="BN341" s="2" t="s">
        <v>107</v>
      </c>
      <c r="BO341" s="2"/>
      <c r="BP341" s="2">
        <v>13</v>
      </c>
      <c r="BQ341" s="2" t="s">
        <v>91</v>
      </c>
      <c r="BR341" s="2" t="s">
        <v>828</v>
      </c>
      <c r="BS341" s="3">
        <v>40207</v>
      </c>
      <c r="BT341" s="4">
        <v>0.84553240740740743</v>
      </c>
    </row>
    <row r="342" spans="1:72" x14ac:dyDescent="0.25">
      <c r="A342" s="2">
        <v>544</v>
      </c>
      <c r="B342" s="2">
        <v>2010</v>
      </c>
      <c r="C342" s="2" t="s">
        <v>128</v>
      </c>
      <c r="D342" s="2" t="s">
        <v>122</v>
      </c>
      <c r="E342" s="2"/>
      <c r="F342" s="2">
        <v>1</v>
      </c>
      <c r="G342" s="2" t="s">
        <v>82</v>
      </c>
      <c r="H342" s="2">
        <v>1</v>
      </c>
      <c r="I342" s="2" t="s">
        <v>82</v>
      </c>
      <c r="J342" s="2">
        <v>1</v>
      </c>
      <c r="K342" s="2" t="s">
        <v>107</v>
      </c>
      <c r="L342" s="2" t="s">
        <v>107</v>
      </c>
      <c r="M342" s="3">
        <v>40207</v>
      </c>
      <c r="N342" s="2"/>
      <c r="O342" s="2"/>
      <c r="P342" s="2"/>
      <c r="Q342" s="2" t="str">
        <f>""</f>
        <v/>
      </c>
      <c r="R342" s="2"/>
      <c r="S342" s="2"/>
      <c r="T342" s="2">
        <v>1</v>
      </c>
      <c r="U342" s="2" t="s">
        <v>79</v>
      </c>
      <c r="V342" s="2">
        <v>1</v>
      </c>
      <c r="W342" s="2" t="s">
        <v>80</v>
      </c>
      <c r="X342" s="2">
        <v>1</v>
      </c>
      <c r="Y342" s="2" t="s">
        <v>81</v>
      </c>
      <c r="Z342" s="2">
        <v>10</v>
      </c>
      <c r="AA342" s="2" t="s">
        <v>236</v>
      </c>
      <c r="AB342" s="2">
        <v>9</v>
      </c>
      <c r="AC342" s="2" t="s">
        <v>124</v>
      </c>
      <c r="AD342" s="3">
        <v>40207</v>
      </c>
      <c r="AE342" s="4">
        <v>0.84375</v>
      </c>
      <c r="AF342" s="2"/>
      <c r="AG342" s="2"/>
      <c r="AH342" s="2">
        <v>3</v>
      </c>
      <c r="AI342" s="2" t="s">
        <v>214</v>
      </c>
      <c r="AJ342" s="2">
        <v>17</v>
      </c>
      <c r="AK342" s="2" t="s">
        <v>309</v>
      </c>
      <c r="AL342" s="2">
        <v>18</v>
      </c>
      <c r="AM342" s="2" t="s">
        <v>82</v>
      </c>
      <c r="AN342" s="2"/>
      <c r="AO342" s="2" t="s">
        <v>1656</v>
      </c>
      <c r="AP342" s="2">
        <v>11</v>
      </c>
      <c r="AQ342" s="2" t="s">
        <v>82</v>
      </c>
      <c r="AR342" s="2" t="s">
        <v>82</v>
      </c>
      <c r="AS342" s="2" t="s">
        <v>82</v>
      </c>
      <c r="AT342" s="2" t="s">
        <v>1657</v>
      </c>
      <c r="AU342" s="2"/>
      <c r="AV342" s="2"/>
      <c r="AW342" s="2"/>
      <c r="AX342" s="2"/>
      <c r="AY342" s="2">
        <v>41</v>
      </c>
      <c r="AZ342" s="2" t="s">
        <v>82</v>
      </c>
      <c r="BA342" s="2">
        <v>41</v>
      </c>
      <c r="BB342" s="2" t="s">
        <v>82</v>
      </c>
      <c r="BC342" s="2">
        <v>41</v>
      </c>
      <c r="BD342" s="2" t="s">
        <v>82</v>
      </c>
      <c r="BE342" s="2">
        <v>13</v>
      </c>
      <c r="BF342" s="2" t="s">
        <v>108</v>
      </c>
      <c r="BG342" s="2">
        <v>1430</v>
      </c>
      <c r="BH342" s="4">
        <v>0.84027777777777779</v>
      </c>
      <c r="BI342" s="4">
        <v>0.77083333333333337</v>
      </c>
      <c r="BJ342" s="2">
        <v>13</v>
      </c>
      <c r="BK342" s="2" t="s">
        <v>91</v>
      </c>
      <c r="BL342" s="2" t="s">
        <v>1658</v>
      </c>
      <c r="BM342" s="2">
        <v>241</v>
      </c>
      <c r="BN342" s="2" t="s">
        <v>82</v>
      </c>
      <c r="BO342" s="2" t="s">
        <v>82</v>
      </c>
      <c r="BP342" s="2">
        <v>13</v>
      </c>
      <c r="BQ342" s="2" t="s">
        <v>91</v>
      </c>
      <c r="BR342" s="2" t="s">
        <v>1659</v>
      </c>
      <c r="BS342" s="3">
        <v>40207</v>
      </c>
      <c r="BT342" s="4">
        <v>0.85798611111111101</v>
      </c>
    </row>
    <row r="343" spans="1:72" x14ac:dyDescent="0.25">
      <c r="A343" s="2">
        <v>546</v>
      </c>
      <c r="B343" s="2">
        <v>2010</v>
      </c>
      <c r="C343" s="2" t="s">
        <v>1660</v>
      </c>
      <c r="D343" s="2" t="s">
        <v>73</v>
      </c>
      <c r="E343" s="2"/>
      <c r="F343" s="2">
        <v>390</v>
      </c>
      <c r="G343" s="2" t="s">
        <v>475</v>
      </c>
      <c r="H343" s="2">
        <v>7</v>
      </c>
      <c r="I343" s="2" t="s">
        <v>476</v>
      </c>
      <c r="J343" s="2">
        <v>314</v>
      </c>
      <c r="K343" s="2" t="s">
        <v>477</v>
      </c>
      <c r="L343" s="2" t="s">
        <v>478</v>
      </c>
      <c r="M343" s="3">
        <v>40207</v>
      </c>
      <c r="N343" s="2" t="s">
        <v>1661</v>
      </c>
      <c r="O343" s="2"/>
      <c r="P343" s="2"/>
      <c r="Q343" s="2" t="str">
        <f>"059-E/10"</f>
        <v>059-E/10</v>
      </c>
      <c r="R343" s="2" t="s">
        <v>1662</v>
      </c>
      <c r="S343" s="2" t="s">
        <v>1662</v>
      </c>
      <c r="T343" s="2">
        <v>1</v>
      </c>
      <c r="U343" s="2" t="s">
        <v>79</v>
      </c>
      <c r="V343" s="2">
        <v>1</v>
      </c>
      <c r="W343" s="2" t="s">
        <v>80</v>
      </c>
      <c r="X343" s="2">
        <v>3</v>
      </c>
      <c r="Y343" s="2" t="s">
        <v>698</v>
      </c>
      <c r="Z343" s="2">
        <v>6</v>
      </c>
      <c r="AA343" s="2" t="s">
        <v>101</v>
      </c>
      <c r="AB343" s="2">
        <v>3</v>
      </c>
      <c r="AC343" s="2" t="s">
        <v>1663</v>
      </c>
      <c r="AD343" s="3">
        <v>40207</v>
      </c>
      <c r="AE343" s="4">
        <v>0.75</v>
      </c>
      <c r="AF343" s="3">
        <v>40207</v>
      </c>
      <c r="AG343" s="4">
        <v>0.77083333333333337</v>
      </c>
      <c r="AH343" s="2">
        <v>2</v>
      </c>
      <c r="AI343" s="2" t="s">
        <v>84</v>
      </c>
      <c r="AJ343" s="2">
        <v>9</v>
      </c>
      <c r="AK343" s="2" t="s">
        <v>103</v>
      </c>
      <c r="AL343" s="2">
        <v>14</v>
      </c>
      <c r="AM343" s="2" t="s">
        <v>216</v>
      </c>
      <c r="AN343" s="2" t="s">
        <v>1664</v>
      </c>
      <c r="AO343" s="2"/>
      <c r="AP343" s="2">
        <v>11</v>
      </c>
      <c r="AQ343" s="2" t="s">
        <v>82</v>
      </c>
      <c r="AR343" s="2"/>
      <c r="AS343" s="2"/>
      <c r="AT343" s="2" t="s">
        <v>1665</v>
      </c>
      <c r="AU343" s="2"/>
      <c r="AV343" s="2">
        <v>1</v>
      </c>
      <c r="AW343" s="2"/>
      <c r="AX343" s="2"/>
      <c r="AY343" s="2">
        <v>41</v>
      </c>
      <c r="AZ343" s="2" t="s">
        <v>82</v>
      </c>
      <c r="BA343" s="2">
        <v>41</v>
      </c>
      <c r="BB343" s="2" t="s">
        <v>82</v>
      </c>
      <c r="BC343" s="2">
        <v>41</v>
      </c>
      <c r="BD343" s="2" t="s">
        <v>82</v>
      </c>
      <c r="BE343" s="2">
        <v>17</v>
      </c>
      <c r="BF343" s="2" t="s">
        <v>508</v>
      </c>
      <c r="BG343" s="2" t="s">
        <v>1666</v>
      </c>
      <c r="BH343" s="4">
        <v>0.74305555555555547</v>
      </c>
      <c r="BI343" s="2"/>
      <c r="BJ343" s="2">
        <v>173</v>
      </c>
      <c r="BK343" s="2" t="s">
        <v>223</v>
      </c>
      <c r="BL343" s="2" t="s">
        <v>224</v>
      </c>
      <c r="BM343" s="2">
        <v>241</v>
      </c>
      <c r="BN343" s="2" t="s">
        <v>82</v>
      </c>
      <c r="BO343" s="2"/>
      <c r="BP343" s="2">
        <v>13</v>
      </c>
      <c r="BQ343" s="2" t="s">
        <v>91</v>
      </c>
      <c r="BR343" s="2" t="s">
        <v>185</v>
      </c>
      <c r="BS343" s="3">
        <v>40207</v>
      </c>
      <c r="BT343" s="4">
        <v>0.92343750000000002</v>
      </c>
    </row>
    <row r="344" spans="1:72" x14ac:dyDescent="0.25">
      <c r="A344" s="2">
        <v>548</v>
      </c>
      <c r="B344" s="2">
        <v>2010</v>
      </c>
      <c r="C344" s="2" t="s">
        <v>128</v>
      </c>
      <c r="D344" s="2" t="s">
        <v>122</v>
      </c>
      <c r="E344" s="2"/>
      <c r="F344" s="2">
        <v>475</v>
      </c>
      <c r="G344" s="2" t="s">
        <v>1271</v>
      </c>
      <c r="H344" s="2">
        <v>44</v>
      </c>
      <c r="I344" s="2" t="s">
        <v>1272</v>
      </c>
      <c r="J344" s="2">
        <v>385</v>
      </c>
      <c r="K344" s="2" t="s">
        <v>1314</v>
      </c>
      <c r="L344" s="2" t="s">
        <v>1315</v>
      </c>
      <c r="M344" s="3">
        <v>40207</v>
      </c>
      <c r="N344" s="2" t="s">
        <v>1605</v>
      </c>
      <c r="O344" s="2" t="s">
        <v>1667</v>
      </c>
      <c r="P344" s="2"/>
      <c r="Q344" s="2" t="str">
        <f>"05/2010"</f>
        <v>05/2010</v>
      </c>
      <c r="R344" s="2" t="s">
        <v>107</v>
      </c>
      <c r="S344" s="2" t="s">
        <v>107</v>
      </c>
      <c r="T344" s="2">
        <v>1</v>
      </c>
      <c r="U344" s="2" t="s">
        <v>79</v>
      </c>
      <c r="V344" s="2">
        <v>1</v>
      </c>
      <c r="W344" s="2" t="s">
        <v>80</v>
      </c>
      <c r="X344" s="2">
        <v>5</v>
      </c>
      <c r="Y344" s="2" t="s">
        <v>82</v>
      </c>
      <c r="Z344" s="2">
        <v>10</v>
      </c>
      <c r="AA344" s="2" t="s">
        <v>236</v>
      </c>
      <c r="AB344" s="2">
        <v>9</v>
      </c>
      <c r="AC344" s="2" t="s">
        <v>124</v>
      </c>
      <c r="AD344" s="3">
        <v>40207</v>
      </c>
      <c r="AE344" s="4">
        <v>0.5</v>
      </c>
      <c r="AF344" s="3">
        <v>40207</v>
      </c>
      <c r="AG344" s="4">
        <v>0.5</v>
      </c>
      <c r="AH344" s="2">
        <v>5</v>
      </c>
      <c r="AI344" s="2" t="s">
        <v>274</v>
      </c>
      <c r="AJ344" s="2">
        <v>42</v>
      </c>
      <c r="AK344" s="2" t="s">
        <v>660</v>
      </c>
      <c r="AL344" s="2">
        <v>18</v>
      </c>
      <c r="AM344" s="2" t="s">
        <v>82</v>
      </c>
      <c r="AN344" s="2" t="s">
        <v>82</v>
      </c>
      <c r="AO344" s="2" t="s">
        <v>1668</v>
      </c>
      <c r="AP344" s="2">
        <v>5</v>
      </c>
      <c r="AQ344" s="2" t="s">
        <v>827</v>
      </c>
      <c r="AR344" s="2" t="s">
        <v>107</v>
      </c>
      <c r="AS344" s="2" t="s">
        <v>107</v>
      </c>
      <c r="AT344" s="2" t="s">
        <v>1669</v>
      </c>
      <c r="AU344" s="2"/>
      <c r="AV344" s="2"/>
      <c r="AW344" s="2"/>
      <c r="AX344" s="2"/>
      <c r="AY344" s="2">
        <v>41</v>
      </c>
      <c r="AZ344" s="2" t="s">
        <v>82</v>
      </c>
      <c r="BA344" s="2">
        <v>70</v>
      </c>
      <c r="BB344" s="2" t="s">
        <v>236</v>
      </c>
      <c r="BC344" s="2">
        <v>51</v>
      </c>
      <c r="BD344" s="2" t="s">
        <v>827</v>
      </c>
      <c r="BE344" s="2">
        <v>41</v>
      </c>
      <c r="BF344" s="2" t="s">
        <v>82</v>
      </c>
      <c r="BG344" s="2" t="s">
        <v>82</v>
      </c>
      <c r="BH344" s="2"/>
      <c r="BI344" s="2"/>
      <c r="BJ344" s="2">
        <v>241</v>
      </c>
      <c r="BK344" s="2" t="s">
        <v>82</v>
      </c>
      <c r="BL344" s="2" t="s">
        <v>82</v>
      </c>
      <c r="BM344" s="2">
        <v>241</v>
      </c>
      <c r="BN344" s="2" t="s">
        <v>82</v>
      </c>
      <c r="BO344" s="2" t="s">
        <v>82</v>
      </c>
      <c r="BP344" s="2">
        <v>241</v>
      </c>
      <c r="BQ344" s="2" t="s">
        <v>82</v>
      </c>
      <c r="BR344" s="2" t="s">
        <v>82</v>
      </c>
      <c r="BS344" s="3">
        <v>40207</v>
      </c>
      <c r="BT344" s="4">
        <v>0.96737268518518515</v>
      </c>
    </row>
    <row r="345" spans="1:72" x14ac:dyDescent="0.25">
      <c r="A345" s="2">
        <v>549</v>
      </c>
      <c r="B345" s="2">
        <v>2010</v>
      </c>
      <c r="C345" s="2" t="s">
        <v>819</v>
      </c>
      <c r="D345" s="2" t="s">
        <v>122</v>
      </c>
      <c r="E345" s="2"/>
      <c r="F345" s="2">
        <v>451</v>
      </c>
      <c r="G345" s="2" t="s">
        <v>879</v>
      </c>
      <c r="H345" s="2">
        <v>31</v>
      </c>
      <c r="I345" s="2" t="s">
        <v>880</v>
      </c>
      <c r="J345" s="2">
        <v>326</v>
      </c>
      <c r="K345" s="2" t="s">
        <v>881</v>
      </c>
      <c r="L345" s="2" t="s">
        <v>882</v>
      </c>
      <c r="M345" s="3">
        <v>40207</v>
      </c>
      <c r="N345" s="2" t="s">
        <v>1072</v>
      </c>
      <c r="O345" s="2"/>
      <c r="P345" s="2"/>
      <c r="Q345" s="2" t="str">
        <f>"006/10"</f>
        <v>006/10</v>
      </c>
      <c r="R345" s="2"/>
      <c r="S345" s="2" t="s">
        <v>822</v>
      </c>
      <c r="T345" s="2">
        <v>1</v>
      </c>
      <c r="U345" s="2" t="s">
        <v>79</v>
      </c>
      <c r="V345" s="2">
        <v>1</v>
      </c>
      <c r="W345" s="2" t="s">
        <v>80</v>
      </c>
      <c r="X345" s="2">
        <v>1</v>
      </c>
      <c r="Y345" s="2" t="s">
        <v>81</v>
      </c>
      <c r="Z345" s="2">
        <v>10</v>
      </c>
      <c r="AA345" s="2" t="s">
        <v>236</v>
      </c>
      <c r="AB345" s="2">
        <v>9</v>
      </c>
      <c r="AC345" s="2" t="s">
        <v>124</v>
      </c>
      <c r="AD345" s="3">
        <v>40207</v>
      </c>
      <c r="AE345" s="4">
        <v>0.85416666666666663</v>
      </c>
      <c r="AF345" s="2"/>
      <c r="AG345" s="2"/>
      <c r="AH345" s="2">
        <v>4</v>
      </c>
      <c r="AI345" s="2" t="s">
        <v>125</v>
      </c>
      <c r="AJ345" s="2">
        <v>29</v>
      </c>
      <c r="AK345" s="2" t="s">
        <v>227</v>
      </c>
      <c r="AL345" s="2">
        <v>10</v>
      </c>
      <c r="AM345" s="2" t="s">
        <v>200</v>
      </c>
      <c r="AN345" s="2" t="s">
        <v>1073</v>
      </c>
      <c r="AO345" s="2" t="s">
        <v>200</v>
      </c>
      <c r="AP345" s="2">
        <v>12</v>
      </c>
      <c r="AQ345" s="2" t="s">
        <v>322</v>
      </c>
      <c r="AR345" s="2" t="s">
        <v>824</v>
      </c>
      <c r="AS345" s="2" t="s">
        <v>1670</v>
      </c>
      <c r="AT345" s="2" t="s">
        <v>1671</v>
      </c>
      <c r="AU345" s="2"/>
      <c r="AV345" s="2"/>
      <c r="AW345" s="2"/>
      <c r="AX345" s="2"/>
      <c r="AY345" s="2">
        <v>41</v>
      </c>
      <c r="AZ345" s="2" t="s">
        <v>82</v>
      </c>
      <c r="BA345" s="2">
        <v>41</v>
      </c>
      <c r="BB345" s="2" t="s">
        <v>82</v>
      </c>
      <c r="BC345" s="2">
        <v>47</v>
      </c>
      <c r="BD345" s="2" t="s">
        <v>167</v>
      </c>
      <c r="BE345" s="2">
        <v>47</v>
      </c>
      <c r="BF345" s="2" t="s">
        <v>167</v>
      </c>
      <c r="BG345" s="2">
        <v>2459</v>
      </c>
      <c r="BH345" s="4">
        <v>0.86111111111111116</v>
      </c>
      <c r="BI345" s="4">
        <v>0.89583333333333337</v>
      </c>
      <c r="BJ345" s="2">
        <v>13</v>
      </c>
      <c r="BK345" s="2" t="s">
        <v>91</v>
      </c>
      <c r="BL345" s="2" t="s">
        <v>185</v>
      </c>
      <c r="BM345" s="2">
        <v>13</v>
      </c>
      <c r="BN345" s="2" t="s">
        <v>91</v>
      </c>
      <c r="BO345" s="2" t="s">
        <v>828</v>
      </c>
      <c r="BP345" s="2">
        <v>13</v>
      </c>
      <c r="BQ345" s="2" t="s">
        <v>91</v>
      </c>
      <c r="BR345" s="2" t="s">
        <v>185</v>
      </c>
      <c r="BS345" s="3">
        <v>40207</v>
      </c>
      <c r="BT345" s="4">
        <v>0.98594907407407406</v>
      </c>
    </row>
    <row r="346" spans="1:72" x14ac:dyDescent="0.25">
      <c r="A346" s="2">
        <v>550</v>
      </c>
      <c r="B346" s="2">
        <v>2010</v>
      </c>
      <c r="C346" s="2" t="s">
        <v>594</v>
      </c>
      <c r="D346" s="2" t="s">
        <v>122</v>
      </c>
      <c r="E346" s="2"/>
      <c r="F346" s="2">
        <v>1</v>
      </c>
      <c r="G346" s="2" t="s">
        <v>82</v>
      </c>
      <c r="H346" s="2">
        <v>1</v>
      </c>
      <c r="I346" s="2" t="s">
        <v>82</v>
      </c>
      <c r="J346" s="2">
        <v>1</v>
      </c>
      <c r="K346" s="2" t="s">
        <v>107</v>
      </c>
      <c r="L346" s="2" t="s">
        <v>107</v>
      </c>
      <c r="M346" s="3">
        <v>40207</v>
      </c>
      <c r="N346" s="2"/>
      <c r="O346" s="2"/>
      <c r="P346" s="2"/>
      <c r="Q346" s="2" t="str">
        <f>""</f>
        <v/>
      </c>
      <c r="R346" s="2"/>
      <c r="S346" s="2"/>
      <c r="T346" s="2">
        <v>1</v>
      </c>
      <c r="U346" s="2" t="s">
        <v>79</v>
      </c>
      <c r="V346" s="2">
        <v>1</v>
      </c>
      <c r="W346" s="2" t="s">
        <v>80</v>
      </c>
      <c r="X346" s="2">
        <v>1</v>
      </c>
      <c r="Y346" s="2" t="s">
        <v>81</v>
      </c>
      <c r="Z346" s="2">
        <v>1</v>
      </c>
      <c r="AA346" s="2" t="s">
        <v>82</v>
      </c>
      <c r="AB346" s="2">
        <v>9</v>
      </c>
      <c r="AC346" s="2" t="s">
        <v>124</v>
      </c>
      <c r="AD346" s="3">
        <v>40207</v>
      </c>
      <c r="AE346" s="4">
        <v>0.98263888888888884</v>
      </c>
      <c r="AF346" s="2"/>
      <c r="AG346" s="2"/>
      <c r="AH346" s="2">
        <v>6</v>
      </c>
      <c r="AI346" s="2" t="s">
        <v>197</v>
      </c>
      <c r="AJ346" s="2">
        <v>54</v>
      </c>
      <c r="AK346" s="2" t="s">
        <v>348</v>
      </c>
      <c r="AL346" s="2">
        <v>18</v>
      </c>
      <c r="AM346" s="2" t="s">
        <v>82</v>
      </c>
      <c r="AN346" s="2" t="s">
        <v>595</v>
      </c>
      <c r="AO346" s="2" t="s">
        <v>200</v>
      </c>
      <c r="AP346" s="2">
        <v>11</v>
      </c>
      <c r="AQ346" s="2" t="s">
        <v>82</v>
      </c>
      <c r="AR346" s="2" t="s">
        <v>596</v>
      </c>
      <c r="AS346" s="2" t="s">
        <v>596</v>
      </c>
      <c r="AT346" s="2" t="s">
        <v>1672</v>
      </c>
      <c r="AU346" s="2"/>
      <c r="AV346" s="2"/>
      <c r="AW346" s="2"/>
      <c r="AX346" s="2"/>
      <c r="AY346" s="2">
        <v>1</v>
      </c>
      <c r="AZ346" s="2" t="s">
        <v>107</v>
      </c>
      <c r="BA346" s="2">
        <v>1</v>
      </c>
      <c r="BB346" s="2" t="s">
        <v>107</v>
      </c>
      <c r="BC346" s="2">
        <v>1</v>
      </c>
      <c r="BD346" s="2" t="s">
        <v>107</v>
      </c>
      <c r="BE346" s="2">
        <v>4</v>
      </c>
      <c r="BF346" s="2" t="s">
        <v>90</v>
      </c>
      <c r="BG346" s="2" t="s">
        <v>598</v>
      </c>
      <c r="BH346" s="4">
        <v>0.92708333333333337</v>
      </c>
      <c r="BI346" s="4">
        <v>0.98263888888888884</v>
      </c>
      <c r="BJ346" s="2">
        <v>13</v>
      </c>
      <c r="BK346" s="2" t="s">
        <v>91</v>
      </c>
      <c r="BL346" s="2" t="s">
        <v>904</v>
      </c>
      <c r="BM346" s="2">
        <v>242</v>
      </c>
      <c r="BN346" s="2" t="s">
        <v>107</v>
      </c>
      <c r="BO346" s="2"/>
      <c r="BP346" s="2">
        <v>13</v>
      </c>
      <c r="BQ346" s="2" t="s">
        <v>91</v>
      </c>
      <c r="BR346" s="2" t="s">
        <v>1673</v>
      </c>
      <c r="BS346" s="3">
        <v>40207</v>
      </c>
      <c r="BT346" s="4">
        <v>0.98696759259259259</v>
      </c>
    </row>
    <row r="347" spans="1:72" x14ac:dyDescent="0.25">
      <c r="A347" s="2">
        <v>551</v>
      </c>
      <c r="B347" s="2">
        <v>2010</v>
      </c>
      <c r="C347" s="2" t="s">
        <v>72</v>
      </c>
      <c r="D347" s="2" t="s">
        <v>73</v>
      </c>
      <c r="E347" s="2"/>
      <c r="F347" s="2">
        <v>3</v>
      </c>
      <c r="G347" s="2" t="s">
        <v>1041</v>
      </c>
      <c r="H347" s="2">
        <v>1</v>
      </c>
      <c r="I347" s="2" t="s">
        <v>82</v>
      </c>
      <c r="J347" s="2">
        <v>368</v>
      </c>
      <c r="K347" s="2" t="s">
        <v>1042</v>
      </c>
      <c r="L347" s="2" t="s">
        <v>1043</v>
      </c>
      <c r="M347" s="3">
        <v>40208</v>
      </c>
      <c r="N347" s="2"/>
      <c r="O347" s="2"/>
      <c r="P347" s="2"/>
      <c r="Q347" s="2" t="str">
        <f>"060-E/10"</f>
        <v>060-E/10</v>
      </c>
      <c r="R347" s="2" t="s">
        <v>116</v>
      </c>
      <c r="S347" s="2" t="s">
        <v>116</v>
      </c>
      <c r="T347" s="2">
        <v>1</v>
      </c>
      <c r="U347" s="2" t="s">
        <v>79</v>
      </c>
      <c r="V347" s="2">
        <v>1</v>
      </c>
      <c r="W347" s="2" t="s">
        <v>80</v>
      </c>
      <c r="X347" s="2">
        <v>1</v>
      </c>
      <c r="Y347" s="2" t="s">
        <v>81</v>
      </c>
      <c r="Z347" s="2">
        <v>1</v>
      </c>
      <c r="AA347" s="2" t="s">
        <v>82</v>
      </c>
      <c r="AB347" s="2">
        <v>6</v>
      </c>
      <c r="AC347" s="2" t="s">
        <v>83</v>
      </c>
      <c r="AD347" s="3">
        <v>40183</v>
      </c>
      <c r="AE347" s="4">
        <v>0.3611111111111111</v>
      </c>
      <c r="AF347" s="3">
        <v>40207</v>
      </c>
      <c r="AG347" s="4">
        <v>0.79861111111111116</v>
      </c>
      <c r="AH347" s="2">
        <v>2</v>
      </c>
      <c r="AI347" s="2" t="s">
        <v>84</v>
      </c>
      <c r="AJ347" s="2">
        <v>9</v>
      </c>
      <c r="AK347" s="2" t="s">
        <v>103</v>
      </c>
      <c r="AL347" s="2">
        <v>18</v>
      </c>
      <c r="AM347" s="2" t="s">
        <v>82</v>
      </c>
      <c r="AN347" s="2"/>
      <c r="AO347" s="2" t="s">
        <v>1674</v>
      </c>
      <c r="AP347" s="2">
        <v>11</v>
      </c>
      <c r="AQ347" s="2" t="s">
        <v>82</v>
      </c>
      <c r="AR347" s="2"/>
      <c r="AS347" s="2"/>
      <c r="AT347" s="2" t="s">
        <v>1675</v>
      </c>
      <c r="AU347" s="2"/>
      <c r="AV347" s="2"/>
      <c r="AW347" s="2"/>
      <c r="AX347" s="2"/>
      <c r="AY347" s="2">
        <v>41</v>
      </c>
      <c r="AZ347" s="2" t="s">
        <v>82</v>
      </c>
      <c r="BA347" s="2">
        <v>41</v>
      </c>
      <c r="BB347" s="2" t="s">
        <v>82</v>
      </c>
      <c r="BC347" s="2">
        <v>41</v>
      </c>
      <c r="BD347" s="2" t="s">
        <v>82</v>
      </c>
      <c r="BE347" s="2">
        <v>14</v>
      </c>
      <c r="BF347" s="2" t="s">
        <v>484</v>
      </c>
      <c r="BG347" s="2" t="s">
        <v>1676</v>
      </c>
      <c r="BH347" s="2"/>
      <c r="BI347" s="2"/>
      <c r="BJ347" s="2">
        <v>82</v>
      </c>
      <c r="BK347" s="2" t="s">
        <v>487</v>
      </c>
      <c r="BL347" s="2" t="s">
        <v>1677</v>
      </c>
      <c r="BM347" s="2">
        <v>82</v>
      </c>
      <c r="BN347" s="2" t="s">
        <v>487</v>
      </c>
      <c r="BO347" s="2" t="s">
        <v>488</v>
      </c>
      <c r="BP347" s="2">
        <v>13</v>
      </c>
      <c r="BQ347" s="2" t="s">
        <v>91</v>
      </c>
      <c r="BR347" s="2" t="s">
        <v>185</v>
      </c>
      <c r="BS347" s="3">
        <v>40208</v>
      </c>
      <c r="BT347" s="4">
        <v>0.18627314814814813</v>
      </c>
    </row>
    <row r="348" spans="1:72" x14ac:dyDescent="0.25">
      <c r="A348" s="2">
        <v>553</v>
      </c>
      <c r="B348" s="2">
        <v>2010</v>
      </c>
      <c r="C348" s="2" t="s">
        <v>72</v>
      </c>
      <c r="D348" s="2" t="s">
        <v>73</v>
      </c>
      <c r="E348" s="2"/>
      <c r="F348" s="2">
        <v>390</v>
      </c>
      <c r="G348" s="2" t="s">
        <v>475</v>
      </c>
      <c r="H348" s="2">
        <v>7</v>
      </c>
      <c r="I348" s="2" t="s">
        <v>476</v>
      </c>
      <c r="J348" s="2">
        <v>314</v>
      </c>
      <c r="K348" s="2" t="s">
        <v>477</v>
      </c>
      <c r="L348" s="2" t="s">
        <v>478</v>
      </c>
      <c r="M348" s="3">
        <v>40208</v>
      </c>
      <c r="N348" s="2" t="s">
        <v>1384</v>
      </c>
      <c r="O348" s="2"/>
      <c r="P348" s="2"/>
      <c r="Q348" s="2" t="str">
        <f>"061-E/10"</f>
        <v>061-E/10</v>
      </c>
      <c r="R348" s="2" t="s">
        <v>601</v>
      </c>
      <c r="S348" s="2" t="s">
        <v>601</v>
      </c>
      <c r="T348" s="2">
        <v>1</v>
      </c>
      <c r="U348" s="2" t="s">
        <v>79</v>
      </c>
      <c r="V348" s="2">
        <v>1</v>
      </c>
      <c r="W348" s="2" t="s">
        <v>80</v>
      </c>
      <c r="X348" s="2">
        <v>1</v>
      </c>
      <c r="Y348" s="2" t="s">
        <v>81</v>
      </c>
      <c r="Z348" s="2">
        <v>1</v>
      </c>
      <c r="AA348" s="2" t="s">
        <v>82</v>
      </c>
      <c r="AB348" s="2">
        <v>6</v>
      </c>
      <c r="AC348" s="2" t="s">
        <v>83</v>
      </c>
      <c r="AD348" s="3">
        <v>40208</v>
      </c>
      <c r="AE348" s="4">
        <v>0.1875</v>
      </c>
      <c r="AF348" s="3">
        <v>40208</v>
      </c>
      <c r="AG348" s="4">
        <v>0.29166666666666669</v>
      </c>
      <c r="AH348" s="2">
        <v>2</v>
      </c>
      <c r="AI348" s="2" t="s">
        <v>84</v>
      </c>
      <c r="AJ348" s="2">
        <v>9</v>
      </c>
      <c r="AK348" s="2" t="s">
        <v>103</v>
      </c>
      <c r="AL348" s="2">
        <v>10</v>
      </c>
      <c r="AM348" s="2" t="s">
        <v>200</v>
      </c>
      <c r="AN348" s="2" t="s">
        <v>1678</v>
      </c>
      <c r="AO348" s="2" t="s">
        <v>1679</v>
      </c>
      <c r="AP348" s="2">
        <v>11</v>
      </c>
      <c r="AQ348" s="2" t="s">
        <v>82</v>
      </c>
      <c r="AR348" s="2"/>
      <c r="AS348" s="2"/>
      <c r="AT348" s="2" t="s">
        <v>1680</v>
      </c>
      <c r="AU348" s="2"/>
      <c r="AV348" s="2"/>
      <c r="AW348" s="2"/>
      <c r="AX348" s="2"/>
      <c r="AY348" s="2">
        <v>41</v>
      </c>
      <c r="AZ348" s="2" t="s">
        <v>82</v>
      </c>
      <c r="BA348" s="2">
        <v>41</v>
      </c>
      <c r="BB348" s="2" t="s">
        <v>82</v>
      </c>
      <c r="BC348" s="2">
        <v>41</v>
      </c>
      <c r="BD348" s="2" t="s">
        <v>82</v>
      </c>
      <c r="BE348" s="2">
        <v>20</v>
      </c>
      <c r="BF348" s="2" t="s">
        <v>1681</v>
      </c>
      <c r="BG348" s="2" t="s">
        <v>1682</v>
      </c>
      <c r="BH348" s="4">
        <v>0.16666666666666666</v>
      </c>
      <c r="BI348" s="4">
        <v>0</v>
      </c>
      <c r="BJ348" s="2">
        <v>62</v>
      </c>
      <c r="BK348" s="2" t="s">
        <v>1683</v>
      </c>
      <c r="BL348" s="2" t="s">
        <v>1684</v>
      </c>
      <c r="BM348" s="2">
        <v>173</v>
      </c>
      <c r="BN348" s="2" t="s">
        <v>223</v>
      </c>
      <c r="BO348" s="2" t="s">
        <v>224</v>
      </c>
      <c r="BP348" s="2">
        <v>13</v>
      </c>
      <c r="BQ348" s="2" t="s">
        <v>91</v>
      </c>
      <c r="BR348" s="2" t="s">
        <v>1685</v>
      </c>
      <c r="BS348" s="3">
        <v>40208</v>
      </c>
      <c r="BT348" s="4">
        <v>0.37590277777777775</v>
      </c>
    </row>
    <row r="349" spans="1:72" x14ac:dyDescent="0.25">
      <c r="A349" s="2">
        <v>554</v>
      </c>
      <c r="B349" s="2">
        <v>2010</v>
      </c>
      <c r="C349" s="2" t="s">
        <v>1660</v>
      </c>
      <c r="D349" s="2" t="s">
        <v>122</v>
      </c>
      <c r="E349" s="2" t="s">
        <v>1686</v>
      </c>
      <c r="F349" s="2">
        <v>390</v>
      </c>
      <c r="G349" s="2" t="s">
        <v>475</v>
      </c>
      <c r="H349" s="2">
        <v>7</v>
      </c>
      <c r="I349" s="2" t="s">
        <v>476</v>
      </c>
      <c r="J349" s="2">
        <v>314</v>
      </c>
      <c r="K349" s="2" t="s">
        <v>477</v>
      </c>
      <c r="L349" s="2" t="s">
        <v>478</v>
      </c>
      <c r="M349" s="3">
        <v>40208</v>
      </c>
      <c r="N349" s="2" t="s">
        <v>1661</v>
      </c>
      <c r="O349" s="2"/>
      <c r="P349" s="2"/>
      <c r="Q349" s="2" t="str">
        <f>"059-E/10"</f>
        <v>059-E/10</v>
      </c>
      <c r="R349" s="2" t="s">
        <v>1662</v>
      </c>
      <c r="S349" s="2" t="s">
        <v>1662</v>
      </c>
      <c r="T349" s="2">
        <v>1</v>
      </c>
      <c r="U349" s="2" t="s">
        <v>79</v>
      </c>
      <c r="V349" s="2">
        <v>1</v>
      </c>
      <c r="W349" s="2" t="s">
        <v>80</v>
      </c>
      <c r="X349" s="2">
        <v>3</v>
      </c>
      <c r="Y349" s="2" t="s">
        <v>698</v>
      </c>
      <c r="Z349" s="2">
        <v>6</v>
      </c>
      <c r="AA349" s="2" t="s">
        <v>101</v>
      </c>
      <c r="AB349" s="2">
        <v>3</v>
      </c>
      <c r="AC349" s="2" t="s">
        <v>1663</v>
      </c>
      <c r="AD349" s="3">
        <v>40207</v>
      </c>
      <c r="AE349" s="4">
        <v>0.75</v>
      </c>
      <c r="AF349" s="3">
        <v>40207</v>
      </c>
      <c r="AG349" s="4">
        <v>0.77083333333333337</v>
      </c>
      <c r="AH349" s="2">
        <v>2</v>
      </c>
      <c r="AI349" s="2" t="s">
        <v>84</v>
      </c>
      <c r="AJ349" s="2">
        <v>9</v>
      </c>
      <c r="AK349" s="2" t="s">
        <v>103</v>
      </c>
      <c r="AL349" s="2">
        <v>14</v>
      </c>
      <c r="AM349" s="2" t="s">
        <v>216</v>
      </c>
      <c r="AN349" s="2" t="s">
        <v>1664</v>
      </c>
      <c r="AO349" s="2"/>
      <c r="AP349" s="2">
        <v>11</v>
      </c>
      <c r="AQ349" s="2" t="s">
        <v>82</v>
      </c>
      <c r="AR349" s="2"/>
      <c r="AS349" s="2"/>
      <c r="AT349" s="2" t="s">
        <v>1687</v>
      </c>
      <c r="AU349" s="2"/>
      <c r="AV349" s="2">
        <v>1</v>
      </c>
      <c r="AW349" s="2"/>
      <c r="AX349" s="2"/>
      <c r="AY349" s="2">
        <v>41</v>
      </c>
      <c r="AZ349" s="2" t="s">
        <v>82</v>
      </c>
      <c r="BA349" s="2">
        <v>41</v>
      </c>
      <c r="BB349" s="2" t="s">
        <v>82</v>
      </c>
      <c r="BC349" s="2">
        <v>41</v>
      </c>
      <c r="BD349" s="2" t="s">
        <v>82</v>
      </c>
      <c r="BE349" s="2">
        <v>17</v>
      </c>
      <c r="BF349" s="2" t="s">
        <v>508</v>
      </c>
      <c r="BG349" s="2" t="s">
        <v>1666</v>
      </c>
      <c r="BH349" s="4">
        <v>0.74305555555555547</v>
      </c>
      <c r="BI349" s="2"/>
      <c r="BJ349" s="2">
        <v>173</v>
      </c>
      <c r="BK349" s="2" t="s">
        <v>223</v>
      </c>
      <c r="BL349" s="2" t="s">
        <v>224</v>
      </c>
      <c r="BM349" s="2">
        <v>241</v>
      </c>
      <c r="BN349" s="2" t="s">
        <v>82</v>
      </c>
      <c r="BO349" s="2"/>
      <c r="BP349" s="2">
        <v>13</v>
      </c>
      <c r="BQ349" s="2" t="s">
        <v>91</v>
      </c>
      <c r="BR349" s="2" t="s">
        <v>185</v>
      </c>
      <c r="BS349" s="3">
        <v>40208</v>
      </c>
      <c r="BT349" s="4">
        <v>0.43210648148148145</v>
      </c>
    </row>
    <row r="350" spans="1:72" x14ac:dyDescent="0.25">
      <c r="A350" s="2">
        <v>556</v>
      </c>
      <c r="B350" s="2">
        <v>2010</v>
      </c>
      <c r="C350" s="2" t="s">
        <v>819</v>
      </c>
      <c r="D350" s="2" t="s">
        <v>122</v>
      </c>
      <c r="E350" s="2" t="s">
        <v>1688</v>
      </c>
      <c r="F350" s="2">
        <v>451</v>
      </c>
      <c r="G350" s="2" t="s">
        <v>879</v>
      </c>
      <c r="H350" s="2">
        <v>31</v>
      </c>
      <c r="I350" s="2" t="s">
        <v>880</v>
      </c>
      <c r="J350" s="2">
        <v>326</v>
      </c>
      <c r="K350" s="2" t="s">
        <v>881</v>
      </c>
      <c r="L350" s="2" t="s">
        <v>882</v>
      </c>
      <c r="M350" s="3">
        <v>40208</v>
      </c>
      <c r="N350" s="2" t="s">
        <v>1072</v>
      </c>
      <c r="O350" s="2"/>
      <c r="P350" s="2"/>
      <c r="Q350" s="2" t="str">
        <f>"006/10"</f>
        <v>006/10</v>
      </c>
      <c r="R350" s="2" t="s">
        <v>822</v>
      </c>
      <c r="S350" s="2"/>
      <c r="T350" s="2">
        <v>1</v>
      </c>
      <c r="U350" s="2" t="s">
        <v>79</v>
      </c>
      <c r="V350" s="2">
        <v>1</v>
      </c>
      <c r="W350" s="2" t="s">
        <v>80</v>
      </c>
      <c r="X350" s="2">
        <v>1</v>
      </c>
      <c r="Y350" s="2" t="s">
        <v>81</v>
      </c>
      <c r="Z350" s="2">
        <v>10</v>
      </c>
      <c r="AA350" s="2" t="s">
        <v>236</v>
      </c>
      <c r="AB350" s="2">
        <v>9</v>
      </c>
      <c r="AC350" s="2" t="s">
        <v>124</v>
      </c>
      <c r="AD350" s="3">
        <v>40208</v>
      </c>
      <c r="AE350" s="4">
        <v>0.41666666666666669</v>
      </c>
      <c r="AF350" s="2"/>
      <c r="AG350" s="2"/>
      <c r="AH350" s="2">
        <v>4</v>
      </c>
      <c r="AI350" s="2" t="s">
        <v>125</v>
      </c>
      <c r="AJ350" s="2">
        <v>29</v>
      </c>
      <c r="AK350" s="2" t="s">
        <v>227</v>
      </c>
      <c r="AL350" s="2">
        <v>19</v>
      </c>
      <c r="AM350" s="2" t="s">
        <v>107</v>
      </c>
      <c r="AN350" s="2"/>
      <c r="AO350" s="2" t="s">
        <v>883</v>
      </c>
      <c r="AP350" s="2">
        <v>12</v>
      </c>
      <c r="AQ350" s="2" t="s">
        <v>322</v>
      </c>
      <c r="AR350" s="2" t="s">
        <v>824</v>
      </c>
      <c r="AS350" s="2" t="s">
        <v>1670</v>
      </c>
      <c r="AT350" s="2" t="s">
        <v>1689</v>
      </c>
      <c r="AU350" s="2"/>
      <c r="AV350" s="2"/>
      <c r="AW350" s="2"/>
      <c r="AX350" s="2"/>
      <c r="AY350" s="2">
        <v>41</v>
      </c>
      <c r="AZ350" s="2" t="s">
        <v>82</v>
      </c>
      <c r="BA350" s="2">
        <v>41</v>
      </c>
      <c r="BB350" s="2" t="s">
        <v>82</v>
      </c>
      <c r="BC350" s="2">
        <v>51</v>
      </c>
      <c r="BD350" s="2" t="s">
        <v>827</v>
      </c>
      <c r="BE350" s="2">
        <v>47</v>
      </c>
      <c r="BF350" s="2" t="s">
        <v>167</v>
      </c>
      <c r="BG350" s="2">
        <v>2459</v>
      </c>
      <c r="BH350" s="4">
        <v>0.86111111111111116</v>
      </c>
      <c r="BI350" s="4">
        <v>0.89583333333333337</v>
      </c>
      <c r="BJ350" s="2">
        <v>13</v>
      </c>
      <c r="BK350" s="2" t="s">
        <v>91</v>
      </c>
      <c r="BL350" s="2" t="s">
        <v>185</v>
      </c>
      <c r="BM350" s="2">
        <v>13</v>
      </c>
      <c r="BN350" s="2" t="s">
        <v>91</v>
      </c>
      <c r="BO350" s="2" t="s">
        <v>828</v>
      </c>
      <c r="BP350" s="2">
        <v>13</v>
      </c>
      <c r="BQ350" s="2" t="s">
        <v>91</v>
      </c>
      <c r="BR350" s="2" t="s">
        <v>185</v>
      </c>
      <c r="BS350" s="3">
        <v>40208</v>
      </c>
      <c r="BT350" s="4">
        <v>0.46171296296296299</v>
      </c>
    </row>
    <row r="351" spans="1:72" x14ac:dyDescent="0.25">
      <c r="A351" s="2">
        <v>558</v>
      </c>
      <c r="B351" s="2">
        <v>2010</v>
      </c>
      <c r="C351" s="2" t="s">
        <v>93</v>
      </c>
      <c r="D351" s="2" t="s">
        <v>73</v>
      </c>
      <c r="E351" s="2"/>
      <c r="F351" s="2">
        <v>347</v>
      </c>
      <c r="G351" s="2" t="s">
        <v>1690</v>
      </c>
      <c r="H351" s="2">
        <v>50</v>
      </c>
      <c r="I351" s="2" t="s">
        <v>107</v>
      </c>
      <c r="J351" s="2">
        <v>188</v>
      </c>
      <c r="K351" s="2" t="s">
        <v>1691</v>
      </c>
      <c r="L351" s="2" t="s">
        <v>1692</v>
      </c>
      <c r="M351" s="3">
        <v>40208</v>
      </c>
      <c r="N351" s="2" t="s">
        <v>1693</v>
      </c>
      <c r="O351" s="2" t="s">
        <v>1694</v>
      </c>
      <c r="P351" s="2"/>
      <c r="Q351" s="2" t="str">
        <f>"0014/10"</f>
        <v>0014/10</v>
      </c>
      <c r="R351" s="2"/>
      <c r="S351" s="2" t="s">
        <v>1695</v>
      </c>
      <c r="T351" s="2">
        <v>1</v>
      </c>
      <c r="U351" s="2" t="s">
        <v>79</v>
      </c>
      <c r="V351" s="2">
        <v>1</v>
      </c>
      <c r="W351" s="2" t="s">
        <v>80</v>
      </c>
      <c r="X351" s="2">
        <v>3</v>
      </c>
      <c r="Y351" s="2" t="s">
        <v>698</v>
      </c>
      <c r="Z351" s="2">
        <v>9</v>
      </c>
      <c r="AA351" s="2" t="s">
        <v>1119</v>
      </c>
      <c r="AB351" s="2">
        <v>2</v>
      </c>
      <c r="AC351" s="2" t="s">
        <v>102</v>
      </c>
      <c r="AD351" s="3">
        <v>40208</v>
      </c>
      <c r="AE351" s="4">
        <v>0.45208333333333334</v>
      </c>
      <c r="AF351" s="2"/>
      <c r="AG351" s="2"/>
      <c r="AH351" s="2">
        <v>5</v>
      </c>
      <c r="AI351" s="2" t="s">
        <v>274</v>
      </c>
      <c r="AJ351" s="2">
        <v>38</v>
      </c>
      <c r="AK351" s="2" t="s">
        <v>1120</v>
      </c>
      <c r="AL351" s="2">
        <v>11</v>
      </c>
      <c r="AM351" s="2" t="s">
        <v>137</v>
      </c>
      <c r="AN351" s="2"/>
      <c r="AO351" s="2"/>
      <c r="AP351" s="2">
        <v>11</v>
      </c>
      <c r="AQ351" s="2" t="s">
        <v>82</v>
      </c>
      <c r="AR351" s="2"/>
      <c r="AS351" s="2"/>
      <c r="AT351" s="2" t="s">
        <v>1696</v>
      </c>
      <c r="AU351" s="2"/>
      <c r="AV351" s="2"/>
      <c r="AW351" s="2"/>
      <c r="AX351" s="2"/>
      <c r="AY351" s="2">
        <v>41</v>
      </c>
      <c r="AZ351" s="2" t="s">
        <v>82</v>
      </c>
      <c r="BA351" s="2">
        <v>41</v>
      </c>
      <c r="BB351" s="2" t="s">
        <v>82</v>
      </c>
      <c r="BC351" s="2">
        <v>41</v>
      </c>
      <c r="BD351" s="2" t="s">
        <v>82</v>
      </c>
      <c r="BE351" s="2">
        <v>4</v>
      </c>
      <c r="BF351" s="2" t="s">
        <v>90</v>
      </c>
      <c r="BG351" s="2">
        <v>4023</v>
      </c>
      <c r="BH351" s="4">
        <v>0.42708333333333331</v>
      </c>
      <c r="BI351" s="4">
        <v>0.4548611111111111</v>
      </c>
      <c r="BJ351" s="2">
        <v>13</v>
      </c>
      <c r="BK351" s="2" t="s">
        <v>91</v>
      </c>
      <c r="BL351" s="2" t="s">
        <v>170</v>
      </c>
      <c r="BM351" s="2">
        <v>13</v>
      </c>
      <c r="BN351" s="2" t="s">
        <v>91</v>
      </c>
      <c r="BO351" s="2" t="s">
        <v>1697</v>
      </c>
      <c r="BP351" s="2">
        <v>13</v>
      </c>
      <c r="BQ351" s="2" t="s">
        <v>91</v>
      </c>
      <c r="BR351" s="2" t="s">
        <v>170</v>
      </c>
      <c r="BS351" s="3">
        <v>40208</v>
      </c>
      <c r="BT351" s="4">
        <v>0.53173611111111108</v>
      </c>
    </row>
    <row r="352" spans="1:72" x14ac:dyDescent="0.25">
      <c r="A352" s="2">
        <v>559</v>
      </c>
      <c r="B352" s="2">
        <v>2010</v>
      </c>
      <c r="C352" s="2" t="s">
        <v>93</v>
      </c>
      <c r="D352" s="2" t="s">
        <v>73</v>
      </c>
      <c r="E352" s="2"/>
      <c r="F352" s="2">
        <v>218</v>
      </c>
      <c r="G352" s="2" t="s">
        <v>1698</v>
      </c>
      <c r="H352" s="2">
        <v>51</v>
      </c>
      <c r="I352" s="2" t="s">
        <v>1699</v>
      </c>
      <c r="J352" s="2">
        <v>231</v>
      </c>
      <c r="K352" s="2" t="s">
        <v>1700</v>
      </c>
      <c r="L352" s="2" t="s">
        <v>1701</v>
      </c>
      <c r="M352" s="3">
        <v>40208</v>
      </c>
      <c r="N352" s="2" t="s">
        <v>1702</v>
      </c>
      <c r="O352" s="2" t="s">
        <v>107</v>
      </c>
      <c r="P352" s="2">
        <v>60764</v>
      </c>
      <c r="Q352" s="2" t="str">
        <f>"0003/10"</f>
        <v>0003/10</v>
      </c>
      <c r="R352" s="2" t="s">
        <v>1703</v>
      </c>
      <c r="S352" s="2" t="s">
        <v>1703</v>
      </c>
      <c r="T352" s="2">
        <v>1</v>
      </c>
      <c r="U352" s="2" t="s">
        <v>79</v>
      </c>
      <c r="V352" s="2">
        <v>1</v>
      </c>
      <c r="W352" s="2" t="s">
        <v>80</v>
      </c>
      <c r="X352" s="2">
        <v>3</v>
      </c>
      <c r="Y352" s="2" t="s">
        <v>698</v>
      </c>
      <c r="Z352" s="2">
        <v>6</v>
      </c>
      <c r="AA352" s="2" t="s">
        <v>101</v>
      </c>
      <c r="AB352" s="2">
        <v>2</v>
      </c>
      <c r="AC352" s="2" t="s">
        <v>102</v>
      </c>
      <c r="AD352" s="3">
        <v>40208</v>
      </c>
      <c r="AE352" s="4">
        <v>0.20138888888888887</v>
      </c>
      <c r="AF352" s="2"/>
      <c r="AG352" s="2"/>
      <c r="AH352" s="2">
        <v>5</v>
      </c>
      <c r="AI352" s="2" t="s">
        <v>274</v>
      </c>
      <c r="AJ352" s="2">
        <v>45</v>
      </c>
      <c r="AK352" s="2" t="s">
        <v>834</v>
      </c>
      <c r="AL352" s="2">
        <v>11</v>
      </c>
      <c r="AM352" s="2" t="s">
        <v>137</v>
      </c>
      <c r="AN352" s="2" t="s">
        <v>1059</v>
      </c>
      <c r="AO352" s="2"/>
      <c r="AP352" s="2">
        <v>11</v>
      </c>
      <c r="AQ352" s="2" t="s">
        <v>82</v>
      </c>
      <c r="AR352" s="2"/>
      <c r="AS352" s="2"/>
      <c r="AT352" s="2" t="s">
        <v>1704</v>
      </c>
      <c r="AU352" s="2"/>
      <c r="AV352" s="2">
        <v>1</v>
      </c>
      <c r="AW352" s="2"/>
      <c r="AX352" s="2"/>
      <c r="AY352" s="2">
        <v>41</v>
      </c>
      <c r="AZ352" s="2" t="s">
        <v>82</v>
      </c>
      <c r="BA352" s="2">
        <v>41</v>
      </c>
      <c r="BB352" s="2" t="s">
        <v>82</v>
      </c>
      <c r="BC352" s="2">
        <v>41</v>
      </c>
      <c r="BD352" s="2" t="s">
        <v>82</v>
      </c>
      <c r="BE352" s="2">
        <v>25</v>
      </c>
      <c r="BF352" s="2" t="s">
        <v>358</v>
      </c>
      <c r="BG352" s="2">
        <v>7467</v>
      </c>
      <c r="BH352" s="4">
        <v>3.8194444444444441E-2</v>
      </c>
      <c r="BI352" s="4">
        <v>0.20138888888888887</v>
      </c>
      <c r="BJ352" s="2">
        <v>13</v>
      </c>
      <c r="BK352" s="2" t="s">
        <v>91</v>
      </c>
      <c r="BL352" s="2" t="s">
        <v>1705</v>
      </c>
      <c r="BM352" s="2">
        <v>242</v>
      </c>
      <c r="BN352" s="2" t="s">
        <v>107</v>
      </c>
      <c r="BO352" s="2" t="s">
        <v>107</v>
      </c>
      <c r="BP352" s="2">
        <v>33</v>
      </c>
      <c r="BQ352" s="2" t="s">
        <v>361</v>
      </c>
      <c r="BR352" s="2" t="s">
        <v>1706</v>
      </c>
      <c r="BS352" s="3">
        <v>40208</v>
      </c>
      <c r="BT352" s="4">
        <v>0.53525462962962966</v>
      </c>
    </row>
    <row r="353" spans="1:72" x14ac:dyDescent="0.25">
      <c r="A353" s="2">
        <v>563</v>
      </c>
      <c r="B353" s="2">
        <v>2010</v>
      </c>
      <c r="C353" s="2" t="s">
        <v>554</v>
      </c>
      <c r="D353" s="2" t="s">
        <v>73</v>
      </c>
      <c r="E353" s="2"/>
      <c r="F353" s="2">
        <v>3</v>
      </c>
      <c r="G353" s="2" t="s">
        <v>1041</v>
      </c>
      <c r="H353" s="2">
        <v>42</v>
      </c>
      <c r="I353" s="2" t="s">
        <v>1096</v>
      </c>
      <c r="J353" s="2">
        <v>368</v>
      </c>
      <c r="K353" s="2" t="s">
        <v>1042</v>
      </c>
      <c r="L353" s="2" t="s">
        <v>1043</v>
      </c>
      <c r="M353" s="3">
        <v>40208</v>
      </c>
      <c r="N353" s="2"/>
      <c r="O353" s="2" t="s">
        <v>107</v>
      </c>
      <c r="P353" s="2" t="s">
        <v>107</v>
      </c>
      <c r="Q353" s="2" t="str">
        <f>"062-E/10"</f>
        <v>062-E/10</v>
      </c>
      <c r="R353" s="2" t="s">
        <v>107</v>
      </c>
      <c r="S353" s="2" t="s">
        <v>1130</v>
      </c>
      <c r="T353" s="2">
        <v>1</v>
      </c>
      <c r="U353" s="2" t="s">
        <v>79</v>
      </c>
      <c r="V353" s="2">
        <v>1</v>
      </c>
      <c r="W353" s="2" t="s">
        <v>80</v>
      </c>
      <c r="X353" s="2">
        <v>1</v>
      </c>
      <c r="Y353" s="2" t="s">
        <v>81</v>
      </c>
      <c r="Z353" s="2">
        <v>10</v>
      </c>
      <c r="AA353" s="2" t="s">
        <v>236</v>
      </c>
      <c r="AB353" s="2">
        <v>5</v>
      </c>
      <c r="AC353" s="2" t="s">
        <v>559</v>
      </c>
      <c r="AD353" s="3">
        <v>40199</v>
      </c>
      <c r="AE353" s="4">
        <v>0.39583333333333331</v>
      </c>
      <c r="AF353" s="3">
        <v>40208</v>
      </c>
      <c r="AG353" s="4">
        <v>0.51388888888888895</v>
      </c>
      <c r="AH353" s="2">
        <v>2</v>
      </c>
      <c r="AI353" s="2" t="s">
        <v>84</v>
      </c>
      <c r="AJ353" s="2">
        <v>9</v>
      </c>
      <c r="AK353" s="2" t="s">
        <v>103</v>
      </c>
      <c r="AL353" s="2">
        <v>12</v>
      </c>
      <c r="AM353" s="2" t="s">
        <v>86</v>
      </c>
      <c r="AN353" s="2" t="s">
        <v>1707</v>
      </c>
      <c r="AO353" s="2" t="s">
        <v>1708</v>
      </c>
      <c r="AP353" s="2">
        <v>11</v>
      </c>
      <c r="AQ353" s="2" t="s">
        <v>82</v>
      </c>
      <c r="AR353" s="2"/>
      <c r="AS353" s="2"/>
      <c r="AT353" s="2" t="s">
        <v>1709</v>
      </c>
      <c r="AU353" s="2"/>
      <c r="AV353" s="2"/>
      <c r="AW353" s="2"/>
      <c r="AX353" s="2"/>
      <c r="AY353" s="2">
        <v>41</v>
      </c>
      <c r="AZ353" s="2" t="s">
        <v>82</v>
      </c>
      <c r="BA353" s="2">
        <v>41</v>
      </c>
      <c r="BB353" s="2" t="s">
        <v>82</v>
      </c>
      <c r="BC353" s="2">
        <v>41</v>
      </c>
      <c r="BD353" s="2" t="s">
        <v>82</v>
      </c>
      <c r="BE353" s="2">
        <v>41</v>
      </c>
      <c r="BF353" s="2" t="s">
        <v>82</v>
      </c>
      <c r="BG353" s="2"/>
      <c r="BH353" s="2"/>
      <c r="BI353" s="2"/>
      <c r="BJ353" s="2">
        <v>241</v>
      </c>
      <c r="BK353" s="2" t="s">
        <v>82</v>
      </c>
      <c r="BL353" s="2"/>
      <c r="BM353" s="2">
        <v>241</v>
      </c>
      <c r="BN353" s="2" t="s">
        <v>82</v>
      </c>
      <c r="BO353" s="2"/>
      <c r="BP353" s="2">
        <v>241</v>
      </c>
      <c r="BQ353" s="2" t="s">
        <v>82</v>
      </c>
      <c r="BR353" s="2"/>
      <c r="BS353" s="3">
        <v>40208</v>
      </c>
      <c r="BT353" s="4">
        <v>0.6890856481481481</v>
      </c>
    </row>
    <row r="354" spans="1:72" x14ac:dyDescent="0.25">
      <c r="A354" s="2">
        <v>564</v>
      </c>
      <c r="B354" s="2">
        <v>2010</v>
      </c>
      <c r="C354" s="2" t="s">
        <v>414</v>
      </c>
      <c r="D354" s="2" t="s">
        <v>122</v>
      </c>
      <c r="E354" s="2"/>
      <c r="F354" s="2">
        <v>1</v>
      </c>
      <c r="G354" s="2" t="s">
        <v>82</v>
      </c>
      <c r="H354" s="2">
        <v>1</v>
      </c>
      <c r="I354" s="2" t="s">
        <v>82</v>
      </c>
      <c r="J354" s="2">
        <v>1</v>
      </c>
      <c r="K354" s="2" t="s">
        <v>107</v>
      </c>
      <c r="L354" s="2" t="s">
        <v>107</v>
      </c>
      <c r="M354" s="3">
        <v>40208</v>
      </c>
      <c r="N354" s="2"/>
      <c r="O354" s="2" t="s">
        <v>82</v>
      </c>
      <c r="P354" s="2" t="s">
        <v>82</v>
      </c>
      <c r="Q354" s="2" t="str">
        <f>"N/C"</f>
        <v>N/C</v>
      </c>
      <c r="R354" s="2" t="s">
        <v>82</v>
      </c>
      <c r="S354" s="2" t="s">
        <v>82</v>
      </c>
      <c r="T354" s="2">
        <v>1</v>
      </c>
      <c r="U354" s="2" t="s">
        <v>79</v>
      </c>
      <c r="V354" s="2">
        <v>1</v>
      </c>
      <c r="W354" s="2" t="s">
        <v>80</v>
      </c>
      <c r="X354" s="2">
        <v>1</v>
      </c>
      <c r="Y354" s="2" t="s">
        <v>81</v>
      </c>
      <c r="Z354" s="2">
        <v>10</v>
      </c>
      <c r="AA354" s="2" t="s">
        <v>236</v>
      </c>
      <c r="AB354" s="2">
        <v>9</v>
      </c>
      <c r="AC354" s="2" t="s">
        <v>124</v>
      </c>
      <c r="AD354" s="3">
        <v>40208</v>
      </c>
      <c r="AE354" s="4">
        <v>0.71527777777777779</v>
      </c>
      <c r="AF354" s="2"/>
      <c r="AG354" s="2"/>
      <c r="AH354" s="2">
        <v>3</v>
      </c>
      <c r="AI354" s="2" t="s">
        <v>214</v>
      </c>
      <c r="AJ354" s="2">
        <v>17</v>
      </c>
      <c r="AK354" s="2" t="s">
        <v>309</v>
      </c>
      <c r="AL354" s="2">
        <v>18</v>
      </c>
      <c r="AM354" s="2" t="s">
        <v>82</v>
      </c>
      <c r="AN354" s="2" t="s">
        <v>1710</v>
      </c>
      <c r="AO354" s="2" t="s">
        <v>1643</v>
      </c>
      <c r="AP354" s="2">
        <v>11</v>
      </c>
      <c r="AQ354" s="2" t="s">
        <v>82</v>
      </c>
      <c r="AR354" s="2" t="s">
        <v>1711</v>
      </c>
      <c r="AS354" s="2" t="s">
        <v>1711</v>
      </c>
      <c r="AT354" s="2" t="s">
        <v>1712</v>
      </c>
      <c r="AU354" s="2"/>
      <c r="AV354" s="2"/>
      <c r="AW354" s="2"/>
      <c r="AX354" s="2"/>
      <c r="AY354" s="2">
        <v>41</v>
      </c>
      <c r="AZ354" s="2" t="s">
        <v>82</v>
      </c>
      <c r="BA354" s="2">
        <v>41</v>
      </c>
      <c r="BB354" s="2" t="s">
        <v>82</v>
      </c>
      <c r="BC354" s="2">
        <v>41</v>
      </c>
      <c r="BD354" s="2" t="s">
        <v>82</v>
      </c>
      <c r="BE354" s="2">
        <v>1</v>
      </c>
      <c r="BF354" s="2" t="s">
        <v>107</v>
      </c>
      <c r="BG354" s="2" t="s">
        <v>1711</v>
      </c>
      <c r="BH354" s="2"/>
      <c r="BI354" s="2"/>
      <c r="BJ354" s="2">
        <v>241</v>
      </c>
      <c r="BK354" s="2" t="s">
        <v>82</v>
      </c>
      <c r="BL354" s="2" t="s">
        <v>82</v>
      </c>
      <c r="BM354" s="2">
        <v>242</v>
      </c>
      <c r="BN354" s="2" t="s">
        <v>107</v>
      </c>
      <c r="BO354" s="2" t="s">
        <v>1711</v>
      </c>
      <c r="BP354" s="2">
        <v>242</v>
      </c>
      <c r="BQ354" s="2" t="s">
        <v>107</v>
      </c>
      <c r="BR354" s="2" t="s">
        <v>1711</v>
      </c>
      <c r="BS354" s="3">
        <v>40208</v>
      </c>
      <c r="BT354" s="4">
        <v>0.78581018518518519</v>
      </c>
    </row>
    <row r="355" spans="1:72" x14ac:dyDescent="0.25">
      <c r="A355" s="2">
        <v>565</v>
      </c>
      <c r="B355" s="2">
        <v>2010</v>
      </c>
      <c r="C355" s="2" t="s">
        <v>72</v>
      </c>
      <c r="D355" s="2" t="s">
        <v>73</v>
      </c>
      <c r="E355" s="2"/>
      <c r="F355" s="2">
        <v>419</v>
      </c>
      <c r="G355" s="2" t="s">
        <v>74</v>
      </c>
      <c r="H355" s="2">
        <v>42</v>
      </c>
      <c r="I355" s="2" t="s">
        <v>1096</v>
      </c>
      <c r="J355" s="2">
        <v>306</v>
      </c>
      <c r="K355" s="2" t="s">
        <v>76</v>
      </c>
      <c r="L355" s="2" t="s">
        <v>77</v>
      </c>
      <c r="M355" s="3">
        <v>40208</v>
      </c>
      <c r="N355" s="2" t="s">
        <v>162</v>
      </c>
      <c r="O355" s="2" t="s">
        <v>107</v>
      </c>
      <c r="P355" s="2" t="s">
        <v>107</v>
      </c>
      <c r="Q355" s="2" t="str">
        <f>"036-A/10"</f>
        <v>036-A/10</v>
      </c>
      <c r="R355" s="2" t="s">
        <v>107</v>
      </c>
      <c r="S355" s="2" t="s">
        <v>78</v>
      </c>
      <c r="T355" s="2">
        <v>1</v>
      </c>
      <c r="U355" s="2" t="s">
        <v>79</v>
      </c>
      <c r="V355" s="2">
        <v>1</v>
      </c>
      <c r="W355" s="2" t="s">
        <v>80</v>
      </c>
      <c r="X355" s="2">
        <v>5</v>
      </c>
      <c r="Y355" s="2" t="s">
        <v>82</v>
      </c>
      <c r="Z355" s="2">
        <v>1</v>
      </c>
      <c r="AA355" s="2" t="s">
        <v>82</v>
      </c>
      <c r="AB355" s="2">
        <v>6</v>
      </c>
      <c r="AC355" s="2" t="s">
        <v>83</v>
      </c>
      <c r="AD355" s="3">
        <v>40208</v>
      </c>
      <c r="AE355" s="4">
        <v>0.79166666666666663</v>
      </c>
      <c r="AF355" s="3">
        <v>40208</v>
      </c>
      <c r="AG355" s="4">
        <v>0.85069444444444453</v>
      </c>
      <c r="AH355" s="2">
        <v>2</v>
      </c>
      <c r="AI355" s="2" t="s">
        <v>84</v>
      </c>
      <c r="AJ355" s="2">
        <v>12</v>
      </c>
      <c r="AK355" s="2" t="s">
        <v>85</v>
      </c>
      <c r="AL355" s="2">
        <v>21</v>
      </c>
      <c r="AM355" s="2" t="s">
        <v>1311</v>
      </c>
      <c r="AN355" s="2" t="s">
        <v>1713</v>
      </c>
      <c r="AO355" s="2" t="s">
        <v>1714</v>
      </c>
      <c r="AP355" s="2">
        <v>11</v>
      </c>
      <c r="AQ355" s="2" t="s">
        <v>82</v>
      </c>
      <c r="AR355" s="2" t="s">
        <v>82</v>
      </c>
      <c r="AS355" s="2" t="s">
        <v>82</v>
      </c>
      <c r="AT355" s="2" t="s">
        <v>1715</v>
      </c>
      <c r="AU355" s="2"/>
      <c r="AV355" s="2"/>
      <c r="AW355" s="2"/>
      <c r="AX355" s="2"/>
      <c r="AY355" s="2">
        <v>41</v>
      </c>
      <c r="AZ355" s="2" t="s">
        <v>82</v>
      </c>
      <c r="BA355" s="2">
        <v>41</v>
      </c>
      <c r="BB355" s="2" t="s">
        <v>82</v>
      </c>
      <c r="BC355" s="2">
        <v>41</v>
      </c>
      <c r="BD355" s="2" t="s">
        <v>82</v>
      </c>
      <c r="BE355" s="2">
        <v>10</v>
      </c>
      <c r="BF355" s="2" t="s">
        <v>901</v>
      </c>
      <c r="BG355" s="2" t="s">
        <v>1716</v>
      </c>
      <c r="BH355" s="4">
        <v>0.78125</v>
      </c>
      <c r="BI355" s="4">
        <v>0.75</v>
      </c>
      <c r="BJ355" s="2">
        <v>229</v>
      </c>
      <c r="BK355" s="2" t="s">
        <v>300</v>
      </c>
      <c r="BL355" s="2" t="s">
        <v>573</v>
      </c>
      <c r="BM355" s="2">
        <v>241</v>
      </c>
      <c r="BN355" s="2" t="s">
        <v>82</v>
      </c>
      <c r="BO355" s="2" t="s">
        <v>82</v>
      </c>
      <c r="BP355" s="2">
        <v>13</v>
      </c>
      <c r="BQ355" s="2" t="s">
        <v>91</v>
      </c>
      <c r="BR355" s="2" t="s">
        <v>185</v>
      </c>
      <c r="BS355" s="3">
        <v>40208</v>
      </c>
      <c r="BT355" s="4">
        <v>0.9469212962962964</v>
      </c>
    </row>
    <row r="356" spans="1:72" x14ac:dyDescent="0.25">
      <c r="A356" s="2">
        <v>566</v>
      </c>
      <c r="B356" s="2">
        <v>2010</v>
      </c>
      <c r="C356" s="2" t="s">
        <v>414</v>
      </c>
      <c r="D356" s="2" t="s">
        <v>73</v>
      </c>
      <c r="E356" s="2"/>
      <c r="F356" s="2">
        <v>1</v>
      </c>
      <c r="G356" s="2" t="s">
        <v>82</v>
      </c>
      <c r="H356" s="2">
        <v>1</v>
      </c>
      <c r="I356" s="2" t="s">
        <v>82</v>
      </c>
      <c r="J356" s="2">
        <v>1</v>
      </c>
      <c r="K356" s="2" t="s">
        <v>107</v>
      </c>
      <c r="L356" s="2" t="s">
        <v>107</v>
      </c>
      <c r="M356" s="3">
        <v>40209</v>
      </c>
      <c r="N356" s="2"/>
      <c r="O356" s="2"/>
      <c r="P356" s="2"/>
      <c r="Q356" s="2" t="str">
        <f>""</f>
        <v/>
      </c>
      <c r="R356" s="2"/>
      <c r="S356" s="2"/>
      <c r="T356" s="2">
        <v>1</v>
      </c>
      <c r="U356" s="2" t="s">
        <v>79</v>
      </c>
      <c r="V356" s="2">
        <v>1</v>
      </c>
      <c r="W356" s="2" t="s">
        <v>80</v>
      </c>
      <c r="X356" s="2">
        <v>1</v>
      </c>
      <c r="Y356" s="2" t="s">
        <v>81</v>
      </c>
      <c r="Z356" s="2">
        <v>10</v>
      </c>
      <c r="AA356" s="2" t="s">
        <v>236</v>
      </c>
      <c r="AB356" s="2">
        <v>9</v>
      </c>
      <c r="AC356" s="2" t="s">
        <v>124</v>
      </c>
      <c r="AD356" s="3">
        <v>40208</v>
      </c>
      <c r="AE356" s="4">
        <v>0.85763888888888884</v>
      </c>
      <c r="AF356" s="2"/>
      <c r="AG356" s="2"/>
      <c r="AH356" s="2">
        <v>4</v>
      </c>
      <c r="AI356" s="2" t="s">
        <v>125</v>
      </c>
      <c r="AJ356" s="2">
        <v>27</v>
      </c>
      <c r="AK356" s="2" t="s">
        <v>1717</v>
      </c>
      <c r="AL356" s="2">
        <v>18</v>
      </c>
      <c r="AM356" s="2" t="s">
        <v>82</v>
      </c>
      <c r="AN356" s="2" t="s">
        <v>1718</v>
      </c>
      <c r="AO356" s="2" t="s">
        <v>1719</v>
      </c>
      <c r="AP356" s="2">
        <v>11</v>
      </c>
      <c r="AQ356" s="2" t="s">
        <v>82</v>
      </c>
      <c r="AR356" s="2"/>
      <c r="AS356" s="2"/>
      <c r="AT356" s="2" t="s">
        <v>1720</v>
      </c>
      <c r="AU356" s="2"/>
      <c r="AV356" s="2"/>
      <c r="AW356" s="2"/>
      <c r="AX356" s="2"/>
      <c r="AY356" s="2">
        <v>41</v>
      </c>
      <c r="AZ356" s="2" t="s">
        <v>82</v>
      </c>
      <c r="BA356" s="2">
        <v>41</v>
      </c>
      <c r="BB356" s="2" t="s">
        <v>82</v>
      </c>
      <c r="BC356" s="2">
        <v>41</v>
      </c>
      <c r="BD356" s="2" t="s">
        <v>82</v>
      </c>
      <c r="BE356" s="2">
        <v>13</v>
      </c>
      <c r="BF356" s="2" t="s">
        <v>108</v>
      </c>
      <c r="BG356" s="2">
        <v>2459</v>
      </c>
      <c r="BH356" s="4">
        <v>0.92569444444444438</v>
      </c>
      <c r="BI356" s="4">
        <v>0.95486111111111116</v>
      </c>
      <c r="BJ356" s="2">
        <v>13</v>
      </c>
      <c r="BK356" s="2" t="s">
        <v>91</v>
      </c>
      <c r="BL356" s="2" t="s">
        <v>185</v>
      </c>
      <c r="BM356" s="2">
        <v>13</v>
      </c>
      <c r="BN356" s="2" t="s">
        <v>91</v>
      </c>
      <c r="BO356" s="2" t="s">
        <v>828</v>
      </c>
      <c r="BP356" s="2">
        <v>13</v>
      </c>
      <c r="BQ356" s="2" t="s">
        <v>91</v>
      </c>
      <c r="BR356" s="2" t="s">
        <v>185</v>
      </c>
      <c r="BS356" s="3">
        <v>40209</v>
      </c>
      <c r="BT356" s="4">
        <v>1.4317129629629631E-2</v>
      </c>
    </row>
    <row r="357" spans="1:72" x14ac:dyDescent="0.25">
      <c r="A357" s="2">
        <v>567</v>
      </c>
      <c r="B357" s="2">
        <v>2010</v>
      </c>
      <c r="C357" s="2" t="s">
        <v>659</v>
      </c>
      <c r="D357" s="2" t="s">
        <v>73</v>
      </c>
      <c r="E357" s="2"/>
      <c r="F357" s="2">
        <v>555</v>
      </c>
      <c r="G357" s="2" t="s">
        <v>1721</v>
      </c>
      <c r="H357" s="2">
        <v>7</v>
      </c>
      <c r="I357" s="2" t="s">
        <v>476</v>
      </c>
      <c r="J357" s="2">
        <v>347</v>
      </c>
      <c r="K357" s="2" t="s">
        <v>996</v>
      </c>
      <c r="L357" s="2" t="s">
        <v>997</v>
      </c>
      <c r="M357" s="3">
        <v>40209</v>
      </c>
      <c r="N357" s="2" t="s">
        <v>1722</v>
      </c>
      <c r="O357" s="2" t="s">
        <v>550</v>
      </c>
      <c r="P357" s="2" t="s">
        <v>82</v>
      </c>
      <c r="Q357" s="2" t="str">
        <f>"0006/2010"</f>
        <v>0006/2010</v>
      </c>
      <c r="R357" s="2" t="s">
        <v>550</v>
      </c>
      <c r="S357" s="2" t="s">
        <v>550</v>
      </c>
      <c r="T357" s="2">
        <v>1</v>
      </c>
      <c r="U357" s="2" t="s">
        <v>79</v>
      </c>
      <c r="V357" s="2">
        <v>1</v>
      </c>
      <c r="W357" s="2" t="s">
        <v>80</v>
      </c>
      <c r="X357" s="2">
        <v>1</v>
      </c>
      <c r="Y357" s="2" t="s">
        <v>81</v>
      </c>
      <c r="Z357" s="2">
        <v>10</v>
      </c>
      <c r="AA357" s="2" t="s">
        <v>236</v>
      </c>
      <c r="AB357" s="2">
        <v>9</v>
      </c>
      <c r="AC357" s="2" t="s">
        <v>124</v>
      </c>
      <c r="AD357" s="3">
        <v>40208</v>
      </c>
      <c r="AE357" s="4">
        <v>0.93055555555555547</v>
      </c>
      <c r="AF357" s="2"/>
      <c r="AG357" s="2"/>
      <c r="AH357" s="2">
        <v>5</v>
      </c>
      <c r="AI357" s="2" t="s">
        <v>274</v>
      </c>
      <c r="AJ357" s="2">
        <v>42</v>
      </c>
      <c r="AK357" s="2" t="s">
        <v>660</v>
      </c>
      <c r="AL357" s="2">
        <v>18</v>
      </c>
      <c r="AM357" s="2" t="s">
        <v>82</v>
      </c>
      <c r="AN357" s="2" t="s">
        <v>1723</v>
      </c>
      <c r="AO357" s="2" t="s">
        <v>1724</v>
      </c>
      <c r="AP357" s="2">
        <v>11</v>
      </c>
      <c r="AQ357" s="2" t="s">
        <v>82</v>
      </c>
      <c r="AR357" s="2"/>
      <c r="AS357" s="2"/>
      <c r="AT357" s="2" t="s">
        <v>1725</v>
      </c>
      <c r="AU357" s="2"/>
      <c r="AV357" s="2"/>
      <c r="AW357" s="2"/>
      <c r="AX357" s="2"/>
      <c r="AY357" s="2">
        <v>1</v>
      </c>
      <c r="AZ357" s="2" t="s">
        <v>107</v>
      </c>
      <c r="BA357" s="2">
        <v>1</v>
      </c>
      <c r="BB357" s="2" t="s">
        <v>107</v>
      </c>
      <c r="BC357" s="2">
        <v>1</v>
      </c>
      <c r="BD357" s="2" t="s">
        <v>107</v>
      </c>
      <c r="BE357" s="2">
        <v>1</v>
      </c>
      <c r="BF357" s="2" t="s">
        <v>107</v>
      </c>
      <c r="BG357" s="2"/>
      <c r="BH357" s="2"/>
      <c r="BI357" s="2"/>
      <c r="BJ357" s="2">
        <v>242</v>
      </c>
      <c r="BK357" s="2" t="s">
        <v>107</v>
      </c>
      <c r="BL357" s="2"/>
      <c r="BM357" s="2">
        <v>242</v>
      </c>
      <c r="BN357" s="2" t="s">
        <v>107</v>
      </c>
      <c r="BO357" s="2"/>
      <c r="BP357" s="2">
        <v>242</v>
      </c>
      <c r="BQ357" s="2" t="s">
        <v>107</v>
      </c>
      <c r="BR357" s="2"/>
      <c r="BS357" s="3">
        <v>40209</v>
      </c>
      <c r="BT357" s="4">
        <v>8.0960648148148143E-2</v>
      </c>
    </row>
    <row r="358" spans="1:72" x14ac:dyDescent="0.25">
      <c r="A358" s="2">
        <v>568</v>
      </c>
      <c r="B358" s="2">
        <v>2010</v>
      </c>
      <c r="C358" s="2" t="s">
        <v>72</v>
      </c>
      <c r="D358" s="2" t="s">
        <v>73</v>
      </c>
      <c r="E358" s="2"/>
      <c r="F358" s="2">
        <v>390</v>
      </c>
      <c r="G358" s="2" t="s">
        <v>475</v>
      </c>
      <c r="H358" s="2">
        <v>7</v>
      </c>
      <c r="I358" s="2" t="s">
        <v>476</v>
      </c>
      <c r="J358" s="2">
        <v>314</v>
      </c>
      <c r="K358" s="2" t="s">
        <v>477</v>
      </c>
      <c r="L358" s="2" t="s">
        <v>478</v>
      </c>
      <c r="M358" s="3">
        <v>40209</v>
      </c>
      <c r="N358" s="2" t="s">
        <v>1726</v>
      </c>
      <c r="O358" s="2" t="s">
        <v>107</v>
      </c>
      <c r="P358" s="2" t="s">
        <v>107</v>
      </c>
      <c r="Q358" s="2" t="str">
        <f>"063-E/10"</f>
        <v>063-E/10</v>
      </c>
      <c r="R358" s="2" t="s">
        <v>1727</v>
      </c>
      <c r="S358" s="2" t="s">
        <v>1727</v>
      </c>
      <c r="T358" s="2">
        <v>1</v>
      </c>
      <c r="U358" s="2" t="s">
        <v>79</v>
      </c>
      <c r="V358" s="2">
        <v>1</v>
      </c>
      <c r="W358" s="2" t="s">
        <v>80</v>
      </c>
      <c r="X358" s="2">
        <v>1</v>
      </c>
      <c r="Y358" s="2" t="s">
        <v>81</v>
      </c>
      <c r="Z358" s="2">
        <v>1</v>
      </c>
      <c r="AA358" s="2" t="s">
        <v>82</v>
      </c>
      <c r="AB358" s="2">
        <v>6</v>
      </c>
      <c r="AC358" s="2" t="s">
        <v>83</v>
      </c>
      <c r="AD358" s="3">
        <v>40208</v>
      </c>
      <c r="AE358" s="4">
        <v>0.8125</v>
      </c>
      <c r="AF358" s="2"/>
      <c r="AG358" s="2"/>
      <c r="AH358" s="2">
        <v>2</v>
      </c>
      <c r="AI358" s="2" t="s">
        <v>84</v>
      </c>
      <c r="AJ358" s="2">
        <v>9</v>
      </c>
      <c r="AK358" s="2" t="s">
        <v>103</v>
      </c>
      <c r="AL358" s="2">
        <v>15</v>
      </c>
      <c r="AM358" s="2" t="s">
        <v>104</v>
      </c>
      <c r="AN358" s="2" t="s">
        <v>1157</v>
      </c>
      <c r="AO358" s="2"/>
      <c r="AP358" s="2">
        <v>11</v>
      </c>
      <c r="AQ358" s="2" t="s">
        <v>82</v>
      </c>
      <c r="AR358" s="2"/>
      <c r="AS358" s="2"/>
      <c r="AT358" s="2" t="s">
        <v>1728</v>
      </c>
      <c r="AU358" s="2"/>
      <c r="AV358" s="2"/>
      <c r="AW358" s="2"/>
      <c r="AX358" s="2"/>
      <c r="AY358" s="2">
        <v>41</v>
      </c>
      <c r="AZ358" s="2" t="s">
        <v>82</v>
      </c>
      <c r="BA358" s="2">
        <v>41</v>
      </c>
      <c r="BB358" s="2" t="s">
        <v>82</v>
      </c>
      <c r="BC358" s="2">
        <v>41</v>
      </c>
      <c r="BD358" s="2" t="s">
        <v>82</v>
      </c>
      <c r="BE358" s="2">
        <v>41</v>
      </c>
      <c r="BF358" s="2" t="s">
        <v>82</v>
      </c>
      <c r="BG358" s="2"/>
      <c r="BH358" s="2"/>
      <c r="BI358" s="2"/>
      <c r="BJ358" s="2">
        <v>241</v>
      </c>
      <c r="BK358" s="2" t="s">
        <v>82</v>
      </c>
      <c r="BL358" s="2"/>
      <c r="BM358" s="2">
        <v>241</v>
      </c>
      <c r="BN358" s="2" t="s">
        <v>82</v>
      </c>
      <c r="BO358" s="2"/>
      <c r="BP358" s="2">
        <v>241</v>
      </c>
      <c r="BQ358" s="2" t="s">
        <v>82</v>
      </c>
      <c r="BR358" s="2"/>
      <c r="BS358" s="3">
        <v>40209</v>
      </c>
      <c r="BT358" s="4">
        <v>8.8229166666666678E-2</v>
      </c>
    </row>
    <row r="359" spans="1:72" x14ac:dyDescent="0.25">
      <c r="A359" s="2">
        <v>569</v>
      </c>
      <c r="B359" s="2">
        <v>2010</v>
      </c>
      <c r="C359" s="2" t="s">
        <v>72</v>
      </c>
      <c r="D359" s="2" t="s">
        <v>73</v>
      </c>
      <c r="E359" s="2"/>
      <c r="F359" s="2">
        <v>419</v>
      </c>
      <c r="G359" s="2" t="s">
        <v>74</v>
      </c>
      <c r="H359" s="2">
        <v>42</v>
      </c>
      <c r="I359" s="2" t="s">
        <v>1096</v>
      </c>
      <c r="J359" s="2">
        <v>305</v>
      </c>
      <c r="K359" s="2" t="s">
        <v>160</v>
      </c>
      <c r="L359" s="2" t="s">
        <v>161</v>
      </c>
      <c r="M359" s="3">
        <v>40209</v>
      </c>
      <c r="N359" s="2" t="s">
        <v>1010</v>
      </c>
      <c r="O359" s="2" t="s">
        <v>82</v>
      </c>
      <c r="P359" s="2" t="s">
        <v>82</v>
      </c>
      <c r="Q359" s="2" t="str">
        <f>"037-A/10"</f>
        <v>037-A/10</v>
      </c>
      <c r="R359" s="2" t="s">
        <v>82</v>
      </c>
      <c r="S359" s="2" t="s">
        <v>78</v>
      </c>
      <c r="T359" s="2">
        <v>1</v>
      </c>
      <c r="U359" s="2" t="s">
        <v>79</v>
      </c>
      <c r="V359" s="2">
        <v>1</v>
      </c>
      <c r="W359" s="2" t="s">
        <v>80</v>
      </c>
      <c r="X359" s="2">
        <v>1</v>
      </c>
      <c r="Y359" s="2" t="s">
        <v>81</v>
      </c>
      <c r="Z359" s="2">
        <v>1</v>
      </c>
      <c r="AA359" s="2" t="s">
        <v>82</v>
      </c>
      <c r="AB359" s="2">
        <v>6</v>
      </c>
      <c r="AC359" s="2" t="s">
        <v>83</v>
      </c>
      <c r="AD359" s="3">
        <v>40209</v>
      </c>
      <c r="AE359" s="4">
        <v>0.4513888888888889</v>
      </c>
      <c r="AF359" s="3">
        <v>40209</v>
      </c>
      <c r="AG359" s="4">
        <v>0.48958333333333331</v>
      </c>
      <c r="AH359" s="2">
        <v>2</v>
      </c>
      <c r="AI359" s="2" t="s">
        <v>84</v>
      </c>
      <c r="AJ359" s="2">
        <v>12</v>
      </c>
      <c r="AK359" s="2" t="s">
        <v>85</v>
      </c>
      <c r="AL359" s="2">
        <v>12</v>
      </c>
      <c r="AM359" s="2" t="s">
        <v>86</v>
      </c>
      <c r="AN359" s="2" t="s">
        <v>1525</v>
      </c>
      <c r="AO359" s="2" t="s">
        <v>1729</v>
      </c>
      <c r="AP359" s="2">
        <v>11</v>
      </c>
      <c r="AQ359" s="2" t="s">
        <v>82</v>
      </c>
      <c r="AR359" s="2" t="s">
        <v>82</v>
      </c>
      <c r="AS359" s="2" t="s">
        <v>82</v>
      </c>
      <c r="AT359" s="2" t="s">
        <v>1730</v>
      </c>
      <c r="AU359" s="2"/>
      <c r="AV359" s="2"/>
      <c r="AW359" s="2"/>
      <c r="AX359" s="2"/>
      <c r="AY359" s="2">
        <v>41</v>
      </c>
      <c r="AZ359" s="2" t="s">
        <v>82</v>
      </c>
      <c r="BA359" s="2">
        <v>41</v>
      </c>
      <c r="BB359" s="2" t="s">
        <v>82</v>
      </c>
      <c r="BC359" s="2">
        <v>41</v>
      </c>
      <c r="BD359" s="2" t="s">
        <v>82</v>
      </c>
      <c r="BE359" s="2">
        <v>13</v>
      </c>
      <c r="BF359" s="2" t="s">
        <v>108</v>
      </c>
      <c r="BG359" s="2" t="s">
        <v>1731</v>
      </c>
      <c r="BH359" s="4">
        <v>0.61458333333333337</v>
      </c>
      <c r="BI359" s="4">
        <v>0.53472222222222221</v>
      </c>
      <c r="BJ359" s="2">
        <v>13</v>
      </c>
      <c r="BK359" s="2" t="s">
        <v>91</v>
      </c>
      <c r="BL359" s="2" t="s">
        <v>185</v>
      </c>
      <c r="BM359" s="2">
        <v>241</v>
      </c>
      <c r="BN359" s="2" t="s">
        <v>82</v>
      </c>
      <c r="BO359" s="2" t="s">
        <v>82</v>
      </c>
      <c r="BP359" s="2">
        <v>13</v>
      </c>
      <c r="BQ359" s="2" t="s">
        <v>91</v>
      </c>
      <c r="BR359" s="2" t="s">
        <v>92</v>
      </c>
      <c r="BS359" s="3">
        <v>40209</v>
      </c>
      <c r="BT359" s="4">
        <v>0.63570601851851849</v>
      </c>
    </row>
    <row r="360" spans="1:72" x14ac:dyDescent="0.25">
      <c r="A360" s="2">
        <v>570</v>
      </c>
      <c r="B360" s="2">
        <v>2010</v>
      </c>
      <c r="C360" s="2" t="s">
        <v>196</v>
      </c>
      <c r="D360" s="2" t="s">
        <v>122</v>
      </c>
      <c r="E360" s="2"/>
      <c r="F360" s="2">
        <v>1</v>
      </c>
      <c r="G360" s="2" t="s">
        <v>82</v>
      </c>
      <c r="H360" s="2">
        <v>1</v>
      </c>
      <c r="I360" s="2" t="s">
        <v>82</v>
      </c>
      <c r="J360" s="2">
        <v>1</v>
      </c>
      <c r="K360" s="2" t="s">
        <v>107</v>
      </c>
      <c r="L360" s="2" t="s">
        <v>107</v>
      </c>
      <c r="M360" s="3">
        <v>40209</v>
      </c>
      <c r="N360" s="2"/>
      <c r="O360" s="2"/>
      <c r="P360" s="2"/>
      <c r="Q360" s="2" t="str">
        <f>""</f>
        <v/>
      </c>
      <c r="R360" s="2"/>
      <c r="S360" s="2"/>
      <c r="T360" s="2">
        <v>2</v>
      </c>
      <c r="U360" s="2" t="s">
        <v>123</v>
      </c>
      <c r="V360" s="2">
        <v>1</v>
      </c>
      <c r="W360" s="2" t="s">
        <v>80</v>
      </c>
      <c r="X360" s="2">
        <v>5</v>
      </c>
      <c r="Y360" s="2" t="s">
        <v>82</v>
      </c>
      <c r="Z360" s="2">
        <v>1</v>
      </c>
      <c r="AA360" s="2" t="s">
        <v>82</v>
      </c>
      <c r="AB360" s="2">
        <v>9</v>
      </c>
      <c r="AC360" s="2" t="s">
        <v>124</v>
      </c>
      <c r="AD360" s="3">
        <v>40209</v>
      </c>
      <c r="AE360" s="4">
        <v>0.62152777777777779</v>
      </c>
      <c r="AF360" s="2"/>
      <c r="AG360" s="2"/>
      <c r="AH360" s="2">
        <v>6</v>
      </c>
      <c r="AI360" s="2" t="s">
        <v>197</v>
      </c>
      <c r="AJ360" s="2">
        <v>58</v>
      </c>
      <c r="AK360" s="2" t="s">
        <v>406</v>
      </c>
      <c r="AL360" s="2">
        <v>18</v>
      </c>
      <c r="AM360" s="2" t="s">
        <v>82</v>
      </c>
      <c r="AN360" s="2" t="s">
        <v>1004</v>
      </c>
      <c r="AO360" s="2" t="s">
        <v>259</v>
      </c>
      <c r="AP360" s="2">
        <v>11</v>
      </c>
      <c r="AQ360" s="2" t="s">
        <v>82</v>
      </c>
      <c r="AR360" s="2"/>
      <c r="AS360" s="2"/>
      <c r="AT360" s="2" t="s">
        <v>1732</v>
      </c>
      <c r="AU360" s="2"/>
      <c r="AV360" s="2"/>
      <c r="AW360" s="2"/>
      <c r="AX360" s="2"/>
      <c r="AY360" s="2">
        <v>41</v>
      </c>
      <c r="AZ360" s="2" t="s">
        <v>82</v>
      </c>
      <c r="BA360" s="2">
        <v>41</v>
      </c>
      <c r="BB360" s="2" t="s">
        <v>82</v>
      </c>
      <c r="BC360" s="2">
        <v>41</v>
      </c>
      <c r="BD360" s="2" t="s">
        <v>82</v>
      </c>
      <c r="BE360" s="2">
        <v>41</v>
      </c>
      <c r="BF360" s="2" t="s">
        <v>82</v>
      </c>
      <c r="BG360" s="2" t="s">
        <v>265</v>
      </c>
      <c r="BH360" s="2"/>
      <c r="BI360" s="4">
        <v>0.62152777777777779</v>
      </c>
      <c r="BJ360" s="2">
        <v>13</v>
      </c>
      <c r="BK360" s="2" t="s">
        <v>91</v>
      </c>
      <c r="BL360" s="2" t="s">
        <v>492</v>
      </c>
      <c r="BM360" s="2">
        <v>13</v>
      </c>
      <c r="BN360" s="2" t="s">
        <v>91</v>
      </c>
      <c r="BO360" s="2" t="s">
        <v>204</v>
      </c>
      <c r="BP360" s="2">
        <v>13</v>
      </c>
      <c r="BQ360" s="2" t="s">
        <v>91</v>
      </c>
      <c r="BR360" s="2" t="s">
        <v>170</v>
      </c>
      <c r="BS360" s="3">
        <v>40209</v>
      </c>
      <c r="BT360" s="4">
        <v>0.67291666666666661</v>
      </c>
    </row>
    <row r="361" spans="1:72" x14ac:dyDescent="0.25">
      <c r="A361" s="2">
        <v>571</v>
      </c>
      <c r="B361" s="2">
        <v>2010</v>
      </c>
      <c r="C361" s="2" t="s">
        <v>763</v>
      </c>
      <c r="D361" s="2" t="s">
        <v>73</v>
      </c>
      <c r="E361" s="2"/>
      <c r="F361" s="2">
        <v>1</v>
      </c>
      <c r="G361" s="2" t="s">
        <v>82</v>
      </c>
      <c r="H361" s="2">
        <v>1</v>
      </c>
      <c r="I361" s="2" t="s">
        <v>82</v>
      </c>
      <c r="J361" s="2">
        <v>1</v>
      </c>
      <c r="K361" s="2" t="s">
        <v>107</v>
      </c>
      <c r="L361" s="2" t="s">
        <v>107</v>
      </c>
      <c r="M361" s="3">
        <v>40209</v>
      </c>
      <c r="N361" s="2" t="s">
        <v>82</v>
      </c>
      <c r="O361" s="2" t="s">
        <v>82</v>
      </c>
      <c r="P361" s="2" t="s">
        <v>82</v>
      </c>
      <c r="Q361" s="2" t="str">
        <f>"N/C"</f>
        <v>N/C</v>
      </c>
      <c r="R361" s="2" t="s">
        <v>82</v>
      </c>
      <c r="S361" s="2" t="s">
        <v>82</v>
      </c>
      <c r="T361" s="2">
        <v>1</v>
      </c>
      <c r="U361" s="2" t="s">
        <v>79</v>
      </c>
      <c r="V361" s="2">
        <v>1</v>
      </c>
      <c r="W361" s="2" t="s">
        <v>80</v>
      </c>
      <c r="X361" s="2">
        <v>1</v>
      </c>
      <c r="Y361" s="2" t="s">
        <v>81</v>
      </c>
      <c r="Z361" s="2">
        <v>1</v>
      </c>
      <c r="AA361" s="2" t="s">
        <v>82</v>
      </c>
      <c r="AB361" s="2">
        <v>9</v>
      </c>
      <c r="AC361" s="2" t="s">
        <v>124</v>
      </c>
      <c r="AD361" s="3">
        <v>40209</v>
      </c>
      <c r="AE361" s="4">
        <v>0.59027777777777779</v>
      </c>
      <c r="AF361" s="2"/>
      <c r="AG361" s="2"/>
      <c r="AH361" s="2">
        <v>2</v>
      </c>
      <c r="AI361" s="2" t="s">
        <v>84</v>
      </c>
      <c r="AJ361" s="2">
        <v>12</v>
      </c>
      <c r="AK361" s="2" t="s">
        <v>85</v>
      </c>
      <c r="AL361" s="2">
        <v>12</v>
      </c>
      <c r="AM361" s="2" t="s">
        <v>86</v>
      </c>
      <c r="AN361" s="2" t="s">
        <v>107</v>
      </c>
      <c r="AO361" s="2" t="s">
        <v>1733</v>
      </c>
      <c r="AP361" s="2">
        <v>11</v>
      </c>
      <c r="AQ361" s="2" t="s">
        <v>82</v>
      </c>
      <c r="AR361" s="2" t="s">
        <v>82</v>
      </c>
      <c r="AS361" s="2" t="s">
        <v>82</v>
      </c>
      <c r="AT361" s="2" t="s">
        <v>1734</v>
      </c>
      <c r="AU361" s="2"/>
      <c r="AV361" s="2"/>
      <c r="AW361" s="2"/>
      <c r="AX361" s="2"/>
      <c r="AY361" s="2">
        <v>41</v>
      </c>
      <c r="AZ361" s="2" t="s">
        <v>82</v>
      </c>
      <c r="BA361" s="2">
        <v>41</v>
      </c>
      <c r="BB361" s="2" t="s">
        <v>82</v>
      </c>
      <c r="BC361" s="2">
        <v>41</v>
      </c>
      <c r="BD361" s="2" t="s">
        <v>82</v>
      </c>
      <c r="BE361" s="2">
        <v>41</v>
      </c>
      <c r="BF361" s="2" t="s">
        <v>82</v>
      </c>
      <c r="BG361" s="2" t="s">
        <v>82</v>
      </c>
      <c r="BH361" s="2"/>
      <c r="BI361" s="2"/>
      <c r="BJ361" s="2">
        <v>241</v>
      </c>
      <c r="BK361" s="2" t="s">
        <v>82</v>
      </c>
      <c r="BL361" s="2" t="s">
        <v>82</v>
      </c>
      <c r="BM361" s="2">
        <v>241</v>
      </c>
      <c r="BN361" s="2" t="s">
        <v>82</v>
      </c>
      <c r="BO361" s="2" t="s">
        <v>82</v>
      </c>
      <c r="BP361" s="2">
        <v>241</v>
      </c>
      <c r="BQ361" s="2" t="s">
        <v>82</v>
      </c>
      <c r="BR361" s="2" t="s">
        <v>82</v>
      </c>
      <c r="BS361" s="3">
        <v>40209</v>
      </c>
      <c r="BT361" s="4">
        <v>0.69024305555555554</v>
      </c>
    </row>
    <row r="362" spans="1:72" x14ac:dyDescent="0.25">
      <c r="A362" s="2">
        <v>572</v>
      </c>
      <c r="B362" s="2">
        <v>2010</v>
      </c>
      <c r="C362" s="2" t="s">
        <v>196</v>
      </c>
      <c r="D362" s="2" t="s">
        <v>122</v>
      </c>
      <c r="E362" s="2"/>
      <c r="F362" s="2">
        <v>1</v>
      </c>
      <c r="G362" s="2" t="s">
        <v>82</v>
      </c>
      <c r="H362" s="2">
        <v>1</v>
      </c>
      <c r="I362" s="2" t="s">
        <v>82</v>
      </c>
      <c r="J362" s="2">
        <v>1</v>
      </c>
      <c r="K362" s="2" t="s">
        <v>107</v>
      </c>
      <c r="L362" s="2" t="s">
        <v>107</v>
      </c>
      <c r="M362" s="3">
        <v>40209</v>
      </c>
      <c r="N362" s="2"/>
      <c r="O362" s="2"/>
      <c r="P362" s="2"/>
      <c r="Q362" s="2" t="str">
        <f>""</f>
        <v/>
      </c>
      <c r="R362" s="2"/>
      <c r="S362" s="2"/>
      <c r="T362" s="2">
        <v>2</v>
      </c>
      <c r="U362" s="2" t="s">
        <v>123</v>
      </c>
      <c r="V362" s="2">
        <v>1</v>
      </c>
      <c r="W362" s="2" t="s">
        <v>80</v>
      </c>
      <c r="X362" s="2">
        <v>5</v>
      </c>
      <c r="Y362" s="2" t="s">
        <v>82</v>
      </c>
      <c r="Z362" s="2">
        <v>1</v>
      </c>
      <c r="AA362" s="2" t="s">
        <v>82</v>
      </c>
      <c r="AB362" s="2">
        <v>9</v>
      </c>
      <c r="AC362" s="2" t="s">
        <v>124</v>
      </c>
      <c r="AD362" s="3">
        <v>40209</v>
      </c>
      <c r="AE362" s="4">
        <v>0.76041666666666663</v>
      </c>
      <c r="AF362" s="2"/>
      <c r="AG362" s="2"/>
      <c r="AH362" s="2">
        <v>6</v>
      </c>
      <c r="AI362" s="2" t="s">
        <v>197</v>
      </c>
      <c r="AJ362" s="2">
        <v>59</v>
      </c>
      <c r="AK362" s="2" t="s">
        <v>198</v>
      </c>
      <c r="AL362" s="2">
        <v>18</v>
      </c>
      <c r="AM362" s="2" t="s">
        <v>82</v>
      </c>
      <c r="AN362" s="2" t="s">
        <v>259</v>
      </c>
      <c r="AO362" s="2" t="s">
        <v>230</v>
      </c>
      <c r="AP362" s="2">
        <v>11</v>
      </c>
      <c r="AQ362" s="2" t="s">
        <v>82</v>
      </c>
      <c r="AR362" s="2"/>
      <c r="AS362" s="2"/>
      <c r="AT362" s="2" t="s">
        <v>1735</v>
      </c>
      <c r="AU362" s="2"/>
      <c r="AV362" s="2"/>
      <c r="AW362" s="2"/>
      <c r="AX362" s="2"/>
      <c r="AY362" s="2">
        <v>1</v>
      </c>
      <c r="AZ362" s="2" t="s">
        <v>107</v>
      </c>
      <c r="BA362" s="2">
        <v>1</v>
      </c>
      <c r="BB362" s="2" t="s">
        <v>107</v>
      </c>
      <c r="BC362" s="2">
        <v>1</v>
      </c>
      <c r="BD362" s="2" t="s">
        <v>107</v>
      </c>
      <c r="BE362" s="2">
        <v>1</v>
      </c>
      <c r="BF362" s="2" t="s">
        <v>107</v>
      </c>
      <c r="BG362" s="2"/>
      <c r="BH362" s="2"/>
      <c r="BI362" s="4">
        <v>0.76041666666666663</v>
      </c>
      <c r="BJ362" s="2">
        <v>242</v>
      </c>
      <c r="BK362" s="2" t="s">
        <v>107</v>
      </c>
      <c r="BL362" s="2"/>
      <c r="BM362" s="2">
        <v>242</v>
      </c>
      <c r="BN362" s="2" t="s">
        <v>107</v>
      </c>
      <c r="BO362" s="2"/>
      <c r="BP362" s="2">
        <v>242</v>
      </c>
      <c r="BQ362" s="2" t="s">
        <v>107</v>
      </c>
      <c r="BR362" s="2" t="s">
        <v>185</v>
      </c>
      <c r="BS362" s="3">
        <v>40209</v>
      </c>
      <c r="BT362" s="4">
        <v>0.76126157407407413</v>
      </c>
    </row>
    <row r="363" spans="1:72" x14ac:dyDescent="0.25">
      <c r="A363" s="2">
        <v>574</v>
      </c>
      <c r="B363" s="2">
        <v>2010</v>
      </c>
      <c r="C363" s="2" t="s">
        <v>72</v>
      </c>
      <c r="D363" s="2" t="s">
        <v>73</v>
      </c>
      <c r="E363" s="2"/>
      <c r="F363" s="2">
        <v>3</v>
      </c>
      <c r="G363" s="2" t="s">
        <v>1041</v>
      </c>
      <c r="H363" s="2">
        <v>42</v>
      </c>
      <c r="I363" s="2" t="s">
        <v>1096</v>
      </c>
      <c r="J363" s="2">
        <v>368</v>
      </c>
      <c r="K363" s="2" t="s">
        <v>1042</v>
      </c>
      <c r="L363" s="2" t="s">
        <v>1043</v>
      </c>
      <c r="M363" s="3">
        <v>40209</v>
      </c>
      <c r="N363" s="2"/>
      <c r="O363" s="2"/>
      <c r="P363" s="2"/>
      <c r="Q363" s="2" t="str">
        <f>"064-E/10"</f>
        <v>064-E/10</v>
      </c>
      <c r="R363" s="2" t="s">
        <v>116</v>
      </c>
      <c r="S363" s="2" t="s">
        <v>116</v>
      </c>
      <c r="T363" s="2">
        <v>1</v>
      </c>
      <c r="U363" s="2" t="s">
        <v>79</v>
      </c>
      <c r="V363" s="2">
        <v>1</v>
      </c>
      <c r="W363" s="2" t="s">
        <v>80</v>
      </c>
      <c r="X363" s="2">
        <v>5</v>
      </c>
      <c r="Y363" s="2" t="s">
        <v>82</v>
      </c>
      <c r="Z363" s="2">
        <v>1</v>
      </c>
      <c r="AA363" s="2" t="s">
        <v>82</v>
      </c>
      <c r="AB363" s="2">
        <v>6</v>
      </c>
      <c r="AC363" s="2" t="s">
        <v>83</v>
      </c>
      <c r="AD363" s="3">
        <v>40209</v>
      </c>
      <c r="AE363" s="4">
        <v>3.4722222222222224E-2</v>
      </c>
      <c r="AF363" s="3">
        <v>40209</v>
      </c>
      <c r="AG363" s="4">
        <v>0.70833333333333337</v>
      </c>
      <c r="AH363" s="2">
        <v>2</v>
      </c>
      <c r="AI363" s="2" t="s">
        <v>84</v>
      </c>
      <c r="AJ363" s="2">
        <v>9</v>
      </c>
      <c r="AK363" s="2" t="s">
        <v>103</v>
      </c>
      <c r="AL363" s="2">
        <v>18</v>
      </c>
      <c r="AM363" s="2" t="s">
        <v>82</v>
      </c>
      <c r="AN363" s="2"/>
      <c r="AO363" s="2" t="s">
        <v>1736</v>
      </c>
      <c r="AP363" s="2">
        <v>11</v>
      </c>
      <c r="AQ363" s="2" t="s">
        <v>82</v>
      </c>
      <c r="AR363" s="2"/>
      <c r="AS363" s="2"/>
      <c r="AT363" s="2" t="s">
        <v>1737</v>
      </c>
      <c r="AU363" s="2"/>
      <c r="AV363" s="2"/>
      <c r="AW363" s="2"/>
      <c r="AX363" s="2"/>
      <c r="AY363" s="2">
        <v>41</v>
      </c>
      <c r="AZ363" s="2" t="s">
        <v>82</v>
      </c>
      <c r="BA363" s="2">
        <v>41</v>
      </c>
      <c r="BB363" s="2" t="s">
        <v>82</v>
      </c>
      <c r="BC363" s="2">
        <v>41</v>
      </c>
      <c r="BD363" s="2" t="s">
        <v>82</v>
      </c>
      <c r="BE363" s="2">
        <v>39</v>
      </c>
      <c r="BF363" s="2" t="s">
        <v>440</v>
      </c>
      <c r="BG363" s="2" t="s">
        <v>1738</v>
      </c>
      <c r="BH363" s="4">
        <v>3.4722222222222224E-2</v>
      </c>
      <c r="BI363" s="2"/>
      <c r="BJ363" s="2">
        <v>33</v>
      </c>
      <c r="BK363" s="2" t="s">
        <v>361</v>
      </c>
      <c r="BL363" s="2" t="s">
        <v>1739</v>
      </c>
      <c r="BM363" s="2">
        <v>242</v>
      </c>
      <c r="BN363" s="2" t="s">
        <v>107</v>
      </c>
      <c r="BO363" s="2"/>
      <c r="BP363" s="2">
        <v>13</v>
      </c>
      <c r="BQ363" s="2" t="s">
        <v>91</v>
      </c>
      <c r="BR363" s="2" t="s">
        <v>1108</v>
      </c>
      <c r="BS363" s="3">
        <v>40209</v>
      </c>
      <c r="BT363" s="4">
        <v>0.7896643518518518</v>
      </c>
    </row>
    <row r="364" spans="1:72" x14ac:dyDescent="0.25">
      <c r="A364" s="2">
        <v>575</v>
      </c>
      <c r="B364" s="2">
        <v>2010</v>
      </c>
      <c r="C364" s="2" t="s">
        <v>128</v>
      </c>
      <c r="D364" s="2" t="s">
        <v>122</v>
      </c>
      <c r="E364" s="2"/>
      <c r="F364" s="2">
        <v>1</v>
      </c>
      <c r="G364" s="2" t="s">
        <v>82</v>
      </c>
      <c r="H364" s="2">
        <v>1</v>
      </c>
      <c r="I364" s="2" t="s">
        <v>82</v>
      </c>
      <c r="J364" s="2">
        <v>1</v>
      </c>
      <c r="K364" s="2" t="s">
        <v>107</v>
      </c>
      <c r="L364" s="2" t="s">
        <v>107</v>
      </c>
      <c r="M364" s="3">
        <v>40209</v>
      </c>
      <c r="N364" s="2"/>
      <c r="O364" s="2"/>
      <c r="P364" s="2"/>
      <c r="Q364" s="2" t="str">
        <f>""</f>
        <v/>
      </c>
      <c r="R364" s="2"/>
      <c r="S364" s="2"/>
      <c r="T364" s="2">
        <v>1</v>
      </c>
      <c r="U364" s="2" t="s">
        <v>79</v>
      </c>
      <c r="V364" s="2">
        <v>1</v>
      </c>
      <c r="W364" s="2" t="s">
        <v>80</v>
      </c>
      <c r="X364" s="2">
        <v>5</v>
      </c>
      <c r="Y364" s="2" t="s">
        <v>82</v>
      </c>
      <c r="Z364" s="2">
        <v>1</v>
      </c>
      <c r="AA364" s="2" t="s">
        <v>82</v>
      </c>
      <c r="AB364" s="2">
        <v>9</v>
      </c>
      <c r="AC364" s="2" t="s">
        <v>124</v>
      </c>
      <c r="AD364" s="2"/>
      <c r="AE364" s="2"/>
      <c r="AF364" s="2"/>
      <c r="AG364" s="2"/>
      <c r="AH364" s="2">
        <v>5</v>
      </c>
      <c r="AI364" s="2" t="s">
        <v>274</v>
      </c>
      <c r="AJ364" s="2">
        <v>43</v>
      </c>
      <c r="AK364" s="2" t="s">
        <v>918</v>
      </c>
      <c r="AL364" s="2">
        <v>18</v>
      </c>
      <c r="AM364" s="2" t="s">
        <v>82</v>
      </c>
      <c r="AN364" s="2"/>
      <c r="AO364" s="2"/>
      <c r="AP364" s="2">
        <v>11</v>
      </c>
      <c r="AQ364" s="2" t="s">
        <v>82</v>
      </c>
      <c r="AR364" s="2"/>
      <c r="AS364" s="2"/>
      <c r="AT364" s="2" t="s">
        <v>1740</v>
      </c>
      <c r="AU364" s="2"/>
      <c r="AV364" s="2"/>
      <c r="AW364" s="2"/>
      <c r="AX364" s="2"/>
      <c r="AY364" s="2">
        <v>1</v>
      </c>
      <c r="AZ364" s="2" t="s">
        <v>107</v>
      </c>
      <c r="BA364" s="2">
        <v>1</v>
      </c>
      <c r="BB364" s="2" t="s">
        <v>107</v>
      </c>
      <c r="BC364" s="2">
        <v>1</v>
      </c>
      <c r="BD364" s="2" t="s">
        <v>107</v>
      </c>
      <c r="BE364" s="2">
        <v>1</v>
      </c>
      <c r="BF364" s="2" t="s">
        <v>107</v>
      </c>
      <c r="BG364" s="2"/>
      <c r="BH364" s="2"/>
      <c r="BI364" s="2"/>
      <c r="BJ364" s="2">
        <v>242</v>
      </c>
      <c r="BK364" s="2" t="s">
        <v>107</v>
      </c>
      <c r="BL364" s="2"/>
      <c r="BM364" s="2">
        <v>242</v>
      </c>
      <c r="BN364" s="2" t="s">
        <v>107</v>
      </c>
      <c r="BO364" s="2"/>
      <c r="BP364" s="2">
        <v>242</v>
      </c>
      <c r="BQ364" s="2" t="s">
        <v>107</v>
      </c>
      <c r="BR364" s="2"/>
      <c r="BS364" s="3">
        <v>40209</v>
      </c>
      <c r="BT364" s="4">
        <v>0.88736111111111116</v>
      </c>
    </row>
    <row r="365" spans="1:72" x14ac:dyDescent="0.25">
      <c r="A365" s="2">
        <v>576</v>
      </c>
      <c r="B365" s="2">
        <v>2010</v>
      </c>
      <c r="C365" s="2" t="s">
        <v>196</v>
      </c>
      <c r="D365" s="2" t="s">
        <v>122</v>
      </c>
      <c r="E365" s="2"/>
      <c r="F365" s="2">
        <v>1</v>
      </c>
      <c r="G365" s="2" t="s">
        <v>82</v>
      </c>
      <c r="H365" s="2">
        <v>1</v>
      </c>
      <c r="I365" s="2" t="s">
        <v>82</v>
      </c>
      <c r="J365" s="2">
        <v>1</v>
      </c>
      <c r="K365" s="2" t="s">
        <v>107</v>
      </c>
      <c r="L365" s="2" t="s">
        <v>107</v>
      </c>
      <c r="M365" s="3">
        <v>40209</v>
      </c>
      <c r="N365" s="2" t="s">
        <v>82</v>
      </c>
      <c r="O365" s="2" t="s">
        <v>82</v>
      </c>
      <c r="P365" s="2" t="s">
        <v>82</v>
      </c>
      <c r="Q365" s="2" t="str">
        <f>"N/C"</f>
        <v>N/C</v>
      </c>
      <c r="R365" s="2" t="s">
        <v>82</v>
      </c>
      <c r="S365" s="2" t="s">
        <v>82</v>
      </c>
      <c r="T365" s="2">
        <v>2</v>
      </c>
      <c r="U365" s="2" t="s">
        <v>123</v>
      </c>
      <c r="V365" s="2">
        <v>1</v>
      </c>
      <c r="W365" s="2" t="s">
        <v>80</v>
      </c>
      <c r="X365" s="2">
        <v>1</v>
      </c>
      <c r="Y365" s="2" t="s">
        <v>81</v>
      </c>
      <c r="Z365" s="2">
        <v>10</v>
      </c>
      <c r="AA365" s="2" t="s">
        <v>236</v>
      </c>
      <c r="AB365" s="2">
        <v>9</v>
      </c>
      <c r="AC365" s="2" t="s">
        <v>124</v>
      </c>
      <c r="AD365" s="3">
        <v>40209</v>
      </c>
      <c r="AE365" s="4">
        <v>0.8125</v>
      </c>
      <c r="AF365" s="2"/>
      <c r="AG365" s="2"/>
      <c r="AH365" s="2">
        <v>2</v>
      </c>
      <c r="AI365" s="2" t="s">
        <v>84</v>
      </c>
      <c r="AJ365" s="2">
        <v>12</v>
      </c>
      <c r="AK365" s="2" t="s">
        <v>85</v>
      </c>
      <c r="AL365" s="2">
        <v>20</v>
      </c>
      <c r="AM365" s="2" t="s">
        <v>992</v>
      </c>
      <c r="AN365" s="2" t="s">
        <v>107</v>
      </c>
      <c r="AO365" s="2" t="s">
        <v>107</v>
      </c>
      <c r="AP365" s="2">
        <v>11</v>
      </c>
      <c r="AQ365" s="2" t="s">
        <v>82</v>
      </c>
      <c r="AR365" s="2" t="s">
        <v>82</v>
      </c>
      <c r="AS365" s="2" t="s">
        <v>82</v>
      </c>
      <c r="AT365" s="2" t="s">
        <v>1741</v>
      </c>
      <c r="AU365" s="2"/>
      <c r="AV365" s="2"/>
      <c r="AW365" s="2"/>
      <c r="AX365" s="2"/>
      <c r="AY365" s="2">
        <v>41</v>
      </c>
      <c r="AZ365" s="2" t="s">
        <v>82</v>
      </c>
      <c r="BA365" s="2">
        <v>41</v>
      </c>
      <c r="BB365" s="2" t="s">
        <v>82</v>
      </c>
      <c r="BC365" s="2">
        <v>41</v>
      </c>
      <c r="BD365" s="2" t="s">
        <v>82</v>
      </c>
      <c r="BE365" s="2">
        <v>41</v>
      </c>
      <c r="BF365" s="2" t="s">
        <v>82</v>
      </c>
      <c r="BG365" s="2" t="s">
        <v>82</v>
      </c>
      <c r="BH365" s="4">
        <v>0.86944444444444446</v>
      </c>
      <c r="BI365" s="2"/>
      <c r="BJ365" s="2">
        <v>13</v>
      </c>
      <c r="BK365" s="2" t="s">
        <v>91</v>
      </c>
      <c r="BL365" s="2" t="s">
        <v>204</v>
      </c>
      <c r="BM365" s="2">
        <v>241</v>
      </c>
      <c r="BN365" s="2" t="s">
        <v>82</v>
      </c>
      <c r="BO365" s="2" t="s">
        <v>82</v>
      </c>
      <c r="BP365" s="2">
        <v>13</v>
      </c>
      <c r="BQ365" s="2" t="s">
        <v>91</v>
      </c>
      <c r="BR365" s="2" t="s">
        <v>185</v>
      </c>
      <c r="BS365" s="3">
        <v>40209</v>
      </c>
      <c r="BT365" s="4">
        <v>0.93140046296296297</v>
      </c>
    </row>
    <row r="366" spans="1:72" x14ac:dyDescent="0.25">
      <c r="A366" s="2">
        <v>577</v>
      </c>
      <c r="B366" s="2">
        <v>2010</v>
      </c>
      <c r="C366" s="2" t="s">
        <v>72</v>
      </c>
      <c r="D366" s="2" t="s">
        <v>73</v>
      </c>
      <c r="E366" s="2"/>
      <c r="F366" s="2">
        <v>479</v>
      </c>
      <c r="G366" s="2" t="s">
        <v>1377</v>
      </c>
      <c r="H366" s="2">
        <v>42</v>
      </c>
      <c r="I366" s="2" t="s">
        <v>1096</v>
      </c>
      <c r="J366" s="2">
        <v>387</v>
      </c>
      <c r="K366" s="2" t="s">
        <v>1378</v>
      </c>
      <c r="L366" s="2" t="s">
        <v>1379</v>
      </c>
      <c r="M366" s="3">
        <v>40210</v>
      </c>
      <c r="N366" s="2" t="s">
        <v>1742</v>
      </c>
      <c r="O366" s="2" t="s">
        <v>82</v>
      </c>
      <c r="P366" s="2" t="s">
        <v>82</v>
      </c>
      <c r="Q366" s="2" t="str">
        <f>"038-A/10"</f>
        <v>038-A/10</v>
      </c>
      <c r="R366" s="2" t="s">
        <v>82</v>
      </c>
      <c r="S366" s="2" t="s">
        <v>899</v>
      </c>
      <c r="T366" s="2">
        <v>1</v>
      </c>
      <c r="U366" s="2" t="s">
        <v>79</v>
      </c>
      <c r="V366" s="2">
        <v>1</v>
      </c>
      <c r="W366" s="2" t="s">
        <v>80</v>
      </c>
      <c r="X366" s="2">
        <v>1</v>
      </c>
      <c r="Y366" s="2" t="s">
        <v>81</v>
      </c>
      <c r="Z366" s="2">
        <v>1</v>
      </c>
      <c r="AA366" s="2" t="s">
        <v>82</v>
      </c>
      <c r="AB366" s="2">
        <v>6</v>
      </c>
      <c r="AC366" s="2" t="s">
        <v>83</v>
      </c>
      <c r="AD366" s="3">
        <v>40209</v>
      </c>
      <c r="AE366" s="4">
        <v>0.75</v>
      </c>
      <c r="AF366" s="3">
        <v>40209</v>
      </c>
      <c r="AG366" s="4">
        <v>0.88194444444444453</v>
      </c>
      <c r="AH366" s="2">
        <v>2</v>
      </c>
      <c r="AI366" s="2" t="s">
        <v>84</v>
      </c>
      <c r="AJ366" s="2">
        <v>12</v>
      </c>
      <c r="AK366" s="2" t="s">
        <v>85</v>
      </c>
      <c r="AL366" s="2">
        <v>10</v>
      </c>
      <c r="AM366" s="2" t="s">
        <v>200</v>
      </c>
      <c r="AN366" s="2" t="s">
        <v>107</v>
      </c>
      <c r="AO366" s="2" t="s">
        <v>107</v>
      </c>
      <c r="AP366" s="2">
        <v>11</v>
      </c>
      <c r="AQ366" s="2" t="s">
        <v>82</v>
      </c>
      <c r="AR366" s="2" t="s">
        <v>82</v>
      </c>
      <c r="AS366" s="2" t="s">
        <v>82</v>
      </c>
      <c r="AT366" s="2" t="s">
        <v>1743</v>
      </c>
      <c r="AU366" s="2"/>
      <c r="AV366" s="2"/>
      <c r="AW366" s="2"/>
      <c r="AX366" s="2"/>
      <c r="AY366" s="2">
        <v>41</v>
      </c>
      <c r="AZ366" s="2" t="s">
        <v>82</v>
      </c>
      <c r="BA366" s="2">
        <v>41</v>
      </c>
      <c r="BB366" s="2" t="s">
        <v>82</v>
      </c>
      <c r="BC366" s="2">
        <v>41</v>
      </c>
      <c r="BD366" s="2" t="s">
        <v>82</v>
      </c>
      <c r="BE366" s="2">
        <v>10</v>
      </c>
      <c r="BF366" s="2" t="s">
        <v>901</v>
      </c>
      <c r="BG366" s="2" t="s">
        <v>1744</v>
      </c>
      <c r="BH366" s="4">
        <v>0.75</v>
      </c>
      <c r="BI366" s="4">
        <v>0.70833333333333337</v>
      </c>
      <c r="BJ366" s="2">
        <v>229</v>
      </c>
      <c r="BK366" s="2" t="s">
        <v>300</v>
      </c>
      <c r="BL366" s="2" t="s">
        <v>301</v>
      </c>
      <c r="BM366" s="2">
        <v>241</v>
      </c>
      <c r="BN366" s="2" t="s">
        <v>82</v>
      </c>
      <c r="BO366" s="2" t="s">
        <v>82</v>
      </c>
      <c r="BP366" s="2">
        <v>13</v>
      </c>
      <c r="BQ366" s="2" t="s">
        <v>91</v>
      </c>
      <c r="BR366" s="2" t="s">
        <v>185</v>
      </c>
      <c r="BS366" s="3">
        <v>40210</v>
      </c>
      <c r="BT366" s="4">
        <v>1.4745370370370372E-2</v>
      </c>
    </row>
    <row r="367" spans="1:72" x14ac:dyDescent="0.25">
      <c r="A367" s="2">
        <v>578</v>
      </c>
      <c r="B367" s="2">
        <v>2010</v>
      </c>
      <c r="C367" s="2" t="s">
        <v>128</v>
      </c>
      <c r="D367" s="2" t="s">
        <v>122</v>
      </c>
      <c r="E367" s="2"/>
      <c r="F367" s="2">
        <v>1</v>
      </c>
      <c r="G367" s="2" t="s">
        <v>82</v>
      </c>
      <c r="H367" s="2">
        <v>1</v>
      </c>
      <c r="I367" s="2" t="s">
        <v>82</v>
      </c>
      <c r="J367" s="2">
        <v>1</v>
      </c>
      <c r="K367" s="2" t="s">
        <v>107</v>
      </c>
      <c r="L367" s="2" t="s">
        <v>107</v>
      </c>
      <c r="M367" s="3">
        <v>40210</v>
      </c>
      <c r="N367" s="2"/>
      <c r="O367" s="2"/>
      <c r="P367" s="2"/>
      <c r="Q367" s="2" t="str">
        <f>""</f>
        <v/>
      </c>
      <c r="R367" s="2"/>
      <c r="S367" s="2"/>
      <c r="T367" s="2">
        <v>1</v>
      </c>
      <c r="U367" s="2" t="s">
        <v>79</v>
      </c>
      <c r="V367" s="2">
        <v>1</v>
      </c>
      <c r="W367" s="2" t="s">
        <v>80</v>
      </c>
      <c r="X367" s="2">
        <v>5</v>
      </c>
      <c r="Y367" s="2" t="s">
        <v>82</v>
      </c>
      <c r="Z367" s="2">
        <v>1</v>
      </c>
      <c r="AA367" s="2" t="s">
        <v>82</v>
      </c>
      <c r="AB367" s="2">
        <v>9</v>
      </c>
      <c r="AC367" s="2" t="s">
        <v>124</v>
      </c>
      <c r="AD367" s="2"/>
      <c r="AE367" s="2"/>
      <c r="AF367" s="2"/>
      <c r="AG367" s="2"/>
      <c r="AH367" s="2">
        <v>3</v>
      </c>
      <c r="AI367" s="2" t="s">
        <v>214</v>
      </c>
      <c r="AJ367" s="2">
        <v>24</v>
      </c>
      <c r="AK367" s="2" t="s">
        <v>215</v>
      </c>
      <c r="AL367" s="2">
        <v>18</v>
      </c>
      <c r="AM367" s="2" t="s">
        <v>82</v>
      </c>
      <c r="AN367" s="2"/>
      <c r="AO367" s="2"/>
      <c r="AP367" s="2">
        <v>11</v>
      </c>
      <c r="AQ367" s="2" t="s">
        <v>82</v>
      </c>
      <c r="AR367" s="2"/>
      <c r="AS367" s="2"/>
      <c r="AT367" s="2" t="s">
        <v>1745</v>
      </c>
      <c r="AU367" s="2"/>
      <c r="AV367" s="2"/>
      <c r="AW367" s="2"/>
      <c r="AX367" s="2"/>
      <c r="AY367" s="2">
        <v>1</v>
      </c>
      <c r="AZ367" s="2" t="s">
        <v>107</v>
      </c>
      <c r="BA367" s="2">
        <v>1</v>
      </c>
      <c r="BB367" s="2" t="s">
        <v>107</v>
      </c>
      <c r="BC367" s="2">
        <v>1</v>
      </c>
      <c r="BD367" s="2" t="s">
        <v>107</v>
      </c>
      <c r="BE367" s="2">
        <v>1</v>
      </c>
      <c r="BF367" s="2" t="s">
        <v>107</v>
      </c>
      <c r="BG367" s="2"/>
      <c r="BH367" s="2"/>
      <c r="BI367" s="2"/>
      <c r="BJ367" s="2">
        <v>242</v>
      </c>
      <c r="BK367" s="2" t="s">
        <v>107</v>
      </c>
      <c r="BL367" s="2"/>
      <c r="BM367" s="2">
        <v>242</v>
      </c>
      <c r="BN367" s="2" t="s">
        <v>107</v>
      </c>
      <c r="BO367" s="2"/>
      <c r="BP367" s="2">
        <v>242</v>
      </c>
      <c r="BQ367" s="2" t="s">
        <v>107</v>
      </c>
      <c r="BR367" s="2"/>
      <c r="BS367" s="3">
        <v>40210</v>
      </c>
      <c r="BT367" s="4">
        <v>0.37016203703703704</v>
      </c>
    </row>
    <row r="368" spans="1:72" x14ac:dyDescent="0.25">
      <c r="A368" s="2">
        <v>579</v>
      </c>
      <c r="B368" s="2">
        <v>2010</v>
      </c>
      <c r="C368" s="2" t="s">
        <v>128</v>
      </c>
      <c r="D368" s="2" t="s">
        <v>122</v>
      </c>
      <c r="E368" s="2" t="s">
        <v>1746</v>
      </c>
      <c r="F368" s="2">
        <v>1</v>
      </c>
      <c r="G368" s="2" t="s">
        <v>82</v>
      </c>
      <c r="H368" s="2">
        <v>1</v>
      </c>
      <c r="I368" s="2" t="s">
        <v>82</v>
      </c>
      <c r="J368" s="2">
        <v>1</v>
      </c>
      <c r="K368" s="2" t="s">
        <v>107</v>
      </c>
      <c r="L368" s="2" t="s">
        <v>107</v>
      </c>
      <c r="M368" s="3">
        <v>40210</v>
      </c>
      <c r="N368" s="2"/>
      <c r="O368" s="2"/>
      <c r="P368" s="2"/>
      <c r="Q368" s="2" t="str">
        <f>""</f>
        <v/>
      </c>
      <c r="R368" s="2"/>
      <c r="S368" s="2"/>
      <c r="T368" s="2">
        <v>1</v>
      </c>
      <c r="U368" s="2" t="s">
        <v>79</v>
      </c>
      <c r="V368" s="2">
        <v>1</v>
      </c>
      <c r="W368" s="2" t="s">
        <v>80</v>
      </c>
      <c r="X368" s="2">
        <v>5</v>
      </c>
      <c r="Y368" s="2" t="s">
        <v>82</v>
      </c>
      <c r="Z368" s="2">
        <v>1</v>
      </c>
      <c r="AA368" s="2" t="s">
        <v>82</v>
      </c>
      <c r="AB368" s="2">
        <v>9</v>
      </c>
      <c r="AC368" s="2" t="s">
        <v>124</v>
      </c>
      <c r="AD368" s="2"/>
      <c r="AE368" s="2"/>
      <c r="AF368" s="2"/>
      <c r="AG368" s="2"/>
      <c r="AH368" s="2">
        <v>3</v>
      </c>
      <c r="AI368" s="2" t="s">
        <v>214</v>
      </c>
      <c r="AJ368" s="2">
        <v>24</v>
      </c>
      <c r="AK368" s="2" t="s">
        <v>215</v>
      </c>
      <c r="AL368" s="2">
        <v>18</v>
      </c>
      <c r="AM368" s="2" t="s">
        <v>82</v>
      </c>
      <c r="AN368" s="2"/>
      <c r="AO368" s="2"/>
      <c r="AP368" s="2">
        <v>11</v>
      </c>
      <c r="AQ368" s="2" t="s">
        <v>82</v>
      </c>
      <c r="AR368" s="2"/>
      <c r="AS368" s="2"/>
      <c r="AT368" s="2" t="s">
        <v>1747</v>
      </c>
      <c r="AU368" s="2"/>
      <c r="AV368" s="2"/>
      <c r="AW368" s="2"/>
      <c r="AX368" s="2"/>
      <c r="AY368" s="2">
        <v>1</v>
      </c>
      <c r="AZ368" s="2" t="s">
        <v>107</v>
      </c>
      <c r="BA368" s="2">
        <v>1</v>
      </c>
      <c r="BB368" s="2" t="s">
        <v>107</v>
      </c>
      <c r="BC368" s="2">
        <v>1</v>
      </c>
      <c r="BD368" s="2" t="s">
        <v>107</v>
      </c>
      <c r="BE368" s="2">
        <v>1</v>
      </c>
      <c r="BF368" s="2" t="s">
        <v>107</v>
      </c>
      <c r="BG368" s="2"/>
      <c r="BH368" s="2"/>
      <c r="BI368" s="2"/>
      <c r="BJ368" s="2">
        <v>242</v>
      </c>
      <c r="BK368" s="2" t="s">
        <v>107</v>
      </c>
      <c r="BL368" s="2"/>
      <c r="BM368" s="2">
        <v>242</v>
      </c>
      <c r="BN368" s="2" t="s">
        <v>107</v>
      </c>
      <c r="BO368" s="2"/>
      <c r="BP368" s="2">
        <v>242</v>
      </c>
      <c r="BQ368" s="2" t="s">
        <v>107</v>
      </c>
      <c r="BR368" s="2"/>
      <c r="BS368" s="3">
        <v>40210</v>
      </c>
      <c r="BT368" s="4">
        <v>0.43998842592592591</v>
      </c>
    </row>
    <row r="369" spans="1:72" x14ac:dyDescent="0.25">
      <c r="A369" s="2">
        <v>582</v>
      </c>
      <c r="B369" s="2">
        <v>2010</v>
      </c>
      <c r="C369" s="2" t="s">
        <v>1748</v>
      </c>
      <c r="D369" s="2" t="s">
        <v>73</v>
      </c>
      <c r="E369" s="2"/>
      <c r="F369" s="2">
        <v>181</v>
      </c>
      <c r="G369" s="2" t="s">
        <v>1749</v>
      </c>
      <c r="H369" s="2">
        <v>52</v>
      </c>
      <c r="I369" s="2" t="s">
        <v>1750</v>
      </c>
      <c r="J369" s="2">
        <v>189</v>
      </c>
      <c r="K369" s="2" t="s">
        <v>1751</v>
      </c>
      <c r="L369" s="2" t="s">
        <v>1752</v>
      </c>
      <c r="M369" s="3">
        <v>40210</v>
      </c>
      <c r="N369" s="2" t="s">
        <v>1753</v>
      </c>
      <c r="O369" s="2" t="s">
        <v>1754</v>
      </c>
      <c r="P369" s="2"/>
      <c r="Q369" s="2" t="str">
        <f>"039-A/10"</f>
        <v>039-A/10</v>
      </c>
      <c r="R369" s="2"/>
      <c r="S369" s="2" t="s">
        <v>1754</v>
      </c>
      <c r="T369" s="2">
        <v>1</v>
      </c>
      <c r="U369" s="2" t="s">
        <v>79</v>
      </c>
      <c r="V369" s="2">
        <v>1</v>
      </c>
      <c r="W369" s="2" t="s">
        <v>80</v>
      </c>
      <c r="X369" s="2">
        <v>1</v>
      </c>
      <c r="Y369" s="2" t="s">
        <v>81</v>
      </c>
      <c r="Z369" s="2">
        <v>1</v>
      </c>
      <c r="AA369" s="2" t="s">
        <v>82</v>
      </c>
      <c r="AB369" s="2">
        <v>9</v>
      </c>
      <c r="AC369" s="2" t="s">
        <v>124</v>
      </c>
      <c r="AD369" s="3">
        <v>40210</v>
      </c>
      <c r="AE369" s="4">
        <v>0.22916666666666666</v>
      </c>
      <c r="AF369" s="3">
        <v>40210</v>
      </c>
      <c r="AG369" s="4">
        <v>0.41666666666666669</v>
      </c>
      <c r="AH369" s="2">
        <v>2</v>
      </c>
      <c r="AI369" s="2" t="s">
        <v>84</v>
      </c>
      <c r="AJ369" s="2">
        <v>12</v>
      </c>
      <c r="AK369" s="2" t="s">
        <v>85</v>
      </c>
      <c r="AL369" s="2">
        <v>18</v>
      </c>
      <c r="AM369" s="2" t="s">
        <v>82</v>
      </c>
      <c r="AN369" s="2" t="s">
        <v>1755</v>
      </c>
      <c r="AO369" s="2" t="s">
        <v>628</v>
      </c>
      <c r="AP369" s="2">
        <v>11</v>
      </c>
      <c r="AQ369" s="2" t="s">
        <v>82</v>
      </c>
      <c r="AR369" s="2"/>
      <c r="AS369" s="2"/>
      <c r="AT369" s="2" t="s">
        <v>1756</v>
      </c>
      <c r="AU369" s="2"/>
      <c r="AV369" s="2"/>
      <c r="AW369" s="2"/>
      <c r="AX369" s="2"/>
      <c r="AY369" s="2">
        <v>41</v>
      </c>
      <c r="AZ369" s="2" t="s">
        <v>82</v>
      </c>
      <c r="BA369" s="2">
        <v>41</v>
      </c>
      <c r="BB369" s="2" t="s">
        <v>82</v>
      </c>
      <c r="BC369" s="2">
        <v>41</v>
      </c>
      <c r="BD369" s="2" t="s">
        <v>82</v>
      </c>
      <c r="BE369" s="2">
        <v>41</v>
      </c>
      <c r="BF369" s="2" t="s">
        <v>82</v>
      </c>
      <c r="BG369" s="2"/>
      <c r="BH369" s="2"/>
      <c r="BI369" s="2"/>
      <c r="BJ369" s="2">
        <v>241</v>
      </c>
      <c r="BK369" s="2" t="s">
        <v>82</v>
      </c>
      <c r="BL369" s="2"/>
      <c r="BM369" s="2">
        <v>241</v>
      </c>
      <c r="BN369" s="2" t="s">
        <v>82</v>
      </c>
      <c r="BO369" s="2"/>
      <c r="BP369" s="2">
        <v>241</v>
      </c>
      <c r="BQ369" s="2" t="s">
        <v>82</v>
      </c>
      <c r="BR369" s="2"/>
      <c r="BS369" s="3">
        <v>40210</v>
      </c>
      <c r="BT369" s="4">
        <v>0.53317129629629634</v>
      </c>
    </row>
    <row r="370" spans="1:72" x14ac:dyDescent="0.25">
      <c r="A370" s="2">
        <v>582</v>
      </c>
      <c r="B370" s="2">
        <v>2010</v>
      </c>
      <c r="C370" s="2" t="s">
        <v>72</v>
      </c>
      <c r="D370" s="2" t="s">
        <v>73</v>
      </c>
      <c r="E370" s="2"/>
      <c r="F370" s="2">
        <v>181</v>
      </c>
      <c r="G370" s="2" t="s">
        <v>1749</v>
      </c>
      <c r="H370" s="2">
        <v>52</v>
      </c>
      <c r="I370" s="2" t="s">
        <v>1750</v>
      </c>
      <c r="J370" s="2">
        <v>189</v>
      </c>
      <c r="K370" s="2" t="s">
        <v>1751</v>
      </c>
      <c r="L370" s="2" t="s">
        <v>1752</v>
      </c>
      <c r="M370" s="3">
        <v>40210</v>
      </c>
      <c r="N370" s="2" t="s">
        <v>1753</v>
      </c>
      <c r="O370" s="2" t="s">
        <v>1754</v>
      </c>
      <c r="P370" s="2"/>
      <c r="Q370" s="2" t="str">
        <f>"039-A/10"</f>
        <v>039-A/10</v>
      </c>
      <c r="R370" s="2"/>
      <c r="S370" s="2" t="s">
        <v>1754</v>
      </c>
      <c r="T370" s="2">
        <v>1</v>
      </c>
      <c r="U370" s="2" t="s">
        <v>79</v>
      </c>
      <c r="V370" s="2">
        <v>1</v>
      </c>
      <c r="W370" s="2" t="s">
        <v>80</v>
      </c>
      <c r="X370" s="2">
        <v>1</v>
      </c>
      <c r="Y370" s="2" t="s">
        <v>81</v>
      </c>
      <c r="Z370" s="2">
        <v>1</v>
      </c>
      <c r="AA370" s="2" t="s">
        <v>82</v>
      </c>
      <c r="AB370" s="2">
        <v>6</v>
      </c>
      <c r="AC370" s="2" t="s">
        <v>83</v>
      </c>
      <c r="AD370" s="3">
        <v>40210</v>
      </c>
      <c r="AE370" s="4">
        <v>0.22916666666666666</v>
      </c>
      <c r="AF370" s="3">
        <v>40210</v>
      </c>
      <c r="AG370" s="4">
        <v>0.41666666666666669</v>
      </c>
      <c r="AH370" s="2">
        <v>2</v>
      </c>
      <c r="AI370" s="2" t="s">
        <v>84</v>
      </c>
      <c r="AJ370" s="2">
        <v>12</v>
      </c>
      <c r="AK370" s="2" t="s">
        <v>85</v>
      </c>
      <c r="AL370" s="2">
        <v>18</v>
      </c>
      <c r="AM370" s="2" t="s">
        <v>82</v>
      </c>
      <c r="AN370" s="2" t="s">
        <v>1755</v>
      </c>
      <c r="AO370" s="2" t="s">
        <v>628</v>
      </c>
      <c r="AP370" s="2">
        <v>11</v>
      </c>
      <c r="AQ370" s="2" t="s">
        <v>82</v>
      </c>
      <c r="AR370" s="2"/>
      <c r="AS370" s="2"/>
      <c r="AT370" s="2" t="s">
        <v>1756</v>
      </c>
      <c r="AU370" s="2"/>
      <c r="AV370" s="2"/>
      <c r="AW370" s="2"/>
      <c r="AX370" s="2"/>
      <c r="AY370" s="2">
        <v>41</v>
      </c>
      <c r="AZ370" s="2" t="s">
        <v>82</v>
      </c>
      <c r="BA370" s="2">
        <v>41</v>
      </c>
      <c r="BB370" s="2" t="s">
        <v>82</v>
      </c>
      <c r="BC370" s="2">
        <v>41</v>
      </c>
      <c r="BD370" s="2" t="s">
        <v>82</v>
      </c>
      <c r="BE370" s="2">
        <v>41</v>
      </c>
      <c r="BF370" s="2" t="s">
        <v>82</v>
      </c>
      <c r="BG370" s="2"/>
      <c r="BH370" s="2"/>
      <c r="BI370" s="2"/>
      <c r="BJ370" s="2">
        <v>241</v>
      </c>
      <c r="BK370" s="2" t="s">
        <v>82</v>
      </c>
      <c r="BL370" s="2"/>
      <c r="BM370" s="2">
        <v>241</v>
      </c>
      <c r="BN370" s="2" t="s">
        <v>82</v>
      </c>
      <c r="BO370" s="2"/>
      <c r="BP370" s="2">
        <v>241</v>
      </c>
      <c r="BQ370" s="2" t="s">
        <v>82</v>
      </c>
      <c r="BR370" s="2"/>
      <c r="BS370" s="3">
        <v>40210</v>
      </c>
      <c r="BT370" s="4">
        <v>0.53317129629629634</v>
      </c>
    </row>
    <row r="371" spans="1:72" x14ac:dyDescent="0.25">
      <c r="A371" s="2">
        <v>586</v>
      </c>
      <c r="B371" s="2">
        <v>2010</v>
      </c>
      <c r="C371" s="2" t="s">
        <v>171</v>
      </c>
      <c r="D371" s="2" t="s">
        <v>122</v>
      </c>
      <c r="E371" s="2"/>
      <c r="F371" s="2">
        <v>475</v>
      </c>
      <c r="G371" s="2" t="s">
        <v>1271</v>
      </c>
      <c r="H371" s="2">
        <v>2</v>
      </c>
      <c r="I371" s="2" t="s">
        <v>267</v>
      </c>
      <c r="J371" s="2">
        <v>385</v>
      </c>
      <c r="K371" s="2" t="s">
        <v>1314</v>
      </c>
      <c r="L371" s="2" t="s">
        <v>1315</v>
      </c>
      <c r="M371" s="3">
        <v>40210</v>
      </c>
      <c r="N371" s="2" t="s">
        <v>1757</v>
      </c>
      <c r="O371" s="2" t="s">
        <v>1758</v>
      </c>
      <c r="P371" s="2"/>
      <c r="Q371" s="2" t="str">
        <f>"PS Nº 07/2010"</f>
        <v>PS Nº 07/2010</v>
      </c>
      <c r="R371" s="2" t="s">
        <v>82</v>
      </c>
      <c r="S371" s="2" t="s">
        <v>1758</v>
      </c>
      <c r="T371" s="2">
        <v>1</v>
      </c>
      <c r="U371" s="2" t="s">
        <v>79</v>
      </c>
      <c r="V371" s="2">
        <v>1</v>
      </c>
      <c r="W371" s="2" t="s">
        <v>80</v>
      </c>
      <c r="X371" s="2">
        <v>5</v>
      </c>
      <c r="Y371" s="2" t="s">
        <v>82</v>
      </c>
      <c r="Z371" s="2">
        <v>1</v>
      </c>
      <c r="AA371" s="2" t="s">
        <v>82</v>
      </c>
      <c r="AB371" s="2">
        <v>1</v>
      </c>
      <c r="AC371" s="2" t="s">
        <v>178</v>
      </c>
      <c r="AD371" s="3">
        <v>40210</v>
      </c>
      <c r="AE371" s="2"/>
      <c r="AF371" s="3">
        <v>40210</v>
      </c>
      <c r="AG371" s="4">
        <v>0.5625</v>
      </c>
      <c r="AH371" s="2">
        <v>5</v>
      </c>
      <c r="AI371" s="2" t="s">
        <v>274</v>
      </c>
      <c r="AJ371" s="2">
        <v>42</v>
      </c>
      <c r="AK371" s="2" t="s">
        <v>660</v>
      </c>
      <c r="AL371" s="2">
        <v>18</v>
      </c>
      <c r="AM371" s="2" t="s">
        <v>82</v>
      </c>
      <c r="AN371" s="2" t="s">
        <v>1759</v>
      </c>
      <c r="AO371" s="2" t="s">
        <v>1724</v>
      </c>
      <c r="AP371" s="2">
        <v>11</v>
      </c>
      <c r="AQ371" s="2" t="s">
        <v>82</v>
      </c>
      <c r="AR371" s="2"/>
      <c r="AS371" s="2"/>
      <c r="AT371" s="2" t="s">
        <v>1760</v>
      </c>
      <c r="AU371" s="2"/>
      <c r="AV371" s="2"/>
      <c r="AW371" s="2"/>
      <c r="AX371" s="2"/>
      <c r="AY371" s="2">
        <v>1</v>
      </c>
      <c r="AZ371" s="2" t="s">
        <v>107</v>
      </c>
      <c r="BA371" s="2">
        <v>1</v>
      </c>
      <c r="BB371" s="2" t="s">
        <v>107</v>
      </c>
      <c r="BC371" s="2">
        <v>1</v>
      </c>
      <c r="BD371" s="2" t="s">
        <v>107</v>
      </c>
      <c r="BE371" s="2">
        <v>1</v>
      </c>
      <c r="BF371" s="2" t="s">
        <v>107</v>
      </c>
      <c r="BG371" s="2"/>
      <c r="BH371" s="2"/>
      <c r="BI371" s="2"/>
      <c r="BJ371" s="2">
        <v>242</v>
      </c>
      <c r="BK371" s="2" t="s">
        <v>107</v>
      </c>
      <c r="BL371" s="2"/>
      <c r="BM371" s="2">
        <v>242</v>
      </c>
      <c r="BN371" s="2" t="s">
        <v>107</v>
      </c>
      <c r="BO371" s="2"/>
      <c r="BP371" s="2">
        <v>242</v>
      </c>
      <c r="BQ371" s="2" t="s">
        <v>107</v>
      </c>
      <c r="BR371" s="2"/>
      <c r="BS371" s="3">
        <v>40210</v>
      </c>
      <c r="BT371" s="4">
        <v>0.75362268518518516</v>
      </c>
    </row>
    <row r="372" spans="1:72" x14ac:dyDescent="0.25">
      <c r="A372" s="2">
        <v>587</v>
      </c>
      <c r="B372" s="2">
        <v>2010</v>
      </c>
      <c r="C372" s="2" t="s">
        <v>93</v>
      </c>
      <c r="D372" s="2" t="s">
        <v>73</v>
      </c>
      <c r="E372" s="2"/>
      <c r="F372" s="2">
        <v>448</v>
      </c>
      <c r="G372" s="2" t="s">
        <v>863</v>
      </c>
      <c r="H372" s="2">
        <v>50</v>
      </c>
      <c r="I372" s="2" t="s">
        <v>107</v>
      </c>
      <c r="J372" s="2">
        <v>395</v>
      </c>
      <c r="K372" s="2" t="s">
        <v>1761</v>
      </c>
      <c r="L372" s="2" t="s">
        <v>1762</v>
      </c>
      <c r="M372" s="3">
        <v>40210</v>
      </c>
      <c r="N372" s="2" t="s">
        <v>107</v>
      </c>
      <c r="O372" s="2" t="s">
        <v>1493</v>
      </c>
      <c r="P372" s="2" t="s">
        <v>1763</v>
      </c>
      <c r="Q372" s="2" t="str">
        <f>"0005/2010 PSA"</f>
        <v>0005/2010 PSA</v>
      </c>
      <c r="R372" s="2"/>
      <c r="S372" s="2" t="s">
        <v>1493</v>
      </c>
      <c r="T372" s="2">
        <v>1</v>
      </c>
      <c r="U372" s="2" t="s">
        <v>79</v>
      </c>
      <c r="V372" s="2">
        <v>1</v>
      </c>
      <c r="W372" s="2" t="s">
        <v>80</v>
      </c>
      <c r="X372" s="2">
        <v>1</v>
      </c>
      <c r="Y372" s="2" t="s">
        <v>81</v>
      </c>
      <c r="Z372" s="2">
        <v>10</v>
      </c>
      <c r="AA372" s="2" t="s">
        <v>236</v>
      </c>
      <c r="AB372" s="2">
        <v>2</v>
      </c>
      <c r="AC372" s="2" t="s">
        <v>102</v>
      </c>
      <c r="AD372" s="3">
        <v>40210</v>
      </c>
      <c r="AE372" s="4">
        <v>0.65277777777777779</v>
      </c>
      <c r="AF372" s="2"/>
      <c r="AG372" s="2"/>
      <c r="AH372" s="2">
        <v>6</v>
      </c>
      <c r="AI372" s="2" t="s">
        <v>197</v>
      </c>
      <c r="AJ372" s="2">
        <v>61</v>
      </c>
      <c r="AK372" s="2" t="s">
        <v>686</v>
      </c>
      <c r="AL372" s="2">
        <v>11</v>
      </c>
      <c r="AM372" s="2" t="s">
        <v>137</v>
      </c>
      <c r="AN372" s="2" t="s">
        <v>82</v>
      </c>
      <c r="AO372" s="2" t="s">
        <v>82</v>
      </c>
      <c r="AP372" s="2">
        <v>11</v>
      </c>
      <c r="AQ372" s="2" t="s">
        <v>82</v>
      </c>
      <c r="AR372" s="2"/>
      <c r="AS372" s="2"/>
      <c r="AT372" s="2" t="s">
        <v>1764</v>
      </c>
      <c r="AU372" s="2"/>
      <c r="AV372" s="2"/>
      <c r="AW372" s="2"/>
      <c r="AX372" s="2"/>
      <c r="AY372" s="2">
        <v>41</v>
      </c>
      <c r="AZ372" s="2" t="s">
        <v>82</v>
      </c>
      <c r="BA372" s="2">
        <v>41</v>
      </c>
      <c r="BB372" s="2" t="s">
        <v>82</v>
      </c>
      <c r="BC372" s="2">
        <v>41</v>
      </c>
      <c r="BD372" s="2" t="s">
        <v>82</v>
      </c>
      <c r="BE372" s="2">
        <v>13</v>
      </c>
      <c r="BF372" s="2" t="s">
        <v>108</v>
      </c>
      <c r="BG372" s="2">
        <v>2649</v>
      </c>
      <c r="BH372" s="4">
        <v>0.63541666666666663</v>
      </c>
      <c r="BI372" s="4">
        <v>0.68055555555555547</v>
      </c>
      <c r="BJ372" s="2">
        <v>13</v>
      </c>
      <c r="BK372" s="2" t="s">
        <v>91</v>
      </c>
      <c r="BL372" s="2" t="s">
        <v>185</v>
      </c>
      <c r="BM372" s="2">
        <v>241</v>
      </c>
      <c r="BN372" s="2" t="s">
        <v>82</v>
      </c>
      <c r="BO372" s="2" t="s">
        <v>82</v>
      </c>
      <c r="BP372" s="2">
        <v>13</v>
      </c>
      <c r="BQ372" s="2" t="s">
        <v>91</v>
      </c>
      <c r="BR372" s="2" t="s">
        <v>185</v>
      </c>
      <c r="BS372" s="3">
        <v>40210</v>
      </c>
      <c r="BT372" s="4">
        <v>0.82055555555555559</v>
      </c>
    </row>
    <row r="373" spans="1:72" x14ac:dyDescent="0.25">
      <c r="A373" s="2">
        <v>591</v>
      </c>
      <c r="B373" s="2">
        <v>2010</v>
      </c>
      <c r="C373" s="2" t="s">
        <v>594</v>
      </c>
      <c r="D373" s="2" t="s">
        <v>73</v>
      </c>
      <c r="E373" s="2"/>
      <c r="F373" s="2">
        <v>1</v>
      </c>
      <c r="G373" s="2" t="s">
        <v>82</v>
      </c>
      <c r="H373" s="2">
        <v>1</v>
      </c>
      <c r="I373" s="2" t="s">
        <v>82</v>
      </c>
      <c r="J373" s="2">
        <v>1</v>
      </c>
      <c r="K373" s="2" t="s">
        <v>107</v>
      </c>
      <c r="L373" s="2" t="s">
        <v>107</v>
      </c>
      <c r="M373" s="3">
        <v>40211</v>
      </c>
      <c r="N373" s="2"/>
      <c r="O373" s="2"/>
      <c r="P373" s="2"/>
      <c r="Q373" s="2" t="str">
        <f>""</f>
        <v/>
      </c>
      <c r="R373" s="2"/>
      <c r="S373" s="2"/>
      <c r="T373" s="2">
        <v>1</v>
      </c>
      <c r="U373" s="2" t="s">
        <v>79</v>
      </c>
      <c r="V373" s="2">
        <v>1</v>
      </c>
      <c r="W373" s="2" t="s">
        <v>80</v>
      </c>
      <c r="X373" s="2">
        <v>1</v>
      </c>
      <c r="Y373" s="2" t="s">
        <v>81</v>
      </c>
      <c r="Z373" s="2">
        <v>1</v>
      </c>
      <c r="AA373" s="2" t="s">
        <v>82</v>
      </c>
      <c r="AB373" s="2">
        <v>9</v>
      </c>
      <c r="AC373" s="2" t="s">
        <v>124</v>
      </c>
      <c r="AD373" s="3">
        <v>40211</v>
      </c>
      <c r="AE373" s="4">
        <v>3.3333333333333333E-2</v>
      </c>
      <c r="AF373" s="2"/>
      <c r="AG373" s="2"/>
      <c r="AH373" s="2">
        <v>6</v>
      </c>
      <c r="AI373" s="2" t="s">
        <v>197</v>
      </c>
      <c r="AJ373" s="2">
        <v>54</v>
      </c>
      <c r="AK373" s="2" t="s">
        <v>348</v>
      </c>
      <c r="AL373" s="2">
        <v>18</v>
      </c>
      <c r="AM373" s="2" t="s">
        <v>82</v>
      </c>
      <c r="AN373" s="2" t="s">
        <v>595</v>
      </c>
      <c r="AO373" s="2" t="s">
        <v>200</v>
      </c>
      <c r="AP373" s="2">
        <v>11</v>
      </c>
      <c r="AQ373" s="2" t="s">
        <v>82</v>
      </c>
      <c r="AR373" s="2" t="s">
        <v>596</v>
      </c>
      <c r="AS373" s="2" t="s">
        <v>596</v>
      </c>
      <c r="AT373" s="2" t="s">
        <v>1765</v>
      </c>
      <c r="AU373" s="2"/>
      <c r="AV373" s="2"/>
      <c r="AW373" s="2"/>
      <c r="AX373" s="2"/>
      <c r="AY373" s="2">
        <v>1</v>
      </c>
      <c r="AZ373" s="2" t="s">
        <v>107</v>
      </c>
      <c r="BA373" s="2">
        <v>1</v>
      </c>
      <c r="BB373" s="2" t="s">
        <v>107</v>
      </c>
      <c r="BC373" s="2">
        <v>1</v>
      </c>
      <c r="BD373" s="2" t="s">
        <v>107</v>
      </c>
      <c r="BE373" s="2">
        <v>4</v>
      </c>
      <c r="BF373" s="2" t="s">
        <v>90</v>
      </c>
      <c r="BG373" s="2" t="s">
        <v>598</v>
      </c>
      <c r="BH373" s="4">
        <v>0.98611111111111116</v>
      </c>
      <c r="BI373" s="4">
        <v>3.3333333333333333E-2</v>
      </c>
      <c r="BJ373" s="2">
        <v>13</v>
      </c>
      <c r="BK373" s="2" t="s">
        <v>91</v>
      </c>
      <c r="BL373" s="2" t="s">
        <v>904</v>
      </c>
      <c r="BM373" s="2">
        <v>242</v>
      </c>
      <c r="BN373" s="2" t="s">
        <v>107</v>
      </c>
      <c r="BO373" s="2"/>
      <c r="BP373" s="2">
        <v>13</v>
      </c>
      <c r="BQ373" s="2" t="s">
        <v>91</v>
      </c>
      <c r="BR373" s="2" t="s">
        <v>905</v>
      </c>
      <c r="BS373" s="3">
        <v>40211</v>
      </c>
      <c r="BT373" s="4">
        <v>4.1423611111111112E-2</v>
      </c>
    </row>
    <row r="374" spans="1:72" x14ac:dyDescent="0.25">
      <c r="A374" s="2">
        <v>592</v>
      </c>
      <c r="B374" s="2">
        <v>2010</v>
      </c>
      <c r="C374" s="2" t="s">
        <v>93</v>
      </c>
      <c r="D374" s="2" t="s">
        <v>73</v>
      </c>
      <c r="E374" s="2"/>
      <c r="F374" s="2">
        <v>483</v>
      </c>
      <c r="G374" s="2" t="s">
        <v>1477</v>
      </c>
      <c r="H374" s="2">
        <v>11</v>
      </c>
      <c r="I374" s="2" t="s">
        <v>1397</v>
      </c>
      <c r="J374" s="2">
        <v>167</v>
      </c>
      <c r="K374" s="2" t="s">
        <v>1032</v>
      </c>
      <c r="L374" s="2" t="s">
        <v>1033</v>
      </c>
      <c r="M374" s="3">
        <v>40211</v>
      </c>
      <c r="N374" s="2" t="s">
        <v>1766</v>
      </c>
      <c r="O374" s="2" t="s">
        <v>1767</v>
      </c>
      <c r="P374" s="2">
        <v>8458</v>
      </c>
      <c r="Q374" s="2" t="str">
        <f>"N/C"</f>
        <v>N/C</v>
      </c>
      <c r="R374" s="2" t="s">
        <v>82</v>
      </c>
      <c r="S374" s="2" t="s">
        <v>82</v>
      </c>
      <c r="T374" s="2">
        <v>1</v>
      </c>
      <c r="U374" s="2" t="s">
        <v>79</v>
      </c>
      <c r="V374" s="2">
        <v>1</v>
      </c>
      <c r="W374" s="2" t="s">
        <v>80</v>
      </c>
      <c r="X374" s="2">
        <v>1</v>
      </c>
      <c r="Y374" s="2" t="s">
        <v>81</v>
      </c>
      <c r="Z374" s="2">
        <v>6</v>
      </c>
      <c r="AA374" s="2" t="s">
        <v>101</v>
      </c>
      <c r="AB374" s="2">
        <v>2</v>
      </c>
      <c r="AC374" s="2" t="s">
        <v>102</v>
      </c>
      <c r="AD374" s="3">
        <v>40210</v>
      </c>
      <c r="AE374" s="4">
        <v>0.875</v>
      </c>
      <c r="AF374" s="2"/>
      <c r="AG374" s="2"/>
      <c r="AH374" s="2">
        <v>2</v>
      </c>
      <c r="AI374" s="2" t="s">
        <v>84</v>
      </c>
      <c r="AJ374" s="2">
        <v>9</v>
      </c>
      <c r="AK374" s="2" t="s">
        <v>103</v>
      </c>
      <c r="AL374" s="2">
        <v>14</v>
      </c>
      <c r="AM374" s="2" t="s">
        <v>216</v>
      </c>
      <c r="AN374" s="2"/>
      <c r="AO374" s="2"/>
      <c r="AP374" s="2">
        <v>11</v>
      </c>
      <c r="AQ374" s="2" t="s">
        <v>82</v>
      </c>
      <c r="AR374" s="2"/>
      <c r="AS374" s="2"/>
      <c r="AT374" s="2" t="s">
        <v>1768</v>
      </c>
      <c r="AU374" s="2">
        <v>1</v>
      </c>
      <c r="AV374" s="2"/>
      <c r="AW374" s="2"/>
      <c r="AX374" s="2"/>
      <c r="AY374" s="2">
        <v>42</v>
      </c>
      <c r="AZ374" s="2" t="s">
        <v>182</v>
      </c>
      <c r="BA374" s="2">
        <v>42</v>
      </c>
      <c r="BB374" s="2" t="s">
        <v>182</v>
      </c>
      <c r="BC374" s="2">
        <v>70</v>
      </c>
      <c r="BD374" s="2" t="s">
        <v>236</v>
      </c>
      <c r="BE374" s="2">
        <v>13</v>
      </c>
      <c r="BF374" s="2" t="s">
        <v>108</v>
      </c>
      <c r="BG374" s="2" t="s">
        <v>1769</v>
      </c>
      <c r="BH374" s="2"/>
      <c r="BI374" s="2"/>
      <c r="BJ374" s="2">
        <v>13</v>
      </c>
      <c r="BK374" s="2" t="s">
        <v>91</v>
      </c>
      <c r="BL374" s="2" t="s">
        <v>360</v>
      </c>
      <c r="BM374" s="2">
        <v>241</v>
      </c>
      <c r="BN374" s="2" t="s">
        <v>82</v>
      </c>
      <c r="BO374" s="2"/>
      <c r="BP374" s="2">
        <v>73</v>
      </c>
      <c r="BQ374" s="2" t="s">
        <v>186</v>
      </c>
      <c r="BR374" s="2" t="s">
        <v>187</v>
      </c>
      <c r="BS374" s="3">
        <v>40211</v>
      </c>
      <c r="BT374" s="4">
        <v>0.16943287037037036</v>
      </c>
    </row>
    <row r="375" spans="1:72" x14ac:dyDescent="0.25">
      <c r="A375" s="2">
        <v>593</v>
      </c>
      <c r="B375" s="2">
        <v>2010</v>
      </c>
      <c r="C375" s="2" t="s">
        <v>93</v>
      </c>
      <c r="D375" s="2" t="s">
        <v>122</v>
      </c>
      <c r="E375" s="2"/>
      <c r="F375" s="2">
        <v>483</v>
      </c>
      <c r="G375" s="2" t="s">
        <v>1477</v>
      </c>
      <c r="H375" s="2">
        <v>11</v>
      </c>
      <c r="I375" s="2" t="s">
        <v>1397</v>
      </c>
      <c r="J375" s="2">
        <v>167</v>
      </c>
      <c r="K375" s="2" t="s">
        <v>1032</v>
      </c>
      <c r="L375" s="2" t="s">
        <v>1033</v>
      </c>
      <c r="M375" s="3">
        <v>40211</v>
      </c>
      <c r="N375" s="2" t="s">
        <v>1766</v>
      </c>
      <c r="O375" s="2" t="s">
        <v>1767</v>
      </c>
      <c r="P375" s="2">
        <v>8458</v>
      </c>
      <c r="Q375" s="2" t="str">
        <f>"N/C"</f>
        <v>N/C</v>
      </c>
      <c r="R375" s="2" t="s">
        <v>82</v>
      </c>
      <c r="S375" s="2" t="s">
        <v>82</v>
      </c>
      <c r="T375" s="2">
        <v>1</v>
      </c>
      <c r="U375" s="2" t="s">
        <v>79</v>
      </c>
      <c r="V375" s="2">
        <v>1</v>
      </c>
      <c r="W375" s="2" t="s">
        <v>80</v>
      </c>
      <c r="X375" s="2">
        <v>1</v>
      </c>
      <c r="Y375" s="2" t="s">
        <v>81</v>
      </c>
      <c r="Z375" s="2">
        <v>6</v>
      </c>
      <c r="AA375" s="2" t="s">
        <v>101</v>
      </c>
      <c r="AB375" s="2">
        <v>2</v>
      </c>
      <c r="AC375" s="2" t="s">
        <v>102</v>
      </c>
      <c r="AD375" s="2"/>
      <c r="AE375" s="2"/>
      <c r="AF375" s="2"/>
      <c r="AG375" s="2"/>
      <c r="AH375" s="2">
        <v>2</v>
      </c>
      <c r="AI375" s="2" t="s">
        <v>84</v>
      </c>
      <c r="AJ375" s="2">
        <v>9</v>
      </c>
      <c r="AK375" s="2" t="s">
        <v>103</v>
      </c>
      <c r="AL375" s="2">
        <v>14</v>
      </c>
      <c r="AM375" s="2" t="s">
        <v>216</v>
      </c>
      <c r="AN375" s="2"/>
      <c r="AO375" s="2"/>
      <c r="AP375" s="2">
        <v>11</v>
      </c>
      <c r="AQ375" s="2" t="s">
        <v>82</v>
      </c>
      <c r="AR375" s="2"/>
      <c r="AS375" s="2"/>
      <c r="AT375" s="2" t="s">
        <v>1770</v>
      </c>
      <c r="AU375" s="2">
        <v>1</v>
      </c>
      <c r="AV375" s="2"/>
      <c r="AW375" s="2"/>
      <c r="AX375" s="2"/>
      <c r="AY375" s="2">
        <v>42</v>
      </c>
      <c r="AZ375" s="2" t="s">
        <v>182</v>
      </c>
      <c r="BA375" s="2">
        <v>42</v>
      </c>
      <c r="BB375" s="2" t="s">
        <v>182</v>
      </c>
      <c r="BC375" s="2">
        <v>70</v>
      </c>
      <c r="BD375" s="2" t="s">
        <v>236</v>
      </c>
      <c r="BE375" s="2">
        <v>13</v>
      </c>
      <c r="BF375" s="2" t="s">
        <v>108</v>
      </c>
      <c r="BG375" s="2" t="s">
        <v>1769</v>
      </c>
      <c r="BH375" s="2"/>
      <c r="BI375" s="2"/>
      <c r="BJ375" s="2">
        <v>13</v>
      </c>
      <c r="BK375" s="2" t="s">
        <v>91</v>
      </c>
      <c r="BL375" s="2" t="s">
        <v>360</v>
      </c>
      <c r="BM375" s="2">
        <v>241</v>
      </c>
      <c r="BN375" s="2" t="s">
        <v>82</v>
      </c>
      <c r="BO375" s="2"/>
      <c r="BP375" s="2">
        <v>73</v>
      </c>
      <c r="BQ375" s="2" t="s">
        <v>186</v>
      </c>
      <c r="BR375" s="2" t="s">
        <v>187</v>
      </c>
      <c r="BS375" s="3">
        <v>40211</v>
      </c>
      <c r="BT375" s="4">
        <v>0.38765046296296296</v>
      </c>
    </row>
    <row r="376" spans="1:72" x14ac:dyDescent="0.25">
      <c r="A376" s="2">
        <v>594</v>
      </c>
      <c r="B376" s="2">
        <v>2010</v>
      </c>
      <c r="C376" s="2" t="s">
        <v>171</v>
      </c>
      <c r="D376" s="2" t="s">
        <v>73</v>
      </c>
      <c r="E376" s="2"/>
      <c r="F376" s="2">
        <v>475</v>
      </c>
      <c r="G376" s="2" t="s">
        <v>1271</v>
      </c>
      <c r="H376" s="2">
        <v>2</v>
      </c>
      <c r="I376" s="2" t="s">
        <v>267</v>
      </c>
      <c r="J376" s="2">
        <v>385</v>
      </c>
      <c r="K376" s="2" t="s">
        <v>1314</v>
      </c>
      <c r="L376" s="2" t="s">
        <v>1315</v>
      </c>
      <c r="M376" s="3">
        <v>40211</v>
      </c>
      <c r="N376" s="2" t="s">
        <v>1757</v>
      </c>
      <c r="O376" s="2" t="s">
        <v>1758</v>
      </c>
      <c r="P376" s="2"/>
      <c r="Q376" s="2" t="str">
        <f>"PS Nº 07/2010"</f>
        <v>PS Nº 07/2010</v>
      </c>
      <c r="R376" s="2" t="s">
        <v>1758</v>
      </c>
      <c r="S376" s="2" t="s">
        <v>82</v>
      </c>
      <c r="T376" s="2">
        <v>1</v>
      </c>
      <c r="U376" s="2" t="s">
        <v>79</v>
      </c>
      <c r="V376" s="2">
        <v>1</v>
      </c>
      <c r="W376" s="2" t="s">
        <v>80</v>
      </c>
      <c r="X376" s="2">
        <v>1</v>
      </c>
      <c r="Y376" s="2" t="s">
        <v>81</v>
      </c>
      <c r="Z376" s="2">
        <v>10</v>
      </c>
      <c r="AA376" s="2" t="s">
        <v>236</v>
      </c>
      <c r="AB376" s="2">
        <v>1</v>
      </c>
      <c r="AC376" s="2" t="s">
        <v>178</v>
      </c>
      <c r="AD376" s="3">
        <v>40210</v>
      </c>
      <c r="AE376" s="4">
        <v>0.5625</v>
      </c>
      <c r="AF376" s="3">
        <v>40210</v>
      </c>
      <c r="AG376" s="4">
        <v>0.5625</v>
      </c>
      <c r="AH376" s="2">
        <v>5</v>
      </c>
      <c r="AI376" s="2" t="s">
        <v>274</v>
      </c>
      <c r="AJ376" s="2">
        <v>42</v>
      </c>
      <c r="AK376" s="2" t="s">
        <v>660</v>
      </c>
      <c r="AL376" s="2">
        <v>18</v>
      </c>
      <c r="AM376" s="2" t="s">
        <v>82</v>
      </c>
      <c r="AN376" s="2" t="s">
        <v>1759</v>
      </c>
      <c r="AO376" s="2" t="s">
        <v>1724</v>
      </c>
      <c r="AP376" s="2">
        <v>11</v>
      </c>
      <c r="AQ376" s="2" t="s">
        <v>82</v>
      </c>
      <c r="AR376" s="2" t="s">
        <v>82</v>
      </c>
      <c r="AS376" s="2" t="s">
        <v>82</v>
      </c>
      <c r="AT376" s="2" t="s">
        <v>1771</v>
      </c>
      <c r="AU376" s="2"/>
      <c r="AV376" s="2"/>
      <c r="AW376" s="2"/>
      <c r="AX376" s="2"/>
      <c r="AY376" s="2">
        <v>1</v>
      </c>
      <c r="AZ376" s="2" t="s">
        <v>107</v>
      </c>
      <c r="BA376" s="2">
        <v>1</v>
      </c>
      <c r="BB376" s="2" t="s">
        <v>107</v>
      </c>
      <c r="BC376" s="2">
        <v>1</v>
      </c>
      <c r="BD376" s="2" t="s">
        <v>107</v>
      </c>
      <c r="BE376" s="2">
        <v>1</v>
      </c>
      <c r="BF376" s="2" t="s">
        <v>107</v>
      </c>
      <c r="BG376" s="2" t="s">
        <v>82</v>
      </c>
      <c r="BH376" s="2"/>
      <c r="BI376" s="2"/>
      <c r="BJ376" s="2">
        <v>242</v>
      </c>
      <c r="BK376" s="2" t="s">
        <v>107</v>
      </c>
      <c r="BL376" s="2" t="s">
        <v>82</v>
      </c>
      <c r="BM376" s="2">
        <v>242</v>
      </c>
      <c r="BN376" s="2" t="s">
        <v>107</v>
      </c>
      <c r="BO376" s="2" t="s">
        <v>82</v>
      </c>
      <c r="BP376" s="2">
        <v>242</v>
      </c>
      <c r="BQ376" s="2" t="s">
        <v>107</v>
      </c>
      <c r="BR376" s="2" t="s">
        <v>82</v>
      </c>
      <c r="BS376" s="3">
        <v>40211</v>
      </c>
      <c r="BT376" s="4">
        <v>0.41042824074074075</v>
      </c>
    </row>
    <row r="377" spans="1:72" x14ac:dyDescent="0.25">
      <c r="A377" s="2">
        <v>595</v>
      </c>
      <c r="B377" s="2">
        <v>2010</v>
      </c>
      <c r="C377" s="2" t="s">
        <v>147</v>
      </c>
      <c r="D377" s="2" t="s">
        <v>73</v>
      </c>
      <c r="E377" s="2"/>
      <c r="F377" s="2">
        <v>1</v>
      </c>
      <c r="G377" s="2" t="s">
        <v>82</v>
      </c>
      <c r="H377" s="2">
        <v>1</v>
      </c>
      <c r="I377" s="2" t="s">
        <v>82</v>
      </c>
      <c r="J377" s="2">
        <v>1</v>
      </c>
      <c r="K377" s="2" t="s">
        <v>107</v>
      </c>
      <c r="L377" s="2" t="s">
        <v>107</v>
      </c>
      <c r="M377" s="3">
        <v>40211</v>
      </c>
      <c r="N377" s="2"/>
      <c r="O377" s="2"/>
      <c r="P377" s="2"/>
      <c r="Q377" s="2" t="str">
        <f>""</f>
        <v/>
      </c>
      <c r="R377" s="2"/>
      <c r="S377" s="2"/>
      <c r="T377" s="2">
        <v>2</v>
      </c>
      <c r="U377" s="2" t="s">
        <v>123</v>
      </c>
      <c r="V377" s="2">
        <v>1</v>
      </c>
      <c r="W377" s="2" t="s">
        <v>80</v>
      </c>
      <c r="X377" s="2">
        <v>12</v>
      </c>
      <c r="Y377" s="2" t="s">
        <v>148</v>
      </c>
      <c r="Z377" s="2">
        <v>1</v>
      </c>
      <c r="AA377" s="2" t="s">
        <v>82</v>
      </c>
      <c r="AB377" s="2">
        <v>9</v>
      </c>
      <c r="AC377" s="2" t="s">
        <v>124</v>
      </c>
      <c r="AD377" s="3">
        <v>40206</v>
      </c>
      <c r="AE377" s="4">
        <v>0</v>
      </c>
      <c r="AF377" s="3">
        <v>40211</v>
      </c>
      <c r="AG377" s="4">
        <v>0.45833333333333331</v>
      </c>
      <c r="AH377" s="2">
        <v>2</v>
      </c>
      <c r="AI377" s="2" t="s">
        <v>84</v>
      </c>
      <c r="AJ377" s="2">
        <v>12</v>
      </c>
      <c r="AK377" s="2" t="s">
        <v>85</v>
      </c>
      <c r="AL377" s="2">
        <v>19</v>
      </c>
      <c r="AM377" s="2" t="s">
        <v>107</v>
      </c>
      <c r="AN377" s="2"/>
      <c r="AO377" s="2" t="s">
        <v>1772</v>
      </c>
      <c r="AP377" s="2">
        <v>11</v>
      </c>
      <c r="AQ377" s="2" t="s">
        <v>82</v>
      </c>
      <c r="AR377" s="2"/>
      <c r="AS377" s="2"/>
      <c r="AT377" s="2" t="s">
        <v>1773</v>
      </c>
      <c r="AU377" s="2"/>
      <c r="AV377" s="2"/>
      <c r="AW377" s="2"/>
      <c r="AX377" s="2"/>
      <c r="AY377" s="2">
        <v>41</v>
      </c>
      <c r="AZ377" s="2" t="s">
        <v>82</v>
      </c>
      <c r="BA377" s="2">
        <v>41</v>
      </c>
      <c r="BB377" s="2" t="s">
        <v>82</v>
      </c>
      <c r="BC377" s="2">
        <v>41</v>
      </c>
      <c r="BD377" s="2" t="s">
        <v>82</v>
      </c>
      <c r="BE377" s="2">
        <v>41</v>
      </c>
      <c r="BF377" s="2" t="s">
        <v>82</v>
      </c>
      <c r="BG377" s="2"/>
      <c r="BH377" s="2"/>
      <c r="BI377" s="2"/>
      <c r="BJ377" s="2">
        <v>241</v>
      </c>
      <c r="BK377" s="2" t="s">
        <v>82</v>
      </c>
      <c r="BL377" s="2"/>
      <c r="BM377" s="2">
        <v>241</v>
      </c>
      <c r="BN377" s="2" t="s">
        <v>82</v>
      </c>
      <c r="BO377" s="2"/>
      <c r="BP377" s="2">
        <v>241</v>
      </c>
      <c r="BQ377" s="2" t="s">
        <v>82</v>
      </c>
      <c r="BR377" s="2"/>
      <c r="BS377" s="3">
        <v>40211</v>
      </c>
      <c r="BT377" s="4">
        <v>0.46781249999999996</v>
      </c>
    </row>
    <row r="378" spans="1:72" x14ac:dyDescent="0.25">
      <c r="A378" s="2">
        <v>596</v>
      </c>
      <c r="B378" s="2">
        <v>2010</v>
      </c>
      <c r="C378" s="2" t="s">
        <v>72</v>
      </c>
      <c r="D378" s="2" t="s">
        <v>73</v>
      </c>
      <c r="E378" s="2"/>
      <c r="F378" s="2">
        <v>491</v>
      </c>
      <c r="G378" s="2" t="s">
        <v>1774</v>
      </c>
      <c r="H378" s="2">
        <v>42</v>
      </c>
      <c r="I378" s="2" t="s">
        <v>1096</v>
      </c>
      <c r="J378" s="2">
        <v>396</v>
      </c>
      <c r="K378" s="2" t="s">
        <v>1775</v>
      </c>
      <c r="L378" s="2" t="s">
        <v>1776</v>
      </c>
      <c r="M378" s="3">
        <v>40211</v>
      </c>
      <c r="N378" s="2" t="s">
        <v>1777</v>
      </c>
      <c r="O378" s="2" t="s">
        <v>107</v>
      </c>
      <c r="P378" s="2" t="s">
        <v>107</v>
      </c>
      <c r="Q378" s="2" t="str">
        <f>"040-A/10"</f>
        <v>040-A/10</v>
      </c>
      <c r="R378" s="2" t="s">
        <v>107</v>
      </c>
      <c r="S378" s="2" t="s">
        <v>78</v>
      </c>
      <c r="T378" s="2">
        <v>1</v>
      </c>
      <c r="U378" s="2" t="s">
        <v>79</v>
      </c>
      <c r="V378" s="2">
        <v>1</v>
      </c>
      <c r="W378" s="2" t="s">
        <v>80</v>
      </c>
      <c r="X378" s="2">
        <v>5</v>
      </c>
      <c r="Y378" s="2" t="s">
        <v>82</v>
      </c>
      <c r="Z378" s="2">
        <v>1</v>
      </c>
      <c r="AA378" s="2" t="s">
        <v>82</v>
      </c>
      <c r="AB378" s="2">
        <v>6</v>
      </c>
      <c r="AC378" s="2" t="s">
        <v>83</v>
      </c>
      <c r="AD378" s="3">
        <v>40211</v>
      </c>
      <c r="AE378" s="4">
        <v>0.35416666666666669</v>
      </c>
      <c r="AF378" s="3">
        <v>40211</v>
      </c>
      <c r="AG378" s="4">
        <v>0.36805555555555558</v>
      </c>
      <c r="AH378" s="2">
        <v>2</v>
      </c>
      <c r="AI378" s="2" t="s">
        <v>84</v>
      </c>
      <c r="AJ378" s="2">
        <v>12</v>
      </c>
      <c r="AK378" s="2" t="s">
        <v>85</v>
      </c>
      <c r="AL378" s="2">
        <v>12</v>
      </c>
      <c r="AM378" s="2" t="s">
        <v>86</v>
      </c>
      <c r="AN378" s="2" t="s">
        <v>1778</v>
      </c>
      <c r="AO378" s="2" t="s">
        <v>1733</v>
      </c>
      <c r="AP378" s="2">
        <v>11</v>
      </c>
      <c r="AQ378" s="2" t="s">
        <v>82</v>
      </c>
      <c r="AR378" s="2" t="s">
        <v>82</v>
      </c>
      <c r="AS378" s="2" t="s">
        <v>82</v>
      </c>
      <c r="AT378" s="2" t="s">
        <v>1779</v>
      </c>
      <c r="AU378" s="2"/>
      <c r="AV378" s="2"/>
      <c r="AW378" s="2"/>
      <c r="AX378" s="2"/>
      <c r="AY378" s="2">
        <v>41</v>
      </c>
      <c r="AZ378" s="2" t="s">
        <v>82</v>
      </c>
      <c r="BA378" s="2">
        <v>41</v>
      </c>
      <c r="BB378" s="2" t="s">
        <v>82</v>
      </c>
      <c r="BC378" s="2">
        <v>41</v>
      </c>
      <c r="BD378" s="2" t="s">
        <v>82</v>
      </c>
      <c r="BE378" s="2">
        <v>13</v>
      </c>
      <c r="BF378" s="2" t="s">
        <v>108</v>
      </c>
      <c r="BG378" s="2" t="s">
        <v>1780</v>
      </c>
      <c r="BH378" s="4">
        <v>0.58333333333333337</v>
      </c>
      <c r="BI378" s="4">
        <v>0.47916666666666669</v>
      </c>
      <c r="BJ378" s="2">
        <v>13</v>
      </c>
      <c r="BK378" s="2" t="s">
        <v>91</v>
      </c>
      <c r="BL378" s="2" t="s">
        <v>185</v>
      </c>
      <c r="BM378" s="2">
        <v>241</v>
      </c>
      <c r="BN378" s="2" t="s">
        <v>82</v>
      </c>
      <c r="BO378" s="2" t="s">
        <v>82</v>
      </c>
      <c r="BP378" s="2">
        <v>13</v>
      </c>
      <c r="BQ378" s="2" t="s">
        <v>91</v>
      </c>
      <c r="BR378" s="2" t="s">
        <v>92</v>
      </c>
      <c r="BS378" s="3">
        <v>40211</v>
      </c>
      <c r="BT378" s="4">
        <v>0.46947916666666667</v>
      </c>
    </row>
    <row r="379" spans="1:72" x14ac:dyDescent="0.25">
      <c r="A379" s="2">
        <v>599</v>
      </c>
      <c r="B379" s="2">
        <v>2010</v>
      </c>
      <c r="C379" s="2" t="s">
        <v>147</v>
      </c>
      <c r="D379" s="2" t="s">
        <v>73</v>
      </c>
      <c r="E379" s="2"/>
      <c r="F379" s="2">
        <v>1</v>
      </c>
      <c r="G379" s="2" t="s">
        <v>82</v>
      </c>
      <c r="H379" s="2">
        <v>1</v>
      </c>
      <c r="I379" s="2" t="s">
        <v>82</v>
      </c>
      <c r="J379" s="2">
        <v>1</v>
      </c>
      <c r="K379" s="2" t="s">
        <v>107</v>
      </c>
      <c r="L379" s="2" t="s">
        <v>107</v>
      </c>
      <c r="M379" s="3">
        <v>40211</v>
      </c>
      <c r="N379" s="2"/>
      <c r="O379" s="2"/>
      <c r="P379" s="2"/>
      <c r="Q379" s="2" t="str">
        <f>""</f>
        <v/>
      </c>
      <c r="R379" s="2"/>
      <c r="S379" s="2"/>
      <c r="T379" s="2">
        <v>2</v>
      </c>
      <c r="U379" s="2" t="s">
        <v>123</v>
      </c>
      <c r="V379" s="2">
        <v>1</v>
      </c>
      <c r="W379" s="2" t="s">
        <v>80</v>
      </c>
      <c r="X379" s="2">
        <v>12</v>
      </c>
      <c r="Y379" s="2" t="s">
        <v>148</v>
      </c>
      <c r="Z379" s="2">
        <v>1</v>
      </c>
      <c r="AA379" s="2" t="s">
        <v>82</v>
      </c>
      <c r="AB379" s="2">
        <v>9</v>
      </c>
      <c r="AC379" s="2" t="s">
        <v>124</v>
      </c>
      <c r="AD379" s="2"/>
      <c r="AE379" s="2"/>
      <c r="AF379" s="3">
        <v>40211</v>
      </c>
      <c r="AG379" s="4">
        <v>0.53472222222222221</v>
      </c>
      <c r="AH379" s="2">
        <v>2</v>
      </c>
      <c r="AI379" s="2" t="s">
        <v>84</v>
      </c>
      <c r="AJ379" s="2">
        <v>12</v>
      </c>
      <c r="AK379" s="2" t="s">
        <v>85</v>
      </c>
      <c r="AL379" s="2">
        <v>19</v>
      </c>
      <c r="AM379" s="2" t="s">
        <v>107</v>
      </c>
      <c r="AN379" s="2" t="s">
        <v>107</v>
      </c>
      <c r="AO379" s="2" t="s">
        <v>1781</v>
      </c>
      <c r="AP379" s="2">
        <v>11</v>
      </c>
      <c r="AQ379" s="2" t="s">
        <v>82</v>
      </c>
      <c r="AR379" s="2" t="s">
        <v>82</v>
      </c>
      <c r="AS379" s="2" t="s">
        <v>82</v>
      </c>
      <c r="AT379" s="2" t="s">
        <v>1782</v>
      </c>
      <c r="AU379" s="2"/>
      <c r="AV379" s="2"/>
      <c r="AW379" s="2"/>
      <c r="AX379" s="2"/>
      <c r="AY379" s="2">
        <v>41</v>
      </c>
      <c r="AZ379" s="2" t="s">
        <v>82</v>
      </c>
      <c r="BA379" s="2">
        <v>41</v>
      </c>
      <c r="BB379" s="2" t="s">
        <v>82</v>
      </c>
      <c r="BC379" s="2">
        <v>41</v>
      </c>
      <c r="BD379" s="2" t="s">
        <v>82</v>
      </c>
      <c r="BE379" s="2">
        <v>41</v>
      </c>
      <c r="BF379" s="2" t="s">
        <v>82</v>
      </c>
      <c r="BG379" s="2"/>
      <c r="BH379" s="2"/>
      <c r="BI379" s="2"/>
      <c r="BJ379" s="2">
        <v>241</v>
      </c>
      <c r="BK379" s="2" t="s">
        <v>82</v>
      </c>
      <c r="BL379" s="2" t="s">
        <v>82</v>
      </c>
      <c r="BM379" s="2">
        <v>241</v>
      </c>
      <c r="BN379" s="2" t="s">
        <v>82</v>
      </c>
      <c r="BO379" s="2" t="s">
        <v>82</v>
      </c>
      <c r="BP379" s="2">
        <v>241</v>
      </c>
      <c r="BQ379" s="2" t="s">
        <v>82</v>
      </c>
      <c r="BR379" s="2" t="s">
        <v>82</v>
      </c>
      <c r="BS379" s="3">
        <v>40211</v>
      </c>
      <c r="BT379" s="4">
        <v>0.55356481481481479</v>
      </c>
    </row>
    <row r="380" spans="1:72" x14ac:dyDescent="0.25">
      <c r="A380" s="2">
        <v>600</v>
      </c>
      <c r="B380" s="2">
        <v>2010</v>
      </c>
      <c r="C380" s="2" t="s">
        <v>72</v>
      </c>
      <c r="D380" s="2" t="s">
        <v>73</v>
      </c>
      <c r="E380" s="2"/>
      <c r="F380" s="2">
        <v>3</v>
      </c>
      <c r="G380" s="2" t="s">
        <v>1041</v>
      </c>
      <c r="H380" s="2">
        <v>1</v>
      </c>
      <c r="I380" s="2" t="s">
        <v>82</v>
      </c>
      <c r="J380" s="2">
        <v>368</v>
      </c>
      <c r="K380" s="2" t="s">
        <v>1042</v>
      </c>
      <c r="L380" s="2" t="s">
        <v>1043</v>
      </c>
      <c r="M380" s="3">
        <v>40211</v>
      </c>
      <c r="N380" s="2"/>
      <c r="O380" s="2"/>
      <c r="P380" s="2"/>
      <c r="Q380" s="2" t="str">
        <f>"065-E/10"</f>
        <v>065-E/10</v>
      </c>
      <c r="R380" s="2" t="s">
        <v>480</v>
      </c>
      <c r="S380" s="2" t="s">
        <v>480</v>
      </c>
      <c r="T380" s="2">
        <v>1</v>
      </c>
      <c r="U380" s="2" t="s">
        <v>79</v>
      </c>
      <c r="V380" s="2">
        <v>1</v>
      </c>
      <c r="W380" s="2" t="s">
        <v>80</v>
      </c>
      <c r="X380" s="2">
        <v>5</v>
      </c>
      <c r="Y380" s="2" t="s">
        <v>82</v>
      </c>
      <c r="Z380" s="2">
        <v>1</v>
      </c>
      <c r="AA380" s="2" t="s">
        <v>82</v>
      </c>
      <c r="AB380" s="2">
        <v>6</v>
      </c>
      <c r="AC380" s="2" t="s">
        <v>83</v>
      </c>
      <c r="AD380" s="3">
        <v>40211</v>
      </c>
      <c r="AE380" s="4">
        <v>0.4375</v>
      </c>
      <c r="AF380" s="2"/>
      <c r="AG380" s="2"/>
      <c r="AH380" s="2">
        <v>2</v>
      </c>
      <c r="AI380" s="2" t="s">
        <v>84</v>
      </c>
      <c r="AJ380" s="2">
        <v>9</v>
      </c>
      <c r="AK380" s="2" t="s">
        <v>103</v>
      </c>
      <c r="AL380" s="2">
        <v>12</v>
      </c>
      <c r="AM380" s="2" t="s">
        <v>86</v>
      </c>
      <c r="AN380" s="2" t="s">
        <v>1783</v>
      </c>
      <c r="AO380" s="2" t="s">
        <v>82</v>
      </c>
      <c r="AP380" s="2">
        <v>11</v>
      </c>
      <c r="AQ380" s="2" t="s">
        <v>82</v>
      </c>
      <c r="AR380" s="2"/>
      <c r="AS380" s="2"/>
      <c r="AT380" s="2" t="s">
        <v>1784</v>
      </c>
      <c r="AU380" s="2"/>
      <c r="AV380" s="2"/>
      <c r="AW380" s="2"/>
      <c r="AX380" s="2"/>
      <c r="AY380" s="2">
        <v>41</v>
      </c>
      <c r="AZ380" s="2" t="s">
        <v>82</v>
      </c>
      <c r="BA380" s="2">
        <v>41</v>
      </c>
      <c r="BB380" s="2" t="s">
        <v>82</v>
      </c>
      <c r="BC380" s="2">
        <v>41</v>
      </c>
      <c r="BD380" s="2" t="s">
        <v>82</v>
      </c>
      <c r="BE380" s="2">
        <v>41</v>
      </c>
      <c r="BF380" s="2" t="s">
        <v>82</v>
      </c>
      <c r="BG380" s="2"/>
      <c r="BH380" s="2"/>
      <c r="BI380" s="2"/>
      <c r="BJ380" s="2">
        <v>241</v>
      </c>
      <c r="BK380" s="2" t="s">
        <v>82</v>
      </c>
      <c r="BL380" s="2"/>
      <c r="BM380" s="2">
        <v>241</v>
      </c>
      <c r="BN380" s="2" t="s">
        <v>82</v>
      </c>
      <c r="BO380" s="2"/>
      <c r="BP380" s="2">
        <v>241</v>
      </c>
      <c r="BQ380" s="2" t="s">
        <v>82</v>
      </c>
      <c r="BR380" s="2"/>
      <c r="BS380" s="3">
        <v>40211</v>
      </c>
      <c r="BT380" s="4">
        <v>0.57424768518518521</v>
      </c>
    </row>
    <row r="381" spans="1:72" x14ac:dyDescent="0.25">
      <c r="A381" s="2">
        <v>601</v>
      </c>
      <c r="B381" s="2">
        <v>2010</v>
      </c>
      <c r="C381" s="2" t="s">
        <v>385</v>
      </c>
      <c r="D381" s="2" t="s">
        <v>122</v>
      </c>
      <c r="E381" s="2" t="s">
        <v>1785</v>
      </c>
      <c r="F381" s="2">
        <v>218</v>
      </c>
      <c r="G381" s="2" t="s">
        <v>1698</v>
      </c>
      <c r="H381" s="2">
        <v>51</v>
      </c>
      <c r="I381" s="2" t="s">
        <v>1699</v>
      </c>
      <c r="J381" s="2">
        <v>231</v>
      </c>
      <c r="K381" s="2" t="s">
        <v>1700</v>
      </c>
      <c r="L381" s="2" t="s">
        <v>1701</v>
      </c>
      <c r="M381" s="3">
        <v>40211</v>
      </c>
      <c r="N381" s="2" t="s">
        <v>1702</v>
      </c>
      <c r="O381" s="2" t="s">
        <v>1786</v>
      </c>
      <c r="P381" s="2">
        <v>60764</v>
      </c>
      <c r="Q381" s="2" t="str">
        <f>"0003"</f>
        <v>0003</v>
      </c>
      <c r="R381" s="2" t="s">
        <v>82</v>
      </c>
      <c r="S381" s="2" t="s">
        <v>1703</v>
      </c>
      <c r="T381" s="2">
        <v>1</v>
      </c>
      <c r="U381" s="2" t="s">
        <v>79</v>
      </c>
      <c r="V381" s="2">
        <v>1</v>
      </c>
      <c r="W381" s="2" t="s">
        <v>80</v>
      </c>
      <c r="X381" s="2">
        <v>5</v>
      </c>
      <c r="Y381" s="2" t="s">
        <v>82</v>
      </c>
      <c r="Z381" s="2">
        <v>1</v>
      </c>
      <c r="AA381" s="2" t="s">
        <v>82</v>
      </c>
      <c r="AB381" s="2">
        <v>9</v>
      </c>
      <c r="AC381" s="2" t="s">
        <v>124</v>
      </c>
      <c r="AD381" s="2"/>
      <c r="AE381" s="2"/>
      <c r="AF381" s="2"/>
      <c r="AG381" s="2"/>
      <c r="AH381" s="2">
        <v>5</v>
      </c>
      <c r="AI381" s="2" t="s">
        <v>274</v>
      </c>
      <c r="AJ381" s="2">
        <v>45</v>
      </c>
      <c r="AK381" s="2" t="s">
        <v>834</v>
      </c>
      <c r="AL381" s="2">
        <v>18</v>
      </c>
      <c r="AM381" s="2" t="s">
        <v>82</v>
      </c>
      <c r="AN381" s="2" t="s">
        <v>82</v>
      </c>
      <c r="AO381" s="2" t="s">
        <v>82</v>
      </c>
      <c r="AP381" s="2">
        <v>11</v>
      </c>
      <c r="AQ381" s="2" t="s">
        <v>82</v>
      </c>
      <c r="AR381" s="2" t="s">
        <v>82</v>
      </c>
      <c r="AS381" s="2" t="s">
        <v>82</v>
      </c>
      <c r="AT381" s="2" t="s">
        <v>1787</v>
      </c>
      <c r="AU381" s="2"/>
      <c r="AV381" s="2"/>
      <c r="AW381" s="2"/>
      <c r="AX381" s="2"/>
      <c r="AY381" s="2">
        <v>1</v>
      </c>
      <c r="AZ381" s="2" t="s">
        <v>107</v>
      </c>
      <c r="BA381" s="2">
        <v>1</v>
      </c>
      <c r="BB381" s="2" t="s">
        <v>107</v>
      </c>
      <c r="BC381" s="2">
        <v>1</v>
      </c>
      <c r="BD381" s="2" t="s">
        <v>107</v>
      </c>
      <c r="BE381" s="2">
        <v>1</v>
      </c>
      <c r="BF381" s="2" t="s">
        <v>107</v>
      </c>
      <c r="BG381" s="2" t="s">
        <v>82</v>
      </c>
      <c r="BH381" s="2"/>
      <c r="BI381" s="2"/>
      <c r="BJ381" s="2">
        <v>242</v>
      </c>
      <c r="BK381" s="2" t="s">
        <v>107</v>
      </c>
      <c r="BL381" s="2" t="s">
        <v>82</v>
      </c>
      <c r="BM381" s="2">
        <v>242</v>
      </c>
      <c r="BN381" s="2" t="s">
        <v>107</v>
      </c>
      <c r="BO381" s="2" t="s">
        <v>82</v>
      </c>
      <c r="BP381" s="2">
        <v>242</v>
      </c>
      <c r="BQ381" s="2" t="s">
        <v>107</v>
      </c>
      <c r="BR381" s="2" t="s">
        <v>82</v>
      </c>
      <c r="BS381" s="3">
        <v>40211</v>
      </c>
      <c r="BT381" s="4">
        <v>0.58420138888888895</v>
      </c>
    </row>
    <row r="382" spans="1:72" x14ac:dyDescent="0.25">
      <c r="A382" s="2">
        <v>602</v>
      </c>
      <c r="B382" s="2">
        <v>2010</v>
      </c>
      <c r="C382" s="2" t="s">
        <v>906</v>
      </c>
      <c r="D382" s="2" t="s">
        <v>73</v>
      </c>
      <c r="E382" s="2"/>
      <c r="F382" s="2">
        <v>1</v>
      </c>
      <c r="G382" s="2" t="s">
        <v>82</v>
      </c>
      <c r="H382" s="2">
        <v>1</v>
      </c>
      <c r="I382" s="2" t="s">
        <v>82</v>
      </c>
      <c r="J382" s="2">
        <v>1</v>
      </c>
      <c r="K382" s="2" t="s">
        <v>107</v>
      </c>
      <c r="L382" s="2" t="s">
        <v>107</v>
      </c>
      <c r="M382" s="3">
        <v>40211</v>
      </c>
      <c r="N382" s="2"/>
      <c r="O382" s="2"/>
      <c r="P382" s="2"/>
      <c r="Q382" s="2" t="str">
        <f>""</f>
        <v/>
      </c>
      <c r="R382" s="2"/>
      <c r="S382" s="2"/>
      <c r="T382" s="2">
        <v>1</v>
      </c>
      <c r="U382" s="2" t="s">
        <v>79</v>
      </c>
      <c r="V382" s="2">
        <v>1</v>
      </c>
      <c r="W382" s="2" t="s">
        <v>80</v>
      </c>
      <c r="X382" s="2">
        <v>5</v>
      </c>
      <c r="Y382" s="2" t="s">
        <v>82</v>
      </c>
      <c r="Z382" s="2">
        <v>1</v>
      </c>
      <c r="AA382" s="2" t="s">
        <v>82</v>
      </c>
      <c r="AB382" s="2">
        <v>9</v>
      </c>
      <c r="AC382" s="2" t="s">
        <v>124</v>
      </c>
      <c r="AD382" s="3">
        <v>40211</v>
      </c>
      <c r="AE382" s="4">
        <v>0.54166666666666663</v>
      </c>
      <c r="AF382" s="3">
        <v>40211</v>
      </c>
      <c r="AG382" s="4">
        <v>0.54166666666666663</v>
      </c>
      <c r="AH382" s="2">
        <v>6</v>
      </c>
      <c r="AI382" s="2" t="s">
        <v>197</v>
      </c>
      <c r="AJ382" s="2">
        <v>59</v>
      </c>
      <c r="AK382" s="2" t="s">
        <v>198</v>
      </c>
      <c r="AL382" s="2">
        <v>18</v>
      </c>
      <c r="AM382" s="2" t="s">
        <v>82</v>
      </c>
      <c r="AN382" s="2"/>
      <c r="AO382" s="2" t="s">
        <v>1788</v>
      </c>
      <c r="AP382" s="2">
        <v>11</v>
      </c>
      <c r="AQ382" s="2" t="s">
        <v>82</v>
      </c>
      <c r="AR382" s="2"/>
      <c r="AS382" s="2"/>
      <c r="AT382" s="2" t="s">
        <v>1789</v>
      </c>
      <c r="AU382" s="2"/>
      <c r="AV382" s="2"/>
      <c r="AW382" s="2"/>
      <c r="AX382" s="2"/>
      <c r="AY382" s="2">
        <v>1</v>
      </c>
      <c r="AZ382" s="2" t="s">
        <v>107</v>
      </c>
      <c r="BA382" s="2">
        <v>41</v>
      </c>
      <c r="BB382" s="2" t="s">
        <v>82</v>
      </c>
      <c r="BC382" s="2">
        <v>1</v>
      </c>
      <c r="BD382" s="2" t="s">
        <v>107</v>
      </c>
      <c r="BE382" s="2">
        <v>47</v>
      </c>
      <c r="BF382" s="2" t="s">
        <v>167</v>
      </c>
      <c r="BG382" s="2">
        <v>2886</v>
      </c>
      <c r="BH382" s="4">
        <v>0.54513888888888895</v>
      </c>
      <c r="BI382" s="4">
        <v>0.58194444444444449</v>
      </c>
      <c r="BJ382" s="2">
        <v>13</v>
      </c>
      <c r="BK382" s="2" t="s">
        <v>91</v>
      </c>
      <c r="BL382" s="2" t="s">
        <v>524</v>
      </c>
      <c r="BM382" s="2">
        <v>13</v>
      </c>
      <c r="BN382" s="2" t="s">
        <v>91</v>
      </c>
      <c r="BO382" s="2" t="s">
        <v>895</v>
      </c>
      <c r="BP382" s="2">
        <v>13</v>
      </c>
      <c r="BQ382" s="2" t="s">
        <v>91</v>
      </c>
      <c r="BR382" s="2" t="s">
        <v>524</v>
      </c>
      <c r="BS382" s="3">
        <v>40211</v>
      </c>
      <c r="BT382" s="4">
        <v>0.62153935185185183</v>
      </c>
    </row>
    <row r="383" spans="1:72" x14ac:dyDescent="0.25">
      <c r="A383" s="2">
        <v>603</v>
      </c>
      <c r="B383" s="2">
        <v>2010</v>
      </c>
      <c r="C383" s="2" t="s">
        <v>72</v>
      </c>
      <c r="D383" s="2" t="s">
        <v>73</v>
      </c>
      <c r="E383" s="2"/>
      <c r="F383" s="2">
        <v>37</v>
      </c>
      <c r="G383" s="2" t="s">
        <v>1790</v>
      </c>
      <c r="H383" s="2">
        <v>42</v>
      </c>
      <c r="I383" s="2" t="s">
        <v>1096</v>
      </c>
      <c r="J383" s="2">
        <v>328</v>
      </c>
      <c r="K383" s="2" t="s">
        <v>1791</v>
      </c>
      <c r="L383" s="2" t="s">
        <v>1792</v>
      </c>
      <c r="M383" s="3">
        <v>40211</v>
      </c>
      <c r="N383" s="2" t="s">
        <v>1793</v>
      </c>
      <c r="O383" s="2"/>
      <c r="P383" s="2"/>
      <c r="Q383" s="2" t="str">
        <f>"0007/10"</f>
        <v>0007/10</v>
      </c>
      <c r="R383" s="2"/>
      <c r="S383" s="2" t="s">
        <v>1794</v>
      </c>
      <c r="T383" s="2">
        <v>1</v>
      </c>
      <c r="U383" s="2" t="s">
        <v>79</v>
      </c>
      <c r="V383" s="2">
        <v>1</v>
      </c>
      <c r="W383" s="2" t="s">
        <v>80</v>
      </c>
      <c r="X383" s="2">
        <v>5</v>
      </c>
      <c r="Y383" s="2" t="s">
        <v>82</v>
      </c>
      <c r="Z383" s="2">
        <v>10</v>
      </c>
      <c r="AA383" s="2" t="s">
        <v>236</v>
      </c>
      <c r="AB383" s="2">
        <v>6</v>
      </c>
      <c r="AC383" s="2" t="s">
        <v>83</v>
      </c>
      <c r="AD383" s="3">
        <v>40207</v>
      </c>
      <c r="AE383" s="4">
        <v>0.625</v>
      </c>
      <c r="AF383" s="3">
        <v>40211</v>
      </c>
      <c r="AG383" s="4">
        <v>0.5625</v>
      </c>
      <c r="AH383" s="2">
        <v>4</v>
      </c>
      <c r="AI383" s="2" t="s">
        <v>125</v>
      </c>
      <c r="AJ383" s="2">
        <v>29</v>
      </c>
      <c r="AK383" s="2" t="s">
        <v>227</v>
      </c>
      <c r="AL383" s="2">
        <v>18</v>
      </c>
      <c r="AM383" s="2" t="s">
        <v>82</v>
      </c>
      <c r="AN383" s="2"/>
      <c r="AO383" s="2" t="s">
        <v>1795</v>
      </c>
      <c r="AP383" s="2">
        <v>11</v>
      </c>
      <c r="AQ383" s="2" t="s">
        <v>82</v>
      </c>
      <c r="AR383" s="2"/>
      <c r="AS383" s="2"/>
      <c r="AT383" s="2" t="s">
        <v>1796</v>
      </c>
      <c r="AU383" s="2"/>
      <c r="AV383" s="2"/>
      <c r="AW383" s="2"/>
      <c r="AX383" s="2"/>
      <c r="AY383" s="2">
        <v>41</v>
      </c>
      <c r="AZ383" s="2" t="s">
        <v>82</v>
      </c>
      <c r="BA383" s="2">
        <v>41</v>
      </c>
      <c r="BB383" s="2" t="s">
        <v>82</v>
      </c>
      <c r="BC383" s="2">
        <v>41</v>
      </c>
      <c r="BD383" s="2" t="s">
        <v>82</v>
      </c>
      <c r="BE383" s="2">
        <v>41</v>
      </c>
      <c r="BF383" s="2" t="s">
        <v>82</v>
      </c>
      <c r="BG383" s="2"/>
      <c r="BH383" s="2"/>
      <c r="BI383" s="2"/>
      <c r="BJ383" s="2">
        <v>241</v>
      </c>
      <c r="BK383" s="2" t="s">
        <v>82</v>
      </c>
      <c r="BL383" s="2"/>
      <c r="BM383" s="2">
        <v>241</v>
      </c>
      <c r="BN383" s="2" t="s">
        <v>82</v>
      </c>
      <c r="BO383" s="2"/>
      <c r="BP383" s="2">
        <v>241</v>
      </c>
      <c r="BQ383" s="2" t="s">
        <v>82</v>
      </c>
      <c r="BR383" s="2"/>
      <c r="BS383" s="3">
        <v>40211</v>
      </c>
      <c r="BT383" s="4">
        <v>0.63646990740740739</v>
      </c>
    </row>
    <row r="384" spans="1:72" x14ac:dyDescent="0.25">
      <c r="A384" s="2">
        <v>604</v>
      </c>
      <c r="B384" s="2">
        <v>2010</v>
      </c>
      <c r="C384" s="2" t="s">
        <v>554</v>
      </c>
      <c r="D384" s="2" t="s">
        <v>73</v>
      </c>
      <c r="E384" s="2"/>
      <c r="F384" s="2">
        <v>3</v>
      </c>
      <c r="G384" s="2" t="s">
        <v>1041</v>
      </c>
      <c r="H384" s="2">
        <v>22</v>
      </c>
      <c r="I384" s="2" t="s">
        <v>75</v>
      </c>
      <c r="J384" s="2">
        <v>368</v>
      </c>
      <c r="K384" s="2" t="s">
        <v>1042</v>
      </c>
      <c r="L384" s="2" t="s">
        <v>1043</v>
      </c>
      <c r="M384" s="3">
        <v>40211</v>
      </c>
      <c r="N384" s="2"/>
      <c r="O384" s="2"/>
      <c r="P384" s="2"/>
      <c r="Q384" s="2" t="str">
        <f>"066-E/10"</f>
        <v>066-E/10</v>
      </c>
      <c r="R384" s="2" t="s">
        <v>480</v>
      </c>
      <c r="S384" s="2" t="s">
        <v>480</v>
      </c>
      <c r="T384" s="2">
        <v>1</v>
      </c>
      <c r="U384" s="2" t="s">
        <v>79</v>
      </c>
      <c r="V384" s="2">
        <v>1</v>
      </c>
      <c r="W384" s="2" t="s">
        <v>80</v>
      </c>
      <c r="X384" s="2">
        <v>1</v>
      </c>
      <c r="Y384" s="2" t="s">
        <v>81</v>
      </c>
      <c r="Z384" s="2">
        <v>1</v>
      </c>
      <c r="AA384" s="2" t="s">
        <v>82</v>
      </c>
      <c r="AB384" s="2">
        <v>5</v>
      </c>
      <c r="AC384" s="2" t="s">
        <v>559</v>
      </c>
      <c r="AD384" s="3">
        <v>40211</v>
      </c>
      <c r="AE384" s="4">
        <v>0.4375</v>
      </c>
      <c r="AF384" s="3">
        <v>40211</v>
      </c>
      <c r="AG384" s="4">
        <v>0.5</v>
      </c>
      <c r="AH384" s="2">
        <v>2</v>
      </c>
      <c r="AI384" s="2" t="s">
        <v>84</v>
      </c>
      <c r="AJ384" s="2">
        <v>9</v>
      </c>
      <c r="AK384" s="2" t="s">
        <v>103</v>
      </c>
      <c r="AL384" s="2">
        <v>12</v>
      </c>
      <c r="AM384" s="2" t="s">
        <v>86</v>
      </c>
      <c r="AN384" s="2" t="s">
        <v>1797</v>
      </c>
      <c r="AO384" s="2" t="s">
        <v>1798</v>
      </c>
      <c r="AP384" s="2">
        <v>11</v>
      </c>
      <c r="AQ384" s="2" t="s">
        <v>82</v>
      </c>
      <c r="AR384" s="2"/>
      <c r="AS384" s="2"/>
      <c r="AT384" s="2" t="s">
        <v>1799</v>
      </c>
      <c r="AU384" s="2"/>
      <c r="AV384" s="2"/>
      <c r="AW384" s="2"/>
      <c r="AX384" s="2"/>
      <c r="AY384" s="2">
        <v>41</v>
      </c>
      <c r="AZ384" s="2" t="s">
        <v>82</v>
      </c>
      <c r="BA384" s="2">
        <v>41</v>
      </c>
      <c r="BB384" s="2" t="s">
        <v>82</v>
      </c>
      <c r="BC384" s="2">
        <v>41</v>
      </c>
      <c r="BD384" s="2" t="s">
        <v>82</v>
      </c>
      <c r="BE384" s="2">
        <v>31</v>
      </c>
      <c r="BF384" s="2" t="s">
        <v>398</v>
      </c>
      <c r="BG384" s="2" t="s">
        <v>1800</v>
      </c>
      <c r="BH384" s="4">
        <v>0.39583333333333331</v>
      </c>
      <c r="BI384" s="4">
        <v>0</v>
      </c>
      <c r="BJ384" s="2">
        <v>73</v>
      </c>
      <c r="BK384" s="2" t="s">
        <v>186</v>
      </c>
      <c r="BL384" s="2" t="s">
        <v>187</v>
      </c>
      <c r="BM384" s="2">
        <v>241</v>
      </c>
      <c r="BN384" s="2" t="s">
        <v>82</v>
      </c>
      <c r="BO384" s="2"/>
      <c r="BP384" s="2">
        <v>13</v>
      </c>
      <c r="BQ384" s="2" t="s">
        <v>91</v>
      </c>
      <c r="BR384" s="2" t="s">
        <v>1801</v>
      </c>
      <c r="BS384" s="3">
        <v>40211</v>
      </c>
      <c r="BT384" s="4">
        <v>0.64042824074074078</v>
      </c>
    </row>
    <row r="385" spans="1:72" x14ac:dyDescent="0.25">
      <c r="A385" s="2">
        <v>605</v>
      </c>
      <c r="B385" s="2">
        <v>2010</v>
      </c>
      <c r="C385" s="2" t="s">
        <v>554</v>
      </c>
      <c r="D385" s="2" t="s">
        <v>73</v>
      </c>
      <c r="E385" s="2"/>
      <c r="F385" s="2">
        <v>3</v>
      </c>
      <c r="G385" s="2" t="s">
        <v>1041</v>
      </c>
      <c r="H385" s="2">
        <v>1</v>
      </c>
      <c r="I385" s="2" t="s">
        <v>82</v>
      </c>
      <c r="J385" s="2">
        <v>368</v>
      </c>
      <c r="K385" s="2" t="s">
        <v>1042</v>
      </c>
      <c r="L385" s="2" t="s">
        <v>1043</v>
      </c>
      <c r="M385" s="3">
        <v>40211</v>
      </c>
      <c r="N385" s="2"/>
      <c r="O385" s="2"/>
      <c r="P385" s="2"/>
      <c r="Q385" s="2" t="str">
        <f>"067-E/10"</f>
        <v>067-E/10</v>
      </c>
      <c r="R385" s="2" t="s">
        <v>480</v>
      </c>
      <c r="S385" s="2" t="s">
        <v>480</v>
      </c>
      <c r="T385" s="2">
        <v>1</v>
      </c>
      <c r="U385" s="2" t="s">
        <v>79</v>
      </c>
      <c r="V385" s="2">
        <v>1</v>
      </c>
      <c r="W385" s="2" t="s">
        <v>80</v>
      </c>
      <c r="X385" s="2">
        <v>1</v>
      </c>
      <c r="Y385" s="2" t="s">
        <v>81</v>
      </c>
      <c r="Z385" s="2">
        <v>1</v>
      </c>
      <c r="AA385" s="2" t="s">
        <v>82</v>
      </c>
      <c r="AB385" s="2">
        <v>5</v>
      </c>
      <c r="AC385" s="2" t="s">
        <v>559</v>
      </c>
      <c r="AD385" s="3">
        <v>40207</v>
      </c>
      <c r="AE385" s="4">
        <v>0.625</v>
      </c>
      <c r="AF385" s="3">
        <v>40211</v>
      </c>
      <c r="AG385" s="4">
        <v>0.66666666666666663</v>
      </c>
      <c r="AH385" s="2">
        <v>2</v>
      </c>
      <c r="AI385" s="2" t="s">
        <v>84</v>
      </c>
      <c r="AJ385" s="2">
        <v>9</v>
      </c>
      <c r="AK385" s="2" t="s">
        <v>103</v>
      </c>
      <c r="AL385" s="2">
        <v>12</v>
      </c>
      <c r="AM385" s="2" t="s">
        <v>86</v>
      </c>
      <c r="AN385" s="2" t="s">
        <v>1802</v>
      </c>
      <c r="AO385" s="2"/>
      <c r="AP385" s="2">
        <v>11</v>
      </c>
      <c r="AQ385" s="2" t="s">
        <v>82</v>
      </c>
      <c r="AR385" s="2"/>
      <c r="AS385" s="2"/>
      <c r="AT385" s="2" t="s">
        <v>1803</v>
      </c>
      <c r="AU385" s="2"/>
      <c r="AV385" s="2"/>
      <c r="AW385" s="2"/>
      <c r="AX385" s="2"/>
      <c r="AY385" s="2">
        <v>41</v>
      </c>
      <c r="AZ385" s="2" t="s">
        <v>82</v>
      </c>
      <c r="BA385" s="2">
        <v>41</v>
      </c>
      <c r="BB385" s="2" t="s">
        <v>82</v>
      </c>
      <c r="BC385" s="2">
        <v>41</v>
      </c>
      <c r="BD385" s="2" t="s">
        <v>82</v>
      </c>
      <c r="BE385" s="2">
        <v>39</v>
      </c>
      <c r="BF385" s="2" t="s">
        <v>440</v>
      </c>
      <c r="BG385" s="2" t="s">
        <v>1804</v>
      </c>
      <c r="BH385" s="4">
        <v>0.61805555555555558</v>
      </c>
      <c r="BI385" s="2"/>
      <c r="BJ385" s="2">
        <v>33</v>
      </c>
      <c r="BK385" s="2" t="s">
        <v>361</v>
      </c>
      <c r="BL385" s="2" t="s">
        <v>1739</v>
      </c>
      <c r="BM385" s="2">
        <v>241</v>
      </c>
      <c r="BN385" s="2" t="s">
        <v>82</v>
      </c>
      <c r="BO385" s="2"/>
      <c r="BP385" s="2">
        <v>13</v>
      </c>
      <c r="BQ385" s="2" t="s">
        <v>91</v>
      </c>
      <c r="BR385" s="2" t="s">
        <v>185</v>
      </c>
      <c r="BS385" s="3">
        <v>40211</v>
      </c>
      <c r="BT385" s="4">
        <v>0.70859953703703704</v>
      </c>
    </row>
    <row r="386" spans="1:72" x14ac:dyDescent="0.25">
      <c r="A386" s="2">
        <v>607</v>
      </c>
      <c r="B386" s="2">
        <v>2010</v>
      </c>
      <c r="C386" s="2" t="s">
        <v>385</v>
      </c>
      <c r="D386" s="2" t="s">
        <v>122</v>
      </c>
      <c r="E386" s="2"/>
      <c r="F386" s="2">
        <v>144</v>
      </c>
      <c r="G386" s="2" t="s">
        <v>537</v>
      </c>
      <c r="H386" s="2">
        <v>42</v>
      </c>
      <c r="I386" s="2" t="s">
        <v>1096</v>
      </c>
      <c r="J386" s="2">
        <v>160</v>
      </c>
      <c r="K386" s="2" t="s">
        <v>538</v>
      </c>
      <c r="L386" s="2" t="s">
        <v>539</v>
      </c>
      <c r="M386" s="3">
        <v>40211</v>
      </c>
      <c r="N386" s="2" t="s">
        <v>1805</v>
      </c>
      <c r="O386" s="2" t="s">
        <v>1806</v>
      </c>
      <c r="P386" s="2">
        <v>18852</v>
      </c>
      <c r="Q386" s="2" t="str">
        <f>""</f>
        <v/>
      </c>
      <c r="R386" s="2"/>
      <c r="S386" s="2"/>
      <c r="T386" s="2">
        <v>1</v>
      </c>
      <c r="U386" s="2" t="s">
        <v>79</v>
      </c>
      <c r="V386" s="2">
        <v>1</v>
      </c>
      <c r="W386" s="2" t="s">
        <v>80</v>
      </c>
      <c r="X386" s="2">
        <v>4</v>
      </c>
      <c r="Y386" s="2" t="s">
        <v>463</v>
      </c>
      <c r="Z386" s="2">
        <v>1</v>
      </c>
      <c r="AA386" s="2" t="s">
        <v>82</v>
      </c>
      <c r="AB386" s="2">
        <v>9</v>
      </c>
      <c r="AC386" s="2" t="s">
        <v>124</v>
      </c>
      <c r="AD386" s="3">
        <v>40211</v>
      </c>
      <c r="AE386" s="4">
        <v>0.53472222222222221</v>
      </c>
      <c r="AF386" s="2"/>
      <c r="AG386" s="2"/>
      <c r="AH386" s="2">
        <v>2</v>
      </c>
      <c r="AI386" s="2" t="s">
        <v>84</v>
      </c>
      <c r="AJ386" s="2">
        <v>12</v>
      </c>
      <c r="AK386" s="2" t="s">
        <v>85</v>
      </c>
      <c r="AL386" s="2">
        <v>2</v>
      </c>
      <c r="AM386" s="2" t="s">
        <v>163</v>
      </c>
      <c r="AN386" s="2"/>
      <c r="AO386" s="2" t="s">
        <v>1807</v>
      </c>
      <c r="AP386" s="2">
        <v>11</v>
      </c>
      <c r="AQ386" s="2" t="s">
        <v>82</v>
      </c>
      <c r="AR386" s="2"/>
      <c r="AS386" s="2"/>
      <c r="AT386" s="2" t="s">
        <v>1808</v>
      </c>
      <c r="AU386" s="2">
        <v>1</v>
      </c>
      <c r="AV386" s="2"/>
      <c r="AW386" s="2"/>
      <c r="AX386" s="2"/>
      <c r="AY386" s="2">
        <v>41</v>
      </c>
      <c r="AZ386" s="2" t="s">
        <v>82</v>
      </c>
      <c r="BA386" s="2">
        <v>41</v>
      </c>
      <c r="BB386" s="2" t="s">
        <v>82</v>
      </c>
      <c r="BC386" s="2">
        <v>41</v>
      </c>
      <c r="BD386" s="2" t="s">
        <v>82</v>
      </c>
      <c r="BE386" s="2">
        <v>13</v>
      </c>
      <c r="BF386" s="2" t="s">
        <v>108</v>
      </c>
      <c r="BG386" s="2" t="s">
        <v>1809</v>
      </c>
      <c r="BH386" s="4">
        <v>0.85416666666666663</v>
      </c>
      <c r="BI386" s="4">
        <v>0.70486111111111116</v>
      </c>
      <c r="BJ386" s="2">
        <v>13</v>
      </c>
      <c r="BK386" s="2" t="s">
        <v>91</v>
      </c>
      <c r="BL386" s="2" t="s">
        <v>1810</v>
      </c>
      <c r="BM386" s="2">
        <v>13</v>
      </c>
      <c r="BN386" s="2" t="s">
        <v>91</v>
      </c>
      <c r="BO386" s="2" t="s">
        <v>1811</v>
      </c>
      <c r="BP386" s="2">
        <v>13</v>
      </c>
      <c r="BQ386" s="2" t="s">
        <v>91</v>
      </c>
      <c r="BR386" s="2" t="s">
        <v>1812</v>
      </c>
      <c r="BS386" s="3">
        <v>40211</v>
      </c>
      <c r="BT386" s="4">
        <v>0.72966435185185186</v>
      </c>
    </row>
    <row r="387" spans="1:72" x14ac:dyDescent="0.25">
      <c r="A387" s="2">
        <v>609</v>
      </c>
      <c r="B387" s="2">
        <v>2010</v>
      </c>
      <c r="C387" s="2" t="s">
        <v>385</v>
      </c>
      <c r="D387" s="2" t="s">
        <v>73</v>
      </c>
      <c r="E387" s="2"/>
      <c r="F387" s="2">
        <v>144</v>
      </c>
      <c r="G387" s="2" t="s">
        <v>537</v>
      </c>
      <c r="H387" s="2">
        <v>42</v>
      </c>
      <c r="I387" s="2" t="s">
        <v>1096</v>
      </c>
      <c r="J387" s="2">
        <v>160</v>
      </c>
      <c r="K387" s="2" t="s">
        <v>538</v>
      </c>
      <c r="L387" s="2" t="s">
        <v>539</v>
      </c>
      <c r="M387" s="3">
        <v>40211</v>
      </c>
      <c r="N387" s="2" t="s">
        <v>1813</v>
      </c>
      <c r="O387" s="2" t="s">
        <v>1814</v>
      </c>
      <c r="P387" s="2">
        <v>18852</v>
      </c>
      <c r="Q387" s="2" t="str">
        <f>"N/C"</f>
        <v>N/C</v>
      </c>
      <c r="R387" s="2" t="s">
        <v>82</v>
      </c>
      <c r="S387" s="2" t="s">
        <v>82</v>
      </c>
      <c r="T387" s="2">
        <v>1</v>
      </c>
      <c r="U387" s="2" t="s">
        <v>79</v>
      </c>
      <c r="V387" s="2">
        <v>1</v>
      </c>
      <c r="W387" s="2" t="s">
        <v>80</v>
      </c>
      <c r="X387" s="2">
        <v>4</v>
      </c>
      <c r="Y387" s="2" t="s">
        <v>463</v>
      </c>
      <c r="Z387" s="2">
        <v>1</v>
      </c>
      <c r="AA387" s="2" t="s">
        <v>82</v>
      </c>
      <c r="AB387" s="2">
        <v>9</v>
      </c>
      <c r="AC387" s="2" t="s">
        <v>124</v>
      </c>
      <c r="AD387" s="3">
        <v>40211</v>
      </c>
      <c r="AE387" s="4">
        <v>0.89236111111111116</v>
      </c>
      <c r="AF387" s="2"/>
      <c r="AG387" s="2"/>
      <c r="AH387" s="2">
        <v>6</v>
      </c>
      <c r="AI387" s="2" t="s">
        <v>197</v>
      </c>
      <c r="AJ387" s="2">
        <v>60</v>
      </c>
      <c r="AK387" s="2" t="s">
        <v>543</v>
      </c>
      <c r="AL387" s="2">
        <v>18</v>
      </c>
      <c r="AM387" s="2" t="s">
        <v>82</v>
      </c>
      <c r="AN387" s="2" t="s">
        <v>1815</v>
      </c>
      <c r="AO387" s="2" t="s">
        <v>1816</v>
      </c>
      <c r="AP387" s="2">
        <v>11</v>
      </c>
      <c r="AQ387" s="2" t="s">
        <v>82</v>
      </c>
      <c r="AR387" s="2" t="s">
        <v>82</v>
      </c>
      <c r="AS387" s="2" t="s">
        <v>82</v>
      </c>
      <c r="AT387" s="2" t="s">
        <v>1817</v>
      </c>
      <c r="AU387" s="2"/>
      <c r="AV387" s="2"/>
      <c r="AW387" s="2"/>
      <c r="AX387" s="2"/>
      <c r="AY387" s="2">
        <v>1</v>
      </c>
      <c r="AZ387" s="2" t="s">
        <v>107</v>
      </c>
      <c r="BA387" s="2">
        <v>1</v>
      </c>
      <c r="BB387" s="2" t="s">
        <v>107</v>
      </c>
      <c r="BC387" s="2">
        <v>1</v>
      </c>
      <c r="BD387" s="2" t="s">
        <v>107</v>
      </c>
      <c r="BE387" s="2">
        <v>13</v>
      </c>
      <c r="BF387" s="2" t="s">
        <v>108</v>
      </c>
      <c r="BG387" s="2" t="s">
        <v>1818</v>
      </c>
      <c r="BH387" s="4">
        <v>0.89236111111111116</v>
      </c>
      <c r="BI387" s="4">
        <v>0.92013888888888884</v>
      </c>
      <c r="BJ387" s="2">
        <v>13</v>
      </c>
      <c r="BK387" s="2" t="s">
        <v>91</v>
      </c>
      <c r="BL387" s="2" t="s">
        <v>185</v>
      </c>
      <c r="BM387" s="2">
        <v>13</v>
      </c>
      <c r="BN387" s="2" t="s">
        <v>91</v>
      </c>
      <c r="BO387" s="2" t="s">
        <v>1014</v>
      </c>
      <c r="BP387" s="2">
        <v>13</v>
      </c>
      <c r="BQ387" s="2" t="s">
        <v>91</v>
      </c>
      <c r="BR387" s="2" t="s">
        <v>895</v>
      </c>
      <c r="BS387" s="3">
        <v>40211</v>
      </c>
      <c r="BT387" s="4">
        <v>0.92425925925925922</v>
      </c>
    </row>
    <row r="388" spans="1:72" x14ac:dyDescent="0.25">
      <c r="A388" s="2">
        <v>610</v>
      </c>
      <c r="B388" s="2">
        <v>2010</v>
      </c>
      <c r="C388" s="2" t="s">
        <v>72</v>
      </c>
      <c r="D388" s="2" t="s">
        <v>73</v>
      </c>
      <c r="E388" s="2"/>
      <c r="F388" s="2">
        <v>389</v>
      </c>
      <c r="G388" s="2" t="s">
        <v>1819</v>
      </c>
      <c r="H388" s="2">
        <v>3</v>
      </c>
      <c r="I388" s="2" t="s">
        <v>315</v>
      </c>
      <c r="J388" s="2">
        <v>399</v>
      </c>
      <c r="K388" s="2" t="s">
        <v>1820</v>
      </c>
      <c r="L388" s="2" t="s">
        <v>1821</v>
      </c>
      <c r="M388" s="3">
        <v>40212</v>
      </c>
      <c r="N388" s="2" t="s">
        <v>1822</v>
      </c>
      <c r="O388" s="2" t="s">
        <v>107</v>
      </c>
      <c r="P388" s="2" t="s">
        <v>107</v>
      </c>
      <c r="Q388" s="2" t="str">
        <f>"068-E/10"</f>
        <v>068-E/10</v>
      </c>
      <c r="R388" s="2" t="s">
        <v>116</v>
      </c>
      <c r="S388" s="2" t="s">
        <v>116</v>
      </c>
      <c r="T388" s="2">
        <v>1</v>
      </c>
      <c r="U388" s="2" t="s">
        <v>79</v>
      </c>
      <c r="V388" s="2">
        <v>1</v>
      </c>
      <c r="W388" s="2" t="s">
        <v>80</v>
      </c>
      <c r="X388" s="2">
        <v>5</v>
      </c>
      <c r="Y388" s="2" t="s">
        <v>82</v>
      </c>
      <c r="Z388" s="2">
        <v>1</v>
      </c>
      <c r="AA388" s="2" t="s">
        <v>82</v>
      </c>
      <c r="AB388" s="2">
        <v>6</v>
      </c>
      <c r="AC388" s="2" t="s">
        <v>83</v>
      </c>
      <c r="AD388" s="3">
        <v>40211</v>
      </c>
      <c r="AE388" s="4">
        <v>0.85416666666666663</v>
      </c>
      <c r="AF388" s="3">
        <v>40211</v>
      </c>
      <c r="AG388" s="4">
        <v>0.89583333333333337</v>
      </c>
      <c r="AH388" s="2">
        <v>2</v>
      </c>
      <c r="AI388" s="2" t="s">
        <v>84</v>
      </c>
      <c r="AJ388" s="2">
        <v>9</v>
      </c>
      <c r="AK388" s="2" t="s">
        <v>103</v>
      </c>
      <c r="AL388" s="2">
        <v>14</v>
      </c>
      <c r="AM388" s="2" t="s">
        <v>216</v>
      </c>
      <c r="AN388" s="2" t="s">
        <v>1823</v>
      </c>
      <c r="AO388" s="2" t="s">
        <v>107</v>
      </c>
      <c r="AP388" s="2">
        <v>11</v>
      </c>
      <c r="AQ388" s="2" t="s">
        <v>82</v>
      </c>
      <c r="AR388" s="2"/>
      <c r="AS388" s="2"/>
      <c r="AT388" s="2" t="s">
        <v>1824</v>
      </c>
      <c r="AU388" s="2"/>
      <c r="AV388" s="2"/>
      <c r="AW388" s="2"/>
      <c r="AX388" s="2"/>
      <c r="AY388" s="2">
        <v>41</v>
      </c>
      <c r="AZ388" s="2" t="s">
        <v>82</v>
      </c>
      <c r="BA388" s="2">
        <v>41</v>
      </c>
      <c r="BB388" s="2" t="s">
        <v>82</v>
      </c>
      <c r="BC388" s="2">
        <v>41</v>
      </c>
      <c r="BD388" s="2" t="s">
        <v>82</v>
      </c>
      <c r="BE388" s="2">
        <v>39</v>
      </c>
      <c r="BF388" s="2" t="s">
        <v>440</v>
      </c>
      <c r="BG388" s="2" t="s">
        <v>1825</v>
      </c>
      <c r="BH388" s="4">
        <v>0.85416666666666663</v>
      </c>
      <c r="BI388" s="2"/>
      <c r="BJ388" s="2">
        <v>29</v>
      </c>
      <c r="BK388" s="2" t="s">
        <v>962</v>
      </c>
      <c r="BL388" s="2" t="s">
        <v>963</v>
      </c>
      <c r="BM388" s="2">
        <v>172</v>
      </c>
      <c r="BN388" s="2" t="s">
        <v>843</v>
      </c>
      <c r="BO388" s="2" t="s">
        <v>844</v>
      </c>
      <c r="BP388" s="2">
        <v>13</v>
      </c>
      <c r="BQ388" s="2" t="s">
        <v>91</v>
      </c>
      <c r="BR388" s="2" t="s">
        <v>1826</v>
      </c>
      <c r="BS388" s="3">
        <v>40212</v>
      </c>
      <c r="BT388" s="4">
        <v>6.2268518518518515E-3</v>
      </c>
    </row>
    <row r="389" spans="1:72" x14ac:dyDescent="0.25">
      <c r="A389" s="2">
        <v>611</v>
      </c>
      <c r="B389" s="2">
        <v>2010</v>
      </c>
      <c r="C389" s="2" t="s">
        <v>554</v>
      </c>
      <c r="D389" s="2" t="s">
        <v>73</v>
      </c>
      <c r="E389" s="2"/>
      <c r="F389" s="2">
        <v>390</v>
      </c>
      <c r="G389" s="2" t="s">
        <v>475</v>
      </c>
      <c r="H389" s="2">
        <v>3</v>
      </c>
      <c r="I389" s="2" t="s">
        <v>315</v>
      </c>
      <c r="J389" s="2">
        <v>314</v>
      </c>
      <c r="K389" s="2" t="s">
        <v>477</v>
      </c>
      <c r="L389" s="2" t="s">
        <v>478</v>
      </c>
      <c r="M389" s="3">
        <v>40212</v>
      </c>
      <c r="N389" s="2" t="s">
        <v>1827</v>
      </c>
      <c r="O389" s="2"/>
      <c r="P389" s="2"/>
      <c r="Q389" s="2" t="str">
        <f>"069-E/10"</f>
        <v>069-E/10</v>
      </c>
      <c r="R389" s="2" t="s">
        <v>1828</v>
      </c>
      <c r="S389" s="2" t="s">
        <v>1829</v>
      </c>
      <c r="T389" s="2">
        <v>1</v>
      </c>
      <c r="U389" s="2" t="s">
        <v>79</v>
      </c>
      <c r="V389" s="2">
        <v>1</v>
      </c>
      <c r="W389" s="2" t="s">
        <v>80</v>
      </c>
      <c r="X389" s="2">
        <v>1</v>
      </c>
      <c r="Y389" s="2" t="s">
        <v>81</v>
      </c>
      <c r="Z389" s="2">
        <v>1</v>
      </c>
      <c r="AA389" s="2" t="s">
        <v>82</v>
      </c>
      <c r="AB389" s="2">
        <v>5</v>
      </c>
      <c r="AC389" s="2" t="s">
        <v>559</v>
      </c>
      <c r="AD389" s="3">
        <v>40212</v>
      </c>
      <c r="AE389" s="4">
        <v>8.3333333333333329E-2</v>
      </c>
      <c r="AF389" s="3">
        <v>40212</v>
      </c>
      <c r="AG389" s="4">
        <v>8.3333333333333329E-2</v>
      </c>
      <c r="AH389" s="2">
        <v>2</v>
      </c>
      <c r="AI389" s="2" t="s">
        <v>84</v>
      </c>
      <c r="AJ389" s="2">
        <v>9</v>
      </c>
      <c r="AK389" s="2" t="s">
        <v>103</v>
      </c>
      <c r="AL389" s="2">
        <v>13</v>
      </c>
      <c r="AM389" s="2" t="s">
        <v>117</v>
      </c>
      <c r="AN389" s="2" t="s">
        <v>1830</v>
      </c>
      <c r="AO389" s="2"/>
      <c r="AP389" s="2">
        <v>11</v>
      </c>
      <c r="AQ389" s="2" t="s">
        <v>82</v>
      </c>
      <c r="AR389" s="2"/>
      <c r="AS389" s="2"/>
      <c r="AT389" s="2" t="s">
        <v>1831</v>
      </c>
      <c r="AU389" s="2"/>
      <c r="AV389" s="2"/>
      <c r="AW389" s="2"/>
      <c r="AX389" s="2"/>
      <c r="AY389" s="2">
        <v>41</v>
      </c>
      <c r="AZ389" s="2" t="s">
        <v>82</v>
      </c>
      <c r="BA389" s="2">
        <v>41</v>
      </c>
      <c r="BB389" s="2" t="s">
        <v>82</v>
      </c>
      <c r="BC389" s="2">
        <v>41</v>
      </c>
      <c r="BD389" s="2" t="s">
        <v>82</v>
      </c>
      <c r="BE389" s="2">
        <v>17</v>
      </c>
      <c r="BF389" s="2" t="s">
        <v>508</v>
      </c>
      <c r="BG389" s="2" t="s">
        <v>107</v>
      </c>
      <c r="BH389" s="2"/>
      <c r="BI389" s="4">
        <v>0.24305555555555555</v>
      </c>
      <c r="BJ389" s="2">
        <v>13</v>
      </c>
      <c r="BK389" s="2" t="s">
        <v>91</v>
      </c>
      <c r="BL389" s="2" t="s">
        <v>1084</v>
      </c>
      <c r="BM389" s="2">
        <v>241</v>
      </c>
      <c r="BN389" s="2" t="s">
        <v>82</v>
      </c>
      <c r="BO389" s="2"/>
      <c r="BP389" s="2">
        <v>46</v>
      </c>
      <c r="BQ389" s="2" t="s">
        <v>307</v>
      </c>
      <c r="BR389" s="2" t="s">
        <v>308</v>
      </c>
      <c r="BS389" s="3">
        <v>40212</v>
      </c>
      <c r="BT389" s="4">
        <v>0.14913194444444444</v>
      </c>
    </row>
    <row r="390" spans="1:72" x14ac:dyDescent="0.25">
      <c r="A390" s="2">
        <v>612</v>
      </c>
      <c r="B390" s="2">
        <v>2010</v>
      </c>
      <c r="C390" s="2" t="s">
        <v>594</v>
      </c>
      <c r="D390" s="2" t="s">
        <v>122</v>
      </c>
      <c r="E390" s="2"/>
      <c r="F390" s="2">
        <v>1</v>
      </c>
      <c r="G390" s="2" t="s">
        <v>82</v>
      </c>
      <c r="H390" s="2">
        <v>1</v>
      </c>
      <c r="I390" s="2" t="s">
        <v>82</v>
      </c>
      <c r="J390" s="2">
        <v>1</v>
      </c>
      <c r="K390" s="2" t="s">
        <v>107</v>
      </c>
      <c r="L390" s="2" t="s">
        <v>107</v>
      </c>
      <c r="M390" s="3">
        <v>40212</v>
      </c>
      <c r="N390" s="2"/>
      <c r="O390" s="2"/>
      <c r="P390" s="2"/>
      <c r="Q390" s="2" t="str">
        <f>""</f>
        <v/>
      </c>
      <c r="R390" s="2"/>
      <c r="S390" s="2"/>
      <c r="T390" s="2">
        <v>1</v>
      </c>
      <c r="U390" s="2" t="s">
        <v>79</v>
      </c>
      <c r="V390" s="2">
        <v>1</v>
      </c>
      <c r="W390" s="2" t="s">
        <v>80</v>
      </c>
      <c r="X390" s="2">
        <v>1</v>
      </c>
      <c r="Y390" s="2" t="s">
        <v>81</v>
      </c>
      <c r="Z390" s="2">
        <v>1</v>
      </c>
      <c r="AA390" s="2" t="s">
        <v>82</v>
      </c>
      <c r="AB390" s="2">
        <v>9</v>
      </c>
      <c r="AC390" s="2" t="s">
        <v>124</v>
      </c>
      <c r="AD390" s="3">
        <v>40211</v>
      </c>
      <c r="AE390" s="4">
        <v>0.94930555555555562</v>
      </c>
      <c r="AF390" s="2"/>
      <c r="AG390" s="2"/>
      <c r="AH390" s="2">
        <v>6</v>
      </c>
      <c r="AI390" s="2" t="s">
        <v>197</v>
      </c>
      <c r="AJ390" s="2">
        <v>54</v>
      </c>
      <c r="AK390" s="2" t="s">
        <v>348</v>
      </c>
      <c r="AL390" s="2">
        <v>18</v>
      </c>
      <c r="AM390" s="2" t="s">
        <v>82</v>
      </c>
      <c r="AN390" s="2" t="s">
        <v>595</v>
      </c>
      <c r="AO390" s="2" t="s">
        <v>200</v>
      </c>
      <c r="AP390" s="2">
        <v>12</v>
      </c>
      <c r="AQ390" s="2" t="s">
        <v>322</v>
      </c>
      <c r="AR390" s="2" t="s">
        <v>596</v>
      </c>
      <c r="AS390" s="2" t="s">
        <v>596</v>
      </c>
      <c r="AT390" s="2" t="s">
        <v>1832</v>
      </c>
      <c r="AU390" s="2"/>
      <c r="AV390" s="2"/>
      <c r="AW390" s="2"/>
      <c r="AX390" s="2"/>
      <c r="AY390" s="2">
        <v>1</v>
      </c>
      <c r="AZ390" s="2" t="s">
        <v>107</v>
      </c>
      <c r="BA390" s="2">
        <v>1</v>
      </c>
      <c r="BB390" s="2" t="s">
        <v>107</v>
      </c>
      <c r="BC390" s="2">
        <v>1</v>
      </c>
      <c r="BD390" s="2" t="s">
        <v>107</v>
      </c>
      <c r="BE390" s="2">
        <v>47</v>
      </c>
      <c r="BF390" s="2" t="s">
        <v>167</v>
      </c>
      <c r="BG390" s="2" t="s">
        <v>1165</v>
      </c>
      <c r="BH390" s="4">
        <v>0.90277777777777779</v>
      </c>
      <c r="BI390" s="4">
        <v>0.94930555555555562</v>
      </c>
      <c r="BJ390" s="2">
        <v>13</v>
      </c>
      <c r="BK390" s="2" t="s">
        <v>91</v>
      </c>
      <c r="BL390" s="2" t="s">
        <v>1833</v>
      </c>
      <c r="BM390" s="2">
        <v>242</v>
      </c>
      <c r="BN390" s="2" t="s">
        <v>107</v>
      </c>
      <c r="BO390" s="2"/>
      <c r="BP390" s="2">
        <v>13</v>
      </c>
      <c r="BQ390" s="2" t="s">
        <v>91</v>
      </c>
      <c r="BR390" s="2" t="s">
        <v>1834</v>
      </c>
      <c r="BS390" s="3">
        <v>40212</v>
      </c>
      <c r="BT390" s="4">
        <v>0.31771990740740741</v>
      </c>
    </row>
    <row r="391" spans="1:72" x14ac:dyDescent="0.25">
      <c r="A391" s="2">
        <v>613</v>
      </c>
      <c r="B391" s="2">
        <v>2010</v>
      </c>
      <c r="C391" s="2" t="s">
        <v>594</v>
      </c>
      <c r="D391" s="2" t="s">
        <v>73</v>
      </c>
      <c r="E391" s="2"/>
      <c r="F391" s="2">
        <v>1</v>
      </c>
      <c r="G391" s="2" t="s">
        <v>82</v>
      </c>
      <c r="H391" s="2">
        <v>1</v>
      </c>
      <c r="I391" s="2" t="s">
        <v>82</v>
      </c>
      <c r="J391" s="2">
        <v>1</v>
      </c>
      <c r="K391" s="2" t="s">
        <v>107</v>
      </c>
      <c r="L391" s="2" t="s">
        <v>107</v>
      </c>
      <c r="M391" s="3">
        <v>40212</v>
      </c>
      <c r="N391" s="2"/>
      <c r="O391" s="2"/>
      <c r="P391" s="2"/>
      <c r="Q391" s="2" t="str">
        <f>""</f>
        <v/>
      </c>
      <c r="R391" s="2"/>
      <c r="S391" s="2"/>
      <c r="T391" s="2">
        <v>1</v>
      </c>
      <c r="U391" s="2" t="s">
        <v>79</v>
      </c>
      <c r="V391" s="2">
        <v>1</v>
      </c>
      <c r="W391" s="2" t="s">
        <v>80</v>
      </c>
      <c r="X391" s="2">
        <v>1</v>
      </c>
      <c r="Y391" s="2" t="s">
        <v>81</v>
      </c>
      <c r="Z391" s="2">
        <v>1</v>
      </c>
      <c r="AA391" s="2" t="s">
        <v>82</v>
      </c>
      <c r="AB391" s="2">
        <v>9</v>
      </c>
      <c r="AC391" s="2" t="s">
        <v>124</v>
      </c>
      <c r="AD391" s="3">
        <v>40212</v>
      </c>
      <c r="AE391" s="4">
        <v>0.31736111111111115</v>
      </c>
      <c r="AF391" s="2"/>
      <c r="AG391" s="2"/>
      <c r="AH391" s="2">
        <v>6</v>
      </c>
      <c r="AI391" s="2" t="s">
        <v>197</v>
      </c>
      <c r="AJ391" s="2">
        <v>54</v>
      </c>
      <c r="AK391" s="2" t="s">
        <v>348</v>
      </c>
      <c r="AL391" s="2">
        <v>18</v>
      </c>
      <c r="AM391" s="2" t="s">
        <v>82</v>
      </c>
      <c r="AN391" s="2" t="s">
        <v>595</v>
      </c>
      <c r="AO391" s="2" t="s">
        <v>200</v>
      </c>
      <c r="AP391" s="2">
        <v>12</v>
      </c>
      <c r="AQ391" s="2" t="s">
        <v>322</v>
      </c>
      <c r="AR391" s="2" t="s">
        <v>596</v>
      </c>
      <c r="AS391" s="2" t="s">
        <v>596</v>
      </c>
      <c r="AT391" s="2" t="s">
        <v>1835</v>
      </c>
      <c r="AU391" s="2"/>
      <c r="AV391" s="2"/>
      <c r="AW391" s="2"/>
      <c r="AX391" s="2"/>
      <c r="AY391" s="2">
        <v>1</v>
      </c>
      <c r="AZ391" s="2" t="s">
        <v>107</v>
      </c>
      <c r="BA391" s="2">
        <v>1</v>
      </c>
      <c r="BB391" s="2" t="s">
        <v>107</v>
      </c>
      <c r="BC391" s="2">
        <v>1</v>
      </c>
      <c r="BD391" s="2" t="s">
        <v>107</v>
      </c>
      <c r="BE391" s="2">
        <v>13</v>
      </c>
      <c r="BF391" s="2" t="s">
        <v>108</v>
      </c>
      <c r="BG391" s="2" t="s">
        <v>846</v>
      </c>
      <c r="BH391" s="2"/>
      <c r="BI391" s="4">
        <v>0.31736111111111115</v>
      </c>
      <c r="BJ391" s="2">
        <v>13</v>
      </c>
      <c r="BK391" s="2" t="s">
        <v>91</v>
      </c>
      <c r="BL391" s="2" t="s">
        <v>904</v>
      </c>
      <c r="BM391" s="2">
        <v>242</v>
      </c>
      <c r="BN391" s="2" t="s">
        <v>107</v>
      </c>
      <c r="BO391" s="2"/>
      <c r="BP391" s="2">
        <v>13</v>
      </c>
      <c r="BQ391" s="2" t="s">
        <v>91</v>
      </c>
      <c r="BR391" s="2" t="s">
        <v>905</v>
      </c>
      <c r="BS391" s="3">
        <v>40212</v>
      </c>
      <c r="BT391" s="4">
        <v>0.33413194444444444</v>
      </c>
    </row>
    <row r="392" spans="1:72" x14ac:dyDescent="0.25">
      <c r="A392" s="2">
        <v>614</v>
      </c>
      <c r="B392" s="2">
        <v>2010</v>
      </c>
      <c r="C392" s="2" t="s">
        <v>594</v>
      </c>
      <c r="D392" s="2" t="s">
        <v>73</v>
      </c>
      <c r="E392" s="2"/>
      <c r="F392" s="2">
        <v>1</v>
      </c>
      <c r="G392" s="2" t="s">
        <v>82</v>
      </c>
      <c r="H392" s="2">
        <v>1</v>
      </c>
      <c r="I392" s="2" t="s">
        <v>82</v>
      </c>
      <c r="J392" s="2">
        <v>1</v>
      </c>
      <c r="K392" s="2" t="s">
        <v>107</v>
      </c>
      <c r="L392" s="2" t="s">
        <v>107</v>
      </c>
      <c r="M392" s="3">
        <v>40212</v>
      </c>
      <c r="N392" s="2"/>
      <c r="O392" s="2"/>
      <c r="P392" s="2"/>
      <c r="Q392" s="2" t="str">
        <f>""</f>
        <v/>
      </c>
      <c r="R392" s="2"/>
      <c r="S392" s="2"/>
      <c r="T392" s="2">
        <v>1</v>
      </c>
      <c r="U392" s="2" t="s">
        <v>79</v>
      </c>
      <c r="V392" s="2">
        <v>1</v>
      </c>
      <c r="W392" s="2" t="s">
        <v>80</v>
      </c>
      <c r="X392" s="2">
        <v>1</v>
      </c>
      <c r="Y392" s="2" t="s">
        <v>81</v>
      </c>
      <c r="Z392" s="2">
        <v>1</v>
      </c>
      <c r="AA392" s="2" t="s">
        <v>82</v>
      </c>
      <c r="AB392" s="2">
        <v>9</v>
      </c>
      <c r="AC392" s="2" t="s">
        <v>124</v>
      </c>
      <c r="AD392" s="3">
        <v>40212</v>
      </c>
      <c r="AE392" s="4">
        <v>0.36805555555555558</v>
      </c>
      <c r="AF392" s="2"/>
      <c r="AG392" s="2"/>
      <c r="AH392" s="2">
        <v>6</v>
      </c>
      <c r="AI392" s="2" t="s">
        <v>197</v>
      </c>
      <c r="AJ392" s="2">
        <v>54</v>
      </c>
      <c r="AK392" s="2" t="s">
        <v>348</v>
      </c>
      <c r="AL392" s="2">
        <v>18</v>
      </c>
      <c r="AM392" s="2" t="s">
        <v>82</v>
      </c>
      <c r="AN392" s="2" t="s">
        <v>595</v>
      </c>
      <c r="AO392" s="2" t="s">
        <v>200</v>
      </c>
      <c r="AP392" s="2">
        <v>12</v>
      </c>
      <c r="AQ392" s="2" t="s">
        <v>322</v>
      </c>
      <c r="AR392" s="2" t="s">
        <v>596</v>
      </c>
      <c r="AS392" s="2" t="s">
        <v>596</v>
      </c>
      <c r="AT392" s="2" t="s">
        <v>1836</v>
      </c>
      <c r="AU392" s="2"/>
      <c r="AV392" s="2"/>
      <c r="AW392" s="2"/>
      <c r="AX392" s="2"/>
      <c r="AY392" s="2">
        <v>1</v>
      </c>
      <c r="AZ392" s="2" t="s">
        <v>107</v>
      </c>
      <c r="BA392" s="2">
        <v>1</v>
      </c>
      <c r="BB392" s="2" t="s">
        <v>107</v>
      </c>
      <c r="BC392" s="2">
        <v>1</v>
      </c>
      <c r="BD392" s="2" t="s">
        <v>107</v>
      </c>
      <c r="BE392" s="2">
        <v>47</v>
      </c>
      <c r="BF392" s="2" t="s">
        <v>167</v>
      </c>
      <c r="BG392" s="2" t="s">
        <v>848</v>
      </c>
      <c r="BH392" s="4">
        <v>0.32500000000000001</v>
      </c>
      <c r="BI392" s="4">
        <v>0.36805555555555558</v>
      </c>
      <c r="BJ392" s="2">
        <v>13</v>
      </c>
      <c r="BK392" s="2" t="s">
        <v>91</v>
      </c>
      <c r="BL392" s="2" t="s">
        <v>904</v>
      </c>
      <c r="BM392" s="2">
        <v>242</v>
      </c>
      <c r="BN392" s="2" t="s">
        <v>107</v>
      </c>
      <c r="BO392" s="2"/>
      <c r="BP392" s="2">
        <v>13</v>
      </c>
      <c r="BQ392" s="2" t="s">
        <v>91</v>
      </c>
      <c r="BR392" s="2" t="s">
        <v>905</v>
      </c>
      <c r="BS392" s="3">
        <v>40212</v>
      </c>
      <c r="BT392" s="4">
        <v>0.38310185185185186</v>
      </c>
    </row>
    <row r="393" spans="1:72" x14ac:dyDescent="0.25">
      <c r="A393" s="2">
        <v>618</v>
      </c>
      <c r="B393" s="2">
        <v>2010</v>
      </c>
      <c r="C393" s="2" t="s">
        <v>121</v>
      </c>
      <c r="D393" s="2" t="s">
        <v>122</v>
      </c>
      <c r="E393" s="2"/>
      <c r="F393" s="2">
        <v>1</v>
      </c>
      <c r="G393" s="2" t="s">
        <v>82</v>
      </c>
      <c r="H393" s="2">
        <v>1</v>
      </c>
      <c r="I393" s="2" t="s">
        <v>82</v>
      </c>
      <c r="J393" s="2">
        <v>1</v>
      </c>
      <c r="K393" s="2" t="s">
        <v>107</v>
      </c>
      <c r="L393" s="2" t="s">
        <v>107</v>
      </c>
      <c r="M393" s="3">
        <v>40212</v>
      </c>
      <c r="N393" s="2"/>
      <c r="O393" s="2"/>
      <c r="P393" s="2"/>
      <c r="Q393" s="2" t="str">
        <f>""</f>
        <v/>
      </c>
      <c r="R393" s="2"/>
      <c r="S393" s="2"/>
      <c r="T393" s="2">
        <v>2</v>
      </c>
      <c r="U393" s="2" t="s">
        <v>123</v>
      </c>
      <c r="V393" s="2">
        <v>1</v>
      </c>
      <c r="W393" s="2" t="s">
        <v>80</v>
      </c>
      <c r="X393" s="2">
        <v>5</v>
      </c>
      <c r="Y393" s="2" t="s">
        <v>82</v>
      </c>
      <c r="Z393" s="2">
        <v>1</v>
      </c>
      <c r="AA393" s="2" t="s">
        <v>82</v>
      </c>
      <c r="AB393" s="2">
        <v>9</v>
      </c>
      <c r="AC393" s="2" t="s">
        <v>124</v>
      </c>
      <c r="AD393" s="2"/>
      <c r="AE393" s="2"/>
      <c r="AF393" s="2"/>
      <c r="AG393" s="2"/>
      <c r="AH393" s="2">
        <v>3</v>
      </c>
      <c r="AI393" s="2" t="s">
        <v>214</v>
      </c>
      <c r="AJ393" s="2">
        <v>24</v>
      </c>
      <c r="AK393" s="2" t="s">
        <v>215</v>
      </c>
      <c r="AL393" s="2">
        <v>18</v>
      </c>
      <c r="AM393" s="2" t="s">
        <v>82</v>
      </c>
      <c r="AN393" s="2"/>
      <c r="AO393" s="2"/>
      <c r="AP393" s="2">
        <v>11</v>
      </c>
      <c r="AQ393" s="2" t="s">
        <v>82</v>
      </c>
      <c r="AR393" s="2"/>
      <c r="AS393" s="2"/>
      <c r="AT393" s="2" t="s">
        <v>1837</v>
      </c>
      <c r="AU393" s="2"/>
      <c r="AV393" s="2"/>
      <c r="AW393" s="2"/>
      <c r="AX393" s="2"/>
      <c r="AY393" s="2">
        <v>1</v>
      </c>
      <c r="AZ393" s="2" t="s">
        <v>107</v>
      </c>
      <c r="BA393" s="2">
        <v>1</v>
      </c>
      <c r="BB393" s="2" t="s">
        <v>107</v>
      </c>
      <c r="BC393" s="2">
        <v>1</v>
      </c>
      <c r="BD393" s="2" t="s">
        <v>107</v>
      </c>
      <c r="BE393" s="2">
        <v>42</v>
      </c>
      <c r="BF393" s="2" t="s">
        <v>182</v>
      </c>
      <c r="BG393" s="2"/>
      <c r="BH393" s="4">
        <v>0.43333333333333335</v>
      </c>
      <c r="BI393" s="4">
        <v>0.4604166666666667</v>
      </c>
      <c r="BJ393" s="2">
        <v>242</v>
      </c>
      <c r="BK393" s="2" t="s">
        <v>107</v>
      </c>
      <c r="BL393" s="2" t="s">
        <v>1838</v>
      </c>
      <c r="BM393" s="2">
        <v>242</v>
      </c>
      <c r="BN393" s="2" t="s">
        <v>107</v>
      </c>
      <c r="BO393" s="2"/>
      <c r="BP393" s="2">
        <v>242</v>
      </c>
      <c r="BQ393" s="2" t="s">
        <v>107</v>
      </c>
      <c r="BR393" s="2" t="s">
        <v>169</v>
      </c>
      <c r="BS393" s="3">
        <v>40212</v>
      </c>
      <c r="BT393" s="4">
        <v>0.48855324074074075</v>
      </c>
    </row>
    <row r="394" spans="1:72" x14ac:dyDescent="0.25">
      <c r="A394" s="2">
        <v>619</v>
      </c>
      <c r="B394" s="2">
        <v>2010</v>
      </c>
      <c r="C394" s="2" t="s">
        <v>147</v>
      </c>
      <c r="D394" s="2" t="s">
        <v>73</v>
      </c>
      <c r="E394" s="2"/>
      <c r="F394" s="2">
        <v>1</v>
      </c>
      <c r="G394" s="2" t="s">
        <v>82</v>
      </c>
      <c r="H394" s="2">
        <v>1</v>
      </c>
      <c r="I394" s="2" t="s">
        <v>82</v>
      </c>
      <c r="J394" s="2">
        <v>1</v>
      </c>
      <c r="K394" s="2" t="s">
        <v>107</v>
      </c>
      <c r="L394" s="2" t="s">
        <v>107</v>
      </c>
      <c r="M394" s="3">
        <v>40212</v>
      </c>
      <c r="N394" s="2" t="s">
        <v>82</v>
      </c>
      <c r="O394" s="2" t="s">
        <v>82</v>
      </c>
      <c r="P394" s="2" t="s">
        <v>82</v>
      </c>
      <c r="Q394" s="2" t="str">
        <f>"N/C"</f>
        <v>N/C</v>
      </c>
      <c r="R394" s="2" t="s">
        <v>82</v>
      </c>
      <c r="S394" s="2" t="s">
        <v>82</v>
      </c>
      <c r="T394" s="2">
        <v>2</v>
      </c>
      <c r="U394" s="2" t="s">
        <v>123</v>
      </c>
      <c r="V394" s="2">
        <v>1</v>
      </c>
      <c r="W394" s="2" t="s">
        <v>80</v>
      </c>
      <c r="X394" s="2">
        <v>12</v>
      </c>
      <c r="Y394" s="2" t="s">
        <v>148</v>
      </c>
      <c r="Z394" s="2">
        <v>1</v>
      </c>
      <c r="AA394" s="2" t="s">
        <v>82</v>
      </c>
      <c r="AB394" s="2">
        <v>9</v>
      </c>
      <c r="AC394" s="2" t="s">
        <v>124</v>
      </c>
      <c r="AD394" s="3">
        <v>40210</v>
      </c>
      <c r="AE394" s="2"/>
      <c r="AF394" s="3">
        <v>40212</v>
      </c>
      <c r="AG394" s="4">
        <v>0.47222222222222227</v>
      </c>
      <c r="AH394" s="2">
        <v>2</v>
      </c>
      <c r="AI394" s="2" t="s">
        <v>84</v>
      </c>
      <c r="AJ394" s="2">
        <v>12</v>
      </c>
      <c r="AK394" s="2" t="s">
        <v>85</v>
      </c>
      <c r="AL394" s="2">
        <v>19</v>
      </c>
      <c r="AM394" s="2" t="s">
        <v>107</v>
      </c>
      <c r="AN394" s="2" t="s">
        <v>107</v>
      </c>
      <c r="AO394" s="2" t="s">
        <v>149</v>
      </c>
      <c r="AP394" s="2">
        <v>11</v>
      </c>
      <c r="AQ394" s="2" t="s">
        <v>82</v>
      </c>
      <c r="AR394" s="2" t="s">
        <v>82</v>
      </c>
      <c r="AS394" s="2" t="s">
        <v>82</v>
      </c>
      <c r="AT394" s="2" t="s">
        <v>1839</v>
      </c>
      <c r="AU394" s="2"/>
      <c r="AV394" s="2"/>
      <c r="AW394" s="2"/>
      <c r="AX394" s="2"/>
      <c r="AY394" s="2">
        <v>41</v>
      </c>
      <c r="AZ394" s="2" t="s">
        <v>82</v>
      </c>
      <c r="BA394" s="2">
        <v>41</v>
      </c>
      <c r="BB394" s="2" t="s">
        <v>82</v>
      </c>
      <c r="BC394" s="2">
        <v>41</v>
      </c>
      <c r="BD394" s="2" t="s">
        <v>82</v>
      </c>
      <c r="BE394" s="2">
        <v>41</v>
      </c>
      <c r="BF394" s="2" t="s">
        <v>82</v>
      </c>
      <c r="BG394" s="2" t="s">
        <v>82</v>
      </c>
      <c r="BH394" s="2"/>
      <c r="BI394" s="2"/>
      <c r="BJ394" s="2">
        <v>241</v>
      </c>
      <c r="BK394" s="2" t="s">
        <v>82</v>
      </c>
      <c r="BL394" s="2" t="s">
        <v>82</v>
      </c>
      <c r="BM394" s="2">
        <v>241</v>
      </c>
      <c r="BN394" s="2" t="s">
        <v>82</v>
      </c>
      <c r="BO394" s="2" t="s">
        <v>82</v>
      </c>
      <c r="BP394" s="2">
        <v>241</v>
      </c>
      <c r="BQ394" s="2" t="s">
        <v>82</v>
      </c>
      <c r="BR394" s="2" t="s">
        <v>82</v>
      </c>
      <c r="BS394" s="3">
        <v>40212</v>
      </c>
      <c r="BT394" s="4">
        <v>0.49754629629629626</v>
      </c>
    </row>
    <row r="395" spans="1:72" x14ac:dyDescent="0.25">
      <c r="A395" s="2">
        <v>628</v>
      </c>
      <c r="B395" s="2">
        <v>2010</v>
      </c>
      <c r="C395" s="2" t="s">
        <v>414</v>
      </c>
      <c r="D395" s="2" t="s">
        <v>122</v>
      </c>
      <c r="E395" s="2"/>
      <c r="F395" s="2">
        <v>1</v>
      </c>
      <c r="G395" s="2" t="s">
        <v>82</v>
      </c>
      <c r="H395" s="2">
        <v>1</v>
      </c>
      <c r="I395" s="2" t="s">
        <v>82</v>
      </c>
      <c r="J395" s="2">
        <v>1</v>
      </c>
      <c r="K395" s="2" t="s">
        <v>107</v>
      </c>
      <c r="L395" s="2" t="s">
        <v>107</v>
      </c>
      <c r="M395" s="3">
        <v>40212</v>
      </c>
      <c r="N395" s="2"/>
      <c r="O395" s="2"/>
      <c r="P395" s="2"/>
      <c r="Q395" s="2" t="str">
        <f>""</f>
        <v/>
      </c>
      <c r="R395" s="2"/>
      <c r="S395" s="2"/>
      <c r="T395" s="2">
        <v>1</v>
      </c>
      <c r="U395" s="2" t="s">
        <v>79</v>
      </c>
      <c r="V395" s="2">
        <v>1</v>
      </c>
      <c r="W395" s="2" t="s">
        <v>80</v>
      </c>
      <c r="X395" s="2">
        <v>1</v>
      </c>
      <c r="Y395" s="2" t="s">
        <v>81</v>
      </c>
      <c r="Z395" s="2">
        <v>10</v>
      </c>
      <c r="AA395" s="2" t="s">
        <v>236</v>
      </c>
      <c r="AB395" s="2">
        <v>9</v>
      </c>
      <c r="AC395" s="2" t="s">
        <v>124</v>
      </c>
      <c r="AD395" s="3">
        <v>40212</v>
      </c>
      <c r="AE395" s="4">
        <v>0.67361111111111116</v>
      </c>
      <c r="AF395" s="2"/>
      <c r="AG395" s="2"/>
      <c r="AH395" s="2">
        <v>3</v>
      </c>
      <c r="AI395" s="2" t="s">
        <v>214</v>
      </c>
      <c r="AJ395" s="2">
        <v>17</v>
      </c>
      <c r="AK395" s="2" t="s">
        <v>309</v>
      </c>
      <c r="AL395" s="2">
        <v>18</v>
      </c>
      <c r="AM395" s="2" t="s">
        <v>82</v>
      </c>
      <c r="AN395" s="2" t="s">
        <v>1840</v>
      </c>
      <c r="AO395" s="2" t="s">
        <v>1643</v>
      </c>
      <c r="AP395" s="2">
        <v>11</v>
      </c>
      <c r="AQ395" s="2" t="s">
        <v>82</v>
      </c>
      <c r="AR395" s="2"/>
      <c r="AS395" s="2"/>
      <c r="AT395" s="2" t="s">
        <v>1841</v>
      </c>
      <c r="AU395" s="2"/>
      <c r="AV395" s="2"/>
      <c r="AW395" s="2"/>
      <c r="AX395" s="2"/>
      <c r="AY395" s="2">
        <v>41</v>
      </c>
      <c r="AZ395" s="2" t="s">
        <v>82</v>
      </c>
      <c r="BA395" s="2">
        <v>41</v>
      </c>
      <c r="BB395" s="2" t="s">
        <v>82</v>
      </c>
      <c r="BC395" s="2">
        <v>41</v>
      </c>
      <c r="BD395" s="2" t="s">
        <v>82</v>
      </c>
      <c r="BE395" s="2">
        <v>1</v>
      </c>
      <c r="BF395" s="2" t="s">
        <v>107</v>
      </c>
      <c r="BG395" s="2"/>
      <c r="BH395" s="2"/>
      <c r="BI395" s="2"/>
      <c r="BJ395" s="2">
        <v>242</v>
      </c>
      <c r="BK395" s="2" t="s">
        <v>107</v>
      </c>
      <c r="BL395" s="2"/>
      <c r="BM395" s="2">
        <v>241</v>
      </c>
      <c r="BN395" s="2" t="s">
        <v>82</v>
      </c>
      <c r="BO395" s="2"/>
      <c r="BP395" s="2">
        <v>241</v>
      </c>
      <c r="BQ395" s="2" t="s">
        <v>82</v>
      </c>
      <c r="BR395" s="2"/>
      <c r="BS395" s="3">
        <v>40212</v>
      </c>
      <c r="BT395" s="4">
        <v>0.73420138888888886</v>
      </c>
    </row>
    <row r="396" spans="1:72" x14ac:dyDescent="0.25">
      <c r="A396" s="2">
        <v>630</v>
      </c>
      <c r="B396" s="2">
        <v>2010</v>
      </c>
      <c r="C396" s="2" t="s">
        <v>377</v>
      </c>
      <c r="D396" s="2" t="s">
        <v>73</v>
      </c>
      <c r="E396" s="2"/>
      <c r="F396" s="2">
        <v>426</v>
      </c>
      <c r="G396" s="2" t="s">
        <v>378</v>
      </c>
      <c r="H396" s="2">
        <v>42</v>
      </c>
      <c r="I396" s="2" t="s">
        <v>1096</v>
      </c>
      <c r="J396" s="2">
        <v>311</v>
      </c>
      <c r="K396" s="2" t="s">
        <v>379</v>
      </c>
      <c r="L396" s="2" t="s">
        <v>380</v>
      </c>
      <c r="M396" s="3">
        <v>40212</v>
      </c>
      <c r="N396" s="2"/>
      <c r="O396" s="2"/>
      <c r="P396" s="2"/>
      <c r="Q396" s="2" t="str">
        <f>"005-E/10"</f>
        <v>005-E/10</v>
      </c>
      <c r="R396" s="2"/>
      <c r="S396" s="2" t="s">
        <v>1842</v>
      </c>
      <c r="T396" s="2">
        <v>1</v>
      </c>
      <c r="U396" s="2" t="s">
        <v>79</v>
      </c>
      <c r="V396" s="2">
        <v>1</v>
      </c>
      <c r="W396" s="2" t="s">
        <v>80</v>
      </c>
      <c r="X396" s="2">
        <v>1</v>
      </c>
      <c r="Y396" s="2" t="s">
        <v>81</v>
      </c>
      <c r="Z396" s="2">
        <v>10</v>
      </c>
      <c r="AA396" s="2" t="s">
        <v>236</v>
      </c>
      <c r="AB396" s="2">
        <v>9</v>
      </c>
      <c r="AC396" s="2" t="s">
        <v>124</v>
      </c>
      <c r="AD396" s="3">
        <v>40212</v>
      </c>
      <c r="AE396" s="4">
        <v>0.61111111111111105</v>
      </c>
      <c r="AF396" s="2"/>
      <c r="AG396" s="2"/>
      <c r="AH396" s="2">
        <v>2</v>
      </c>
      <c r="AI396" s="2" t="s">
        <v>84</v>
      </c>
      <c r="AJ396" s="2">
        <v>9</v>
      </c>
      <c r="AK396" s="2" t="s">
        <v>103</v>
      </c>
      <c r="AL396" s="2">
        <v>12</v>
      </c>
      <c r="AM396" s="2" t="s">
        <v>86</v>
      </c>
      <c r="AN396" s="2" t="s">
        <v>1843</v>
      </c>
      <c r="AO396" s="2" t="s">
        <v>1844</v>
      </c>
      <c r="AP396" s="2">
        <v>11</v>
      </c>
      <c r="AQ396" s="2" t="s">
        <v>82</v>
      </c>
      <c r="AR396" s="2"/>
      <c r="AS396" s="2"/>
      <c r="AT396" s="2" t="s">
        <v>1845</v>
      </c>
      <c r="AU396" s="2"/>
      <c r="AV396" s="2"/>
      <c r="AW396" s="2"/>
      <c r="AX396" s="2"/>
      <c r="AY396" s="2">
        <v>41</v>
      </c>
      <c r="AZ396" s="2" t="s">
        <v>82</v>
      </c>
      <c r="BA396" s="2">
        <v>41</v>
      </c>
      <c r="BB396" s="2" t="s">
        <v>82</v>
      </c>
      <c r="BC396" s="2">
        <v>41</v>
      </c>
      <c r="BD396" s="2" t="s">
        <v>82</v>
      </c>
      <c r="BE396" s="2">
        <v>41</v>
      </c>
      <c r="BF396" s="2" t="s">
        <v>82</v>
      </c>
      <c r="BG396" s="2"/>
      <c r="BH396" s="2"/>
      <c r="BI396" s="2"/>
      <c r="BJ396" s="2">
        <v>241</v>
      </c>
      <c r="BK396" s="2" t="s">
        <v>82</v>
      </c>
      <c r="BL396" s="2"/>
      <c r="BM396" s="2">
        <v>241</v>
      </c>
      <c r="BN396" s="2" t="s">
        <v>82</v>
      </c>
      <c r="BO396" s="2"/>
      <c r="BP396" s="2">
        <v>241</v>
      </c>
      <c r="BQ396" s="2" t="s">
        <v>82</v>
      </c>
      <c r="BR396" s="2"/>
      <c r="BS396" s="3">
        <v>40212</v>
      </c>
      <c r="BT396" s="4">
        <v>0.81699074074074074</v>
      </c>
    </row>
    <row r="397" spans="1:72" x14ac:dyDescent="0.25">
      <c r="A397" s="2">
        <v>631</v>
      </c>
      <c r="B397" s="2">
        <v>2010</v>
      </c>
      <c r="C397" s="2" t="s">
        <v>72</v>
      </c>
      <c r="D397" s="2" t="s">
        <v>73</v>
      </c>
      <c r="E397" s="2"/>
      <c r="F397" s="2">
        <v>389</v>
      </c>
      <c r="G397" s="2" t="s">
        <v>1819</v>
      </c>
      <c r="H397" s="2">
        <v>3</v>
      </c>
      <c r="I397" s="2" t="s">
        <v>315</v>
      </c>
      <c r="J397" s="2">
        <v>399</v>
      </c>
      <c r="K397" s="2" t="s">
        <v>1820</v>
      </c>
      <c r="L397" s="2" t="s">
        <v>1821</v>
      </c>
      <c r="M397" s="3">
        <v>40212</v>
      </c>
      <c r="N397" s="2" t="s">
        <v>1846</v>
      </c>
      <c r="O397" s="2"/>
      <c r="P397" s="2"/>
      <c r="Q397" s="2" t="str">
        <f>"070-E/10"</f>
        <v>070-E/10</v>
      </c>
      <c r="R397" s="2"/>
      <c r="S397" s="2" t="s">
        <v>1847</v>
      </c>
      <c r="T397" s="2">
        <v>1</v>
      </c>
      <c r="U397" s="2" t="s">
        <v>79</v>
      </c>
      <c r="V397" s="2">
        <v>1</v>
      </c>
      <c r="W397" s="2" t="s">
        <v>80</v>
      </c>
      <c r="X397" s="2">
        <v>1</v>
      </c>
      <c r="Y397" s="2" t="s">
        <v>81</v>
      </c>
      <c r="Z397" s="2">
        <v>1</v>
      </c>
      <c r="AA397" s="2" t="s">
        <v>82</v>
      </c>
      <c r="AB397" s="2">
        <v>6</v>
      </c>
      <c r="AC397" s="2" t="s">
        <v>83</v>
      </c>
      <c r="AD397" s="3">
        <v>40212</v>
      </c>
      <c r="AE397" s="4">
        <v>0.67708333333333337</v>
      </c>
      <c r="AF397" s="2"/>
      <c r="AG397" s="2"/>
      <c r="AH397" s="2">
        <v>2</v>
      </c>
      <c r="AI397" s="2" t="s">
        <v>84</v>
      </c>
      <c r="AJ397" s="2">
        <v>9</v>
      </c>
      <c r="AK397" s="2" t="s">
        <v>103</v>
      </c>
      <c r="AL397" s="2">
        <v>15</v>
      </c>
      <c r="AM397" s="2" t="s">
        <v>104</v>
      </c>
      <c r="AN397" s="2" t="s">
        <v>1157</v>
      </c>
      <c r="AO397" s="2"/>
      <c r="AP397" s="2">
        <v>11</v>
      </c>
      <c r="AQ397" s="2" t="s">
        <v>82</v>
      </c>
      <c r="AR397" s="2"/>
      <c r="AS397" s="2"/>
      <c r="AT397" s="2" t="s">
        <v>1848</v>
      </c>
      <c r="AU397" s="2"/>
      <c r="AV397" s="2"/>
      <c r="AW397" s="2"/>
      <c r="AX397" s="2"/>
      <c r="AY397" s="2">
        <v>41</v>
      </c>
      <c r="AZ397" s="2" t="s">
        <v>82</v>
      </c>
      <c r="BA397" s="2">
        <v>41</v>
      </c>
      <c r="BB397" s="2" t="s">
        <v>82</v>
      </c>
      <c r="BC397" s="2">
        <v>41</v>
      </c>
      <c r="BD397" s="2" t="s">
        <v>82</v>
      </c>
      <c r="BE397" s="2">
        <v>41</v>
      </c>
      <c r="BF397" s="2" t="s">
        <v>82</v>
      </c>
      <c r="BG397" s="2"/>
      <c r="BH397" s="2"/>
      <c r="BI397" s="2"/>
      <c r="BJ397" s="2">
        <v>241</v>
      </c>
      <c r="BK397" s="2" t="s">
        <v>82</v>
      </c>
      <c r="BL397" s="2"/>
      <c r="BM397" s="2">
        <v>241</v>
      </c>
      <c r="BN397" s="2" t="s">
        <v>82</v>
      </c>
      <c r="BO397" s="2"/>
      <c r="BP397" s="2">
        <v>241</v>
      </c>
      <c r="BQ397" s="2" t="s">
        <v>82</v>
      </c>
      <c r="BR397" s="2"/>
      <c r="BS397" s="3">
        <v>40212</v>
      </c>
      <c r="BT397" s="4">
        <v>0.98388888888888892</v>
      </c>
    </row>
    <row r="398" spans="1:72" x14ac:dyDescent="0.25">
      <c r="A398" s="2">
        <v>633</v>
      </c>
      <c r="B398" s="2">
        <v>2010</v>
      </c>
      <c r="C398" s="2" t="s">
        <v>72</v>
      </c>
      <c r="D398" s="2" t="s">
        <v>73</v>
      </c>
      <c r="E398" s="2"/>
      <c r="F398" s="2">
        <v>495</v>
      </c>
      <c r="G398" s="2" t="s">
        <v>1849</v>
      </c>
      <c r="H398" s="2">
        <v>42</v>
      </c>
      <c r="I398" s="2" t="s">
        <v>1096</v>
      </c>
      <c r="J398" s="2">
        <v>400</v>
      </c>
      <c r="K398" s="2" t="s">
        <v>1850</v>
      </c>
      <c r="L398" s="2" t="s">
        <v>1851</v>
      </c>
      <c r="M398" s="3">
        <v>40213</v>
      </c>
      <c r="N398" s="2" t="s">
        <v>1852</v>
      </c>
      <c r="O398" s="2" t="s">
        <v>107</v>
      </c>
      <c r="P398" s="2" t="s">
        <v>107</v>
      </c>
      <c r="Q398" s="2" t="str">
        <f>"041-A/10"</f>
        <v>041-A/10</v>
      </c>
      <c r="R398" s="2" t="s">
        <v>107</v>
      </c>
      <c r="S398" s="2" t="s">
        <v>1547</v>
      </c>
      <c r="T398" s="2">
        <v>1</v>
      </c>
      <c r="U398" s="2" t="s">
        <v>79</v>
      </c>
      <c r="V398" s="2">
        <v>1</v>
      </c>
      <c r="W398" s="2" t="s">
        <v>80</v>
      </c>
      <c r="X398" s="2">
        <v>5</v>
      </c>
      <c r="Y398" s="2" t="s">
        <v>82</v>
      </c>
      <c r="Z398" s="2">
        <v>1</v>
      </c>
      <c r="AA398" s="2" t="s">
        <v>82</v>
      </c>
      <c r="AB398" s="2">
        <v>6</v>
      </c>
      <c r="AC398" s="2" t="s">
        <v>83</v>
      </c>
      <c r="AD398" s="3">
        <v>40210</v>
      </c>
      <c r="AE398" s="4">
        <v>0.3263888888888889</v>
      </c>
      <c r="AF398" s="3">
        <v>40212</v>
      </c>
      <c r="AG398" s="4">
        <v>0.51388888888888895</v>
      </c>
      <c r="AH398" s="2">
        <v>2</v>
      </c>
      <c r="AI398" s="2" t="s">
        <v>84</v>
      </c>
      <c r="AJ398" s="2">
        <v>12</v>
      </c>
      <c r="AK398" s="2" t="s">
        <v>85</v>
      </c>
      <c r="AL398" s="2">
        <v>10</v>
      </c>
      <c r="AM398" s="2" t="s">
        <v>200</v>
      </c>
      <c r="AN398" s="2" t="s">
        <v>107</v>
      </c>
      <c r="AO398" s="2" t="s">
        <v>1853</v>
      </c>
      <c r="AP398" s="2">
        <v>11</v>
      </c>
      <c r="AQ398" s="2" t="s">
        <v>82</v>
      </c>
      <c r="AR398" s="2" t="s">
        <v>82</v>
      </c>
      <c r="AS398" s="2" t="s">
        <v>82</v>
      </c>
      <c r="AT398" s="2" t="s">
        <v>1854</v>
      </c>
      <c r="AU398" s="2"/>
      <c r="AV398" s="2"/>
      <c r="AW398" s="2"/>
      <c r="AX398" s="2"/>
      <c r="AY398" s="2">
        <v>41</v>
      </c>
      <c r="AZ398" s="2" t="s">
        <v>82</v>
      </c>
      <c r="BA398" s="2">
        <v>41</v>
      </c>
      <c r="BB398" s="2" t="s">
        <v>82</v>
      </c>
      <c r="BC398" s="2">
        <v>41</v>
      </c>
      <c r="BD398" s="2" t="s">
        <v>82</v>
      </c>
      <c r="BE398" s="2">
        <v>45</v>
      </c>
      <c r="BF398" s="2" t="s">
        <v>1855</v>
      </c>
      <c r="BG398" s="2" t="s">
        <v>1856</v>
      </c>
      <c r="BH398" s="4">
        <v>0.375</v>
      </c>
      <c r="BI398" s="4">
        <v>0.34722222222222227</v>
      </c>
      <c r="BJ398" s="2">
        <v>13</v>
      </c>
      <c r="BK398" s="2" t="s">
        <v>91</v>
      </c>
      <c r="BL398" s="2" t="s">
        <v>185</v>
      </c>
      <c r="BM398" s="2">
        <v>241</v>
      </c>
      <c r="BN398" s="2" t="s">
        <v>82</v>
      </c>
      <c r="BO398" s="2" t="s">
        <v>82</v>
      </c>
      <c r="BP398" s="2">
        <v>13</v>
      </c>
      <c r="BQ398" s="2" t="s">
        <v>91</v>
      </c>
      <c r="BR398" s="2" t="s">
        <v>1705</v>
      </c>
      <c r="BS398" s="3">
        <v>40213</v>
      </c>
      <c r="BT398" s="4">
        <v>2.732638888888889E-2</v>
      </c>
    </row>
    <row r="399" spans="1:72" x14ac:dyDescent="0.25">
      <c r="A399" s="2">
        <v>634</v>
      </c>
      <c r="B399" s="2">
        <v>2010</v>
      </c>
      <c r="C399" s="2" t="s">
        <v>72</v>
      </c>
      <c r="D399" s="2" t="s">
        <v>73</v>
      </c>
      <c r="E399" s="2"/>
      <c r="F399" s="2">
        <v>31</v>
      </c>
      <c r="G399" s="2" t="s">
        <v>1857</v>
      </c>
      <c r="H399" s="2">
        <v>1</v>
      </c>
      <c r="I399" s="2" t="s">
        <v>82</v>
      </c>
      <c r="J399" s="2">
        <v>40</v>
      </c>
      <c r="K399" s="2" t="s">
        <v>1858</v>
      </c>
      <c r="L399" s="2" t="s">
        <v>1859</v>
      </c>
      <c r="M399" s="3">
        <v>40213</v>
      </c>
      <c r="N399" s="2"/>
      <c r="O399" s="2"/>
      <c r="P399" s="2"/>
      <c r="Q399" s="2" t="str">
        <f>"005-M/10"</f>
        <v>005-M/10</v>
      </c>
      <c r="R399" s="2" t="s">
        <v>78</v>
      </c>
      <c r="S399" s="2" t="s">
        <v>78</v>
      </c>
      <c r="T399" s="2">
        <v>1</v>
      </c>
      <c r="U399" s="2" t="s">
        <v>79</v>
      </c>
      <c r="V399" s="2">
        <v>1</v>
      </c>
      <c r="W399" s="2" t="s">
        <v>80</v>
      </c>
      <c r="X399" s="2">
        <v>5</v>
      </c>
      <c r="Y399" s="2" t="s">
        <v>82</v>
      </c>
      <c r="Z399" s="2">
        <v>1</v>
      </c>
      <c r="AA399" s="2" t="s">
        <v>82</v>
      </c>
      <c r="AB399" s="2">
        <v>6</v>
      </c>
      <c r="AC399" s="2" t="s">
        <v>83</v>
      </c>
      <c r="AD399" s="3">
        <v>40212</v>
      </c>
      <c r="AE399" s="4">
        <v>0.58333333333333337</v>
      </c>
      <c r="AF399" s="3">
        <v>40212</v>
      </c>
      <c r="AG399" s="4">
        <v>0.72222222222222221</v>
      </c>
      <c r="AH399" s="2">
        <v>2</v>
      </c>
      <c r="AI399" s="2" t="s">
        <v>84</v>
      </c>
      <c r="AJ399" s="2">
        <v>8</v>
      </c>
      <c r="AK399" s="2" t="s">
        <v>436</v>
      </c>
      <c r="AL399" s="2">
        <v>12</v>
      </c>
      <c r="AM399" s="2" t="s">
        <v>86</v>
      </c>
      <c r="AN399" s="2"/>
      <c r="AO399" s="2" t="s">
        <v>1860</v>
      </c>
      <c r="AP399" s="2">
        <v>11</v>
      </c>
      <c r="AQ399" s="2" t="s">
        <v>82</v>
      </c>
      <c r="AR399" s="2"/>
      <c r="AS399" s="2"/>
      <c r="AT399" s="2" t="s">
        <v>1861</v>
      </c>
      <c r="AU399" s="2"/>
      <c r="AV399" s="2"/>
      <c r="AW399" s="2"/>
      <c r="AX399" s="2"/>
      <c r="AY399" s="2">
        <v>41</v>
      </c>
      <c r="AZ399" s="2" t="s">
        <v>82</v>
      </c>
      <c r="BA399" s="2">
        <v>41</v>
      </c>
      <c r="BB399" s="2" t="s">
        <v>82</v>
      </c>
      <c r="BC399" s="2">
        <v>41</v>
      </c>
      <c r="BD399" s="2" t="s">
        <v>82</v>
      </c>
      <c r="BE399" s="2">
        <v>47</v>
      </c>
      <c r="BF399" s="2" t="s">
        <v>167</v>
      </c>
      <c r="BG399" s="2">
        <v>2607</v>
      </c>
      <c r="BH399" s="4">
        <v>0.57986111111111105</v>
      </c>
      <c r="BI399" s="4">
        <v>0.60416666666666663</v>
      </c>
      <c r="BJ399" s="2">
        <v>13</v>
      </c>
      <c r="BK399" s="2" t="s">
        <v>91</v>
      </c>
      <c r="BL399" s="2" t="s">
        <v>647</v>
      </c>
      <c r="BM399" s="2">
        <v>241</v>
      </c>
      <c r="BN399" s="2" t="s">
        <v>82</v>
      </c>
      <c r="BO399" s="2"/>
      <c r="BP399" s="2">
        <v>13</v>
      </c>
      <c r="BQ399" s="2" t="s">
        <v>91</v>
      </c>
      <c r="BR399" s="2" t="s">
        <v>185</v>
      </c>
      <c r="BS399" s="3">
        <v>40213</v>
      </c>
      <c r="BT399" s="4">
        <v>6.1666666666666668E-2</v>
      </c>
    </row>
    <row r="400" spans="1:72" x14ac:dyDescent="0.25">
      <c r="A400" s="2">
        <v>635</v>
      </c>
      <c r="B400" s="2">
        <v>2010</v>
      </c>
      <c r="C400" s="2" t="s">
        <v>72</v>
      </c>
      <c r="D400" s="2" t="s">
        <v>73</v>
      </c>
      <c r="E400" s="2"/>
      <c r="F400" s="2">
        <v>493</v>
      </c>
      <c r="G400" s="2" t="s">
        <v>1862</v>
      </c>
      <c r="H400" s="2">
        <v>53</v>
      </c>
      <c r="I400" s="2" t="s">
        <v>1863</v>
      </c>
      <c r="J400" s="2">
        <v>179</v>
      </c>
      <c r="K400" s="2" t="s">
        <v>1864</v>
      </c>
      <c r="L400" s="2" t="s">
        <v>1865</v>
      </c>
      <c r="M400" s="3">
        <v>40213</v>
      </c>
      <c r="N400" s="2" t="s">
        <v>1866</v>
      </c>
      <c r="O400" s="2" t="s">
        <v>107</v>
      </c>
      <c r="P400" s="2" t="s">
        <v>107</v>
      </c>
      <c r="Q400" s="2" t="str">
        <f>"042-A/10"</f>
        <v>042-A/10</v>
      </c>
      <c r="R400" s="2" t="s">
        <v>107</v>
      </c>
      <c r="S400" s="2" t="s">
        <v>1867</v>
      </c>
      <c r="T400" s="2">
        <v>1</v>
      </c>
      <c r="U400" s="2" t="s">
        <v>79</v>
      </c>
      <c r="V400" s="2">
        <v>1</v>
      </c>
      <c r="W400" s="2" t="s">
        <v>80</v>
      </c>
      <c r="X400" s="2">
        <v>5</v>
      </c>
      <c r="Y400" s="2" t="s">
        <v>82</v>
      </c>
      <c r="Z400" s="2">
        <v>1</v>
      </c>
      <c r="AA400" s="2" t="s">
        <v>82</v>
      </c>
      <c r="AB400" s="2">
        <v>6</v>
      </c>
      <c r="AC400" s="2" t="s">
        <v>83</v>
      </c>
      <c r="AD400" s="3">
        <v>40212</v>
      </c>
      <c r="AE400" s="4">
        <v>0.63194444444444442</v>
      </c>
      <c r="AF400" s="3">
        <v>40212</v>
      </c>
      <c r="AG400" s="4">
        <v>0.69097222222222221</v>
      </c>
      <c r="AH400" s="2">
        <v>2</v>
      </c>
      <c r="AI400" s="2" t="s">
        <v>84</v>
      </c>
      <c r="AJ400" s="2">
        <v>12</v>
      </c>
      <c r="AK400" s="2" t="s">
        <v>85</v>
      </c>
      <c r="AL400" s="2">
        <v>14</v>
      </c>
      <c r="AM400" s="2" t="s">
        <v>216</v>
      </c>
      <c r="AN400" s="2" t="s">
        <v>1868</v>
      </c>
      <c r="AO400" s="2" t="s">
        <v>1869</v>
      </c>
      <c r="AP400" s="2">
        <v>11</v>
      </c>
      <c r="AQ400" s="2" t="s">
        <v>82</v>
      </c>
      <c r="AR400" s="2" t="s">
        <v>82</v>
      </c>
      <c r="AS400" s="2" t="s">
        <v>82</v>
      </c>
      <c r="AT400" s="2" t="s">
        <v>1870</v>
      </c>
      <c r="AU400" s="2">
        <v>1</v>
      </c>
      <c r="AV400" s="2"/>
      <c r="AW400" s="2"/>
      <c r="AX400" s="2"/>
      <c r="AY400" s="2">
        <v>41</v>
      </c>
      <c r="AZ400" s="2" t="s">
        <v>82</v>
      </c>
      <c r="BA400" s="2">
        <v>41</v>
      </c>
      <c r="BB400" s="2" t="s">
        <v>82</v>
      </c>
      <c r="BC400" s="2">
        <v>41</v>
      </c>
      <c r="BD400" s="2" t="s">
        <v>82</v>
      </c>
      <c r="BE400" s="2">
        <v>41</v>
      </c>
      <c r="BF400" s="2" t="s">
        <v>82</v>
      </c>
      <c r="BG400" s="2"/>
      <c r="BH400" s="2"/>
      <c r="BI400" s="2"/>
      <c r="BJ400" s="2">
        <v>241</v>
      </c>
      <c r="BK400" s="2" t="s">
        <v>82</v>
      </c>
      <c r="BL400" s="2" t="s">
        <v>82</v>
      </c>
      <c r="BM400" s="2">
        <v>241</v>
      </c>
      <c r="BN400" s="2" t="s">
        <v>82</v>
      </c>
      <c r="BO400" s="2" t="s">
        <v>82</v>
      </c>
      <c r="BP400" s="2">
        <v>241</v>
      </c>
      <c r="BQ400" s="2" t="s">
        <v>82</v>
      </c>
      <c r="BR400" s="2" t="s">
        <v>82</v>
      </c>
      <c r="BS400" s="3">
        <v>40213</v>
      </c>
      <c r="BT400" s="4">
        <v>6.6574074074074077E-2</v>
      </c>
    </row>
    <row r="401" spans="1:72" x14ac:dyDescent="0.25">
      <c r="A401" s="2">
        <v>636</v>
      </c>
      <c r="B401" s="2">
        <v>2010</v>
      </c>
      <c r="C401" s="2" t="s">
        <v>72</v>
      </c>
      <c r="D401" s="2" t="s">
        <v>122</v>
      </c>
      <c r="E401" s="2" t="s">
        <v>1871</v>
      </c>
      <c r="F401" s="2">
        <v>389</v>
      </c>
      <c r="G401" s="2" t="s">
        <v>1819</v>
      </c>
      <c r="H401" s="2">
        <v>3</v>
      </c>
      <c r="I401" s="2" t="s">
        <v>315</v>
      </c>
      <c r="J401" s="2">
        <v>399</v>
      </c>
      <c r="K401" s="2" t="s">
        <v>1820</v>
      </c>
      <c r="L401" s="2" t="s">
        <v>1821</v>
      </c>
      <c r="M401" s="3">
        <v>40213</v>
      </c>
      <c r="N401" s="2" t="s">
        <v>1846</v>
      </c>
      <c r="O401" s="2"/>
      <c r="P401" s="2"/>
      <c r="Q401" s="2" t="str">
        <f>"070-E/10"</f>
        <v>070-E/10</v>
      </c>
      <c r="R401" s="2" t="s">
        <v>1847</v>
      </c>
      <c r="S401" s="2"/>
      <c r="T401" s="2">
        <v>1</v>
      </c>
      <c r="U401" s="2" t="s">
        <v>79</v>
      </c>
      <c r="V401" s="2">
        <v>1</v>
      </c>
      <c r="W401" s="2" t="s">
        <v>80</v>
      </c>
      <c r="X401" s="2">
        <v>1</v>
      </c>
      <c r="Y401" s="2" t="s">
        <v>81</v>
      </c>
      <c r="Z401" s="2">
        <v>1</v>
      </c>
      <c r="AA401" s="2" t="s">
        <v>82</v>
      </c>
      <c r="AB401" s="2">
        <v>6</v>
      </c>
      <c r="AC401" s="2" t="s">
        <v>83</v>
      </c>
      <c r="AD401" s="3">
        <v>40212</v>
      </c>
      <c r="AE401" s="4">
        <v>0.67708333333333337</v>
      </c>
      <c r="AF401" s="2"/>
      <c r="AG401" s="2"/>
      <c r="AH401" s="2">
        <v>2</v>
      </c>
      <c r="AI401" s="2" t="s">
        <v>84</v>
      </c>
      <c r="AJ401" s="2">
        <v>9</v>
      </c>
      <c r="AK401" s="2" t="s">
        <v>103</v>
      </c>
      <c r="AL401" s="2">
        <v>15</v>
      </c>
      <c r="AM401" s="2" t="s">
        <v>104</v>
      </c>
      <c r="AN401" s="2" t="s">
        <v>1157</v>
      </c>
      <c r="AO401" s="2"/>
      <c r="AP401" s="2">
        <v>11</v>
      </c>
      <c r="AQ401" s="2" t="s">
        <v>82</v>
      </c>
      <c r="AR401" s="2"/>
      <c r="AS401" s="2"/>
      <c r="AT401" s="2" t="s">
        <v>1872</v>
      </c>
      <c r="AU401" s="2"/>
      <c r="AV401" s="2"/>
      <c r="AW401" s="2"/>
      <c r="AX401" s="2"/>
      <c r="AY401" s="2">
        <v>41</v>
      </c>
      <c r="AZ401" s="2" t="s">
        <v>82</v>
      </c>
      <c r="BA401" s="2">
        <v>41</v>
      </c>
      <c r="BB401" s="2" t="s">
        <v>82</v>
      </c>
      <c r="BC401" s="2">
        <v>41</v>
      </c>
      <c r="BD401" s="2" t="s">
        <v>82</v>
      </c>
      <c r="BE401" s="2">
        <v>41</v>
      </c>
      <c r="BF401" s="2" t="s">
        <v>82</v>
      </c>
      <c r="BG401" s="2"/>
      <c r="BH401" s="2"/>
      <c r="BI401" s="2"/>
      <c r="BJ401" s="2">
        <v>241</v>
      </c>
      <c r="BK401" s="2" t="s">
        <v>82</v>
      </c>
      <c r="BL401" s="2"/>
      <c r="BM401" s="2">
        <v>241</v>
      </c>
      <c r="BN401" s="2" t="s">
        <v>82</v>
      </c>
      <c r="BO401" s="2"/>
      <c r="BP401" s="2">
        <v>241</v>
      </c>
      <c r="BQ401" s="2" t="s">
        <v>82</v>
      </c>
      <c r="BR401" s="2"/>
      <c r="BS401" s="3">
        <v>40213</v>
      </c>
      <c r="BT401" s="4">
        <v>0.35312499999999997</v>
      </c>
    </row>
    <row r="402" spans="1:72" x14ac:dyDescent="0.25">
      <c r="A402" s="2">
        <v>637</v>
      </c>
      <c r="B402" s="2">
        <v>2010</v>
      </c>
      <c r="C402" s="2" t="s">
        <v>72</v>
      </c>
      <c r="D402" s="2" t="s">
        <v>73</v>
      </c>
      <c r="E402" s="2"/>
      <c r="F402" s="2">
        <v>3</v>
      </c>
      <c r="G402" s="2" t="s">
        <v>1041</v>
      </c>
      <c r="H402" s="2">
        <v>22</v>
      </c>
      <c r="I402" s="2" t="s">
        <v>75</v>
      </c>
      <c r="J402" s="2">
        <v>368</v>
      </c>
      <c r="K402" s="2" t="s">
        <v>1042</v>
      </c>
      <c r="L402" s="2" t="s">
        <v>1043</v>
      </c>
      <c r="M402" s="3">
        <v>40213</v>
      </c>
      <c r="N402" s="2"/>
      <c r="O402" s="2"/>
      <c r="P402" s="2"/>
      <c r="Q402" s="2" t="str">
        <f>"071-E/10"</f>
        <v>071-E/10</v>
      </c>
      <c r="R402" s="2" t="s">
        <v>601</v>
      </c>
      <c r="S402" s="2" t="s">
        <v>601</v>
      </c>
      <c r="T402" s="2">
        <v>1</v>
      </c>
      <c r="U402" s="2" t="s">
        <v>79</v>
      </c>
      <c r="V402" s="2">
        <v>1</v>
      </c>
      <c r="W402" s="2" t="s">
        <v>80</v>
      </c>
      <c r="X402" s="2">
        <v>5</v>
      </c>
      <c r="Y402" s="2" t="s">
        <v>82</v>
      </c>
      <c r="Z402" s="2">
        <v>1</v>
      </c>
      <c r="AA402" s="2" t="s">
        <v>82</v>
      </c>
      <c r="AB402" s="2">
        <v>6</v>
      </c>
      <c r="AC402" s="2" t="s">
        <v>83</v>
      </c>
      <c r="AD402" s="3">
        <v>40213</v>
      </c>
      <c r="AE402" s="4">
        <v>0.27777777777777779</v>
      </c>
      <c r="AF402" s="3">
        <v>40213</v>
      </c>
      <c r="AG402" s="4">
        <v>0.41666666666666669</v>
      </c>
      <c r="AH402" s="2">
        <v>2</v>
      </c>
      <c r="AI402" s="2" t="s">
        <v>84</v>
      </c>
      <c r="AJ402" s="2">
        <v>9</v>
      </c>
      <c r="AK402" s="2" t="s">
        <v>103</v>
      </c>
      <c r="AL402" s="2">
        <v>19</v>
      </c>
      <c r="AM402" s="2" t="s">
        <v>107</v>
      </c>
      <c r="AN402" s="2"/>
      <c r="AO402" s="2" t="s">
        <v>1873</v>
      </c>
      <c r="AP402" s="2">
        <v>11</v>
      </c>
      <c r="AQ402" s="2" t="s">
        <v>82</v>
      </c>
      <c r="AR402" s="2"/>
      <c r="AS402" s="2"/>
      <c r="AT402" s="2" t="s">
        <v>1874</v>
      </c>
      <c r="AU402" s="2"/>
      <c r="AV402" s="2"/>
      <c r="AW402" s="2"/>
      <c r="AX402" s="2"/>
      <c r="AY402" s="2">
        <v>41</v>
      </c>
      <c r="AZ402" s="2" t="s">
        <v>82</v>
      </c>
      <c r="BA402" s="2">
        <v>41</v>
      </c>
      <c r="BB402" s="2" t="s">
        <v>82</v>
      </c>
      <c r="BC402" s="2">
        <v>41</v>
      </c>
      <c r="BD402" s="2" t="s">
        <v>82</v>
      </c>
      <c r="BE402" s="2">
        <v>41</v>
      </c>
      <c r="BF402" s="2" t="s">
        <v>82</v>
      </c>
      <c r="BG402" s="2"/>
      <c r="BH402" s="2"/>
      <c r="BI402" s="2"/>
      <c r="BJ402" s="2">
        <v>241</v>
      </c>
      <c r="BK402" s="2" t="s">
        <v>82</v>
      </c>
      <c r="BL402" s="2"/>
      <c r="BM402" s="2">
        <v>241</v>
      </c>
      <c r="BN402" s="2" t="s">
        <v>82</v>
      </c>
      <c r="BO402" s="2"/>
      <c r="BP402" s="2">
        <v>241</v>
      </c>
      <c r="BQ402" s="2" t="s">
        <v>82</v>
      </c>
      <c r="BR402" s="2"/>
      <c r="BS402" s="3">
        <v>40213</v>
      </c>
      <c r="BT402" s="4">
        <v>0.46486111111111111</v>
      </c>
    </row>
    <row r="403" spans="1:72" x14ac:dyDescent="0.25">
      <c r="A403" s="2">
        <v>641</v>
      </c>
      <c r="B403" s="2">
        <v>2010</v>
      </c>
      <c r="C403" s="2" t="s">
        <v>1094</v>
      </c>
      <c r="D403" s="2" t="s">
        <v>73</v>
      </c>
      <c r="E403" s="2"/>
      <c r="F403" s="2">
        <v>156</v>
      </c>
      <c r="G403" s="2" t="s">
        <v>1875</v>
      </c>
      <c r="H403" s="2">
        <v>12</v>
      </c>
      <c r="I403" s="2" t="s">
        <v>95</v>
      </c>
      <c r="J403" s="2">
        <v>168</v>
      </c>
      <c r="K403" s="2" t="s">
        <v>1876</v>
      </c>
      <c r="L403" s="2" t="s">
        <v>1877</v>
      </c>
      <c r="M403" s="3">
        <v>40213</v>
      </c>
      <c r="N403" s="2" t="s">
        <v>1878</v>
      </c>
      <c r="O403" s="2" t="s">
        <v>107</v>
      </c>
      <c r="P403" s="2" t="s">
        <v>107</v>
      </c>
      <c r="Q403" s="2" t="str">
        <f>"043-A/10"</f>
        <v>043-A/10</v>
      </c>
      <c r="R403" s="2" t="s">
        <v>107</v>
      </c>
      <c r="S403" s="2" t="s">
        <v>1100</v>
      </c>
      <c r="T403" s="2">
        <v>1</v>
      </c>
      <c r="U403" s="2" t="s">
        <v>79</v>
      </c>
      <c r="V403" s="2">
        <v>1</v>
      </c>
      <c r="W403" s="2" t="s">
        <v>80</v>
      </c>
      <c r="X403" s="2">
        <v>5</v>
      </c>
      <c r="Y403" s="2" t="s">
        <v>82</v>
      </c>
      <c r="Z403" s="2">
        <v>1</v>
      </c>
      <c r="AA403" s="2" t="s">
        <v>82</v>
      </c>
      <c r="AB403" s="2">
        <v>9</v>
      </c>
      <c r="AC403" s="2" t="s">
        <v>124</v>
      </c>
      <c r="AD403" s="3">
        <v>40213</v>
      </c>
      <c r="AE403" s="4">
        <v>0.65277777777777779</v>
      </c>
      <c r="AF403" s="3">
        <v>40213</v>
      </c>
      <c r="AG403" s="4">
        <v>0.70833333333333337</v>
      </c>
      <c r="AH403" s="2">
        <v>2</v>
      </c>
      <c r="AI403" s="2" t="s">
        <v>84</v>
      </c>
      <c r="AJ403" s="2">
        <v>12</v>
      </c>
      <c r="AK403" s="2" t="s">
        <v>85</v>
      </c>
      <c r="AL403" s="2">
        <v>2</v>
      </c>
      <c r="AM403" s="2" t="s">
        <v>163</v>
      </c>
      <c r="AN403" s="2"/>
      <c r="AO403" s="2" t="s">
        <v>1879</v>
      </c>
      <c r="AP403" s="2">
        <v>11</v>
      </c>
      <c r="AQ403" s="2" t="s">
        <v>82</v>
      </c>
      <c r="AR403" s="2" t="s">
        <v>82</v>
      </c>
      <c r="AS403" s="2" t="s">
        <v>82</v>
      </c>
      <c r="AT403" s="2" t="s">
        <v>1880</v>
      </c>
      <c r="AU403" s="2"/>
      <c r="AV403" s="2"/>
      <c r="AW403" s="2"/>
      <c r="AX403" s="2"/>
      <c r="AY403" s="2">
        <v>41</v>
      </c>
      <c r="AZ403" s="2" t="s">
        <v>82</v>
      </c>
      <c r="BA403" s="2">
        <v>41</v>
      </c>
      <c r="BB403" s="2" t="s">
        <v>82</v>
      </c>
      <c r="BC403" s="2">
        <v>41</v>
      </c>
      <c r="BD403" s="2" t="s">
        <v>82</v>
      </c>
      <c r="BE403" s="2">
        <v>10</v>
      </c>
      <c r="BF403" s="2" t="s">
        <v>901</v>
      </c>
      <c r="BG403" s="2" t="s">
        <v>1881</v>
      </c>
      <c r="BH403" s="4">
        <v>0.69097222222222221</v>
      </c>
      <c r="BI403" s="4">
        <v>0.65972222222222221</v>
      </c>
      <c r="BJ403" s="2">
        <v>229</v>
      </c>
      <c r="BK403" s="2" t="s">
        <v>300</v>
      </c>
      <c r="BL403" s="2" t="s">
        <v>301</v>
      </c>
      <c r="BM403" s="2">
        <v>241</v>
      </c>
      <c r="BN403" s="2" t="s">
        <v>82</v>
      </c>
      <c r="BO403" s="2" t="s">
        <v>82</v>
      </c>
      <c r="BP403" s="2">
        <v>13</v>
      </c>
      <c r="BQ403" s="2" t="s">
        <v>91</v>
      </c>
      <c r="BR403" s="2" t="s">
        <v>170</v>
      </c>
      <c r="BS403" s="3">
        <v>40213</v>
      </c>
      <c r="BT403" s="4">
        <v>0.80861111111111106</v>
      </c>
    </row>
    <row r="404" spans="1:72" x14ac:dyDescent="0.25">
      <c r="A404" s="2">
        <v>642</v>
      </c>
      <c r="B404" s="2">
        <v>2010</v>
      </c>
      <c r="C404" s="2" t="s">
        <v>1568</v>
      </c>
      <c r="D404" s="2" t="s">
        <v>73</v>
      </c>
      <c r="E404" s="2"/>
      <c r="F404" s="2">
        <v>425</v>
      </c>
      <c r="G404" s="2" t="s">
        <v>286</v>
      </c>
      <c r="H404" s="2">
        <v>39</v>
      </c>
      <c r="I404" s="2" t="s">
        <v>1117</v>
      </c>
      <c r="J404" s="2">
        <v>310</v>
      </c>
      <c r="K404" s="2" t="s">
        <v>288</v>
      </c>
      <c r="L404" s="2" t="s">
        <v>289</v>
      </c>
      <c r="M404" s="3">
        <v>40213</v>
      </c>
      <c r="N404" s="2" t="s">
        <v>1882</v>
      </c>
      <c r="O404" s="2"/>
      <c r="P404" s="2"/>
      <c r="Q404" s="2" t="str">
        <f>"008/10"</f>
        <v>008/10</v>
      </c>
      <c r="R404" s="2"/>
      <c r="S404" s="2" t="s">
        <v>822</v>
      </c>
      <c r="T404" s="2">
        <v>1</v>
      </c>
      <c r="U404" s="2" t="s">
        <v>79</v>
      </c>
      <c r="V404" s="2">
        <v>1</v>
      </c>
      <c r="W404" s="2" t="s">
        <v>80</v>
      </c>
      <c r="X404" s="2">
        <v>1</v>
      </c>
      <c r="Y404" s="2" t="s">
        <v>81</v>
      </c>
      <c r="Z404" s="2">
        <v>10</v>
      </c>
      <c r="AA404" s="2" t="s">
        <v>236</v>
      </c>
      <c r="AB404" s="2">
        <v>4</v>
      </c>
      <c r="AC404" s="2" t="s">
        <v>1569</v>
      </c>
      <c r="AD404" s="3">
        <v>40213</v>
      </c>
      <c r="AE404" s="4">
        <v>0.68055555555555547</v>
      </c>
      <c r="AF404" s="2"/>
      <c r="AG404" s="2"/>
      <c r="AH404" s="2">
        <v>4</v>
      </c>
      <c r="AI404" s="2" t="s">
        <v>125</v>
      </c>
      <c r="AJ404" s="2">
        <v>29</v>
      </c>
      <c r="AK404" s="2" t="s">
        <v>227</v>
      </c>
      <c r="AL404" s="2">
        <v>10</v>
      </c>
      <c r="AM404" s="2" t="s">
        <v>200</v>
      </c>
      <c r="AN404" s="2" t="s">
        <v>823</v>
      </c>
      <c r="AO404" s="2" t="s">
        <v>200</v>
      </c>
      <c r="AP404" s="2">
        <v>11</v>
      </c>
      <c r="AQ404" s="2" t="s">
        <v>82</v>
      </c>
      <c r="AR404" s="2"/>
      <c r="AS404" s="2"/>
      <c r="AT404" s="2" t="s">
        <v>1883</v>
      </c>
      <c r="AU404" s="2"/>
      <c r="AV404" s="2"/>
      <c r="AW404" s="2"/>
      <c r="AX404" s="2"/>
      <c r="AY404" s="2">
        <v>41</v>
      </c>
      <c r="AZ404" s="2" t="s">
        <v>82</v>
      </c>
      <c r="BA404" s="2">
        <v>41</v>
      </c>
      <c r="BB404" s="2" t="s">
        <v>82</v>
      </c>
      <c r="BC404" s="2">
        <v>41</v>
      </c>
      <c r="BD404" s="2" t="s">
        <v>82</v>
      </c>
      <c r="BE404" s="2">
        <v>4</v>
      </c>
      <c r="BF404" s="2" t="s">
        <v>90</v>
      </c>
      <c r="BG404" s="2">
        <v>4113</v>
      </c>
      <c r="BH404" s="4">
        <v>0.65625</v>
      </c>
      <c r="BI404" s="4">
        <v>0.68055555555555547</v>
      </c>
      <c r="BJ404" s="2">
        <v>13</v>
      </c>
      <c r="BK404" s="2" t="s">
        <v>91</v>
      </c>
      <c r="BL404" s="2" t="s">
        <v>828</v>
      </c>
      <c r="BM404" s="2">
        <v>241</v>
      </c>
      <c r="BN404" s="2" t="s">
        <v>82</v>
      </c>
      <c r="BO404" s="2" t="s">
        <v>82</v>
      </c>
      <c r="BP404" s="2">
        <v>13</v>
      </c>
      <c r="BQ404" s="2" t="s">
        <v>91</v>
      </c>
      <c r="BR404" s="2" t="s">
        <v>185</v>
      </c>
      <c r="BS404" s="3">
        <v>40213</v>
      </c>
      <c r="BT404" s="4">
        <v>0.82357638888888884</v>
      </c>
    </row>
    <row r="405" spans="1:72" x14ac:dyDescent="0.25">
      <c r="A405" s="2">
        <v>644</v>
      </c>
      <c r="B405" s="2">
        <v>2010</v>
      </c>
      <c r="C405" s="2" t="s">
        <v>377</v>
      </c>
      <c r="D405" s="2" t="s">
        <v>73</v>
      </c>
      <c r="E405" s="2"/>
      <c r="F405" s="2">
        <v>426</v>
      </c>
      <c r="G405" s="2" t="s">
        <v>378</v>
      </c>
      <c r="H405" s="2">
        <v>22</v>
      </c>
      <c r="I405" s="2" t="s">
        <v>75</v>
      </c>
      <c r="J405" s="2">
        <v>311</v>
      </c>
      <c r="K405" s="2" t="s">
        <v>379</v>
      </c>
      <c r="L405" s="2" t="s">
        <v>380</v>
      </c>
      <c r="M405" s="3">
        <v>40213</v>
      </c>
      <c r="N405" s="2"/>
      <c r="O405" s="2"/>
      <c r="P405" s="2"/>
      <c r="Q405" s="2" t="str">
        <f>"006-E/10"</f>
        <v>006-E/10</v>
      </c>
      <c r="R405" s="2" t="s">
        <v>1884</v>
      </c>
      <c r="S405" s="2" t="s">
        <v>1884</v>
      </c>
      <c r="T405" s="2">
        <v>1</v>
      </c>
      <c r="U405" s="2" t="s">
        <v>79</v>
      </c>
      <c r="V405" s="2">
        <v>1</v>
      </c>
      <c r="W405" s="2" t="s">
        <v>80</v>
      </c>
      <c r="X405" s="2">
        <v>1</v>
      </c>
      <c r="Y405" s="2" t="s">
        <v>81</v>
      </c>
      <c r="Z405" s="2">
        <v>1</v>
      </c>
      <c r="AA405" s="2" t="s">
        <v>82</v>
      </c>
      <c r="AB405" s="2">
        <v>9</v>
      </c>
      <c r="AC405" s="2" t="s">
        <v>124</v>
      </c>
      <c r="AD405" s="3">
        <v>40213</v>
      </c>
      <c r="AE405" s="4">
        <v>0.82638888888888884</v>
      </c>
      <c r="AF405" s="2"/>
      <c r="AG405" s="2"/>
      <c r="AH405" s="2">
        <v>2</v>
      </c>
      <c r="AI405" s="2" t="s">
        <v>84</v>
      </c>
      <c r="AJ405" s="2">
        <v>9</v>
      </c>
      <c r="AK405" s="2" t="s">
        <v>103</v>
      </c>
      <c r="AL405" s="2">
        <v>12</v>
      </c>
      <c r="AM405" s="2" t="s">
        <v>86</v>
      </c>
      <c r="AN405" s="2"/>
      <c r="AO405" s="2" t="s">
        <v>1885</v>
      </c>
      <c r="AP405" s="2">
        <v>11</v>
      </c>
      <c r="AQ405" s="2" t="s">
        <v>82</v>
      </c>
      <c r="AR405" s="2"/>
      <c r="AS405" s="2"/>
      <c r="AT405" s="2" t="s">
        <v>1886</v>
      </c>
      <c r="AU405" s="2"/>
      <c r="AV405" s="2"/>
      <c r="AW405" s="2"/>
      <c r="AX405" s="2"/>
      <c r="AY405" s="2">
        <v>1</v>
      </c>
      <c r="AZ405" s="2" t="s">
        <v>107</v>
      </c>
      <c r="BA405" s="2">
        <v>1</v>
      </c>
      <c r="BB405" s="2" t="s">
        <v>107</v>
      </c>
      <c r="BC405" s="2">
        <v>1</v>
      </c>
      <c r="BD405" s="2" t="s">
        <v>107</v>
      </c>
      <c r="BE405" s="2">
        <v>41</v>
      </c>
      <c r="BF405" s="2" t="s">
        <v>82</v>
      </c>
      <c r="BG405" s="2"/>
      <c r="BH405" s="2"/>
      <c r="BI405" s="2"/>
      <c r="BJ405" s="2">
        <v>242</v>
      </c>
      <c r="BK405" s="2" t="s">
        <v>107</v>
      </c>
      <c r="BL405" s="2"/>
      <c r="BM405" s="2">
        <v>242</v>
      </c>
      <c r="BN405" s="2" t="s">
        <v>107</v>
      </c>
      <c r="BO405" s="2"/>
      <c r="BP405" s="2">
        <v>242</v>
      </c>
      <c r="BQ405" s="2" t="s">
        <v>107</v>
      </c>
      <c r="BR405" s="2"/>
      <c r="BS405" s="3">
        <v>40213</v>
      </c>
      <c r="BT405" s="4">
        <v>0.88188657407407411</v>
      </c>
    </row>
    <row r="406" spans="1:72" x14ac:dyDescent="0.25">
      <c r="A406" s="2">
        <v>645</v>
      </c>
      <c r="B406" s="2">
        <v>2010</v>
      </c>
      <c r="C406" s="2" t="s">
        <v>1094</v>
      </c>
      <c r="D406" s="2" t="s">
        <v>122</v>
      </c>
      <c r="E406" s="2" t="s">
        <v>1887</v>
      </c>
      <c r="F406" s="2">
        <v>156</v>
      </c>
      <c r="G406" s="2" t="s">
        <v>1875</v>
      </c>
      <c r="H406" s="2">
        <v>12</v>
      </c>
      <c r="I406" s="2" t="s">
        <v>95</v>
      </c>
      <c r="J406" s="2">
        <v>168</v>
      </c>
      <c r="K406" s="2" t="s">
        <v>1876</v>
      </c>
      <c r="L406" s="2" t="s">
        <v>1877</v>
      </c>
      <c r="M406" s="3">
        <v>40213</v>
      </c>
      <c r="N406" s="2" t="s">
        <v>1878</v>
      </c>
      <c r="O406" s="2" t="s">
        <v>107</v>
      </c>
      <c r="P406" s="2" t="s">
        <v>107</v>
      </c>
      <c r="Q406" s="2" t="str">
        <f>"043-A/10"</f>
        <v>043-A/10</v>
      </c>
      <c r="R406" s="2" t="s">
        <v>1100</v>
      </c>
      <c r="S406" s="2" t="s">
        <v>107</v>
      </c>
      <c r="T406" s="2">
        <v>1</v>
      </c>
      <c r="U406" s="2" t="s">
        <v>79</v>
      </c>
      <c r="V406" s="2">
        <v>1</v>
      </c>
      <c r="W406" s="2" t="s">
        <v>80</v>
      </c>
      <c r="X406" s="2">
        <v>5</v>
      </c>
      <c r="Y406" s="2" t="s">
        <v>82</v>
      </c>
      <c r="Z406" s="2">
        <v>1</v>
      </c>
      <c r="AA406" s="2" t="s">
        <v>82</v>
      </c>
      <c r="AB406" s="2">
        <v>9</v>
      </c>
      <c r="AC406" s="2" t="s">
        <v>124</v>
      </c>
      <c r="AD406" s="3">
        <v>40213</v>
      </c>
      <c r="AE406" s="4">
        <v>0.65277777777777779</v>
      </c>
      <c r="AF406" s="3">
        <v>40213</v>
      </c>
      <c r="AG406" s="4">
        <v>0.70833333333333337</v>
      </c>
      <c r="AH406" s="2">
        <v>2</v>
      </c>
      <c r="AI406" s="2" t="s">
        <v>84</v>
      </c>
      <c r="AJ406" s="2">
        <v>12</v>
      </c>
      <c r="AK406" s="2" t="s">
        <v>85</v>
      </c>
      <c r="AL406" s="2">
        <v>2</v>
      </c>
      <c r="AM406" s="2" t="s">
        <v>163</v>
      </c>
      <c r="AN406" s="2"/>
      <c r="AO406" s="2" t="s">
        <v>1879</v>
      </c>
      <c r="AP406" s="2">
        <v>11</v>
      </c>
      <c r="AQ406" s="2" t="s">
        <v>82</v>
      </c>
      <c r="AR406" s="2" t="s">
        <v>82</v>
      </c>
      <c r="AS406" s="2" t="s">
        <v>82</v>
      </c>
      <c r="AT406" s="2" t="s">
        <v>1888</v>
      </c>
      <c r="AU406" s="2"/>
      <c r="AV406" s="2"/>
      <c r="AW406" s="2"/>
      <c r="AX406" s="2"/>
      <c r="AY406" s="2">
        <v>41</v>
      </c>
      <c r="AZ406" s="2" t="s">
        <v>82</v>
      </c>
      <c r="BA406" s="2">
        <v>41</v>
      </c>
      <c r="BB406" s="2" t="s">
        <v>82</v>
      </c>
      <c r="BC406" s="2">
        <v>41</v>
      </c>
      <c r="BD406" s="2" t="s">
        <v>82</v>
      </c>
      <c r="BE406" s="2">
        <v>10</v>
      </c>
      <c r="BF406" s="2" t="s">
        <v>901</v>
      </c>
      <c r="BG406" s="2" t="s">
        <v>1881</v>
      </c>
      <c r="BH406" s="4">
        <v>0.69097222222222221</v>
      </c>
      <c r="BI406" s="4">
        <v>0.65972222222222221</v>
      </c>
      <c r="BJ406" s="2">
        <v>229</v>
      </c>
      <c r="BK406" s="2" t="s">
        <v>300</v>
      </c>
      <c r="BL406" s="2" t="s">
        <v>301</v>
      </c>
      <c r="BM406" s="2">
        <v>241</v>
      </c>
      <c r="BN406" s="2" t="s">
        <v>82</v>
      </c>
      <c r="BO406" s="2" t="s">
        <v>82</v>
      </c>
      <c r="BP406" s="2">
        <v>13</v>
      </c>
      <c r="BQ406" s="2" t="s">
        <v>91</v>
      </c>
      <c r="BR406" s="2" t="s">
        <v>170</v>
      </c>
      <c r="BS406" s="3">
        <v>40213</v>
      </c>
      <c r="BT406" s="4">
        <v>0.97180555555555559</v>
      </c>
    </row>
    <row r="407" spans="1:72" x14ac:dyDescent="0.25">
      <c r="A407" s="2">
        <v>646</v>
      </c>
      <c r="B407" s="2">
        <v>2010</v>
      </c>
      <c r="C407" s="2" t="s">
        <v>1094</v>
      </c>
      <c r="D407" s="2" t="s">
        <v>73</v>
      </c>
      <c r="E407" s="2"/>
      <c r="F407" s="2">
        <v>246</v>
      </c>
      <c r="G407" s="2" t="s">
        <v>1889</v>
      </c>
      <c r="H407" s="2">
        <v>22</v>
      </c>
      <c r="I407" s="2" t="s">
        <v>75</v>
      </c>
      <c r="J407" s="2">
        <v>258</v>
      </c>
      <c r="K407" s="2" t="s">
        <v>1890</v>
      </c>
      <c r="L407" s="2" t="s">
        <v>1891</v>
      </c>
      <c r="M407" s="3">
        <v>40214</v>
      </c>
      <c r="N407" s="2" t="s">
        <v>1892</v>
      </c>
      <c r="O407" s="2" t="s">
        <v>82</v>
      </c>
      <c r="P407" s="2" t="s">
        <v>82</v>
      </c>
      <c r="Q407" s="2" t="str">
        <f>"44-A/10"</f>
        <v>44-A/10</v>
      </c>
      <c r="R407" s="2" t="s">
        <v>1893</v>
      </c>
      <c r="S407" s="2" t="s">
        <v>1100</v>
      </c>
      <c r="T407" s="2">
        <v>1</v>
      </c>
      <c r="U407" s="2" t="s">
        <v>79</v>
      </c>
      <c r="V407" s="2">
        <v>1</v>
      </c>
      <c r="W407" s="2" t="s">
        <v>80</v>
      </c>
      <c r="X407" s="2">
        <v>1</v>
      </c>
      <c r="Y407" s="2" t="s">
        <v>81</v>
      </c>
      <c r="Z407" s="2">
        <v>1</v>
      </c>
      <c r="AA407" s="2" t="s">
        <v>82</v>
      </c>
      <c r="AB407" s="2">
        <v>9</v>
      </c>
      <c r="AC407" s="2" t="s">
        <v>124</v>
      </c>
      <c r="AD407" s="3">
        <v>40213</v>
      </c>
      <c r="AE407" s="4">
        <v>0.82291666666666663</v>
      </c>
      <c r="AF407" s="3">
        <v>40213</v>
      </c>
      <c r="AG407" s="4">
        <v>0.875</v>
      </c>
      <c r="AH407" s="2">
        <v>2</v>
      </c>
      <c r="AI407" s="2" t="s">
        <v>84</v>
      </c>
      <c r="AJ407" s="2">
        <v>12</v>
      </c>
      <c r="AK407" s="2" t="s">
        <v>85</v>
      </c>
      <c r="AL407" s="2">
        <v>12</v>
      </c>
      <c r="AM407" s="2" t="s">
        <v>86</v>
      </c>
      <c r="AN407" s="2" t="s">
        <v>107</v>
      </c>
      <c r="AO407" s="2" t="s">
        <v>296</v>
      </c>
      <c r="AP407" s="2">
        <v>11</v>
      </c>
      <c r="AQ407" s="2" t="s">
        <v>82</v>
      </c>
      <c r="AR407" s="2" t="s">
        <v>82</v>
      </c>
      <c r="AS407" s="2" t="s">
        <v>82</v>
      </c>
      <c r="AT407" s="2" t="s">
        <v>1894</v>
      </c>
      <c r="AU407" s="2"/>
      <c r="AV407" s="2"/>
      <c r="AW407" s="2"/>
      <c r="AX407" s="2"/>
      <c r="AY407" s="2">
        <v>41</v>
      </c>
      <c r="AZ407" s="2" t="s">
        <v>82</v>
      </c>
      <c r="BA407" s="2">
        <v>41</v>
      </c>
      <c r="BB407" s="2" t="s">
        <v>82</v>
      </c>
      <c r="BC407" s="2">
        <v>41</v>
      </c>
      <c r="BD407" s="2" t="s">
        <v>82</v>
      </c>
      <c r="BE407" s="2">
        <v>41</v>
      </c>
      <c r="BF407" s="2" t="s">
        <v>82</v>
      </c>
      <c r="BG407" s="2" t="s">
        <v>82</v>
      </c>
      <c r="BH407" s="2"/>
      <c r="BI407" s="2"/>
      <c r="BJ407" s="2">
        <v>241</v>
      </c>
      <c r="BK407" s="2" t="s">
        <v>82</v>
      </c>
      <c r="BL407" s="2" t="s">
        <v>82</v>
      </c>
      <c r="BM407" s="2">
        <v>241</v>
      </c>
      <c r="BN407" s="2" t="s">
        <v>82</v>
      </c>
      <c r="BO407" s="2" t="s">
        <v>82</v>
      </c>
      <c r="BP407" s="2">
        <v>241</v>
      </c>
      <c r="BQ407" s="2" t="s">
        <v>82</v>
      </c>
      <c r="BR407" s="2" t="s">
        <v>82</v>
      </c>
      <c r="BS407" s="3">
        <v>40214</v>
      </c>
      <c r="BT407" s="4">
        <v>4.207175925925926E-2</v>
      </c>
    </row>
    <row r="408" spans="1:72" x14ac:dyDescent="0.25">
      <c r="A408" s="2">
        <v>647</v>
      </c>
      <c r="B408" s="2">
        <v>2010</v>
      </c>
      <c r="C408" s="2" t="s">
        <v>72</v>
      </c>
      <c r="D408" s="2" t="s">
        <v>73</v>
      </c>
      <c r="E408" s="2"/>
      <c r="F408" s="2">
        <v>3</v>
      </c>
      <c r="G408" s="2" t="s">
        <v>1041</v>
      </c>
      <c r="H408" s="2">
        <v>42</v>
      </c>
      <c r="I408" s="2" t="s">
        <v>1096</v>
      </c>
      <c r="J408" s="2">
        <v>368</v>
      </c>
      <c r="K408" s="2" t="s">
        <v>1042</v>
      </c>
      <c r="L408" s="2" t="s">
        <v>1043</v>
      </c>
      <c r="M408" s="3">
        <v>40214</v>
      </c>
      <c r="N408" s="2"/>
      <c r="O408" s="2"/>
      <c r="P408" s="2"/>
      <c r="Q408" s="2" t="str">
        <f>"072-E/10"</f>
        <v>072-E/10</v>
      </c>
      <c r="R408" s="2" t="s">
        <v>116</v>
      </c>
      <c r="S408" s="2" t="s">
        <v>116</v>
      </c>
      <c r="T408" s="2">
        <v>1</v>
      </c>
      <c r="U408" s="2" t="s">
        <v>79</v>
      </c>
      <c r="V408" s="2">
        <v>1</v>
      </c>
      <c r="W408" s="2" t="s">
        <v>80</v>
      </c>
      <c r="X408" s="2">
        <v>5</v>
      </c>
      <c r="Y408" s="2" t="s">
        <v>82</v>
      </c>
      <c r="Z408" s="2">
        <v>1</v>
      </c>
      <c r="AA408" s="2" t="s">
        <v>82</v>
      </c>
      <c r="AB408" s="2">
        <v>6</v>
      </c>
      <c r="AC408" s="2" t="s">
        <v>83</v>
      </c>
      <c r="AD408" s="3">
        <v>40213</v>
      </c>
      <c r="AE408" s="4">
        <v>0.91666666666666663</v>
      </c>
      <c r="AF408" s="3">
        <v>40213</v>
      </c>
      <c r="AG408" s="4">
        <v>0.97916666666666663</v>
      </c>
      <c r="AH408" s="2">
        <v>2</v>
      </c>
      <c r="AI408" s="2" t="s">
        <v>84</v>
      </c>
      <c r="AJ408" s="2">
        <v>9</v>
      </c>
      <c r="AK408" s="2" t="s">
        <v>103</v>
      </c>
      <c r="AL408" s="2">
        <v>19</v>
      </c>
      <c r="AM408" s="2" t="s">
        <v>107</v>
      </c>
      <c r="AN408" s="2"/>
      <c r="AO408" s="2" t="s">
        <v>1895</v>
      </c>
      <c r="AP408" s="2">
        <v>11</v>
      </c>
      <c r="AQ408" s="2" t="s">
        <v>82</v>
      </c>
      <c r="AR408" s="2"/>
      <c r="AS408" s="2"/>
      <c r="AT408" s="2" t="s">
        <v>1896</v>
      </c>
      <c r="AU408" s="2"/>
      <c r="AV408" s="2"/>
      <c r="AW408" s="2"/>
      <c r="AX408" s="2"/>
      <c r="AY408" s="2">
        <v>1</v>
      </c>
      <c r="AZ408" s="2" t="s">
        <v>107</v>
      </c>
      <c r="BA408" s="2">
        <v>1</v>
      </c>
      <c r="BB408" s="2" t="s">
        <v>107</v>
      </c>
      <c r="BC408" s="2">
        <v>1</v>
      </c>
      <c r="BD408" s="2" t="s">
        <v>107</v>
      </c>
      <c r="BE408" s="2">
        <v>39</v>
      </c>
      <c r="BF408" s="2" t="s">
        <v>440</v>
      </c>
      <c r="BG408" s="2">
        <v>7001</v>
      </c>
      <c r="BH408" s="4">
        <v>0.88888888888888884</v>
      </c>
      <c r="BI408" s="2"/>
      <c r="BJ408" s="2">
        <v>172</v>
      </c>
      <c r="BK408" s="2" t="s">
        <v>843</v>
      </c>
      <c r="BL408" s="2" t="s">
        <v>844</v>
      </c>
      <c r="BM408" s="2">
        <v>242</v>
      </c>
      <c r="BN408" s="2" t="s">
        <v>107</v>
      </c>
      <c r="BO408" s="2"/>
      <c r="BP408" s="2">
        <v>13</v>
      </c>
      <c r="BQ408" s="2" t="s">
        <v>91</v>
      </c>
      <c r="BR408" s="2" t="s">
        <v>185</v>
      </c>
      <c r="BS408" s="3">
        <v>40214</v>
      </c>
      <c r="BT408" s="4">
        <v>7.993055555555556E-2</v>
      </c>
    </row>
    <row r="409" spans="1:72" x14ac:dyDescent="0.25">
      <c r="A409" s="2">
        <v>648</v>
      </c>
      <c r="B409" s="2">
        <v>2010</v>
      </c>
      <c r="C409" s="2" t="s">
        <v>128</v>
      </c>
      <c r="D409" s="2" t="s">
        <v>122</v>
      </c>
      <c r="E409" s="2"/>
      <c r="F409" s="2">
        <v>1</v>
      </c>
      <c r="G409" s="2" t="s">
        <v>82</v>
      </c>
      <c r="H409" s="2">
        <v>1</v>
      </c>
      <c r="I409" s="2" t="s">
        <v>82</v>
      </c>
      <c r="J409" s="2">
        <v>1</v>
      </c>
      <c r="K409" s="2" t="s">
        <v>107</v>
      </c>
      <c r="L409" s="2" t="s">
        <v>107</v>
      </c>
      <c r="M409" s="3">
        <v>40214</v>
      </c>
      <c r="N409" s="2"/>
      <c r="O409" s="2"/>
      <c r="P409" s="2"/>
      <c r="Q409" s="2" t="str">
        <f>""</f>
        <v/>
      </c>
      <c r="R409" s="2"/>
      <c r="S409" s="2"/>
      <c r="T409" s="2">
        <v>1</v>
      </c>
      <c r="U409" s="2" t="s">
        <v>79</v>
      </c>
      <c r="V409" s="2">
        <v>1</v>
      </c>
      <c r="W409" s="2" t="s">
        <v>80</v>
      </c>
      <c r="X409" s="2">
        <v>5</v>
      </c>
      <c r="Y409" s="2" t="s">
        <v>82</v>
      </c>
      <c r="Z409" s="2">
        <v>1</v>
      </c>
      <c r="AA409" s="2" t="s">
        <v>82</v>
      </c>
      <c r="AB409" s="2">
        <v>9</v>
      </c>
      <c r="AC409" s="2" t="s">
        <v>124</v>
      </c>
      <c r="AD409" s="3">
        <v>40214</v>
      </c>
      <c r="AE409" s="4">
        <v>0.29166666666666669</v>
      </c>
      <c r="AF409" s="3">
        <v>40214</v>
      </c>
      <c r="AG409" s="4">
        <v>0.375</v>
      </c>
      <c r="AH409" s="2">
        <v>3</v>
      </c>
      <c r="AI409" s="2" t="s">
        <v>214</v>
      </c>
      <c r="AJ409" s="2">
        <v>20</v>
      </c>
      <c r="AK409" s="2" t="s">
        <v>1897</v>
      </c>
      <c r="AL409" s="2">
        <v>18</v>
      </c>
      <c r="AM409" s="2" t="s">
        <v>82</v>
      </c>
      <c r="AN409" s="2"/>
      <c r="AO409" s="2" t="s">
        <v>1898</v>
      </c>
      <c r="AP409" s="2">
        <v>11</v>
      </c>
      <c r="AQ409" s="2" t="s">
        <v>82</v>
      </c>
      <c r="AR409" s="2" t="s">
        <v>82</v>
      </c>
      <c r="AS409" s="2" t="s">
        <v>82</v>
      </c>
      <c r="AT409" s="2" t="s">
        <v>1899</v>
      </c>
      <c r="AU409" s="2"/>
      <c r="AV409" s="2"/>
      <c r="AW409" s="2"/>
      <c r="AX409" s="2"/>
      <c r="AY409" s="2">
        <v>1</v>
      </c>
      <c r="AZ409" s="2" t="s">
        <v>107</v>
      </c>
      <c r="BA409" s="2">
        <v>1</v>
      </c>
      <c r="BB409" s="2" t="s">
        <v>107</v>
      </c>
      <c r="BC409" s="2">
        <v>1</v>
      </c>
      <c r="BD409" s="2" t="s">
        <v>107</v>
      </c>
      <c r="BE409" s="2">
        <v>1</v>
      </c>
      <c r="BF409" s="2" t="s">
        <v>107</v>
      </c>
      <c r="BG409" s="2" t="s">
        <v>82</v>
      </c>
      <c r="BH409" s="2"/>
      <c r="BI409" s="2"/>
      <c r="BJ409" s="2">
        <v>242</v>
      </c>
      <c r="BK409" s="2" t="s">
        <v>107</v>
      </c>
      <c r="BL409" s="2" t="s">
        <v>82</v>
      </c>
      <c r="BM409" s="2">
        <v>242</v>
      </c>
      <c r="BN409" s="2" t="s">
        <v>107</v>
      </c>
      <c r="BO409" s="2" t="s">
        <v>82</v>
      </c>
      <c r="BP409" s="2">
        <v>242</v>
      </c>
      <c r="BQ409" s="2" t="s">
        <v>107</v>
      </c>
      <c r="BR409" s="2" t="s">
        <v>82</v>
      </c>
      <c r="BS409" s="3">
        <v>40214</v>
      </c>
      <c r="BT409" s="4">
        <v>0.42640046296296297</v>
      </c>
    </row>
    <row r="410" spans="1:72" x14ac:dyDescent="0.25">
      <c r="A410" s="2">
        <v>649</v>
      </c>
      <c r="B410" s="2">
        <v>2010</v>
      </c>
      <c r="C410" s="2" t="s">
        <v>409</v>
      </c>
      <c r="D410" s="2" t="s">
        <v>122</v>
      </c>
      <c r="E410" s="2"/>
      <c r="F410" s="2">
        <v>146</v>
      </c>
      <c r="G410" s="2" t="s">
        <v>753</v>
      </c>
      <c r="H410" s="2">
        <v>39</v>
      </c>
      <c r="I410" s="2" t="s">
        <v>1117</v>
      </c>
      <c r="J410" s="2">
        <v>161</v>
      </c>
      <c r="K410" s="2" t="s">
        <v>1900</v>
      </c>
      <c r="L410" s="2" t="s">
        <v>1901</v>
      </c>
      <c r="M410" s="3">
        <v>40214</v>
      </c>
      <c r="N410" s="2" t="s">
        <v>1902</v>
      </c>
      <c r="O410" s="2" t="s">
        <v>82</v>
      </c>
      <c r="P410" s="2" t="s">
        <v>1903</v>
      </c>
      <c r="Q410" s="2" t="str">
        <f>"N/C"</f>
        <v>N/C</v>
      </c>
      <c r="R410" s="2" t="s">
        <v>82</v>
      </c>
      <c r="S410" s="2" t="s">
        <v>82</v>
      </c>
      <c r="T410" s="2">
        <v>1</v>
      </c>
      <c r="U410" s="2" t="s">
        <v>79</v>
      </c>
      <c r="V410" s="2">
        <v>1</v>
      </c>
      <c r="W410" s="2" t="s">
        <v>80</v>
      </c>
      <c r="X410" s="2">
        <v>4</v>
      </c>
      <c r="Y410" s="2" t="s">
        <v>463</v>
      </c>
      <c r="Z410" s="2">
        <v>1</v>
      </c>
      <c r="AA410" s="2" t="s">
        <v>82</v>
      </c>
      <c r="AB410" s="2">
        <v>9</v>
      </c>
      <c r="AC410" s="2" t="s">
        <v>124</v>
      </c>
      <c r="AD410" s="3">
        <v>40213</v>
      </c>
      <c r="AE410" s="4">
        <v>0.76736111111111116</v>
      </c>
      <c r="AF410" s="2"/>
      <c r="AG410" s="2"/>
      <c r="AH410" s="2">
        <v>6</v>
      </c>
      <c r="AI410" s="2" t="s">
        <v>197</v>
      </c>
      <c r="AJ410" s="2">
        <v>60</v>
      </c>
      <c r="AK410" s="2" t="s">
        <v>543</v>
      </c>
      <c r="AL410" s="2">
        <v>18</v>
      </c>
      <c r="AM410" s="2" t="s">
        <v>82</v>
      </c>
      <c r="AN410" s="2" t="s">
        <v>82</v>
      </c>
      <c r="AO410" s="2" t="s">
        <v>82</v>
      </c>
      <c r="AP410" s="2">
        <v>11</v>
      </c>
      <c r="AQ410" s="2" t="s">
        <v>82</v>
      </c>
      <c r="AR410" s="2" t="s">
        <v>82</v>
      </c>
      <c r="AS410" s="2" t="s">
        <v>82</v>
      </c>
      <c r="AT410" s="2" t="s">
        <v>1904</v>
      </c>
      <c r="AU410" s="2"/>
      <c r="AV410" s="2"/>
      <c r="AW410" s="2"/>
      <c r="AX410" s="2"/>
      <c r="AY410" s="2">
        <v>1</v>
      </c>
      <c r="AZ410" s="2" t="s">
        <v>107</v>
      </c>
      <c r="BA410" s="2">
        <v>1</v>
      </c>
      <c r="BB410" s="2" t="s">
        <v>107</v>
      </c>
      <c r="BC410" s="2">
        <v>1</v>
      </c>
      <c r="BD410" s="2" t="s">
        <v>107</v>
      </c>
      <c r="BE410" s="2">
        <v>49</v>
      </c>
      <c r="BF410" s="2" t="s">
        <v>1254</v>
      </c>
      <c r="BG410" s="2" t="s">
        <v>1255</v>
      </c>
      <c r="BH410" s="4">
        <v>0.74305555555555547</v>
      </c>
      <c r="BI410" s="4">
        <v>0.76736111111111116</v>
      </c>
      <c r="BJ410" s="2">
        <v>13</v>
      </c>
      <c r="BK410" s="2" t="s">
        <v>91</v>
      </c>
      <c r="BL410" s="2" t="s">
        <v>895</v>
      </c>
      <c r="BM410" s="2">
        <v>13</v>
      </c>
      <c r="BN410" s="2" t="s">
        <v>91</v>
      </c>
      <c r="BO410" s="2" t="s">
        <v>1905</v>
      </c>
      <c r="BP410" s="2">
        <v>13</v>
      </c>
      <c r="BQ410" s="2" t="s">
        <v>91</v>
      </c>
      <c r="BR410" s="2" t="s">
        <v>353</v>
      </c>
      <c r="BS410" s="3">
        <v>40214</v>
      </c>
      <c r="BT410" s="4">
        <v>0.44283564814814813</v>
      </c>
    </row>
    <row r="411" spans="1:72" x14ac:dyDescent="0.25">
      <c r="A411" s="2">
        <v>650</v>
      </c>
      <c r="B411" s="2">
        <v>2010</v>
      </c>
      <c r="C411" s="2" t="s">
        <v>128</v>
      </c>
      <c r="D411" s="2" t="s">
        <v>122</v>
      </c>
      <c r="E411" s="2"/>
      <c r="F411" s="2">
        <v>146</v>
      </c>
      <c r="G411" s="2" t="s">
        <v>753</v>
      </c>
      <c r="H411" s="2">
        <v>41</v>
      </c>
      <c r="I411" s="2" t="s">
        <v>1906</v>
      </c>
      <c r="J411" s="2">
        <v>403</v>
      </c>
      <c r="K411" s="2" t="s">
        <v>1907</v>
      </c>
      <c r="L411" s="2" t="s">
        <v>1908</v>
      </c>
      <c r="M411" s="3">
        <v>40214</v>
      </c>
      <c r="N411" s="2" t="s">
        <v>1902</v>
      </c>
      <c r="O411" s="2" t="s">
        <v>1909</v>
      </c>
      <c r="P411" s="2"/>
      <c r="Q411" s="2" t="str">
        <f>"N/C"</f>
        <v>N/C</v>
      </c>
      <c r="R411" s="2" t="s">
        <v>82</v>
      </c>
      <c r="S411" s="2" t="s">
        <v>82</v>
      </c>
      <c r="T411" s="2">
        <v>1</v>
      </c>
      <c r="U411" s="2" t="s">
        <v>79</v>
      </c>
      <c r="V411" s="2">
        <v>1</v>
      </c>
      <c r="W411" s="2" t="s">
        <v>80</v>
      </c>
      <c r="X411" s="2">
        <v>4</v>
      </c>
      <c r="Y411" s="2" t="s">
        <v>463</v>
      </c>
      <c r="Z411" s="2">
        <v>1</v>
      </c>
      <c r="AA411" s="2" t="s">
        <v>82</v>
      </c>
      <c r="AB411" s="2">
        <v>9</v>
      </c>
      <c r="AC411" s="2" t="s">
        <v>124</v>
      </c>
      <c r="AD411" s="3">
        <v>40213</v>
      </c>
      <c r="AE411" s="4">
        <v>0.76736111111111116</v>
      </c>
      <c r="AF411" s="2"/>
      <c r="AG411" s="2"/>
      <c r="AH411" s="2">
        <v>6</v>
      </c>
      <c r="AI411" s="2" t="s">
        <v>197</v>
      </c>
      <c r="AJ411" s="2">
        <v>60</v>
      </c>
      <c r="AK411" s="2" t="s">
        <v>543</v>
      </c>
      <c r="AL411" s="2">
        <v>18</v>
      </c>
      <c r="AM411" s="2" t="s">
        <v>82</v>
      </c>
      <c r="AN411" s="2" t="s">
        <v>82</v>
      </c>
      <c r="AO411" s="2" t="s">
        <v>82</v>
      </c>
      <c r="AP411" s="2">
        <v>11</v>
      </c>
      <c r="AQ411" s="2" t="s">
        <v>82</v>
      </c>
      <c r="AR411" s="2" t="s">
        <v>82</v>
      </c>
      <c r="AS411" s="2" t="s">
        <v>82</v>
      </c>
      <c r="AT411" s="2" t="s">
        <v>1910</v>
      </c>
      <c r="AU411" s="2"/>
      <c r="AV411" s="2"/>
      <c r="AW411" s="2"/>
      <c r="AX411" s="2"/>
      <c r="AY411" s="2">
        <v>1</v>
      </c>
      <c r="AZ411" s="2" t="s">
        <v>107</v>
      </c>
      <c r="BA411" s="2">
        <v>1</v>
      </c>
      <c r="BB411" s="2" t="s">
        <v>107</v>
      </c>
      <c r="BC411" s="2">
        <v>1</v>
      </c>
      <c r="BD411" s="2" t="s">
        <v>107</v>
      </c>
      <c r="BE411" s="2">
        <v>42</v>
      </c>
      <c r="BF411" s="2" t="s">
        <v>182</v>
      </c>
      <c r="BG411" s="2" t="s">
        <v>1255</v>
      </c>
      <c r="BH411" s="4">
        <v>0.74305555555555547</v>
      </c>
      <c r="BI411" s="4">
        <v>0.76736111111111116</v>
      </c>
      <c r="BJ411" s="2">
        <v>13</v>
      </c>
      <c r="BK411" s="2" t="s">
        <v>91</v>
      </c>
      <c r="BL411" s="2" t="s">
        <v>895</v>
      </c>
      <c r="BM411" s="2">
        <v>13</v>
      </c>
      <c r="BN411" s="2" t="s">
        <v>91</v>
      </c>
      <c r="BO411" s="2" t="s">
        <v>1911</v>
      </c>
      <c r="BP411" s="2">
        <v>13</v>
      </c>
      <c r="BQ411" s="2" t="s">
        <v>91</v>
      </c>
      <c r="BR411" s="2" t="s">
        <v>353</v>
      </c>
      <c r="BS411" s="3">
        <v>40214</v>
      </c>
      <c r="BT411" s="4">
        <v>0.44927083333333334</v>
      </c>
    </row>
    <row r="412" spans="1:72" x14ac:dyDescent="0.25">
      <c r="A412" s="2">
        <v>651</v>
      </c>
      <c r="B412" s="2">
        <v>2010</v>
      </c>
      <c r="C412" s="2" t="s">
        <v>409</v>
      </c>
      <c r="D412" s="2" t="s">
        <v>122</v>
      </c>
      <c r="E412" s="2"/>
      <c r="F412" s="2">
        <v>146</v>
      </c>
      <c r="G412" s="2" t="s">
        <v>753</v>
      </c>
      <c r="H412" s="2">
        <v>39</v>
      </c>
      <c r="I412" s="2" t="s">
        <v>1117</v>
      </c>
      <c r="J412" s="2">
        <v>161</v>
      </c>
      <c r="K412" s="2" t="s">
        <v>1900</v>
      </c>
      <c r="L412" s="2" t="s">
        <v>1901</v>
      </c>
      <c r="M412" s="3">
        <v>40214</v>
      </c>
      <c r="N412" s="2" t="s">
        <v>107</v>
      </c>
      <c r="O412" s="2" t="s">
        <v>1912</v>
      </c>
      <c r="P412" s="2" t="s">
        <v>1913</v>
      </c>
      <c r="Q412" s="2" t="str">
        <f>"S/D"</f>
        <v>S/D</v>
      </c>
      <c r="R412" s="2" t="s">
        <v>107</v>
      </c>
      <c r="S412" s="2" t="s">
        <v>107</v>
      </c>
      <c r="T412" s="2">
        <v>1</v>
      </c>
      <c r="U412" s="2" t="s">
        <v>79</v>
      </c>
      <c r="V412" s="2">
        <v>1</v>
      </c>
      <c r="W412" s="2" t="s">
        <v>80</v>
      </c>
      <c r="X412" s="2">
        <v>5</v>
      </c>
      <c r="Y412" s="2" t="s">
        <v>82</v>
      </c>
      <c r="Z412" s="2">
        <v>1</v>
      </c>
      <c r="AA412" s="2" t="s">
        <v>82</v>
      </c>
      <c r="AB412" s="2">
        <v>9</v>
      </c>
      <c r="AC412" s="2" t="s">
        <v>124</v>
      </c>
      <c r="AD412" s="2"/>
      <c r="AE412" s="2"/>
      <c r="AF412" s="2"/>
      <c r="AG412" s="2"/>
      <c r="AH412" s="2">
        <v>6</v>
      </c>
      <c r="AI412" s="2" t="s">
        <v>197</v>
      </c>
      <c r="AJ412" s="2">
        <v>54</v>
      </c>
      <c r="AK412" s="2" t="s">
        <v>348</v>
      </c>
      <c r="AL412" s="2">
        <v>18</v>
      </c>
      <c r="AM412" s="2" t="s">
        <v>82</v>
      </c>
      <c r="AN412" s="2" t="s">
        <v>107</v>
      </c>
      <c r="AO412" s="2" t="s">
        <v>1914</v>
      </c>
      <c r="AP412" s="2">
        <v>11</v>
      </c>
      <c r="AQ412" s="2" t="s">
        <v>82</v>
      </c>
      <c r="AR412" s="2" t="s">
        <v>107</v>
      </c>
      <c r="AS412" s="2" t="s">
        <v>107</v>
      </c>
      <c r="AT412" s="2" t="s">
        <v>1915</v>
      </c>
      <c r="AU412" s="2"/>
      <c r="AV412" s="2"/>
      <c r="AW412" s="2"/>
      <c r="AX412" s="2"/>
      <c r="AY412" s="2">
        <v>1</v>
      </c>
      <c r="AZ412" s="2" t="s">
        <v>107</v>
      </c>
      <c r="BA412" s="2">
        <v>1</v>
      </c>
      <c r="BB412" s="2" t="s">
        <v>107</v>
      </c>
      <c r="BC412" s="2">
        <v>1</v>
      </c>
      <c r="BD412" s="2" t="s">
        <v>107</v>
      </c>
      <c r="BE412" s="2">
        <v>1</v>
      </c>
      <c r="BF412" s="2" t="s">
        <v>107</v>
      </c>
      <c r="BG412" s="2" t="s">
        <v>107</v>
      </c>
      <c r="BH412" s="2"/>
      <c r="BI412" s="2"/>
      <c r="BJ412" s="2">
        <v>242</v>
      </c>
      <c r="BK412" s="2" t="s">
        <v>107</v>
      </c>
      <c r="BL412" s="2" t="s">
        <v>107</v>
      </c>
      <c r="BM412" s="2">
        <v>242</v>
      </c>
      <c r="BN412" s="2" t="s">
        <v>107</v>
      </c>
      <c r="BO412" s="2" t="s">
        <v>107</v>
      </c>
      <c r="BP412" s="2">
        <v>242</v>
      </c>
      <c r="BQ412" s="2" t="s">
        <v>107</v>
      </c>
      <c r="BR412" s="2" t="s">
        <v>107</v>
      </c>
      <c r="BS412" s="3">
        <v>40214</v>
      </c>
      <c r="BT412" s="4">
        <v>0.45538194444444446</v>
      </c>
    </row>
    <row r="413" spans="1:72" x14ac:dyDescent="0.25">
      <c r="A413" s="2">
        <v>653</v>
      </c>
      <c r="B413" s="2">
        <v>2010</v>
      </c>
      <c r="C413" s="2" t="s">
        <v>128</v>
      </c>
      <c r="D413" s="2" t="s">
        <v>122</v>
      </c>
      <c r="E413" s="2"/>
      <c r="F413" s="2">
        <v>1</v>
      </c>
      <c r="G413" s="2" t="s">
        <v>82</v>
      </c>
      <c r="H413" s="2">
        <v>1</v>
      </c>
      <c r="I413" s="2" t="s">
        <v>82</v>
      </c>
      <c r="J413" s="2">
        <v>1</v>
      </c>
      <c r="K413" s="2" t="s">
        <v>107</v>
      </c>
      <c r="L413" s="2" t="s">
        <v>107</v>
      </c>
      <c r="M413" s="3">
        <v>40214</v>
      </c>
      <c r="N413" s="2"/>
      <c r="O413" s="2" t="s">
        <v>107</v>
      </c>
      <c r="P413" s="2" t="s">
        <v>107</v>
      </c>
      <c r="Q413" s="2" t="str">
        <f>""</f>
        <v/>
      </c>
      <c r="R413" s="2"/>
      <c r="S413" s="2"/>
      <c r="T413" s="2">
        <v>1</v>
      </c>
      <c r="U413" s="2" t="s">
        <v>79</v>
      </c>
      <c r="V413" s="2">
        <v>1</v>
      </c>
      <c r="W413" s="2" t="s">
        <v>80</v>
      </c>
      <c r="X413" s="2">
        <v>5</v>
      </c>
      <c r="Y413" s="2" t="s">
        <v>82</v>
      </c>
      <c r="Z413" s="2">
        <v>1</v>
      </c>
      <c r="AA413" s="2" t="s">
        <v>82</v>
      </c>
      <c r="AB413" s="2">
        <v>9</v>
      </c>
      <c r="AC413" s="2" t="s">
        <v>124</v>
      </c>
      <c r="AD413" s="3">
        <v>40214</v>
      </c>
      <c r="AE413" s="4">
        <v>0.47222222222222227</v>
      </c>
      <c r="AF413" s="3">
        <v>40214</v>
      </c>
      <c r="AG413" s="4">
        <v>0.47916666666666669</v>
      </c>
      <c r="AH413" s="2">
        <v>3</v>
      </c>
      <c r="AI413" s="2" t="s">
        <v>214</v>
      </c>
      <c r="AJ413" s="2">
        <v>20</v>
      </c>
      <c r="AK413" s="2" t="s">
        <v>1897</v>
      </c>
      <c r="AL413" s="2">
        <v>18</v>
      </c>
      <c r="AM413" s="2" t="s">
        <v>82</v>
      </c>
      <c r="AN413" s="2"/>
      <c r="AO413" s="2" t="s">
        <v>1898</v>
      </c>
      <c r="AP413" s="2">
        <v>11</v>
      </c>
      <c r="AQ413" s="2" t="s">
        <v>82</v>
      </c>
      <c r="AR413" s="2" t="s">
        <v>82</v>
      </c>
      <c r="AS413" s="2" t="s">
        <v>82</v>
      </c>
      <c r="AT413" s="2" t="s">
        <v>1916</v>
      </c>
      <c r="AU413" s="2"/>
      <c r="AV413" s="2"/>
      <c r="AW413" s="2"/>
      <c r="AX413" s="2"/>
      <c r="AY413" s="2">
        <v>1</v>
      </c>
      <c r="AZ413" s="2" t="s">
        <v>107</v>
      </c>
      <c r="BA413" s="2">
        <v>1</v>
      </c>
      <c r="BB413" s="2" t="s">
        <v>107</v>
      </c>
      <c r="BC413" s="2">
        <v>1</v>
      </c>
      <c r="BD413" s="2" t="s">
        <v>107</v>
      </c>
      <c r="BE413" s="2">
        <v>1</v>
      </c>
      <c r="BF413" s="2" t="s">
        <v>107</v>
      </c>
      <c r="BG413" s="2" t="s">
        <v>82</v>
      </c>
      <c r="BH413" s="2"/>
      <c r="BI413" s="2"/>
      <c r="BJ413" s="2">
        <v>242</v>
      </c>
      <c r="BK413" s="2" t="s">
        <v>107</v>
      </c>
      <c r="BL413" s="2" t="s">
        <v>82</v>
      </c>
      <c r="BM413" s="2">
        <v>242</v>
      </c>
      <c r="BN413" s="2" t="s">
        <v>107</v>
      </c>
      <c r="BO413" s="2" t="s">
        <v>82</v>
      </c>
      <c r="BP413" s="2">
        <v>242</v>
      </c>
      <c r="BQ413" s="2" t="s">
        <v>107</v>
      </c>
      <c r="BR413" s="2" t="s">
        <v>82</v>
      </c>
      <c r="BS413" s="3">
        <v>40214</v>
      </c>
      <c r="BT413" s="4">
        <v>0.48143518518518519</v>
      </c>
    </row>
    <row r="414" spans="1:72" x14ac:dyDescent="0.25">
      <c r="A414" s="2">
        <v>654</v>
      </c>
      <c r="B414" s="2">
        <v>2010</v>
      </c>
      <c r="C414" s="2" t="s">
        <v>1094</v>
      </c>
      <c r="D414" s="2" t="s">
        <v>73</v>
      </c>
      <c r="E414" s="2"/>
      <c r="F414" s="2">
        <v>425</v>
      </c>
      <c r="G414" s="2" t="s">
        <v>286</v>
      </c>
      <c r="H414" s="2">
        <v>39</v>
      </c>
      <c r="I414" s="2" t="s">
        <v>1117</v>
      </c>
      <c r="J414" s="2">
        <v>310</v>
      </c>
      <c r="K414" s="2" t="s">
        <v>288</v>
      </c>
      <c r="L414" s="2" t="s">
        <v>289</v>
      </c>
      <c r="M414" s="3">
        <v>40214</v>
      </c>
      <c r="N414" s="2" t="s">
        <v>1917</v>
      </c>
      <c r="O414" s="2" t="s">
        <v>1918</v>
      </c>
      <c r="P414" s="2" t="s">
        <v>1919</v>
      </c>
      <c r="Q414" s="2" t="str">
        <f>"04/09"</f>
        <v>04/09</v>
      </c>
      <c r="R414" s="2" t="s">
        <v>480</v>
      </c>
      <c r="S414" s="2" t="s">
        <v>480</v>
      </c>
      <c r="T414" s="2">
        <v>1</v>
      </c>
      <c r="U414" s="2" t="s">
        <v>79</v>
      </c>
      <c r="V414" s="2">
        <v>3</v>
      </c>
      <c r="W414" s="2" t="s">
        <v>225</v>
      </c>
      <c r="X414" s="2">
        <v>11</v>
      </c>
      <c r="Y414" s="2" t="s">
        <v>1920</v>
      </c>
      <c r="Z414" s="2">
        <v>1</v>
      </c>
      <c r="AA414" s="2" t="s">
        <v>82</v>
      </c>
      <c r="AB414" s="2">
        <v>9</v>
      </c>
      <c r="AC414" s="2" t="s">
        <v>124</v>
      </c>
      <c r="AD414" s="2"/>
      <c r="AE414" s="2"/>
      <c r="AF414" s="2"/>
      <c r="AG414" s="2"/>
      <c r="AH414" s="2">
        <v>4</v>
      </c>
      <c r="AI414" s="2" t="s">
        <v>125</v>
      </c>
      <c r="AJ414" s="2">
        <v>26</v>
      </c>
      <c r="AK414" s="2" t="s">
        <v>293</v>
      </c>
      <c r="AL414" s="2">
        <v>23</v>
      </c>
      <c r="AM414" s="2" t="s">
        <v>251</v>
      </c>
      <c r="AN414" s="2" t="s">
        <v>1921</v>
      </c>
      <c r="AO414" s="2" t="s">
        <v>1922</v>
      </c>
      <c r="AP414" s="2">
        <v>11</v>
      </c>
      <c r="AQ414" s="2" t="s">
        <v>82</v>
      </c>
      <c r="AR414" s="2"/>
      <c r="AS414" s="2"/>
      <c r="AT414" s="2" t="s">
        <v>1923</v>
      </c>
      <c r="AU414" s="2"/>
      <c r="AV414" s="2"/>
      <c r="AW414" s="2"/>
      <c r="AX414" s="2"/>
      <c r="AY414" s="2">
        <v>1</v>
      </c>
      <c r="AZ414" s="2" t="s">
        <v>107</v>
      </c>
      <c r="BA414" s="2">
        <v>1</v>
      </c>
      <c r="BB414" s="2" t="s">
        <v>107</v>
      </c>
      <c r="BC414" s="2">
        <v>1</v>
      </c>
      <c r="BD414" s="2" t="s">
        <v>107</v>
      </c>
      <c r="BE414" s="2">
        <v>1</v>
      </c>
      <c r="BF414" s="2" t="s">
        <v>107</v>
      </c>
      <c r="BG414" s="2"/>
      <c r="BH414" s="2"/>
      <c r="BI414" s="2"/>
      <c r="BJ414" s="2">
        <v>242</v>
      </c>
      <c r="BK414" s="2" t="s">
        <v>107</v>
      </c>
      <c r="BL414" s="2"/>
      <c r="BM414" s="2">
        <v>242</v>
      </c>
      <c r="BN414" s="2" t="s">
        <v>107</v>
      </c>
      <c r="BO414" s="2"/>
      <c r="BP414" s="2">
        <v>242</v>
      </c>
      <c r="BQ414" s="2" t="s">
        <v>107</v>
      </c>
      <c r="BR414" s="2"/>
      <c r="BS414" s="3">
        <v>40214</v>
      </c>
      <c r="BT414" s="4">
        <v>0.53555555555555556</v>
      </c>
    </row>
    <row r="415" spans="1:72" x14ac:dyDescent="0.25">
      <c r="A415" s="2">
        <v>656</v>
      </c>
      <c r="B415" s="2">
        <v>2010</v>
      </c>
      <c r="C415" s="2" t="s">
        <v>377</v>
      </c>
      <c r="D415" s="2" t="s">
        <v>73</v>
      </c>
      <c r="E415" s="2"/>
      <c r="F415" s="2">
        <v>426</v>
      </c>
      <c r="G415" s="2" t="s">
        <v>378</v>
      </c>
      <c r="H415" s="2">
        <v>22</v>
      </c>
      <c r="I415" s="2" t="s">
        <v>75</v>
      </c>
      <c r="J415" s="2">
        <v>311</v>
      </c>
      <c r="K415" s="2" t="s">
        <v>379</v>
      </c>
      <c r="L415" s="2" t="s">
        <v>380</v>
      </c>
      <c r="M415" s="3">
        <v>40214</v>
      </c>
      <c r="N415" s="2" t="s">
        <v>107</v>
      </c>
      <c r="O415" s="2" t="s">
        <v>107</v>
      </c>
      <c r="P415" s="2" t="s">
        <v>107</v>
      </c>
      <c r="Q415" s="2" t="str">
        <f>"07-E/10"</f>
        <v>07-E/10</v>
      </c>
      <c r="R415" s="2" t="s">
        <v>107</v>
      </c>
      <c r="S415" s="2" t="s">
        <v>1924</v>
      </c>
      <c r="T415" s="2">
        <v>1</v>
      </c>
      <c r="U415" s="2" t="s">
        <v>79</v>
      </c>
      <c r="V415" s="2">
        <v>1</v>
      </c>
      <c r="W415" s="2" t="s">
        <v>80</v>
      </c>
      <c r="X415" s="2">
        <v>1</v>
      </c>
      <c r="Y415" s="2" t="s">
        <v>81</v>
      </c>
      <c r="Z415" s="2">
        <v>1</v>
      </c>
      <c r="AA415" s="2" t="s">
        <v>82</v>
      </c>
      <c r="AB415" s="2">
        <v>9</v>
      </c>
      <c r="AC415" s="2" t="s">
        <v>124</v>
      </c>
      <c r="AD415" s="3">
        <v>40214</v>
      </c>
      <c r="AE415" s="4">
        <v>0.4236111111111111</v>
      </c>
      <c r="AF415" s="3">
        <v>40214</v>
      </c>
      <c r="AG415" s="4">
        <v>0.46527777777777773</v>
      </c>
      <c r="AH415" s="2">
        <v>2</v>
      </c>
      <c r="AI415" s="2" t="s">
        <v>84</v>
      </c>
      <c r="AJ415" s="2">
        <v>9</v>
      </c>
      <c r="AK415" s="2" t="s">
        <v>103</v>
      </c>
      <c r="AL415" s="2">
        <v>12</v>
      </c>
      <c r="AM415" s="2" t="s">
        <v>86</v>
      </c>
      <c r="AN415" s="2" t="s">
        <v>1925</v>
      </c>
      <c r="AO415" s="2" t="s">
        <v>1926</v>
      </c>
      <c r="AP415" s="2">
        <v>11</v>
      </c>
      <c r="AQ415" s="2" t="s">
        <v>82</v>
      </c>
      <c r="AR415" s="2"/>
      <c r="AS415" s="2"/>
      <c r="AT415" s="2" t="s">
        <v>1927</v>
      </c>
      <c r="AU415" s="2"/>
      <c r="AV415" s="2"/>
      <c r="AW415" s="2"/>
      <c r="AX415" s="2"/>
      <c r="AY415" s="2">
        <v>41</v>
      </c>
      <c r="AZ415" s="2" t="s">
        <v>82</v>
      </c>
      <c r="BA415" s="2">
        <v>41</v>
      </c>
      <c r="BB415" s="2" t="s">
        <v>82</v>
      </c>
      <c r="BC415" s="2">
        <v>41</v>
      </c>
      <c r="BD415" s="2" t="s">
        <v>82</v>
      </c>
      <c r="BE415" s="2">
        <v>41</v>
      </c>
      <c r="BF415" s="2" t="s">
        <v>82</v>
      </c>
      <c r="BG415" s="2"/>
      <c r="BH415" s="2"/>
      <c r="BI415" s="2"/>
      <c r="BJ415" s="2">
        <v>241</v>
      </c>
      <c r="BK415" s="2" t="s">
        <v>82</v>
      </c>
      <c r="BL415" s="2"/>
      <c r="BM415" s="2">
        <v>241</v>
      </c>
      <c r="BN415" s="2" t="s">
        <v>82</v>
      </c>
      <c r="BO415" s="2"/>
      <c r="BP415" s="2">
        <v>241</v>
      </c>
      <c r="BQ415" s="2" t="s">
        <v>82</v>
      </c>
      <c r="BR415" s="2"/>
      <c r="BS415" s="3">
        <v>40214</v>
      </c>
      <c r="BT415" s="4">
        <v>0.56300925925925926</v>
      </c>
    </row>
    <row r="416" spans="1:72" x14ac:dyDescent="0.25">
      <c r="A416" s="2">
        <v>658</v>
      </c>
      <c r="B416" s="2">
        <v>2010</v>
      </c>
      <c r="C416" s="2" t="s">
        <v>1172</v>
      </c>
      <c r="D416" s="2" t="s">
        <v>73</v>
      </c>
      <c r="E416" s="2"/>
      <c r="F416" s="2">
        <v>125</v>
      </c>
      <c r="G416" s="2" t="s">
        <v>1483</v>
      </c>
      <c r="H416" s="2">
        <v>47</v>
      </c>
      <c r="I416" s="2" t="s">
        <v>1409</v>
      </c>
      <c r="J416" s="2">
        <v>390</v>
      </c>
      <c r="K416" s="2" t="s">
        <v>1560</v>
      </c>
      <c r="L416" s="2" t="s">
        <v>1561</v>
      </c>
      <c r="M416" s="3">
        <v>40214</v>
      </c>
      <c r="N416" s="2" t="s">
        <v>1928</v>
      </c>
      <c r="O416" s="2" t="s">
        <v>1929</v>
      </c>
      <c r="P416" s="2">
        <v>2106</v>
      </c>
      <c r="Q416" s="2" t="str">
        <f>"N/C"</f>
        <v>N/C</v>
      </c>
      <c r="R416" s="2" t="s">
        <v>82</v>
      </c>
      <c r="S416" s="2" t="s">
        <v>82</v>
      </c>
      <c r="T416" s="2">
        <v>1</v>
      </c>
      <c r="U416" s="2" t="s">
        <v>79</v>
      </c>
      <c r="V416" s="2">
        <v>1</v>
      </c>
      <c r="W416" s="2" t="s">
        <v>80</v>
      </c>
      <c r="X416" s="2">
        <v>5</v>
      </c>
      <c r="Y416" s="2" t="s">
        <v>82</v>
      </c>
      <c r="Z416" s="2">
        <v>10</v>
      </c>
      <c r="AA416" s="2" t="s">
        <v>236</v>
      </c>
      <c r="AB416" s="2">
        <v>9</v>
      </c>
      <c r="AC416" s="2" t="s">
        <v>124</v>
      </c>
      <c r="AD416" s="3">
        <v>40214</v>
      </c>
      <c r="AE416" s="4">
        <v>0.47222222222222227</v>
      </c>
      <c r="AF416" s="2"/>
      <c r="AG416" s="2"/>
      <c r="AH416" s="2">
        <v>6</v>
      </c>
      <c r="AI416" s="2" t="s">
        <v>197</v>
      </c>
      <c r="AJ416" s="2">
        <v>61</v>
      </c>
      <c r="AK416" s="2" t="s">
        <v>686</v>
      </c>
      <c r="AL416" s="2">
        <v>2</v>
      </c>
      <c r="AM416" s="2" t="s">
        <v>163</v>
      </c>
      <c r="AN416" s="2" t="s">
        <v>1930</v>
      </c>
      <c r="AO416" s="2" t="s">
        <v>628</v>
      </c>
      <c r="AP416" s="2">
        <v>11</v>
      </c>
      <c r="AQ416" s="2" t="s">
        <v>82</v>
      </c>
      <c r="AR416" s="2"/>
      <c r="AS416" s="2"/>
      <c r="AT416" s="2" t="s">
        <v>1931</v>
      </c>
      <c r="AU416" s="2"/>
      <c r="AV416" s="2"/>
      <c r="AW416" s="2"/>
      <c r="AX416" s="2"/>
      <c r="AY416" s="2">
        <v>1</v>
      </c>
      <c r="AZ416" s="2" t="s">
        <v>107</v>
      </c>
      <c r="BA416" s="2">
        <v>1</v>
      </c>
      <c r="BB416" s="2" t="s">
        <v>107</v>
      </c>
      <c r="BC416" s="2">
        <v>1</v>
      </c>
      <c r="BD416" s="2" t="s">
        <v>107</v>
      </c>
      <c r="BE416" s="2">
        <v>41</v>
      </c>
      <c r="BF416" s="2" t="s">
        <v>82</v>
      </c>
      <c r="BG416" s="2" t="s">
        <v>1932</v>
      </c>
      <c r="BH416" s="2"/>
      <c r="BI416" s="4">
        <v>0.45833333333333331</v>
      </c>
      <c r="BJ416" s="2">
        <v>13</v>
      </c>
      <c r="BK416" s="2" t="s">
        <v>91</v>
      </c>
      <c r="BL416" s="2" t="s">
        <v>690</v>
      </c>
      <c r="BM416" s="2">
        <v>241</v>
      </c>
      <c r="BN416" s="2" t="s">
        <v>82</v>
      </c>
      <c r="BO416" s="2" t="s">
        <v>82</v>
      </c>
      <c r="BP416" s="2">
        <v>13</v>
      </c>
      <c r="BQ416" s="2" t="s">
        <v>91</v>
      </c>
      <c r="BR416" s="2"/>
      <c r="BS416" s="3">
        <v>40214</v>
      </c>
      <c r="BT416" s="4">
        <v>0.68905092592592598</v>
      </c>
    </row>
    <row r="417" spans="1:72" x14ac:dyDescent="0.25">
      <c r="A417" s="2">
        <v>659</v>
      </c>
      <c r="B417" s="2">
        <v>2010</v>
      </c>
      <c r="C417" s="2" t="s">
        <v>659</v>
      </c>
      <c r="D417" s="2" t="s">
        <v>73</v>
      </c>
      <c r="E417" s="2"/>
      <c r="F417" s="2">
        <v>3</v>
      </c>
      <c r="G417" s="2" t="s">
        <v>1041</v>
      </c>
      <c r="H417" s="2">
        <v>22</v>
      </c>
      <c r="I417" s="2" t="s">
        <v>75</v>
      </c>
      <c r="J417" s="2">
        <v>368</v>
      </c>
      <c r="K417" s="2" t="s">
        <v>1042</v>
      </c>
      <c r="L417" s="2" t="s">
        <v>1043</v>
      </c>
      <c r="M417" s="3">
        <v>40214</v>
      </c>
      <c r="N417" s="2" t="s">
        <v>82</v>
      </c>
      <c r="O417" s="2" t="s">
        <v>107</v>
      </c>
      <c r="P417" s="2" t="s">
        <v>107</v>
      </c>
      <c r="Q417" s="2" t="str">
        <f>"073-E/10"</f>
        <v>073-E/10</v>
      </c>
      <c r="R417" s="2" t="s">
        <v>107</v>
      </c>
      <c r="S417" s="2" t="s">
        <v>480</v>
      </c>
      <c r="T417" s="2">
        <v>1</v>
      </c>
      <c r="U417" s="2" t="s">
        <v>79</v>
      </c>
      <c r="V417" s="2">
        <v>1</v>
      </c>
      <c r="W417" s="2" t="s">
        <v>80</v>
      </c>
      <c r="X417" s="2">
        <v>5</v>
      </c>
      <c r="Y417" s="2" t="s">
        <v>82</v>
      </c>
      <c r="Z417" s="2">
        <v>10</v>
      </c>
      <c r="AA417" s="2" t="s">
        <v>236</v>
      </c>
      <c r="AB417" s="2">
        <v>9</v>
      </c>
      <c r="AC417" s="2" t="s">
        <v>124</v>
      </c>
      <c r="AD417" s="3">
        <v>40214</v>
      </c>
      <c r="AE417" s="4">
        <v>0.45833333333333331</v>
      </c>
      <c r="AF417" s="2"/>
      <c r="AG417" s="2"/>
      <c r="AH417" s="2">
        <v>2</v>
      </c>
      <c r="AI417" s="2" t="s">
        <v>84</v>
      </c>
      <c r="AJ417" s="2">
        <v>9</v>
      </c>
      <c r="AK417" s="2" t="s">
        <v>103</v>
      </c>
      <c r="AL417" s="2">
        <v>9</v>
      </c>
      <c r="AM417" s="2" t="s">
        <v>259</v>
      </c>
      <c r="AN417" s="2" t="s">
        <v>1933</v>
      </c>
      <c r="AO417" s="2" t="s">
        <v>1934</v>
      </c>
      <c r="AP417" s="2">
        <v>11</v>
      </c>
      <c r="AQ417" s="2" t="s">
        <v>82</v>
      </c>
      <c r="AR417" s="2"/>
      <c r="AS417" s="2"/>
      <c r="AT417" s="2" t="s">
        <v>1935</v>
      </c>
      <c r="AU417" s="2"/>
      <c r="AV417" s="2"/>
      <c r="AW417" s="2"/>
      <c r="AX417" s="2"/>
      <c r="AY417" s="2">
        <v>41</v>
      </c>
      <c r="AZ417" s="2" t="s">
        <v>82</v>
      </c>
      <c r="BA417" s="2">
        <v>41</v>
      </c>
      <c r="BB417" s="2" t="s">
        <v>82</v>
      </c>
      <c r="BC417" s="2">
        <v>41</v>
      </c>
      <c r="BD417" s="2" t="s">
        <v>82</v>
      </c>
      <c r="BE417" s="2">
        <v>41</v>
      </c>
      <c r="BF417" s="2" t="s">
        <v>82</v>
      </c>
      <c r="BG417" s="2"/>
      <c r="BH417" s="2"/>
      <c r="BI417" s="2"/>
      <c r="BJ417" s="2">
        <v>241</v>
      </c>
      <c r="BK417" s="2" t="s">
        <v>82</v>
      </c>
      <c r="BL417" s="2"/>
      <c r="BM417" s="2">
        <v>241</v>
      </c>
      <c r="BN417" s="2" t="s">
        <v>82</v>
      </c>
      <c r="BO417" s="2"/>
      <c r="BP417" s="2">
        <v>241</v>
      </c>
      <c r="BQ417" s="2" t="s">
        <v>82</v>
      </c>
      <c r="BR417" s="2"/>
      <c r="BS417" s="3">
        <v>40214</v>
      </c>
      <c r="BT417" s="4">
        <v>0.69792824074074078</v>
      </c>
    </row>
    <row r="418" spans="1:72" x14ac:dyDescent="0.25">
      <c r="A418" s="2">
        <v>661</v>
      </c>
      <c r="B418" s="2">
        <v>2010</v>
      </c>
      <c r="C418" s="2" t="s">
        <v>377</v>
      </c>
      <c r="D418" s="2" t="s">
        <v>73</v>
      </c>
      <c r="E418" s="2"/>
      <c r="F418" s="2">
        <v>426</v>
      </c>
      <c r="G418" s="2" t="s">
        <v>378</v>
      </c>
      <c r="H418" s="2">
        <v>1</v>
      </c>
      <c r="I418" s="2" t="s">
        <v>82</v>
      </c>
      <c r="J418" s="2">
        <v>311</v>
      </c>
      <c r="K418" s="2" t="s">
        <v>379</v>
      </c>
      <c r="L418" s="2" t="s">
        <v>380</v>
      </c>
      <c r="M418" s="3">
        <v>40214</v>
      </c>
      <c r="N418" s="2"/>
      <c r="O418" s="2"/>
      <c r="P418" s="2"/>
      <c r="Q418" s="2" t="str">
        <f>"008-E/10"</f>
        <v>008-E/10</v>
      </c>
      <c r="R418" s="2"/>
      <c r="S418" s="2" t="s">
        <v>1924</v>
      </c>
      <c r="T418" s="2">
        <v>1</v>
      </c>
      <c r="U418" s="2" t="s">
        <v>79</v>
      </c>
      <c r="V418" s="2">
        <v>1</v>
      </c>
      <c r="W418" s="2" t="s">
        <v>80</v>
      </c>
      <c r="X418" s="2">
        <v>1</v>
      </c>
      <c r="Y418" s="2" t="s">
        <v>81</v>
      </c>
      <c r="Z418" s="2">
        <v>10</v>
      </c>
      <c r="AA418" s="2" t="s">
        <v>236</v>
      </c>
      <c r="AB418" s="2">
        <v>9</v>
      </c>
      <c r="AC418" s="2" t="s">
        <v>124</v>
      </c>
      <c r="AD418" s="3">
        <v>40214</v>
      </c>
      <c r="AE418" s="4">
        <v>0.64583333333333337</v>
      </c>
      <c r="AF418" s="2"/>
      <c r="AG418" s="2"/>
      <c r="AH418" s="2">
        <v>2</v>
      </c>
      <c r="AI418" s="2" t="s">
        <v>84</v>
      </c>
      <c r="AJ418" s="2">
        <v>9</v>
      </c>
      <c r="AK418" s="2" t="s">
        <v>103</v>
      </c>
      <c r="AL418" s="2">
        <v>12</v>
      </c>
      <c r="AM418" s="2" t="s">
        <v>86</v>
      </c>
      <c r="AN418" s="2" t="s">
        <v>1936</v>
      </c>
      <c r="AO418" s="2"/>
      <c r="AP418" s="2">
        <v>11</v>
      </c>
      <c r="AQ418" s="2" t="s">
        <v>82</v>
      </c>
      <c r="AR418" s="2"/>
      <c r="AS418" s="2"/>
      <c r="AT418" s="2" t="s">
        <v>1937</v>
      </c>
      <c r="AU418" s="2"/>
      <c r="AV418" s="2"/>
      <c r="AW418" s="2"/>
      <c r="AX418" s="2"/>
      <c r="AY418" s="2">
        <v>41</v>
      </c>
      <c r="AZ418" s="2" t="s">
        <v>82</v>
      </c>
      <c r="BA418" s="2">
        <v>41</v>
      </c>
      <c r="BB418" s="2" t="s">
        <v>82</v>
      </c>
      <c r="BC418" s="2">
        <v>70</v>
      </c>
      <c r="BD418" s="2" t="s">
        <v>236</v>
      </c>
      <c r="BE418" s="2">
        <v>41</v>
      </c>
      <c r="BF418" s="2" t="s">
        <v>82</v>
      </c>
      <c r="BG418" s="2"/>
      <c r="BH418" s="2"/>
      <c r="BI418" s="2"/>
      <c r="BJ418" s="2">
        <v>241</v>
      </c>
      <c r="BK418" s="2" t="s">
        <v>82</v>
      </c>
      <c r="BL418" s="2"/>
      <c r="BM418" s="2">
        <v>241</v>
      </c>
      <c r="BN418" s="2" t="s">
        <v>82</v>
      </c>
      <c r="BO418" s="2"/>
      <c r="BP418" s="2">
        <v>241</v>
      </c>
      <c r="BQ418" s="2" t="s">
        <v>82</v>
      </c>
      <c r="BR418" s="2"/>
      <c r="BS418" s="3">
        <v>40214</v>
      </c>
      <c r="BT418" s="4">
        <v>0.77917824074074071</v>
      </c>
    </row>
    <row r="419" spans="1:72" x14ac:dyDescent="0.25">
      <c r="A419" s="2">
        <v>664</v>
      </c>
      <c r="B419" s="2">
        <v>2010</v>
      </c>
      <c r="C419" s="2" t="s">
        <v>377</v>
      </c>
      <c r="D419" s="2" t="s">
        <v>73</v>
      </c>
      <c r="E419" s="2"/>
      <c r="F419" s="2">
        <v>426</v>
      </c>
      <c r="G419" s="2" t="s">
        <v>378</v>
      </c>
      <c r="H419" s="2">
        <v>1</v>
      </c>
      <c r="I419" s="2" t="s">
        <v>82</v>
      </c>
      <c r="J419" s="2">
        <v>311</v>
      </c>
      <c r="K419" s="2" t="s">
        <v>379</v>
      </c>
      <c r="L419" s="2" t="s">
        <v>380</v>
      </c>
      <c r="M419" s="3">
        <v>40214</v>
      </c>
      <c r="N419" s="2" t="s">
        <v>107</v>
      </c>
      <c r="O419" s="2" t="s">
        <v>107</v>
      </c>
      <c r="P419" s="2" t="s">
        <v>107</v>
      </c>
      <c r="Q419" s="2" t="str">
        <f>"009-E/10"</f>
        <v>009-E/10</v>
      </c>
      <c r="R419" s="2" t="s">
        <v>107</v>
      </c>
      <c r="S419" s="2" t="s">
        <v>1842</v>
      </c>
      <c r="T419" s="2">
        <v>1</v>
      </c>
      <c r="U419" s="2" t="s">
        <v>79</v>
      </c>
      <c r="V419" s="2">
        <v>1</v>
      </c>
      <c r="W419" s="2" t="s">
        <v>80</v>
      </c>
      <c r="X419" s="2">
        <v>1</v>
      </c>
      <c r="Y419" s="2" t="s">
        <v>81</v>
      </c>
      <c r="Z419" s="2">
        <v>10</v>
      </c>
      <c r="AA419" s="2" t="s">
        <v>236</v>
      </c>
      <c r="AB419" s="2">
        <v>9</v>
      </c>
      <c r="AC419" s="2" t="s">
        <v>124</v>
      </c>
      <c r="AD419" s="3">
        <v>40214</v>
      </c>
      <c r="AE419" s="4">
        <v>0.64583333333333337</v>
      </c>
      <c r="AF419" s="3">
        <v>40214</v>
      </c>
      <c r="AG419" s="4">
        <v>0.75</v>
      </c>
      <c r="AH419" s="2">
        <v>2</v>
      </c>
      <c r="AI419" s="2" t="s">
        <v>84</v>
      </c>
      <c r="AJ419" s="2">
        <v>9</v>
      </c>
      <c r="AK419" s="2" t="s">
        <v>103</v>
      </c>
      <c r="AL419" s="2">
        <v>12</v>
      </c>
      <c r="AM419" s="2" t="s">
        <v>86</v>
      </c>
      <c r="AN419" s="2" t="s">
        <v>1936</v>
      </c>
      <c r="AO419" s="2" t="s">
        <v>82</v>
      </c>
      <c r="AP419" s="2">
        <v>11</v>
      </c>
      <c r="AQ419" s="2" t="s">
        <v>82</v>
      </c>
      <c r="AR419" s="2"/>
      <c r="AS419" s="2"/>
      <c r="AT419" s="2" t="s">
        <v>1937</v>
      </c>
      <c r="AU419" s="2"/>
      <c r="AV419" s="2"/>
      <c r="AW419" s="2"/>
      <c r="AX419" s="2"/>
      <c r="AY419" s="2">
        <v>41</v>
      </c>
      <c r="AZ419" s="2" t="s">
        <v>82</v>
      </c>
      <c r="BA419" s="2">
        <v>41</v>
      </c>
      <c r="BB419" s="2" t="s">
        <v>82</v>
      </c>
      <c r="BC419" s="2">
        <v>41</v>
      </c>
      <c r="BD419" s="2" t="s">
        <v>82</v>
      </c>
      <c r="BE419" s="2">
        <v>41</v>
      </c>
      <c r="BF419" s="2" t="s">
        <v>82</v>
      </c>
      <c r="BG419" s="2"/>
      <c r="BH419" s="2"/>
      <c r="BI419" s="2"/>
      <c r="BJ419" s="2">
        <v>241</v>
      </c>
      <c r="BK419" s="2" t="s">
        <v>82</v>
      </c>
      <c r="BL419" s="2"/>
      <c r="BM419" s="2">
        <v>241</v>
      </c>
      <c r="BN419" s="2" t="s">
        <v>82</v>
      </c>
      <c r="BO419" s="2"/>
      <c r="BP419" s="2">
        <v>241</v>
      </c>
      <c r="BQ419" s="2" t="s">
        <v>82</v>
      </c>
      <c r="BR419" s="2"/>
      <c r="BS419" s="3">
        <v>40214</v>
      </c>
      <c r="BT419" s="4">
        <v>0.82660879629629624</v>
      </c>
    </row>
    <row r="420" spans="1:72" x14ac:dyDescent="0.25">
      <c r="A420" s="2">
        <v>665</v>
      </c>
      <c r="B420" s="2">
        <v>2010</v>
      </c>
      <c r="C420" s="2" t="s">
        <v>171</v>
      </c>
      <c r="D420" s="2" t="s">
        <v>73</v>
      </c>
      <c r="E420" s="2"/>
      <c r="F420" s="2">
        <v>231</v>
      </c>
      <c r="G420" s="2" t="s">
        <v>450</v>
      </c>
      <c r="H420" s="2">
        <v>12</v>
      </c>
      <c r="I420" s="2" t="s">
        <v>95</v>
      </c>
      <c r="J420" s="2">
        <v>245</v>
      </c>
      <c r="K420" s="2" t="s">
        <v>96</v>
      </c>
      <c r="L420" s="2" t="s">
        <v>97</v>
      </c>
      <c r="M420" s="3">
        <v>40214</v>
      </c>
      <c r="N420" s="2" t="s">
        <v>1938</v>
      </c>
      <c r="O420" s="2" t="s">
        <v>447</v>
      </c>
      <c r="P420" s="2">
        <v>11876</v>
      </c>
      <c r="Q420" s="2" t="str">
        <f>"546E/09"</f>
        <v>546E/09</v>
      </c>
      <c r="R420" s="2"/>
      <c r="S420" s="2" t="s">
        <v>1939</v>
      </c>
      <c r="T420" s="2">
        <v>1</v>
      </c>
      <c r="U420" s="2" t="s">
        <v>79</v>
      </c>
      <c r="V420" s="2">
        <v>1</v>
      </c>
      <c r="W420" s="2" t="s">
        <v>80</v>
      </c>
      <c r="X420" s="2">
        <v>2</v>
      </c>
      <c r="Y420" s="2" t="s">
        <v>136</v>
      </c>
      <c r="Z420" s="2">
        <v>10</v>
      </c>
      <c r="AA420" s="2" t="s">
        <v>236</v>
      </c>
      <c r="AB420" s="2">
        <v>1</v>
      </c>
      <c r="AC420" s="2" t="s">
        <v>178</v>
      </c>
      <c r="AD420" s="3">
        <v>40214</v>
      </c>
      <c r="AE420" s="4">
        <v>0.66666666666666663</v>
      </c>
      <c r="AF420" s="2"/>
      <c r="AG420" s="2"/>
      <c r="AH420" s="2">
        <v>2</v>
      </c>
      <c r="AI420" s="2" t="s">
        <v>84</v>
      </c>
      <c r="AJ420" s="2">
        <v>6</v>
      </c>
      <c r="AK420" s="2" t="s">
        <v>453</v>
      </c>
      <c r="AL420" s="2">
        <v>13</v>
      </c>
      <c r="AM420" s="2" t="s">
        <v>117</v>
      </c>
      <c r="AN420" s="2" t="s">
        <v>1940</v>
      </c>
      <c r="AO420" s="2" t="s">
        <v>1941</v>
      </c>
      <c r="AP420" s="2">
        <v>11</v>
      </c>
      <c r="AQ420" s="2" t="s">
        <v>82</v>
      </c>
      <c r="AR420" s="2"/>
      <c r="AS420" s="2"/>
      <c r="AT420" s="2" t="s">
        <v>1942</v>
      </c>
      <c r="AU420" s="2"/>
      <c r="AV420" s="2"/>
      <c r="AW420" s="2"/>
      <c r="AX420" s="2"/>
      <c r="AY420" s="2">
        <v>42</v>
      </c>
      <c r="AZ420" s="2" t="s">
        <v>182</v>
      </c>
      <c r="BA420" s="2">
        <v>41</v>
      </c>
      <c r="BB420" s="2" t="s">
        <v>82</v>
      </c>
      <c r="BC420" s="2">
        <v>70</v>
      </c>
      <c r="BD420" s="2" t="s">
        <v>236</v>
      </c>
      <c r="BE420" s="2">
        <v>41</v>
      </c>
      <c r="BF420" s="2" t="s">
        <v>82</v>
      </c>
      <c r="BG420" s="2"/>
      <c r="BH420" s="2"/>
      <c r="BI420" s="2"/>
      <c r="BJ420" s="2">
        <v>241</v>
      </c>
      <c r="BK420" s="2" t="s">
        <v>82</v>
      </c>
      <c r="BL420" s="2"/>
      <c r="BM420" s="2">
        <v>241</v>
      </c>
      <c r="BN420" s="2" t="s">
        <v>82</v>
      </c>
      <c r="BO420" s="2"/>
      <c r="BP420" s="2">
        <v>241</v>
      </c>
      <c r="BQ420" s="2" t="s">
        <v>82</v>
      </c>
      <c r="BR420" s="2"/>
      <c r="BS420" s="3">
        <v>40214</v>
      </c>
      <c r="BT420" s="4">
        <v>0.8685532407407407</v>
      </c>
    </row>
    <row r="421" spans="1:72" x14ac:dyDescent="0.25">
      <c r="A421" s="2">
        <v>666</v>
      </c>
      <c r="B421" s="2">
        <v>2010</v>
      </c>
      <c r="C421" s="2" t="s">
        <v>819</v>
      </c>
      <c r="D421" s="2" t="s">
        <v>122</v>
      </c>
      <c r="E421" s="2"/>
      <c r="F421" s="2">
        <v>425</v>
      </c>
      <c r="G421" s="2" t="s">
        <v>286</v>
      </c>
      <c r="H421" s="2">
        <v>39</v>
      </c>
      <c r="I421" s="2" t="s">
        <v>1117</v>
      </c>
      <c r="J421" s="2">
        <v>310</v>
      </c>
      <c r="K421" s="2" t="s">
        <v>288</v>
      </c>
      <c r="L421" s="2" t="s">
        <v>289</v>
      </c>
      <c r="M421" s="3">
        <v>40214</v>
      </c>
      <c r="N421" s="2" t="s">
        <v>1943</v>
      </c>
      <c r="O421" s="2"/>
      <c r="P421" s="2"/>
      <c r="Q421" s="2" t="str">
        <f>"009/10"</f>
        <v>009/10</v>
      </c>
      <c r="R421" s="2"/>
      <c r="S421" s="2" t="s">
        <v>822</v>
      </c>
      <c r="T421" s="2">
        <v>1</v>
      </c>
      <c r="U421" s="2" t="s">
        <v>79</v>
      </c>
      <c r="V421" s="2">
        <v>1</v>
      </c>
      <c r="W421" s="2" t="s">
        <v>80</v>
      </c>
      <c r="X421" s="2">
        <v>1</v>
      </c>
      <c r="Y421" s="2" t="s">
        <v>81</v>
      </c>
      <c r="Z421" s="2">
        <v>10</v>
      </c>
      <c r="AA421" s="2" t="s">
        <v>236</v>
      </c>
      <c r="AB421" s="2">
        <v>9</v>
      </c>
      <c r="AC421" s="2" t="s">
        <v>124</v>
      </c>
      <c r="AD421" s="3">
        <v>40214</v>
      </c>
      <c r="AE421" s="4">
        <v>0.85416666666666663</v>
      </c>
      <c r="AF421" s="2"/>
      <c r="AG421" s="2"/>
      <c r="AH421" s="2">
        <v>4</v>
      </c>
      <c r="AI421" s="2" t="s">
        <v>125</v>
      </c>
      <c r="AJ421" s="2">
        <v>29</v>
      </c>
      <c r="AK421" s="2" t="s">
        <v>227</v>
      </c>
      <c r="AL421" s="2">
        <v>10</v>
      </c>
      <c r="AM421" s="2" t="s">
        <v>200</v>
      </c>
      <c r="AN421" s="2" t="s">
        <v>823</v>
      </c>
      <c r="AO421" s="2" t="s">
        <v>200</v>
      </c>
      <c r="AP421" s="2">
        <v>12</v>
      </c>
      <c r="AQ421" s="2" t="s">
        <v>322</v>
      </c>
      <c r="AR421" s="2" t="s">
        <v>824</v>
      </c>
      <c r="AS421" s="2" t="s">
        <v>825</v>
      </c>
      <c r="AT421" s="2" t="s">
        <v>1944</v>
      </c>
      <c r="AU421" s="2"/>
      <c r="AV421" s="2"/>
      <c r="AW421" s="2"/>
      <c r="AX421" s="2"/>
      <c r="AY421" s="2">
        <v>41</v>
      </c>
      <c r="AZ421" s="2" t="s">
        <v>82</v>
      </c>
      <c r="BA421" s="2">
        <v>41</v>
      </c>
      <c r="BB421" s="2" t="s">
        <v>82</v>
      </c>
      <c r="BC421" s="2">
        <v>51</v>
      </c>
      <c r="BD421" s="2" t="s">
        <v>827</v>
      </c>
      <c r="BE421" s="2">
        <v>13</v>
      </c>
      <c r="BF421" s="2" t="s">
        <v>108</v>
      </c>
      <c r="BG421" s="2">
        <v>1459</v>
      </c>
      <c r="BH421" s="4">
        <v>0.84722222222222221</v>
      </c>
      <c r="BI421" s="4">
        <v>0.87847222222222221</v>
      </c>
      <c r="BJ421" s="2">
        <v>13</v>
      </c>
      <c r="BK421" s="2" t="s">
        <v>91</v>
      </c>
      <c r="BL421" s="2" t="s">
        <v>828</v>
      </c>
      <c r="BM421" s="2">
        <v>242</v>
      </c>
      <c r="BN421" s="2" t="s">
        <v>107</v>
      </c>
      <c r="BO421" s="2" t="s">
        <v>107</v>
      </c>
      <c r="BP421" s="2">
        <v>13</v>
      </c>
      <c r="BQ421" s="2" t="s">
        <v>91</v>
      </c>
      <c r="BR421" s="2" t="s">
        <v>185</v>
      </c>
      <c r="BS421" s="3">
        <v>40214</v>
      </c>
      <c r="BT421" s="4">
        <v>0.89923611111111112</v>
      </c>
    </row>
    <row r="422" spans="1:72" x14ac:dyDescent="0.25">
      <c r="A422" s="2">
        <v>668</v>
      </c>
      <c r="B422" s="2">
        <v>2010</v>
      </c>
      <c r="C422" s="2" t="s">
        <v>594</v>
      </c>
      <c r="D422" s="2" t="s">
        <v>122</v>
      </c>
      <c r="E422" s="2"/>
      <c r="F422" s="2">
        <v>1</v>
      </c>
      <c r="G422" s="2" t="s">
        <v>82</v>
      </c>
      <c r="H422" s="2">
        <v>1</v>
      </c>
      <c r="I422" s="2" t="s">
        <v>82</v>
      </c>
      <c r="J422" s="2">
        <v>1</v>
      </c>
      <c r="K422" s="2" t="s">
        <v>107</v>
      </c>
      <c r="L422" s="2" t="s">
        <v>107</v>
      </c>
      <c r="M422" s="3">
        <v>40214</v>
      </c>
      <c r="N422" s="2" t="s">
        <v>82</v>
      </c>
      <c r="O422" s="2" t="s">
        <v>82</v>
      </c>
      <c r="P422" s="2" t="s">
        <v>82</v>
      </c>
      <c r="Q422" s="2" t="str">
        <f>"N/C"</f>
        <v>N/C</v>
      </c>
      <c r="R422" s="2" t="s">
        <v>82</v>
      </c>
      <c r="S422" s="2" t="s">
        <v>82</v>
      </c>
      <c r="T422" s="2">
        <v>1</v>
      </c>
      <c r="U422" s="2" t="s">
        <v>79</v>
      </c>
      <c r="V422" s="2">
        <v>1</v>
      </c>
      <c r="W422" s="2" t="s">
        <v>80</v>
      </c>
      <c r="X422" s="2">
        <v>1</v>
      </c>
      <c r="Y422" s="2" t="s">
        <v>81</v>
      </c>
      <c r="Z422" s="2">
        <v>1</v>
      </c>
      <c r="AA422" s="2" t="s">
        <v>82</v>
      </c>
      <c r="AB422" s="2">
        <v>9</v>
      </c>
      <c r="AC422" s="2" t="s">
        <v>124</v>
      </c>
      <c r="AD422" s="3">
        <v>40214</v>
      </c>
      <c r="AE422" s="4">
        <v>0.875</v>
      </c>
      <c r="AF422" s="2"/>
      <c r="AG422" s="2"/>
      <c r="AH422" s="2">
        <v>2</v>
      </c>
      <c r="AI422" s="2" t="s">
        <v>84</v>
      </c>
      <c r="AJ422" s="2">
        <v>12</v>
      </c>
      <c r="AK422" s="2" t="s">
        <v>85</v>
      </c>
      <c r="AL422" s="2">
        <v>12</v>
      </c>
      <c r="AM422" s="2" t="s">
        <v>86</v>
      </c>
      <c r="AN422" s="2" t="s">
        <v>1945</v>
      </c>
      <c r="AO422" s="2"/>
      <c r="AP422" s="2">
        <v>11</v>
      </c>
      <c r="AQ422" s="2" t="s">
        <v>82</v>
      </c>
      <c r="AR422" s="2" t="s">
        <v>82</v>
      </c>
      <c r="AS422" s="2" t="s">
        <v>82</v>
      </c>
      <c r="AT422" s="2" t="s">
        <v>1946</v>
      </c>
      <c r="AU422" s="2"/>
      <c r="AV422" s="2"/>
      <c r="AW422" s="2"/>
      <c r="AX422" s="2"/>
      <c r="AY422" s="2">
        <v>41</v>
      </c>
      <c r="AZ422" s="2" t="s">
        <v>82</v>
      </c>
      <c r="BA422" s="2">
        <v>41</v>
      </c>
      <c r="BB422" s="2" t="s">
        <v>82</v>
      </c>
      <c r="BC422" s="2">
        <v>41</v>
      </c>
      <c r="BD422" s="2" t="s">
        <v>82</v>
      </c>
      <c r="BE422" s="2">
        <v>41</v>
      </c>
      <c r="BF422" s="2" t="s">
        <v>82</v>
      </c>
      <c r="BG422" s="2"/>
      <c r="BH422" s="2"/>
      <c r="BI422" s="2"/>
      <c r="BJ422" s="2">
        <v>241</v>
      </c>
      <c r="BK422" s="2" t="s">
        <v>82</v>
      </c>
      <c r="BL422" s="2" t="s">
        <v>82</v>
      </c>
      <c r="BM422" s="2">
        <v>241</v>
      </c>
      <c r="BN422" s="2" t="s">
        <v>82</v>
      </c>
      <c r="BO422" s="2" t="s">
        <v>82</v>
      </c>
      <c r="BP422" s="2">
        <v>241</v>
      </c>
      <c r="BQ422" s="2" t="s">
        <v>82</v>
      </c>
      <c r="BR422" s="2" t="s">
        <v>82</v>
      </c>
      <c r="BS422" s="3">
        <v>40214</v>
      </c>
      <c r="BT422" s="4">
        <v>0.93079861111111117</v>
      </c>
    </row>
    <row r="423" spans="1:72" x14ac:dyDescent="0.25">
      <c r="A423" s="2">
        <v>669</v>
      </c>
      <c r="B423" s="2">
        <v>2010</v>
      </c>
      <c r="C423" s="2" t="s">
        <v>72</v>
      </c>
      <c r="D423" s="2" t="s">
        <v>73</v>
      </c>
      <c r="E423" s="2"/>
      <c r="F423" s="2">
        <v>3</v>
      </c>
      <c r="G423" s="2" t="s">
        <v>1041</v>
      </c>
      <c r="H423" s="2">
        <v>1</v>
      </c>
      <c r="I423" s="2" t="s">
        <v>82</v>
      </c>
      <c r="J423" s="2">
        <v>368</v>
      </c>
      <c r="K423" s="2" t="s">
        <v>1042</v>
      </c>
      <c r="L423" s="2" t="s">
        <v>1043</v>
      </c>
      <c r="M423" s="3">
        <v>40214</v>
      </c>
      <c r="N423" s="2"/>
      <c r="O423" s="2"/>
      <c r="P423" s="2"/>
      <c r="Q423" s="2" t="str">
        <f>"074-E/10"</f>
        <v>074-E/10</v>
      </c>
      <c r="R423" s="2"/>
      <c r="S423" s="2" t="s">
        <v>116</v>
      </c>
      <c r="T423" s="2">
        <v>1</v>
      </c>
      <c r="U423" s="2" t="s">
        <v>79</v>
      </c>
      <c r="V423" s="2">
        <v>1</v>
      </c>
      <c r="W423" s="2" t="s">
        <v>80</v>
      </c>
      <c r="X423" s="2">
        <v>1</v>
      </c>
      <c r="Y423" s="2" t="s">
        <v>81</v>
      </c>
      <c r="Z423" s="2">
        <v>10</v>
      </c>
      <c r="AA423" s="2" t="s">
        <v>236</v>
      </c>
      <c r="AB423" s="2">
        <v>6</v>
      </c>
      <c r="AC423" s="2" t="s">
        <v>83</v>
      </c>
      <c r="AD423" s="3">
        <v>40214</v>
      </c>
      <c r="AE423" s="4">
        <v>0.79166666666666663</v>
      </c>
      <c r="AF423" s="3">
        <v>40214</v>
      </c>
      <c r="AG423" s="4">
        <v>0.86805555555555547</v>
      </c>
      <c r="AH423" s="2">
        <v>2</v>
      </c>
      <c r="AI423" s="2" t="s">
        <v>84</v>
      </c>
      <c r="AJ423" s="2">
        <v>9</v>
      </c>
      <c r="AK423" s="2" t="s">
        <v>103</v>
      </c>
      <c r="AL423" s="2">
        <v>13</v>
      </c>
      <c r="AM423" s="2" t="s">
        <v>117</v>
      </c>
      <c r="AN423" s="2" t="s">
        <v>1947</v>
      </c>
      <c r="AO423" s="2"/>
      <c r="AP423" s="2">
        <v>11</v>
      </c>
      <c r="AQ423" s="2" t="s">
        <v>82</v>
      </c>
      <c r="AR423" s="2"/>
      <c r="AS423" s="2"/>
      <c r="AT423" s="2" t="s">
        <v>1948</v>
      </c>
      <c r="AU423" s="2"/>
      <c r="AV423" s="2"/>
      <c r="AW423" s="2"/>
      <c r="AX423" s="2"/>
      <c r="AY423" s="2">
        <v>41</v>
      </c>
      <c r="AZ423" s="2" t="s">
        <v>82</v>
      </c>
      <c r="BA423" s="2">
        <v>41</v>
      </c>
      <c r="BB423" s="2" t="s">
        <v>82</v>
      </c>
      <c r="BC423" s="2">
        <v>70</v>
      </c>
      <c r="BD423" s="2" t="s">
        <v>236</v>
      </c>
      <c r="BE423" s="2">
        <v>13</v>
      </c>
      <c r="BF423" s="2" t="s">
        <v>108</v>
      </c>
      <c r="BG423" s="2" t="s">
        <v>1769</v>
      </c>
      <c r="BH423" s="4">
        <v>0.41666666666666669</v>
      </c>
      <c r="BI423" s="4">
        <v>0.91666666666666663</v>
      </c>
      <c r="BJ423" s="2">
        <v>13</v>
      </c>
      <c r="BK423" s="2" t="s">
        <v>91</v>
      </c>
      <c r="BL423" s="2" t="s">
        <v>360</v>
      </c>
      <c r="BM423" s="2">
        <v>241</v>
      </c>
      <c r="BN423" s="2" t="s">
        <v>82</v>
      </c>
      <c r="BO423" s="2"/>
      <c r="BP423" s="2">
        <v>73</v>
      </c>
      <c r="BQ423" s="2" t="s">
        <v>186</v>
      </c>
      <c r="BR423" s="2" t="s">
        <v>187</v>
      </c>
      <c r="BS423" s="3">
        <v>40214</v>
      </c>
      <c r="BT423" s="4">
        <v>0.99987268518518524</v>
      </c>
    </row>
    <row r="424" spans="1:72" x14ac:dyDescent="0.25">
      <c r="A424" s="2">
        <v>670</v>
      </c>
      <c r="B424" s="2">
        <v>2010</v>
      </c>
      <c r="C424" s="2" t="s">
        <v>1568</v>
      </c>
      <c r="D424" s="2" t="s">
        <v>122</v>
      </c>
      <c r="E424" s="2"/>
      <c r="F424" s="2">
        <v>285</v>
      </c>
      <c r="G424" s="2" t="s">
        <v>1949</v>
      </c>
      <c r="H424" s="2">
        <v>3</v>
      </c>
      <c r="I424" s="2" t="s">
        <v>315</v>
      </c>
      <c r="J424" s="2">
        <v>343</v>
      </c>
      <c r="K424" s="2" t="s">
        <v>1950</v>
      </c>
      <c r="L424" s="2" t="s">
        <v>1951</v>
      </c>
      <c r="M424" s="3">
        <v>40215</v>
      </c>
      <c r="N424" s="2" t="s">
        <v>1952</v>
      </c>
      <c r="O424" s="2" t="s">
        <v>107</v>
      </c>
      <c r="P424" s="2" t="s">
        <v>107</v>
      </c>
      <c r="Q424" s="2" t="str">
        <f>"03/2010"</f>
        <v>03/2010</v>
      </c>
      <c r="R424" s="2" t="s">
        <v>822</v>
      </c>
      <c r="S424" s="2" t="s">
        <v>107</v>
      </c>
      <c r="T424" s="2">
        <v>1</v>
      </c>
      <c r="U424" s="2" t="s">
        <v>79</v>
      </c>
      <c r="V424" s="2">
        <v>1</v>
      </c>
      <c r="W424" s="2" t="s">
        <v>80</v>
      </c>
      <c r="X424" s="2">
        <v>1</v>
      </c>
      <c r="Y424" s="2" t="s">
        <v>81</v>
      </c>
      <c r="Z424" s="2">
        <v>1</v>
      </c>
      <c r="AA424" s="2" t="s">
        <v>82</v>
      </c>
      <c r="AB424" s="2">
        <v>4</v>
      </c>
      <c r="AC424" s="2" t="s">
        <v>1569</v>
      </c>
      <c r="AD424" s="3">
        <v>40214</v>
      </c>
      <c r="AE424" s="4">
        <v>0.83680555555555547</v>
      </c>
      <c r="AF424" s="2"/>
      <c r="AG424" s="2"/>
      <c r="AH424" s="2">
        <v>5</v>
      </c>
      <c r="AI424" s="2" t="s">
        <v>274</v>
      </c>
      <c r="AJ424" s="2">
        <v>37</v>
      </c>
      <c r="AK424" s="2" t="s">
        <v>497</v>
      </c>
      <c r="AL424" s="2">
        <v>8</v>
      </c>
      <c r="AM424" s="2" t="s">
        <v>179</v>
      </c>
      <c r="AN424" s="2" t="s">
        <v>107</v>
      </c>
      <c r="AO424" s="2" t="s">
        <v>1953</v>
      </c>
      <c r="AP424" s="2">
        <v>12</v>
      </c>
      <c r="AQ424" s="2" t="s">
        <v>322</v>
      </c>
      <c r="AR424" s="2" t="s">
        <v>1954</v>
      </c>
      <c r="AS424" s="2" t="s">
        <v>1955</v>
      </c>
      <c r="AT424" s="2" t="s">
        <v>1956</v>
      </c>
      <c r="AU424" s="2"/>
      <c r="AV424" s="2"/>
      <c r="AW424" s="2"/>
      <c r="AX424" s="2"/>
      <c r="AY424" s="2">
        <v>41</v>
      </c>
      <c r="AZ424" s="2" t="s">
        <v>82</v>
      </c>
      <c r="BA424" s="2">
        <v>41</v>
      </c>
      <c r="BB424" s="2" t="s">
        <v>82</v>
      </c>
      <c r="BC424" s="2">
        <v>41</v>
      </c>
      <c r="BD424" s="2" t="s">
        <v>82</v>
      </c>
      <c r="BE424" s="2">
        <v>47</v>
      </c>
      <c r="BF424" s="2" t="s">
        <v>167</v>
      </c>
      <c r="BG424" s="2">
        <v>2788</v>
      </c>
      <c r="BH424" s="4">
        <v>0.83680555555555547</v>
      </c>
      <c r="BI424" s="4">
        <v>0.86388888888888893</v>
      </c>
      <c r="BJ424" s="2">
        <v>13</v>
      </c>
      <c r="BK424" s="2" t="s">
        <v>91</v>
      </c>
      <c r="BL424" s="2" t="s">
        <v>1957</v>
      </c>
      <c r="BM424" s="2">
        <v>13</v>
      </c>
      <c r="BN424" s="2" t="s">
        <v>91</v>
      </c>
      <c r="BO424" s="2" t="s">
        <v>1958</v>
      </c>
      <c r="BP424" s="2">
        <v>13</v>
      </c>
      <c r="BQ424" s="2" t="s">
        <v>91</v>
      </c>
      <c r="BR424" s="2" t="s">
        <v>1959</v>
      </c>
      <c r="BS424" s="3">
        <v>40215</v>
      </c>
      <c r="BT424" s="4">
        <v>3.8101851851851852E-2</v>
      </c>
    </row>
    <row r="425" spans="1:72" x14ac:dyDescent="0.25">
      <c r="A425" s="2">
        <v>671</v>
      </c>
      <c r="B425" s="2">
        <v>2010</v>
      </c>
      <c r="C425" s="2" t="s">
        <v>93</v>
      </c>
      <c r="D425" s="2" t="s">
        <v>73</v>
      </c>
      <c r="E425" s="2"/>
      <c r="F425" s="2">
        <v>441</v>
      </c>
      <c r="G425" s="2" t="s">
        <v>696</v>
      </c>
      <c r="H425" s="2">
        <v>22</v>
      </c>
      <c r="I425" s="2" t="s">
        <v>75</v>
      </c>
      <c r="J425" s="2">
        <v>404</v>
      </c>
      <c r="K425" s="2" t="s">
        <v>1960</v>
      </c>
      <c r="L425" s="2" t="s">
        <v>1961</v>
      </c>
      <c r="M425" s="3">
        <v>40215</v>
      </c>
      <c r="N425" s="2" t="s">
        <v>1962</v>
      </c>
      <c r="O425" s="2" t="s">
        <v>1963</v>
      </c>
      <c r="P425" s="2">
        <v>1570</v>
      </c>
      <c r="Q425" s="2" t="str">
        <f>""</f>
        <v/>
      </c>
      <c r="R425" s="2"/>
      <c r="S425" s="2" t="s">
        <v>1964</v>
      </c>
      <c r="T425" s="2">
        <v>1</v>
      </c>
      <c r="U425" s="2" t="s">
        <v>79</v>
      </c>
      <c r="V425" s="2">
        <v>1</v>
      </c>
      <c r="W425" s="2" t="s">
        <v>80</v>
      </c>
      <c r="X425" s="2">
        <v>1</v>
      </c>
      <c r="Y425" s="2" t="s">
        <v>81</v>
      </c>
      <c r="Z425" s="2">
        <v>1</v>
      </c>
      <c r="AA425" s="2" t="s">
        <v>82</v>
      </c>
      <c r="AB425" s="2">
        <v>2</v>
      </c>
      <c r="AC425" s="2" t="s">
        <v>102</v>
      </c>
      <c r="AD425" s="3">
        <v>40214</v>
      </c>
      <c r="AE425" s="4">
        <v>0.83333333333333337</v>
      </c>
      <c r="AF425" s="2"/>
      <c r="AG425" s="2"/>
      <c r="AH425" s="2">
        <v>2</v>
      </c>
      <c r="AI425" s="2" t="s">
        <v>84</v>
      </c>
      <c r="AJ425" s="2">
        <v>9</v>
      </c>
      <c r="AK425" s="2" t="s">
        <v>103</v>
      </c>
      <c r="AL425" s="2">
        <v>18</v>
      </c>
      <c r="AM425" s="2" t="s">
        <v>82</v>
      </c>
      <c r="AN425" s="2"/>
      <c r="AO425" s="2"/>
      <c r="AP425" s="2">
        <v>11</v>
      </c>
      <c r="AQ425" s="2" t="s">
        <v>82</v>
      </c>
      <c r="AR425" s="2"/>
      <c r="AS425" s="2"/>
      <c r="AT425" s="2" t="s">
        <v>1965</v>
      </c>
      <c r="AU425" s="2">
        <v>1</v>
      </c>
      <c r="AV425" s="2"/>
      <c r="AW425" s="2"/>
      <c r="AX425" s="2"/>
      <c r="AY425" s="2">
        <v>1</v>
      </c>
      <c r="AZ425" s="2" t="s">
        <v>107</v>
      </c>
      <c r="BA425" s="2">
        <v>1</v>
      </c>
      <c r="BB425" s="2" t="s">
        <v>107</v>
      </c>
      <c r="BC425" s="2">
        <v>70</v>
      </c>
      <c r="BD425" s="2" t="s">
        <v>236</v>
      </c>
      <c r="BE425" s="2">
        <v>1</v>
      </c>
      <c r="BF425" s="2" t="s">
        <v>107</v>
      </c>
      <c r="BG425" s="2"/>
      <c r="BH425" s="2"/>
      <c r="BI425" s="2"/>
      <c r="BJ425" s="2">
        <v>242</v>
      </c>
      <c r="BK425" s="2" t="s">
        <v>107</v>
      </c>
      <c r="BL425" s="2"/>
      <c r="BM425" s="2">
        <v>242</v>
      </c>
      <c r="BN425" s="2" t="s">
        <v>107</v>
      </c>
      <c r="BO425" s="2"/>
      <c r="BP425" s="2">
        <v>242</v>
      </c>
      <c r="BQ425" s="2" t="s">
        <v>107</v>
      </c>
      <c r="BR425" s="2"/>
      <c r="BS425" s="3">
        <v>40215</v>
      </c>
      <c r="BT425" s="4">
        <v>0.1333101851851852</v>
      </c>
    </row>
    <row r="426" spans="1:72" x14ac:dyDescent="0.25">
      <c r="A426" s="2">
        <v>674</v>
      </c>
      <c r="B426" s="2">
        <v>2010</v>
      </c>
      <c r="C426" s="2" t="s">
        <v>819</v>
      </c>
      <c r="D426" s="2" t="s">
        <v>122</v>
      </c>
      <c r="E426" s="2" t="s">
        <v>1966</v>
      </c>
      <c r="F426" s="2">
        <v>425</v>
      </c>
      <c r="G426" s="2" t="s">
        <v>286</v>
      </c>
      <c r="H426" s="2">
        <v>39</v>
      </c>
      <c r="I426" s="2" t="s">
        <v>1117</v>
      </c>
      <c r="J426" s="2">
        <v>310</v>
      </c>
      <c r="K426" s="2" t="s">
        <v>288</v>
      </c>
      <c r="L426" s="2" t="s">
        <v>289</v>
      </c>
      <c r="M426" s="3">
        <v>40215</v>
      </c>
      <c r="N426" s="2" t="s">
        <v>1943</v>
      </c>
      <c r="O426" s="2"/>
      <c r="P426" s="2"/>
      <c r="Q426" s="2" t="str">
        <f>"009/10"</f>
        <v>009/10</v>
      </c>
      <c r="R426" s="2" t="s">
        <v>822</v>
      </c>
      <c r="S426" s="2"/>
      <c r="T426" s="2">
        <v>1</v>
      </c>
      <c r="U426" s="2" t="s">
        <v>79</v>
      </c>
      <c r="V426" s="2">
        <v>1</v>
      </c>
      <c r="W426" s="2" t="s">
        <v>80</v>
      </c>
      <c r="X426" s="2">
        <v>1</v>
      </c>
      <c r="Y426" s="2" t="s">
        <v>81</v>
      </c>
      <c r="Z426" s="2">
        <v>10</v>
      </c>
      <c r="AA426" s="2" t="s">
        <v>236</v>
      </c>
      <c r="AB426" s="2">
        <v>9</v>
      </c>
      <c r="AC426" s="2" t="s">
        <v>124</v>
      </c>
      <c r="AD426" s="3">
        <v>40215</v>
      </c>
      <c r="AE426" s="4">
        <v>0.375</v>
      </c>
      <c r="AF426" s="2"/>
      <c r="AG426" s="2"/>
      <c r="AH426" s="2">
        <v>4</v>
      </c>
      <c r="AI426" s="2" t="s">
        <v>125</v>
      </c>
      <c r="AJ426" s="2">
        <v>29</v>
      </c>
      <c r="AK426" s="2" t="s">
        <v>227</v>
      </c>
      <c r="AL426" s="2">
        <v>10</v>
      </c>
      <c r="AM426" s="2" t="s">
        <v>200</v>
      </c>
      <c r="AN426" s="2" t="s">
        <v>1967</v>
      </c>
      <c r="AO426" s="2"/>
      <c r="AP426" s="2">
        <v>12</v>
      </c>
      <c r="AQ426" s="2" t="s">
        <v>322</v>
      </c>
      <c r="AR426" s="2" t="s">
        <v>824</v>
      </c>
      <c r="AS426" s="2" t="s">
        <v>825</v>
      </c>
      <c r="AT426" s="2" t="s">
        <v>1968</v>
      </c>
      <c r="AU426" s="2"/>
      <c r="AV426" s="2"/>
      <c r="AW426" s="2"/>
      <c r="AX426" s="2"/>
      <c r="AY426" s="2">
        <v>41</v>
      </c>
      <c r="AZ426" s="2" t="s">
        <v>82</v>
      </c>
      <c r="BA426" s="2">
        <v>41</v>
      </c>
      <c r="BB426" s="2" t="s">
        <v>82</v>
      </c>
      <c r="BC426" s="2">
        <v>51</v>
      </c>
      <c r="BD426" s="2" t="s">
        <v>827</v>
      </c>
      <c r="BE426" s="2">
        <v>13</v>
      </c>
      <c r="BF426" s="2" t="s">
        <v>108</v>
      </c>
      <c r="BG426" s="2">
        <v>1459</v>
      </c>
      <c r="BH426" s="4">
        <v>0.84722222222222221</v>
      </c>
      <c r="BI426" s="4">
        <v>0.87847222222222221</v>
      </c>
      <c r="BJ426" s="2">
        <v>13</v>
      </c>
      <c r="BK426" s="2" t="s">
        <v>91</v>
      </c>
      <c r="BL426" s="2" t="s">
        <v>828</v>
      </c>
      <c r="BM426" s="2">
        <v>242</v>
      </c>
      <c r="BN426" s="2" t="s">
        <v>107</v>
      </c>
      <c r="BO426" s="2" t="s">
        <v>107</v>
      </c>
      <c r="BP426" s="2">
        <v>13</v>
      </c>
      <c r="BQ426" s="2" t="s">
        <v>91</v>
      </c>
      <c r="BR426" s="2" t="s">
        <v>185</v>
      </c>
      <c r="BS426" s="3">
        <v>40215</v>
      </c>
      <c r="BT426" s="4">
        <v>0.52015046296296297</v>
      </c>
    </row>
    <row r="427" spans="1:72" x14ac:dyDescent="0.25">
      <c r="A427" s="2">
        <v>675</v>
      </c>
      <c r="B427" s="2">
        <v>2010</v>
      </c>
      <c r="C427" s="2" t="s">
        <v>1568</v>
      </c>
      <c r="D427" s="2" t="s">
        <v>122</v>
      </c>
      <c r="E427" s="2"/>
      <c r="F427" s="2">
        <v>285</v>
      </c>
      <c r="G427" s="2" t="s">
        <v>1949</v>
      </c>
      <c r="H427" s="2">
        <v>3</v>
      </c>
      <c r="I427" s="2" t="s">
        <v>315</v>
      </c>
      <c r="J427" s="2">
        <v>343</v>
      </c>
      <c r="K427" s="2" t="s">
        <v>1950</v>
      </c>
      <c r="L427" s="2" t="s">
        <v>1951</v>
      </c>
      <c r="M427" s="3">
        <v>40215</v>
      </c>
      <c r="N427" s="2" t="s">
        <v>1952</v>
      </c>
      <c r="O427" s="2" t="s">
        <v>107</v>
      </c>
      <c r="P427" s="2" t="s">
        <v>107</v>
      </c>
      <c r="Q427" s="2" t="str">
        <f>"03/2010"</f>
        <v>03/2010</v>
      </c>
      <c r="R427" s="2" t="s">
        <v>107</v>
      </c>
      <c r="S427" s="2" t="s">
        <v>1969</v>
      </c>
      <c r="T427" s="2">
        <v>1</v>
      </c>
      <c r="U427" s="2" t="s">
        <v>79</v>
      </c>
      <c r="V427" s="2">
        <v>1</v>
      </c>
      <c r="W427" s="2" t="s">
        <v>80</v>
      </c>
      <c r="X427" s="2">
        <v>5</v>
      </c>
      <c r="Y427" s="2" t="s">
        <v>82</v>
      </c>
      <c r="Z427" s="2">
        <v>1</v>
      </c>
      <c r="AA427" s="2" t="s">
        <v>82</v>
      </c>
      <c r="AB427" s="2">
        <v>4</v>
      </c>
      <c r="AC427" s="2" t="s">
        <v>1569</v>
      </c>
      <c r="AD427" s="3">
        <v>40215</v>
      </c>
      <c r="AE427" s="4">
        <v>0.4375</v>
      </c>
      <c r="AF427" s="2"/>
      <c r="AG427" s="2"/>
      <c r="AH427" s="2">
        <v>5</v>
      </c>
      <c r="AI427" s="2" t="s">
        <v>274</v>
      </c>
      <c r="AJ427" s="2">
        <v>37</v>
      </c>
      <c r="AK427" s="2" t="s">
        <v>497</v>
      </c>
      <c r="AL427" s="2">
        <v>19</v>
      </c>
      <c r="AM427" s="2" t="s">
        <v>107</v>
      </c>
      <c r="AN427" s="2" t="s">
        <v>1970</v>
      </c>
      <c r="AO427" s="2" t="s">
        <v>1971</v>
      </c>
      <c r="AP427" s="2">
        <v>12</v>
      </c>
      <c r="AQ427" s="2" t="s">
        <v>322</v>
      </c>
      <c r="AR427" s="2" t="s">
        <v>1972</v>
      </c>
      <c r="AS427" s="2" t="s">
        <v>1955</v>
      </c>
      <c r="AT427" s="2" t="s">
        <v>1973</v>
      </c>
      <c r="AU427" s="2"/>
      <c r="AV427" s="2"/>
      <c r="AW427" s="2"/>
      <c r="AX427" s="2"/>
      <c r="AY427" s="2">
        <v>41</v>
      </c>
      <c r="AZ427" s="2" t="s">
        <v>82</v>
      </c>
      <c r="BA427" s="2">
        <v>41</v>
      </c>
      <c r="BB427" s="2" t="s">
        <v>82</v>
      </c>
      <c r="BC427" s="2">
        <v>41</v>
      </c>
      <c r="BD427" s="2" t="s">
        <v>82</v>
      </c>
      <c r="BE427" s="2">
        <v>41</v>
      </c>
      <c r="BF427" s="2" t="s">
        <v>82</v>
      </c>
      <c r="BG427" s="2" t="s">
        <v>82</v>
      </c>
      <c r="BH427" s="2"/>
      <c r="BI427" s="2"/>
      <c r="BJ427" s="2">
        <v>241</v>
      </c>
      <c r="BK427" s="2" t="s">
        <v>82</v>
      </c>
      <c r="BL427" s="2"/>
      <c r="BM427" s="2">
        <v>241</v>
      </c>
      <c r="BN427" s="2" t="s">
        <v>82</v>
      </c>
      <c r="BO427" s="2"/>
      <c r="BP427" s="2">
        <v>241</v>
      </c>
      <c r="BQ427" s="2" t="s">
        <v>82</v>
      </c>
      <c r="BR427" s="2"/>
      <c r="BS427" s="3">
        <v>40215</v>
      </c>
      <c r="BT427" s="4">
        <v>0.55412037037037043</v>
      </c>
    </row>
    <row r="428" spans="1:72" x14ac:dyDescent="0.25">
      <c r="A428" s="2">
        <v>677</v>
      </c>
      <c r="B428" s="2">
        <v>2010</v>
      </c>
      <c r="C428" s="2" t="s">
        <v>72</v>
      </c>
      <c r="D428" s="2" t="s">
        <v>73</v>
      </c>
      <c r="E428" s="2"/>
      <c r="F428" s="2">
        <v>18</v>
      </c>
      <c r="G428" s="2" t="s">
        <v>1974</v>
      </c>
      <c r="H428" s="2">
        <v>22</v>
      </c>
      <c r="I428" s="2" t="s">
        <v>75</v>
      </c>
      <c r="J428" s="2">
        <v>24</v>
      </c>
      <c r="K428" s="2" t="s">
        <v>1975</v>
      </c>
      <c r="L428" s="2" t="s">
        <v>1976</v>
      </c>
      <c r="M428" s="3">
        <v>40215</v>
      </c>
      <c r="N428" s="2" t="s">
        <v>1977</v>
      </c>
      <c r="O428" s="2"/>
      <c r="P428" s="2"/>
      <c r="Q428" s="2" t="str">
        <f>"001/10"</f>
        <v>001/10</v>
      </c>
      <c r="R428" s="2" t="s">
        <v>657</v>
      </c>
      <c r="S428" s="2" t="s">
        <v>601</v>
      </c>
      <c r="T428" s="2">
        <v>1</v>
      </c>
      <c r="U428" s="2" t="s">
        <v>79</v>
      </c>
      <c r="V428" s="2">
        <v>1</v>
      </c>
      <c r="W428" s="2" t="s">
        <v>80</v>
      </c>
      <c r="X428" s="2">
        <v>1</v>
      </c>
      <c r="Y428" s="2" t="s">
        <v>81</v>
      </c>
      <c r="Z428" s="2">
        <v>1</v>
      </c>
      <c r="AA428" s="2" t="s">
        <v>82</v>
      </c>
      <c r="AB428" s="2">
        <v>6</v>
      </c>
      <c r="AC428" s="2" t="s">
        <v>83</v>
      </c>
      <c r="AD428" s="3">
        <v>40214</v>
      </c>
      <c r="AE428" s="4">
        <v>0.85416666666666663</v>
      </c>
      <c r="AF428" s="3">
        <v>40215</v>
      </c>
      <c r="AG428" s="4">
        <v>0.51388888888888895</v>
      </c>
      <c r="AH428" s="2">
        <v>3</v>
      </c>
      <c r="AI428" s="2" t="s">
        <v>214</v>
      </c>
      <c r="AJ428" s="2">
        <v>20</v>
      </c>
      <c r="AK428" s="2" t="s">
        <v>1897</v>
      </c>
      <c r="AL428" s="2">
        <v>19</v>
      </c>
      <c r="AM428" s="2" t="s">
        <v>107</v>
      </c>
      <c r="AN428" s="2" t="s">
        <v>107</v>
      </c>
      <c r="AO428" s="2" t="s">
        <v>107</v>
      </c>
      <c r="AP428" s="2">
        <v>11</v>
      </c>
      <c r="AQ428" s="2" t="s">
        <v>82</v>
      </c>
      <c r="AR428" s="2" t="s">
        <v>82</v>
      </c>
      <c r="AS428" s="2" t="s">
        <v>82</v>
      </c>
      <c r="AT428" s="2" t="s">
        <v>1978</v>
      </c>
      <c r="AU428" s="2"/>
      <c r="AV428" s="2"/>
      <c r="AW428" s="2"/>
      <c r="AX428" s="2"/>
      <c r="AY428" s="2">
        <v>41</v>
      </c>
      <c r="AZ428" s="2" t="s">
        <v>82</v>
      </c>
      <c r="BA428" s="2">
        <v>41</v>
      </c>
      <c r="BB428" s="2" t="s">
        <v>82</v>
      </c>
      <c r="BC428" s="2">
        <v>41</v>
      </c>
      <c r="BD428" s="2" t="s">
        <v>82</v>
      </c>
      <c r="BE428" s="2">
        <v>9</v>
      </c>
      <c r="BF428" s="2" t="s">
        <v>966</v>
      </c>
      <c r="BG428" s="2" t="s">
        <v>1979</v>
      </c>
      <c r="BH428" s="4">
        <v>0.85416666666666663</v>
      </c>
      <c r="BI428" s="4">
        <v>0.35416666666666669</v>
      </c>
      <c r="BJ428" s="2">
        <v>62</v>
      </c>
      <c r="BK428" s="2" t="s">
        <v>1683</v>
      </c>
      <c r="BL428" s="2" t="s">
        <v>1684</v>
      </c>
      <c r="BM428" s="2">
        <v>170</v>
      </c>
      <c r="BN428" s="2" t="s">
        <v>968</v>
      </c>
      <c r="BO428" s="2" t="s">
        <v>1390</v>
      </c>
      <c r="BP428" s="2">
        <v>13</v>
      </c>
      <c r="BQ428" s="2" t="s">
        <v>91</v>
      </c>
      <c r="BR428" s="2" t="s">
        <v>360</v>
      </c>
      <c r="BS428" s="3">
        <v>40215</v>
      </c>
      <c r="BT428" s="4">
        <v>0.640162037037037</v>
      </c>
    </row>
    <row r="429" spans="1:72" x14ac:dyDescent="0.25">
      <c r="A429" s="2">
        <v>678</v>
      </c>
      <c r="B429" s="2">
        <v>2010</v>
      </c>
      <c r="C429" s="2" t="s">
        <v>72</v>
      </c>
      <c r="D429" s="2" t="s">
        <v>73</v>
      </c>
      <c r="E429" s="2"/>
      <c r="F429" s="2">
        <v>18</v>
      </c>
      <c r="G429" s="2" t="s">
        <v>1974</v>
      </c>
      <c r="H429" s="2">
        <v>22</v>
      </c>
      <c r="I429" s="2" t="s">
        <v>75</v>
      </c>
      <c r="J429" s="2">
        <v>24</v>
      </c>
      <c r="K429" s="2" t="s">
        <v>1975</v>
      </c>
      <c r="L429" s="2" t="s">
        <v>1976</v>
      </c>
      <c r="M429" s="3">
        <v>40215</v>
      </c>
      <c r="N429" s="2" t="s">
        <v>1977</v>
      </c>
      <c r="O429" s="2"/>
      <c r="P429" s="2"/>
      <c r="Q429" s="2" t="str">
        <f>"002/10"</f>
        <v>002/10</v>
      </c>
      <c r="R429" s="2" t="s">
        <v>601</v>
      </c>
      <c r="S429" s="2" t="s">
        <v>657</v>
      </c>
      <c r="T429" s="2">
        <v>1</v>
      </c>
      <c r="U429" s="2" t="s">
        <v>79</v>
      </c>
      <c r="V429" s="2">
        <v>1</v>
      </c>
      <c r="W429" s="2" t="s">
        <v>80</v>
      </c>
      <c r="X429" s="2">
        <v>1</v>
      </c>
      <c r="Y429" s="2" t="s">
        <v>81</v>
      </c>
      <c r="Z429" s="2">
        <v>1</v>
      </c>
      <c r="AA429" s="2" t="s">
        <v>82</v>
      </c>
      <c r="AB429" s="2">
        <v>6</v>
      </c>
      <c r="AC429" s="2" t="s">
        <v>83</v>
      </c>
      <c r="AD429" s="3">
        <v>40214</v>
      </c>
      <c r="AE429" s="4">
        <v>0.85416666666666663</v>
      </c>
      <c r="AF429" s="3">
        <v>40215</v>
      </c>
      <c r="AG429" s="4">
        <v>0.51736111111111105</v>
      </c>
      <c r="AH429" s="2">
        <v>3</v>
      </c>
      <c r="AI429" s="2" t="s">
        <v>214</v>
      </c>
      <c r="AJ429" s="2">
        <v>20</v>
      </c>
      <c r="AK429" s="2" t="s">
        <v>1897</v>
      </c>
      <c r="AL429" s="2">
        <v>19</v>
      </c>
      <c r="AM429" s="2" t="s">
        <v>107</v>
      </c>
      <c r="AN429" s="2" t="s">
        <v>107</v>
      </c>
      <c r="AO429" s="2" t="s">
        <v>107</v>
      </c>
      <c r="AP429" s="2">
        <v>11</v>
      </c>
      <c r="AQ429" s="2" t="s">
        <v>82</v>
      </c>
      <c r="AR429" s="2" t="s">
        <v>82</v>
      </c>
      <c r="AS429" s="2" t="s">
        <v>82</v>
      </c>
      <c r="AT429" s="2" t="s">
        <v>1980</v>
      </c>
      <c r="AU429" s="2"/>
      <c r="AV429" s="2"/>
      <c r="AW429" s="2"/>
      <c r="AX429" s="2"/>
      <c r="AY429" s="2">
        <v>41</v>
      </c>
      <c r="AZ429" s="2" t="s">
        <v>82</v>
      </c>
      <c r="BA429" s="2">
        <v>41</v>
      </c>
      <c r="BB429" s="2" t="s">
        <v>82</v>
      </c>
      <c r="BC429" s="2">
        <v>41</v>
      </c>
      <c r="BD429" s="2" t="s">
        <v>82</v>
      </c>
      <c r="BE429" s="2">
        <v>9</v>
      </c>
      <c r="BF429" s="2" t="s">
        <v>966</v>
      </c>
      <c r="BG429" s="2" t="s">
        <v>1979</v>
      </c>
      <c r="BH429" s="4">
        <v>0.85416666666666663</v>
      </c>
      <c r="BI429" s="4">
        <v>0.35416666666666669</v>
      </c>
      <c r="BJ429" s="2">
        <v>62</v>
      </c>
      <c r="BK429" s="2" t="s">
        <v>1683</v>
      </c>
      <c r="BL429" s="2" t="s">
        <v>1684</v>
      </c>
      <c r="BM429" s="2">
        <v>170</v>
      </c>
      <c r="BN429" s="2" t="s">
        <v>968</v>
      </c>
      <c r="BO429" s="2" t="s">
        <v>1390</v>
      </c>
      <c r="BP429" s="2">
        <v>13</v>
      </c>
      <c r="BQ429" s="2" t="s">
        <v>91</v>
      </c>
      <c r="BR429" s="2" t="s">
        <v>360</v>
      </c>
      <c r="BS429" s="3">
        <v>40215</v>
      </c>
      <c r="BT429" s="4">
        <v>0.66532407407407412</v>
      </c>
    </row>
    <row r="430" spans="1:72" x14ac:dyDescent="0.25">
      <c r="A430" s="2">
        <v>681</v>
      </c>
      <c r="B430" s="2">
        <v>2010</v>
      </c>
      <c r="C430" s="2" t="s">
        <v>1172</v>
      </c>
      <c r="D430" s="2" t="s">
        <v>73</v>
      </c>
      <c r="E430" s="2" t="s">
        <v>1981</v>
      </c>
      <c r="F430" s="2">
        <v>125</v>
      </c>
      <c r="G430" s="2" t="s">
        <v>1483</v>
      </c>
      <c r="H430" s="2">
        <v>47</v>
      </c>
      <c r="I430" s="2" t="s">
        <v>1409</v>
      </c>
      <c r="J430" s="2">
        <v>390</v>
      </c>
      <c r="K430" s="2" t="s">
        <v>1560</v>
      </c>
      <c r="L430" s="2" t="s">
        <v>1561</v>
      </c>
      <c r="M430" s="3">
        <v>40215</v>
      </c>
      <c r="N430" s="2" t="s">
        <v>1928</v>
      </c>
      <c r="O430" s="2" t="s">
        <v>1982</v>
      </c>
      <c r="P430" s="2" t="s">
        <v>1983</v>
      </c>
      <c r="Q430" s="2" t="str">
        <f>"N/C"</f>
        <v>N/C</v>
      </c>
      <c r="R430" s="2" t="s">
        <v>82</v>
      </c>
      <c r="S430" s="2" t="s">
        <v>82</v>
      </c>
      <c r="T430" s="2">
        <v>1</v>
      </c>
      <c r="U430" s="2" t="s">
        <v>79</v>
      </c>
      <c r="V430" s="2">
        <v>1</v>
      </c>
      <c r="W430" s="2" t="s">
        <v>80</v>
      </c>
      <c r="X430" s="2">
        <v>5</v>
      </c>
      <c r="Y430" s="2" t="s">
        <v>82</v>
      </c>
      <c r="Z430" s="2">
        <v>1</v>
      </c>
      <c r="AA430" s="2" t="s">
        <v>82</v>
      </c>
      <c r="AB430" s="2">
        <v>9</v>
      </c>
      <c r="AC430" s="2" t="s">
        <v>124</v>
      </c>
      <c r="AD430" s="3">
        <v>40214</v>
      </c>
      <c r="AE430" s="4">
        <v>0.47222222222222227</v>
      </c>
      <c r="AF430" s="3">
        <v>40214</v>
      </c>
      <c r="AG430" s="2"/>
      <c r="AH430" s="2">
        <v>6</v>
      </c>
      <c r="AI430" s="2" t="s">
        <v>197</v>
      </c>
      <c r="AJ430" s="2">
        <v>61</v>
      </c>
      <c r="AK430" s="2" t="s">
        <v>686</v>
      </c>
      <c r="AL430" s="2">
        <v>2</v>
      </c>
      <c r="AM430" s="2" t="s">
        <v>163</v>
      </c>
      <c r="AN430" s="2" t="s">
        <v>1984</v>
      </c>
      <c r="AO430" s="2" t="s">
        <v>1985</v>
      </c>
      <c r="AP430" s="2">
        <v>11</v>
      </c>
      <c r="AQ430" s="2" t="s">
        <v>82</v>
      </c>
      <c r="AR430" s="2"/>
      <c r="AS430" s="2"/>
      <c r="AT430" s="2" t="s">
        <v>1986</v>
      </c>
      <c r="AU430" s="2"/>
      <c r="AV430" s="2"/>
      <c r="AW430" s="2"/>
      <c r="AX430" s="2"/>
      <c r="AY430" s="2">
        <v>1</v>
      </c>
      <c r="AZ430" s="2" t="s">
        <v>107</v>
      </c>
      <c r="BA430" s="2">
        <v>1</v>
      </c>
      <c r="BB430" s="2" t="s">
        <v>107</v>
      </c>
      <c r="BC430" s="2">
        <v>1</v>
      </c>
      <c r="BD430" s="2" t="s">
        <v>107</v>
      </c>
      <c r="BE430" s="2">
        <v>1</v>
      </c>
      <c r="BF430" s="2" t="s">
        <v>107</v>
      </c>
      <c r="BG430" s="2" t="s">
        <v>1932</v>
      </c>
      <c r="BH430" s="2"/>
      <c r="BI430" s="4">
        <v>0.45833333333333331</v>
      </c>
      <c r="BJ430" s="2">
        <v>13</v>
      </c>
      <c r="BK430" s="2" t="s">
        <v>91</v>
      </c>
      <c r="BL430" s="2" t="s">
        <v>690</v>
      </c>
      <c r="BM430" s="2">
        <v>241</v>
      </c>
      <c r="BN430" s="2" t="s">
        <v>82</v>
      </c>
      <c r="BO430" s="2"/>
      <c r="BP430" s="2">
        <v>13</v>
      </c>
      <c r="BQ430" s="2" t="s">
        <v>91</v>
      </c>
      <c r="BR430" s="2"/>
      <c r="BS430" s="3">
        <v>40215</v>
      </c>
      <c r="BT430" s="4">
        <v>0.88052083333333331</v>
      </c>
    </row>
    <row r="431" spans="1:72" x14ac:dyDescent="0.25">
      <c r="A431" s="2">
        <v>682</v>
      </c>
      <c r="B431" s="2">
        <v>2010</v>
      </c>
      <c r="C431" s="2" t="s">
        <v>72</v>
      </c>
      <c r="D431" s="2" t="s">
        <v>73</v>
      </c>
      <c r="E431" s="2"/>
      <c r="F431" s="2">
        <v>3</v>
      </c>
      <c r="G431" s="2" t="s">
        <v>1041</v>
      </c>
      <c r="H431" s="2">
        <v>1</v>
      </c>
      <c r="I431" s="2" t="s">
        <v>82</v>
      </c>
      <c r="J431" s="2">
        <v>368</v>
      </c>
      <c r="K431" s="2" t="s">
        <v>1042</v>
      </c>
      <c r="L431" s="2" t="s">
        <v>1043</v>
      </c>
      <c r="M431" s="3">
        <v>40215</v>
      </c>
      <c r="N431" s="2"/>
      <c r="O431" s="2"/>
      <c r="P431" s="2"/>
      <c r="Q431" s="2" t="str">
        <f>"075-E/10"</f>
        <v>075-E/10</v>
      </c>
      <c r="R431" s="2"/>
      <c r="S431" s="2" t="s">
        <v>116</v>
      </c>
      <c r="T431" s="2">
        <v>1</v>
      </c>
      <c r="U431" s="2" t="s">
        <v>79</v>
      </c>
      <c r="V431" s="2">
        <v>1</v>
      </c>
      <c r="W431" s="2" t="s">
        <v>80</v>
      </c>
      <c r="X431" s="2">
        <v>1</v>
      </c>
      <c r="Y431" s="2" t="s">
        <v>81</v>
      </c>
      <c r="Z431" s="2">
        <v>1</v>
      </c>
      <c r="AA431" s="2" t="s">
        <v>82</v>
      </c>
      <c r="AB431" s="2">
        <v>6</v>
      </c>
      <c r="AC431" s="2" t="s">
        <v>83</v>
      </c>
      <c r="AD431" s="3">
        <v>40215</v>
      </c>
      <c r="AE431" s="4">
        <v>0.51388888888888895</v>
      </c>
      <c r="AF431" s="3">
        <v>40215</v>
      </c>
      <c r="AG431" s="4">
        <v>0.54166666666666663</v>
      </c>
      <c r="AH431" s="2">
        <v>2</v>
      </c>
      <c r="AI431" s="2" t="s">
        <v>84</v>
      </c>
      <c r="AJ431" s="2">
        <v>5</v>
      </c>
      <c r="AK431" s="2" t="s">
        <v>84</v>
      </c>
      <c r="AL431" s="2">
        <v>12</v>
      </c>
      <c r="AM431" s="2" t="s">
        <v>86</v>
      </c>
      <c r="AN431" s="2" t="s">
        <v>1987</v>
      </c>
      <c r="AO431" s="2" t="s">
        <v>1988</v>
      </c>
      <c r="AP431" s="2">
        <v>11</v>
      </c>
      <c r="AQ431" s="2" t="s">
        <v>82</v>
      </c>
      <c r="AR431" s="2"/>
      <c r="AS431" s="2"/>
      <c r="AT431" s="2" t="s">
        <v>1989</v>
      </c>
      <c r="AU431" s="2"/>
      <c r="AV431" s="2"/>
      <c r="AW431" s="2"/>
      <c r="AX431" s="2"/>
      <c r="AY431" s="2">
        <v>1</v>
      </c>
      <c r="AZ431" s="2" t="s">
        <v>107</v>
      </c>
      <c r="BA431" s="2">
        <v>1</v>
      </c>
      <c r="BB431" s="2" t="s">
        <v>107</v>
      </c>
      <c r="BC431" s="2">
        <v>1</v>
      </c>
      <c r="BD431" s="2" t="s">
        <v>107</v>
      </c>
      <c r="BE431" s="2">
        <v>39</v>
      </c>
      <c r="BF431" s="2" t="s">
        <v>440</v>
      </c>
      <c r="BG431" s="2" t="s">
        <v>1990</v>
      </c>
      <c r="BH431" s="2"/>
      <c r="BI431" s="4">
        <v>0.63888888888888895</v>
      </c>
      <c r="BJ431" s="2">
        <v>13</v>
      </c>
      <c r="BK431" s="2" t="s">
        <v>91</v>
      </c>
      <c r="BL431" s="2" t="s">
        <v>360</v>
      </c>
      <c r="BM431" s="2">
        <v>241</v>
      </c>
      <c r="BN431" s="2" t="s">
        <v>82</v>
      </c>
      <c r="BO431" s="2"/>
      <c r="BP431" s="2">
        <v>33</v>
      </c>
      <c r="BQ431" s="2" t="s">
        <v>361</v>
      </c>
      <c r="BR431" s="2" t="s">
        <v>1739</v>
      </c>
      <c r="BS431" s="3">
        <v>40215</v>
      </c>
      <c r="BT431" s="4">
        <v>0.8939583333333333</v>
      </c>
    </row>
    <row r="432" spans="1:72" x14ac:dyDescent="0.25">
      <c r="A432" s="2">
        <v>683</v>
      </c>
      <c r="B432" s="2">
        <v>2010</v>
      </c>
      <c r="C432" s="2" t="s">
        <v>72</v>
      </c>
      <c r="D432" s="2" t="s">
        <v>73</v>
      </c>
      <c r="E432" s="2"/>
      <c r="F432" s="2">
        <v>389</v>
      </c>
      <c r="G432" s="2" t="s">
        <v>1819</v>
      </c>
      <c r="H432" s="2">
        <v>3</v>
      </c>
      <c r="I432" s="2" t="s">
        <v>315</v>
      </c>
      <c r="J432" s="2">
        <v>399</v>
      </c>
      <c r="K432" s="2" t="s">
        <v>1820</v>
      </c>
      <c r="L432" s="2" t="s">
        <v>1821</v>
      </c>
      <c r="M432" s="3">
        <v>40216</v>
      </c>
      <c r="N432" s="2" t="s">
        <v>1822</v>
      </c>
      <c r="O432" s="2" t="s">
        <v>107</v>
      </c>
      <c r="P432" s="2" t="s">
        <v>107</v>
      </c>
      <c r="Q432" s="2" t="str">
        <f>"076-E/10"</f>
        <v>076-E/10</v>
      </c>
      <c r="R432" s="2" t="s">
        <v>82</v>
      </c>
      <c r="S432" s="2" t="s">
        <v>1991</v>
      </c>
      <c r="T432" s="2">
        <v>1</v>
      </c>
      <c r="U432" s="2" t="s">
        <v>79</v>
      </c>
      <c r="V432" s="2">
        <v>1</v>
      </c>
      <c r="W432" s="2" t="s">
        <v>80</v>
      </c>
      <c r="X432" s="2">
        <v>1</v>
      </c>
      <c r="Y432" s="2" t="s">
        <v>81</v>
      </c>
      <c r="Z432" s="2">
        <v>1</v>
      </c>
      <c r="AA432" s="2" t="s">
        <v>82</v>
      </c>
      <c r="AB432" s="2">
        <v>6</v>
      </c>
      <c r="AC432" s="2" t="s">
        <v>83</v>
      </c>
      <c r="AD432" s="3">
        <v>40215</v>
      </c>
      <c r="AE432" s="4">
        <v>0.77777777777777779</v>
      </c>
      <c r="AF432" s="3">
        <v>40215</v>
      </c>
      <c r="AG432" s="4">
        <v>0.78472222222222221</v>
      </c>
      <c r="AH432" s="2">
        <v>2</v>
      </c>
      <c r="AI432" s="2" t="s">
        <v>84</v>
      </c>
      <c r="AJ432" s="2">
        <v>9</v>
      </c>
      <c r="AK432" s="2" t="s">
        <v>103</v>
      </c>
      <c r="AL432" s="2">
        <v>15</v>
      </c>
      <c r="AM432" s="2" t="s">
        <v>104</v>
      </c>
      <c r="AN432" s="2" t="s">
        <v>1992</v>
      </c>
      <c r="AO432" s="2" t="s">
        <v>82</v>
      </c>
      <c r="AP432" s="2">
        <v>11</v>
      </c>
      <c r="AQ432" s="2" t="s">
        <v>82</v>
      </c>
      <c r="AR432" s="2"/>
      <c r="AS432" s="2"/>
      <c r="AT432" s="2" t="s">
        <v>1993</v>
      </c>
      <c r="AU432" s="2"/>
      <c r="AV432" s="2"/>
      <c r="AW432" s="2"/>
      <c r="AX432" s="2"/>
      <c r="AY432" s="2">
        <v>41</v>
      </c>
      <c r="AZ432" s="2" t="s">
        <v>82</v>
      </c>
      <c r="BA432" s="2">
        <v>41</v>
      </c>
      <c r="BB432" s="2" t="s">
        <v>82</v>
      </c>
      <c r="BC432" s="2">
        <v>41</v>
      </c>
      <c r="BD432" s="2" t="s">
        <v>82</v>
      </c>
      <c r="BE432" s="2">
        <v>13</v>
      </c>
      <c r="BF432" s="2" t="s">
        <v>108</v>
      </c>
      <c r="BG432" s="2" t="s">
        <v>1994</v>
      </c>
      <c r="BH432" s="2"/>
      <c r="BI432" s="4">
        <v>0.8125</v>
      </c>
      <c r="BJ432" s="2">
        <v>13</v>
      </c>
      <c r="BK432" s="2" t="s">
        <v>91</v>
      </c>
      <c r="BL432" s="2" t="s">
        <v>360</v>
      </c>
      <c r="BM432" s="2">
        <v>241</v>
      </c>
      <c r="BN432" s="2" t="s">
        <v>82</v>
      </c>
      <c r="BO432" s="2"/>
      <c r="BP432" s="2">
        <v>173</v>
      </c>
      <c r="BQ432" s="2" t="s">
        <v>223</v>
      </c>
      <c r="BR432" s="2" t="s">
        <v>224</v>
      </c>
      <c r="BS432" s="3">
        <v>40216</v>
      </c>
      <c r="BT432" s="4">
        <v>0.20597222222222222</v>
      </c>
    </row>
    <row r="433" spans="1:72" x14ac:dyDescent="0.25">
      <c r="A433" s="2">
        <v>684</v>
      </c>
      <c r="B433" s="2">
        <v>2010</v>
      </c>
      <c r="C433" s="2" t="s">
        <v>72</v>
      </c>
      <c r="D433" s="2" t="s">
        <v>122</v>
      </c>
      <c r="E433" s="2"/>
      <c r="F433" s="2">
        <v>389</v>
      </c>
      <c r="G433" s="2" t="s">
        <v>1819</v>
      </c>
      <c r="H433" s="2">
        <v>3</v>
      </c>
      <c r="I433" s="2" t="s">
        <v>315</v>
      </c>
      <c r="J433" s="2">
        <v>399</v>
      </c>
      <c r="K433" s="2" t="s">
        <v>1820</v>
      </c>
      <c r="L433" s="2" t="s">
        <v>1821</v>
      </c>
      <c r="M433" s="3">
        <v>40216</v>
      </c>
      <c r="N433" s="2" t="s">
        <v>1822</v>
      </c>
      <c r="O433" s="2" t="s">
        <v>107</v>
      </c>
      <c r="P433" s="2" t="s">
        <v>107</v>
      </c>
      <c r="Q433" s="2" t="str">
        <f>"076-E/10"</f>
        <v>076-E/10</v>
      </c>
      <c r="R433" s="2" t="s">
        <v>1991</v>
      </c>
      <c r="S433" s="2" t="s">
        <v>82</v>
      </c>
      <c r="T433" s="2">
        <v>1</v>
      </c>
      <c r="U433" s="2" t="s">
        <v>79</v>
      </c>
      <c r="V433" s="2">
        <v>1</v>
      </c>
      <c r="W433" s="2" t="s">
        <v>80</v>
      </c>
      <c r="X433" s="2">
        <v>1</v>
      </c>
      <c r="Y433" s="2" t="s">
        <v>81</v>
      </c>
      <c r="Z433" s="2">
        <v>1</v>
      </c>
      <c r="AA433" s="2" t="s">
        <v>82</v>
      </c>
      <c r="AB433" s="2">
        <v>6</v>
      </c>
      <c r="AC433" s="2" t="s">
        <v>83</v>
      </c>
      <c r="AD433" s="3">
        <v>40215</v>
      </c>
      <c r="AE433" s="4">
        <v>0.77777777777777779</v>
      </c>
      <c r="AF433" s="3">
        <v>40215</v>
      </c>
      <c r="AG433" s="4">
        <v>0.78472222222222221</v>
      </c>
      <c r="AH433" s="2">
        <v>2</v>
      </c>
      <c r="AI433" s="2" t="s">
        <v>84</v>
      </c>
      <c r="AJ433" s="2">
        <v>9</v>
      </c>
      <c r="AK433" s="2" t="s">
        <v>103</v>
      </c>
      <c r="AL433" s="2">
        <v>15</v>
      </c>
      <c r="AM433" s="2" t="s">
        <v>104</v>
      </c>
      <c r="AN433" s="2" t="s">
        <v>1992</v>
      </c>
      <c r="AO433" s="2" t="s">
        <v>82</v>
      </c>
      <c r="AP433" s="2">
        <v>11</v>
      </c>
      <c r="AQ433" s="2" t="s">
        <v>82</v>
      </c>
      <c r="AR433" s="2"/>
      <c r="AS433" s="2"/>
      <c r="AT433" s="2" t="s">
        <v>1995</v>
      </c>
      <c r="AU433" s="2"/>
      <c r="AV433" s="2"/>
      <c r="AW433" s="2"/>
      <c r="AX433" s="2"/>
      <c r="AY433" s="2">
        <v>41</v>
      </c>
      <c r="AZ433" s="2" t="s">
        <v>82</v>
      </c>
      <c r="BA433" s="2">
        <v>41</v>
      </c>
      <c r="BB433" s="2" t="s">
        <v>82</v>
      </c>
      <c r="BC433" s="2">
        <v>41</v>
      </c>
      <c r="BD433" s="2" t="s">
        <v>82</v>
      </c>
      <c r="BE433" s="2">
        <v>13</v>
      </c>
      <c r="BF433" s="2" t="s">
        <v>108</v>
      </c>
      <c r="BG433" s="2" t="s">
        <v>1994</v>
      </c>
      <c r="BH433" s="2"/>
      <c r="BI433" s="4">
        <v>0.8125</v>
      </c>
      <c r="BJ433" s="2">
        <v>13</v>
      </c>
      <c r="BK433" s="2" t="s">
        <v>91</v>
      </c>
      <c r="BL433" s="2" t="s">
        <v>360</v>
      </c>
      <c r="BM433" s="2">
        <v>241</v>
      </c>
      <c r="BN433" s="2" t="s">
        <v>82</v>
      </c>
      <c r="BO433" s="2"/>
      <c r="BP433" s="2">
        <v>33</v>
      </c>
      <c r="BQ433" s="2" t="s">
        <v>361</v>
      </c>
      <c r="BR433" s="2" t="s">
        <v>1739</v>
      </c>
      <c r="BS433" s="3">
        <v>40216</v>
      </c>
      <c r="BT433" s="4">
        <v>0.44013888888888886</v>
      </c>
    </row>
    <row r="434" spans="1:72" x14ac:dyDescent="0.25">
      <c r="A434" s="2">
        <v>685</v>
      </c>
      <c r="B434" s="2">
        <v>2010</v>
      </c>
      <c r="C434" s="2" t="s">
        <v>72</v>
      </c>
      <c r="D434" s="2" t="s">
        <v>73</v>
      </c>
      <c r="E434" s="2"/>
      <c r="F434" s="2">
        <v>3</v>
      </c>
      <c r="G434" s="2" t="s">
        <v>1041</v>
      </c>
      <c r="H434" s="2">
        <v>42</v>
      </c>
      <c r="I434" s="2" t="s">
        <v>1096</v>
      </c>
      <c r="J434" s="2">
        <v>368</v>
      </c>
      <c r="K434" s="2" t="s">
        <v>1042</v>
      </c>
      <c r="L434" s="2" t="s">
        <v>1043</v>
      </c>
      <c r="M434" s="3">
        <v>40216</v>
      </c>
      <c r="N434" s="2"/>
      <c r="O434" s="2"/>
      <c r="P434" s="2"/>
      <c r="Q434" s="2" t="str">
        <f>"077-E/10"</f>
        <v>077-E/10</v>
      </c>
      <c r="R434" s="2" t="s">
        <v>116</v>
      </c>
      <c r="S434" s="2" t="s">
        <v>116</v>
      </c>
      <c r="T434" s="2">
        <v>1</v>
      </c>
      <c r="U434" s="2" t="s">
        <v>79</v>
      </c>
      <c r="V434" s="2">
        <v>1</v>
      </c>
      <c r="W434" s="2" t="s">
        <v>80</v>
      </c>
      <c r="X434" s="2">
        <v>1</v>
      </c>
      <c r="Y434" s="2" t="s">
        <v>81</v>
      </c>
      <c r="Z434" s="2">
        <v>1</v>
      </c>
      <c r="AA434" s="2" t="s">
        <v>82</v>
      </c>
      <c r="AB434" s="2">
        <v>6</v>
      </c>
      <c r="AC434" s="2" t="s">
        <v>83</v>
      </c>
      <c r="AD434" s="3">
        <v>40216</v>
      </c>
      <c r="AE434" s="4">
        <v>0.41666666666666669</v>
      </c>
      <c r="AF434" s="3">
        <v>40216</v>
      </c>
      <c r="AG434" s="4">
        <v>0.44444444444444442</v>
      </c>
      <c r="AH434" s="2">
        <v>2</v>
      </c>
      <c r="AI434" s="2" t="s">
        <v>84</v>
      </c>
      <c r="AJ434" s="2">
        <v>9</v>
      </c>
      <c r="AK434" s="2" t="s">
        <v>103</v>
      </c>
      <c r="AL434" s="2">
        <v>12</v>
      </c>
      <c r="AM434" s="2" t="s">
        <v>86</v>
      </c>
      <c r="AN434" s="2" t="s">
        <v>1996</v>
      </c>
      <c r="AO434" s="2" t="s">
        <v>1997</v>
      </c>
      <c r="AP434" s="2">
        <v>11</v>
      </c>
      <c r="AQ434" s="2" t="s">
        <v>82</v>
      </c>
      <c r="AR434" s="2"/>
      <c r="AS434" s="2"/>
      <c r="AT434" s="2" t="s">
        <v>1998</v>
      </c>
      <c r="AU434" s="2"/>
      <c r="AV434" s="2"/>
      <c r="AW434" s="2"/>
      <c r="AX434" s="2"/>
      <c r="AY434" s="2">
        <v>41</v>
      </c>
      <c r="AZ434" s="2" t="s">
        <v>82</v>
      </c>
      <c r="BA434" s="2">
        <v>41</v>
      </c>
      <c r="BB434" s="2" t="s">
        <v>82</v>
      </c>
      <c r="BC434" s="2">
        <v>41</v>
      </c>
      <c r="BD434" s="2" t="s">
        <v>82</v>
      </c>
      <c r="BE434" s="2">
        <v>26</v>
      </c>
      <c r="BF434" s="2" t="s">
        <v>1999</v>
      </c>
      <c r="BG434" s="2" t="s">
        <v>2000</v>
      </c>
      <c r="BH434" s="4">
        <v>0.375</v>
      </c>
      <c r="BI434" s="4">
        <v>0</v>
      </c>
      <c r="BJ434" s="2">
        <v>75</v>
      </c>
      <c r="BK434" s="2" t="s">
        <v>1264</v>
      </c>
      <c r="BL434" s="2" t="s">
        <v>2001</v>
      </c>
      <c r="BM434" s="2">
        <v>241</v>
      </c>
      <c r="BN434" s="2" t="s">
        <v>82</v>
      </c>
      <c r="BO434" s="2"/>
      <c r="BP434" s="2">
        <v>13</v>
      </c>
      <c r="BQ434" s="2" t="s">
        <v>91</v>
      </c>
      <c r="BR434" s="2" t="s">
        <v>2002</v>
      </c>
      <c r="BS434" s="3">
        <v>40216</v>
      </c>
      <c r="BT434" s="4">
        <v>0.55403935185185182</v>
      </c>
    </row>
    <row r="435" spans="1:72" x14ac:dyDescent="0.25">
      <c r="A435" s="2">
        <v>686</v>
      </c>
      <c r="B435" s="2">
        <v>2010</v>
      </c>
      <c r="C435" s="2" t="s">
        <v>819</v>
      </c>
      <c r="D435" s="2" t="s">
        <v>73</v>
      </c>
      <c r="E435" s="2"/>
      <c r="F435" s="2">
        <v>1</v>
      </c>
      <c r="G435" s="2" t="s">
        <v>82</v>
      </c>
      <c r="H435" s="2">
        <v>1</v>
      </c>
      <c r="I435" s="2" t="s">
        <v>82</v>
      </c>
      <c r="J435" s="2">
        <v>1</v>
      </c>
      <c r="K435" s="2" t="s">
        <v>107</v>
      </c>
      <c r="L435" s="2" t="s">
        <v>107</v>
      </c>
      <c r="M435" s="3">
        <v>40216</v>
      </c>
      <c r="N435" s="2"/>
      <c r="O435" s="2" t="s">
        <v>107</v>
      </c>
      <c r="P435" s="2" t="s">
        <v>107</v>
      </c>
      <c r="Q435" s="2" t="str">
        <f>"0016/2010"</f>
        <v>0016/2010</v>
      </c>
      <c r="R435" s="2" t="s">
        <v>82</v>
      </c>
      <c r="S435" s="2" t="s">
        <v>2003</v>
      </c>
      <c r="T435" s="2">
        <v>1</v>
      </c>
      <c r="U435" s="2" t="s">
        <v>79</v>
      </c>
      <c r="V435" s="2">
        <v>1</v>
      </c>
      <c r="W435" s="2" t="s">
        <v>80</v>
      </c>
      <c r="X435" s="2">
        <v>1</v>
      </c>
      <c r="Y435" s="2" t="s">
        <v>81</v>
      </c>
      <c r="Z435" s="2">
        <v>10</v>
      </c>
      <c r="AA435" s="2" t="s">
        <v>236</v>
      </c>
      <c r="AB435" s="2">
        <v>9</v>
      </c>
      <c r="AC435" s="2" t="s">
        <v>124</v>
      </c>
      <c r="AD435" s="3">
        <v>40216</v>
      </c>
      <c r="AE435" s="4">
        <v>0.71875</v>
      </c>
      <c r="AF435" s="2"/>
      <c r="AG435" s="2"/>
      <c r="AH435" s="2">
        <v>5</v>
      </c>
      <c r="AI435" s="2" t="s">
        <v>274</v>
      </c>
      <c r="AJ435" s="2">
        <v>38</v>
      </c>
      <c r="AK435" s="2" t="s">
        <v>1120</v>
      </c>
      <c r="AL435" s="2">
        <v>8</v>
      </c>
      <c r="AM435" s="2" t="s">
        <v>179</v>
      </c>
      <c r="AN435" s="2"/>
      <c r="AO435" s="2"/>
      <c r="AP435" s="2">
        <v>11</v>
      </c>
      <c r="AQ435" s="2" t="s">
        <v>82</v>
      </c>
      <c r="AR435" s="2"/>
      <c r="AS435" s="2"/>
      <c r="AT435" s="2" t="s">
        <v>2004</v>
      </c>
      <c r="AU435" s="2"/>
      <c r="AV435" s="2"/>
      <c r="AW435" s="2"/>
      <c r="AX435" s="2"/>
      <c r="AY435" s="2">
        <v>41</v>
      </c>
      <c r="AZ435" s="2" t="s">
        <v>82</v>
      </c>
      <c r="BA435" s="2">
        <v>41</v>
      </c>
      <c r="BB435" s="2" t="s">
        <v>82</v>
      </c>
      <c r="BC435" s="2">
        <v>41</v>
      </c>
      <c r="BD435" s="2" t="s">
        <v>82</v>
      </c>
      <c r="BE435" s="2">
        <v>47</v>
      </c>
      <c r="BF435" s="2" t="s">
        <v>167</v>
      </c>
      <c r="BG435" s="2">
        <v>2739</v>
      </c>
      <c r="BH435" s="4">
        <v>0.74305555555555547</v>
      </c>
      <c r="BI435" s="4">
        <v>0.77430555555555547</v>
      </c>
      <c r="BJ435" s="2">
        <v>13</v>
      </c>
      <c r="BK435" s="2" t="s">
        <v>91</v>
      </c>
      <c r="BL435" s="2" t="s">
        <v>170</v>
      </c>
      <c r="BM435" s="2">
        <v>13</v>
      </c>
      <c r="BN435" s="2" t="s">
        <v>91</v>
      </c>
      <c r="BO435" s="2" t="s">
        <v>2005</v>
      </c>
      <c r="BP435" s="2">
        <v>13</v>
      </c>
      <c r="BQ435" s="2" t="s">
        <v>91</v>
      </c>
      <c r="BR435" s="2" t="s">
        <v>170</v>
      </c>
      <c r="BS435" s="3">
        <v>40216</v>
      </c>
      <c r="BT435" s="4">
        <v>0.83284722222222218</v>
      </c>
    </row>
    <row r="436" spans="1:72" x14ac:dyDescent="0.25">
      <c r="A436" s="2">
        <v>687</v>
      </c>
      <c r="B436" s="2">
        <v>2010</v>
      </c>
      <c r="C436" s="2" t="s">
        <v>72</v>
      </c>
      <c r="D436" s="2" t="s">
        <v>73</v>
      </c>
      <c r="E436" s="2"/>
      <c r="F436" s="2">
        <v>181</v>
      </c>
      <c r="G436" s="2" t="s">
        <v>1749</v>
      </c>
      <c r="H436" s="2">
        <v>52</v>
      </c>
      <c r="I436" s="2" t="s">
        <v>1750</v>
      </c>
      <c r="J436" s="2">
        <v>189</v>
      </c>
      <c r="K436" s="2" t="s">
        <v>1751</v>
      </c>
      <c r="L436" s="2" t="s">
        <v>1752</v>
      </c>
      <c r="M436" s="3">
        <v>40217</v>
      </c>
      <c r="N436" s="2" t="s">
        <v>2006</v>
      </c>
      <c r="O436" s="2" t="s">
        <v>107</v>
      </c>
      <c r="P436" s="2" t="s">
        <v>107</v>
      </c>
      <c r="Q436" s="2" t="str">
        <f>"045-A/10"</f>
        <v>045-A/10</v>
      </c>
      <c r="R436" s="2" t="s">
        <v>107</v>
      </c>
      <c r="S436" s="2" t="s">
        <v>2007</v>
      </c>
      <c r="T436" s="2">
        <v>1</v>
      </c>
      <c r="U436" s="2" t="s">
        <v>79</v>
      </c>
      <c r="V436" s="2">
        <v>1</v>
      </c>
      <c r="W436" s="2" t="s">
        <v>80</v>
      </c>
      <c r="X436" s="2">
        <v>5</v>
      </c>
      <c r="Y436" s="2" t="s">
        <v>82</v>
      </c>
      <c r="Z436" s="2">
        <v>1</v>
      </c>
      <c r="AA436" s="2" t="s">
        <v>82</v>
      </c>
      <c r="AB436" s="2">
        <v>6</v>
      </c>
      <c r="AC436" s="2" t="s">
        <v>83</v>
      </c>
      <c r="AD436" s="3">
        <v>40216</v>
      </c>
      <c r="AE436" s="4">
        <v>0.8125</v>
      </c>
      <c r="AF436" s="3">
        <v>40216</v>
      </c>
      <c r="AG436" s="4">
        <v>0.83333333333333337</v>
      </c>
      <c r="AH436" s="2">
        <v>2</v>
      </c>
      <c r="AI436" s="2" t="s">
        <v>84</v>
      </c>
      <c r="AJ436" s="2">
        <v>12</v>
      </c>
      <c r="AK436" s="2" t="s">
        <v>85</v>
      </c>
      <c r="AL436" s="2">
        <v>12</v>
      </c>
      <c r="AM436" s="2" t="s">
        <v>86</v>
      </c>
      <c r="AN436" s="2" t="s">
        <v>296</v>
      </c>
      <c r="AO436" s="2" t="s">
        <v>2008</v>
      </c>
      <c r="AP436" s="2">
        <v>11</v>
      </c>
      <c r="AQ436" s="2" t="s">
        <v>82</v>
      </c>
      <c r="AR436" s="2" t="s">
        <v>82</v>
      </c>
      <c r="AS436" s="2" t="s">
        <v>82</v>
      </c>
      <c r="AT436" s="2" t="s">
        <v>2009</v>
      </c>
      <c r="AU436" s="2">
        <v>1</v>
      </c>
      <c r="AV436" s="2"/>
      <c r="AW436" s="2"/>
      <c r="AX436" s="2"/>
      <c r="AY436" s="2">
        <v>41</v>
      </c>
      <c r="AZ436" s="2" t="s">
        <v>82</v>
      </c>
      <c r="BA436" s="2">
        <v>41</v>
      </c>
      <c r="BB436" s="2" t="s">
        <v>82</v>
      </c>
      <c r="BC436" s="2">
        <v>41</v>
      </c>
      <c r="BD436" s="2" t="s">
        <v>82</v>
      </c>
      <c r="BE436" s="2">
        <v>13</v>
      </c>
      <c r="BF436" s="2" t="s">
        <v>108</v>
      </c>
      <c r="BG436" s="2" t="s">
        <v>2010</v>
      </c>
      <c r="BH436" s="4">
        <v>0.91666666666666663</v>
      </c>
      <c r="BI436" s="4">
        <v>0.85416666666666663</v>
      </c>
      <c r="BJ436" s="2">
        <v>13</v>
      </c>
      <c r="BK436" s="2" t="s">
        <v>91</v>
      </c>
      <c r="BL436" s="2" t="s">
        <v>185</v>
      </c>
      <c r="BM436" s="2">
        <v>241</v>
      </c>
      <c r="BN436" s="2" t="s">
        <v>82</v>
      </c>
      <c r="BO436" s="2" t="s">
        <v>82</v>
      </c>
      <c r="BP436" s="2">
        <v>13</v>
      </c>
      <c r="BQ436" s="2" t="s">
        <v>91</v>
      </c>
      <c r="BR436" s="2" t="s">
        <v>1958</v>
      </c>
      <c r="BS436" s="3">
        <v>40217</v>
      </c>
      <c r="BT436" s="4">
        <v>6.3055555555555545E-2</v>
      </c>
    </row>
    <row r="437" spans="1:72" x14ac:dyDescent="0.25">
      <c r="A437" s="2">
        <v>688</v>
      </c>
      <c r="B437" s="2">
        <v>2010</v>
      </c>
      <c r="C437" s="2" t="s">
        <v>2011</v>
      </c>
      <c r="D437" s="2" t="s">
        <v>73</v>
      </c>
      <c r="E437" s="2"/>
      <c r="F437" s="2">
        <v>156</v>
      </c>
      <c r="G437" s="2" t="s">
        <v>1875</v>
      </c>
      <c r="H437" s="2">
        <v>12</v>
      </c>
      <c r="I437" s="2" t="s">
        <v>95</v>
      </c>
      <c r="J437" s="2">
        <v>168</v>
      </c>
      <c r="K437" s="2" t="s">
        <v>1876</v>
      </c>
      <c r="L437" s="2" t="s">
        <v>1877</v>
      </c>
      <c r="M437" s="3">
        <v>40217</v>
      </c>
      <c r="N437" s="2" t="s">
        <v>2012</v>
      </c>
      <c r="O437" s="2" t="s">
        <v>107</v>
      </c>
      <c r="P437" s="2" t="s">
        <v>107</v>
      </c>
      <c r="Q437" s="2" t="str">
        <f>"046-A/10"</f>
        <v>046-A/10</v>
      </c>
      <c r="R437" s="2" t="s">
        <v>107</v>
      </c>
      <c r="S437" s="2" t="s">
        <v>2013</v>
      </c>
      <c r="T437" s="2">
        <v>1</v>
      </c>
      <c r="U437" s="2" t="s">
        <v>79</v>
      </c>
      <c r="V437" s="2">
        <v>1</v>
      </c>
      <c r="W437" s="2" t="s">
        <v>80</v>
      </c>
      <c r="X437" s="2">
        <v>3</v>
      </c>
      <c r="Y437" s="2" t="s">
        <v>698</v>
      </c>
      <c r="Z437" s="2">
        <v>3</v>
      </c>
      <c r="AA437" s="2" t="s">
        <v>257</v>
      </c>
      <c r="AB437" s="2">
        <v>9</v>
      </c>
      <c r="AC437" s="2" t="s">
        <v>124</v>
      </c>
      <c r="AD437" s="3">
        <v>40216</v>
      </c>
      <c r="AE437" s="4">
        <v>0.89583333333333337</v>
      </c>
      <c r="AF437" s="2"/>
      <c r="AG437" s="2"/>
      <c r="AH437" s="2">
        <v>2</v>
      </c>
      <c r="AI437" s="2" t="s">
        <v>84</v>
      </c>
      <c r="AJ437" s="2">
        <v>12</v>
      </c>
      <c r="AK437" s="2" t="s">
        <v>85</v>
      </c>
      <c r="AL437" s="2">
        <v>14</v>
      </c>
      <c r="AM437" s="2" t="s">
        <v>216</v>
      </c>
      <c r="AN437" s="2" t="s">
        <v>2014</v>
      </c>
      <c r="AO437" s="2"/>
      <c r="AP437" s="2">
        <v>11</v>
      </c>
      <c r="AQ437" s="2" t="s">
        <v>82</v>
      </c>
      <c r="AR437" s="2" t="s">
        <v>82</v>
      </c>
      <c r="AS437" s="2" t="s">
        <v>82</v>
      </c>
      <c r="AT437" s="2" t="s">
        <v>2015</v>
      </c>
      <c r="AU437" s="2"/>
      <c r="AV437" s="2"/>
      <c r="AW437" s="2"/>
      <c r="AX437" s="2"/>
      <c r="AY437" s="2">
        <v>47</v>
      </c>
      <c r="AZ437" s="2" t="s">
        <v>167</v>
      </c>
      <c r="BA437" s="2">
        <v>41</v>
      </c>
      <c r="BB437" s="2" t="s">
        <v>82</v>
      </c>
      <c r="BC437" s="2">
        <v>41</v>
      </c>
      <c r="BD437" s="2" t="s">
        <v>82</v>
      </c>
      <c r="BE437" s="2">
        <v>41</v>
      </c>
      <c r="BF437" s="2" t="s">
        <v>82</v>
      </c>
      <c r="BG437" s="2" t="s">
        <v>82</v>
      </c>
      <c r="BH437" s="2"/>
      <c r="BI437" s="2"/>
      <c r="BJ437" s="2">
        <v>241</v>
      </c>
      <c r="BK437" s="2" t="s">
        <v>82</v>
      </c>
      <c r="BL437" s="2" t="s">
        <v>82</v>
      </c>
      <c r="BM437" s="2">
        <v>241</v>
      </c>
      <c r="BN437" s="2" t="s">
        <v>82</v>
      </c>
      <c r="BO437" s="2" t="s">
        <v>82</v>
      </c>
      <c r="BP437" s="2">
        <v>241</v>
      </c>
      <c r="BQ437" s="2" t="s">
        <v>82</v>
      </c>
      <c r="BR437" s="2" t="s">
        <v>82</v>
      </c>
      <c r="BS437" s="3">
        <v>40217</v>
      </c>
      <c r="BT437" s="4">
        <v>0.2742013888888889</v>
      </c>
    </row>
    <row r="438" spans="1:72" x14ac:dyDescent="0.25">
      <c r="A438" s="2">
        <v>689</v>
      </c>
      <c r="B438" s="2">
        <v>2010</v>
      </c>
      <c r="C438" s="2" t="s">
        <v>93</v>
      </c>
      <c r="D438" s="2" t="s">
        <v>122</v>
      </c>
      <c r="E438" s="2" t="s">
        <v>2016</v>
      </c>
      <c r="F438" s="2">
        <v>441</v>
      </c>
      <c r="G438" s="2" t="s">
        <v>696</v>
      </c>
      <c r="H438" s="2">
        <v>22</v>
      </c>
      <c r="I438" s="2" t="s">
        <v>75</v>
      </c>
      <c r="J438" s="2">
        <v>404</v>
      </c>
      <c r="K438" s="2" t="s">
        <v>1960</v>
      </c>
      <c r="L438" s="2" t="s">
        <v>1961</v>
      </c>
      <c r="M438" s="3">
        <v>40217</v>
      </c>
      <c r="N438" s="2" t="s">
        <v>1962</v>
      </c>
      <c r="O438" s="2" t="s">
        <v>1963</v>
      </c>
      <c r="P438" s="2">
        <v>1570</v>
      </c>
      <c r="Q438" s="2" t="str">
        <f>""</f>
        <v/>
      </c>
      <c r="R438" s="2" t="s">
        <v>1964</v>
      </c>
      <c r="S438" s="2"/>
      <c r="T438" s="2">
        <v>1</v>
      </c>
      <c r="U438" s="2" t="s">
        <v>79</v>
      </c>
      <c r="V438" s="2">
        <v>1</v>
      </c>
      <c r="W438" s="2" t="s">
        <v>80</v>
      </c>
      <c r="X438" s="2">
        <v>1</v>
      </c>
      <c r="Y438" s="2" t="s">
        <v>81</v>
      </c>
      <c r="Z438" s="2">
        <v>1</v>
      </c>
      <c r="AA438" s="2" t="s">
        <v>82</v>
      </c>
      <c r="AB438" s="2">
        <v>2</v>
      </c>
      <c r="AC438" s="2" t="s">
        <v>102</v>
      </c>
      <c r="AD438" s="2"/>
      <c r="AE438" s="2"/>
      <c r="AF438" s="2"/>
      <c r="AG438" s="2"/>
      <c r="AH438" s="2">
        <v>2</v>
      </c>
      <c r="AI438" s="2" t="s">
        <v>84</v>
      </c>
      <c r="AJ438" s="2">
        <v>9</v>
      </c>
      <c r="AK438" s="2" t="s">
        <v>103</v>
      </c>
      <c r="AL438" s="2">
        <v>18</v>
      </c>
      <c r="AM438" s="2" t="s">
        <v>82</v>
      </c>
      <c r="AN438" s="2"/>
      <c r="AO438" s="2"/>
      <c r="AP438" s="2">
        <v>11</v>
      </c>
      <c r="AQ438" s="2" t="s">
        <v>82</v>
      </c>
      <c r="AR438" s="2"/>
      <c r="AS438" s="2"/>
      <c r="AT438" s="2" t="s">
        <v>2017</v>
      </c>
      <c r="AU438" s="2">
        <v>1</v>
      </c>
      <c r="AV438" s="2"/>
      <c r="AW438" s="2"/>
      <c r="AX438" s="2"/>
      <c r="AY438" s="2">
        <v>1</v>
      </c>
      <c r="AZ438" s="2" t="s">
        <v>107</v>
      </c>
      <c r="BA438" s="2">
        <v>1</v>
      </c>
      <c r="BB438" s="2" t="s">
        <v>107</v>
      </c>
      <c r="BC438" s="2">
        <v>70</v>
      </c>
      <c r="BD438" s="2" t="s">
        <v>236</v>
      </c>
      <c r="BE438" s="2">
        <v>1</v>
      </c>
      <c r="BF438" s="2" t="s">
        <v>107</v>
      </c>
      <c r="BG438" s="2"/>
      <c r="BH438" s="2"/>
      <c r="BI438" s="2"/>
      <c r="BJ438" s="2">
        <v>242</v>
      </c>
      <c r="BK438" s="2" t="s">
        <v>107</v>
      </c>
      <c r="BL438" s="2"/>
      <c r="BM438" s="2">
        <v>242</v>
      </c>
      <c r="BN438" s="2" t="s">
        <v>107</v>
      </c>
      <c r="BO438" s="2"/>
      <c r="BP438" s="2">
        <v>242</v>
      </c>
      <c r="BQ438" s="2" t="s">
        <v>107</v>
      </c>
      <c r="BR438" s="2"/>
      <c r="BS438" s="3">
        <v>40217</v>
      </c>
      <c r="BT438" s="4">
        <v>0.35313657407407412</v>
      </c>
    </row>
    <row r="439" spans="1:72" x14ac:dyDescent="0.25">
      <c r="A439" s="2">
        <v>690</v>
      </c>
      <c r="B439" s="2">
        <v>2010</v>
      </c>
      <c r="C439" s="2" t="s">
        <v>72</v>
      </c>
      <c r="D439" s="2" t="s">
        <v>122</v>
      </c>
      <c r="E439" s="2" t="s">
        <v>2018</v>
      </c>
      <c r="F439" s="2">
        <v>181</v>
      </c>
      <c r="G439" s="2" t="s">
        <v>1749</v>
      </c>
      <c r="H439" s="2">
        <v>52</v>
      </c>
      <c r="I439" s="2" t="s">
        <v>1750</v>
      </c>
      <c r="J439" s="2">
        <v>189</v>
      </c>
      <c r="K439" s="2" t="s">
        <v>1751</v>
      </c>
      <c r="L439" s="2" t="s">
        <v>1752</v>
      </c>
      <c r="M439" s="3">
        <v>40217</v>
      </c>
      <c r="N439" s="2" t="s">
        <v>2006</v>
      </c>
      <c r="O439" s="2" t="s">
        <v>107</v>
      </c>
      <c r="P439" s="2" t="s">
        <v>107</v>
      </c>
      <c r="Q439" s="2" t="str">
        <f>"045-A/10"</f>
        <v>045-A/10</v>
      </c>
      <c r="R439" s="2" t="s">
        <v>2007</v>
      </c>
      <c r="S439" s="2" t="s">
        <v>107</v>
      </c>
      <c r="T439" s="2">
        <v>1</v>
      </c>
      <c r="U439" s="2" t="s">
        <v>79</v>
      </c>
      <c r="V439" s="2">
        <v>1</v>
      </c>
      <c r="W439" s="2" t="s">
        <v>80</v>
      </c>
      <c r="X439" s="2">
        <v>5</v>
      </c>
      <c r="Y439" s="2" t="s">
        <v>82</v>
      </c>
      <c r="Z439" s="2">
        <v>1</v>
      </c>
      <c r="AA439" s="2" t="s">
        <v>82</v>
      </c>
      <c r="AB439" s="2">
        <v>6</v>
      </c>
      <c r="AC439" s="2" t="s">
        <v>83</v>
      </c>
      <c r="AD439" s="3">
        <v>40216</v>
      </c>
      <c r="AE439" s="4">
        <v>0.8125</v>
      </c>
      <c r="AF439" s="3">
        <v>40216</v>
      </c>
      <c r="AG439" s="4">
        <v>0.83333333333333337</v>
      </c>
      <c r="AH439" s="2">
        <v>2</v>
      </c>
      <c r="AI439" s="2" t="s">
        <v>84</v>
      </c>
      <c r="AJ439" s="2">
        <v>12</v>
      </c>
      <c r="AK439" s="2" t="s">
        <v>85</v>
      </c>
      <c r="AL439" s="2">
        <v>12</v>
      </c>
      <c r="AM439" s="2" t="s">
        <v>86</v>
      </c>
      <c r="AN439" s="2" t="s">
        <v>296</v>
      </c>
      <c r="AO439" s="2" t="s">
        <v>2008</v>
      </c>
      <c r="AP439" s="2">
        <v>11</v>
      </c>
      <c r="AQ439" s="2" t="s">
        <v>82</v>
      </c>
      <c r="AR439" s="2" t="s">
        <v>82</v>
      </c>
      <c r="AS439" s="2" t="s">
        <v>82</v>
      </c>
      <c r="AT439" s="2" t="s">
        <v>2019</v>
      </c>
      <c r="AU439" s="2">
        <v>1</v>
      </c>
      <c r="AV439" s="2"/>
      <c r="AW439" s="2"/>
      <c r="AX439" s="2"/>
      <c r="AY439" s="2">
        <v>41</v>
      </c>
      <c r="AZ439" s="2" t="s">
        <v>82</v>
      </c>
      <c r="BA439" s="2">
        <v>41</v>
      </c>
      <c r="BB439" s="2" t="s">
        <v>82</v>
      </c>
      <c r="BC439" s="2">
        <v>41</v>
      </c>
      <c r="BD439" s="2" t="s">
        <v>82</v>
      </c>
      <c r="BE439" s="2">
        <v>13</v>
      </c>
      <c r="BF439" s="2" t="s">
        <v>108</v>
      </c>
      <c r="BG439" s="2" t="s">
        <v>2010</v>
      </c>
      <c r="BH439" s="4">
        <v>0.91666666666666663</v>
      </c>
      <c r="BI439" s="4">
        <v>0.85416666666666663</v>
      </c>
      <c r="BJ439" s="2">
        <v>13</v>
      </c>
      <c r="BK439" s="2" t="s">
        <v>91</v>
      </c>
      <c r="BL439" s="2" t="s">
        <v>185</v>
      </c>
      <c r="BM439" s="2">
        <v>241</v>
      </c>
      <c r="BN439" s="2" t="s">
        <v>82</v>
      </c>
      <c r="BO439" s="2" t="s">
        <v>82</v>
      </c>
      <c r="BP439" s="2">
        <v>13</v>
      </c>
      <c r="BQ439" s="2" t="s">
        <v>91</v>
      </c>
      <c r="BR439" s="2" t="s">
        <v>1958</v>
      </c>
      <c r="BS439" s="3">
        <v>40217</v>
      </c>
      <c r="BT439" s="4">
        <v>0.42280092592592594</v>
      </c>
    </row>
    <row r="440" spans="1:72" x14ac:dyDescent="0.25">
      <c r="A440" s="2">
        <v>693</v>
      </c>
      <c r="B440" s="2">
        <v>2010</v>
      </c>
      <c r="C440" s="2" t="s">
        <v>457</v>
      </c>
      <c r="D440" s="2" t="s">
        <v>73</v>
      </c>
      <c r="E440" s="2"/>
      <c r="F440" s="2">
        <v>45</v>
      </c>
      <c r="G440" s="2" t="s">
        <v>1408</v>
      </c>
      <c r="H440" s="2">
        <v>25</v>
      </c>
      <c r="I440" s="2" t="s">
        <v>505</v>
      </c>
      <c r="J440" s="2">
        <v>405</v>
      </c>
      <c r="K440" s="2" t="s">
        <v>2020</v>
      </c>
      <c r="L440" s="2" t="s">
        <v>2021</v>
      </c>
      <c r="M440" s="3">
        <v>40217</v>
      </c>
      <c r="N440" s="2" t="s">
        <v>2022</v>
      </c>
      <c r="O440" s="2" t="s">
        <v>2023</v>
      </c>
      <c r="P440" s="2" t="s">
        <v>2024</v>
      </c>
      <c r="Q440" s="2" t="str">
        <f>""</f>
        <v/>
      </c>
      <c r="R440" s="2"/>
      <c r="S440" s="2"/>
      <c r="T440" s="2">
        <v>1</v>
      </c>
      <c r="U440" s="2" t="s">
        <v>79</v>
      </c>
      <c r="V440" s="2">
        <v>1</v>
      </c>
      <c r="W440" s="2" t="s">
        <v>80</v>
      </c>
      <c r="X440" s="2">
        <v>4</v>
      </c>
      <c r="Y440" s="2" t="s">
        <v>463</v>
      </c>
      <c r="Z440" s="2">
        <v>6</v>
      </c>
      <c r="AA440" s="2" t="s">
        <v>101</v>
      </c>
      <c r="AB440" s="2">
        <v>9</v>
      </c>
      <c r="AC440" s="2" t="s">
        <v>124</v>
      </c>
      <c r="AD440" s="3">
        <v>40217</v>
      </c>
      <c r="AE440" s="4">
        <v>0.42708333333333331</v>
      </c>
      <c r="AF440" s="2"/>
      <c r="AG440" s="2"/>
      <c r="AH440" s="2">
        <v>4</v>
      </c>
      <c r="AI440" s="2" t="s">
        <v>125</v>
      </c>
      <c r="AJ440" s="2">
        <v>28</v>
      </c>
      <c r="AK440" s="2" t="s">
        <v>741</v>
      </c>
      <c r="AL440" s="2">
        <v>11</v>
      </c>
      <c r="AM440" s="2" t="s">
        <v>137</v>
      </c>
      <c r="AN440" s="2"/>
      <c r="AO440" s="2"/>
      <c r="AP440" s="2">
        <v>11</v>
      </c>
      <c r="AQ440" s="2" t="s">
        <v>82</v>
      </c>
      <c r="AR440" s="2"/>
      <c r="AS440" s="2"/>
      <c r="AT440" s="2" t="s">
        <v>2025</v>
      </c>
      <c r="AU440" s="2"/>
      <c r="AV440" s="2"/>
      <c r="AW440" s="2"/>
      <c r="AX440" s="2"/>
      <c r="AY440" s="2">
        <v>41</v>
      </c>
      <c r="AZ440" s="2" t="s">
        <v>82</v>
      </c>
      <c r="BA440" s="2">
        <v>41</v>
      </c>
      <c r="BB440" s="2" t="s">
        <v>82</v>
      </c>
      <c r="BC440" s="2">
        <v>41</v>
      </c>
      <c r="BD440" s="2" t="s">
        <v>82</v>
      </c>
      <c r="BE440" s="2">
        <v>19</v>
      </c>
      <c r="BF440" s="2" t="s">
        <v>1061</v>
      </c>
      <c r="BG440" s="2" t="s">
        <v>2026</v>
      </c>
      <c r="BH440" s="4">
        <v>0.55555555555555558</v>
      </c>
      <c r="BI440" s="4">
        <v>0.58333333333333337</v>
      </c>
      <c r="BJ440" s="2">
        <v>13</v>
      </c>
      <c r="BK440" s="2" t="s">
        <v>91</v>
      </c>
      <c r="BL440" s="2" t="s">
        <v>744</v>
      </c>
      <c r="BM440" s="2">
        <v>13</v>
      </c>
      <c r="BN440" s="2" t="s">
        <v>91</v>
      </c>
      <c r="BO440" s="2" t="s">
        <v>828</v>
      </c>
      <c r="BP440" s="2">
        <v>29</v>
      </c>
      <c r="BQ440" s="2" t="s">
        <v>962</v>
      </c>
      <c r="BR440" s="2" t="s">
        <v>2027</v>
      </c>
      <c r="BS440" s="3">
        <v>40217</v>
      </c>
      <c r="BT440" s="4">
        <v>0.6035300925925926</v>
      </c>
    </row>
    <row r="441" spans="1:72" x14ac:dyDescent="0.25">
      <c r="A441" s="2">
        <v>694</v>
      </c>
      <c r="B441" s="2">
        <v>2010</v>
      </c>
      <c r="C441" s="2" t="s">
        <v>414</v>
      </c>
      <c r="D441" s="2" t="s">
        <v>73</v>
      </c>
      <c r="E441" s="2"/>
      <c r="F441" s="2">
        <v>1</v>
      </c>
      <c r="G441" s="2" t="s">
        <v>82</v>
      </c>
      <c r="H441" s="2">
        <v>1</v>
      </c>
      <c r="I441" s="2" t="s">
        <v>82</v>
      </c>
      <c r="J441" s="2">
        <v>1</v>
      </c>
      <c r="K441" s="2" t="s">
        <v>107</v>
      </c>
      <c r="L441" s="2" t="s">
        <v>107</v>
      </c>
      <c r="M441" s="3">
        <v>40217</v>
      </c>
      <c r="N441" s="2"/>
      <c r="O441" s="2"/>
      <c r="P441" s="2"/>
      <c r="Q441" s="2" t="str">
        <f>""</f>
        <v/>
      </c>
      <c r="R441" s="2"/>
      <c r="S441" s="2"/>
      <c r="T441" s="2">
        <v>1</v>
      </c>
      <c r="U441" s="2" t="s">
        <v>79</v>
      </c>
      <c r="V441" s="2">
        <v>1</v>
      </c>
      <c r="W441" s="2" t="s">
        <v>80</v>
      </c>
      <c r="X441" s="2">
        <v>1</v>
      </c>
      <c r="Y441" s="2" t="s">
        <v>81</v>
      </c>
      <c r="Z441" s="2">
        <v>10</v>
      </c>
      <c r="AA441" s="2" t="s">
        <v>236</v>
      </c>
      <c r="AB441" s="2">
        <v>9</v>
      </c>
      <c r="AC441" s="2" t="s">
        <v>124</v>
      </c>
      <c r="AD441" s="3">
        <v>40217</v>
      </c>
      <c r="AE441" s="4">
        <v>0.54166666666666663</v>
      </c>
      <c r="AF441" s="2"/>
      <c r="AG441" s="2"/>
      <c r="AH441" s="2">
        <v>5</v>
      </c>
      <c r="AI441" s="2" t="s">
        <v>274</v>
      </c>
      <c r="AJ441" s="2">
        <v>40</v>
      </c>
      <c r="AK441" s="2" t="s">
        <v>935</v>
      </c>
      <c r="AL441" s="2">
        <v>18</v>
      </c>
      <c r="AM441" s="2" t="s">
        <v>82</v>
      </c>
      <c r="AN441" s="2"/>
      <c r="AO441" s="2" t="s">
        <v>2028</v>
      </c>
      <c r="AP441" s="2">
        <v>11</v>
      </c>
      <c r="AQ441" s="2" t="s">
        <v>82</v>
      </c>
      <c r="AR441" s="2"/>
      <c r="AS441" s="2"/>
      <c r="AT441" s="2" t="s">
        <v>2029</v>
      </c>
      <c r="AU441" s="2"/>
      <c r="AV441" s="2"/>
      <c r="AW441" s="2"/>
      <c r="AX441" s="2"/>
      <c r="AY441" s="2">
        <v>41</v>
      </c>
      <c r="AZ441" s="2" t="s">
        <v>82</v>
      </c>
      <c r="BA441" s="2">
        <v>41</v>
      </c>
      <c r="BB441" s="2" t="s">
        <v>82</v>
      </c>
      <c r="BC441" s="2">
        <v>41</v>
      </c>
      <c r="BD441" s="2" t="s">
        <v>82</v>
      </c>
      <c r="BE441" s="2">
        <v>41</v>
      </c>
      <c r="BF441" s="2" t="s">
        <v>82</v>
      </c>
      <c r="BG441" s="2"/>
      <c r="BH441" s="2"/>
      <c r="BI441" s="2"/>
      <c r="BJ441" s="2">
        <v>241</v>
      </c>
      <c r="BK441" s="2" t="s">
        <v>82</v>
      </c>
      <c r="BL441" s="2"/>
      <c r="BM441" s="2">
        <v>241</v>
      </c>
      <c r="BN441" s="2" t="s">
        <v>82</v>
      </c>
      <c r="BO441" s="2"/>
      <c r="BP441" s="2">
        <v>241</v>
      </c>
      <c r="BQ441" s="2" t="s">
        <v>82</v>
      </c>
      <c r="BR441" s="2"/>
      <c r="BS441" s="3">
        <v>40217</v>
      </c>
      <c r="BT441" s="4">
        <v>0.60827546296296298</v>
      </c>
    </row>
    <row r="442" spans="1:72" x14ac:dyDescent="0.25">
      <c r="A442" s="2">
        <v>696</v>
      </c>
      <c r="B442" s="2">
        <v>2010</v>
      </c>
      <c r="C442" s="2" t="s">
        <v>72</v>
      </c>
      <c r="D442" s="2" t="s">
        <v>73</v>
      </c>
      <c r="E442" s="2"/>
      <c r="F442" s="2">
        <v>495</v>
      </c>
      <c r="G442" s="2" t="s">
        <v>1849</v>
      </c>
      <c r="H442" s="2">
        <v>42</v>
      </c>
      <c r="I442" s="2" t="s">
        <v>1096</v>
      </c>
      <c r="J442" s="2">
        <v>189</v>
      </c>
      <c r="K442" s="2" t="s">
        <v>1751</v>
      </c>
      <c r="L442" s="2" t="s">
        <v>1752</v>
      </c>
      <c r="M442" s="3">
        <v>40217</v>
      </c>
      <c r="N442" s="2" t="s">
        <v>1852</v>
      </c>
      <c r="O442" s="2" t="s">
        <v>107</v>
      </c>
      <c r="P442" s="2" t="s">
        <v>107</v>
      </c>
      <c r="Q442" s="2" t="str">
        <f>"047-A/10"</f>
        <v>047-A/10</v>
      </c>
      <c r="R442" s="2" t="s">
        <v>107</v>
      </c>
      <c r="S442" s="2" t="s">
        <v>1547</v>
      </c>
      <c r="T442" s="2">
        <v>1</v>
      </c>
      <c r="U442" s="2" t="s">
        <v>79</v>
      </c>
      <c r="V442" s="2">
        <v>1</v>
      </c>
      <c r="W442" s="2" t="s">
        <v>80</v>
      </c>
      <c r="X442" s="2">
        <v>5</v>
      </c>
      <c r="Y442" s="2" t="s">
        <v>82</v>
      </c>
      <c r="Z442" s="2">
        <v>1</v>
      </c>
      <c r="AA442" s="2" t="s">
        <v>82</v>
      </c>
      <c r="AB442" s="2">
        <v>6</v>
      </c>
      <c r="AC442" s="2" t="s">
        <v>83</v>
      </c>
      <c r="AD442" s="3">
        <v>40216</v>
      </c>
      <c r="AE442" s="4">
        <v>0.16944444444444443</v>
      </c>
      <c r="AF442" s="3">
        <v>40217</v>
      </c>
      <c r="AG442" s="4">
        <v>0.43402777777777773</v>
      </c>
      <c r="AH442" s="2">
        <v>2</v>
      </c>
      <c r="AI442" s="2" t="s">
        <v>84</v>
      </c>
      <c r="AJ442" s="2">
        <v>12</v>
      </c>
      <c r="AK442" s="2" t="s">
        <v>85</v>
      </c>
      <c r="AL442" s="2">
        <v>16</v>
      </c>
      <c r="AM442" s="2" t="s">
        <v>392</v>
      </c>
      <c r="AN442" s="2" t="s">
        <v>2030</v>
      </c>
      <c r="AO442" s="2"/>
      <c r="AP442" s="2">
        <v>11</v>
      </c>
      <c r="AQ442" s="2" t="s">
        <v>82</v>
      </c>
      <c r="AR442" s="2" t="s">
        <v>82</v>
      </c>
      <c r="AS442" s="2" t="s">
        <v>82</v>
      </c>
      <c r="AT442" s="2" t="s">
        <v>2031</v>
      </c>
      <c r="AU442" s="2"/>
      <c r="AV442" s="2"/>
      <c r="AW442" s="2"/>
      <c r="AX442" s="2"/>
      <c r="AY442" s="2">
        <v>41</v>
      </c>
      <c r="AZ442" s="2" t="s">
        <v>82</v>
      </c>
      <c r="BA442" s="2">
        <v>41</v>
      </c>
      <c r="BB442" s="2" t="s">
        <v>82</v>
      </c>
      <c r="BC442" s="2">
        <v>41</v>
      </c>
      <c r="BD442" s="2" t="s">
        <v>82</v>
      </c>
      <c r="BE442" s="2">
        <v>41</v>
      </c>
      <c r="BF442" s="2" t="s">
        <v>82</v>
      </c>
      <c r="BG442" s="2"/>
      <c r="BH442" s="2"/>
      <c r="BI442" s="2"/>
      <c r="BJ442" s="2">
        <v>241</v>
      </c>
      <c r="BK442" s="2" t="s">
        <v>82</v>
      </c>
      <c r="BL442" s="2" t="s">
        <v>82</v>
      </c>
      <c r="BM442" s="2">
        <v>241</v>
      </c>
      <c r="BN442" s="2" t="s">
        <v>82</v>
      </c>
      <c r="BO442" s="2" t="s">
        <v>82</v>
      </c>
      <c r="BP442" s="2">
        <v>241</v>
      </c>
      <c r="BQ442" s="2" t="s">
        <v>82</v>
      </c>
      <c r="BR442" s="2" t="s">
        <v>82</v>
      </c>
      <c r="BS442" s="3">
        <v>40217</v>
      </c>
      <c r="BT442" s="4">
        <v>0.67569444444444438</v>
      </c>
    </row>
    <row r="443" spans="1:72" x14ac:dyDescent="0.25">
      <c r="A443" s="2">
        <v>697</v>
      </c>
      <c r="B443" s="2">
        <v>2010</v>
      </c>
      <c r="C443" s="2" t="s">
        <v>457</v>
      </c>
      <c r="D443" s="2" t="s">
        <v>73</v>
      </c>
      <c r="E443" s="2"/>
      <c r="F443" s="2">
        <v>467</v>
      </c>
      <c r="G443" s="2" t="s">
        <v>1053</v>
      </c>
      <c r="H443" s="2">
        <v>22</v>
      </c>
      <c r="I443" s="2" t="s">
        <v>75</v>
      </c>
      <c r="J443" s="2">
        <v>369</v>
      </c>
      <c r="K443" s="2" t="s">
        <v>1054</v>
      </c>
      <c r="L443" s="2" t="s">
        <v>1055</v>
      </c>
      <c r="M443" s="3">
        <v>40217</v>
      </c>
      <c r="N443" s="2" t="s">
        <v>2032</v>
      </c>
      <c r="O443" s="2" t="s">
        <v>2033</v>
      </c>
      <c r="P443" s="2" t="s">
        <v>2034</v>
      </c>
      <c r="Q443" s="2" t="str">
        <f>""</f>
        <v/>
      </c>
      <c r="R443" s="2"/>
      <c r="S443" s="2"/>
      <c r="T443" s="2">
        <v>1</v>
      </c>
      <c r="U443" s="2" t="s">
        <v>79</v>
      </c>
      <c r="V443" s="2">
        <v>1</v>
      </c>
      <c r="W443" s="2" t="s">
        <v>80</v>
      </c>
      <c r="X443" s="2">
        <v>4</v>
      </c>
      <c r="Y443" s="2" t="s">
        <v>463</v>
      </c>
      <c r="Z443" s="2">
        <v>6</v>
      </c>
      <c r="AA443" s="2" t="s">
        <v>101</v>
      </c>
      <c r="AB443" s="2">
        <v>9</v>
      </c>
      <c r="AC443" s="2" t="s">
        <v>124</v>
      </c>
      <c r="AD443" s="3">
        <v>40217</v>
      </c>
      <c r="AE443" s="4">
        <v>0.53819444444444442</v>
      </c>
      <c r="AF443" s="2"/>
      <c r="AG443" s="2"/>
      <c r="AH443" s="2">
        <v>4</v>
      </c>
      <c r="AI443" s="2" t="s">
        <v>125</v>
      </c>
      <c r="AJ443" s="2">
        <v>29</v>
      </c>
      <c r="AK443" s="2" t="s">
        <v>227</v>
      </c>
      <c r="AL443" s="2">
        <v>11</v>
      </c>
      <c r="AM443" s="2" t="s">
        <v>137</v>
      </c>
      <c r="AN443" s="2"/>
      <c r="AO443" s="2" t="s">
        <v>2035</v>
      </c>
      <c r="AP443" s="2">
        <v>11</v>
      </c>
      <c r="AQ443" s="2" t="s">
        <v>82</v>
      </c>
      <c r="AR443" s="2"/>
      <c r="AS443" s="2"/>
      <c r="AT443" s="2" t="s">
        <v>2036</v>
      </c>
      <c r="AU443" s="2"/>
      <c r="AV443" s="2"/>
      <c r="AW443" s="2"/>
      <c r="AX443" s="2"/>
      <c r="AY443" s="2">
        <v>41</v>
      </c>
      <c r="AZ443" s="2" t="s">
        <v>82</v>
      </c>
      <c r="BA443" s="2">
        <v>41</v>
      </c>
      <c r="BB443" s="2" t="s">
        <v>82</v>
      </c>
      <c r="BC443" s="2">
        <v>41</v>
      </c>
      <c r="BD443" s="2" t="s">
        <v>82</v>
      </c>
      <c r="BE443" s="2">
        <v>19</v>
      </c>
      <c r="BF443" s="2" t="s">
        <v>1061</v>
      </c>
      <c r="BG443" s="2">
        <v>250</v>
      </c>
      <c r="BH443" s="4">
        <v>0.51736111111111105</v>
      </c>
      <c r="BI443" s="4">
        <v>0.53819444444444442</v>
      </c>
      <c r="BJ443" s="2">
        <v>29</v>
      </c>
      <c r="BK443" s="2" t="s">
        <v>962</v>
      </c>
      <c r="BL443" s="2" t="s">
        <v>1116</v>
      </c>
      <c r="BM443" s="2">
        <v>13</v>
      </c>
      <c r="BN443" s="2" t="s">
        <v>91</v>
      </c>
      <c r="BO443" s="2" t="s">
        <v>828</v>
      </c>
      <c r="BP443" s="2">
        <v>13</v>
      </c>
      <c r="BQ443" s="2" t="s">
        <v>91</v>
      </c>
      <c r="BR443" s="2" t="s">
        <v>744</v>
      </c>
      <c r="BS443" s="3">
        <v>40217</v>
      </c>
      <c r="BT443" s="4">
        <v>0.68815972222222221</v>
      </c>
    </row>
    <row r="444" spans="1:72" x14ac:dyDescent="0.25">
      <c r="A444" s="2">
        <v>701</v>
      </c>
      <c r="B444" s="2">
        <v>2010</v>
      </c>
      <c r="C444" s="2" t="s">
        <v>147</v>
      </c>
      <c r="D444" s="2" t="s">
        <v>73</v>
      </c>
      <c r="E444" s="2"/>
      <c r="F444" s="2">
        <v>1</v>
      </c>
      <c r="G444" s="2" t="s">
        <v>82</v>
      </c>
      <c r="H444" s="2">
        <v>1</v>
      </c>
      <c r="I444" s="2" t="s">
        <v>82</v>
      </c>
      <c r="J444" s="2">
        <v>1</v>
      </c>
      <c r="K444" s="2" t="s">
        <v>107</v>
      </c>
      <c r="L444" s="2" t="s">
        <v>107</v>
      </c>
      <c r="M444" s="3">
        <v>40217</v>
      </c>
      <c r="N444" s="2" t="s">
        <v>82</v>
      </c>
      <c r="O444" s="2" t="s">
        <v>82</v>
      </c>
      <c r="P444" s="2" t="s">
        <v>82</v>
      </c>
      <c r="Q444" s="2" t="str">
        <f>"N/C"</f>
        <v>N/C</v>
      </c>
      <c r="R444" s="2" t="s">
        <v>82</v>
      </c>
      <c r="S444" s="2" t="s">
        <v>82</v>
      </c>
      <c r="T444" s="2">
        <v>2</v>
      </c>
      <c r="U444" s="2" t="s">
        <v>123</v>
      </c>
      <c r="V444" s="2">
        <v>1</v>
      </c>
      <c r="W444" s="2" t="s">
        <v>80</v>
      </c>
      <c r="X444" s="2">
        <v>12</v>
      </c>
      <c r="Y444" s="2" t="s">
        <v>148</v>
      </c>
      <c r="Z444" s="2">
        <v>1</v>
      </c>
      <c r="AA444" s="2" t="s">
        <v>82</v>
      </c>
      <c r="AB444" s="2">
        <v>9</v>
      </c>
      <c r="AC444" s="2" t="s">
        <v>124</v>
      </c>
      <c r="AD444" s="3">
        <v>40200</v>
      </c>
      <c r="AE444" s="2"/>
      <c r="AF444" s="3">
        <v>40217</v>
      </c>
      <c r="AG444" s="4">
        <v>0.51041666666666663</v>
      </c>
      <c r="AH444" s="2">
        <v>2</v>
      </c>
      <c r="AI444" s="2" t="s">
        <v>84</v>
      </c>
      <c r="AJ444" s="2">
        <v>12</v>
      </c>
      <c r="AK444" s="2" t="s">
        <v>85</v>
      </c>
      <c r="AL444" s="2">
        <v>19</v>
      </c>
      <c r="AM444" s="2" t="s">
        <v>107</v>
      </c>
      <c r="AN444" s="2" t="s">
        <v>107</v>
      </c>
      <c r="AO444" s="2" t="s">
        <v>2037</v>
      </c>
      <c r="AP444" s="2">
        <v>11</v>
      </c>
      <c r="AQ444" s="2" t="s">
        <v>82</v>
      </c>
      <c r="AR444" s="2" t="s">
        <v>82</v>
      </c>
      <c r="AS444" s="2" t="s">
        <v>82</v>
      </c>
      <c r="AT444" s="2" t="s">
        <v>2038</v>
      </c>
      <c r="AU444" s="2"/>
      <c r="AV444" s="2"/>
      <c r="AW444" s="2"/>
      <c r="AX444" s="2"/>
      <c r="AY444" s="2">
        <v>41</v>
      </c>
      <c r="AZ444" s="2" t="s">
        <v>82</v>
      </c>
      <c r="BA444" s="2">
        <v>41</v>
      </c>
      <c r="BB444" s="2" t="s">
        <v>82</v>
      </c>
      <c r="BC444" s="2">
        <v>41</v>
      </c>
      <c r="BD444" s="2" t="s">
        <v>82</v>
      </c>
      <c r="BE444" s="2">
        <v>41</v>
      </c>
      <c r="BF444" s="2" t="s">
        <v>82</v>
      </c>
      <c r="BG444" s="2"/>
      <c r="BH444" s="2"/>
      <c r="BI444" s="2"/>
      <c r="BJ444" s="2">
        <v>241</v>
      </c>
      <c r="BK444" s="2" t="s">
        <v>82</v>
      </c>
      <c r="BL444" s="2" t="s">
        <v>82</v>
      </c>
      <c r="BM444" s="2">
        <v>241</v>
      </c>
      <c r="BN444" s="2" t="s">
        <v>82</v>
      </c>
      <c r="BO444" s="2" t="s">
        <v>82</v>
      </c>
      <c r="BP444" s="2">
        <v>241</v>
      </c>
      <c r="BQ444" s="2" t="s">
        <v>82</v>
      </c>
      <c r="BR444" s="2" t="s">
        <v>82</v>
      </c>
      <c r="BS444" s="3">
        <v>40217</v>
      </c>
      <c r="BT444" s="4">
        <v>0.78454861111111107</v>
      </c>
    </row>
    <row r="445" spans="1:72" x14ac:dyDescent="0.25">
      <c r="A445" s="2">
        <v>702</v>
      </c>
      <c r="B445" s="2">
        <v>2010</v>
      </c>
      <c r="C445" s="2" t="s">
        <v>147</v>
      </c>
      <c r="D445" s="2" t="s">
        <v>73</v>
      </c>
      <c r="E445" s="2"/>
      <c r="F445" s="2">
        <v>1</v>
      </c>
      <c r="G445" s="2" t="s">
        <v>82</v>
      </c>
      <c r="H445" s="2">
        <v>1</v>
      </c>
      <c r="I445" s="2" t="s">
        <v>82</v>
      </c>
      <c r="J445" s="2">
        <v>1</v>
      </c>
      <c r="K445" s="2" t="s">
        <v>107</v>
      </c>
      <c r="L445" s="2" t="s">
        <v>107</v>
      </c>
      <c r="M445" s="3">
        <v>40217</v>
      </c>
      <c r="N445" s="2" t="s">
        <v>82</v>
      </c>
      <c r="O445" s="2" t="s">
        <v>82</v>
      </c>
      <c r="P445" s="2" t="s">
        <v>82</v>
      </c>
      <c r="Q445" s="2" t="str">
        <f>"N/C"</f>
        <v>N/C</v>
      </c>
      <c r="R445" s="2" t="s">
        <v>82</v>
      </c>
      <c r="S445" s="2" t="s">
        <v>82</v>
      </c>
      <c r="T445" s="2">
        <v>2</v>
      </c>
      <c r="U445" s="2" t="s">
        <v>123</v>
      </c>
      <c r="V445" s="2">
        <v>1</v>
      </c>
      <c r="W445" s="2" t="s">
        <v>80</v>
      </c>
      <c r="X445" s="2">
        <v>12</v>
      </c>
      <c r="Y445" s="2" t="s">
        <v>148</v>
      </c>
      <c r="Z445" s="2">
        <v>1</v>
      </c>
      <c r="AA445" s="2" t="s">
        <v>82</v>
      </c>
      <c r="AB445" s="2">
        <v>9</v>
      </c>
      <c r="AC445" s="2" t="s">
        <v>124</v>
      </c>
      <c r="AD445" s="3">
        <v>40204</v>
      </c>
      <c r="AE445" s="2"/>
      <c r="AF445" s="3">
        <v>40217</v>
      </c>
      <c r="AG445" s="4">
        <v>0.53125</v>
      </c>
      <c r="AH445" s="2">
        <v>2</v>
      </c>
      <c r="AI445" s="2" t="s">
        <v>84</v>
      </c>
      <c r="AJ445" s="2">
        <v>12</v>
      </c>
      <c r="AK445" s="2" t="s">
        <v>85</v>
      </c>
      <c r="AL445" s="2">
        <v>19</v>
      </c>
      <c r="AM445" s="2" t="s">
        <v>107</v>
      </c>
      <c r="AN445" s="2"/>
      <c r="AO445" s="2" t="s">
        <v>2039</v>
      </c>
      <c r="AP445" s="2">
        <v>11</v>
      </c>
      <c r="AQ445" s="2" t="s">
        <v>82</v>
      </c>
      <c r="AR445" s="2" t="s">
        <v>82</v>
      </c>
      <c r="AS445" s="2" t="s">
        <v>82</v>
      </c>
      <c r="AT445" s="2" t="s">
        <v>2040</v>
      </c>
      <c r="AU445" s="2"/>
      <c r="AV445" s="2"/>
      <c r="AW445" s="2"/>
      <c r="AX445" s="2"/>
      <c r="AY445" s="2">
        <v>41</v>
      </c>
      <c r="AZ445" s="2" t="s">
        <v>82</v>
      </c>
      <c r="BA445" s="2">
        <v>41</v>
      </c>
      <c r="BB445" s="2" t="s">
        <v>82</v>
      </c>
      <c r="BC445" s="2">
        <v>41</v>
      </c>
      <c r="BD445" s="2" t="s">
        <v>82</v>
      </c>
      <c r="BE445" s="2">
        <v>41</v>
      </c>
      <c r="BF445" s="2" t="s">
        <v>82</v>
      </c>
      <c r="BG445" s="2"/>
      <c r="BH445" s="2"/>
      <c r="BI445" s="2"/>
      <c r="BJ445" s="2">
        <v>241</v>
      </c>
      <c r="BK445" s="2" t="s">
        <v>82</v>
      </c>
      <c r="BL445" s="2" t="s">
        <v>82</v>
      </c>
      <c r="BM445" s="2">
        <v>241</v>
      </c>
      <c r="BN445" s="2" t="s">
        <v>82</v>
      </c>
      <c r="BO445" s="2" t="s">
        <v>82</v>
      </c>
      <c r="BP445" s="2">
        <v>241</v>
      </c>
      <c r="BQ445" s="2" t="s">
        <v>82</v>
      </c>
      <c r="BR445" s="2" t="s">
        <v>82</v>
      </c>
      <c r="BS445" s="3">
        <v>40217</v>
      </c>
      <c r="BT445" s="4">
        <v>0.78969907407407414</v>
      </c>
    </row>
    <row r="446" spans="1:72" x14ac:dyDescent="0.25">
      <c r="A446" s="2">
        <v>703</v>
      </c>
      <c r="B446" s="2">
        <v>2010</v>
      </c>
      <c r="C446" s="2" t="s">
        <v>147</v>
      </c>
      <c r="D446" s="2" t="s">
        <v>73</v>
      </c>
      <c r="E446" s="2"/>
      <c r="F446" s="2">
        <v>1</v>
      </c>
      <c r="G446" s="2" t="s">
        <v>82</v>
      </c>
      <c r="H446" s="2">
        <v>1</v>
      </c>
      <c r="I446" s="2" t="s">
        <v>82</v>
      </c>
      <c r="J446" s="2">
        <v>1</v>
      </c>
      <c r="K446" s="2" t="s">
        <v>107</v>
      </c>
      <c r="L446" s="2" t="s">
        <v>107</v>
      </c>
      <c r="M446" s="3">
        <v>40217</v>
      </c>
      <c r="N446" s="2" t="s">
        <v>82</v>
      </c>
      <c r="O446" s="2" t="s">
        <v>2041</v>
      </c>
      <c r="P446" s="2" t="s">
        <v>82</v>
      </c>
      <c r="Q446" s="2" t="str">
        <f>"N/C"</f>
        <v>N/C</v>
      </c>
      <c r="R446" s="2" t="s">
        <v>82</v>
      </c>
      <c r="S446" s="2" t="s">
        <v>82</v>
      </c>
      <c r="T446" s="2">
        <v>2</v>
      </c>
      <c r="U446" s="2" t="s">
        <v>123</v>
      </c>
      <c r="V446" s="2">
        <v>1</v>
      </c>
      <c r="W446" s="2" t="s">
        <v>80</v>
      </c>
      <c r="X446" s="2">
        <v>12</v>
      </c>
      <c r="Y446" s="2" t="s">
        <v>148</v>
      </c>
      <c r="Z446" s="2">
        <v>1</v>
      </c>
      <c r="AA446" s="2" t="s">
        <v>82</v>
      </c>
      <c r="AB446" s="2">
        <v>9</v>
      </c>
      <c r="AC446" s="2" t="s">
        <v>124</v>
      </c>
      <c r="AD446" s="3">
        <v>40212</v>
      </c>
      <c r="AE446" s="2"/>
      <c r="AF446" s="3">
        <v>40217</v>
      </c>
      <c r="AG446" s="4">
        <v>0.53472222222222221</v>
      </c>
      <c r="AH446" s="2">
        <v>2</v>
      </c>
      <c r="AI446" s="2" t="s">
        <v>84</v>
      </c>
      <c r="AJ446" s="2">
        <v>12</v>
      </c>
      <c r="AK446" s="2" t="s">
        <v>85</v>
      </c>
      <c r="AL446" s="2">
        <v>19</v>
      </c>
      <c r="AM446" s="2" t="s">
        <v>107</v>
      </c>
      <c r="AN446" s="2" t="s">
        <v>107</v>
      </c>
      <c r="AO446" s="2" t="s">
        <v>149</v>
      </c>
      <c r="AP446" s="2">
        <v>11</v>
      </c>
      <c r="AQ446" s="2" t="s">
        <v>82</v>
      </c>
      <c r="AR446" s="2" t="s">
        <v>82</v>
      </c>
      <c r="AS446" s="2" t="s">
        <v>82</v>
      </c>
      <c r="AT446" s="2" t="s">
        <v>2042</v>
      </c>
      <c r="AU446" s="2"/>
      <c r="AV446" s="2"/>
      <c r="AW446" s="2"/>
      <c r="AX446" s="2"/>
      <c r="AY446" s="2">
        <v>41</v>
      </c>
      <c r="AZ446" s="2" t="s">
        <v>82</v>
      </c>
      <c r="BA446" s="2">
        <v>41</v>
      </c>
      <c r="BB446" s="2" t="s">
        <v>82</v>
      </c>
      <c r="BC446" s="2">
        <v>41</v>
      </c>
      <c r="BD446" s="2" t="s">
        <v>82</v>
      </c>
      <c r="BE446" s="2">
        <v>41</v>
      </c>
      <c r="BF446" s="2" t="s">
        <v>82</v>
      </c>
      <c r="BG446" s="2"/>
      <c r="BH446" s="2"/>
      <c r="BI446" s="2"/>
      <c r="BJ446" s="2">
        <v>241</v>
      </c>
      <c r="BK446" s="2" t="s">
        <v>82</v>
      </c>
      <c r="BL446" s="2" t="s">
        <v>82</v>
      </c>
      <c r="BM446" s="2">
        <v>241</v>
      </c>
      <c r="BN446" s="2" t="s">
        <v>82</v>
      </c>
      <c r="BO446" s="2" t="s">
        <v>82</v>
      </c>
      <c r="BP446" s="2">
        <v>241</v>
      </c>
      <c r="BQ446" s="2" t="s">
        <v>82</v>
      </c>
      <c r="BR446" s="2" t="s">
        <v>82</v>
      </c>
      <c r="BS446" s="3">
        <v>40217</v>
      </c>
      <c r="BT446" s="4">
        <v>0.7947453703703703</v>
      </c>
    </row>
    <row r="447" spans="1:72" x14ac:dyDescent="0.25">
      <c r="A447" s="2">
        <v>705</v>
      </c>
      <c r="B447" s="2">
        <v>2010</v>
      </c>
      <c r="C447" s="2" t="s">
        <v>93</v>
      </c>
      <c r="D447" s="2" t="s">
        <v>122</v>
      </c>
      <c r="E447" s="2" t="s">
        <v>2016</v>
      </c>
      <c r="F447" s="2">
        <v>441</v>
      </c>
      <c r="G447" s="2" t="s">
        <v>696</v>
      </c>
      <c r="H447" s="2">
        <v>22</v>
      </c>
      <c r="I447" s="2" t="s">
        <v>75</v>
      </c>
      <c r="J447" s="2">
        <v>404</v>
      </c>
      <c r="K447" s="2" t="s">
        <v>1960</v>
      </c>
      <c r="L447" s="2" t="s">
        <v>1961</v>
      </c>
      <c r="M447" s="3">
        <v>40217</v>
      </c>
      <c r="N447" s="2" t="s">
        <v>1962</v>
      </c>
      <c r="O447" s="2" t="s">
        <v>1963</v>
      </c>
      <c r="P447" s="2">
        <v>1570</v>
      </c>
      <c r="Q447" s="2" t="str">
        <f>""</f>
        <v/>
      </c>
      <c r="R447" s="2" t="s">
        <v>1964</v>
      </c>
      <c r="S447" s="2"/>
      <c r="T447" s="2">
        <v>1</v>
      </c>
      <c r="U447" s="2" t="s">
        <v>79</v>
      </c>
      <c r="V447" s="2">
        <v>1</v>
      </c>
      <c r="W447" s="2" t="s">
        <v>80</v>
      </c>
      <c r="X447" s="2">
        <v>1</v>
      </c>
      <c r="Y447" s="2" t="s">
        <v>81</v>
      </c>
      <c r="Z447" s="2">
        <v>1</v>
      </c>
      <c r="AA447" s="2" t="s">
        <v>82</v>
      </c>
      <c r="AB447" s="2">
        <v>2</v>
      </c>
      <c r="AC447" s="2" t="s">
        <v>102</v>
      </c>
      <c r="AD447" s="3">
        <v>40217</v>
      </c>
      <c r="AE447" s="4">
        <v>0.65277777777777779</v>
      </c>
      <c r="AF447" s="2"/>
      <c r="AG447" s="2"/>
      <c r="AH447" s="2">
        <v>2</v>
      </c>
      <c r="AI447" s="2" t="s">
        <v>84</v>
      </c>
      <c r="AJ447" s="2">
        <v>9</v>
      </c>
      <c r="AK447" s="2" t="s">
        <v>103</v>
      </c>
      <c r="AL447" s="2">
        <v>18</v>
      </c>
      <c r="AM447" s="2" t="s">
        <v>82</v>
      </c>
      <c r="AN447" s="2"/>
      <c r="AO447" s="2" t="s">
        <v>987</v>
      </c>
      <c r="AP447" s="2">
        <v>11</v>
      </c>
      <c r="AQ447" s="2" t="s">
        <v>82</v>
      </c>
      <c r="AR447" s="2"/>
      <c r="AS447" s="2"/>
      <c r="AT447" s="2" t="s">
        <v>2043</v>
      </c>
      <c r="AU447" s="2"/>
      <c r="AV447" s="2"/>
      <c r="AW447" s="2"/>
      <c r="AX447" s="2"/>
      <c r="AY447" s="2">
        <v>1</v>
      </c>
      <c r="AZ447" s="2" t="s">
        <v>107</v>
      </c>
      <c r="BA447" s="2">
        <v>1</v>
      </c>
      <c r="BB447" s="2" t="s">
        <v>107</v>
      </c>
      <c r="BC447" s="2">
        <v>70</v>
      </c>
      <c r="BD447" s="2" t="s">
        <v>236</v>
      </c>
      <c r="BE447" s="2">
        <v>1</v>
      </c>
      <c r="BF447" s="2" t="s">
        <v>107</v>
      </c>
      <c r="BG447" s="2"/>
      <c r="BH447" s="2"/>
      <c r="BI447" s="2"/>
      <c r="BJ447" s="2">
        <v>242</v>
      </c>
      <c r="BK447" s="2" t="s">
        <v>107</v>
      </c>
      <c r="BL447" s="2"/>
      <c r="BM447" s="2">
        <v>242</v>
      </c>
      <c r="BN447" s="2" t="s">
        <v>107</v>
      </c>
      <c r="BO447" s="2"/>
      <c r="BP447" s="2">
        <v>242</v>
      </c>
      <c r="BQ447" s="2" t="s">
        <v>107</v>
      </c>
      <c r="BR447" s="2"/>
      <c r="BS447" s="3">
        <v>40217</v>
      </c>
      <c r="BT447" s="4">
        <v>0.81708333333333327</v>
      </c>
    </row>
    <row r="448" spans="1:72" x14ac:dyDescent="0.25">
      <c r="A448" s="2">
        <v>706</v>
      </c>
      <c r="B448" s="2">
        <v>2010</v>
      </c>
      <c r="C448" s="2" t="s">
        <v>171</v>
      </c>
      <c r="D448" s="2" t="s">
        <v>122</v>
      </c>
      <c r="E448" s="2"/>
      <c r="F448" s="2">
        <v>9</v>
      </c>
      <c r="G448" s="2" t="s">
        <v>364</v>
      </c>
      <c r="H448" s="2">
        <v>2</v>
      </c>
      <c r="I448" s="2" t="s">
        <v>267</v>
      </c>
      <c r="J448" s="2">
        <v>18</v>
      </c>
      <c r="K448" s="2" t="s">
        <v>365</v>
      </c>
      <c r="L448" s="2" t="s">
        <v>115</v>
      </c>
      <c r="M448" s="3">
        <v>40217</v>
      </c>
      <c r="N448" s="2" t="s">
        <v>2044</v>
      </c>
      <c r="O448" s="2" t="s">
        <v>2045</v>
      </c>
      <c r="P448" s="2" t="s">
        <v>522</v>
      </c>
      <c r="Q448" s="2" t="str">
        <f>"02/10"</f>
        <v>02/10</v>
      </c>
      <c r="R448" s="2" t="s">
        <v>82</v>
      </c>
      <c r="S448" s="2" t="s">
        <v>82</v>
      </c>
      <c r="T448" s="2">
        <v>1</v>
      </c>
      <c r="U448" s="2" t="s">
        <v>79</v>
      </c>
      <c r="V448" s="2">
        <v>3</v>
      </c>
      <c r="W448" s="2" t="s">
        <v>225</v>
      </c>
      <c r="X448" s="2">
        <v>5</v>
      </c>
      <c r="Y448" s="2" t="s">
        <v>82</v>
      </c>
      <c r="Z448" s="2">
        <v>1</v>
      </c>
      <c r="AA448" s="2" t="s">
        <v>82</v>
      </c>
      <c r="AB448" s="2">
        <v>9</v>
      </c>
      <c r="AC448" s="2" t="s">
        <v>124</v>
      </c>
      <c r="AD448" s="2"/>
      <c r="AE448" s="2"/>
      <c r="AF448" s="2"/>
      <c r="AG448" s="2"/>
      <c r="AH448" s="2">
        <v>3</v>
      </c>
      <c r="AI448" s="2" t="s">
        <v>214</v>
      </c>
      <c r="AJ448" s="2">
        <v>14</v>
      </c>
      <c r="AK448" s="2" t="s">
        <v>342</v>
      </c>
      <c r="AL448" s="2">
        <v>23</v>
      </c>
      <c r="AM448" s="2" t="s">
        <v>251</v>
      </c>
      <c r="AN448" s="2" t="s">
        <v>82</v>
      </c>
      <c r="AO448" s="2" t="s">
        <v>524</v>
      </c>
      <c r="AP448" s="2">
        <v>11</v>
      </c>
      <c r="AQ448" s="2" t="s">
        <v>82</v>
      </c>
      <c r="AR448" s="2"/>
      <c r="AS448" s="2"/>
      <c r="AT448" s="2" t="s">
        <v>2046</v>
      </c>
      <c r="AU448" s="2"/>
      <c r="AV448" s="2"/>
      <c r="AW448" s="2"/>
      <c r="AX448" s="2"/>
      <c r="AY448" s="2">
        <v>1</v>
      </c>
      <c r="AZ448" s="2" t="s">
        <v>107</v>
      </c>
      <c r="BA448" s="2">
        <v>1</v>
      </c>
      <c r="BB448" s="2" t="s">
        <v>107</v>
      </c>
      <c r="BC448" s="2">
        <v>1</v>
      </c>
      <c r="BD448" s="2" t="s">
        <v>107</v>
      </c>
      <c r="BE448" s="2">
        <v>1</v>
      </c>
      <c r="BF448" s="2" t="s">
        <v>107</v>
      </c>
      <c r="BG448" s="2"/>
      <c r="BH448" s="2"/>
      <c r="BI448" s="2"/>
      <c r="BJ448" s="2">
        <v>242</v>
      </c>
      <c r="BK448" s="2" t="s">
        <v>107</v>
      </c>
      <c r="BL448" s="2"/>
      <c r="BM448" s="2">
        <v>242</v>
      </c>
      <c r="BN448" s="2" t="s">
        <v>107</v>
      </c>
      <c r="BO448" s="2"/>
      <c r="BP448" s="2">
        <v>242</v>
      </c>
      <c r="BQ448" s="2" t="s">
        <v>107</v>
      </c>
      <c r="BR448" s="2"/>
      <c r="BS448" s="3">
        <v>40217</v>
      </c>
      <c r="BT448" s="4">
        <v>0.83663194444444444</v>
      </c>
    </row>
    <row r="449" spans="1:72" x14ac:dyDescent="0.25">
      <c r="A449" s="2">
        <v>707</v>
      </c>
      <c r="B449" s="2">
        <v>2010</v>
      </c>
      <c r="C449" s="2" t="s">
        <v>414</v>
      </c>
      <c r="D449" s="2" t="s">
        <v>73</v>
      </c>
      <c r="E449" s="2"/>
      <c r="F449" s="2">
        <v>1</v>
      </c>
      <c r="G449" s="2" t="s">
        <v>82</v>
      </c>
      <c r="H449" s="2">
        <v>1</v>
      </c>
      <c r="I449" s="2" t="s">
        <v>82</v>
      </c>
      <c r="J449" s="2">
        <v>1</v>
      </c>
      <c r="K449" s="2" t="s">
        <v>107</v>
      </c>
      <c r="L449" s="2" t="s">
        <v>107</v>
      </c>
      <c r="M449" s="3">
        <v>40217</v>
      </c>
      <c r="N449" s="2" t="s">
        <v>82</v>
      </c>
      <c r="O449" s="2" t="s">
        <v>82</v>
      </c>
      <c r="P449" s="2" t="s">
        <v>82</v>
      </c>
      <c r="Q449" s="2" t="str">
        <f>"N/C"</f>
        <v>N/C</v>
      </c>
      <c r="R449" s="2" t="s">
        <v>82</v>
      </c>
      <c r="S449" s="2" t="s">
        <v>82</v>
      </c>
      <c r="T449" s="2">
        <v>1</v>
      </c>
      <c r="U449" s="2" t="s">
        <v>79</v>
      </c>
      <c r="V449" s="2">
        <v>1</v>
      </c>
      <c r="W449" s="2" t="s">
        <v>80</v>
      </c>
      <c r="X449" s="2">
        <v>1</v>
      </c>
      <c r="Y449" s="2" t="s">
        <v>81</v>
      </c>
      <c r="Z449" s="2">
        <v>1</v>
      </c>
      <c r="AA449" s="2" t="s">
        <v>82</v>
      </c>
      <c r="AB449" s="2">
        <v>9</v>
      </c>
      <c r="AC449" s="2" t="s">
        <v>124</v>
      </c>
      <c r="AD449" s="3">
        <v>40217</v>
      </c>
      <c r="AE449" s="4">
        <v>0.5625</v>
      </c>
      <c r="AF449" s="2"/>
      <c r="AG449" s="2"/>
      <c r="AH449" s="2">
        <v>6</v>
      </c>
      <c r="AI449" s="2" t="s">
        <v>197</v>
      </c>
      <c r="AJ449" s="2">
        <v>61</v>
      </c>
      <c r="AK449" s="2" t="s">
        <v>686</v>
      </c>
      <c r="AL449" s="2">
        <v>3</v>
      </c>
      <c r="AM449" s="2" t="s">
        <v>985</v>
      </c>
      <c r="AN449" s="2" t="s">
        <v>82</v>
      </c>
      <c r="AO449" s="2" t="s">
        <v>2047</v>
      </c>
      <c r="AP449" s="2">
        <v>11</v>
      </c>
      <c r="AQ449" s="2" t="s">
        <v>82</v>
      </c>
      <c r="AR449" s="2" t="s">
        <v>82</v>
      </c>
      <c r="AS449" s="2" t="s">
        <v>82</v>
      </c>
      <c r="AT449" s="2" t="s">
        <v>2048</v>
      </c>
      <c r="AU449" s="2"/>
      <c r="AV449" s="2"/>
      <c r="AW449" s="2"/>
      <c r="AX449" s="2"/>
      <c r="AY449" s="2">
        <v>41</v>
      </c>
      <c r="AZ449" s="2" t="s">
        <v>82</v>
      </c>
      <c r="BA449" s="2">
        <v>41</v>
      </c>
      <c r="BB449" s="2" t="s">
        <v>82</v>
      </c>
      <c r="BC449" s="2">
        <v>41</v>
      </c>
      <c r="BD449" s="2" t="s">
        <v>82</v>
      </c>
      <c r="BE449" s="2">
        <v>41</v>
      </c>
      <c r="BF449" s="2" t="s">
        <v>82</v>
      </c>
      <c r="BG449" s="2" t="s">
        <v>82</v>
      </c>
      <c r="BH449" s="2"/>
      <c r="BI449" s="2"/>
      <c r="BJ449" s="2">
        <v>241</v>
      </c>
      <c r="BK449" s="2" t="s">
        <v>82</v>
      </c>
      <c r="BL449" s="2" t="s">
        <v>82</v>
      </c>
      <c r="BM449" s="2">
        <v>241</v>
      </c>
      <c r="BN449" s="2" t="s">
        <v>82</v>
      </c>
      <c r="BO449" s="2" t="s">
        <v>82</v>
      </c>
      <c r="BP449" s="2">
        <v>241</v>
      </c>
      <c r="BQ449" s="2" t="s">
        <v>82</v>
      </c>
      <c r="BR449" s="2" t="s">
        <v>82</v>
      </c>
      <c r="BS449" s="3">
        <v>40217</v>
      </c>
      <c r="BT449" s="4">
        <v>0.85054398148148147</v>
      </c>
    </row>
    <row r="450" spans="1:72" x14ac:dyDescent="0.25">
      <c r="A450" s="2">
        <v>708</v>
      </c>
      <c r="B450" s="2">
        <v>2010</v>
      </c>
      <c r="C450" s="2" t="s">
        <v>819</v>
      </c>
      <c r="D450" s="2" t="s">
        <v>122</v>
      </c>
      <c r="E450" s="2"/>
      <c r="F450" s="2">
        <v>425</v>
      </c>
      <c r="G450" s="2" t="s">
        <v>286</v>
      </c>
      <c r="H450" s="2">
        <v>30</v>
      </c>
      <c r="I450" s="2" t="s">
        <v>912</v>
      </c>
      <c r="J450" s="2">
        <v>310</v>
      </c>
      <c r="K450" s="2" t="s">
        <v>288</v>
      </c>
      <c r="L450" s="2" t="s">
        <v>289</v>
      </c>
      <c r="M450" s="3">
        <v>40217</v>
      </c>
      <c r="N450" s="2" t="s">
        <v>2049</v>
      </c>
      <c r="O450" s="2"/>
      <c r="P450" s="2"/>
      <c r="Q450" s="2" t="str">
        <f>"010/10"</f>
        <v>010/10</v>
      </c>
      <c r="R450" s="2"/>
      <c r="S450" s="2" t="s">
        <v>822</v>
      </c>
      <c r="T450" s="2">
        <v>1</v>
      </c>
      <c r="U450" s="2" t="s">
        <v>79</v>
      </c>
      <c r="V450" s="2">
        <v>1</v>
      </c>
      <c r="W450" s="2" t="s">
        <v>80</v>
      </c>
      <c r="X450" s="2">
        <v>1</v>
      </c>
      <c r="Y450" s="2" t="s">
        <v>81</v>
      </c>
      <c r="Z450" s="2">
        <v>10</v>
      </c>
      <c r="AA450" s="2" t="s">
        <v>236</v>
      </c>
      <c r="AB450" s="2">
        <v>9</v>
      </c>
      <c r="AC450" s="2" t="s">
        <v>124</v>
      </c>
      <c r="AD450" s="3">
        <v>40217</v>
      </c>
      <c r="AE450" s="4">
        <v>0.86805555555555547</v>
      </c>
      <c r="AF450" s="2"/>
      <c r="AG450" s="2"/>
      <c r="AH450" s="2">
        <v>4</v>
      </c>
      <c r="AI450" s="2" t="s">
        <v>125</v>
      </c>
      <c r="AJ450" s="2">
        <v>29</v>
      </c>
      <c r="AK450" s="2" t="s">
        <v>227</v>
      </c>
      <c r="AL450" s="2">
        <v>10</v>
      </c>
      <c r="AM450" s="2" t="s">
        <v>200</v>
      </c>
      <c r="AN450" s="2" t="s">
        <v>1015</v>
      </c>
      <c r="AO450" s="2" t="s">
        <v>200</v>
      </c>
      <c r="AP450" s="2">
        <v>12</v>
      </c>
      <c r="AQ450" s="2" t="s">
        <v>322</v>
      </c>
      <c r="AR450" s="2" t="s">
        <v>824</v>
      </c>
      <c r="AS450" s="2" t="s">
        <v>825</v>
      </c>
      <c r="AT450" s="2" t="s">
        <v>2050</v>
      </c>
      <c r="AU450" s="2"/>
      <c r="AV450" s="2"/>
      <c r="AW450" s="2"/>
      <c r="AX450" s="2"/>
      <c r="AY450" s="2">
        <v>41</v>
      </c>
      <c r="AZ450" s="2" t="s">
        <v>82</v>
      </c>
      <c r="BA450" s="2">
        <v>41</v>
      </c>
      <c r="BB450" s="2" t="s">
        <v>82</v>
      </c>
      <c r="BC450" s="2">
        <v>51</v>
      </c>
      <c r="BD450" s="2" t="s">
        <v>827</v>
      </c>
      <c r="BE450" s="2">
        <v>47</v>
      </c>
      <c r="BF450" s="2" t="s">
        <v>167</v>
      </c>
      <c r="BG450" s="2">
        <v>2459</v>
      </c>
      <c r="BH450" s="4">
        <v>0.84722222222222221</v>
      </c>
      <c r="BI450" s="4">
        <v>0.87847222222222221</v>
      </c>
      <c r="BJ450" s="2">
        <v>13</v>
      </c>
      <c r="BK450" s="2" t="s">
        <v>91</v>
      </c>
      <c r="BL450" s="2" t="s">
        <v>828</v>
      </c>
      <c r="BM450" s="2">
        <v>241</v>
      </c>
      <c r="BN450" s="2" t="s">
        <v>82</v>
      </c>
      <c r="BO450" s="2" t="s">
        <v>82</v>
      </c>
      <c r="BP450" s="2">
        <v>13</v>
      </c>
      <c r="BQ450" s="2" t="s">
        <v>91</v>
      </c>
      <c r="BR450" s="2" t="s">
        <v>185</v>
      </c>
      <c r="BS450" s="3">
        <v>40217</v>
      </c>
      <c r="BT450" s="4">
        <v>0.94078703703703714</v>
      </c>
    </row>
    <row r="451" spans="1:72" x14ac:dyDescent="0.25">
      <c r="A451" s="2">
        <v>710</v>
      </c>
      <c r="B451" s="2">
        <v>2010</v>
      </c>
      <c r="C451" s="2" t="s">
        <v>72</v>
      </c>
      <c r="D451" s="2" t="s">
        <v>73</v>
      </c>
      <c r="E451" s="2"/>
      <c r="F451" s="2">
        <v>390</v>
      </c>
      <c r="G451" s="2" t="s">
        <v>475</v>
      </c>
      <c r="H451" s="2">
        <v>1</v>
      </c>
      <c r="I451" s="2" t="s">
        <v>82</v>
      </c>
      <c r="J451" s="2">
        <v>314</v>
      </c>
      <c r="K451" s="2" t="s">
        <v>477</v>
      </c>
      <c r="L451" s="2" t="s">
        <v>478</v>
      </c>
      <c r="M451" s="3">
        <v>40218</v>
      </c>
      <c r="N451" s="2" t="s">
        <v>2051</v>
      </c>
      <c r="O451" s="2" t="s">
        <v>107</v>
      </c>
      <c r="P451" s="2" t="s">
        <v>107</v>
      </c>
      <c r="Q451" s="2" t="str">
        <f>"078-E/10"</f>
        <v>078-E/10</v>
      </c>
      <c r="R451" s="2" t="s">
        <v>107</v>
      </c>
      <c r="S451" s="2" t="s">
        <v>480</v>
      </c>
      <c r="T451" s="2">
        <v>1</v>
      </c>
      <c r="U451" s="2" t="s">
        <v>79</v>
      </c>
      <c r="V451" s="2">
        <v>1</v>
      </c>
      <c r="W451" s="2" t="s">
        <v>80</v>
      </c>
      <c r="X451" s="2">
        <v>5</v>
      </c>
      <c r="Y451" s="2" t="s">
        <v>82</v>
      </c>
      <c r="Z451" s="2">
        <v>10</v>
      </c>
      <c r="AA451" s="2" t="s">
        <v>236</v>
      </c>
      <c r="AB451" s="2">
        <v>6</v>
      </c>
      <c r="AC451" s="2" t="s">
        <v>83</v>
      </c>
      <c r="AD451" s="3">
        <v>40176</v>
      </c>
      <c r="AE451" s="4">
        <v>0.5625</v>
      </c>
      <c r="AF451" s="3">
        <v>40217</v>
      </c>
      <c r="AG451" s="4">
        <v>0.98611111111111116</v>
      </c>
      <c r="AH451" s="2">
        <v>2</v>
      </c>
      <c r="AI451" s="2" t="s">
        <v>84</v>
      </c>
      <c r="AJ451" s="2">
        <v>9</v>
      </c>
      <c r="AK451" s="2" t="s">
        <v>103</v>
      </c>
      <c r="AL451" s="2">
        <v>18</v>
      </c>
      <c r="AM451" s="2" t="s">
        <v>82</v>
      </c>
      <c r="AN451" s="2" t="s">
        <v>107</v>
      </c>
      <c r="AO451" s="2" t="s">
        <v>2052</v>
      </c>
      <c r="AP451" s="2">
        <v>11</v>
      </c>
      <c r="AQ451" s="2" t="s">
        <v>82</v>
      </c>
      <c r="AR451" s="2" t="s">
        <v>82</v>
      </c>
      <c r="AS451" s="2" t="s">
        <v>82</v>
      </c>
      <c r="AT451" s="2" t="s">
        <v>2053</v>
      </c>
      <c r="AU451" s="2"/>
      <c r="AV451" s="2"/>
      <c r="AW451" s="2"/>
      <c r="AX451" s="2"/>
      <c r="AY451" s="2">
        <v>41</v>
      </c>
      <c r="AZ451" s="2" t="s">
        <v>82</v>
      </c>
      <c r="BA451" s="2">
        <v>41</v>
      </c>
      <c r="BB451" s="2" t="s">
        <v>82</v>
      </c>
      <c r="BC451" s="2">
        <v>9</v>
      </c>
      <c r="BD451" s="2" t="s">
        <v>966</v>
      </c>
      <c r="BE451" s="2">
        <v>9</v>
      </c>
      <c r="BF451" s="2" t="s">
        <v>966</v>
      </c>
      <c r="BG451" s="2" t="s">
        <v>2054</v>
      </c>
      <c r="BH451" s="4">
        <v>0.5625</v>
      </c>
      <c r="BI451" s="4">
        <v>0.10416666666666667</v>
      </c>
      <c r="BJ451" s="2">
        <v>13</v>
      </c>
      <c r="BK451" s="2" t="s">
        <v>91</v>
      </c>
      <c r="BL451" s="2" t="s">
        <v>360</v>
      </c>
      <c r="BM451" s="2">
        <v>170</v>
      </c>
      <c r="BN451" s="2" t="s">
        <v>968</v>
      </c>
      <c r="BO451" s="2" t="s">
        <v>107</v>
      </c>
      <c r="BP451" s="2">
        <v>65</v>
      </c>
      <c r="BQ451" s="2" t="s">
        <v>2055</v>
      </c>
      <c r="BR451" s="2" t="s">
        <v>2056</v>
      </c>
      <c r="BS451" s="3">
        <v>40218</v>
      </c>
      <c r="BT451" s="4">
        <v>0.12895833333333334</v>
      </c>
    </row>
    <row r="452" spans="1:72" x14ac:dyDescent="0.25">
      <c r="A452" s="2">
        <v>711</v>
      </c>
      <c r="B452" s="2">
        <v>2010</v>
      </c>
      <c r="C452" s="2" t="s">
        <v>72</v>
      </c>
      <c r="D452" s="2" t="s">
        <v>73</v>
      </c>
      <c r="E452" s="2"/>
      <c r="F452" s="2">
        <v>35</v>
      </c>
      <c r="G452" s="2" t="s">
        <v>2057</v>
      </c>
      <c r="H452" s="2">
        <v>55</v>
      </c>
      <c r="I452" s="2" t="s">
        <v>2058</v>
      </c>
      <c r="J452" s="2">
        <v>43</v>
      </c>
      <c r="K452" s="2" t="s">
        <v>2059</v>
      </c>
      <c r="L452" s="2" t="s">
        <v>2060</v>
      </c>
      <c r="M452" s="3">
        <v>40218</v>
      </c>
      <c r="N452" s="2" t="s">
        <v>2061</v>
      </c>
      <c r="O452" s="2" t="s">
        <v>156</v>
      </c>
      <c r="P452" s="2" t="s">
        <v>107</v>
      </c>
      <c r="Q452" s="2" t="str">
        <f>"07/10"</f>
        <v>07/10</v>
      </c>
      <c r="R452" s="2" t="s">
        <v>156</v>
      </c>
      <c r="S452" s="2" t="s">
        <v>156</v>
      </c>
      <c r="T452" s="2">
        <v>1</v>
      </c>
      <c r="U452" s="2" t="s">
        <v>79</v>
      </c>
      <c r="V452" s="2">
        <v>1</v>
      </c>
      <c r="W452" s="2" t="s">
        <v>80</v>
      </c>
      <c r="X452" s="2">
        <v>1</v>
      </c>
      <c r="Y452" s="2" t="s">
        <v>81</v>
      </c>
      <c r="Z452" s="2">
        <v>10</v>
      </c>
      <c r="AA452" s="2" t="s">
        <v>236</v>
      </c>
      <c r="AB452" s="2">
        <v>6</v>
      </c>
      <c r="AC452" s="2" t="s">
        <v>83</v>
      </c>
      <c r="AD452" s="3">
        <v>40218</v>
      </c>
      <c r="AE452" s="4">
        <v>1.3888888888888888E-2</v>
      </c>
      <c r="AF452" s="2"/>
      <c r="AG452" s="2"/>
      <c r="AH452" s="2">
        <v>3</v>
      </c>
      <c r="AI452" s="2" t="s">
        <v>214</v>
      </c>
      <c r="AJ452" s="2">
        <v>17</v>
      </c>
      <c r="AK452" s="2" t="s">
        <v>309</v>
      </c>
      <c r="AL452" s="2">
        <v>9</v>
      </c>
      <c r="AM452" s="2" t="s">
        <v>259</v>
      </c>
      <c r="AN452" s="2" t="s">
        <v>2062</v>
      </c>
      <c r="AO452" s="2" t="s">
        <v>2063</v>
      </c>
      <c r="AP452" s="2">
        <v>11</v>
      </c>
      <c r="AQ452" s="2" t="s">
        <v>82</v>
      </c>
      <c r="AR452" s="2"/>
      <c r="AS452" s="2"/>
      <c r="AT452" s="2" t="s">
        <v>2064</v>
      </c>
      <c r="AU452" s="2"/>
      <c r="AV452" s="2"/>
      <c r="AW452" s="2"/>
      <c r="AX452" s="2"/>
      <c r="AY452" s="2">
        <v>1</v>
      </c>
      <c r="AZ452" s="2" t="s">
        <v>107</v>
      </c>
      <c r="BA452" s="2">
        <v>1</v>
      </c>
      <c r="BB452" s="2" t="s">
        <v>107</v>
      </c>
      <c r="BC452" s="2">
        <v>1</v>
      </c>
      <c r="BD452" s="2" t="s">
        <v>107</v>
      </c>
      <c r="BE452" s="2">
        <v>1</v>
      </c>
      <c r="BF452" s="2" t="s">
        <v>107</v>
      </c>
      <c r="BG452" s="2"/>
      <c r="BH452" s="2"/>
      <c r="BI452" s="2"/>
      <c r="BJ452" s="2">
        <v>242</v>
      </c>
      <c r="BK452" s="2" t="s">
        <v>107</v>
      </c>
      <c r="BL452" s="2"/>
      <c r="BM452" s="2">
        <v>242</v>
      </c>
      <c r="BN452" s="2" t="s">
        <v>107</v>
      </c>
      <c r="BO452" s="2"/>
      <c r="BP452" s="2">
        <v>242</v>
      </c>
      <c r="BQ452" s="2" t="s">
        <v>107</v>
      </c>
      <c r="BR452" s="2"/>
      <c r="BS452" s="3">
        <v>40218</v>
      </c>
      <c r="BT452" s="4">
        <v>0.15377314814814816</v>
      </c>
    </row>
    <row r="453" spans="1:72" x14ac:dyDescent="0.25">
      <c r="A453" s="2">
        <v>714</v>
      </c>
      <c r="B453" s="2">
        <v>2010</v>
      </c>
      <c r="C453" s="2" t="s">
        <v>819</v>
      </c>
      <c r="D453" s="2" t="s">
        <v>122</v>
      </c>
      <c r="E453" s="2" t="s">
        <v>2065</v>
      </c>
      <c r="F453" s="2">
        <v>425</v>
      </c>
      <c r="G453" s="2" t="s">
        <v>286</v>
      </c>
      <c r="H453" s="2">
        <v>30</v>
      </c>
      <c r="I453" s="2" t="s">
        <v>912</v>
      </c>
      <c r="J453" s="2">
        <v>310</v>
      </c>
      <c r="K453" s="2" t="s">
        <v>288</v>
      </c>
      <c r="L453" s="2" t="s">
        <v>289</v>
      </c>
      <c r="M453" s="3">
        <v>40218</v>
      </c>
      <c r="N453" s="2" t="s">
        <v>2049</v>
      </c>
      <c r="O453" s="2"/>
      <c r="P453" s="2"/>
      <c r="Q453" s="2" t="str">
        <f>"010/10"</f>
        <v>010/10</v>
      </c>
      <c r="R453" s="2" t="s">
        <v>822</v>
      </c>
      <c r="S453" s="2"/>
      <c r="T453" s="2">
        <v>1</v>
      </c>
      <c r="U453" s="2" t="s">
        <v>79</v>
      </c>
      <c r="V453" s="2">
        <v>1</v>
      </c>
      <c r="W453" s="2" t="s">
        <v>80</v>
      </c>
      <c r="X453" s="2">
        <v>1</v>
      </c>
      <c r="Y453" s="2" t="s">
        <v>81</v>
      </c>
      <c r="Z453" s="2">
        <v>10</v>
      </c>
      <c r="AA453" s="2" t="s">
        <v>236</v>
      </c>
      <c r="AB453" s="2">
        <v>9</v>
      </c>
      <c r="AC453" s="2" t="s">
        <v>124</v>
      </c>
      <c r="AD453" s="3">
        <v>40218</v>
      </c>
      <c r="AE453" s="4">
        <v>0.39583333333333331</v>
      </c>
      <c r="AF453" s="2"/>
      <c r="AG453" s="2"/>
      <c r="AH453" s="2">
        <v>4</v>
      </c>
      <c r="AI453" s="2" t="s">
        <v>125</v>
      </c>
      <c r="AJ453" s="2">
        <v>29</v>
      </c>
      <c r="AK453" s="2" t="s">
        <v>227</v>
      </c>
      <c r="AL453" s="2">
        <v>10</v>
      </c>
      <c r="AM453" s="2" t="s">
        <v>200</v>
      </c>
      <c r="AN453" s="2" t="s">
        <v>883</v>
      </c>
      <c r="AO453" s="2"/>
      <c r="AP453" s="2">
        <v>12</v>
      </c>
      <c r="AQ453" s="2" t="s">
        <v>322</v>
      </c>
      <c r="AR453" s="2" t="s">
        <v>824</v>
      </c>
      <c r="AS453" s="2" t="s">
        <v>825</v>
      </c>
      <c r="AT453" s="2" t="s">
        <v>2066</v>
      </c>
      <c r="AU453" s="2"/>
      <c r="AV453" s="2"/>
      <c r="AW453" s="2"/>
      <c r="AX453" s="2"/>
      <c r="AY453" s="2">
        <v>41</v>
      </c>
      <c r="AZ453" s="2" t="s">
        <v>82</v>
      </c>
      <c r="BA453" s="2">
        <v>41</v>
      </c>
      <c r="BB453" s="2" t="s">
        <v>82</v>
      </c>
      <c r="BC453" s="2">
        <v>51</v>
      </c>
      <c r="BD453" s="2" t="s">
        <v>827</v>
      </c>
      <c r="BE453" s="2">
        <v>47</v>
      </c>
      <c r="BF453" s="2" t="s">
        <v>167</v>
      </c>
      <c r="BG453" s="2">
        <v>2459</v>
      </c>
      <c r="BH453" s="4">
        <v>0.84722222222222221</v>
      </c>
      <c r="BI453" s="4">
        <v>0.87847222222222221</v>
      </c>
      <c r="BJ453" s="2">
        <v>13</v>
      </c>
      <c r="BK453" s="2" t="s">
        <v>91</v>
      </c>
      <c r="BL453" s="2" t="s">
        <v>828</v>
      </c>
      <c r="BM453" s="2">
        <v>241</v>
      </c>
      <c r="BN453" s="2" t="s">
        <v>82</v>
      </c>
      <c r="BO453" s="2" t="s">
        <v>82</v>
      </c>
      <c r="BP453" s="2">
        <v>13</v>
      </c>
      <c r="BQ453" s="2" t="s">
        <v>91</v>
      </c>
      <c r="BR453" s="2" t="s">
        <v>185</v>
      </c>
      <c r="BS453" s="3">
        <v>40218</v>
      </c>
      <c r="BT453" s="4">
        <v>0.43678240740740737</v>
      </c>
    </row>
    <row r="454" spans="1:72" x14ac:dyDescent="0.25">
      <c r="A454" s="2">
        <v>717</v>
      </c>
      <c r="B454" s="2">
        <v>2010</v>
      </c>
      <c r="C454" s="2" t="s">
        <v>147</v>
      </c>
      <c r="D454" s="2" t="s">
        <v>73</v>
      </c>
      <c r="E454" s="2"/>
      <c r="F454" s="2">
        <v>1</v>
      </c>
      <c r="G454" s="2" t="s">
        <v>82</v>
      </c>
      <c r="H454" s="2">
        <v>1</v>
      </c>
      <c r="I454" s="2" t="s">
        <v>82</v>
      </c>
      <c r="J454" s="2">
        <v>1</v>
      </c>
      <c r="K454" s="2" t="s">
        <v>107</v>
      </c>
      <c r="L454" s="2" t="s">
        <v>107</v>
      </c>
      <c r="M454" s="3">
        <v>40218</v>
      </c>
      <c r="N454" s="2"/>
      <c r="O454" s="2"/>
      <c r="P454" s="2"/>
      <c r="Q454" s="2" t="str">
        <f>""</f>
        <v/>
      </c>
      <c r="R454" s="2"/>
      <c r="S454" s="2"/>
      <c r="T454" s="2">
        <v>2</v>
      </c>
      <c r="U454" s="2" t="s">
        <v>123</v>
      </c>
      <c r="V454" s="2">
        <v>1</v>
      </c>
      <c r="W454" s="2" t="s">
        <v>80</v>
      </c>
      <c r="X454" s="2">
        <v>12</v>
      </c>
      <c r="Y454" s="2" t="s">
        <v>148</v>
      </c>
      <c r="Z454" s="2">
        <v>1</v>
      </c>
      <c r="AA454" s="2" t="s">
        <v>82</v>
      </c>
      <c r="AB454" s="2">
        <v>9</v>
      </c>
      <c r="AC454" s="2" t="s">
        <v>124</v>
      </c>
      <c r="AD454" s="2"/>
      <c r="AE454" s="2"/>
      <c r="AF454" s="3">
        <v>40185</v>
      </c>
      <c r="AG454" s="4">
        <v>0.48958333333333331</v>
      </c>
      <c r="AH454" s="2">
        <v>3</v>
      </c>
      <c r="AI454" s="2" t="s">
        <v>214</v>
      </c>
      <c r="AJ454" s="2">
        <v>24</v>
      </c>
      <c r="AK454" s="2" t="s">
        <v>215</v>
      </c>
      <c r="AL454" s="2">
        <v>19</v>
      </c>
      <c r="AM454" s="2" t="s">
        <v>107</v>
      </c>
      <c r="AN454" s="2"/>
      <c r="AO454" s="2"/>
      <c r="AP454" s="2">
        <v>11</v>
      </c>
      <c r="AQ454" s="2" t="s">
        <v>82</v>
      </c>
      <c r="AR454" s="2"/>
      <c r="AS454" s="2"/>
      <c r="AT454" s="2" t="s">
        <v>2067</v>
      </c>
      <c r="AU454" s="2"/>
      <c r="AV454" s="2"/>
      <c r="AW454" s="2"/>
      <c r="AX454" s="2"/>
      <c r="AY454" s="2">
        <v>1</v>
      </c>
      <c r="AZ454" s="2" t="s">
        <v>107</v>
      </c>
      <c r="BA454" s="2">
        <v>1</v>
      </c>
      <c r="BB454" s="2" t="s">
        <v>107</v>
      </c>
      <c r="BC454" s="2">
        <v>1</v>
      </c>
      <c r="BD454" s="2" t="s">
        <v>107</v>
      </c>
      <c r="BE454" s="2">
        <v>1</v>
      </c>
      <c r="BF454" s="2" t="s">
        <v>107</v>
      </c>
      <c r="BG454" s="2"/>
      <c r="BH454" s="2"/>
      <c r="BI454" s="2"/>
      <c r="BJ454" s="2">
        <v>242</v>
      </c>
      <c r="BK454" s="2" t="s">
        <v>107</v>
      </c>
      <c r="BL454" s="2"/>
      <c r="BM454" s="2">
        <v>242</v>
      </c>
      <c r="BN454" s="2" t="s">
        <v>107</v>
      </c>
      <c r="BO454" s="2"/>
      <c r="BP454" s="2">
        <v>242</v>
      </c>
      <c r="BQ454" s="2" t="s">
        <v>107</v>
      </c>
      <c r="BR454" s="2"/>
      <c r="BS454" s="3">
        <v>40218</v>
      </c>
      <c r="BT454" s="4">
        <v>0.52496527777777779</v>
      </c>
    </row>
    <row r="455" spans="1:72" x14ac:dyDescent="0.25">
      <c r="A455" s="2">
        <v>720</v>
      </c>
      <c r="B455" s="2">
        <v>2010</v>
      </c>
      <c r="C455" s="2" t="s">
        <v>72</v>
      </c>
      <c r="D455" s="2" t="s">
        <v>73</v>
      </c>
      <c r="E455" s="2"/>
      <c r="F455" s="2">
        <v>491</v>
      </c>
      <c r="G455" s="2" t="s">
        <v>1774</v>
      </c>
      <c r="H455" s="2">
        <v>53</v>
      </c>
      <c r="I455" s="2" t="s">
        <v>1863</v>
      </c>
      <c r="J455" s="2">
        <v>396</v>
      </c>
      <c r="K455" s="2" t="s">
        <v>1775</v>
      </c>
      <c r="L455" s="2" t="s">
        <v>1776</v>
      </c>
      <c r="M455" s="3">
        <v>40218</v>
      </c>
      <c r="N455" s="2" t="s">
        <v>2068</v>
      </c>
      <c r="O455" s="2"/>
      <c r="P455" s="2"/>
      <c r="Q455" s="2" t="str">
        <f>"048-A/10"</f>
        <v>048-A/10</v>
      </c>
      <c r="R455" s="2"/>
      <c r="S455" s="2" t="s">
        <v>78</v>
      </c>
      <c r="T455" s="2">
        <v>1</v>
      </c>
      <c r="U455" s="2" t="s">
        <v>79</v>
      </c>
      <c r="V455" s="2">
        <v>1</v>
      </c>
      <c r="W455" s="2" t="s">
        <v>80</v>
      </c>
      <c r="X455" s="2">
        <v>1</v>
      </c>
      <c r="Y455" s="2" t="s">
        <v>81</v>
      </c>
      <c r="Z455" s="2">
        <v>1</v>
      </c>
      <c r="AA455" s="2" t="s">
        <v>82</v>
      </c>
      <c r="AB455" s="2">
        <v>6</v>
      </c>
      <c r="AC455" s="2" t="s">
        <v>83</v>
      </c>
      <c r="AD455" s="3">
        <v>40218</v>
      </c>
      <c r="AE455" s="4">
        <v>0.46527777777777773</v>
      </c>
      <c r="AF455" s="3">
        <v>40218</v>
      </c>
      <c r="AG455" s="4">
        <v>0.52083333333333337</v>
      </c>
      <c r="AH455" s="2">
        <v>2</v>
      </c>
      <c r="AI455" s="2" t="s">
        <v>84</v>
      </c>
      <c r="AJ455" s="2">
        <v>12</v>
      </c>
      <c r="AK455" s="2" t="s">
        <v>85</v>
      </c>
      <c r="AL455" s="2">
        <v>12</v>
      </c>
      <c r="AM455" s="2" t="s">
        <v>86</v>
      </c>
      <c r="AN455" s="2" t="s">
        <v>2069</v>
      </c>
      <c r="AO455" s="2" t="s">
        <v>2070</v>
      </c>
      <c r="AP455" s="2">
        <v>11</v>
      </c>
      <c r="AQ455" s="2" t="s">
        <v>82</v>
      </c>
      <c r="AR455" s="2"/>
      <c r="AS455" s="2"/>
      <c r="AT455" s="2" t="s">
        <v>2071</v>
      </c>
      <c r="AU455" s="2"/>
      <c r="AV455" s="2"/>
      <c r="AW455" s="2"/>
      <c r="AX455" s="2"/>
      <c r="AY455" s="2">
        <v>41</v>
      </c>
      <c r="AZ455" s="2" t="s">
        <v>82</v>
      </c>
      <c r="BA455" s="2">
        <v>41</v>
      </c>
      <c r="BB455" s="2" t="s">
        <v>82</v>
      </c>
      <c r="BC455" s="2">
        <v>41</v>
      </c>
      <c r="BD455" s="2" t="s">
        <v>82</v>
      </c>
      <c r="BE455" s="2">
        <v>41</v>
      </c>
      <c r="BF455" s="2" t="s">
        <v>82</v>
      </c>
      <c r="BG455" s="2"/>
      <c r="BH455" s="2"/>
      <c r="BI455" s="2"/>
      <c r="BJ455" s="2">
        <v>241</v>
      </c>
      <c r="BK455" s="2" t="s">
        <v>82</v>
      </c>
      <c r="BL455" s="2"/>
      <c r="BM455" s="2">
        <v>241</v>
      </c>
      <c r="BN455" s="2" t="s">
        <v>82</v>
      </c>
      <c r="BO455" s="2"/>
      <c r="BP455" s="2">
        <v>241</v>
      </c>
      <c r="BQ455" s="2" t="s">
        <v>82</v>
      </c>
      <c r="BR455" s="2"/>
      <c r="BS455" s="3">
        <v>40218</v>
      </c>
      <c r="BT455" s="4">
        <v>0.58091435185185192</v>
      </c>
    </row>
    <row r="456" spans="1:72" x14ac:dyDescent="0.25">
      <c r="A456" s="2">
        <v>721</v>
      </c>
      <c r="B456" s="2">
        <v>2010</v>
      </c>
      <c r="C456" s="2" t="s">
        <v>625</v>
      </c>
      <c r="D456" s="2" t="s">
        <v>122</v>
      </c>
      <c r="E456" s="2"/>
      <c r="F456" s="2">
        <v>100</v>
      </c>
      <c r="G456" s="2" t="s">
        <v>517</v>
      </c>
      <c r="H456" s="2">
        <v>22</v>
      </c>
      <c r="I456" s="2" t="s">
        <v>75</v>
      </c>
      <c r="J456" s="2">
        <v>119</v>
      </c>
      <c r="K456" s="2" t="s">
        <v>325</v>
      </c>
      <c r="L456" s="2" t="s">
        <v>326</v>
      </c>
      <c r="M456" s="3">
        <v>40218</v>
      </c>
      <c r="N456" s="2" t="s">
        <v>2072</v>
      </c>
      <c r="O456" s="2" t="s">
        <v>2073</v>
      </c>
      <c r="P456" s="2" t="s">
        <v>2074</v>
      </c>
      <c r="Q456" s="2" t="str">
        <f>"N/C"</f>
        <v>N/C</v>
      </c>
      <c r="R456" s="2" t="s">
        <v>82</v>
      </c>
      <c r="S456" s="2" t="s">
        <v>82</v>
      </c>
      <c r="T456" s="2">
        <v>1</v>
      </c>
      <c r="U456" s="2" t="s">
        <v>79</v>
      </c>
      <c r="V456" s="2">
        <v>1</v>
      </c>
      <c r="W456" s="2" t="s">
        <v>80</v>
      </c>
      <c r="X456" s="2">
        <v>5</v>
      </c>
      <c r="Y456" s="2" t="s">
        <v>82</v>
      </c>
      <c r="Z456" s="2">
        <v>1</v>
      </c>
      <c r="AA456" s="2" t="s">
        <v>82</v>
      </c>
      <c r="AB456" s="2">
        <v>9</v>
      </c>
      <c r="AC456" s="2" t="s">
        <v>124</v>
      </c>
      <c r="AD456" s="3">
        <v>40187</v>
      </c>
      <c r="AE456" s="4">
        <v>0.46527777777777773</v>
      </c>
      <c r="AF456" s="2"/>
      <c r="AG456" s="2"/>
      <c r="AH456" s="2">
        <v>6</v>
      </c>
      <c r="AI456" s="2" t="s">
        <v>197</v>
      </c>
      <c r="AJ456" s="2">
        <v>50</v>
      </c>
      <c r="AK456" s="2" t="s">
        <v>330</v>
      </c>
      <c r="AL456" s="2">
        <v>18</v>
      </c>
      <c r="AM456" s="2" t="s">
        <v>82</v>
      </c>
      <c r="AN456" s="2" t="s">
        <v>2075</v>
      </c>
      <c r="AO456" s="2" t="s">
        <v>2076</v>
      </c>
      <c r="AP456" s="2">
        <v>11</v>
      </c>
      <c r="AQ456" s="2" t="s">
        <v>82</v>
      </c>
      <c r="AR456" s="2" t="s">
        <v>82</v>
      </c>
      <c r="AS456" s="2" t="s">
        <v>82</v>
      </c>
      <c r="AT456" s="2" t="s">
        <v>2077</v>
      </c>
      <c r="AU456" s="2"/>
      <c r="AV456" s="2"/>
      <c r="AW456" s="2"/>
      <c r="AX456" s="2"/>
      <c r="AY456" s="2">
        <v>41</v>
      </c>
      <c r="AZ456" s="2" t="s">
        <v>82</v>
      </c>
      <c r="BA456" s="2">
        <v>41</v>
      </c>
      <c r="BB456" s="2" t="s">
        <v>82</v>
      </c>
      <c r="BC456" s="2">
        <v>41</v>
      </c>
      <c r="BD456" s="2" t="s">
        <v>82</v>
      </c>
      <c r="BE456" s="2">
        <v>41</v>
      </c>
      <c r="BF456" s="2" t="s">
        <v>82</v>
      </c>
      <c r="BG456" s="2" t="s">
        <v>82</v>
      </c>
      <c r="BH456" s="2"/>
      <c r="BI456" s="2"/>
      <c r="BJ456" s="2">
        <v>241</v>
      </c>
      <c r="BK456" s="2" t="s">
        <v>82</v>
      </c>
      <c r="BL456" s="2" t="s">
        <v>82</v>
      </c>
      <c r="BM456" s="2">
        <v>241</v>
      </c>
      <c r="BN456" s="2" t="s">
        <v>82</v>
      </c>
      <c r="BO456" s="2" t="s">
        <v>82</v>
      </c>
      <c r="BP456" s="2">
        <v>241</v>
      </c>
      <c r="BQ456" s="2" t="s">
        <v>82</v>
      </c>
      <c r="BR456" s="2" t="s">
        <v>82</v>
      </c>
      <c r="BS456" s="3">
        <v>40218</v>
      </c>
      <c r="BT456" s="4">
        <v>0.61621527777777774</v>
      </c>
    </row>
    <row r="457" spans="1:72" x14ac:dyDescent="0.25">
      <c r="A457" s="2">
        <v>734</v>
      </c>
      <c r="B457" s="2">
        <v>2010</v>
      </c>
      <c r="C457" s="2" t="s">
        <v>2078</v>
      </c>
      <c r="D457" s="2" t="s">
        <v>73</v>
      </c>
      <c r="E457" s="2"/>
      <c r="F457" s="2">
        <v>3</v>
      </c>
      <c r="G457" s="2" t="s">
        <v>1041</v>
      </c>
      <c r="H457" s="2">
        <v>22</v>
      </c>
      <c r="I457" s="2" t="s">
        <v>75</v>
      </c>
      <c r="J457" s="2">
        <v>368</v>
      </c>
      <c r="K457" s="2" t="s">
        <v>1042</v>
      </c>
      <c r="L457" s="2" t="s">
        <v>1043</v>
      </c>
      <c r="M457" s="3">
        <v>40218</v>
      </c>
      <c r="N457" s="2" t="s">
        <v>107</v>
      </c>
      <c r="O457" s="2"/>
      <c r="P457" s="2" t="s">
        <v>107</v>
      </c>
      <c r="Q457" s="2" t="str">
        <f>"079-E/10"</f>
        <v>079-E/10</v>
      </c>
      <c r="R457" s="2" t="s">
        <v>2079</v>
      </c>
      <c r="S457" s="2" t="s">
        <v>2079</v>
      </c>
      <c r="T457" s="2">
        <v>1</v>
      </c>
      <c r="U457" s="2" t="s">
        <v>79</v>
      </c>
      <c r="V457" s="2">
        <v>1</v>
      </c>
      <c r="W457" s="2" t="s">
        <v>80</v>
      </c>
      <c r="X457" s="2">
        <v>1</v>
      </c>
      <c r="Y457" s="2" t="s">
        <v>81</v>
      </c>
      <c r="Z457" s="2">
        <v>1</v>
      </c>
      <c r="AA457" s="2" t="s">
        <v>82</v>
      </c>
      <c r="AB457" s="2">
        <v>9</v>
      </c>
      <c r="AC457" s="2" t="s">
        <v>124</v>
      </c>
      <c r="AD457" s="3">
        <v>40214</v>
      </c>
      <c r="AE457" s="4">
        <v>0.54166666666666663</v>
      </c>
      <c r="AF457" s="3">
        <v>40218</v>
      </c>
      <c r="AG457" s="4">
        <v>0.70833333333333337</v>
      </c>
      <c r="AH457" s="2">
        <v>2</v>
      </c>
      <c r="AI457" s="2" t="s">
        <v>84</v>
      </c>
      <c r="AJ457" s="2">
        <v>9</v>
      </c>
      <c r="AK457" s="2" t="s">
        <v>103</v>
      </c>
      <c r="AL457" s="2">
        <v>18</v>
      </c>
      <c r="AM457" s="2" t="s">
        <v>82</v>
      </c>
      <c r="AN457" s="2"/>
      <c r="AO457" s="2"/>
      <c r="AP457" s="2">
        <v>11</v>
      </c>
      <c r="AQ457" s="2" t="s">
        <v>82</v>
      </c>
      <c r="AR457" s="2" t="s">
        <v>82</v>
      </c>
      <c r="AS457" s="2" t="s">
        <v>82</v>
      </c>
      <c r="AT457" s="2" t="s">
        <v>2080</v>
      </c>
      <c r="AU457" s="2"/>
      <c r="AV457" s="2"/>
      <c r="AW457" s="2"/>
      <c r="AX457" s="2"/>
      <c r="AY457" s="2">
        <v>42</v>
      </c>
      <c r="AZ457" s="2" t="s">
        <v>182</v>
      </c>
      <c r="BA457" s="2">
        <v>70</v>
      </c>
      <c r="BB457" s="2" t="s">
        <v>236</v>
      </c>
      <c r="BC457" s="2">
        <v>41</v>
      </c>
      <c r="BD457" s="2" t="s">
        <v>82</v>
      </c>
      <c r="BE457" s="2">
        <v>41</v>
      </c>
      <c r="BF457" s="2" t="s">
        <v>82</v>
      </c>
      <c r="BG457" s="2" t="s">
        <v>82</v>
      </c>
      <c r="BH457" s="4">
        <v>0</v>
      </c>
      <c r="BI457" s="4">
        <v>0</v>
      </c>
      <c r="BJ457" s="2">
        <v>241</v>
      </c>
      <c r="BK457" s="2" t="s">
        <v>82</v>
      </c>
      <c r="BL457" s="2" t="s">
        <v>82</v>
      </c>
      <c r="BM457" s="2">
        <v>241</v>
      </c>
      <c r="BN457" s="2" t="s">
        <v>82</v>
      </c>
      <c r="BO457" s="2" t="s">
        <v>82</v>
      </c>
      <c r="BP457" s="2">
        <v>241</v>
      </c>
      <c r="BQ457" s="2" t="s">
        <v>82</v>
      </c>
      <c r="BR457" s="2" t="s">
        <v>82</v>
      </c>
      <c r="BS457" s="3">
        <v>40218</v>
      </c>
      <c r="BT457" s="4">
        <v>0.78047453703703706</v>
      </c>
    </row>
    <row r="458" spans="1:72" x14ac:dyDescent="0.25">
      <c r="A458" s="2">
        <v>738</v>
      </c>
      <c r="B458" s="2">
        <v>2010</v>
      </c>
      <c r="C458" s="2" t="s">
        <v>414</v>
      </c>
      <c r="D458" s="2" t="s">
        <v>122</v>
      </c>
      <c r="E458" s="2"/>
      <c r="F458" s="2">
        <v>1</v>
      </c>
      <c r="G458" s="2" t="s">
        <v>82</v>
      </c>
      <c r="H458" s="2">
        <v>1</v>
      </c>
      <c r="I458" s="2" t="s">
        <v>82</v>
      </c>
      <c r="J458" s="2">
        <v>1</v>
      </c>
      <c r="K458" s="2" t="s">
        <v>107</v>
      </c>
      <c r="L458" s="2" t="s">
        <v>107</v>
      </c>
      <c r="M458" s="3">
        <v>40218</v>
      </c>
      <c r="N458" s="2"/>
      <c r="O458" s="2"/>
      <c r="P458" s="2"/>
      <c r="Q458" s="2" t="str">
        <f>""</f>
        <v/>
      </c>
      <c r="R458" s="2"/>
      <c r="S458" s="2"/>
      <c r="T458" s="2">
        <v>1</v>
      </c>
      <c r="U458" s="2" t="s">
        <v>79</v>
      </c>
      <c r="V458" s="2">
        <v>1</v>
      </c>
      <c r="W458" s="2" t="s">
        <v>80</v>
      </c>
      <c r="X458" s="2">
        <v>1</v>
      </c>
      <c r="Y458" s="2" t="s">
        <v>81</v>
      </c>
      <c r="Z458" s="2">
        <v>1</v>
      </c>
      <c r="AA458" s="2" t="s">
        <v>82</v>
      </c>
      <c r="AB458" s="2">
        <v>9</v>
      </c>
      <c r="AC458" s="2" t="s">
        <v>124</v>
      </c>
      <c r="AD458" s="3">
        <v>40218</v>
      </c>
      <c r="AE458" s="4">
        <v>0.75</v>
      </c>
      <c r="AF458" s="2"/>
      <c r="AG458" s="2"/>
      <c r="AH458" s="2">
        <v>2</v>
      </c>
      <c r="AI458" s="2" t="s">
        <v>84</v>
      </c>
      <c r="AJ458" s="2">
        <v>12</v>
      </c>
      <c r="AK458" s="2" t="s">
        <v>85</v>
      </c>
      <c r="AL458" s="2">
        <v>21</v>
      </c>
      <c r="AM458" s="2" t="s">
        <v>1311</v>
      </c>
      <c r="AN458" s="2" t="s">
        <v>2081</v>
      </c>
      <c r="AO458" s="2" t="s">
        <v>1714</v>
      </c>
      <c r="AP458" s="2">
        <v>11</v>
      </c>
      <c r="AQ458" s="2" t="s">
        <v>82</v>
      </c>
      <c r="AR458" s="2"/>
      <c r="AS458" s="2"/>
      <c r="AT458" s="2" t="s">
        <v>2082</v>
      </c>
      <c r="AU458" s="2"/>
      <c r="AV458" s="2"/>
      <c r="AW458" s="2"/>
      <c r="AX458" s="2"/>
      <c r="AY458" s="2">
        <v>41</v>
      </c>
      <c r="AZ458" s="2" t="s">
        <v>82</v>
      </c>
      <c r="BA458" s="2">
        <v>41</v>
      </c>
      <c r="BB458" s="2" t="s">
        <v>82</v>
      </c>
      <c r="BC458" s="2">
        <v>41</v>
      </c>
      <c r="BD458" s="2" t="s">
        <v>82</v>
      </c>
      <c r="BE458" s="2">
        <v>41</v>
      </c>
      <c r="BF458" s="2" t="s">
        <v>82</v>
      </c>
      <c r="BG458" s="2"/>
      <c r="BH458" s="2"/>
      <c r="BI458" s="2"/>
      <c r="BJ458" s="2">
        <v>241</v>
      </c>
      <c r="BK458" s="2" t="s">
        <v>82</v>
      </c>
      <c r="BL458" s="2"/>
      <c r="BM458" s="2">
        <v>241</v>
      </c>
      <c r="BN458" s="2" t="s">
        <v>82</v>
      </c>
      <c r="BO458" s="2"/>
      <c r="BP458" s="2">
        <v>241</v>
      </c>
      <c r="BQ458" s="2" t="s">
        <v>82</v>
      </c>
      <c r="BR458" s="2"/>
      <c r="BS458" s="3">
        <v>40218</v>
      </c>
      <c r="BT458" s="4">
        <v>0.85755787037037035</v>
      </c>
    </row>
    <row r="459" spans="1:72" x14ac:dyDescent="0.25">
      <c r="A459" s="2">
        <v>739</v>
      </c>
      <c r="B459" s="2">
        <v>2010</v>
      </c>
      <c r="C459" s="2" t="s">
        <v>819</v>
      </c>
      <c r="D459" s="2" t="s">
        <v>122</v>
      </c>
      <c r="E459" s="2"/>
      <c r="F459" s="2">
        <v>425</v>
      </c>
      <c r="G459" s="2" t="s">
        <v>286</v>
      </c>
      <c r="H459" s="2">
        <v>39</v>
      </c>
      <c r="I459" s="2" t="s">
        <v>1117</v>
      </c>
      <c r="J459" s="2">
        <v>310</v>
      </c>
      <c r="K459" s="2" t="s">
        <v>288</v>
      </c>
      <c r="L459" s="2" t="s">
        <v>289</v>
      </c>
      <c r="M459" s="3">
        <v>40218</v>
      </c>
      <c r="N459" s="2" t="s">
        <v>1943</v>
      </c>
      <c r="O459" s="2"/>
      <c r="P459" s="2"/>
      <c r="Q459" s="2" t="str">
        <f>"011/10"</f>
        <v>011/10</v>
      </c>
      <c r="R459" s="2" t="s">
        <v>822</v>
      </c>
      <c r="S459" s="2"/>
      <c r="T459" s="2">
        <v>1</v>
      </c>
      <c r="U459" s="2" t="s">
        <v>79</v>
      </c>
      <c r="V459" s="2">
        <v>1</v>
      </c>
      <c r="W459" s="2" t="s">
        <v>80</v>
      </c>
      <c r="X459" s="2">
        <v>1</v>
      </c>
      <c r="Y459" s="2" t="s">
        <v>81</v>
      </c>
      <c r="Z459" s="2">
        <v>10</v>
      </c>
      <c r="AA459" s="2" t="s">
        <v>236</v>
      </c>
      <c r="AB459" s="2">
        <v>9</v>
      </c>
      <c r="AC459" s="2" t="s">
        <v>124</v>
      </c>
      <c r="AD459" s="3">
        <v>40218</v>
      </c>
      <c r="AE459" s="4">
        <v>0.875</v>
      </c>
      <c r="AF459" s="2"/>
      <c r="AG459" s="2"/>
      <c r="AH459" s="2">
        <v>4</v>
      </c>
      <c r="AI459" s="2" t="s">
        <v>125</v>
      </c>
      <c r="AJ459" s="2">
        <v>29</v>
      </c>
      <c r="AK459" s="2" t="s">
        <v>227</v>
      </c>
      <c r="AL459" s="2">
        <v>10</v>
      </c>
      <c r="AM459" s="2" t="s">
        <v>200</v>
      </c>
      <c r="AN459" s="2" t="s">
        <v>1015</v>
      </c>
      <c r="AO459" s="2" t="s">
        <v>200</v>
      </c>
      <c r="AP459" s="2">
        <v>12</v>
      </c>
      <c r="AQ459" s="2" t="s">
        <v>322</v>
      </c>
      <c r="AR459" s="2" t="s">
        <v>824</v>
      </c>
      <c r="AS459" s="2" t="s">
        <v>825</v>
      </c>
      <c r="AT459" s="2" t="s">
        <v>2083</v>
      </c>
      <c r="AU459" s="2"/>
      <c r="AV459" s="2"/>
      <c r="AW459" s="2"/>
      <c r="AX459" s="2"/>
      <c r="AY459" s="2">
        <v>41</v>
      </c>
      <c r="AZ459" s="2" t="s">
        <v>82</v>
      </c>
      <c r="BA459" s="2">
        <v>41</v>
      </c>
      <c r="BB459" s="2" t="s">
        <v>82</v>
      </c>
      <c r="BC459" s="2">
        <v>51</v>
      </c>
      <c r="BD459" s="2" t="s">
        <v>827</v>
      </c>
      <c r="BE459" s="2">
        <v>47</v>
      </c>
      <c r="BF459" s="2" t="s">
        <v>167</v>
      </c>
      <c r="BG459" s="2" t="s">
        <v>2084</v>
      </c>
      <c r="BH459" s="4">
        <v>0.84027777777777779</v>
      </c>
      <c r="BI459" s="4">
        <v>0.875</v>
      </c>
      <c r="BJ459" s="2">
        <v>13</v>
      </c>
      <c r="BK459" s="2" t="s">
        <v>91</v>
      </c>
      <c r="BL459" s="2" t="s">
        <v>828</v>
      </c>
      <c r="BM459" s="2">
        <v>241</v>
      </c>
      <c r="BN459" s="2" t="s">
        <v>82</v>
      </c>
      <c r="BO459" s="2" t="s">
        <v>82</v>
      </c>
      <c r="BP459" s="2">
        <v>13</v>
      </c>
      <c r="BQ459" s="2" t="s">
        <v>91</v>
      </c>
      <c r="BR459" s="2" t="s">
        <v>185</v>
      </c>
      <c r="BS459" s="3">
        <v>40218</v>
      </c>
      <c r="BT459" s="4">
        <v>0.96799768518518514</v>
      </c>
    </row>
    <row r="460" spans="1:72" x14ac:dyDescent="0.25">
      <c r="A460" s="2">
        <v>745</v>
      </c>
      <c r="B460" s="2">
        <v>2010</v>
      </c>
      <c r="C460" s="2" t="s">
        <v>819</v>
      </c>
      <c r="D460" s="2" t="s">
        <v>122</v>
      </c>
      <c r="E460" s="2" t="s">
        <v>2085</v>
      </c>
      <c r="F460" s="2">
        <v>425</v>
      </c>
      <c r="G460" s="2" t="s">
        <v>286</v>
      </c>
      <c r="H460" s="2">
        <v>39</v>
      </c>
      <c r="I460" s="2" t="s">
        <v>1117</v>
      </c>
      <c r="J460" s="2">
        <v>310</v>
      </c>
      <c r="K460" s="2" t="s">
        <v>288</v>
      </c>
      <c r="L460" s="2" t="s">
        <v>289</v>
      </c>
      <c r="M460" s="3">
        <v>40219</v>
      </c>
      <c r="N460" s="2" t="s">
        <v>1943</v>
      </c>
      <c r="O460" s="2"/>
      <c r="P460" s="2"/>
      <c r="Q460" s="2" t="str">
        <f>"011/10"</f>
        <v>011/10</v>
      </c>
      <c r="R460" s="2"/>
      <c r="S460" s="2" t="s">
        <v>822</v>
      </c>
      <c r="T460" s="2">
        <v>1</v>
      </c>
      <c r="U460" s="2" t="s">
        <v>79</v>
      </c>
      <c r="V460" s="2">
        <v>1</v>
      </c>
      <c r="W460" s="2" t="s">
        <v>80</v>
      </c>
      <c r="X460" s="2">
        <v>1</v>
      </c>
      <c r="Y460" s="2" t="s">
        <v>81</v>
      </c>
      <c r="Z460" s="2">
        <v>10</v>
      </c>
      <c r="AA460" s="2" t="s">
        <v>236</v>
      </c>
      <c r="AB460" s="2">
        <v>9</v>
      </c>
      <c r="AC460" s="2" t="s">
        <v>124</v>
      </c>
      <c r="AD460" s="3">
        <v>40219</v>
      </c>
      <c r="AE460" s="4">
        <v>0.41666666666666669</v>
      </c>
      <c r="AF460" s="2"/>
      <c r="AG460" s="2"/>
      <c r="AH460" s="2">
        <v>4</v>
      </c>
      <c r="AI460" s="2" t="s">
        <v>125</v>
      </c>
      <c r="AJ460" s="2">
        <v>29</v>
      </c>
      <c r="AK460" s="2" t="s">
        <v>227</v>
      </c>
      <c r="AL460" s="2">
        <v>10</v>
      </c>
      <c r="AM460" s="2" t="s">
        <v>200</v>
      </c>
      <c r="AN460" s="2" t="s">
        <v>2086</v>
      </c>
      <c r="AO460" s="2"/>
      <c r="AP460" s="2">
        <v>12</v>
      </c>
      <c r="AQ460" s="2" t="s">
        <v>322</v>
      </c>
      <c r="AR460" s="2" t="s">
        <v>824</v>
      </c>
      <c r="AS460" s="2" t="s">
        <v>825</v>
      </c>
      <c r="AT460" s="2" t="s">
        <v>2087</v>
      </c>
      <c r="AU460" s="2"/>
      <c r="AV460" s="2"/>
      <c r="AW460" s="2"/>
      <c r="AX460" s="2"/>
      <c r="AY460" s="2">
        <v>41</v>
      </c>
      <c r="AZ460" s="2" t="s">
        <v>82</v>
      </c>
      <c r="BA460" s="2">
        <v>41</v>
      </c>
      <c r="BB460" s="2" t="s">
        <v>82</v>
      </c>
      <c r="BC460" s="2">
        <v>51</v>
      </c>
      <c r="BD460" s="2" t="s">
        <v>827</v>
      </c>
      <c r="BE460" s="2">
        <v>47</v>
      </c>
      <c r="BF460" s="2" t="s">
        <v>167</v>
      </c>
      <c r="BG460" s="2" t="s">
        <v>2084</v>
      </c>
      <c r="BH460" s="4">
        <v>0.84027777777777779</v>
      </c>
      <c r="BI460" s="4">
        <v>0.875</v>
      </c>
      <c r="BJ460" s="2">
        <v>13</v>
      </c>
      <c r="BK460" s="2" t="s">
        <v>91</v>
      </c>
      <c r="BL460" s="2" t="s">
        <v>828</v>
      </c>
      <c r="BM460" s="2">
        <v>241</v>
      </c>
      <c r="BN460" s="2" t="s">
        <v>82</v>
      </c>
      <c r="BO460" s="2" t="s">
        <v>82</v>
      </c>
      <c r="BP460" s="2">
        <v>13</v>
      </c>
      <c r="BQ460" s="2" t="s">
        <v>91</v>
      </c>
      <c r="BR460" s="2" t="s">
        <v>185</v>
      </c>
      <c r="BS460" s="3">
        <v>40219</v>
      </c>
      <c r="BT460" s="4">
        <v>0.50650462962962961</v>
      </c>
    </row>
    <row r="461" spans="1:72" x14ac:dyDescent="0.25">
      <c r="A461" s="2">
        <v>746</v>
      </c>
      <c r="B461" s="2">
        <v>2010</v>
      </c>
      <c r="C461" s="2" t="s">
        <v>2078</v>
      </c>
      <c r="D461" s="2" t="s">
        <v>122</v>
      </c>
      <c r="E461" s="2" t="s">
        <v>2088</v>
      </c>
      <c r="F461" s="2">
        <v>3</v>
      </c>
      <c r="G461" s="2" t="s">
        <v>1041</v>
      </c>
      <c r="H461" s="2">
        <v>22</v>
      </c>
      <c r="I461" s="2" t="s">
        <v>75</v>
      </c>
      <c r="J461" s="2">
        <v>368</v>
      </c>
      <c r="K461" s="2" t="s">
        <v>1042</v>
      </c>
      <c r="L461" s="2" t="s">
        <v>1043</v>
      </c>
      <c r="M461" s="3">
        <v>40219</v>
      </c>
      <c r="N461" s="2" t="s">
        <v>107</v>
      </c>
      <c r="O461" s="2"/>
      <c r="P461" s="2" t="s">
        <v>107</v>
      </c>
      <c r="Q461" s="2" t="str">
        <f>"079-E/10"</f>
        <v>079-E/10</v>
      </c>
      <c r="R461" s="2" t="s">
        <v>2079</v>
      </c>
      <c r="S461" s="2" t="s">
        <v>2079</v>
      </c>
      <c r="T461" s="2">
        <v>1</v>
      </c>
      <c r="U461" s="2" t="s">
        <v>79</v>
      </c>
      <c r="V461" s="2">
        <v>1</v>
      </c>
      <c r="W461" s="2" t="s">
        <v>80</v>
      </c>
      <c r="X461" s="2">
        <v>1</v>
      </c>
      <c r="Y461" s="2" t="s">
        <v>81</v>
      </c>
      <c r="Z461" s="2">
        <v>1</v>
      </c>
      <c r="AA461" s="2" t="s">
        <v>82</v>
      </c>
      <c r="AB461" s="2">
        <v>9</v>
      </c>
      <c r="AC461" s="2" t="s">
        <v>124</v>
      </c>
      <c r="AD461" s="3">
        <v>40214</v>
      </c>
      <c r="AE461" s="4">
        <v>0.54166666666666663</v>
      </c>
      <c r="AF461" s="3">
        <v>40218</v>
      </c>
      <c r="AG461" s="4">
        <v>0.625</v>
      </c>
      <c r="AH461" s="2">
        <v>2</v>
      </c>
      <c r="AI461" s="2" t="s">
        <v>84</v>
      </c>
      <c r="AJ461" s="2">
        <v>9</v>
      </c>
      <c r="AK461" s="2" t="s">
        <v>103</v>
      </c>
      <c r="AL461" s="2">
        <v>18</v>
      </c>
      <c r="AM461" s="2" t="s">
        <v>82</v>
      </c>
      <c r="AN461" s="2"/>
      <c r="AO461" s="2"/>
      <c r="AP461" s="2">
        <v>11</v>
      </c>
      <c r="AQ461" s="2" t="s">
        <v>82</v>
      </c>
      <c r="AR461" s="2" t="s">
        <v>82</v>
      </c>
      <c r="AS461" s="2" t="s">
        <v>82</v>
      </c>
      <c r="AT461" s="2" t="s">
        <v>2089</v>
      </c>
      <c r="AU461" s="2"/>
      <c r="AV461" s="2"/>
      <c r="AW461" s="2"/>
      <c r="AX461" s="2"/>
      <c r="AY461" s="2">
        <v>42</v>
      </c>
      <c r="AZ461" s="2" t="s">
        <v>182</v>
      </c>
      <c r="BA461" s="2">
        <v>70</v>
      </c>
      <c r="BB461" s="2" t="s">
        <v>236</v>
      </c>
      <c r="BC461" s="2">
        <v>41</v>
      </c>
      <c r="BD461" s="2" t="s">
        <v>82</v>
      </c>
      <c r="BE461" s="2">
        <v>41</v>
      </c>
      <c r="BF461" s="2" t="s">
        <v>82</v>
      </c>
      <c r="BG461" s="2" t="s">
        <v>82</v>
      </c>
      <c r="BH461" s="4">
        <v>0</v>
      </c>
      <c r="BI461" s="4">
        <v>0</v>
      </c>
      <c r="BJ461" s="2">
        <v>241</v>
      </c>
      <c r="BK461" s="2" t="s">
        <v>82</v>
      </c>
      <c r="BL461" s="2" t="s">
        <v>82</v>
      </c>
      <c r="BM461" s="2">
        <v>241</v>
      </c>
      <c r="BN461" s="2" t="s">
        <v>82</v>
      </c>
      <c r="BO461" s="2" t="s">
        <v>82</v>
      </c>
      <c r="BP461" s="2">
        <v>241</v>
      </c>
      <c r="BQ461" s="2" t="s">
        <v>82</v>
      </c>
      <c r="BR461" s="2" t="s">
        <v>82</v>
      </c>
      <c r="BS461" s="3">
        <v>40219</v>
      </c>
      <c r="BT461" s="4">
        <v>0.51853009259259253</v>
      </c>
    </row>
    <row r="462" spans="1:72" x14ac:dyDescent="0.25">
      <c r="A462" s="2">
        <v>751</v>
      </c>
      <c r="B462" s="2">
        <v>2010</v>
      </c>
      <c r="C462" s="2" t="s">
        <v>625</v>
      </c>
      <c r="D462" s="2" t="s">
        <v>73</v>
      </c>
      <c r="E462" s="2"/>
      <c r="F462" s="2">
        <v>151</v>
      </c>
      <c r="G462" s="2" t="s">
        <v>314</v>
      </c>
      <c r="H462" s="2">
        <v>23</v>
      </c>
      <c r="I462" s="2" t="s">
        <v>422</v>
      </c>
      <c r="J462" s="2">
        <v>3</v>
      </c>
      <c r="K462" s="2" t="s">
        <v>2090</v>
      </c>
      <c r="L462" s="2" t="s">
        <v>2091</v>
      </c>
      <c r="M462" s="3">
        <v>40219</v>
      </c>
      <c r="N462" s="2" t="s">
        <v>2092</v>
      </c>
      <c r="O462" s="2" t="s">
        <v>2093</v>
      </c>
      <c r="P462" s="2" t="s">
        <v>2094</v>
      </c>
      <c r="Q462" s="2" t="str">
        <f>"N/T"</f>
        <v>N/T</v>
      </c>
      <c r="R462" s="2" t="s">
        <v>107</v>
      </c>
      <c r="S462" s="2"/>
      <c r="T462" s="2">
        <v>1</v>
      </c>
      <c r="U462" s="2" t="s">
        <v>79</v>
      </c>
      <c r="V462" s="2">
        <v>1</v>
      </c>
      <c r="W462" s="2" t="s">
        <v>80</v>
      </c>
      <c r="X462" s="2">
        <v>2</v>
      </c>
      <c r="Y462" s="2" t="s">
        <v>136</v>
      </c>
      <c r="Z462" s="2">
        <v>1</v>
      </c>
      <c r="AA462" s="2" t="s">
        <v>82</v>
      </c>
      <c r="AB462" s="2">
        <v>9</v>
      </c>
      <c r="AC462" s="2" t="s">
        <v>124</v>
      </c>
      <c r="AD462" s="3">
        <v>40219</v>
      </c>
      <c r="AE462" s="4">
        <v>0.34027777777777773</v>
      </c>
      <c r="AF462" s="2"/>
      <c r="AG462" s="2"/>
      <c r="AH462" s="2">
        <v>7</v>
      </c>
      <c r="AI462" s="2" t="s">
        <v>801</v>
      </c>
      <c r="AJ462" s="2">
        <v>3</v>
      </c>
      <c r="AK462" s="2" t="s">
        <v>802</v>
      </c>
      <c r="AL462" s="2">
        <v>18</v>
      </c>
      <c r="AM462" s="2" t="s">
        <v>82</v>
      </c>
      <c r="AN462" s="2" t="s">
        <v>107</v>
      </c>
      <c r="AO462" s="2" t="s">
        <v>2095</v>
      </c>
      <c r="AP462" s="2">
        <v>11</v>
      </c>
      <c r="AQ462" s="2" t="s">
        <v>82</v>
      </c>
      <c r="AR462" s="2" t="s">
        <v>82</v>
      </c>
      <c r="AS462" s="2" t="s">
        <v>82</v>
      </c>
      <c r="AT462" s="2" t="s">
        <v>2096</v>
      </c>
      <c r="AU462" s="2">
        <v>2</v>
      </c>
      <c r="AV462" s="2"/>
      <c r="AW462" s="2"/>
      <c r="AX462" s="2"/>
      <c r="AY462" s="2">
        <v>41</v>
      </c>
      <c r="AZ462" s="2" t="s">
        <v>82</v>
      </c>
      <c r="BA462" s="2">
        <v>1</v>
      </c>
      <c r="BB462" s="2" t="s">
        <v>107</v>
      </c>
      <c r="BC462" s="2">
        <v>41</v>
      </c>
      <c r="BD462" s="2" t="s">
        <v>82</v>
      </c>
      <c r="BE462" s="2">
        <v>1</v>
      </c>
      <c r="BF462" s="2" t="s">
        <v>107</v>
      </c>
      <c r="BG462" s="2" t="s">
        <v>107</v>
      </c>
      <c r="BH462" s="2"/>
      <c r="BI462" s="2"/>
      <c r="BJ462" s="2">
        <v>242</v>
      </c>
      <c r="BK462" s="2" t="s">
        <v>107</v>
      </c>
      <c r="BL462" s="2" t="s">
        <v>82</v>
      </c>
      <c r="BM462" s="2">
        <v>241</v>
      </c>
      <c r="BN462" s="2" t="s">
        <v>82</v>
      </c>
      <c r="BO462" s="2" t="s">
        <v>82</v>
      </c>
      <c r="BP462" s="2">
        <v>242</v>
      </c>
      <c r="BQ462" s="2" t="s">
        <v>107</v>
      </c>
      <c r="BR462" s="2" t="s">
        <v>82</v>
      </c>
      <c r="BS462" s="3">
        <v>40219</v>
      </c>
      <c r="BT462" s="4">
        <v>0.55157407407407411</v>
      </c>
    </row>
    <row r="463" spans="1:72" x14ac:dyDescent="0.25">
      <c r="A463" s="2">
        <v>751</v>
      </c>
      <c r="B463" s="2">
        <v>2010</v>
      </c>
      <c r="C463" s="2" t="s">
        <v>806</v>
      </c>
      <c r="D463" s="2" t="s">
        <v>73</v>
      </c>
      <c r="E463" s="2"/>
      <c r="F463" s="2">
        <v>151</v>
      </c>
      <c r="G463" s="2" t="s">
        <v>314</v>
      </c>
      <c r="H463" s="2">
        <v>23</v>
      </c>
      <c r="I463" s="2" t="s">
        <v>422</v>
      </c>
      <c r="J463" s="2">
        <v>3</v>
      </c>
      <c r="K463" s="2" t="s">
        <v>2090</v>
      </c>
      <c r="L463" s="2" t="s">
        <v>2091</v>
      </c>
      <c r="M463" s="3">
        <v>40219</v>
      </c>
      <c r="N463" s="2" t="s">
        <v>2092</v>
      </c>
      <c r="O463" s="2" t="s">
        <v>2093</v>
      </c>
      <c r="P463" s="2" t="s">
        <v>2094</v>
      </c>
      <c r="Q463" s="2" t="str">
        <f>"N/T"</f>
        <v>N/T</v>
      </c>
      <c r="R463" s="2" t="s">
        <v>107</v>
      </c>
      <c r="S463" s="2"/>
      <c r="T463" s="2">
        <v>1</v>
      </c>
      <c r="U463" s="2" t="s">
        <v>79</v>
      </c>
      <c r="V463" s="2">
        <v>1</v>
      </c>
      <c r="W463" s="2" t="s">
        <v>80</v>
      </c>
      <c r="X463" s="2">
        <v>2</v>
      </c>
      <c r="Y463" s="2" t="s">
        <v>136</v>
      </c>
      <c r="Z463" s="2">
        <v>1</v>
      </c>
      <c r="AA463" s="2" t="s">
        <v>82</v>
      </c>
      <c r="AB463" s="2">
        <v>9</v>
      </c>
      <c r="AC463" s="2" t="s">
        <v>124</v>
      </c>
      <c r="AD463" s="3">
        <v>40219</v>
      </c>
      <c r="AE463" s="4">
        <v>0.34027777777777773</v>
      </c>
      <c r="AF463" s="2"/>
      <c r="AG463" s="2"/>
      <c r="AH463" s="2">
        <v>7</v>
      </c>
      <c r="AI463" s="2" t="s">
        <v>801</v>
      </c>
      <c r="AJ463" s="2">
        <v>3</v>
      </c>
      <c r="AK463" s="2" t="s">
        <v>802</v>
      </c>
      <c r="AL463" s="2">
        <v>18</v>
      </c>
      <c r="AM463" s="2" t="s">
        <v>82</v>
      </c>
      <c r="AN463" s="2" t="s">
        <v>107</v>
      </c>
      <c r="AO463" s="2" t="s">
        <v>2095</v>
      </c>
      <c r="AP463" s="2">
        <v>11</v>
      </c>
      <c r="AQ463" s="2" t="s">
        <v>82</v>
      </c>
      <c r="AR463" s="2" t="s">
        <v>82</v>
      </c>
      <c r="AS463" s="2" t="s">
        <v>82</v>
      </c>
      <c r="AT463" s="2" t="s">
        <v>2096</v>
      </c>
      <c r="AU463" s="2">
        <v>2</v>
      </c>
      <c r="AV463" s="2"/>
      <c r="AW463" s="2"/>
      <c r="AX463" s="2"/>
      <c r="AY463" s="2">
        <v>41</v>
      </c>
      <c r="AZ463" s="2" t="s">
        <v>82</v>
      </c>
      <c r="BA463" s="2">
        <v>1</v>
      </c>
      <c r="BB463" s="2" t="s">
        <v>107</v>
      </c>
      <c r="BC463" s="2">
        <v>41</v>
      </c>
      <c r="BD463" s="2" t="s">
        <v>82</v>
      </c>
      <c r="BE463" s="2">
        <v>1</v>
      </c>
      <c r="BF463" s="2" t="s">
        <v>107</v>
      </c>
      <c r="BG463" s="2" t="s">
        <v>107</v>
      </c>
      <c r="BH463" s="2"/>
      <c r="BI463" s="2"/>
      <c r="BJ463" s="2">
        <v>242</v>
      </c>
      <c r="BK463" s="2" t="s">
        <v>107</v>
      </c>
      <c r="BL463" s="2" t="s">
        <v>82</v>
      </c>
      <c r="BM463" s="2">
        <v>241</v>
      </c>
      <c r="BN463" s="2" t="s">
        <v>82</v>
      </c>
      <c r="BO463" s="2" t="s">
        <v>82</v>
      </c>
      <c r="BP463" s="2">
        <v>242</v>
      </c>
      <c r="BQ463" s="2" t="s">
        <v>107</v>
      </c>
      <c r="BR463" s="2" t="s">
        <v>82</v>
      </c>
      <c r="BS463" s="3">
        <v>40219</v>
      </c>
      <c r="BT463" s="4">
        <v>0.55157407407407411</v>
      </c>
    </row>
    <row r="464" spans="1:72" x14ac:dyDescent="0.25">
      <c r="A464" s="2">
        <v>752</v>
      </c>
      <c r="B464" s="2">
        <v>2010</v>
      </c>
      <c r="C464" s="2" t="s">
        <v>72</v>
      </c>
      <c r="D464" s="2" t="s">
        <v>73</v>
      </c>
      <c r="E464" s="2"/>
      <c r="F464" s="2">
        <v>491</v>
      </c>
      <c r="G464" s="2" t="s">
        <v>1774</v>
      </c>
      <c r="H464" s="2">
        <v>22</v>
      </c>
      <c r="I464" s="2" t="s">
        <v>75</v>
      </c>
      <c r="J464" s="2">
        <v>396</v>
      </c>
      <c r="K464" s="2" t="s">
        <v>1775</v>
      </c>
      <c r="L464" s="2" t="s">
        <v>1776</v>
      </c>
      <c r="M464" s="3">
        <v>40219</v>
      </c>
      <c r="N464" s="2" t="s">
        <v>2097</v>
      </c>
      <c r="O464" s="2" t="s">
        <v>107</v>
      </c>
      <c r="P464" s="2" t="s">
        <v>107</v>
      </c>
      <c r="Q464" s="2" t="str">
        <f>"049-A/10"</f>
        <v>049-A/10</v>
      </c>
      <c r="R464" s="2" t="s">
        <v>107</v>
      </c>
      <c r="S464" s="2" t="s">
        <v>302</v>
      </c>
      <c r="T464" s="2">
        <v>1</v>
      </c>
      <c r="U464" s="2" t="s">
        <v>79</v>
      </c>
      <c r="V464" s="2">
        <v>1</v>
      </c>
      <c r="W464" s="2" t="s">
        <v>80</v>
      </c>
      <c r="X464" s="2">
        <v>5</v>
      </c>
      <c r="Y464" s="2" t="s">
        <v>82</v>
      </c>
      <c r="Z464" s="2">
        <v>1</v>
      </c>
      <c r="AA464" s="2" t="s">
        <v>82</v>
      </c>
      <c r="AB464" s="2">
        <v>6</v>
      </c>
      <c r="AC464" s="2" t="s">
        <v>83</v>
      </c>
      <c r="AD464" s="3">
        <v>40219</v>
      </c>
      <c r="AE464" s="4">
        <v>0.4513888888888889</v>
      </c>
      <c r="AF464" s="3">
        <v>40219</v>
      </c>
      <c r="AG464" s="4">
        <v>0.46527777777777773</v>
      </c>
      <c r="AH464" s="2">
        <v>2</v>
      </c>
      <c r="AI464" s="2" t="s">
        <v>84</v>
      </c>
      <c r="AJ464" s="2">
        <v>12</v>
      </c>
      <c r="AK464" s="2" t="s">
        <v>85</v>
      </c>
      <c r="AL464" s="2">
        <v>12</v>
      </c>
      <c r="AM464" s="2" t="s">
        <v>86</v>
      </c>
      <c r="AN464" s="2" t="s">
        <v>1212</v>
      </c>
      <c r="AO464" s="2" t="s">
        <v>2098</v>
      </c>
      <c r="AP464" s="2">
        <v>11</v>
      </c>
      <c r="AQ464" s="2" t="s">
        <v>82</v>
      </c>
      <c r="AR464" s="2" t="s">
        <v>82</v>
      </c>
      <c r="AS464" s="2" t="s">
        <v>82</v>
      </c>
      <c r="AT464" s="2" t="s">
        <v>2099</v>
      </c>
      <c r="AU464" s="2"/>
      <c r="AV464" s="2"/>
      <c r="AW464" s="2"/>
      <c r="AX464" s="2"/>
      <c r="AY464" s="2">
        <v>41</v>
      </c>
      <c r="AZ464" s="2" t="s">
        <v>82</v>
      </c>
      <c r="BA464" s="2">
        <v>41</v>
      </c>
      <c r="BB464" s="2" t="s">
        <v>82</v>
      </c>
      <c r="BC464" s="2">
        <v>41</v>
      </c>
      <c r="BD464" s="2" t="s">
        <v>82</v>
      </c>
      <c r="BE464" s="2">
        <v>47</v>
      </c>
      <c r="BF464" s="2" t="s">
        <v>167</v>
      </c>
      <c r="BG464" s="2" t="s">
        <v>2100</v>
      </c>
      <c r="BH464" s="4">
        <v>0.78125</v>
      </c>
      <c r="BI464" s="4">
        <v>0.69097222222222221</v>
      </c>
      <c r="BJ464" s="2">
        <v>13</v>
      </c>
      <c r="BK464" s="2" t="s">
        <v>91</v>
      </c>
      <c r="BL464" s="2" t="s">
        <v>185</v>
      </c>
      <c r="BM464" s="2">
        <v>241</v>
      </c>
      <c r="BN464" s="2" t="s">
        <v>82</v>
      </c>
      <c r="BO464" s="2" t="s">
        <v>82</v>
      </c>
      <c r="BP464" s="2">
        <v>13</v>
      </c>
      <c r="BQ464" s="2" t="s">
        <v>91</v>
      </c>
      <c r="BR464" s="2" t="s">
        <v>895</v>
      </c>
      <c r="BS464" s="3">
        <v>40219</v>
      </c>
      <c r="BT464" s="4">
        <v>0.55390046296296302</v>
      </c>
    </row>
    <row r="465" spans="1:72" x14ac:dyDescent="0.25">
      <c r="A465" s="2">
        <v>754</v>
      </c>
      <c r="B465" s="2">
        <v>2010</v>
      </c>
      <c r="C465" s="2" t="s">
        <v>625</v>
      </c>
      <c r="D465" s="2" t="s">
        <v>122</v>
      </c>
      <c r="E465" s="2"/>
      <c r="F465" s="2">
        <v>151</v>
      </c>
      <c r="G465" s="2" t="s">
        <v>314</v>
      </c>
      <c r="H465" s="2">
        <v>40</v>
      </c>
      <c r="I465" s="2" t="s">
        <v>2101</v>
      </c>
      <c r="J465" s="2">
        <v>3</v>
      </c>
      <c r="K465" s="2" t="s">
        <v>2090</v>
      </c>
      <c r="L465" s="2" t="s">
        <v>2091</v>
      </c>
      <c r="M465" s="3">
        <v>40219</v>
      </c>
      <c r="N465" s="2" t="s">
        <v>2092</v>
      </c>
      <c r="O465" s="2" t="s">
        <v>2102</v>
      </c>
      <c r="P465" s="2" t="s">
        <v>2103</v>
      </c>
      <c r="Q465" s="2" t="str">
        <f>"N/T"</f>
        <v>N/T</v>
      </c>
      <c r="R465" s="2" t="s">
        <v>2104</v>
      </c>
      <c r="S465" s="2" t="s">
        <v>2105</v>
      </c>
      <c r="T465" s="2">
        <v>1</v>
      </c>
      <c r="U465" s="2" t="s">
        <v>79</v>
      </c>
      <c r="V465" s="2">
        <v>1</v>
      </c>
      <c r="W465" s="2" t="s">
        <v>80</v>
      </c>
      <c r="X465" s="2">
        <v>2</v>
      </c>
      <c r="Y465" s="2" t="s">
        <v>136</v>
      </c>
      <c r="Z465" s="2">
        <v>1</v>
      </c>
      <c r="AA465" s="2" t="s">
        <v>82</v>
      </c>
      <c r="AB465" s="2">
        <v>9</v>
      </c>
      <c r="AC465" s="2" t="s">
        <v>124</v>
      </c>
      <c r="AD465" s="3">
        <v>40219</v>
      </c>
      <c r="AE465" s="4">
        <v>0.28472222222222221</v>
      </c>
      <c r="AF465" s="2"/>
      <c r="AG465" s="2"/>
      <c r="AH465" s="2">
        <v>7</v>
      </c>
      <c r="AI465" s="2" t="s">
        <v>801</v>
      </c>
      <c r="AJ465" s="2">
        <v>3</v>
      </c>
      <c r="AK465" s="2" t="s">
        <v>802</v>
      </c>
      <c r="AL465" s="2">
        <v>18</v>
      </c>
      <c r="AM465" s="2" t="s">
        <v>82</v>
      </c>
      <c r="AN465" s="2" t="s">
        <v>107</v>
      </c>
      <c r="AO465" s="2" t="s">
        <v>2106</v>
      </c>
      <c r="AP465" s="2">
        <v>11</v>
      </c>
      <c r="AQ465" s="2" t="s">
        <v>82</v>
      </c>
      <c r="AR465" s="2" t="s">
        <v>82</v>
      </c>
      <c r="AS465" s="2" t="s">
        <v>82</v>
      </c>
      <c r="AT465" s="2" t="s">
        <v>2107</v>
      </c>
      <c r="AU465" s="2"/>
      <c r="AV465" s="2"/>
      <c r="AW465" s="2"/>
      <c r="AX465" s="2"/>
      <c r="AY465" s="2">
        <v>41</v>
      </c>
      <c r="AZ465" s="2" t="s">
        <v>82</v>
      </c>
      <c r="BA465" s="2">
        <v>41</v>
      </c>
      <c r="BB465" s="2" t="s">
        <v>82</v>
      </c>
      <c r="BC465" s="2">
        <v>41</v>
      </c>
      <c r="BD465" s="2" t="s">
        <v>82</v>
      </c>
      <c r="BE465" s="2">
        <v>41</v>
      </c>
      <c r="BF465" s="2" t="s">
        <v>82</v>
      </c>
      <c r="BG465" s="2"/>
      <c r="BH465" s="2"/>
      <c r="BI465" s="2"/>
      <c r="BJ465" s="2">
        <v>241</v>
      </c>
      <c r="BK465" s="2" t="s">
        <v>82</v>
      </c>
      <c r="BL465" s="2" t="s">
        <v>82</v>
      </c>
      <c r="BM465" s="2">
        <v>241</v>
      </c>
      <c r="BN465" s="2" t="s">
        <v>82</v>
      </c>
      <c r="BO465" s="2" t="s">
        <v>82</v>
      </c>
      <c r="BP465" s="2">
        <v>242</v>
      </c>
      <c r="BQ465" s="2" t="s">
        <v>107</v>
      </c>
      <c r="BR465" s="2" t="s">
        <v>82</v>
      </c>
      <c r="BS465" s="3">
        <v>40219</v>
      </c>
      <c r="BT465" s="4">
        <v>0.57839120370370367</v>
      </c>
    </row>
    <row r="466" spans="1:72" x14ac:dyDescent="0.25">
      <c r="A466" s="2">
        <v>755</v>
      </c>
      <c r="B466" s="2">
        <v>2010</v>
      </c>
      <c r="C466" s="2" t="s">
        <v>1094</v>
      </c>
      <c r="D466" s="2" t="s">
        <v>73</v>
      </c>
      <c r="E466" s="2"/>
      <c r="F466" s="2">
        <v>425</v>
      </c>
      <c r="G466" s="2" t="s">
        <v>286</v>
      </c>
      <c r="H466" s="2">
        <v>39</v>
      </c>
      <c r="I466" s="2" t="s">
        <v>1117</v>
      </c>
      <c r="J466" s="2">
        <v>310</v>
      </c>
      <c r="K466" s="2" t="s">
        <v>288</v>
      </c>
      <c r="L466" s="2" t="s">
        <v>289</v>
      </c>
      <c r="M466" s="3">
        <v>40219</v>
      </c>
      <c r="N466" s="2" t="s">
        <v>2049</v>
      </c>
      <c r="O466" s="2" t="s">
        <v>1918</v>
      </c>
      <c r="P466" s="2" t="s">
        <v>1919</v>
      </c>
      <c r="Q466" s="2" t="str">
        <f>"04/09"</f>
        <v>04/09</v>
      </c>
      <c r="R466" s="2" t="s">
        <v>480</v>
      </c>
      <c r="S466" s="2" t="s">
        <v>480</v>
      </c>
      <c r="T466" s="2">
        <v>1</v>
      </c>
      <c r="U466" s="2" t="s">
        <v>79</v>
      </c>
      <c r="V466" s="2">
        <v>3</v>
      </c>
      <c r="W466" s="2" t="s">
        <v>225</v>
      </c>
      <c r="X466" s="2">
        <v>6</v>
      </c>
      <c r="Y466" s="2" t="s">
        <v>249</v>
      </c>
      <c r="Z466" s="2">
        <v>1</v>
      </c>
      <c r="AA466" s="2" t="s">
        <v>82</v>
      </c>
      <c r="AB466" s="2">
        <v>9</v>
      </c>
      <c r="AC466" s="2" t="s">
        <v>124</v>
      </c>
      <c r="AD466" s="2"/>
      <c r="AE466" s="2"/>
      <c r="AF466" s="2"/>
      <c r="AG466" s="2"/>
      <c r="AH466" s="2">
        <v>4</v>
      </c>
      <c r="AI466" s="2" t="s">
        <v>125</v>
      </c>
      <c r="AJ466" s="2">
        <v>26</v>
      </c>
      <c r="AK466" s="2" t="s">
        <v>293</v>
      </c>
      <c r="AL466" s="2">
        <v>23</v>
      </c>
      <c r="AM466" s="2" t="s">
        <v>251</v>
      </c>
      <c r="AN466" s="2" t="s">
        <v>2108</v>
      </c>
      <c r="AO466" s="2" t="s">
        <v>2109</v>
      </c>
      <c r="AP466" s="2">
        <v>11</v>
      </c>
      <c r="AQ466" s="2" t="s">
        <v>82</v>
      </c>
      <c r="AR466" s="2"/>
      <c r="AS466" s="2"/>
      <c r="AT466" s="2" t="s">
        <v>2110</v>
      </c>
      <c r="AU466" s="2"/>
      <c r="AV466" s="2"/>
      <c r="AW466" s="2"/>
      <c r="AX466" s="2"/>
      <c r="AY466" s="2">
        <v>1</v>
      </c>
      <c r="AZ466" s="2" t="s">
        <v>107</v>
      </c>
      <c r="BA466" s="2">
        <v>1</v>
      </c>
      <c r="BB466" s="2" t="s">
        <v>107</v>
      </c>
      <c r="BC466" s="2">
        <v>1</v>
      </c>
      <c r="BD466" s="2" t="s">
        <v>107</v>
      </c>
      <c r="BE466" s="2">
        <v>1</v>
      </c>
      <c r="BF466" s="2" t="s">
        <v>107</v>
      </c>
      <c r="BG466" s="2"/>
      <c r="BH466" s="2"/>
      <c r="BI466" s="2"/>
      <c r="BJ466" s="2">
        <v>242</v>
      </c>
      <c r="BK466" s="2" t="s">
        <v>107</v>
      </c>
      <c r="BL466" s="2"/>
      <c r="BM466" s="2">
        <v>242</v>
      </c>
      <c r="BN466" s="2" t="s">
        <v>107</v>
      </c>
      <c r="BO466" s="2"/>
      <c r="BP466" s="2">
        <v>242</v>
      </c>
      <c r="BQ466" s="2" t="s">
        <v>107</v>
      </c>
      <c r="BR466" s="2"/>
      <c r="BS466" s="3">
        <v>40219</v>
      </c>
      <c r="BT466" s="4">
        <v>0.5829050925925926</v>
      </c>
    </row>
    <row r="467" spans="1:72" x14ac:dyDescent="0.25">
      <c r="A467" s="2">
        <v>759</v>
      </c>
      <c r="B467" s="2">
        <v>2010</v>
      </c>
      <c r="C467" s="2" t="s">
        <v>625</v>
      </c>
      <c r="D467" s="2" t="s">
        <v>73</v>
      </c>
      <c r="E467" s="2"/>
      <c r="F467" s="2">
        <v>151</v>
      </c>
      <c r="G467" s="2" t="s">
        <v>314</v>
      </c>
      <c r="H467" s="2">
        <v>2</v>
      </c>
      <c r="I467" s="2" t="s">
        <v>267</v>
      </c>
      <c r="J467" s="2">
        <v>3</v>
      </c>
      <c r="K467" s="2" t="s">
        <v>2090</v>
      </c>
      <c r="L467" s="2" t="s">
        <v>2091</v>
      </c>
      <c r="M467" s="3">
        <v>40219</v>
      </c>
      <c r="N467" s="2" t="s">
        <v>2111</v>
      </c>
      <c r="O467" s="2" t="s">
        <v>2112</v>
      </c>
      <c r="P467" s="2" t="s">
        <v>2113</v>
      </c>
      <c r="Q467" s="2" t="str">
        <f>"S/D"</f>
        <v>S/D</v>
      </c>
      <c r="R467" s="2" t="s">
        <v>107</v>
      </c>
      <c r="S467" s="2"/>
      <c r="T467" s="2">
        <v>1</v>
      </c>
      <c r="U467" s="2" t="s">
        <v>79</v>
      </c>
      <c r="V467" s="2">
        <v>1</v>
      </c>
      <c r="W467" s="2" t="s">
        <v>80</v>
      </c>
      <c r="X467" s="2">
        <v>2</v>
      </c>
      <c r="Y467" s="2" t="s">
        <v>136</v>
      </c>
      <c r="Z467" s="2">
        <v>1</v>
      </c>
      <c r="AA467" s="2" t="s">
        <v>82</v>
      </c>
      <c r="AB467" s="2">
        <v>9</v>
      </c>
      <c r="AC467" s="2" t="s">
        <v>124</v>
      </c>
      <c r="AD467" s="3">
        <v>40219</v>
      </c>
      <c r="AE467" s="4">
        <v>0.28472222222222221</v>
      </c>
      <c r="AF467" s="2"/>
      <c r="AG467" s="2"/>
      <c r="AH467" s="2">
        <v>7</v>
      </c>
      <c r="AI467" s="2" t="s">
        <v>801</v>
      </c>
      <c r="AJ467" s="2">
        <v>3</v>
      </c>
      <c r="AK467" s="2" t="s">
        <v>802</v>
      </c>
      <c r="AL467" s="2">
        <v>18</v>
      </c>
      <c r="AM467" s="2" t="s">
        <v>82</v>
      </c>
      <c r="AN467" s="2"/>
      <c r="AO467" s="2" t="s">
        <v>2114</v>
      </c>
      <c r="AP467" s="2">
        <v>11</v>
      </c>
      <c r="AQ467" s="2" t="s">
        <v>82</v>
      </c>
      <c r="AR467" s="2"/>
      <c r="AS467" s="2"/>
      <c r="AT467" s="2" t="s">
        <v>2115</v>
      </c>
      <c r="AU467" s="2">
        <v>2</v>
      </c>
      <c r="AV467" s="2"/>
      <c r="AW467" s="2"/>
      <c r="AX467" s="2"/>
      <c r="AY467" s="2">
        <v>1</v>
      </c>
      <c r="AZ467" s="2" t="s">
        <v>107</v>
      </c>
      <c r="BA467" s="2">
        <v>41</v>
      </c>
      <c r="BB467" s="2" t="s">
        <v>82</v>
      </c>
      <c r="BC467" s="2">
        <v>41</v>
      </c>
      <c r="BD467" s="2" t="s">
        <v>82</v>
      </c>
      <c r="BE467" s="2">
        <v>41</v>
      </c>
      <c r="BF467" s="2" t="s">
        <v>82</v>
      </c>
      <c r="BG467" s="2"/>
      <c r="BH467" s="2"/>
      <c r="BI467" s="2"/>
      <c r="BJ467" s="2">
        <v>241</v>
      </c>
      <c r="BK467" s="2" t="s">
        <v>82</v>
      </c>
      <c r="BL467" s="2"/>
      <c r="BM467" s="2">
        <v>241</v>
      </c>
      <c r="BN467" s="2" t="s">
        <v>82</v>
      </c>
      <c r="BO467" s="2"/>
      <c r="BP467" s="2">
        <v>241</v>
      </c>
      <c r="BQ467" s="2" t="s">
        <v>82</v>
      </c>
      <c r="BR467" s="2"/>
      <c r="BS467" s="3">
        <v>40219</v>
      </c>
      <c r="BT467" s="4">
        <v>0.64055555555555554</v>
      </c>
    </row>
    <row r="468" spans="1:72" x14ac:dyDescent="0.25">
      <c r="A468" s="2">
        <v>759</v>
      </c>
      <c r="B468" s="2">
        <v>2010</v>
      </c>
      <c r="C468" s="2" t="s">
        <v>806</v>
      </c>
      <c r="D468" s="2" t="s">
        <v>73</v>
      </c>
      <c r="E468" s="2"/>
      <c r="F468" s="2">
        <v>151</v>
      </c>
      <c r="G468" s="2" t="s">
        <v>314</v>
      </c>
      <c r="H468" s="2">
        <v>2</v>
      </c>
      <c r="I468" s="2" t="s">
        <v>267</v>
      </c>
      <c r="J468" s="2">
        <v>3</v>
      </c>
      <c r="K468" s="2" t="s">
        <v>2090</v>
      </c>
      <c r="L468" s="2" t="s">
        <v>2091</v>
      </c>
      <c r="M468" s="3">
        <v>40219</v>
      </c>
      <c r="N468" s="2" t="s">
        <v>2111</v>
      </c>
      <c r="O468" s="2" t="s">
        <v>2112</v>
      </c>
      <c r="P468" s="2" t="s">
        <v>2113</v>
      </c>
      <c r="Q468" s="2" t="str">
        <f>"S/D"</f>
        <v>S/D</v>
      </c>
      <c r="R468" s="2" t="s">
        <v>107</v>
      </c>
      <c r="S468" s="2"/>
      <c r="T468" s="2">
        <v>1</v>
      </c>
      <c r="U468" s="2" t="s">
        <v>79</v>
      </c>
      <c r="V468" s="2">
        <v>1</v>
      </c>
      <c r="W468" s="2" t="s">
        <v>80</v>
      </c>
      <c r="X468" s="2">
        <v>2</v>
      </c>
      <c r="Y468" s="2" t="s">
        <v>136</v>
      </c>
      <c r="Z468" s="2">
        <v>1</v>
      </c>
      <c r="AA468" s="2" t="s">
        <v>82</v>
      </c>
      <c r="AB468" s="2">
        <v>9</v>
      </c>
      <c r="AC468" s="2" t="s">
        <v>124</v>
      </c>
      <c r="AD468" s="3">
        <v>40219</v>
      </c>
      <c r="AE468" s="4">
        <v>0.28472222222222221</v>
      </c>
      <c r="AF468" s="2"/>
      <c r="AG468" s="2"/>
      <c r="AH468" s="2">
        <v>7</v>
      </c>
      <c r="AI468" s="2" t="s">
        <v>801</v>
      </c>
      <c r="AJ468" s="2">
        <v>3</v>
      </c>
      <c r="AK468" s="2" t="s">
        <v>802</v>
      </c>
      <c r="AL468" s="2">
        <v>18</v>
      </c>
      <c r="AM468" s="2" t="s">
        <v>82</v>
      </c>
      <c r="AN468" s="2"/>
      <c r="AO468" s="2" t="s">
        <v>2114</v>
      </c>
      <c r="AP468" s="2">
        <v>11</v>
      </c>
      <c r="AQ468" s="2" t="s">
        <v>82</v>
      </c>
      <c r="AR468" s="2"/>
      <c r="AS468" s="2"/>
      <c r="AT468" s="2" t="s">
        <v>2115</v>
      </c>
      <c r="AU468" s="2">
        <v>2</v>
      </c>
      <c r="AV468" s="2"/>
      <c r="AW468" s="2"/>
      <c r="AX468" s="2"/>
      <c r="AY468" s="2">
        <v>1</v>
      </c>
      <c r="AZ468" s="2" t="s">
        <v>107</v>
      </c>
      <c r="BA468" s="2">
        <v>41</v>
      </c>
      <c r="BB468" s="2" t="s">
        <v>82</v>
      </c>
      <c r="BC468" s="2">
        <v>41</v>
      </c>
      <c r="BD468" s="2" t="s">
        <v>82</v>
      </c>
      <c r="BE468" s="2">
        <v>41</v>
      </c>
      <c r="BF468" s="2" t="s">
        <v>82</v>
      </c>
      <c r="BG468" s="2"/>
      <c r="BH468" s="2"/>
      <c r="BI468" s="2"/>
      <c r="BJ468" s="2">
        <v>241</v>
      </c>
      <c r="BK468" s="2" t="s">
        <v>82</v>
      </c>
      <c r="BL468" s="2"/>
      <c r="BM468" s="2">
        <v>241</v>
      </c>
      <c r="BN468" s="2" t="s">
        <v>82</v>
      </c>
      <c r="BO468" s="2"/>
      <c r="BP468" s="2">
        <v>241</v>
      </c>
      <c r="BQ468" s="2" t="s">
        <v>82</v>
      </c>
      <c r="BR468" s="2"/>
      <c r="BS468" s="3">
        <v>40219</v>
      </c>
      <c r="BT468" s="4">
        <v>0.64055555555555554</v>
      </c>
    </row>
    <row r="469" spans="1:72" x14ac:dyDescent="0.25">
      <c r="A469" s="2">
        <v>760</v>
      </c>
      <c r="B469" s="2">
        <v>2010</v>
      </c>
      <c r="C469" s="2" t="s">
        <v>625</v>
      </c>
      <c r="D469" s="2" t="s">
        <v>73</v>
      </c>
      <c r="E469" s="2"/>
      <c r="F469" s="2">
        <v>151</v>
      </c>
      <c r="G469" s="2" t="s">
        <v>314</v>
      </c>
      <c r="H469" s="2">
        <v>2</v>
      </c>
      <c r="I469" s="2" t="s">
        <v>267</v>
      </c>
      <c r="J469" s="2">
        <v>3</v>
      </c>
      <c r="K469" s="2" t="s">
        <v>2090</v>
      </c>
      <c r="L469" s="2" t="s">
        <v>2091</v>
      </c>
      <c r="M469" s="3">
        <v>40219</v>
      </c>
      <c r="N469" s="2" t="s">
        <v>2111</v>
      </c>
      <c r="O469" s="2" t="s">
        <v>2116</v>
      </c>
      <c r="P469" s="2" t="s">
        <v>2113</v>
      </c>
      <c r="Q469" s="2" t="str">
        <f>""</f>
        <v/>
      </c>
      <c r="R469" s="2"/>
      <c r="S469" s="2"/>
      <c r="T469" s="2">
        <v>1</v>
      </c>
      <c r="U469" s="2" t="s">
        <v>79</v>
      </c>
      <c r="V469" s="2">
        <v>1</v>
      </c>
      <c r="W469" s="2" t="s">
        <v>80</v>
      </c>
      <c r="X469" s="2">
        <v>2</v>
      </c>
      <c r="Y469" s="2" t="s">
        <v>136</v>
      </c>
      <c r="Z469" s="2">
        <v>1</v>
      </c>
      <c r="AA469" s="2" t="s">
        <v>82</v>
      </c>
      <c r="AB469" s="2">
        <v>9</v>
      </c>
      <c r="AC469" s="2" t="s">
        <v>124</v>
      </c>
      <c r="AD469" s="3">
        <v>40219</v>
      </c>
      <c r="AE469" s="4">
        <v>0.40277777777777773</v>
      </c>
      <c r="AF469" s="2"/>
      <c r="AG469" s="2"/>
      <c r="AH469" s="2">
        <v>7</v>
      </c>
      <c r="AI469" s="2" t="s">
        <v>801</v>
      </c>
      <c r="AJ469" s="2">
        <v>3</v>
      </c>
      <c r="AK469" s="2" t="s">
        <v>802</v>
      </c>
      <c r="AL469" s="2">
        <v>18</v>
      </c>
      <c r="AM469" s="2" t="s">
        <v>82</v>
      </c>
      <c r="AN469" s="2"/>
      <c r="AO469" s="2" t="s">
        <v>2117</v>
      </c>
      <c r="AP469" s="2">
        <v>11</v>
      </c>
      <c r="AQ469" s="2" t="s">
        <v>82</v>
      </c>
      <c r="AR469" s="2"/>
      <c r="AS469" s="2"/>
      <c r="AT469" s="2" t="s">
        <v>2118</v>
      </c>
      <c r="AU469" s="2">
        <v>2</v>
      </c>
      <c r="AV469" s="2"/>
      <c r="AW469" s="2"/>
      <c r="AX469" s="2"/>
      <c r="AY469" s="2">
        <v>41</v>
      </c>
      <c r="AZ469" s="2" t="s">
        <v>82</v>
      </c>
      <c r="BA469" s="2">
        <v>41</v>
      </c>
      <c r="BB469" s="2" t="s">
        <v>82</v>
      </c>
      <c r="BC469" s="2">
        <v>41</v>
      </c>
      <c r="BD469" s="2" t="s">
        <v>82</v>
      </c>
      <c r="BE469" s="2">
        <v>41</v>
      </c>
      <c r="BF469" s="2" t="s">
        <v>82</v>
      </c>
      <c r="BG469" s="2"/>
      <c r="BH469" s="2"/>
      <c r="BI469" s="2"/>
      <c r="BJ469" s="2">
        <v>241</v>
      </c>
      <c r="BK469" s="2" t="s">
        <v>82</v>
      </c>
      <c r="BL469" s="2"/>
      <c r="BM469" s="2">
        <v>241</v>
      </c>
      <c r="BN469" s="2" t="s">
        <v>82</v>
      </c>
      <c r="BO469" s="2"/>
      <c r="BP469" s="2">
        <v>241</v>
      </c>
      <c r="BQ469" s="2" t="s">
        <v>82</v>
      </c>
      <c r="BR469" s="2"/>
      <c r="BS469" s="3">
        <v>40219</v>
      </c>
      <c r="BT469" s="4">
        <v>0.65188657407407413</v>
      </c>
    </row>
    <row r="470" spans="1:72" x14ac:dyDescent="0.25">
      <c r="A470" s="2">
        <v>760</v>
      </c>
      <c r="B470" s="2">
        <v>2010</v>
      </c>
      <c r="C470" s="2" t="s">
        <v>806</v>
      </c>
      <c r="D470" s="2" t="s">
        <v>73</v>
      </c>
      <c r="E470" s="2"/>
      <c r="F470" s="2">
        <v>151</v>
      </c>
      <c r="G470" s="2" t="s">
        <v>314</v>
      </c>
      <c r="H470" s="2">
        <v>2</v>
      </c>
      <c r="I470" s="2" t="s">
        <v>267</v>
      </c>
      <c r="J470" s="2">
        <v>3</v>
      </c>
      <c r="K470" s="2" t="s">
        <v>2090</v>
      </c>
      <c r="L470" s="2" t="s">
        <v>2091</v>
      </c>
      <c r="M470" s="3">
        <v>40219</v>
      </c>
      <c r="N470" s="2" t="s">
        <v>2111</v>
      </c>
      <c r="O470" s="2" t="s">
        <v>2116</v>
      </c>
      <c r="P470" s="2" t="s">
        <v>2113</v>
      </c>
      <c r="Q470" s="2" t="str">
        <f>""</f>
        <v/>
      </c>
      <c r="R470" s="2"/>
      <c r="S470" s="2"/>
      <c r="T470" s="2">
        <v>1</v>
      </c>
      <c r="U470" s="2" t="s">
        <v>79</v>
      </c>
      <c r="V470" s="2">
        <v>1</v>
      </c>
      <c r="W470" s="2" t="s">
        <v>80</v>
      </c>
      <c r="X470" s="2">
        <v>2</v>
      </c>
      <c r="Y470" s="2" t="s">
        <v>136</v>
      </c>
      <c r="Z470" s="2">
        <v>1</v>
      </c>
      <c r="AA470" s="2" t="s">
        <v>82</v>
      </c>
      <c r="AB470" s="2">
        <v>9</v>
      </c>
      <c r="AC470" s="2" t="s">
        <v>124</v>
      </c>
      <c r="AD470" s="3">
        <v>40219</v>
      </c>
      <c r="AE470" s="4">
        <v>0.40277777777777773</v>
      </c>
      <c r="AF470" s="2"/>
      <c r="AG470" s="2"/>
      <c r="AH470" s="2">
        <v>7</v>
      </c>
      <c r="AI470" s="2" t="s">
        <v>801</v>
      </c>
      <c r="AJ470" s="2">
        <v>3</v>
      </c>
      <c r="AK470" s="2" t="s">
        <v>802</v>
      </c>
      <c r="AL470" s="2">
        <v>18</v>
      </c>
      <c r="AM470" s="2" t="s">
        <v>82</v>
      </c>
      <c r="AN470" s="2"/>
      <c r="AO470" s="2" t="s">
        <v>2117</v>
      </c>
      <c r="AP470" s="2">
        <v>11</v>
      </c>
      <c r="AQ470" s="2" t="s">
        <v>82</v>
      </c>
      <c r="AR470" s="2"/>
      <c r="AS470" s="2"/>
      <c r="AT470" s="2" t="s">
        <v>2118</v>
      </c>
      <c r="AU470" s="2">
        <v>2</v>
      </c>
      <c r="AV470" s="2"/>
      <c r="AW470" s="2"/>
      <c r="AX470" s="2"/>
      <c r="AY470" s="2">
        <v>41</v>
      </c>
      <c r="AZ470" s="2" t="s">
        <v>82</v>
      </c>
      <c r="BA470" s="2">
        <v>41</v>
      </c>
      <c r="BB470" s="2" t="s">
        <v>82</v>
      </c>
      <c r="BC470" s="2">
        <v>41</v>
      </c>
      <c r="BD470" s="2" t="s">
        <v>82</v>
      </c>
      <c r="BE470" s="2">
        <v>41</v>
      </c>
      <c r="BF470" s="2" t="s">
        <v>82</v>
      </c>
      <c r="BG470" s="2"/>
      <c r="BH470" s="2"/>
      <c r="BI470" s="2"/>
      <c r="BJ470" s="2">
        <v>241</v>
      </c>
      <c r="BK470" s="2" t="s">
        <v>82</v>
      </c>
      <c r="BL470" s="2"/>
      <c r="BM470" s="2">
        <v>241</v>
      </c>
      <c r="BN470" s="2" t="s">
        <v>82</v>
      </c>
      <c r="BO470" s="2"/>
      <c r="BP470" s="2">
        <v>241</v>
      </c>
      <c r="BQ470" s="2" t="s">
        <v>82</v>
      </c>
      <c r="BR470" s="2"/>
      <c r="BS470" s="3">
        <v>40219</v>
      </c>
      <c r="BT470" s="4">
        <v>0.65188657407407413</v>
      </c>
    </row>
    <row r="471" spans="1:72" x14ac:dyDescent="0.25">
      <c r="A471" s="2">
        <v>761</v>
      </c>
      <c r="B471" s="2">
        <v>2010</v>
      </c>
      <c r="C471" s="2" t="s">
        <v>625</v>
      </c>
      <c r="D471" s="2" t="s">
        <v>73</v>
      </c>
      <c r="E471" s="2"/>
      <c r="F471" s="2">
        <v>151</v>
      </c>
      <c r="G471" s="2" t="s">
        <v>314</v>
      </c>
      <c r="H471" s="2">
        <v>2</v>
      </c>
      <c r="I471" s="2" t="s">
        <v>267</v>
      </c>
      <c r="J471" s="2">
        <v>3</v>
      </c>
      <c r="K471" s="2" t="s">
        <v>2090</v>
      </c>
      <c r="L471" s="2" t="s">
        <v>2091</v>
      </c>
      <c r="M471" s="3">
        <v>40219</v>
      </c>
      <c r="N471" s="2" t="s">
        <v>2111</v>
      </c>
      <c r="O471" s="2" t="s">
        <v>2119</v>
      </c>
      <c r="P471" s="2" t="s">
        <v>2113</v>
      </c>
      <c r="Q471" s="2" t="str">
        <f>""</f>
        <v/>
      </c>
      <c r="R471" s="2"/>
      <c r="S471" s="2"/>
      <c r="T471" s="2">
        <v>1</v>
      </c>
      <c r="U471" s="2" t="s">
        <v>79</v>
      </c>
      <c r="V471" s="2">
        <v>1</v>
      </c>
      <c r="W471" s="2" t="s">
        <v>80</v>
      </c>
      <c r="X471" s="2">
        <v>5</v>
      </c>
      <c r="Y471" s="2" t="s">
        <v>82</v>
      </c>
      <c r="Z471" s="2">
        <v>1</v>
      </c>
      <c r="AA471" s="2" t="s">
        <v>82</v>
      </c>
      <c r="AB471" s="2">
        <v>9</v>
      </c>
      <c r="AC471" s="2" t="s">
        <v>124</v>
      </c>
      <c r="AD471" s="3">
        <v>40219</v>
      </c>
      <c r="AE471" s="4">
        <v>0.30208333333333331</v>
      </c>
      <c r="AF471" s="2"/>
      <c r="AG471" s="2"/>
      <c r="AH471" s="2">
        <v>7</v>
      </c>
      <c r="AI471" s="2" t="s">
        <v>801</v>
      </c>
      <c r="AJ471" s="2">
        <v>3</v>
      </c>
      <c r="AK471" s="2" t="s">
        <v>802</v>
      </c>
      <c r="AL471" s="2">
        <v>18</v>
      </c>
      <c r="AM471" s="2" t="s">
        <v>82</v>
      </c>
      <c r="AN471" s="2"/>
      <c r="AO471" s="2" t="s">
        <v>2120</v>
      </c>
      <c r="AP471" s="2">
        <v>11</v>
      </c>
      <c r="AQ471" s="2" t="s">
        <v>82</v>
      </c>
      <c r="AR471" s="2"/>
      <c r="AS471" s="2"/>
      <c r="AT471" s="2" t="s">
        <v>2121</v>
      </c>
      <c r="AU471" s="2">
        <v>2</v>
      </c>
      <c r="AV471" s="2"/>
      <c r="AW471" s="2"/>
      <c r="AX471" s="2"/>
      <c r="AY471" s="2">
        <v>41</v>
      </c>
      <c r="AZ471" s="2" t="s">
        <v>82</v>
      </c>
      <c r="BA471" s="2">
        <v>41</v>
      </c>
      <c r="BB471" s="2" t="s">
        <v>82</v>
      </c>
      <c r="BC471" s="2">
        <v>41</v>
      </c>
      <c r="BD471" s="2" t="s">
        <v>82</v>
      </c>
      <c r="BE471" s="2">
        <v>41</v>
      </c>
      <c r="BF471" s="2" t="s">
        <v>82</v>
      </c>
      <c r="BG471" s="2"/>
      <c r="BH471" s="2"/>
      <c r="BI471" s="2"/>
      <c r="BJ471" s="2">
        <v>241</v>
      </c>
      <c r="BK471" s="2" t="s">
        <v>82</v>
      </c>
      <c r="BL471" s="2"/>
      <c r="BM471" s="2">
        <v>241</v>
      </c>
      <c r="BN471" s="2" t="s">
        <v>82</v>
      </c>
      <c r="BO471" s="2"/>
      <c r="BP471" s="2">
        <v>241</v>
      </c>
      <c r="BQ471" s="2" t="s">
        <v>82</v>
      </c>
      <c r="BR471" s="2"/>
      <c r="BS471" s="3">
        <v>40219</v>
      </c>
      <c r="BT471" s="4">
        <v>0.66557870370370364</v>
      </c>
    </row>
    <row r="472" spans="1:72" x14ac:dyDescent="0.25">
      <c r="A472" s="2">
        <v>761</v>
      </c>
      <c r="B472" s="2">
        <v>2010</v>
      </c>
      <c r="C472" s="2" t="s">
        <v>806</v>
      </c>
      <c r="D472" s="2" t="s">
        <v>73</v>
      </c>
      <c r="E472" s="2"/>
      <c r="F472" s="2">
        <v>151</v>
      </c>
      <c r="G472" s="2" t="s">
        <v>314</v>
      </c>
      <c r="H472" s="2">
        <v>2</v>
      </c>
      <c r="I472" s="2" t="s">
        <v>267</v>
      </c>
      <c r="J472" s="2">
        <v>3</v>
      </c>
      <c r="K472" s="2" t="s">
        <v>2090</v>
      </c>
      <c r="L472" s="2" t="s">
        <v>2091</v>
      </c>
      <c r="M472" s="3">
        <v>40219</v>
      </c>
      <c r="N472" s="2" t="s">
        <v>2111</v>
      </c>
      <c r="O472" s="2" t="s">
        <v>2119</v>
      </c>
      <c r="P472" s="2" t="s">
        <v>2113</v>
      </c>
      <c r="Q472" s="2" t="str">
        <f>""</f>
        <v/>
      </c>
      <c r="R472" s="2"/>
      <c r="S472" s="2"/>
      <c r="T472" s="2">
        <v>1</v>
      </c>
      <c r="U472" s="2" t="s">
        <v>79</v>
      </c>
      <c r="V472" s="2">
        <v>1</v>
      </c>
      <c r="W472" s="2" t="s">
        <v>80</v>
      </c>
      <c r="X472" s="2">
        <v>5</v>
      </c>
      <c r="Y472" s="2" t="s">
        <v>82</v>
      </c>
      <c r="Z472" s="2">
        <v>1</v>
      </c>
      <c r="AA472" s="2" t="s">
        <v>82</v>
      </c>
      <c r="AB472" s="2">
        <v>9</v>
      </c>
      <c r="AC472" s="2" t="s">
        <v>124</v>
      </c>
      <c r="AD472" s="3">
        <v>40219</v>
      </c>
      <c r="AE472" s="4">
        <v>0.30208333333333331</v>
      </c>
      <c r="AF472" s="2"/>
      <c r="AG472" s="2"/>
      <c r="AH472" s="2">
        <v>7</v>
      </c>
      <c r="AI472" s="2" t="s">
        <v>801</v>
      </c>
      <c r="AJ472" s="2">
        <v>3</v>
      </c>
      <c r="AK472" s="2" t="s">
        <v>802</v>
      </c>
      <c r="AL472" s="2">
        <v>18</v>
      </c>
      <c r="AM472" s="2" t="s">
        <v>82</v>
      </c>
      <c r="AN472" s="2"/>
      <c r="AO472" s="2" t="s">
        <v>2120</v>
      </c>
      <c r="AP472" s="2">
        <v>11</v>
      </c>
      <c r="AQ472" s="2" t="s">
        <v>82</v>
      </c>
      <c r="AR472" s="2"/>
      <c r="AS472" s="2"/>
      <c r="AT472" s="2" t="s">
        <v>2121</v>
      </c>
      <c r="AU472" s="2">
        <v>2</v>
      </c>
      <c r="AV472" s="2"/>
      <c r="AW472" s="2"/>
      <c r="AX472" s="2"/>
      <c r="AY472" s="2">
        <v>41</v>
      </c>
      <c r="AZ472" s="2" t="s">
        <v>82</v>
      </c>
      <c r="BA472" s="2">
        <v>41</v>
      </c>
      <c r="BB472" s="2" t="s">
        <v>82</v>
      </c>
      <c r="BC472" s="2">
        <v>41</v>
      </c>
      <c r="BD472" s="2" t="s">
        <v>82</v>
      </c>
      <c r="BE472" s="2">
        <v>41</v>
      </c>
      <c r="BF472" s="2" t="s">
        <v>82</v>
      </c>
      <c r="BG472" s="2"/>
      <c r="BH472" s="2"/>
      <c r="BI472" s="2"/>
      <c r="BJ472" s="2">
        <v>241</v>
      </c>
      <c r="BK472" s="2" t="s">
        <v>82</v>
      </c>
      <c r="BL472" s="2"/>
      <c r="BM472" s="2">
        <v>241</v>
      </c>
      <c r="BN472" s="2" t="s">
        <v>82</v>
      </c>
      <c r="BO472" s="2"/>
      <c r="BP472" s="2">
        <v>241</v>
      </c>
      <c r="BQ472" s="2" t="s">
        <v>82</v>
      </c>
      <c r="BR472" s="2"/>
      <c r="BS472" s="3">
        <v>40219</v>
      </c>
      <c r="BT472" s="4">
        <v>0.66557870370370364</v>
      </c>
    </row>
    <row r="473" spans="1:72" x14ac:dyDescent="0.25">
      <c r="A473" s="2">
        <v>763</v>
      </c>
      <c r="B473" s="2">
        <v>2010</v>
      </c>
      <c r="C473" s="2" t="s">
        <v>625</v>
      </c>
      <c r="D473" s="2" t="s">
        <v>73</v>
      </c>
      <c r="E473" s="2"/>
      <c r="F473" s="2">
        <v>151</v>
      </c>
      <c r="G473" s="2" t="s">
        <v>314</v>
      </c>
      <c r="H473" s="2">
        <v>2</v>
      </c>
      <c r="I473" s="2" t="s">
        <v>267</v>
      </c>
      <c r="J473" s="2">
        <v>3</v>
      </c>
      <c r="K473" s="2" t="s">
        <v>2090</v>
      </c>
      <c r="L473" s="2" t="s">
        <v>2091</v>
      </c>
      <c r="M473" s="3">
        <v>40219</v>
      </c>
      <c r="N473" s="2" t="s">
        <v>2111</v>
      </c>
      <c r="O473" s="2" t="s">
        <v>2122</v>
      </c>
      <c r="P473" s="2" t="s">
        <v>2123</v>
      </c>
      <c r="Q473" s="2" t="str">
        <f>""</f>
        <v/>
      </c>
      <c r="R473" s="2"/>
      <c r="S473" s="2"/>
      <c r="T473" s="2">
        <v>1</v>
      </c>
      <c r="U473" s="2" t="s">
        <v>79</v>
      </c>
      <c r="V473" s="2">
        <v>1</v>
      </c>
      <c r="W473" s="2" t="s">
        <v>80</v>
      </c>
      <c r="X473" s="2">
        <v>2</v>
      </c>
      <c r="Y473" s="2" t="s">
        <v>136</v>
      </c>
      <c r="Z473" s="2">
        <v>1</v>
      </c>
      <c r="AA473" s="2" t="s">
        <v>82</v>
      </c>
      <c r="AB473" s="2">
        <v>9</v>
      </c>
      <c r="AC473" s="2" t="s">
        <v>124</v>
      </c>
      <c r="AD473" s="3">
        <v>40219</v>
      </c>
      <c r="AE473" s="2"/>
      <c r="AF473" s="2"/>
      <c r="AG473" s="2"/>
      <c r="AH473" s="2">
        <v>7</v>
      </c>
      <c r="AI473" s="2" t="s">
        <v>801</v>
      </c>
      <c r="AJ473" s="2">
        <v>3</v>
      </c>
      <c r="AK473" s="2" t="s">
        <v>802</v>
      </c>
      <c r="AL473" s="2">
        <v>19</v>
      </c>
      <c r="AM473" s="2" t="s">
        <v>107</v>
      </c>
      <c r="AN473" s="2"/>
      <c r="AO473" s="2" t="s">
        <v>2124</v>
      </c>
      <c r="AP473" s="2">
        <v>11</v>
      </c>
      <c r="AQ473" s="2" t="s">
        <v>82</v>
      </c>
      <c r="AR473" s="2"/>
      <c r="AS473" s="2"/>
      <c r="AT473" s="2" t="s">
        <v>2125</v>
      </c>
      <c r="AU473" s="2">
        <v>2</v>
      </c>
      <c r="AV473" s="2"/>
      <c r="AW473" s="2"/>
      <c r="AX473" s="2"/>
      <c r="AY473" s="2">
        <v>41</v>
      </c>
      <c r="AZ473" s="2" t="s">
        <v>82</v>
      </c>
      <c r="BA473" s="2">
        <v>41</v>
      </c>
      <c r="BB473" s="2" t="s">
        <v>82</v>
      </c>
      <c r="BC473" s="2">
        <v>1</v>
      </c>
      <c r="BD473" s="2" t="s">
        <v>107</v>
      </c>
      <c r="BE473" s="2">
        <v>41</v>
      </c>
      <c r="BF473" s="2" t="s">
        <v>82</v>
      </c>
      <c r="BG473" s="2"/>
      <c r="BH473" s="2"/>
      <c r="BI473" s="2"/>
      <c r="BJ473" s="2">
        <v>241</v>
      </c>
      <c r="BK473" s="2" t="s">
        <v>82</v>
      </c>
      <c r="BL473" s="2"/>
      <c r="BM473" s="2">
        <v>241</v>
      </c>
      <c r="BN473" s="2" t="s">
        <v>82</v>
      </c>
      <c r="BO473" s="2"/>
      <c r="BP473" s="2">
        <v>241</v>
      </c>
      <c r="BQ473" s="2" t="s">
        <v>82</v>
      </c>
      <c r="BR473" s="2"/>
      <c r="BS473" s="3">
        <v>40219</v>
      </c>
      <c r="BT473" s="4">
        <v>0.68523148148148139</v>
      </c>
    </row>
    <row r="474" spans="1:72" x14ac:dyDescent="0.25">
      <c r="A474" s="2">
        <v>763</v>
      </c>
      <c r="B474" s="2">
        <v>2010</v>
      </c>
      <c r="C474" s="2" t="s">
        <v>806</v>
      </c>
      <c r="D474" s="2" t="s">
        <v>73</v>
      </c>
      <c r="E474" s="2"/>
      <c r="F474" s="2">
        <v>151</v>
      </c>
      <c r="G474" s="2" t="s">
        <v>314</v>
      </c>
      <c r="H474" s="2">
        <v>2</v>
      </c>
      <c r="I474" s="2" t="s">
        <v>267</v>
      </c>
      <c r="J474" s="2">
        <v>3</v>
      </c>
      <c r="K474" s="2" t="s">
        <v>2090</v>
      </c>
      <c r="L474" s="2" t="s">
        <v>2091</v>
      </c>
      <c r="M474" s="3">
        <v>40219</v>
      </c>
      <c r="N474" s="2" t="s">
        <v>2111</v>
      </c>
      <c r="O474" s="2" t="s">
        <v>2122</v>
      </c>
      <c r="P474" s="2" t="s">
        <v>2123</v>
      </c>
      <c r="Q474" s="2" t="str">
        <f>""</f>
        <v/>
      </c>
      <c r="R474" s="2"/>
      <c r="S474" s="2"/>
      <c r="T474" s="2">
        <v>1</v>
      </c>
      <c r="U474" s="2" t="s">
        <v>79</v>
      </c>
      <c r="V474" s="2">
        <v>1</v>
      </c>
      <c r="W474" s="2" t="s">
        <v>80</v>
      </c>
      <c r="X474" s="2">
        <v>2</v>
      </c>
      <c r="Y474" s="2" t="s">
        <v>136</v>
      </c>
      <c r="Z474" s="2">
        <v>1</v>
      </c>
      <c r="AA474" s="2" t="s">
        <v>82</v>
      </c>
      <c r="AB474" s="2">
        <v>9</v>
      </c>
      <c r="AC474" s="2" t="s">
        <v>124</v>
      </c>
      <c r="AD474" s="3">
        <v>40219</v>
      </c>
      <c r="AE474" s="2"/>
      <c r="AF474" s="2"/>
      <c r="AG474" s="2"/>
      <c r="AH474" s="2">
        <v>7</v>
      </c>
      <c r="AI474" s="2" t="s">
        <v>801</v>
      </c>
      <c r="AJ474" s="2">
        <v>3</v>
      </c>
      <c r="AK474" s="2" t="s">
        <v>802</v>
      </c>
      <c r="AL474" s="2">
        <v>19</v>
      </c>
      <c r="AM474" s="2" t="s">
        <v>107</v>
      </c>
      <c r="AN474" s="2"/>
      <c r="AO474" s="2" t="s">
        <v>2124</v>
      </c>
      <c r="AP474" s="2">
        <v>11</v>
      </c>
      <c r="AQ474" s="2" t="s">
        <v>82</v>
      </c>
      <c r="AR474" s="2"/>
      <c r="AS474" s="2"/>
      <c r="AT474" s="2" t="s">
        <v>2125</v>
      </c>
      <c r="AU474" s="2">
        <v>2</v>
      </c>
      <c r="AV474" s="2"/>
      <c r="AW474" s="2"/>
      <c r="AX474" s="2"/>
      <c r="AY474" s="2">
        <v>41</v>
      </c>
      <c r="AZ474" s="2" t="s">
        <v>82</v>
      </c>
      <c r="BA474" s="2">
        <v>41</v>
      </c>
      <c r="BB474" s="2" t="s">
        <v>82</v>
      </c>
      <c r="BC474" s="2">
        <v>1</v>
      </c>
      <c r="BD474" s="2" t="s">
        <v>107</v>
      </c>
      <c r="BE474" s="2">
        <v>41</v>
      </c>
      <c r="BF474" s="2" t="s">
        <v>82</v>
      </c>
      <c r="BG474" s="2"/>
      <c r="BH474" s="2"/>
      <c r="BI474" s="2"/>
      <c r="BJ474" s="2">
        <v>241</v>
      </c>
      <c r="BK474" s="2" t="s">
        <v>82</v>
      </c>
      <c r="BL474" s="2"/>
      <c r="BM474" s="2">
        <v>241</v>
      </c>
      <c r="BN474" s="2" t="s">
        <v>82</v>
      </c>
      <c r="BO474" s="2"/>
      <c r="BP474" s="2">
        <v>241</v>
      </c>
      <c r="BQ474" s="2" t="s">
        <v>82</v>
      </c>
      <c r="BR474" s="2"/>
      <c r="BS474" s="3">
        <v>40219</v>
      </c>
      <c r="BT474" s="4">
        <v>0.68523148148148139</v>
      </c>
    </row>
    <row r="475" spans="1:72" x14ac:dyDescent="0.25">
      <c r="A475" s="2">
        <v>764</v>
      </c>
      <c r="B475" s="2">
        <v>2010</v>
      </c>
      <c r="C475" s="2" t="s">
        <v>72</v>
      </c>
      <c r="D475" s="2" t="s">
        <v>73</v>
      </c>
      <c r="E475" s="2"/>
      <c r="F475" s="2">
        <v>491</v>
      </c>
      <c r="G475" s="2" t="s">
        <v>1774</v>
      </c>
      <c r="H475" s="2">
        <v>22</v>
      </c>
      <c r="I475" s="2" t="s">
        <v>75</v>
      </c>
      <c r="J475" s="2">
        <v>396</v>
      </c>
      <c r="K475" s="2" t="s">
        <v>1775</v>
      </c>
      <c r="L475" s="2" t="s">
        <v>1776</v>
      </c>
      <c r="M475" s="3">
        <v>40219</v>
      </c>
      <c r="N475" s="2" t="s">
        <v>2097</v>
      </c>
      <c r="O475" s="2" t="s">
        <v>107</v>
      </c>
      <c r="P475" s="2" t="s">
        <v>107</v>
      </c>
      <c r="Q475" s="2" t="str">
        <f>"050-A/10"</f>
        <v>050-A/10</v>
      </c>
      <c r="R475" s="2" t="s">
        <v>107</v>
      </c>
      <c r="S475" s="2" t="s">
        <v>1847</v>
      </c>
      <c r="T475" s="2">
        <v>1</v>
      </c>
      <c r="U475" s="2" t="s">
        <v>79</v>
      </c>
      <c r="V475" s="2">
        <v>1</v>
      </c>
      <c r="W475" s="2" t="s">
        <v>80</v>
      </c>
      <c r="X475" s="2">
        <v>5</v>
      </c>
      <c r="Y475" s="2" t="s">
        <v>82</v>
      </c>
      <c r="Z475" s="2">
        <v>1</v>
      </c>
      <c r="AA475" s="2" t="s">
        <v>82</v>
      </c>
      <c r="AB475" s="2">
        <v>6</v>
      </c>
      <c r="AC475" s="2" t="s">
        <v>83</v>
      </c>
      <c r="AD475" s="3">
        <v>40219</v>
      </c>
      <c r="AE475" s="4">
        <v>0.5</v>
      </c>
      <c r="AF475" s="3">
        <v>40219</v>
      </c>
      <c r="AG475" s="4">
        <v>0.64583333333333337</v>
      </c>
      <c r="AH475" s="2">
        <v>2</v>
      </c>
      <c r="AI475" s="2" t="s">
        <v>84</v>
      </c>
      <c r="AJ475" s="2">
        <v>12</v>
      </c>
      <c r="AK475" s="2" t="s">
        <v>85</v>
      </c>
      <c r="AL475" s="2">
        <v>12</v>
      </c>
      <c r="AM475" s="2" t="s">
        <v>86</v>
      </c>
      <c r="AN475" s="2" t="s">
        <v>2126</v>
      </c>
      <c r="AO475" s="2" t="s">
        <v>2127</v>
      </c>
      <c r="AP475" s="2">
        <v>11</v>
      </c>
      <c r="AQ475" s="2" t="s">
        <v>82</v>
      </c>
      <c r="AR475" s="2" t="s">
        <v>82</v>
      </c>
      <c r="AS475" s="2" t="s">
        <v>82</v>
      </c>
      <c r="AT475" s="2" t="s">
        <v>2128</v>
      </c>
      <c r="AU475" s="2"/>
      <c r="AV475" s="2"/>
      <c r="AW475" s="2"/>
      <c r="AX475" s="2"/>
      <c r="AY475" s="2">
        <v>41</v>
      </c>
      <c r="AZ475" s="2" t="s">
        <v>82</v>
      </c>
      <c r="BA475" s="2">
        <v>41</v>
      </c>
      <c r="BB475" s="2" t="s">
        <v>82</v>
      </c>
      <c r="BC475" s="2">
        <v>41</v>
      </c>
      <c r="BD475" s="2" t="s">
        <v>82</v>
      </c>
      <c r="BE475" s="2">
        <v>47</v>
      </c>
      <c r="BF475" s="2" t="s">
        <v>167</v>
      </c>
      <c r="BG475" s="2" t="s">
        <v>2129</v>
      </c>
      <c r="BH475" s="4">
        <v>0.77430555555555547</v>
      </c>
      <c r="BI475" s="4">
        <v>0.69097222222222221</v>
      </c>
      <c r="BJ475" s="2">
        <v>16</v>
      </c>
      <c r="BK475" s="2" t="s">
        <v>2130</v>
      </c>
      <c r="BL475" s="2" t="s">
        <v>2131</v>
      </c>
      <c r="BM475" s="2">
        <v>13</v>
      </c>
      <c r="BN475" s="2" t="s">
        <v>91</v>
      </c>
      <c r="BO475" s="2" t="s">
        <v>185</v>
      </c>
      <c r="BP475" s="2">
        <v>13</v>
      </c>
      <c r="BQ475" s="2" t="s">
        <v>91</v>
      </c>
      <c r="BR475" s="2" t="s">
        <v>895</v>
      </c>
      <c r="BS475" s="3">
        <v>40219</v>
      </c>
      <c r="BT475" s="4">
        <v>0.71582175925925917</v>
      </c>
    </row>
    <row r="476" spans="1:72" x14ac:dyDescent="0.25">
      <c r="A476" s="2">
        <v>765</v>
      </c>
      <c r="B476" s="2">
        <v>2010</v>
      </c>
      <c r="C476" s="2" t="s">
        <v>625</v>
      </c>
      <c r="D476" s="2" t="s">
        <v>73</v>
      </c>
      <c r="E476" s="2"/>
      <c r="F476" s="2">
        <v>151</v>
      </c>
      <c r="G476" s="2" t="s">
        <v>314</v>
      </c>
      <c r="H476" s="2">
        <v>2</v>
      </c>
      <c r="I476" s="2" t="s">
        <v>267</v>
      </c>
      <c r="J476" s="2">
        <v>3</v>
      </c>
      <c r="K476" s="2" t="s">
        <v>2090</v>
      </c>
      <c r="L476" s="2" t="s">
        <v>2091</v>
      </c>
      <c r="M476" s="3">
        <v>40219</v>
      </c>
      <c r="N476" s="2" t="s">
        <v>2111</v>
      </c>
      <c r="O476" s="2" t="s">
        <v>2093</v>
      </c>
      <c r="P476" s="2" t="s">
        <v>2132</v>
      </c>
      <c r="Q476" s="2" t="str">
        <f>"05/07"</f>
        <v>05/07</v>
      </c>
      <c r="R476" s="2"/>
      <c r="S476" s="2"/>
      <c r="T476" s="2">
        <v>1</v>
      </c>
      <c r="U476" s="2" t="s">
        <v>79</v>
      </c>
      <c r="V476" s="2">
        <v>1</v>
      </c>
      <c r="W476" s="2" t="s">
        <v>80</v>
      </c>
      <c r="X476" s="2">
        <v>2</v>
      </c>
      <c r="Y476" s="2" t="s">
        <v>136</v>
      </c>
      <c r="Z476" s="2">
        <v>1</v>
      </c>
      <c r="AA476" s="2" t="s">
        <v>82</v>
      </c>
      <c r="AB476" s="2">
        <v>9</v>
      </c>
      <c r="AC476" s="2" t="s">
        <v>124</v>
      </c>
      <c r="AD476" s="3">
        <v>40219</v>
      </c>
      <c r="AE476" s="2"/>
      <c r="AF476" s="2"/>
      <c r="AG476" s="2"/>
      <c r="AH476" s="2">
        <v>7</v>
      </c>
      <c r="AI476" s="2" t="s">
        <v>801</v>
      </c>
      <c r="AJ476" s="2">
        <v>3</v>
      </c>
      <c r="AK476" s="2" t="s">
        <v>802</v>
      </c>
      <c r="AL476" s="2">
        <v>18</v>
      </c>
      <c r="AM476" s="2" t="s">
        <v>82</v>
      </c>
      <c r="AN476" s="2" t="s">
        <v>82</v>
      </c>
      <c r="AO476" s="2" t="s">
        <v>2133</v>
      </c>
      <c r="AP476" s="2">
        <v>11</v>
      </c>
      <c r="AQ476" s="2" t="s">
        <v>82</v>
      </c>
      <c r="AR476" s="2"/>
      <c r="AS476" s="2"/>
      <c r="AT476" s="2" t="s">
        <v>2134</v>
      </c>
      <c r="AU476" s="2">
        <v>2</v>
      </c>
      <c r="AV476" s="2"/>
      <c r="AW476" s="2"/>
      <c r="AX476" s="2"/>
      <c r="AY476" s="2">
        <v>1</v>
      </c>
      <c r="AZ476" s="2" t="s">
        <v>107</v>
      </c>
      <c r="BA476" s="2">
        <v>41</v>
      </c>
      <c r="BB476" s="2" t="s">
        <v>82</v>
      </c>
      <c r="BC476" s="2">
        <v>41</v>
      </c>
      <c r="BD476" s="2" t="s">
        <v>82</v>
      </c>
      <c r="BE476" s="2">
        <v>1</v>
      </c>
      <c r="BF476" s="2" t="s">
        <v>107</v>
      </c>
      <c r="BG476" s="2"/>
      <c r="BH476" s="2"/>
      <c r="BI476" s="2"/>
      <c r="BJ476" s="2">
        <v>242</v>
      </c>
      <c r="BK476" s="2" t="s">
        <v>107</v>
      </c>
      <c r="BL476" s="2"/>
      <c r="BM476" s="2">
        <v>242</v>
      </c>
      <c r="BN476" s="2" t="s">
        <v>107</v>
      </c>
      <c r="BO476" s="2"/>
      <c r="BP476" s="2">
        <v>241</v>
      </c>
      <c r="BQ476" s="2" t="s">
        <v>82</v>
      </c>
      <c r="BR476" s="2"/>
      <c r="BS476" s="3">
        <v>40219</v>
      </c>
      <c r="BT476" s="4">
        <v>0.71870370370370373</v>
      </c>
    </row>
    <row r="477" spans="1:72" x14ac:dyDescent="0.25">
      <c r="A477" s="2">
        <v>765</v>
      </c>
      <c r="B477" s="2">
        <v>2010</v>
      </c>
      <c r="C477" s="2" t="s">
        <v>806</v>
      </c>
      <c r="D477" s="2" t="s">
        <v>73</v>
      </c>
      <c r="E477" s="2"/>
      <c r="F477" s="2">
        <v>151</v>
      </c>
      <c r="G477" s="2" t="s">
        <v>314</v>
      </c>
      <c r="H477" s="2">
        <v>2</v>
      </c>
      <c r="I477" s="2" t="s">
        <v>267</v>
      </c>
      <c r="J477" s="2">
        <v>3</v>
      </c>
      <c r="K477" s="2" t="s">
        <v>2090</v>
      </c>
      <c r="L477" s="2" t="s">
        <v>2091</v>
      </c>
      <c r="M477" s="3">
        <v>40219</v>
      </c>
      <c r="N477" s="2" t="s">
        <v>2111</v>
      </c>
      <c r="O477" s="2" t="s">
        <v>2093</v>
      </c>
      <c r="P477" s="2" t="s">
        <v>2132</v>
      </c>
      <c r="Q477" s="2" t="str">
        <f>"05/07"</f>
        <v>05/07</v>
      </c>
      <c r="R477" s="2"/>
      <c r="S477" s="2"/>
      <c r="T477" s="2">
        <v>1</v>
      </c>
      <c r="U477" s="2" t="s">
        <v>79</v>
      </c>
      <c r="V477" s="2">
        <v>1</v>
      </c>
      <c r="W477" s="2" t="s">
        <v>80</v>
      </c>
      <c r="X477" s="2">
        <v>2</v>
      </c>
      <c r="Y477" s="2" t="s">
        <v>136</v>
      </c>
      <c r="Z477" s="2">
        <v>1</v>
      </c>
      <c r="AA477" s="2" t="s">
        <v>82</v>
      </c>
      <c r="AB477" s="2">
        <v>9</v>
      </c>
      <c r="AC477" s="2" t="s">
        <v>124</v>
      </c>
      <c r="AD477" s="3">
        <v>40219</v>
      </c>
      <c r="AE477" s="2"/>
      <c r="AF477" s="2"/>
      <c r="AG477" s="2"/>
      <c r="AH477" s="2">
        <v>7</v>
      </c>
      <c r="AI477" s="2" t="s">
        <v>801</v>
      </c>
      <c r="AJ477" s="2">
        <v>3</v>
      </c>
      <c r="AK477" s="2" t="s">
        <v>802</v>
      </c>
      <c r="AL477" s="2">
        <v>18</v>
      </c>
      <c r="AM477" s="2" t="s">
        <v>82</v>
      </c>
      <c r="AN477" s="2" t="s">
        <v>82</v>
      </c>
      <c r="AO477" s="2" t="s">
        <v>2133</v>
      </c>
      <c r="AP477" s="2">
        <v>11</v>
      </c>
      <c r="AQ477" s="2" t="s">
        <v>82</v>
      </c>
      <c r="AR477" s="2"/>
      <c r="AS477" s="2"/>
      <c r="AT477" s="2" t="s">
        <v>2134</v>
      </c>
      <c r="AU477" s="2">
        <v>2</v>
      </c>
      <c r="AV477" s="2"/>
      <c r="AW477" s="2"/>
      <c r="AX477" s="2"/>
      <c r="AY477" s="2">
        <v>1</v>
      </c>
      <c r="AZ477" s="2" t="s">
        <v>107</v>
      </c>
      <c r="BA477" s="2">
        <v>41</v>
      </c>
      <c r="BB477" s="2" t="s">
        <v>82</v>
      </c>
      <c r="BC477" s="2">
        <v>41</v>
      </c>
      <c r="BD477" s="2" t="s">
        <v>82</v>
      </c>
      <c r="BE477" s="2">
        <v>1</v>
      </c>
      <c r="BF477" s="2" t="s">
        <v>107</v>
      </c>
      <c r="BG477" s="2"/>
      <c r="BH477" s="2"/>
      <c r="BI477" s="2"/>
      <c r="BJ477" s="2">
        <v>242</v>
      </c>
      <c r="BK477" s="2" t="s">
        <v>107</v>
      </c>
      <c r="BL477" s="2"/>
      <c r="BM477" s="2">
        <v>242</v>
      </c>
      <c r="BN477" s="2" t="s">
        <v>107</v>
      </c>
      <c r="BO477" s="2"/>
      <c r="BP477" s="2">
        <v>241</v>
      </c>
      <c r="BQ477" s="2" t="s">
        <v>82</v>
      </c>
      <c r="BR477" s="2"/>
      <c r="BS477" s="3">
        <v>40219</v>
      </c>
      <c r="BT477" s="4">
        <v>0.71870370370370373</v>
      </c>
    </row>
    <row r="478" spans="1:72" x14ac:dyDescent="0.25">
      <c r="A478" s="2">
        <v>766</v>
      </c>
      <c r="B478" s="2">
        <v>2010</v>
      </c>
      <c r="C478" s="2" t="s">
        <v>625</v>
      </c>
      <c r="D478" s="2" t="s">
        <v>73</v>
      </c>
      <c r="E478" s="2"/>
      <c r="F478" s="2">
        <v>151</v>
      </c>
      <c r="G478" s="2" t="s">
        <v>314</v>
      </c>
      <c r="H478" s="2">
        <v>2</v>
      </c>
      <c r="I478" s="2" t="s">
        <v>267</v>
      </c>
      <c r="J478" s="2">
        <v>3</v>
      </c>
      <c r="K478" s="2" t="s">
        <v>2090</v>
      </c>
      <c r="L478" s="2" t="s">
        <v>2091</v>
      </c>
      <c r="M478" s="3">
        <v>40219</v>
      </c>
      <c r="N478" s="2" t="s">
        <v>2135</v>
      </c>
      <c r="O478" s="2" t="s">
        <v>2093</v>
      </c>
      <c r="P478" s="2" t="s">
        <v>2123</v>
      </c>
      <c r="Q478" s="2" t="str">
        <f>"05/07 - INC. 173"</f>
        <v>05/07 - INC. 173</v>
      </c>
      <c r="R478" s="2" t="s">
        <v>82</v>
      </c>
      <c r="S478" s="2" t="s">
        <v>82</v>
      </c>
      <c r="T478" s="2">
        <v>1</v>
      </c>
      <c r="U478" s="2" t="s">
        <v>79</v>
      </c>
      <c r="V478" s="2">
        <v>1</v>
      </c>
      <c r="W478" s="2" t="s">
        <v>80</v>
      </c>
      <c r="X478" s="2">
        <v>2</v>
      </c>
      <c r="Y478" s="2" t="s">
        <v>136</v>
      </c>
      <c r="Z478" s="2">
        <v>1</v>
      </c>
      <c r="AA478" s="2" t="s">
        <v>82</v>
      </c>
      <c r="AB478" s="2">
        <v>9</v>
      </c>
      <c r="AC478" s="2" t="s">
        <v>124</v>
      </c>
      <c r="AD478" s="3">
        <v>40219</v>
      </c>
      <c r="AE478" s="4">
        <v>0.33333333333333331</v>
      </c>
      <c r="AF478" s="2"/>
      <c r="AG478" s="2"/>
      <c r="AH478" s="2">
        <v>7</v>
      </c>
      <c r="AI478" s="2" t="s">
        <v>801</v>
      </c>
      <c r="AJ478" s="2">
        <v>3</v>
      </c>
      <c r="AK478" s="2" t="s">
        <v>802</v>
      </c>
      <c r="AL478" s="2">
        <v>18</v>
      </c>
      <c r="AM478" s="2" t="s">
        <v>82</v>
      </c>
      <c r="AN478" s="2" t="s">
        <v>82</v>
      </c>
      <c r="AO478" s="2" t="s">
        <v>2136</v>
      </c>
      <c r="AP478" s="2">
        <v>11</v>
      </c>
      <c r="AQ478" s="2" t="s">
        <v>82</v>
      </c>
      <c r="AR478" s="2"/>
      <c r="AS478" s="2"/>
      <c r="AT478" s="2" t="s">
        <v>2137</v>
      </c>
      <c r="AU478" s="2">
        <v>2</v>
      </c>
      <c r="AV478" s="2"/>
      <c r="AW478" s="2"/>
      <c r="AX478" s="2"/>
      <c r="AY478" s="2">
        <v>1</v>
      </c>
      <c r="AZ478" s="2" t="s">
        <v>107</v>
      </c>
      <c r="BA478" s="2">
        <v>41</v>
      </c>
      <c r="BB478" s="2" t="s">
        <v>82</v>
      </c>
      <c r="BC478" s="2">
        <v>41</v>
      </c>
      <c r="BD478" s="2" t="s">
        <v>82</v>
      </c>
      <c r="BE478" s="2">
        <v>1</v>
      </c>
      <c r="BF478" s="2" t="s">
        <v>107</v>
      </c>
      <c r="BG478" s="2"/>
      <c r="BH478" s="2"/>
      <c r="BI478" s="2"/>
      <c r="BJ478" s="2">
        <v>241</v>
      </c>
      <c r="BK478" s="2" t="s">
        <v>82</v>
      </c>
      <c r="BL478" s="2"/>
      <c r="BM478" s="2">
        <v>241</v>
      </c>
      <c r="BN478" s="2" t="s">
        <v>82</v>
      </c>
      <c r="BO478" s="2"/>
      <c r="BP478" s="2">
        <v>241</v>
      </c>
      <c r="BQ478" s="2" t="s">
        <v>82</v>
      </c>
      <c r="BR478" s="2"/>
      <c r="BS478" s="3">
        <v>40219</v>
      </c>
      <c r="BT478" s="4">
        <v>0.7351967592592592</v>
      </c>
    </row>
    <row r="479" spans="1:72" x14ac:dyDescent="0.25">
      <c r="A479" s="2">
        <v>766</v>
      </c>
      <c r="B479" s="2">
        <v>2010</v>
      </c>
      <c r="C479" s="2" t="s">
        <v>806</v>
      </c>
      <c r="D479" s="2" t="s">
        <v>73</v>
      </c>
      <c r="E479" s="2"/>
      <c r="F479" s="2">
        <v>151</v>
      </c>
      <c r="G479" s="2" t="s">
        <v>314</v>
      </c>
      <c r="H479" s="2">
        <v>2</v>
      </c>
      <c r="I479" s="2" t="s">
        <v>267</v>
      </c>
      <c r="J479" s="2">
        <v>3</v>
      </c>
      <c r="K479" s="2" t="s">
        <v>2090</v>
      </c>
      <c r="L479" s="2" t="s">
        <v>2091</v>
      </c>
      <c r="M479" s="3">
        <v>40219</v>
      </c>
      <c r="N479" s="2" t="s">
        <v>2135</v>
      </c>
      <c r="O479" s="2" t="s">
        <v>2093</v>
      </c>
      <c r="P479" s="2" t="s">
        <v>2123</v>
      </c>
      <c r="Q479" s="2" t="str">
        <f>"05/07 - INC. 173"</f>
        <v>05/07 - INC. 173</v>
      </c>
      <c r="R479" s="2" t="s">
        <v>82</v>
      </c>
      <c r="S479" s="2" t="s">
        <v>82</v>
      </c>
      <c r="T479" s="2">
        <v>1</v>
      </c>
      <c r="U479" s="2" t="s">
        <v>79</v>
      </c>
      <c r="V479" s="2">
        <v>1</v>
      </c>
      <c r="W479" s="2" t="s">
        <v>80</v>
      </c>
      <c r="X479" s="2">
        <v>2</v>
      </c>
      <c r="Y479" s="2" t="s">
        <v>136</v>
      </c>
      <c r="Z479" s="2">
        <v>1</v>
      </c>
      <c r="AA479" s="2" t="s">
        <v>82</v>
      </c>
      <c r="AB479" s="2">
        <v>9</v>
      </c>
      <c r="AC479" s="2" t="s">
        <v>124</v>
      </c>
      <c r="AD479" s="3">
        <v>40219</v>
      </c>
      <c r="AE479" s="4">
        <v>0.33333333333333331</v>
      </c>
      <c r="AF479" s="2"/>
      <c r="AG479" s="2"/>
      <c r="AH479" s="2">
        <v>7</v>
      </c>
      <c r="AI479" s="2" t="s">
        <v>801</v>
      </c>
      <c r="AJ479" s="2">
        <v>3</v>
      </c>
      <c r="AK479" s="2" t="s">
        <v>802</v>
      </c>
      <c r="AL479" s="2">
        <v>18</v>
      </c>
      <c r="AM479" s="2" t="s">
        <v>82</v>
      </c>
      <c r="AN479" s="2" t="s">
        <v>82</v>
      </c>
      <c r="AO479" s="2" t="s">
        <v>2136</v>
      </c>
      <c r="AP479" s="2">
        <v>11</v>
      </c>
      <c r="AQ479" s="2" t="s">
        <v>82</v>
      </c>
      <c r="AR479" s="2"/>
      <c r="AS479" s="2"/>
      <c r="AT479" s="2" t="s">
        <v>2137</v>
      </c>
      <c r="AU479" s="2">
        <v>2</v>
      </c>
      <c r="AV479" s="2"/>
      <c r="AW479" s="2"/>
      <c r="AX479" s="2"/>
      <c r="AY479" s="2">
        <v>1</v>
      </c>
      <c r="AZ479" s="2" t="s">
        <v>107</v>
      </c>
      <c r="BA479" s="2">
        <v>41</v>
      </c>
      <c r="BB479" s="2" t="s">
        <v>82</v>
      </c>
      <c r="BC479" s="2">
        <v>41</v>
      </c>
      <c r="BD479" s="2" t="s">
        <v>82</v>
      </c>
      <c r="BE479" s="2">
        <v>1</v>
      </c>
      <c r="BF479" s="2" t="s">
        <v>107</v>
      </c>
      <c r="BG479" s="2"/>
      <c r="BH479" s="2"/>
      <c r="BI479" s="2"/>
      <c r="BJ479" s="2">
        <v>241</v>
      </c>
      <c r="BK479" s="2" t="s">
        <v>82</v>
      </c>
      <c r="BL479" s="2"/>
      <c r="BM479" s="2">
        <v>241</v>
      </c>
      <c r="BN479" s="2" t="s">
        <v>82</v>
      </c>
      <c r="BO479" s="2"/>
      <c r="BP479" s="2">
        <v>241</v>
      </c>
      <c r="BQ479" s="2" t="s">
        <v>82</v>
      </c>
      <c r="BR479" s="2"/>
      <c r="BS479" s="3">
        <v>40219</v>
      </c>
      <c r="BT479" s="4">
        <v>0.7351967592592592</v>
      </c>
    </row>
    <row r="480" spans="1:72" x14ac:dyDescent="0.25">
      <c r="A480" s="2">
        <v>767</v>
      </c>
      <c r="B480" s="2">
        <v>2010</v>
      </c>
      <c r="C480" s="2" t="s">
        <v>2138</v>
      </c>
      <c r="D480" s="2" t="s">
        <v>73</v>
      </c>
      <c r="E480" s="2"/>
      <c r="F480" s="2">
        <v>425</v>
      </c>
      <c r="G480" s="2" t="s">
        <v>286</v>
      </c>
      <c r="H480" s="2">
        <v>24</v>
      </c>
      <c r="I480" s="2" t="s">
        <v>287</v>
      </c>
      <c r="J480" s="2">
        <v>310</v>
      </c>
      <c r="K480" s="2" t="s">
        <v>288</v>
      </c>
      <c r="L480" s="2" t="s">
        <v>289</v>
      </c>
      <c r="M480" s="3">
        <v>40219</v>
      </c>
      <c r="N480" s="2" t="s">
        <v>1943</v>
      </c>
      <c r="O480" s="2"/>
      <c r="P480" s="2"/>
      <c r="Q480" s="2" t="str">
        <f>""</f>
        <v/>
      </c>
      <c r="R480" s="2"/>
      <c r="S480" s="2"/>
      <c r="T480" s="2">
        <v>1</v>
      </c>
      <c r="U480" s="2" t="s">
        <v>79</v>
      </c>
      <c r="V480" s="2">
        <v>1</v>
      </c>
      <c r="W480" s="2" t="s">
        <v>80</v>
      </c>
      <c r="X480" s="2">
        <v>1</v>
      </c>
      <c r="Y480" s="2" t="s">
        <v>81</v>
      </c>
      <c r="Z480" s="2">
        <v>10</v>
      </c>
      <c r="AA480" s="2" t="s">
        <v>236</v>
      </c>
      <c r="AB480" s="2">
        <v>9</v>
      </c>
      <c r="AC480" s="2" t="s">
        <v>124</v>
      </c>
      <c r="AD480" s="3">
        <v>40219</v>
      </c>
      <c r="AE480" s="4">
        <v>0.625</v>
      </c>
      <c r="AF480" s="2"/>
      <c r="AG480" s="2"/>
      <c r="AH480" s="2">
        <v>4</v>
      </c>
      <c r="AI480" s="2" t="s">
        <v>125</v>
      </c>
      <c r="AJ480" s="2">
        <v>29</v>
      </c>
      <c r="AK480" s="2" t="s">
        <v>227</v>
      </c>
      <c r="AL480" s="2">
        <v>12</v>
      </c>
      <c r="AM480" s="2" t="s">
        <v>86</v>
      </c>
      <c r="AN480" s="2" t="s">
        <v>2139</v>
      </c>
      <c r="AO480" s="2"/>
      <c r="AP480" s="2">
        <v>11</v>
      </c>
      <c r="AQ480" s="2" t="s">
        <v>82</v>
      </c>
      <c r="AR480" s="2"/>
      <c r="AS480" s="2"/>
      <c r="AT480" s="2" t="s">
        <v>2140</v>
      </c>
      <c r="AU480" s="2"/>
      <c r="AV480" s="2"/>
      <c r="AW480" s="2"/>
      <c r="AX480" s="2"/>
      <c r="AY480" s="2">
        <v>41</v>
      </c>
      <c r="AZ480" s="2" t="s">
        <v>82</v>
      </c>
      <c r="BA480" s="2">
        <v>41</v>
      </c>
      <c r="BB480" s="2" t="s">
        <v>82</v>
      </c>
      <c r="BC480" s="2">
        <v>41</v>
      </c>
      <c r="BD480" s="2" t="s">
        <v>82</v>
      </c>
      <c r="BE480" s="2">
        <v>41</v>
      </c>
      <c r="BF480" s="2" t="s">
        <v>82</v>
      </c>
      <c r="BG480" s="2"/>
      <c r="BH480" s="2"/>
      <c r="BI480" s="2"/>
      <c r="BJ480" s="2">
        <v>13</v>
      </c>
      <c r="BK480" s="2" t="s">
        <v>91</v>
      </c>
      <c r="BL480" s="2"/>
      <c r="BM480" s="2">
        <v>241</v>
      </c>
      <c r="BN480" s="2" t="s">
        <v>82</v>
      </c>
      <c r="BO480" s="2"/>
      <c r="BP480" s="2">
        <v>13</v>
      </c>
      <c r="BQ480" s="2" t="s">
        <v>91</v>
      </c>
      <c r="BR480" s="2"/>
      <c r="BS480" s="3">
        <v>40219</v>
      </c>
      <c r="BT480" s="4">
        <v>0.74482638888888886</v>
      </c>
    </row>
    <row r="481" spans="1:72" x14ac:dyDescent="0.25">
      <c r="A481" s="2">
        <v>769</v>
      </c>
      <c r="B481" s="2">
        <v>2010</v>
      </c>
      <c r="C481" s="2" t="s">
        <v>625</v>
      </c>
      <c r="D481" s="2" t="s">
        <v>73</v>
      </c>
      <c r="E481" s="2"/>
      <c r="F481" s="2">
        <v>151</v>
      </c>
      <c r="G481" s="2" t="s">
        <v>314</v>
      </c>
      <c r="H481" s="2">
        <v>2</v>
      </c>
      <c r="I481" s="2" t="s">
        <v>267</v>
      </c>
      <c r="J481" s="2">
        <v>3</v>
      </c>
      <c r="K481" s="2" t="s">
        <v>2090</v>
      </c>
      <c r="L481" s="2" t="s">
        <v>2091</v>
      </c>
      <c r="M481" s="3">
        <v>40219</v>
      </c>
      <c r="N481" s="2" t="s">
        <v>2111</v>
      </c>
      <c r="O481" s="2" t="s">
        <v>2093</v>
      </c>
      <c r="P481" s="2" t="s">
        <v>2123</v>
      </c>
      <c r="Q481" s="2" t="str">
        <f>"05/07"</f>
        <v>05/07</v>
      </c>
      <c r="R481" s="2" t="s">
        <v>82</v>
      </c>
      <c r="S481" s="2" t="s">
        <v>82</v>
      </c>
      <c r="T481" s="2">
        <v>1</v>
      </c>
      <c r="U481" s="2" t="s">
        <v>79</v>
      </c>
      <c r="V481" s="2">
        <v>1</v>
      </c>
      <c r="W481" s="2" t="s">
        <v>80</v>
      </c>
      <c r="X481" s="2">
        <v>2</v>
      </c>
      <c r="Y481" s="2" t="s">
        <v>136</v>
      </c>
      <c r="Z481" s="2">
        <v>1</v>
      </c>
      <c r="AA481" s="2" t="s">
        <v>82</v>
      </c>
      <c r="AB481" s="2">
        <v>9</v>
      </c>
      <c r="AC481" s="2" t="s">
        <v>124</v>
      </c>
      <c r="AD481" s="3">
        <v>40219</v>
      </c>
      <c r="AE481" s="4">
        <v>0.2951388888888889</v>
      </c>
      <c r="AF481" s="2"/>
      <c r="AG481" s="2"/>
      <c r="AH481" s="2">
        <v>7</v>
      </c>
      <c r="AI481" s="2" t="s">
        <v>801</v>
      </c>
      <c r="AJ481" s="2">
        <v>3</v>
      </c>
      <c r="AK481" s="2" t="s">
        <v>802</v>
      </c>
      <c r="AL481" s="2">
        <v>19</v>
      </c>
      <c r="AM481" s="2" t="s">
        <v>107</v>
      </c>
      <c r="AN481" s="2" t="s">
        <v>82</v>
      </c>
      <c r="AO481" s="2" t="s">
        <v>2141</v>
      </c>
      <c r="AP481" s="2">
        <v>11</v>
      </c>
      <c r="AQ481" s="2" t="s">
        <v>82</v>
      </c>
      <c r="AR481" s="2"/>
      <c r="AS481" s="2"/>
      <c r="AT481" s="2" t="s">
        <v>2142</v>
      </c>
      <c r="AU481" s="2">
        <v>2</v>
      </c>
      <c r="AV481" s="2"/>
      <c r="AW481" s="2"/>
      <c r="AX481" s="2"/>
      <c r="AY481" s="2">
        <v>41</v>
      </c>
      <c r="AZ481" s="2" t="s">
        <v>82</v>
      </c>
      <c r="BA481" s="2">
        <v>41</v>
      </c>
      <c r="BB481" s="2" t="s">
        <v>82</v>
      </c>
      <c r="BC481" s="2">
        <v>41</v>
      </c>
      <c r="BD481" s="2" t="s">
        <v>82</v>
      </c>
      <c r="BE481" s="2">
        <v>41</v>
      </c>
      <c r="BF481" s="2" t="s">
        <v>82</v>
      </c>
      <c r="BG481" s="2"/>
      <c r="BH481" s="2"/>
      <c r="BI481" s="2"/>
      <c r="BJ481" s="2">
        <v>241</v>
      </c>
      <c r="BK481" s="2" t="s">
        <v>82</v>
      </c>
      <c r="BL481" s="2"/>
      <c r="BM481" s="2">
        <v>241</v>
      </c>
      <c r="BN481" s="2" t="s">
        <v>82</v>
      </c>
      <c r="BO481" s="2"/>
      <c r="BP481" s="2">
        <v>241</v>
      </c>
      <c r="BQ481" s="2" t="s">
        <v>82</v>
      </c>
      <c r="BR481" s="2"/>
      <c r="BS481" s="3">
        <v>40219</v>
      </c>
      <c r="BT481" s="4">
        <v>0.75747685185185187</v>
      </c>
    </row>
    <row r="482" spans="1:72" x14ac:dyDescent="0.25">
      <c r="A482" s="2">
        <v>769</v>
      </c>
      <c r="B482" s="2">
        <v>2010</v>
      </c>
      <c r="C482" s="2" t="s">
        <v>806</v>
      </c>
      <c r="D482" s="2" t="s">
        <v>73</v>
      </c>
      <c r="E482" s="2"/>
      <c r="F482" s="2">
        <v>151</v>
      </c>
      <c r="G482" s="2" t="s">
        <v>314</v>
      </c>
      <c r="H482" s="2">
        <v>2</v>
      </c>
      <c r="I482" s="2" t="s">
        <v>267</v>
      </c>
      <c r="J482" s="2">
        <v>3</v>
      </c>
      <c r="K482" s="2" t="s">
        <v>2090</v>
      </c>
      <c r="L482" s="2" t="s">
        <v>2091</v>
      </c>
      <c r="M482" s="3">
        <v>40219</v>
      </c>
      <c r="N482" s="2" t="s">
        <v>2111</v>
      </c>
      <c r="O482" s="2" t="s">
        <v>2093</v>
      </c>
      <c r="P482" s="2" t="s">
        <v>2123</v>
      </c>
      <c r="Q482" s="2" t="str">
        <f>"05/07"</f>
        <v>05/07</v>
      </c>
      <c r="R482" s="2" t="s">
        <v>82</v>
      </c>
      <c r="S482" s="2" t="s">
        <v>82</v>
      </c>
      <c r="T482" s="2">
        <v>1</v>
      </c>
      <c r="U482" s="2" t="s">
        <v>79</v>
      </c>
      <c r="V482" s="2">
        <v>1</v>
      </c>
      <c r="W482" s="2" t="s">
        <v>80</v>
      </c>
      <c r="X482" s="2">
        <v>2</v>
      </c>
      <c r="Y482" s="2" t="s">
        <v>136</v>
      </c>
      <c r="Z482" s="2">
        <v>1</v>
      </c>
      <c r="AA482" s="2" t="s">
        <v>82</v>
      </c>
      <c r="AB482" s="2">
        <v>9</v>
      </c>
      <c r="AC482" s="2" t="s">
        <v>124</v>
      </c>
      <c r="AD482" s="3">
        <v>40219</v>
      </c>
      <c r="AE482" s="4">
        <v>0.2951388888888889</v>
      </c>
      <c r="AF482" s="2"/>
      <c r="AG482" s="2"/>
      <c r="AH482" s="2">
        <v>7</v>
      </c>
      <c r="AI482" s="2" t="s">
        <v>801</v>
      </c>
      <c r="AJ482" s="2">
        <v>3</v>
      </c>
      <c r="AK482" s="2" t="s">
        <v>802</v>
      </c>
      <c r="AL482" s="2">
        <v>19</v>
      </c>
      <c r="AM482" s="2" t="s">
        <v>107</v>
      </c>
      <c r="AN482" s="2" t="s">
        <v>82</v>
      </c>
      <c r="AO482" s="2" t="s">
        <v>2141</v>
      </c>
      <c r="AP482" s="2">
        <v>11</v>
      </c>
      <c r="AQ482" s="2" t="s">
        <v>82</v>
      </c>
      <c r="AR482" s="2"/>
      <c r="AS482" s="2"/>
      <c r="AT482" s="2" t="s">
        <v>2142</v>
      </c>
      <c r="AU482" s="2">
        <v>2</v>
      </c>
      <c r="AV482" s="2"/>
      <c r="AW482" s="2"/>
      <c r="AX482" s="2"/>
      <c r="AY482" s="2">
        <v>41</v>
      </c>
      <c r="AZ482" s="2" t="s">
        <v>82</v>
      </c>
      <c r="BA482" s="2">
        <v>41</v>
      </c>
      <c r="BB482" s="2" t="s">
        <v>82</v>
      </c>
      <c r="BC482" s="2">
        <v>41</v>
      </c>
      <c r="BD482" s="2" t="s">
        <v>82</v>
      </c>
      <c r="BE482" s="2">
        <v>41</v>
      </c>
      <c r="BF482" s="2" t="s">
        <v>82</v>
      </c>
      <c r="BG482" s="2"/>
      <c r="BH482" s="2"/>
      <c r="BI482" s="2"/>
      <c r="BJ482" s="2">
        <v>241</v>
      </c>
      <c r="BK482" s="2" t="s">
        <v>82</v>
      </c>
      <c r="BL482" s="2"/>
      <c r="BM482" s="2">
        <v>241</v>
      </c>
      <c r="BN482" s="2" t="s">
        <v>82</v>
      </c>
      <c r="BO482" s="2"/>
      <c r="BP482" s="2">
        <v>241</v>
      </c>
      <c r="BQ482" s="2" t="s">
        <v>82</v>
      </c>
      <c r="BR482" s="2"/>
      <c r="BS482" s="3">
        <v>40219</v>
      </c>
      <c r="BT482" s="4">
        <v>0.75747685185185187</v>
      </c>
    </row>
    <row r="483" spans="1:72" x14ac:dyDescent="0.25">
      <c r="A483" s="2">
        <v>770</v>
      </c>
      <c r="B483" s="2">
        <v>2010</v>
      </c>
      <c r="C483" s="2" t="s">
        <v>819</v>
      </c>
      <c r="D483" s="2" t="s">
        <v>73</v>
      </c>
      <c r="E483" s="2"/>
      <c r="F483" s="2">
        <v>10</v>
      </c>
      <c r="G483" s="2" t="s">
        <v>2143</v>
      </c>
      <c r="H483" s="2">
        <v>30</v>
      </c>
      <c r="I483" s="2" t="s">
        <v>912</v>
      </c>
      <c r="J483" s="2">
        <v>19</v>
      </c>
      <c r="K483" s="2" t="s">
        <v>2144</v>
      </c>
      <c r="L483" s="2" t="s">
        <v>2145</v>
      </c>
      <c r="M483" s="3">
        <v>40219</v>
      </c>
      <c r="N483" s="2" t="s">
        <v>2146</v>
      </c>
      <c r="O483" s="2" t="s">
        <v>107</v>
      </c>
      <c r="P483" s="2" t="s">
        <v>107</v>
      </c>
      <c r="Q483" s="2" t="str">
        <f>"08/10"</f>
        <v>08/10</v>
      </c>
      <c r="R483" s="2" t="s">
        <v>107</v>
      </c>
      <c r="S483" s="2" t="s">
        <v>2147</v>
      </c>
      <c r="T483" s="2">
        <v>1</v>
      </c>
      <c r="U483" s="2" t="s">
        <v>79</v>
      </c>
      <c r="V483" s="2">
        <v>1</v>
      </c>
      <c r="W483" s="2" t="s">
        <v>80</v>
      </c>
      <c r="X483" s="2">
        <v>3</v>
      </c>
      <c r="Y483" s="2" t="s">
        <v>698</v>
      </c>
      <c r="Z483" s="2">
        <v>2</v>
      </c>
      <c r="AA483" s="2" t="s">
        <v>2148</v>
      </c>
      <c r="AB483" s="2">
        <v>9</v>
      </c>
      <c r="AC483" s="2" t="s">
        <v>124</v>
      </c>
      <c r="AD483" s="3">
        <v>40219</v>
      </c>
      <c r="AE483" s="4">
        <v>0.65277777777777779</v>
      </c>
      <c r="AF483" s="3">
        <v>40219</v>
      </c>
      <c r="AG483" s="4">
        <v>0.75</v>
      </c>
      <c r="AH483" s="2">
        <v>3</v>
      </c>
      <c r="AI483" s="2" t="s">
        <v>214</v>
      </c>
      <c r="AJ483" s="2">
        <v>24</v>
      </c>
      <c r="AK483" s="2" t="s">
        <v>215</v>
      </c>
      <c r="AL483" s="2">
        <v>8</v>
      </c>
      <c r="AM483" s="2" t="s">
        <v>179</v>
      </c>
      <c r="AN483" s="2" t="s">
        <v>82</v>
      </c>
      <c r="AO483" s="2" t="s">
        <v>2149</v>
      </c>
      <c r="AP483" s="2">
        <v>11</v>
      </c>
      <c r="AQ483" s="2" t="s">
        <v>82</v>
      </c>
      <c r="AR483" s="2"/>
      <c r="AS483" s="2"/>
      <c r="AT483" s="2" t="s">
        <v>2150</v>
      </c>
      <c r="AU483" s="2"/>
      <c r="AV483" s="2"/>
      <c r="AW483" s="2"/>
      <c r="AX483" s="2"/>
      <c r="AY483" s="2">
        <v>42</v>
      </c>
      <c r="AZ483" s="2" t="s">
        <v>182</v>
      </c>
      <c r="BA483" s="2">
        <v>70</v>
      </c>
      <c r="BB483" s="2" t="s">
        <v>236</v>
      </c>
      <c r="BC483" s="2">
        <v>1</v>
      </c>
      <c r="BD483" s="2" t="s">
        <v>107</v>
      </c>
      <c r="BE483" s="2">
        <v>17</v>
      </c>
      <c r="BF483" s="2" t="s">
        <v>508</v>
      </c>
      <c r="BG483" s="2">
        <v>943</v>
      </c>
      <c r="BH483" s="4">
        <v>0.77083333333333337</v>
      </c>
      <c r="BI483" s="4">
        <v>0.70833333333333337</v>
      </c>
      <c r="BJ483" s="2">
        <v>13</v>
      </c>
      <c r="BK483" s="2" t="s">
        <v>91</v>
      </c>
      <c r="BL483" s="2" t="s">
        <v>169</v>
      </c>
      <c r="BM483" s="2">
        <v>241</v>
      </c>
      <c r="BN483" s="2" t="s">
        <v>82</v>
      </c>
      <c r="BO483" s="2" t="s">
        <v>82</v>
      </c>
      <c r="BP483" s="2">
        <v>46</v>
      </c>
      <c r="BQ483" s="2" t="s">
        <v>307</v>
      </c>
      <c r="BR483" s="2" t="s">
        <v>308</v>
      </c>
      <c r="BS483" s="3">
        <v>40219</v>
      </c>
      <c r="BT483" s="4">
        <v>0.79263888888888889</v>
      </c>
    </row>
    <row r="484" spans="1:72" x14ac:dyDescent="0.25">
      <c r="A484" s="2">
        <v>774</v>
      </c>
      <c r="B484" s="2">
        <v>2010</v>
      </c>
      <c r="C484" s="2" t="s">
        <v>625</v>
      </c>
      <c r="D484" s="2" t="s">
        <v>73</v>
      </c>
      <c r="E484" s="2"/>
      <c r="F484" s="2">
        <v>151</v>
      </c>
      <c r="G484" s="2" t="s">
        <v>314</v>
      </c>
      <c r="H484" s="2">
        <v>2</v>
      </c>
      <c r="I484" s="2" t="s">
        <v>267</v>
      </c>
      <c r="J484" s="2">
        <v>3</v>
      </c>
      <c r="K484" s="2" t="s">
        <v>2090</v>
      </c>
      <c r="L484" s="2" t="s">
        <v>2091</v>
      </c>
      <c r="M484" s="3">
        <v>40219</v>
      </c>
      <c r="N484" s="2" t="s">
        <v>2111</v>
      </c>
      <c r="O484" s="2" t="s">
        <v>2151</v>
      </c>
      <c r="P484" s="2" t="s">
        <v>2123</v>
      </c>
      <c r="Q484" s="2" t="str">
        <f>"05/07"</f>
        <v>05/07</v>
      </c>
      <c r="R484" s="2" t="s">
        <v>107</v>
      </c>
      <c r="S484" s="2" t="s">
        <v>107</v>
      </c>
      <c r="T484" s="2">
        <v>1</v>
      </c>
      <c r="U484" s="2" t="s">
        <v>79</v>
      </c>
      <c r="V484" s="2">
        <v>1</v>
      </c>
      <c r="W484" s="2" t="s">
        <v>80</v>
      </c>
      <c r="X484" s="2">
        <v>2</v>
      </c>
      <c r="Y484" s="2" t="s">
        <v>136</v>
      </c>
      <c r="Z484" s="2">
        <v>1</v>
      </c>
      <c r="AA484" s="2" t="s">
        <v>82</v>
      </c>
      <c r="AB484" s="2">
        <v>9</v>
      </c>
      <c r="AC484" s="2" t="s">
        <v>124</v>
      </c>
      <c r="AD484" s="3">
        <v>40219</v>
      </c>
      <c r="AE484" s="4">
        <v>0.66666666666666663</v>
      </c>
      <c r="AF484" s="2"/>
      <c r="AG484" s="2"/>
      <c r="AH484" s="2">
        <v>7</v>
      </c>
      <c r="AI484" s="2" t="s">
        <v>801</v>
      </c>
      <c r="AJ484" s="2">
        <v>3</v>
      </c>
      <c r="AK484" s="2" t="s">
        <v>802</v>
      </c>
      <c r="AL484" s="2">
        <v>19</v>
      </c>
      <c r="AM484" s="2" t="s">
        <v>107</v>
      </c>
      <c r="AN484" s="2" t="s">
        <v>107</v>
      </c>
      <c r="AO484" s="2" t="s">
        <v>2152</v>
      </c>
      <c r="AP484" s="2">
        <v>11</v>
      </c>
      <c r="AQ484" s="2" t="s">
        <v>82</v>
      </c>
      <c r="AR484" s="2"/>
      <c r="AS484" s="2"/>
      <c r="AT484" s="2" t="s">
        <v>2153</v>
      </c>
      <c r="AU484" s="2">
        <v>2</v>
      </c>
      <c r="AV484" s="2"/>
      <c r="AW484" s="2"/>
      <c r="AX484" s="2"/>
      <c r="AY484" s="2">
        <v>41</v>
      </c>
      <c r="AZ484" s="2" t="s">
        <v>82</v>
      </c>
      <c r="BA484" s="2">
        <v>41</v>
      </c>
      <c r="BB484" s="2" t="s">
        <v>82</v>
      </c>
      <c r="BC484" s="2">
        <v>41</v>
      </c>
      <c r="BD484" s="2" t="s">
        <v>82</v>
      </c>
      <c r="BE484" s="2">
        <v>41</v>
      </c>
      <c r="BF484" s="2" t="s">
        <v>82</v>
      </c>
      <c r="BG484" s="2"/>
      <c r="BH484" s="2"/>
      <c r="BI484" s="2"/>
      <c r="BJ484" s="2">
        <v>241</v>
      </c>
      <c r="BK484" s="2" t="s">
        <v>82</v>
      </c>
      <c r="BL484" s="2"/>
      <c r="BM484" s="2">
        <v>241</v>
      </c>
      <c r="BN484" s="2" t="s">
        <v>82</v>
      </c>
      <c r="BO484" s="2"/>
      <c r="BP484" s="2">
        <v>241</v>
      </c>
      <c r="BQ484" s="2" t="s">
        <v>82</v>
      </c>
      <c r="BR484" s="2"/>
      <c r="BS484" s="3">
        <v>40219</v>
      </c>
      <c r="BT484" s="4">
        <v>0.83168981481481474</v>
      </c>
    </row>
    <row r="485" spans="1:72" x14ac:dyDescent="0.25">
      <c r="A485" s="2">
        <v>774</v>
      </c>
      <c r="B485" s="2">
        <v>2010</v>
      </c>
      <c r="C485" s="2" t="s">
        <v>806</v>
      </c>
      <c r="D485" s="2" t="s">
        <v>73</v>
      </c>
      <c r="E485" s="2"/>
      <c r="F485" s="2">
        <v>151</v>
      </c>
      <c r="G485" s="2" t="s">
        <v>314</v>
      </c>
      <c r="H485" s="2">
        <v>2</v>
      </c>
      <c r="I485" s="2" t="s">
        <v>267</v>
      </c>
      <c r="J485" s="2">
        <v>3</v>
      </c>
      <c r="K485" s="2" t="s">
        <v>2090</v>
      </c>
      <c r="L485" s="2" t="s">
        <v>2091</v>
      </c>
      <c r="M485" s="3">
        <v>40219</v>
      </c>
      <c r="N485" s="2" t="s">
        <v>2111</v>
      </c>
      <c r="O485" s="2" t="s">
        <v>2151</v>
      </c>
      <c r="P485" s="2" t="s">
        <v>2123</v>
      </c>
      <c r="Q485" s="2" t="str">
        <f>"05/07"</f>
        <v>05/07</v>
      </c>
      <c r="R485" s="2" t="s">
        <v>107</v>
      </c>
      <c r="S485" s="2" t="s">
        <v>107</v>
      </c>
      <c r="T485" s="2">
        <v>1</v>
      </c>
      <c r="U485" s="2" t="s">
        <v>79</v>
      </c>
      <c r="V485" s="2">
        <v>1</v>
      </c>
      <c r="W485" s="2" t="s">
        <v>80</v>
      </c>
      <c r="X485" s="2">
        <v>2</v>
      </c>
      <c r="Y485" s="2" t="s">
        <v>136</v>
      </c>
      <c r="Z485" s="2">
        <v>1</v>
      </c>
      <c r="AA485" s="2" t="s">
        <v>82</v>
      </c>
      <c r="AB485" s="2">
        <v>9</v>
      </c>
      <c r="AC485" s="2" t="s">
        <v>124</v>
      </c>
      <c r="AD485" s="3">
        <v>40219</v>
      </c>
      <c r="AE485" s="4">
        <v>0.66666666666666663</v>
      </c>
      <c r="AF485" s="2"/>
      <c r="AG485" s="2"/>
      <c r="AH485" s="2">
        <v>7</v>
      </c>
      <c r="AI485" s="2" t="s">
        <v>801</v>
      </c>
      <c r="AJ485" s="2">
        <v>3</v>
      </c>
      <c r="AK485" s="2" t="s">
        <v>802</v>
      </c>
      <c r="AL485" s="2">
        <v>19</v>
      </c>
      <c r="AM485" s="2" t="s">
        <v>107</v>
      </c>
      <c r="AN485" s="2" t="s">
        <v>107</v>
      </c>
      <c r="AO485" s="2" t="s">
        <v>2152</v>
      </c>
      <c r="AP485" s="2">
        <v>11</v>
      </c>
      <c r="AQ485" s="2" t="s">
        <v>82</v>
      </c>
      <c r="AR485" s="2"/>
      <c r="AS485" s="2"/>
      <c r="AT485" s="2" t="s">
        <v>2153</v>
      </c>
      <c r="AU485" s="2">
        <v>2</v>
      </c>
      <c r="AV485" s="2"/>
      <c r="AW485" s="2"/>
      <c r="AX485" s="2"/>
      <c r="AY485" s="2">
        <v>41</v>
      </c>
      <c r="AZ485" s="2" t="s">
        <v>82</v>
      </c>
      <c r="BA485" s="2">
        <v>41</v>
      </c>
      <c r="BB485" s="2" t="s">
        <v>82</v>
      </c>
      <c r="BC485" s="2">
        <v>41</v>
      </c>
      <c r="BD485" s="2" t="s">
        <v>82</v>
      </c>
      <c r="BE485" s="2">
        <v>41</v>
      </c>
      <c r="BF485" s="2" t="s">
        <v>82</v>
      </c>
      <c r="BG485" s="2"/>
      <c r="BH485" s="2"/>
      <c r="BI485" s="2"/>
      <c r="BJ485" s="2">
        <v>241</v>
      </c>
      <c r="BK485" s="2" t="s">
        <v>82</v>
      </c>
      <c r="BL485" s="2"/>
      <c r="BM485" s="2">
        <v>241</v>
      </c>
      <c r="BN485" s="2" t="s">
        <v>82</v>
      </c>
      <c r="BO485" s="2"/>
      <c r="BP485" s="2">
        <v>241</v>
      </c>
      <c r="BQ485" s="2" t="s">
        <v>82</v>
      </c>
      <c r="BR485" s="2"/>
      <c r="BS485" s="3">
        <v>40219</v>
      </c>
      <c r="BT485" s="4">
        <v>0.83168981481481474</v>
      </c>
    </row>
    <row r="486" spans="1:72" x14ac:dyDescent="0.25">
      <c r="A486" s="2">
        <v>776</v>
      </c>
      <c r="B486" s="2">
        <v>2010</v>
      </c>
      <c r="C486" s="2" t="s">
        <v>72</v>
      </c>
      <c r="D486" s="2" t="s">
        <v>73</v>
      </c>
      <c r="E486" s="2"/>
      <c r="F486" s="2">
        <v>491</v>
      </c>
      <c r="G486" s="2" t="s">
        <v>1774</v>
      </c>
      <c r="H486" s="2">
        <v>22</v>
      </c>
      <c r="I486" s="2" t="s">
        <v>75</v>
      </c>
      <c r="J486" s="2">
        <v>396</v>
      </c>
      <c r="K486" s="2" t="s">
        <v>1775</v>
      </c>
      <c r="L486" s="2" t="s">
        <v>1776</v>
      </c>
      <c r="M486" s="3">
        <v>40219</v>
      </c>
      <c r="N486" s="2" t="s">
        <v>2097</v>
      </c>
      <c r="O486" s="2" t="s">
        <v>2154</v>
      </c>
      <c r="P486" s="2"/>
      <c r="Q486" s="2" t="str">
        <f>"051-A/10"</f>
        <v>051-A/10</v>
      </c>
      <c r="R486" s="2"/>
      <c r="S486" s="2"/>
      <c r="T486" s="2">
        <v>1</v>
      </c>
      <c r="U486" s="2" t="s">
        <v>79</v>
      </c>
      <c r="V486" s="2">
        <v>1</v>
      </c>
      <c r="W486" s="2" t="s">
        <v>80</v>
      </c>
      <c r="X486" s="2">
        <v>1</v>
      </c>
      <c r="Y486" s="2" t="s">
        <v>81</v>
      </c>
      <c r="Z486" s="2">
        <v>1</v>
      </c>
      <c r="AA486" s="2" t="s">
        <v>82</v>
      </c>
      <c r="AB486" s="2">
        <v>6</v>
      </c>
      <c r="AC486" s="2" t="s">
        <v>83</v>
      </c>
      <c r="AD486" s="3">
        <v>40219</v>
      </c>
      <c r="AE486" s="4">
        <v>0.79861111111111116</v>
      </c>
      <c r="AF486" s="3">
        <v>40219</v>
      </c>
      <c r="AG486" s="4">
        <v>0.85416666666666663</v>
      </c>
      <c r="AH486" s="2">
        <v>2</v>
      </c>
      <c r="AI486" s="2" t="s">
        <v>84</v>
      </c>
      <c r="AJ486" s="2">
        <v>12</v>
      </c>
      <c r="AK486" s="2" t="s">
        <v>85</v>
      </c>
      <c r="AL486" s="2">
        <v>17</v>
      </c>
      <c r="AM486" s="2" t="s">
        <v>232</v>
      </c>
      <c r="AN486" s="2" t="s">
        <v>2155</v>
      </c>
      <c r="AO486" s="2" t="s">
        <v>2156</v>
      </c>
      <c r="AP486" s="2">
        <v>11</v>
      </c>
      <c r="AQ486" s="2" t="s">
        <v>82</v>
      </c>
      <c r="AR486" s="2"/>
      <c r="AS486" s="2"/>
      <c r="AT486" s="2" t="s">
        <v>2157</v>
      </c>
      <c r="AU486" s="2"/>
      <c r="AV486" s="2"/>
      <c r="AW486" s="2"/>
      <c r="AX486" s="2"/>
      <c r="AY486" s="2">
        <v>41</v>
      </c>
      <c r="AZ486" s="2" t="s">
        <v>82</v>
      </c>
      <c r="BA486" s="2">
        <v>41</v>
      </c>
      <c r="BB486" s="2" t="s">
        <v>82</v>
      </c>
      <c r="BC486" s="2">
        <v>41</v>
      </c>
      <c r="BD486" s="2" t="s">
        <v>82</v>
      </c>
      <c r="BE486" s="2">
        <v>4</v>
      </c>
      <c r="BF486" s="2" t="s">
        <v>90</v>
      </c>
      <c r="BG486" s="2" t="s">
        <v>2158</v>
      </c>
      <c r="BH486" s="4">
        <v>0.75694444444444453</v>
      </c>
      <c r="BI486" s="4">
        <v>0.67361111111111116</v>
      </c>
      <c r="BJ486" s="2">
        <v>13</v>
      </c>
      <c r="BK486" s="2" t="s">
        <v>91</v>
      </c>
      <c r="BL486" s="2" t="s">
        <v>92</v>
      </c>
      <c r="BM486" s="2">
        <v>241</v>
      </c>
      <c r="BN486" s="2" t="s">
        <v>82</v>
      </c>
      <c r="BO486" s="2"/>
      <c r="BP486" s="2">
        <v>13</v>
      </c>
      <c r="BQ486" s="2" t="s">
        <v>91</v>
      </c>
      <c r="BR486" s="2" t="s">
        <v>1040</v>
      </c>
      <c r="BS486" s="3">
        <v>40219</v>
      </c>
      <c r="BT486" s="4">
        <v>0.93040509259259263</v>
      </c>
    </row>
    <row r="487" spans="1:72" x14ac:dyDescent="0.25">
      <c r="A487" s="2">
        <v>777</v>
      </c>
      <c r="B487" s="2">
        <v>2010</v>
      </c>
      <c r="C487" s="2" t="s">
        <v>819</v>
      </c>
      <c r="D487" s="2" t="s">
        <v>73</v>
      </c>
      <c r="E487" s="2"/>
      <c r="F487" s="2">
        <v>396</v>
      </c>
      <c r="G487" s="2" t="s">
        <v>2159</v>
      </c>
      <c r="H487" s="2">
        <v>9</v>
      </c>
      <c r="I487" s="2" t="s">
        <v>794</v>
      </c>
      <c r="J487" s="2">
        <v>243</v>
      </c>
      <c r="K487" s="2" t="s">
        <v>2160</v>
      </c>
      <c r="L487" s="2" t="s">
        <v>2145</v>
      </c>
      <c r="M487" s="3">
        <v>40219</v>
      </c>
      <c r="N487" s="2" t="s">
        <v>2161</v>
      </c>
      <c r="O487" s="2" t="s">
        <v>82</v>
      </c>
      <c r="P487" s="2" t="s">
        <v>82</v>
      </c>
      <c r="Q487" s="2" t="str">
        <f>"080-E/10"</f>
        <v>080-E/10</v>
      </c>
      <c r="R487" s="2" t="s">
        <v>82</v>
      </c>
      <c r="S487" s="2" t="s">
        <v>2162</v>
      </c>
      <c r="T487" s="2">
        <v>1</v>
      </c>
      <c r="U487" s="2" t="s">
        <v>79</v>
      </c>
      <c r="V487" s="2">
        <v>1</v>
      </c>
      <c r="W487" s="2" t="s">
        <v>80</v>
      </c>
      <c r="X487" s="2">
        <v>1</v>
      </c>
      <c r="Y487" s="2" t="s">
        <v>81</v>
      </c>
      <c r="Z487" s="2">
        <v>10</v>
      </c>
      <c r="AA487" s="2" t="s">
        <v>236</v>
      </c>
      <c r="AB487" s="2">
        <v>9</v>
      </c>
      <c r="AC487" s="2" t="s">
        <v>124</v>
      </c>
      <c r="AD487" s="3">
        <v>40219</v>
      </c>
      <c r="AE487" s="4">
        <v>0.72222222222222221</v>
      </c>
      <c r="AF487" s="2"/>
      <c r="AG487" s="2"/>
      <c r="AH487" s="2">
        <v>2</v>
      </c>
      <c r="AI487" s="2" t="s">
        <v>84</v>
      </c>
      <c r="AJ487" s="2">
        <v>9</v>
      </c>
      <c r="AK487" s="2" t="s">
        <v>103</v>
      </c>
      <c r="AL487" s="2">
        <v>14</v>
      </c>
      <c r="AM487" s="2" t="s">
        <v>216</v>
      </c>
      <c r="AN487" s="2" t="s">
        <v>82</v>
      </c>
      <c r="AO487" s="2" t="s">
        <v>2163</v>
      </c>
      <c r="AP487" s="2">
        <v>11</v>
      </c>
      <c r="AQ487" s="2" t="s">
        <v>82</v>
      </c>
      <c r="AR487" s="2"/>
      <c r="AS487" s="2"/>
      <c r="AT487" s="2" t="s">
        <v>2164</v>
      </c>
      <c r="AU487" s="2"/>
      <c r="AV487" s="2"/>
      <c r="AW487" s="2"/>
      <c r="AX487" s="2"/>
      <c r="AY487" s="2">
        <v>42</v>
      </c>
      <c r="AZ487" s="2" t="s">
        <v>182</v>
      </c>
      <c r="BA487" s="2">
        <v>41</v>
      </c>
      <c r="BB487" s="2" t="s">
        <v>82</v>
      </c>
      <c r="BC487" s="2">
        <v>70</v>
      </c>
      <c r="BD487" s="2" t="s">
        <v>236</v>
      </c>
      <c r="BE487" s="2">
        <v>33</v>
      </c>
      <c r="BF487" s="2" t="s">
        <v>1083</v>
      </c>
      <c r="BG487" s="2" t="s">
        <v>2165</v>
      </c>
      <c r="BH487" s="2"/>
      <c r="BI487" s="2"/>
      <c r="BJ487" s="2">
        <v>13</v>
      </c>
      <c r="BK487" s="2" t="s">
        <v>91</v>
      </c>
      <c r="BL487" s="2"/>
      <c r="BM487" s="2">
        <v>241</v>
      </c>
      <c r="BN487" s="2" t="s">
        <v>82</v>
      </c>
      <c r="BO487" s="2"/>
      <c r="BP487" s="2">
        <v>205</v>
      </c>
      <c r="BQ487" s="2" t="s">
        <v>1085</v>
      </c>
      <c r="BR487" s="2"/>
      <c r="BS487" s="3">
        <v>40219</v>
      </c>
      <c r="BT487" s="4">
        <v>0.9671412037037036</v>
      </c>
    </row>
    <row r="488" spans="1:72" x14ac:dyDescent="0.25">
      <c r="A488" s="2">
        <v>779</v>
      </c>
      <c r="B488" s="2">
        <v>2010</v>
      </c>
      <c r="C488" s="2" t="s">
        <v>594</v>
      </c>
      <c r="D488" s="2" t="s">
        <v>122</v>
      </c>
      <c r="E488" s="2"/>
      <c r="F488" s="2">
        <v>1</v>
      </c>
      <c r="G488" s="2" t="s">
        <v>82</v>
      </c>
      <c r="H488" s="2">
        <v>1</v>
      </c>
      <c r="I488" s="2" t="s">
        <v>82</v>
      </c>
      <c r="J488" s="2">
        <v>1</v>
      </c>
      <c r="K488" s="2" t="s">
        <v>107</v>
      </c>
      <c r="L488" s="2" t="s">
        <v>107</v>
      </c>
      <c r="M488" s="3">
        <v>40220</v>
      </c>
      <c r="N488" s="2"/>
      <c r="O488" s="2"/>
      <c r="P488" s="2"/>
      <c r="Q488" s="2" t="str">
        <f>""</f>
        <v/>
      </c>
      <c r="R488" s="2"/>
      <c r="S488" s="2"/>
      <c r="T488" s="2">
        <v>1</v>
      </c>
      <c r="U488" s="2" t="s">
        <v>79</v>
      </c>
      <c r="V488" s="2">
        <v>1</v>
      </c>
      <c r="W488" s="2" t="s">
        <v>80</v>
      </c>
      <c r="X488" s="2">
        <v>1</v>
      </c>
      <c r="Y488" s="2" t="s">
        <v>81</v>
      </c>
      <c r="Z488" s="2">
        <v>1</v>
      </c>
      <c r="AA488" s="2" t="s">
        <v>82</v>
      </c>
      <c r="AB488" s="2">
        <v>9</v>
      </c>
      <c r="AC488" s="2" t="s">
        <v>124</v>
      </c>
      <c r="AD488" s="3">
        <v>40220</v>
      </c>
      <c r="AE488" s="4">
        <v>0.3034722222222222</v>
      </c>
      <c r="AF488" s="2"/>
      <c r="AG488" s="2"/>
      <c r="AH488" s="2">
        <v>6</v>
      </c>
      <c r="AI488" s="2" t="s">
        <v>197</v>
      </c>
      <c r="AJ488" s="2">
        <v>54</v>
      </c>
      <c r="AK488" s="2" t="s">
        <v>348</v>
      </c>
      <c r="AL488" s="2">
        <v>18</v>
      </c>
      <c r="AM488" s="2" t="s">
        <v>82</v>
      </c>
      <c r="AN488" s="2" t="s">
        <v>595</v>
      </c>
      <c r="AO488" s="2" t="s">
        <v>200</v>
      </c>
      <c r="AP488" s="2">
        <v>12</v>
      </c>
      <c r="AQ488" s="2" t="s">
        <v>322</v>
      </c>
      <c r="AR488" s="2" t="s">
        <v>596</v>
      </c>
      <c r="AS488" s="2" t="s">
        <v>596</v>
      </c>
      <c r="AT488" s="2" t="s">
        <v>2166</v>
      </c>
      <c r="AU488" s="2"/>
      <c r="AV488" s="2"/>
      <c r="AW488" s="2"/>
      <c r="AX488" s="2"/>
      <c r="AY488" s="2">
        <v>1</v>
      </c>
      <c r="AZ488" s="2" t="s">
        <v>107</v>
      </c>
      <c r="BA488" s="2">
        <v>1</v>
      </c>
      <c r="BB488" s="2" t="s">
        <v>107</v>
      </c>
      <c r="BC488" s="2">
        <v>1</v>
      </c>
      <c r="BD488" s="2" t="s">
        <v>107</v>
      </c>
      <c r="BE488" s="2">
        <v>13</v>
      </c>
      <c r="BF488" s="2" t="s">
        <v>108</v>
      </c>
      <c r="BG488" s="2" t="s">
        <v>846</v>
      </c>
      <c r="BH488" s="2"/>
      <c r="BI488" s="4">
        <v>0.3034722222222222</v>
      </c>
      <c r="BJ488" s="2">
        <v>13</v>
      </c>
      <c r="BK488" s="2" t="s">
        <v>91</v>
      </c>
      <c r="BL488" s="2" t="s">
        <v>2167</v>
      </c>
      <c r="BM488" s="2">
        <v>242</v>
      </c>
      <c r="BN488" s="2" t="s">
        <v>107</v>
      </c>
      <c r="BO488" s="2"/>
      <c r="BP488" s="2">
        <v>13</v>
      </c>
      <c r="BQ488" s="2" t="s">
        <v>91</v>
      </c>
      <c r="BR488" s="2" t="s">
        <v>2168</v>
      </c>
      <c r="BS488" s="3">
        <v>40220</v>
      </c>
      <c r="BT488" s="4">
        <v>0.33576388888888892</v>
      </c>
    </row>
    <row r="489" spans="1:72" x14ac:dyDescent="0.25">
      <c r="A489" s="2">
        <v>781</v>
      </c>
      <c r="B489" s="2">
        <v>2010</v>
      </c>
      <c r="C489" s="2" t="s">
        <v>147</v>
      </c>
      <c r="D489" s="2" t="s">
        <v>73</v>
      </c>
      <c r="E489" s="2"/>
      <c r="F489" s="2">
        <v>1</v>
      </c>
      <c r="G489" s="2" t="s">
        <v>82</v>
      </c>
      <c r="H489" s="2">
        <v>1</v>
      </c>
      <c r="I489" s="2" t="s">
        <v>82</v>
      </c>
      <c r="J489" s="2">
        <v>1</v>
      </c>
      <c r="K489" s="2" t="s">
        <v>107</v>
      </c>
      <c r="L489" s="2" t="s">
        <v>107</v>
      </c>
      <c r="M489" s="3">
        <v>40220</v>
      </c>
      <c r="N489" s="2" t="s">
        <v>82</v>
      </c>
      <c r="O489" s="2" t="s">
        <v>82</v>
      </c>
      <c r="P489" s="2" t="s">
        <v>82</v>
      </c>
      <c r="Q489" s="2" t="str">
        <f>"N/C"</f>
        <v>N/C</v>
      </c>
      <c r="R489" s="2" t="s">
        <v>82</v>
      </c>
      <c r="S489" s="2" t="s">
        <v>82</v>
      </c>
      <c r="T489" s="2">
        <v>2</v>
      </c>
      <c r="U489" s="2" t="s">
        <v>123</v>
      </c>
      <c r="V489" s="2">
        <v>1</v>
      </c>
      <c r="W489" s="2" t="s">
        <v>80</v>
      </c>
      <c r="X489" s="2">
        <v>12</v>
      </c>
      <c r="Y489" s="2" t="s">
        <v>148</v>
      </c>
      <c r="Z489" s="2">
        <v>1</v>
      </c>
      <c r="AA489" s="2" t="s">
        <v>82</v>
      </c>
      <c r="AB489" s="2">
        <v>9</v>
      </c>
      <c r="AC489" s="2" t="s">
        <v>124</v>
      </c>
      <c r="AD489" s="2"/>
      <c r="AE489" s="2"/>
      <c r="AF489" s="3">
        <v>40220</v>
      </c>
      <c r="AG489" s="4">
        <v>0.34861111111111115</v>
      </c>
      <c r="AH489" s="2">
        <v>2</v>
      </c>
      <c r="AI489" s="2" t="s">
        <v>84</v>
      </c>
      <c r="AJ489" s="2">
        <v>12</v>
      </c>
      <c r="AK489" s="2" t="s">
        <v>85</v>
      </c>
      <c r="AL489" s="2">
        <v>19</v>
      </c>
      <c r="AM489" s="2" t="s">
        <v>107</v>
      </c>
      <c r="AN489" s="2" t="s">
        <v>107</v>
      </c>
      <c r="AO489" s="2" t="s">
        <v>107</v>
      </c>
      <c r="AP489" s="2">
        <v>11</v>
      </c>
      <c r="AQ489" s="2" t="s">
        <v>82</v>
      </c>
      <c r="AR489" s="2" t="s">
        <v>82</v>
      </c>
      <c r="AS489" s="2" t="s">
        <v>82</v>
      </c>
      <c r="AT489" s="2" t="s">
        <v>2169</v>
      </c>
      <c r="AU489" s="2"/>
      <c r="AV489" s="2"/>
      <c r="AW489" s="2"/>
      <c r="AX489" s="2"/>
      <c r="AY489" s="2">
        <v>41</v>
      </c>
      <c r="AZ489" s="2" t="s">
        <v>82</v>
      </c>
      <c r="BA489" s="2">
        <v>41</v>
      </c>
      <c r="BB489" s="2" t="s">
        <v>82</v>
      </c>
      <c r="BC489" s="2">
        <v>41</v>
      </c>
      <c r="BD489" s="2" t="s">
        <v>82</v>
      </c>
      <c r="BE489" s="2">
        <v>41</v>
      </c>
      <c r="BF489" s="2" t="s">
        <v>82</v>
      </c>
      <c r="BG489" s="2" t="s">
        <v>82</v>
      </c>
      <c r="BH489" s="2"/>
      <c r="BI489" s="2"/>
      <c r="BJ489" s="2">
        <v>241</v>
      </c>
      <c r="BK489" s="2" t="s">
        <v>82</v>
      </c>
      <c r="BL489" s="2" t="s">
        <v>82</v>
      </c>
      <c r="BM489" s="2">
        <v>241</v>
      </c>
      <c r="BN489" s="2" t="s">
        <v>82</v>
      </c>
      <c r="BO489" s="2" t="s">
        <v>82</v>
      </c>
      <c r="BP489" s="2">
        <v>241</v>
      </c>
      <c r="BQ489" s="2" t="s">
        <v>82</v>
      </c>
      <c r="BR489" s="2" t="s">
        <v>82</v>
      </c>
      <c r="BS489" s="3">
        <v>40220</v>
      </c>
      <c r="BT489" s="4">
        <v>0.37563657407407408</v>
      </c>
    </row>
    <row r="490" spans="1:72" x14ac:dyDescent="0.25">
      <c r="A490" s="2">
        <v>783</v>
      </c>
      <c r="B490" s="2">
        <v>2010</v>
      </c>
      <c r="C490" s="2" t="s">
        <v>1559</v>
      </c>
      <c r="D490" s="2" t="s">
        <v>73</v>
      </c>
      <c r="E490" s="2"/>
      <c r="F490" s="2">
        <v>135</v>
      </c>
      <c r="G490" s="2" t="s">
        <v>2170</v>
      </c>
      <c r="H490" s="2">
        <v>1</v>
      </c>
      <c r="I490" s="2" t="s">
        <v>82</v>
      </c>
      <c r="J490" s="2">
        <v>152</v>
      </c>
      <c r="K490" s="2" t="s">
        <v>2171</v>
      </c>
      <c r="L490" s="2" t="s">
        <v>946</v>
      </c>
      <c r="M490" s="3">
        <v>40220</v>
      </c>
      <c r="N490" s="2" t="s">
        <v>2172</v>
      </c>
      <c r="O490" s="2" t="s">
        <v>2173</v>
      </c>
      <c r="P490" s="2" t="s">
        <v>2174</v>
      </c>
      <c r="Q490" s="2" t="str">
        <f>""</f>
        <v/>
      </c>
      <c r="R490" s="2"/>
      <c r="S490" s="2"/>
      <c r="T490" s="2">
        <v>1</v>
      </c>
      <c r="U490" s="2" t="s">
        <v>79</v>
      </c>
      <c r="V490" s="2">
        <v>3</v>
      </c>
      <c r="W490" s="2" t="s">
        <v>225</v>
      </c>
      <c r="X490" s="2">
        <v>2</v>
      </c>
      <c r="Y490" s="2" t="s">
        <v>136</v>
      </c>
      <c r="Z490" s="2">
        <v>1</v>
      </c>
      <c r="AA490" s="2" t="s">
        <v>82</v>
      </c>
      <c r="AB490" s="2">
        <v>9</v>
      </c>
      <c r="AC490" s="2" t="s">
        <v>124</v>
      </c>
      <c r="AD490" s="2"/>
      <c r="AE490" s="2"/>
      <c r="AF490" s="2"/>
      <c r="AG490" s="2"/>
      <c r="AH490" s="2">
        <v>6</v>
      </c>
      <c r="AI490" s="2" t="s">
        <v>197</v>
      </c>
      <c r="AJ490" s="2">
        <v>47</v>
      </c>
      <c r="AK490" s="2" t="s">
        <v>250</v>
      </c>
      <c r="AL490" s="2">
        <v>23</v>
      </c>
      <c r="AM490" s="2" t="s">
        <v>251</v>
      </c>
      <c r="AN490" s="2"/>
      <c r="AO490" s="2" t="s">
        <v>2175</v>
      </c>
      <c r="AP490" s="2">
        <v>11</v>
      </c>
      <c r="AQ490" s="2" t="s">
        <v>82</v>
      </c>
      <c r="AR490" s="2"/>
      <c r="AS490" s="2"/>
      <c r="AT490" s="2" t="s">
        <v>2176</v>
      </c>
      <c r="AU490" s="2"/>
      <c r="AV490" s="2"/>
      <c r="AW490" s="2"/>
      <c r="AX490" s="2"/>
      <c r="AY490" s="2">
        <v>41</v>
      </c>
      <c r="AZ490" s="2" t="s">
        <v>82</v>
      </c>
      <c r="BA490" s="2">
        <v>41</v>
      </c>
      <c r="BB490" s="2" t="s">
        <v>82</v>
      </c>
      <c r="BC490" s="2">
        <v>41</v>
      </c>
      <c r="BD490" s="2" t="s">
        <v>82</v>
      </c>
      <c r="BE490" s="2">
        <v>41</v>
      </c>
      <c r="BF490" s="2" t="s">
        <v>82</v>
      </c>
      <c r="BG490" s="2"/>
      <c r="BH490" s="2"/>
      <c r="BI490" s="2"/>
      <c r="BJ490" s="2">
        <v>241</v>
      </c>
      <c r="BK490" s="2" t="s">
        <v>82</v>
      </c>
      <c r="BL490" s="2"/>
      <c r="BM490" s="2">
        <v>241</v>
      </c>
      <c r="BN490" s="2" t="s">
        <v>82</v>
      </c>
      <c r="BO490" s="2"/>
      <c r="BP490" s="2">
        <v>241</v>
      </c>
      <c r="BQ490" s="2" t="s">
        <v>82</v>
      </c>
      <c r="BR490" s="2"/>
      <c r="BS490" s="3">
        <v>40220</v>
      </c>
      <c r="BT490" s="4">
        <v>0.44629629629629625</v>
      </c>
    </row>
    <row r="491" spans="1:72" x14ac:dyDescent="0.25">
      <c r="A491" s="2">
        <v>785</v>
      </c>
      <c r="B491" s="2">
        <v>2010</v>
      </c>
      <c r="C491" s="2" t="s">
        <v>385</v>
      </c>
      <c r="D491" s="2" t="s">
        <v>122</v>
      </c>
      <c r="E491" s="2"/>
      <c r="F491" s="2">
        <v>499</v>
      </c>
      <c r="G491" s="2" t="s">
        <v>2177</v>
      </c>
      <c r="H491" s="2">
        <v>9</v>
      </c>
      <c r="I491" s="2" t="s">
        <v>794</v>
      </c>
      <c r="J491" s="2">
        <v>33</v>
      </c>
      <c r="K491" s="2" t="s">
        <v>2178</v>
      </c>
      <c r="L491" s="2" t="s">
        <v>1877</v>
      </c>
      <c r="M491" s="3">
        <v>40220</v>
      </c>
      <c r="N491" s="2" t="s">
        <v>2179</v>
      </c>
      <c r="O491" s="2" t="s">
        <v>2180</v>
      </c>
      <c r="P491" s="2">
        <v>5559</v>
      </c>
      <c r="Q491" s="2" t="str">
        <f>""</f>
        <v/>
      </c>
      <c r="R491" s="2"/>
      <c r="S491" s="2"/>
      <c r="T491" s="2">
        <v>1</v>
      </c>
      <c r="U491" s="2" t="s">
        <v>79</v>
      </c>
      <c r="V491" s="2">
        <v>1</v>
      </c>
      <c r="W491" s="2" t="s">
        <v>80</v>
      </c>
      <c r="X491" s="2">
        <v>5</v>
      </c>
      <c r="Y491" s="2" t="s">
        <v>82</v>
      </c>
      <c r="Z491" s="2">
        <v>1</v>
      </c>
      <c r="AA491" s="2" t="s">
        <v>82</v>
      </c>
      <c r="AB491" s="2">
        <v>9</v>
      </c>
      <c r="AC491" s="2" t="s">
        <v>124</v>
      </c>
      <c r="AD491" s="3">
        <v>40220</v>
      </c>
      <c r="AE491" s="4">
        <v>0.4375</v>
      </c>
      <c r="AF491" s="2"/>
      <c r="AG491" s="2"/>
      <c r="AH491" s="2">
        <v>2</v>
      </c>
      <c r="AI491" s="2" t="s">
        <v>84</v>
      </c>
      <c r="AJ491" s="2">
        <v>8</v>
      </c>
      <c r="AK491" s="2" t="s">
        <v>436</v>
      </c>
      <c r="AL491" s="2">
        <v>18</v>
      </c>
      <c r="AM491" s="2" t="s">
        <v>82</v>
      </c>
      <c r="AN491" s="2"/>
      <c r="AO491" s="2"/>
      <c r="AP491" s="2">
        <v>11</v>
      </c>
      <c r="AQ491" s="2" t="s">
        <v>82</v>
      </c>
      <c r="AR491" s="2"/>
      <c r="AS491" s="2"/>
      <c r="AT491" s="2" t="s">
        <v>2181</v>
      </c>
      <c r="AU491" s="2">
        <v>1</v>
      </c>
      <c r="AV491" s="2"/>
      <c r="AW491" s="2"/>
      <c r="AX491" s="2"/>
      <c r="AY491" s="2">
        <v>41</v>
      </c>
      <c r="AZ491" s="2" t="s">
        <v>82</v>
      </c>
      <c r="BA491" s="2">
        <v>41</v>
      </c>
      <c r="BB491" s="2" t="s">
        <v>82</v>
      </c>
      <c r="BC491" s="2">
        <v>41</v>
      </c>
      <c r="BD491" s="2" t="s">
        <v>82</v>
      </c>
      <c r="BE491" s="2">
        <v>41</v>
      </c>
      <c r="BF491" s="2" t="s">
        <v>82</v>
      </c>
      <c r="BG491" s="2"/>
      <c r="BH491" s="2"/>
      <c r="BI491" s="2"/>
      <c r="BJ491" s="2">
        <v>241</v>
      </c>
      <c r="BK491" s="2" t="s">
        <v>82</v>
      </c>
      <c r="BL491" s="2"/>
      <c r="BM491" s="2">
        <v>241</v>
      </c>
      <c r="BN491" s="2" t="s">
        <v>82</v>
      </c>
      <c r="BO491" s="2"/>
      <c r="BP491" s="2">
        <v>241</v>
      </c>
      <c r="BQ491" s="2" t="s">
        <v>82</v>
      </c>
      <c r="BR491" s="2"/>
      <c r="BS491" s="3">
        <v>40220</v>
      </c>
      <c r="BT491" s="4">
        <v>0.47194444444444444</v>
      </c>
    </row>
    <row r="492" spans="1:72" x14ac:dyDescent="0.25">
      <c r="A492" s="2">
        <v>786</v>
      </c>
      <c r="B492" s="2">
        <v>2010</v>
      </c>
      <c r="C492" s="2" t="s">
        <v>1559</v>
      </c>
      <c r="D492" s="2" t="s">
        <v>73</v>
      </c>
      <c r="E492" s="2"/>
      <c r="F492" s="2">
        <v>125</v>
      </c>
      <c r="G492" s="2" t="s">
        <v>1483</v>
      </c>
      <c r="H492" s="2">
        <v>47</v>
      </c>
      <c r="I492" s="2" t="s">
        <v>1409</v>
      </c>
      <c r="J492" s="2">
        <v>390</v>
      </c>
      <c r="K492" s="2" t="s">
        <v>1560</v>
      </c>
      <c r="L492" s="2" t="s">
        <v>1561</v>
      </c>
      <c r="M492" s="3">
        <v>40220</v>
      </c>
      <c r="N492" s="2" t="s">
        <v>2182</v>
      </c>
      <c r="O492" s="2" t="s">
        <v>2183</v>
      </c>
      <c r="P492" s="2" t="s">
        <v>2174</v>
      </c>
      <c r="Q492" s="2" t="str">
        <f>""</f>
        <v/>
      </c>
      <c r="R492" s="2"/>
      <c r="S492" s="2"/>
      <c r="T492" s="2">
        <v>1</v>
      </c>
      <c r="U492" s="2" t="s">
        <v>79</v>
      </c>
      <c r="V492" s="2">
        <v>3</v>
      </c>
      <c r="W492" s="2" t="s">
        <v>225</v>
      </c>
      <c r="X492" s="2">
        <v>2</v>
      </c>
      <c r="Y492" s="2" t="s">
        <v>136</v>
      </c>
      <c r="Z492" s="2">
        <v>1</v>
      </c>
      <c r="AA492" s="2" t="s">
        <v>82</v>
      </c>
      <c r="AB492" s="2">
        <v>9</v>
      </c>
      <c r="AC492" s="2" t="s">
        <v>124</v>
      </c>
      <c r="AD492" s="2"/>
      <c r="AE492" s="2"/>
      <c r="AF492" s="2"/>
      <c r="AG492" s="2"/>
      <c r="AH492" s="2">
        <v>6</v>
      </c>
      <c r="AI492" s="2" t="s">
        <v>197</v>
      </c>
      <c r="AJ492" s="2">
        <v>47</v>
      </c>
      <c r="AK492" s="2" t="s">
        <v>250</v>
      </c>
      <c r="AL492" s="2">
        <v>23</v>
      </c>
      <c r="AM492" s="2" t="s">
        <v>251</v>
      </c>
      <c r="AN492" s="2"/>
      <c r="AO492" s="2" t="s">
        <v>2184</v>
      </c>
      <c r="AP492" s="2">
        <v>11</v>
      </c>
      <c r="AQ492" s="2" t="s">
        <v>82</v>
      </c>
      <c r="AR492" s="2"/>
      <c r="AS492" s="2"/>
      <c r="AT492" s="2" t="s">
        <v>2185</v>
      </c>
      <c r="AU492" s="2"/>
      <c r="AV492" s="2"/>
      <c r="AW492" s="2"/>
      <c r="AX492" s="2"/>
      <c r="AY492" s="2">
        <v>41</v>
      </c>
      <c r="AZ492" s="2" t="s">
        <v>82</v>
      </c>
      <c r="BA492" s="2">
        <v>41</v>
      </c>
      <c r="BB492" s="2" t="s">
        <v>82</v>
      </c>
      <c r="BC492" s="2">
        <v>41</v>
      </c>
      <c r="BD492" s="2" t="s">
        <v>82</v>
      </c>
      <c r="BE492" s="2">
        <v>41</v>
      </c>
      <c r="BF492" s="2" t="s">
        <v>82</v>
      </c>
      <c r="BG492" s="2"/>
      <c r="BH492" s="2"/>
      <c r="BI492" s="2"/>
      <c r="BJ492" s="2">
        <v>241</v>
      </c>
      <c r="BK492" s="2" t="s">
        <v>82</v>
      </c>
      <c r="BL492" s="2"/>
      <c r="BM492" s="2">
        <v>241</v>
      </c>
      <c r="BN492" s="2" t="s">
        <v>82</v>
      </c>
      <c r="BO492" s="2"/>
      <c r="BP492" s="2">
        <v>241</v>
      </c>
      <c r="BQ492" s="2" t="s">
        <v>82</v>
      </c>
      <c r="BR492" s="2"/>
      <c r="BS492" s="3">
        <v>40220</v>
      </c>
      <c r="BT492" s="4">
        <v>0.5085763888888889</v>
      </c>
    </row>
    <row r="493" spans="1:72" x14ac:dyDescent="0.25">
      <c r="A493" s="2">
        <v>790</v>
      </c>
      <c r="B493" s="2">
        <v>2010</v>
      </c>
      <c r="C493" s="2" t="s">
        <v>659</v>
      </c>
      <c r="D493" s="2" t="s">
        <v>73</v>
      </c>
      <c r="E493" s="2"/>
      <c r="F493" s="2">
        <v>501</v>
      </c>
      <c r="G493" s="2" t="s">
        <v>2186</v>
      </c>
      <c r="H493" s="2">
        <v>5</v>
      </c>
      <c r="I493" s="2" t="s">
        <v>634</v>
      </c>
      <c r="J493" s="2">
        <v>417</v>
      </c>
      <c r="K493" s="2" t="s">
        <v>2187</v>
      </c>
      <c r="L493" s="2" t="s">
        <v>2188</v>
      </c>
      <c r="M493" s="3">
        <v>40220</v>
      </c>
      <c r="N493" s="2" t="s">
        <v>2189</v>
      </c>
      <c r="O493" s="2" t="s">
        <v>2190</v>
      </c>
      <c r="P493" s="2"/>
      <c r="Q493" s="2" t="str">
        <f>"0008/10"</f>
        <v>0008/10</v>
      </c>
      <c r="R493" s="2" t="s">
        <v>82</v>
      </c>
      <c r="S493" s="2" t="s">
        <v>82</v>
      </c>
      <c r="T493" s="2">
        <v>1</v>
      </c>
      <c r="U493" s="2" t="s">
        <v>79</v>
      </c>
      <c r="V493" s="2">
        <v>1</v>
      </c>
      <c r="W493" s="2" t="s">
        <v>80</v>
      </c>
      <c r="X493" s="2">
        <v>5</v>
      </c>
      <c r="Y493" s="2" t="s">
        <v>82</v>
      </c>
      <c r="Z493" s="2">
        <v>1</v>
      </c>
      <c r="AA493" s="2" t="s">
        <v>82</v>
      </c>
      <c r="AB493" s="2">
        <v>9</v>
      </c>
      <c r="AC493" s="2" t="s">
        <v>124</v>
      </c>
      <c r="AD493" s="3">
        <v>40219</v>
      </c>
      <c r="AE493" s="4">
        <v>0.85069444444444453</v>
      </c>
      <c r="AF493" s="2"/>
      <c r="AG493" s="2"/>
      <c r="AH493" s="2">
        <v>5</v>
      </c>
      <c r="AI493" s="2" t="s">
        <v>274</v>
      </c>
      <c r="AJ493" s="2">
        <v>42</v>
      </c>
      <c r="AK493" s="2" t="s">
        <v>660</v>
      </c>
      <c r="AL493" s="2">
        <v>18</v>
      </c>
      <c r="AM493" s="2" t="s">
        <v>82</v>
      </c>
      <c r="AN493" s="2" t="s">
        <v>2191</v>
      </c>
      <c r="AO493" s="2" t="s">
        <v>2192</v>
      </c>
      <c r="AP493" s="2">
        <v>11</v>
      </c>
      <c r="AQ493" s="2" t="s">
        <v>82</v>
      </c>
      <c r="AR493" s="2" t="s">
        <v>82</v>
      </c>
      <c r="AS493" s="2" t="s">
        <v>82</v>
      </c>
      <c r="AT493" s="2" t="s">
        <v>2193</v>
      </c>
      <c r="AU493" s="2"/>
      <c r="AV493" s="2"/>
      <c r="AW493" s="2"/>
      <c r="AX493" s="2"/>
      <c r="AY493" s="2">
        <v>41</v>
      </c>
      <c r="AZ493" s="2" t="s">
        <v>82</v>
      </c>
      <c r="BA493" s="2">
        <v>41</v>
      </c>
      <c r="BB493" s="2" t="s">
        <v>82</v>
      </c>
      <c r="BC493" s="2">
        <v>41</v>
      </c>
      <c r="BD493" s="2" t="s">
        <v>82</v>
      </c>
      <c r="BE493" s="2">
        <v>41</v>
      </c>
      <c r="BF493" s="2" t="s">
        <v>82</v>
      </c>
      <c r="BG493" s="2" t="s">
        <v>82</v>
      </c>
      <c r="BH493" s="2"/>
      <c r="BI493" s="2"/>
      <c r="BJ493" s="2">
        <v>241</v>
      </c>
      <c r="BK493" s="2" t="s">
        <v>82</v>
      </c>
      <c r="BL493" s="2" t="s">
        <v>82</v>
      </c>
      <c r="BM493" s="2">
        <v>241</v>
      </c>
      <c r="BN493" s="2" t="s">
        <v>82</v>
      </c>
      <c r="BO493" s="2" t="s">
        <v>82</v>
      </c>
      <c r="BP493" s="2">
        <v>241</v>
      </c>
      <c r="BQ493" s="2" t="s">
        <v>82</v>
      </c>
      <c r="BR493" s="2" t="s">
        <v>82</v>
      </c>
      <c r="BS493" s="3">
        <v>40220</v>
      </c>
      <c r="BT493" s="4">
        <v>0.60984953703703704</v>
      </c>
    </row>
    <row r="494" spans="1:72" x14ac:dyDescent="0.25">
      <c r="A494" s="2">
        <v>791</v>
      </c>
      <c r="B494" s="2">
        <v>2010</v>
      </c>
      <c r="C494" s="2" t="s">
        <v>72</v>
      </c>
      <c r="D494" s="2" t="s">
        <v>73</v>
      </c>
      <c r="E494" s="2"/>
      <c r="F494" s="2">
        <v>3</v>
      </c>
      <c r="G494" s="2" t="s">
        <v>1041</v>
      </c>
      <c r="H494" s="2">
        <v>42</v>
      </c>
      <c r="I494" s="2" t="s">
        <v>1096</v>
      </c>
      <c r="J494" s="2">
        <v>368</v>
      </c>
      <c r="K494" s="2" t="s">
        <v>1042</v>
      </c>
      <c r="L494" s="2" t="s">
        <v>1043</v>
      </c>
      <c r="M494" s="3">
        <v>40220</v>
      </c>
      <c r="N494" s="2"/>
      <c r="O494" s="2"/>
      <c r="P494" s="2"/>
      <c r="Q494" s="2" t="str">
        <f>"081-E/10"</f>
        <v>081-E/10</v>
      </c>
      <c r="R494" s="2" t="s">
        <v>116</v>
      </c>
      <c r="S494" s="2" t="s">
        <v>116</v>
      </c>
      <c r="T494" s="2">
        <v>1</v>
      </c>
      <c r="U494" s="2" t="s">
        <v>79</v>
      </c>
      <c r="V494" s="2">
        <v>1</v>
      </c>
      <c r="W494" s="2" t="s">
        <v>80</v>
      </c>
      <c r="X494" s="2">
        <v>1</v>
      </c>
      <c r="Y494" s="2" t="s">
        <v>81</v>
      </c>
      <c r="Z494" s="2">
        <v>1</v>
      </c>
      <c r="AA494" s="2" t="s">
        <v>82</v>
      </c>
      <c r="AB494" s="2">
        <v>6</v>
      </c>
      <c r="AC494" s="2" t="s">
        <v>83</v>
      </c>
      <c r="AD494" s="3">
        <v>40220</v>
      </c>
      <c r="AE494" s="4">
        <v>0.41666666666666669</v>
      </c>
      <c r="AF494" s="3">
        <v>40220</v>
      </c>
      <c r="AG494" s="4">
        <v>0.44097222222222227</v>
      </c>
      <c r="AH494" s="2">
        <v>2</v>
      </c>
      <c r="AI494" s="2" t="s">
        <v>84</v>
      </c>
      <c r="AJ494" s="2">
        <v>9</v>
      </c>
      <c r="AK494" s="2" t="s">
        <v>103</v>
      </c>
      <c r="AL494" s="2">
        <v>12</v>
      </c>
      <c r="AM494" s="2" t="s">
        <v>86</v>
      </c>
      <c r="AN494" s="2" t="s">
        <v>2194</v>
      </c>
      <c r="AO494" s="2" t="s">
        <v>2195</v>
      </c>
      <c r="AP494" s="2">
        <v>11</v>
      </c>
      <c r="AQ494" s="2" t="s">
        <v>82</v>
      </c>
      <c r="AR494" s="2"/>
      <c r="AS494" s="2"/>
      <c r="AT494" s="2" t="s">
        <v>2196</v>
      </c>
      <c r="AU494" s="2"/>
      <c r="AV494" s="2"/>
      <c r="AW494" s="2"/>
      <c r="AX494" s="2"/>
      <c r="AY494" s="2">
        <v>41</v>
      </c>
      <c r="AZ494" s="2" t="s">
        <v>82</v>
      </c>
      <c r="BA494" s="2">
        <v>41</v>
      </c>
      <c r="BB494" s="2" t="s">
        <v>82</v>
      </c>
      <c r="BC494" s="2">
        <v>41</v>
      </c>
      <c r="BD494" s="2" t="s">
        <v>82</v>
      </c>
      <c r="BE494" s="2">
        <v>27</v>
      </c>
      <c r="BF494" s="2" t="s">
        <v>2197</v>
      </c>
      <c r="BG494" s="2" t="s">
        <v>2198</v>
      </c>
      <c r="BH494" s="4">
        <v>0</v>
      </c>
      <c r="BI494" s="4">
        <v>0.64236111111111105</v>
      </c>
      <c r="BJ494" s="2">
        <v>13</v>
      </c>
      <c r="BK494" s="2" t="s">
        <v>91</v>
      </c>
      <c r="BL494" s="2" t="s">
        <v>723</v>
      </c>
      <c r="BM494" s="2">
        <v>112</v>
      </c>
      <c r="BN494" s="2" t="s">
        <v>110</v>
      </c>
      <c r="BO494" s="2" t="s">
        <v>111</v>
      </c>
      <c r="BP494" s="2">
        <v>4</v>
      </c>
      <c r="BQ494" s="2" t="s">
        <v>618</v>
      </c>
      <c r="BR494" s="2" t="s">
        <v>619</v>
      </c>
      <c r="BS494" s="3">
        <v>40220</v>
      </c>
      <c r="BT494" s="4">
        <v>0.62190972222222218</v>
      </c>
    </row>
    <row r="495" spans="1:72" x14ac:dyDescent="0.25">
      <c r="A495" s="2">
        <v>793</v>
      </c>
      <c r="B495" s="2">
        <v>2010</v>
      </c>
      <c r="C495" s="2" t="s">
        <v>409</v>
      </c>
      <c r="D495" s="2" t="s">
        <v>122</v>
      </c>
      <c r="E495" s="2"/>
      <c r="F495" s="2">
        <v>309</v>
      </c>
      <c r="G495" s="2" t="s">
        <v>2199</v>
      </c>
      <c r="H495" s="2">
        <v>22</v>
      </c>
      <c r="I495" s="2" t="s">
        <v>75</v>
      </c>
      <c r="J495" s="2">
        <v>415</v>
      </c>
      <c r="K495" s="2" t="s">
        <v>2200</v>
      </c>
      <c r="L495" s="2" t="s">
        <v>575</v>
      </c>
      <c r="M495" s="3">
        <v>40220</v>
      </c>
      <c r="N495" s="2" t="s">
        <v>2201</v>
      </c>
      <c r="O495" s="2" t="s">
        <v>2202</v>
      </c>
      <c r="P495" s="2"/>
      <c r="Q495" s="2" t="str">
        <f>"001/10"</f>
        <v>001/10</v>
      </c>
      <c r="R495" s="2"/>
      <c r="S495" s="2" t="s">
        <v>934</v>
      </c>
      <c r="T495" s="2">
        <v>1</v>
      </c>
      <c r="U495" s="2" t="s">
        <v>79</v>
      </c>
      <c r="V495" s="2">
        <v>1</v>
      </c>
      <c r="W495" s="2" t="s">
        <v>80</v>
      </c>
      <c r="X495" s="2">
        <v>5</v>
      </c>
      <c r="Y495" s="2" t="s">
        <v>82</v>
      </c>
      <c r="Z495" s="2">
        <v>1</v>
      </c>
      <c r="AA495" s="2" t="s">
        <v>82</v>
      </c>
      <c r="AB495" s="2">
        <v>9</v>
      </c>
      <c r="AC495" s="2" t="s">
        <v>124</v>
      </c>
      <c r="AD495" s="3">
        <v>40220</v>
      </c>
      <c r="AE495" s="4">
        <v>0.5</v>
      </c>
      <c r="AF495" s="2"/>
      <c r="AG495" s="2"/>
      <c r="AH495" s="2">
        <v>5</v>
      </c>
      <c r="AI495" s="2" t="s">
        <v>274</v>
      </c>
      <c r="AJ495" s="2">
        <v>40</v>
      </c>
      <c r="AK495" s="2" t="s">
        <v>935</v>
      </c>
      <c r="AL495" s="2">
        <v>18</v>
      </c>
      <c r="AM495" s="2" t="s">
        <v>82</v>
      </c>
      <c r="AN495" s="2"/>
      <c r="AO495" s="2"/>
      <c r="AP495" s="2">
        <v>11</v>
      </c>
      <c r="AQ495" s="2" t="s">
        <v>82</v>
      </c>
      <c r="AR495" s="2"/>
      <c r="AS495" s="2"/>
      <c r="AT495" s="2" t="s">
        <v>2203</v>
      </c>
      <c r="AU495" s="2"/>
      <c r="AV495" s="2"/>
      <c r="AW495" s="2"/>
      <c r="AX495" s="2"/>
      <c r="AY495" s="2">
        <v>1</v>
      </c>
      <c r="AZ495" s="2" t="s">
        <v>107</v>
      </c>
      <c r="BA495" s="2">
        <v>1</v>
      </c>
      <c r="BB495" s="2" t="s">
        <v>107</v>
      </c>
      <c r="BC495" s="2">
        <v>1</v>
      </c>
      <c r="BD495" s="2" t="s">
        <v>107</v>
      </c>
      <c r="BE495" s="2">
        <v>1</v>
      </c>
      <c r="BF495" s="2" t="s">
        <v>107</v>
      </c>
      <c r="BG495" s="2"/>
      <c r="BH495" s="2"/>
      <c r="BI495" s="2"/>
      <c r="BJ495" s="2">
        <v>242</v>
      </c>
      <c r="BK495" s="2" t="s">
        <v>107</v>
      </c>
      <c r="BL495" s="2"/>
      <c r="BM495" s="2">
        <v>242</v>
      </c>
      <c r="BN495" s="2" t="s">
        <v>107</v>
      </c>
      <c r="BO495" s="2"/>
      <c r="BP495" s="2">
        <v>242</v>
      </c>
      <c r="BQ495" s="2" t="s">
        <v>107</v>
      </c>
      <c r="BR495" s="2"/>
      <c r="BS495" s="3">
        <v>40220</v>
      </c>
      <c r="BT495" s="4">
        <v>0.63976851851851857</v>
      </c>
    </row>
    <row r="496" spans="1:72" x14ac:dyDescent="0.25">
      <c r="A496" s="2">
        <v>794</v>
      </c>
      <c r="B496" s="2">
        <v>2010</v>
      </c>
      <c r="C496" s="2" t="s">
        <v>385</v>
      </c>
      <c r="D496" s="2" t="s">
        <v>73</v>
      </c>
      <c r="E496" s="2"/>
      <c r="F496" s="2">
        <v>100</v>
      </c>
      <c r="G496" s="2" t="s">
        <v>517</v>
      </c>
      <c r="H496" s="2">
        <v>47</v>
      </c>
      <c r="I496" s="2" t="s">
        <v>1409</v>
      </c>
      <c r="J496" s="2">
        <v>119</v>
      </c>
      <c r="K496" s="2" t="s">
        <v>325</v>
      </c>
      <c r="L496" s="2" t="s">
        <v>326</v>
      </c>
      <c r="M496" s="3">
        <v>40220</v>
      </c>
      <c r="N496" s="2" t="s">
        <v>2204</v>
      </c>
      <c r="O496" s="2" t="s">
        <v>2205</v>
      </c>
      <c r="P496" s="6">
        <v>44747</v>
      </c>
      <c r="Q496" s="2" t="str">
        <f>"05-10"</f>
        <v>05-10</v>
      </c>
      <c r="R496" s="2" t="s">
        <v>2206</v>
      </c>
      <c r="S496" s="2" t="s">
        <v>82</v>
      </c>
      <c r="T496" s="2">
        <v>1</v>
      </c>
      <c r="U496" s="2" t="s">
        <v>79</v>
      </c>
      <c r="V496" s="2">
        <v>1</v>
      </c>
      <c r="W496" s="2" t="s">
        <v>80</v>
      </c>
      <c r="X496" s="2">
        <v>2</v>
      </c>
      <c r="Y496" s="2" t="s">
        <v>136</v>
      </c>
      <c r="Z496" s="2">
        <v>1</v>
      </c>
      <c r="AA496" s="2" t="s">
        <v>82</v>
      </c>
      <c r="AB496" s="2">
        <v>9</v>
      </c>
      <c r="AC496" s="2" t="s">
        <v>124</v>
      </c>
      <c r="AD496" s="3">
        <v>40220</v>
      </c>
      <c r="AE496" s="4">
        <v>0.625</v>
      </c>
      <c r="AF496" s="2"/>
      <c r="AG496" s="2"/>
      <c r="AH496" s="2">
        <v>6</v>
      </c>
      <c r="AI496" s="2" t="s">
        <v>197</v>
      </c>
      <c r="AJ496" s="2">
        <v>50</v>
      </c>
      <c r="AK496" s="2" t="s">
        <v>330</v>
      </c>
      <c r="AL496" s="2">
        <v>18</v>
      </c>
      <c r="AM496" s="2" t="s">
        <v>82</v>
      </c>
      <c r="AN496" s="2" t="s">
        <v>82</v>
      </c>
      <c r="AO496" s="2" t="s">
        <v>82</v>
      </c>
      <c r="AP496" s="2">
        <v>11</v>
      </c>
      <c r="AQ496" s="2" t="s">
        <v>82</v>
      </c>
      <c r="AR496" s="2"/>
      <c r="AS496" s="2"/>
      <c r="AT496" s="2" t="s">
        <v>2207</v>
      </c>
      <c r="AU496" s="2">
        <v>1</v>
      </c>
      <c r="AV496" s="2"/>
      <c r="AW496" s="2"/>
      <c r="AX496" s="2"/>
      <c r="AY496" s="2">
        <v>41</v>
      </c>
      <c r="AZ496" s="2" t="s">
        <v>82</v>
      </c>
      <c r="BA496" s="2">
        <v>41</v>
      </c>
      <c r="BB496" s="2" t="s">
        <v>82</v>
      </c>
      <c r="BC496" s="2">
        <v>41</v>
      </c>
      <c r="BD496" s="2" t="s">
        <v>82</v>
      </c>
      <c r="BE496" s="2">
        <v>41</v>
      </c>
      <c r="BF496" s="2" t="s">
        <v>82</v>
      </c>
      <c r="BG496" s="2"/>
      <c r="BH496" s="2"/>
      <c r="BI496" s="2"/>
      <c r="BJ496" s="2">
        <v>241</v>
      </c>
      <c r="BK496" s="2" t="s">
        <v>82</v>
      </c>
      <c r="BL496" s="2"/>
      <c r="BM496" s="2">
        <v>241</v>
      </c>
      <c r="BN496" s="2" t="s">
        <v>82</v>
      </c>
      <c r="BO496" s="2"/>
      <c r="BP496" s="2">
        <v>241</v>
      </c>
      <c r="BQ496" s="2" t="s">
        <v>82</v>
      </c>
      <c r="BR496" s="2"/>
      <c r="BS496" s="3">
        <v>40220</v>
      </c>
      <c r="BT496" s="4">
        <v>0.64420138888888889</v>
      </c>
    </row>
    <row r="497" spans="1:72" x14ac:dyDescent="0.25">
      <c r="A497" s="2">
        <v>795</v>
      </c>
      <c r="B497" s="2">
        <v>2010</v>
      </c>
      <c r="C497" s="2" t="s">
        <v>377</v>
      </c>
      <c r="D497" s="2" t="s">
        <v>73</v>
      </c>
      <c r="E497" s="2"/>
      <c r="F497" s="2">
        <v>426</v>
      </c>
      <c r="G497" s="2" t="s">
        <v>378</v>
      </c>
      <c r="H497" s="2">
        <v>42</v>
      </c>
      <c r="I497" s="2" t="s">
        <v>1096</v>
      </c>
      <c r="J497" s="2">
        <v>311</v>
      </c>
      <c r="K497" s="2" t="s">
        <v>379</v>
      </c>
      <c r="L497" s="2" t="s">
        <v>380</v>
      </c>
      <c r="M497" s="3">
        <v>40220</v>
      </c>
      <c r="N497" s="2" t="s">
        <v>107</v>
      </c>
      <c r="O497" s="2" t="s">
        <v>107</v>
      </c>
      <c r="P497" s="2" t="s">
        <v>107</v>
      </c>
      <c r="Q497" s="2" t="str">
        <f>"010-E/10"</f>
        <v>010-E/10</v>
      </c>
      <c r="R497" s="2" t="s">
        <v>107</v>
      </c>
      <c r="S497" s="2" t="s">
        <v>2208</v>
      </c>
      <c r="T497" s="2">
        <v>1</v>
      </c>
      <c r="U497" s="2" t="s">
        <v>79</v>
      </c>
      <c r="V497" s="2">
        <v>1</v>
      </c>
      <c r="W497" s="2" t="s">
        <v>80</v>
      </c>
      <c r="X497" s="2">
        <v>1</v>
      </c>
      <c r="Y497" s="2" t="s">
        <v>81</v>
      </c>
      <c r="Z497" s="2">
        <v>1</v>
      </c>
      <c r="AA497" s="2" t="s">
        <v>82</v>
      </c>
      <c r="AB497" s="2">
        <v>9</v>
      </c>
      <c r="AC497" s="2" t="s">
        <v>124</v>
      </c>
      <c r="AD497" s="3">
        <v>40220</v>
      </c>
      <c r="AE497" s="4">
        <v>0.58333333333333337</v>
      </c>
      <c r="AF497" s="3">
        <v>40220</v>
      </c>
      <c r="AG497" s="4">
        <v>0.625</v>
      </c>
      <c r="AH497" s="2">
        <v>2</v>
      </c>
      <c r="AI497" s="2" t="s">
        <v>84</v>
      </c>
      <c r="AJ497" s="2">
        <v>9</v>
      </c>
      <c r="AK497" s="2" t="s">
        <v>103</v>
      </c>
      <c r="AL497" s="2">
        <v>12</v>
      </c>
      <c r="AM497" s="2" t="s">
        <v>86</v>
      </c>
      <c r="AN497" s="2" t="s">
        <v>2209</v>
      </c>
      <c r="AO497" s="2" t="s">
        <v>82</v>
      </c>
      <c r="AP497" s="2">
        <v>11</v>
      </c>
      <c r="AQ497" s="2" t="s">
        <v>82</v>
      </c>
      <c r="AR497" s="2"/>
      <c r="AS497" s="2"/>
      <c r="AT497" s="2" t="s">
        <v>2210</v>
      </c>
      <c r="AU497" s="2"/>
      <c r="AV497" s="2"/>
      <c r="AW497" s="2"/>
      <c r="AX497" s="2"/>
      <c r="AY497" s="2">
        <v>41</v>
      </c>
      <c r="AZ497" s="2" t="s">
        <v>82</v>
      </c>
      <c r="BA497" s="2">
        <v>41</v>
      </c>
      <c r="BB497" s="2" t="s">
        <v>82</v>
      </c>
      <c r="BC497" s="2">
        <v>41</v>
      </c>
      <c r="BD497" s="2" t="s">
        <v>82</v>
      </c>
      <c r="BE497" s="2">
        <v>41</v>
      </c>
      <c r="BF497" s="2" t="s">
        <v>82</v>
      </c>
      <c r="BG497" s="2"/>
      <c r="BH497" s="2"/>
      <c r="BI497" s="2"/>
      <c r="BJ497" s="2">
        <v>241</v>
      </c>
      <c r="BK497" s="2" t="s">
        <v>82</v>
      </c>
      <c r="BL497" s="2"/>
      <c r="BM497" s="2">
        <v>241</v>
      </c>
      <c r="BN497" s="2" t="s">
        <v>82</v>
      </c>
      <c r="BO497" s="2"/>
      <c r="BP497" s="2">
        <v>241</v>
      </c>
      <c r="BQ497" s="2" t="s">
        <v>82</v>
      </c>
      <c r="BR497" s="2"/>
      <c r="BS497" s="3">
        <v>40220</v>
      </c>
      <c r="BT497" s="4">
        <v>0.8841782407407407</v>
      </c>
    </row>
    <row r="498" spans="1:72" x14ac:dyDescent="0.25">
      <c r="A498" s="2">
        <v>797</v>
      </c>
      <c r="B498" s="2">
        <v>2010</v>
      </c>
      <c r="C498" s="2" t="s">
        <v>72</v>
      </c>
      <c r="D498" s="2" t="s">
        <v>73</v>
      </c>
      <c r="E498" s="2"/>
      <c r="F498" s="2">
        <v>491</v>
      </c>
      <c r="G498" s="2" t="s">
        <v>1774</v>
      </c>
      <c r="H498" s="2">
        <v>22</v>
      </c>
      <c r="I498" s="2" t="s">
        <v>75</v>
      </c>
      <c r="J498" s="2">
        <v>396</v>
      </c>
      <c r="K498" s="2" t="s">
        <v>1775</v>
      </c>
      <c r="L498" s="2" t="s">
        <v>1776</v>
      </c>
      <c r="M498" s="3">
        <v>40220</v>
      </c>
      <c r="N498" s="2" t="s">
        <v>2097</v>
      </c>
      <c r="O498" s="2" t="s">
        <v>107</v>
      </c>
      <c r="P498" s="2" t="s">
        <v>107</v>
      </c>
      <c r="Q498" s="2" t="str">
        <f>"052-A/10"</f>
        <v>052-A/10</v>
      </c>
      <c r="R498" s="2" t="s">
        <v>107</v>
      </c>
      <c r="S498" s="2" t="s">
        <v>78</v>
      </c>
      <c r="T498" s="2">
        <v>1</v>
      </c>
      <c r="U498" s="2" t="s">
        <v>79</v>
      </c>
      <c r="V498" s="2">
        <v>1</v>
      </c>
      <c r="W498" s="2" t="s">
        <v>80</v>
      </c>
      <c r="X498" s="2">
        <v>5</v>
      </c>
      <c r="Y498" s="2" t="s">
        <v>82</v>
      </c>
      <c r="Z498" s="2">
        <v>1</v>
      </c>
      <c r="AA498" s="2" t="s">
        <v>82</v>
      </c>
      <c r="AB498" s="2">
        <v>6</v>
      </c>
      <c r="AC498" s="2" t="s">
        <v>83</v>
      </c>
      <c r="AD498" s="3">
        <v>40220</v>
      </c>
      <c r="AE498" s="4">
        <v>0.68055555555555547</v>
      </c>
      <c r="AF498" s="3">
        <v>40220</v>
      </c>
      <c r="AG498" s="4">
        <v>0.73611111111111116</v>
      </c>
      <c r="AH498" s="2">
        <v>2</v>
      </c>
      <c r="AI498" s="2" t="s">
        <v>84</v>
      </c>
      <c r="AJ498" s="2">
        <v>12</v>
      </c>
      <c r="AK498" s="2" t="s">
        <v>85</v>
      </c>
      <c r="AL498" s="2">
        <v>12</v>
      </c>
      <c r="AM498" s="2" t="s">
        <v>86</v>
      </c>
      <c r="AN498" s="2" t="s">
        <v>2211</v>
      </c>
      <c r="AO498" s="2"/>
      <c r="AP498" s="2">
        <v>11</v>
      </c>
      <c r="AQ498" s="2" t="s">
        <v>82</v>
      </c>
      <c r="AR498" s="2" t="s">
        <v>82</v>
      </c>
      <c r="AS498" s="2" t="s">
        <v>82</v>
      </c>
      <c r="AT498" s="2" t="s">
        <v>2212</v>
      </c>
      <c r="AU498" s="2"/>
      <c r="AV498" s="2"/>
      <c r="AW498" s="2"/>
      <c r="AX498" s="2"/>
      <c r="AY498" s="2">
        <v>41</v>
      </c>
      <c r="AZ498" s="2" t="s">
        <v>82</v>
      </c>
      <c r="BA498" s="2">
        <v>41</v>
      </c>
      <c r="BB498" s="2" t="s">
        <v>82</v>
      </c>
      <c r="BC498" s="2">
        <v>41</v>
      </c>
      <c r="BD498" s="2" t="s">
        <v>82</v>
      </c>
      <c r="BE498" s="2">
        <v>13</v>
      </c>
      <c r="BF498" s="2" t="s">
        <v>108</v>
      </c>
      <c r="BG498" s="2" t="s">
        <v>2213</v>
      </c>
      <c r="BH498" s="4">
        <v>0.80208333333333337</v>
      </c>
      <c r="BI498" s="4">
        <v>0.72569444444444453</v>
      </c>
      <c r="BJ498" s="2">
        <v>13</v>
      </c>
      <c r="BK498" s="2" t="s">
        <v>91</v>
      </c>
      <c r="BL498" s="2" t="s">
        <v>185</v>
      </c>
      <c r="BM498" s="2">
        <v>241</v>
      </c>
      <c r="BN498" s="2" t="s">
        <v>82</v>
      </c>
      <c r="BO498" s="2" t="s">
        <v>82</v>
      </c>
      <c r="BP498" s="2">
        <v>13</v>
      </c>
      <c r="BQ498" s="2" t="s">
        <v>91</v>
      </c>
      <c r="BR498" s="2" t="s">
        <v>445</v>
      </c>
      <c r="BS498" s="3">
        <v>40220</v>
      </c>
      <c r="BT498" s="4">
        <v>0.9250694444444445</v>
      </c>
    </row>
    <row r="499" spans="1:72" x14ac:dyDescent="0.25">
      <c r="A499" s="2">
        <v>798</v>
      </c>
      <c r="B499" s="2">
        <v>2010</v>
      </c>
      <c r="C499" s="2" t="s">
        <v>764</v>
      </c>
      <c r="D499" s="2" t="s">
        <v>73</v>
      </c>
      <c r="E499" s="2"/>
      <c r="F499" s="2">
        <v>10</v>
      </c>
      <c r="G499" s="2" t="s">
        <v>2143</v>
      </c>
      <c r="H499" s="2">
        <v>3</v>
      </c>
      <c r="I499" s="2" t="s">
        <v>315</v>
      </c>
      <c r="J499" s="2">
        <v>19</v>
      </c>
      <c r="K499" s="2" t="s">
        <v>2144</v>
      </c>
      <c r="L499" s="2" t="s">
        <v>2145</v>
      </c>
      <c r="M499" s="3">
        <v>40220</v>
      </c>
      <c r="N499" s="2" t="s">
        <v>2214</v>
      </c>
      <c r="O499" s="2"/>
      <c r="P499" s="2"/>
      <c r="Q499" s="2" t="str">
        <f>"09/2010"</f>
        <v>09/2010</v>
      </c>
      <c r="R499" s="2" t="s">
        <v>2215</v>
      </c>
      <c r="S499" s="2" t="s">
        <v>2215</v>
      </c>
      <c r="T499" s="2">
        <v>1</v>
      </c>
      <c r="U499" s="2" t="s">
        <v>79</v>
      </c>
      <c r="V499" s="2">
        <v>1</v>
      </c>
      <c r="W499" s="2" t="s">
        <v>80</v>
      </c>
      <c r="X499" s="2">
        <v>1</v>
      </c>
      <c r="Y499" s="2" t="s">
        <v>81</v>
      </c>
      <c r="Z499" s="2">
        <v>1</v>
      </c>
      <c r="AA499" s="2" t="s">
        <v>82</v>
      </c>
      <c r="AB499" s="2">
        <v>9</v>
      </c>
      <c r="AC499" s="2" t="s">
        <v>124</v>
      </c>
      <c r="AD499" s="3">
        <v>40220</v>
      </c>
      <c r="AE499" s="4">
        <v>0.72916666666666663</v>
      </c>
      <c r="AF499" s="2"/>
      <c r="AG499" s="2"/>
      <c r="AH499" s="2">
        <v>3</v>
      </c>
      <c r="AI499" s="2" t="s">
        <v>214</v>
      </c>
      <c r="AJ499" s="2">
        <v>24</v>
      </c>
      <c r="AK499" s="2" t="s">
        <v>215</v>
      </c>
      <c r="AL499" s="2">
        <v>24</v>
      </c>
      <c r="AM499" s="2" t="s">
        <v>1540</v>
      </c>
      <c r="AN499" s="2" t="s">
        <v>2216</v>
      </c>
      <c r="AO499" s="2" t="s">
        <v>2217</v>
      </c>
      <c r="AP499" s="2">
        <v>11</v>
      </c>
      <c r="AQ499" s="2" t="s">
        <v>82</v>
      </c>
      <c r="AR499" s="2" t="s">
        <v>82</v>
      </c>
      <c r="AS499" s="2" t="s">
        <v>82</v>
      </c>
      <c r="AT499" s="2" t="s">
        <v>2218</v>
      </c>
      <c r="AU499" s="2"/>
      <c r="AV499" s="2"/>
      <c r="AW499" s="2"/>
      <c r="AX499" s="2"/>
      <c r="AY499" s="2">
        <v>41</v>
      </c>
      <c r="AZ499" s="2" t="s">
        <v>82</v>
      </c>
      <c r="BA499" s="2">
        <v>41</v>
      </c>
      <c r="BB499" s="2" t="s">
        <v>82</v>
      </c>
      <c r="BC499" s="2">
        <v>41</v>
      </c>
      <c r="BD499" s="2" t="s">
        <v>82</v>
      </c>
      <c r="BE499" s="2">
        <v>41</v>
      </c>
      <c r="BF499" s="2" t="s">
        <v>82</v>
      </c>
      <c r="BG499" s="2" t="s">
        <v>82</v>
      </c>
      <c r="BH499" s="4">
        <v>0</v>
      </c>
      <c r="BI499" s="4">
        <v>0</v>
      </c>
      <c r="BJ499" s="2">
        <v>241</v>
      </c>
      <c r="BK499" s="2" t="s">
        <v>82</v>
      </c>
      <c r="BL499" s="2"/>
      <c r="BM499" s="2">
        <v>241</v>
      </c>
      <c r="BN499" s="2" t="s">
        <v>82</v>
      </c>
      <c r="BO499" s="2"/>
      <c r="BP499" s="2">
        <v>241</v>
      </c>
      <c r="BQ499" s="2" t="s">
        <v>82</v>
      </c>
      <c r="BR499" s="2"/>
      <c r="BS499" s="3">
        <v>40220</v>
      </c>
      <c r="BT499" s="4">
        <v>0.93349537037037045</v>
      </c>
    </row>
    <row r="500" spans="1:72" x14ac:dyDescent="0.25">
      <c r="A500" s="2">
        <v>798</v>
      </c>
      <c r="B500" s="2">
        <v>2010</v>
      </c>
      <c r="C500" s="2" t="s">
        <v>2219</v>
      </c>
      <c r="D500" s="2" t="s">
        <v>73</v>
      </c>
      <c r="E500" s="2"/>
      <c r="F500" s="2">
        <v>10</v>
      </c>
      <c r="G500" s="2" t="s">
        <v>2143</v>
      </c>
      <c r="H500" s="2">
        <v>3</v>
      </c>
      <c r="I500" s="2" t="s">
        <v>315</v>
      </c>
      <c r="J500" s="2">
        <v>19</v>
      </c>
      <c r="K500" s="2" t="s">
        <v>2144</v>
      </c>
      <c r="L500" s="2" t="s">
        <v>2145</v>
      </c>
      <c r="M500" s="3">
        <v>40220</v>
      </c>
      <c r="N500" s="2" t="s">
        <v>2214</v>
      </c>
      <c r="O500" s="2"/>
      <c r="P500" s="2"/>
      <c r="Q500" s="2" t="str">
        <f>"09/2010"</f>
        <v>09/2010</v>
      </c>
      <c r="R500" s="2" t="s">
        <v>2215</v>
      </c>
      <c r="S500" s="2" t="s">
        <v>2215</v>
      </c>
      <c r="T500" s="2">
        <v>1</v>
      </c>
      <c r="U500" s="2" t="s">
        <v>79</v>
      </c>
      <c r="V500" s="2">
        <v>1</v>
      </c>
      <c r="W500" s="2" t="s">
        <v>80</v>
      </c>
      <c r="X500" s="2">
        <v>1</v>
      </c>
      <c r="Y500" s="2" t="s">
        <v>81</v>
      </c>
      <c r="Z500" s="2">
        <v>1</v>
      </c>
      <c r="AA500" s="2" t="s">
        <v>82</v>
      </c>
      <c r="AB500" s="2">
        <v>9</v>
      </c>
      <c r="AC500" s="2" t="s">
        <v>124</v>
      </c>
      <c r="AD500" s="3">
        <v>40220</v>
      </c>
      <c r="AE500" s="4">
        <v>0.72916666666666663</v>
      </c>
      <c r="AF500" s="2"/>
      <c r="AG500" s="2"/>
      <c r="AH500" s="2">
        <v>3</v>
      </c>
      <c r="AI500" s="2" t="s">
        <v>214</v>
      </c>
      <c r="AJ500" s="2">
        <v>24</v>
      </c>
      <c r="AK500" s="2" t="s">
        <v>215</v>
      </c>
      <c r="AL500" s="2">
        <v>24</v>
      </c>
      <c r="AM500" s="2" t="s">
        <v>1540</v>
      </c>
      <c r="AN500" s="2" t="s">
        <v>2216</v>
      </c>
      <c r="AO500" s="2" t="s">
        <v>2217</v>
      </c>
      <c r="AP500" s="2">
        <v>11</v>
      </c>
      <c r="AQ500" s="2" t="s">
        <v>82</v>
      </c>
      <c r="AR500" s="2" t="s">
        <v>82</v>
      </c>
      <c r="AS500" s="2" t="s">
        <v>82</v>
      </c>
      <c r="AT500" s="2" t="s">
        <v>2218</v>
      </c>
      <c r="AU500" s="2"/>
      <c r="AV500" s="2"/>
      <c r="AW500" s="2"/>
      <c r="AX500" s="2"/>
      <c r="AY500" s="2">
        <v>41</v>
      </c>
      <c r="AZ500" s="2" t="s">
        <v>82</v>
      </c>
      <c r="BA500" s="2">
        <v>41</v>
      </c>
      <c r="BB500" s="2" t="s">
        <v>82</v>
      </c>
      <c r="BC500" s="2">
        <v>41</v>
      </c>
      <c r="BD500" s="2" t="s">
        <v>82</v>
      </c>
      <c r="BE500" s="2">
        <v>41</v>
      </c>
      <c r="BF500" s="2" t="s">
        <v>82</v>
      </c>
      <c r="BG500" s="2" t="s">
        <v>82</v>
      </c>
      <c r="BH500" s="4">
        <v>0</v>
      </c>
      <c r="BI500" s="4">
        <v>0</v>
      </c>
      <c r="BJ500" s="2">
        <v>241</v>
      </c>
      <c r="BK500" s="2" t="s">
        <v>82</v>
      </c>
      <c r="BL500" s="2"/>
      <c r="BM500" s="2">
        <v>241</v>
      </c>
      <c r="BN500" s="2" t="s">
        <v>82</v>
      </c>
      <c r="BO500" s="2"/>
      <c r="BP500" s="2">
        <v>241</v>
      </c>
      <c r="BQ500" s="2" t="s">
        <v>82</v>
      </c>
      <c r="BR500" s="2"/>
      <c r="BS500" s="3">
        <v>40220</v>
      </c>
      <c r="BT500" s="4">
        <v>0.93349537037037045</v>
      </c>
    </row>
    <row r="501" spans="1:72" x14ac:dyDescent="0.25">
      <c r="A501" s="2">
        <v>799</v>
      </c>
      <c r="B501" s="2">
        <v>2010</v>
      </c>
      <c r="C501" s="2" t="s">
        <v>385</v>
      </c>
      <c r="D501" s="2" t="s">
        <v>73</v>
      </c>
      <c r="E501" s="2"/>
      <c r="F501" s="2">
        <v>74</v>
      </c>
      <c r="G501" s="2" t="s">
        <v>2220</v>
      </c>
      <c r="H501" s="2">
        <v>2</v>
      </c>
      <c r="I501" s="2" t="s">
        <v>267</v>
      </c>
      <c r="J501" s="2">
        <v>1</v>
      </c>
      <c r="K501" s="2" t="s">
        <v>107</v>
      </c>
      <c r="L501" s="2" t="s">
        <v>107</v>
      </c>
      <c r="M501" s="3">
        <v>40220</v>
      </c>
      <c r="N501" s="2" t="s">
        <v>2221</v>
      </c>
      <c r="O501" s="2" t="s">
        <v>2222</v>
      </c>
      <c r="P501" s="6">
        <v>44747</v>
      </c>
      <c r="Q501" s="2" t="str">
        <f>"0001/2010"</f>
        <v>0001/2010</v>
      </c>
      <c r="R501" s="2"/>
      <c r="S501" s="2" t="s">
        <v>2223</v>
      </c>
      <c r="T501" s="2">
        <v>1</v>
      </c>
      <c r="U501" s="2" t="s">
        <v>79</v>
      </c>
      <c r="V501" s="2">
        <v>1</v>
      </c>
      <c r="W501" s="2" t="s">
        <v>80</v>
      </c>
      <c r="X501" s="2">
        <v>1</v>
      </c>
      <c r="Y501" s="2" t="s">
        <v>81</v>
      </c>
      <c r="Z501" s="2">
        <v>1</v>
      </c>
      <c r="AA501" s="2" t="s">
        <v>82</v>
      </c>
      <c r="AB501" s="2">
        <v>9</v>
      </c>
      <c r="AC501" s="2" t="s">
        <v>124</v>
      </c>
      <c r="AD501" s="3">
        <v>40220</v>
      </c>
      <c r="AE501" s="4">
        <v>0.8125</v>
      </c>
      <c r="AF501" s="2"/>
      <c r="AG501" s="2"/>
      <c r="AH501" s="2">
        <v>6</v>
      </c>
      <c r="AI501" s="2" t="s">
        <v>197</v>
      </c>
      <c r="AJ501" s="2">
        <v>51</v>
      </c>
      <c r="AK501" s="2" t="s">
        <v>238</v>
      </c>
      <c r="AL501" s="2">
        <v>18</v>
      </c>
      <c r="AM501" s="2" t="s">
        <v>82</v>
      </c>
      <c r="AN501" s="2" t="s">
        <v>2224</v>
      </c>
      <c r="AO501" s="2" t="s">
        <v>2225</v>
      </c>
      <c r="AP501" s="2">
        <v>11</v>
      </c>
      <c r="AQ501" s="2" t="s">
        <v>82</v>
      </c>
      <c r="AR501" s="2"/>
      <c r="AS501" s="2"/>
      <c r="AT501" s="2" t="s">
        <v>2226</v>
      </c>
      <c r="AU501" s="2">
        <v>2</v>
      </c>
      <c r="AV501" s="2"/>
      <c r="AW501" s="2"/>
      <c r="AX501" s="2"/>
      <c r="AY501" s="2">
        <v>41</v>
      </c>
      <c r="AZ501" s="2" t="s">
        <v>82</v>
      </c>
      <c r="BA501" s="2">
        <v>41</v>
      </c>
      <c r="BB501" s="2" t="s">
        <v>82</v>
      </c>
      <c r="BC501" s="2">
        <v>41</v>
      </c>
      <c r="BD501" s="2" t="s">
        <v>82</v>
      </c>
      <c r="BE501" s="2">
        <v>41</v>
      </c>
      <c r="BF501" s="2" t="s">
        <v>82</v>
      </c>
      <c r="BG501" s="2"/>
      <c r="BH501" s="2"/>
      <c r="BI501" s="2"/>
      <c r="BJ501" s="2">
        <v>241</v>
      </c>
      <c r="BK501" s="2" t="s">
        <v>82</v>
      </c>
      <c r="BL501" s="2"/>
      <c r="BM501" s="2">
        <v>241</v>
      </c>
      <c r="BN501" s="2" t="s">
        <v>82</v>
      </c>
      <c r="BO501" s="2"/>
      <c r="BP501" s="2">
        <v>241</v>
      </c>
      <c r="BQ501" s="2" t="s">
        <v>82</v>
      </c>
      <c r="BR501" s="2"/>
      <c r="BS501" s="3">
        <v>40220</v>
      </c>
      <c r="BT501" s="4">
        <v>0.9396874999999999</v>
      </c>
    </row>
    <row r="502" spans="1:72" x14ac:dyDescent="0.25">
      <c r="A502" s="2">
        <v>799</v>
      </c>
      <c r="B502" s="2">
        <v>2010</v>
      </c>
      <c r="C502" s="2" t="s">
        <v>806</v>
      </c>
      <c r="D502" s="2" t="s">
        <v>73</v>
      </c>
      <c r="E502" s="2"/>
      <c r="F502" s="2">
        <v>74</v>
      </c>
      <c r="G502" s="2" t="s">
        <v>2220</v>
      </c>
      <c r="H502" s="2">
        <v>2</v>
      </c>
      <c r="I502" s="2" t="s">
        <v>267</v>
      </c>
      <c r="J502" s="2">
        <v>1</v>
      </c>
      <c r="K502" s="2" t="s">
        <v>107</v>
      </c>
      <c r="L502" s="2" t="s">
        <v>107</v>
      </c>
      <c r="M502" s="3">
        <v>40220</v>
      </c>
      <c r="N502" s="2" t="s">
        <v>2221</v>
      </c>
      <c r="O502" s="2" t="s">
        <v>2222</v>
      </c>
      <c r="P502" s="6">
        <v>44747</v>
      </c>
      <c r="Q502" s="2" t="str">
        <f>"0001/2010"</f>
        <v>0001/2010</v>
      </c>
      <c r="R502" s="2"/>
      <c r="S502" s="2" t="s">
        <v>2223</v>
      </c>
      <c r="T502" s="2">
        <v>1</v>
      </c>
      <c r="U502" s="2" t="s">
        <v>79</v>
      </c>
      <c r="V502" s="2">
        <v>1</v>
      </c>
      <c r="W502" s="2" t="s">
        <v>80</v>
      </c>
      <c r="X502" s="2">
        <v>1</v>
      </c>
      <c r="Y502" s="2" t="s">
        <v>81</v>
      </c>
      <c r="Z502" s="2">
        <v>1</v>
      </c>
      <c r="AA502" s="2" t="s">
        <v>82</v>
      </c>
      <c r="AB502" s="2">
        <v>9</v>
      </c>
      <c r="AC502" s="2" t="s">
        <v>124</v>
      </c>
      <c r="AD502" s="3">
        <v>40220</v>
      </c>
      <c r="AE502" s="4">
        <v>0.8125</v>
      </c>
      <c r="AF502" s="2"/>
      <c r="AG502" s="2"/>
      <c r="AH502" s="2">
        <v>6</v>
      </c>
      <c r="AI502" s="2" t="s">
        <v>197</v>
      </c>
      <c r="AJ502" s="2">
        <v>51</v>
      </c>
      <c r="AK502" s="2" t="s">
        <v>238</v>
      </c>
      <c r="AL502" s="2">
        <v>18</v>
      </c>
      <c r="AM502" s="2" t="s">
        <v>82</v>
      </c>
      <c r="AN502" s="2" t="s">
        <v>2224</v>
      </c>
      <c r="AO502" s="2" t="s">
        <v>2225</v>
      </c>
      <c r="AP502" s="2">
        <v>11</v>
      </c>
      <c r="AQ502" s="2" t="s">
        <v>82</v>
      </c>
      <c r="AR502" s="2"/>
      <c r="AS502" s="2"/>
      <c r="AT502" s="2" t="s">
        <v>2226</v>
      </c>
      <c r="AU502" s="2">
        <v>2</v>
      </c>
      <c r="AV502" s="2"/>
      <c r="AW502" s="2"/>
      <c r="AX502" s="2"/>
      <c r="AY502" s="2">
        <v>41</v>
      </c>
      <c r="AZ502" s="2" t="s">
        <v>82</v>
      </c>
      <c r="BA502" s="2">
        <v>41</v>
      </c>
      <c r="BB502" s="2" t="s">
        <v>82</v>
      </c>
      <c r="BC502" s="2">
        <v>41</v>
      </c>
      <c r="BD502" s="2" t="s">
        <v>82</v>
      </c>
      <c r="BE502" s="2">
        <v>41</v>
      </c>
      <c r="BF502" s="2" t="s">
        <v>82</v>
      </c>
      <c r="BG502" s="2"/>
      <c r="BH502" s="2"/>
      <c r="BI502" s="2"/>
      <c r="BJ502" s="2">
        <v>241</v>
      </c>
      <c r="BK502" s="2" t="s">
        <v>82</v>
      </c>
      <c r="BL502" s="2"/>
      <c r="BM502" s="2">
        <v>241</v>
      </c>
      <c r="BN502" s="2" t="s">
        <v>82</v>
      </c>
      <c r="BO502" s="2"/>
      <c r="BP502" s="2">
        <v>241</v>
      </c>
      <c r="BQ502" s="2" t="s">
        <v>82</v>
      </c>
      <c r="BR502" s="2"/>
      <c r="BS502" s="3">
        <v>40220</v>
      </c>
      <c r="BT502" s="4">
        <v>0.9396874999999999</v>
      </c>
    </row>
    <row r="503" spans="1:72" x14ac:dyDescent="0.25">
      <c r="A503" s="2">
        <v>800</v>
      </c>
      <c r="B503" s="2">
        <v>2010</v>
      </c>
      <c r="C503" s="2" t="s">
        <v>377</v>
      </c>
      <c r="D503" s="2" t="s">
        <v>122</v>
      </c>
      <c r="E503" s="2" t="s">
        <v>2227</v>
      </c>
      <c r="F503" s="2">
        <v>426</v>
      </c>
      <c r="G503" s="2" t="s">
        <v>378</v>
      </c>
      <c r="H503" s="2">
        <v>42</v>
      </c>
      <c r="I503" s="2" t="s">
        <v>1096</v>
      </c>
      <c r="J503" s="2">
        <v>311</v>
      </c>
      <c r="K503" s="2" t="s">
        <v>379</v>
      </c>
      <c r="L503" s="2" t="s">
        <v>380</v>
      </c>
      <c r="M503" s="3">
        <v>40221</v>
      </c>
      <c r="N503" s="2"/>
      <c r="O503" s="2"/>
      <c r="P503" s="2"/>
      <c r="Q503" s="2" t="str">
        <f>"010-E/10"</f>
        <v>010-E/10</v>
      </c>
      <c r="R503" s="2" t="s">
        <v>2208</v>
      </c>
      <c r="S503" s="2"/>
      <c r="T503" s="2">
        <v>1</v>
      </c>
      <c r="U503" s="2" t="s">
        <v>79</v>
      </c>
      <c r="V503" s="2">
        <v>1</v>
      </c>
      <c r="W503" s="2" t="s">
        <v>80</v>
      </c>
      <c r="X503" s="2">
        <v>1</v>
      </c>
      <c r="Y503" s="2" t="s">
        <v>81</v>
      </c>
      <c r="Z503" s="2">
        <v>1</v>
      </c>
      <c r="AA503" s="2" t="s">
        <v>82</v>
      </c>
      <c r="AB503" s="2">
        <v>9</v>
      </c>
      <c r="AC503" s="2" t="s">
        <v>124</v>
      </c>
      <c r="AD503" s="3">
        <v>40220</v>
      </c>
      <c r="AE503" s="4">
        <v>0.58333333333333337</v>
      </c>
      <c r="AF503" s="2"/>
      <c r="AG503" s="2"/>
      <c r="AH503" s="2">
        <v>2</v>
      </c>
      <c r="AI503" s="2" t="s">
        <v>84</v>
      </c>
      <c r="AJ503" s="2">
        <v>9</v>
      </c>
      <c r="AK503" s="2" t="s">
        <v>103</v>
      </c>
      <c r="AL503" s="2">
        <v>12</v>
      </c>
      <c r="AM503" s="2" t="s">
        <v>86</v>
      </c>
      <c r="AN503" s="2" t="s">
        <v>2209</v>
      </c>
      <c r="AO503" s="2"/>
      <c r="AP503" s="2">
        <v>11</v>
      </c>
      <c r="AQ503" s="2" t="s">
        <v>82</v>
      </c>
      <c r="AR503" s="2"/>
      <c r="AS503" s="2"/>
      <c r="AT503" s="2" t="s">
        <v>2228</v>
      </c>
      <c r="AU503" s="2"/>
      <c r="AV503" s="2"/>
      <c r="AW503" s="2"/>
      <c r="AX503" s="2"/>
      <c r="AY503" s="2">
        <v>41</v>
      </c>
      <c r="AZ503" s="2" t="s">
        <v>82</v>
      </c>
      <c r="BA503" s="2">
        <v>41</v>
      </c>
      <c r="BB503" s="2" t="s">
        <v>82</v>
      </c>
      <c r="BC503" s="2">
        <v>41</v>
      </c>
      <c r="BD503" s="2" t="s">
        <v>82</v>
      </c>
      <c r="BE503" s="2">
        <v>41</v>
      </c>
      <c r="BF503" s="2" t="s">
        <v>82</v>
      </c>
      <c r="BG503" s="2"/>
      <c r="BH503" s="2"/>
      <c r="BI503" s="2"/>
      <c r="BJ503" s="2">
        <v>241</v>
      </c>
      <c r="BK503" s="2" t="s">
        <v>82</v>
      </c>
      <c r="BL503" s="2"/>
      <c r="BM503" s="2">
        <v>241</v>
      </c>
      <c r="BN503" s="2" t="s">
        <v>82</v>
      </c>
      <c r="BO503" s="2"/>
      <c r="BP503" s="2">
        <v>241</v>
      </c>
      <c r="BQ503" s="2" t="s">
        <v>82</v>
      </c>
      <c r="BR503" s="2"/>
      <c r="BS503" s="3">
        <v>40221</v>
      </c>
      <c r="BT503" s="4">
        <v>1.1377314814814814E-2</v>
      </c>
    </row>
    <row r="504" spans="1:72" x14ac:dyDescent="0.25">
      <c r="A504" s="2">
        <v>801</v>
      </c>
      <c r="B504" s="2">
        <v>2010</v>
      </c>
      <c r="C504" s="2" t="s">
        <v>72</v>
      </c>
      <c r="D504" s="2" t="s">
        <v>73</v>
      </c>
      <c r="E504" s="2"/>
      <c r="F504" s="2">
        <v>156</v>
      </c>
      <c r="G504" s="2" t="s">
        <v>1875</v>
      </c>
      <c r="H504" s="2">
        <v>13</v>
      </c>
      <c r="I504" s="2" t="s">
        <v>2229</v>
      </c>
      <c r="J504" s="2">
        <v>168</v>
      </c>
      <c r="K504" s="2" t="s">
        <v>1876</v>
      </c>
      <c r="L504" s="2" t="s">
        <v>1877</v>
      </c>
      <c r="M504" s="3">
        <v>40221</v>
      </c>
      <c r="N504" s="2" t="s">
        <v>2230</v>
      </c>
      <c r="O504" s="2" t="s">
        <v>107</v>
      </c>
      <c r="P504" s="2" t="s">
        <v>107</v>
      </c>
      <c r="Q504" s="2" t="str">
        <f>"053-A/10"</f>
        <v>053-A/10</v>
      </c>
      <c r="R504" s="2" t="s">
        <v>107</v>
      </c>
      <c r="S504" s="2" t="s">
        <v>78</v>
      </c>
      <c r="T504" s="2">
        <v>1</v>
      </c>
      <c r="U504" s="2" t="s">
        <v>79</v>
      </c>
      <c r="V504" s="2">
        <v>1</v>
      </c>
      <c r="W504" s="2" t="s">
        <v>80</v>
      </c>
      <c r="X504" s="2">
        <v>5</v>
      </c>
      <c r="Y504" s="2" t="s">
        <v>82</v>
      </c>
      <c r="Z504" s="2">
        <v>1</v>
      </c>
      <c r="AA504" s="2" t="s">
        <v>82</v>
      </c>
      <c r="AB504" s="2">
        <v>6</v>
      </c>
      <c r="AC504" s="2" t="s">
        <v>83</v>
      </c>
      <c r="AD504" s="3">
        <v>40217</v>
      </c>
      <c r="AE504" s="4">
        <v>0.43611111111111112</v>
      </c>
      <c r="AF504" s="3">
        <v>40220</v>
      </c>
      <c r="AG504" s="4">
        <v>0.75</v>
      </c>
      <c r="AH504" s="2">
        <v>2</v>
      </c>
      <c r="AI504" s="2" t="s">
        <v>84</v>
      </c>
      <c r="AJ504" s="2">
        <v>12</v>
      </c>
      <c r="AK504" s="2" t="s">
        <v>85</v>
      </c>
      <c r="AL504" s="2">
        <v>10</v>
      </c>
      <c r="AM504" s="2" t="s">
        <v>200</v>
      </c>
      <c r="AN504" s="2" t="s">
        <v>107</v>
      </c>
      <c r="AO504" s="2" t="s">
        <v>2231</v>
      </c>
      <c r="AP504" s="2">
        <v>12</v>
      </c>
      <c r="AQ504" s="2" t="s">
        <v>322</v>
      </c>
      <c r="AR504" s="2" t="s">
        <v>2232</v>
      </c>
      <c r="AS504" s="2" t="s">
        <v>82</v>
      </c>
      <c r="AT504" s="2" t="s">
        <v>2233</v>
      </c>
      <c r="AU504" s="2"/>
      <c r="AV504" s="2"/>
      <c r="AW504" s="2"/>
      <c r="AX504" s="2"/>
      <c r="AY504" s="2">
        <v>41</v>
      </c>
      <c r="AZ504" s="2" t="s">
        <v>82</v>
      </c>
      <c r="BA504" s="2">
        <v>41</v>
      </c>
      <c r="BB504" s="2" t="s">
        <v>82</v>
      </c>
      <c r="BC504" s="2">
        <v>41</v>
      </c>
      <c r="BD504" s="2" t="s">
        <v>82</v>
      </c>
      <c r="BE504" s="2">
        <v>1</v>
      </c>
      <c r="BF504" s="2" t="s">
        <v>107</v>
      </c>
      <c r="BG504" s="2" t="s">
        <v>107</v>
      </c>
      <c r="BH504" s="2"/>
      <c r="BI504" s="2"/>
      <c r="BJ504" s="2">
        <v>13</v>
      </c>
      <c r="BK504" s="2" t="s">
        <v>91</v>
      </c>
      <c r="BL504" s="2" t="s">
        <v>492</v>
      </c>
      <c r="BM504" s="2">
        <v>241</v>
      </c>
      <c r="BN504" s="2" t="s">
        <v>82</v>
      </c>
      <c r="BO504" s="2" t="s">
        <v>82</v>
      </c>
      <c r="BP504" s="2">
        <v>13</v>
      </c>
      <c r="BQ504" s="2" t="s">
        <v>91</v>
      </c>
      <c r="BR504" s="2" t="s">
        <v>185</v>
      </c>
      <c r="BS504" s="3">
        <v>40221</v>
      </c>
      <c r="BT504" s="4">
        <v>1.9212962962962963E-2</v>
      </c>
    </row>
    <row r="505" spans="1:72" x14ac:dyDescent="0.25">
      <c r="A505" s="2">
        <v>802</v>
      </c>
      <c r="B505" s="2">
        <v>2010</v>
      </c>
      <c r="C505" s="2" t="s">
        <v>594</v>
      </c>
      <c r="D505" s="2" t="s">
        <v>73</v>
      </c>
      <c r="E505" s="2"/>
      <c r="F505" s="2">
        <v>1</v>
      </c>
      <c r="G505" s="2" t="s">
        <v>82</v>
      </c>
      <c r="H505" s="2">
        <v>1</v>
      </c>
      <c r="I505" s="2" t="s">
        <v>82</v>
      </c>
      <c r="J505" s="2">
        <v>1</v>
      </c>
      <c r="K505" s="2" t="s">
        <v>107</v>
      </c>
      <c r="L505" s="2" t="s">
        <v>107</v>
      </c>
      <c r="M505" s="3">
        <v>40221</v>
      </c>
      <c r="N505" s="2"/>
      <c r="O505" s="2"/>
      <c r="P505" s="2"/>
      <c r="Q505" s="2" t="str">
        <f>""</f>
        <v/>
      </c>
      <c r="R505" s="2"/>
      <c r="S505" s="2"/>
      <c r="T505" s="2">
        <v>1</v>
      </c>
      <c r="U505" s="2" t="s">
        <v>79</v>
      </c>
      <c r="V505" s="2">
        <v>1</v>
      </c>
      <c r="W505" s="2" t="s">
        <v>80</v>
      </c>
      <c r="X505" s="2">
        <v>1</v>
      </c>
      <c r="Y505" s="2" t="s">
        <v>81</v>
      </c>
      <c r="Z505" s="2">
        <v>1</v>
      </c>
      <c r="AA505" s="2" t="s">
        <v>82</v>
      </c>
      <c r="AB505" s="2">
        <v>9</v>
      </c>
      <c r="AC505" s="2" t="s">
        <v>124</v>
      </c>
      <c r="AD505" s="3">
        <v>40220</v>
      </c>
      <c r="AE505" s="4">
        <v>0.97777777777777775</v>
      </c>
      <c r="AF505" s="2"/>
      <c r="AG505" s="2"/>
      <c r="AH505" s="2">
        <v>6</v>
      </c>
      <c r="AI505" s="2" t="s">
        <v>197</v>
      </c>
      <c r="AJ505" s="2">
        <v>54</v>
      </c>
      <c r="AK505" s="2" t="s">
        <v>348</v>
      </c>
      <c r="AL505" s="2">
        <v>18</v>
      </c>
      <c r="AM505" s="2" t="s">
        <v>82</v>
      </c>
      <c r="AN505" s="2" t="s">
        <v>2234</v>
      </c>
      <c r="AO505" s="2" t="s">
        <v>200</v>
      </c>
      <c r="AP505" s="2">
        <v>11</v>
      </c>
      <c r="AQ505" s="2" t="s">
        <v>82</v>
      </c>
      <c r="AR505" s="2" t="s">
        <v>596</v>
      </c>
      <c r="AS505" s="2" t="s">
        <v>596</v>
      </c>
      <c r="AT505" s="2" t="s">
        <v>2235</v>
      </c>
      <c r="AU505" s="2"/>
      <c r="AV505" s="2"/>
      <c r="AW505" s="2"/>
      <c r="AX505" s="2"/>
      <c r="AY505" s="2">
        <v>1</v>
      </c>
      <c r="AZ505" s="2" t="s">
        <v>107</v>
      </c>
      <c r="BA505" s="2">
        <v>1</v>
      </c>
      <c r="BB505" s="2" t="s">
        <v>107</v>
      </c>
      <c r="BC505" s="2">
        <v>1</v>
      </c>
      <c r="BD505" s="2" t="s">
        <v>107</v>
      </c>
      <c r="BE505" s="2">
        <v>4</v>
      </c>
      <c r="BF505" s="2" t="s">
        <v>90</v>
      </c>
      <c r="BG505" s="2" t="s">
        <v>598</v>
      </c>
      <c r="BH505" s="4">
        <v>0.9472222222222223</v>
      </c>
      <c r="BI505" s="4">
        <v>0.97777777777777775</v>
      </c>
      <c r="BJ505" s="2">
        <v>13</v>
      </c>
      <c r="BK505" s="2" t="s">
        <v>91</v>
      </c>
      <c r="BL505" s="2" t="s">
        <v>2236</v>
      </c>
      <c r="BM505" s="2">
        <v>242</v>
      </c>
      <c r="BN505" s="2" t="s">
        <v>107</v>
      </c>
      <c r="BO505" s="2"/>
      <c r="BP505" s="2">
        <v>13</v>
      </c>
      <c r="BQ505" s="2" t="s">
        <v>91</v>
      </c>
      <c r="BR505" s="2" t="s">
        <v>905</v>
      </c>
      <c r="BS505" s="3">
        <v>40221</v>
      </c>
      <c r="BT505" s="4">
        <v>4.0381944444444443E-2</v>
      </c>
    </row>
    <row r="506" spans="1:72" x14ac:dyDescent="0.25">
      <c r="A506" s="2">
        <v>803</v>
      </c>
      <c r="B506" s="2">
        <v>2010</v>
      </c>
      <c r="C506" s="2" t="s">
        <v>385</v>
      </c>
      <c r="D506" s="2" t="s">
        <v>122</v>
      </c>
      <c r="E506" s="2" t="s">
        <v>2237</v>
      </c>
      <c r="F506" s="2">
        <v>499</v>
      </c>
      <c r="G506" s="2" t="s">
        <v>2177</v>
      </c>
      <c r="H506" s="2">
        <v>9</v>
      </c>
      <c r="I506" s="2" t="s">
        <v>794</v>
      </c>
      <c r="J506" s="2">
        <v>33</v>
      </c>
      <c r="K506" s="2" t="s">
        <v>2178</v>
      </c>
      <c r="L506" s="2" t="s">
        <v>1877</v>
      </c>
      <c r="M506" s="3">
        <v>40221</v>
      </c>
      <c r="N506" s="2" t="s">
        <v>2179</v>
      </c>
      <c r="O506" s="2" t="s">
        <v>2180</v>
      </c>
      <c r="P506" s="2">
        <v>5559</v>
      </c>
      <c r="Q506" s="2" t="str">
        <f>""</f>
        <v/>
      </c>
      <c r="R506" s="2"/>
      <c r="S506" s="2"/>
      <c r="T506" s="2">
        <v>1</v>
      </c>
      <c r="U506" s="2" t="s">
        <v>79</v>
      </c>
      <c r="V506" s="2">
        <v>1</v>
      </c>
      <c r="W506" s="2" t="s">
        <v>80</v>
      </c>
      <c r="X506" s="2">
        <v>5</v>
      </c>
      <c r="Y506" s="2" t="s">
        <v>82</v>
      </c>
      <c r="Z506" s="2">
        <v>1</v>
      </c>
      <c r="AA506" s="2" t="s">
        <v>82</v>
      </c>
      <c r="AB506" s="2">
        <v>9</v>
      </c>
      <c r="AC506" s="2" t="s">
        <v>124</v>
      </c>
      <c r="AD506" s="3">
        <v>40221</v>
      </c>
      <c r="AE506" s="4">
        <v>3.4722222222222224E-2</v>
      </c>
      <c r="AF506" s="2"/>
      <c r="AG506" s="2"/>
      <c r="AH506" s="2">
        <v>2</v>
      </c>
      <c r="AI506" s="2" t="s">
        <v>84</v>
      </c>
      <c r="AJ506" s="2">
        <v>8</v>
      </c>
      <c r="AK506" s="2" t="s">
        <v>436</v>
      </c>
      <c r="AL506" s="2">
        <v>18</v>
      </c>
      <c r="AM506" s="2" t="s">
        <v>82</v>
      </c>
      <c r="AN506" s="2"/>
      <c r="AO506" s="2"/>
      <c r="AP506" s="2">
        <v>11</v>
      </c>
      <c r="AQ506" s="2" t="s">
        <v>82</v>
      </c>
      <c r="AR506" s="2"/>
      <c r="AS506" s="2"/>
      <c r="AT506" s="2" t="s">
        <v>2238</v>
      </c>
      <c r="AU506" s="2">
        <v>1</v>
      </c>
      <c r="AV506" s="2"/>
      <c r="AW506" s="2"/>
      <c r="AX506" s="2"/>
      <c r="AY506" s="2">
        <v>41</v>
      </c>
      <c r="AZ506" s="2" t="s">
        <v>82</v>
      </c>
      <c r="BA506" s="2">
        <v>41</v>
      </c>
      <c r="BB506" s="2" t="s">
        <v>82</v>
      </c>
      <c r="BC506" s="2">
        <v>41</v>
      </c>
      <c r="BD506" s="2" t="s">
        <v>82</v>
      </c>
      <c r="BE506" s="2">
        <v>41</v>
      </c>
      <c r="BF506" s="2" t="s">
        <v>82</v>
      </c>
      <c r="BG506" s="2"/>
      <c r="BH506" s="2"/>
      <c r="BI506" s="2"/>
      <c r="BJ506" s="2">
        <v>241</v>
      </c>
      <c r="BK506" s="2" t="s">
        <v>82</v>
      </c>
      <c r="BL506" s="2"/>
      <c r="BM506" s="2">
        <v>241</v>
      </c>
      <c r="BN506" s="2" t="s">
        <v>82</v>
      </c>
      <c r="BO506" s="2"/>
      <c r="BP506" s="2">
        <v>241</v>
      </c>
      <c r="BQ506" s="2" t="s">
        <v>82</v>
      </c>
      <c r="BR506" s="2"/>
      <c r="BS506" s="3">
        <v>40221</v>
      </c>
      <c r="BT506" s="4">
        <v>7.947916666666667E-2</v>
      </c>
    </row>
    <row r="507" spans="1:72" x14ac:dyDescent="0.25">
      <c r="A507" s="2">
        <v>804</v>
      </c>
      <c r="B507" s="2">
        <v>2010</v>
      </c>
      <c r="C507" s="2" t="s">
        <v>549</v>
      </c>
      <c r="D507" s="2" t="s">
        <v>73</v>
      </c>
      <c r="E507" s="2"/>
      <c r="F507" s="2">
        <v>3</v>
      </c>
      <c r="G507" s="2" t="s">
        <v>1041</v>
      </c>
      <c r="H507" s="2">
        <v>42</v>
      </c>
      <c r="I507" s="2" t="s">
        <v>1096</v>
      </c>
      <c r="J507" s="2">
        <v>368</v>
      </c>
      <c r="K507" s="2" t="s">
        <v>1042</v>
      </c>
      <c r="L507" s="2" t="s">
        <v>1043</v>
      </c>
      <c r="M507" s="3">
        <v>40221</v>
      </c>
      <c r="N507" s="2"/>
      <c r="O507" s="2" t="s">
        <v>2239</v>
      </c>
      <c r="P507" s="2"/>
      <c r="Q507" s="2" t="str">
        <f>"082-E/10"</f>
        <v>082-E/10</v>
      </c>
      <c r="R507" s="2" t="s">
        <v>2240</v>
      </c>
      <c r="S507" s="2" t="s">
        <v>2240</v>
      </c>
      <c r="T507" s="2">
        <v>1</v>
      </c>
      <c r="U507" s="2" t="s">
        <v>79</v>
      </c>
      <c r="V507" s="2">
        <v>1</v>
      </c>
      <c r="W507" s="2" t="s">
        <v>80</v>
      </c>
      <c r="X507" s="2">
        <v>1</v>
      </c>
      <c r="Y507" s="2" t="s">
        <v>81</v>
      </c>
      <c r="Z507" s="2">
        <v>1</v>
      </c>
      <c r="AA507" s="2" t="s">
        <v>82</v>
      </c>
      <c r="AB507" s="2">
        <v>9</v>
      </c>
      <c r="AC507" s="2" t="s">
        <v>124</v>
      </c>
      <c r="AD507" s="3">
        <v>40220</v>
      </c>
      <c r="AE507" s="4">
        <v>0.24305555555555555</v>
      </c>
      <c r="AF507" s="3">
        <v>40220</v>
      </c>
      <c r="AG507" s="4">
        <v>0.79166666666666663</v>
      </c>
      <c r="AH507" s="2">
        <v>2</v>
      </c>
      <c r="AI507" s="2" t="s">
        <v>84</v>
      </c>
      <c r="AJ507" s="2">
        <v>9</v>
      </c>
      <c r="AK507" s="2" t="s">
        <v>103</v>
      </c>
      <c r="AL507" s="2">
        <v>9</v>
      </c>
      <c r="AM507" s="2" t="s">
        <v>259</v>
      </c>
      <c r="AN507" s="2" t="s">
        <v>2241</v>
      </c>
      <c r="AO507" s="2" t="s">
        <v>2242</v>
      </c>
      <c r="AP507" s="2">
        <v>11</v>
      </c>
      <c r="AQ507" s="2" t="s">
        <v>82</v>
      </c>
      <c r="AR507" s="2"/>
      <c r="AS507" s="2"/>
      <c r="AT507" s="2" t="s">
        <v>2243</v>
      </c>
      <c r="AU507" s="2"/>
      <c r="AV507" s="2"/>
      <c r="AW507" s="2"/>
      <c r="AX507" s="2"/>
      <c r="AY507" s="2">
        <v>41</v>
      </c>
      <c r="AZ507" s="2" t="s">
        <v>82</v>
      </c>
      <c r="BA507" s="2">
        <v>41</v>
      </c>
      <c r="BB507" s="2" t="s">
        <v>82</v>
      </c>
      <c r="BC507" s="2">
        <v>41</v>
      </c>
      <c r="BD507" s="2" t="s">
        <v>82</v>
      </c>
      <c r="BE507" s="2">
        <v>41</v>
      </c>
      <c r="BF507" s="2" t="s">
        <v>82</v>
      </c>
      <c r="BG507" s="2"/>
      <c r="BH507" s="2"/>
      <c r="BI507" s="2"/>
      <c r="BJ507" s="2">
        <v>241</v>
      </c>
      <c r="BK507" s="2" t="s">
        <v>82</v>
      </c>
      <c r="BL507" s="2"/>
      <c r="BM507" s="2">
        <v>241</v>
      </c>
      <c r="BN507" s="2" t="s">
        <v>82</v>
      </c>
      <c r="BO507" s="2"/>
      <c r="BP507" s="2">
        <v>241</v>
      </c>
      <c r="BQ507" s="2" t="s">
        <v>82</v>
      </c>
      <c r="BR507" s="2"/>
      <c r="BS507" s="3">
        <v>40221</v>
      </c>
      <c r="BT507" s="4">
        <v>8.245370370370371E-2</v>
      </c>
    </row>
    <row r="508" spans="1:72" x14ac:dyDescent="0.25">
      <c r="A508" s="2">
        <v>805</v>
      </c>
      <c r="B508" s="2">
        <v>2010</v>
      </c>
      <c r="C508" s="2" t="s">
        <v>726</v>
      </c>
      <c r="D508" s="2" t="s">
        <v>73</v>
      </c>
      <c r="E508" s="2"/>
      <c r="F508" s="2">
        <v>229</v>
      </c>
      <c r="G508" s="2" t="s">
        <v>2244</v>
      </c>
      <c r="H508" s="2">
        <v>9</v>
      </c>
      <c r="I508" s="2" t="s">
        <v>794</v>
      </c>
      <c r="J508" s="2">
        <v>243</v>
      </c>
      <c r="K508" s="2" t="s">
        <v>2160</v>
      </c>
      <c r="L508" s="2" t="s">
        <v>2145</v>
      </c>
      <c r="M508" s="3">
        <v>40221</v>
      </c>
      <c r="N508" s="2" t="s">
        <v>2245</v>
      </c>
      <c r="O508" s="2" t="s">
        <v>2246</v>
      </c>
      <c r="P508" s="2"/>
      <c r="Q508" s="2" t="str">
        <f>"083-E/10"</f>
        <v>083-E/10</v>
      </c>
      <c r="R508" s="2" t="s">
        <v>2247</v>
      </c>
      <c r="S508" s="2" t="s">
        <v>2247</v>
      </c>
      <c r="T508" s="2">
        <v>1</v>
      </c>
      <c r="U508" s="2" t="s">
        <v>79</v>
      </c>
      <c r="V508" s="2">
        <v>1</v>
      </c>
      <c r="W508" s="2" t="s">
        <v>80</v>
      </c>
      <c r="X508" s="2">
        <v>1</v>
      </c>
      <c r="Y508" s="2" t="s">
        <v>81</v>
      </c>
      <c r="Z508" s="2">
        <v>1</v>
      </c>
      <c r="AA508" s="2" t="s">
        <v>82</v>
      </c>
      <c r="AB508" s="2">
        <v>9</v>
      </c>
      <c r="AC508" s="2" t="s">
        <v>124</v>
      </c>
      <c r="AD508" s="3">
        <v>40220</v>
      </c>
      <c r="AE508" s="4">
        <v>0.82291666666666663</v>
      </c>
      <c r="AF508" s="3">
        <v>40220</v>
      </c>
      <c r="AG508" s="4">
        <v>0.82291666666666663</v>
      </c>
      <c r="AH508" s="2">
        <v>2</v>
      </c>
      <c r="AI508" s="2" t="s">
        <v>84</v>
      </c>
      <c r="AJ508" s="2">
        <v>9</v>
      </c>
      <c r="AK508" s="2" t="s">
        <v>103</v>
      </c>
      <c r="AL508" s="2">
        <v>12</v>
      </c>
      <c r="AM508" s="2" t="s">
        <v>86</v>
      </c>
      <c r="AN508" s="2" t="s">
        <v>2248</v>
      </c>
      <c r="AO508" s="2" t="s">
        <v>2249</v>
      </c>
      <c r="AP508" s="2">
        <v>11</v>
      </c>
      <c r="AQ508" s="2" t="s">
        <v>82</v>
      </c>
      <c r="AR508" s="2"/>
      <c r="AS508" s="2"/>
      <c r="AT508" s="2" t="s">
        <v>2250</v>
      </c>
      <c r="AU508" s="2"/>
      <c r="AV508" s="2"/>
      <c r="AW508" s="2"/>
      <c r="AX508" s="2"/>
      <c r="AY508" s="2">
        <v>1</v>
      </c>
      <c r="AZ508" s="2" t="s">
        <v>107</v>
      </c>
      <c r="BA508" s="2">
        <v>1</v>
      </c>
      <c r="BB508" s="2" t="s">
        <v>107</v>
      </c>
      <c r="BC508" s="2">
        <v>1</v>
      </c>
      <c r="BD508" s="2" t="s">
        <v>107</v>
      </c>
      <c r="BE508" s="2">
        <v>1</v>
      </c>
      <c r="BF508" s="2" t="s">
        <v>107</v>
      </c>
      <c r="BG508" s="2"/>
      <c r="BH508" s="2"/>
      <c r="BI508" s="2"/>
      <c r="BJ508" s="2">
        <v>73</v>
      </c>
      <c r="BK508" s="2" t="s">
        <v>186</v>
      </c>
      <c r="BL508" s="2"/>
      <c r="BM508" s="2">
        <v>242</v>
      </c>
      <c r="BN508" s="2" t="s">
        <v>107</v>
      </c>
      <c r="BO508" s="2"/>
      <c r="BP508" s="2">
        <v>242</v>
      </c>
      <c r="BQ508" s="2" t="s">
        <v>107</v>
      </c>
      <c r="BR508" s="2"/>
      <c r="BS508" s="3">
        <v>40221</v>
      </c>
      <c r="BT508" s="4">
        <v>0.13623842592592592</v>
      </c>
    </row>
    <row r="509" spans="1:72" x14ac:dyDescent="0.25">
      <c r="A509" s="2">
        <v>806</v>
      </c>
      <c r="B509" s="2">
        <v>2010</v>
      </c>
      <c r="C509" s="2" t="s">
        <v>128</v>
      </c>
      <c r="D509" s="2" t="s">
        <v>122</v>
      </c>
      <c r="E509" s="2"/>
      <c r="F509" s="2">
        <v>1</v>
      </c>
      <c r="G509" s="2" t="s">
        <v>82</v>
      </c>
      <c r="H509" s="2">
        <v>1</v>
      </c>
      <c r="I509" s="2" t="s">
        <v>82</v>
      </c>
      <c r="J509" s="2">
        <v>1</v>
      </c>
      <c r="K509" s="2" t="s">
        <v>107</v>
      </c>
      <c r="L509" s="2" t="s">
        <v>107</v>
      </c>
      <c r="M509" s="3">
        <v>40221</v>
      </c>
      <c r="N509" s="2"/>
      <c r="O509" s="2"/>
      <c r="P509" s="2"/>
      <c r="Q509" s="2" t="str">
        <f>""</f>
        <v/>
      </c>
      <c r="R509" s="2"/>
      <c r="S509" s="2"/>
      <c r="T509" s="2">
        <v>1</v>
      </c>
      <c r="U509" s="2" t="s">
        <v>79</v>
      </c>
      <c r="V509" s="2">
        <v>1</v>
      </c>
      <c r="W509" s="2" t="s">
        <v>80</v>
      </c>
      <c r="X509" s="2">
        <v>5</v>
      </c>
      <c r="Y509" s="2" t="s">
        <v>82</v>
      </c>
      <c r="Z509" s="2">
        <v>1</v>
      </c>
      <c r="AA509" s="2" t="s">
        <v>82</v>
      </c>
      <c r="AB509" s="2">
        <v>9</v>
      </c>
      <c r="AC509" s="2" t="s">
        <v>124</v>
      </c>
      <c r="AD509" s="3">
        <v>40221</v>
      </c>
      <c r="AE509" s="4">
        <v>0.25</v>
      </c>
      <c r="AF509" s="2"/>
      <c r="AG509" s="2"/>
      <c r="AH509" s="2">
        <v>5</v>
      </c>
      <c r="AI509" s="2" t="s">
        <v>274</v>
      </c>
      <c r="AJ509" s="2">
        <v>43</v>
      </c>
      <c r="AK509" s="2" t="s">
        <v>918</v>
      </c>
      <c r="AL509" s="2">
        <v>18</v>
      </c>
      <c r="AM509" s="2" t="s">
        <v>82</v>
      </c>
      <c r="AN509" s="2"/>
      <c r="AO509" s="2"/>
      <c r="AP509" s="2">
        <v>11</v>
      </c>
      <c r="AQ509" s="2" t="s">
        <v>82</v>
      </c>
      <c r="AR509" s="2"/>
      <c r="AS509" s="2"/>
      <c r="AT509" s="2" t="s">
        <v>2251</v>
      </c>
      <c r="AU509" s="2"/>
      <c r="AV509" s="2"/>
      <c r="AW509" s="2"/>
      <c r="AX509" s="2"/>
      <c r="AY509" s="2">
        <v>1</v>
      </c>
      <c r="AZ509" s="2" t="s">
        <v>107</v>
      </c>
      <c r="BA509" s="2">
        <v>1</v>
      </c>
      <c r="BB509" s="2" t="s">
        <v>107</v>
      </c>
      <c r="BC509" s="2">
        <v>1</v>
      </c>
      <c r="BD509" s="2" t="s">
        <v>107</v>
      </c>
      <c r="BE509" s="2">
        <v>1</v>
      </c>
      <c r="BF509" s="2" t="s">
        <v>107</v>
      </c>
      <c r="BG509" s="2"/>
      <c r="BH509" s="2"/>
      <c r="BI509" s="2"/>
      <c r="BJ509" s="2">
        <v>242</v>
      </c>
      <c r="BK509" s="2" t="s">
        <v>107</v>
      </c>
      <c r="BL509" s="2"/>
      <c r="BM509" s="2">
        <v>242</v>
      </c>
      <c r="BN509" s="2" t="s">
        <v>107</v>
      </c>
      <c r="BO509" s="2"/>
      <c r="BP509" s="2">
        <v>242</v>
      </c>
      <c r="BQ509" s="2" t="s">
        <v>107</v>
      </c>
      <c r="BR509" s="2"/>
      <c r="BS509" s="3">
        <v>40221</v>
      </c>
      <c r="BT509" s="4">
        <v>0.38309027777777777</v>
      </c>
    </row>
    <row r="510" spans="1:72" x14ac:dyDescent="0.25">
      <c r="A510" s="2">
        <v>807</v>
      </c>
      <c r="B510" s="2">
        <v>2010</v>
      </c>
      <c r="C510" s="2" t="s">
        <v>457</v>
      </c>
      <c r="D510" s="2" t="s">
        <v>73</v>
      </c>
      <c r="E510" s="2"/>
      <c r="F510" s="2">
        <v>467</v>
      </c>
      <c r="G510" s="2" t="s">
        <v>1053</v>
      </c>
      <c r="H510" s="2">
        <v>22</v>
      </c>
      <c r="I510" s="2" t="s">
        <v>75</v>
      </c>
      <c r="J510" s="2">
        <v>369</v>
      </c>
      <c r="K510" s="2" t="s">
        <v>1054</v>
      </c>
      <c r="L510" s="2" t="s">
        <v>1055</v>
      </c>
      <c r="M510" s="3">
        <v>40221</v>
      </c>
      <c r="N510" s="2" t="s">
        <v>2252</v>
      </c>
      <c r="O510" s="2" t="s">
        <v>2253</v>
      </c>
      <c r="P510" s="2" t="s">
        <v>2254</v>
      </c>
      <c r="Q510" s="2" t="str">
        <f>""</f>
        <v/>
      </c>
      <c r="R510" s="2"/>
      <c r="S510" s="2"/>
      <c r="T510" s="2">
        <v>1</v>
      </c>
      <c r="U510" s="2" t="s">
        <v>79</v>
      </c>
      <c r="V510" s="2">
        <v>1</v>
      </c>
      <c r="W510" s="2" t="s">
        <v>80</v>
      </c>
      <c r="X510" s="2">
        <v>4</v>
      </c>
      <c r="Y510" s="2" t="s">
        <v>463</v>
      </c>
      <c r="Z510" s="2">
        <v>6</v>
      </c>
      <c r="AA510" s="2" t="s">
        <v>101</v>
      </c>
      <c r="AB510" s="2">
        <v>9</v>
      </c>
      <c r="AC510" s="2" t="s">
        <v>124</v>
      </c>
      <c r="AD510" s="3">
        <v>40221</v>
      </c>
      <c r="AE510" s="4">
        <v>0.33333333333333331</v>
      </c>
      <c r="AF510" s="2"/>
      <c r="AG510" s="2"/>
      <c r="AH510" s="2">
        <v>4</v>
      </c>
      <c r="AI510" s="2" t="s">
        <v>125</v>
      </c>
      <c r="AJ510" s="2">
        <v>29</v>
      </c>
      <c r="AK510" s="2" t="s">
        <v>227</v>
      </c>
      <c r="AL510" s="2">
        <v>2</v>
      </c>
      <c r="AM510" s="2" t="s">
        <v>163</v>
      </c>
      <c r="AN510" s="2"/>
      <c r="AO510" s="2"/>
      <c r="AP510" s="2">
        <v>11</v>
      </c>
      <c r="AQ510" s="2" t="s">
        <v>82</v>
      </c>
      <c r="AR510" s="2"/>
      <c r="AS510" s="2"/>
      <c r="AT510" s="2" t="s">
        <v>2255</v>
      </c>
      <c r="AU510" s="2">
        <v>1</v>
      </c>
      <c r="AV510" s="2"/>
      <c r="AW510" s="2"/>
      <c r="AX510" s="2"/>
      <c r="AY510" s="2">
        <v>41</v>
      </c>
      <c r="AZ510" s="2" t="s">
        <v>82</v>
      </c>
      <c r="BA510" s="2">
        <v>41</v>
      </c>
      <c r="BB510" s="2" t="s">
        <v>82</v>
      </c>
      <c r="BC510" s="2">
        <v>42</v>
      </c>
      <c r="BD510" s="2" t="s">
        <v>182</v>
      </c>
      <c r="BE510" s="2">
        <v>48</v>
      </c>
      <c r="BF510" s="2" t="s">
        <v>1123</v>
      </c>
      <c r="BG510" s="2">
        <v>853</v>
      </c>
      <c r="BH510" s="2"/>
      <c r="BI510" s="4">
        <v>0.33333333333333331</v>
      </c>
      <c r="BJ510" s="2">
        <v>13</v>
      </c>
      <c r="BK510" s="2" t="s">
        <v>91</v>
      </c>
      <c r="BL510" s="2" t="s">
        <v>828</v>
      </c>
      <c r="BM510" s="2">
        <v>241</v>
      </c>
      <c r="BN510" s="2" t="s">
        <v>82</v>
      </c>
      <c r="BO510" s="2"/>
      <c r="BP510" s="2">
        <v>13</v>
      </c>
      <c r="BQ510" s="2" t="s">
        <v>91</v>
      </c>
      <c r="BR510" s="2" t="s">
        <v>185</v>
      </c>
      <c r="BS510" s="3">
        <v>40221</v>
      </c>
      <c r="BT510" s="4">
        <v>0.46513888888888894</v>
      </c>
    </row>
    <row r="511" spans="1:72" x14ac:dyDescent="0.25">
      <c r="A511" s="2">
        <v>808</v>
      </c>
      <c r="B511" s="2">
        <v>2010</v>
      </c>
      <c r="C511" s="2" t="s">
        <v>72</v>
      </c>
      <c r="D511" s="2" t="s">
        <v>73</v>
      </c>
      <c r="E511" s="2"/>
      <c r="F511" s="2">
        <v>495</v>
      </c>
      <c r="G511" s="2" t="s">
        <v>1849</v>
      </c>
      <c r="H511" s="2">
        <v>22</v>
      </c>
      <c r="I511" s="2" t="s">
        <v>75</v>
      </c>
      <c r="J511" s="2">
        <v>400</v>
      </c>
      <c r="K511" s="2" t="s">
        <v>1850</v>
      </c>
      <c r="L511" s="2" t="s">
        <v>1851</v>
      </c>
      <c r="M511" s="3">
        <v>40221</v>
      </c>
      <c r="N511" s="2" t="s">
        <v>2256</v>
      </c>
      <c r="O511" s="2"/>
      <c r="P511" s="2"/>
      <c r="Q511" s="2" t="str">
        <f>"054-A/10"</f>
        <v>054-A/10</v>
      </c>
      <c r="R511" s="2"/>
      <c r="S511" s="2" t="s">
        <v>601</v>
      </c>
      <c r="T511" s="2">
        <v>1</v>
      </c>
      <c r="U511" s="2" t="s">
        <v>79</v>
      </c>
      <c r="V511" s="2">
        <v>1</v>
      </c>
      <c r="W511" s="2" t="s">
        <v>80</v>
      </c>
      <c r="X511" s="2">
        <v>1</v>
      </c>
      <c r="Y511" s="2" t="s">
        <v>81</v>
      </c>
      <c r="Z511" s="2">
        <v>1</v>
      </c>
      <c r="AA511" s="2" t="s">
        <v>82</v>
      </c>
      <c r="AB511" s="2">
        <v>6</v>
      </c>
      <c r="AC511" s="2" t="s">
        <v>83</v>
      </c>
      <c r="AD511" s="3">
        <v>40221</v>
      </c>
      <c r="AE511" s="4">
        <v>0.3125</v>
      </c>
      <c r="AF511" s="3">
        <v>40221</v>
      </c>
      <c r="AG511" s="4">
        <v>0.39930555555555558</v>
      </c>
      <c r="AH511" s="2">
        <v>2</v>
      </c>
      <c r="AI511" s="2" t="s">
        <v>84</v>
      </c>
      <c r="AJ511" s="2">
        <v>12</v>
      </c>
      <c r="AK511" s="2" t="s">
        <v>85</v>
      </c>
      <c r="AL511" s="2">
        <v>9</v>
      </c>
      <c r="AM511" s="2" t="s">
        <v>259</v>
      </c>
      <c r="AN511" s="2" t="s">
        <v>2257</v>
      </c>
      <c r="AO511" s="2" t="s">
        <v>2258</v>
      </c>
      <c r="AP511" s="2">
        <v>11</v>
      </c>
      <c r="AQ511" s="2" t="s">
        <v>82</v>
      </c>
      <c r="AR511" s="2"/>
      <c r="AS511" s="2"/>
      <c r="AT511" s="2" t="s">
        <v>2259</v>
      </c>
      <c r="AU511" s="2"/>
      <c r="AV511" s="2"/>
      <c r="AW511" s="2"/>
      <c r="AX511" s="2"/>
      <c r="AY511" s="2">
        <v>41</v>
      </c>
      <c r="AZ511" s="2" t="s">
        <v>82</v>
      </c>
      <c r="BA511" s="2">
        <v>41</v>
      </c>
      <c r="BB511" s="2" t="s">
        <v>82</v>
      </c>
      <c r="BC511" s="2">
        <v>41</v>
      </c>
      <c r="BD511" s="2" t="s">
        <v>82</v>
      </c>
      <c r="BE511" s="2">
        <v>41</v>
      </c>
      <c r="BF511" s="2" t="s">
        <v>82</v>
      </c>
      <c r="BG511" s="2"/>
      <c r="BH511" s="2"/>
      <c r="BI511" s="2"/>
      <c r="BJ511" s="2">
        <v>241</v>
      </c>
      <c r="BK511" s="2" t="s">
        <v>82</v>
      </c>
      <c r="BL511" s="2"/>
      <c r="BM511" s="2">
        <v>241</v>
      </c>
      <c r="BN511" s="2" t="s">
        <v>82</v>
      </c>
      <c r="BO511" s="2"/>
      <c r="BP511" s="2">
        <v>241</v>
      </c>
      <c r="BQ511" s="2" t="s">
        <v>82</v>
      </c>
      <c r="BR511" s="2"/>
      <c r="BS511" s="3">
        <v>40221</v>
      </c>
      <c r="BT511" s="4">
        <v>0.49285879629629631</v>
      </c>
    </row>
    <row r="512" spans="1:72" x14ac:dyDescent="0.25">
      <c r="A512" s="2">
        <v>809</v>
      </c>
      <c r="B512" s="2">
        <v>2010</v>
      </c>
      <c r="C512" s="2" t="s">
        <v>147</v>
      </c>
      <c r="D512" s="2" t="s">
        <v>73</v>
      </c>
      <c r="E512" s="2"/>
      <c r="F512" s="2">
        <v>1</v>
      </c>
      <c r="G512" s="2" t="s">
        <v>82</v>
      </c>
      <c r="H512" s="2">
        <v>1</v>
      </c>
      <c r="I512" s="2" t="s">
        <v>82</v>
      </c>
      <c r="J512" s="2">
        <v>1</v>
      </c>
      <c r="K512" s="2" t="s">
        <v>107</v>
      </c>
      <c r="L512" s="2" t="s">
        <v>107</v>
      </c>
      <c r="M512" s="3">
        <v>40221</v>
      </c>
      <c r="N512" s="2"/>
      <c r="O512" s="2"/>
      <c r="P512" s="2"/>
      <c r="Q512" s="2" t="str">
        <f>""</f>
        <v/>
      </c>
      <c r="R512" s="2"/>
      <c r="S512" s="2"/>
      <c r="T512" s="2">
        <v>2</v>
      </c>
      <c r="U512" s="2" t="s">
        <v>123</v>
      </c>
      <c r="V512" s="2">
        <v>1</v>
      </c>
      <c r="W512" s="2" t="s">
        <v>80</v>
      </c>
      <c r="X512" s="2">
        <v>12</v>
      </c>
      <c r="Y512" s="2" t="s">
        <v>148</v>
      </c>
      <c r="Z512" s="2">
        <v>1</v>
      </c>
      <c r="AA512" s="2" t="s">
        <v>82</v>
      </c>
      <c r="AB512" s="2">
        <v>9</v>
      </c>
      <c r="AC512" s="2" t="s">
        <v>124</v>
      </c>
      <c r="AD512" s="3">
        <v>40214</v>
      </c>
      <c r="AE512" s="2"/>
      <c r="AF512" s="3">
        <v>40221</v>
      </c>
      <c r="AG512" s="4">
        <v>0.4375</v>
      </c>
      <c r="AH512" s="2">
        <v>2</v>
      </c>
      <c r="AI512" s="2" t="s">
        <v>84</v>
      </c>
      <c r="AJ512" s="2">
        <v>12</v>
      </c>
      <c r="AK512" s="2" t="s">
        <v>85</v>
      </c>
      <c r="AL512" s="2">
        <v>19</v>
      </c>
      <c r="AM512" s="2" t="s">
        <v>107</v>
      </c>
      <c r="AN512" s="2" t="s">
        <v>107</v>
      </c>
      <c r="AO512" s="2" t="s">
        <v>149</v>
      </c>
      <c r="AP512" s="2">
        <v>11</v>
      </c>
      <c r="AQ512" s="2" t="s">
        <v>82</v>
      </c>
      <c r="AR512" s="2" t="s">
        <v>82</v>
      </c>
      <c r="AS512" s="2" t="s">
        <v>82</v>
      </c>
      <c r="AT512" s="2" t="s">
        <v>2260</v>
      </c>
      <c r="AU512" s="2"/>
      <c r="AV512" s="2"/>
      <c r="AW512" s="2"/>
      <c r="AX512" s="2"/>
      <c r="AY512" s="2">
        <v>41</v>
      </c>
      <c r="AZ512" s="2" t="s">
        <v>82</v>
      </c>
      <c r="BA512" s="2">
        <v>41</v>
      </c>
      <c r="BB512" s="2" t="s">
        <v>82</v>
      </c>
      <c r="BC512" s="2">
        <v>41</v>
      </c>
      <c r="BD512" s="2" t="s">
        <v>82</v>
      </c>
      <c r="BE512" s="2">
        <v>41</v>
      </c>
      <c r="BF512" s="2" t="s">
        <v>82</v>
      </c>
      <c r="BG512" s="2"/>
      <c r="BH512" s="2"/>
      <c r="BI512" s="2"/>
      <c r="BJ512" s="2">
        <v>241</v>
      </c>
      <c r="BK512" s="2" t="s">
        <v>82</v>
      </c>
      <c r="BL512" s="2"/>
      <c r="BM512" s="2">
        <v>241</v>
      </c>
      <c r="BN512" s="2" t="s">
        <v>82</v>
      </c>
      <c r="BO512" s="2"/>
      <c r="BP512" s="2">
        <v>241</v>
      </c>
      <c r="BQ512" s="2" t="s">
        <v>82</v>
      </c>
      <c r="BR512" s="2"/>
      <c r="BS512" s="3">
        <v>40221</v>
      </c>
      <c r="BT512" s="4">
        <v>0.50285879629629626</v>
      </c>
    </row>
    <row r="513" spans="1:72" x14ac:dyDescent="0.25">
      <c r="A513" s="2">
        <v>813</v>
      </c>
      <c r="B513" s="2">
        <v>2010</v>
      </c>
      <c r="C513" s="2" t="s">
        <v>196</v>
      </c>
      <c r="D513" s="2" t="s">
        <v>122</v>
      </c>
      <c r="E513" s="2"/>
      <c r="F513" s="2">
        <v>1</v>
      </c>
      <c r="G513" s="2" t="s">
        <v>82</v>
      </c>
      <c r="H513" s="2">
        <v>1</v>
      </c>
      <c r="I513" s="2" t="s">
        <v>82</v>
      </c>
      <c r="J513" s="2">
        <v>1</v>
      </c>
      <c r="K513" s="2" t="s">
        <v>107</v>
      </c>
      <c r="L513" s="2" t="s">
        <v>107</v>
      </c>
      <c r="M513" s="3">
        <v>40221</v>
      </c>
      <c r="N513" s="2"/>
      <c r="O513" s="2"/>
      <c r="P513" s="2"/>
      <c r="Q513" s="2" t="str">
        <f>""</f>
        <v/>
      </c>
      <c r="R513" s="2"/>
      <c r="S513" s="2"/>
      <c r="T513" s="2">
        <v>2</v>
      </c>
      <c r="U513" s="2" t="s">
        <v>123</v>
      </c>
      <c r="V513" s="2">
        <v>1</v>
      </c>
      <c r="W513" s="2" t="s">
        <v>80</v>
      </c>
      <c r="X513" s="2">
        <v>1</v>
      </c>
      <c r="Y513" s="2" t="s">
        <v>81</v>
      </c>
      <c r="Z513" s="2">
        <v>1</v>
      </c>
      <c r="AA513" s="2" t="s">
        <v>82</v>
      </c>
      <c r="AB513" s="2">
        <v>9</v>
      </c>
      <c r="AC513" s="2" t="s">
        <v>124</v>
      </c>
      <c r="AD513" s="3">
        <v>40221</v>
      </c>
      <c r="AE513" s="4">
        <v>0.47916666666666669</v>
      </c>
      <c r="AF513" s="2"/>
      <c r="AG513" s="2"/>
      <c r="AH513" s="2">
        <v>2</v>
      </c>
      <c r="AI513" s="2" t="s">
        <v>84</v>
      </c>
      <c r="AJ513" s="2">
        <v>12</v>
      </c>
      <c r="AK513" s="2" t="s">
        <v>85</v>
      </c>
      <c r="AL513" s="2">
        <v>20</v>
      </c>
      <c r="AM513" s="2" t="s">
        <v>992</v>
      </c>
      <c r="AN513" s="2" t="s">
        <v>107</v>
      </c>
      <c r="AO513" s="2" t="s">
        <v>107</v>
      </c>
      <c r="AP513" s="2">
        <v>11</v>
      </c>
      <c r="AQ513" s="2" t="s">
        <v>82</v>
      </c>
      <c r="AR513" s="2" t="s">
        <v>82</v>
      </c>
      <c r="AS513" s="2" t="s">
        <v>82</v>
      </c>
      <c r="AT513" s="2" t="s">
        <v>2261</v>
      </c>
      <c r="AU513" s="2"/>
      <c r="AV513" s="2"/>
      <c r="AW513" s="2"/>
      <c r="AX513" s="2"/>
      <c r="AY513" s="2">
        <v>1</v>
      </c>
      <c r="AZ513" s="2" t="s">
        <v>107</v>
      </c>
      <c r="BA513" s="2">
        <v>1</v>
      </c>
      <c r="BB513" s="2" t="s">
        <v>107</v>
      </c>
      <c r="BC513" s="2">
        <v>1</v>
      </c>
      <c r="BD513" s="2" t="s">
        <v>107</v>
      </c>
      <c r="BE513" s="2">
        <v>1</v>
      </c>
      <c r="BF513" s="2" t="s">
        <v>107</v>
      </c>
      <c r="BG513" s="2"/>
      <c r="BH513" s="4">
        <v>0.47916666666666669</v>
      </c>
      <c r="BI513" s="4">
        <v>0.4826388888888889</v>
      </c>
      <c r="BJ513" s="2">
        <v>13</v>
      </c>
      <c r="BK513" s="2" t="s">
        <v>91</v>
      </c>
      <c r="BL513" s="2" t="s">
        <v>82</v>
      </c>
      <c r="BM513" s="2">
        <v>242</v>
      </c>
      <c r="BN513" s="2" t="s">
        <v>107</v>
      </c>
      <c r="BO513" s="2" t="s">
        <v>82</v>
      </c>
      <c r="BP513" s="2">
        <v>242</v>
      </c>
      <c r="BQ513" s="2" t="s">
        <v>107</v>
      </c>
      <c r="BR513" s="2" t="s">
        <v>2262</v>
      </c>
      <c r="BS513" s="3">
        <v>40221</v>
      </c>
      <c r="BT513" s="4">
        <v>0.59187500000000004</v>
      </c>
    </row>
    <row r="514" spans="1:72" x14ac:dyDescent="0.25">
      <c r="A514" s="2">
        <v>814</v>
      </c>
      <c r="B514" s="2">
        <v>2010</v>
      </c>
      <c r="C514" s="2" t="s">
        <v>385</v>
      </c>
      <c r="D514" s="2" t="s">
        <v>73</v>
      </c>
      <c r="E514" s="2"/>
      <c r="F514" s="2">
        <v>467</v>
      </c>
      <c r="G514" s="2" t="s">
        <v>1053</v>
      </c>
      <c r="H514" s="2">
        <v>50</v>
      </c>
      <c r="I514" s="2" t="s">
        <v>107</v>
      </c>
      <c r="J514" s="2">
        <v>1</v>
      </c>
      <c r="K514" s="2" t="s">
        <v>107</v>
      </c>
      <c r="L514" s="2" t="s">
        <v>107</v>
      </c>
      <c r="M514" s="3">
        <v>40221</v>
      </c>
      <c r="N514" s="2" t="s">
        <v>107</v>
      </c>
      <c r="O514" s="2" t="s">
        <v>2263</v>
      </c>
      <c r="P514" s="2" t="s">
        <v>2264</v>
      </c>
      <c r="Q514" s="2" t="str">
        <f>"N/C"</f>
        <v>N/C</v>
      </c>
      <c r="R514" s="2" t="s">
        <v>107</v>
      </c>
      <c r="S514" s="2" t="s">
        <v>82</v>
      </c>
      <c r="T514" s="2">
        <v>1</v>
      </c>
      <c r="U514" s="2" t="s">
        <v>79</v>
      </c>
      <c r="V514" s="2">
        <v>1</v>
      </c>
      <c r="W514" s="2" t="s">
        <v>80</v>
      </c>
      <c r="X514" s="2">
        <v>1</v>
      </c>
      <c r="Y514" s="2" t="s">
        <v>81</v>
      </c>
      <c r="Z514" s="2">
        <v>1</v>
      </c>
      <c r="AA514" s="2" t="s">
        <v>82</v>
      </c>
      <c r="AB514" s="2">
        <v>9</v>
      </c>
      <c r="AC514" s="2" t="s">
        <v>124</v>
      </c>
      <c r="AD514" s="3">
        <v>40221</v>
      </c>
      <c r="AE514" s="4">
        <v>0.54166666666666663</v>
      </c>
      <c r="AF514" s="2"/>
      <c r="AG514" s="2"/>
      <c r="AH514" s="2">
        <v>2</v>
      </c>
      <c r="AI514" s="2" t="s">
        <v>84</v>
      </c>
      <c r="AJ514" s="2">
        <v>12</v>
      </c>
      <c r="AK514" s="2" t="s">
        <v>85</v>
      </c>
      <c r="AL514" s="2">
        <v>18</v>
      </c>
      <c r="AM514" s="2" t="s">
        <v>82</v>
      </c>
      <c r="AN514" s="2" t="s">
        <v>2265</v>
      </c>
      <c r="AO514" s="2" t="s">
        <v>2266</v>
      </c>
      <c r="AP514" s="2">
        <v>11</v>
      </c>
      <c r="AQ514" s="2" t="s">
        <v>82</v>
      </c>
      <c r="AR514" s="2" t="s">
        <v>82</v>
      </c>
      <c r="AS514" s="2" t="s">
        <v>82</v>
      </c>
      <c r="AT514" s="2" t="s">
        <v>2267</v>
      </c>
      <c r="AU514" s="2"/>
      <c r="AV514" s="2"/>
      <c r="AW514" s="2"/>
      <c r="AX514" s="2"/>
      <c r="AY514" s="2">
        <v>41</v>
      </c>
      <c r="AZ514" s="2" t="s">
        <v>82</v>
      </c>
      <c r="BA514" s="2">
        <v>41</v>
      </c>
      <c r="BB514" s="2" t="s">
        <v>82</v>
      </c>
      <c r="BC514" s="2">
        <v>41</v>
      </c>
      <c r="BD514" s="2" t="s">
        <v>82</v>
      </c>
      <c r="BE514" s="2">
        <v>48</v>
      </c>
      <c r="BF514" s="2" t="s">
        <v>1123</v>
      </c>
      <c r="BG514" s="2">
        <v>832</v>
      </c>
      <c r="BH514" s="4">
        <v>0.41666666666666669</v>
      </c>
      <c r="BI514" s="4">
        <v>0.33333333333333331</v>
      </c>
      <c r="BJ514" s="2">
        <v>13</v>
      </c>
      <c r="BK514" s="2" t="s">
        <v>91</v>
      </c>
      <c r="BL514" s="2" t="s">
        <v>828</v>
      </c>
      <c r="BM514" s="2">
        <v>241</v>
      </c>
      <c r="BN514" s="2" t="s">
        <v>82</v>
      </c>
      <c r="BO514" s="2" t="s">
        <v>82</v>
      </c>
      <c r="BP514" s="2">
        <v>13</v>
      </c>
      <c r="BQ514" s="2" t="s">
        <v>91</v>
      </c>
      <c r="BR514" s="2" t="s">
        <v>2268</v>
      </c>
      <c r="BS514" s="3">
        <v>40221</v>
      </c>
      <c r="BT514" s="4">
        <v>0.59916666666666674</v>
      </c>
    </row>
    <row r="515" spans="1:72" x14ac:dyDescent="0.25">
      <c r="A515" s="2">
        <v>818</v>
      </c>
      <c r="B515" s="2">
        <v>2010</v>
      </c>
      <c r="C515" s="2" t="s">
        <v>147</v>
      </c>
      <c r="D515" s="2" t="s">
        <v>73</v>
      </c>
      <c r="E515" s="2"/>
      <c r="F515" s="2">
        <v>1</v>
      </c>
      <c r="G515" s="2" t="s">
        <v>82</v>
      </c>
      <c r="H515" s="2">
        <v>1</v>
      </c>
      <c r="I515" s="2" t="s">
        <v>82</v>
      </c>
      <c r="J515" s="2">
        <v>1</v>
      </c>
      <c r="K515" s="2" t="s">
        <v>107</v>
      </c>
      <c r="L515" s="2" t="s">
        <v>107</v>
      </c>
      <c r="M515" s="3">
        <v>40221</v>
      </c>
      <c r="N515" s="2"/>
      <c r="O515" s="2"/>
      <c r="P515" s="2"/>
      <c r="Q515" s="2" t="str">
        <f>""</f>
        <v/>
      </c>
      <c r="R515" s="2"/>
      <c r="S515" s="2"/>
      <c r="T515" s="2">
        <v>2</v>
      </c>
      <c r="U515" s="2" t="s">
        <v>123</v>
      </c>
      <c r="V515" s="2">
        <v>1</v>
      </c>
      <c r="W515" s="2" t="s">
        <v>80</v>
      </c>
      <c r="X515" s="2">
        <v>12</v>
      </c>
      <c r="Y515" s="2" t="s">
        <v>148</v>
      </c>
      <c r="Z515" s="2">
        <v>1</v>
      </c>
      <c r="AA515" s="2" t="s">
        <v>82</v>
      </c>
      <c r="AB515" s="2">
        <v>9</v>
      </c>
      <c r="AC515" s="2" t="s">
        <v>124</v>
      </c>
      <c r="AD515" s="3">
        <v>40220</v>
      </c>
      <c r="AE515" s="4">
        <v>0</v>
      </c>
      <c r="AF515" s="3">
        <v>40221</v>
      </c>
      <c r="AG515" s="4">
        <v>0.60416666666666663</v>
      </c>
      <c r="AH515" s="2">
        <v>2</v>
      </c>
      <c r="AI515" s="2" t="s">
        <v>84</v>
      </c>
      <c r="AJ515" s="2">
        <v>12</v>
      </c>
      <c r="AK515" s="2" t="s">
        <v>85</v>
      </c>
      <c r="AL515" s="2">
        <v>19</v>
      </c>
      <c r="AM515" s="2" t="s">
        <v>107</v>
      </c>
      <c r="AN515" s="2"/>
      <c r="AO515" s="2" t="s">
        <v>2269</v>
      </c>
      <c r="AP515" s="2">
        <v>11</v>
      </c>
      <c r="AQ515" s="2" t="s">
        <v>82</v>
      </c>
      <c r="AR515" s="2"/>
      <c r="AS515" s="2"/>
      <c r="AT515" s="2" t="s">
        <v>2270</v>
      </c>
      <c r="AU515" s="2"/>
      <c r="AV515" s="2"/>
      <c r="AW515" s="2"/>
      <c r="AX515" s="2"/>
      <c r="AY515" s="2">
        <v>41</v>
      </c>
      <c r="AZ515" s="2" t="s">
        <v>82</v>
      </c>
      <c r="BA515" s="2">
        <v>41</v>
      </c>
      <c r="BB515" s="2" t="s">
        <v>82</v>
      </c>
      <c r="BC515" s="2">
        <v>41</v>
      </c>
      <c r="BD515" s="2" t="s">
        <v>82</v>
      </c>
      <c r="BE515" s="2">
        <v>41</v>
      </c>
      <c r="BF515" s="2" t="s">
        <v>82</v>
      </c>
      <c r="BG515" s="2"/>
      <c r="BH515" s="2"/>
      <c r="BI515" s="2"/>
      <c r="BJ515" s="2">
        <v>241</v>
      </c>
      <c r="BK515" s="2" t="s">
        <v>82</v>
      </c>
      <c r="BL515" s="2"/>
      <c r="BM515" s="2">
        <v>241</v>
      </c>
      <c r="BN515" s="2" t="s">
        <v>82</v>
      </c>
      <c r="BO515" s="2"/>
      <c r="BP515" s="2">
        <v>241</v>
      </c>
      <c r="BQ515" s="2" t="s">
        <v>82</v>
      </c>
      <c r="BR515" s="2"/>
      <c r="BS515" s="3">
        <v>40221</v>
      </c>
      <c r="BT515" s="4">
        <v>0.65260416666666665</v>
      </c>
    </row>
    <row r="516" spans="1:72" x14ac:dyDescent="0.25">
      <c r="A516" s="2">
        <v>821</v>
      </c>
      <c r="B516" s="2">
        <v>2010</v>
      </c>
      <c r="C516" s="2" t="s">
        <v>147</v>
      </c>
      <c r="D516" s="2" t="s">
        <v>73</v>
      </c>
      <c r="E516" s="2"/>
      <c r="F516" s="2">
        <v>1</v>
      </c>
      <c r="G516" s="2" t="s">
        <v>82</v>
      </c>
      <c r="H516" s="2">
        <v>1</v>
      </c>
      <c r="I516" s="2" t="s">
        <v>82</v>
      </c>
      <c r="J516" s="2">
        <v>1</v>
      </c>
      <c r="K516" s="2" t="s">
        <v>107</v>
      </c>
      <c r="L516" s="2" t="s">
        <v>107</v>
      </c>
      <c r="M516" s="3">
        <v>40221</v>
      </c>
      <c r="N516" s="2"/>
      <c r="O516" s="2"/>
      <c r="P516" s="2"/>
      <c r="Q516" s="2" t="str">
        <f>""</f>
        <v/>
      </c>
      <c r="R516" s="2"/>
      <c r="S516" s="2"/>
      <c r="T516" s="2">
        <v>2</v>
      </c>
      <c r="U516" s="2" t="s">
        <v>123</v>
      </c>
      <c r="V516" s="2">
        <v>1</v>
      </c>
      <c r="W516" s="2" t="s">
        <v>80</v>
      </c>
      <c r="X516" s="2">
        <v>12</v>
      </c>
      <c r="Y516" s="2" t="s">
        <v>148</v>
      </c>
      <c r="Z516" s="2">
        <v>1</v>
      </c>
      <c r="AA516" s="2" t="s">
        <v>82</v>
      </c>
      <c r="AB516" s="2">
        <v>9</v>
      </c>
      <c r="AC516" s="2" t="s">
        <v>124</v>
      </c>
      <c r="AD516" s="3">
        <v>39934</v>
      </c>
      <c r="AE516" s="4">
        <v>0</v>
      </c>
      <c r="AF516" s="3">
        <v>40221</v>
      </c>
      <c r="AG516" s="4">
        <v>0.63194444444444442</v>
      </c>
      <c r="AH516" s="2">
        <v>2</v>
      </c>
      <c r="AI516" s="2" t="s">
        <v>84</v>
      </c>
      <c r="AJ516" s="2">
        <v>12</v>
      </c>
      <c r="AK516" s="2" t="s">
        <v>85</v>
      </c>
      <c r="AL516" s="2">
        <v>19</v>
      </c>
      <c r="AM516" s="2" t="s">
        <v>107</v>
      </c>
      <c r="AN516" s="2"/>
      <c r="AO516" s="2" t="s">
        <v>2271</v>
      </c>
      <c r="AP516" s="2">
        <v>11</v>
      </c>
      <c r="AQ516" s="2" t="s">
        <v>82</v>
      </c>
      <c r="AR516" s="2"/>
      <c r="AS516" s="2"/>
      <c r="AT516" s="2" t="s">
        <v>2272</v>
      </c>
      <c r="AU516" s="2"/>
      <c r="AV516" s="2"/>
      <c r="AW516" s="2"/>
      <c r="AX516" s="2"/>
      <c r="AY516" s="2">
        <v>41</v>
      </c>
      <c r="AZ516" s="2" t="s">
        <v>82</v>
      </c>
      <c r="BA516" s="2">
        <v>41</v>
      </c>
      <c r="BB516" s="2" t="s">
        <v>82</v>
      </c>
      <c r="BC516" s="2">
        <v>41</v>
      </c>
      <c r="BD516" s="2" t="s">
        <v>82</v>
      </c>
      <c r="BE516" s="2">
        <v>41</v>
      </c>
      <c r="BF516" s="2" t="s">
        <v>82</v>
      </c>
      <c r="BG516" s="2"/>
      <c r="BH516" s="2"/>
      <c r="BI516" s="2"/>
      <c r="BJ516" s="2">
        <v>241</v>
      </c>
      <c r="BK516" s="2" t="s">
        <v>82</v>
      </c>
      <c r="BL516" s="2"/>
      <c r="BM516" s="2">
        <v>241</v>
      </c>
      <c r="BN516" s="2" t="s">
        <v>82</v>
      </c>
      <c r="BO516" s="2"/>
      <c r="BP516" s="2">
        <v>241</v>
      </c>
      <c r="BQ516" s="2" t="s">
        <v>82</v>
      </c>
      <c r="BR516" s="2"/>
      <c r="BS516" s="3">
        <v>40221</v>
      </c>
      <c r="BT516" s="4">
        <v>0.69327546296296294</v>
      </c>
    </row>
    <row r="517" spans="1:72" x14ac:dyDescent="0.25">
      <c r="A517" s="2">
        <v>823</v>
      </c>
      <c r="B517" s="2">
        <v>2010</v>
      </c>
      <c r="C517" s="2" t="s">
        <v>196</v>
      </c>
      <c r="D517" s="2" t="s">
        <v>122</v>
      </c>
      <c r="E517" s="2" t="s">
        <v>2273</v>
      </c>
      <c r="F517" s="2">
        <v>1</v>
      </c>
      <c r="G517" s="2" t="s">
        <v>82</v>
      </c>
      <c r="H517" s="2">
        <v>1</v>
      </c>
      <c r="I517" s="2" t="s">
        <v>82</v>
      </c>
      <c r="J517" s="2">
        <v>1</v>
      </c>
      <c r="K517" s="2" t="s">
        <v>107</v>
      </c>
      <c r="L517" s="2" t="s">
        <v>107</v>
      </c>
      <c r="M517" s="3">
        <v>40221</v>
      </c>
      <c r="N517" s="2"/>
      <c r="O517" s="2"/>
      <c r="P517" s="2"/>
      <c r="Q517" s="2" t="str">
        <f>""</f>
        <v/>
      </c>
      <c r="R517" s="2"/>
      <c r="S517" s="2"/>
      <c r="T517" s="2">
        <v>2</v>
      </c>
      <c r="U517" s="2" t="s">
        <v>123</v>
      </c>
      <c r="V517" s="2">
        <v>1</v>
      </c>
      <c r="W517" s="2" t="s">
        <v>80</v>
      </c>
      <c r="X517" s="2">
        <v>1</v>
      </c>
      <c r="Y517" s="2" t="s">
        <v>81</v>
      </c>
      <c r="Z517" s="2">
        <v>1</v>
      </c>
      <c r="AA517" s="2" t="s">
        <v>82</v>
      </c>
      <c r="AB517" s="2">
        <v>9</v>
      </c>
      <c r="AC517" s="2" t="s">
        <v>124</v>
      </c>
      <c r="AD517" s="3">
        <v>40221</v>
      </c>
      <c r="AE517" s="4">
        <v>0.64583333333333337</v>
      </c>
      <c r="AF517" s="2"/>
      <c r="AG517" s="2"/>
      <c r="AH517" s="2">
        <v>2</v>
      </c>
      <c r="AI517" s="2" t="s">
        <v>84</v>
      </c>
      <c r="AJ517" s="2">
        <v>12</v>
      </c>
      <c r="AK517" s="2" t="s">
        <v>85</v>
      </c>
      <c r="AL517" s="2">
        <v>20</v>
      </c>
      <c r="AM517" s="2" t="s">
        <v>992</v>
      </c>
      <c r="AN517" s="2" t="s">
        <v>107</v>
      </c>
      <c r="AO517" s="2" t="s">
        <v>107</v>
      </c>
      <c r="AP517" s="2">
        <v>11</v>
      </c>
      <c r="AQ517" s="2" t="s">
        <v>82</v>
      </c>
      <c r="AR517" s="2" t="s">
        <v>82</v>
      </c>
      <c r="AS517" s="2" t="s">
        <v>82</v>
      </c>
      <c r="AT517" s="2" t="s">
        <v>2274</v>
      </c>
      <c r="AU517" s="2"/>
      <c r="AV517" s="2"/>
      <c r="AW517" s="2"/>
      <c r="AX517" s="2"/>
      <c r="AY517" s="2">
        <v>1</v>
      </c>
      <c r="AZ517" s="2" t="s">
        <v>107</v>
      </c>
      <c r="BA517" s="2">
        <v>1</v>
      </c>
      <c r="BB517" s="2" t="s">
        <v>107</v>
      </c>
      <c r="BC517" s="2">
        <v>1</v>
      </c>
      <c r="BD517" s="2" t="s">
        <v>107</v>
      </c>
      <c r="BE517" s="2">
        <v>1</v>
      </c>
      <c r="BF517" s="2" t="s">
        <v>107</v>
      </c>
      <c r="BG517" s="2"/>
      <c r="BH517" s="4">
        <v>0.66666666666666663</v>
      </c>
      <c r="BI517" s="4">
        <v>0.67013888888888884</v>
      </c>
      <c r="BJ517" s="2">
        <v>13</v>
      </c>
      <c r="BK517" s="2" t="s">
        <v>91</v>
      </c>
      <c r="BL517" s="2" t="s">
        <v>2275</v>
      </c>
      <c r="BM517" s="2">
        <v>242</v>
      </c>
      <c r="BN517" s="2" t="s">
        <v>107</v>
      </c>
      <c r="BO517" s="2" t="s">
        <v>82</v>
      </c>
      <c r="BP517" s="2">
        <v>13</v>
      </c>
      <c r="BQ517" s="2" t="s">
        <v>91</v>
      </c>
      <c r="BR517" s="2" t="s">
        <v>2276</v>
      </c>
      <c r="BS517" s="3">
        <v>40221</v>
      </c>
      <c r="BT517" s="4">
        <v>0.72650462962962958</v>
      </c>
    </row>
    <row r="518" spans="1:72" x14ac:dyDescent="0.25">
      <c r="A518" s="2">
        <v>824</v>
      </c>
      <c r="B518" s="2">
        <v>2010</v>
      </c>
      <c r="C518" s="2" t="s">
        <v>659</v>
      </c>
      <c r="D518" s="2" t="s">
        <v>73</v>
      </c>
      <c r="E518" s="2"/>
      <c r="F518" s="2">
        <v>3</v>
      </c>
      <c r="G518" s="2" t="s">
        <v>1041</v>
      </c>
      <c r="H518" s="2">
        <v>22</v>
      </c>
      <c r="I518" s="2" t="s">
        <v>75</v>
      </c>
      <c r="J518" s="2">
        <v>368</v>
      </c>
      <c r="K518" s="2" t="s">
        <v>1042</v>
      </c>
      <c r="L518" s="2" t="s">
        <v>1043</v>
      </c>
      <c r="M518" s="3">
        <v>40221</v>
      </c>
      <c r="N518" s="2"/>
      <c r="O518" s="2" t="s">
        <v>107</v>
      </c>
      <c r="P518" s="2"/>
      <c r="Q518" s="2" t="str">
        <f>"084-E/10"</f>
        <v>084-E/10</v>
      </c>
      <c r="R518" s="2" t="s">
        <v>107</v>
      </c>
      <c r="S518" s="2" t="s">
        <v>550</v>
      </c>
      <c r="T518" s="2">
        <v>1</v>
      </c>
      <c r="U518" s="2" t="s">
        <v>79</v>
      </c>
      <c r="V518" s="2">
        <v>1</v>
      </c>
      <c r="W518" s="2" t="s">
        <v>80</v>
      </c>
      <c r="X518" s="2">
        <v>5</v>
      </c>
      <c r="Y518" s="2" t="s">
        <v>82</v>
      </c>
      <c r="Z518" s="2">
        <v>10</v>
      </c>
      <c r="AA518" s="2" t="s">
        <v>236</v>
      </c>
      <c r="AB518" s="2">
        <v>9</v>
      </c>
      <c r="AC518" s="2" t="s">
        <v>124</v>
      </c>
      <c r="AD518" s="3">
        <v>40221</v>
      </c>
      <c r="AE518" s="4">
        <v>0.6875</v>
      </c>
      <c r="AF518" s="2"/>
      <c r="AG518" s="2"/>
      <c r="AH518" s="2">
        <v>2</v>
      </c>
      <c r="AI518" s="2" t="s">
        <v>84</v>
      </c>
      <c r="AJ518" s="2">
        <v>9</v>
      </c>
      <c r="AK518" s="2" t="s">
        <v>103</v>
      </c>
      <c r="AL518" s="2">
        <v>12</v>
      </c>
      <c r="AM518" s="2" t="s">
        <v>86</v>
      </c>
      <c r="AN518" s="2" t="s">
        <v>2277</v>
      </c>
      <c r="AO518" s="2" t="s">
        <v>2278</v>
      </c>
      <c r="AP518" s="2">
        <v>11</v>
      </c>
      <c r="AQ518" s="2" t="s">
        <v>82</v>
      </c>
      <c r="AR518" s="2" t="s">
        <v>82</v>
      </c>
      <c r="AS518" s="2" t="s">
        <v>82</v>
      </c>
      <c r="AT518" s="2" t="s">
        <v>2279</v>
      </c>
      <c r="AU518" s="2"/>
      <c r="AV518" s="2"/>
      <c r="AW518" s="2"/>
      <c r="AX518" s="2"/>
      <c r="AY518" s="2">
        <v>41</v>
      </c>
      <c r="AZ518" s="2" t="s">
        <v>82</v>
      </c>
      <c r="BA518" s="2">
        <v>41</v>
      </c>
      <c r="BB518" s="2" t="s">
        <v>82</v>
      </c>
      <c r="BC518" s="2">
        <v>41</v>
      </c>
      <c r="BD518" s="2" t="s">
        <v>82</v>
      </c>
      <c r="BE518" s="2">
        <v>41</v>
      </c>
      <c r="BF518" s="2" t="s">
        <v>82</v>
      </c>
      <c r="BG518" s="2"/>
      <c r="BH518" s="2"/>
      <c r="BI518" s="2"/>
      <c r="BJ518" s="2">
        <v>241</v>
      </c>
      <c r="BK518" s="2" t="s">
        <v>82</v>
      </c>
      <c r="BL518" s="2"/>
      <c r="BM518" s="2">
        <v>241</v>
      </c>
      <c r="BN518" s="2" t="s">
        <v>82</v>
      </c>
      <c r="BO518" s="2"/>
      <c r="BP518" s="2">
        <v>241</v>
      </c>
      <c r="BQ518" s="2" t="s">
        <v>82</v>
      </c>
      <c r="BR518" s="2"/>
      <c r="BS518" s="3">
        <v>40221</v>
      </c>
      <c r="BT518" s="4">
        <v>0.93128472222222225</v>
      </c>
    </row>
    <row r="519" spans="1:72" x14ac:dyDescent="0.25">
      <c r="A519" s="2">
        <v>825</v>
      </c>
      <c r="B519" s="2">
        <v>2010</v>
      </c>
      <c r="C519" s="2" t="s">
        <v>72</v>
      </c>
      <c r="D519" s="2" t="s">
        <v>73</v>
      </c>
      <c r="E519" s="2"/>
      <c r="F519" s="2">
        <v>3</v>
      </c>
      <c r="G519" s="2" t="s">
        <v>1041</v>
      </c>
      <c r="H519" s="2">
        <v>22</v>
      </c>
      <c r="I519" s="2" t="s">
        <v>75</v>
      </c>
      <c r="J519" s="2">
        <v>368</v>
      </c>
      <c r="K519" s="2" t="s">
        <v>1042</v>
      </c>
      <c r="L519" s="2" t="s">
        <v>1043</v>
      </c>
      <c r="M519" s="3">
        <v>40221</v>
      </c>
      <c r="N519" s="2"/>
      <c r="O519" s="2" t="s">
        <v>107</v>
      </c>
      <c r="P519" s="2" t="s">
        <v>107</v>
      </c>
      <c r="Q519" s="2" t="str">
        <f>"085-E/10"</f>
        <v>085-E/10</v>
      </c>
      <c r="R519" s="2" t="s">
        <v>107</v>
      </c>
      <c r="S519" s="2" t="s">
        <v>116</v>
      </c>
      <c r="T519" s="2">
        <v>1</v>
      </c>
      <c r="U519" s="2" t="s">
        <v>79</v>
      </c>
      <c r="V519" s="2">
        <v>1</v>
      </c>
      <c r="W519" s="2" t="s">
        <v>80</v>
      </c>
      <c r="X519" s="2">
        <v>5</v>
      </c>
      <c r="Y519" s="2" t="s">
        <v>82</v>
      </c>
      <c r="Z519" s="2">
        <v>10</v>
      </c>
      <c r="AA519" s="2" t="s">
        <v>236</v>
      </c>
      <c r="AB519" s="2">
        <v>6</v>
      </c>
      <c r="AC519" s="2" t="s">
        <v>83</v>
      </c>
      <c r="AD519" s="3">
        <v>40221</v>
      </c>
      <c r="AE519" s="4">
        <v>0.6875</v>
      </c>
      <c r="AF519" s="3">
        <v>40221</v>
      </c>
      <c r="AG519" s="4">
        <v>0.79166666666666663</v>
      </c>
      <c r="AH519" s="2">
        <v>2</v>
      </c>
      <c r="AI519" s="2" t="s">
        <v>84</v>
      </c>
      <c r="AJ519" s="2">
        <v>9</v>
      </c>
      <c r="AK519" s="2" t="s">
        <v>103</v>
      </c>
      <c r="AL519" s="2">
        <v>12</v>
      </c>
      <c r="AM519" s="2" t="s">
        <v>86</v>
      </c>
      <c r="AN519" s="2"/>
      <c r="AO519" s="2" t="s">
        <v>987</v>
      </c>
      <c r="AP519" s="2">
        <v>11</v>
      </c>
      <c r="AQ519" s="2" t="s">
        <v>82</v>
      </c>
      <c r="AR519" s="2" t="s">
        <v>82</v>
      </c>
      <c r="AS519" s="2" t="s">
        <v>82</v>
      </c>
      <c r="AT519" s="2" t="s">
        <v>2280</v>
      </c>
      <c r="AU519" s="2"/>
      <c r="AV519" s="2"/>
      <c r="AW519" s="2"/>
      <c r="AX519" s="2"/>
      <c r="AY519" s="2">
        <v>41</v>
      </c>
      <c r="AZ519" s="2" t="s">
        <v>82</v>
      </c>
      <c r="BA519" s="2">
        <v>41</v>
      </c>
      <c r="BB519" s="2" t="s">
        <v>82</v>
      </c>
      <c r="BC519" s="2">
        <v>41</v>
      </c>
      <c r="BD519" s="2" t="s">
        <v>82</v>
      </c>
      <c r="BE519" s="2">
        <v>17</v>
      </c>
      <c r="BF519" s="2" t="s">
        <v>508</v>
      </c>
      <c r="BG519" s="2" t="s">
        <v>2281</v>
      </c>
      <c r="BH519" s="2"/>
      <c r="BI519" s="4">
        <v>0.83472222222222225</v>
      </c>
      <c r="BJ519" s="2">
        <v>13</v>
      </c>
      <c r="BK519" s="2" t="s">
        <v>91</v>
      </c>
      <c r="BL519" s="2" t="s">
        <v>360</v>
      </c>
      <c r="BM519" s="2">
        <v>241</v>
      </c>
      <c r="BN519" s="2" t="s">
        <v>82</v>
      </c>
      <c r="BO519" s="2" t="s">
        <v>82</v>
      </c>
      <c r="BP519" s="2">
        <v>173</v>
      </c>
      <c r="BQ519" s="2" t="s">
        <v>223</v>
      </c>
      <c r="BR519" s="2" t="s">
        <v>224</v>
      </c>
      <c r="BS519" s="3">
        <v>40221</v>
      </c>
      <c r="BT519" s="4">
        <v>0.96604166666666658</v>
      </c>
    </row>
    <row r="520" spans="1:72" x14ac:dyDescent="0.25">
      <c r="A520" s="2">
        <v>826</v>
      </c>
      <c r="B520" s="2">
        <v>2010</v>
      </c>
      <c r="C520" s="2" t="s">
        <v>594</v>
      </c>
      <c r="D520" s="2" t="s">
        <v>122</v>
      </c>
      <c r="E520" s="2"/>
      <c r="F520" s="2">
        <v>1</v>
      </c>
      <c r="G520" s="2" t="s">
        <v>82</v>
      </c>
      <c r="H520" s="2">
        <v>1</v>
      </c>
      <c r="I520" s="2" t="s">
        <v>82</v>
      </c>
      <c r="J520" s="2">
        <v>1</v>
      </c>
      <c r="K520" s="2" t="s">
        <v>107</v>
      </c>
      <c r="L520" s="2" t="s">
        <v>107</v>
      </c>
      <c r="M520" s="3">
        <v>40222</v>
      </c>
      <c r="N520" s="2"/>
      <c r="O520" s="2"/>
      <c r="P520" s="2"/>
      <c r="Q520" s="2" t="str">
        <f>""</f>
        <v/>
      </c>
      <c r="R520" s="2"/>
      <c r="S520" s="2"/>
      <c r="T520" s="2">
        <v>1</v>
      </c>
      <c r="U520" s="2" t="s">
        <v>79</v>
      </c>
      <c r="V520" s="2">
        <v>1</v>
      </c>
      <c r="W520" s="2" t="s">
        <v>80</v>
      </c>
      <c r="X520" s="2">
        <v>1</v>
      </c>
      <c r="Y520" s="2" t="s">
        <v>81</v>
      </c>
      <c r="Z520" s="2">
        <v>1</v>
      </c>
      <c r="AA520" s="2" t="s">
        <v>82</v>
      </c>
      <c r="AB520" s="2">
        <v>9</v>
      </c>
      <c r="AC520" s="2" t="s">
        <v>124</v>
      </c>
      <c r="AD520" s="3">
        <v>40221</v>
      </c>
      <c r="AE520" s="4">
        <v>0.97013888888888899</v>
      </c>
      <c r="AF520" s="2"/>
      <c r="AG520" s="2"/>
      <c r="AH520" s="2">
        <v>6</v>
      </c>
      <c r="AI520" s="2" t="s">
        <v>197</v>
      </c>
      <c r="AJ520" s="2">
        <v>54</v>
      </c>
      <c r="AK520" s="2" t="s">
        <v>348</v>
      </c>
      <c r="AL520" s="2">
        <v>18</v>
      </c>
      <c r="AM520" s="2" t="s">
        <v>82</v>
      </c>
      <c r="AN520" s="2" t="s">
        <v>2282</v>
      </c>
      <c r="AO520" s="2" t="s">
        <v>200</v>
      </c>
      <c r="AP520" s="2">
        <v>11</v>
      </c>
      <c r="AQ520" s="2" t="s">
        <v>82</v>
      </c>
      <c r="AR520" s="2" t="s">
        <v>596</v>
      </c>
      <c r="AS520" s="2" t="s">
        <v>596</v>
      </c>
      <c r="AT520" s="2" t="s">
        <v>2283</v>
      </c>
      <c r="AU520" s="2"/>
      <c r="AV520" s="2"/>
      <c r="AW520" s="2"/>
      <c r="AX520" s="2"/>
      <c r="AY520" s="2">
        <v>1</v>
      </c>
      <c r="AZ520" s="2" t="s">
        <v>107</v>
      </c>
      <c r="BA520" s="2">
        <v>1</v>
      </c>
      <c r="BB520" s="2" t="s">
        <v>107</v>
      </c>
      <c r="BC520" s="2">
        <v>1</v>
      </c>
      <c r="BD520" s="2" t="s">
        <v>107</v>
      </c>
      <c r="BE520" s="2">
        <v>4</v>
      </c>
      <c r="BF520" s="2" t="s">
        <v>90</v>
      </c>
      <c r="BG520" s="2" t="s">
        <v>598</v>
      </c>
      <c r="BH520" s="4">
        <v>0.92708333333333337</v>
      </c>
      <c r="BI520" s="4">
        <v>0.97013888888888899</v>
      </c>
      <c r="BJ520" s="2">
        <v>13</v>
      </c>
      <c r="BK520" s="2" t="s">
        <v>91</v>
      </c>
      <c r="BL520" s="2" t="s">
        <v>2167</v>
      </c>
      <c r="BM520" s="2">
        <v>242</v>
      </c>
      <c r="BN520" s="2" t="s">
        <v>107</v>
      </c>
      <c r="BO520" s="2"/>
      <c r="BP520" s="2">
        <v>13</v>
      </c>
      <c r="BQ520" s="2" t="s">
        <v>91</v>
      </c>
      <c r="BR520" s="2" t="s">
        <v>2168</v>
      </c>
      <c r="BS520" s="3">
        <v>40222</v>
      </c>
      <c r="BT520" s="4">
        <v>2.6817129629629632E-2</v>
      </c>
    </row>
    <row r="521" spans="1:72" x14ac:dyDescent="0.25">
      <c r="A521" s="2">
        <v>827</v>
      </c>
      <c r="B521" s="2">
        <v>2010</v>
      </c>
      <c r="C521" s="2" t="s">
        <v>72</v>
      </c>
      <c r="D521" s="2" t="s">
        <v>73</v>
      </c>
      <c r="E521" s="2"/>
      <c r="F521" s="2">
        <v>3</v>
      </c>
      <c r="G521" s="2" t="s">
        <v>1041</v>
      </c>
      <c r="H521" s="2">
        <v>42</v>
      </c>
      <c r="I521" s="2" t="s">
        <v>1096</v>
      </c>
      <c r="J521" s="2">
        <v>368</v>
      </c>
      <c r="K521" s="2" t="s">
        <v>1042</v>
      </c>
      <c r="L521" s="2" t="s">
        <v>1043</v>
      </c>
      <c r="M521" s="3">
        <v>40222</v>
      </c>
      <c r="N521" s="2"/>
      <c r="O521" s="2" t="s">
        <v>107</v>
      </c>
      <c r="P521" s="2" t="s">
        <v>107</v>
      </c>
      <c r="Q521" s="2" t="str">
        <f>"086-E/10"</f>
        <v>086-E/10</v>
      </c>
      <c r="R521" s="2" t="s">
        <v>107</v>
      </c>
      <c r="S521" s="2" t="s">
        <v>116</v>
      </c>
      <c r="T521" s="2">
        <v>1</v>
      </c>
      <c r="U521" s="2" t="s">
        <v>79</v>
      </c>
      <c r="V521" s="2">
        <v>1</v>
      </c>
      <c r="W521" s="2" t="s">
        <v>80</v>
      </c>
      <c r="X521" s="2">
        <v>5</v>
      </c>
      <c r="Y521" s="2" t="s">
        <v>82</v>
      </c>
      <c r="Z521" s="2">
        <v>10</v>
      </c>
      <c r="AA521" s="2" t="s">
        <v>236</v>
      </c>
      <c r="AB521" s="2">
        <v>6</v>
      </c>
      <c r="AC521" s="2" t="s">
        <v>83</v>
      </c>
      <c r="AD521" s="3">
        <v>40219</v>
      </c>
      <c r="AE521" s="4">
        <v>0.58333333333333337</v>
      </c>
      <c r="AF521" s="3">
        <v>40221</v>
      </c>
      <c r="AG521" s="4">
        <v>0.84722222222222221</v>
      </c>
      <c r="AH521" s="2">
        <v>2</v>
      </c>
      <c r="AI521" s="2" t="s">
        <v>84</v>
      </c>
      <c r="AJ521" s="2">
        <v>9</v>
      </c>
      <c r="AK521" s="2" t="s">
        <v>103</v>
      </c>
      <c r="AL521" s="2">
        <v>18</v>
      </c>
      <c r="AM521" s="2" t="s">
        <v>82</v>
      </c>
      <c r="AN521" s="2"/>
      <c r="AO521" s="2" t="s">
        <v>2284</v>
      </c>
      <c r="AP521" s="2">
        <v>11</v>
      </c>
      <c r="AQ521" s="2" t="s">
        <v>82</v>
      </c>
      <c r="AR521" s="2" t="s">
        <v>82</v>
      </c>
      <c r="AS521" s="2" t="s">
        <v>82</v>
      </c>
      <c r="AT521" s="2" t="s">
        <v>2285</v>
      </c>
      <c r="AU521" s="2"/>
      <c r="AV521" s="2"/>
      <c r="AW521" s="2"/>
      <c r="AX521" s="2"/>
      <c r="AY521" s="2">
        <v>41</v>
      </c>
      <c r="AZ521" s="2" t="s">
        <v>82</v>
      </c>
      <c r="BA521" s="2">
        <v>41</v>
      </c>
      <c r="BB521" s="2" t="s">
        <v>82</v>
      </c>
      <c r="BC521" s="2">
        <v>41</v>
      </c>
      <c r="BD521" s="2" t="s">
        <v>82</v>
      </c>
      <c r="BE521" s="2">
        <v>26</v>
      </c>
      <c r="BF521" s="2" t="s">
        <v>1999</v>
      </c>
      <c r="BG521" s="2" t="s">
        <v>2286</v>
      </c>
      <c r="BH521" s="4">
        <v>0.47222222222222227</v>
      </c>
      <c r="BI521" s="2"/>
      <c r="BJ521" s="2">
        <v>75</v>
      </c>
      <c r="BK521" s="2" t="s">
        <v>1264</v>
      </c>
      <c r="BL521" s="2" t="s">
        <v>2287</v>
      </c>
      <c r="BM521" s="2">
        <v>241</v>
      </c>
      <c r="BN521" s="2" t="s">
        <v>82</v>
      </c>
      <c r="BO521" s="2" t="s">
        <v>82</v>
      </c>
      <c r="BP521" s="2">
        <v>13</v>
      </c>
      <c r="BQ521" s="2" t="s">
        <v>91</v>
      </c>
      <c r="BR521" s="2" t="s">
        <v>360</v>
      </c>
      <c r="BS521" s="3">
        <v>40222</v>
      </c>
      <c r="BT521" s="4">
        <v>4.4421296296296292E-2</v>
      </c>
    </row>
    <row r="522" spans="1:72" x14ac:dyDescent="0.25">
      <c r="A522" s="2">
        <v>828</v>
      </c>
      <c r="B522" s="2">
        <v>2010</v>
      </c>
      <c r="C522" s="2" t="s">
        <v>72</v>
      </c>
      <c r="D522" s="2" t="s">
        <v>73</v>
      </c>
      <c r="E522" s="2"/>
      <c r="F522" s="2">
        <v>3</v>
      </c>
      <c r="G522" s="2" t="s">
        <v>1041</v>
      </c>
      <c r="H522" s="2">
        <v>42</v>
      </c>
      <c r="I522" s="2" t="s">
        <v>1096</v>
      </c>
      <c r="J522" s="2">
        <v>368</v>
      </c>
      <c r="K522" s="2" t="s">
        <v>1042</v>
      </c>
      <c r="L522" s="2" t="s">
        <v>1043</v>
      </c>
      <c r="M522" s="3">
        <v>40222</v>
      </c>
      <c r="N522" s="2"/>
      <c r="O522" s="2"/>
      <c r="P522" s="2"/>
      <c r="Q522" s="2" t="str">
        <f>"087-E/10"</f>
        <v>087-E/10</v>
      </c>
      <c r="R522" s="2" t="s">
        <v>601</v>
      </c>
      <c r="S522" s="2" t="s">
        <v>601</v>
      </c>
      <c r="T522" s="2">
        <v>1</v>
      </c>
      <c r="U522" s="2" t="s">
        <v>79</v>
      </c>
      <c r="V522" s="2">
        <v>1</v>
      </c>
      <c r="W522" s="2" t="s">
        <v>80</v>
      </c>
      <c r="X522" s="2">
        <v>5</v>
      </c>
      <c r="Y522" s="2" t="s">
        <v>82</v>
      </c>
      <c r="Z522" s="2">
        <v>1</v>
      </c>
      <c r="AA522" s="2" t="s">
        <v>82</v>
      </c>
      <c r="AB522" s="2">
        <v>6</v>
      </c>
      <c r="AC522" s="2" t="s">
        <v>83</v>
      </c>
      <c r="AD522" s="3">
        <v>40221</v>
      </c>
      <c r="AE522" s="4">
        <v>0.97222222222222221</v>
      </c>
      <c r="AF522" s="3">
        <v>40222</v>
      </c>
      <c r="AG522" s="4">
        <v>4.1666666666666664E-2</v>
      </c>
      <c r="AH522" s="2">
        <v>2</v>
      </c>
      <c r="AI522" s="2" t="s">
        <v>84</v>
      </c>
      <c r="AJ522" s="2">
        <v>9</v>
      </c>
      <c r="AK522" s="2" t="s">
        <v>103</v>
      </c>
      <c r="AL522" s="2">
        <v>18</v>
      </c>
      <c r="AM522" s="2" t="s">
        <v>82</v>
      </c>
      <c r="AN522" s="2"/>
      <c r="AO522" s="2" t="s">
        <v>2288</v>
      </c>
      <c r="AP522" s="2">
        <v>11</v>
      </c>
      <c r="AQ522" s="2" t="s">
        <v>82</v>
      </c>
      <c r="AR522" s="2"/>
      <c r="AS522" s="2"/>
      <c r="AT522" s="2" t="s">
        <v>2289</v>
      </c>
      <c r="AU522" s="2"/>
      <c r="AV522" s="2"/>
      <c r="AW522" s="2"/>
      <c r="AX522" s="2"/>
      <c r="AY522" s="2">
        <v>1</v>
      </c>
      <c r="AZ522" s="2" t="s">
        <v>107</v>
      </c>
      <c r="BA522" s="2">
        <v>1</v>
      </c>
      <c r="BB522" s="2" t="s">
        <v>107</v>
      </c>
      <c r="BC522" s="2">
        <v>1</v>
      </c>
      <c r="BD522" s="2" t="s">
        <v>107</v>
      </c>
      <c r="BE522" s="2">
        <v>1</v>
      </c>
      <c r="BF522" s="2" t="s">
        <v>107</v>
      </c>
      <c r="BG522" s="2"/>
      <c r="BH522" s="2"/>
      <c r="BI522" s="2"/>
      <c r="BJ522" s="2">
        <v>242</v>
      </c>
      <c r="BK522" s="2" t="s">
        <v>107</v>
      </c>
      <c r="BL522" s="2"/>
      <c r="BM522" s="2">
        <v>242</v>
      </c>
      <c r="BN522" s="2" t="s">
        <v>107</v>
      </c>
      <c r="BO522" s="2"/>
      <c r="BP522" s="2">
        <v>242</v>
      </c>
      <c r="BQ522" s="2" t="s">
        <v>107</v>
      </c>
      <c r="BR522" s="2"/>
      <c r="BS522" s="3">
        <v>40222</v>
      </c>
      <c r="BT522" s="4">
        <v>0.16165509259259259</v>
      </c>
    </row>
    <row r="523" spans="1:72" x14ac:dyDescent="0.25">
      <c r="A523" s="2">
        <v>829</v>
      </c>
      <c r="B523" s="2">
        <v>2010</v>
      </c>
      <c r="C523" s="2" t="s">
        <v>1094</v>
      </c>
      <c r="D523" s="2" t="s">
        <v>73</v>
      </c>
      <c r="E523" s="2"/>
      <c r="F523" s="2">
        <v>246</v>
      </c>
      <c r="G523" s="2" t="s">
        <v>1889</v>
      </c>
      <c r="H523" s="2">
        <v>42</v>
      </c>
      <c r="I523" s="2" t="s">
        <v>1096</v>
      </c>
      <c r="J523" s="2">
        <v>258</v>
      </c>
      <c r="K523" s="2" t="s">
        <v>1890</v>
      </c>
      <c r="L523" s="2" t="s">
        <v>1891</v>
      </c>
      <c r="M523" s="3">
        <v>40222</v>
      </c>
      <c r="N523" s="2" t="s">
        <v>1892</v>
      </c>
      <c r="O523" s="2" t="s">
        <v>82</v>
      </c>
      <c r="P523" s="2" t="s">
        <v>82</v>
      </c>
      <c r="Q523" s="2" t="str">
        <f>"55-A/10"</f>
        <v>55-A/10</v>
      </c>
      <c r="R523" s="2" t="s">
        <v>82</v>
      </c>
      <c r="S523" s="2" t="s">
        <v>1100</v>
      </c>
      <c r="T523" s="2">
        <v>1</v>
      </c>
      <c r="U523" s="2" t="s">
        <v>79</v>
      </c>
      <c r="V523" s="2">
        <v>1</v>
      </c>
      <c r="W523" s="2" t="s">
        <v>80</v>
      </c>
      <c r="X523" s="2">
        <v>1</v>
      </c>
      <c r="Y523" s="2" t="s">
        <v>81</v>
      </c>
      <c r="Z523" s="2">
        <v>1</v>
      </c>
      <c r="AA523" s="2" t="s">
        <v>82</v>
      </c>
      <c r="AB523" s="2">
        <v>9</v>
      </c>
      <c r="AC523" s="2" t="s">
        <v>124</v>
      </c>
      <c r="AD523" s="3">
        <v>40221</v>
      </c>
      <c r="AE523" s="4">
        <v>0.95833333333333337</v>
      </c>
      <c r="AF523" s="3">
        <v>40222</v>
      </c>
      <c r="AG523" s="4">
        <v>6.9444444444444434E-2</v>
      </c>
      <c r="AH523" s="2">
        <v>2</v>
      </c>
      <c r="AI523" s="2" t="s">
        <v>84</v>
      </c>
      <c r="AJ523" s="2">
        <v>12</v>
      </c>
      <c r="AK523" s="2" t="s">
        <v>85</v>
      </c>
      <c r="AL523" s="2">
        <v>14</v>
      </c>
      <c r="AM523" s="2" t="s">
        <v>216</v>
      </c>
      <c r="AN523" s="2" t="s">
        <v>2290</v>
      </c>
      <c r="AO523" s="2"/>
      <c r="AP523" s="2">
        <v>11</v>
      </c>
      <c r="AQ523" s="2" t="s">
        <v>82</v>
      </c>
      <c r="AR523" s="2" t="s">
        <v>82</v>
      </c>
      <c r="AS523" s="2" t="s">
        <v>82</v>
      </c>
      <c r="AT523" s="2" t="s">
        <v>2291</v>
      </c>
      <c r="AU523" s="2"/>
      <c r="AV523" s="2"/>
      <c r="AW523" s="2"/>
      <c r="AX523" s="2"/>
      <c r="AY523" s="2">
        <v>41</v>
      </c>
      <c r="AZ523" s="2" t="s">
        <v>82</v>
      </c>
      <c r="BA523" s="2">
        <v>41</v>
      </c>
      <c r="BB523" s="2" t="s">
        <v>82</v>
      </c>
      <c r="BC523" s="2">
        <v>41</v>
      </c>
      <c r="BD523" s="2" t="s">
        <v>82</v>
      </c>
      <c r="BE523" s="2">
        <v>41</v>
      </c>
      <c r="BF523" s="2" t="s">
        <v>82</v>
      </c>
      <c r="BG523" s="2" t="s">
        <v>82</v>
      </c>
      <c r="BH523" s="2"/>
      <c r="BI523" s="2"/>
      <c r="BJ523" s="2">
        <v>241</v>
      </c>
      <c r="BK523" s="2" t="s">
        <v>82</v>
      </c>
      <c r="BL523" s="2" t="s">
        <v>82</v>
      </c>
      <c r="BM523" s="2">
        <v>241</v>
      </c>
      <c r="BN523" s="2" t="s">
        <v>82</v>
      </c>
      <c r="BO523" s="2" t="s">
        <v>82</v>
      </c>
      <c r="BP523" s="2">
        <v>241</v>
      </c>
      <c r="BQ523" s="2" t="s">
        <v>82</v>
      </c>
      <c r="BR523" s="2" t="s">
        <v>82</v>
      </c>
      <c r="BS523" s="3">
        <v>40222</v>
      </c>
      <c r="BT523" s="4">
        <v>0.37156250000000002</v>
      </c>
    </row>
    <row r="524" spans="1:72" x14ac:dyDescent="0.25">
      <c r="A524" s="2">
        <v>830</v>
      </c>
      <c r="B524" s="2">
        <v>2010</v>
      </c>
      <c r="C524" s="2" t="s">
        <v>72</v>
      </c>
      <c r="D524" s="2" t="s">
        <v>73</v>
      </c>
      <c r="E524" s="2"/>
      <c r="F524" s="2">
        <v>144</v>
      </c>
      <c r="G524" s="2" t="s">
        <v>537</v>
      </c>
      <c r="H524" s="2">
        <v>22</v>
      </c>
      <c r="I524" s="2" t="s">
        <v>75</v>
      </c>
      <c r="J524" s="2">
        <v>160</v>
      </c>
      <c r="K524" s="2" t="s">
        <v>538</v>
      </c>
      <c r="L524" s="2" t="s">
        <v>539</v>
      </c>
      <c r="M524" s="3">
        <v>40222</v>
      </c>
      <c r="N524" s="2" t="s">
        <v>2292</v>
      </c>
      <c r="O524" s="2" t="s">
        <v>82</v>
      </c>
      <c r="P524" s="2" t="s">
        <v>82</v>
      </c>
      <c r="Q524" s="2" t="str">
        <f>"AP011/10 PSA-UOUSU"</f>
        <v>AP011/10 PSA-UOUSU</v>
      </c>
      <c r="R524" s="2" t="s">
        <v>82</v>
      </c>
      <c r="S524" s="2" t="s">
        <v>2293</v>
      </c>
      <c r="T524" s="2">
        <v>1</v>
      </c>
      <c r="U524" s="2" t="s">
        <v>79</v>
      </c>
      <c r="V524" s="2">
        <v>1</v>
      </c>
      <c r="W524" s="2" t="s">
        <v>80</v>
      </c>
      <c r="X524" s="2">
        <v>1</v>
      </c>
      <c r="Y524" s="2" t="s">
        <v>81</v>
      </c>
      <c r="Z524" s="2">
        <v>1</v>
      </c>
      <c r="AA524" s="2" t="s">
        <v>82</v>
      </c>
      <c r="AB524" s="2">
        <v>6</v>
      </c>
      <c r="AC524" s="2" t="s">
        <v>83</v>
      </c>
      <c r="AD524" s="3">
        <v>40222</v>
      </c>
      <c r="AE524" s="4">
        <v>3.4722222222222224E-2</v>
      </c>
      <c r="AF524" s="3">
        <v>40222</v>
      </c>
      <c r="AG524" s="4">
        <v>0.13541666666666666</v>
      </c>
      <c r="AH524" s="2">
        <v>6</v>
      </c>
      <c r="AI524" s="2" t="s">
        <v>197</v>
      </c>
      <c r="AJ524" s="2">
        <v>60</v>
      </c>
      <c r="AK524" s="2" t="s">
        <v>543</v>
      </c>
      <c r="AL524" s="2">
        <v>18</v>
      </c>
      <c r="AM524" s="2" t="s">
        <v>82</v>
      </c>
      <c r="AN524" s="2" t="s">
        <v>2294</v>
      </c>
      <c r="AO524" s="2" t="s">
        <v>2295</v>
      </c>
      <c r="AP524" s="2">
        <v>11</v>
      </c>
      <c r="AQ524" s="2" t="s">
        <v>82</v>
      </c>
      <c r="AR524" s="2" t="s">
        <v>82</v>
      </c>
      <c r="AS524" s="2" t="s">
        <v>82</v>
      </c>
      <c r="AT524" s="2" t="s">
        <v>2296</v>
      </c>
      <c r="AU524" s="2">
        <v>1</v>
      </c>
      <c r="AV524" s="2"/>
      <c r="AW524" s="2"/>
      <c r="AX524" s="2"/>
      <c r="AY524" s="2">
        <v>41</v>
      </c>
      <c r="AZ524" s="2" t="s">
        <v>82</v>
      </c>
      <c r="BA524" s="2">
        <v>41</v>
      </c>
      <c r="BB524" s="2" t="s">
        <v>82</v>
      </c>
      <c r="BC524" s="2">
        <v>41</v>
      </c>
      <c r="BD524" s="2" t="s">
        <v>82</v>
      </c>
      <c r="BE524" s="2">
        <v>41</v>
      </c>
      <c r="BF524" s="2" t="s">
        <v>82</v>
      </c>
      <c r="BG524" s="2" t="s">
        <v>82</v>
      </c>
      <c r="BH524" s="2"/>
      <c r="BI524" s="2"/>
      <c r="BJ524" s="2">
        <v>13</v>
      </c>
      <c r="BK524" s="2" t="s">
        <v>91</v>
      </c>
      <c r="BL524" s="2" t="s">
        <v>2297</v>
      </c>
      <c r="BM524" s="2">
        <v>13</v>
      </c>
      <c r="BN524" s="2" t="s">
        <v>91</v>
      </c>
      <c r="BO524" s="2" t="s">
        <v>82</v>
      </c>
      <c r="BP524" s="2">
        <v>13</v>
      </c>
      <c r="BQ524" s="2" t="s">
        <v>91</v>
      </c>
      <c r="BR524" s="2" t="s">
        <v>2298</v>
      </c>
      <c r="BS524" s="3">
        <v>40222</v>
      </c>
      <c r="BT524" s="4">
        <v>0.52890046296296289</v>
      </c>
    </row>
    <row r="525" spans="1:72" x14ac:dyDescent="0.25">
      <c r="A525" s="2">
        <v>831</v>
      </c>
      <c r="B525" s="2">
        <v>2010</v>
      </c>
      <c r="C525" s="2" t="s">
        <v>121</v>
      </c>
      <c r="D525" s="2" t="s">
        <v>122</v>
      </c>
      <c r="E525" s="2"/>
      <c r="F525" s="2">
        <v>1</v>
      </c>
      <c r="G525" s="2" t="s">
        <v>82</v>
      </c>
      <c r="H525" s="2">
        <v>1</v>
      </c>
      <c r="I525" s="2" t="s">
        <v>82</v>
      </c>
      <c r="J525" s="2">
        <v>1</v>
      </c>
      <c r="K525" s="2" t="s">
        <v>107</v>
      </c>
      <c r="L525" s="2" t="s">
        <v>107</v>
      </c>
      <c r="M525" s="3">
        <v>40222</v>
      </c>
      <c r="N525" s="2"/>
      <c r="O525" s="2"/>
      <c r="P525" s="2"/>
      <c r="Q525" s="2" t="str">
        <f>""</f>
        <v/>
      </c>
      <c r="R525" s="2"/>
      <c r="S525" s="2"/>
      <c r="T525" s="2">
        <v>2</v>
      </c>
      <c r="U525" s="2" t="s">
        <v>123</v>
      </c>
      <c r="V525" s="2">
        <v>1</v>
      </c>
      <c r="W525" s="2" t="s">
        <v>80</v>
      </c>
      <c r="X525" s="2">
        <v>5</v>
      </c>
      <c r="Y525" s="2" t="s">
        <v>82</v>
      </c>
      <c r="Z525" s="2">
        <v>1</v>
      </c>
      <c r="AA525" s="2" t="s">
        <v>82</v>
      </c>
      <c r="AB525" s="2">
        <v>9</v>
      </c>
      <c r="AC525" s="2" t="s">
        <v>124</v>
      </c>
      <c r="AD525" s="3">
        <v>40222</v>
      </c>
      <c r="AE525" s="4">
        <v>0.4375</v>
      </c>
      <c r="AF525" s="2"/>
      <c r="AG525" s="2"/>
      <c r="AH525" s="2">
        <v>3</v>
      </c>
      <c r="AI525" s="2" t="s">
        <v>214</v>
      </c>
      <c r="AJ525" s="2">
        <v>24</v>
      </c>
      <c r="AK525" s="2" t="s">
        <v>215</v>
      </c>
      <c r="AL525" s="2">
        <v>18</v>
      </c>
      <c r="AM525" s="2" t="s">
        <v>82</v>
      </c>
      <c r="AN525" s="2" t="s">
        <v>2299</v>
      </c>
      <c r="AO525" s="2"/>
      <c r="AP525" s="2">
        <v>11</v>
      </c>
      <c r="AQ525" s="2" t="s">
        <v>82</v>
      </c>
      <c r="AR525" s="2"/>
      <c r="AS525" s="2"/>
      <c r="AT525" s="2" t="s">
        <v>2300</v>
      </c>
      <c r="AU525" s="2"/>
      <c r="AV525" s="2"/>
      <c r="AW525" s="2"/>
      <c r="AX525" s="2"/>
      <c r="AY525" s="2">
        <v>1</v>
      </c>
      <c r="AZ525" s="2" t="s">
        <v>107</v>
      </c>
      <c r="BA525" s="2">
        <v>1</v>
      </c>
      <c r="BB525" s="2" t="s">
        <v>107</v>
      </c>
      <c r="BC525" s="2">
        <v>1</v>
      </c>
      <c r="BD525" s="2" t="s">
        <v>107</v>
      </c>
      <c r="BE525" s="2">
        <v>1</v>
      </c>
      <c r="BF525" s="2" t="s">
        <v>107</v>
      </c>
      <c r="BG525" s="2"/>
      <c r="BH525" s="4">
        <v>0.4375</v>
      </c>
      <c r="BI525" s="4">
        <v>0.5</v>
      </c>
      <c r="BJ525" s="2">
        <v>46</v>
      </c>
      <c r="BK525" s="2" t="s">
        <v>307</v>
      </c>
      <c r="BL525" s="2" t="s">
        <v>308</v>
      </c>
      <c r="BM525" s="2">
        <v>242</v>
      </c>
      <c r="BN525" s="2" t="s">
        <v>107</v>
      </c>
      <c r="BO525" s="2" t="s">
        <v>169</v>
      </c>
      <c r="BP525" s="2">
        <v>13</v>
      </c>
      <c r="BQ525" s="2" t="s">
        <v>91</v>
      </c>
      <c r="BR525" s="2" t="s">
        <v>185</v>
      </c>
      <c r="BS525" s="3">
        <v>40222</v>
      </c>
      <c r="BT525" s="4">
        <v>0.53805555555555562</v>
      </c>
    </row>
    <row r="526" spans="1:72" x14ac:dyDescent="0.25">
      <c r="A526" s="2">
        <v>834</v>
      </c>
      <c r="B526" s="2">
        <v>2010</v>
      </c>
      <c r="C526" s="2" t="s">
        <v>171</v>
      </c>
      <c r="D526" s="2" t="s">
        <v>73</v>
      </c>
      <c r="E526" s="2"/>
      <c r="F526" s="2">
        <v>35</v>
      </c>
      <c r="G526" s="2" t="s">
        <v>2057</v>
      </c>
      <c r="H526" s="2">
        <v>55</v>
      </c>
      <c r="I526" s="2" t="s">
        <v>2058</v>
      </c>
      <c r="J526" s="2">
        <v>43</v>
      </c>
      <c r="K526" s="2" t="s">
        <v>2059</v>
      </c>
      <c r="L526" s="2" t="s">
        <v>2060</v>
      </c>
      <c r="M526" s="3">
        <v>40222</v>
      </c>
      <c r="N526" s="2" t="s">
        <v>2301</v>
      </c>
      <c r="O526" s="2" t="s">
        <v>2302</v>
      </c>
      <c r="P526" s="2" t="s">
        <v>2303</v>
      </c>
      <c r="Q526" s="2" t="str">
        <f>"02/2010"</f>
        <v>02/2010</v>
      </c>
      <c r="R526" s="2" t="s">
        <v>82</v>
      </c>
      <c r="S526" s="2" t="s">
        <v>82</v>
      </c>
      <c r="T526" s="2">
        <v>1</v>
      </c>
      <c r="U526" s="2" t="s">
        <v>79</v>
      </c>
      <c r="V526" s="2">
        <v>1</v>
      </c>
      <c r="W526" s="2" t="s">
        <v>80</v>
      </c>
      <c r="X526" s="2">
        <v>5</v>
      </c>
      <c r="Y526" s="2" t="s">
        <v>82</v>
      </c>
      <c r="Z526" s="2">
        <v>1</v>
      </c>
      <c r="AA526" s="2" t="s">
        <v>82</v>
      </c>
      <c r="AB526" s="2">
        <v>1</v>
      </c>
      <c r="AC526" s="2" t="s">
        <v>178</v>
      </c>
      <c r="AD526" s="3">
        <v>40222</v>
      </c>
      <c r="AE526" s="4">
        <v>0.42708333333333331</v>
      </c>
      <c r="AF526" s="2"/>
      <c r="AG526" s="2"/>
      <c r="AH526" s="2">
        <v>3</v>
      </c>
      <c r="AI526" s="2" t="s">
        <v>214</v>
      </c>
      <c r="AJ526" s="2">
        <v>14</v>
      </c>
      <c r="AK526" s="2" t="s">
        <v>342</v>
      </c>
      <c r="AL526" s="2">
        <v>23</v>
      </c>
      <c r="AM526" s="2" t="s">
        <v>251</v>
      </c>
      <c r="AN526" s="2" t="s">
        <v>2304</v>
      </c>
      <c r="AO526" s="2" t="s">
        <v>2305</v>
      </c>
      <c r="AP526" s="2">
        <v>11</v>
      </c>
      <c r="AQ526" s="2" t="s">
        <v>82</v>
      </c>
      <c r="AR526" s="2"/>
      <c r="AS526" s="2"/>
      <c r="AT526" s="2" t="s">
        <v>2306</v>
      </c>
      <c r="AU526" s="2">
        <v>1</v>
      </c>
      <c r="AV526" s="2"/>
      <c r="AW526" s="2"/>
      <c r="AX526" s="2"/>
      <c r="AY526" s="2">
        <v>1</v>
      </c>
      <c r="AZ526" s="2" t="s">
        <v>107</v>
      </c>
      <c r="BA526" s="2">
        <v>1</v>
      </c>
      <c r="BB526" s="2" t="s">
        <v>107</v>
      </c>
      <c r="BC526" s="2">
        <v>1</v>
      </c>
      <c r="BD526" s="2" t="s">
        <v>107</v>
      </c>
      <c r="BE526" s="2">
        <v>1</v>
      </c>
      <c r="BF526" s="2" t="s">
        <v>107</v>
      </c>
      <c r="BG526" s="2"/>
      <c r="BH526" s="2"/>
      <c r="BI526" s="2"/>
      <c r="BJ526" s="2">
        <v>242</v>
      </c>
      <c r="BK526" s="2" t="s">
        <v>107</v>
      </c>
      <c r="BL526" s="2"/>
      <c r="BM526" s="2">
        <v>242</v>
      </c>
      <c r="BN526" s="2" t="s">
        <v>107</v>
      </c>
      <c r="BO526" s="2"/>
      <c r="BP526" s="2">
        <v>242</v>
      </c>
      <c r="BQ526" s="2" t="s">
        <v>107</v>
      </c>
      <c r="BR526" s="2"/>
      <c r="BS526" s="3">
        <v>40222</v>
      </c>
      <c r="BT526" s="4">
        <v>0.67100694444444453</v>
      </c>
    </row>
    <row r="527" spans="1:72" x14ac:dyDescent="0.25">
      <c r="A527" s="2">
        <v>837</v>
      </c>
      <c r="B527" s="2">
        <v>2010</v>
      </c>
      <c r="C527" s="2" t="s">
        <v>171</v>
      </c>
      <c r="D527" s="2" t="s">
        <v>73</v>
      </c>
      <c r="E527" s="2"/>
      <c r="F527" s="2">
        <v>396</v>
      </c>
      <c r="G527" s="2" t="s">
        <v>2159</v>
      </c>
      <c r="H527" s="2">
        <v>9</v>
      </c>
      <c r="I527" s="2" t="s">
        <v>794</v>
      </c>
      <c r="J527" s="2">
        <v>243</v>
      </c>
      <c r="K527" s="2" t="s">
        <v>2160</v>
      </c>
      <c r="L527" s="2" t="s">
        <v>2145</v>
      </c>
      <c r="M527" s="3">
        <v>40222</v>
      </c>
      <c r="N527" s="2" t="s">
        <v>2245</v>
      </c>
      <c r="O527" s="2"/>
      <c r="P527" s="2"/>
      <c r="Q527" s="2" t="str">
        <f>"088-E/10"</f>
        <v>088-E/10</v>
      </c>
      <c r="R527" s="2"/>
      <c r="S527" s="2" t="s">
        <v>391</v>
      </c>
      <c r="T527" s="2">
        <v>1</v>
      </c>
      <c r="U527" s="2" t="s">
        <v>79</v>
      </c>
      <c r="V527" s="2">
        <v>1</v>
      </c>
      <c r="W527" s="2" t="s">
        <v>80</v>
      </c>
      <c r="X527" s="2">
        <v>1</v>
      </c>
      <c r="Y527" s="2" t="s">
        <v>81</v>
      </c>
      <c r="Z527" s="2">
        <v>10</v>
      </c>
      <c r="AA527" s="2" t="s">
        <v>236</v>
      </c>
      <c r="AB527" s="2">
        <v>1</v>
      </c>
      <c r="AC527" s="2" t="s">
        <v>178</v>
      </c>
      <c r="AD527" s="3">
        <v>40222</v>
      </c>
      <c r="AE527" s="4">
        <v>0.47222222222222227</v>
      </c>
      <c r="AF527" s="2"/>
      <c r="AG527" s="2"/>
      <c r="AH527" s="2">
        <v>2</v>
      </c>
      <c r="AI527" s="2" t="s">
        <v>84</v>
      </c>
      <c r="AJ527" s="2">
        <v>9</v>
      </c>
      <c r="AK527" s="2" t="s">
        <v>103</v>
      </c>
      <c r="AL527" s="2">
        <v>14</v>
      </c>
      <c r="AM527" s="2" t="s">
        <v>216</v>
      </c>
      <c r="AN527" s="2" t="s">
        <v>179</v>
      </c>
      <c r="AO527" s="2"/>
      <c r="AP527" s="2">
        <v>11</v>
      </c>
      <c r="AQ527" s="2" t="s">
        <v>82</v>
      </c>
      <c r="AR527" s="2"/>
      <c r="AS527" s="2"/>
      <c r="AT527" s="2" t="s">
        <v>2307</v>
      </c>
      <c r="AU527" s="2"/>
      <c r="AV527" s="2">
        <v>1</v>
      </c>
      <c r="AW527" s="2"/>
      <c r="AX527" s="2"/>
      <c r="AY527" s="2">
        <v>42</v>
      </c>
      <c r="AZ527" s="2" t="s">
        <v>182</v>
      </c>
      <c r="BA527" s="2">
        <v>41</v>
      </c>
      <c r="BB527" s="2" t="s">
        <v>82</v>
      </c>
      <c r="BC527" s="2">
        <v>70</v>
      </c>
      <c r="BD527" s="2" t="s">
        <v>236</v>
      </c>
      <c r="BE527" s="2">
        <v>27</v>
      </c>
      <c r="BF527" s="2" t="s">
        <v>2197</v>
      </c>
      <c r="BG527" s="2" t="s">
        <v>2198</v>
      </c>
      <c r="BH527" s="4">
        <v>9.7222222222222224E-2</v>
      </c>
      <c r="BI527" s="4">
        <v>0.59722222222222221</v>
      </c>
      <c r="BJ527" s="2">
        <v>13</v>
      </c>
      <c r="BK527" s="2" t="s">
        <v>91</v>
      </c>
      <c r="BL527" s="2" t="s">
        <v>360</v>
      </c>
      <c r="BM527" s="2">
        <v>112</v>
      </c>
      <c r="BN527" s="2" t="s">
        <v>110</v>
      </c>
      <c r="BO527" s="2" t="s">
        <v>111</v>
      </c>
      <c r="BP527" s="2">
        <v>112</v>
      </c>
      <c r="BQ527" s="2" t="s">
        <v>110</v>
      </c>
      <c r="BR527" s="2" t="s">
        <v>2308</v>
      </c>
      <c r="BS527" s="3">
        <v>40222</v>
      </c>
      <c r="BT527" s="4">
        <v>0.79190972222222211</v>
      </c>
    </row>
    <row r="528" spans="1:72" x14ac:dyDescent="0.25">
      <c r="A528" s="2">
        <v>838</v>
      </c>
      <c r="B528" s="2">
        <v>2010</v>
      </c>
      <c r="C528" s="2" t="s">
        <v>659</v>
      </c>
      <c r="D528" s="2" t="s">
        <v>122</v>
      </c>
      <c r="E528" s="2"/>
      <c r="F528" s="2">
        <v>504</v>
      </c>
      <c r="G528" s="2" t="s">
        <v>2309</v>
      </c>
      <c r="H528" s="2">
        <v>6</v>
      </c>
      <c r="I528" s="2" t="s">
        <v>1088</v>
      </c>
      <c r="J528" s="2">
        <v>422</v>
      </c>
      <c r="K528" s="2" t="s">
        <v>1791</v>
      </c>
      <c r="L528" s="2" t="s">
        <v>2310</v>
      </c>
      <c r="M528" s="3">
        <v>40223</v>
      </c>
      <c r="N528" s="2" t="s">
        <v>2311</v>
      </c>
      <c r="O528" s="2" t="s">
        <v>2312</v>
      </c>
      <c r="P528" s="2" t="s">
        <v>2313</v>
      </c>
      <c r="Q528" s="2" t="str">
        <f>"N/C"</f>
        <v>N/C</v>
      </c>
      <c r="R528" s="2" t="s">
        <v>82</v>
      </c>
      <c r="S528" s="2" t="s">
        <v>82</v>
      </c>
      <c r="T528" s="2">
        <v>1</v>
      </c>
      <c r="U528" s="2" t="s">
        <v>79</v>
      </c>
      <c r="V528" s="2">
        <v>1</v>
      </c>
      <c r="W528" s="2" t="s">
        <v>80</v>
      </c>
      <c r="X528" s="2">
        <v>4</v>
      </c>
      <c r="Y528" s="2" t="s">
        <v>463</v>
      </c>
      <c r="Z528" s="2">
        <v>1</v>
      </c>
      <c r="AA528" s="2" t="s">
        <v>82</v>
      </c>
      <c r="AB528" s="2">
        <v>9</v>
      </c>
      <c r="AC528" s="2" t="s">
        <v>124</v>
      </c>
      <c r="AD528" s="3">
        <v>40222</v>
      </c>
      <c r="AE528" s="4">
        <v>0.76388888888888884</v>
      </c>
      <c r="AF528" s="2"/>
      <c r="AG528" s="2"/>
      <c r="AH528" s="2">
        <v>5</v>
      </c>
      <c r="AI528" s="2" t="s">
        <v>274</v>
      </c>
      <c r="AJ528" s="2">
        <v>42</v>
      </c>
      <c r="AK528" s="2" t="s">
        <v>660</v>
      </c>
      <c r="AL528" s="2">
        <v>9</v>
      </c>
      <c r="AM528" s="2" t="s">
        <v>259</v>
      </c>
      <c r="AN528" s="2" t="s">
        <v>2314</v>
      </c>
      <c r="AO528" s="2" t="s">
        <v>82</v>
      </c>
      <c r="AP528" s="2">
        <v>11</v>
      </c>
      <c r="AQ528" s="2" t="s">
        <v>82</v>
      </c>
      <c r="AR528" s="2" t="s">
        <v>82</v>
      </c>
      <c r="AS528" s="2" t="s">
        <v>82</v>
      </c>
      <c r="AT528" s="2" t="s">
        <v>2315</v>
      </c>
      <c r="AU528" s="2"/>
      <c r="AV528" s="2"/>
      <c r="AW528" s="2"/>
      <c r="AX528" s="2"/>
      <c r="AY528" s="2">
        <v>41</v>
      </c>
      <c r="AZ528" s="2" t="s">
        <v>82</v>
      </c>
      <c r="BA528" s="2">
        <v>41</v>
      </c>
      <c r="BB528" s="2" t="s">
        <v>82</v>
      </c>
      <c r="BC528" s="2">
        <v>41</v>
      </c>
      <c r="BD528" s="2" t="s">
        <v>82</v>
      </c>
      <c r="BE528" s="2">
        <v>41</v>
      </c>
      <c r="BF528" s="2" t="s">
        <v>82</v>
      </c>
      <c r="BG528" s="2" t="s">
        <v>82</v>
      </c>
      <c r="BH528" s="2"/>
      <c r="BI528" s="2"/>
      <c r="BJ528" s="2">
        <v>241</v>
      </c>
      <c r="BK528" s="2" t="s">
        <v>82</v>
      </c>
      <c r="BL528" s="2" t="s">
        <v>82</v>
      </c>
      <c r="BM528" s="2">
        <v>241</v>
      </c>
      <c r="BN528" s="2" t="s">
        <v>82</v>
      </c>
      <c r="BO528" s="2" t="s">
        <v>82</v>
      </c>
      <c r="BP528" s="2">
        <v>241</v>
      </c>
      <c r="BQ528" s="2" t="s">
        <v>82</v>
      </c>
      <c r="BR528" s="2" t="s">
        <v>82</v>
      </c>
      <c r="BS528" s="3">
        <v>40223</v>
      </c>
      <c r="BT528" s="4">
        <v>0.42601851851851852</v>
      </c>
    </row>
    <row r="529" spans="1:72" x14ac:dyDescent="0.25">
      <c r="A529" s="2">
        <v>840</v>
      </c>
      <c r="B529" s="2">
        <v>2010</v>
      </c>
      <c r="C529" s="2" t="s">
        <v>147</v>
      </c>
      <c r="D529" s="2" t="s">
        <v>73</v>
      </c>
      <c r="E529" s="2"/>
      <c r="F529" s="2">
        <v>1</v>
      </c>
      <c r="G529" s="2" t="s">
        <v>82</v>
      </c>
      <c r="H529" s="2">
        <v>1</v>
      </c>
      <c r="I529" s="2" t="s">
        <v>82</v>
      </c>
      <c r="J529" s="2">
        <v>1</v>
      </c>
      <c r="K529" s="2" t="s">
        <v>107</v>
      </c>
      <c r="L529" s="2" t="s">
        <v>107</v>
      </c>
      <c r="M529" s="3">
        <v>40223</v>
      </c>
      <c r="N529" s="2"/>
      <c r="O529" s="2"/>
      <c r="P529" s="2"/>
      <c r="Q529" s="2" t="str">
        <f>""</f>
        <v/>
      </c>
      <c r="R529" s="2"/>
      <c r="S529" s="2"/>
      <c r="T529" s="2">
        <v>2</v>
      </c>
      <c r="U529" s="2" t="s">
        <v>123</v>
      </c>
      <c r="V529" s="2">
        <v>1</v>
      </c>
      <c r="W529" s="2" t="s">
        <v>80</v>
      </c>
      <c r="X529" s="2">
        <v>1</v>
      </c>
      <c r="Y529" s="2" t="s">
        <v>81</v>
      </c>
      <c r="Z529" s="2">
        <v>1</v>
      </c>
      <c r="AA529" s="2" t="s">
        <v>82</v>
      </c>
      <c r="AB529" s="2">
        <v>9</v>
      </c>
      <c r="AC529" s="2" t="s">
        <v>124</v>
      </c>
      <c r="AD529" s="3">
        <v>40223</v>
      </c>
      <c r="AE529" s="4">
        <v>0.34722222222222227</v>
      </c>
      <c r="AF529" s="2"/>
      <c r="AG529" s="2"/>
      <c r="AH529" s="2">
        <v>3</v>
      </c>
      <c r="AI529" s="2" t="s">
        <v>214</v>
      </c>
      <c r="AJ529" s="2">
        <v>24</v>
      </c>
      <c r="AK529" s="2" t="s">
        <v>215</v>
      </c>
      <c r="AL529" s="2">
        <v>19</v>
      </c>
      <c r="AM529" s="2" t="s">
        <v>107</v>
      </c>
      <c r="AN529" s="2" t="s">
        <v>2316</v>
      </c>
      <c r="AO529" s="2" t="s">
        <v>2317</v>
      </c>
      <c r="AP529" s="2">
        <v>11</v>
      </c>
      <c r="AQ529" s="2" t="s">
        <v>82</v>
      </c>
      <c r="AR529" s="2"/>
      <c r="AS529" s="2"/>
      <c r="AT529" s="2" t="s">
        <v>2318</v>
      </c>
      <c r="AU529" s="2"/>
      <c r="AV529" s="2"/>
      <c r="AW529" s="2"/>
      <c r="AX529" s="2"/>
      <c r="AY529" s="2">
        <v>41</v>
      </c>
      <c r="AZ529" s="2" t="s">
        <v>82</v>
      </c>
      <c r="BA529" s="2">
        <v>41</v>
      </c>
      <c r="BB529" s="2" t="s">
        <v>82</v>
      </c>
      <c r="BC529" s="2">
        <v>41</v>
      </c>
      <c r="BD529" s="2" t="s">
        <v>82</v>
      </c>
      <c r="BE529" s="2">
        <v>41</v>
      </c>
      <c r="BF529" s="2" t="s">
        <v>82</v>
      </c>
      <c r="BG529" s="2"/>
      <c r="BH529" s="2"/>
      <c r="BI529" s="2"/>
      <c r="BJ529" s="2">
        <v>241</v>
      </c>
      <c r="BK529" s="2" t="s">
        <v>82</v>
      </c>
      <c r="BL529" s="2"/>
      <c r="BM529" s="2">
        <v>241</v>
      </c>
      <c r="BN529" s="2" t="s">
        <v>82</v>
      </c>
      <c r="BO529" s="2"/>
      <c r="BP529" s="2">
        <v>241</v>
      </c>
      <c r="BQ529" s="2" t="s">
        <v>82</v>
      </c>
      <c r="BR529" s="2"/>
      <c r="BS529" s="3">
        <v>40223</v>
      </c>
      <c r="BT529" s="4">
        <v>0.53728009259259257</v>
      </c>
    </row>
    <row r="530" spans="1:72" x14ac:dyDescent="0.25">
      <c r="A530" s="2">
        <v>841</v>
      </c>
      <c r="B530" s="2">
        <v>2010</v>
      </c>
      <c r="C530" s="2" t="s">
        <v>72</v>
      </c>
      <c r="D530" s="2" t="s">
        <v>73</v>
      </c>
      <c r="E530" s="2"/>
      <c r="F530" s="2">
        <v>389</v>
      </c>
      <c r="G530" s="2" t="s">
        <v>1819</v>
      </c>
      <c r="H530" s="2">
        <v>3</v>
      </c>
      <c r="I530" s="2" t="s">
        <v>315</v>
      </c>
      <c r="J530" s="2">
        <v>399</v>
      </c>
      <c r="K530" s="2" t="s">
        <v>1820</v>
      </c>
      <c r="L530" s="2" t="s">
        <v>1821</v>
      </c>
      <c r="M530" s="3">
        <v>40223</v>
      </c>
      <c r="N530" s="2" t="s">
        <v>2319</v>
      </c>
      <c r="O530" s="2" t="s">
        <v>107</v>
      </c>
      <c r="P530" s="2" t="s">
        <v>107</v>
      </c>
      <c r="Q530" s="2" t="str">
        <f>"089-E/10"</f>
        <v>089-E/10</v>
      </c>
      <c r="R530" s="2" t="s">
        <v>116</v>
      </c>
      <c r="S530" s="2" t="s">
        <v>116</v>
      </c>
      <c r="T530" s="2">
        <v>1</v>
      </c>
      <c r="U530" s="2" t="s">
        <v>79</v>
      </c>
      <c r="V530" s="2">
        <v>1</v>
      </c>
      <c r="W530" s="2" t="s">
        <v>80</v>
      </c>
      <c r="X530" s="2">
        <v>1</v>
      </c>
      <c r="Y530" s="2" t="s">
        <v>81</v>
      </c>
      <c r="Z530" s="2">
        <v>1</v>
      </c>
      <c r="AA530" s="2" t="s">
        <v>82</v>
      </c>
      <c r="AB530" s="2">
        <v>6</v>
      </c>
      <c r="AC530" s="2" t="s">
        <v>83</v>
      </c>
      <c r="AD530" s="3">
        <v>40223</v>
      </c>
      <c r="AE530" s="4">
        <v>0.25694444444444448</v>
      </c>
      <c r="AF530" s="3">
        <v>40223</v>
      </c>
      <c r="AG530" s="4">
        <v>0.3611111111111111</v>
      </c>
      <c r="AH530" s="2">
        <v>2</v>
      </c>
      <c r="AI530" s="2" t="s">
        <v>84</v>
      </c>
      <c r="AJ530" s="2">
        <v>9</v>
      </c>
      <c r="AK530" s="2" t="s">
        <v>103</v>
      </c>
      <c r="AL530" s="2">
        <v>15</v>
      </c>
      <c r="AM530" s="2" t="s">
        <v>104</v>
      </c>
      <c r="AN530" s="2" t="s">
        <v>2320</v>
      </c>
      <c r="AO530" s="2" t="s">
        <v>2321</v>
      </c>
      <c r="AP530" s="2">
        <v>11</v>
      </c>
      <c r="AQ530" s="2" t="s">
        <v>82</v>
      </c>
      <c r="AR530" s="2"/>
      <c r="AS530" s="2"/>
      <c r="AT530" s="2" t="s">
        <v>2322</v>
      </c>
      <c r="AU530" s="2"/>
      <c r="AV530" s="2"/>
      <c r="AW530" s="2"/>
      <c r="AX530" s="2"/>
      <c r="AY530" s="2">
        <v>41</v>
      </c>
      <c r="AZ530" s="2" t="s">
        <v>82</v>
      </c>
      <c r="BA530" s="2">
        <v>41</v>
      </c>
      <c r="BB530" s="2" t="s">
        <v>82</v>
      </c>
      <c r="BC530" s="2">
        <v>41</v>
      </c>
      <c r="BD530" s="2" t="s">
        <v>82</v>
      </c>
      <c r="BE530" s="2">
        <v>13</v>
      </c>
      <c r="BF530" s="2" t="s">
        <v>108</v>
      </c>
      <c r="BG530" s="2" t="s">
        <v>2323</v>
      </c>
      <c r="BH530" s="4">
        <v>0.23958333333333334</v>
      </c>
      <c r="BI530" s="2"/>
      <c r="BJ530" s="2">
        <v>173</v>
      </c>
      <c r="BK530" s="2" t="s">
        <v>223</v>
      </c>
      <c r="BL530" s="2" t="s">
        <v>224</v>
      </c>
      <c r="BM530" s="2">
        <v>241</v>
      </c>
      <c r="BN530" s="2" t="s">
        <v>82</v>
      </c>
      <c r="BO530" s="2" t="s">
        <v>82</v>
      </c>
      <c r="BP530" s="2">
        <v>13</v>
      </c>
      <c r="BQ530" s="2" t="s">
        <v>91</v>
      </c>
      <c r="BR530" s="2" t="s">
        <v>2324</v>
      </c>
      <c r="BS530" s="3">
        <v>40223</v>
      </c>
      <c r="BT530" s="4">
        <v>0.53785879629629629</v>
      </c>
    </row>
    <row r="531" spans="1:72" x14ac:dyDescent="0.25">
      <c r="A531" s="2">
        <v>842</v>
      </c>
      <c r="B531" s="2">
        <v>2010</v>
      </c>
      <c r="C531" s="2" t="s">
        <v>93</v>
      </c>
      <c r="D531" s="2" t="s">
        <v>73</v>
      </c>
      <c r="E531" s="2"/>
      <c r="F531" s="2">
        <v>219</v>
      </c>
      <c r="G531" s="2" t="s">
        <v>2325</v>
      </c>
      <c r="H531" s="2">
        <v>1</v>
      </c>
      <c r="I531" s="2" t="s">
        <v>82</v>
      </c>
      <c r="J531" s="2">
        <v>232</v>
      </c>
      <c r="K531" s="2" t="s">
        <v>2326</v>
      </c>
      <c r="L531" s="2" t="s">
        <v>2327</v>
      </c>
      <c r="M531" s="3">
        <v>40223</v>
      </c>
      <c r="N531" s="2"/>
      <c r="O531" s="2" t="s">
        <v>1100</v>
      </c>
      <c r="P531" s="2"/>
      <c r="Q531" s="2" t="str">
        <f>"0019/10"</f>
        <v>0019/10</v>
      </c>
      <c r="R531" s="2"/>
      <c r="S531" s="2" t="s">
        <v>1695</v>
      </c>
      <c r="T531" s="2">
        <v>1</v>
      </c>
      <c r="U531" s="2" t="s">
        <v>79</v>
      </c>
      <c r="V531" s="2">
        <v>1</v>
      </c>
      <c r="W531" s="2" t="s">
        <v>80</v>
      </c>
      <c r="X531" s="2">
        <v>3</v>
      </c>
      <c r="Y531" s="2" t="s">
        <v>698</v>
      </c>
      <c r="Z531" s="2">
        <v>9</v>
      </c>
      <c r="AA531" s="2" t="s">
        <v>1119</v>
      </c>
      <c r="AB531" s="2">
        <v>2</v>
      </c>
      <c r="AC531" s="2" t="s">
        <v>102</v>
      </c>
      <c r="AD531" s="3">
        <v>40223</v>
      </c>
      <c r="AE531" s="4">
        <v>0.50694444444444442</v>
      </c>
      <c r="AF531" s="2"/>
      <c r="AG531" s="2"/>
      <c r="AH531" s="2">
        <v>5</v>
      </c>
      <c r="AI531" s="2" t="s">
        <v>274</v>
      </c>
      <c r="AJ531" s="2">
        <v>38</v>
      </c>
      <c r="AK531" s="2" t="s">
        <v>1120</v>
      </c>
      <c r="AL531" s="2">
        <v>11</v>
      </c>
      <c r="AM531" s="2" t="s">
        <v>137</v>
      </c>
      <c r="AN531" s="2"/>
      <c r="AO531" s="2"/>
      <c r="AP531" s="2">
        <v>11</v>
      </c>
      <c r="AQ531" s="2" t="s">
        <v>82</v>
      </c>
      <c r="AR531" s="2"/>
      <c r="AS531" s="2"/>
      <c r="AT531" s="2" t="s">
        <v>1696</v>
      </c>
      <c r="AU531" s="2"/>
      <c r="AV531" s="2"/>
      <c r="AW531" s="2"/>
      <c r="AX531" s="2"/>
      <c r="AY531" s="2">
        <v>41</v>
      </c>
      <c r="AZ531" s="2" t="s">
        <v>82</v>
      </c>
      <c r="BA531" s="2">
        <v>41</v>
      </c>
      <c r="BB531" s="2" t="s">
        <v>82</v>
      </c>
      <c r="BC531" s="2">
        <v>41</v>
      </c>
      <c r="BD531" s="2" t="s">
        <v>82</v>
      </c>
      <c r="BE531" s="2">
        <v>13</v>
      </c>
      <c r="BF531" s="2" t="s">
        <v>108</v>
      </c>
      <c r="BG531" s="2">
        <v>1721</v>
      </c>
      <c r="BH531" s="4">
        <v>0.4861111111111111</v>
      </c>
      <c r="BI531" s="4">
        <v>0.51388888888888895</v>
      </c>
      <c r="BJ531" s="2">
        <v>13</v>
      </c>
      <c r="BK531" s="2" t="s">
        <v>91</v>
      </c>
      <c r="BL531" s="2" t="s">
        <v>170</v>
      </c>
      <c r="BM531" s="2">
        <v>13</v>
      </c>
      <c r="BN531" s="2" t="s">
        <v>91</v>
      </c>
      <c r="BO531" s="2" t="s">
        <v>1697</v>
      </c>
      <c r="BP531" s="2">
        <v>13</v>
      </c>
      <c r="BQ531" s="2" t="s">
        <v>91</v>
      </c>
      <c r="BR531" s="2" t="s">
        <v>170</v>
      </c>
      <c r="BS531" s="3">
        <v>40223</v>
      </c>
      <c r="BT531" s="4">
        <v>0.58766203703703701</v>
      </c>
    </row>
    <row r="532" spans="1:72" x14ac:dyDescent="0.25">
      <c r="A532" s="2">
        <v>843</v>
      </c>
      <c r="B532" s="2">
        <v>2010</v>
      </c>
      <c r="C532" s="2" t="s">
        <v>171</v>
      </c>
      <c r="D532" s="2" t="s">
        <v>73</v>
      </c>
      <c r="E532" s="2"/>
      <c r="F532" s="2">
        <v>74</v>
      </c>
      <c r="G532" s="2" t="s">
        <v>2220</v>
      </c>
      <c r="H532" s="2">
        <v>38</v>
      </c>
      <c r="I532" s="2" t="s">
        <v>1272</v>
      </c>
      <c r="J532" s="2">
        <v>420</v>
      </c>
      <c r="K532" s="2" t="s">
        <v>2328</v>
      </c>
      <c r="L532" s="2" t="s">
        <v>2329</v>
      </c>
      <c r="M532" s="3">
        <v>40223</v>
      </c>
      <c r="N532" s="2" t="s">
        <v>2221</v>
      </c>
      <c r="O532" s="2" t="s">
        <v>2330</v>
      </c>
      <c r="P532" s="2" t="s">
        <v>107</v>
      </c>
      <c r="Q532" s="2" t="str">
        <f>"0002/10"</f>
        <v>0002/10</v>
      </c>
      <c r="R532" s="2" t="s">
        <v>2330</v>
      </c>
      <c r="S532" s="2" t="s">
        <v>2330</v>
      </c>
      <c r="T532" s="2">
        <v>1</v>
      </c>
      <c r="U532" s="2" t="s">
        <v>79</v>
      </c>
      <c r="V532" s="2">
        <v>1</v>
      </c>
      <c r="W532" s="2" t="s">
        <v>80</v>
      </c>
      <c r="X532" s="2">
        <v>1</v>
      </c>
      <c r="Y532" s="2" t="s">
        <v>81</v>
      </c>
      <c r="Z532" s="2">
        <v>1</v>
      </c>
      <c r="AA532" s="2" t="s">
        <v>82</v>
      </c>
      <c r="AB532" s="2">
        <v>1</v>
      </c>
      <c r="AC532" s="2" t="s">
        <v>178</v>
      </c>
      <c r="AD532" s="3">
        <v>40223</v>
      </c>
      <c r="AE532" s="4">
        <v>0.41666666666666669</v>
      </c>
      <c r="AF532" s="2"/>
      <c r="AG532" s="2"/>
      <c r="AH532" s="2">
        <v>6</v>
      </c>
      <c r="AI532" s="2" t="s">
        <v>197</v>
      </c>
      <c r="AJ532" s="2">
        <v>51</v>
      </c>
      <c r="AK532" s="2" t="s">
        <v>238</v>
      </c>
      <c r="AL532" s="2">
        <v>11</v>
      </c>
      <c r="AM532" s="2" t="s">
        <v>137</v>
      </c>
      <c r="AN532" s="2" t="s">
        <v>2331</v>
      </c>
      <c r="AO532" s="2" t="s">
        <v>82</v>
      </c>
      <c r="AP532" s="2">
        <v>11</v>
      </c>
      <c r="AQ532" s="2" t="s">
        <v>82</v>
      </c>
      <c r="AR532" s="2" t="s">
        <v>82</v>
      </c>
      <c r="AS532" s="2" t="s">
        <v>82</v>
      </c>
      <c r="AT532" s="2" t="s">
        <v>2332</v>
      </c>
      <c r="AU532" s="2"/>
      <c r="AV532" s="2">
        <v>1</v>
      </c>
      <c r="AW532" s="2"/>
      <c r="AX532" s="2"/>
      <c r="AY532" s="2">
        <v>41</v>
      </c>
      <c r="AZ532" s="2" t="s">
        <v>82</v>
      </c>
      <c r="BA532" s="2">
        <v>41</v>
      </c>
      <c r="BB532" s="2" t="s">
        <v>82</v>
      </c>
      <c r="BC532" s="2">
        <v>41</v>
      </c>
      <c r="BD532" s="2" t="s">
        <v>82</v>
      </c>
      <c r="BE532" s="2">
        <v>4</v>
      </c>
      <c r="BF532" s="2" t="s">
        <v>90</v>
      </c>
      <c r="BG532" s="2">
        <v>4271</v>
      </c>
      <c r="BH532" s="4">
        <v>0.40277777777777773</v>
      </c>
      <c r="BI532" s="4">
        <v>0.4375</v>
      </c>
      <c r="BJ532" s="2">
        <v>13</v>
      </c>
      <c r="BK532" s="2" t="s">
        <v>91</v>
      </c>
      <c r="BL532" s="2" t="s">
        <v>241</v>
      </c>
      <c r="BM532" s="2">
        <v>241</v>
      </c>
      <c r="BN532" s="2" t="s">
        <v>82</v>
      </c>
      <c r="BO532" s="2" t="s">
        <v>82</v>
      </c>
      <c r="BP532" s="2">
        <v>13</v>
      </c>
      <c r="BQ532" s="2" t="s">
        <v>91</v>
      </c>
      <c r="BR532" s="2" t="s">
        <v>185</v>
      </c>
      <c r="BS532" s="3">
        <v>40223</v>
      </c>
      <c r="BT532" s="4">
        <v>0.61318287037037034</v>
      </c>
    </row>
    <row r="533" spans="1:72" x14ac:dyDescent="0.25">
      <c r="A533" s="2">
        <v>844</v>
      </c>
      <c r="B533" s="2">
        <v>2010</v>
      </c>
      <c r="C533" s="2" t="s">
        <v>171</v>
      </c>
      <c r="D533" s="2" t="s">
        <v>73</v>
      </c>
      <c r="E533" s="2"/>
      <c r="F533" s="2">
        <v>35</v>
      </c>
      <c r="G533" s="2" t="s">
        <v>2057</v>
      </c>
      <c r="H533" s="2">
        <v>55</v>
      </c>
      <c r="I533" s="2" t="s">
        <v>2058</v>
      </c>
      <c r="J533" s="2">
        <v>43</v>
      </c>
      <c r="K533" s="2" t="s">
        <v>2059</v>
      </c>
      <c r="L533" s="2" t="s">
        <v>2060</v>
      </c>
      <c r="M533" s="3">
        <v>40223</v>
      </c>
      <c r="N533" s="2" t="s">
        <v>2333</v>
      </c>
      <c r="O533" s="2" t="s">
        <v>107</v>
      </c>
      <c r="P533" s="2" t="s">
        <v>107</v>
      </c>
      <c r="Q533" s="2" t="str">
        <f>"08/10"</f>
        <v>08/10</v>
      </c>
      <c r="R533" s="2" t="s">
        <v>2334</v>
      </c>
      <c r="S533" s="2" t="s">
        <v>2334</v>
      </c>
      <c r="T533" s="2">
        <v>1</v>
      </c>
      <c r="U533" s="2" t="s">
        <v>79</v>
      </c>
      <c r="V533" s="2">
        <v>1</v>
      </c>
      <c r="W533" s="2" t="s">
        <v>80</v>
      </c>
      <c r="X533" s="2">
        <v>1</v>
      </c>
      <c r="Y533" s="2" t="s">
        <v>81</v>
      </c>
      <c r="Z533" s="2">
        <v>10</v>
      </c>
      <c r="AA533" s="2" t="s">
        <v>236</v>
      </c>
      <c r="AB533" s="2">
        <v>1</v>
      </c>
      <c r="AC533" s="2" t="s">
        <v>178</v>
      </c>
      <c r="AD533" s="3">
        <v>40223</v>
      </c>
      <c r="AE533" s="4">
        <v>0.40972222222222227</v>
      </c>
      <c r="AF533" s="2"/>
      <c r="AG533" s="2"/>
      <c r="AH533" s="2">
        <v>3</v>
      </c>
      <c r="AI533" s="2" t="s">
        <v>214</v>
      </c>
      <c r="AJ533" s="2">
        <v>17</v>
      </c>
      <c r="AK533" s="2" t="s">
        <v>309</v>
      </c>
      <c r="AL533" s="2">
        <v>11</v>
      </c>
      <c r="AM533" s="2" t="s">
        <v>137</v>
      </c>
      <c r="AN533" s="2" t="s">
        <v>2335</v>
      </c>
      <c r="AO533" s="2" t="s">
        <v>82</v>
      </c>
      <c r="AP533" s="2">
        <v>11</v>
      </c>
      <c r="AQ533" s="2" t="s">
        <v>82</v>
      </c>
      <c r="AR533" s="2"/>
      <c r="AS533" s="2"/>
      <c r="AT533" s="2" t="s">
        <v>2336</v>
      </c>
      <c r="AU533" s="2"/>
      <c r="AV533" s="2"/>
      <c r="AW533" s="2"/>
      <c r="AX533" s="2"/>
      <c r="AY533" s="2">
        <v>42</v>
      </c>
      <c r="AZ533" s="2" t="s">
        <v>182</v>
      </c>
      <c r="BA533" s="2">
        <v>42</v>
      </c>
      <c r="BB533" s="2" t="s">
        <v>182</v>
      </c>
      <c r="BC533" s="2">
        <v>42</v>
      </c>
      <c r="BD533" s="2" t="s">
        <v>182</v>
      </c>
      <c r="BE533" s="2">
        <v>13</v>
      </c>
      <c r="BF533" s="2" t="s">
        <v>108</v>
      </c>
      <c r="BG533" s="2" t="s">
        <v>2337</v>
      </c>
      <c r="BH533" s="4">
        <v>0.48958333333333331</v>
      </c>
      <c r="BI533" s="4">
        <v>0.42708333333333331</v>
      </c>
      <c r="BJ533" s="2">
        <v>13</v>
      </c>
      <c r="BK533" s="2" t="s">
        <v>91</v>
      </c>
      <c r="BL533" s="2" t="s">
        <v>1358</v>
      </c>
      <c r="BM533" s="2">
        <v>241</v>
      </c>
      <c r="BN533" s="2" t="s">
        <v>82</v>
      </c>
      <c r="BO533" s="2" t="s">
        <v>82</v>
      </c>
      <c r="BP533" s="2">
        <v>13</v>
      </c>
      <c r="BQ533" s="2" t="s">
        <v>91</v>
      </c>
      <c r="BR533" s="2" t="s">
        <v>2338</v>
      </c>
      <c r="BS533" s="3">
        <v>40223</v>
      </c>
      <c r="BT533" s="4">
        <v>0.65597222222222229</v>
      </c>
    </row>
    <row r="534" spans="1:72" x14ac:dyDescent="0.25">
      <c r="A534" s="2">
        <v>845</v>
      </c>
      <c r="B534" s="2">
        <v>2010</v>
      </c>
      <c r="C534" s="2" t="s">
        <v>72</v>
      </c>
      <c r="D534" s="2" t="s">
        <v>73</v>
      </c>
      <c r="E534" s="2"/>
      <c r="F534" s="2">
        <v>111</v>
      </c>
      <c r="G534" s="2" t="s">
        <v>2339</v>
      </c>
      <c r="H534" s="2">
        <v>1</v>
      </c>
      <c r="I534" s="2" t="s">
        <v>82</v>
      </c>
      <c r="J534" s="2">
        <v>421</v>
      </c>
      <c r="K534" s="2" t="s">
        <v>2340</v>
      </c>
      <c r="L534" s="2" t="s">
        <v>2341</v>
      </c>
      <c r="M534" s="3">
        <v>40223</v>
      </c>
      <c r="N534" s="2" t="s">
        <v>82</v>
      </c>
      <c r="O534" s="2" t="s">
        <v>107</v>
      </c>
      <c r="P534" s="2" t="s">
        <v>107</v>
      </c>
      <c r="Q534" s="2" t="str">
        <f>"0001/2010"</f>
        <v>0001/2010</v>
      </c>
      <c r="R534" s="2" t="s">
        <v>2342</v>
      </c>
      <c r="S534" s="2" t="s">
        <v>2343</v>
      </c>
      <c r="T534" s="2">
        <v>1</v>
      </c>
      <c r="U534" s="2" t="s">
        <v>79</v>
      </c>
      <c r="V534" s="2">
        <v>1</v>
      </c>
      <c r="W534" s="2" t="s">
        <v>80</v>
      </c>
      <c r="X534" s="2">
        <v>5</v>
      </c>
      <c r="Y534" s="2" t="s">
        <v>82</v>
      </c>
      <c r="Z534" s="2">
        <v>1</v>
      </c>
      <c r="AA534" s="2" t="s">
        <v>82</v>
      </c>
      <c r="AB534" s="2">
        <v>6</v>
      </c>
      <c r="AC534" s="2" t="s">
        <v>83</v>
      </c>
      <c r="AD534" s="3">
        <v>40222</v>
      </c>
      <c r="AE534" s="4">
        <v>0.92708333333333337</v>
      </c>
      <c r="AF534" s="3">
        <v>40222</v>
      </c>
      <c r="AG534" s="4">
        <v>0.94791666666666663</v>
      </c>
      <c r="AH534" s="2">
        <v>6</v>
      </c>
      <c r="AI534" s="2" t="s">
        <v>197</v>
      </c>
      <c r="AJ534" s="2">
        <v>57</v>
      </c>
      <c r="AK534" s="2" t="s">
        <v>2344</v>
      </c>
      <c r="AL534" s="2">
        <v>10</v>
      </c>
      <c r="AM534" s="2" t="s">
        <v>200</v>
      </c>
      <c r="AN534" s="2" t="s">
        <v>2345</v>
      </c>
      <c r="AO534" s="2" t="s">
        <v>82</v>
      </c>
      <c r="AP534" s="2">
        <v>11</v>
      </c>
      <c r="AQ534" s="2" t="s">
        <v>82</v>
      </c>
      <c r="AR534" s="2" t="s">
        <v>82</v>
      </c>
      <c r="AS534" s="2" t="s">
        <v>82</v>
      </c>
      <c r="AT534" s="2" t="s">
        <v>2346</v>
      </c>
      <c r="AU534" s="2"/>
      <c r="AV534" s="2"/>
      <c r="AW534" s="2"/>
      <c r="AX534" s="2"/>
      <c r="AY534" s="2">
        <v>41</v>
      </c>
      <c r="AZ534" s="2" t="s">
        <v>82</v>
      </c>
      <c r="BA534" s="2">
        <v>41</v>
      </c>
      <c r="BB534" s="2" t="s">
        <v>82</v>
      </c>
      <c r="BC534" s="2">
        <v>41</v>
      </c>
      <c r="BD534" s="2" t="s">
        <v>82</v>
      </c>
      <c r="BE534" s="2">
        <v>13</v>
      </c>
      <c r="BF534" s="2" t="s">
        <v>108</v>
      </c>
      <c r="BG534" s="2" t="s">
        <v>2347</v>
      </c>
      <c r="BH534" s="4">
        <v>0.89583333333333337</v>
      </c>
      <c r="BI534" s="4">
        <v>0.92013888888888884</v>
      </c>
      <c r="BJ534" s="2">
        <v>13</v>
      </c>
      <c r="BK534" s="2" t="s">
        <v>91</v>
      </c>
      <c r="BL534" s="2" t="s">
        <v>2348</v>
      </c>
      <c r="BM534" s="2">
        <v>13</v>
      </c>
      <c r="BN534" s="2" t="s">
        <v>91</v>
      </c>
      <c r="BO534" s="2" t="s">
        <v>82</v>
      </c>
      <c r="BP534" s="2">
        <v>13</v>
      </c>
      <c r="BQ534" s="2" t="s">
        <v>91</v>
      </c>
      <c r="BR534" s="2" t="s">
        <v>1014</v>
      </c>
      <c r="BS534" s="3">
        <v>40223</v>
      </c>
      <c r="BT534" s="4">
        <v>0.67256944444444444</v>
      </c>
    </row>
    <row r="535" spans="1:72" x14ac:dyDescent="0.25">
      <c r="A535" s="2">
        <v>846</v>
      </c>
      <c r="B535" s="2">
        <v>2010</v>
      </c>
      <c r="C535" s="2" t="s">
        <v>72</v>
      </c>
      <c r="D535" s="2" t="s">
        <v>73</v>
      </c>
      <c r="E535" s="2"/>
      <c r="F535" s="2">
        <v>495</v>
      </c>
      <c r="G535" s="2" t="s">
        <v>1849</v>
      </c>
      <c r="H535" s="2">
        <v>22</v>
      </c>
      <c r="I535" s="2" t="s">
        <v>75</v>
      </c>
      <c r="J535" s="2">
        <v>400</v>
      </c>
      <c r="K535" s="2" t="s">
        <v>1850</v>
      </c>
      <c r="L535" s="2" t="s">
        <v>1851</v>
      </c>
      <c r="M535" s="3">
        <v>40223</v>
      </c>
      <c r="N535" s="2" t="s">
        <v>2349</v>
      </c>
      <c r="O535" s="2"/>
      <c r="P535" s="2"/>
      <c r="Q535" s="2" t="str">
        <f>"056-A/10"</f>
        <v>056-A/10</v>
      </c>
      <c r="R535" s="2"/>
      <c r="S535" s="2" t="s">
        <v>601</v>
      </c>
      <c r="T535" s="2">
        <v>1</v>
      </c>
      <c r="U535" s="2" t="s">
        <v>79</v>
      </c>
      <c r="V535" s="2">
        <v>1</v>
      </c>
      <c r="W535" s="2" t="s">
        <v>80</v>
      </c>
      <c r="X535" s="2">
        <v>1</v>
      </c>
      <c r="Y535" s="2" t="s">
        <v>81</v>
      </c>
      <c r="Z535" s="2">
        <v>10</v>
      </c>
      <c r="AA535" s="2" t="s">
        <v>236</v>
      </c>
      <c r="AB535" s="2">
        <v>6</v>
      </c>
      <c r="AC535" s="2" t="s">
        <v>83</v>
      </c>
      <c r="AD535" s="3">
        <v>40222</v>
      </c>
      <c r="AE535" s="4">
        <v>0.97916666666666663</v>
      </c>
      <c r="AF535" s="3">
        <v>40223</v>
      </c>
      <c r="AG535" s="4">
        <v>0.60416666666666663</v>
      </c>
      <c r="AH535" s="2">
        <v>2</v>
      </c>
      <c r="AI535" s="2" t="s">
        <v>84</v>
      </c>
      <c r="AJ535" s="2">
        <v>12</v>
      </c>
      <c r="AK535" s="2" t="s">
        <v>85</v>
      </c>
      <c r="AL535" s="2">
        <v>18</v>
      </c>
      <c r="AM535" s="2" t="s">
        <v>82</v>
      </c>
      <c r="AN535" s="2"/>
      <c r="AO535" s="2" t="s">
        <v>2350</v>
      </c>
      <c r="AP535" s="2">
        <v>11</v>
      </c>
      <c r="AQ535" s="2" t="s">
        <v>82</v>
      </c>
      <c r="AR535" s="2"/>
      <c r="AS535" s="2"/>
      <c r="AT535" s="2" t="s">
        <v>2351</v>
      </c>
      <c r="AU535" s="2"/>
      <c r="AV535" s="2"/>
      <c r="AW535" s="2"/>
      <c r="AX535" s="2"/>
      <c r="AY535" s="2">
        <v>41</v>
      </c>
      <c r="AZ535" s="2" t="s">
        <v>82</v>
      </c>
      <c r="BA535" s="2">
        <v>41</v>
      </c>
      <c r="BB535" s="2" t="s">
        <v>82</v>
      </c>
      <c r="BC535" s="2">
        <v>41</v>
      </c>
      <c r="BD535" s="2" t="s">
        <v>82</v>
      </c>
      <c r="BE535" s="2">
        <v>41</v>
      </c>
      <c r="BF535" s="2" t="s">
        <v>82</v>
      </c>
      <c r="BG535" s="2"/>
      <c r="BH535" s="2"/>
      <c r="BI535" s="2"/>
      <c r="BJ535" s="2">
        <v>241</v>
      </c>
      <c r="BK535" s="2" t="s">
        <v>82</v>
      </c>
      <c r="BL535" s="2"/>
      <c r="BM535" s="2">
        <v>241</v>
      </c>
      <c r="BN535" s="2" t="s">
        <v>82</v>
      </c>
      <c r="BO535" s="2"/>
      <c r="BP535" s="2">
        <v>241</v>
      </c>
      <c r="BQ535" s="2" t="s">
        <v>82</v>
      </c>
      <c r="BR535" s="2"/>
      <c r="BS535" s="3">
        <v>40223</v>
      </c>
      <c r="BT535" s="4">
        <v>0.70229166666666665</v>
      </c>
    </row>
    <row r="536" spans="1:72" x14ac:dyDescent="0.25">
      <c r="A536" s="2">
        <v>847</v>
      </c>
      <c r="B536" s="2">
        <v>2010</v>
      </c>
      <c r="C536" s="2" t="s">
        <v>171</v>
      </c>
      <c r="D536" s="2" t="s">
        <v>73</v>
      </c>
      <c r="E536" s="2"/>
      <c r="F536" s="2">
        <v>396</v>
      </c>
      <c r="G536" s="2" t="s">
        <v>2159</v>
      </c>
      <c r="H536" s="2">
        <v>9</v>
      </c>
      <c r="I536" s="2" t="s">
        <v>794</v>
      </c>
      <c r="J536" s="2">
        <v>243</v>
      </c>
      <c r="K536" s="2" t="s">
        <v>2160</v>
      </c>
      <c r="L536" s="2" t="s">
        <v>2145</v>
      </c>
      <c r="M536" s="3">
        <v>40223</v>
      </c>
      <c r="N536" s="2" t="s">
        <v>2245</v>
      </c>
      <c r="O536" s="2" t="s">
        <v>107</v>
      </c>
      <c r="P536" s="2" t="s">
        <v>107</v>
      </c>
      <c r="Q536" s="2" t="str">
        <f>"090-E/10"</f>
        <v>090-E/10</v>
      </c>
      <c r="R536" s="2" t="s">
        <v>391</v>
      </c>
      <c r="S536" s="2" t="s">
        <v>391</v>
      </c>
      <c r="T536" s="2">
        <v>1</v>
      </c>
      <c r="U536" s="2" t="s">
        <v>79</v>
      </c>
      <c r="V536" s="2">
        <v>1</v>
      </c>
      <c r="W536" s="2" t="s">
        <v>80</v>
      </c>
      <c r="X536" s="2">
        <v>1</v>
      </c>
      <c r="Y536" s="2" t="s">
        <v>81</v>
      </c>
      <c r="Z536" s="2">
        <v>1</v>
      </c>
      <c r="AA536" s="2" t="s">
        <v>82</v>
      </c>
      <c r="AB536" s="2">
        <v>1</v>
      </c>
      <c r="AC536" s="2" t="s">
        <v>178</v>
      </c>
      <c r="AD536" s="3">
        <v>40223</v>
      </c>
      <c r="AE536" s="4">
        <v>0.5625</v>
      </c>
      <c r="AF536" s="2"/>
      <c r="AG536" s="2"/>
      <c r="AH536" s="2">
        <v>2</v>
      </c>
      <c r="AI536" s="2" t="s">
        <v>84</v>
      </c>
      <c r="AJ536" s="2">
        <v>9</v>
      </c>
      <c r="AK536" s="2" t="s">
        <v>103</v>
      </c>
      <c r="AL536" s="2">
        <v>11</v>
      </c>
      <c r="AM536" s="2" t="s">
        <v>137</v>
      </c>
      <c r="AN536" s="2" t="s">
        <v>590</v>
      </c>
      <c r="AO536" s="2" t="s">
        <v>2352</v>
      </c>
      <c r="AP536" s="2">
        <v>11</v>
      </c>
      <c r="AQ536" s="2" t="s">
        <v>82</v>
      </c>
      <c r="AR536" s="2"/>
      <c r="AS536" s="2"/>
      <c r="AT536" s="2" t="s">
        <v>2353</v>
      </c>
      <c r="AU536" s="2"/>
      <c r="AV536" s="2">
        <v>1</v>
      </c>
      <c r="AW536" s="2"/>
      <c r="AX536" s="2"/>
      <c r="AY536" s="2">
        <v>1</v>
      </c>
      <c r="AZ536" s="2" t="s">
        <v>107</v>
      </c>
      <c r="BA536" s="2">
        <v>1</v>
      </c>
      <c r="BB536" s="2" t="s">
        <v>107</v>
      </c>
      <c r="BC536" s="2">
        <v>1</v>
      </c>
      <c r="BD536" s="2" t="s">
        <v>107</v>
      </c>
      <c r="BE536" s="2">
        <v>13</v>
      </c>
      <c r="BF536" s="2" t="s">
        <v>108</v>
      </c>
      <c r="BG536" s="2" t="s">
        <v>674</v>
      </c>
      <c r="BH536" s="4">
        <v>0</v>
      </c>
      <c r="BI536" s="4">
        <v>0.625</v>
      </c>
      <c r="BJ536" s="2">
        <v>13</v>
      </c>
      <c r="BK536" s="2" t="s">
        <v>91</v>
      </c>
      <c r="BL536" s="2" t="s">
        <v>1084</v>
      </c>
      <c r="BM536" s="2">
        <v>241</v>
      </c>
      <c r="BN536" s="2" t="s">
        <v>82</v>
      </c>
      <c r="BO536" s="2"/>
      <c r="BP536" s="2">
        <v>73</v>
      </c>
      <c r="BQ536" s="2" t="s">
        <v>186</v>
      </c>
      <c r="BR536" s="2" t="s">
        <v>675</v>
      </c>
      <c r="BS536" s="3">
        <v>40223</v>
      </c>
      <c r="BT536" s="4">
        <v>0.7340740740740741</v>
      </c>
    </row>
    <row r="537" spans="1:72" x14ac:dyDescent="0.25">
      <c r="A537" s="2">
        <v>848</v>
      </c>
      <c r="B537" s="2">
        <v>2010</v>
      </c>
      <c r="C537" s="2" t="s">
        <v>196</v>
      </c>
      <c r="D537" s="2" t="s">
        <v>122</v>
      </c>
      <c r="E537" s="2"/>
      <c r="F537" s="2">
        <v>1</v>
      </c>
      <c r="G537" s="2" t="s">
        <v>82</v>
      </c>
      <c r="H537" s="2">
        <v>1</v>
      </c>
      <c r="I537" s="2" t="s">
        <v>82</v>
      </c>
      <c r="J537" s="2">
        <v>1</v>
      </c>
      <c r="K537" s="2" t="s">
        <v>107</v>
      </c>
      <c r="L537" s="2" t="s">
        <v>107</v>
      </c>
      <c r="M537" s="3">
        <v>40223</v>
      </c>
      <c r="N537" s="2"/>
      <c r="O537" s="2"/>
      <c r="P537" s="2"/>
      <c r="Q537" s="2" t="str">
        <f>""</f>
        <v/>
      </c>
      <c r="R537" s="2"/>
      <c r="S537" s="2"/>
      <c r="T537" s="2">
        <v>2</v>
      </c>
      <c r="U537" s="2" t="s">
        <v>123</v>
      </c>
      <c r="V537" s="2">
        <v>1</v>
      </c>
      <c r="W537" s="2" t="s">
        <v>80</v>
      </c>
      <c r="X537" s="2">
        <v>1</v>
      </c>
      <c r="Y537" s="2" t="s">
        <v>81</v>
      </c>
      <c r="Z537" s="2">
        <v>1</v>
      </c>
      <c r="AA537" s="2" t="s">
        <v>82</v>
      </c>
      <c r="AB537" s="2">
        <v>9</v>
      </c>
      <c r="AC537" s="2" t="s">
        <v>124</v>
      </c>
      <c r="AD537" s="3">
        <v>40223</v>
      </c>
      <c r="AE537" s="4">
        <v>0.58333333333333337</v>
      </c>
      <c r="AF537" s="2"/>
      <c r="AG537" s="2"/>
      <c r="AH537" s="2">
        <v>2</v>
      </c>
      <c r="AI537" s="2" t="s">
        <v>84</v>
      </c>
      <c r="AJ537" s="2">
        <v>12</v>
      </c>
      <c r="AK537" s="2" t="s">
        <v>85</v>
      </c>
      <c r="AL537" s="2">
        <v>20</v>
      </c>
      <c r="AM537" s="2" t="s">
        <v>992</v>
      </c>
      <c r="AN537" s="2"/>
      <c r="AO537" s="2"/>
      <c r="AP537" s="2">
        <v>11</v>
      </c>
      <c r="AQ537" s="2" t="s">
        <v>82</v>
      </c>
      <c r="AR537" s="2"/>
      <c r="AS537" s="2"/>
      <c r="AT537" s="2" t="s">
        <v>2354</v>
      </c>
      <c r="AU537" s="2"/>
      <c r="AV537" s="2"/>
      <c r="AW537" s="2"/>
      <c r="AX537" s="2"/>
      <c r="AY537" s="2">
        <v>41</v>
      </c>
      <c r="AZ537" s="2" t="s">
        <v>82</v>
      </c>
      <c r="BA537" s="2">
        <v>41</v>
      </c>
      <c r="BB537" s="2" t="s">
        <v>82</v>
      </c>
      <c r="BC537" s="2">
        <v>41</v>
      </c>
      <c r="BD537" s="2" t="s">
        <v>82</v>
      </c>
      <c r="BE537" s="2">
        <v>41</v>
      </c>
      <c r="BF537" s="2" t="s">
        <v>82</v>
      </c>
      <c r="BG537" s="2"/>
      <c r="BH537" s="2"/>
      <c r="BI537" s="2"/>
      <c r="BJ537" s="2">
        <v>241</v>
      </c>
      <c r="BK537" s="2" t="s">
        <v>82</v>
      </c>
      <c r="BL537" s="2"/>
      <c r="BM537" s="2">
        <v>241</v>
      </c>
      <c r="BN537" s="2" t="s">
        <v>82</v>
      </c>
      <c r="BO537" s="2"/>
      <c r="BP537" s="2">
        <v>241</v>
      </c>
      <c r="BQ537" s="2" t="s">
        <v>82</v>
      </c>
      <c r="BR537" s="2"/>
      <c r="BS537" s="3">
        <v>40223</v>
      </c>
      <c r="BT537" s="4">
        <v>0.73670138888888881</v>
      </c>
    </row>
    <row r="538" spans="1:72" x14ac:dyDescent="0.25">
      <c r="A538" s="2">
        <v>849</v>
      </c>
      <c r="B538" s="2">
        <v>2010</v>
      </c>
      <c r="C538" s="2" t="s">
        <v>93</v>
      </c>
      <c r="D538" s="2" t="s">
        <v>73</v>
      </c>
      <c r="E538" s="2"/>
      <c r="F538" s="2">
        <v>218</v>
      </c>
      <c r="G538" s="2" t="s">
        <v>1698</v>
      </c>
      <c r="H538" s="2">
        <v>51</v>
      </c>
      <c r="I538" s="2" t="s">
        <v>1699</v>
      </c>
      <c r="J538" s="2">
        <v>231</v>
      </c>
      <c r="K538" s="2" t="s">
        <v>1700</v>
      </c>
      <c r="L538" s="2" t="s">
        <v>1701</v>
      </c>
      <c r="M538" s="3">
        <v>40223</v>
      </c>
      <c r="N538" s="2" t="s">
        <v>2355</v>
      </c>
      <c r="O538" s="2" t="s">
        <v>2356</v>
      </c>
      <c r="P538" s="2" t="s">
        <v>2357</v>
      </c>
      <c r="Q538" s="2" t="str">
        <f>"0020/10"</f>
        <v>0020/10</v>
      </c>
      <c r="R538" s="2"/>
      <c r="S538" s="2" t="s">
        <v>2358</v>
      </c>
      <c r="T538" s="2">
        <v>1</v>
      </c>
      <c r="U538" s="2" t="s">
        <v>79</v>
      </c>
      <c r="V538" s="2">
        <v>1</v>
      </c>
      <c r="W538" s="2" t="s">
        <v>80</v>
      </c>
      <c r="X538" s="2">
        <v>3</v>
      </c>
      <c r="Y538" s="2" t="s">
        <v>698</v>
      </c>
      <c r="Z538" s="2">
        <v>9</v>
      </c>
      <c r="AA538" s="2" t="s">
        <v>1119</v>
      </c>
      <c r="AB538" s="2">
        <v>2</v>
      </c>
      <c r="AC538" s="2" t="s">
        <v>102</v>
      </c>
      <c r="AD538" s="3">
        <v>40223</v>
      </c>
      <c r="AE538" s="4">
        <v>0.67361111111111116</v>
      </c>
      <c r="AF538" s="2"/>
      <c r="AG538" s="2"/>
      <c r="AH538" s="2">
        <v>5</v>
      </c>
      <c r="AI538" s="2" t="s">
        <v>274</v>
      </c>
      <c r="AJ538" s="2">
        <v>38</v>
      </c>
      <c r="AK538" s="2" t="s">
        <v>1120</v>
      </c>
      <c r="AL538" s="2">
        <v>11</v>
      </c>
      <c r="AM538" s="2" t="s">
        <v>137</v>
      </c>
      <c r="AN538" s="2"/>
      <c r="AO538" s="2"/>
      <c r="AP538" s="2">
        <v>11</v>
      </c>
      <c r="AQ538" s="2" t="s">
        <v>82</v>
      </c>
      <c r="AR538" s="2"/>
      <c r="AS538" s="2"/>
      <c r="AT538" s="2" t="s">
        <v>1696</v>
      </c>
      <c r="AU538" s="2"/>
      <c r="AV538" s="2"/>
      <c r="AW538" s="2"/>
      <c r="AX538" s="2"/>
      <c r="AY538" s="2">
        <v>41</v>
      </c>
      <c r="AZ538" s="2" t="s">
        <v>82</v>
      </c>
      <c r="BA538" s="2">
        <v>41</v>
      </c>
      <c r="BB538" s="2" t="s">
        <v>82</v>
      </c>
      <c r="BC538" s="2">
        <v>41</v>
      </c>
      <c r="BD538" s="2" t="s">
        <v>82</v>
      </c>
      <c r="BE538" s="2">
        <v>13</v>
      </c>
      <c r="BF538" s="2" t="s">
        <v>108</v>
      </c>
      <c r="BG538" s="2">
        <v>2737</v>
      </c>
      <c r="BH538" s="4">
        <v>0.63194444444444442</v>
      </c>
      <c r="BI538" s="4">
        <v>0.65972222222222221</v>
      </c>
      <c r="BJ538" s="2">
        <v>13</v>
      </c>
      <c r="BK538" s="2" t="s">
        <v>91</v>
      </c>
      <c r="BL538" s="2" t="s">
        <v>170</v>
      </c>
      <c r="BM538" s="2">
        <v>13</v>
      </c>
      <c r="BN538" s="2" t="s">
        <v>91</v>
      </c>
      <c r="BO538" s="2" t="s">
        <v>1697</v>
      </c>
      <c r="BP538" s="2">
        <v>13</v>
      </c>
      <c r="BQ538" s="2" t="s">
        <v>91</v>
      </c>
      <c r="BR538" s="2" t="s">
        <v>170</v>
      </c>
      <c r="BS538" s="3">
        <v>40223</v>
      </c>
      <c r="BT538" s="4">
        <v>0.83881944444444445</v>
      </c>
    </row>
    <row r="539" spans="1:72" x14ac:dyDescent="0.25">
      <c r="A539" s="2">
        <v>850</v>
      </c>
      <c r="B539" s="2">
        <v>2010</v>
      </c>
      <c r="C539" s="2" t="s">
        <v>196</v>
      </c>
      <c r="D539" s="2" t="s">
        <v>122</v>
      </c>
      <c r="E539" s="2"/>
      <c r="F539" s="2">
        <v>1</v>
      </c>
      <c r="G539" s="2" t="s">
        <v>82</v>
      </c>
      <c r="H539" s="2">
        <v>1</v>
      </c>
      <c r="I539" s="2" t="s">
        <v>82</v>
      </c>
      <c r="J539" s="2">
        <v>1</v>
      </c>
      <c r="K539" s="2" t="s">
        <v>107</v>
      </c>
      <c r="L539" s="2" t="s">
        <v>107</v>
      </c>
      <c r="M539" s="3">
        <v>40223</v>
      </c>
      <c r="N539" s="2"/>
      <c r="O539" s="2"/>
      <c r="P539" s="2"/>
      <c r="Q539" s="2" t="str">
        <f>""</f>
        <v/>
      </c>
      <c r="R539" s="2"/>
      <c r="S539" s="2"/>
      <c r="T539" s="2">
        <v>2</v>
      </c>
      <c r="U539" s="2" t="s">
        <v>123</v>
      </c>
      <c r="V539" s="2">
        <v>1</v>
      </c>
      <c r="W539" s="2" t="s">
        <v>80</v>
      </c>
      <c r="X539" s="2">
        <v>5</v>
      </c>
      <c r="Y539" s="2" t="s">
        <v>82</v>
      </c>
      <c r="Z539" s="2">
        <v>1</v>
      </c>
      <c r="AA539" s="2" t="s">
        <v>82</v>
      </c>
      <c r="AB539" s="2">
        <v>9</v>
      </c>
      <c r="AC539" s="2" t="s">
        <v>124</v>
      </c>
      <c r="AD539" s="3">
        <v>40223</v>
      </c>
      <c r="AE539" s="4">
        <v>0.79513888888888884</v>
      </c>
      <c r="AF539" s="2"/>
      <c r="AG539" s="2"/>
      <c r="AH539" s="2">
        <v>6</v>
      </c>
      <c r="AI539" s="2" t="s">
        <v>197</v>
      </c>
      <c r="AJ539" s="2">
        <v>59</v>
      </c>
      <c r="AK539" s="2" t="s">
        <v>198</v>
      </c>
      <c r="AL539" s="2">
        <v>18</v>
      </c>
      <c r="AM539" s="2" t="s">
        <v>82</v>
      </c>
      <c r="AN539" s="2" t="s">
        <v>2359</v>
      </c>
      <c r="AO539" s="2" t="s">
        <v>1209</v>
      </c>
      <c r="AP539" s="2">
        <v>11</v>
      </c>
      <c r="AQ539" s="2" t="s">
        <v>82</v>
      </c>
      <c r="AR539" s="2" t="s">
        <v>82</v>
      </c>
      <c r="AS539" s="2" t="s">
        <v>82</v>
      </c>
      <c r="AT539" s="2" t="s">
        <v>2360</v>
      </c>
      <c r="AU539" s="2"/>
      <c r="AV539" s="2"/>
      <c r="AW539" s="2"/>
      <c r="AX539" s="2"/>
      <c r="AY539" s="2">
        <v>41</v>
      </c>
      <c r="AZ539" s="2" t="s">
        <v>82</v>
      </c>
      <c r="BA539" s="2">
        <v>41</v>
      </c>
      <c r="BB539" s="2" t="s">
        <v>82</v>
      </c>
      <c r="BC539" s="2">
        <v>41</v>
      </c>
      <c r="BD539" s="2" t="s">
        <v>82</v>
      </c>
      <c r="BE539" s="2">
        <v>41</v>
      </c>
      <c r="BF539" s="2" t="s">
        <v>82</v>
      </c>
      <c r="BG539" s="2" t="s">
        <v>82</v>
      </c>
      <c r="BH539" s="4">
        <v>0.79513888888888884</v>
      </c>
      <c r="BI539" s="2"/>
      <c r="BJ539" s="2">
        <v>13</v>
      </c>
      <c r="BK539" s="2" t="s">
        <v>91</v>
      </c>
      <c r="BL539" s="2" t="s">
        <v>524</v>
      </c>
      <c r="BM539" s="2">
        <v>241</v>
      </c>
      <c r="BN539" s="2" t="s">
        <v>82</v>
      </c>
      <c r="BO539" s="2" t="s">
        <v>82</v>
      </c>
      <c r="BP539" s="2">
        <v>13</v>
      </c>
      <c r="BQ539" s="2" t="s">
        <v>91</v>
      </c>
      <c r="BR539" s="2" t="s">
        <v>204</v>
      </c>
      <c r="BS539" s="3">
        <v>40223</v>
      </c>
      <c r="BT539" s="4">
        <v>0.85379629629629628</v>
      </c>
    </row>
    <row r="540" spans="1:72" x14ac:dyDescent="0.25">
      <c r="A540" s="2">
        <v>851</v>
      </c>
      <c r="B540" s="2">
        <v>2010</v>
      </c>
      <c r="C540" s="2" t="s">
        <v>171</v>
      </c>
      <c r="D540" s="2" t="s">
        <v>73</v>
      </c>
      <c r="E540" s="2" t="s">
        <v>2361</v>
      </c>
      <c r="F540" s="2">
        <v>74</v>
      </c>
      <c r="G540" s="2" t="s">
        <v>2220</v>
      </c>
      <c r="H540" s="2">
        <v>38</v>
      </c>
      <c r="I540" s="2" t="s">
        <v>1272</v>
      </c>
      <c r="J540" s="2">
        <v>420</v>
      </c>
      <c r="K540" s="2" t="s">
        <v>2328</v>
      </c>
      <c r="L540" s="2" t="s">
        <v>2329</v>
      </c>
      <c r="M540" s="3">
        <v>40223</v>
      </c>
      <c r="N540" s="2" t="s">
        <v>2221</v>
      </c>
      <c r="O540" s="2" t="s">
        <v>2330</v>
      </c>
      <c r="P540" s="2" t="s">
        <v>107</v>
      </c>
      <c r="Q540" s="2" t="str">
        <f>"0002/10"</f>
        <v>0002/10</v>
      </c>
      <c r="R540" s="2" t="s">
        <v>2330</v>
      </c>
      <c r="S540" s="2" t="s">
        <v>2330</v>
      </c>
      <c r="T540" s="2">
        <v>1</v>
      </c>
      <c r="U540" s="2" t="s">
        <v>79</v>
      </c>
      <c r="V540" s="2">
        <v>1</v>
      </c>
      <c r="W540" s="2" t="s">
        <v>80</v>
      </c>
      <c r="X540" s="2">
        <v>1</v>
      </c>
      <c r="Y540" s="2" t="s">
        <v>81</v>
      </c>
      <c r="Z540" s="2">
        <v>1</v>
      </c>
      <c r="AA540" s="2" t="s">
        <v>82</v>
      </c>
      <c r="AB540" s="2">
        <v>1</v>
      </c>
      <c r="AC540" s="2" t="s">
        <v>178</v>
      </c>
      <c r="AD540" s="3">
        <v>40223</v>
      </c>
      <c r="AE540" s="4">
        <v>0.41666666666666669</v>
      </c>
      <c r="AF540" s="2"/>
      <c r="AG540" s="2"/>
      <c r="AH540" s="2">
        <v>6</v>
      </c>
      <c r="AI540" s="2" t="s">
        <v>197</v>
      </c>
      <c r="AJ540" s="2">
        <v>51</v>
      </c>
      <c r="AK540" s="2" t="s">
        <v>238</v>
      </c>
      <c r="AL540" s="2">
        <v>11</v>
      </c>
      <c r="AM540" s="2" t="s">
        <v>137</v>
      </c>
      <c r="AN540" s="2" t="s">
        <v>2331</v>
      </c>
      <c r="AO540" s="2" t="s">
        <v>82</v>
      </c>
      <c r="AP540" s="2">
        <v>11</v>
      </c>
      <c r="AQ540" s="2" t="s">
        <v>82</v>
      </c>
      <c r="AR540" s="2" t="s">
        <v>82</v>
      </c>
      <c r="AS540" s="2" t="s">
        <v>82</v>
      </c>
      <c r="AT540" s="2" t="s">
        <v>2362</v>
      </c>
      <c r="AU540" s="2"/>
      <c r="AV540" s="2">
        <v>1</v>
      </c>
      <c r="AW540" s="2"/>
      <c r="AX540" s="2"/>
      <c r="AY540" s="2">
        <v>41</v>
      </c>
      <c r="AZ540" s="2" t="s">
        <v>82</v>
      </c>
      <c r="BA540" s="2">
        <v>41</v>
      </c>
      <c r="BB540" s="2" t="s">
        <v>82</v>
      </c>
      <c r="BC540" s="2">
        <v>41</v>
      </c>
      <c r="BD540" s="2" t="s">
        <v>82</v>
      </c>
      <c r="BE540" s="2">
        <v>4</v>
      </c>
      <c r="BF540" s="2" t="s">
        <v>90</v>
      </c>
      <c r="BG540" s="2">
        <v>4271</v>
      </c>
      <c r="BH540" s="4">
        <v>0.40277777777777773</v>
      </c>
      <c r="BI540" s="4">
        <v>0.4375</v>
      </c>
      <c r="BJ540" s="2">
        <v>13</v>
      </c>
      <c r="BK540" s="2" t="s">
        <v>91</v>
      </c>
      <c r="BL540" s="2" t="s">
        <v>241</v>
      </c>
      <c r="BM540" s="2">
        <v>241</v>
      </c>
      <c r="BN540" s="2" t="s">
        <v>82</v>
      </c>
      <c r="BO540" s="2" t="s">
        <v>82</v>
      </c>
      <c r="BP540" s="2">
        <v>13</v>
      </c>
      <c r="BQ540" s="2" t="s">
        <v>91</v>
      </c>
      <c r="BR540" s="2" t="s">
        <v>185</v>
      </c>
      <c r="BS540" s="3">
        <v>40223</v>
      </c>
      <c r="BT540" s="4">
        <v>0.96098379629629627</v>
      </c>
    </row>
    <row r="541" spans="1:72" x14ac:dyDescent="0.25">
      <c r="A541" s="2">
        <v>852</v>
      </c>
      <c r="B541" s="2">
        <v>2010</v>
      </c>
      <c r="C541" s="2" t="s">
        <v>171</v>
      </c>
      <c r="D541" s="2" t="s">
        <v>73</v>
      </c>
      <c r="E541" s="2"/>
      <c r="F541" s="2">
        <v>396</v>
      </c>
      <c r="G541" s="2" t="s">
        <v>2159</v>
      </c>
      <c r="H541" s="2">
        <v>9</v>
      </c>
      <c r="I541" s="2" t="s">
        <v>794</v>
      </c>
      <c r="J541" s="2">
        <v>243</v>
      </c>
      <c r="K541" s="2" t="s">
        <v>2160</v>
      </c>
      <c r="L541" s="2" t="s">
        <v>2145</v>
      </c>
      <c r="M541" s="3">
        <v>40224</v>
      </c>
      <c r="N541" s="2" t="s">
        <v>2161</v>
      </c>
      <c r="O541" s="2" t="s">
        <v>2363</v>
      </c>
      <c r="P541" s="2">
        <v>13678</v>
      </c>
      <c r="Q541" s="2" t="str">
        <f>"091-E/10"</f>
        <v>091-E/10</v>
      </c>
      <c r="R541" s="2" t="s">
        <v>2364</v>
      </c>
      <c r="S541" s="2" t="s">
        <v>391</v>
      </c>
      <c r="T541" s="2">
        <v>1</v>
      </c>
      <c r="U541" s="2" t="s">
        <v>79</v>
      </c>
      <c r="V541" s="2">
        <v>1</v>
      </c>
      <c r="W541" s="2" t="s">
        <v>80</v>
      </c>
      <c r="X541" s="2">
        <v>1</v>
      </c>
      <c r="Y541" s="2" t="s">
        <v>81</v>
      </c>
      <c r="Z541" s="2">
        <v>1</v>
      </c>
      <c r="AA541" s="2" t="s">
        <v>82</v>
      </c>
      <c r="AB541" s="2">
        <v>1</v>
      </c>
      <c r="AC541" s="2" t="s">
        <v>178</v>
      </c>
      <c r="AD541" s="3">
        <v>40223</v>
      </c>
      <c r="AE541" s="4">
        <v>0.58333333333333337</v>
      </c>
      <c r="AF541" s="3">
        <v>40223</v>
      </c>
      <c r="AG541" s="4">
        <v>0.75</v>
      </c>
      <c r="AH541" s="2">
        <v>2</v>
      </c>
      <c r="AI541" s="2" t="s">
        <v>84</v>
      </c>
      <c r="AJ541" s="2">
        <v>9</v>
      </c>
      <c r="AK541" s="2" t="s">
        <v>103</v>
      </c>
      <c r="AL541" s="2">
        <v>15</v>
      </c>
      <c r="AM541" s="2" t="s">
        <v>104</v>
      </c>
      <c r="AN541" s="2" t="s">
        <v>2365</v>
      </c>
      <c r="AO541" s="2" t="s">
        <v>179</v>
      </c>
      <c r="AP541" s="2">
        <v>11</v>
      </c>
      <c r="AQ541" s="2" t="s">
        <v>82</v>
      </c>
      <c r="AR541" s="2"/>
      <c r="AS541" s="2"/>
      <c r="AT541" s="2" t="s">
        <v>2366</v>
      </c>
      <c r="AU541" s="2"/>
      <c r="AV541" s="2">
        <v>1</v>
      </c>
      <c r="AW541" s="2"/>
      <c r="AX541" s="2"/>
      <c r="AY541" s="2">
        <v>42</v>
      </c>
      <c r="AZ541" s="2" t="s">
        <v>182</v>
      </c>
      <c r="BA541" s="2">
        <v>41</v>
      </c>
      <c r="BB541" s="2" t="s">
        <v>82</v>
      </c>
      <c r="BC541" s="2">
        <v>41</v>
      </c>
      <c r="BD541" s="2" t="s">
        <v>82</v>
      </c>
      <c r="BE541" s="2">
        <v>13</v>
      </c>
      <c r="BF541" s="2" t="s">
        <v>108</v>
      </c>
      <c r="BG541" s="2" t="s">
        <v>674</v>
      </c>
      <c r="BH541" s="2"/>
      <c r="BI541" s="4">
        <v>0.625</v>
      </c>
      <c r="BJ541" s="2">
        <v>13</v>
      </c>
      <c r="BK541" s="2" t="s">
        <v>91</v>
      </c>
      <c r="BL541" s="2" t="s">
        <v>1084</v>
      </c>
      <c r="BM541" s="2">
        <v>241</v>
      </c>
      <c r="BN541" s="2" t="s">
        <v>82</v>
      </c>
      <c r="BO541" s="2"/>
      <c r="BP541" s="2">
        <v>73</v>
      </c>
      <c r="BQ541" s="2" t="s">
        <v>186</v>
      </c>
      <c r="BR541" s="2" t="s">
        <v>675</v>
      </c>
      <c r="BS541" s="3">
        <v>40224</v>
      </c>
      <c r="BT541" s="4">
        <v>0.22291666666666665</v>
      </c>
    </row>
    <row r="542" spans="1:72" x14ac:dyDescent="0.25">
      <c r="A542" s="2">
        <v>853</v>
      </c>
      <c r="B542" s="2">
        <v>2010</v>
      </c>
      <c r="C542" s="2" t="s">
        <v>1568</v>
      </c>
      <c r="D542" s="2" t="s">
        <v>73</v>
      </c>
      <c r="E542" s="2"/>
      <c r="F542" s="2">
        <v>389</v>
      </c>
      <c r="G542" s="2" t="s">
        <v>1819</v>
      </c>
      <c r="H542" s="2">
        <v>3</v>
      </c>
      <c r="I542" s="2" t="s">
        <v>315</v>
      </c>
      <c r="J542" s="2">
        <v>399</v>
      </c>
      <c r="K542" s="2" t="s">
        <v>1820</v>
      </c>
      <c r="L542" s="2" t="s">
        <v>1821</v>
      </c>
      <c r="M542" s="3">
        <v>40224</v>
      </c>
      <c r="N542" s="2" t="s">
        <v>2367</v>
      </c>
      <c r="O542" s="2"/>
      <c r="P542" s="2"/>
      <c r="Q542" s="2" t="str">
        <f>"092-E/10"</f>
        <v>092-E/10</v>
      </c>
      <c r="R542" s="2"/>
      <c r="S542" s="2" t="s">
        <v>2368</v>
      </c>
      <c r="T542" s="2">
        <v>1</v>
      </c>
      <c r="U542" s="2" t="s">
        <v>79</v>
      </c>
      <c r="V542" s="2">
        <v>1</v>
      </c>
      <c r="W542" s="2" t="s">
        <v>80</v>
      </c>
      <c r="X542" s="2">
        <v>1</v>
      </c>
      <c r="Y542" s="2" t="s">
        <v>81</v>
      </c>
      <c r="Z542" s="2">
        <v>10</v>
      </c>
      <c r="AA542" s="2" t="s">
        <v>236</v>
      </c>
      <c r="AB542" s="2">
        <v>4</v>
      </c>
      <c r="AC542" s="2" t="s">
        <v>1569</v>
      </c>
      <c r="AD542" s="3">
        <v>40223</v>
      </c>
      <c r="AE542" s="4">
        <v>0.75</v>
      </c>
      <c r="AF542" s="2"/>
      <c r="AG542" s="2"/>
      <c r="AH542" s="2">
        <v>2</v>
      </c>
      <c r="AI542" s="2" t="s">
        <v>84</v>
      </c>
      <c r="AJ542" s="2">
        <v>9</v>
      </c>
      <c r="AK542" s="2" t="s">
        <v>103</v>
      </c>
      <c r="AL542" s="2">
        <v>15</v>
      </c>
      <c r="AM542" s="2" t="s">
        <v>104</v>
      </c>
      <c r="AN542" s="2"/>
      <c r="AO542" s="2" t="s">
        <v>2369</v>
      </c>
      <c r="AP542" s="2">
        <v>11</v>
      </c>
      <c r="AQ542" s="2" t="s">
        <v>82</v>
      </c>
      <c r="AR542" s="2"/>
      <c r="AS542" s="2"/>
      <c r="AT542" s="2" t="s">
        <v>2370</v>
      </c>
      <c r="AU542" s="2"/>
      <c r="AV542" s="2">
        <v>1</v>
      </c>
      <c r="AW542" s="2"/>
      <c r="AX542" s="2"/>
      <c r="AY542" s="2">
        <v>42</v>
      </c>
      <c r="AZ542" s="2" t="s">
        <v>182</v>
      </c>
      <c r="BA542" s="2">
        <v>41</v>
      </c>
      <c r="BB542" s="2" t="s">
        <v>82</v>
      </c>
      <c r="BC542" s="2">
        <v>70</v>
      </c>
      <c r="BD542" s="2" t="s">
        <v>236</v>
      </c>
      <c r="BE542" s="2">
        <v>13</v>
      </c>
      <c r="BF542" s="2" t="s">
        <v>108</v>
      </c>
      <c r="BG542" s="2" t="s">
        <v>842</v>
      </c>
      <c r="BH542" s="2"/>
      <c r="BI542" s="4">
        <v>0.91666666666666663</v>
      </c>
      <c r="BJ542" s="2">
        <v>13</v>
      </c>
      <c r="BK542" s="2" t="s">
        <v>91</v>
      </c>
      <c r="BL542" s="2" t="s">
        <v>360</v>
      </c>
      <c r="BM542" s="2">
        <v>241</v>
      </c>
      <c r="BN542" s="2" t="s">
        <v>82</v>
      </c>
      <c r="BO542" s="2"/>
      <c r="BP542" s="2">
        <v>73</v>
      </c>
      <c r="BQ542" s="2" t="s">
        <v>186</v>
      </c>
      <c r="BR542" s="2" t="s">
        <v>187</v>
      </c>
      <c r="BS542" s="3">
        <v>40224</v>
      </c>
      <c r="BT542" s="4">
        <v>0.24431712962962962</v>
      </c>
    </row>
    <row r="543" spans="1:72" x14ac:dyDescent="0.25">
      <c r="A543" s="2">
        <v>856</v>
      </c>
      <c r="B543" s="2">
        <v>2010</v>
      </c>
      <c r="C543" s="2" t="s">
        <v>171</v>
      </c>
      <c r="D543" s="2" t="s">
        <v>122</v>
      </c>
      <c r="E543" s="2" t="s">
        <v>2371</v>
      </c>
      <c r="F543" s="2">
        <v>396</v>
      </c>
      <c r="G543" s="2" t="s">
        <v>2159</v>
      </c>
      <c r="H543" s="2">
        <v>9</v>
      </c>
      <c r="I543" s="2" t="s">
        <v>794</v>
      </c>
      <c r="J543" s="2">
        <v>243</v>
      </c>
      <c r="K543" s="2" t="s">
        <v>2160</v>
      </c>
      <c r="L543" s="2" t="s">
        <v>2145</v>
      </c>
      <c r="M543" s="3">
        <v>40224</v>
      </c>
      <c r="N543" s="2" t="s">
        <v>2245</v>
      </c>
      <c r="O543" s="2"/>
      <c r="P543" s="2"/>
      <c r="Q543" s="2" t="str">
        <f>"088-E/10"</f>
        <v>088-E/10</v>
      </c>
      <c r="R543" s="2" t="s">
        <v>391</v>
      </c>
      <c r="S543" s="2"/>
      <c r="T543" s="2">
        <v>1</v>
      </c>
      <c r="U543" s="2" t="s">
        <v>79</v>
      </c>
      <c r="V543" s="2">
        <v>1</v>
      </c>
      <c r="W543" s="2" t="s">
        <v>80</v>
      </c>
      <c r="X543" s="2">
        <v>1</v>
      </c>
      <c r="Y543" s="2" t="s">
        <v>81</v>
      </c>
      <c r="Z543" s="2">
        <v>10</v>
      </c>
      <c r="AA543" s="2" t="s">
        <v>236</v>
      </c>
      <c r="AB543" s="2">
        <v>1</v>
      </c>
      <c r="AC543" s="2" t="s">
        <v>178</v>
      </c>
      <c r="AD543" s="3">
        <v>40222</v>
      </c>
      <c r="AE543" s="4">
        <v>0.47222222222222227</v>
      </c>
      <c r="AF543" s="2"/>
      <c r="AG543" s="2"/>
      <c r="AH543" s="2">
        <v>2</v>
      </c>
      <c r="AI543" s="2" t="s">
        <v>84</v>
      </c>
      <c r="AJ543" s="2">
        <v>9</v>
      </c>
      <c r="AK543" s="2" t="s">
        <v>103</v>
      </c>
      <c r="AL543" s="2">
        <v>14</v>
      </c>
      <c r="AM543" s="2" t="s">
        <v>216</v>
      </c>
      <c r="AN543" s="2" t="s">
        <v>179</v>
      </c>
      <c r="AO543" s="2"/>
      <c r="AP543" s="2">
        <v>11</v>
      </c>
      <c r="AQ543" s="2" t="s">
        <v>82</v>
      </c>
      <c r="AR543" s="2"/>
      <c r="AS543" s="2"/>
      <c r="AT543" s="2" t="s">
        <v>2372</v>
      </c>
      <c r="AU543" s="2"/>
      <c r="AV543" s="2">
        <v>1</v>
      </c>
      <c r="AW543" s="2"/>
      <c r="AX543" s="2"/>
      <c r="AY543" s="2">
        <v>42</v>
      </c>
      <c r="AZ543" s="2" t="s">
        <v>182</v>
      </c>
      <c r="BA543" s="2">
        <v>41</v>
      </c>
      <c r="BB543" s="2" t="s">
        <v>82</v>
      </c>
      <c r="BC543" s="2">
        <v>70</v>
      </c>
      <c r="BD543" s="2" t="s">
        <v>236</v>
      </c>
      <c r="BE543" s="2">
        <v>27</v>
      </c>
      <c r="BF543" s="2" t="s">
        <v>2197</v>
      </c>
      <c r="BG543" s="2" t="s">
        <v>2198</v>
      </c>
      <c r="BH543" s="4">
        <v>9.7222222222222224E-2</v>
      </c>
      <c r="BI543" s="4">
        <v>0.59722222222222221</v>
      </c>
      <c r="BJ543" s="2">
        <v>13</v>
      </c>
      <c r="BK543" s="2" t="s">
        <v>91</v>
      </c>
      <c r="BL543" s="2" t="s">
        <v>360</v>
      </c>
      <c r="BM543" s="2">
        <v>112</v>
      </c>
      <c r="BN543" s="2" t="s">
        <v>110</v>
      </c>
      <c r="BO543" s="2" t="s">
        <v>111</v>
      </c>
      <c r="BP543" s="2">
        <v>112</v>
      </c>
      <c r="BQ543" s="2" t="s">
        <v>110</v>
      </c>
      <c r="BR543" s="2" t="s">
        <v>2308</v>
      </c>
      <c r="BS543" s="3">
        <v>40224</v>
      </c>
      <c r="BT543" s="4">
        <v>0.52019675925925923</v>
      </c>
    </row>
    <row r="544" spans="1:72" x14ac:dyDescent="0.25">
      <c r="A544" s="2">
        <v>857</v>
      </c>
      <c r="B544" s="2">
        <v>2010</v>
      </c>
      <c r="C544" s="2" t="s">
        <v>171</v>
      </c>
      <c r="D544" s="2" t="s">
        <v>122</v>
      </c>
      <c r="E544" s="2" t="s">
        <v>2373</v>
      </c>
      <c r="F544" s="2">
        <v>396</v>
      </c>
      <c r="G544" s="2" t="s">
        <v>2159</v>
      </c>
      <c r="H544" s="2">
        <v>9</v>
      </c>
      <c r="I544" s="2" t="s">
        <v>794</v>
      </c>
      <c r="J544" s="2">
        <v>243</v>
      </c>
      <c r="K544" s="2" t="s">
        <v>2160</v>
      </c>
      <c r="L544" s="2" t="s">
        <v>2145</v>
      </c>
      <c r="M544" s="3">
        <v>40224</v>
      </c>
      <c r="N544" s="2" t="s">
        <v>2245</v>
      </c>
      <c r="O544" s="2"/>
      <c r="P544" s="2"/>
      <c r="Q544" s="2" t="str">
        <f>"090-E/10"</f>
        <v>090-E/10</v>
      </c>
      <c r="R544" s="2" t="s">
        <v>391</v>
      </c>
      <c r="S544" s="2" t="s">
        <v>391</v>
      </c>
      <c r="T544" s="2">
        <v>1</v>
      </c>
      <c r="U544" s="2" t="s">
        <v>79</v>
      </c>
      <c r="V544" s="2">
        <v>1</v>
      </c>
      <c r="W544" s="2" t="s">
        <v>80</v>
      </c>
      <c r="X544" s="2">
        <v>1</v>
      </c>
      <c r="Y544" s="2" t="s">
        <v>81</v>
      </c>
      <c r="Z544" s="2">
        <v>1</v>
      </c>
      <c r="AA544" s="2" t="s">
        <v>82</v>
      </c>
      <c r="AB544" s="2">
        <v>1</v>
      </c>
      <c r="AC544" s="2" t="s">
        <v>178</v>
      </c>
      <c r="AD544" s="3">
        <v>40223</v>
      </c>
      <c r="AE544" s="4">
        <v>0.5625</v>
      </c>
      <c r="AF544" s="2"/>
      <c r="AG544" s="2"/>
      <c r="AH544" s="2">
        <v>2</v>
      </c>
      <c r="AI544" s="2" t="s">
        <v>84</v>
      </c>
      <c r="AJ544" s="2">
        <v>9</v>
      </c>
      <c r="AK544" s="2" t="s">
        <v>103</v>
      </c>
      <c r="AL544" s="2">
        <v>18</v>
      </c>
      <c r="AM544" s="2" t="s">
        <v>82</v>
      </c>
      <c r="AN544" s="2" t="s">
        <v>590</v>
      </c>
      <c r="AO544" s="2" t="s">
        <v>2374</v>
      </c>
      <c r="AP544" s="2">
        <v>11</v>
      </c>
      <c r="AQ544" s="2" t="s">
        <v>82</v>
      </c>
      <c r="AR544" s="2"/>
      <c r="AS544" s="2"/>
      <c r="AT544" s="2" t="s">
        <v>2372</v>
      </c>
      <c r="AU544" s="2"/>
      <c r="AV544" s="2">
        <v>1</v>
      </c>
      <c r="AW544" s="2"/>
      <c r="AX544" s="2"/>
      <c r="AY544" s="2">
        <v>42</v>
      </c>
      <c r="AZ544" s="2" t="s">
        <v>182</v>
      </c>
      <c r="BA544" s="2">
        <v>41</v>
      </c>
      <c r="BB544" s="2" t="s">
        <v>82</v>
      </c>
      <c r="BC544" s="2">
        <v>41</v>
      </c>
      <c r="BD544" s="2" t="s">
        <v>82</v>
      </c>
      <c r="BE544" s="2">
        <v>13</v>
      </c>
      <c r="BF544" s="2" t="s">
        <v>108</v>
      </c>
      <c r="BG544" s="2" t="s">
        <v>674</v>
      </c>
      <c r="BH544" s="4">
        <v>0</v>
      </c>
      <c r="BI544" s="4">
        <v>0.625</v>
      </c>
      <c r="BJ544" s="2">
        <v>13</v>
      </c>
      <c r="BK544" s="2" t="s">
        <v>91</v>
      </c>
      <c r="BL544" s="2" t="s">
        <v>1084</v>
      </c>
      <c r="BM544" s="2">
        <v>241</v>
      </c>
      <c r="BN544" s="2" t="s">
        <v>82</v>
      </c>
      <c r="BO544" s="2"/>
      <c r="BP544" s="2">
        <v>73</v>
      </c>
      <c r="BQ544" s="2" t="s">
        <v>186</v>
      </c>
      <c r="BR544" s="2" t="s">
        <v>675</v>
      </c>
      <c r="BS544" s="3">
        <v>40224</v>
      </c>
      <c r="BT544" s="4">
        <v>0.53046296296296302</v>
      </c>
    </row>
    <row r="545" spans="1:72" x14ac:dyDescent="0.25">
      <c r="A545" s="2">
        <v>858</v>
      </c>
      <c r="B545" s="2">
        <v>2010</v>
      </c>
      <c r="C545" s="2" t="s">
        <v>171</v>
      </c>
      <c r="D545" s="2" t="s">
        <v>122</v>
      </c>
      <c r="E545" s="2" t="s">
        <v>2375</v>
      </c>
      <c r="F545" s="2">
        <v>396</v>
      </c>
      <c r="G545" s="2" t="s">
        <v>2159</v>
      </c>
      <c r="H545" s="2">
        <v>9</v>
      </c>
      <c r="I545" s="2" t="s">
        <v>794</v>
      </c>
      <c r="J545" s="2">
        <v>243</v>
      </c>
      <c r="K545" s="2" t="s">
        <v>2160</v>
      </c>
      <c r="L545" s="2" t="s">
        <v>2145</v>
      </c>
      <c r="M545" s="3">
        <v>40224</v>
      </c>
      <c r="N545" s="2" t="s">
        <v>2161</v>
      </c>
      <c r="O545" s="2"/>
      <c r="P545" s="2"/>
      <c r="Q545" s="2" t="str">
        <f>"091-E/10"</f>
        <v>091-E/10</v>
      </c>
      <c r="R545" s="2" t="s">
        <v>2376</v>
      </c>
      <c r="S545" s="2"/>
      <c r="T545" s="2">
        <v>1</v>
      </c>
      <c r="U545" s="2" t="s">
        <v>79</v>
      </c>
      <c r="V545" s="2">
        <v>1</v>
      </c>
      <c r="W545" s="2" t="s">
        <v>80</v>
      </c>
      <c r="X545" s="2">
        <v>1</v>
      </c>
      <c r="Y545" s="2" t="s">
        <v>81</v>
      </c>
      <c r="Z545" s="2">
        <v>10</v>
      </c>
      <c r="AA545" s="2" t="s">
        <v>236</v>
      </c>
      <c r="AB545" s="2">
        <v>1</v>
      </c>
      <c r="AC545" s="2" t="s">
        <v>178</v>
      </c>
      <c r="AD545" s="3">
        <v>40223</v>
      </c>
      <c r="AE545" s="4">
        <v>0.58333333333333337</v>
      </c>
      <c r="AF545" s="2"/>
      <c r="AG545" s="2"/>
      <c r="AH545" s="2">
        <v>2</v>
      </c>
      <c r="AI545" s="2" t="s">
        <v>84</v>
      </c>
      <c r="AJ545" s="2">
        <v>9</v>
      </c>
      <c r="AK545" s="2" t="s">
        <v>103</v>
      </c>
      <c r="AL545" s="2">
        <v>15</v>
      </c>
      <c r="AM545" s="2" t="s">
        <v>104</v>
      </c>
      <c r="AN545" s="2"/>
      <c r="AO545" s="2" t="s">
        <v>2377</v>
      </c>
      <c r="AP545" s="2">
        <v>11</v>
      </c>
      <c r="AQ545" s="2" t="s">
        <v>82</v>
      </c>
      <c r="AR545" s="2"/>
      <c r="AS545" s="2"/>
      <c r="AT545" s="2" t="s">
        <v>2372</v>
      </c>
      <c r="AU545" s="2"/>
      <c r="AV545" s="2">
        <v>1</v>
      </c>
      <c r="AW545" s="2"/>
      <c r="AX545" s="2"/>
      <c r="AY545" s="2">
        <v>42</v>
      </c>
      <c r="AZ545" s="2" t="s">
        <v>182</v>
      </c>
      <c r="BA545" s="2">
        <v>41</v>
      </c>
      <c r="BB545" s="2" t="s">
        <v>82</v>
      </c>
      <c r="BC545" s="2">
        <v>70</v>
      </c>
      <c r="BD545" s="2" t="s">
        <v>236</v>
      </c>
      <c r="BE545" s="2">
        <v>13</v>
      </c>
      <c r="BF545" s="2" t="s">
        <v>108</v>
      </c>
      <c r="BG545" s="2" t="s">
        <v>674</v>
      </c>
      <c r="BH545" s="2"/>
      <c r="BI545" s="4">
        <v>0.625</v>
      </c>
      <c r="BJ545" s="2">
        <v>13</v>
      </c>
      <c r="BK545" s="2" t="s">
        <v>91</v>
      </c>
      <c r="BL545" s="2" t="s">
        <v>1084</v>
      </c>
      <c r="BM545" s="2">
        <v>241</v>
      </c>
      <c r="BN545" s="2" t="s">
        <v>82</v>
      </c>
      <c r="BO545" s="2"/>
      <c r="BP545" s="2">
        <v>73</v>
      </c>
      <c r="BQ545" s="2" t="s">
        <v>186</v>
      </c>
      <c r="BR545" s="2" t="s">
        <v>675</v>
      </c>
      <c r="BS545" s="3">
        <v>40224</v>
      </c>
      <c r="BT545" s="4">
        <v>0.53278935185185183</v>
      </c>
    </row>
    <row r="546" spans="1:72" x14ac:dyDescent="0.25">
      <c r="A546" s="2">
        <v>859</v>
      </c>
      <c r="B546" s="2">
        <v>2010</v>
      </c>
      <c r="C546" s="2" t="s">
        <v>1568</v>
      </c>
      <c r="D546" s="2" t="s">
        <v>122</v>
      </c>
      <c r="E546" s="2" t="s">
        <v>2378</v>
      </c>
      <c r="F546" s="2">
        <v>389</v>
      </c>
      <c r="G546" s="2" t="s">
        <v>1819</v>
      </c>
      <c r="H546" s="2">
        <v>3</v>
      </c>
      <c r="I546" s="2" t="s">
        <v>315</v>
      </c>
      <c r="J546" s="2">
        <v>399</v>
      </c>
      <c r="K546" s="2" t="s">
        <v>1820</v>
      </c>
      <c r="L546" s="2" t="s">
        <v>1821</v>
      </c>
      <c r="M546" s="3">
        <v>40224</v>
      </c>
      <c r="N546" s="2" t="s">
        <v>2367</v>
      </c>
      <c r="O546" s="2"/>
      <c r="P546" s="2"/>
      <c r="Q546" s="2" t="str">
        <f>"092-E/10"</f>
        <v>092-E/10</v>
      </c>
      <c r="R546" s="2" t="s">
        <v>2368</v>
      </c>
      <c r="S546" s="2"/>
      <c r="T546" s="2">
        <v>1</v>
      </c>
      <c r="U546" s="2" t="s">
        <v>79</v>
      </c>
      <c r="V546" s="2">
        <v>1</v>
      </c>
      <c r="W546" s="2" t="s">
        <v>80</v>
      </c>
      <c r="X546" s="2">
        <v>1</v>
      </c>
      <c r="Y546" s="2" t="s">
        <v>81</v>
      </c>
      <c r="Z546" s="2">
        <v>10</v>
      </c>
      <c r="AA546" s="2" t="s">
        <v>236</v>
      </c>
      <c r="AB546" s="2">
        <v>4</v>
      </c>
      <c r="AC546" s="2" t="s">
        <v>1569</v>
      </c>
      <c r="AD546" s="3">
        <v>40223</v>
      </c>
      <c r="AE546" s="4">
        <v>0.75</v>
      </c>
      <c r="AF546" s="2"/>
      <c r="AG546" s="2"/>
      <c r="AH546" s="2">
        <v>2</v>
      </c>
      <c r="AI546" s="2" t="s">
        <v>84</v>
      </c>
      <c r="AJ546" s="2">
        <v>9</v>
      </c>
      <c r="AK546" s="2" t="s">
        <v>103</v>
      </c>
      <c r="AL546" s="2">
        <v>15</v>
      </c>
      <c r="AM546" s="2" t="s">
        <v>104</v>
      </c>
      <c r="AN546" s="2"/>
      <c r="AO546" s="2" t="s">
        <v>2369</v>
      </c>
      <c r="AP546" s="2">
        <v>11</v>
      </c>
      <c r="AQ546" s="2" t="s">
        <v>82</v>
      </c>
      <c r="AR546" s="2"/>
      <c r="AS546" s="2"/>
      <c r="AT546" s="2" t="s">
        <v>2379</v>
      </c>
      <c r="AU546" s="2"/>
      <c r="AV546" s="2">
        <v>1</v>
      </c>
      <c r="AW546" s="2"/>
      <c r="AX546" s="2"/>
      <c r="AY546" s="2">
        <v>42</v>
      </c>
      <c r="AZ546" s="2" t="s">
        <v>182</v>
      </c>
      <c r="BA546" s="2">
        <v>41</v>
      </c>
      <c r="BB546" s="2" t="s">
        <v>82</v>
      </c>
      <c r="BC546" s="2">
        <v>70</v>
      </c>
      <c r="BD546" s="2" t="s">
        <v>236</v>
      </c>
      <c r="BE546" s="2">
        <v>13</v>
      </c>
      <c r="BF546" s="2" t="s">
        <v>108</v>
      </c>
      <c r="BG546" s="2" t="s">
        <v>842</v>
      </c>
      <c r="BH546" s="2"/>
      <c r="BI546" s="4">
        <v>0.91666666666666663</v>
      </c>
      <c r="BJ546" s="2">
        <v>13</v>
      </c>
      <c r="BK546" s="2" t="s">
        <v>91</v>
      </c>
      <c r="BL546" s="2" t="s">
        <v>360</v>
      </c>
      <c r="BM546" s="2">
        <v>241</v>
      </c>
      <c r="BN546" s="2" t="s">
        <v>82</v>
      </c>
      <c r="BO546" s="2"/>
      <c r="BP546" s="2">
        <v>73</v>
      </c>
      <c r="BQ546" s="2" t="s">
        <v>186</v>
      </c>
      <c r="BR546" s="2" t="s">
        <v>187</v>
      </c>
      <c r="BS546" s="3">
        <v>40224</v>
      </c>
      <c r="BT546" s="4">
        <v>0.53462962962962968</v>
      </c>
    </row>
    <row r="547" spans="1:72" x14ac:dyDescent="0.25">
      <c r="A547" s="2">
        <v>860</v>
      </c>
      <c r="B547" s="2">
        <v>2010</v>
      </c>
      <c r="C547" s="2" t="s">
        <v>121</v>
      </c>
      <c r="D547" s="2" t="s">
        <v>122</v>
      </c>
      <c r="E547" s="2" t="s">
        <v>2380</v>
      </c>
      <c r="F547" s="2">
        <v>1</v>
      </c>
      <c r="G547" s="2" t="s">
        <v>82</v>
      </c>
      <c r="H547" s="2">
        <v>1</v>
      </c>
      <c r="I547" s="2" t="s">
        <v>82</v>
      </c>
      <c r="J547" s="2">
        <v>1</v>
      </c>
      <c r="K547" s="2" t="s">
        <v>107</v>
      </c>
      <c r="L547" s="2" t="s">
        <v>107</v>
      </c>
      <c r="M547" s="3">
        <v>40224</v>
      </c>
      <c r="N547" s="2"/>
      <c r="O547" s="2"/>
      <c r="P547" s="2"/>
      <c r="Q547" s="2" t="str">
        <f>""</f>
        <v/>
      </c>
      <c r="R547" s="2"/>
      <c r="S547" s="2"/>
      <c r="T547" s="2">
        <v>2</v>
      </c>
      <c r="U547" s="2" t="s">
        <v>123</v>
      </c>
      <c r="V547" s="2">
        <v>1</v>
      </c>
      <c r="W547" s="2" t="s">
        <v>80</v>
      </c>
      <c r="X547" s="2">
        <v>5</v>
      </c>
      <c r="Y547" s="2" t="s">
        <v>82</v>
      </c>
      <c r="Z547" s="2">
        <v>1</v>
      </c>
      <c r="AA547" s="2" t="s">
        <v>82</v>
      </c>
      <c r="AB547" s="2">
        <v>9</v>
      </c>
      <c r="AC547" s="2" t="s">
        <v>124</v>
      </c>
      <c r="AD547" s="3">
        <v>40224</v>
      </c>
      <c r="AE547" s="4">
        <v>0.38819444444444445</v>
      </c>
      <c r="AF547" s="2"/>
      <c r="AG547" s="2"/>
      <c r="AH547" s="2">
        <v>3</v>
      </c>
      <c r="AI547" s="2" t="s">
        <v>214</v>
      </c>
      <c r="AJ547" s="2">
        <v>24</v>
      </c>
      <c r="AK547" s="2" t="s">
        <v>215</v>
      </c>
      <c r="AL547" s="2">
        <v>10</v>
      </c>
      <c r="AM547" s="2" t="s">
        <v>200</v>
      </c>
      <c r="AN547" s="2"/>
      <c r="AO547" s="2" t="s">
        <v>2381</v>
      </c>
      <c r="AP547" s="2">
        <v>11</v>
      </c>
      <c r="AQ547" s="2" t="s">
        <v>82</v>
      </c>
      <c r="AR547" s="2"/>
      <c r="AS547" s="2"/>
      <c r="AT547" s="2" t="s">
        <v>2382</v>
      </c>
      <c r="AU547" s="2"/>
      <c r="AV547" s="2"/>
      <c r="AW547" s="2"/>
      <c r="AX547" s="2"/>
      <c r="AY547" s="2">
        <v>41</v>
      </c>
      <c r="AZ547" s="2" t="s">
        <v>82</v>
      </c>
      <c r="BA547" s="2">
        <v>41</v>
      </c>
      <c r="BB547" s="2" t="s">
        <v>82</v>
      </c>
      <c r="BC547" s="2">
        <v>41</v>
      </c>
      <c r="BD547" s="2" t="s">
        <v>82</v>
      </c>
      <c r="BE547" s="2">
        <v>1</v>
      </c>
      <c r="BF547" s="2" t="s">
        <v>107</v>
      </c>
      <c r="BG547" s="2"/>
      <c r="BH547" s="4">
        <v>0.38819444444444445</v>
      </c>
      <c r="BI547" s="2"/>
      <c r="BJ547" s="2">
        <v>13</v>
      </c>
      <c r="BK547" s="2" t="s">
        <v>91</v>
      </c>
      <c r="BL547" s="2" t="s">
        <v>1084</v>
      </c>
      <c r="BM547" s="2">
        <v>241</v>
      </c>
      <c r="BN547" s="2" t="s">
        <v>82</v>
      </c>
      <c r="BO547" s="2"/>
      <c r="BP547" s="2">
        <v>13</v>
      </c>
      <c r="BQ547" s="2" t="s">
        <v>91</v>
      </c>
      <c r="BR547" s="2" t="s">
        <v>169</v>
      </c>
      <c r="BS547" s="3">
        <v>40224</v>
      </c>
      <c r="BT547" s="4">
        <v>0.53748842592592594</v>
      </c>
    </row>
    <row r="548" spans="1:72" x14ac:dyDescent="0.25">
      <c r="A548" s="2">
        <v>861</v>
      </c>
      <c r="B548" s="2">
        <v>2010</v>
      </c>
      <c r="C548" s="2" t="s">
        <v>147</v>
      </c>
      <c r="D548" s="2" t="s">
        <v>73</v>
      </c>
      <c r="E548" s="2"/>
      <c r="F548" s="2">
        <v>1</v>
      </c>
      <c r="G548" s="2" t="s">
        <v>82</v>
      </c>
      <c r="H548" s="2">
        <v>1</v>
      </c>
      <c r="I548" s="2" t="s">
        <v>82</v>
      </c>
      <c r="J548" s="2">
        <v>1</v>
      </c>
      <c r="K548" s="2" t="s">
        <v>107</v>
      </c>
      <c r="L548" s="2" t="s">
        <v>107</v>
      </c>
      <c r="M548" s="3">
        <v>40224</v>
      </c>
      <c r="N548" s="2" t="s">
        <v>82</v>
      </c>
      <c r="O548" s="2" t="s">
        <v>82</v>
      </c>
      <c r="P548" s="2" t="s">
        <v>82</v>
      </c>
      <c r="Q548" s="2" t="str">
        <f>"N/C"</f>
        <v>N/C</v>
      </c>
      <c r="R548" s="2" t="s">
        <v>82</v>
      </c>
      <c r="S548" s="2" t="s">
        <v>82</v>
      </c>
      <c r="T548" s="2">
        <v>2</v>
      </c>
      <c r="U548" s="2" t="s">
        <v>123</v>
      </c>
      <c r="V548" s="2">
        <v>1</v>
      </c>
      <c r="W548" s="2" t="s">
        <v>80</v>
      </c>
      <c r="X548" s="2">
        <v>12</v>
      </c>
      <c r="Y548" s="2" t="s">
        <v>148</v>
      </c>
      <c r="Z548" s="2">
        <v>1</v>
      </c>
      <c r="AA548" s="2" t="s">
        <v>82</v>
      </c>
      <c r="AB548" s="2">
        <v>9</v>
      </c>
      <c r="AC548" s="2" t="s">
        <v>124</v>
      </c>
      <c r="AD548" s="3">
        <v>40212</v>
      </c>
      <c r="AE548" s="2"/>
      <c r="AF548" s="3">
        <v>40193</v>
      </c>
      <c r="AG548" s="4">
        <v>0.36458333333333331</v>
      </c>
      <c r="AH548" s="2">
        <v>2</v>
      </c>
      <c r="AI548" s="2" t="s">
        <v>84</v>
      </c>
      <c r="AJ548" s="2">
        <v>12</v>
      </c>
      <c r="AK548" s="2" t="s">
        <v>85</v>
      </c>
      <c r="AL548" s="2">
        <v>23</v>
      </c>
      <c r="AM548" s="2" t="s">
        <v>251</v>
      </c>
      <c r="AN548" s="2"/>
      <c r="AO548" s="2"/>
      <c r="AP548" s="2">
        <v>11</v>
      </c>
      <c r="AQ548" s="2" t="s">
        <v>82</v>
      </c>
      <c r="AR548" s="2" t="s">
        <v>82</v>
      </c>
      <c r="AS548" s="2" t="s">
        <v>82</v>
      </c>
      <c r="AT548" s="2" t="s">
        <v>2383</v>
      </c>
      <c r="AU548" s="2"/>
      <c r="AV548" s="2"/>
      <c r="AW548" s="2"/>
      <c r="AX548" s="2"/>
      <c r="AY548" s="2">
        <v>41</v>
      </c>
      <c r="AZ548" s="2" t="s">
        <v>82</v>
      </c>
      <c r="BA548" s="2">
        <v>41</v>
      </c>
      <c r="BB548" s="2" t="s">
        <v>82</v>
      </c>
      <c r="BC548" s="2">
        <v>41</v>
      </c>
      <c r="BD548" s="2" t="s">
        <v>82</v>
      </c>
      <c r="BE548" s="2">
        <v>41</v>
      </c>
      <c r="BF548" s="2" t="s">
        <v>82</v>
      </c>
      <c r="BG548" s="2" t="s">
        <v>82</v>
      </c>
      <c r="BH548" s="2"/>
      <c r="BI548" s="2"/>
      <c r="BJ548" s="2">
        <v>241</v>
      </c>
      <c r="BK548" s="2" t="s">
        <v>82</v>
      </c>
      <c r="BL548" s="2" t="s">
        <v>82</v>
      </c>
      <c r="BM548" s="2">
        <v>241</v>
      </c>
      <c r="BN548" s="2" t="s">
        <v>82</v>
      </c>
      <c r="BO548" s="2" t="s">
        <v>82</v>
      </c>
      <c r="BP548" s="2">
        <v>241</v>
      </c>
      <c r="BQ548" s="2" t="s">
        <v>82</v>
      </c>
      <c r="BR548" s="2" t="s">
        <v>82</v>
      </c>
      <c r="BS548" s="3">
        <v>40224</v>
      </c>
      <c r="BT548" s="4">
        <v>0.57528935185185182</v>
      </c>
    </row>
    <row r="549" spans="1:72" x14ac:dyDescent="0.25">
      <c r="A549" s="2">
        <v>862</v>
      </c>
      <c r="B549" s="2">
        <v>2010</v>
      </c>
      <c r="C549" s="2" t="s">
        <v>171</v>
      </c>
      <c r="D549" s="2" t="s">
        <v>73</v>
      </c>
      <c r="E549" s="2" t="s">
        <v>2384</v>
      </c>
      <c r="F549" s="2">
        <v>451</v>
      </c>
      <c r="G549" s="2" t="s">
        <v>879</v>
      </c>
      <c r="H549" s="2">
        <v>31</v>
      </c>
      <c r="I549" s="2" t="s">
        <v>880</v>
      </c>
      <c r="J549" s="2">
        <v>326</v>
      </c>
      <c r="K549" s="2" t="s">
        <v>881</v>
      </c>
      <c r="L549" s="2" t="s">
        <v>882</v>
      </c>
      <c r="M549" s="3">
        <v>40224</v>
      </c>
      <c r="N549" s="2" t="s">
        <v>1072</v>
      </c>
      <c r="O549" s="2" t="s">
        <v>2385</v>
      </c>
      <c r="P549" s="2" t="s">
        <v>2386</v>
      </c>
      <c r="Q549" s="2" t="str">
        <f>"004/10"</f>
        <v>004/10</v>
      </c>
      <c r="R549" s="2"/>
      <c r="S549" s="2" t="s">
        <v>822</v>
      </c>
      <c r="T549" s="2">
        <v>1</v>
      </c>
      <c r="U549" s="2" t="s">
        <v>79</v>
      </c>
      <c r="V549" s="2">
        <v>1</v>
      </c>
      <c r="W549" s="2" t="s">
        <v>80</v>
      </c>
      <c r="X549" s="2">
        <v>1</v>
      </c>
      <c r="Y549" s="2" t="s">
        <v>81</v>
      </c>
      <c r="Z549" s="2">
        <v>10</v>
      </c>
      <c r="AA549" s="2" t="s">
        <v>236</v>
      </c>
      <c r="AB549" s="2">
        <v>1</v>
      </c>
      <c r="AC549" s="2" t="s">
        <v>178</v>
      </c>
      <c r="AD549" s="3">
        <v>40224</v>
      </c>
      <c r="AE549" s="4">
        <v>0.54166666666666663</v>
      </c>
      <c r="AF549" s="2"/>
      <c r="AG549" s="2"/>
      <c r="AH549" s="2">
        <v>4</v>
      </c>
      <c r="AI549" s="2" t="s">
        <v>125</v>
      </c>
      <c r="AJ549" s="2">
        <v>29</v>
      </c>
      <c r="AK549" s="2" t="s">
        <v>227</v>
      </c>
      <c r="AL549" s="2">
        <v>10</v>
      </c>
      <c r="AM549" s="2" t="s">
        <v>200</v>
      </c>
      <c r="AN549" s="2" t="s">
        <v>883</v>
      </c>
      <c r="AO549" s="2"/>
      <c r="AP549" s="2">
        <v>12</v>
      </c>
      <c r="AQ549" s="2" t="s">
        <v>322</v>
      </c>
      <c r="AR549" s="2" t="s">
        <v>824</v>
      </c>
      <c r="AS549" s="2" t="s">
        <v>825</v>
      </c>
      <c r="AT549" s="2" t="s">
        <v>2387</v>
      </c>
      <c r="AU549" s="2"/>
      <c r="AV549" s="2"/>
      <c r="AW549" s="2"/>
      <c r="AX549" s="2"/>
      <c r="AY549" s="2">
        <v>41</v>
      </c>
      <c r="AZ549" s="2" t="s">
        <v>82</v>
      </c>
      <c r="BA549" s="2">
        <v>41</v>
      </c>
      <c r="BB549" s="2" t="s">
        <v>82</v>
      </c>
      <c r="BC549" s="2">
        <v>51</v>
      </c>
      <c r="BD549" s="2" t="s">
        <v>827</v>
      </c>
      <c r="BE549" s="2">
        <v>47</v>
      </c>
      <c r="BF549" s="2" t="s">
        <v>167</v>
      </c>
      <c r="BG549" s="2">
        <v>2459</v>
      </c>
      <c r="BH549" s="4">
        <v>0.84722222222222221</v>
      </c>
      <c r="BI549" s="4">
        <v>0.87847222222222221</v>
      </c>
      <c r="BJ549" s="2">
        <v>13</v>
      </c>
      <c r="BK549" s="2" t="s">
        <v>91</v>
      </c>
      <c r="BL549" s="2" t="s">
        <v>185</v>
      </c>
      <c r="BM549" s="2">
        <v>13</v>
      </c>
      <c r="BN549" s="2" t="s">
        <v>91</v>
      </c>
      <c r="BO549" s="2" t="s">
        <v>828</v>
      </c>
      <c r="BP549" s="2">
        <v>13</v>
      </c>
      <c r="BQ549" s="2" t="s">
        <v>91</v>
      </c>
      <c r="BR549" s="2" t="s">
        <v>185</v>
      </c>
      <c r="BS549" s="3">
        <v>40224</v>
      </c>
      <c r="BT549" s="4">
        <v>0.62505787037037031</v>
      </c>
    </row>
    <row r="550" spans="1:72" x14ac:dyDescent="0.25">
      <c r="A550" s="2">
        <v>863</v>
      </c>
      <c r="B550" s="2">
        <v>2010</v>
      </c>
      <c r="C550" s="2" t="s">
        <v>1017</v>
      </c>
      <c r="D550" s="2" t="s">
        <v>73</v>
      </c>
      <c r="E550" s="2"/>
      <c r="F550" s="2">
        <v>425</v>
      </c>
      <c r="G550" s="2" t="s">
        <v>286</v>
      </c>
      <c r="H550" s="2">
        <v>30</v>
      </c>
      <c r="I550" s="2" t="s">
        <v>912</v>
      </c>
      <c r="J550" s="2">
        <v>310</v>
      </c>
      <c r="K550" s="2" t="s">
        <v>288</v>
      </c>
      <c r="L550" s="2" t="s">
        <v>289</v>
      </c>
      <c r="M550" s="3">
        <v>40224</v>
      </c>
      <c r="N550" s="2" t="s">
        <v>1943</v>
      </c>
      <c r="O550" s="2"/>
      <c r="P550" s="2"/>
      <c r="Q550" s="2" t="str">
        <f>"0672"</f>
        <v>0672</v>
      </c>
      <c r="R550" s="2"/>
      <c r="S550" s="2" t="s">
        <v>2388</v>
      </c>
      <c r="T550" s="2">
        <v>1</v>
      </c>
      <c r="U550" s="2" t="s">
        <v>79</v>
      </c>
      <c r="V550" s="2">
        <v>1</v>
      </c>
      <c r="W550" s="2" t="s">
        <v>80</v>
      </c>
      <c r="X550" s="2">
        <v>1</v>
      </c>
      <c r="Y550" s="2" t="s">
        <v>81</v>
      </c>
      <c r="Z550" s="2">
        <v>10</v>
      </c>
      <c r="AA550" s="2" t="s">
        <v>236</v>
      </c>
      <c r="AB550" s="2">
        <v>7</v>
      </c>
      <c r="AC550" s="2" t="s">
        <v>1023</v>
      </c>
      <c r="AD550" s="3">
        <v>40224</v>
      </c>
      <c r="AE550" s="4">
        <v>0.61805555555555558</v>
      </c>
      <c r="AF550" s="2"/>
      <c r="AG550" s="2"/>
      <c r="AH550" s="2">
        <v>4</v>
      </c>
      <c r="AI550" s="2" t="s">
        <v>125</v>
      </c>
      <c r="AJ550" s="2">
        <v>29</v>
      </c>
      <c r="AK550" s="2" t="s">
        <v>227</v>
      </c>
      <c r="AL550" s="2">
        <v>10</v>
      </c>
      <c r="AM550" s="2" t="s">
        <v>200</v>
      </c>
      <c r="AN550" s="2" t="s">
        <v>2389</v>
      </c>
      <c r="AO550" s="2"/>
      <c r="AP550" s="2">
        <v>11</v>
      </c>
      <c r="AQ550" s="2" t="s">
        <v>82</v>
      </c>
      <c r="AR550" s="2"/>
      <c r="AS550" s="2"/>
      <c r="AT550" s="2" t="s">
        <v>2390</v>
      </c>
      <c r="AU550" s="2"/>
      <c r="AV550" s="2"/>
      <c r="AW550" s="2"/>
      <c r="AX550" s="2"/>
      <c r="AY550" s="2">
        <v>43</v>
      </c>
      <c r="AZ550" s="2" t="s">
        <v>220</v>
      </c>
      <c r="BA550" s="2">
        <v>70</v>
      </c>
      <c r="BB550" s="2" t="s">
        <v>236</v>
      </c>
      <c r="BC550" s="2">
        <v>42</v>
      </c>
      <c r="BD550" s="2" t="s">
        <v>182</v>
      </c>
      <c r="BE550" s="2">
        <v>47</v>
      </c>
      <c r="BF550" s="2" t="s">
        <v>167</v>
      </c>
      <c r="BG550" s="2">
        <v>2453</v>
      </c>
      <c r="BH550" s="4">
        <v>0.60763888888888895</v>
      </c>
      <c r="BI550" s="4">
        <v>0.64236111111111105</v>
      </c>
      <c r="BJ550" s="2">
        <v>13</v>
      </c>
      <c r="BK550" s="2" t="s">
        <v>91</v>
      </c>
      <c r="BL550" s="2" t="s">
        <v>828</v>
      </c>
      <c r="BM550" s="2">
        <v>241</v>
      </c>
      <c r="BN550" s="2" t="s">
        <v>82</v>
      </c>
      <c r="BO550" s="2" t="s">
        <v>82</v>
      </c>
      <c r="BP550" s="2">
        <v>13</v>
      </c>
      <c r="BQ550" s="2" t="s">
        <v>91</v>
      </c>
      <c r="BR550" s="2" t="s">
        <v>185</v>
      </c>
      <c r="BS550" s="3">
        <v>40224</v>
      </c>
      <c r="BT550" s="4">
        <v>0.70938657407407402</v>
      </c>
    </row>
    <row r="551" spans="1:72" x14ac:dyDescent="0.25">
      <c r="A551" s="2">
        <v>864</v>
      </c>
      <c r="B551" s="2">
        <v>2010</v>
      </c>
      <c r="C551" s="2" t="s">
        <v>625</v>
      </c>
      <c r="D551" s="2" t="s">
        <v>73</v>
      </c>
      <c r="E551" s="2"/>
      <c r="F551" s="2">
        <v>505</v>
      </c>
      <c r="G551" s="2" t="s">
        <v>2391</v>
      </c>
      <c r="H551" s="2">
        <v>4</v>
      </c>
      <c r="I551" s="2" t="s">
        <v>173</v>
      </c>
      <c r="J551" s="2">
        <v>423</v>
      </c>
      <c r="K551" s="2" t="s">
        <v>2392</v>
      </c>
      <c r="L551" s="2" t="s">
        <v>2393</v>
      </c>
      <c r="M551" s="3">
        <v>40224</v>
      </c>
      <c r="N551" s="2" t="s">
        <v>2394</v>
      </c>
      <c r="O551" s="2" t="s">
        <v>2395</v>
      </c>
      <c r="P551" s="2" t="s">
        <v>2396</v>
      </c>
      <c r="Q551" s="2" t="str">
        <f>"05/07"</f>
        <v>05/07</v>
      </c>
      <c r="R551" s="2" t="s">
        <v>107</v>
      </c>
      <c r="S551" s="2" t="s">
        <v>107</v>
      </c>
      <c r="T551" s="2">
        <v>1</v>
      </c>
      <c r="U551" s="2" t="s">
        <v>79</v>
      </c>
      <c r="V551" s="2">
        <v>1</v>
      </c>
      <c r="W551" s="2" t="s">
        <v>80</v>
      </c>
      <c r="X551" s="2">
        <v>2</v>
      </c>
      <c r="Y551" s="2" t="s">
        <v>136</v>
      </c>
      <c r="Z551" s="2">
        <v>1</v>
      </c>
      <c r="AA551" s="2" t="s">
        <v>82</v>
      </c>
      <c r="AB551" s="2">
        <v>9</v>
      </c>
      <c r="AC551" s="2" t="s">
        <v>124</v>
      </c>
      <c r="AD551" s="3">
        <v>40219</v>
      </c>
      <c r="AE551" s="4">
        <v>0.375</v>
      </c>
      <c r="AF551" s="2"/>
      <c r="AG551" s="2"/>
      <c r="AH551" s="2">
        <v>7</v>
      </c>
      <c r="AI551" s="2" t="s">
        <v>801</v>
      </c>
      <c r="AJ551" s="2">
        <v>4</v>
      </c>
      <c r="AK551" s="2" t="s">
        <v>2397</v>
      </c>
      <c r="AL551" s="2">
        <v>19</v>
      </c>
      <c r="AM551" s="2" t="s">
        <v>107</v>
      </c>
      <c r="AN551" s="2" t="s">
        <v>107</v>
      </c>
      <c r="AO551" s="2" t="s">
        <v>2398</v>
      </c>
      <c r="AP551" s="2">
        <v>11</v>
      </c>
      <c r="AQ551" s="2" t="s">
        <v>82</v>
      </c>
      <c r="AR551" s="2"/>
      <c r="AS551" s="2"/>
      <c r="AT551" s="2" t="s">
        <v>2399</v>
      </c>
      <c r="AU551" s="2">
        <v>2</v>
      </c>
      <c r="AV551" s="2"/>
      <c r="AW551" s="2"/>
      <c r="AX551" s="2"/>
      <c r="AY551" s="2">
        <v>1</v>
      </c>
      <c r="AZ551" s="2" t="s">
        <v>107</v>
      </c>
      <c r="BA551" s="2">
        <v>41</v>
      </c>
      <c r="BB551" s="2" t="s">
        <v>82</v>
      </c>
      <c r="BC551" s="2">
        <v>41</v>
      </c>
      <c r="BD551" s="2" t="s">
        <v>82</v>
      </c>
      <c r="BE551" s="2">
        <v>1</v>
      </c>
      <c r="BF551" s="2" t="s">
        <v>107</v>
      </c>
      <c r="BG551" s="2"/>
      <c r="BH551" s="2"/>
      <c r="BI551" s="2"/>
      <c r="BJ551" s="2">
        <v>241</v>
      </c>
      <c r="BK551" s="2" t="s">
        <v>82</v>
      </c>
      <c r="BL551" s="2"/>
      <c r="BM551" s="2">
        <v>241</v>
      </c>
      <c r="BN551" s="2" t="s">
        <v>82</v>
      </c>
      <c r="BO551" s="2"/>
      <c r="BP551" s="2">
        <v>241</v>
      </c>
      <c r="BQ551" s="2" t="s">
        <v>82</v>
      </c>
      <c r="BR551" s="2"/>
      <c r="BS551" s="3">
        <v>40224</v>
      </c>
      <c r="BT551" s="4">
        <v>0.71084490740740736</v>
      </c>
    </row>
    <row r="552" spans="1:72" x14ac:dyDescent="0.25">
      <c r="A552" s="2">
        <v>864</v>
      </c>
      <c r="B552" s="2">
        <v>2010</v>
      </c>
      <c r="C552" s="2" t="s">
        <v>806</v>
      </c>
      <c r="D552" s="2" t="s">
        <v>73</v>
      </c>
      <c r="E552" s="2"/>
      <c r="F552" s="2">
        <v>505</v>
      </c>
      <c r="G552" s="2" t="s">
        <v>2391</v>
      </c>
      <c r="H552" s="2">
        <v>4</v>
      </c>
      <c r="I552" s="2" t="s">
        <v>173</v>
      </c>
      <c r="J552" s="2">
        <v>423</v>
      </c>
      <c r="K552" s="2" t="s">
        <v>2392</v>
      </c>
      <c r="L552" s="2" t="s">
        <v>2393</v>
      </c>
      <c r="M552" s="3">
        <v>40224</v>
      </c>
      <c r="N552" s="2" t="s">
        <v>2394</v>
      </c>
      <c r="O552" s="2" t="s">
        <v>2395</v>
      </c>
      <c r="P552" s="2" t="s">
        <v>2396</v>
      </c>
      <c r="Q552" s="2" t="str">
        <f>"05/07"</f>
        <v>05/07</v>
      </c>
      <c r="R552" s="2" t="s">
        <v>107</v>
      </c>
      <c r="S552" s="2" t="s">
        <v>107</v>
      </c>
      <c r="T552" s="2">
        <v>1</v>
      </c>
      <c r="U552" s="2" t="s">
        <v>79</v>
      </c>
      <c r="V552" s="2">
        <v>1</v>
      </c>
      <c r="W552" s="2" t="s">
        <v>80</v>
      </c>
      <c r="X552" s="2">
        <v>2</v>
      </c>
      <c r="Y552" s="2" t="s">
        <v>136</v>
      </c>
      <c r="Z552" s="2">
        <v>1</v>
      </c>
      <c r="AA552" s="2" t="s">
        <v>82</v>
      </c>
      <c r="AB552" s="2">
        <v>9</v>
      </c>
      <c r="AC552" s="2" t="s">
        <v>124</v>
      </c>
      <c r="AD552" s="3">
        <v>40219</v>
      </c>
      <c r="AE552" s="4">
        <v>0.375</v>
      </c>
      <c r="AF552" s="2"/>
      <c r="AG552" s="2"/>
      <c r="AH552" s="2">
        <v>7</v>
      </c>
      <c r="AI552" s="2" t="s">
        <v>801</v>
      </c>
      <c r="AJ552" s="2">
        <v>4</v>
      </c>
      <c r="AK552" s="2" t="s">
        <v>2397</v>
      </c>
      <c r="AL552" s="2">
        <v>19</v>
      </c>
      <c r="AM552" s="2" t="s">
        <v>107</v>
      </c>
      <c r="AN552" s="2" t="s">
        <v>107</v>
      </c>
      <c r="AO552" s="2" t="s">
        <v>2398</v>
      </c>
      <c r="AP552" s="2">
        <v>11</v>
      </c>
      <c r="AQ552" s="2" t="s">
        <v>82</v>
      </c>
      <c r="AR552" s="2"/>
      <c r="AS552" s="2"/>
      <c r="AT552" s="2" t="s">
        <v>2399</v>
      </c>
      <c r="AU552" s="2">
        <v>2</v>
      </c>
      <c r="AV552" s="2"/>
      <c r="AW552" s="2"/>
      <c r="AX552" s="2"/>
      <c r="AY552" s="2">
        <v>1</v>
      </c>
      <c r="AZ552" s="2" t="s">
        <v>107</v>
      </c>
      <c r="BA552" s="2">
        <v>41</v>
      </c>
      <c r="BB552" s="2" t="s">
        <v>82</v>
      </c>
      <c r="BC552" s="2">
        <v>41</v>
      </c>
      <c r="BD552" s="2" t="s">
        <v>82</v>
      </c>
      <c r="BE552" s="2">
        <v>1</v>
      </c>
      <c r="BF552" s="2" t="s">
        <v>107</v>
      </c>
      <c r="BG552" s="2"/>
      <c r="BH552" s="2"/>
      <c r="BI552" s="2"/>
      <c r="BJ552" s="2">
        <v>241</v>
      </c>
      <c r="BK552" s="2" t="s">
        <v>82</v>
      </c>
      <c r="BL552" s="2"/>
      <c r="BM552" s="2">
        <v>241</v>
      </c>
      <c r="BN552" s="2" t="s">
        <v>82</v>
      </c>
      <c r="BO552" s="2"/>
      <c r="BP552" s="2">
        <v>241</v>
      </c>
      <c r="BQ552" s="2" t="s">
        <v>82</v>
      </c>
      <c r="BR552" s="2"/>
      <c r="BS552" s="3">
        <v>40224</v>
      </c>
      <c r="BT552" s="4">
        <v>0.71084490740740736</v>
      </c>
    </row>
    <row r="553" spans="1:72" x14ac:dyDescent="0.25">
      <c r="A553" s="2">
        <v>865</v>
      </c>
      <c r="B553" s="2">
        <v>2010</v>
      </c>
      <c r="C553" s="2" t="s">
        <v>72</v>
      </c>
      <c r="D553" s="2" t="s">
        <v>73</v>
      </c>
      <c r="E553" s="2"/>
      <c r="F553" s="2">
        <v>391</v>
      </c>
      <c r="G553" s="2" t="s">
        <v>2400</v>
      </c>
      <c r="H553" s="2">
        <v>3</v>
      </c>
      <c r="I553" s="2" t="s">
        <v>315</v>
      </c>
      <c r="J553" s="2">
        <v>399</v>
      </c>
      <c r="K553" s="2" t="s">
        <v>1820</v>
      </c>
      <c r="L553" s="2" t="s">
        <v>1821</v>
      </c>
      <c r="M553" s="3">
        <v>40224</v>
      </c>
      <c r="N553" s="2" t="s">
        <v>2401</v>
      </c>
      <c r="O553" s="2"/>
      <c r="P553" s="2"/>
      <c r="Q553" s="2" t="str">
        <f>"093-E/10"</f>
        <v>093-E/10</v>
      </c>
      <c r="R553" s="2"/>
      <c r="S553" s="2" t="s">
        <v>480</v>
      </c>
      <c r="T553" s="2">
        <v>1</v>
      </c>
      <c r="U553" s="2" t="s">
        <v>79</v>
      </c>
      <c r="V553" s="2">
        <v>1</v>
      </c>
      <c r="W553" s="2" t="s">
        <v>80</v>
      </c>
      <c r="X553" s="2">
        <v>1</v>
      </c>
      <c r="Y553" s="2" t="s">
        <v>81</v>
      </c>
      <c r="Z553" s="2">
        <v>10</v>
      </c>
      <c r="AA553" s="2" t="s">
        <v>236</v>
      </c>
      <c r="AB553" s="2">
        <v>6</v>
      </c>
      <c r="AC553" s="2" t="s">
        <v>83</v>
      </c>
      <c r="AD553" s="3">
        <v>40224</v>
      </c>
      <c r="AE553" s="2"/>
      <c r="AF553" s="3">
        <v>40224</v>
      </c>
      <c r="AG553" s="4">
        <v>0.52777777777777779</v>
      </c>
      <c r="AH553" s="2">
        <v>2</v>
      </c>
      <c r="AI553" s="2" t="s">
        <v>84</v>
      </c>
      <c r="AJ553" s="2">
        <v>9</v>
      </c>
      <c r="AK553" s="2" t="s">
        <v>103</v>
      </c>
      <c r="AL553" s="2">
        <v>14</v>
      </c>
      <c r="AM553" s="2" t="s">
        <v>216</v>
      </c>
      <c r="AN553" s="2" t="s">
        <v>2402</v>
      </c>
      <c r="AO553" s="2"/>
      <c r="AP553" s="2">
        <v>11</v>
      </c>
      <c r="AQ553" s="2" t="s">
        <v>82</v>
      </c>
      <c r="AR553" s="2"/>
      <c r="AS553" s="2"/>
      <c r="AT553" s="2" t="s">
        <v>2403</v>
      </c>
      <c r="AU553" s="2"/>
      <c r="AV553" s="2"/>
      <c r="AW553" s="2"/>
      <c r="AX553" s="2"/>
      <c r="AY553" s="2">
        <v>41</v>
      </c>
      <c r="AZ553" s="2" t="s">
        <v>82</v>
      </c>
      <c r="BA553" s="2">
        <v>41</v>
      </c>
      <c r="BB553" s="2" t="s">
        <v>82</v>
      </c>
      <c r="BC553" s="2">
        <v>70</v>
      </c>
      <c r="BD553" s="2" t="s">
        <v>236</v>
      </c>
      <c r="BE553" s="2">
        <v>11</v>
      </c>
      <c r="BF553" s="2" t="s">
        <v>2404</v>
      </c>
      <c r="BG553" s="2" t="s">
        <v>2405</v>
      </c>
      <c r="BH553" s="4">
        <v>0.44861111111111113</v>
      </c>
      <c r="BI553" s="4">
        <v>0.94444444444444453</v>
      </c>
      <c r="BJ553" s="2">
        <v>75</v>
      </c>
      <c r="BK553" s="2" t="s">
        <v>1264</v>
      </c>
      <c r="BL553" s="2" t="s">
        <v>2406</v>
      </c>
      <c r="BM553" s="2">
        <v>241</v>
      </c>
      <c r="BN553" s="2" t="s">
        <v>82</v>
      </c>
      <c r="BO553" s="2"/>
      <c r="BP553" s="2">
        <v>13</v>
      </c>
      <c r="BQ553" s="2" t="s">
        <v>91</v>
      </c>
      <c r="BR553" s="2" t="s">
        <v>360</v>
      </c>
      <c r="BS553" s="3">
        <v>40224</v>
      </c>
      <c r="BT553" s="4">
        <v>0.75708333333333344</v>
      </c>
    </row>
    <row r="554" spans="1:72" x14ac:dyDescent="0.25">
      <c r="A554" s="2">
        <v>867</v>
      </c>
      <c r="B554" s="2">
        <v>2010</v>
      </c>
      <c r="C554" s="2" t="s">
        <v>196</v>
      </c>
      <c r="D554" s="2" t="s">
        <v>122</v>
      </c>
      <c r="E554" s="2"/>
      <c r="F554" s="2">
        <v>1</v>
      </c>
      <c r="G554" s="2" t="s">
        <v>82</v>
      </c>
      <c r="H554" s="2">
        <v>1</v>
      </c>
      <c r="I554" s="2" t="s">
        <v>82</v>
      </c>
      <c r="J554" s="2">
        <v>1</v>
      </c>
      <c r="K554" s="2" t="s">
        <v>107</v>
      </c>
      <c r="L554" s="2" t="s">
        <v>107</v>
      </c>
      <c r="M554" s="3">
        <v>40224</v>
      </c>
      <c r="N554" s="2"/>
      <c r="O554" s="2"/>
      <c r="P554" s="2"/>
      <c r="Q554" s="2" t="str">
        <f>""</f>
        <v/>
      </c>
      <c r="R554" s="2"/>
      <c r="S554" s="2"/>
      <c r="T554" s="2">
        <v>2</v>
      </c>
      <c r="U554" s="2" t="s">
        <v>123</v>
      </c>
      <c r="V554" s="2">
        <v>1</v>
      </c>
      <c r="W554" s="2" t="s">
        <v>80</v>
      </c>
      <c r="X554" s="2">
        <v>5</v>
      </c>
      <c r="Y554" s="2" t="s">
        <v>82</v>
      </c>
      <c r="Z554" s="2">
        <v>1</v>
      </c>
      <c r="AA554" s="2" t="s">
        <v>82</v>
      </c>
      <c r="AB554" s="2">
        <v>9</v>
      </c>
      <c r="AC554" s="2" t="s">
        <v>124</v>
      </c>
      <c r="AD554" s="3">
        <v>40224</v>
      </c>
      <c r="AE554" s="4">
        <v>0.75347222222222221</v>
      </c>
      <c r="AF554" s="2"/>
      <c r="AG554" s="2"/>
      <c r="AH554" s="2">
        <v>6</v>
      </c>
      <c r="AI554" s="2" t="s">
        <v>197</v>
      </c>
      <c r="AJ554" s="2">
        <v>59</v>
      </c>
      <c r="AK554" s="2" t="s">
        <v>198</v>
      </c>
      <c r="AL554" s="2">
        <v>18</v>
      </c>
      <c r="AM554" s="2" t="s">
        <v>82</v>
      </c>
      <c r="AN554" s="2" t="s">
        <v>259</v>
      </c>
      <c r="AO554" s="2" t="s">
        <v>230</v>
      </c>
      <c r="AP554" s="2">
        <v>11</v>
      </c>
      <c r="AQ554" s="2" t="s">
        <v>82</v>
      </c>
      <c r="AR554" s="2"/>
      <c r="AS554" s="2"/>
      <c r="AT554" s="2" t="s">
        <v>2407</v>
      </c>
      <c r="AU554" s="2"/>
      <c r="AV554" s="2"/>
      <c r="AW554" s="2"/>
      <c r="AX554" s="2"/>
      <c r="AY554" s="2">
        <v>1</v>
      </c>
      <c r="AZ554" s="2" t="s">
        <v>107</v>
      </c>
      <c r="BA554" s="2">
        <v>1</v>
      </c>
      <c r="BB554" s="2" t="s">
        <v>107</v>
      </c>
      <c r="BC554" s="2">
        <v>1</v>
      </c>
      <c r="BD554" s="2" t="s">
        <v>107</v>
      </c>
      <c r="BE554" s="2">
        <v>1</v>
      </c>
      <c r="BF554" s="2" t="s">
        <v>107</v>
      </c>
      <c r="BG554" s="2"/>
      <c r="BH554" s="2"/>
      <c r="BI554" s="2"/>
      <c r="BJ554" s="2">
        <v>242</v>
      </c>
      <c r="BK554" s="2" t="s">
        <v>107</v>
      </c>
      <c r="BL554" s="2"/>
      <c r="BM554" s="2">
        <v>242</v>
      </c>
      <c r="BN554" s="2" t="s">
        <v>107</v>
      </c>
      <c r="BO554" s="2"/>
      <c r="BP554" s="2">
        <v>13</v>
      </c>
      <c r="BQ554" s="2" t="s">
        <v>91</v>
      </c>
      <c r="BR554" s="2" t="s">
        <v>524</v>
      </c>
      <c r="BS554" s="3">
        <v>40224</v>
      </c>
      <c r="BT554" s="4">
        <v>0.81627314814814811</v>
      </c>
    </row>
    <row r="555" spans="1:72" x14ac:dyDescent="0.25">
      <c r="A555" s="2">
        <v>868</v>
      </c>
      <c r="B555" s="2">
        <v>2010</v>
      </c>
      <c r="C555" s="2" t="s">
        <v>1660</v>
      </c>
      <c r="D555" s="2" t="s">
        <v>73</v>
      </c>
      <c r="E555" s="2"/>
      <c r="F555" s="2">
        <v>391</v>
      </c>
      <c r="G555" s="2" t="s">
        <v>2400</v>
      </c>
      <c r="H555" s="2">
        <v>3</v>
      </c>
      <c r="I555" s="2" t="s">
        <v>315</v>
      </c>
      <c r="J555" s="2">
        <v>399</v>
      </c>
      <c r="K555" s="2" t="s">
        <v>1820</v>
      </c>
      <c r="L555" s="2" t="s">
        <v>1821</v>
      </c>
      <c r="M555" s="3">
        <v>40224</v>
      </c>
      <c r="N555" s="2" t="s">
        <v>2367</v>
      </c>
      <c r="O555" s="2"/>
      <c r="P555" s="2"/>
      <c r="Q555" s="2" t="str">
        <f>"094-E/10"</f>
        <v>094-E/10</v>
      </c>
      <c r="R555" s="2"/>
      <c r="S555" s="2" t="s">
        <v>2408</v>
      </c>
      <c r="T555" s="2">
        <v>1</v>
      </c>
      <c r="U555" s="2" t="s">
        <v>79</v>
      </c>
      <c r="V555" s="2">
        <v>1</v>
      </c>
      <c r="W555" s="2" t="s">
        <v>80</v>
      </c>
      <c r="X555" s="2">
        <v>1</v>
      </c>
      <c r="Y555" s="2" t="s">
        <v>81</v>
      </c>
      <c r="Z555" s="2">
        <v>10</v>
      </c>
      <c r="AA555" s="2" t="s">
        <v>236</v>
      </c>
      <c r="AB555" s="2">
        <v>3</v>
      </c>
      <c r="AC555" s="2" t="s">
        <v>1663</v>
      </c>
      <c r="AD555" s="3">
        <v>40224</v>
      </c>
      <c r="AE555" s="4">
        <v>0.55555555555555558</v>
      </c>
      <c r="AF555" s="2"/>
      <c r="AG555" s="2"/>
      <c r="AH555" s="2">
        <v>2</v>
      </c>
      <c r="AI555" s="2" t="s">
        <v>84</v>
      </c>
      <c r="AJ555" s="2">
        <v>9</v>
      </c>
      <c r="AK555" s="2" t="s">
        <v>103</v>
      </c>
      <c r="AL555" s="2">
        <v>14</v>
      </c>
      <c r="AM555" s="2" t="s">
        <v>216</v>
      </c>
      <c r="AN555" s="2" t="s">
        <v>2409</v>
      </c>
      <c r="AO555" s="2"/>
      <c r="AP555" s="2">
        <v>11</v>
      </c>
      <c r="AQ555" s="2" t="s">
        <v>82</v>
      </c>
      <c r="AR555" s="2"/>
      <c r="AS555" s="2"/>
      <c r="AT555" s="2" t="s">
        <v>2410</v>
      </c>
      <c r="AU555" s="2"/>
      <c r="AV555" s="2">
        <v>1</v>
      </c>
      <c r="AW555" s="2"/>
      <c r="AX555" s="2"/>
      <c r="AY555" s="2">
        <v>42</v>
      </c>
      <c r="AZ555" s="2" t="s">
        <v>182</v>
      </c>
      <c r="BA555" s="2">
        <v>41</v>
      </c>
      <c r="BB555" s="2" t="s">
        <v>82</v>
      </c>
      <c r="BC555" s="2">
        <v>70</v>
      </c>
      <c r="BD555" s="2" t="s">
        <v>236</v>
      </c>
      <c r="BE555" s="2">
        <v>29</v>
      </c>
      <c r="BF555" s="2" t="s">
        <v>2411</v>
      </c>
      <c r="BG555" s="2" t="s">
        <v>2412</v>
      </c>
      <c r="BH555" s="4">
        <v>7.0833333333333331E-2</v>
      </c>
      <c r="BI555" s="4">
        <v>0.5708333333333333</v>
      </c>
      <c r="BJ555" s="2">
        <v>13</v>
      </c>
      <c r="BK555" s="2" t="s">
        <v>91</v>
      </c>
      <c r="BL555" s="2" t="s">
        <v>360</v>
      </c>
      <c r="BM555" s="2">
        <v>241</v>
      </c>
      <c r="BN555" s="2" t="s">
        <v>82</v>
      </c>
      <c r="BO555" s="2"/>
      <c r="BP555" s="2">
        <v>16</v>
      </c>
      <c r="BQ555" s="2" t="s">
        <v>2130</v>
      </c>
      <c r="BR555" s="2" t="s">
        <v>2413</v>
      </c>
      <c r="BS555" s="3">
        <v>40224</v>
      </c>
      <c r="BT555" s="4">
        <v>0.87667824074074074</v>
      </c>
    </row>
    <row r="556" spans="1:72" x14ac:dyDescent="0.25">
      <c r="A556" s="2">
        <v>869</v>
      </c>
      <c r="B556" s="2">
        <v>2010</v>
      </c>
      <c r="C556" s="2" t="s">
        <v>196</v>
      </c>
      <c r="D556" s="2" t="s">
        <v>122</v>
      </c>
      <c r="E556" s="2"/>
      <c r="F556" s="2">
        <v>1</v>
      </c>
      <c r="G556" s="2" t="s">
        <v>82</v>
      </c>
      <c r="H556" s="2">
        <v>1</v>
      </c>
      <c r="I556" s="2" t="s">
        <v>82</v>
      </c>
      <c r="J556" s="2">
        <v>1</v>
      </c>
      <c r="K556" s="2" t="s">
        <v>107</v>
      </c>
      <c r="L556" s="2" t="s">
        <v>107</v>
      </c>
      <c r="M556" s="3">
        <v>40224</v>
      </c>
      <c r="N556" s="2" t="s">
        <v>82</v>
      </c>
      <c r="O556" s="2" t="s">
        <v>82</v>
      </c>
      <c r="P556" s="2" t="s">
        <v>82</v>
      </c>
      <c r="Q556" s="2" t="str">
        <f>"N/C"</f>
        <v>N/C</v>
      </c>
      <c r="R556" s="2" t="s">
        <v>1893</v>
      </c>
      <c r="S556" s="2" t="s">
        <v>82</v>
      </c>
      <c r="T556" s="2">
        <v>2</v>
      </c>
      <c r="U556" s="2" t="s">
        <v>123</v>
      </c>
      <c r="V556" s="2">
        <v>1</v>
      </c>
      <c r="W556" s="2" t="s">
        <v>80</v>
      </c>
      <c r="X556" s="2">
        <v>1</v>
      </c>
      <c r="Y556" s="2" t="s">
        <v>81</v>
      </c>
      <c r="Z556" s="2">
        <v>1</v>
      </c>
      <c r="AA556" s="2" t="s">
        <v>82</v>
      </c>
      <c r="AB556" s="2">
        <v>9</v>
      </c>
      <c r="AC556" s="2" t="s">
        <v>124</v>
      </c>
      <c r="AD556" s="3">
        <v>40224</v>
      </c>
      <c r="AE556" s="4">
        <v>0.79166666666666663</v>
      </c>
      <c r="AF556" s="2"/>
      <c r="AG556" s="2"/>
      <c r="AH556" s="2">
        <v>2</v>
      </c>
      <c r="AI556" s="2" t="s">
        <v>84</v>
      </c>
      <c r="AJ556" s="2">
        <v>12</v>
      </c>
      <c r="AK556" s="2" t="s">
        <v>85</v>
      </c>
      <c r="AL556" s="2">
        <v>20</v>
      </c>
      <c r="AM556" s="2" t="s">
        <v>992</v>
      </c>
      <c r="AN556" s="2" t="s">
        <v>107</v>
      </c>
      <c r="AO556" s="2" t="s">
        <v>2414</v>
      </c>
      <c r="AP556" s="2">
        <v>11</v>
      </c>
      <c r="AQ556" s="2" t="s">
        <v>82</v>
      </c>
      <c r="AR556" s="2" t="s">
        <v>82</v>
      </c>
      <c r="AS556" s="2" t="s">
        <v>82</v>
      </c>
      <c r="AT556" s="2" t="s">
        <v>2415</v>
      </c>
      <c r="AU556" s="2"/>
      <c r="AV556" s="2"/>
      <c r="AW556" s="2"/>
      <c r="AX556" s="2"/>
      <c r="AY556" s="2">
        <v>41</v>
      </c>
      <c r="AZ556" s="2" t="s">
        <v>82</v>
      </c>
      <c r="BA556" s="2">
        <v>41</v>
      </c>
      <c r="BB556" s="2" t="s">
        <v>82</v>
      </c>
      <c r="BC556" s="2">
        <v>41</v>
      </c>
      <c r="BD556" s="2" t="s">
        <v>82</v>
      </c>
      <c r="BE556" s="2">
        <v>41</v>
      </c>
      <c r="BF556" s="2" t="s">
        <v>82</v>
      </c>
      <c r="BG556" s="2" t="s">
        <v>82</v>
      </c>
      <c r="BH556" s="4">
        <v>0.85972222222222217</v>
      </c>
      <c r="BI556" s="2"/>
      <c r="BJ556" s="2">
        <v>13</v>
      </c>
      <c r="BK556" s="2" t="s">
        <v>91</v>
      </c>
      <c r="BL556" s="2" t="s">
        <v>204</v>
      </c>
      <c r="BM556" s="2">
        <v>241</v>
      </c>
      <c r="BN556" s="2" t="s">
        <v>82</v>
      </c>
      <c r="BO556" s="2" t="s">
        <v>82</v>
      </c>
      <c r="BP556" s="2">
        <v>13</v>
      </c>
      <c r="BQ556" s="2" t="s">
        <v>91</v>
      </c>
      <c r="BR556" s="2" t="s">
        <v>185</v>
      </c>
      <c r="BS556" s="3">
        <v>40224</v>
      </c>
      <c r="BT556" s="4">
        <v>0.9080555555555555</v>
      </c>
    </row>
    <row r="557" spans="1:72" x14ac:dyDescent="0.25">
      <c r="A557" s="2">
        <v>870</v>
      </c>
      <c r="B557" s="2">
        <v>2010</v>
      </c>
      <c r="C557" s="2" t="s">
        <v>128</v>
      </c>
      <c r="D557" s="2" t="s">
        <v>122</v>
      </c>
      <c r="E557" s="2"/>
      <c r="F557" s="2">
        <v>1</v>
      </c>
      <c r="G557" s="2" t="s">
        <v>82</v>
      </c>
      <c r="H557" s="2">
        <v>50</v>
      </c>
      <c r="I557" s="2" t="s">
        <v>107</v>
      </c>
      <c r="J557" s="2">
        <v>1</v>
      </c>
      <c r="K557" s="2" t="s">
        <v>107</v>
      </c>
      <c r="L557" s="2" t="s">
        <v>107</v>
      </c>
      <c r="M557" s="3">
        <v>40224</v>
      </c>
      <c r="N557" s="2" t="s">
        <v>2416</v>
      </c>
      <c r="O557" s="2" t="s">
        <v>2417</v>
      </c>
      <c r="P557" s="2" t="s">
        <v>2418</v>
      </c>
      <c r="Q557" s="2" t="str">
        <f>"S/D"</f>
        <v>S/D</v>
      </c>
      <c r="R557" s="2" t="s">
        <v>82</v>
      </c>
      <c r="S557" s="2" t="s">
        <v>107</v>
      </c>
      <c r="T557" s="2">
        <v>1</v>
      </c>
      <c r="U557" s="2" t="s">
        <v>79</v>
      </c>
      <c r="V557" s="2">
        <v>1</v>
      </c>
      <c r="W557" s="2" t="s">
        <v>80</v>
      </c>
      <c r="X557" s="2">
        <v>4</v>
      </c>
      <c r="Y557" s="2" t="s">
        <v>463</v>
      </c>
      <c r="Z557" s="2">
        <v>1</v>
      </c>
      <c r="AA557" s="2" t="s">
        <v>82</v>
      </c>
      <c r="AB557" s="2">
        <v>9</v>
      </c>
      <c r="AC557" s="2" t="s">
        <v>124</v>
      </c>
      <c r="AD557" s="3">
        <v>40224</v>
      </c>
      <c r="AE557" s="4">
        <v>0.71527777777777779</v>
      </c>
      <c r="AF557" s="2"/>
      <c r="AG557" s="2"/>
      <c r="AH557" s="2">
        <v>3</v>
      </c>
      <c r="AI557" s="2" t="s">
        <v>214</v>
      </c>
      <c r="AJ557" s="2">
        <v>24</v>
      </c>
      <c r="AK557" s="2" t="s">
        <v>215</v>
      </c>
      <c r="AL557" s="2">
        <v>18</v>
      </c>
      <c r="AM557" s="2" t="s">
        <v>82</v>
      </c>
      <c r="AN557" s="2" t="s">
        <v>82</v>
      </c>
      <c r="AO557" s="2" t="s">
        <v>2419</v>
      </c>
      <c r="AP557" s="2">
        <v>11</v>
      </c>
      <c r="AQ557" s="2" t="s">
        <v>82</v>
      </c>
      <c r="AR557" s="2"/>
      <c r="AS557" s="2"/>
      <c r="AT557" s="2" t="s">
        <v>2420</v>
      </c>
      <c r="AU557" s="2">
        <v>1</v>
      </c>
      <c r="AV557" s="2"/>
      <c r="AW557" s="2"/>
      <c r="AX557" s="2"/>
      <c r="AY557" s="2">
        <v>1</v>
      </c>
      <c r="AZ557" s="2" t="s">
        <v>107</v>
      </c>
      <c r="BA557" s="2">
        <v>1</v>
      </c>
      <c r="BB557" s="2" t="s">
        <v>107</v>
      </c>
      <c r="BC557" s="2">
        <v>1</v>
      </c>
      <c r="BD557" s="2" t="s">
        <v>107</v>
      </c>
      <c r="BE557" s="2">
        <v>45</v>
      </c>
      <c r="BF557" s="2" t="s">
        <v>1855</v>
      </c>
      <c r="BG557" s="2" t="s">
        <v>2421</v>
      </c>
      <c r="BH557" s="4">
        <v>0.86458333333333337</v>
      </c>
      <c r="BI557" s="4">
        <v>0.80902777777777779</v>
      </c>
      <c r="BJ557" s="2">
        <v>13</v>
      </c>
      <c r="BK557" s="2" t="s">
        <v>91</v>
      </c>
      <c r="BL557" s="2" t="s">
        <v>169</v>
      </c>
      <c r="BM557" s="2">
        <v>241</v>
      </c>
      <c r="BN557" s="2" t="s">
        <v>82</v>
      </c>
      <c r="BO557" s="2" t="s">
        <v>82</v>
      </c>
      <c r="BP557" s="2">
        <v>13</v>
      </c>
      <c r="BQ557" s="2" t="s">
        <v>91</v>
      </c>
      <c r="BR557" s="2" t="s">
        <v>2422</v>
      </c>
      <c r="BS557" s="3">
        <v>40224</v>
      </c>
      <c r="BT557" s="4">
        <v>0.93526620370370372</v>
      </c>
    </row>
    <row r="558" spans="1:72" x14ac:dyDescent="0.25">
      <c r="A558" s="2">
        <v>871</v>
      </c>
      <c r="B558" s="2">
        <v>2010</v>
      </c>
      <c r="C558" s="2" t="s">
        <v>385</v>
      </c>
      <c r="D558" s="2" t="s">
        <v>122</v>
      </c>
      <c r="E558" s="2"/>
      <c r="F558" s="2">
        <v>1</v>
      </c>
      <c r="G558" s="2" t="s">
        <v>82</v>
      </c>
      <c r="H558" s="2">
        <v>1</v>
      </c>
      <c r="I558" s="2" t="s">
        <v>82</v>
      </c>
      <c r="J558" s="2">
        <v>1</v>
      </c>
      <c r="K558" s="2" t="s">
        <v>107</v>
      </c>
      <c r="L558" s="2" t="s">
        <v>107</v>
      </c>
      <c r="M558" s="3">
        <v>40224</v>
      </c>
      <c r="N558" s="2"/>
      <c r="O558" s="2"/>
      <c r="P558" s="2"/>
      <c r="Q558" s="2" t="str">
        <f>""</f>
        <v/>
      </c>
      <c r="R558" s="2"/>
      <c r="S558" s="2"/>
      <c r="T558" s="2">
        <v>1</v>
      </c>
      <c r="U558" s="2" t="s">
        <v>79</v>
      </c>
      <c r="V558" s="2">
        <v>1</v>
      </c>
      <c r="W558" s="2" t="s">
        <v>80</v>
      </c>
      <c r="X558" s="2">
        <v>5</v>
      </c>
      <c r="Y558" s="2" t="s">
        <v>82</v>
      </c>
      <c r="Z558" s="2">
        <v>1</v>
      </c>
      <c r="AA558" s="2" t="s">
        <v>82</v>
      </c>
      <c r="AB558" s="2">
        <v>9</v>
      </c>
      <c r="AC558" s="2" t="s">
        <v>124</v>
      </c>
      <c r="AD558" s="2"/>
      <c r="AE558" s="2"/>
      <c r="AF558" s="2"/>
      <c r="AG558" s="2"/>
      <c r="AH558" s="2">
        <v>4</v>
      </c>
      <c r="AI558" s="2" t="s">
        <v>125</v>
      </c>
      <c r="AJ558" s="2">
        <v>28</v>
      </c>
      <c r="AK558" s="2" t="s">
        <v>741</v>
      </c>
      <c r="AL558" s="2">
        <v>18</v>
      </c>
      <c r="AM558" s="2" t="s">
        <v>82</v>
      </c>
      <c r="AN558" s="2"/>
      <c r="AO558" s="2"/>
      <c r="AP558" s="2">
        <v>11</v>
      </c>
      <c r="AQ558" s="2" t="s">
        <v>82</v>
      </c>
      <c r="AR558" s="2"/>
      <c r="AS558" s="2"/>
      <c r="AT558" s="2" t="s">
        <v>2423</v>
      </c>
      <c r="AU558" s="2">
        <v>1</v>
      </c>
      <c r="AV558" s="2"/>
      <c r="AW558" s="2"/>
      <c r="AX558" s="2"/>
      <c r="AY558" s="2">
        <v>41</v>
      </c>
      <c r="AZ558" s="2" t="s">
        <v>82</v>
      </c>
      <c r="BA558" s="2">
        <v>41</v>
      </c>
      <c r="BB558" s="2" t="s">
        <v>82</v>
      </c>
      <c r="BC558" s="2">
        <v>41</v>
      </c>
      <c r="BD558" s="2" t="s">
        <v>82</v>
      </c>
      <c r="BE558" s="2">
        <v>45</v>
      </c>
      <c r="BF558" s="2" t="s">
        <v>1855</v>
      </c>
      <c r="BG558" s="2" t="s">
        <v>2424</v>
      </c>
      <c r="BH558" s="4">
        <v>0.86111111111111116</v>
      </c>
      <c r="BI558" s="4">
        <v>0.88888888888888884</v>
      </c>
      <c r="BJ558" s="2">
        <v>13</v>
      </c>
      <c r="BK558" s="2" t="s">
        <v>91</v>
      </c>
      <c r="BL558" s="2" t="s">
        <v>1705</v>
      </c>
      <c r="BM558" s="2">
        <v>13</v>
      </c>
      <c r="BN558" s="2" t="s">
        <v>91</v>
      </c>
      <c r="BO558" s="2" t="s">
        <v>169</v>
      </c>
      <c r="BP558" s="2">
        <v>13</v>
      </c>
      <c r="BQ558" s="2" t="s">
        <v>91</v>
      </c>
      <c r="BR558" s="2" t="s">
        <v>744</v>
      </c>
      <c r="BS558" s="3">
        <v>40224</v>
      </c>
      <c r="BT558" s="4">
        <v>0.95062500000000005</v>
      </c>
    </row>
    <row r="559" spans="1:72" x14ac:dyDescent="0.25">
      <c r="A559" s="2">
        <v>872</v>
      </c>
      <c r="B559" s="2">
        <v>2010</v>
      </c>
      <c r="C559" s="2" t="s">
        <v>72</v>
      </c>
      <c r="D559" s="2" t="s">
        <v>73</v>
      </c>
      <c r="E559" s="2"/>
      <c r="F559" s="2">
        <v>77</v>
      </c>
      <c r="G559" s="2" t="s">
        <v>2425</v>
      </c>
      <c r="H559" s="2">
        <v>22</v>
      </c>
      <c r="I559" s="2" t="s">
        <v>75</v>
      </c>
      <c r="J559" s="2">
        <v>109</v>
      </c>
      <c r="K559" s="2" t="s">
        <v>2426</v>
      </c>
      <c r="L559" s="2" t="s">
        <v>2427</v>
      </c>
      <c r="M559" s="3">
        <v>40225</v>
      </c>
      <c r="N559" s="2" t="s">
        <v>2428</v>
      </c>
      <c r="O559" s="2" t="s">
        <v>657</v>
      </c>
      <c r="P559" s="2" t="s">
        <v>107</v>
      </c>
      <c r="Q559" s="2" t="str">
        <f>"03/10"</f>
        <v>03/10</v>
      </c>
      <c r="R559" s="2" t="s">
        <v>657</v>
      </c>
      <c r="S559" s="2" t="s">
        <v>657</v>
      </c>
      <c r="T559" s="2">
        <v>1</v>
      </c>
      <c r="U559" s="2" t="s">
        <v>79</v>
      </c>
      <c r="V559" s="2">
        <v>1</v>
      </c>
      <c r="W559" s="2" t="s">
        <v>80</v>
      </c>
      <c r="X559" s="2">
        <v>1</v>
      </c>
      <c r="Y559" s="2" t="s">
        <v>81</v>
      </c>
      <c r="Z559" s="2">
        <v>1</v>
      </c>
      <c r="AA559" s="2" t="s">
        <v>82</v>
      </c>
      <c r="AB559" s="2">
        <v>6</v>
      </c>
      <c r="AC559" s="2" t="s">
        <v>83</v>
      </c>
      <c r="AD559" s="3">
        <v>40223</v>
      </c>
      <c r="AE559" s="2"/>
      <c r="AF559" s="3">
        <v>40224</v>
      </c>
      <c r="AG559" s="4">
        <v>0.86805555555555547</v>
      </c>
      <c r="AH559" s="2">
        <v>6</v>
      </c>
      <c r="AI559" s="2" t="s">
        <v>197</v>
      </c>
      <c r="AJ559" s="2">
        <v>51</v>
      </c>
      <c r="AK559" s="2" t="s">
        <v>238</v>
      </c>
      <c r="AL559" s="2">
        <v>8</v>
      </c>
      <c r="AM559" s="2" t="s">
        <v>179</v>
      </c>
      <c r="AN559" s="2"/>
      <c r="AO559" s="2"/>
      <c r="AP559" s="2">
        <v>11</v>
      </c>
      <c r="AQ559" s="2" t="s">
        <v>82</v>
      </c>
      <c r="AR559" s="2" t="s">
        <v>82</v>
      </c>
      <c r="AS559" s="2" t="s">
        <v>82</v>
      </c>
      <c r="AT559" s="2" t="s">
        <v>2429</v>
      </c>
      <c r="AU559" s="2"/>
      <c r="AV559" s="2"/>
      <c r="AW559" s="2"/>
      <c r="AX559" s="2"/>
      <c r="AY559" s="2">
        <v>41</v>
      </c>
      <c r="AZ559" s="2" t="s">
        <v>82</v>
      </c>
      <c r="BA559" s="2">
        <v>41</v>
      </c>
      <c r="BB559" s="2" t="s">
        <v>82</v>
      </c>
      <c r="BC559" s="2">
        <v>41</v>
      </c>
      <c r="BD559" s="2" t="s">
        <v>82</v>
      </c>
      <c r="BE559" s="2">
        <v>13</v>
      </c>
      <c r="BF559" s="2" t="s">
        <v>108</v>
      </c>
      <c r="BG559" s="2">
        <v>2658</v>
      </c>
      <c r="BH559" s="4">
        <v>0.72916666666666663</v>
      </c>
      <c r="BI559" s="4">
        <v>0.60416666666666663</v>
      </c>
      <c r="BJ559" s="2">
        <v>13</v>
      </c>
      <c r="BK559" s="2" t="s">
        <v>91</v>
      </c>
      <c r="BL559" s="2" t="s">
        <v>744</v>
      </c>
      <c r="BM559" s="2">
        <v>13</v>
      </c>
      <c r="BN559" s="2" t="s">
        <v>91</v>
      </c>
      <c r="BO559" s="2" t="s">
        <v>185</v>
      </c>
      <c r="BP559" s="2">
        <v>13</v>
      </c>
      <c r="BQ559" s="2" t="s">
        <v>91</v>
      </c>
      <c r="BR559" s="2" t="s">
        <v>241</v>
      </c>
      <c r="BS559" s="3">
        <v>40225</v>
      </c>
      <c r="BT559" s="4">
        <v>1.2974537037037036E-2</v>
      </c>
    </row>
    <row r="560" spans="1:72" x14ac:dyDescent="0.25">
      <c r="A560" s="2">
        <v>873</v>
      </c>
      <c r="B560" s="2">
        <v>2010</v>
      </c>
      <c r="C560" s="2" t="s">
        <v>906</v>
      </c>
      <c r="D560" s="2" t="s">
        <v>122</v>
      </c>
      <c r="E560" s="2"/>
      <c r="F560" s="2">
        <v>181</v>
      </c>
      <c r="G560" s="2" t="s">
        <v>1749</v>
      </c>
      <c r="H560" s="2">
        <v>54</v>
      </c>
      <c r="I560" s="2" t="s">
        <v>2430</v>
      </c>
      <c r="J560" s="2">
        <v>189</v>
      </c>
      <c r="K560" s="2" t="s">
        <v>1751</v>
      </c>
      <c r="L560" s="2" t="s">
        <v>1752</v>
      </c>
      <c r="M560" s="3">
        <v>40225</v>
      </c>
      <c r="N560" s="2" t="s">
        <v>2431</v>
      </c>
      <c r="O560" s="2" t="s">
        <v>107</v>
      </c>
      <c r="P560" s="2" t="s">
        <v>107</v>
      </c>
      <c r="Q560" s="2" t="str">
        <f>"057 - A/10"</f>
        <v>057 - A/10</v>
      </c>
      <c r="R560" s="2" t="s">
        <v>2432</v>
      </c>
      <c r="S560" s="2" t="s">
        <v>1547</v>
      </c>
      <c r="T560" s="2">
        <v>1</v>
      </c>
      <c r="U560" s="2" t="s">
        <v>79</v>
      </c>
      <c r="V560" s="2">
        <v>1</v>
      </c>
      <c r="W560" s="2" t="s">
        <v>80</v>
      </c>
      <c r="X560" s="2">
        <v>3</v>
      </c>
      <c r="Y560" s="2" t="s">
        <v>698</v>
      </c>
      <c r="Z560" s="2">
        <v>10</v>
      </c>
      <c r="AA560" s="2" t="s">
        <v>236</v>
      </c>
      <c r="AB560" s="2">
        <v>9</v>
      </c>
      <c r="AC560" s="2" t="s">
        <v>124</v>
      </c>
      <c r="AD560" s="3">
        <v>40224</v>
      </c>
      <c r="AE560" s="4">
        <v>0.66666666666666663</v>
      </c>
      <c r="AF560" s="2"/>
      <c r="AG560" s="2"/>
      <c r="AH560" s="2">
        <v>6</v>
      </c>
      <c r="AI560" s="2" t="s">
        <v>197</v>
      </c>
      <c r="AJ560" s="2">
        <v>54</v>
      </c>
      <c r="AK560" s="2" t="s">
        <v>348</v>
      </c>
      <c r="AL560" s="2">
        <v>2</v>
      </c>
      <c r="AM560" s="2" t="s">
        <v>163</v>
      </c>
      <c r="AN560" s="2" t="s">
        <v>2433</v>
      </c>
      <c r="AO560" s="2" t="s">
        <v>2434</v>
      </c>
      <c r="AP560" s="2">
        <v>11</v>
      </c>
      <c r="AQ560" s="2" t="s">
        <v>82</v>
      </c>
      <c r="AR560" s="2" t="s">
        <v>107</v>
      </c>
      <c r="AS560" s="2" t="s">
        <v>107</v>
      </c>
      <c r="AT560" s="2" t="s">
        <v>2435</v>
      </c>
      <c r="AU560" s="2"/>
      <c r="AV560" s="2"/>
      <c r="AW560" s="2"/>
      <c r="AX560" s="2"/>
      <c r="AY560" s="2">
        <v>41</v>
      </c>
      <c r="AZ560" s="2" t="s">
        <v>82</v>
      </c>
      <c r="BA560" s="2">
        <v>41</v>
      </c>
      <c r="BB560" s="2" t="s">
        <v>82</v>
      </c>
      <c r="BC560" s="2">
        <v>47</v>
      </c>
      <c r="BD560" s="2" t="s">
        <v>167</v>
      </c>
      <c r="BE560" s="2">
        <v>47</v>
      </c>
      <c r="BF560" s="2" t="s">
        <v>167</v>
      </c>
      <c r="BG560" s="2">
        <v>2453</v>
      </c>
      <c r="BH560" s="4">
        <v>0.75</v>
      </c>
      <c r="BI560" s="4">
        <v>0.66666666666666663</v>
      </c>
      <c r="BJ560" s="2">
        <v>13</v>
      </c>
      <c r="BK560" s="2" t="s">
        <v>91</v>
      </c>
      <c r="BL560" s="2" t="s">
        <v>828</v>
      </c>
      <c r="BM560" s="2">
        <v>13</v>
      </c>
      <c r="BN560" s="2" t="s">
        <v>91</v>
      </c>
      <c r="BO560" s="2" t="s">
        <v>564</v>
      </c>
      <c r="BP560" s="2">
        <v>13</v>
      </c>
      <c r="BQ560" s="2" t="s">
        <v>91</v>
      </c>
      <c r="BR560" s="2" t="s">
        <v>353</v>
      </c>
      <c r="BS560" s="3">
        <v>40225</v>
      </c>
      <c r="BT560" s="4">
        <v>4.6747685185185184E-2</v>
      </c>
    </row>
    <row r="561" spans="1:72" x14ac:dyDescent="0.25">
      <c r="A561" s="2">
        <v>874</v>
      </c>
      <c r="B561" s="2">
        <v>2010</v>
      </c>
      <c r="C561" s="2" t="s">
        <v>72</v>
      </c>
      <c r="D561" s="2" t="s">
        <v>73</v>
      </c>
      <c r="E561" s="2"/>
      <c r="F561" s="2">
        <v>181</v>
      </c>
      <c r="G561" s="2" t="s">
        <v>1749</v>
      </c>
      <c r="H561" s="2">
        <v>54</v>
      </c>
      <c r="I561" s="2" t="s">
        <v>2430</v>
      </c>
      <c r="J561" s="2">
        <v>189</v>
      </c>
      <c r="K561" s="2" t="s">
        <v>1751</v>
      </c>
      <c r="L561" s="2" t="s">
        <v>1752</v>
      </c>
      <c r="M561" s="3">
        <v>40225</v>
      </c>
      <c r="N561" s="2" t="s">
        <v>2436</v>
      </c>
      <c r="O561" s="2" t="s">
        <v>107</v>
      </c>
      <c r="P561" s="2" t="s">
        <v>107</v>
      </c>
      <c r="Q561" s="2" t="str">
        <f>"57-A/10"</f>
        <v>57-A/10</v>
      </c>
      <c r="R561" s="2" t="s">
        <v>1547</v>
      </c>
      <c r="S561" s="2" t="s">
        <v>1547</v>
      </c>
      <c r="T561" s="2">
        <v>1</v>
      </c>
      <c r="U561" s="2" t="s">
        <v>79</v>
      </c>
      <c r="V561" s="2">
        <v>1</v>
      </c>
      <c r="W561" s="2" t="s">
        <v>80</v>
      </c>
      <c r="X561" s="2">
        <v>1</v>
      </c>
      <c r="Y561" s="2" t="s">
        <v>81</v>
      </c>
      <c r="Z561" s="2">
        <v>1</v>
      </c>
      <c r="AA561" s="2" t="s">
        <v>82</v>
      </c>
      <c r="AB561" s="2">
        <v>6</v>
      </c>
      <c r="AC561" s="2" t="s">
        <v>83</v>
      </c>
      <c r="AD561" s="3">
        <v>40224</v>
      </c>
      <c r="AE561" s="4">
        <v>0.74305555555555547</v>
      </c>
      <c r="AF561" s="3">
        <v>40224</v>
      </c>
      <c r="AG561" s="4">
        <v>0.77083333333333337</v>
      </c>
      <c r="AH561" s="2">
        <v>2</v>
      </c>
      <c r="AI561" s="2" t="s">
        <v>84</v>
      </c>
      <c r="AJ561" s="2">
        <v>12</v>
      </c>
      <c r="AK561" s="2" t="s">
        <v>85</v>
      </c>
      <c r="AL561" s="2">
        <v>2</v>
      </c>
      <c r="AM561" s="2" t="s">
        <v>163</v>
      </c>
      <c r="AN561" s="2" t="s">
        <v>107</v>
      </c>
      <c r="AO561" s="2" t="s">
        <v>2437</v>
      </c>
      <c r="AP561" s="2">
        <v>11</v>
      </c>
      <c r="AQ561" s="2" t="s">
        <v>82</v>
      </c>
      <c r="AR561" s="2" t="s">
        <v>82</v>
      </c>
      <c r="AS561" s="2" t="s">
        <v>82</v>
      </c>
      <c r="AT561" s="2" t="s">
        <v>2438</v>
      </c>
      <c r="AU561" s="2"/>
      <c r="AV561" s="2"/>
      <c r="AW561" s="2"/>
      <c r="AX561" s="2"/>
      <c r="AY561" s="2">
        <v>41</v>
      </c>
      <c r="AZ561" s="2" t="s">
        <v>82</v>
      </c>
      <c r="BA561" s="2">
        <v>41</v>
      </c>
      <c r="BB561" s="2" t="s">
        <v>82</v>
      </c>
      <c r="BC561" s="2">
        <v>41</v>
      </c>
      <c r="BD561" s="2" t="s">
        <v>82</v>
      </c>
      <c r="BE561" s="2">
        <v>47</v>
      </c>
      <c r="BF561" s="2" t="s">
        <v>167</v>
      </c>
      <c r="BG561" s="2" t="s">
        <v>2439</v>
      </c>
      <c r="BH561" s="4">
        <v>0.71875</v>
      </c>
      <c r="BI561" s="4">
        <v>0.64583333333333337</v>
      </c>
      <c r="BJ561" s="2">
        <v>13</v>
      </c>
      <c r="BK561" s="2" t="s">
        <v>91</v>
      </c>
      <c r="BL561" s="2" t="s">
        <v>828</v>
      </c>
      <c r="BM561" s="2">
        <v>13</v>
      </c>
      <c r="BN561" s="2" t="s">
        <v>91</v>
      </c>
      <c r="BO561" s="2" t="s">
        <v>185</v>
      </c>
      <c r="BP561" s="2">
        <v>13</v>
      </c>
      <c r="BQ561" s="2" t="s">
        <v>91</v>
      </c>
      <c r="BR561" s="2" t="s">
        <v>353</v>
      </c>
      <c r="BS561" s="3">
        <v>40225</v>
      </c>
      <c r="BT561" s="4">
        <v>8.863425925925926E-2</v>
      </c>
    </row>
    <row r="562" spans="1:72" x14ac:dyDescent="0.25">
      <c r="A562" s="2">
        <v>875</v>
      </c>
      <c r="B562" s="2">
        <v>2010</v>
      </c>
      <c r="C562" s="2" t="s">
        <v>72</v>
      </c>
      <c r="D562" s="2" t="s">
        <v>73</v>
      </c>
      <c r="E562" s="2"/>
      <c r="F562" s="2">
        <v>10</v>
      </c>
      <c r="G562" s="2" t="s">
        <v>2143</v>
      </c>
      <c r="H562" s="2">
        <v>39</v>
      </c>
      <c r="I562" s="2" t="s">
        <v>1117</v>
      </c>
      <c r="J562" s="2">
        <v>19</v>
      </c>
      <c r="K562" s="2" t="s">
        <v>2144</v>
      </c>
      <c r="L562" s="2" t="s">
        <v>2145</v>
      </c>
      <c r="M562" s="3">
        <v>40225</v>
      </c>
      <c r="N562" s="2" t="s">
        <v>2440</v>
      </c>
      <c r="O562" s="2" t="s">
        <v>107</v>
      </c>
      <c r="P562" s="2" t="s">
        <v>107</v>
      </c>
      <c r="Q562" s="2" t="str">
        <f>"HURTO"</f>
        <v>HURTO</v>
      </c>
      <c r="R562" s="2" t="s">
        <v>116</v>
      </c>
      <c r="S562" s="6">
        <v>44844</v>
      </c>
      <c r="T562" s="2">
        <v>1</v>
      </c>
      <c r="U562" s="2" t="s">
        <v>79</v>
      </c>
      <c r="V562" s="2">
        <v>1</v>
      </c>
      <c r="W562" s="2" t="s">
        <v>80</v>
      </c>
      <c r="X562" s="2">
        <v>1</v>
      </c>
      <c r="Y562" s="2" t="s">
        <v>81</v>
      </c>
      <c r="Z562" s="2">
        <v>1</v>
      </c>
      <c r="AA562" s="2" t="s">
        <v>82</v>
      </c>
      <c r="AB562" s="2">
        <v>6</v>
      </c>
      <c r="AC562" s="2" t="s">
        <v>83</v>
      </c>
      <c r="AD562" s="3">
        <v>40224</v>
      </c>
      <c r="AE562" s="4">
        <v>0.75</v>
      </c>
      <c r="AF562" s="3">
        <v>40225</v>
      </c>
      <c r="AG562" s="4">
        <v>0.125</v>
      </c>
      <c r="AH562" s="2">
        <v>3</v>
      </c>
      <c r="AI562" s="2" t="s">
        <v>214</v>
      </c>
      <c r="AJ562" s="2">
        <v>24</v>
      </c>
      <c r="AK562" s="2" t="s">
        <v>215</v>
      </c>
      <c r="AL562" s="2">
        <v>19</v>
      </c>
      <c r="AM562" s="2" t="s">
        <v>107</v>
      </c>
      <c r="AN562" s="2" t="s">
        <v>82</v>
      </c>
      <c r="AO562" s="2" t="s">
        <v>107</v>
      </c>
      <c r="AP562" s="2">
        <v>11</v>
      </c>
      <c r="AQ562" s="2" t="s">
        <v>82</v>
      </c>
      <c r="AR562" s="2"/>
      <c r="AS562" s="2"/>
      <c r="AT562" s="2" t="s">
        <v>2441</v>
      </c>
      <c r="AU562" s="2"/>
      <c r="AV562" s="2"/>
      <c r="AW562" s="2"/>
      <c r="AX562" s="2"/>
      <c r="AY562" s="2">
        <v>41</v>
      </c>
      <c r="AZ562" s="2" t="s">
        <v>82</v>
      </c>
      <c r="BA562" s="2">
        <v>41</v>
      </c>
      <c r="BB562" s="2" t="s">
        <v>82</v>
      </c>
      <c r="BC562" s="2">
        <v>41</v>
      </c>
      <c r="BD562" s="2" t="s">
        <v>82</v>
      </c>
      <c r="BE562" s="2">
        <v>25</v>
      </c>
      <c r="BF562" s="2" t="s">
        <v>358</v>
      </c>
      <c r="BG562" s="2">
        <v>7468</v>
      </c>
      <c r="BH562" s="4">
        <v>3.8194444444444441E-2</v>
      </c>
      <c r="BI562" s="4">
        <v>0.9375</v>
      </c>
      <c r="BJ562" s="2">
        <v>33</v>
      </c>
      <c r="BK562" s="2" t="s">
        <v>361</v>
      </c>
      <c r="BL562" s="2" t="s">
        <v>783</v>
      </c>
      <c r="BM562" s="2">
        <v>33</v>
      </c>
      <c r="BN562" s="2" t="s">
        <v>361</v>
      </c>
      <c r="BO562" s="2" t="s">
        <v>1706</v>
      </c>
      <c r="BP562" s="2">
        <v>13</v>
      </c>
      <c r="BQ562" s="2" t="s">
        <v>91</v>
      </c>
      <c r="BR562" s="2" t="s">
        <v>169</v>
      </c>
      <c r="BS562" s="3">
        <v>40225</v>
      </c>
      <c r="BT562" s="4">
        <v>0.22504629629629627</v>
      </c>
    </row>
    <row r="563" spans="1:72" x14ac:dyDescent="0.25">
      <c r="A563" s="2">
        <v>877</v>
      </c>
      <c r="B563" s="2">
        <v>2010</v>
      </c>
      <c r="C563" s="2" t="s">
        <v>1660</v>
      </c>
      <c r="D563" s="2" t="s">
        <v>73</v>
      </c>
      <c r="E563" s="2" t="s">
        <v>2442</v>
      </c>
      <c r="F563" s="2">
        <v>391</v>
      </c>
      <c r="G563" s="2" t="s">
        <v>2400</v>
      </c>
      <c r="H563" s="2">
        <v>3</v>
      </c>
      <c r="I563" s="2" t="s">
        <v>315</v>
      </c>
      <c r="J563" s="2">
        <v>399</v>
      </c>
      <c r="K563" s="2" t="s">
        <v>1820</v>
      </c>
      <c r="L563" s="2" t="s">
        <v>1821</v>
      </c>
      <c r="M563" s="3">
        <v>40225</v>
      </c>
      <c r="N563" s="2" t="s">
        <v>2367</v>
      </c>
      <c r="O563" s="2"/>
      <c r="P563" s="2"/>
      <c r="Q563" s="2" t="str">
        <f>"094-E/10"</f>
        <v>094-E/10</v>
      </c>
      <c r="R563" s="2" t="s">
        <v>2408</v>
      </c>
      <c r="S563" s="2"/>
      <c r="T563" s="2">
        <v>1</v>
      </c>
      <c r="U563" s="2" t="s">
        <v>79</v>
      </c>
      <c r="V563" s="2">
        <v>1</v>
      </c>
      <c r="W563" s="2" t="s">
        <v>80</v>
      </c>
      <c r="X563" s="2">
        <v>1</v>
      </c>
      <c r="Y563" s="2" t="s">
        <v>81</v>
      </c>
      <c r="Z563" s="2">
        <v>10</v>
      </c>
      <c r="AA563" s="2" t="s">
        <v>236</v>
      </c>
      <c r="AB563" s="2">
        <v>3</v>
      </c>
      <c r="AC563" s="2" t="s">
        <v>1663</v>
      </c>
      <c r="AD563" s="3">
        <v>40224</v>
      </c>
      <c r="AE563" s="4">
        <v>0.55555555555555558</v>
      </c>
      <c r="AF563" s="2"/>
      <c r="AG563" s="2"/>
      <c r="AH563" s="2">
        <v>2</v>
      </c>
      <c r="AI563" s="2" t="s">
        <v>84</v>
      </c>
      <c r="AJ563" s="2">
        <v>9</v>
      </c>
      <c r="AK563" s="2" t="s">
        <v>103</v>
      </c>
      <c r="AL563" s="2">
        <v>14</v>
      </c>
      <c r="AM563" s="2" t="s">
        <v>216</v>
      </c>
      <c r="AN563" s="2" t="s">
        <v>2409</v>
      </c>
      <c r="AO563" s="2"/>
      <c r="AP563" s="2">
        <v>11</v>
      </c>
      <c r="AQ563" s="2" t="s">
        <v>82</v>
      </c>
      <c r="AR563" s="2"/>
      <c r="AS563" s="2"/>
      <c r="AT563" s="2" t="s">
        <v>2443</v>
      </c>
      <c r="AU563" s="2"/>
      <c r="AV563" s="2">
        <v>1</v>
      </c>
      <c r="AW563" s="2"/>
      <c r="AX563" s="2"/>
      <c r="AY563" s="2">
        <v>42</v>
      </c>
      <c r="AZ563" s="2" t="s">
        <v>182</v>
      </c>
      <c r="BA563" s="2">
        <v>41</v>
      </c>
      <c r="BB563" s="2" t="s">
        <v>82</v>
      </c>
      <c r="BC563" s="2">
        <v>70</v>
      </c>
      <c r="BD563" s="2" t="s">
        <v>236</v>
      </c>
      <c r="BE563" s="2">
        <v>29</v>
      </c>
      <c r="BF563" s="2" t="s">
        <v>2411</v>
      </c>
      <c r="BG563" s="2" t="s">
        <v>2412</v>
      </c>
      <c r="BH563" s="4">
        <v>7.0833333333333331E-2</v>
      </c>
      <c r="BI563" s="4">
        <v>0.5708333333333333</v>
      </c>
      <c r="BJ563" s="2">
        <v>13</v>
      </c>
      <c r="BK563" s="2" t="s">
        <v>91</v>
      </c>
      <c r="BL563" s="2" t="s">
        <v>360</v>
      </c>
      <c r="BM563" s="2">
        <v>241</v>
      </c>
      <c r="BN563" s="2" t="s">
        <v>82</v>
      </c>
      <c r="BO563" s="2"/>
      <c r="BP563" s="2">
        <v>16</v>
      </c>
      <c r="BQ563" s="2" t="s">
        <v>2130</v>
      </c>
      <c r="BR563" s="2" t="s">
        <v>2413</v>
      </c>
      <c r="BS563" s="3">
        <v>40225</v>
      </c>
      <c r="BT563" s="4">
        <v>0.37760416666666669</v>
      </c>
    </row>
    <row r="564" spans="1:72" x14ac:dyDescent="0.25">
      <c r="A564" s="2">
        <v>879</v>
      </c>
      <c r="B564" s="2">
        <v>2010</v>
      </c>
      <c r="C564" s="2" t="s">
        <v>147</v>
      </c>
      <c r="D564" s="2" t="s">
        <v>73</v>
      </c>
      <c r="E564" s="2"/>
      <c r="F564" s="2">
        <v>1</v>
      </c>
      <c r="G564" s="2" t="s">
        <v>82</v>
      </c>
      <c r="H564" s="2">
        <v>1</v>
      </c>
      <c r="I564" s="2" t="s">
        <v>82</v>
      </c>
      <c r="J564" s="2">
        <v>1</v>
      </c>
      <c r="K564" s="2" t="s">
        <v>107</v>
      </c>
      <c r="L564" s="2" t="s">
        <v>107</v>
      </c>
      <c r="M564" s="3">
        <v>40225</v>
      </c>
      <c r="N564" s="2"/>
      <c r="O564" s="2"/>
      <c r="P564" s="2"/>
      <c r="Q564" s="2" t="str">
        <f>""</f>
        <v/>
      </c>
      <c r="R564" s="2"/>
      <c r="S564" s="2"/>
      <c r="T564" s="2">
        <v>2</v>
      </c>
      <c r="U564" s="2" t="s">
        <v>123</v>
      </c>
      <c r="V564" s="2">
        <v>1</v>
      </c>
      <c r="W564" s="2" t="s">
        <v>80</v>
      </c>
      <c r="X564" s="2">
        <v>12</v>
      </c>
      <c r="Y564" s="2" t="s">
        <v>148</v>
      </c>
      <c r="Z564" s="2">
        <v>1</v>
      </c>
      <c r="AA564" s="2" t="s">
        <v>82</v>
      </c>
      <c r="AB564" s="2">
        <v>9</v>
      </c>
      <c r="AC564" s="2" t="s">
        <v>124</v>
      </c>
      <c r="AD564" s="3">
        <v>40217</v>
      </c>
      <c r="AE564" s="2"/>
      <c r="AF564" s="3">
        <v>40225</v>
      </c>
      <c r="AG564" s="4">
        <v>0.4375</v>
      </c>
      <c r="AH564" s="2">
        <v>2</v>
      </c>
      <c r="AI564" s="2" t="s">
        <v>84</v>
      </c>
      <c r="AJ564" s="2">
        <v>12</v>
      </c>
      <c r="AK564" s="2" t="s">
        <v>85</v>
      </c>
      <c r="AL564" s="2">
        <v>19</v>
      </c>
      <c r="AM564" s="2" t="s">
        <v>107</v>
      </c>
      <c r="AN564" s="2" t="s">
        <v>107</v>
      </c>
      <c r="AO564" s="2" t="s">
        <v>631</v>
      </c>
      <c r="AP564" s="2">
        <v>11</v>
      </c>
      <c r="AQ564" s="2" t="s">
        <v>82</v>
      </c>
      <c r="AR564" s="2"/>
      <c r="AS564" s="2"/>
      <c r="AT564" s="2" t="s">
        <v>2444</v>
      </c>
      <c r="AU564" s="2"/>
      <c r="AV564" s="2"/>
      <c r="AW564" s="2"/>
      <c r="AX564" s="2"/>
      <c r="AY564" s="2">
        <v>41</v>
      </c>
      <c r="AZ564" s="2" t="s">
        <v>82</v>
      </c>
      <c r="BA564" s="2">
        <v>41</v>
      </c>
      <c r="BB564" s="2" t="s">
        <v>82</v>
      </c>
      <c r="BC564" s="2">
        <v>41</v>
      </c>
      <c r="BD564" s="2" t="s">
        <v>82</v>
      </c>
      <c r="BE564" s="2">
        <v>41</v>
      </c>
      <c r="BF564" s="2" t="s">
        <v>82</v>
      </c>
      <c r="BG564" s="2"/>
      <c r="BH564" s="2"/>
      <c r="BI564" s="2"/>
      <c r="BJ564" s="2">
        <v>241</v>
      </c>
      <c r="BK564" s="2" t="s">
        <v>82</v>
      </c>
      <c r="BL564" s="2"/>
      <c r="BM564" s="2">
        <v>241</v>
      </c>
      <c r="BN564" s="2" t="s">
        <v>82</v>
      </c>
      <c r="BO564" s="2"/>
      <c r="BP564" s="2">
        <v>241</v>
      </c>
      <c r="BQ564" s="2" t="s">
        <v>82</v>
      </c>
      <c r="BR564" s="2"/>
      <c r="BS564" s="3">
        <v>40225</v>
      </c>
      <c r="BT564" s="4">
        <v>0.49384259259259261</v>
      </c>
    </row>
    <row r="565" spans="1:72" x14ac:dyDescent="0.25">
      <c r="A565" s="2">
        <v>882</v>
      </c>
      <c r="B565" s="2">
        <v>2010</v>
      </c>
      <c r="C565" s="2" t="s">
        <v>121</v>
      </c>
      <c r="D565" s="2" t="s">
        <v>122</v>
      </c>
      <c r="E565" s="2" t="s">
        <v>2380</v>
      </c>
      <c r="F565" s="2">
        <v>1</v>
      </c>
      <c r="G565" s="2" t="s">
        <v>82</v>
      </c>
      <c r="H565" s="2">
        <v>1</v>
      </c>
      <c r="I565" s="2" t="s">
        <v>82</v>
      </c>
      <c r="J565" s="2">
        <v>1</v>
      </c>
      <c r="K565" s="2" t="s">
        <v>107</v>
      </c>
      <c r="L565" s="2" t="s">
        <v>107</v>
      </c>
      <c r="M565" s="3">
        <v>40225</v>
      </c>
      <c r="N565" s="2"/>
      <c r="O565" s="2"/>
      <c r="P565" s="2"/>
      <c r="Q565" s="2" t="str">
        <f>""</f>
        <v/>
      </c>
      <c r="R565" s="2"/>
      <c r="S565" s="2"/>
      <c r="T565" s="2">
        <v>2</v>
      </c>
      <c r="U565" s="2" t="s">
        <v>123</v>
      </c>
      <c r="V565" s="2">
        <v>1</v>
      </c>
      <c r="W565" s="2" t="s">
        <v>80</v>
      </c>
      <c r="X565" s="2">
        <v>5</v>
      </c>
      <c r="Y565" s="2" t="s">
        <v>82</v>
      </c>
      <c r="Z565" s="2">
        <v>1</v>
      </c>
      <c r="AA565" s="2" t="s">
        <v>82</v>
      </c>
      <c r="AB565" s="2">
        <v>9</v>
      </c>
      <c r="AC565" s="2" t="s">
        <v>124</v>
      </c>
      <c r="AD565" s="3">
        <v>40225</v>
      </c>
      <c r="AE565" s="4">
        <v>0.51944444444444449</v>
      </c>
      <c r="AF565" s="2"/>
      <c r="AG565" s="2"/>
      <c r="AH565" s="2">
        <v>3</v>
      </c>
      <c r="AI565" s="2" t="s">
        <v>214</v>
      </c>
      <c r="AJ565" s="2">
        <v>24</v>
      </c>
      <c r="AK565" s="2" t="s">
        <v>215</v>
      </c>
      <c r="AL565" s="2">
        <v>18</v>
      </c>
      <c r="AM565" s="2" t="s">
        <v>82</v>
      </c>
      <c r="AN565" s="2" t="s">
        <v>2299</v>
      </c>
      <c r="AO565" s="2"/>
      <c r="AP565" s="2">
        <v>11</v>
      </c>
      <c r="AQ565" s="2" t="s">
        <v>82</v>
      </c>
      <c r="AR565" s="2"/>
      <c r="AS565" s="2"/>
      <c r="AT565" s="2" t="s">
        <v>2445</v>
      </c>
      <c r="AU565" s="2"/>
      <c r="AV565" s="2"/>
      <c r="AW565" s="2"/>
      <c r="AX565" s="2"/>
      <c r="AY565" s="2">
        <v>1</v>
      </c>
      <c r="AZ565" s="2" t="s">
        <v>107</v>
      </c>
      <c r="BA565" s="2">
        <v>1</v>
      </c>
      <c r="BB565" s="2" t="s">
        <v>107</v>
      </c>
      <c r="BC565" s="2">
        <v>1</v>
      </c>
      <c r="BD565" s="2" t="s">
        <v>107</v>
      </c>
      <c r="BE565" s="2">
        <v>1</v>
      </c>
      <c r="BF565" s="2" t="s">
        <v>107</v>
      </c>
      <c r="BG565" s="2"/>
      <c r="BH565" s="2"/>
      <c r="BI565" s="4">
        <v>0.51944444444444449</v>
      </c>
      <c r="BJ565" s="2">
        <v>241</v>
      </c>
      <c r="BK565" s="2" t="s">
        <v>82</v>
      </c>
      <c r="BL565" s="2"/>
      <c r="BM565" s="2">
        <v>241</v>
      </c>
      <c r="BN565" s="2" t="s">
        <v>82</v>
      </c>
      <c r="BO565" s="2"/>
      <c r="BP565" s="2">
        <v>173</v>
      </c>
      <c r="BQ565" s="2" t="s">
        <v>223</v>
      </c>
      <c r="BR565" s="2" t="s">
        <v>224</v>
      </c>
      <c r="BS565" s="3">
        <v>40225</v>
      </c>
      <c r="BT565" s="4">
        <v>0.55085648148148147</v>
      </c>
    </row>
    <row r="566" spans="1:72" x14ac:dyDescent="0.25">
      <c r="A566" s="2">
        <v>885</v>
      </c>
      <c r="B566" s="2">
        <v>2010</v>
      </c>
      <c r="C566" s="2" t="s">
        <v>171</v>
      </c>
      <c r="D566" s="2" t="s">
        <v>73</v>
      </c>
      <c r="E566" s="2"/>
      <c r="F566" s="2">
        <v>396</v>
      </c>
      <c r="G566" s="2" t="s">
        <v>2159</v>
      </c>
      <c r="H566" s="2">
        <v>9</v>
      </c>
      <c r="I566" s="2" t="s">
        <v>794</v>
      </c>
      <c r="J566" s="2">
        <v>243</v>
      </c>
      <c r="K566" s="2" t="s">
        <v>2160</v>
      </c>
      <c r="L566" s="2" t="s">
        <v>2145</v>
      </c>
      <c r="M566" s="3">
        <v>40225</v>
      </c>
      <c r="N566" s="2" t="s">
        <v>2446</v>
      </c>
      <c r="O566" s="2" t="s">
        <v>2447</v>
      </c>
      <c r="P566" s="2">
        <v>13046</v>
      </c>
      <c r="Q566" s="2" t="str">
        <f>"088-E/10"</f>
        <v>088-E/10</v>
      </c>
      <c r="R566" s="2" t="s">
        <v>107</v>
      </c>
      <c r="S566" s="2" t="s">
        <v>2448</v>
      </c>
      <c r="T566" s="2">
        <v>1</v>
      </c>
      <c r="U566" s="2" t="s">
        <v>79</v>
      </c>
      <c r="V566" s="2">
        <v>1</v>
      </c>
      <c r="W566" s="2" t="s">
        <v>80</v>
      </c>
      <c r="X566" s="2">
        <v>2</v>
      </c>
      <c r="Y566" s="2" t="s">
        <v>136</v>
      </c>
      <c r="Z566" s="2">
        <v>1</v>
      </c>
      <c r="AA566" s="2" t="s">
        <v>82</v>
      </c>
      <c r="AB566" s="2">
        <v>1</v>
      </c>
      <c r="AC566" s="2" t="s">
        <v>178</v>
      </c>
      <c r="AD566" s="3">
        <v>40225</v>
      </c>
      <c r="AE566" s="4">
        <v>0.375</v>
      </c>
      <c r="AF566" s="3">
        <v>40225</v>
      </c>
      <c r="AG566" s="4">
        <v>0.43055555555555558</v>
      </c>
      <c r="AH566" s="2">
        <v>2</v>
      </c>
      <c r="AI566" s="2" t="s">
        <v>84</v>
      </c>
      <c r="AJ566" s="2">
        <v>6</v>
      </c>
      <c r="AK566" s="2" t="s">
        <v>453</v>
      </c>
      <c r="AL566" s="2">
        <v>18</v>
      </c>
      <c r="AM566" s="2" t="s">
        <v>82</v>
      </c>
      <c r="AN566" s="2" t="s">
        <v>2449</v>
      </c>
      <c r="AO566" s="2" t="s">
        <v>1226</v>
      </c>
      <c r="AP566" s="2">
        <v>11</v>
      </c>
      <c r="AQ566" s="2" t="s">
        <v>82</v>
      </c>
      <c r="AR566" s="2"/>
      <c r="AS566" s="2"/>
      <c r="AT566" s="2" t="s">
        <v>2450</v>
      </c>
      <c r="AU566" s="2"/>
      <c r="AV566" s="2"/>
      <c r="AW566" s="2"/>
      <c r="AX566" s="2"/>
      <c r="AY566" s="2">
        <v>42</v>
      </c>
      <c r="AZ566" s="2" t="s">
        <v>182</v>
      </c>
      <c r="BA566" s="2">
        <v>41</v>
      </c>
      <c r="BB566" s="2" t="s">
        <v>82</v>
      </c>
      <c r="BC566" s="2">
        <v>41</v>
      </c>
      <c r="BD566" s="2" t="s">
        <v>82</v>
      </c>
      <c r="BE566" s="2">
        <v>41</v>
      </c>
      <c r="BF566" s="2" t="s">
        <v>82</v>
      </c>
      <c r="BG566" s="2"/>
      <c r="BH566" s="2"/>
      <c r="BI566" s="2"/>
      <c r="BJ566" s="2">
        <v>241</v>
      </c>
      <c r="BK566" s="2" t="s">
        <v>82</v>
      </c>
      <c r="BL566" s="2"/>
      <c r="BM566" s="2">
        <v>241</v>
      </c>
      <c r="BN566" s="2" t="s">
        <v>82</v>
      </c>
      <c r="BO566" s="2"/>
      <c r="BP566" s="2">
        <v>241</v>
      </c>
      <c r="BQ566" s="2" t="s">
        <v>82</v>
      </c>
      <c r="BR566" s="2"/>
      <c r="BS566" s="3">
        <v>40225</v>
      </c>
      <c r="BT566" s="4">
        <v>0.60560185185185189</v>
      </c>
    </row>
    <row r="567" spans="1:72" x14ac:dyDescent="0.25">
      <c r="A567" s="2">
        <v>888</v>
      </c>
      <c r="B567" s="2">
        <v>2010</v>
      </c>
      <c r="C567" s="2" t="s">
        <v>128</v>
      </c>
      <c r="D567" s="2" t="s">
        <v>73</v>
      </c>
      <c r="E567" s="2"/>
      <c r="F567" s="2">
        <v>9</v>
      </c>
      <c r="G567" s="2" t="s">
        <v>364</v>
      </c>
      <c r="H567" s="2">
        <v>2</v>
      </c>
      <c r="I567" s="2" t="s">
        <v>267</v>
      </c>
      <c r="J567" s="2">
        <v>18</v>
      </c>
      <c r="K567" s="2" t="s">
        <v>365</v>
      </c>
      <c r="L567" s="2" t="s">
        <v>115</v>
      </c>
      <c r="M567" s="3">
        <v>40225</v>
      </c>
      <c r="N567" s="2" t="s">
        <v>423</v>
      </c>
      <c r="O567" s="2" t="s">
        <v>2451</v>
      </c>
      <c r="P567" s="2" t="s">
        <v>2452</v>
      </c>
      <c r="Q567" s="2" t="str">
        <f>"N/C"</f>
        <v>N/C</v>
      </c>
      <c r="R567" s="2" t="s">
        <v>82</v>
      </c>
      <c r="S567" s="2" t="s">
        <v>82</v>
      </c>
      <c r="T567" s="2">
        <v>1</v>
      </c>
      <c r="U567" s="2" t="s">
        <v>79</v>
      </c>
      <c r="V567" s="2">
        <v>3</v>
      </c>
      <c r="W567" s="2" t="s">
        <v>225</v>
      </c>
      <c r="X567" s="2">
        <v>5</v>
      </c>
      <c r="Y567" s="2" t="s">
        <v>82</v>
      </c>
      <c r="Z567" s="2">
        <v>1</v>
      </c>
      <c r="AA567" s="2" t="s">
        <v>82</v>
      </c>
      <c r="AB567" s="2">
        <v>9</v>
      </c>
      <c r="AC567" s="2" t="s">
        <v>124</v>
      </c>
      <c r="AD567" s="3">
        <v>40225</v>
      </c>
      <c r="AE567" s="4">
        <v>0.50902777777777775</v>
      </c>
      <c r="AF567" s="2"/>
      <c r="AG567" s="2"/>
      <c r="AH567" s="2">
        <v>3</v>
      </c>
      <c r="AI567" s="2" t="s">
        <v>214</v>
      </c>
      <c r="AJ567" s="2">
        <v>14</v>
      </c>
      <c r="AK567" s="2" t="s">
        <v>342</v>
      </c>
      <c r="AL567" s="2">
        <v>23</v>
      </c>
      <c r="AM567" s="2" t="s">
        <v>251</v>
      </c>
      <c r="AN567" s="2"/>
      <c r="AO567" s="2" t="s">
        <v>284</v>
      </c>
      <c r="AP567" s="2">
        <v>11</v>
      </c>
      <c r="AQ567" s="2" t="s">
        <v>82</v>
      </c>
      <c r="AR567" s="2"/>
      <c r="AS567" s="2"/>
      <c r="AT567" s="2" t="s">
        <v>2453</v>
      </c>
      <c r="AU567" s="2"/>
      <c r="AV567" s="2"/>
      <c r="AW567" s="2"/>
      <c r="AX567" s="2"/>
      <c r="AY567" s="2">
        <v>41</v>
      </c>
      <c r="AZ567" s="2" t="s">
        <v>82</v>
      </c>
      <c r="BA567" s="2">
        <v>41</v>
      </c>
      <c r="BB567" s="2" t="s">
        <v>82</v>
      </c>
      <c r="BC567" s="2">
        <v>41</v>
      </c>
      <c r="BD567" s="2" t="s">
        <v>82</v>
      </c>
      <c r="BE567" s="2">
        <v>41</v>
      </c>
      <c r="BF567" s="2" t="s">
        <v>82</v>
      </c>
      <c r="BG567" s="2"/>
      <c r="BH567" s="2"/>
      <c r="BI567" s="2"/>
      <c r="BJ567" s="2">
        <v>241</v>
      </c>
      <c r="BK567" s="2" t="s">
        <v>82</v>
      </c>
      <c r="BL567" s="2"/>
      <c r="BM567" s="2">
        <v>241</v>
      </c>
      <c r="BN567" s="2" t="s">
        <v>82</v>
      </c>
      <c r="BO567" s="2"/>
      <c r="BP567" s="2">
        <v>241</v>
      </c>
      <c r="BQ567" s="2" t="s">
        <v>82</v>
      </c>
      <c r="BR567" s="2"/>
      <c r="BS567" s="3">
        <v>40225</v>
      </c>
      <c r="BT567" s="4">
        <v>0.62418981481481484</v>
      </c>
    </row>
    <row r="568" spans="1:72" x14ac:dyDescent="0.25">
      <c r="A568" s="2">
        <v>891</v>
      </c>
      <c r="B568" s="2">
        <v>2010</v>
      </c>
      <c r="C568" s="2" t="s">
        <v>171</v>
      </c>
      <c r="D568" s="2" t="s">
        <v>73</v>
      </c>
      <c r="E568" s="2"/>
      <c r="F568" s="2">
        <v>11</v>
      </c>
      <c r="G568" s="2" t="s">
        <v>2454</v>
      </c>
      <c r="H568" s="2">
        <v>4</v>
      </c>
      <c r="I568" s="2" t="s">
        <v>173</v>
      </c>
      <c r="J568" s="2">
        <v>19</v>
      </c>
      <c r="K568" s="2" t="s">
        <v>2144</v>
      </c>
      <c r="L568" s="2" t="s">
        <v>2145</v>
      </c>
      <c r="M568" s="3">
        <v>40225</v>
      </c>
      <c r="N568" s="2" t="s">
        <v>2455</v>
      </c>
      <c r="O568" s="2" t="s">
        <v>2456</v>
      </c>
      <c r="P568" s="2" t="s">
        <v>2457</v>
      </c>
      <c r="Q568" s="2" t="str">
        <f>"N/C"</f>
        <v>N/C</v>
      </c>
      <c r="R568" s="2" t="s">
        <v>82</v>
      </c>
      <c r="S568" s="2" t="s">
        <v>82</v>
      </c>
      <c r="T568" s="2">
        <v>1</v>
      </c>
      <c r="U568" s="2" t="s">
        <v>79</v>
      </c>
      <c r="V568" s="2">
        <v>3</v>
      </c>
      <c r="W568" s="2" t="s">
        <v>225</v>
      </c>
      <c r="X568" s="2">
        <v>5</v>
      </c>
      <c r="Y568" s="2" t="s">
        <v>82</v>
      </c>
      <c r="Z568" s="2">
        <v>1</v>
      </c>
      <c r="AA568" s="2" t="s">
        <v>82</v>
      </c>
      <c r="AB568" s="2">
        <v>9</v>
      </c>
      <c r="AC568" s="2" t="s">
        <v>124</v>
      </c>
      <c r="AD568" s="3">
        <v>40225</v>
      </c>
      <c r="AE568" s="4">
        <v>0.5083333333333333</v>
      </c>
      <c r="AF568" s="2"/>
      <c r="AG568" s="2"/>
      <c r="AH568" s="2">
        <v>3</v>
      </c>
      <c r="AI568" s="2" t="s">
        <v>214</v>
      </c>
      <c r="AJ568" s="2">
        <v>14</v>
      </c>
      <c r="AK568" s="2" t="s">
        <v>342</v>
      </c>
      <c r="AL568" s="2">
        <v>23</v>
      </c>
      <c r="AM568" s="2" t="s">
        <v>251</v>
      </c>
      <c r="AN568" s="2" t="s">
        <v>82</v>
      </c>
      <c r="AO568" s="2" t="s">
        <v>2458</v>
      </c>
      <c r="AP568" s="2">
        <v>11</v>
      </c>
      <c r="AQ568" s="2" t="s">
        <v>82</v>
      </c>
      <c r="AR568" s="2"/>
      <c r="AS568" s="2"/>
      <c r="AT568" s="2" t="s">
        <v>2459</v>
      </c>
      <c r="AU568" s="2"/>
      <c r="AV568" s="2"/>
      <c r="AW568" s="2"/>
      <c r="AX568" s="2"/>
      <c r="AY568" s="2">
        <v>1</v>
      </c>
      <c r="AZ568" s="2" t="s">
        <v>107</v>
      </c>
      <c r="BA568" s="2">
        <v>1</v>
      </c>
      <c r="BB568" s="2" t="s">
        <v>107</v>
      </c>
      <c r="BC568" s="2">
        <v>1</v>
      </c>
      <c r="BD568" s="2" t="s">
        <v>107</v>
      </c>
      <c r="BE568" s="2">
        <v>41</v>
      </c>
      <c r="BF568" s="2" t="s">
        <v>82</v>
      </c>
      <c r="BG568" s="2"/>
      <c r="BH568" s="2"/>
      <c r="BI568" s="2"/>
      <c r="BJ568" s="2">
        <v>242</v>
      </c>
      <c r="BK568" s="2" t="s">
        <v>107</v>
      </c>
      <c r="BL568" s="2"/>
      <c r="BM568" s="2">
        <v>242</v>
      </c>
      <c r="BN568" s="2" t="s">
        <v>107</v>
      </c>
      <c r="BO568" s="2"/>
      <c r="BP568" s="2">
        <v>242</v>
      </c>
      <c r="BQ568" s="2" t="s">
        <v>107</v>
      </c>
      <c r="BR568" s="2"/>
      <c r="BS568" s="3">
        <v>40225</v>
      </c>
      <c r="BT568" s="4">
        <v>0.64756944444444442</v>
      </c>
    </row>
    <row r="569" spans="1:72" x14ac:dyDescent="0.25">
      <c r="A569" s="2">
        <v>894</v>
      </c>
      <c r="B569" s="2">
        <v>2010</v>
      </c>
      <c r="C569" s="2" t="s">
        <v>128</v>
      </c>
      <c r="D569" s="2" t="s">
        <v>73</v>
      </c>
      <c r="E569" s="2"/>
      <c r="F569" s="2">
        <v>10</v>
      </c>
      <c r="G569" s="2" t="s">
        <v>2143</v>
      </c>
      <c r="H569" s="2">
        <v>3</v>
      </c>
      <c r="I569" s="2" t="s">
        <v>315</v>
      </c>
      <c r="J569" s="2">
        <v>19</v>
      </c>
      <c r="K569" s="2" t="s">
        <v>2144</v>
      </c>
      <c r="L569" s="2" t="s">
        <v>2145</v>
      </c>
      <c r="M569" s="3">
        <v>40225</v>
      </c>
      <c r="N569" s="2" t="s">
        <v>2214</v>
      </c>
      <c r="O569" s="2" t="s">
        <v>2460</v>
      </c>
      <c r="P569" s="2" t="s">
        <v>82</v>
      </c>
      <c r="Q569" s="2" t="str">
        <f>"03/10"</f>
        <v>03/10</v>
      </c>
      <c r="R569" s="2" t="s">
        <v>82</v>
      </c>
      <c r="S569" s="2" t="s">
        <v>82</v>
      </c>
      <c r="T569" s="2">
        <v>1</v>
      </c>
      <c r="U569" s="2" t="s">
        <v>79</v>
      </c>
      <c r="V569" s="2">
        <v>3</v>
      </c>
      <c r="W569" s="2" t="s">
        <v>225</v>
      </c>
      <c r="X569" s="2">
        <v>8</v>
      </c>
      <c r="Y569" s="2" t="s">
        <v>375</v>
      </c>
      <c r="Z569" s="2">
        <v>1</v>
      </c>
      <c r="AA569" s="2" t="s">
        <v>82</v>
      </c>
      <c r="AB569" s="2">
        <v>9</v>
      </c>
      <c r="AC569" s="2" t="s">
        <v>124</v>
      </c>
      <c r="AD569" s="3">
        <v>40225</v>
      </c>
      <c r="AE569" s="4">
        <v>0.66875000000000007</v>
      </c>
      <c r="AF569" s="2"/>
      <c r="AG569" s="2"/>
      <c r="AH569" s="2">
        <v>3</v>
      </c>
      <c r="AI569" s="2" t="s">
        <v>214</v>
      </c>
      <c r="AJ569" s="2">
        <v>14</v>
      </c>
      <c r="AK569" s="2" t="s">
        <v>342</v>
      </c>
      <c r="AL569" s="2">
        <v>19</v>
      </c>
      <c r="AM569" s="2" t="s">
        <v>107</v>
      </c>
      <c r="AN569" s="2" t="s">
        <v>82</v>
      </c>
      <c r="AO569" s="2" t="s">
        <v>2461</v>
      </c>
      <c r="AP569" s="2">
        <v>11</v>
      </c>
      <c r="AQ569" s="2" t="s">
        <v>82</v>
      </c>
      <c r="AR569" s="2"/>
      <c r="AS569" s="2"/>
      <c r="AT569" s="2" t="s">
        <v>2462</v>
      </c>
      <c r="AU569" s="2"/>
      <c r="AV569" s="2"/>
      <c r="AW569" s="2"/>
      <c r="AX569" s="2"/>
      <c r="AY569" s="2">
        <v>1</v>
      </c>
      <c r="AZ569" s="2" t="s">
        <v>107</v>
      </c>
      <c r="BA569" s="2">
        <v>1</v>
      </c>
      <c r="BB569" s="2" t="s">
        <v>107</v>
      </c>
      <c r="BC569" s="2">
        <v>1</v>
      </c>
      <c r="BD569" s="2" t="s">
        <v>107</v>
      </c>
      <c r="BE569" s="2">
        <v>1</v>
      </c>
      <c r="BF569" s="2" t="s">
        <v>107</v>
      </c>
      <c r="BG569" s="2"/>
      <c r="BH569" s="2"/>
      <c r="BI569" s="2"/>
      <c r="BJ569" s="2">
        <v>242</v>
      </c>
      <c r="BK569" s="2" t="s">
        <v>107</v>
      </c>
      <c r="BL569" s="2"/>
      <c r="BM569" s="2">
        <v>242</v>
      </c>
      <c r="BN569" s="2" t="s">
        <v>107</v>
      </c>
      <c r="BO569" s="2"/>
      <c r="BP569" s="2">
        <v>242</v>
      </c>
      <c r="BQ569" s="2" t="s">
        <v>107</v>
      </c>
      <c r="BR569" s="2"/>
      <c r="BS569" s="3">
        <v>40225</v>
      </c>
      <c r="BT569" s="4">
        <v>0.79180555555555554</v>
      </c>
    </row>
    <row r="570" spans="1:72" x14ac:dyDescent="0.25">
      <c r="A570" s="2">
        <v>897</v>
      </c>
      <c r="B570" s="2">
        <v>2010</v>
      </c>
      <c r="C570" s="2" t="s">
        <v>819</v>
      </c>
      <c r="D570" s="2" t="s">
        <v>122</v>
      </c>
      <c r="E570" s="2"/>
      <c r="F570" s="2">
        <v>425</v>
      </c>
      <c r="G570" s="2" t="s">
        <v>286</v>
      </c>
      <c r="H570" s="2">
        <v>39</v>
      </c>
      <c r="I570" s="2" t="s">
        <v>1117</v>
      </c>
      <c r="J570" s="2">
        <v>310</v>
      </c>
      <c r="K570" s="2" t="s">
        <v>288</v>
      </c>
      <c r="L570" s="2" t="s">
        <v>289</v>
      </c>
      <c r="M570" s="3">
        <v>40225</v>
      </c>
      <c r="N570" s="2" t="s">
        <v>1943</v>
      </c>
      <c r="O570" s="2" t="s">
        <v>82</v>
      </c>
      <c r="P570" s="2"/>
      <c r="Q570" s="2" t="str">
        <f>"012/10"</f>
        <v>012/10</v>
      </c>
      <c r="R570" s="2" t="s">
        <v>82</v>
      </c>
      <c r="S570" s="2" t="s">
        <v>822</v>
      </c>
      <c r="T570" s="2">
        <v>1</v>
      </c>
      <c r="U570" s="2" t="s">
        <v>79</v>
      </c>
      <c r="V570" s="2">
        <v>1</v>
      </c>
      <c r="W570" s="2" t="s">
        <v>80</v>
      </c>
      <c r="X570" s="2">
        <v>1</v>
      </c>
      <c r="Y570" s="2" t="s">
        <v>81</v>
      </c>
      <c r="Z570" s="2">
        <v>10</v>
      </c>
      <c r="AA570" s="2" t="s">
        <v>236</v>
      </c>
      <c r="AB570" s="2">
        <v>9</v>
      </c>
      <c r="AC570" s="2" t="s">
        <v>124</v>
      </c>
      <c r="AD570" s="3">
        <v>40225</v>
      </c>
      <c r="AE570" s="4">
        <v>0.88194444444444453</v>
      </c>
      <c r="AF570" s="2"/>
      <c r="AG570" s="2"/>
      <c r="AH570" s="2">
        <v>4</v>
      </c>
      <c r="AI570" s="2" t="s">
        <v>125</v>
      </c>
      <c r="AJ570" s="2">
        <v>29</v>
      </c>
      <c r="AK570" s="2" t="s">
        <v>227</v>
      </c>
      <c r="AL570" s="2">
        <v>10</v>
      </c>
      <c r="AM570" s="2" t="s">
        <v>200</v>
      </c>
      <c r="AN570" s="2" t="s">
        <v>1015</v>
      </c>
      <c r="AO570" s="2" t="s">
        <v>200</v>
      </c>
      <c r="AP570" s="2">
        <v>12</v>
      </c>
      <c r="AQ570" s="2" t="s">
        <v>322</v>
      </c>
      <c r="AR570" s="2" t="s">
        <v>824</v>
      </c>
      <c r="AS570" s="2" t="s">
        <v>825</v>
      </c>
      <c r="AT570" s="2" t="s">
        <v>2463</v>
      </c>
      <c r="AU570" s="2"/>
      <c r="AV570" s="2"/>
      <c r="AW570" s="2"/>
      <c r="AX570" s="2"/>
      <c r="AY570" s="2">
        <v>41</v>
      </c>
      <c r="AZ570" s="2" t="s">
        <v>82</v>
      </c>
      <c r="BA570" s="2">
        <v>41</v>
      </c>
      <c r="BB570" s="2" t="s">
        <v>82</v>
      </c>
      <c r="BC570" s="2">
        <v>51</v>
      </c>
      <c r="BD570" s="2" t="s">
        <v>827</v>
      </c>
      <c r="BE570" s="2">
        <v>47</v>
      </c>
      <c r="BF570" s="2" t="s">
        <v>167</v>
      </c>
      <c r="BG570" s="2">
        <v>2459</v>
      </c>
      <c r="BH570" s="4">
        <v>0.84027777777777779</v>
      </c>
      <c r="BI570" s="4">
        <v>0.89583333333333337</v>
      </c>
      <c r="BJ570" s="2">
        <v>13</v>
      </c>
      <c r="BK570" s="2" t="s">
        <v>91</v>
      </c>
      <c r="BL570" s="2" t="s">
        <v>828</v>
      </c>
      <c r="BM570" s="2">
        <v>241</v>
      </c>
      <c r="BN570" s="2" t="s">
        <v>82</v>
      </c>
      <c r="BO570" s="2" t="s">
        <v>82</v>
      </c>
      <c r="BP570" s="2">
        <v>13</v>
      </c>
      <c r="BQ570" s="2" t="s">
        <v>91</v>
      </c>
      <c r="BR570" s="2" t="s">
        <v>185</v>
      </c>
      <c r="BS570" s="3">
        <v>40225</v>
      </c>
      <c r="BT570" s="4">
        <v>0.96565972222222218</v>
      </c>
    </row>
    <row r="571" spans="1:72" x14ac:dyDescent="0.25">
      <c r="A571" s="2">
        <v>898</v>
      </c>
      <c r="B571" s="2">
        <v>2010</v>
      </c>
      <c r="C571" s="2" t="s">
        <v>625</v>
      </c>
      <c r="D571" s="2" t="s">
        <v>73</v>
      </c>
      <c r="E571" s="2"/>
      <c r="F571" s="2">
        <v>10</v>
      </c>
      <c r="G571" s="2" t="s">
        <v>2143</v>
      </c>
      <c r="H571" s="2">
        <v>3</v>
      </c>
      <c r="I571" s="2" t="s">
        <v>315</v>
      </c>
      <c r="J571" s="2">
        <v>19</v>
      </c>
      <c r="K571" s="2" t="s">
        <v>2144</v>
      </c>
      <c r="L571" s="2" t="s">
        <v>2145</v>
      </c>
      <c r="M571" s="3">
        <v>40225</v>
      </c>
      <c r="N571" s="2" t="s">
        <v>2214</v>
      </c>
      <c r="O571" s="2" t="s">
        <v>2464</v>
      </c>
      <c r="P571" s="2" t="s">
        <v>82</v>
      </c>
      <c r="Q571" s="2" t="str">
        <f>"03/10"</f>
        <v>03/10</v>
      </c>
      <c r="R571" s="2" t="s">
        <v>82</v>
      </c>
      <c r="S571" s="2" t="s">
        <v>82</v>
      </c>
      <c r="T571" s="2">
        <v>1</v>
      </c>
      <c r="U571" s="2" t="s">
        <v>79</v>
      </c>
      <c r="V571" s="2">
        <v>1</v>
      </c>
      <c r="W571" s="2" t="s">
        <v>80</v>
      </c>
      <c r="X571" s="2">
        <v>4</v>
      </c>
      <c r="Y571" s="2" t="s">
        <v>463</v>
      </c>
      <c r="Z571" s="2">
        <v>1</v>
      </c>
      <c r="AA571" s="2" t="s">
        <v>82</v>
      </c>
      <c r="AB571" s="2">
        <v>9</v>
      </c>
      <c r="AC571" s="2" t="s">
        <v>124</v>
      </c>
      <c r="AD571" s="3">
        <v>40225</v>
      </c>
      <c r="AE571" s="4">
        <v>0.9375</v>
      </c>
      <c r="AF571" s="2"/>
      <c r="AG571" s="2"/>
      <c r="AH571" s="2">
        <v>3</v>
      </c>
      <c r="AI571" s="2" t="s">
        <v>214</v>
      </c>
      <c r="AJ571" s="2">
        <v>14</v>
      </c>
      <c r="AK571" s="2" t="s">
        <v>342</v>
      </c>
      <c r="AL571" s="2">
        <v>18</v>
      </c>
      <c r="AM571" s="2" t="s">
        <v>82</v>
      </c>
      <c r="AN571" s="2"/>
      <c r="AO571" s="2" t="s">
        <v>2465</v>
      </c>
      <c r="AP571" s="2">
        <v>11</v>
      </c>
      <c r="AQ571" s="2" t="s">
        <v>82</v>
      </c>
      <c r="AR571" s="2"/>
      <c r="AS571" s="2"/>
      <c r="AT571" s="2" t="s">
        <v>2466</v>
      </c>
      <c r="AU571" s="2"/>
      <c r="AV571" s="2"/>
      <c r="AW571" s="2"/>
      <c r="AX571" s="2"/>
      <c r="AY571" s="2">
        <v>1</v>
      </c>
      <c r="AZ571" s="2" t="s">
        <v>107</v>
      </c>
      <c r="BA571" s="2">
        <v>1</v>
      </c>
      <c r="BB571" s="2" t="s">
        <v>107</v>
      </c>
      <c r="BC571" s="2">
        <v>1</v>
      </c>
      <c r="BD571" s="2" t="s">
        <v>107</v>
      </c>
      <c r="BE571" s="2">
        <v>1</v>
      </c>
      <c r="BF571" s="2" t="s">
        <v>107</v>
      </c>
      <c r="BG571" s="2"/>
      <c r="BH571" s="2"/>
      <c r="BI571" s="2"/>
      <c r="BJ571" s="2">
        <v>242</v>
      </c>
      <c r="BK571" s="2" t="s">
        <v>107</v>
      </c>
      <c r="BL571" s="2"/>
      <c r="BM571" s="2">
        <v>242</v>
      </c>
      <c r="BN571" s="2" t="s">
        <v>107</v>
      </c>
      <c r="BO571" s="2"/>
      <c r="BP571" s="2">
        <v>242</v>
      </c>
      <c r="BQ571" s="2" t="s">
        <v>107</v>
      </c>
      <c r="BR571" s="2"/>
      <c r="BS571" s="3">
        <v>40225</v>
      </c>
      <c r="BT571" s="4">
        <v>0.97829861111111116</v>
      </c>
    </row>
    <row r="572" spans="1:72" x14ac:dyDescent="0.25">
      <c r="A572" s="2">
        <v>898</v>
      </c>
      <c r="B572" s="2">
        <v>2010</v>
      </c>
      <c r="C572" s="2" t="s">
        <v>1172</v>
      </c>
      <c r="D572" s="2" t="s">
        <v>73</v>
      </c>
      <c r="E572" s="2"/>
      <c r="F572" s="2">
        <v>10</v>
      </c>
      <c r="G572" s="2" t="s">
        <v>2143</v>
      </c>
      <c r="H572" s="2">
        <v>3</v>
      </c>
      <c r="I572" s="2" t="s">
        <v>315</v>
      </c>
      <c r="J572" s="2">
        <v>19</v>
      </c>
      <c r="K572" s="2" t="s">
        <v>2144</v>
      </c>
      <c r="L572" s="2" t="s">
        <v>2145</v>
      </c>
      <c r="M572" s="3">
        <v>40225</v>
      </c>
      <c r="N572" s="2" t="s">
        <v>2214</v>
      </c>
      <c r="O572" s="2" t="s">
        <v>2464</v>
      </c>
      <c r="P572" s="2" t="s">
        <v>82</v>
      </c>
      <c r="Q572" s="2" t="str">
        <f>"03/10"</f>
        <v>03/10</v>
      </c>
      <c r="R572" s="2" t="s">
        <v>82</v>
      </c>
      <c r="S572" s="2" t="s">
        <v>82</v>
      </c>
      <c r="T572" s="2">
        <v>1</v>
      </c>
      <c r="U572" s="2" t="s">
        <v>79</v>
      </c>
      <c r="V572" s="2">
        <v>1</v>
      </c>
      <c r="W572" s="2" t="s">
        <v>80</v>
      </c>
      <c r="X572" s="2">
        <v>4</v>
      </c>
      <c r="Y572" s="2" t="s">
        <v>463</v>
      </c>
      <c r="Z572" s="2">
        <v>1</v>
      </c>
      <c r="AA572" s="2" t="s">
        <v>82</v>
      </c>
      <c r="AB572" s="2">
        <v>9</v>
      </c>
      <c r="AC572" s="2" t="s">
        <v>124</v>
      </c>
      <c r="AD572" s="3">
        <v>40225</v>
      </c>
      <c r="AE572" s="4">
        <v>0.9375</v>
      </c>
      <c r="AF572" s="2"/>
      <c r="AG572" s="2"/>
      <c r="AH572" s="2">
        <v>3</v>
      </c>
      <c r="AI572" s="2" t="s">
        <v>214</v>
      </c>
      <c r="AJ572" s="2">
        <v>14</v>
      </c>
      <c r="AK572" s="2" t="s">
        <v>342</v>
      </c>
      <c r="AL572" s="2">
        <v>18</v>
      </c>
      <c r="AM572" s="2" t="s">
        <v>82</v>
      </c>
      <c r="AN572" s="2"/>
      <c r="AO572" s="2" t="s">
        <v>2465</v>
      </c>
      <c r="AP572" s="2">
        <v>11</v>
      </c>
      <c r="AQ572" s="2" t="s">
        <v>82</v>
      </c>
      <c r="AR572" s="2"/>
      <c r="AS572" s="2"/>
      <c r="AT572" s="2" t="s">
        <v>2466</v>
      </c>
      <c r="AU572" s="2"/>
      <c r="AV572" s="2"/>
      <c r="AW572" s="2"/>
      <c r="AX572" s="2"/>
      <c r="AY572" s="2">
        <v>1</v>
      </c>
      <c r="AZ572" s="2" t="s">
        <v>107</v>
      </c>
      <c r="BA572" s="2">
        <v>1</v>
      </c>
      <c r="BB572" s="2" t="s">
        <v>107</v>
      </c>
      <c r="BC572" s="2">
        <v>1</v>
      </c>
      <c r="BD572" s="2" t="s">
        <v>107</v>
      </c>
      <c r="BE572" s="2">
        <v>1</v>
      </c>
      <c r="BF572" s="2" t="s">
        <v>107</v>
      </c>
      <c r="BG572" s="2"/>
      <c r="BH572" s="2"/>
      <c r="BI572" s="2"/>
      <c r="BJ572" s="2">
        <v>242</v>
      </c>
      <c r="BK572" s="2" t="s">
        <v>107</v>
      </c>
      <c r="BL572" s="2"/>
      <c r="BM572" s="2">
        <v>242</v>
      </c>
      <c r="BN572" s="2" t="s">
        <v>107</v>
      </c>
      <c r="BO572" s="2"/>
      <c r="BP572" s="2">
        <v>242</v>
      </c>
      <c r="BQ572" s="2" t="s">
        <v>107</v>
      </c>
      <c r="BR572" s="2"/>
      <c r="BS572" s="3">
        <v>40225</v>
      </c>
      <c r="BT572" s="4">
        <v>0.97829861111111116</v>
      </c>
    </row>
    <row r="573" spans="1:72" x14ac:dyDescent="0.25">
      <c r="A573" s="2">
        <v>899</v>
      </c>
      <c r="B573" s="2">
        <v>2010</v>
      </c>
      <c r="C573" s="2" t="s">
        <v>1660</v>
      </c>
      <c r="D573" s="2" t="s">
        <v>73</v>
      </c>
      <c r="E573" s="2" t="s">
        <v>2442</v>
      </c>
      <c r="F573" s="2">
        <v>389</v>
      </c>
      <c r="G573" s="2" t="s">
        <v>1819</v>
      </c>
      <c r="H573" s="2">
        <v>3</v>
      </c>
      <c r="I573" s="2" t="s">
        <v>315</v>
      </c>
      <c r="J573" s="2">
        <v>399</v>
      </c>
      <c r="K573" s="2" t="s">
        <v>1820</v>
      </c>
      <c r="L573" s="2" t="s">
        <v>1821</v>
      </c>
      <c r="M573" s="3">
        <v>40226</v>
      </c>
      <c r="N573" s="2" t="s">
        <v>2367</v>
      </c>
      <c r="O573" s="2"/>
      <c r="P573" s="2"/>
      <c r="Q573" s="2" t="str">
        <f>"094-E/10"</f>
        <v>094-E/10</v>
      </c>
      <c r="R573" s="2" t="s">
        <v>2408</v>
      </c>
      <c r="S573" s="2"/>
      <c r="T573" s="2">
        <v>1</v>
      </c>
      <c r="U573" s="2" t="s">
        <v>79</v>
      </c>
      <c r="V573" s="2">
        <v>1</v>
      </c>
      <c r="W573" s="2" t="s">
        <v>80</v>
      </c>
      <c r="X573" s="2">
        <v>1</v>
      </c>
      <c r="Y573" s="2" t="s">
        <v>81</v>
      </c>
      <c r="Z573" s="2">
        <v>10</v>
      </c>
      <c r="AA573" s="2" t="s">
        <v>236</v>
      </c>
      <c r="AB573" s="2">
        <v>3</v>
      </c>
      <c r="AC573" s="2" t="s">
        <v>1663</v>
      </c>
      <c r="AD573" s="3">
        <v>40224</v>
      </c>
      <c r="AE573" s="4">
        <v>0.55555555555555558</v>
      </c>
      <c r="AF573" s="2"/>
      <c r="AG573" s="2"/>
      <c r="AH573" s="2">
        <v>2</v>
      </c>
      <c r="AI573" s="2" t="s">
        <v>84</v>
      </c>
      <c r="AJ573" s="2">
        <v>9</v>
      </c>
      <c r="AK573" s="2" t="s">
        <v>103</v>
      </c>
      <c r="AL573" s="2">
        <v>14</v>
      </c>
      <c r="AM573" s="2" t="s">
        <v>216</v>
      </c>
      <c r="AN573" s="2" t="s">
        <v>2409</v>
      </c>
      <c r="AO573" s="2"/>
      <c r="AP573" s="2">
        <v>11</v>
      </c>
      <c r="AQ573" s="2" t="s">
        <v>82</v>
      </c>
      <c r="AR573" s="2"/>
      <c r="AS573" s="2"/>
      <c r="AT573" s="2" t="s">
        <v>2467</v>
      </c>
      <c r="AU573" s="2"/>
      <c r="AV573" s="2">
        <v>1</v>
      </c>
      <c r="AW573" s="2"/>
      <c r="AX573" s="2"/>
      <c r="AY573" s="2">
        <v>42</v>
      </c>
      <c r="AZ573" s="2" t="s">
        <v>182</v>
      </c>
      <c r="BA573" s="2">
        <v>41</v>
      </c>
      <c r="BB573" s="2" t="s">
        <v>82</v>
      </c>
      <c r="BC573" s="2">
        <v>70</v>
      </c>
      <c r="BD573" s="2" t="s">
        <v>236</v>
      </c>
      <c r="BE573" s="2">
        <v>29</v>
      </c>
      <c r="BF573" s="2" t="s">
        <v>2411</v>
      </c>
      <c r="BG573" s="2" t="s">
        <v>2412</v>
      </c>
      <c r="BH573" s="4">
        <v>7.0833333333333331E-2</v>
      </c>
      <c r="BI573" s="4">
        <v>0.5708333333333333</v>
      </c>
      <c r="BJ573" s="2">
        <v>13</v>
      </c>
      <c r="BK573" s="2" t="s">
        <v>91</v>
      </c>
      <c r="BL573" s="2" t="s">
        <v>360</v>
      </c>
      <c r="BM573" s="2">
        <v>241</v>
      </c>
      <c r="BN573" s="2" t="s">
        <v>82</v>
      </c>
      <c r="BO573" s="2"/>
      <c r="BP573" s="2">
        <v>16</v>
      </c>
      <c r="BQ573" s="2" t="s">
        <v>2130</v>
      </c>
      <c r="BR573" s="2" t="s">
        <v>2413</v>
      </c>
      <c r="BS573" s="3">
        <v>40226</v>
      </c>
      <c r="BT573" s="4">
        <v>0.34518518518518521</v>
      </c>
    </row>
    <row r="574" spans="1:72" x14ac:dyDescent="0.25">
      <c r="A574" s="2">
        <v>900</v>
      </c>
      <c r="B574" s="2">
        <v>2010</v>
      </c>
      <c r="C574" s="2" t="s">
        <v>594</v>
      </c>
      <c r="D574" s="2" t="s">
        <v>122</v>
      </c>
      <c r="E574" s="2"/>
      <c r="F574" s="2">
        <v>1</v>
      </c>
      <c r="G574" s="2" t="s">
        <v>82</v>
      </c>
      <c r="H574" s="2">
        <v>1</v>
      </c>
      <c r="I574" s="2" t="s">
        <v>82</v>
      </c>
      <c r="J574" s="2">
        <v>1</v>
      </c>
      <c r="K574" s="2" t="s">
        <v>107</v>
      </c>
      <c r="L574" s="2" t="s">
        <v>107</v>
      </c>
      <c r="M574" s="3">
        <v>40226</v>
      </c>
      <c r="N574" s="2"/>
      <c r="O574" s="2"/>
      <c r="P574" s="2"/>
      <c r="Q574" s="2" t="str">
        <f>""</f>
        <v/>
      </c>
      <c r="R574" s="2"/>
      <c r="S574" s="2"/>
      <c r="T574" s="2">
        <v>1</v>
      </c>
      <c r="U574" s="2" t="s">
        <v>79</v>
      </c>
      <c r="V574" s="2">
        <v>1</v>
      </c>
      <c r="W574" s="2" t="s">
        <v>80</v>
      </c>
      <c r="X574" s="2">
        <v>1</v>
      </c>
      <c r="Y574" s="2" t="s">
        <v>81</v>
      </c>
      <c r="Z574" s="2">
        <v>1</v>
      </c>
      <c r="AA574" s="2" t="s">
        <v>82</v>
      </c>
      <c r="AB574" s="2">
        <v>9</v>
      </c>
      <c r="AC574" s="2" t="s">
        <v>124</v>
      </c>
      <c r="AD574" s="3">
        <v>40226</v>
      </c>
      <c r="AE574" s="4">
        <v>0.37083333333333335</v>
      </c>
      <c r="AF574" s="2"/>
      <c r="AG574" s="2"/>
      <c r="AH574" s="2">
        <v>6</v>
      </c>
      <c r="AI574" s="2" t="s">
        <v>197</v>
      </c>
      <c r="AJ574" s="2">
        <v>54</v>
      </c>
      <c r="AK574" s="2" t="s">
        <v>348</v>
      </c>
      <c r="AL574" s="2">
        <v>18</v>
      </c>
      <c r="AM574" s="2" t="s">
        <v>82</v>
      </c>
      <c r="AN574" s="2" t="s">
        <v>595</v>
      </c>
      <c r="AO574" s="2" t="s">
        <v>200</v>
      </c>
      <c r="AP574" s="2">
        <v>12</v>
      </c>
      <c r="AQ574" s="2" t="s">
        <v>322</v>
      </c>
      <c r="AR574" s="2" t="s">
        <v>596</v>
      </c>
      <c r="AS574" s="2" t="s">
        <v>596</v>
      </c>
      <c r="AT574" s="2" t="s">
        <v>2468</v>
      </c>
      <c r="AU574" s="2"/>
      <c r="AV574" s="2"/>
      <c r="AW574" s="2"/>
      <c r="AX574" s="2"/>
      <c r="AY574" s="2">
        <v>1</v>
      </c>
      <c r="AZ574" s="2" t="s">
        <v>107</v>
      </c>
      <c r="BA574" s="2">
        <v>1</v>
      </c>
      <c r="BB574" s="2" t="s">
        <v>107</v>
      </c>
      <c r="BC574" s="2">
        <v>1</v>
      </c>
      <c r="BD574" s="2" t="s">
        <v>107</v>
      </c>
      <c r="BE574" s="2">
        <v>47</v>
      </c>
      <c r="BF574" s="2" t="s">
        <v>167</v>
      </c>
      <c r="BG574" s="2" t="s">
        <v>848</v>
      </c>
      <c r="BH574" s="4">
        <v>0.31666666666666665</v>
      </c>
      <c r="BI574" s="4">
        <v>0.37083333333333335</v>
      </c>
      <c r="BJ574" s="2">
        <v>13</v>
      </c>
      <c r="BK574" s="2" t="s">
        <v>91</v>
      </c>
      <c r="BL574" s="2" t="s">
        <v>2469</v>
      </c>
      <c r="BM574" s="2">
        <v>242</v>
      </c>
      <c r="BN574" s="2" t="s">
        <v>107</v>
      </c>
      <c r="BO574" s="2"/>
      <c r="BP574" s="2">
        <v>13</v>
      </c>
      <c r="BQ574" s="2" t="s">
        <v>91</v>
      </c>
      <c r="BR574" s="2" t="s">
        <v>2168</v>
      </c>
      <c r="BS574" s="3">
        <v>40226</v>
      </c>
      <c r="BT574" s="4">
        <v>0.39163194444444444</v>
      </c>
    </row>
    <row r="575" spans="1:72" x14ac:dyDescent="0.25">
      <c r="A575" s="2">
        <v>901</v>
      </c>
      <c r="B575" s="2">
        <v>2010</v>
      </c>
      <c r="C575" s="2" t="s">
        <v>147</v>
      </c>
      <c r="D575" s="2" t="s">
        <v>73</v>
      </c>
      <c r="E575" s="2"/>
      <c r="F575" s="2">
        <v>1</v>
      </c>
      <c r="G575" s="2" t="s">
        <v>82</v>
      </c>
      <c r="H575" s="2">
        <v>1</v>
      </c>
      <c r="I575" s="2" t="s">
        <v>82</v>
      </c>
      <c r="J575" s="2">
        <v>1</v>
      </c>
      <c r="K575" s="2" t="s">
        <v>107</v>
      </c>
      <c r="L575" s="2" t="s">
        <v>107</v>
      </c>
      <c r="M575" s="3">
        <v>40226</v>
      </c>
      <c r="N575" s="2"/>
      <c r="O575" s="2"/>
      <c r="P575" s="2"/>
      <c r="Q575" s="2" t="str">
        <f>""</f>
        <v/>
      </c>
      <c r="R575" s="2"/>
      <c r="S575" s="2"/>
      <c r="T575" s="2">
        <v>2</v>
      </c>
      <c r="U575" s="2" t="s">
        <v>123</v>
      </c>
      <c r="V575" s="2">
        <v>1</v>
      </c>
      <c r="W575" s="2" t="s">
        <v>80</v>
      </c>
      <c r="X575" s="2">
        <v>12</v>
      </c>
      <c r="Y575" s="2" t="s">
        <v>148</v>
      </c>
      <c r="Z575" s="2">
        <v>1</v>
      </c>
      <c r="AA575" s="2" t="s">
        <v>82</v>
      </c>
      <c r="AB575" s="2">
        <v>9</v>
      </c>
      <c r="AC575" s="2" t="s">
        <v>124</v>
      </c>
      <c r="AD575" s="3">
        <v>40221</v>
      </c>
      <c r="AE575" s="4">
        <v>0.70833333333333337</v>
      </c>
      <c r="AF575" s="3">
        <v>40226</v>
      </c>
      <c r="AG575" s="4">
        <v>0.375</v>
      </c>
      <c r="AH575" s="2">
        <v>2</v>
      </c>
      <c r="AI575" s="2" t="s">
        <v>84</v>
      </c>
      <c r="AJ575" s="2">
        <v>12</v>
      </c>
      <c r="AK575" s="2" t="s">
        <v>85</v>
      </c>
      <c r="AL575" s="2">
        <v>19</v>
      </c>
      <c r="AM575" s="2" t="s">
        <v>107</v>
      </c>
      <c r="AN575" s="2" t="s">
        <v>107</v>
      </c>
      <c r="AO575" s="2" t="s">
        <v>1772</v>
      </c>
      <c r="AP575" s="2">
        <v>11</v>
      </c>
      <c r="AQ575" s="2" t="s">
        <v>82</v>
      </c>
      <c r="AR575" s="2" t="s">
        <v>82</v>
      </c>
      <c r="AS575" s="2" t="s">
        <v>82</v>
      </c>
      <c r="AT575" s="2" t="s">
        <v>2470</v>
      </c>
      <c r="AU575" s="2"/>
      <c r="AV575" s="2"/>
      <c r="AW575" s="2"/>
      <c r="AX575" s="2"/>
      <c r="AY575" s="2">
        <v>41</v>
      </c>
      <c r="AZ575" s="2" t="s">
        <v>82</v>
      </c>
      <c r="BA575" s="2">
        <v>41</v>
      </c>
      <c r="BB575" s="2" t="s">
        <v>82</v>
      </c>
      <c r="BC575" s="2">
        <v>41</v>
      </c>
      <c r="BD575" s="2" t="s">
        <v>82</v>
      </c>
      <c r="BE575" s="2">
        <v>41</v>
      </c>
      <c r="BF575" s="2" t="s">
        <v>82</v>
      </c>
      <c r="BG575" s="2" t="s">
        <v>82</v>
      </c>
      <c r="BH575" s="2"/>
      <c r="BI575" s="2"/>
      <c r="BJ575" s="2">
        <v>241</v>
      </c>
      <c r="BK575" s="2" t="s">
        <v>82</v>
      </c>
      <c r="BL575" s="2" t="s">
        <v>82</v>
      </c>
      <c r="BM575" s="2">
        <v>241</v>
      </c>
      <c r="BN575" s="2" t="s">
        <v>82</v>
      </c>
      <c r="BO575" s="2" t="s">
        <v>82</v>
      </c>
      <c r="BP575" s="2">
        <v>241</v>
      </c>
      <c r="BQ575" s="2" t="s">
        <v>82</v>
      </c>
      <c r="BR575" s="2" t="s">
        <v>82</v>
      </c>
      <c r="BS575" s="3">
        <v>40226</v>
      </c>
      <c r="BT575" s="4">
        <v>0.39523148148148146</v>
      </c>
    </row>
    <row r="576" spans="1:72" x14ac:dyDescent="0.25">
      <c r="A576" s="2">
        <v>902</v>
      </c>
      <c r="B576" s="2">
        <v>2010</v>
      </c>
      <c r="C576" s="2" t="s">
        <v>819</v>
      </c>
      <c r="D576" s="2" t="s">
        <v>122</v>
      </c>
      <c r="E576" s="2" t="s">
        <v>2471</v>
      </c>
      <c r="F576" s="2">
        <v>425</v>
      </c>
      <c r="G576" s="2" t="s">
        <v>286</v>
      </c>
      <c r="H576" s="2">
        <v>39</v>
      </c>
      <c r="I576" s="2" t="s">
        <v>1117</v>
      </c>
      <c r="J576" s="2">
        <v>310</v>
      </c>
      <c r="K576" s="2" t="s">
        <v>288</v>
      </c>
      <c r="L576" s="2" t="s">
        <v>289</v>
      </c>
      <c r="M576" s="3">
        <v>40226</v>
      </c>
      <c r="N576" s="2" t="s">
        <v>1943</v>
      </c>
      <c r="O576" s="2" t="s">
        <v>82</v>
      </c>
      <c r="P576" s="2"/>
      <c r="Q576" s="2" t="str">
        <f>"012/10"</f>
        <v>012/10</v>
      </c>
      <c r="R576" s="2" t="s">
        <v>822</v>
      </c>
      <c r="S576" s="2" t="s">
        <v>82</v>
      </c>
      <c r="T576" s="2">
        <v>1</v>
      </c>
      <c r="U576" s="2" t="s">
        <v>79</v>
      </c>
      <c r="V576" s="2">
        <v>1</v>
      </c>
      <c r="W576" s="2" t="s">
        <v>80</v>
      </c>
      <c r="X576" s="2">
        <v>1</v>
      </c>
      <c r="Y576" s="2" t="s">
        <v>81</v>
      </c>
      <c r="Z576" s="2">
        <v>10</v>
      </c>
      <c r="AA576" s="2" t="s">
        <v>236</v>
      </c>
      <c r="AB576" s="2">
        <v>9</v>
      </c>
      <c r="AC576" s="2" t="s">
        <v>124</v>
      </c>
      <c r="AD576" s="3">
        <v>40226</v>
      </c>
      <c r="AE576" s="4">
        <v>0.41666666666666669</v>
      </c>
      <c r="AF576" s="2"/>
      <c r="AG576" s="2"/>
      <c r="AH576" s="2">
        <v>4</v>
      </c>
      <c r="AI576" s="2" t="s">
        <v>125</v>
      </c>
      <c r="AJ576" s="2">
        <v>29</v>
      </c>
      <c r="AK576" s="2" t="s">
        <v>227</v>
      </c>
      <c r="AL576" s="2">
        <v>10</v>
      </c>
      <c r="AM576" s="2" t="s">
        <v>200</v>
      </c>
      <c r="AN576" s="2" t="s">
        <v>1015</v>
      </c>
      <c r="AO576" s="2" t="s">
        <v>200</v>
      </c>
      <c r="AP576" s="2">
        <v>12</v>
      </c>
      <c r="AQ576" s="2" t="s">
        <v>322</v>
      </c>
      <c r="AR576" s="2" t="s">
        <v>824</v>
      </c>
      <c r="AS576" s="2" t="s">
        <v>825</v>
      </c>
      <c r="AT576" s="2" t="s">
        <v>2472</v>
      </c>
      <c r="AU576" s="2"/>
      <c r="AV576" s="2"/>
      <c r="AW576" s="2"/>
      <c r="AX576" s="2"/>
      <c r="AY576" s="2">
        <v>41</v>
      </c>
      <c r="AZ576" s="2" t="s">
        <v>82</v>
      </c>
      <c r="BA576" s="2">
        <v>41</v>
      </c>
      <c r="BB576" s="2" t="s">
        <v>82</v>
      </c>
      <c r="BC576" s="2">
        <v>51</v>
      </c>
      <c r="BD576" s="2" t="s">
        <v>827</v>
      </c>
      <c r="BE576" s="2">
        <v>47</v>
      </c>
      <c r="BF576" s="2" t="s">
        <v>167</v>
      </c>
      <c r="BG576" s="2">
        <v>2459</v>
      </c>
      <c r="BH576" s="4">
        <v>0.84027777777777779</v>
      </c>
      <c r="BI576" s="4">
        <v>0.89583333333333337</v>
      </c>
      <c r="BJ576" s="2">
        <v>13</v>
      </c>
      <c r="BK576" s="2" t="s">
        <v>91</v>
      </c>
      <c r="BL576" s="2" t="s">
        <v>828</v>
      </c>
      <c r="BM576" s="2">
        <v>241</v>
      </c>
      <c r="BN576" s="2" t="s">
        <v>82</v>
      </c>
      <c r="BO576" s="2" t="s">
        <v>82</v>
      </c>
      <c r="BP576" s="2">
        <v>13</v>
      </c>
      <c r="BQ576" s="2" t="s">
        <v>91</v>
      </c>
      <c r="BR576" s="2" t="s">
        <v>185</v>
      </c>
      <c r="BS576" s="3">
        <v>40226</v>
      </c>
      <c r="BT576" s="4">
        <v>0.45413194444444444</v>
      </c>
    </row>
    <row r="577" spans="1:72" x14ac:dyDescent="0.25">
      <c r="A577" s="2">
        <v>906</v>
      </c>
      <c r="B577" s="2">
        <v>2010</v>
      </c>
      <c r="C577" s="2" t="s">
        <v>625</v>
      </c>
      <c r="D577" s="2" t="s">
        <v>73</v>
      </c>
      <c r="E577" s="2"/>
      <c r="F577" s="2">
        <v>228</v>
      </c>
      <c r="G577" s="2" t="s">
        <v>1087</v>
      </c>
      <c r="H577" s="2">
        <v>7</v>
      </c>
      <c r="I577" s="2" t="s">
        <v>476</v>
      </c>
      <c r="J577" s="2">
        <v>242</v>
      </c>
      <c r="K577" s="2" t="s">
        <v>1077</v>
      </c>
      <c r="L577" s="2" t="s">
        <v>1078</v>
      </c>
      <c r="M577" s="3">
        <v>40226</v>
      </c>
      <c r="N577" s="2" t="s">
        <v>1339</v>
      </c>
      <c r="O577" s="2" t="s">
        <v>1392</v>
      </c>
      <c r="P577" s="2">
        <v>9682</v>
      </c>
      <c r="Q577" s="2" t="str">
        <f>"045E/10"</f>
        <v>045E/10</v>
      </c>
      <c r="R577" s="2"/>
      <c r="S577" s="2" t="s">
        <v>391</v>
      </c>
      <c r="T577" s="2">
        <v>1</v>
      </c>
      <c r="U577" s="2" t="s">
        <v>79</v>
      </c>
      <c r="V577" s="2">
        <v>1</v>
      </c>
      <c r="W577" s="2" t="s">
        <v>80</v>
      </c>
      <c r="X577" s="2">
        <v>2</v>
      </c>
      <c r="Y577" s="2" t="s">
        <v>136</v>
      </c>
      <c r="Z577" s="2">
        <v>10</v>
      </c>
      <c r="AA577" s="2" t="s">
        <v>236</v>
      </c>
      <c r="AB577" s="2">
        <v>9</v>
      </c>
      <c r="AC577" s="2" t="s">
        <v>124</v>
      </c>
      <c r="AD577" s="3">
        <v>40226</v>
      </c>
      <c r="AE577" s="4">
        <v>0.43055555555555558</v>
      </c>
      <c r="AF577" s="2"/>
      <c r="AG577" s="2"/>
      <c r="AH577" s="2">
        <v>2</v>
      </c>
      <c r="AI577" s="2" t="s">
        <v>84</v>
      </c>
      <c r="AJ577" s="2">
        <v>6</v>
      </c>
      <c r="AK577" s="2" t="s">
        <v>453</v>
      </c>
      <c r="AL577" s="2">
        <v>18</v>
      </c>
      <c r="AM577" s="2" t="s">
        <v>82</v>
      </c>
      <c r="AN577" s="2" t="s">
        <v>2473</v>
      </c>
      <c r="AO577" s="2" t="s">
        <v>1394</v>
      </c>
      <c r="AP577" s="2">
        <v>11</v>
      </c>
      <c r="AQ577" s="2" t="s">
        <v>82</v>
      </c>
      <c r="AR577" s="2"/>
      <c r="AS577" s="2"/>
      <c r="AT577" s="2" t="s">
        <v>2474</v>
      </c>
      <c r="AU577" s="2"/>
      <c r="AV577" s="2"/>
      <c r="AW577" s="2"/>
      <c r="AX577" s="2"/>
      <c r="AY577" s="2">
        <v>42</v>
      </c>
      <c r="AZ577" s="2" t="s">
        <v>182</v>
      </c>
      <c r="BA577" s="2">
        <v>70</v>
      </c>
      <c r="BB577" s="2" t="s">
        <v>236</v>
      </c>
      <c r="BC577" s="2">
        <v>70</v>
      </c>
      <c r="BD577" s="2" t="s">
        <v>236</v>
      </c>
      <c r="BE577" s="2">
        <v>41</v>
      </c>
      <c r="BF577" s="2" t="s">
        <v>82</v>
      </c>
      <c r="BG577" s="2"/>
      <c r="BH577" s="2"/>
      <c r="BI577" s="2"/>
      <c r="BJ577" s="2">
        <v>241</v>
      </c>
      <c r="BK577" s="2" t="s">
        <v>82</v>
      </c>
      <c r="BL577" s="2"/>
      <c r="BM577" s="2">
        <v>241</v>
      </c>
      <c r="BN577" s="2" t="s">
        <v>82</v>
      </c>
      <c r="BO577" s="2"/>
      <c r="BP577" s="2">
        <v>241</v>
      </c>
      <c r="BQ577" s="2" t="s">
        <v>82</v>
      </c>
      <c r="BR577" s="2"/>
      <c r="BS577" s="3">
        <v>40226</v>
      </c>
      <c r="BT577" s="4">
        <v>0.55696759259259265</v>
      </c>
    </row>
    <row r="578" spans="1:72" x14ac:dyDescent="0.25">
      <c r="A578" s="2">
        <v>908</v>
      </c>
      <c r="B578" s="2">
        <v>2010</v>
      </c>
      <c r="C578" s="2" t="s">
        <v>625</v>
      </c>
      <c r="D578" s="2" t="s">
        <v>73</v>
      </c>
      <c r="E578" s="2"/>
      <c r="F578" s="2">
        <v>507</v>
      </c>
      <c r="G578" s="2" t="s">
        <v>2475</v>
      </c>
      <c r="H578" s="2">
        <v>2</v>
      </c>
      <c r="I578" s="2" t="s">
        <v>267</v>
      </c>
      <c r="J578" s="2">
        <v>424</v>
      </c>
      <c r="K578" s="2" t="s">
        <v>2476</v>
      </c>
      <c r="L578" s="2" t="s">
        <v>2477</v>
      </c>
      <c r="M578" s="3">
        <v>40226</v>
      </c>
      <c r="N578" s="2" t="s">
        <v>2478</v>
      </c>
      <c r="O578" s="2" t="s">
        <v>2479</v>
      </c>
      <c r="P578" s="2">
        <v>16419</v>
      </c>
      <c r="Q578" s="2" t="str">
        <f>"S/D"</f>
        <v>S/D</v>
      </c>
      <c r="R578" s="2" t="s">
        <v>107</v>
      </c>
      <c r="S578" s="2" t="s">
        <v>107</v>
      </c>
      <c r="T578" s="2">
        <v>1</v>
      </c>
      <c r="U578" s="2" t="s">
        <v>79</v>
      </c>
      <c r="V578" s="2">
        <v>1</v>
      </c>
      <c r="W578" s="2" t="s">
        <v>80</v>
      </c>
      <c r="X578" s="2">
        <v>2</v>
      </c>
      <c r="Y578" s="2" t="s">
        <v>136</v>
      </c>
      <c r="Z578" s="2">
        <v>1</v>
      </c>
      <c r="AA578" s="2" t="s">
        <v>82</v>
      </c>
      <c r="AB578" s="2">
        <v>9</v>
      </c>
      <c r="AC578" s="2" t="s">
        <v>124</v>
      </c>
      <c r="AD578" s="3">
        <v>40226</v>
      </c>
      <c r="AE578" s="4">
        <v>0.38541666666666669</v>
      </c>
      <c r="AF578" s="2"/>
      <c r="AG578" s="2"/>
      <c r="AH578" s="2">
        <v>7</v>
      </c>
      <c r="AI578" s="2" t="s">
        <v>801</v>
      </c>
      <c r="AJ578" s="2">
        <v>3</v>
      </c>
      <c r="AK578" s="2" t="s">
        <v>802</v>
      </c>
      <c r="AL578" s="2">
        <v>18</v>
      </c>
      <c r="AM578" s="2" t="s">
        <v>82</v>
      </c>
      <c r="AN578" s="2" t="s">
        <v>107</v>
      </c>
      <c r="AO578" s="2" t="s">
        <v>2480</v>
      </c>
      <c r="AP578" s="2">
        <v>11</v>
      </c>
      <c r="AQ578" s="2" t="s">
        <v>82</v>
      </c>
      <c r="AR578" s="2"/>
      <c r="AS578" s="2"/>
      <c r="AT578" s="2" t="s">
        <v>2481</v>
      </c>
      <c r="AU578" s="2">
        <v>2</v>
      </c>
      <c r="AV578" s="2"/>
      <c r="AW578" s="2"/>
      <c r="AX578" s="2"/>
      <c r="AY578" s="2">
        <v>41</v>
      </c>
      <c r="AZ578" s="2" t="s">
        <v>82</v>
      </c>
      <c r="BA578" s="2">
        <v>41</v>
      </c>
      <c r="BB578" s="2" t="s">
        <v>82</v>
      </c>
      <c r="BC578" s="2">
        <v>41</v>
      </c>
      <c r="BD578" s="2" t="s">
        <v>82</v>
      </c>
      <c r="BE578" s="2">
        <v>1</v>
      </c>
      <c r="BF578" s="2" t="s">
        <v>107</v>
      </c>
      <c r="BG578" s="2"/>
      <c r="BH578" s="2"/>
      <c r="BI578" s="2"/>
      <c r="BJ578" s="2">
        <v>241</v>
      </c>
      <c r="BK578" s="2" t="s">
        <v>82</v>
      </c>
      <c r="BL578" s="2"/>
      <c r="BM578" s="2">
        <v>241</v>
      </c>
      <c r="BN578" s="2" t="s">
        <v>82</v>
      </c>
      <c r="BO578" s="2"/>
      <c r="BP578" s="2">
        <v>242</v>
      </c>
      <c r="BQ578" s="2" t="s">
        <v>107</v>
      </c>
      <c r="BR578" s="2"/>
      <c r="BS578" s="3">
        <v>40226</v>
      </c>
      <c r="BT578" s="4">
        <v>0.58297453703703705</v>
      </c>
    </row>
    <row r="579" spans="1:72" x14ac:dyDescent="0.25">
      <c r="A579" s="2">
        <v>908</v>
      </c>
      <c r="B579" s="2">
        <v>2010</v>
      </c>
      <c r="C579" s="2" t="s">
        <v>806</v>
      </c>
      <c r="D579" s="2" t="s">
        <v>73</v>
      </c>
      <c r="E579" s="2"/>
      <c r="F579" s="2">
        <v>507</v>
      </c>
      <c r="G579" s="2" t="s">
        <v>2475</v>
      </c>
      <c r="H579" s="2">
        <v>2</v>
      </c>
      <c r="I579" s="2" t="s">
        <v>267</v>
      </c>
      <c r="J579" s="2">
        <v>424</v>
      </c>
      <c r="K579" s="2" t="s">
        <v>2476</v>
      </c>
      <c r="L579" s="2" t="s">
        <v>2477</v>
      </c>
      <c r="M579" s="3">
        <v>40226</v>
      </c>
      <c r="N579" s="2" t="s">
        <v>2478</v>
      </c>
      <c r="O579" s="2" t="s">
        <v>2479</v>
      </c>
      <c r="P579" s="2">
        <v>16419</v>
      </c>
      <c r="Q579" s="2" t="str">
        <f>"S/D"</f>
        <v>S/D</v>
      </c>
      <c r="R579" s="2" t="s">
        <v>107</v>
      </c>
      <c r="S579" s="2" t="s">
        <v>107</v>
      </c>
      <c r="T579" s="2">
        <v>1</v>
      </c>
      <c r="U579" s="2" t="s">
        <v>79</v>
      </c>
      <c r="V579" s="2">
        <v>1</v>
      </c>
      <c r="W579" s="2" t="s">
        <v>80</v>
      </c>
      <c r="X579" s="2">
        <v>2</v>
      </c>
      <c r="Y579" s="2" t="s">
        <v>136</v>
      </c>
      <c r="Z579" s="2">
        <v>1</v>
      </c>
      <c r="AA579" s="2" t="s">
        <v>82</v>
      </c>
      <c r="AB579" s="2">
        <v>9</v>
      </c>
      <c r="AC579" s="2" t="s">
        <v>124</v>
      </c>
      <c r="AD579" s="3">
        <v>40226</v>
      </c>
      <c r="AE579" s="4">
        <v>0.38541666666666669</v>
      </c>
      <c r="AF579" s="2"/>
      <c r="AG579" s="2"/>
      <c r="AH579" s="2">
        <v>7</v>
      </c>
      <c r="AI579" s="2" t="s">
        <v>801</v>
      </c>
      <c r="AJ579" s="2">
        <v>3</v>
      </c>
      <c r="AK579" s="2" t="s">
        <v>802</v>
      </c>
      <c r="AL579" s="2">
        <v>18</v>
      </c>
      <c r="AM579" s="2" t="s">
        <v>82</v>
      </c>
      <c r="AN579" s="2" t="s">
        <v>107</v>
      </c>
      <c r="AO579" s="2" t="s">
        <v>2480</v>
      </c>
      <c r="AP579" s="2">
        <v>11</v>
      </c>
      <c r="AQ579" s="2" t="s">
        <v>82</v>
      </c>
      <c r="AR579" s="2"/>
      <c r="AS579" s="2"/>
      <c r="AT579" s="2" t="s">
        <v>2481</v>
      </c>
      <c r="AU579" s="2">
        <v>2</v>
      </c>
      <c r="AV579" s="2"/>
      <c r="AW579" s="2"/>
      <c r="AX579" s="2"/>
      <c r="AY579" s="2">
        <v>41</v>
      </c>
      <c r="AZ579" s="2" t="s">
        <v>82</v>
      </c>
      <c r="BA579" s="2">
        <v>41</v>
      </c>
      <c r="BB579" s="2" t="s">
        <v>82</v>
      </c>
      <c r="BC579" s="2">
        <v>41</v>
      </c>
      <c r="BD579" s="2" t="s">
        <v>82</v>
      </c>
      <c r="BE579" s="2">
        <v>1</v>
      </c>
      <c r="BF579" s="2" t="s">
        <v>107</v>
      </c>
      <c r="BG579" s="2"/>
      <c r="BH579" s="2"/>
      <c r="BI579" s="2"/>
      <c r="BJ579" s="2">
        <v>241</v>
      </c>
      <c r="BK579" s="2" t="s">
        <v>82</v>
      </c>
      <c r="BL579" s="2"/>
      <c r="BM579" s="2">
        <v>241</v>
      </c>
      <c r="BN579" s="2" t="s">
        <v>82</v>
      </c>
      <c r="BO579" s="2"/>
      <c r="BP579" s="2">
        <v>242</v>
      </c>
      <c r="BQ579" s="2" t="s">
        <v>107</v>
      </c>
      <c r="BR579" s="2"/>
      <c r="BS579" s="3">
        <v>40226</v>
      </c>
      <c r="BT579" s="4">
        <v>0.58297453703703705</v>
      </c>
    </row>
    <row r="580" spans="1:72" x14ac:dyDescent="0.25">
      <c r="A580" s="2">
        <v>909</v>
      </c>
      <c r="B580" s="2">
        <v>2010</v>
      </c>
      <c r="C580" s="2" t="s">
        <v>625</v>
      </c>
      <c r="D580" s="2" t="s">
        <v>73</v>
      </c>
      <c r="E580" s="2"/>
      <c r="F580" s="2">
        <v>35</v>
      </c>
      <c r="G580" s="2" t="s">
        <v>2057</v>
      </c>
      <c r="H580" s="2">
        <v>55</v>
      </c>
      <c r="I580" s="2" t="s">
        <v>2058</v>
      </c>
      <c r="J580" s="2">
        <v>43</v>
      </c>
      <c r="K580" s="2" t="s">
        <v>2059</v>
      </c>
      <c r="L580" s="2" t="s">
        <v>2060</v>
      </c>
      <c r="M580" s="3">
        <v>40226</v>
      </c>
      <c r="N580" s="2" t="s">
        <v>2482</v>
      </c>
      <c r="O580" s="2" t="s">
        <v>2483</v>
      </c>
      <c r="P580" s="2" t="s">
        <v>2484</v>
      </c>
      <c r="Q580" s="2" t="str">
        <f>"09/10"</f>
        <v>09/10</v>
      </c>
      <c r="R580" s="2"/>
      <c r="S580" s="2" t="s">
        <v>2485</v>
      </c>
      <c r="T580" s="2">
        <v>1</v>
      </c>
      <c r="U580" s="2" t="s">
        <v>79</v>
      </c>
      <c r="V580" s="2">
        <v>1</v>
      </c>
      <c r="W580" s="2" t="s">
        <v>80</v>
      </c>
      <c r="X580" s="2">
        <v>5</v>
      </c>
      <c r="Y580" s="2" t="s">
        <v>82</v>
      </c>
      <c r="Z580" s="2">
        <v>1</v>
      </c>
      <c r="AA580" s="2" t="s">
        <v>82</v>
      </c>
      <c r="AB580" s="2">
        <v>9</v>
      </c>
      <c r="AC580" s="2" t="s">
        <v>124</v>
      </c>
      <c r="AD580" s="3">
        <v>40226</v>
      </c>
      <c r="AE580" s="4">
        <v>0.54166666666666663</v>
      </c>
      <c r="AF580" s="2"/>
      <c r="AG580" s="2"/>
      <c r="AH580" s="2">
        <v>3</v>
      </c>
      <c r="AI580" s="2" t="s">
        <v>214</v>
      </c>
      <c r="AJ580" s="2">
        <v>17</v>
      </c>
      <c r="AK580" s="2" t="s">
        <v>309</v>
      </c>
      <c r="AL580" s="2">
        <v>18</v>
      </c>
      <c r="AM580" s="2" t="s">
        <v>82</v>
      </c>
      <c r="AN580" s="2"/>
      <c r="AO580" s="2" t="s">
        <v>2486</v>
      </c>
      <c r="AP580" s="2">
        <v>11</v>
      </c>
      <c r="AQ580" s="2" t="s">
        <v>82</v>
      </c>
      <c r="AR580" s="2"/>
      <c r="AS580" s="2"/>
      <c r="AT580" s="2" t="s">
        <v>2487</v>
      </c>
      <c r="AU580" s="2"/>
      <c r="AV580" s="2"/>
      <c r="AW580" s="2"/>
      <c r="AX580" s="2"/>
      <c r="AY580" s="2">
        <v>42</v>
      </c>
      <c r="AZ580" s="2" t="s">
        <v>182</v>
      </c>
      <c r="BA580" s="2">
        <v>42</v>
      </c>
      <c r="BB580" s="2" t="s">
        <v>182</v>
      </c>
      <c r="BC580" s="2">
        <v>42</v>
      </c>
      <c r="BD580" s="2" t="s">
        <v>182</v>
      </c>
      <c r="BE580" s="2">
        <v>41</v>
      </c>
      <c r="BF580" s="2" t="s">
        <v>82</v>
      </c>
      <c r="BG580" s="2"/>
      <c r="BH580" s="2"/>
      <c r="BI580" s="2"/>
      <c r="BJ580" s="2">
        <v>241</v>
      </c>
      <c r="BK580" s="2" t="s">
        <v>82</v>
      </c>
      <c r="BL580" s="2"/>
      <c r="BM580" s="2">
        <v>241</v>
      </c>
      <c r="BN580" s="2" t="s">
        <v>82</v>
      </c>
      <c r="BO580" s="2"/>
      <c r="BP580" s="2">
        <v>241</v>
      </c>
      <c r="BQ580" s="2" t="s">
        <v>82</v>
      </c>
      <c r="BR580" s="2"/>
      <c r="BS580" s="3">
        <v>40226</v>
      </c>
      <c r="BT580" s="4">
        <v>0.59763888888888894</v>
      </c>
    </row>
    <row r="581" spans="1:72" x14ac:dyDescent="0.25">
      <c r="A581" s="2">
        <v>909</v>
      </c>
      <c r="B581" s="2">
        <v>2010</v>
      </c>
      <c r="C581" s="2" t="s">
        <v>806</v>
      </c>
      <c r="D581" s="2" t="s">
        <v>73</v>
      </c>
      <c r="E581" s="2"/>
      <c r="F581" s="2">
        <v>35</v>
      </c>
      <c r="G581" s="2" t="s">
        <v>2057</v>
      </c>
      <c r="H581" s="2">
        <v>55</v>
      </c>
      <c r="I581" s="2" t="s">
        <v>2058</v>
      </c>
      <c r="J581" s="2">
        <v>43</v>
      </c>
      <c r="K581" s="2" t="s">
        <v>2059</v>
      </c>
      <c r="L581" s="2" t="s">
        <v>2060</v>
      </c>
      <c r="M581" s="3">
        <v>40226</v>
      </c>
      <c r="N581" s="2" t="s">
        <v>2482</v>
      </c>
      <c r="O581" s="2" t="s">
        <v>2483</v>
      </c>
      <c r="P581" s="2" t="s">
        <v>2484</v>
      </c>
      <c r="Q581" s="2" t="str">
        <f>"09/10"</f>
        <v>09/10</v>
      </c>
      <c r="R581" s="2"/>
      <c r="S581" s="2" t="s">
        <v>2485</v>
      </c>
      <c r="T581" s="2">
        <v>1</v>
      </c>
      <c r="U581" s="2" t="s">
        <v>79</v>
      </c>
      <c r="V581" s="2">
        <v>1</v>
      </c>
      <c r="W581" s="2" t="s">
        <v>80</v>
      </c>
      <c r="X581" s="2">
        <v>5</v>
      </c>
      <c r="Y581" s="2" t="s">
        <v>82</v>
      </c>
      <c r="Z581" s="2">
        <v>1</v>
      </c>
      <c r="AA581" s="2" t="s">
        <v>82</v>
      </c>
      <c r="AB581" s="2">
        <v>9</v>
      </c>
      <c r="AC581" s="2" t="s">
        <v>124</v>
      </c>
      <c r="AD581" s="3">
        <v>40226</v>
      </c>
      <c r="AE581" s="4">
        <v>0.54166666666666663</v>
      </c>
      <c r="AF581" s="2"/>
      <c r="AG581" s="2"/>
      <c r="AH581" s="2">
        <v>3</v>
      </c>
      <c r="AI581" s="2" t="s">
        <v>214</v>
      </c>
      <c r="AJ581" s="2">
        <v>17</v>
      </c>
      <c r="AK581" s="2" t="s">
        <v>309</v>
      </c>
      <c r="AL581" s="2">
        <v>18</v>
      </c>
      <c r="AM581" s="2" t="s">
        <v>82</v>
      </c>
      <c r="AN581" s="2"/>
      <c r="AO581" s="2" t="s">
        <v>2486</v>
      </c>
      <c r="AP581" s="2">
        <v>11</v>
      </c>
      <c r="AQ581" s="2" t="s">
        <v>82</v>
      </c>
      <c r="AR581" s="2"/>
      <c r="AS581" s="2"/>
      <c r="AT581" s="2" t="s">
        <v>2487</v>
      </c>
      <c r="AU581" s="2"/>
      <c r="AV581" s="2"/>
      <c r="AW581" s="2"/>
      <c r="AX581" s="2"/>
      <c r="AY581" s="2">
        <v>42</v>
      </c>
      <c r="AZ581" s="2" t="s">
        <v>182</v>
      </c>
      <c r="BA581" s="2">
        <v>42</v>
      </c>
      <c r="BB581" s="2" t="s">
        <v>182</v>
      </c>
      <c r="BC581" s="2">
        <v>42</v>
      </c>
      <c r="BD581" s="2" t="s">
        <v>182</v>
      </c>
      <c r="BE581" s="2">
        <v>41</v>
      </c>
      <c r="BF581" s="2" t="s">
        <v>82</v>
      </c>
      <c r="BG581" s="2"/>
      <c r="BH581" s="2"/>
      <c r="BI581" s="2"/>
      <c r="BJ581" s="2">
        <v>241</v>
      </c>
      <c r="BK581" s="2" t="s">
        <v>82</v>
      </c>
      <c r="BL581" s="2"/>
      <c r="BM581" s="2">
        <v>241</v>
      </c>
      <c r="BN581" s="2" t="s">
        <v>82</v>
      </c>
      <c r="BO581" s="2"/>
      <c r="BP581" s="2">
        <v>241</v>
      </c>
      <c r="BQ581" s="2" t="s">
        <v>82</v>
      </c>
      <c r="BR581" s="2"/>
      <c r="BS581" s="3">
        <v>40226</v>
      </c>
      <c r="BT581" s="4">
        <v>0.59763888888888894</v>
      </c>
    </row>
    <row r="582" spans="1:72" x14ac:dyDescent="0.25">
      <c r="A582" s="2">
        <v>910</v>
      </c>
      <c r="B582" s="2">
        <v>2010</v>
      </c>
      <c r="C582" s="2" t="s">
        <v>625</v>
      </c>
      <c r="D582" s="2" t="s">
        <v>73</v>
      </c>
      <c r="E582" s="2"/>
      <c r="F582" s="2">
        <v>507</v>
      </c>
      <c r="G582" s="2" t="s">
        <v>2475</v>
      </c>
      <c r="H582" s="2">
        <v>2</v>
      </c>
      <c r="I582" s="2" t="s">
        <v>267</v>
      </c>
      <c r="J582" s="2">
        <v>424</v>
      </c>
      <c r="K582" s="2" t="s">
        <v>2476</v>
      </c>
      <c r="L582" s="2" t="s">
        <v>2477</v>
      </c>
      <c r="M582" s="3">
        <v>40226</v>
      </c>
      <c r="N582" s="2" t="s">
        <v>2478</v>
      </c>
      <c r="O582" s="2" t="s">
        <v>2479</v>
      </c>
      <c r="P582" s="2">
        <v>16419</v>
      </c>
      <c r="Q582" s="2" t="str">
        <f>"S/D"</f>
        <v>S/D</v>
      </c>
      <c r="R582" s="2" t="s">
        <v>107</v>
      </c>
      <c r="S582" s="2"/>
      <c r="T582" s="2">
        <v>1</v>
      </c>
      <c r="U582" s="2" t="s">
        <v>79</v>
      </c>
      <c r="V582" s="2">
        <v>1</v>
      </c>
      <c r="W582" s="2" t="s">
        <v>80</v>
      </c>
      <c r="X582" s="2">
        <v>2</v>
      </c>
      <c r="Y582" s="2" t="s">
        <v>136</v>
      </c>
      <c r="Z582" s="2">
        <v>1</v>
      </c>
      <c r="AA582" s="2" t="s">
        <v>82</v>
      </c>
      <c r="AB582" s="2">
        <v>9</v>
      </c>
      <c r="AC582" s="2" t="s">
        <v>124</v>
      </c>
      <c r="AD582" s="3">
        <v>40226</v>
      </c>
      <c r="AE582" s="4">
        <v>0.3611111111111111</v>
      </c>
      <c r="AF582" s="2"/>
      <c r="AG582" s="2"/>
      <c r="AH582" s="2">
        <v>7</v>
      </c>
      <c r="AI582" s="2" t="s">
        <v>801</v>
      </c>
      <c r="AJ582" s="2">
        <v>3</v>
      </c>
      <c r="AK582" s="2" t="s">
        <v>802</v>
      </c>
      <c r="AL582" s="2">
        <v>19</v>
      </c>
      <c r="AM582" s="2" t="s">
        <v>107</v>
      </c>
      <c r="AN582" s="2" t="s">
        <v>107</v>
      </c>
      <c r="AO582" s="2" t="s">
        <v>2488</v>
      </c>
      <c r="AP582" s="2">
        <v>11</v>
      </c>
      <c r="AQ582" s="2" t="s">
        <v>82</v>
      </c>
      <c r="AR582" s="2"/>
      <c r="AS582" s="2"/>
      <c r="AT582" s="2" t="s">
        <v>2489</v>
      </c>
      <c r="AU582" s="2">
        <v>2</v>
      </c>
      <c r="AV582" s="2"/>
      <c r="AW582" s="2"/>
      <c r="AX582" s="2"/>
      <c r="AY582" s="2">
        <v>1</v>
      </c>
      <c r="AZ582" s="2" t="s">
        <v>107</v>
      </c>
      <c r="BA582" s="2">
        <v>41</v>
      </c>
      <c r="BB582" s="2" t="s">
        <v>82</v>
      </c>
      <c r="BC582" s="2">
        <v>1</v>
      </c>
      <c r="BD582" s="2" t="s">
        <v>107</v>
      </c>
      <c r="BE582" s="2">
        <v>1</v>
      </c>
      <c r="BF582" s="2" t="s">
        <v>107</v>
      </c>
      <c r="BG582" s="2"/>
      <c r="BH582" s="2"/>
      <c r="BI582" s="2"/>
      <c r="BJ582" s="2">
        <v>241</v>
      </c>
      <c r="BK582" s="2" t="s">
        <v>82</v>
      </c>
      <c r="BL582" s="2"/>
      <c r="BM582" s="2">
        <v>242</v>
      </c>
      <c r="BN582" s="2" t="s">
        <v>107</v>
      </c>
      <c r="BO582" s="2"/>
      <c r="BP582" s="2">
        <v>242</v>
      </c>
      <c r="BQ582" s="2" t="s">
        <v>107</v>
      </c>
      <c r="BR582" s="2"/>
      <c r="BS582" s="3">
        <v>40226</v>
      </c>
      <c r="BT582" s="4">
        <v>0.60631944444444441</v>
      </c>
    </row>
    <row r="583" spans="1:72" x14ac:dyDescent="0.25">
      <c r="A583" s="2">
        <v>910</v>
      </c>
      <c r="B583" s="2">
        <v>2010</v>
      </c>
      <c r="C583" s="2" t="s">
        <v>806</v>
      </c>
      <c r="D583" s="2" t="s">
        <v>73</v>
      </c>
      <c r="E583" s="2"/>
      <c r="F583" s="2">
        <v>507</v>
      </c>
      <c r="G583" s="2" t="s">
        <v>2475</v>
      </c>
      <c r="H583" s="2">
        <v>2</v>
      </c>
      <c r="I583" s="2" t="s">
        <v>267</v>
      </c>
      <c r="J583" s="2">
        <v>424</v>
      </c>
      <c r="K583" s="2" t="s">
        <v>2476</v>
      </c>
      <c r="L583" s="2" t="s">
        <v>2477</v>
      </c>
      <c r="M583" s="3">
        <v>40226</v>
      </c>
      <c r="N583" s="2" t="s">
        <v>2478</v>
      </c>
      <c r="O583" s="2" t="s">
        <v>2479</v>
      </c>
      <c r="P583" s="2">
        <v>16419</v>
      </c>
      <c r="Q583" s="2" t="str">
        <f>"S/D"</f>
        <v>S/D</v>
      </c>
      <c r="R583" s="2" t="s">
        <v>107</v>
      </c>
      <c r="S583" s="2"/>
      <c r="T583" s="2">
        <v>1</v>
      </c>
      <c r="U583" s="2" t="s">
        <v>79</v>
      </c>
      <c r="V583" s="2">
        <v>1</v>
      </c>
      <c r="W583" s="2" t="s">
        <v>80</v>
      </c>
      <c r="X583" s="2">
        <v>2</v>
      </c>
      <c r="Y583" s="2" t="s">
        <v>136</v>
      </c>
      <c r="Z583" s="2">
        <v>1</v>
      </c>
      <c r="AA583" s="2" t="s">
        <v>82</v>
      </c>
      <c r="AB583" s="2">
        <v>9</v>
      </c>
      <c r="AC583" s="2" t="s">
        <v>124</v>
      </c>
      <c r="AD583" s="3">
        <v>40226</v>
      </c>
      <c r="AE583" s="4">
        <v>0.3611111111111111</v>
      </c>
      <c r="AF583" s="2"/>
      <c r="AG583" s="2"/>
      <c r="AH583" s="2">
        <v>7</v>
      </c>
      <c r="AI583" s="2" t="s">
        <v>801</v>
      </c>
      <c r="AJ583" s="2">
        <v>3</v>
      </c>
      <c r="AK583" s="2" t="s">
        <v>802</v>
      </c>
      <c r="AL583" s="2">
        <v>19</v>
      </c>
      <c r="AM583" s="2" t="s">
        <v>107</v>
      </c>
      <c r="AN583" s="2" t="s">
        <v>107</v>
      </c>
      <c r="AO583" s="2" t="s">
        <v>2488</v>
      </c>
      <c r="AP583" s="2">
        <v>11</v>
      </c>
      <c r="AQ583" s="2" t="s">
        <v>82</v>
      </c>
      <c r="AR583" s="2"/>
      <c r="AS583" s="2"/>
      <c r="AT583" s="2" t="s">
        <v>2489</v>
      </c>
      <c r="AU583" s="2">
        <v>2</v>
      </c>
      <c r="AV583" s="2"/>
      <c r="AW583" s="2"/>
      <c r="AX583" s="2"/>
      <c r="AY583" s="2">
        <v>1</v>
      </c>
      <c r="AZ583" s="2" t="s">
        <v>107</v>
      </c>
      <c r="BA583" s="2">
        <v>41</v>
      </c>
      <c r="BB583" s="2" t="s">
        <v>82</v>
      </c>
      <c r="BC583" s="2">
        <v>1</v>
      </c>
      <c r="BD583" s="2" t="s">
        <v>107</v>
      </c>
      <c r="BE583" s="2">
        <v>1</v>
      </c>
      <c r="BF583" s="2" t="s">
        <v>107</v>
      </c>
      <c r="BG583" s="2"/>
      <c r="BH583" s="2"/>
      <c r="BI583" s="2"/>
      <c r="BJ583" s="2">
        <v>241</v>
      </c>
      <c r="BK583" s="2" t="s">
        <v>82</v>
      </c>
      <c r="BL583" s="2"/>
      <c r="BM583" s="2">
        <v>242</v>
      </c>
      <c r="BN583" s="2" t="s">
        <v>107</v>
      </c>
      <c r="BO583" s="2"/>
      <c r="BP583" s="2">
        <v>242</v>
      </c>
      <c r="BQ583" s="2" t="s">
        <v>107</v>
      </c>
      <c r="BR583" s="2"/>
      <c r="BS583" s="3">
        <v>40226</v>
      </c>
      <c r="BT583" s="4">
        <v>0.60631944444444441</v>
      </c>
    </row>
    <row r="584" spans="1:72" x14ac:dyDescent="0.25">
      <c r="A584" s="2">
        <v>912</v>
      </c>
      <c r="B584" s="2">
        <v>2010</v>
      </c>
      <c r="C584" s="2" t="s">
        <v>171</v>
      </c>
      <c r="D584" s="2" t="s">
        <v>73</v>
      </c>
      <c r="E584" s="2"/>
      <c r="F584" s="2">
        <v>425</v>
      </c>
      <c r="G584" s="2" t="s">
        <v>286</v>
      </c>
      <c r="H584" s="2">
        <v>39</v>
      </c>
      <c r="I584" s="2" t="s">
        <v>1117</v>
      </c>
      <c r="J584" s="2">
        <v>310</v>
      </c>
      <c r="K584" s="2" t="s">
        <v>288</v>
      </c>
      <c r="L584" s="2" t="s">
        <v>289</v>
      </c>
      <c r="M584" s="3">
        <v>40226</v>
      </c>
      <c r="N584" s="2" t="s">
        <v>1943</v>
      </c>
      <c r="O584" s="2" t="s">
        <v>2490</v>
      </c>
      <c r="P584" s="2" t="s">
        <v>2491</v>
      </c>
      <c r="Q584" s="2" t="str">
        <f>"053/09"</f>
        <v>053/09</v>
      </c>
      <c r="R584" s="2"/>
      <c r="S584" s="2" t="s">
        <v>2492</v>
      </c>
      <c r="T584" s="2">
        <v>1</v>
      </c>
      <c r="U584" s="2" t="s">
        <v>79</v>
      </c>
      <c r="V584" s="2">
        <v>1</v>
      </c>
      <c r="W584" s="2" t="s">
        <v>80</v>
      </c>
      <c r="X584" s="2">
        <v>1</v>
      </c>
      <c r="Y584" s="2" t="s">
        <v>81</v>
      </c>
      <c r="Z584" s="2">
        <v>10</v>
      </c>
      <c r="AA584" s="2" t="s">
        <v>236</v>
      </c>
      <c r="AB584" s="2">
        <v>1</v>
      </c>
      <c r="AC584" s="2" t="s">
        <v>178</v>
      </c>
      <c r="AD584" s="3">
        <v>40226</v>
      </c>
      <c r="AE584" s="4">
        <v>0.55555555555555558</v>
      </c>
      <c r="AF584" s="2"/>
      <c r="AG584" s="2"/>
      <c r="AH584" s="2">
        <v>4</v>
      </c>
      <c r="AI584" s="2" t="s">
        <v>125</v>
      </c>
      <c r="AJ584" s="2">
        <v>29</v>
      </c>
      <c r="AK584" s="2" t="s">
        <v>227</v>
      </c>
      <c r="AL584" s="2">
        <v>10</v>
      </c>
      <c r="AM584" s="2" t="s">
        <v>200</v>
      </c>
      <c r="AN584" s="2" t="s">
        <v>883</v>
      </c>
      <c r="AO584" s="2"/>
      <c r="AP584" s="2">
        <v>12</v>
      </c>
      <c r="AQ584" s="2" t="s">
        <v>322</v>
      </c>
      <c r="AR584" s="2" t="s">
        <v>824</v>
      </c>
      <c r="AS584" s="2" t="s">
        <v>825</v>
      </c>
      <c r="AT584" s="2" t="s">
        <v>2493</v>
      </c>
      <c r="AU584" s="2"/>
      <c r="AV584" s="2"/>
      <c r="AW584" s="2"/>
      <c r="AX584" s="2"/>
      <c r="AY584" s="2">
        <v>41</v>
      </c>
      <c r="AZ584" s="2" t="s">
        <v>82</v>
      </c>
      <c r="BA584" s="2">
        <v>41</v>
      </c>
      <c r="BB584" s="2" t="s">
        <v>82</v>
      </c>
      <c r="BC584" s="2">
        <v>41</v>
      </c>
      <c r="BD584" s="2" t="s">
        <v>82</v>
      </c>
      <c r="BE584" s="2">
        <v>47</v>
      </c>
      <c r="BF584" s="2" t="s">
        <v>167</v>
      </c>
      <c r="BG584" s="2">
        <v>2459</v>
      </c>
      <c r="BH584" s="4">
        <v>0.85763888888888884</v>
      </c>
      <c r="BI584" s="4">
        <v>0.88194444444444453</v>
      </c>
      <c r="BJ584" s="2">
        <v>13</v>
      </c>
      <c r="BK584" s="2" t="s">
        <v>91</v>
      </c>
      <c r="BL584" s="2" t="s">
        <v>828</v>
      </c>
      <c r="BM584" s="2">
        <v>241</v>
      </c>
      <c r="BN584" s="2" t="s">
        <v>82</v>
      </c>
      <c r="BO584" s="2"/>
      <c r="BP584" s="2">
        <v>13</v>
      </c>
      <c r="BQ584" s="2" t="s">
        <v>91</v>
      </c>
      <c r="BR584" s="2" t="s">
        <v>185</v>
      </c>
      <c r="BS584" s="3">
        <v>40226</v>
      </c>
      <c r="BT584" s="4">
        <v>0.63503472222222224</v>
      </c>
    </row>
    <row r="585" spans="1:72" x14ac:dyDescent="0.25">
      <c r="A585" s="2">
        <v>913</v>
      </c>
      <c r="B585" s="2">
        <v>2010</v>
      </c>
      <c r="C585" s="2" t="s">
        <v>128</v>
      </c>
      <c r="D585" s="2" t="s">
        <v>73</v>
      </c>
      <c r="E585" s="2"/>
      <c r="F585" s="2">
        <v>12</v>
      </c>
      <c r="G585" s="2" t="s">
        <v>2494</v>
      </c>
      <c r="H585" s="2">
        <v>2</v>
      </c>
      <c r="I585" s="2" t="s">
        <v>267</v>
      </c>
      <c r="J585" s="2">
        <v>18</v>
      </c>
      <c r="K585" s="2" t="s">
        <v>365</v>
      </c>
      <c r="L585" s="2" t="s">
        <v>115</v>
      </c>
      <c r="M585" s="3">
        <v>40226</v>
      </c>
      <c r="N585" s="2" t="s">
        <v>2495</v>
      </c>
      <c r="O585" s="2" t="s">
        <v>2496</v>
      </c>
      <c r="P585" s="2" t="s">
        <v>2452</v>
      </c>
      <c r="Q585" s="2" t="str">
        <f>"P-17-09"</f>
        <v>P-17-09</v>
      </c>
      <c r="R585" s="2" t="s">
        <v>82</v>
      </c>
      <c r="S585" s="2" t="s">
        <v>2496</v>
      </c>
      <c r="T585" s="2">
        <v>1</v>
      </c>
      <c r="U585" s="2" t="s">
        <v>79</v>
      </c>
      <c r="V585" s="2">
        <v>3</v>
      </c>
      <c r="W585" s="2" t="s">
        <v>225</v>
      </c>
      <c r="X585" s="2">
        <v>2</v>
      </c>
      <c r="Y585" s="2" t="s">
        <v>136</v>
      </c>
      <c r="Z585" s="2">
        <v>1</v>
      </c>
      <c r="AA585" s="2" t="s">
        <v>82</v>
      </c>
      <c r="AB585" s="2">
        <v>9</v>
      </c>
      <c r="AC585" s="2" t="s">
        <v>124</v>
      </c>
      <c r="AD585" s="3">
        <v>40226</v>
      </c>
      <c r="AE585" s="4">
        <v>0.66666666666666663</v>
      </c>
      <c r="AF585" s="2"/>
      <c r="AG585" s="2"/>
      <c r="AH585" s="2">
        <v>5</v>
      </c>
      <c r="AI585" s="2" t="s">
        <v>274</v>
      </c>
      <c r="AJ585" s="2">
        <v>35</v>
      </c>
      <c r="AK585" s="2" t="s">
        <v>275</v>
      </c>
      <c r="AL585" s="2">
        <v>23</v>
      </c>
      <c r="AM585" s="2" t="s">
        <v>251</v>
      </c>
      <c r="AN585" s="2" t="s">
        <v>2497</v>
      </c>
      <c r="AO585" s="2" t="s">
        <v>2498</v>
      </c>
      <c r="AP585" s="2">
        <v>11</v>
      </c>
      <c r="AQ585" s="2" t="s">
        <v>82</v>
      </c>
      <c r="AR585" s="2"/>
      <c r="AS585" s="2"/>
      <c r="AT585" s="2" t="s">
        <v>2499</v>
      </c>
      <c r="AU585" s="2"/>
      <c r="AV585" s="2"/>
      <c r="AW585" s="2"/>
      <c r="AX585" s="2"/>
      <c r="AY585" s="2">
        <v>41</v>
      </c>
      <c r="AZ585" s="2" t="s">
        <v>82</v>
      </c>
      <c r="BA585" s="2">
        <v>41</v>
      </c>
      <c r="BB585" s="2" t="s">
        <v>82</v>
      </c>
      <c r="BC585" s="2">
        <v>41</v>
      </c>
      <c r="BD585" s="2" t="s">
        <v>82</v>
      </c>
      <c r="BE585" s="2">
        <v>41</v>
      </c>
      <c r="BF585" s="2" t="s">
        <v>82</v>
      </c>
      <c r="BG585" s="2"/>
      <c r="BH585" s="2"/>
      <c r="BI585" s="2"/>
      <c r="BJ585" s="2">
        <v>241</v>
      </c>
      <c r="BK585" s="2" t="s">
        <v>82</v>
      </c>
      <c r="BL585" s="2"/>
      <c r="BM585" s="2">
        <v>241</v>
      </c>
      <c r="BN585" s="2" t="s">
        <v>82</v>
      </c>
      <c r="BO585" s="2"/>
      <c r="BP585" s="2">
        <v>241</v>
      </c>
      <c r="BQ585" s="2" t="s">
        <v>82</v>
      </c>
      <c r="BR585" s="2"/>
      <c r="BS585" s="3">
        <v>40226</v>
      </c>
      <c r="BT585" s="4">
        <v>0.64212962962962961</v>
      </c>
    </row>
    <row r="586" spans="1:72" x14ac:dyDescent="0.25">
      <c r="A586" s="2">
        <v>917</v>
      </c>
      <c r="B586" s="2">
        <v>2010</v>
      </c>
      <c r="C586" s="2" t="s">
        <v>594</v>
      </c>
      <c r="D586" s="2" t="s">
        <v>122</v>
      </c>
      <c r="E586" s="2"/>
      <c r="F586" s="2">
        <v>1</v>
      </c>
      <c r="G586" s="2" t="s">
        <v>82</v>
      </c>
      <c r="H586" s="2">
        <v>1</v>
      </c>
      <c r="I586" s="2" t="s">
        <v>82</v>
      </c>
      <c r="J586" s="2">
        <v>1</v>
      </c>
      <c r="K586" s="2" t="s">
        <v>107</v>
      </c>
      <c r="L586" s="2" t="s">
        <v>107</v>
      </c>
      <c r="M586" s="3">
        <v>40226</v>
      </c>
      <c r="N586" s="2"/>
      <c r="O586" s="2"/>
      <c r="P586" s="2"/>
      <c r="Q586" s="2" t="str">
        <f>""</f>
        <v/>
      </c>
      <c r="R586" s="2"/>
      <c r="S586" s="2"/>
      <c r="T586" s="2">
        <v>1</v>
      </c>
      <c r="U586" s="2" t="s">
        <v>79</v>
      </c>
      <c r="V586" s="2">
        <v>1</v>
      </c>
      <c r="W586" s="2" t="s">
        <v>80</v>
      </c>
      <c r="X586" s="2">
        <v>1</v>
      </c>
      <c r="Y586" s="2" t="s">
        <v>81</v>
      </c>
      <c r="Z586" s="2">
        <v>1</v>
      </c>
      <c r="AA586" s="2" t="s">
        <v>82</v>
      </c>
      <c r="AB586" s="2">
        <v>9</v>
      </c>
      <c r="AC586" s="2" t="s">
        <v>124</v>
      </c>
      <c r="AD586" s="3">
        <v>40226</v>
      </c>
      <c r="AE586" s="4">
        <v>0.72430555555555554</v>
      </c>
      <c r="AF586" s="2"/>
      <c r="AG586" s="2"/>
      <c r="AH586" s="2">
        <v>6</v>
      </c>
      <c r="AI586" s="2" t="s">
        <v>197</v>
      </c>
      <c r="AJ586" s="2">
        <v>54</v>
      </c>
      <c r="AK586" s="2" t="s">
        <v>348</v>
      </c>
      <c r="AL586" s="2">
        <v>18</v>
      </c>
      <c r="AM586" s="2" t="s">
        <v>82</v>
      </c>
      <c r="AN586" s="2" t="s">
        <v>595</v>
      </c>
      <c r="AO586" s="2" t="s">
        <v>200</v>
      </c>
      <c r="AP586" s="2">
        <v>12</v>
      </c>
      <c r="AQ586" s="2" t="s">
        <v>322</v>
      </c>
      <c r="AR586" s="2" t="s">
        <v>596</v>
      </c>
      <c r="AS586" s="2" t="s">
        <v>596</v>
      </c>
      <c r="AT586" s="2" t="s">
        <v>2500</v>
      </c>
      <c r="AU586" s="2"/>
      <c r="AV586" s="2"/>
      <c r="AW586" s="2"/>
      <c r="AX586" s="2"/>
      <c r="AY586" s="2">
        <v>1</v>
      </c>
      <c r="AZ586" s="2" t="s">
        <v>107</v>
      </c>
      <c r="BA586" s="2">
        <v>1</v>
      </c>
      <c r="BB586" s="2" t="s">
        <v>107</v>
      </c>
      <c r="BC586" s="2">
        <v>1</v>
      </c>
      <c r="BD586" s="2" t="s">
        <v>107</v>
      </c>
      <c r="BE586" s="2">
        <v>13</v>
      </c>
      <c r="BF586" s="2" t="s">
        <v>108</v>
      </c>
      <c r="BG586" s="2" t="s">
        <v>814</v>
      </c>
      <c r="BH586" s="4">
        <v>0.6875</v>
      </c>
      <c r="BI586" s="4">
        <v>0.72430555555555554</v>
      </c>
      <c r="BJ586" s="2">
        <v>13</v>
      </c>
      <c r="BK586" s="2" t="s">
        <v>91</v>
      </c>
      <c r="BL586" s="2" t="s">
        <v>2167</v>
      </c>
      <c r="BM586" s="2">
        <v>242</v>
      </c>
      <c r="BN586" s="2" t="s">
        <v>107</v>
      </c>
      <c r="BO586" s="2"/>
      <c r="BP586" s="2">
        <v>13</v>
      </c>
      <c r="BQ586" s="2" t="s">
        <v>91</v>
      </c>
      <c r="BR586" s="2" t="s">
        <v>2168</v>
      </c>
      <c r="BS586" s="3">
        <v>40226</v>
      </c>
      <c r="BT586" s="4">
        <v>0.74010416666666667</v>
      </c>
    </row>
    <row r="587" spans="1:72" x14ac:dyDescent="0.25">
      <c r="A587" s="2">
        <v>919</v>
      </c>
      <c r="B587" s="2">
        <v>2010</v>
      </c>
      <c r="C587" s="2" t="s">
        <v>409</v>
      </c>
      <c r="D587" s="2" t="s">
        <v>73</v>
      </c>
      <c r="E587" s="2"/>
      <c r="F587" s="2">
        <v>121</v>
      </c>
      <c r="G587" s="2" t="s">
        <v>2501</v>
      </c>
      <c r="H587" s="2">
        <v>38</v>
      </c>
      <c r="I587" s="2" t="s">
        <v>1272</v>
      </c>
      <c r="J587" s="2">
        <v>135</v>
      </c>
      <c r="K587" s="2" t="s">
        <v>2502</v>
      </c>
      <c r="L587" s="2" t="s">
        <v>2503</v>
      </c>
      <c r="M587" s="3">
        <v>40226</v>
      </c>
      <c r="N587" s="2" t="s">
        <v>2504</v>
      </c>
      <c r="O587" s="2" t="s">
        <v>2505</v>
      </c>
      <c r="P587" s="2" t="s">
        <v>2506</v>
      </c>
      <c r="Q587" s="2" t="str">
        <f>"N/C"</f>
        <v>N/C</v>
      </c>
      <c r="R587" s="2" t="s">
        <v>82</v>
      </c>
      <c r="S587" s="2" t="s">
        <v>82</v>
      </c>
      <c r="T587" s="2">
        <v>1</v>
      </c>
      <c r="U587" s="2" t="s">
        <v>79</v>
      </c>
      <c r="V587" s="2">
        <v>1</v>
      </c>
      <c r="W587" s="2" t="s">
        <v>80</v>
      </c>
      <c r="X587" s="2">
        <v>5</v>
      </c>
      <c r="Y587" s="2" t="s">
        <v>82</v>
      </c>
      <c r="Z587" s="2">
        <v>1</v>
      </c>
      <c r="AA587" s="2" t="s">
        <v>82</v>
      </c>
      <c r="AB587" s="2">
        <v>9</v>
      </c>
      <c r="AC587" s="2" t="s">
        <v>124</v>
      </c>
      <c r="AD587" s="3">
        <v>40226</v>
      </c>
      <c r="AE587" s="4">
        <v>0.5</v>
      </c>
      <c r="AF587" s="2"/>
      <c r="AG587" s="2"/>
      <c r="AH587" s="2">
        <v>6</v>
      </c>
      <c r="AI587" s="2" t="s">
        <v>197</v>
      </c>
      <c r="AJ587" s="2">
        <v>58</v>
      </c>
      <c r="AK587" s="2" t="s">
        <v>406</v>
      </c>
      <c r="AL587" s="2">
        <v>18</v>
      </c>
      <c r="AM587" s="2" t="s">
        <v>82</v>
      </c>
      <c r="AN587" s="2"/>
      <c r="AO587" s="2"/>
      <c r="AP587" s="2">
        <v>11</v>
      </c>
      <c r="AQ587" s="2" t="s">
        <v>82</v>
      </c>
      <c r="AR587" s="2"/>
      <c r="AS587" s="2"/>
      <c r="AT587" s="2" t="s">
        <v>2507</v>
      </c>
      <c r="AU587" s="2"/>
      <c r="AV587" s="2"/>
      <c r="AW587" s="2"/>
      <c r="AX587" s="2"/>
      <c r="AY587" s="2">
        <v>1</v>
      </c>
      <c r="AZ587" s="2" t="s">
        <v>107</v>
      </c>
      <c r="BA587" s="2">
        <v>1</v>
      </c>
      <c r="BB587" s="2" t="s">
        <v>107</v>
      </c>
      <c r="BC587" s="2">
        <v>1</v>
      </c>
      <c r="BD587" s="2" t="s">
        <v>107</v>
      </c>
      <c r="BE587" s="2">
        <v>1</v>
      </c>
      <c r="BF587" s="2" t="s">
        <v>107</v>
      </c>
      <c r="BG587" s="2"/>
      <c r="BH587" s="2"/>
      <c r="BI587" s="2"/>
      <c r="BJ587" s="2">
        <v>242</v>
      </c>
      <c r="BK587" s="2" t="s">
        <v>107</v>
      </c>
      <c r="BL587" s="2"/>
      <c r="BM587" s="2">
        <v>242</v>
      </c>
      <c r="BN587" s="2" t="s">
        <v>107</v>
      </c>
      <c r="BO587" s="2"/>
      <c r="BP587" s="2">
        <v>242</v>
      </c>
      <c r="BQ587" s="2" t="s">
        <v>107</v>
      </c>
      <c r="BR587" s="2"/>
      <c r="BS587" s="3">
        <v>40226</v>
      </c>
      <c r="BT587" s="4">
        <v>0.75818287037037047</v>
      </c>
    </row>
    <row r="588" spans="1:72" x14ac:dyDescent="0.25">
      <c r="A588" s="2">
        <v>920</v>
      </c>
      <c r="B588" s="2">
        <v>2010</v>
      </c>
      <c r="C588" s="2" t="s">
        <v>409</v>
      </c>
      <c r="D588" s="2" t="s">
        <v>73</v>
      </c>
      <c r="E588" s="2"/>
      <c r="F588" s="2">
        <v>318</v>
      </c>
      <c r="G588" s="2" t="s">
        <v>1018</v>
      </c>
      <c r="H588" s="2">
        <v>22</v>
      </c>
      <c r="I588" s="2" t="s">
        <v>75</v>
      </c>
      <c r="J588" s="2">
        <v>367</v>
      </c>
      <c r="K588" s="2" t="s">
        <v>1019</v>
      </c>
      <c r="L588" s="2" t="s">
        <v>1020</v>
      </c>
      <c r="M588" s="3">
        <v>40226</v>
      </c>
      <c r="N588" s="2" t="s">
        <v>2508</v>
      </c>
      <c r="O588" s="2" t="s">
        <v>2509</v>
      </c>
      <c r="P588" s="2" t="s">
        <v>2510</v>
      </c>
      <c r="Q588" s="2" t="str">
        <f>"0005/10"</f>
        <v>0005/10</v>
      </c>
      <c r="R588" s="2"/>
      <c r="S588" s="2"/>
      <c r="T588" s="2">
        <v>1</v>
      </c>
      <c r="U588" s="2" t="s">
        <v>79</v>
      </c>
      <c r="V588" s="2">
        <v>1</v>
      </c>
      <c r="W588" s="2" t="s">
        <v>80</v>
      </c>
      <c r="X588" s="2">
        <v>4</v>
      </c>
      <c r="Y588" s="2" t="s">
        <v>463</v>
      </c>
      <c r="Z588" s="2">
        <v>1</v>
      </c>
      <c r="AA588" s="2" t="s">
        <v>82</v>
      </c>
      <c r="AB588" s="2">
        <v>9</v>
      </c>
      <c r="AC588" s="2" t="s">
        <v>124</v>
      </c>
      <c r="AD588" s="3">
        <v>40226</v>
      </c>
      <c r="AE588" s="4">
        <v>0.57291666666666663</v>
      </c>
      <c r="AF588" s="2"/>
      <c r="AG588" s="2"/>
      <c r="AH588" s="2">
        <v>5</v>
      </c>
      <c r="AI588" s="2" t="s">
        <v>274</v>
      </c>
      <c r="AJ588" s="2">
        <v>44</v>
      </c>
      <c r="AK588" s="2" t="s">
        <v>667</v>
      </c>
      <c r="AL588" s="2">
        <v>18</v>
      </c>
      <c r="AM588" s="2" t="s">
        <v>82</v>
      </c>
      <c r="AN588" s="2" t="s">
        <v>2511</v>
      </c>
      <c r="AO588" s="2" t="s">
        <v>2512</v>
      </c>
      <c r="AP588" s="2">
        <v>11</v>
      </c>
      <c r="AQ588" s="2" t="s">
        <v>82</v>
      </c>
      <c r="AR588" s="2"/>
      <c r="AS588" s="2"/>
      <c r="AT588" s="2" t="s">
        <v>2513</v>
      </c>
      <c r="AU588" s="2"/>
      <c r="AV588" s="2"/>
      <c r="AW588" s="2"/>
      <c r="AX588" s="2"/>
      <c r="AY588" s="2">
        <v>41</v>
      </c>
      <c r="AZ588" s="2" t="s">
        <v>82</v>
      </c>
      <c r="BA588" s="2">
        <v>41</v>
      </c>
      <c r="BB588" s="2" t="s">
        <v>82</v>
      </c>
      <c r="BC588" s="2">
        <v>41</v>
      </c>
      <c r="BD588" s="2" t="s">
        <v>82</v>
      </c>
      <c r="BE588" s="2">
        <v>41</v>
      </c>
      <c r="BF588" s="2" t="s">
        <v>82</v>
      </c>
      <c r="BG588" s="2" t="s">
        <v>82</v>
      </c>
      <c r="BH588" s="2"/>
      <c r="BI588" s="2"/>
      <c r="BJ588" s="2">
        <v>241</v>
      </c>
      <c r="BK588" s="2" t="s">
        <v>82</v>
      </c>
      <c r="BL588" s="2"/>
      <c r="BM588" s="2">
        <v>241</v>
      </c>
      <c r="BN588" s="2" t="s">
        <v>82</v>
      </c>
      <c r="BO588" s="2"/>
      <c r="BP588" s="2">
        <v>241</v>
      </c>
      <c r="BQ588" s="2" t="s">
        <v>82</v>
      </c>
      <c r="BR588" s="2"/>
      <c r="BS588" s="3">
        <v>40226</v>
      </c>
      <c r="BT588" s="4">
        <v>0.75987268518518514</v>
      </c>
    </row>
    <row r="589" spans="1:72" x14ac:dyDescent="0.25">
      <c r="A589" s="2">
        <v>921</v>
      </c>
      <c r="B589" s="2">
        <v>2010</v>
      </c>
      <c r="C589" s="2" t="s">
        <v>625</v>
      </c>
      <c r="D589" s="2" t="s">
        <v>73</v>
      </c>
      <c r="E589" s="2"/>
      <c r="F589" s="2">
        <v>10</v>
      </c>
      <c r="G589" s="2" t="s">
        <v>2143</v>
      </c>
      <c r="H589" s="2">
        <v>3</v>
      </c>
      <c r="I589" s="2" t="s">
        <v>315</v>
      </c>
      <c r="J589" s="2">
        <v>19</v>
      </c>
      <c r="K589" s="2" t="s">
        <v>2144</v>
      </c>
      <c r="L589" s="2" t="s">
        <v>2145</v>
      </c>
      <c r="M589" s="3">
        <v>40226</v>
      </c>
      <c r="N589" s="2" t="s">
        <v>2214</v>
      </c>
      <c r="O589" s="2" t="s">
        <v>2514</v>
      </c>
      <c r="P589" s="7">
        <v>16419</v>
      </c>
      <c r="Q589" s="2" t="str">
        <f>"04/10"</f>
        <v>04/10</v>
      </c>
      <c r="R589" s="2" t="s">
        <v>82</v>
      </c>
      <c r="S589" s="2" t="s">
        <v>82</v>
      </c>
      <c r="T589" s="2">
        <v>1</v>
      </c>
      <c r="U589" s="2" t="s">
        <v>79</v>
      </c>
      <c r="V589" s="2">
        <v>1</v>
      </c>
      <c r="W589" s="2" t="s">
        <v>80</v>
      </c>
      <c r="X589" s="2">
        <v>5</v>
      </c>
      <c r="Y589" s="2" t="s">
        <v>82</v>
      </c>
      <c r="Z589" s="2">
        <v>1</v>
      </c>
      <c r="AA589" s="2" t="s">
        <v>82</v>
      </c>
      <c r="AB589" s="2">
        <v>9</v>
      </c>
      <c r="AC589" s="2" t="s">
        <v>124</v>
      </c>
      <c r="AD589" s="3">
        <v>40226</v>
      </c>
      <c r="AE589" s="4">
        <v>0.625</v>
      </c>
      <c r="AF589" s="2"/>
      <c r="AG589" s="2"/>
      <c r="AH589" s="2">
        <v>3</v>
      </c>
      <c r="AI589" s="2" t="s">
        <v>214</v>
      </c>
      <c r="AJ589" s="2">
        <v>13</v>
      </c>
      <c r="AK589" s="2" t="s">
        <v>214</v>
      </c>
      <c r="AL589" s="2">
        <v>18</v>
      </c>
      <c r="AM589" s="2" t="s">
        <v>82</v>
      </c>
      <c r="AN589" s="2" t="s">
        <v>2515</v>
      </c>
      <c r="AO589" s="2" t="s">
        <v>82</v>
      </c>
      <c r="AP589" s="2">
        <v>11</v>
      </c>
      <c r="AQ589" s="2" t="s">
        <v>82</v>
      </c>
      <c r="AR589" s="2"/>
      <c r="AS589" s="2"/>
      <c r="AT589" s="2" t="s">
        <v>2516</v>
      </c>
      <c r="AU589" s="2"/>
      <c r="AV589" s="2"/>
      <c r="AW589" s="2"/>
      <c r="AX589" s="2"/>
      <c r="AY589" s="2">
        <v>42</v>
      </c>
      <c r="AZ589" s="2" t="s">
        <v>182</v>
      </c>
      <c r="BA589" s="2">
        <v>42</v>
      </c>
      <c r="BB589" s="2" t="s">
        <v>182</v>
      </c>
      <c r="BC589" s="2">
        <v>42</v>
      </c>
      <c r="BD589" s="2" t="s">
        <v>182</v>
      </c>
      <c r="BE589" s="2">
        <v>41</v>
      </c>
      <c r="BF589" s="2" t="s">
        <v>82</v>
      </c>
      <c r="BG589" s="2"/>
      <c r="BH589" s="2"/>
      <c r="BI589" s="2"/>
      <c r="BJ589" s="2">
        <v>242</v>
      </c>
      <c r="BK589" s="2" t="s">
        <v>107</v>
      </c>
      <c r="BL589" s="2"/>
      <c r="BM589" s="2">
        <v>242</v>
      </c>
      <c r="BN589" s="2" t="s">
        <v>107</v>
      </c>
      <c r="BO589" s="2"/>
      <c r="BP589" s="2">
        <v>242</v>
      </c>
      <c r="BQ589" s="2" t="s">
        <v>107</v>
      </c>
      <c r="BR589" s="2"/>
      <c r="BS589" s="3">
        <v>40226</v>
      </c>
      <c r="BT589" s="4">
        <v>0.77824074074074068</v>
      </c>
    </row>
    <row r="590" spans="1:72" x14ac:dyDescent="0.25">
      <c r="A590" s="2">
        <v>921</v>
      </c>
      <c r="B590" s="2">
        <v>2010</v>
      </c>
      <c r="C590" s="2" t="s">
        <v>806</v>
      </c>
      <c r="D590" s="2" t="s">
        <v>73</v>
      </c>
      <c r="E590" s="2"/>
      <c r="F590" s="2">
        <v>10</v>
      </c>
      <c r="G590" s="2" t="s">
        <v>2143</v>
      </c>
      <c r="H590" s="2">
        <v>3</v>
      </c>
      <c r="I590" s="2" t="s">
        <v>315</v>
      </c>
      <c r="J590" s="2">
        <v>19</v>
      </c>
      <c r="K590" s="2" t="s">
        <v>2144</v>
      </c>
      <c r="L590" s="2" t="s">
        <v>2145</v>
      </c>
      <c r="M590" s="3">
        <v>40226</v>
      </c>
      <c r="N590" s="2" t="s">
        <v>2214</v>
      </c>
      <c r="O590" s="2" t="s">
        <v>2514</v>
      </c>
      <c r="P590" s="7">
        <v>16419</v>
      </c>
      <c r="Q590" s="2" t="str">
        <f>"04/10"</f>
        <v>04/10</v>
      </c>
      <c r="R590" s="2" t="s">
        <v>82</v>
      </c>
      <c r="S590" s="2" t="s">
        <v>82</v>
      </c>
      <c r="T590" s="2">
        <v>1</v>
      </c>
      <c r="U590" s="2" t="s">
        <v>79</v>
      </c>
      <c r="V590" s="2">
        <v>1</v>
      </c>
      <c r="W590" s="2" t="s">
        <v>80</v>
      </c>
      <c r="X590" s="2">
        <v>5</v>
      </c>
      <c r="Y590" s="2" t="s">
        <v>82</v>
      </c>
      <c r="Z590" s="2">
        <v>1</v>
      </c>
      <c r="AA590" s="2" t="s">
        <v>82</v>
      </c>
      <c r="AB590" s="2">
        <v>9</v>
      </c>
      <c r="AC590" s="2" t="s">
        <v>124</v>
      </c>
      <c r="AD590" s="3">
        <v>40226</v>
      </c>
      <c r="AE590" s="4">
        <v>0.625</v>
      </c>
      <c r="AF590" s="2"/>
      <c r="AG590" s="2"/>
      <c r="AH590" s="2">
        <v>3</v>
      </c>
      <c r="AI590" s="2" t="s">
        <v>214</v>
      </c>
      <c r="AJ590" s="2">
        <v>13</v>
      </c>
      <c r="AK590" s="2" t="s">
        <v>214</v>
      </c>
      <c r="AL590" s="2">
        <v>18</v>
      </c>
      <c r="AM590" s="2" t="s">
        <v>82</v>
      </c>
      <c r="AN590" s="2" t="s">
        <v>2515</v>
      </c>
      <c r="AO590" s="2" t="s">
        <v>82</v>
      </c>
      <c r="AP590" s="2">
        <v>11</v>
      </c>
      <c r="AQ590" s="2" t="s">
        <v>82</v>
      </c>
      <c r="AR590" s="2"/>
      <c r="AS590" s="2"/>
      <c r="AT590" s="2" t="s">
        <v>2516</v>
      </c>
      <c r="AU590" s="2"/>
      <c r="AV590" s="2"/>
      <c r="AW590" s="2"/>
      <c r="AX590" s="2"/>
      <c r="AY590" s="2">
        <v>42</v>
      </c>
      <c r="AZ590" s="2" t="s">
        <v>182</v>
      </c>
      <c r="BA590" s="2">
        <v>42</v>
      </c>
      <c r="BB590" s="2" t="s">
        <v>182</v>
      </c>
      <c r="BC590" s="2">
        <v>42</v>
      </c>
      <c r="BD590" s="2" t="s">
        <v>182</v>
      </c>
      <c r="BE590" s="2">
        <v>41</v>
      </c>
      <c r="BF590" s="2" t="s">
        <v>82</v>
      </c>
      <c r="BG590" s="2"/>
      <c r="BH590" s="2"/>
      <c r="BI590" s="2"/>
      <c r="BJ590" s="2">
        <v>242</v>
      </c>
      <c r="BK590" s="2" t="s">
        <v>107</v>
      </c>
      <c r="BL590" s="2"/>
      <c r="BM590" s="2">
        <v>242</v>
      </c>
      <c r="BN590" s="2" t="s">
        <v>107</v>
      </c>
      <c r="BO590" s="2"/>
      <c r="BP590" s="2">
        <v>242</v>
      </c>
      <c r="BQ590" s="2" t="s">
        <v>107</v>
      </c>
      <c r="BR590" s="2"/>
      <c r="BS590" s="3">
        <v>40226</v>
      </c>
      <c r="BT590" s="4">
        <v>0.77824074074074068</v>
      </c>
    </row>
    <row r="591" spans="1:72" x14ac:dyDescent="0.25">
      <c r="A591" s="2">
        <v>925</v>
      </c>
      <c r="B591" s="2">
        <v>2010</v>
      </c>
      <c r="C591" s="2" t="s">
        <v>255</v>
      </c>
      <c r="D591" s="2" t="s">
        <v>73</v>
      </c>
      <c r="E591" s="2"/>
      <c r="F591" s="2">
        <v>45</v>
      </c>
      <c r="G591" s="2" t="s">
        <v>1408</v>
      </c>
      <c r="H591" s="2">
        <v>47</v>
      </c>
      <c r="I591" s="2" t="s">
        <v>1409</v>
      </c>
      <c r="J591" s="2">
        <v>77</v>
      </c>
      <c r="K591" s="2" t="s">
        <v>2517</v>
      </c>
      <c r="L591" s="2" t="s">
        <v>2518</v>
      </c>
      <c r="M591" s="3">
        <v>40226</v>
      </c>
      <c r="N591" s="2"/>
      <c r="O591" s="2"/>
      <c r="P591" s="2"/>
      <c r="Q591" s="2" t="str">
        <f>"02/2010"</f>
        <v>02/2010</v>
      </c>
      <c r="R591" s="2" t="s">
        <v>2519</v>
      </c>
      <c r="S591" s="2" t="s">
        <v>2519</v>
      </c>
      <c r="T591" s="2">
        <v>1</v>
      </c>
      <c r="U591" s="2" t="s">
        <v>79</v>
      </c>
      <c r="V591" s="2">
        <v>1</v>
      </c>
      <c r="W591" s="2" t="s">
        <v>80</v>
      </c>
      <c r="X591" s="2">
        <v>1</v>
      </c>
      <c r="Y591" s="2" t="s">
        <v>81</v>
      </c>
      <c r="Z591" s="2">
        <v>3</v>
      </c>
      <c r="AA591" s="2" t="s">
        <v>257</v>
      </c>
      <c r="AB591" s="2">
        <v>9</v>
      </c>
      <c r="AC591" s="2" t="s">
        <v>124</v>
      </c>
      <c r="AD591" s="3">
        <v>40226</v>
      </c>
      <c r="AE591" s="2"/>
      <c r="AF591" s="3">
        <v>40226</v>
      </c>
      <c r="AG591" s="4">
        <v>0.59375</v>
      </c>
      <c r="AH591" s="2">
        <v>4</v>
      </c>
      <c r="AI591" s="2" t="s">
        <v>125</v>
      </c>
      <c r="AJ591" s="2">
        <v>31</v>
      </c>
      <c r="AK591" s="2" t="s">
        <v>1413</v>
      </c>
      <c r="AL591" s="2">
        <v>9</v>
      </c>
      <c r="AM591" s="2" t="s">
        <v>259</v>
      </c>
      <c r="AN591" s="2"/>
      <c r="AO591" s="2" t="s">
        <v>2520</v>
      </c>
      <c r="AP591" s="2">
        <v>11</v>
      </c>
      <c r="AQ591" s="2" t="s">
        <v>82</v>
      </c>
      <c r="AR591" s="2"/>
      <c r="AS591" s="2"/>
      <c r="AT591" s="2" t="s">
        <v>2521</v>
      </c>
      <c r="AU591" s="2"/>
      <c r="AV591" s="2"/>
      <c r="AW591" s="2"/>
      <c r="AX591" s="2"/>
      <c r="AY591" s="2">
        <v>44</v>
      </c>
      <c r="AZ591" s="2" t="s">
        <v>262</v>
      </c>
      <c r="BA591" s="2">
        <v>44</v>
      </c>
      <c r="BB591" s="2" t="s">
        <v>262</v>
      </c>
      <c r="BC591" s="2">
        <v>44</v>
      </c>
      <c r="BD591" s="2" t="s">
        <v>262</v>
      </c>
      <c r="BE591" s="2">
        <v>41</v>
      </c>
      <c r="BF591" s="2" t="s">
        <v>82</v>
      </c>
      <c r="BG591" s="2"/>
      <c r="BH591" s="2"/>
      <c r="BI591" s="2"/>
      <c r="BJ591" s="2">
        <v>241</v>
      </c>
      <c r="BK591" s="2" t="s">
        <v>82</v>
      </c>
      <c r="BL591" s="2"/>
      <c r="BM591" s="2">
        <v>241</v>
      </c>
      <c r="BN591" s="2" t="s">
        <v>82</v>
      </c>
      <c r="BO591" s="2"/>
      <c r="BP591" s="2">
        <v>241</v>
      </c>
      <c r="BQ591" s="2" t="s">
        <v>82</v>
      </c>
      <c r="BR591" s="2"/>
      <c r="BS591" s="3">
        <v>40226</v>
      </c>
      <c r="BT591" s="4">
        <v>0.83929398148148149</v>
      </c>
    </row>
    <row r="592" spans="1:72" x14ac:dyDescent="0.25">
      <c r="A592" s="2">
        <v>927</v>
      </c>
      <c r="B592" s="2">
        <v>2010</v>
      </c>
      <c r="C592" s="2" t="s">
        <v>726</v>
      </c>
      <c r="D592" s="2" t="s">
        <v>73</v>
      </c>
      <c r="E592" s="2"/>
      <c r="F592" s="2">
        <v>397</v>
      </c>
      <c r="G592" s="2" t="s">
        <v>2522</v>
      </c>
      <c r="H592" s="2">
        <v>10</v>
      </c>
      <c r="I592" s="2" t="s">
        <v>1031</v>
      </c>
      <c r="J592" s="2">
        <v>377</v>
      </c>
      <c r="K592" s="2" t="s">
        <v>1223</v>
      </c>
      <c r="L592" s="2" t="s">
        <v>1224</v>
      </c>
      <c r="M592" s="3">
        <v>40227</v>
      </c>
      <c r="N592" s="2" t="s">
        <v>2523</v>
      </c>
      <c r="O592" s="2" t="s">
        <v>107</v>
      </c>
      <c r="P592" s="2" t="s">
        <v>107</v>
      </c>
      <c r="Q592" s="2" t="str">
        <f>"095-E/10"</f>
        <v>095-E/10</v>
      </c>
      <c r="R592" s="2" t="s">
        <v>2524</v>
      </c>
      <c r="S592" s="2" t="s">
        <v>2524</v>
      </c>
      <c r="T592" s="2">
        <v>1</v>
      </c>
      <c r="U592" s="2" t="s">
        <v>79</v>
      </c>
      <c r="V592" s="2">
        <v>1</v>
      </c>
      <c r="W592" s="2" t="s">
        <v>80</v>
      </c>
      <c r="X592" s="2">
        <v>5</v>
      </c>
      <c r="Y592" s="2" t="s">
        <v>82</v>
      </c>
      <c r="Z592" s="2">
        <v>1</v>
      </c>
      <c r="AA592" s="2" t="s">
        <v>82</v>
      </c>
      <c r="AB592" s="2">
        <v>9</v>
      </c>
      <c r="AC592" s="2" t="s">
        <v>124</v>
      </c>
      <c r="AD592" s="3">
        <v>40226</v>
      </c>
      <c r="AE592" s="4">
        <v>0.76111111111111107</v>
      </c>
      <c r="AF592" s="3">
        <v>40226</v>
      </c>
      <c r="AG592" s="4">
        <v>0.76111111111111107</v>
      </c>
      <c r="AH592" s="2">
        <v>2</v>
      </c>
      <c r="AI592" s="2" t="s">
        <v>84</v>
      </c>
      <c r="AJ592" s="2">
        <v>9</v>
      </c>
      <c r="AK592" s="2" t="s">
        <v>103</v>
      </c>
      <c r="AL592" s="2">
        <v>12</v>
      </c>
      <c r="AM592" s="2" t="s">
        <v>86</v>
      </c>
      <c r="AN592" s="2" t="s">
        <v>1970</v>
      </c>
      <c r="AO592" s="2" t="s">
        <v>1971</v>
      </c>
      <c r="AP592" s="2">
        <v>11</v>
      </c>
      <c r="AQ592" s="2" t="s">
        <v>82</v>
      </c>
      <c r="AR592" s="2"/>
      <c r="AS592" s="2"/>
      <c r="AT592" s="2" t="s">
        <v>2525</v>
      </c>
      <c r="AU592" s="2"/>
      <c r="AV592" s="2"/>
      <c r="AW592" s="2"/>
      <c r="AX592" s="2"/>
      <c r="AY592" s="2">
        <v>42</v>
      </c>
      <c r="AZ592" s="2" t="s">
        <v>182</v>
      </c>
      <c r="BA592" s="2">
        <v>1</v>
      </c>
      <c r="BB592" s="2" t="s">
        <v>107</v>
      </c>
      <c r="BC592" s="2">
        <v>41</v>
      </c>
      <c r="BD592" s="2" t="s">
        <v>82</v>
      </c>
      <c r="BE592" s="2">
        <v>41</v>
      </c>
      <c r="BF592" s="2" t="s">
        <v>82</v>
      </c>
      <c r="BG592" s="2"/>
      <c r="BH592" s="2"/>
      <c r="BI592" s="2"/>
      <c r="BJ592" s="2">
        <v>241</v>
      </c>
      <c r="BK592" s="2" t="s">
        <v>82</v>
      </c>
      <c r="BL592" s="2"/>
      <c r="BM592" s="2">
        <v>241</v>
      </c>
      <c r="BN592" s="2" t="s">
        <v>82</v>
      </c>
      <c r="BO592" s="2"/>
      <c r="BP592" s="2">
        <v>73</v>
      </c>
      <c r="BQ592" s="2" t="s">
        <v>186</v>
      </c>
      <c r="BR592" s="2"/>
      <c r="BS592" s="3">
        <v>40227</v>
      </c>
      <c r="BT592" s="4">
        <v>5.932870370370371E-2</v>
      </c>
    </row>
    <row r="593" spans="1:72" x14ac:dyDescent="0.25">
      <c r="A593" s="2">
        <v>928</v>
      </c>
      <c r="B593" s="2">
        <v>2010</v>
      </c>
      <c r="C593" s="2" t="s">
        <v>409</v>
      </c>
      <c r="D593" s="2" t="s">
        <v>73</v>
      </c>
      <c r="E593" s="2"/>
      <c r="F593" s="2">
        <v>121</v>
      </c>
      <c r="G593" s="2" t="s">
        <v>2501</v>
      </c>
      <c r="H593" s="2">
        <v>3</v>
      </c>
      <c r="I593" s="2" t="s">
        <v>315</v>
      </c>
      <c r="J593" s="2">
        <v>135</v>
      </c>
      <c r="K593" s="2" t="s">
        <v>2502</v>
      </c>
      <c r="L593" s="2" t="s">
        <v>2503</v>
      </c>
      <c r="M593" s="3">
        <v>40227</v>
      </c>
      <c r="N593" s="2" t="s">
        <v>2526</v>
      </c>
      <c r="O593" s="2" t="s">
        <v>2527</v>
      </c>
      <c r="P593" s="2" t="s">
        <v>2528</v>
      </c>
      <c r="Q593" s="2" t="str">
        <f>"----"</f>
        <v>----</v>
      </c>
      <c r="R593" s="2" t="s">
        <v>2529</v>
      </c>
      <c r="S593" s="2" t="s">
        <v>2529</v>
      </c>
      <c r="T593" s="2">
        <v>1</v>
      </c>
      <c r="U593" s="2" t="s">
        <v>79</v>
      </c>
      <c r="V593" s="2">
        <v>1</v>
      </c>
      <c r="W593" s="2" t="s">
        <v>80</v>
      </c>
      <c r="X593" s="2">
        <v>4</v>
      </c>
      <c r="Y593" s="2" t="s">
        <v>463</v>
      </c>
      <c r="Z593" s="2">
        <v>1</v>
      </c>
      <c r="AA593" s="2" t="s">
        <v>82</v>
      </c>
      <c r="AB593" s="2">
        <v>9</v>
      </c>
      <c r="AC593" s="2" t="s">
        <v>124</v>
      </c>
      <c r="AD593" s="3">
        <v>40227</v>
      </c>
      <c r="AE593" s="4">
        <v>0.15972222222222224</v>
      </c>
      <c r="AF593" s="2"/>
      <c r="AG593" s="2"/>
      <c r="AH593" s="2">
        <v>6</v>
      </c>
      <c r="AI593" s="2" t="s">
        <v>197</v>
      </c>
      <c r="AJ593" s="2">
        <v>58</v>
      </c>
      <c r="AK593" s="2" t="s">
        <v>406</v>
      </c>
      <c r="AL593" s="2">
        <v>11</v>
      </c>
      <c r="AM593" s="2" t="s">
        <v>137</v>
      </c>
      <c r="AN593" s="2" t="s">
        <v>82</v>
      </c>
      <c r="AO593" s="2" t="s">
        <v>2530</v>
      </c>
      <c r="AP593" s="2">
        <v>11</v>
      </c>
      <c r="AQ593" s="2" t="s">
        <v>82</v>
      </c>
      <c r="AR593" s="2" t="s">
        <v>82</v>
      </c>
      <c r="AS593" s="2" t="s">
        <v>82</v>
      </c>
      <c r="AT593" s="2" t="s">
        <v>2531</v>
      </c>
      <c r="AU593" s="2"/>
      <c r="AV593" s="2"/>
      <c r="AW593" s="2"/>
      <c r="AX593" s="2"/>
      <c r="AY593" s="2">
        <v>41</v>
      </c>
      <c r="AZ593" s="2" t="s">
        <v>82</v>
      </c>
      <c r="BA593" s="2">
        <v>41</v>
      </c>
      <c r="BB593" s="2" t="s">
        <v>82</v>
      </c>
      <c r="BC593" s="2">
        <v>41</v>
      </c>
      <c r="BD593" s="2" t="s">
        <v>82</v>
      </c>
      <c r="BE593" s="2">
        <v>47</v>
      </c>
      <c r="BF593" s="2" t="s">
        <v>167</v>
      </c>
      <c r="BG593" s="2" t="s">
        <v>610</v>
      </c>
      <c r="BH593" s="4">
        <v>0.12847222222222224</v>
      </c>
      <c r="BI593" s="4">
        <v>0.16666666666666666</v>
      </c>
      <c r="BJ593" s="2">
        <v>13</v>
      </c>
      <c r="BK593" s="2" t="s">
        <v>91</v>
      </c>
      <c r="BL593" s="2" t="s">
        <v>492</v>
      </c>
      <c r="BM593" s="2">
        <v>241</v>
      </c>
      <c r="BN593" s="2" t="s">
        <v>82</v>
      </c>
      <c r="BO593" s="2" t="s">
        <v>473</v>
      </c>
      <c r="BP593" s="2">
        <v>13</v>
      </c>
      <c r="BQ593" s="2" t="s">
        <v>91</v>
      </c>
      <c r="BR593" s="2" t="s">
        <v>170</v>
      </c>
      <c r="BS593" s="3">
        <v>40227</v>
      </c>
      <c r="BT593" s="4">
        <v>0.17822916666666666</v>
      </c>
    </row>
    <row r="594" spans="1:72" x14ac:dyDescent="0.25">
      <c r="A594" s="2">
        <v>931</v>
      </c>
      <c r="B594" s="2">
        <v>2010</v>
      </c>
      <c r="C594" s="2" t="s">
        <v>72</v>
      </c>
      <c r="D594" s="2" t="s">
        <v>73</v>
      </c>
      <c r="E594" s="2"/>
      <c r="F594" s="2">
        <v>20</v>
      </c>
      <c r="G594" s="2" t="s">
        <v>2532</v>
      </c>
      <c r="H594" s="2">
        <v>2</v>
      </c>
      <c r="I594" s="2" t="s">
        <v>267</v>
      </c>
      <c r="J594" s="2">
        <v>29</v>
      </c>
      <c r="K594" s="2" t="s">
        <v>2533</v>
      </c>
      <c r="L594" s="2" t="s">
        <v>2534</v>
      </c>
      <c r="M594" s="3">
        <v>40227</v>
      </c>
      <c r="N594" s="2"/>
      <c r="O594" s="2"/>
      <c r="P594" s="2"/>
      <c r="Q594" s="2" t="str">
        <f>"01/10"</f>
        <v>01/10</v>
      </c>
      <c r="R594" s="2"/>
      <c r="S594" s="2" t="s">
        <v>601</v>
      </c>
      <c r="T594" s="2">
        <v>1</v>
      </c>
      <c r="U594" s="2" t="s">
        <v>79</v>
      </c>
      <c r="V594" s="2">
        <v>1</v>
      </c>
      <c r="W594" s="2" t="s">
        <v>80</v>
      </c>
      <c r="X594" s="2">
        <v>5</v>
      </c>
      <c r="Y594" s="2" t="s">
        <v>82</v>
      </c>
      <c r="Z594" s="2">
        <v>1</v>
      </c>
      <c r="AA594" s="2" t="s">
        <v>82</v>
      </c>
      <c r="AB594" s="2">
        <v>6</v>
      </c>
      <c r="AC594" s="2" t="s">
        <v>83</v>
      </c>
      <c r="AD594" s="3">
        <v>40224</v>
      </c>
      <c r="AE594" s="4">
        <v>0.54166666666666663</v>
      </c>
      <c r="AF594" s="3">
        <v>40227</v>
      </c>
      <c r="AG594" s="4">
        <v>0.36458333333333331</v>
      </c>
      <c r="AH594" s="2">
        <v>4</v>
      </c>
      <c r="AI594" s="2" t="s">
        <v>125</v>
      </c>
      <c r="AJ594" s="2">
        <v>33</v>
      </c>
      <c r="AK594" s="2" t="s">
        <v>126</v>
      </c>
      <c r="AL594" s="2">
        <v>8</v>
      </c>
      <c r="AM594" s="2" t="s">
        <v>179</v>
      </c>
      <c r="AN594" s="2"/>
      <c r="AO594" s="2"/>
      <c r="AP594" s="2">
        <v>11</v>
      </c>
      <c r="AQ594" s="2" t="s">
        <v>82</v>
      </c>
      <c r="AR594" s="2"/>
      <c r="AS594" s="2"/>
      <c r="AT594" s="2" t="s">
        <v>2535</v>
      </c>
      <c r="AU594" s="2"/>
      <c r="AV594" s="2"/>
      <c r="AW594" s="2"/>
      <c r="AX594" s="2"/>
      <c r="AY594" s="2">
        <v>41</v>
      </c>
      <c r="AZ594" s="2" t="s">
        <v>82</v>
      </c>
      <c r="BA594" s="2">
        <v>41</v>
      </c>
      <c r="BB594" s="2" t="s">
        <v>82</v>
      </c>
      <c r="BC594" s="2">
        <v>13</v>
      </c>
      <c r="BD594" s="2" t="s">
        <v>108</v>
      </c>
      <c r="BE594" s="2">
        <v>13</v>
      </c>
      <c r="BF594" s="2" t="s">
        <v>108</v>
      </c>
      <c r="BG594" s="2">
        <v>1440</v>
      </c>
      <c r="BH594" s="4">
        <v>0.58333333333333337</v>
      </c>
      <c r="BI594" s="4">
        <v>0.61527777777777781</v>
      </c>
      <c r="BJ594" s="2">
        <v>13</v>
      </c>
      <c r="BK594" s="2" t="s">
        <v>91</v>
      </c>
      <c r="BL594" s="2" t="s">
        <v>185</v>
      </c>
      <c r="BM594" s="2">
        <v>13</v>
      </c>
      <c r="BN594" s="2" t="s">
        <v>91</v>
      </c>
      <c r="BO594" s="2" t="s">
        <v>2536</v>
      </c>
      <c r="BP594" s="2">
        <v>13</v>
      </c>
      <c r="BQ594" s="2" t="s">
        <v>91</v>
      </c>
      <c r="BR594" s="2" t="s">
        <v>185</v>
      </c>
      <c r="BS594" s="3">
        <v>40227</v>
      </c>
      <c r="BT594" s="4">
        <v>0.49887731481481484</v>
      </c>
    </row>
    <row r="595" spans="1:72" x14ac:dyDescent="0.25">
      <c r="A595" s="2">
        <v>932</v>
      </c>
      <c r="B595" s="2">
        <v>2010</v>
      </c>
      <c r="C595" s="2" t="s">
        <v>147</v>
      </c>
      <c r="D595" s="2" t="s">
        <v>73</v>
      </c>
      <c r="E595" s="2"/>
      <c r="F595" s="2">
        <v>1</v>
      </c>
      <c r="G595" s="2" t="s">
        <v>82</v>
      </c>
      <c r="H595" s="2">
        <v>1</v>
      </c>
      <c r="I595" s="2" t="s">
        <v>82</v>
      </c>
      <c r="J595" s="2">
        <v>1</v>
      </c>
      <c r="K595" s="2" t="s">
        <v>107</v>
      </c>
      <c r="L595" s="2" t="s">
        <v>107</v>
      </c>
      <c r="M595" s="3">
        <v>40227</v>
      </c>
      <c r="N595" s="2" t="s">
        <v>82</v>
      </c>
      <c r="O595" s="2" t="s">
        <v>82</v>
      </c>
      <c r="P595" s="2" t="s">
        <v>82</v>
      </c>
      <c r="Q595" s="2" t="str">
        <f>"N/C"</f>
        <v>N/C</v>
      </c>
      <c r="R595" s="2" t="s">
        <v>82</v>
      </c>
      <c r="S595" s="2" t="s">
        <v>82</v>
      </c>
      <c r="T595" s="2">
        <v>2</v>
      </c>
      <c r="U595" s="2" t="s">
        <v>123</v>
      </c>
      <c r="V595" s="2">
        <v>1</v>
      </c>
      <c r="W595" s="2" t="s">
        <v>80</v>
      </c>
      <c r="X595" s="2">
        <v>12</v>
      </c>
      <c r="Y595" s="2" t="s">
        <v>148</v>
      </c>
      <c r="Z595" s="2">
        <v>1</v>
      </c>
      <c r="AA595" s="2" t="s">
        <v>82</v>
      </c>
      <c r="AB595" s="2">
        <v>9</v>
      </c>
      <c r="AC595" s="2" t="s">
        <v>124</v>
      </c>
      <c r="AD595" s="2"/>
      <c r="AE595" s="2"/>
      <c r="AF595" s="3">
        <v>40226</v>
      </c>
      <c r="AG595" s="4">
        <v>0.46527777777777773</v>
      </c>
      <c r="AH595" s="2">
        <v>3</v>
      </c>
      <c r="AI595" s="2" t="s">
        <v>214</v>
      </c>
      <c r="AJ595" s="2">
        <v>24</v>
      </c>
      <c r="AK595" s="2" t="s">
        <v>215</v>
      </c>
      <c r="AL595" s="2">
        <v>19</v>
      </c>
      <c r="AM595" s="2" t="s">
        <v>107</v>
      </c>
      <c r="AN595" s="2"/>
      <c r="AO595" s="2"/>
      <c r="AP595" s="2">
        <v>11</v>
      </c>
      <c r="AQ595" s="2" t="s">
        <v>82</v>
      </c>
      <c r="AR595" s="2"/>
      <c r="AS595" s="2"/>
      <c r="AT595" s="2" t="s">
        <v>2537</v>
      </c>
      <c r="AU595" s="2"/>
      <c r="AV595" s="2"/>
      <c r="AW595" s="2"/>
      <c r="AX595" s="2"/>
      <c r="AY595" s="2">
        <v>1</v>
      </c>
      <c r="AZ595" s="2" t="s">
        <v>107</v>
      </c>
      <c r="BA595" s="2">
        <v>1</v>
      </c>
      <c r="BB595" s="2" t="s">
        <v>107</v>
      </c>
      <c r="BC595" s="2">
        <v>1</v>
      </c>
      <c r="BD595" s="2" t="s">
        <v>107</v>
      </c>
      <c r="BE595" s="2">
        <v>41</v>
      </c>
      <c r="BF595" s="2" t="s">
        <v>82</v>
      </c>
      <c r="BG595" s="2"/>
      <c r="BH595" s="2"/>
      <c r="BI595" s="2"/>
      <c r="BJ595" s="2">
        <v>242</v>
      </c>
      <c r="BK595" s="2" t="s">
        <v>107</v>
      </c>
      <c r="BL595" s="2"/>
      <c r="BM595" s="2">
        <v>242</v>
      </c>
      <c r="BN595" s="2" t="s">
        <v>107</v>
      </c>
      <c r="BO595" s="2"/>
      <c r="BP595" s="2">
        <v>242</v>
      </c>
      <c r="BQ595" s="2" t="s">
        <v>107</v>
      </c>
      <c r="BR595" s="2"/>
      <c r="BS595" s="3">
        <v>40227</v>
      </c>
      <c r="BT595" s="4">
        <v>0.50015046296296295</v>
      </c>
    </row>
    <row r="596" spans="1:72" x14ac:dyDescent="0.25">
      <c r="A596" s="2">
        <v>933</v>
      </c>
      <c r="B596" s="2">
        <v>2010</v>
      </c>
      <c r="C596" s="2" t="s">
        <v>1559</v>
      </c>
      <c r="D596" s="2" t="s">
        <v>73</v>
      </c>
      <c r="E596" s="2"/>
      <c r="F596" s="2">
        <v>125</v>
      </c>
      <c r="G596" s="2" t="s">
        <v>1483</v>
      </c>
      <c r="H596" s="2">
        <v>47</v>
      </c>
      <c r="I596" s="2" t="s">
        <v>1409</v>
      </c>
      <c r="J596" s="2">
        <v>390</v>
      </c>
      <c r="K596" s="2" t="s">
        <v>1560</v>
      </c>
      <c r="L596" s="2" t="s">
        <v>1561</v>
      </c>
      <c r="M596" s="3">
        <v>40227</v>
      </c>
      <c r="N596" s="2" t="s">
        <v>2538</v>
      </c>
      <c r="O596" s="2" t="s">
        <v>2539</v>
      </c>
      <c r="P596" s="2" t="s">
        <v>2174</v>
      </c>
      <c r="Q596" s="2" t="str">
        <f>""</f>
        <v/>
      </c>
      <c r="R596" s="2"/>
      <c r="S596" s="2"/>
      <c r="T596" s="2">
        <v>1</v>
      </c>
      <c r="U596" s="2" t="s">
        <v>79</v>
      </c>
      <c r="V596" s="2">
        <v>3</v>
      </c>
      <c r="W596" s="2" t="s">
        <v>225</v>
      </c>
      <c r="X596" s="2">
        <v>2</v>
      </c>
      <c r="Y596" s="2" t="s">
        <v>136</v>
      </c>
      <c r="Z596" s="2">
        <v>1</v>
      </c>
      <c r="AA596" s="2" t="s">
        <v>82</v>
      </c>
      <c r="AB596" s="2">
        <v>9</v>
      </c>
      <c r="AC596" s="2" t="s">
        <v>124</v>
      </c>
      <c r="AD596" s="2"/>
      <c r="AE596" s="2"/>
      <c r="AF596" s="2"/>
      <c r="AG596" s="2"/>
      <c r="AH596" s="2">
        <v>6</v>
      </c>
      <c r="AI596" s="2" t="s">
        <v>197</v>
      </c>
      <c r="AJ596" s="2">
        <v>47</v>
      </c>
      <c r="AK596" s="2" t="s">
        <v>250</v>
      </c>
      <c r="AL596" s="2">
        <v>23</v>
      </c>
      <c r="AM596" s="2" t="s">
        <v>251</v>
      </c>
      <c r="AN596" s="2"/>
      <c r="AO596" s="2"/>
      <c r="AP596" s="2">
        <v>11</v>
      </c>
      <c r="AQ596" s="2" t="s">
        <v>82</v>
      </c>
      <c r="AR596" s="2"/>
      <c r="AS596" s="2"/>
      <c r="AT596" s="2" t="s">
        <v>2540</v>
      </c>
      <c r="AU596" s="2"/>
      <c r="AV596" s="2"/>
      <c r="AW596" s="2"/>
      <c r="AX596" s="2"/>
      <c r="AY596" s="2">
        <v>41</v>
      </c>
      <c r="AZ596" s="2" t="s">
        <v>82</v>
      </c>
      <c r="BA596" s="2">
        <v>41</v>
      </c>
      <c r="BB596" s="2" t="s">
        <v>82</v>
      </c>
      <c r="BC596" s="2">
        <v>41</v>
      </c>
      <c r="BD596" s="2" t="s">
        <v>82</v>
      </c>
      <c r="BE596" s="2">
        <v>41</v>
      </c>
      <c r="BF596" s="2" t="s">
        <v>82</v>
      </c>
      <c r="BG596" s="2"/>
      <c r="BH596" s="2"/>
      <c r="BI596" s="2"/>
      <c r="BJ596" s="2">
        <v>241</v>
      </c>
      <c r="BK596" s="2" t="s">
        <v>82</v>
      </c>
      <c r="BL596" s="2"/>
      <c r="BM596" s="2">
        <v>241</v>
      </c>
      <c r="BN596" s="2" t="s">
        <v>82</v>
      </c>
      <c r="BO596" s="2"/>
      <c r="BP596" s="2">
        <v>241</v>
      </c>
      <c r="BQ596" s="2" t="s">
        <v>82</v>
      </c>
      <c r="BR596" s="2"/>
      <c r="BS596" s="3">
        <v>40227</v>
      </c>
      <c r="BT596" s="4">
        <v>0.56275462962962963</v>
      </c>
    </row>
    <row r="597" spans="1:72" x14ac:dyDescent="0.25">
      <c r="A597" s="2">
        <v>942</v>
      </c>
      <c r="B597" s="2">
        <v>2010</v>
      </c>
      <c r="C597" s="2" t="s">
        <v>764</v>
      </c>
      <c r="D597" s="2" t="s">
        <v>73</v>
      </c>
      <c r="E597" s="2"/>
      <c r="F597" s="2">
        <v>45</v>
      </c>
      <c r="G597" s="2" t="s">
        <v>1408</v>
      </c>
      <c r="H597" s="2">
        <v>47</v>
      </c>
      <c r="I597" s="2" t="s">
        <v>1409</v>
      </c>
      <c r="J597" s="2">
        <v>77</v>
      </c>
      <c r="K597" s="2" t="s">
        <v>2517</v>
      </c>
      <c r="L597" s="2" t="s">
        <v>2518</v>
      </c>
      <c r="M597" s="3">
        <v>40227</v>
      </c>
      <c r="N597" s="2"/>
      <c r="O597" s="2"/>
      <c r="P597" s="2"/>
      <c r="Q597" s="2" t="str">
        <f>"03/2010"</f>
        <v>03/2010</v>
      </c>
      <c r="R597" s="2"/>
      <c r="S597" s="2" t="s">
        <v>2541</v>
      </c>
      <c r="T597" s="2">
        <v>1</v>
      </c>
      <c r="U597" s="2" t="s">
        <v>79</v>
      </c>
      <c r="V597" s="2">
        <v>1</v>
      </c>
      <c r="W597" s="2" t="s">
        <v>80</v>
      </c>
      <c r="X597" s="2">
        <v>5</v>
      </c>
      <c r="Y597" s="2" t="s">
        <v>82</v>
      </c>
      <c r="Z597" s="2">
        <v>3</v>
      </c>
      <c r="AA597" s="2" t="s">
        <v>257</v>
      </c>
      <c r="AB597" s="2">
        <v>9</v>
      </c>
      <c r="AC597" s="2" t="s">
        <v>124</v>
      </c>
      <c r="AD597" s="3">
        <v>40227</v>
      </c>
      <c r="AE597" s="4">
        <v>0.72916666666666663</v>
      </c>
      <c r="AF597" s="3">
        <v>40227</v>
      </c>
      <c r="AG597" s="4">
        <v>0.76041666666666663</v>
      </c>
      <c r="AH597" s="2">
        <v>4</v>
      </c>
      <c r="AI597" s="2" t="s">
        <v>125</v>
      </c>
      <c r="AJ597" s="2">
        <v>31</v>
      </c>
      <c r="AK597" s="2" t="s">
        <v>1413</v>
      </c>
      <c r="AL597" s="2">
        <v>9</v>
      </c>
      <c r="AM597" s="2" t="s">
        <v>259</v>
      </c>
      <c r="AN597" s="2" t="s">
        <v>2542</v>
      </c>
      <c r="AO597" s="2"/>
      <c r="AP597" s="2">
        <v>11</v>
      </c>
      <c r="AQ597" s="2" t="s">
        <v>82</v>
      </c>
      <c r="AR597" s="2"/>
      <c r="AS597" s="2"/>
      <c r="AT597" s="2" t="s">
        <v>2543</v>
      </c>
      <c r="AU597" s="2"/>
      <c r="AV597" s="2"/>
      <c r="AW597" s="2"/>
      <c r="AX597" s="2"/>
      <c r="AY597" s="2">
        <v>44</v>
      </c>
      <c r="AZ597" s="2" t="s">
        <v>262</v>
      </c>
      <c r="BA597" s="2">
        <v>44</v>
      </c>
      <c r="BB597" s="2" t="s">
        <v>262</v>
      </c>
      <c r="BC597" s="2">
        <v>44</v>
      </c>
      <c r="BD597" s="2" t="s">
        <v>262</v>
      </c>
      <c r="BE597" s="2">
        <v>41</v>
      </c>
      <c r="BF597" s="2" t="s">
        <v>82</v>
      </c>
      <c r="BG597" s="2"/>
      <c r="BH597" s="2"/>
      <c r="BI597" s="2"/>
      <c r="BJ597" s="2">
        <v>241</v>
      </c>
      <c r="BK597" s="2" t="s">
        <v>82</v>
      </c>
      <c r="BL597" s="2"/>
      <c r="BM597" s="2">
        <v>241</v>
      </c>
      <c r="BN597" s="2" t="s">
        <v>82</v>
      </c>
      <c r="BO597" s="2"/>
      <c r="BP597" s="2">
        <v>241</v>
      </c>
      <c r="BQ597" s="2" t="s">
        <v>82</v>
      </c>
      <c r="BR597" s="2"/>
      <c r="BS597" s="3">
        <v>40227</v>
      </c>
      <c r="BT597" s="4">
        <v>0.84244212962962972</v>
      </c>
    </row>
    <row r="598" spans="1:72" x14ac:dyDescent="0.25">
      <c r="A598" s="2">
        <v>945</v>
      </c>
      <c r="B598" s="2">
        <v>2010</v>
      </c>
      <c r="C598" s="2" t="s">
        <v>72</v>
      </c>
      <c r="D598" s="2" t="s">
        <v>73</v>
      </c>
      <c r="E598" s="2"/>
      <c r="F598" s="2">
        <v>171</v>
      </c>
      <c r="G598" s="2" t="s">
        <v>2544</v>
      </c>
      <c r="H598" s="2">
        <v>53</v>
      </c>
      <c r="I598" s="2" t="s">
        <v>1863</v>
      </c>
      <c r="J598" s="2">
        <v>179</v>
      </c>
      <c r="K598" s="2" t="s">
        <v>1864</v>
      </c>
      <c r="L598" s="2" t="s">
        <v>1865</v>
      </c>
      <c r="M598" s="3">
        <v>40227</v>
      </c>
      <c r="N598" s="2" t="s">
        <v>2545</v>
      </c>
      <c r="O598" s="2" t="s">
        <v>107</v>
      </c>
      <c r="P598" s="2" t="s">
        <v>107</v>
      </c>
      <c r="Q598" s="2" t="str">
        <f>"58-A/10"</f>
        <v>58-A/10</v>
      </c>
      <c r="R598" s="2" t="s">
        <v>107</v>
      </c>
      <c r="S598" s="2" t="s">
        <v>78</v>
      </c>
      <c r="T598" s="2">
        <v>1</v>
      </c>
      <c r="U598" s="2" t="s">
        <v>79</v>
      </c>
      <c r="V598" s="2">
        <v>1</v>
      </c>
      <c r="W598" s="2" t="s">
        <v>80</v>
      </c>
      <c r="X598" s="2">
        <v>1</v>
      </c>
      <c r="Y598" s="2" t="s">
        <v>81</v>
      </c>
      <c r="Z598" s="2">
        <v>1</v>
      </c>
      <c r="AA598" s="2" t="s">
        <v>82</v>
      </c>
      <c r="AB598" s="2">
        <v>6</v>
      </c>
      <c r="AC598" s="2" t="s">
        <v>83</v>
      </c>
      <c r="AD598" s="3">
        <v>40227</v>
      </c>
      <c r="AE598" s="4">
        <v>0.34375</v>
      </c>
      <c r="AF598" s="3">
        <v>40227</v>
      </c>
      <c r="AG598" s="4">
        <v>0.36458333333333331</v>
      </c>
      <c r="AH598" s="2">
        <v>2</v>
      </c>
      <c r="AI598" s="2" t="s">
        <v>84</v>
      </c>
      <c r="AJ598" s="2">
        <v>12</v>
      </c>
      <c r="AK598" s="2" t="s">
        <v>85</v>
      </c>
      <c r="AL598" s="2">
        <v>12</v>
      </c>
      <c r="AM598" s="2" t="s">
        <v>86</v>
      </c>
      <c r="AN598" s="2" t="s">
        <v>816</v>
      </c>
      <c r="AO598" s="2" t="s">
        <v>2546</v>
      </c>
      <c r="AP598" s="2">
        <v>11</v>
      </c>
      <c r="AQ598" s="2" t="s">
        <v>82</v>
      </c>
      <c r="AR598" s="2" t="s">
        <v>82</v>
      </c>
      <c r="AS598" s="2" t="s">
        <v>82</v>
      </c>
      <c r="AT598" s="2" t="s">
        <v>2547</v>
      </c>
      <c r="AU598" s="2"/>
      <c r="AV598" s="2"/>
      <c r="AW598" s="2"/>
      <c r="AX598" s="2"/>
      <c r="AY598" s="2">
        <v>41</v>
      </c>
      <c r="AZ598" s="2" t="s">
        <v>82</v>
      </c>
      <c r="BA598" s="2">
        <v>41</v>
      </c>
      <c r="BB598" s="2" t="s">
        <v>82</v>
      </c>
      <c r="BC598" s="2">
        <v>41</v>
      </c>
      <c r="BD598" s="2" t="s">
        <v>82</v>
      </c>
      <c r="BE598" s="2">
        <v>13</v>
      </c>
      <c r="BF598" s="2" t="s">
        <v>108</v>
      </c>
      <c r="BG598" s="2" t="s">
        <v>107</v>
      </c>
      <c r="BH598" s="2"/>
      <c r="BI598" s="4">
        <v>0.4236111111111111</v>
      </c>
      <c r="BJ598" s="2">
        <v>13</v>
      </c>
      <c r="BK598" s="2" t="s">
        <v>91</v>
      </c>
      <c r="BL598" s="2" t="s">
        <v>185</v>
      </c>
      <c r="BM598" s="2">
        <v>241</v>
      </c>
      <c r="BN598" s="2" t="s">
        <v>82</v>
      </c>
      <c r="BO598" s="2" t="s">
        <v>82</v>
      </c>
      <c r="BP598" s="2">
        <v>13</v>
      </c>
      <c r="BQ598" s="2" t="s">
        <v>91</v>
      </c>
      <c r="BR598" s="2" t="s">
        <v>2548</v>
      </c>
      <c r="BS598" s="3">
        <v>40227</v>
      </c>
      <c r="BT598" s="4">
        <v>0.87982638888888898</v>
      </c>
    </row>
    <row r="599" spans="1:72" x14ac:dyDescent="0.25">
      <c r="A599" s="2">
        <v>946</v>
      </c>
      <c r="B599" s="2">
        <v>2010</v>
      </c>
      <c r="C599" s="2" t="s">
        <v>72</v>
      </c>
      <c r="D599" s="2" t="s">
        <v>73</v>
      </c>
      <c r="E599" s="2"/>
      <c r="F599" s="2">
        <v>389</v>
      </c>
      <c r="G599" s="2" t="s">
        <v>1819</v>
      </c>
      <c r="H599" s="2">
        <v>4</v>
      </c>
      <c r="I599" s="2" t="s">
        <v>173</v>
      </c>
      <c r="J599" s="2">
        <v>399</v>
      </c>
      <c r="K599" s="2" t="s">
        <v>1820</v>
      </c>
      <c r="L599" s="2" t="s">
        <v>1821</v>
      </c>
      <c r="M599" s="3">
        <v>40227</v>
      </c>
      <c r="N599" s="2" t="s">
        <v>2549</v>
      </c>
      <c r="O599" s="2" t="s">
        <v>107</v>
      </c>
      <c r="P599" s="2" t="s">
        <v>107</v>
      </c>
      <c r="Q599" s="2" t="str">
        <f>"01R/10"</f>
        <v>01R/10</v>
      </c>
      <c r="R599" s="2" t="s">
        <v>116</v>
      </c>
      <c r="S599" s="2" t="s">
        <v>116</v>
      </c>
      <c r="T599" s="2">
        <v>1</v>
      </c>
      <c r="U599" s="2" t="s">
        <v>79</v>
      </c>
      <c r="V599" s="2">
        <v>1</v>
      </c>
      <c r="W599" s="2" t="s">
        <v>80</v>
      </c>
      <c r="X599" s="2">
        <v>5</v>
      </c>
      <c r="Y599" s="2" t="s">
        <v>82</v>
      </c>
      <c r="Z599" s="2">
        <v>10</v>
      </c>
      <c r="AA599" s="2" t="s">
        <v>236</v>
      </c>
      <c r="AB599" s="2">
        <v>6</v>
      </c>
      <c r="AC599" s="2" t="s">
        <v>83</v>
      </c>
      <c r="AD599" s="3">
        <v>40227</v>
      </c>
      <c r="AE599" s="4">
        <v>0.30555555555555552</v>
      </c>
      <c r="AF599" s="3">
        <v>40227</v>
      </c>
      <c r="AG599" s="4">
        <v>0.52430555555555558</v>
      </c>
      <c r="AH599" s="2">
        <v>2</v>
      </c>
      <c r="AI599" s="2" t="s">
        <v>84</v>
      </c>
      <c r="AJ599" s="2">
        <v>6</v>
      </c>
      <c r="AK599" s="2" t="s">
        <v>453</v>
      </c>
      <c r="AL599" s="2">
        <v>18</v>
      </c>
      <c r="AM599" s="2" t="s">
        <v>82</v>
      </c>
      <c r="AN599" s="2" t="s">
        <v>2550</v>
      </c>
      <c r="AO599" s="2" t="s">
        <v>2551</v>
      </c>
      <c r="AP599" s="2">
        <v>11</v>
      </c>
      <c r="AQ599" s="2" t="s">
        <v>82</v>
      </c>
      <c r="AR599" s="2"/>
      <c r="AS599" s="2"/>
      <c r="AT599" s="2" t="s">
        <v>2552</v>
      </c>
      <c r="AU599" s="2"/>
      <c r="AV599" s="2">
        <v>1</v>
      </c>
      <c r="AW599" s="2"/>
      <c r="AX599" s="2"/>
      <c r="AY599" s="2">
        <v>1</v>
      </c>
      <c r="AZ599" s="2" t="s">
        <v>107</v>
      </c>
      <c r="BA599" s="2">
        <v>1</v>
      </c>
      <c r="BB599" s="2" t="s">
        <v>107</v>
      </c>
      <c r="BC599" s="2">
        <v>1</v>
      </c>
      <c r="BD599" s="2" t="s">
        <v>107</v>
      </c>
      <c r="BE599" s="2">
        <v>1</v>
      </c>
      <c r="BF599" s="2" t="s">
        <v>107</v>
      </c>
      <c r="BG599" s="2" t="s">
        <v>82</v>
      </c>
      <c r="BH599" s="2"/>
      <c r="BI599" s="2"/>
      <c r="BJ599" s="2">
        <v>242</v>
      </c>
      <c r="BK599" s="2" t="s">
        <v>107</v>
      </c>
      <c r="BL599" s="2"/>
      <c r="BM599" s="2">
        <v>242</v>
      </c>
      <c r="BN599" s="2" t="s">
        <v>107</v>
      </c>
      <c r="BO599" s="2"/>
      <c r="BP599" s="2">
        <v>242</v>
      </c>
      <c r="BQ599" s="2" t="s">
        <v>107</v>
      </c>
      <c r="BR599" s="2"/>
      <c r="BS599" s="3">
        <v>40227</v>
      </c>
      <c r="BT599" s="4">
        <v>0.90601851851851845</v>
      </c>
    </row>
    <row r="600" spans="1:72" x14ac:dyDescent="0.25">
      <c r="A600" s="2">
        <v>947</v>
      </c>
      <c r="B600" s="2">
        <v>2010</v>
      </c>
      <c r="C600" s="2" t="s">
        <v>72</v>
      </c>
      <c r="D600" s="2" t="s">
        <v>73</v>
      </c>
      <c r="E600" s="2"/>
      <c r="F600" s="2">
        <v>180</v>
      </c>
      <c r="G600" s="2" t="s">
        <v>2553</v>
      </c>
      <c r="H600" s="2">
        <v>58</v>
      </c>
      <c r="I600" s="2" t="s">
        <v>2554</v>
      </c>
      <c r="J600" s="2">
        <v>429</v>
      </c>
      <c r="K600" s="2" t="s">
        <v>2555</v>
      </c>
      <c r="L600" s="2" t="s">
        <v>2556</v>
      </c>
      <c r="M600" s="3">
        <v>40227</v>
      </c>
      <c r="N600" s="2" t="s">
        <v>2557</v>
      </c>
      <c r="O600" s="2" t="s">
        <v>107</v>
      </c>
      <c r="P600" s="2" t="s">
        <v>107</v>
      </c>
      <c r="Q600" s="2" t="str">
        <f>"59-A/10"</f>
        <v>59-A/10</v>
      </c>
      <c r="R600" s="2" t="s">
        <v>206</v>
      </c>
      <c r="S600" s="2" t="s">
        <v>1547</v>
      </c>
      <c r="T600" s="2">
        <v>1</v>
      </c>
      <c r="U600" s="2" t="s">
        <v>79</v>
      </c>
      <c r="V600" s="2">
        <v>1</v>
      </c>
      <c r="W600" s="2" t="s">
        <v>80</v>
      </c>
      <c r="X600" s="2">
        <v>1</v>
      </c>
      <c r="Y600" s="2" t="s">
        <v>81</v>
      </c>
      <c r="Z600" s="2">
        <v>1</v>
      </c>
      <c r="AA600" s="2" t="s">
        <v>82</v>
      </c>
      <c r="AB600" s="2">
        <v>6</v>
      </c>
      <c r="AC600" s="2" t="s">
        <v>83</v>
      </c>
      <c r="AD600" s="3">
        <v>40224</v>
      </c>
      <c r="AE600" s="4">
        <v>0.79166666666666663</v>
      </c>
      <c r="AF600" s="3">
        <v>40227</v>
      </c>
      <c r="AG600" s="4">
        <v>0.44791666666666669</v>
      </c>
      <c r="AH600" s="2">
        <v>2</v>
      </c>
      <c r="AI600" s="2" t="s">
        <v>84</v>
      </c>
      <c r="AJ600" s="2">
        <v>12</v>
      </c>
      <c r="AK600" s="2" t="s">
        <v>85</v>
      </c>
      <c r="AL600" s="2">
        <v>10</v>
      </c>
      <c r="AM600" s="2" t="s">
        <v>200</v>
      </c>
      <c r="AN600" s="2"/>
      <c r="AO600" s="2" t="s">
        <v>2558</v>
      </c>
      <c r="AP600" s="2">
        <v>11</v>
      </c>
      <c r="AQ600" s="2" t="s">
        <v>82</v>
      </c>
      <c r="AR600" s="2"/>
      <c r="AS600" s="2"/>
      <c r="AT600" s="2" t="s">
        <v>2559</v>
      </c>
      <c r="AU600" s="2"/>
      <c r="AV600" s="2"/>
      <c r="AW600" s="2"/>
      <c r="AX600" s="2"/>
      <c r="AY600" s="2">
        <v>41</v>
      </c>
      <c r="AZ600" s="2" t="s">
        <v>82</v>
      </c>
      <c r="BA600" s="2">
        <v>41</v>
      </c>
      <c r="BB600" s="2" t="s">
        <v>82</v>
      </c>
      <c r="BC600" s="2">
        <v>41</v>
      </c>
      <c r="BD600" s="2" t="s">
        <v>82</v>
      </c>
      <c r="BE600" s="2">
        <v>47</v>
      </c>
      <c r="BF600" s="2" t="s">
        <v>167</v>
      </c>
      <c r="BG600" s="2" t="s">
        <v>2560</v>
      </c>
      <c r="BH600" s="4">
        <v>4.1666666666666664E-2</v>
      </c>
      <c r="BI600" s="4">
        <v>0.88541666666666663</v>
      </c>
      <c r="BJ600" s="2">
        <v>13</v>
      </c>
      <c r="BK600" s="2" t="s">
        <v>91</v>
      </c>
      <c r="BL600" s="2" t="s">
        <v>895</v>
      </c>
      <c r="BM600" s="2">
        <v>241</v>
      </c>
      <c r="BN600" s="2" t="s">
        <v>82</v>
      </c>
      <c r="BO600" s="2"/>
      <c r="BP600" s="2">
        <v>13</v>
      </c>
      <c r="BQ600" s="2" t="s">
        <v>91</v>
      </c>
      <c r="BR600" s="2" t="s">
        <v>564</v>
      </c>
      <c r="BS600" s="3">
        <v>40227</v>
      </c>
      <c r="BT600" s="4">
        <v>0.93540509259259252</v>
      </c>
    </row>
    <row r="601" spans="1:72" x14ac:dyDescent="0.25">
      <c r="A601" s="2">
        <v>948</v>
      </c>
      <c r="B601" s="2">
        <v>2010</v>
      </c>
      <c r="C601" s="2" t="s">
        <v>72</v>
      </c>
      <c r="D601" s="2" t="s">
        <v>73</v>
      </c>
      <c r="E601" s="2"/>
      <c r="F601" s="2">
        <v>180</v>
      </c>
      <c r="G601" s="2" t="s">
        <v>2553</v>
      </c>
      <c r="H601" s="2">
        <v>58</v>
      </c>
      <c r="I601" s="2" t="s">
        <v>2554</v>
      </c>
      <c r="J601" s="2">
        <v>429</v>
      </c>
      <c r="K601" s="2" t="s">
        <v>2555</v>
      </c>
      <c r="L601" s="2" t="s">
        <v>2556</v>
      </c>
      <c r="M601" s="3">
        <v>40227</v>
      </c>
      <c r="N601" s="2" t="s">
        <v>2561</v>
      </c>
      <c r="O601" s="2" t="s">
        <v>107</v>
      </c>
      <c r="P601" s="2" t="s">
        <v>107</v>
      </c>
      <c r="Q601" s="2" t="str">
        <f>"061-A/10"</f>
        <v>061-A/10</v>
      </c>
      <c r="R601" s="2" t="s">
        <v>899</v>
      </c>
      <c r="S601" s="2" t="s">
        <v>899</v>
      </c>
      <c r="T601" s="2">
        <v>1</v>
      </c>
      <c r="U601" s="2" t="s">
        <v>79</v>
      </c>
      <c r="V601" s="2">
        <v>1</v>
      </c>
      <c r="W601" s="2" t="s">
        <v>80</v>
      </c>
      <c r="X601" s="2">
        <v>1</v>
      </c>
      <c r="Y601" s="2" t="s">
        <v>81</v>
      </c>
      <c r="Z601" s="2">
        <v>1</v>
      </c>
      <c r="AA601" s="2" t="s">
        <v>82</v>
      </c>
      <c r="AB601" s="2">
        <v>6</v>
      </c>
      <c r="AC601" s="2" t="s">
        <v>83</v>
      </c>
      <c r="AD601" s="3">
        <v>40227</v>
      </c>
      <c r="AE601" s="4">
        <v>0.61458333333333337</v>
      </c>
      <c r="AF601" s="3">
        <v>40227</v>
      </c>
      <c r="AG601" s="4">
        <v>0.84027777777777779</v>
      </c>
      <c r="AH601" s="2">
        <v>2</v>
      </c>
      <c r="AI601" s="2" t="s">
        <v>84</v>
      </c>
      <c r="AJ601" s="2">
        <v>12</v>
      </c>
      <c r="AK601" s="2" t="s">
        <v>85</v>
      </c>
      <c r="AL601" s="2">
        <v>10</v>
      </c>
      <c r="AM601" s="2" t="s">
        <v>200</v>
      </c>
      <c r="AN601" s="2"/>
      <c r="AO601" s="2" t="s">
        <v>2562</v>
      </c>
      <c r="AP601" s="2">
        <v>11</v>
      </c>
      <c r="AQ601" s="2" t="s">
        <v>82</v>
      </c>
      <c r="AR601" s="2"/>
      <c r="AS601" s="2"/>
      <c r="AT601" s="2" t="s">
        <v>2563</v>
      </c>
      <c r="AU601" s="2"/>
      <c r="AV601" s="2"/>
      <c r="AW601" s="2"/>
      <c r="AX601" s="2"/>
      <c r="AY601" s="2">
        <v>41</v>
      </c>
      <c r="AZ601" s="2" t="s">
        <v>82</v>
      </c>
      <c r="BA601" s="2">
        <v>41</v>
      </c>
      <c r="BB601" s="2" t="s">
        <v>82</v>
      </c>
      <c r="BC601" s="2">
        <v>41</v>
      </c>
      <c r="BD601" s="2" t="s">
        <v>82</v>
      </c>
      <c r="BE601" s="2">
        <v>47</v>
      </c>
      <c r="BF601" s="2" t="s">
        <v>167</v>
      </c>
      <c r="BG601" s="2" t="s">
        <v>2564</v>
      </c>
      <c r="BH601" s="4">
        <v>0.72916666666666663</v>
      </c>
      <c r="BI601" s="4">
        <v>0.63541666666666663</v>
      </c>
      <c r="BJ601" s="2">
        <v>13</v>
      </c>
      <c r="BK601" s="2" t="s">
        <v>91</v>
      </c>
      <c r="BL601" s="2" t="s">
        <v>1199</v>
      </c>
      <c r="BM601" s="2">
        <v>241</v>
      </c>
      <c r="BN601" s="2" t="s">
        <v>82</v>
      </c>
      <c r="BO601" s="2"/>
      <c r="BP601" s="2">
        <v>13</v>
      </c>
      <c r="BQ601" s="2" t="s">
        <v>91</v>
      </c>
      <c r="BR601" s="2" t="s">
        <v>564</v>
      </c>
      <c r="BS601" s="3">
        <v>40227</v>
      </c>
      <c r="BT601" s="4">
        <v>0.95587962962962969</v>
      </c>
    </row>
    <row r="602" spans="1:72" x14ac:dyDescent="0.25">
      <c r="A602" s="2">
        <v>949</v>
      </c>
      <c r="B602" s="2">
        <v>2010</v>
      </c>
      <c r="C602" s="2" t="s">
        <v>147</v>
      </c>
      <c r="D602" s="2" t="s">
        <v>73</v>
      </c>
      <c r="E602" s="2"/>
      <c r="F602" s="2">
        <v>1</v>
      </c>
      <c r="G602" s="2" t="s">
        <v>82</v>
      </c>
      <c r="H602" s="2">
        <v>1</v>
      </c>
      <c r="I602" s="2" t="s">
        <v>82</v>
      </c>
      <c r="J602" s="2">
        <v>1</v>
      </c>
      <c r="K602" s="2" t="s">
        <v>107</v>
      </c>
      <c r="L602" s="2" t="s">
        <v>107</v>
      </c>
      <c r="M602" s="3">
        <v>40227</v>
      </c>
      <c r="N602" s="2"/>
      <c r="O602" s="2"/>
      <c r="P602" s="2"/>
      <c r="Q602" s="2" t="str">
        <f>""</f>
        <v/>
      </c>
      <c r="R602" s="2"/>
      <c r="S602" s="2"/>
      <c r="T602" s="2">
        <v>2</v>
      </c>
      <c r="U602" s="2" t="s">
        <v>123</v>
      </c>
      <c r="V602" s="2">
        <v>1</v>
      </c>
      <c r="W602" s="2" t="s">
        <v>80</v>
      </c>
      <c r="X602" s="2">
        <v>12</v>
      </c>
      <c r="Y602" s="2" t="s">
        <v>148</v>
      </c>
      <c r="Z602" s="2">
        <v>1</v>
      </c>
      <c r="AA602" s="2" t="s">
        <v>82</v>
      </c>
      <c r="AB602" s="2">
        <v>9</v>
      </c>
      <c r="AC602" s="2" t="s">
        <v>124</v>
      </c>
      <c r="AD602" s="3">
        <v>40225</v>
      </c>
      <c r="AE602" s="4">
        <v>0</v>
      </c>
      <c r="AF602" s="3">
        <v>40227</v>
      </c>
      <c r="AG602" s="4">
        <v>0.51041666666666663</v>
      </c>
      <c r="AH602" s="2">
        <v>2</v>
      </c>
      <c r="AI602" s="2" t="s">
        <v>84</v>
      </c>
      <c r="AJ602" s="2">
        <v>12</v>
      </c>
      <c r="AK602" s="2" t="s">
        <v>85</v>
      </c>
      <c r="AL602" s="2">
        <v>19</v>
      </c>
      <c r="AM602" s="2" t="s">
        <v>107</v>
      </c>
      <c r="AN602" s="2"/>
      <c r="AO602" s="2" t="s">
        <v>2565</v>
      </c>
      <c r="AP602" s="2">
        <v>11</v>
      </c>
      <c r="AQ602" s="2" t="s">
        <v>82</v>
      </c>
      <c r="AR602" s="2"/>
      <c r="AS602" s="2"/>
      <c r="AT602" s="2" t="s">
        <v>2566</v>
      </c>
      <c r="AU602" s="2"/>
      <c r="AV602" s="2"/>
      <c r="AW602" s="2"/>
      <c r="AX602" s="2"/>
      <c r="AY602" s="2">
        <v>41</v>
      </c>
      <c r="AZ602" s="2" t="s">
        <v>82</v>
      </c>
      <c r="BA602" s="2">
        <v>41</v>
      </c>
      <c r="BB602" s="2" t="s">
        <v>82</v>
      </c>
      <c r="BC602" s="2">
        <v>41</v>
      </c>
      <c r="BD602" s="2" t="s">
        <v>82</v>
      </c>
      <c r="BE602" s="2">
        <v>41</v>
      </c>
      <c r="BF602" s="2" t="s">
        <v>82</v>
      </c>
      <c r="BG602" s="2"/>
      <c r="BH602" s="2"/>
      <c r="BI602" s="2"/>
      <c r="BJ602" s="2">
        <v>241</v>
      </c>
      <c r="BK602" s="2" t="s">
        <v>82</v>
      </c>
      <c r="BL602" s="2"/>
      <c r="BM602" s="2">
        <v>241</v>
      </c>
      <c r="BN602" s="2" t="s">
        <v>82</v>
      </c>
      <c r="BO602" s="2"/>
      <c r="BP602" s="2">
        <v>241</v>
      </c>
      <c r="BQ602" s="2" t="s">
        <v>82</v>
      </c>
      <c r="BR602" s="2"/>
      <c r="BS602" s="3">
        <v>40227</v>
      </c>
      <c r="BT602" s="4">
        <v>0.96434027777777775</v>
      </c>
    </row>
    <row r="603" spans="1:72" x14ac:dyDescent="0.25">
      <c r="A603" s="2">
        <v>950</v>
      </c>
      <c r="B603" s="2">
        <v>2010</v>
      </c>
      <c r="C603" s="2" t="s">
        <v>2567</v>
      </c>
      <c r="D603" s="2" t="s">
        <v>122</v>
      </c>
      <c r="E603" s="2"/>
      <c r="F603" s="2">
        <v>1</v>
      </c>
      <c r="G603" s="2" t="s">
        <v>82</v>
      </c>
      <c r="H603" s="2">
        <v>1</v>
      </c>
      <c r="I603" s="2" t="s">
        <v>82</v>
      </c>
      <c r="J603" s="2">
        <v>1</v>
      </c>
      <c r="K603" s="2" t="s">
        <v>107</v>
      </c>
      <c r="L603" s="2" t="s">
        <v>107</v>
      </c>
      <c r="M603" s="3">
        <v>40227</v>
      </c>
      <c r="N603" s="2"/>
      <c r="O603" s="2"/>
      <c r="P603" s="2"/>
      <c r="Q603" s="2" t="str">
        <f>""</f>
        <v/>
      </c>
      <c r="R603" s="2"/>
      <c r="S603" s="2"/>
      <c r="T603" s="2">
        <v>1</v>
      </c>
      <c r="U603" s="2" t="s">
        <v>79</v>
      </c>
      <c r="V603" s="2">
        <v>1</v>
      </c>
      <c r="W603" s="2" t="s">
        <v>80</v>
      </c>
      <c r="X603" s="2">
        <v>1</v>
      </c>
      <c r="Y603" s="2" t="s">
        <v>81</v>
      </c>
      <c r="Z603" s="2">
        <v>1</v>
      </c>
      <c r="AA603" s="2" t="s">
        <v>82</v>
      </c>
      <c r="AB603" s="2">
        <v>9</v>
      </c>
      <c r="AC603" s="2" t="s">
        <v>124</v>
      </c>
      <c r="AD603" s="3">
        <v>40227</v>
      </c>
      <c r="AE603" s="4">
        <v>0.83333333333333337</v>
      </c>
      <c r="AF603" s="2"/>
      <c r="AG603" s="2"/>
      <c r="AH603" s="2">
        <v>6</v>
      </c>
      <c r="AI603" s="2" t="s">
        <v>197</v>
      </c>
      <c r="AJ603" s="2">
        <v>58</v>
      </c>
      <c r="AK603" s="2" t="s">
        <v>406</v>
      </c>
      <c r="AL603" s="2">
        <v>2</v>
      </c>
      <c r="AM603" s="2" t="s">
        <v>163</v>
      </c>
      <c r="AN603" s="2" t="s">
        <v>2568</v>
      </c>
      <c r="AO603" s="2" t="s">
        <v>230</v>
      </c>
      <c r="AP603" s="2">
        <v>12</v>
      </c>
      <c r="AQ603" s="2" t="s">
        <v>322</v>
      </c>
      <c r="AR603" s="2" t="s">
        <v>2569</v>
      </c>
      <c r="AS603" s="2" t="s">
        <v>2570</v>
      </c>
      <c r="AT603" s="2" t="s">
        <v>2571</v>
      </c>
      <c r="AU603" s="2"/>
      <c r="AV603" s="2"/>
      <c r="AW603" s="2"/>
      <c r="AX603" s="2"/>
      <c r="AY603" s="2">
        <v>41</v>
      </c>
      <c r="AZ603" s="2" t="s">
        <v>82</v>
      </c>
      <c r="BA603" s="2">
        <v>41</v>
      </c>
      <c r="BB603" s="2" t="s">
        <v>82</v>
      </c>
      <c r="BC603" s="2">
        <v>49</v>
      </c>
      <c r="BD603" s="2" t="s">
        <v>2572</v>
      </c>
      <c r="BE603" s="2">
        <v>13</v>
      </c>
      <c r="BF603" s="2" t="s">
        <v>108</v>
      </c>
      <c r="BG603" s="2">
        <v>1880</v>
      </c>
      <c r="BH603" s="4">
        <v>0.81388888888888899</v>
      </c>
      <c r="BI603" s="4">
        <v>0.8340277777777777</v>
      </c>
      <c r="BJ603" s="2">
        <v>13</v>
      </c>
      <c r="BK603" s="2" t="s">
        <v>91</v>
      </c>
      <c r="BL603" s="2" t="s">
        <v>170</v>
      </c>
      <c r="BM603" s="2">
        <v>13</v>
      </c>
      <c r="BN603" s="2" t="s">
        <v>91</v>
      </c>
      <c r="BO603" s="2" t="s">
        <v>492</v>
      </c>
      <c r="BP603" s="2">
        <v>13</v>
      </c>
      <c r="BQ603" s="2" t="s">
        <v>91</v>
      </c>
      <c r="BR603" s="2" t="s">
        <v>895</v>
      </c>
      <c r="BS603" s="3">
        <v>40227</v>
      </c>
      <c r="BT603" s="4">
        <v>0.97149305555555554</v>
      </c>
    </row>
    <row r="604" spans="1:72" x14ac:dyDescent="0.25">
      <c r="A604" s="2">
        <v>951</v>
      </c>
      <c r="B604" s="2">
        <v>2010</v>
      </c>
      <c r="C604" s="2" t="s">
        <v>554</v>
      </c>
      <c r="D604" s="2" t="s">
        <v>73</v>
      </c>
      <c r="E604" s="2"/>
      <c r="F604" s="2">
        <v>2</v>
      </c>
      <c r="G604" s="2" t="s">
        <v>113</v>
      </c>
      <c r="H604" s="2">
        <v>1</v>
      </c>
      <c r="I604" s="2" t="s">
        <v>82</v>
      </c>
      <c r="J604" s="2">
        <v>300</v>
      </c>
      <c r="K604" s="2" t="s">
        <v>114</v>
      </c>
      <c r="L604" s="2" t="s">
        <v>115</v>
      </c>
      <c r="M604" s="3">
        <v>40227</v>
      </c>
      <c r="N604" s="2"/>
      <c r="O604" s="2"/>
      <c r="P604" s="2"/>
      <c r="Q604" s="2" t="str">
        <f>"096-E/10"</f>
        <v>096-E/10</v>
      </c>
      <c r="R604" s="2" t="s">
        <v>1130</v>
      </c>
      <c r="S604" s="2" t="s">
        <v>1130</v>
      </c>
      <c r="T604" s="2">
        <v>1</v>
      </c>
      <c r="U604" s="2" t="s">
        <v>79</v>
      </c>
      <c r="V604" s="2">
        <v>1</v>
      </c>
      <c r="W604" s="2" t="s">
        <v>80</v>
      </c>
      <c r="X604" s="2">
        <v>1</v>
      </c>
      <c r="Y604" s="2" t="s">
        <v>81</v>
      </c>
      <c r="Z604" s="2">
        <v>1</v>
      </c>
      <c r="AA604" s="2" t="s">
        <v>82</v>
      </c>
      <c r="AB604" s="2">
        <v>5</v>
      </c>
      <c r="AC604" s="2" t="s">
        <v>559</v>
      </c>
      <c r="AD604" s="3">
        <v>40227</v>
      </c>
      <c r="AE604" s="4">
        <v>0.64583333333333337</v>
      </c>
      <c r="AF604" s="3">
        <v>40227</v>
      </c>
      <c r="AG604" s="4">
        <v>0.6875</v>
      </c>
      <c r="AH604" s="2">
        <v>2</v>
      </c>
      <c r="AI604" s="2" t="s">
        <v>84</v>
      </c>
      <c r="AJ604" s="2">
        <v>9</v>
      </c>
      <c r="AK604" s="2" t="s">
        <v>103</v>
      </c>
      <c r="AL604" s="2">
        <v>12</v>
      </c>
      <c r="AM604" s="2" t="s">
        <v>86</v>
      </c>
      <c r="AN604" s="2" t="s">
        <v>2573</v>
      </c>
      <c r="AO604" s="2" t="s">
        <v>1936</v>
      </c>
      <c r="AP604" s="2">
        <v>11</v>
      </c>
      <c r="AQ604" s="2" t="s">
        <v>82</v>
      </c>
      <c r="AR604" s="2"/>
      <c r="AS604" s="2"/>
      <c r="AT604" s="2" t="s">
        <v>2574</v>
      </c>
      <c r="AU604" s="2"/>
      <c r="AV604" s="2"/>
      <c r="AW604" s="2">
        <v>1</v>
      </c>
      <c r="AX604" s="2"/>
      <c r="AY604" s="2">
        <v>41</v>
      </c>
      <c r="AZ604" s="2" t="s">
        <v>82</v>
      </c>
      <c r="BA604" s="2">
        <v>41</v>
      </c>
      <c r="BB604" s="2" t="s">
        <v>82</v>
      </c>
      <c r="BC604" s="2">
        <v>41</v>
      </c>
      <c r="BD604" s="2" t="s">
        <v>82</v>
      </c>
      <c r="BE604" s="2">
        <v>41</v>
      </c>
      <c r="BF604" s="2" t="s">
        <v>82</v>
      </c>
      <c r="BG604" s="2" t="s">
        <v>82</v>
      </c>
      <c r="BH604" s="2"/>
      <c r="BI604" s="2"/>
      <c r="BJ604" s="2">
        <v>241</v>
      </c>
      <c r="BK604" s="2" t="s">
        <v>82</v>
      </c>
      <c r="BL604" s="2"/>
      <c r="BM604" s="2">
        <v>241</v>
      </c>
      <c r="BN604" s="2" t="s">
        <v>82</v>
      </c>
      <c r="BO604" s="2"/>
      <c r="BP604" s="2">
        <v>241</v>
      </c>
      <c r="BQ604" s="2" t="s">
        <v>82</v>
      </c>
      <c r="BR604" s="2"/>
      <c r="BS604" s="3">
        <v>40227</v>
      </c>
      <c r="BT604" s="4">
        <v>0.97717592592592595</v>
      </c>
    </row>
    <row r="605" spans="1:72" x14ac:dyDescent="0.25">
      <c r="A605" s="2">
        <v>952</v>
      </c>
      <c r="B605" s="2">
        <v>2010</v>
      </c>
      <c r="C605" s="2" t="s">
        <v>377</v>
      </c>
      <c r="D605" s="2" t="s">
        <v>73</v>
      </c>
      <c r="E605" s="2"/>
      <c r="F605" s="2">
        <v>426</v>
      </c>
      <c r="G605" s="2" t="s">
        <v>378</v>
      </c>
      <c r="H605" s="2">
        <v>1</v>
      </c>
      <c r="I605" s="2" t="s">
        <v>82</v>
      </c>
      <c r="J605" s="2">
        <v>311</v>
      </c>
      <c r="K605" s="2" t="s">
        <v>379</v>
      </c>
      <c r="L605" s="2" t="s">
        <v>380</v>
      </c>
      <c r="M605" s="3">
        <v>40228</v>
      </c>
      <c r="N605" s="2" t="s">
        <v>107</v>
      </c>
      <c r="O605" s="2" t="s">
        <v>107</v>
      </c>
      <c r="P605" s="2" t="s">
        <v>107</v>
      </c>
      <c r="Q605" s="2" t="str">
        <f>"011-E/10"</f>
        <v>011-E/10</v>
      </c>
      <c r="R605" s="2" t="s">
        <v>2575</v>
      </c>
      <c r="S605" s="2" t="s">
        <v>2575</v>
      </c>
      <c r="T605" s="2">
        <v>1</v>
      </c>
      <c r="U605" s="2" t="s">
        <v>79</v>
      </c>
      <c r="V605" s="2">
        <v>1</v>
      </c>
      <c r="W605" s="2" t="s">
        <v>80</v>
      </c>
      <c r="X605" s="2">
        <v>1</v>
      </c>
      <c r="Y605" s="2" t="s">
        <v>81</v>
      </c>
      <c r="Z605" s="2">
        <v>1</v>
      </c>
      <c r="AA605" s="2" t="s">
        <v>82</v>
      </c>
      <c r="AB605" s="2">
        <v>9</v>
      </c>
      <c r="AC605" s="2" t="s">
        <v>124</v>
      </c>
      <c r="AD605" s="3">
        <v>40227</v>
      </c>
      <c r="AE605" s="4">
        <v>0.5</v>
      </c>
      <c r="AF605" s="3">
        <v>40227</v>
      </c>
      <c r="AG605" s="4">
        <v>0.79166666666666663</v>
      </c>
      <c r="AH605" s="2">
        <v>2</v>
      </c>
      <c r="AI605" s="2" t="s">
        <v>84</v>
      </c>
      <c r="AJ605" s="2">
        <v>9</v>
      </c>
      <c r="AK605" s="2" t="s">
        <v>103</v>
      </c>
      <c r="AL605" s="2">
        <v>15</v>
      </c>
      <c r="AM605" s="2" t="s">
        <v>104</v>
      </c>
      <c r="AN605" s="2" t="s">
        <v>2576</v>
      </c>
      <c r="AO605" s="2" t="s">
        <v>107</v>
      </c>
      <c r="AP605" s="2">
        <v>11</v>
      </c>
      <c r="AQ605" s="2" t="s">
        <v>82</v>
      </c>
      <c r="AR605" s="2"/>
      <c r="AS605" s="2"/>
      <c r="AT605" s="2" t="s">
        <v>2577</v>
      </c>
      <c r="AU605" s="2"/>
      <c r="AV605" s="2"/>
      <c r="AW605" s="2"/>
      <c r="AX605" s="2"/>
      <c r="AY605" s="2">
        <v>41</v>
      </c>
      <c r="AZ605" s="2" t="s">
        <v>82</v>
      </c>
      <c r="BA605" s="2">
        <v>41</v>
      </c>
      <c r="BB605" s="2" t="s">
        <v>82</v>
      </c>
      <c r="BC605" s="2">
        <v>41</v>
      </c>
      <c r="BD605" s="2" t="s">
        <v>82</v>
      </c>
      <c r="BE605" s="2">
        <v>41</v>
      </c>
      <c r="BF605" s="2" t="s">
        <v>82</v>
      </c>
      <c r="BG605" s="2"/>
      <c r="BH605" s="2"/>
      <c r="BI605" s="2"/>
      <c r="BJ605" s="2">
        <v>241</v>
      </c>
      <c r="BK605" s="2" t="s">
        <v>82</v>
      </c>
      <c r="BL605" s="2"/>
      <c r="BM605" s="2">
        <v>241</v>
      </c>
      <c r="BN605" s="2" t="s">
        <v>82</v>
      </c>
      <c r="BO605" s="2"/>
      <c r="BP605" s="2">
        <v>241</v>
      </c>
      <c r="BQ605" s="2" t="s">
        <v>82</v>
      </c>
      <c r="BR605" s="2"/>
      <c r="BS605" s="3">
        <v>40228</v>
      </c>
      <c r="BT605" s="4">
        <v>2.9398148148148148E-3</v>
      </c>
    </row>
    <row r="606" spans="1:72" x14ac:dyDescent="0.25">
      <c r="A606" s="2">
        <v>953</v>
      </c>
      <c r="B606" s="2">
        <v>2010</v>
      </c>
      <c r="C606" s="2" t="s">
        <v>819</v>
      </c>
      <c r="D606" s="2" t="s">
        <v>122</v>
      </c>
      <c r="E606" s="2"/>
      <c r="F606" s="2">
        <v>56</v>
      </c>
      <c r="G606" s="2" t="s">
        <v>2578</v>
      </c>
      <c r="H606" s="2">
        <v>39</v>
      </c>
      <c r="I606" s="2" t="s">
        <v>1117</v>
      </c>
      <c r="J606" s="2">
        <v>310</v>
      </c>
      <c r="K606" s="2" t="s">
        <v>288</v>
      </c>
      <c r="L606" s="2" t="s">
        <v>289</v>
      </c>
      <c r="M606" s="3">
        <v>40228</v>
      </c>
      <c r="N606" s="2" t="s">
        <v>2049</v>
      </c>
      <c r="O606" s="2"/>
      <c r="P606" s="2"/>
      <c r="Q606" s="2" t="str">
        <f>"0054/10"</f>
        <v>0054/10</v>
      </c>
      <c r="R606" s="2"/>
      <c r="S606" s="2" t="s">
        <v>822</v>
      </c>
      <c r="T606" s="2">
        <v>1</v>
      </c>
      <c r="U606" s="2" t="s">
        <v>79</v>
      </c>
      <c r="V606" s="2">
        <v>1</v>
      </c>
      <c r="W606" s="2" t="s">
        <v>80</v>
      </c>
      <c r="X606" s="2">
        <v>1</v>
      </c>
      <c r="Y606" s="2" t="s">
        <v>81</v>
      </c>
      <c r="Z606" s="2">
        <v>10</v>
      </c>
      <c r="AA606" s="2" t="s">
        <v>236</v>
      </c>
      <c r="AB606" s="2">
        <v>9</v>
      </c>
      <c r="AC606" s="2" t="s">
        <v>124</v>
      </c>
      <c r="AD606" s="3">
        <v>40227</v>
      </c>
      <c r="AE606" s="4">
        <v>0.88888888888888884</v>
      </c>
      <c r="AF606" s="2"/>
      <c r="AG606" s="2"/>
      <c r="AH606" s="2">
        <v>4</v>
      </c>
      <c r="AI606" s="2" t="s">
        <v>125</v>
      </c>
      <c r="AJ606" s="2">
        <v>29</v>
      </c>
      <c r="AK606" s="2" t="s">
        <v>227</v>
      </c>
      <c r="AL606" s="2">
        <v>10</v>
      </c>
      <c r="AM606" s="2" t="s">
        <v>200</v>
      </c>
      <c r="AN606" s="2" t="s">
        <v>2579</v>
      </c>
      <c r="AO606" s="2" t="s">
        <v>200</v>
      </c>
      <c r="AP606" s="2">
        <v>12</v>
      </c>
      <c r="AQ606" s="2" t="s">
        <v>322</v>
      </c>
      <c r="AR606" s="2" t="s">
        <v>824</v>
      </c>
      <c r="AS606" s="2" t="s">
        <v>825</v>
      </c>
      <c r="AT606" s="2" t="s">
        <v>2580</v>
      </c>
      <c r="AU606" s="2"/>
      <c r="AV606" s="2"/>
      <c r="AW606" s="2"/>
      <c r="AX606" s="2"/>
      <c r="AY606" s="2">
        <v>41</v>
      </c>
      <c r="AZ606" s="2" t="s">
        <v>82</v>
      </c>
      <c r="BA606" s="2">
        <v>41</v>
      </c>
      <c r="BB606" s="2" t="s">
        <v>82</v>
      </c>
      <c r="BC606" s="2">
        <v>51</v>
      </c>
      <c r="BD606" s="2" t="s">
        <v>827</v>
      </c>
      <c r="BE606" s="2">
        <v>47</v>
      </c>
      <c r="BF606" s="2" t="s">
        <v>167</v>
      </c>
      <c r="BG606" s="2">
        <v>2459</v>
      </c>
      <c r="BH606" s="4">
        <v>0.84027777777777779</v>
      </c>
      <c r="BI606" s="4">
        <v>0.92361111111111116</v>
      </c>
      <c r="BJ606" s="2">
        <v>13</v>
      </c>
      <c r="BK606" s="2" t="s">
        <v>91</v>
      </c>
      <c r="BL606" s="2" t="s">
        <v>828</v>
      </c>
      <c r="BM606" s="2">
        <v>241</v>
      </c>
      <c r="BN606" s="2" t="s">
        <v>82</v>
      </c>
      <c r="BO606" s="2" t="s">
        <v>82</v>
      </c>
      <c r="BP606" s="2">
        <v>13</v>
      </c>
      <c r="BQ606" s="2" t="s">
        <v>91</v>
      </c>
      <c r="BR606" s="2" t="s">
        <v>185</v>
      </c>
      <c r="BS606" s="3">
        <v>40228</v>
      </c>
      <c r="BT606" s="4">
        <v>2.6631944444444444E-2</v>
      </c>
    </row>
    <row r="607" spans="1:72" x14ac:dyDescent="0.25">
      <c r="A607" s="2">
        <v>954</v>
      </c>
      <c r="B607" s="2">
        <v>2010</v>
      </c>
      <c r="C607" s="2" t="s">
        <v>72</v>
      </c>
      <c r="D607" s="2" t="s">
        <v>73</v>
      </c>
      <c r="E607" s="2"/>
      <c r="F607" s="2">
        <v>482</v>
      </c>
      <c r="G607" s="2" t="s">
        <v>1457</v>
      </c>
      <c r="H607" s="2">
        <v>14</v>
      </c>
      <c r="I607" s="2" t="s">
        <v>1458</v>
      </c>
      <c r="J607" s="2">
        <v>167</v>
      </c>
      <c r="K607" s="2" t="s">
        <v>1032</v>
      </c>
      <c r="L607" s="2" t="s">
        <v>1033</v>
      </c>
      <c r="M607" s="3">
        <v>40228</v>
      </c>
      <c r="N607" s="2" t="s">
        <v>2581</v>
      </c>
      <c r="O607" s="2"/>
      <c r="P607" s="2"/>
      <c r="Q607" s="2" t="str">
        <f>"060-A/10"</f>
        <v>060-A/10</v>
      </c>
      <c r="R607" s="2"/>
      <c r="S607" s="2" t="s">
        <v>302</v>
      </c>
      <c r="T607" s="2">
        <v>1</v>
      </c>
      <c r="U607" s="2" t="s">
        <v>79</v>
      </c>
      <c r="V607" s="2">
        <v>1</v>
      </c>
      <c r="W607" s="2" t="s">
        <v>80</v>
      </c>
      <c r="X607" s="2">
        <v>1</v>
      </c>
      <c r="Y607" s="2" t="s">
        <v>81</v>
      </c>
      <c r="Z607" s="2">
        <v>1</v>
      </c>
      <c r="AA607" s="2" t="s">
        <v>82</v>
      </c>
      <c r="AB607" s="2">
        <v>6</v>
      </c>
      <c r="AC607" s="2" t="s">
        <v>83</v>
      </c>
      <c r="AD607" s="3">
        <v>40227</v>
      </c>
      <c r="AE607" s="4">
        <v>0.5625</v>
      </c>
      <c r="AF607" s="3">
        <v>40227</v>
      </c>
      <c r="AG607" s="4">
        <v>0.59722222222222221</v>
      </c>
      <c r="AH607" s="2">
        <v>2</v>
      </c>
      <c r="AI607" s="2" t="s">
        <v>84</v>
      </c>
      <c r="AJ607" s="2">
        <v>12</v>
      </c>
      <c r="AK607" s="2" t="s">
        <v>85</v>
      </c>
      <c r="AL607" s="2">
        <v>11</v>
      </c>
      <c r="AM607" s="2" t="s">
        <v>137</v>
      </c>
      <c r="AN607" s="2" t="s">
        <v>2582</v>
      </c>
      <c r="AO607" s="2"/>
      <c r="AP607" s="2">
        <v>11</v>
      </c>
      <c r="AQ607" s="2" t="s">
        <v>82</v>
      </c>
      <c r="AR607" s="2"/>
      <c r="AS607" s="2"/>
      <c r="AT607" s="2" t="s">
        <v>2583</v>
      </c>
      <c r="AU607" s="2">
        <v>1</v>
      </c>
      <c r="AV607" s="2"/>
      <c r="AW607" s="2"/>
      <c r="AX607" s="2"/>
      <c r="AY607" s="2">
        <v>69</v>
      </c>
      <c r="AZ607" s="2" t="s">
        <v>483</v>
      </c>
      <c r="BA607" s="2">
        <v>41</v>
      </c>
      <c r="BB607" s="2" t="s">
        <v>82</v>
      </c>
      <c r="BC607" s="2">
        <v>41</v>
      </c>
      <c r="BD607" s="2" t="s">
        <v>82</v>
      </c>
      <c r="BE607" s="2">
        <v>10</v>
      </c>
      <c r="BF607" s="2" t="s">
        <v>901</v>
      </c>
      <c r="BG607" s="2" t="s">
        <v>2584</v>
      </c>
      <c r="BH607" s="4">
        <v>0.60069444444444442</v>
      </c>
      <c r="BI607" s="4">
        <v>0.56944444444444442</v>
      </c>
      <c r="BJ607" s="2">
        <v>13</v>
      </c>
      <c r="BK607" s="2" t="s">
        <v>91</v>
      </c>
      <c r="BL607" s="2" t="s">
        <v>564</v>
      </c>
      <c r="BM607" s="2">
        <v>241</v>
      </c>
      <c r="BN607" s="2" t="s">
        <v>82</v>
      </c>
      <c r="BO607" s="2"/>
      <c r="BP607" s="2">
        <v>229</v>
      </c>
      <c r="BQ607" s="2" t="s">
        <v>300</v>
      </c>
      <c r="BR607" s="2" t="s">
        <v>301</v>
      </c>
      <c r="BS607" s="3">
        <v>40228</v>
      </c>
      <c r="BT607" s="4">
        <v>2.7245370370370368E-2</v>
      </c>
    </row>
    <row r="608" spans="1:72" x14ac:dyDescent="0.25">
      <c r="A608" s="2">
        <v>955</v>
      </c>
      <c r="B608" s="2">
        <v>2010</v>
      </c>
      <c r="C608" s="2" t="s">
        <v>72</v>
      </c>
      <c r="D608" s="2" t="s">
        <v>73</v>
      </c>
      <c r="E608" s="2"/>
      <c r="F608" s="2">
        <v>2</v>
      </c>
      <c r="G608" s="2" t="s">
        <v>113</v>
      </c>
      <c r="H608" s="2">
        <v>1</v>
      </c>
      <c r="I608" s="2" t="s">
        <v>82</v>
      </c>
      <c r="J608" s="2">
        <v>300</v>
      </c>
      <c r="K608" s="2" t="s">
        <v>114</v>
      </c>
      <c r="L608" s="2" t="s">
        <v>115</v>
      </c>
      <c r="M608" s="3">
        <v>40228</v>
      </c>
      <c r="N608" s="2"/>
      <c r="O608" s="2"/>
      <c r="P608" s="2"/>
      <c r="Q608" s="2" t="str">
        <f>"097-E/10"</f>
        <v>097-E/10</v>
      </c>
      <c r="R608" s="2" t="s">
        <v>116</v>
      </c>
      <c r="S608" s="2" t="s">
        <v>116</v>
      </c>
      <c r="T608" s="2">
        <v>1</v>
      </c>
      <c r="U608" s="2" t="s">
        <v>79</v>
      </c>
      <c r="V608" s="2">
        <v>1</v>
      </c>
      <c r="W608" s="2" t="s">
        <v>80</v>
      </c>
      <c r="X608" s="2">
        <v>1</v>
      </c>
      <c r="Y608" s="2" t="s">
        <v>81</v>
      </c>
      <c r="Z608" s="2">
        <v>1</v>
      </c>
      <c r="AA608" s="2" t="s">
        <v>82</v>
      </c>
      <c r="AB608" s="2">
        <v>6</v>
      </c>
      <c r="AC608" s="2" t="s">
        <v>83</v>
      </c>
      <c r="AD608" s="3">
        <v>40227</v>
      </c>
      <c r="AE608" s="4">
        <v>0.5</v>
      </c>
      <c r="AF608" s="3">
        <v>40227</v>
      </c>
      <c r="AG608" s="4">
        <v>0.5</v>
      </c>
      <c r="AH608" s="2">
        <v>2</v>
      </c>
      <c r="AI608" s="2" t="s">
        <v>84</v>
      </c>
      <c r="AJ608" s="2">
        <v>9</v>
      </c>
      <c r="AK608" s="2" t="s">
        <v>103</v>
      </c>
      <c r="AL608" s="2">
        <v>12</v>
      </c>
      <c r="AM608" s="2" t="s">
        <v>86</v>
      </c>
      <c r="AN608" s="2" t="s">
        <v>2585</v>
      </c>
      <c r="AO608" s="2"/>
      <c r="AP608" s="2">
        <v>11</v>
      </c>
      <c r="AQ608" s="2" t="s">
        <v>82</v>
      </c>
      <c r="AR608" s="2"/>
      <c r="AS608" s="2"/>
      <c r="AT608" s="2" t="s">
        <v>2586</v>
      </c>
      <c r="AU608" s="2"/>
      <c r="AV608" s="2"/>
      <c r="AW608" s="2"/>
      <c r="AX608" s="2"/>
      <c r="AY608" s="2">
        <v>41</v>
      </c>
      <c r="AZ608" s="2" t="s">
        <v>82</v>
      </c>
      <c r="BA608" s="2">
        <v>41</v>
      </c>
      <c r="BB608" s="2" t="s">
        <v>82</v>
      </c>
      <c r="BC608" s="2">
        <v>41</v>
      </c>
      <c r="BD608" s="2" t="s">
        <v>82</v>
      </c>
      <c r="BE608" s="2">
        <v>1</v>
      </c>
      <c r="BF608" s="2" t="s">
        <v>107</v>
      </c>
      <c r="BG608" s="2" t="s">
        <v>107</v>
      </c>
      <c r="BH608" s="2"/>
      <c r="BI608" s="2"/>
      <c r="BJ608" s="2">
        <v>13</v>
      </c>
      <c r="BK608" s="2" t="s">
        <v>91</v>
      </c>
      <c r="BL608" s="2" t="s">
        <v>185</v>
      </c>
      <c r="BM608" s="2">
        <v>242</v>
      </c>
      <c r="BN608" s="2" t="s">
        <v>107</v>
      </c>
      <c r="BO608" s="2"/>
      <c r="BP608" s="2">
        <v>242</v>
      </c>
      <c r="BQ608" s="2" t="s">
        <v>107</v>
      </c>
      <c r="BR608" s="2"/>
      <c r="BS608" s="3">
        <v>40228</v>
      </c>
      <c r="BT608" s="4">
        <v>0.1749074074074074</v>
      </c>
    </row>
    <row r="609" spans="1:72" x14ac:dyDescent="0.25">
      <c r="A609" s="2">
        <v>959</v>
      </c>
      <c r="B609" s="2">
        <v>2010</v>
      </c>
      <c r="C609" s="2" t="s">
        <v>72</v>
      </c>
      <c r="D609" s="2" t="s">
        <v>73</v>
      </c>
      <c r="E609" s="2"/>
      <c r="F609" s="2">
        <v>389</v>
      </c>
      <c r="G609" s="2" t="s">
        <v>1819</v>
      </c>
      <c r="H609" s="2">
        <v>4</v>
      </c>
      <c r="I609" s="2" t="s">
        <v>173</v>
      </c>
      <c r="J609" s="2">
        <v>399</v>
      </c>
      <c r="K609" s="2" t="s">
        <v>1820</v>
      </c>
      <c r="L609" s="2" t="s">
        <v>1821</v>
      </c>
      <c r="M609" s="3">
        <v>40228</v>
      </c>
      <c r="N609" s="2" t="s">
        <v>2587</v>
      </c>
      <c r="O609" s="2" t="s">
        <v>107</v>
      </c>
      <c r="P609" s="2" t="s">
        <v>107</v>
      </c>
      <c r="Q609" s="2" t="str">
        <f>"098-E/10"</f>
        <v>098-E/10</v>
      </c>
      <c r="R609" s="2" t="s">
        <v>601</v>
      </c>
      <c r="S609" s="2" t="s">
        <v>601</v>
      </c>
      <c r="T609" s="2">
        <v>1</v>
      </c>
      <c r="U609" s="2" t="s">
        <v>79</v>
      </c>
      <c r="V609" s="2">
        <v>1</v>
      </c>
      <c r="W609" s="2" t="s">
        <v>80</v>
      </c>
      <c r="X609" s="2">
        <v>5</v>
      </c>
      <c r="Y609" s="2" t="s">
        <v>82</v>
      </c>
      <c r="Z609" s="2">
        <v>1</v>
      </c>
      <c r="AA609" s="2" t="s">
        <v>82</v>
      </c>
      <c r="AB609" s="2">
        <v>6</v>
      </c>
      <c r="AC609" s="2" t="s">
        <v>83</v>
      </c>
      <c r="AD609" s="3">
        <v>40224</v>
      </c>
      <c r="AE609" s="4">
        <v>0.41666666666666669</v>
      </c>
      <c r="AF609" s="3">
        <v>40228</v>
      </c>
      <c r="AG609" s="4">
        <v>0.41666666666666669</v>
      </c>
      <c r="AH609" s="2">
        <v>2</v>
      </c>
      <c r="AI609" s="2" t="s">
        <v>84</v>
      </c>
      <c r="AJ609" s="2">
        <v>9</v>
      </c>
      <c r="AK609" s="2" t="s">
        <v>103</v>
      </c>
      <c r="AL609" s="2">
        <v>10</v>
      </c>
      <c r="AM609" s="2" t="s">
        <v>200</v>
      </c>
      <c r="AN609" s="2" t="s">
        <v>2588</v>
      </c>
      <c r="AO609" s="2" t="s">
        <v>2589</v>
      </c>
      <c r="AP609" s="2">
        <v>11</v>
      </c>
      <c r="AQ609" s="2" t="s">
        <v>82</v>
      </c>
      <c r="AR609" s="2"/>
      <c r="AS609" s="2"/>
      <c r="AT609" s="2" t="s">
        <v>2590</v>
      </c>
      <c r="AU609" s="2"/>
      <c r="AV609" s="2"/>
      <c r="AW609" s="2"/>
      <c r="AX609" s="2"/>
      <c r="AY609" s="2">
        <v>41</v>
      </c>
      <c r="AZ609" s="2" t="s">
        <v>82</v>
      </c>
      <c r="BA609" s="2">
        <v>41</v>
      </c>
      <c r="BB609" s="2" t="s">
        <v>82</v>
      </c>
      <c r="BC609" s="2">
        <v>41</v>
      </c>
      <c r="BD609" s="2" t="s">
        <v>82</v>
      </c>
      <c r="BE609" s="2">
        <v>31</v>
      </c>
      <c r="BF609" s="2" t="s">
        <v>398</v>
      </c>
      <c r="BG609" s="2">
        <v>6845</v>
      </c>
      <c r="BH609" s="2"/>
      <c r="BI609" s="2"/>
      <c r="BJ609" s="2">
        <v>73</v>
      </c>
      <c r="BK609" s="2" t="s">
        <v>186</v>
      </c>
      <c r="BL609" s="2" t="s">
        <v>2591</v>
      </c>
      <c r="BM609" s="2">
        <v>241</v>
      </c>
      <c r="BN609" s="2" t="s">
        <v>82</v>
      </c>
      <c r="BO609" s="2"/>
      <c r="BP609" s="2">
        <v>13</v>
      </c>
      <c r="BQ609" s="2" t="s">
        <v>91</v>
      </c>
      <c r="BR609" s="2" t="s">
        <v>2592</v>
      </c>
      <c r="BS609" s="3">
        <v>40228</v>
      </c>
      <c r="BT609" s="4">
        <v>0.49020833333333336</v>
      </c>
    </row>
    <row r="610" spans="1:72" x14ac:dyDescent="0.25">
      <c r="A610" s="2">
        <v>964</v>
      </c>
      <c r="B610" s="2">
        <v>2010</v>
      </c>
      <c r="C610" s="2" t="s">
        <v>625</v>
      </c>
      <c r="D610" s="2" t="s">
        <v>122</v>
      </c>
      <c r="E610" s="2"/>
      <c r="F610" s="2">
        <v>507</v>
      </c>
      <c r="G610" s="2" t="s">
        <v>2475</v>
      </c>
      <c r="H610" s="2">
        <v>2</v>
      </c>
      <c r="I610" s="2" t="s">
        <v>267</v>
      </c>
      <c r="J610" s="2">
        <v>424</v>
      </c>
      <c r="K610" s="2" t="s">
        <v>2476</v>
      </c>
      <c r="L610" s="2" t="s">
        <v>2477</v>
      </c>
      <c r="M610" s="3">
        <v>40228</v>
      </c>
      <c r="N610" s="2" t="s">
        <v>2593</v>
      </c>
      <c r="O610" s="2" t="s">
        <v>2479</v>
      </c>
      <c r="P610" s="2">
        <v>16419</v>
      </c>
      <c r="Q610" s="2" t="str">
        <f>"S/D"</f>
        <v>S/D</v>
      </c>
      <c r="R610" s="2" t="s">
        <v>107</v>
      </c>
      <c r="S610" s="2" t="s">
        <v>107</v>
      </c>
      <c r="T610" s="2">
        <v>1</v>
      </c>
      <c r="U610" s="2" t="s">
        <v>79</v>
      </c>
      <c r="V610" s="2">
        <v>1</v>
      </c>
      <c r="W610" s="2" t="s">
        <v>80</v>
      </c>
      <c r="X610" s="2">
        <v>2</v>
      </c>
      <c r="Y610" s="2" t="s">
        <v>136</v>
      </c>
      <c r="Z610" s="2">
        <v>1</v>
      </c>
      <c r="AA610" s="2" t="s">
        <v>82</v>
      </c>
      <c r="AB610" s="2">
        <v>9</v>
      </c>
      <c r="AC610" s="2" t="s">
        <v>124</v>
      </c>
      <c r="AD610" s="3">
        <v>40228</v>
      </c>
      <c r="AE610" s="4">
        <v>0.46875</v>
      </c>
      <c r="AF610" s="2"/>
      <c r="AG610" s="2"/>
      <c r="AH610" s="2">
        <v>7</v>
      </c>
      <c r="AI610" s="2" t="s">
        <v>801</v>
      </c>
      <c r="AJ610" s="2">
        <v>3</v>
      </c>
      <c r="AK610" s="2" t="s">
        <v>802</v>
      </c>
      <c r="AL610" s="2">
        <v>18</v>
      </c>
      <c r="AM610" s="2" t="s">
        <v>82</v>
      </c>
      <c r="AN610" s="2" t="s">
        <v>107</v>
      </c>
      <c r="AO610" s="2" t="s">
        <v>2594</v>
      </c>
      <c r="AP610" s="2">
        <v>11</v>
      </c>
      <c r="AQ610" s="2" t="s">
        <v>82</v>
      </c>
      <c r="AR610" s="2"/>
      <c r="AS610" s="2"/>
      <c r="AT610" s="2" t="s">
        <v>2595</v>
      </c>
      <c r="AU610" s="2">
        <v>1</v>
      </c>
      <c r="AV610" s="2"/>
      <c r="AW610" s="2"/>
      <c r="AX610" s="2"/>
      <c r="AY610" s="2">
        <v>41</v>
      </c>
      <c r="AZ610" s="2" t="s">
        <v>82</v>
      </c>
      <c r="BA610" s="2">
        <v>41</v>
      </c>
      <c r="BB610" s="2" t="s">
        <v>82</v>
      </c>
      <c r="BC610" s="2">
        <v>1</v>
      </c>
      <c r="BD610" s="2" t="s">
        <v>107</v>
      </c>
      <c r="BE610" s="2">
        <v>1</v>
      </c>
      <c r="BF610" s="2" t="s">
        <v>107</v>
      </c>
      <c r="BG610" s="2"/>
      <c r="BH610" s="2"/>
      <c r="BI610" s="2"/>
      <c r="BJ610" s="2">
        <v>241</v>
      </c>
      <c r="BK610" s="2" t="s">
        <v>82</v>
      </c>
      <c r="BL610" s="2"/>
      <c r="BM610" s="2">
        <v>241</v>
      </c>
      <c r="BN610" s="2" t="s">
        <v>82</v>
      </c>
      <c r="BO610" s="2"/>
      <c r="BP610" s="2">
        <v>242</v>
      </c>
      <c r="BQ610" s="2" t="s">
        <v>107</v>
      </c>
      <c r="BR610" s="2"/>
      <c r="BS610" s="3">
        <v>40228</v>
      </c>
      <c r="BT610" s="4">
        <v>0.55494212962962963</v>
      </c>
    </row>
    <row r="611" spans="1:72" x14ac:dyDescent="0.25">
      <c r="A611" s="2">
        <v>965</v>
      </c>
      <c r="B611" s="2">
        <v>2010</v>
      </c>
      <c r="C611" s="2" t="s">
        <v>72</v>
      </c>
      <c r="D611" s="2" t="s">
        <v>73</v>
      </c>
      <c r="E611" s="2"/>
      <c r="F611" s="2">
        <v>389</v>
      </c>
      <c r="G611" s="2" t="s">
        <v>1819</v>
      </c>
      <c r="H611" s="2">
        <v>4</v>
      </c>
      <c r="I611" s="2" t="s">
        <v>173</v>
      </c>
      <c r="J611" s="2">
        <v>399</v>
      </c>
      <c r="K611" s="2" t="s">
        <v>1820</v>
      </c>
      <c r="L611" s="2" t="s">
        <v>1821</v>
      </c>
      <c r="M611" s="3">
        <v>40228</v>
      </c>
      <c r="N611" s="2" t="s">
        <v>2596</v>
      </c>
      <c r="O611" s="2" t="s">
        <v>107</v>
      </c>
      <c r="P611" s="2" t="s">
        <v>107</v>
      </c>
      <c r="Q611" s="2" t="str">
        <f>"099-E/10"</f>
        <v>099-E/10</v>
      </c>
      <c r="R611" s="2" t="s">
        <v>601</v>
      </c>
      <c r="S611" s="2" t="s">
        <v>601</v>
      </c>
      <c r="T611" s="2">
        <v>1</v>
      </c>
      <c r="U611" s="2" t="s">
        <v>79</v>
      </c>
      <c r="V611" s="2">
        <v>1</v>
      </c>
      <c r="W611" s="2" t="s">
        <v>80</v>
      </c>
      <c r="X611" s="2">
        <v>5</v>
      </c>
      <c r="Y611" s="2" t="s">
        <v>82</v>
      </c>
      <c r="Z611" s="2">
        <v>1</v>
      </c>
      <c r="AA611" s="2" t="s">
        <v>82</v>
      </c>
      <c r="AB611" s="2">
        <v>6</v>
      </c>
      <c r="AC611" s="2" t="s">
        <v>83</v>
      </c>
      <c r="AD611" s="3">
        <v>40228</v>
      </c>
      <c r="AE611" s="4">
        <v>0.41666666666666669</v>
      </c>
      <c r="AF611" s="3">
        <v>40228</v>
      </c>
      <c r="AG611" s="4">
        <v>0.47916666666666669</v>
      </c>
      <c r="AH611" s="2">
        <v>2</v>
      </c>
      <c r="AI611" s="2" t="s">
        <v>84</v>
      </c>
      <c r="AJ611" s="2">
        <v>9</v>
      </c>
      <c r="AK611" s="2" t="s">
        <v>103</v>
      </c>
      <c r="AL611" s="2">
        <v>10</v>
      </c>
      <c r="AM611" s="2" t="s">
        <v>200</v>
      </c>
      <c r="AN611" s="2" t="s">
        <v>2597</v>
      </c>
      <c r="AO611" s="2" t="s">
        <v>2598</v>
      </c>
      <c r="AP611" s="2">
        <v>11</v>
      </c>
      <c r="AQ611" s="2" t="s">
        <v>82</v>
      </c>
      <c r="AR611" s="2"/>
      <c r="AS611" s="2"/>
      <c r="AT611" s="2" t="s">
        <v>2599</v>
      </c>
      <c r="AU611" s="2"/>
      <c r="AV611" s="2"/>
      <c r="AW611" s="2"/>
      <c r="AX611" s="2"/>
      <c r="AY611" s="2">
        <v>41</v>
      </c>
      <c r="AZ611" s="2" t="s">
        <v>82</v>
      </c>
      <c r="BA611" s="2">
        <v>41</v>
      </c>
      <c r="BB611" s="2" t="s">
        <v>82</v>
      </c>
      <c r="BC611" s="2">
        <v>41</v>
      </c>
      <c r="BD611" s="2" t="s">
        <v>82</v>
      </c>
      <c r="BE611" s="2">
        <v>31</v>
      </c>
      <c r="BF611" s="2" t="s">
        <v>398</v>
      </c>
      <c r="BG611" s="2">
        <v>6843</v>
      </c>
      <c r="BH611" s="4">
        <v>0.39374999999999999</v>
      </c>
      <c r="BI611" s="4">
        <v>0.89583333333333337</v>
      </c>
      <c r="BJ611" s="2">
        <v>73</v>
      </c>
      <c r="BK611" s="2" t="s">
        <v>186</v>
      </c>
      <c r="BL611" s="2" t="s">
        <v>2600</v>
      </c>
      <c r="BM611" s="2">
        <v>73</v>
      </c>
      <c r="BN611" s="2" t="s">
        <v>186</v>
      </c>
      <c r="BO611" s="2" t="s">
        <v>187</v>
      </c>
      <c r="BP611" s="2">
        <v>13</v>
      </c>
      <c r="BQ611" s="2" t="s">
        <v>91</v>
      </c>
      <c r="BR611" s="2" t="s">
        <v>2592</v>
      </c>
      <c r="BS611" s="3">
        <v>40228</v>
      </c>
      <c r="BT611" s="4">
        <v>0.55596064814814816</v>
      </c>
    </row>
    <row r="612" spans="1:72" x14ac:dyDescent="0.25">
      <c r="A612" s="2">
        <v>966</v>
      </c>
      <c r="B612" s="2">
        <v>2010</v>
      </c>
      <c r="C612" s="2" t="s">
        <v>409</v>
      </c>
      <c r="D612" s="2" t="s">
        <v>122</v>
      </c>
      <c r="E612" s="2"/>
      <c r="F612" s="2">
        <v>305</v>
      </c>
      <c r="G612" s="2" t="s">
        <v>2601</v>
      </c>
      <c r="H612" s="2">
        <v>3</v>
      </c>
      <c r="I612" s="2" t="s">
        <v>315</v>
      </c>
      <c r="J612" s="2">
        <v>415</v>
      </c>
      <c r="K612" s="2" t="s">
        <v>2200</v>
      </c>
      <c r="L612" s="2" t="s">
        <v>575</v>
      </c>
      <c r="M612" s="3">
        <v>40228</v>
      </c>
      <c r="N612" s="2" t="s">
        <v>2602</v>
      </c>
      <c r="O612" s="2" t="s">
        <v>2603</v>
      </c>
      <c r="P612" s="2">
        <v>9329</v>
      </c>
      <c r="Q612" s="2" t="str">
        <f>""</f>
        <v/>
      </c>
      <c r="R612" s="2"/>
      <c r="S612" s="2"/>
      <c r="T612" s="2">
        <v>1</v>
      </c>
      <c r="U612" s="2" t="s">
        <v>79</v>
      </c>
      <c r="V612" s="2">
        <v>1</v>
      </c>
      <c r="W612" s="2" t="s">
        <v>80</v>
      </c>
      <c r="X612" s="2">
        <v>5</v>
      </c>
      <c r="Y612" s="2" t="s">
        <v>82</v>
      </c>
      <c r="Z612" s="2">
        <v>1</v>
      </c>
      <c r="AA612" s="2" t="s">
        <v>82</v>
      </c>
      <c r="AB612" s="2">
        <v>9</v>
      </c>
      <c r="AC612" s="2" t="s">
        <v>124</v>
      </c>
      <c r="AD612" s="3">
        <v>40228</v>
      </c>
      <c r="AE612" s="4">
        <v>0.45833333333333331</v>
      </c>
      <c r="AF612" s="2"/>
      <c r="AG612" s="2"/>
      <c r="AH612" s="2">
        <v>5</v>
      </c>
      <c r="AI612" s="2" t="s">
        <v>274</v>
      </c>
      <c r="AJ612" s="2">
        <v>40</v>
      </c>
      <c r="AK612" s="2" t="s">
        <v>935</v>
      </c>
      <c r="AL612" s="2">
        <v>18</v>
      </c>
      <c r="AM612" s="2" t="s">
        <v>82</v>
      </c>
      <c r="AN612" s="2"/>
      <c r="AO612" s="2"/>
      <c r="AP612" s="2">
        <v>11</v>
      </c>
      <c r="AQ612" s="2" t="s">
        <v>82</v>
      </c>
      <c r="AR612" s="2"/>
      <c r="AS612" s="2"/>
      <c r="AT612" s="2" t="s">
        <v>2604</v>
      </c>
      <c r="AU612" s="2"/>
      <c r="AV612" s="2"/>
      <c r="AW612" s="2"/>
      <c r="AX612" s="2"/>
      <c r="AY612" s="2">
        <v>1</v>
      </c>
      <c r="AZ612" s="2" t="s">
        <v>107</v>
      </c>
      <c r="BA612" s="2">
        <v>1</v>
      </c>
      <c r="BB612" s="2" t="s">
        <v>107</v>
      </c>
      <c r="BC612" s="2">
        <v>1</v>
      </c>
      <c r="BD612" s="2" t="s">
        <v>107</v>
      </c>
      <c r="BE612" s="2">
        <v>1</v>
      </c>
      <c r="BF612" s="2" t="s">
        <v>107</v>
      </c>
      <c r="BG612" s="2"/>
      <c r="BH612" s="2"/>
      <c r="BI612" s="2"/>
      <c r="BJ612" s="2">
        <v>242</v>
      </c>
      <c r="BK612" s="2" t="s">
        <v>107</v>
      </c>
      <c r="BL612" s="2"/>
      <c r="BM612" s="2">
        <v>242</v>
      </c>
      <c r="BN612" s="2" t="s">
        <v>107</v>
      </c>
      <c r="BO612" s="2"/>
      <c r="BP612" s="2">
        <v>242</v>
      </c>
      <c r="BQ612" s="2" t="s">
        <v>107</v>
      </c>
      <c r="BR612" s="2"/>
      <c r="BS612" s="3">
        <v>40228</v>
      </c>
      <c r="BT612" s="4">
        <v>0.57357638888888884</v>
      </c>
    </row>
    <row r="613" spans="1:72" x14ac:dyDescent="0.25">
      <c r="A613" s="2">
        <v>967</v>
      </c>
      <c r="B613" s="2">
        <v>2010</v>
      </c>
      <c r="C613" s="2" t="s">
        <v>1172</v>
      </c>
      <c r="D613" s="2" t="s">
        <v>73</v>
      </c>
      <c r="E613" s="2"/>
      <c r="F613" s="2">
        <v>10</v>
      </c>
      <c r="G613" s="2" t="s">
        <v>2143</v>
      </c>
      <c r="H613" s="2">
        <v>39</v>
      </c>
      <c r="I613" s="2" t="s">
        <v>1117</v>
      </c>
      <c r="J613" s="2">
        <v>19</v>
      </c>
      <c r="K613" s="2" t="s">
        <v>2144</v>
      </c>
      <c r="L613" s="2" t="s">
        <v>2145</v>
      </c>
      <c r="M613" s="3">
        <v>40228</v>
      </c>
      <c r="N613" s="2" t="s">
        <v>2605</v>
      </c>
      <c r="O613" s="2" t="s">
        <v>2606</v>
      </c>
      <c r="P613" s="2" t="s">
        <v>2607</v>
      </c>
      <c r="Q613" s="2" t="str">
        <f>"05/10"</f>
        <v>05/10</v>
      </c>
      <c r="R613" s="2" t="s">
        <v>82</v>
      </c>
      <c r="S613" s="2" t="s">
        <v>82</v>
      </c>
      <c r="T613" s="2">
        <v>1</v>
      </c>
      <c r="U613" s="2" t="s">
        <v>79</v>
      </c>
      <c r="V613" s="2">
        <v>3</v>
      </c>
      <c r="W613" s="2" t="s">
        <v>225</v>
      </c>
      <c r="X613" s="2">
        <v>8</v>
      </c>
      <c r="Y613" s="2" t="s">
        <v>375</v>
      </c>
      <c r="Z613" s="2">
        <v>1</v>
      </c>
      <c r="AA613" s="2" t="s">
        <v>82</v>
      </c>
      <c r="AB613" s="2">
        <v>9</v>
      </c>
      <c r="AC613" s="2" t="s">
        <v>124</v>
      </c>
      <c r="AD613" s="2"/>
      <c r="AE613" s="2"/>
      <c r="AF613" s="2"/>
      <c r="AG613" s="2"/>
      <c r="AH613" s="2">
        <v>3</v>
      </c>
      <c r="AI613" s="2" t="s">
        <v>214</v>
      </c>
      <c r="AJ613" s="2">
        <v>14</v>
      </c>
      <c r="AK613" s="2" t="s">
        <v>342</v>
      </c>
      <c r="AL613" s="2">
        <v>23</v>
      </c>
      <c r="AM613" s="2" t="s">
        <v>251</v>
      </c>
      <c r="AN613" s="2" t="s">
        <v>2608</v>
      </c>
      <c r="AO613" s="2" t="s">
        <v>82</v>
      </c>
      <c r="AP613" s="2">
        <v>11</v>
      </c>
      <c r="AQ613" s="2" t="s">
        <v>82</v>
      </c>
      <c r="AR613" s="2"/>
      <c r="AS613" s="2"/>
      <c r="AT613" s="2" t="s">
        <v>2609</v>
      </c>
      <c r="AU613" s="2"/>
      <c r="AV613" s="2"/>
      <c r="AW613" s="2"/>
      <c r="AX613" s="2"/>
      <c r="AY613" s="2">
        <v>1</v>
      </c>
      <c r="AZ613" s="2" t="s">
        <v>107</v>
      </c>
      <c r="BA613" s="2">
        <v>1</v>
      </c>
      <c r="BB613" s="2" t="s">
        <v>107</v>
      </c>
      <c r="BC613" s="2">
        <v>1</v>
      </c>
      <c r="BD613" s="2" t="s">
        <v>107</v>
      </c>
      <c r="BE613" s="2">
        <v>41</v>
      </c>
      <c r="BF613" s="2" t="s">
        <v>82</v>
      </c>
      <c r="BG613" s="2"/>
      <c r="BH613" s="2"/>
      <c r="BI613" s="2"/>
      <c r="BJ613" s="2">
        <v>242</v>
      </c>
      <c r="BK613" s="2" t="s">
        <v>107</v>
      </c>
      <c r="BL613" s="2"/>
      <c r="BM613" s="2">
        <v>242</v>
      </c>
      <c r="BN613" s="2" t="s">
        <v>107</v>
      </c>
      <c r="BO613" s="2"/>
      <c r="BP613" s="2">
        <v>242</v>
      </c>
      <c r="BQ613" s="2" t="s">
        <v>107</v>
      </c>
      <c r="BR613" s="2"/>
      <c r="BS613" s="3">
        <v>40228</v>
      </c>
      <c r="BT613" s="4">
        <v>0.59787037037037039</v>
      </c>
    </row>
    <row r="614" spans="1:72" x14ac:dyDescent="0.25">
      <c r="A614" s="2">
        <v>968</v>
      </c>
      <c r="B614" s="2">
        <v>2010</v>
      </c>
      <c r="C614" s="2" t="s">
        <v>128</v>
      </c>
      <c r="D614" s="2" t="s">
        <v>122</v>
      </c>
      <c r="E614" s="2"/>
      <c r="F614" s="2">
        <v>146</v>
      </c>
      <c r="G614" s="2" t="s">
        <v>753</v>
      </c>
      <c r="H614" s="2">
        <v>39</v>
      </c>
      <c r="I614" s="2" t="s">
        <v>1117</v>
      </c>
      <c r="J614" s="2">
        <v>161</v>
      </c>
      <c r="K614" s="2" t="s">
        <v>1900</v>
      </c>
      <c r="L614" s="2" t="s">
        <v>1901</v>
      </c>
      <c r="M614" s="3">
        <v>40228</v>
      </c>
      <c r="N614" s="2" t="s">
        <v>756</v>
      </c>
      <c r="O614" s="2" t="s">
        <v>2610</v>
      </c>
      <c r="P614" s="2">
        <v>2567</v>
      </c>
      <c r="Q614" s="2" t="str">
        <f>"N/C"</f>
        <v>N/C</v>
      </c>
      <c r="R614" s="2" t="s">
        <v>82</v>
      </c>
      <c r="S614" s="2" t="s">
        <v>82</v>
      </c>
      <c r="T614" s="2">
        <v>1</v>
      </c>
      <c r="U614" s="2" t="s">
        <v>79</v>
      </c>
      <c r="V614" s="2">
        <v>1</v>
      </c>
      <c r="W614" s="2" t="s">
        <v>80</v>
      </c>
      <c r="X614" s="2">
        <v>4</v>
      </c>
      <c r="Y614" s="2" t="s">
        <v>463</v>
      </c>
      <c r="Z614" s="2">
        <v>1</v>
      </c>
      <c r="AA614" s="2" t="s">
        <v>82</v>
      </c>
      <c r="AB614" s="2">
        <v>9</v>
      </c>
      <c r="AC614" s="2" t="s">
        <v>124</v>
      </c>
      <c r="AD614" s="3">
        <v>40228</v>
      </c>
      <c r="AE614" s="4">
        <v>0.60416666666666663</v>
      </c>
      <c r="AF614" s="2"/>
      <c r="AG614" s="2"/>
      <c r="AH614" s="2">
        <v>6</v>
      </c>
      <c r="AI614" s="2" t="s">
        <v>197</v>
      </c>
      <c r="AJ614" s="2">
        <v>60</v>
      </c>
      <c r="AK614" s="2" t="s">
        <v>543</v>
      </c>
      <c r="AL614" s="2">
        <v>18</v>
      </c>
      <c r="AM614" s="2" t="s">
        <v>82</v>
      </c>
      <c r="AN614" s="2" t="s">
        <v>82</v>
      </c>
      <c r="AO614" s="2" t="s">
        <v>82</v>
      </c>
      <c r="AP614" s="2">
        <v>11</v>
      </c>
      <c r="AQ614" s="2" t="s">
        <v>82</v>
      </c>
      <c r="AR614" s="2" t="s">
        <v>82</v>
      </c>
      <c r="AS614" s="2" t="s">
        <v>82</v>
      </c>
      <c r="AT614" s="2" t="s">
        <v>2611</v>
      </c>
      <c r="AU614" s="2"/>
      <c r="AV614" s="2"/>
      <c r="AW614" s="2"/>
      <c r="AX614" s="2"/>
      <c r="AY614" s="2">
        <v>41</v>
      </c>
      <c r="AZ614" s="2" t="s">
        <v>82</v>
      </c>
      <c r="BA614" s="2">
        <v>41</v>
      </c>
      <c r="BB614" s="2" t="s">
        <v>82</v>
      </c>
      <c r="BC614" s="2">
        <v>41</v>
      </c>
      <c r="BD614" s="2" t="s">
        <v>82</v>
      </c>
      <c r="BE614" s="2">
        <v>49</v>
      </c>
      <c r="BF614" s="2" t="s">
        <v>1254</v>
      </c>
      <c r="BG614" s="2" t="s">
        <v>2612</v>
      </c>
      <c r="BH614" s="4">
        <v>0.5625</v>
      </c>
      <c r="BI614" s="4">
        <v>0.60416666666666663</v>
      </c>
      <c r="BJ614" s="2">
        <v>13</v>
      </c>
      <c r="BK614" s="2" t="s">
        <v>91</v>
      </c>
      <c r="BL614" s="2" t="s">
        <v>895</v>
      </c>
      <c r="BM614" s="2">
        <v>13</v>
      </c>
      <c r="BN614" s="2" t="s">
        <v>91</v>
      </c>
      <c r="BO614" s="2" t="s">
        <v>492</v>
      </c>
      <c r="BP614" s="2">
        <v>13</v>
      </c>
      <c r="BQ614" s="2" t="s">
        <v>91</v>
      </c>
      <c r="BR614" s="2" t="s">
        <v>353</v>
      </c>
      <c r="BS614" s="3">
        <v>40228</v>
      </c>
      <c r="BT614" s="4">
        <v>0.63574074074074072</v>
      </c>
    </row>
    <row r="615" spans="1:72" x14ac:dyDescent="0.25">
      <c r="A615" s="2">
        <v>969</v>
      </c>
      <c r="B615" s="2">
        <v>2010</v>
      </c>
      <c r="C615" s="2" t="s">
        <v>128</v>
      </c>
      <c r="D615" s="2" t="s">
        <v>122</v>
      </c>
      <c r="E615" s="2"/>
      <c r="F615" s="2">
        <v>146</v>
      </c>
      <c r="G615" s="2" t="s">
        <v>753</v>
      </c>
      <c r="H615" s="2">
        <v>39</v>
      </c>
      <c r="I615" s="2" t="s">
        <v>1117</v>
      </c>
      <c r="J615" s="2">
        <v>161</v>
      </c>
      <c r="K615" s="2" t="s">
        <v>1900</v>
      </c>
      <c r="L615" s="2" t="s">
        <v>1901</v>
      </c>
      <c r="M615" s="3">
        <v>40228</v>
      </c>
      <c r="N615" s="2" t="s">
        <v>756</v>
      </c>
      <c r="O615" s="2" t="s">
        <v>82</v>
      </c>
      <c r="P615" s="2" t="s">
        <v>82</v>
      </c>
      <c r="Q615" s="2" t="str">
        <f>"N/C"</f>
        <v>N/C</v>
      </c>
      <c r="R615" s="2" t="s">
        <v>82</v>
      </c>
      <c r="S615" s="2" t="s">
        <v>82</v>
      </c>
      <c r="T615" s="2">
        <v>1</v>
      </c>
      <c r="U615" s="2" t="s">
        <v>79</v>
      </c>
      <c r="V615" s="2">
        <v>1</v>
      </c>
      <c r="W615" s="2" t="s">
        <v>80</v>
      </c>
      <c r="X615" s="2">
        <v>4</v>
      </c>
      <c r="Y615" s="2" t="s">
        <v>463</v>
      </c>
      <c r="Z615" s="2">
        <v>1</v>
      </c>
      <c r="AA615" s="2" t="s">
        <v>82</v>
      </c>
      <c r="AB615" s="2">
        <v>9</v>
      </c>
      <c r="AC615" s="2" t="s">
        <v>124</v>
      </c>
      <c r="AD615" s="3">
        <v>40228</v>
      </c>
      <c r="AE615" s="4">
        <v>0.60416666666666663</v>
      </c>
      <c r="AF615" s="2"/>
      <c r="AG615" s="2"/>
      <c r="AH615" s="2">
        <v>6</v>
      </c>
      <c r="AI615" s="2" t="s">
        <v>197</v>
      </c>
      <c r="AJ615" s="2">
        <v>60</v>
      </c>
      <c r="AK615" s="2" t="s">
        <v>543</v>
      </c>
      <c r="AL615" s="2">
        <v>18</v>
      </c>
      <c r="AM615" s="2" t="s">
        <v>82</v>
      </c>
      <c r="AN615" s="2" t="s">
        <v>82</v>
      </c>
      <c r="AO615" s="2" t="s">
        <v>82</v>
      </c>
      <c r="AP615" s="2">
        <v>11</v>
      </c>
      <c r="AQ615" s="2" t="s">
        <v>82</v>
      </c>
      <c r="AR615" s="2" t="s">
        <v>82</v>
      </c>
      <c r="AS615" s="2" t="s">
        <v>82</v>
      </c>
      <c r="AT615" s="2" t="s">
        <v>2613</v>
      </c>
      <c r="AU615" s="2"/>
      <c r="AV615" s="2"/>
      <c r="AW615" s="2"/>
      <c r="AX615" s="2"/>
      <c r="AY615" s="2">
        <v>41</v>
      </c>
      <c r="AZ615" s="2" t="s">
        <v>82</v>
      </c>
      <c r="BA615" s="2">
        <v>41</v>
      </c>
      <c r="BB615" s="2" t="s">
        <v>82</v>
      </c>
      <c r="BC615" s="2">
        <v>41</v>
      </c>
      <c r="BD615" s="2" t="s">
        <v>82</v>
      </c>
      <c r="BE615" s="2">
        <v>49</v>
      </c>
      <c r="BF615" s="2" t="s">
        <v>1254</v>
      </c>
      <c r="BG615" s="2" t="s">
        <v>2612</v>
      </c>
      <c r="BH615" s="4">
        <v>0.5625</v>
      </c>
      <c r="BI615" s="4">
        <v>0.60416666666666663</v>
      </c>
      <c r="BJ615" s="2">
        <v>13</v>
      </c>
      <c r="BK615" s="2" t="s">
        <v>91</v>
      </c>
      <c r="BL615" s="2" t="s">
        <v>895</v>
      </c>
      <c r="BM615" s="2">
        <v>13</v>
      </c>
      <c r="BN615" s="2" t="s">
        <v>91</v>
      </c>
      <c r="BO615" s="2" t="s">
        <v>492</v>
      </c>
      <c r="BP615" s="2">
        <v>13</v>
      </c>
      <c r="BQ615" s="2" t="s">
        <v>91</v>
      </c>
      <c r="BR615" s="2" t="s">
        <v>353</v>
      </c>
      <c r="BS615" s="3">
        <v>40228</v>
      </c>
      <c r="BT615" s="4">
        <v>0.65502314814814822</v>
      </c>
    </row>
    <row r="616" spans="1:72" x14ac:dyDescent="0.25">
      <c r="A616" s="2">
        <v>971</v>
      </c>
      <c r="B616" s="2">
        <v>2010</v>
      </c>
      <c r="C616" s="2" t="s">
        <v>625</v>
      </c>
      <c r="D616" s="2" t="s">
        <v>73</v>
      </c>
      <c r="E616" s="2"/>
      <c r="F616" s="2">
        <v>507</v>
      </c>
      <c r="G616" s="2" t="s">
        <v>2475</v>
      </c>
      <c r="H616" s="2">
        <v>2</v>
      </c>
      <c r="I616" s="2" t="s">
        <v>267</v>
      </c>
      <c r="J616" s="2">
        <v>424</v>
      </c>
      <c r="K616" s="2" t="s">
        <v>2476</v>
      </c>
      <c r="L616" s="2" t="s">
        <v>2477</v>
      </c>
      <c r="M616" s="3">
        <v>40228</v>
      </c>
      <c r="N616" s="2" t="s">
        <v>2593</v>
      </c>
      <c r="O616" s="2" t="s">
        <v>2614</v>
      </c>
      <c r="P616" s="2">
        <v>16419</v>
      </c>
      <c r="Q616" s="2" t="str">
        <f>"S/D"</f>
        <v>S/D</v>
      </c>
      <c r="R616" s="2" t="s">
        <v>107</v>
      </c>
      <c r="S616" s="2" t="s">
        <v>107</v>
      </c>
      <c r="T616" s="2">
        <v>1</v>
      </c>
      <c r="U616" s="2" t="s">
        <v>79</v>
      </c>
      <c r="V616" s="2">
        <v>1</v>
      </c>
      <c r="W616" s="2" t="s">
        <v>80</v>
      </c>
      <c r="X616" s="2">
        <v>2</v>
      </c>
      <c r="Y616" s="2" t="s">
        <v>136</v>
      </c>
      <c r="Z616" s="2">
        <v>1</v>
      </c>
      <c r="AA616" s="2" t="s">
        <v>82</v>
      </c>
      <c r="AB616" s="2">
        <v>9</v>
      </c>
      <c r="AC616" s="2" t="s">
        <v>124</v>
      </c>
      <c r="AD616" s="3">
        <v>40226</v>
      </c>
      <c r="AE616" s="4">
        <v>0.34375</v>
      </c>
      <c r="AF616" s="2"/>
      <c r="AG616" s="2"/>
      <c r="AH616" s="2">
        <v>7</v>
      </c>
      <c r="AI616" s="2" t="s">
        <v>801</v>
      </c>
      <c r="AJ616" s="2">
        <v>3</v>
      </c>
      <c r="AK616" s="2" t="s">
        <v>802</v>
      </c>
      <c r="AL616" s="2">
        <v>19</v>
      </c>
      <c r="AM616" s="2" t="s">
        <v>107</v>
      </c>
      <c r="AN616" s="2" t="s">
        <v>107</v>
      </c>
      <c r="AO616" s="2" t="s">
        <v>2615</v>
      </c>
      <c r="AP616" s="2">
        <v>11</v>
      </c>
      <c r="AQ616" s="2" t="s">
        <v>82</v>
      </c>
      <c r="AR616" s="2"/>
      <c r="AS616" s="2"/>
      <c r="AT616" s="2" t="s">
        <v>2616</v>
      </c>
      <c r="AU616" s="2">
        <v>2</v>
      </c>
      <c r="AV616" s="2"/>
      <c r="AW616" s="2"/>
      <c r="AX616" s="2"/>
      <c r="AY616" s="2">
        <v>1</v>
      </c>
      <c r="AZ616" s="2" t="s">
        <v>107</v>
      </c>
      <c r="BA616" s="2">
        <v>1</v>
      </c>
      <c r="BB616" s="2" t="s">
        <v>107</v>
      </c>
      <c r="BC616" s="2">
        <v>41</v>
      </c>
      <c r="BD616" s="2" t="s">
        <v>82</v>
      </c>
      <c r="BE616" s="2">
        <v>1</v>
      </c>
      <c r="BF616" s="2" t="s">
        <v>107</v>
      </c>
      <c r="BG616" s="2"/>
      <c r="BH616" s="2"/>
      <c r="BI616" s="2"/>
      <c r="BJ616" s="2">
        <v>242</v>
      </c>
      <c r="BK616" s="2" t="s">
        <v>107</v>
      </c>
      <c r="BL616" s="2"/>
      <c r="BM616" s="2">
        <v>242</v>
      </c>
      <c r="BN616" s="2" t="s">
        <v>107</v>
      </c>
      <c r="BO616" s="2"/>
      <c r="BP616" s="2">
        <v>242</v>
      </c>
      <c r="BQ616" s="2" t="s">
        <v>107</v>
      </c>
      <c r="BR616" s="2"/>
      <c r="BS616" s="3">
        <v>40228</v>
      </c>
      <c r="BT616" s="4">
        <v>0.67472222222222211</v>
      </c>
    </row>
    <row r="617" spans="1:72" x14ac:dyDescent="0.25">
      <c r="A617" s="2">
        <v>971</v>
      </c>
      <c r="B617" s="2">
        <v>2010</v>
      </c>
      <c r="C617" s="2" t="s">
        <v>806</v>
      </c>
      <c r="D617" s="2" t="s">
        <v>73</v>
      </c>
      <c r="E617" s="2"/>
      <c r="F617" s="2">
        <v>507</v>
      </c>
      <c r="G617" s="2" t="s">
        <v>2475</v>
      </c>
      <c r="H617" s="2">
        <v>2</v>
      </c>
      <c r="I617" s="2" t="s">
        <v>267</v>
      </c>
      <c r="J617" s="2">
        <v>424</v>
      </c>
      <c r="K617" s="2" t="s">
        <v>2476</v>
      </c>
      <c r="L617" s="2" t="s">
        <v>2477</v>
      </c>
      <c r="M617" s="3">
        <v>40228</v>
      </c>
      <c r="N617" s="2" t="s">
        <v>2593</v>
      </c>
      <c r="O617" s="2" t="s">
        <v>2614</v>
      </c>
      <c r="P617" s="2">
        <v>16419</v>
      </c>
      <c r="Q617" s="2" t="str">
        <f>"S/D"</f>
        <v>S/D</v>
      </c>
      <c r="R617" s="2" t="s">
        <v>107</v>
      </c>
      <c r="S617" s="2" t="s">
        <v>107</v>
      </c>
      <c r="T617" s="2">
        <v>1</v>
      </c>
      <c r="U617" s="2" t="s">
        <v>79</v>
      </c>
      <c r="V617" s="2">
        <v>1</v>
      </c>
      <c r="W617" s="2" t="s">
        <v>80</v>
      </c>
      <c r="X617" s="2">
        <v>2</v>
      </c>
      <c r="Y617" s="2" t="s">
        <v>136</v>
      </c>
      <c r="Z617" s="2">
        <v>1</v>
      </c>
      <c r="AA617" s="2" t="s">
        <v>82</v>
      </c>
      <c r="AB617" s="2">
        <v>9</v>
      </c>
      <c r="AC617" s="2" t="s">
        <v>124</v>
      </c>
      <c r="AD617" s="3">
        <v>40226</v>
      </c>
      <c r="AE617" s="4">
        <v>0.34375</v>
      </c>
      <c r="AF617" s="2"/>
      <c r="AG617" s="2"/>
      <c r="AH617" s="2">
        <v>7</v>
      </c>
      <c r="AI617" s="2" t="s">
        <v>801</v>
      </c>
      <c r="AJ617" s="2">
        <v>3</v>
      </c>
      <c r="AK617" s="2" t="s">
        <v>802</v>
      </c>
      <c r="AL617" s="2">
        <v>19</v>
      </c>
      <c r="AM617" s="2" t="s">
        <v>107</v>
      </c>
      <c r="AN617" s="2" t="s">
        <v>107</v>
      </c>
      <c r="AO617" s="2" t="s">
        <v>2615</v>
      </c>
      <c r="AP617" s="2">
        <v>11</v>
      </c>
      <c r="AQ617" s="2" t="s">
        <v>82</v>
      </c>
      <c r="AR617" s="2"/>
      <c r="AS617" s="2"/>
      <c r="AT617" s="2" t="s">
        <v>2616</v>
      </c>
      <c r="AU617" s="2">
        <v>2</v>
      </c>
      <c r="AV617" s="2"/>
      <c r="AW617" s="2"/>
      <c r="AX617" s="2"/>
      <c r="AY617" s="2">
        <v>1</v>
      </c>
      <c r="AZ617" s="2" t="s">
        <v>107</v>
      </c>
      <c r="BA617" s="2">
        <v>1</v>
      </c>
      <c r="BB617" s="2" t="s">
        <v>107</v>
      </c>
      <c r="BC617" s="2">
        <v>41</v>
      </c>
      <c r="BD617" s="2" t="s">
        <v>82</v>
      </c>
      <c r="BE617" s="2">
        <v>1</v>
      </c>
      <c r="BF617" s="2" t="s">
        <v>107</v>
      </c>
      <c r="BG617" s="2"/>
      <c r="BH617" s="2"/>
      <c r="BI617" s="2"/>
      <c r="BJ617" s="2">
        <v>242</v>
      </c>
      <c r="BK617" s="2" t="s">
        <v>107</v>
      </c>
      <c r="BL617" s="2"/>
      <c r="BM617" s="2">
        <v>242</v>
      </c>
      <c r="BN617" s="2" t="s">
        <v>107</v>
      </c>
      <c r="BO617" s="2"/>
      <c r="BP617" s="2">
        <v>242</v>
      </c>
      <c r="BQ617" s="2" t="s">
        <v>107</v>
      </c>
      <c r="BR617" s="2"/>
      <c r="BS617" s="3">
        <v>40228</v>
      </c>
      <c r="BT617" s="4">
        <v>0.67472222222222211</v>
      </c>
    </row>
    <row r="618" spans="1:72" x14ac:dyDescent="0.25">
      <c r="A618" s="2">
        <v>972</v>
      </c>
      <c r="B618" s="2">
        <v>2010</v>
      </c>
      <c r="C618" s="2" t="s">
        <v>409</v>
      </c>
      <c r="D618" s="2" t="s">
        <v>73</v>
      </c>
      <c r="E618" s="2"/>
      <c r="F618" s="2">
        <v>121</v>
      </c>
      <c r="G618" s="2" t="s">
        <v>2501</v>
      </c>
      <c r="H618" s="2">
        <v>38</v>
      </c>
      <c r="I618" s="2" t="s">
        <v>1272</v>
      </c>
      <c r="J618" s="2">
        <v>135</v>
      </c>
      <c r="K618" s="2" t="s">
        <v>2502</v>
      </c>
      <c r="L618" s="2" t="s">
        <v>2503</v>
      </c>
      <c r="M618" s="3">
        <v>40228</v>
      </c>
      <c r="N618" s="2" t="s">
        <v>2617</v>
      </c>
      <c r="O618" s="2" t="s">
        <v>2618</v>
      </c>
      <c r="P618" s="2" t="s">
        <v>2619</v>
      </c>
      <c r="Q618" s="2" t="str">
        <f>"N/C"</f>
        <v>N/C</v>
      </c>
      <c r="R618" s="2" t="s">
        <v>82</v>
      </c>
      <c r="S618" s="2" t="s">
        <v>82</v>
      </c>
      <c r="T618" s="2">
        <v>1</v>
      </c>
      <c r="U618" s="2" t="s">
        <v>79</v>
      </c>
      <c r="V618" s="2">
        <v>1</v>
      </c>
      <c r="W618" s="2" t="s">
        <v>80</v>
      </c>
      <c r="X618" s="2">
        <v>5</v>
      </c>
      <c r="Y618" s="2" t="s">
        <v>82</v>
      </c>
      <c r="Z618" s="2">
        <v>1</v>
      </c>
      <c r="AA618" s="2" t="s">
        <v>82</v>
      </c>
      <c r="AB618" s="2">
        <v>9</v>
      </c>
      <c r="AC618" s="2" t="s">
        <v>124</v>
      </c>
      <c r="AD618" s="3">
        <v>40228</v>
      </c>
      <c r="AE618" s="4">
        <v>0.64930555555555558</v>
      </c>
      <c r="AF618" s="2"/>
      <c r="AG618" s="2"/>
      <c r="AH618" s="2">
        <v>6</v>
      </c>
      <c r="AI618" s="2" t="s">
        <v>197</v>
      </c>
      <c r="AJ618" s="2">
        <v>59</v>
      </c>
      <c r="AK618" s="2" t="s">
        <v>198</v>
      </c>
      <c r="AL618" s="2">
        <v>18</v>
      </c>
      <c r="AM618" s="2" t="s">
        <v>82</v>
      </c>
      <c r="AN618" s="2"/>
      <c r="AO618" s="2"/>
      <c r="AP618" s="2">
        <v>11</v>
      </c>
      <c r="AQ618" s="2" t="s">
        <v>82</v>
      </c>
      <c r="AR618" s="2"/>
      <c r="AS618" s="2"/>
      <c r="AT618" s="2" t="s">
        <v>2620</v>
      </c>
      <c r="AU618" s="2"/>
      <c r="AV618" s="2"/>
      <c r="AW618" s="2"/>
      <c r="AX618" s="2"/>
      <c r="AY618" s="2">
        <v>1</v>
      </c>
      <c r="AZ618" s="2" t="s">
        <v>107</v>
      </c>
      <c r="BA618" s="2">
        <v>1</v>
      </c>
      <c r="BB618" s="2" t="s">
        <v>107</v>
      </c>
      <c r="BC618" s="2">
        <v>1</v>
      </c>
      <c r="BD618" s="2" t="s">
        <v>107</v>
      </c>
      <c r="BE618" s="2">
        <v>1</v>
      </c>
      <c r="BF618" s="2" t="s">
        <v>107</v>
      </c>
      <c r="BG618" s="2"/>
      <c r="BH618" s="2"/>
      <c r="BI618" s="2"/>
      <c r="BJ618" s="2">
        <v>242</v>
      </c>
      <c r="BK618" s="2" t="s">
        <v>107</v>
      </c>
      <c r="BL618" s="2"/>
      <c r="BM618" s="2">
        <v>242</v>
      </c>
      <c r="BN618" s="2" t="s">
        <v>107</v>
      </c>
      <c r="BO618" s="2"/>
      <c r="BP618" s="2">
        <v>242</v>
      </c>
      <c r="BQ618" s="2" t="s">
        <v>107</v>
      </c>
      <c r="BR618" s="2"/>
      <c r="BS618" s="3">
        <v>40228</v>
      </c>
      <c r="BT618" s="4">
        <v>0.71587962962962959</v>
      </c>
    </row>
    <row r="619" spans="1:72" x14ac:dyDescent="0.25">
      <c r="A619" s="2">
        <v>974</v>
      </c>
      <c r="B619" s="2">
        <v>2010</v>
      </c>
      <c r="C619" s="2" t="s">
        <v>72</v>
      </c>
      <c r="D619" s="2" t="s">
        <v>73</v>
      </c>
      <c r="E619" s="2"/>
      <c r="F619" s="2">
        <v>389</v>
      </c>
      <c r="G619" s="2" t="s">
        <v>1819</v>
      </c>
      <c r="H619" s="2">
        <v>4</v>
      </c>
      <c r="I619" s="2" t="s">
        <v>173</v>
      </c>
      <c r="J619" s="2">
        <v>399</v>
      </c>
      <c r="K619" s="2" t="s">
        <v>1820</v>
      </c>
      <c r="L619" s="2" t="s">
        <v>1821</v>
      </c>
      <c r="M619" s="3">
        <v>40228</v>
      </c>
      <c r="N619" s="2" t="s">
        <v>2621</v>
      </c>
      <c r="O619" s="2"/>
      <c r="P619" s="2"/>
      <c r="Q619" s="2" t="str">
        <f>"100-E/10"</f>
        <v>100-E/10</v>
      </c>
      <c r="R619" s="2"/>
      <c r="S619" s="2" t="s">
        <v>480</v>
      </c>
      <c r="T619" s="2">
        <v>1</v>
      </c>
      <c r="U619" s="2" t="s">
        <v>79</v>
      </c>
      <c r="V619" s="2">
        <v>1</v>
      </c>
      <c r="W619" s="2" t="s">
        <v>80</v>
      </c>
      <c r="X619" s="2">
        <v>5</v>
      </c>
      <c r="Y619" s="2" t="s">
        <v>82</v>
      </c>
      <c r="Z619" s="2">
        <v>1</v>
      </c>
      <c r="AA619" s="2" t="s">
        <v>82</v>
      </c>
      <c r="AB619" s="2">
        <v>6</v>
      </c>
      <c r="AC619" s="2" t="s">
        <v>83</v>
      </c>
      <c r="AD619" s="3">
        <v>40228</v>
      </c>
      <c r="AE619" s="4">
        <v>0.54166666666666663</v>
      </c>
      <c r="AF619" s="3">
        <v>40228</v>
      </c>
      <c r="AG619" s="4">
        <v>0.60416666666666663</v>
      </c>
      <c r="AH619" s="2">
        <v>2</v>
      </c>
      <c r="AI619" s="2" t="s">
        <v>84</v>
      </c>
      <c r="AJ619" s="2">
        <v>9</v>
      </c>
      <c r="AK619" s="2" t="s">
        <v>103</v>
      </c>
      <c r="AL619" s="2">
        <v>2</v>
      </c>
      <c r="AM619" s="2" t="s">
        <v>163</v>
      </c>
      <c r="AN619" s="2" t="s">
        <v>2622</v>
      </c>
      <c r="AO619" s="2"/>
      <c r="AP619" s="2">
        <v>11</v>
      </c>
      <c r="AQ619" s="2" t="s">
        <v>82</v>
      </c>
      <c r="AR619" s="2"/>
      <c r="AS619" s="2"/>
      <c r="AT619" s="2" t="s">
        <v>2623</v>
      </c>
      <c r="AU619" s="2"/>
      <c r="AV619" s="2"/>
      <c r="AW619" s="2"/>
      <c r="AX619" s="2"/>
      <c r="AY619" s="2">
        <v>41</v>
      </c>
      <c r="AZ619" s="2" t="s">
        <v>82</v>
      </c>
      <c r="BA619" s="2">
        <v>41</v>
      </c>
      <c r="BB619" s="2" t="s">
        <v>82</v>
      </c>
      <c r="BC619" s="2">
        <v>41</v>
      </c>
      <c r="BD619" s="2" t="s">
        <v>82</v>
      </c>
      <c r="BE619" s="2">
        <v>23</v>
      </c>
      <c r="BF619" s="2" t="s">
        <v>183</v>
      </c>
      <c r="BG619" s="2" t="s">
        <v>2624</v>
      </c>
      <c r="BH619" s="4">
        <v>0.54166666666666663</v>
      </c>
      <c r="BI619" s="4">
        <v>0.16666666666666666</v>
      </c>
      <c r="BJ619" s="2">
        <v>82</v>
      </c>
      <c r="BK619" s="2" t="s">
        <v>487</v>
      </c>
      <c r="BL619" s="2" t="s">
        <v>488</v>
      </c>
      <c r="BM619" s="2">
        <v>73</v>
      </c>
      <c r="BN619" s="2" t="s">
        <v>186</v>
      </c>
      <c r="BO619" s="2" t="s">
        <v>187</v>
      </c>
      <c r="BP619" s="2">
        <v>13</v>
      </c>
      <c r="BQ619" s="2" t="s">
        <v>91</v>
      </c>
      <c r="BR619" s="2" t="s">
        <v>2592</v>
      </c>
      <c r="BS619" s="3">
        <v>40228</v>
      </c>
      <c r="BT619" s="4">
        <v>0.76261574074074068</v>
      </c>
    </row>
    <row r="620" spans="1:72" x14ac:dyDescent="0.25">
      <c r="A620" s="2">
        <v>976</v>
      </c>
      <c r="B620" s="2">
        <v>2010</v>
      </c>
      <c r="C620" s="2" t="s">
        <v>625</v>
      </c>
      <c r="D620" s="2" t="s">
        <v>73</v>
      </c>
      <c r="E620" s="2"/>
      <c r="F620" s="2">
        <v>10</v>
      </c>
      <c r="G620" s="2" t="s">
        <v>2143</v>
      </c>
      <c r="H620" s="2">
        <v>39</v>
      </c>
      <c r="I620" s="2" t="s">
        <v>1117</v>
      </c>
      <c r="J620" s="2">
        <v>19</v>
      </c>
      <c r="K620" s="2" t="s">
        <v>2144</v>
      </c>
      <c r="L620" s="2" t="s">
        <v>2145</v>
      </c>
      <c r="M620" s="3">
        <v>40228</v>
      </c>
      <c r="N620" s="2" t="s">
        <v>2605</v>
      </c>
      <c r="O620" s="2" t="s">
        <v>2606</v>
      </c>
      <c r="P620" s="2" t="s">
        <v>2625</v>
      </c>
      <c r="Q620" s="2" t="str">
        <f>"05/10"</f>
        <v>05/10</v>
      </c>
      <c r="R620" s="2" t="s">
        <v>82</v>
      </c>
      <c r="S620" s="2" t="s">
        <v>82</v>
      </c>
      <c r="T620" s="2">
        <v>1</v>
      </c>
      <c r="U620" s="2" t="s">
        <v>79</v>
      </c>
      <c r="V620" s="2">
        <v>1</v>
      </c>
      <c r="W620" s="2" t="s">
        <v>80</v>
      </c>
      <c r="X620" s="2">
        <v>5</v>
      </c>
      <c r="Y620" s="2" t="s">
        <v>82</v>
      </c>
      <c r="Z620" s="2">
        <v>1</v>
      </c>
      <c r="AA620" s="2" t="s">
        <v>82</v>
      </c>
      <c r="AB620" s="2">
        <v>9</v>
      </c>
      <c r="AC620" s="2" t="s">
        <v>124</v>
      </c>
      <c r="AD620" s="3">
        <v>40228</v>
      </c>
      <c r="AE620" s="4">
        <v>0.72916666666666663</v>
      </c>
      <c r="AF620" s="2"/>
      <c r="AG620" s="2"/>
      <c r="AH620" s="2">
        <v>3</v>
      </c>
      <c r="AI620" s="2" t="s">
        <v>214</v>
      </c>
      <c r="AJ620" s="2">
        <v>14</v>
      </c>
      <c r="AK620" s="2" t="s">
        <v>342</v>
      </c>
      <c r="AL620" s="2">
        <v>18</v>
      </c>
      <c r="AM620" s="2" t="s">
        <v>82</v>
      </c>
      <c r="AN620" s="2" t="s">
        <v>2626</v>
      </c>
      <c r="AO620" s="2" t="s">
        <v>82</v>
      </c>
      <c r="AP620" s="2">
        <v>11</v>
      </c>
      <c r="AQ620" s="2" t="s">
        <v>82</v>
      </c>
      <c r="AR620" s="2"/>
      <c r="AS620" s="2"/>
      <c r="AT620" s="2" t="s">
        <v>2627</v>
      </c>
      <c r="AU620" s="2"/>
      <c r="AV620" s="2"/>
      <c r="AW620" s="2"/>
      <c r="AX620" s="2"/>
      <c r="AY620" s="2">
        <v>1</v>
      </c>
      <c r="AZ620" s="2" t="s">
        <v>107</v>
      </c>
      <c r="BA620" s="2">
        <v>1</v>
      </c>
      <c r="BB620" s="2" t="s">
        <v>107</v>
      </c>
      <c r="BC620" s="2">
        <v>1</v>
      </c>
      <c r="BD620" s="2" t="s">
        <v>107</v>
      </c>
      <c r="BE620" s="2">
        <v>41</v>
      </c>
      <c r="BF620" s="2" t="s">
        <v>82</v>
      </c>
      <c r="BG620" s="2"/>
      <c r="BH620" s="2"/>
      <c r="BI620" s="2"/>
      <c r="BJ620" s="2">
        <v>242</v>
      </c>
      <c r="BK620" s="2" t="s">
        <v>107</v>
      </c>
      <c r="BL620" s="2"/>
      <c r="BM620" s="2">
        <v>242</v>
      </c>
      <c r="BN620" s="2" t="s">
        <v>107</v>
      </c>
      <c r="BO620" s="2"/>
      <c r="BP620" s="2">
        <v>242</v>
      </c>
      <c r="BQ620" s="2" t="s">
        <v>107</v>
      </c>
      <c r="BR620" s="2"/>
      <c r="BS620" s="3">
        <v>40228</v>
      </c>
      <c r="BT620" s="4">
        <v>0.79554398148148142</v>
      </c>
    </row>
    <row r="621" spans="1:72" x14ac:dyDescent="0.25">
      <c r="A621" s="2">
        <v>976</v>
      </c>
      <c r="B621" s="2">
        <v>2010</v>
      </c>
      <c r="C621" s="2" t="s">
        <v>1172</v>
      </c>
      <c r="D621" s="2" t="s">
        <v>73</v>
      </c>
      <c r="E621" s="2"/>
      <c r="F621" s="2">
        <v>10</v>
      </c>
      <c r="G621" s="2" t="s">
        <v>2143</v>
      </c>
      <c r="H621" s="2">
        <v>39</v>
      </c>
      <c r="I621" s="2" t="s">
        <v>1117</v>
      </c>
      <c r="J621" s="2">
        <v>19</v>
      </c>
      <c r="K621" s="2" t="s">
        <v>2144</v>
      </c>
      <c r="L621" s="2" t="s">
        <v>2145</v>
      </c>
      <c r="M621" s="3">
        <v>40228</v>
      </c>
      <c r="N621" s="2" t="s">
        <v>2605</v>
      </c>
      <c r="O621" s="2" t="s">
        <v>2606</v>
      </c>
      <c r="P621" s="2" t="s">
        <v>2625</v>
      </c>
      <c r="Q621" s="2" t="str">
        <f>"05/10"</f>
        <v>05/10</v>
      </c>
      <c r="R621" s="2" t="s">
        <v>82</v>
      </c>
      <c r="S621" s="2" t="s">
        <v>82</v>
      </c>
      <c r="T621" s="2">
        <v>1</v>
      </c>
      <c r="U621" s="2" t="s">
        <v>79</v>
      </c>
      <c r="V621" s="2">
        <v>1</v>
      </c>
      <c r="W621" s="2" t="s">
        <v>80</v>
      </c>
      <c r="X621" s="2">
        <v>5</v>
      </c>
      <c r="Y621" s="2" t="s">
        <v>82</v>
      </c>
      <c r="Z621" s="2">
        <v>1</v>
      </c>
      <c r="AA621" s="2" t="s">
        <v>82</v>
      </c>
      <c r="AB621" s="2">
        <v>9</v>
      </c>
      <c r="AC621" s="2" t="s">
        <v>124</v>
      </c>
      <c r="AD621" s="3">
        <v>40228</v>
      </c>
      <c r="AE621" s="4">
        <v>0.72916666666666663</v>
      </c>
      <c r="AF621" s="2"/>
      <c r="AG621" s="2"/>
      <c r="AH621" s="2">
        <v>3</v>
      </c>
      <c r="AI621" s="2" t="s">
        <v>214</v>
      </c>
      <c r="AJ621" s="2">
        <v>14</v>
      </c>
      <c r="AK621" s="2" t="s">
        <v>342</v>
      </c>
      <c r="AL621" s="2">
        <v>18</v>
      </c>
      <c r="AM621" s="2" t="s">
        <v>82</v>
      </c>
      <c r="AN621" s="2" t="s">
        <v>2626</v>
      </c>
      <c r="AO621" s="2" t="s">
        <v>82</v>
      </c>
      <c r="AP621" s="2">
        <v>11</v>
      </c>
      <c r="AQ621" s="2" t="s">
        <v>82</v>
      </c>
      <c r="AR621" s="2"/>
      <c r="AS621" s="2"/>
      <c r="AT621" s="2" t="s">
        <v>2627</v>
      </c>
      <c r="AU621" s="2"/>
      <c r="AV621" s="2"/>
      <c r="AW621" s="2"/>
      <c r="AX621" s="2"/>
      <c r="AY621" s="2">
        <v>1</v>
      </c>
      <c r="AZ621" s="2" t="s">
        <v>107</v>
      </c>
      <c r="BA621" s="2">
        <v>1</v>
      </c>
      <c r="BB621" s="2" t="s">
        <v>107</v>
      </c>
      <c r="BC621" s="2">
        <v>1</v>
      </c>
      <c r="BD621" s="2" t="s">
        <v>107</v>
      </c>
      <c r="BE621" s="2">
        <v>41</v>
      </c>
      <c r="BF621" s="2" t="s">
        <v>82</v>
      </c>
      <c r="BG621" s="2"/>
      <c r="BH621" s="2"/>
      <c r="BI621" s="2"/>
      <c r="BJ621" s="2">
        <v>242</v>
      </c>
      <c r="BK621" s="2" t="s">
        <v>107</v>
      </c>
      <c r="BL621" s="2"/>
      <c r="BM621" s="2">
        <v>242</v>
      </c>
      <c r="BN621" s="2" t="s">
        <v>107</v>
      </c>
      <c r="BO621" s="2"/>
      <c r="BP621" s="2">
        <v>242</v>
      </c>
      <c r="BQ621" s="2" t="s">
        <v>107</v>
      </c>
      <c r="BR621" s="2"/>
      <c r="BS621" s="3">
        <v>40228</v>
      </c>
      <c r="BT621" s="4">
        <v>0.79554398148148142</v>
      </c>
    </row>
    <row r="622" spans="1:72" x14ac:dyDescent="0.25">
      <c r="A622" s="2">
        <v>977</v>
      </c>
      <c r="B622" s="2">
        <v>2010</v>
      </c>
      <c r="C622" s="2" t="s">
        <v>819</v>
      </c>
      <c r="D622" s="2" t="s">
        <v>122</v>
      </c>
      <c r="E622" s="2"/>
      <c r="F622" s="2">
        <v>425</v>
      </c>
      <c r="G622" s="2" t="s">
        <v>286</v>
      </c>
      <c r="H622" s="2">
        <v>39</v>
      </c>
      <c r="I622" s="2" t="s">
        <v>1117</v>
      </c>
      <c r="J622" s="2">
        <v>310</v>
      </c>
      <c r="K622" s="2" t="s">
        <v>288</v>
      </c>
      <c r="L622" s="2" t="s">
        <v>289</v>
      </c>
      <c r="M622" s="3">
        <v>40228</v>
      </c>
      <c r="N622" s="2" t="s">
        <v>1943</v>
      </c>
      <c r="O622" s="2"/>
      <c r="P622" s="2"/>
      <c r="Q622" s="2" t="str">
        <f>"014/10"</f>
        <v>014/10</v>
      </c>
      <c r="R622" s="2"/>
      <c r="S622" s="2" t="s">
        <v>822</v>
      </c>
      <c r="T622" s="2">
        <v>1</v>
      </c>
      <c r="U622" s="2" t="s">
        <v>79</v>
      </c>
      <c r="V622" s="2">
        <v>1</v>
      </c>
      <c r="W622" s="2" t="s">
        <v>80</v>
      </c>
      <c r="X622" s="2">
        <v>1</v>
      </c>
      <c r="Y622" s="2" t="s">
        <v>81</v>
      </c>
      <c r="Z622" s="2">
        <v>10</v>
      </c>
      <c r="AA622" s="2" t="s">
        <v>236</v>
      </c>
      <c r="AB622" s="2">
        <v>9</v>
      </c>
      <c r="AC622" s="2" t="s">
        <v>124</v>
      </c>
      <c r="AD622" s="3">
        <v>40228</v>
      </c>
      <c r="AE622" s="4">
        <v>0.88541666666666663</v>
      </c>
      <c r="AF622" s="2"/>
      <c r="AG622" s="2"/>
      <c r="AH622" s="2">
        <v>4</v>
      </c>
      <c r="AI622" s="2" t="s">
        <v>125</v>
      </c>
      <c r="AJ622" s="2">
        <v>29</v>
      </c>
      <c r="AK622" s="2" t="s">
        <v>227</v>
      </c>
      <c r="AL622" s="2">
        <v>10</v>
      </c>
      <c r="AM622" s="2" t="s">
        <v>200</v>
      </c>
      <c r="AN622" s="2" t="s">
        <v>1015</v>
      </c>
      <c r="AO622" s="2" t="s">
        <v>200</v>
      </c>
      <c r="AP622" s="2">
        <v>12</v>
      </c>
      <c r="AQ622" s="2" t="s">
        <v>322</v>
      </c>
      <c r="AR622" s="2" t="s">
        <v>824</v>
      </c>
      <c r="AS622" s="2" t="s">
        <v>825</v>
      </c>
      <c r="AT622" s="2" t="s">
        <v>2628</v>
      </c>
      <c r="AU622" s="2"/>
      <c r="AV622" s="2"/>
      <c r="AW622" s="2"/>
      <c r="AX622" s="2"/>
      <c r="AY622" s="2">
        <v>41</v>
      </c>
      <c r="AZ622" s="2" t="s">
        <v>82</v>
      </c>
      <c r="BA622" s="2">
        <v>41</v>
      </c>
      <c r="BB622" s="2" t="s">
        <v>82</v>
      </c>
      <c r="BC622" s="2">
        <v>51</v>
      </c>
      <c r="BD622" s="2" t="s">
        <v>827</v>
      </c>
      <c r="BE622" s="2">
        <v>47</v>
      </c>
      <c r="BF622" s="2" t="s">
        <v>167</v>
      </c>
      <c r="BG622" s="2">
        <v>2459</v>
      </c>
      <c r="BH622" s="4">
        <v>0.88888888888888884</v>
      </c>
      <c r="BI622" s="4">
        <v>0.92361111111111116</v>
      </c>
      <c r="BJ622" s="2">
        <v>13</v>
      </c>
      <c r="BK622" s="2" t="s">
        <v>91</v>
      </c>
      <c r="BL622" s="2" t="s">
        <v>828</v>
      </c>
      <c r="BM622" s="2">
        <v>241</v>
      </c>
      <c r="BN622" s="2" t="s">
        <v>82</v>
      </c>
      <c r="BO622" s="2" t="s">
        <v>82</v>
      </c>
      <c r="BP622" s="2">
        <v>13</v>
      </c>
      <c r="BQ622" s="2" t="s">
        <v>91</v>
      </c>
      <c r="BR622" s="2" t="s">
        <v>185</v>
      </c>
      <c r="BS622" s="3">
        <v>40228</v>
      </c>
      <c r="BT622" s="4">
        <v>0.92479166666666668</v>
      </c>
    </row>
    <row r="623" spans="1:72" x14ac:dyDescent="0.25">
      <c r="A623" s="2">
        <v>978</v>
      </c>
      <c r="B623" s="2">
        <v>2010</v>
      </c>
      <c r="C623" s="2" t="s">
        <v>72</v>
      </c>
      <c r="D623" s="2" t="s">
        <v>73</v>
      </c>
      <c r="E623" s="2"/>
      <c r="F623" s="2">
        <v>509</v>
      </c>
      <c r="G623" s="2" t="s">
        <v>2629</v>
      </c>
      <c r="H623" s="2">
        <v>42</v>
      </c>
      <c r="I623" s="2" t="s">
        <v>1096</v>
      </c>
      <c r="J623" s="2">
        <v>426</v>
      </c>
      <c r="K623" s="2" t="s">
        <v>2630</v>
      </c>
      <c r="L623" s="2" t="s">
        <v>2631</v>
      </c>
      <c r="M623" s="3">
        <v>40228</v>
      </c>
      <c r="N623" s="2" t="s">
        <v>2632</v>
      </c>
      <c r="O623" s="2" t="s">
        <v>107</v>
      </c>
      <c r="P623" s="2" t="s">
        <v>107</v>
      </c>
      <c r="Q623" s="2" t="str">
        <f>"062-A/10"</f>
        <v>062-A/10</v>
      </c>
      <c r="R623" s="2" t="s">
        <v>107</v>
      </c>
      <c r="S623" s="2" t="s">
        <v>601</v>
      </c>
      <c r="T623" s="2">
        <v>1</v>
      </c>
      <c r="U623" s="2" t="s">
        <v>79</v>
      </c>
      <c r="V623" s="2">
        <v>1</v>
      </c>
      <c r="W623" s="2" t="s">
        <v>80</v>
      </c>
      <c r="X623" s="2">
        <v>5</v>
      </c>
      <c r="Y623" s="2" t="s">
        <v>82</v>
      </c>
      <c r="Z623" s="2">
        <v>1</v>
      </c>
      <c r="AA623" s="2" t="s">
        <v>82</v>
      </c>
      <c r="AB623" s="2">
        <v>6</v>
      </c>
      <c r="AC623" s="2" t="s">
        <v>83</v>
      </c>
      <c r="AD623" s="3">
        <v>40228</v>
      </c>
      <c r="AE623" s="4">
        <v>0.83333333333333337</v>
      </c>
      <c r="AF623" s="3">
        <v>40228</v>
      </c>
      <c r="AG623" s="4">
        <v>0.86805555555555547</v>
      </c>
      <c r="AH623" s="2">
        <v>2</v>
      </c>
      <c r="AI623" s="2" t="s">
        <v>84</v>
      </c>
      <c r="AJ623" s="2">
        <v>12</v>
      </c>
      <c r="AK623" s="2" t="s">
        <v>85</v>
      </c>
      <c r="AL623" s="2">
        <v>14</v>
      </c>
      <c r="AM623" s="2" t="s">
        <v>216</v>
      </c>
      <c r="AN623" s="2" t="s">
        <v>2633</v>
      </c>
      <c r="AO623" s="2"/>
      <c r="AP623" s="2">
        <v>11</v>
      </c>
      <c r="AQ623" s="2" t="s">
        <v>82</v>
      </c>
      <c r="AR623" s="2" t="s">
        <v>82</v>
      </c>
      <c r="AS623" s="2" t="s">
        <v>82</v>
      </c>
      <c r="AT623" s="2" t="s">
        <v>2634</v>
      </c>
      <c r="AU623" s="2"/>
      <c r="AV623" s="2"/>
      <c r="AW623" s="2"/>
      <c r="AX623" s="2"/>
      <c r="AY623" s="2">
        <v>41</v>
      </c>
      <c r="AZ623" s="2" t="s">
        <v>82</v>
      </c>
      <c r="BA623" s="2">
        <v>41</v>
      </c>
      <c r="BB623" s="2" t="s">
        <v>82</v>
      </c>
      <c r="BC623" s="2">
        <v>41</v>
      </c>
      <c r="BD623" s="2" t="s">
        <v>82</v>
      </c>
      <c r="BE623" s="2">
        <v>13</v>
      </c>
      <c r="BF623" s="2" t="s">
        <v>108</v>
      </c>
      <c r="BG623" s="2" t="s">
        <v>1330</v>
      </c>
      <c r="BH623" s="4">
        <v>0.79166666666666663</v>
      </c>
      <c r="BI623" s="4">
        <v>0.72916666666666663</v>
      </c>
      <c r="BJ623" s="2">
        <v>13</v>
      </c>
      <c r="BK623" s="2" t="s">
        <v>91</v>
      </c>
      <c r="BL623" s="2" t="s">
        <v>185</v>
      </c>
      <c r="BM623" s="2">
        <v>241</v>
      </c>
      <c r="BN623" s="2" t="s">
        <v>82</v>
      </c>
      <c r="BO623" s="2" t="s">
        <v>82</v>
      </c>
      <c r="BP623" s="2">
        <v>13</v>
      </c>
      <c r="BQ623" s="2" t="s">
        <v>91</v>
      </c>
      <c r="BR623" s="2" t="s">
        <v>445</v>
      </c>
      <c r="BS623" s="3">
        <v>40228</v>
      </c>
      <c r="BT623" s="4">
        <v>0.93678240740740737</v>
      </c>
    </row>
    <row r="624" spans="1:72" x14ac:dyDescent="0.25">
      <c r="A624" s="2">
        <v>979</v>
      </c>
      <c r="B624" s="2">
        <v>2010</v>
      </c>
      <c r="C624" s="2" t="s">
        <v>72</v>
      </c>
      <c r="D624" s="2" t="s">
        <v>73</v>
      </c>
      <c r="E624" s="2"/>
      <c r="F624" s="2">
        <v>554</v>
      </c>
      <c r="G624" s="2" t="s">
        <v>2635</v>
      </c>
      <c r="H624" s="2">
        <v>6</v>
      </c>
      <c r="I624" s="2" t="s">
        <v>1088</v>
      </c>
      <c r="J624" s="2">
        <v>427</v>
      </c>
      <c r="K624" s="2" t="s">
        <v>2636</v>
      </c>
      <c r="L624" s="2" t="s">
        <v>2637</v>
      </c>
      <c r="M624" s="3">
        <v>40228</v>
      </c>
      <c r="N624" s="2" t="s">
        <v>2311</v>
      </c>
      <c r="O624" s="2"/>
      <c r="P624" s="2" t="s">
        <v>82</v>
      </c>
      <c r="Q624" s="2" t="str">
        <f>"0009/10"</f>
        <v>0009/10</v>
      </c>
      <c r="R624" s="2" t="s">
        <v>2638</v>
      </c>
      <c r="S624" s="2" t="s">
        <v>2638</v>
      </c>
      <c r="T624" s="2">
        <v>1</v>
      </c>
      <c r="U624" s="2" t="s">
        <v>79</v>
      </c>
      <c r="V624" s="2">
        <v>1</v>
      </c>
      <c r="W624" s="2" t="s">
        <v>80</v>
      </c>
      <c r="X624" s="2">
        <v>1</v>
      </c>
      <c r="Y624" s="2" t="s">
        <v>81</v>
      </c>
      <c r="Z624" s="2">
        <v>10</v>
      </c>
      <c r="AA624" s="2" t="s">
        <v>236</v>
      </c>
      <c r="AB624" s="2">
        <v>6</v>
      </c>
      <c r="AC624" s="2" t="s">
        <v>83</v>
      </c>
      <c r="AD624" s="3">
        <v>40228</v>
      </c>
      <c r="AE624" s="4">
        <v>0.8125</v>
      </c>
      <c r="AF624" s="3">
        <v>40228</v>
      </c>
      <c r="AG624" s="4">
        <v>0.84375</v>
      </c>
      <c r="AH624" s="2">
        <v>5</v>
      </c>
      <c r="AI624" s="2" t="s">
        <v>274</v>
      </c>
      <c r="AJ624" s="2">
        <v>42</v>
      </c>
      <c r="AK624" s="2" t="s">
        <v>660</v>
      </c>
      <c r="AL624" s="2">
        <v>9</v>
      </c>
      <c r="AM624" s="2" t="s">
        <v>259</v>
      </c>
      <c r="AN624" s="2" t="s">
        <v>2639</v>
      </c>
      <c r="AO624" s="2" t="s">
        <v>2529</v>
      </c>
      <c r="AP624" s="2">
        <v>11</v>
      </c>
      <c r="AQ624" s="2" t="s">
        <v>82</v>
      </c>
      <c r="AR624" s="2" t="s">
        <v>82</v>
      </c>
      <c r="AS624" s="2" t="s">
        <v>82</v>
      </c>
      <c r="AT624" s="2" t="s">
        <v>2640</v>
      </c>
      <c r="AU624" s="2"/>
      <c r="AV624" s="2"/>
      <c r="AW624" s="2"/>
      <c r="AX624" s="2"/>
      <c r="AY624" s="2">
        <v>41</v>
      </c>
      <c r="AZ624" s="2" t="s">
        <v>82</v>
      </c>
      <c r="BA624" s="2">
        <v>41</v>
      </c>
      <c r="BB624" s="2" t="s">
        <v>82</v>
      </c>
      <c r="BC624" s="2">
        <v>41</v>
      </c>
      <c r="BD624" s="2" t="s">
        <v>82</v>
      </c>
      <c r="BE624" s="2">
        <v>41</v>
      </c>
      <c r="BF624" s="2" t="s">
        <v>82</v>
      </c>
      <c r="BG624" s="2" t="s">
        <v>82</v>
      </c>
      <c r="BH624" s="2"/>
      <c r="BI624" s="2"/>
      <c r="BJ624" s="2">
        <v>242</v>
      </c>
      <c r="BK624" s="2" t="s">
        <v>107</v>
      </c>
      <c r="BL624" s="2" t="s">
        <v>82</v>
      </c>
      <c r="BM624" s="2">
        <v>241</v>
      </c>
      <c r="BN624" s="2" t="s">
        <v>82</v>
      </c>
      <c r="BO624" s="2"/>
      <c r="BP624" s="2">
        <v>241</v>
      </c>
      <c r="BQ624" s="2" t="s">
        <v>82</v>
      </c>
      <c r="BR624" s="2"/>
      <c r="BS624" s="3">
        <v>40228</v>
      </c>
      <c r="BT624" s="4">
        <v>0.96708333333333341</v>
      </c>
    </row>
    <row r="625" spans="1:72" x14ac:dyDescent="0.25">
      <c r="A625" s="2">
        <v>980</v>
      </c>
      <c r="B625" s="2">
        <v>2010</v>
      </c>
      <c r="C625" s="2" t="s">
        <v>171</v>
      </c>
      <c r="D625" s="2" t="s">
        <v>73</v>
      </c>
      <c r="E625" s="2"/>
      <c r="F625" s="2">
        <v>397</v>
      </c>
      <c r="G625" s="2" t="s">
        <v>2522</v>
      </c>
      <c r="H625" s="2">
        <v>10</v>
      </c>
      <c r="I625" s="2" t="s">
        <v>1031</v>
      </c>
      <c r="J625" s="2">
        <v>377</v>
      </c>
      <c r="K625" s="2" t="s">
        <v>1223</v>
      </c>
      <c r="L625" s="2" t="s">
        <v>1224</v>
      </c>
      <c r="M625" s="3">
        <v>40229</v>
      </c>
      <c r="N625" s="2" t="s">
        <v>2641</v>
      </c>
      <c r="O625" s="2" t="s">
        <v>107</v>
      </c>
      <c r="P625" s="2" t="s">
        <v>107</v>
      </c>
      <c r="Q625" s="2" t="str">
        <f>"101-E/10"</f>
        <v>101-E/10</v>
      </c>
      <c r="R625" s="2"/>
      <c r="S625" s="2" t="s">
        <v>2642</v>
      </c>
      <c r="T625" s="2">
        <v>1</v>
      </c>
      <c r="U625" s="2" t="s">
        <v>79</v>
      </c>
      <c r="V625" s="2">
        <v>1</v>
      </c>
      <c r="W625" s="2" t="s">
        <v>80</v>
      </c>
      <c r="X625" s="2">
        <v>1</v>
      </c>
      <c r="Y625" s="2" t="s">
        <v>81</v>
      </c>
      <c r="Z625" s="2">
        <v>1</v>
      </c>
      <c r="AA625" s="2" t="s">
        <v>82</v>
      </c>
      <c r="AB625" s="2">
        <v>1</v>
      </c>
      <c r="AC625" s="2" t="s">
        <v>178</v>
      </c>
      <c r="AD625" s="3">
        <v>40228</v>
      </c>
      <c r="AE625" s="4">
        <v>0.76041666666666663</v>
      </c>
      <c r="AF625" s="3">
        <v>40228</v>
      </c>
      <c r="AG625" s="4">
        <v>0.91666666666666663</v>
      </c>
      <c r="AH625" s="2">
        <v>2</v>
      </c>
      <c r="AI625" s="2" t="s">
        <v>84</v>
      </c>
      <c r="AJ625" s="2">
        <v>9</v>
      </c>
      <c r="AK625" s="2" t="s">
        <v>103</v>
      </c>
      <c r="AL625" s="2">
        <v>14</v>
      </c>
      <c r="AM625" s="2" t="s">
        <v>216</v>
      </c>
      <c r="AN625" s="2" t="s">
        <v>2643</v>
      </c>
      <c r="AO625" s="2" t="s">
        <v>82</v>
      </c>
      <c r="AP625" s="2">
        <v>11</v>
      </c>
      <c r="AQ625" s="2" t="s">
        <v>82</v>
      </c>
      <c r="AR625" s="2"/>
      <c r="AS625" s="2"/>
      <c r="AT625" s="2" t="s">
        <v>2644</v>
      </c>
      <c r="AU625" s="2"/>
      <c r="AV625" s="2">
        <v>1</v>
      </c>
      <c r="AW625" s="2"/>
      <c r="AX625" s="2"/>
      <c r="AY625" s="2">
        <v>41</v>
      </c>
      <c r="AZ625" s="2" t="s">
        <v>82</v>
      </c>
      <c r="BA625" s="2">
        <v>41</v>
      </c>
      <c r="BB625" s="2" t="s">
        <v>82</v>
      </c>
      <c r="BC625" s="2">
        <v>41</v>
      </c>
      <c r="BD625" s="2" t="s">
        <v>82</v>
      </c>
      <c r="BE625" s="2">
        <v>33</v>
      </c>
      <c r="BF625" s="2" t="s">
        <v>1083</v>
      </c>
      <c r="BG625" s="2" t="s">
        <v>2165</v>
      </c>
      <c r="BH625" s="2"/>
      <c r="BI625" s="4">
        <v>0.77083333333333337</v>
      </c>
      <c r="BJ625" s="2">
        <v>173</v>
      </c>
      <c r="BK625" s="2" t="s">
        <v>223</v>
      </c>
      <c r="BL625" s="2" t="s">
        <v>224</v>
      </c>
      <c r="BM625" s="2">
        <v>13</v>
      </c>
      <c r="BN625" s="2" t="s">
        <v>91</v>
      </c>
      <c r="BO625" s="2" t="s">
        <v>1084</v>
      </c>
      <c r="BP625" s="2">
        <v>205</v>
      </c>
      <c r="BQ625" s="2" t="s">
        <v>1085</v>
      </c>
      <c r="BR625" s="2" t="s">
        <v>1086</v>
      </c>
      <c r="BS625" s="3">
        <v>40229</v>
      </c>
      <c r="BT625" s="4">
        <v>7.6550925925925925E-2</v>
      </c>
    </row>
    <row r="626" spans="1:72" x14ac:dyDescent="0.25">
      <c r="A626" s="2">
        <v>982</v>
      </c>
      <c r="B626" s="2">
        <v>2010</v>
      </c>
      <c r="C626" s="2" t="s">
        <v>819</v>
      </c>
      <c r="D626" s="2" t="s">
        <v>122</v>
      </c>
      <c r="E626" s="2" t="s">
        <v>2645</v>
      </c>
      <c r="F626" s="2">
        <v>425</v>
      </c>
      <c r="G626" s="2" t="s">
        <v>286</v>
      </c>
      <c r="H626" s="2">
        <v>39</v>
      </c>
      <c r="I626" s="2" t="s">
        <v>1117</v>
      </c>
      <c r="J626" s="2">
        <v>310</v>
      </c>
      <c r="K626" s="2" t="s">
        <v>288</v>
      </c>
      <c r="L626" s="2" t="s">
        <v>289</v>
      </c>
      <c r="M626" s="3">
        <v>40229</v>
      </c>
      <c r="N626" s="2" t="s">
        <v>1943</v>
      </c>
      <c r="O626" s="2"/>
      <c r="P626" s="2"/>
      <c r="Q626" s="2" t="str">
        <f>"014/10"</f>
        <v>014/10</v>
      </c>
      <c r="R626" s="2" t="s">
        <v>822</v>
      </c>
      <c r="S626" s="2"/>
      <c r="T626" s="2">
        <v>1</v>
      </c>
      <c r="U626" s="2" t="s">
        <v>79</v>
      </c>
      <c r="V626" s="2">
        <v>1</v>
      </c>
      <c r="W626" s="2" t="s">
        <v>80</v>
      </c>
      <c r="X626" s="2">
        <v>1</v>
      </c>
      <c r="Y626" s="2" t="s">
        <v>81</v>
      </c>
      <c r="Z626" s="2">
        <v>10</v>
      </c>
      <c r="AA626" s="2" t="s">
        <v>236</v>
      </c>
      <c r="AB626" s="2">
        <v>9</v>
      </c>
      <c r="AC626" s="2" t="s">
        <v>124</v>
      </c>
      <c r="AD626" s="3">
        <v>40228</v>
      </c>
      <c r="AE626" s="4">
        <v>0.88541666666666663</v>
      </c>
      <c r="AF626" s="2"/>
      <c r="AG626" s="2"/>
      <c r="AH626" s="2">
        <v>4</v>
      </c>
      <c r="AI626" s="2" t="s">
        <v>125</v>
      </c>
      <c r="AJ626" s="2">
        <v>29</v>
      </c>
      <c r="AK626" s="2" t="s">
        <v>227</v>
      </c>
      <c r="AL626" s="2">
        <v>10</v>
      </c>
      <c r="AM626" s="2" t="s">
        <v>200</v>
      </c>
      <c r="AN626" s="2" t="s">
        <v>2646</v>
      </c>
      <c r="AO626" s="2"/>
      <c r="AP626" s="2">
        <v>12</v>
      </c>
      <c r="AQ626" s="2" t="s">
        <v>322</v>
      </c>
      <c r="AR626" s="2" t="s">
        <v>824</v>
      </c>
      <c r="AS626" s="2" t="s">
        <v>825</v>
      </c>
      <c r="AT626" s="2" t="s">
        <v>2647</v>
      </c>
      <c r="AU626" s="2"/>
      <c r="AV626" s="2"/>
      <c r="AW626" s="2"/>
      <c r="AX626" s="2"/>
      <c r="AY626" s="2">
        <v>41</v>
      </c>
      <c r="AZ626" s="2" t="s">
        <v>82</v>
      </c>
      <c r="BA626" s="2">
        <v>41</v>
      </c>
      <c r="BB626" s="2" t="s">
        <v>82</v>
      </c>
      <c r="BC626" s="2">
        <v>51</v>
      </c>
      <c r="BD626" s="2" t="s">
        <v>827</v>
      </c>
      <c r="BE626" s="2">
        <v>47</v>
      </c>
      <c r="BF626" s="2" t="s">
        <v>167</v>
      </c>
      <c r="BG626" s="2">
        <v>2459</v>
      </c>
      <c r="BH626" s="4">
        <v>0.88888888888888884</v>
      </c>
      <c r="BI626" s="4">
        <v>0.92361111111111116</v>
      </c>
      <c r="BJ626" s="2">
        <v>13</v>
      </c>
      <c r="BK626" s="2" t="s">
        <v>91</v>
      </c>
      <c r="BL626" s="2" t="s">
        <v>828</v>
      </c>
      <c r="BM626" s="2">
        <v>241</v>
      </c>
      <c r="BN626" s="2" t="s">
        <v>82</v>
      </c>
      <c r="BO626" s="2" t="s">
        <v>82</v>
      </c>
      <c r="BP626" s="2">
        <v>13</v>
      </c>
      <c r="BQ626" s="2" t="s">
        <v>91</v>
      </c>
      <c r="BR626" s="2" t="s">
        <v>185</v>
      </c>
      <c r="BS626" s="3">
        <v>40229</v>
      </c>
      <c r="BT626" s="4">
        <v>0.4845949074074074</v>
      </c>
    </row>
    <row r="627" spans="1:72" x14ac:dyDescent="0.25">
      <c r="A627" s="2">
        <v>984</v>
      </c>
      <c r="B627" s="2">
        <v>2010</v>
      </c>
      <c r="C627" s="2" t="s">
        <v>72</v>
      </c>
      <c r="D627" s="2" t="s">
        <v>73</v>
      </c>
      <c r="E627" s="2"/>
      <c r="F627" s="2">
        <v>389</v>
      </c>
      <c r="G627" s="2" t="s">
        <v>1819</v>
      </c>
      <c r="H627" s="2">
        <v>4</v>
      </c>
      <c r="I627" s="2" t="s">
        <v>173</v>
      </c>
      <c r="J627" s="2">
        <v>399</v>
      </c>
      <c r="K627" s="2" t="s">
        <v>1820</v>
      </c>
      <c r="L627" s="2" t="s">
        <v>1821</v>
      </c>
      <c r="M627" s="3">
        <v>40229</v>
      </c>
      <c r="N627" s="2" t="s">
        <v>2621</v>
      </c>
      <c r="O627" s="2" t="s">
        <v>107</v>
      </c>
      <c r="P627" s="2" t="s">
        <v>107</v>
      </c>
      <c r="Q627" s="2" t="str">
        <f>"102-E/10"</f>
        <v>102-E/10</v>
      </c>
      <c r="R627" s="2" t="s">
        <v>116</v>
      </c>
      <c r="S627" s="2" t="s">
        <v>116</v>
      </c>
      <c r="T627" s="2">
        <v>1</v>
      </c>
      <c r="U627" s="2" t="s">
        <v>79</v>
      </c>
      <c r="V627" s="2">
        <v>1</v>
      </c>
      <c r="W627" s="2" t="s">
        <v>80</v>
      </c>
      <c r="X627" s="2">
        <v>1</v>
      </c>
      <c r="Y627" s="2" t="s">
        <v>81</v>
      </c>
      <c r="Z627" s="2">
        <v>1</v>
      </c>
      <c r="AA627" s="2" t="s">
        <v>82</v>
      </c>
      <c r="AB627" s="2">
        <v>6</v>
      </c>
      <c r="AC627" s="2" t="s">
        <v>83</v>
      </c>
      <c r="AD627" s="3">
        <v>40229</v>
      </c>
      <c r="AE627" s="4">
        <v>0.28125</v>
      </c>
      <c r="AF627" s="3">
        <v>40229</v>
      </c>
      <c r="AG627" s="4">
        <v>0.33333333333333331</v>
      </c>
      <c r="AH627" s="2">
        <v>2</v>
      </c>
      <c r="AI627" s="2" t="s">
        <v>84</v>
      </c>
      <c r="AJ627" s="2">
        <v>9</v>
      </c>
      <c r="AK627" s="2" t="s">
        <v>103</v>
      </c>
      <c r="AL627" s="2">
        <v>14</v>
      </c>
      <c r="AM627" s="2" t="s">
        <v>216</v>
      </c>
      <c r="AN627" s="2" t="s">
        <v>107</v>
      </c>
      <c r="AO627" s="2" t="s">
        <v>2648</v>
      </c>
      <c r="AP627" s="2">
        <v>11</v>
      </c>
      <c r="AQ627" s="2" t="s">
        <v>82</v>
      </c>
      <c r="AR627" s="2" t="s">
        <v>82</v>
      </c>
      <c r="AS627" s="2" t="s">
        <v>82</v>
      </c>
      <c r="AT627" s="2" t="s">
        <v>2649</v>
      </c>
      <c r="AU627" s="2"/>
      <c r="AV627" s="2">
        <v>1</v>
      </c>
      <c r="AW627" s="2"/>
      <c r="AX627" s="2"/>
      <c r="AY627" s="2">
        <v>41</v>
      </c>
      <c r="AZ627" s="2" t="s">
        <v>82</v>
      </c>
      <c r="BA627" s="2">
        <v>41</v>
      </c>
      <c r="BB627" s="2" t="s">
        <v>82</v>
      </c>
      <c r="BC627" s="2">
        <v>41</v>
      </c>
      <c r="BD627" s="2" t="s">
        <v>82</v>
      </c>
      <c r="BE627" s="2">
        <v>41</v>
      </c>
      <c r="BF627" s="2" t="s">
        <v>82</v>
      </c>
      <c r="BG627" s="2" t="s">
        <v>82</v>
      </c>
      <c r="BH627" s="2"/>
      <c r="BI627" s="2"/>
      <c r="BJ627" s="2">
        <v>241</v>
      </c>
      <c r="BK627" s="2" t="s">
        <v>82</v>
      </c>
      <c r="BL627" s="2" t="s">
        <v>82</v>
      </c>
      <c r="BM627" s="2">
        <v>241</v>
      </c>
      <c r="BN627" s="2" t="s">
        <v>82</v>
      </c>
      <c r="BO627" s="2" t="s">
        <v>82</v>
      </c>
      <c r="BP627" s="2">
        <v>241</v>
      </c>
      <c r="BQ627" s="2" t="s">
        <v>82</v>
      </c>
      <c r="BR627" s="2" t="s">
        <v>82</v>
      </c>
      <c r="BS627" s="3">
        <v>40229</v>
      </c>
      <c r="BT627" s="4">
        <v>0.51593750000000005</v>
      </c>
    </row>
    <row r="628" spans="1:72" x14ac:dyDescent="0.25">
      <c r="A628" s="2">
        <v>986</v>
      </c>
      <c r="B628" s="2">
        <v>2010</v>
      </c>
      <c r="C628" s="2" t="s">
        <v>2650</v>
      </c>
      <c r="D628" s="2" t="s">
        <v>122</v>
      </c>
      <c r="E628" s="2" t="s">
        <v>2651</v>
      </c>
      <c r="F628" s="2">
        <v>397</v>
      </c>
      <c r="G628" s="2" t="s">
        <v>2522</v>
      </c>
      <c r="H628" s="2">
        <v>10</v>
      </c>
      <c r="I628" s="2" t="s">
        <v>1031</v>
      </c>
      <c r="J628" s="2">
        <v>377</v>
      </c>
      <c r="K628" s="2" t="s">
        <v>1223</v>
      </c>
      <c r="L628" s="2" t="s">
        <v>1224</v>
      </c>
      <c r="M628" s="3">
        <v>40229</v>
      </c>
      <c r="N628" s="2" t="s">
        <v>2641</v>
      </c>
      <c r="O628" s="2" t="s">
        <v>107</v>
      </c>
      <c r="P628" s="2" t="s">
        <v>107</v>
      </c>
      <c r="Q628" s="2" t="str">
        <f>"101-E/10"</f>
        <v>101-E/10</v>
      </c>
      <c r="R628" s="2" t="s">
        <v>2642</v>
      </c>
      <c r="S628" s="2"/>
      <c r="T628" s="2">
        <v>1</v>
      </c>
      <c r="U628" s="2" t="s">
        <v>79</v>
      </c>
      <c r="V628" s="2">
        <v>1</v>
      </c>
      <c r="W628" s="2" t="s">
        <v>80</v>
      </c>
      <c r="X628" s="2">
        <v>1</v>
      </c>
      <c r="Y628" s="2" t="s">
        <v>81</v>
      </c>
      <c r="Z628" s="2">
        <v>1</v>
      </c>
      <c r="AA628" s="2" t="s">
        <v>82</v>
      </c>
      <c r="AB628" s="2">
        <v>9</v>
      </c>
      <c r="AC628" s="2" t="s">
        <v>124</v>
      </c>
      <c r="AD628" s="3">
        <v>40228</v>
      </c>
      <c r="AE628" s="4">
        <v>0.76041666666666663</v>
      </c>
      <c r="AF628" s="2"/>
      <c r="AG628" s="2"/>
      <c r="AH628" s="2">
        <v>2</v>
      </c>
      <c r="AI628" s="2" t="s">
        <v>84</v>
      </c>
      <c r="AJ628" s="2">
        <v>9</v>
      </c>
      <c r="AK628" s="2" t="s">
        <v>103</v>
      </c>
      <c r="AL628" s="2">
        <v>14</v>
      </c>
      <c r="AM628" s="2" t="s">
        <v>216</v>
      </c>
      <c r="AN628" s="2" t="s">
        <v>2652</v>
      </c>
      <c r="AO628" s="2"/>
      <c r="AP628" s="2">
        <v>11</v>
      </c>
      <c r="AQ628" s="2" t="s">
        <v>82</v>
      </c>
      <c r="AR628" s="2"/>
      <c r="AS628" s="2"/>
      <c r="AT628" s="2" t="s">
        <v>2653</v>
      </c>
      <c r="AU628" s="2"/>
      <c r="AV628" s="2">
        <v>1</v>
      </c>
      <c r="AW628" s="2"/>
      <c r="AX628" s="2"/>
      <c r="AY628" s="2">
        <v>41</v>
      </c>
      <c r="AZ628" s="2" t="s">
        <v>82</v>
      </c>
      <c r="BA628" s="2">
        <v>41</v>
      </c>
      <c r="BB628" s="2" t="s">
        <v>82</v>
      </c>
      <c r="BC628" s="2">
        <v>41</v>
      </c>
      <c r="BD628" s="2" t="s">
        <v>82</v>
      </c>
      <c r="BE628" s="2">
        <v>33</v>
      </c>
      <c r="BF628" s="2" t="s">
        <v>1083</v>
      </c>
      <c r="BG628" s="2" t="s">
        <v>2654</v>
      </c>
      <c r="BH628" s="2"/>
      <c r="BI628" s="4">
        <v>0.77083333333333337</v>
      </c>
      <c r="BJ628" s="2">
        <v>13</v>
      </c>
      <c r="BK628" s="2" t="s">
        <v>91</v>
      </c>
      <c r="BL628" s="2" t="s">
        <v>2655</v>
      </c>
      <c r="BM628" s="2">
        <v>241</v>
      </c>
      <c r="BN628" s="2" t="s">
        <v>82</v>
      </c>
      <c r="BO628" s="2" t="s">
        <v>82</v>
      </c>
      <c r="BP628" s="2">
        <v>205</v>
      </c>
      <c r="BQ628" s="2" t="s">
        <v>1085</v>
      </c>
      <c r="BR628" s="2" t="s">
        <v>2656</v>
      </c>
      <c r="BS628" s="3">
        <v>40229</v>
      </c>
      <c r="BT628" s="4">
        <v>0.54370370370370369</v>
      </c>
    </row>
    <row r="629" spans="1:72" x14ac:dyDescent="0.25">
      <c r="A629" s="2">
        <v>987</v>
      </c>
      <c r="B629" s="2">
        <v>2010</v>
      </c>
      <c r="C629" s="2" t="s">
        <v>72</v>
      </c>
      <c r="D629" s="2" t="s">
        <v>73</v>
      </c>
      <c r="E629" s="2"/>
      <c r="F629" s="2">
        <v>180</v>
      </c>
      <c r="G629" s="2" t="s">
        <v>2553</v>
      </c>
      <c r="H629" s="2">
        <v>58</v>
      </c>
      <c r="I629" s="2" t="s">
        <v>2554</v>
      </c>
      <c r="J629" s="2">
        <v>429</v>
      </c>
      <c r="K629" s="2" t="s">
        <v>2555</v>
      </c>
      <c r="L629" s="2" t="s">
        <v>2556</v>
      </c>
      <c r="M629" s="3">
        <v>40229</v>
      </c>
      <c r="N629" s="2" t="s">
        <v>2561</v>
      </c>
      <c r="O629" s="2" t="s">
        <v>107</v>
      </c>
      <c r="P629" s="2" t="s">
        <v>107</v>
      </c>
      <c r="Q629" s="2" t="str">
        <f>"063-A/10"</f>
        <v>063-A/10</v>
      </c>
      <c r="R629" s="2" t="s">
        <v>899</v>
      </c>
      <c r="S629" s="2" t="s">
        <v>899</v>
      </c>
      <c r="T629" s="2">
        <v>1</v>
      </c>
      <c r="U629" s="2" t="s">
        <v>79</v>
      </c>
      <c r="V629" s="2">
        <v>1</v>
      </c>
      <c r="W629" s="2" t="s">
        <v>80</v>
      </c>
      <c r="X629" s="2">
        <v>1</v>
      </c>
      <c r="Y629" s="2" t="s">
        <v>81</v>
      </c>
      <c r="Z629" s="2">
        <v>1</v>
      </c>
      <c r="AA629" s="2" t="s">
        <v>82</v>
      </c>
      <c r="AB629" s="2">
        <v>6</v>
      </c>
      <c r="AC629" s="2" t="s">
        <v>83</v>
      </c>
      <c r="AD629" s="3">
        <v>40209</v>
      </c>
      <c r="AE629" s="4">
        <v>0.85416666666666663</v>
      </c>
      <c r="AF629" s="3">
        <v>40229</v>
      </c>
      <c r="AG629" s="4">
        <v>0.57291666666666663</v>
      </c>
      <c r="AH629" s="2">
        <v>2</v>
      </c>
      <c r="AI629" s="2" t="s">
        <v>84</v>
      </c>
      <c r="AJ629" s="2">
        <v>12</v>
      </c>
      <c r="AK629" s="2" t="s">
        <v>85</v>
      </c>
      <c r="AL629" s="2">
        <v>10</v>
      </c>
      <c r="AM629" s="2" t="s">
        <v>200</v>
      </c>
      <c r="AN629" s="2"/>
      <c r="AO629" s="2" t="s">
        <v>2657</v>
      </c>
      <c r="AP629" s="2">
        <v>11</v>
      </c>
      <c r="AQ629" s="2" t="s">
        <v>82</v>
      </c>
      <c r="AR629" s="2"/>
      <c r="AS629" s="2"/>
      <c r="AT629" s="2" t="s">
        <v>2658</v>
      </c>
      <c r="AU629" s="2"/>
      <c r="AV629" s="2"/>
      <c r="AW629" s="2"/>
      <c r="AX629" s="2"/>
      <c r="AY629" s="2">
        <v>41</v>
      </c>
      <c r="AZ629" s="2" t="s">
        <v>82</v>
      </c>
      <c r="BA629" s="2">
        <v>41</v>
      </c>
      <c r="BB629" s="2" t="s">
        <v>82</v>
      </c>
      <c r="BC629" s="2">
        <v>41</v>
      </c>
      <c r="BD629" s="2" t="s">
        <v>82</v>
      </c>
      <c r="BE629" s="2">
        <v>13</v>
      </c>
      <c r="BF629" s="2" t="s">
        <v>108</v>
      </c>
      <c r="BG629" s="2" t="s">
        <v>2659</v>
      </c>
      <c r="BH629" s="4">
        <v>0.85416666666666663</v>
      </c>
      <c r="BI629" s="4">
        <v>0.80069444444444438</v>
      </c>
      <c r="BJ629" s="2">
        <v>229</v>
      </c>
      <c r="BK629" s="2" t="s">
        <v>300</v>
      </c>
      <c r="BL629" s="2" t="s">
        <v>573</v>
      </c>
      <c r="BM629" s="2">
        <v>241</v>
      </c>
      <c r="BN629" s="2" t="s">
        <v>82</v>
      </c>
      <c r="BO629" s="2"/>
      <c r="BP629" s="2">
        <v>13</v>
      </c>
      <c r="BQ629" s="2" t="s">
        <v>91</v>
      </c>
      <c r="BR629" s="2" t="s">
        <v>1040</v>
      </c>
      <c r="BS629" s="3">
        <v>40229</v>
      </c>
      <c r="BT629" s="4">
        <v>0.63927083333333334</v>
      </c>
    </row>
    <row r="630" spans="1:72" x14ac:dyDescent="0.25">
      <c r="A630" s="2">
        <v>988</v>
      </c>
      <c r="B630" s="2">
        <v>2010</v>
      </c>
      <c r="C630" s="2" t="s">
        <v>171</v>
      </c>
      <c r="D630" s="2" t="s">
        <v>122</v>
      </c>
      <c r="E630" s="2" t="s">
        <v>2651</v>
      </c>
      <c r="F630" s="2">
        <v>397</v>
      </c>
      <c r="G630" s="2" t="s">
        <v>2522</v>
      </c>
      <c r="H630" s="2">
        <v>10</v>
      </c>
      <c r="I630" s="2" t="s">
        <v>1031</v>
      </c>
      <c r="J630" s="2">
        <v>377</v>
      </c>
      <c r="K630" s="2" t="s">
        <v>1223</v>
      </c>
      <c r="L630" s="2" t="s">
        <v>1224</v>
      </c>
      <c r="M630" s="3">
        <v>40229</v>
      </c>
      <c r="N630" s="2" t="s">
        <v>2641</v>
      </c>
      <c r="O630" s="2" t="s">
        <v>107</v>
      </c>
      <c r="P630" s="2" t="s">
        <v>107</v>
      </c>
      <c r="Q630" s="2" t="str">
        <f>"101-E/10"</f>
        <v>101-E/10</v>
      </c>
      <c r="R630" s="2" t="s">
        <v>2642</v>
      </c>
      <c r="S630" s="2"/>
      <c r="T630" s="2">
        <v>1</v>
      </c>
      <c r="U630" s="2" t="s">
        <v>79</v>
      </c>
      <c r="V630" s="2">
        <v>1</v>
      </c>
      <c r="W630" s="2" t="s">
        <v>80</v>
      </c>
      <c r="X630" s="2">
        <v>1</v>
      </c>
      <c r="Y630" s="2" t="s">
        <v>81</v>
      </c>
      <c r="Z630" s="2">
        <v>1</v>
      </c>
      <c r="AA630" s="2" t="s">
        <v>82</v>
      </c>
      <c r="AB630" s="2">
        <v>1</v>
      </c>
      <c r="AC630" s="2" t="s">
        <v>178</v>
      </c>
      <c r="AD630" s="3">
        <v>40228</v>
      </c>
      <c r="AE630" s="4">
        <v>0.76041666666666663</v>
      </c>
      <c r="AF630" s="2"/>
      <c r="AG630" s="2"/>
      <c r="AH630" s="2">
        <v>2</v>
      </c>
      <c r="AI630" s="2" t="s">
        <v>84</v>
      </c>
      <c r="AJ630" s="2">
        <v>9</v>
      </c>
      <c r="AK630" s="2" t="s">
        <v>103</v>
      </c>
      <c r="AL630" s="2">
        <v>14</v>
      </c>
      <c r="AM630" s="2" t="s">
        <v>216</v>
      </c>
      <c r="AN630" s="2" t="s">
        <v>2660</v>
      </c>
      <c r="AO630" s="2"/>
      <c r="AP630" s="2">
        <v>11</v>
      </c>
      <c r="AQ630" s="2" t="s">
        <v>82</v>
      </c>
      <c r="AR630" s="2"/>
      <c r="AS630" s="2"/>
      <c r="AT630" s="2" t="s">
        <v>2661</v>
      </c>
      <c r="AU630" s="2"/>
      <c r="AV630" s="2">
        <v>1</v>
      </c>
      <c r="AW630" s="2"/>
      <c r="AX630" s="2"/>
      <c r="AY630" s="2">
        <v>41</v>
      </c>
      <c r="AZ630" s="2" t="s">
        <v>82</v>
      </c>
      <c r="BA630" s="2">
        <v>41</v>
      </c>
      <c r="BB630" s="2" t="s">
        <v>82</v>
      </c>
      <c r="BC630" s="2">
        <v>41</v>
      </c>
      <c r="BD630" s="2" t="s">
        <v>82</v>
      </c>
      <c r="BE630" s="2">
        <v>33</v>
      </c>
      <c r="BF630" s="2" t="s">
        <v>1083</v>
      </c>
      <c r="BG630" s="2" t="s">
        <v>2654</v>
      </c>
      <c r="BH630" s="2"/>
      <c r="BI630" s="4">
        <v>0.77083333333333337</v>
      </c>
      <c r="BJ630" s="2">
        <v>13</v>
      </c>
      <c r="BK630" s="2" t="s">
        <v>91</v>
      </c>
      <c r="BL630" s="2" t="s">
        <v>2655</v>
      </c>
      <c r="BM630" s="2">
        <v>241</v>
      </c>
      <c r="BN630" s="2" t="s">
        <v>82</v>
      </c>
      <c r="BO630" s="2" t="s">
        <v>82</v>
      </c>
      <c r="BP630" s="2">
        <v>205</v>
      </c>
      <c r="BQ630" s="2" t="s">
        <v>1085</v>
      </c>
      <c r="BR630" s="2" t="s">
        <v>2656</v>
      </c>
      <c r="BS630" s="3">
        <v>40229</v>
      </c>
      <c r="BT630" s="4">
        <v>0.83956018518518516</v>
      </c>
    </row>
    <row r="631" spans="1:72" x14ac:dyDescent="0.25">
      <c r="A631" s="2">
        <v>988</v>
      </c>
      <c r="B631" s="2">
        <v>2010</v>
      </c>
      <c r="C631" s="2" t="s">
        <v>2650</v>
      </c>
      <c r="D631" s="2" t="s">
        <v>122</v>
      </c>
      <c r="E631" s="2" t="s">
        <v>2651</v>
      </c>
      <c r="F631" s="2">
        <v>397</v>
      </c>
      <c r="G631" s="2" t="s">
        <v>2522</v>
      </c>
      <c r="H631" s="2">
        <v>10</v>
      </c>
      <c r="I631" s="2" t="s">
        <v>1031</v>
      </c>
      <c r="J631" s="2">
        <v>377</v>
      </c>
      <c r="K631" s="2" t="s">
        <v>1223</v>
      </c>
      <c r="L631" s="2" t="s">
        <v>1224</v>
      </c>
      <c r="M631" s="3">
        <v>40229</v>
      </c>
      <c r="N631" s="2" t="s">
        <v>2641</v>
      </c>
      <c r="O631" s="2" t="s">
        <v>107</v>
      </c>
      <c r="P631" s="2" t="s">
        <v>107</v>
      </c>
      <c r="Q631" s="2" t="str">
        <f>"101-E/10"</f>
        <v>101-E/10</v>
      </c>
      <c r="R631" s="2" t="s">
        <v>2642</v>
      </c>
      <c r="S631" s="2"/>
      <c r="T631" s="2">
        <v>1</v>
      </c>
      <c r="U631" s="2" t="s">
        <v>79</v>
      </c>
      <c r="V631" s="2">
        <v>1</v>
      </c>
      <c r="W631" s="2" t="s">
        <v>80</v>
      </c>
      <c r="X631" s="2">
        <v>1</v>
      </c>
      <c r="Y631" s="2" t="s">
        <v>81</v>
      </c>
      <c r="Z631" s="2">
        <v>1</v>
      </c>
      <c r="AA631" s="2" t="s">
        <v>82</v>
      </c>
      <c r="AB631" s="2">
        <v>9</v>
      </c>
      <c r="AC631" s="2" t="s">
        <v>124</v>
      </c>
      <c r="AD631" s="3">
        <v>40228</v>
      </c>
      <c r="AE631" s="4">
        <v>0.76041666666666663</v>
      </c>
      <c r="AF631" s="2"/>
      <c r="AG631" s="2"/>
      <c r="AH631" s="2">
        <v>2</v>
      </c>
      <c r="AI631" s="2" t="s">
        <v>84</v>
      </c>
      <c r="AJ631" s="2">
        <v>9</v>
      </c>
      <c r="AK631" s="2" t="s">
        <v>103</v>
      </c>
      <c r="AL631" s="2">
        <v>14</v>
      </c>
      <c r="AM631" s="2" t="s">
        <v>216</v>
      </c>
      <c r="AN631" s="2" t="s">
        <v>2660</v>
      </c>
      <c r="AO631" s="2"/>
      <c r="AP631" s="2">
        <v>11</v>
      </c>
      <c r="AQ631" s="2" t="s">
        <v>82</v>
      </c>
      <c r="AR631" s="2"/>
      <c r="AS631" s="2"/>
      <c r="AT631" s="2" t="s">
        <v>2661</v>
      </c>
      <c r="AU631" s="2"/>
      <c r="AV631" s="2">
        <v>1</v>
      </c>
      <c r="AW631" s="2"/>
      <c r="AX631" s="2"/>
      <c r="AY631" s="2">
        <v>41</v>
      </c>
      <c r="AZ631" s="2" t="s">
        <v>82</v>
      </c>
      <c r="BA631" s="2">
        <v>41</v>
      </c>
      <c r="BB631" s="2" t="s">
        <v>82</v>
      </c>
      <c r="BC631" s="2">
        <v>41</v>
      </c>
      <c r="BD631" s="2" t="s">
        <v>82</v>
      </c>
      <c r="BE631" s="2">
        <v>33</v>
      </c>
      <c r="BF631" s="2" t="s">
        <v>1083</v>
      </c>
      <c r="BG631" s="2" t="s">
        <v>2654</v>
      </c>
      <c r="BH631" s="2"/>
      <c r="BI631" s="4">
        <v>0.77083333333333337</v>
      </c>
      <c r="BJ631" s="2">
        <v>13</v>
      </c>
      <c r="BK631" s="2" t="s">
        <v>91</v>
      </c>
      <c r="BL631" s="2" t="s">
        <v>2655</v>
      </c>
      <c r="BM631" s="2">
        <v>241</v>
      </c>
      <c r="BN631" s="2" t="s">
        <v>82</v>
      </c>
      <c r="BO631" s="2" t="s">
        <v>82</v>
      </c>
      <c r="BP631" s="2">
        <v>205</v>
      </c>
      <c r="BQ631" s="2" t="s">
        <v>1085</v>
      </c>
      <c r="BR631" s="2" t="s">
        <v>2656</v>
      </c>
      <c r="BS631" s="3">
        <v>40229</v>
      </c>
      <c r="BT631" s="4">
        <v>0.83956018518518516</v>
      </c>
    </row>
    <row r="632" spans="1:72" x14ac:dyDescent="0.25">
      <c r="A632" s="2">
        <v>989</v>
      </c>
      <c r="B632" s="2">
        <v>2010</v>
      </c>
      <c r="C632" s="2" t="s">
        <v>196</v>
      </c>
      <c r="D632" s="2" t="s">
        <v>122</v>
      </c>
      <c r="E632" s="2"/>
      <c r="F632" s="2">
        <v>1</v>
      </c>
      <c r="G632" s="2" t="s">
        <v>82</v>
      </c>
      <c r="H632" s="2">
        <v>1</v>
      </c>
      <c r="I632" s="2" t="s">
        <v>82</v>
      </c>
      <c r="J632" s="2">
        <v>1</v>
      </c>
      <c r="K632" s="2" t="s">
        <v>107</v>
      </c>
      <c r="L632" s="2" t="s">
        <v>107</v>
      </c>
      <c r="M632" s="3">
        <v>40230</v>
      </c>
      <c r="N632" s="2"/>
      <c r="O632" s="2"/>
      <c r="P632" s="2"/>
      <c r="Q632" s="2" t="str">
        <f>""</f>
        <v/>
      </c>
      <c r="R632" s="2"/>
      <c r="S632" s="2"/>
      <c r="T632" s="2">
        <v>2</v>
      </c>
      <c r="U632" s="2" t="s">
        <v>123</v>
      </c>
      <c r="V632" s="2">
        <v>1</v>
      </c>
      <c r="W632" s="2" t="s">
        <v>80</v>
      </c>
      <c r="X632" s="2">
        <v>1</v>
      </c>
      <c r="Y632" s="2" t="s">
        <v>81</v>
      </c>
      <c r="Z632" s="2">
        <v>1</v>
      </c>
      <c r="AA632" s="2" t="s">
        <v>82</v>
      </c>
      <c r="AB632" s="2">
        <v>9</v>
      </c>
      <c r="AC632" s="2" t="s">
        <v>124</v>
      </c>
      <c r="AD632" s="3">
        <v>40229</v>
      </c>
      <c r="AE632" s="4">
        <v>0.89583333333333337</v>
      </c>
      <c r="AF632" s="2"/>
      <c r="AG632" s="2"/>
      <c r="AH632" s="2">
        <v>2</v>
      </c>
      <c r="AI632" s="2" t="s">
        <v>84</v>
      </c>
      <c r="AJ632" s="2">
        <v>12</v>
      </c>
      <c r="AK632" s="2" t="s">
        <v>85</v>
      </c>
      <c r="AL632" s="2">
        <v>20</v>
      </c>
      <c r="AM632" s="2" t="s">
        <v>992</v>
      </c>
      <c r="AN632" s="2" t="s">
        <v>2662</v>
      </c>
      <c r="AO632" s="2"/>
      <c r="AP632" s="2">
        <v>11</v>
      </c>
      <c r="AQ632" s="2" t="s">
        <v>82</v>
      </c>
      <c r="AR632" s="2"/>
      <c r="AS632" s="2"/>
      <c r="AT632" s="2" t="s">
        <v>2663</v>
      </c>
      <c r="AU632" s="2"/>
      <c r="AV632" s="2"/>
      <c r="AW632" s="2"/>
      <c r="AX632" s="2"/>
      <c r="AY632" s="2">
        <v>41</v>
      </c>
      <c r="AZ632" s="2" t="s">
        <v>82</v>
      </c>
      <c r="BA632" s="2">
        <v>41</v>
      </c>
      <c r="BB632" s="2" t="s">
        <v>82</v>
      </c>
      <c r="BC632" s="2">
        <v>41</v>
      </c>
      <c r="BD632" s="2" t="s">
        <v>82</v>
      </c>
      <c r="BE632" s="2">
        <v>41</v>
      </c>
      <c r="BF632" s="2" t="s">
        <v>82</v>
      </c>
      <c r="BG632" s="2"/>
      <c r="BH632" s="2"/>
      <c r="BI632" s="2"/>
      <c r="BJ632" s="2">
        <v>13</v>
      </c>
      <c r="BK632" s="2" t="s">
        <v>91</v>
      </c>
      <c r="BL632" s="2"/>
      <c r="BM632" s="2">
        <v>241</v>
      </c>
      <c r="BN632" s="2" t="s">
        <v>82</v>
      </c>
      <c r="BO632" s="2"/>
      <c r="BP632" s="2">
        <v>146</v>
      </c>
      <c r="BQ632" s="2" t="s">
        <v>1388</v>
      </c>
      <c r="BR632" s="2"/>
      <c r="BS632" s="3">
        <v>40230</v>
      </c>
      <c r="BT632" s="4">
        <v>3.0810185185185187E-2</v>
      </c>
    </row>
    <row r="633" spans="1:72" x14ac:dyDescent="0.25">
      <c r="A633" s="2">
        <v>990</v>
      </c>
      <c r="B633" s="2">
        <v>2010</v>
      </c>
      <c r="C633" s="2" t="s">
        <v>1568</v>
      </c>
      <c r="D633" s="2" t="s">
        <v>73</v>
      </c>
      <c r="E633" s="2"/>
      <c r="F633" s="2">
        <v>180</v>
      </c>
      <c r="G633" s="2" t="s">
        <v>2553</v>
      </c>
      <c r="H633" s="2">
        <v>58</v>
      </c>
      <c r="I633" s="2" t="s">
        <v>2554</v>
      </c>
      <c r="J633" s="2">
        <v>429</v>
      </c>
      <c r="K633" s="2" t="s">
        <v>2555</v>
      </c>
      <c r="L633" s="2" t="s">
        <v>2556</v>
      </c>
      <c r="M633" s="3">
        <v>40230</v>
      </c>
      <c r="N633" s="2" t="s">
        <v>2664</v>
      </c>
      <c r="O633" s="2" t="s">
        <v>2665</v>
      </c>
      <c r="P633" s="2"/>
      <c r="Q633" s="2" t="str">
        <f>"064-A/10"</f>
        <v>064-A/10</v>
      </c>
      <c r="R633" s="2"/>
      <c r="S633" s="2" t="s">
        <v>2665</v>
      </c>
      <c r="T633" s="2">
        <v>1</v>
      </c>
      <c r="U633" s="2" t="s">
        <v>79</v>
      </c>
      <c r="V633" s="2">
        <v>1</v>
      </c>
      <c r="W633" s="2" t="s">
        <v>80</v>
      </c>
      <c r="X633" s="2">
        <v>1</v>
      </c>
      <c r="Y633" s="2" t="s">
        <v>81</v>
      </c>
      <c r="Z633" s="2">
        <v>1</v>
      </c>
      <c r="AA633" s="2" t="s">
        <v>82</v>
      </c>
      <c r="AB633" s="2">
        <v>4</v>
      </c>
      <c r="AC633" s="2" t="s">
        <v>1569</v>
      </c>
      <c r="AD633" s="3">
        <v>40229</v>
      </c>
      <c r="AE633" s="4">
        <v>0.77083333333333337</v>
      </c>
      <c r="AF633" s="2"/>
      <c r="AG633" s="2"/>
      <c r="AH633" s="2">
        <v>2</v>
      </c>
      <c r="AI633" s="2" t="s">
        <v>84</v>
      </c>
      <c r="AJ633" s="2">
        <v>12</v>
      </c>
      <c r="AK633" s="2" t="s">
        <v>85</v>
      </c>
      <c r="AL633" s="2">
        <v>14</v>
      </c>
      <c r="AM633" s="2" t="s">
        <v>216</v>
      </c>
      <c r="AN633" s="2" t="s">
        <v>2666</v>
      </c>
      <c r="AO633" s="2" t="s">
        <v>2667</v>
      </c>
      <c r="AP633" s="2">
        <v>11</v>
      </c>
      <c r="AQ633" s="2" t="s">
        <v>82</v>
      </c>
      <c r="AR633" s="2"/>
      <c r="AS633" s="2"/>
      <c r="AT633" s="2" t="s">
        <v>2668</v>
      </c>
      <c r="AU633" s="2">
        <v>1</v>
      </c>
      <c r="AV633" s="2"/>
      <c r="AW633" s="2"/>
      <c r="AX633" s="2"/>
      <c r="AY633" s="2">
        <v>41</v>
      </c>
      <c r="AZ633" s="2" t="s">
        <v>82</v>
      </c>
      <c r="BA633" s="2">
        <v>41</v>
      </c>
      <c r="BB633" s="2" t="s">
        <v>82</v>
      </c>
      <c r="BC633" s="2">
        <v>41</v>
      </c>
      <c r="BD633" s="2" t="s">
        <v>82</v>
      </c>
      <c r="BE633" s="2">
        <v>13</v>
      </c>
      <c r="BF633" s="2" t="s">
        <v>108</v>
      </c>
      <c r="BG633" s="2" t="s">
        <v>2347</v>
      </c>
      <c r="BH633" s="2"/>
      <c r="BI633" s="4">
        <v>0.79166666666666663</v>
      </c>
      <c r="BJ633" s="2">
        <v>13</v>
      </c>
      <c r="BK633" s="2" t="s">
        <v>91</v>
      </c>
      <c r="BL633" s="2" t="s">
        <v>1040</v>
      </c>
      <c r="BM633" s="2">
        <v>241</v>
      </c>
      <c r="BN633" s="2" t="s">
        <v>82</v>
      </c>
      <c r="BO633" s="2"/>
      <c r="BP633" s="2">
        <v>13</v>
      </c>
      <c r="BQ633" s="2" t="s">
        <v>91</v>
      </c>
      <c r="BR633" s="2" t="s">
        <v>1014</v>
      </c>
      <c r="BS633" s="3">
        <v>40230</v>
      </c>
      <c r="BT633" s="4">
        <v>0.1312962962962963</v>
      </c>
    </row>
    <row r="634" spans="1:72" x14ac:dyDescent="0.25">
      <c r="A634" s="2">
        <v>991</v>
      </c>
      <c r="B634" s="2">
        <v>2010</v>
      </c>
      <c r="C634" s="2" t="s">
        <v>72</v>
      </c>
      <c r="D634" s="2" t="s">
        <v>73</v>
      </c>
      <c r="E634" s="2"/>
      <c r="F634" s="2">
        <v>509</v>
      </c>
      <c r="G634" s="2" t="s">
        <v>2629</v>
      </c>
      <c r="H634" s="2">
        <v>22</v>
      </c>
      <c r="I634" s="2" t="s">
        <v>75</v>
      </c>
      <c r="J634" s="2">
        <v>426</v>
      </c>
      <c r="K634" s="2" t="s">
        <v>2630</v>
      </c>
      <c r="L634" s="2" t="s">
        <v>2631</v>
      </c>
      <c r="M634" s="3">
        <v>40230</v>
      </c>
      <c r="N634" s="2" t="s">
        <v>2669</v>
      </c>
      <c r="O634" s="2"/>
      <c r="P634" s="2"/>
      <c r="Q634" s="2" t="str">
        <f>"065-A/10"</f>
        <v>065-A/10</v>
      </c>
      <c r="R634" s="2"/>
      <c r="S634" s="2" t="s">
        <v>156</v>
      </c>
      <c r="T634" s="2">
        <v>1</v>
      </c>
      <c r="U634" s="2" t="s">
        <v>79</v>
      </c>
      <c r="V634" s="2">
        <v>1</v>
      </c>
      <c r="W634" s="2" t="s">
        <v>80</v>
      </c>
      <c r="X634" s="2">
        <v>1</v>
      </c>
      <c r="Y634" s="2" t="s">
        <v>81</v>
      </c>
      <c r="Z634" s="2">
        <v>1</v>
      </c>
      <c r="AA634" s="2" t="s">
        <v>82</v>
      </c>
      <c r="AB634" s="2">
        <v>6</v>
      </c>
      <c r="AC634" s="2" t="s">
        <v>83</v>
      </c>
      <c r="AD634" s="3">
        <v>40229</v>
      </c>
      <c r="AE634" s="4">
        <v>0.96527777777777779</v>
      </c>
      <c r="AF634" s="3">
        <v>40230</v>
      </c>
      <c r="AG634" s="4">
        <v>6.25E-2</v>
      </c>
      <c r="AH634" s="2">
        <v>2</v>
      </c>
      <c r="AI634" s="2" t="s">
        <v>84</v>
      </c>
      <c r="AJ634" s="2">
        <v>12</v>
      </c>
      <c r="AK634" s="2" t="s">
        <v>85</v>
      </c>
      <c r="AL634" s="2">
        <v>18</v>
      </c>
      <c r="AM634" s="2" t="s">
        <v>82</v>
      </c>
      <c r="AN634" s="2" t="s">
        <v>2670</v>
      </c>
      <c r="AO634" s="2" t="s">
        <v>2671</v>
      </c>
      <c r="AP634" s="2">
        <v>11</v>
      </c>
      <c r="AQ634" s="2" t="s">
        <v>82</v>
      </c>
      <c r="AR634" s="2"/>
      <c r="AS634" s="2"/>
      <c r="AT634" s="2" t="s">
        <v>2672</v>
      </c>
      <c r="AU634" s="2"/>
      <c r="AV634" s="2"/>
      <c r="AW634" s="2"/>
      <c r="AX634" s="2"/>
      <c r="AY634" s="2">
        <v>41</v>
      </c>
      <c r="AZ634" s="2" t="s">
        <v>82</v>
      </c>
      <c r="BA634" s="2">
        <v>41</v>
      </c>
      <c r="BB634" s="2" t="s">
        <v>82</v>
      </c>
      <c r="BC634" s="2">
        <v>41</v>
      </c>
      <c r="BD634" s="2" t="s">
        <v>82</v>
      </c>
      <c r="BE634" s="2">
        <v>4</v>
      </c>
      <c r="BF634" s="2" t="s">
        <v>90</v>
      </c>
      <c r="BG634" s="2" t="s">
        <v>2673</v>
      </c>
      <c r="BH634" s="4">
        <v>0.96527777777777779</v>
      </c>
      <c r="BI634" s="4">
        <v>0.89583333333333337</v>
      </c>
      <c r="BJ634" s="2">
        <v>13</v>
      </c>
      <c r="BK634" s="2" t="s">
        <v>91</v>
      </c>
      <c r="BL634" s="2" t="s">
        <v>332</v>
      </c>
      <c r="BM634" s="2">
        <v>241</v>
      </c>
      <c r="BN634" s="2" t="s">
        <v>82</v>
      </c>
      <c r="BO634" s="2"/>
      <c r="BP634" s="2">
        <v>13</v>
      </c>
      <c r="BQ634" s="2" t="s">
        <v>91</v>
      </c>
      <c r="BR634" s="2" t="s">
        <v>1040</v>
      </c>
      <c r="BS634" s="3">
        <v>40230</v>
      </c>
      <c r="BT634" s="4">
        <v>0.17678240740740739</v>
      </c>
    </row>
    <row r="635" spans="1:72" x14ac:dyDescent="0.25">
      <c r="A635" s="2">
        <v>992</v>
      </c>
      <c r="B635" s="2">
        <v>2010</v>
      </c>
      <c r="C635" s="2" t="s">
        <v>171</v>
      </c>
      <c r="D635" s="2" t="s">
        <v>122</v>
      </c>
      <c r="E635" s="2" t="s">
        <v>2674</v>
      </c>
      <c r="F635" s="2">
        <v>397</v>
      </c>
      <c r="G635" s="2" t="s">
        <v>2522</v>
      </c>
      <c r="H635" s="2">
        <v>10</v>
      </c>
      <c r="I635" s="2" t="s">
        <v>1031</v>
      </c>
      <c r="J635" s="2">
        <v>377</v>
      </c>
      <c r="K635" s="2" t="s">
        <v>1223</v>
      </c>
      <c r="L635" s="2" t="s">
        <v>1224</v>
      </c>
      <c r="M635" s="3">
        <v>40230</v>
      </c>
      <c r="N635" s="2" t="s">
        <v>2641</v>
      </c>
      <c r="O635" s="2" t="s">
        <v>107</v>
      </c>
      <c r="P635" s="2" t="s">
        <v>107</v>
      </c>
      <c r="Q635" s="2" t="str">
        <f>"101-E/10"</f>
        <v>101-E/10</v>
      </c>
      <c r="R635" s="2"/>
      <c r="S635" s="2" t="s">
        <v>2642</v>
      </c>
      <c r="T635" s="2">
        <v>1</v>
      </c>
      <c r="U635" s="2" t="s">
        <v>79</v>
      </c>
      <c r="V635" s="2">
        <v>1</v>
      </c>
      <c r="W635" s="2" t="s">
        <v>80</v>
      </c>
      <c r="X635" s="2">
        <v>1</v>
      </c>
      <c r="Y635" s="2" t="s">
        <v>81</v>
      </c>
      <c r="Z635" s="2">
        <v>1</v>
      </c>
      <c r="AA635" s="2" t="s">
        <v>82</v>
      </c>
      <c r="AB635" s="2">
        <v>1</v>
      </c>
      <c r="AC635" s="2" t="s">
        <v>178</v>
      </c>
      <c r="AD635" s="3">
        <v>40228</v>
      </c>
      <c r="AE635" s="4">
        <v>0.76041666666666663</v>
      </c>
      <c r="AF635" s="2"/>
      <c r="AG635" s="2"/>
      <c r="AH635" s="2">
        <v>2</v>
      </c>
      <c r="AI635" s="2" t="s">
        <v>84</v>
      </c>
      <c r="AJ635" s="2">
        <v>9</v>
      </c>
      <c r="AK635" s="2" t="s">
        <v>103</v>
      </c>
      <c r="AL635" s="2">
        <v>14</v>
      </c>
      <c r="AM635" s="2" t="s">
        <v>216</v>
      </c>
      <c r="AN635" s="2" t="s">
        <v>2660</v>
      </c>
      <c r="AO635" s="2"/>
      <c r="AP635" s="2">
        <v>11</v>
      </c>
      <c r="AQ635" s="2" t="s">
        <v>82</v>
      </c>
      <c r="AR635" s="2"/>
      <c r="AS635" s="2"/>
      <c r="AT635" s="2" t="s">
        <v>2675</v>
      </c>
      <c r="AU635" s="2"/>
      <c r="AV635" s="2">
        <v>1</v>
      </c>
      <c r="AW635" s="2"/>
      <c r="AX635" s="2"/>
      <c r="AY635" s="2">
        <v>41</v>
      </c>
      <c r="AZ635" s="2" t="s">
        <v>82</v>
      </c>
      <c r="BA635" s="2">
        <v>41</v>
      </c>
      <c r="BB635" s="2" t="s">
        <v>82</v>
      </c>
      <c r="BC635" s="2">
        <v>41</v>
      </c>
      <c r="BD635" s="2" t="s">
        <v>82</v>
      </c>
      <c r="BE635" s="2">
        <v>33</v>
      </c>
      <c r="BF635" s="2" t="s">
        <v>1083</v>
      </c>
      <c r="BG635" s="2" t="s">
        <v>2654</v>
      </c>
      <c r="BH635" s="2"/>
      <c r="BI635" s="4">
        <v>0.77083333333333337</v>
      </c>
      <c r="BJ635" s="2">
        <v>13</v>
      </c>
      <c r="BK635" s="2" t="s">
        <v>91</v>
      </c>
      <c r="BL635" s="2" t="s">
        <v>2655</v>
      </c>
      <c r="BM635" s="2">
        <v>241</v>
      </c>
      <c r="BN635" s="2" t="s">
        <v>82</v>
      </c>
      <c r="BO635" s="2" t="s">
        <v>82</v>
      </c>
      <c r="BP635" s="2">
        <v>205</v>
      </c>
      <c r="BQ635" s="2" t="s">
        <v>1085</v>
      </c>
      <c r="BR635" s="2" t="s">
        <v>2656</v>
      </c>
      <c r="BS635" s="3">
        <v>40230</v>
      </c>
      <c r="BT635" s="4">
        <v>0.60562499999999997</v>
      </c>
    </row>
    <row r="636" spans="1:72" x14ac:dyDescent="0.25">
      <c r="A636" s="2">
        <v>992</v>
      </c>
      <c r="B636" s="2">
        <v>2010</v>
      </c>
      <c r="C636" s="2" t="s">
        <v>2650</v>
      </c>
      <c r="D636" s="2" t="s">
        <v>122</v>
      </c>
      <c r="E636" s="2" t="s">
        <v>2674</v>
      </c>
      <c r="F636" s="2">
        <v>397</v>
      </c>
      <c r="G636" s="2" t="s">
        <v>2522</v>
      </c>
      <c r="H636" s="2">
        <v>10</v>
      </c>
      <c r="I636" s="2" t="s">
        <v>1031</v>
      </c>
      <c r="J636" s="2">
        <v>377</v>
      </c>
      <c r="K636" s="2" t="s">
        <v>1223</v>
      </c>
      <c r="L636" s="2" t="s">
        <v>1224</v>
      </c>
      <c r="M636" s="3">
        <v>40230</v>
      </c>
      <c r="N636" s="2" t="s">
        <v>2641</v>
      </c>
      <c r="O636" s="2" t="s">
        <v>107</v>
      </c>
      <c r="P636" s="2" t="s">
        <v>107</v>
      </c>
      <c r="Q636" s="2" t="str">
        <f>"101-E/10"</f>
        <v>101-E/10</v>
      </c>
      <c r="R636" s="2"/>
      <c r="S636" s="2" t="s">
        <v>2642</v>
      </c>
      <c r="T636" s="2">
        <v>1</v>
      </c>
      <c r="U636" s="2" t="s">
        <v>79</v>
      </c>
      <c r="V636" s="2">
        <v>1</v>
      </c>
      <c r="W636" s="2" t="s">
        <v>80</v>
      </c>
      <c r="X636" s="2">
        <v>1</v>
      </c>
      <c r="Y636" s="2" t="s">
        <v>81</v>
      </c>
      <c r="Z636" s="2">
        <v>1</v>
      </c>
      <c r="AA636" s="2" t="s">
        <v>82</v>
      </c>
      <c r="AB636" s="2">
        <v>9</v>
      </c>
      <c r="AC636" s="2" t="s">
        <v>124</v>
      </c>
      <c r="AD636" s="3">
        <v>40228</v>
      </c>
      <c r="AE636" s="4">
        <v>0.76041666666666663</v>
      </c>
      <c r="AF636" s="2"/>
      <c r="AG636" s="2"/>
      <c r="AH636" s="2">
        <v>2</v>
      </c>
      <c r="AI636" s="2" t="s">
        <v>84</v>
      </c>
      <c r="AJ636" s="2">
        <v>9</v>
      </c>
      <c r="AK636" s="2" t="s">
        <v>103</v>
      </c>
      <c r="AL636" s="2">
        <v>14</v>
      </c>
      <c r="AM636" s="2" t="s">
        <v>216</v>
      </c>
      <c r="AN636" s="2" t="s">
        <v>2660</v>
      </c>
      <c r="AO636" s="2"/>
      <c r="AP636" s="2">
        <v>11</v>
      </c>
      <c r="AQ636" s="2" t="s">
        <v>82</v>
      </c>
      <c r="AR636" s="2"/>
      <c r="AS636" s="2"/>
      <c r="AT636" s="2" t="s">
        <v>2675</v>
      </c>
      <c r="AU636" s="2"/>
      <c r="AV636" s="2">
        <v>1</v>
      </c>
      <c r="AW636" s="2"/>
      <c r="AX636" s="2"/>
      <c r="AY636" s="2">
        <v>41</v>
      </c>
      <c r="AZ636" s="2" t="s">
        <v>82</v>
      </c>
      <c r="BA636" s="2">
        <v>41</v>
      </c>
      <c r="BB636" s="2" t="s">
        <v>82</v>
      </c>
      <c r="BC636" s="2">
        <v>41</v>
      </c>
      <c r="BD636" s="2" t="s">
        <v>82</v>
      </c>
      <c r="BE636" s="2">
        <v>33</v>
      </c>
      <c r="BF636" s="2" t="s">
        <v>1083</v>
      </c>
      <c r="BG636" s="2" t="s">
        <v>2654</v>
      </c>
      <c r="BH636" s="2"/>
      <c r="BI636" s="4">
        <v>0.77083333333333337</v>
      </c>
      <c r="BJ636" s="2">
        <v>13</v>
      </c>
      <c r="BK636" s="2" t="s">
        <v>91</v>
      </c>
      <c r="BL636" s="2" t="s">
        <v>2655</v>
      </c>
      <c r="BM636" s="2">
        <v>241</v>
      </c>
      <c r="BN636" s="2" t="s">
        <v>82</v>
      </c>
      <c r="BO636" s="2" t="s">
        <v>82</v>
      </c>
      <c r="BP636" s="2">
        <v>205</v>
      </c>
      <c r="BQ636" s="2" t="s">
        <v>1085</v>
      </c>
      <c r="BR636" s="2" t="s">
        <v>2656</v>
      </c>
      <c r="BS636" s="3">
        <v>40230</v>
      </c>
      <c r="BT636" s="4">
        <v>0.60562499999999997</v>
      </c>
    </row>
    <row r="637" spans="1:72" x14ac:dyDescent="0.25">
      <c r="A637" s="2">
        <v>993</v>
      </c>
      <c r="B637" s="2">
        <v>2010</v>
      </c>
      <c r="C637" s="2" t="s">
        <v>72</v>
      </c>
      <c r="D637" s="2" t="s">
        <v>122</v>
      </c>
      <c r="E637" s="2" t="s">
        <v>2676</v>
      </c>
      <c r="F637" s="2">
        <v>389</v>
      </c>
      <c r="G637" s="2" t="s">
        <v>1819</v>
      </c>
      <c r="H637" s="2">
        <v>4</v>
      </c>
      <c r="I637" s="2" t="s">
        <v>173</v>
      </c>
      <c r="J637" s="2">
        <v>399</v>
      </c>
      <c r="K637" s="2" t="s">
        <v>1820</v>
      </c>
      <c r="L637" s="2" t="s">
        <v>1821</v>
      </c>
      <c r="M637" s="3">
        <v>40230</v>
      </c>
      <c r="N637" s="2" t="s">
        <v>2621</v>
      </c>
      <c r="O637" s="2" t="s">
        <v>107</v>
      </c>
      <c r="P637" s="2" t="s">
        <v>107</v>
      </c>
      <c r="Q637" s="2" t="str">
        <f>"102-E/10"</f>
        <v>102-E/10</v>
      </c>
      <c r="R637" s="2" t="s">
        <v>116</v>
      </c>
      <c r="S637" s="2" t="s">
        <v>116</v>
      </c>
      <c r="T637" s="2">
        <v>1</v>
      </c>
      <c r="U637" s="2" t="s">
        <v>79</v>
      </c>
      <c r="V637" s="2">
        <v>1</v>
      </c>
      <c r="W637" s="2" t="s">
        <v>80</v>
      </c>
      <c r="X637" s="2">
        <v>1</v>
      </c>
      <c r="Y637" s="2" t="s">
        <v>81</v>
      </c>
      <c r="Z637" s="2">
        <v>1</v>
      </c>
      <c r="AA637" s="2" t="s">
        <v>82</v>
      </c>
      <c r="AB637" s="2">
        <v>6</v>
      </c>
      <c r="AC637" s="2" t="s">
        <v>83</v>
      </c>
      <c r="AD637" s="3">
        <v>40229</v>
      </c>
      <c r="AE637" s="4">
        <v>0.33333333333333331</v>
      </c>
      <c r="AF637" s="3">
        <v>40229</v>
      </c>
      <c r="AG637" s="4">
        <v>0.33333333333333331</v>
      </c>
      <c r="AH637" s="2">
        <v>2</v>
      </c>
      <c r="AI637" s="2" t="s">
        <v>84</v>
      </c>
      <c r="AJ637" s="2">
        <v>9</v>
      </c>
      <c r="AK637" s="2" t="s">
        <v>103</v>
      </c>
      <c r="AL637" s="2">
        <v>14</v>
      </c>
      <c r="AM637" s="2" t="s">
        <v>216</v>
      </c>
      <c r="AN637" s="2" t="s">
        <v>107</v>
      </c>
      <c r="AO637" s="2" t="s">
        <v>2648</v>
      </c>
      <c r="AP637" s="2">
        <v>11</v>
      </c>
      <c r="AQ637" s="2" t="s">
        <v>82</v>
      </c>
      <c r="AR637" s="2" t="s">
        <v>82</v>
      </c>
      <c r="AS637" s="2" t="s">
        <v>82</v>
      </c>
      <c r="AT637" s="2" t="s">
        <v>2677</v>
      </c>
      <c r="AU637" s="2"/>
      <c r="AV637" s="2">
        <v>1</v>
      </c>
      <c r="AW637" s="2"/>
      <c r="AX637" s="2"/>
      <c r="AY637" s="2">
        <v>1</v>
      </c>
      <c r="AZ637" s="2" t="s">
        <v>107</v>
      </c>
      <c r="BA637" s="2">
        <v>70</v>
      </c>
      <c r="BB637" s="2" t="s">
        <v>236</v>
      </c>
      <c r="BC637" s="2">
        <v>70</v>
      </c>
      <c r="BD637" s="2" t="s">
        <v>236</v>
      </c>
      <c r="BE637" s="2">
        <v>41</v>
      </c>
      <c r="BF637" s="2" t="s">
        <v>82</v>
      </c>
      <c r="BG637" s="2" t="s">
        <v>82</v>
      </c>
      <c r="BH637" s="4">
        <v>0</v>
      </c>
      <c r="BI637" s="4">
        <v>0</v>
      </c>
      <c r="BJ637" s="2">
        <v>241</v>
      </c>
      <c r="BK637" s="2" t="s">
        <v>82</v>
      </c>
      <c r="BL637" s="2" t="s">
        <v>82</v>
      </c>
      <c r="BM637" s="2">
        <v>241</v>
      </c>
      <c r="BN637" s="2" t="s">
        <v>82</v>
      </c>
      <c r="BO637" s="2" t="s">
        <v>82</v>
      </c>
      <c r="BP637" s="2">
        <v>241</v>
      </c>
      <c r="BQ637" s="2" t="s">
        <v>82</v>
      </c>
      <c r="BR637" s="2" t="s">
        <v>82</v>
      </c>
      <c r="BS637" s="3">
        <v>40230</v>
      </c>
      <c r="BT637" s="4">
        <v>0.61049768518518521</v>
      </c>
    </row>
    <row r="638" spans="1:72" x14ac:dyDescent="0.25">
      <c r="A638" s="2">
        <v>993</v>
      </c>
      <c r="B638" s="2">
        <v>2010</v>
      </c>
      <c r="C638" s="2" t="s">
        <v>385</v>
      </c>
      <c r="D638" s="2" t="s">
        <v>122</v>
      </c>
      <c r="E638" s="2" t="s">
        <v>2676</v>
      </c>
      <c r="F638" s="2">
        <v>389</v>
      </c>
      <c r="G638" s="2" t="s">
        <v>1819</v>
      </c>
      <c r="H638" s="2">
        <v>4</v>
      </c>
      <c r="I638" s="2" t="s">
        <v>173</v>
      </c>
      <c r="J638" s="2">
        <v>399</v>
      </c>
      <c r="K638" s="2" t="s">
        <v>1820</v>
      </c>
      <c r="L638" s="2" t="s">
        <v>1821</v>
      </c>
      <c r="M638" s="3">
        <v>40230</v>
      </c>
      <c r="N638" s="2" t="s">
        <v>2621</v>
      </c>
      <c r="O638" s="2" t="s">
        <v>107</v>
      </c>
      <c r="P638" s="2" t="s">
        <v>107</v>
      </c>
      <c r="Q638" s="2" t="str">
        <f>"102-E/10"</f>
        <v>102-E/10</v>
      </c>
      <c r="R638" s="2" t="s">
        <v>116</v>
      </c>
      <c r="S638" s="2" t="s">
        <v>116</v>
      </c>
      <c r="T638" s="2">
        <v>1</v>
      </c>
      <c r="U638" s="2" t="s">
        <v>79</v>
      </c>
      <c r="V638" s="2">
        <v>1</v>
      </c>
      <c r="W638" s="2" t="s">
        <v>80</v>
      </c>
      <c r="X638" s="2">
        <v>1</v>
      </c>
      <c r="Y638" s="2" t="s">
        <v>81</v>
      </c>
      <c r="Z638" s="2">
        <v>1</v>
      </c>
      <c r="AA638" s="2" t="s">
        <v>82</v>
      </c>
      <c r="AB638" s="2">
        <v>9</v>
      </c>
      <c r="AC638" s="2" t="s">
        <v>124</v>
      </c>
      <c r="AD638" s="3">
        <v>40229</v>
      </c>
      <c r="AE638" s="4">
        <v>0.33333333333333331</v>
      </c>
      <c r="AF638" s="3">
        <v>40229</v>
      </c>
      <c r="AG638" s="4">
        <v>0.33333333333333331</v>
      </c>
      <c r="AH638" s="2">
        <v>2</v>
      </c>
      <c r="AI638" s="2" t="s">
        <v>84</v>
      </c>
      <c r="AJ638" s="2">
        <v>9</v>
      </c>
      <c r="AK638" s="2" t="s">
        <v>103</v>
      </c>
      <c r="AL638" s="2">
        <v>14</v>
      </c>
      <c r="AM638" s="2" t="s">
        <v>216</v>
      </c>
      <c r="AN638" s="2" t="s">
        <v>107</v>
      </c>
      <c r="AO638" s="2" t="s">
        <v>2648</v>
      </c>
      <c r="AP638" s="2">
        <v>11</v>
      </c>
      <c r="AQ638" s="2" t="s">
        <v>82</v>
      </c>
      <c r="AR638" s="2" t="s">
        <v>82</v>
      </c>
      <c r="AS638" s="2" t="s">
        <v>82</v>
      </c>
      <c r="AT638" s="2" t="s">
        <v>2677</v>
      </c>
      <c r="AU638" s="2"/>
      <c r="AV638" s="2">
        <v>1</v>
      </c>
      <c r="AW638" s="2"/>
      <c r="AX638" s="2"/>
      <c r="AY638" s="2">
        <v>1</v>
      </c>
      <c r="AZ638" s="2" t="s">
        <v>107</v>
      </c>
      <c r="BA638" s="2">
        <v>70</v>
      </c>
      <c r="BB638" s="2" t="s">
        <v>236</v>
      </c>
      <c r="BC638" s="2">
        <v>70</v>
      </c>
      <c r="BD638" s="2" t="s">
        <v>236</v>
      </c>
      <c r="BE638" s="2">
        <v>41</v>
      </c>
      <c r="BF638" s="2" t="s">
        <v>82</v>
      </c>
      <c r="BG638" s="2" t="s">
        <v>82</v>
      </c>
      <c r="BH638" s="4">
        <v>0</v>
      </c>
      <c r="BI638" s="4">
        <v>0</v>
      </c>
      <c r="BJ638" s="2">
        <v>241</v>
      </c>
      <c r="BK638" s="2" t="s">
        <v>82</v>
      </c>
      <c r="BL638" s="2" t="s">
        <v>82</v>
      </c>
      <c r="BM638" s="2">
        <v>241</v>
      </c>
      <c r="BN638" s="2" t="s">
        <v>82</v>
      </c>
      <c r="BO638" s="2" t="s">
        <v>82</v>
      </c>
      <c r="BP638" s="2">
        <v>241</v>
      </c>
      <c r="BQ638" s="2" t="s">
        <v>82</v>
      </c>
      <c r="BR638" s="2" t="s">
        <v>82</v>
      </c>
      <c r="BS638" s="3">
        <v>40230</v>
      </c>
      <c r="BT638" s="4">
        <v>0.61049768518518521</v>
      </c>
    </row>
    <row r="639" spans="1:72" x14ac:dyDescent="0.25">
      <c r="A639" s="2">
        <v>994</v>
      </c>
      <c r="B639" s="2">
        <v>2010</v>
      </c>
      <c r="C639" s="2" t="s">
        <v>72</v>
      </c>
      <c r="D639" s="2" t="s">
        <v>73</v>
      </c>
      <c r="E639" s="2"/>
      <c r="F639" s="2">
        <v>391</v>
      </c>
      <c r="G639" s="2" t="s">
        <v>2400</v>
      </c>
      <c r="H639" s="2">
        <v>4</v>
      </c>
      <c r="I639" s="2" t="s">
        <v>173</v>
      </c>
      <c r="J639" s="2">
        <v>399</v>
      </c>
      <c r="K639" s="2" t="s">
        <v>1820</v>
      </c>
      <c r="L639" s="2" t="s">
        <v>1821</v>
      </c>
      <c r="M639" s="3">
        <v>40230</v>
      </c>
      <c r="N639" s="2" t="s">
        <v>2621</v>
      </c>
      <c r="O639" s="2"/>
      <c r="P639" s="2"/>
      <c r="Q639" s="2" t="str">
        <f>"103-E/10"</f>
        <v>103-E/10</v>
      </c>
      <c r="R639" s="2"/>
      <c r="S639" s="2" t="s">
        <v>116</v>
      </c>
      <c r="T639" s="2">
        <v>1</v>
      </c>
      <c r="U639" s="2" t="s">
        <v>79</v>
      </c>
      <c r="V639" s="2">
        <v>1</v>
      </c>
      <c r="W639" s="2" t="s">
        <v>80</v>
      </c>
      <c r="X639" s="2">
        <v>1</v>
      </c>
      <c r="Y639" s="2" t="s">
        <v>81</v>
      </c>
      <c r="Z639" s="2">
        <v>10</v>
      </c>
      <c r="AA639" s="2" t="s">
        <v>236</v>
      </c>
      <c r="AB639" s="2">
        <v>6</v>
      </c>
      <c r="AC639" s="2" t="s">
        <v>83</v>
      </c>
      <c r="AD639" s="3">
        <v>40230</v>
      </c>
      <c r="AE639" s="4">
        <v>0.33333333333333331</v>
      </c>
      <c r="AF639" s="3">
        <v>40230</v>
      </c>
      <c r="AG639" s="4">
        <v>0.46527777777777773</v>
      </c>
      <c r="AH639" s="2">
        <v>2</v>
      </c>
      <c r="AI639" s="2" t="s">
        <v>84</v>
      </c>
      <c r="AJ639" s="2">
        <v>9</v>
      </c>
      <c r="AK639" s="2" t="s">
        <v>103</v>
      </c>
      <c r="AL639" s="2">
        <v>14</v>
      </c>
      <c r="AM639" s="2" t="s">
        <v>216</v>
      </c>
      <c r="AN639" s="2" t="s">
        <v>2678</v>
      </c>
      <c r="AO639" s="2"/>
      <c r="AP639" s="2">
        <v>11</v>
      </c>
      <c r="AQ639" s="2" t="s">
        <v>82</v>
      </c>
      <c r="AR639" s="2"/>
      <c r="AS639" s="2"/>
      <c r="AT639" s="2" t="s">
        <v>2679</v>
      </c>
      <c r="AU639" s="2"/>
      <c r="AV639" s="2"/>
      <c r="AW639" s="2"/>
      <c r="AX639" s="2"/>
      <c r="AY639" s="2">
        <v>41</v>
      </c>
      <c r="AZ639" s="2" t="s">
        <v>82</v>
      </c>
      <c r="BA639" s="2">
        <v>41</v>
      </c>
      <c r="BB639" s="2" t="s">
        <v>82</v>
      </c>
      <c r="BC639" s="2">
        <v>70</v>
      </c>
      <c r="BD639" s="2" t="s">
        <v>236</v>
      </c>
      <c r="BE639" s="2">
        <v>17</v>
      </c>
      <c r="BF639" s="2" t="s">
        <v>508</v>
      </c>
      <c r="BG639" s="2" t="s">
        <v>2680</v>
      </c>
      <c r="BH639" s="4">
        <v>0.33333333333333331</v>
      </c>
      <c r="BI639" s="2"/>
      <c r="BJ639" s="2">
        <v>66</v>
      </c>
      <c r="BK639" s="2" t="s">
        <v>2681</v>
      </c>
      <c r="BL639" s="2" t="s">
        <v>2682</v>
      </c>
      <c r="BM639" s="2">
        <v>173</v>
      </c>
      <c r="BN639" s="2" t="s">
        <v>223</v>
      </c>
      <c r="BO639" s="2" t="s">
        <v>224</v>
      </c>
      <c r="BP639" s="2">
        <v>13</v>
      </c>
      <c r="BQ639" s="2" t="s">
        <v>91</v>
      </c>
      <c r="BR639" s="2" t="s">
        <v>360</v>
      </c>
      <c r="BS639" s="3">
        <v>40230</v>
      </c>
      <c r="BT639" s="4">
        <v>0.63273148148148151</v>
      </c>
    </row>
    <row r="640" spans="1:72" x14ac:dyDescent="0.25">
      <c r="A640" s="2">
        <v>996</v>
      </c>
      <c r="B640" s="2">
        <v>2010</v>
      </c>
      <c r="C640" s="2" t="s">
        <v>72</v>
      </c>
      <c r="D640" s="2" t="s">
        <v>73</v>
      </c>
      <c r="E640" s="2"/>
      <c r="F640" s="2">
        <v>389</v>
      </c>
      <c r="G640" s="2" t="s">
        <v>1819</v>
      </c>
      <c r="H640" s="2">
        <v>4</v>
      </c>
      <c r="I640" s="2" t="s">
        <v>173</v>
      </c>
      <c r="J640" s="2">
        <v>399</v>
      </c>
      <c r="K640" s="2" t="s">
        <v>1820</v>
      </c>
      <c r="L640" s="2" t="s">
        <v>1821</v>
      </c>
      <c r="M640" s="3">
        <v>40231</v>
      </c>
      <c r="N640" s="2" t="s">
        <v>2621</v>
      </c>
      <c r="O640" s="2" t="s">
        <v>107</v>
      </c>
      <c r="P640" s="2" t="s">
        <v>107</v>
      </c>
      <c r="Q640" s="2" t="str">
        <f>"104-E/10"</f>
        <v>104-E/10</v>
      </c>
      <c r="R640" s="2" t="s">
        <v>480</v>
      </c>
      <c r="S640" s="2" t="s">
        <v>480</v>
      </c>
      <c r="T640" s="2">
        <v>1</v>
      </c>
      <c r="U640" s="2" t="s">
        <v>79</v>
      </c>
      <c r="V640" s="2">
        <v>1</v>
      </c>
      <c r="W640" s="2" t="s">
        <v>80</v>
      </c>
      <c r="X640" s="2">
        <v>1</v>
      </c>
      <c r="Y640" s="2" t="s">
        <v>81</v>
      </c>
      <c r="Z640" s="2">
        <v>10</v>
      </c>
      <c r="AA640" s="2" t="s">
        <v>236</v>
      </c>
      <c r="AB640" s="2">
        <v>6</v>
      </c>
      <c r="AC640" s="2" t="s">
        <v>83</v>
      </c>
      <c r="AD640" s="3">
        <v>40216</v>
      </c>
      <c r="AE640" s="4">
        <v>0.79166666666666663</v>
      </c>
      <c r="AF640" s="3">
        <v>40231</v>
      </c>
      <c r="AG640" s="4">
        <v>3.8194444444444441E-2</v>
      </c>
      <c r="AH640" s="2">
        <v>2</v>
      </c>
      <c r="AI640" s="2" t="s">
        <v>84</v>
      </c>
      <c r="AJ640" s="2">
        <v>9</v>
      </c>
      <c r="AK640" s="2" t="s">
        <v>103</v>
      </c>
      <c r="AL640" s="2">
        <v>10</v>
      </c>
      <c r="AM640" s="2" t="s">
        <v>200</v>
      </c>
      <c r="AN640" s="2"/>
      <c r="AO640" s="2" t="s">
        <v>2683</v>
      </c>
      <c r="AP640" s="2">
        <v>11</v>
      </c>
      <c r="AQ640" s="2" t="s">
        <v>82</v>
      </c>
      <c r="AR640" s="2"/>
      <c r="AS640" s="2"/>
      <c r="AT640" s="2" t="s">
        <v>2684</v>
      </c>
      <c r="AU640" s="2"/>
      <c r="AV640" s="2"/>
      <c r="AW640" s="2"/>
      <c r="AX640" s="2"/>
      <c r="AY640" s="2">
        <v>41</v>
      </c>
      <c r="AZ640" s="2" t="s">
        <v>82</v>
      </c>
      <c r="BA640" s="2">
        <v>41</v>
      </c>
      <c r="BB640" s="2" t="s">
        <v>82</v>
      </c>
      <c r="BC640" s="2">
        <v>41</v>
      </c>
      <c r="BD640" s="2" t="s">
        <v>82</v>
      </c>
      <c r="BE640" s="2">
        <v>48</v>
      </c>
      <c r="BF640" s="2" t="s">
        <v>1123</v>
      </c>
      <c r="BG640" s="2">
        <v>574</v>
      </c>
      <c r="BH640" s="4">
        <v>0.79166666666666663</v>
      </c>
      <c r="BI640" s="4">
        <v>0.66666666666666663</v>
      </c>
      <c r="BJ640" s="2">
        <v>13</v>
      </c>
      <c r="BK640" s="2" t="s">
        <v>91</v>
      </c>
      <c r="BL640" s="2" t="s">
        <v>360</v>
      </c>
      <c r="BM640" s="2">
        <v>241</v>
      </c>
      <c r="BN640" s="2" t="s">
        <v>82</v>
      </c>
      <c r="BO640" s="2"/>
      <c r="BP640" s="2">
        <v>33</v>
      </c>
      <c r="BQ640" s="2" t="s">
        <v>361</v>
      </c>
      <c r="BR640" s="2" t="s">
        <v>2685</v>
      </c>
      <c r="BS640" s="3">
        <v>40231</v>
      </c>
      <c r="BT640" s="4">
        <v>0.12174768518518519</v>
      </c>
    </row>
    <row r="641" spans="1:72" x14ac:dyDescent="0.25">
      <c r="A641" s="2">
        <v>997</v>
      </c>
      <c r="B641" s="2">
        <v>2010</v>
      </c>
      <c r="C641" s="2" t="s">
        <v>171</v>
      </c>
      <c r="D641" s="2" t="s">
        <v>122</v>
      </c>
      <c r="E641" s="2" t="s">
        <v>2686</v>
      </c>
      <c r="F641" s="2">
        <v>397</v>
      </c>
      <c r="G641" s="2" t="s">
        <v>2522</v>
      </c>
      <c r="H641" s="2">
        <v>10</v>
      </c>
      <c r="I641" s="2" t="s">
        <v>1031</v>
      </c>
      <c r="J641" s="2">
        <v>377</v>
      </c>
      <c r="K641" s="2" t="s">
        <v>1223</v>
      </c>
      <c r="L641" s="2" t="s">
        <v>1224</v>
      </c>
      <c r="M641" s="3">
        <v>40231</v>
      </c>
      <c r="N641" s="2" t="s">
        <v>2641</v>
      </c>
      <c r="O641" s="2" t="s">
        <v>107</v>
      </c>
      <c r="P641" s="2" t="s">
        <v>107</v>
      </c>
      <c r="Q641" s="2" t="str">
        <f>"101-E/10"</f>
        <v>101-E/10</v>
      </c>
      <c r="R641" s="2" t="s">
        <v>2642</v>
      </c>
      <c r="S641" s="2"/>
      <c r="T641" s="2">
        <v>1</v>
      </c>
      <c r="U641" s="2" t="s">
        <v>79</v>
      </c>
      <c r="V641" s="2">
        <v>1</v>
      </c>
      <c r="W641" s="2" t="s">
        <v>80</v>
      </c>
      <c r="X641" s="2">
        <v>1</v>
      </c>
      <c r="Y641" s="2" t="s">
        <v>81</v>
      </c>
      <c r="Z641" s="2">
        <v>1</v>
      </c>
      <c r="AA641" s="2" t="s">
        <v>82</v>
      </c>
      <c r="AB641" s="2">
        <v>1</v>
      </c>
      <c r="AC641" s="2" t="s">
        <v>178</v>
      </c>
      <c r="AD641" s="3">
        <v>40228</v>
      </c>
      <c r="AE641" s="4">
        <v>0.76041666666666663</v>
      </c>
      <c r="AF641" s="2"/>
      <c r="AG641" s="2"/>
      <c r="AH641" s="2">
        <v>2</v>
      </c>
      <c r="AI641" s="2" t="s">
        <v>84</v>
      </c>
      <c r="AJ641" s="2">
        <v>9</v>
      </c>
      <c r="AK641" s="2" t="s">
        <v>103</v>
      </c>
      <c r="AL641" s="2">
        <v>14</v>
      </c>
      <c r="AM641" s="2" t="s">
        <v>216</v>
      </c>
      <c r="AN641" s="2" t="s">
        <v>2660</v>
      </c>
      <c r="AO641" s="2"/>
      <c r="AP641" s="2">
        <v>11</v>
      </c>
      <c r="AQ641" s="2" t="s">
        <v>82</v>
      </c>
      <c r="AR641" s="2"/>
      <c r="AS641" s="2"/>
      <c r="AT641" s="2" t="s">
        <v>2687</v>
      </c>
      <c r="AU641" s="2"/>
      <c r="AV641" s="2">
        <v>1</v>
      </c>
      <c r="AW641" s="2"/>
      <c r="AX641" s="2"/>
      <c r="AY641" s="2">
        <v>41</v>
      </c>
      <c r="AZ641" s="2" t="s">
        <v>82</v>
      </c>
      <c r="BA641" s="2">
        <v>41</v>
      </c>
      <c r="BB641" s="2" t="s">
        <v>82</v>
      </c>
      <c r="BC641" s="2">
        <v>41</v>
      </c>
      <c r="BD641" s="2" t="s">
        <v>82</v>
      </c>
      <c r="BE641" s="2">
        <v>33</v>
      </c>
      <c r="BF641" s="2" t="s">
        <v>1083</v>
      </c>
      <c r="BG641" s="2" t="s">
        <v>2654</v>
      </c>
      <c r="BH641" s="2"/>
      <c r="BI641" s="4">
        <v>0.77083333333333337</v>
      </c>
      <c r="BJ641" s="2">
        <v>13</v>
      </c>
      <c r="BK641" s="2" t="s">
        <v>91</v>
      </c>
      <c r="BL641" s="2" t="s">
        <v>2655</v>
      </c>
      <c r="BM641" s="2">
        <v>241</v>
      </c>
      <c r="BN641" s="2" t="s">
        <v>82</v>
      </c>
      <c r="BO641" s="2" t="s">
        <v>82</v>
      </c>
      <c r="BP641" s="2">
        <v>205</v>
      </c>
      <c r="BQ641" s="2" t="s">
        <v>1085</v>
      </c>
      <c r="BR641" s="2" t="s">
        <v>2656</v>
      </c>
      <c r="BS641" s="3">
        <v>40231</v>
      </c>
      <c r="BT641" s="4">
        <v>0.31304398148148149</v>
      </c>
    </row>
    <row r="642" spans="1:72" x14ac:dyDescent="0.25">
      <c r="A642" s="2">
        <v>997</v>
      </c>
      <c r="B642" s="2">
        <v>2010</v>
      </c>
      <c r="C642" s="2" t="s">
        <v>2650</v>
      </c>
      <c r="D642" s="2" t="s">
        <v>122</v>
      </c>
      <c r="E642" s="2" t="s">
        <v>2686</v>
      </c>
      <c r="F642" s="2">
        <v>397</v>
      </c>
      <c r="G642" s="2" t="s">
        <v>2522</v>
      </c>
      <c r="H642" s="2">
        <v>10</v>
      </c>
      <c r="I642" s="2" t="s">
        <v>1031</v>
      </c>
      <c r="J642" s="2">
        <v>377</v>
      </c>
      <c r="K642" s="2" t="s">
        <v>1223</v>
      </c>
      <c r="L642" s="2" t="s">
        <v>1224</v>
      </c>
      <c r="M642" s="3">
        <v>40231</v>
      </c>
      <c r="N642" s="2" t="s">
        <v>2641</v>
      </c>
      <c r="O642" s="2" t="s">
        <v>107</v>
      </c>
      <c r="P642" s="2" t="s">
        <v>107</v>
      </c>
      <c r="Q642" s="2" t="str">
        <f>"101-E/10"</f>
        <v>101-E/10</v>
      </c>
      <c r="R642" s="2" t="s">
        <v>2642</v>
      </c>
      <c r="S642" s="2"/>
      <c r="T642" s="2">
        <v>1</v>
      </c>
      <c r="U642" s="2" t="s">
        <v>79</v>
      </c>
      <c r="V642" s="2">
        <v>1</v>
      </c>
      <c r="W642" s="2" t="s">
        <v>80</v>
      </c>
      <c r="X642" s="2">
        <v>1</v>
      </c>
      <c r="Y642" s="2" t="s">
        <v>81</v>
      </c>
      <c r="Z642" s="2">
        <v>1</v>
      </c>
      <c r="AA642" s="2" t="s">
        <v>82</v>
      </c>
      <c r="AB642" s="2">
        <v>9</v>
      </c>
      <c r="AC642" s="2" t="s">
        <v>124</v>
      </c>
      <c r="AD642" s="3">
        <v>40228</v>
      </c>
      <c r="AE642" s="4">
        <v>0.76041666666666663</v>
      </c>
      <c r="AF642" s="2"/>
      <c r="AG642" s="2"/>
      <c r="AH642" s="2">
        <v>2</v>
      </c>
      <c r="AI642" s="2" t="s">
        <v>84</v>
      </c>
      <c r="AJ642" s="2">
        <v>9</v>
      </c>
      <c r="AK642" s="2" t="s">
        <v>103</v>
      </c>
      <c r="AL642" s="2">
        <v>14</v>
      </c>
      <c r="AM642" s="2" t="s">
        <v>216</v>
      </c>
      <c r="AN642" s="2" t="s">
        <v>2660</v>
      </c>
      <c r="AO642" s="2"/>
      <c r="AP642" s="2">
        <v>11</v>
      </c>
      <c r="AQ642" s="2" t="s">
        <v>82</v>
      </c>
      <c r="AR642" s="2"/>
      <c r="AS642" s="2"/>
      <c r="AT642" s="2" t="s">
        <v>2687</v>
      </c>
      <c r="AU642" s="2"/>
      <c r="AV642" s="2">
        <v>1</v>
      </c>
      <c r="AW642" s="2"/>
      <c r="AX642" s="2"/>
      <c r="AY642" s="2">
        <v>41</v>
      </c>
      <c r="AZ642" s="2" t="s">
        <v>82</v>
      </c>
      <c r="BA642" s="2">
        <v>41</v>
      </c>
      <c r="BB642" s="2" t="s">
        <v>82</v>
      </c>
      <c r="BC642" s="2">
        <v>41</v>
      </c>
      <c r="BD642" s="2" t="s">
        <v>82</v>
      </c>
      <c r="BE642" s="2">
        <v>33</v>
      </c>
      <c r="BF642" s="2" t="s">
        <v>1083</v>
      </c>
      <c r="BG642" s="2" t="s">
        <v>2654</v>
      </c>
      <c r="BH642" s="2"/>
      <c r="BI642" s="4">
        <v>0.77083333333333337</v>
      </c>
      <c r="BJ642" s="2">
        <v>13</v>
      </c>
      <c r="BK642" s="2" t="s">
        <v>91</v>
      </c>
      <c r="BL642" s="2" t="s">
        <v>2655</v>
      </c>
      <c r="BM642" s="2">
        <v>241</v>
      </c>
      <c r="BN642" s="2" t="s">
        <v>82</v>
      </c>
      <c r="BO642" s="2" t="s">
        <v>82</v>
      </c>
      <c r="BP642" s="2">
        <v>205</v>
      </c>
      <c r="BQ642" s="2" t="s">
        <v>1085</v>
      </c>
      <c r="BR642" s="2" t="s">
        <v>2656</v>
      </c>
      <c r="BS642" s="3">
        <v>40231</v>
      </c>
      <c r="BT642" s="4">
        <v>0.31304398148148149</v>
      </c>
    </row>
    <row r="643" spans="1:72" x14ac:dyDescent="0.25">
      <c r="A643" s="2">
        <v>997</v>
      </c>
      <c r="B643" s="2">
        <v>2010</v>
      </c>
      <c r="C643" s="2" t="s">
        <v>385</v>
      </c>
      <c r="D643" s="2" t="s">
        <v>122</v>
      </c>
      <c r="E643" s="2" t="s">
        <v>2686</v>
      </c>
      <c r="F643" s="2">
        <v>397</v>
      </c>
      <c r="G643" s="2" t="s">
        <v>2522</v>
      </c>
      <c r="H643" s="2">
        <v>10</v>
      </c>
      <c r="I643" s="2" t="s">
        <v>1031</v>
      </c>
      <c r="J643" s="2">
        <v>377</v>
      </c>
      <c r="K643" s="2" t="s">
        <v>1223</v>
      </c>
      <c r="L643" s="2" t="s">
        <v>1224</v>
      </c>
      <c r="M643" s="3">
        <v>40231</v>
      </c>
      <c r="N643" s="2" t="s">
        <v>2641</v>
      </c>
      <c r="O643" s="2" t="s">
        <v>107</v>
      </c>
      <c r="P643" s="2" t="s">
        <v>107</v>
      </c>
      <c r="Q643" s="2" t="str">
        <f>"101-E/10"</f>
        <v>101-E/10</v>
      </c>
      <c r="R643" s="2" t="s">
        <v>2642</v>
      </c>
      <c r="S643" s="2"/>
      <c r="T643" s="2">
        <v>1</v>
      </c>
      <c r="U643" s="2" t="s">
        <v>79</v>
      </c>
      <c r="V643" s="2">
        <v>1</v>
      </c>
      <c r="W643" s="2" t="s">
        <v>80</v>
      </c>
      <c r="X643" s="2">
        <v>1</v>
      </c>
      <c r="Y643" s="2" t="s">
        <v>81</v>
      </c>
      <c r="Z643" s="2">
        <v>1</v>
      </c>
      <c r="AA643" s="2" t="s">
        <v>82</v>
      </c>
      <c r="AB643" s="2">
        <v>9</v>
      </c>
      <c r="AC643" s="2" t="s">
        <v>124</v>
      </c>
      <c r="AD643" s="3">
        <v>40228</v>
      </c>
      <c r="AE643" s="4">
        <v>0.76041666666666663</v>
      </c>
      <c r="AF643" s="2"/>
      <c r="AG643" s="2"/>
      <c r="AH643" s="2">
        <v>2</v>
      </c>
      <c r="AI643" s="2" t="s">
        <v>84</v>
      </c>
      <c r="AJ643" s="2">
        <v>9</v>
      </c>
      <c r="AK643" s="2" t="s">
        <v>103</v>
      </c>
      <c r="AL643" s="2">
        <v>14</v>
      </c>
      <c r="AM643" s="2" t="s">
        <v>216</v>
      </c>
      <c r="AN643" s="2" t="s">
        <v>2660</v>
      </c>
      <c r="AO643" s="2"/>
      <c r="AP643" s="2">
        <v>11</v>
      </c>
      <c r="AQ643" s="2" t="s">
        <v>82</v>
      </c>
      <c r="AR643" s="2"/>
      <c r="AS643" s="2"/>
      <c r="AT643" s="2" t="s">
        <v>2687</v>
      </c>
      <c r="AU643" s="2"/>
      <c r="AV643" s="2">
        <v>1</v>
      </c>
      <c r="AW643" s="2"/>
      <c r="AX643" s="2"/>
      <c r="AY643" s="2">
        <v>41</v>
      </c>
      <c r="AZ643" s="2" t="s">
        <v>82</v>
      </c>
      <c r="BA643" s="2">
        <v>41</v>
      </c>
      <c r="BB643" s="2" t="s">
        <v>82</v>
      </c>
      <c r="BC643" s="2">
        <v>41</v>
      </c>
      <c r="BD643" s="2" t="s">
        <v>82</v>
      </c>
      <c r="BE643" s="2">
        <v>33</v>
      </c>
      <c r="BF643" s="2" t="s">
        <v>1083</v>
      </c>
      <c r="BG643" s="2" t="s">
        <v>2654</v>
      </c>
      <c r="BH643" s="2"/>
      <c r="BI643" s="4">
        <v>0.77083333333333337</v>
      </c>
      <c r="BJ643" s="2">
        <v>13</v>
      </c>
      <c r="BK643" s="2" t="s">
        <v>91</v>
      </c>
      <c r="BL643" s="2" t="s">
        <v>2655</v>
      </c>
      <c r="BM643" s="2">
        <v>241</v>
      </c>
      <c r="BN643" s="2" t="s">
        <v>82</v>
      </c>
      <c r="BO643" s="2" t="s">
        <v>82</v>
      </c>
      <c r="BP643" s="2">
        <v>205</v>
      </c>
      <c r="BQ643" s="2" t="s">
        <v>1085</v>
      </c>
      <c r="BR643" s="2" t="s">
        <v>2656</v>
      </c>
      <c r="BS643" s="3">
        <v>40231</v>
      </c>
      <c r="BT643" s="4">
        <v>0.31304398148148149</v>
      </c>
    </row>
    <row r="644" spans="1:72" x14ac:dyDescent="0.25">
      <c r="A644" s="2">
        <v>998</v>
      </c>
      <c r="B644" s="2">
        <v>2010</v>
      </c>
      <c r="C644" s="2" t="s">
        <v>72</v>
      </c>
      <c r="D644" s="2" t="s">
        <v>122</v>
      </c>
      <c r="E644" s="2" t="s">
        <v>2676</v>
      </c>
      <c r="F644" s="2">
        <v>389</v>
      </c>
      <c r="G644" s="2" t="s">
        <v>1819</v>
      </c>
      <c r="H644" s="2">
        <v>4</v>
      </c>
      <c r="I644" s="2" t="s">
        <v>173</v>
      </c>
      <c r="J644" s="2">
        <v>399</v>
      </c>
      <c r="K644" s="2" t="s">
        <v>1820</v>
      </c>
      <c r="L644" s="2" t="s">
        <v>1821</v>
      </c>
      <c r="M644" s="3">
        <v>40231</v>
      </c>
      <c r="N644" s="2" t="s">
        <v>2621</v>
      </c>
      <c r="O644" s="2" t="s">
        <v>107</v>
      </c>
      <c r="P644" s="2" t="s">
        <v>107</v>
      </c>
      <c r="Q644" s="2" t="str">
        <f>"102-E/10"</f>
        <v>102-E/10</v>
      </c>
      <c r="R644" s="2" t="s">
        <v>116</v>
      </c>
      <c r="S644" s="2" t="s">
        <v>116</v>
      </c>
      <c r="T644" s="2">
        <v>1</v>
      </c>
      <c r="U644" s="2" t="s">
        <v>79</v>
      </c>
      <c r="V644" s="2">
        <v>1</v>
      </c>
      <c r="W644" s="2" t="s">
        <v>80</v>
      </c>
      <c r="X644" s="2">
        <v>1</v>
      </c>
      <c r="Y644" s="2" t="s">
        <v>81</v>
      </c>
      <c r="Z644" s="2">
        <v>1</v>
      </c>
      <c r="AA644" s="2" t="s">
        <v>82</v>
      </c>
      <c r="AB644" s="2">
        <v>6</v>
      </c>
      <c r="AC644" s="2" t="s">
        <v>83</v>
      </c>
      <c r="AD644" s="3">
        <v>40229</v>
      </c>
      <c r="AE644" s="4">
        <v>0.33333333333333331</v>
      </c>
      <c r="AF644" s="3">
        <v>40229</v>
      </c>
      <c r="AG644" s="4">
        <v>0.33333333333333331</v>
      </c>
      <c r="AH644" s="2">
        <v>2</v>
      </c>
      <c r="AI644" s="2" t="s">
        <v>84</v>
      </c>
      <c r="AJ644" s="2">
        <v>9</v>
      </c>
      <c r="AK644" s="2" t="s">
        <v>103</v>
      </c>
      <c r="AL644" s="2">
        <v>14</v>
      </c>
      <c r="AM644" s="2" t="s">
        <v>216</v>
      </c>
      <c r="AN644" s="2" t="s">
        <v>107</v>
      </c>
      <c r="AO644" s="2" t="s">
        <v>2648</v>
      </c>
      <c r="AP644" s="2">
        <v>11</v>
      </c>
      <c r="AQ644" s="2" t="s">
        <v>82</v>
      </c>
      <c r="AR644" s="2" t="s">
        <v>82</v>
      </c>
      <c r="AS644" s="2" t="s">
        <v>82</v>
      </c>
      <c r="AT644" s="2" t="s">
        <v>2688</v>
      </c>
      <c r="AU644" s="2"/>
      <c r="AV644" s="2">
        <v>1</v>
      </c>
      <c r="AW644" s="2"/>
      <c r="AX644" s="2"/>
      <c r="AY644" s="2">
        <v>1</v>
      </c>
      <c r="AZ644" s="2" t="s">
        <v>107</v>
      </c>
      <c r="BA644" s="2">
        <v>70</v>
      </c>
      <c r="BB644" s="2" t="s">
        <v>236</v>
      </c>
      <c r="BC644" s="2">
        <v>70</v>
      </c>
      <c r="BD644" s="2" t="s">
        <v>236</v>
      </c>
      <c r="BE644" s="2">
        <v>41</v>
      </c>
      <c r="BF644" s="2" t="s">
        <v>82</v>
      </c>
      <c r="BG644" s="2" t="s">
        <v>82</v>
      </c>
      <c r="BH644" s="4">
        <v>0</v>
      </c>
      <c r="BI644" s="4">
        <v>0</v>
      </c>
      <c r="BJ644" s="2">
        <v>241</v>
      </c>
      <c r="BK644" s="2" t="s">
        <v>82</v>
      </c>
      <c r="BL644" s="2" t="s">
        <v>82</v>
      </c>
      <c r="BM644" s="2">
        <v>241</v>
      </c>
      <c r="BN644" s="2" t="s">
        <v>82</v>
      </c>
      <c r="BO644" s="2" t="s">
        <v>82</v>
      </c>
      <c r="BP644" s="2">
        <v>241</v>
      </c>
      <c r="BQ644" s="2" t="s">
        <v>82</v>
      </c>
      <c r="BR644" s="2" t="s">
        <v>82</v>
      </c>
      <c r="BS644" s="3">
        <v>40231</v>
      </c>
      <c r="BT644" s="4">
        <v>0.41071759259259261</v>
      </c>
    </row>
    <row r="645" spans="1:72" x14ac:dyDescent="0.25">
      <c r="A645" s="2">
        <v>1000</v>
      </c>
      <c r="B645" s="2">
        <v>2010</v>
      </c>
      <c r="C645" s="2" t="s">
        <v>409</v>
      </c>
      <c r="D645" s="2" t="s">
        <v>122</v>
      </c>
      <c r="E645" s="2"/>
      <c r="F645" s="2">
        <v>146</v>
      </c>
      <c r="G645" s="2" t="s">
        <v>753</v>
      </c>
      <c r="H645" s="2">
        <v>3</v>
      </c>
      <c r="I645" s="2" t="s">
        <v>315</v>
      </c>
      <c r="J645" s="2">
        <v>161</v>
      </c>
      <c r="K645" s="2" t="s">
        <v>1900</v>
      </c>
      <c r="L645" s="2" t="s">
        <v>1901</v>
      </c>
      <c r="M645" s="3">
        <v>40231</v>
      </c>
      <c r="N645" s="2" t="s">
        <v>2689</v>
      </c>
      <c r="O645" s="2" t="s">
        <v>2690</v>
      </c>
      <c r="P645" s="2" t="s">
        <v>203</v>
      </c>
      <c r="Q645" s="2" t="str">
        <f>"S/D"</f>
        <v>S/D</v>
      </c>
      <c r="R645" s="2" t="s">
        <v>107</v>
      </c>
      <c r="S645" s="2" t="s">
        <v>107</v>
      </c>
      <c r="T645" s="2">
        <v>1</v>
      </c>
      <c r="U645" s="2" t="s">
        <v>79</v>
      </c>
      <c r="V645" s="2">
        <v>1</v>
      </c>
      <c r="W645" s="2" t="s">
        <v>80</v>
      </c>
      <c r="X645" s="2">
        <v>5</v>
      </c>
      <c r="Y645" s="2" t="s">
        <v>82</v>
      </c>
      <c r="Z645" s="2">
        <v>1</v>
      </c>
      <c r="AA645" s="2" t="s">
        <v>82</v>
      </c>
      <c r="AB645" s="2">
        <v>9</v>
      </c>
      <c r="AC645" s="2" t="s">
        <v>124</v>
      </c>
      <c r="AD645" s="3">
        <v>40231</v>
      </c>
      <c r="AE645" s="4">
        <v>0.375</v>
      </c>
      <c r="AF645" s="2"/>
      <c r="AG645" s="2"/>
      <c r="AH645" s="2">
        <v>6</v>
      </c>
      <c r="AI645" s="2" t="s">
        <v>197</v>
      </c>
      <c r="AJ645" s="2">
        <v>54</v>
      </c>
      <c r="AK645" s="2" t="s">
        <v>348</v>
      </c>
      <c r="AL645" s="2">
        <v>18</v>
      </c>
      <c r="AM645" s="2" t="s">
        <v>82</v>
      </c>
      <c r="AN645" s="2" t="s">
        <v>107</v>
      </c>
      <c r="AO645" s="2" t="s">
        <v>2691</v>
      </c>
      <c r="AP645" s="2">
        <v>11</v>
      </c>
      <c r="AQ645" s="2" t="s">
        <v>82</v>
      </c>
      <c r="AR645" s="2" t="s">
        <v>107</v>
      </c>
      <c r="AS645" s="2" t="s">
        <v>107</v>
      </c>
      <c r="AT645" s="2" t="s">
        <v>2692</v>
      </c>
      <c r="AU645" s="2"/>
      <c r="AV645" s="2"/>
      <c r="AW645" s="2"/>
      <c r="AX645" s="2"/>
      <c r="AY645" s="2">
        <v>1</v>
      </c>
      <c r="AZ645" s="2" t="s">
        <v>107</v>
      </c>
      <c r="BA645" s="2">
        <v>1</v>
      </c>
      <c r="BB645" s="2" t="s">
        <v>107</v>
      </c>
      <c r="BC645" s="2">
        <v>1</v>
      </c>
      <c r="BD645" s="2" t="s">
        <v>107</v>
      </c>
      <c r="BE645" s="2">
        <v>1</v>
      </c>
      <c r="BF645" s="2" t="s">
        <v>107</v>
      </c>
      <c r="BG645" s="2" t="s">
        <v>107</v>
      </c>
      <c r="BH645" s="2"/>
      <c r="BI645" s="2"/>
      <c r="BJ645" s="2">
        <v>242</v>
      </c>
      <c r="BK645" s="2" t="s">
        <v>107</v>
      </c>
      <c r="BL645" s="2" t="s">
        <v>107</v>
      </c>
      <c r="BM645" s="2">
        <v>242</v>
      </c>
      <c r="BN645" s="2" t="s">
        <v>107</v>
      </c>
      <c r="BO645" s="2" t="s">
        <v>107</v>
      </c>
      <c r="BP645" s="2">
        <v>242</v>
      </c>
      <c r="BQ645" s="2" t="s">
        <v>107</v>
      </c>
      <c r="BR645" s="2" t="s">
        <v>107</v>
      </c>
      <c r="BS645" s="3">
        <v>40231</v>
      </c>
      <c r="BT645" s="4">
        <v>0.41969907407407409</v>
      </c>
    </row>
    <row r="646" spans="1:72" x14ac:dyDescent="0.25">
      <c r="A646" s="2">
        <v>1007</v>
      </c>
      <c r="B646" s="2">
        <v>2010</v>
      </c>
      <c r="C646" s="2" t="s">
        <v>147</v>
      </c>
      <c r="D646" s="2" t="s">
        <v>73</v>
      </c>
      <c r="E646" s="2"/>
      <c r="F646" s="2">
        <v>1</v>
      </c>
      <c r="G646" s="2" t="s">
        <v>82</v>
      </c>
      <c r="H646" s="2">
        <v>1</v>
      </c>
      <c r="I646" s="2" t="s">
        <v>82</v>
      </c>
      <c r="J646" s="2">
        <v>1</v>
      </c>
      <c r="K646" s="2" t="s">
        <v>107</v>
      </c>
      <c r="L646" s="2" t="s">
        <v>107</v>
      </c>
      <c r="M646" s="3">
        <v>40231</v>
      </c>
      <c r="N646" s="2"/>
      <c r="O646" s="2"/>
      <c r="P646" s="2"/>
      <c r="Q646" s="2" t="str">
        <f>""</f>
        <v/>
      </c>
      <c r="R646" s="2"/>
      <c r="S646" s="2"/>
      <c r="T646" s="2">
        <v>2</v>
      </c>
      <c r="U646" s="2" t="s">
        <v>123</v>
      </c>
      <c r="V646" s="2">
        <v>1</v>
      </c>
      <c r="W646" s="2" t="s">
        <v>80</v>
      </c>
      <c r="X646" s="2">
        <v>12</v>
      </c>
      <c r="Y646" s="2" t="s">
        <v>148</v>
      </c>
      <c r="Z646" s="2">
        <v>1</v>
      </c>
      <c r="AA646" s="2" t="s">
        <v>82</v>
      </c>
      <c r="AB646" s="2">
        <v>9</v>
      </c>
      <c r="AC646" s="2" t="s">
        <v>124</v>
      </c>
      <c r="AD646" s="3">
        <v>40231</v>
      </c>
      <c r="AE646" s="2"/>
      <c r="AF646" s="3">
        <v>40231</v>
      </c>
      <c r="AG646" s="4">
        <v>0.5</v>
      </c>
      <c r="AH646" s="2">
        <v>2</v>
      </c>
      <c r="AI646" s="2" t="s">
        <v>84</v>
      </c>
      <c r="AJ646" s="2">
        <v>12</v>
      </c>
      <c r="AK646" s="2" t="s">
        <v>85</v>
      </c>
      <c r="AL646" s="2">
        <v>19</v>
      </c>
      <c r="AM646" s="2" t="s">
        <v>107</v>
      </c>
      <c r="AN646" s="2"/>
      <c r="AO646" s="2" t="s">
        <v>362</v>
      </c>
      <c r="AP646" s="2">
        <v>11</v>
      </c>
      <c r="AQ646" s="2" t="s">
        <v>82</v>
      </c>
      <c r="AR646" s="2"/>
      <c r="AS646" s="2"/>
      <c r="AT646" s="2" t="s">
        <v>2693</v>
      </c>
      <c r="AU646" s="2"/>
      <c r="AV646" s="2"/>
      <c r="AW646" s="2"/>
      <c r="AX646" s="2"/>
      <c r="AY646" s="2">
        <v>41</v>
      </c>
      <c r="AZ646" s="2" t="s">
        <v>82</v>
      </c>
      <c r="BA646" s="2">
        <v>41</v>
      </c>
      <c r="BB646" s="2" t="s">
        <v>82</v>
      </c>
      <c r="BC646" s="2">
        <v>41</v>
      </c>
      <c r="BD646" s="2" t="s">
        <v>82</v>
      </c>
      <c r="BE646" s="2">
        <v>41</v>
      </c>
      <c r="BF646" s="2" t="s">
        <v>82</v>
      </c>
      <c r="BG646" s="2"/>
      <c r="BH646" s="2"/>
      <c r="BI646" s="2"/>
      <c r="BJ646" s="2">
        <v>241</v>
      </c>
      <c r="BK646" s="2" t="s">
        <v>82</v>
      </c>
      <c r="BL646" s="2"/>
      <c r="BM646" s="2">
        <v>241</v>
      </c>
      <c r="BN646" s="2" t="s">
        <v>82</v>
      </c>
      <c r="BO646" s="2"/>
      <c r="BP646" s="2">
        <v>241</v>
      </c>
      <c r="BQ646" s="2" t="s">
        <v>82</v>
      </c>
      <c r="BR646" s="2"/>
      <c r="BS646" s="3">
        <v>40231</v>
      </c>
      <c r="BT646" s="4">
        <v>0.53114583333333332</v>
      </c>
    </row>
    <row r="647" spans="1:72" x14ac:dyDescent="0.25">
      <c r="A647" s="2">
        <v>1013</v>
      </c>
      <c r="B647" s="2">
        <v>2010</v>
      </c>
      <c r="C647" s="2" t="s">
        <v>819</v>
      </c>
      <c r="D647" s="2" t="s">
        <v>122</v>
      </c>
      <c r="E647" s="2" t="s">
        <v>2694</v>
      </c>
      <c r="F647" s="2">
        <v>56</v>
      </c>
      <c r="G647" s="2" t="s">
        <v>2578</v>
      </c>
      <c r="H647" s="2">
        <v>39</v>
      </c>
      <c r="I647" s="2" t="s">
        <v>1117</v>
      </c>
      <c r="J647" s="2">
        <v>310</v>
      </c>
      <c r="K647" s="2" t="s">
        <v>288</v>
      </c>
      <c r="L647" s="2" t="s">
        <v>289</v>
      </c>
      <c r="M647" s="3">
        <v>40231</v>
      </c>
      <c r="N647" s="2" t="s">
        <v>2049</v>
      </c>
      <c r="O647" s="2"/>
      <c r="P647" s="2"/>
      <c r="Q647" s="2" t="str">
        <f>"0054/10"</f>
        <v>0054/10</v>
      </c>
      <c r="R647" s="2" t="s">
        <v>822</v>
      </c>
      <c r="S647" s="2"/>
      <c r="T647" s="2">
        <v>1</v>
      </c>
      <c r="U647" s="2" t="s">
        <v>79</v>
      </c>
      <c r="V647" s="2">
        <v>1</v>
      </c>
      <c r="W647" s="2" t="s">
        <v>80</v>
      </c>
      <c r="X647" s="2">
        <v>1</v>
      </c>
      <c r="Y647" s="2" t="s">
        <v>81</v>
      </c>
      <c r="Z647" s="2">
        <v>10</v>
      </c>
      <c r="AA647" s="2" t="s">
        <v>236</v>
      </c>
      <c r="AB647" s="2">
        <v>9</v>
      </c>
      <c r="AC647" s="2" t="s">
        <v>124</v>
      </c>
      <c r="AD647" s="3">
        <v>40351</v>
      </c>
      <c r="AE647" s="4">
        <v>0.3888888888888889</v>
      </c>
      <c r="AF647" s="2"/>
      <c r="AG647" s="2"/>
      <c r="AH647" s="2">
        <v>4</v>
      </c>
      <c r="AI647" s="2" t="s">
        <v>125</v>
      </c>
      <c r="AJ647" s="2">
        <v>29</v>
      </c>
      <c r="AK647" s="2" t="s">
        <v>227</v>
      </c>
      <c r="AL647" s="2">
        <v>10</v>
      </c>
      <c r="AM647" s="2" t="s">
        <v>200</v>
      </c>
      <c r="AN647" s="2" t="s">
        <v>2086</v>
      </c>
      <c r="AO647" s="2"/>
      <c r="AP647" s="2">
        <v>12</v>
      </c>
      <c r="AQ647" s="2" t="s">
        <v>322</v>
      </c>
      <c r="AR647" s="2" t="s">
        <v>824</v>
      </c>
      <c r="AS647" s="2" t="s">
        <v>825</v>
      </c>
      <c r="AT647" s="2" t="s">
        <v>2695</v>
      </c>
      <c r="AU647" s="2"/>
      <c r="AV647" s="2"/>
      <c r="AW647" s="2"/>
      <c r="AX647" s="2"/>
      <c r="AY647" s="2">
        <v>41</v>
      </c>
      <c r="AZ647" s="2" t="s">
        <v>82</v>
      </c>
      <c r="BA647" s="2">
        <v>41</v>
      </c>
      <c r="BB647" s="2" t="s">
        <v>82</v>
      </c>
      <c r="BC647" s="2">
        <v>51</v>
      </c>
      <c r="BD647" s="2" t="s">
        <v>827</v>
      </c>
      <c r="BE647" s="2">
        <v>47</v>
      </c>
      <c r="BF647" s="2" t="s">
        <v>167</v>
      </c>
      <c r="BG647" s="2">
        <v>2459</v>
      </c>
      <c r="BH647" s="4">
        <v>0.84027777777777779</v>
      </c>
      <c r="BI647" s="4">
        <v>0.92361111111111116</v>
      </c>
      <c r="BJ647" s="2">
        <v>13</v>
      </c>
      <c r="BK647" s="2" t="s">
        <v>91</v>
      </c>
      <c r="BL647" s="2" t="s">
        <v>828</v>
      </c>
      <c r="BM647" s="2">
        <v>241</v>
      </c>
      <c r="BN647" s="2" t="s">
        <v>82</v>
      </c>
      <c r="BO647" s="2" t="s">
        <v>82</v>
      </c>
      <c r="BP647" s="2">
        <v>241</v>
      </c>
      <c r="BQ647" s="2" t="s">
        <v>82</v>
      </c>
      <c r="BR647" s="2" t="s">
        <v>185</v>
      </c>
      <c r="BS647" s="3">
        <v>40231</v>
      </c>
      <c r="BT647" s="4">
        <v>0.56973379629629628</v>
      </c>
    </row>
    <row r="648" spans="1:72" x14ac:dyDescent="0.25">
      <c r="A648" s="2">
        <v>1014</v>
      </c>
      <c r="B648" s="2">
        <v>2010</v>
      </c>
      <c r="C648" s="2" t="s">
        <v>72</v>
      </c>
      <c r="D648" s="2" t="s">
        <v>73</v>
      </c>
      <c r="E648" s="2"/>
      <c r="F648" s="2">
        <v>28</v>
      </c>
      <c r="G648" s="2" t="s">
        <v>784</v>
      </c>
      <c r="H648" s="2">
        <v>1</v>
      </c>
      <c r="I648" s="2" t="s">
        <v>82</v>
      </c>
      <c r="J648" s="2">
        <v>37</v>
      </c>
      <c r="K648" s="2" t="s">
        <v>785</v>
      </c>
      <c r="L648" s="2" t="s">
        <v>786</v>
      </c>
      <c r="M648" s="3">
        <v>40231</v>
      </c>
      <c r="N648" s="2" t="s">
        <v>107</v>
      </c>
      <c r="O648" s="2" t="s">
        <v>107</v>
      </c>
      <c r="P648" s="2" t="s">
        <v>107</v>
      </c>
      <c r="Q648" s="2" t="str">
        <f>"006-M/10"</f>
        <v>006-M/10</v>
      </c>
      <c r="R648" s="2" t="s">
        <v>78</v>
      </c>
      <c r="S648" s="2" t="s">
        <v>78</v>
      </c>
      <c r="T648" s="2">
        <v>1</v>
      </c>
      <c r="U648" s="2" t="s">
        <v>79</v>
      </c>
      <c r="V648" s="2">
        <v>1</v>
      </c>
      <c r="W648" s="2" t="s">
        <v>80</v>
      </c>
      <c r="X648" s="2">
        <v>5</v>
      </c>
      <c r="Y648" s="2" t="s">
        <v>82</v>
      </c>
      <c r="Z648" s="2">
        <v>3</v>
      </c>
      <c r="AA648" s="2" t="s">
        <v>257</v>
      </c>
      <c r="AB648" s="2">
        <v>6</v>
      </c>
      <c r="AC648" s="2" t="s">
        <v>83</v>
      </c>
      <c r="AD648" s="3">
        <v>40231</v>
      </c>
      <c r="AE648" s="2"/>
      <c r="AF648" s="3">
        <v>40231</v>
      </c>
      <c r="AG648" s="4">
        <v>0.4375</v>
      </c>
      <c r="AH648" s="2">
        <v>2</v>
      </c>
      <c r="AI648" s="2" t="s">
        <v>84</v>
      </c>
      <c r="AJ648" s="2">
        <v>8</v>
      </c>
      <c r="AK648" s="2" t="s">
        <v>436</v>
      </c>
      <c r="AL648" s="2">
        <v>9</v>
      </c>
      <c r="AM648" s="2" t="s">
        <v>259</v>
      </c>
      <c r="AN648" s="2" t="s">
        <v>2696</v>
      </c>
      <c r="AO648" s="2"/>
      <c r="AP648" s="2">
        <v>11</v>
      </c>
      <c r="AQ648" s="2" t="s">
        <v>82</v>
      </c>
      <c r="AR648" s="2"/>
      <c r="AS648" s="2"/>
      <c r="AT648" s="2" t="s">
        <v>2697</v>
      </c>
      <c r="AU648" s="2"/>
      <c r="AV648" s="2"/>
      <c r="AW648" s="2"/>
      <c r="AX648" s="2"/>
      <c r="AY648" s="2">
        <v>44</v>
      </c>
      <c r="AZ648" s="2" t="s">
        <v>262</v>
      </c>
      <c r="BA648" s="2">
        <v>44</v>
      </c>
      <c r="BB648" s="2" t="s">
        <v>262</v>
      </c>
      <c r="BC648" s="2">
        <v>1</v>
      </c>
      <c r="BD648" s="2" t="s">
        <v>107</v>
      </c>
      <c r="BE648" s="2">
        <v>41</v>
      </c>
      <c r="BF648" s="2" t="s">
        <v>82</v>
      </c>
      <c r="BG648" s="2"/>
      <c r="BH648" s="2"/>
      <c r="BI648" s="2"/>
      <c r="BJ648" s="2">
        <v>241</v>
      </c>
      <c r="BK648" s="2" t="s">
        <v>82</v>
      </c>
      <c r="BL648" s="2"/>
      <c r="BM648" s="2">
        <v>241</v>
      </c>
      <c r="BN648" s="2" t="s">
        <v>82</v>
      </c>
      <c r="BO648" s="2"/>
      <c r="BP648" s="2">
        <v>241</v>
      </c>
      <c r="BQ648" s="2" t="s">
        <v>82</v>
      </c>
      <c r="BR648" s="2"/>
      <c r="BS648" s="3">
        <v>40231</v>
      </c>
      <c r="BT648" s="4">
        <v>0.57672453703703697</v>
      </c>
    </row>
    <row r="649" spans="1:72" x14ac:dyDescent="0.25">
      <c r="A649" s="2">
        <v>1018</v>
      </c>
      <c r="B649" s="2">
        <v>2010</v>
      </c>
      <c r="C649" s="2" t="s">
        <v>457</v>
      </c>
      <c r="D649" s="2" t="s">
        <v>73</v>
      </c>
      <c r="E649" s="2"/>
      <c r="F649" s="2">
        <v>467</v>
      </c>
      <c r="G649" s="2" t="s">
        <v>1053</v>
      </c>
      <c r="H649" s="2">
        <v>22</v>
      </c>
      <c r="I649" s="2" t="s">
        <v>75</v>
      </c>
      <c r="J649" s="2">
        <v>369</v>
      </c>
      <c r="K649" s="2" t="s">
        <v>1054</v>
      </c>
      <c r="L649" s="2" t="s">
        <v>1055</v>
      </c>
      <c r="M649" s="3">
        <v>40231</v>
      </c>
      <c r="N649" s="2" t="s">
        <v>2698</v>
      </c>
      <c r="O649" s="2" t="s">
        <v>2699</v>
      </c>
      <c r="P649" s="2" t="s">
        <v>2700</v>
      </c>
      <c r="Q649" s="2" t="str">
        <f>""</f>
        <v/>
      </c>
      <c r="R649" s="2"/>
      <c r="S649" s="2"/>
      <c r="T649" s="2">
        <v>1</v>
      </c>
      <c r="U649" s="2" t="s">
        <v>79</v>
      </c>
      <c r="V649" s="2">
        <v>1</v>
      </c>
      <c r="W649" s="2" t="s">
        <v>80</v>
      </c>
      <c r="X649" s="2">
        <v>4</v>
      </c>
      <c r="Y649" s="2" t="s">
        <v>463</v>
      </c>
      <c r="Z649" s="2">
        <v>6</v>
      </c>
      <c r="AA649" s="2" t="s">
        <v>101</v>
      </c>
      <c r="AB649" s="2">
        <v>9</v>
      </c>
      <c r="AC649" s="2" t="s">
        <v>124</v>
      </c>
      <c r="AD649" s="3">
        <v>40231</v>
      </c>
      <c r="AE649" s="4">
        <v>0.53194444444444444</v>
      </c>
      <c r="AF649" s="2"/>
      <c r="AG649" s="2"/>
      <c r="AH649" s="2">
        <v>4</v>
      </c>
      <c r="AI649" s="2" t="s">
        <v>125</v>
      </c>
      <c r="AJ649" s="2">
        <v>29</v>
      </c>
      <c r="AK649" s="2" t="s">
        <v>227</v>
      </c>
      <c r="AL649" s="2">
        <v>11</v>
      </c>
      <c r="AM649" s="2" t="s">
        <v>137</v>
      </c>
      <c r="AN649" s="2" t="s">
        <v>2701</v>
      </c>
      <c r="AO649" s="2"/>
      <c r="AP649" s="2">
        <v>11</v>
      </c>
      <c r="AQ649" s="2" t="s">
        <v>82</v>
      </c>
      <c r="AR649" s="2"/>
      <c r="AS649" s="2"/>
      <c r="AT649" s="2" t="s">
        <v>2702</v>
      </c>
      <c r="AU649" s="2"/>
      <c r="AV649" s="2"/>
      <c r="AW649" s="2"/>
      <c r="AX649" s="2"/>
      <c r="AY649" s="2">
        <v>41</v>
      </c>
      <c r="AZ649" s="2" t="s">
        <v>82</v>
      </c>
      <c r="BA649" s="2">
        <v>41</v>
      </c>
      <c r="BB649" s="2" t="s">
        <v>82</v>
      </c>
      <c r="BC649" s="2">
        <v>19</v>
      </c>
      <c r="BD649" s="2" t="s">
        <v>1061</v>
      </c>
      <c r="BE649" s="2">
        <v>19</v>
      </c>
      <c r="BF649" s="2" t="s">
        <v>1061</v>
      </c>
      <c r="BG649" s="2">
        <v>250</v>
      </c>
      <c r="BH649" s="4">
        <v>0.53472222222222221</v>
      </c>
      <c r="BI649" s="4">
        <v>0.55555555555555558</v>
      </c>
      <c r="BJ649" s="2">
        <v>13</v>
      </c>
      <c r="BK649" s="2" t="s">
        <v>91</v>
      </c>
      <c r="BL649" s="2" t="s">
        <v>744</v>
      </c>
      <c r="BM649" s="2">
        <v>13</v>
      </c>
      <c r="BN649" s="2" t="s">
        <v>91</v>
      </c>
      <c r="BO649" s="2" t="s">
        <v>828</v>
      </c>
      <c r="BP649" s="2">
        <v>29</v>
      </c>
      <c r="BQ649" s="2" t="s">
        <v>962</v>
      </c>
      <c r="BR649" s="2" t="s">
        <v>963</v>
      </c>
      <c r="BS649" s="3">
        <v>40231</v>
      </c>
      <c r="BT649" s="4">
        <v>0.68368055555555562</v>
      </c>
    </row>
    <row r="650" spans="1:72" x14ac:dyDescent="0.25">
      <c r="A650" s="2">
        <v>1021</v>
      </c>
      <c r="B650" s="2">
        <v>2010</v>
      </c>
      <c r="C650" s="2" t="s">
        <v>121</v>
      </c>
      <c r="D650" s="2" t="s">
        <v>122</v>
      </c>
      <c r="E650" s="2"/>
      <c r="F650" s="2">
        <v>1</v>
      </c>
      <c r="G650" s="2" t="s">
        <v>82</v>
      </c>
      <c r="H650" s="2">
        <v>1</v>
      </c>
      <c r="I650" s="2" t="s">
        <v>82</v>
      </c>
      <c r="J650" s="2">
        <v>1</v>
      </c>
      <c r="K650" s="2" t="s">
        <v>107</v>
      </c>
      <c r="L650" s="2" t="s">
        <v>107</v>
      </c>
      <c r="M650" s="3">
        <v>40231</v>
      </c>
      <c r="N650" s="2"/>
      <c r="O650" s="2"/>
      <c r="P650" s="2"/>
      <c r="Q650" s="2" t="str">
        <f>""</f>
        <v/>
      </c>
      <c r="R650" s="2"/>
      <c r="S650" s="2"/>
      <c r="T650" s="2">
        <v>2</v>
      </c>
      <c r="U650" s="2" t="s">
        <v>123</v>
      </c>
      <c r="V650" s="2">
        <v>1</v>
      </c>
      <c r="W650" s="2" t="s">
        <v>80</v>
      </c>
      <c r="X650" s="2">
        <v>5</v>
      </c>
      <c r="Y650" s="2" t="s">
        <v>82</v>
      </c>
      <c r="Z650" s="2">
        <v>1</v>
      </c>
      <c r="AA650" s="2" t="s">
        <v>82</v>
      </c>
      <c r="AB650" s="2">
        <v>9</v>
      </c>
      <c r="AC650" s="2" t="s">
        <v>124</v>
      </c>
      <c r="AD650" s="3">
        <v>40231</v>
      </c>
      <c r="AE650" s="4">
        <v>0.79722222222222217</v>
      </c>
      <c r="AF650" s="2"/>
      <c r="AG650" s="2"/>
      <c r="AH650" s="2">
        <v>3</v>
      </c>
      <c r="AI650" s="2" t="s">
        <v>214</v>
      </c>
      <c r="AJ650" s="2">
        <v>23</v>
      </c>
      <c r="AK650" s="2" t="s">
        <v>851</v>
      </c>
      <c r="AL650" s="2">
        <v>18</v>
      </c>
      <c r="AM650" s="2" t="s">
        <v>82</v>
      </c>
      <c r="AN650" s="2" t="s">
        <v>230</v>
      </c>
      <c r="AO650" s="2" t="s">
        <v>82</v>
      </c>
      <c r="AP650" s="2">
        <v>11</v>
      </c>
      <c r="AQ650" s="2" t="s">
        <v>82</v>
      </c>
      <c r="AR650" s="2"/>
      <c r="AS650" s="2"/>
      <c r="AT650" s="2" t="s">
        <v>2703</v>
      </c>
      <c r="AU650" s="2"/>
      <c r="AV650" s="2"/>
      <c r="AW650" s="2"/>
      <c r="AX650" s="2"/>
      <c r="AY650" s="2">
        <v>41</v>
      </c>
      <c r="AZ650" s="2" t="s">
        <v>82</v>
      </c>
      <c r="BA650" s="2">
        <v>41</v>
      </c>
      <c r="BB650" s="2" t="s">
        <v>82</v>
      </c>
      <c r="BC650" s="2">
        <v>41</v>
      </c>
      <c r="BD650" s="2" t="s">
        <v>82</v>
      </c>
      <c r="BE650" s="2">
        <v>42</v>
      </c>
      <c r="BF650" s="2" t="s">
        <v>182</v>
      </c>
      <c r="BG650" s="2" t="s">
        <v>853</v>
      </c>
      <c r="BH650" s="4">
        <v>0.79722222222222217</v>
      </c>
      <c r="BI650" s="2"/>
      <c r="BJ650" s="2">
        <v>13</v>
      </c>
      <c r="BK650" s="2" t="s">
        <v>91</v>
      </c>
      <c r="BL650" s="2" t="s">
        <v>185</v>
      </c>
      <c r="BM650" s="2">
        <v>241</v>
      </c>
      <c r="BN650" s="2" t="s">
        <v>82</v>
      </c>
      <c r="BO650" s="2"/>
      <c r="BP650" s="2">
        <v>13</v>
      </c>
      <c r="BQ650" s="2" t="s">
        <v>91</v>
      </c>
      <c r="BR650" s="2" t="s">
        <v>854</v>
      </c>
      <c r="BS650" s="3">
        <v>40231</v>
      </c>
      <c r="BT650" s="4">
        <v>0.80693287037037031</v>
      </c>
    </row>
    <row r="651" spans="1:72" x14ac:dyDescent="0.25">
      <c r="A651" s="2">
        <v>1022</v>
      </c>
      <c r="B651" s="2">
        <v>2010</v>
      </c>
      <c r="C651" s="2" t="s">
        <v>171</v>
      </c>
      <c r="D651" s="2" t="s">
        <v>73</v>
      </c>
      <c r="E651" s="2"/>
      <c r="F651" s="2">
        <v>337</v>
      </c>
      <c r="G651" s="2" t="s">
        <v>1190</v>
      </c>
      <c r="H651" s="2">
        <v>60</v>
      </c>
      <c r="I651" s="2" t="s">
        <v>2704</v>
      </c>
      <c r="J651" s="2">
        <v>374</v>
      </c>
      <c r="K651" s="2" t="s">
        <v>1191</v>
      </c>
      <c r="L651" s="2" t="s">
        <v>132</v>
      </c>
      <c r="M651" s="3">
        <v>40231</v>
      </c>
      <c r="N651" s="2" t="s">
        <v>2705</v>
      </c>
      <c r="O651" s="2" t="s">
        <v>2706</v>
      </c>
      <c r="P651" s="2" t="s">
        <v>2707</v>
      </c>
      <c r="Q651" s="2" t="str">
        <f>""</f>
        <v/>
      </c>
      <c r="R651" s="2"/>
      <c r="S651" s="2"/>
      <c r="T651" s="2">
        <v>1</v>
      </c>
      <c r="U651" s="2" t="s">
        <v>79</v>
      </c>
      <c r="V651" s="2">
        <v>3</v>
      </c>
      <c r="W651" s="2" t="s">
        <v>225</v>
      </c>
      <c r="X651" s="2">
        <v>2</v>
      </c>
      <c r="Y651" s="2" t="s">
        <v>136</v>
      </c>
      <c r="Z651" s="2">
        <v>1</v>
      </c>
      <c r="AA651" s="2" t="s">
        <v>82</v>
      </c>
      <c r="AB651" s="2">
        <v>9</v>
      </c>
      <c r="AC651" s="2" t="s">
        <v>124</v>
      </c>
      <c r="AD651" s="2"/>
      <c r="AE651" s="2"/>
      <c r="AF651" s="2"/>
      <c r="AG651" s="2"/>
      <c r="AH651" s="2">
        <v>5</v>
      </c>
      <c r="AI651" s="2" t="s">
        <v>274</v>
      </c>
      <c r="AJ651" s="2">
        <v>35</v>
      </c>
      <c r="AK651" s="2" t="s">
        <v>275</v>
      </c>
      <c r="AL651" s="2">
        <v>23</v>
      </c>
      <c r="AM651" s="2" t="s">
        <v>251</v>
      </c>
      <c r="AN651" s="2"/>
      <c r="AO651" s="2"/>
      <c r="AP651" s="2">
        <v>11</v>
      </c>
      <c r="AQ651" s="2" t="s">
        <v>82</v>
      </c>
      <c r="AR651" s="2"/>
      <c r="AS651" s="2"/>
      <c r="AT651" s="2" t="s">
        <v>2708</v>
      </c>
      <c r="AU651" s="2"/>
      <c r="AV651" s="2"/>
      <c r="AW651" s="2"/>
      <c r="AX651" s="2"/>
      <c r="AY651" s="2">
        <v>41</v>
      </c>
      <c r="AZ651" s="2" t="s">
        <v>82</v>
      </c>
      <c r="BA651" s="2">
        <v>41</v>
      </c>
      <c r="BB651" s="2" t="s">
        <v>82</v>
      </c>
      <c r="BC651" s="2">
        <v>41</v>
      </c>
      <c r="BD651" s="2" t="s">
        <v>82</v>
      </c>
      <c r="BE651" s="2">
        <v>41</v>
      </c>
      <c r="BF651" s="2" t="s">
        <v>82</v>
      </c>
      <c r="BG651" s="2"/>
      <c r="BH651" s="2"/>
      <c r="BI651" s="2"/>
      <c r="BJ651" s="2">
        <v>241</v>
      </c>
      <c r="BK651" s="2" t="s">
        <v>82</v>
      </c>
      <c r="BL651" s="2"/>
      <c r="BM651" s="2">
        <v>241</v>
      </c>
      <c r="BN651" s="2" t="s">
        <v>82</v>
      </c>
      <c r="BO651" s="2"/>
      <c r="BP651" s="2">
        <v>241</v>
      </c>
      <c r="BQ651" s="2" t="s">
        <v>82</v>
      </c>
      <c r="BR651" s="2"/>
      <c r="BS651" s="3">
        <v>40231</v>
      </c>
      <c r="BT651" s="4">
        <v>0.8416435185185186</v>
      </c>
    </row>
    <row r="652" spans="1:72" x14ac:dyDescent="0.25">
      <c r="A652" s="2">
        <v>1026</v>
      </c>
      <c r="B652" s="2">
        <v>2010</v>
      </c>
      <c r="C652" s="2" t="s">
        <v>171</v>
      </c>
      <c r="D652" s="2" t="s">
        <v>73</v>
      </c>
      <c r="E652" s="2"/>
      <c r="F652" s="2">
        <v>389</v>
      </c>
      <c r="G652" s="2" t="s">
        <v>1819</v>
      </c>
      <c r="H652" s="2">
        <v>4</v>
      </c>
      <c r="I652" s="2" t="s">
        <v>173</v>
      </c>
      <c r="J652" s="2">
        <v>399</v>
      </c>
      <c r="K652" s="2" t="s">
        <v>1820</v>
      </c>
      <c r="L652" s="2" t="s">
        <v>1821</v>
      </c>
      <c r="M652" s="3">
        <v>40231</v>
      </c>
      <c r="N652" s="2" t="s">
        <v>2549</v>
      </c>
      <c r="O652" s="2" t="s">
        <v>489</v>
      </c>
      <c r="P652" s="2" t="s">
        <v>107</v>
      </c>
      <c r="Q652" s="2" t="str">
        <f>"01/2010"</f>
        <v>01/2010</v>
      </c>
      <c r="R652" s="2" t="s">
        <v>107</v>
      </c>
      <c r="S652" s="2" t="s">
        <v>107</v>
      </c>
      <c r="T652" s="2">
        <v>1</v>
      </c>
      <c r="U652" s="2" t="s">
        <v>79</v>
      </c>
      <c r="V652" s="2">
        <v>1</v>
      </c>
      <c r="W652" s="2" t="s">
        <v>80</v>
      </c>
      <c r="X652" s="2">
        <v>5</v>
      </c>
      <c r="Y652" s="2" t="s">
        <v>82</v>
      </c>
      <c r="Z652" s="2">
        <v>1</v>
      </c>
      <c r="AA652" s="2" t="s">
        <v>82</v>
      </c>
      <c r="AB652" s="2">
        <v>1</v>
      </c>
      <c r="AC652" s="2" t="s">
        <v>178</v>
      </c>
      <c r="AD652" s="3">
        <v>40231</v>
      </c>
      <c r="AE652" s="4">
        <v>0.77777777777777779</v>
      </c>
      <c r="AF652" s="2"/>
      <c r="AG652" s="2"/>
      <c r="AH652" s="2">
        <v>7</v>
      </c>
      <c r="AI652" s="2" t="s">
        <v>801</v>
      </c>
      <c r="AJ652" s="2">
        <v>3</v>
      </c>
      <c r="AK652" s="2" t="s">
        <v>802</v>
      </c>
      <c r="AL652" s="2">
        <v>18</v>
      </c>
      <c r="AM652" s="2" t="s">
        <v>82</v>
      </c>
      <c r="AN652" s="2" t="s">
        <v>2709</v>
      </c>
      <c r="AO652" s="2"/>
      <c r="AP652" s="2">
        <v>11</v>
      </c>
      <c r="AQ652" s="2" t="s">
        <v>82</v>
      </c>
      <c r="AR652" s="2" t="s">
        <v>82</v>
      </c>
      <c r="AS652" s="2" t="s">
        <v>82</v>
      </c>
      <c r="AT652" s="2" t="s">
        <v>2710</v>
      </c>
      <c r="AU652" s="2"/>
      <c r="AV652" s="2"/>
      <c r="AW652" s="2"/>
      <c r="AX652" s="2"/>
      <c r="AY652" s="2">
        <v>41</v>
      </c>
      <c r="AZ652" s="2" t="s">
        <v>82</v>
      </c>
      <c r="BA652" s="2">
        <v>41</v>
      </c>
      <c r="BB652" s="2" t="s">
        <v>82</v>
      </c>
      <c r="BC652" s="2">
        <v>41</v>
      </c>
      <c r="BD652" s="2" t="s">
        <v>82</v>
      </c>
      <c r="BE652" s="2">
        <v>41</v>
      </c>
      <c r="BF652" s="2" t="s">
        <v>82</v>
      </c>
      <c r="BG652" s="2" t="s">
        <v>82</v>
      </c>
      <c r="BH652" s="2"/>
      <c r="BI652" s="2"/>
      <c r="BJ652" s="2">
        <v>241</v>
      </c>
      <c r="BK652" s="2" t="s">
        <v>82</v>
      </c>
      <c r="BL652" s="2" t="s">
        <v>82</v>
      </c>
      <c r="BM652" s="2">
        <v>241</v>
      </c>
      <c r="BN652" s="2" t="s">
        <v>82</v>
      </c>
      <c r="BO652" s="2" t="s">
        <v>82</v>
      </c>
      <c r="BP652" s="2">
        <v>241</v>
      </c>
      <c r="BQ652" s="2" t="s">
        <v>82</v>
      </c>
      <c r="BR652" s="2" t="s">
        <v>82</v>
      </c>
      <c r="BS652" s="3">
        <v>40231</v>
      </c>
      <c r="BT652" s="4">
        <v>0.89945601851851853</v>
      </c>
    </row>
    <row r="653" spans="1:72" x14ac:dyDescent="0.25">
      <c r="A653" s="2">
        <v>1027</v>
      </c>
      <c r="B653" s="2">
        <v>2010</v>
      </c>
      <c r="C653" s="2" t="s">
        <v>819</v>
      </c>
      <c r="D653" s="2" t="s">
        <v>122</v>
      </c>
      <c r="E653" s="2"/>
      <c r="F653" s="2">
        <v>425</v>
      </c>
      <c r="G653" s="2" t="s">
        <v>286</v>
      </c>
      <c r="H653" s="2">
        <v>39</v>
      </c>
      <c r="I653" s="2" t="s">
        <v>1117</v>
      </c>
      <c r="J653" s="2">
        <v>310</v>
      </c>
      <c r="K653" s="2" t="s">
        <v>288</v>
      </c>
      <c r="L653" s="2" t="s">
        <v>289</v>
      </c>
      <c r="M653" s="3">
        <v>40231</v>
      </c>
      <c r="N653" s="2" t="s">
        <v>1943</v>
      </c>
      <c r="O653" s="2"/>
      <c r="P653" s="2"/>
      <c r="Q653" s="2" t="str">
        <f>"015/10"</f>
        <v>015/10</v>
      </c>
      <c r="R653" s="2" t="s">
        <v>822</v>
      </c>
      <c r="S653" s="2"/>
      <c r="T653" s="2">
        <v>1</v>
      </c>
      <c r="U653" s="2" t="s">
        <v>79</v>
      </c>
      <c r="V653" s="2">
        <v>1</v>
      </c>
      <c r="W653" s="2" t="s">
        <v>80</v>
      </c>
      <c r="X653" s="2">
        <v>1</v>
      </c>
      <c r="Y653" s="2" t="s">
        <v>81</v>
      </c>
      <c r="Z653" s="2">
        <v>10</v>
      </c>
      <c r="AA653" s="2" t="s">
        <v>236</v>
      </c>
      <c r="AB653" s="2">
        <v>9</v>
      </c>
      <c r="AC653" s="2" t="s">
        <v>124</v>
      </c>
      <c r="AD653" s="3">
        <v>40231</v>
      </c>
      <c r="AE653" s="2"/>
      <c r="AF653" s="2"/>
      <c r="AG653" s="2"/>
      <c r="AH653" s="2">
        <v>4</v>
      </c>
      <c r="AI653" s="2" t="s">
        <v>125</v>
      </c>
      <c r="AJ653" s="2">
        <v>29</v>
      </c>
      <c r="AK653" s="2" t="s">
        <v>227</v>
      </c>
      <c r="AL653" s="2">
        <v>10</v>
      </c>
      <c r="AM653" s="2" t="s">
        <v>200</v>
      </c>
      <c r="AN653" s="2" t="s">
        <v>1015</v>
      </c>
      <c r="AO653" s="2" t="s">
        <v>200</v>
      </c>
      <c r="AP653" s="2">
        <v>12</v>
      </c>
      <c r="AQ653" s="2" t="s">
        <v>322</v>
      </c>
      <c r="AR653" s="2" t="s">
        <v>2711</v>
      </c>
      <c r="AS653" s="2" t="s">
        <v>2712</v>
      </c>
      <c r="AT653" s="2" t="s">
        <v>2713</v>
      </c>
      <c r="AU653" s="2"/>
      <c r="AV653" s="2"/>
      <c r="AW653" s="2"/>
      <c r="AX653" s="2"/>
      <c r="AY653" s="2">
        <v>41</v>
      </c>
      <c r="AZ653" s="2" t="s">
        <v>82</v>
      </c>
      <c r="BA653" s="2">
        <v>41</v>
      </c>
      <c r="BB653" s="2" t="s">
        <v>82</v>
      </c>
      <c r="BC653" s="2">
        <v>51</v>
      </c>
      <c r="BD653" s="2" t="s">
        <v>827</v>
      </c>
      <c r="BE653" s="2">
        <v>47</v>
      </c>
      <c r="BF653" s="2" t="s">
        <v>167</v>
      </c>
      <c r="BG653" s="2">
        <v>2459</v>
      </c>
      <c r="BH653" s="4">
        <v>0.86249999999999993</v>
      </c>
      <c r="BI653" s="4">
        <v>0.89930555555555547</v>
      </c>
      <c r="BJ653" s="2">
        <v>13</v>
      </c>
      <c r="BK653" s="2" t="s">
        <v>91</v>
      </c>
      <c r="BL653" s="2" t="s">
        <v>828</v>
      </c>
      <c r="BM653" s="2">
        <v>241</v>
      </c>
      <c r="BN653" s="2" t="s">
        <v>82</v>
      </c>
      <c r="BO653" s="2" t="s">
        <v>82</v>
      </c>
      <c r="BP653" s="2">
        <v>13</v>
      </c>
      <c r="BQ653" s="2" t="s">
        <v>91</v>
      </c>
      <c r="BR653" s="2" t="s">
        <v>185</v>
      </c>
      <c r="BS653" s="3">
        <v>40231</v>
      </c>
      <c r="BT653" s="4">
        <v>0.91776620370370365</v>
      </c>
    </row>
    <row r="654" spans="1:72" x14ac:dyDescent="0.25">
      <c r="A654" s="2">
        <v>1028</v>
      </c>
      <c r="B654" s="2">
        <v>2010</v>
      </c>
      <c r="C654" s="2" t="s">
        <v>72</v>
      </c>
      <c r="D654" s="2" t="s">
        <v>73</v>
      </c>
      <c r="E654" s="2"/>
      <c r="F654" s="2">
        <v>2</v>
      </c>
      <c r="G654" s="2" t="s">
        <v>113</v>
      </c>
      <c r="H654" s="2">
        <v>1</v>
      </c>
      <c r="I654" s="2" t="s">
        <v>82</v>
      </c>
      <c r="J654" s="2">
        <v>300</v>
      </c>
      <c r="K654" s="2" t="s">
        <v>114</v>
      </c>
      <c r="L654" s="2" t="s">
        <v>115</v>
      </c>
      <c r="M654" s="3">
        <v>40232</v>
      </c>
      <c r="N654" s="2"/>
      <c r="O654" s="2"/>
      <c r="P654" s="2"/>
      <c r="Q654" s="2" t="str">
        <f>"105-E/10"</f>
        <v>105-E/10</v>
      </c>
      <c r="R654" s="2"/>
      <c r="S654" s="2" t="s">
        <v>2714</v>
      </c>
      <c r="T654" s="2">
        <v>1</v>
      </c>
      <c r="U654" s="2" t="s">
        <v>79</v>
      </c>
      <c r="V654" s="2">
        <v>1</v>
      </c>
      <c r="W654" s="2" t="s">
        <v>80</v>
      </c>
      <c r="X654" s="2">
        <v>1</v>
      </c>
      <c r="Y654" s="2" t="s">
        <v>81</v>
      </c>
      <c r="Z654" s="2">
        <v>10</v>
      </c>
      <c r="AA654" s="2" t="s">
        <v>236</v>
      </c>
      <c r="AB654" s="2">
        <v>6</v>
      </c>
      <c r="AC654" s="2" t="s">
        <v>83</v>
      </c>
      <c r="AD654" s="3">
        <v>40231</v>
      </c>
      <c r="AE654" s="4">
        <v>0.44444444444444442</v>
      </c>
      <c r="AF654" s="2"/>
      <c r="AG654" s="2"/>
      <c r="AH654" s="2">
        <v>2</v>
      </c>
      <c r="AI654" s="2" t="s">
        <v>84</v>
      </c>
      <c r="AJ654" s="2">
        <v>9</v>
      </c>
      <c r="AK654" s="2" t="s">
        <v>103</v>
      </c>
      <c r="AL654" s="2">
        <v>13</v>
      </c>
      <c r="AM654" s="2" t="s">
        <v>117</v>
      </c>
      <c r="AN654" s="2" t="s">
        <v>2715</v>
      </c>
      <c r="AO654" s="2"/>
      <c r="AP654" s="2">
        <v>11</v>
      </c>
      <c r="AQ654" s="2" t="s">
        <v>82</v>
      </c>
      <c r="AR654" s="2"/>
      <c r="AS654" s="2"/>
      <c r="AT654" s="2" t="s">
        <v>2716</v>
      </c>
      <c r="AU654" s="2">
        <v>1</v>
      </c>
      <c r="AV654" s="2"/>
      <c r="AW654" s="2"/>
      <c r="AX654" s="2"/>
      <c r="AY654" s="2">
        <v>41</v>
      </c>
      <c r="AZ654" s="2" t="s">
        <v>82</v>
      </c>
      <c r="BA654" s="2">
        <v>41</v>
      </c>
      <c r="BB654" s="2" t="s">
        <v>82</v>
      </c>
      <c r="BC654" s="2">
        <v>41</v>
      </c>
      <c r="BD654" s="2" t="s">
        <v>82</v>
      </c>
      <c r="BE654" s="2">
        <v>41</v>
      </c>
      <c r="BF654" s="2" t="s">
        <v>82</v>
      </c>
      <c r="BG654" s="2"/>
      <c r="BH654" s="2"/>
      <c r="BI654" s="2"/>
      <c r="BJ654" s="2">
        <v>241</v>
      </c>
      <c r="BK654" s="2" t="s">
        <v>82</v>
      </c>
      <c r="BL654" s="2"/>
      <c r="BM654" s="2">
        <v>241</v>
      </c>
      <c r="BN654" s="2" t="s">
        <v>82</v>
      </c>
      <c r="BO654" s="2"/>
      <c r="BP654" s="2">
        <v>241</v>
      </c>
      <c r="BQ654" s="2" t="s">
        <v>82</v>
      </c>
      <c r="BR654" s="2"/>
      <c r="BS654" s="3">
        <v>40232</v>
      </c>
      <c r="BT654" s="4">
        <v>0.41046296296296297</v>
      </c>
    </row>
    <row r="655" spans="1:72" x14ac:dyDescent="0.25">
      <c r="A655" s="2">
        <v>1029</v>
      </c>
      <c r="B655" s="2">
        <v>2010</v>
      </c>
      <c r="C655" s="2" t="s">
        <v>196</v>
      </c>
      <c r="D655" s="2" t="s">
        <v>122</v>
      </c>
      <c r="E655" s="2"/>
      <c r="F655" s="2">
        <v>1</v>
      </c>
      <c r="G655" s="2" t="s">
        <v>82</v>
      </c>
      <c r="H655" s="2">
        <v>1</v>
      </c>
      <c r="I655" s="2" t="s">
        <v>82</v>
      </c>
      <c r="J655" s="2">
        <v>1</v>
      </c>
      <c r="K655" s="2" t="s">
        <v>107</v>
      </c>
      <c r="L655" s="2" t="s">
        <v>107</v>
      </c>
      <c r="M655" s="3">
        <v>40232</v>
      </c>
      <c r="N655" s="2" t="s">
        <v>82</v>
      </c>
      <c r="O655" s="2" t="s">
        <v>82</v>
      </c>
      <c r="P655" s="2" t="s">
        <v>82</v>
      </c>
      <c r="Q655" s="2" t="str">
        <f>"N/C"</f>
        <v>N/C</v>
      </c>
      <c r="R655" s="2" t="s">
        <v>82</v>
      </c>
      <c r="S655" s="2" t="s">
        <v>82</v>
      </c>
      <c r="T655" s="2">
        <v>2</v>
      </c>
      <c r="U655" s="2" t="s">
        <v>123</v>
      </c>
      <c r="V655" s="2">
        <v>1</v>
      </c>
      <c r="W655" s="2" t="s">
        <v>80</v>
      </c>
      <c r="X655" s="2">
        <v>1</v>
      </c>
      <c r="Y655" s="2" t="s">
        <v>81</v>
      </c>
      <c r="Z655" s="2">
        <v>10</v>
      </c>
      <c r="AA655" s="2" t="s">
        <v>236</v>
      </c>
      <c r="AB655" s="2">
        <v>9</v>
      </c>
      <c r="AC655" s="2" t="s">
        <v>124</v>
      </c>
      <c r="AD655" s="3">
        <v>40232</v>
      </c>
      <c r="AE655" s="4">
        <v>0.27083333333333331</v>
      </c>
      <c r="AF655" s="2"/>
      <c r="AG655" s="2"/>
      <c r="AH655" s="2">
        <v>2</v>
      </c>
      <c r="AI655" s="2" t="s">
        <v>84</v>
      </c>
      <c r="AJ655" s="2">
        <v>12</v>
      </c>
      <c r="AK655" s="2" t="s">
        <v>85</v>
      </c>
      <c r="AL655" s="2">
        <v>20</v>
      </c>
      <c r="AM655" s="2" t="s">
        <v>992</v>
      </c>
      <c r="AN655" s="2" t="s">
        <v>992</v>
      </c>
      <c r="AO655" s="2"/>
      <c r="AP655" s="2">
        <v>11</v>
      </c>
      <c r="AQ655" s="2" t="s">
        <v>82</v>
      </c>
      <c r="AR655" s="2"/>
      <c r="AS655" s="2"/>
      <c r="AT655" s="2" t="s">
        <v>2717</v>
      </c>
      <c r="AU655" s="2"/>
      <c r="AV655" s="2"/>
      <c r="AW655" s="2"/>
      <c r="AX655" s="2"/>
      <c r="AY655" s="2">
        <v>41</v>
      </c>
      <c r="AZ655" s="2" t="s">
        <v>82</v>
      </c>
      <c r="BA655" s="2">
        <v>41</v>
      </c>
      <c r="BB655" s="2" t="s">
        <v>82</v>
      </c>
      <c r="BC655" s="2">
        <v>41</v>
      </c>
      <c r="BD655" s="2" t="s">
        <v>82</v>
      </c>
      <c r="BE655" s="2">
        <v>41</v>
      </c>
      <c r="BF655" s="2" t="s">
        <v>82</v>
      </c>
      <c r="BG655" s="2"/>
      <c r="BH655" s="2"/>
      <c r="BI655" s="2"/>
      <c r="BJ655" s="2">
        <v>146</v>
      </c>
      <c r="BK655" s="2" t="s">
        <v>1388</v>
      </c>
      <c r="BL655" s="2"/>
      <c r="BM655" s="2">
        <v>241</v>
      </c>
      <c r="BN655" s="2" t="s">
        <v>82</v>
      </c>
      <c r="BO655" s="2" t="s">
        <v>82</v>
      </c>
      <c r="BP655" s="2">
        <v>13</v>
      </c>
      <c r="BQ655" s="2" t="s">
        <v>91</v>
      </c>
      <c r="BR655" s="2" t="s">
        <v>185</v>
      </c>
      <c r="BS655" s="3">
        <v>40232</v>
      </c>
      <c r="BT655" s="4">
        <v>0.42368055555555556</v>
      </c>
    </row>
    <row r="656" spans="1:72" x14ac:dyDescent="0.25">
      <c r="A656" s="2">
        <v>1031</v>
      </c>
      <c r="B656" s="2">
        <v>2010</v>
      </c>
      <c r="C656" s="2" t="s">
        <v>72</v>
      </c>
      <c r="D656" s="2" t="s">
        <v>73</v>
      </c>
      <c r="E656" s="2"/>
      <c r="F656" s="2">
        <v>2</v>
      </c>
      <c r="G656" s="2" t="s">
        <v>113</v>
      </c>
      <c r="H656" s="2">
        <v>1</v>
      </c>
      <c r="I656" s="2" t="s">
        <v>82</v>
      </c>
      <c r="J656" s="2">
        <v>300</v>
      </c>
      <c r="K656" s="2" t="s">
        <v>114</v>
      </c>
      <c r="L656" s="2" t="s">
        <v>115</v>
      </c>
      <c r="M656" s="3">
        <v>40232</v>
      </c>
      <c r="N656" s="2"/>
      <c r="O656" s="2"/>
      <c r="P656" s="2"/>
      <c r="Q656" s="2" t="str">
        <f>"106-E/10"</f>
        <v>106-E/10</v>
      </c>
      <c r="R656" s="2"/>
      <c r="S656" s="2" t="s">
        <v>480</v>
      </c>
      <c r="T656" s="2">
        <v>1</v>
      </c>
      <c r="U656" s="2" t="s">
        <v>79</v>
      </c>
      <c r="V656" s="2">
        <v>1</v>
      </c>
      <c r="W656" s="2" t="s">
        <v>80</v>
      </c>
      <c r="X656" s="2">
        <v>1</v>
      </c>
      <c r="Y656" s="2" t="s">
        <v>81</v>
      </c>
      <c r="Z656" s="2">
        <v>10</v>
      </c>
      <c r="AA656" s="2" t="s">
        <v>236</v>
      </c>
      <c r="AB656" s="2">
        <v>6</v>
      </c>
      <c r="AC656" s="2" t="s">
        <v>83</v>
      </c>
      <c r="AD656" s="3">
        <v>40231</v>
      </c>
      <c r="AE656" s="4">
        <v>0.41666666666666669</v>
      </c>
      <c r="AF656" s="3">
        <v>40231</v>
      </c>
      <c r="AG656" s="4">
        <v>0.66666666666666663</v>
      </c>
      <c r="AH656" s="2">
        <v>2</v>
      </c>
      <c r="AI656" s="2" t="s">
        <v>84</v>
      </c>
      <c r="AJ656" s="2">
        <v>9</v>
      </c>
      <c r="AK656" s="2" t="s">
        <v>103</v>
      </c>
      <c r="AL656" s="2">
        <v>9</v>
      </c>
      <c r="AM656" s="2" t="s">
        <v>259</v>
      </c>
      <c r="AN656" s="2" t="s">
        <v>2718</v>
      </c>
      <c r="AO656" s="2"/>
      <c r="AP656" s="2">
        <v>11</v>
      </c>
      <c r="AQ656" s="2" t="s">
        <v>82</v>
      </c>
      <c r="AR656" s="2"/>
      <c r="AS656" s="2"/>
      <c r="AT656" s="2" t="s">
        <v>2719</v>
      </c>
      <c r="AU656" s="2"/>
      <c r="AV656" s="2"/>
      <c r="AW656" s="2"/>
      <c r="AX656" s="2"/>
      <c r="AY656" s="2">
        <v>41</v>
      </c>
      <c r="AZ656" s="2" t="s">
        <v>82</v>
      </c>
      <c r="BA656" s="2">
        <v>41</v>
      </c>
      <c r="BB656" s="2" t="s">
        <v>82</v>
      </c>
      <c r="BC656" s="2">
        <v>41</v>
      </c>
      <c r="BD656" s="2" t="s">
        <v>82</v>
      </c>
      <c r="BE656" s="2">
        <v>14</v>
      </c>
      <c r="BF656" s="2" t="s">
        <v>484</v>
      </c>
      <c r="BG656" s="2" t="s">
        <v>2720</v>
      </c>
      <c r="BH656" s="2"/>
      <c r="BI656" s="2"/>
      <c r="BJ656" s="2">
        <v>241</v>
      </c>
      <c r="BK656" s="2" t="s">
        <v>82</v>
      </c>
      <c r="BL656" s="2"/>
      <c r="BM656" s="2">
        <v>241</v>
      </c>
      <c r="BN656" s="2" t="s">
        <v>82</v>
      </c>
      <c r="BO656" s="2"/>
      <c r="BP656" s="2">
        <v>241</v>
      </c>
      <c r="BQ656" s="2" t="s">
        <v>82</v>
      </c>
      <c r="BR656" s="2"/>
      <c r="BS656" s="3">
        <v>40232</v>
      </c>
      <c r="BT656" s="4">
        <v>0.44530092592592596</v>
      </c>
    </row>
    <row r="657" spans="1:72" x14ac:dyDescent="0.25">
      <c r="A657" s="2">
        <v>1032</v>
      </c>
      <c r="B657" s="2">
        <v>2010</v>
      </c>
      <c r="C657" s="2" t="s">
        <v>72</v>
      </c>
      <c r="D657" s="2" t="s">
        <v>73</v>
      </c>
      <c r="E657" s="2"/>
      <c r="F657" s="2">
        <v>2</v>
      </c>
      <c r="G657" s="2" t="s">
        <v>113</v>
      </c>
      <c r="H657" s="2">
        <v>1</v>
      </c>
      <c r="I657" s="2" t="s">
        <v>82</v>
      </c>
      <c r="J657" s="2">
        <v>300</v>
      </c>
      <c r="K657" s="2" t="s">
        <v>114</v>
      </c>
      <c r="L657" s="2" t="s">
        <v>115</v>
      </c>
      <c r="M657" s="3">
        <v>40232</v>
      </c>
      <c r="N657" s="2"/>
      <c r="O657" s="2"/>
      <c r="P657" s="2"/>
      <c r="Q657" s="2" t="str">
        <f>"107-E/10"</f>
        <v>107-E/10</v>
      </c>
      <c r="R657" s="2" t="s">
        <v>2714</v>
      </c>
      <c r="S657" s="2"/>
      <c r="T657" s="2">
        <v>1</v>
      </c>
      <c r="U657" s="2" t="s">
        <v>79</v>
      </c>
      <c r="V657" s="2">
        <v>1</v>
      </c>
      <c r="W657" s="2" t="s">
        <v>80</v>
      </c>
      <c r="X657" s="2">
        <v>1</v>
      </c>
      <c r="Y657" s="2" t="s">
        <v>81</v>
      </c>
      <c r="Z657" s="2">
        <v>10</v>
      </c>
      <c r="AA657" s="2" t="s">
        <v>236</v>
      </c>
      <c r="AB657" s="2">
        <v>6</v>
      </c>
      <c r="AC657" s="2" t="s">
        <v>83</v>
      </c>
      <c r="AD657" s="3">
        <v>40231</v>
      </c>
      <c r="AE657" s="4">
        <v>0.61805555555555558</v>
      </c>
      <c r="AF657" s="2"/>
      <c r="AG657" s="2"/>
      <c r="AH657" s="2">
        <v>2</v>
      </c>
      <c r="AI657" s="2" t="s">
        <v>84</v>
      </c>
      <c r="AJ657" s="2">
        <v>9</v>
      </c>
      <c r="AK657" s="2" t="s">
        <v>103</v>
      </c>
      <c r="AL657" s="2">
        <v>15</v>
      </c>
      <c r="AM657" s="2" t="s">
        <v>104</v>
      </c>
      <c r="AN657" s="2" t="s">
        <v>2721</v>
      </c>
      <c r="AO657" s="2"/>
      <c r="AP657" s="2">
        <v>11</v>
      </c>
      <c r="AQ657" s="2" t="s">
        <v>82</v>
      </c>
      <c r="AR657" s="2"/>
      <c r="AS657" s="2"/>
      <c r="AT657" s="2" t="s">
        <v>2722</v>
      </c>
      <c r="AU657" s="2">
        <v>1</v>
      </c>
      <c r="AV657" s="2"/>
      <c r="AW657" s="2"/>
      <c r="AX657" s="2"/>
      <c r="AY657" s="2">
        <v>69</v>
      </c>
      <c r="AZ657" s="2" t="s">
        <v>483</v>
      </c>
      <c r="BA657" s="2">
        <v>41</v>
      </c>
      <c r="BB657" s="2" t="s">
        <v>82</v>
      </c>
      <c r="BC657" s="2">
        <v>70</v>
      </c>
      <c r="BD657" s="2" t="s">
        <v>236</v>
      </c>
      <c r="BE657" s="2">
        <v>13</v>
      </c>
      <c r="BF657" s="2" t="s">
        <v>108</v>
      </c>
      <c r="BG657" s="2" t="s">
        <v>107</v>
      </c>
      <c r="BH657" s="2"/>
      <c r="BI657" s="2"/>
      <c r="BJ657" s="2">
        <v>13</v>
      </c>
      <c r="BK657" s="2" t="s">
        <v>91</v>
      </c>
      <c r="BL657" s="2" t="s">
        <v>360</v>
      </c>
      <c r="BM657" s="2">
        <v>241</v>
      </c>
      <c r="BN657" s="2" t="s">
        <v>82</v>
      </c>
      <c r="BO657" s="2"/>
      <c r="BP657" s="2">
        <v>33</v>
      </c>
      <c r="BQ657" s="2" t="s">
        <v>361</v>
      </c>
      <c r="BR657" s="2" t="s">
        <v>2723</v>
      </c>
      <c r="BS657" s="3">
        <v>40232</v>
      </c>
      <c r="BT657" s="4">
        <v>0.46333333333333332</v>
      </c>
    </row>
    <row r="658" spans="1:72" x14ac:dyDescent="0.25">
      <c r="A658" s="2">
        <v>1035</v>
      </c>
      <c r="B658" s="2">
        <v>2010</v>
      </c>
      <c r="C658" s="2" t="s">
        <v>72</v>
      </c>
      <c r="D658" s="2" t="s">
        <v>73</v>
      </c>
      <c r="E658" s="2"/>
      <c r="F658" s="2">
        <v>391</v>
      </c>
      <c r="G658" s="2" t="s">
        <v>2400</v>
      </c>
      <c r="H658" s="2">
        <v>4</v>
      </c>
      <c r="I658" s="2" t="s">
        <v>173</v>
      </c>
      <c r="J658" s="2">
        <v>399</v>
      </c>
      <c r="K658" s="2" t="s">
        <v>1820</v>
      </c>
      <c r="L658" s="2" t="s">
        <v>1821</v>
      </c>
      <c r="M658" s="3">
        <v>40232</v>
      </c>
      <c r="N658" s="2" t="s">
        <v>2621</v>
      </c>
      <c r="O658" s="2"/>
      <c r="P658" s="2"/>
      <c r="Q658" s="2" t="str">
        <f>"108-E/10"</f>
        <v>108-E/10</v>
      </c>
      <c r="R658" s="2" t="s">
        <v>1847</v>
      </c>
      <c r="S658" s="2"/>
      <c r="T658" s="2">
        <v>1</v>
      </c>
      <c r="U658" s="2" t="s">
        <v>79</v>
      </c>
      <c r="V658" s="2">
        <v>1</v>
      </c>
      <c r="W658" s="2" t="s">
        <v>80</v>
      </c>
      <c r="X658" s="2">
        <v>1</v>
      </c>
      <c r="Y658" s="2" t="s">
        <v>81</v>
      </c>
      <c r="Z658" s="2">
        <v>10</v>
      </c>
      <c r="AA658" s="2" t="s">
        <v>236</v>
      </c>
      <c r="AB658" s="2">
        <v>6</v>
      </c>
      <c r="AC658" s="2" t="s">
        <v>83</v>
      </c>
      <c r="AD658" s="3">
        <v>40231</v>
      </c>
      <c r="AE658" s="4">
        <v>0.70833333333333337</v>
      </c>
      <c r="AF658" s="3">
        <v>40231</v>
      </c>
      <c r="AG658" s="4">
        <v>0.77083333333333337</v>
      </c>
      <c r="AH658" s="2">
        <v>2</v>
      </c>
      <c r="AI658" s="2" t="s">
        <v>84</v>
      </c>
      <c r="AJ658" s="2">
        <v>9</v>
      </c>
      <c r="AK658" s="2" t="s">
        <v>103</v>
      </c>
      <c r="AL658" s="2">
        <v>15</v>
      </c>
      <c r="AM658" s="2" t="s">
        <v>104</v>
      </c>
      <c r="AN658" s="2" t="s">
        <v>2724</v>
      </c>
      <c r="AO658" s="2"/>
      <c r="AP658" s="2">
        <v>11</v>
      </c>
      <c r="AQ658" s="2" t="s">
        <v>82</v>
      </c>
      <c r="AR658" s="2"/>
      <c r="AS658" s="2"/>
      <c r="AT658" s="2" t="s">
        <v>2725</v>
      </c>
      <c r="AU658" s="2"/>
      <c r="AV658" s="2"/>
      <c r="AW658" s="2"/>
      <c r="AX658" s="2"/>
      <c r="AY658" s="2">
        <v>41</v>
      </c>
      <c r="AZ658" s="2" t="s">
        <v>82</v>
      </c>
      <c r="BA658" s="2">
        <v>41</v>
      </c>
      <c r="BB658" s="2" t="s">
        <v>82</v>
      </c>
      <c r="BC658" s="2">
        <v>41</v>
      </c>
      <c r="BD658" s="2" t="s">
        <v>82</v>
      </c>
      <c r="BE658" s="2">
        <v>13</v>
      </c>
      <c r="BF658" s="2" t="s">
        <v>108</v>
      </c>
      <c r="BG658" s="2" t="s">
        <v>2726</v>
      </c>
      <c r="BH658" s="4">
        <v>0.95833333333333337</v>
      </c>
      <c r="BI658" s="4">
        <v>0.79166666666666663</v>
      </c>
      <c r="BJ658" s="2">
        <v>13</v>
      </c>
      <c r="BK658" s="2" t="s">
        <v>91</v>
      </c>
      <c r="BL658" s="2" t="s">
        <v>360</v>
      </c>
      <c r="BM658" s="2">
        <v>241</v>
      </c>
      <c r="BN658" s="2" t="s">
        <v>82</v>
      </c>
      <c r="BO658" s="2"/>
      <c r="BP658" s="2">
        <v>173</v>
      </c>
      <c r="BQ658" s="2" t="s">
        <v>223</v>
      </c>
      <c r="BR658" s="2" t="s">
        <v>224</v>
      </c>
      <c r="BS658" s="3">
        <v>40232</v>
      </c>
      <c r="BT658" s="4">
        <v>0.49115740740740743</v>
      </c>
    </row>
    <row r="659" spans="1:72" x14ac:dyDescent="0.25">
      <c r="A659" s="2">
        <v>1036</v>
      </c>
      <c r="B659" s="2">
        <v>2010</v>
      </c>
      <c r="C659" s="2" t="s">
        <v>549</v>
      </c>
      <c r="D659" s="2" t="s">
        <v>73</v>
      </c>
      <c r="E659" s="2"/>
      <c r="F659" s="2">
        <v>491</v>
      </c>
      <c r="G659" s="2" t="s">
        <v>1774</v>
      </c>
      <c r="H659" s="2">
        <v>22</v>
      </c>
      <c r="I659" s="2" t="s">
        <v>75</v>
      </c>
      <c r="J659" s="2">
        <v>396</v>
      </c>
      <c r="K659" s="2" t="s">
        <v>1775</v>
      </c>
      <c r="L659" s="2" t="s">
        <v>1776</v>
      </c>
      <c r="M659" s="3">
        <v>40232</v>
      </c>
      <c r="N659" s="2" t="s">
        <v>2097</v>
      </c>
      <c r="O659" s="2" t="s">
        <v>107</v>
      </c>
      <c r="P659" s="2" t="s">
        <v>107</v>
      </c>
      <c r="Q659" s="2" t="str">
        <f>"066-A/10"</f>
        <v>066-A/10</v>
      </c>
      <c r="R659" s="2" t="s">
        <v>107</v>
      </c>
      <c r="S659" s="2" t="s">
        <v>2727</v>
      </c>
      <c r="T659" s="2">
        <v>1</v>
      </c>
      <c r="U659" s="2" t="s">
        <v>79</v>
      </c>
      <c r="V659" s="2">
        <v>1</v>
      </c>
      <c r="W659" s="2" t="s">
        <v>80</v>
      </c>
      <c r="X659" s="2">
        <v>5</v>
      </c>
      <c r="Y659" s="2" t="s">
        <v>82</v>
      </c>
      <c r="Z659" s="2">
        <v>1</v>
      </c>
      <c r="AA659" s="2" t="s">
        <v>82</v>
      </c>
      <c r="AB659" s="2">
        <v>9</v>
      </c>
      <c r="AC659" s="2" t="s">
        <v>124</v>
      </c>
      <c r="AD659" s="3">
        <v>40229</v>
      </c>
      <c r="AE659" s="4">
        <v>0.91666666666666663</v>
      </c>
      <c r="AF659" s="3">
        <v>40232</v>
      </c>
      <c r="AG659" s="4">
        <v>0.36805555555555558</v>
      </c>
      <c r="AH659" s="2">
        <v>2</v>
      </c>
      <c r="AI659" s="2" t="s">
        <v>84</v>
      </c>
      <c r="AJ659" s="2">
        <v>12</v>
      </c>
      <c r="AK659" s="2" t="s">
        <v>85</v>
      </c>
      <c r="AL659" s="2">
        <v>12</v>
      </c>
      <c r="AM659" s="2" t="s">
        <v>86</v>
      </c>
      <c r="AN659" s="2" t="s">
        <v>1212</v>
      </c>
      <c r="AO659" s="2"/>
      <c r="AP659" s="2">
        <v>11</v>
      </c>
      <c r="AQ659" s="2" t="s">
        <v>82</v>
      </c>
      <c r="AR659" s="2"/>
      <c r="AS659" s="2"/>
      <c r="AT659" s="2" t="s">
        <v>2728</v>
      </c>
      <c r="AU659" s="2"/>
      <c r="AV659" s="2"/>
      <c r="AW659" s="2"/>
      <c r="AX659" s="2"/>
      <c r="AY659" s="2">
        <v>41</v>
      </c>
      <c r="AZ659" s="2" t="s">
        <v>82</v>
      </c>
      <c r="BA659" s="2">
        <v>41</v>
      </c>
      <c r="BB659" s="2" t="s">
        <v>82</v>
      </c>
      <c r="BC659" s="2">
        <v>41</v>
      </c>
      <c r="BD659" s="2" t="s">
        <v>82</v>
      </c>
      <c r="BE659" s="2">
        <v>41</v>
      </c>
      <c r="BF659" s="2" t="s">
        <v>82</v>
      </c>
      <c r="BG659" s="2"/>
      <c r="BH659" s="2"/>
      <c r="BI659" s="2"/>
      <c r="BJ659" s="2">
        <v>241</v>
      </c>
      <c r="BK659" s="2" t="s">
        <v>82</v>
      </c>
      <c r="BL659" s="2"/>
      <c r="BM659" s="2">
        <v>241</v>
      </c>
      <c r="BN659" s="2" t="s">
        <v>82</v>
      </c>
      <c r="BO659" s="2"/>
      <c r="BP659" s="2">
        <v>241</v>
      </c>
      <c r="BQ659" s="2" t="s">
        <v>82</v>
      </c>
      <c r="BR659" s="2"/>
      <c r="BS659" s="3">
        <v>40232</v>
      </c>
      <c r="BT659" s="4">
        <v>0.49562499999999998</v>
      </c>
    </row>
    <row r="660" spans="1:72" x14ac:dyDescent="0.25">
      <c r="A660" s="2">
        <v>1038</v>
      </c>
      <c r="B660" s="2">
        <v>2010</v>
      </c>
      <c r="C660" s="2" t="s">
        <v>819</v>
      </c>
      <c r="D660" s="2" t="s">
        <v>122</v>
      </c>
      <c r="E660" s="2" t="s">
        <v>2729</v>
      </c>
      <c r="F660" s="2">
        <v>425</v>
      </c>
      <c r="G660" s="2" t="s">
        <v>286</v>
      </c>
      <c r="H660" s="2">
        <v>39</v>
      </c>
      <c r="I660" s="2" t="s">
        <v>1117</v>
      </c>
      <c r="J660" s="2">
        <v>310</v>
      </c>
      <c r="K660" s="2" t="s">
        <v>288</v>
      </c>
      <c r="L660" s="2" t="s">
        <v>289</v>
      </c>
      <c r="M660" s="3">
        <v>40232</v>
      </c>
      <c r="N660" s="2" t="s">
        <v>1943</v>
      </c>
      <c r="O660" s="2"/>
      <c r="P660" s="2"/>
      <c r="Q660" s="2" t="str">
        <f>"015/10"</f>
        <v>015/10</v>
      </c>
      <c r="R660" s="2"/>
      <c r="S660" s="2" t="s">
        <v>822</v>
      </c>
      <c r="T660" s="2">
        <v>1</v>
      </c>
      <c r="U660" s="2" t="s">
        <v>79</v>
      </c>
      <c r="V660" s="2">
        <v>1</v>
      </c>
      <c r="W660" s="2" t="s">
        <v>80</v>
      </c>
      <c r="X660" s="2">
        <v>1</v>
      </c>
      <c r="Y660" s="2" t="s">
        <v>81</v>
      </c>
      <c r="Z660" s="2">
        <v>10</v>
      </c>
      <c r="AA660" s="2" t="s">
        <v>236</v>
      </c>
      <c r="AB660" s="2">
        <v>9</v>
      </c>
      <c r="AC660" s="2" t="s">
        <v>124</v>
      </c>
      <c r="AD660" s="3">
        <v>40231</v>
      </c>
      <c r="AE660" s="4">
        <v>0.52083333333333337</v>
      </c>
      <c r="AF660" s="2"/>
      <c r="AG660" s="2"/>
      <c r="AH660" s="2">
        <v>4</v>
      </c>
      <c r="AI660" s="2" t="s">
        <v>125</v>
      </c>
      <c r="AJ660" s="2">
        <v>29</v>
      </c>
      <c r="AK660" s="2" t="s">
        <v>227</v>
      </c>
      <c r="AL660" s="2">
        <v>10</v>
      </c>
      <c r="AM660" s="2" t="s">
        <v>200</v>
      </c>
      <c r="AN660" s="2" t="s">
        <v>2646</v>
      </c>
      <c r="AO660" s="2" t="s">
        <v>200</v>
      </c>
      <c r="AP660" s="2">
        <v>12</v>
      </c>
      <c r="AQ660" s="2" t="s">
        <v>322</v>
      </c>
      <c r="AR660" s="2" t="s">
        <v>2711</v>
      </c>
      <c r="AS660" s="2" t="s">
        <v>2712</v>
      </c>
      <c r="AT660" s="2" t="s">
        <v>2730</v>
      </c>
      <c r="AU660" s="2"/>
      <c r="AV660" s="2"/>
      <c r="AW660" s="2"/>
      <c r="AX660" s="2"/>
      <c r="AY660" s="2">
        <v>41</v>
      </c>
      <c r="AZ660" s="2" t="s">
        <v>82</v>
      </c>
      <c r="BA660" s="2">
        <v>41</v>
      </c>
      <c r="BB660" s="2" t="s">
        <v>82</v>
      </c>
      <c r="BC660" s="2">
        <v>51</v>
      </c>
      <c r="BD660" s="2" t="s">
        <v>827</v>
      </c>
      <c r="BE660" s="2">
        <v>47</v>
      </c>
      <c r="BF660" s="2" t="s">
        <v>167</v>
      </c>
      <c r="BG660" s="2">
        <v>2459</v>
      </c>
      <c r="BH660" s="4">
        <v>0.86249999999999993</v>
      </c>
      <c r="BI660" s="4">
        <v>0.89930555555555547</v>
      </c>
      <c r="BJ660" s="2">
        <v>13</v>
      </c>
      <c r="BK660" s="2" t="s">
        <v>91</v>
      </c>
      <c r="BL660" s="2" t="s">
        <v>828</v>
      </c>
      <c r="BM660" s="2">
        <v>241</v>
      </c>
      <c r="BN660" s="2" t="s">
        <v>82</v>
      </c>
      <c r="BO660" s="2" t="s">
        <v>82</v>
      </c>
      <c r="BP660" s="2">
        <v>13</v>
      </c>
      <c r="BQ660" s="2" t="s">
        <v>91</v>
      </c>
      <c r="BR660" s="2" t="s">
        <v>185</v>
      </c>
      <c r="BS660" s="3">
        <v>40232</v>
      </c>
      <c r="BT660" s="4">
        <v>0.51954861111111106</v>
      </c>
    </row>
    <row r="661" spans="1:72" x14ac:dyDescent="0.25">
      <c r="A661" s="2">
        <v>1040</v>
      </c>
      <c r="B661" s="2">
        <v>2010</v>
      </c>
      <c r="C661" s="2" t="s">
        <v>819</v>
      </c>
      <c r="D661" s="2" t="s">
        <v>73</v>
      </c>
      <c r="E661" s="2"/>
      <c r="F661" s="2">
        <v>397</v>
      </c>
      <c r="G661" s="2" t="s">
        <v>2522</v>
      </c>
      <c r="H661" s="2">
        <v>11</v>
      </c>
      <c r="I661" s="2" t="s">
        <v>1397</v>
      </c>
      <c r="J661" s="2">
        <v>377</v>
      </c>
      <c r="K661" s="2" t="s">
        <v>1223</v>
      </c>
      <c r="L661" s="2" t="s">
        <v>1224</v>
      </c>
      <c r="M661" s="3">
        <v>40232</v>
      </c>
      <c r="N661" s="2" t="s">
        <v>2731</v>
      </c>
      <c r="O661" s="2"/>
      <c r="P661" s="2"/>
      <c r="Q661" s="2" t="str">
        <f>"109-E/10"</f>
        <v>109-E/10</v>
      </c>
      <c r="R661" s="2"/>
      <c r="S661" s="2" t="s">
        <v>2162</v>
      </c>
      <c r="T661" s="2">
        <v>1</v>
      </c>
      <c r="U661" s="2" t="s">
        <v>79</v>
      </c>
      <c r="V661" s="2">
        <v>1</v>
      </c>
      <c r="W661" s="2" t="s">
        <v>80</v>
      </c>
      <c r="X661" s="2">
        <v>1</v>
      </c>
      <c r="Y661" s="2" t="s">
        <v>81</v>
      </c>
      <c r="Z661" s="2">
        <v>10</v>
      </c>
      <c r="AA661" s="2" t="s">
        <v>236</v>
      </c>
      <c r="AB661" s="2">
        <v>9</v>
      </c>
      <c r="AC661" s="2" t="s">
        <v>124</v>
      </c>
      <c r="AD661" s="3">
        <v>40231</v>
      </c>
      <c r="AE661" s="4">
        <v>0.9375</v>
      </c>
      <c r="AF661" s="2"/>
      <c r="AG661" s="2"/>
      <c r="AH661" s="2">
        <v>2</v>
      </c>
      <c r="AI661" s="2" t="s">
        <v>84</v>
      </c>
      <c r="AJ661" s="2">
        <v>9</v>
      </c>
      <c r="AK661" s="2" t="s">
        <v>103</v>
      </c>
      <c r="AL661" s="2">
        <v>14</v>
      </c>
      <c r="AM661" s="2" t="s">
        <v>216</v>
      </c>
      <c r="AN661" s="2" t="s">
        <v>1340</v>
      </c>
      <c r="AO661" s="2"/>
      <c r="AP661" s="2">
        <v>11</v>
      </c>
      <c r="AQ661" s="2" t="s">
        <v>82</v>
      </c>
      <c r="AR661" s="2"/>
      <c r="AS661" s="2"/>
      <c r="AT661" s="2" t="s">
        <v>2732</v>
      </c>
      <c r="AU661" s="2"/>
      <c r="AV661" s="2">
        <v>1</v>
      </c>
      <c r="AW661" s="2"/>
      <c r="AX661" s="2"/>
      <c r="AY661" s="2">
        <v>41</v>
      </c>
      <c r="AZ661" s="2" t="s">
        <v>82</v>
      </c>
      <c r="BA661" s="2">
        <v>41</v>
      </c>
      <c r="BB661" s="2" t="s">
        <v>82</v>
      </c>
      <c r="BC661" s="2">
        <v>70</v>
      </c>
      <c r="BD661" s="2" t="s">
        <v>236</v>
      </c>
      <c r="BE661" s="2">
        <v>26</v>
      </c>
      <c r="BF661" s="2" t="s">
        <v>1999</v>
      </c>
      <c r="BG661" s="2" t="s">
        <v>2733</v>
      </c>
      <c r="BH661" s="2"/>
      <c r="BI661" s="2"/>
      <c r="BJ661" s="2">
        <v>13</v>
      </c>
      <c r="BK661" s="2" t="s">
        <v>91</v>
      </c>
      <c r="BL661" s="2" t="s">
        <v>360</v>
      </c>
      <c r="BM661" s="2">
        <v>241</v>
      </c>
      <c r="BN661" s="2" t="s">
        <v>82</v>
      </c>
      <c r="BO661" s="2"/>
      <c r="BP661" s="2">
        <v>75</v>
      </c>
      <c r="BQ661" s="2" t="s">
        <v>1264</v>
      </c>
      <c r="BR661" s="2" t="s">
        <v>1361</v>
      </c>
      <c r="BS661" s="3">
        <v>40232</v>
      </c>
      <c r="BT661" s="4">
        <v>0.53348379629629628</v>
      </c>
    </row>
    <row r="662" spans="1:72" x14ac:dyDescent="0.25">
      <c r="A662" s="2">
        <v>1042</v>
      </c>
      <c r="B662" s="2">
        <v>2010</v>
      </c>
      <c r="C662" s="2" t="s">
        <v>147</v>
      </c>
      <c r="D662" s="2" t="s">
        <v>73</v>
      </c>
      <c r="E662" s="2"/>
      <c r="F662" s="2">
        <v>1</v>
      </c>
      <c r="G662" s="2" t="s">
        <v>82</v>
      </c>
      <c r="H662" s="2">
        <v>1</v>
      </c>
      <c r="I662" s="2" t="s">
        <v>82</v>
      </c>
      <c r="J662" s="2">
        <v>1</v>
      </c>
      <c r="K662" s="2" t="s">
        <v>107</v>
      </c>
      <c r="L662" s="2" t="s">
        <v>107</v>
      </c>
      <c r="M662" s="3">
        <v>40232</v>
      </c>
      <c r="N662" s="2"/>
      <c r="O662" s="2"/>
      <c r="P662" s="2"/>
      <c r="Q662" s="2" t="str">
        <f>""</f>
        <v/>
      </c>
      <c r="R662" s="2"/>
      <c r="S662" s="2"/>
      <c r="T662" s="2">
        <v>2</v>
      </c>
      <c r="U662" s="2" t="s">
        <v>123</v>
      </c>
      <c r="V662" s="2">
        <v>1</v>
      </c>
      <c r="W662" s="2" t="s">
        <v>80</v>
      </c>
      <c r="X662" s="2">
        <v>12</v>
      </c>
      <c r="Y662" s="2" t="s">
        <v>148</v>
      </c>
      <c r="Z662" s="2">
        <v>1</v>
      </c>
      <c r="AA662" s="2" t="s">
        <v>82</v>
      </c>
      <c r="AB662" s="2">
        <v>9</v>
      </c>
      <c r="AC662" s="2" t="s">
        <v>124</v>
      </c>
      <c r="AD662" s="3">
        <v>40224</v>
      </c>
      <c r="AE662" s="2"/>
      <c r="AF662" s="3">
        <v>40232</v>
      </c>
      <c r="AG662" s="4">
        <v>0.54166666666666663</v>
      </c>
      <c r="AH662" s="2">
        <v>2</v>
      </c>
      <c r="AI662" s="2" t="s">
        <v>84</v>
      </c>
      <c r="AJ662" s="2">
        <v>12</v>
      </c>
      <c r="AK662" s="2" t="s">
        <v>85</v>
      </c>
      <c r="AL662" s="2">
        <v>19</v>
      </c>
      <c r="AM662" s="2" t="s">
        <v>107</v>
      </c>
      <c r="AN662" s="2" t="s">
        <v>107</v>
      </c>
      <c r="AO662" s="2" t="s">
        <v>2734</v>
      </c>
      <c r="AP662" s="2">
        <v>11</v>
      </c>
      <c r="AQ662" s="2" t="s">
        <v>82</v>
      </c>
      <c r="AR662" s="2"/>
      <c r="AS662" s="2"/>
      <c r="AT662" s="2" t="s">
        <v>2735</v>
      </c>
      <c r="AU662" s="2"/>
      <c r="AV662" s="2"/>
      <c r="AW662" s="2"/>
      <c r="AX662" s="2"/>
      <c r="AY662" s="2">
        <v>41</v>
      </c>
      <c r="AZ662" s="2" t="s">
        <v>82</v>
      </c>
      <c r="BA662" s="2">
        <v>41</v>
      </c>
      <c r="BB662" s="2" t="s">
        <v>82</v>
      </c>
      <c r="BC662" s="2">
        <v>41</v>
      </c>
      <c r="BD662" s="2" t="s">
        <v>82</v>
      </c>
      <c r="BE662" s="2">
        <v>41</v>
      </c>
      <c r="BF662" s="2" t="s">
        <v>82</v>
      </c>
      <c r="BG662" s="2"/>
      <c r="BH662" s="2"/>
      <c r="BI662" s="2"/>
      <c r="BJ662" s="2">
        <v>241</v>
      </c>
      <c r="BK662" s="2" t="s">
        <v>82</v>
      </c>
      <c r="BL662" s="2"/>
      <c r="BM662" s="2">
        <v>241</v>
      </c>
      <c r="BN662" s="2" t="s">
        <v>82</v>
      </c>
      <c r="BO662" s="2"/>
      <c r="BP662" s="2">
        <v>241</v>
      </c>
      <c r="BQ662" s="2" t="s">
        <v>82</v>
      </c>
      <c r="BR662" s="2"/>
      <c r="BS662" s="3">
        <v>40232</v>
      </c>
      <c r="BT662" s="4">
        <v>0.55138888888888882</v>
      </c>
    </row>
    <row r="663" spans="1:72" x14ac:dyDescent="0.25">
      <c r="A663" s="2">
        <v>1044</v>
      </c>
      <c r="B663" s="2">
        <v>2010</v>
      </c>
      <c r="C663" s="2" t="s">
        <v>121</v>
      </c>
      <c r="D663" s="2" t="s">
        <v>122</v>
      </c>
      <c r="E663" s="2"/>
      <c r="F663" s="2">
        <v>1</v>
      </c>
      <c r="G663" s="2" t="s">
        <v>82</v>
      </c>
      <c r="H663" s="2">
        <v>1</v>
      </c>
      <c r="I663" s="2" t="s">
        <v>82</v>
      </c>
      <c r="J663" s="2">
        <v>1</v>
      </c>
      <c r="K663" s="2" t="s">
        <v>107</v>
      </c>
      <c r="L663" s="2" t="s">
        <v>107</v>
      </c>
      <c r="M663" s="3">
        <v>40232</v>
      </c>
      <c r="N663" s="2"/>
      <c r="O663" s="2" t="s">
        <v>107</v>
      </c>
      <c r="P663" s="2" t="s">
        <v>107</v>
      </c>
      <c r="Q663" s="2" t="str">
        <f>""</f>
        <v/>
      </c>
      <c r="R663" s="2"/>
      <c r="S663" s="2"/>
      <c r="T663" s="2">
        <v>2</v>
      </c>
      <c r="U663" s="2" t="s">
        <v>123</v>
      </c>
      <c r="V663" s="2">
        <v>1</v>
      </c>
      <c r="W663" s="2" t="s">
        <v>80</v>
      </c>
      <c r="X663" s="2">
        <v>5</v>
      </c>
      <c r="Y663" s="2" t="s">
        <v>82</v>
      </c>
      <c r="Z663" s="2">
        <v>1</v>
      </c>
      <c r="AA663" s="2" t="s">
        <v>82</v>
      </c>
      <c r="AB663" s="2">
        <v>9</v>
      </c>
      <c r="AC663" s="2" t="s">
        <v>124</v>
      </c>
      <c r="AD663" s="3">
        <v>40232</v>
      </c>
      <c r="AE663" s="4">
        <v>0.56944444444444442</v>
      </c>
      <c r="AF663" s="2"/>
      <c r="AG663" s="2"/>
      <c r="AH663" s="2">
        <v>3</v>
      </c>
      <c r="AI663" s="2" t="s">
        <v>214</v>
      </c>
      <c r="AJ663" s="2">
        <v>23</v>
      </c>
      <c r="AK663" s="2" t="s">
        <v>851</v>
      </c>
      <c r="AL663" s="2">
        <v>18</v>
      </c>
      <c r="AM663" s="2" t="s">
        <v>82</v>
      </c>
      <c r="AN663" s="2" t="s">
        <v>230</v>
      </c>
      <c r="AO663" s="2" t="s">
        <v>82</v>
      </c>
      <c r="AP663" s="2">
        <v>11</v>
      </c>
      <c r="AQ663" s="2" t="s">
        <v>82</v>
      </c>
      <c r="AR663" s="2"/>
      <c r="AS663" s="2"/>
      <c r="AT663" s="2" t="s">
        <v>2736</v>
      </c>
      <c r="AU663" s="2"/>
      <c r="AV663" s="2"/>
      <c r="AW663" s="2"/>
      <c r="AX663" s="2"/>
      <c r="AY663" s="2">
        <v>41</v>
      </c>
      <c r="AZ663" s="2" t="s">
        <v>82</v>
      </c>
      <c r="BA663" s="2">
        <v>41</v>
      </c>
      <c r="BB663" s="2" t="s">
        <v>82</v>
      </c>
      <c r="BC663" s="2">
        <v>41</v>
      </c>
      <c r="BD663" s="2" t="s">
        <v>82</v>
      </c>
      <c r="BE663" s="2">
        <v>42</v>
      </c>
      <c r="BF663" s="2" t="s">
        <v>182</v>
      </c>
      <c r="BG663" s="2" t="s">
        <v>853</v>
      </c>
      <c r="BH663" s="4">
        <v>0.63194444444444442</v>
      </c>
      <c r="BI663" s="4">
        <v>0.56944444444444442</v>
      </c>
      <c r="BJ663" s="2">
        <v>13</v>
      </c>
      <c r="BK663" s="2" t="s">
        <v>91</v>
      </c>
      <c r="BL663" s="2" t="s">
        <v>854</v>
      </c>
      <c r="BM663" s="2">
        <v>241</v>
      </c>
      <c r="BN663" s="2" t="s">
        <v>82</v>
      </c>
      <c r="BO663" s="2"/>
      <c r="BP663" s="2">
        <v>13</v>
      </c>
      <c r="BQ663" s="2" t="s">
        <v>91</v>
      </c>
      <c r="BR663" s="2" t="s">
        <v>185</v>
      </c>
      <c r="BS663" s="3">
        <v>40232</v>
      </c>
      <c r="BT663" s="4">
        <v>0.57266203703703711</v>
      </c>
    </row>
    <row r="664" spans="1:72" x14ac:dyDescent="0.25">
      <c r="A664" s="2">
        <v>1049</v>
      </c>
      <c r="B664" s="2">
        <v>2010</v>
      </c>
      <c r="C664" s="2" t="s">
        <v>72</v>
      </c>
      <c r="D664" s="2" t="s">
        <v>122</v>
      </c>
      <c r="E664" s="2" t="s">
        <v>2737</v>
      </c>
      <c r="F664" s="2">
        <v>2</v>
      </c>
      <c r="G664" s="2" t="s">
        <v>113</v>
      </c>
      <c r="H664" s="2">
        <v>1</v>
      </c>
      <c r="I664" s="2" t="s">
        <v>82</v>
      </c>
      <c r="J664" s="2">
        <v>300</v>
      </c>
      <c r="K664" s="2" t="s">
        <v>114</v>
      </c>
      <c r="L664" s="2" t="s">
        <v>115</v>
      </c>
      <c r="M664" s="3">
        <v>40232</v>
      </c>
      <c r="N664" s="2"/>
      <c r="O664" s="2"/>
      <c r="P664" s="2"/>
      <c r="Q664" s="2" t="str">
        <f>"105-E/10"</f>
        <v>105-E/10</v>
      </c>
      <c r="R664" s="2" t="s">
        <v>2714</v>
      </c>
      <c r="S664" s="2"/>
      <c r="T664" s="2">
        <v>1</v>
      </c>
      <c r="U664" s="2" t="s">
        <v>79</v>
      </c>
      <c r="V664" s="2">
        <v>1</v>
      </c>
      <c r="W664" s="2" t="s">
        <v>80</v>
      </c>
      <c r="X664" s="2">
        <v>1</v>
      </c>
      <c r="Y664" s="2" t="s">
        <v>81</v>
      </c>
      <c r="Z664" s="2">
        <v>10</v>
      </c>
      <c r="AA664" s="2" t="s">
        <v>236</v>
      </c>
      <c r="AB664" s="2">
        <v>6</v>
      </c>
      <c r="AC664" s="2" t="s">
        <v>83</v>
      </c>
      <c r="AD664" s="3">
        <v>40231</v>
      </c>
      <c r="AE664" s="4">
        <v>0.44444444444444442</v>
      </c>
      <c r="AF664" s="2"/>
      <c r="AG664" s="2"/>
      <c r="AH664" s="2">
        <v>2</v>
      </c>
      <c r="AI664" s="2" t="s">
        <v>84</v>
      </c>
      <c r="AJ664" s="2">
        <v>9</v>
      </c>
      <c r="AK664" s="2" t="s">
        <v>103</v>
      </c>
      <c r="AL664" s="2">
        <v>13</v>
      </c>
      <c r="AM664" s="2" t="s">
        <v>117</v>
      </c>
      <c r="AN664" s="2" t="s">
        <v>2715</v>
      </c>
      <c r="AO664" s="2"/>
      <c r="AP664" s="2">
        <v>11</v>
      </c>
      <c r="AQ664" s="2" t="s">
        <v>82</v>
      </c>
      <c r="AR664" s="2"/>
      <c r="AS664" s="2"/>
      <c r="AT664" s="2" t="s">
        <v>2738</v>
      </c>
      <c r="AU664" s="2"/>
      <c r="AV664" s="2"/>
      <c r="AW664" s="2">
        <v>1</v>
      </c>
      <c r="AX664" s="2"/>
      <c r="AY664" s="2">
        <v>41</v>
      </c>
      <c r="AZ664" s="2" t="s">
        <v>82</v>
      </c>
      <c r="BA664" s="2">
        <v>41</v>
      </c>
      <c r="BB664" s="2" t="s">
        <v>82</v>
      </c>
      <c r="BC664" s="2">
        <v>41</v>
      </c>
      <c r="BD664" s="2" t="s">
        <v>82</v>
      </c>
      <c r="BE664" s="2">
        <v>41</v>
      </c>
      <c r="BF664" s="2" t="s">
        <v>82</v>
      </c>
      <c r="BG664" s="2"/>
      <c r="BH664" s="2"/>
      <c r="BI664" s="2"/>
      <c r="BJ664" s="2">
        <v>241</v>
      </c>
      <c r="BK664" s="2" t="s">
        <v>82</v>
      </c>
      <c r="BL664" s="2"/>
      <c r="BM664" s="2">
        <v>241</v>
      </c>
      <c r="BN664" s="2" t="s">
        <v>82</v>
      </c>
      <c r="BO664" s="2"/>
      <c r="BP664" s="2">
        <v>241</v>
      </c>
      <c r="BQ664" s="2" t="s">
        <v>82</v>
      </c>
      <c r="BR664" s="2"/>
      <c r="BS664" s="3">
        <v>40232</v>
      </c>
      <c r="BT664" s="4">
        <v>0.60401620370370368</v>
      </c>
    </row>
    <row r="665" spans="1:72" x14ac:dyDescent="0.25">
      <c r="A665" s="2">
        <v>1050</v>
      </c>
      <c r="B665" s="2">
        <v>2010</v>
      </c>
      <c r="C665" s="2" t="s">
        <v>72</v>
      </c>
      <c r="D665" s="2" t="s">
        <v>122</v>
      </c>
      <c r="E665" s="2" t="s">
        <v>2739</v>
      </c>
      <c r="F665" s="2">
        <v>2</v>
      </c>
      <c r="G665" s="2" t="s">
        <v>113</v>
      </c>
      <c r="H665" s="2">
        <v>1</v>
      </c>
      <c r="I665" s="2" t="s">
        <v>82</v>
      </c>
      <c r="J665" s="2">
        <v>300</v>
      </c>
      <c r="K665" s="2" t="s">
        <v>114</v>
      </c>
      <c r="L665" s="2" t="s">
        <v>115</v>
      </c>
      <c r="M665" s="3">
        <v>40232</v>
      </c>
      <c r="N665" s="2"/>
      <c r="O665" s="2"/>
      <c r="P665" s="2"/>
      <c r="Q665" s="2" t="str">
        <f>"107-E/10"</f>
        <v>107-E/10</v>
      </c>
      <c r="R665" s="2" t="s">
        <v>2714</v>
      </c>
      <c r="S665" s="2"/>
      <c r="T665" s="2">
        <v>1</v>
      </c>
      <c r="U665" s="2" t="s">
        <v>79</v>
      </c>
      <c r="V665" s="2">
        <v>1</v>
      </c>
      <c r="W665" s="2" t="s">
        <v>80</v>
      </c>
      <c r="X665" s="2">
        <v>1</v>
      </c>
      <c r="Y665" s="2" t="s">
        <v>81</v>
      </c>
      <c r="Z665" s="2">
        <v>10</v>
      </c>
      <c r="AA665" s="2" t="s">
        <v>236</v>
      </c>
      <c r="AB665" s="2">
        <v>6</v>
      </c>
      <c r="AC665" s="2" t="s">
        <v>83</v>
      </c>
      <c r="AD665" s="3">
        <v>40231</v>
      </c>
      <c r="AE665" s="4">
        <v>0.61805555555555558</v>
      </c>
      <c r="AF665" s="2"/>
      <c r="AG665" s="2"/>
      <c r="AH665" s="2">
        <v>2</v>
      </c>
      <c r="AI665" s="2" t="s">
        <v>84</v>
      </c>
      <c r="AJ665" s="2">
        <v>9</v>
      </c>
      <c r="AK665" s="2" t="s">
        <v>103</v>
      </c>
      <c r="AL665" s="2">
        <v>15</v>
      </c>
      <c r="AM665" s="2" t="s">
        <v>104</v>
      </c>
      <c r="AN665" s="2" t="s">
        <v>2721</v>
      </c>
      <c r="AO665" s="2"/>
      <c r="AP665" s="2">
        <v>11</v>
      </c>
      <c r="AQ665" s="2" t="s">
        <v>82</v>
      </c>
      <c r="AR665" s="2"/>
      <c r="AS665" s="2"/>
      <c r="AT665" s="2" t="s">
        <v>2740</v>
      </c>
      <c r="AU665" s="2"/>
      <c r="AV665" s="2"/>
      <c r="AW665" s="2">
        <v>1</v>
      </c>
      <c r="AX665" s="2"/>
      <c r="AY665" s="2">
        <v>69</v>
      </c>
      <c r="AZ665" s="2" t="s">
        <v>483</v>
      </c>
      <c r="BA665" s="2">
        <v>41</v>
      </c>
      <c r="BB665" s="2" t="s">
        <v>82</v>
      </c>
      <c r="BC665" s="2">
        <v>70</v>
      </c>
      <c r="BD665" s="2" t="s">
        <v>236</v>
      </c>
      <c r="BE665" s="2">
        <v>13</v>
      </c>
      <c r="BF665" s="2" t="s">
        <v>108</v>
      </c>
      <c r="BG665" s="2" t="s">
        <v>107</v>
      </c>
      <c r="BH665" s="2"/>
      <c r="BI665" s="2"/>
      <c r="BJ665" s="2">
        <v>13</v>
      </c>
      <c r="BK665" s="2" t="s">
        <v>91</v>
      </c>
      <c r="BL665" s="2" t="s">
        <v>360</v>
      </c>
      <c r="BM665" s="2">
        <v>241</v>
      </c>
      <c r="BN665" s="2" t="s">
        <v>82</v>
      </c>
      <c r="BO665" s="2"/>
      <c r="BP665" s="2">
        <v>112</v>
      </c>
      <c r="BQ665" s="2" t="s">
        <v>110</v>
      </c>
      <c r="BR665" s="2"/>
      <c r="BS665" s="3">
        <v>40232</v>
      </c>
      <c r="BT665" s="4">
        <v>0.6068634259259259</v>
      </c>
    </row>
    <row r="666" spans="1:72" x14ac:dyDescent="0.25">
      <c r="A666" s="2">
        <v>1051</v>
      </c>
      <c r="B666" s="2">
        <v>2010</v>
      </c>
      <c r="C666" s="2" t="s">
        <v>72</v>
      </c>
      <c r="D666" s="2" t="s">
        <v>122</v>
      </c>
      <c r="E666" s="2" t="s">
        <v>2741</v>
      </c>
      <c r="F666" s="2">
        <v>391</v>
      </c>
      <c r="G666" s="2" t="s">
        <v>2400</v>
      </c>
      <c r="H666" s="2">
        <v>4</v>
      </c>
      <c r="I666" s="2" t="s">
        <v>173</v>
      </c>
      <c r="J666" s="2">
        <v>399</v>
      </c>
      <c r="K666" s="2" t="s">
        <v>1820</v>
      </c>
      <c r="L666" s="2" t="s">
        <v>1821</v>
      </c>
      <c r="M666" s="3">
        <v>40232</v>
      </c>
      <c r="N666" s="2" t="s">
        <v>2621</v>
      </c>
      <c r="O666" s="2"/>
      <c r="P666" s="2"/>
      <c r="Q666" s="2" t="str">
        <f>"108-E/10"</f>
        <v>108-E/10</v>
      </c>
      <c r="R666" s="2" t="s">
        <v>1847</v>
      </c>
      <c r="S666" s="2"/>
      <c r="T666" s="2">
        <v>1</v>
      </c>
      <c r="U666" s="2" t="s">
        <v>79</v>
      </c>
      <c r="V666" s="2">
        <v>1</v>
      </c>
      <c r="W666" s="2" t="s">
        <v>80</v>
      </c>
      <c r="X666" s="2">
        <v>1</v>
      </c>
      <c r="Y666" s="2" t="s">
        <v>81</v>
      </c>
      <c r="Z666" s="2">
        <v>10</v>
      </c>
      <c r="AA666" s="2" t="s">
        <v>236</v>
      </c>
      <c r="AB666" s="2">
        <v>6</v>
      </c>
      <c r="AC666" s="2" t="s">
        <v>83</v>
      </c>
      <c r="AD666" s="3">
        <v>40231</v>
      </c>
      <c r="AE666" s="4">
        <v>0.70833333333333337</v>
      </c>
      <c r="AF666" s="3">
        <v>40231</v>
      </c>
      <c r="AG666" s="4">
        <v>0.75</v>
      </c>
      <c r="AH666" s="2">
        <v>2</v>
      </c>
      <c r="AI666" s="2" t="s">
        <v>84</v>
      </c>
      <c r="AJ666" s="2">
        <v>9</v>
      </c>
      <c r="AK666" s="2" t="s">
        <v>103</v>
      </c>
      <c r="AL666" s="2">
        <v>15</v>
      </c>
      <c r="AM666" s="2" t="s">
        <v>104</v>
      </c>
      <c r="AN666" s="2" t="s">
        <v>2724</v>
      </c>
      <c r="AO666" s="2"/>
      <c r="AP666" s="2">
        <v>11</v>
      </c>
      <c r="AQ666" s="2" t="s">
        <v>82</v>
      </c>
      <c r="AR666" s="2"/>
      <c r="AS666" s="2"/>
      <c r="AT666" s="2" t="s">
        <v>2742</v>
      </c>
      <c r="AU666" s="2"/>
      <c r="AV666" s="2"/>
      <c r="AW666" s="2"/>
      <c r="AX666" s="2"/>
      <c r="AY666" s="2">
        <v>41</v>
      </c>
      <c r="AZ666" s="2" t="s">
        <v>82</v>
      </c>
      <c r="BA666" s="2">
        <v>41</v>
      </c>
      <c r="BB666" s="2" t="s">
        <v>82</v>
      </c>
      <c r="BC666" s="2">
        <v>41</v>
      </c>
      <c r="BD666" s="2" t="s">
        <v>82</v>
      </c>
      <c r="BE666" s="2">
        <v>13</v>
      </c>
      <c r="BF666" s="2" t="s">
        <v>108</v>
      </c>
      <c r="BG666" s="2" t="s">
        <v>2726</v>
      </c>
      <c r="BH666" s="4">
        <v>0.95833333333333337</v>
      </c>
      <c r="BI666" s="4">
        <v>0.79166666666666663</v>
      </c>
      <c r="BJ666" s="2">
        <v>13</v>
      </c>
      <c r="BK666" s="2" t="s">
        <v>91</v>
      </c>
      <c r="BL666" s="2" t="s">
        <v>360</v>
      </c>
      <c r="BM666" s="2">
        <v>241</v>
      </c>
      <c r="BN666" s="2" t="s">
        <v>82</v>
      </c>
      <c r="BO666" s="2"/>
      <c r="BP666" s="2">
        <v>173</v>
      </c>
      <c r="BQ666" s="2" t="s">
        <v>223</v>
      </c>
      <c r="BR666" s="2" t="s">
        <v>224</v>
      </c>
      <c r="BS666" s="3">
        <v>40232</v>
      </c>
      <c r="BT666" s="4">
        <v>0.6090740740740741</v>
      </c>
    </row>
    <row r="667" spans="1:72" x14ac:dyDescent="0.25">
      <c r="A667" s="2">
        <v>1052</v>
      </c>
      <c r="B667" s="2">
        <v>2010</v>
      </c>
      <c r="C667" s="2" t="s">
        <v>819</v>
      </c>
      <c r="D667" s="2" t="s">
        <v>122</v>
      </c>
      <c r="E667" s="2" t="s">
        <v>2743</v>
      </c>
      <c r="F667" s="2">
        <v>397</v>
      </c>
      <c r="G667" s="2" t="s">
        <v>2522</v>
      </c>
      <c r="H667" s="2">
        <v>11</v>
      </c>
      <c r="I667" s="2" t="s">
        <v>1397</v>
      </c>
      <c r="J667" s="2">
        <v>377</v>
      </c>
      <c r="K667" s="2" t="s">
        <v>1223</v>
      </c>
      <c r="L667" s="2" t="s">
        <v>1224</v>
      </c>
      <c r="M667" s="3">
        <v>40232</v>
      </c>
      <c r="N667" s="2" t="s">
        <v>2731</v>
      </c>
      <c r="O667" s="2"/>
      <c r="P667" s="2"/>
      <c r="Q667" s="2" t="str">
        <f>"109-E/10"</f>
        <v>109-E/10</v>
      </c>
      <c r="R667" s="2" t="s">
        <v>2162</v>
      </c>
      <c r="S667" s="2"/>
      <c r="T667" s="2">
        <v>1</v>
      </c>
      <c r="U667" s="2" t="s">
        <v>79</v>
      </c>
      <c r="V667" s="2">
        <v>1</v>
      </c>
      <c r="W667" s="2" t="s">
        <v>80</v>
      </c>
      <c r="X667" s="2">
        <v>1</v>
      </c>
      <c r="Y667" s="2" t="s">
        <v>81</v>
      </c>
      <c r="Z667" s="2">
        <v>10</v>
      </c>
      <c r="AA667" s="2" t="s">
        <v>236</v>
      </c>
      <c r="AB667" s="2">
        <v>9</v>
      </c>
      <c r="AC667" s="2" t="s">
        <v>124</v>
      </c>
      <c r="AD667" s="3">
        <v>40231</v>
      </c>
      <c r="AE667" s="4">
        <v>0.9375</v>
      </c>
      <c r="AF667" s="2"/>
      <c r="AG667" s="2"/>
      <c r="AH667" s="2">
        <v>2</v>
      </c>
      <c r="AI667" s="2" t="s">
        <v>84</v>
      </c>
      <c r="AJ667" s="2">
        <v>9</v>
      </c>
      <c r="AK667" s="2" t="s">
        <v>103</v>
      </c>
      <c r="AL667" s="2">
        <v>14</v>
      </c>
      <c r="AM667" s="2" t="s">
        <v>216</v>
      </c>
      <c r="AN667" s="2" t="s">
        <v>1340</v>
      </c>
      <c r="AO667" s="2"/>
      <c r="AP667" s="2">
        <v>11</v>
      </c>
      <c r="AQ667" s="2" t="s">
        <v>82</v>
      </c>
      <c r="AR667" s="2"/>
      <c r="AS667" s="2"/>
      <c r="AT667" s="2" t="s">
        <v>2744</v>
      </c>
      <c r="AU667" s="2"/>
      <c r="AV667" s="2">
        <v>1</v>
      </c>
      <c r="AW667" s="2"/>
      <c r="AX667" s="2"/>
      <c r="AY667" s="2">
        <v>41</v>
      </c>
      <c r="AZ667" s="2" t="s">
        <v>82</v>
      </c>
      <c r="BA667" s="2">
        <v>41</v>
      </c>
      <c r="BB667" s="2" t="s">
        <v>82</v>
      </c>
      <c r="BC667" s="2">
        <v>70</v>
      </c>
      <c r="BD667" s="2" t="s">
        <v>236</v>
      </c>
      <c r="BE667" s="2">
        <v>26</v>
      </c>
      <c r="BF667" s="2" t="s">
        <v>1999</v>
      </c>
      <c r="BG667" s="2" t="s">
        <v>2733</v>
      </c>
      <c r="BH667" s="2"/>
      <c r="BI667" s="2"/>
      <c r="BJ667" s="2">
        <v>13</v>
      </c>
      <c r="BK667" s="2" t="s">
        <v>91</v>
      </c>
      <c r="BL667" s="2" t="s">
        <v>360</v>
      </c>
      <c r="BM667" s="2">
        <v>241</v>
      </c>
      <c r="BN667" s="2" t="s">
        <v>82</v>
      </c>
      <c r="BO667" s="2"/>
      <c r="BP667" s="2">
        <v>75</v>
      </c>
      <c r="BQ667" s="2" t="s">
        <v>1264</v>
      </c>
      <c r="BR667" s="2" t="s">
        <v>1361</v>
      </c>
      <c r="BS667" s="3">
        <v>40232</v>
      </c>
      <c r="BT667" s="4">
        <v>0.61121527777777784</v>
      </c>
    </row>
    <row r="668" spans="1:72" x14ac:dyDescent="0.25">
      <c r="A668" s="2">
        <v>1054</v>
      </c>
      <c r="B668" s="2">
        <v>2010</v>
      </c>
      <c r="C668" s="2" t="s">
        <v>72</v>
      </c>
      <c r="D668" s="2" t="s">
        <v>73</v>
      </c>
      <c r="E668" s="2"/>
      <c r="F668" s="2">
        <v>300</v>
      </c>
      <c r="G668" s="2" t="s">
        <v>2745</v>
      </c>
      <c r="H668" s="2">
        <v>42</v>
      </c>
      <c r="I668" s="2" t="s">
        <v>1096</v>
      </c>
      <c r="J668" s="2">
        <v>431</v>
      </c>
      <c r="K668" s="2" t="s">
        <v>2746</v>
      </c>
      <c r="L668" s="2" t="s">
        <v>2747</v>
      </c>
      <c r="M668" s="3">
        <v>40232</v>
      </c>
      <c r="N668" s="2" t="s">
        <v>2748</v>
      </c>
      <c r="O668" s="2" t="s">
        <v>2749</v>
      </c>
      <c r="P668" s="2"/>
      <c r="Q668" s="2" t="str">
        <f>"0004/10"</f>
        <v>0004/10</v>
      </c>
      <c r="R668" s="2"/>
      <c r="S668" s="2" t="s">
        <v>2750</v>
      </c>
      <c r="T668" s="2">
        <v>1</v>
      </c>
      <c r="U668" s="2" t="s">
        <v>79</v>
      </c>
      <c r="V668" s="2">
        <v>1</v>
      </c>
      <c r="W668" s="2" t="s">
        <v>80</v>
      </c>
      <c r="X668" s="2">
        <v>1</v>
      </c>
      <c r="Y668" s="2" t="s">
        <v>81</v>
      </c>
      <c r="Z668" s="2">
        <v>10</v>
      </c>
      <c r="AA668" s="2" t="s">
        <v>236</v>
      </c>
      <c r="AB668" s="2">
        <v>6</v>
      </c>
      <c r="AC668" s="2" t="s">
        <v>83</v>
      </c>
      <c r="AD668" s="3">
        <v>40231</v>
      </c>
      <c r="AE668" s="4">
        <v>0.29166666666666669</v>
      </c>
      <c r="AF668" s="3">
        <v>40232</v>
      </c>
      <c r="AG668" s="4">
        <v>0.49305555555555558</v>
      </c>
      <c r="AH668" s="2">
        <v>5</v>
      </c>
      <c r="AI668" s="2" t="s">
        <v>274</v>
      </c>
      <c r="AJ668" s="2">
        <v>41</v>
      </c>
      <c r="AK668" s="2" t="s">
        <v>2751</v>
      </c>
      <c r="AL668" s="2">
        <v>18</v>
      </c>
      <c r="AM668" s="2" t="s">
        <v>82</v>
      </c>
      <c r="AN668" s="2" t="s">
        <v>2752</v>
      </c>
      <c r="AO668" s="2"/>
      <c r="AP668" s="2">
        <v>11</v>
      </c>
      <c r="AQ668" s="2" t="s">
        <v>82</v>
      </c>
      <c r="AR668" s="2"/>
      <c r="AS668" s="2"/>
      <c r="AT668" s="2" t="s">
        <v>2753</v>
      </c>
      <c r="AU668" s="2"/>
      <c r="AV668" s="2"/>
      <c r="AW668" s="2"/>
      <c r="AX668" s="2"/>
      <c r="AY668" s="2">
        <v>1</v>
      </c>
      <c r="AZ668" s="2" t="s">
        <v>107</v>
      </c>
      <c r="BA668" s="2">
        <v>41</v>
      </c>
      <c r="BB668" s="2" t="s">
        <v>82</v>
      </c>
      <c r="BC668" s="2">
        <v>1</v>
      </c>
      <c r="BD668" s="2" t="s">
        <v>107</v>
      </c>
      <c r="BE668" s="2">
        <v>41</v>
      </c>
      <c r="BF668" s="2" t="s">
        <v>82</v>
      </c>
      <c r="BG668" s="2"/>
      <c r="BH668" s="2"/>
      <c r="BI668" s="2"/>
      <c r="BJ668" s="2">
        <v>242</v>
      </c>
      <c r="BK668" s="2" t="s">
        <v>107</v>
      </c>
      <c r="BL668" s="2"/>
      <c r="BM668" s="2">
        <v>242</v>
      </c>
      <c r="BN668" s="2" t="s">
        <v>107</v>
      </c>
      <c r="BO668" s="2"/>
      <c r="BP668" s="2">
        <v>242</v>
      </c>
      <c r="BQ668" s="2" t="s">
        <v>107</v>
      </c>
      <c r="BR668" s="2"/>
      <c r="BS668" s="3">
        <v>40232</v>
      </c>
      <c r="BT668" s="4">
        <v>0.67208333333333325</v>
      </c>
    </row>
    <row r="669" spans="1:72" x14ac:dyDescent="0.25">
      <c r="A669" s="2">
        <v>1056</v>
      </c>
      <c r="B669" s="2">
        <v>2010</v>
      </c>
      <c r="C669" s="2" t="s">
        <v>2754</v>
      </c>
      <c r="D669" s="2" t="s">
        <v>73</v>
      </c>
      <c r="E669" s="2"/>
      <c r="F669" s="2">
        <v>53</v>
      </c>
      <c r="G669" s="2" t="s">
        <v>2755</v>
      </c>
      <c r="H669" s="2">
        <v>31</v>
      </c>
      <c r="I669" s="2" t="s">
        <v>880</v>
      </c>
      <c r="J669" s="2">
        <v>88</v>
      </c>
      <c r="K669" s="2" t="s">
        <v>2756</v>
      </c>
      <c r="L669" s="2" t="s">
        <v>2757</v>
      </c>
      <c r="M669" s="3">
        <v>40232</v>
      </c>
      <c r="N669" s="2" t="s">
        <v>2758</v>
      </c>
      <c r="O669" s="2" t="s">
        <v>107</v>
      </c>
      <c r="P669" s="2" t="s">
        <v>107</v>
      </c>
      <c r="Q669" s="2" t="str">
        <f>"04/10"</f>
        <v>04/10</v>
      </c>
      <c r="R669" s="2" t="s">
        <v>107</v>
      </c>
      <c r="S669" s="2" t="s">
        <v>2759</v>
      </c>
      <c r="T669" s="2">
        <v>1</v>
      </c>
      <c r="U669" s="2" t="s">
        <v>79</v>
      </c>
      <c r="V669" s="2">
        <v>1</v>
      </c>
      <c r="W669" s="2" t="s">
        <v>80</v>
      </c>
      <c r="X669" s="2">
        <v>1</v>
      </c>
      <c r="Y669" s="2" t="s">
        <v>81</v>
      </c>
      <c r="Z669" s="2">
        <v>1</v>
      </c>
      <c r="AA669" s="2" t="s">
        <v>82</v>
      </c>
      <c r="AB669" s="2">
        <v>8</v>
      </c>
      <c r="AC669" s="2" t="s">
        <v>2760</v>
      </c>
      <c r="AD669" s="3">
        <v>40232</v>
      </c>
      <c r="AE669" s="4">
        <v>0.73263888888888884</v>
      </c>
      <c r="AF669" s="2"/>
      <c r="AG669" s="2"/>
      <c r="AH669" s="2">
        <v>4</v>
      </c>
      <c r="AI669" s="2" t="s">
        <v>125</v>
      </c>
      <c r="AJ669" s="2">
        <v>28</v>
      </c>
      <c r="AK669" s="2" t="s">
        <v>741</v>
      </c>
      <c r="AL669" s="2">
        <v>18</v>
      </c>
      <c r="AM669" s="2" t="s">
        <v>82</v>
      </c>
      <c r="AN669" s="2" t="s">
        <v>2761</v>
      </c>
      <c r="AO669" s="2"/>
      <c r="AP669" s="2">
        <v>11</v>
      </c>
      <c r="AQ669" s="2" t="s">
        <v>82</v>
      </c>
      <c r="AR669" s="2"/>
      <c r="AS669" s="2"/>
      <c r="AT669" s="2" t="s">
        <v>2762</v>
      </c>
      <c r="AU669" s="2"/>
      <c r="AV669" s="2"/>
      <c r="AW669" s="2"/>
      <c r="AX669" s="2"/>
      <c r="AY669" s="2">
        <v>41</v>
      </c>
      <c r="AZ669" s="2" t="s">
        <v>82</v>
      </c>
      <c r="BA669" s="2">
        <v>41</v>
      </c>
      <c r="BB669" s="2" t="s">
        <v>82</v>
      </c>
      <c r="BC669" s="2">
        <v>41</v>
      </c>
      <c r="BD669" s="2" t="s">
        <v>82</v>
      </c>
      <c r="BE669" s="2">
        <v>41</v>
      </c>
      <c r="BF669" s="2" t="s">
        <v>82</v>
      </c>
      <c r="BG669" s="2">
        <v>4155</v>
      </c>
      <c r="BH669" s="4">
        <v>0.73611111111111116</v>
      </c>
      <c r="BI669" s="4">
        <v>0.76388888888888884</v>
      </c>
      <c r="BJ669" s="2">
        <v>13</v>
      </c>
      <c r="BK669" s="2" t="s">
        <v>91</v>
      </c>
      <c r="BL669" s="2" t="s">
        <v>744</v>
      </c>
      <c r="BM669" s="2">
        <v>13</v>
      </c>
      <c r="BN669" s="2" t="s">
        <v>91</v>
      </c>
      <c r="BO669" s="2" t="s">
        <v>82</v>
      </c>
      <c r="BP669" s="2">
        <v>13</v>
      </c>
      <c r="BQ669" s="2" t="s">
        <v>91</v>
      </c>
      <c r="BR669" s="2" t="s">
        <v>185</v>
      </c>
      <c r="BS669" s="3">
        <v>40232</v>
      </c>
      <c r="BT669" s="4">
        <v>0.89827546296296301</v>
      </c>
    </row>
    <row r="670" spans="1:72" x14ac:dyDescent="0.25">
      <c r="A670" s="2">
        <v>1057</v>
      </c>
      <c r="B670" s="2">
        <v>2010</v>
      </c>
      <c r="C670" s="2" t="s">
        <v>594</v>
      </c>
      <c r="D670" s="2" t="s">
        <v>122</v>
      </c>
      <c r="E670" s="2"/>
      <c r="F670" s="2">
        <v>1</v>
      </c>
      <c r="G670" s="2" t="s">
        <v>82</v>
      </c>
      <c r="H670" s="2">
        <v>1</v>
      </c>
      <c r="I670" s="2" t="s">
        <v>82</v>
      </c>
      <c r="J670" s="2">
        <v>1</v>
      </c>
      <c r="K670" s="2" t="s">
        <v>107</v>
      </c>
      <c r="L670" s="2" t="s">
        <v>107</v>
      </c>
      <c r="M670" s="3">
        <v>40232</v>
      </c>
      <c r="N670" s="2"/>
      <c r="O670" s="2"/>
      <c r="P670" s="2"/>
      <c r="Q670" s="2" t="str">
        <f>""</f>
        <v/>
      </c>
      <c r="R670" s="2"/>
      <c r="S670" s="2"/>
      <c r="T670" s="2">
        <v>1</v>
      </c>
      <c r="U670" s="2" t="s">
        <v>79</v>
      </c>
      <c r="V670" s="2">
        <v>1</v>
      </c>
      <c r="W670" s="2" t="s">
        <v>80</v>
      </c>
      <c r="X670" s="2">
        <v>1</v>
      </c>
      <c r="Y670" s="2" t="s">
        <v>81</v>
      </c>
      <c r="Z670" s="2">
        <v>1</v>
      </c>
      <c r="AA670" s="2" t="s">
        <v>82</v>
      </c>
      <c r="AB670" s="2">
        <v>9</v>
      </c>
      <c r="AC670" s="2" t="s">
        <v>124</v>
      </c>
      <c r="AD670" s="3">
        <v>40232</v>
      </c>
      <c r="AE670" s="4">
        <v>0.89930555555555547</v>
      </c>
      <c r="AF670" s="2"/>
      <c r="AG670" s="2"/>
      <c r="AH670" s="2">
        <v>6</v>
      </c>
      <c r="AI670" s="2" t="s">
        <v>197</v>
      </c>
      <c r="AJ670" s="2">
        <v>54</v>
      </c>
      <c r="AK670" s="2" t="s">
        <v>348</v>
      </c>
      <c r="AL670" s="2">
        <v>18</v>
      </c>
      <c r="AM670" s="2" t="s">
        <v>82</v>
      </c>
      <c r="AN670" s="2" t="s">
        <v>595</v>
      </c>
      <c r="AO670" s="2" t="s">
        <v>200</v>
      </c>
      <c r="AP670" s="2">
        <v>12</v>
      </c>
      <c r="AQ670" s="2" t="s">
        <v>322</v>
      </c>
      <c r="AR670" s="2" t="s">
        <v>596</v>
      </c>
      <c r="AS670" s="2" t="s">
        <v>596</v>
      </c>
      <c r="AT670" s="2" t="s">
        <v>2763</v>
      </c>
      <c r="AU670" s="2"/>
      <c r="AV670" s="2"/>
      <c r="AW670" s="2"/>
      <c r="AX670" s="2"/>
      <c r="AY670" s="2">
        <v>1</v>
      </c>
      <c r="AZ670" s="2" t="s">
        <v>107</v>
      </c>
      <c r="BA670" s="2">
        <v>1</v>
      </c>
      <c r="BB670" s="2" t="s">
        <v>107</v>
      </c>
      <c r="BC670" s="2">
        <v>1</v>
      </c>
      <c r="BD670" s="2" t="s">
        <v>107</v>
      </c>
      <c r="BE670" s="2">
        <v>47</v>
      </c>
      <c r="BF670" s="2" t="s">
        <v>167</v>
      </c>
      <c r="BG670" s="2" t="s">
        <v>1165</v>
      </c>
      <c r="BH670" s="4">
        <v>0.86805555555555547</v>
      </c>
      <c r="BI670" s="4">
        <v>0.89930555555555547</v>
      </c>
      <c r="BJ670" s="2">
        <v>13</v>
      </c>
      <c r="BK670" s="2" t="s">
        <v>91</v>
      </c>
      <c r="BL670" s="2" t="s">
        <v>2764</v>
      </c>
      <c r="BM670" s="2">
        <v>242</v>
      </c>
      <c r="BN670" s="2" t="s">
        <v>107</v>
      </c>
      <c r="BO670" s="2"/>
      <c r="BP670" s="2">
        <v>13</v>
      </c>
      <c r="BQ670" s="2" t="s">
        <v>91</v>
      </c>
      <c r="BR670" s="2" t="s">
        <v>2168</v>
      </c>
      <c r="BS670" s="3">
        <v>40232</v>
      </c>
      <c r="BT670" s="4">
        <v>0.91068287037037043</v>
      </c>
    </row>
    <row r="671" spans="1:72" x14ac:dyDescent="0.25">
      <c r="A671" s="2">
        <v>1058</v>
      </c>
      <c r="B671" s="2">
        <v>2010</v>
      </c>
      <c r="C671" s="2" t="s">
        <v>549</v>
      </c>
      <c r="D671" s="2" t="s">
        <v>73</v>
      </c>
      <c r="E671" s="2"/>
      <c r="F671" s="2">
        <v>493</v>
      </c>
      <c r="G671" s="2" t="s">
        <v>1862</v>
      </c>
      <c r="H671" s="2">
        <v>53</v>
      </c>
      <c r="I671" s="2" t="s">
        <v>1863</v>
      </c>
      <c r="J671" s="2">
        <v>179</v>
      </c>
      <c r="K671" s="2" t="s">
        <v>1864</v>
      </c>
      <c r="L671" s="2" t="s">
        <v>1865</v>
      </c>
      <c r="M671" s="3">
        <v>40233</v>
      </c>
      <c r="N671" s="2" t="s">
        <v>2545</v>
      </c>
      <c r="O671" s="2" t="s">
        <v>107</v>
      </c>
      <c r="P671" s="2" t="s">
        <v>107</v>
      </c>
      <c r="Q671" s="2" t="str">
        <f>"067-A/10"</f>
        <v>067-A/10</v>
      </c>
      <c r="R671" s="2" t="s">
        <v>107</v>
      </c>
      <c r="S671" s="2" t="s">
        <v>1044</v>
      </c>
      <c r="T671" s="2">
        <v>1</v>
      </c>
      <c r="U671" s="2" t="s">
        <v>79</v>
      </c>
      <c r="V671" s="2">
        <v>1</v>
      </c>
      <c r="W671" s="2" t="s">
        <v>80</v>
      </c>
      <c r="X671" s="2">
        <v>1</v>
      </c>
      <c r="Y671" s="2" t="s">
        <v>81</v>
      </c>
      <c r="Z671" s="2">
        <v>1</v>
      </c>
      <c r="AA671" s="2" t="s">
        <v>82</v>
      </c>
      <c r="AB671" s="2">
        <v>9</v>
      </c>
      <c r="AC671" s="2" t="s">
        <v>124</v>
      </c>
      <c r="AD671" s="3">
        <v>40233</v>
      </c>
      <c r="AE671" s="4">
        <v>3.125E-2</v>
      </c>
      <c r="AF671" s="3">
        <v>40233</v>
      </c>
      <c r="AG671" s="4">
        <v>7.2916666666666671E-2</v>
      </c>
      <c r="AH671" s="2">
        <v>2</v>
      </c>
      <c r="AI671" s="2" t="s">
        <v>84</v>
      </c>
      <c r="AJ671" s="2">
        <v>12</v>
      </c>
      <c r="AK671" s="2" t="s">
        <v>85</v>
      </c>
      <c r="AL671" s="2">
        <v>12</v>
      </c>
      <c r="AM671" s="2" t="s">
        <v>86</v>
      </c>
      <c r="AN671" s="2" t="s">
        <v>2765</v>
      </c>
      <c r="AO671" s="2" t="s">
        <v>2766</v>
      </c>
      <c r="AP671" s="2">
        <v>11</v>
      </c>
      <c r="AQ671" s="2" t="s">
        <v>82</v>
      </c>
      <c r="AR671" s="2"/>
      <c r="AS671" s="2"/>
      <c r="AT671" s="2" t="s">
        <v>2767</v>
      </c>
      <c r="AU671" s="2"/>
      <c r="AV671" s="2"/>
      <c r="AW671" s="2"/>
      <c r="AX671" s="2"/>
      <c r="AY671" s="2">
        <v>41</v>
      </c>
      <c r="AZ671" s="2" t="s">
        <v>82</v>
      </c>
      <c r="BA671" s="2">
        <v>41</v>
      </c>
      <c r="BB671" s="2" t="s">
        <v>82</v>
      </c>
      <c r="BC671" s="2">
        <v>41</v>
      </c>
      <c r="BD671" s="2" t="s">
        <v>82</v>
      </c>
      <c r="BE671" s="2">
        <v>41</v>
      </c>
      <c r="BF671" s="2" t="s">
        <v>82</v>
      </c>
      <c r="BG671" s="2" t="s">
        <v>107</v>
      </c>
      <c r="BH671" s="2"/>
      <c r="BI671" s="2"/>
      <c r="BJ671" s="2">
        <v>241</v>
      </c>
      <c r="BK671" s="2" t="s">
        <v>82</v>
      </c>
      <c r="BL671" s="2"/>
      <c r="BM671" s="2">
        <v>241</v>
      </c>
      <c r="BN671" s="2" t="s">
        <v>82</v>
      </c>
      <c r="BO671" s="2"/>
      <c r="BP671" s="2">
        <v>241</v>
      </c>
      <c r="BQ671" s="2" t="s">
        <v>82</v>
      </c>
      <c r="BR671" s="2"/>
      <c r="BS671" s="3">
        <v>40233</v>
      </c>
      <c r="BT671" s="4">
        <v>0.11634259259259259</v>
      </c>
    </row>
    <row r="672" spans="1:72" x14ac:dyDescent="0.25">
      <c r="A672" s="2">
        <v>1059</v>
      </c>
      <c r="B672" s="2">
        <v>2010</v>
      </c>
      <c r="C672" s="2" t="s">
        <v>594</v>
      </c>
      <c r="D672" s="2" t="s">
        <v>122</v>
      </c>
      <c r="E672" s="2"/>
      <c r="F672" s="2">
        <v>1</v>
      </c>
      <c r="G672" s="2" t="s">
        <v>82</v>
      </c>
      <c r="H672" s="2">
        <v>1</v>
      </c>
      <c r="I672" s="2" t="s">
        <v>82</v>
      </c>
      <c r="J672" s="2">
        <v>1</v>
      </c>
      <c r="K672" s="2" t="s">
        <v>107</v>
      </c>
      <c r="L672" s="2" t="s">
        <v>107</v>
      </c>
      <c r="M672" s="3">
        <v>40233</v>
      </c>
      <c r="N672" s="2"/>
      <c r="O672" s="2"/>
      <c r="P672" s="2"/>
      <c r="Q672" s="2" t="str">
        <f>""</f>
        <v/>
      </c>
      <c r="R672" s="2"/>
      <c r="S672" s="2"/>
      <c r="T672" s="2">
        <v>1</v>
      </c>
      <c r="U672" s="2" t="s">
        <v>79</v>
      </c>
      <c r="V672" s="2">
        <v>1</v>
      </c>
      <c r="W672" s="2" t="s">
        <v>80</v>
      </c>
      <c r="X672" s="2">
        <v>1</v>
      </c>
      <c r="Y672" s="2" t="s">
        <v>81</v>
      </c>
      <c r="Z672" s="2">
        <v>1</v>
      </c>
      <c r="AA672" s="2" t="s">
        <v>82</v>
      </c>
      <c r="AB672" s="2">
        <v>9</v>
      </c>
      <c r="AC672" s="2" t="s">
        <v>124</v>
      </c>
      <c r="AD672" s="3">
        <v>40233</v>
      </c>
      <c r="AE672" s="4">
        <v>0.29166666666666669</v>
      </c>
      <c r="AF672" s="2"/>
      <c r="AG672" s="2"/>
      <c r="AH672" s="2">
        <v>6</v>
      </c>
      <c r="AI672" s="2" t="s">
        <v>197</v>
      </c>
      <c r="AJ672" s="2">
        <v>54</v>
      </c>
      <c r="AK672" s="2" t="s">
        <v>348</v>
      </c>
      <c r="AL672" s="2">
        <v>18</v>
      </c>
      <c r="AM672" s="2" t="s">
        <v>82</v>
      </c>
      <c r="AN672" s="2" t="s">
        <v>595</v>
      </c>
      <c r="AO672" s="2" t="s">
        <v>200</v>
      </c>
      <c r="AP672" s="2">
        <v>12</v>
      </c>
      <c r="AQ672" s="2" t="s">
        <v>322</v>
      </c>
      <c r="AR672" s="2" t="s">
        <v>596</v>
      </c>
      <c r="AS672" s="2" t="s">
        <v>596</v>
      </c>
      <c r="AT672" s="2" t="s">
        <v>2768</v>
      </c>
      <c r="AU672" s="2"/>
      <c r="AV672" s="2"/>
      <c r="AW672" s="2"/>
      <c r="AX672" s="2"/>
      <c r="AY672" s="2">
        <v>1</v>
      </c>
      <c r="AZ672" s="2" t="s">
        <v>107</v>
      </c>
      <c r="BA672" s="2">
        <v>1</v>
      </c>
      <c r="BB672" s="2" t="s">
        <v>107</v>
      </c>
      <c r="BC672" s="2">
        <v>1</v>
      </c>
      <c r="BD672" s="2" t="s">
        <v>107</v>
      </c>
      <c r="BE672" s="2">
        <v>13</v>
      </c>
      <c r="BF672" s="2" t="s">
        <v>108</v>
      </c>
      <c r="BG672" s="2" t="s">
        <v>846</v>
      </c>
      <c r="BH672" s="2"/>
      <c r="BI672" s="4">
        <v>0.29166666666666669</v>
      </c>
      <c r="BJ672" s="2">
        <v>13</v>
      </c>
      <c r="BK672" s="2" t="s">
        <v>91</v>
      </c>
      <c r="BL672" s="2" t="s">
        <v>2769</v>
      </c>
      <c r="BM672" s="2">
        <v>242</v>
      </c>
      <c r="BN672" s="2" t="s">
        <v>107</v>
      </c>
      <c r="BO672" s="2"/>
      <c r="BP672" s="2">
        <v>13</v>
      </c>
      <c r="BQ672" s="2" t="s">
        <v>91</v>
      </c>
      <c r="BR672" s="2" t="s">
        <v>2770</v>
      </c>
      <c r="BS672" s="3">
        <v>40233</v>
      </c>
      <c r="BT672" s="4">
        <v>0.30903935185185188</v>
      </c>
    </row>
    <row r="673" spans="1:72" x14ac:dyDescent="0.25">
      <c r="A673" s="2">
        <v>1060</v>
      </c>
      <c r="B673" s="2">
        <v>2010</v>
      </c>
      <c r="C673" s="2" t="s">
        <v>72</v>
      </c>
      <c r="D673" s="2" t="s">
        <v>73</v>
      </c>
      <c r="E673" s="2"/>
      <c r="F673" s="2">
        <v>180</v>
      </c>
      <c r="G673" s="2" t="s">
        <v>2553</v>
      </c>
      <c r="H673" s="2">
        <v>58</v>
      </c>
      <c r="I673" s="2" t="s">
        <v>2554</v>
      </c>
      <c r="J673" s="2">
        <v>429</v>
      </c>
      <c r="K673" s="2" t="s">
        <v>2555</v>
      </c>
      <c r="L673" s="2" t="s">
        <v>2556</v>
      </c>
      <c r="M673" s="3">
        <v>40233</v>
      </c>
      <c r="N673" s="2" t="s">
        <v>2561</v>
      </c>
      <c r="O673" s="2" t="s">
        <v>107</v>
      </c>
      <c r="P673" s="2" t="s">
        <v>107</v>
      </c>
      <c r="Q673" s="2" t="str">
        <f>"68-A/10"</f>
        <v>68-A/10</v>
      </c>
      <c r="R673" s="2" t="s">
        <v>2749</v>
      </c>
      <c r="S673" s="2" t="s">
        <v>2749</v>
      </c>
      <c r="T673" s="2">
        <v>1</v>
      </c>
      <c r="U673" s="2" t="s">
        <v>79</v>
      </c>
      <c r="V673" s="2">
        <v>1</v>
      </c>
      <c r="W673" s="2" t="s">
        <v>80</v>
      </c>
      <c r="X673" s="2">
        <v>1</v>
      </c>
      <c r="Y673" s="2" t="s">
        <v>81</v>
      </c>
      <c r="Z673" s="2">
        <v>1</v>
      </c>
      <c r="AA673" s="2" t="s">
        <v>82</v>
      </c>
      <c r="AB673" s="2">
        <v>6</v>
      </c>
      <c r="AC673" s="2" t="s">
        <v>83</v>
      </c>
      <c r="AD673" s="3">
        <v>40233</v>
      </c>
      <c r="AE673" s="4">
        <v>0.33680555555555558</v>
      </c>
      <c r="AF673" s="3">
        <v>40233</v>
      </c>
      <c r="AG673" s="4">
        <v>0.36805555555555558</v>
      </c>
      <c r="AH673" s="2">
        <v>2</v>
      </c>
      <c r="AI673" s="2" t="s">
        <v>84</v>
      </c>
      <c r="AJ673" s="2">
        <v>12</v>
      </c>
      <c r="AK673" s="2" t="s">
        <v>85</v>
      </c>
      <c r="AL673" s="2">
        <v>10</v>
      </c>
      <c r="AM673" s="2" t="s">
        <v>200</v>
      </c>
      <c r="AN673" s="2" t="s">
        <v>107</v>
      </c>
      <c r="AO673" s="2" t="s">
        <v>2771</v>
      </c>
      <c r="AP673" s="2">
        <v>11</v>
      </c>
      <c r="AQ673" s="2" t="s">
        <v>82</v>
      </c>
      <c r="AR673" s="2" t="s">
        <v>82</v>
      </c>
      <c r="AS673" s="2" t="s">
        <v>82</v>
      </c>
      <c r="AT673" s="2" t="s">
        <v>2772</v>
      </c>
      <c r="AU673" s="2"/>
      <c r="AV673" s="2"/>
      <c r="AW673" s="2"/>
      <c r="AX673" s="2"/>
      <c r="AY673" s="2">
        <v>41</v>
      </c>
      <c r="AZ673" s="2" t="s">
        <v>82</v>
      </c>
      <c r="BA673" s="2">
        <v>41</v>
      </c>
      <c r="BB673" s="2" t="s">
        <v>82</v>
      </c>
      <c r="BC673" s="2">
        <v>41</v>
      </c>
      <c r="BD673" s="2" t="s">
        <v>82</v>
      </c>
      <c r="BE673" s="2">
        <v>47</v>
      </c>
      <c r="BF673" s="2" t="s">
        <v>167</v>
      </c>
      <c r="BG673" s="2" t="s">
        <v>2773</v>
      </c>
      <c r="BH673" s="4">
        <v>0.33680555555555558</v>
      </c>
      <c r="BI673" s="2"/>
      <c r="BJ673" s="2">
        <v>13</v>
      </c>
      <c r="BK673" s="2" t="s">
        <v>91</v>
      </c>
      <c r="BL673" s="2" t="s">
        <v>241</v>
      </c>
      <c r="BM673" s="2">
        <v>241</v>
      </c>
      <c r="BN673" s="2" t="s">
        <v>82</v>
      </c>
      <c r="BO673" s="2" t="s">
        <v>82</v>
      </c>
      <c r="BP673" s="2">
        <v>241</v>
      </c>
      <c r="BQ673" s="2" t="s">
        <v>82</v>
      </c>
      <c r="BR673" s="2" t="s">
        <v>185</v>
      </c>
      <c r="BS673" s="3">
        <v>40233</v>
      </c>
      <c r="BT673" s="4">
        <v>0.42717592592592596</v>
      </c>
    </row>
    <row r="674" spans="1:72" x14ac:dyDescent="0.25">
      <c r="A674" s="2">
        <v>1061</v>
      </c>
      <c r="B674" s="2">
        <v>2010</v>
      </c>
      <c r="C674" s="2" t="s">
        <v>594</v>
      </c>
      <c r="D674" s="2" t="s">
        <v>122</v>
      </c>
      <c r="E674" s="2"/>
      <c r="F674" s="2">
        <v>1</v>
      </c>
      <c r="G674" s="2" t="s">
        <v>82</v>
      </c>
      <c r="H674" s="2">
        <v>1</v>
      </c>
      <c r="I674" s="2" t="s">
        <v>82</v>
      </c>
      <c r="J674" s="2">
        <v>1</v>
      </c>
      <c r="K674" s="2" t="s">
        <v>107</v>
      </c>
      <c r="L674" s="2" t="s">
        <v>107</v>
      </c>
      <c r="M674" s="3">
        <v>40233</v>
      </c>
      <c r="N674" s="2"/>
      <c r="O674" s="2"/>
      <c r="P674" s="2"/>
      <c r="Q674" s="2" t="str">
        <f>""</f>
        <v/>
      </c>
      <c r="R674" s="2"/>
      <c r="S674" s="2"/>
      <c r="T674" s="2">
        <v>1</v>
      </c>
      <c r="U674" s="2" t="s">
        <v>79</v>
      </c>
      <c r="V674" s="2">
        <v>1</v>
      </c>
      <c r="W674" s="2" t="s">
        <v>80</v>
      </c>
      <c r="X674" s="2">
        <v>1</v>
      </c>
      <c r="Y674" s="2" t="s">
        <v>81</v>
      </c>
      <c r="Z674" s="2">
        <v>1</v>
      </c>
      <c r="AA674" s="2" t="s">
        <v>82</v>
      </c>
      <c r="AB674" s="2">
        <v>9</v>
      </c>
      <c r="AC674" s="2" t="s">
        <v>124</v>
      </c>
      <c r="AD674" s="3">
        <v>40233</v>
      </c>
      <c r="AE674" s="4">
        <v>0.40763888888888888</v>
      </c>
      <c r="AF674" s="2"/>
      <c r="AG674" s="2"/>
      <c r="AH674" s="2">
        <v>6</v>
      </c>
      <c r="AI674" s="2" t="s">
        <v>197</v>
      </c>
      <c r="AJ674" s="2">
        <v>54</v>
      </c>
      <c r="AK674" s="2" t="s">
        <v>348</v>
      </c>
      <c r="AL674" s="2">
        <v>18</v>
      </c>
      <c r="AM674" s="2" t="s">
        <v>82</v>
      </c>
      <c r="AN674" s="2" t="s">
        <v>595</v>
      </c>
      <c r="AO674" s="2" t="s">
        <v>200</v>
      </c>
      <c r="AP674" s="2">
        <v>12</v>
      </c>
      <c r="AQ674" s="2" t="s">
        <v>322</v>
      </c>
      <c r="AR674" s="2" t="s">
        <v>596</v>
      </c>
      <c r="AS674" s="2" t="s">
        <v>596</v>
      </c>
      <c r="AT674" s="2" t="s">
        <v>2774</v>
      </c>
      <c r="AU674" s="2"/>
      <c r="AV674" s="2"/>
      <c r="AW674" s="2"/>
      <c r="AX674" s="2"/>
      <c r="AY674" s="2">
        <v>1</v>
      </c>
      <c r="AZ674" s="2" t="s">
        <v>107</v>
      </c>
      <c r="BA674" s="2">
        <v>1</v>
      </c>
      <c r="BB674" s="2" t="s">
        <v>107</v>
      </c>
      <c r="BC674" s="2">
        <v>1</v>
      </c>
      <c r="BD674" s="2" t="s">
        <v>107</v>
      </c>
      <c r="BE674" s="2">
        <v>47</v>
      </c>
      <c r="BF674" s="2" t="s">
        <v>167</v>
      </c>
      <c r="BG674" s="2" t="s">
        <v>848</v>
      </c>
      <c r="BH674" s="4">
        <v>0.36805555555555558</v>
      </c>
      <c r="BI674" s="4">
        <v>0.40763888888888888</v>
      </c>
      <c r="BJ674" s="2">
        <v>13</v>
      </c>
      <c r="BK674" s="2" t="s">
        <v>91</v>
      </c>
      <c r="BL674" s="2" t="s">
        <v>2769</v>
      </c>
      <c r="BM674" s="2">
        <v>242</v>
      </c>
      <c r="BN674" s="2" t="s">
        <v>107</v>
      </c>
      <c r="BO674" s="2"/>
      <c r="BP674" s="2">
        <v>13</v>
      </c>
      <c r="BQ674" s="2" t="s">
        <v>91</v>
      </c>
      <c r="BR674" s="2" t="s">
        <v>2775</v>
      </c>
      <c r="BS674" s="3">
        <v>40233</v>
      </c>
      <c r="BT674" s="4">
        <v>0.42871527777777779</v>
      </c>
    </row>
    <row r="675" spans="1:72" x14ac:dyDescent="0.25">
      <c r="A675" s="2">
        <v>1062</v>
      </c>
      <c r="B675" s="2">
        <v>2010</v>
      </c>
      <c r="C675" s="2" t="s">
        <v>1559</v>
      </c>
      <c r="D675" s="2" t="s">
        <v>73</v>
      </c>
      <c r="E675" s="2"/>
      <c r="F675" s="2">
        <v>125</v>
      </c>
      <c r="G675" s="2" t="s">
        <v>1483</v>
      </c>
      <c r="H675" s="2">
        <v>1</v>
      </c>
      <c r="I675" s="2" t="s">
        <v>82</v>
      </c>
      <c r="J675" s="2">
        <v>390</v>
      </c>
      <c r="K675" s="2" t="s">
        <v>1560</v>
      </c>
      <c r="L675" s="2" t="s">
        <v>1561</v>
      </c>
      <c r="M675" s="3">
        <v>40233</v>
      </c>
      <c r="N675" s="2" t="s">
        <v>2776</v>
      </c>
      <c r="O675" s="2" t="s">
        <v>2777</v>
      </c>
      <c r="P675" s="2" t="s">
        <v>2174</v>
      </c>
      <c r="Q675" s="2" t="str">
        <f>""</f>
        <v/>
      </c>
      <c r="R675" s="2"/>
      <c r="S675" s="2"/>
      <c r="T675" s="2">
        <v>1</v>
      </c>
      <c r="U675" s="2" t="s">
        <v>79</v>
      </c>
      <c r="V675" s="2">
        <v>3</v>
      </c>
      <c r="W675" s="2" t="s">
        <v>225</v>
      </c>
      <c r="X675" s="2">
        <v>2</v>
      </c>
      <c r="Y675" s="2" t="s">
        <v>136</v>
      </c>
      <c r="Z675" s="2">
        <v>1</v>
      </c>
      <c r="AA675" s="2" t="s">
        <v>82</v>
      </c>
      <c r="AB675" s="2">
        <v>9</v>
      </c>
      <c r="AC675" s="2" t="s">
        <v>124</v>
      </c>
      <c r="AD675" s="2"/>
      <c r="AE675" s="2"/>
      <c r="AF675" s="2"/>
      <c r="AG675" s="2"/>
      <c r="AH675" s="2">
        <v>6</v>
      </c>
      <c r="AI675" s="2" t="s">
        <v>197</v>
      </c>
      <c r="AJ675" s="2">
        <v>47</v>
      </c>
      <c r="AK675" s="2" t="s">
        <v>250</v>
      </c>
      <c r="AL675" s="2">
        <v>23</v>
      </c>
      <c r="AM675" s="2" t="s">
        <v>251</v>
      </c>
      <c r="AN675" s="2"/>
      <c r="AO675" s="2"/>
      <c r="AP675" s="2">
        <v>11</v>
      </c>
      <c r="AQ675" s="2" t="s">
        <v>82</v>
      </c>
      <c r="AR675" s="2"/>
      <c r="AS675" s="2"/>
      <c r="AT675" s="2" t="s">
        <v>2778</v>
      </c>
      <c r="AU675" s="2"/>
      <c r="AV675" s="2"/>
      <c r="AW675" s="2"/>
      <c r="AX675" s="2"/>
      <c r="AY675" s="2">
        <v>41</v>
      </c>
      <c r="AZ675" s="2" t="s">
        <v>82</v>
      </c>
      <c r="BA675" s="2">
        <v>41</v>
      </c>
      <c r="BB675" s="2" t="s">
        <v>82</v>
      </c>
      <c r="BC675" s="2">
        <v>41</v>
      </c>
      <c r="BD675" s="2" t="s">
        <v>82</v>
      </c>
      <c r="BE675" s="2">
        <v>41</v>
      </c>
      <c r="BF675" s="2" t="s">
        <v>82</v>
      </c>
      <c r="BG675" s="2"/>
      <c r="BH675" s="2"/>
      <c r="BI675" s="2"/>
      <c r="BJ675" s="2">
        <v>241</v>
      </c>
      <c r="BK675" s="2" t="s">
        <v>82</v>
      </c>
      <c r="BL675" s="2"/>
      <c r="BM675" s="2">
        <v>241</v>
      </c>
      <c r="BN675" s="2" t="s">
        <v>82</v>
      </c>
      <c r="BO675" s="2"/>
      <c r="BP675" s="2">
        <v>241</v>
      </c>
      <c r="BQ675" s="2" t="s">
        <v>82</v>
      </c>
      <c r="BR675" s="2"/>
      <c r="BS675" s="3">
        <v>40233</v>
      </c>
      <c r="BT675" s="4">
        <v>0.43732638888888892</v>
      </c>
    </row>
    <row r="676" spans="1:72" x14ac:dyDescent="0.25">
      <c r="A676" s="2">
        <v>1063</v>
      </c>
      <c r="B676" s="2">
        <v>2010</v>
      </c>
      <c r="C676" s="2" t="s">
        <v>72</v>
      </c>
      <c r="D676" s="2" t="s">
        <v>73</v>
      </c>
      <c r="E676" s="2"/>
      <c r="F676" s="2">
        <v>389</v>
      </c>
      <c r="G676" s="2" t="s">
        <v>1819</v>
      </c>
      <c r="H676" s="2">
        <v>4</v>
      </c>
      <c r="I676" s="2" t="s">
        <v>173</v>
      </c>
      <c r="J676" s="2">
        <v>399</v>
      </c>
      <c r="K676" s="2" t="s">
        <v>1820</v>
      </c>
      <c r="L676" s="2" t="s">
        <v>1821</v>
      </c>
      <c r="M676" s="3">
        <v>40233</v>
      </c>
      <c r="N676" s="2" t="s">
        <v>2549</v>
      </c>
      <c r="O676" s="2" t="s">
        <v>107</v>
      </c>
      <c r="P676" s="2" t="s">
        <v>107</v>
      </c>
      <c r="Q676" s="2" t="str">
        <f>"110-E/10"</f>
        <v>110-E/10</v>
      </c>
      <c r="R676" s="2" t="s">
        <v>107</v>
      </c>
      <c r="S676" s="2" t="s">
        <v>1847</v>
      </c>
      <c r="T676" s="2">
        <v>1</v>
      </c>
      <c r="U676" s="2" t="s">
        <v>79</v>
      </c>
      <c r="V676" s="2">
        <v>1</v>
      </c>
      <c r="W676" s="2" t="s">
        <v>80</v>
      </c>
      <c r="X676" s="2">
        <v>1</v>
      </c>
      <c r="Y676" s="2" t="s">
        <v>81</v>
      </c>
      <c r="Z676" s="2">
        <v>1</v>
      </c>
      <c r="AA676" s="2" t="s">
        <v>82</v>
      </c>
      <c r="AB676" s="2">
        <v>6</v>
      </c>
      <c r="AC676" s="2" t="s">
        <v>83</v>
      </c>
      <c r="AD676" s="3">
        <v>40223</v>
      </c>
      <c r="AE676" s="4">
        <v>0.91666666666666663</v>
      </c>
      <c r="AF676" s="3">
        <v>40232</v>
      </c>
      <c r="AG676" s="4">
        <v>0.875</v>
      </c>
      <c r="AH676" s="2">
        <v>2</v>
      </c>
      <c r="AI676" s="2" t="s">
        <v>84</v>
      </c>
      <c r="AJ676" s="2">
        <v>9</v>
      </c>
      <c r="AK676" s="2" t="s">
        <v>103</v>
      </c>
      <c r="AL676" s="2">
        <v>2</v>
      </c>
      <c r="AM676" s="2" t="s">
        <v>163</v>
      </c>
      <c r="AN676" s="2" t="s">
        <v>2779</v>
      </c>
      <c r="AO676" s="2" t="s">
        <v>2780</v>
      </c>
      <c r="AP676" s="2">
        <v>11</v>
      </c>
      <c r="AQ676" s="2" t="s">
        <v>82</v>
      </c>
      <c r="AR676" s="2"/>
      <c r="AS676" s="2"/>
      <c r="AT676" s="2" t="s">
        <v>2781</v>
      </c>
      <c r="AU676" s="2"/>
      <c r="AV676" s="2"/>
      <c r="AW676" s="2"/>
      <c r="AX676" s="2"/>
      <c r="AY676" s="2">
        <v>41</v>
      </c>
      <c r="AZ676" s="2" t="s">
        <v>82</v>
      </c>
      <c r="BA676" s="2">
        <v>41</v>
      </c>
      <c r="BB676" s="2" t="s">
        <v>82</v>
      </c>
      <c r="BC676" s="2">
        <v>41</v>
      </c>
      <c r="BD676" s="2" t="s">
        <v>82</v>
      </c>
      <c r="BE676" s="2">
        <v>6</v>
      </c>
      <c r="BF676" s="2" t="s">
        <v>616</v>
      </c>
      <c r="BG676" s="2" t="s">
        <v>2782</v>
      </c>
      <c r="BH676" s="4">
        <v>0.875</v>
      </c>
      <c r="BI676" s="2"/>
      <c r="BJ676" s="2">
        <v>4</v>
      </c>
      <c r="BK676" s="2" t="s">
        <v>618</v>
      </c>
      <c r="BL676" s="2" t="s">
        <v>619</v>
      </c>
      <c r="BM676" s="2">
        <v>241</v>
      </c>
      <c r="BN676" s="2" t="s">
        <v>82</v>
      </c>
      <c r="BO676" s="2"/>
      <c r="BP676" s="2">
        <v>13</v>
      </c>
      <c r="BQ676" s="2" t="s">
        <v>91</v>
      </c>
      <c r="BR676" s="2" t="s">
        <v>360</v>
      </c>
      <c r="BS676" s="3">
        <v>40233</v>
      </c>
      <c r="BT676" s="4">
        <v>0.48202546296296295</v>
      </c>
    </row>
    <row r="677" spans="1:72" x14ac:dyDescent="0.25">
      <c r="A677" s="2">
        <v>1064</v>
      </c>
      <c r="B677" s="2">
        <v>2010</v>
      </c>
      <c r="C677" s="2" t="s">
        <v>147</v>
      </c>
      <c r="D677" s="2" t="s">
        <v>73</v>
      </c>
      <c r="E677" s="2"/>
      <c r="F677" s="2">
        <v>1</v>
      </c>
      <c r="G677" s="2" t="s">
        <v>82</v>
      </c>
      <c r="H677" s="2">
        <v>1</v>
      </c>
      <c r="I677" s="2" t="s">
        <v>82</v>
      </c>
      <c r="J677" s="2">
        <v>1</v>
      </c>
      <c r="K677" s="2" t="s">
        <v>107</v>
      </c>
      <c r="L677" s="2" t="s">
        <v>107</v>
      </c>
      <c r="M677" s="3">
        <v>40233</v>
      </c>
      <c r="N677" s="2"/>
      <c r="O677" s="2"/>
      <c r="P677" s="2"/>
      <c r="Q677" s="2" t="str">
        <f>""</f>
        <v/>
      </c>
      <c r="R677" s="2"/>
      <c r="S677" s="2"/>
      <c r="T677" s="2">
        <v>2</v>
      </c>
      <c r="U677" s="2" t="s">
        <v>123</v>
      </c>
      <c r="V677" s="2">
        <v>1</v>
      </c>
      <c r="W677" s="2" t="s">
        <v>80</v>
      </c>
      <c r="X677" s="2">
        <v>12</v>
      </c>
      <c r="Y677" s="2" t="s">
        <v>148</v>
      </c>
      <c r="Z677" s="2">
        <v>1</v>
      </c>
      <c r="AA677" s="2" t="s">
        <v>82</v>
      </c>
      <c r="AB677" s="2">
        <v>9</v>
      </c>
      <c r="AC677" s="2" t="s">
        <v>124</v>
      </c>
      <c r="AD677" s="3">
        <v>40118</v>
      </c>
      <c r="AE677" s="4">
        <v>0.41666666666666669</v>
      </c>
      <c r="AF677" s="3">
        <v>40233</v>
      </c>
      <c r="AG677" s="4">
        <v>0.47916666666666669</v>
      </c>
      <c r="AH677" s="2">
        <v>2</v>
      </c>
      <c r="AI677" s="2" t="s">
        <v>84</v>
      </c>
      <c r="AJ677" s="2">
        <v>12</v>
      </c>
      <c r="AK677" s="2" t="s">
        <v>85</v>
      </c>
      <c r="AL677" s="2">
        <v>19</v>
      </c>
      <c r="AM677" s="2" t="s">
        <v>107</v>
      </c>
      <c r="AN677" s="2" t="s">
        <v>107</v>
      </c>
      <c r="AO677" s="2" t="s">
        <v>2783</v>
      </c>
      <c r="AP677" s="2">
        <v>11</v>
      </c>
      <c r="AQ677" s="2" t="s">
        <v>82</v>
      </c>
      <c r="AR677" s="2"/>
      <c r="AS677" s="2"/>
      <c r="AT677" s="2" t="s">
        <v>2784</v>
      </c>
      <c r="AU677" s="2"/>
      <c r="AV677" s="2"/>
      <c r="AW677" s="2"/>
      <c r="AX677" s="2"/>
      <c r="AY677" s="2">
        <v>41</v>
      </c>
      <c r="AZ677" s="2" t="s">
        <v>82</v>
      </c>
      <c r="BA677" s="2">
        <v>41</v>
      </c>
      <c r="BB677" s="2" t="s">
        <v>82</v>
      </c>
      <c r="BC677" s="2">
        <v>41</v>
      </c>
      <c r="BD677" s="2" t="s">
        <v>82</v>
      </c>
      <c r="BE677" s="2">
        <v>41</v>
      </c>
      <c r="BF677" s="2" t="s">
        <v>82</v>
      </c>
      <c r="BG677" s="2"/>
      <c r="BH677" s="2"/>
      <c r="BI677" s="2"/>
      <c r="BJ677" s="2">
        <v>241</v>
      </c>
      <c r="BK677" s="2" t="s">
        <v>82</v>
      </c>
      <c r="BL677" s="2"/>
      <c r="BM677" s="2">
        <v>241</v>
      </c>
      <c r="BN677" s="2" t="s">
        <v>82</v>
      </c>
      <c r="BO677" s="2"/>
      <c r="BP677" s="2">
        <v>241</v>
      </c>
      <c r="BQ677" s="2" t="s">
        <v>82</v>
      </c>
      <c r="BR677" s="2"/>
      <c r="BS677" s="3">
        <v>40233</v>
      </c>
      <c r="BT677" s="4">
        <v>0.52604166666666663</v>
      </c>
    </row>
    <row r="678" spans="1:72" x14ac:dyDescent="0.25">
      <c r="A678" s="2">
        <v>1066</v>
      </c>
      <c r="B678" s="2">
        <v>2010</v>
      </c>
      <c r="C678" s="2" t="s">
        <v>457</v>
      </c>
      <c r="D678" s="2" t="s">
        <v>73</v>
      </c>
      <c r="E678" s="2"/>
      <c r="F678" s="2">
        <v>467</v>
      </c>
      <c r="G678" s="2" t="s">
        <v>1053</v>
      </c>
      <c r="H678" s="2">
        <v>42</v>
      </c>
      <c r="I678" s="2" t="s">
        <v>1096</v>
      </c>
      <c r="J678" s="2">
        <v>369</v>
      </c>
      <c r="K678" s="2" t="s">
        <v>1054</v>
      </c>
      <c r="L678" s="2" t="s">
        <v>1055</v>
      </c>
      <c r="M678" s="3">
        <v>40233</v>
      </c>
      <c r="N678" s="2" t="s">
        <v>2785</v>
      </c>
      <c r="O678" s="2" t="s">
        <v>2786</v>
      </c>
      <c r="P678" s="2" t="s">
        <v>2787</v>
      </c>
      <c r="Q678" s="2" t="str">
        <f>""</f>
        <v/>
      </c>
      <c r="R678" s="2"/>
      <c r="S678" s="2"/>
      <c r="T678" s="2">
        <v>1</v>
      </c>
      <c r="U678" s="2" t="s">
        <v>79</v>
      </c>
      <c r="V678" s="2">
        <v>1</v>
      </c>
      <c r="W678" s="2" t="s">
        <v>80</v>
      </c>
      <c r="X678" s="2">
        <v>4</v>
      </c>
      <c r="Y678" s="2" t="s">
        <v>463</v>
      </c>
      <c r="Z678" s="2">
        <v>6</v>
      </c>
      <c r="AA678" s="2" t="s">
        <v>101</v>
      </c>
      <c r="AB678" s="2">
        <v>9</v>
      </c>
      <c r="AC678" s="2" t="s">
        <v>124</v>
      </c>
      <c r="AD678" s="3">
        <v>40233</v>
      </c>
      <c r="AE678" s="4">
        <v>0.51388888888888895</v>
      </c>
      <c r="AF678" s="2"/>
      <c r="AG678" s="2"/>
      <c r="AH678" s="2">
        <v>4</v>
      </c>
      <c r="AI678" s="2" t="s">
        <v>125</v>
      </c>
      <c r="AJ678" s="2">
        <v>29</v>
      </c>
      <c r="AK678" s="2" t="s">
        <v>227</v>
      </c>
      <c r="AL678" s="2">
        <v>11</v>
      </c>
      <c r="AM678" s="2" t="s">
        <v>137</v>
      </c>
      <c r="AN678" s="2" t="s">
        <v>2788</v>
      </c>
      <c r="AO678" s="2"/>
      <c r="AP678" s="2">
        <v>11</v>
      </c>
      <c r="AQ678" s="2" t="s">
        <v>82</v>
      </c>
      <c r="AR678" s="2"/>
      <c r="AS678" s="2"/>
      <c r="AT678" s="2" t="s">
        <v>2789</v>
      </c>
      <c r="AU678" s="2"/>
      <c r="AV678" s="2"/>
      <c r="AW678" s="2"/>
      <c r="AX678" s="2"/>
      <c r="AY678" s="2">
        <v>41</v>
      </c>
      <c r="AZ678" s="2" t="s">
        <v>82</v>
      </c>
      <c r="BA678" s="2">
        <v>41</v>
      </c>
      <c r="BB678" s="2" t="s">
        <v>82</v>
      </c>
      <c r="BC678" s="2">
        <v>19</v>
      </c>
      <c r="BD678" s="2" t="s">
        <v>1061</v>
      </c>
      <c r="BE678" s="2">
        <v>19</v>
      </c>
      <c r="BF678" s="2" t="s">
        <v>1061</v>
      </c>
      <c r="BG678" s="2">
        <v>250</v>
      </c>
      <c r="BH678" s="4">
        <v>0.51874999999999993</v>
      </c>
      <c r="BI678" s="4">
        <v>0.54375000000000007</v>
      </c>
      <c r="BJ678" s="2">
        <v>13</v>
      </c>
      <c r="BK678" s="2" t="s">
        <v>91</v>
      </c>
      <c r="BL678" s="2" t="s">
        <v>828</v>
      </c>
      <c r="BM678" s="2">
        <v>13</v>
      </c>
      <c r="BN678" s="2" t="s">
        <v>91</v>
      </c>
      <c r="BO678" s="2" t="s">
        <v>744</v>
      </c>
      <c r="BP678" s="2">
        <v>29</v>
      </c>
      <c r="BQ678" s="2" t="s">
        <v>962</v>
      </c>
      <c r="BR678" s="2" t="s">
        <v>963</v>
      </c>
      <c r="BS678" s="3">
        <v>40233</v>
      </c>
      <c r="BT678" s="4">
        <v>0.57896990740740739</v>
      </c>
    </row>
    <row r="679" spans="1:72" x14ac:dyDescent="0.25">
      <c r="A679" s="2">
        <v>1067</v>
      </c>
      <c r="B679" s="2">
        <v>2010</v>
      </c>
      <c r="C679" s="2" t="s">
        <v>128</v>
      </c>
      <c r="D679" s="2" t="s">
        <v>122</v>
      </c>
      <c r="E679" s="2"/>
      <c r="F679" s="2">
        <v>1</v>
      </c>
      <c r="G679" s="2" t="s">
        <v>82</v>
      </c>
      <c r="H679" s="2">
        <v>1</v>
      </c>
      <c r="I679" s="2" t="s">
        <v>82</v>
      </c>
      <c r="J679" s="2">
        <v>1</v>
      </c>
      <c r="K679" s="2" t="s">
        <v>107</v>
      </c>
      <c r="L679" s="2" t="s">
        <v>107</v>
      </c>
      <c r="M679" s="3">
        <v>40233</v>
      </c>
      <c r="N679" s="2"/>
      <c r="O679" s="2"/>
      <c r="P679" s="2"/>
      <c r="Q679" s="2" t="str">
        <f>""</f>
        <v/>
      </c>
      <c r="R679" s="2"/>
      <c r="S679" s="2"/>
      <c r="T679" s="2">
        <v>1</v>
      </c>
      <c r="U679" s="2" t="s">
        <v>79</v>
      </c>
      <c r="V679" s="2">
        <v>1</v>
      </c>
      <c r="W679" s="2" t="s">
        <v>80</v>
      </c>
      <c r="X679" s="2">
        <v>4</v>
      </c>
      <c r="Y679" s="2" t="s">
        <v>463</v>
      </c>
      <c r="Z679" s="2">
        <v>4</v>
      </c>
      <c r="AA679" s="2" t="s">
        <v>182</v>
      </c>
      <c r="AB679" s="2">
        <v>9</v>
      </c>
      <c r="AC679" s="2" t="s">
        <v>124</v>
      </c>
      <c r="AD679" s="3">
        <v>40233</v>
      </c>
      <c r="AE679" s="4">
        <v>0.57638888888888895</v>
      </c>
      <c r="AF679" s="2"/>
      <c r="AG679" s="2"/>
      <c r="AH679" s="2">
        <v>4</v>
      </c>
      <c r="AI679" s="2" t="s">
        <v>125</v>
      </c>
      <c r="AJ679" s="2">
        <v>29</v>
      </c>
      <c r="AK679" s="2" t="s">
        <v>227</v>
      </c>
      <c r="AL679" s="2">
        <v>10</v>
      </c>
      <c r="AM679" s="2" t="s">
        <v>200</v>
      </c>
      <c r="AN679" s="2" t="s">
        <v>2790</v>
      </c>
      <c r="AO679" s="2"/>
      <c r="AP679" s="2">
        <v>11</v>
      </c>
      <c r="AQ679" s="2" t="s">
        <v>82</v>
      </c>
      <c r="AR679" s="2"/>
      <c r="AS679" s="2"/>
      <c r="AT679" s="2" t="s">
        <v>2791</v>
      </c>
      <c r="AU679" s="2"/>
      <c r="AV679" s="2"/>
      <c r="AW679" s="2"/>
      <c r="AX679" s="2"/>
      <c r="AY679" s="2">
        <v>41</v>
      </c>
      <c r="AZ679" s="2" t="s">
        <v>82</v>
      </c>
      <c r="BA679" s="2">
        <v>41</v>
      </c>
      <c r="BB679" s="2" t="s">
        <v>82</v>
      </c>
      <c r="BC679" s="2">
        <v>42</v>
      </c>
      <c r="BD679" s="2" t="s">
        <v>182</v>
      </c>
      <c r="BE679" s="2">
        <v>42</v>
      </c>
      <c r="BF679" s="2" t="s">
        <v>182</v>
      </c>
      <c r="BG679" s="2"/>
      <c r="BH679" s="4">
        <v>0.55555555555555558</v>
      </c>
      <c r="BI679" s="4">
        <v>0.58472222222222225</v>
      </c>
      <c r="BJ679" s="2">
        <v>13</v>
      </c>
      <c r="BK679" s="2" t="s">
        <v>91</v>
      </c>
      <c r="BL679" s="2" t="s">
        <v>2792</v>
      </c>
      <c r="BM679" s="2">
        <v>13</v>
      </c>
      <c r="BN679" s="2" t="s">
        <v>91</v>
      </c>
      <c r="BO679" s="2" t="s">
        <v>828</v>
      </c>
      <c r="BP679" s="2">
        <v>13</v>
      </c>
      <c r="BQ679" s="2" t="s">
        <v>91</v>
      </c>
      <c r="BR679" s="2" t="s">
        <v>2793</v>
      </c>
      <c r="BS679" s="3">
        <v>40233</v>
      </c>
      <c r="BT679" s="4">
        <v>0.59819444444444447</v>
      </c>
    </row>
    <row r="680" spans="1:72" x14ac:dyDescent="0.25">
      <c r="A680" s="2">
        <v>1071</v>
      </c>
      <c r="B680" s="2">
        <v>2010</v>
      </c>
      <c r="C680" s="2" t="s">
        <v>255</v>
      </c>
      <c r="D680" s="2" t="s">
        <v>73</v>
      </c>
      <c r="E680" s="2"/>
      <c r="F680" s="2">
        <v>46</v>
      </c>
      <c r="G680" s="2" t="s">
        <v>2794</v>
      </c>
      <c r="H680" s="2">
        <v>47</v>
      </c>
      <c r="I680" s="2" t="s">
        <v>1409</v>
      </c>
      <c r="J680" s="2">
        <v>77</v>
      </c>
      <c r="K680" s="2" t="s">
        <v>2517</v>
      </c>
      <c r="L680" s="2" t="s">
        <v>2518</v>
      </c>
      <c r="M680" s="3">
        <v>40233</v>
      </c>
      <c r="N680" s="2" t="s">
        <v>2795</v>
      </c>
      <c r="O680" s="2"/>
      <c r="P680" s="2"/>
      <c r="Q680" s="2" t="str">
        <f>"04/10"</f>
        <v>04/10</v>
      </c>
      <c r="R680" s="2" t="s">
        <v>2796</v>
      </c>
      <c r="S680" s="2" t="s">
        <v>2796</v>
      </c>
      <c r="T680" s="2">
        <v>1</v>
      </c>
      <c r="U680" s="2" t="s">
        <v>79</v>
      </c>
      <c r="V680" s="2">
        <v>1</v>
      </c>
      <c r="W680" s="2" t="s">
        <v>80</v>
      </c>
      <c r="X680" s="2">
        <v>1</v>
      </c>
      <c r="Y680" s="2" t="s">
        <v>81</v>
      </c>
      <c r="Z680" s="2">
        <v>3</v>
      </c>
      <c r="AA680" s="2" t="s">
        <v>257</v>
      </c>
      <c r="AB680" s="2">
        <v>9</v>
      </c>
      <c r="AC680" s="2" t="s">
        <v>124</v>
      </c>
      <c r="AD680" s="3">
        <v>40233</v>
      </c>
      <c r="AE680" s="4">
        <v>0.58333333333333337</v>
      </c>
      <c r="AF680" s="3">
        <v>40233</v>
      </c>
      <c r="AG680" s="4">
        <v>0.59375</v>
      </c>
      <c r="AH680" s="2">
        <v>4</v>
      </c>
      <c r="AI680" s="2" t="s">
        <v>125</v>
      </c>
      <c r="AJ680" s="2">
        <v>31</v>
      </c>
      <c r="AK680" s="2" t="s">
        <v>1413</v>
      </c>
      <c r="AL680" s="2">
        <v>9</v>
      </c>
      <c r="AM680" s="2" t="s">
        <v>259</v>
      </c>
      <c r="AN680" s="2" t="s">
        <v>2797</v>
      </c>
      <c r="AO680" s="2"/>
      <c r="AP680" s="2">
        <v>11</v>
      </c>
      <c r="AQ680" s="2" t="s">
        <v>82</v>
      </c>
      <c r="AR680" s="2"/>
      <c r="AS680" s="2"/>
      <c r="AT680" s="2" t="s">
        <v>2798</v>
      </c>
      <c r="AU680" s="2"/>
      <c r="AV680" s="2"/>
      <c r="AW680" s="2"/>
      <c r="AX680" s="2"/>
      <c r="AY680" s="2">
        <v>44</v>
      </c>
      <c r="AZ680" s="2" t="s">
        <v>262</v>
      </c>
      <c r="BA680" s="2">
        <v>44</v>
      </c>
      <c r="BB680" s="2" t="s">
        <v>262</v>
      </c>
      <c r="BC680" s="2">
        <v>44</v>
      </c>
      <c r="BD680" s="2" t="s">
        <v>262</v>
      </c>
      <c r="BE680" s="2">
        <v>41</v>
      </c>
      <c r="BF680" s="2" t="s">
        <v>82</v>
      </c>
      <c r="BG680" s="2"/>
      <c r="BH680" s="2"/>
      <c r="BI680" s="2"/>
      <c r="BJ680" s="2">
        <v>241</v>
      </c>
      <c r="BK680" s="2" t="s">
        <v>82</v>
      </c>
      <c r="BL680" s="2"/>
      <c r="BM680" s="2">
        <v>241</v>
      </c>
      <c r="BN680" s="2" t="s">
        <v>82</v>
      </c>
      <c r="BO680" s="2"/>
      <c r="BP680" s="2">
        <v>241</v>
      </c>
      <c r="BQ680" s="2" t="s">
        <v>82</v>
      </c>
      <c r="BR680" s="2"/>
      <c r="BS680" s="3">
        <v>40233</v>
      </c>
      <c r="BT680" s="4">
        <v>0.66891203703703705</v>
      </c>
    </row>
    <row r="681" spans="1:72" x14ac:dyDescent="0.25">
      <c r="A681" s="2">
        <v>1072</v>
      </c>
      <c r="B681" s="2">
        <v>2010</v>
      </c>
      <c r="C681" s="2" t="s">
        <v>171</v>
      </c>
      <c r="D681" s="2" t="s">
        <v>73</v>
      </c>
      <c r="E681" s="2" t="s">
        <v>2799</v>
      </c>
      <c r="F681" s="2">
        <v>425</v>
      </c>
      <c r="G681" s="2" t="s">
        <v>286</v>
      </c>
      <c r="H681" s="2">
        <v>39</v>
      </c>
      <c r="I681" s="2" t="s">
        <v>1117</v>
      </c>
      <c r="J681" s="2">
        <v>310</v>
      </c>
      <c r="K681" s="2" t="s">
        <v>288</v>
      </c>
      <c r="L681" s="2" t="s">
        <v>289</v>
      </c>
      <c r="M681" s="3">
        <v>40233</v>
      </c>
      <c r="N681" s="2" t="s">
        <v>1943</v>
      </c>
      <c r="O681" s="2" t="s">
        <v>2490</v>
      </c>
      <c r="P681" s="2" t="s">
        <v>2800</v>
      </c>
      <c r="Q681" s="2" t="str">
        <f>"009/10"</f>
        <v>009/10</v>
      </c>
      <c r="R681" s="2"/>
      <c r="S681" s="2" t="s">
        <v>822</v>
      </c>
      <c r="T681" s="2">
        <v>1</v>
      </c>
      <c r="U681" s="2" t="s">
        <v>79</v>
      </c>
      <c r="V681" s="2">
        <v>1</v>
      </c>
      <c r="W681" s="2" t="s">
        <v>80</v>
      </c>
      <c r="X681" s="2">
        <v>1</v>
      </c>
      <c r="Y681" s="2" t="s">
        <v>81</v>
      </c>
      <c r="Z681" s="2">
        <v>10</v>
      </c>
      <c r="AA681" s="2" t="s">
        <v>236</v>
      </c>
      <c r="AB681" s="2">
        <v>1</v>
      </c>
      <c r="AC681" s="2" t="s">
        <v>178</v>
      </c>
      <c r="AD681" s="3">
        <v>40233</v>
      </c>
      <c r="AE681" s="4">
        <v>0.52083333333333337</v>
      </c>
      <c r="AF681" s="2"/>
      <c r="AG681" s="2"/>
      <c r="AH681" s="2">
        <v>4</v>
      </c>
      <c r="AI681" s="2" t="s">
        <v>125</v>
      </c>
      <c r="AJ681" s="2">
        <v>29</v>
      </c>
      <c r="AK681" s="2" t="s">
        <v>227</v>
      </c>
      <c r="AL681" s="2">
        <v>10</v>
      </c>
      <c r="AM681" s="2" t="s">
        <v>200</v>
      </c>
      <c r="AN681" s="2" t="s">
        <v>2801</v>
      </c>
      <c r="AO681" s="2"/>
      <c r="AP681" s="2">
        <v>12</v>
      </c>
      <c r="AQ681" s="2" t="s">
        <v>322</v>
      </c>
      <c r="AR681" s="2" t="s">
        <v>824</v>
      </c>
      <c r="AS681" s="2" t="s">
        <v>825</v>
      </c>
      <c r="AT681" s="2" t="s">
        <v>2802</v>
      </c>
      <c r="AU681" s="2"/>
      <c r="AV681" s="2"/>
      <c r="AW681" s="2"/>
      <c r="AX681" s="2"/>
      <c r="AY681" s="2">
        <v>41</v>
      </c>
      <c r="AZ681" s="2" t="s">
        <v>82</v>
      </c>
      <c r="BA681" s="2">
        <v>41</v>
      </c>
      <c r="BB681" s="2" t="s">
        <v>82</v>
      </c>
      <c r="BC681" s="2">
        <v>51</v>
      </c>
      <c r="BD681" s="2" t="s">
        <v>827</v>
      </c>
      <c r="BE681" s="2">
        <v>13</v>
      </c>
      <c r="BF681" s="2" t="s">
        <v>108</v>
      </c>
      <c r="BG681" s="2">
        <v>1459</v>
      </c>
      <c r="BH681" s="4">
        <v>0.84722222222222221</v>
      </c>
      <c r="BI681" s="4">
        <v>0.87847222222222221</v>
      </c>
      <c r="BJ681" s="2">
        <v>13</v>
      </c>
      <c r="BK681" s="2" t="s">
        <v>91</v>
      </c>
      <c r="BL681" s="2" t="s">
        <v>828</v>
      </c>
      <c r="BM681" s="2">
        <v>242</v>
      </c>
      <c r="BN681" s="2" t="s">
        <v>107</v>
      </c>
      <c r="BO681" s="2" t="s">
        <v>107</v>
      </c>
      <c r="BP681" s="2">
        <v>13</v>
      </c>
      <c r="BQ681" s="2" t="s">
        <v>91</v>
      </c>
      <c r="BR681" s="2" t="s">
        <v>185</v>
      </c>
      <c r="BS681" s="3">
        <v>40233</v>
      </c>
      <c r="BT681" s="4">
        <v>0.68745370370370373</v>
      </c>
    </row>
    <row r="682" spans="1:72" x14ac:dyDescent="0.25">
      <c r="A682" s="2">
        <v>1073</v>
      </c>
      <c r="B682" s="2">
        <v>2010</v>
      </c>
      <c r="C682" s="2" t="s">
        <v>171</v>
      </c>
      <c r="D682" s="2" t="s">
        <v>73</v>
      </c>
      <c r="E682" s="2"/>
      <c r="F682" s="2">
        <v>508</v>
      </c>
      <c r="G682" s="2" t="s">
        <v>2803</v>
      </c>
      <c r="H682" s="2">
        <v>50</v>
      </c>
      <c r="I682" s="2" t="s">
        <v>107</v>
      </c>
      <c r="J682" s="2">
        <v>433</v>
      </c>
      <c r="K682" s="2" t="s">
        <v>2804</v>
      </c>
      <c r="L682" s="2" t="s">
        <v>1224</v>
      </c>
      <c r="M682" s="3">
        <v>40233</v>
      </c>
      <c r="N682" s="2"/>
      <c r="O682" s="2" t="s">
        <v>2805</v>
      </c>
      <c r="P682" s="2" t="s">
        <v>2806</v>
      </c>
      <c r="Q682" s="2" t="str">
        <f>""</f>
        <v/>
      </c>
      <c r="R682" s="2"/>
      <c r="S682" s="2"/>
      <c r="T682" s="2">
        <v>1</v>
      </c>
      <c r="U682" s="2" t="s">
        <v>79</v>
      </c>
      <c r="V682" s="2">
        <v>3</v>
      </c>
      <c r="W682" s="2" t="s">
        <v>225</v>
      </c>
      <c r="X682" s="2">
        <v>2</v>
      </c>
      <c r="Y682" s="2" t="s">
        <v>136</v>
      </c>
      <c r="Z682" s="2">
        <v>1</v>
      </c>
      <c r="AA682" s="2" t="s">
        <v>82</v>
      </c>
      <c r="AB682" s="2">
        <v>9</v>
      </c>
      <c r="AC682" s="2" t="s">
        <v>124</v>
      </c>
      <c r="AD682" s="2"/>
      <c r="AE682" s="2"/>
      <c r="AF682" s="2"/>
      <c r="AG682" s="2"/>
      <c r="AH682" s="2">
        <v>6</v>
      </c>
      <c r="AI682" s="2" t="s">
        <v>197</v>
      </c>
      <c r="AJ682" s="2">
        <v>47</v>
      </c>
      <c r="AK682" s="2" t="s">
        <v>250</v>
      </c>
      <c r="AL682" s="2">
        <v>23</v>
      </c>
      <c r="AM682" s="2" t="s">
        <v>251</v>
      </c>
      <c r="AN682" s="2"/>
      <c r="AO682" s="2"/>
      <c r="AP682" s="2">
        <v>11</v>
      </c>
      <c r="AQ682" s="2" t="s">
        <v>82</v>
      </c>
      <c r="AR682" s="2"/>
      <c r="AS682" s="2"/>
      <c r="AT682" s="2" t="s">
        <v>2807</v>
      </c>
      <c r="AU682" s="2"/>
      <c r="AV682" s="2"/>
      <c r="AW682" s="2"/>
      <c r="AX682" s="2"/>
      <c r="AY682" s="2">
        <v>41</v>
      </c>
      <c r="AZ682" s="2" t="s">
        <v>82</v>
      </c>
      <c r="BA682" s="2">
        <v>41</v>
      </c>
      <c r="BB682" s="2" t="s">
        <v>82</v>
      </c>
      <c r="BC682" s="2">
        <v>41</v>
      </c>
      <c r="BD682" s="2" t="s">
        <v>82</v>
      </c>
      <c r="BE682" s="2">
        <v>41</v>
      </c>
      <c r="BF682" s="2" t="s">
        <v>82</v>
      </c>
      <c r="BG682" s="2"/>
      <c r="BH682" s="2"/>
      <c r="BI682" s="2"/>
      <c r="BJ682" s="2">
        <v>241</v>
      </c>
      <c r="BK682" s="2" t="s">
        <v>82</v>
      </c>
      <c r="BL682" s="2"/>
      <c r="BM682" s="2">
        <v>241</v>
      </c>
      <c r="BN682" s="2" t="s">
        <v>82</v>
      </c>
      <c r="BO682" s="2"/>
      <c r="BP682" s="2">
        <v>241</v>
      </c>
      <c r="BQ682" s="2" t="s">
        <v>82</v>
      </c>
      <c r="BR682" s="2"/>
      <c r="BS682" s="3">
        <v>40233</v>
      </c>
      <c r="BT682" s="4">
        <v>0.69017361111111108</v>
      </c>
    </row>
    <row r="683" spans="1:72" x14ac:dyDescent="0.25">
      <c r="A683" s="2">
        <v>1075</v>
      </c>
      <c r="B683" s="2">
        <v>2010</v>
      </c>
      <c r="C683" s="2" t="s">
        <v>2808</v>
      </c>
      <c r="D683" s="2" t="s">
        <v>122</v>
      </c>
      <c r="E683" s="2"/>
      <c r="F683" s="2">
        <v>337</v>
      </c>
      <c r="G683" s="2" t="s">
        <v>1190</v>
      </c>
      <c r="H683" s="2">
        <v>60</v>
      </c>
      <c r="I683" s="2" t="s">
        <v>2704</v>
      </c>
      <c r="J683" s="2">
        <v>374</v>
      </c>
      <c r="K683" s="2" t="s">
        <v>1191</v>
      </c>
      <c r="L683" s="2" t="s">
        <v>132</v>
      </c>
      <c r="M683" s="3">
        <v>40231</v>
      </c>
      <c r="N683" s="2" t="s">
        <v>2705</v>
      </c>
      <c r="O683" s="2" t="s">
        <v>2706</v>
      </c>
      <c r="P683" s="2" t="s">
        <v>2707</v>
      </c>
      <c r="Q683" s="2" t="str">
        <f>""</f>
        <v/>
      </c>
      <c r="R683" s="2"/>
      <c r="S683" s="2"/>
      <c r="T683" s="2">
        <v>1</v>
      </c>
      <c r="U683" s="2" t="s">
        <v>79</v>
      </c>
      <c r="V683" s="2">
        <v>3</v>
      </c>
      <c r="W683" s="2" t="s">
        <v>225</v>
      </c>
      <c r="X683" s="2">
        <v>5</v>
      </c>
      <c r="Y683" s="2" t="s">
        <v>82</v>
      </c>
      <c r="Z683" s="2">
        <v>1</v>
      </c>
      <c r="AA683" s="2" t="s">
        <v>82</v>
      </c>
      <c r="AB683" s="2">
        <v>9</v>
      </c>
      <c r="AC683" s="2" t="s">
        <v>124</v>
      </c>
      <c r="AD683" s="2"/>
      <c r="AE683" s="2"/>
      <c r="AF683" s="2"/>
      <c r="AG683" s="2"/>
      <c r="AH683" s="2">
        <v>5</v>
      </c>
      <c r="AI683" s="2" t="s">
        <v>274</v>
      </c>
      <c r="AJ683" s="2">
        <v>35</v>
      </c>
      <c r="AK683" s="2" t="s">
        <v>275</v>
      </c>
      <c r="AL683" s="2">
        <v>18</v>
      </c>
      <c r="AM683" s="2" t="s">
        <v>82</v>
      </c>
      <c r="AN683" s="2"/>
      <c r="AO683" s="2"/>
      <c r="AP683" s="2">
        <v>11</v>
      </c>
      <c r="AQ683" s="2" t="s">
        <v>82</v>
      </c>
      <c r="AR683" s="2"/>
      <c r="AS683" s="2"/>
      <c r="AT683" s="2" t="s">
        <v>2809</v>
      </c>
      <c r="AU683" s="2"/>
      <c r="AV683" s="2"/>
      <c r="AW683" s="2"/>
      <c r="AX683" s="2"/>
      <c r="AY683" s="2">
        <v>1</v>
      </c>
      <c r="AZ683" s="2" t="s">
        <v>107</v>
      </c>
      <c r="BA683" s="2">
        <v>1</v>
      </c>
      <c r="BB683" s="2" t="s">
        <v>107</v>
      </c>
      <c r="BC683" s="2">
        <v>1</v>
      </c>
      <c r="BD683" s="2" t="s">
        <v>107</v>
      </c>
      <c r="BE683" s="2">
        <v>1</v>
      </c>
      <c r="BF683" s="2" t="s">
        <v>107</v>
      </c>
      <c r="BG683" s="2"/>
      <c r="BH683" s="2"/>
      <c r="BI683" s="2"/>
      <c r="BJ683" s="2">
        <v>242</v>
      </c>
      <c r="BK683" s="2" t="s">
        <v>107</v>
      </c>
      <c r="BL683" s="2"/>
      <c r="BM683" s="2">
        <v>242</v>
      </c>
      <c r="BN683" s="2" t="s">
        <v>107</v>
      </c>
      <c r="BO683" s="2"/>
      <c r="BP683" s="2">
        <v>242</v>
      </c>
      <c r="BQ683" s="2" t="s">
        <v>107</v>
      </c>
      <c r="BR683" s="2"/>
      <c r="BS683" s="3">
        <v>40233</v>
      </c>
      <c r="BT683" s="4">
        <v>0.72255787037037045</v>
      </c>
    </row>
    <row r="684" spans="1:72" x14ac:dyDescent="0.25">
      <c r="A684" s="2">
        <v>1076</v>
      </c>
      <c r="B684" s="2">
        <v>2010</v>
      </c>
      <c r="C684" s="2" t="s">
        <v>594</v>
      </c>
      <c r="D684" s="2" t="s">
        <v>122</v>
      </c>
      <c r="E684" s="2"/>
      <c r="F684" s="2">
        <v>1</v>
      </c>
      <c r="G684" s="2" t="s">
        <v>82</v>
      </c>
      <c r="H684" s="2">
        <v>1</v>
      </c>
      <c r="I684" s="2" t="s">
        <v>82</v>
      </c>
      <c r="J684" s="2">
        <v>1</v>
      </c>
      <c r="K684" s="2" t="s">
        <v>107</v>
      </c>
      <c r="L684" s="2" t="s">
        <v>107</v>
      </c>
      <c r="M684" s="3">
        <v>40233</v>
      </c>
      <c r="N684" s="2"/>
      <c r="O684" s="2"/>
      <c r="P684" s="2"/>
      <c r="Q684" s="2" t="str">
        <f>""</f>
        <v/>
      </c>
      <c r="R684" s="2"/>
      <c r="S684" s="2"/>
      <c r="T684" s="2">
        <v>1</v>
      </c>
      <c r="U684" s="2" t="s">
        <v>79</v>
      </c>
      <c r="V684" s="2">
        <v>1</v>
      </c>
      <c r="W684" s="2" t="s">
        <v>80</v>
      </c>
      <c r="X684" s="2">
        <v>1</v>
      </c>
      <c r="Y684" s="2" t="s">
        <v>81</v>
      </c>
      <c r="Z684" s="2">
        <v>1</v>
      </c>
      <c r="AA684" s="2" t="s">
        <v>82</v>
      </c>
      <c r="AB684" s="2">
        <v>9</v>
      </c>
      <c r="AC684" s="2" t="s">
        <v>124</v>
      </c>
      <c r="AD684" s="3">
        <v>40233</v>
      </c>
      <c r="AE684" s="4">
        <v>0.73333333333333339</v>
      </c>
      <c r="AF684" s="2"/>
      <c r="AG684" s="2"/>
      <c r="AH684" s="2">
        <v>6</v>
      </c>
      <c r="AI684" s="2" t="s">
        <v>197</v>
      </c>
      <c r="AJ684" s="2">
        <v>54</v>
      </c>
      <c r="AK684" s="2" t="s">
        <v>348</v>
      </c>
      <c r="AL684" s="2">
        <v>18</v>
      </c>
      <c r="AM684" s="2" t="s">
        <v>82</v>
      </c>
      <c r="AN684" s="2" t="s">
        <v>595</v>
      </c>
      <c r="AO684" s="2" t="s">
        <v>200</v>
      </c>
      <c r="AP684" s="2">
        <v>12</v>
      </c>
      <c r="AQ684" s="2" t="s">
        <v>322</v>
      </c>
      <c r="AR684" s="2" t="s">
        <v>596</v>
      </c>
      <c r="AS684" s="2" t="s">
        <v>596</v>
      </c>
      <c r="AT684" s="2" t="s">
        <v>2810</v>
      </c>
      <c r="AU684" s="2"/>
      <c r="AV684" s="2"/>
      <c r="AW684" s="2"/>
      <c r="AX684" s="2"/>
      <c r="AY684" s="2">
        <v>1</v>
      </c>
      <c r="AZ684" s="2" t="s">
        <v>107</v>
      </c>
      <c r="BA684" s="2">
        <v>1</v>
      </c>
      <c r="BB684" s="2" t="s">
        <v>107</v>
      </c>
      <c r="BC684" s="2">
        <v>1</v>
      </c>
      <c r="BD684" s="2" t="s">
        <v>107</v>
      </c>
      <c r="BE684" s="2">
        <v>13</v>
      </c>
      <c r="BF684" s="2" t="s">
        <v>108</v>
      </c>
      <c r="BG684" s="2" t="s">
        <v>814</v>
      </c>
      <c r="BH684" s="4">
        <v>0.69097222222222221</v>
      </c>
      <c r="BI684" s="4">
        <v>0.73333333333333339</v>
      </c>
      <c r="BJ684" s="2">
        <v>13</v>
      </c>
      <c r="BK684" s="2" t="s">
        <v>91</v>
      </c>
      <c r="BL684" s="2" t="s">
        <v>2769</v>
      </c>
      <c r="BM684" s="2">
        <v>242</v>
      </c>
      <c r="BN684" s="2" t="s">
        <v>107</v>
      </c>
      <c r="BO684" s="2"/>
      <c r="BP684" s="2">
        <v>13</v>
      </c>
      <c r="BQ684" s="2" t="s">
        <v>91</v>
      </c>
      <c r="BR684" s="2" t="s">
        <v>2168</v>
      </c>
      <c r="BS684" s="3">
        <v>40233</v>
      </c>
      <c r="BT684" s="4">
        <v>0.73956018518518529</v>
      </c>
    </row>
    <row r="685" spans="1:72" x14ac:dyDescent="0.25">
      <c r="A685" s="2">
        <v>1077</v>
      </c>
      <c r="B685" s="2">
        <v>2010</v>
      </c>
      <c r="C685" s="2" t="s">
        <v>171</v>
      </c>
      <c r="D685" s="2" t="s">
        <v>73</v>
      </c>
      <c r="E685" s="2" t="s">
        <v>2811</v>
      </c>
      <c r="F685" s="2">
        <v>425</v>
      </c>
      <c r="G685" s="2" t="s">
        <v>286</v>
      </c>
      <c r="H685" s="2">
        <v>39</v>
      </c>
      <c r="I685" s="2" t="s">
        <v>1117</v>
      </c>
      <c r="J685" s="2">
        <v>310</v>
      </c>
      <c r="K685" s="2" t="s">
        <v>288</v>
      </c>
      <c r="L685" s="2" t="s">
        <v>289</v>
      </c>
      <c r="M685" s="3">
        <v>40233</v>
      </c>
      <c r="N685" s="2" t="s">
        <v>1943</v>
      </c>
      <c r="O685" s="2" t="s">
        <v>2490</v>
      </c>
      <c r="P685" s="2" t="s">
        <v>2812</v>
      </c>
      <c r="Q685" s="2" t="str">
        <f>"011/10"</f>
        <v>011/10</v>
      </c>
      <c r="R685" s="2" t="s">
        <v>822</v>
      </c>
      <c r="S685" s="2"/>
      <c r="T685" s="2">
        <v>1</v>
      </c>
      <c r="U685" s="2" t="s">
        <v>79</v>
      </c>
      <c r="V685" s="2">
        <v>1</v>
      </c>
      <c r="W685" s="2" t="s">
        <v>80</v>
      </c>
      <c r="X685" s="2">
        <v>1</v>
      </c>
      <c r="Y685" s="2" t="s">
        <v>81</v>
      </c>
      <c r="Z685" s="2">
        <v>10</v>
      </c>
      <c r="AA685" s="2" t="s">
        <v>236</v>
      </c>
      <c r="AB685" s="2">
        <v>1</v>
      </c>
      <c r="AC685" s="2" t="s">
        <v>178</v>
      </c>
      <c r="AD685" s="3">
        <v>40233</v>
      </c>
      <c r="AE685" s="4">
        <v>0.56944444444444442</v>
      </c>
      <c r="AF685" s="2"/>
      <c r="AG685" s="2"/>
      <c r="AH685" s="2">
        <v>4</v>
      </c>
      <c r="AI685" s="2" t="s">
        <v>125</v>
      </c>
      <c r="AJ685" s="2">
        <v>29</v>
      </c>
      <c r="AK685" s="2" t="s">
        <v>227</v>
      </c>
      <c r="AL685" s="2">
        <v>10</v>
      </c>
      <c r="AM685" s="2" t="s">
        <v>200</v>
      </c>
      <c r="AN685" s="2" t="s">
        <v>883</v>
      </c>
      <c r="AO685" s="2"/>
      <c r="AP685" s="2">
        <v>12</v>
      </c>
      <c r="AQ685" s="2" t="s">
        <v>322</v>
      </c>
      <c r="AR685" s="2" t="s">
        <v>824</v>
      </c>
      <c r="AS685" s="2" t="s">
        <v>825</v>
      </c>
      <c r="AT685" s="2" t="s">
        <v>2813</v>
      </c>
      <c r="AU685" s="2"/>
      <c r="AV685" s="2"/>
      <c r="AW685" s="2"/>
      <c r="AX685" s="2"/>
      <c r="AY685" s="2">
        <v>41</v>
      </c>
      <c r="AZ685" s="2" t="s">
        <v>82</v>
      </c>
      <c r="BA685" s="2">
        <v>41</v>
      </c>
      <c r="BB685" s="2" t="s">
        <v>82</v>
      </c>
      <c r="BC685" s="2">
        <v>51</v>
      </c>
      <c r="BD685" s="2" t="s">
        <v>827</v>
      </c>
      <c r="BE685" s="2">
        <v>47</v>
      </c>
      <c r="BF685" s="2" t="s">
        <v>167</v>
      </c>
      <c r="BG685" s="2" t="s">
        <v>2084</v>
      </c>
      <c r="BH685" s="4">
        <v>0.84027777777777779</v>
      </c>
      <c r="BI685" s="4">
        <v>0.875</v>
      </c>
      <c r="BJ685" s="2">
        <v>13</v>
      </c>
      <c r="BK685" s="2" t="s">
        <v>91</v>
      </c>
      <c r="BL685" s="2" t="s">
        <v>828</v>
      </c>
      <c r="BM685" s="2">
        <v>241</v>
      </c>
      <c r="BN685" s="2" t="s">
        <v>82</v>
      </c>
      <c r="BO685" s="2" t="s">
        <v>82</v>
      </c>
      <c r="BP685" s="2">
        <v>13</v>
      </c>
      <c r="BQ685" s="2" t="s">
        <v>91</v>
      </c>
      <c r="BR685" s="2" t="s">
        <v>185</v>
      </c>
      <c r="BS685" s="3">
        <v>40233</v>
      </c>
      <c r="BT685" s="4">
        <v>0.74386574074074074</v>
      </c>
    </row>
    <row r="686" spans="1:72" x14ac:dyDescent="0.25">
      <c r="A686" s="2">
        <v>1078</v>
      </c>
      <c r="B686" s="2">
        <v>2010</v>
      </c>
      <c r="C686" s="2" t="s">
        <v>72</v>
      </c>
      <c r="D686" s="2" t="s">
        <v>73</v>
      </c>
      <c r="E686" s="2"/>
      <c r="F686" s="2">
        <v>481</v>
      </c>
      <c r="G686" s="2" t="s">
        <v>1438</v>
      </c>
      <c r="H686" s="2">
        <v>1</v>
      </c>
      <c r="I686" s="2" t="s">
        <v>82</v>
      </c>
      <c r="J686" s="2">
        <v>57</v>
      </c>
      <c r="K686" s="2" t="s">
        <v>431</v>
      </c>
      <c r="L686" s="2" t="s">
        <v>432</v>
      </c>
      <c r="M686" s="3">
        <v>40233</v>
      </c>
      <c r="N686" s="2"/>
      <c r="O686" s="2" t="s">
        <v>107</v>
      </c>
      <c r="P686" s="2" t="s">
        <v>107</v>
      </c>
      <c r="Q686" s="2" t="str">
        <f>"10/10"</f>
        <v>10/10</v>
      </c>
      <c r="R686" s="2" t="s">
        <v>116</v>
      </c>
      <c r="S686" s="2" t="s">
        <v>116</v>
      </c>
      <c r="T686" s="2">
        <v>1</v>
      </c>
      <c r="U686" s="2" t="s">
        <v>79</v>
      </c>
      <c r="V686" s="2">
        <v>1</v>
      </c>
      <c r="W686" s="2" t="s">
        <v>80</v>
      </c>
      <c r="X686" s="2">
        <v>1</v>
      </c>
      <c r="Y686" s="2" t="s">
        <v>81</v>
      </c>
      <c r="Z686" s="2">
        <v>10</v>
      </c>
      <c r="AA686" s="2" t="s">
        <v>236</v>
      </c>
      <c r="AB686" s="2">
        <v>6</v>
      </c>
      <c r="AC686" s="2" t="s">
        <v>83</v>
      </c>
      <c r="AD686" s="3">
        <v>40229</v>
      </c>
      <c r="AE686" s="2"/>
      <c r="AF686" s="3">
        <v>40233</v>
      </c>
      <c r="AG686" s="4">
        <v>0.69791666666666663</v>
      </c>
      <c r="AH686" s="2">
        <v>3</v>
      </c>
      <c r="AI686" s="2" t="s">
        <v>214</v>
      </c>
      <c r="AJ686" s="2">
        <v>17</v>
      </c>
      <c r="AK686" s="2" t="s">
        <v>309</v>
      </c>
      <c r="AL686" s="2">
        <v>18</v>
      </c>
      <c r="AM686" s="2" t="s">
        <v>82</v>
      </c>
      <c r="AN686" s="2" t="s">
        <v>2814</v>
      </c>
      <c r="AO686" s="2" t="s">
        <v>2815</v>
      </c>
      <c r="AP686" s="2">
        <v>11</v>
      </c>
      <c r="AQ686" s="2" t="s">
        <v>82</v>
      </c>
      <c r="AR686" s="2"/>
      <c r="AS686" s="2"/>
      <c r="AT686" s="2" t="s">
        <v>2816</v>
      </c>
      <c r="AU686" s="2"/>
      <c r="AV686" s="2"/>
      <c r="AW686" s="2"/>
      <c r="AX686" s="2"/>
      <c r="AY686" s="2">
        <v>13</v>
      </c>
      <c r="AZ686" s="2" t="s">
        <v>108</v>
      </c>
      <c r="BA686" s="2">
        <v>13</v>
      </c>
      <c r="BB686" s="2" t="s">
        <v>108</v>
      </c>
      <c r="BC686" s="2">
        <v>41</v>
      </c>
      <c r="BD686" s="2" t="s">
        <v>82</v>
      </c>
      <c r="BE686" s="2">
        <v>13</v>
      </c>
      <c r="BF686" s="2" t="s">
        <v>108</v>
      </c>
      <c r="BG686" s="2"/>
      <c r="BH686" s="2"/>
      <c r="BI686" s="2"/>
      <c r="BJ686" s="2">
        <v>241</v>
      </c>
      <c r="BK686" s="2" t="s">
        <v>82</v>
      </c>
      <c r="BL686" s="2"/>
      <c r="BM686" s="2">
        <v>241</v>
      </c>
      <c r="BN686" s="2" t="s">
        <v>82</v>
      </c>
      <c r="BO686" s="2"/>
      <c r="BP686" s="2">
        <v>241</v>
      </c>
      <c r="BQ686" s="2" t="s">
        <v>82</v>
      </c>
      <c r="BR686" s="2"/>
      <c r="BS686" s="3">
        <v>40233</v>
      </c>
      <c r="BT686" s="4">
        <v>0.76222222222222225</v>
      </c>
    </row>
    <row r="687" spans="1:72" x14ac:dyDescent="0.25">
      <c r="A687" s="2">
        <v>1079</v>
      </c>
      <c r="B687" s="2">
        <v>2010</v>
      </c>
      <c r="C687" s="2" t="s">
        <v>385</v>
      </c>
      <c r="D687" s="2" t="s">
        <v>73</v>
      </c>
      <c r="E687" s="2"/>
      <c r="F687" s="2">
        <v>114</v>
      </c>
      <c r="G687" s="2" t="s">
        <v>2817</v>
      </c>
      <c r="H687" s="2">
        <v>42</v>
      </c>
      <c r="I687" s="2" t="s">
        <v>1096</v>
      </c>
      <c r="J687" s="2">
        <v>438</v>
      </c>
      <c r="K687" s="2" t="s">
        <v>2818</v>
      </c>
      <c r="L687" s="2" t="s">
        <v>2819</v>
      </c>
      <c r="M687" s="3">
        <v>40233</v>
      </c>
      <c r="N687" s="2" t="s">
        <v>2820</v>
      </c>
      <c r="O687" s="2" t="s">
        <v>2821</v>
      </c>
      <c r="P687" s="2">
        <v>2139</v>
      </c>
      <c r="Q687" s="2" t="str">
        <f>"S/D"</f>
        <v>S/D</v>
      </c>
      <c r="R687" s="2" t="s">
        <v>107</v>
      </c>
      <c r="S687" s="2" t="s">
        <v>107</v>
      </c>
      <c r="T687" s="2">
        <v>1</v>
      </c>
      <c r="U687" s="2" t="s">
        <v>79</v>
      </c>
      <c r="V687" s="2">
        <v>1</v>
      </c>
      <c r="W687" s="2" t="s">
        <v>80</v>
      </c>
      <c r="X687" s="2">
        <v>4</v>
      </c>
      <c r="Y687" s="2" t="s">
        <v>463</v>
      </c>
      <c r="Z687" s="2">
        <v>7</v>
      </c>
      <c r="AA687" s="2" t="s">
        <v>1462</v>
      </c>
      <c r="AB687" s="2">
        <v>9</v>
      </c>
      <c r="AC687" s="2" t="s">
        <v>124</v>
      </c>
      <c r="AD687" s="3">
        <v>40233</v>
      </c>
      <c r="AE687" s="4">
        <v>0.69097222222222221</v>
      </c>
      <c r="AF687" s="2"/>
      <c r="AG687" s="2"/>
      <c r="AH687" s="2">
        <v>6</v>
      </c>
      <c r="AI687" s="2" t="s">
        <v>197</v>
      </c>
      <c r="AJ687" s="2">
        <v>54</v>
      </c>
      <c r="AK687" s="2" t="s">
        <v>348</v>
      </c>
      <c r="AL687" s="2">
        <v>2</v>
      </c>
      <c r="AM687" s="2" t="s">
        <v>163</v>
      </c>
      <c r="AN687" s="2" t="s">
        <v>107</v>
      </c>
      <c r="AO687" s="2" t="s">
        <v>107</v>
      </c>
      <c r="AP687" s="2">
        <v>11</v>
      </c>
      <c r="AQ687" s="2" t="s">
        <v>82</v>
      </c>
      <c r="AR687" s="2" t="s">
        <v>107</v>
      </c>
      <c r="AS687" s="2" t="s">
        <v>107</v>
      </c>
      <c r="AT687" s="2" t="s">
        <v>2822</v>
      </c>
      <c r="AU687" s="2"/>
      <c r="AV687" s="2">
        <v>1</v>
      </c>
      <c r="AW687" s="2"/>
      <c r="AX687" s="2"/>
      <c r="AY687" s="2">
        <v>41</v>
      </c>
      <c r="AZ687" s="2" t="s">
        <v>82</v>
      </c>
      <c r="BA687" s="2">
        <v>41</v>
      </c>
      <c r="BB687" s="2" t="s">
        <v>82</v>
      </c>
      <c r="BC687" s="2">
        <v>13</v>
      </c>
      <c r="BD687" s="2" t="s">
        <v>108</v>
      </c>
      <c r="BE687" s="2">
        <v>13</v>
      </c>
      <c r="BF687" s="2" t="s">
        <v>108</v>
      </c>
      <c r="BG687" s="2">
        <v>1833</v>
      </c>
      <c r="BH687" s="4">
        <v>0.69097222222222221</v>
      </c>
      <c r="BI687" s="4">
        <v>0.73333333333333339</v>
      </c>
      <c r="BJ687" s="2">
        <v>13</v>
      </c>
      <c r="BK687" s="2" t="s">
        <v>91</v>
      </c>
      <c r="BL687" s="2" t="s">
        <v>353</v>
      </c>
      <c r="BM687" s="2">
        <v>13</v>
      </c>
      <c r="BN687" s="2" t="s">
        <v>91</v>
      </c>
      <c r="BO687" s="2" t="s">
        <v>107</v>
      </c>
      <c r="BP687" s="2">
        <v>13</v>
      </c>
      <c r="BQ687" s="2" t="s">
        <v>91</v>
      </c>
      <c r="BR687" s="2" t="s">
        <v>564</v>
      </c>
      <c r="BS687" s="3">
        <v>40233</v>
      </c>
      <c r="BT687" s="4">
        <v>0.78756944444444443</v>
      </c>
    </row>
    <row r="688" spans="1:72" x14ac:dyDescent="0.25">
      <c r="A688" s="2">
        <v>1080</v>
      </c>
      <c r="B688" s="2">
        <v>2010</v>
      </c>
      <c r="C688" s="2" t="s">
        <v>819</v>
      </c>
      <c r="D688" s="2" t="s">
        <v>73</v>
      </c>
      <c r="E688" s="2" t="s">
        <v>2823</v>
      </c>
      <c r="F688" s="2">
        <v>425</v>
      </c>
      <c r="G688" s="2" t="s">
        <v>286</v>
      </c>
      <c r="H688" s="2">
        <v>30</v>
      </c>
      <c r="I688" s="2" t="s">
        <v>912</v>
      </c>
      <c r="J688" s="2">
        <v>310</v>
      </c>
      <c r="K688" s="2" t="s">
        <v>288</v>
      </c>
      <c r="L688" s="2" t="s">
        <v>289</v>
      </c>
      <c r="M688" s="3">
        <v>40233</v>
      </c>
      <c r="N688" s="2" t="s">
        <v>2049</v>
      </c>
      <c r="O688" s="2" t="s">
        <v>2824</v>
      </c>
      <c r="P688" s="2" t="s">
        <v>2825</v>
      </c>
      <c r="Q688" s="2" t="str">
        <f>"010/10"</f>
        <v>010/10</v>
      </c>
      <c r="R688" s="2"/>
      <c r="S688" s="2" t="s">
        <v>822</v>
      </c>
      <c r="T688" s="2">
        <v>1</v>
      </c>
      <c r="U688" s="2" t="s">
        <v>79</v>
      </c>
      <c r="V688" s="2">
        <v>1</v>
      </c>
      <c r="W688" s="2" t="s">
        <v>80</v>
      </c>
      <c r="X688" s="2">
        <v>1</v>
      </c>
      <c r="Y688" s="2" t="s">
        <v>81</v>
      </c>
      <c r="Z688" s="2">
        <v>10</v>
      </c>
      <c r="AA688" s="2" t="s">
        <v>236</v>
      </c>
      <c r="AB688" s="2">
        <v>9</v>
      </c>
      <c r="AC688" s="2" t="s">
        <v>124</v>
      </c>
      <c r="AD688" s="3">
        <v>40233</v>
      </c>
      <c r="AE688" s="4">
        <v>0.63888888888888895</v>
      </c>
      <c r="AF688" s="2"/>
      <c r="AG688" s="2"/>
      <c r="AH688" s="2">
        <v>4</v>
      </c>
      <c r="AI688" s="2" t="s">
        <v>125</v>
      </c>
      <c r="AJ688" s="2">
        <v>29</v>
      </c>
      <c r="AK688" s="2" t="s">
        <v>227</v>
      </c>
      <c r="AL688" s="2">
        <v>10</v>
      </c>
      <c r="AM688" s="2" t="s">
        <v>200</v>
      </c>
      <c r="AN688" s="2" t="s">
        <v>883</v>
      </c>
      <c r="AO688" s="2"/>
      <c r="AP688" s="2">
        <v>12</v>
      </c>
      <c r="AQ688" s="2" t="s">
        <v>322</v>
      </c>
      <c r="AR688" s="2" t="s">
        <v>824</v>
      </c>
      <c r="AS688" s="2" t="s">
        <v>825</v>
      </c>
      <c r="AT688" s="2" t="s">
        <v>2826</v>
      </c>
      <c r="AU688" s="2"/>
      <c r="AV688" s="2"/>
      <c r="AW688" s="2"/>
      <c r="AX688" s="2"/>
      <c r="AY688" s="2">
        <v>41</v>
      </c>
      <c r="AZ688" s="2" t="s">
        <v>82</v>
      </c>
      <c r="BA688" s="2">
        <v>41</v>
      </c>
      <c r="BB688" s="2" t="s">
        <v>82</v>
      </c>
      <c r="BC688" s="2">
        <v>51</v>
      </c>
      <c r="BD688" s="2" t="s">
        <v>827</v>
      </c>
      <c r="BE688" s="2">
        <v>47</v>
      </c>
      <c r="BF688" s="2" t="s">
        <v>167</v>
      </c>
      <c r="BG688" s="2">
        <v>2459</v>
      </c>
      <c r="BH688" s="4">
        <v>0.84722222222222221</v>
      </c>
      <c r="BI688" s="4">
        <v>0.87847222222222221</v>
      </c>
      <c r="BJ688" s="2">
        <v>13</v>
      </c>
      <c r="BK688" s="2" t="s">
        <v>91</v>
      </c>
      <c r="BL688" s="2" t="s">
        <v>828</v>
      </c>
      <c r="BM688" s="2">
        <v>241</v>
      </c>
      <c r="BN688" s="2" t="s">
        <v>82</v>
      </c>
      <c r="BO688" s="2" t="s">
        <v>82</v>
      </c>
      <c r="BP688" s="2">
        <v>13</v>
      </c>
      <c r="BQ688" s="2" t="s">
        <v>91</v>
      </c>
      <c r="BR688" s="2" t="s">
        <v>185</v>
      </c>
      <c r="BS688" s="3">
        <v>40233</v>
      </c>
      <c r="BT688" s="4">
        <v>0.79778935185185185</v>
      </c>
    </row>
    <row r="689" spans="1:72" x14ac:dyDescent="0.25">
      <c r="A689" s="2">
        <v>1080</v>
      </c>
      <c r="B689" s="2">
        <v>2010</v>
      </c>
      <c r="C689" s="2" t="s">
        <v>171</v>
      </c>
      <c r="D689" s="2" t="s">
        <v>73</v>
      </c>
      <c r="E689" s="2" t="s">
        <v>2823</v>
      </c>
      <c r="F689" s="2">
        <v>425</v>
      </c>
      <c r="G689" s="2" t="s">
        <v>286</v>
      </c>
      <c r="H689" s="2">
        <v>30</v>
      </c>
      <c r="I689" s="2" t="s">
        <v>912</v>
      </c>
      <c r="J689" s="2">
        <v>310</v>
      </c>
      <c r="K689" s="2" t="s">
        <v>288</v>
      </c>
      <c r="L689" s="2" t="s">
        <v>289</v>
      </c>
      <c r="M689" s="3">
        <v>40233</v>
      </c>
      <c r="N689" s="2" t="s">
        <v>2049</v>
      </c>
      <c r="O689" s="2" t="s">
        <v>2824</v>
      </c>
      <c r="P689" s="2" t="s">
        <v>2825</v>
      </c>
      <c r="Q689" s="2" t="str">
        <f>"010/10"</f>
        <v>010/10</v>
      </c>
      <c r="R689" s="2"/>
      <c r="S689" s="2" t="s">
        <v>822</v>
      </c>
      <c r="T689" s="2">
        <v>1</v>
      </c>
      <c r="U689" s="2" t="s">
        <v>79</v>
      </c>
      <c r="V689" s="2">
        <v>1</v>
      </c>
      <c r="W689" s="2" t="s">
        <v>80</v>
      </c>
      <c r="X689" s="2">
        <v>1</v>
      </c>
      <c r="Y689" s="2" t="s">
        <v>81</v>
      </c>
      <c r="Z689" s="2">
        <v>10</v>
      </c>
      <c r="AA689" s="2" t="s">
        <v>236</v>
      </c>
      <c r="AB689" s="2">
        <v>1</v>
      </c>
      <c r="AC689" s="2" t="s">
        <v>178</v>
      </c>
      <c r="AD689" s="3">
        <v>40233</v>
      </c>
      <c r="AE689" s="4">
        <v>0.63888888888888895</v>
      </c>
      <c r="AF689" s="2"/>
      <c r="AG689" s="2"/>
      <c r="AH689" s="2">
        <v>4</v>
      </c>
      <c r="AI689" s="2" t="s">
        <v>125</v>
      </c>
      <c r="AJ689" s="2">
        <v>29</v>
      </c>
      <c r="AK689" s="2" t="s">
        <v>227</v>
      </c>
      <c r="AL689" s="2">
        <v>10</v>
      </c>
      <c r="AM689" s="2" t="s">
        <v>200</v>
      </c>
      <c r="AN689" s="2" t="s">
        <v>883</v>
      </c>
      <c r="AO689" s="2"/>
      <c r="AP689" s="2">
        <v>12</v>
      </c>
      <c r="AQ689" s="2" t="s">
        <v>322</v>
      </c>
      <c r="AR689" s="2" t="s">
        <v>824</v>
      </c>
      <c r="AS689" s="2" t="s">
        <v>825</v>
      </c>
      <c r="AT689" s="2" t="s">
        <v>2826</v>
      </c>
      <c r="AU689" s="2"/>
      <c r="AV689" s="2"/>
      <c r="AW689" s="2"/>
      <c r="AX689" s="2"/>
      <c r="AY689" s="2">
        <v>41</v>
      </c>
      <c r="AZ689" s="2" t="s">
        <v>82</v>
      </c>
      <c r="BA689" s="2">
        <v>41</v>
      </c>
      <c r="BB689" s="2" t="s">
        <v>82</v>
      </c>
      <c r="BC689" s="2">
        <v>51</v>
      </c>
      <c r="BD689" s="2" t="s">
        <v>827</v>
      </c>
      <c r="BE689" s="2">
        <v>47</v>
      </c>
      <c r="BF689" s="2" t="s">
        <v>167</v>
      </c>
      <c r="BG689" s="2">
        <v>2459</v>
      </c>
      <c r="BH689" s="4">
        <v>0.84722222222222221</v>
      </c>
      <c r="BI689" s="4">
        <v>0.87847222222222221</v>
      </c>
      <c r="BJ689" s="2">
        <v>13</v>
      </c>
      <c r="BK689" s="2" t="s">
        <v>91</v>
      </c>
      <c r="BL689" s="2" t="s">
        <v>828</v>
      </c>
      <c r="BM689" s="2">
        <v>241</v>
      </c>
      <c r="BN689" s="2" t="s">
        <v>82</v>
      </c>
      <c r="BO689" s="2" t="s">
        <v>82</v>
      </c>
      <c r="BP689" s="2">
        <v>13</v>
      </c>
      <c r="BQ689" s="2" t="s">
        <v>91</v>
      </c>
      <c r="BR689" s="2" t="s">
        <v>185</v>
      </c>
      <c r="BS689" s="3">
        <v>40233</v>
      </c>
      <c r="BT689" s="4">
        <v>0.79778935185185185</v>
      </c>
    </row>
    <row r="690" spans="1:72" x14ac:dyDescent="0.25">
      <c r="A690" s="2">
        <v>1082</v>
      </c>
      <c r="B690" s="2">
        <v>2010</v>
      </c>
      <c r="C690" s="2" t="s">
        <v>171</v>
      </c>
      <c r="D690" s="2" t="s">
        <v>73</v>
      </c>
      <c r="E690" s="2"/>
      <c r="F690" s="2">
        <v>146</v>
      </c>
      <c r="G690" s="2" t="s">
        <v>753</v>
      </c>
      <c r="H690" s="2">
        <v>39</v>
      </c>
      <c r="I690" s="2" t="s">
        <v>1117</v>
      </c>
      <c r="J690" s="2">
        <v>439</v>
      </c>
      <c r="K690" s="2" t="s">
        <v>2827</v>
      </c>
      <c r="L690" s="2" t="s">
        <v>2828</v>
      </c>
      <c r="M690" s="3">
        <v>40233</v>
      </c>
      <c r="N690" s="2" t="s">
        <v>2829</v>
      </c>
      <c r="O690" s="2"/>
      <c r="P690" s="2"/>
      <c r="Q690" s="2" t="str">
        <f>"AP 0012/10 PSA-UOUSU"</f>
        <v>AP 0012/10 PSA-UOUSU</v>
      </c>
      <c r="R690" s="2"/>
      <c r="S690" s="2" t="s">
        <v>2830</v>
      </c>
      <c r="T690" s="2">
        <v>1</v>
      </c>
      <c r="U690" s="2" t="s">
        <v>79</v>
      </c>
      <c r="V690" s="2">
        <v>1</v>
      </c>
      <c r="W690" s="2" t="s">
        <v>80</v>
      </c>
      <c r="X690" s="2">
        <v>1</v>
      </c>
      <c r="Y690" s="2" t="s">
        <v>81</v>
      </c>
      <c r="Z690" s="2">
        <v>10</v>
      </c>
      <c r="AA690" s="2" t="s">
        <v>236</v>
      </c>
      <c r="AB690" s="2">
        <v>1</v>
      </c>
      <c r="AC690" s="2" t="s">
        <v>178</v>
      </c>
      <c r="AD690" s="3">
        <v>40233</v>
      </c>
      <c r="AE690" s="4">
        <v>0.86458333333333337</v>
      </c>
      <c r="AF690" s="2"/>
      <c r="AG690" s="2"/>
      <c r="AH690" s="2">
        <v>6</v>
      </c>
      <c r="AI690" s="2" t="s">
        <v>197</v>
      </c>
      <c r="AJ690" s="2">
        <v>60</v>
      </c>
      <c r="AK690" s="2" t="s">
        <v>543</v>
      </c>
      <c r="AL690" s="2">
        <v>11</v>
      </c>
      <c r="AM690" s="2" t="s">
        <v>137</v>
      </c>
      <c r="AN690" s="2" t="s">
        <v>2831</v>
      </c>
      <c r="AO690" s="2" t="s">
        <v>2832</v>
      </c>
      <c r="AP690" s="2">
        <v>11</v>
      </c>
      <c r="AQ690" s="2" t="s">
        <v>82</v>
      </c>
      <c r="AR690" s="2"/>
      <c r="AS690" s="2"/>
      <c r="AT690" s="2" t="s">
        <v>2833</v>
      </c>
      <c r="AU690" s="2"/>
      <c r="AV690" s="2"/>
      <c r="AW690" s="2">
        <v>1</v>
      </c>
      <c r="AX690" s="2"/>
      <c r="AY690" s="2">
        <v>41</v>
      </c>
      <c r="AZ690" s="2" t="s">
        <v>82</v>
      </c>
      <c r="BA690" s="2">
        <v>41</v>
      </c>
      <c r="BB690" s="2" t="s">
        <v>82</v>
      </c>
      <c r="BC690" s="2">
        <v>41</v>
      </c>
      <c r="BD690" s="2" t="s">
        <v>82</v>
      </c>
      <c r="BE690" s="2">
        <v>13</v>
      </c>
      <c r="BF690" s="2" t="s">
        <v>108</v>
      </c>
      <c r="BG690" s="2" t="s">
        <v>2834</v>
      </c>
      <c r="BH690" s="2"/>
      <c r="BI690" s="4">
        <v>0.90625</v>
      </c>
      <c r="BJ690" s="2">
        <v>13</v>
      </c>
      <c r="BK690" s="2" t="s">
        <v>91</v>
      </c>
      <c r="BL690" s="2" t="s">
        <v>895</v>
      </c>
      <c r="BM690" s="2">
        <v>13</v>
      </c>
      <c r="BN690" s="2" t="s">
        <v>91</v>
      </c>
      <c r="BO690" s="2" t="s">
        <v>82</v>
      </c>
      <c r="BP690" s="2">
        <v>13</v>
      </c>
      <c r="BQ690" s="2" t="s">
        <v>91</v>
      </c>
      <c r="BR690" s="2" t="s">
        <v>564</v>
      </c>
      <c r="BS690" s="3">
        <v>40233</v>
      </c>
      <c r="BT690" s="4">
        <v>0.99234953703703699</v>
      </c>
    </row>
    <row r="691" spans="1:72" x14ac:dyDescent="0.25">
      <c r="A691" s="2">
        <v>1083</v>
      </c>
      <c r="B691" s="2">
        <v>2010</v>
      </c>
      <c r="C691" s="2" t="s">
        <v>171</v>
      </c>
      <c r="D691" s="2" t="s">
        <v>122</v>
      </c>
      <c r="E691" s="2" t="s">
        <v>2835</v>
      </c>
      <c r="F691" s="2">
        <v>146</v>
      </c>
      <c r="G691" s="2" t="s">
        <v>753</v>
      </c>
      <c r="H691" s="2">
        <v>39</v>
      </c>
      <c r="I691" s="2" t="s">
        <v>1117</v>
      </c>
      <c r="J691" s="2">
        <v>439</v>
      </c>
      <c r="K691" s="2" t="s">
        <v>2827</v>
      </c>
      <c r="L691" s="2" t="s">
        <v>2828</v>
      </c>
      <c r="M691" s="3">
        <v>40234</v>
      </c>
      <c r="N691" s="2" t="s">
        <v>2829</v>
      </c>
      <c r="O691" s="2"/>
      <c r="P691" s="2"/>
      <c r="Q691" s="2" t="str">
        <f>"AP 0012/10 PSA-UOUSU"</f>
        <v>AP 0012/10 PSA-UOUSU</v>
      </c>
      <c r="R691" s="2" t="s">
        <v>2836</v>
      </c>
      <c r="S691" s="2" t="s">
        <v>2836</v>
      </c>
      <c r="T691" s="2">
        <v>1</v>
      </c>
      <c r="U691" s="2" t="s">
        <v>79</v>
      </c>
      <c r="V691" s="2">
        <v>1</v>
      </c>
      <c r="W691" s="2" t="s">
        <v>80</v>
      </c>
      <c r="X691" s="2">
        <v>1</v>
      </c>
      <c r="Y691" s="2" t="s">
        <v>81</v>
      </c>
      <c r="Z691" s="2">
        <v>10</v>
      </c>
      <c r="AA691" s="2" t="s">
        <v>236</v>
      </c>
      <c r="AB691" s="2">
        <v>1</v>
      </c>
      <c r="AC691" s="2" t="s">
        <v>178</v>
      </c>
      <c r="AD691" s="3">
        <v>40233</v>
      </c>
      <c r="AE691" s="4">
        <v>0.86458333333333337</v>
      </c>
      <c r="AF691" s="2"/>
      <c r="AG691" s="2"/>
      <c r="AH691" s="2">
        <v>6</v>
      </c>
      <c r="AI691" s="2" t="s">
        <v>197</v>
      </c>
      <c r="AJ691" s="2">
        <v>60</v>
      </c>
      <c r="AK691" s="2" t="s">
        <v>543</v>
      </c>
      <c r="AL691" s="2">
        <v>11</v>
      </c>
      <c r="AM691" s="2" t="s">
        <v>137</v>
      </c>
      <c r="AN691" s="2" t="s">
        <v>2831</v>
      </c>
      <c r="AO691" s="2" t="s">
        <v>2832</v>
      </c>
      <c r="AP691" s="2">
        <v>11</v>
      </c>
      <c r="AQ691" s="2" t="s">
        <v>82</v>
      </c>
      <c r="AR691" s="2"/>
      <c r="AS691" s="2"/>
      <c r="AT691" s="2" t="s">
        <v>2837</v>
      </c>
      <c r="AU691" s="2"/>
      <c r="AV691" s="2"/>
      <c r="AW691" s="2">
        <v>1</v>
      </c>
      <c r="AX691" s="2"/>
      <c r="AY691" s="2">
        <v>41</v>
      </c>
      <c r="AZ691" s="2" t="s">
        <v>82</v>
      </c>
      <c r="BA691" s="2">
        <v>41</v>
      </c>
      <c r="BB691" s="2" t="s">
        <v>82</v>
      </c>
      <c r="BC691" s="2">
        <v>41</v>
      </c>
      <c r="BD691" s="2" t="s">
        <v>82</v>
      </c>
      <c r="BE691" s="2">
        <v>13</v>
      </c>
      <c r="BF691" s="2" t="s">
        <v>108</v>
      </c>
      <c r="BG691" s="2" t="s">
        <v>2834</v>
      </c>
      <c r="BH691" s="2"/>
      <c r="BI691" s="4">
        <v>0.90625</v>
      </c>
      <c r="BJ691" s="2">
        <v>13</v>
      </c>
      <c r="BK691" s="2" t="s">
        <v>91</v>
      </c>
      <c r="BL691" s="2" t="s">
        <v>895</v>
      </c>
      <c r="BM691" s="2">
        <v>13</v>
      </c>
      <c r="BN691" s="2" t="s">
        <v>91</v>
      </c>
      <c r="BO691" s="2"/>
      <c r="BP691" s="2">
        <v>13</v>
      </c>
      <c r="BQ691" s="2" t="s">
        <v>91</v>
      </c>
      <c r="BR691" s="2" t="s">
        <v>564</v>
      </c>
      <c r="BS691" s="3">
        <v>40234</v>
      </c>
      <c r="BT691" s="4">
        <v>7.1736111111111112E-2</v>
      </c>
    </row>
    <row r="692" spans="1:72" x14ac:dyDescent="0.25">
      <c r="A692" s="2">
        <v>1084</v>
      </c>
      <c r="B692" s="2">
        <v>2010</v>
      </c>
      <c r="C692" s="2" t="s">
        <v>128</v>
      </c>
      <c r="D692" s="2" t="s">
        <v>122</v>
      </c>
      <c r="E692" s="2"/>
      <c r="F692" s="2">
        <v>509</v>
      </c>
      <c r="G692" s="2" t="s">
        <v>2629</v>
      </c>
      <c r="H692" s="2">
        <v>42</v>
      </c>
      <c r="I692" s="2" t="s">
        <v>1096</v>
      </c>
      <c r="J692" s="2">
        <v>429</v>
      </c>
      <c r="K692" s="2" t="s">
        <v>2555</v>
      </c>
      <c r="L692" s="2" t="s">
        <v>2556</v>
      </c>
      <c r="M692" s="3">
        <v>40234</v>
      </c>
      <c r="N692" s="2" t="s">
        <v>2838</v>
      </c>
      <c r="O692" s="2" t="s">
        <v>82</v>
      </c>
      <c r="P692" s="2" t="s">
        <v>82</v>
      </c>
      <c r="Q692" s="2" t="str">
        <f>"N/C"</f>
        <v>N/C</v>
      </c>
      <c r="R692" s="2" t="s">
        <v>82</v>
      </c>
      <c r="S692" s="2" t="s">
        <v>2839</v>
      </c>
      <c r="T692" s="2">
        <v>1</v>
      </c>
      <c r="U692" s="2" t="s">
        <v>79</v>
      </c>
      <c r="V692" s="2">
        <v>1</v>
      </c>
      <c r="W692" s="2" t="s">
        <v>80</v>
      </c>
      <c r="X692" s="2">
        <v>5</v>
      </c>
      <c r="Y692" s="2" t="s">
        <v>82</v>
      </c>
      <c r="Z692" s="2">
        <v>1</v>
      </c>
      <c r="AA692" s="2" t="s">
        <v>82</v>
      </c>
      <c r="AB692" s="2">
        <v>9</v>
      </c>
      <c r="AC692" s="2" t="s">
        <v>124</v>
      </c>
      <c r="AD692" s="3">
        <v>40233</v>
      </c>
      <c r="AE692" s="4">
        <v>0.63541666666666663</v>
      </c>
      <c r="AF692" s="2"/>
      <c r="AG692" s="2"/>
      <c r="AH692" s="2">
        <v>2</v>
      </c>
      <c r="AI692" s="2" t="s">
        <v>84</v>
      </c>
      <c r="AJ692" s="2">
        <v>12</v>
      </c>
      <c r="AK692" s="2" t="s">
        <v>85</v>
      </c>
      <c r="AL692" s="2">
        <v>18</v>
      </c>
      <c r="AM692" s="2" t="s">
        <v>82</v>
      </c>
      <c r="AN692" s="2" t="s">
        <v>2840</v>
      </c>
      <c r="AO692" s="2" t="s">
        <v>82</v>
      </c>
      <c r="AP692" s="2">
        <v>11</v>
      </c>
      <c r="AQ692" s="2" t="s">
        <v>82</v>
      </c>
      <c r="AR692" s="2" t="s">
        <v>82</v>
      </c>
      <c r="AS692" s="2" t="s">
        <v>82</v>
      </c>
      <c r="AT692" s="2" t="s">
        <v>2841</v>
      </c>
      <c r="AU692" s="2"/>
      <c r="AV692" s="2"/>
      <c r="AW692" s="2"/>
      <c r="AX692" s="2"/>
      <c r="AY692" s="2">
        <v>41</v>
      </c>
      <c r="AZ692" s="2" t="s">
        <v>82</v>
      </c>
      <c r="BA692" s="2">
        <v>41</v>
      </c>
      <c r="BB692" s="2" t="s">
        <v>82</v>
      </c>
      <c r="BC692" s="2">
        <v>41</v>
      </c>
      <c r="BD692" s="2" t="s">
        <v>82</v>
      </c>
      <c r="BE692" s="2">
        <v>41</v>
      </c>
      <c r="BF692" s="2" t="s">
        <v>82</v>
      </c>
      <c r="BG692" s="2" t="s">
        <v>82</v>
      </c>
      <c r="BH692" s="4">
        <v>0.61458333333333337</v>
      </c>
      <c r="BI692" s="4">
        <v>0.47916666666666669</v>
      </c>
      <c r="BJ692" s="2">
        <v>13</v>
      </c>
      <c r="BK692" s="2" t="s">
        <v>91</v>
      </c>
      <c r="BL692" s="2" t="s">
        <v>492</v>
      </c>
      <c r="BM692" s="2">
        <v>241</v>
      </c>
      <c r="BN692" s="2" t="s">
        <v>82</v>
      </c>
      <c r="BO692" s="2" t="s">
        <v>82</v>
      </c>
      <c r="BP692" s="2">
        <v>241</v>
      </c>
      <c r="BQ692" s="2" t="s">
        <v>82</v>
      </c>
      <c r="BR692" s="2" t="s">
        <v>1040</v>
      </c>
      <c r="BS692" s="3">
        <v>40234</v>
      </c>
      <c r="BT692" s="4">
        <v>0.12373842592592592</v>
      </c>
    </row>
    <row r="693" spans="1:72" x14ac:dyDescent="0.25">
      <c r="A693" s="2">
        <v>1085</v>
      </c>
      <c r="B693" s="2">
        <v>2010</v>
      </c>
      <c r="C693" s="2" t="s">
        <v>1568</v>
      </c>
      <c r="D693" s="2" t="s">
        <v>73</v>
      </c>
      <c r="E693" s="2"/>
      <c r="F693" s="2">
        <v>482</v>
      </c>
      <c r="G693" s="2" t="s">
        <v>1457</v>
      </c>
      <c r="H693" s="2">
        <v>15</v>
      </c>
      <c r="I693" s="2" t="s">
        <v>130</v>
      </c>
      <c r="J693" s="2">
        <v>167</v>
      </c>
      <c r="K693" s="2" t="s">
        <v>1032</v>
      </c>
      <c r="L693" s="2" t="s">
        <v>1033</v>
      </c>
      <c r="M693" s="3">
        <v>40234</v>
      </c>
      <c r="N693" s="2" t="s">
        <v>2842</v>
      </c>
      <c r="O693" s="2" t="s">
        <v>82</v>
      </c>
      <c r="P693" s="2" t="s">
        <v>82</v>
      </c>
      <c r="Q693" s="2" t="str">
        <f>"069-A/10"</f>
        <v>069-A/10</v>
      </c>
      <c r="R693" s="2" t="s">
        <v>82</v>
      </c>
      <c r="S693" s="2" t="s">
        <v>480</v>
      </c>
      <c r="T693" s="2">
        <v>1</v>
      </c>
      <c r="U693" s="2" t="s">
        <v>79</v>
      </c>
      <c r="V693" s="2">
        <v>1</v>
      </c>
      <c r="W693" s="2" t="s">
        <v>80</v>
      </c>
      <c r="X693" s="2">
        <v>1</v>
      </c>
      <c r="Y693" s="2" t="s">
        <v>81</v>
      </c>
      <c r="Z693" s="2">
        <v>1</v>
      </c>
      <c r="AA693" s="2" t="s">
        <v>82</v>
      </c>
      <c r="AB693" s="2">
        <v>4</v>
      </c>
      <c r="AC693" s="2" t="s">
        <v>1569</v>
      </c>
      <c r="AD693" s="3">
        <v>40234</v>
      </c>
      <c r="AE693" s="4">
        <v>0.15625</v>
      </c>
      <c r="AF693" s="2"/>
      <c r="AG693" s="2"/>
      <c r="AH693" s="2">
        <v>2</v>
      </c>
      <c r="AI693" s="2" t="s">
        <v>84</v>
      </c>
      <c r="AJ693" s="2">
        <v>12</v>
      </c>
      <c r="AK693" s="2" t="s">
        <v>85</v>
      </c>
      <c r="AL693" s="2">
        <v>16</v>
      </c>
      <c r="AM693" s="2" t="s">
        <v>392</v>
      </c>
      <c r="AN693" s="2" t="s">
        <v>322</v>
      </c>
      <c r="AO693" s="2"/>
      <c r="AP693" s="2">
        <v>12</v>
      </c>
      <c r="AQ693" s="2" t="s">
        <v>322</v>
      </c>
      <c r="AR693" s="2" t="s">
        <v>827</v>
      </c>
      <c r="AS693" s="2" t="s">
        <v>107</v>
      </c>
      <c r="AT693" s="2" t="s">
        <v>2843</v>
      </c>
      <c r="AU693" s="2"/>
      <c r="AV693" s="2"/>
      <c r="AW693" s="2"/>
      <c r="AX693" s="2"/>
      <c r="AY693" s="2">
        <v>41</v>
      </c>
      <c r="AZ693" s="2" t="s">
        <v>82</v>
      </c>
      <c r="BA693" s="2">
        <v>41</v>
      </c>
      <c r="BB693" s="2" t="s">
        <v>82</v>
      </c>
      <c r="BC693" s="2">
        <v>41</v>
      </c>
      <c r="BD693" s="2" t="s">
        <v>82</v>
      </c>
      <c r="BE693" s="2">
        <v>41</v>
      </c>
      <c r="BF693" s="2" t="s">
        <v>82</v>
      </c>
      <c r="BG693" s="2" t="s">
        <v>82</v>
      </c>
      <c r="BH693" s="2"/>
      <c r="BI693" s="2"/>
      <c r="BJ693" s="2">
        <v>13</v>
      </c>
      <c r="BK693" s="2" t="s">
        <v>91</v>
      </c>
      <c r="BL693" s="2" t="s">
        <v>2844</v>
      </c>
      <c r="BM693" s="2">
        <v>241</v>
      </c>
      <c r="BN693" s="2" t="s">
        <v>82</v>
      </c>
      <c r="BO693" s="2" t="s">
        <v>82</v>
      </c>
      <c r="BP693" s="2">
        <v>13</v>
      </c>
      <c r="BQ693" s="2" t="s">
        <v>91</v>
      </c>
      <c r="BR693" s="2" t="s">
        <v>1014</v>
      </c>
      <c r="BS693" s="3">
        <v>40234</v>
      </c>
      <c r="BT693" s="4">
        <v>0.41994212962962968</v>
      </c>
    </row>
    <row r="694" spans="1:72" x14ac:dyDescent="0.25">
      <c r="A694" s="2">
        <v>1086</v>
      </c>
      <c r="B694" s="2">
        <v>2010</v>
      </c>
      <c r="C694" s="2" t="s">
        <v>72</v>
      </c>
      <c r="D694" s="2" t="s">
        <v>73</v>
      </c>
      <c r="E694" s="2"/>
      <c r="F694" s="2">
        <v>24</v>
      </c>
      <c r="G694" s="2" t="s">
        <v>532</v>
      </c>
      <c r="H694" s="2">
        <v>1</v>
      </c>
      <c r="I694" s="2" t="s">
        <v>82</v>
      </c>
      <c r="J694" s="2">
        <v>300</v>
      </c>
      <c r="K694" s="2" t="s">
        <v>114</v>
      </c>
      <c r="L694" s="2" t="s">
        <v>115</v>
      </c>
      <c r="M694" s="3">
        <v>40234</v>
      </c>
      <c r="N694" s="2" t="s">
        <v>82</v>
      </c>
      <c r="O694" s="2"/>
      <c r="P694" s="2"/>
      <c r="Q694" s="2" t="str">
        <f>"111-E/10"</f>
        <v>111-E/10</v>
      </c>
      <c r="R694" s="2"/>
      <c r="S694" s="2" t="s">
        <v>116</v>
      </c>
      <c r="T694" s="2">
        <v>1</v>
      </c>
      <c r="U694" s="2" t="s">
        <v>79</v>
      </c>
      <c r="V694" s="2">
        <v>1</v>
      </c>
      <c r="W694" s="2" t="s">
        <v>80</v>
      </c>
      <c r="X694" s="2">
        <v>1</v>
      </c>
      <c r="Y694" s="2" t="s">
        <v>81</v>
      </c>
      <c r="Z694" s="2">
        <v>1</v>
      </c>
      <c r="AA694" s="2" t="s">
        <v>82</v>
      </c>
      <c r="AB694" s="2">
        <v>6</v>
      </c>
      <c r="AC694" s="2" t="s">
        <v>83</v>
      </c>
      <c r="AD694" s="3">
        <v>40233</v>
      </c>
      <c r="AE694" s="4">
        <v>0.41666666666666669</v>
      </c>
      <c r="AF694" s="3">
        <v>40233</v>
      </c>
      <c r="AG694" s="4">
        <v>0.5</v>
      </c>
      <c r="AH694" s="2">
        <v>2</v>
      </c>
      <c r="AI694" s="2" t="s">
        <v>84</v>
      </c>
      <c r="AJ694" s="2">
        <v>9</v>
      </c>
      <c r="AK694" s="2" t="s">
        <v>103</v>
      </c>
      <c r="AL694" s="2">
        <v>12</v>
      </c>
      <c r="AM694" s="2" t="s">
        <v>86</v>
      </c>
      <c r="AN694" s="2" t="s">
        <v>2845</v>
      </c>
      <c r="AO694" s="2"/>
      <c r="AP694" s="2">
        <v>11</v>
      </c>
      <c r="AQ694" s="2" t="s">
        <v>82</v>
      </c>
      <c r="AR694" s="2"/>
      <c r="AS694" s="2"/>
      <c r="AT694" s="2" t="s">
        <v>2846</v>
      </c>
      <c r="AU694" s="2"/>
      <c r="AV694" s="2"/>
      <c r="AW694" s="2"/>
      <c r="AX694" s="2"/>
      <c r="AY694" s="2">
        <v>41</v>
      </c>
      <c r="AZ694" s="2" t="s">
        <v>82</v>
      </c>
      <c r="BA694" s="2">
        <v>41</v>
      </c>
      <c r="BB694" s="2" t="s">
        <v>82</v>
      </c>
      <c r="BC694" s="2">
        <v>41</v>
      </c>
      <c r="BD694" s="2" t="s">
        <v>82</v>
      </c>
      <c r="BE694" s="2">
        <v>29</v>
      </c>
      <c r="BF694" s="2" t="s">
        <v>2411</v>
      </c>
      <c r="BG694" s="2" t="s">
        <v>2847</v>
      </c>
      <c r="BH694" s="4">
        <v>0.41666666666666669</v>
      </c>
      <c r="BI694" s="2"/>
      <c r="BJ694" s="2">
        <v>16</v>
      </c>
      <c r="BK694" s="2" t="s">
        <v>2130</v>
      </c>
      <c r="BL694" s="2" t="s">
        <v>2413</v>
      </c>
      <c r="BM694" s="2">
        <v>241</v>
      </c>
      <c r="BN694" s="2" t="s">
        <v>82</v>
      </c>
      <c r="BO694" s="2" t="s">
        <v>82</v>
      </c>
      <c r="BP694" s="2">
        <v>13</v>
      </c>
      <c r="BQ694" s="2" t="s">
        <v>91</v>
      </c>
      <c r="BR694" s="2" t="s">
        <v>360</v>
      </c>
      <c r="BS694" s="3">
        <v>40234</v>
      </c>
      <c r="BT694" s="4">
        <v>0.44550925925925927</v>
      </c>
    </row>
    <row r="695" spans="1:72" x14ac:dyDescent="0.25">
      <c r="A695" s="2">
        <v>1087</v>
      </c>
      <c r="B695" s="2">
        <v>2010</v>
      </c>
      <c r="C695" s="2" t="s">
        <v>642</v>
      </c>
      <c r="D695" s="2" t="s">
        <v>122</v>
      </c>
      <c r="E695" s="2"/>
      <c r="F695" s="2">
        <v>14</v>
      </c>
      <c r="G695" s="2" t="s">
        <v>2848</v>
      </c>
      <c r="H695" s="2">
        <v>4</v>
      </c>
      <c r="I695" s="2" t="s">
        <v>173</v>
      </c>
      <c r="J695" s="2">
        <v>19</v>
      </c>
      <c r="K695" s="2" t="s">
        <v>2144</v>
      </c>
      <c r="L695" s="2" t="s">
        <v>2145</v>
      </c>
      <c r="M695" s="3">
        <v>40234</v>
      </c>
      <c r="N695" s="2" t="s">
        <v>423</v>
      </c>
      <c r="O695" s="2" t="s">
        <v>2849</v>
      </c>
      <c r="P695" s="2" t="s">
        <v>2850</v>
      </c>
      <c r="Q695" s="2" t="str">
        <f>"N/C"</f>
        <v>N/C</v>
      </c>
      <c r="R695" s="2" t="s">
        <v>82</v>
      </c>
      <c r="S695" s="2" t="s">
        <v>82</v>
      </c>
      <c r="T695" s="2">
        <v>1</v>
      </c>
      <c r="U695" s="2" t="s">
        <v>79</v>
      </c>
      <c r="V695" s="2">
        <v>3</v>
      </c>
      <c r="W695" s="2" t="s">
        <v>225</v>
      </c>
      <c r="X695" s="2">
        <v>2</v>
      </c>
      <c r="Y695" s="2" t="s">
        <v>136</v>
      </c>
      <c r="Z695" s="2">
        <v>1</v>
      </c>
      <c r="AA695" s="2" t="s">
        <v>82</v>
      </c>
      <c r="AB695" s="2">
        <v>9</v>
      </c>
      <c r="AC695" s="2" t="s">
        <v>124</v>
      </c>
      <c r="AD695" s="3">
        <v>40080</v>
      </c>
      <c r="AE695" s="4">
        <v>0.53472222222222221</v>
      </c>
      <c r="AF695" s="2"/>
      <c r="AG695" s="2"/>
      <c r="AH695" s="2">
        <v>3</v>
      </c>
      <c r="AI695" s="2" t="s">
        <v>214</v>
      </c>
      <c r="AJ695" s="2">
        <v>14</v>
      </c>
      <c r="AK695" s="2" t="s">
        <v>342</v>
      </c>
      <c r="AL695" s="2">
        <v>18</v>
      </c>
      <c r="AM695" s="2" t="s">
        <v>82</v>
      </c>
      <c r="AN695" s="2" t="s">
        <v>82</v>
      </c>
      <c r="AO695" s="2" t="s">
        <v>82</v>
      </c>
      <c r="AP695" s="2">
        <v>11</v>
      </c>
      <c r="AQ695" s="2" t="s">
        <v>82</v>
      </c>
      <c r="AR695" s="2"/>
      <c r="AS695" s="2"/>
      <c r="AT695" s="2" t="s">
        <v>2851</v>
      </c>
      <c r="AU695" s="2"/>
      <c r="AV695" s="2"/>
      <c r="AW695" s="2"/>
      <c r="AX695" s="2"/>
      <c r="AY695" s="2">
        <v>1</v>
      </c>
      <c r="AZ695" s="2" t="s">
        <v>107</v>
      </c>
      <c r="BA695" s="2">
        <v>1</v>
      </c>
      <c r="BB695" s="2" t="s">
        <v>107</v>
      </c>
      <c r="BC695" s="2">
        <v>1</v>
      </c>
      <c r="BD695" s="2" t="s">
        <v>107</v>
      </c>
      <c r="BE695" s="2">
        <v>1</v>
      </c>
      <c r="BF695" s="2" t="s">
        <v>107</v>
      </c>
      <c r="BG695" s="2"/>
      <c r="BH695" s="2"/>
      <c r="BI695" s="2"/>
      <c r="BJ695" s="2">
        <v>242</v>
      </c>
      <c r="BK695" s="2" t="s">
        <v>107</v>
      </c>
      <c r="BL695" s="2"/>
      <c r="BM695" s="2">
        <v>242</v>
      </c>
      <c r="BN695" s="2" t="s">
        <v>107</v>
      </c>
      <c r="BO695" s="2"/>
      <c r="BP695" s="2">
        <v>242</v>
      </c>
      <c r="BQ695" s="2" t="s">
        <v>107</v>
      </c>
      <c r="BR695" s="2"/>
      <c r="BS695" s="3">
        <v>40234</v>
      </c>
      <c r="BT695" s="4">
        <v>0.45902777777777781</v>
      </c>
    </row>
    <row r="696" spans="1:72" x14ac:dyDescent="0.25">
      <c r="A696" s="2">
        <v>1088</v>
      </c>
      <c r="B696" s="2">
        <v>2010</v>
      </c>
      <c r="C696" s="2" t="s">
        <v>93</v>
      </c>
      <c r="D696" s="2" t="s">
        <v>73</v>
      </c>
      <c r="E696" s="2"/>
      <c r="F696" s="2">
        <v>516</v>
      </c>
      <c r="G696" s="2" t="s">
        <v>2852</v>
      </c>
      <c r="H696" s="2">
        <v>62</v>
      </c>
      <c r="I696" s="2" t="s">
        <v>2853</v>
      </c>
      <c r="J696" s="2">
        <v>440</v>
      </c>
      <c r="K696" s="2" t="s">
        <v>2854</v>
      </c>
      <c r="L696" s="2" t="s">
        <v>317</v>
      </c>
      <c r="M696" s="3">
        <v>40234</v>
      </c>
      <c r="N696" s="2" t="s">
        <v>2855</v>
      </c>
      <c r="O696" s="2" t="s">
        <v>2856</v>
      </c>
      <c r="P696" s="2" t="s">
        <v>2857</v>
      </c>
      <c r="Q696" s="2" t="str">
        <f>"N/C"</f>
        <v>N/C</v>
      </c>
      <c r="R696" s="2"/>
      <c r="S696" s="2" t="s">
        <v>100</v>
      </c>
      <c r="T696" s="2">
        <v>1</v>
      </c>
      <c r="U696" s="2" t="s">
        <v>79</v>
      </c>
      <c r="V696" s="2">
        <v>1</v>
      </c>
      <c r="W696" s="2" t="s">
        <v>80</v>
      </c>
      <c r="X696" s="2">
        <v>1</v>
      </c>
      <c r="Y696" s="2" t="s">
        <v>81</v>
      </c>
      <c r="Z696" s="2">
        <v>6</v>
      </c>
      <c r="AA696" s="2" t="s">
        <v>101</v>
      </c>
      <c r="AB696" s="2">
        <v>2</v>
      </c>
      <c r="AC696" s="2" t="s">
        <v>102</v>
      </c>
      <c r="AD696" s="3">
        <v>40233</v>
      </c>
      <c r="AE696" s="4">
        <v>0.8125</v>
      </c>
      <c r="AF696" s="3">
        <v>40233</v>
      </c>
      <c r="AG696" s="4">
        <v>0.95833333333333337</v>
      </c>
      <c r="AH696" s="2">
        <v>2</v>
      </c>
      <c r="AI696" s="2" t="s">
        <v>84</v>
      </c>
      <c r="AJ696" s="2">
        <v>9</v>
      </c>
      <c r="AK696" s="2" t="s">
        <v>103</v>
      </c>
      <c r="AL696" s="2">
        <v>14</v>
      </c>
      <c r="AM696" s="2" t="s">
        <v>216</v>
      </c>
      <c r="AN696" s="2" t="s">
        <v>1340</v>
      </c>
      <c r="AO696" s="2"/>
      <c r="AP696" s="2">
        <v>11</v>
      </c>
      <c r="AQ696" s="2" t="s">
        <v>82</v>
      </c>
      <c r="AR696" s="2"/>
      <c r="AS696" s="2"/>
      <c r="AT696" s="2" t="s">
        <v>2858</v>
      </c>
      <c r="AU696" s="2">
        <v>1</v>
      </c>
      <c r="AV696" s="2"/>
      <c r="AW696" s="2"/>
      <c r="AX696" s="2"/>
      <c r="AY696" s="2">
        <v>41</v>
      </c>
      <c r="AZ696" s="2" t="s">
        <v>82</v>
      </c>
      <c r="BA696" s="2">
        <v>41</v>
      </c>
      <c r="BB696" s="2" t="s">
        <v>82</v>
      </c>
      <c r="BC696" s="2">
        <v>41</v>
      </c>
      <c r="BD696" s="2" t="s">
        <v>82</v>
      </c>
      <c r="BE696" s="2">
        <v>18</v>
      </c>
      <c r="BF696" s="2" t="s">
        <v>1091</v>
      </c>
      <c r="BG696" s="2" t="s">
        <v>2859</v>
      </c>
      <c r="BH696" s="2"/>
      <c r="BI696" s="4">
        <v>0.875</v>
      </c>
      <c r="BJ696" s="2">
        <v>13</v>
      </c>
      <c r="BK696" s="2" t="s">
        <v>91</v>
      </c>
      <c r="BL696" s="2" t="s">
        <v>360</v>
      </c>
      <c r="BM696" s="2">
        <v>241</v>
      </c>
      <c r="BN696" s="2" t="s">
        <v>82</v>
      </c>
      <c r="BO696" s="2"/>
      <c r="BP696" s="2">
        <v>133</v>
      </c>
      <c r="BQ696" s="2" t="s">
        <v>2860</v>
      </c>
      <c r="BR696" s="2" t="s">
        <v>2861</v>
      </c>
      <c r="BS696" s="3">
        <v>40234</v>
      </c>
      <c r="BT696" s="4">
        <v>0.46702546296296293</v>
      </c>
    </row>
    <row r="697" spans="1:72" x14ac:dyDescent="0.25">
      <c r="A697" s="2">
        <v>1090</v>
      </c>
      <c r="B697" s="2">
        <v>2010</v>
      </c>
      <c r="C697" s="2" t="s">
        <v>121</v>
      </c>
      <c r="D697" s="2" t="s">
        <v>122</v>
      </c>
      <c r="E697" s="2"/>
      <c r="F697" s="2">
        <v>1</v>
      </c>
      <c r="G697" s="2" t="s">
        <v>82</v>
      </c>
      <c r="H697" s="2">
        <v>1</v>
      </c>
      <c r="I697" s="2" t="s">
        <v>82</v>
      </c>
      <c r="J697" s="2">
        <v>1</v>
      </c>
      <c r="K697" s="2" t="s">
        <v>107</v>
      </c>
      <c r="L697" s="2" t="s">
        <v>107</v>
      </c>
      <c r="M697" s="3">
        <v>40234</v>
      </c>
      <c r="N697" s="2"/>
      <c r="O697" s="2"/>
      <c r="P697" s="2"/>
      <c r="Q697" s="2" t="str">
        <f>""</f>
        <v/>
      </c>
      <c r="R697" s="2"/>
      <c r="S697" s="2"/>
      <c r="T697" s="2">
        <v>2</v>
      </c>
      <c r="U697" s="2" t="s">
        <v>123</v>
      </c>
      <c r="V697" s="2">
        <v>1</v>
      </c>
      <c r="W697" s="2" t="s">
        <v>80</v>
      </c>
      <c r="X697" s="2">
        <v>1</v>
      </c>
      <c r="Y697" s="2" t="s">
        <v>81</v>
      </c>
      <c r="Z697" s="2">
        <v>4</v>
      </c>
      <c r="AA697" s="2" t="s">
        <v>182</v>
      </c>
      <c r="AB697" s="2">
        <v>9</v>
      </c>
      <c r="AC697" s="2" t="s">
        <v>124</v>
      </c>
      <c r="AD697" s="2"/>
      <c r="AE697" s="2"/>
      <c r="AF697" s="2"/>
      <c r="AG697" s="2"/>
      <c r="AH697" s="2">
        <v>4</v>
      </c>
      <c r="AI697" s="2" t="s">
        <v>125</v>
      </c>
      <c r="AJ697" s="2">
        <v>30</v>
      </c>
      <c r="AK697" s="2" t="s">
        <v>258</v>
      </c>
      <c r="AL697" s="2">
        <v>10</v>
      </c>
      <c r="AM697" s="2" t="s">
        <v>200</v>
      </c>
      <c r="AN697" s="2" t="s">
        <v>2862</v>
      </c>
      <c r="AO697" s="2" t="s">
        <v>2863</v>
      </c>
      <c r="AP697" s="2">
        <v>11</v>
      </c>
      <c r="AQ697" s="2" t="s">
        <v>82</v>
      </c>
      <c r="AR697" s="2"/>
      <c r="AS697" s="2"/>
      <c r="AT697" s="2" t="s">
        <v>2864</v>
      </c>
      <c r="AU697" s="2"/>
      <c r="AV697" s="2"/>
      <c r="AW697" s="2"/>
      <c r="AX697" s="2"/>
      <c r="AY697" s="2">
        <v>41</v>
      </c>
      <c r="AZ697" s="2" t="s">
        <v>82</v>
      </c>
      <c r="BA697" s="2">
        <v>41</v>
      </c>
      <c r="BB697" s="2" t="s">
        <v>82</v>
      </c>
      <c r="BC697" s="2">
        <v>42</v>
      </c>
      <c r="BD697" s="2" t="s">
        <v>182</v>
      </c>
      <c r="BE697" s="2">
        <v>42</v>
      </c>
      <c r="BF697" s="2" t="s">
        <v>182</v>
      </c>
      <c r="BG697" s="2"/>
      <c r="BH697" s="4">
        <v>0.51041666666666663</v>
      </c>
      <c r="BI697" s="4">
        <v>0.54513888888888895</v>
      </c>
      <c r="BJ697" s="2">
        <v>13</v>
      </c>
      <c r="BK697" s="2" t="s">
        <v>91</v>
      </c>
      <c r="BL697" s="2" t="s">
        <v>185</v>
      </c>
      <c r="BM697" s="2">
        <v>13</v>
      </c>
      <c r="BN697" s="2" t="s">
        <v>91</v>
      </c>
      <c r="BO697" s="2" t="s">
        <v>2865</v>
      </c>
      <c r="BP697" s="2">
        <v>13</v>
      </c>
      <c r="BQ697" s="2" t="s">
        <v>91</v>
      </c>
      <c r="BR697" s="2" t="s">
        <v>828</v>
      </c>
      <c r="BS697" s="3">
        <v>40234</v>
      </c>
      <c r="BT697" s="4">
        <v>0.55822916666666667</v>
      </c>
    </row>
    <row r="698" spans="1:72" x14ac:dyDescent="0.25">
      <c r="A698" s="2">
        <v>1091</v>
      </c>
      <c r="B698" s="2">
        <v>2010</v>
      </c>
      <c r="C698" s="2" t="s">
        <v>147</v>
      </c>
      <c r="D698" s="2" t="s">
        <v>73</v>
      </c>
      <c r="E698" s="2"/>
      <c r="F698" s="2">
        <v>1</v>
      </c>
      <c r="G698" s="2" t="s">
        <v>82</v>
      </c>
      <c r="H698" s="2">
        <v>1</v>
      </c>
      <c r="I698" s="2" t="s">
        <v>82</v>
      </c>
      <c r="J698" s="2">
        <v>1</v>
      </c>
      <c r="K698" s="2" t="s">
        <v>107</v>
      </c>
      <c r="L698" s="2" t="s">
        <v>107</v>
      </c>
      <c r="M698" s="3">
        <v>40234</v>
      </c>
      <c r="N698" s="2"/>
      <c r="O698" s="2"/>
      <c r="P698" s="2"/>
      <c r="Q698" s="2" t="str">
        <f>""</f>
        <v/>
      </c>
      <c r="R698" s="2"/>
      <c r="S698" s="2"/>
      <c r="T698" s="2">
        <v>2</v>
      </c>
      <c r="U698" s="2" t="s">
        <v>123</v>
      </c>
      <c r="V698" s="2">
        <v>1</v>
      </c>
      <c r="W698" s="2" t="s">
        <v>80</v>
      </c>
      <c r="X698" s="2">
        <v>12</v>
      </c>
      <c r="Y698" s="2" t="s">
        <v>148</v>
      </c>
      <c r="Z698" s="2">
        <v>1</v>
      </c>
      <c r="AA698" s="2" t="s">
        <v>82</v>
      </c>
      <c r="AB698" s="2">
        <v>9</v>
      </c>
      <c r="AC698" s="2" t="s">
        <v>124</v>
      </c>
      <c r="AD698" s="3">
        <v>40234</v>
      </c>
      <c r="AE698" s="2"/>
      <c r="AF698" s="3">
        <v>40234</v>
      </c>
      <c r="AG698" s="4">
        <v>0.59861111111111109</v>
      </c>
      <c r="AH698" s="2">
        <v>2</v>
      </c>
      <c r="AI698" s="2" t="s">
        <v>84</v>
      </c>
      <c r="AJ698" s="2">
        <v>12</v>
      </c>
      <c r="AK698" s="2" t="s">
        <v>85</v>
      </c>
      <c r="AL698" s="2">
        <v>19</v>
      </c>
      <c r="AM698" s="2" t="s">
        <v>107</v>
      </c>
      <c r="AN698" s="2" t="s">
        <v>107</v>
      </c>
      <c r="AO698" s="2" t="s">
        <v>2866</v>
      </c>
      <c r="AP698" s="2">
        <v>11</v>
      </c>
      <c r="AQ698" s="2" t="s">
        <v>82</v>
      </c>
      <c r="AR698" s="2"/>
      <c r="AS698" s="2"/>
      <c r="AT698" s="2" t="s">
        <v>2867</v>
      </c>
      <c r="AU698" s="2"/>
      <c r="AV698" s="2"/>
      <c r="AW698" s="2"/>
      <c r="AX698" s="2"/>
      <c r="AY698" s="2">
        <v>41</v>
      </c>
      <c r="AZ698" s="2" t="s">
        <v>82</v>
      </c>
      <c r="BA698" s="2">
        <v>41</v>
      </c>
      <c r="BB698" s="2" t="s">
        <v>82</v>
      </c>
      <c r="BC698" s="2">
        <v>41</v>
      </c>
      <c r="BD698" s="2" t="s">
        <v>82</v>
      </c>
      <c r="BE698" s="2">
        <v>41</v>
      </c>
      <c r="BF698" s="2" t="s">
        <v>82</v>
      </c>
      <c r="BG698" s="2"/>
      <c r="BH698" s="2"/>
      <c r="BI698" s="2"/>
      <c r="BJ698" s="2">
        <v>241</v>
      </c>
      <c r="BK698" s="2" t="s">
        <v>82</v>
      </c>
      <c r="BL698" s="2"/>
      <c r="BM698" s="2">
        <v>241</v>
      </c>
      <c r="BN698" s="2" t="s">
        <v>82</v>
      </c>
      <c r="BO698" s="2"/>
      <c r="BP698" s="2">
        <v>241</v>
      </c>
      <c r="BQ698" s="2" t="s">
        <v>82</v>
      </c>
      <c r="BR698" s="2"/>
      <c r="BS698" s="3">
        <v>40234</v>
      </c>
      <c r="BT698" s="4">
        <v>0.62769675925925927</v>
      </c>
    </row>
    <row r="699" spans="1:72" x14ac:dyDescent="0.25">
      <c r="A699" s="2">
        <v>1095</v>
      </c>
      <c r="B699" s="2">
        <v>2010</v>
      </c>
      <c r="C699" s="2" t="s">
        <v>255</v>
      </c>
      <c r="D699" s="2" t="s">
        <v>73</v>
      </c>
      <c r="E699" s="2"/>
      <c r="F699" s="2">
        <v>305</v>
      </c>
      <c r="G699" s="2" t="s">
        <v>2601</v>
      </c>
      <c r="H699" s="2">
        <v>3</v>
      </c>
      <c r="I699" s="2" t="s">
        <v>315</v>
      </c>
      <c r="J699" s="2">
        <v>415</v>
      </c>
      <c r="K699" s="2" t="s">
        <v>2200</v>
      </c>
      <c r="L699" s="2" t="s">
        <v>575</v>
      </c>
      <c r="M699" s="3">
        <v>40234</v>
      </c>
      <c r="N699" s="2" t="s">
        <v>2868</v>
      </c>
      <c r="O699" s="2" t="s">
        <v>2202</v>
      </c>
      <c r="P699" s="2" t="s">
        <v>2869</v>
      </c>
      <c r="Q699" s="2" t="str">
        <f>"0005/10"</f>
        <v>0005/10</v>
      </c>
      <c r="R699" s="2" t="s">
        <v>934</v>
      </c>
      <c r="S699" s="2"/>
      <c r="T699" s="2">
        <v>1</v>
      </c>
      <c r="U699" s="2" t="s">
        <v>79</v>
      </c>
      <c r="V699" s="2">
        <v>1</v>
      </c>
      <c r="W699" s="2" t="s">
        <v>80</v>
      </c>
      <c r="X699" s="2">
        <v>5</v>
      </c>
      <c r="Y699" s="2" t="s">
        <v>82</v>
      </c>
      <c r="Z699" s="2">
        <v>1</v>
      </c>
      <c r="AA699" s="2" t="s">
        <v>82</v>
      </c>
      <c r="AB699" s="2">
        <v>9</v>
      </c>
      <c r="AC699" s="2" t="s">
        <v>124</v>
      </c>
      <c r="AD699" s="2"/>
      <c r="AE699" s="2"/>
      <c r="AF699" s="3">
        <v>40234</v>
      </c>
      <c r="AG699" s="4">
        <v>0.43055555555555558</v>
      </c>
      <c r="AH699" s="2">
        <v>5</v>
      </c>
      <c r="AI699" s="2" t="s">
        <v>274</v>
      </c>
      <c r="AJ699" s="2">
        <v>40</v>
      </c>
      <c r="AK699" s="2" t="s">
        <v>935</v>
      </c>
      <c r="AL699" s="2">
        <v>18</v>
      </c>
      <c r="AM699" s="2" t="s">
        <v>82</v>
      </c>
      <c r="AN699" s="2" t="s">
        <v>2870</v>
      </c>
      <c r="AO699" s="2" t="s">
        <v>937</v>
      </c>
      <c r="AP699" s="2">
        <v>11</v>
      </c>
      <c r="AQ699" s="2" t="s">
        <v>82</v>
      </c>
      <c r="AR699" s="2"/>
      <c r="AS699" s="2"/>
      <c r="AT699" s="2" t="s">
        <v>2871</v>
      </c>
      <c r="AU699" s="2"/>
      <c r="AV699" s="2"/>
      <c r="AW699" s="2"/>
      <c r="AX699" s="2"/>
      <c r="AY699" s="2">
        <v>42</v>
      </c>
      <c r="AZ699" s="2" t="s">
        <v>182</v>
      </c>
      <c r="BA699" s="2">
        <v>44</v>
      </c>
      <c r="BB699" s="2" t="s">
        <v>262</v>
      </c>
      <c r="BC699" s="2">
        <v>1</v>
      </c>
      <c r="BD699" s="2" t="s">
        <v>107</v>
      </c>
      <c r="BE699" s="2">
        <v>1</v>
      </c>
      <c r="BF699" s="2" t="s">
        <v>107</v>
      </c>
      <c r="BG699" s="2"/>
      <c r="BH699" s="2"/>
      <c r="BI699" s="2"/>
      <c r="BJ699" s="2">
        <v>242</v>
      </c>
      <c r="BK699" s="2" t="s">
        <v>107</v>
      </c>
      <c r="BL699" s="2"/>
      <c r="BM699" s="2">
        <v>242</v>
      </c>
      <c r="BN699" s="2" t="s">
        <v>107</v>
      </c>
      <c r="BO699" s="2"/>
      <c r="BP699" s="2">
        <v>242</v>
      </c>
      <c r="BQ699" s="2" t="s">
        <v>107</v>
      </c>
      <c r="BR699" s="2"/>
      <c r="BS699" s="3">
        <v>40234</v>
      </c>
      <c r="BT699" s="4">
        <v>0.66364583333333338</v>
      </c>
    </row>
    <row r="700" spans="1:72" x14ac:dyDescent="0.25">
      <c r="A700" s="2">
        <v>1098</v>
      </c>
      <c r="B700" s="2">
        <v>2010</v>
      </c>
      <c r="C700" s="2" t="s">
        <v>147</v>
      </c>
      <c r="D700" s="2" t="s">
        <v>73</v>
      </c>
      <c r="E700" s="2"/>
      <c r="F700" s="2">
        <v>1</v>
      </c>
      <c r="G700" s="2" t="s">
        <v>82</v>
      </c>
      <c r="H700" s="2">
        <v>1</v>
      </c>
      <c r="I700" s="2" t="s">
        <v>82</v>
      </c>
      <c r="J700" s="2">
        <v>1</v>
      </c>
      <c r="K700" s="2" t="s">
        <v>107</v>
      </c>
      <c r="L700" s="2" t="s">
        <v>107</v>
      </c>
      <c r="M700" s="3">
        <v>40234</v>
      </c>
      <c r="N700" s="2"/>
      <c r="O700" s="2"/>
      <c r="P700" s="2"/>
      <c r="Q700" s="2" t="str">
        <f>""</f>
        <v/>
      </c>
      <c r="R700" s="2"/>
      <c r="S700" s="2"/>
      <c r="T700" s="2">
        <v>2</v>
      </c>
      <c r="U700" s="2" t="s">
        <v>123</v>
      </c>
      <c r="V700" s="2">
        <v>1</v>
      </c>
      <c r="W700" s="2" t="s">
        <v>80</v>
      </c>
      <c r="X700" s="2">
        <v>12</v>
      </c>
      <c r="Y700" s="2" t="s">
        <v>148</v>
      </c>
      <c r="Z700" s="2">
        <v>1</v>
      </c>
      <c r="AA700" s="2" t="s">
        <v>82</v>
      </c>
      <c r="AB700" s="2">
        <v>9</v>
      </c>
      <c r="AC700" s="2" t="s">
        <v>124</v>
      </c>
      <c r="AD700" s="2"/>
      <c r="AE700" s="2"/>
      <c r="AF700" s="3">
        <v>40234</v>
      </c>
      <c r="AG700" s="4">
        <v>0.51736111111111105</v>
      </c>
      <c r="AH700" s="2">
        <v>3</v>
      </c>
      <c r="AI700" s="2" t="s">
        <v>214</v>
      </c>
      <c r="AJ700" s="2">
        <v>24</v>
      </c>
      <c r="AK700" s="2" t="s">
        <v>215</v>
      </c>
      <c r="AL700" s="2">
        <v>19</v>
      </c>
      <c r="AM700" s="2" t="s">
        <v>107</v>
      </c>
      <c r="AN700" s="2"/>
      <c r="AO700" s="2"/>
      <c r="AP700" s="2">
        <v>11</v>
      </c>
      <c r="AQ700" s="2" t="s">
        <v>82</v>
      </c>
      <c r="AR700" s="2"/>
      <c r="AS700" s="2"/>
      <c r="AT700" s="2" t="s">
        <v>2872</v>
      </c>
      <c r="AU700" s="2"/>
      <c r="AV700" s="2"/>
      <c r="AW700" s="2"/>
      <c r="AX700" s="2"/>
      <c r="AY700" s="2">
        <v>41</v>
      </c>
      <c r="AZ700" s="2" t="s">
        <v>82</v>
      </c>
      <c r="BA700" s="2">
        <v>41</v>
      </c>
      <c r="BB700" s="2" t="s">
        <v>82</v>
      </c>
      <c r="BC700" s="2">
        <v>41</v>
      </c>
      <c r="BD700" s="2" t="s">
        <v>82</v>
      </c>
      <c r="BE700" s="2">
        <v>41</v>
      </c>
      <c r="BF700" s="2" t="s">
        <v>82</v>
      </c>
      <c r="BG700" s="2"/>
      <c r="BH700" s="2"/>
      <c r="BI700" s="2"/>
      <c r="BJ700" s="2">
        <v>241</v>
      </c>
      <c r="BK700" s="2" t="s">
        <v>82</v>
      </c>
      <c r="BL700" s="2"/>
      <c r="BM700" s="2">
        <v>241</v>
      </c>
      <c r="BN700" s="2" t="s">
        <v>82</v>
      </c>
      <c r="BO700" s="2"/>
      <c r="BP700" s="2">
        <v>241</v>
      </c>
      <c r="BQ700" s="2" t="s">
        <v>82</v>
      </c>
      <c r="BR700" s="2"/>
      <c r="BS700" s="3">
        <v>40234</v>
      </c>
      <c r="BT700" s="4">
        <v>0.69528935185185192</v>
      </c>
    </row>
    <row r="701" spans="1:72" x14ac:dyDescent="0.25">
      <c r="A701" s="2">
        <v>1099</v>
      </c>
      <c r="B701" s="2">
        <v>2010</v>
      </c>
      <c r="C701" s="2" t="s">
        <v>171</v>
      </c>
      <c r="D701" s="2" t="s">
        <v>73</v>
      </c>
      <c r="E701" s="2"/>
      <c r="F701" s="2">
        <v>397</v>
      </c>
      <c r="G701" s="2" t="s">
        <v>2522</v>
      </c>
      <c r="H701" s="2">
        <v>10</v>
      </c>
      <c r="I701" s="2" t="s">
        <v>1031</v>
      </c>
      <c r="J701" s="2">
        <v>377</v>
      </c>
      <c r="K701" s="2" t="s">
        <v>1223</v>
      </c>
      <c r="L701" s="2" t="s">
        <v>1224</v>
      </c>
      <c r="M701" s="3">
        <v>40234</v>
      </c>
      <c r="N701" s="2" t="s">
        <v>2873</v>
      </c>
      <c r="O701" s="2"/>
      <c r="P701" s="2"/>
      <c r="Q701" s="2" t="str">
        <f>"112-E/10"</f>
        <v>112-E/10</v>
      </c>
      <c r="R701" s="2"/>
      <c r="S701" s="2" t="s">
        <v>391</v>
      </c>
      <c r="T701" s="2">
        <v>1</v>
      </c>
      <c r="U701" s="2" t="s">
        <v>79</v>
      </c>
      <c r="V701" s="2">
        <v>1</v>
      </c>
      <c r="W701" s="2" t="s">
        <v>80</v>
      </c>
      <c r="X701" s="2">
        <v>1</v>
      </c>
      <c r="Y701" s="2" t="s">
        <v>81</v>
      </c>
      <c r="Z701" s="2">
        <v>1</v>
      </c>
      <c r="AA701" s="2" t="s">
        <v>82</v>
      </c>
      <c r="AB701" s="2">
        <v>1</v>
      </c>
      <c r="AC701" s="2" t="s">
        <v>178</v>
      </c>
      <c r="AD701" s="3">
        <v>40234</v>
      </c>
      <c r="AE701" s="4">
        <v>0.28125</v>
      </c>
      <c r="AF701" s="3">
        <v>40234</v>
      </c>
      <c r="AG701" s="4">
        <v>0.39583333333333331</v>
      </c>
      <c r="AH701" s="2">
        <v>2</v>
      </c>
      <c r="AI701" s="2" t="s">
        <v>84</v>
      </c>
      <c r="AJ701" s="2">
        <v>9</v>
      </c>
      <c r="AK701" s="2" t="s">
        <v>103</v>
      </c>
      <c r="AL701" s="2">
        <v>13</v>
      </c>
      <c r="AM701" s="2" t="s">
        <v>117</v>
      </c>
      <c r="AN701" s="2" t="s">
        <v>2874</v>
      </c>
      <c r="AO701" s="2"/>
      <c r="AP701" s="2">
        <v>11</v>
      </c>
      <c r="AQ701" s="2" t="s">
        <v>82</v>
      </c>
      <c r="AR701" s="2"/>
      <c r="AS701" s="2"/>
      <c r="AT701" s="2" t="s">
        <v>2875</v>
      </c>
      <c r="AU701" s="2"/>
      <c r="AV701" s="2">
        <v>1</v>
      </c>
      <c r="AW701" s="2"/>
      <c r="AX701" s="2"/>
      <c r="AY701" s="2">
        <v>42</v>
      </c>
      <c r="AZ701" s="2" t="s">
        <v>182</v>
      </c>
      <c r="BA701" s="2">
        <v>41</v>
      </c>
      <c r="BB701" s="2" t="s">
        <v>82</v>
      </c>
      <c r="BC701" s="2">
        <v>41</v>
      </c>
      <c r="BD701" s="2" t="s">
        <v>82</v>
      </c>
      <c r="BE701" s="2">
        <v>13</v>
      </c>
      <c r="BF701" s="2" t="s">
        <v>108</v>
      </c>
      <c r="BG701" s="2" t="s">
        <v>2876</v>
      </c>
      <c r="BH701" s="2"/>
      <c r="BI701" s="2"/>
      <c r="BJ701" s="2">
        <v>13</v>
      </c>
      <c r="BK701" s="2" t="s">
        <v>91</v>
      </c>
      <c r="BL701" s="2" t="s">
        <v>360</v>
      </c>
      <c r="BM701" s="2">
        <v>241</v>
      </c>
      <c r="BN701" s="2" t="s">
        <v>82</v>
      </c>
      <c r="BO701" s="2"/>
      <c r="BP701" s="2">
        <v>112</v>
      </c>
      <c r="BQ701" s="2" t="s">
        <v>110</v>
      </c>
      <c r="BR701" s="2" t="s">
        <v>111</v>
      </c>
      <c r="BS701" s="3">
        <v>40234</v>
      </c>
      <c r="BT701" s="4">
        <v>0.69990740740740742</v>
      </c>
    </row>
    <row r="702" spans="1:72" x14ac:dyDescent="0.25">
      <c r="A702" s="2">
        <v>1100</v>
      </c>
      <c r="B702" s="2">
        <v>2010</v>
      </c>
      <c r="C702" s="2" t="s">
        <v>409</v>
      </c>
      <c r="D702" s="2" t="s">
        <v>73</v>
      </c>
      <c r="E702" s="2" t="s">
        <v>2877</v>
      </c>
      <c r="F702" s="2">
        <v>45</v>
      </c>
      <c r="G702" s="2" t="s">
        <v>1408</v>
      </c>
      <c r="H702" s="2">
        <v>47</v>
      </c>
      <c r="I702" s="2" t="s">
        <v>1409</v>
      </c>
      <c r="J702" s="2">
        <v>77</v>
      </c>
      <c r="K702" s="2" t="s">
        <v>2517</v>
      </c>
      <c r="L702" s="2" t="s">
        <v>2518</v>
      </c>
      <c r="M702" s="3">
        <v>40234</v>
      </c>
      <c r="N702" s="2" t="s">
        <v>2878</v>
      </c>
      <c r="O702" s="2" t="s">
        <v>2879</v>
      </c>
      <c r="P702" s="2" t="s">
        <v>2880</v>
      </c>
      <c r="Q702" s="2" t="str">
        <f>"03/2010"</f>
        <v>03/2010</v>
      </c>
      <c r="R702" s="2"/>
      <c r="S702" s="2" t="s">
        <v>2541</v>
      </c>
      <c r="T702" s="2">
        <v>1</v>
      </c>
      <c r="U702" s="2" t="s">
        <v>79</v>
      </c>
      <c r="V702" s="2">
        <v>1</v>
      </c>
      <c r="W702" s="2" t="s">
        <v>80</v>
      </c>
      <c r="X702" s="2">
        <v>5</v>
      </c>
      <c r="Y702" s="2" t="s">
        <v>82</v>
      </c>
      <c r="Z702" s="2">
        <v>3</v>
      </c>
      <c r="AA702" s="2" t="s">
        <v>257</v>
      </c>
      <c r="AB702" s="2">
        <v>9</v>
      </c>
      <c r="AC702" s="2" t="s">
        <v>124</v>
      </c>
      <c r="AD702" s="3">
        <v>40227</v>
      </c>
      <c r="AE702" s="4">
        <v>0.72916666666666663</v>
      </c>
      <c r="AF702" s="3">
        <v>40227</v>
      </c>
      <c r="AG702" s="4">
        <v>0.76041666666666663</v>
      </c>
      <c r="AH702" s="2">
        <v>4</v>
      </c>
      <c r="AI702" s="2" t="s">
        <v>125</v>
      </c>
      <c r="AJ702" s="2">
        <v>31</v>
      </c>
      <c r="AK702" s="2" t="s">
        <v>1413</v>
      </c>
      <c r="AL702" s="2">
        <v>9</v>
      </c>
      <c r="AM702" s="2" t="s">
        <v>259</v>
      </c>
      <c r="AN702" s="2"/>
      <c r="AO702" s="2"/>
      <c r="AP702" s="2">
        <v>11</v>
      </c>
      <c r="AQ702" s="2" t="s">
        <v>82</v>
      </c>
      <c r="AR702" s="2"/>
      <c r="AS702" s="2"/>
      <c r="AT702" s="2" t="s">
        <v>2881</v>
      </c>
      <c r="AU702" s="2"/>
      <c r="AV702" s="2"/>
      <c r="AW702" s="2"/>
      <c r="AX702" s="2"/>
      <c r="AY702" s="2">
        <v>44</v>
      </c>
      <c r="AZ702" s="2" t="s">
        <v>262</v>
      </c>
      <c r="BA702" s="2">
        <v>44</v>
      </c>
      <c r="BB702" s="2" t="s">
        <v>262</v>
      </c>
      <c r="BC702" s="2">
        <v>44</v>
      </c>
      <c r="BD702" s="2" t="s">
        <v>262</v>
      </c>
      <c r="BE702" s="2">
        <v>44</v>
      </c>
      <c r="BF702" s="2" t="s">
        <v>262</v>
      </c>
      <c r="BG702" s="2"/>
      <c r="BH702" s="2"/>
      <c r="BI702" s="2"/>
      <c r="BJ702" s="2">
        <v>241</v>
      </c>
      <c r="BK702" s="2" t="s">
        <v>82</v>
      </c>
      <c r="BL702" s="2"/>
      <c r="BM702" s="2">
        <v>241</v>
      </c>
      <c r="BN702" s="2" t="s">
        <v>82</v>
      </c>
      <c r="BO702" s="2"/>
      <c r="BP702" s="2">
        <v>241</v>
      </c>
      <c r="BQ702" s="2" t="s">
        <v>82</v>
      </c>
      <c r="BR702" s="2"/>
      <c r="BS702" s="3">
        <v>40234</v>
      </c>
      <c r="BT702" s="4">
        <v>0.72260416666666671</v>
      </c>
    </row>
    <row r="703" spans="1:72" x14ac:dyDescent="0.25">
      <c r="A703" s="2">
        <v>1103</v>
      </c>
      <c r="B703" s="2">
        <v>2010</v>
      </c>
      <c r="C703" s="2" t="s">
        <v>171</v>
      </c>
      <c r="D703" s="2" t="s">
        <v>73</v>
      </c>
      <c r="E703" s="2"/>
      <c r="F703" s="2">
        <v>397</v>
      </c>
      <c r="G703" s="2" t="s">
        <v>2522</v>
      </c>
      <c r="H703" s="2">
        <v>10</v>
      </c>
      <c r="I703" s="2" t="s">
        <v>1031</v>
      </c>
      <c r="J703" s="2">
        <v>377</v>
      </c>
      <c r="K703" s="2" t="s">
        <v>1223</v>
      </c>
      <c r="L703" s="2" t="s">
        <v>1224</v>
      </c>
      <c r="M703" s="3">
        <v>40234</v>
      </c>
      <c r="N703" s="2" t="s">
        <v>2873</v>
      </c>
      <c r="O703" s="2" t="s">
        <v>107</v>
      </c>
      <c r="P703" s="2" t="s">
        <v>107</v>
      </c>
      <c r="Q703" s="2" t="str">
        <f>"113-E/10"</f>
        <v>113-E/10</v>
      </c>
      <c r="R703" s="2" t="s">
        <v>107</v>
      </c>
      <c r="S703" s="2" t="s">
        <v>391</v>
      </c>
      <c r="T703" s="2">
        <v>1</v>
      </c>
      <c r="U703" s="2" t="s">
        <v>79</v>
      </c>
      <c r="V703" s="2">
        <v>1</v>
      </c>
      <c r="W703" s="2" t="s">
        <v>80</v>
      </c>
      <c r="X703" s="2">
        <v>1</v>
      </c>
      <c r="Y703" s="2" t="s">
        <v>81</v>
      </c>
      <c r="Z703" s="2">
        <v>1</v>
      </c>
      <c r="AA703" s="2" t="s">
        <v>82</v>
      </c>
      <c r="AB703" s="2">
        <v>1</v>
      </c>
      <c r="AC703" s="2" t="s">
        <v>178</v>
      </c>
      <c r="AD703" s="3">
        <v>40234</v>
      </c>
      <c r="AE703" s="4">
        <v>0.33333333333333331</v>
      </c>
      <c r="AF703" s="3">
        <v>40234</v>
      </c>
      <c r="AG703" s="4">
        <v>0.75</v>
      </c>
      <c r="AH703" s="2">
        <v>2</v>
      </c>
      <c r="AI703" s="2" t="s">
        <v>84</v>
      </c>
      <c r="AJ703" s="2">
        <v>9</v>
      </c>
      <c r="AK703" s="2" t="s">
        <v>103</v>
      </c>
      <c r="AL703" s="2">
        <v>15</v>
      </c>
      <c r="AM703" s="2" t="s">
        <v>104</v>
      </c>
      <c r="AN703" s="2" t="s">
        <v>179</v>
      </c>
      <c r="AO703" s="2" t="s">
        <v>82</v>
      </c>
      <c r="AP703" s="2">
        <v>11</v>
      </c>
      <c r="AQ703" s="2" t="s">
        <v>82</v>
      </c>
      <c r="AR703" s="2"/>
      <c r="AS703" s="2"/>
      <c r="AT703" s="2" t="s">
        <v>2882</v>
      </c>
      <c r="AU703" s="2"/>
      <c r="AV703" s="2">
        <v>1</v>
      </c>
      <c r="AW703" s="2"/>
      <c r="AX703" s="2"/>
      <c r="AY703" s="2">
        <v>42</v>
      </c>
      <c r="AZ703" s="2" t="s">
        <v>182</v>
      </c>
      <c r="BA703" s="2">
        <v>41</v>
      </c>
      <c r="BB703" s="2" t="s">
        <v>82</v>
      </c>
      <c r="BC703" s="2">
        <v>41</v>
      </c>
      <c r="BD703" s="2" t="s">
        <v>82</v>
      </c>
      <c r="BE703" s="2">
        <v>13</v>
      </c>
      <c r="BF703" s="2" t="s">
        <v>108</v>
      </c>
      <c r="BG703" s="2" t="s">
        <v>592</v>
      </c>
      <c r="BH703" s="4">
        <v>0.875</v>
      </c>
      <c r="BI703" s="4">
        <v>0.375</v>
      </c>
      <c r="BJ703" s="2">
        <v>13</v>
      </c>
      <c r="BK703" s="2" t="s">
        <v>91</v>
      </c>
      <c r="BL703" s="2" t="s">
        <v>360</v>
      </c>
      <c r="BM703" s="2">
        <v>241</v>
      </c>
      <c r="BN703" s="2" t="s">
        <v>82</v>
      </c>
      <c r="BO703" s="2"/>
      <c r="BP703" s="2">
        <v>112</v>
      </c>
      <c r="BQ703" s="2" t="s">
        <v>110</v>
      </c>
      <c r="BR703" s="2" t="s">
        <v>111</v>
      </c>
      <c r="BS703" s="3">
        <v>40234</v>
      </c>
      <c r="BT703" s="4">
        <v>0.75517361111111114</v>
      </c>
    </row>
    <row r="704" spans="1:72" x14ac:dyDescent="0.25">
      <c r="A704" s="2">
        <v>1104</v>
      </c>
      <c r="B704" s="2">
        <v>2010</v>
      </c>
      <c r="C704" s="2" t="s">
        <v>72</v>
      </c>
      <c r="D704" s="2" t="s">
        <v>122</v>
      </c>
      <c r="E704" s="2" t="s">
        <v>2883</v>
      </c>
      <c r="F704" s="2">
        <v>24</v>
      </c>
      <c r="G704" s="2" t="s">
        <v>532</v>
      </c>
      <c r="H704" s="2">
        <v>1</v>
      </c>
      <c r="I704" s="2" t="s">
        <v>82</v>
      </c>
      <c r="J704" s="2">
        <v>300</v>
      </c>
      <c r="K704" s="2" t="s">
        <v>114</v>
      </c>
      <c r="L704" s="2" t="s">
        <v>115</v>
      </c>
      <c r="M704" s="3">
        <v>40234</v>
      </c>
      <c r="N704" s="2" t="s">
        <v>82</v>
      </c>
      <c r="O704" s="2"/>
      <c r="P704" s="2"/>
      <c r="Q704" s="2" t="str">
        <f>"111-E/10"</f>
        <v>111-E/10</v>
      </c>
      <c r="R704" s="2" t="s">
        <v>116</v>
      </c>
      <c r="S704" s="2"/>
      <c r="T704" s="2">
        <v>1</v>
      </c>
      <c r="U704" s="2" t="s">
        <v>79</v>
      </c>
      <c r="V704" s="2">
        <v>1</v>
      </c>
      <c r="W704" s="2" t="s">
        <v>80</v>
      </c>
      <c r="X704" s="2">
        <v>1</v>
      </c>
      <c r="Y704" s="2" t="s">
        <v>81</v>
      </c>
      <c r="Z704" s="2">
        <v>1</v>
      </c>
      <c r="AA704" s="2" t="s">
        <v>82</v>
      </c>
      <c r="AB704" s="2">
        <v>6</v>
      </c>
      <c r="AC704" s="2" t="s">
        <v>83</v>
      </c>
      <c r="AD704" s="3">
        <v>40233</v>
      </c>
      <c r="AE704" s="4">
        <v>0.41666666666666669</v>
      </c>
      <c r="AF704" s="3">
        <v>40233</v>
      </c>
      <c r="AG704" s="4">
        <v>0.5</v>
      </c>
      <c r="AH704" s="2">
        <v>2</v>
      </c>
      <c r="AI704" s="2" t="s">
        <v>84</v>
      </c>
      <c r="AJ704" s="2">
        <v>9</v>
      </c>
      <c r="AK704" s="2" t="s">
        <v>103</v>
      </c>
      <c r="AL704" s="2">
        <v>12</v>
      </c>
      <c r="AM704" s="2" t="s">
        <v>86</v>
      </c>
      <c r="AN704" s="2" t="s">
        <v>2845</v>
      </c>
      <c r="AO704" s="2"/>
      <c r="AP704" s="2">
        <v>11</v>
      </c>
      <c r="AQ704" s="2" t="s">
        <v>82</v>
      </c>
      <c r="AR704" s="2"/>
      <c r="AS704" s="2"/>
      <c r="AT704" s="2" t="s">
        <v>2884</v>
      </c>
      <c r="AU704" s="2"/>
      <c r="AV704" s="2"/>
      <c r="AW704" s="2"/>
      <c r="AX704" s="2"/>
      <c r="AY704" s="2">
        <v>41</v>
      </c>
      <c r="AZ704" s="2" t="s">
        <v>82</v>
      </c>
      <c r="BA704" s="2">
        <v>41</v>
      </c>
      <c r="BB704" s="2" t="s">
        <v>82</v>
      </c>
      <c r="BC704" s="2">
        <v>41</v>
      </c>
      <c r="BD704" s="2" t="s">
        <v>82</v>
      </c>
      <c r="BE704" s="2">
        <v>29</v>
      </c>
      <c r="BF704" s="2" t="s">
        <v>2411</v>
      </c>
      <c r="BG704" s="2" t="s">
        <v>2847</v>
      </c>
      <c r="BH704" s="4">
        <v>0.41666666666666669</v>
      </c>
      <c r="BI704" s="2"/>
      <c r="BJ704" s="2">
        <v>16</v>
      </c>
      <c r="BK704" s="2" t="s">
        <v>2130</v>
      </c>
      <c r="BL704" s="2" t="s">
        <v>2413</v>
      </c>
      <c r="BM704" s="2">
        <v>241</v>
      </c>
      <c r="BN704" s="2" t="s">
        <v>82</v>
      </c>
      <c r="BO704" s="2" t="s">
        <v>82</v>
      </c>
      <c r="BP704" s="2">
        <v>13</v>
      </c>
      <c r="BQ704" s="2" t="s">
        <v>91</v>
      </c>
      <c r="BR704" s="2" t="s">
        <v>360</v>
      </c>
      <c r="BS704" s="3">
        <v>40234</v>
      </c>
      <c r="BT704" s="4">
        <v>0.77569444444444446</v>
      </c>
    </row>
    <row r="705" spans="1:72" x14ac:dyDescent="0.25">
      <c r="A705" s="2">
        <v>1105</v>
      </c>
      <c r="B705" s="2">
        <v>2010</v>
      </c>
      <c r="C705" s="2" t="s">
        <v>554</v>
      </c>
      <c r="D705" s="2" t="s">
        <v>122</v>
      </c>
      <c r="E705" s="2" t="s">
        <v>2885</v>
      </c>
      <c r="F705" s="2">
        <v>2</v>
      </c>
      <c r="G705" s="2" t="s">
        <v>113</v>
      </c>
      <c r="H705" s="2">
        <v>1</v>
      </c>
      <c r="I705" s="2" t="s">
        <v>82</v>
      </c>
      <c r="J705" s="2">
        <v>300</v>
      </c>
      <c r="K705" s="2" t="s">
        <v>114</v>
      </c>
      <c r="L705" s="2" t="s">
        <v>115</v>
      </c>
      <c r="M705" s="3">
        <v>40234</v>
      </c>
      <c r="N705" s="2"/>
      <c r="O705" s="2"/>
      <c r="P705" s="2"/>
      <c r="Q705" s="2" t="str">
        <f>"096-E/10"</f>
        <v>096-E/10</v>
      </c>
      <c r="R705" s="2"/>
      <c r="S705" s="2" t="s">
        <v>2886</v>
      </c>
      <c r="T705" s="2">
        <v>1</v>
      </c>
      <c r="U705" s="2" t="s">
        <v>79</v>
      </c>
      <c r="V705" s="2">
        <v>1</v>
      </c>
      <c r="W705" s="2" t="s">
        <v>80</v>
      </c>
      <c r="X705" s="2">
        <v>1</v>
      </c>
      <c r="Y705" s="2" t="s">
        <v>81</v>
      </c>
      <c r="Z705" s="2">
        <v>1</v>
      </c>
      <c r="AA705" s="2" t="s">
        <v>82</v>
      </c>
      <c r="AB705" s="2">
        <v>5</v>
      </c>
      <c r="AC705" s="2" t="s">
        <v>559</v>
      </c>
      <c r="AD705" s="3">
        <v>40233</v>
      </c>
      <c r="AE705" s="4">
        <v>0.4375</v>
      </c>
      <c r="AF705" s="3">
        <v>40227</v>
      </c>
      <c r="AG705" s="4">
        <v>0.6875</v>
      </c>
      <c r="AH705" s="2">
        <v>2</v>
      </c>
      <c r="AI705" s="2" t="s">
        <v>84</v>
      </c>
      <c r="AJ705" s="2">
        <v>9</v>
      </c>
      <c r="AK705" s="2" t="s">
        <v>103</v>
      </c>
      <c r="AL705" s="2">
        <v>12</v>
      </c>
      <c r="AM705" s="2" t="s">
        <v>86</v>
      </c>
      <c r="AN705" s="2" t="s">
        <v>2573</v>
      </c>
      <c r="AO705" s="2" t="s">
        <v>2887</v>
      </c>
      <c r="AP705" s="2">
        <v>11</v>
      </c>
      <c r="AQ705" s="2" t="s">
        <v>82</v>
      </c>
      <c r="AR705" s="2"/>
      <c r="AS705" s="2"/>
      <c r="AT705" s="2" t="s">
        <v>2888</v>
      </c>
      <c r="AU705" s="2"/>
      <c r="AV705" s="2"/>
      <c r="AW705" s="2"/>
      <c r="AX705" s="2"/>
      <c r="AY705" s="2">
        <v>41</v>
      </c>
      <c r="AZ705" s="2" t="s">
        <v>82</v>
      </c>
      <c r="BA705" s="2">
        <v>41</v>
      </c>
      <c r="BB705" s="2" t="s">
        <v>82</v>
      </c>
      <c r="BC705" s="2">
        <v>41</v>
      </c>
      <c r="BD705" s="2" t="s">
        <v>82</v>
      </c>
      <c r="BE705" s="2">
        <v>41</v>
      </c>
      <c r="BF705" s="2" t="s">
        <v>82</v>
      </c>
      <c r="BG705" s="2"/>
      <c r="BH705" s="2"/>
      <c r="BI705" s="2"/>
      <c r="BJ705" s="2">
        <v>241</v>
      </c>
      <c r="BK705" s="2" t="s">
        <v>82</v>
      </c>
      <c r="BL705" s="2"/>
      <c r="BM705" s="2">
        <v>241</v>
      </c>
      <c r="BN705" s="2" t="s">
        <v>82</v>
      </c>
      <c r="BO705" s="2"/>
      <c r="BP705" s="2">
        <v>241</v>
      </c>
      <c r="BQ705" s="2" t="s">
        <v>82</v>
      </c>
      <c r="BR705" s="2"/>
      <c r="BS705" s="3">
        <v>40234</v>
      </c>
      <c r="BT705" s="4">
        <v>0.79072916666666659</v>
      </c>
    </row>
    <row r="706" spans="1:72" x14ac:dyDescent="0.25">
      <c r="A706" s="2">
        <v>1106</v>
      </c>
      <c r="B706" s="2">
        <v>2010</v>
      </c>
      <c r="C706" s="2" t="s">
        <v>128</v>
      </c>
      <c r="D706" s="2" t="s">
        <v>122</v>
      </c>
      <c r="E706" s="2"/>
      <c r="F706" s="2">
        <v>146</v>
      </c>
      <c r="G706" s="2" t="s">
        <v>753</v>
      </c>
      <c r="H706" s="2">
        <v>39</v>
      </c>
      <c r="I706" s="2" t="s">
        <v>1117</v>
      </c>
      <c r="J706" s="2">
        <v>161</v>
      </c>
      <c r="K706" s="2" t="s">
        <v>1900</v>
      </c>
      <c r="L706" s="2" t="s">
        <v>1901</v>
      </c>
      <c r="M706" s="3">
        <v>40234</v>
      </c>
      <c r="N706" s="2" t="s">
        <v>756</v>
      </c>
      <c r="O706" s="2" t="s">
        <v>82</v>
      </c>
      <c r="P706" s="2" t="s">
        <v>82</v>
      </c>
      <c r="Q706" s="2" t="str">
        <f>"N/C"</f>
        <v>N/C</v>
      </c>
      <c r="R706" s="2" t="s">
        <v>82</v>
      </c>
      <c r="S706" s="2" t="s">
        <v>82</v>
      </c>
      <c r="T706" s="2">
        <v>1</v>
      </c>
      <c r="U706" s="2" t="s">
        <v>79</v>
      </c>
      <c r="V706" s="2">
        <v>1</v>
      </c>
      <c r="W706" s="2" t="s">
        <v>80</v>
      </c>
      <c r="X706" s="2">
        <v>4</v>
      </c>
      <c r="Y706" s="2" t="s">
        <v>463</v>
      </c>
      <c r="Z706" s="2">
        <v>1</v>
      </c>
      <c r="AA706" s="2" t="s">
        <v>82</v>
      </c>
      <c r="AB706" s="2">
        <v>9</v>
      </c>
      <c r="AC706" s="2" t="s">
        <v>124</v>
      </c>
      <c r="AD706" s="3">
        <v>40234</v>
      </c>
      <c r="AE706" s="4">
        <v>0.78125</v>
      </c>
      <c r="AF706" s="2"/>
      <c r="AG706" s="2"/>
      <c r="AH706" s="2">
        <v>6</v>
      </c>
      <c r="AI706" s="2" t="s">
        <v>197</v>
      </c>
      <c r="AJ706" s="2">
        <v>60</v>
      </c>
      <c r="AK706" s="2" t="s">
        <v>543</v>
      </c>
      <c r="AL706" s="2">
        <v>18</v>
      </c>
      <c r="AM706" s="2" t="s">
        <v>82</v>
      </c>
      <c r="AN706" s="2" t="s">
        <v>82</v>
      </c>
      <c r="AO706" s="2" t="s">
        <v>82</v>
      </c>
      <c r="AP706" s="2">
        <v>11</v>
      </c>
      <c r="AQ706" s="2" t="s">
        <v>82</v>
      </c>
      <c r="AR706" s="2" t="s">
        <v>82</v>
      </c>
      <c r="AS706" s="2" t="s">
        <v>82</v>
      </c>
      <c r="AT706" s="2" t="s">
        <v>2889</v>
      </c>
      <c r="AU706" s="2"/>
      <c r="AV706" s="2"/>
      <c r="AW706" s="2"/>
      <c r="AX706" s="2"/>
      <c r="AY706" s="2">
        <v>41</v>
      </c>
      <c r="AZ706" s="2" t="s">
        <v>82</v>
      </c>
      <c r="BA706" s="2">
        <v>41</v>
      </c>
      <c r="BB706" s="2" t="s">
        <v>82</v>
      </c>
      <c r="BC706" s="2">
        <v>41</v>
      </c>
      <c r="BD706" s="2" t="s">
        <v>82</v>
      </c>
      <c r="BE706" s="2">
        <v>49</v>
      </c>
      <c r="BF706" s="2" t="s">
        <v>1254</v>
      </c>
      <c r="BG706" s="2" t="s">
        <v>2890</v>
      </c>
      <c r="BH706" s="4">
        <v>0.75</v>
      </c>
      <c r="BI706" s="4">
        <v>0.78125</v>
      </c>
      <c r="BJ706" s="2">
        <v>13</v>
      </c>
      <c r="BK706" s="2" t="s">
        <v>91</v>
      </c>
      <c r="BL706" s="2" t="s">
        <v>895</v>
      </c>
      <c r="BM706" s="2">
        <v>13</v>
      </c>
      <c r="BN706" s="2" t="s">
        <v>91</v>
      </c>
      <c r="BO706" s="2" t="s">
        <v>492</v>
      </c>
      <c r="BP706" s="2">
        <v>13</v>
      </c>
      <c r="BQ706" s="2" t="s">
        <v>91</v>
      </c>
      <c r="BR706" s="2" t="s">
        <v>353</v>
      </c>
      <c r="BS706" s="3">
        <v>40234</v>
      </c>
      <c r="BT706" s="4">
        <v>0.79159722222222229</v>
      </c>
    </row>
    <row r="707" spans="1:72" x14ac:dyDescent="0.25">
      <c r="A707" s="2">
        <v>1108</v>
      </c>
      <c r="B707" s="2">
        <v>2010</v>
      </c>
      <c r="C707" s="2" t="s">
        <v>72</v>
      </c>
      <c r="D707" s="2" t="s">
        <v>73</v>
      </c>
      <c r="E707" s="2"/>
      <c r="F707" s="2">
        <v>509</v>
      </c>
      <c r="G707" s="2" t="s">
        <v>2629</v>
      </c>
      <c r="H707" s="2">
        <v>22</v>
      </c>
      <c r="I707" s="2" t="s">
        <v>75</v>
      </c>
      <c r="J707" s="2">
        <v>426</v>
      </c>
      <c r="K707" s="2" t="s">
        <v>2630</v>
      </c>
      <c r="L707" s="2" t="s">
        <v>2631</v>
      </c>
      <c r="M707" s="3">
        <v>40234</v>
      </c>
      <c r="N707" s="2" t="s">
        <v>2891</v>
      </c>
      <c r="O707" s="2"/>
      <c r="P707" s="2"/>
      <c r="Q707" s="2" t="str">
        <f>"070-A/10"</f>
        <v>070-A/10</v>
      </c>
      <c r="R707" s="2"/>
      <c r="S707" s="2" t="s">
        <v>1847</v>
      </c>
      <c r="T707" s="2">
        <v>1</v>
      </c>
      <c r="U707" s="2" t="s">
        <v>79</v>
      </c>
      <c r="V707" s="2">
        <v>1</v>
      </c>
      <c r="W707" s="2" t="s">
        <v>80</v>
      </c>
      <c r="X707" s="2">
        <v>1</v>
      </c>
      <c r="Y707" s="2" t="s">
        <v>81</v>
      </c>
      <c r="Z707" s="2">
        <v>1</v>
      </c>
      <c r="AA707" s="2" t="s">
        <v>82</v>
      </c>
      <c r="AB707" s="2">
        <v>6</v>
      </c>
      <c r="AC707" s="2" t="s">
        <v>83</v>
      </c>
      <c r="AD707" s="3">
        <v>40234</v>
      </c>
      <c r="AE707" s="4">
        <v>0.52777777777777779</v>
      </c>
      <c r="AF707" s="3">
        <v>40234</v>
      </c>
      <c r="AG707" s="4">
        <v>0.58333333333333337</v>
      </c>
      <c r="AH707" s="2">
        <v>2</v>
      </c>
      <c r="AI707" s="2" t="s">
        <v>84</v>
      </c>
      <c r="AJ707" s="2">
        <v>12</v>
      </c>
      <c r="AK707" s="2" t="s">
        <v>85</v>
      </c>
      <c r="AL707" s="2">
        <v>10</v>
      </c>
      <c r="AM707" s="2" t="s">
        <v>200</v>
      </c>
      <c r="AN707" s="2" t="s">
        <v>2892</v>
      </c>
      <c r="AO707" s="2"/>
      <c r="AP707" s="2">
        <v>11</v>
      </c>
      <c r="AQ707" s="2" t="s">
        <v>82</v>
      </c>
      <c r="AR707" s="2"/>
      <c r="AS707" s="2"/>
      <c r="AT707" s="2" t="s">
        <v>2893</v>
      </c>
      <c r="AU707" s="2"/>
      <c r="AV707" s="2"/>
      <c r="AW707" s="2"/>
      <c r="AX707" s="2"/>
      <c r="AY707" s="2">
        <v>41</v>
      </c>
      <c r="AZ707" s="2" t="s">
        <v>82</v>
      </c>
      <c r="BA707" s="2">
        <v>41</v>
      </c>
      <c r="BB707" s="2" t="s">
        <v>82</v>
      </c>
      <c r="BC707" s="2">
        <v>41</v>
      </c>
      <c r="BD707" s="2" t="s">
        <v>82</v>
      </c>
      <c r="BE707" s="2">
        <v>13</v>
      </c>
      <c r="BF707" s="2" t="s">
        <v>108</v>
      </c>
      <c r="BG707" s="2" t="s">
        <v>2894</v>
      </c>
      <c r="BH707" s="4">
        <v>0.52777777777777779</v>
      </c>
      <c r="BI707" s="4">
        <v>0.4375</v>
      </c>
      <c r="BJ707" s="2">
        <v>13</v>
      </c>
      <c r="BK707" s="2" t="s">
        <v>91</v>
      </c>
      <c r="BL707" s="2" t="s">
        <v>1014</v>
      </c>
      <c r="BM707" s="2">
        <v>241</v>
      </c>
      <c r="BN707" s="2" t="s">
        <v>82</v>
      </c>
      <c r="BO707" s="2"/>
      <c r="BP707" s="2">
        <v>13</v>
      </c>
      <c r="BQ707" s="2" t="s">
        <v>91</v>
      </c>
      <c r="BR707" s="2" t="s">
        <v>1040</v>
      </c>
      <c r="BS707" s="3">
        <v>40234</v>
      </c>
      <c r="BT707" s="4">
        <v>0.79391203703703705</v>
      </c>
    </row>
    <row r="708" spans="1:72" x14ac:dyDescent="0.25">
      <c r="A708" s="2">
        <v>1109</v>
      </c>
      <c r="B708" s="2">
        <v>2010</v>
      </c>
      <c r="C708" s="2" t="s">
        <v>72</v>
      </c>
      <c r="D708" s="2" t="s">
        <v>73</v>
      </c>
      <c r="E708" s="2"/>
      <c r="F708" s="2">
        <v>2</v>
      </c>
      <c r="G708" s="2" t="s">
        <v>113</v>
      </c>
      <c r="H708" s="2">
        <v>1</v>
      </c>
      <c r="I708" s="2" t="s">
        <v>82</v>
      </c>
      <c r="J708" s="2">
        <v>300</v>
      </c>
      <c r="K708" s="2" t="s">
        <v>114</v>
      </c>
      <c r="L708" s="2" t="s">
        <v>115</v>
      </c>
      <c r="M708" s="3">
        <v>40234</v>
      </c>
      <c r="N708" s="2" t="s">
        <v>107</v>
      </c>
      <c r="O708" s="2" t="s">
        <v>107</v>
      </c>
      <c r="P708" s="2" t="s">
        <v>107</v>
      </c>
      <c r="Q708" s="2" t="str">
        <f>"106-E/10"</f>
        <v>106-E/10</v>
      </c>
      <c r="R708" s="2" t="s">
        <v>480</v>
      </c>
      <c r="S708" s="2" t="s">
        <v>2895</v>
      </c>
      <c r="T708" s="2">
        <v>1</v>
      </c>
      <c r="U708" s="2" t="s">
        <v>79</v>
      </c>
      <c r="V708" s="2">
        <v>1</v>
      </c>
      <c r="W708" s="2" t="s">
        <v>80</v>
      </c>
      <c r="X708" s="2">
        <v>1</v>
      </c>
      <c r="Y708" s="2" t="s">
        <v>81</v>
      </c>
      <c r="Z708" s="2">
        <v>1</v>
      </c>
      <c r="AA708" s="2" t="s">
        <v>82</v>
      </c>
      <c r="AB708" s="2">
        <v>6</v>
      </c>
      <c r="AC708" s="2" t="s">
        <v>83</v>
      </c>
      <c r="AD708" s="3">
        <v>40233</v>
      </c>
      <c r="AE708" s="4">
        <v>0.5</v>
      </c>
      <c r="AF708" s="3">
        <v>40233</v>
      </c>
      <c r="AG708" s="4">
        <v>0.83333333333333337</v>
      </c>
      <c r="AH708" s="2">
        <v>2</v>
      </c>
      <c r="AI708" s="2" t="s">
        <v>84</v>
      </c>
      <c r="AJ708" s="2">
        <v>9</v>
      </c>
      <c r="AK708" s="2" t="s">
        <v>103</v>
      </c>
      <c r="AL708" s="2">
        <v>12</v>
      </c>
      <c r="AM708" s="2" t="s">
        <v>86</v>
      </c>
      <c r="AN708" s="2" t="s">
        <v>2896</v>
      </c>
      <c r="AO708" s="2" t="s">
        <v>1311</v>
      </c>
      <c r="AP708" s="2">
        <v>11</v>
      </c>
      <c r="AQ708" s="2" t="s">
        <v>82</v>
      </c>
      <c r="AR708" s="2"/>
      <c r="AS708" s="2"/>
      <c r="AT708" s="2" t="s">
        <v>2897</v>
      </c>
      <c r="AU708" s="2"/>
      <c r="AV708" s="2"/>
      <c r="AW708" s="2"/>
      <c r="AX708" s="2"/>
      <c r="AY708" s="2">
        <v>41</v>
      </c>
      <c r="AZ708" s="2" t="s">
        <v>82</v>
      </c>
      <c r="BA708" s="2">
        <v>41</v>
      </c>
      <c r="BB708" s="2" t="s">
        <v>82</v>
      </c>
      <c r="BC708" s="2">
        <v>41</v>
      </c>
      <c r="BD708" s="2" t="s">
        <v>82</v>
      </c>
      <c r="BE708" s="2">
        <v>41</v>
      </c>
      <c r="BF708" s="2" t="s">
        <v>82</v>
      </c>
      <c r="BG708" s="2"/>
      <c r="BH708" s="2"/>
      <c r="BI708" s="2"/>
      <c r="BJ708" s="2">
        <v>241</v>
      </c>
      <c r="BK708" s="2" t="s">
        <v>82</v>
      </c>
      <c r="BL708" s="2"/>
      <c r="BM708" s="2">
        <v>241</v>
      </c>
      <c r="BN708" s="2" t="s">
        <v>82</v>
      </c>
      <c r="BO708" s="2"/>
      <c r="BP708" s="2">
        <v>241</v>
      </c>
      <c r="BQ708" s="2" t="s">
        <v>82</v>
      </c>
      <c r="BR708" s="2"/>
      <c r="BS708" s="3">
        <v>40234</v>
      </c>
      <c r="BT708" s="4">
        <v>0.80178240740740747</v>
      </c>
    </row>
    <row r="709" spans="1:72" x14ac:dyDescent="0.25">
      <c r="A709" s="2">
        <v>1110</v>
      </c>
      <c r="B709" s="2">
        <v>2010</v>
      </c>
      <c r="C709" s="2" t="s">
        <v>171</v>
      </c>
      <c r="D709" s="2" t="s">
        <v>122</v>
      </c>
      <c r="E709" s="2" t="s">
        <v>2898</v>
      </c>
      <c r="F709" s="2">
        <v>397</v>
      </c>
      <c r="G709" s="2" t="s">
        <v>2522</v>
      </c>
      <c r="H709" s="2">
        <v>10</v>
      </c>
      <c r="I709" s="2" t="s">
        <v>1031</v>
      </c>
      <c r="J709" s="2">
        <v>377</v>
      </c>
      <c r="K709" s="2" t="s">
        <v>1223</v>
      </c>
      <c r="L709" s="2" t="s">
        <v>1224</v>
      </c>
      <c r="M709" s="3">
        <v>40234</v>
      </c>
      <c r="N709" s="2" t="s">
        <v>2873</v>
      </c>
      <c r="O709" s="2"/>
      <c r="P709" s="2"/>
      <c r="Q709" s="2" t="str">
        <f>"112-E/10"</f>
        <v>112-E/10</v>
      </c>
      <c r="R709" s="2" t="s">
        <v>391</v>
      </c>
      <c r="S709" s="2"/>
      <c r="T709" s="2">
        <v>1</v>
      </c>
      <c r="U709" s="2" t="s">
        <v>79</v>
      </c>
      <c r="V709" s="2">
        <v>1</v>
      </c>
      <c r="W709" s="2" t="s">
        <v>80</v>
      </c>
      <c r="X709" s="2">
        <v>1</v>
      </c>
      <c r="Y709" s="2" t="s">
        <v>81</v>
      </c>
      <c r="Z709" s="2">
        <v>10</v>
      </c>
      <c r="AA709" s="2" t="s">
        <v>236</v>
      </c>
      <c r="AB709" s="2">
        <v>1</v>
      </c>
      <c r="AC709" s="2" t="s">
        <v>178</v>
      </c>
      <c r="AD709" s="3">
        <v>40234</v>
      </c>
      <c r="AE709" s="4">
        <v>0.28125</v>
      </c>
      <c r="AF709" s="2"/>
      <c r="AG709" s="2"/>
      <c r="AH709" s="2">
        <v>2</v>
      </c>
      <c r="AI709" s="2" t="s">
        <v>84</v>
      </c>
      <c r="AJ709" s="2">
        <v>9</v>
      </c>
      <c r="AK709" s="2" t="s">
        <v>103</v>
      </c>
      <c r="AL709" s="2">
        <v>13</v>
      </c>
      <c r="AM709" s="2" t="s">
        <v>117</v>
      </c>
      <c r="AN709" s="2" t="s">
        <v>2874</v>
      </c>
      <c r="AO709" s="2"/>
      <c r="AP709" s="2">
        <v>11</v>
      </c>
      <c r="AQ709" s="2" t="s">
        <v>82</v>
      </c>
      <c r="AR709" s="2"/>
      <c r="AS709" s="2"/>
      <c r="AT709" s="2" t="s">
        <v>2899</v>
      </c>
      <c r="AU709" s="2"/>
      <c r="AV709" s="2">
        <v>1</v>
      </c>
      <c r="AW709" s="2"/>
      <c r="AX709" s="2"/>
      <c r="AY709" s="2">
        <v>42</v>
      </c>
      <c r="AZ709" s="2" t="s">
        <v>182</v>
      </c>
      <c r="BA709" s="2">
        <v>41</v>
      </c>
      <c r="BB709" s="2" t="s">
        <v>82</v>
      </c>
      <c r="BC709" s="2">
        <v>70</v>
      </c>
      <c r="BD709" s="2" t="s">
        <v>236</v>
      </c>
      <c r="BE709" s="2">
        <v>13</v>
      </c>
      <c r="BF709" s="2" t="s">
        <v>108</v>
      </c>
      <c r="BG709" s="2" t="s">
        <v>2876</v>
      </c>
      <c r="BH709" s="2"/>
      <c r="BI709" s="2"/>
      <c r="BJ709" s="2">
        <v>13</v>
      </c>
      <c r="BK709" s="2" t="s">
        <v>91</v>
      </c>
      <c r="BL709" s="2" t="s">
        <v>360</v>
      </c>
      <c r="BM709" s="2">
        <v>241</v>
      </c>
      <c r="BN709" s="2" t="s">
        <v>82</v>
      </c>
      <c r="BO709" s="2"/>
      <c r="BP709" s="2">
        <v>112</v>
      </c>
      <c r="BQ709" s="2" t="s">
        <v>110</v>
      </c>
      <c r="BR709" s="2" t="s">
        <v>111</v>
      </c>
      <c r="BS709" s="3">
        <v>40234</v>
      </c>
      <c r="BT709" s="4">
        <v>0.89292824074074073</v>
      </c>
    </row>
    <row r="710" spans="1:72" x14ac:dyDescent="0.25">
      <c r="A710" s="2">
        <v>1111</v>
      </c>
      <c r="B710" s="2">
        <v>2010</v>
      </c>
      <c r="C710" s="2" t="s">
        <v>377</v>
      </c>
      <c r="D710" s="2" t="s">
        <v>73</v>
      </c>
      <c r="E710" s="2"/>
      <c r="F710" s="2">
        <v>426</v>
      </c>
      <c r="G710" s="2" t="s">
        <v>378</v>
      </c>
      <c r="H710" s="2">
        <v>1</v>
      </c>
      <c r="I710" s="2" t="s">
        <v>82</v>
      </c>
      <c r="J710" s="2">
        <v>311</v>
      </c>
      <c r="K710" s="2" t="s">
        <v>379</v>
      </c>
      <c r="L710" s="2" t="s">
        <v>380</v>
      </c>
      <c r="M710" s="3">
        <v>40234</v>
      </c>
      <c r="N710" s="2" t="s">
        <v>107</v>
      </c>
      <c r="O710" s="2" t="s">
        <v>107</v>
      </c>
      <c r="P710" s="2" t="s">
        <v>107</v>
      </c>
      <c r="Q710" s="2" t="str">
        <f>"012-E/10"</f>
        <v>012-E/10</v>
      </c>
      <c r="R710" s="2" t="s">
        <v>107</v>
      </c>
      <c r="S710" s="2" t="s">
        <v>2900</v>
      </c>
      <c r="T710" s="2">
        <v>1</v>
      </c>
      <c r="U710" s="2" t="s">
        <v>79</v>
      </c>
      <c r="V710" s="2">
        <v>1</v>
      </c>
      <c r="W710" s="2" t="s">
        <v>80</v>
      </c>
      <c r="X710" s="2">
        <v>1</v>
      </c>
      <c r="Y710" s="2" t="s">
        <v>81</v>
      </c>
      <c r="Z710" s="2">
        <v>1</v>
      </c>
      <c r="AA710" s="2" t="s">
        <v>82</v>
      </c>
      <c r="AB710" s="2">
        <v>9</v>
      </c>
      <c r="AC710" s="2" t="s">
        <v>124</v>
      </c>
      <c r="AD710" s="3">
        <v>40234</v>
      </c>
      <c r="AE710" s="4">
        <v>0.29166666666666669</v>
      </c>
      <c r="AF710" s="3">
        <v>40234</v>
      </c>
      <c r="AG710" s="4">
        <v>0.54166666666666663</v>
      </c>
      <c r="AH710" s="2">
        <v>2</v>
      </c>
      <c r="AI710" s="2" t="s">
        <v>84</v>
      </c>
      <c r="AJ710" s="2">
        <v>9</v>
      </c>
      <c r="AK710" s="2" t="s">
        <v>103</v>
      </c>
      <c r="AL710" s="2">
        <v>14</v>
      </c>
      <c r="AM710" s="2" t="s">
        <v>216</v>
      </c>
      <c r="AN710" s="2" t="s">
        <v>2901</v>
      </c>
      <c r="AO710" s="2" t="s">
        <v>82</v>
      </c>
      <c r="AP710" s="2">
        <v>11</v>
      </c>
      <c r="AQ710" s="2" t="s">
        <v>82</v>
      </c>
      <c r="AR710" s="2"/>
      <c r="AS710" s="2"/>
      <c r="AT710" s="2" t="s">
        <v>2902</v>
      </c>
      <c r="AU710" s="2"/>
      <c r="AV710" s="2"/>
      <c r="AW710" s="2"/>
      <c r="AX710" s="2"/>
      <c r="AY710" s="2">
        <v>41</v>
      </c>
      <c r="AZ710" s="2" t="s">
        <v>82</v>
      </c>
      <c r="BA710" s="2">
        <v>41</v>
      </c>
      <c r="BB710" s="2" t="s">
        <v>82</v>
      </c>
      <c r="BC710" s="2">
        <v>41</v>
      </c>
      <c r="BD710" s="2" t="s">
        <v>82</v>
      </c>
      <c r="BE710" s="2">
        <v>41</v>
      </c>
      <c r="BF710" s="2" t="s">
        <v>82</v>
      </c>
      <c r="BG710" s="2"/>
      <c r="BH710" s="2"/>
      <c r="BI710" s="2"/>
      <c r="BJ710" s="2">
        <v>241</v>
      </c>
      <c r="BK710" s="2" t="s">
        <v>82</v>
      </c>
      <c r="BL710" s="2"/>
      <c r="BM710" s="2">
        <v>241</v>
      </c>
      <c r="BN710" s="2" t="s">
        <v>82</v>
      </c>
      <c r="BO710" s="2"/>
      <c r="BP710" s="2">
        <v>241</v>
      </c>
      <c r="BQ710" s="2" t="s">
        <v>82</v>
      </c>
      <c r="BR710" s="2"/>
      <c r="BS710" s="3">
        <v>40234</v>
      </c>
      <c r="BT710" s="4">
        <v>0.95765046296296286</v>
      </c>
    </row>
    <row r="711" spans="1:72" x14ac:dyDescent="0.25">
      <c r="A711" s="2">
        <v>1115</v>
      </c>
      <c r="B711" s="2">
        <v>2010</v>
      </c>
      <c r="C711" s="2" t="s">
        <v>171</v>
      </c>
      <c r="D711" s="2" t="s">
        <v>122</v>
      </c>
      <c r="E711" s="2" t="s">
        <v>2903</v>
      </c>
      <c r="F711" s="2">
        <v>397</v>
      </c>
      <c r="G711" s="2" t="s">
        <v>2522</v>
      </c>
      <c r="H711" s="2">
        <v>10</v>
      </c>
      <c r="I711" s="2" t="s">
        <v>1031</v>
      </c>
      <c r="J711" s="2">
        <v>377</v>
      </c>
      <c r="K711" s="2" t="s">
        <v>1223</v>
      </c>
      <c r="L711" s="2" t="s">
        <v>1224</v>
      </c>
      <c r="M711" s="3">
        <v>40235</v>
      </c>
      <c r="N711" s="2" t="s">
        <v>2873</v>
      </c>
      <c r="O711" s="2"/>
      <c r="P711" s="2"/>
      <c r="Q711" s="2" t="str">
        <f>"112-E/10"</f>
        <v>112-E/10</v>
      </c>
      <c r="R711" s="2"/>
      <c r="S711" s="2" t="s">
        <v>391</v>
      </c>
      <c r="T711" s="2">
        <v>1</v>
      </c>
      <c r="U711" s="2" t="s">
        <v>79</v>
      </c>
      <c r="V711" s="2">
        <v>1</v>
      </c>
      <c r="W711" s="2" t="s">
        <v>80</v>
      </c>
      <c r="X711" s="2">
        <v>1</v>
      </c>
      <c r="Y711" s="2" t="s">
        <v>81</v>
      </c>
      <c r="Z711" s="2">
        <v>10</v>
      </c>
      <c r="AA711" s="2" t="s">
        <v>236</v>
      </c>
      <c r="AB711" s="2">
        <v>1</v>
      </c>
      <c r="AC711" s="2" t="s">
        <v>178</v>
      </c>
      <c r="AD711" s="3">
        <v>40234</v>
      </c>
      <c r="AE711" s="4">
        <v>0.28125</v>
      </c>
      <c r="AF711" s="2"/>
      <c r="AG711" s="2"/>
      <c r="AH711" s="2">
        <v>2</v>
      </c>
      <c r="AI711" s="2" t="s">
        <v>84</v>
      </c>
      <c r="AJ711" s="2">
        <v>9</v>
      </c>
      <c r="AK711" s="2" t="s">
        <v>103</v>
      </c>
      <c r="AL711" s="2">
        <v>13</v>
      </c>
      <c r="AM711" s="2" t="s">
        <v>117</v>
      </c>
      <c r="AN711" s="2" t="s">
        <v>2874</v>
      </c>
      <c r="AO711" s="2"/>
      <c r="AP711" s="2">
        <v>11</v>
      </c>
      <c r="AQ711" s="2" t="s">
        <v>82</v>
      </c>
      <c r="AR711" s="2"/>
      <c r="AS711" s="2"/>
      <c r="AT711" s="2" t="s">
        <v>2904</v>
      </c>
      <c r="AU711" s="2"/>
      <c r="AV711" s="2">
        <v>1</v>
      </c>
      <c r="AW711" s="2"/>
      <c r="AX711" s="2"/>
      <c r="AY711" s="2">
        <v>42</v>
      </c>
      <c r="AZ711" s="2" t="s">
        <v>182</v>
      </c>
      <c r="BA711" s="2">
        <v>41</v>
      </c>
      <c r="BB711" s="2" t="s">
        <v>82</v>
      </c>
      <c r="BC711" s="2">
        <v>70</v>
      </c>
      <c r="BD711" s="2" t="s">
        <v>236</v>
      </c>
      <c r="BE711" s="2">
        <v>13</v>
      </c>
      <c r="BF711" s="2" t="s">
        <v>108</v>
      </c>
      <c r="BG711" s="2" t="s">
        <v>2876</v>
      </c>
      <c r="BH711" s="2"/>
      <c r="BI711" s="2"/>
      <c r="BJ711" s="2">
        <v>13</v>
      </c>
      <c r="BK711" s="2" t="s">
        <v>91</v>
      </c>
      <c r="BL711" s="2" t="s">
        <v>360</v>
      </c>
      <c r="BM711" s="2">
        <v>241</v>
      </c>
      <c r="BN711" s="2" t="s">
        <v>82</v>
      </c>
      <c r="BO711" s="2"/>
      <c r="BP711" s="2">
        <v>112</v>
      </c>
      <c r="BQ711" s="2" t="s">
        <v>110</v>
      </c>
      <c r="BR711" s="2" t="s">
        <v>111</v>
      </c>
      <c r="BS711" s="3">
        <v>40235</v>
      </c>
      <c r="BT711" s="4">
        <v>0.46190972222222221</v>
      </c>
    </row>
    <row r="712" spans="1:72" x14ac:dyDescent="0.25">
      <c r="A712" s="2">
        <v>1119</v>
      </c>
      <c r="B712" s="2">
        <v>2010</v>
      </c>
      <c r="C712" s="2" t="s">
        <v>93</v>
      </c>
      <c r="D712" s="2" t="s">
        <v>73</v>
      </c>
      <c r="E712" s="2"/>
      <c r="F712" s="2">
        <v>437</v>
      </c>
      <c r="G712" s="2" t="s">
        <v>633</v>
      </c>
      <c r="H712" s="2">
        <v>31</v>
      </c>
      <c r="I712" s="2" t="s">
        <v>880</v>
      </c>
      <c r="J712" s="2">
        <v>318</v>
      </c>
      <c r="K712" s="2" t="s">
        <v>635</v>
      </c>
      <c r="L712" s="2" t="s">
        <v>636</v>
      </c>
      <c r="M712" s="3">
        <v>40235</v>
      </c>
      <c r="N712" s="2" t="s">
        <v>2905</v>
      </c>
      <c r="O712" s="2" t="s">
        <v>2906</v>
      </c>
      <c r="P712" s="2" t="s">
        <v>2907</v>
      </c>
      <c r="Q712" s="2" t="str">
        <f>""</f>
        <v/>
      </c>
      <c r="R712" s="2"/>
      <c r="S712" s="2"/>
      <c r="T712" s="2">
        <v>1</v>
      </c>
      <c r="U712" s="2" t="s">
        <v>79</v>
      </c>
      <c r="V712" s="2">
        <v>3</v>
      </c>
      <c r="W712" s="2" t="s">
        <v>225</v>
      </c>
      <c r="X712" s="2">
        <v>6</v>
      </c>
      <c r="Y712" s="2" t="s">
        <v>249</v>
      </c>
      <c r="Z712" s="2">
        <v>1</v>
      </c>
      <c r="AA712" s="2" t="s">
        <v>82</v>
      </c>
      <c r="AB712" s="2">
        <v>9</v>
      </c>
      <c r="AC712" s="2" t="s">
        <v>124</v>
      </c>
      <c r="AD712" s="2"/>
      <c r="AE712" s="2"/>
      <c r="AF712" s="2"/>
      <c r="AG712" s="2"/>
      <c r="AH712" s="2">
        <v>4</v>
      </c>
      <c r="AI712" s="2" t="s">
        <v>125</v>
      </c>
      <c r="AJ712" s="2">
        <v>26</v>
      </c>
      <c r="AK712" s="2" t="s">
        <v>293</v>
      </c>
      <c r="AL712" s="2">
        <v>23</v>
      </c>
      <c r="AM712" s="2" t="s">
        <v>251</v>
      </c>
      <c r="AN712" s="2"/>
      <c r="AO712" s="2" t="s">
        <v>2908</v>
      </c>
      <c r="AP712" s="2">
        <v>11</v>
      </c>
      <c r="AQ712" s="2" t="s">
        <v>82</v>
      </c>
      <c r="AR712" s="2"/>
      <c r="AS712" s="2"/>
      <c r="AT712" s="2" t="s">
        <v>2909</v>
      </c>
      <c r="AU712" s="2"/>
      <c r="AV712" s="2"/>
      <c r="AW712" s="2"/>
      <c r="AX712" s="2"/>
      <c r="AY712" s="2">
        <v>1</v>
      </c>
      <c r="AZ712" s="2" t="s">
        <v>107</v>
      </c>
      <c r="BA712" s="2">
        <v>1</v>
      </c>
      <c r="BB712" s="2" t="s">
        <v>107</v>
      </c>
      <c r="BC712" s="2">
        <v>1</v>
      </c>
      <c r="BD712" s="2" t="s">
        <v>107</v>
      </c>
      <c r="BE712" s="2">
        <v>1</v>
      </c>
      <c r="BF712" s="2" t="s">
        <v>107</v>
      </c>
      <c r="BG712" s="2"/>
      <c r="BH712" s="2"/>
      <c r="BI712" s="2"/>
      <c r="BJ712" s="2">
        <v>242</v>
      </c>
      <c r="BK712" s="2" t="s">
        <v>107</v>
      </c>
      <c r="BL712" s="2"/>
      <c r="BM712" s="2">
        <v>242</v>
      </c>
      <c r="BN712" s="2" t="s">
        <v>107</v>
      </c>
      <c r="BO712" s="2"/>
      <c r="BP712" s="2">
        <v>242</v>
      </c>
      <c r="BQ712" s="2" t="s">
        <v>107</v>
      </c>
      <c r="BR712" s="2"/>
      <c r="BS712" s="3">
        <v>40235</v>
      </c>
      <c r="BT712" s="4">
        <v>0.50481481481481483</v>
      </c>
    </row>
    <row r="713" spans="1:72" x14ac:dyDescent="0.25">
      <c r="A713" s="2">
        <v>1120</v>
      </c>
      <c r="B713" s="2">
        <v>2010</v>
      </c>
      <c r="C713" s="2" t="s">
        <v>93</v>
      </c>
      <c r="D713" s="2" t="s">
        <v>73</v>
      </c>
      <c r="E713" s="2"/>
      <c r="F713" s="2">
        <v>521</v>
      </c>
      <c r="G713" s="2" t="s">
        <v>2910</v>
      </c>
      <c r="H713" s="2">
        <v>63</v>
      </c>
      <c r="I713" s="2" t="s">
        <v>2911</v>
      </c>
      <c r="J713" s="2">
        <v>447</v>
      </c>
      <c r="K713" s="2" t="s">
        <v>2912</v>
      </c>
      <c r="L713" s="2" t="s">
        <v>2913</v>
      </c>
      <c r="M713" s="3">
        <v>40235</v>
      </c>
      <c r="N713" s="2" t="s">
        <v>2914</v>
      </c>
      <c r="O713" s="2" t="s">
        <v>2915</v>
      </c>
      <c r="P713" s="2" t="s">
        <v>2916</v>
      </c>
      <c r="Q713" s="2" t="str">
        <f>"S/D"</f>
        <v>S/D</v>
      </c>
      <c r="R713" s="2" t="s">
        <v>107</v>
      </c>
      <c r="S713" s="2" t="s">
        <v>100</v>
      </c>
      <c r="T713" s="2">
        <v>1</v>
      </c>
      <c r="U713" s="2" t="s">
        <v>79</v>
      </c>
      <c r="V713" s="2">
        <v>1</v>
      </c>
      <c r="W713" s="2" t="s">
        <v>80</v>
      </c>
      <c r="X713" s="2">
        <v>1</v>
      </c>
      <c r="Y713" s="2" t="s">
        <v>81</v>
      </c>
      <c r="Z713" s="2">
        <v>6</v>
      </c>
      <c r="AA713" s="2" t="s">
        <v>101</v>
      </c>
      <c r="AB713" s="2">
        <v>2</v>
      </c>
      <c r="AC713" s="2" t="s">
        <v>102</v>
      </c>
      <c r="AD713" s="3">
        <v>40233</v>
      </c>
      <c r="AE713" s="4">
        <v>0.875</v>
      </c>
      <c r="AF713" s="2"/>
      <c r="AG713" s="2"/>
      <c r="AH713" s="2">
        <v>2</v>
      </c>
      <c r="AI713" s="2" t="s">
        <v>84</v>
      </c>
      <c r="AJ713" s="2">
        <v>9</v>
      </c>
      <c r="AK713" s="2" t="s">
        <v>103</v>
      </c>
      <c r="AL713" s="2">
        <v>14</v>
      </c>
      <c r="AM713" s="2" t="s">
        <v>216</v>
      </c>
      <c r="AN713" s="2" t="s">
        <v>2917</v>
      </c>
      <c r="AO713" s="2"/>
      <c r="AP713" s="2">
        <v>11</v>
      </c>
      <c r="AQ713" s="2" t="s">
        <v>82</v>
      </c>
      <c r="AR713" s="2"/>
      <c r="AS713" s="2"/>
      <c r="AT713" s="2" t="s">
        <v>2918</v>
      </c>
      <c r="AU713" s="2">
        <v>1</v>
      </c>
      <c r="AV713" s="2"/>
      <c r="AW713" s="2"/>
      <c r="AX713" s="2"/>
      <c r="AY713" s="2">
        <v>41</v>
      </c>
      <c r="AZ713" s="2" t="s">
        <v>82</v>
      </c>
      <c r="BA713" s="2">
        <v>41</v>
      </c>
      <c r="BB713" s="2" t="s">
        <v>82</v>
      </c>
      <c r="BC713" s="2">
        <v>41</v>
      </c>
      <c r="BD713" s="2" t="s">
        <v>82</v>
      </c>
      <c r="BE713" s="2">
        <v>4</v>
      </c>
      <c r="BF713" s="2" t="s">
        <v>90</v>
      </c>
      <c r="BG713" s="2" t="s">
        <v>2919</v>
      </c>
      <c r="BH713" s="4">
        <v>0.875</v>
      </c>
      <c r="BI713" s="2"/>
      <c r="BJ713" s="2">
        <v>173</v>
      </c>
      <c r="BK713" s="2" t="s">
        <v>223</v>
      </c>
      <c r="BL713" s="2" t="s">
        <v>224</v>
      </c>
      <c r="BM713" s="2">
        <v>241</v>
      </c>
      <c r="BN713" s="2" t="s">
        <v>82</v>
      </c>
      <c r="BO713" s="2" t="s">
        <v>82</v>
      </c>
      <c r="BP713" s="2">
        <v>13</v>
      </c>
      <c r="BQ713" s="2" t="s">
        <v>91</v>
      </c>
      <c r="BR713" s="2" t="s">
        <v>360</v>
      </c>
      <c r="BS713" s="3">
        <v>40235</v>
      </c>
      <c r="BT713" s="4">
        <v>0.50966435185185188</v>
      </c>
    </row>
    <row r="714" spans="1:72" x14ac:dyDescent="0.25">
      <c r="A714" s="2">
        <v>1121</v>
      </c>
      <c r="B714" s="2">
        <v>2010</v>
      </c>
      <c r="C714" s="2" t="s">
        <v>409</v>
      </c>
      <c r="D714" s="2" t="s">
        <v>122</v>
      </c>
      <c r="E714" s="2"/>
      <c r="F714" s="2">
        <v>146</v>
      </c>
      <c r="G714" s="2" t="s">
        <v>753</v>
      </c>
      <c r="H714" s="2">
        <v>39</v>
      </c>
      <c r="I714" s="2" t="s">
        <v>1117</v>
      </c>
      <c r="J714" s="2">
        <v>161</v>
      </c>
      <c r="K714" s="2" t="s">
        <v>1900</v>
      </c>
      <c r="L714" s="2" t="s">
        <v>1901</v>
      </c>
      <c r="M714" s="3">
        <v>40235</v>
      </c>
      <c r="N714" s="2" t="s">
        <v>2689</v>
      </c>
      <c r="O714" s="2" t="s">
        <v>107</v>
      </c>
      <c r="P714" s="2" t="s">
        <v>107</v>
      </c>
      <c r="Q714" s="2" t="str">
        <f>"S/D"</f>
        <v>S/D</v>
      </c>
      <c r="R714" s="2" t="s">
        <v>107</v>
      </c>
      <c r="S714" s="2" t="s">
        <v>107</v>
      </c>
      <c r="T714" s="2">
        <v>1</v>
      </c>
      <c r="U714" s="2" t="s">
        <v>79</v>
      </c>
      <c r="V714" s="2">
        <v>1</v>
      </c>
      <c r="W714" s="2" t="s">
        <v>80</v>
      </c>
      <c r="X714" s="2">
        <v>5</v>
      </c>
      <c r="Y714" s="2" t="s">
        <v>82</v>
      </c>
      <c r="Z714" s="2">
        <v>1</v>
      </c>
      <c r="AA714" s="2" t="s">
        <v>82</v>
      </c>
      <c r="AB714" s="2">
        <v>9</v>
      </c>
      <c r="AC714" s="2" t="s">
        <v>124</v>
      </c>
      <c r="AD714" s="3">
        <v>40235</v>
      </c>
      <c r="AE714" s="4">
        <v>0.41666666666666669</v>
      </c>
      <c r="AF714" s="2"/>
      <c r="AG714" s="2"/>
      <c r="AH714" s="2">
        <v>6</v>
      </c>
      <c r="AI714" s="2" t="s">
        <v>197</v>
      </c>
      <c r="AJ714" s="2">
        <v>54</v>
      </c>
      <c r="AK714" s="2" t="s">
        <v>348</v>
      </c>
      <c r="AL714" s="2">
        <v>18</v>
      </c>
      <c r="AM714" s="2" t="s">
        <v>82</v>
      </c>
      <c r="AN714" s="2" t="s">
        <v>107</v>
      </c>
      <c r="AO714" s="2" t="s">
        <v>2920</v>
      </c>
      <c r="AP714" s="2">
        <v>11</v>
      </c>
      <c r="AQ714" s="2" t="s">
        <v>82</v>
      </c>
      <c r="AR714" s="2" t="s">
        <v>107</v>
      </c>
      <c r="AS714" s="2" t="s">
        <v>107</v>
      </c>
      <c r="AT714" s="2" t="s">
        <v>2921</v>
      </c>
      <c r="AU714" s="2"/>
      <c r="AV714" s="2"/>
      <c r="AW714" s="2"/>
      <c r="AX714" s="2"/>
      <c r="AY714" s="2">
        <v>1</v>
      </c>
      <c r="AZ714" s="2" t="s">
        <v>107</v>
      </c>
      <c r="BA714" s="2">
        <v>1</v>
      </c>
      <c r="BB714" s="2" t="s">
        <v>107</v>
      </c>
      <c r="BC714" s="2">
        <v>1</v>
      </c>
      <c r="BD714" s="2" t="s">
        <v>107</v>
      </c>
      <c r="BE714" s="2">
        <v>1</v>
      </c>
      <c r="BF714" s="2" t="s">
        <v>107</v>
      </c>
      <c r="BG714" s="2" t="s">
        <v>107</v>
      </c>
      <c r="BH714" s="2"/>
      <c r="BI714" s="2"/>
      <c r="BJ714" s="2">
        <v>242</v>
      </c>
      <c r="BK714" s="2" t="s">
        <v>107</v>
      </c>
      <c r="BL714" s="2" t="s">
        <v>107</v>
      </c>
      <c r="BM714" s="2">
        <v>242</v>
      </c>
      <c r="BN714" s="2" t="s">
        <v>107</v>
      </c>
      <c r="BO714" s="2" t="s">
        <v>107</v>
      </c>
      <c r="BP714" s="2">
        <v>242</v>
      </c>
      <c r="BQ714" s="2" t="s">
        <v>107</v>
      </c>
      <c r="BR714" s="2" t="s">
        <v>107</v>
      </c>
      <c r="BS714" s="3">
        <v>40235</v>
      </c>
      <c r="BT714" s="4">
        <v>0.51280092592592597</v>
      </c>
    </row>
    <row r="715" spans="1:72" x14ac:dyDescent="0.25">
      <c r="A715" s="2">
        <v>1122</v>
      </c>
      <c r="B715" s="2">
        <v>2010</v>
      </c>
      <c r="C715" s="2" t="s">
        <v>414</v>
      </c>
      <c r="D715" s="2" t="s">
        <v>122</v>
      </c>
      <c r="E715" s="2"/>
      <c r="F715" s="2">
        <v>1</v>
      </c>
      <c r="G715" s="2" t="s">
        <v>82</v>
      </c>
      <c r="H715" s="2">
        <v>1</v>
      </c>
      <c r="I715" s="2" t="s">
        <v>82</v>
      </c>
      <c r="J715" s="2">
        <v>1</v>
      </c>
      <c r="K715" s="2" t="s">
        <v>107</v>
      </c>
      <c r="L715" s="2" t="s">
        <v>107</v>
      </c>
      <c r="M715" s="3">
        <v>40235</v>
      </c>
      <c r="N715" s="2"/>
      <c r="O715" s="2"/>
      <c r="P715" s="2"/>
      <c r="Q715" s="2" t="str">
        <f>""</f>
        <v/>
      </c>
      <c r="R715" s="2"/>
      <c r="S715" s="2"/>
      <c r="T715" s="2">
        <v>1</v>
      </c>
      <c r="U715" s="2" t="s">
        <v>79</v>
      </c>
      <c r="V715" s="2">
        <v>1</v>
      </c>
      <c r="W715" s="2" t="s">
        <v>80</v>
      </c>
      <c r="X715" s="2">
        <v>1</v>
      </c>
      <c r="Y715" s="2" t="s">
        <v>81</v>
      </c>
      <c r="Z715" s="2">
        <v>1</v>
      </c>
      <c r="AA715" s="2" t="s">
        <v>82</v>
      </c>
      <c r="AB715" s="2">
        <v>9</v>
      </c>
      <c r="AC715" s="2" t="s">
        <v>124</v>
      </c>
      <c r="AD715" s="3">
        <v>40235</v>
      </c>
      <c r="AE715" s="4">
        <v>0.39930555555555558</v>
      </c>
      <c r="AF715" s="2"/>
      <c r="AG715" s="2"/>
      <c r="AH715" s="2">
        <v>3</v>
      </c>
      <c r="AI715" s="2" t="s">
        <v>214</v>
      </c>
      <c r="AJ715" s="2">
        <v>17</v>
      </c>
      <c r="AK715" s="2" t="s">
        <v>309</v>
      </c>
      <c r="AL715" s="2">
        <v>9</v>
      </c>
      <c r="AM715" s="2" t="s">
        <v>259</v>
      </c>
      <c r="AN715" s="2"/>
      <c r="AO715" s="2" t="s">
        <v>2922</v>
      </c>
      <c r="AP715" s="2">
        <v>11</v>
      </c>
      <c r="AQ715" s="2" t="s">
        <v>82</v>
      </c>
      <c r="AR715" s="2"/>
      <c r="AS715" s="2"/>
      <c r="AT715" s="2" t="s">
        <v>2923</v>
      </c>
      <c r="AU715" s="2"/>
      <c r="AV715" s="2"/>
      <c r="AW715" s="2"/>
      <c r="AX715" s="2"/>
      <c r="AY715" s="2">
        <v>41</v>
      </c>
      <c r="AZ715" s="2" t="s">
        <v>82</v>
      </c>
      <c r="BA715" s="2">
        <v>41</v>
      </c>
      <c r="BB715" s="2" t="s">
        <v>82</v>
      </c>
      <c r="BC715" s="2">
        <v>41</v>
      </c>
      <c r="BD715" s="2" t="s">
        <v>82</v>
      </c>
      <c r="BE715" s="2">
        <v>41</v>
      </c>
      <c r="BF715" s="2" t="s">
        <v>82</v>
      </c>
      <c r="BG715" s="2"/>
      <c r="BH715" s="2"/>
      <c r="BI715" s="2"/>
      <c r="BJ715" s="2">
        <v>241</v>
      </c>
      <c r="BK715" s="2" t="s">
        <v>82</v>
      </c>
      <c r="BL715" s="2"/>
      <c r="BM715" s="2">
        <v>241</v>
      </c>
      <c r="BN715" s="2" t="s">
        <v>82</v>
      </c>
      <c r="BO715" s="2"/>
      <c r="BP715" s="2">
        <v>241</v>
      </c>
      <c r="BQ715" s="2" t="s">
        <v>82</v>
      </c>
      <c r="BR715" s="2"/>
      <c r="BS715" s="3">
        <v>40235</v>
      </c>
      <c r="BT715" s="4">
        <v>0.53440972222222227</v>
      </c>
    </row>
    <row r="716" spans="1:72" x14ac:dyDescent="0.25">
      <c r="A716" s="2">
        <v>1125</v>
      </c>
      <c r="B716" s="2">
        <v>2010</v>
      </c>
      <c r="C716" s="2" t="s">
        <v>196</v>
      </c>
      <c r="D716" s="2" t="s">
        <v>122</v>
      </c>
      <c r="E716" s="2"/>
      <c r="F716" s="2">
        <v>1</v>
      </c>
      <c r="G716" s="2" t="s">
        <v>82</v>
      </c>
      <c r="H716" s="2">
        <v>1</v>
      </c>
      <c r="I716" s="2" t="s">
        <v>82</v>
      </c>
      <c r="J716" s="2">
        <v>1</v>
      </c>
      <c r="K716" s="2" t="s">
        <v>107</v>
      </c>
      <c r="L716" s="2" t="s">
        <v>107</v>
      </c>
      <c r="M716" s="3">
        <v>40235</v>
      </c>
      <c r="N716" s="2"/>
      <c r="O716" s="2"/>
      <c r="P716" s="2"/>
      <c r="Q716" s="2" t="str">
        <f>""</f>
        <v/>
      </c>
      <c r="R716" s="2"/>
      <c r="S716" s="2"/>
      <c r="T716" s="2">
        <v>2</v>
      </c>
      <c r="U716" s="2" t="s">
        <v>123</v>
      </c>
      <c r="V716" s="2">
        <v>1</v>
      </c>
      <c r="W716" s="2" t="s">
        <v>80</v>
      </c>
      <c r="X716" s="2">
        <v>1</v>
      </c>
      <c r="Y716" s="2" t="s">
        <v>81</v>
      </c>
      <c r="Z716" s="2">
        <v>10</v>
      </c>
      <c r="AA716" s="2" t="s">
        <v>236</v>
      </c>
      <c r="AB716" s="2">
        <v>9</v>
      </c>
      <c r="AC716" s="2" t="s">
        <v>124</v>
      </c>
      <c r="AD716" s="3">
        <v>40235</v>
      </c>
      <c r="AE716" s="4">
        <v>0.4375</v>
      </c>
      <c r="AF716" s="2"/>
      <c r="AG716" s="2"/>
      <c r="AH716" s="2">
        <v>2</v>
      </c>
      <c r="AI716" s="2" t="s">
        <v>84</v>
      </c>
      <c r="AJ716" s="2">
        <v>12</v>
      </c>
      <c r="AK716" s="2" t="s">
        <v>85</v>
      </c>
      <c r="AL716" s="2">
        <v>20</v>
      </c>
      <c r="AM716" s="2" t="s">
        <v>992</v>
      </c>
      <c r="AN716" s="2"/>
      <c r="AO716" s="2"/>
      <c r="AP716" s="2">
        <v>11</v>
      </c>
      <c r="AQ716" s="2" t="s">
        <v>82</v>
      </c>
      <c r="AR716" s="2"/>
      <c r="AS716" s="2"/>
      <c r="AT716" s="2" t="s">
        <v>2924</v>
      </c>
      <c r="AU716" s="2"/>
      <c r="AV716" s="2"/>
      <c r="AW716" s="2"/>
      <c r="AX716" s="2"/>
      <c r="AY716" s="2">
        <v>41</v>
      </c>
      <c r="AZ716" s="2" t="s">
        <v>82</v>
      </c>
      <c r="BA716" s="2">
        <v>41</v>
      </c>
      <c r="BB716" s="2" t="s">
        <v>82</v>
      </c>
      <c r="BC716" s="2">
        <v>41</v>
      </c>
      <c r="BD716" s="2" t="s">
        <v>82</v>
      </c>
      <c r="BE716" s="2">
        <v>41</v>
      </c>
      <c r="BF716" s="2" t="s">
        <v>82</v>
      </c>
      <c r="BG716" s="2"/>
      <c r="BH716" s="2"/>
      <c r="BI716" s="2"/>
      <c r="BJ716" s="2">
        <v>241</v>
      </c>
      <c r="BK716" s="2" t="s">
        <v>82</v>
      </c>
      <c r="BL716" s="2"/>
      <c r="BM716" s="2">
        <v>241</v>
      </c>
      <c r="BN716" s="2" t="s">
        <v>82</v>
      </c>
      <c r="BO716" s="2"/>
      <c r="BP716" s="2">
        <v>241</v>
      </c>
      <c r="BQ716" s="2" t="s">
        <v>82</v>
      </c>
      <c r="BR716" s="2"/>
      <c r="BS716" s="3">
        <v>40235</v>
      </c>
      <c r="BT716" s="4">
        <v>0.59119212962962964</v>
      </c>
    </row>
    <row r="717" spans="1:72" x14ac:dyDescent="0.25">
      <c r="A717" s="2">
        <v>1126</v>
      </c>
      <c r="B717" s="2">
        <v>2010</v>
      </c>
      <c r="C717" s="2" t="s">
        <v>255</v>
      </c>
      <c r="D717" s="2" t="s">
        <v>73</v>
      </c>
      <c r="E717" s="2"/>
      <c r="F717" s="2">
        <v>46</v>
      </c>
      <c r="G717" s="2" t="s">
        <v>2794</v>
      </c>
      <c r="H717" s="2">
        <v>47</v>
      </c>
      <c r="I717" s="2" t="s">
        <v>1409</v>
      </c>
      <c r="J717" s="2">
        <v>77</v>
      </c>
      <c r="K717" s="2" t="s">
        <v>2517</v>
      </c>
      <c r="L717" s="2" t="s">
        <v>2518</v>
      </c>
      <c r="M717" s="3">
        <v>40235</v>
      </c>
      <c r="N717" s="2" t="s">
        <v>2925</v>
      </c>
      <c r="O717" s="2"/>
      <c r="P717" s="2"/>
      <c r="Q717" s="2" t="str">
        <f>"005 / 2010"</f>
        <v>005 / 2010</v>
      </c>
      <c r="R717" s="2"/>
      <c r="S717" s="2" t="s">
        <v>2926</v>
      </c>
      <c r="T717" s="2">
        <v>1</v>
      </c>
      <c r="U717" s="2" t="s">
        <v>79</v>
      </c>
      <c r="V717" s="2">
        <v>1</v>
      </c>
      <c r="W717" s="2" t="s">
        <v>80</v>
      </c>
      <c r="X717" s="2">
        <v>1</v>
      </c>
      <c r="Y717" s="2" t="s">
        <v>81</v>
      </c>
      <c r="Z717" s="2">
        <v>3</v>
      </c>
      <c r="AA717" s="2" t="s">
        <v>257</v>
      </c>
      <c r="AB717" s="2">
        <v>9</v>
      </c>
      <c r="AC717" s="2" t="s">
        <v>124</v>
      </c>
      <c r="AD717" s="3">
        <v>40235</v>
      </c>
      <c r="AE717" s="2"/>
      <c r="AF717" s="3">
        <v>40235</v>
      </c>
      <c r="AG717" s="4">
        <v>0.44444444444444442</v>
      </c>
      <c r="AH717" s="2">
        <v>4</v>
      </c>
      <c r="AI717" s="2" t="s">
        <v>125</v>
      </c>
      <c r="AJ717" s="2">
        <v>31</v>
      </c>
      <c r="AK717" s="2" t="s">
        <v>1413</v>
      </c>
      <c r="AL717" s="2">
        <v>9</v>
      </c>
      <c r="AM717" s="2" t="s">
        <v>259</v>
      </c>
      <c r="AN717" s="2" t="s">
        <v>2927</v>
      </c>
      <c r="AO717" s="2"/>
      <c r="AP717" s="2">
        <v>11</v>
      </c>
      <c r="AQ717" s="2" t="s">
        <v>82</v>
      </c>
      <c r="AR717" s="2"/>
      <c r="AS717" s="2"/>
      <c r="AT717" s="2" t="s">
        <v>2928</v>
      </c>
      <c r="AU717" s="2"/>
      <c r="AV717" s="2"/>
      <c r="AW717" s="2"/>
      <c r="AX717" s="2"/>
      <c r="AY717" s="2">
        <v>44</v>
      </c>
      <c r="AZ717" s="2" t="s">
        <v>262</v>
      </c>
      <c r="BA717" s="2">
        <v>44</v>
      </c>
      <c r="BB717" s="2" t="s">
        <v>262</v>
      </c>
      <c r="BC717" s="2">
        <v>44</v>
      </c>
      <c r="BD717" s="2" t="s">
        <v>262</v>
      </c>
      <c r="BE717" s="2">
        <v>41</v>
      </c>
      <c r="BF717" s="2" t="s">
        <v>82</v>
      </c>
      <c r="BG717" s="2"/>
      <c r="BH717" s="2"/>
      <c r="BI717" s="2"/>
      <c r="BJ717" s="2">
        <v>241</v>
      </c>
      <c r="BK717" s="2" t="s">
        <v>82</v>
      </c>
      <c r="BL717" s="2"/>
      <c r="BM717" s="2">
        <v>241</v>
      </c>
      <c r="BN717" s="2" t="s">
        <v>82</v>
      </c>
      <c r="BO717" s="2"/>
      <c r="BP717" s="2">
        <v>241</v>
      </c>
      <c r="BQ717" s="2" t="s">
        <v>82</v>
      </c>
      <c r="BR717" s="2"/>
      <c r="BS717" s="3">
        <v>40235</v>
      </c>
      <c r="BT717" s="4">
        <v>0.59884259259259254</v>
      </c>
    </row>
    <row r="718" spans="1:72" x14ac:dyDescent="0.25">
      <c r="A718" s="2">
        <v>1127</v>
      </c>
      <c r="B718" s="2">
        <v>2010</v>
      </c>
      <c r="C718" s="2" t="s">
        <v>93</v>
      </c>
      <c r="D718" s="2" t="s">
        <v>122</v>
      </c>
      <c r="E718" s="2" t="s">
        <v>2929</v>
      </c>
      <c r="F718" s="2">
        <v>521</v>
      </c>
      <c r="G718" s="2" t="s">
        <v>2910</v>
      </c>
      <c r="H718" s="2">
        <v>63</v>
      </c>
      <c r="I718" s="2" t="s">
        <v>2911</v>
      </c>
      <c r="J718" s="2">
        <v>447</v>
      </c>
      <c r="K718" s="2" t="s">
        <v>2912</v>
      </c>
      <c r="L718" s="2" t="s">
        <v>2913</v>
      </c>
      <c r="M718" s="3">
        <v>40235</v>
      </c>
      <c r="N718" s="2" t="s">
        <v>2914</v>
      </c>
      <c r="O718" s="2" t="s">
        <v>2915</v>
      </c>
      <c r="P718" s="2" t="s">
        <v>2916</v>
      </c>
      <c r="Q718" s="2" t="str">
        <f>""</f>
        <v/>
      </c>
      <c r="R718" s="2" t="s">
        <v>100</v>
      </c>
      <c r="S718" s="2"/>
      <c r="T718" s="2">
        <v>1</v>
      </c>
      <c r="U718" s="2" t="s">
        <v>79</v>
      </c>
      <c r="V718" s="2">
        <v>1</v>
      </c>
      <c r="W718" s="2" t="s">
        <v>80</v>
      </c>
      <c r="X718" s="2">
        <v>1</v>
      </c>
      <c r="Y718" s="2" t="s">
        <v>81</v>
      </c>
      <c r="Z718" s="2">
        <v>6</v>
      </c>
      <c r="AA718" s="2" t="s">
        <v>101</v>
      </c>
      <c r="AB718" s="2">
        <v>2</v>
      </c>
      <c r="AC718" s="2" t="s">
        <v>102</v>
      </c>
      <c r="AD718" s="3">
        <v>40232</v>
      </c>
      <c r="AE718" s="4">
        <v>0.875</v>
      </c>
      <c r="AF718" s="3">
        <v>40232</v>
      </c>
      <c r="AG718" s="4">
        <v>0.95833333333333337</v>
      </c>
      <c r="AH718" s="2">
        <v>2</v>
      </c>
      <c r="AI718" s="2" t="s">
        <v>84</v>
      </c>
      <c r="AJ718" s="2">
        <v>9</v>
      </c>
      <c r="AK718" s="2" t="s">
        <v>103</v>
      </c>
      <c r="AL718" s="2">
        <v>14</v>
      </c>
      <c r="AM718" s="2" t="s">
        <v>216</v>
      </c>
      <c r="AN718" s="2" t="s">
        <v>2917</v>
      </c>
      <c r="AO718" s="2"/>
      <c r="AP718" s="2">
        <v>11</v>
      </c>
      <c r="AQ718" s="2" t="s">
        <v>82</v>
      </c>
      <c r="AR718" s="2"/>
      <c r="AS718" s="2"/>
      <c r="AT718" s="2" t="s">
        <v>2930</v>
      </c>
      <c r="AU718" s="2">
        <v>1</v>
      </c>
      <c r="AV718" s="2"/>
      <c r="AW718" s="2"/>
      <c r="AX718" s="2"/>
      <c r="AY718" s="2">
        <v>41</v>
      </c>
      <c r="AZ718" s="2" t="s">
        <v>82</v>
      </c>
      <c r="BA718" s="2">
        <v>41</v>
      </c>
      <c r="BB718" s="2" t="s">
        <v>82</v>
      </c>
      <c r="BC718" s="2">
        <v>41</v>
      </c>
      <c r="BD718" s="2" t="s">
        <v>82</v>
      </c>
      <c r="BE718" s="2">
        <v>4</v>
      </c>
      <c r="BF718" s="2" t="s">
        <v>90</v>
      </c>
      <c r="BG718" s="2" t="s">
        <v>2919</v>
      </c>
      <c r="BH718" s="2"/>
      <c r="BI718" s="2"/>
      <c r="BJ718" s="2">
        <v>173</v>
      </c>
      <c r="BK718" s="2" t="s">
        <v>223</v>
      </c>
      <c r="BL718" s="2" t="s">
        <v>224</v>
      </c>
      <c r="BM718" s="2">
        <v>241</v>
      </c>
      <c r="BN718" s="2" t="s">
        <v>82</v>
      </c>
      <c r="BO718" s="2"/>
      <c r="BP718" s="2">
        <v>13</v>
      </c>
      <c r="BQ718" s="2" t="s">
        <v>91</v>
      </c>
      <c r="BR718" s="2" t="s">
        <v>360</v>
      </c>
      <c r="BS718" s="3">
        <v>40235</v>
      </c>
      <c r="BT718" s="4">
        <v>0.65054398148148151</v>
      </c>
    </row>
    <row r="719" spans="1:72" x14ac:dyDescent="0.25">
      <c r="A719" s="2">
        <v>1128</v>
      </c>
      <c r="B719" s="2">
        <v>2010</v>
      </c>
      <c r="C719" s="2" t="s">
        <v>806</v>
      </c>
      <c r="D719" s="2" t="s">
        <v>73</v>
      </c>
      <c r="E719" s="2"/>
      <c r="F719" s="2">
        <v>11</v>
      </c>
      <c r="G719" s="2" t="s">
        <v>2454</v>
      </c>
      <c r="H719" s="2">
        <v>4</v>
      </c>
      <c r="I719" s="2" t="s">
        <v>173</v>
      </c>
      <c r="J719" s="2">
        <v>19</v>
      </c>
      <c r="K719" s="2" t="s">
        <v>2144</v>
      </c>
      <c r="L719" s="2" t="s">
        <v>2145</v>
      </c>
      <c r="M719" s="3">
        <v>40235</v>
      </c>
      <c r="N719" s="2" t="s">
        <v>2931</v>
      </c>
      <c r="O719" s="2" t="s">
        <v>2932</v>
      </c>
      <c r="P719" s="7">
        <v>20219</v>
      </c>
      <c r="Q719" s="2" t="str">
        <f>"06/10"</f>
        <v>06/10</v>
      </c>
      <c r="R719" s="2" t="s">
        <v>82</v>
      </c>
      <c r="S719" s="2" t="s">
        <v>82</v>
      </c>
      <c r="T719" s="2">
        <v>1</v>
      </c>
      <c r="U719" s="2" t="s">
        <v>79</v>
      </c>
      <c r="V719" s="2">
        <v>3</v>
      </c>
      <c r="W719" s="2" t="s">
        <v>225</v>
      </c>
      <c r="X719" s="2">
        <v>8</v>
      </c>
      <c r="Y719" s="2" t="s">
        <v>375</v>
      </c>
      <c r="Z719" s="2">
        <v>1</v>
      </c>
      <c r="AA719" s="2" t="s">
        <v>82</v>
      </c>
      <c r="AB719" s="2">
        <v>9</v>
      </c>
      <c r="AC719" s="2" t="s">
        <v>124</v>
      </c>
      <c r="AD719" s="3">
        <v>40235</v>
      </c>
      <c r="AE719" s="4">
        <v>0.58333333333333337</v>
      </c>
      <c r="AF719" s="2"/>
      <c r="AG719" s="2"/>
      <c r="AH719" s="2">
        <v>3</v>
      </c>
      <c r="AI719" s="2" t="s">
        <v>214</v>
      </c>
      <c r="AJ719" s="2">
        <v>14</v>
      </c>
      <c r="AK719" s="2" t="s">
        <v>342</v>
      </c>
      <c r="AL719" s="2">
        <v>23</v>
      </c>
      <c r="AM719" s="2" t="s">
        <v>251</v>
      </c>
      <c r="AN719" s="2"/>
      <c r="AO719" s="2" t="s">
        <v>2933</v>
      </c>
      <c r="AP719" s="2">
        <v>11</v>
      </c>
      <c r="AQ719" s="2" t="s">
        <v>82</v>
      </c>
      <c r="AR719" s="2"/>
      <c r="AS719" s="2"/>
      <c r="AT719" s="2" t="s">
        <v>2934</v>
      </c>
      <c r="AU719" s="2"/>
      <c r="AV719" s="2"/>
      <c r="AW719" s="2"/>
      <c r="AX719" s="2"/>
      <c r="AY719" s="2">
        <v>1</v>
      </c>
      <c r="AZ719" s="2" t="s">
        <v>107</v>
      </c>
      <c r="BA719" s="2">
        <v>1</v>
      </c>
      <c r="BB719" s="2" t="s">
        <v>107</v>
      </c>
      <c r="BC719" s="2">
        <v>1</v>
      </c>
      <c r="BD719" s="2" t="s">
        <v>107</v>
      </c>
      <c r="BE719" s="2">
        <v>1</v>
      </c>
      <c r="BF719" s="2" t="s">
        <v>107</v>
      </c>
      <c r="BG719" s="2"/>
      <c r="BH719" s="2"/>
      <c r="BI719" s="2"/>
      <c r="BJ719" s="2">
        <v>242</v>
      </c>
      <c r="BK719" s="2" t="s">
        <v>107</v>
      </c>
      <c r="BL719" s="2"/>
      <c r="BM719" s="2">
        <v>242</v>
      </c>
      <c r="BN719" s="2" t="s">
        <v>107</v>
      </c>
      <c r="BO719" s="2"/>
      <c r="BP719" s="2">
        <v>242</v>
      </c>
      <c r="BQ719" s="2" t="s">
        <v>107</v>
      </c>
      <c r="BR719" s="2"/>
      <c r="BS719" s="3">
        <v>40235</v>
      </c>
      <c r="BT719" s="4">
        <v>0.67799768518518511</v>
      </c>
    </row>
    <row r="720" spans="1:72" x14ac:dyDescent="0.25">
      <c r="A720" s="2">
        <v>1129</v>
      </c>
      <c r="B720" s="2">
        <v>2010</v>
      </c>
      <c r="C720" s="2" t="s">
        <v>171</v>
      </c>
      <c r="D720" s="2" t="s">
        <v>122</v>
      </c>
      <c r="E720" s="2" t="s">
        <v>2903</v>
      </c>
      <c r="F720" s="2">
        <v>397</v>
      </c>
      <c r="G720" s="2" t="s">
        <v>2522</v>
      </c>
      <c r="H720" s="2">
        <v>10</v>
      </c>
      <c r="I720" s="2" t="s">
        <v>1031</v>
      </c>
      <c r="J720" s="2">
        <v>377</v>
      </c>
      <c r="K720" s="2" t="s">
        <v>1223</v>
      </c>
      <c r="L720" s="2" t="s">
        <v>1224</v>
      </c>
      <c r="M720" s="3">
        <v>40235</v>
      </c>
      <c r="N720" s="2" t="s">
        <v>2873</v>
      </c>
      <c r="O720" s="2"/>
      <c r="P720" s="2"/>
      <c r="Q720" s="2" t="str">
        <f>"112-E/10"</f>
        <v>112-E/10</v>
      </c>
      <c r="R720" s="2"/>
      <c r="S720" s="2" t="s">
        <v>391</v>
      </c>
      <c r="T720" s="2">
        <v>1</v>
      </c>
      <c r="U720" s="2" t="s">
        <v>79</v>
      </c>
      <c r="V720" s="2">
        <v>1</v>
      </c>
      <c r="W720" s="2" t="s">
        <v>80</v>
      </c>
      <c r="X720" s="2">
        <v>1</v>
      </c>
      <c r="Y720" s="2" t="s">
        <v>81</v>
      </c>
      <c r="Z720" s="2">
        <v>10</v>
      </c>
      <c r="AA720" s="2" t="s">
        <v>236</v>
      </c>
      <c r="AB720" s="2">
        <v>1</v>
      </c>
      <c r="AC720" s="2" t="s">
        <v>178</v>
      </c>
      <c r="AD720" s="3">
        <v>40234</v>
      </c>
      <c r="AE720" s="4">
        <v>0.28125</v>
      </c>
      <c r="AF720" s="2"/>
      <c r="AG720" s="2"/>
      <c r="AH720" s="2">
        <v>2</v>
      </c>
      <c r="AI720" s="2" t="s">
        <v>84</v>
      </c>
      <c r="AJ720" s="2">
        <v>9</v>
      </c>
      <c r="AK720" s="2" t="s">
        <v>103</v>
      </c>
      <c r="AL720" s="2">
        <v>13</v>
      </c>
      <c r="AM720" s="2" t="s">
        <v>117</v>
      </c>
      <c r="AN720" s="2" t="s">
        <v>2874</v>
      </c>
      <c r="AO720" s="2"/>
      <c r="AP720" s="2">
        <v>11</v>
      </c>
      <c r="AQ720" s="2" t="s">
        <v>82</v>
      </c>
      <c r="AR720" s="2"/>
      <c r="AS720" s="2"/>
      <c r="AT720" s="2" t="s">
        <v>2935</v>
      </c>
      <c r="AU720" s="2"/>
      <c r="AV720" s="2">
        <v>1</v>
      </c>
      <c r="AW720" s="2"/>
      <c r="AX720" s="2"/>
      <c r="AY720" s="2">
        <v>42</v>
      </c>
      <c r="AZ720" s="2" t="s">
        <v>182</v>
      </c>
      <c r="BA720" s="2">
        <v>41</v>
      </c>
      <c r="BB720" s="2" t="s">
        <v>82</v>
      </c>
      <c r="BC720" s="2">
        <v>70</v>
      </c>
      <c r="BD720" s="2" t="s">
        <v>236</v>
      </c>
      <c r="BE720" s="2">
        <v>13</v>
      </c>
      <c r="BF720" s="2" t="s">
        <v>108</v>
      </c>
      <c r="BG720" s="2" t="s">
        <v>2876</v>
      </c>
      <c r="BH720" s="2"/>
      <c r="BI720" s="2"/>
      <c r="BJ720" s="2">
        <v>13</v>
      </c>
      <c r="BK720" s="2" t="s">
        <v>91</v>
      </c>
      <c r="BL720" s="2" t="s">
        <v>360</v>
      </c>
      <c r="BM720" s="2">
        <v>241</v>
      </c>
      <c r="BN720" s="2" t="s">
        <v>82</v>
      </c>
      <c r="BO720" s="2"/>
      <c r="BP720" s="2">
        <v>112</v>
      </c>
      <c r="BQ720" s="2" t="s">
        <v>110</v>
      </c>
      <c r="BR720" s="2" t="s">
        <v>111</v>
      </c>
      <c r="BS720" s="3">
        <v>40235</v>
      </c>
      <c r="BT720" s="4">
        <v>0.71925925925925915</v>
      </c>
    </row>
    <row r="721" spans="1:72" x14ac:dyDescent="0.25">
      <c r="A721" s="2">
        <v>1132</v>
      </c>
      <c r="B721" s="2">
        <v>2010</v>
      </c>
      <c r="C721" s="2" t="s">
        <v>196</v>
      </c>
      <c r="D721" s="2" t="s">
        <v>122</v>
      </c>
      <c r="E721" s="2"/>
      <c r="F721" s="2">
        <v>1</v>
      </c>
      <c r="G721" s="2" t="s">
        <v>82</v>
      </c>
      <c r="H721" s="2">
        <v>1</v>
      </c>
      <c r="I721" s="2" t="s">
        <v>82</v>
      </c>
      <c r="J721" s="2">
        <v>1</v>
      </c>
      <c r="K721" s="2" t="s">
        <v>107</v>
      </c>
      <c r="L721" s="2" t="s">
        <v>107</v>
      </c>
      <c r="M721" s="3">
        <v>40235</v>
      </c>
      <c r="N721" s="2"/>
      <c r="O721" s="2"/>
      <c r="P721" s="2"/>
      <c r="Q721" s="2" t="str">
        <f>""</f>
        <v/>
      </c>
      <c r="R721" s="2"/>
      <c r="S721" s="2"/>
      <c r="T721" s="2">
        <v>2</v>
      </c>
      <c r="U721" s="2" t="s">
        <v>123</v>
      </c>
      <c r="V721" s="2">
        <v>1</v>
      </c>
      <c r="W721" s="2" t="s">
        <v>80</v>
      </c>
      <c r="X721" s="2">
        <v>1</v>
      </c>
      <c r="Y721" s="2" t="s">
        <v>81</v>
      </c>
      <c r="Z721" s="2">
        <v>10</v>
      </c>
      <c r="AA721" s="2" t="s">
        <v>236</v>
      </c>
      <c r="AB721" s="2">
        <v>9</v>
      </c>
      <c r="AC721" s="2" t="s">
        <v>124</v>
      </c>
      <c r="AD721" s="3">
        <v>40235</v>
      </c>
      <c r="AE721" s="4">
        <v>0.64583333333333337</v>
      </c>
      <c r="AF721" s="2"/>
      <c r="AG721" s="2"/>
      <c r="AH721" s="2">
        <v>2</v>
      </c>
      <c r="AI721" s="2" t="s">
        <v>84</v>
      </c>
      <c r="AJ721" s="2">
        <v>12</v>
      </c>
      <c r="AK721" s="2" t="s">
        <v>85</v>
      </c>
      <c r="AL721" s="2">
        <v>20</v>
      </c>
      <c r="AM721" s="2" t="s">
        <v>992</v>
      </c>
      <c r="AN721" s="2" t="s">
        <v>992</v>
      </c>
      <c r="AO721" s="2"/>
      <c r="AP721" s="2">
        <v>11</v>
      </c>
      <c r="AQ721" s="2" t="s">
        <v>82</v>
      </c>
      <c r="AR721" s="2"/>
      <c r="AS721" s="2"/>
      <c r="AT721" s="2" t="s">
        <v>2936</v>
      </c>
      <c r="AU721" s="2"/>
      <c r="AV721" s="2"/>
      <c r="AW721" s="2"/>
      <c r="AX721" s="2"/>
      <c r="AY721" s="2">
        <v>41</v>
      </c>
      <c r="AZ721" s="2" t="s">
        <v>82</v>
      </c>
      <c r="BA721" s="2">
        <v>41</v>
      </c>
      <c r="BB721" s="2" t="s">
        <v>82</v>
      </c>
      <c r="BC721" s="2">
        <v>41</v>
      </c>
      <c r="BD721" s="2" t="s">
        <v>82</v>
      </c>
      <c r="BE721" s="2">
        <v>41</v>
      </c>
      <c r="BF721" s="2" t="s">
        <v>82</v>
      </c>
      <c r="BG721" s="2"/>
      <c r="BH721" s="2"/>
      <c r="BI721" s="2"/>
      <c r="BJ721" s="2">
        <v>13</v>
      </c>
      <c r="BK721" s="2" t="s">
        <v>91</v>
      </c>
      <c r="BL721" s="2" t="s">
        <v>647</v>
      </c>
      <c r="BM721" s="2">
        <v>241</v>
      </c>
      <c r="BN721" s="2" t="s">
        <v>82</v>
      </c>
      <c r="BO721" s="2"/>
      <c r="BP721" s="2">
        <v>13</v>
      </c>
      <c r="BQ721" s="2" t="s">
        <v>91</v>
      </c>
      <c r="BR721" s="2" t="s">
        <v>185</v>
      </c>
      <c r="BS721" s="3">
        <v>40235</v>
      </c>
      <c r="BT721" s="4">
        <v>0.74556712962962957</v>
      </c>
    </row>
    <row r="722" spans="1:72" x14ac:dyDescent="0.25">
      <c r="A722" s="2">
        <v>1134</v>
      </c>
      <c r="B722" s="2">
        <v>2010</v>
      </c>
      <c r="C722" s="2" t="s">
        <v>196</v>
      </c>
      <c r="D722" s="2" t="s">
        <v>122</v>
      </c>
      <c r="E722" s="2"/>
      <c r="F722" s="2">
        <v>1</v>
      </c>
      <c r="G722" s="2" t="s">
        <v>82</v>
      </c>
      <c r="H722" s="2">
        <v>1</v>
      </c>
      <c r="I722" s="2" t="s">
        <v>82</v>
      </c>
      <c r="J722" s="2">
        <v>1</v>
      </c>
      <c r="K722" s="2" t="s">
        <v>107</v>
      </c>
      <c r="L722" s="2" t="s">
        <v>107</v>
      </c>
      <c r="M722" s="3">
        <v>40235</v>
      </c>
      <c r="N722" s="2"/>
      <c r="O722" s="2"/>
      <c r="P722" s="2"/>
      <c r="Q722" s="2" t="str">
        <f>""</f>
        <v/>
      </c>
      <c r="R722" s="2"/>
      <c r="S722" s="2"/>
      <c r="T722" s="2">
        <v>2</v>
      </c>
      <c r="U722" s="2" t="s">
        <v>123</v>
      </c>
      <c r="V722" s="2">
        <v>1</v>
      </c>
      <c r="W722" s="2" t="s">
        <v>80</v>
      </c>
      <c r="X722" s="2">
        <v>5</v>
      </c>
      <c r="Y722" s="2" t="s">
        <v>82</v>
      </c>
      <c r="Z722" s="2">
        <v>1</v>
      </c>
      <c r="AA722" s="2" t="s">
        <v>82</v>
      </c>
      <c r="AB722" s="2">
        <v>9</v>
      </c>
      <c r="AC722" s="2" t="s">
        <v>124</v>
      </c>
      <c r="AD722" s="3">
        <v>40235</v>
      </c>
      <c r="AE722" s="4">
        <v>0.5625</v>
      </c>
      <c r="AF722" s="2"/>
      <c r="AG722" s="2"/>
      <c r="AH722" s="2">
        <v>2</v>
      </c>
      <c r="AI722" s="2" t="s">
        <v>84</v>
      </c>
      <c r="AJ722" s="2">
        <v>8</v>
      </c>
      <c r="AK722" s="2" t="s">
        <v>436</v>
      </c>
      <c r="AL722" s="2">
        <v>18</v>
      </c>
      <c r="AM722" s="2" t="s">
        <v>82</v>
      </c>
      <c r="AN722" s="2"/>
      <c r="AO722" s="2"/>
      <c r="AP722" s="2">
        <v>11</v>
      </c>
      <c r="AQ722" s="2" t="s">
        <v>82</v>
      </c>
      <c r="AR722" s="2"/>
      <c r="AS722" s="2"/>
      <c r="AT722" s="2" t="s">
        <v>2937</v>
      </c>
      <c r="AU722" s="2"/>
      <c r="AV722" s="2"/>
      <c r="AW722" s="2"/>
      <c r="AX722" s="2"/>
      <c r="AY722" s="2">
        <v>1</v>
      </c>
      <c r="AZ722" s="2" t="s">
        <v>107</v>
      </c>
      <c r="BA722" s="2">
        <v>1</v>
      </c>
      <c r="BB722" s="2" t="s">
        <v>107</v>
      </c>
      <c r="BC722" s="2">
        <v>1</v>
      </c>
      <c r="BD722" s="2" t="s">
        <v>107</v>
      </c>
      <c r="BE722" s="2">
        <v>1</v>
      </c>
      <c r="BF722" s="2" t="s">
        <v>107</v>
      </c>
      <c r="BG722" s="2"/>
      <c r="BH722" s="2"/>
      <c r="BI722" s="2"/>
      <c r="BJ722" s="2">
        <v>242</v>
      </c>
      <c r="BK722" s="2" t="s">
        <v>107</v>
      </c>
      <c r="BL722" s="2"/>
      <c r="BM722" s="2">
        <v>242</v>
      </c>
      <c r="BN722" s="2" t="s">
        <v>107</v>
      </c>
      <c r="BO722" s="2"/>
      <c r="BP722" s="2">
        <v>242</v>
      </c>
      <c r="BQ722" s="2" t="s">
        <v>107</v>
      </c>
      <c r="BR722" s="2"/>
      <c r="BS722" s="3">
        <v>40235</v>
      </c>
      <c r="BT722" s="4">
        <v>0.76989583333333333</v>
      </c>
    </row>
    <row r="723" spans="1:72" x14ac:dyDescent="0.25">
      <c r="A723" s="2">
        <v>1135</v>
      </c>
      <c r="B723" s="2">
        <v>2010</v>
      </c>
      <c r="C723" s="2" t="s">
        <v>196</v>
      </c>
      <c r="D723" s="2" t="s">
        <v>122</v>
      </c>
      <c r="E723" s="2"/>
      <c r="F723" s="2">
        <v>1</v>
      </c>
      <c r="G723" s="2" t="s">
        <v>82</v>
      </c>
      <c r="H723" s="2">
        <v>1</v>
      </c>
      <c r="I723" s="2" t="s">
        <v>82</v>
      </c>
      <c r="J723" s="2">
        <v>1</v>
      </c>
      <c r="K723" s="2" t="s">
        <v>107</v>
      </c>
      <c r="L723" s="2" t="s">
        <v>107</v>
      </c>
      <c r="M723" s="3">
        <v>40235</v>
      </c>
      <c r="N723" s="2"/>
      <c r="O723" s="2"/>
      <c r="P723" s="2"/>
      <c r="Q723" s="2" t="str">
        <f>""</f>
        <v/>
      </c>
      <c r="R723" s="2"/>
      <c r="S723" s="2"/>
      <c r="T723" s="2">
        <v>2</v>
      </c>
      <c r="U723" s="2" t="s">
        <v>123</v>
      </c>
      <c r="V723" s="2">
        <v>1</v>
      </c>
      <c r="W723" s="2" t="s">
        <v>80</v>
      </c>
      <c r="X723" s="2">
        <v>5</v>
      </c>
      <c r="Y723" s="2" t="s">
        <v>82</v>
      </c>
      <c r="Z723" s="2">
        <v>1</v>
      </c>
      <c r="AA723" s="2" t="s">
        <v>82</v>
      </c>
      <c r="AB723" s="2">
        <v>9</v>
      </c>
      <c r="AC723" s="2" t="s">
        <v>124</v>
      </c>
      <c r="AD723" s="3">
        <v>40235</v>
      </c>
      <c r="AE723" s="4">
        <v>0.65625</v>
      </c>
      <c r="AF723" s="2"/>
      <c r="AG723" s="2"/>
      <c r="AH723" s="2">
        <v>2</v>
      </c>
      <c r="AI723" s="2" t="s">
        <v>84</v>
      </c>
      <c r="AJ723" s="2">
        <v>8</v>
      </c>
      <c r="AK723" s="2" t="s">
        <v>436</v>
      </c>
      <c r="AL723" s="2">
        <v>18</v>
      </c>
      <c r="AM723" s="2" t="s">
        <v>82</v>
      </c>
      <c r="AN723" s="2"/>
      <c r="AO723" s="2"/>
      <c r="AP723" s="2">
        <v>11</v>
      </c>
      <c r="AQ723" s="2" t="s">
        <v>82</v>
      </c>
      <c r="AR723" s="2"/>
      <c r="AS723" s="2"/>
      <c r="AT723" s="2" t="s">
        <v>2938</v>
      </c>
      <c r="AU723" s="2"/>
      <c r="AV723" s="2"/>
      <c r="AW723" s="2"/>
      <c r="AX723" s="2"/>
      <c r="AY723" s="2">
        <v>1</v>
      </c>
      <c r="AZ723" s="2" t="s">
        <v>107</v>
      </c>
      <c r="BA723" s="2">
        <v>1</v>
      </c>
      <c r="BB723" s="2" t="s">
        <v>107</v>
      </c>
      <c r="BC723" s="2">
        <v>1</v>
      </c>
      <c r="BD723" s="2" t="s">
        <v>107</v>
      </c>
      <c r="BE723" s="2">
        <v>1</v>
      </c>
      <c r="BF723" s="2" t="s">
        <v>107</v>
      </c>
      <c r="BG723" s="2"/>
      <c r="BH723" s="2"/>
      <c r="BI723" s="2"/>
      <c r="BJ723" s="2">
        <v>242</v>
      </c>
      <c r="BK723" s="2" t="s">
        <v>107</v>
      </c>
      <c r="BL723" s="2"/>
      <c r="BM723" s="2">
        <v>242</v>
      </c>
      <c r="BN723" s="2" t="s">
        <v>107</v>
      </c>
      <c r="BO723" s="2"/>
      <c r="BP723" s="2">
        <v>242</v>
      </c>
      <c r="BQ723" s="2" t="s">
        <v>107</v>
      </c>
      <c r="BR723" s="2"/>
      <c r="BS723" s="3">
        <v>40235</v>
      </c>
      <c r="BT723" s="4">
        <v>0.77587962962962964</v>
      </c>
    </row>
    <row r="724" spans="1:72" x14ac:dyDescent="0.25">
      <c r="A724" s="2">
        <v>1137</v>
      </c>
      <c r="B724" s="2">
        <v>2010</v>
      </c>
      <c r="C724" s="2" t="s">
        <v>171</v>
      </c>
      <c r="D724" s="2" t="s">
        <v>122</v>
      </c>
      <c r="E724" s="2" t="s">
        <v>2939</v>
      </c>
      <c r="F724" s="2">
        <v>397</v>
      </c>
      <c r="G724" s="2" t="s">
        <v>2522</v>
      </c>
      <c r="H724" s="2">
        <v>10</v>
      </c>
      <c r="I724" s="2" t="s">
        <v>1031</v>
      </c>
      <c r="J724" s="2">
        <v>377</v>
      </c>
      <c r="K724" s="2" t="s">
        <v>1223</v>
      </c>
      <c r="L724" s="2" t="s">
        <v>1224</v>
      </c>
      <c r="M724" s="3">
        <v>40235</v>
      </c>
      <c r="N724" s="2" t="s">
        <v>2873</v>
      </c>
      <c r="O724" s="2"/>
      <c r="P724" s="2"/>
      <c r="Q724" s="2" t="str">
        <f>"112-E/10"</f>
        <v>112-E/10</v>
      </c>
      <c r="R724" s="2" t="s">
        <v>391</v>
      </c>
      <c r="S724" s="2"/>
      <c r="T724" s="2">
        <v>1</v>
      </c>
      <c r="U724" s="2" t="s">
        <v>79</v>
      </c>
      <c r="V724" s="2">
        <v>1</v>
      </c>
      <c r="W724" s="2" t="s">
        <v>80</v>
      </c>
      <c r="X724" s="2">
        <v>1</v>
      </c>
      <c r="Y724" s="2" t="s">
        <v>81</v>
      </c>
      <c r="Z724" s="2">
        <v>10</v>
      </c>
      <c r="AA724" s="2" t="s">
        <v>236</v>
      </c>
      <c r="AB724" s="2">
        <v>1</v>
      </c>
      <c r="AC724" s="2" t="s">
        <v>178</v>
      </c>
      <c r="AD724" s="3">
        <v>40234</v>
      </c>
      <c r="AE724" s="4">
        <v>0.28125</v>
      </c>
      <c r="AF724" s="2"/>
      <c r="AG724" s="2"/>
      <c r="AH724" s="2">
        <v>2</v>
      </c>
      <c r="AI724" s="2" t="s">
        <v>84</v>
      </c>
      <c r="AJ724" s="2">
        <v>9</v>
      </c>
      <c r="AK724" s="2" t="s">
        <v>103</v>
      </c>
      <c r="AL724" s="2">
        <v>13</v>
      </c>
      <c r="AM724" s="2" t="s">
        <v>117</v>
      </c>
      <c r="AN724" s="2" t="s">
        <v>2874</v>
      </c>
      <c r="AO724" s="2"/>
      <c r="AP724" s="2">
        <v>11</v>
      </c>
      <c r="AQ724" s="2" t="s">
        <v>82</v>
      </c>
      <c r="AR724" s="2"/>
      <c r="AS724" s="2"/>
      <c r="AT724" s="2" t="s">
        <v>2940</v>
      </c>
      <c r="AU724" s="2"/>
      <c r="AV724" s="2">
        <v>1</v>
      </c>
      <c r="AW724" s="2"/>
      <c r="AX724" s="2"/>
      <c r="AY724" s="2">
        <v>42</v>
      </c>
      <c r="AZ724" s="2" t="s">
        <v>182</v>
      </c>
      <c r="BA724" s="2">
        <v>41</v>
      </c>
      <c r="BB724" s="2" t="s">
        <v>82</v>
      </c>
      <c r="BC724" s="2">
        <v>70</v>
      </c>
      <c r="BD724" s="2" t="s">
        <v>236</v>
      </c>
      <c r="BE724" s="2">
        <v>13</v>
      </c>
      <c r="BF724" s="2" t="s">
        <v>108</v>
      </c>
      <c r="BG724" s="2" t="s">
        <v>2876</v>
      </c>
      <c r="BH724" s="2"/>
      <c r="BI724" s="2"/>
      <c r="BJ724" s="2">
        <v>13</v>
      </c>
      <c r="BK724" s="2" t="s">
        <v>91</v>
      </c>
      <c r="BL724" s="2" t="s">
        <v>360</v>
      </c>
      <c r="BM724" s="2">
        <v>241</v>
      </c>
      <c r="BN724" s="2" t="s">
        <v>82</v>
      </c>
      <c r="BO724" s="2"/>
      <c r="BP724" s="2">
        <v>112</v>
      </c>
      <c r="BQ724" s="2" t="s">
        <v>110</v>
      </c>
      <c r="BR724" s="2" t="s">
        <v>111</v>
      </c>
      <c r="BS724" s="3">
        <v>40235</v>
      </c>
      <c r="BT724" s="4">
        <v>0.83712962962962967</v>
      </c>
    </row>
    <row r="725" spans="1:72" x14ac:dyDescent="0.25">
      <c r="A725" s="2">
        <v>1138</v>
      </c>
      <c r="B725" s="2">
        <v>2010</v>
      </c>
      <c r="C725" s="2" t="s">
        <v>171</v>
      </c>
      <c r="D725" s="2" t="s">
        <v>122</v>
      </c>
      <c r="E725" s="2" t="s">
        <v>2941</v>
      </c>
      <c r="F725" s="2">
        <v>397</v>
      </c>
      <c r="G725" s="2" t="s">
        <v>2522</v>
      </c>
      <c r="H725" s="2">
        <v>10</v>
      </c>
      <c r="I725" s="2" t="s">
        <v>1031</v>
      </c>
      <c r="J725" s="2">
        <v>377</v>
      </c>
      <c r="K725" s="2" t="s">
        <v>1223</v>
      </c>
      <c r="L725" s="2" t="s">
        <v>1224</v>
      </c>
      <c r="M725" s="3">
        <v>40235</v>
      </c>
      <c r="N725" s="2" t="s">
        <v>2873</v>
      </c>
      <c r="O725" s="2"/>
      <c r="P725" s="2"/>
      <c r="Q725" s="2" t="str">
        <f>"113-E/10"</f>
        <v>113-E/10</v>
      </c>
      <c r="R725" s="2" t="s">
        <v>391</v>
      </c>
      <c r="S725" s="2"/>
      <c r="T725" s="2">
        <v>1</v>
      </c>
      <c r="U725" s="2" t="s">
        <v>79</v>
      </c>
      <c r="V725" s="2">
        <v>1</v>
      </c>
      <c r="W725" s="2" t="s">
        <v>80</v>
      </c>
      <c r="X725" s="2">
        <v>1</v>
      </c>
      <c r="Y725" s="2" t="s">
        <v>81</v>
      </c>
      <c r="Z725" s="2">
        <v>10</v>
      </c>
      <c r="AA725" s="2" t="s">
        <v>236</v>
      </c>
      <c r="AB725" s="2">
        <v>1</v>
      </c>
      <c r="AC725" s="2" t="s">
        <v>178</v>
      </c>
      <c r="AD725" s="3">
        <v>40234</v>
      </c>
      <c r="AE725" s="4">
        <v>0.33333333333333331</v>
      </c>
      <c r="AF725" s="2"/>
      <c r="AG725" s="2"/>
      <c r="AH725" s="2">
        <v>2</v>
      </c>
      <c r="AI725" s="2" t="s">
        <v>84</v>
      </c>
      <c r="AJ725" s="2">
        <v>9</v>
      </c>
      <c r="AK725" s="2" t="s">
        <v>103</v>
      </c>
      <c r="AL725" s="2">
        <v>15</v>
      </c>
      <c r="AM725" s="2" t="s">
        <v>104</v>
      </c>
      <c r="AN725" s="2" t="s">
        <v>179</v>
      </c>
      <c r="AO725" s="2"/>
      <c r="AP725" s="2">
        <v>11</v>
      </c>
      <c r="AQ725" s="2" t="s">
        <v>82</v>
      </c>
      <c r="AR725" s="2"/>
      <c r="AS725" s="2"/>
      <c r="AT725" s="2" t="s">
        <v>2942</v>
      </c>
      <c r="AU725" s="2"/>
      <c r="AV725" s="2">
        <v>1</v>
      </c>
      <c r="AW725" s="2"/>
      <c r="AX725" s="2"/>
      <c r="AY725" s="2">
        <v>42</v>
      </c>
      <c r="AZ725" s="2" t="s">
        <v>182</v>
      </c>
      <c r="BA725" s="2">
        <v>41</v>
      </c>
      <c r="BB725" s="2" t="s">
        <v>82</v>
      </c>
      <c r="BC725" s="2">
        <v>70</v>
      </c>
      <c r="BD725" s="2" t="s">
        <v>236</v>
      </c>
      <c r="BE725" s="2">
        <v>13</v>
      </c>
      <c r="BF725" s="2" t="s">
        <v>108</v>
      </c>
      <c r="BG725" s="2" t="s">
        <v>2876</v>
      </c>
      <c r="BH725" s="4">
        <v>0.875</v>
      </c>
      <c r="BI725" s="4">
        <v>0.375</v>
      </c>
      <c r="BJ725" s="2">
        <v>13</v>
      </c>
      <c r="BK725" s="2" t="s">
        <v>91</v>
      </c>
      <c r="BL725" s="2" t="s">
        <v>360</v>
      </c>
      <c r="BM725" s="2">
        <v>241</v>
      </c>
      <c r="BN725" s="2" t="s">
        <v>82</v>
      </c>
      <c r="BO725" s="2"/>
      <c r="BP725" s="2">
        <v>112</v>
      </c>
      <c r="BQ725" s="2" t="s">
        <v>110</v>
      </c>
      <c r="BR725" s="2" t="s">
        <v>111</v>
      </c>
      <c r="BS725" s="3">
        <v>40235</v>
      </c>
      <c r="BT725" s="4">
        <v>0.83996527777777785</v>
      </c>
    </row>
    <row r="726" spans="1:72" x14ac:dyDescent="0.25">
      <c r="A726" s="2">
        <v>1139</v>
      </c>
      <c r="B726" s="2">
        <v>2010</v>
      </c>
      <c r="C726" s="2" t="s">
        <v>93</v>
      </c>
      <c r="D726" s="2" t="s">
        <v>73</v>
      </c>
      <c r="E726" s="2"/>
      <c r="F726" s="2">
        <v>522</v>
      </c>
      <c r="G726" s="2" t="s">
        <v>2943</v>
      </c>
      <c r="H726" s="2">
        <v>42</v>
      </c>
      <c r="I726" s="2" t="s">
        <v>1096</v>
      </c>
      <c r="J726" s="2">
        <v>450</v>
      </c>
      <c r="K726" s="2" t="s">
        <v>2944</v>
      </c>
      <c r="L726" s="2" t="s">
        <v>2945</v>
      </c>
      <c r="M726" s="3">
        <v>40235</v>
      </c>
      <c r="N726" s="2" t="s">
        <v>2946</v>
      </c>
      <c r="O726" s="2" t="s">
        <v>2947</v>
      </c>
      <c r="P726" s="2" t="s">
        <v>2947</v>
      </c>
      <c r="Q726" s="2" t="str">
        <f>"CAUSA 0008/10 "</f>
        <v xml:space="preserve">CAUSA 0008/10 </v>
      </c>
      <c r="R726" s="2" t="s">
        <v>2948</v>
      </c>
      <c r="S726" s="2" t="s">
        <v>82</v>
      </c>
      <c r="T726" s="2">
        <v>1</v>
      </c>
      <c r="U726" s="2" t="s">
        <v>79</v>
      </c>
      <c r="V726" s="2">
        <v>1</v>
      </c>
      <c r="W726" s="2" t="s">
        <v>80</v>
      </c>
      <c r="X726" s="2">
        <v>1</v>
      </c>
      <c r="Y726" s="2" t="s">
        <v>81</v>
      </c>
      <c r="Z726" s="2">
        <v>10</v>
      </c>
      <c r="AA726" s="2" t="s">
        <v>236</v>
      </c>
      <c r="AB726" s="2">
        <v>2</v>
      </c>
      <c r="AC726" s="2" t="s">
        <v>102</v>
      </c>
      <c r="AD726" s="3">
        <v>40234</v>
      </c>
      <c r="AE726" s="4">
        <v>0.58680555555555558</v>
      </c>
      <c r="AF726" s="2"/>
      <c r="AG726" s="2"/>
      <c r="AH726" s="2">
        <v>6</v>
      </c>
      <c r="AI726" s="2" t="s">
        <v>197</v>
      </c>
      <c r="AJ726" s="2">
        <v>61</v>
      </c>
      <c r="AK726" s="2" t="s">
        <v>686</v>
      </c>
      <c r="AL726" s="2">
        <v>11</v>
      </c>
      <c r="AM726" s="2" t="s">
        <v>137</v>
      </c>
      <c r="AN726" s="2" t="s">
        <v>82</v>
      </c>
      <c r="AO726" s="2" t="s">
        <v>2949</v>
      </c>
      <c r="AP726" s="2">
        <v>11</v>
      </c>
      <c r="AQ726" s="2" t="s">
        <v>82</v>
      </c>
      <c r="AR726" s="2" t="s">
        <v>82</v>
      </c>
      <c r="AS726" s="2" t="s">
        <v>82</v>
      </c>
      <c r="AT726" s="2" t="s">
        <v>2950</v>
      </c>
      <c r="AU726" s="2"/>
      <c r="AV726" s="2"/>
      <c r="AW726" s="2"/>
      <c r="AX726" s="2"/>
      <c r="AY726" s="2">
        <v>41</v>
      </c>
      <c r="AZ726" s="2" t="s">
        <v>82</v>
      </c>
      <c r="BA726" s="2">
        <v>41</v>
      </c>
      <c r="BB726" s="2" t="s">
        <v>82</v>
      </c>
      <c r="BC726" s="2">
        <v>41</v>
      </c>
      <c r="BD726" s="2" t="s">
        <v>82</v>
      </c>
      <c r="BE726" s="2">
        <v>47</v>
      </c>
      <c r="BF726" s="2" t="s">
        <v>167</v>
      </c>
      <c r="BG726" s="2" t="s">
        <v>2951</v>
      </c>
      <c r="BH726" s="2"/>
      <c r="BI726" s="4">
        <v>0.60069444444444442</v>
      </c>
      <c r="BJ726" s="2">
        <v>13</v>
      </c>
      <c r="BK726" s="2" t="s">
        <v>91</v>
      </c>
      <c r="BL726" s="2" t="s">
        <v>690</v>
      </c>
      <c r="BM726" s="2">
        <v>241</v>
      </c>
      <c r="BN726" s="2" t="s">
        <v>82</v>
      </c>
      <c r="BO726" s="2" t="s">
        <v>82</v>
      </c>
      <c r="BP726" s="2">
        <v>13</v>
      </c>
      <c r="BQ726" s="2" t="s">
        <v>91</v>
      </c>
      <c r="BR726" s="2" t="s">
        <v>185</v>
      </c>
      <c r="BS726" s="3">
        <v>40235</v>
      </c>
      <c r="BT726" s="4">
        <v>0.94468750000000001</v>
      </c>
    </row>
    <row r="727" spans="1:72" x14ac:dyDescent="0.25">
      <c r="A727" s="2">
        <v>1140</v>
      </c>
      <c r="B727" s="2">
        <v>2010</v>
      </c>
      <c r="C727" s="2" t="s">
        <v>171</v>
      </c>
      <c r="D727" s="2" t="s">
        <v>73</v>
      </c>
      <c r="E727" s="2"/>
      <c r="F727" s="2">
        <v>397</v>
      </c>
      <c r="G727" s="2" t="s">
        <v>2522</v>
      </c>
      <c r="H727" s="2">
        <v>11</v>
      </c>
      <c r="I727" s="2" t="s">
        <v>1397</v>
      </c>
      <c r="J727" s="2">
        <v>377</v>
      </c>
      <c r="K727" s="2" t="s">
        <v>1223</v>
      </c>
      <c r="L727" s="2" t="s">
        <v>1224</v>
      </c>
      <c r="M727" s="3">
        <v>40235</v>
      </c>
      <c r="N727" s="2" t="s">
        <v>2952</v>
      </c>
      <c r="O727" s="2" t="s">
        <v>107</v>
      </c>
      <c r="P727" s="2" t="s">
        <v>107</v>
      </c>
      <c r="Q727" s="2" t="str">
        <f>"S/D"</f>
        <v>S/D</v>
      </c>
      <c r="R727" s="2" t="s">
        <v>107</v>
      </c>
      <c r="S727" s="2" t="s">
        <v>107</v>
      </c>
      <c r="T727" s="2">
        <v>1</v>
      </c>
      <c r="U727" s="2" t="s">
        <v>79</v>
      </c>
      <c r="V727" s="2">
        <v>1</v>
      </c>
      <c r="W727" s="2" t="s">
        <v>80</v>
      </c>
      <c r="X727" s="2">
        <v>3</v>
      </c>
      <c r="Y727" s="2" t="s">
        <v>698</v>
      </c>
      <c r="Z727" s="2">
        <v>2</v>
      </c>
      <c r="AA727" s="2" t="s">
        <v>2148</v>
      </c>
      <c r="AB727" s="2">
        <v>1</v>
      </c>
      <c r="AC727" s="2" t="s">
        <v>178</v>
      </c>
      <c r="AD727" s="3">
        <v>40235</v>
      </c>
      <c r="AE727" s="4">
        <v>0.69791666666666663</v>
      </c>
      <c r="AF727" s="3">
        <v>40235</v>
      </c>
      <c r="AG727" s="4">
        <v>0.70833333333333337</v>
      </c>
      <c r="AH727" s="2">
        <v>2</v>
      </c>
      <c r="AI727" s="2" t="s">
        <v>84</v>
      </c>
      <c r="AJ727" s="2">
        <v>9</v>
      </c>
      <c r="AK727" s="2" t="s">
        <v>103</v>
      </c>
      <c r="AL727" s="2">
        <v>12</v>
      </c>
      <c r="AM727" s="2" t="s">
        <v>86</v>
      </c>
      <c r="AN727" s="2" t="s">
        <v>2953</v>
      </c>
      <c r="AO727" s="2" t="s">
        <v>82</v>
      </c>
      <c r="AP727" s="2">
        <v>11</v>
      </c>
      <c r="AQ727" s="2" t="s">
        <v>82</v>
      </c>
      <c r="AR727" s="2"/>
      <c r="AS727" s="2"/>
      <c r="AT727" s="2" t="s">
        <v>2954</v>
      </c>
      <c r="AU727" s="2"/>
      <c r="AV727" s="2">
        <v>1</v>
      </c>
      <c r="AW727" s="2"/>
      <c r="AX727" s="2"/>
      <c r="AY727" s="2">
        <v>41</v>
      </c>
      <c r="AZ727" s="2" t="s">
        <v>82</v>
      </c>
      <c r="BA727" s="2">
        <v>41</v>
      </c>
      <c r="BB727" s="2" t="s">
        <v>82</v>
      </c>
      <c r="BC727" s="2">
        <v>41</v>
      </c>
      <c r="BD727" s="2" t="s">
        <v>82</v>
      </c>
      <c r="BE727" s="2">
        <v>33</v>
      </c>
      <c r="BF727" s="2" t="s">
        <v>1083</v>
      </c>
      <c r="BG727" s="2" t="s">
        <v>2165</v>
      </c>
      <c r="BH727" s="2"/>
      <c r="BI727" s="2"/>
      <c r="BJ727" s="2">
        <v>13</v>
      </c>
      <c r="BK727" s="2" t="s">
        <v>91</v>
      </c>
      <c r="BL727" s="2" t="s">
        <v>185</v>
      </c>
      <c r="BM727" s="2">
        <v>242</v>
      </c>
      <c r="BN727" s="2" t="s">
        <v>107</v>
      </c>
      <c r="BO727" s="2"/>
      <c r="BP727" s="2">
        <v>205</v>
      </c>
      <c r="BQ727" s="2" t="s">
        <v>1085</v>
      </c>
      <c r="BR727" s="2" t="s">
        <v>1086</v>
      </c>
      <c r="BS727" s="3">
        <v>40235</v>
      </c>
      <c r="BT727" s="4">
        <v>0.96481481481481479</v>
      </c>
    </row>
    <row r="728" spans="1:72" x14ac:dyDescent="0.25">
      <c r="A728" s="2">
        <v>1141</v>
      </c>
      <c r="B728" s="2">
        <v>2010</v>
      </c>
      <c r="C728" s="2" t="s">
        <v>1017</v>
      </c>
      <c r="D728" s="2" t="s">
        <v>73</v>
      </c>
      <c r="E728" s="2"/>
      <c r="F728" s="2">
        <v>1</v>
      </c>
      <c r="G728" s="2" t="s">
        <v>82</v>
      </c>
      <c r="H728" s="2">
        <v>1</v>
      </c>
      <c r="I728" s="2" t="s">
        <v>82</v>
      </c>
      <c r="J728" s="2">
        <v>1</v>
      </c>
      <c r="K728" s="2" t="s">
        <v>107</v>
      </c>
      <c r="L728" s="2" t="s">
        <v>107</v>
      </c>
      <c r="M728" s="3">
        <v>40236</v>
      </c>
      <c r="N728" s="2"/>
      <c r="O728" s="2"/>
      <c r="P728" s="2"/>
      <c r="Q728" s="2" t="str">
        <f>"0673"</f>
        <v>0673</v>
      </c>
      <c r="R728" s="2" t="s">
        <v>2955</v>
      </c>
      <c r="S728" s="2"/>
      <c r="T728" s="2">
        <v>1</v>
      </c>
      <c r="U728" s="2" t="s">
        <v>79</v>
      </c>
      <c r="V728" s="2">
        <v>1</v>
      </c>
      <c r="W728" s="2" t="s">
        <v>80</v>
      </c>
      <c r="X728" s="2">
        <v>1</v>
      </c>
      <c r="Y728" s="2" t="s">
        <v>81</v>
      </c>
      <c r="Z728" s="2">
        <v>10</v>
      </c>
      <c r="AA728" s="2" t="s">
        <v>236</v>
      </c>
      <c r="AB728" s="2">
        <v>7</v>
      </c>
      <c r="AC728" s="2" t="s">
        <v>1023</v>
      </c>
      <c r="AD728" s="3">
        <v>40235</v>
      </c>
      <c r="AE728" s="4">
        <v>0.84722222222222221</v>
      </c>
      <c r="AF728" s="2"/>
      <c r="AG728" s="2"/>
      <c r="AH728" s="2">
        <v>4</v>
      </c>
      <c r="AI728" s="2" t="s">
        <v>125</v>
      </c>
      <c r="AJ728" s="2">
        <v>29</v>
      </c>
      <c r="AK728" s="2" t="s">
        <v>227</v>
      </c>
      <c r="AL728" s="2">
        <v>11</v>
      </c>
      <c r="AM728" s="2" t="s">
        <v>137</v>
      </c>
      <c r="AN728" s="2" t="s">
        <v>2956</v>
      </c>
      <c r="AO728" s="2" t="s">
        <v>2761</v>
      </c>
      <c r="AP728" s="2">
        <v>11</v>
      </c>
      <c r="AQ728" s="2" t="s">
        <v>82</v>
      </c>
      <c r="AR728" s="2" t="s">
        <v>2957</v>
      </c>
      <c r="AS728" s="2" t="s">
        <v>2957</v>
      </c>
      <c r="AT728" s="2" t="s">
        <v>2958</v>
      </c>
      <c r="AU728" s="2"/>
      <c r="AV728" s="2"/>
      <c r="AW728" s="2"/>
      <c r="AX728" s="2"/>
      <c r="AY728" s="2">
        <v>43</v>
      </c>
      <c r="AZ728" s="2" t="s">
        <v>220</v>
      </c>
      <c r="BA728" s="2">
        <v>70</v>
      </c>
      <c r="BB728" s="2" t="s">
        <v>236</v>
      </c>
      <c r="BC728" s="2">
        <v>42</v>
      </c>
      <c r="BD728" s="2" t="s">
        <v>182</v>
      </c>
      <c r="BE728" s="2">
        <v>4</v>
      </c>
      <c r="BF728" s="2" t="s">
        <v>90</v>
      </c>
      <c r="BG728" s="2">
        <v>4139</v>
      </c>
      <c r="BH728" s="4">
        <v>0.83333333333333337</v>
      </c>
      <c r="BI728" s="4">
        <v>0.85416666666666663</v>
      </c>
      <c r="BJ728" s="2">
        <v>13</v>
      </c>
      <c r="BK728" s="2" t="s">
        <v>91</v>
      </c>
      <c r="BL728" s="2" t="s">
        <v>828</v>
      </c>
      <c r="BM728" s="2">
        <v>241</v>
      </c>
      <c r="BN728" s="2" t="s">
        <v>82</v>
      </c>
      <c r="BO728" s="2" t="s">
        <v>82</v>
      </c>
      <c r="BP728" s="2">
        <v>13</v>
      </c>
      <c r="BQ728" s="2" t="s">
        <v>91</v>
      </c>
      <c r="BR728" s="2" t="s">
        <v>185</v>
      </c>
      <c r="BS728" s="3">
        <v>40236</v>
      </c>
      <c r="BT728" s="4">
        <v>1.9398148148148147E-2</v>
      </c>
    </row>
    <row r="729" spans="1:72" x14ac:dyDescent="0.25">
      <c r="A729" s="2">
        <v>1142</v>
      </c>
      <c r="B729" s="2">
        <v>2010</v>
      </c>
      <c r="C729" s="2" t="s">
        <v>196</v>
      </c>
      <c r="D729" s="2" t="s">
        <v>122</v>
      </c>
      <c r="E729" s="2"/>
      <c r="F729" s="2">
        <v>1</v>
      </c>
      <c r="G729" s="2" t="s">
        <v>82</v>
      </c>
      <c r="H729" s="2">
        <v>1</v>
      </c>
      <c r="I729" s="2" t="s">
        <v>82</v>
      </c>
      <c r="J729" s="2">
        <v>1</v>
      </c>
      <c r="K729" s="2" t="s">
        <v>107</v>
      </c>
      <c r="L729" s="2" t="s">
        <v>107</v>
      </c>
      <c r="M729" s="3">
        <v>40236</v>
      </c>
      <c r="N729" s="2"/>
      <c r="O729" s="2"/>
      <c r="P729" s="2"/>
      <c r="Q729" s="2" t="str">
        <f>""</f>
        <v/>
      </c>
      <c r="R729" s="2"/>
      <c r="S729" s="2"/>
      <c r="T729" s="2">
        <v>2</v>
      </c>
      <c r="U729" s="2" t="s">
        <v>123</v>
      </c>
      <c r="V729" s="2">
        <v>1</v>
      </c>
      <c r="W729" s="2" t="s">
        <v>80</v>
      </c>
      <c r="X729" s="2">
        <v>1</v>
      </c>
      <c r="Y729" s="2" t="s">
        <v>81</v>
      </c>
      <c r="Z729" s="2">
        <v>10</v>
      </c>
      <c r="AA729" s="2" t="s">
        <v>236</v>
      </c>
      <c r="AB729" s="2">
        <v>9</v>
      </c>
      <c r="AC729" s="2" t="s">
        <v>124</v>
      </c>
      <c r="AD729" s="3">
        <v>40235</v>
      </c>
      <c r="AE729" s="4">
        <v>0.91666666666666663</v>
      </c>
      <c r="AF729" s="2"/>
      <c r="AG729" s="2"/>
      <c r="AH729" s="2">
        <v>2</v>
      </c>
      <c r="AI729" s="2" t="s">
        <v>84</v>
      </c>
      <c r="AJ729" s="2">
        <v>12</v>
      </c>
      <c r="AK729" s="2" t="s">
        <v>85</v>
      </c>
      <c r="AL729" s="2">
        <v>20</v>
      </c>
      <c r="AM729" s="2" t="s">
        <v>992</v>
      </c>
      <c r="AN729" s="2" t="s">
        <v>992</v>
      </c>
      <c r="AO729" s="2"/>
      <c r="AP729" s="2">
        <v>11</v>
      </c>
      <c r="AQ729" s="2" t="s">
        <v>82</v>
      </c>
      <c r="AR729" s="2"/>
      <c r="AS729" s="2"/>
      <c r="AT729" s="2" t="s">
        <v>2959</v>
      </c>
      <c r="AU729" s="2"/>
      <c r="AV729" s="2"/>
      <c r="AW729" s="2"/>
      <c r="AX729" s="2"/>
      <c r="AY729" s="2">
        <v>41</v>
      </c>
      <c r="AZ729" s="2" t="s">
        <v>82</v>
      </c>
      <c r="BA729" s="2">
        <v>41</v>
      </c>
      <c r="BB729" s="2" t="s">
        <v>82</v>
      </c>
      <c r="BC729" s="2">
        <v>41</v>
      </c>
      <c r="BD729" s="2" t="s">
        <v>82</v>
      </c>
      <c r="BE729" s="2">
        <v>41</v>
      </c>
      <c r="BF729" s="2" t="s">
        <v>82</v>
      </c>
      <c r="BG729" s="2"/>
      <c r="BH729" s="2"/>
      <c r="BI729" s="2"/>
      <c r="BJ729" s="2">
        <v>13</v>
      </c>
      <c r="BK729" s="2" t="s">
        <v>91</v>
      </c>
      <c r="BL729" s="2" t="s">
        <v>185</v>
      </c>
      <c r="BM729" s="2">
        <v>241</v>
      </c>
      <c r="BN729" s="2" t="s">
        <v>82</v>
      </c>
      <c r="BO729" s="2"/>
      <c r="BP729" s="2">
        <v>46</v>
      </c>
      <c r="BQ729" s="2" t="s">
        <v>307</v>
      </c>
      <c r="BR729" s="2"/>
      <c r="BS729" s="3">
        <v>40236</v>
      </c>
      <c r="BT729" s="4">
        <v>2.7905092592592592E-2</v>
      </c>
    </row>
    <row r="730" spans="1:72" x14ac:dyDescent="0.25">
      <c r="A730" s="2">
        <v>1143</v>
      </c>
      <c r="B730" s="2">
        <v>2010</v>
      </c>
      <c r="C730" s="2" t="s">
        <v>72</v>
      </c>
      <c r="D730" s="2" t="s">
        <v>73</v>
      </c>
      <c r="E730" s="2"/>
      <c r="F730" s="2">
        <v>2</v>
      </c>
      <c r="G730" s="2" t="s">
        <v>113</v>
      </c>
      <c r="H730" s="2">
        <v>1</v>
      </c>
      <c r="I730" s="2" t="s">
        <v>82</v>
      </c>
      <c r="J730" s="2">
        <v>300</v>
      </c>
      <c r="K730" s="2" t="s">
        <v>114</v>
      </c>
      <c r="L730" s="2" t="s">
        <v>115</v>
      </c>
      <c r="M730" s="3">
        <v>40236</v>
      </c>
      <c r="N730" s="2"/>
      <c r="O730" s="2"/>
      <c r="P730" s="2"/>
      <c r="Q730" s="2" t="str">
        <f>"114-E/10"</f>
        <v>114-E/10</v>
      </c>
      <c r="R730" s="2" t="s">
        <v>601</v>
      </c>
      <c r="S730" s="2" t="s">
        <v>601</v>
      </c>
      <c r="T730" s="2">
        <v>1</v>
      </c>
      <c r="U730" s="2" t="s">
        <v>79</v>
      </c>
      <c r="V730" s="2">
        <v>1</v>
      </c>
      <c r="W730" s="2" t="s">
        <v>80</v>
      </c>
      <c r="X730" s="2">
        <v>1</v>
      </c>
      <c r="Y730" s="2" t="s">
        <v>81</v>
      </c>
      <c r="Z730" s="2">
        <v>1</v>
      </c>
      <c r="AA730" s="2" t="s">
        <v>82</v>
      </c>
      <c r="AB730" s="2">
        <v>6</v>
      </c>
      <c r="AC730" s="2" t="s">
        <v>83</v>
      </c>
      <c r="AD730" s="3">
        <v>40234</v>
      </c>
      <c r="AE730" s="2"/>
      <c r="AF730" s="3">
        <v>40236</v>
      </c>
      <c r="AG730" s="4">
        <v>0.28819444444444448</v>
      </c>
      <c r="AH730" s="2">
        <v>2</v>
      </c>
      <c r="AI730" s="2" t="s">
        <v>84</v>
      </c>
      <c r="AJ730" s="2">
        <v>9</v>
      </c>
      <c r="AK730" s="2" t="s">
        <v>103</v>
      </c>
      <c r="AL730" s="2">
        <v>12</v>
      </c>
      <c r="AM730" s="2" t="s">
        <v>86</v>
      </c>
      <c r="AN730" s="2" t="s">
        <v>2960</v>
      </c>
      <c r="AO730" s="2"/>
      <c r="AP730" s="2">
        <v>11</v>
      </c>
      <c r="AQ730" s="2" t="s">
        <v>82</v>
      </c>
      <c r="AR730" s="2"/>
      <c r="AS730" s="2"/>
      <c r="AT730" s="2" t="s">
        <v>2961</v>
      </c>
      <c r="AU730" s="2"/>
      <c r="AV730" s="2"/>
      <c r="AW730" s="2"/>
      <c r="AX730" s="2"/>
      <c r="AY730" s="2">
        <v>41</v>
      </c>
      <c r="AZ730" s="2" t="s">
        <v>82</v>
      </c>
      <c r="BA730" s="2">
        <v>41</v>
      </c>
      <c r="BB730" s="2" t="s">
        <v>82</v>
      </c>
      <c r="BC730" s="2">
        <v>41</v>
      </c>
      <c r="BD730" s="2" t="s">
        <v>82</v>
      </c>
      <c r="BE730" s="2">
        <v>41</v>
      </c>
      <c r="BF730" s="2" t="s">
        <v>82</v>
      </c>
      <c r="BG730" s="2" t="s">
        <v>2962</v>
      </c>
      <c r="BH730" s="4">
        <v>0.20138888888888887</v>
      </c>
      <c r="BI730" s="2"/>
      <c r="BJ730" s="2">
        <v>75</v>
      </c>
      <c r="BK730" s="2" t="s">
        <v>1264</v>
      </c>
      <c r="BL730" s="2" t="s">
        <v>1361</v>
      </c>
      <c r="BM730" s="2">
        <v>241</v>
      </c>
      <c r="BN730" s="2" t="s">
        <v>82</v>
      </c>
      <c r="BO730" s="2"/>
      <c r="BP730" s="2">
        <v>13</v>
      </c>
      <c r="BQ730" s="2" t="s">
        <v>91</v>
      </c>
      <c r="BR730" s="2" t="s">
        <v>185</v>
      </c>
      <c r="BS730" s="3">
        <v>40236</v>
      </c>
      <c r="BT730" s="4">
        <v>0.39825231481481477</v>
      </c>
    </row>
    <row r="731" spans="1:72" x14ac:dyDescent="0.25">
      <c r="A731" s="2">
        <v>1146</v>
      </c>
      <c r="B731" s="2">
        <v>2010</v>
      </c>
      <c r="C731" s="2" t="s">
        <v>72</v>
      </c>
      <c r="D731" s="2" t="s">
        <v>73</v>
      </c>
      <c r="E731" s="2"/>
      <c r="F731" s="2">
        <v>52</v>
      </c>
      <c r="G731" s="2" t="s">
        <v>2963</v>
      </c>
      <c r="H731" s="2">
        <v>3</v>
      </c>
      <c r="I731" s="2" t="s">
        <v>315</v>
      </c>
      <c r="J731" s="2">
        <v>87</v>
      </c>
      <c r="K731" s="2" t="s">
        <v>2964</v>
      </c>
      <c r="L731" s="2" t="s">
        <v>2534</v>
      </c>
      <c r="M731" s="3">
        <v>40236</v>
      </c>
      <c r="N731" s="2" t="s">
        <v>2965</v>
      </c>
      <c r="O731" s="2" t="s">
        <v>2966</v>
      </c>
      <c r="P731" s="2"/>
      <c r="Q731" s="2" t="str">
        <f>"005/10"</f>
        <v>005/10</v>
      </c>
      <c r="R731" s="2" t="s">
        <v>2967</v>
      </c>
      <c r="S731" s="2" t="s">
        <v>2967</v>
      </c>
      <c r="T731" s="2">
        <v>1</v>
      </c>
      <c r="U731" s="2" t="s">
        <v>79</v>
      </c>
      <c r="V731" s="2">
        <v>1</v>
      </c>
      <c r="W731" s="2" t="s">
        <v>80</v>
      </c>
      <c r="X731" s="2">
        <v>1</v>
      </c>
      <c r="Y731" s="2" t="s">
        <v>81</v>
      </c>
      <c r="Z731" s="2">
        <v>4</v>
      </c>
      <c r="AA731" s="2" t="s">
        <v>182</v>
      </c>
      <c r="AB731" s="2">
        <v>6</v>
      </c>
      <c r="AC731" s="2" t="s">
        <v>83</v>
      </c>
      <c r="AD731" s="3">
        <v>40236</v>
      </c>
      <c r="AE731" s="4">
        <v>0.47916666666666669</v>
      </c>
      <c r="AF731" s="2"/>
      <c r="AG731" s="2"/>
      <c r="AH731" s="2">
        <v>4</v>
      </c>
      <c r="AI731" s="2" t="s">
        <v>125</v>
      </c>
      <c r="AJ731" s="2">
        <v>28</v>
      </c>
      <c r="AK731" s="2" t="s">
        <v>741</v>
      </c>
      <c r="AL731" s="2">
        <v>9</v>
      </c>
      <c r="AM731" s="2" t="s">
        <v>259</v>
      </c>
      <c r="AN731" s="2" t="s">
        <v>2968</v>
      </c>
      <c r="AO731" s="2"/>
      <c r="AP731" s="2">
        <v>11</v>
      </c>
      <c r="AQ731" s="2" t="s">
        <v>82</v>
      </c>
      <c r="AR731" s="2"/>
      <c r="AS731" s="2"/>
      <c r="AT731" s="2" t="s">
        <v>2969</v>
      </c>
      <c r="AU731" s="2"/>
      <c r="AV731" s="2"/>
      <c r="AW731" s="2"/>
      <c r="AX731" s="2"/>
      <c r="AY731" s="2">
        <v>41</v>
      </c>
      <c r="AZ731" s="2" t="s">
        <v>82</v>
      </c>
      <c r="BA731" s="2">
        <v>41</v>
      </c>
      <c r="BB731" s="2" t="s">
        <v>82</v>
      </c>
      <c r="BC731" s="2">
        <v>41</v>
      </c>
      <c r="BD731" s="2" t="s">
        <v>82</v>
      </c>
      <c r="BE731" s="2">
        <v>41</v>
      </c>
      <c r="BF731" s="2" t="s">
        <v>82</v>
      </c>
      <c r="BG731" s="2"/>
      <c r="BH731" s="2"/>
      <c r="BI731" s="2"/>
      <c r="BJ731" s="2">
        <v>241</v>
      </c>
      <c r="BK731" s="2" t="s">
        <v>82</v>
      </c>
      <c r="BL731" s="2"/>
      <c r="BM731" s="2">
        <v>241</v>
      </c>
      <c r="BN731" s="2" t="s">
        <v>82</v>
      </c>
      <c r="BO731" s="2"/>
      <c r="BP731" s="2">
        <v>241</v>
      </c>
      <c r="BQ731" s="2" t="s">
        <v>82</v>
      </c>
      <c r="BR731" s="2" t="s">
        <v>82</v>
      </c>
      <c r="BS731" s="3">
        <v>40236</v>
      </c>
      <c r="BT731" s="4">
        <v>0.56877314814814817</v>
      </c>
    </row>
    <row r="732" spans="1:72" x14ac:dyDescent="0.25">
      <c r="A732" s="2">
        <v>1148</v>
      </c>
      <c r="B732" s="2">
        <v>2010</v>
      </c>
      <c r="C732" s="2" t="s">
        <v>2970</v>
      </c>
      <c r="D732" s="2" t="s">
        <v>73</v>
      </c>
      <c r="E732" s="2"/>
      <c r="F732" s="2">
        <v>482</v>
      </c>
      <c r="G732" s="2" t="s">
        <v>1457</v>
      </c>
      <c r="H732" s="2">
        <v>15</v>
      </c>
      <c r="I732" s="2" t="s">
        <v>130</v>
      </c>
      <c r="J732" s="2">
        <v>167</v>
      </c>
      <c r="K732" s="2" t="s">
        <v>1032</v>
      </c>
      <c r="L732" s="2" t="s">
        <v>1033</v>
      </c>
      <c r="M732" s="3">
        <v>40236</v>
      </c>
      <c r="N732" s="2" t="s">
        <v>2842</v>
      </c>
      <c r="O732" s="2" t="s">
        <v>82</v>
      </c>
      <c r="P732" s="2" t="s">
        <v>82</v>
      </c>
      <c r="Q732" s="2" t="str">
        <f>"071-A/10"</f>
        <v>071-A/10</v>
      </c>
      <c r="R732" s="2" t="s">
        <v>82</v>
      </c>
      <c r="S732" s="2" t="s">
        <v>2971</v>
      </c>
      <c r="T732" s="2">
        <v>1</v>
      </c>
      <c r="U732" s="2" t="s">
        <v>79</v>
      </c>
      <c r="V732" s="2">
        <v>1</v>
      </c>
      <c r="W732" s="2" t="s">
        <v>80</v>
      </c>
      <c r="X732" s="2">
        <v>1</v>
      </c>
      <c r="Y732" s="2" t="s">
        <v>81</v>
      </c>
      <c r="Z732" s="2">
        <v>1</v>
      </c>
      <c r="AA732" s="2" t="s">
        <v>82</v>
      </c>
      <c r="AB732" s="2">
        <v>9</v>
      </c>
      <c r="AC732" s="2" t="s">
        <v>124</v>
      </c>
      <c r="AD732" s="3">
        <v>40236</v>
      </c>
      <c r="AE732" s="4">
        <v>0.29166666666666669</v>
      </c>
      <c r="AF732" s="3">
        <v>40236</v>
      </c>
      <c r="AG732" s="4">
        <v>0.4513888888888889</v>
      </c>
      <c r="AH732" s="2">
        <v>2</v>
      </c>
      <c r="AI732" s="2" t="s">
        <v>84</v>
      </c>
      <c r="AJ732" s="2">
        <v>12</v>
      </c>
      <c r="AK732" s="2" t="s">
        <v>85</v>
      </c>
      <c r="AL732" s="2">
        <v>11</v>
      </c>
      <c r="AM732" s="2" t="s">
        <v>137</v>
      </c>
      <c r="AN732" s="2" t="s">
        <v>107</v>
      </c>
      <c r="AO732" s="2" t="s">
        <v>2972</v>
      </c>
      <c r="AP732" s="2">
        <v>11</v>
      </c>
      <c r="AQ732" s="2" t="s">
        <v>82</v>
      </c>
      <c r="AR732" s="2" t="s">
        <v>82</v>
      </c>
      <c r="AS732" s="2" t="s">
        <v>82</v>
      </c>
      <c r="AT732" s="2" t="s">
        <v>2973</v>
      </c>
      <c r="AU732" s="2"/>
      <c r="AV732" s="2"/>
      <c r="AW732" s="2"/>
      <c r="AX732" s="2"/>
      <c r="AY732" s="2">
        <v>41</v>
      </c>
      <c r="AZ732" s="2" t="s">
        <v>82</v>
      </c>
      <c r="BA732" s="2">
        <v>41</v>
      </c>
      <c r="BB732" s="2" t="s">
        <v>82</v>
      </c>
      <c r="BC732" s="2">
        <v>41</v>
      </c>
      <c r="BD732" s="2" t="s">
        <v>82</v>
      </c>
      <c r="BE732" s="2">
        <v>48</v>
      </c>
      <c r="BF732" s="2" t="s">
        <v>1123</v>
      </c>
      <c r="BG732" s="2">
        <v>853</v>
      </c>
      <c r="BH732" s="4">
        <v>0.44444444444444442</v>
      </c>
      <c r="BI732" s="4">
        <v>0.35416666666666669</v>
      </c>
      <c r="BJ732" s="2">
        <v>13</v>
      </c>
      <c r="BK732" s="2" t="s">
        <v>91</v>
      </c>
      <c r="BL732" s="2" t="s">
        <v>828</v>
      </c>
      <c r="BM732" s="2">
        <v>241</v>
      </c>
      <c r="BN732" s="2" t="s">
        <v>82</v>
      </c>
      <c r="BO732" s="2" t="s">
        <v>82</v>
      </c>
      <c r="BP732" s="2">
        <v>13</v>
      </c>
      <c r="BQ732" s="2" t="s">
        <v>91</v>
      </c>
      <c r="BR732" s="2" t="s">
        <v>185</v>
      </c>
      <c r="BS732" s="3">
        <v>40236</v>
      </c>
      <c r="BT732" s="4">
        <v>0.64692129629629636</v>
      </c>
    </row>
    <row r="733" spans="1:72" x14ac:dyDescent="0.25">
      <c r="A733" s="2">
        <v>1149</v>
      </c>
      <c r="B733" s="2">
        <v>2010</v>
      </c>
      <c r="C733" s="2" t="s">
        <v>128</v>
      </c>
      <c r="D733" s="2" t="s">
        <v>122</v>
      </c>
      <c r="E733" s="2"/>
      <c r="F733" s="2">
        <v>1</v>
      </c>
      <c r="G733" s="2" t="s">
        <v>82</v>
      </c>
      <c r="H733" s="2">
        <v>1</v>
      </c>
      <c r="I733" s="2" t="s">
        <v>82</v>
      </c>
      <c r="J733" s="2">
        <v>1</v>
      </c>
      <c r="K733" s="2" t="s">
        <v>107</v>
      </c>
      <c r="L733" s="2" t="s">
        <v>107</v>
      </c>
      <c r="M733" s="3">
        <v>40236</v>
      </c>
      <c r="N733" s="2"/>
      <c r="O733" s="2"/>
      <c r="P733" s="2"/>
      <c r="Q733" s="2" t="str">
        <f>""</f>
        <v/>
      </c>
      <c r="R733" s="2"/>
      <c r="S733" s="2"/>
      <c r="T733" s="2">
        <v>1</v>
      </c>
      <c r="U733" s="2" t="s">
        <v>79</v>
      </c>
      <c r="V733" s="2">
        <v>1</v>
      </c>
      <c r="W733" s="2" t="s">
        <v>80</v>
      </c>
      <c r="X733" s="2">
        <v>5</v>
      </c>
      <c r="Y733" s="2" t="s">
        <v>82</v>
      </c>
      <c r="Z733" s="2">
        <v>1</v>
      </c>
      <c r="AA733" s="2" t="s">
        <v>82</v>
      </c>
      <c r="AB733" s="2">
        <v>9</v>
      </c>
      <c r="AC733" s="2" t="s">
        <v>124</v>
      </c>
      <c r="AD733" s="2"/>
      <c r="AE733" s="2"/>
      <c r="AF733" s="2"/>
      <c r="AG733" s="2"/>
      <c r="AH733" s="2">
        <v>4</v>
      </c>
      <c r="AI733" s="2" t="s">
        <v>125</v>
      </c>
      <c r="AJ733" s="2">
        <v>29</v>
      </c>
      <c r="AK733" s="2" t="s">
        <v>227</v>
      </c>
      <c r="AL733" s="2">
        <v>18</v>
      </c>
      <c r="AM733" s="2" t="s">
        <v>82</v>
      </c>
      <c r="AN733" s="2"/>
      <c r="AO733" s="2"/>
      <c r="AP733" s="2">
        <v>11</v>
      </c>
      <c r="AQ733" s="2" t="s">
        <v>82</v>
      </c>
      <c r="AR733" s="2"/>
      <c r="AS733" s="2"/>
      <c r="AT733" s="2" t="s">
        <v>2974</v>
      </c>
      <c r="AU733" s="2"/>
      <c r="AV733" s="2"/>
      <c r="AW733" s="2"/>
      <c r="AX733" s="2"/>
      <c r="AY733" s="2">
        <v>1</v>
      </c>
      <c r="AZ733" s="2" t="s">
        <v>107</v>
      </c>
      <c r="BA733" s="2">
        <v>1</v>
      </c>
      <c r="BB733" s="2" t="s">
        <v>107</v>
      </c>
      <c r="BC733" s="2">
        <v>1</v>
      </c>
      <c r="BD733" s="2" t="s">
        <v>107</v>
      </c>
      <c r="BE733" s="2">
        <v>1</v>
      </c>
      <c r="BF733" s="2" t="s">
        <v>107</v>
      </c>
      <c r="BG733" s="2"/>
      <c r="BH733" s="2"/>
      <c r="BI733" s="2"/>
      <c r="BJ733" s="2">
        <v>242</v>
      </c>
      <c r="BK733" s="2" t="s">
        <v>107</v>
      </c>
      <c r="BL733" s="2"/>
      <c r="BM733" s="2">
        <v>242</v>
      </c>
      <c r="BN733" s="2" t="s">
        <v>107</v>
      </c>
      <c r="BO733" s="2"/>
      <c r="BP733" s="2">
        <v>242</v>
      </c>
      <c r="BQ733" s="2" t="s">
        <v>107</v>
      </c>
      <c r="BR733" s="2"/>
      <c r="BS733" s="3">
        <v>40236</v>
      </c>
      <c r="BT733" s="4">
        <v>0.67884259259259261</v>
      </c>
    </row>
    <row r="734" spans="1:72" x14ac:dyDescent="0.25">
      <c r="A734" s="2">
        <v>1150</v>
      </c>
      <c r="B734" s="2">
        <v>2010</v>
      </c>
      <c r="C734" s="2" t="s">
        <v>906</v>
      </c>
      <c r="D734" s="2" t="s">
        <v>122</v>
      </c>
      <c r="E734" s="2"/>
      <c r="F734" s="2">
        <v>1</v>
      </c>
      <c r="G734" s="2" t="s">
        <v>82</v>
      </c>
      <c r="H734" s="2">
        <v>1</v>
      </c>
      <c r="I734" s="2" t="s">
        <v>82</v>
      </c>
      <c r="J734" s="2">
        <v>1</v>
      </c>
      <c r="K734" s="2" t="s">
        <v>107</v>
      </c>
      <c r="L734" s="2" t="s">
        <v>107</v>
      </c>
      <c r="M734" s="3">
        <v>40236</v>
      </c>
      <c r="N734" s="2"/>
      <c r="O734" s="2"/>
      <c r="P734" s="2"/>
      <c r="Q734" s="2" t="str">
        <f>""</f>
        <v/>
      </c>
      <c r="R734" s="2"/>
      <c r="S734" s="2"/>
      <c r="T734" s="2">
        <v>1</v>
      </c>
      <c r="U734" s="2" t="s">
        <v>79</v>
      </c>
      <c r="V734" s="2">
        <v>1</v>
      </c>
      <c r="W734" s="2" t="s">
        <v>80</v>
      </c>
      <c r="X734" s="2">
        <v>5</v>
      </c>
      <c r="Y734" s="2" t="s">
        <v>82</v>
      </c>
      <c r="Z734" s="2">
        <v>1</v>
      </c>
      <c r="AA734" s="2" t="s">
        <v>82</v>
      </c>
      <c r="AB734" s="2">
        <v>9</v>
      </c>
      <c r="AC734" s="2" t="s">
        <v>124</v>
      </c>
      <c r="AD734" s="3">
        <v>40236</v>
      </c>
      <c r="AE734" s="4">
        <v>0.625</v>
      </c>
      <c r="AF734" s="3">
        <v>40236</v>
      </c>
      <c r="AG734" s="4">
        <v>0.625</v>
      </c>
      <c r="AH734" s="2">
        <v>6</v>
      </c>
      <c r="AI734" s="2" t="s">
        <v>197</v>
      </c>
      <c r="AJ734" s="2">
        <v>59</v>
      </c>
      <c r="AK734" s="2" t="s">
        <v>198</v>
      </c>
      <c r="AL734" s="2">
        <v>18</v>
      </c>
      <c r="AM734" s="2" t="s">
        <v>82</v>
      </c>
      <c r="AN734" s="2"/>
      <c r="AO734" s="2"/>
      <c r="AP734" s="2">
        <v>11</v>
      </c>
      <c r="AQ734" s="2" t="s">
        <v>82</v>
      </c>
      <c r="AR734" s="2"/>
      <c r="AS734" s="2"/>
      <c r="AT734" s="2" t="s">
        <v>2975</v>
      </c>
      <c r="AU734" s="2"/>
      <c r="AV734" s="2"/>
      <c r="AW734" s="2"/>
      <c r="AX734" s="2"/>
      <c r="AY734" s="2">
        <v>1</v>
      </c>
      <c r="AZ734" s="2" t="s">
        <v>107</v>
      </c>
      <c r="BA734" s="2">
        <v>1</v>
      </c>
      <c r="BB734" s="2" t="s">
        <v>107</v>
      </c>
      <c r="BC734" s="2">
        <v>1</v>
      </c>
      <c r="BD734" s="2" t="s">
        <v>107</v>
      </c>
      <c r="BE734" s="2">
        <v>13</v>
      </c>
      <c r="BF734" s="2" t="s">
        <v>108</v>
      </c>
      <c r="BG734" s="2">
        <v>1692</v>
      </c>
      <c r="BH734" s="4">
        <v>0.61111111111111105</v>
      </c>
      <c r="BI734" s="4">
        <v>0.64374999999999993</v>
      </c>
      <c r="BJ734" s="2">
        <v>13</v>
      </c>
      <c r="BK734" s="2" t="s">
        <v>91</v>
      </c>
      <c r="BL734" s="2" t="s">
        <v>524</v>
      </c>
      <c r="BM734" s="2">
        <v>13</v>
      </c>
      <c r="BN734" s="2" t="s">
        <v>91</v>
      </c>
      <c r="BO734" s="2" t="s">
        <v>332</v>
      </c>
      <c r="BP734" s="2">
        <v>13</v>
      </c>
      <c r="BQ734" s="2" t="s">
        <v>91</v>
      </c>
      <c r="BR734" s="2" t="s">
        <v>204</v>
      </c>
      <c r="BS734" s="3">
        <v>40236</v>
      </c>
      <c r="BT734" s="4">
        <v>0.70385416666666656</v>
      </c>
    </row>
    <row r="735" spans="1:72" x14ac:dyDescent="0.25">
      <c r="A735" s="2">
        <v>1152</v>
      </c>
      <c r="B735" s="2">
        <v>2010</v>
      </c>
      <c r="C735" s="2" t="s">
        <v>72</v>
      </c>
      <c r="D735" s="2" t="s">
        <v>73</v>
      </c>
      <c r="E735" s="2"/>
      <c r="F735" s="2">
        <v>491</v>
      </c>
      <c r="G735" s="2" t="s">
        <v>1774</v>
      </c>
      <c r="H735" s="2">
        <v>42</v>
      </c>
      <c r="I735" s="2" t="s">
        <v>1096</v>
      </c>
      <c r="J735" s="2">
        <v>396</v>
      </c>
      <c r="K735" s="2" t="s">
        <v>1775</v>
      </c>
      <c r="L735" s="2" t="s">
        <v>1776</v>
      </c>
      <c r="M735" s="3">
        <v>40236</v>
      </c>
      <c r="N735" s="2" t="s">
        <v>2097</v>
      </c>
      <c r="O735" s="2" t="s">
        <v>82</v>
      </c>
      <c r="P735" s="2" t="s">
        <v>82</v>
      </c>
      <c r="Q735" s="2" t="str">
        <f>"072-A/10"</f>
        <v>072-A/10</v>
      </c>
      <c r="R735" s="2" t="s">
        <v>82</v>
      </c>
      <c r="S735" s="2" t="s">
        <v>78</v>
      </c>
      <c r="T735" s="2">
        <v>1</v>
      </c>
      <c r="U735" s="2" t="s">
        <v>79</v>
      </c>
      <c r="V735" s="2">
        <v>1</v>
      </c>
      <c r="W735" s="2" t="s">
        <v>80</v>
      </c>
      <c r="X735" s="2">
        <v>1</v>
      </c>
      <c r="Y735" s="2" t="s">
        <v>81</v>
      </c>
      <c r="Z735" s="2">
        <v>1</v>
      </c>
      <c r="AA735" s="2" t="s">
        <v>82</v>
      </c>
      <c r="AB735" s="2">
        <v>6</v>
      </c>
      <c r="AC735" s="2" t="s">
        <v>83</v>
      </c>
      <c r="AD735" s="3">
        <v>40236</v>
      </c>
      <c r="AE735" s="4">
        <v>0.49305555555555558</v>
      </c>
      <c r="AF735" s="3">
        <v>40236</v>
      </c>
      <c r="AG735" s="4">
        <v>0.5625</v>
      </c>
      <c r="AH735" s="2">
        <v>2</v>
      </c>
      <c r="AI735" s="2" t="s">
        <v>84</v>
      </c>
      <c r="AJ735" s="2">
        <v>12</v>
      </c>
      <c r="AK735" s="2" t="s">
        <v>85</v>
      </c>
      <c r="AL735" s="2">
        <v>9</v>
      </c>
      <c r="AM735" s="2" t="s">
        <v>259</v>
      </c>
      <c r="AN735" s="2" t="s">
        <v>107</v>
      </c>
      <c r="AO735" s="2" t="s">
        <v>2976</v>
      </c>
      <c r="AP735" s="2">
        <v>11</v>
      </c>
      <c r="AQ735" s="2" t="s">
        <v>82</v>
      </c>
      <c r="AR735" s="2" t="s">
        <v>82</v>
      </c>
      <c r="AS735" s="2" t="s">
        <v>82</v>
      </c>
      <c r="AT735" s="2" t="s">
        <v>2977</v>
      </c>
      <c r="AU735" s="2"/>
      <c r="AV735" s="2"/>
      <c r="AW735" s="2"/>
      <c r="AX735" s="2"/>
      <c r="AY735" s="2">
        <v>41</v>
      </c>
      <c r="AZ735" s="2" t="s">
        <v>82</v>
      </c>
      <c r="BA735" s="2">
        <v>41</v>
      </c>
      <c r="BB735" s="2" t="s">
        <v>82</v>
      </c>
      <c r="BC735" s="2">
        <v>41</v>
      </c>
      <c r="BD735" s="2" t="s">
        <v>82</v>
      </c>
      <c r="BE735" s="2">
        <v>13</v>
      </c>
      <c r="BF735" s="2" t="s">
        <v>108</v>
      </c>
      <c r="BG735" s="2" t="s">
        <v>2978</v>
      </c>
      <c r="BH735" s="4">
        <v>0.45833333333333331</v>
      </c>
      <c r="BI735" s="4">
        <v>0.375</v>
      </c>
      <c r="BJ735" s="2">
        <v>13</v>
      </c>
      <c r="BK735" s="2" t="s">
        <v>91</v>
      </c>
      <c r="BL735" s="2" t="s">
        <v>828</v>
      </c>
      <c r="BM735" s="2">
        <v>241</v>
      </c>
      <c r="BN735" s="2" t="s">
        <v>82</v>
      </c>
      <c r="BO735" s="2" t="s">
        <v>82</v>
      </c>
      <c r="BP735" s="2">
        <v>13</v>
      </c>
      <c r="BQ735" s="2" t="s">
        <v>91</v>
      </c>
      <c r="BR735" s="2" t="s">
        <v>185</v>
      </c>
      <c r="BS735" s="3">
        <v>40236</v>
      </c>
      <c r="BT735" s="4">
        <v>0.78049768518518514</v>
      </c>
    </row>
    <row r="736" spans="1:72" x14ac:dyDescent="0.25">
      <c r="A736" s="2">
        <v>1153</v>
      </c>
      <c r="B736" s="2">
        <v>2010</v>
      </c>
      <c r="C736" s="2" t="s">
        <v>171</v>
      </c>
      <c r="D736" s="2" t="s">
        <v>73</v>
      </c>
      <c r="E736" s="2"/>
      <c r="F736" s="2">
        <v>470</v>
      </c>
      <c r="G736" s="2" t="s">
        <v>2979</v>
      </c>
      <c r="H736" s="2">
        <v>2</v>
      </c>
      <c r="I736" s="2" t="s">
        <v>267</v>
      </c>
      <c r="J736" s="2">
        <v>371</v>
      </c>
      <c r="K736" s="2" t="s">
        <v>1138</v>
      </c>
      <c r="L736" s="2" t="s">
        <v>1139</v>
      </c>
      <c r="M736" s="3">
        <v>40236</v>
      </c>
      <c r="N736" s="2" t="s">
        <v>2980</v>
      </c>
      <c r="O736" s="2" t="s">
        <v>2981</v>
      </c>
      <c r="P736" s="2"/>
      <c r="Q736" s="2" t="str">
        <f>"0024/10"</f>
        <v>0024/10</v>
      </c>
      <c r="R736" s="2"/>
      <c r="S736" s="2"/>
      <c r="T736" s="2">
        <v>1</v>
      </c>
      <c r="U736" s="2" t="s">
        <v>79</v>
      </c>
      <c r="V736" s="2">
        <v>1</v>
      </c>
      <c r="W736" s="2" t="s">
        <v>80</v>
      </c>
      <c r="X736" s="2">
        <v>1</v>
      </c>
      <c r="Y736" s="2" t="s">
        <v>81</v>
      </c>
      <c r="Z736" s="2">
        <v>10</v>
      </c>
      <c r="AA736" s="2" t="s">
        <v>236</v>
      </c>
      <c r="AB736" s="2">
        <v>1</v>
      </c>
      <c r="AC736" s="2" t="s">
        <v>178</v>
      </c>
      <c r="AD736" s="3">
        <v>40236</v>
      </c>
      <c r="AE736" s="4">
        <v>0.5</v>
      </c>
      <c r="AF736" s="2"/>
      <c r="AG736" s="2"/>
      <c r="AH736" s="2">
        <v>5</v>
      </c>
      <c r="AI736" s="2" t="s">
        <v>274</v>
      </c>
      <c r="AJ736" s="2">
        <v>38</v>
      </c>
      <c r="AK736" s="2" t="s">
        <v>1120</v>
      </c>
      <c r="AL736" s="2">
        <v>8</v>
      </c>
      <c r="AM736" s="2" t="s">
        <v>179</v>
      </c>
      <c r="AN736" s="2" t="s">
        <v>230</v>
      </c>
      <c r="AO736" s="2" t="s">
        <v>82</v>
      </c>
      <c r="AP736" s="2">
        <v>11</v>
      </c>
      <c r="AQ736" s="2" t="s">
        <v>82</v>
      </c>
      <c r="AR736" s="2"/>
      <c r="AS736" s="2"/>
      <c r="AT736" s="2" t="s">
        <v>2982</v>
      </c>
      <c r="AU736" s="2">
        <v>1</v>
      </c>
      <c r="AV736" s="2"/>
      <c r="AW736" s="2"/>
      <c r="AX736" s="2"/>
      <c r="AY736" s="2">
        <v>41</v>
      </c>
      <c r="AZ736" s="2" t="s">
        <v>82</v>
      </c>
      <c r="BA736" s="2">
        <v>41</v>
      </c>
      <c r="BB736" s="2" t="s">
        <v>82</v>
      </c>
      <c r="BC736" s="2">
        <v>41</v>
      </c>
      <c r="BD736" s="2" t="s">
        <v>82</v>
      </c>
      <c r="BE736" s="2">
        <v>13</v>
      </c>
      <c r="BF736" s="2" t="s">
        <v>108</v>
      </c>
      <c r="BG736" s="2" t="s">
        <v>2983</v>
      </c>
      <c r="BH736" s="4">
        <v>0.47222222222222227</v>
      </c>
      <c r="BI736" s="4">
        <v>0.5</v>
      </c>
      <c r="BJ736" s="2">
        <v>13</v>
      </c>
      <c r="BK736" s="2" t="s">
        <v>91</v>
      </c>
      <c r="BL736" s="2" t="s">
        <v>92</v>
      </c>
      <c r="BM736" s="2">
        <v>13</v>
      </c>
      <c r="BN736" s="2" t="s">
        <v>91</v>
      </c>
      <c r="BO736" s="2" t="s">
        <v>82</v>
      </c>
      <c r="BP736" s="2">
        <v>13</v>
      </c>
      <c r="BQ736" s="2" t="s">
        <v>91</v>
      </c>
      <c r="BR736" s="2" t="s">
        <v>170</v>
      </c>
      <c r="BS736" s="3">
        <v>40236</v>
      </c>
      <c r="BT736" s="4">
        <v>0.86265046296296299</v>
      </c>
    </row>
    <row r="737" spans="1:72" x14ac:dyDescent="0.25">
      <c r="A737" s="2">
        <v>1154</v>
      </c>
      <c r="B737" s="2">
        <v>2010</v>
      </c>
      <c r="C737" s="2" t="s">
        <v>72</v>
      </c>
      <c r="D737" s="2" t="s">
        <v>73</v>
      </c>
      <c r="E737" s="2"/>
      <c r="F737" s="2">
        <v>509</v>
      </c>
      <c r="G737" s="2" t="s">
        <v>2629</v>
      </c>
      <c r="H737" s="2">
        <v>42</v>
      </c>
      <c r="I737" s="2" t="s">
        <v>1096</v>
      </c>
      <c r="J737" s="2">
        <v>429</v>
      </c>
      <c r="K737" s="2" t="s">
        <v>2555</v>
      </c>
      <c r="L737" s="2" t="s">
        <v>2556</v>
      </c>
      <c r="M737" s="3">
        <v>40236</v>
      </c>
      <c r="N737" s="2" t="s">
        <v>2984</v>
      </c>
      <c r="O737" s="2" t="s">
        <v>82</v>
      </c>
      <c r="P737" s="2" t="s">
        <v>82</v>
      </c>
      <c r="Q737" s="2" t="str">
        <f>"073-A/10"</f>
        <v>073-A/10</v>
      </c>
      <c r="R737" s="2" t="s">
        <v>82</v>
      </c>
      <c r="S737" s="2" t="s">
        <v>206</v>
      </c>
      <c r="T737" s="2">
        <v>1</v>
      </c>
      <c r="U737" s="2" t="s">
        <v>79</v>
      </c>
      <c r="V737" s="2">
        <v>1</v>
      </c>
      <c r="W737" s="2" t="s">
        <v>80</v>
      </c>
      <c r="X737" s="2">
        <v>1</v>
      </c>
      <c r="Y737" s="2" t="s">
        <v>81</v>
      </c>
      <c r="Z737" s="2">
        <v>1</v>
      </c>
      <c r="AA737" s="2" t="s">
        <v>82</v>
      </c>
      <c r="AB737" s="2">
        <v>6</v>
      </c>
      <c r="AC737" s="2" t="s">
        <v>83</v>
      </c>
      <c r="AD737" s="3">
        <v>40235</v>
      </c>
      <c r="AE737" s="4">
        <v>0.56944444444444442</v>
      </c>
      <c r="AF737" s="3">
        <v>40236</v>
      </c>
      <c r="AG737" s="4">
        <v>0.64236111111111105</v>
      </c>
      <c r="AH737" s="2">
        <v>2</v>
      </c>
      <c r="AI737" s="2" t="s">
        <v>84</v>
      </c>
      <c r="AJ737" s="2">
        <v>12</v>
      </c>
      <c r="AK737" s="2" t="s">
        <v>85</v>
      </c>
      <c r="AL737" s="2">
        <v>10</v>
      </c>
      <c r="AM737" s="2" t="s">
        <v>200</v>
      </c>
      <c r="AN737" s="2" t="s">
        <v>107</v>
      </c>
      <c r="AO737" s="2" t="s">
        <v>107</v>
      </c>
      <c r="AP737" s="2">
        <v>11</v>
      </c>
      <c r="AQ737" s="2" t="s">
        <v>82</v>
      </c>
      <c r="AR737" s="2" t="s">
        <v>82</v>
      </c>
      <c r="AS737" s="2" t="s">
        <v>82</v>
      </c>
      <c r="AT737" s="2" t="s">
        <v>2985</v>
      </c>
      <c r="AU737" s="2"/>
      <c r="AV737" s="2"/>
      <c r="AW737" s="2"/>
      <c r="AX737" s="2"/>
      <c r="AY737" s="2">
        <v>41</v>
      </c>
      <c r="AZ737" s="2" t="s">
        <v>82</v>
      </c>
      <c r="BA737" s="2">
        <v>41</v>
      </c>
      <c r="BB737" s="2" t="s">
        <v>82</v>
      </c>
      <c r="BC737" s="2">
        <v>41</v>
      </c>
      <c r="BD737" s="2" t="s">
        <v>82</v>
      </c>
      <c r="BE737" s="2">
        <v>13</v>
      </c>
      <c r="BF737" s="2" t="s">
        <v>108</v>
      </c>
      <c r="BG737" s="2" t="s">
        <v>2986</v>
      </c>
      <c r="BH737" s="4">
        <v>0.56944444444444442</v>
      </c>
      <c r="BI737" s="4">
        <v>0.63194444444444442</v>
      </c>
      <c r="BJ737" s="2">
        <v>13</v>
      </c>
      <c r="BK737" s="2" t="s">
        <v>91</v>
      </c>
      <c r="BL737" s="2" t="s">
        <v>445</v>
      </c>
      <c r="BM737" s="2">
        <v>241</v>
      </c>
      <c r="BN737" s="2" t="s">
        <v>82</v>
      </c>
      <c r="BO737" s="2" t="s">
        <v>82</v>
      </c>
      <c r="BP737" s="2">
        <v>13</v>
      </c>
      <c r="BQ737" s="2" t="s">
        <v>91</v>
      </c>
      <c r="BR737" s="2" t="s">
        <v>185</v>
      </c>
      <c r="BS737" s="3">
        <v>40236</v>
      </c>
      <c r="BT737" s="4">
        <v>0.89878472222222217</v>
      </c>
    </row>
    <row r="738" spans="1:72" x14ac:dyDescent="0.25">
      <c r="A738" s="2">
        <v>1155</v>
      </c>
      <c r="B738" s="2">
        <v>2010</v>
      </c>
      <c r="C738" s="2" t="s">
        <v>72</v>
      </c>
      <c r="D738" s="2" t="s">
        <v>73</v>
      </c>
      <c r="E738" s="2"/>
      <c r="F738" s="2">
        <v>389</v>
      </c>
      <c r="G738" s="2" t="s">
        <v>1819</v>
      </c>
      <c r="H738" s="2">
        <v>4</v>
      </c>
      <c r="I738" s="2" t="s">
        <v>173</v>
      </c>
      <c r="J738" s="2">
        <v>399</v>
      </c>
      <c r="K738" s="2" t="s">
        <v>1820</v>
      </c>
      <c r="L738" s="2" t="s">
        <v>1821</v>
      </c>
      <c r="M738" s="3">
        <v>40236</v>
      </c>
      <c r="N738" s="2" t="s">
        <v>2621</v>
      </c>
      <c r="O738" s="2"/>
      <c r="P738" s="2"/>
      <c r="Q738" s="2" t="str">
        <f>"115-E/10"</f>
        <v>115-E/10</v>
      </c>
      <c r="R738" s="2"/>
      <c r="S738" s="2" t="s">
        <v>2987</v>
      </c>
      <c r="T738" s="2">
        <v>1</v>
      </c>
      <c r="U738" s="2" t="s">
        <v>79</v>
      </c>
      <c r="V738" s="2">
        <v>1</v>
      </c>
      <c r="W738" s="2" t="s">
        <v>80</v>
      </c>
      <c r="X738" s="2">
        <v>5</v>
      </c>
      <c r="Y738" s="2" t="s">
        <v>82</v>
      </c>
      <c r="Z738" s="2">
        <v>1</v>
      </c>
      <c r="AA738" s="2" t="s">
        <v>82</v>
      </c>
      <c r="AB738" s="2">
        <v>6</v>
      </c>
      <c r="AC738" s="2" t="s">
        <v>83</v>
      </c>
      <c r="AD738" s="3">
        <v>40236</v>
      </c>
      <c r="AE738" s="2"/>
      <c r="AF738" s="3">
        <v>40236</v>
      </c>
      <c r="AG738" s="4">
        <v>0.83333333333333337</v>
      </c>
      <c r="AH738" s="2">
        <v>2</v>
      </c>
      <c r="AI738" s="2" t="s">
        <v>84</v>
      </c>
      <c r="AJ738" s="2">
        <v>9</v>
      </c>
      <c r="AK738" s="2" t="s">
        <v>103</v>
      </c>
      <c r="AL738" s="2">
        <v>14</v>
      </c>
      <c r="AM738" s="2" t="s">
        <v>216</v>
      </c>
      <c r="AN738" s="2"/>
      <c r="AO738" s="2" t="s">
        <v>2345</v>
      </c>
      <c r="AP738" s="2">
        <v>11</v>
      </c>
      <c r="AQ738" s="2" t="s">
        <v>82</v>
      </c>
      <c r="AR738" s="2"/>
      <c r="AS738" s="2"/>
      <c r="AT738" s="2" t="s">
        <v>2988</v>
      </c>
      <c r="AU738" s="2"/>
      <c r="AV738" s="2"/>
      <c r="AW738" s="2"/>
      <c r="AX738" s="2"/>
      <c r="AY738" s="2">
        <v>41</v>
      </c>
      <c r="AZ738" s="2" t="s">
        <v>82</v>
      </c>
      <c r="BA738" s="2">
        <v>41</v>
      </c>
      <c r="BB738" s="2" t="s">
        <v>82</v>
      </c>
      <c r="BC738" s="2">
        <v>41</v>
      </c>
      <c r="BD738" s="2" t="s">
        <v>82</v>
      </c>
      <c r="BE738" s="2">
        <v>13</v>
      </c>
      <c r="BF738" s="2" t="s">
        <v>108</v>
      </c>
      <c r="BG738" s="2" t="s">
        <v>2989</v>
      </c>
      <c r="BH738" s="4">
        <v>0.72916666666666663</v>
      </c>
      <c r="BI738" s="4">
        <v>0.625</v>
      </c>
      <c r="BJ738" s="2">
        <v>33</v>
      </c>
      <c r="BK738" s="2" t="s">
        <v>361</v>
      </c>
      <c r="BL738" s="2" t="s">
        <v>783</v>
      </c>
      <c r="BM738" s="2">
        <v>241</v>
      </c>
      <c r="BN738" s="2" t="s">
        <v>82</v>
      </c>
      <c r="BO738" s="2"/>
      <c r="BP738" s="2">
        <v>13</v>
      </c>
      <c r="BQ738" s="2" t="s">
        <v>91</v>
      </c>
      <c r="BR738" s="2" t="s">
        <v>185</v>
      </c>
      <c r="BS738" s="3">
        <v>40236</v>
      </c>
      <c r="BT738" s="4">
        <v>0.97396990740740741</v>
      </c>
    </row>
    <row r="739" spans="1:72" x14ac:dyDescent="0.25">
      <c r="A739" s="2">
        <v>1156</v>
      </c>
      <c r="B739" s="2">
        <v>2010</v>
      </c>
      <c r="C739" s="2" t="s">
        <v>255</v>
      </c>
      <c r="D739" s="2" t="s">
        <v>73</v>
      </c>
      <c r="E739" s="2"/>
      <c r="F739" s="2">
        <v>242</v>
      </c>
      <c r="G739" s="2" t="s">
        <v>2990</v>
      </c>
      <c r="H739" s="2">
        <v>42</v>
      </c>
      <c r="I739" s="2" t="s">
        <v>1096</v>
      </c>
      <c r="J739" s="2">
        <v>253</v>
      </c>
      <c r="K739" s="2" t="s">
        <v>2991</v>
      </c>
      <c r="L739" s="2" t="s">
        <v>478</v>
      </c>
      <c r="M739" s="3">
        <v>40237</v>
      </c>
      <c r="N739" s="2" t="s">
        <v>2992</v>
      </c>
      <c r="O739" s="2" t="s">
        <v>107</v>
      </c>
      <c r="P739" s="2" t="s">
        <v>107</v>
      </c>
      <c r="Q739" s="2" t="str">
        <f>"074-A/10"</f>
        <v>074-A/10</v>
      </c>
      <c r="R739" s="2" t="s">
        <v>947</v>
      </c>
      <c r="S739" s="2" t="s">
        <v>947</v>
      </c>
      <c r="T739" s="2">
        <v>1</v>
      </c>
      <c r="U739" s="2" t="s">
        <v>79</v>
      </c>
      <c r="V739" s="2">
        <v>1</v>
      </c>
      <c r="W739" s="2" t="s">
        <v>80</v>
      </c>
      <c r="X739" s="2">
        <v>1</v>
      </c>
      <c r="Y739" s="2" t="s">
        <v>81</v>
      </c>
      <c r="Z739" s="2">
        <v>1</v>
      </c>
      <c r="AA739" s="2" t="s">
        <v>82</v>
      </c>
      <c r="AB739" s="2">
        <v>9</v>
      </c>
      <c r="AC739" s="2" t="s">
        <v>124</v>
      </c>
      <c r="AD739" s="3">
        <v>40236</v>
      </c>
      <c r="AE739" s="4">
        <v>0.63888888888888895</v>
      </c>
      <c r="AF739" s="2"/>
      <c r="AG739" s="2"/>
      <c r="AH739" s="2">
        <v>2</v>
      </c>
      <c r="AI739" s="2" t="s">
        <v>84</v>
      </c>
      <c r="AJ739" s="2">
        <v>12</v>
      </c>
      <c r="AK739" s="2" t="s">
        <v>85</v>
      </c>
      <c r="AL739" s="2">
        <v>21</v>
      </c>
      <c r="AM739" s="2" t="s">
        <v>1311</v>
      </c>
      <c r="AN739" s="2" t="s">
        <v>1714</v>
      </c>
      <c r="AO739" s="2" t="s">
        <v>2993</v>
      </c>
      <c r="AP739" s="2">
        <v>11</v>
      </c>
      <c r="AQ739" s="2" t="s">
        <v>82</v>
      </c>
      <c r="AR739" s="2" t="s">
        <v>82</v>
      </c>
      <c r="AS739" s="2" t="s">
        <v>82</v>
      </c>
      <c r="AT739" s="2" t="s">
        <v>2994</v>
      </c>
      <c r="AU739" s="2"/>
      <c r="AV739" s="2"/>
      <c r="AW739" s="2"/>
      <c r="AX739" s="2"/>
      <c r="AY739" s="2">
        <v>41</v>
      </c>
      <c r="AZ739" s="2" t="s">
        <v>82</v>
      </c>
      <c r="BA739" s="2">
        <v>41</v>
      </c>
      <c r="BB739" s="2" t="s">
        <v>82</v>
      </c>
      <c r="BC739" s="2">
        <v>41</v>
      </c>
      <c r="BD739" s="2" t="s">
        <v>82</v>
      </c>
      <c r="BE739" s="2">
        <v>41</v>
      </c>
      <c r="BF739" s="2" t="s">
        <v>82</v>
      </c>
      <c r="BG739" s="2" t="s">
        <v>82</v>
      </c>
      <c r="BH739" s="2"/>
      <c r="BI739" s="2"/>
      <c r="BJ739" s="2">
        <v>241</v>
      </c>
      <c r="BK739" s="2" t="s">
        <v>82</v>
      </c>
      <c r="BL739" s="2" t="s">
        <v>82</v>
      </c>
      <c r="BM739" s="2">
        <v>241</v>
      </c>
      <c r="BN739" s="2" t="s">
        <v>82</v>
      </c>
      <c r="BO739" s="2" t="s">
        <v>82</v>
      </c>
      <c r="BP739" s="2">
        <v>241</v>
      </c>
      <c r="BQ739" s="2" t="s">
        <v>82</v>
      </c>
      <c r="BR739" s="2" t="s">
        <v>82</v>
      </c>
      <c r="BS739" s="3">
        <v>40237</v>
      </c>
      <c r="BT739" s="4">
        <v>4.3333333333333335E-2</v>
      </c>
    </row>
    <row r="740" spans="1:72" x14ac:dyDescent="0.25">
      <c r="A740" s="2">
        <v>1160</v>
      </c>
      <c r="B740" s="2">
        <v>2010</v>
      </c>
      <c r="C740" s="2" t="s">
        <v>171</v>
      </c>
      <c r="D740" s="2" t="s">
        <v>73</v>
      </c>
      <c r="E740" s="2"/>
      <c r="F740" s="2">
        <v>230</v>
      </c>
      <c r="G740" s="2" t="s">
        <v>2995</v>
      </c>
      <c r="H740" s="2">
        <v>11</v>
      </c>
      <c r="I740" s="2" t="s">
        <v>1397</v>
      </c>
      <c r="J740" s="2">
        <v>377</v>
      </c>
      <c r="K740" s="2" t="s">
        <v>1223</v>
      </c>
      <c r="L740" s="2" t="s">
        <v>1224</v>
      </c>
      <c r="M740" s="3">
        <v>40237</v>
      </c>
      <c r="N740" s="2" t="s">
        <v>2952</v>
      </c>
      <c r="O740" s="2" t="s">
        <v>107</v>
      </c>
      <c r="P740" s="2" t="s">
        <v>107</v>
      </c>
      <c r="Q740" s="2" t="str">
        <f>"116-E/10"</f>
        <v>116-E/10</v>
      </c>
      <c r="R740" s="2" t="s">
        <v>391</v>
      </c>
      <c r="S740" s="2" t="s">
        <v>391</v>
      </c>
      <c r="T740" s="2">
        <v>1</v>
      </c>
      <c r="U740" s="2" t="s">
        <v>79</v>
      </c>
      <c r="V740" s="2">
        <v>1</v>
      </c>
      <c r="W740" s="2" t="s">
        <v>80</v>
      </c>
      <c r="X740" s="2">
        <v>1</v>
      </c>
      <c r="Y740" s="2" t="s">
        <v>81</v>
      </c>
      <c r="Z740" s="2">
        <v>1</v>
      </c>
      <c r="AA740" s="2" t="s">
        <v>82</v>
      </c>
      <c r="AB740" s="2">
        <v>1</v>
      </c>
      <c r="AC740" s="2" t="s">
        <v>178</v>
      </c>
      <c r="AD740" s="3">
        <v>40237</v>
      </c>
      <c r="AE740" s="4">
        <v>0.64583333333333337</v>
      </c>
      <c r="AF740" s="3">
        <v>40237</v>
      </c>
      <c r="AG740" s="4">
        <v>0.83333333333333337</v>
      </c>
      <c r="AH740" s="2">
        <v>2</v>
      </c>
      <c r="AI740" s="2" t="s">
        <v>84</v>
      </c>
      <c r="AJ740" s="2">
        <v>9</v>
      </c>
      <c r="AK740" s="2" t="s">
        <v>103</v>
      </c>
      <c r="AL740" s="2">
        <v>8</v>
      </c>
      <c r="AM740" s="2" t="s">
        <v>179</v>
      </c>
      <c r="AN740" s="2" t="s">
        <v>590</v>
      </c>
      <c r="AO740" s="2" t="s">
        <v>82</v>
      </c>
      <c r="AP740" s="2">
        <v>11</v>
      </c>
      <c r="AQ740" s="2" t="s">
        <v>82</v>
      </c>
      <c r="AR740" s="2"/>
      <c r="AS740" s="2"/>
      <c r="AT740" s="2" t="s">
        <v>2996</v>
      </c>
      <c r="AU740" s="2"/>
      <c r="AV740" s="2">
        <v>1</v>
      </c>
      <c r="AW740" s="2"/>
      <c r="AX740" s="2"/>
      <c r="AY740" s="2">
        <v>1</v>
      </c>
      <c r="AZ740" s="2" t="s">
        <v>107</v>
      </c>
      <c r="BA740" s="2">
        <v>1</v>
      </c>
      <c r="BB740" s="2" t="s">
        <v>107</v>
      </c>
      <c r="BC740" s="2">
        <v>1</v>
      </c>
      <c r="BD740" s="2" t="s">
        <v>107</v>
      </c>
      <c r="BE740" s="2">
        <v>13</v>
      </c>
      <c r="BF740" s="2" t="s">
        <v>108</v>
      </c>
      <c r="BG740" s="2" t="s">
        <v>2997</v>
      </c>
      <c r="BH740" s="2"/>
      <c r="BI740" s="4">
        <v>0.66666666666666663</v>
      </c>
      <c r="BJ740" s="2">
        <v>13</v>
      </c>
      <c r="BK740" s="2" t="s">
        <v>91</v>
      </c>
      <c r="BL740" s="2" t="s">
        <v>360</v>
      </c>
      <c r="BM740" s="2">
        <v>33</v>
      </c>
      <c r="BN740" s="2" t="s">
        <v>361</v>
      </c>
      <c r="BO740" s="2" t="s">
        <v>1739</v>
      </c>
      <c r="BP740" s="2">
        <v>225</v>
      </c>
      <c r="BQ740" s="2" t="s">
        <v>2998</v>
      </c>
      <c r="BR740" s="2" t="s">
        <v>2999</v>
      </c>
      <c r="BS740" s="3">
        <v>40237</v>
      </c>
      <c r="BT740" s="4">
        <v>0.89733796296296298</v>
      </c>
    </row>
    <row r="741" spans="1:72" x14ac:dyDescent="0.25">
      <c r="A741" s="2">
        <v>1161</v>
      </c>
      <c r="B741" s="2">
        <v>2010</v>
      </c>
      <c r="C741" s="2" t="s">
        <v>72</v>
      </c>
      <c r="D741" s="2" t="s">
        <v>73</v>
      </c>
      <c r="E741" s="2"/>
      <c r="F741" s="2">
        <v>180</v>
      </c>
      <c r="G741" s="2" t="s">
        <v>2553</v>
      </c>
      <c r="H741" s="2">
        <v>58</v>
      </c>
      <c r="I741" s="2" t="s">
        <v>2554</v>
      </c>
      <c r="J741" s="2">
        <v>429</v>
      </c>
      <c r="K741" s="2" t="s">
        <v>2555</v>
      </c>
      <c r="L741" s="2" t="s">
        <v>2556</v>
      </c>
      <c r="M741" s="3">
        <v>40237</v>
      </c>
      <c r="N741" s="2" t="s">
        <v>3000</v>
      </c>
      <c r="O741" s="2" t="s">
        <v>107</v>
      </c>
      <c r="P741" s="2" t="s">
        <v>107</v>
      </c>
      <c r="Q741" s="2" t="str">
        <f>"075-A/10"</f>
        <v>075-A/10</v>
      </c>
      <c r="R741" s="2" t="s">
        <v>107</v>
      </c>
      <c r="S741" s="2" t="s">
        <v>1547</v>
      </c>
      <c r="T741" s="2">
        <v>1</v>
      </c>
      <c r="U741" s="2" t="s">
        <v>79</v>
      </c>
      <c r="V741" s="2">
        <v>1</v>
      </c>
      <c r="W741" s="2" t="s">
        <v>80</v>
      </c>
      <c r="X741" s="2">
        <v>1</v>
      </c>
      <c r="Y741" s="2" t="s">
        <v>81</v>
      </c>
      <c r="Z741" s="2">
        <v>1</v>
      </c>
      <c r="AA741" s="2" t="s">
        <v>82</v>
      </c>
      <c r="AB741" s="2">
        <v>6</v>
      </c>
      <c r="AC741" s="2" t="s">
        <v>83</v>
      </c>
      <c r="AD741" s="3">
        <v>40234</v>
      </c>
      <c r="AE741" s="4">
        <v>0.25694444444444448</v>
      </c>
      <c r="AF741" s="3">
        <v>40237</v>
      </c>
      <c r="AG741" s="4">
        <v>0.80555555555555547</v>
      </c>
      <c r="AH741" s="2">
        <v>2</v>
      </c>
      <c r="AI741" s="2" t="s">
        <v>84</v>
      </c>
      <c r="AJ741" s="2">
        <v>12</v>
      </c>
      <c r="AK741" s="2" t="s">
        <v>85</v>
      </c>
      <c r="AL741" s="2">
        <v>10</v>
      </c>
      <c r="AM741" s="2" t="s">
        <v>200</v>
      </c>
      <c r="AN741" s="2" t="s">
        <v>3001</v>
      </c>
      <c r="AO741" s="2" t="s">
        <v>3002</v>
      </c>
      <c r="AP741" s="2">
        <v>11</v>
      </c>
      <c r="AQ741" s="2" t="s">
        <v>82</v>
      </c>
      <c r="AR741" s="2"/>
      <c r="AS741" s="2"/>
      <c r="AT741" s="2" t="s">
        <v>3003</v>
      </c>
      <c r="AU741" s="2"/>
      <c r="AV741" s="2"/>
      <c r="AW741" s="2"/>
      <c r="AX741" s="2"/>
      <c r="AY741" s="2">
        <v>41</v>
      </c>
      <c r="AZ741" s="2" t="s">
        <v>82</v>
      </c>
      <c r="BA741" s="2">
        <v>41</v>
      </c>
      <c r="BB741" s="2" t="s">
        <v>82</v>
      </c>
      <c r="BC741" s="2">
        <v>41</v>
      </c>
      <c r="BD741" s="2" t="s">
        <v>82</v>
      </c>
      <c r="BE741" s="2">
        <v>13</v>
      </c>
      <c r="BF741" s="2" t="s">
        <v>108</v>
      </c>
      <c r="BG741" s="2" t="s">
        <v>3004</v>
      </c>
      <c r="BH741" s="4">
        <v>0.35416666666666669</v>
      </c>
      <c r="BI741" s="4">
        <v>0.27083333333333331</v>
      </c>
      <c r="BJ741" s="2">
        <v>13</v>
      </c>
      <c r="BK741" s="2" t="s">
        <v>91</v>
      </c>
      <c r="BL741" s="2" t="s">
        <v>445</v>
      </c>
      <c r="BM741" s="2">
        <v>241</v>
      </c>
      <c r="BN741" s="2" t="s">
        <v>82</v>
      </c>
      <c r="BO741" s="2" t="s">
        <v>82</v>
      </c>
      <c r="BP741" s="2">
        <v>13</v>
      </c>
      <c r="BQ741" s="2" t="s">
        <v>91</v>
      </c>
      <c r="BR741" s="2" t="s">
        <v>1040</v>
      </c>
      <c r="BS741" s="3">
        <v>40237</v>
      </c>
      <c r="BT741" s="4">
        <v>0.90021990740740743</v>
      </c>
    </row>
    <row r="742" spans="1:72" x14ac:dyDescent="0.25">
      <c r="A742" s="2">
        <v>1162</v>
      </c>
      <c r="B742" s="2">
        <v>2010</v>
      </c>
      <c r="C742" s="2" t="s">
        <v>819</v>
      </c>
      <c r="D742" s="2" t="s">
        <v>122</v>
      </c>
      <c r="E742" s="2"/>
      <c r="F742" s="2">
        <v>425</v>
      </c>
      <c r="G742" s="2" t="s">
        <v>286</v>
      </c>
      <c r="H742" s="2">
        <v>39</v>
      </c>
      <c r="I742" s="2" t="s">
        <v>1117</v>
      </c>
      <c r="J742" s="2">
        <v>310</v>
      </c>
      <c r="K742" s="2" t="s">
        <v>288</v>
      </c>
      <c r="L742" s="2" t="s">
        <v>289</v>
      </c>
      <c r="M742" s="3">
        <v>40237</v>
      </c>
      <c r="N742" s="2" t="s">
        <v>1882</v>
      </c>
      <c r="O742" s="2"/>
      <c r="P742" s="2"/>
      <c r="Q742" s="2" t="str">
        <f>"017/10"</f>
        <v>017/10</v>
      </c>
      <c r="R742" s="2"/>
      <c r="S742" s="2" t="s">
        <v>822</v>
      </c>
      <c r="T742" s="2">
        <v>1</v>
      </c>
      <c r="U742" s="2" t="s">
        <v>79</v>
      </c>
      <c r="V742" s="2">
        <v>1</v>
      </c>
      <c r="W742" s="2" t="s">
        <v>80</v>
      </c>
      <c r="X742" s="2">
        <v>1</v>
      </c>
      <c r="Y742" s="2" t="s">
        <v>81</v>
      </c>
      <c r="Z742" s="2">
        <v>10</v>
      </c>
      <c r="AA742" s="2" t="s">
        <v>236</v>
      </c>
      <c r="AB742" s="2">
        <v>9</v>
      </c>
      <c r="AC742" s="2" t="s">
        <v>124</v>
      </c>
      <c r="AD742" s="3">
        <v>40237</v>
      </c>
      <c r="AE742" s="4">
        <v>0.85416666666666663</v>
      </c>
      <c r="AF742" s="2"/>
      <c r="AG742" s="2"/>
      <c r="AH742" s="2">
        <v>4</v>
      </c>
      <c r="AI742" s="2" t="s">
        <v>125</v>
      </c>
      <c r="AJ742" s="2">
        <v>29</v>
      </c>
      <c r="AK742" s="2" t="s">
        <v>227</v>
      </c>
      <c r="AL742" s="2">
        <v>10</v>
      </c>
      <c r="AM742" s="2" t="s">
        <v>200</v>
      </c>
      <c r="AN742" s="2" t="s">
        <v>1015</v>
      </c>
      <c r="AO742" s="2" t="s">
        <v>200</v>
      </c>
      <c r="AP742" s="2">
        <v>12</v>
      </c>
      <c r="AQ742" s="2" t="s">
        <v>322</v>
      </c>
      <c r="AR742" s="2" t="s">
        <v>824</v>
      </c>
      <c r="AS742" s="2" t="s">
        <v>825</v>
      </c>
      <c r="AT742" s="2" t="s">
        <v>3005</v>
      </c>
      <c r="AU742" s="2"/>
      <c r="AV742" s="2"/>
      <c r="AW742" s="2"/>
      <c r="AX742" s="2"/>
      <c r="AY742" s="2">
        <v>41</v>
      </c>
      <c r="AZ742" s="2" t="s">
        <v>82</v>
      </c>
      <c r="BA742" s="2">
        <v>41</v>
      </c>
      <c r="BB742" s="2" t="s">
        <v>82</v>
      </c>
      <c r="BC742" s="2">
        <v>41</v>
      </c>
      <c r="BD742" s="2" t="s">
        <v>82</v>
      </c>
      <c r="BE742" s="2">
        <v>47</v>
      </c>
      <c r="BF742" s="2" t="s">
        <v>167</v>
      </c>
      <c r="BG742" s="2">
        <v>2459</v>
      </c>
      <c r="BH742" s="4">
        <v>0.85069444444444453</v>
      </c>
      <c r="BI742" s="4">
        <v>0.88888888888888884</v>
      </c>
      <c r="BJ742" s="2">
        <v>13</v>
      </c>
      <c r="BK742" s="2" t="s">
        <v>91</v>
      </c>
      <c r="BL742" s="2" t="s">
        <v>828</v>
      </c>
      <c r="BM742" s="2">
        <v>241</v>
      </c>
      <c r="BN742" s="2" t="s">
        <v>82</v>
      </c>
      <c r="BO742" s="2" t="s">
        <v>82</v>
      </c>
      <c r="BP742" s="2">
        <v>13</v>
      </c>
      <c r="BQ742" s="2" t="s">
        <v>91</v>
      </c>
      <c r="BR742" s="2" t="s">
        <v>185</v>
      </c>
      <c r="BS742" s="3">
        <v>40237</v>
      </c>
      <c r="BT742" s="4">
        <v>0.94991898148148157</v>
      </c>
    </row>
    <row r="743" spans="1:72" x14ac:dyDescent="0.25">
      <c r="A743" s="2">
        <v>1163</v>
      </c>
      <c r="B743" s="2">
        <v>2010</v>
      </c>
      <c r="C743" s="2" t="s">
        <v>594</v>
      </c>
      <c r="D743" s="2" t="s">
        <v>122</v>
      </c>
      <c r="E743" s="2"/>
      <c r="F743" s="2">
        <v>1</v>
      </c>
      <c r="G743" s="2" t="s">
        <v>82</v>
      </c>
      <c r="H743" s="2">
        <v>1</v>
      </c>
      <c r="I743" s="2" t="s">
        <v>82</v>
      </c>
      <c r="J743" s="2">
        <v>1</v>
      </c>
      <c r="K743" s="2" t="s">
        <v>107</v>
      </c>
      <c r="L743" s="2" t="s">
        <v>107</v>
      </c>
      <c r="M743" s="3">
        <v>40238</v>
      </c>
      <c r="N743" s="2"/>
      <c r="O743" s="2"/>
      <c r="P743" s="2"/>
      <c r="Q743" s="2" t="str">
        <f>""</f>
        <v/>
      </c>
      <c r="R743" s="2"/>
      <c r="S743" s="2"/>
      <c r="T743" s="2">
        <v>1</v>
      </c>
      <c r="U743" s="2" t="s">
        <v>79</v>
      </c>
      <c r="V743" s="2">
        <v>1</v>
      </c>
      <c r="W743" s="2" t="s">
        <v>80</v>
      </c>
      <c r="X743" s="2">
        <v>5</v>
      </c>
      <c r="Y743" s="2" t="s">
        <v>82</v>
      </c>
      <c r="Z743" s="2">
        <v>1</v>
      </c>
      <c r="AA743" s="2" t="s">
        <v>82</v>
      </c>
      <c r="AB743" s="2">
        <v>9</v>
      </c>
      <c r="AC743" s="2" t="s">
        <v>124</v>
      </c>
      <c r="AD743" s="3">
        <v>40237</v>
      </c>
      <c r="AE743" s="4">
        <v>0.93819444444444444</v>
      </c>
      <c r="AF743" s="2"/>
      <c r="AG743" s="2"/>
      <c r="AH743" s="2">
        <v>3</v>
      </c>
      <c r="AI743" s="2" t="s">
        <v>214</v>
      </c>
      <c r="AJ743" s="2">
        <v>23</v>
      </c>
      <c r="AK743" s="2" t="s">
        <v>851</v>
      </c>
      <c r="AL743" s="2">
        <v>18</v>
      </c>
      <c r="AM743" s="2" t="s">
        <v>82</v>
      </c>
      <c r="AN743" s="2" t="s">
        <v>3006</v>
      </c>
      <c r="AO743" s="2" t="s">
        <v>82</v>
      </c>
      <c r="AP743" s="2">
        <v>11</v>
      </c>
      <c r="AQ743" s="2" t="s">
        <v>82</v>
      </c>
      <c r="AR743" s="2"/>
      <c r="AS743" s="2"/>
      <c r="AT743" s="2" t="s">
        <v>3007</v>
      </c>
      <c r="AU743" s="2"/>
      <c r="AV743" s="2"/>
      <c r="AW743" s="2"/>
      <c r="AX743" s="2"/>
      <c r="AY743" s="2">
        <v>1</v>
      </c>
      <c r="AZ743" s="2" t="s">
        <v>107</v>
      </c>
      <c r="BA743" s="2">
        <v>1</v>
      </c>
      <c r="BB743" s="2" t="s">
        <v>107</v>
      </c>
      <c r="BC743" s="2">
        <v>1</v>
      </c>
      <c r="BD743" s="2" t="s">
        <v>107</v>
      </c>
      <c r="BE743" s="2">
        <v>47</v>
      </c>
      <c r="BF743" s="2" t="s">
        <v>167</v>
      </c>
      <c r="BG743" s="2">
        <v>2439</v>
      </c>
      <c r="BH743" s="4">
        <v>0.99375000000000002</v>
      </c>
      <c r="BI743" s="4">
        <v>0.93819444444444444</v>
      </c>
      <c r="BJ743" s="2">
        <v>13</v>
      </c>
      <c r="BK743" s="2" t="s">
        <v>91</v>
      </c>
      <c r="BL743" s="2" t="s">
        <v>854</v>
      </c>
      <c r="BM743" s="2">
        <v>242</v>
      </c>
      <c r="BN743" s="2" t="s">
        <v>107</v>
      </c>
      <c r="BO743" s="2" t="s">
        <v>82</v>
      </c>
      <c r="BP743" s="2">
        <v>13</v>
      </c>
      <c r="BQ743" s="2" t="s">
        <v>91</v>
      </c>
      <c r="BR743" s="2" t="s">
        <v>564</v>
      </c>
      <c r="BS743" s="3">
        <v>40238</v>
      </c>
      <c r="BT743" s="4">
        <v>2.5925925925925925E-3</v>
      </c>
    </row>
    <row r="744" spans="1:72" x14ac:dyDescent="0.25">
      <c r="A744" s="2">
        <v>1164</v>
      </c>
      <c r="B744" s="2">
        <v>2010</v>
      </c>
      <c r="C744" s="2" t="s">
        <v>72</v>
      </c>
      <c r="D744" s="2" t="s">
        <v>73</v>
      </c>
      <c r="E744" s="2"/>
      <c r="F744" s="2">
        <v>2</v>
      </c>
      <c r="G744" s="2" t="s">
        <v>113</v>
      </c>
      <c r="H744" s="2">
        <v>1</v>
      </c>
      <c r="I744" s="2" t="s">
        <v>82</v>
      </c>
      <c r="J744" s="2">
        <v>300</v>
      </c>
      <c r="K744" s="2" t="s">
        <v>114</v>
      </c>
      <c r="L744" s="2" t="s">
        <v>115</v>
      </c>
      <c r="M744" s="3">
        <v>40238</v>
      </c>
      <c r="N744" s="2" t="s">
        <v>82</v>
      </c>
      <c r="O744" s="2" t="s">
        <v>107</v>
      </c>
      <c r="P744" s="2" t="s">
        <v>107</v>
      </c>
      <c r="Q744" s="2" t="str">
        <f>"117-E/10"</f>
        <v>117-E/10</v>
      </c>
      <c r="R744" s="2" t="s">
        <v>116</v>
      </c>
      <c r="S744" s="2" t="s">
        <v>116</v>
      </c>
      <c r="T744" s="2">
        <v>1</v>
      </c>
      <c r="U744" s="2" t="s">
        <v>79</v>
      </c>
      <c r="V744" s="2">
        <v>1</v>
      </c>
      <c r="W744" s="2" t="s">
        <v>80</v>
      </c>
      <c r="X744" s="2">
        <v>1</v>
      </c>
      <c r="Y744" s="2" t="s">
        <v>81</v>
      </c>
      <c r="Z744" s="2">
        <v>1</v>
      </c>
      <c r="AA744" s="2" t="s">
        <v>82</v>
      </c>
      <c r="AB744" s="2">
        <v>6</v>
      </c>
      <c r="AC744" s="2" t="s">
        <v>83</v>
      </c>
      <c r="AD744" s="3">
        <v>40237</v>
      </c>
      <c r="AE744" s="4">
        <v>0.5625</v>
      </c>
      <c r="AF744" s="3">
        <v>40237</v>
      </c>
      <c r="AG744" s="4">
        <v>0.625</v>
      </c>
      <c r="AH744" s="2">
        <v>2</v>
      </c>
      <c r="AI744" s="2" t="s">
        <v>84</v>
      </c>
      <c r="AJ744" s="2">
        <v>9</v>
      </c>
      <c r="AK744" s="2" t="s">
        <v>103</v>
      </c>
      <c r="AL744" s="2">
        <v>5</v>
      </c>
      <c r="AM744" s="2" t="s">
        <v>193</v>
      </c>
      <c r="AN744" s="2" t="s">
        <v>3008</v>
      </c>
      <c r="AO744" s="2" t="s">
        <v>3009</v>
      </c>
      <c r="AP744" s="2">
        <v>11</v>
      </c>
      <c r="AQ744" s="2" t="s">
        <v>82</v>
      </c>
      <c r="AR744" s="2" t="s">
        <v>82</v>
      </c>
      <c r="AS744" s="2" t="s">
        <v>82</v>
      </c>
      <c r="AT744" s="2" t="s">
        <v>3010</v>
      </c>
      <c r="AU744" s="2"/>
      <c r="AV744" s="2"/>
      <c r="AW744" s="2"/>
      <c r="AX744" s="2"/>
      <c r="AY744" s="2">
        <v>1</v>
      </c>
      <c r="AZ744" s="2" t="s">
        <v>107</v>
      </c>
      <c r="BA744" s="2">
        <v>1</v>
      </c>
      <c r="BB744" s="2" t="s">
        <v>107</v>
      </c>
      <c r="BC744" s="2">
        <v>1</v>
      </c>
      <c r="BD744" s="2" t="s">
        <v>107</v>
      </c>
      <c r="BE744" s="2">
        <v>1</v>
      </c>
      <c r="BF744" s="2" t="s">
        <v>107</v>
      </c>
      <c r="BG744" s="2" t="s">
        <v>82</v>
      </c>
      <c r="BH744" s="4">
        <v>0</v>
      </c>
      <c r="BI744" s="4">
        <v>0</v>
      </c>
      <c r="BJ744" s="2">
        <v>242</v>
      </c>
      <c r="BK744" s="2" t="s">
        <v>107</v>
      </c>
      <c r="BL744" s="2" t="s">
        <v>82</v>
      </c>
      <c r="BM744" s="2">
        <v>242</v>
      </c>
      <c r="BN744" s="2" t="s">
        <v>107</v>
      </c>
      <c r="BO744" s="2" t="s">
        <v>82</v>
      </c>
      <c r="BP744" s="2">
        <v>242</v>
      </c>
      <c r="BQ744" s="2" t="s">
        <v>107</v>
      </c>
      <c r="BR744" s="2" t="s">
        <v>82</v>
      </c>
      <c r="BS744" s="3">
        <v>40238</v>
      </c>
      <c r="BT744" s="4">
        <v>2.0648148148148148E-2</v>
      </c>
    </row>
    <row r="745" spans="1:72" x14ac:dyDescent="0.25">
      <c r="A745" s="2">
        <v>1165</v>
      </c>
      <c r="B745" s="2">
        <v>2010</v>
      </c>
      <c r="C745" s="2" t="s">
        <v>171</v>
      </c>
      <c r="D745" s="2" t="s">
        <v>73</v>
      </c>
      <c r="E745" s="2"/>
      <c r="F745" s="2">
        <v>157</v>
      </c>
      <c r="G745" s="2" t="s">
        <v>3011</v>
      </c>
      <c r="H745" s="2">
        <v>15</v>
      </c>
      <c r="I745" s="2" t="s">
        <v>130</v>
      </c>
      <c r="J745" s="2">
        <v>167</v>
      </c>
      <c r="K745" s="2" t="s">
        <v>1032</v>
      </c>
      <c r="L745" s="2" t="s">
        <v>1033</v>
      </c>
      <c r="M745" s="3">
        <v>40238</v>
      </c>
      <c r="N745" s="2" t="s">
        <v>3012</v>
      </c>
      <c r="O745" s="2" t="s">
        <v>107</v>
      </c>
      <c r="P745" s="2" t="s">
        <v>107</v>
      </c>
      <c r="Q745" s="2" t="str">
        <f>"076-A/10"</f>
        <v>076-A/10</v>
      </c>
      <c r="R745" s="2" t="s">
        <v>107</v>
      </c>
      <c r="S745" s="2" t="s">
        <v>1035</v>
      </c>
      <c r="T745" s="2">
        <v>1</v>
      </c>
      <c r="U745" s="2" t="s">
        <v>79</v>
      </c>
      <c r="V745" s="2">
        <v>1</v>
      </c>
      <c r="W745" s="2" t="s">
        <v>80</v>
      </c>
      <c r="X745" s="2">
        <v>1</v>
      </c>
      <c r="Y745" s="2" t="s">
        <v>81</v>
      </c>
      <c r="Z745" s="2">
        <v>1</v>
      </c>
      <c r="AA745" s="2" t="s">
        <v>82</v>
      </c>
      <c r="AB745" s="2">
        <v>1</v>
      </c>
      <c r="AC745" s="2" t="s">
        <v>178</v>
      </c>
      <c r="AD745" s="3">
        <v>40237</v>
      </c>
      <c r="AE745" s="4">
        <v>0.85069444444444453</v>
      </c>
      <c r="AF745" s="3">
        <v>40237</v>
      </c>
      <c r="AG745" s="4">
        <v>0.94097222222222221</v>
      </c>
      <c r="AH745" s="2">
        <v>2</v>
      </c>
      <c r="AI745" s="2" t="s">
        <v>84</v>
      </c>
      <c r="AJ745" s="2">
        <v>12</v>
      </c>
      <c r="AK745" s="2" t="s">
        <v>85</v>
      </c>
      <c r="AL745" s="2">
        <v>11</v>
      </c>
      <c r="AM745" s="2" t="s">
        <v>137</v>
      </c>
      <c r="AN745" s="2" t="s">
        <v>3013</v>
      </c>
      <c r="AO745" s="2" t="s">
        <v>3014</v>
      </c>
      <c r="AP745" s="2">
        <v>11</v>
      </c>
      <c r="AQ745" s="2" t="s">
        <v>82</v>
      </c>
      <c r="AR745" s="2"/>
      <c r="AS745" s="2"/>
      <c r="AT745" s="2" t="s">
        <v>3015</v>
      </c>
      <c r="AU745" s="2">
        <v>1</v>
      </c>
      <c r="AV745" s="2"/>
      <c r="AW745" s="2"/>
      <c r="AX745" s="2"/>
      <c r="AY745" s="2">
        <v>41</v>
      </c>
      <c r="AZ745" s="2" t="s">
        <v>82</v>
      </c>
      <c r="BA745" s="2">
        <v>41</v>
      </c>
      <c r="BB745" s="2" t="s">
        <v>82</v>
      </c>
      <c r="BC745" s="2">
        <v>41</v>
      </c>
      <c r="BD745" s="2" t="s">
        <v>82</v>
      </c>
      <c r="BE745" s="2">
        <v>47</v>
      </c>
      <c r="BF745" s="2" t="s">
        <v>167</v>
      </c>
      <c r="BG745" s="2" t="s">
        <v>3016</v>
      </c>
      <c r="BH745" s="4">
        <v>0.94791666666666663</v>
      </c>
      <c r="BI745" s="4">
        <v>0.86458333333333337</v>
      </c>
      <c r="BJ745" s="2">
        <v>13</v>
      </c>
      <c r="BK745" s="2" t="s">
        <v>91</v>
      </c>
      <c r="BL745" s="2" t="s">
        <v>1040</v>
      </c>
      <c r="BM745" s="2">
        <v>241</v>
      </c>
      <c r="BN745" s="2" t="s">
        <v>82</v>
      </c>
      <c r="BO745" s="2" t="s">
        <v>82</v>
      </c>
      <c r="BP745" s="2">
        <v>13</v>
      </c>
      <c r="BQ745" s="2" t="s">
        <v>91</v>
      </c>
      <c r="BR745" s="2" t="s">
        <v>1014</v>
      </c>
      <c r="BS745" s="3">
        <v>40238</v>
      </c>
      <c r="BT745" s="4">
        <v>0.16755787037037037</v>
      </c>
    </row>
    <row r="746" spans="1:72" x14ac:dyDescent="0.25">
      <c r="A746" s="2">
        <v>1166</v>
      </c>
      <c r="B746" s="2">
        <v>2010</v>
      </c>
      <c r="C746" s="2" t="s">
        <v>72</v>
      </c>
      <c r="D746" s="2" t="s">
        <v>73</v>
      </c>
      <c r="E746" s="2"/>
      <c r="F746" s="2">
        <v>481</v>
      </c>
      <c r="G746" s="2" t="s">
        <v>1438</v>
      </c>
      <c r="H746" s="2">
        <v>1</v>
      </c>
      <c r="I746" s="2" t="s">
        <v>82</v>
      </c>
      <c r="J746" s="2">
        <v>57</v>
      </c>
      <c r="K746" s="2" t="s">
        <v>431</v>
      </c>
      <c r="L746" s="2" t="s">
        <v>432</v>
      </c>
      <c r="M746" s="3">
        <v>40238</v>
      </c>
      <c r="N746" s="2"/>
      <c r="O746" s="2" t="s">
        <v>116</v>
      </c>
      <c r="P746" s="2" t="s">
        <v>107</v>
      </c>
      <c r="Q746" s="2" t="str">
        <f>"11/10"</f>
        <v>11/10</v>
      </c>
      <c r="R746" s="2" t="s">
        <v>116</v>
      </c>
      <c r="S746" s="2"/>
      <c r="T746" s="2">
        <v>1</v>
      </c>
      <c r="U746" s="2" t="s">
        <v>79</v>
      </c>
      <c r="V746" s="2">
        <v>1</v>
      </c>
      <c r="W746" s="2" t="s">
        <v>80</v>
      </c>
      <c r="X746" s="2">
        <v>1</v>
      </c>
      <c r="Y746" s="2" t="s">
        <v>81</v>
      </c>
      <c r="Z746" s="2">
        <v>10</v>
      </c>
      <c r="AA746" s="2" t="s">
        <v>236</v>
      </c>
      <c r="AB746" s="2">
        <v>6</v>
      </c>
      <c r="AC746" s="2" t="s">
        <v>83</v>
      </c>
      <c r="AD746" s="3">
        <v>40237</v>
      </c>
      <c r="AE746" s="4">
        <v>0.9375</v>
      </c>
      <c r="AF746" s="3">
        <v>40237</v>
      </c>
      <c r="AG746" s="4">
        <v>0.97916666666666663</v>
      </c>
      <c r="AH746" s="2">
        <v>3</v>
      </c>
      <c r="AI746" s="2" t="s">
        <v>214</v>
      </c>
      <c r="AJ746" s="2">
        <v>17</v>
      </c>
      <c r="AK746" s="2" t="s">
        <v>309</v>
      </c>
      <c r="AL746" s="2">
        <v>10</v>
      </c>
      <c r="AM746" s="2" t="s">
        <v>200</v>
      </c>
      <c r="AN746" s="2"/>
      <c r="AO746" s="2" t="s">
        <v>3017</v>
      </c>
      <c r="AP746" s="2">
        <v>11</v>
      </c>
      <c r="AQ746" s="2" t="s">
        <v>82</v>
      </c>
      <c r="AR746" s="2"/>
      <c r="AS746" s="2"/>
      <c r="AT746" s="2" t="s">
        <v>3018</v>
      </c>
      <c r="AU746" s="2"/>
      <c r="AV746" s="2"/>
      <c r="AW746" s="2"/>
      <c r="AX746" s="2"/>
      <c r="AY746" s="2">
        <v>41</v>
      </c>
      <c r="AZ746" s="2" t="s">
        <v>82</v>
      </c>
      <c r="BA746" s="2">
        <v>41</v>
      </c>
      <c r="BB746" s="2" t="s">
        <v>82</v>
      </c>
      <c r="BC746" s="2">
        <v>13</v>
      </c>
      <c r="BD746" s="2" t="s">
        <v>108</v>
      </c>
      <c r="BE746" s="2">
        <v>13</v>
      </c>
      <c r="BF746" s="2" t="s">
        <v>108</v>
      </c>
      <c r="BG746" s="2">
        <v>2420</v>
      </c>
      <c r="BH746" s="4">
        <v>0.9375</v>
      </c>
      <c r="BI746" s="4">
        <v>0.86805555555555547</v>
      </c>
      <c r="BJ746" s="2">
        <v>13</v>
      </c>
      <c r="BK746" s="2" t="s">
        <v>91</v>
      </c>
      <c r="BL746" s="2" t="s">
        <v>534</v>
      </c>
      <c r="BM746" s="2">
        <v>241</v>
      </c>
      <c r="BN746" s="2" t="s">
        <v>82</v>
      </c>
      <c r="BO746" s="2"/>
      <c r="BP746" s="2">
        <v>13</v>
      </c>
      <c r="BQ746" s="2" t="s">
        <v>91</v>
      </c>
      <c r="BR746" s="2" t="s">
        <v>445</v>
      </c>
      <c r="BS746" s="3">
        <v>40238</v>
      </c>
      <c r="BT746" s="4">
        <v>0.16780092592592591</v>
      </c>
    </row>
    <row r="747" spans="1:72" x14ac:dyDescent="0.25">
      <c r="A747" s="2">
        <v>1167</v>
      </c>
      <c r="B747" s="2">
        <v>2010</v>
      </c>
      <c r="C747" s="2" t="s">
        <v>171</v>
      </c>
      <c r="D747" s="2" t="s">
        <v>122</v>
      </c>
      <c r="E747" s="2" t="s">
        <v>3019</v>
      </c>
      <c r="F747" s="2">
        <v>157</v>
      </c>
      <c r="G747" s="2" t="s">
        <v>3011</v>
      </c>
      <c r="H747" s="2">
        <v>15</v>
      </c>
      <c r="I747" s="2" t="s">
        <v>130</v>
      </c>
      <c r="J747" s="2">
        <v>167</v>
      </c>
      <c r="K747" s="2" t="s">
        <v>1032</v>
      </c>
      <c r="L747" s="2" t="s">
        <v>1033</v>
      </c>
      <c r="M747" s="3">
        <v>40238</v>
      </c>
      <c r="N747" s="2" t="s">
        <v>3012</v>
      </c>
      <c r="O747" s="2"/>
      <c r="P747" s="2"/>
      <c r="Q747" s="2" t="str">
        <f>"076-A/10"</f>
        <v>076-A/10</v>
      </c>
      <c r="R747" s="2" t="s">
        <v>1035</v>
      </c>
      <c r="S747" s="2"/>
      <c r="T747" s="2">
        <v>1</v>
      </c>
      <c r="U747" s="2" t="s">
        <v>79</v>
      </c>
      <c r="V747" s="2">
        <v>1</v>
      </c>
      <c r="W747" s="2" t="s">
        <v>80</v>
      </c>
      <c r="X747" s="2">
        <v>1</v>
      </c>
      <c r="Y747" s="2" t="s">
        <v>81</v>
      </c>
      <c r="Z747" s="2">
        <v>1</v>
      </c>
      <c r="AA747" s="2" t="s">
        <v>82</v>
      </c>
      <c r="AB747" s="2">
        <v>1</v>
      </c>
      <c r="AC747" s="2" t="s">
        <v>178</v>
      </c>
      <c r="AD747" s="3">
        <v>40237</v>
      </c>
      <c r="AE747" s="4">
        <v>0.85069444444444453</v>
      </c>
      <c r="AF747" s="2"/>
      <c r="AG747" s="2"/>
      <c r="AH747" s="2">
        <v>2</v>
      </c>
      <c r="AI747" s="2" t="s">
        <v>84</v>
      </c>
      <c r="AJ747" s="2">
        <v>12</v>
      </c>
      <c r="AK747" s="2" t="s">
        <v>85</v>
      </c>
      <c r="AL747" s="2">
        <v>11</v>
      </c>
      <c r="AM747" s="2" t="s">
        <v>137</v>
      </c>
      <c r="AN747" s="2" t="s">
        <v>3013</v>
      </c>
      <c r="AO747" s="2" t="s">
        <v>3014</v>
      </c>
      <c r="AP747" s="2">
        <v>11</v>
      </c>
      <c r="AQ747" s="2" t="s">
        <v>82</v>
      </c>
      <c r="AR747" s="2"/>
      <c r="AS747" s="2"/>
      <c r="AT747" s="2" t="s">
        <v>3020</v>
      </c>
      <c r="AU747" s="2">
        <v>1</v>
      </c>
      <c r="AV747" s="2"/>
      <c r="AW747" s="2"/>
      <c r="AX747" s="2"/>
      <c r="AY747" s="2">
        <v>41</v>
      </c>
      <c r="AZ747" s="2" t="s">
        <v>82</v>
      </c>
      <c r="BA747" s="2">
        <v>41</v>
      </c>
      <c r="BB747" s="2" t="s">
        <v>82</v>
      </c>
      <c r="BC747" s="2">
        <v>41</v>
      </c>
      <c r="BD747" s="2" t="s">
        <v>82</v>
      </c>
      <c r="BE747" s="2">
        <v>13</v>
      </c>
      <c r="BF747" s="2" t="s">
        <v>108</v>
      </c>
      <c r="BG747" s="2" t="s">
        <v>3021</v>
      </c>
      <c r="BH747" s="4">
        <v>0.94791666666666663</v>
      </c>
      <c r="BI747" s="4">
        <v>0.86458333333333337</v>
      </c>
      <c r="BJ747" s="2">
        <v>13</v>
      </c>
      <c r="BK747" s="2" t="s">
        <v>91</v>
      </c>
      <c r="BL747" s="2" t="s">
        <v>1040</v>
      </c>
      <c r="BM747" s="2">
        <v>241</v>
      </c>
      <c r="BN747" s="2" t="s">
        <v>82</v>
      </c>
      <c r="BO747" s="2"/>
      <c r="BP747" s="2">
        <v>13</v>
      </c>
      <c r="BQ747" s="2" t="s">
        <v>91</v>
      </c>
      <c r="BR747" s="2" t="s">
        <v>1014</v>
      </c>
      <c r="BS747" s="3">
        <v>40238</v>
      </c>
      <c r="BT747" s="4">
        <v>0.40806712962962965</v>
      </c>
    </row>
    <row r="748" spans="1:72" x14ac:dyDescent="0.25">
      <c r="A748" s="2">
        <v>1168</v>
      </c>
      <c r="B748" s="2">
        <v>2010</v>
      </c>
      <c r="C748" s="2" t="s">
        <v>171</v>
      </c>
      <c r="D748" s="2" t="s">
        <v>122</v>
      </c>
      <c r="E748" s="2" t="s">
        <v>3022</v>
      </c>
      <c r="F748" s="2">
        <v>230</v>
      </c>
      <c r="G748" s="2" t="s">
        <v>2995</v>
      </c>
      <c r="H748" s="2">
        <v>11</v>
      </c>
      <c r="I748" s="2" t="s">
        <v>1397</v>
      </c>
      <c r="J748" s="2">
        <v>377</v>
      </c>
      <c r="K748" s="2" t="s">
        <v>1223</v>
      </c>
      <c r="L748" s="2" t="s">
        <v>1224</v>
      </c>
      <c r="M748" s="3">
        <v>40238</v>
      </c>
      <c r="N748" s="2" t="s">
        <v>2952</v>
      </c>
      <c r="O748" s="2"/>
      <c r="P748" s="2"/>
      <c r="Q748" s="2" t="str">
        <f>"116-E/10"</f>
        <v>116-E/10</v>
      </c>
      <c r="R748" s="2" t="s">
        <v>391</v>
      </c>
      <c r="S748" s="2" t="s">
        <v>391</v>
      </c>
      <c r="T748" s="2">
        <v>1</v>
      </c>
      <c r="U748" s="2" t="s">
        <v>79</v>
      </c>
      <c r="V748" s="2">
        <v>1</v>
      </c>
      <c r="W748" s="2" t="s">
        <v>80</v>
      </c>
      <c r="X748" s="2">
        <v>1</v>
      </c>
      <c r="Y748" s="2" t="s">
        <v>81</v>
      </c>
      <c r="Z748" s="2">
        <v>1</v>
      </c>
      <c r="AA748" s="2" t="s">
        <v>82</v>
      </c>
      <c r="AB748" s="2">
        <v>1</v>
      </c>
      <c r="AC748" s="2" t="s">
        <v>178</v>
      </c>
      <c r="AD748" s="3">
        <v>40237</v>
      </c>
      <c r="AE748" s="4">
        <v>0.64583333333333337</v>
      </c>
      <c r="AF748" s="2"/>
      <c r="AG748" s="2"/>
      <c r="AH748" s="2">
        <v>2</v>
      </c>
      <c r="AI748" s="2" t="s">
        <v>84</v>
      </c>
      <c r="AJ748" s="2">
        <v>9</v>
      </c>
      <c r="AK748" s="2" t="s">
        <v>103</v>
      </c>
      <c r="AL748" s="2">
        <v>8</v>
      </c>
      <c r="AM748" s="2" t="s">
        <v>179</v>
      </c>
      <c r="AN748" s="2" t="s">
        <v>590</v>
      </c>
      <c r="AO748" s="2"/>
      <c r="AP748" s="2">
        <v>11</v>
      </c>
      <c r="AQ748" s="2" t="s">
        <v>82</v>
      </c>
      <c r="AR748" s="2"/>
      <c r="AS748" s="2"/>
      <c r="AT748" s="2" t="s">
        <v>3023</v>
      </c>
      <c r="AU748" s="2"/>
      <c r="AV748" s="2">
        <v>1</v>
      </c>
      <c r="AW748" s="2"/>
      <c r="AX748" s="2"/>
      <c r="AY748" s="2">
        <v>1</v>
      </c>
      <c r="AZ748" s="2" t="s">
        <v>107</v>
      </c>
      <c r="BA748" s="2">
        <v>1</v>
      </c>
      <c r="BB748" s="2" t="s">
        <v>107</v>
      </c>
      <c r="BC748" s="2">
        <v>1</v>
      </c>
      <c r="BD748" s="2" t="s">
        <v>107</v>
      </c>
      <c r="BE748" s="2">
        <v>13</v>
      </c>
      <c r="BF748" s="2" t="s">
        <v>108</v>
      </c>
      <c r="BG748" s="2" t="s">
        <v>2997</v>
      </c>
      <c r="BH748" s="2"/>
      <c r="BI748" s="4">
        <v>0.66666666666666663</v>
      </c>
      <c r="BJ748" s="2">
        <v>242</v>
      </c>
      <c r="BK748" s="2" t="s">
        <v>107</v>
      </c>
      <c r="BL748" s="2"/>
      <c r="BM748" s="2">
        <v>242</v>
      </c>
      <c r="BN748" s="2" t="s">
        <v>107</v>
      </c>
      <c r="BO748" s="2"/>
      <c r="BP748" s="2">
        <v>33</v>
      </c>
      <c r="BQ748" s="2" t="s">
        <v>361</v>
      </c>
      <c r="BR748" s="2" t="s">
        <v>1739</v>
      </c>
      <c r="BS748" s="3">
        <v>40238</v>
      </c>
      <c r="BT748" s="4">
        <v>0.42333333333333334</v>
      </c>
    </row>
    <row r="749" spans="1:72" x14ac:dyDescent="0.25">
      <c r="A749" s="2">
        <v>1170</v>
      </c>
      <c r="B749" s="2">
        <v>2010</v>
      </c>
      <c r="C749" s="2" t="s">
        <v>171</v>
      </c>
      <c r="D749" s="2" t="s">
        <v>122</v>
      </c>
      <c r="E749" s="2" t="s">
        <v>3024</v>
      </c>
      <c r="F749" s="2">
        <v>397</v>
      </c>
      <c r="G749" s="2" t="s">
        <v>2522</v>
      </c>
      <c r="H749" s="2">
        <v>11</v>
      </c>
      <c r="I749" s="2" t="s">
        <v>1397</v>
      </c>
      <c r="J749" s="2">
        <v>377</v>
      </c>
      <c r="K749" s="2" t="s">
        <v>1223</v>
      </c>
      <c r="L749" s="2" t="s">
        <v>1224</v>
      </c>
      <c r="M749" s="3">
        <v>40238</v>
      </c>
      <c r="N749" s="2" t="s">
        <v>2952</v>
      </c>
      <c r="O749" s="2"/>
      <c r="P749" s="2"/>
      <c r="Q749" s="2" t="str">
        <f>"S/D"</f>
        <v>S/D</v>
      </c>
      <c r="R749" s="2" t="s">
        <v>107</v>
      </c>
      <c r="S749" s="2" t="s">
        <v>107</v>
      </c>
      <c r="T749" s="2">
        <v>1</v>
      </c>
      <c r="U749" s="2" t="s">
        <v>79</v>
      </c>
      <c r="V749" s="2">
        <v>1</v>
      </c>
      <c r="W749" s="2" t="s">
        <v>80</v>
      </c>
      <c r="X749" s="2">
        <v>3</v>
      </c>
      <c r="Y749" s="2" t="s">
        <v>698</v>
      </c>
      <c r="Z749" s="2">
        <v>2</v>
      </c>
      <c r="AA749" s="2" t="s">
        <v>2148</v>
      </c>
      <c r="AB749" s="2">
        <v>1</v>
      </c>
      <c r="AC749" s="2" t="s">
        <v>178</v>
      </c>
      <c r="AD749" s="3">
        <v>40235</v>
      </c>
      <c r="AE749" s="4">
        <v>0.69791666666666663</v>
      </c>
      <c r="AF749" s="2"/>
      <c r="AG749" s="2"/>
      <c r="AH749" s="2">
        <v>2</v>
      </c>
      <c r="AI749" s="2" t="s">
        <v>84</v>
      </c>
      <c r="AJ749" s="2">
        <v>9</v>
      </c>
      <c r="AK749" s="2" t="s">
        <v>103</v>
      </c>
      <c r="AL749" s="2">
        <v>12</v>
      </c>
      <c r="AM749" s="2" t="s">
        <v>86</v>
      </c>
      <c r="AN749" s="2" t="s">
        <v>2953</v>
      </c>
      <c r="AO749" s="2"/>
      <c r="AP749" s="2">
        <v>11</v>
      </c>
      <c r="AQ749" s="2" t="s">
        <v>82</v>
      </c>
      <c r="AR749" s="2"/>
      <c r="AS749" s="2"/>
      <c r="AT749" s="2" t="s">
        <v>3025</v>
      </c>
      <c r="AU749" s="2"/>
      <c r="AV749" s="2">
        <v>1</v>
      </c>
      <c r="AW749" s="2"/>
      <c r="AX749" s="2"/>
      <c r="AY749" s="2">
        <v>41</v>
      </c>
      <c r="AZ749" s="2" t="s">
        <v>82</v>
      </c>
      <c r="BA749" s="2">
        <v>41</v>
      </c>
      <c r="BB749" s="2" t="s">
        <v>82</v>
      </c>
      <c r="BC749" s="2">
        <v>41</v>
      </c>
      <c r="BD749" s="2" t="s">
        <v>82</v>
      </c>
      <c r="BE749" s="2">
        <v>33</v>
      </c>
      <c r="BF749" s="2" t="s">
        <v>1083</v>
      </c>
      <c r="BG749" s="2" t="s">
        <v>2165</v>
      </c>
      <c r="BH749" s="2"/>
      <c r="BI749" s="2"/>
      <c r="BJ749" s="2">
        <v>13</v>
      </c>
      <c r="BK749" s="2" t="s">
        <v>91</v>
      </c>
      <c r="BL749" s="2" t="s">
        <v>185</v>
      </c>
      <c r="BM749" s="2">
        <v>242</v>
      </c>
      <c r="BN749" s="2" t="s">
        <v>107</v>
      </c>
      <c r="BO749" s="2"/>
      <c r="BP749" s="2">
        <v>205</v>
      </c>
      <c r="BQ749" s="2" t="s">
        <v>1085</v>
      </c>
      <c r="BR749" s="2" t="s">
        <v>1086</v>
      </c>
      <c r="BS749" s="3">
        <v>40238</v>
      </c>
      <c r="BT749" s="4">
        <v>0.48071759259259261</v>
      </c>
    </row>
    <row r="750" spans="1:72" x14ac:dyDescent="0.25">
      <c r="A750" s="2">
        <v>1172</v>
      </c>
      <c r="B750" s="2">
        <v>2010</v>
      </c>
      <c r="C750" s="2" t="s">
        <v>171</v>
      </c>
      <c r="D750" s="2" t="s">
        <v>73</v>
      </c>
      <c r="E750" s="2"/>
      <c r="F750" s="2">
        <v>158</v>
      </c>
      <c r="G750" s="2" t="s">
        <v>3026</v>
      </c>
      <c r="H750" s="2">
        <v>16</v>
      </c>
      <c r="I750" s="2" t="s">
        <v>3027</v>
      </c>
      <c r="J750" s="2">
        <v>451</v>
      </c>
      <c r="K750" s="2" t="s">
        <v>3028</v>
      </c>
      <c r="L750" s="2" t="s">
        <v>3029</v>
      </c>
      <c r="M750" s="3">
        <v>40238</v>
      </c>
      <c r="N750" s="2" t="s">
        <v>3030</v>
      </c>
      <c r="O750" s="2" t="s">
        <v>107</v>
      </c>
      <c r="P750" s="2" t="s">
        <v>107</v>
      </c>
      <c r="Q750" s="2" t="str">
        <f>"077-A/10"</f>
        <v>077-A/10</v>
      </c>
      <c r="R750" s="2" t="s">
        <v>107</v>
      </c>
      <c r="S750" s="2" t="s">
        <v>1035</v>
      </c>
      <c r="T750" s="2">
        <v>1</v>
      </c>
      <c r="U750" s="2" t="s">
        <v>79</v>
      </c>
      <c r="V750" s="2">
        <v>1</v>
      </c>
      <c r="W750" s="2" t="s">
        <v>80</v>
      </c>
      <c r="X750" s="2">
        <v>1</v>
      </c>
      <c r="Y750" s="2" t="s">
        <v>81</v>
      </c>
      <c r="Z750" s="2">
        <v>1</v>
      </c>
      <c r="AA750" s="2" t="s">
        <v>82</v>
      </c>
      <c r="AB750" s="2">
        <v>1</v>
      </c>
      <c r="AC750" s="2" t="s">
        <v>178</v>
      </c>
      <c r="AD750" s="3">
        <v>40238</v>
      </c>
      <c r="AE750" s="4">
        <v>0.24652777777777779</v>
      </c>
      <c r="AF750" s="3">
        <v>40238</v>
      </c>
      <c r="AG750" s="4">
        <v>0.3125</v>
      </c>
      <c r="AH750" s="2">
        <v>2</v>
      </c>
      <c r="AI750" s="2" t="s">
        <v>84</v>
      </c>
      <c r="AJ750" s="2">
        <v>12</v>
      </c>
      <c r="AK750" s="2" t="s">
        <v>85</v>
      </c>
      <c r="AL750" s="2">
        <v>11</v>
      </c>
      <c r="AM750" s="2" t="s">
        <v>137</v>
      </c>
      <c r="AN750" s="2" t="s">
        <v>3031</v>
      </c>
      <c r="AO750" s="2" t="s">
        <v>3032</v>
      </c>
      <c r="AP750" s="2">
        <v>11</v>
      </c>
      <c r="AQ750" s="2" t="s">
        <v>82</v>
      </c>
      <c r="AR750" s="2"/>
      <c r="AS750" s="2"/>
      <c r="AT750" s="2" t="s">
        <v>3033</v>
      </c>
      <c r="AU750" s="2">
        <v>1</v>
      </c>
      <c r="AV750" s="2"/>
      <c r="AW750" s="2"/>
      <c r="AX750" s="2"/>
      <c r="AY750" s="2">
        <v>41</v>
      </c>
      <c r="AZ750" s="2" t="s">
        <v>82</v>
      </c>
      <c r="BA750" s="2">
        <v>41</v>
      </c>
      <c r="BB750" s="2" t="s">
        <v>82</v>
      </c>
      <c r="BC750" s="2">
        <v>41</v>
      </c>
      <c r="BD750" s="2" t="s">
        <v>82</v>
      </c>
      <c r="BE750" s="2">
        <v>47</v>
      </c>
      <c r="BF750" s="2" t="s">
        <v>167</v>
      </c>
      <c r="BG750" s="2" t="s">
        <v>3034</v>
      </c>
      <c r="BH750" s="4">
        <v>0.33333333333333331</v>
      </c>
      <c r="BI750" s="4">
        <v>0.25</v>
      </c>
      <c r="BJ750" s="2">
        <v>13</v>
      </c>
      <c r="BK750" s="2" t="s">
        <v>91</v>
      </c>
      <c r="BL750" s="2" t="s">
        <v>1040</v>
      </c>
      <c r="BM750" s="2">
        <v>241</v>
      </c>
      <c r="BN750" s="2" t="s">
        <v>82</v>
      </c>
      <c r="BO750" s="2" t="s">
        <v>82</v>
      </c>
      <c r="BP750" s="2">
        <v>13</v>
      </c>
      <c r="BQ750" s="2" t="s">
        <v>91</v>
      </c>
      <c r="BR750" s="2" t="s">
        <v>3035</v>
      </c>
      <c r="BS750" s="3">
        <v>40238</v>
      </c>
      <c r="BT750" s="4">
        <v>0.52361111111111114</v>
      </c>
    </row>
    <row r="751" spans="1:72" x14ac:dyDescent="0.25">
      <c r="A751" s="2">
        <v>1174</v>
      </c>
      <c r="B751" s="2">
        <v>2010</v>
      </c>
      <c r="C751" s="2" t="s">
        <v>255</v>
      </c>
      <c r="D751" s="2" t="s">
        <v>73</v>
      </c>
      <c r="E751" s="2"/>
      <c r="F751" s="2">
        <v>45</v>
      </c>
      <c r="G751" s="2" t="s">
        <v>1408</v>
      </c>
      <c r="H751" s="2">
        <v>47</v>
      </c>
      <c r="I751" s="2" t="s">
        <v>1409</v>
      </c>
      <c r="J751" s="2">
        <v>77</v>
      </c>
      <c r="K751" s="2" t="s">
        <v>2517</v>
      </c>
      <c r="L751" s="2" t="s">
        <v>2518</v>
      </c>
      <c r="M751" s="3">
        <v>40238</v>
      </c>
      <c r="N751" s="2" t="s">
        <v>2795</v>
      </c>
      <c r="O751" s="2"/>
      <c r="P751" s="2"/>
      <c r="Q751" s="2" t="str">
        <f>"006 / 2010"</f>
        <v>006 / 2010</v>
      </c>
      <c r="R751" s="2" t="s">
        <v>3036</v>
      </c>
      <c r="S751" s="2" t="s">
        <v>3036</v>
      </c>
      <c r="T751" s="2">
        <v>1</v>
      </c>
      <c r="U751" s="2" t="s">
        <v>79</v>
      </c>
      <c r="V751" s="2">
        <v>1</v>
      </c>
      <c r="W751" s="2" t="s">
        <v>80</v>
      </c>
      <c r="X751" s="2">
        <v>1</v>
      </c>
      <c r="Y751" s="2" t="s">
        <v>81</v>
      </c>
      <c r="Z751" s="2">
        <v>3</v>
      </c>
      <c r="AA751" s="2" t="s">
        <v>257</v>
      </c>
      <c r="AB751" s="2">
        <v>9</v>
      </c>
      <c r="AC751" s="2" t="s">
        <v>124</v>
      </c>
      <c r="AD751" s="2"/>
      <c r="AE751" s="2"/>
      <c r="AF751" s="3">
        <v>40238</v>
      </c>
      <c r="AG751" s="4">
        <v>0.44444444444444442</v>
      </c>
      <c r="AH751" s="2">
        <v>4</v>
      </c>
      <c r="AI751" s="2" t="s">
        <v>125</v>
      </c>
      <c r="AJ751" s="2">
        <v>31</v>
      </c>
      <c r="AK751" s="2" t="s">
        <v>1413</v>
      </c>
      <c r="AL751" s="2">
        <v>9</v>
      </c>
      <c r="AM751" s="2" t="s">
        <v>259</v>
      </c>
      <c r="AN751" s="2" t="s">
        <v>3037</v>
      </c>
      <c r="AO751" s="2"/>
      <c r="AP751" s="2">
        <v>11</v>
      </c>
      <c r="AQ751" s="2" t="s">
        <v>82</v>
      </c>
      <c r="AR751" s="2"/>
      <c r="AS751" s="2"/>
      <c r="AT751" s="2" t="s">
        <v>3038</v>
      </c>
      <c r="AU751" s="2"/>
      <c r="AV751" s="2"/>
      <c r="AW751" s="2"/>
      <c r="AX751" s="2"/>
      <c r="AY751" s="2">
        <v>44</v>
      </c>
      <c r="AZ751" s="2" t="s">
        <v>262</v>
      </c>
      <c r="BA751" s="2">
        <v>44</v>
      </c>
      <c r="BB751" s="2" t="s">
        <v>262</v>
      </c>
      <c r="BC751" s="2">
        <v>44</v>
      </c>
      <c r="BD751" s="2" t="s">
        <v>262</v>
      </c>
      <c r="BE751" s="2">
        <v>41</v>
      </c>
      <c r="BF751" s="2" t="s">
        <v>82</v>
      </c>
      <c r="BG751" s="2"/>
      <c r="BH751" s="2"/>
      <c r="BI751" s="2"/>
      <c r="BJ751" s="2">
        <v>242</v>
      </c>
      <c r="BK751" s="2" t="s">
        <v>107</v>
      </c>
      <c r="BL751" s="2"/>
      <c r="BM751" s="2">
        <v>242</v>
      </c>
      <c r="BN751" s="2" t="s">
        <v>107</v>
      </c>
      <c r="BO751" s="2"/>
      <c r="BP751" s="2">
        <v>242</v>
      </c>
      <c r="BQ751" s="2" t="s">
        <v>107</v>
      </c>
      <c r="BR751" s="2"/>
      <c r="BS751" s="3">
        <v>40238</v>
      </c>
      <c r="BT751" s="4">
        <v>0.57916666666666672</v>
      </c>
    </row>
    <row r="752" spans="1:72" x14ac:dyDescent="0.25">
      <c r="A752" s="2">
        <v>1177</v>
      </c>
      <c r="B752" s="2">
        <v>2010</v>
      </c>
      <c r="C752" s="2" t="s">
        <v>819</v>
      </c>
      <c r="D752" s="2" t="s">
        <v>122</v>
      </c>
      <c r="E752" s="2" t="s">
        <v>3039</v>
      </c>
      <c r="F752" s="2">
        <v>425</v>
      </c>
      <c r="G752" s="2" t="s">
        <v>286</v>
      </c>
      <c r="H752" s="2">
        <v>39</v>
      </c>
      <c r="I752" s="2" t="s">
        <v>1117</v>
      </c>
      <c r="J752" s="2">
        <v>310</v>
      </c>
      <c r="K752" s="2" t="s">
        <v>288</v>
      </c>
      <c r="L752" s="2" t="s">
        <v>289</v>
      </c>
      <c r="M752" s="3">
        <v>40238</v>
      </c>
      <c r="N752" s="2" t="s">
        <v>1882</v>
      </c>
      <c r="O752" s="2"/>
      <c r="P752" s="2"/>
      <c r="Q752" s="2" t="str">
        <f>"017/10"</f>
        <v>017/10</v>
      </c>
      <c r="R752" s="2" t="s">
        <v>822</v>
      </c>
      <c r="S752" s="2"/>
      <c r="T752" s="2">
        <v>1</v>
      </c>
      <c r="U752" s="2" t="s">
        <v>79</v>
      </c>
      <c r="V752" s="2">
        <v>1</v>
      </c>
      <c r="W752" s="2" t="s">
        <v>80</v>
      </c>
      <c r="X752" s="2">
        <v>1</v>
      </c>
      <c r="Y752" s="2" t="s">
        <v>81</v>
      </c>
      <c r="Z752" s="2">
        <v>10</v>
      </c>
      <c r="AA752" s="2" t="s">
        <v>236</v>
      </c>
      <c r="AB752" s="2">
        <v>9</v>
      </c>
      <c r="AC752" s="2" t="s">
        <v>124</v>
      </c>
      <c r="AD752" s="3">
        <v>40238</v>
      </c>
      <c r="AE752" s="4">
        <v>0.41666666666666669</v>
      </c>
      <c r="AF752" s="2"/>
      <c r="AG752" s="2"/>
      <c r="AH752" s="2">
        <v>4</v>
      </c>
      <c r="AI752" s="2" t="s">
        <v>125</v>
      </c>
      <c r="AJ752" s="2">
        <v>29</v>
      </c>
      <c r="AK752" s="2" t="s">
        <v>227</v>
      </c>
      <c r="AL752" s="2">
        <v>10</v>
      </c>
      <c r="AM752" s="2" t="s">
        <v>200</v>
      </c>
      <c r="AN752" s="2" t="s">
        <v>3040</v>
      </c>
      <c r="AO752" s="2" t="s">
        <v>3041</v>
      </c>
      <c r="AP752" s="2">
        <v>12</v>
      </c>
      <c r="AQ752" s="2" t="s">
        <v>322</v>
      </c>
      <c r="AR752" s="2" t="s">
        <v>824</v>
      </c>
      <c r="AS752" s="2" t="s">
        <v>825</v>
      </c>
      <c r="AT752" s="2" t="s">
        <v>3042</v>
      </c>
      <c r="AU752" s="2"/>
      <c r="AV752" s="2"/>
      <c r="AW752" s="2"/>
      <c r="AX752" s="2"/>
      <c r="AY752" s="2">
        <v>41</v>
      </c>
      <c r="AZ752" s="2" t="s">
        <v>82</v>
      </c>
      <c r="BA752" s="2">
        <v>41</v>
      </c>
      <c r="BB752" s="2" t="s">
        <v>82</v>
      </c>
      <c r="BC752" s="2">
        <v>41</v>
      </c>
      <c r="BD752" s="2" t="s">
        <v>82</v>
      </c>
      <c r="BE752" s="2">
        <v>47</v>
      </c>
      <c r="BF752" s="2" t="s">
        <v>167</v>
      </c>
      <c r="BG752" s="2">
        <v>2459</v>
      </c>
      <c r="BH752" s="4">
        <v>0.85069444444444453</v>
      </c>
      <c r="BI752" s="4">
        <v>0.88888888888888884</v>
      </c>
      <c r="BJ752" s="2">
        <v>13</v>
      </c>
      <c r="BK752" s="2" t="s">
        <v>91</v>
      </c>
      <c r="BL752" s="2" t="s">
        <v>828</v>
      </c>
      <c r="BM752" s="2">
        <v>241</v>
      </c>
      <c r="BN752" s="2" t="s">
        <v>82</v>
      </c>
      <c r="BO752" s="2" t="s">
        <v>82</v>
      </c>
      <c r="BP752" s="2">
        <v>13</v>
      </c>
      <c r="BQ752" s="2" t="s">
        <v>91</v>
      </c>
      <c r="BR752" s="2" t="s">
        <v>185</v>
      </c>
      <c r="BS752" s="3">
        <v>40238</v>
      </c>
      <c r="BT752" s="4">
        <v>0.59813657407407406</v>
      </c>
    </row>
    <row r="753" spans="1:72" x14ac:dyDescent="0.25">
      <c r="A753" s="2">
        <v>1180</v>
      </c>
      <c r="B753" s="2">
        <v>2010</v>
      </c>
      <c r="C753" s="2" t="s">
        <v>806</v>
      </c>
      <c r="D753" s="2" t="s">
        <v>73</v>
      </c>
      <c r="E753" s="2"/>
      <c r="F753" s="2">
        <v>11</v>
      </c>
      <c r="G753" s="2" t="s">
        <v>2454</v>
      </c>
      <c r="H753" s="2">
        <v>57</v>
      </c>
      <c r="I753" s="2" t="s">
        <v>3043</v>
      </c>
      <c r="J753" s="2">
        <v>19</v>
      </c>
      <c r="K753" s="2" t="s">
        <v>2144</v>
      </c>
      <c r="L753" s="2" t="s">
        <v>2145</v>
      </c>
      <c r="M753" s="3">
        <v>40238</v>
      </c>
      <c r="N753" s="2" t="s">
        <v>2931</v>
      </c>
      <c r="O753" s="2" t="s">
        <v>3044</v>
      </c>
      <c r="P753" s="7">
        <v>20219</v>
      </c>
      <c r="Q753" s="2" t="str">
        <f>"06/10"</f>
        <v>06/10</v>
      </c>
      <c r="R753" s="2" t="s">
        <v>82</v>
      </c>
      <c r="S753" s="2" t="s">
        <v>82</v>
      </c>
      <c r="T753" s="2">
        <v>1</v>
      </c>
      <c r="U753" s="2" t="s">
        <v>79</v>
      </c>
      <c r="V753" s="2">
        <v>3</v>
      </c>
      <c r="W753" s="2" t="s">
        <v>225</v>
      </c>
      <c r="X753" s="2">
        <v>8</v>
      </c>
      <c r="Y753" s="2" t="s">
        <v>375</v>
      </c>
      <c r="Z753" s="2">
        <v>1</v>
      </c>
      <c r="AA753" s="2" t="s">
        <v>82</v>
      </c>
      <c r="AB753" s="2">
        <v>9</v>
      </c>
      <c r="AC753" s="2" t="s">
        <v>124</v>
      </c>
      <c r="AD753" s="2"/>
      <c r="AE753" s="2"/>
      <c r="AF753" s="2"/>
      <c r="AG753" s="2"/>
      <c r="AH753" s="2">
        <v>3</v>
      </c>
      <c r="AI753" s="2" t="s">
        <v>214</v>
      </c>
      <c r="AJ753" s="2">
        <v>14</v>
      </c>
      <c r="AK753" s="2" t="s">
        <v>342</v>
      </c>
      <c r="AL753" s="2">
        <v>23</v>
      </c>
      <c r="AM753" s="2" t="s">
        <v>251</v>
      </c>
      <c r="AN753" s="2" t="s">
        <v>82</v>
      </c>
      <c r="AO753" s="2" t="s">
        <v>3045</v>
      </c>
      <c r="AP753" s="2">
        <v>11</v>
      </c>
      <c r="AQ753" s="2" t="s">
        <v>82</v>
      </c>
      <c r="AR753" s="2"/>
      <c r="AS753" s="2"/>
      <c r="AT753" s="2" t="s">
        <v>3046</v>
      </c>
      <c r="AU753" s="2"/>
      <c r="AV753" s="2"/>
      <c r="AW753" s="2"/>
      <c r="AX753" s="2"/>
      <c r="AY753" s="2">
        <v>1</v>
      </c>
      <c r="AZ753" s="2" t="s">
        <v>107</v>
      </c>
      <c r="BA753" s="2">
        <v>1</v>
      </c>
      <c r="BB753" s="2" t="s">
        <v>107</v>
      </c>
      <c r="BC753" s="2">
        <v>1</v>
      </c>
      <c r="BD753" s="2" t="s">
        <v>107</v>
      </c>
      <c r="BE753" s="2">
        <v>41</v>
      </c>
      <c r="BF753" s="2" t="s">
        <v>82</v>
      </c>
      <c r="BG753" s="2"/>
      <c r="BH753" s="2"/>
      <c r="BI753" s="2"/>
      <c r="BJ753" s="2">
        <v>242</v>
      </c>
      <c r="BK753" s="2" t="s">
        <v>107</v>
      </c>
      <c r="BL753" s="2"/>
      <c r="BM753" s="2">
        <v>242</v>
      </c>
      <c r="BN753" s="2" t="s">
        <v>107</v>
      </c>
      <c r="BO753" s="2"/>
      <c r="BP753" s="2">
        <v>242</v>
      </c>
      <c r="BQ753" s="2" t="s">
        <v>107</v>
      </c>
      <c r="BR753" s="2"/>
      <c r="BS753" s="3">
        <v>40238</v>
      </c>
      <c r="BT753" s="4">
        <v>0.63309027777777771</v>
      </c>
    </row>
    <row r="754" spans="1:72" x14ac:dyDescent="0.25">
      <c r="A754" s="2">
        <v>1181</v>
      </c>
      <c r="B754" s="2">
        <v>2010</v>
      </c>
      <c r="C754" s="2" t="s">
        <v>196</v>
      </c>
      <c r="D754" s="2" t="s">
        <v>122</v>
      </c>
      <c r="E754" s="2"/>
      <c r="F754" s="2">
        <v>1</v>
      </c>
      <c r="G754" s="2" t="s">
        <v>82</v>
      </c>
      <c r="H754" s="2">
        <v>1</v>
      </c>
      <c r="I754" s="2" t="s">
        <v>82</v>
      </c>
      <c r="J754" s="2">
        <v>1</v>
      </c>
      <c r="K754" s="2" t="s">
        <v>107</v>
      </c>
      <c r="L754" s="2" t="s">
        <v>107</v>
      </c>
      <c r="M754" s="3">
        <v>40238</v>
      </c>
      <c r="N754" s="2"/>
      <c r="O754" s="2"/>
      <c r="P754" s="2"/>
      <c r="Q754" s="2" t="str">
        <f>""</f>
        <v/>
      </c>
      <c r="R754" s="2"/>
      <c r="S754" s="2"/>
      <c r="T754" s="2">
        <v>2</v>
      </c>
      <c r="U754" s="2" t="s">
        <v>123</v>
      </c>
      <c r="V754" s="2">
        <v>1</v>
      </c>
      <c r="W754" s="2" t="s">
        <v>80</v>
      </c>
      <c r="X754" s="2">
        <v>1</v>
      </c>
      <c r="Y754" s="2" t="s">
        <v>81</v>
      </c>
      <c r="Z754" s="2">
        <v>10</v>
      </c>
      <c r="AA754" s="2" t="s">
        <v>236</v>
      </c>
      <c r="AB754" s="2">
        <v>9</v>
      </c>
      <c r="AC754" s="2" t="s">
        <v>124</v>
      </c>
      <c r="AD754" s="3">
        <v>40238</v>
      </c>
      <c r="AE754" s="4">
        <v>0.5</v>
      </c>
      <c r="AF754" s="2"/>
      <c r="AG754" s="2"/>
      <c r="AH754" s="2">
        <v>2</v>
      </c>
      <c r="AI754" s="2" t="s">
        <v>84</v>
      </c>
      <c r="AJ754" s="2">
        <v>12</v>
      </c>
      <c r="AK754" s="2" t="s">
        <v>85</v>
      </c>
      <c r="AL754" s="2">
        <v>20</v>
      </c>
      <c r="AM754" s="2" t="s">
        <v>992</v>
      </c>
      <c r="AN754" s="2" t="s">
        <v>992</v>
      </c>
      <c r="AO754" s="2"/>
      <c r="AP754" s="2">
        <v>11</v>
      </c>
      <c r="AQ754" s="2" t="s">
        <v>82</v>
      </c>
      <c r="AR754" s="2"/>
      <c r="AS754" s="2"/>
      <c r="AT754" s="2" t="s">
        <v>3047</v>
      </c>
      <c r="AU754" s="2"/>
      <c r="AV754" s="2"/>
      <c r="AW754" s="2"/>
      <c r="AX754" s="2"/>
      <c r="AY754" s="2">
        <v>41</v>
      </c>
      <c r="AZ754" s="2" t="s">
        <v>82</v>
      </c>
      <c r="BA754" s="2">
        <v>41</v>
      </c>
      <c r="BB754" s="2" t="s">
        <v>82</v>
      </c>
      <c r="BC754" s="2">
        <v>41</v>
      </c>
      <c r="BD754" s="2" t="s">
        <v>82</v>
      </c>
      <c r="BE754" s="2">
        <v>41</v>
      </c>
      <c r="BF754" s="2" t="s">
        <v>82</v>
      </c>
      <c r="BG754" s="2"/>
      <c r="BH754" s="2"/>
      <c r="BI754" s="2"/>
      <c r="BJ754" s="2">
        <v>13</v>
      </c>
      <c r="BK754" s="2" t="s">
        <v>91</v>
      </c>
      <c r="BL754" s="2" t="s">
        <v>185</v>
      </c>
      <c r="BM754" s="2">
        <v>241</v>
      </c>
      <c r="BN754" s="2" t="s">
        <v>82</v>
      </c>
      <c r="BO754" s="2"/>
      <c r="BP754" s="2">
        <v>229</v>
      </c>
      <c r="BQ754" s="2" t="s">
        <v>300</v>
      </c>
      <c r="BR754" s="2" t="s">
        <v>573</v>
      </c>
      <c r="BS754" s="3">
        <v>40238</v>
      </c>
      <c r="BT754" s="4">
        <v>0.66952546296296289</v>
      </c>
    </row>
    <row r="755" spans="1:72" x14ac:dyDescent="0.25">
      <c r="A755" s="2">
        <v>1182</v>
      </c>
      <c r="B755" s="2">
        <v>2010</v>
      </c>
      <c r="C755" s="2" t="s">
        <v>806</v>
      </c>
      <c r="D755" s="2" t="s">
        <v>73</v>
      </c>
      <c r="E755" s="2"/>
      <c r="F755" s="2">
        <v>11</v>
      </c>
      <c r="G755" s="2" t="s">
        <v>2454</v>
      </c>
      <c r="H755" s="2">
        <v>4</v>
      </c>
      <c r="I755" s="2" t="s">
        <v>173</v>
      </c>
      <c r="J755" s="2">
        <v>19</v>
      </c>
      <c r="K755" s="2" t="s">
        <v>2144</v>
      </c>
      <c r="L755" s="2" t="s">
        <v>2145</v>
      </c>
      <c r="M755" s="3">
        <v>40238</v>
      </c>
      <c r="N755" s="2" t="s">
        <v>3048</v>
      </c>
      <c r="O755" s="2" t="s">
        <v>3049</v>
      </c>
      <c r="P755" s="7">
        <v>20219</v>
      </c>
      <c r="Q755" s="2" t="str">
        <f>"06/10"</f>
        <v>06/10</v>
      </c>
      <c r="R755" s="2" t="s">
        <v>82</v>
      </c>
      <c r="S755" s="2" t="s">
        <v>82</v>
      </c>
      <c r="T755" s="2">
        <v>1</v>
      </c>
      <c r="U755" s="2" t="s">
        <v>79</v>
      </c>
      <c r="V755" s="2">
        <v>1</v>
      </c>
      <c r="W755" s="2" t="s">
        <v>80</v>
      </c>
      <c r="X755" s="2">
        <v>4</v>
      </c>
      <c r="Y755" s="2" t="s">
        <v>463</v>
      </c>
      <c r="Z755" s="2">
        <v>1</v>
      </c>
      <c r="AA755" s="2" t="s">
        <v>82</v>
      </c>
      <c r="AB755" s="2">
        <v>9</v>
      </c>
      <c r="AC755" s="2" t="s">
        <v>124</v>
      </c>
      <c r="AD755" s="3">
        <v>40238</v>
      </c>
      <c r="AE755" s="4">
        <v>0.625</v>
      </c>
      <c r="AF755" s="2"/>
      <c r="AG755" s="2"/>
      <c r="AH755" s="2">
        <v>3</v>
      </c>
      <c r="AI755" s="2" t="s">
        <v>214</v>
      </c>
      <c r="AJ755" s="2">
        <v>14</v>
      </c>
      <c r="AK755" s="2" t="s">
        <v>342</v>
      </c>
      <c r="AL755" s="2">
        <v>18</v>
      </c>
      <c r="AM755" s="2" t="s">
        <v>82</v>
      </c>
      <c r="AN755" s="2"/>
      <c r="AO755" s="2" t="s">
        <v>3050</v>
      </c>
      <c r="AP755" s="2">
        <v>11</v>
      </c>
      <c r="AQ755" s="2" t="s">
        <v>82</v>
      </c>
      <c r="AR755" s="2"/>
      <c r="AS755" s="2"/>
      <c r="AT755" s="2" t="s">
        <v>3051</v>
      </c>
      <c r="AU755" s="2">
        <v>1</v>
      </c>
      <c r="AV755" s="2"/>
      <c r="AW755" s="2"/>
      <c r="AX755" s="2"/>
      <c r="AY755" s="2">
        <v>1</v>
      </c>
      <c r="AZ755" s="2" t="s">
        <v>107</v>
      </c>
      <c r="BA755" s="2">
        <v>1</v>
      </c>
      <c r="BB755" s="2" t="s">
        <v>107</v>
      </c>
      <c r="BC755" s="2">
        <v>1</v>
      </c>
      <c r="BD755" s="2" t="s">
        <v>107</v>
      </c>
      <c r="BE755" s="2">
        <v>41</v>
      </c>
      <c r="BF755" s="2" t="s">
        <v>82</v>
      </c>
      <c r="BG755" s="2"/>
      <c r="BH755" s="2"/>
      <c r="BI755" s="2"/>
      <c r="BJ755" s="2">
        <v>242</v>
      </c>
      <c r="BK755" s="2" t="s">
        <v>107</v>
      </c>
      <c r="BL755" s="2"/>
      <c r="BM755" s="2">
        <v>242</v>
      </c>
      <c r="BN755" s="2" t="s">
        <v>107</v>
      </c>
      <c r="BO755" s="2"/>
      <c r="BP755" s="2">
        <v>242</v>
      </c>
      <c r="BQ755" s="2" t="s">
        <v>107</v>
      </c>
      <c r="BR755" s="2"/>
      <c r="BS755" s="3">
        <v>40238</v>
      </c>
      <c r="BT755" s="4">
        <v>0.70797453703703705</v>
      </c>
    </row>
    <row r="756" spans="1:72" x14ac:dyDescent="0.25">
      <c r="A756" s="2">
        <v>1183</v>
      </c>
      <c r="B756" s="2">
        <v>2010</v>
      </c>
      <c r="C756" s="2" t="s">
        <v>72</v>
      </c>
      <c r="D756" s="2" t="s">
        <v>73</v>
      </c>
      <c r="E756" s="2"/>
      <c r="F756" s="2">
        <v>285</v>
      </c>
      <c r="G756" s="2" t="s">
        <v>1949</v>
      </c>
      <c r="H756" s="2">
        <v>2</v>
      </c>
      <c r="I756" s="2" t="s">
        <v>267</v>
      </c>
      <c r="J756" s="2">
        <v>137</v>
      </c>
      <c r="K756" s="2" t="s">
        <v>3052</v>
      </c>
      <c r="L756" s="2" t="s">
        <v>317</v>
      </c>
      <c r="M756" s="3">
        <v>40238</v>
      </c>
      <c r="N756" s="2" t="s">
        <v>3053</v>
      </c>
      <c r="O756" s="2" t="s">
        <v>107</v>
      </c>
      <c r="P756" s="2" t="s">
        <v>107</v>
      </c>
      <c r="Q756" s="2" t="str">
        <f>"0001_10_RH"</f>
        <v>0001_10_RH</v>
      </c>
      <c r="R756" s="2" t="s">
        <v>3054</v>
      </c>
      <c r="S756" s="2" t="s">
        <v>3055</v>
      </c>
      <c r="T756" s="2">
        <v>1</v>
      </c>
      <c r="U756" s="2" t="s">
        <v>79</v>
      </c>
      <c r="V756" s="2">
        <v>1</v>
      </c>
      <c r="W756" s="2" t="s">
        <v>80</v>
      </c>
      <c r="X756" s="2">
        <v>5</v>
      </c>
      <c r="Y756" s="2" t="s">
        <v>82</v>
      </c>
      <c r="Z756" s="2">
        <v>1</v>
      </c>
      <c r="AA756" s="2" t="s">
        <v>82</v>
      </c>
      <c r="AB756" s="2">
        <v>6</v>
      </c>
      <c r="AC756" s="2" t="s">
        <v>83</v>
      </c>
      <c r="AD756" s="3">
        <v>40236</v>
      </c>
      <c r="AE756" s="4">
        <v>0.95833333333333337</v>
      </c>
      <c r="AF756" s="3">
        <v>40238</v>
      </c>
      <c r="AG756" s="4">
        <v>0.45833333333333331</v>
      </c>
      <c r="AH756" s="2">
        <v>6</v>
      </c>
      <c r="AI756" s="2" t="s">
        <v>197</v>
      </c>
      <c r="AJ756" s="2">
        <v>58</v>
      </c>
      <c r="AK756" s="2" t="s">
        <v>406</v>
      </c>
      <c r="AL756" s="2">
        <v>2</v>
      </c>
      <c r="AM756" s="2" t="s">
        <v>163</v>
      </c>
      <c r="AN756" s="2" t="s">
        <v>3056</v>
      </c>
      <c r="AO756" s="2" t="s">
        <v>82</v>
      </c>
      <c r="AP756" s="2">
        <v>11</v>
      </c>
      <c r="AQ756" s="2" t="s">
        <v>82</v>
      </c>
      <c r="AR756" s="2"/>
      <c r="AS756" s="2"/>
      <c r="AT756" s="2" t="s">
        <v>3057</v>
      </c>
      <c r="AU756" s="2"/>
      <c r="AV756" s="2"/>
      <c r="AW756" s="2"/>
      <c r="AX756" s="2"/>
      <c r="AY756" s="2">
        <v>41</v>
      </c>
      <c r="AZ756" s="2" t="s">
        <v>82</v>
      </c>
      <c r="BA756" s="2">
        <v>41</v>
      </c>
      <c r="BB756" s="2" t="s">
        <v>82</v>
      </c>
      <c r="BC756" s="2">
        <v>41</v>
      </c>
      <c r="BD756" s="2" t="s">
        <v>82</v>
      </c>
      <c r="BE756" s="2">
        <v>13</v>
      </c>
      <c r="BF756" s="2" t="s">
        <v>108</v>
      </c>
      <c r="BG756" s="2">
        <v>2882</v>
      </c>
      <c r="BH756" s="4">
        <v>9.375E-2</v>
      </c>
      <c r="BI756" s="4">
        <v>0.14583333333333334</v>
      </c>
      <c r="BJ756" s="2">
        <v>13</v>
      </c>
      <c r="BK756" s="2" t="s">
        <v>91</v>
      </c>
      <c r="BL756" s="2" t="s">
        <v>185</v>
      </c>
      <c r="BM756" s="2">
        <v>13</v>
      </c>
      <c r="BN756" s="2" t="s">
        <v>91</v>
      </c>
      <c r="BO756" s="2" t="s">
        <v>82</v>
      </c>
      <c r="BP756" s="2">
        <v>13</v>
      </c>
      <c r="BQ756" s="2" t="s">
        <v>91</v>
      </c>
      <c r="BR756" s="2" t="s">
        <v>492</v>
      </c>
      <c r="BS756" s="3">
        <v>40238</v>
      </c>
      <c r="BT756" s="4">
        <v>0.739375</v>
      </c>
    </row>
    <row r="757" spans="1:72" x14ac:dyDescent="0.25">
      <c r="A757" s="2">
        <v>1184</v>
      </c>
      <c r="B757" s="2">
        <v>2010</v>
      </c>
      <c r="C757" s="2" t="s">
        <v>171</v>
      </c>
      <c r="D757" s="2" t="s">
        <v>122</v>
      </c>
      <c r="E757" s="2" t="s">
        <v>3058</v>
      </c>
      <c r="F757" s="2">
        <v>158</v>
      </c>
      <c r="G757" s="2" t="s">
        <v>3026</v>
      </c>
      <c r="H757" s="2">
        <v>16</v>
      </c>
      <c r="I757" s="2" t="s">
        <v>3027</v>
      </c>
      <c r="J757" s="2">
        <v>451</v>
      </c>
      <c r="K757" s="2" t="s">
        <v>3028</v>
      </c>
      <c r="L757" s="2" t="s">
        <v>3029</v>
      </c>
      <c r="M757" s="3">
        <v>40238</v>
      </c>
      <c r="N757" s="2" t="s">
        <v>3030</v>
      </c>
      <c r="O757" s="2"/>
      <c r="P757" s="2"/>
      <c r="Q757" s="2" t="str">
        <f>"077-A/10"</f>
        <v>077-A/10</v>
      </c>
      <c r="R757" s="2" t="s">
        <v>1035</v>
      </c>
      <c r="S757" s="2"/>
      <c r="T757" s="2">
        <v>1</v>
      </c>
      <c r="U757" s="2" t="s">
        <v>79</v>
      </c>
      <c r="V757" s="2">
        <v>1</v>
      </c>
      <c r="W757" s="2" t="s">
        <v>80</v>
      </c>
      <c r="X757" s="2">
        <v>1</v>
      </c>
      <c r="Y757" s="2" t="s">
        <v>81</v>
      </c>
      <c r="Z757" s="2">
        <v>1</v>
      </c>
      <c r="AA757" s="2" t="s">
        <v>82</v>
      </c>
      <c r="AB757" s="2">
        <v>1</v>
      </c>
      <c r="AC757" s="2" t="s">
        <v>178</v>
      </c>
      <c r="AD757" s="3">
        <v>40238</v>
      </c>
      <c r="AE757" s="4">
        <v>0.24652777777777779</v>
      </c>
      <c r="AF757" s="2"/>
      <c r="AG757" s="2"/>
      <c r="AH757" s="2">
        <v>2</v>
      </c>
      <c r="AI757" s="2" t="s">
        <v>84</v>
      </c>
      <c r="AJ757" s="2">
        <v>12</v>
      </c>
      <c r="AK757" s="2" t="s">
        <v>85</v>
      </c>
      <c r="AL757" s="2">
        <v>11</v>
      </c>
      <c r="AM757" s="2" t="s">
        <v>137</v>
      </c>
      <c r="AN757" s="2" t="s">
        <v>3031</v>
      </c>
      <c r="AO757" s="2" t="s">
        <v>3059</v>
      </c>
      <c r="AP757" s="2">
        <v>11</v>
      </c>
      <c r="AQ757" s="2" t="s">
        <v>82</v>
      </c>
      <c r="AR757" s="2"/>
      <c r="AS757" s="2"/>
      <c r="AT757" s="2" t="s">
        <v>3060</v>
      </c>
      <c r="AU757" s="2">
        <v>1</v>
      </c>
      <c r="AV757" s="2"/>
      <c r="AW757" s="2"/>
      <c r="AX757" s="2"/>
      <c r="AY757" s="2">
        <v>41</v>
      </c>
      <c r="AZ757" s="2" t="s">
        <v>82</v>
      </c>
      <c r="BA757" s="2">
        <v>41</v>
      </c>
      <c r="BB757" s="2" t="s">
        <v>82</v>
      </c>
      <c r="BC757" s="2">
        <v>41</v>
      </c>
      <c r="BD757" s="2" t="s">
        <v>82</v>
      </c>
      <c r="BE757" s="2">
        <v>13</v>
      </c>
      <c r="BF757" s="2" t="s">
        <v>108</v>
      </c>
      <c r="BG757" s="2" t="s">
        <v>3061</v>
      </c>
      <c r="BH757" s="4">
        <v>0.33333333333333331</v>
      </c>
      <c r="BI757" s="4">
        <v>0.25</v>
      </c>
      <c r="BJ757" s="2">
        <v>13</v>
      </c>
      <c r="BK757" s="2" t="s">
        <v>91</v>
      </c>
      <c r="BL757" s="2" t="s">
        <v>1040</v>
      </c>
      <c r="BM757" s="2">
        <v>241</v>
      </c>
      <c r="BN757" s="2" t="s">
        <v>82</v>
      </c>
      <c r="BO757" s="2"/>
      <c r="BP757" s="2">
        <v>13</v>
      </c>
      <c r="BQ757" s="2" t="s">
        <v>91</v>
      </c>
      <c r="BR757" s="2" t="s">
        <v>2865</v>
      </c>
      <c r="BS757" s="3">
        <v>40238</v>
      </c>
      <c r="BT757" s="4">
        <v>0.77175925925925926</v>
      </c>
    </row>
    <row r="758" spans="1:72" x14ac:dyDescent="0.25">
      <c r="A758" s="2">
        <v>1185</v>
      </c>
      <c r="B758" s="2">
        <v>2010</v>
      </c>
      <c r="C758" s="2" t="s">
        <v>196</v>
      </c>
      <c r="D758" s="2" t="s">
        <v>122</v>
      </c>
      <c r="E758" s="2" t="s">
        <v>3062</v>
      </c>
      <c r="F758" s="2">
        <v>1</v>
      </c>
      <c r="G758" s="2" t="s">
        <v>82</v>
      </c>
      <c r="H758" s="2">
        <v>1</v>
      </c>
      <c r="I758" s="2" t="s">
        <v>82</v>
      </c>
      <c r="J758" s="2">
        <v>1</v>
      </c>
      <c r="K758" s="2" t="s">
        <v>107</v>
      </c>
      <c r="L758" s="2" t="s">
        <v>107</v>
      </c>
      <c r="M758" s="3">
        <v>40238</v>
      </c>
      <c r="N758" s="2"/>
      <c r="O758" s="2"/>
      <c r="P758" s="2"/>
      <c r="Q758" s="2" t="str">
        <f>""</f>
        <v/>
      </c>
      <c r="R758" s="2"/>
      <c r="S758" s="2"/>
      <c r="T758" s="2">
        <v>2</v>
      </c>
      <c r="U758" s="2" t="s">
        <v>123</v>
      </c>
      <c r="V758" s="2">
        <v>1</v>
      </c>
      <c r="W758" s="2" t="s">
        <v>80</v>
      </c>
      <c r="X758" s="2">
        <v>1</v>
      </c>
      <c r="Y758" s="2" t="s">
        <v>81</v>
      </c>
      <c r="Z758" s="2">
        <v>10</v>
      </c>
      <c r="AA758" s="2" t="s">
        <v>236</v>
      </c>
      <c r="AB758" s="2">
        <v>9</v>
      </c>
      <c r="AC758" s="2" t="s">
        <v>124</v>
      </c>
      <c r="AD758" s="3">
        <v>40238</v>
      </c>
      <c r="AE758" s="4">
        <v>0.70833333333333337</v>
      </c>
      <c r="AF758" s="2"/>
      <c r="AG758" s="2"/>
      <c r="AH758" s="2">
        <v>2</v>
      </c>
      <c r="AI758" s="2" t="s">
        <v>84</v>
      </c>
      <c r="AJ758" s="2">
        <v>12</v>
      </c>
      <c r="AK758" s="2" t="s">
        <v>85</v>
      </c>
      <c r="AL758" s="2">
        <v>20</v>
      </c>
      <c r="AM758" s="2" t="s">
        <v>992</v>
      </c>
      <c r="AN758" s="2" t="s">
        <v>992</v>
      </c>
      <c r="AO758" s="2"/>
      <c r="AP758" s="2">
        <v>11</v>
      </c>
      <c r="AQ758" s="2" t="s">
        <v>82</v>
      </c>
      <c r="AR758" s="2"/>
      <c r="AS758" s="2"/>
      <c r="AT758" s="2" t="s">
        <v>3063</v>
      </c>
      <c r="AU758" s="2"/>
      <c r="AV758" s="2"/>
      <c r="AW758" s="2"/>
      <c r="AX758" s="2"/>
      <c r="AY758" s="2">
        <v>41</v>
      </c>
      <c r="AZ758" s="2" t="s">
        <v>82</v>
      </c>
      <c r="BA758" s="2">
        <v>41</v>
      </c>
      <c r="BB758" s="2" t="s">
        <v>82</v>
      </c>
      <c r="BC758" s="2">
        <v>41</v>
      </c>
      <c r="BD758" s="2" t="s">
        <v>82</v>
      </c>
      <c r="BE758" s="2">
        <v>41</v>
      </c>
      <c r="BF758" s="2" t="s">
        <v>82</v>
      </c>
      <c r="BG758" s="2"/>
      <c r="BH758" s="2"/>
      <c r="BI758" s="2"/>
      <c r="BJ758" s="2">
        <v>229</v>
      </c>
      <c r="BK758" s="2" t="s">
        <v>300</v>
      </c>
      <c r="BL758" s="2" t="s">
        <v>573</v>
      </c>
      <c r="BM758" s="2">
        <v>241</v>
      </c>
      <c r="BN758" s="2" t="s">
        <v>82</v>
      </c>
      <c r="BO758" s="2"/>
      <c r="BP758" s="2">
        <v>13</v>
      </c>
      <c r="BQ758" s="2" t="s">
        <v>91</v>
      </c>
      <c r="BR758" s="2" t="s">
        <v>185</v>
      </c>
      <c r="BS758" s="3">
        <v>40238</v>
      </c>
      <c r="BT758" s="4">
        <v>0.85515046296296304</v>
      </c>
    </row>
    <row r="759" spans="1:72" x14ac:dyDescent="0.25">
      <c r="A759" s="2">
        <v>1186</v>
      </c>
      <c r="B759" s="2">
        <v>2010</v>
      </c>
      <c r="C759" s="2" t="s">
        <v>385</v>
      </c>
      <c r="D759" s="2" t="s">
        <v>73</v>
      </c>
      <c r="E759" s="2"/>
      <c r="F759" s="2">
        <v>11</v>
      </c>
      <c r="G759" s="2" t="s">
        <v>2454</v>
      </c>
      <c r="H759" s="2">
        <v>4</v>
      </c>
      <c r="I759" s="2" t="s">
        <v>173</v>
      </c>
      <c r="J759" s="2">
        <v>19</v>
      </c>
      <c r="K759" s="2" t="s">
        <v>2144</v>
      </c>
      <c r="L759" s="2" t="s">
        <v>2145</v>
      </c>
      <c r="M759" s="3">
        <v>40238</v>
      </c>
      <c r="N759" s="2" t="s">
        <v>3064</v>
      </c>
      <c r="O759" s="2" t="s">
        <v>3044</v>
      </c>
      <c r="P759" s="2" t="s">
        <v>3065</v>
      </c>
      <c r="Q759" s="2" t="str">
        <f>"06/10"</f>
        <v>06/10</v>
      </c>
      <c r="R759" s="2"/>
      <c r="S759" s="2"/>
      <c r="T759" s="2">
        <v>1</v>
      </c>
      <c r="U759" s="2" t="s">
        <v>79</v>
      </c>
      <c r="V759" s="2">
        <v>1</v>
      </c>
      <c r="W759" s="2" t="s">
        <v>80</v>
      </c>
      <c r="X759" s="2">
        <v>5</v>
      </c>
      <c r="Y759" s="2" t="s">
        <v>82</v>
      </c>
      <c r="Z759" s="2">
        <v>1</v>
      </c>
      <c r="AA759" s="2" t="s">
        <v>82</v>
      </c>
      <c r="AB759" s="2">
        <v>9</v>
      </c>
      <c r="AC759" s="2" t="s">
        <v>124</v>
      </c>
      <c r="AD759" s="3">
        <v>40238</v>
      </c>
      <c r="AE759" s="4">
        <v>0.75</v>
      </c>
      <c r="AF759" s="2"/>
      <c r="AG759" s="2"/>
      <c r="AH759" s="2">
        <v>3</v>
      </c>
      <c r="AI759" s="2" t="s">
        <v>214</v>
      </c>
      <c r="AJ759" s="2">
        <v>24</v>
      </c>
      <c r="AK759" s="2" t="s">
        <v>215</v>
      </c>
      <c r="AL759" s="2">
        <v>18</v>
      </c>
      <c r="AM759" s="2" t="s">
        <v>82</v>
      </c>
      <c r="AN759" s="2"/>
      <c r="AO759" s="2"/>
      <c r="AP759" s="2">
        <v>11</v>
      </c>
      <c r="AQ759" s="2" t="s">
        <v>82</v>
      </c>
      <c r="AR759" s="2"/>
      <c r="AS759" s="2"/>
      <c r="AT759" s="2" t="s">
        <v>3066</v>
      </c>
      <c r="AU759" s="2">
        <v>1</v>
      </c>
      <c r="AV759" s="2"/>
      <c r="AW759" s="2"/>
      <c r="AX759" s="2"/>
      <c r="AY759" s="2">
        <v>41</v>
      </c>
      <c r="AZ759" s="2" t="s">
        <v>82</v>
      </c>
      <c r="BA759" s="2">
        <v>41</v>
      </c>
      <c r="BB759" s="2" t="s">
        <v>82</v>
      </c>
      <c r="BC759" s="2">
        <v>41</v>
      </c>
      <c r="BD759" s="2" t="s">
        <v>82</v>
      </c>
      <c r="BE759" s="2">
        <v>41</v>
      </c>
      <c r="BF759" s="2" t="s">
        <v>82</v>
      </c>
      <c r="BG759" s="2"/>
      <c r="BH759" s="2"/>
      <c r="BI759" s="2"/>
      <c r="BJ759" s="2">
        <v>241</v>
      </c>
      <c r="BK759" s="2" t="s">
        <v>82</v>
      </c>
      <c r="BL759" s="2"/>
      <c r="BM759" s="2">
        <v>241</v>
      </c>
      <c r="BN759" s="2" t="s">
        <v>82</v>
      </c>
      <c r="BO759" s="2"/>
      <c r="BP759" s="2">
        <v>241</v>
      </c>
      <c r="BQ759" s="2" t="s">
        <v>82</v>
      </c>
      <c r="BR759" s="2"/>
      <c r="BS759" s="3">
        <v>40238</v>
      </c>
      <c r="BT759" s="4">
        <v>0.89703703703703708</v>
      </c>
    </row>
    <row r="760" spans="1:72" x14ac:dyDescent="0.25">
      <c r="A760" s="2">
        <v>1187</v>
      </c>
      <c r="B760" s="2">
        <v>2010</v>
      </c>
      <c r="C760" s="2" t="s">
        <v>819</v>
      </c>
      <c r="D760" s="2" t="s">
        <v>122</v>
      </c>
      <c r="E760" s="2"/>
      <c r="F760" s="2">
        <v>451</v>
      </c>
      <c r="G760" s="2" t="s">
        <v>879</v>
      </c>
      <c r="H760" s="2">
        <v>31</v>
      </c>
      <c r="I760" s="2" t="s">
        <v>880</v>
      </c>
      <c r="J760" s="2">
        <v>326</v>
      </c>
      <c r="K760" s="2" t="s">
        <v>881</v>
      </c>
      <c r="L760" s="2" t="s">
        <v>882</v>
      </c>
      <c r="M760" s="3">
        <v>40238</v>
      </c>
      <c r="N760" s="2" t="s">
        <v>1072</v>
      </c>
      <c r="O760" s="2"/>
      <c r="P760" s="2"/>
      <c r="Q760" s="2" t="str">
        <f>"018/10"</f>
        <v>018/10</v>
      </c>
      <c r="R760" s="2"/>
      <c r="S760" s="2" t="s">
        <v>822</v>
      </c>
      <c r="T760" s="2">
        <v>1</v>
      </c>
      <c r="U760" s="2" t="s">
        <v>79</v>
      </c>
      <c r="V760" s="2">
        <v>1</v>
      </c>
      <c r="W760" s="2" t="s">
        <v>80</v>
      </c>
      <c r="X760" s="2">
        <v>1</v>
      </c>
      <c r="Y760" s="2" t="s">
        <v>81</v>
      </c>
      <c r="Z760" s="2">
        <v>10</v>
      </c>
      <c r="AA760" s="2" t="s">
        <v>236</v>
      </c>
      <c r="AB760" s="2">
        <v>9</v>
      </c>
      <c r="AC760" s="2" t="s">
        <v>124</v>
      </c>
      <c r="AD760" s="3">
        <v>40238</v>
      </c>
      <c r="AE760" s="4">
        <v>0.84722222222222221</v>
      </c>
      <c r="AF760" s="2"/>
      <c r="AG760" s="2"/>
      <c r="AH760" s="2">
        <v>4</v>
      </c>
      <c r="AI760" s="2" t="s">
        <v>125</v>
      </c>
      <c r="AJ760" s="2">
        <v>29</v>
      </c>
      <c r="AK760" s="2" t="s">
        <v>227</v>
      </c>
      <c r="AL760" s="2">
        <v>10</v>
      </c>
      <c r="AM760" s="2" t="s">
        <v>200</v>
      </c>
      <c r="AN760" s="2" t="s">
        <v>1015</v>
      </c>
      <c r="AO760" s="2" t="s">
        <v>200</v>
      </c>
      <c r="AP760" s="2">
        <v>12</v>
      </c>
      <c r="AQ760" s="2" t="s">
        <v>322</v>
      </c>
      <c r="AR760" s="2" t="s">
        <v>824</v>
      </c>
      <c r="AS760" s="2" t="s">
        <v>825</v>
      </c>
      <c r="AT760" s="2" t="s">
        <v>3067</v>
      </c>
      <c r="AU760" s="2"/>
      <c r="AV760" s="2"/>
      <c r="AW760" s="2"/>
      <c r="AX760" s="2"/>
      <c r="AY760" s="2">
        <v>41</v>
      </c>
      <c r="AZ760" s="2" t="s">
        <v>82</v>
      </c>
      <c r="BA760" s="2">
        <v>41</v>
      </c>
      <c r="BB760" s="2" t="s">
        <v>82</v>
      </c>
      <c r="BC760" s="2">
        <v>41</v>
      </c>
      <c r="BD760" s="2" t="s">
        <v>82</v>
      </c>
      <c r="BE760" s="2">
        <v>47</v>
      </c>
      <c r="BF760" s="2" t="s">
        <v>167</v>
      </c>
      <c r="BG760" s="2">
        <v>2459</v>
      </c>
      <c r="BH760" s="4">
        <v>0.84375</v>
      </c>
      <c r="BI760" s="4">
        <v>0.87847222222222221</v>
      </c>
      <c r="BJ760" s="2">
        <v>13</v>
      </c>
      <c r="BK760" s="2" t="s">
        <v>91</v>
      </c>
      <c r="BL760" s="2" t="s">
        <v>828</v>
      </c>
      <c r="BM760" s="2">
        <v>241</v>
      </c>
      <c r="BN760" s="2" t="s">
        <v>82</v>
      </c>
      <c r="BO760" s="2" t="s">
        <v>82</v>
      </c>
      <c r="BP760" s="2">
        <v>13</v>
      </c>
      <c r="BQ760" s="2" t="s">
        <v>91</v>
      </c>
      <c r="BR760" s="2" t="s">
        <v>185</v>
      </c>
      <c r="BS760" s="3">
        <v>40238</v>
      </c>
      <c r="BT760" s="4">
        <v>0.99390046296296297</v>
      </c>
    </row>
    <row r="761" spans="1:72" x14ac:dyDescent="0.25">
      <c r="A761" s="2">
        <v>1188</v>
      </c>
      <c r="B761" s="2">
        <v>2010</v>
      </c>
      <c r="C761" s="2" t="s">
        <v>255</v>
      </c>
      <c r="D761" s="2" t="s">
        <v>122</v>
      </c>
      <c r="E761" s="2" t="s">
        <v>3068</v>
      </c>
      <c r="F761" s="2">
        <v>242</v>
      </c>
      <c r="G761" s="2" t="s">
        <v>2990</v>
      </c>
      <c r="H761" s="2">
        <v>42</v>
      </c>
      <c r="I761" s="2" t="s">
        <v>1096</v>
      </c>
      <c r="J761" s="2">
        <v>253</v>
      </c>
      <c r="K761" s="2" t="s">
        <v>2991</v>
      </c>
      <c r="L761" s="2" t="s">
        <v>478</v>
      </c>
      <c r="M761" s="3">
        <v>40239</v>
      </c>
      <c r="N761" s="2" t="s">
        <v>2992</v>
      </c>
      <c r="O761" s="2" t="s">
        <v>82</v>
      </c>
      <c r="P761" s="2" t="s">
        <v>82</v>
      </c>
      <c r="Q761" s="2" t="str">
        <f>"074-A/10"</f>
        <v>074-A/10</v>
      </c>
      <c r="R761" s="2" t="s">
        <v>947</v>
      </c>
      <c r="S761" s="2" t="s">
        <v>82</v>
      </c>
      <c r="T761" s="2">
        <v>1</v>
      </c>
      <c r="U761" s="2" t="s">
        <v>79</v>
      </c>
      <c r="V761" s="2">
        <v>1</v>
      </c>
      <c r="W761" s="2" t="s">
        <v>80</v>
      </c>
      <c r="X761" s="2">
        <v>1</v>
      </c>
      <c r="Y761" s="2" t="s">
        <v>81</v>
      </c>
      <c r="Z761" s="2">
        <v>1</v>
      </c>
      <c r="AA761" s="2" t="s">
        <v>82</v>
      </c>
      <c r="AB761" s="2">
        <v>9</v>
      </c>
      <c r="AC761" s="2" t="s">
        <v>124</v>
      </c>
      <c r="AD761" s="3">
        <v>40236</v>
      </c>
      <c r="AE761" s="4">
        <v>0.63888888888888895</v>
      </c>
      <c r="AF761" s="2"/>
      <c r="AG761" s="2"/>
      <c r="AH761" s="2">
        <v>2</v>
      </c>
      <c r="AI761" s="2" t="s">
        <v>84</v>
      </c>
      <c r="AJ761" s="2">
        <v>12</v>
      </c>
      <c r="AK761" s="2" t="s">
        <v>85</v>
      </c>
      <c r="AL761" s="2">
        <v>21</v>
      </c>
      <c r="AM761" s="2" t="s">
        <v>1311</v>
      </c>
      <c r="AN761" s="2" t="s">
        <v>1714</v>
      </c>
      <c r="AO761" s="2" t="s">
        <v>2993</v>
      </c>
      <c r="AP761" s="2">
        <v>11</v>
      </c>
      <c r="AQ761" s="2" t="s">
        <v>82</v>
      </c>
      <c r="AR761" s="2" t="s">
        <v>82</v>
      </c>
      <c r="AS761" s="2" t="s">
        <v>82</v>
      </c>
      <c r="AT761" s="2" t="s">
        <v>3069</v>
      </c>
      <c r="AU761" s="2"/>
      <c r="AV761" s="2"/>
      <c r="AW761" s="2"/>
      <c r="AX761" s="2"/>
      <c r="AY761" s="2">
        <v>41</v>
      </c>
      <c r="AZ761" s="2" t="s">
        <v>82</v>
      </c>
      <c r="BA761" s="2">
        <v>41</v>
      </c>
      <c r="BB761" s="2" t="s">
        <v>82</v>
      </c>
      <c r="BC761" s="2">
        <v>41</v>
      </c>
      <c r="BD761" s="2" t="s">
        <v>82</v>
      </c>
      <c r="BE761" s="2">
        <v>41</v>
      </c>
      <c r="BF761" s="2" t="s">
        <v>82</v>
      </c>
      <c r="BG761" s="2" t="s">
        <v>82</v>
      </c>
      <c r="BH761" s="2"/>
      <c r="BI761" s="2"/>
      <c r="BJ761" s="2">
        <v>241</v>
      </c>
      <c r="BK761" s="2" t="s">
        <v>82</v>
      </c>
      <c r="BL761" s="2" t="s">
        <v>82</v>
      </c>
      <c r="BM761" s="2">
        <v>241</v>
      </c>
      <c r="BN761" s="2" t="s">
        <v>82</v>
      </c>
      <c r="BO761" s="2" t="s">
        <v>82</v>
      </c>
      <c r="BP761" s="2">
        <v>241</v>
      </c>
      <c r="BQ761" s="2" t="s">
        <v>82</v>
      </c>
      <c r="BR761" s="2" t="s">
        <v>82</v>
      </c>
      <c r="BS761" s="3">
        <v>40239</v>
      </c>
      <c r="BT761" s="4">
        <v>0.46859953703703705</v>
      </c>
    </row>
    <row r="762" spans="1:72" x14ac:dyDescent="0.25">
      <c r="A762" s="2">
        <v>1190</v>
      </c>
      <c r="B762" s="2">
        <v>2010</v>
      </c>
      <c r="C762" s="2" t="s">
        <v>819</v>
      </c>
      <c r="D762" s="2" t="s">
        <v>122</v>
      </c>
      <c r="E762" s="2" t="s">
        <v>3070</v>
      </c>
      <c r="F762" s="2">
        <v>451</v>
      </c>
      <c r="G762" s="2" t="s">
        <v>879</v>
      </c>
      <c r="H762" s="2">
        <v>31</v>
      </c>
      <c r="I762" s="2" t="s">
        <v>880</v>
      </c>
      <c r="J762" s="2">
        <v>326</v>
      </c>
      <c r="K762" s="2" t="s">
        <v>881</v>
      </c>
      <c r="L762" s="2" t="s">
        <v>882</v>
      </c>
      <c r="M762" s="3">
        <v>40239</v>
      </c>
      <c r="N762" s="2" t="s">
        <v>1072</v>
      </c>
      <c r="O762" s="2"/>
      <c r="P762" s="2"/>
      <c r="Q762" s="2" t="str">
        <f>"018/10"</f>
        <v>018/10</v>
      </c>
      <c r="R762" s="2" t="s">
        <v>822</v>
      </c>
      <c r="S762" s="2"/>
      <c r="T762" s="2">
        <v>1</v>
      </c>
      <c r="U762" s="2" t="s">
        <v>79</v>
      </c>
      <c r="V762" s="2">
        <v>1</v>
      </c>
      <c r="W762" s="2" t="s">
        <v>80</v>
      </c>
      <c r="X762" s="2">
        <v>1</v>
      </c>
      <c r="Y762" s="2" t="s">
        <v>81</v>
      </c>
      <c r="Z762" s="2">
        <v>10</v>
      </c>
      <c r="AA762" s="2" t="s">
        <v>236</v>
      </c>
      <c r="AB762" s="2">
        <v>9</v>
      </c>
      <c r="AC762" s="2" t="s">
        <v>124</v>
      </c>
      <c r="AD762" s="3">
        <v>40239</v>
      </c>
      <c r="AE762" s="4">
        <v>0.41666666666666669</v>
      </c>
      <c r="AF762" s="2"/>
      <c r="AG762" s="2"/>
      <c r="AH762" s="2">
        <v>4</v>
      </c>
      <c r="AI762" s="2" t="s">
        <v>125</v>
      </c>
      <c r="AJ762" s="2">
        <v>29</v>
      </c>
      <c r="AK762" s="2" t="s">
        <v>227</v>
      </c>
      <c r="AL762" s="2">
        <v>10</v>
      </c>
      <c r="AM762" s="2" t="s">
        <v>200</v>
      </c>
      <c r="AN762" s="2" t="s">
        <v>883</v>
      </c>
      <c r="AO762" s="2"/>
      <c r="AP762" s="2">
        <v>12</v>
      </c>
      <c r="AQ762" s="2" t="s">
        <v>322</v>
      </c>
      <c r="AR762" s="2" t="s">
        <v>824</v>
      </c>
      <c r="AS762" s="2" t="s">
        <v>825</v>
      </c>
      <c r="AT762" s="2" t="s">
        <v>3071</v>
      </c>
      <c r="AU762" s="2"/>
      <c r="AV762" s="2"/>
      <c r="AW762" s="2"/>
      <c r="AX762" s="2"/>
      <c r="AY762" s="2">
        <v>41</v>
      </c>
      <c r="AZ762" s="2" t="s">
        <v>82</v>
      </c>
      <c r="BA762" s="2">
        <v>41</v>
      </c>
      <c r="BB762" s="2" t="s">
        <v>82</v>
      </c>
      <c r="BC762" s="2">
        <v>41</v>
      </c>
      <c r="BD762" s="2" t="s">
        <v>82</v>
      </c>
      <c r="BE762" s="2">
        <v>47</v>
      </c>
      <c r="BF762" s="2" t="s">
        <v>167</v>
      </c>
      <c r="BG762" s="2">
        <v>2459</v>
      </c>
      <c r="BH762" s="4">
        <v>0.84375</v>
      </c>
      <c r="BI762" s="4">
        <v>0.87847222222222221</v>
      </c>
      <c r="BJ762" s="2">
        <v>13</v>
      </c>
      <c r="BK762" s="2" t="s">
        <v>91</v>
      </c>
      <c r="BL762" s="2" t="s">
        <v>828</v>
      </c>
      <c r="BM762" s="2">
        <v>241</v>
      </c>
      <c r="BN762" s="2" t="s">
        <v>82</v>
      </c>
      <c r="BO762" s="2" t="s">
        <v>82</v>
      </c>
      <c r="BP762" s="2">
        <v>13</v>
      </c>
      <c r="BQ762" s="2" t="s">
        <v>91</v>
      </c>
      <c r="BR762" s="2" t="s">
        <v>185</v>
      </c>
      <c r="BS762" s="3">
        <v>40239</v>
      </c>
      <c r="BT762" s="4">
        <v>0.51134259259259263</v>
      </c>
    </row>
    <row r="763" spans="1:72" x14ac:dyDescent="0.25">
      <c r="A763" s="2">
        <v>1191</v>
      </c>
      <c r="B763" s="2">
        <v>2010</v>
      </c>
      <c r="C763" s="2" t="s">
        <v>147</v>
      </c>
      <c r="D763" s="2" t="s">
        <v>73</v>
      </c>
      <c r="E763" s="2"/>
      <c r="F763" s="2">
        <v>1</v>
      </c>
      <c r="G763" s="2" t="s">
        <v>82</v>
      </c>
      <c r="H763" s="2">
        <v>1</v>
      </c>
      <c r="I763" s="2" t="s">
        <v>82</v>
      </c>
      <c r="J763" s="2">
        <v>1</v>
      </c>
      <c r="K763" s="2" t="s">
        <v>107</v>
      </c>
      <c r="L763" s="2" t="s">
        <v>107</v>
      </c>
      <c r="M763" s="3">
        <v>40239</v>
      </c>
      <c r="N763" s="2" t="s">
        <v>82</v>
      </c>
      <c r="O763" s="2" t="s">
        <v>82</v>
      </c>
      <c r="P763" s="2" t="s">
        <v>82</v>
      </c>
      <c r="Q763" s="2" t="str">
        <f>"N/C"</f>
        <v>N/C</v>
      </c>
      <c r="R763" s="2" t="s">
        <v>82</v>
      </c>
      <c r="S763" s="2" t="s">
        <v>82</v>
      </c>
      <c r="T763" s="2">
        <v>2</v>
      </c>
      <c r="U763" s="2" t="s">
        <v>123</v>
      </c>
      <c r="V763" s="2">
        <v>1</v>
      </c>
      <c r="W763" s="2" t="s">
        <v>80</v>
      </c>
      <c r="X763" s="2">
        <v>12</v>
      </c>
      <c r="Y763" s="2" t="s">
        <v>148</v>
      </c>
      <c r="Z763" s="2">
        <v>1</v>
      </c>
      <c r="AA763" s="2" t="s">
        <v>82</v>
      </c>
      <c r="AB763" s="2">
        <v>9</v>
      </c>
      <c r="AC763" s="2" t="s">
        <v>124</v>
      </c>
      <c r="AD763" s="3">
        <v>40238</v>
      </c>
      <c r="AE763" s="2"/>
      <c r="AF763" s="3">
        <v>40239</v>
      </c>
      <c r="AG763" s="4">
        <v>0.44444444444444442</v>
      </c>
      <c r="AH763" s="2">
        <v>2</v>
      </c>
      <c r="AI763" s="2" t="s">
        <v>84</v>
      </c>
      <c r="AJ763" s="2">
        <v>12</v>
      </c>
      <c r="AK763" s="2" t="s">
        <v>85</v>
      </c>
      <c r="AL763" s="2">
        <v>19</v>
      </c>
      <c r="AM763" s="2" t="s">
        <v>107</v>
      </c>
      <c r="AN763" s="2" t="s">
        <v>107</v>
      </c>
      <c r="AO763" s="2" t="s">
        <v>149</v>
      </c>
      <c r="AP763" s="2">
        <v>11</v>
      </c>
      <c r="AQ763" s="2" t="s">
        <v>82</v>
      </c>
      <c r="AR763" s="2" t="s">
        <v>82</v>
      </c>
      <c r="AS763" s="2" t="s">
        <v>82</v>
      </c>
      <c r="AT763" s="2" t="s">
        <v>3072</v>
      </c>
      <c r="AU763" s="2"/>
      <c r="AV763" s="2"/>
      <c r="AW763" s="2"/>
      <c r="AX763" s="2"/>
      <c r="AY763" s="2">
        <v>41</v>
      </c>
      <c r="AZ763" s="2" t="s">
        <v>82</v>
      </c>
      <c r="BA763" s="2">
        <v>41</v>
      </c>
      <c r="BB763" s="2" t="s">
        <v>82</v>
      </c>
      <c r="BC763" s="2">
        <v>41</v>
      </c>
      <c r="BD763" s="2" t="s">
        <v>82</v>
      </c>
      <c r="BE763" s="2">
        <v>41</v>
      </c>
      <c r="BF763" s="2" t="s">
        <v>82</v>
      </c>
      <c r="BG763" s="2" t="s">
        <v>82</v>
      </c>
      <c r="BH763" s="2"/>
      <c r="BI763" s="2"/>
      <c r="BJ763" s="2">
        <v>241</v>
      </c>
      <c r="BK763" s="2" t="s">
        <v>82</v>
      </c>
      <c r="BL763" s="2" t="s">
        <v>82</v>
      </c>
      <c r="BM763" s="2">
        <v>241</v>
      </c>
      <c r="BN763" s="2" t="s">
        <v>82</v>
      </c>
      <c r="BO763" s="2" t="s">
        <v>82</v>
      </c>
      <c r="BP763" s="2">
        <v>241</v>
      </c>
      <c r="BQ763" s="2" t="s">
        <v>82</v>
      </c>
      <c r="BR763" s="2" t="s">
        <v>82</v>
      </c>
      <c r="BS763" s="3">
        <v>40239</v>
      </c>
      <c r="BT763" s="4">
        <v>0.51252314814814814</v>
      </c>
    </row>
    <row r="764" spans="1:72" x14ac:dyDescent="0.25">
      <c r="A764" s="2">
        <v>1192</v>
      </c>
      <c r="B764" s="2">
        <v>2010</v>
      </c>
      <c r="C764" s="2" t="s">
        <v>147</v>
      </c>
      <c r="D764" s="2" t="s">
        <v>73</v>
      </c>
      <c r="E764" s="2"/>
      <c r="F764" s="2">
        <v>1</v>
      </c>
      <c r="G764" s="2" t="s">
        <v>82</v>
      </c>
      <c r="H764" s="2">
        <v>1</v>
      </c>
      <c r="I764" s="2" t="s">
        <v>82</v>
      </c>
      <c r="J764" s="2">
        <v>1</v>
      </c>
      <c r="K764" s="2" t="s">
        <v>107</v>
      </c>
      <c r="L764" s="2" t="s">
        <v>107</v>
      </c>
      <c r="M764" s="3">
        <v>40239</v>
      </c>
      <c r="N764" s="2"/>
      <c r="O764" s="2"/>
      <c r="P764" s="2"/>
      <c r="Q764" s="2" t="str">
        <f>""</f>
        <v/>
      </c>
      <c r="R764" s="2"/>
      <c r="S764" s="2"/>
      <c r="T764" s="2">
        <v>2</v>
      </c>
      <c r="U764" s="2" t="s">
        <v>123</v>
      </c>
      <c r="V764" s="2">
        <v>1</v>
      </c>
      <c r="W764" s="2" t="s">
        <v>80</v>
      </c>
      <c r="X764" s="2">
        <v>12</v>
      </c>
      <c r="Y764" s="2" t="s">
        <v>148</v>
      </c>
      <c r="Z764" s="2">
        <v>1</v>
      </c>
      <c r="AA764" s="2" t="s">
        <v>82</v>
      </c>
      <c r="AB764" s="2">
        <v>9</v>
      </c>
      <c r="AC764" s="2" t="s">
        <v>124</v>
      </c>
      <c r="AD764" s="3">
        <v>40239</v>
      </c>
      <c r="AE764" s="2"/>
      <c r="AF764" s="3">
        <v>40239</v>
      </c>
      <c r="AG764" s="4">
        <v>0.44444444444444442</v>
      </c>
      <c r="AH764" s="2">
        <v>3</v>
      </c>
      <c r="AI764" s="2" t="s">
        <v>214</v>
      </c>
      <c r="AJ764" s="2">
        <v>24</v>
      </c>
      <c r="AK764" s="2" t="s">
        <v>215</v>
      </c>
      <c r="AL764" s="2">
        <v>25</v>
      </c>
      <c r="AM764" s="2" t="s">
        <v>3073</v>
      </c>
      <c r="AN764" s="2" t="s">
        <v>3074</v>
      </c>
      <c r="AO764" s="2"/>
      <c r="AP764" s="2">
        <v>11</v>
      </c>
      <c r="AQ764" s="2" t="s">
        <v>82</v>
      </c>
      <c r="AR764" s="2"/>
      <c r="AS764" s="2"/>
      <c r="AT764" s="2" t="s">
        <v>3075</v>
      </c>
      <c r="AU764" s="2"/>
      <c r="AV764" s="2"/>
      <c r="AW764" s="2"/>
      <c r="AX764" s="2"/>
      <c r="AY764" s="2">
        <v>41</v>
      </c>
      <c r="AZ764" s="2" t="s">
        <v>82</v>
      </c>
      <c r="BA764" s="2">
        <v>41</v>
      </c>
      <c r="BB764" s="2" t="s">
        <v>82</v>
      </c>
      <c r="BC764" s="2">
        <v>41</v>
      </c>
      <c r="BD764" s="2" t="s">
        <v>82</v>
      </c>
      <c r="BE764" s="2">
        <v>41</v>
      </c>
      <c r="BF764" s="2" t="s">
        <v>82</v>
      </c>
      <c r="BG764" s="2"/>
      <c r="BH764" s="2"/>
      <c r="BI764" s="2"/>
      <c r="BJ764" s="2">
        <v>241</v>
      </c>
      <c r="BK764" s="2" t="s">
        <v>82</v>
      </c>
      <c r="BL764" s="2"/>
      <c r="BM764" s="2">
        <v>241</v>
      </c>
      <c r="BN764" s="2" t="s">
        <v>82</v>
      </c>
      <c r="BO764" s="2"/>
      <c r="BP764" s="2">
        <v>241</v>
      </c>
      <c r="BQ764" s="2" t="s">
        <v>82</v>
      </c>
      <c r="BR764" s="2"/>
      <c r="BS764" s="3">
        <v>40239</v>
      </c>
      <c r="BT764" s="4">
        <v>0.5248032407407407</v>
      </c>
    </row>
    <row r="765" spans="1:72" x14ac:dyDescent="0.25">
      <c r="A765" s="2">
        <v>1193</v>
      </c>
      <c r="B765" s="2">
        <v>2010</v>
      </c>
      <c r="C765" s="2" t="s">
        <v>147</v>
      </c>
      <c r="D765" s="2" t="s">
        <v>73</v>
      </c>
      <c r="E765" s="2"/>
      <c r="F765" s="2">
        <v>1</v>
      </c>
      <c r="G765" s="2" t="s">
        <v>82</v>
      </c>
      <c r="H765" s="2">
        <v>1</v>
      </c>
      <c r="I765" s="2" t="s">
        <v>82</v>
      </c>
      <c r="J765" s="2">
        <v>1</v>
      </c>
      <c r="K765" s="2" t="s">
        <v>107</v>
      </c>
      <c r="L765" s="2" t="s">
        <v>107</v>
      </c>
      <c r="M765" s="3">
        <v>40239</v>
      </c>
      <c r="N765" s="2"/>
      <c r="O765" s="2"/>
      <c r="P765" s="2"/>
      <c r="Q765" s="2" t="str">
        <f>""</f>
        <v/>
      </c>
      <c r="R765" s="2"/>
      <c r="S765" s="2"/>
      <c r="T765" s="2">
        <v>2</v>
      </c>
      <c r="U765" s="2" t="s">
        <v>123</v>
      </c>
      <c r="V765" s="2">
        <v>1</v>
      </c>
      <c r="W765" s="2" t="s">
        <v>80</v>
      </c>
      <c r="X765" s="2">
        <v>12</v>
      </c>
      <c r="Y765" s="2" t="s">
        <v>148</v>
      </c>
      <c r="Z765" s="2">
        <v>1</v>
      </c>
      <c r="AA765" s="2" t="s">
        <v>82</v>
      </c>
      <c r="AB765" s="2">
        <v>9</v>
      </c>
      <c r="AC765" s="2" t="s">
        <v>124</v>
      </c>
      <c r="AD765" s="2"/>
      <c r="AE765" s="2"/>
      <c r="AF765" s="3">
        <v>40239</v>
      </c>
      <c r="AG765" s="4">
        <v>0.5</v>
      </c>
      <c r="AH765" s="2">
        <v>3</v>
      </c>
      <c r="AI765" s="2" t="s">
        <v>214</v>
      </c>
      <c r="AJ765" s="2">
        <v>24</v>
      </c>
      <c r="AK765" s="2" t="s">
        <v>215</v>
      </c>
      <c r="AL765" s="2">
        <v>19</v>
      </c>
      <c r="AM765" s="2" t="s">
        <v>107</v>
      </c>
      <c r="AN765" s="2"/>
      <c r="AO765" s="2"/>
      <c r="AP765" s="2">
        <v>11</v>
      </c>
      <c r="AQ765" s="2" t="s">
        <v>82</v>
      </c>
      <c r="AR765" s="2"/>
      <c r="AS765" s="2"/>
      <c r="AT765" s="2" t="s">
        <v>3076</v>
      </c>
      <c r="AU765" s="2"/>
      <c r="AV765" s="2"/>
      <c r="AW765" s="2"/>
      <c r="AX765" s="2"/>
      <c r="AY765" s="2">
        <v>41</v>
      </c>
      <c r="AZ765" s="2" t="s">
        <v>82</v>
      </c>
      <c r="BA765" s="2">
        <v>41</v>
      </c>
      <c r="BB765" s="2" t="s">
        <v>82</v>
      </c>
      <c r="BC765" s="2">
        <v>41</v>
      </c>
      <c r="BD765" s="2" t="s">
        <v>82</v>
      </c>
      <c r="BE765" s="2">
        <v>41</v>
      </c>
      <c r="BF765" s="2" t="s">
        <v>82</v>
      </c>
      <c r="BG765" s="2"/>
      <c r="BH765" s="2"/>
      <c r="BI765" s="2"/>
      <c r="BJ765" s="2">
        <v>241</v>
      </c>
      <c r="BK765" s="2" t="s">
        <v>82</v>
      </c>
      <c r="BL765" s="2"/>
      <c r="BM765" s="2">
        <v>241</v>
      </c>
      <c r="BN765" s="2" t="s">
        <v>82</v>
      </c>
      <c r="BO765" s="2"/>
      <c r="BP765" s="2">
        <v>241</v>
      </c>
      <c r="BQ765" s="2" t="s">
        <v>82</v>
      </c>
      <c r="BR765" s="2"/>
      <c r="BS765" s="3">
        <v>40239</v>
      </c>
      <c r="BT765" s="4">
        <v>0.6124074074074074</v>
      </c>
    </row>
    <row r="766" spans="1:72" x14ac:dyDescent="0.25">
      <c r="A766" s="2">
        <v>1195</v>
      </c>
      <c r="B766" s="2">
        <v>2010</v>
      </c>
      <c r="C766" s="2" t="s">
        <v>806</v>
      </c>
      <c r="D766" s="2" t="s">
        <v>73</v>
      </c>
      <c r="E766" s="2"/>
      <c r="F766" s="2">
        <v>507</v>
      </c>
      <c r="G766" s="2" t="s">
        <v>2475</v>
      </c>
      <c r="H766" s="2">
        <v>2</v>
      </c>
      <c r="I766" s="2" t="s">
        <v>267</v>
      </c>
      <c r="J766" s="2">
        <v>424</v>
      </c>
      <c r="K766" s="2" t="s">
        <v>2476</v>
      </c>
      <c r="L766" s="2" t="s">
        <v>2477</v>
      </c>
      <c r="M766" s="3">
        <v>40228</v>
      </c>
      <c r="N766" s="2" t="s">
        <v>2593</v>
      </c>
      <c r="O766" s="2" t="s">
        <v>2614</v>
      </c>
      <c r="P766" s="2">
        <v>16419</v>
      </c>
      <c r="Q766" s="2" t="str">
        <f>"S/D"</f>
        <v>S/D</v>
      </c>
      <c r="R766" s="2" t="s">
        <v>107</v>
      </c>
      <c r="S766" s="2" t="s">
        <v>107</v>
      </c>
      <c r="T766" s="2">
        <v>1</v>
      </c>
      <c r="U766" s="2" t="s">
        <v>79</v>
      </c>
      <c r="V766" s="2">
        <v>3</v>
      </c>
      <c r="W766" s="2" t="s">
        <v>225</v>
      </c>
      <c r="X766" s="2">
        <v>2</v>
      </c>
      <c r="Y766" s="2" t="s">
        <v>136</v>
      </c>
      <c r="Z766" s="2">
        <v>1</v>
      </c>
      <c r="AA766" s="2" t="s">
        <v>82</v>
      </c>
      <c r="AB766" s="2">
        <v>9</v>
      </c>
      <c r="AC766" s="2" t="s">
        <v>124</v>
      </c>
      <c r="AD766" s="2"/>
      <c r="AE766" s="2"/>
      <c r="AF766" s="2"/>
      <c r="AG766" s="2"/>
      <c r="AH766" s="2">
        <v>7</v>
      </c>
      <c r="AI766" s="2" t="s">
        <v>801</v>
      </c>
      <c r="AJ766" s="2">
        <v>3</v>
      </c>
      <c r="AK766" s="2" t="s">
        <v>802</v>
      </c>
      <c r="AL766" s="2">
        <v>19</v>
      </c>
      <c r="AM766" s="2" t="s">
        <v>107</v>
      </c>
      <c r="AN766" s="2"/>
      <c r="AO766" s="2"/>
      <c r="AP766" s="2">
        <v>11</v>
      </c>
      <c r="AQ766" s="2" t="s">
        <v>82</v>
      </c>
      <c r="AR766" s="2"/>
      <c r="AS766" s="2"/>
      <c r="AT766" s="2" t="s">
        <v>3077</v>
      </c>
      <c r="AU766" s="2"/>
      <c r="AV766" s="2"/>
      <c r="AW766" s="2"/>
      <c r="AX766" s="2"/>
      <c r="AY766" s="2">
        <v>1</v>
      </c>
      <c r="AZ766" s="2" t="s">
        <v>107</v>
      </c>
      <c r="BA766" s="2">
        <v>1</v>
      </c>
      <c r="BB766" s="2" t="s">
        <v>107</v>
      </c>
      <c r="BC766" s="2">
        <v>1</v>
      </c>
      <c r="BD766" s="2" t="s">
        <v>107</v>
      </c>
      <c r="BE766" s="2">
        <v>1</v>
      </c>
      <c r="BF766" s="2" t="s">
        <v>107</v>
      </c>
      <c r="BG766" s="2"/>
      <c r="BH766" s="2"/>
      <c r="BI766" s="2"/>
      <c r="BJ766" s="2">
        <v>242</v>
      </c>
      <c r="BK766" s="2" t="s">
        <v>107</v>
      </c>
      <c r="BL766" s="2"/>
      <c r="BM766" s="2">
        <v>242</v>
      </c>
      <c r="BN766" s="2" t="s">
        <v>107</v>
      </c>
      <c r="BO766" s="2"/>
      <c r="BP766" s="2">
        <v>242</v>
      </c>
      <c r="BQ766" s="2" t="s">
        <v>107</v>
      </c>
      <c r="BR766" s="2"/>
      <c r="BS766" s="3">
        <v>40239</v>
      </c>
      <c r="BT766" s="4">
        <v>0.62372685185185184</v>
      </c>
    </row>
    <row r="767" spans="1:72" x14ac:dyDescent="0.25">
      <c r="A767" s="2">
        <v>1196</v>
      </c>
      <c r="B767" s="2">
        <v>2010</v>
      </c>
      <c r="C767" s="2" t="s">
        <v>819</v>
      </c>
      <c r="D767" s="2" t="s">
        <v>122</v>
      </c>
      <c r="E767" s="2" t="s">
        <v>3078</v>
      </c>
      <c r="F767" s="2">
        <v>56</v>
      </c>
      <c r="G767" s="2" t="s">
        <v>2578</v>
      </c>
      <c r="H767" s="2">
        <v>39</v>
      </c>
      <c r="I767" s="2" t="s">
        <v>1117</v>
      </c>
      <c r="J767" s="2">
        <v>310</v>
      </c>
      <c r="K767" s="2" t="s">
        <v>288</v>
      </c>
      <c r="L767" s="2" t="s">
        <v>289</v>
      </c>
      <c r="M767" s="3">
        <v>40239</v>
      </c>
      <c r="N767" s="2" t="s">
        <v>2049</v>
      </c>
      <c r="O767" s="2"/>
      <c r="P767" s="2"/>
      <c r="Q767" s="2" t="str">
        <f>"0013/10"</f>
        <v>0013/10</v>
      </c>
      <c r="R767" s="2"/>
      <c r="S767" s="2" t="s">
        <v>822</v>
      </c>
      <c r="T767" s="2">
        <v>1</v>
      </c>
      <c r="U767" s="2" t="s">
        <v>79</v>
      </c>
      <c r="V767" s="2">
        <v>1</v>
      </c>
      <c r="W767" s="2" t="s">
        <v>80</v>
      </c>
      <c r="X767" s="2">
        <v>1</v>
      </c>
      <c r="Y767" s="2" t="s">
        <v>81</v>
      </c>
      <c r="Z767" s="2">
        <v>10</v>
      </c>
      <c r="AA767" s="2" t="s">
        <v>236</v>
      </c>
      <c r="AB767" s="2">
        <v>9</v>
      </c>
      <c r="AC767" s="2" t="s">
        <v>124</v>
      </c>
      <c r="AD767" s="3">
        <v>40239</v>
      </c>
      <c r="AE767" s="4">
        <v>0.5</v>
      </c>
      <c r="AF767" s="2"/>
      <c r="AG767" s="2"/>
      <c r="AH767" s="2">
        <v>4</v>
      </c>
      <c r="AI767" s="2" t="s">
        <v>125</v>
      </c>
      <c r="AJ767" s="2">
        <v>29</v>
      </c>
      <c r="AK767" s="2" t="s">
        <v>227</v>
      </c>
      <c r="AL767" s="2">
        <v>10</v>
      </c>
      <c r="AM767" s="2" t="s">
        <v>200</v>
      </c>
      <c r="AN767" s="2" t="s">
        <v>3079</v>
      </c>
      <c r="AO767" s="2"/>
      <c r="AP767" s="2">
        <v>12</v>
      </c>
      <c r="AQ767" s="2" t="s">
        <v>322</v>
      </c>
      <c r="AR767" s="2" t="s">
        <v>824</v>
      </c>
      <c r="AS767" s="2" t="s">
        <v>825</v>
      </c>
      <c r="AT767" s="2" t="s">
        <v>3080</v>
      </c>
      <c r="AU767" s="2"/>
      <c r="AV767" s="2"/>
      <c r="AW767" s="2"/>
      <c r="AX767" s="2"/>
      <c r="AY767" s="2">
        <v>41</v>
      </c>
      <c r="AZ767" s="2" t="s">
        <v>82</v>
      </c>
      <c r="BA767" s="2">
        <v>41</v>
      </c>
      <c r="BB767" s="2" t="s">
        <v>82</v>
      </c>
      <c r="BC767" s="2">
        <v>51</v>
      </c>
      <c r="BD767" s="2" t="s">
        <v>827</v>
      </c>
      <c r="BE767" s="2">
        <v>47</v>
      </c>
      <c r="BF767" s="2" t="s">
        <v>167</v>
      </c>
      <c r="BG767" s="2">
        <v>2459</v>
      </c>
      <c r="BH767" s="4">
        <v>0.84027777777777779</v>
      </c>
      <c r="BI767" s="4">
        <v>0.92361111111111116</v>
      </c>
      <c r="BJ767" s="2">
        <v>13</v>
      </c>
      <c r="BK767" s="2" t="s">
        <v>91</v>
      </c>
      <c r="BL767" s="2" t="s">
        <v>828</v>
      </c>
      <c r="BM767" s="2">
        <v>241</v>
      </c>
      <c r="BN767" s="2" t="s">
        <v>82</v>
      </c>
      <c r="BO767" s="2" t="s">
        <v>82</v>
      </c>
      <c r="BP767" s="2">
        <v>241</v>
      </c>
      <c r="BQ767" s="2" t="s">
        <v>82</v>
      </c>
      <c r="BR767" s="2" t="s">
        <v>185</v>
      </c>
      <c r="BS767" s="3">
        <v>40239</v>
      </c>
      <c r="BT767" s="4">
        <v>0.67182870370370373</v>
      </c>
    </row>
    <row r="768" spans="1:72" x14ac:dyDescent="0.25">
      <c r="A768" s="2">
        <v>1197</v>
      </c>
      <c r="B768" s="2">
        <v>2010</v>
      </c>
      <c r="C768" s="2" t="s">
        <v>806</v>
      </c>
      <c r="D768" s="2" t="s">
        <v>73</v>
      </c>
      <c r="E768" s="2"/>
      <c r="F768" s="2">
        <v>52</v>
      </c>
      <c r="G768" s="2" t="s">
        <v>2963</v>
      </c>
      <c r="H768" s="2">
        <v>61</v>
      </c>
      <c r="I768" s="2" t="s">
        <v>3043</v>
      </c>
      <c r="J768" s="2">
        <v>87</v>
      </c>
      <c r="K768" s="2" t="s">
        <v>2964</v>
      </c>
      <c r="L768" s="2" t="s">
        <v>2534</v>
      </c>
      <c r="M768" s="3">
        <v>40239</v>
      </c>
      <c r="N768" s="2"/>
      <c r="O768" s="2" t="s">
        <v>3081</v>
      </c>
      <c r="P768" s="2" t="s">
        <v>3082</v>
      </c>
      <c r="Q768" s="2" t="str">
        <f>""</f>
        <v/>
      </c>
      <c r="R768" s="2"/>
      <c r="S768" s="2"/>
      <c r="T768" s="2">
        <v>1</v>
      </c>
      <c r="U768" s="2" t="s">
        <v>79</v>
      </c>
      <c r="V768" s="2">
        <v>3</v>
      </c>
      <c r="W768" s="2" t="s">
        <v>225</v>
      </c>
      <c r="X768" s="2">
        <v>2</v>
      </c>
      <c r="Y768" s="2" t="s">
        <v>136</v>
      </c>
      <c r="Z768" s="2">
        <v>1</v>
      </c>
      <c r="AA768" s="2" t="s">
        <v>82</v>
      </c>
      <c r="AB768" s="2">
        <v>9</v>
      </c>
      <c r="AC768" s="2" t="s">
        <v>124</v>
      </c>
      <c r="AD768" s="2"/>
      <c r="AE768" s="2"/>
      <c r="AF768" s="2"/>
      <c r="AG768" s="2"/>
      <c r="AH768" s="2">
        <v>7</v>
      </c>
      <c r="AI768" s="2" t="s">
        <v>801</v>
      </c>
      <c r="AJ768" s="2">
        <v>3</v>
      </c>
      <c r="AK768" s="2" t="s">
        <v>802</v>
      </c>
      <c r="AL768" s="2">
        <v>23</v>
      </c>
      <c r="AM768" s="2" t="s">
        <v>251</v>
      </c>
      <c r="AN768" s="2"/>
      <c r="AO768" s="2"/>
      <c r="AP768" s="2">
        <v>11</v>
      </c>
      <c r="AQ768" s="2" t="s">
        <v>82</v>
      </c>
      <c r="AR768" s="2"/>
      <c r="AS768" s="2"/>
      <c r="AT768" s="2" t="s">
        <v>3083</v>
      </c>
      <c r="AU768" s="2"/>
      <c r="AV768" s="2"/>
      <c r="AW768" s="2"/>
      <c r="AX768" s="2"/>
      <c r="AY768" s="2">
        <v>41</v>
      </c>
      <c r="AZ768" s="2" t="s">
        <v>82</v>
      </c>
      <c r="BA768" s="2">
        <v>41</v>
      </c>
      <c r="BB768" s="2" t="s">
        <v>82</v>
      </c>
      <c r="BC768" s="2">
        <v>41</v>
      </c>
      <c r="BD768" s="2" t="s">
        <v>82</v>
      </c>
      <c r="BE768" s="2">
        <v>41</v>
      </c>
      <c r="BF768" s="2" t="s">
        <v>82</v>
      </c>
      <c r="BG768" s="2"/>
      <c r="BH768" s="2"/>
      <c r="BI768" s="2"/>
      <c r="BJ768" s="2">
        <v>241</v>
      </c>
      <c r="BK768" s="2" t="s">
        <v>82</v>
      </c>
      <c r="BL768" s="2"/>
      <c r="BM768" s="2">
        <v>241</v>
      </c>
      <c r="BN768" s="2" t="s">
        <v>82</v>
      </c>
      <c r="BO768" s="2"/>
      <c r="BP768" s="2">
        <v>241</v>
      </c>
      <c r="BQ768" s="2" t="s">
        <v>82</v>
      </c>
      <c r="BR768" s="2"/>
      <c r="BS768" s="3">
        <v>40239</v>
      </c>
      <c r="BT768" s="4">
        <v>0.7009953703703703</v>
      </c>
    </row>
    <row r="769" spans="1:72" x14ac:dyDescent="0.25">
      <c r="A769" s="2">
        <v>1198</v>
      </c>
      <c r="B769" s="2">
        <v>2010</v>
      </c>
      <c r="C769" s="2" t="s">
        <v>93</v>
      </c>
      <c r="D769" s="2" t="s">
        <v>73</v>
      </c>
      <c r="E769" s="2"/>
      <c r="F769" s="2">
        <v>142</v>
      </c>
      <c r="G769" s="2" t="s">
        <v>1618</v>
      </c>
      <c r="H769" s="2">
        <v>42</v>
      </c>
      <c r="I769" s="2" t="s">
        <v>1096</v>
      </c>
      <c r="J769" s="2">
        <v>140</v>
      </c>
      <c r="K769" s="2" t="s">
        <v>864</v>
      </c>
      <c r="L769" s="2" t="s">
        <v>865</v>
      </c>
      <c r="M769" s="3">
        <v>40239</v>
      </c>
      <c r="N769" s="2" t="s">
        <v>3084</v>
      </c>
      <c r="O769" s="2" t="s">
        <v>685</v>
      </c>
      <c r="P769" s="2" t="s">
        <v>3085</v>
      </c>
      <c r="Q769" s="2" t="str">
        <f>"CAUSA 009/2010"</f>
        <v>CAUSA 009/2010</v>
      </c>
      <c r="R769" s="2" t="s">
        <v>82</v>
      </c>
      <c r="S769" s="2" t="s">
        <v>685</v>
      </c>
      <c r="T769" s="2">
        <v>1</v>
      </c>
      <c r="U769" s="2" t="s">
        <v>79</v>
      </c>
      <c r="V769" s="2">
        <v>1</v>
      </c>
      <c r="W769" s="2" t="s">
        <v>80</v>
      </c>
      <c r="X769" s="2">
        <v>1</v>
      </c>
      <c r="Y769" s="2" t="s">
        <v>81</v>
      </c>
      <c r="Z769" s="2">
        <v>1</v>
      </c>
      <c r="AA769" s="2" t="s">
        <v>82</v>
      </c>
      <c r="AB769" s="2">
        <v>2</v>
      </c>
      <c r="AC769" s="2" t="s">
        <v>102</v>
      </c>
      <c r="AD769" s="3">
        <v>40239</v>
      </c>
      <c r="AE769" s="4">
        <v>0.5625</v>
      </c>
      <c r="AF769" s="2"/>
      <c r="AG769" s="2"/>
      <c r="AH769" s="2">
        <v>6</v>
      </c>
      <c r="AI769" s="2" t="s">
        <v>197</v>
      </c>
      <c r="AJ769" s="2">
        <v>61</v>
      </c>
      <c r="AK769" s="2" t="s">
        <v>686</v>
      </c>
      <c r="AL769" s="2">
        <v>11</v>
      </c>
      <c r="AM769" s="2" t="s">
        <v>137</v>
      </c>
      <c r="AN769" s="2" t="s">
        <v>350</v>
      </c>
      <c r="AO769" s="2" t="s">
        <v>82</v>
      </c>
      <c r="AP769" s="2">
        <v>11</v>
      </c>
      <c r="AQ769" s="2" t="s">
        <v>82</v>
      </c>
      <c r="AR769" s="2" t="s">
        <v>82</v>
      </c>
      <c r="AS769" s="2" t="s">
        <v>82</v>
      </c>
      <c r="AT769" s="2" t="s">
        <v>3086</v>
      </c>
      <c r="AU769" s="2"/>
      <c r="AV769" s="2"/>
      <c r="AW769" s="2"/>
      <c r="AX769" s="2"/>
      <c r="AY769" s="2">
        <v>41</v>
      </c>
      <c r="AZ769" s="2" t="s">
        <v>82</v>
      </c>
      <c r="BA769" s="2">
        <v>41</v>
      </c>
      <c r="BB769" s="2" t="s">
        <v>82</v>
      </c>
      <c r="BC769" s="2">
        <v>41</v>
      </c>
      <c r="BD769" s="2" t="s">
        <v>82</v>
      </c>
      <c r="BE769" s="2">
        <v>47</v>
      </c>
      <c r="BF769" s="2" t="s">
        <v>167</v>
      </c>
      <c r="BG769" s="2">
        <v>2849</v>
      </c>
      <c r="BH769" s="4">
        <v>0.54513888888888895</v>
      </c>
      <c r="BI769" s="4">
        <v>0.59375</v>
      </c>
      <c r="BJ769" s="2">
        <v>13</v>
      </c>
      <c r="BK769" s="2" t="s">
        <v>91</v>
      </c>
      <c r="BL769" s="2" t="s">
        <v>690</v>
      </c>
      <c r="BM769" s="2">
        <v>241</v>
      </c>
      <c r="BN769" s="2" t="s">
        <v>82</v>
      </c>
      <c r="BO769" s="2" t="s">
        <v>82</v>
      </c>
      <c r="BP769" s="2">
        <v>13</v>
      </c>
      <c r="BQ769" s="2" t="s">
        <v>91</v>
      </c>
      <c r="BR769" s="2" t="s">
        <v>185</v>
      </c>
      <c r="BS769" s="3">
        <v>40239</v>
      </c>
      <c r="BT769" s="4">
        <v>0.70554398148148145</v>
      </c>
    </row>
    <row r="770" spans="1:72" x14ac:dyDescent="0.25">
      <c r="A770" s="2">
        <v>1202</v>
      </c>
      <c r="B770" s="2">
        <v>2010</v>
      </c>
      <c r="C770" s="2" t="s">
        <v>147</v>
      </c>
      <c r="D770" s="2" t="s">
        <v>73</v>
      </c>
      <c r="E770" s="2"/>
      <c r="F770" s="2">
        <v>1</v>
      </c>
      <c r="G770" s="2" t="s">
        <v>82</v>
      </c>
      <c r="H770" s="2">
        <v>1</v>
      </c>
      <c r="I770" s="2" t="s">
        <v>82</v>
      </c>
      <c r="J770" s="2">
        <v>1</v>
      </c>
      <c r="K770" s="2" t="s">
        <v>107</v>
      </c>
      <c r="L770" s="2" t="s">
        <v>107</v>
      </c>
      <c r="M770" s="3">
        <v>40239</v>
      </c>
      <c r="N770" s="2" t="s">
        <v>82</v>
      </c>
      <c r="O770" s="2" t="s">
        <v>82</v>
      </c>
      <c r="P770" s="2" t="s">
        <v>82</v>
      </c>
      <c r="Q770" s="2" t="str">
        <f>"N/C"</f>
        <v>N/C</v>
      </c>
      <c r="R770" s="2" t="s">
        <v>82</v>
      </c>
      <c r="S770" s="2" t="s">
        <v>82</v>
      </c>
      <c r="T770" s="2">
        <v>2</v>
      </c>
      <c r="U770" s="2" t="s">
        <v>123</v>
      </c>
      <c r="V770" s="2">
        <v>1</v>
      </c>
      <c r="W770" s="2" t="s">
        <v>80</v>
      </c>
      <c r="X770" s="2">
        <v>12</v>
      </c>
      <c r="Y770" s="2" t="s">
        <v>148</v>
      </c>
      <c r="Z770" s="2">
        <v>1</v>
      </c>
      <c r="AA770" s="2" t="s">
        <v>82</v>
      </c>
      <c r="AB770" s="2">
        <v>9</v>
      </c>
      <c r="AC770" s="2" t="s">
        <v>124</v>
      </c>
      <c r="AD770" s="3">
        <v>40238</v>
      </c>
      <c r="AE770" s="2"/>
      <c r="AF770" s="3">
        <v>40239</v>
      </c>
      <c r="AG770" s="4">
        <v>0.59375</v>
      </c>
      <c r="AH770" s="2">
        <v>2</v>
      </c>
      <c r="AI770" s="2" t="s">
        <v>84</v>
      </c>
      <c r="AJ770" s="2">
        <v>12</v>
      </c>
      <c r="AK770" s="2" t="s">
        <v>85</v>
      </c>
      <c r="AL770" s="2">
        <v>19</v>
      </c>
      <c r="AM770" s="2" t="s">
        <v>107</v>
      </c>
      <c r="AN770" s="2" t="s">
        <v>107</v>
      </c>
      <c r="AO770" s="2" t="s">
        <v>149</v>
      </c>
      <c r="AP770" s="2">
        <v>11</v>
      </c>
      <c r="AQ770" s="2" t="s">
        <v>82</v>
      </c>
      <c r="AR770" s="2" t="s">
        <v>82</v>
      </c>
      <c r="AS770" s="2" t="s">
        <v>82</v>
      </c>
      <c r="AT770" s="2" t="s">
        <v>3087</v>
      </c>
      <c r="AU770" s="2"/>
      <c r="AV770" s="2"/>
      <c r="AW770" s="2"/>
      <c r="AX770" s="2"/>
      <c r="AY770" s="2">
        <v>41</v>
      </c>
      <c r="AZ770" s="2" t="s">
        <v>82</v>
      </c>
      <c r="BA770" s="2">
        <v>41</v>
      </c>
      <c r="BB770" s="2" t="s">
        <v>82</v>
      </c>
      <c r="BC770" s="2">
        <v>41</v>
      </c>
      <c r="BD770" s="2" t="s">
        <v>82</v>
      </c>
      <c r="BE770" s="2">
        <v>41</v>
      </c>
      <c r="BF770" s="2" t="s">
        <v>82</v>
      </c>
      <c r="BG770" s="2" t="s">
        <v>82</v>
      </c>
      <c r="BH770" s="2"/>
      <c r="BI770" s="2"/>
      <c r="BJ770" s="2">
        <v>241</v>
      </c>
      <c r="BK770" s="2" t="s">
        <v>82</v>
      </c>
      <c r="BL770" s="2" t="s">
        <v>82</v>
      </c>
      <c r="BM770" s="2">
        <v>241</v>
      </c>
      <c r="BN770" s="2" t="s">
        <v>82</v>
      </c>
      <c r="BO770" s="2" t="s">
        <v>82</v>
      </c>
      <c r="BP770" s="2">
        <v>241</v>
      </c>
      <c r="BQ770" s="2" t="s">
        <v>82</v>
      </c>
      <c r="BR770" s="2" t="s">
        <v>82</v>
      </c>
      <c r="BS770" s="3">
        <v>40239</v>
      </c>
      <c r="BT770" s="4">
        <v>0.74023148148148143</v>
      </c>
    </row>
    <row r="771" spans="1:72" x14ac:dyDescent="0.25">
      <c r="A771" s="2">
        <v>1206</v>
      </c>
      <c r="B771" s="2">
        <v>2010</v>
      </c>
      <c r="C771" s="2" t="s">
        <v>409</v>
      </c>
      <c r="D771" s="2" t="s">
        <v>122</v>
      </c>
      <c r="E771" s="2"/>
      <c r="F771" s="2">
        <v>470</v>
      </c>
      <c r="G771" s="2" t="s">
        <v>2979</v>
      </c>
      <c r="H771" s="2">
        <v>2</v>
      </c>
      <c r="I771" s="2" t="s">
        <v>267</v>
      </c>
      <c r="J771" s="2">
        <v>371</v>
      </c>
      <c r="K771" s="2" t="s">
        <v>1138</v>
      </c>
      <c r="L771" s="2" t="s">
        <v>1139</v>
      </c>
      <c r="M771" s="3">
        <v>40239</v>
      </c>
      <c r="N771" s="2" t="s">
        <v>3088</v>
      </c>
      <c r="O771" s="2" t="s">
        <v>3089</v>
      </c>
      <c r="P771" s="2" t="s">
        <v>3090</v>
      </c>
      <c r="Q771" s="2" t="str">
        <f>"024/2010"</f>
        <v>024/2010</v>
      </c>
      <c r="R771" s="2"/>
      <c r="S771" s="2" t="s">
        <v>3091</v>
      </c>
      <c r="T771" s="2">
        <v>1</v>
      </c>
      <c r="U771" s="2" t="s">
        <v>79</v>
      </c>
      <c r="V771" s="2">
        <v>1</v>
      </c>
      <c r="W771" s="2" t="s">
        <v>80</v>
      </c>
      <c r="X771" s="2">
        <v>5</v>
      </c>
      <c r="Y771" s="2" t="s">
        <v>82</v>
      </c>
      <c r="Z771" s="2">
        <v>1</v>
      </c>
      <c r="AA771" s="2" t="s">
        <v>82</v>
      </c>
      <c r="AB771" s="2">
        <v>9</v>
      </c>
      <c r="AC771" s="2" t="s">
        <v>124</v>
      </c>
      <c r="AD771" s="2"/>
      <c r="AE771" s="2"/>
      <c r="AF771" s="2"/>
      <c r="AG771" s="2"/>
      <c r="AH771" s="2">
        <v>5</v>
      </c>
      <c r="AI771" s="2" t="s">
        <v>274</v>
      </c>
      <c r="AJ771" s="2">
        <v>38</v>
      </c>
      <c r="AK771" s="2" t="s">
        <v>1120</v>
      </c>
      <c r="AL771" s="2">
        <v>18</v>
      </c>
      <c r="AM771" s="2" t="s">
        <v>82</v>
      </c>
      <c r="AN771" s="2"/>
      <c r="AO771" s="2"/>
      <c r="AP771" s="2">
        <v>11</v>
      </c>
      <c r="AQ771" s="2" t="s">
        <v>82</v>
      </c>
      <c r="AR771" s="2"/>
      <c r="AS771" s="2"/>
      <c r="AT771" s="2" t="s">
        <v>3092</v>
      </c>
      <c r="AU771" s="2"/>
      <c r="AV771" s="2"/>
      <c r="AW771" s="2"/>
      <c r="AX771" s="2"/>
      <c r="AY771" s="2">
        <v>1</v>
      </c>
      <c r="AZ771" s="2" t="s">
        <v>107</v>
      </c>
      <c r="BA771" s="2">
        <v>1</v>
      </c>
      <c r="BB771" s="2" t="s">
        <v>107</v>
      </c>
      <c r="BC771" s="2">
        <v>1</v>
      </c>
      <c r="BD771" s="2" t="s">
        <v>107</v>
      </c>
      <c r="BE771" s="2">
        <v>1</v>
      </c>
      <c r="BF771" s="2" t="s">
        <v>107</v>
      </c>
      <c r="BG771" s="2"/>
      <c r="BH771" s="2"/>
      <c r="BI771" s="2"/>
      <c r="BJ771" s="2">
        <v>242</v>
      </c>
      <c r="BK771" s="2" t="s">
        <v>107</v>
      </c>
      <c r="BL771" s="2"/>
      <c r="BM771" s="2">
        <v>242</v>
      </c>
      <c r="BN771" s="2" t="s">
        <v>107</v>
      </c>
      <c r="BO771" s="2"/>
      <c r="BP771" s="2">
        <v>242</v>
      </c>
      <c r="BQ771" s="2" t="s">
        <v>107</v>
      </c>
      <c r="BR771" s="2"/>
      <c r="BS771" s="3">
        <v>40239</v>
      </c>
      <c r="BT771" s="4">
        <v>0.81004629629629632</v>
      </c>
    </row>
    <row r="772" spans="1:72" x14ac:dyDescent="0.25">
      <c r="A772" s="2">
        <v>1207</v>
      </c>
      <c r="B772" s="2">
        <v>2010</v>
      </c>
      <c r="C772" s="2" t="s">
        <v>255</v>
      </c>
      <c r="D772" s="2" t="s">
        <v>73</v>
      </c>
      <c r="E772" s="2"/>
      <c r="F772" s="2">
        <v>45</v>
      </c>
      <c r="G772" s="2" t="s">
        <v>1408</v>
      </c>
      <c r="H772" s="2">
        <v>47</v>
      </c>
      <c r="I772" s="2" t="s">
        <v>1409</v>
      </c>
      <c r="J772" s="2">
        <v>77</v>
      </c>
      <c r="K772" s="2" t="s">
        <v>2517</v>
      </c>
      <c r="L772" s="2" t="s">
        <v>2518</v>
      </c>
      <c r="M772" s="3">
        <v>40239</v>
      </c>
      <c r="N772" s="2" t="s">
        <v>2795</v>
      </c>
      <c r="O772" s="2"/>
      <c r="P772" s="2"/>
      <c r="Q772" s="2" t="str">
        <f>"007/2010"</f>
        <v>007/2010</v>
      </c>
      <c r="R772" s="2" t="s">
        <v>3093</v>
      </c>
      <c r="S772" s="2" t="s">
        <v>3093</v>
      </c>
      <c r="T772" s="2">
        <v>1</v>
      </c>
      <c r="U772" s="2" t="s">
        <v>79</v>
      </c>
      <c r="V772" s="2">
        <v>1</v>
      </c>
      <c r="W772" s="2" t="s">
        <v>80</v>
      </c>
      <c r="X772" s="2">
        <v>1</v>
      </c>
      <c r="Y772" s="2" t="s">
        <v>81</v>
      </c>
      <c r="Z772" s="2">
        <v>3</v>
      </c>
      <c r="AA772" s="2" t="s">
        <v>257</v>
      </c>
      <c r="AB772" s="2">
        <v>9</v>
      </c>
      <c r="AC772" s="2" t="s">
        <v>124</v>
      </c>
      <c r="AD772" s="3">
        <v>40239</v>
      </c>
      <c r="AE772" s="4">
        <v>0.5</v>
      </c>
      <c r="AF772" s="3">
        <v>40239</v>
      </c>
      <c r="AG772" s="4">
        <v>0.71180555555555547</v>
      </c>
      <c r="AH772" s="2">
        <v>4</v>
      </c>
      <c r="AI772" s="2" t="s">
        <v>125</v>
      </c>
      <c r="AJ772" s="2">
        <v>31</v>
      </c>
      <c r="AK772" s="2" t="s">
        <v>1413</v>
      </c>
      <c r="AL772" s="2">
        <v>9</v>
      </c>
      <c r="AM772" s="2" t="s">
        <v>259</v>
      </c>
      <c r="AN772" s="2" t="s">
        <v>3094</v>
      </c>
      <c r="AO772" s="2"/>
      <c r="AP772" s="2">
        <v>11</v>
      </c>
      <c r="AQ772" s="2" t="s">
        <v>82</v>
      </c>
      <c r="AR772" s="2"/>
      <c r="AS772" s="2"/>
      <c r="AT772" s="2" t="s">
        <v>3095</v>
      </c>
      <c r="AU772" s="2"/>
      <c r="AV772" s="2"/>
      <c r="AW772" s="2"/>
      <c r="AX772" s="2"/>
      <c r="AY772" s="2">
        <v>44</v>
      </c>
      <c r="AZ772" s="2" t="s">
        <v>262</v>
      </c>
      <c r="BA772" s="2">
        <v>44</v>
      </c>
      <c r="BB772" s="2" t="s">
        <v>262</v>
      </c>
      <c r="BC772" s="2">
        <v>44</v>
      </c>
      <c r="BD772" s="2" t="s">
        <v>262</v>
      </c>
      <c r="BE772" s="2">
        <v>41</v>
      </c>
      <c r="BF772" s="2" t="s">
        <v>82</v>
      </c>
      <c r="BG772" s="2"/>
      <c r="BH772" s="2"/>
      <c r="BI772" s="2"/>
      <c r="BJ772" s="2">
        <v>241</v>
      </c>
      <c r="BK772" s="2" t="s">
        <v>82</v>
      </c>
      <c r="BL772" s="2"/>
      <c r="BM772" s="2">
        <v>241</v>
      </c>
      <c r="BN772" s="2" t="s">
        <v>82</v>
      </c>
      <c r="BO772" s="2"/>
      <c r="BP772" s="2">
        <v>241</v>
      </c>
      <c r="BQ772" s="2" t="s">
        <v>82</v>
      </c>
      <c r="BR772" s="2"/>
      <c r="BS772" s="3">
        <v>40239</v>
      </c>
      <c r="BT772" s="4">
        <v>0.85469907407407408</v>
      </c>
    </row>
    <row r="773" spans="1:72" x14ac:dyDescent="0.25">
      <c r="A773" s="2">
        <v>1209</v>
      </c>
      <c r="B773" s="2">
        <v>2010</v>
      </c>
      <c r="C773" s="2" t="s">
        <v>819</v>
      </c>
      <c r="D773" s="2" t="s">
        <v>122</v>
      </c>
      <c r="E773" s="2"/>
      <c r="F773" s="2">
        <v>451</v>
      </c>
      <c r="G773" s="2" t="s">
        <v>879</v>
      </c>
      <c r="H773" s="2">
        <v>31</v>
      </c>
      <c r="I773" s="2" t="s">
        <v>880</v>
      </c>
      <c r="J773" s="2">
        <v>326</v>
      </c>
      <c r="K773" s="2" t="s">
        <v>881</v>
      </c>
      <c r="L773" s="2" t="s">
        <v>882</v>
      </c>
      <c r="M773" s="3">
        <v>40239</v>
      </c>
      <c r="N773" s="2" t="s">
        <v>3096</v>
      </c>
      <c r="O773" s="2"/>
      <c r="P773" s="2"/>
      <c r="Q773" s="2" t="str">
        <f>"019/10"</f>
        <v>019/10</v>
      </c>
      <c r="R773" s="2" t="s">
        <v>822</v>
      </c>
      <c r="S773" s="2"/>
      <c r="T773" s="2">
        <v>1</v>
      </c>
      <c r="U773" s="2" t="s">
        <v>79</v>
      </c>
      <c r="V773" s="2">
        <v>1</v>
      </c>
      <c r="W773" s="2" t="s">
        <v>80</v>
      </c>
      <c r="X773" s="2">
        <v>1</v>
      </c>
      <c r="Y773" s="2" t="s">
        <v>81</v>
      </c>
      <c r="Z773" s="2">
        <v>10</v>
      </c>
      <c r="AA773" s="2" t="s">
        <v>236</v>
      </c>
      <c r="AB773" s="2">
        <v>9</v>
      </c>
      <c r="AC773" s="2" t="s">
        <v>124</v>
      </c>
      <c r="AD773" s="3">
        <v>40239</v>
      </c>
      <c r="AE773" s="4">
        <v>0.86805555555555547</v>
      </c>
      <c r="AF773" s="2"/>
      <c r="AG773" s="2"/>
      <c r="AH773" s="2">
        <v>4</v>
      </c>
      <c r="AI773" s="2" t="s">
        <v>125</v>
      </c>
      <c r="AJ773" s="2">
        <v>29</v>
      </c>
      <c r="AK773" s="2" t="s">
        <v>227</v>
      </c>
      <c r="AL773" s="2">
        <v>10</v>
      </c>
      <c r="AM773" s="2" t="s">
        <v>200</v>
      </c>
      <c r="AN773" s="2" t="s">
        <v>1015</v>
      </c>
      <c r="AO773" s="2" t="s">
        <v>200</v>
      </c>
      <c r="AP773" s="2">
        <v>12</v>
      </c>
      <c r="AQ773" s="2" t="s">
        <v>322</v>
      </c>
      <c r="AR773" s="2" t="s">
        <v>824</v>
      </c>
      <c r="AS773" s="2" t="s">
        <v>825</v>
      </c>
      <c r="AT773" s="2" t="s">
        <v>3097</v>
      </c>
      <c r="AU773" s="2"/>
      <c r="AV773" s="2"/>
      <c r="AW773" s="2"/>
      <c r="AX773" s="2"/>
      <c r="AY773" s="2">
        <v>41</v>
      </c>
      <c r="AZ773" s="2" t="s">
        <v>82</v>
      </c>
      <c r="BA773" s="2">
        <v>41</v>
      </c>
      <c r="BB773" s="2" t="s">
        <v>82</v>
      </c>
      <c r="BC773" s="2">
        <v>51</v>
      </c>
      <c r="BD773" s="2" t="s">
        <v>827</v>
      </c>
      <c r="BE773" s="2">
        <v>13</v>
      </c>
      <c r="BF773" s="2" t="s">
        <v>108</v>
      </c>
      <c r="BG773" s="2">
        <v>1459</v>
      </c>
      <c r="BH773" s="4">
        <v>0.84027777777777779</v>
      </c>
      <c r="BI773" s="4">
        <v>0.875</v>
      </c>
      <c r="BJ773" s="2">
        <v>13</v>
      </c>
      <c r="BK773" s="2" t="s">
        <v>91</v>
      </c>
      <c r="BL773" s="2" t="s">
        <v>828</v>
      </c>
      <c r="BM773" s="2">
        <v>241</v>
      </c>
      <c r="BN773" s="2" t="s">
        <v>82</v>
      </c>
      <c r="BO773" s="2" t="s">
        <v>82</v>
      </c>
      <c r="BP773" s="2">
        <v>13</v>
      </c>
      <c r="BQ773" s="2" t="s">
        <v>91</v>
      </c>
      <c r="BR773" s="2" t="s">
        <v>185</v>
      </c>
      <c r="BS773" s="3">
        <v>40239</v>
      </c>
      <c r="BT773" s="4">
        <v>0.96442129629629625</v>
      </c>
    </row>
    <row r="774" spans="1:72" x14ac:dyDescent="0.25">
      <c r="A774" s="2">
        <v>1210</v>
      </c>
      <c r="B774" s="2">
        <v>2010</v>
      </c>
      <c r="C774" s="2" t="s">
        <v>72</v>
      </c>
      <c r="D774" s="2" t="s">
        <v>73</v>
      </c>
      <c r="E774" s="2"/>
      <c r="F774" s="2">
        <v>2</v>
      </c>
      <c r="G774" s="2" t="s">
        <v>113</v>
      </c>
      <c r="H774" s="2">
        <v>42</v>
      </c>
      <c r="I774" s="2" t="s">
        <v>1096</v>
      </c>
      <c r="J774" s="2">
        <v>300</v>
      </c>
      <c r="K774" s="2" t="s">
        <v>114</v>
      </c>
      <c r="L774" s="2" t="s">
        <v>115</v>
      </c>
      <c r="M774" s="3">
        <v>40239</v>
      </c>
      <c r="N774" s="2" t="s">
        <v>3098</v>
      </c>
      <c r="O774" s="2" t="s">
        <v>107</v>
      </c>
      <c r="P774" s="2" t="s">
        <v>107</v>
      </c>
      <c r="Q774" s="2" t="str">
        <f>"118-E/10"</f>
        <v>118-E/10</v>
      </c>
      <c r="R774" s="2" t="s">
        <v>116</v>
      </c>
      <c r="S774" s="2" t="s">
        <v>116</v>
      </c>
      <c r="T774" s="2">
        <v>1</v>
      </c>
      <c r="U774" s="2" t="s">
        <v>79</v>
      </c>
      <c r="V774" s="2">
        <v>1</v>
      </c>
      <c r="W774" s="2" t="s">
        <v>80</v>
      </c>
      <c r="X774" s="2">
        <v>1</v>
      </c>
      <c r="Y774" s="2" t="s">
        <v>81</v>
      </c>
      <c r="Z774" s="2">
        <v>1</v>
      </c>
      <c r="AA774" s="2" t="s">
        <v>82</v>
      </c>
      <c r="AB774" s="2">
        <v>6</v>
      </c>
      <c r="AC774" s="2" t="s">
        <v>83</v>
      </c>
      <c r="AD774" s="3">
        <v>40239</v>
      </c>
      <c r="AE774" s="4">
        <v>0.4375</v>
      </c>
      <c r="AF774" s="3">
        <v>40239</v>
      </c>
      <c r="AG774" s="4">
        <v>0.5</v>
      </c>
      <c r="AH774" s="2">
        <v>2</v>
      </c>
      <c r="AI774" s="2" t="s">
        <v>84</v>
      </c>
      <c r="AJ774" s="2">
        <v>9</v>
      </c>
      <c r="AK774" s="2" t="s">
        <v>103</v>
      </c>
      <c r="AL774" s="2">
        <v>12</v>
      </c>
      <c r="AM774" s="2" t="s">
        <v>86</v>
      </c>
      <c r="AN774" s="2" t="s">
        <v>3099</v>
      </c>
      <c r="AO774" s="2" t="s">
        <v>3100</v>
      </c>
      <c r="AP774" s="2">
        <v>11</v>
      </c>
      <c r="AQ774" s="2" t="s">
        <v>82</v>
      </c>
      <c r="AR774" s="2"/>
      <c r="AS774" s="2"/>
      <c r="AT774" s="2" t="s">
        <v>3101</v>
      </c>
      <c r="AU774" s="2"/>
      <c r="AV774" s="2"/>
      <c r="AW774" s="2">
        <v>2</v>
      </c>
      <c r="AX774" s="2"/>
      <c r="AY774" s="2">
        <v>41</v>
      </c>
      <c r="AZ774" s="2" t="s">
        <v>82</v>
      </c>
      <c r="BA774" s="2">
        <v>41</v>
      </c>
      <c r="BB774" s="2" t="s">
        <v>82</v>
      </c>
      <c r="BC774" s="2">
        <v>41</v>
      </c>
      <c r="BD774" s="2" t="s">
        <v>82</v>
      </c>
      <c r="BE774" s="2">
        <v>17</v>
      </c>
      <c r="BF774" s="2" t="s">
        <v>508</v>
      </c>
      <c r="BG774" s="2" t="s">
        <v>3102</v>
      </c>
      <c r="BH774" s="4">
        <v>0.36458333333333331</v>
      </c>
      <c r="BI774" s="4">
        <v>0</v>
      </c>
      <c r="BJ774" s="2">
        <v>173</v>
      </c>
      <c r="BK774" s="2" t="s">
        <v>223</v>
      </c>
      <c r="BL774" s="2" t="s">
        <v>224</v>
      </c>
      <c r="BM774" s="2">
        <v>241</v>
      </c>
      <c r="BN774" s="2" t="s">
        <v>82</v>
      </c>
      <c r="BO774" s="2"/>
      <c r="BP774" s="2">
        <v>13</v>
      </c>
      <c r="BQ774" s="2" t="s">
        <v>91</v>
      </c>
      <c r="BR774" s="2" t="s">
        <v>1084</v>
      </c>
      <c r="BS774" s="3">
        <v>40239</v>
      </c>
      <c r="BT774" s="4">
        <v>0.99609953703703702</v>
      </c>
    </row>
    <row r="775" spans="1:72" x14ac:dyDescent="0.25">
      <c r="A775" s="2">
        <v>1211</v>
      </c>
      <c r="B775" s="2">
        <v>2010</v>
      </c>
      <c r="C775" s="2" t="s">
        <v>72</v>
      </c>
      <c r="D775" s="2" t="s">
        <v>73</v>
      </c>
      <c r="E775" s="2"/>
      <c r="F775" s="2">
        <v>390</v>
      </c>
      <c r="G775" s="2" t="s">
        <v>475</v>
      </c>
      <c r="H775" s="2">
        <v>5</v>
      </c>
      <c r="I775" s="2" t="s">
        <v>634</v>
      </c>
      <c r="J775" s="2">
        <v>314</v>
      </c>
      <c r="K775" s="2" t="s">
        <v>477</v>
      </c>
      <c r="L775" s="2" t="s">
        <v>478</v>
      </c>
      <c r="M775" s="3">
        <v>40240</v>
      </c>
      <c r="N775" s="2" t="s">
        <v>3103</v>
      </c>
      <c r="O775" s="2" t="s">
        <v>107</v>
      </c>
      <c r="P775" s="2" t="s">
        <v>107</v>
      </c>
      <c r="Q775" s="2" t="str">
        <f>"119-E/10"</f>
        <v>119-E/10</v>
      </c>
      <c r="R775" s="2" t="s">
        <v>601</v>
      </c>
      <c r="S775" s="2" t="s">
        <v>601</v>
      </c>
      <c r="T775" s="2">
        <v>1</v>
      </c>
      <c r="U775" s="2" t="s">
        <v>79</v>
      </c>
      <c r="V775" s="2">
        <v>1</v>
      </c>
      <c r="W775" s="2" t="s">
        <v>80</v>
      </c>
      <c r="X775" s="2">
        <v>1</v>
      </c>
      <c r="Y775" s="2" t="s">
        <v>81</v>
      </c>
      <c r="Z775" s="2">
        <v>1</v>
      </c>
      <c r="AA775" s="2" t="s">
        <v>82</v>
      </c>
      <c r="AB775" s="2">
        <v>6</v>
      </c>
      <c r="AC775" s="2" t="s">
        <v>83</v>
      </c>
      <c r="AD775" s="3">
        <v>40236</v>
      </c>
      <c r="AE775" s="4">
        <v>0.4375</v>
      </c>
      <c r="AF775" s="3">
        <v>40239</v>
      </c>
      <c r="AG775" s="4">
        <v>0.6875</v>
      </c>
      <c r="AH775" s="2">
        <v>2</v>
      </c>
      <c r="AI775" s="2" t="s">
        <v>84</v>
      </c>
      <c r="AJ775" s="2">
        <v>9</v>
      </c>
      <c r="AK775" s="2" t="s">
        <v>103</v>
      </c>
      <c r="AL775" s="2">
        <v>14</v>
      </c>
      <c r="AM775" s="2" t="s">
        <v>216</v>
      </c>
      <c r="AN775" s="2" t="s">
        <v>3104</v>
      </c>
      <c r="AO775" s="2" t="s">
        <v>3105</v>
      </c>
      <c r="AP775" s="2">
        <v>11</v>
      </c>
      <c r="AQ775" s="2" t="s">
        <v>82</v>
      </c>
      <c r="AR775" s="2"/>
      <c r="AS775" s="2"/>
      <c r="AT775" s="2" t="s">
        <v>3106</v>
      </c>
      <c r="AU775" s="2"/>
      <c r="AV775" s="2"/>
      <c r="AW775" s="2"/>
      <c r="AX775" s="2"/>
      <c r="AY775" s="2">
        <v>41</v>
      </c>
      <c r="AZ775" s="2" t="s">
        <v>82</v>
      </c>
      <c r="BA775" s="2">
        <v>41</v>
      </c>
      <c r="BB775" s="2" t="s">
        <v>82</v>
      </c>
      <c r="BC775" s="2">
        <v>41</v>
      </c>
      <c r="BD775" s="2" t="s">
        <v>82</v>
      </c>
      <c r="BE775" s="2">
        <v>31</v>
      </c>
      <c r="BF775" s="2" t="s">
        <v>398</v>
      </c>
      <c r="BG775" s="2" t="s">
        <v>3107</v>
      </c>
      <c r="BH775" s="4">
        <v>0.4375</v>
      </c>
      <c r="BI775" s="4">
        <v>0.97916666666666663</v>
      </c>
      <c r="BJ775" s="2">
        <v>73</v>
      </c>
      <c r="BK775" s="2" t="s">
        <v>186</v>
      </c>
      <c r="BL775" s="2" t="s">
        <v>187</v>
      </c>
      <c r="BM775" s="2">
        <v>241</v>
      </c>
      <c r="BN775" s="2" t="s">
        <v>82</v>
      </c>
      <c r="BO775" s="2"/>
      <c r="BP775" s="2">
        <v>13</v>
      </c>
      <c r="BQ775" s="2" t="s">
        <v>91</v>
      </c>
      <c r="BR775" s="2" t="s">
        <v>360</v>
      </c>
      <c r="BS775" s="3">
        <v>40240</v>
      </c>
      <c r="BT775" s="4">
        <v>1.9305555555555555E-2</v>
      </c>
    </row>
    <row r="776" spans="1:72" x14ac:dyDescent="0.25">
      <c r="A776" s="2">
        <v>1215</v>
      </c>
      <c r="B776" s="2">
        <v>2010</v>
      </c>
      <c r="C776" s="2" t="s">
        <v>819</v>
      </c>
      <c r="D776" s="2" t="s">
        <v>122</v>
      </c>
      <c r="E776" s="2" t="s">
        <v>3108</v>
      </c>
      <c r="F776" s="2">
        <v>451</v>
      </c>
      <c r="G776" s="2" t="s">
        <v>879</v>
      </c>
      <c r="H776" s="2">
        <v>31</v>
      </c>
      <c r="I776" s="2" t="s">
        <v>880</v>
      </c>
      <c r="J776" s="2">
        <v>326</v>
      </c>
      <c r="K776" s="2" t="s">
        <v>881</v>
      </c>
      <c r="L776" s="2" t="s">
        <v>882</v>
      </c>
      <c r="M776" s="3">
        <v>40240</v>
      </c>
      <c r="N776" s="2" t="s">
        <v>3096</v>
      </c>
      <c r="O776" s="2"/>
      <c r="P776" s="2"/>
      <c r="Q776" s="2" t="str">
        <f>"019/10"</f>
        <v>019/10</v>
      </c>
      <c r="R776" s="2"/>
      <c r="S776" s="2" t="s">
        <v>822</v>
      </c>
      <c r="T776" s="2">
        <v>1</v>
      </c>
      <c r="U776" s="2" t="s">
        <v>79</v>
      </c>
      <c r="V776" s="2">
        <v>1</v>
      </c>
      <c r="W776" s="2" t="s">
        <v>80</v>
      </c>
      <c r="X776" s="2">
        <v>1</v>
      </c>
      <c r="Y776" s="2" t="s">
        <v>81</v>
      </c>
      <c r="Z776" s="2">
        <v>10</v>
      </c>
      <c r="AA776" s="2" t="s">
        <v>236</v>
      </c>
      <c r="AB776" s="2">
        <v>9</v>
      </c>
      <c r="AC776" s="2" t="s">
        <v>124</v>
      </c>
      <c r="AD776" s="3">
        <v>40240</v>
      </c>
      <c r="AE776" s="4">
        <v>0.38194444444444442</v>
      </c>
      <c r="AF776" s="2"/>
      <c r="AG776" s="2"/>
      <c r="AH776" s="2">
        <v>4</v>
      </c>
      <c r="AI776" s="2" t="s">
        <v>125</v>
      </c>
      <c r="AJ776" s="2">
        <v>29</v>
      </c>
      <c r="AK776" s="2" t="s">
        <v>227</v>
      </c>
      <c r="AL776" s="2">
        <v>10</v>
      </c>
      <c r="AM776" s="2" t="s">
        <v>200</v>
      </c>
      <c r="AN776" s="2" t="s">
        <v>3109</v>
      </c>
      <c r="AO776" s="2" t="s">
        <v>3110</v>
      </c>
      <c r="AP776" s="2">
        <v>12</v>
      </c>
      <c r="AQ776" s="2" t="s">
        <v>322</v>
      </c>
      <c r="AR776" s="2" t="s">
        <v>824</v>
      </c>
      <c r="AS776" s="2" t="s">
        <v>825</v>
      </c>
      <c r="AT776" s="2" t="s">
        <v>3111</v>
      </c>
      <c r="AU776" s="2"/>
      <c r="AV776" s="2"/>
      <c r="AW776" s="2"/>
      <c r="AX776" s="2"/>
      <c r="AY776" s="2">
        <v>41</v>
      </c>
      <c r="AZ776" s="2" t="s">
        <v>82</v>
      </c>
      <c r="BA776" s="2">
        <v>41</v>
      </c>
      <c r="BB776" s="2" t="s">
        <v>82</v>
      </c>
      <c r="BC776" s="2">
        <v>51</v>
      </c>
      <c r="BD776" s="2" t="s">
        <v>827</v>
      </c>
      <c r="BE776" s="2">
        <v>13</v>
      </c>
      <c r="BF776" s="2" t="s">
        <v>108</v>
      </c>
      <c r="BG776" s="2">
        <v>1459</v>
      </c>
      <c r="BH776" s="4">
        <v>0.84027777777777779</v>
      </c>
      <c r="BI776" s="4">
        <v>0.875</v>
      </c>
      <c r="BJ776" s="2">
        <v>13</v>
      </c>
      <c r="BK776" s="2" t="s">
        <v>91</v>
      </c>
      <c r="BL776" s="2" t="s">
        <v>828</v>
      </c>
      <c r="BM776" s="2">
        <v>241</v>
      </c>
      <c r="BN776" s="2" t="s">
        <v>82</v>
      </c>
      <c r="BO776" s="2" t="s">
        <v>82</v>
      </c>
      <c r="BP776" s="2">
        <v>13</v>
      </c>
      <c r="BQ776" s="2" t="s">
        <v>91</v>
      </c>
      <c r="BR776" s="2" t="s">
        <v>185</v>
      </c>
      <c r="BS776" s="3">
        <v>40240</v>
      </c>
      <c r="BT776" s="4">
        <v>0.47236111111111106</v>
      </c>
    </row>
    <row r="777" spans="1:72" x14ac:dyDescent="0.25">
      <c r="A777" s="2">
        <v>1218</v>
      </c>
      <c r="B777" s="2">
        <v>2010</v>
      </c>
      <c r="C777" s="2" t="s">
        <v>196</v>
      </c>
      <c r="D777" s="2" t="s">
        <v>122</v>
      </c>
      <c r="E777" s="2"/>
      <c r="F777" s="2">
        <v>1</v>
      </c>
      <c r="G777" s="2" t="s">
        <v>82</v>
      </c>
      <c r="H777" s="2">
        <v>1</v>
      </c>
      <c r="I777" s="2" t="s">
        <v>82</v>
      </c>
      <c r="J777" s="2">
        <v>1</v>
      </c>
      <c r="K777" s="2" t="s">
        <v>107</v>
      </c>
      <c r="L777" s="2" t="s">
        <v>107</v>
      </c>
      <c r="M777" s="3">
        <v>40240</v>
      </c>
      <c r="N777" s="2"/>
      <c r="O777" s="2"/>
      <c r="P777" s="2"/>
      <c r="Q777" s="2" t="str">
        <f>""</f>
        <v/>
      </c>
      <c r="R777" s="2"/>
      <c r="S777" s="2"/>
      <c r="T777" s="2">
        <v>2</v>
      </c>
      <c r="U777" s="2" t="s">
        <v>123</v>
      </c>
      <c r="V777" s="2">
        <v>1</v>
      </c>
      <c r="W777" s="2" t="s">
        <v>80</v>
      </c>
      <c r="X777" s="2">
        <v>1</v>
      </c>
      <c r="Y777" s="2" t="s">
        <v>81</v>
      </c>
      <c r="Z777" s="2">
        <v>1</v>
      </c>
      <c r="AA777" s="2" t="s">
        <v>82</v>
      </c>
      <c r="AB777" s="2">
        <v>9</v>
      </c>
      <c r="AC777" s="2" t="s">
        <v>124</v>
      </c>
      <c r="AD777" s="3">
        <v>40240</v>
      </c>
      <c r="AE777" s="4">
        <v>0.39583333333333331</v>
      </c>
      <c r="AF777" s="2"/>
      <c r="AG777" s="2"/>
      <c r="AH777" s="2">
        <v>2</v>
      </c>
      <c r="AI777" s="2" t="s">
        <v>84</v>
      </c>
      <c r="AJ777" s="2">
        <v>12</v>
      </c>
      <c r="AK777" s="2" t="s">
        <v>85</v>
      </c>
      <c r="AL777" s="2">
        <v>20</v>
      </c>
      <c r="AM777" s="2" t="s">
        <v>992</v>
      </c>
      <c r="AN777" s="2" t="s">
        <v>3112</v>
      </c>
      <c r="AO777" s="2" t="s">
        <v>82</v>
      </c>
      <c r="AP777" s="2">
        <v>11</v>
      </c>
      <c r="AQ777" s="2" t="s">
        <v>82</v>
      </c>
      <c r="AR777" s="2"/>
      <c r="AS777" s="2"/>
      <c r="AT777" s="2" t="s">
        <v>3113</v>
      </c>
      <c r="AU777" s="2"/>
      <c r="AV777" s="2"/>
      <c r="AW777" s="2"/>
      <c r="AX777" s="2"/>
      <c r="AY777" s="2">
        <v>41</v>
      </c>
      <c r="AZ777" s="2" t="s">
        <v>82</v>
      </c>
      <c r="BA777" s="2">
        <v>41</v>
      </c>
      <c r="BB777" s="2" t="s">
        <v>82</v>
      </c>
      <c r="BC777" s="2">
        <v>41</v>
      </c>
      <c r="BD777" s="2" t="s">
        <v>82</v>
      </c>
      <c r="BE777" s="2">
        <v>41</v>
      </c>
      <c r="BF777" s="2" t="s">
        <v>82</v>
      </c>
      <c r="BG777" s="2"/>
      <c r="BH777" s="4">
        <v>0.47222222222222227</v>
      </c>
      <c r="BI777" s="4">
        <v>0.47916666666666669</v>
      </c>
      <c r="BJ777" s="2">
        <v>13</v>
      </c>
      <c r="BK777" s="2" t="s">
        <v>91</v>
      </c>
      <c r="BL777" s="2" t="s">
        <v>1040</v>
      </c>
      <c r="BM777" s="2">
        <v>241</v>
      </c>
      <c r="BN777" s="2" t="s">
        <v>82</v>
      </c>
      <c r="BO777" s="2"/>
      <c r="BP777" s="2">
        <v>13</v>
      </c>
      <c r="BQ777" s="2" t="s">
        <v>91</v>
      </c>
      <c r="BR777" s="2" t="s">
        <v>92</v>
      </c>
      <c r="BS777" s="3">
        <v>40240</v>
      </c>
      <c r="BT777" s="4">
        <v>0.54043981481481485</v>
      </c>
    </row>
    <row r="778" spans="1:72" x14ac:dyDescent="0.25">
      <c r="A778" s="2">
        <v>1222</v>
      </c>
      <c r="B778" s="2">
        <v>2010</v>
      </c>
      <c r="C778" s="2" t="s">
        <v>409</v>
      </c>
      <c r="D778" s="2" t="s">
        <v>122</v>
      </c>
      <c r="E778" s="2"/>
      <c r="F778" s="2">
        <v>388</v>
      </c>
      <c r="G778" s="2" t="s">
        <v>3114</v>
      </c>
      <c r="H778" s="2">
        <v>42</v>
      </c>
      <c r="I778" s="2" t="s">
        <v>1096</v>
      </c>
      <c r="J778" s="2">
        <v>452</v>
      </c>
      <c r="K778" s="2" t="s">
        <v>3115</v>
      </c>
      <c r="L778" s="2" t="s">
        <v>3116</v>
      </c>
      <c r="M778" s="3">
        <v>40240</v>
      </c>
      <c r="N778" s="2" t="s">
        <v>3117</v>
      </c>
      <c r="O778" s="2"/>
      <c r="P778" s="2"/>
      <c r="Q778" s="2" t="str">
        <f>"0002/2010"</f>
        <v>0002/2010</v>
      </c>
      <c r="R778" s="2"/>
      <c r="S778" s="2" t="s">
        <v>3118</v>
      </c>
      <c r="T778" s="2">
        <v>1</v>
      </c>
      <c r="U778" s="2" t="s">
        <v>79</v>
      </c>
      <c r="V778" s="2">
        <v>1</v>
      </c>
      <c r="W778" s="2" t="s">
        <v>80</v>
      </c>
      <c r="X778" s="2">
        <v>3</v>
      </c>
      <c r="Y778" s="2" t="s">
        <v>698</v>
      </c>
      <c r="Z778" s="2">
        <v>1</v>
      </c>
      <c r="AA778" s="2" t="s">
        <v>82</v>
      </c>
      <c r="AB778" s="2">
        <v>9</v>
      </c>
      <c r="AC778" s="2" t="s">
        <v>124</v>
      </c>
      <c r="AD778" s="3">
        <v>40240</v>
      </c>
      <c r="AE778" s="4">
        <v>0.375</v>
      </c>
      <c r="AF778" s="2"/>
      <c r="AG778" s="2"/>
      <c r="AH778" s="2">
        <v>5</v>
      </c>
      <c r="AI778" s="2" t="s">
        <v>274</v>
      </c>
      <c r="AJ778" s="2">
        <v>43</v>
      </c>
      <c r="AK778" s="2" t="s">
        <v>918</v>
      </c>
      <c r="AL778" s="2">
        <v>18</v>
      </c>
      <c r="AM778" s="2" t="s">
        <v>82</v>
      </c>
      <c r="AN778" s="2"/>
      <c r="AO778" s="2"/>
      <c r="AP778" s="2">
        <v>11</v>
      </c>
      <c r="AQ778" s="2" t="s">
        <v>82</v>
      </c>
      <c r="AR778" s="2"/>
      <c r="AS778" s="2"/>
      <c r="AT778" s="2" t="s">
        <v>3119</v>
      </c>
      <c r="AU778" s="2"/>
      <c r="AV778" s="2">
        <v>1</v>
      </c>
      <c r="AW778" s="2"/>
      <c r="AX778" s="2"/>
      <c r="AY778" s="2">
        <v>41</v>
      </c>
      <c r="AZ778" s="2" t="s">
        <v>82</v>
      </c>
      <c r="BA778" s="2">
        <v>41</v>
      </c>
      <c r="BB778" s="2" t="s">
        <v>82</v>
      </c>
      <c r="BC778" s="2">
        <v>41</v>
      </c>
      <c r="BD778" s="2" t="s">
        <v>82</v>
      </c>
      <c r="BE778" s="2">
        <v>41</v>
      </c>
      <c r="BF778" s="2" t="s">
        <v>82</v>
      </c>
      <c r="BG778" s="2"/>
      <c r="BH778" s="2"/>
      <c r="BI778" s="2"/>
      <c r="BJ778" s="2">
        <v>241</v>
      </c>
      <c r="BK778" s="2" t="s">
        <v>82</v>
      </c>
      <c r="BL778" s="2"/>
      <c r="BM778" s="2">
        <v>241</v>
      </c>
      <c r="BN778" s="2" t="s">
        <v>82</v>
      </c>
      <c r="BO778" s="2"/>
      <c r="BP778" s="2">
        <v>241</v>
      </c>
      <c r="BQ778" s="2" t="s">
        <v>82</v>
      </c>
      <c r="BR778" s="2"/>
      <c r="BS778" s="3">
        <v>40240</v>
      </c>
      <c r="BT778" s="4">
        <v>0.60648148148148151</v>
      </c>
    </row>
    <row r="779" spans="1:72" x14ac:dyDescent="0.25">
      <c r="A779" s="2">
        <v>1223</v>
      </c>
      <c r="B779" s="2">
        <v>2010</v>
      </c>
      <c r="C779" s="2" t="s">
        <v>196</v>
      </c>
      <c r="D779" s="2" t="s">
        <v>122</v>
      </c>
      <c r="E779" s="2"/>
      <c r="F779" s="2">
        <v>1</v>
      </c>
      <c r="G779" s="2" t="s">
        <v>82</v>
      </c>
      <c r="H779" s="2">
        <v>1</v>
      </c>
      <c r="I779" s="2" t="s">
        <v>82</v>
      </c>
      <c r="J779" s="2">
        <v>1</v>
      </c>
      <c r="K779" s="2" t="s">
        <v>107</v>
      </c>
      <c r="L779" s="2" t="s">
        <v>107</v>
      </c>
      <c r="M779" s="3">
        <v>40240</v>
      </c>
      <c r="N779" s="2"/>
      <c r="O779" s="2"/>
      <c r="P779" s="2"/>
      <c r="Q779" s="2" t="str">
        <f>""</f>
        <v/>
      </c>
      <c r="R779" s="2"/>
      <c r="S779" s="2"/>
      <c r="T779" s="2">
        <v>2</v>
      </c>
      <c r="U779" s="2" t="s">
        <v>123</v>
      </c>
      <c r="V779" s="2">
        <v>1</v>
      </c>
      <c r="W779" s="2" t="s">
        <v>80</v>
      </c>
      <c r="X779" s="2">
        <v>5</v>
      </c>
      <c r="Y779" s="2" t="s">
        <v>82</v>
      </c>
      <c r="Z779" s="2">
        <v>1</v>
      </c>
      <c r="AA779" s="2" t="s">
        <v>82</v>
      </c>
      <c r="AB779" s="2">
        <v>9</v>
      </c>
      <c r="AC779" s="2" t="s">
        <v>124</v>
      </c>
      <c r="AD779" s="3">
        <v>40240</v>
      </c>
      <c r="AE779" s="4">
        <v>0.53819444444444442</v>
      </c>
      <c r="AF779" s="2"/>
      <c r="AG779" s="2"/>
      <c r="AH779" s="2">
        <v>5</v>
      </c>
      <c r="AI779" s="2" t="s">
        <v>274</v>
      </c>
      <c r="AJ779" s="2">
        <v>38</v>
      </c>
      <c r="AK779" s="2" t="s">
        <v>1120</v>
      </c>
      <c r="AL779" s="2">
        <v>18</v>
      </c>
      <c r="AM779" s="2" t="s">
        <v>82</v>
      </c>
      <c r="AN779" s="2"/>
      <c r="AO779" s="2"/>
      <c r="AP779" s="2">
        <v>11</v>
      </c>
      <c r="AQ779" s="2" t="s">
        <v>82</v>
      </c>
      <c r="AR779" s="2"/>
      <c r="AS779" s="2"/>
      <c r="AT779" s="2" t="s">
        <v>3120</v>
      </c>
      <c r="AU779" s="2"/>
      <c r="AV779" s="2"/>
      <c r="AW779" s="2"/>
      <c r="AX779" s="2"/>
      <c r="AY779" s="2">
        <v>1</v>
      </c>
      <c r="AZ779" s="2" t="s">
        <v>107</v>
      </c>
      <c r="BA779" s="2">
        <v>1</v>
      </c>
      <c r="BB779" s="2" t="s">
        <v>107</v>
      </c>
      <c r="BC779" s="2">
        <v>1</v>
      </c>
      <c r="BD779" s="2" t="s">
        <v>107</v>
      </c>
      <c r="BE779" s="2">
        <v>1</v>
      </c>
      <c r="BF779" s="2" t="s">
        <v>107</v>
      </c>
      <c r="BG779" s="2" t="s">
        <v>265</v>
      </c>
      <c r="BH779" s="4">
        <v>0.53819444444444442</v>
      </c>
      <c r="BI779" s="2"/>
      <c r="BJ779" s="2">
        <v>242</v>
      </c>
      <c r="BK779" s="2" t="s">
        <v>107</v>
      </c>
      <c r="BL779" s="2" t="s">
        <v>170</v>
      </c>
      <c r="BM779" s="2">
        <v>242</v>
      </c>
      <c r="BN779" s="2" t="s">
        <v>107</v>
      </c>
      <c r="BO779" s="2"/>
      <c r="BP779" s="2">
        <v>242</v>
      </c>
      <c r="BQ779" s="2" t="s">
        <v>107</v>
      </c>
      <c r="BR779" s="2" t="s">
        <v>3121</v>
      </c>
      <c r="BS779" s="3">
        <v>40240</v>
      </c>
      <c r="BT779" s="4">
        <v>0.61238425925925932</v>
      </c>
    </row>
    <row r="780" spans="1:72" x14ac:dyDescent="0.25">
      <c r="A780" s="2">
        <v>1226</v>
      </c>
      <c r="B780" s="2">
        <v>2010</v>
      </c>
      <c r="C780" s="2" t="s">
        <v>121</v>
      </c>
      <c r="D780" s="2" t="s">
        <v>122</v>
      </c>
      <c r="E780" s="2"/>
      <c r="F780" s="2">
        <v>1</v>
      </c>
      <c r="G780" s="2" t="s">
        <v>82</v>
      </c>
      <c r="H780" s="2">
        <v>1</v>
      </c>
      <c r="I780" s="2" t="s">
        <v>82</v>
      </c>
      <c r="J780" s="2">
        <v>1</v>
      </c>
      <c r="K780" s="2" t="s">
        <v>107</v>
      </c>
      <c r="L780" s="2" t="s">
        <v>107</v>
      </c>
      <c r="M780" s="3">
        <v>40240</v>
      </c>
      <c r="N780" s="2"/>
      <c r="O780" s="2"/>
      <c r="P780" s="2"/>
      <c r="Q780" s="2" t="str">
        <f>""</f>
        <v/>
      </c>
      <c r="R780" s="2"/>
      <c r="S780" s="2"/>
      <c r="T780" s="2">
        <v>2</v>
      </c>
      <c r="U780" s="2" t="s">
        <v>123</v>
      </c>
      <c r="V780" s="2">
        <v>1</v>
      </c>
      <c r="W780" s="2" t="s">
        <v>80</v>
      </c>
      <c r="X780" s="2">
        <v>1</v>
      </c>
      <c r="Y780" s="2" t="s">
        <v>81</v>
      </c>
      <c r="Z780" s="2">
        <v>1</v>
      </c>
      <c r="AA780" s="2" t="s">
        <v>82</v>
      </c>
      <c r="AB780" s="2">
        <v>9</v>
      </c>
      <c r="AC780" s="2" t="s">
        <v>124</v>
      </c>
      <c r="AD780" s="3">
        <v>40240</v>
      </c>
      <c r="AE780" s="4">
        <v>0.5</v>
      </c>
      <c r="AF780" s="2"/>
      <c r="AG780" s="2"/>
      <c r="AH780" s="2">
        <v>6</v>
      </c>
      <c r="AI780" s="2" t="s">
        <v>197</v>
      </c>
      <c r="AJ780" s="2">
        <v>51</v>
      </c>
      <c r="AK780" s="2" t="s">
        <v>238</v>
      </c>
      <c r="AL780" s="2">
        <v>10</v>
      </c>
      <c r="AM780" s="2" t="s">
        <v>200</v>
      </c>
      <c r="AN780" s="2" t="s">
        <v>82</v>
      </c>
      <c r="AO780" s="2" t="s">
        <v>82</v>
      </c>
      <c r="AP780" s="2">
        <v>11</v>
      </c>
      <c r="AQ780" s="2" t="s">
        <v>82</v>
      </c>
      <c r="AR780" s="2" t="s">
        <v>3122</v>
      </c>
      <c r="AS780" s="2" t="s">
        <v>3123</v>
      </c>
      <c r="AT780" s="2" t="s">
        <v>3124</v>
      </c>
      <c r="AU780" s="2"/>
      <c r="AV780" s="2"/>
      <c r="AW780" s="2"/>
      <c r="AX780" s="2"/>
      <c r="AY780" s="2">
        <v>41</v>
      </c>
      <c r="AZ780" s="2" t="s">
        <v>82</v>
      </c>
      <c r="BA780" s="2">
        <v>41</v>
      </c>
      <c r="BB780" s="2" t="s">
        <v>82</v>
      </c>
      <c r="BC780" s="2">
        <v>41</v>
      </c>
      <c r="BD780" s="2" t="s">
        <v>82</v>
      </c>
      <c r="BE780" s="2">
        <v>41</v>
      </c>
      <c r="BF780" s="2" t="s">
        <v>82</v>
      </c>
      <c r="BG780" s="2" t="s">
        <v>3125</v>
      </c>
      <c r="BH780" s="4">
        <v>0.5180555555555556</v>
      </c>
      <c r="BI780" s="4">
        <v>0.56319444444444444</v>
      </c>
      <c r="BJ780" s="2">
        <v>13</v>
      </c>
      <c r="BK780" s="2" t="s">
        <v>91</v>
      </c>
      <c r="BL780" s="2" t="s">
        <v>647</v>
      </c>
      <c r="BM780" s="2">
        <v>13</v>
      </c>
      <c r="BN780" s="2" t="s">
        <v>91</v>
      </c>
      <c r="BO780" s="2" t="s">
        <v>82</v>
      </c>
      <c r="BP780" s="2">
        <v>13</v>
      </c>
      <c r="BQ780" s="2" t="s">
        <v>91</v>
      </c>
      <c r="BR780" s="2" t="s">
        <v>241</v>
      </c>
      <c r="BS780" s="3">
        <v>40240</v>
      </c>
      <c r="BT780" s="4">
        <v>0.66340277777777779</v>
      </c>
    </row>
    <row r="781" spans="1:72" x14ac:dyDescent="0.25">
      <c r="A781" s="2">
        <v>1227</v>
      </c>
      <c r="B781" s="2">
        <v>2010</v>
      </c>
      <c r="C781" s="2" t="s">
        <v>72</v>
      </c>
      <c r="D781" s="2" t="s">
        <v>122</v>
      </c>
      <c r="E781" s="2" t="s">
        <v>3126</v>
      </c>
      <c r="F781" s="2">
        <v>2</v>
      </c>
      <c r="G781" s="2" t="s">
        <v>113</v>
      </c>
      <c r="H781" s="2">
        <v>42</v>
      </c>
      <c r="I781" s="2" t="s">
        <v>1096</v>
      </c>
      <c r="J781" s="2">
        <v>300</v>
      </c>
      <c r="K781" s="2" t="s">
        <v>114</v>
      </c>
      <c r="L781" s="2" t="s">
        <v>115</v>
      </c>
      <c r="M781" s="3">
        <v>40240</v>
      </c>
      <c r="N781" s="2"/>
      <c r="O781" s="2"/>
      <c r="P781" s="2"/>
      <c r="Q781" s="2" t="str">
        <f>"118-E/10"</f>
        <v>118-E/10</v>
      </c>
      <c r="R781" s="2" t="s">
        <v>116</v>
      </c>
      <c r="S781" s="2" t="s">
        <v>116</v>
      </c>
      <c r="T781" s="2">
        <v>1</v>
      </c>
      <c r="U781" s="2" t="s">
        <v>79</v>
      </c>
      <c r="V781" s="2">
        <v>1</v>
      </c>
      <c r="W781" s="2" t="s">
        <v>80</v>
      </c>
      <c r="X781" s="2">
        <v>1</v>
      </c>
      <c r="Y781" s="2" t="s">
        <v>81</v>
      </c>
      <c r="Z781" s="2">
        <v>1</v>
      </c>
      <c r="AA781" s="2" t="s">
        <v>82</v>
      </c>
      <c r="AB781" s="2">
        <v>6</v>
      </c>
      <c r="AC781" s="2" t="s">
        <v>83</v>
      </c>
      <c r="AD781" s="3">
        <v>40239</v>
      </c>
      <c r="AE781" s="4">
        <v>0.4375</v>
      </c>
      <c r="AF781" s="3">
        <v>40239</v>
      </c>
      <c r="AG781" s="4">
        <v>0.5</v>
      </c>
      <c r="AH781" s="2">
        <v>2</v>
      </c>
      <c r="AI781" s="2" t="s">
        <v>84</v>
      </c>
      <c r="AJ781" s="2">
        <v>9</v>
      </c>
      <c r="AK781" s="2" t="s">
        <v>103</v>
      </c>
      <c r="AL781" s="2">
        <v>12</v>
      </c>
      <c r="AM781" s="2" t="s">
        <v>86</v>
      </c>
      <c r="AN781" s="2" t="s">
        <v>3099</v>
      </c>
      <c r="AO781" s="2" t="s">
        <v>3100</v>
      </c>
      <c r="AP781" s="2">
        <v>11</v>
      </c>
      <c r="AQ781" s="2" t="s">
        <v>82</v>
      </c>
      <c r="AR781" s="2"/>
      <c r="AS781" s="2"/>
      <c r="AT781" s="2" t="s">
        <v>3127</v>
      </c>
      <c r="AU781" s="2"/>
      <c r="AV781" s="2"/>
      <c r="AW781" s="2">
        <v>2</v>
      </c>
      <c r="AX781" s="2"/>
      <c r="AY781" s="2">
        <v>41</v>
      </c>
      <c r="AZ781" s="2" t="s">
        <v>82</v>
      </c>
      <c r="BA781" s="2">
        <v>41</v>
      </c>
      <c r="BB781" s="2" t="s">
        <v>82</v>
      </c>
      <c r="BC781" s="2">
        <v>41</v>
      </c>
      <c r="BD781" s="2" t="s">
        <v>82</v>
      </c>
      <c r="BE781" s="2">
        <v>38</v>
      </c>
      <c r="BF781" s="2" t="s">
        <v>221</v>
      </c>
      <c r="BG781" s="2" t="s">
        <v>3102</v>
      </c>
      <c r="BH781" s="4">
        <v>0.36458333333333331</v>
      </c>
      <c r="BI781" s="4">
        <v>0</v>
      </c>
      <c r="BJ781" s="2">
        <v>173</v>
      </c>
      <c r="BK781" s="2" t="s">
        <v>223</v>
      </c>
      <c r="BL781" s="2" t="s">
        <v>224</v>
      </c>
      <c r="BM781" s="2">
        <v>241</v>
      </c>
      <c r="BN781" s="2" t="s">
        <v>82</v>
      </c>
      <c r="BO781" s="2"/>
      <c r="BP781" s="2">
        <v>13</v>
      </c>
      <c r="BQ781" s="2" t="s">
        <v>91</v>
      </c>
      <c r="BR781" s="2" t="s">
        <v>1084</v>
      </c>
      <c r="BS781" s="3">
        <v>40240</v>
      </c>
      <c r="BT781" s="4">
        <v>0.66540509259259262</v>
      </c>
    </row>
    <row r="782" spans="1:72" x14ac:dyDescent="0.25">
      <c r="A782" s="2">
        <v>1228</v>
      </c>
      <c r="B782" s="2">
        <v>2010</v>
      </c>
      <c r="C782" s="2" t="s">
        <v>93</v>
      </c>
      <c r="D782" s="2" t="s">
        <v>122</v>
      </c>
      <c r="E782" s="2" t="s">
        <v>3128</v>
      </c>
      <c r="F782" s="2">
        <v>437</v>
      </c>
      <c r="G782" s="2" t="s">
        <v>633</v>
      </c>
      <c r="H782" s="2">
        <v>31</v>
      </c>
      <c r="I782" s="2" t="s">
        <v>880</v>
      </c>
      <c r="J782" s="2">
        <v>318</v>
      </c>
      <c r="K782" s="2" t="s">
        <v>635</v>
      </c>
      <c r="L782" s="2" t="s">
        <v>636</v>
      </c>
      <c r="M782" s="3">
        <v>40240</v>
      </c>
      <c r="N782" s="2" t="s">
        <v>2905</v>
      </c>
      <c r="O782" s="2" t="s">
        <v>2906</v>
      </c>
      <c r="P782" s="2" t="s">
        <v>2907</v>
      </c>
      <c r="Q782" s="2" t="str">
        <f>""</f>
        <v/>
      </c>
      <c r="R782" s="2"/>
      <c r="S782" s="2"/>
      <c r="T782" s="2">
        <v>1</v>
      </c>
      <c r="U782" s="2" t="s">
        <v>79</v>
      </c>
      <c r="V782" s="2">
        <v>3</v>
      </c>
      <c r="W782" s="2" t="s">
        <v>225</v>
      </c>
      <c r="X782" s="2">
        <v>8</v>
      </c>
      <c r="Y782" s="2" t="s">
        <v>375</v>
      </c>
      <c r="Z782" s="2">
        <v>1</v>
      </c>
      <c r="AA782" s="2" t="s">
        <v>82</v>
      </c>
      <c r="AB782" s="2">
        <v>9</v>
      </c>
      <c r="AC782" s="2" t="s">
        <v>124</v>
      </c>
      <c r="AD782" s="2"/>
      <c r="AE782" s="2"/>
      <c r="AF782" s="2"/>
      <c r="AG782" s="2"/>
      <c r="AH782" s="2">
        <v>4</v>
      </c>
      <c r="AI782" s="2" t="s">
        <v>125</v>
      </c>
      <c r="AJ782" s="2">
        <v>26</v>
      </c>
      <c r="AK782" s="2" t="s">
        <v>293</v>
      </c>
      <c r="AL782" s="2">
        <v>23</v>
      </c>
      <c r="AM782" s="2" t="s">
        <v>251</v>
      </c>
      <c r="AN782" s="2"/>
      <c r="AO782" s="2" t="s">
        <v>3129</v>
      </c>
      <c r="AP782" s="2">
        <v>11</v>
      </c>
      <c r="AQ782" s="2" t="s">
        <v>82</v>
      </c>
      <c r="AR782" s="2"/>
      <c r="AS782" s="2"/>
      <c r="AT782" s="2" t="s">
        <v>3130</v>
      </c>
      <c r="AU782" s="2"/>
      <c r="AV782" s="2"/>
      <c r="AW782" s="2"/>
      <c r="AX782" s="2"/>
      <c r="AY782" s="2">
        <v>1</v>
      </c>
      <c r="AZ782" s="2" t="s">
        <v>107</v>
      </c>
      <c r="BA782" s="2">
        <v>1</v>
      </c>
      <c r="BB782" s="2" t="s">
        <v>107</v>
      </c>
      <c r="BC782" s="2">
        <v>1</v>
      </c>
      <c r="BD782" s="2" t="s">
        <v>107</v>
      </c>
      <c r="BE782" s="2">
        <v>1</v>
      </c>
      <c r="BF782" s="2" t="s">
        <v>107</v>
      </c>
      <c r="BG782" s="2"/>
      <c r="BH782" s="2"/>
      <c r="BI782" s="2"/>
      <c r="BJ782" s="2">
        <v>242</v>
      </c>
      <c r="BK782" s="2" t="s">
        <v>107</v>
      </c>
      <c r="BL782" s="2"/>
      <c r="BM782" s="2">
        <v>242</v>
      </c>
      <c r="BN782" s="2" t="s">
        <v>107</v>
      </c>
      <c r="BO782" s="2"/>
      <c r="BP782" s="2">
        <v>242</v>
      </c>
      <c r="BQ782" s="2" t="s">
        <v>107</v>
      </c>
      <c r="BR782" s="2"/>
      <c r="BS782" s="3">
        <v>40240</v>
      </c>
      <c r="BT782" s="4">
        <v>0.6824189814814815</v>
      </c>
    </row>
    <row r="783" spans="1:72" x14ac:dyDescent="0.25">
      <c r="A783" s="2">
        <v>1229</v>
      </c>
      <c r="B783" s="2">
        <v>2010</v>
      </c>
      <c r="C783" s="2" t="s">
        <v>72</v>
      </c>
      <c r="D783" s="2" t="s">
        <v>73</v>
      </c>
      <c r="E783" s="2"/>
      <c r="F783" s="2">
        <v>526</v>
      </c>
      <c r="G783" s="2" t="s">
        <v>3131</v>
      </c>
      <c r="H783" s="2">
        <v>67</v>
      </c>
      <c r="I783" s="2" t="s">
        <v>3132</v>
      </c>
      <c r="J783" s="2">
        <v>183</v>
      </c>
      <c r="K783" s="2" t="s">
        <v>3133</v>
      </c>
      <c r="L783" s="2" t="s">
        <v>3134</v>
      </c>
      <c r="M783" s="3">
        <v>40240</v>
      </c>
      <c r="N783" s="2" t="s">
        <v>3135</v>
      </c>
      <c r="O783" s="2" t="s">
        <v>107</v>
      </c>
      <c r="P783" s="2" t="s">
        <v>107</v>
      </c>
      <c r="Q783" s="2" t="str">
        <f>"078-A/10"</f>
        <v>078-A/10</v>
      </c>
      <c r="R783" s="2" t="s">
        <v>107</v>
      </c>
      <c r="S783" s="2" t="s">
        <v>78</v>
      </c>
      <c r="T783" s="2">
        <v>1</v>
      </c>
      <c r="U783" s="2" t="s">
        <v>79</v>
      </c>
      <c r="V783" s="2">
        <v>1</v>
      </c>
      <c r="W783" s="2" t="s">
        <v>80</v>
      </c>
      <c r="X783" s="2">
        <v>1</v>
      </c>
      <c r="Y783" s="2" t="s">
        <v>81</v>
      </c>
      <c r="Z783" s="2">
        <v>1</v>
      </c>
      <c r="AA783" s="2" t="s">
        <v>82</v>
      </c>
      <c r="AB783" s="2">
        <v>6</v>
      </c>
      <c r="AC783" s="2" t="s">
        <v>83</v>
      </c>
      <c r="AD783" s="3">
        <v>40240</v>
      </c>
      <c r="AE783" s="4">
        <v>0.55208333333333337</v>
      </c>
      <c r="AF783" s="3">
        <v>40240</v>
      </c>
      <c r="AG783" s="4">
        <v>0.56944444444444442</v>
      </c>
      <c r="AH783" s="2">
        <v>2</v>
      </c>
      <c r="AI783" s="2" t="s">
        <v>84</v>
      </c>
      <c r="AJ783" s="2">
        <v>12</v>
      </c>
      <c r="AK783" s="2" t="s">
        <v>85</v>
      </c>
      <c r="AL783" s="2">
        <v>12</v>
      </c>
      <c r="AM783" s="2" t="s">
        <v>86</v>
      </c>
      <c r="AN783" s="2" t="s">
        <v>3136</v>
      </c>
      <c r="AO783" s="2" t="s">
        <v>3137</v>
      </c>
      <c r="AP783" s="2">
        <v>11</v>
      </c>
      <c r="AQ783" s="2" t="s">
        <v>82</v>
      </c>
      <c r="AR783" s="2"/>
      <c r="AS783" s="2"/>
      <c r="AT783" s="2" t="s">
        <v>3138</v>
      </c>
      <c r="AU783" s="2"/>
      <c r="AV783" s="2"/>
      <c r="AW783" s="2"/>
      <c r="AX783" s="2"/>
      <c r="AY783" s="2">
        <v>41</v>
      </c>
      <c r="AZ783" s="2" t="s">
        <v>82</v>
      </c>
      <c r="BA783" s="2">
        <v>41</v>
      </c>
      <c r="BB783" s="2" t="s">
        <v>82</v>
      </c>
      <c r="BC783" s="2">
        <v>41</v>
      </c>
      <c r="BD783" s="2" t="s">
        <v>82</v>
      </c>
      <c r="BE783" s="2">
        <v>13</v>
      </c>
      <c r="BF783" s="2" t="s">
        <v>108</v>
      </c>
      <c r="BG783" s="2"/>
      <c r="BH783" s="2"/>
      <c r="BI783" s="2"/>
      <c r="BJ783" s="2">
        <v>13</v>
      </c>
      <c r="BK783" s="2" t="s">
        <v>91</v>
      </c>
      <c r="BL783" s="2" t="s">
        <v>1040</v>
      </c>
      <c r="BM783" s="2">
        <v>241</v>
      </c>
      <c r="BN783" s="2" t="s">
        <v>82</v>
      </c>
      <c r="BO783" s="2" t="s">
        <v>82</v>
      </c>
      <c r="BP783" s="2">
        <v>13</v>
      </c>
      <c r="BQ783" s="2" t="s">
        <v>91</v>
      </c>
      <c r="BR783" s="2" t="s">
        <v>1026</v>
      </c>
      <c r="BS783" s="3">
        <v>40240</v>
      </c>
      <c r="BT783" s="4">
        <v>0.69222222222222218</v>
      </c>
    </row>
    <row r="784" spans="1:72" x14ac:dyDescent="0.25">
      <c r="A784" s="2">
        <v>1231</v>
      </c>
      <c r="B784" s="2">
        <v>2010</v>
      </c>
      <c r="C784" s="2" t="s">
        <v>196</v>
      </c>
      <c r="D784" s="2" t="s">
        <v>122</v>
      </c>
      <c r="E784" s="2"/>
      <c r="F784" s="2">
        <v>1</v>
      </c>
      <c r="G784" s="2" t="s">
        <v>82</v>
      </c>
      <c r="H784" s="2">
        <v>1</v>
      </c>
      <c r="I784" s="2" t="s">
        <v>82</v>
      </c>
      <c r="J784" s="2">
        <v>1</v>
      </c>
      <c r="K784" s="2" t="s">
        <v>107</v>
      </c>
      <c r="L784" s="2" t="s">
        <v>107</v>
      </c>
      <c r="M784" s="3">
        <v>40240</v>
      </c>
      <c r="N784" s="2"/>
      <c r="O784" s="2"/>
      <c r="P784" s="2"/>
      <c r="Q784" s="2" t="str">
        <f>""</f>
        <v/>
      </c>
      <c r="R784" s="2"/>
      <c r="S784" s="2"/>
      <c r="T784" s="2">
        <v>2</v>
      </c>
      <c r="U784" s="2" t="s">
        <v>123</v>
      </c>
      <c r="V784" s="2">
        <v>1</v>
      </c>
      <c r="W784" s="2" t="s">
        <v>80</v>
      </c>
      <c r="X784" s="2">
        <v>5</v>
      </c>
      <c r="Y784" s="2" t="s">
        <v>82</v>
      </c>
      <c r="Z784" s="2">
        <v>1</v>
      </c>
      <c r="AA784" s="2" t="s">
        <v>82</v>
      </c>
      <c r="AB784" s="2">
        <v>9</v>
      </c>
      <c r="AC784" s="2" t="s">
        <v>124</v>
      </c>
      <c r="AD784" s="3">
        <v>40240</v>
      </c>
      <c r="AE784" s="4">
        <v>0.67361111111111116</v>
      </c>
      <c r="AF784" s="2"/>
      <c r="AG784" s="2"/>
      <c r="AH784" s="2">
        <v>5</v>
      </c>
      <c r="AI784" s="2" t="s">
        <v>274</v>
      </c>
      <c r="AJ784" s="2">
        <v>38</v>
      </c>
      <c r="AK784" s="2" t="s">
        <v>1120</v>
      </c>
      <c r="AL784" s="2">
        <v>18</v>
      </c>
      <c r="AM784" s="2" t="s">
        <v>82</v>
      </c>
      <c r="AN784" s="2"/>
      <c r="AO784" s="2"/>
      <c r="AP784" s="2">
        <v>11</v>
      </c>
      <c r="AQ784" s="2" t="s">
        <v>82</v>
      </c>
      <c r="AR784" s="2"/>
      <c r="AS784" s="2"/>
      <c r="AT784" s="2" t="s">
        <v>3139</v>
      </c>
      <c r="AU784" s="2"/>
      <c r="AV784" s="2"/>
      <c r="AW784" s="2"/>
      <c r="AX784" s="2"/>
      <c r="AY784" s="2">
        <v>1</v>
      </c>
      <c r="AZ784" s="2" t="s">
        <v>107</v>
      </c>
      <c r="BA784" s="2">
        <v>1</v>
      </c>
      <c r="BB784" s="2" t="s">
        <v>107</v>
      </c>
      <c r="BC784" s="2">
        <v>1</v>
      </c>
      <c r="BD784" s="2" t="s">
        <v>107</v>
      </c>
      <c r="BE784" s="2">
        <v>1</v>
      </c>
      <c r="BF784" s="2" t="s">
        <v>107</v>
      </c>
      <c r="BG784" s="2" t="s">
        <v>265</v>
      </c>
      <c r="BH784" s="2"/>
      <c r="BI784" s="4">
        <v>0.67361111111111116</v>
      </c>
      <c r="BJ784" s="2">
        <v>242</v>
      </c>
      <c r="BK784" s="2" t="s">
        <v>107</v>
      </c>
      <c r="BL784" s="2" t="s">
        <v>3140</v>
      </c>
      <c r="BM784" s="2">
        <v>242</v>
      </c>
      <c r="BN784" s="2" t="s">
        <v>107</v>
      </c>
      <c r="BO784" s="2"/>
      <c r="BP784" s="2">
        <v>242</v>
      </c>
      <c r="BQ784" s="2" t="s">
        <v>107</v>
      </c>
      <c r="BR784" s="2" t="s">
        <v>3141</v>
      </c>
      <c r="BS784" s="3">
        <v>40240</v>
      </c>
      <c r="BT784" s="4">
        <v>0.71869212962962958</v>
      </c>
    </row>
    <row r="785" spans="1:72" x14ac:dyDescent="0.25">
      <c r="A785" s="2">
        <v>1233</v>
      </c>
      <c r="B785" s="2">
        <v>2010</v>
      </c>
      <c r="C785" s="2" t="s">
        <v>72</v>
      </c>
      <c r="D785" s="2" t="s">
        <v>73</v>
      </c>
      <c r="E785" s="2"/>
      <c r="F785" s="2">
        <v>2</v>
      </c>
      <c r="G785" s="2" t="s">
        <v>113</v>
      </c>
      <c r="H785" s="2">
        <v>42</v>
      </c>
      <c r="I785" s="2" t="s">
        <v>1096</v>
      </c>
      <c r="J785" s="2">
        <v>300</v>
      </c>
      <c r="K785" s="2" t="s">
        <v>114</v>
      </c>
      <c r="L785" s="2" t="s">
        <v>115</v>
      </c>
      <c r="M785" s="3">
        <v>40240</v>
      </c>
      <c r="N785" s="2" t="s">
        <v>107</v>
      </c>
      <c r="O785" s="2" t="s">
        <v>107</v>
      </c>
      <c r="P785" s="2" t="s">
        <v>107</v>
      </c>
      <c r="Q785" s="2" t="str">
        <f>"120-E/10"</f>
        <v>120-E/10</v>
      </c>
      <c r="R785" s="2" t="s">
        <v>107</v>
      </c>
      <c r="S785" s="2" t="s">
        <v>116</v>
      </c>
      <c r="T785" s="2">
        <v>1</v>
      </c>
      <c r="U785" s="2" t="s">
        <v>79</v>
      </c>
      <c r="V785" s="2">
        <v>1</v>
      </c>
      <c r="W785" s="2" t="s">
        <v>80</v>
      </c>
      <c r="X785" s="2">
        <v>5</v>
      </c>
      <c r="Y785" s="2" t="s">
        <v>82</v>
      </c>
      <c r="Z785" s="2">
        <v>10</v>
      </c>
      <c r="AA785" s="2" t="s">
        <v>236</v>
      </c>
      <c r="AB785" s="2">
        <v>6</v>
      </c>
      <c r="AC785" s="2" t="s">
        <v>83</v>
      </c>
      <c r="AD785" s="3">
        <v>40240</v>
      </c>
      <c r="AE785" s="4">
        <v>0.59027777777777779</v>
      </c>
      <c r="AF785" s="3">
        <v>40240</v>
      </c>
      <c r="AG785" s="4">
        <v>0.63888888888888895</v>
      </c>
      <c r="AH785" s="2">
        <v>2</v>
      </c>
      <c r="AI785" s="2" t="s">
        <v>84</v>
      </c>
      <c r="AJ785" s="2">
        <v>9</v>
      </c>
      <c r="AK785" s="2" t="s">
        <v>103</v>
      </c>
      <c r="AL785" s="2">
        <v>12</v>
      </c>
      <c r="AM785" s="2" t="s">
        <v>86</v>
      </c>
      <c r="AN785" s="2" t="s">
        <v>3142</v>
      </c>
      <c r="AO785" s="2" t="s">
        <v>1341</v>
      </c>
      <c r="AP785" s="2">
        <v>11</v>
      </c>
      <c r="AQ785" s="2" t="s">
        <v>82</v>
      </c>
      <c r="AR785" s="2" t="s">
        <v>82</v>
      </c>
      <c r="AS785" s="2" t="s">
        <v>82</v>
      </c>
      <c r="AT785" s="2" t="s">
        <v>3143</v>
      </c>
      <c r="AU785" s="2"/>
      <c r="AV785" s="2"/>
      <c r="AW785" s="2"/>
      <c r="AX785" s="2"/>
      <c r="AY785" s="2">
        <v>41</v>
      </c>
      <c r="AZ785" s="2" t="s">
        <v>82</v>
      </c>
      <c r="BA785" s="2">
        <v>41</v>
      </c>
      <c r="BB785" s="2" t="s">
        <v>82</v>
      </c>
      <c r="BC785" s="2">
        <v>41</v>
      </c>
      <c r="BD785" s="2" t="s">
        <v>82</v>
      </c>
      <c r="BE785" s="2">
        <v>39</v>
      </c>
      <c r="BF785" s="2" t="s">
        <v>440</v>
      </c>
      <c r="BG785" s="2" t="s">
        <v>3144</v>
      </c>
      <c r="BH785" s="2"/>
      <c r="BI785" s="4">
        <v>0.75694444444444453</v>
      </c>
      <c r="BJ785" s="2">
        <v>13</v>
      </c>
      <c r="BK785" s="2" t="s">
        <v>91</v>
      </c>
      <c r="BL785" s="2" t="s">
        <v>360</v>
      </c>
      <c r="BM785" s="2">
        <v>33</v>
      </c>
      <c r="BN785" s="2" t="s">
        <v>361</v>
      </c>
      <c r="BO785" s="2" t="s">
        <v>1739</v>
      </c>
      <c r="BP785" s="2">
        <v>4</v>
      </c>
      <c r="BQ785" s="2" t="s">
        <v>618</v>
      </c>
      <c r="BR785" s="2" t="s">
        <v>619</v>
      </c>
      <c r="BS785" s="3">
        <v>40240</v>
      </c>
      <c r="BT785" s="4">
        <v>0.75454861111111116</v>
      </c>
    </row>
    <row r="786" spans="1:72" x14ac:dyDescent="0.25">
      <c r="A786" s="2">
        <v>1235</v>
      </c>
      <c r="B786" s="2">
        <v>2010</v>
      </c>
      <c r="C786" s="2" t="s">
        <v>196</v>
      </c>
      <c r="D786" s="2" t="s">
        <v>122</v>
      </c>
      <c r="E786" s="2"/>
      <c r="F786" s="2">
        <v>1</v>
      </c>
      <c r="G786" s="2" t="s">
        <v>82</v>
      </c>
      <c r="H786" s="2">
        <v>1</v>
      </c>
      <c r="I786" s="2" t="s">
        <v>82</v>
      </c>
      <c r="J786" s="2">
        <v>1</v>
      </c>
      <c r="K786" s="2" t="s">
        <v>107</v>
      </c>
      <c r="L786" s="2" t="s">
        <v>107</v>
      </c>
      <c r="M786" s="3">
        <v>40240</v>
      </c>
      <c r="N786" s="2"/>
      <c r="O786" s="2"/>
      <c r="P786" s="2"/>
      <c r="Q786" s="2" t="str">
        <f>""</f>
        <v/>
      </c>
      <c r="R786" s="2"/>
      <c r="S786" s="2"/>
      <c r="T786" s="2">
        <v>2</v>
      </c>
      <c r="U786" s="2" t="s">
        <v>123</v>
      </c>
      <c r="V786" s="2">
        <v>1</v>
      </c>
      <c r="W786" s="2" t="s">
        <v>80</v>
      </c>
      <c r="X786" s="2">
        <v>1</v>
      </c>
      <c r="Y786" s="2" t="s">
        <v>81</v>
      </c>
      <c r="Z786" s="2">
        <v>1</v>
      </c>
      <c r="AA786" s="2" t="s">
        <v>82</v>
      </c>
      <c r="AB786" s="2">
        <v>9</v>
      </c>
      <c r="AC786" s="2" t="s">
        <v>124</v>
      </c>
      <c r="AD786" s="3">
        <v>40240</v>
      </c>
      <c r="AE786" s="4">
        <v>0.66666666666666663</v>
      </c>
      <c r="AF786" s="2"/>
      <c r="AG786" s="2"/>
      <c r="AH786" s="2">
        <v>2</v>
      </c>
      <c r="AI786" s="2" t="s">
        <v>84</v>
      </c>
      <c r="AJ786" s="2">
        <v>12</v>
      </c>
      <c r="AK786" s="2" t="s">
        <v>85</v>
      </c>
      <c r="AL786" s="2">
        <v>20</v>
      </c>
      <c r="AM786" s="2" t="s">
        <v>992</v>
      </c>
      <c r="AN786" s="2" t="s">
        <v>3112</v>
      </c>
      <c r="AO786" s="2" t="s">
        <v>82</v>
      </c>
      <c r="AP786" s="2">
        <v>11</v>
      </c>
      <c r="AQ786" s="2" t="s">
        <v>82</v>
      </c>
      <c r="AR786" s="2"/>
      <c r="AS786" s="2"/>
      <c r="AT786" s="2" t="s">
        <v>3145</v>
      </c>
      <c r="AU786" s="2"/>
      <c r="AV786" s="2"/>
      <c r="AW786" s="2"/>
      <c r="AX786" s="2"/>
      <c r="AY786" s="2">
        <v>41</v>
      </c>
      <c r="AZ786" s="2" t="s">
        <v>82</v>
      </c>
      <c r="BA786" s="2">
        <v>41</v>
      </c>
      <c r="BB786" s="2" t="s">
        <v>82</v>
      </c>
      <c r="BC786" s="2">
        <v>41</v>
      </c>
      <c r="BD786" s="2" t="s">
        <v>82</v>
      </c>
      <c r="BE786" s="2">
        <v>41</v>
      </c>
      <c r="BF786" s="2" t="s">
        <v>82</v>
      </c>
      <c r="BG786" s="2"/>
      <c r="BH786" s="4">
        <v>0.73263888888888884</v>
      </c>
      <c r="BI786" s="4">
        <v>0.73958333333333337</v>
      </c>
      <c r="BJ786" s="2">
        <v>13</v>
      </c>
      <c r="BK786" s="2" t="s">
        <v>91</v>
      </c>
      <c r="BL786" s="2" t="s">
        <v>92</v>
      </c>
      <c r="BM786" s="2">
        <v>241</v>
      </c>
      <c r="BN786" s="2" t="s">
        <v>82</v>
      </c>
      <c r="BO786" s="2"/>
      <c r="BP786" s="2">
        <v>13</v>
      </c>
      <c r="BQ786" s="2" t="s">
        <v>91</v>
      </c>
      <c r="BR786" s="2" t="s">
        <v>1040</v>
      </c>
      <c r="BS786" s="3">
        <v>40240</v>
      </c>
      <c r="BT786" s="4">
        <v>0.79969907407407403</v>
      </c>
    </row>
    <row r="787" spans="1:72" x14ac:dyDescent="0.25">
      <c r="A787" s="2">
        <v>1237</v>
      </c>
      <c r="B787" s="2">
        <v>2010</v>
      </c>
      <c r="C787" s="2" t="s">
        <v>72</v>
      </c>
      <c r="D787" s="2" t="s">
        <v>73</v>
      </c>
      <c r="E787" s="2"/>
      <c r="F787" s="2">
        <v>179</v>
      </c>
      <c r="G787" s="2" t="s">
        <v>3146</v>
      </c>
      <c r="H787" s="2">
        <v>65</v>
      </c>
      <c r="I787" s="2" t="s">
        <v>3147</v>
      </c>
      <c r="J787" s="2">
        <v>187</v>
      </c>
      <c r="K787" s="2" t="s">
        <v>3148</v>
      </c>
      <c r="L787" s="2" t="s">
        <v>2518</v>
      </c>
      <c r="M787" s="3">
        <v>40240</v>
      </c>
      <c r="N787" s="2" t="s">
        <v>3149</v>
      </c>
      <c r="O787" s="2" t="s">
        <v>107</v>
      </c>
      <c r="P787" s="2" t="s">
        <v>107</v>
      </c>
      <c r="Q787" s="2" t="str">
        <f>"079-A/10"</f>
        <v>079-A/10</v>
      </c>
      <c r="R787" s="2" t="s">
        <v>107</v>
      </c>
      <c r="S787" s="2" t="s">
        <v>1547</v>
      </c>
      <c r="T787" s="2">
        <v>1</v>
      </c>
      <c r="U787" s="2" t="s">
        <v>79</v>
      </c>
      <c r="V787" s="2">
        <v>1</v>
      </c>
      <c r="W787" s="2" t="s">
        <v>80</v>
      </c>
      <c r="X787" s="2">
        <v>1</v>
      </c>
      <c r="Y787" s="2" t="s">
        <v>81</v>
      </c>
      <c r="Z787" s="2">
        <v>1</v>
      </c>
      <c r="AA787" s="2" t="s">
        <v>82</v>
      </c>
      <c r="AB787" s="2">
        <v>6</v>
      </c>
      <c r="AC787" s="2" t="s">
        <v>83</v>
      </c>
      <c r="AD787" s="3">
        <v>40238</v>
      </c>
      <c r="AE787" s="4">
        <v>0.54791666666666672</v>
      </c>
      <c r="AF787" s="3">
        <v>40240</v>
      </c>
      <c r="AG787" s="4">
        <v>0.72222222222222221</v>
      </c>
      <c r="AH787" s="2">
        <v>2</v>
      </c>
      <c r="AI787" s="2" t="s">
        <v>84</v>
      </c>
      <c r="AJ787" s="2">
        <v>12</v>
      </c>
      <c r="AK787" s="2" t="s">
        <v>85</v>
      </c>
      <c r="AL787" s="2">
        <v>8</v>
      </c>
      <c r="AM787" s="2" t="s">
        <v>179</v>
      </c>
      <c r="AN787" s="2" t="s">
        <v>3150</v>
      </c>
      <c r="AO787" s="2" t="s">
        <v>3151</v>
      </c>
      <c r="AP787" s="2">
        <v>11</v>
      </c>
      <c r="AQ787" s="2" t="s">
        <v>82</v>
      </c>
      <c r="AR787" s="2"/>
      <c r="AS787" s="2"/>
      <c r="AT787" s="2" t="s">
        <v>3152</v>
      </c>
      <c r="AU787" s="2"/>
      <c r="AV787" s="2"/>
      <c r="AW787" s="2"/>
      <c r="AX787" s="2"/>
      <c r="AY787" s="2">
        <v>41</v>
      </c>
      <c r="AZ787" s="2" t="s">
        <v>82</v>
      </c>
      <c r="BA787" s="2">
        <v>41</v>
      </c>
      <c r="BB787" s="2" t="s">
        <v>82</v>
      </c>
      <c r="BC787" s="2">
        <v>41</v>
      </c>
      <c r="BD787" s="2" t="s">
        <v>82</v>
      </c>
      <c r="BE787" s="2">
        <v>13</v>
      </c>
      <c r="BF787" s="2" t="s">
        <v>108</v>
      </c>
      <c r="BG787" s="2" t="s">
        <v>3153</v>
      </c>
      <c r="BH787" s="4">
        <v>0.65277777777777779</v>
      </c>
      <c r="BI787" s="4">
        <v>0.61111111111111105</v>
      </c>
      <c r="BJ787" s="2">
        <v>13</v>
      </c>
      <c r="BK787" s="2" t="s">
        <v>91</v>
      </c>
      <c r="BL787" s="2" t="s">
        <v>1040</v>
      </c>
      <c r="BM787" s="2">
        <v>241</v>
      </c>
      <c r="BN787" s="2" t="s">
        <v>82</v>
      </c>
      <c r="BO787" s="2" t="s">
        <v>82</v>
      </c>
      <c r="BP787" s="2">
        <v>13</v>
      </c>
      <c r="BQ787" s="2" t="s">
        <v>91</v>
      </c>
      <c r="BR787" s="2" t="s">
        <v>92</v>
      </c>
      <c r="BS787" s="3">
        <v>40240</v>
      </c>
      <c r="BT787" s="4">
        <v>0.8499537037037036</v>
      </c>
    </row>
    <row r="788" spans="1:72" x14ac:dyDescent="0.25">
      <c r="A788" s="2">
        <v>1239</v>
      </c>
      <c r="B788" s="2">
        <v>2010</v>
      </c>
      <c r="C788" s="2" t="s">
        <v>72</v>
      </c>
      <c r="D788" s="2" t="s">
        <v>73</v>
      </c>
      <c r="E788" s="2"/>
      <c r="F788" s="2">
        <v>4</v>
      </c>
      <c r="G788" s="2" t="s">
        <v>911</v>
      </c>
      <c r="H788" s="2">
        <v>3</v>
      </c>
      <c r="I788" s="2" t="s">
        <v>315</v>
      </c>
      <c r="J788" s="2">
        <v>332</v>
      </c>
      <c r="K788" s="2" t="s">
        <v>913</v>
      </c>
      <c r="L788" s="2" t="s">
        <v>914</v>
      </c>
      <c r="M788" s="3">
        <v>40240</v>
      </c>
      <c r="N788" s="2" t="s">
        <v>3154</v>
      </c>
      <c r="O788" s="2"/>
      <c r="P788" s="2"/>
      <c r="Q788" s="2" t="str">
        <f>"0002/10"</f>
        <v>0002/10</v>
      </c>
      <c r="R788" s="2"/>
      <c r="S788" s="2" t="s">
        <v>3155</v>
      </c>
      <c r="T788" s="2">
        <v>1</v>
      </c>
      <c r="U788" s="2" t="s">
        <v>79</v>
      </c>
      <c r="V788" s="2">
        <v>1</v>
      </c>
      <c r="W788" s="2" t="s">
        <v>80</v>
      </c>
      <c r="X788" s="2">
        <v>4</v>
      </c>
      <c r="Y788" s="2" t="s">
        <v>463</v>
      </c>
      <c r="Z788" s="2">
        <v>1</v>
      </c>
      <c r="AA788" s="2" t="s">
        <v>82</v>
      </c>
      <c r="AB788" s="2">
        <v>6</v>
      </c>
      <c r="AC788" s="2" t="s">
        <v>83</v>
      </c>
      <c r="AD788" s="3">
        <v>40239</v>
      </c>
      <c r="AE788" s="4">
        <v>0.97222222222222221</v>
      </c>
      <c r="AF788" s="3">
        <v>40239</v>
      </c>
      <c r="AG788" s="4">
        <v>0.97222222222222221</v>
      </c>
      <c r="AH788" s="2">
        <v>5</v>
      </c>
      <c r="AI788" s="2" t="s">
        <v>274</v>
      </c>
      <c r="AJ788" s="2">
        <v>43</v>
      </c>
      <c r="AK788" s="2" t="s">
        <v>918</v>
      </c>
      <c r="AL788" s="2">
        <v>9</v>
      </c>
      <c r="AM788" s="2" t="s">
        <v>259</v>
      </c>
      <c r="AN788" s="2"/>
      <c r="AO788" s="2" t="s">
        <v>3156</v>
      </c>
      <c r="AP788" s="2">
        <v>11</v>
      </c>
      <c r="AQ788" s="2" t="s">
        <v>82</v>
      </c>
      <c r="AR788" s="2"/>
      <c r="AS788" s="2"/>
      <c r="AT788" s="2" t="s">
        <v>3157</v>
      </c>
      <c r="AU788" s="2"/>
      <c r="AV788" s="2">
        <v>1</v>
      </c>
      <c r="AW788" s="2"/>
      <c r="AX788" s="2"/>
      <c r="AY788" s="2">
        <v>42</v>
      </c>
      <c r="AZ788" s="2" t="s">
        <v>182</v>
      </c>
      <c r="BA788" s="2">
        <v>77</v>
      </c>
      <c r="BB788" s="2" t="s">
        <v>3158</v>
      </c>
      <c r="BC788" s="2">
        <v>41</v>
      </c>
      <c r="BD788" s="2" t="s">
        <v>82</v>
      </c>
      <c r="BE788" s="2">
        <v>41</v>
      </c>
      <c r="BF788" s="2" t="s">
        <v>82</v>
      </c>
      <c r="BG788" s="2"/>
      <c r="BH788" s="2"/>
      <c r="BI788" s="2"/>
      <c r="BJ788" s="2">
        <v>241</v>
      </c>
      <c r="BK788" s="2" t="s">
        <v>82</v>
      </c>
      <c r="BL788" s="2"/>
      <c r="BM788" s="2">
        <v>241</v>
      </c>
      <c r="BN788" s="2" t="s">
        <v>82</v>
      </c>
      <c r="BO788" s="2"/>
      <c r="BP788" s="2">
        <v>241</v>
      </c>
      <c r="BQ788" s="2" t="s">
        <v>82</v>
      </c>
      <c r="BR788" s="2"/>
      <c r="BS788" s="3">
        <v>40240</v>
      </c>
      <c r="BT788" s="4">
        <v>0.92502314814814823</v>
      </c>
    </row>
    <row r="789" spans="1:72" x14ac:dyDescent="0.25">
      <c r="A789" s="2">
        <v>1240</v>
      </c>
      <c r="B789" s="2">
        <v>2010</v>
      </c>
      <c r="C789" s="2" t="s">
        <v>377</v>
      </c>
      <c r="D789" s="2" t="s">
        <v>73</v>
      </c>
      <c r="E789" s="2"/>
      <c r="F789" s="2">
        <v>426</v>
      </c>
      <c r="G789" s="2" t="s">
        <v>378</v>
      </c>
      <c r="H789" s="2">
        <v>42</v>
      </c>
      <c r="I789" s="2" t="s">
        <v>1096</v>
      </c>
      <c r="J789" s="2">
        <v>311</v>
      </c>
      <c r="K789" s="2" t="s">
        <v>379</v>
      </c>
      <c r="L789" s="2" t="s">
        <v>380</v>
      </c>
      <c r="M789" s="3">
        <v>40240</v>
      </c>
      <c r="N789" s="2" t="s">
        <v>3159</v>
      </c>
      <c r="O789" s="2" t="s">
        <v>3160</v>
      </c>
      <c r="P789" s="2" t="s">
        <v>107</v>
      </c>
      <c r="Q789" s="2" t="str">
        <f>"013-E/10"</f>
        <v>013-E/10</v>
      </c>
      <c r="R789" s="2" t="s">
        <v>107</v>
      </c>
      <c r="S789" s="2" t="s">
        <v>3161</v>
      </c>
      <c r="T789" s="2">
        <v>1</v>
      </c>
      <c r="U789" s="2" t="s">
        <v>79</v>
      </c>
      <c r="V789" s="2">
        <v>1</v>
      </c>
      <c r="W789" s="2" t="s">
        <v>80</v>
      </c>
      <c r="X789" s="2">
        <v>1</v>
      </c>
      <c r="Y789" s="2" t="s">
        <v>81</v>
      </c>
      <c r="Z789" s="2">
        <v>1</v>
      </c>
      <c r="AA789" s="2" t="s">
        <v>82</v>
      </c>
      <c r="AB789" s="2">
        <v>9</v>
      </c>
      <c r="AC789" s="2" t="s">
        <v>124</v>
      </c>
      <c r="AD789" s="3">
        <v>40240</v>
      </c>
      <c r="AE789" s="4">
        <v>0.67708333333333337</v>
      </c>
      <c r="AF789" s="3">
        <v>40240</v>
      </c>
      <c r="AG789" s="4">
        <v>0.75</v>
      </c>
      <c r="AH789" s="2">
        <v>2</v>
      </c>
      <c r="AI789" s="2" t="s">
        <v>84</v>
      </c>
      <c r="AJ789" s="2">
        <v>9</v>
      </c>
      <c r="AK789" s="2" t="s">
        <v>103</v>
      </c>
      <c r="AL789" s="2">
        <v>12</v>
      </c>
      <c r="AM789" s="2" t="s">
        <v>86</v>
      </c>
      <c r="AN789" s="2" t="s">
        <v>3162</v>
      </c>
      <c r="AO789" s="2" t="s">
        <v>82</v>
      </c>
      <c r="AP789" s="2">
        <v>11</v>
      </c>
      <c r="AQ789" s="2" t="s">
        <v>82</v>
      </c>
      <c r="AR789" s="2"/>
      <c r="AS789" s="2"/>
      <c r="AT789" s="2" t="s">
        <v>3163</v>
      </c>
      <c r="AU789" s="2"/>
      <c r="AV789" s="2"/>
      <c r="AW789" s="2"/>
      <c r="AX789" s="2"/>
      <c r="AY789" s="2">
        <v>41</v>
      </c>
      <c r="AZ789" s="2" t="s">
        <v>82</v>
      </c>
      <c r="BA789" s="2">
        <v>41</v>
      </c>
      <c r="BB789" s="2" t="s">
        <v>82</v>
      </c>
      <c r="BC789" s="2">
        <v>41</v>
      </c>
      <c r="BD789" s="2" t="s">
        <v>82</v>
      </c>
      <c r="BE789" s="2">
        <v>41</v>
      </c>
      <c r="BF789" s="2" t="s">
        <v>82</v>
      </c>
      <c r="BG789" s="2"/>
      <c r="BH789" s="2"/>
      <c r="BI789" s="2"/>
      <c r="BJ789" s="2">
        <v>241</v>
      </c>
      <c r="BK789" s="2" t="s">
        <v>82</v>
      </c>
      <c r="BL789" s="2" t="s">
        <v>82</v>
      </c>
      <c r="BM789" s="2">
        <v>241</v>
      </c>
      <c r="BN789" s="2" t="s">
        <v>82</v>
      </c>
      <c r="BO789" s="2" t="s">
        <v>82</v>
      </c>
      <c r="BP789" s="2">
        <v>241</v>
      </c>
      <c r="BQ789" s="2" t="s">
        <v>82</v>
      </c>
      <c r="BR789" s="2" t="s">
        <v>82</v>
      </c>
      <c r="BS789" s="3">
        <v>40240</v>
      </c>
      <c r="BT789" s="4">
        <v>0.94721064814814815</v>
      </c>
    </row>
    <row r="790" spans="1:72" x14ac:dyDescent="0.25">
      <c r="A790" s="2">
        <v>1241</v>
      </c>
      <c r="B790" s="2">
        <v>2010</v>
      </c>
      <c r="C790" s="2" t="s">
        <v>121</v>
      </c>
      <c r="D790" s="2" t="s">
        <v>122</v>
      </c>
      <c r="E790" s="2"/>
      <c r="F790" s="2">
        <v>1</v>
      </c>
      <c r="G790" s="2" t="s">
        <v>82</v>
      </c>
      <c r="H790" s="2">
        <v>1</v>
      </c>
      <c r="I790" s="2" t="s">
        <v>82</v>
      </c>
      <c r="J790" s="2">
        <v>1</v>
      </c>
      <c r="K790" s="2" t="s">
        <v>107</v>
      </c>
      <c r="L790" s="2" t="s">
        <v>107</v>
      </c>
      <c r="M790" s="3">
        <v>40240</v>
      </c>
      <c r="N790" s="2"/>
      <c r="O790" s="2"/>
      <c r="P790" s="2"/>
      <c r="Q790" s="2" t="str">
        <f>""</f>
        <v/>
      </c>
      <c r="R790" s="2"/>
      <c r="S790" s="2"/>
      <c r="T790" s="2">
        <v>2</v>
      </c>
      <c r="U790" s="2" t="s">
        <v>123</v>
      </c>
      <c r="V790" s="2">
        <v>1</v>
      </c>
      <c r="W790" s="2" t="s">
        <v>80</v>
      </c>
      <c r="X790" s="2">
        <v>5</v>
      </c>
      <c r="Y790" s="2" t="s">
        <v>82</v>
      </c>
      <c r="Z790" s="2">
        <v>1</v>
      </c>
      <c r="AA790" s="2" t="s">
        <v>82</v>
      </c>
      <c r="AB790" s="2">
        <v>9</v>
      </c>
      <c r="AC790" s="2" t="s">
        <v>124</v>
      </c>
      <c r="AD790" s="2"/>
      <c r="AE790" s="2"/>
      <c r="AF790" s="2"/>
      <c r="AG790" s="2"/>
      <c r="AH790" s="2">
        <v>5</v>
      </c>
      <c r="AI790" s="2" t="s">
        <v>274</v>
      </c>
      <c r="AJ790" s="2">
        <v>37</v>
      </c>
      <c r="AK790" s="2" t="s">
        <v>497</v>
      </c>
      <c r="AL790" s="2">
        <v>18</v>
      </c>
      <c r="AM790" s="2" t="s">
        <v>82</v>
      </c>
      <c r="AN790" s="2"/>
      <c r="AO790" s="2"/>
      <c r="AP790" s="2">
        <v>11</v>
      </c>
      <c r="AQ790" s="2" t="s">
        <v>82</v>
      </c>
      <c r="AR790" s="2"/>
      <c r="AS790" s="2"/>
      <c r="AT790" s="2" t="s">
        <v>3164</v>
      </c>
      <c r="AU790" s="2"/>
      <c r="AV790" s="2"/>
      <c r="AW790" s="2"/>
      <c r="AX790" s="2"/>
      <c r="AY790" s="2">
        <v>1</v>
      </c>
      <c r="AZ790" s="2" t="s">
        <v>107</v>
      </c>
      <c r="BA790" s="2">
        <v>1</v>
      </c>
      <c r="BB790" s="2" t="s">
        <v>107</v>
      </c>
      <c r="BC790" s="2">
        <v>1</v>
      </c>
      <c r="BD790" s="2" t="s">
        <v>107</v>
      </c>
      <c r="BE790" s="2">
        <v>1</v>
      </c>
      <c r="BF790" s="2" t="s">
        <v>107</v>
      </c>
      <c r="BG790" s="2"/>
      <c r="BH790" s="2"/>
      <c r="BI790" s="2"/>
      <c r="BJ790" s="2">
        <v>242</v>
      </c>
      <c r="BK790" s="2" t="s">
        <v>107</v>
      </c>
      <c r="BL790" s="2"/>
      <c r="BM790" s="2">
        <v>242</v>
      </c>
      <c r="BN790" s="2" t="s">
        <v>107</v>
      </c>
      <c r="BO790" s="2"/>
      <c r="BP790" s="2">
        <v>242</v>
      </c>
      <c r="BQ790" s="2" t="s">
        <v>107</v>
      </c>
      <c r="BR790" s="2"/>
      <c r="BS790" s="3">
        <v>40240</v>
      </c>
      <c r="BT790" s="4">
        <v>0.953587962962963</v>
      </c>
    </row>
    <row r="791" spans="1:72" x14ac:dyDescent="0.25">
      <c r="A791" s="2">
        <v>1242</v>
      </c>
      <c r="B791" s="2">
        <v>2010</v>
      </c>
      <c r="C791" s="2" t="s">
        <v>819</v>
      </c>
      <c r="D791" s="2" t="s">
        <v>122</v>
      </c>
      <c r="E791" s="2"/>
      <c r="F791" s="2">
        <v>451</v>
      </c>
      <c r="G791" s="2" t="s">
        <v>879</v>
      </c>
      <c r="H791" s="2">
        <v>31</v>
      </c>
      <c r="I791" s="2" t="s">
        <v>880</v>
      </c>
      <c r="J791" s="2">
        <v>326</v>
      </c>
      <c r="K791" s="2" t="s">
        <v>881</v>
      </c>
      <c r="L791" s="2" t="s">
        <v>882</v>
      </c>
      <c r="M791" s="3">
        <v>40240</v>
      </c>
      <c r="N791" s="2" t="s">
        <v>1072</v>
      </c>
      <c r="O791" s="2"/>
      <c r="P791" s="2"/>
      <c r="Q791" s="2" t="str">
        <f>"020/10"</f>
        <v>020/10</v>
      </c>
      <c r="R791" s="2"/>
      <c r="S791" s="2" t="s">
        <v>822</v>
      </c>
      <c r="T791" s="2">
        <v>1</v>
      </c>
      <c r="U791" s="2" t="s">
        <v>79</v>
      </c>
      <c r="V791" s="2">
        <v>1</v>
      </c>
      <c r="W791" s="2" t="s">
        <v>80</v>
      </c>
      <c r="X791" s="2">
        <v>1</v>
      </c>
      <c r="Y791" s="2" t="s">
        <v>81</v>
      </c>
      <c r="Z791" s="2">
        <v>10</v>
      </c>
      <c r="AA791" s="2" t="s">
        <v>236</v>
      </c>
      <c r="AB791" s="2">
        <v>9</v>
      </c>
      <c r="AC791" s="2" t="s">
        <v>124</v>
      </c>
      <c r="AD791" s="3">
        <v>40240</v>
      </c>
      <c r="AE791" s="4">
        <v>0.86805555555555547</v>
      </c>
      <c r="AF791" s="2"/>
      <c r="AG791" s="2"/>
      <c r="AH791" s="2">
        <v>4</v>
      </c>
      <c r="AI791" s="2" t="s">
        <v>125</v>
      </c>
      <c r="AJ791" s="2">
        <v>29</v>
      </c>
      <c r="AK791" s="2" t="s">
        <v>227</v>
      </c>
      <c r="AL791" s="2">
        <v>10</v>
      </c>
      <c r="AM791" s="2" t="s">
        <v>200</v>
      </c>
      <c r="AN791" s="2" t="s">
        <v>1015</v>
      </c>
      <c r="AO791" s="2" t="s">
        <v>200</v>
      </c>
      <c r="AP791" s="2">
        <v>12</v>
      </c>
      <c r="AQ791" s="2" t="s">
        <v>322</v>
      </c>
      <c r="AR791" s="2" t="s">
        <v>824</v>
      </c>
      <c r="AS791" s="2" t="s">
        <v>825</v>
      </c>
      <c r="AT791" s="2" t="s">
        <v>3165</v>
      </c>
      <c r="AU791" s="2"/>
      <c r="AV791" s="2"/>
      <c r="AW791" s="2"/>
      <c r="AX791" s="2"/>
      <c r="AY791" s="2">
        <v>41</v>
      </c>
      <c r="AZ791" s="2" t="s">
        <v>82</v>
      </c>
      <c r="BA791" s="2">
        <v>41</v>
      </c>
      <c r="BB791" s="2" t="s">
        <v>82</v>
      </c>
      <c r="BC791" s="2">
        <v>51</v>
      </c>
      <c r="BD791" s="2" t="s">
        <v>827</v>
      </c>
      <c r="BE791" s="2">
        <v>47</v>
      </c>
      <c r="BF791" s="2" t="s">
        <v>167</v>
      </c>
      <c r="BG791" s="2">
        <v>2459</v>
      </c>
      <c r="BH791" s="4">
        <v>0.84027777777777779</v>
      </c>
      <c r="BI791" s="4">
        <v>0.86458333333333337</v>
      </c>
      <c r="BJ791" s="2">
        <v>13</v>
      </c>
      <c r="BK791" s="2" t="s">
        <v>91</v>
      </c>
      <c r="BL791" s="2" t="s">
        <v>828</v>
      </c>
      <c r="BM791" s="2">
        <v>241</v>
      </c>
      <c r="BN791" s="2" t="s">
        <v>82</v>
      </c>
      <c r="BO791" s="2" t="s">
        <v>82</v>
      </c>
      <c r="BP791" s="2">
        <v>13</v>
      </c>
      <c r="BQ791" s="2" t="s">
        <v>91</v>
      </c>
      <c r="BR791" s="2" t="s">
        <v>185</v>
      </c>
      <c r="BS791" s="3">
        <v>40240</v>
      </c>
      <c r="BT791" s="4">
        <v>0.97563657407407411</v>
      </c>
    </row>
    <row r="792" spans="1:72" x14ac:dyDescent="0.25">
      <c r="A792" s="2">
        <v>1243</v>
      </c>
      <c r="B792" s="2">
        <v>2010</v>
      </c>
      <c r="C792" s="2" t="s">
        <v>377</v>
      </c>
      <c r="D792" s="2" t="s">
        <v>73</v>
      </c>
      <c r="E792" s="2"/>
      <c r="F792" s="2">
        <v>426</v>
      </c>
      <c r="G792" s="2" t="s">
        <v>378</v>
      </c>
      <c r="H792" s="2">
        <v>22</v>
      </c>
      <c r="I792" s="2" t="s">
        <v>75</v>
      </c>
      <c r="J792" s="2">
        <v>311</v>
      </c>
      <c r="K792" s="2" t="s">
        <v>379</v>
      </c>
      <c r="L792" s="2" t="s">
        <v>380</v>
      </c>
      <c r="M792" s="3">
        <v>40240</v>
      </c>
      <c r="N792" s="2" t="s">
        <v>107</v>
      </c>
      <c r="O792" s="2" t="s">
        <v>107</v>
      </c>
      <c r="P792" s="2" t="s">
        <v>107</v>
      </c>
      <c r="Q792" s="2" t="str">
        <f>"014-E/10"</f>
        <v>014-E/10</v>
      </c>
      <c r="R792" s="2" t="s">
        <v>107</v>
      </c>
      <c r="S792" s="2" t="s">
        <v>1924</v>
      </c>
      <c r="T792" s="2">
        <v>1</v>
      </c>
      <c r="U792" s="2" t="s">
        <v>79</v>
      </c>
      <c r="V792" s="2">
        <v>1</v>
      </c>
      <c r="W792" s="2" t="s">
        <v>80</v>
      </c>
      <c r="X792" s="2">
        <v>1</v>
      </c>
      <c r="Y792" s="2" t="s">
        <v>81</v>
      </c>
      <c r="Z792" s="2">
        <v>1</v>
      </c>
      <c r="AA792" s="2" t="s">
        <v>82</v>
      </c>
      <c r="AB792" s="2">
        <v>9</v>
      </c>
      <c r="AC792" s="2" t="s">
        <v>124</v>
      </c>
      <c r="AD792" s="3">
        <v>40240</v>
      </c>
      <c r="AE792" s="4">
        <v>0.67708333333333337</v>
      </c>
      <c r="AF792" s="3">
        <v>40240</v>
      </c>
      <c r="AG792" s="4">
        <v>0.75</v>
      </c>
      <c r="AH792" s="2">
        <v>2</v>
      </c>
      <c r="AI792" s="2" t="s">
        <v>84</v>
      </c>
      <c r="AJ792" s="2">
        <v>9</v>
      </c>
      <c r="AK792" s="2" t="s">
        <v>103</v>
      </c>
      <c r="AL792" s="2">
        <v>12</v>
      </c>
      <c r="AM792" s="2" t="s">
        <v>86</v>
      </c>
      <c r="AN792" s="2" t="s">
        <v>3166</v>
      </c>
      <c r="AO792" s="2"/>
      <c r="AP792" s="2">
        <v>11</v>
      </c>
      <c r="AQ792" s="2" t="s">
        <v>82</v>
      </c>
      <c r="AR792" s="2"/>
      <c r="AS792" s="2"/>
      <c r="AT792" s="2" t="s">
        <v>3167</v>
      </c>
      <c r="AU792" s="2"/>
      <c r="AV792" s="2"/>
      <c r="AW792" s="2"/>
      <c r="AX792" s="2"/>
      <c r="AY792" s="2">
        <v>41</v>
      </c>
      <c r="AZ792" s="2" t="s">
        <v>82</v>
      </c>
      <c r="BA792" s="2">
        <v>41</v>
      </c>
      <c r="BB792" s="2" t="s">
        <v>82</v>
      </c>
      <c r="BC792" s="2">
        <v>41</v>
      </c>
      <c r="BD792" s="2" t="s">
        <v>82</v>
      </c>
      <c r="BE792" s="2">
        <v>41</v>
      </c>
      <c r="BF792" s="2" t="s">
        <v>82</v>
      </c>
      <c r="BG792" s="2"/>
      <c r="BH792" s="2"/>
      <c r="BI792" s="2"/>
      <c r="BJ792" s="2">
        <v>241</v>
      </c>
      <c r="BK792" s="2" t="s">
        <v>82</v>
      </c>
      <c r="BL792" s="2"/>
      <c r="BM792" s="2">
        <v>241</v>
      </c>
      <c r="BN792" s="2" t="s">
        <v>82</v>
      </c>
      <c r="BO792" s="2"/>
      <c r="BP792" s="2">
        <v>241</v>
      </c>
      <c r="BQ792" s="2" t="s">
        <v>82</v>
      </c>
      <c r="BR792" s="2"/>
      <c r="BS792" s="3">
        <v>40240</v>
      </c>
      <c r="BT792" s="4">
        <v>0.97718749999999999</v>
      </c>
    </row>
    <row r="793" spans="1:72" x14ac:dyDescent="0.25">
      <c r="A793" s="2">
        <v>1245</v>
      </c>
      <c r="B793" s="2">
        <v>2010</v>
      </c>
      <c r="C793" s="2" t="s">
        <v>72</v>
      </c>
      <c r="D793" s="2" t="s">
        <v>122</v>
      </c>
      <c r="E793" s="2" t="s">
        <v>3126</v>
      </c>
      <c r="F793" s="2">
        <v>2</v>
      </c>
      <c r="G793" s="2" t="s">
        <v>113</v>
      </c>
      <c r="H793" s="2">
        <v>42</v>
      </c>
      <c r="I793" s="2" t="s">
        <v>1096</v>
      </c>
      <c r="J793" s="2">
        <v>300</v>
      </c>
      <c r="K793" s="2" t="s">
        <v>114</v>
      </c>
      <c r="L793" s="2" t="s">
        <v>115</v>
      </c>
      <c r="M793" s="3">
        <v>40240</v>
      </c>
      <c r="N793" s="2"/>
      <c r="O793" s="2"/>
      <c r="P793" s="2"/>
      <c r="Q793" s="2" t="str">
        <f>"118-E/10"</f>
        <v>118-E/10</v>
      </c>
      <c r="R793" s="2" t="s">
        <v>116</v>
      </c>
      <c r="S793" s="2" t="s">
        <v>116</v>
      </c>
      <c r="T793" s="2">
        <v>1</v>
      </c>
      <c r="U793" s="2" t="s">
        <v>79</v>
      </c>
      <c r="V793" s="2">
        <v>1</v>
      </c>
      <c r="W793" s="2" t="s">
        <v>80</v>
      </c>
      <c r="X793" s="2">
        <v>1</v>
      </c>
      <c r="Y793" s="2" t="s">
        <v>81</v>
      </c>
      <c r="Z793" s="2">
        <v>1</v>
      </c>
      <c r="AA793" s="2" t="s">
        <v>82</v>
      </c>
      <c r="AB793" s="2">
        <v>6</v>
      </c>
      <c r="AC793" s="2" t="s">
        <v>83</v>
      </c>
      <c r="AD793" s="3">
        <v>40239</v>
      </c>
      <c r="AE793" s="4">
        <v>0.4375</v>
      </c>
      <c r="AF793" s="3">
        <v>40239</v>
      </c>
      <c r="AG793" s="4">
        <v>0.5</v>
      </c>
      <c r="AH793" s="2">
        <v>2</v>
      </c>
      <c r="AI793" s="2" t="s">
        <v>84</v>
      </c>
      <c r="AJ793" s="2">
        <v>9</v>
      </c>
      <c r="AK793" s="2" t="s">
        <v>103</v>
      </c>
      <c r="AL793" s="2">
        <v>12</v>
      </c>
      <c r="AM793" s="2" t="s">
        <v>86</v>
      </c>
      <c r="AN793" s="2" t="s">
        <v>3099</v>
      </c>
      <c r="AO793" s="2" t="s">
        <v>3100</v>
      </c>
      <c r="AP793" s="2">
        <v>11</v>
      </c>
      <c r="AQ793" s="2" t="s">
        <v>82</v>
      </c>
      <c r="AR793" s="2"/>
      <c r="AS793" s="2"/>
      <c r="AT793" s="2" t="s">
        <v>3168</v>
      </c>
      <c r="AU793" s="2"/>
      <c r="AV793" s="2"/>
      <c r="AW793" s="2">
        <v>2</v>
      </c>
      <c r="AX793" s="2"/>
      <c r="AY793" s="2">
        <v>41</v>
      </c>
      <c r="AZ793" s="2" t="s">
        <v>82</v>
      </c>
      <c r="BA793" s="2">
        <v>41</v>
      </c>
      <c r="BB793" s="2" t="s">
        <v>82</v>
      </c>
      <c r="BC793" s="2">
        <v>41</v>
      </c>
      <c r="BD793" s="2" t="s">
        <v>82</v>
      </c>
      <c r="BE793" s="2">
        <v>38</v>
      </c>
      <c r="BF793" s="2" t="s">
        <v>221</v>
      </c>
      <c r="BG793" s="2" t="s">
        <v>3102</v>
      </c>
      <c r="BH793" s="4">
        <v>0.36458333333333331</v>
      </c>
      <c r="BI793" s="4">
        <v>0</v>
      </c>
      <c r="BJ793" s="2">
        <v>173</v>
      </c>
      <c r="BK793" s="2" t="s">
        <v>223</v>
      </c>
      <c r="BL793" s="2" t="s">
        <v>224</v>
      </c>
      <c r="BM793" s="2">
        <v>241</v>
      </c>
      <c r="BN793" s="2" t="s">
        <v>82</v>
      </c>
      <c r="BO793" s="2"/>
      <c r="BP793" s="2">
        <v>13</v>
      </c>
      <c r="BQ793" s="2" t="s">
        <v>91</v>
      </c>
      <c r="BR793" s="2" t="s">
        <v>1084</v>
      </c>
      <c r="BS793" s="3">
        <v>40240</v>
      </c>
      <c r="BT793" s="4">
        <v>0.9912037037037037</v>
      </c>
    </row>
    <row r="794" spans="1:72" x14ac:dyDescent="0.25">
      <c r="A794" s="2">
        <v>1246</v>
      </c>
      <c r="B794" s="2">
        <v>2010</v>
      </c>
      <c r="C794" s="2" t="s">
        <v>128</v>
      </c>
      <c r="D794" s="2" t="s">
        <v>122</v>
      </c>
      <c r="E794" s="2"/>
      <c r="F794" s="2">
        <v>475</v>
      </c>
      <c r="G794" s="2" t="s">
        <v>1271</v>
      </c>
      <c r="H794" s="2">
        <v>44</v>
      </c>
      <c r="I794" s="2" t="s">
        <v>1272</v>
      </c>
      <c r="J794" s="2">
        <v>385</v>
      </c>
      <c r="K794" s="2" t="s">
        <v>1314</v>
      </c>
      <c r="L794" s="2" t="s">
        <v>1315</v>
      </c>
      <c r="M794" s="3">
        <v>40240</v>
      </c>
      <c r="N794" s="2" t="s">
        <v>1275</v>
      </c>
      <c r="O794" s="2" t="s">
        <v>107</v>
      </c>
      <c r="P794" s="2" t="s">
        <v>107</v>
      </c>
      <c r="Q794" s="2" t="str">
        <f>"10/2010"</f>
        <v>10/2010</v>
      </c>
      <c r="R794" s="2" t="s">
        <v>3169</v>
      </c>
      <c r="S794" s="2" t="s">
        <v>3169</v>
      </c>
      <c r="T794" s="2">
        <v>1</v>
      </c>
      <c r="U794" s="2" t="s">
        <v>79</v>
      </c>
      <c r="V794" s="2">
        <v>1</v>
      </c>
      <c r="W794" s="2" t="s">
        <v>80</v>
      </c>
      <c r="X794" s="2">
        <v>5</v>
      </c>
      <c r="Y794" s="2" t="s">
        <v>82</v>
      </c>
      <c r="Z794" s="2">
        <v>1</v>
      </c>
      <c r="AA794" s="2" t="s">
        <v>82</v>
      </c>
      <c r="AB794" s="2">
        <v>9</v>
      </c>
      <c r="AC794" s="2" t="s">
        <v>124</v>
      </c>
      <c r="AD794" s="3">
        <v>40240</v>
      </c>
      <c r="AE794" s="4">
        <v>0.77083333333333337</v>
      </c>
      <c r="AF794" s="2"/>
      <c r="AG794" s="2"/>
      <c r="AH794" s="2">
        <v>5</v>
      </c>
      <c r="AI794" s="2" t="s">
        <v>274</v>
      </c>
      <c r="AJ794" s="2">
        <v>42</v>
      </c>
      <c r="AK794" s="2" t="s">
        <v>660</v>
      </c>
      <c r="AL794" s="2">
        <v>11</v>
      </c>
      <c r="AM794" s="2" t="s">
        <v>137</v>
      </c>
      <c r="AN794" s="2" t="s">
        <v>82</v>
      </c>
      <c r="AO794" s="2" t="s">
        <v>82</v>
      </c>
      <c r="AP794" s="2">
        <v>5</v>
      </c>
      <c r="AQ794" s="2" t="s">
        <v>827</v>
      </c>
      <c r="AR794" s="2" t="s">
        <v>82</v>
      </c>
      <c r="AS794" s="2" t="s">
        <v>82</v>
      </c>
      <c r="AT794" s="2" t="s">
        <v>3170</v>
      </c>
      <c r="AU794" s="2"/>
      <c r="AV794" s="2"/>
      <c r="AW794" s="2"/>
      <c r="AX794" s="2"/>
      <c r="AY794" s="2">
        <v>41</v>
      </c>
      <c r="AZ794" s="2" t="s">
        <v>82</v>
      </c>
      <c r="BA794" s="2">
        <v>41</v>
      </c>
      <c r="BB794" s="2" t="s">
        <v>82</v>
      </c>
      <c r="BC794" s="2">
        <v>41</v>
      </c>
      <c r="BD794" s="2" t="s">
        <v>82</v>
      </c>
      <c r="BE794" s="2">
        <v>47</v>
      </c>
      <c r="BF794" s="2" t="s">
        <v>167</v>
      </c>
      <c r="BG794" s="2">
        <v>2787</v>
      </c>
      <c r="BH794" s="4">
        <v>0.84027777777777779</v>
      </c>
      <c r="BI794" s="4">
        <v>0.875</v>
      </c>
      <c r="BJ794" s="2">
        <v>13</v>
      </c>
      <c r="BK794" s="2" t="s">
        <v>91</v>
      </c>
      <c r="BL794" s="2" t="s">
        <v>185</v>
      </c>
      <c r="BM794" s="2">
        <v>241</v>
      </c>
      <c r="BN794" s="2" t="s">
        <v>82</v>
      </c>
      <c r="BO794" s="2" t="s">
        <v>1958</v>
      </c>
      <c r="BP794" s="2">
        <v>13</v>
      </c>
      <c r="BQ794" s="2" t="s">
        <v>91</v>
      </c>
      <c r="BR794" s="2" t="s">
        <v>185</v>
      </c>
      <c r="BS794" s="3">
        <v>40240</v>
      </c>
      <c r="BT794" s="4">
        <v>0.99512731481481476</v>
      </c>
    </row>
    <row r="795" spans="1:72" x14ac:dyDescent="0.25">
      <c r="A795" s="2">
        <v>1247</v>
      </c>
      <c r="B795" s="2">
        <v>2010</v>
      </c>
      <c r="C795" s="2" t="s">
        <v>377</v>
      </c>
      <c r="D795" s="2" t="s">
        <v>122</v>
      </c>
      <c r="E795" s="2" t="s">
        <v>3171</v>
      </c>
      <c r="F795" s="2">
        <v>426</v>
      </c>
      <c r="G795" s="2" t="s">
        <v>378</v>
      </c>
      <c r="H795" s="2">
        <v>42</v>
      </c>
      <c r="I795" s="2" t="s">
        <v>1096</v>
      </c>
      <c r="J795" s="2">
        <v>311</v>
      </c>
      <c r="K795" s="2" t="s">
        <v>379</v>
      </c>
      <c r="L795" s="2" t="s">
        <v>380</v>
      </c>
      <c r="M795" s="3">
        <v>40241</v>
      </c>
      <c r="N795" s="2" t="s">
        <v>3159</v>
      </c>
      <c r="O795" s="2" t="s">
        <v>3160</v>
      </c>
      <c r="P795" s="2"/>
      <c r="Q795" s="2" t="str">
        <f>"013-E/10"</f>
        <v>013-E/10</v>
      </c>
      <c r="R795" s="2" t="s">
        <v>3172</v>
      </c>
      <c r="S795" s="2"/>
      <c r="T795" s="2">
        <v>1</v>
      </c>
      <c r="U795" s="2" t="s">
        <v>79</v>
      </c>
      <c r="V795" s="2">
        <v>1</v>
      </c>
      <c r="W795" s="2" t="s">
        <v>80</v>
      </c>
      <c r="X795" s="2">
        <v>1</v>
      </c>
      <c r="Y795" s="2" t="s">
        <v>81</v>
      </c>
      <c r="Z795" s="2">
        <v>10</v>
      </c>
      <c r="AA795" s="2" t="s">
        <v>236</v>
      </c>
      <c r="AB795" s="2">
        <v>9</v>
      </c>
      <c r="AC795" s="2" t="s">
        <v>124</v>
      </c>
      <c r="AD795" s="3">
        <v>40240</v>
      </c>
      <c r="AE795" s="4">
        <v>0.75</v>
      </c>
      <c r="AF795" s="3">
        <v>40240</v>
      </c>
      <c r="AG795" s="4">
        <v>0.75</v>
      </c>
      <c r="AH795" s="2">
        <v>2</v>
      </c>
      <c r="AI795" s="2" t="s">
        <v>84</v>
      </c>
      <c r="AJ795" s="2">
        <v>9</v>
      </c>
      <c r="AK795" s="2" t="s">
        <v>103</v>
      </c>
      <c r="AL795" s="2">
        <v>12</v>
      </c>
      <c r="AM795" s="2" t="s">
        <v>86</v>
      </c>
      <c r="AN795" s="2"/>
      <c r="AO795" s="2" t="s">
        <v>3162</v>
      </c>
      <c r="AP795" s="2">
        <v>11</v>
      </c>
      <c r="AQ795" s="2" t="s">
        <v>82</v>
      </c>
      <c r="AR795" s="2"/>
      <c r="AS795" s="2"/>
      <c r="AT795" s="2" t="s">
        <v>3173</v>
      </c>
      <c r="AU795" s="2"/>
      <c r="AV795" s="2"/>
      <c r="AW795" s="2"/>
      <c r="AX795" s="2"/>
      <c r="AY795" s="2">
        <v>41</v>
      </c>
      <c r="AZ795" s="2" t="s">
        <v>82</v>
      </c>
      <c r="BA795" s="2">
        <v>41</v>
      </c>
      <c r="BB795" s="2" t="s">
        <v>82</v>
      </c>
      <c r="BC795" s="2">
        <v>41</v>
      </c>
      <c r="BD795" s="2" t="s">
        <v>82</v>
      </c>
      <c r="BE795" s="2">
        <v>41</v>
      </c>
      <c r="BF795" s="2" t="s">
        <v>82</v>
      </c>
      <c r="BG795" s="2"/>
      <c r="BH795" s="2"/>
      <c r="BI795" s="2"/>
      <c r="BJ795" s="2">
        <v>241</v>
      </c>
      <c r="BK795" s="2" t="s">
        <v>82</v>
      </c>
      <c r="BL795" s="2"/>
      <c r="BM795" s="2">
        <v>241</v>
      </c>
      <c r="BN795" s="2" t="s">
        <v>82</v>
      </c>
      <c r="BO795" s="2"/>
      <c r="BP795" s="2">
        <v>241</v>
      </c>
      <c r="BQ795" s="2" t="s">
        <v>82</v>
      </c>
      <c r="BR795" s="2"/>
      <c r="BS795" s="3">
        <v>40241</v>
      </c>
      <c r="BT795" s="4">
        <v>6.0034722222222225E-2</v>
      </c>
    </row>
    <row r="796" spans="1:72" x14ac:dyDescent="0.25">
      <c r="A796" s="2">
        <v>1248</v>
      </c>
      <c r="B796" s="2">
        <v>2010</v>
      </c>
      <c r="C796" s="2" t="s">
        <v>642</v>
      </c>
      <c r="D796" s="2" t="s">
        <v>122</v>
      </c>
      <c r="E796" s="2" t="s">
        <v>3128</v>
      </c>
      <c r="F796" s="2">
        <v>437</v>
      </c>
      <c r="G796" s="2" t="s">
        <v>633</v>
      </c>
      <c r="H796" s="2">
        <v>31</v>
      </c>
      <c r="I796" s="2" t="s">
        <v>880</v>
      </c>
      <c r="J796" s="2">
        <v>318</v>
      </c>
      <c r="K796" s="2" t="s">
        <v>635</v>
      </c>
      <c r="L796" s="2" t="s">
        <v>636</v>
      </c>
      <c r="M796" s="3">
        <v>40241</v>
      </c>
      <c r="N796" s="2" t="s">
        <v>2905</v>
      </c>
      <c r="O796" s="2" t="s">
        <v>2906</v>
      </c>
      <c r="P796" s="2" t="s">
        <v>2907</v>
      </c>
      <c r="Q796" s="2" t="str">
        <f>""</f>
        <v/>
      </c>
      <c r="R796" s="2"/>
      <c r="S796" s="2"/>
      <c r="T796" s="2">
        <v>1</v>
      </c>
      <c r="U796" s="2" t="s">
        <v>79</v>
      </c>
      <c r="V796" s="2">
        <v>3</v>
      </c>
      <c r="W796" s="2" t="s">
        <v>225</v>
      </c>
      <c r="X796" s="2">
        <v>5</v>
      </c>
      <c r="Y796" s="2" t="s">
        <v>82</v>
      </c>
      <c r="Z796" s="2">
        <v>1</v>
      </c>
      <c r="AA796" s="2" t="s">
        <v>82</v>
      </c>
      <c r="AB796" s="2">
        <v>9</v>
      </c>
      <c r="AC796" s="2" t="s">
        <v>124</v>
      </c>
      <c r="AD796" s="2"/>
      <c r="AE796" s="2"/>
      <c r="AF796" s="2"/>
      <c r="AG796" s="2"/>
      <c r="AH796" s="2">
        <v>4</v>
      </c>
      <c r="AI796" s="2" t="s">
        <v>125</v>
      </c>
      <c r="AJ796" s="2">
        <v>26</v>
      </c>
      <c r="AK796" s="2" t="s">
        <v>293</v>
      </c>
      <c r="AL796" s="2">
        <v>18</v>
      </c>
      <c r="AM796" s="2" t="s">
        <v>82</v>
      </c>
      <c r="AN796" s="2"/>
      <c r="AO796" s="2"/>
      <c r="AP796" s="2">
        <v>11</v>
      </c>
      <c r="AQ796" s="2" t="s">
        <v>82</v>
      </c>
      <c r="AR796" s="2"/>
      <c r="AS796" s="2"/>
      <c r="AT796" s="2" t="s">
        <v>3174</v>
      </c>
      <c r="AU796" s="2"/>
      <c r="AV796" s="2"/>
      <c r="AW796" s="2"/>
      <c r="AX796" s="2"/>
      <c r="AY796" s="2">
        <v>1</v>
      </c>
      <c r="AZ796" s="2" t="s">
        <v>107</v>
      </c>
      <c r="BA796" s="2">
        <v>1</v>
      </c>
      <c r="BB796" s="2" t="s">
        <v>107</v>
      </c>
      <c r="BC796" s="2">
        <v>1</v>
      </c>
      <c r="BD796" s="2" t="s">
        <v>107</v>
      </c>
      <c r="BE796" s="2">
        <v>1</v>
      </c>
      <c r="BF796" s="2" t="s">
        <v>107</v>
      </c>
      <c r="BG796" s="2"/>
      <c r="BH796" s="2"/>
      <c r="BI796" s="2"/>
      <c r="BJ796" s="2">
        <v>242</v>
      </c>
      <c r="BK796" s="2" t="s">
        <v>107</v>
      </c>
      <c r="BL796" s="2"/>
      <c r="BM796" s="2">
        <v>242</v>
      </c>
      <c r="BN796" s="2" t="s">
        <v>107</v>
      </c>
      <c r="BO796" s="2"/>
      <c r="BP796" s="2">
        <v>242</v>
      </c>
      <c r="BQ796" s="2" t="s">
        <v>107</v>
      </c>
      <c r="BR796" s="2"/>
      <c r="BS796" s="3">
        <v>40241</v>
      </c>
      <c r="BT796" s="4">
        <v>8.4236111111111109E-2</v>
      </c>
    </row>
    <row r="797" spans="1:72" x14ac:dyDescent="0.25">
      <c r="A797" s="2">
        <v>1253</v>
      </c>
      <c r="B797" s="2">
        <v>2010</v>
      </c>
      <c r="C797" s="2" t="s">
        <v>819</v>
      </c>
      <c r="D797" s="2" t="s">
        <v>122</v>
      </c>
      <c r="E797" s="2" t="s">
        <v>3175</v>
      </c>
      <c r="F797" s="2">
        <v>451</v>
      </c>
      <c r="G797" s="2" t="s">
        <v>879</v>
      </c>
      <c r="H797" s="2">
        <v>31</v>
      </c>
      <c r="I797" s="2" t="s">
        <v>880</v>
      </c>
      <c r="J797" s="2">
        <v>326</v>
      </c>
      <c r="K797" s="2" t="s">
        <v>881</v>
      </c>
      <c r="L797" s="2" t="s">
        <v>882</v>
      </c>
      <c r="M797" s="3">
        <v>40241</v>
      </c>
      <c r="N797" s="2" t="s">
        <v>1072</v>
      </c>
      <c r="O797" s="2"/>
      <c r="P797" s="2"/>
      <c r="Q797" s="2" t="str">
        <f>"020/10"</f>
        <v>020/10</v>
      </c>
      <c r="R797" s="2" t="s">
        <v>822</v>
      </c>
      <c r="S797" s="2"/>
      <c r="T797" s="2">
        <v>1</v>
      </c>
      <c r="U797" s="2" t="s">
        <v>79</v>
      </c>
      <c r="V797" s="2">
        <v>1</v>
      </c>
      <c r="W797" s="2" t="s">
        <v>80</v>
      </c>
      <c r="X797" s="2">
        <v>1</v>
      </c>
      <c r="Y797" s="2" t="s">
        <v>81</v>
      </c>
      <c r="Z797" s="2">
        <v>10</v>
      </c>
      <c r="AA797" s="2" t="s">
        <v>236</v>
      </c>
      <c r="AB797" s="2">
        <v>9</v>
      </c>
      <c r="AC797" s="2" t="s">
        <v>124</v>
      </c>
      <c r="AD797" s="3">
        <v>40240</v>
      </c>
      <c r="AE797" s="4">
        <v>0.86805555555555547</v>
      </c>
      <c r="AF797" s="2"/>
      <c r="AG797" s="2"/>
      <c r="AH797" s="2">
        <v>4</v>
      </c>
      <c r="AI797" s="2" t="s">
        <v>125</v>
      </c>
      <c r="AJ797" s="2">
        <v>29</v>
      </c>
      <c r="AK797" s="2" t="s">
        <v>227</v>
      </c>
      <c r="AL797" s="2">
        <v>10</v>
      </c>
      <c r="AM797" s="2" t="s">
        <v>200</v>
      </c>
      <c r="AN797" s="2" t="s">
        <v>3040</v>
      </c>
      <c r="AO797" s="2" t="s">
        <v>3176</v>
      </c>
      <c r="AP797" s="2">
        <v>12</v>
      </c>
      <c r="AQ797" s="2" t="s">
        <v>322</v>
      </c>
      <c r="AR797" s="2" t="s">
        <v>824</v>
      </c>
      <c r="AS797" s="2" t="s">
        <v>825</v>
      </c>
      <c r="AT797" s="2" t="s">
        <v>3177</v>
      </c>
      <c r="AU797" s="2"/>
      <c r="AV797" s="2"/>
      <c r="AW797" s="2"/>
      <c r="AX797" s="2"/>
      <c r="AY797" s="2">
        <v>41</v>
      </c>
      <c r="AZ797" s="2" t="s">
        <v>82</v>
      </c>
      <c r="BA797" s="2">
        <v>41</v>
      </c>
      <c r="BB797" s="2" t="s">
        <v>82</v>
      </c>
      <c r="BC797" s="2">
        <v>41</v>
      </c>
      <c r="BD797" s="2" t="s">
        <v>82</v>
      </c>
      <c r="BE797" s="2">
        <v>47</v>
      </c>
      <c r="BF797" s="2" t="s">
        <v>167</v>
      </c>
      <c r="BG797" s="2">
        <v>2459</v>
      </c>
      <c r="BH797" s="4">
        <v>0.84027777777777779</v>
      </c>
      <c r="BI797" s="4">
        <v>0.86458333333333337</v>
      </c>
      <c r="BJ797" s="2">
        <v>13</v>
      </c>
      <c r="BK797" s="2" t="s">
        <v>91</v>
      </c>
      <c r="BL797" s="2" t="s">
        <v>828</v>
      </c>
      <c r="BM797" s="2">
        <v>241</v>
      </c>
      <c r="BN797" s="2" t="s">
        <v>82</v>
      </c>
      <c r="BO797" s="2" t="s">
        <v>82</v>
      </c>
      <c r="BP797" s="2">
        <v>13</v>
      </c>
      <c r="BQ797" s="2" t="s">
        <v>91</v>
      </c>
      <c r="BR797" s="2" t="s">
        <v>185</v>
      </c>
      <c r="BS797" s="3">
        <v>40241</v>
      </c>
      <c r="BT797" s="4">
        <v>0.53006944444444437</v>
      </c>
    </row>
    <row r="798" spans="1:72" x14ac:dyDescent="0.25">
      <c r="A798" s="2">
        <v>1254</v>
      </c>
      <c r="B798" s="2">
        <v>2010</v>
      </c>
      <c r="C798" s="2" t="s">
        <v>1568</v>
      </c>
      <c r="D798" s="2" t="s">
        <v>73</v>
      </c>
      <c r="E798" s="2"/>
      <c r="F798" s="2">
        <v>11</v>
      </c>
      <c r="G798" s="2" t="s">
        <v>2454</v>
      </c>
      <c r="H798" s="2">
        <v>4</v>
      </c>
      <c r="I798" s="2" t="s">
        <v>173</v>
      </c>
      <c r="J798" s="2">
        <v>19</v>
      </c>
      <c r="K798" s="2" t="s">
        <v>2144</v>
      </c>
      <c r="L798" s="2" t="s">
        <v>2145</v>
      </c>
      <c r="M798" s="3">
        <v>40241</v>
      </c>
      <c r="N798" s="2" t="s">
        <v>3178</v>
      </c>
      <c r="O798" s="2"/>
      <c r="P798" s="2"/>
      <c r="Q798" s="2" t="str">
        <f>"11/10"</f>
        <v>11/10</v>
      </c>
      <c r="R798" s="2" t="s">
        <v>3179</v>
      </c>
      <c r="S798" s="2"/>
      <c r="T798" s="2">
        <v>1</v>
      </c>
      <c r="U798" s="2" t="s">
        <v>79</v>
      </c>
      <c r="V798" s="2">
        <v>1</v>
      </c>
      <c r="W798" s="2" t="s">
        <v>80</v>
      </c>
      <c r="X798" s="2">
        <v>3</v>
      </c>
      <c r="Y798" s="2" t="s">
        <v>698</v>
      </c>
      <c r="Z798" s="2">
        <v>18</v>
      </c>
      <c r="AA798" s="2" t="s">
        <v>3180</v>
      </c>
      <c r="AB798" s="2">
        <v>4</v>
      </c>
      <c r="AC798" s="2" t="s">
        <v>1569</v>
      </c>
      <c r="AD798" s="3">
        <v>40241</v>
      </c>
      <c r="AE798" s="4">
        <v>0.28125</v>
      </c>
      <c r="AF798" s="2"/>
      <c r="AG798" s="2"/>
      <c r="AH798" s="2">
        <v>3</v>
      </c>
      <c r="AI798" s="2" t="s">
        <v>214</v>
      </c>
      <c r="AJ798" s="2">
        <v>24</v>
      </c>
      <c r="AK798" s="2" t="s">
        <v>215</v>
      </c>
      <c r="AL798" s="2">
        <v>11</v>
      </c>
      <c r="AM798" s="2" t="s">
        <v>137</v>
      </c>
      <c r="AN798" s="2"/>
      <c r="AO798" s="2" t="s">
        <v>3181</v>
      </c>
      <c r="AP798" s="2">
        <v>11</v>
      </c>
      <c r="AQ798" s="2" t="s">
        <v>82</v>
      </c>
      <c r="AR798" s="2"/>
      <c r="AS798" s="2"/>
      <c r="AT798" s="2" t="s">
        <v>3182</v>
      </c>
      <c r="AU798" s="2"/>
      <c r="AV798" s="2"/>
      <c r="AW798" s="2"/>
      <c r="AX798" s="2"/>
      <c r="AY798" s="2">
        <v>41</v>
      </c>
      <c r="AZ798" s="2" t="s">
        <v>82</v>
      </c>
      <c r="BA798" s="2">
        <v>41</v>
      </c>
      <c r="BB798" s="2" t="s">
        <v>82</v>
      </c>
      <c r="BC798" s="2">
        <v>41</v>
      </c>
      <c r="BD798" s="2" t="s">
        <v>82</v>
      </c>
      <c r="BE798" s="2">
        <v>13</v>
      </c>
      <c r="BF798" s="2" t="s">
        <v>108</v>
      </c>
      <c r="BG798" s="2">
        <v>1503</v>
      </c>
      <c r="BH798" s="4">
        <v>0.34166666666666662</v>
      </c>
      <c r="BI798" s="4">
        <v>0.29166666666666669</v>
      </c>
      <c r="BJ798" s="2">
        <v>13</v>
      </c>
      <c r="BK798" s="2" t="s">
        <v>91</v>
      </c>
      <c r="BL798" s="2" t="s">
        <v>169</v>
      </c>
      <c r="BM798" s="2">
        <v>241</v>
      </c>
      <c r="BN798" s="2" t="s">
        <v>82</v>
      </c>
      <c r="BO798" s="2"/>
      <c r="BP798" s="2">
        <v>13</v>
      </c>
      <c r="BQ798" s="2" t="s">
        <v>91</v>
      </c>
      <c r="BR798" s="2" t="s">
        <v>170</v>
      </c>
      <c r="BS798" s="3">
        <v>40241</v>
      </c>
      <c r="BT798" s="4">
        <v>0.53756944444444443</v>
      </c>
    </row>
    <row r="799" spans="1:72" x14ac:dyDescent="0.25">
      <c r="A799" s="2">
        <v>1256</v>
      </c>
      <c r="B799" s="2">
        <v>2010</v>
      </c>
      <c r="C799" s="2" t="s">
        <v>72</v>
      </c>
      <c r="D799" s="2" t="s">
        <v>73</v>
      </c>
      <c r="E799" s="2"/>
      <c r="F799" s="2">
        <v>2</v>
      </c>
      <c r="G799" s="2" t="s">
        <v>113</v>
      </c>
      <c r="H799" s="2">
        <v>1</v>
      </c>
      <c r="I799" s="2" t="s">
        <v>82</v>
      </c>
      <c r="J799" s="2">
        <v>300</v>
      </c>
      <c r="K799" s="2" t="s">
        <v>114</v>
      </c>
      <c r="L799" s="2" t="s">
        <v>115</v>
      </c>
      <c r="M799" s="3">
        <v>40241</v>
      </c>
      <c r="N799" s="2"/>
      <c r="O799" s="2" t="s">
        <v>107</v>
      </c>
      <c r="P799" s="2"/>
      <c r="Q799" s="2" t="str">
        <f>"121-E/10"</f>
        <v>121-E/10</v>
      </c>
      <c r="R799" s="2" t="s">
        <v>601</v>
      </c>
      <c r="S799" s="2" t="s">
        <v>601</v>
      </c>
      <c r="T799" s="2">
        <v>1</v>
      </c>
      <c r="U799" s="2" t="s">
        <v>79</v>
      </c>
      <c r="V799" s="2">
        <v>1</v>
      </c>
      <c r="W799" s="2" t="s">
        <v>80</v>
      </c>
      <c r="X799" s="2">
        <v>1</v>
      </c>
      <c r="Y799" s="2" t="s">
        <v>81</v>
      </c>
      <c r="Z799" s="2">
        <v>1</v>
      </c>
      <c r="AA799" s="2" t="s">
        <v>82</v>
      </c>
      <c r="AB799" s="2">
        <v>6</v>
      </c>
      <c r="AC799" s="2" t="s">
        <v>83</v>
      </c>
      <c r="AD799" s="3">
        <v>40240</v>
      </c>
      <c r="AE799" s="4">
        <v>0.5</v>
      </c>
      <c r="AF799" s="3">
        <v>40241</v>
      </c>
      <c r="AG799" s="4">
        <v>0.5</v>
      </c>
      <c r="AH799" s="2">
        <v>2</v>
      </c>
      <c r="AI799" s="2" t="s">
        <v>84</v>
      </c>
      <c r="AJ799" s="2">
        <v>9</v>
      </c>
      <c r="AK799" s="2" t="s">
        <v>103</v>
      </c>
      <c r="AL799" s="2">
        <v>18</v>
      </c>
      <c r="AM799" s="2" t="s">
        <v>82</v>
      </c>
      <c r="AN799" s="2" t="s">
        <v>3183</v>
      </c>
      <c r="AO799" s="2" t="s">
        <v>170</v>
      </c>
      <c r="AP799" s="2">
        <v>11</v>
      </c>
      <c r="AQ799" s="2" t="s">
        <v>82</v>
      </c>
      <c r="AR799" s="2"/>
      <c r="AS799" s="2"/>
      <c r="AT799" s="2" t="s">
        <v>3184</v>
      </c>
      <c r="AU799" s="2"/>
      <c r="AV799" s="2"/>
      <c r="AW799" s="2"/>
      <c r="AX799" s="2"/>
      <c r="AY799" s="2">
        <v>41</v>
      </c>
      <c r="AZ799" s="2" t="s">
        <v>82</v>
      </c>
      <c r="BA799" s="2">
        <v>41</v>
      </c>
      <c r="BB799" s="2" t="s">
        <v>82</v>
      </c>
      <c r="BC799" s="2">
        <v>41</v>
      </c>
      <c r="BD799" s="2" t="s">
        <v>82</v>
      </c>
      <c r="BE799" s="2">
        <v>41</v>
      </c>
      <c r="BF799" s="2" t="s">
        <v>82</v>
      </c>
      <c r="BG799" s="2"/>
      <c r="BH799" s="2"/>
      <c r="BI799" s="2"/>
      <c r="BJ799" s="2">
        <v>242</v>
      </c>
      <c r="BK799" s="2" t="s">
        <v>107</v>
      </c>
      <c r="BL799" s="2"/>
      <c r="BM799" s="2">
        <v>242</v>
      </c>
      <c r="BN799" s="2" t="s">
        <v>107</v>
      </c>
      <c r="BO799" s="2"/>
      <c r="BP799" s="2">
        <v>242</v>
      </c>
      <c r="BQ799" s="2" t="s">
        <v>107</v>
      </c>
      <c r="BR799" s="2"/>
      <c r="BS799" s="3">
        <v>40241</v>
      </c>
      <c r="BT799" s="4">
        <v>0.59837962962962965</v>
      </c>
    </row>
    <row r="800" spans="1:72" x14ac:dyDescent="0.25">
      <c r="A800" s="2">
        <v>1258</v>
      </c>
      <c r="B800" s="2">
        <v>2010</v>
      </c>
      <c r="C800" s="2" t="s">
        <v>642</v>
      </c>
      <c r="D800" s="2" t="s">
        <v>122</v>
      </c>
      <c r="E800" s="2" t="s">
        <v>3128</v>
      </c>
      <c r="F800" s="2">
        <v>437</v>
      </c>
      <c r="G800" s="2" t="s">
        <v>633</v>
      </c>
      <c r="H800" s="2">
        <v>31</v>
      </c>
      <c r="I800" s="2" t="s">
        <v>880</v>
      </c>
      <c r="J800" s="2">
        <v>318</v>
      </c>
      <c r="K800" s="2" t="s">
        <v>635</v>
      </c>
      <c r="L800" s="2" t="s">
        <v>636</v>
      </c>
      <c r="M800" s="3">
        <v>40241</v>
      </c>
      <c r="N800" s="2" t="s">
        <v>2905</v>
      </c>
      <c r="O800" s="2" t="s">
        <v>2906</v>
      </c>
      <c r="P800" s="2" t="s">
        <v>2907</v>
      </c>
      <c r="Q800" s="2" t="str">
        <f>""</f>
        <v/>
      </c>
      <c r="R800" s="2"/>
      <c r="S800" s="2"/>
      <c r="T800" s="2">
        <v>1</v>
      </c>
      <c r="U800" s="2" t="s">
        <v>79</v>
      </c>
      <c r="V800" s="2">
        <v>3</v>
      </c>
      <c r="W800" s="2" t="s">
        <v>225</v>
      </c>
      <c r="X800" s="2">
        <v>5</v>
      </c>
      <c r="Y800" s="2" t="s">
        <v>82</v>
      </c>
      <c r="Z800" s="2">
        <v>1</v>
      </c>
      <c r="AA800" s="2" t="s">
        <v>82</v>
      </c>
      <c r="AB800" s="2">
        <v>9</v>
      </c>
      <c r="AC800" s="2" t="s">
        <v>124</v>
      </c>
      <c r="AD800" s="2"/>
      <c r="AE800" s="2"/>
      <c r="AF800" s="2"/>
      <c r="AG800" s="2"/>
      <c r="AH800" s="2">
        <v>4</v>
      </c>
      <c r="AI800" s="2" t="s">
        <v>125</v>
      </c>
      <c r="AJ800" s="2">
        <v>26</v>
      </c>
      <c r="AK800" s="2" t="s">
        <v>293</v>
      </c>
      <c r="AL800" s="2">
        <v>18</v>
      </c>
      <c r="AM800" s="2" t="s">
        <v>82</v>
      </c>
      <c r="AN800" s="2"/>
      <c r="AO800" s="2"/>
      <c r="AP800" s="2">
        <v>11</v>
      </c>
      <c r="AQ800" s="2" t="s">
        <v>82</v>
      </c>
      <c r="AR800" s="2"/>
      <c r="AS800" s="2"/>
      <c r="AT800" s="2" t="s">
        <v>3185</v>
      </c>
      <c r="AU800" s="2"/>
      <c r="AV800" s="2"/>
      <c r="AW800" s="2"/>
      <c r="AX800" s="2"/>
      <c r="AY800" s="2">
        <v>1</v>
      </c>
      <c r="AZ800" s="2" t="s">
        <v>107</v>
      </c>
      <c r="BA800" s="2">
        <v>1</v>
      </c>
      <c r="BB800" s="2" t="s">
        <v>107</v>
      </c>
      <c r="BC800" s="2">
        <v>1</v>
      </c>
      <c r="BD800" s="2" t="s">
        <v>107</v>
      </c>
      <c r="BE800" s="2">
        <v>1</v>
      </c>
      <c r="BF800" s="2" t="s">
        <v>107</v>
      </c>
      <c r="BG800" s="2"/>
      <c r="BH800" s="2"/>
      <c r="BI800" s="2"/>
      <c r="BJ800" s="2">
        <v>242</v>
      </c>
      <c r="BK800" s="2" t="s">
        <v>107</v>
      </c>
      <c r="BL800" s="2"/>
      <c r="BM800" s="2">
        <v>242</v>
      </c>
      <c r="BN800" s="2" t="s">
        <v>107</v>
      </c>
      <c r="BO800" s="2"/>
      <c r="BP800" s="2">
        <v>242</v>
      </c>
      <c r="BQ800" s="2" t="s">
        <v>107</v>
      </c>
      <c r="BR800" s="2"/>
      <c r="BS800" s="3">
        <v>40241</v>
      </c>
      <c r="BT800" s="4">
        <v>0.63796296296296295</v>
      </c>
    </row>
    <row r="801" spans="1:72" x14ac:dyDescent="0.25">
      <c r="A801" s="2">
        <v>1260</v>
      </c>
      <c r="B801" s="2">
        <v>2010</v>
      </c>
      <c r="C801" s="2" t="s">
        <v>409</v>
      </c>
      <c r="D801" s="2" t="s">
        <v>122</v>
      </c>
      <c r="E801" s="2"/>
      <c r="F801" s="2">
        <v>310</v>
      </c>
      <c r="G801" s="2" t="s">
        <v>3186</v>
      </c>
      <c r="H801" s="2">
        <v>2</v>
      </c>
      <c r="I801" s="2" t="s">
        <v>267</v>
      </c>
      <c r="J801" s="2">
        <v>371</v>
      </c>
      <c r="K801" s="2" t="s">
        <v>1138</v>
      </c>
      <c r="L801" s="2" t="s">
        <v>1139</v>
      </c>
      <c r="M801" s="3">
        <v>40241</v>
      </c>
      <c r="N801" s="2" t="s">
        <v>82</v>
      </c>
      <c r="O801" s="2" t="s">
        <v>82</v>
      </c>
      <c r="P801" s="2" t="s">
        <v>82</v>
      </c>
      <c r="Q801" s="2" t="str">
        <f>"N/C"</f>
        <v>N/C</v>
      </c>
      <c r="R801" s="2" t="s">
        <v>82</v>
      </c>
      <c r="S801" s="2" t="s">
        <v>82</v>
      </c>
      <c r="T801" s="2">
        <v>1</v>
      </c>
      <c r="U801" s="2" t="s">
        <v>79</v>
      </c>
      <c r="V801" s="2">
        <v>1</v>
      </c>
      <c r="W801" s="2" t="s">
        <v>80</v>
      </c>
      <c r="X801" s="2">
        <v>5</v>
      </c>
      <c r="Y801" s="2" t="s">
        <v>82</v>
      </c>
      <c r="Z801" s="2">
        <v>1</v>
      </c>
      <c r="AA801" s="2" t="s">
        <v>82</v>
      </c>
      <c r="AB801" s="2">
        <v>9</v>
      </c>
      <c r="AC801" s="2" t="s">
        <v>124</v>
      </c>
      <c r="AD801" s="3">
        <v>40240</v>
      </c>
      <c r="AE801" s="4">
        <v>0.33333333333333331</v>
      </c>
      <c r="AF801" s="2"/>
      <c r="AG801" s="2"/>
      <c r="AH801" s="2">
        <v>5</v>
      </c>
      <c r="AI801" s="2" t="s">
        <v>274</v>
      </c>
      <c r="AJ801" s="2">
        <v>38</v>
      </c>
      <c r="AK801" s="2" t="s">
        <v>1120</v>
      </c>
      <c r="AL801" s="2">
        <v>18</v>
      </c>
      <c r="AM801" s="2" t="s">
        <v>82</v>
      </c>
      <c r="AN801" s="2" t="s">
        <v>82</v>
      </c>
      <c r="AO801" s="2" t="s">
        <v>82</v>
      </c>
      <c r="AP801" s="2">
        <v>11</v>
      </c>
      <c r="AQ801" s="2" t="s">
        <v>82</v>
      </c>
      <c r="AR801" s="2"/>
      <c r="AS801" s="2"/>
      <c r="AT801" s="2" t="s">
        <v>3187</v>
      </c>
      <c r="AU801" s="2"/>
      <c r="AV801" s="2"/>
      <c r="AW801" s="2"/>
      <c r="AX801" s="2"/>
      <c r="AY801" s="2">
        <v>1</v>
      </c>
      <c r="AZ801" s="2" t="s">
        <v>107</v>
      </c>
      <c r="BA801" s="2">
        <v>1</v>
      </c>
      <c r="BB801" s="2" t="s">
        <v>107</v>
      </c>
      <c r="BC801" s="2">
        <v>1</v>
      </c>
      <c r="BD801" s="2" t="s">
        <v>107</v>
      </c>
      <c r="BE801" s="2">
        <v>1</v>
      </c>
      <c r="BF801" s="2" t="s">
        <v>107</v>
      </c>
      <c r="BG801" s="2"/>
      <c r="BH801" s="2"/>
      <c r="BI801" s="2"/>
      <c r="BJ801" s="2">
        <v>242</v>
      </c>
      <c r="BK801" s="2" t="s">
        <v>107</v>
      </c>
      <c r="BL801" s="2"/>
      <c r="BM801" s="2">
        <v>242</v>
      </c>
      <c r="BN801" s="2" t="s">
        <v>107</v>
      </c>
      <c r="BO801" s="2"/>
      <c r="BP801" s="2">
        <v>242</v>
      </c>
      <c r="BQ801" s="2" t="s">
        <v>107</v>
      </c>
      <c r="BR801" s="2"/>
      <c r="BS801" s="3">
        <v>40241</v>
      </c>
      <c r="BT801" s="4">
        <v>0.65527777777777774</v>
      </c>
    </row>
    <row r="802" spans="1:72" x14ac:dyDescent="0.25">
      <c r="A802" s="2">
        <v>1261</v>
      </c>
      <c r="B802" s="2">
        <v>2010</v>
      </c>
      <c r="C802" s="2" t="s">
        <v>806</v>
      </c>
      <c r="D802" s="2" t="s">
        <v>73</v>
      </c>
      <c r="E802" s="2"/>
      <c r="F802" s="2">
        <v>11</v>
      </c>
      <c r="G802" s="2" t="s">
        <v>2454</v>
      </c>
      <c r="H802" s="2">
        <v>61</v>
      </c>
      <c r="I802" s="2" t="s">
        <v>3043</v>
      </c>
      <c r="J802" s="2">
        <v>19</v>
      </c>
      <c r="K802" s="2" t="s">
        <v>2144</v>
      </c>
      <c r="L802" s="2" t="s">
        <v>2145</v>
      </c>
      <c r="M802" s="3">
        <v>40241</v>
      </c>
      <c r="N802" s="2" t="s">
        <v>3064</v>
      </c>
      <c r="O802" s="2" t="s">
        <v>3044</v>
      </c>
      <c r="P802" s="7">
        <v>20219</v>
      </c>
      <c r="Q802" s="2" t="str">
        <f>"07/10"</f>
        <v>07/10</v>
      </c>
      <c r="R802" s="2" t="s">
        <v>82</v>
      </c>
      <c r="S802" s="2" t="s">
        <v>82</v>
      </c>
      <c r="T802" s="2">
        <v>1</v>
      </c>
      <c r="U802" s="2" t="s">
        <v>79</v>
      </c>
      <c r="V802" s="2">
        <v>3</v>
      </c>
      <c r="W802" s="2" t="s">
        <v>225</v>
      </c>
      <c r="X802" s="2">
        <v>6</v>
      </c>
      <c r="Y802" s="2" t="s">
        <v>249</v>
      </c>
      <c r="Z802" s="2">
        <v>1</v>
      </c>
      <c r="AA802" s="2" t="s">
        <v>82</v>
      </c>
      <c r="AB802" s="2">
        <v>9</v>
      </c>
      <c r="AC802" s="2" t="s">
        <v>124</v>
      </c>
      <c r="AD802" s="2"/>
      <c r="AE802" s="2"/>
      <c r="AF802" s="2"/>
      <c r="AG802" s="2"/>
      <c r="AH802" s="2">
        <v>3</v>
      </c>
      <c r="AI802" s="2" t="s">
        <v>214</v>
      </c>
      <c r="AJ802" s="2">
        <v>14</v>
      </c>
      <c r="AK802" s="2" t="s">
        <v>342</v>
      </c>
      <c r="AL802" s="2">
        <v>23</v>
      </c>
      <c r="AM802" s="2" t="s">
        <v>251</v>
      </c>
      <c r="AN802" s="2" t="s">
        <v>82</v>
      </c>
      <c r="AO802" s="2" t="s">
        <v>3188</v>
      </c>
      <c r="AP802" s="2">
        <v>11</v>
      </c>
      <c r="AQ802" s="2" t="s">
        <v>82</v>
      </c>
      <c r="AR802" s="2"/>
      <c r="AS802" s="2"/>
      <c r="AT802" s="2" t="s">
        <v>3189</v>
      </c>
      <c r="AU802" s="2"/>
      <c r="AV802" s="2"/>
      <c r="AW802" s="2"/>
      <c r="AX802" s="2"/>
      <c r="AY802" s="2">
        <v>1</v>
      </c>
      <c r="AZ802" s="2" t="s">
        <v>107</v>
      </c>
      <c r="BA802" s="2">
        <v>1</v>
      </c>
      <c r="BB802" s="2" t="s">
        <v>107</v>
      </c>
      <c r="BC802" s="2">
        <v>1</v>
      </c>
      <c r="BD802" s="2" t="s">
        <v>107</v>
      </c>
      <c r="BE802" s="2">
        <v>41</v>
      </c>
      <c r="BF802" s="2" t="s">
        <v>82</v>
      </c>
      <c r="BG802" s="2"/>
      <c r="BH802" s="2"/>
      <c r="BI802" s="2"/>
      <c r="BJ802" s="2">
        <v>242</v>
      </c>
      <c r="BK802" s="2" t="s">
        <v>107</v>
      </c>
      <c r="BL802" s="2"/>
      <c r="BM802" s="2">
        <v>242</v>
      </c>
      <c r="BN802" s="2" t="s">
        <v>107</v>
      </c>
      <c r="BO802" s="2"/>
      <c r="BP802" s="2">
        <v>242</v>
      </c>
      <c r="BQ802" s="2" t="s">
        <v>107</v>
      </c>
      <c r="BR802" s="2"/>
      <c r="BS802" s="3">
        <v>40241</v>
      </c>
      <c r="BT802" s="4">
        <v>0.65975694444444444</v>
      </c>
    </row>
    <row r="803" spans="1:72" x14ac:dyDescent="0.25">
      <c r="A803" s="2">
        <v>1262</v>
      </c>
      <c r="B803" s="2">
        <v>2010</v>
      </c>
      <c r="C803" s="2" t="s">
        <v>72</v>
      </c>
      <c r="D803" s="2" t="s">
        <v>73</v>
      </c>
      <c r="E803" s="2"/>
      <c r="F803" s="2">
        <v>34</v>
      </c>
      <c r="G803" s="2" t="s">
        <v>334</v>
      </c>
      <c r="H803" s="2">
        <v>66</v>
      </c>
      <c r="I803" s="2" t="s">
        <v>3190</v>
      </c>
      <c r="J803" s="2">
        <v>43</v>
      </c>
      <c r="K803" s="2" t="s">
        <v>2059</v>
      </c>
      <c r="L803" s="2" t="s">
        <v>2060</v>
      </c>
      <c r="M803" s="3">
        <v>40241</v>
      </c>
      <c r="N803" s="2" t="s">
        <v>3191</v>
      </c>
      <c r="O803" s="2" t="s">
        <v>107</v>
      </c>
      <c r="P803" s="2" t="s">
        <v>107</v>
      </c>
      <c r="Q803" s="2" t="str">
        <f>"12/10"</f>
        <v>12/10</v>
      </c>
      <c r="R803" s="2" t="s">
        <v>3192</v>
      </c>
      <c r="S803" s="2" t="s">
        <v>3192</v>
      </c>
      <c r="T803" s="2">
        <v>1</v>
      </c>
      <c r="U803" s="2" t="s">
        <v>79</v>
      </c>
      <c r="V803" s="2">
        <v>1</v>
      </c>
      <c r="W803" s="2" t="s">
        <v>80</v>
      </c>
      <c r="X803" s="2">
        <v>1</v>
      </c>
      <c r="Y803" s="2" t="s">
        <v>81</v>
      </c>
      <c r="Z803" s="2">
        <v>10</v>
      </c>
      <c r="AA803" s="2" t="s">
        <v>236</v>
      </c>
      <c r="AB803" s="2">
        <v>6</v>
      </c>
      <c r="AC803" s="2" t="s">
        <v>83</v>
      </c>
      <c r="AD803" s="3">
        <v>40241</v>
      </c>
      <c r="AE803" s="4">
        <v>0.4236111111111111</v>
      </c>
      <c r="AF803" s="3">
        <v>40241</v>
      </c>
      <c r="AG803" s="4">
        <v>0.56597222222222221</v>
      </c>
      <c r="AH803" s="2">
        <v>3</v>
      </c>
      <c r="AI803" s="2" t="s">
        <v>214</v>
      </c>
      <c r="AJ803" s="2">
        <v>17</v>
      </c>
      <c r="AK803" s="2" t="s">
        <v>309</v>
      </c>
      <c r="AL803" s="2">
        <v>12</v>
      </c>
      <c r="AM803" s="2" t="s">
        <v>86</v>
      </c>
      <c r="AN803" s="2" t="s">
        <v>3193</v>
      </c>
      <c r="AO803" s="2" t="s">
        <v>3194</v>
      </c>
      <c r="AP803" s="2">
        <v>11</v>
      </c>
      <c r="AQ803" s="2" t="s">
        <v>82</v>
      </c>
      <c r="AR803" s="2"/>
      <c r="AS803" s="2"/>
      <c r="AT803" s="2" t="s">
        <v>3195</v>
      </c>
      <c r="AU803" s="2"/>
      <c r="AV803" s="2"/>
      <c r="AW803" s="2"/>
      <c r="AX803" s="2"/>
      <c r="AY803" s="2">
        <v>41</v>
      </c>
      <c r="AZ803" s="2" t="s">
        <v>82</v>
      </c>
      <c r="BA803" s="2">
        <v>41</v>
      </c>
      <c r="BB803" s="2" t="s">
        <v>82</v>
      </c>
      <c r="BC803" s="2">
        <v>41</v>
      </c>
      <c r="BD803" s="2" t="s">
        <v>82</v>
      </c>
      <c r="BE803" s="2">
        <v>13</v>
      </c>
      <c r="BF803" s="2" t="s">
        <v>108</v>
      </c>
      <c r="BG803" s="2" t="s">
        <v>3196</v>
      </c>
      <c r="BH803" s="4">
        <v>0.54166666666666663</v>
      </c>
      <c r="BI803" s="4">
        <v>0.4861111111111111</v>
      </c>
      <c r="BJ803" s="2">
        <v>13</v>
      </c>
      <c r="BK803" s="2" t="s">
        <v>91</v>
      </c>
      <c r="BL803" s="2" t="s">
        <v>169</v>
      </c>
      <c r="BM803" s="2">
        <v>241</v>
      </c>
      <c r="BN803" s="2" t="s">
        <v>82</v>
      </c>
      <c r="BO803" s="2" t="s">
        <v>82</v>
      </c>
      <c r="BP803" s="2">
        <v>13</v>
      </c>
      <c r="BQ803" s="2" t="s">
        <v>91</v>
      </c>
      <c r="BR803" s="2" t="s">
        <v>445</v>
      </c>
      <c r="BS803" s="3">
        <v>40241</v>
      </c>
      <c r="BT803" s="4">
        <v>0.71194444444444438</v>
      </c>
    </row>
    <row r="804" spans="1:72" x14ac:dyDescent="0.25">
      <c r="A804" s="2">
        <v>1263</v>
      </c>
      <c r="B804" s="2">
        <v>2010</v>
      </c>
      <c r="C804" s="2" t="s">
        <v>2567</v>
      </c>
      <c r="D804" s="2" t="s">
        <v>73</v>
      </c>
      <c r="E804" s="2"/>
      <c r="F804" s="2">
        <v>1</v>
      </c>
      <c r="G804" s="2" t="s">
        <v>82</v>
      </c>
      <c r="H804" s="2">
        <v>1</v>
      </c>
      <c r="I804" s="2" t="s">
        <v>82</v>
      </c>
      <c r="J804" s="2">
        <v>1</v>
      </c>
      <c r="K804" s="2" t="s">
        <v>107</v>
      </c>
      <c r="L804" s="2" t="s">
        <v>107</v>
      </c>
      <c r="M804" s="3">
        <v>40241</v>
      </c>
      <c r="N804" s="2"/>
      <c r="O804" s="2"/>
      <c r="P804" s="2"/>
      <c r="Q804" s="2" t="str">
        <f>""</f>
        <v/>
      </c>
      <c r="R804" s="2"/>
      <c r="S804" s="2"/>
      <c r="T804" s="2">
        <v>1</v>
      </c>
      <c r="U804" s="2" t="s">
        <v>79</v>
      </c>
      <c r="V804" s="2">
        <v>1</v>
      </c>
      <c r="W804" s="2" t="s">
        <v>80</v>
      </c>
      <c r="X804" s="2">
        <v>1</v>
      </c>
      <c r="Y804" s="2" t="s">
        <v>81</v>
      </c>
      <c r="Z804" s="2">
        <v>10</v>
      </c>
      <c r="AA804" s="2" t="s">
        <v>236</v>
      </c>
      <c r="AB804" s="2">
        <v>9</v>
      </c>
      <c r="AC804" s="2" t="s">
        <v>124</v>
      </c>
      <c r="AD804" s="3">
        <v>40241</v>
      </c>
      <c r="AE804" s="4">
        <v>0.64166666666666672</v>
      </c>
      <c r="AF804" s="2"/>
      <c r="AG804" s="2"/>
      <c r="AH804" s="2">
        <v>6</v>
      </c>
      <c r="AI804" s="2" t="s">
        <v>197</v>
      </c>
      <c r="AJ804" s="2">
        <v>61</v>
      </c>
      <c r="AK804" s="2" t="s">
        <v>686</v>
      </c>
      <c r="AL804" s="2">
        <v>10</v>
      </c>
      <c r="AM804" s="2" t="s">
        <v>200</v>
      </c>
      <c r="AN804" s="2" t="s">
        <v>3197</v>
      </c>
      <c r="AO804" s="2" t="s">
        <v>3198</v>
      </c>
      <c r="AP804" s="2">
        <v>11</v>
      </c>
      <c r="AQ804" s="2" t="s">
        <v>82</v>
      </c>
      <c r="AR804" s="2" t="s">
        <v>82</v>
      </c>
      <c r="AS804" s="2" t="s">
        <v>82</v>
      </c>
      <c r="AT804" s="2" t="s">
        <v>3199</v>
      </c>
      <c r="AU804" s="2"/>
      <c r="AV804" s="2"/>
      <c r="AW804" s="2"/>
      <c r="AX804" s="2"/>
      <c r="AY804" s="2">
        <v>41</v>
      </c>
      <c r="AZ804" s="2" t="s">
        <v>82</v>
      </c>
      <c r="BA804" s="2">
        <v>41</v>
      </c>
      <c r="BB804" s="2" t="s">
        <v>82</v>
      </c>
      <c r="BC804" s="2">
        <v>70</v>
      </c>
      <c r="BD804" s="2" t="s">
        <v>236</v>
      </c>
      <c r="BE804" s="2">
        <v>1</v>
      </c>
      <c r="BF804" s="2" t="s">
        <v>107</v>
      </c>
      <c r="BG804" s="2" t="s">
        <v>3200</v>
      </c>
      <c r="BH804" s="4">
        <v>0.64166666666666672</v>
      </c>
      <c r="BI804" s="2"/>
      <c r="BJ804" s="2">
        <v>13</v>
      </c>
      <c r="BK804" s="2" t="s">
        <v>91</v>
      </c>
      <c r="BL804" s="2" t="s">
        <v>492</v>
      </c>
      <c r="BM804" s="2">
        <v>241</v>
      </c>
      <c r="BN804" s="2" t="s">
        <v>82</v>
      </c>
      <c r="BO804" s="2" t="s">
        <v>82</v>
      </c>
      <c r="BP804" s="2">
        <v>13</v>
      </c>
      <c r="BQ804" s="2" t="s">
        <v>91</v>
      </c>
      <c r="BR804" s="2" t="s">
        <v>690</v>
      </c>
      <c r="BS804" s="3">
        <v>40241</v>
      </c>
      <c r="BT804" s="4">
        <v>0.72887731481481488</v>
      </c>
    </row>
    <row r="805" spans="1:72" x14ac:dyDescent="0.25">
      <c r="A805" s="2">
        <v>1266</v>
      </c>
      <c r="B805" s="2">
        <v>2010</v>
      </c>
      <c r="C805" s="2" t="s">
        <v>2567</v>
      </c>
      <c r="D805" s="2" t="s">
        <v>122</v>
      </c>
      <c r="E805" s="2"/>
      <c r="F805" s="2">
        <v>1</v>
      </c>
      <c r="G805" s="2" t="s">
        <v>82</v>
      </c>
      <c r="H805" s="2">
        <v>1</v>
      </c>
      <c r="I805" s="2" t="s">
        <v>82</v>
      </c>
      <c r="J805" s="2">
        <v>1</v>
      </c>
      <c r="K805" s="2" t="s">
        <v>107</v>
      </c>
      <c r="L805" s="2" t="s">
        <v>107</v>
      </c>
      <c r="M805" s="3">
        <v>40241</v>
      </c>
      <c r="N805" s="2"/>
      <c r="O805" s="2"/>
      <c r="P805" s="2"/>
      <c r="Q805" s="2" t="str">
        <f>""</f>
        <v/>
      </c>
      <c r="R805" s="2"/>
      <c r="S805" s="2"/>
      <c r="T805" s="2">
        <v>1</v>
      </c>
      <c r="U805" s="2" t="s">
        <v>79</v>
      </c>
      <c r="V805" s="2">
        <v>1</v>
      </c>
      <c r="W805" s="2" t="s">
        <v>80</v>
      </c>
      <c r="X805" s="2">
        <v>1</v>
      </c>
      <c r="Y805" s="2" t="s">
        <v>81</v>
      </c>
      <c r="Z805" s="2">
        <v>1</v>
      </c>
      <c r="AA805" s="2" t="s">
        <v>82</v>
      </c>
      <c r="AB805" s="2">
        <v>9</v>
      </c>
      <c r="AC805" s="2" t="s">
        <v>124</v>
      </c>
      <c r="AD805" s="3">
        <v>40241</v>
      </c>
      <c r="AE805" s="4">
        <v>0.59722222222222221</v>
      </c>
      <c r="AF805" s="2"/>
      <c r="AG805" s="2"/>
      <c r="AH805" s="2">
        <v>6</v>
      </c>
      <c r="AI805" s="2" t="s">
        <v>197</v>
      </c>
      <c r="AJ805" s="2">
        <v>58</v>
      </c>
      <c r="AK805" s="2" t="s">
        <v>406</v>
      </c>
      <c r="AL805" s="2">
        <v>2</v>
      </c>
      <c r="AM805" s="2" t="s">
        <v>163</v>
      </c>
      <c r="AN805" s="2" t="s">
        <v>3201</v>
      </c>
      <c r="AO805" s="2" t="s">
        <v>3202</v>
      </c>
      <c r="AP805" s="2">
        <v>11</v>
      </c>
      <c r="AQ805" s="2" t="s">
        <v>82</v>
      </c>
      <c r="AR805" s="2"/>
      <c r="AS805" s="2"/>
      <c r="AT805" s="2" t="s">
        <v>3203</v>
      </c>
      <c r="AU805" s="2"/>
      <c r="AV805" s="2"/>
      <c r="AW805" s="2"/>
      <c r="AX805" s="2"/>
      <c r="AY805" s="2">
        <v>41</v>
      </c>
      <c r="AZ805" s="2" t="s">
        <v>82</v>
      </c>
      <c r="BA805" s="2">
        <v>41</v>
      </c>
      <c r="BB805" s="2" t="s">
        <v>82</v>
      </c>
      <c r="BC805" s="2">
        <v>41</v>
      </c>
      <c r="BD805" s="2" t="s">
        <v>82</v>
      </c>
      <c r="BE805" s="2">
        <v>41</v>
      </c>
      <c r="BF805" s="2" t="s">
        <v>82</v>
      </c>
      <c r="BG805" s="2"/>
      <c r="BH805" s="4">
        <v>0.47916666666666669</v>
      </c>
      <c r="BI805" s="4">
        <v>0.60416666666666663</v>
      </c>
      <c r="BJ805" s="2">
        <v>13</v>
      </c>
      <c r="BK805" s="2" t="s">
        <v>91</v>
      </c>
      <c r="BL805" s="2" t="s">
        <v>690</v>
      </c>
      <c r="BM805" s="2">
        <v>13</v>
      </c>
      <c r="BN805" s="2" t="s">
        <v>91</v>
      </c>
      <c r="BO805" s="2" t="s">
        <v>492</v>
      </c>
      <c r="BP805" s="2">
        <v>13</v>
      </c>
      <c r="BQ805" s="2" t="s">
        <v>91</v>
      </c>
      <c r="BR805" s="2" t="s">
        <v>690</v>
      </c>
      <c r="BS805" s="3">
        <v>40241</v>
      </c>
      <c r="BT805" s="4">
        <v>0.74692129629629633</v>
      </c>
    </row>
    <row r="806" spans="1:72" x14ac:dyDescent="0.25">
      <c r="A806" s="2">
        <v>1268</v>
      </c>
      <c r="B806" s="2">
        <v>2010</v>
      </c>
      <c r="C806" s="2" t="s">
        <v>171</v>
      </c>
      <c r="D806" s="2" t="s">
        <v>122</v>
      </c>
      <c r="E806" s="2"/>
      <c r="F806" s="2">
        <v>489</v>
      </c>
      <c r="G806" s="2" t="s">
        <v>1633</v>
      </c>
      <c r="H806" s="2">
        <v>50</v>
      </c>
      <c r="I806" s="2" t="s">
        <v>107</v>
      </c>
      <c r="J806" s="2">
        <v>460</v>
      </c>
      <c r="K806" s="2" t="s">
        <v>3204</v>
      </c>
      <c r="L806" s="2" t="s">
        <v>3205</v>
      </c>
      <c r="M806" s="3">
        <v>40241</v>
      </c>
      <c r="N806" s="2" t="s">
        <v>3206</v>
      </c>
      <c r="O806" s="2" t="s">
        <v>3207</v>
      </c>
      <c r="P806" s="2" t="s">
        <v>3208</v>
      </c>
      <c r="Q806" s="2" t="str">
        <f>""</f>
        <v/>
      </c>
      <c r="R806" s="2"/>
      <c r="S806" s="2"/>
      <c r="T806" s="2">
        <v>1</v>
      </c>
      <c r="U806" s="2" t="s">
        <v>79</v>
      </c>
      <c r="V806" s="2">
        <v>1</v>
      </c>
      <c r="W806" s="2" t="s">
        <v>80</v>
      </c>
      <c r="X806" s="2">
        <v>5</v>
      </c>
      <c r="Y806" s="2" t="s">
        <v>82</v>
      </c>
      <c r="Z806" s="2">
        <v>10</v>
      </c>
      <c r="AA806" s="2" t="s">
        <v>236</v>
      </c>
      <c r="AB806" s="2">
        <v>1</v>
      </c>
      <c r="AC806" s="2" t="s">
        <v>178</v>
      </c>
      <c r="AD806" s="3">
        <v>40241</v>
      </c>
      <c r="AE806" s="4">
        <v>0.54166666666666663</v>
      </c>
      <c r="AF806" s="2"/>
      <c r="AG806" s="2"/>
      <c r="AH806" s="2">
        <v>2</v>
      </c>
      <c r="AI806" s="2" t="s">
        <v>84</v>
      </c>
      <c r="AJ806" s="2">
        <v>9</v>
      </c>
      <c r="AK806" s="2" t="s">
        <v>103</v>
      </c>
      <c r="AL806" s="2">
        <v>9</v>
      </c>
      <c r="AM806" s="2" t="s">
        <v>259</v>
      </c>
      <c r="AN806" s="2"/>
      <c r="AO806" s="2" t="s">
        <v>3209</v>
      </c>
      <c r="AP806" s="2">
        <v>11</v>
      </c>
      <c r="AQ806" s="2" t="s">
        <v>82</v>
      </c>
      <c r="AR806" s="2"/>
      <c r="AS806" s="2"/>
      <c r="AT806" s="2" t="s">
        <v>3210</v>
      </c>
      <c r="AU806" s="2"/>
      <c r="AV806" s="2"/>
      <c r="AW806" s="2"/>
      <c r="AX806" s="2"/>
      <c r="AY806" s="2">
        <v>41</v>
      </c>
      <c r="AZ806" s="2" t="s">
        <v>82</v>
      </c>
      <c r="BA806" s="2">
        <v>41</v>
      </c>
      <c r="BB806" s="2" t="s">
        <v>82</v>
      </c>
      <c r="BC806" s="2">
        <v>70</v>
      </c>
      <c r="BD806" s="2" t="s">
        <v>236</v>
      </c>
      <c r="BE806" s="2">
        <v>41</v>
      </c>
      <c r="BF806" s="2" t="s">
        <v>82</v>
      </c>
      <c r="BG806" s="2"/>
      <c r="BH806" s="2"/>
      <c r="BI806" s="2"/>
      <c r="BJ806" s="2">
        <v>241</v>
      </c>
      <c r="BK806" s="2" t="s">
        <v>82</v>
      </c>
      <c r="BL806" s="2"/>
      <c r="BM806" s="2">
        <v>241</v>
      </c>
      <c r="BN806" s="2" t="s">
        <v>82</v>
      </c>
      <c r="BO806" s="2"/>
      <c r="BP806" s="2">
        <v>241</v>
      </c>
      <c r="BQ806" s="2" t="s">
        <v>82</v>
      </c>
      <c r="BR806" s="2"/>
      <c r="BS806" s="3">
        <v>40241</v>
      </c>
      <c r="BT806" s="4">
        <v>0.77057870370370374</v>
      </c>
    </row>
    <row r="807" spans="1:72" x14ac:dyDescent="0.25">
      <c r="A807" s="2">
        <v>1269</v>
      </c>
      <c r="B807" s="2">
        <v>2010</v>
      </c>
      <c r="C807" s="2" t="s">
        <v>196</v>
      </c>
      <c r="D807" s="2" t="s">
        <v>122</v>
      </c>
      <c r="E807" s="2"/>
      <c r="F807" s="2">
        <v>1</v>
      </c>
      <c r="G807" s="2" t="s">
        <v>82</v>
      </c>
      <c r="H807" s="2">
        <v>1</v>
      </c>
      <c r="I807" s="2" t="s">
        <v>82</v>
      </c>
      <c r="J807" s="2">
        <v>1</v>
      </c>
      <c r="K807" s="2" t="s">
        <v>107</v>
      </c>
      <c r="L807" s="2" t="s">
        <v>107</v>
      </c>
      <c r="M807" s="3">
        <v>40241</v>
      </c>
      <c r="N807" s="2"/>
      <c r="O807" s="2"/>
      <c r="P807" s="2"/>
      <c r="Q807" s="2" t="str">
        <f>""</f>
        <v/>
      </c>
      <c r="R807" s="2"/>
      <c r="S807" s="2"/>
      <c r="T807" s="2">
        <v>2</v>
      </c>
      <c r="U807" s="2" t="s">
        <v>123</v>
      </c>
      <c r="V807" s="2">
        <v>1</v>
      </c>
      <c r="W807" s="2" t="s">
        <v>80</v>
      </c>
      <c r="X807" s="2">
        <v>1</v>
      </c>
      <c r="Y807" s="2" t="s">
        <v>81</v>
      </c>
      <c r="Z807" s="2">
        <v>10</v>
      </c>
      <c r="AA807" s="2" t="s">
        <v>236</v>
      </c>
      <c r="AB807" s="2">
        <v>9</v>
      </c>
      <c r="AC807" s="2" t="s">
        <v>124</v>
      </c>
      <c r="AD807" s="3">
        <v>40241</v>
      </c>
      <c r="AE807" s="4">
        <v>0.54166666666666663</v>
      </c>
      <c r="AF807" s="2"/>
      <c r="AG807" s="2"/>
      <c r="AH807" s="2">
        <v>2</v>
      </c>
      <c r="AI807" s="2" t="s">
        <v>84</v>
      </c>
      <c r="AJ807" s="2">
        <v>12</v>
      </c>
      <c r="AK807" s="2" t="s">
        <v>85</v>
      </c>
      <c r="AL807" s="2">
        <v>20</v>
      </c>
      <c r="AM807" s="2" t="s">
        <v>992</v>
      </c>
      <c r="AN807" s="2" t="s">
        <v>992</v>
      </c>
      <c r="AO807" s="2" t="s">
        <v>107</v>
      </c>
      <c r="AP807" s="2">
        <v>11</v>
      </c>
      <c r="AQ807" s="2" t="s">
        <v>82</v>
      </c>
      <c r="AR807" s="2"/>
      <c r="AS807" s="2"/>
      <c r="AT807" s="2" t="s">
        <v>3211</v>
      </c>
      <c r="AU807" s="2"/>
      <c r="AV807" s="2"/>
      <c r="AW807" s="2"/>
      <c r="AX807" s="2"/>
      <c r="AY807" s="2">
        <v>41</v>
      </c>
      <c r="AZ807" s="2" t="s">
        <v>82</v>
      </c>
      <c r="BA807" s="2">
        <v>41</v>
      </c>
      <c r="BB807" s="2" t="s">
        <v>82</v>
      </c>
      <c r="BC807" s="2">
        <v>41</v>
      </c>
      <c r="BD807" s="2" t="s">
        <v>82</v>
      </c>
      <c r="BE807" s="2">
        <v>41</v>
      </c>
      <c r="BF807" s="2" t="s">
        <v>82</v>
      </c>
      <c r="BG807" s="2"/>
      <c r="BH807" s="2"/>
      <c r="BI807" s="2"/>
      <c r="BJ807" s="2">
        <v>13</v>
      </c>
      <c r="BK807" s="2" t="s">
        <v>91</v>
      </c>
      <c r="BL807" s="2" t="s">
        <v>185</v>
      </c>
      <c r="BM807" s="2">
        <v>241</v>
      </c>
      <c r="BN807" s="2" t="s">
        <v>82</v>
      </c>
      <c r="BO807" s="2"/>
      <c r="BP807" s="2">
        <v>13</v>
      </c>
      <c r="BQ807" s="2" t="s">
        <v>91</v>
      </c>
      <c r="BR807" s="2" t="s">
        <v>204</v>
      </c>
      <c r="BS807" s="3">
        <v>40241</v>
      </c>
      <c r="BT807" s="4">
        <v>0.79761574074074071</v>
      </c>
    </row>
    <row r="808" spans="1:72" x14ac:dyDescent="0.25">
      <c r="A808" s="2">
        <v>1270</v>
      </c>
      <c r="B808" s="2">
        <v>2010</v>
      </c>
      <c r="C808" s="2" t="s">
        <v>549</v>
      </c>
      <c r="D808" s="2" t="s">
        <v>73</v>
      </c>
      <c r="E808" s="2"/>
      <c r="F808" s="2">
        <v>2</v>
      </c>
      <c r="G808" s="2" t="s">
        <v>113</v>
      </c>
      <c r="H808" s="2">
        <v>1</v>
      </c>
      <c r="I808" s="2" t="s">
        <v>82</v>
      </c>
      <c r="J808" s="2">
        <v>300</v>
      </c>
      <c r="K808" s="2" t="s">
        <v>114</v>
      </c>
      <c r="L808" s="2" t="s">
        <v>115</v>
      </c>
      <c r="M808" s="3">
        <v>40241</v>
      </c>
      <c r="N808" s="2" t="s">
        <v>3212</v>
      </c>
      <c r="O808" s="2" t="s">
        <v>107</v>
      </c>
      <c r="P808" s="2" t="s">
        <v>107</v>
      </c>
      <c r="Q808" s="2" t="str">
        <f>"122-E/10"</f>
        <v>122-E/10</v>
      </c>
      <c r="R808" s="2" t="s">
        <v>107</v>
      </c>
      <c r="S808" s="2" t="s">
        <v>550</v>
      </c>
      <c r="T808" s="2">
        <v>1</v>
      </c>
      <c r="U808" s="2" t="s">
        <v>79</v>
      </c>
      <c r="V808" s="2">
        <v>1</v>
      </c>
      <c r="W808" s="2" t="s">
        <v>80</v>
      </c>
      <c r="X808" s="2">
        <v>1</v>
      </c>
      <c r="Y808" s="2" t="s">
        <v>81</v>
      </c>
      <c r="Z808" s="2">
        <v>1</v>
      </c>
      <c r="AA808" s="2" t="s">
        <v>82</v>
      </c>
      <c r="AB808" s="2">
        <v>9</v>
      </c>
      <c r="AC808" s="2" t="s">
        <v>124</v>
      </c>
      <c r="AD808" s="3">
        <v>40241</v>
      </c>
      <c r="AE808" s="4">
        <v>0.50694444444444442</v>
      </c>
      <c r="AF808" s="3">
        <v>40241</v>
      </c>
      <c r="AG808" s="4">
        <v>0.70833333333333337</v>
      </c>
      <c r="AH808" s="2">
        <v>2</v>
      </c>
      <c r="AI808" s="2" t="s">
        <v>84</v>
      </c>
      <c r="AJ808" s="2">
        <v>9</v>
      </c>
      <c r="AK808" s="2" t="s">
        <v>103</v>
      </c>
      <c r="AL808" s="2">
        <v>21</v>
      </c>
      <c r="AM808" s="2" t="s">
        <v>1311</v>
      </c>
      <c r="AN808" s="2" t="s">
        <v>3213</v>
      </c>
      <c r="AO808" s="2"/>
      <c r="AP808" s="2">
        <v>11</v>
      </c>
      <c r="AQ808" s="2" t="s">
        <v>82</v>
      </c>
      <c r="AR808" s="2"/>
      <c r="AS808" s="2"/>
      <c r="AT808" s="2" t="s">
        <v>3214</v>
      </c>
      <c r="AU808" s="2"/>
      <c r="AV808" s="2"/>
      <c r="AW808" s="2"/>
      <c r="AX808" s="2"/>
      <c r="AY808" s="2">
        <v>41</v>
      </c>
      <c r="AZ808" s="2" t="s">
        <v>82</v>
      </c>
      <c r="BA808" s="2">
        <v>41</v>
      </c>
      <c r="BB808" s="2" t="s">
        <v>82</v>
      </c>
      <c r="BC808" s="2">
        <v>41</v>
      </c>
      <c r="BD808" s="2" t="s">
        <v>82</v>
      </c>
      <c r="BE808" s="2">
        <v>41</v>
      </c>
      <c r="BF808" s="2" t="s">
        <v>82</v>
      </c>
      <c r="BG808" s="2"/>
      <c r="BH808" s="2"/>
      <c r="BI808" s="2"/>
      <c r="BJ808" s="2">
        <v>241</v>
      </c>
      <c r="BK808" s="2" t="s">
        <v>82</v>
      </c>
      <c r="BL808" s="2"/>
      <c r="BM808" s="2">
        <v>241</v>
      </c>
      <c r="BN808" s="2" t="s">
        <v>82</v>
      </c>
      <c r="BO808" s="2"/>
      <c r="BP808" s="2">
        <v>241</v>
      </c>
      <c r="BQ808" s="2" t="s">
        <v>82</v>
      </c>
      <c r="BR808" s="2"/>
      <c r="BS808" s="3">
        <v>40241</v>
      </c>
      <c r="BT808" s="4">
        <v>0.87438657407407405</v>
      </c>
    </row>
    <row r="809" spans="1:72" x14ac:dyDescent="0.25">
      <c r="A809" s="2">
        <v>1271</v>
      </c>
      <c r="B809" s="2">
        <v>2010</v>
      </c>
      <c r="C809" s="2" t="s">
        <v>72</v>
      </c>
      <c r="D809" s="2" t="s">
        <v>122</v>
      </c>
      <c r="E809" s="2" t="s">
        <v>3215</v>
      </c>
      <c r="F809" s="2">
        <v>2</v>
      </c>
      <c r="G809" s="2" t="s">
        <v>113</v>
      </c>
      <c r="H809" s="2">
        <v>42</v>
      </c>
      <c r="I809" s="2" t="s">
        <v>1096</v>
      </c>
      <c r="J809" s="2">
        <v>300</v>
      </c>
      <c r="K809" s="2" t="s">
        <v>114</v>
      </c>
      <c r="L809" s="2" t="s">
        <v>115</v>
      </c>
      <c r="M809" s="3">
        <v>40241</v>
      </c>
      <c r="N809" s="2"/>
      <c r="O809" s="2"/>
      <c r="P809" s="2"/>
      <c r="Q809" s="2" t="str">
        <f>"118-E/10"</f>
        <v>118-E/10</v>
      </c>
      <c r="R809" s="2" t="s">
        <v>116</v>
      </c>
      <c r="S809" s="2" t="s">
        <v>116</v>
      </c>
      <c r="T809" s="2">
        <v>1</v>
      </c>
      <c r="U809" s="2" t="s">
        <v>79</v>
      </c>
      <c r="V809" s="2">
        <v>1</v>
      </c>
      <c r="W809" s="2" t="s">
        <v>80</v>
      </c>
      <c r="X809" s="2">
        <v>1</v>
      </c>
      <c r="Y809" s="2" t="s">
        <v>81</v>
      </c>
      <c r="Z809" s="2">
        <v>1</v>
      </c>
      <c r="AA809" s="2" t="s">
        <v>82</v>
      </c>
      <c r="AB809" s="2">
        <v>6</v>
      </c>
      <c r="AC809" s="2" t="s">
        <v>83</v>
      </c>
      <c r="AD809" s="3">
        <v>40239</v>
      </c>
      <c r="AE809" s="4">
        <v>0.4375</v>
      </c>
      <c r="AF809" s="3">
        <v>40239</v>
      </c>
      <c r="AG809" s="4">
        <v>0.5</v>
      </c>
      <c r="AH809" s="2">
        <v>2</v>
      </c>
      <c r="AI809" s="2" t="s">
        <v>84</v>
      </c>
      <c r="AJ809" s="2">
        <v>9</v>
      </c>
      <c r="AK809" s="2" t="s">
        <v>103</v>
      </c>
      <c r="AL809" s="2">
        <v>12</v>
      </c>
      <c r="AM809" s="2" t="s">
        <v>86</v>
      </c>
      <c r="AN809" s="2" t="s">
        <v>3099</v>
      </c>
      <c r="AO809" s="2" t="s">
        <v>3100</v>
      </c>
      <c r="AP809" s="2">
        <v>11</v>
      </c>
      <c r="AQ809" s="2" t="s">
        <v>82</v>
      </c>
      <c r="AR809" s="2"/>
      <c r="AS809" s="2"/>
      <c r="AT809" s="2" t="s">
        <v>3216</v>
      </c>
      <c r="AU809" s="2"/>
      <c r="AV809" s="2"/>
      <c r="AW809" s="2">
        <v>1</v>
      </c>
      <c r="AX809" s="2"/>
      <c r="AY809" s="2">
        <v>41</v>
      </c>
      <c r="AZ809" s="2" t="s">
        <v>82</v>
      </c>
      <c r="BA809" s="2">
        <v>41</v>
      </c>
      <c r="BB809" s="2" t="s">
        <v>82</v>
      </c>
      <c r="BC809" s="2">
        <v>41</v>
      </c>
      <c r="BD809" s="2" t="s">
        <v>82</v>
      </c>
      <c r="BE809" s="2">
        <v>38</v>
      </c>
      <c r="BF809" s="2" t="s">
        <v>221</v>
      </c>
      <c r="BG809" s="2" t="s">
        <v>3102</v>
      </c>
      <c r="BH809" s="4">
        <v>0.36458333333333331</v>
      </c>
      <c r="BI809" s="4">
        <v>0</v>
      </c>
      <c r="BJ809" s="2">
        <v>173</v>
      </c>
      <c r="BK809" s="2" t="s">
        <v>223</v>
      </c>
      <c r="BL809" s="2" t="s">
        <v>224</v>
      </c>
      <c r="BM809" s="2">
        <v>241</v>
      </c>
      <c r="BN809" s="2" t="s">
        <v>82</v>
      </c>
      <c r="BO809" s="2"/>
      <c r="BP809" s="2">
        <v>13</v>
      </c>
      <c r="BQ809" s="2" t="s">
        <v>91</v>
      </c>
      <c r="BR809" s="2" t="s">
        <v>1084</v>
      </c>
      <c r="BS809" s="3">
        <v>40241</v>
      </c>
      <c r="BT809" s="4">
        <v>0.8893402777777778</v>
      </c>
    </row>
    <row r="810" spans="1:72" x14ac:dyDescent="0.25">
      <c r="A810" s="2">
        <v>1275</v>
      </c>
      <c r="B810" s="2">
        <v>2010</v>
      </c>
      <c r="C810" s="2" t="s">
        <v>377</v>
      </c>
      <c r="D810" s="2" t="s">
        <v>73</v>
      </c>
      <c r="E810" s="2"/>
      <c r="F810" s="2">
        <v>426</v>
      </c>
      <c r="G810" s="2" t="s">
        <v>378</v>
      </c>
      <c r="H810" s="2">
        <v>42</v>
      </c>
      <c r="I810" s="2" t="s">
        <v>1096</v>
      </c>
      <c r="J810" s="2">
        <v>311</v>
      </c>
      <c r="K810" s="2" t="s">
        <v>379</v>
      </c>
      <c r="L810" s="2" t="s">
        <v>380</v>
      </c>
      <c r="M810" s="3">
        <v>40241</v>
      </c>
      <c r="N810" s="2" t="s">
        <v>107</v>
      </c>
      <c r="O810" s="2" t="s">
        <v>3217</v>
      </c>
      <c r="P810" s="2" t="s">
        <v>107</v>
      </c>
      <c r="Q810" s="2" t="str">
        <f>"015-E/10"</f>
        <v>015-E/10</v>
      </c>
      <c r="R810" s="2" t="s">
        <v>107</v>
      </c>
      <c r="S810" s="2" t="s">
        <v>107</v>
      </c>
      <c r="T810" s="2">
        <v>1</v>
      </c>
      <c r="U810" s="2" t="s">
        <v>79</v>
      </c>
      <c r="V810" s="2">
        <v>1</v>
      </c>
      <c r="W810" s="2" t="s">
        <v>80</v>
      </c>
      <c r="X810" s="2">
        <v>1</v>
      </c>
      <c r="Y810" s="2" t="s">
        <v>81</v>
      </c>
      <c r="Z810" s="2">
        <v>1</v>
      </c>
      <c r="AA810" s="2" t="s">
        <v>82</v>
      </c>
      <c r="AB810" s="2">
        <v>9</v>
      </c>
      <c r="AC810" s="2" t="s">
        <v>124</v>
      </c>
      <c r="AD810" s="3">
        <v>40241</v>
      </c>
      <c r="AE810" s="4">
        <v>0.52777777777777779</v>
      </c>
      <c r="AF810" s="3">
        <v>40241</v>
      </c>
      <c r="AG810" s="4">
        <v>0.55902777777777779</v>
      </c>
      <c r="AH810" s="2">
        <v>2</v>
      </c>
      <c r="AI810" s="2" t="s">
        <v>84</v>
      </c>
      <c r="AJ810" s="2">
        <v>9</v>
      </c>
      <c r="AK810" s="2" t="s">
        <v>103</v>
      </c>
      <c r="AL810" s="2">
        <v>12</v>
      </c>
      <c r="AM810" s="2" t="s">
        <v>86</v>
      </c>
      <c r="AN810" s="2" t="s">
        <v>3218</v>
      </c>
      <c r="AO810" s="2" t="s">
        <v>82</v>
      </c>
      <c r="AP810" s="2">
        <v>11</v>
      </c>
      <c r="AQ810" s="2" t="s">
        <v>82</v>
      </c>
      <c r="AR810" s="2"/>
      <c r="AS810" s="2"/>
      <c r="AT810" s="2" t="s">
        <v>3219</v>
      </c>
      <c r="AU810" s="2"/>
      <c r="AV810" s="2"/>
      <c r="AW810" s="2"/>
      <c r="AX810" s="2"/>
      <c r="AY810" s="2">
        <v>41</v>
      </c>
      <c r="AZ810" s="2" t="s">
        <v>82</v>
      </c>
      <c r="BA810" s="2">
        <v>41</v>
      </c>
      <c r="BB810" s="2" t="s">
        <v>82</v>
      </c>
      <c r="BC810" s="2">
        <v>41</v>
      </c>
      <c r="BD810" s="2" t="s">
        <v>82</v>
      </c>
      <c r="BE810" s="2">
        <v>41</v>
      </c>
      <c r="BF810" s="2" t="s">
        <v>82</v>
      </c>
      <c r="BG810" s="2"/>
      <c r="BH810" s="2"/>
      <c r="BI810" s="2"/>
      <c r="BJ810" s="2">
        <v>241</v>
      </c>
      <c r="BK810" s="2" t="s">
        <v>82</v>
      </c>
      <c r="BL810" s="2"/>
      <c r="BM810" s="2">
        <v>241</v>
      </c>
      <c r="BN810" s="2" t="s">
        <v>82</v>
      </c>
      <c r="BO810" s="2"/>
      <c r="BP810" s="2">
        <v>241</v>
      </c>
      <c r="BQ810" s="2" t="s">
        <v>82</v>
      </c>
      <c r="BR810" s="2"/>
      <c r="BS810" s="3">
        <v>40241</v>
      </c>
      <c r="BT810" s="4">
        <v>0.94559027777777782</v>
      </c>
    </row>
    <row r="811" spans="1:72" x14ac:dyDescent="0.25">
      <c r="A811" s="2">
        <v>1277</v>
      </c>
      <c r="B811" s="2">
        <v>2010</v>
      </c>
      <c r="C811" s="2" t="s">
        <v>72</v>
      </c>
      <c r="D811" s="2" t="s">
        <v>73</v>
      </c>
      <c r="E811" s="2"/>
      <c r="F811" s="2">
        <v>67</v>
      </c>
      <c r="G811" s="2" t="s">
        <v>3220</v>
      </c>
      <c r="H811" s="2">
        <v>42</v>
      </c>
      <c r="I811" s="2" t="s">
        <v>1096</v>
      </c>
      <c r="J811" s="2">
        <v>99</v>
      </c>
      <c r="K811" s="2" t="s">
        <v>3221</v>
      </c>
      <c r="L811" s="2" t="s">
        <v>3222</v>
      </c>
      <c r="M811" s="3">
        <v>40242</v>
      </c>
      <c r="N811" s="2" t="s">
        <v>3223</v>
      </c>
      <c r="O811" s="2" t="s">
        <v>3224</v>
      </c>
      <c r="P811" s="2" t="s">
        <v>107</v>
      </c>
      <c r="Q811" s="2" t="str">
        <f>"006/10"</f>
        <v>006/10</v>
      </c>
      <c r="R811" s="2" t="s">
        <v>116</v>
      </c>
      <c r="S811" s="2" t="s">
        <v>116</v>
      </c>
      <c r="T811" s="2">
        <v>1</v>
      </c>
      <c r="U811" s="2" t="s">
        <v>79</v>
      </c>
      <c r="V811" s="2">
        <v>1</v>
      </c>
      <c r="W811" s="2" t="s">
        <v>80</v>
      </c>
      <c r="X811" s="2">
        <v>5</v>
      </c>
      <c r="Y811" s="2" t="s">
        <v>82</v>
      </c>
      <c r="Z811" s="2">
        <v>1</v>
      </c>
      <c r="AA811" s="2" t="s">
        <v>82</v>
      </c>
      <c r="AB811" s="2">
        <v>6</v>
      </c>
      <c r="AC811" s="2" t="s">
        <v>83</v>
      </c>
      <c r="AD811" s="3">
        <v>40241</v>
      </c>
      <c r="AE811" s="4">
        <v>0.83333333333333337</v>
      </c>
      <c r="AF811" s="3">
        <v>40241</v>
      </c>
      <c r="AG811" s="4">
        <v>0.86111111111111116</v>
      </c>
      <c r="AH811" s="2">
        <v>4</v>
      </c>
      <c r="AI811" s="2" t="s">
        <v>125</v>
      </c>
      <c r="AJ811" s="2">
        <v>28</v>
      </c>
      <c r="AK811" s="2" t="s">
        <v>741</v>
      </c>
      <c r="AL811" s="2">
        <v>18</v>
      </c>
      <c r="AM811" s="2" t="s">
        <v>82</v>
      </c>
      <c r="AN811" s="2" t="s">
        <v>3225</v>
      </c>
      <c r="AO811" s="2" t="s">
        <v>3226</v>
      </c>
      <c r="AP811" s="2">
        <v>11</v>
      </c>
      <c r="AQ811" s="2" t="s">
        <v>82</v>
      </c>
      <c r="AR811" s="2"/>
      <c r="AS811" s="2"/>
      <c r="AT811" s="2" t="s">
        <v>3227</v>
      </c>
      <c r="AU811" s="2"/>
      <c r="AV811" s="2"/>
      <c r="AW811" s="2"/>
      <c r="AX811" s="2"/>
      <c r="AY811" s="2">
        <v>41</v>
      </c>
      <c r="AZ811" s="2" t="s">
        <v>82</v>
      </c>
      <c r="BA811" s="2">
        <v>41</v>
      </c>
      <c r="BB811" s="2" t="s">
        <v>82</v>
      </c>
      <c r="BC811" s="2">
        <v>41</v>
      </c>
      <c r="BD811" s="2" t="s">
        <v>82</v>
      </c>
      <c r="BE811" s="2">
        <v>41</v>
      </c>
      <c r="BF811" s="2" t="s">
        <v>82</v>
      </c>
      <c r="BG811" s="2"/>
      <c r="BH811" s="2"/>
      <c r="BI811" s="2"/>
      <c r="BJ811" s="2">
        <v>241</v>
      </c>
      <c r="BK811" s="2" t="s">
        <v>82</v>
      </c>
      <c r="BL811" s="2"/>
      <c r="BM811" s="2">
        <v>241</v>
      </c>
      <c r="BN811" s="2" t="s">
        <v>82</v>
      </c>
      <c r="BO811" s="2"/>
      <c r="BP811" s="2">
        <v>241</v>
      </c>
      <c r="BQ811" s="2" t="s">
        <v>82</v>
      </c>
      <c r="BR811" s="2"/>
      <c r="BS811" s="3">
        <v>40242</v>
      </c>
      <c r="BT811" s="4">
        <v>1.1828703703703704E-2</v>
      </c>
    </row>
    <row r="812" spans="1:72" x14ac:dyDescent="0.25">
      <c r="A812" s="2">
        <v>1278</v>
      </c>
      <c r="B812" s="2">
        <v>2010</v>
      </c>
      <c r="C812" s="2" t="s">
        <v>196</v>
      </c>
      <c r="D812" s="2" t="s">
        <v>122</v>
      </c>
      <c r="E812" s="2"/>
      <c r="F812" s="2">
        <v>1</v>
      </c>
      <c r="G812" s="2" t="s">
        <v>82</v>
      </c>
      <c r="H812" s="2">
        <v>1</v>
      </c>
      <c r="I812" s="2" t="s">
        <v>82</v>
      </c>
      <c r="J812" s="2">
        <v>1</v>
      </c>
      <c r="K812" s="2" t="s">
        <v>107</v>
      </c>
      <c r="L812" s="2" t="s">
        <v>107</v>
      </c>
      <c r="M812" s="3">
        <v>40242</v>
      </c>
      <c r="N812" s="2"/>
      <c r="O812" s="2"/>
      <c r="P812" s="2"/>
      <c r="Q812" s="2" t="str">
        <f>""</f>
        <v/>
      </c>
      <c r="R812" s="2"/>
      <c r="S812" s="2"/>
      <c r="T812" s="2">
        <v>2</v>
      </c>
      <c r="U812" s="2" t="s">
        <v>123</v>
      </c>
      <c r="V812" s="2">
        <v>1</v>
      </c>
      <c r="W812" s="2" t="s">
        <v>80</v>
      </c>
      <c r="X812" s="2">
        <v>5</v>
      </c>
      <c r="Y812" s="2" t="s">
        <v>82</v>
      </c>
      <c r="Z812" s="2">
        <v>1</v>
      </c>
      <c r="AA812" s="2" t="s">
        <v>82</v>
      </c>
      <c r="AB812" s="2">
        <v>9</v>
      </c>
      <c r="AC812" s="2" t="s">
        <v>124</v>
      </c>
      <c r="AD812" s="3">
        <v>40241</v>
      </c>
      <c r="AE812" s="4">
        <v>0.88541666666666663</v>
      </c>
      <c r="AF812" s="2"/>
      <c r="AG812" s="2"/>
      <c r="AH812" s="2">
        <v>6</v>
      </c>
      <c r="AI812" s="2" t="s">
        <v>197</v>
      </c>
      <c r="AJ812" s="2">
        <v>58</v>
      </c>
      <c r="AK812" s="2" t="s">
        <v>406</v>
      </c>
      <c r="AL812" s="2">
        <v>18</v>
      </c>
      <c r="AM812" s="2" t="s">
        <v>82</v>
      </c>
      <c r="AN812" s="2" t="s">
        <v>1004</v>
      </c>
      <c r="AO812" s="2" t="s">
        <v>259</v>
      </c>
      <c r="AP812" s="2">
        <v>11</v>
      </c>
      <c r="AQ812" s="2" t="s">
        <v>82</v>
      </c>
      <c r="AR812" s="2"/>
      <c r="AS812" s="2"/>
      <c r="AT812" s="2" t="s">
        <v>3228</v>
      </c>
      <c r="AU812" s="2"/>
      <c r="AV812" s="2"/>
      <c r="AW812" s="2"/>
      <c r="AX812" s="2"/>
      <c r="AY812" s="2">
        <v>1</v>
      </c>
      <c r="AZ812" s="2" t="s">
        <v>107</v>
      </c>
      <c r="BA812" s="2">
        <v>1</v>
      </c>
      <c r="BB812" s="2" t="s">
        <v>107</v>
      </c>
      <c r="BC812" s="2">
        <v>1</v>
      </c>
      <c r="BD812" s="2" t="s">
        <v>107</v>
      </c>
      <c r="BE812" s="2">
        <v>1</v>
      </c>
      <c r="BF812" s="2" t="s">
        <v>107</v>
      </c>
      <c r="BG812" s="2" t="s">
        <v>265</v>
      </c>
      <c r="BH812" s="4">
        <v>0.88541666666666663</v>
      </c>
      <c r="BI812" s="2"/>
      <c r="BJ812" s="2">
        <v>242</v>
      </c>
      <c r="BK812" s="2" t="s">
        <v>107</v>
      </c>
      <c r="BL812" s="2" t="s">
        <v>204</v>
      </c>
      <c r="BM812" s="2">
        <v>242</v>
      </c>
      <c r="BN812" s="2" t="s">
        <v>107</v>
      </c>
      <c r="BO812" s="2"/>
      <c r="BP812" s="2">
        <v>242</v>
      </c>
      <c r="BQ812" s="2" t="s">
        <v>107</v>
      </c>
      <c r="BR812" s="2"/>
      <c r="BS812" s="3">
        <v>40242</v>
      </c>
      <c r="BT812" s="4">
        <v>8.0798611111111113E-2</v>
      </c>
    </row>
    <row r="813" spans="1:72" x14ac:dyDescent="0.25">
      <c r="A813" s="2">
        <v>1281</v>
      </c>
      <c r="B813" s="2">
        <v>2010</v>
      </c>
      <c r="C813" s="2" t="s">
        <v>196</v>
      </c>
      <c r="D813" s="2" t="s">
        <v>122</v>
      </c>
      <c r="E813" s="2"/>
      <c r="F813" s="2">
        <v>1</v>
      </c>
      <c r="G813" s="2" t="s">
        <v>82</v>
      </c>
      <c r="H813" s="2">
        <v>1</v>
      </c>
      <c r="I813" s="2" t="s">
        <v>82</v>
      </c>
      <c r="J813" s="2">
        <v>1</v>
      </c>
      <c r="K813" s="2" t="s">
        <v>107</v>
      </c>
      <c r="L813" s="2" t="s">
        <v>107</v>
      </c>
      <c r="M813" s="3">
        <v>40242</v>
      </c>
      <c r="N813" s="2"/>
      <c r="O813" s="2"/>
      <c r="P813" s="2"/>
      <c r="Q813" s="2" t="str">
        <f>""</f>
        <v/>
      </c>
      <c r="R813" s="2"/>
      <c r="S813" s="2"/>
      <c r="T813" s="2">
        <v>2</v>
      </c>
      <c r="U813" s="2" t="s">
        <v>123</v>
      </c>
      <c r="V813" s="2">
        <v>1</v>
      </c>
      <c r="W813" s="2" t="s">
        <v>80</v>
      </c>
      <c r="X813" s="2">
        <v>5</v>
      </c>
      <c r="Y813" s="2" t="s">
        <v>82</v>
      </c>
      <c r="Z813" s="2">
        <v>1</v>
      </c>
      <c r="AA813" s="2" t="s">
        <v>82</v>
      </c>
      <c r="AB813" s="2">
        <v>9</v>
      </c>
      <c r="AC813" s="2" t="s">
        <v>124</v>
      </c>
      <c r="AD813" s="3">
        <v>40241</v>
      </c>
      <c r="AE813" s="4">
        <v>0.85069444444444453</v>
      </c>
      <c r="AF813" s="2"/>
      <c r="AG813" s="2"/>
      <c r="AH813" s="2">
        <v>6</v>
      </c>
      <c r="AI813" s="2" t="s">
        <v>197</v>
      </c>
      <c r="AJ813" s="2">
        <v>59</v>
      </c>
      <c r="AK813" s="2" t="s">
        <v>198</v>
      </c>
      <c r="AL813" s="2">
        <v>18</v>
      </c>
      <c r="AM813" s="2" t="s">
        <v>82</v>
      </c>
      <c r="AN813" s="2" t="s">
        <v>2359</v>
      </c>
      <c r="AO813" s="2" t="s">
        <v>1209</v>
      </c>
      <c r="AP813" s="2">
        <v>11</v>
      </c>
      <c r="AQ813" s="2" t="s">
        <v>82</v>
      </c>
      <c r="AR813" s="2"/>
      <c r="AS813" s="2"/>
      <c r="AT813" s="2" t="s">
        <v>3229</v>
      </c>
      <c r="AU813" s="2"/>
      <c r="AV813" s="2"/>
      <c r="AW813" s="2"/>
      <c r="AX813" s="2"/>
      <c r="AY813" s="2">
        <v>1</v>
      </c>
      <c r="AZ813" s="2" t="s">
        <v>107</v>
      </c>
      <c r="BA813" s="2">
        <v>1</v>
      </c>
      <c r="BB813" s="2" t="s">
        <v>107</v>
      </c>
      <c r="BC813" s="2">
        <v>1</v>
      </c>
      <c r="BD813" s="2" t="s">
        <v>107</v>
      </c>
      <c r="BE813" s="2">
        <v>1</v>
      </c>
      <c r="BF813" s="2" t="s">
        <v>107</v>
      </c>
      <c r="BG813" s="2"/>
      <c r="BH813" s="4">
        <v>0.85069444444444453</v>
      </c>
      <c r="BI813" s="2"/>
      <c r="BJ813" s="2">
        <v>13</v>
      </c>
      <c r="BK813" s="2" t="s">
        <v>91</v>
      </c>
      <c r="BL813" s="2" t="s">
        <v>3230</v>
      </c>
      <c r="BM813" s="2">
        <v>241</v>
      </c>
      <c r="BN813" s="2" t="s">
        <v>82</v>
      </c>
      <c r="BO813" s="2" t="s">
        <v>82</v>
      </c>
      <c r="BP813" s="2">
        <v>13</v>
      </c>
      <c r="BQ813" s="2" t="s">
        <v>91</v>
      </c>
      <c r="BR813" s="2" t="s">
        <v>204</v>
      </c>
      <c r="BS813" s="3">
        <v>40242</v>
      </c>
      <c r="BT813" s="4">
        <v>0.43093749999999997</v>
      </c>
    </row>
    <row r="814" spans="1:72" x14ac:dyDescent="0.25">
      <c r="A814" s="2">
        <v>1285</v>
      </c>
      <c r="B814" s="2">
        <v>2010</v>
      </c>
      <c r="C814" s="2" t="s">
        <v>147</v>
      </c>
      <c r="D814" s="2" t="s">
        <v>73</v>
      </c>
      <c r="E814" s="2"/>
      <c r="F814" s="2">
        <v>1</v>
      </c>
      <c r="G814" s="2" t="s">
        <v>82</v>
      </c>
      <c r="H814" s="2">
        <v>1</v>
      </c>
      <c r="I814" s="2" t="s">
        <v>82</v>
      </c>
      <c r="J814" s="2">
        <v>1</v>
      </c>
      <c r="K814" s="2" t="s">
        <v>107</v>
      </c>
      <c r="L814" s="2" t="s">
        <v>107</v>
      </c>
      <c r="M814" s="3">
        <v>40242</v>
      </c>
      <c r="N814" s="2"/>
      <c r="O814" s="2"/>
      <c r="P814" s="2"/>
      <c r="Q814" s="2" t="str">
        <f>""</f>
        <v/>
      </c>
      <c r="R814" s="2"/>
      <c r="S814" s="2"/>
      <c r="T814" s="2">
        <v>2</v>
      </c>
      <c r="U814" s="2" t="s">
        <v>123</v>
      </c>
      <c r="V814" s="2">
        <v>1</v>
      </c>
      <c r="W814" s="2" t="s">
        <v>80</v>
      </c>
      <c r="X814" s="2">
        <v>12</v>
      </c>
      <c r="Y814" s="2" t="s">
        <v>148</v>
      </c>
      <c r="Z814" s="2">
        <v>1</v>
      </c>
      <c r="AA814" s="2" t="s">
        <v>82</v>
      </c>
      <c r="AB814" s="2">
        <v>9</v>
      </c>
      <c r="AC814" s="2" t="s">
        <v>124</v>
      </c>
      <c r="AD814" s="3">
        <v>40223</v>
      </c>
      <c r="AE814" s="4">
        <v>0.41666666666666669</v>
      </c>
      <c r="AF814" s="3">
        <v>40242</v>
      </c>
      <c r="AG814" s="4">
        <v>0.46527777777777773</v>
      </c>
      <c r="AH814" s="2">
        <v>2</v>
      </c>
      <c r="AI814" s="2" t="s">
        <v>84</v>
      </c>
      <c r="AJ814" s="2">
        <v>12</v>
      </c>
      <c r="AK814" s="2" t="s">
        <v>85</v>
      </c>
      <c r="AL814" s="2">
        <v>9</v>
      </c>
      <c r="AM814" s="2" t="s">
        <v>259</v>
      </c>
      <c r="AN814" s="2" t="s">
        <v>82</v>
      </c>
      <c r="AO814" s="2" t="s">
        <v>362</v>
      </c>
      <c r="AP814" s="2">
        <v>11</v>
      </c>
      <c r="AQ814" s="2" t="s">
        <v>82</v>
      </c>
      <c r="AR814" s="2"/>
      <c r="AS814" s="2"/>
      <c r="AT814" s="2" t="s">
        <v>3231</v>
      </c>
      <c r="AU814" s="2"/>
      <c r="AV814" s="2"/>
      <c r="AW814" s="2"/>
      <c r="AX814" s="2"/>
      <c r="AY814" s="2">
        <v>41</v>
      </c>
      <c r="AZ814" s="2" t="s">
        <v>82</v>
      </c>
      <c r="BA814" s="2">
        <v>41</v>
      </c>
      <c r="BB814" s="2" t="s">
        <v>82</v>
      </c>
      <c r="BC814" s="2">
        <v>41</v>
      </c>
      <c r="BD814" s="2" t="s">
        <v>82</v>
      </c>
      <c r="BE814" s="2">
        <v>41</v>
      </c>
      <c r="BF814" s="2" t="s">
        <v>82</v>
      </c>
      <c r="BG814" s="2"/>
      <c r="BH814" s="2"/>
      <c r="BI814" s="2"/>
      <c r="BJ814" s="2">
        <v>241</v>
      </c>
      <c r="BK814" s="2" t="s">
        <v>82</v>
      </c>
      <c r="BL814" s="2"/>
      <c r="BM814" s="2">
        <v>241</v>
      </c>
      <c r="BN814" s="2" t="s">
        <v>82</v>
      </c>
      <c r="BO814" s="2"/>
      <c r="BP814" s="2">
        <v>241</v>
      </c>
      <c r="BQ814" s="2" t="s">
        <v>82</v>
      </c>
      <c r="BR814" s="2"/>
      <c r="BS814" s="3">
        <v>40242</v>
      </c>
      <c r="BT814" s="4">
        <v>0.53265046296296303</v>
      </c>
    </row>
    <row r="815" spans="1:72" x14ac:dyDescent="0.25">
      <c r="A815" s="2">
        <v>1286</v>
      </c>
      <c r="B815" s="2">
        <v>2010</v>
      </c>
      <c r="C815" s="2" t="s">
        <v>93</v>
      </c>
      <c r="D815" s="2" t="s">
        <v>73</v>
      </c>
      <c r="E815" s="2"/>
      <c r="F815" s="2">
        <v>151</v>
      </c>
      <c r="G815" s="2" t="s">
        <v>314</v>
      </c>
      <c r="H815" s="2">
        <v>2</v>
      </c>
      <c r="I815" s="2" t="s">
        <v>267</v>
      </c>
      <c r="J815" s="2">
        <v>1</v>
      </c>
      <c r="K815" s="2" t="s">
        <v>107</v>
      </c>
      <c r="L815" s="2" t="s">
        <v>107</v>
      </c>
      <c r="M815" s="3">
        <v>40242</v>
      </c>
      <c r="N815" s="2" t="s">
        <v>3232</v>
      </c>
      <c r="O815" s="2" t="s">
        <v>3233</v>
      </c>
      <c r="P815" s="2">
        <v>12775</v>
      </c>
      <c r="Q815" s="2" t="str">
        <f>"0025/10"</f>
        <v>0025/10</v>
      </c>
      <c r="R815" s="2"/>
      <c r="S815" s="2"/>
      <c r="T815" s="2">
        <v>1</v>
      </c>
      <c r="U815" s="2" t="s">
        <v>79</v>
      </c>
      <c r="V815" s="2">
        <v>1</v>
      </c>
      <c r="W815" s="2" t="s">
        <v>80</v>
      </c>
      <c r="X815" s="2">
        <v>3</v>
      </c>
      <c r="Y815" s="2" t="s">
        <v>698</v>
      </c>
      <c r="Z815" s="2">
        <v>9</v>
      </c>
      <c r="AA815" s="2" t="s">
        <v>1119</v>
      </c>
      <c r="AB815" s="2">
        <v>2</v>
      </c>
      <c r="AC815" s="2" t="s">
        <v>102</v>
      </c>
      <c r="AD815" s="3">
        <v>40242</v>
      </c>
      <c r="AE815" s="4">
        <v>0.44861111111111113</v>
      </c>
      <c r="AF815" s="2"/>
      <c r="AG815" s="2"/>
      <c r="AH815" s="2">
        <v>5</v>
      </c>
      <c r="AI815" s="2" t="s">
        <v>274</v>
      </c>
      <c r="AJ815" s="2">
        <v>38</v>
      </c>
      <c r="AK815" s="2" t="s">
        <v>1120</v>
      </c>
      <c r="AL815" s="2">
        <v>11</v>
      </c>
      <c r="AM815" s="2" t="s">
        <v>137</v>
      </c>
      <c r="AN815" s="2"/>
      <c r="AO815" s="2"/>
      <c r="AP815" s="2">
        <v>11</v>
      </c>
      <c r="AQ815" s="2" t="s">
        <v>82</v>
      </c>
      <c r="AR815" s="2"/>
      <c r="AS815" s="2"/>
      <c r="AT815" s="2" t="s">
        <v>3234</v>
      </c>
      <c r="AU815" s="2"/>
      <c r="AV815" s="2"/>
      <c r="AW815" s="2"/>
      <c r="AX815" s="2"/>
      <c r="AY815" s="2">
        <v>41</v>
      </c>
      <c r="AZ815" s="2" t="s">
        <v>82</v>
      </c>
      <c r="BA815" s="2">
        <v>41</v>
      </c>
      <c r="BB815" s="2" t="s">
        <v>82</v>
      </c>
      <c r="BC815" s="2">
        <v>41</v>
      </c>
      <c r="BD815" s="2" t="s">
        <v>82</v>
      </c>
      <c r="BE815" s="2">
        <v>4</v>
      </c>
      <c r="BF815" s="2" t="s">
        <v>90</v>
      </c>
      <c r="BG815" s="2">
        <v>4023</v>
      </c>
      <c r="BH815" s="4">
        <v>0.4513888888888889</v>
      </c>
      <c r="BI815" s="4">
        <v>0.47916666666666669</v>
      </c>
      <c r="BJ815" s="2">
        <v>13</v>
      </c>
      <c r="BK815" s="2" t="s">
        <v>91</v>
      </c>
      <c r="BL815" s="2" t="s">
        <v>3140</v>
      </c>
      <c r="BM815" s="2">
        <v>13</v>
      </c>
      <c r="BN815" s="2" t="s">
        <v>91</v>
      </c>
      <c r="BO815" s="2"/>
      <c r="BP815" s="2">
        <v>13</v>
      </c>
      <c r="BQ815" s="2" t="s">
        <v>91</v>
      </c>
      <c r="BR815" s="2" t="s">
        <v>170</v>
      </c>
      <c r="BS815" s="3">
        <v>40242</v>
      </c>
      <c r="BT815" s="4">
        <v>0.56402777777777779</v>
      </c>
    </row>
    <row r="816" spans="1:72" x14ac:dyDescent="0.25">
      <c r="A816" s="2">
        <v>1287</v>
      </c>
      <c r="B816" s="2">
        <v>2010</v>
      </c>
      <c r="C816" s="2" t="s">
        <v>72</v>
      </c>
      <c r="D816" s="2" t="s">
        <v>73</v>
      </c>
      <c r="E816" s="2"/>
      <c r="F816" s="2">
        <v>53</v>
      </c>
      <c r="G816" s="2" t="s">
        <v>2755</v>
      </c>
      <c r="H816" s="2">
        <v>5</v>
      </c>
      <c r="I816" s="2" t="s">
        <v>634</v>
      </c>
      <c r="J816" s="2">
        <v>88</v>
      </c>
      <c r="K816" s="2" t="s">
        <v>2756</v>
      </c>
      <c r="L816" s="2" t="s">
        <v>2757</v>
      </c>
      <c r="M816" s="3">
        <v>40242</v>
      </c>
      <c r="N816" s="2" t="s">
        <v>3235</v>
      </c>
      <c r="O816" s="2" t="s">
        <v>2967</v>
      </c>
      <c r="P816" s="2"/>
      <c r="Q816" s="2" t="str">
        <f>"07/10"</f>
        <v>07/10</v>
      </c>
      <c r="R816" s="2" t="s">
        <v>2967</v>
      </c>
      <c r="S816" s="2" t="s">
        <v>2967</v>
      </c>
      <c r="T816" s="2">
        <v>1</v>
      </c>
      <c r="U816" s="2" t="s">
        <v>79</v>
      </c>
      <c r="V816" s="2">
        <v>1</v>
      </c>
      <c r="W816" s="2" t="s">
        <v>80</v>
      </c>
      <c r="X816" s="2">
        <v>5</v>
      </c>
      <c r="Y816" s="2" t="s">
        <v>82</v>
      </c>
      <c r="Z816" s="2">
        <v>3</v>
      </c>
      <c r="AA816" s="2" t="s">
        <v>257</v>
      </c>
      <c r="AB816" s="2">
        <v>6</v>
      </c>
      <c r="AC816" s="2" t="s">
        <v>83</v>
      </c>
      <c r="AD816" s="3">
        <v>40242</v>
      </c>
      <c r="AE816" s="2"/>
      <c r="AF816" s="3">
        <v>40242</v>
      </c>
      <c r="AG816" s="4">
        <v>0.47916666666666669</v>
      </c>
      <c r="AH816" s="2">
        <v>4</v>
      </c>
      <c r="AI816" s="2" t="s">
        <v>125</v>
      </c>
      <c r="AJ816" s="2">
        <v>28</v>
      </c>
      <c r="AK816" s="2" t="s">
        <v>741</v>
      </c>
      <c r="AL816" s="2">
        <v>9</v>
      </c>
      <c r="AM816" s="2" t="s">
        <v>259</v>
      </c>
      <c r="AN816" s="2" t="s">
        <v>3236</v>
      </c>
      <c r="AO816" s="2"/>
      <c r="AP816" s="2">
        <v>11</v>
      </c>
      <c r="AQ816" s="2" t="s">
        <v>82</v>
      </c>
      <c r="AR816" s="2"/>
      <c r="AS816" s="2"/>
      <c r="AT816" s="2" t="s">
        <v>3237</v>
      </c>
      <c r="AU816" s="2"/>
      <c r="AV816" s="2"/>
      <c r="AW816" s="2"/>
      <c r="AX816" s="2"/>
      <c r="AY816" s="2">
        <v>44</v>
      </c>
      <c r="AZ816" s="2" t="s">
        <v>262</v>
      </c>
      <c r="BA816" s="2">
        <v>44</v>
      </c>
      <c r="BB816" s="2" t="s">
        <v>262</v>
      </c>
      <c r="BC816" s="2">
        <v>44</v>
      </c>
      <c r="BD816" s="2" t="s">
        <v>262</v>
      </c>
      <c r="BE816" s="2">
        <v>41</v>
      </c>
      <c r="BF816" s="2" t="s">
        <v>82</v>
      </c>
      <c r="BG816" s="2"/>
      <c r="BH816" s="2"/>
      <c r="BI816" s="2"/>
      <c r="BJ816" s="2">
        <v>241</v>
      </c>
      <c r="BK816" s="2" t="s">
        <v>82</v>
      </c>
      <c r="BL816" s="2"/>
      <c r="BM816" s="2">
        <v>241</v>
      </c>
      <c r="BN816" s="2" t="s">
        <v>82</v>
      </c>
      <c r="BO816" s="2"/>
      <c r="BP816" s="2">
        <v>241</v>
      </c>
      <c r="BQ816" s="2" t="s">
        <v>82</v>
      </c>
      <c r="BR816" s="2"/>
      <c r="BS816" s="3">
        <v>40242</v>
      </c>
      <c r="BT816" s="4">
        <v>0.57853009259259258</v>
      </c>
    </row>
    <row r="817" spans="1:72" x14ac:dyDescent="0.25">
      <c r="A817" s="2">
        <v>1288</v>
      </c>
      <c r="B817" s="2">
        <v>2010</v>
      </c>
      <c r="C817" s="2" t="s">
        <v>171</v>
      </c>
      <c r="D817" s="2" t="s">
        <v>73</v>
      </c>
      <c r="E817" s="2" t="s">
        <v>3238</v>
      </c>
      <c r="F817" s="2">
        <v>451</v>
      </c>
      <c r="G817" s="2" t="s">
        <v>879</v>
      </c>
      <c r="H817" s="2">
        <v>31</v>
      </c>
      <c r="I817" s="2" t="s">
        <v>880</v>
      </c>
      <c r="J817" s="2">
        <v>326</v>
      </c>
      <c r="K817" s="2" t="s">
        <v>881</v>
      </c>
      <c r="L817" s="2" t="s">
        <v>882</v>
      </c>
      <c r="M817" s="3">
        <v>40242</v>
      </c>
      <c r="N817" s="2" t="s">
        <v>821</v>
      </c>
      <c r="O817" s="2" t="s">
        <v>3239</v>
      </c>
      <c r="P817" s="2" t="s">
        <v>3240</v>
      </c>
      <c r="Q817" s="2" t="str">
        <f>"005/10"</f>
        <v>005/10</v>
      </c>
      <c r="R817" s="2" t="s">
        <v>822</v>
      </c>
      <c r="S817" s="2"/>
      <c r="T817" s="2">
        <v>1</v>
      </c>
      <c r="U817" s="2" t="s">
        <v>79</v>
      </c>
      <c r="V817" s="2">
        <v>1</v>
      </c>
      <c r="W817" s="2" t="s">
        <v>80</v>
      </c>
      <c r="X817" s="2">
        <v>1</v>
      </c>
      <c r="Y817" s="2" t="s">
        <v>81</v>
      </c>
      <c r="Z817" s="2">
        <v>10</v>
      </c>
      <c r="AA817" s="2" t="s">
        <v>236</v>
      </c>
      <c r="AB817" s="2">
        <v>1</v>
      </c>
      <c r="AC817" s="2" t="s">
        <v>178</v>
      </c>
      <c r="AD817" s="3">
        <v>40242</v>
      </c>
      <c r="AE817" s="4">
        <v>0.45833333333333331</v>
      </c>
      <c r="AF817" s="2"/>
      <c r="AG817" s="2"/>
      <c r="AH817" s="2">
        <v>4</v>
      </c>
      <c r="AI817" s="2" t="s">
        <v>125</v>
      </c>
      <c r="AJ817" s="2">
        <v>29</v>
      </c>
      <c r="AK817" s="2" t="s">
        <v>227</v>
      </c>
      <c r="AL817" s="2">
        <v>10</v>
      </c>
      <c r="AM817" s="2" t="s">
        <v>200</v>
      </c>
      <c r="AN817" s="2" t="s">
        <v>883</v>
      </c>
      <c r="AO817" s="2"/>
      <c r="AP817" s="2">
        <v>12</v>
      </c>
      <c r="AQ817" s="2" t="s">
        <v>322</v>
      </c>
      <c r="AR817" s="2" t="s">
        <v>824</v>
      </c>
      <c r="AS817" s="2" t="s">
        <v>825</v>
      </c>
      <c r="AT817" s="2" t="s">
        <v>3241</v>
      </c>
      <c r="AU817" s="2"/>
      <c r="AV817" s="2"/>
      <c r="AW817" s="2"/>
      <c r="AX817" s="2"/>
      <c r="AY817" s="2">
        <v>41</v>
      </c>
      <c r="AZ817" s="2" t="s">
        <v>82</v>
      </c>
      <c r="BA817" s="2">
        <v>41</v>
      </c>
      <c r="BB817" s="2" t="s">
        <v>82</v>
      </c>
      <c r="BC817" s="2">
        <v>51</v>
      </c>
      <c r="BD817" s="2" t="s">
        <v>827</v>
      </c>
      <c r="BE817" s="2">
        <v>47</v>
      </c>
      <c r="BF817" s="2" t="s">
        <v>167</v>
      </c>
      <c r="BG817" s="2">
        <v>2459</v>
      </c>
      <c r="BH817" s="4">
        <v>0.81944444444444453</v>
      </c>
      <c r="BI817" s="4">
        <v>0.85763888888888884</v>
      </c>
      <c r="BJ817" s="2">
        <v>13</v>
      </c>
      <c r="BK817" s="2" t="s">
        <v>91</v>
      </c>
      <c r="BL817" s="2" t="s">
        <v>828</v>
      </c>
      <c r="BM817" s="2">
        <v>241</v>
      </c>
      <c r="BN817" s="2" t="s">
        <v>82</v>
      </c>
      <c r="BO817" s="2" t="s">
        <v>82</v>
      </c>
      <c r="BP817" s="2">
        <v>13</v>
      </c>
      <c r="BQ817" s="2" t="s">
        <v>91</v>
      </c>
      <c r="BR817" s="2" t="s">
        <v>185</v>
      </c>
      <c r="BS817" s="3">
        <v>40242</v>
      </c>
      <c r="BT817" s="4">
        <v>0.57901620370370377</v>
      </c>
    </row>
    <row r="818" spans="1:72" x14ac:dyDescent="0.25">
      <c r="A818" s="2">
        <v>1290</v>
      </c>
      <c r="B818" s="2">
        <v>2010</v>
      </c>
      <c r="C818" s="2" t="s">
        <v>171</v>
      </c>
      <c r="D818" s="2" t="s">
        <v>73</v>
      </c>
      <c r="E818" s="2" t="s">
        <v>3242</v>
      </c>
      <c r="F818" s="2">
        <v>451</v>
      </c>
      <c r="G818" s="2" t="s">
        <v>879</v>
      </c>
      <c r="H818" s="2">
        <v>31</v>
      </c>
      <c r="I818" s="2" t="s">
        <v>880</v>
      </c>
      <c r="J818" s="2">
        <v>326</v>
      </c>
      <c r="K818" s="2" t="s">
        <v>881</v>
      </c>
      <c r="L818" s="2" t="s">
        <v>882</v>
      </c>
      <c r="M818" s="3">
        <v>40242</v>
      </c>
      <c r="N818" s="2" t="s">
        <v>1072</v>
      </c>
      <c r="O818" s="2" t="s">
        <v>3243</v>
      </c>
      <c r="P818" s="2" t="s">
        <v>3244</v>
      </c>
      <c r="Q818" s="2" t="str">
        <f>"006/10"</f>
        <v>006/10</v>
      </c>
      <c r="R818" s="2" t="s">
        <v>822</v>
      </c>
      <c r="S818" s="2"/>
      <c r="T818" s="2">
        <v>1</v>
      </c>
      <c r="U818" s="2" t="s">
        <v>79</v>
      </c>
      <c r="V818" s="2">
        <v>1</v>
      </c>
      <c r="W818" s="2" t="s">
        <v>80</v>
      </c>
      <c r="X818" s="2">
        <v>1</v>
      </c>
      <c r="Y818" s="2" t="s">
        <v>81</v>
      </c>
      <c r="Z818" s="2">
        <v>10</v>
      </c>
      <c r="AA818" s="2" t="s">
        <v>236</v>
      </c>
      <c r="AB818" s="2">
        <v>1</v>
      </c>
      <c r="AC818" s="2" t="s">
        <v>178</v>
      </c>
      <c r="AD818" s="3">
        <v>40242</v>
      </c>
      <c r="AE818" s="4">
        <v>0.5</v>
      </c>
      <c r="AF818" s="2"/>
      <c r="AG818" s="2"/>
      <c r="AH818" s="2">
        <v>4</v>
      </c>
      <c r="AI818" s="2" t="s">
        <v>125</v>
      </c>
      <c r="AJ818" s="2">
        <v>29</v>
      </c>
      <c r="AK818" s="2" t="s">
        <v>227</v>
      </c>
      <c r="AL818" s="2">
        <v>19</v>
      </c>
      <c r="AM818" s="2" t="s">
        <v>107</v>
      </c>
      <c r="AN818" s="2"/>
      <c r="AO818" s="2" t="s">
        <v>883</v>
      </c>
      <c r="AP818" s="2">
        <v>12</v>
      </c>
      <c r="AQ818" s="2" t="s">
        <v>322</v>
      </c>
      <c r="AR818" s="2" t="s">
        <v>824</v>
      </c>
      <c r="AS818" s="2" t="s">
        <v>1670</v>
      </c>
      <c r="AT818" s="2" t="s">
        <v>3245</v>
      </c>
      <c r="AU818" s="2"/>
      <c r="AV818" s="2"/>
      <c r="AW818" s="2"/>
      <c r="AX818" s="2"/>
      <c r="AY818" s="2">
        <v>41</v>
      </c>
      <c r="AZ818" s="2" t="s">
        <v>82</v>
      </c>
      <c r="BA818" s="2">
        <v>41</v>
      </c>
      <c r="BB818" s="2" t="s">
        <v>82</v>
      </c>
      <c r="BC818" s="2">
        <v>51</v>
      </c>
      <c r="BD818" s="2" t="s">
        <v>827</v>
      </c>
      <c r="BE818" s="2">
        <v>47</v>
      </c>
      <c r="BF818" s="2" t="s">
        <v>167</v>
      </c>
      <c r="BG818" s="2">
        <v>2459</v>
      </c>
      <c r="BH818" s="4">
        <v>0.86111111111111116</v>
      </c>
      <c r="BI818" s="4">
        <v>0.89583333333333337</v>
      </c>
      <c r="BJ818" s="2">
        <v>13</v>
      </c>
      <c r="BK818" s="2" t="s">
        <v>91</v>
      </c>
      <c r="BL818" s="2" t="s">
        <v>828</v>
      </c>
      <c r="BM818" s="2">
        <v>241</v>
      </c>
      <c r="BN818" s="2" t="s">
        <v>82</v>
      </c>
      <c r="BO818" s="2" t="s">
        <v>82</v>
      </c>
      <c r="BP818" s="2">
        <v>13</v>
      </c>
      <c r="BQ818" s="2" t="s">
        <v>91</v>
      </c>
      <c r="BR818" s="2" t="s">
        <v>185</v>
      </c>
      <c r="BS818" s="3">
        <v>40242</v>
      </c>
      <c r="BT818" s="4">
        <v>0.62041666666666673</v>
      </c>
    </row>
    <row r="819" spans="1:72" x14ac:dyDescent="0.25">
      <c r="A819" s="2">
        <v>1291</v>
      </c>
      <c r="B819" s="2">
        <v>2010</v>
      </c>
      <c r="C819" s="2" t="s">
        <v>171</v>
      </c>
      <c r="D819" s="2" t="s">
        <v>73</v>
      </c>
      <c r="E819" s="2" t="s">
        <v>3246</v>
      </c>
      <c r="F819" s="2">
        <v>425</v>
      </c>
      <c r="G819" s="2" t="s">
        <v>286</v>
      </c>
      <c r="H819" s="2">
        <v>39</v>
      </c>
      <c r="I819" s="2" t="s">
        <v>1117</v>
      </c>
      <c r="J819" s="2">
        <v>310</v>
      </c>
      <c r="K819" s="2" t="s">
        <v>288</v>
      </c>
      <c r="L819" s="2" t="s">
        <v>289</v>
      </c>
      <c r="M819" s="3">
        <v>40242</v>
      </c>
      <c r="N819" s="2" t="s">
        <v>1943</v>
      </c>
      <c r="O819" s="2" t="s">
        <v>2490</v>
      </c>
      <c r="P819" s="2" t="s">
        <v>3247</v>
      </c>
      <c r="Q819" s="2" t="str">
        <f>"015/10"</f>
        <v>015/10</v>
      </c>
      <c r="R819" s="2" t="s">
        <v>822</v>
      </c>
      <c r="S819" s="2"/>
      <c r="T819" s="2">
        <v>1</v>
      </c>
      <c r="U819" s="2" t="s">
        <v>79</v>
      </c>
      <c r="V819" s="2">
        <v>1</v>
      </c>
      <c r="W819" s="2" t="s">
        <v>80</v>
      </c>
      <c r="X819" s="2">
        <v>1</v>
      </c>
      <c r="Y819" s="2" t="s">
        <v>81</v>
      </c>
      <c r="Z819" s="2">
        <v>10</v>
      </c>
      <c r="AA819" s="2" t="s">
        <v>236</v>
      </c>
      <c r="AB819" s="2">
        <v>1</v>
      </c>
      <c r="AC819" s="2" t="s">
        <v>178</v>
      </c>
      <c r="AD819" s="3">
        <v>40242</v>
      </c>
      <c r="AE819" s="4">
        <v>0.54166666666666663</v>
      </c>
      <c r="AF819" s="2"/>
      <c r="AG819" s="2"/>
      <c r="AH819" s="2">
        <v>4</v>
      </c>
      <c r="AI819" s="2" t="s">
        <v>125</v>
      </c>
      <c r="AJ819" s="2">
        <v>29</v>
      </c>
      <c r="AK819" s="2" t="s">
        <v>227</v>
      </c>
      <c r="AL819" s="2">
        <v>10</v>
      </c>
      <c r="AM819" s="2" t="s">
        <v>200</v>
      </c>
      <c r="AN819" s="2" t="s">
        <v>3248</v>
      </c>
      <c r="AO819" s="2"/>
      <c r="AP819" s="2">
        <v>12</v>
      </c>
      <c r="AQ819" s="2" t="s">
        <v>322</v>
      </c>
      <c r="AR819" s="2" t="s">
        <v>2711</v>
      </c>
      <c r="AS819" s="2" t="s">
        <v>2712</v>
      </c>
      <c r="AT819" s="2" t="s">
        <v>3249</v>
      </c>
      <c r="AU819" s="2"/>
      <c r="AV819" s="2"/>
      <c r="AW819" s="2"/>
      <c r="AX819" s="2"/>
      <c r="AY819" s="2">
        <v>41</v>
      </c>
      <c r="AZ819" s="2" t="s">
        <v>82</v>
      </c>
      <c r="BA819" s="2">
        <v>41</v>
      </c>
      <c r="BB819" s="2" t="s">
        <v>82</v>
      </c>
      <c r="BC819" s="2">
        <v>51</v>
      </c>
      <c r="BD819" s="2" t="s">
        <v>827</v>
      </c>
      <c r="BE819" s="2">
        <v>47</v>
      </c>
      <c r="BF819" s="2" t="s">
        <v>167</v>
      </c>
      <c r="BG819" s="2">
        <v>2459</v>
      </c>
      <c r="BH819" s="4">
        <v>0.86249999999999993</v>
      </c>
      <c r="BI819" s="4">
        <v>0.89930555555555547</v>
      </c>
      <c r="BJ819" s="2">
        <v>13</v>
      </c>
      <c r="BK819" s="2" t="s">
        <v>91</v>
      </c>
      <c r="BL819" s="2" t="s">
        <v>828</v>
      </c>
      <c r="BM819" s="2">
        <v>241</v>
      </c>
      <c r="BN819" s="2" t="s">
        <v>82</v>
      </c>
      <c r="BO819" s="2" t="s">
        <v>82</v>
      </c>
      <c r="BP819" s="2">
        <v>13</v>
      </c>
      <c r="BQ819" s="2" t="s">
        <v>91</v>
      </c>
      <c r="BR819" s="2" t="s">
        <v>185</v>
      </c>
      <c r="BS819" s="3">
        <v>40242</v>
      </c>
      <c r="BT819" s="4">
        <v>0.65814814814814815</v>
      </c>
    </row>
    <row r="820" spans="1:72" x14ac:dyDescent="0.25">
      <c r="A820" s="2">
        <v>1294</v>
      </c>
      <c r="B820" s="2">
        <v>2010</v>
      </c>
      <c r="C820" s="2" t="s">
        <v>806</v>
      </c>
      <c r="D820" s="2" t="s">
        <v>73</v>
      </c>
      <c r="E820" s="2"/>
      <c r="F820" s="2">
        <v>11</v>
      </c>
      <c r="G820" s="2" t="s">
        <v>2454</v>
      </c>
      <c r="H820" s="2">
        <v>61</v>
      </c>
      <c r="I820" s="2" t="s">
        <v>3043</v>
      </c>
      <c r="J820" s="2">
        <v>19</v>
      </c>
      <c r="K820" s="2" t="s">
        <v>2144</v>
      </c>
      <c r="L820" s="2" t="s">
        <v>2145</v>
      </c>
      <c r="M820" s="3">
        <v>40242</v>
      </c>
      <c r="N820" s="2" t="s">
        <v>3064</v>
      </c>
      <c r="O820" s="2" t="s">
        <v>3044</v>
      </c>
      <c r="P820" s="7">
        <v>20219</v>
      </c>
      <c r="Q820" s="2" t="str">
        <f>"08/10"</f>
        <v>08/10</v>
      </c>
      <c r="R820" s="2" t="s">
        <v>82</v>
      </c>
      <c r="S820" s="2" t="s">
        <v>82</v>
      </c>
      <c r="T820" s="2">
        <v>1</v>
      </c>
      <c r="U820" s="2" t="s">
        <v>79</v>
      </c>
      <c r="V820" s="2">
        <v>3</v>
      </c>
      <c r="W820" s="2" t="s">
        <v>225</v>
      </c>
      <c r="X820" s="2">
        <v>6</v>
      </c>
      <c r="Y820" s="2" t="s">
        <v>249</v>
      </c>
      <c r="Z820" s="2">
        <v>1</v>
      </c>
      <c r="AA820" s="2" t="s">
        <v>82</v>
      </c>
      <c r="AB820" s="2">
        <v>9</v>
      </c>
      <c r="AC820" s="2" t="s">
        <v>124</v>
      </c>
      <c r="AD820" s="3">
        <v>40242</v>
      </c>
      <c r="AE820" s="4">
        <v>0.625</v>
      </c>
      <c r="AF820" s="2"/>
      <c r="AG820" s="2"/>
      <c r="AH820" s="2">
        <v>3</v>
      </c>
      <c r="AI820" s="2" t="s">
        <v>214</v>
      </c>
      <c r="AJ820" s="2">
        <v>14</v>
      </c>
      <c r="AK820" s="2" t="s">
        <v>342</v>
      </c>
      <c r="AL820" s="2">
        <v>23</v>
      </c>
      <c r="AM820" s="2" t="s">
        <v>251</v>
      </c>
      <c r="AN820" s="2" t="s">
        <v>82</v>
      </c>
      <c r="AO820" s="2" t="s">
        <v>3250</v>
      </c>
      <c r="AP820" s="2">
        <v>11</v>
      </c>
      <c r="AQ820" s="2" t="s">
        <v>82</v>
      </c>
      <c r="AR820" s="2"/>
      <c r="AS820" s="2"/>
      <c r="AT820" s="2" t="s">
        <v>3251</v>
      </c>
      <c r="AU820" s="2"/>
      <c r="AV820" s="2"/>
      <c r="AW820" s="2"/>
      <c r="AX820" s="2"/>
      <c r="AY820" s="2">
        <v>1</v>
      </c>
      <c r="AZ820" s="2" t="s">
        <v>107</v>
      </c>
      <c r="BA820" s="2">
        <v>1</v>
      </c>
      <c r="BB820" s="2" t="s">
        <v>107</v>
      </c>
      <c r="BC820" s="2">
        <v>1</v>
      </c>
      <c r="BD820" s="2" t="s">
        <v>107</v>
      </c>
      <c r="BE820" s="2">
        <v>41</v>
      </c>
      <c r="BF820" s="2" t="s">
        <v>82</v>
      </c>
      <c r="BG820" s="2"/>
      <c r="BH820" s="2"/>
      <c r="BI820" s="2"/>
      <c r="BJ820" s="2">
        <v>242</v>
      </c>
      <c r="BK820" s="2" t="s">
        <v>107</v>
      </c>
      <c r="BL820" s="2"/>
      <c r="BM820" s="2">
        <v>242</v>
      </c>
      <c r="BN820" s="2" t="s">
        <v>107</v>
      </c>
      <c r="BO820" s="2"/>
      <c r="BP820" s="2">
        <v>242</v>
      </c>
      <c r="BQ820" s="2" t="s">
        <v>107</v>
      </c>
      <c r="BR820" s="2"/>
      <c r="BS820" s="3">
        <v>40242</v>
      </c>
      <c r="BT820" s="4">
        <v>0.6931250000000001</v>
      </c>
    </row>
    <row r="821" spans="1:72" x14ac:dyDescent="0.25">
      <c r="A821" s="2">
        <v>1297</v>
      </c>
      <c r="B821" s="2">
        <v>2010</v>
      </c>
      <c r="C821" s="2" t="s">
        <v>147</v>
      </c>
      <c r="D821" s="2" t="s">
        <v>73</v>
      </c>
      <c r="E821" s="2"/>
      <c r="F821" s="2">
        <v>1</v>
      </c>
      <c r="G821" s="2" t="s">
        <v>82</v>
      </c>
      <c r="H821" s="2">
        <v>1</v>
      </c>
      <c r="I821" s="2" t="s">
        <v>82</v>
      </c>
      <c r="J821" s="2">
        <v>1</v>
      </c>
      <c r="K821" s="2" t="s">
        <v>107</v>
      </c>
      <c r="L821" s="2" t="s">
        <v>107</v>
      </c>
      <c r="M821" s="3">
        <v>40242</v>
      </c>
      <c r="N821" s="2" t="s">
        <v>82</v>
      </c>
      <c r="O821" s="2" t="s">
        <v>82</v>
      </c>
      <c r="P821" s="2" t="s">
        <v>82</v>
      </c>
      <c r="Q821" s="2" t="str">
        <f>"N/C"</f>
        <v>N/C</v>
      </c>
      <c r="R821" s="2" t="s">
        <v>82</v>
      </c>
      <c r="S821" s="2" t="s">
        <v>82</v>
      </c>
      <c r="T821" s="2">
        <v>2</v>
      </c>
      <c r="U821" s="2" t="s">
        <v>123</v>
      </c>
      <c r="V821" s="2">
        <v>1</v>
      </c>
      <c r="W821" s="2" t="s">
        <v>80</v>
      </c>
      <c r="X821" s="2">
        <v>12</v>
      </c>
      <c r="Y821" s="2" t="s">
        <v>148</v>
      </c>
      <c r="Z821" s="2">
        <v>1</v>
      </c>
      <c r="AA821" s="2" t="s">
        <v>82</v>
      </c>
      <c r="AB821" s="2">
        <v>9</v>
      </c>
      <c r="AC821" s="2" t="s">
        <v>124</v>
      </c>
      <c r="AD821" s="3">
        <v>40242</v>
      </c>
      <c r="AE821" s="4">
        <v>0.39583333333333331</v>
      </c>
      <c r="AF821" s="3">
        <v>40242</v>
      </c>
      <c r="AG821" s="4">
        <v>0.57430555555555551</v>
      </c>
      <c r="AH821" s="2">
        <v>3</v>
      </c>
      <c r="AI821" s="2" t="s">
        <v>214</v>
      </c>
      <c r="AJ821" s="2">
        <v>17</v>
      </c>
      <c r="AK821" s="2" t="s">
        <v>309</v>
      </c>
      <c r="AL821" s="2">
        <v>14</v>
      </c>
      <c r="AM821" s="2" t="s">
        <v>216</v>
      </c>
      <c r="AN821" s="2" t="s">
        <v>3252</v>
      </c>
      <c r="AO821" s="2"/>
      <c r="AP821" s="2">
        <v>11</v>
      </c>
      <c r="AQ821" s="2" t="s">
        <v>82</v>
      </c>
      <c r="AR821" s="2" t="s">
        <v>82</v>
      </c>
      <c r="AS821" s="2" t="s">
        <v>82</v>
      </c>
      <c r="AT821" s="2" t="s">
        <v>3253</v>
      </c>
      <c r="AU821" s="2"/>
      <c r="AV821" s="2"/>
      <c r="AW821" s="2"/>
      <c r="AX821" s="2"/>
      <c r="AY821" s="2">
        <v>41</v>
      </c>
      <c r="AZ821" s="2" t="s">
        <v>82</v>
      </c>
      <c r="BA821" s="2">
        <v>41</v>
      </c>
      <c r="BB821" s="2" t="s">
        <v>82</v>
      </c>
      <c r="BC821" s="2">
        <v>41</v>
      </c>
      <c r="BD821" s="2" t="s">
        <v>82</v>
      </c>
      <c r="BE821" s="2">
        <v>41</v>
      </c>
      <c r="BF821" s="2" t="s">
        <v>82</v>
      </c>
      <c r="BG821" s="2" t="s">
        <v>82</v>
      </c>
      <c r="BH821" s="2"/>
      <c r="BI821" s="2"/>
      <c r="BJ821" s="2">
        <v>241</v>
      </c>
      <c r="BK821" s="2" t="s">
        <v>82</v>
      </c>
      <c r="BL821" s="2" t="s">
        <v>82</v>
      </c>
      <c r="BM821" s="2">
        <v>241</v>
      </c>
      <c r="BN821" s="2" t="s">
        <v>82</v>
      </c>
      <c r="BO821" s="2" t="s">
        <v>82</v>
      </c>
      <c r="BP821" s="2">
        <v>241</v>
      </c>
      <c r="BQ821" s="2" t="s">
        <v>82</v>
      </c>
      <c r="BR821" s="2" t="s">
        <v>82</v>
      </c>
      <c r="BS821" s="3">
        <v>40242</v>
      </c>
      <c r="BT821" s="4">
        <v>0.73980324074074078</v>
      </c>
    </row>
    <row r="822" spans="1:72" x14ac:dyDescent="0.25">
      <c r="A822" s="2">
        <v>1299</v>
      </c>
      <c r="B822" s="2">
        <v>2010</v>
      </c>
      <c r="C822" s="2" t="s">
        <v>243</v>
      </c>
      <c r="D822" s="2" t="s">
        <v>73</v>
      </c>
      <c r="E822" s="2"/>
      <c r="F822" s="2">
        <v>158</v>
      </c>
      <c r="G822" s="2" t="s">
        <v>3026</v>
      </c>
      <c r="H822" s="2">
        <v>16</v>
      </c>
      <c r="I822" s="2" t="s">
        <v>3027</v>
      </c>
      <c r="J822" s="2">
        <v>164</v>
      </c>
      <c r="K822" s="2" t="s">
        <v>3254</v>
      </c>
      <c r="L822" s="2" t="s">
        <v>946</v>
      </c>
      <c r="M822" s="3">
        <v>40242</v>
      </c>
      <c r="N822" s="2" t="s">
        <v>3255</v>
      </c>
      <c r="O822" s="2" t="s">
        <v>107</v>
      </c>
      <c r="P822" s="2" t="s">
        <v>107</v>
      </c>
      <c r="Q822" s="2" t="str">
        <f>"080-A/10"</f>
        <v>080-A/10</v>
      </c>
      <c r="R822" s="2" t="s">
        <v>3256</v>
      </c>
      <c r="S822" s="2" t="s">
        <v>107</v>
      </c>
      <c r="T822" s="2">
        <v>1</v>
      </c>
      <c r="U822" s="2" t="s">
        <v>79</v>
      </c>
      <c r="V822" s="2">
        <v>1</v>
      </c>
      <c r="W822" s="2" t="s">
        <v>80</v>
      </c>
      <c r="X822" s="2">
        <v>5</v>
      </c>
      <c r="Y822" s="2" t="s">
        <v>82</v>
      </c>
      <c r="Z822" s="2">
        <v>1</v>
      </c>
      <c r="AA822" s="2" t="s">
        <v>82</v>
      </c>
      <c r="AB822" s="2">
        <v>9</v>
      </c>
      <c r="AC822" s="2" t="s">
        <v>124</v>
      </c>
      <c r="AD822" s="3">
        <v>40240</v>
      </c>
      <c r="AE822" s="4">
        <v>0.85416666666666663</v>
      </c>
      <c r="AF822" s="3">
        <v>40241</v>
      </c>
      <c r="AG822" s="4">
        <v>0.58333333333333337</v>
      </c>
      <c r="AH822" s="2">
        <v>2</v>
      </c>
      <c r="AI822" s="2" t="s">
        <v>84</v>
      </c>
      <c r="AJ822" s="2">
        <v>12</v>
      </c>
      <c r="AK822" s="2" t="s">
        <v>85</v>
      </c>
      <c r="AL822" s="2">
        <v>12</v>
      </c>
      <c r="AM822" s="2" t="s">
        <v>86</v>
      </c>
      <c r="AN822" s="2" t="s">
        <v>3257</v>
      </c>
      <c r="AO822" s="2" t="s">
        <v>1945</v>
      </c>
      <c r="AP822" s="2">
        <v>11</v>
      </c>
      <c r="AQ822" s="2" t="s">
        <v>82</v>
      </c>
      <c r="AR822" s="2"/>
      <c r="AS822" s="2"/>
      <c r="AT822" s="2" t="s">
        <v>3258</v>
      </c>
      <c r="AU822" s="2"/>
      <c r="AV822" s="2"/>
      <c r="AW822" s="2"/>
      <c r="AX822" s="2"/>
      <c r="AY822" s="2">
        <v>41</v>
      </c>
      <c r="AZ822" s="2" t="s">
        <v>82</v>
      </c>
      <c r="BA822" s="2">
        <v>41</v>
      </c>
      <c r="BB822" s="2" t="s">
        <v>82</v>
      </c>
      <c r="BC822" s="2">
        <v>41</v>
      </c>
      <c r="BD822" s="2" t="s">
        <v>82</v>
      </c>
      <c r="BE822" s="2">
        <v>10</v>
      </c>
      <c r="BF822" s="2" t="s">
        <v>901</v>
      </c>
      <c r="BG822" s="2"/>
      <c r="BH822" s="4">
        <v>0.83333333333333337</v>
      </c>
      <c r="BI822" s="4">
        <v>0.80208333333333337</v>
      </c>
      <c r="BJ822" s="2">
        <v>229</v>
      </c>
      <c r="BK822" s="2" t="s">
        <v>300</v>
      </c>
      <c r="BL822" s="2" t="s">
        <v>573</v>
      </c>
      <c r="BM822" s="2">
        <v>241</v>
      </c>
      <c r="BN822" s="2" t="s">
        <v>82</v>
      </c>
      <c r="BO822" s="2" t="s">
        <v>82</v>
      </c>
      <c r="BP822" s="2">
        <v>13</v>
      </c>
      <c r="BQ822" s="2" t="s">
        <v>91</v>
      </c>
      <c r="BR822" s="2" t="s">
        <v>170</v>
      </c>
      <c r="BS822" s="3">
        <v>40242</v>
      </c>
      <c r="BT822" s="4">
        <v>0.75228009259259254</v>
      </c>
    </row>
    <row r="823" spans="1:72" x14ac:dyDescent="0.25">
      <c r="A823" s="2">
        <v>1300</v>
      </c>
      <c r="B823" s="2">
        <v>2010</v>
      </c>
      <c r="C823" s="2" t="s">
        <v>128</v>
      </c>
      <c r="D823" s="2" t="s">
        <v>73</v>
      </c>
      <c r="E823" s="2" t="s">
        <v>3259</v>
      </c>
      <c r="F823" s="2">
        <v>475</v>
      </c>
      <c r="G823" s="2" t="s">
        <v>1271</v>
      </c>
      <c r="H823" s="2">
        <v>44</v>
      </c>
      <c r="I823" s="2" t="s">
        <v>1272</v>
      </c>
      <c r="J823" s="2">
        <v>385</v>
      </c>
      <c r="K823" s="2" t="s">
        <v>1314</v>
      </c>
      <c r="L823" s="2" t="s">
        <v>1315</v>
      </c>
      <c r="M823" s="3">
        <v>40242</v>
      </c>
      <c r="N823" s="2" t="s">
        <v>1275</v>
      </c>
      <c r="O823" s="2" t="s">
        <v>107</v>
      </c>
      <c r="P823" s="2" t="s">
        <v>107</v>
      </c>
      <c r="Q823" s="2" t="str">
        <f>"0010/2010"</f>
        <v>0010/2010</v>
      </c>
      <c r="R823" s="2" t="s">
        <v>3169</v>
      </c>
      <c r="S823" s="2" t="s">
        <v>3169</v>
      </c>
      <c r="T823" s="2">
        <v>1</v>
      </c>
      <c r="U823" s="2" t="s">
        <v>79</v>
      </c>
      <c r="V823" s="2">
        <v>1</v>
      </c>
      <c r="W823" s="2" t="s">
        <v>80</v>
      </c>
      <c r="X823" s="2">
        <v>1</v>
      </c>
      <c r="Y823" s="2" t="s">
        <v>81</v>
      </c>
      <c r="Z823" s="2">
        <v>10</v>
      </c>
      <c r="AA823" s="2" t="s">
        <v>236</v>
      </c>
      <c r="AB823" s="2">
        <v>9</v>
      </c>
      <c r="AC823" s="2" t="s">
        <v>124</v>
      </c>
      <c r="AD823" s="3">
        <v>40242</v>
      </c>
      <c r="AE823" s="4">
        <v>0.375</v>
      </c>
      <c r="AF823" s="2"/>
      <c r="AG823" s="2"/>
      <c r="AH823" s="2">
        <v>5</v>
      </c>
      <c r="AI823" s="2" t="s">
        <v>274</v>
      </c>
      <c r="AJ823" s="2">
        <v>42</v>
      </c>
      <c r="AK823" s="2" t="s">
        <v>660</v>
      </c>
      <c r="AL823" s="2">
        <v>18</v>
      </c>
      <c r="AM823" s="2" t="s">
        <v>82</v>
      </c>
      <c r="AN823" s="2" t="s">
        <v>82</v>
      </c>
      <c r="AO823" s="2" t="s">
        <v>3260</v>
      </c>
      <c r="AP823" s="2">
        <v>5</v>
      </c>
      <c r="AQ823" s="2" t="s">
        <v>827</v>
      </c>
      <c r="AR823" s="2" t="s">
        <v>82</v>
      </c>
      <c r="AS823" s="2" t="s">
        <v>82</v>
      </c>
      <c r="AT823" s="2" t="s">
        <v>3261</v>
      </c>
      <c r="AU823" s="2"/>
      <c r="AV823" s="2"/>
      <c r="AW823" s="2"/>
      <c r="AX823" s="2"/>
      <c r="AY823" s="2">
        <v>41</v>
      </c>
      <c r="AZ823" s="2" t="s">
        <v>82</v>
      </c>
      <c r="BA823" s="2">
        <v>41</v>
      </c>
      <c r="BB823" s="2" t="s">
        <v>82</v>
      </c>
      <c r="BC823" s="2">
        <v>41</v>
      </c>
      <c r="BD823" s="2" t="s">
        <v>82</v>
      </c>
      <c r="BE823" s="2">
        <v>41</v>
      </c>
      <c r="BF823" s="2" t="s">
        <v>82</v>
      </c>
      <c r="BG823" s="2"/>
      <c r="BH823" s="2"/>
      <c r="BI823" s="2"/>
      <c r="BJ823" s="2">
        <v>241</v>
      </c>
      <c r="BK823" s="2" t="s">
        <v>82</v>
      </c>
      <c r="BL823" s="2"/>
      <c r="BM823" s="2">
        <v>241</v>
      </c>
      <c r="BN823" s="2" t="s">
        <v>82</v>
      </c>
      <c r="BO823" s="2"/>
      <c r="BP823" s="2">
        <v>241</v>
      </c>
      <c r="BQ823" s="2" t="s">
        <v>82</v>
      </c>
      <c r="BR823" s="2"/>
      <c r="BS823" s="3">
        <v>40242</v>
      </c>
      <c r="BT823" s="4">
        <v>0.78635416666666658</v>
      </c>
    </row>
    <row r="824" spans="1:72" x14ac:dyDescent="0.25">
      <c r="A824" s="2">
        <v>1300</v>
      </c>
      <c r="B824" s="2">
        <v>2010</v>
      </c>
      <c r="C824" s="2" t="s">
        <v>171</v>
      </c>
      <c r="D824" s="2" t="s">
        <v>73</v>
      </c>
      <c r="E824" s="2" t="s">
        <v>3259</v>
      </c>
      <c r="F824" s="2">
        <v>475</v>
      </c>
      <c r="G824" s="2" t="s">
        <v>1271</v>
      </c>
      <c r="H824" s="2">
        <v>44</v>
      </c>
      <c r="I824" s="2" t="s">
        <v>1272</v>
      </c>
      <c r="J824" s="2">
        <v>385</v>
      </c>
      <c r="K824" s="2" t="s">
        <v>1314</v>
      </c>
      <c r="L824" s="2" t="s">
        <v>1315</v>
      </c>
      <c r="M824" s="3">
        <v>40242</v>
      </c>
      <c r="N824" s="2" t="s">
        <v>1275</v>
      </c>
      <c r="O824" s="2" t="s">
        <v>107</v>
      </c>
      <c r="P824" s="2" t="s">
        <v>107</v>
      </c>
      <c r="Q824" s="2" t="str">
        <f>"0010/2010"</f>
        <v>0010/2010</v>
      </c>
      <c r="R824" s="2" t="s">
        <v>3169</v>
      </c>
      <c r="S824" s="2" t="s">
        <v>3169</v>
      </c>
      <c r="T824" s="2">
        <v>1</v>
      </c>
      <c r="U824" s="2" t="s">
        <v>79</v>
      </c>
      <c r="V824" s="2">
        <v>1</v>
      </c>
      <c r="W824" s="2" t="s">
        <v>80</v>
      </c>
      <c r="X824" s="2">
        <v>1</v>
      </c>
      <c r="Y824" s="2" t="s">
        <v>81</v>
      </c>
      <c r="Z824" s="2">
        <v>10</v>
      </c>
      <c r="AA824" s="2" t="s">
        <v>236</v>
      </c>
      <c r="AB824" s="2">
        <v>1</v>
      </c>
      <c r="AC824" s="2" t="s">
        <v>178</v>
      </c>
      <c r="AD824" s="3">
        <v>40242</v>
      </c>
      <c r="AE824" s="4">
        <v>0.375</v>
      </c>
      <c r="AF824" s="2"/>
      <c r="AG824" s="2"/>
      <c r="AH824" s="2">
        <v>5</v>
      </c>
      <c r="AI824" s="2" t="s">
        <v>274</v>
      </c>
      <c r="AJ824" s="2">
        <v>42</v>
      </c>
      <c r="AK824" s="2" t="s">
        <v>660</v>
      </c>
      <c r="AL824" s="2">
        <v>18</v>
      </c>
      <c r="AM824" s="2" t="s">
        <v>82</v>
      </c>
      <c r="AN824" s="2" t="s">
        <v>82</v>
      </c>
      <c r="AO824" s="2" t="s">
        <v>3260</v>
      </c>
      <c r="AP824" s="2">
        <v>5</v>
      </c>
      <c r="AQ824" s="2" t="s">
        <v>827</v>
      </c>
      <c r="AR824" s="2" t="s">
        <v>82</v>
      </c>
      <c r="AS824" s="2" t="s">
        <v>82</v>
      </c>
      <c r="AT824" s="2" t="s">
        <v>3261</v>
      </c>
      <c r="AU824" s="2"/>
      <c r="AV824" s="2"/>
      <c r="AW824" s="2"/>
      <c r="AX824" s="2"/>
      <c r="AY824" s="2">
        <v>41</v>
      </c>
      <c r="AZ824" s="2" t="s">
        <v>82</v>
      </c>
      <c r="BA824" s="2">
        <v>41</v>
      </c>
      <c r="BB824" s="2" t="s">
        <v>82</v>
      </c>
      <c r="BC824" s="2">
        <v>41</v>
      </c>
      <c r="BD824" s="2" t="s">
        <v>82</v>
      </c>
      <c r="BE824" s="2">
        <v>41</v>
      </c>
      <c r="BF824" s="2" t="s">
        <v>82</v>
      </c>
      <c r="BG824" s="2"/>
      <c r="BH824" s="2"/>
      <c r="BI824" s="2"/>
      <c r="BJ824" s="2">
        <v>241</v>
      </c>
      <c r="BK824" s="2" t="s">
        <v>82</v>
      </c>
      <c r="BL824" s="2"/>
      <c r="BM824" s="2">
        <v>241</v>
      </c>
      <c r="BN824" s="2" t="s">
        <v>82</v>
      </c>
      <c r="BO824" s="2"/>
      <c r="BP824" s="2">
        <v>241</v>
      </c>
      <c r="BQ824" s="2" t="s">
        <v>82</v>
      </c>
      <c r="BR824" s="2"/>
      <c r="BS824" s="3">
        <v>40242</v>
      </c>
      <c r="BT824" s="4">
        <v>0.78635416666666658</v>
      </c>
    </row>
    <row r="825" spans="1:72" x14ac:dyDescent="0.25">
      <c r="A825" s="2">
        <v>1301</v>
      </c>
      <c r="B825" s="2">
        <v>2010</v>
      </c>
      <c r="C825" s="2" t="s">
        <v>171</v>
      </c>
      <c r="D825" s="2" t="s">
        <v>73</v>
      </c>
      <c r="E825" s="2" t="s">
        <v>3078</v>
      </c>
      <c r="F825" s="2">
        <v>56</v>
      </c>
      <c r="G825" s="2" t="s">
        <v>2578</v>
      </c>
      <c r="H825" s="2">
        <v>39</v>
      </c>
      <c r="I825" s="2" t="s">
        <v>1117</v>
      </c>
      <c r="J825" s="2">
        <v>310</v>
      </c>
      <c r="K825" s="2" t="s">
        <v>288</v>
      </c>
      <c r="L825" s="2" t="s">
        <v>289</v>
      </c>
      <c r="M825" s="3">
        <v>40242</v>
      </c>
      <c r="N825" s="2" t="s">
        <v>2049</v>
      </c>
      <c r="O825" s="2" t="s">
        <v>3262</v>
      </c>
      <c r="P825" s="2" t="s">
        <v>3263</v>
      </c>
      <c r="Q825" s="2" t="str">
        <f>"013/10"</f>
        <v>013/10</v>
      </c>
      <c r="R825" s="2"/>
      <c r="S825" s="2" t="s">
        <v>822</v>
      </c>
      <c r="T825" s="2">
        <v>1</v>
      </c>
      <c r="U825" s="2" t="s">
        <v>79</v>
      </c>
      <c r="V825" s="2">
        <v>1</v>
      </c>
      <c r="W825" s="2" t="s">
        <v>80</v>
      </c>
      <c r="X825" s="2">
        <v>1</v>
      </c>
      <c r="Y825" s="2" t="s">
        <v>81</v>
      </c>
      <c r="Z825" s="2">
        <v>10</v>
      </c>
      <c r="AA825" s="2" t="s">
        <v>236</v>
      </c>
      <c r="AB825" s="2">
        <v>1</v>
      </c>
      <c r="AC825" s="2" t="s">
        <v>178</v>
      </c>
      <c r="AD825" s="3">
        <v>40242</v>
      </c>
      <c r="AE825" s="4">
        <v>0.63888888888888895</v>
      </c>
      <c r="AF825" s="2"/>
      <c r="AG825" s="2"/>
      <c r="AH825" s="2">
        <v>4</v>
      </c>
      <c r="AI825" s="2" t="s">
        <v>125</v>
      </c>
      <c r="AJ825" s="2">
        <v>29</v>
      </c>
      <c r="AK825" s="2" t="s">
        <v>227</v>
      </c>
      <c r="AL825" s="2">
        <v>10</v>
      </c>
      <c r="AM825" s="2" t="s">
        <v>200</v>
      </c>
      <c r="AN825" s="2" t="s">
        <v>883</v>
      </c>
      <c r="AO825" s="2"/>
      <c r="AP825" s="2">
        <v>12</v>
      </c>
      <c r="AQ825" s="2" t="s">
        <v>322</v>
      </c>
      <c r="AR825" s="2" t="s">
        <v>824</v>
      </c>
      <c r="AS825" s="2" t="s">
        <v>825</v>
      </c>
      <c r="AT825" s="2" t="s">
        <v>3264</v>
      </c>
      <c r="AU825" s="2"/>
      <c r="AV825" s="2"/>
      <c r="AW825" s="2"/>
      <c r="AX825" s="2"/>
      <c r="AY825" s="2">
        <v>41</v>
      </c>
      <c r="AZ825" s="2" t="s">
        <v>82</v>
      </c>
      <c r="BA825" s="2">
        <v>41</v>
      </c>
      <c r="BB825" s="2" t="s">
        <v>82</v>
      </c>
      <c r="BC825" s="2">
        <v>51</v>
      </c>
      <c r="BD825" s="2" t="s">
        <v>827</v>
      </c>
      <c r="BE825" s="2">
        <v>47</v>
      </c>
      <c r="BF825" s="2" t="s">
        <v>167</v>
      </c>
      <c r="BG825" s="2">
        <v>2459</v>
      </c>
      <c r="BH825" s="4">
        <v>0.84027777777777779</v>
      </c>
      <c r="BI825" s="4">
        <v>0.92361111111111116</v>
      </c>
      <c r="BJ825" s="2">
        <v>13</v>
      </c>
      <c r="BK825" s="2" t="s">
        <v>91</v>
      </c>
      <c r="BL825" s="2" t="s">
        <v>828</v>
      </c>
      <c r="BM825" s="2">
        <v>241</v>
      </c>
      <c r="BN825" s="2" t="s">
        <v>82</v>
      </c>
      <c r="BO825" s="2" t="s">
        <v>82</v>
      </c>
      <c r="BP825" s="2">
        <v>13</v>
      </c>
      <c r="BQ825" s="2" t="s">
        <v>91</v>
      </c>
      <c r="BR825" s="2" t="s">
        <v>185</v>
      </c>
      <c r="BS825" s="3">
        <v>40242</v>
      </c>
      <c r="BT825" s="4">
        <v>0.79502314814814812</v>
      </c>
    </row>
    <row r="826" spans="1:72" x14ac:dyDescent="0.25">
      <c r="A826" s="2">
        <v>1302</v>
      </c>
      <c r="B826" s="2">
        <v>2010</v>
      </c>
      <c r="C826" s="2" t="s">
        <v>171</v>
      </c>
      <c r="D826" s="2" t="s">
        <v>73</v>
      </c>
      <c r="E826" s="2" t="s">
        <v>3265</v>
      </c>
      <c r="F826" s="2">
        <v>425</v>
      </c>
      <c r="G826" s="2" t="s">
        <v>286</v>
      </c>
      <c r="H826" s="2">
        <v>39</v>
      </c>
      <c r="I826" s="2" t="s">
        <v>1117</v>
      </c>
      <c r="J826" s="2">
        <v>310</v>
      </c>
      <c r="K826" s="2" t="s">
        <v>288</v>
      </c>
      <c r="L826" s="2" t="s">
        <v>289</v>
      </c>
      <c r="M826" s="3">
        <v>40242</v>
      </c>
      <c r="N826" s="2" t="s">
        <v>1943</v>
      </c>
      <c r="O826" s="2" t="s">
        <v>2490</v>
      </c>
      <c r="P826" s="2" t="s">
        <v>3266</v>
      </c>
      <c r="Q826" s="2" t="str">
        <f>"014/10"</f>
        <v>014/10</v>
      </c>
      <c r="R826" s="2" t="s">
        <v>822</v>
      </c>
      <c r="S826" s="2"/>
      <c r="T826" s="2">
        <v>1</v>
      </c>
      <c r="U826" s="2" t="s">
        <v>79</v>
      </c>
      <c r="V826" s="2">
        <v>1</v>
      </c>
      <c r="W826" s="2" t="s">
        <v>80</v>
      </c>
      <c r="X826" s="2">
        <v>1</v>
      </c>
      <c r="Y826" s="2" t="s">
        <v>81</v>
      </c>
      <c r="Z826" s="2">
        <v>10</v>
      </c>
      <c r="AA826" s="2" t="s">
        <v>236</v>
      </c>
      <c r="AB826" s="2">
        <v>1</v>
      </c>
      <c r="AC826" s="2" t="s">
        <v>178</v>
      </c>
      <c r="AD826" s="3">
        <v>40242</v>
      </c>
      <c r="AE826" s="4">
        <v>0.66666666666666663</v>
      </c>
      <c r="AF826" s="2"/>
      <c r="AG826" s="2"/>
      <c r="AH826" s="2">
        <v>4</v>
      </c>
      <c r="AI826" s="2" t="s">
        <v>125</v>
      </c>
      <c r="AJ826" s="2">
        <v>29</v>
      </c>
      <c r="AK826" s="2" t="s">
        <v>227</v>
      </c>
      <c r="AL826" s="2">
        <v>10</v>
      </c>
      <c r="AM826" s="2" t="s">
        <v>200</v>
      </c>
      <c r="AN826" s="2" t="s">
        <v>3267</v>
      </c>
      <c r="AO826" s="2"/>
      <c r="AP826" s="2">
        <v>12</v>
      </c>
      <c r="AQ826" s="2" t="s">
        <v>322</v>
      </c>
      <c r="AR826" s="2" t="s">
        <v>824</v>
      </c>
      <c r="AS826" s="2" t="s">
        <v>825</v>
      </c>
      <c r="AT826" s="2" t="s">
        <v>3268</v>
      </c>
      <c r="AU826" s="2"/>
      <c r="AV826" s="2"/>
      <c r="AW826" s="2"/>
      <c r="AX826" s="2"/>
      <c r="AY826" s="2">
        <v>41</v>
      </c>
      <c r="AZ826" s="2" t="s">
        <v>82</v>
      </c>
      <c r="BA826" s="2">
        <v>41</v>
      </c>
      <c r="BB826" s="2" t="s">
        <v>82</v>
      </c>
      <c r="BC826" s="2">
        <v>51</v>
      </c>
      <c r="BD826" s="2" t="s">
        <v>827</v>
      </c>
      <c r="BE826" s="2">
        <v>47</v>
      </c>
      <c r="BF826" s="2" t="s">
        <v>167</v>
      </c>
      <c r="BG826" s="2">
        <v>2459</v>
      </c>
      <c r="BH826" s="4">
        <v>0.88888888888888884</v>
      </c>
      <c r="BI826" s="4">
        <v>0.92361111111111116</v>
      </c>
      <c r="BJ826" s="2">
        <v>13</v>
      </c>
      <c r="BK826" s="2" t="s">
        <v>91</v>
      </c>
      <c r="BL826" s="2" t="s">
        <v>828</v>
      </c>
      <c r="BM826" s="2">
        <v>241</v>
      </c>
      <c r="BN826" s="2" t="s">
        <v>82</v>
      </c>
      <c r="BO826" s="2" t="s">
        <v>82</v>
      </c>
      <c r="BP826" s="2">
        <v>13</v>
      </c>
      <c r="BQ826" s="2" t="s">
        <v>91</v>
      </c>
      <c r="BR826" s="2" t="s">
        <v>185</v>
      </c>
      <c r="BS826" s="3">
        <v>40242</v>
      </c>
      <c r="BT826" s="4">
        <v>0.81344907407407396</v>
      </c>
    </row>
    <row r="827" spans="1:72" x14ac:dyDescent="0.25">
      <c r="A827" s="2">
        <v>1307</v>
      </c>
      <c r="B827" s="2">
        <v>2010</v>
      </c>
      <c r="C827" s="2" t="s">
        <v>72</v>
      </c>
      <c r="D827" s="2" t="s">
        <v>73</v>
      </c>
      <c r="E827" s="2"/>
      <c r="F827" s="2">
        <v>528</v>
      </c>
      <c r="G827" s="2" t="s">
        <v>3269</v>
      </c>
      <c r="H827" s="2">
        <v>65</v>
      </c>
      <c r="I827" s="2" t="s">
        <v>3147</v>
      </c>
      <c r="J827" s="2">
        <v>458</v>
      </c>
      <c r="K827" s="2" t="s">
        <v>3270</v>
      </c>
      <c r="L827" s="2" t="s">
        <v>3271</v>
      </c>
      <c r="M827" s="3">
        <v>40242</v>
      </c>
      <c r="N827" s="2" t="s">
        <v>3272</v>
      </c>
      <c r="O827" s="2" t="s">
        <v>3273</v>
      </c>
      <c r="P827" s="2" t="s">
        <v>107</v>
      </c>
      <c r="Q827" s="2" t="str">
        <f>"081-A/10"</f>
        <v>081-A/10</v>
      </c>
      <c r="R827" s="2" t="s">
        <v>107</v>
      </c>
      <c r="S827" s="2" t="s">
        <v>3273</v>
      </c>
      <c r="T827" s="2">
        <v>1</v>
      </c>
      <c r="U827" s="2" t="s">
        <v>79</v>
      </c>
      <c r="V827" s="2">
        <v>1</v>
      </c>
      <c r="W827" s="2" t="s">
        <v>80</v>
      </c>
      <c r="X827" s="2">
        <v>2</v>
      </c>
      <c r="Y827" s="2" t="s">
        <v>136</v>
      </c>
      <c r="Z827" s="2">
        <v>1</v>
      </c>
      <c r="AA827" s="2" t="s">
        <v>82</v>
      </c>
      <c r="AB827" s="2">
        <v>6</v>
      </c>
      <c r="AC827" s="2" t="s">
        <v>83</v>
      </c>
      <c r="AD827" s="3">
        <v>40237</v>
      </c>
      <c r="AE827" s="4">
        <v>0.9375</v>
      </c>
      <c r="AF827" s="3">
        <v>40242</v>
      </c>
      <c r="AG827" s="4">
        <v>0.75</v>
      </c>
      <c r="AH827" s="2">
        <v>2</v>
      </c>
      <c r="AI827" s="2" t="s">
        <v>84</v>
      </c>
      <c r="AJ827" s="2">
        <v>12</v>
      </c>
      <c r="AK827" s="2" t="s">
        <v>85</v>
      </c>
      <c r="AL827" s="2">
        <v>17</v>
      </c>
      <c r="AM827" s="2" t="s">
        <v>232</v>
      </c>
      <c r="AN827" s="2" t="s">
        <v>3274</v>
      </c>
      <c r="AO827" s="2" t="s">
        <v>3275</v>
      </c>
      <c r="AP827" s="2">
        <v>11</v>
      </c>
      <c r="AQ827" s="2" t="s">
        <v>82</v>
      </c>
      <c r="AR827" s="2"/>
      <c r="AS827" s="2"/>
      <c r="AT827" s="2" t="s">
        <v>3276</v>
      </c>
      <c r="AU827" s="2"/>
      <c r="AV827" s="2"/>
      <c r="AW827" s="2"/>
      <c r="AX827" s="2"/>
      <c r="AY827" s="2">
        <v>41</v>
      </c>
      <c r="AZ827" s="2" t="s">
        <v>82</v>
      </c>
      <c r="BA827" s="2">
        <v>41</v>
      </c>
      <c r="BB827" s="2" t="s">
        <v>82</v>
      </c>
      <c r="BC827" s="2">
        <v>41</v>
      </c>
      <c r="BD827" s="2" t="s">
        <v>82</v>
      </c>
      <c r="BE827" s="2">
        <v>41</v>
      </c>
      <c r="BF827" s="2" t="s">
        <v>82</v>
      </c>
      <c r="BG827" s="2"/>
      <c r="BH827" s="2"/>
      <c r="BI827" s="2"/>
      <c r="BJ827" s="2">
        <v>241</v>
      </c>
      <c r="BK827" s="2" t="s">
        <v>82</v>
      </c>
      <c r="BL827" s="2"/>
      <c r="BM827" s="2">
        <v>241</v>
      </c>
      <c r="BN827" s="2" t="s">
        <v>82</v>
      </c>
      <c r="BO827" s="2"/>
      <c r="BP827" s="2">
        <v>241</v>
      </c>
      <c r="BQ827" s="2" t="s">
        <v>82</v>
      </c>
      <c r="BR827" s="2"/>
      <c r="BS827" s="3">
        <v>40242</v>
      </c>
      <c r="BT827" s="4">
        <v>0.87532407407407409</v>
      </c>
    </row>
    <row r="828" spans="1:72" x14ac:dyDescent="0.25">
      <c r="A828" s="2">
        <v>1308</v>
      </c>
      <c r="B828" s="2">
        <v>2010</v>
      </c>
      <c r="C828" s="2" t="s">
        <v>171</v>
      </c>
      <c r="D828" s="2" t="s">
        <v>73</v>
      </c>
      <c r="E828" s="2" t="s">
        <v>3277</v>
      </c>
      <c r="F828" s="2">
        <v>425</v>
      </c>
      <c r="G828" s="2" t="s">
        <v>286</v>
      </c>
      <c r="H828" s="2">
        <v>39</v>
      </c>
      <c r="I828" s="2" t="s">
        <v>1117</v>
      </c>
      <c r="J828" s="2">
        <v>310</v>
      </c>
      <c r="K828" s="2" t="s">
        <v>288</v>
      </c>
      <c r="L828" s="2" t="s">
        <v>289</v>
      </c>
      <c r="M828" s="3">
        <v>40242</v>
      </c>
      <c r="N828" s="2" t="s">
        <v>1943</v>
      </c>
      <c r="O828" s="2" t="s">
        <v>2490</v>
      </c>
      <c r="P828" s="2" t="s">
        <v>3278</v>
      </c>
      <c r="Q828" s="2" t="str">
        <f>"012/10"</f>
        <v>012/10</v>
      </c>
      <c r="R828" s="2"/>
      <c r="S828" s="2" t="s">
        <v>822</v>
      </c>
      <c r="T828" s="2">
        <v>1</v>
      </c>
      <c r="U828" s="2" t="s">
        <v>79</v>
      </c>
      <c r="V828" s="2">
        <v>1</v>
      </c>
      <c r="W828" s="2" t="s">
        <v>80</v>
      </c>
      <c r="X828" s="2">
        <v>1</v>
      </c>
      <c r="Y828" s="2" t="s">
        <v>81</v>
      </c>
      <c r="Z828" s="2">
        <v>10</v>
      </c>
      <c r="AA828" s="2" t="s">
        <v>236</v>
      </c>
      <c r="AB828" s="2">
        <v>1</v>
      </c>
      <c r="AC828" s="2" t="s">
        <v>178</v>
      </c>
      <c r="AD828" s="3">
        <v>40242</v>
      </c>
      <c r="AE828" s="4">
        <v>0.68055555555555547</v>
      </c>
      <c r="AF828" s="2"/>
      <c r="AG828" s="2"/>
      <c r="AH828" s="2">
        <v>4</v>
      </c>
      <c r="AI828" s="2" t="s">
        <v>125</v>
      </c>
      <c r="AJ828" s="2">
        <v>29</v>
      </c>
      <c r="AK828" s="2" t="s">
        <v>227</v>
      </c>
      <c r="AL828" s="2">
        <v>10</v>
      </c>
      <c r="AM828" s="2" t="s">
        <v>200</v>
      </c>
      <c r="AN828" s="2" t="s">
        <v>883</v>
      </c>
      <c r="AO828" s="2"/>
      <c r="AP828" s="2">
        <v>12</v>
      </c>
      <c r="AQ828" s="2" t="s">
        <v>322</v>
      </c>
      <c r="AR828" s="2" t="s">
        <v>824</v>
      </c>
      <c r="AS828" s="2" t="s">
        <v>825</v>
      </c>
      <c r="AT828" s="2" t="s">
        <v>3279</v>
      </c>
      <c r="AU828" s="2"/>
      <c r="AV828" s="2"/>
      <c r="AW828" s="2"/>
      <c r="AX828" s="2"/>
      <c r="AY828" s="2">
        <v>41</v>
      </c>
      <c r="AZ828" s="2" t="s">
        <v>82</v>
      </c>
      <c r="BA828" s="2">
        <v>41</v>
      </c>
      <c r="BB828" s="2" t="s">
        <v>82</v>
      </c>
      <c r="BC828" s="2">
        <v>51</v>
      </c>
      <c r="BD828" s="2" t="s">
        <v>827</v>
      </c>
      <c r="BE828" s="2">
        <v>47</v>
      </c>
      <c r="BF828" s="2" t="s">
        <v>167</v>
      </c>
      <c r="BG828" s="2">
        <v>2459</v>
      </c>
      <c r="BH828" s="4">
        <v>0.84027777777777779</v>
      </c>
      <c r="BI828" s="4">
        <v>0.89583333333333337</v>
      </c>
      <c r="BJ828" s="2">
        <v>13</v>
      </c>
      <c r="BK828" s="2" t="s">
        <v>91</v>
      </c>
      <c r="BL828" s="2" t="s">
        <v>828</v>
      </c>
      <c r="BM828" s="2">
        <v>241</v>
      </c>
      <c r="BN828" s="2" t="s">
        <v>82</v>
      </c>
      <c r="BO828" s="2" t="s">
        <v>82</v>
      </c>
      <c r="BP828" s="2">
        <v>13</v>
      </c>
      <c r="BQ828" s="2" t="s">
        <v>91</v>
      </c>
      <c r="BR828" s="2" t="s">
        <v>185</v>
      </c>
      <c r="BS828" s="3">
        <v>40242</v>
      </c>
      <c r="BT828" s="4">
        <v>0.897974537037037</v>
      </c>
    </row>
    <row r="829" spans="1:72" x14ac:dyDescent="0.25">
      <c r="A829" s="2">
        <v>1309</v>
      </c>
      <c r="B829" s="2">
        <v>2010</v>
      </c>
      <c r="C829" s="2" t="s">
        <v>171</v>
      </c>
      <c r="D829" s="2" t="s">
        <v>73</v>
      </c>
      <c r="E829" s="2"/>
      <c r="F829" s="2">
        <v>470</v>
      </c>
      <c r="G829" s="2" t="s">
        <v>2979</v>
      </c>
      <c r="H829" s="2">
        <v>1</v>
      </c>
      <c r="I829" s="2" t="s">
        <v>82</v>
      </c>
      <c r="J829" s="2">
        <v>371</v>
      </c>
      <c r="K829" s="2" t="s">
        <v>1138</v>
      </c>
      <c r="L829" s="2" t="s">
        <v>1139</v>
      </c>
      <c r="M829" s="3">
        <v>40242</v>
      </c>
      <c r="N829" s="2" t="s">
        <v>3280</v>
      </c>
      <c r="O829" s="2" t="s">
        <v>3281</v>
      </c>
      <c r="P829" s="2" t="s">
        <v>3282</v>
      </c>
      <c r="Q829" s="2" t="str">
        <f>""</f>
        <v/>
      </c>
      <c r="R829" s="2"/>
      <c r="S829" s="2"/>
      <c r="T829" s="2">
        <v>1</v>
      </c>
      <c r="U829" s="2" t="s">
        <v>79</v>
      </c>
      <c r="V829" s="2">
        <v>3</v>
      </c>
      <c r="W829" s="2" t="s">
        <v>225</v>
      </c>
      <c r="X829" s="2">
        <v>2</v>
      </c>
      <c r="Y829" s="2" t="s">
        <v>136</v>
      </c>
      <c r="Z829" s="2">
        <v>1</v>
      </c>
      <c r="AA829" s="2" t="s">
        <v>82</v>
      </c>
      <c r="AB829" s="2">
        <v>9</v>
      </c>
      <c r="AC829" s="2" t="s">
        <v>124</v>
      </c>
      <c r="AD829" s="3">
        <v>40242</v>
      </c>
      <c r="AE829" s="4">
        <v>0.75</v>
      </c>
      <c r="AF829" s="2"/>
      <c r="AG829" s="2"/>
      <c r="AH829" s="2">
        <v>5</v>
      </c>
      <c r="AI829" s="2" t="s">
        <v>274</v>
      </c>
      <c r="AJ829" s="2">
        <v>35</v>
      </c>
      <c r="AK829" s="2" t="s">
        <v>275</v>
      </c>
      <c r="AL829" s="2">
        <v>23</v>
      </c>
      <c r="AM829" s="2" t="s">
        <v>251</v>
      </c>
      <c r="AN829" s="2"/>
      <c r="AO829" s="2"/>
      <c r="AP829" s="2">
        <v>11</v>
      </c>
      <c r="AQ829" s="2" t="s">
        <v>82</v>
      </c>
      <c r="AR829" s="2"/>
      <c r="AS829" s="2"/>
      <c r="AT829" s="2" t="s">
        <v>3283</v>
      </c>
      <c r="AU829" s="2"/>
      <c r="AV829" s="2"/>
      <c r="AW829" s="2"/>
      <c r="AX829" s="2"/>
      <c r="AY829" s="2">
        <v>1</v>
      </c>
      <c r="AZ829" s="2" t="s">
        <v>107</v>
      </c>
      <c r="BA829" s="2">
        <v>1</v>
      </c>
      <c r="BB829" s="2" t="s">
        <v>107</v>
      </c>
      <c r="BC829" s="2">
        <v>1</v>
      </c>
      <c r="BD829" s="2" t="s">
        <v>107</v>
      </c>
      <c r="BE829" s="2">
        <v>1</v>
      </c>
      <c r="BF829" s="2" t="s">
        <v>107</v>
      </c>
      <c r="BG829" s="2"/>
      <c r="BH829" s="2"/>
      <c r="BI829" s="2"/>
      <c r="BJ829" s="2">
        <v>242</v>
      </c>
      <c r="BK829" s="2" t="s">
        <v>107</v>
      </c>
      <c r="BL829" s="2"/>
      <c r="BM829" s="2">
        <v>242</v>
      </c>
      <c r="BN829" s="2" t="s">
        <v>107</v>
      </c>
      <c r="BO829" s="2"/>
      <c r="BP829" s="2">
        <v>242</v>
      </c>
      <c r="BQ829" s="2" t="s">
        <v>107</v>
      </c>
      <c r="BR829" s="2"/>
      <c r="BS829" s="3">
        <v>40242</v>
      </c>
      <c r="BT829" s="4">
        <v>0.91942129629629632</v>
      </c>
    </row>
    <row r="830" spans="1:72" x14ac:dyDescent="0.25">
      <c r="A830" s="2">
        <v>1310</v>
      </c>
      <c r="B830" s="2">
        <v>2010</v>
      </c>
      <c r="C830" s="2" t="s">
        <v>72</v>
      </c>
      <c r="D830" s="2" t="s">
        <v>73</v>
      </c>
      <c r="E830" s="2"/>
      <c r="F830" s="2">
        <v>117</v>
      </c>
      <c r="G830" s="2" t="s">
        <v>3284</v>
      </c>
      <c r="H830" s="2">
        <v>42</v>
      </c>
      <c r="I830" s="2" t="s">
        <v>1096</v>
      </c>
      <c r="J830" s="2">
        <v>134</v>
      </c>
      <c r="K830" s="2" t="s">
        <v>3285</v>
      </c>
      <c r="L830" s="2" t="s">
        <v>3286</v>
      </c>
      <c r="M830" s="3">
        <v>40242</v>
      </c>
      <c r="N830" s="2" t="s">
        <v>3287</v>
      </c>
      <c r="O830" s="2" t="s">
        <v>107</v>
      </c>
      <c r="P830" s="2" t="s">
        <v>3288</v>
      </c>
      <c r="Q830" s="2" t="str">
        <f>"001/10"</f>
        <v>001/10</v>
      </c>
      <c r="R830" s="2"/>
      <c r="S830" s="2" t="s">
        <v>3289</v>
      </c>
      <c r="T830" s="2">
        <v>1</v>
      </c>
      <c r="U830" s="2" t="s">
        <v>79</v>
      </c>
      <c r="V830" s="2">
        <v>1</v>
      </c>
      <c r="W830" s="2" t="s">
        <v>80</v>
      </c>
      <c r="X830" s="2">
        <v>5</v>
      </c>
      <c r="Y830" s="2" t="s">
        <v>82</v>
      </c>
      <c r="Z830" s="2">
        <v>1</v>
      </c>
      <c r="AA830" s="2" t="s">
        <v>82</v>
      </c>
      <c r="AB830" s="2">
        <v>6</v>
      </c>
      <c r="AC830" s="2" t="s">
        <v>83</v>
      </c>
      <c r="AD830" s="3">
        <v>40242</v>
      </c>
      <c r="AE830" s="4">
        <v>0.80208333333333337</v>
      </c>
      <c r="AF830" s="3">
        <v>40242</v>
      </c>
      <c r="AG830" s="4">
        <v>0.81944444444444453</v>
      </c>
      <c r="AH830" s="2">
        <v>6</v>
      </c>
      <c r="AI830" s="2" t="s">
        <v>197</v>
      </c>
      <c r="AJ830" s="2">
        <v>59</v>
      </c>
      <c r="AK830" s="2" t="s">
        <v>198</v>
      </c>
      <c r="AL830" s="2">
        <v>12</v>
      </c>
      <c r="AM830" s="2" t="s">
        <v>86</v>
      </c>
      <c r="AN830" s="2" t="s">
        <v>3290</v>
      </c>
      <c r="AO830" s="2" t="s">
        <v>3291</v>
      </c>
      <c r="AP830" s="2">
        <v>11</v>
      </c>
      <c r="AQ830" s="2" t="s">
        <v>82</v>
      </c>
      <c r="AR830" s="2" t="s">
        <v>82</v>
      </c>
      <c r="AS830" s="2" t="s">
        <v>82</v>
      </c>
      <c r="AT830" s="2" t="s">
        <v>3292</v>
      </c>
      <c r="AU830" s="2"/>
      <c r="AV830" s="2"/>
      <c r="AW830" s="2"/>
      <c r="AX830" s="2"/>
      <c r="AY830" s="2">
        <v>41</v>
      </c>
      <c r="AZ830" s="2" t="s">
        <v>82</v>
      </c>
      <c r="BA830" s="2">
        <v>41</v>
      </c>
      <c r="BB830" s="2" t="s">
        <v>82</v>
      </c>
      <c r="BC830" s="2">
        <v>41</v>
      </c>
      <c r="BD830" s="2" t="s">
        <v>82</v>
      </c>
      <c r="BE830" s="2">
        <v>13</v>
      </c>
      <c r="BF830" s="2" t="s">
        <v>108</v>
      </c>
      <c r="BG830" s="2">
        <v>1806</v>
      </c>
      <c r="BH830" s="4">
        <v>0.79236111111111107</v>
      </c>
      <c r="BI830" s="4">
        <v>0.84722222222222221</v>
      </c>
      <c r="BJ830" s="2">
        <v>13</v>
      </c>
      <c r="BK830" s="2" t="s">
        <v>91</v>
      </c>
      <c r="BL830" s="2" t="s">
        <v>3293</v>
      </c>
      <c r="BM830" s="2">
        <v>13</v>
      </c>
      <c r="BN830" s="2" t="s">
        <v>91</v>
      </c>
      <c r="BO830" s="2" t="s">
        <v>82</v>
      </c>
      <c r="BP830" s="2">
        <v>13</v>
      </c>
      <c r="BQ830" s="2" t="s">
        <v>91</v>
      </c>
      <c r="BR830" s="2" t="s">
        <v>204</v>
      </c>
      <c r="BS830" s="3">
        <v>40242</v>
      </c>
      <c r="BT830" s="4">
        <v>0.94025462962962969</v>
      </c>
    </row>
    <row r="831" spans="1:72" x14ac:dyDescent="0.25">
      <c r="A831" s="2">
        <v>1311</v>
      </c>
      <c r="B831" s="2">
        <v>2010</v>
      </c>
      <c r="C831" s="2" t="s">
        <v>72</v>
      </c>
      <c r="D831" s="2" t="s">
        <v>73</v>
      </c>
      <c r="E831" s="2"/>
      <c r="F831" s="2">
        <v>37</v>
      </c>
      <c r="G831" s="2" t="s">
        <v>1790</v>
      </c>
      <c r="H831" s="2">
        <v>31</v>
      </c>
      <c r="I831" s="2" t="s">
        <v>880</v>
      </c>
      <c r="J831" s="2">
        <v>328</v>
      </c>
      <c r="K831" s="2" t="s">
        <v>1791</v>
      </c>
      <c r="L831" s="2" t="s">
        <v>1792</v>
      </c>
      <c r="M831" s="3">
        <v>40242</v>
      </c>
      <c r="N831" s="2" t="s">
        <v>3294</v>
      </c>
      <c r="O831" s="2" t="s">
        <v>3295</v>
      </c>
      <c r="P831" s="2" t="s">
        <v>3296</v>
      </c>
      <c r="Q831" s="2" t="str">
        <f>"021/10"</f>
        <v>021/10</v>
      </c>
      <c r="R831" s="2" t="s">
        <v>1794</v>
      </c>
      <c r="S831" s="2" t="s">
        <v>822</v>
      </c>
      <c r="T831" s="2">
        <v>1</v>
      </c>
      <c r="U831" s="2" t="s">
        <v>79</v>
      </c>
      <c r="V831" s="2">
        <v>1</v>
      </c>
      <c r="W831" s="2" t="s">
        <v>80</v>
      </c>
      <c r="X831" s="2">
        <v>5</v>
      </c>
      <c r="Y831" s="2" t="s">
        <v>82</v>
      </c>
      <c r="Z831" s="2">
        <v>10</v>
      </c>
      <c r="AA831" s="2" t="s">
        <v>236</v>
      </c>
      <c r="AB831" s="2">
        <v>6</v>
      </c>
      <c r="AC831" s="2" t="s">
        <v>83</v>
      </c>
      <c r="AD831" s="3">
        <v>40242</v>
      </c>
      <c r="AE831" s="2"/>
      <c r="AF831" s="3">
        <v>40242</v>
      </c>
      <c r="AG831" s="4">
        <v>0.8666666666666667</v>
      </c>
      <c r="AH831" s="2">
        <v>4</v>
      </c>
      <c r="AI831" s="2" t="s">
        <v>125</v>
      </c>
      <c r="AJ831" s="2">
        <v>29</v>
      </c>
      <c r="AK831" s="2" t="s">
        <v>227</v>
      </c>
      <c r="AL831" s="2">
        <v>21</v>
      </c>
      <c r="AM831" s="2" t="s">
        <v>1311</v>
      </c>
      <c r="AN831" s="2" t="s">
        <v>3297</v>
      </c>
      <c r="AO831" s="2" t="s">
        <v>1540</v>
      </c>
      <c r="AP831" s="2">
        <v>11</v>
      </c>
      <c r="AQ831" s="2" t="s">
        <v>82</v>
      </c>
      <c r="AR831" s="2" t="s">
        <v>2104</v>
      </c>
      <c r="AS831" s="2" t="s">
        <v>2104</v>
      </c>
      <c r="AT831" s="2" t="s">
        <v>3298</v>
      </c>
      <c r="AU831" s="2"/>
      <c r="AV831" s="2"/>
      <c r="AW831" s="2"/>
      <c r="AX831" s="2"/>
      <c r="AY831" s="2">
        <v>41</v>
      </c>
      <c r="AZ831" s="2" t="s">
        <v>82</v>
      </c>
      <c r="BA831" s="2">
        <v>41</v>
      </c>
      <c r="BB831" s="2" t="s">
        <v>82</v>
      </c>
      <c r="BC831" s="2">
        <v>41</v>
      </c>
      <c r="BD831" s="2" t="s">
        <v>82</v>
      </c>
      <c r="BE831" s="2">
        <v>41</v>
      </c>
      <c r="BF831" s="2" t="s">
        <v>82</v>
      </c>
      <c r="BG831" s="2" t="s">
        <v>2957</v>
      </c>
      <c r="BH831" s="2"/>
      <c r="BI831" s="2"/>
      <c r="BJ831" s="2">
        <v>241</v>
      </c>
      <c r="BK831" s="2" t="s">
        <v>82</v>
      </c>
      <c r="BL831" s="2" t="s">
        <v>3299</v>
      </c>
      <c r="BM831" s="2">
        <v>241</v>
      </c>
      <c r="BN831" s="2" t="s">
        <v>82</v>
      </c>
      <c r="BO831" s="2" t="s">
        <v>3299</v>
      </c>
      <c r="BP831" s="2">
        <v>241</v>
      </c>
      <c r="BQ831" s="2" t="s">
        <v>82</v>
      </c>
      <c r="BR831" s="2" t="s">
        <v>3300</v>
      </c>
      <c r="BS831" s="3">
        <v>40242</v>
      </c>
      <c r="BT831" s="4">
        <v>0.99976851851851845</v>
      </c>
    </row>
    <row r="832" spans="1:72" x14ac:dyDescent="0.25">
      <c r="A832" s="2">
        <v>1312</v>
      </c>
      <c r="B832" s="2">
        <v>2010</v>
      </c>
      <c r="C832" s="2" t="s">
        <v>594</v>
      </c>
      <c r="D832" s="2" t="s">
        <v>122</v>
      </c>
      <c r="E832" s="2"/>
      <c r="F832" s="2">
        <v>1</v>
      </c>
      <c r="G832" s="2" t="s">
        <v>82</v>
      </c>
      <c r="H832" s="2">
        <v>1</v>
      </c>
      <c r="I832" s="2" t="s">
        <v>82</v>
      </c>
      <c r="J832" s="2">
        <v>1</v>
      </c>
      <c r="K832" s="2" t="s">
        <v>107</v>
      </c>
      <c r="L832" s="2" t="s">
        <v>107</v>
      </c>
      <c r="M832" s="3">
        <v>40243</v>
      </c>
      <c r="N832" s="2"/>
      <c r="O832" s="2"/>
      <c r="P832" s="2"/>
      <c r="Q832" s="2" t="str">
        <f>""</f>
        <v/>
      </c>
      <c r="R832" s="2"/>
      <c r="S832" s="2"/>
      <c r="T832" s="2">
        <v>1</v>
      </c>
      <c r="U832" s="2" t="s">
        <v>79</v>
      </c>
      <c r="V832" s="2">
        <v>1</v>
      </c>
      <c r="W832" s="2" t="s">
        <v>80</v>
      </c>
      <c r="X832" s="2">
        <v>1</v>
      </c>
      <c r="Y832" s="2" t="s">
        <v>81</v>
      </c>
      <c r="Z832" s="2">
        <v>1</v>
      </c>
      <c r="AA832" s="2" t="s">
        <v>82</v>
      </c>
      <c r="AB832" s="2">
        <v>9</v>
      </c>
      <c r="AC832" s="2" t="s">
        <v>124</v>
      </c>
      <c r="AD832" s="3">
        <v>40243</v>
      </c>
      <c r="AE832" s="4">
        <v>5.2083333333333336E-2</v>
      </c>
      <c r="AF832" s="2"/>
      <c r="AG832" s="2"/>
      <c r="AH832" s="2">
        <v>6</v>
      </c>
      <c r="AI832" s="2" t="s">
        <v>197</v>
      </c>
      <c r="AJ832" s="2">
        <v>54</v>
      </c>
      <c r="AK832" s="2" t="s">
        <v>348</v>
      </c>
      <c r="AL832" s="2">
        <v>18</v>
      </c>
      <c r="AM832" s="2" t="s">
        <v>82</v>
      </c>
      <c r="AN832" s="2" t="s">
        <v>595</v>
      </c>
      <c r="AO832" s="2" t="s">
        <v>200</v>
      </c>
      <c r="AP832" s="2">
        <v>14</v>
      </c>
      <c r="AQ832" s="2" t="s">
        <v>3301</v>
      </c>
      <c r="AR832" s="2" t="s">
        <v>596</v>
      </c>
      <c r="AS832" s="2" t="s">
        <v>596</v>
      </c>
      <c r="AT832" s="2" t="s">
        <v>3302</v>
      </c>
      <c r="AU832" s="2"/>
      <c r="AV832" s="2"/>
      <c r="AW832" s="2"/>
      <c r="AX832" s="2"/>
      <c r="AY832" s="2">
        <v>1</v>
      </c>
      <c r="AZ832" s="2" t="s">
        <v>107</v>
      </c>
      <c r="BA832" s="2">
        <v>1</v>
      </c>
      <c r="BB832" s="2" t="s">
        <v>107</v>
      </c>
      <c r="BC832" s="2">
        <v>1</v>
      </c>
      <c r="BD832" s="2" t="s">
        <v>107</v>
      </c>
      <c r="BE832" s="2">
        <v>4</v>
      </c>
      <c r="BF832" s="2" t="s">
        <v>90</v>
      </c>
      <c r="BG832" s="2">
        <v>4425</v>
      </c>
      <c r="BH832" s="4">
        <v>0.99930555555555556</v>
      </c>
      <c r="BI832" s="4">
        <v>5.9027777777777783E-2</v>
      </c>
      <c r="BJ832" s="2">
        <v>13</v>
      </c>
      <c r="BK832" s="2" t="s">
        <v>91</v>
      </c>
      <c r="BL832" s="2" t="s">
        <v>2764</v>
      </c>
      <c r="BM832" s="2">
        <v>242</v>
      </c>
      <c r="BN832" s="2" t="s">
        <v>107</v>
      </c>
      <c r="BO832" s="2"/>
      <c r="BP832" s="2">
        <v>13</v>
      </c>
      <c r="BQ832" s="2" t="s">
        <v>91</v>
      </c>
      <c r="BR832" s="2" t="s">
        <v>2168</v>
      </c>
      <c r="BS832" s="3">
        <v>40243</v>
      </c>
      <c r="BT832" s="4">
        <v>0.10201388888888889</v>
      </c>
    </row>
    <row r="833" spans="1:72" x14ac:dyDescent="0.25">
      <c r="A833" s="2">
        <v>1313</v>
      </c>
      <c r="B833" s="2">
        <v>2010</v>
      </c>
      <c r="C833" s="2" t="s">
        <v>72</v>
      </c>
      <c r="D833" s="2" t="s">
        <v>73</v>
      </c>
      <c r="E833" s="2"/>
      <c r="F833" s="2">
        <v>390</v>
      </c>
      <c r="G833" s="2" t="s">
        <v>475</v>
      </c>
      <c r="H833" s="2">
        <v>5</v>
      </c>
      <c r="I833" s="2" t="s">
        <v>634</v>
      </c>
      <c r="J833" s="2">
        <v>314</v>
      </c>
      <c r="K833" s="2" t="s">
        <v>477</v>
      </c>
      <c r="L833" s="2" t="s">
        <v>478</v>
      </c>
      <c r="M833" s="3">
        <v>40243</v>
      </c>
      <c r="N833" s="2" t="s">
        <v>3103</v>
      </c>
      <c r="O833" s="2"/>
      <c r="P833" s="2"/>
      <c r="Q833" s="2" t="str">
        <f>"123-E/10"</f>
        <v>123-E/10</v>
      </c>
      <c r="R833" s="2"/>
      <c r="S833" s="2" t="s">
        <v>601</v>
      </c>
      <c r="T833" s="2">
        <v>1</v>
      </c>
      <c r="U833" s="2" t="s">
        <v>79</v>
      </c>
      <c r="V833" s="2">
        <v>1</v>
      </c>
      <c r="W833" s="2" t="s">
        <v>80</v>
      </c>
      <c r="X833" s="2">
        <v>1</v>
      </c>
      <c r="Y833" s="2" t="s">
        <v>81</v>
      </c>
      <c r="Z833" s="2">
        <v>10</v>
      </c>
      <c r="AA833" s="2" t="s">
        <v>236</v>
      </c>
      <c r="AB833" s="2">
        <v>6</v>
      </c>
      <c r="AC833" s="2" t="s">
        <v>83</v>
      </c>
      <c r="AD833" s="3">
        <v>40242</v>
      </c>
      <c r="AE833" s="4">
        <v>0.9375</v>
      </c>
      <c r="AF833" s="3">
        <v>40243</v>
      </c>
      <c r="AG833" s="4">
        <v>7.6388888888888895E-2</v>
      </c>
      <c r="AH833" s="2">
        <v>2</v>
      </c>
      <c r="AI833" s="2" t="s">
        <v>84</v>
      </c>
      <c r="AJ833" s="2">
        <v>9</v>
      </c>
      <c r="AK833" s="2" t="s">
        <v>103</v>
      </c>
      <c r="AL833" s="2">
        <v>14</v>
      </c>
      <c r="AM833" s="2" t="s">
        <v>216</v>
      </c>
      <c r="AN833" s="2" t="s">
        <v>3303</v>
      </c>
      <c r="AO833" s="2"/>
      <c r="AP833" s="2">
        <v>11</v>
      </c>
      <c r="AQ833" s="2" t="s">
        <v>82</v>
      </c>
      <c r="AR833" s="2"/>
      <c r="AS833" s="2"/>
      <c r="AT833" s="2" t="s">
        <v>3304</v>
      </c>
      <c r="AU833" s="2"/>
      <c r="AV833" s="2"/>
      <c r="AW833" s="2"/>
      <c r="AX833" s="2"/>
      <c r="AY833" s="2">
        <v>41</v>
      </c>
      <c r="AZ833" s="2" t="s">
        <v>82</v>
      </c>
      <c r="BA833" s="2">
        <v>41</v>
      </c>
      <c r="BB833" s="2" t="s">
        <v>82</v>
      </c>
      <c r="BC833" s="2">
        <v>9</v>
      </c>
      <c r="BD833" s="2" t="s">
        <v>966</v>
      </c>
      <c r="BE833" s="2">
        <v>9</v>
      </c>
      <c r="BF833" s="2" t="s">
        <v>966</v>
      </c>
      <c r="BG833" s="2" t="s">
        <v>3305</v>
      </c>
      <c r="BH833" s="4">
        <v>0.9375</v>
      </c>
      <c r="BI833" s="2"/>
      <c r="BJ833" s="2">
        <v>146</v>
      </c>
      <c r="BK833" s="2" t="s">
        <v>1388</v>
      </c>
      <c r="BL833" s="2" t="s">
        <v>1389</v>
      </c>
      <c r="BM833" s="2">
        <v>170</v>
      </c>
      <c r="BN833" s="2" t="s">
        <v>968</v>
      </c>
      <c r="BO833" s="2" t="s">
        <v>1390</v>
      </c>
      <c r="BP833" s="2">
        <v>13</v>
      </c>
      <c r="BQ833" s="2" t="s">
        <v>91</v>
      </c>
      <c r="BR833" s="2" t="s">
        <v>360</v>
      </c>
      <c r="BS833" s="3">
        <v>40243</v>
      </c>
      <c r="BT833" s="4">
        <v>0.19954861111111111</v>
      </c>
    </row>
    <row r="834" spans="1:72" x14ac:dyDescent="0.25">
      <c r="A834" s="2">
        <v>1314</v>
      </c>
      <c r="B834" s="2">
        <v>2010</v>
      </c>
      <c r="C834" s="2" t="s">
        <v>171</v>
      </c>
      <c r="D834" s="2" t="s">
        <v>73</v>
      </c>
      <c r="E834" s="2"/>
      <c r="F834" s="2">
        <v>158</v>
      </c>
      <c r="G834" s="2" t="s">
        <v>3026</v>
      </c>
      <c r="H834" s="2">
        <v>16</v>
      </c>
      <c r="I834" s="2" t="s">
        <v>3027</v>
      </c>
      <c r="J834" s="2">
        <v>164</v>
      </c>
      <c r="K834" s="2" t="s">
        <v>3254</v>
      </c>
      <c r="L834" s="2" t="s">
        <v>946</v>
      </c>
      <c r="M834" s="3">
        <v>40243</v>
      </c>
      <c r="N834" s="2" t="s">
        <v>3306</v>
      </c>
      <c r="O834" s="2" t="s">
        <v>3307</v>
      </c>
      <c r="P834" s="2" t="s">
        <v>107</v>
      </c>
      <c r="Q834" s="2" t="str">
        <f>"082-A/10"</f>
        <v>082-A/10</v>
      </c>
      <c r="R834" s="2" t="s">
        <v>107</v>
      </c>
      <c r="S834" s="2" t="s">
        <v>107</v>
      </c>
      <c r="T834" s="2">
        <v>1</v>
      </c>
      <c r="U834" s="2" t="s">
        <v>79</v>
      </c>
      <c r="V834" s="2">
        <v>1</v>
      </c>
      <c r="W834" s="2" t="s">
        <v>80</v>
      </c>
      <c r="X834" s="2">
        <v>1</v>
      </c>
      <c r="Y834" s="2" t="s">
        <v>81</v>
      </c>
      <c r="Z834" s="2">
        <v>1</v>
      </c>
      <c r="AA834" s="2" t="s">
        <v>82</v>
      </c>
      <c r="AB834" s="2">
        <v>1</v>
      </c>
      <c r="AC834" s="2" t="s">
        <v>178</v>
      </c>
      <c r="AD834" s="3">
        <v>40243</v>
      </c>
      <c r="AE834" s="4">
        <v>0.33680555555555558</v>
      </c>
      <c r="AF834" s="3">
        <v>40243</v>
      </c>
      <c r="AG834" s="4">
        <v>0.41666666666666669</v>
      </c>
      <c r="AH834" s="2">
        <v>2</v>
      </c>
      <c r="AI834" s="2" t="s">
        <v>84</v>
      </c>
      <c r="AJ834" s="2">
        <v>12</v>
      </c>
      <c r="AK834" s="2" t="s">
        <v>85</v>
      </c>
      <c r="AL834" s="2">
        <v>3</v>
      </c>
      <c r="AM834" s="2" t="s">
        <v>985</v>
      </c>
      <c r="AN834" s="2" t="s">
        <v>3308</v>
      </c>
      <c r="AO834" s="2" t="s">
        <v>3309</v>
      </c>
      <c r="AP834" s="2">
        <v>11</v>
      </c>
      <c r="AQ834" s="2" t="s">
        <v>82</v>
      </c>
      <c r="AR834" s="2"/>
      <c r="AS834" s="2"/>
      <c r="AT834" s="2" t="s">
        <v>3310</v>
      </c>
      <c r="AU834" s="2"/>
      <c r="AV834" s="2"/>
      <c r="AW834" s="2"/>
      <c r="AX834" s="2"/>
      <c r="AY834" s="2">
        <v>41</v>
      </c>
      <c r="AZ834" s="2" t="s">
        <v>82</v>
      </c>
      <c r="BA834" s="2">
        <v>41</v>
      </c>
      <c r="BB834" s="2" t="s">
        <v>82</v>
      </c>
      <c r="BC834" s="2">
        <v>41</v>
      </c>
      <c r="BD834" s="2" t="s">
        <v>82</v>
      </c>
      <c r="BE834" s="2">
        <v>41</v>
      </c>
      <c r="BF834" s="2" t="s">
        <v>82</v>
      </c>
      <c r="BG834" s="2"/>
      <c r="BH834" s="2"/>
      <c r="BI834" s="2"/>
      <c r="BJ834" s="2">
        <v>241</v>
      </c>
      <c r="BK834" s="2" t="s">
        <v>82</v>
      </c>
      <c r="BL834" s="2"/>
      <c r="BM834" s="2">
        <v>241</v>
      </c>
      <c r="BN834" s="2" t="s">
        <v>82</v>
      </c>
      <c r="BO834" s="2"/>
      <c r="BP834" s="2">
        <v>241</v>
      </c>
      <c r="BQ834" s="2" t="s">
        <v>82</v>
      </c>
      <c r="BR834" s="2"/>
      <c r="BS834" s="3">
        <v>40243</v>
      </c>
      <c r="BT834" s="4">
        <v>0.49</v>
      </c>
    </row>
    <row r="835" spans="1:72" x14ac:dyDescent="0.25">
      <c r="A835" s="2">
        <v>1317</v>
      </c>
      <c r="B835" s="2">
        <v>2010</v>
      </c>
      <c r="C835" s="2" t="s">
        <v>554</v>
      </c>
      <c r="D835" s="2" t="s">
        <v>73</v>
      </c>
      <c r="E835" s="2"/>
      <c r="F835" s="2">
        <v>528</v>
      </c>
      <c r="G835" s="2" t="s">
        <v>3269</v>
      </c>
      <c r="H835" s="2">
        <v>65</v>
      </c>
      <c r="I835" s="2" t="s">
        <v>3147</v>
      </c>
      <c r="J835" s="2">
        <v>458</v>
      </c>
      <c r="K835" s="2" t="s">
        <v>3270</v>
      </c>
      <c r="L835" s="2" t="s">
        <v>3271</v>
      </c>
      <c r="M835" s="3">
        <v>40243</v>
      </c>
      <c r="N835" s="2" t="s">
        <v>3149</v>
      </c>
      <c r="O835" s="2" t="s">
        <v>1130</v>
      </c>
      <c r="P835" s="2" t="s">
        <v>107</v>
      </c>
      <c r="Q835" s="2" t="str">
        <f>"083-A/10"</f>
        <v>083-A/10</v>
      </c>
      <c r="R835" s="2" t="s">
        <v>107</v>
      </c>
      <c r="S835" s="2" t="s">
        <v>107</v>
      </c>
      <c r="T835" s="2">
        <v>1</v>
      </c>
      <c r="U835" s="2" t="s">
        <v>79</v>
      </c>
      <c r="V835" s="2">
        <v>1</v>
      </c>
      <c r="W835" s="2" t="s">
        <v>80</v>
      </c>
      <c r="X835" s="2">
        <v>1</v>
      </c>
      <c r="Y835" s="2" t="s">
        <v>81</v>
      </c>
      <c r="Z835" s="2">
        <v>1</v>
      </c>
      <c r="AA835" s="2" t="s">
        <v>82</v>
      </c>
      <c r="AB835" s="2">
        <v>5</v>
      </c>
      <c r="AC835" s="2" t="s">
        <v>559</v>
      </c>
      <c r="AD835" s="3">
        <v>40243</v>
      </c>
      <c r="AE835" s="4">
        <v>0.52083333333333337</v>
      </c>
      <c r="AF835" s="3">
        <v>40243</v>
      </c>
      <c r="AG835" s="4">
        <v>0.54861111111111105</v>
      </c>
      <c r="AH835" s="2">
        <v>2</v>
      </c>
      <c r="AI835" s="2" t="s">
        <v>84</v>
      </c>
      <c r="AJ835" s="2">
        <v>12</v>
      </c>
      <c r="AK835" s="2" t="s">
        <v>85</v>
      </c>
      <c r="AL835" s="2">
        <v>17</v>
      </c>
      <c r="AM835" s="2" t="s">
        <v>232</v>
      </c>
      <c r="AN835" s="2" t="s">
        <v>3311</v>
      </c>
      <c r="AO835" s="2" t="s">
        <v>82</v>
      </c>
      <c r="AP835" s="2">
        <v>11</v>
      </c>
      <c r="AQ835" s="2" t="s">
        <v>82</v>
      </c>
      <c r="AR835" s="2"/>
      <c r="AS835" s="2"/>
      <c r="AT835" s="2" t="s">
        <v>3312</v>
      </c>
      <c r="AU835" s="2"/>
      <c r="AV835" s="2"/>
      <c r="AW835" s="2"/>
      <c r="AX835" s="2"/>
      <c r="AY835" s="2">
        <v>41</v>
      </c>
      <c r="AZ835" s="2" t="s">
        <v>82</v>
      </c>
      <c r="BA835" s="2">
        <v>41</v>
      </c>
      <c r="BB835" s="2" t="s">
        <v>82</v>
      </c>
      <c r="BC835" s="2">
        <v>41</v>
      </c>
      <c r="BD835" s="2" t="s">
        <v>82</v>
      </c>
      <c r="BE835" s="2">
        <v>47</v>
      </c>
      <c r="BF835" s="2" t="s">
        <v>167</v>
      </c>
      <c r="BG835" s="2" t="s">
        <v>3313</v>
      </c>
      <c r="BH835" s="4">
        <v>0.82638888888888884</v>
      </c>
      <c r="BI835" s="4">
        <v>0.74305555555555547</v>
      </c>
      <c r="BJ835" s="2">
        <v>13</v>
      </c>
      <c r="BK835" s="2" t="s">
        <v>91</v>
      </c>
      <c r="BL835" s="2" t="s">
        <v>3314</v>
      </c>
      <c r="BM835" s="2">
        <v>241</v>
      </c>
      <c r="BN835" s="2" t="s">
        <v>82</v>
      </c>
      <c r="BO835" s="2"/>
      <c r="BP835" s="2">
        <v>13</v>
      </c>
      <c r="BQ835" s="2" t="s">
        <v>91</v>
      </c>
      <c r="BR835" s="2" t="s">
        <v>828</v>
      </c>
      <c r="BS835" s="3">
        <v>40243</v>
      </c>
      <c r="BT835" s="4">
        <v>0.71534722222222225</v>
      </c>
    </row>
    <row r="836" spans="1:72" x14ac:dyDescent="0.25">
      <c r="A836" s="2">
        <v>1319</v>
      </c>
      <c r="B836" s="2">
        <v>2010</v>
      </c>
      <c r="C836" s="2" t="s">
        <v>93</v>
      </c>
      <c r="D836" s="2" t="s">
        <v>73</v>
      </c>
      <c r="E836" s="2"/>
      <c r="F836" s="2">
        <v>530</v>
      </c>
      <c r="G836" s="2" t="s">
        <v>3315</v>
      </c>
      <c r="H836" s="2">
        <v>61</v>
      </c>
      <c r="I836" s="2" t="s">
        <v>3043</v>
      </c>
      <c r="J836" s="2">
        <v>461</v>
      </c>
      <c r="K836" s="2" t="s">
        <v>3316</v>
      </c>
      <c r="L836" s="2" t="s">
        <v>3317</v>
      </c>
      <c r="M836" s="3">
        <v>40243</v>
      </c>
      <c r="N836" s="2" t="s">
        <v>3318</v>
      </c>
      <c r="O836" s="2" t="s">
        <v>3319</v>
      </c>
      <c r="P836" s="2" t="s">
        <v>3320</v>
      </c>
      <c r="Q836" s="2" t="str">
        <f>""</f>
        <v/>
      </c>
      <c r="R836" s="2"/>
      <c r="S836" s="2"/>
      <c r="T836" s="2">
        <v>1</v>
      </c>
      <c r="U836" s="2" t="s">
        <v>79</v>
      </c>
      <c r="V836" s="2">
        <v>1</v>
      </c>
      <c r="W836" s="2" t="s">
        <v>80</v>
      </c>
      <c r="X836" s="2">
        <v>5</v>
      </c>
      <c r="Y836" s="2" t="s">
        <v>82</v>
      </c>
      <c r="Z836" s="2">
        <v>1</v>
      </c>
      <c r="AA836" s="2" t="s">
        <v>82</v>
      </c>
      <c r="AB836" s="2">
        <v>2</v>
      </c>
      <c r="AC836" s="2" t="s">
        <v>102</v>
      </c>
      <c r="AD836" s="3">
        <v>40243</v>
      </c>
      <c r="AE836" s="4">
        <v>0.34027777777777773</v>
      </c>
      <c r="AF836" s="2"/>
      <c r="AG836" s="2"/>
      <c r="AH836" s="2">
        <v>2</v>
      </c>
      <c r="AI836" s="2" t="s">
        <v>84</v>
      </c>
      <c r="AJ836" s="2">
        <v>10</v>
      </c>
      <c r="AK836" s="2" t="s">
        <v>3321</v>
      </c>
      <c r="AL836" s="2">
        <v>18</v>
      </c>
      <c r="AM836" s="2" t="s">
        <v>82</v>
      </c>
      <c r="AN836" s="2"/>
      <c r="AO836" s="2" t="s">
        <v>3322</v>
      </c>
      <c r="AP836" s="2">
        <v>11</v>
      </c>
      <c r="AQ836" s="2" t="s">
        <v>82</v>
      </c>
      <c r="AR836" s="2"/>
      <c r="AS836" s="2"/>
      <c r="AT836" s="2" t="s">
        <v>3323</v>
      </c>
      <c r="AU836" s="2">
        <v>1</v>
      </c>
      <c r="AV836" s="2"/>
      <c r="AW836" s="2"/>
      <c r="AX836" s="2"/>
      <c r="AY836" s="2">
        <v>41</v>
      </c>
      <c r="AZ836" s="2" t="s">
        <v>82</v>
      </c>
      <c r="BA836" s="2">
        <v>41</v>
      </c>
      <c r="BB836" s="2" t="s">
        <v>82</v>
      </c>
      <c r="BC836" s="2">
        <v>41</v>
      </c>
      <c r="BD836" s="2" t="s">
        <v>82</v>
      </c>
      <c r="BE836" s="2">
        <v>13</v>
      </c>
      <c r="BF836" s="2" t="s">
        <v>108</v>
      </c>
      <c r="BG836" s="2" t="s">
        <v>3324</v>
      </c>
      <c r="BH836" s="4">
        <v>0.33680555555555558</v>
      </c>
      <c r="BI836" s="4">
        <v>0.2638888888888889</v>
      </c>
      <c r="BJ836" s="2">
        <v>13</v>
      </c>
      <c r="BK836" s="2" t="s">
        <v>91</v>
      </c>
      <c r="BL836" s="2" t="s">
        <v>170</v>
      </c>
      <c r="BM836" s="2">
        <v>241</v>
      </c>
      <c r="BN836" s="2" t="s">
        <v>82</v>
      </c>
      <c r="BO836" s="2" t="s">
        <v>82</v>
      </c>
      <c r="BP836" s="2">
        <v>13</v>
      </c>
      <c r="BQ836" s="2" t="s">
        <v>91</v>
      </c>
      <c r="BR836" s="2" t="s">
        <v>3325</v>
      </c>
      <c r="BS836" s="3">
        <v>40243</v>
      </c>
      <c r="BT836" s="4">
        <v>0.73130787037037026</v>
      </c>
    </row>
    <row r="837" spans="1:72" x14ac:dyDescent="0.25">
      <c r="A837" s="2">
        <v>1319</v>
      </c>
      <c r="B837" s="2">
        <v>2010</v>
      </c>
      <c r="C837" s="2" t="s">
        <v>806</v>
      </c>
      <c r="D837" s="2" t="s">
        <v>73</v>
      </c>
      <c r="E837" s="2"/>
      <c r="F837" s="2">
        <v>530</v>
      </c>
      <c r="G837" s="2" t="s">
        <v>3315</v>
      </c>
      <c r="H837" s="2">
        <v>61</v>
      </c>
      <c r="I837" s="2" t="s">
        <v>3043</v>
      </c>
      <c r="J837" s="2">
        <v>461</v>
      </c>
      <c r="K837" s="2" t="s">
        <v>3316</v>
      </c>
      <c r="L837" s="2" t="s">
        <v>3317</v>
      </c>
      <c r="M837" s="3">
        <v>40243</v>
      </c>
      <c r="N837" s="2" t="s">
        <v>3318</v>
      </c>
      <c r="O837" s="2" t="s">
        <v>3319</v>
      </c>
      <c r="P837" s="2" t="s">
        <v>3320</v>
      </c>
      <c r="Q837" s="2" t="str">
        <f>""</f>
        <v/>
      </c>
      <c r="R837" s="2"/>
      <c r="S837" s="2"/>
      <c r="T837" s="2">
        <v>1</v>
      </c>
      <c r="U837" s="2" t="s">
        <v>79</v>
      </c>
      <c r="V837" s="2">
        <v>1</v>
      </c>
      <c r="W837" s="2" t="s">
        <v>80</v>
      </c>
      <c r="X837" s="2">
        <v>5</v>
      </c>
      <c r="Y837" s="2" t="s">
        <v>82</v>
      </c>
      <c r="Z837" s="2">
        <v>1</v>
      </c>
      <c r="AA837" s="2" t="s">
        <v>82</v>
      </c>
      <c r="AB837" s="2">
        <v>9</v>
      </c>
      <c r="AC837" s="2" t="s">
        <v>124</v>
      </c>
      <c r="AD837" s="3">
        <v>40243</v>
      </c>
      <c r="AE837" s="4">
        <v>0.34027777777777773</v>
      </c>
      <c r="AF837" s="2"/>
      <c r="AG837" s="2"/>
      <c r="AH837" s="2">
        <v>2</v>
      </c>
      <c r="AI837" s="2" t="s">
        <v>84</v>
      </c>
      <c r="AJ837" s="2">
        <v>10</v>
      </c>
      <c r="AK837" s="2" t="s">
        <v>3321</v>
      </c>
      <c r="AL837" s="2">
        <v>18</v>
      </c>
      <c r="AM837" s="2" t="s">
        <v>82</v>
      </c>
      <c r="AN837" s="2"/>
      <c r="AO837" s="2" t="s">
        <v>3322</v>
      </c>
      <c r="AP837" s="2">
        <v>11</v>
      </c>
      <c r="AQ837" s="2" t="s">
        <v>82</v>
      </c>
      <c r="AR837" s="2"/>
      <c r="AS837" s="2"/>
      <c r="AT837" s="2" t="s">
        <v>3323</v>
      </c>
      <c r="AU837" s="2">
        <v>1</v>
      </c>
      <c r="AV837" s="2"/>
      <c r="AW837" s="2"/>
      <c r="AX837" s="2"/>
      <c r="AY837" s="2">
        <v>41</v>
      </c>
      <c r="AZ837" s="2" t="s">
        <v>82</v>
      </c>
      <c r="BA837" s="2">
        <v>41</v>
      </c>
      <c r="BB837" s="2" t="s">
        <v>82</v>
      </c>
      <c r="BC837" s="2">
        <v>41</v>
      </c>
      <c r="BD837" s="2" t="s">
        <v>82</v>
      </c>
      <c r="BE837" s="2">
        <v>13</v>
      </c>
      <c r="BF837" s="2" t="s">
        <v>108</v>
      </c>
      <c r="BG837" s="2" t="s">
        <v>3324</v>
      </c>
      <c r="BH837" s="4">
        <v>0.33680555555555558</v>
      </c>
      <c r="BI837" s="4">
        <v>0.2638888888888889</v>
      </c>
      <c r="BJ837" s="2">
        <v>13</v>
      </c>
      <c r="BK837" s="2" t="s">
        <v>91</v>
      </c>
      <c r="BL837" s="2" t="s">
        <v>170</v>
      </c>
      <c r="BM837" s="2">
        <v>241</v>
      </c>
      <c r="BN837" s="2" t="s">
        <v>82</v>
      </c>
      <c r="BO837" s="2" t="s">
        <v>82</v>
      </c>
      <c r="BP837" s="2">
        <v>13</v>
      </c>
      <c r="BQ837" s="2" t="s">
        <v>91</v>
      </c>
      <c r="BR837" s="2" t="s">
        <v>3325</v>
      </c>
      <c r="BS837" s="3">
        <v>40243</v>
      </c>
      <c r="BT837" s="4">
        <v>0.73130787037037026</v>
      </c>
    </row>
    <row r="838" spans="1:72" x14ac:dyDescent="0.25">
      <c r="A838" s="2">
        <v>1320</v>
      </c>
      <c r="B838" s="2">
        <v>2010</v>
      </c>
      <c r="C838" s="2" t="s">
        <v>171</v>
      </c>
      <c r="D838" s="2" t="s">
        <v>73</v>
      </c>
      <c r="E838" s="2"/>
      <c r="F838" s="2">
        <v>398</v>
      </c>
      <c r="G838" s="2" t="s">
        <v>94</v>
      </c>
      <c r="H838" s="2">
        <v>13</v>
      </c>
      <c r="I838" s="2" t="s">
        <v>2229</v>
      </c>
      <c r="J838" s="2">
        <v>245</v>
      </c>
      <c r="K838" s="2" t="s">
        <v>96</v>
      </c>
      <c r="L838" s="2" t="s">
        <v>97</v>
      </c>
      <c r="M838" s="3">
        <v>40243</v>
      </c>
      <c r="N838" s="2" t="s">
        <v>1938</v>
      </c>
      <c r="O838" s="2" t="s">
        <v>107</v>
      </c>
      <c r="P838" s="2" t="s">
        <v>107</v>
      </c>
      <c r="Q838" s="2" t="str">
        <f>"N/C"</f>
        <v>N/C</v>
      </c>
      <c r="R838" s="2" t="s">
        <v>107</v>
      </c>
      <c r="S838" s="2" t="s">
        <v>82</v>
      </c>
      <c r="T838" s="2">
        <v>1</v>
      </c>
      <c r="U838" s="2" t="s">
        <v>79</v>
      </c>
      <c r="V838" s="2">
        <v>1</v>
      </c>
      <c r="W838" s="2" t="s">
        <v>80</v>
      </c>
      <c r="X838" s="2">
        <v>3</v>
      </c>
      <c r="Y838" s="2" t="s">
        <v>698</v>
      </c>
      <c r="Z838" s="2">
        <v>2</v>
      </c>
      <c r="AA838" s="2" t="s">
        <v>2148</v>
      </c>
      <c r="AB838" s="2">
        <v>1</v>
      </c>
      <c r="AC838" s="2" t="s">
        <v>178</v>
      </c>
      <c r="AD838" s="3">
        <v>40243</v>
      </c>
      <c r="AE838" s="4">
        <v>0.73958333333333337</v>
      </c>
      <c r="AF838" s="2"/>
      <c r="AG838" s="2"/>
      <c r="AH838" s="2">
        <v>2</v>
      </c>
      <c r="AI838" s="2" t="s">
        <v>84</v>
      </c>
      <c r="AJ838" s="2">
        <v>9</v>
      </c>
      <c r="AK838" s="2" t="s">
        <v>103</v>
      </c>
      <c r="AL838" s="2">
        <v>16</v>
      </c>
      <c r="AM838" s="2" t="s">
        <v>392</v>
      </c>
      <c r="AN838" s="2" t="s">
        <v>3326</v>
      </c>
      <c r="AO838" s="2" t="s">
        <v>82</v>
      </c>
      <c r="AP838" s="2">
        <v>6</v>
      </c>
      <c r="AQ838" s="2" t="s">
        <v>394</v>
      </c>
      <c r="AR838" s="2" t="s">
        <v>3327</v>
      </c>
      <c r="AS838" s="2" t="s">
        <v>3328</v>
      </c>
      <c r="AT838" s="2" t="s">
        <v>3329</v>
      </c>
      <c r="AU838" s="2"/>
      <c r="AV838" s="2"/>
      <c r="AW838" s="2"/>
      <c r="AX838" s="2"/>
      <c r="AY838" s="2">
        <v>41</v>
      </c>
      <c r="AZ838" s="2" t="s">
        <v>82</v>
      </c>
      <c r="BA838" s="2">
        <v>41</v>
      </c>
      <c r="BB838" s="2" t="s">
        <v>82</v>
      </c>
      <c r="BC838" s="2">
        <v>41</v>
      </c>
      <c r="BD838" s="2" t="s">
        <v>82</v>
      </c>
      <c r="BE838" s="2">
        <v>31</v>
      </c>
      <c r="BF838" s="2" t="s">
        <v>398</v>
      </c>
      <c r="BG838" s="2" t="s">
        <v>399</v>
      </c>
      <c r="BH838" s="2"/>
      <c r="BI838" s="2"/>
      <c r="BJ838" s="2">
        <v>13</v>
      </c>
      <c r="BK838" s="2" t="s">
        <v>91</v>
      </c>
      <c r="BL838" s="2" t="s">
        <v>723</v>
      </c>
      <c r="BM838" s="2">
        <v>73</v>
      </c>
      <c r="BN838" s="2" t="s">
        <v>186</v>
      </c>
      <c r="BO838" s="2" t="s">
        <v>187</v>
      </c>
      <c r="BP838" s="2">
        <v>110</v>
      </c>
      <c r="BQ838" s="2" t="s">
        <v>3330</v>
      </c>
      <c r="BR838" s="2" t="s">
        <v>3331</v>
      </c>
      <c r="BS838" s="3">
        <v>40243</v>
      </c>
      <c r="BT838" s="4">
        <v>0.91331018518518514</v>
      </c>
    </row>
    <row r="839" spans="1:72" x14ac:dyDescent="0.25">
      <c r="A839" s="2">
        <v>1322</v>
      </c>
      <c r="B839" s="2">
        <v>2010</v>
      </c>
      <c r="C839" s="2" t="s">
        <v>409</v>
      </c>
      <c r="D839" s="2" t="s">
        <v>73</v>
      </c>
      <c r="E839" s="2"/>
      <c r="F839" s="2">
        <v>52</v>
      </c>
      <c r="G839" s="2" t="s">
        <v>2963</v>
      </c>
      <c r="H839" s="2">
        <v>57</v>
      </c>
      <c r="I839" s="2" t="s">
        <v>3043</v>
      </c>
      <c r="J839" s="2">
        <v>87</v>
      </c>
      <c r="K839" s="2" t="s">
        <v>2964</v>
      </c>
      <c r="L839" s="2" t="s">
        <v>2534</v>
      </c>
      <c r="M839" s="3">
        <v>40244</v>
      </c>
      <c r="N839" s="2" t="s">
        <v>3332</v>
      </c>
      <c r="O839" s="2" t="s">
        <v>3333</v>
      </c>
      <c r="P839" s="2" t="s">
        <v>3334</v>
      </c>
      <c r="Q839" s="2" t="str">
        <f>"S/D"</f>
        <v>S/D</v>
      </c>
      <c r="R839" s="2" t="s">
        <v>107</v>
      </c>
      <c r="S839" s="2" t="s">
        <v>107</v>
      </c>
      <c r="T839" s="2">
        <v>1</v>
      </c>
      <c r="U839" s="2" t="s">
        <v>79</v>
      </c>
      <c r="V839" s="2">
        <v>1</v>
      </c>
      <c r="W839" s="2" t="s">
        <v>80</v>
      </c>
      <c r="X839" s="2">
        <v>2</v>
      </c>
      <c r="Y839" s="2" t="s">
        <v>136</v>
      </c>
      <c r="Z839" s="2">
        <v>1</v>
      </c>
      <c r="AA839" s="2" t="s">
        <v>82</v>
      </c>
      <c r="AB839" s="2">
        <v>9</v>
      </c>
      <c r="AC839" s="2" t="s">
        <v>124</v>
      </c>
      <c r="AD839" s="3">
        <v>40243</v>
      </c>
      <c r="AE839" s="4">
        <v>0.88888888888888884</v>
      </c>
      <c r="AF839" s="2"/>
      <c r="AG839" s="2"/>
      <c r="AH839" s="2">
        <v>7</v>
      </c>
      <c r="AI839" s="2" t="s">
        <v>801</v>
      </c>
      <c r="AJ839" s="2">
        <v>3</v>
      </c>
      <c r="AK839" s="2" t="s">
        <v>802</v>
      </c>
      <c r="AL839" s="2">
        <v>13</v>
      </c>
      <c r="AM839" s="2" t="s">
        <v>117</v>
      </c>
      <c r="AN839" s="2"/>
      <c r="AO839" s="2" t="s">
        <v>3335</v>
      </c>
      <c r="AP839" s="2">
        <v>11</v>
      </c>
      <c r="AQ839" s="2" t="s">
        <v>82</v>
      </c>
      <c r="AR839" s="2"/>
      <c r="AS839" s="2"/>
      <c r="AT839" s="2" t="s">
        <v>3336</v>
      </c>
      <c r="AU839" s="2">
        <v>2</v>
      </c>
      <c r="AV839" s="2"/>
      <c r="AW839" s="2"/>
      <c r="AX839" s="2"/>
      <c r="AY839" s="2">
        <v>41</v>
      </c>
      <c r="AZ839" s="2" t="s">
        <v>82</v>
      </c>
      <c r="BA839" s="2">
        <v>41</v>
      </c>
      <c r="BB839" s="2" t="s">
        <v>82</v>
      </c>
      <c r="BC839" s="2">
        <v>1</v>
      </c>
      <c r="BD839" s="2" t="s">
        <v>107</v>
      </c>
      <c r="BE839" s="2">
        <v>13</v>
      </c>
      <c r="BF839" s="2" t="s">
        <v>108</v>
      </c>
      <c r="BG839" s="2" t="s">
        <v>3337</v>
      </c>
      <c r="BH839" s="4">
        <v>0.875</v>
      </c>
      <c r="BI839" s="2"/>
      <c r="BJ839" s="2">
        <v>33</v>
      </c>
      <c r="BK839" s="2" t="s">
        <v>361</v>
      </c>
      <c r="BL839" s="2" t="s">
        <v>1739</v>
      </c>
      <c r="BM839" s="2">
        <v>241</v>
      </c>
      <c r="BN839" s="2" t="s">
        <v>82</v>
      </c>
      <c r="BO839" s="2"/>
      <c r="BP839" s="2">
        <v>13</v>
      </c>
      <c r="BQ839" s="2" t="s">
        <v>91</v>
      </c>
      <c r="BR839" s="2" t="s">
        <v>185</v>
      </c>
      <c r="BS839" s="3">
        <v>40244</v>
      </c>
      <c r="BT839" s="4">
        <v>2.224537037037037E-2</v>
      </c>
    </row>
    <row r="840" spans="1:72" x14ac:dyDescent="0.25">
      <c r="A840" s="2">
        <v>1322</v>
      </c>
      <c r="B840" s="2">
        <v>2010</v>
      </c>
      <c r="C840" s="2" t="s">
        <v>806</v>
      </c>
      <c r="D840" s="2" t="s">
        <v>73</v>
      </c>
      <c r="E840" s="2"/>
      <c r="F840" s="2">
        <v>52</v>
      </c>
      <c r="G840" s="2" t="s">
        <v>2963</v>
      </c>
      <c r="H840" s="2">
        <v>57</v>
      </c>
      <c r="I840" s="2" t="s">
        <v>3043</v>
      </c>
      <c r="J840" s="2">
        <v>87</v>
      </c>
      <c r="K840" s="2" t="s">
        <v>2964</v>
      </c>
      <c r="L840" s="2" t="s">
        <v>2534</v>
      </c>
      <c r="M840" s="3">
        <v>40244</v>
      </c>
      <c r="N840" s="2" t="s">
        <v>3332</v>
      </c>
      <c r="O840" s="2" t="s">
        <v>3333</v>
      </c>
      <c r="P840" s="2" t="s">
        <v>3334</v>
      </c>
      <c r="Q840" s="2" t="str">
        <f>"S/D"</f>
        <v>S/D</v>
      </c>
      <c r="R840" s="2" t="s">
        <v>107</v>
      </c>
      <c r="S840" s="2" t="s">
        <v>107</v>
      </c>
      <c r="T840" s="2">
        <v>1</v>
      </c>
      <c r="U840" s="2" t="s">
        <v>79</v>
      </c>
      <c r="V840" s="2">
        <v>1</v>
      </c>
      <c r="W840" s="2" t="s">
        <v>80</v>
      </c>
      <c r="X840" s="2">
        <v>2</v>
      </c>
      <c r="Y840" s="2" t="s">
        <v>136</v>
      </c>
      <c r="Z840" s="2">
        <v>1</v>
      </c>
      <c r="AA840" s="2" t="s">
        <v>82</v>
      </c>
      <c r="AB840" s="2">
        <v>9</v>
      </c>
      <c r="AC840" s="2" t="s">
        <v>124</v>
      </c>
      <c r="AD840" s="3">
        <v>40243</v>
      </c>
      <c r="AE840" s="4">
        <v>0.88888888888888884</v>
      </c>
      <c r="AF840" s="2"/>
      <c r="AG840" s="2"/>
      <c r="AH840" s="2">
        <v>7</v>
      </c>
      <c r="AI840" s="2" t="s">
        <v>801</v>
      </c>
      <c r="AJ840" s="2">
        <v>3</v>
      </c>
      <c r="AK840" s="2" t="s">
        <v>802</v>
      </c>
      <c r="AL840" s="2">
        <v>13</v>
      </c>
      <c r="AM840" s="2" t="s">
        <v>117</v>
      </c>
      <c r="AN840" s="2"/>
      <c r="AO840" s="2" t="s">
        <v>3335</v>
      </c>
      <c r="AP840" s="2">
        <v>11</v>
      </c>
      <c r="AQ840" s="2" t="s">
        <v>82</v>
      </c>
      <c r="AR840" s="2"/>
      <c r="AS840" s="2"/>
      <c r="AT840" s="2" t="s">
        <v>3336</v>
      </c>
      <c r="AU840" s="2">
        <v>2</v>
      </c>
      <c r="AV840" s="2"/>
      <c r="AW840" s="2"/>
      <c r="AX840" s="2"/>
      <c r="AY840" s="2">
        <v>41</v>
      </c>
      <c r="AZ840" s="2" t="s">
        <v>82</v>
      </c>
      <c r="BA840" s="2">
        <v>41</v>
      </c>
      <c r="BB840" s="2" t="s">
        <v>82</v>
      </c>
      <c r="BC840" s="2">
        <v>1</v>
      </c>
      <c r="BD840" s="2" t="s">
        <v>107</v>
      </c>
      <c r="BE840" s="2">
        <v>13</v>
      </c>
      <c r="BF840" s="2" t="s">
        <v>108</v>
      </c>
      <c r="BG840" s="2" t="s">
        <v>3337</v>
      </c>
      <c r="BH840" s="4">
        <v>0.875</v>
      </c>
      <c r="BI840" s="2"/>
      <c r="BJ840" s="2">
        <v>33</v>
      </c>
      <c r="BK840" s="2" t="s">
        <v>361</v>
      </c>
      <c r="BL840" s="2" t="s">
        <v>1739</v>
      </c>
      <c r="BM840" s="2">
        <v>241</v>
      </c>
      <c r="BN840" s="2" t="s">
        <v>82</v>
      </c>
      <c r="BO840" s="2"/>
      <c r="BP840" s="2">
        <v>13</v>
      </c>
      <c r="BQ840" s="2" t="s">
        <v>91</v>
      </c>
      <c r="BR840" s="2" t="s">
        <v>185</v>
      </c>
      <c r="BS840" s="3">
        <v>40244</v>
      </c>
      <c r="BT840" s="4">
        <v>2.224537037037037E-2</v>
      </c>
    </row>
    <row r="841" spans="1:72" x14ac:dyDescent="0.25">
      <c r="A841" s="2">
        <v>1323</v>
      </c>
      <c r="B841" s="2">
        <v>2010</v>
      </c>
      <c r="C841" s="2" t="s">
        <v>196</v>
      </c>
      <c r="D841" s="2" t="s">
        <v>122</v>
      </c>
      <c r="E841" s="2"/>
      <c r="F841" s="2">
        <v>1</v>
      </c>
      <c r="G841" s="2" t="s">
        <v>82</v>
      </c>
      <c r="H841" s="2">
        <v>1</v>
      </c>
      <c r="I841" s="2" t="s">
        <v>82</v>
      </c>
      <c r="J841" s="2">
        <v>1</v>
      </c>
      <c r="K841" s="2" t="s">
        <v>107</v>
      </c>
      <c r="L841" s="2" t="s">
        <v>107</v>
      </c>
      <c r="M841" s="3">
        <v>40244</v>
      </c>
      <c r="N841" s="2"/>
      <c r="O841" s="2"/>
      <c r="P841" s="2"/>
      <c r="Q841" s="2" t="str">
        <f>""</f>
        <v/>
      </c>
      <c r="R841" s="2"/>
      <c r="S841" s="2"/>
      <c r="T841" s="2">
        <v>2</v>
      </c>
      <c r="U841" s="2" t="s">
        <v>123</v>
      </c>
      <c r="V841" s="2">
        <v>1</v>
      </c>
      <c r="W841" s="2" t="s">
        <v>80</v>
      </c>
      <c r="X841" s="2">
        <v>5</v>
      </c>
      <c r="Y841" s="2" t="s">
        <v>82</v>
      </c>
      <c r="Z841" s="2">
        <v>1</v>
      </c>
      <c r="AA841" s="2" t="s">
        <v>82</v>
      </c>
      <c r="AB841" s="2">
        <v>9</v>
      </c>
      <c r="AC841" s="2" t="s">
        <v>124</v>
      </c>
      <c r="AD841" s="3">
        <v>40244</v>
      </c>
      <c r="AE841" s="4">
        <v>0.66319444444444442</v>
      </c>
      <c r="AF841" s="2"/>
      <c r="AG841" s="2"/>
      <c r="AH841" s="2">
        <v>6</v>
      </c>
      <c r="AI841" s="2" t="s">
        <v>197</v>
      </c>
      <c r="AJ841" s="2">
        <v>59</v>
      </c>
      <c r="AK841" s="2" t="s">
        <v>198</v>
      </c>
      <c r="AL841" s="2">
        <v>18</v>
      </c>
      <c r="AM841" s="2" t="s">
        <v>82</v>
      </c>
      <c r="AN841" s="2" t="s">
        <v>259</v>
      </c>
      <c r="AO841" s="2" t="s">
        <v>230</v>
      </c>
      <c r="AP841" s="2">
        <v>11</v>
      </c>
      <c r="AQ841" s="2" t="s">
        <v>82</v>
      </c>
      <c r="AR841" s="2"/>
      <c r="AS841" s="2"/>
      <c r="AT841" s="2" t="s">
        <v>3338</v>
      </c>
      <c r="AU841" s="2"/>
      <c r="AV841" s="2"/>
      <c r="AW841" s="2"/>
      <c r="AX841" s="2"/>
      <c r="AY841" s="2">
        <v>1</v>
      </c>
      <c r="AZ841" s="2" t="s">
        <v>107</v>
      </c>
      <c r="BA841" s="2">
        <v>1</v>
      </c>
      <c r="BB841" s="2" t="s">
        <v>107</v>
      </c>
      <c r="BC841" s="2">
        <v>1</v>
      </c>
      <c r="BD841" s="2" t="s">
        <v>107</v>
      </c>
      <c r="BE841" s="2">
        <v>1</v>
      </c>
      <c r="BF841" s="2" t="s">
        <v>107</v>
      </c>
      <c r="BG841" s="2"/>
      <c r="BH841" s="2"/>
      <c r="BI841" s="4">
        <v>0.66319444444444442</v>
      </c>
      <c r="BJ841" s="2">
        <v>242</v>
      </c>
      <c r="BK841" s="2" t="s">
        <v>107</v>
      </c>
      <c r="BL841" s="2" t="s">
        <v>3339</v>
      </c>
      <c r="BM841" s="2">
        <v>242</v>
      </c>
      <c r="BN841" s="2" t="s">
        <v>107</v>
      </c>
      <c r="BO841" s="2"/>
      <c r="BP841" s="2">
        <v>242</v>
      </c>
      <c r="BQ841" s="2" t="s">
        <v>107</v>
      </c>
      <c r="BR841" s="2"/>
      <c r="BS841" s="3">
        <v>40244</v>
      </c>
      <c r="BT841" s="4">
        <v>0.66449074074074077</v>
      </c>
    </row>
    <row r="842" spans="1:72" x14ac:dyDescent="0.25">
      <c r="A842" s="2">
        <v>1324</v>
      </c>
      <c r="B842" s="2">
        <v>2010</v>
      </c>
      <c r="C842" s="2" t="s">
        <v>121</v>
      </c>
      <c r="D842" s="2" t="s">
        <v>122</v>
      </c>
      <c r="E842" s="2"/>
      <c r="F842" s="2">
        <v>1</v>
      </c>
      <c r="G842" s="2" t="s">
        <v>82</v>
      </c>
      <c r="H842" s="2">
        <v>1</v>
      </c>
      <c r="I842" s="2" t="s">
        <v>82</v>
      </c>
      <c r="J842" s="2">
        <v>1</v>
      </c>
      <c r="K842" s="2" t="s">
        <v>107</v>
      </c>
      <c r="L842" s="2" t="s">
        <v>107</v>
      </c>
      <c r="M842" s="3">
        <v>40244</v>
      </c>
      <c r="N842" s="2"/>
      <c r="O842" s="2"/>
      <c r="P842" s="2"/>
      <c r="Q842" s="2" t="str">
        <f>""</f>
        <v/>
      </c>
      <c r="R842" s="2"/>
      <c r="S842" s="2"/>
      <c r="T842" s="2">
        <v>2</v>
      </c>
      <c r="U842" s="2" t="s">
        <v>123</v>
      </c>
      <c r="V842" s="2">
        <v>1</v>
      </c>
      <c r="W842" s="2" t="s">
        <v>80</v>
      </c>
      <c r="X842" s="2">
        <v>1</v>
      </c>
      <c r="Y842" s="2" t="s">
        <v>81</v>
      </c>
      <c r="Z842" s="2">
        <v>1</v>
      </c>
      <c r="AA842" s="2" t="s">
        <v>82</v>
      </c>
      <c r="AB842" s="2">
        <v>9</v>
      </c>
      <c r="AC842" s="2" t="s">
        <v>124</v>
      </c>
      <c r="AD842" s="3">
        <v>40244</v>
      </c>
      <c r="AE842" s="4">
        <v>0.66666666666666663</v>
      </c>
      <c r="AF842" s="2"/>
      <c r="AG842" s="2"/>
      <c r="AH842" s="2">
        <v>6</v>
      </c>
      <c r="AI842" s="2" t="s">
        <v>197</v>
      </c>
      <c r="AJ842" s="2">
        <v>51</v>
      </c>
      <c r="AK842" s="2" t="s">
        <v>238</v>
      </c>
      <c r="AL842" s="2">
        <v>10</v>
      </c>
      <c r="AM842" s="2" t="s">
        <v>200</v>
      </c>
      <c r="AN842" s="2" t="s">
        <v>82</v>
      </c>
      <c r="AO842" s="2" t="s">
        <v>230</v>
      </c>
      <c r="AP842" s="2">
        <v>11</v>
      </c>
      <c r="AQ842" s="2" t="s">
        <v>82</v>
      </c>
      <c r="AR842" s="2" t="s">
        <v>82</v>
      </c>
      <c r="AS842" s="2" t="s">
        <v>82</v>
      </c>
      <c r="AT842" s="2" t="s">
        <v>3340</v>
      </c>
      <c r="AU842" s="2"/>
      <c r="AV842" s="2"/>
      <c r="AW842" s="2"/>
      <c r="AX842" s="2"/>
      <c r="AY842" s="2">
        <v>41</v>
      </c>
      <c r="AZ842" s="2" t="s">
        <v>82</v>
      </c>
      <c r="BA842" s="2">
        <v>41</v>
      </c>
      <c r="BB842" s="2" t="s">
        <v>82</v>
      </c>
      <c r="BC842" s="2">
        <v>41</v>
      </c>
      <c r="BD842" s="2" t="s">
        <v>82</v>
      </c>
      <c r="BE842" s="2">
        <v>41</v>
      </c>
      <c r="BF842" s="2" t="s">
        <v>82</v>
      </c>
      <c r="BG842" s="2" t="s">
        <v>3341</v>
      </c>
      <c r="BH842" s="4">
        <v>0.64583333333333337</v>
      </c>
      <c r="BI842" s="4">
        <v>0.6875</v>
      </c>
      <c r="BJ842" s="2">
        <v>33</v>
      </c>
      <c r="BK842" s="2" t="s">
        <v>361</v>
      </c>
      <c r="BL842" s="2" t="s">
        <v>3342</v>
      </c>
      <c r="BM842" s="2">
        <v>13</v>
      </c>
      <c r="BN842" s="2" t="s">
        <v>91</v>
      </c>
      <c r="BO842" s="2" t="s">
        <v>241</v>
      </c>
      <c r="BP842" s="2">
        <v>46</v>
      </c>
      <c r="BQ842" s="2" t="s">
        <v>307</v>
      </c>
      <c r="BR842" s="2" t="s">
        <v>3343</v>
      </c>
      <c r="BS842" s="3">
        <v>40244</v>
      </c>
      <c r="BT842" s="4">
        <v>0.69670138888888899</v>
      </c>
    </row>
    <row r="843" spans="1:72" x14ac:dyDescent="0.25">
      <c r="A843" s="2">
        <v>1325</v>
      </c>
      <c r="B843" s="2">
        <v>2010</v>
      </c>
      <c r="C843" s="2" t="s">
        <v>196</v>
      </c>
      <c r="D843" s="2" t="s">
        <v>122</v>
      </c>
      <c r="E843" s="2"/>
      <c r="F843" s="2">
        <v>1</v>
      </c>
      <c r="G843" s="2" t="s">
        <v>82</v>
      </c>
      <c r="H843" s="2">
        <v>1</v>
      </c>
      <c r="I843" s="2" t="s">
        <v>82</v>
      </c>
      <c r="J843" s="2">
        <v>1</v>
      </c>
      <c r="K843" s="2" t="s">
        <v>107</v>
      </c>
      <c r="L843" s="2" t="s">
        <v>107</v>
      </c>
      <c r="M843" s="3">
        <v>40244</v>
      </c>
      <c r="N843" s="2"/>
      <c r="O843" s="2"/>
      <c r="P843" s="2"/>
      <c r="Q843" s="2" t="str">
        <f>""</f>
        <v/>
      </c>
      <c r="R843" s="2"/>
      <c r="S843" s="2"/>
      <c r="T843" s="2">
        <v>2</v>
      </c>
      <c r="U843" s="2" t="s">
        <v>123</v>
      </c>
      <c r="V843" s="2">
        <v>1</v>
      </c>
      <c r="W843" s="2" t="s">
        <v>80</v>
      </c>
      <c r="X843" s="2">
        <v>1</v>
      </c>
      <c r="Y843" s="2" t="s">
        <v>81</v>
      </c>
      <c r="Z843" s="2">
        <v>10</v>
      </c>
      <c r="AA843" s="2" t="s">
        <v>236</v>
      </c>
      <c r="AB843" s="2">
        <v>9</v>
      </c>
      <c r="AC843" s="2" t="s">
        <v>124</v>
      </c>
      <c r="AD843" s="3">
        <v>40244</v>
      </c>
      <c r="AE843" s="4">
        <v>0.70833333333333337</v>
      </c>
      <c r="AF843" s="2"/>
      <c r="AG843" s="2"/>
      <c r="AH843" s="2">
        <v>2</v>
      </c>
      <c r="AI843" s="2" t="s">
        <v>84</v>
      </c>
      <c r="AJ843" s="2">
        <v>12</v>
      </c>
      <c r="AK843" s="2" t="s">
        <v>85</v>
      </c>
      <c r="AL843" s="2">
        <v>20</v>
      </c>
      <c r="AM843" s="2" t="s">
        <v>992</v>
      </c>
      <c r="AN843" s="2" t="s">
        <v>992</v>
      </c>
      <c r="AO843" s="2" t="s">
        <v>107</v>
      </c>
      <c r="AP843" s="2">
        <v>11</v>
      </c>
      <c r="AQ843" s="2" t="s">
        <v>82</v>
      </c>
      <c r="AR843" s="2"/>
      <c r="AS843" s="2"/>
      <c r="AT843" s="2" t="s">
        <v>3344</v>
      </c>
      <c r="AU843" s="2"/>
      <c r="AV843" s="2"/>
      <c r="AW843" s="2"/>
      <c r="AX843" s="2"/>
      <c r="AY843" s="2">
        <v>41</v>
      </c>
      <c r="AZ843" s="2" t="s">
        <v>82</v>
      </c>
      <c r="BA843" s="2">
        <v>41</v>
      </c>
      <c r="BB843" s="2" t="s">
        <v>82</v>
      </c>
      <c r="BC843" s="2">
        <v>41</v>
      </c>
      <c r="BD843" s="2" t="s">
        <v>82</v>
      </c>
      <c r="BE843" s="2">
        <v>41</v>
      </c>
      <c r="BF843" s="2" t="s">
        <v>82</v>
      </c>
      <c r="BG843" s="2"/>
      <c r="BH843" s="4">
        <v>0.77500000000000002</v>
      </c>
      <c r="BI843" s="4">
        <v>0.65972222222222221</v>
      </c>
      <c r="BJ843" s="2">
        <v>13</v>
      </c>
      <c r="BK843" s="2" t="s">
        <v>91</v>
      </c>
      <c r="BL843" s="2" t="s">
        <v>204</v>
      </c>
      <c r="BM843" s="2">
        <v>241</v>
      </c>
      <c r="BN843" s="2" t="s">
        <v>82</v>
      </c>
      <c r="BO843" s="2" t="s">
        <v>82</v>
      </c>
      <c r="BP843" s="2">
        <v>13</v>
      </c>
      <c r="BQ843" s="2" t="s">
        <v>91</v>
      </c>
      <c r="BR843" s="2" t="s">
        <v>185</v>
      </c>
      <c r="BS843" s="3">
        <v>40244</v>
      </c>
      <c r="BT843" s="4">
        <v>0.79592592592592604</v>
      </c>
    </row>
    <row r="844" spans="1:72" x14ac:dyDescent="0.25">
      <c r="A844" s="2">
        <v>1326</v>
      </c>
      <c r="B844" s="2">
        <v>2010</v>
      </c>
      <c r="C844" s="2" t="s">
        <v>819</v>
      </c>
      <c r="D844" s="2" t="s">
        <v>122</v>
      </c>
      <c r="E844" s="2"/>
      <c r="F844" s="2">
        <v>451</v>
      </c>
      <c r="G844" s="2" t="s">
        <v>879</v>
      </c>
      <c r="H844" s="2">
        <v>31</v>
      </c>
      <c r="I844" s="2" t="s">
        <v>880</v>
      </c>
      <c r="J844" s="2">
        <v>326</v>
      </c>
      <c r="K844" s="2" t="s">
        <v>881</v>
      </c>
      <c r="L844" s="2" t="s">
        <v>882</v>
      </c>
      <c r="M844" s="3">
        <v>40244</v>
      </c>
      <c r="N844" s="2" t="s">
        <v>1072</v>
      </c>
      <c r="O844" s="2"/>
      <c r="P844" s="2"/>
      <c r="Q844" s="2" t="str">
        <f>"022/10"</f>
        <v>022/10</v>
      </c>
      <c r="R844" s="2"/>
      <c r="S844" s="2" t="s">
        <v>822</v>
      </c>
      <c r="T844" s="2">
        <v>1</v>
      </c>
      <c r="U844" s="2" t="s">
        <v>79</v>
      </c>
      <c r="V844" s="2">
        <v>1</v>
      </c>
      <c r="W844" s="2" t="s">
        <v>80</v>
      </c>
      <c r="X844" s="2">
        <v>1</v>
      </c>
      <c r="Y844" s="2" t="s">
        <v>81</v>
      </c>
      <c r="Z844" s="2">
        <v>10</v>
      </c>
      <c r="AA844" s="2" t="s">
        <v>236</v>
      </c>
      <c r="AB844" s="2">
        <v>9</v>
      </c>
      <c r="AC844" s="2" t="s">
        <v>124</v>
      </c>
      <c r="AD844" s="3">
        <v>40244</v>
      </c>
      <c r="AE844" s="4">
        <v>0.84722222222222221</v>
      </c>
      <c r="AF844" s="2"/>
      <c r="AG844" s="2"/>
      <c r="AH844" s="2">
        <v>4</v>
      </c>
      <c r="AI844" s="2" t="s">
        <v>125</v>
      </c>
      <c r="AJ844" s="2">
        <v>29</v>
      </c>
      <c r="AK844" s="2" t="s">
        <v>227</v>
      </c>
      <c r="AL844" s="2">
        <v>10</v>
      </c>
      <c r="AM844" s="2" t="s">
        <v>200</v>
      </c>
      <c r="AN844" s="2" t="s">
        <v>1015</v>
      </c>
      <c r="AO844" s="2" t="s">
        <v>200</v>
      </c>
      <c r="AP844" s="2">
        <v>12</v>
      </c>
      <c r="AQ844" s="2" t="s">
        <v>322</v>
      </c>
      <c r="AR844" s="2" t="s">
        <v>824</v>
      </c>
      <c r="AS844" s="2" t="s">
        <v>825</v>
      </c>
      <c r="AT844" s="2" t="s">
        <v>3345</v>
      </c>
      <c r="AU844" s="2"/>
      <c r="AV844" s="2"/>
      <c r="AW844" s="2"/>
      <c r="AX844" s="2"/>
      <c r="AY844" s="2">
        <v>41</v>
      </c>
      <c r="AZ844" s="2" t="s">
        <v>82</v>
      </c>
      <c r="BA844" s="2">
        <v>41</v>
      </c>
      <c r="BB844" s="2" t="s">
        <v>82</v>
      </c>
      <c r="BC844" s="2">
        <v>51</v>
      </c>
      <c r="BD844" s="2" t="s">
        <v>827</v>
      </c>
      <c r="BE844" s="2">
        <v>13</v>
      </c>
      <c r="BF844" s="2" t="s">
        <v>108</v>
      </c>
      <c r="BG844" s="2">
        <v>1459</v>
      </c>
      <c r="BH844" s="4">
        <v>0.82291666666666663</v>
      </c>
      <c r="BI844" s="4">
        <v>0.86805555555555547</v>
      </c>
      <c r="BJ844" s="2">
        <v>13</v>
      </c>
      <c r="BK844" s="2" t="s">
        <v>91</v>
      </c>
      <c r="BL844" s="2" t="s">
        <v>828</v>
      </c>
      <c r="BM844" s="2">
        <v>241</v>
      </c>
      <c r="BN844" s="2" t="s">
        <v>82</v>
      </c>
      <c r="BO844" s="2" t="s">
        <v>82</v>
      </c>
      <c r="BP844" s="2">
        <v>13</v>
      </c>
      <c r="BQ844" s="2" t="s">
        <v>91</v>
      </c>
      <c r="BR844" s="2" t="s">
        <v>185</v>
      </c>
      <c r="BS844" s="3">
        <v>40244</v>
      </c>
      <c r="BT844" s="4">
        <v>0.88438657407407406</v>
      </c>
    </row>
    <row r="845" spans="1:72" x14ac:dyDescent="0.25">
      <c r="A845" s="2">
        <v>1328</v>
      </c>
      <c r="B845" s="2">
        <v>2010</v>
      </c>
      <c r="C845" s="2" t="s">
        <v>196</v>
      </c>
      <c r="D845" s="2" t="s">
        <v>122</v>
      </c>
      <c r="E845" s="2"/>
      <c r="F845" s="2">
        <v>1</v>
      </c>
      <c r="G845" s="2" t="s">
        <v>82</v>
      </c>
      <c r="H845" s="2">
        <v>1</v>
      </c>
      <c r="I845" s="2" t="s">
        <v>82</v>
      </c>
      <c r="J845" s="2">
        <v>1</v>
      </c>
      <c r="K845" s="2" t="s">
        <v>107</v>
      </c>
      <c r="L845" s="2" t="s">
        <v>107</v>
      </c>
      <c r="M845" s="3">
        <v>40244</v>
      </c>
      <c r="N845" s="2"/>
      <c r="O845" s="2"/>
      <c r="P845" s="2"/>
      <c r="Q845" s="2" t="str">
        <f>""</f>
        <v/>
      </c>
      <c r="R845" s="2"/>
      <c r="S845" s="2"/>
      <c r="T845" s="2">
        <v>2</v>
      </c>
      <c r="U845" s="2" t="s">
        <v>123</v>
      </c>
      <c r="V845" s="2">
        <v>1</v>
      </c>
      <c r="W845" s="2" t="s">
        <v>80</v>
      </c>
      <c r="X845" s="2">
        <v>5</v>
      </c>
      <c r="Y845" s="2" t="s">
        <v>82</v>
      </c>
      <c r="Z845" s="2">
        <v>1</v>
      </c>
      <c r="AA845" s="2" t="s">
        <v>82</v>
      </c>
      <c r="AB845" s="2">
        <v>9</v>
      </c>
      <c r="AC845" s="2" t="s">
        <v>124</v>
      </c>
      <c r="AD845" s="3">
        <v>40244</v>
      </c>
      <c r="AE845" s="4">
        <v>0.59722222222222221</v>
      </c>
      <c r="AF845" s="2"/>
      <c r="AG845" s="2"/>
      <c r="AH845" s="2">
        <v>6</v>
      </c>
      <c r="AI845" s="2" t="s">
        <v>197</v>
      </c>
      <c r="AJ845" s="2">
        <v>58</v>
      </c>
      <c r="AK845" s="2" t="s">
        <v>406</v>
      </c>
      <c r="AL845" s="2">
        <v>18</v>
      </c>
      <c r="AM845" s="2" t="s">
        <v>82</v>
      </c>
      <c r="AN845" s="2" t="s">
        <v>1004</v>
      </c>
      <c r="AO845" s="2" t="s">
        <v>259</v>
      </c>
      <c r="AP845" s="2">
        <v>11</v>
      </c>
      <c r="AQ845" s="2" t="s">
        <v>82</v>
      </c>
      <c r="AR845" s="2"/>
      <c r="AS845" s="2"/>
      <c r="AT845" s="2" t="s">
        <v>3346</v>
      </c>
      <c r="AU845" s="2"/>
      <c r="AV845" s="2"/>
      <c r="AW845" s="2"/>
      <c r="AX845" s="2"/>
      <c r="AY845" s="2">
        <v>1</v>
      </c>
      <c r="AZ845" s="2" t="s">
        <v>107</v>
      </c>
      <c r="BA845" s="2">
        <v>1</v>
      </c>
      <c r="BB845" s="2" t="s">
        <v>107</v>
      </c>
      <c r="BC845" s="2">
        <v>1</v>
      </c>
      <c r="BD845" s="2" t="s">
        <v>107</v>
      </c>
      <c r="BE845" s="2">
        <v>1</v>
      </c>
      <c r="BF845" s="2" t="s">
        <v>107</v>
      </c>
      <c r="BG845" s="2" t="s">
        <v>265</v>
      </c>
      <c r="BH845" s="2"/>
      <c r="BI845" s="4">
        <v>0.59722222222222221</v>
      </c>
      <c r="BJ845" s="2">
        <v>242</v>
      </c>
      <c r="BK845" s="2" t="s">
        <v>107</v>
      </c>
      <c r="BL845" s="2"/>
      <c r="BM845" s="2">
        <v>242</v>
      </c>
      <c r="BN845" s="2" t="s">
        <v>107</v>
      </c>
      <c r="BO845" s="2"/>
      <c r="BP845" s="2">
        <v>242</v>
      </c>
      <c r="BQ845" s="2" t="s">
        <v>107</v>
      </c>
      <c r="BR845" s="2" t="s">
        <v>204</v>
      </c>
      <c r="BS845" s="3">
        <v>40244</v>
      </c>
      <c r="BT845" s="4">
        <v>0.94081018518518522</v>
      </c>
    </row>
    <row r="846" spans="1:72" x14ac:dyDescent="0.25">
      <c r="A846" s="2">
        <v>1329</v>
      </c>
      <c r="B846" s="2">
        <v>2010</v>
      </c>
      <c r="C846" s="2" t="s">
        <v>171</v>
      </c>
      <c r="D846" s="2" t="s">
        <v>73</v>
      </c>
      <c r="E846" s="2"/>
      <c r="F846" s="2">
        <v>158</v>
      </c>
      <c r="G846" s="2" t="s">
        <v>3026</v>
      </c>
      <c r="H846" s="2">
        <v>16</v>
      </c>
      <c r="I846" s="2" t="s">
        <v>3027</v>
      </c>
      <c r="J846" s="2">
        <v>164</v>
      </c>
      <c r="K846" s="2" t="s">
        <v>3254</v>
      </c>
      <c r="L846" s="2" t="s">
        <v>946</v>
      </c>
      <c r="M846" s="3">
        <v>40245</v>
      </c>
      <c r="N846" s="2" t="s">
        <v>3306</v>
      </c>
      <c r="O846" s="2" t="s">
        <v>107</v>
      </c>
      <c r="P846" s="2" t="s">
        <v>107</v>
      </c>
      <c r="Q846" s="2" t="str">
        <f>"084-A/10"</f>
        <v>084-A/10</v>
      </c>
      <c r="R846" s="2" t="s">
        <v>107</v>
      </c>
      <c r="S846" s="2" t="s">
        <v>1035</v>
      </c>
      <c r="T846" s="2">
        <v>1</v>
      </c>
      <c r="U846" s="2" t="s">
        <v>79</v>
      </c>
      <c r="V846" s="2">
        <v>1</v>
      </c>
      <c r="W846" s="2" t="s">
        <v>80</v>
      </c>
      <c r="X846" s="2">
        <v>1</v>
      </c>
      <c r="Y846" s="2" t="s">
        <v>81</v>
      </c>
      <c r="Z846" s="2">
        <v>1</v>
      </c>
      <c r="AA846" s="2" t="s">
        <v>82</v>
      </c>
      <c r="AB846" s="2">
        <v>1</v>
      </c>
      <c r="AC846" s="2" t="s">
        <v>178</v>
      </c>
      <c r="AD846" s="3">
        <v>40244</v>
      </c>
      <c r="AE846" s="4">
        <v>0.83333333333333337</v>
      </c>
      <c r="AF846" s="2"/>
      <c r="AG846" s="2"/>
      <c r="AH846" s="2">
        <v>2</v>
      </c>
      <c r="AI846" s="2" t="s">
        <v>84</v>
      </c>
      <c r="AJ846" s="2">
        <v>12</v>
      </c>
      <c r="AK846" s="2" t="s">
        <v>85</v>
      </c>
      <c r="AL846" s="2">
        <v>14</v>
      </c>
      <c r="AM846" s="2" t="s">
        <v>216</v>
      </c>
      <c r="AN846" s="2" t="s">
        <v>919</v>
      </c>
      <c r="AO846" s="2" t="s">
        <v>3347</v>
      </c>
      <c r="AP846" s="2">
        <v>11</v>
      </c>
      <c r="AQ846" s="2" t="s">
        <v>82</v>
      </c>
      <c r="AR846" s="2" t="s">
        <v>82</v>
      </c>
      <c r="AS846" s="2" t="s">
        <v>82</v>
      </c>
      <c r="AT846" s="2" t="s">
        <v>3348</v>
      </c>
      <c r="AU846" s="2">
        <v>1</v>
      </c>
      <c r="AV846" s="2"/>
      <c r="AW846" s="2"/>
      <c r="AX846" s="2"/>
      <c r="AY846" s="2">
        <v>41</v>
      </c>
      <c r="AZ846" s="2" t="s">
        <v>82</v>
      </c>
      <c r="BA846" s="2">
        <v>41</v>
      </c>
      <c r="BB846" s="2" t="s">
        <v>82</v>
      </c>
      <c r="BC846" s="2">
        <v>41</v>
      </c>
      <c r="BD846" s="2" t="s">
        <v>82</v>
      </c>
      <c r="BE846" s="2">
        <v>13</v>
      </c>
      <c r="BF846" s="2" t="s">
        <v>108</v>
      </c>
      <c r="BG846" s="2" t="s">
        <v>3349</v>
      </c>
      <c r="BH846" s="4">
        <v>0.89583333333333337</v>
      </c>
      <c r="BI846" s="4">
        <v>0.83680555555555547</v>
      </c>
      <c r="BJ846" s="2">
        <v>13</v>
      </c>
      <c r="BK846" s="2" t="s">
        <v>91</v>
      </c>
      <c r="BL846" s="2" t="s">
        <v>185</v>
      </c>
      <c r="BM846" s="2">
        <v>241</v>
      </c>
      <c r="BN846" s="2" t="s">
        <v>82</v>
      </c>
      <c r="BO846" s="2" t="s">
        <v>82</v>
      </c>
      <c r="BP846" s="2">
        <v>13</v>
      </c>
      <c r="BQ846" s="2" t="s">
        <v>91</v>
      </c>
      <c r="BR846" s="2" t="s">
        <v>169</v>
      </c>
      <c r="BS846" s="3">
        <v>40245</v>
      </c>
      <c r="BT846" s="4">
        <v>8.3125000000000004E-2</v>
      </c>
    </row>
    <row r="847" spans="1:72" x14ac:dyDescent="0.25">
      <c r="A847" s="2">
        <v>1330</v>
      </c>
      <c r="B847" s="2">
        <v>2010</v>
      </c>
      <c r="C847" s="2" t="s">
        <v>171</v>
      </c>
      <c r="D847" s="2" t="s">
        <v>122</v>
      </c>
      <c r="E847" s="2" t="s">
        <v>3350</v>
      </c>
      <c r="F847" s="2">
        <v>158</v>
      </c>
      <c r="G847" s="2" t="s">
        <v>3026</v>
      </c>
      <c r="H847" s="2">
        <v>16</v>
      </c>
      <c r="I847" s="2" t="s">
        <v>3027</v>
      </c>
      <c r="J847" s="2">
        <v>164</v>
      </c>
      <c r="K847" s="2" t="s">
        <v>3254</v>
      </c>
      <c r="L847" s="2" t="s">
        <v>946</v>
      </c>
      <c r="M847" s="3">
        <v>40245</v>
      </c>
      <c r="N847" s="2" t="s">
        <v>3306</v>
      </c>
      <c r="O847" s="2" t="s">
        <v>107</v>
      </c>
      <c r="P847" s="2" t="s">
        <v>107</v>
      </c>
      <c r="Q847" s="2" t="str">
        <f>"084-A/10"</f>
        <v>084-A/10</v>
      </c>
      <c r="R847" s="2" t="s">
        <v>1035</v>
      </c>
      <c r="S847" s="2" t="s">
        <v>107</v>
      </c>
      <c r="T847" s="2">
        <v>1</v>
      </c>
      <c r="U847" s="2" t="s">
        <v>79</v>
      </c>
      <c r="V847" s="2">
        <v>1</v>
      </c>
      <c r="W847" s="2" t="s">
        <v>80</v>
      </c>
      <c r="X847" s="2">
        <v>1</v>
      </c>
      <c r="Y847" s="2" t="s">
        <v>81</v>
      </c>
      <c r="Z847" s="2">
        <v>1</v>
      </c>
      <c r="AA847" s="2" t="s">
        <v>82</v>
      </c>
      <c r="AB847" s="2">
        <v>1</v>
      </c>
      <c r="AC847" s="2" t="s">
        <v>178</v>
      </c>
      <c r="AD847" s="3">
        <v>40244</v>
      </c>
      <c r="AE847" s="4">
        <v>0.83333333333333337</v>
      </c>
      <c r="AF847" s="2"/>
      <c r="AG847" s="2"/>
      <c r="AH847" s="2">
        <v>2</v>
      </c>
      <c r="AI847" s="2" t="s">
        <v>84</v>
      </c>
      <c r="AJ847" s="2">
        <v>12</v>
      </c>
      <c r="AK847" s="2" t="s">
        <v>85</v>
      </c>
      <c r="AL847" s="2">
        <v>11</v>
      </c>
      <c r="AM847" s="2" t="s">
        <v>137</v>
      </c>
      <c r="AN847" s="2" t="s">
        <v>3351</v>
      </c>
      <c r="AO847" s="2" t="s">
        <v>1869</v>
      </c>
      <c r="AP847" s="2">
        <v>11</v>
      </c>
      <c r="AQ847" s="2" t="s">
        <v>82</v>
      </c>
      <c r="AR847" s="2" t="s">
        <v>82</v>
      </c>
      <c r="AS847" s="2" t="s">
        <v>82</v>
      </c>
      <c r="AT847" s="2" t="s">
        <v>3352</v>
      </c>
      <c r="AU847" s="2">
        <v>1</v>
      </c>
      <c r="AV847" s="2"/>
      <c r="AW847" s="2"/>
      <c r="AX847" s="2"/>
      <c r="AY847" s="2">
        <v>41</v>
      </c>
      <c r="AZ847" s="2" t="s">
        <v>82</v>
      </c>
      <c r="BA847" s="2">
        <v>41</v>
      </c>
      <c r="BB847" s="2" t="s">
        <v>82</v>
      </c>
      <c r="BC847" s="2">
        <v>41</v>
      </c>
      <c r="BD847" s="2" t="s">
        <v>82</v>
      </c>
      <c r="BE847" s="2">
        <v>13</v>
      </c>
      <c r="BF847" s="2" t="s">
        <v>108</v>
      </c>
      <c r="BG847" s="2" t="s">
        <v>3349</v>
      </c>
      <c r="BH847" s="4">
        <v>0.89583333333333337</v>
      </c>
      <c r="BI847" s="4">
        <v>0.83680555555555547</v>
      </c>
      <c r="BJ847" s="2">
        <v>13</v>
      </c>
      <c r="BK847" s="2" t="s">
        <v>91</v>
      </c>
      <c r="BL847" s="2" t="s">
        <v>185</v>
      </c>
      <c r="BM847" s="2">
        <v>241</v>
      </c>
      <c r="BN847" s="2" t="s">
        <v>82</v>
      </c>
      <c r="BO847" s="2" t="s">
        <v>82</v>
      </c>
      <c r="BP847" s="2">
        <v>13</v>
      </c>
      <c r="BQ847" s="2" t="s">
        <v>91</v>
      </c>
      <c r="BR847" s="2" t="s">
        <v>169</v>
      </c>
      <c r="BS847" s="3">
        <v>40245</v>
      </c>
      <c r="BT847" s="4">
        <v>0.2345949074074074</v>
      </c>
    </row>
    <row r="848" spans="1:72" x14ac:dyDescent="0.25">
      <c r="A848" s="2">
        <v>1332</v>
      </c>
      <c r="B848" s="2">
        <v>2010</v>
      </c>
      <c r="C848" s="2" t="s">
        <v>819</v>
      </c>
      <c r="D848" s="2" t="s">
        <v>122</v>
      </c>
      <c r="E848" s="2" t="s">
        <v>3353</v>
      </c>
      <c r="F848" s="2">
        <v>451</v>
      </c>
      <c r="G848" s="2" t="s">
        <v>879</v>
      </c>
      <c r="H848" s="2">
        <v>31</v>
      </c>
      <c r="I848" s="2" t="s">
        <v>880</v>
      </c>
      <c r="J848" s="2">
        <v>326</v>
      </c>
      <c r="K848" s="2" t="s">
        <v>881</v>
      </c>
      <c r="L848" s="2" t="s">
        <v>882</v>
      </c>
      <c r="M848" s="3">
        <v>40245</v>
      </c>
      <c r="N848" s="2" t="s">
        <v>1072</v>
      </c>
      <c r="O848" s="2"/>
      <c r="P848" s="2"/>
      <c r="Q848" s="2" t="str">
        <f>"022/10"</f>
        <v>022/10</v>
      </c>
      <c r="R848" s="2" t="s">
        <v>822</v>
      </c>
      <c r="S848" s="2"/>
      <c r="T848" s="2">
        <v>1</v>
      </c>
      <c r="U848" s="2" t="s">
        <v>79</v>
      </c>
      <c r="V848" s="2">
        <v>1</v>
      </c>
      <c r="W848" s="2" t="s">
        <v>80</v>
      </c>
      <c r="X848" s="2">
        <v>1</v>
      </c>
      <c r="Y848" s="2" t="s">
        <v>81</v>
      </c>
      <c r="Z848" s="2">
        <v>10</v>
      </c>
      <c r="AA848" s="2" t="s">
        <v>236</v>
      </c>
      <c r="AB848" s="2">
        <v>9</v>
      </c>
      <c r="AC848" s="2" t="s">
        <v>124</v>
      </c>
      <c r="AD848" s="3">
        <v>40244</v>
      </c>
      <c r="AE848" s="4">
        <v>0.84722222222222221</v>
      </c>
      <c r="AF848" s="2"/>
      <c r="AG848" s="2"/>
      <c r="AH848" s="2">
        <v>4</v>
      </c>
      <c r="AI848" s="2" t="s">
        <v>125</v>
      </c>
      <c r="AJ848" s="2">
        <v>29</v>
      </c>
      <c r="AK848" s="2" t="s">
        <v>227</v>
      </c>
      <c r="AL848" s="2">
        <v>10</v>
      </c>
      <c r="AM848" s="2" t="s">
        <v>200</v>
      </c>
      <c r="AN848" s="2" t="s">
        <v>3040</v>
      </c>
      <c r="AO848" s="2" t="s">
        <v>3176</v>
      </c>
      <c r="AP848" s="2">
        <v>12</v>
      </c>
      <c r="AQ848" s="2" t="s">
        <v>322</v>
      </c>
      <c r="AR848" s="2" t="s">
        <v>824</v>
      </c>
      <c r="AS848" s="2" t="s">
        <v>825</v>
      </c>
      <c r="AT848" s="2" t="s">
        <v>3354</v>
      </c>
      <c r="AU848" s="2"/>
      <c r="AV848" s="2"/>
      <c r="AW848" s="2"/>
      <c r="AX848" s="2"/>
      <c r="AY848" s="2">
        <v>41</v>
      </c>
      <c r="AZ848" s="2" t="s">
        <v>82</v>
      </c>
      <c r="BA848" s="2">
        <v>41</v>
      </c>
      <c r="BB848" s="2" t="s">
        <v>82</v>
      </c>
      <c r="BC848" s="2">
        <v>51</v>
      </c>
      <c r="BD848" s="2" t="s">
        <v>827</v>
      </c>
      <c r="BE848" s="2">
        <v>13</v>
      </c>
      <c r="BF848" s="2" t="s">
        <v>108</v>
      </c>
      <c r="BG848" s="2">
        <v>1459</v>
      </c>
      <c r="BH848" s="4">
        <v>0.82291666666666663</v>
      </c>
      <c r="BI848" s="4">
        <v>0.86805555555555547</v>
      </c>
      <c r="BJ848" s="2">
        <v>13</v>
      </c>
      <c r="BK848" s="2" t="s">
        <v>91</v>
      </c>
      <c r="BL848" s="2" t="s">
        <v>828</v>
      </c>
      <c r="BM848" s="2">
        <v>241</v>
      </c>
      <c r="BN848" s="2" t="s">
        <v>82</v>
      </c>
      <c r="BO848" s="2" t="s">
        <v>82</v>
      </c>
      <c r="BP848" s="2">
        <v>13</v>
      </c>
      <c r="BQ848" s="2" t="s">
        <v>91</v>
      </c>
      <c r="BR848" s="2" t="s">
        <v>185</v>
      </c>
      <c r="BS848" s="3">
        <v>40245</v>
      </c>
      <c r="BT848" s="4">
        <v>0.4165625</v>
      </c>
    </row>
    <row r="849" spans="1:72" x14ac:dyDescent="0.25">
      <c r="A849" s="2">
        <v>1336</v>
      </c>
      <c r="B849" s="2">
        <v>2010</v>
      </c>
      <c r="C849" s="2" t="s">
        <v>819</v>
      </c>
      <c r="D849" s="2" t="s">
        <v>122</v>
      </c>
      <c r="E849" s="2" t="s">
        <v>3108</v>
      </c>
      <c r="F849" s="2">
        <v>451</v>
      </c>
      <c r="G849" s="2" t="s">
        <v>879</v>
      </c>
      <c r="H849" s="2">
        <v>31</v>
      </c>
      <c r="I849" s="2" t="s">
        <v>880</v>
      </c>
      <c r="J849" s="2">
        <v>326</v>
      </c>
      <c r="K849" s="2" t="s">
        <v>881</v>
      </c>
      <c r="L849" s="2" t="s">
        <v>882</v>
      </c>
      <c r="M849" s="3">
        <v>40245</v>
      </c>
      <c r="N849" s="2" t="s">
        <v>3096</v>
      </c>
      <c r="O849" s="2"/>
      <c r="P849" s="2"/>
      <c r="Q849" s="2" t="str">
        <f>"019/10"</f>
        <v>019/10</v>
      </c>
      <c r="R849" s="2"/>
      <c r="S849" s="2" t="s">
        <v>822</v>
      </c>
      <c r="T849" s="2">
        <v>1</v>
      </c>
      <c r="U849" s="2" t="s">
        <v>79</v>
      </c>
      <c r="V849" s="2">
        <v>1</v>
      </c>
      <c r="W849" s="2" t="s">
        <v>80</v>
      </c>
      <c r="X849" s="2">
        <v>1</v>
      </c>
      <c r="Y849" s="2" t="s">
        <v>81</v>
      </c>
      <c r="Z849" s="2">
        <v>10</v>
      </c>
      <c r="AA849" s="2" t="s">
        <v>236</v>
      </c>
      <c r="AB849" s="2">
        <v>9</v>
      </c>
      <c r="AC849" s="2" t="s">
        <v>124</v>
      </c>
      <c r="AD849" s="3">
        <v>40245</v>
      </c>
      <c r="AE849" s="4">
        <v>0.44444444444444442</v>
      </c>
      <c r="AF849" s="2"/>
      <c r="AG849" s="2"/>
      <c r="AH849" s="2">
        <v>4</v>
      </c>
      <c r="AI849" s="2" t="s">
        <v>125</v>
      </c>
      <c r="AJ849" s="2">
        <v>29</v>
      </c>
      <c r="AK849" s="2" t="s">
        <v>227</v>
      </c>
      <c r="AL849" s="2">
        <v>10</v>
      </c>
      <c r="AM849" s="2" t="s">
        <v>200</v>
      </c>
      <c r="AN849" s="2" t="s">
        <v>883</v>
      </c>
      <c r="AO849" s="2"/>
      <c r="AP849" s="2">
        <v>12</v>
      </c>
      <c r="AQ849" s="2" t="s">
        <v>322</v>
      </c>
      <c r="AR849" s="2" t="s">
        <v>824</v>
      </c>
      <c r="AS849" s="2" t="s">
        <v>825</v>
      </c>
      <c r="AT849" s="2" t="s">
        <v>3355</v>
      </c>
      <c r="AU849" s="2"/>
      <c r="AV849" s="2"/>
      <c r="AW849" s="2"/>
      <c r="AX849" s="2"/>
      <c r="AY849" s="2">
        <v>41</v>
      </c>
      <c r="AZ849" s="2" t="s">
        <v>82</v>
      </c>
      <c r="BA849" s="2">
        <v>41</v>
      </c>
      <c r="BB849" s="2" t="s">
        <v>82</v>
      </c>
      <c r="BC849" s="2">
        <v>51</v>
      </c>
      <c r="BD849" s="2" t="s">
        <v>827</v>
      </c>
      <c r="BE849" s="2">
        <v>13</v>
      </c>
      <c r="BF849" s="2" t="s">
        <v>108</v>
      </c>
      <c r="BG849" s="2">
        <v>1459</v>
      </c>
      <c r="BH849" s="4">
        <v>0.84027777777777779</v>
      </c>
      <c r="BI849" s="4">
        <v>0.875</v>
      </c>
      <c r="BJ849" s="2">
        <v>13</v>
      </c>
      <c r="BK849" s="2" t="s">
        <v>91</v>
      </c>
      <c r="BL849" s="2" t="s">
        <v>828</v>
      </c>
      <c r="BM849" s="2">
        <v>241</v>
      </c>
      <c r="BN849" s="2" t="s">
        <v>82</v>
      </c>
      <c r="BO849" s="2" t="s">
        <v>82</v>
      </c>
      <c r="BP849" s="2">
        <v>13</v>
      </c>
      <c r="BQ849" s="2" t="s">
        <v>91</v>
      </c>
      <c r="BR849" s="2" t="s">
        <v>185</v>
      </c>
      <c r="BS849" s="3">
        <v>40245</v>
      </c>
      <c r="BT849" s="4">
        <v>0.47303240740740743</v>
      </c>
    </row>
    <row r="850" spans="1:72" x14ac:dyDescent="0.25">
      <c r="A850" s="2">
        <v>1337</v>
      </c>
      <c r="B850" s="2">
        <v>2010</v>
      </c>
      <c r="C850" s="2" t="s">
        <v>147</v>
      </c>
      <c r="D850" s="2" t="s">
        <v>73</v>
      </c>
      <c r="E850" s="2"/>
      <c r="F850" s="2">
        <v>1</v>
      </c>
      <c r="G850" s="2" t="s">
        <v>82</v>
      </c>
      <c r="H850" s="2">
        <v>1</v>
      </c>
      <c r="I850" s="2" t="s">
        <v>82</v>
      </c>
      <c r="J850" s="2">
        <v>1</v>
      </c>
      <c r="K850" s="2" t="s">
        <v>107</v>
      </c>
      <c r="L850" s="2" t="s">
        <v>107</v>
      </c>
      <c r="M850" s="3">
        <v>40245</v>
      </c>
      <c r="N850" s="2"/>
      <c r="O850" s="2"/>
      <c r="P850" s="2"/>
      <c r="Q850" s="2" t="str">
        <f>""</f>
        <v/>
      </c>
      <c r="R850" s="2"/>
      <c r="S850" s="2"/>
      <c r="T850" s="2">
        <v>2</v>
      </c>
      <c r="U850" s="2" t="s">
        <v>123</v>
      </c>
      <c r="V850" s="2">
        <v>1</v>
      </c>
      <c r="W850" s="2" t="s">
        <v>80</v>
      </c>
      <c r="X850" s="2">
        <v>12</v>
      </c>
      <c r="Y850" s="2" t="s">
        <v>148</v>
      </c>
      <c r="Z850" s="2">
        <v>1</v>
      </c>
      <c r="AA850" s="2" t="s">
        <v>82</v>
      </c>
      <c r="AB850" s="2">
        <v>9</v>
      </c>
      <c r="AC850" s="2" t="s">
        <v>124</v>
      </c>
      <c r="AD850" s="3">
        <v>40244</v>
      </c>
      <c r="AE850" s="2"/>
      <c r="AF850" s="3">
        <v>40245</v>
      </c>
      <c r="AG850" s="4">
        <v>0.47222222222222227</v>
      </c>
      <c r="AH850" s="2">
        <v>2</v>
      </c>
      <c r="AI850" s="2" t="s">
        <v>84</v>
      </c>
      <c r="AJ850" s="2">
        <v>12</v>
      </c>
      <c r="AK850" s="2" t="s">
        <v>85</v>
      </c>
      <c r="AL850" s="2">
        <v>23</v>
      </c>
      <c r="AM850" s="2" t="s">
        <v>251</v>
      </c>
      <c r="AN850" s="2"/>
      <c r="AO850" s="2" t="s">
        <v>3356</v>
      </c>
      <c r="AP850" s="2">
        <v>11</v>
      </c>
      <c r="AQ850" s="2" t="s">
        <v>82</v>
      </c>
      <c r="AR850" s="2"/>
      <c r="AS850" s="2"/>
      <c r="AT850" s="2" t="s">
        <v>3357</v>
      </c>
      <c r="AU850" s="2"/>
      <c r="AV850" s="2"/>
      <c r="AW850" s="2"/>
      <c r="AX850" s="2"/>
      <c r="AY850" s="2">
        <v>70</v>
      </c>
      <c r="AZ850" s="2" t="s">
        <v>236</v>
      </c>
      <c r="BA850" s="2">
        <v>41</v>
      </c>
      <c r="BB850" s="2" t="s">
        <v>82</v>
      </c>
      <c r="BC850" s="2">
        <v>41</v>
      </c>
      <c r="BD850" s="2" t="s">
        <v>82</v>
      </c>
      <c r="BE850" s="2">
        <v>41</v>
      </c>
      <c r="BF850" s="2" t="s">
        <v>82</v>
      </c>
      <c r="BG850" s="2"/>
      <c r="BH850" s="2"/>
      <c r="BI850" s="2"/>
      <c r="BJ850" s="2">
        <v>241</v>
      </c>
      <c r="BK850" s="2" t="s">
        <v>82</v>
      </c>
      <c r="BL850" s="2"/>
      <c r="BM850" s="2">
        <v>241</v>
      </c>
      <c r="BN850" s="2" t="s">
        <v>82</v>
      </c>
      <c r="BO850" s="2"/>
      <c r="BP850" s="2">
        <v>241</v>
      </c>
      <c r="BQ850" s="2" t="s">
        <v>82</v>
      </c>
      <c r="BR850" s="2"/>
      <c r="BS850" s="3">
        <v>40245</v>
      </c>
      <c r="BT850" s="4">
        <v>0.49553240740740739</v>
      </c>
    </row>
    <row r="851" spans="1:72" x14ac:dyDescent="0.25">
      <c r="A851" s="2">
        <v>1338</v>
      </c>
      <c r="B851" s="2">
        <v>2010</v>
      </c>
      <c r="C851" s="2" t="s">
        <v>806</v>
      </c>
      <c r="D851" s="2" t="s">
        <v>73</v>
      </c>
      <c r="E851" s="2"/>
      <c r="F851" s="2">
        <v>11</v>
      </c>
      <c r="G851" s="2" t="s">
        <v>2454</v>
      </c>
      <c r="H851" s="2">
        <v>61</v>
      </c>
      <c r="I851" s="2" t="s">
        <v>3043</v>
      </c>
      <c r="J851" s="2">
        <v>19</v>
      </c>
      <c r="K851" s="2" t="s">
        <v>2144</v>
      </c>
      <c r="L851" s="2" t="s">
        <v>2145</v>
      </c>
      <c r="M851" s="3">
        <v>40245</v>
      </c>
      <c r="N851" s="2" t="s">
        <v>3358</v>
      </c>
      <c r="O851" s="2" t="s">
        <v>3359</v>
      </c>
      <c r="P851" s="2">
        <v>20219</v>
      </c>
      <c r="Q851" s="2" t="str">
        <f>"07/10"</f>
        <v>07/10</v>
      </c>
      <c r="R851" s="2" t="s">
        <v>82</v>
      </c>
      <c r="S851" s="2" t="s">
        <v>82</v>
      </c>
      <c r="T851" s="2">
        <v>1</v>
      </c>
      <c r="U851" s="2" t="s">
        <v>79</v>
      </c>
      <c r="V851" s="2">
        <v>3</v>
      </c>
      <c r="W851" s="2" t="s">
        <v>225</v>
      </c>
      <c r="X851" s="2">
        <v>6</v>
      </c>
      <c r="Y851" s="2" t="s">
        <v>249</v>
      </c>
      <c r="Z851" s="2">
        <v>1</v>
      </c>
      <c r="AA851" s="2" t="s">
        <v>82</v>
      </c>
      <c r="AB851" s="2">
        <v>9</v>
      </c>
      <c r="AC851" s="2" t="s">
        <v>124</v>
      </c>
      <c r="AD851" s="3">
        <v>40245</v>
      </c>
      <c r="AE851" s="4">
        <v>0.49305555555555558</v>
      </c>
      <c r="AF851" s="2"/>
      <c r="AG851" s="2"/>
      <c r="AH851" s="2">
        <v>3</v>
      </c>
      <c r="AI851" s="2" t="s">
        <v>214</v>
      </c>
      <c r="AJ851" s="2">
        <v>14</v>
      </c>
      <c r="AK851" s="2" t="s">
        <v>342</v>
      </c>
      <c r="AL851" s="2">
        <v>23</v>
      </c>
      <c r="AM851" s="2" t="s">
        <v>251</v>
      </c>
      <c r="AN851" s="2"/>
      <c r="AO851" s="2" t="s">
        <v>3360</v>
      </c>
      <c r="AP851" s="2">
        <v>11</v>
      </c>
      <c r="AQ851" s="2" t="s">
        <v>82</v>
      </c>
      <c r="AR851" s="2"/>
      <c r="AS851" s="2"/>
      <c r="AT851" s="2" t="s">
        <v>3361</v>
      </c>
      <c r="AU851" s="2"/>
      <c r="AV851" s="2"/>
      <c r="AW851" s="2"/>
      <c r="AX851" s="2"/>
      <c r="AY851" s="2">
        <v>1</v>
      </c>
      <c r="AZ851" s="2" t="s">
        <v>107</v>
      </c>
      <c r="BA851" s="2">
        <v>1</v>
      </c>
      <c r="BB851" s="2" t="s">
        <v>107</v>
      </c>
      <c r="BC851" s="2">
        <v>1</v>
      </c>
      <c r="BD851" s="2" t="s">
        <v>107</v>
      </c>
      <c r="BE851" s="2">
        <v>41</v>
      </c>
      <c r="BF851" s="2" t="s">
        <v>82</v>
      </c>
      <c r="BG851" s="2"/>
      <c r="BH851" s="2"/>
      <c r="BI851" s="2"/>
      <c r="BJ851" s="2">
        <v>242</v>
      </c>
      <c r="BK851" s="2" t="s">
        <v>107</v>
      </c>
      <c r="BL851" s="2"/>
      <c r="BM851" s="2">
        <v>242</v>
      </c>
      <c r="BN851" s="2" t="s">
        <v>107</v>
      </c>
      <c r="BO851" s="2"/>
      <c r="BP851" s="2">
        <v>242</v>
      </c>
      <c r="BQ851" s="2" t="s">
        <v>107</v>
      </c>
      <c r="BR851" s="2"/>
      <c r="BS851" s="3">
        <v>40245</v>
      </c>
      <c r="BT851" s="4">
        <v>0.54673611111111109</v>
      </c>
    </row>
    <row r="852" spans="1:72" x14ac:dyDescent="0.25">
      <c r="A852" s="2">
        <v>1339</v>
      </c>
      <c r="B852" s="2">
        <v>2010</v>
      </c>
      <c r="C852" s="2" t="s">
        <v>819</v>
      </c>
      <c r="D852" s="2" t="s">
        <v>122</v>
      </c>
      <c r="E852" s="2" t="s">
        <v>3362</v>
      </c>
      <c r="F852" s="2">
        <v>451</v>
      </c>
      <c r="G852" s="2" t="s">
        <v>879</v>
      </c>
      <c r="H852" s="2">
        <v>31</v>
      </c>
      <c r="I852" s="2" t="s">
        <v>880</v>
      </c>
      <c r="J852" s="2">
        <v>326</v>
      </c>
      <c r="K852" s="2" t="s">
        <v>881</v>
      </c>
      <c r="L852" s="2" t="s">
        <v>882</v>
      </c>
      <c r="M852" s="3">
        <v>40245</v>
      </c>
      <c r="N852" s="2" t="s">
        <v>1072</v>
      </c>
      <c r="O852" s="2"/>
      <c r="P852" s="2"/>
      <c r="Q852" s="2" t="str">
        <f>"018/10"</f>
        <v>018/10</v>
      </c>
      <c r="R852" s="2"/>
      <c r="S852" s="2" t="s">
        <v>822</v>
      </c>
      <c r="T852" s="2">
        <v>1</v>
      </c>
      <c r="U852" s="2" t="s">
        <v>79</v>
      </c>
      <c r="V852" s="2">
        <v>1</v>
      </c>
      <c r="W852" s="2" t="s">
        <v>80</v>
      </c>
      <c r="X852" s="2">
        <v>1</v>
      </c>
      <c r="Y852" s="2" t="s">
        <v>81</v>
      </c>
      <c r="Z852" s="2">
        <v>10</v>
      </c>
      <c r="AA852" s="2" t="s">
        <v>236</v>
      </c>
      <c r="AB852" s="2">
        <v>9</v>
      </c>
      <c r="AC852" s="2" t="s">
        <v>124</v>
      </c>
      <c r="AD852" s="3">
        <v>40245</v>
      </c>
      <c r="AE852" s="4">
        <v>0.54166666666666663</v>
      </c>
      <c r="AF852" s="2"/>
      <c r="AG852" s="2"/>
      <c r="AH852" s="2">
        <v>4</v>
      </c>
      <c r="AI852" s="2" t="s">
        <v>125</v>
      </c>
      <c r="AJ852" s="2">
        <v>29</v>
      </c>
      <c r="AK852" s="2" t="s">
        <v>227</v>
      </c>
      <c r="AL852" s="2">
        <v>10</v>
      </c>
      <c r="AM852" s="2" t="s">
        <v>200</v>
      </c>
      <c r="AN852" s="2" t="s">
        <v>883</v>
      </c>
      <c r="AO852" s="2"/>
      <c r="AP852" s="2">
        <v>12</v>
      </c>
      <c r="AQ852" s="2" t="s">
        <v>322</v>
      </c>
      <c r="AR852" s="2" t="s">
        <v>824</v>
      </c>
      <c r="AS852" s="2" t="s">
        <v>825</v>
      </c>
      <c r="AT852" s="2" t="s">
        <v>3363</v>
      </c>
      <c r="AU852" s="2"/>
      <c r="AV852" s="2"/>
      <c r="AW852" s="2"/>
      <c r="AX852" s="2"/>
      <c r="AY852" s="2">
        <v>41</v>
      </c>
      <c r="AZ852" s="2" t="s">
        <v>82</v>
      </c>
      <c r="BA852" s="2">
        <v>41</v>
      </c>
      <c r="BB852" s="2" t="s">
        <v>82</v>
      </c>
      <c r="BC852" s="2">
        <v>41</v>
      </c>
      <c r="BD852" s="2" t="s">
        <v>82</v>
      </c>
      <c r="BE852" s="2">
        <v>47</v>
      </c>
      <c r="BF852" s="2" t="s">
        <v>167</v>
      </c>
      <c r="BG852" s="2">
        <v>2459</v>
      </c>
      <c r="BH852" s="4">
        <v>0.84375</v>
      </c>
      <c r="BI852" s="4">
        <v>0.87847222222222221</v>
      </c>
      <c r="BJ852" s="2">
        <v>13</v>
      </c>
      <c r="BK852" s="2" t="s">
        <v>91</v>
      </c>
      <c r="BL852" s="2" t="s">
        <v>828</v>
      </c>
      <c r="BM852" s="2">
        <v>241</v>
      </c>
      <c r="BN852" s="2" t="s">
        <v>82</v>
      </c>
      <c r="BO852" s="2" t="s">
        <v>82</v>
      </c>
      <c r="BP852" s="2">
        <v>13</v>
      </c>
      <c r="BQ852" s="2" t="s">
        <v>91</v>
      </c>
      <c r="BR852" s="2" t="s">
        <v>185</v>
      </c>
      <c r="BS852" s="3">
        <v>40245</v>
      </c>
      <c r="BT852" s="4">
        <v>0.59777777777777785</v>
      </c>
    </row>
    <row r="853" spans="1:72" x14ac:dyDescent="0.25">
      <c r="A853" s="2">
        <v>1341</v>
      </c>
      <c r="B853" s="2">
        <v>2010</v>
      </c>
      <c r="C853" s="2" t="s">
        <v>409</v>
      </c>
      <c r="D853" s="2" t="s">
        <v>73</v>
      </c>
      <c r="E853" s="2"/>
      <c r="F853" s="2">
        <v>11</v>
      </c>
      <c r="G853" s="2" t="s">
        <v>2454</v>
      </c>
      <c r="H853" s="2">
        <v>61</v>
      </c>
      <c r="I853" s="2" t="s">
        <v>3043</v>
      </c>
      <c r="J853" s="2">
        <v>19</v>
      </c>
      <c r="K853" s="2" t="s">
        <v>2144</v>
      </c>
      <c r="L853" s="2" t="s">
        <v>2145</v>
      </c>
      <c r="M853" s="3">
        <v>40245</v>
      </c>
      <c r="N853" s="2" t="s">
        <v>3358</v>
      </c>
      <c r="O853" s="2" t="s">
        <v>3049</v>
      </c>
      <c r="P853" s="7">
        <v>20219</v>
      </c>
      <c r="Q853" s="2" t="str">
        <f>"07/10"</f>
        <v>07/10</v>
      </c>
      <c r="R853" s="2" t="s">
        <v>3364</v>
      </c>
      <c r="S853" s="2" t="s">
        <v>82</v>
      </c>
      <c r="T853" s="2">
        <v>1</v>
      </c>
      <c r="U853" s="2" t="s">
        <v>79</v>
      </c>
      <c r="V853" s="2">
        <v>1</v>
      </c>
      <c r="W853" s="2" t="s">
        <v>80</v>
      </c>
      <c r="X853" s="2">
        <v>4</v>
      </c>
      <c r="Y853" s="2" t="s">
        <v>463</v>
      </c>
      <c r="Z853" s="2">
        <v>1</v>
      </c>
      <c r="AA853" s="2" t="s">
        <v>82</v>
      </c>
      <c r="AB853" s="2">
        <v>9</v>
      </c>
      <c r="AC853" s="2" t="s">
        <v>124</v>
      </c>
      <c r="AD853" s="3">
        <v>40245</v>
      </c>
      <c r="AE853" s="4">
        <v>0.60763888888888895</v>
      </c>
      <c r="AF853" s="2"/>
      <c r="AG853" s="2"/>
      <c r="AH853" s="2">
        <v>3</v>
      </c>
      <c r="AI853" s="2" t="s">
        <v>214</v>
      </c>
      <c r="AJ853" s="2">
        <v>14</v>
      </c>
      <c r="AK853" s="2" t="s">
        <v>342</v>
      </c>
      <c r="AL853" s="2">
        <v>18</v>
      </c>
      <c r="AM853" s="2" t="s">
        <v>82</v>
      </c>
      <c r="AN853" s="2"/>
      <c r="AO853" s="2" t="s">
        <v>3365</v>
      </c>
      <c r="AP853" s="2">
        <v>11</v>
      </c>
      <c r="AQ853" s="2" t="s">
        <v>82</v>
      </c>
      <c r="AR853" s="2"/>
      <c r="AS853" s="2"/>
      <c r="AT853" s="2" t="s">
        <v>3366</v>
      </c>
      <c r="AU853" s="2">
        <v>2</v>
      </c>
      <c r="AV853" s="2"/>
      <c r="AW853" s="2"/>
      <c r="AX853" s="2"/>
      <c r="AY853" s="2">
        <v>1</v>
      </c>
      <c r="AZ853" s="2" t="s">
        <v>107</v>
      </c>
      <c r="BA853" s="2">
        <v>1</v>
      </c>
      <c r="BB853" s="2" t="s">
        <v>107</v>
      </c>
      <c r="BC853" s="2">
        <v>1</v>
      </c>
      <c r="BD853" s="2" t="s">
        <v>107</v>
      </c>
      <c r="BE853" s="2">
        <v>1</v>
      </c>
      <c r="BF853" s="2" t="s">
        <v>107</v>
      </c>
      <c r="BG853" s="2"/>
      <c r="BH853" s="2"/>
      <c r="BI853" s="2"/>
      <c r="BJ853" s="2">
        <v>242</v>
      </c>
      <c r="BK853" s="2" t="s">
        <v>107</v>
      </c>
      <c r="BL853" s="2"/>
      <c r="BM853" s="2">
        <v>242</v>
      </c>
      <c r="BN853" s="2" t="s">
        <v>107</v>
      </c>
      <c r="BO853" s="2"/>
      <c r="BP853" s="2">
        <v>242</v>
      </c>
      <c r="BQ853" s="2" t="s">
        <v>107</v>
      </c>
      <c r="BR853" s="2"/>
      <c r="BS853" s="3">
        <v>40245</v>
      </c>
      <c r="BT853" s="4">
        <v>0.64888888888888896</v>
      </c>
    </row>
    <row r="854" spans="1:72" x14ac:dyDescent="0.25">
      <c r="A854" s="2">
        <v>1341</v>
      </c>
      <c r="B854" s="2">
        <v>2010</v>
      </c>
      <c r="C854" s="2" t="s">
        <v>806</v>
      </c>
      <c r="D854" s="2" t="s">
        <v>73</v>
      </c>
      <c r="E854" s="2"/>
      <c r="F854" s="2">
        <v>11</v>
      </c>
      <c r="G854" s="2" t="s">
        <v>2454</v>
      </c>
      <c r="H854" s="2">
        <v>61</v>
      </c>
      <c r="I854" s="2" t="s">
        <v>3043</v>
      </c>
      <c r="J854" s="2">
        <v>19</v>
      </c>
      <c r="K854" s="2" t="s">
        <v>2144</v>
      </c>
      <c r="L854" s="2" t="s">
        <v>2145</v>
      </c>
      <c r="M854" s="3">
        <v>40245</v>
      </c>
      <c r="N854" s="2" t="s">
        <v>3358</v>
      </c>
      <c r="O854" s="2" t="s">
        <v>3049</v>
      </c>
      <c r="P854" s="7">
        <v>20219</v>
      </c>
      <c r="Q854" s="2" t="str">
        <f>"07/10"</f>
        <v>07/10</v>
      </c>
      <c r="R854" s="2" t="s">
        <v>3364</v>
      </c>
      <c r="S854" s="2" t="s">
        <v>82</v>
      </c>
      <c r="T854" s="2">
        <v>1</v>
      </c>
      <c r="U854" s="2" t="s">
        <v>79</v>
      </c>
      <c r="V854" s="2">
        <v>1</v>
      </c>
      <c r="W854" s="2" t="s">
        <v>80</v>
      </c>
      <c r="X854" s="2">
        <v>4</v>
      </c>
      <c r="Y854" s="2" t="s">
        <v>463</v>
      </c>
      <c r="Z854" s="2">
        <v>1</v>
      </c>
      <c r="AA854" s="2" t="s">
        <v>82</v>
      </c>
      <c r="AB854" s="2">
        <v>9</v>
      </c>
      <c r="AC854" s="2" t="s">
        <v>124</v>
      </c>
      <c r="AD854" s="3">
        <v>40245</v>
      </c>
      <c r="AE854" s="4">
        <v>0.60763888888888895</v>
      </c>
      <c r="AF854" s="2"/>
      <c r="AG854" s="2"/>
      <c r="AH854" s="2">
        <v>3</v>
      </c>
      <c r="AI854" s="2" t="s">
        <v>214</v>
      </c>
      <c r="AJ854" s="2">
        <v>14</v>
      </c>
      <c r="AK854" s="2" t="s">
        <v>342</v>
      </c>
      <c r="AL854" s="2">
        <v>18</v>
      </c>
      <c r="AM854" s="2" t="s">
        <v>82</v>
      </c>
      <c r="AN854" s="2"/>
      <c r="AO854" s="2" t="s">
        <v>3365</v>
      </c>
      <c r="AP854" s="2">
        <v>11</v>
      </c>
      <c r="AQ854" s="2" t="s">
        <v>82</v>
      </c>
      <c r="AR854" s="2"/>
      <c r="AS854" s="2"/>
      <c r="AT854" s="2" t="s">
        <v>3366</v>
      </c>
      <c r="AU854" s="2">
        <v>2</v>
      </c>
      <c r="AV854" s="2"/>
      <c r="AW854" s="2"/>
      <c r="AX854" s="2"/>
      <c r="AY854" s="2">
        <v>1</v>
      </c>
      <c r="AZ854" s="2" t="s">
        <v>107</v>
      </c>
      <c r="BA854" s="2">
        <v>1</v>
      </c>
      <c r="BB854" s="2" t="s">
        <v>107</v>
      </c>
      <c r="BC854" s="2">
        <v>1</v>
      </c>
      <c r="BD854" s="2" t="s">
        <v>107</v>
      </c>
      <c r="BE854" s="2">
        <v>1</v>
      </c>
      <c r="BF854" s="2" t="s">
        <v>107</v>
      </c>
      <c r="BG854" s="2"/>
      <c r="BH854" s="2"/>
      <c r="BI854" s="2"/>
      <c r="BJ854" s="2">
        <v>242</v>
      </c>
      <c r="BK854" s="2" t="s">
        <v>107</v>
      </c>
      <c r="BL854" s="2"/>
      <c r="BM854" s="2">
        <v>242</v>
      </c>
      <c r="BN854" s="2" t="s">
        <v>107</v>
      </c>
      <c r="BO854" s="2"/>
      <c r="BP854" s="2">
        <v>242</v>
      </c>
      <c r="BQ854" s="2" t="s">
        <v>107</v>
      </c>
      <c r="BR854" s="2"/>
      <c r="BS854" s="3">
        <v>40245</v>
      </c>
      <c r="BT854" s="4">
        <v>0.64888888888888896</v>
      </c>
    </row>
    <row r="855" spans="1:72" x14ac:dyDescent="0.25">
      <c r="A855" s="2">
        <v>1343</v>
      </c>
      <c r="B855" s="2">
        <v>2010</v>
      </c>
      <c r="C855" s="2" t="s">
        <v>93</v>
      </c>
      <c r="D855" s="2" t="s">
        <v>122</v>
      </c>
      <c r="E855" s="2"/>
      <c r="F855" s="2">
        <v>1</v>
      </c>
      <c r="G855" s="2" t="s">
        <v>82</v>
      </c>
      <c r="H855" s="2">
        <v>50</v>
      </c>
      <c r="I855" s="2" t="s">
        <v>107</v>
      </c>
      <c r="J855" s="2">
        <v>1</v>
      </c>
      <c r="K855" s="2" t="s">
        <v>107</v>
      </c>
      <c r="L855" s="2" t="s">
        <v>107</v>
      </c>
      <c r="M855" s="3">
        <v>40245</v>
      </c>
      <c r="N855" s="2"/>
      <c r="O855" s="2" t="s">
        <v>3367</v>
      </c>
      <c r="P855" s="2" t="s">
        <v>3368</v>
      </c>
      <c r="Q855" s="2" t="str">
        <f>""</f>
        <v/>
      </c>
      <c r="R855" s="2"/>
      <c r="S855" s="2"/>
      <c r="T855" s="2">
        <v>1</v>
      </c>
      <c r="U855" s="2" t="s">
        <v>79</v>
      </c>
      <c r="V855" s="2">
        <v>1</v>
      </c>
      <c r="W855" s="2" t="s">
        <v>80</v>
      </c>
      <c r="X855" s="2">
        <v>3</v>
      </c>
      <c r="Y855" s="2" t="s">
        <v>698</v>
      </c>
      <c r="Z855" s="2">
        <v>9</v>
      </c>
      <c r="AA855" s="2" t="s">
        <v>1119</v>
      </c>
      <c r="AB855" s="2">
        <v>2</v>
      </c>
      <c r="AC855" s="2" t="s">
        <v>102</v>
      </c>
      <c r="AD855" s="3">
        <v>40245</v>
      </c>
      <c r="AE855" s="4">
        <v>0.58333333333333337</v>
      </c>
      <c r="AF855" s="2"/>
      <c r="AG855" s="2"/>
      <c r="AH855" s="2">
        <v>5</v>
      </c>
      <c r="AI855" s="2" t="s">
        <v>274</v>
      </c>
      <c r="AJ855" s="2">
        <v>38</v>
      </c>
      <c r="AK855" s="2" t="s">
        <v>1120</v>
      </c>
      <c r="AL855" s="2">
        <v>11</v>
      </c>
      <c r="AM855" s="2" t="s">
        <v>137</v>
      </c>
      <c r="AN855" s="2"/>
      <c r="AO855" s="2"/>
      <c r="AP855" s="2">
        <v>11</v>
      </c>
      <c r="AQ855" s="2" t="s">
        <v>82</v>
      </c>
      <c r="AR855" s="2"/>
      <c r="AS855" s="2"/>
      <c r="AT855" s="2" t="s">
        <v>3369</v>
      </c>
      <c r="AU855" s="2"/>
      <c r="AV855" s="2"/>
      <c r="AW855" s="2"/>
      <c r="AX855" s="2"/>
      <c r="AY855" s="2">
        <v>41</v>
      </c>
      <c r="AZ855" s="2" t="s">
        <v>82</v>
      </c>
      <c r="BA855" s="2">
        <v>41</v>
      </c>
      <c r="BB855" s="2" t="s">
        <v>82</v>
      </c>
      <c r="BC855" s="2">
        <v>41</v>
      </c>
      <c r="BD855" s="2" t="s">
        <v>82</v>
      </c>
      <c r="BE855" s="2">
        <v>4</v>
      </c>
      <c r="BF855" s="2" t="s">
        <v>90</v>
      </c>
      <c r="BG855" s="2">
        <v>4025</v>
      </c>
      <c r="BH855" s="4">
        <v>0.56944444444444442</v>
      </c>
      <c r="BI855" s="4">
        <v>0.59722222222222221</v>
      </c>
      <c r="BJ855" s="2">
        <v>13</v>
      </c>
      <c r="BK855" s="2" t="s">
        <v>91</v>
      </c>
      <c r="BL855" s="2" t="s">
        <v>3140</v>
      </c>
      <c r="BM855" s="2">
        <v>13</v>
      </c>
      <c r="BN855" s="2" t="s">
        <v>91</v>
      </c>
      <c r="BO855" s="2"/>
      <c r="BP855" s="2">
        <v>13</v>
      </c>
      <c r="BQ855" s="2" t="s">
        <v>91</v>
      </c>
      <c r="BR855" s="2" t="s">
        <v>185</v>
      </c>
      <c r="BS855" s="3">
        <v>40245</v>
      </c>
      <c r="BT855" s="4">
        <v>0.70500000000000007</v>
      </c>
    </row>
    <row r="856" spans="1:72" x14ac:dyDescent="0.25">
      <c r="A856" s="2">
        <v>1346</v>
      </c>
      <c r="B856" s="2">
        <v>2010</v>
      </c>
      <c r="C856" s="2" t="s">
        <v>377</v>
      </c>
      <c r="D856" s="2" t="s">
        <v>73</v>
      </c>
      <c r="E856" s="2"/>
      <c r="F856" s="2">
        <v>426</v>
      </c>
      <c r="G856" s="2" t="s">
        <v>378</v>
      </c>
      <c r="H856" s="2">
        <v>22</v>
      </c>
      <c r="I856" s="2" t="s">
        <v>75</v>
      </c>
      <c r="J856" s="2">
        <v>311</v>
      </c>
      <c r="K856" s="2" t="s">
        <v>379</v>
      </c>
      <c r="L856" s="2" t="s">
        <v>380</v>
      </c>
      <c r="M856" s="3">
        <v>40245</v>
      </c>
      <c r="N856" s="2" t="s">
        <v>107</v>
      </c>
      <c r="O856" s="2" t="s">
        <v>107</v>
      </c>
      <c r="P856" s="2" t="s">
        <v>107</v>
      </c>
      <c r="Q856" s="2" t="str">
        <f>"016-E/10"</f>
        <v>016-E/10</v>
      </c>
      <c r="R856" s="2" t="s">
        <v>107</v>
      </c>
      <c r="S856" s="2" t="s">
        <v>1924</v>
      </c>
      <c r="T856" s="2">
        <v>1</v>
      </c>
      <c r="U856" s="2" t="s">
        <v>79</v>
      </c>
      <c r="V856" s="2">
        <v>1</v>
      </c>
      <c r="W856" s="2" t="s">
        <v>80</v>
      </c>
      <c r="X856" s="2">
        <v>1</v>
      </c>
      <c r="Y856" s="2" t="s">
        <v>81</v>
      </c>
      <c r="Z856" s="2">
        <v>1</v>
      </c>
      <c r="AA856" s="2" t="s">
        <v>82</v>
      </c>
      <c r="AB856" s="2">
        <v>9</v>
      </c>
      <c r="AC856" s="2" t="s">
        <v>124</v>
      </c>
      <c r="AD856" s="3">
        <v>40245</v>
      </c>
      <c r="AE856" s="4">
        <v>0.65277777777777779</v>
      </c>
      <c r="AF856" s="3">
        <v>40245</v>
      </c>
      <c r="AG856" s="4">
        <v>0.69444444444444453</v>
      </c>
      <c r="AH856" s="2">
        <v>2</v>
      </c>
      <c r="AI856" s="2" t="s">
        <v>84</v>
      </c>
      <c r="AJ856" s="2">
        <v>9</v>
      </c>
      <c r="AK856" s="2" t="s">
        <v>103</v>
      </c>
      <c r="AL856" s="2">
        <v>12</v>
      </c>
      <c r="AM856" s="2" t="s">
        <v>86</v>
      </c>
      <c r="AN856" s="2" t="s">
        <v>3370</v>
      </c>
      <c r="AO856" s="2" t="s">
        <v>82</v>
      </c>
      <c r="AP856" s="2">
        <v>11</v>
      </c>
      <c r="AQ856" s="2" t="s">
        <v>82</v>
      </c>
      <c r="AR856" s="2"/>
      <c r="AS856" s="2"/>
      <c r="AT856" s="2" t="s">
        <v>3371</v>
      </c>
      <c r="AU856" s="2"/>
      <c r="AV856" s="2"/>
      <c r="AW856" s="2"/>
      <c r="AX856" s="2"/>
      <c r="AY856" s="2">
        <v>41</v>
      </c>
      <c r="AZ856" s="2" t="s">
        <v>82</v>
      </c>
      <c r="BA856" s="2">
        <v>41</v>
      </c>
      <c r="BB856" s="2" t="s">
        <v>82</v>
      </c>
      <c r="BC856" s="2">
        <v>41</v>
      </c>
      <c r="BD856" s="2" t="s">
        <v>82</v>
      </c>
      <c r="BE856" s="2">
        <v>41</v>
      </c>
      <c r="BF856" s="2" t="s">
        <v>82</v>
      </c>
      <c r="BG856" s="2"/>
      <c r="BH856" s="2"/>
      <c r="BI856" s="2"/>
      <c r="BJ856" s="2">
        <v>241</v>
      </c>
      <c r="BK856" s="2" t="s">
        <v>82</v>
      </c>
      <c r="BL856" s="2"/>
      <c r="BM856" s="2">
        <v>241</v>
      </c>
      <c r="BN856" s="2" t="s">
        <v>82</v>
      </c>
      <c r="BO856" s="2"/>
      <c r="BP856" s="2">
        <v>241</v>
      </c>
      <c r="BQ856" s="2" t="s">
        <v>82</v>
      </c>
      <c r="BR856" s="2"/>
      <c r="BS856" s="3">
        <v>40245</v>
      </c>
      <c r="BT856" s="4">
        <v>0.80939814814814814</v>
      </c>
    </row>
    <row r="857" spans="1:72" x14ac:dyDescent="0.25">
      <c r="A857" s="2">
        <v>1347</v>
      </c>
      <c r="B857" s="2">
        <v>2010</v>
      </c>
      <c r="C857" s="2" t="s">
        <v>385</v>
      </c>
      <c r="D857" s="2" t="s">
        <v>122</v>
      </c>
      <c r="E857" s="2"/>
      <c r="F857" s="2">
        <v>11</v>
      </c>
      <c r="G857" s="2" t="s">
        <v>2454</v>
      </c>
      <c r="H857" s="2">
        <v>56</v>
      </c>
      <c r="I857" s="2" t="s">
        <v>3372</v>
      </c>
      <c r="J857" s="2">
        <v>19</v>
      </c>
      <c r="K857" s="2" t="s">
        <v>2144</v>
      </c>
      <c r="L857" s="2" t="s">
        <v>2145</v>
      </c>
      <c r="M857" s="3">
        <v>40245</v>
      </c>
      <c r="N857" s="2" t="s">
        <v>3358</v>
      </c>
      <c r="O857" s="2" t="s">
        <v>3373</v>
      </c>
      <c r="P857" s="2" t="s">
        <v>3065</v>
      </c>
      <c r="Q857" s="2" t="str">
        <f>"----"</f>
        <v>----</v>
      </c>
      <c r="R857" s="2" t="s">
        <v>2529</v>
      </c>
      <c r="S857" s="2" t="s">
        <v>2529</v>
      </c>
      <c r="T857" s="2">
        <v>1</v>
      </c>
      <c r="U857" s="2" t="s">
        <v>79</v>
      </c>
      <c r="V857" s="2">
        <v>1</v>
      </c>
      <c r="W857" s="2" t="s">
        <v>80</v>
      </c>
      <c r="X857" s="2">
        <v>5</v>
      </c>
      <c r="Y857" s="2" t="s">
        <v>82</v>
      </c>
      <c r="Z857" s="2">
        <v>1</v>
      </c>
      <c r="AA857" s="2" t="s">
        <v>82</v>
      </c>
      <c r="AB857" s="2">
        <v>9</v>
      </c>
      <c r="AC857" s="2" t="s">
        <v>124</v>
      </c>
      <c r="AD857" s="3">
        <v>40245</v>
      </c>
      <c r="AE857" s="4">
        <v>0.75</v>
      </c>
      <c r="AF857" s="2"/>
      <c r="AG857" s="2"/>
      <c r="AH857" s="2">
        <v>3</v>
      </c>
      <c r="AI857" s="2" t="s">
        <v>214</v>
      </c>
      <c r="AJ857" s="2">
        <v>24</v>
      </c>
      <c r="AK857" s="2" t="s">
        <v>215</v>
      </c>
      <c r="AL857" s="2">
        <v>18</v>
      </c>
      <c r="AM857" s="2" t="s">
        <v>82</v>
      </c>
      <c r="AN857" s="2" t="s">
        <v>2529</v>
      </c>
      <c r="AO857" s="2" t="s">
        <v>2529</v>
      </c>
      <c r="AP857" s="2">
        <v>11</v>
      </c>
      <c r="AQ857" s="2" t="s">
        <v>82</v>
      </c>
      <c r="AR857" s="2"/>
      <c r="AS857" s="2"/>
      <c r="AT857" s="2" t="s">
        <v>3374</v>
      </c>
      <c r="AU857" s="2">
        <v>1</v>
      </c>
      <c r="AV857" s="2"/>
      <c r="AW857" s="2"/>
      <c r="AX857" s="2"/>
      <c r="AY857" s="2">
        <v>41</v>
      </c>
      <c r="AZ857" s="2" t="s">
        <v>82</v>
      </c>
      <c r="BA857" s="2">
        <v>41</v>
      </c>
      <c r="BB857" s="2" t="s">
        <v>82</v>
      </c>
      <c r="BC857" s="2">
        <v>41</v>
      </c>
      <c r="BD857" s="2" t="s">
        <v>82</v>
      </c>
      <c r="BE857" s="2">
        <v>41</v>
      </c>
      <c r="BF857" s="2" t="s">
        <v>82</v>
      </c>
      <c r="BG857" s="2"/>
      <c r="BH857" s="2"/>
      <c r="BI857" s="2"/>
      <c r="BJ857" s="2">
        <v>241</v>
      </c>
      <c r="BK857" s="2" t="s">
        <v>82</v>
      </c>
      <c r="BL857" s="2"/>
      <c r="BM857" s="2">
        <v>241</v>
      </c>
      <c r="BN857" s="2" t="s">
        <v>82</v>
      </c>
      <c r="BO857" s="2"/>
      <c r="BP857" s="2">
        <v>241</v>
      </c>
      <c r="BQ857" s="2" t="s">
        <v>82</v>
      </c>
      <c r="BR857" s="2"/>
      <c r="BS857" s="3">
        <v>40245</v>
      </c>
      <c r="BT857" s="4">
        <v>0.90138888888888891</v>
      </c>
    </row>
    <row r="858" spans="1:72" x14ac:dyDescent="0.25">
      <c r="A858" s="2">
        <v>1348</v>
      </c>
      <c r="B858" s="2">
        <v>2010</v>
      </c>
      <c r="C858" s="2" t="s">
        <v>171</v>
      </c>
      <c r="D858" s="2" t="s">
        <v>73</v>
      </c>
      <c r="E858" s="2"/>
      <c r="F858" s="2">
        <v>158</v>
      </c>
      <c r="G858" s="2" t="s">
        <v>3026</v>
      </c>
      <c r="H858" s="2">
        <v>16</v>
      </c>
      <c r="I858" s="2" t="s">
        <v>3027</v>
      </c>
      <c r="J858" s="2">
        <v>164</v>
      </c>
      <c r="K858" s="2" t="s">
        <v>3254</v>
      </c>
      <c r="L858" s="2" t="s">
        <v>946</v>
      </c>
      <c r="M858" s="3">
        <v>40245</v>
      </c>
      <c r="N858" s="2" t="s">
        <v>3375</v>
      </c>
      <c r="O858" s="2" t="s">
        <v>107</v>
      </c>
      <c r="P858" s="2" t="s">
        <v>107</v>
      </c>
      <c r="Q858" s="2" t="str">
        <f>"085-A/10"</f>
        <v>085-A/10</v>
      </c>
      <c r="R858" s="2" t="s">
        <v>107</v>
      </c>
      <c r="S858" s="2" t="s">
        <v>1035</v>
      </c>
      <c r="T858" s="2">
        <v>1</v>
      </c>
      <c r="U858" s="2" t="s">
        <v>79</v>
      </c>
      <c r="V858" s="2">
        <v>1</v>
      </c>
      <c r="W858" s="2" t="s">
        <v>80</v>
      </c>
      <c r="X858" s="2">
        <v>1</v>
      </c>
      <c r="Y858" s="2" t="s">
        <v>81</v>
      </c>
      <c r="Z858" s="2">
        <v>1</v>
      </c>
      <c r="AA858" s="2" t="s">
        <v>82</v>
      </c>
      <c r="AB858" s="2">
        <v>1</v>
      </c>
      <c r="AC858" s="2" t="s">
        <v>178</v>
      </c>
      <c r="AD858" s="3">
        <v>40245</v>
      </c>
      <c r="AE858" s="4">
        <v>0.69444444444444453</v>
      </c>
      <c r="AF858" s="3">
        <v>40245</v>
      </c>
      <c r="AG858" s="4">
        <v>0.71875</v>
      </c>
      <c r="AH858" s="2">
        <v>2</v>
      </c>
      <c r="AI858" s="2" t="s">
        <v>84</v>
      </c>
      <c r="AJ858" s="2">
        <v>12</v>
      </c>
      <c r="AK858" s="2" t="s">
        <v>85</v>
      </c>
      <c r="AL858" s="2">
        <v>14</v>
      </c>
      <c r="AM858" s="2" t="s">
        <v>216</v>
      </c>
      <c r="AN858" s="2" t="s">
        <v>919</v>
      </c>
      <c r="AO858" s="2" t="s">
        <v>3347</v>
      </c>
      <c r="AP858" s="2">
        <v>11</v>
      </c>
      <c r="AQ858" s="2" t="s">
        <v>82</v>
      </c>
      <c r="AR858" s="2"/>
      <c r="AS858" s="2"/>
      <c r="AT858" s="2" t="s">
        <v>3376</v>
      </c>
      <c r="AU858" s="2">
        <v>1</v>
      </c>
      <c r="AV858" s="2"/>
      <c r="AW858" s="2"/>
      <c r="AX858" s="2"/>
      <c r="AY858" s="2">
        <v>41</v>
      </c>
      <c r="AZ858" s="2" t="s">
        <v>82</v>
      </c>
      <c r="BA858" s="2">
        <v>41</v>
      </c>
      <c r="BB858" s="2" t="s">
        <v>82</v>
      </c>
      <c r="BC858" s="2">
        <v>41</v>
      </c>
      <c r="BD858" s="2" t="s">
        <v>82</v>
      </c>
      <c r="BE858" s="2">
        <v>13</v>
      </c>
      <c r="BF858" s="2" t="s">
        <v>108</v>
      </c>
      <c r="BG858" s="2" t="s">
        <v>3377</v>
      </c>
      <c r="BH858" s="4">
        <v>0.80902777777777779</v>
      </c>
      <c r="BI858" s="4">
        <v>0.73055555555555562</v>
      </c>
      <c r="BJ858" s="2">
        <v>13</v>
      </c>
      <c r="BK858" s="2" t="s">
        <v>91</v>
      </c>
      <c r="BL858" s="2" t="s">
        <v>3378</v>
      </c>
      <c r="BM858" s="2">
        <v>241</v>
      </c>
      <c r="BN858" s="2" t="s">
        <v>82</v>
      </c>
      <c r="BO858" s="2" t="s">
        <v>82</v>
      </c>
      <c r="BP858" s="2">
        <v>13</v>
      </c>
      <c r="BQ858" s="2" t="s">
        <v>91</v>
      </c>
      <c r="BR858" s="2" t="s">
        <v>332</v>
      </c>
      <c r="BS858" s="3">
        <v>40245</v>
      </c>
      <c r="BT858" s="4">
        <v>0.94736111111111121</v>
      </c>
    </row>
    <row r="859" spans="1:72" x14ac:dyDescent="0.25">
      <c r="A859" s="2">
        <v>1349</v>
      </c>
      <c r="B859" s="2">
        <v>2010</v>
      </c>
      <c r="C859" s="2" t="s">
        <v>171</v>
      </c>
      <c r="D859" s="2" t="s">
        <v>122</v>
      </c>
      <c r="E859" s="2" t="s">
        <v>3379</v>
      </c>
      <c r="F859" s="2">
        <v>158</v>
      </c>
      <c r="G859" s="2" t="s">
        <v>3026</v>
      </c>
      <c r="H859" s="2">
        <v>16</v>
      </c>
      <c r="I859" s="2" t="s">
        <v>3027</v>
      </c>
      <c r="J859" s="2">
        <v>164</v>
      </c>
      <c r="K859" s="2" t="s">
        <v>3254</v>
      </c>
      <c r="L859" s="2" t="s">
        <v>946</v>
      </c>
      <c r="M859" s="3">
        <v>40246</v>
      </c>
      <c r="N859" s="2" t="s">
        <v>3375</v>
      </c>
      <c r="O859" s="2" t="s">
        <v>107</v>
      </c>
      <c r="P859" s="2" t="s">
        <v>107</v>
      </c>
      <c r="Q859" s="2" t="str">
        <f>"085-A/10"</f>
        <v>085-A/10</v>
      </c>
      <c r="R859" s="2" t="s">
        <v>1035</v>
      </c>
      <c r="S859" s="2" t="s">
        <v>107</v>
      </c>
      <c r="T859" s="2">
        <v>1</v>
      </c>
      <c r="U859" s="2" t="s">
        <v>79</v>
      </c>
      <c r="V859" s="2">
        <v>1</v>
      </c>
      <c r="W859" s="2" t="s">
        <v>80</v>
      </c>
      <c r="X859" s="2">
        <v>1</v>
      </c>
      <c r="Y859" s="2" t="s">
        <v>81</v>
      </c>
      <c r="Z859" s="2">
        <v>10</v>
      </c>
      <c r="AA859" s="2" t="s">
        <v>236</v>
      </c>
      <c r="AB859" s="2">
        <v>1</v>
      </c>
      <c r="AC859" s="2" t="s">
        <v>178</v>
      </c>
      <c r="AD859" s="3">
        <v>40245</v>
      </c>
      <c r="AE859" s="4">
        <v>0.69444444444444453</v>
      </c>
      <c r="AF859" s="3">
        <v>40245</v>
      </c>
      <c r="AG859" s="4">
        <v>0.71875</v>
      </c>
      <c r="AH859" s="2">
        <v>2</v>
      </c>
      <c r="AI859" s="2" t="s">
        <v>84</v>
      </c>
      <c r="AJ859" s="2">
        <v>12</v>
      </c>
      <c r="AK859" s="2" t="s">
        <v>85</v>
      </c>
      <c r="AL859" s="2">
        <v>11</v>
      </c>
      <c r="AM859" s="2" t="s">
        <v>137</v>
      </c>
      <c r="AN859" s="2" t="s">
        <v>919</v>
      </c>
      <c r="AO859" s="2" t="s">
        <v>3380</v>
      </c>
      <c r="AP859" s="2">
        <v>11</v>
      </c>
      <c r="AQ859" s="2" t="s">
        <v>82</v>
      </c>
      <c r="AR859" s="2"/>
      <c r="AS859" s="2"/>
      <c r="AT859" s="2" t="s">
        <v>3381</v>
      </c>
      <c r="AU859" s="2"/>
      <c r="AV859" s="2"/>
      <c r="AW859" s="2"/>
      <c r="AX859" s="2"/>
      <c r="AY859" s="2">
        <v>41</v>
      </c>
      <c r="AZ859" s="2" t="s">
        <v>82</v>
      </c>
      <c r="BA859" s="2">
        <v>41</v>
      </c>
      <c r="BB859" s="2" t="s">
        <v>82</v>
      </c>
      <c r="BC859" s="2">
        <v>41</v>
      </c>
      <c r="BD859" s="2" t="s">
        <v>82</v>
      </c>
      <c r="BE859" s="2">
        <v>13</v>
      </c>
      <c r="BF859" s="2" t="s">
        <v>108</v>
      </c>
      <c r="BG859" s="2" t="s">
        <v>3377</v>
      </c>
      <c r="BH859" s="4">
        <v>0.80902777777777779</v>
      </c>
      <c r="BI859" s="4">
        <v>0.73055555555555562</v>
      </c>
      <c r="BJ859" s="2">
        <v>13</v>
      </c>
      <c r="BK859" s="2" t="s">
        <v>91</v>
      </c>
      <c r="BL859" s="2" t="s">
        <v>185</v>
      </c>
      <c r="BM859" s="2">
        <v>241</v>
      </c>
      <c r="BN859" s="2" t="s">
        <v>82</v>
      </c>
      <c r="BO859" s="2" t="s">
        <v>82</v>
      </c>
      <c r="BP859" s="2">
        <v>13</v>
      </c>
      <c r="BQ859" s="2" t="s">
        <v>91</v>
      </c>
      <c r="BR859" s="2" t="s">
        <v>332</v>
      </c>
      <c r="BS859" s="3">
        <v>40246</v>
      </c>
      <c r="BT859" s="4">
        <v>0.14586805555555557</v>
      </c>
    </row>
    <row r="860" spans="1:72" x14ac:dyDescent="0.25">
      <c r="A860" s="2">
        <v>1350</v>
      </c>
      <c r="B860" s="2">
        <v>2010</v>
      </c>
      <c r="C860" s="2" t="s">
        <v>72</v>
      </c>
      <c r="D860" s="2" t="s">
        <v>73</v>
      </c>
      <c r="E860" s="2"/>
      <c r="F860" s="2">
        <v>524</v>
      </c>
      <c r="G860" s="2" t="s">
        <v>3382</v>
      </c>
      <c r="H860" s="2">
        <v>42</v>
      </c>
      <c r="I860" s="2" t="s">
        <v>1096</v>
      </c>
      <c r="J860" s="2">
        <v>452</v>
      </c>
      <c r="K860" s="2" t="s">
        <v>3115</v>
      </c>
      <c r="L860" s="2" t="s">
        <v>3116</v>
      </c>
      <c r="M860" s="3">
        <v>40246</v>
      </c>
      <c r="N860" s="2" t="s">
        <v>3383</v>
      </c>
      <c r="O860" s="2"/>
      <c r="P860" s="2"/>
      <c r="Q860" s="2" t="str">
        <f>"0003/10"</f>
        <v>0003/10</v>
      </c>
      <c r="R860" s="2"/>
      <c r="S860" s="2" t="s">
        <v>3384</v>
      </c>
      <c r="T860" s="2">
        <v>1</v>
      </c>
      <c r="U860" s="2" t="s">
        <v>79</v>
      </c>
      <c r="V860" s="2">
        <v>1</v>
      </c>
      <c r="W860" s="2" t="s">
        <v>80</v>
      </c>
      <c r="X860" s="2">
        <v>1</v>
      </c>
      <c r="Y860" s="2" t="s">
        <v>81</v>
      </c>
      <c r="Z860" s="2">
        <v>10</v>
      </c>
      <c r="AA860" s="2" t="s">
        <v>236</v>
      </c>
      <c r="AB860" s="2">
        <v>6</v>
      </c>
      <c r="AC860" s="2" t="s">
        <v>83</v>
      </c>
      <c r="AD860" s="3">
        <v>40246</v>
      </c>
      <c r="AE860" s="4">
        <v>0.375</v>
      </c>
      <c r="AF860" s="3">
        <v>40246</v>
      </c>
      <c r="AG860" s="4">
        <v>0.40625</v>
      </c>
      <c r="AH860" s="2">
        <v>5</v>
      </c>
      <c r="AI860" s="2" t="s">
        <v>274</v>
      </c>
      <c r="AJ860" s="2">
        <v>43</v>
      </c>
      <c r="AK860" s="2" t="s">
        <v>918</v>
      </c>
      <c r="AL860" s="2">
        <v>14</v>
      </c>
      <c r="AM860" s="2" t="s">
        <v>216</v>
      </c>
      <c r="AN860" s="2"/>
      <c r="AO860" s="2" t="s">
        <v>3385</v>
      </c>
      <c r="AP860" s="2">
        <v>11</v>
      </c>
      <c r="AQ860" s="2" t="s">
        <v>82</v>
      </c>
      <c r="AR860" s="2" t="s">
        <v>82</v>
      </c>
      <c r="AS860" s="2" t="s">
        <v>82</v>
      </c>
      <c r="AT860" s="2" t="s">
        <v>3386</v>
      </c>
      <c r="AU860" s="2"/>
      <c r="AV860" s="2"/>
      <c r="AW860" s="2"/>
      <c r="AX860" s="2"/>
      <c r="AY860" s="2">
        <v>41</v>
      </c>
      <c r="AZ860" s="2" t="s">
        <v>82</v>
      </c>
      <c r="BA860" s="2">
        <v>41</v>
      </c>
      <c r="BB860" s="2" t="s">
        <v>82</v>
      </c>
      <c r="BC860" s="2">
        <v>13</v>
      </c>
      <c r="BD860" s="2" t="s">
        <v>108</v>
      </c>
      <c r="BE860" s="2">
        <v>13</v>
      </c>
      <c r="BF860" s="2" t="s">
        <v>108</v>
      </c>
      <c r="BG860" s="2">
        <v>1782</v>
      </c>
      <c r="BH860" s="4">
        <v>0.375</v>
      </c>
      <c r="BI860" s="4">
        <v>0.32291666666666669</v>
      </c>
      <c r="BJ860" s="2">
        <v>13</v>
      </c>
      <c r="BK860" s="2" t="s">
        <v>91</v>
      </c>
      <c r="BL860" s="2" t="s">
        <v>170</v>
      </c>
      <c r="BM860" s="2">
        <v>241</v>
      </c>
      <c r="BN860" s="2" t="s">
        <v>82</v>
      </c>
      <c r="BO860" s="2" t="s">
        <v>82</v>
      </c>
      <c r="BP860" s="2">
        <v>13</v>
      </c>
      <c r="BQ860" s="2" t="s">
        <v>91</v>
      </c>
      <c r="BR860" s="2" t="s">
        <v>3387</v>
      </c>
      <c r="BS860" s="3">
        <v>40246</v>
      </c>
      <c r="BT860" s="4">
        <v>0.4890856481481482</v>
      </c>
    </row>
    <row r="861" spans="1:72" x14ac:dyDescent="0.25">
      <c r="A861" s="2">
        <v>1351</v>
      </c>
      <c r="B861" s="2">
        <v>2010</v>
      </c>
      <c r="C861" s="2" t="s">
        <v>806</v>
      </c>
      <c r="D861" s="2" t="s">
        <v>73</v>
      </c>
      <c r="E861" s="2"/>
      <c r="F861" s="2">
        <v>473</v>
      </c>
      <c r="G861" s="2" t="s">
        <v>3388</v>
      </c>
      <c r="H861" s="2">
        <v>50</v>
      </c>
      <c r="I861" s="2" t="s">
        <v>107</v>
      </c>
      <c r="J861" s="2">
        <v>376</v>
      </c>
      <c r="K861" s="2" t="s">
        <v>1218</v>
      </c>
      <c r="L861" s="2" t="s">
        <v>1219</v>
      </c>
      <c r="M861" s="3">
        <v>40246</v>
      </c>
      <c r="N861" s="2" t="s">
        <v>3389</v>
      </c>
      <c r="O861" s="2" t="s">
        <v>3390</v>
      </c>
      <c r="P861" s="2" t="s">
        <v>3391</v>
      </c>
      <c r="Q861" s="2" t="str">
        <f>"08/10"</f>
        <v>08/10</v>
      </c>
      <c r="R861" s="2" t="s">
        <v>3392</v>
      </c>
      <c r="S861" s="2" t="s">
        <v>82</v>
      </c>
      <c r="T861" s="2">
        <v>1</v>
      </c>
      <c r="U861" s="2" t="s">
        <v>79</v>
      </c>
      <c r="V861" s="2">
        <v>3</v>
      </c>
      <c r="W861" s="2" t="s">
        <v>225</v>
      </c>
      <c r="X861" s="2">
        <v>9</v>
      </c>
      <c r="Y861" s="2" t="s">
        <v>3393</v>
      </c>
      <c r="Z861" s="2">
        <v>1</v>
      </c>
      <c r="AA861" s="2" t="s">
        <v>82</v>
      </c>
      <c r="AB861" s="2">
        <v>9</v>
      </c>
      <c r="AC861" s="2" t="s">
        <v>124</v>
      </c>
      <c r="AD861" s="3">
        <v>40246</v>
      </c>
      <c r="AE861" s="4">
        <v>0.45833333333333331</v>
      </c>
      <c r="AF861" s="2"/>
      <c r="AG861" s="2"/>
      <c r="AH861" s="2">
        <v>3</v>
      </c>
      <c r="AI861" s="2" t="s">
        <v>214</v>
      </c>
      <c r="AJ861" s="2">
        <v>14</v>
      </c>
      <c r="AK861" s="2" t="s">
        <v>342</v>
      </c>
      <c r="AL861" s="2">
        <v>23</v>
      </c>
      <c r="AM861" s="2" t="s">
        <v>251</v>
      </c>
      <c r="AN861" s="2"/>
      <c r="AO861" s="2" t="s">
        <v>3394</v>
      </c>
      <c r="AP861" s="2">
        <v>11</v>
      </c>
      <c r="AQ861" s="2" t="s">
        <v>82</v>
      </c>
      <c r="AR861" s="2"/>
      <c r="AS861" s="2"/>
      <c r="AT861" s="2" t="s">
        <v>3395</v>
      </c>
      <c r="AU861" s="2"/>
      <c r="AV861" s="2"/>
      <c r="AW861" s="2"/>
      <c r="AX861" s="2"/>
      <c r="AY861" s="2">
        <v>1</v>
      </c>
      <c r="AZ861" s="2" t="s">
        <v>107</v>
      </c>
      <c r="BA861" s="2">
        <v>1</v>
      </c>
      <c r="BB861" s="2" t="s">
        <v>107</v>
      </c>
      <c r="BC861" s="2">
        <v>1</v>
      </c>
      <c r="BD861" s="2" t="s">
        <v>107</v>
      </c>
      <c r="BE861" s="2">
        <v>41</v>
      </c>
      <c r="BF861" s="2" t="s">
        <v>82</v>
      </c>
      <c r="BG861" s="2"/>
      <c r="BH861" s="2"/>
      <c r="BI861" s="2"/>
      <c r="BJ861" s="2">
        <v>242</v>
      </c>
      <c r="BK861" s="2" t="s">
        <v>107</v>
      </c>
      <c r="BL861" s="2"/>
      <c r="BM861" s="2">
        <v>242</v>
      </c>
      <c r="BN861" s="2" t="s">
        <v>107</v>
      </c>
      <c r="BO861" s="2"/>
      <c r="BP861" s="2">
        <v>242</v>
      </c>
      <c r="BQ861" s="2" t="s">
        <v>107</v>
      </c>
      <c r="BR861" s="2"/>
      <c r="BS861" s="3">
        <v>40246</v>
      </c>
      <c r="BT861" s="4">
        <v>0.49297453703703703</v>
      </c>
    </row>
    <row r="862" spans="1:72" x14ac:dyDescent="0.25">
      <c r="A862" s="2">
        <v>1354</v>
      </c>
      <c r="B862" s="2">
        <v>2010</v>
      </c>
      <c r="C862" s="2" t="s">
        <v>72</v>
      </c>
      <c r="D862" s="2" t="s">
        <v>73</v>
      </c>
      <c r="E862" s="2" t="s">
        <v>3396</v>
      </c>
      <c r="F862" s="2">
        <v>533</v>
      </c>
      <c r="G862" s="2" t="s">
        <v>3397</v>
      </c>
      <c r="H862" s="2">
        <v>2</v>
      </c>
      <c r="I862" s="2" t="s">
        <v>267</v>
      </c>
      <c r="J862" s="2">
        <v>462</v>
      </c>
      <c r="K862" s="2" t="s">
        <v>3398</v>
      </c>
      <c r="L862" s="2" t="s">
        <v>3399</v>
      </c>
      <c r="M862" s="3">
        <v>40246</v>
      </c>
      <c r="N862" s="2" t="s">
        <v>3400</v>
      </c>
      <c r="O862" s="2"/>
      <c r="P862" s="2"/>
      <c r="Q862" s="2" t="str">
        <f>"0026/10"</f>
        <v>0026/10</v>
      </c>
      <c r="R862" s="2"/>
      <c r="S862" s="2" t="s">
        <v>1454</v>
      </c>
      <c r="T862" s="2">
        <v>1</v>
      </c>
      <c r="U862" s="2" t="s">
        <v>79</v>
      </c>
      <c r="V862" s="2">
        <v>1</v>
      </c>
      <c r="W862" s="2" t="s">
        <v>80</v>
      </c>
      <c r="X862" s="2">
        <v>12</v>
      </c>
      <c r="Y862" s="2" t="s">
        <v>148</v>
      </c>
      <c r="Z862" s="2">
        <v>10</v>
      </c>
      <c r="AA862" s="2" t="s">
        <v>236</v>
      </c>
      <c r="AB862" s="2">
        <v>6</v>
      </c>
      <c r="AC862" s="2" t="s">
        <v>83</v>
      </c>
      <c r="AD862" s="3">
        <v>40246</v>
      </c>
      <c r="AE862" s="2"/>
      <c r="AF862" s="3">
        <v>40246</v>
      </c>
      <c r="AG862" s="4">
        <v>0.47916666666666669</v>
      </c>
      <c r="AH862" s="2">
        <v>5</v>
      </c>
      <c r="AI862" s="2" t="s">
        <v>274</v>
      </c>
      <c r="AJ862" s="2">
        <v>38</v>
      </c>
      <c r="AK862" s="2" t="s">
        <v>1120</v>
      </c>
      <c r="AL862" s="2">
        <v>12</v>
      </c>
      <c r="AM862" s="2" t="s">
        <v>86</v>
      </c>
      <c r="AN862" s="2" t="s">
        <v>3401</v>
      </c>
      <c r="AO862" s="2" t="s">
        <v>3402</v>
      </c>
      <c r="AP862" s="2">
        <v>11</v>
      </c>
      <c r="AQ862" s="2" t="s">
        <v>82</v>
      </c>
      <c r="AR862" s="2"/>
      <c r="AS862" s="2"/>
      <c r="AT862" s="2" t="s">
        <v>3403</v>
      </c>
      <c r="AU862" s="2"/>
      <c r="AV862" s="2"/>
      <c r="AW862" s="2"/>
      <c r="AX862" s="2"/>
      <c r="AY862" s="2">
        <v>1</v>
      </c>
      <c r="AZ862" s="2" t="s">
        <v>107</v>
      </c>
      <c r="BA862" s="2">
        <v>1</v>
      </c>
      <c r="BB862" s="2" t="s">
        <v>107</v>
      </c>
      <c r="BC862" s="2">
        <v>1</v>
      </c>
      <c r="BD862" s="2" t="s">
        <v>107</v>
      </c>
      <c r="BE862" s="2">
        <v>41</v>
      </c>
      <c r="BF862" s="2" t="s">
        <v>82</v>
      </c>
      <c r="BG862" s="2"/>
      <c r="BH862" s="2"/>
      <c r="BI862" s="2"/>
      <c r="BJ862" s="2">
        <v>241</v>
      </c>
      <c r="BK862" s="2" t="s">
        <v>82</v>
      </c>
      <c r="BL862" s="2"/>
      <c r="BM862" s="2">
        <v>241</v>
      </c>
      <c r="BN862" s="2" t="s">
        <v>82</v>
      </c>
      <c r="BO862" s="2"/>
      <c r="BP862" s="2">
        <v>241</v>
      </c>
      <c r="BQ862" s="2" t="s">
        <v>82</v>
      </c>
      <c r="BR862" s="2"/>
      <c r="BS862" s="3">
        <v>40246</v>
      </c>
      <c r="BT862" s="4">
        <v>0.56819444444444445</v>
      </c>
    </row>
    <row r="863" spans="1:72" x14ac:dyDescent="0.25">
      <c r="A863" s="2">
        <v>1355</v>
      </c>
      <c r="B863" s="2">
        <v>2010</v>
      </c>
      <c r="C863" s="2" t="s">
        <v>128</v>
      </c>
      <c r="D863" s="2" t="s">
        <v>122</v>
      </c>
      <c r="E863" s="2"/>
      <c r="F863" s="2">
        <v>475</v>
      </c>
      <c r="G863" s="2" t="s">
        <v>1271</v>
      </c>
      <c r="H863" s="2">
        <v>44</v>
      </c>
      <c r="I863" s="2" t="s">
        <v>1272</v>
      </c>
      <c r="J863" s="2">
        <v>385</v>
      </c>
      <c r="K863" s="2" t="s">
        <v>1314</v>
      </c>
      <c r="L863" s="2" t="s">
        <v>1315</v>
      </c>
      <c r="M863" s="3">
        <v>40246</v>
      </c>
      <c r="N863" s="2" t="s">
        <v>1275</v>
      </c>
      <c r="O863" s="2" t="s">
        <v>3169</v>
      </c>
      <c r="P863" s="2" t="s">
        <v>82</v>
      </c>
      <c r="Q863" s="2" t="str">
        <f>"11/2010"</f>
        <v>11/2010</v>
      </c>
      <c r="R863" s="2" t="s">
        <v>82</v>
      </c>
      <c r="S863" s="2" t="s">
        <v>82</v>
      </c>
      <c r="T863" s="2">
        <v>1</v>
      </c>
      <c r="U863" s="2" t="s">
        <v>79</v>
      </c>
      <c r="V863" s="2">
        <v>1</v>
      </c>
      <c r="W863" s="2" t="s">
        <v>80</v>
      </c>
      <c r="X863" s="2">
        <v>1</v>
      </c>
      <c r="Y863" s="2" t="s">
        <v>81</v>
      </c>
      <c r="Z863" s="2">
        <v>10</v>
      </c>
      <c r="AA863" s="2" t="s">
        <v>236</v>
      </c>
      <c r="AB863" s="2">
        <v>9</v>
      </c>
      <c r="AC863" s="2" t="s">
        <v>124</v>
      </c>
      <c r="AD863" s="3">
        <v>40245</v>
      </c>
      <c r="AE863" s="4">
        <v>0.79166666666666663</v>
      </c>
      <c r="AF863" s="3">
        <v>40245</v>
      </c>
      <c r="AG863" s="4">
        <v>0.79166666666666663</v>
      </c>
      <c r="AH863" s="2">
        <v>5</v>
      </c>
      <c r="AI863" s="2" t="s">
        <v>274</v>
      </c>
      <c r="AJ863" s="2">
        <v>42</v>
      </c>
      <c r="AK863" s="2" t="s">
        <v>660</v>
      </c>
      <c r="AL863" s="2">
        <v>11</v>
      </c>
      <c r="AM863" s="2" t="s">
        <v>137</v>
      </c>
      <c r="AN863" s="2" t="s">
        <v>82</v>
      </c>
      <c r="AO863" s="2" t="s">
        <v>82</v>
      </c>
      <c r="AP863" s="2">
        <v>5</v>
      </c>
      <c r="AQ863" s="2" t="s">
        <v>827</v>
      </c>
      <c r="AR863" s="2" t="s">
        <v>82</v>
      </c>
      <c r="AS863" s="2" t="s">
        <v>82</v>
      </c>
      <c r="AT863" s="2" t="s">
        <v>3404</v>
      </c>
      <c r="AU863" s="2"/>
      <c r="AV863" s="2"/>
      <c r="AW863" s="2"/>
      <c r="AX863" s="2"/>
      <c r="AY863" s="2">
        <v>41</v>
      </c>
      <c r="AZ863" s="2" t="s">
        <v>82</v>
      </c>
      <c r="BA863" s="2">
        <v>41</v>
      </c>
      <c r="BB863" s="2" t="s">
        <v>82</v>
      </c>
      <c r="BC863" s="2">
        <v>41</v>
      </c>
      <c r="BD863" s="2" t="s">
        <v>82</v>
      </c>
      <c r="BE863" s="2">
        <v>47</v>
      </c>
      <c r="BF863" s="2" t="s">
        <v>167</v>
      </c>
      <c r="BG863" s="2">
        <v>2788</v>
      </c>
      <c r="BH863" s="4">
        <v>0.83333333333333337</v>
      </c>
      <c r="BI863" s="4">
        <v>0.86111111111111116</v>
      </c>
      <c r="BJ863" s="2">
        <v>13</v>
      </c>
      <c r="BK863" s="2" t="s">
        <v>91</v>
      </c>
      <c r="BL863" s="2" t="s">
        <v>185</v>
      </c>
      <c r="BM863" s="2">
        <v>241</v>
      </c>
      <c r="BN863" s="2" t="s">
        <v>82</v>
      </c>
      <c r="BO863" s="2" t="s">
        <v>1958</v>
      </c>
      <c r="BP863" s="2">
        <v>13</v>
      </c>
      <c r="BQ863" s="2" t="s">
        <v>91</v>
      </c>
      <c r="BR863" s="2" t="s">
        <v>185</v>
      </c>
      <c r="BS863" s="3">
        <v>40246</v>
      </c>
      <c r="BT863" s="4">
        <v>0.56835648148148155</v>
      </c>
    </row>
    <row r="864" spans="1:72" x14ac:dyDescent="0.25">
      <c r="A864" s="2">
        <v>1356</v>
      </c>
      <c r="B864" s="2">
        <v>2010</v>
      </c>
      <c r="C864" s="2" t="s">
        <v>72</v>
      </c>
      <c r="D864" s="2" t="s">
        <v>73</v>
      </c>
      <c r="E864" s="2"/>
      <c r="F864" s="2">
        <v>481</v>
      </c>
      <c r="G864" s="2" t="s">
        <v>1438</v>
      </c>
      <c r="H864" s="2">
        <v>1</v>
      </c>
      <c r="I864" s="2" t="s">
        <v>82</v>
      </c>
      <c r="J864" s="2">
        <v>58</v>
      </c>
      <c r="K864" s="2" t="s">
        <v>3405</v>
      </c>
      <c r="L864" s="2" t="s">
        <v>1692</v>
      </c>
      <c r="M864" s="3">
        <v>40246</v>
      </c>
      <c r="N864" s="2" t="s">
        <v>82</v>
      </c>
      <c r="O864" s="2" t="s">
        <v>107</v>
      </c>
      <c r="P864" s="6">
        <v>44847</v>
      </c>
      <c r="Q864" s="2" t="str">
        <f>"13/10"</f>
        <v>13/10</v>
      </c>
      <c r="R864" s="2" t="s">
        <v>3406</v>
      </c>
      <c r="S864" s="2" t="s">
        <v>3407</v>
      </c>
      <c r="T864" s="2">
        <v>1</v>
      </c>
      <c r="U864" s="2" t="s">
        <v>79</v>
      </c>
      <c r="V864" s="2">
        <v>1</v>
      </c>
      <c r="W864" s="2" t="s">
        <v>80</v>
      </c>
      <c r="X864" s="2">
        <v>1</v>
      </c>
      <c r="Y864" s="2" t="s">
        <v>81</v>
      </c>
      <c r="Z864" s="2">
        <v>10</v>
      </c>
      <c r="AA864" s="2" t="s">
        <v>236</v>
      </c>
      <c r="AB864" s="2">
        <v>6</v>
      </c>
      <c r="AC864" s="2" t="s">
        <v>83</v>
      </c>
      <c r="AD864" s="3">
        <v>40246</v>
      </c>
      <c r="AE864" s="4">
        <v>5.2083333333333336E-2</v>
      </c>
      <c r="AF864" s="3">
        <v>40246</v>
      </c>
      <c r="AG864" s="4">
        <v>0.47222222222222227</v>
      </c>
      <c r="AH864" s="2">
        <v>3</v>
      </c>
      <c r="AI864" s="2" t="s">
        <v>214</v>
      </c>
      <c r="AJ864" s="2">
        <v>17</v>
      </c>
      <c r="AK864" s="2" t="s">
        <v>309</v>
      </c>
      <c r="AL864" s="2">
        <v>10</v>
      </c>
      <c r="AM864" s="2" t="s">
        <v>200</v>
      </c>
      <c r="AN864" s="2" t="s">
        <v>107</v>
      </c>
      <c r="AO864" s="2" t="s">
        <v>3408</v>
      </c>
      <c r="AP864" s="2">
        <v>11</v>
      </c>
      <c r="AQ864" s="2" t="s">
        <v>82</v>
      </c>
      <c r="AR864" s="2" t="s">
        <v>82</v>
      </c>
      <c r="AS864" s="2" t="s">
        <v>82</v>
      </c>
      <c r="AT864" s="2" t="s">
        <v>3409</v>
      </c>
      <c r="AU864" s="2"/>
      <c r="AV864" s="2"/>
      <c r="AW864" s="2"/>
      <c r="AX864" s="2"/>
      <c r="AY864" s="2">
        <v>41</v>
      </c>
      <c r="AZ864" s="2" t="s">
        <v>82</v>
      </c>
      <c r="BA864" s="2">
        <v>41</v>
      </c>
      <c r="BB864" s="2" t="s">
        <v>82</v>
      </c>
      <c r="BC864" s="2">
        <v>41</v>
      </c>
      <c r="BD864" s="2" t="s">
        <v>82</v>
      </c>
      <c r="BE864" s="2">
        <v>13</v>
      </c>
      <c r="BF864" s="2" t="s">
        <v>108</v>
      </c>
      <c r="BG864" s="2">
        <v>2811</v>
      </c>
      <c r="BH864" s="4">
        <v>5.2083333333333336E-2</v>
      </c>
      <c r="BI864" s="4">
        <v>0.91666666666666663</v>
      </c>
      <c r="BJ864" s="2">
        <v>13</v>
      </c>
      <c r="BK864" s="2" t="s">
        <v>91</v>
      </c>
      <c r="BL864" s="2" t="s">
        <v>895</v>
      </c>
      <c r="BM864" s="2">
        <v>13</v>
      </c>
      <c r="BN864" s="2" t="s">
        <v>91</v>
      </c>
      <c r="BO864" s="2" t="s">
        <v>82</v>
      </c>
      <c r="BP864" s="2">
        <v>13</v>
      </c>
      <c r="BQ864" s="2" t="s">
        <v>91</v>
      </c>
      <c r="BR864" s="2" t="s">
        <v>1226</v>
      </c>
      <c r="BS864" s="3">
        <v>40246</v>
      </c>
      <c r="BT864" s="4">
        <v>0.57885416666666667</v>
      </c>
    </row>
    <row r="865" spans="1:72" x14ac:dyDescent="0.25">
      <c r="A865" s="2">
        <v>1357</v>
      </c>
      <c r="B865" s="2">
        <v>2010</v>
      </c>
      <c r="C865" s="2" t="s">
        <v>385</v>
      </c>
      <c r="D865" s="2" t="s">
        <v>122</v>
      </c>
      <c r="E865" s="2"/>
      <c r="F865" s="2">
        <v>385</v>
      </c>
      <c r="G865" s="2" t="s">
        <v>990</v>
      </c>
      <c r="H865" s="2">
        <v>42</v>
      </c>
      <c r="I865" s="2" t="s">
        <v>1096</v>
      </c>
      <c r="J865" s="2">
        <v>332</v>
      </c>
      <c r="K865" s="2" t="s">
        <v>913</v>
      </c>
      <c r="L865" s="2" t="s">
        <v>914</v>
      </c>
      <c r="M865" s="3">
        <v>40246</v>
      </c>
      <c r="N865" s="2" t="s">
        <v>3154</v>
      </c>
      <c r="O865" s="2" t="s">
        <v>3410</v>
      </c>
      <c r="P865" s="2" t="s">
        <v>3411</v>
      </c>
      <c r="Q865" s="2" t="str">
        <f>"0002/10"</f>
        <v>0002/10</v>
      </c>
      <c r="R865" s="2" t="s">
        <v>3412</v>
      </c>
      <c r="S865" s="2" t="s">
        <v>3412</v>
      </c>
      <c r="T865" s="2">
        <v>1</v>
      </c>
      <c r="U865" s="2" t="s">
        <v>79</v>
      </c>
      <c r="V865" s="2">
        <v>1</v>
      </c>
      <c r="W865" s="2" t="s">
        <v>80</v>
      </c>
      <c r="X865" s="2">
        <v>5</v>
      </c>
      <c r="Y865" s="2" t="s">
        <v>82</v>
      </c>
      <c r="Z865" s="2">
        <v>1</v>
      </c>
      <c r="AA865" s="2" t="s">
        <v>82</v>
      </c>
      <c r="AB865" s="2">
        <v>9</v>
      </c>
      <c r="AC865" s="2" t="s">
        <v>124</v>
      </c>
      <c r="AD865" s="3">
        <v>40246</v>
      </c>
      <c r="AE865" s="4">
        <v>0.39583333333333331</v>
      </c>
      <c r="AF865" s="2"/>
      <c r="AG865" s="2"/>
      <c r="AH865" s="2">
        <v>5</v>
      </c>
      <c r="AI865" s="2" t="s">
        <v>274</v>
      </c>
      <c r="AJ865" s="2">
        <v>43</v>
      </c>
      <c r="AK865" s="2" t="s">
        <v>918</v>
      </c>
      <c r="AL865" s="2">
        <v>18</v>
      </c>
      <c r="AM865" s="2" t="s">
        <v>82</v>
      </c>
      <c r="AN865" s="2"/>
      <c r="AO865" s="2"/>
      <c r="AP865" s="2">
        <v>11</v>
      </c>
      <c r="AQ865" s="2" t="s">
        <v>82</v>
      </c>
      <c r="AR865" s="2"/>
      <c r="AS865" s="2"/>
      <c r="AT865" s="2" t="s">
        <v>3413</v>
      </c>
      <c r="AU865" s="2">
        <v>1</v>
      </c>
      <c r="AV865" s="2"/>
      <c r="AW865" s="2"/>
      <c r="AX865" s="2"/>
      <c r="AY865" s="2">
        <v>1</v>
      </c>
      <c r="AZ865" s="2" t="s">
        <v>107</v>
      </c>
      <c r="BA865" s="2">
        <v>1</v>
      </c>
      <c r="BB865" s="2" t="s">
        <v>107</v>
      </c>
      <c r="BC865" s="2">
        <v>1</v>
      </c>
      <c r="BD865" s="2" t="s">
        <v>107</v>
      </c>
      <c r="BE865" s="2">
        <v>1</v>
      </c>
      <c r="BF865" s="2" t="s">
        <v>107</v>
      </c>
      <c r="BG865" s="2"/>
      <c r="BH865" s="2"/>
      <c r="BI865" s="2"/>
      <c r="BJ865" s="2">
        <v>242</v>
      </c>
      <c r="BK865" s="2" t="s">
        <v>107</v>
      </c>
      <c r="BL865" s="2"/>
      <c r="BM865" s="2">
        <v>242</v>
      </c>
      <c r="BN865" s="2" t="s">
        <v>107</v>
      </c>
      <c r="BO865" s="2"/>
      <c r="BP865" s="2">
        <v>242</v>
      </c>
      <c r="BQ865" s="2" t="s">
        <v>107</v>
      </c>
      <c r="BR865" s="2"/>
      <c r="BS865" s="3">
        <v>40246</v>
      </c>
      <c r="BT865" s="4">
        <v>0.59174768518518517</v>
      </c>
    </row>
    <row r="866" spans="1:72" x14ac:dyDescent="0.25">
      <c r="A866" s="2">
        <v>1358</v>
      </c>
      <c r="B866" s="2">
        <v>2010</v>
      </c>
      <c r="C866" s="2" t="s">
        <v>642</v>
      </c>
      <c r="D866" s="2" t="s">
        <v>122</v>
      </c>
      <c r="E866" s="2" t="s">
        <v>3128</v>
      </c>
      <c r="F866" s="2">
        <v>437</v>
      </c>
      <c r="G866" s="2" t="s">
        <v>633</v>
      </c>
      <c r="H866" s="2">
        <v>31</v>
      </c>
      <c r="I866" s="2" t="s">
        <v>880</v>
      </c>
      <c r="J866" s="2">
        <v>318</v>
      </c>
      <c r="K866" s="2" t="s">
        <v>635</v>
      </c>
      <c r="L866" s="2" t="s">
        <v>636</v>
      </c>
      <c r="M866" s="3">
        <v>40246</v>
      </c>
      <c r="N866" s="2" t="s">
        <v>2905</v>
      </c>
      <c r="O866" s="2" t="s">
        <v>2906</v>
      </c>
      <c r="P866" s="2" t="s">
        <v>2907</v>
      </c>
      <c r="Q866" s="2" t="str">
        <f>""</f>
        <v/>
      </c>
      <c r="R866" s="2"/>
      <c r="S866" s="2"/>
      <c r="T866" s="2">
        <v>1</v>
      </c>
      <c r="U866" s="2" t="s">
        <v>79</v>
      </c>
      <c r="V866" s="2">
        <v>3</v>
      </c>
      <c r="W866" s="2" t="s">
        <v>225</v>
      </c>
      <c r="X866" s="2">
        <v>5</v>
      </c>
      <c r="Y866" s="2" t="s">
        <v>82</v>
      </c>
      <c r="Z866" s="2">
        <v>1</v>
      </c>
      <c r="AA866" s="2" t="s">
        <v>82</v>
      </c>
      <c r="AB866" s="2">
        <v>9</v>
      </c>
      <c r="AC866" s="2" t="s">
        <v>124</v>
      </c>
      <c r="AD866" s="2"/>
      <c r="AE866" s="2"/>
      <c r="AF866" s="2"/>
      <c r="AG866" s="2"/>
      <c r="AH866" s="2">
        <v>4</v>
      </c>
      <c r="AI866" s="2" t="s">
        <v>125</v>
      </c>
      <c r="AJ866" s="2">
        <v>26</v>
      </c>
      <c r="AK866" s="2" t="s">
        <v>293</v>
      </c>
      <c r="AL866" s="2">
        <v>18</v>
      </c>
      <c r="AM866" s="2" t="s">
        <v>82</v>
      </c>
      <c r="AN866" s="2"/>
      <c r="AO866" s="2"/>
      <c r="AP866" s="2">
        <v>11</v>
      </c>
      <c r="AQ866" s="2" t="s">
        <v>82</v>
      </c>
      <c r="AR866" s="2"/>
      <c r="AS866" s="2"/>
      <c r="AT866" s="2" t="s">
        <v>3414</v>
      </c>
      <c r="AU866" s="2"/>
      <c r="AV866" s="2"/>
      <c r="AW866" s="2"/>
      <c r="AX866" s="2"/>
      <c r="AY866" s="2">
        <v>1</v>
      </c>
      <c r="AZ866" s="2" t="s">
        <v>107</v>
      </c>
      <c r="BA866" s="2">
        <v>1</v>
      </c>
      <c r="BB866" s="2" t="s">
        <v>107</v>
      </c>
      <c r="BC866" s="2">
        <v>1</v>
      </c>
      <c r="BD866" s="2" t="s">
        <v>107</v>
      </c>
      <c r="BE866" s="2">
        <v>1</v>
      </c>
      <c r="BF866" s="2" t="s">
        <v>107</v>
      </c>
      <c r="BG866" s="2"/>
      <c r="BH866" s="2"/>
      <c r="BI866" s="2"/>
      <c r="BJ866" s="2">
        <v>242</v>
      </c>
      <c r="BK866" s="2" t="s">
        <v>107</v>
      </c>
      <c r="BL866" s="2"/>
      <c r="BM866" s="2">
        <v>242</v>
      </c>
      <c r="BN866" s="2" t="s">
        <v>107</v>
      </c>
      <c r="BO866" s="2"/>
      <c r="BP866" s="2">
        <v>242</v>
      </c>
      <c r="BQ866" s="2" t="s">
        <v>107</v>
      </c>
      <c r="BR866" s="2"/>
      <c r="BS866" s="3">
        <v>40246</v>
      </c>
      <c r="BT866" s="4">
        <v>0.59518518518518515</v>
      </c>
    </row>
    <row r="867" spans="1:72" x14ac:dyDescent="0.25">
      <c r="A867" s="2">
        <v>1361</v>
      </c>
      <c r="B867" s="2">
        <v>2010</v>
      </c>
      <c r="C867" s="2" t="s">
        <v>171</v>
      </c>
      <c r="D867" s="2" t="s">
        <v>73</v>
      </c>
      <c r="E867" s="2"/>
      <c r="F867" s="2">
        <v>35</v>
      </c>
      <c r="G867" s="2" t="s">
        <v>2057</v>
      </c>
      <c r="H867" s="2">
        <v>55</v>
      </c>
      <c r="I867" s="2" t="s">
        <v>2058</v>
      </c>
      <c r="J867" s="2">
        <v>43</v>
      </c>
      <c r="K867" s="2" t="s">
        <v>2059</v>
      </c>
      <c r="L867" s="2" t="s">
        <v>2060</v>
      </c>
      <c r="M867" s="3">
        <v>40246</v>
      </c>
      <c r="N867" s="2" t="s">
        <v>3415</v>
      </c>
      <c r="O867" s="2" t="s">
        <v>3416</v>
      </c>
      <c r="P867" s="7">
        <v>14230</v>
      </c>
      <c r="Q867" s="2" t="str">
        <f>"N/C"</f>
        <v>N/C</v>
      </c>
      <c r="R867" s="2" t="s">
        <v>82</v>
      </c>
      <c r="S867" s="2" t="s">
        <v>82</v>
      </c>
      <c r="T867" s="2">
        <v>1</v>
      </c>
      <c r="U867" s="2" t="s">
        <v>79</v>
      </c>
      <c r="V867" s="2">
        <v>3</v>
      </c>
      <c r="W867" s="2" t="s">
        <v>225</v>
      </c>
      <c r="X867" s="2">
        <v>6</v>
      </c>
      <c r="Y867" s="2" t="s">
        <v>249</v>
      </c>
      <c r="Z867" s="2">
        <v>1</v>
      </c>
      <c r="AA867" s="2" t="s">
        <v>82</v>
      </c>
      <c r="AB867" s="2">
        <v>9</v>
      </c>
      <c r="AC867" s="2" t="s">
        <v>124</v>
      </c>
      <c r="AD867" s="3">
        <v>40246</v>
      </c>
      <c r="AE867" s="4">
        <v>0.58333333333333337</v>
      </c>
      <c r="AF867" s="2"/>
      <c r="AG867" s="2"/>
      <c r="AH867" s="2">
        <v>3</v>
      </c>
      <c r="AI867" s="2" t="s">
        <v>214</v>
      </c>
      <c r="AJ867" s="2">
        <v>14</v>
      </c>
      <c r="AK867" s="2" t="s">
        <v>342</v>
      </c>
      <c r="AL867" s="2">
        <v>23</v>
      </c>
      <c r="AM867" s="2" t="s">
        <v>251</v>
      </c>
      <c r="AN867" s="2"/>
      <c r="AO867" s="2" t="s">
        <v>3417</v>
      </c>
      <c r="AP867" s="2">
        <v>11</v>
      </c>
      <c r="AQ867" s="2" t="s">
        <v>82</v>
      </c>
      <c r="AR867" s="2"/>
      <c r="AS867" s="2"/>
      <c r="AT867" s="2" t="s">
        <v>3418</v>
      </c>
      <c r="AU867" s="2"/>
      <c r="AV867" s="2"/>
      <c r="AW867" s="2"/>
      <c r="AX867" s="2"/>
      <c r="AY867" s="2">
        <v>1</v>
      </c>
      <c r="AZ867" s="2" t="s">
        <v>107</v>
      </c>
      <c r="BA867" s="2">
        <v>1</v>
      </c>
      <c r="BB867" s="2" t="s">
        <v>107</v>
      </c>
      <c r="BC867" s="2">
        <v>1</v>
      </c>
      <c r="BD867" s="2" t="s">
        <v>107</v>
      </c>
      <c r="BE867" s="2">
        <v>1</v>
      </c>
      <c r="BF867" s="2" t="s">
        <v>107</v>
      </c>
      <c r="BG867" s="2"/>
      <c r="BH867" s="2"/>
      <c r="BI867" s="2"/>
      <c r="BJ867" s="2">
        <v>242</v>
      </c>
      <c r="BK867" s="2" t="s">
        <v>107</v>
      </c>
      <c r="BL867" s="2"/>
      <c r="BM867" s="2">
        <v>242</v>
      </c>
      <c r="BN867" s="2" t="s">
        <v>107</v>
      </c>
      <c r="BO867" s="2"/>
      <c r="BP867" s="2">
        <v>242</v>
      </c>
      <c r="BQ867" s="2" t="s">
        <v>107</v>
      </c>
      <c r="BR867" s="2"/>
      <c r="BS867" s="3">
        <v>40246</v>
      </c>
      <c r="BT867" s="4">
        <v>0.62699074074074079</v>
      </c>
    </row>
    <row r="868" spans="1:72" x14ac:dyDescent="0.25">
      <c r="A868" s="2">
        <v>1365</v>
      </c>
      <c r="B868" s="2">
        <v>2010</v>
      </c>
      <c r="C868" s="2" t="s">
        <v>806</v>
      </c>
      <c r="D868" s="2" t="s">
        <v>73</v>
      </c>
      <c r="E868" s="2"/>
      <c r="F868" s="2">
        <v>473</v>
      </c>
      <c r="G868" s="2" t="s">
        <v>3388</v>
      </c>
      <c r="H868" s="2">
        <v>50</v>
      </c>
      <c r="I868" s="2" t="s">
        <v>107</v>
      </c>
      <c r="J868" s="2">
        <v>376</v>
      </c>
      <c r="K868" s="2" t="s">
        <v>1218</v>
      </c>
      <c r="L868" s="2" t="s">
        <v>1219</v>
      </c>
      <c r="M868" s="3">
        <v>40246</v>
      </c>
      <c r="N868" s="2" t="s">
        <v>3419</v>
      </c>
      <c r="O868" s="2" t="s">
        <v>3420</v>
      </c>
      <c r="P868" s="2" t="s">
        <v>3391</v>
      </c>
      <c r="Q868" s="2" t="str">
        <f>"08/10"</f>
        <v>08/10</v>
      </c>
      <c r="R868" s="2" t="s">
        <v>3392</v>
      </c>
      <c r="S868" s="2" t="s">
        <v>82</v>
      </c>
      <c r="T868" s="2">
        <v>1</v>
      </c>
      <c r="U868" s="2" t="s">
        <v>79</v>
      </c>
      <c r="V868" s="2">
        <v>1</v>
      </c>
      <c r="W868" s="2" t="s">
        <v>80</v>
      </c>
      <c r="X868" s="2">
        <v>4</v>
      </c>
      <c r="Y868" s="2" t="s">
        <v>463</v>
      </c>
      <c r="Z868" s="2">
        <v>1</v>
      </c>
      <c r="AA868" s="2" t="s">
        <v>82</v>
      </c>
      <c r="AB868" s="2">
        <v>9</v>
      </c>
      <c r="AC868" s="2" t="s">
        <v>124</v>
      </c>
      <c r="AD868" s="3">
        <v>40246</v>
      </c>
      <c r="AE868" s="4">
        <v>0.54861111111111105</v>
      </c>
      <c r="AF868" s="2"/>
      <c r="AG868" s="2"/>
      <c r="AH868" s="2">
        <v>3</v>
      </c>
      <c r="AI868" s="2" t="s">
        <v>214</v>
      </c>
      <c r="AJ868" s="2">
        <v>14</v>
      </c>
      <c r="AK868" s="2" t="s">
        <v>342</v>
      </c>
      <c r="AL868" s="2">
        <v>18</v>
      </c>
      <c r="AM868" s="2" t="s">
        <v>82</v>
      </c>
      <c r="AN868" s="2" t="s">
        <v>82</v>
      </c>
      <c r="AO868" s="2" t="s">
        <v>3394</v>
      </c>
      <c r="AP868" s="2">
        <v>11</v>
      </c>
      <c r="AQ868" s="2" t="s">
        <v>82</v>
      </c>
      <c r="AR868" s="2"/>
      <c r="AS868" s="2"/>
      <c r="AT868" s="2" t="s">
        <v>3421</v>
      </c>
      <c r="AU868" s="2">
        <v>1</v>
      </c>
      <c r="AV868" s="2"/>
      <c r="AW868" s="2"/>
      <c r="AX868" s="2"/>
      <c r="AY868" s="2">
        <v>1</v>
      </c>
      <c r="AZ868" s="2" t="s">
        <v>107</v>
      </c>
      <c r="BA868" s="2">
        <v>1</v>
      </c>
      <c r="BB868" s="2" t="s">
        <v>107</v>
      </c>
      <c r="BC868" s="2">
        <v>1</v>
      </c>
      <c r="BD868" s="2" t="s">
        <v>107</v>
      </c>
      <c r="BE868" s="2">
        <v>41</v>
      </c>
      <c r="BF868" s="2" t="s">
        <v>82</v>
      </c>
      <c r="BG868" s="2"/>
      <c r="BH868" s="2"/>
      <c r="BI868" s="2"/>
      <c r="BJ868" s="2">
        <v>242</v>
      </c>
      <c r="BK868" s="2" t="s">
        <v>107</v>
      </c>
      <c r="BL868" s="2"/>
      <c r="BM868" s="2">
        <v>242</v>
      </c>
      <c r="BN868" s="2" t="s">
        <v>107</v>
      </c>
      <c r="BO868" s="2"/>
      <c r="BP868" s="2">
        <v>242</v>
      </c>
      <c r="BQ868" s="2" t="s">
        <v>107</v>
      </c>
      <c r="BR868" s="2"/>
      <c r="BS868" s="3">
        <v>40246</v>
      </c>
      <c r="BT868" s="4">
        <v>0.65921296296296295</v>
      </c>
    </row>
    <row r="869" spans="1:72" x14ac:dyDescent="0.25">
      <c r="A869" s="2">
        <v>1366</v>
      </c>
      <c r="B869" s="2">
        <v>2010</v>
      </c>
      <c r="C869" s="2" t="s">
        <v>147</v>
      </c>
      <c r="D869" s="2" t="s">
        <v>73</v>
      </c>
      <c r="E869" s="2"/>
      <c r="F869" s="2">
        <v>1</v>
      </c>
      <c r="G869" s="2" t="s">
        <v>82</v>
      </c>
      <c r="H869" s="2">
        <v>1</v>
      </c>
      <c r="I869" s="2" t="s">
        <v>82</v>
      </c>
      <c r="J869" s="2">
        <v>1</v>
      </c>
      <c r="K869" s="2" t="s">
        <v>107</v>
      </c>
      <c r="L869" s="2" t="s">
        <v>107</v>
      </c>
      <c r="M869" s="3">
        <v>40246</v>
      </c>
      <c r="N869" s="2"/>
      <c r="O869" s="2"/>
      <c r="P869" s="2"/>
      <c r="Q869" s="2" t="str">
        <f>""</f>
        <v/>
      </c>
      <c r="R869" s="2"/>
      <c r="S869" s="2"/>
      <c r="T869" s="2">
        <v>2</v>
      </c>
      <c r="U869" s="2" t="s">
        <v>123</v>
      </c>
      <c r="V869" s="2">
        <v>1</v>
      </c>
      <c r="W869" s="2" t="s">
        <v>80</v>
      </c>
      <c r="X869" s="2">
        <v>12</v>
      </c>
      <c r="Y869" s="2" t="s">
        <v>148</v>
      </c>
      <c r="Z869" s="2">
        <v>1</v>
      </c>
      <c r="AA869" s="2" t="s">
        <v>82</v>
      </c>
      <c r="AB869" s="2">
        <v>9</v>
      </c>
      <c r="AC869" s="2" t="s">
        <v>124</v>
      </c>
      <c r="AD869" s="3">
        <v>40245</v>
      </c>
      <c r="AE869" s="4">
        <v>0.41666666666666669</v>
      </c>
      <c r="AF869" s="3">
        <v>40246</v>
      </c>
      <c r="AG869" s="4">
        <v>0.5</v>
      </c>
      <c r="AH869" s="2">
        <v>2</v>
      </c>
      <c r="AI869" s="2" t="s">
        <v>84</v>
      </c>
      <c r="AJ869" s="2">
        <v>12</v>
      </c>
      <c r="AK869" s="2" t="s">
        <v>85</v>
      </c>
      <c r="AL869" s="2">
        <v>7</v>
      </c>
      <c r="AM869" s="2" t="s">
        <v>1450</v>
      </c>
      <c r="AN869" s="2" t="s">
        <v>3422</v>
      </c>
      <c r="AO869" s="2" t="s">
        <v>3423</v>
      </c>
      <c r="AP869" s="2">
        <v>11</v>
      </c>
      <c r="AQ869" s="2" t="s">
        <v>82</v>
      </c>
      <c r="AR869" s="2"/>
      <c r="AS869" s="2"/>
      <c r="AT869" s="2" t="s">
        <v>3424</v>
      </c>
      <c r="AU869" s="2"/>
      <c r="AV869" s="2"/>
      <c r="AW869" s="2"/>
      <c r="AX869" s="2"/>
      <c r="AY869" s="2">
        <v>41</v>
      </c>
      <c r="AZ869" s="2" t="s">
        <v>82</v>
      </c>
      <c r="BA869" s="2">
        <v>41</v>
      </c>
      <c r="BB869" s="2" t="s">
        <v>82</v>
      </c>
      <c r="BC869" s="2">
        <v>41</v>
      </c>
      <c r="BD869" s="2" t="s">
        <v>82</v>
      </c>
      <c r="BE869" s="2">
        <v>41</v>
      </c>
      <c r="BF869" s="2" t="s">
        <v>82</v>
      </c>
      <c r="BG869" s="2"/>
      <c r="BH869" s="2"/>
      <c r="BI869" s="2"/>
      <c r="BJ869" s="2">
        <v>241</v>
      </c>
      <c r="BK869" s="2" t="s">
        <v>82</v>
      </c>
      <c r="BL869" s="2"/>
      <c r="BM869" s="2">
        <v>241</v>
      </c>
      <c r="BN869" s="2" t="s">
        <v>82</v>
      </c>
      <c r="BO869" s="2"/>
      <c r="BP869" s="2">
        <v>241</v>
      </c>
      <c r="BQ869" s="2" t="s">
        <v>82</v>
      </c>
      <c r="BR869" s="2"/>
      <c r="BS869" s="3">
        <v>40246</v>
      </c>
      <c r="BT869" s="4">
        <v>0.67894675925925929</v>
      </c>
    </row>
    <row r="870" spans="1:72" x14ac:dyDescent="0.25">
      <c r="A870" s="2">
        <v>1369</v>
      </c>
      <c r="B870" s="2">
        <v>2010</v>
      </c>
      <c r="C870" s="2" t="s">
        <v>255</v>
      </c>
      <c r="D870" s="2" t="s">
        <v>73</v>
      </c>
      <c r="E870" s="2"/>
      <c r="F870" s="2">
        <v>46</v>
      </c>
      <c r="G870" s="2" t="s">
        <v>2794</v>
      </c>
      <c r="H870" s="2">
        <v>47</v>
      </c>
      <c r="I870" s="2" t="s">
        <v>1409</v>
      </c>
      <c r="J870" s="2">
        <v>77</v>
      </c>
      <c r="K870" s="2" t="s">
        <v>2517</v>
      </c>
      <c r="L870" s="2" t="s">
        <v>2518</v>
      </c>
      <c r="M870" s="3">
        <v>40246</v>
      </c>
      <c r="N870" s="2" t="s">
        <v>3425</v>
      </c>
      <c r="O870" s="2"/>
      <c r="P870" s="2"/>
      <c r="Q870" s="2" t="str">
        <f>"08/10"</f>
        <v>08/10</v>
      </c>
      <c r="R870" s="2" t="s">
        <v>3426</v>
      </c>
      <c r="S870" s="2" t="s">
        <v>3426</v>
      </c>
      <c r="T870" s="2">
        <v>1</v>
      </c>
      <c r="U870" s="2" t="s">
        <v>79</v>
      </c>
      <c r="V870" s="2">
        <v>1</v>
      </c>
      <c r="W870" s="2" t="s">
        <v>80</v>
      </c>
      <c r="X870" s="2">
        <v>1</v>
      </c>
      <c r="Y870" s="2" t="s">
        <v>81</v>
      </c>
      <c r="Z870" s="2">
        <v>3</v>
      </c>
      <c r="AA870" s="2" t="s">
        <v>257</v>
      </c>
      <c r="AB870" s="2">
        <v>9</v>
      </c>
      <c r="AC870" s="2" t="s">
        <v>124</v>
      </c>
      <c r="AD870" s="3">
        <v>40246</v>
      </c>
      <c r="AE870" s="2"/>
      <c r="AF870" s="3">
        <v>40246</v>
      </c>
      <c r="AG870" s="4">
        <v>0.41666666666666669</v>
      </c>
      <c r="AH870" s="2">
        <v>4</v>
      </c>
      <c r="AI870" s="2" t="s">
        <v>125</v>
      </c>
      <c r="AJ870" s="2">
        <v>31</v>
      </c>
      <c r="AK870" s="2" t="s">
        <v>1413</v>
      </c>
      <c r="AL870" s="2">
        <v>9</v>
      </c>
      <c r="AM870" s="2" t="s">
        <v>259</v>
      </c>
      <c r="AN870" s="2" t="s">
        <v>3427</v>
      </c>
      <c r="AO870" s="2"/>
      <c r="AP870" s="2">
        <v>11</v>
      </c>
      <c r="AQ870" s="2" t="s">
        <v>82</v>
      </c>
      <c r="AR870" s="2"/>
      <c r="AS870" s="2"/>
      <c r="AT870" s="2" t="s">
        <v>3428</v>
      </c>
      <c r="AU870" s="2"/>
      <c r="AV870" s="2"/>
      <c r="AW870" s="2"/>
      <c r="AX870" s="2"/>
      <c r="AY870" s="2">
        <v>44</v>
      </c>
      <c r="AZ870" s="2" t="s">
        <v>262</v>
      </c>
      <c r="BA870" s="2">
        <v>44</v>
      </c>
      <c r="BB870" s="2" t="s">
        <v>262</v>
      </c>
      <c r="BC870" s="2">
        <v>44</v>
      </c>
      <c r="BD870" s="2" t="s">
        <v>262</v>
      </c>
      <c r="BE870" s="2">
        <v>44</v>
      </c>
      <c r="BF870" s="2" t="s">
        <v>262</v>
      </c>
      <c r="BG870" s="2"/>
      <c r="BH870" s="2"/>
      <c r="BI870" s="2"/>
      <c r="BJ870" s="2">
        <v>241</v>
      </c>
      <c r="BK870" s="2" t="s">
        <v>82</v>
      </c>
      <c r="BL870" s="2"/>
      <c r="BM870" s="2">
        <v>241</v>
      </c>
      <c r="BN870" s="2" t="s">
        <v>82</v>
      </c>
      <c r="BO870" s="2"/>
      <c r="BP870" s="2">
        <v>241</v>
      </c>
      <c r="BQ870" s="2" t="s">
        <v>82</v>
      </c>
      <c r="BR870" s="2"/>
      <c r="BS870" s="3">
        <v>40246</v>
      </c>
      <c r="BT870" s="4">
        <v>0.70390046296296294</v>
      </c>
    </row>
    <row r="871" spans="1:72" x14ac:dyDescent="0.25">
      <c r="A871" s="2">
        <v>1370</v>
      </c>
      <c r="B871" s="2">
        <v>2010</v>
      </c>
      <c r="C871" s="2" t="s">
        <v>147</v>
      </c>
      <c r="D871" s="2" t="s">
        <v>73</v>
      </c>
      <c r="E871" s="2"/>
      <c r="F871" s="2">
        <v>1</v>
      </c>
      <c r="G871" s="2" t="s">
        <v>82</v>
      </c>
      <c r="H871" s="2">
        <v>1</v>
      </c>
      <c r="I871" s="2" t="s">
        <v>82</v>
      </c>
      <c r="J871" s="2">
        <v>1</v>
      </c>
      <c r="K871" s="2" t="s">
        <v>107</v>
      </c>
      <c r="L871" s="2" t="s">
        <v>107</v>
      </c>
      <c r="M871" s="3">
        <v>40246</v>
      </c>
      <c r="N871" s="2"/>
      <c r="O871" s="2"/>
      <c r="P871" s="2"/>
      <c r="Q871" s="2" t="str">
        <f>""</f>
        <v/>
      </c>
      <c r="R871" s="2"/>
      <c r="S871" s="2"/>
      <c r="T871" s="2">
        <v>2</v>
      </c>
      <c r="U871" s="2" t="s">
        <v>123</v>
      </c>
      <c r="V871" s="2">
        <v>1</v>
      </c>
      <c r="W871" s="2" t="s">
        <v>80</v>
      </c>
      <c r="X871" s="2">
        <v>12</v>
      </c>
      <c r="Y871" s="2" t="s">
        <v>148</v>
      </c>
      <c r="Z871" s="2">
        <v>1</v>
      </c>
      <c r="AA871" s="2" t="s">
        <v>82</v>
      </c>
      <c r="AB871" s="2">
        <v>9</v>
      </c>
      <c r="AC871" s="2" t="s">
        <v>124</v>
      </c>
      <c r="AD871" s="3">
        <v>40246</v>
      </c>
      <c r="AE871" s="4">
        <v>0.41666666666666669</v>
      </c>
      <c r="AF871" s="3">
        <v>40246</v>
      </c>
      <c r="AG871" s="4">
        <v>0.64583333333333337</v>
      </c>
      <c r="AH871" s="2">
        <v>2</v>
      </c>
      <c r="AI871" s="2" t="s">
        <v>84</v>
      </c>
      <c r="AJ871" s="2">
        <v>12</v>
      </c>
      <c r="AK871" s="2" t="s">
        <v>85</v>
      </c>
      <c r="AL871" s="2">
        <v>23</v>
      </c>
      <c r="AM871" s="2" t="s">
        <v>251</v>
      </c>
      <c r="AN871" s="2"/>
      <c r="AO871" s="2" t="s">
        <v>3429</v>
      </c>
      <c r="AP871" s="2">
        <v>11</v>
      </c>
      <c r="AQ871" s="2" t="s">
        <v>82</v>
      </c>
      <c r="AR871" s="2"/>
      <c r="AS871" s="2"/>
      <c r="AT871" s="2" t="s">
        <v>3430</v>
      </c>
      <c r="AU871" s="2"/>
      <c r="AV871" s="2"/>
      <c r="AW871" s="2"/>
      <c r="AX871" s="2"/>
      <c r="AY871" s="2">
        <v>41</v>
      </c>
      <c r="AZ871" s="2" t="s">
        <v>82</v>
      </c>
      <c r="BA871" s="2">
        <v>41</v>
      </c>
      <c r="BB871" s="2" t="s">
        <v>82</v>
      </c>
      <c r="BC871" s="2">
        <v>41</v>
      </c>
      <c r="BD871" s="2" t="s">
        <v>82</v>
      </c>
      <c r="BE871" s="2">
        <v>41</v>
      </c>
      <c r="BF871" s="2" t="s">
        <v>82</v>
      </c>
      <c r="BG871" s="2"/>
      <c r="BH871" s="2"/>
      <c r="BI871" s="2"/>
      <c r="BJ871" s="2">
        <v>241</v>
      </c>
      <c r="BK871" s="2" t="s">
        <v>82</v>
      </c>
      <c r="BL871" s="2"/>
      <c r="BM871" s="2">
        <v>241</v>
      </c>
      <c r="BN871" s="2" t="s">
        <v>82</v>
      </c>
      <c r="BO871" s="2"/>
      <c r="BP871" s="2">
        <v>241</v>
      </c>
      <c r="BQ871" s="2" t="s">
        <v>82</v>
      </c>
      <c r="BR871" s="2"/>
      <c r="BS871" s="3">
        <v>40246</v>
      </c>
      <c r="BT871" s="4">
        <v>0.70859953703703704</v>
      </c>
    </row>
    <row r="872" spans="1:72" x14ac:dyDescent="0.25">
      <c r="A872" s="2">
        <v>1372</v>
      </c>
      <c r="B872" s="2">
        <v>2010</v>
      </c>
      <c r="C872" s="2" t="s">
        <v>385</v>
      </c>
      <c r="D872" s="2" t="s">
        <v>122</v>
      </c>
      <c r="E872" s="2"/>
      <c r="F872" s="2">
        <v>499</v>
      </c>
      <c r="G872" s="2" t="s">
        <v>2177</v>
      </c>
      <c r="H872" s="2">
        <v>4</v>
      </c>
      <c r="I872" s="2" t="s">
        <v>173</v>
      </c>
      <c r="J872" s="2">
        <v>19</v>
      </c>
      <c r="K872" s="2" t="s">
        <v>2144</v>
      </c>
      <c r="L872" s="2" t="s">
        <v>2145</v>
      </c>
      <c r="M872" s="3">
        <v>40246</v>
      </c>
      <c r="N872" s="2" t="s">
        <v>3431</v>
      </c>
      <c r="O872" s="2" t="s">
        <v>3432</v>
      </c>
      <c r="P872" s="2" t="s">
        <v>3433</v>
      </c>
      <c r="Q872" s="2" t="str">
        <f>""</f>
        <v/>
      </c>
      <c r="R872" s="2" t="s">
        <v>82</v>
      </c>
      <c r="S872" s="2" t="s">
        <v>3299</v>
      </c>
      <c r="T872" s="2">
        <v>1</v>
      </c>
      <c r="U872" s="2" t="s">
        <v>79</v>
      </c>
      <c r="V872" s="2">
        <v>1</v>
      </c>
      <c r="W872" s="2" t="s">
        <v>80</v>
      </c>
      <c r="X872" s="2">
        <v>5</v>
      </c>
      <c r="Y872" s="2" t="s">
        <v>82</v>
      </c>
      <c r="Z872" s="2">
        <v>1</v>
      </c>
      <c r="AA872" s="2" t="s">
        <v>82</v>
      </c>
      <c r="AB872" s="2">
        <v>9</v>
      </c>
      <c r="AC872" s="2" t="s">
        <v>124</v>
      </c>
      <c r="AD872" s="3">
        <v>40246</v>
      </c>
      <c r="AE872" s="4">
        <v>0.71597222222222223</v>
      </c>
      <c r="AF872" s="2"/>
      <c r="AG872" s="2"/>
      <c r="AH872" s="2">
        <v>3</v>
      </c>
      <c r="AI872" s="2" t="s">
        <v>214</v>
      </c>
      <c r="AJ872" s="2">
        <v>24</v>
      </c>
      <c r="AK872" s="2" t="s">
        <v>215</v>
      </c>
      <c r="AL872" s="2">
        <v>18</v>
      </c>
      <c r="AM872" s="2" t="s">
        <v>82</v>
      </c>
      <c r="AN872" s="2" t="s">
        <v>82</v>
      </c>
      <c r="AO872" s="2" t="s">
        <v>82</v>
      </c>
      <c r="AP872" s="2">
        <v>11</v>
      </c>
      <c r="AQ872" s="2" t="s">
        <v>82</v>
      </c>
      <c r="AR872" s="2"/>
      <c r="AS872" s="2"/>
      <c r="AT872" s="2" t="s">
        <v>3434</v>
      </c>
      <c r="AU872" s="2">
        <v>1</v>
      </c>
      <c r="AV872" s="2"/>
      <c r="AW872" s="2"/>
      <c r="AX872" s="2"/>
      <c r="AY872" s="2">
        <v>41</v>
      </c>
      <c r="AZ872" s="2" t="s">
        <v>82</v>
      </c>
      <c r="BA872" s="2">
        <v>41</v>
      </c>
      <c r="BB872" s="2" t="s">
        <v>82</v>
      </c>
      <c r="BC872" s="2">
        <v>41</v>
      </c>
      <c r="BD872" s="2" t="s">
        <v>82</v>
      </c>
      <c r="BE872" s="2">
        <v>41</v>
      </c>
      <c r="BF872" s="2" t="s">
        <v>82</v>
      </c>
      <c r="BG872" s="2"/>
      <c r="BH872" s="2"/>
      <c r="BI872" s="2"/>
      <c r="BJ872" s="2">
        <v>241</v>
      </c>
      <c r="BK872" s="2" t="s">
        <v>82</v>
      </c>
      <c r="BL872" s="2" t="s">
        <v>82</v>
      </c>
      <c r="BM872" s="2">
        <v>241</v>
      </c>
      <c r="BN872" s="2" t="s">
        <v>82</v>
      </c>
      <c r="BO872" s="2" t="s">
        <v>82</v>
      </c>
      <c r="BP872" s="2">
        <v>241</v>
      </c>
      <c r="BQ872" s="2" t="s">
        <v>82</v>
      </c>
      <c r="BR872" s="2" t="s">
        <v>82</v>
      </c>
      <c r="BS872" s="3">
        <v>40246</v>
      </c>
      <c r="BT872" s="4">
        <v>0.84015046296296303</v>
      </c>
    </row>
    <row r="873" spans="1:72" x14ac:dyDescent="0.25">
      <c r="A873" s="2">
        <v>1373</v>
      </c>
      <c r="B873" s="2">
        <v>2010</v>
      </c>
      <c r="C873" s="2" t="s">
        <v>72</v>
      </c>
      <c r="D873" s="2" t="s">
        <v>73</v>
      </c>
      <c r="E873" s="2"/>
      <c r="F873" s="2">
        <v>528</v>
      </c>
      <c r="G873" s="2" t="s">
        <v>3269</v>
      </c>
      <c r="H873" s="2">
        <v>65</v>
      </c>
      <c r="I873" s="2" t="s">
        <v>3147</v>
      </c>
      <c r="J873" s="2">
        <v>458</v>
      </c>
      <c r="K873" s="2" t="s">
        <v>3270</v>
      </c>
      <c r="L873" s="2" t="s">
        <v>3271</v>
      </c>
      <c r="M873" s="3">
        <v>40246</v>
      </c>
      <c r="N873" s="2" t="s">
        <v>3272</v>
      </c>
      <c r="O873" s="2" t="s">
        <v>107</v>
      </c>
      <c r="P873" s="2" t="s">
        <v>107</v>
      </c>
      <c r="Q873" s="2" t="str">
        <f>"086-A/10"</f>
        <v>086-A/10</v>
      </c>
      <c r="R873" s="2" t="s">
        <v>107</v>
      </c>
      <c r="S873" s="2" t="s">
        <v>601</v>
      </c>
      <c r="T873" s="2">
        <v>1</v>
      </c>
      <c r="U873" s="2" t="s">
        <v>79</v>
      </c>
      <c r="V873" s="2">
        <v>1</v>
      </c>
      <c r="W873" s="2" t="s">
        <v>80</v>
      </c>
      <c r="X873" s="2">
        <v>1</v>
      </c>
      <c r="Y873" s="2" t="s">
        <v>81</v>
      </c>
      <c r="Z873" s="2">
        <v>1</v>
      </c>
      <c r="AA873" s="2" t="s">
        <v>82</v>
      </c>
      <c r="AB873" s="2">
        <v>6</v>
      </c>
      <c r="AC873" s="2" t="s">
        <v>83</v>
      </c>
      <c r="AD873" s="3">
        <v>40246</v>
      </c>
      <c r="AE873" s="4">
        <v>0.65972222222222221</v>
      </c>
      <c r="AF873" s="3">
        <v>40246</v>
      </c>
      <c r="AG873" s="4">
        <v>0.71875</v>
      </c>
      <c r="AH873" s="2">
        <v>2</v>
      </c>
      <c r="AI873" s="2" t="s">
        <v>84</v>
      </c>
      <c r="AJ873" s="2">
        <v>12</v>
      </c>
      <c r="AK873" s="2" t="s">
        <v>85</v>
      </c>
      <c r="AL873" s="2">
        <v>10</v>
      </c>
      <c r="AM873" s="2" t="s">
        <v>200</v>
      </c>
      <c r="AN873" s="2" t="s">
        <v>107</v>
      </c>
      <c r="AO873" s="2" t="s">
        <v>107</v>
      </c>
      <c r="AP873" s="2">
        <v>11</v>
      </c>
      <c r="AQ873" s="2" t="s">
        <v>82</v>
      </c>
      <c r="AR873" s="2" t="s">
        <v>82</v>
      </c>
      <c r="AS873" s="2" t="s">
        <v>82</v>
      </c>
      <c r="AT873" s="2" t="s">
        <v>3435</v>
      </c>
      <c r="AU873" s="2"/>
      <c r="AV873" s="2"/>
      <c r="AW873" s="2"/>
      <c r="AX873" s="2"/>
      <c r="AY873" s="2">
        <v>41</v>
      </c>
      <c r="AZ873" s="2" t="s">
        <v>82</v>
      </c>
      <c r="BA873" s="2">
        <v>41</v>
      </c>
      <c r="BB873" s="2" t="s">
        <v>82</v>
      </c>
      <c r="BC873" s="2">
        <v>41</v>
      </c>
      <c r="BD873" s="2" t="s">
        <v>82</v>
      </c>
      <c r="BE873" s="2">
        <v>4</v>
      </c>
      <c r="BF873" s="2" t="s">
        <v>90</v>
      </c>
      <c r="BG873" s="2" t="s">
        <v>3436</v>
      </c>
      <c r="BH873" s="4">
        <v>0.65972222222222221</v>
      </c>
      <c r="BI873" s="4">
        <v>0.59722222222222221</v>
      </c>
      <c r="BJ873" s="2">
        <v>13</v>
      </c>
      <c r="BK873" s="2" t="s">
        <v>91</v>
      </c>
      <c r="BL873" s="2" t="s">
        <v>92</v>
      </c>
      <c r="BM873" s="2">
        <v>241</v>
      </c>
      <c r="BN873" s="2" t="s">
        <v>82</v>
      </c>
      <c r="BO873" s="2" t="s">
        <v>82</v>
      </c>
      <c r="BP873" s="2">
        <v>13</v>
      </c>
      <c r="BQ873" s="2" t="s">
        <v>91</v>
      </c>
      <c r="BR873" s="2" t="s">
        <v>185</v>
      </c>
      <c r="BS873" s="3">
        <v>40246</v>
      </c>
      <c r="BT873" s="4">
        <v>0.86586805555555557</v>
      </c>
    </row>
    <row r="874" spans="1:72" x14ac:dyDescent="0.25">
      <c r="A874" s="2">
        <v>1374</v>
      </c>
      <c r="B874" s="2">
        <v>2010</v>
      </c>
      <c r="C874" s="2" t="s">
        <v>819</v>
      </c>
      <c r="D874" s="2" t="s">
        <v>122</v>
      </c>
      <c r="E874" s="2"/>
      <c r="F874" s="2">
        <v>451</v>
      </c>
      <c r="G874" s="2" t="s">
        <v>879</v>
      </c>
      <c r="H874" s="2">
        <v>31</v>
      </c>
      <c r="I874" s="2" t="s">
        <v>880</v>
      </c>
      <c r="J874" s="2">
        <v>326</v>
      </c>
      <c r="K874" s="2" t="s">
        <v>881</v>
      </c>
      <c r="L874" s="2" t="s">
        <v>882</v>
      </c>
      <c r="M874" s="3">
        <v>40246</v>
      </c>
      <c r="N874" s="2" t="s">
        <v>3096</v>
      </c>
      <c r="O874" s="2" t="s">
        <v>2104</v>
      </c>
      <c r="P874" s="2" t="s">
        <v>3299</v>
      </c>
      <c r="Q874" s="2" t="str">
        <f>"024/10"</f>
        <v>024/10</v>
      </c>
      <c r="R874" s="2" t="s">
        <v>822</v>
      </c>
      <c r="S874" s="2" t="s">
        <v>3295</v>
      </c>
      <c r="T874" s="2">
        <v>1</v>
      </c>
      <c r="U874" s="2" t="s">
        <v>79</v>
      </c>
      <c r="V874" s="2">
        <v>1</v>
      </c>
      <c r="W874" s="2" t="s">
        <v>80</v>
      </c>
      <c r="X874" s="2">
        <v>1</v>
      </c>
      <c r="Y874" s="2" t="s">
        <v>81</v>
      </c>
      <c r="Z874" s="2">
        <v>10</v>
      </c>
      <c r="AA874" s="2" t="s">
        <v>236</v>
      </c>
      <c r="AB874" s="2">
        <v>9</v>
      </c>
      <c r="AC874" s="2" t="s">
        <v>124</v>
      </c>
      <c r="AD874" s="3">
        <v>40246</v>
      </c>
      <c r="AE874" s="4">
        <v>0.84375</v>
      </c>
      <c r="AF874" s="2"/>
      <c r="AG874" s="2"/>
      <c r="AH874" s="2">
        <v>4</v>
      </c>
      <c r="AI874" s="2" t="s">
        <v>125</v>
      </c>
      <c r="AJ874" s="2">
        <v>29</v>
      </c>
      <c r="AK874" s="2" t="s">
        <v>227</v>
      </c>
      <c r="AL874" s="2">
        <v>10</v>
      </c>
      <c r="AM874" s="2" t="s">
        <v>200</v>
      </c>
      <c r="AN874" s="2" t="s">
        <v>1015</v>
      </c>
      <c r="AO874" s="2" t="s">
        <v>200</v>
      </c>
      <c r="AP874" s="2">
        <v>12</v>
      </c>
      <c r="AQ874" s="2" t="s">
        <v>322</v>
      </c>
      <c r="AR874" s="2" t="s">
        <v>824</v>
      </c>
      <c r="AS874" s="2" t="s">
        <v>825</v>
      </c>
      <c r="AT874" s="2" t="s">
        <v>3437</v>
      </c>
      <c r="AU874" s="2"/>
      <c r="AV874" s="2"/>
      <c r="AW874" s="2"/>
      <c r="AX874" s="2"/>
      <c r="AY874" s="2">
        <v>41</v>
      </c>
      <c r="AZ874" s="2" t="s">
        <v>82</v>
      </c>
      <c r="BA874" s="2">
        <v>41</v>
      </c>
      <c r="BB874" s="2" t="s">
        <v>82</v>
      </c>
      <c r="BC874" s="2">
        <v>51</v>
      </c>
      <c r="BD874" s="2" t="s">
        <v>827</v>
      </c>
      <c r="BE874" s="2">
        <v>13</v>
      </c>
      <c r="BF874" s="2" t="s">
        <v>108</v>
      </c>
      <c r="BG874" s="2">
        <v>1459</v>
      </c>
      <c r="BH874" s="4">
        <v>0.84027777777777779</v>
      </c>
      <c r="BI874" s="4">
        <v>0.88888888888888884</v>
      </c>
      <c r="BJ874" s="2">
        <v>13</v>
      </c>
      <c r="BK874" s="2" t="s">
        <v>91</v>
      </c>
      <c r="BL874" s="2" t="s">
        <v>828</v>
      </c>
      <c r="BM874" s="2">
        <v>241</v>
      </c>
      <c r="BN874" s="2" t="s">
        <v>82</v>
      </c>
      <c r="BO874" s="2" t="s">
        <v>82</v>
      </c>
      <c r="BP874" s="2">
        <v>13</v>
      </c>
      <c r="BQ874" s="2" t="s">
        <v>91</v>
      </c>
      <c r="BR874" s="2" t="s">
        <v>185</v>
      </c>
      <c r="BS874" s="3">
        <v>40246</v>
      </c>
      <c r="BT874" s="4">
        <v>0.90559027777777779</v>
      </c>
    </row>
    <row r="875" spans="1:72" x14ac:dyDescent="0.25">
      <c r="A875" s="2">
        <v>1375</v>
      </c>
      <c r="B875" s="2">
        <v>2010</v>
      </c>
      <c r="C875" s="2" t="s">
        <v>385</v>
      </c>
      <c r="D875" s="2" t="s">
        <v>122</v>
      </c>
      <c r="E875" s="2"/>
      <c r="F875" s="2">
        <v>385</v>
      </c>
      <c r="G875" s="2" t="s">
        <v>990</v>
      </c>
      <c r="H875" s="2">
        <v>42</v>
      </c>
      <c r="I875" s="2" t="s">
        <v>1096</v>
      </c>
      <c r="J875" s="2">
        <v>332</v>
      </c>
      <c r="K875" s="2" t="s">
        <v>913</v>
      </c>
      <c r="L875" s="2" t="s">
        <v>914</v>
      </c>
      <c r="M875" s="3">
        <v>40247</v>
      </c>
      <c r="N875" s="2" t="s">
        <v>3154</v>
      </c>
      <c r="O875" s="2" t="s">
        <v>3438</v>
      </c>
      <c r="P875" s="2" t="s">
        <v>3411</v>
      </c>
      <c r="Q875" s="2" t="str">
        <f>"0002/10"</f>
        <v>0002/10</v>
      </c>
      <c r="R875" s="2" t="s">
        <v>3412</v>
      </c>
      <c r="S875" s="2" t="s">
        <v>3439</v>
      </c>
      <c r="T875" s="2">
        <v>1</v>
      </c>
      <c r="U875" s="2" t="s">
        <v>79</v>
      </c>
      <c r="V875" s="2">
        <v>1</v>
      </c>
      <c r="W875" s="2" t="s">
        <v>80</v>
      </c>
      <c r="X875" s="2">
        <v>5</v>
      </c>
      <c r="Y875" s="2" t="s">
        <v>82</v>
      </c>
      <c r="Z875" s="2">
        <v>1</v>
      </c>
      <c r="AA875" s="2" t="s">
        <v>82</v>
      </c>
      <c r="AB875" s="2">
        <v>9</v>
      </c>
      <c r="AC875" s="2" t="s">
        <v>124</v>
      </c>
      <c r="AD875" s="3">
        <v>40247</v>
      </c>
      <c r="AE875" s="4">
        <v>0.3125</v>
      </c>
      <c r="AF875" s="2"/>
      <c r="AG875" s="2"/>
      <c r="AH875" s="2">
        <v>5</v>
      </c>
      <c r="AI875" s="2" t="s">
        <v>274</v>
      </c>
      <c r="AJ875" s="2">
        <v>43</v>
      </c>
      <c r="AK875" s="2" t="s">
        <v>918</v>
      </c>
      <c r="AL875" s="2">
        <v>18</v>
      </c>
      <c r="AM875" s="2" t="s">
        <v>82</v>
      </c>
      <c r="AN875" s="2"/>
      <c r="AO875" s="2"/>
      <c r="AP875" s="2">
        <v>11</v>
      </c>
      <c r="AQ875" s="2" t="s">
        <v>82</v>
      </c>
      <c r="AR875" s="2"/>
      <c r="AS875" s="2"/>
      <c r="AT875" s="2" t="s">
        <v>3440</v>
      </c>
      <c r="AU875" s="2">
        <v>1</v>
      </c>
      <c r="AV875" s="2"/>
      <c r="AW875" s="2"/>
      <c r="AX875" s="2"/>
      <c r="AY875" s="2">
        <v>41</v>
      </c>
      <c r="AZ875" s="2" t="s">
        <v>82</v>
      </c>
      <c r="BA875" s="2">
        <v>41</v>
      </c>
      <c r="BB875" s="2" t="s">
        <v>82</v>
      </c>
      <c r="BC875" s="2">
        <v>41</v>
      </c>
      <c r="BD875" s="2" t="s">
        <v>82</v>
      </c>
      <c r="BE875" s="2">
        <v>41</v>
      </c>
      <c r="BF875" s="2" t="s">
        <v>82</v>
      </c>
      <c r="BG875" s="2"/>
      <c r="BH875" s="2"/>
      <c r="BI875" s="2"/>
      <c r="BJ875" s="2">
        <v>241</v>
      </c>
      <c r="BK875" s="2" t="s">
        <v>82</v>
      </c>
      <c r="BL875" s="2"/>
      <c r="BM875" s="2">
        <v>241</v>
      </c>
      <c r="BN875" s="2" t="s">
        <v>82</v>
      </c>
      <c r="BO875" s="2"/>
      <c r="BP875" s="2">
        <v>241</v>
      </c>
      <c r="BQ875" s="2" t="s">
        <v>82</v>
      </c>
      <c r="BR875" s="2"/>
      <c r="BS875" s="3">
        <v>40247</v>
      </c>
      <c r="BT875" s="4">
        <v>0.32591435185185186</v>
      </c>
    </row>
    <row r="876" spans="1:72" x14ac:dyDescent="0.25">
      <c r="A876" s="2">
        <v>1377</v>
      </c>
      <c r="B876" s="2">
        <v>2010</v>
      </c>
      <c r="C876" s="2" t="s">
        <v>819</v>
      </c>
      <c r="D876" s="2" t="s">
        <v>122</v>
      </c>
      <c r="E876" s="2" t="s">
        <v>3441</v>
      </c>
      <c r="F876" s="2">
        <v>451</v>
      </c>
      <c r="G876" s="2" t="s">
        <v>879</v>
      </c>
      <c r="H876" s="2">
        <v>31</v>
      </c>
      <c r="I876" s="2" t="s">
        <v>880</v>
      </c>
      <c r="J876" s="2">
        <v>326</v>
      </c>
      <c r="K876" s="2" t="s">
        <v>881</v>
      </c>
      <c r="L876" s="2" t="s">
        <v>882</v>
      </c>
      <c r="M876" s="3">
        <v>40247</v>
      </c>
      <c r="N876" s="2" t="s">
        <v>3096</v>
      </c>
      <c r="O876" s="2" t="s">
        <v>2104</v>
      </c>
      <c r="P876" s="2" t="s">
        <v>3299</v>
      </c>
      <c r="Q876" s="2" t="str">
        <f>"CORRESPONDE 023/10"</f>
        <v>CORRESPONDE 023/10</v>
      </c>
      <c r="R876" s="2" t="s">
        <v>3295</v>
      </c>
      <c r="S876" s="2" t="s">
        <v>822</v>
      </c>
      <c r="T876" s="2">
        <v>1</v>
      </c>
      <c r="U876" s="2" t="s">
        <v>79</v>
      </c>
      <c r="V876" s="2">
        <v>1</v>
      </c>
      <c r="W876" s="2" t="s">
        <v>80</v>
      </c>
      <c r="X876" s="2">
        <v>1</v>
      </c>
      <c r="Y876" s="2" t="s">
        <v>81</v>
      </c>
      <c r="Z876" s="2">
        <v>10</v>
      </c>
      <c r="AA876" s="2" t="s">
        <v>236</v>
      </c>
      <c r="AB876" s="2">
        <v>9</v>
      </c>
      <c r="AC876" s="2" t="s">
        <v>124</v>
      </c>
      <c r="AD876" s="3">
        <v>40247</v>
      </c>
      <c r="AE876" s="4">
        <v>0.375</v>
      </c>
      <c r="AF876" s="2"/>
      <c r="AG876" s="2"/>
      <c r="AH876" s="2">
        <v>4</v>
      </c>
      <c r="AI876" s="2" t="s">
        <v>125</v>
      </c>
      <c r="AJ876" s="2">
        <v>29</v>
      </c>
      <c r="AK876" s="2" t="s">
        <v>227</v>
      </c>
      <c r="AL876" s="2">
        <v>10</v>
      </c>
      <c r="AM876" s="2" t="s">
        <v>200</v>
      </c>
      <c r="AN876" s="2" t="s">
        <v>3040</v>
      </c>
      <c r="AO876" s="2" t="s">
        <v>3176</v>
      </c>
      <c r="AP876" s="2">
        <v>12</v>
      </c>
      <c r="AQ876" s="2" t="s">
        <v>322</v>
      </c>
      <c r="AR876" s="2" t="s">
        <v>824</v>
      </c>
      <c r="AS876" s="2" t="s">
        <v>825</v>
      </c>
      <c r="AT876" s="2" t="s">
        <v>3442</v>
      </c>
      <c r="AU876" s="2"/>
      <c r="AV876" s="2"/>
      <c r="AW876" s="2"/>
      <c r="AX876" s="2"/>
      <c r="AY876" s="2">
        <v>41</v>
      </c>
      <c r="AZ876" s="2" t="s">
        <v>82</v>
      </c>
      <c r="BA876" s="2">
        <v>41</v>
      </c>
      <c r="BB876" s="2" t="s">
        <v>82</v>
      </c>
      <c r="BC876" s="2">
        <v>51</v>
      </c>
      <c r="BD876" s="2" t="s">
        <v>827</v>
      </c>
      <c r="BE876" s="2">
        <v>13</v>
      </c>
      <c r="BF876" s="2" t="s">
        <v>108</v>
      </c>
      <c r="BG876" s="2">
        <v>1459</v>
      </c>
      <c r="BH876" s="4">
        <v>0.84027777777777779</v>
      </c>
      <c r="BI876" s="4">
        <v>0.88888888888888884</v>
      </c>
      <c r="BJ876" s="2">
        <v>13</v>
      </c>
      <c r="BK876" s="2" t="s">
        <v>91</v>
      </c>
      <c r="BL876" s="2" t="s">
        <v>828</v>
      </c>
      <c r="BM876" s="2">
        <v>241</v>
      </c>
      <c r="BN876" s="2" t="s">
        <v>82</v>
      </c>
      <c r="BO876" s="2" t="s">
        <v>82</v>
      </c>
      <c r="BP876" s="2">
        <v>13</v>
      </c>
      <c r="BQ876" s="2" t="s">
        <v>91</v>
      </c>
      <c r="BR876" s="2" t="s">
        <v>185</v>
      </c>
      <c r="BS876" s="3">
        <v>40247</v>
      </c>
      <c r="BT876" s="4">
        <v>0.43019675925925926</v>
      </c>
    </row>
    <row r="877" spans="1:72" x14ac:dyDescent="0.25">
      <c r="A877" s="2">
        <v>1380</v>
      </c>
      <c r="B877" s="2">
        <v>2010</v>
      </c>
      <c r="C877" s="2" t="s">
        <v>171</v>
      </c>
      <c r="D877" s="2" t="s">
        <v>73</v>
      </c>
      <c r="E877" s="2"/>
      <c r="F877" s="2">
        <v>398</v>
      </c>
      <c r="G877" s="2" t="s">
        <v>94</v>
      </c>
      <c r="H877" s="2">
        <v>12</v>
      </c>
      <c r="I877" s="2" t="s">
        <v>95</v>
      </c>
      <c r="J877" s="2">
        <v>245</v>
      </c>
      <c r="K877" s="2" t="s">
        <v>96</v>
      </c>
      <c r="L877" s="2" t="s">
        <v>97</v>
      </c>
      <c r="M877" s="3">
        <v>40247</v>
      </c>
      <c r="N877" s="2" t="s">
        <v>3443</v>
      </c>
      <c r="O877" s="2" t="s">
        <v>107</v>
      </c>
      <c r="P877" s="2" t="s">
        <v>107</v>
      </c>
      <c r="Q877" s="2" t="str">
        <f>"124-E/10"</f>
        <v>124-E/10</v>
      </c>
      <c r="R877" s="2" t="s">
        <v>107</v>
      </c>
      <c r="S877" s="2" t="s">
        <v>391</v>
      </c>
      <c r="T877" s="2">
        <v>1</v>
      </c>
      <c r="U877" s="2" t="s">
        <v>79</v>
      </c>
      <c r="V877" s="2">
        <v>1</v>
      </c>
      <c r="W877" s="2" t="s">
        <v>80</v>
      </c>
      <c r="X877" s="2">
        <v>1</v>
      </c>
      <c r="Y877" s="2" t="s">
        <v>81</v>
      </c>
      <c r="Z877" s="2">
        <v>1</v>
      </c>
      <c r="AA877" s="2" t="s">
        <v>82</v>
      </c>
      <c r="AB877" s="2">
        <v>1</v>
      </c>
      <c r="AC877" s="2" t="s">
        <v>178</v>
      </c>
      <c r="AD877" s="3">
        <v>40246</v>
      </c>
      <c r="AE877" s="4">
        <v>0.5625</v>
      </c>
      <c r="AF877" s="3">
        <v>40246</v>
      </c>
      <c r="AG877" s="4">
        <v>0.79166666666666663</v>
      </c>
      <c r="AH877" s="2">
        <v>2</v>
      </c>
      <c r="AI877" s="2" t="s">
        <v>84</v>
      </c>
      <c r="AJ877" s="2">
        <v>9</v>
      </c>
      <c r="AK877" s="2" t="s">
        <v>103</v>
      </c>
      <c r="AL877" s="2">
        <v>8</v>
      </c>
      <c r="AM877" s="2" t="s">
        <v>179</v>
      </c>
      <c r="AN877" s="2" t="s">
        <v>3444</v>
      </c>
      <c r="AO877" s="2" t="s">
        <v>987</v>
      </c>
      <c r="AP877" s="2">
        <v>11</v>
      </c>
      <c r="AQ877" s="2" t="s">
        <v>82</v>
      </c>
      <c r="AR877" s="2"/>
      <c r="AS877" s="2"/>
      <c r="AT877" s="2" t="s">
        <v>3445</v>
      </c>
      <c r="AU877" s="2"/>
      <c r="AV877" s="2">
        <v>1</v>
      </c>
      <c r="AW877" s="2"/>
      <c r="AX877" s="2"/>
      <c r="AY877" s="2">
        <v>41</v>
      </c>
      <c r="AZ877" s="2" t="s">
        <v>82</v>
      </c>
      <c r="BA877" s="2">
        <v>70</v>
      </c>
      <c r="BB877" s="2" t="s">
        <v>236</v>
      </c>
      <c r="BC877" s="2">
        <v>41</v>
      </c>
      <c r="BD877" s="2" t="s">
        <v>82</v>
      </c>
      <c r="BE877" s="2">
        <v>31</v>
      </c>
      <c r="BF877" s="2" t="s">
        <v>398</v>
      </c>
      <c r="BG877" s="2" t="s">
        <v>399</v>
      </c>
      <c r="BH877" s="2"/>
      <c r="BI877" s="4">
        <v>0.61805555555555558</v>
      </c>
      <c r="BJ877" s="2">
        <v>13</v>
      </c>
      <c r="BK877" s="2" t="s">
        <v>91</v>
      </c>
      <c r="BL877" s="2" t="s">
        <v>1362</v>
      </c>
      <c r="BM877" s="2">
        <v>73</v>
      </c>
      <c r="BN877" s="2" t="s">
        <v>186</v>
      </c>
      <c r="BO877" s="2" t="s">
        <v>187</v>
      </c>
      <c r="BP877" s="2">
        <v>73</v>
      </c>
      <c r="BQ877" s="2" t="s">
        <v>186</v>
      </c>
      <c r="BR877" s="2" t="s">
        <v>2600</v>
      </c>
      <c r="BS877" s="3">
        <v>40247</v>
      </c>
      <c r="BT877" s="4">
        <v>0.46971064814814811</v>
      </c>
    </row>
    <row r="878" spans="1:72" x14ac:dyDescent="0.25">
      <c r="A878" s="2">
        <v>1383</v>
      </c>
      <c r="B878" s="2">
        <v>2010</v>
      </c>
      <c r="C878" s="2" t="s">
        <v>171</v>
      </c>
      <c r="D878" s="2" t="s">
        <v>73</v>
      </c>
      <c r="E878" s="2" t="s">
        <v>3446</v>
      </c>
      <c r="F878" s="2">
        <v>451</v>
      </c>
      <c r="G878" s="2" t="s">
        <v>879</v>
      </c>
      <c r="H878" s="2">
        <v>31</v>
      </c>
      <c r="I878" s="2" t="s">
        <v>880</v>
      </c>
      <c r="J878" s="2">
        <v>326</v>
      </c>
      <c r="K878" s="2" t="s">
        <v>881</v>
      </c>
      <c r="L878" s="2" t="s">
        <v>882</v>
      </c>
      <c r="M878" s="3">
        <v>40247</v>
      </c>
      <c r="N878" s="2" t="s">
        <v>3096</v>
      </c>
      <c r="O878" s="2"/>
      <c r="P878" s="2"/>
      <c r="Q878" s="2" t="str">
        <f>"019/10"</f>
        <v>019/10</v>
      </c>
      <c r="R878" s="2" t="s">
        <v>822</v>
      </c>
      <c r="S878" s="2"/>
      <c r="T878" s="2">
        <v>1</v>
      </c>
      <c r="U878" s="2" t="s">
        <v>79</v>
      </c>
      <c r="V878" s="2">
        <v>1</v>
      </c>
      <c r="W878" s="2" t="s">
        <v>80</v>
      </c>
      <c r="X878" s="2">
        <v>1</v>
      </c>
      <c r="Y878" s="2" t="s">
        <v>81</v>
      </c>
      <c r="Z878" s="2">
        <v>10</v>
      </c>
      <c r="AA878" s="2" t="s">
        <v>236</v>
      </c>
      <c r="AB878" s="2">
        <v>1</v>
      </c>
      <c r="AC878" s="2" t="s">
        <v>178</v>
      </c>
      <c r="AD878" s="3">
        <v>40247</v>
      </c>
      <c r="AE878" s="4">
        <v>0.47916666666666669</v>
      </c>
      <c r="AF878" s="2"/>
      <c r="AG878" s="2"/>
      <c r="AH878" s="2">
        <v>4</v>
      </c>
      <c r="AI878" s="2" t="s">
        <v>125</v>
      </c>
      <c r="AJ878" s="2">
        <v>29</v>
      </c>
      <c r="AK878" s="2" t="s">
        <v>227</v>
      </c>
      <c r="AL878" s="2">
        <v>10</v>
      </c>
      <c r="AM878" s="2" t="s">
        <v>200</v>
      </c>
      <c r="AN878" s="2" t="s">
        <v>883</v>
      </c>
      <c r="AO878" s="2"/>
      <c r="AP878" s="2">
        <v>12</v>
      </c>
      <c r="AQ878" s="2" t="s">
        <v>322</v>
      </c>
      <c r="AR878" s="2" t="s">
        <v>824</v>
      </c>
      <c r="AS878" s="2" t="s">
        <v>825</v>
      </c>
      <c r="AT878" s="2" t="s">
        <v>3447</v>
      </c>
      <c r="AU878" s="2"/>
      <c r="AV878" s="2"/>
      <c r="AW878" s="2"/>
      <c r="AX878" s="2"/>
      <c r="AY878" s="2">
        <v>41</v>
      </c>
      <c r="AZ878" s="2" t="s">
        <v>82</v>
      </c>
      <c r="BA878" s="2">
        <v>41</v>
      </c>
      <c r="BB878" s="2" t="s">
        <v>82</v>
      </c>
      <c r="BC878" s="2">
        <v>51</v>
      </c>
      <c r="BD878" s="2" t="s">
        <v>827</v>
      </c>
      <c r="BE878" s="2">
        <v>13</v>
      </c>
      <c r="BF878" s="2" t="s">
        <v>108</v>
      </c>
      <c r="BG878" s="2">
        <v>1459</v>
      </c>
      <c r="BH878" s="4">
        <v>0.84027777777777779</v>
      </c>
      <c r="BI878" s="4">
        <v>0.875</v>
      </c>
      <c r="BJ878" s="2">
        <v>13</v>
      </c>
      <c r="BK878" s="2" t="s">
        <v>91</v>
      </c>
      <c r="BL878" s="2" t="s">
        <v>828</v>
      </c>
      <c r="BM878" s="2">
        <v>241</v>
      </c>
      <c r="BN878" s="2" t="s">
        <v>82</v>
      </c>
      <c r="BO878" s="2" t="s">
        <v>82</v>
      </c>
      <c r="BP878" s="2">
        <v>13</v>
      </c>
      <c r="BQ878" s="2" t="s">
        <v>91</v>
      </c>
      <c r="BR878" s="2" t="s">
        <v>185</v>
      </c>
      <c r="BS878" s="3">
        <v>40247</v>
      </c>
      <c r="BT878" s="4">
        <v>0.50388888888888894</v>
      </c>
    </row>
    <row r="879" spans="1:72" x14ac:dyDescent="0.25">
      <c r="A879" s="2">
        <v>1384</v>
      </c>
      <c r="B879" s="2">
        <v>2010</v>
      </c>
      <c r="C879" s="2" t="s">
        <v>72</v>
      </c>
      <c r="D879" s="2" t="s">
        <v>73</v>
      </c>
      <c r="E879" s="2"/>
      <c r="F879" s="2">
        <v>390</v>
      </c>
      <c r="G879" s="2" t="s">
        <v>475</v>
      </c>
      <c r="H879" s="2">
        <v>5</v>
      </c>
      <c r="I879" s="2" t="s">
        <v>634</v>
      </c>
      <c r="J879" s="2">
        <v>314</v>
      </c>
      <c r="K879" s="2" t="s">
        <v>477</v>
      </c>
      <c r="L879" s="2" t="s">
        <v>478</v>
      </c>
      <c r="M879" s="3">
        <v>40247</v>
      </c>
      <c r="N879" s="2" t="s">
        <v>3103</v>
      </c>
      <c r="O879" s="2" t="s">
        <v>107</v>
      </c>
      <c r="P879" s="2" t="s">
        <v>107</v>
      </c>
      <c r="Q879" s="2" t="str">
        <f>"125-E/10"</f>
        <v>125-E/10</v>
      </c>
      <c r="R879" s="2" t="s">
        <v>107</v>
      </c>
      <c r="S879" s="2" t="s">
        <v>480</v>
      </c>
      <c r="T879" s="2">
        <v>1</v>
      </c>
      <c r="U879" s="2" t="s">
        <v>79</v>
      </c>
      <c r="V879" s="2">
        <v>1</v>
      </c>
      <c r="W879" s="2" t="s">
        <v>80</v>
      </c>
      <c r="X879" s="2">
        <v>1</v>
      </c>
      <c r="Y879" s="2" t="s">
        <v>81</v>
      </c>
      <c r="Z879" s="2">
        <v>1</v>
      </c>
      <c r="AA879" s="2" t="s">
        <v>82</v>
      </c>
      <c r="AB879" s="2">
        <v>6</v>
      </c>
      <c r="AC879" s="2" t="s">
        <v>83</v>
      </c>
      <c r="AD879" s="3">
        <v>40228</v>
      </c>
      <c r="AE879" s="4">
        <v>0.70833333333333337</v>
      </c>
      <c r="AF879" s="3">
        <v>40246</v>
      </c>
      <c r="AG879" s="4">
        <v>0.65277777777777779</v>
      </c>
      <c r="AH879" s="2">
        <v>2</v>
      </c>
      <c r="AI879" s="2" t="s">
        <v>84</v>
      </c>
      <c r="AJ879" s="2">
        <v>9</v>
      </c>
      <c r="AK879" s="2" t="s">
        <v>103</v>
      </c>
      <c r="AL879" s="2">
        <v>10</v>
      </c>
      <c r="AM879" s="2" t="s">
        <v>200</v>
      </c>
      <c r="AN879" s="2" t="s">
        <v>3448</v>
      </c>
      <c r="AO879" s="2" t="s">
        <v>82</v>
      </c>
      <c r="AP879" s="2">
        <v>11</v>
      </c>
      <c r="AQ879" s="2" t="s">
        <v>82</v>
      </c>
      <c r="AR879" s="2"/>
      <c r="AS879" s="2"/>
      <c r="AT879" s="2" t="s">
        <v>3449</v>
      </c>
      <c r="AU879" s="2"/>
      <c r="AV879" s="2"/>
      <c r="AW879" s="2"/>
      <c r="AX879" s="2"/>
      <c r="AY879" s="2">
        <v>41</v>
      </c>
      <c r="AZ879" s="2" t="s">
        <v>82</v>
      </c>
      <c r="BA879" s="2">
        <v>41</v>
      </c>
      <c r="BB879" s="2" t="s">
        <v>82</v>
      </c>
      <c r="BC879" s="2">
        <v>41</v>
      </c>
      <c r="BD879" s="2" t="s">
        <v>82</v>
      </c>
      <c r="BE879" s="2">
        <v>14</v>
      </c>
      <c r="BF879" s="2" t="s">
        <v>484</v>
      </c>
      <c r="BG879" s="2" t="s">
        <v>3450</v>
      </c>
      <c r="BH879" s="2"/>
      <c r="BI879" s="4">
        <v>0.75</v>
      </c>
      <c r="BJ879" s="2">
        <v>13</v>
      </c>
      <c r="BK879" s="2" t="s">
        <v>91</v>
      </c>
      <c r="BL879" s="2" t="s">
        <v>360</v>
      </c>
      <c r="BM879" s="2">
        <v>241</v>
      </c>
      <c r="BN879" s="2" t="s">
        <v>82</v>
      </c>
      <c r="BO879" s="2" t="s">
        <v>82</v>
      </c>
      <c r="BP879" s="2">
        <v>82</v>
      </c>
      <c r="BQ879" s="2" t="s">
        <v>487</v>
      </c>
      <c r="BR879" s="2" t="s">
        <v>488</v>
      </c>
      <c r="BS879" s="3">
        <v>40247</v>
      </c>
      <c r="BT879" s="4">
        <v>0.50517361111111114</v>
      </c>
    </row>
    <row r="880" spans="1:72" x14ac:dyDescent="0.25">
      <c r="A880" s="2">
        <v>1385</v>
      </c>
      <c r="B880" s="2">
        <v>2010</v>
      </c>
      <c r="C880" s="2" t="s">
        <v>642</v>
      </c>
      <c r="D880" s="2" t="s">
        <v>122</v>
      </c>
      <c r="E880" s="2"/>
      <c r="F880" s="2">
        <v>396</v>
      </c>
      <c r="G880" s="2" t="s">
        <v>2159</v>
      </c>
      <c r="H880" s="2">
        <v>8</v>
      </c>
      <c r="I880" s="2" t="s">
        <v>3451</v>
      </c>
      <c r="J880" s="2">
        <v>243</v>
      </c>
      <c r="K880" s="2" t="s">
        <v>2160</v>
      </c>
      <c r="L880" s="2" t="s">
        <v>2145</v>
      </c>
      <c r="M880" s="3">
        <v>40247</v>
      </c>
      <c r="N880" s="2" t="s">
        <v>3452</v>
      </c>
      <c r="O880" s="2" t="s">
        <v>2363</v>
      </c>
      <c r="P880" s="2">
        <v>13678</v>
      </c>
      <c r="Q880" s="2" t="str">
        <f>"091E/10"</f>
        <v>091E/10</v>
      </c>
      <c r="R880" s="2"/>
      <c r="S880" s="2" t="s">
        <v>2448</v>
      </c>
      <c r="T880" s="2">
        <v>1</v>
      </c>
      <c r="U880" s="2" t="s">
        <v>79</v>
      </c>
      <c r="V880" s="2">
        <v>3</v>
      </c>
      <c r="W880" s="2" t="s">
        <v>225</v>
      </c>
      <c r="X880" s="2">
        <v>2</v>
      </c>
      <c r="Y880" s="2" t="s">
        <v>136</v>
      </c>
      <c r="Z880" s="2">
        <v>10</v>
      </c>
      <c r="AA880" s="2" t="s">
        <v>236</v>
      </c>
      <c r="AB880" s="2">
        <v>9</v>
      </c>
      <c r="AC880" s="2" t="s">
        <v>124</v>
      </c>
      <c r="AD880" s="3">
        <v>40247</v>
      </c>
      <c r="AE880" s="4">
        <v>0.375</v>
      </c>
      <c r="AF880" s="2"/>
      <c r="AG880" s="2"/>
      <c r="AH880" s="2">
        <v>2</v>
      </c>
      <c r="AI880" s="2" t="s">
        <v>84</v>
      </c>
      <c r="AJ880" s="2">
        <v>6</v>
      </c>
      <c r="AK880" s="2" t="s">
        <v>453</v>
      </c>
      <c r="AL880" s="2">
        <v>18</v>
      </c>
      <c r="AM880" s="2" t="s">
        <v>82</v>
      </c>
      <c r="AN880" s="2"/>
      <c r="AO880" s="2"/>
      <c r="AP880" s="2">
        <v>11</v>
      </c>
      <c r="AQ880" s="2" t="s">
        <v>82</v>
      </c>
      <c r="AR880" s="2"/>
      <c r="AS880" s="2"/>
      <c r="AT880" s="2" t="s">
        <v>3453</v>
      </c>
      <c r="AU880" s="2"/>
      <c r="AV880" s="2"/>
      <c r="AW880" s="2"/>
      <c r="AX880" s="2"/>
      <c r="AY880" s="2">
        <v>42</v>
      </c>
      <c r="AZ880" s="2" t="s">
        <v>182</v>
      </c>
      <c r="BA880" s="2">
        <v>70</v>
      </c>
      <c r="BB880" s="2" t="s">
        <v>236</v>
      </c>
      <c r="BC880" s="2">
        <v>70</v>
      </c>
      <c r="BD880" s="2" t="s">
        <v>236</v>
      </c>
      <c r="BE880" s="2">
        <v>41</v>
      </c>
      <c r="BF880" s="2" t="s">
        <v>82</v>
      </c>
      <c r="BG880" s="2"/>
      <c r="BH880" s="2"/>
      <c r="BI880" s="2"/>
      <c r="BJ880" s="2">
        <v>241</v>
      </c>
      <c r="BK880" s="2" t="s">
        <v>82</v>
      </c>
      <c r="BL880" s="2"/>
      <c r="BM880" s="2">
        <v>241</v>
      </c>
      <c r="BN880" s="2" t="s">
        <v>82</v>
      </c>
      <c r="BO880" s="2"/>
      <c r="BP880" s="2">
        <v>241</v>
      </c>
      <c r="BQ880" s="2" t="s">
        <v>82</v>
      </c>
      <c r="BR880" s="2"/>
      <c r="BS880" s="3">
        <v>40247</v>
      </c>
      <c r="BT880" s="4">
        <v>0.51226851851851851</v>
      </c>
    </row>
    <row r="881" spans="1:72" x14ac:dyDescent="0.25">
      <c r="A881" s="2">
        <v>1386</v>
      </c>
      <c r="B881" s="2">
        <v>2010</v>
      </c>
      <c r="C881" s="2" t="s">
        <v>72</v>
      </c>
      <c r="D881" s="2" t="s">
        <v>122</v>
      </c>
      <c r="E881" s="2"/>
      <c r="F881" s="2">
        <v>117</v>
      </c>
      <c r="G881" s="2" t="s">
        <v>3284</v>
      </c>
      <c r="H881" s="2">
        <v>42</v>
      </c>
      <c r="I881" s="2" t="s">
        <v>1096</v>
      </c>
      <c r="J881" s="2">
        <v>134</v>
      </c>
      <c r="K881" s="2" t="s">
        <v>3285</v>
      </c>
      <c r="L881" s="2" t="s">
        <v>3286</v>
      </c>
      <c r="M881" s="3">
        <v>40247</v>
      </c>
      <c r="N881" s="2" t="s">
        <v>3287</v>
      </c>
      <c r="O881" s="2" t="s">
        <v>107</v>
      </c>
      <c r="P881" s="2" t="s">
        <v>107</v>
      </c>
      <c r="Q881" s="2" t="str">
        <f>"001/10"</f>
        <v>001/10</v>
      </c>
      <c r="R881" s="2" t="s">
        <v>3289</v>
      </c>
      <c r="S881" s="2" t="s">
        <v>3289</v>
      </c>
      <c r="T881" s="2">
        <v>1</v>
      </c>
      <c r="U881" s="2" t="s">
        <v>79</v>
      </c>
      <c r="V881" s="2">
        <v>1</v>
      </c>
      <c r="W881" s="2" t="s">
        <v>80</v>
      </c>
      <c r="X881" s="2">
        <v>5</v>
      </c>
      <c r="Y881" s="2" t="s">
        <v>82</v>
      </c>
      <c r="Z881" s="2">
        <v>1</v>
      </c>
      <c r="AA881" s="2" t="s">
        <v>82</v>
      </c>
      <c r="AB881" s="2">
        <v>6</v>
      </c>
      <c r="AC881" s="2" t="s">
        <v>83</v>
      </c>
      <c r="AD881" s="3">
        <v>40242</v>
      </c>
      <c r="AE881" s="4">
        <v>0.81944444444444453</v>
      </c>
      <c r="AF881" s="3">
        <v>40247</v>
      </c>
      <c r="AG881" s="4">
        <v>0.40972222222222227</v>
      </c>
      <c r="AH881" s="2">
        <v>6</v>
      </c>
      <c r="AI881" s="2" t="s">
        <v>197</v>
      </c>
      <c r="AJ881" s="2">
        <v>59</v>
      </c>
      <c r="AK881" s="2" t="s">
        <v>198</v>
      </c>
      <c r="AL881" s="2">
        <v>12</v>
      </c>
      <c r="AM881" s="2" t="s">
        <v>86</v>
      </c>
      <c r="AN881" s="2" t="s">
        <v>1540</v>
      </c>
      <c r="AO881" s="2" t="s">
        <v>3454</v>
      </c>
      <c r="AP881" s="2">
        <v>11</v>
      </c>
      <c r="AQ881" s="2" t="s">
        <v>82</v>
      </c>
      <c r="AR881" s="2"/>
      <c r="AS881" s="2"/>
      <c r="AT881" s="2" t="s">
        <v>3455</v>
      </c>
      <c r="AU881" s="2"/>
      <c r="AV881" s="2"/>
      <c r="AW881" s="2"/>
      <c r="AX881" s="2"/>
      <c r="AY881" s="2">
        <v>41</v>
      </c>
      <c r="AZ881" s="2" t="s">
        <v>82</v>
      </c>
      <c r="BA881" s="2">
        <v>1</v>
      </c>
      <c r="BB881" s="2" t="s">
        <v>107</v>
      </c>
      <c r="BC881" s="2">
        <v>1</v>
      </c>
      <c r="BD881" s="2" t="s">
        <v>107</v>
      </c>
      <c r="BE881" s="2">
        <v>1</v>
      </c>
      <c r="BF881" s="2" t="s">
        <v>107</v>
      </c>
      <c r="BG881" s="2" t="s">
        <v>82</v>
      </c>
      <c r="BH881" s="2"/>
      <c r="BI881" s="2"/>
      <c r="BJ881" s="2">
        <v>242</v>
      </c>
      <c r="BK881" s="2" t="s">
        <v>107</v>
      </c>
      <c r="BL881" s="2"/>
      <c r="BM881" s="2">
        <v>242</v>
      </c>
      <c r="BN881" s="2" t="s">
        <v>107</v>
      </c>
      <c r="BO881" s="2"/>
      <c r="BP881" s="2">
        <v>242</v>
      </c>
      <c r="BQ881" s="2" t="s">
        <v>107</v>
      </c>
      <c r="BR881" s="2"/>
      <c r="BS881" s="3">
        <v>40247</v>
      </c>
      <c r="BT881" s="4">
        <v>0.51410879629629636</v>
      </c>
    </row>
    <row r="882" spans="1:72" x14ac:dyDescent="0.25">
      <c r="A882" s="2">
        <v>1387</v>
      </c>
      <c r="B882" s="2">
        <v>2010</v>
      </c>
      <c r="C882" s="2" t="s">
        <v>121</v>
      </c>
      <c r="D882" s="2" t="s">
        <v>122</v>
      </c>
      <c r="E882" s="2"/>
      <c r="F882" s="2">
        <v>1</v>
      </c>
      <c r="G882" s="2" t="s">
        <v>82</v>
      </c>
      <c r="H882" s="2">
        <v>1</v>
      </c>
      <c r="I882" s="2" t="s">
        <v>82</v>
      </c>
      <c r="J882" s="2">
        <v>1</v>
      </c>
      <c r="K882" s="2" t="s">
        <v>107</v>
      </c>
      <c r="L882" s="2" t="s">
        <v>107</v>
      </c>
      <c r="M882" s="3">
        <v>40247</v>
      </c>
      <c r="N882" s="2"/>
      <c r="O882" s="2"/>
      <c r="P882" s="2"/>
      <c r="Q882" s="2" t="str">
        <f>""</f>
        <v/>
      </c>
      <c r="R882" s="2"/>
      <c r="S882" s="2"/>
      <c r="T882" s="2">
        <v>2</v>
      </c>
      <c r="U882" s="2" t="s">
        <v>123</v>
      </c>
      <c r="V882" s="2">
        <v>1</v>
      </c>
      <c r="W882" s="2" t="s">
        <v>80</v>
      </c>
      <c r="X882" s="2">
        <v>5</v>
      </c>
      <c r="Y882" s="2" t="s">
        <v>82</v>
      </c>
      <c r="Z882" s="2">
        <v>1</v>
      </c>
      <c r="AA882" s="2" t="s">
        <v>82</v>
      </c>
      <c r="AB882" s="2">
        <v>9</v>
      </c>
      <c r="AC882" s="2" t="s">
        <v>124</v>
      </c>
      <c r="AD882" s="3">
        <v>40247</v>
      </c>
      <c r="AE882" s="4">
        <v>0.4375</v>
      </c>
      <c r="AF882" s="2"/>
      <c r="AG882" s="2"/>
      <c r="AH882" s="2">
        <v>3</v>
      </c>
      <c r="AI882" s="2" t="s">
        <v>214</v>
      </c>
      <c r="AJ882" s="2">
        <v>24</v>
      </c>
      <c r="AK882" s="2" t="s">
        <v>215</v>
      </c>
      <c r="AL882" s="2">
        <v>18</v>
      </c>
      <c r="AM882" s="2" t="s">
        <v>82</v>
      </c>
      <c r="AN882" s="2" t="s">
        <v>3456</v>
      </c>
      <c r="AO882" s="2" t="s">
        <v>230</v>
      </c>
      <c r="AP882" s="2">
        <v>11</v>
      </c>
      <c r="AQ882" s="2" t="s">
        <v>82</v>
      </c>
      <c r="AR882" s="2"/>
      <c r="AS882" s="2"/>
      <c r="AT882" s="2" t="s">
        <v>3457</v>
      </c>
      <c r="AU882" s="2"/>
      <c r="AV882" s="2"/>
      <c r="AW882" s="2"/>
      <c r="AX882" s="2"/>
      <c r="AY882" s="2">
        <v>1</v>
      </c>
      <c r="AZ882" s="2" t="s">
        <v>107</v>
      </c>
      <c r="BA882" s="2">
        <v>1</v>
      </c>
      <c r="BB882" s="2" t="s">
        <v>107</v>
      </c>
      <c r="BC882" s="2">
        <v>1</v>
      </c>
      <c r="BD882" s="2" t="s">
        <v>107</v>
      </c>
      <c r="BE882" s="2">
        <v>42</v>
      </c>
      <c r="BF882" s="2" t="s">
        <v>182</v>
      </c>
      <c r="BG882" s="2"/>
      <c r="BH882" s="4">
        <v>0.4861111111111111</v>
      </c>
      <c r="BI882" s="4">
        <v>0.53541666666666665</v>
      </c>
      <c r="BJ882" s="2">
        <v>13</v>
      </c>
      <c r="BK882" s="2" t="s">
        <v>91</v>
      </c>
      <c r="BL882" s="2" t="s">
        <v>1705</v>
      </c>
      <c r="BM882" s="2">
        <v>242</v>
      </c>
      <c r="BN882" s="2" t="s">
        <v>107</v>
      </c>
      <c r="BO882" s="2"/>
      <c r="BP882" s="2">
        <v>13</v>
      </c>
      <c r="BQ882" s="2" t="s">
        <v>91</v>
      </c>
      <c r="BR882" s="2" t="s">
        <v>169</v>
      </c>
      <c r="BS882" s="3">
        <v>40247</v>
      </c>
      <c r="BT882" s="4">
        <v>0.53355324074074073</v>
      </c>
    </row>
    <row r="883" spans="1:72" x14ac:dyDescent="0.25">
      <c r="A883" s="2">
        <v>1389</v>
      </c>
      <c r="B883" s="2">
        <v>2010</v>
      </c>
      <c r="C883" s="2" t="s">
        <v>377</v>
      </c>
      <c r="D883" s="2" t="s">
        <v>73</v>
      </c>
      <c r="E883" s="2"/>
      <c r="F883" s="2">
        <v>426</v>
      </c>
      <c r="G883" s="2" t="s">
        <v>378</v>
      </c>
      <c r="H883" s="2">
        <v>50</v>
      </c>
      <c r="I883" s="2" t="s">
        <v>107</v>
      </c>
      <c r="J883" s="2">
        <v>311</v>
      </c>
      <c r="K883" s="2" t="s">
        <v>379</v>
      </c>
      <c r="L883" s="2" t="s">
        <v>380</v>
      </c>
      <c r="M883" s="3">
        <v>40247</v>
      </c>
      <c r="N883" s="2" t="s">
        <v>107</v>
      </c>
      <c r="O883" s="2" t="s">
        <v>107</v>
      </c>
      <c r="P883" s="2" t="s">
        <v>107</v>
      </c>
      <c r="Q883" s="2" t="str">
        <f>"017-E/10"</f>
        <v>017-E/10</v>
      </c>
      <c r="R883" s="2" t="s">
        <v>3458</v>
      </c>
      <c r="S883" s="2" t="s">
        <v>3458</v>
      </c>
      <c r="T883" s="2">
        <v>1</v>
      </c>
      <c r="U883" s="2" t="s">
        <v>79</v>
      </c>
      <c r="V883" s="2">
        <v>1</v>
      </c>
      <c r="W883" s="2" t="s">
        <v>80</v>
      </c>
      <c r="X883" s="2">
        <v>5</v>
      </c>
      <c r="Y883" s="2" t="s">
        <v>82</v>
      </c>
      <c r="Z883" s="2">
        <v>1</v>
      </c>
      <c r="AA883" s="2" t="s">
        <v>82</v>
      </c>
      <c r="AB883" s="2">
        <v>9</v>
      </c>
      <c r="AC883" s="2" t="s">
        <v>124</v>
      </c>
      <c r="AD883" s="3">
        <v>40246</v>
      </c>
      <c r="AE883" s="4">
        <v>0.65277777777777779</v>
      </c>
      <c r="AF883" s="3">
        <v>40246</v>
      </c>
      <c r="AG883" s="4">
        <v>0.70138888888888884</v>
      </c>
      <c r="AH883" s="2">
        <v>2</v>
      </c>
      <c r="AI883" s="2" t="s">
        <v>84</v>
      </c>
      <c r="AJ883" s="2">
        <v>9</v>
      </c>
      <c r="AK883" s="2" t="s">
        <v>103</v>
      </c>
      <c r="AL883" s="2">
        <v>18</v>
      </c>
      <c r="AM883" s="2" t="s">
        <v>82</v>
      </c>
      <c r="AN883" s="2" t="s">
        <v>3459</v>
      </c>
      <c r="AO883" s="2" t="s">
        <v>3460</v>
      </c>
      <c r="AP883" s="2">
        <v>11</v>
      </c>
      <c r="AQ883" s="2" t="s">
        <v>82</v>
      </c>
      <c r="AR883" s="2"/>
      <c r="AS883" s="2"/>
      <c r="AT883" s="2" t="s">
        <v>3461</v>
      </c>
      <c r="AU883" s="2"/>
      <c r="AV883" s="2"/>
      <c r="AW883" s="2"/>
      <c r="AX883" s="2"/>
      <c r="AY883" s="2">
        <v>1</v>
      </c>
      <c r="AZ883" s="2" t="s">
        <v>107</v>
      </c>
      <c r="BA883" s="2">
        <v>1</v>
      </c>
      <c r="BB883" s="2" t="s">
        <v>107</v>
      </c>
      <c r="BC883" s="2">
        <v>1</v>
      </c>
      <c r="BD883" s="2" t="s">
        <v>107</v>
      </c>
      <c r="BE883" s="2">
        <v>1</v>
      </c>
      <c r="BF883" s="2" t="s">
        <v>107</v>
      </c>
      <c r="BG883" s="2"/>
      <c r="BH883" s="2"/>
      <c r="BI883" s="2"/>
      <c r="BJ883" s="2">
        <v>242</v>
      </c>
      <c r="BK883" s="2" t="s">
        <v>107</v>
      </c>
      <c r="BL883" s="2"/>
      <c r="BM883" s="2">
        <v>242</v>
      </c>
      <c r="BN883" s="2" t="s">
        <v>107</v>
      </c>
      <c r="BO883" s="2"/>
      <c r="BP883" s="2">
        <v>242</v>
      </c>
      <c r="BQ883" s="2" t="s">
        <v>107</v>
      </c>
      <c r="BR883" s="2"/>
      <c r="BS883" s="3">
        <v>40247</v>
      </c>
      <c r="BT883" s="4">
        <v>0.56222222222222229</v>
      </c>
    </row>
    <row r="884" spans="1:72" x14ac:dyDescent="0.25">
      <c r="A884" s="2">
        <v>1390</v>
      </c>
      <c r="B884" s="2">
        <v>2010</v>
      </c>
      <c r="C884" s="2" t="s">
        <v>72</v>
      </c>
      <c r="D884" s="2" t="s">
        <v>73</v>
      </c>
      <c r="E884" s="2"/>
      <c r="F884" s="2">
        <v>2</v>
      </c>
      <c r="G884" s="2" t="s">
        <v>113</v>
      </c>
      <c r="H884" s="2">
        <v>50</v>
      </c>
      <c r="I884" s="2" t="s">
        <v>107</v>
      </c>
      <c r="J884" s="2">
        <v>300</v>
      </c>
      <c r="K884" s="2" t="s">
        <v>114</v>
      </c>
      <c r="L884" s="2" t="s">
        <v>115</v>
      </c>
      <c r="M884" s="3">
        <v>40247</v>
      </c>
      <c r="N884" s="2" t="s">
        <v>107</v>
      </c>
      <c r="O884" s="2" t="s">
        <v>107</v>
      </c>
      <c r="P884" s="2" t="s">
        <v>107</v>
      </c>
      <c r="Q884" s="2" t="str">
        <f>"126-E/10"</f>
        <v>126-E/10</v>
      </c>
      <c r="R884" s="2" t="s">
        <v>116</v>
      </c>
      <c r="S884" s="2" t="s">
        <v>116</v>
      </c>
      <c r="T884" s="2">
        <v>1</v>
      </c>
      <c r="U884" s="2" t="s">
        <v>79</v>
      </c>
      <c r="V884" s="2">
        <v>1</v>
      </c>
      <c r="W884" s="2" t="s">
        <v>80</v>
      </c>
      <c r="X884" s="2">
        <v>1</v>
      </c>
      <c r="Y884" s="2" t="s">
        <v>81</v>
      </c>
      <c r="Z884" s="2">
        <v>1</v>
      </c>
      <c r="AA884" s="2" t="s">
        <v>82</v>
      </c>
      <c r="AB884" s="2">
        <v>6</v>
      </c>
      <c r="AC884" s="2" t="s">
        <v>83</v>
      </c>
      <c r="AD884" s="3">
        <v>40247</v>
      </c>
      <c r="AE884" s="4">
        <v>0.40625</v>
      </c>
      <c r="AF884" s="3">
        <v>40247</v>
      </c>
      <c r="AG884" s="4">
        <v>0.48958333333333331</v>
      </c>
      <c r="AH884" s="2">
        <v>2</v>
      </c>
      <c r="AI884" s="2" t="s">
        <v>84</v>
      </c>
      <c r="AJ884" s="2">
        <v>9</v>
      </c>
      <c r="AK884" s="2" t="s">
        <v>103</v>
      </c>
      <c r="AL884" s="2">
        <v>12</v>
      </c>
      <c r="AM884" s="2" t="s">
        <v>86</v>
      </c>
      <c r="AN884" s="2" t="s">
        <v>3462</v>
      </c>
      <c r="AO884" s="2" t="s">
        <v>3463</v>
      </c>
      <c r="AP884" s="2">
        <v>11</v>
      </c>
      <c r="AQ884" s="2" t="s">
        <v>82</v>
      </c>
      <c r="AR884" s="2"/>
      <c r="AS884" s="2"/>
      <c r="AT884" s="2" t="s">
        <v>3464</v>
      </c>
      <c r="AU884" s="2"/>
      <c r="AV884" s="2"/>
      <c r="AW884" s="2"/>
      <c r="AX884" s="2"/>
      <c r="AY884" s="2">
        <v>41</v>
      </c>
      <c r="AZ884" s="2" t="s">
        <v>82</v>
      </c>
      <c r="BA884" s="2">
        <v>41</v>
      </c>
      <c r="BB884" s="2" t="s">
        <v>82</v>
      </c>
      <c r="BC884" s="2">
        <v>41</v>
      </c>
      <c r="BD884" s="2" t="s">
        <v>82</v>
      </c>
      <c r="BE884" s="2">
        <v>8</v>
      </c>
      <c r="BF884" s="2" t="s">
        <v>3465</v>
      </c>
      <c r="BG884" s="2" t="s">
        <v>3466</v>
      </c>
      <c r="BH884" s="4">
        <v>0.38472222222222219</v>
      </c>
      <c r="BI884" s="2"/>
      <c r="BJ884" s="2">
        <v>244</v>
      </c>
      <c r="BK884" s="2" t="s">
        <v>1236</v>
      </c>
      <c r="BL884" s="2" t="s">
        <v>1237</v>
      </c>
      <c r="BM884" s="2">
        <v>33</v>
      </c>
      <c r="BN884" s="2" t="s">
        <v>361</v>
      </c>
      <c r="BO884" s="2" t="s">
        <v>1739</v>
      </c>
      <c r="BP884" s="2">
        <v>13</v>
      </c>
      <c r="BQ884" s="2" t="s">
        <v>91</v>
      </c>
      <c r="BR884" s="2" t="s">
        <v>185</v>
      </c>
      <c r="BS884" s="3">
        <v>40247</v>
      </c>
      <c r="BT884" s="4">
        <v>0.58216435185185189</v>
      </c>
    </row>
    <row r="885" spans="1:72" x14ac:dyDescent="0.25">
      <c r="A885" s="2">
        <v>1392</v>
      </c>
      <c r="B885" s="2">
        <v>2010</v>
      </c>
      <c r="C885" s="2" t="s">
        <v>642</v>
      </c>
      <c r="D885" s="2" t="s">
        <v>122</v>
      </c>
      <c r="E885" s="2" t="s">
        <v>3128</v>
      </c>
      <c r="F885" s="2">
        <v>437</v>
      </c>
      <c r="G885" s="2" t="s">
        <v>633</v>
      </c>
      <c r="H885" s="2">
        <v>31</v>
      </c>
      <c r="I885" s="2" t="s">
        <v>880</v>
      </c>
      <c r="J885" s="2">
        <v>318</v>
      </c>
      <c r="K885" s="2" t="s">
        <v>635</v>
      </c>
      <c r="L885" s="2" t="s">
        <v>636</v>
      </c>
      <c r="M885" s="3">
        <v>40247</v>
      </c>
      <c r="N885" s="2" t="s">
        <v>2905</v>
      </c>
      <c r="O885" s="2" t="s">
        <v>2906</v>
      </c>
      <c r="P885" s="2" t="s">
        <v>2907</v>
      </c>
      <c r="Q885" s="2" t="str">
        <f>""</f>
        <v/>
      </c>
      <c r="R885" s="2"/>
      <c r="S885" s="2"/>
      <c r="T885" s="2">
        <v>1</v>
      </c>
      <c r="U885" s="2" t="s">
        <v>79</v>
      </c>
      <c r="V885" s="2">
        <v>3</v>
      </c>
      <c r="W885" s="2" t="s">
        <v>225</v>
      </c>
      <c r="X885" s="2">
        <v>5</v>
      </c>
      <c r="Y885" s="2" t="s">
        <v>82</v>
      </c>
      <c r="Z885" s="2">
        <v>1</v>
      </c>
      <c r="AA885" s="2" t="s">
        <v>82</v>
      </c>
      <c r="AB885" s="2">
        <v>9</v>
      </c>
      <c r="AC885" s="2" t="s">
        <v>124</v>
      </c>
      <c r="AD885" s="2"/>
      <c r="AE885" s="2"/>
      <c r="AF885" s="2"/>
      <c r="AG885" s="2"/>
      <c r="AH885" s="2">
        <v>4</v>
      </c>
      <c r="AI885" s="2" t="s">
        <v>125</v>
      </c>
      <c r="AJ885" s="2">
        <v>26</v>
      </c>
      <c r="AK885" s="2" t="s">
        <v>293</v>
      </c>
      <c r="AL885" s="2">
        <v>18</v>
      </c>
      <c r="AM885" s="2" t="s">
        <v>82</v>
      </c>
      <c r="AN885" s="2"/>
      <c r="AO885" s="2"/>
      <c r="AP885" s="2">
        <v>11</v>
      </c>
      <c r="AQ885" s="2" t="s">
        <v>82</v>
      </c>
      <c r="AR885" s="2"/>
      <c r="AS885" s="2"/>
      <c r="AT885" s="2" t="s">
        <v>3467</v>
      </c>
      <c r="AU885" s="2"/>
      <c r="AV885" s="2"/>
      <c r="AW885" s="2"/>
      <c r="AX885" s="2"/>
      <c r="AY885" s="2">
        <v>1</v>
      </c>
      <c r="AZ885" s="2" t="s">
        <v>107</v>
      </c>
      <c r="BA885" s="2">
        <v>1</v>
      </c>
      <c r="BB885" s="2" t="s">
        <v>107</v>
      </c>
      <c r="BC885" s="2">
        <v>1</v>
      </c>
      <c r="BD885" s="2" t="s">
        <v>107</v>
      </c>
      <c r="BE885" s="2">
        <v>1</v>
      </c>
      <c r="BF885" s="2" t="s">
        <v>107</v>
      </c>
      <c r="BG885" s="2"/>
      <c r="BH885" s="2"/>
      <c r="BI885" s="2"/>
      <c r="BJ885" s="2">
        <v>242</v>
      </c>
      <c r="BK885" s="2" t="s">
        <v>107</v>
      </c>
      <c r="BL885" s="2"/>
      <c r="BM885" s="2">
        <v>242</v>
      </c>
      <c r="BN885" s="2" t="s">
        <v>107</v>
      </c>
      <c r="BO885" s="2"/>
      <c r="BP885" s="2">
        <v>242</v>
      </c>
      <c r="BQ885" s="2" t="s">
        <v>107</v>
      </c>
      <c r="BR885" s="2"/>
      <c r="BS885" s="3">
        <v>40247</v>
      </c>
      <c r="BT885" s="4">
        <v>0.61214120370370373</v>
      </c>
    </row>
    <row r="886" spans="1:72" x14ac:dyDescent="0.25">
      <c r="A886" s="2">
        <v>1394</v>
      </c>
      <c r="B886" s="2">
        <v>2010</v>
      </c>
      <c r="C886" s="2" t="s">
        <v>171</v>
      </c>
      <c r="D886" s="2" t="s">
        <v>122</v>
      </c>
      <c r="E886" s="2" t="s">
        <v>3468</v>
      </c>
      <c r="F886" s="2">
        <v>398</v>
      </c>
      <c r="G886" s="2" t="s">
        <v>94</v>
      </c>
      <c r="H886" s="2">
        <v>12</v>
      </c>
      <c r="I886" s="2" t="s">
        <v>95</v>
      </c>
      <c r="J886" s="2">
        <v>245</v>
      </c>
      <c r="K886" s="2" t="s">
        <v>96</v>
      </c>
      <c r="L886" s="2" t="s">
        <v>97</v>
      </c>
      <c r="M886" s="3">
        <v>40247</v>
      </c>
      <c r="N886" s="2" t="s">
        <v>3443</v>
      </c>
      <c r="O886" s="2"/>
      <c r="P886" s="2"/>
      <c r="Q886" s="2" t="str">
        <f>"124-E/10"</f>
        <v>124-E/10</v>
      </c>
      <c r="R886" s="2" t="s">
        <v>391</v>
      </c>
      <c r="S886" s="2"/>
      <c r="T886" s="2">
        <v>1</v>
      </c>
      <c r="U886" s="2" t="s">
        <v>79</v>
      </c>
      <c r="V886" s="2">
        <v>1</v>
      </c>
      <c r="W886" s="2" t="s">
        <v>80</v>
      </c>
      <c r="X886" s="2">
        <v>1</v>
      </c>
      <c r="Y886" s="2" t="s">
        <v>81</v>
      </c>
      <c r="Z886" s="2">
        <v>10</v>
      </c>
      <c r="AA886" s="2" t="s">
        <v>236</v>
      </c>
      <c r="AB886" s="2">
        <v>1</v>
      </c>
      <c r="AC886" s="2" t="s">
        <v>178</v>
      </c>
      <c r="AD886" s="3">
        <v>40246</v>
      </c>
      <c r="AE886" s="4">
        <v>0.5625</v>
      </c>
      <c r="AF886" s="2"/>
      <c r="AG886" s="2"/>
      <c r="AH886" s="2">
        <v>2</v>
      </c>
      <c r="AI886" s="2" t="s">
        <v>84</v>
      </c>
      <c r="AJ886" s="2">
        <v>9</v>
      </c>
      <c r="AK886" s="2" t="s">
        <v>103</v>
      </c>
      <c r="AL886" s="2">
        <v>8</v>
      </c>
      <c r="AM886" s="2" t="s">
        <v>179</v>
      </c>
      <c r="AN886" s="2" t="s">
        <v>3444</v>
      </c>
      <c r="AO886" s="2"/>
      <c r="AP886" s="2">
        <v>11</v>
      </c>
      <c r="AQ886" s="2" t="s">
        <v>82</v>
      </c>
      <c r="AR886" s="2"/>
      <c r="AS886" s="2"/>
      <c r="AT886" s="2" t="s">
        <v>3469</v>
      </c>
      <c r="AU886" s="2"/>
      <c r="AV886" s="2">
        <v>1</v>
      </c>
      <c r="AW886" s="2"/>
      <c r="AX886" s="2"/>
      <c r="AY886" s="2">
        <v>41</v>
      </c>
      <c r="AZ886" s="2" t="s">
        <v>82</v>
      </c>
      <c r="BA886" s="2">
        <v>70</v>
      </c>
      <c r="BB886" s="2" t="s">
        <v>236</v>
      </c>
      <c r="BC886" s="2">
        <v>41</v>
      </c>
      <c r="BD886" s="2" t="s">
        <v>82</v>
      </c>
      <c r="BE886" s="2">
        <v>31</v>
      </c>
      <c r="BF886" s="2" t="s">
        <v>398</v>
      </c>
      <c r="BG886" s="2" t="s">
        <v>399</v>
      </c>
      <c r="BH886" s="2"/>
      <c r="BI886" s="4">
        <v>0.61805555555555558</v>
      </c>
      <c r="BJ886" s="2">
        <v>13</v>
      </c>
      <c r="BK886" s="2" t="s">
        <v>91</v>
      </c>
      <c r="BL886" s="2" t="s">
        <v>360</v>
      </c>
      <c r="BM886" s="2">
        <v>73</v>
      </c>
      <c r="BN886" s="2" t="s">
        <v>186</v>
      </c>
      <c r="BO886" s="2" t="s">
        <v>187</v>
      </c>
      <c r="BP886" s="2">
        <v>73</v>
      </c>
      <c r="BQ886" s="2" t="s">
        <v>186</v>
      </c>
      <c r="BR886" s="2" t="s">
        <v>2600</v>
      </c>
      <c r="BS886" s="3">
        <v>40247</v>
      </c>
      <c r="BT886" s="4">
        <v>0.6209837962962963</v>
      </c>
    </row>
    <row r="887" spans="1:72" x14ac:dyDescent="0.25">
      <c r="A887" s="2">
        <v>1397</v>
      </c>
      <c r="B887" s="2">
        <v>2010</v>
      </c>
      <c r="C887" s="2" t="s">
        <v>642</v>
      </c>
      <c r="D887" s="2" t="s">
        <v>122</v>
      </c>
      <c r="E887" s="2" t="s">
        <v>3128</v>
      </c>
      <c r="F887" s="2">
        <v>437</v>
      </c>
      <c r="G887" s="2" t="s">
        <v>633</v>
      </c>
      <c r="H887" s="2">
        <v>31</v>
      </c>
      <c r="I887" s="2" t="s">
        <v>880</v>
      </c>
      <c r="J887" s="2">
        <v>318</v>
      </c>
      <c r="K887" s="2" t="s">
        <v>635</v>
      </c>
      <c r="L887" s="2" t="s">
        <v>636</v>
      </c>
      <c r="M887" s="3">
        <v>40247</v>
      </c>
      <c r="N887" s="2" t="s">
        <v>2905</v>
      </c>
      <c r="O887" s="2" t="s">
        <v>2906</v>
      </c>
      <c r="P887" s="2" t="s">
        <v>2907</v>
      </c>
      <c r="Q887" s="2" t="str">
        <f>""</f>
        <v/>
      </c>
      <c r="R887" s="2"/>
      <c r="S887" s="2"/>
      <c r="T887" s="2">
        <v>1</v>
      </c>
      <c r="U887" s="2" t="s">
        <v>79</v>
      </c>
      <c r="V887" s="2">
        <v>3</v>
      </c>
      <c r="W887" s="2" t="s">
        <v>225</v>
      </c>
      <c r="X887" s="2">
        <v>5</v>
      </c>
      <c r="Y887" s="2" t="s">
        <v>82</v>
      </c>
      <c r="Z887" s="2">
        <v>1</v>
      </c>
      <c r="AA887" s="2" t="s">
        <v>82</v>
      </c>
      <c r="AB887" s="2">
        <v>9</v>
      </c>
      <c r="AC887" s="2" t="s">
        <v>124</v>
      </c>
      <c r="AD887" s="2"/>
      <c r="AE887" s="2"/>
      <c r="AF887" s="2"/>
      <c r="AG887" s="2"/>
      <c r="AH887" s="2">
        <v>4</v>
      </c>
      <c r="AI887" s="2" t="s">
        <v>125</v>
      </c>
      <c r="AJ887" s="2">
        <v>26</v>
      </c>
      <c r="AK887" s="2" t="s">
        <v>293</v>
      </c>
      <c r="AL887" s="2">
        <v>18</v>
      </c>
      <c r="AM887" s="2" t="s">
        <v>82</v>
      </c>
      <c r="AN887" s="2"/>
      <c r="AO887" s="2"/>
      <c r="AP887" s="2">
        <v>11</v>
      </c>
      <c r="AQ887" s="2" t="s">
        <v>82</v>
      </c>
      <c r="AR887" s="2"/>
      <c r="AS887" s="2"/>
      <c r="AT887" s="2" t="s">
        <v>3470</v>
      </c>
      <c r="AU887" s="2"/>
      <c r="AV887" s="2"/>
      <c r="AW887" s="2"/>
      <c r="AX887" s="2"/>
      <c r="AY887" s="2">
        <v>1</v>
      </c>
      <c r="AZ887" s="2" t="s">
        <v>107</v>
      </c>
      <c r="BA887" s="2">
        <v>1</v>
      </c>
      <c r="BB887" s="2" t="s">
        <v>107</v>
      </c>
      <c r="BC887" s="2">
        <v>1</v>
      </c>
      <c r="BD887" s="2" t="s">
        <v>107</v>
      </c>
      <c r="BE887" s="2">
        <v>1</v>
      </c>
      <c r="BF887" s="2" t="s">
        <v>107</v>
      </c>
      <c r="BG887" s="2"/>
      <c r="BH887" s="2"/>
      <c r="BI887" s="2"/>
      <c r="BJ887" s="2">
        <v>242</v>
      </c>
      <c r="BK887" s="2" t="s">
        <v>107</v>
      </c>
      <c r="BL887" s="2"/>
      <c r="BM887" s="2">
        <v>242</v>
      </c>
      <c r="BN887" s="2" t="s">
        <v>107</v>
      </c>
      <c r="BO887" s="2"/>
      <c r="BP887" s="2">
        <v>242</v>
      </c>
      <c r="BQ887" s="2" t="s">
        <v>107</v>
      </c>
      <c r="BR887" s="2"/>
      <c r="BS887" s="3">
        <v>40247</v>
      </c>
      <c r="BT887" s="4">
        <v>0.6491203703703704</v>
      </c>
    </row>
    <row r="888" spans="1:72" x14ac:dyDescent="0.25">
      <c r="A888" s="2">
        <v>1398</v>
      </c>
      <c r="B888" s="2">
        <v>2010</v>
      </c>
      <c r="C888" s="2" t="s">
        <v>171</v>
      </c>
      <c r="D888" s="2" t="s">
        <v>73</v>
      </c>
      <c r="E888" s="2" t="s">
        <v>3471</v>
      </c>
      <c r="F888" s="2">
        <v>451</v>
      </c>
      <c r="G888" s="2" t="s">
        <v>879</v>
      </c>
      <c r="H888" s="2">
        <v>31</v>
      </c>
      <c r="I888" s="2" t="s">
        <v>880</v>
      </c>
      <c r="J888" s="2">
        <v>326</v>
      </c>
      <c r="K888" s="2" t="s">
        <v>881</v>
      </c>
      <c r="L888" s="2" t="s">
        <v>882</v>
      </c>
      <c r="M888" s="3">
        <v>40247</v>
      </c>
      <c r="N888" s="2" t="s">
        <v>821</v>
      </c>
      <c r="O888" s="2" t="s">
        <v>3472</v>
      </c>
      <c r="P888" s="2" t="s">
        <v>3244</v>
      </c>
      <c r="Q888" s="2" t="str">
        <f>"001/10"</f>
        <v>001/10</v>
      </c>
      <c r="R888" s="2"/>
      <c r="S888" s="2" t="s">
        <v>822</v>
      </c>
      <c r="T888" s="2">
        <v>1</v>
      </c>
      <c r="U888" s="2" t="s">
        <v>79</v>
      </c>
      <c r="V888" s="2">
        <v>1</v>
      </c>
      <c r="W888" s="2" t="s">
        <v>80</v>
      </c>
      <c r="X888" s="2">
        <v>1</v>
      </c>
      <c r="Y888" s="2" t="s">
        <v>81</v>
      </c>
      <c r="Z888" s="2">
        <v>10</v>
      </c>
      <c r="AA888" s="2" t="s">
        <v>236</v>
      </c>
      <c r="AB888" s="2">
        <v>1</v>
      </c>
      <c r="AC888" s="2" t="s">
        <v>178</v>
      </c>
      <c r="AD888" s="3">
        <v>40247</v>
      </c>
      <c r="AE888" s="4">
        <v>0.5625</v>
      </c>
      <c r="AF888" s="2"/>
      <c r="AG888" s="2"/>
      <c r="AH888" s="2">
        <v>4</v>
      </c>
      <c r="AI888" s="2" t="s">
        <v>125</v>
      </c>
      <c r="AJ888" s="2">
        <v>29</v>
      </c>
      <c r="AK888" s="2" t="s">
        <v>227</v>
      </c>
      <c r="AL888" s="2">
        <v>10</v>
      </c>
      <c r="AM888" s="2" t="s">
        <v>200</v>
      </c>
      <c r="AN888" s="2"/>
      <c r="AO888" s="2" t="s">
        <v>883</v>
      </c>
      <c r="AP888" s="2">
        <v>12</v>
      </c>
      <c r="AQ888" s="2" t="s">
        <v>322</v>
      </c>
      <c r="AR888" s="2" t="s">
        <v>824</v>
      </c>
      <c r="AS888" s="2" t="s">
        <v>884</v>
      </c>
      <c r="AT888" s="2" t="s">
        <v>3473</v>
      </c>
      <c r="AU888" s="2"/>
      <c r="AV888" s="2"/>
      <c r="AW888" s="2"/>
      <c r="AX888" s="2"/>
      <c r="AY888" s="2">
        <v>41</v>
      </c>
      <c r="AZ888" s="2" t="s">
        <v>82</v>
      </c>
      <c r="BA888" s="2">
        <v>41</v>
      </c>
      <c r="BB888" s="2" t="s">
        <v>82</v>
      </c>
      <c r="BC888" s="2">
        <v>51</v>
      </c>
      <c r="BD888" s="2" t="s">
        <v>827</v>
      </c>
      <c r="BE888" s="2">
        <v>47</v>
      </c>
      <c r="BF888" s="2" t="s">
        <v>167</v>
      </c>
      <c r="BG888" s="2">
        <v>2459</v>
      </c>
      <c r="BH888" s="4">
        <v>0.9375</v>
      </c>
      <c r="BI888" s="4">
        <v>0.96527777777777779</v>
      </c>
      <c r="BJ888" s="2">
        <v>13</v>
      </c>
      <c r="BK888" s="2" t="s">
        <v>91</v>
      </c>
      <c r="BL888" s="2" t="s">
        <v>828</v>
      </c>
      <c r="BM888" s="2">
        <v>241</v>
      </c>
      <c r="BN888" s="2" t="s">
        <v>82</v>
      </c>
      <c r="BO888" s="2" t="s">
        <v>82</v>
      </c>
      <c r="BP888" s="2">
        <v>13</v>
      </c>
      <c r="BQ888" s="2" t="s">
        <v>91</v>
      </c>
      <c r="BR888" s="2" t="s">
        <v>185</v>
      </c>
      <c r="BS888" s="3">
        <v>40247</v>
      </c>
      <c r="BT888" s="4">
        <v>0.66121527777777778</v>
      </c>
    </row>
    <row r="889" spans="1:72" x14ac:dyDescent="0.25">
      <c r="A889" s="2">
        <v>1400</v>
      </c>
      <c r="B889" s="2">
        <v>2010</v>
      </c>
      <c r="C889" s="2" t="s">
        <v>1094</v>
      </c>
      <c r="D889" s="2" t="s">
        <v>73</v>
      </c>
      <c r="E889" s="2"/>
      <c r="F889" s="2">
        <v>390</v>
      </c>
      <c r="G889" s="2" t="s">
        <v>475</v>
      </c>
      <c r="H889" s="2">
        <v>5</v>
      </c>
      <c r="I889" s="2" t="s">
        <v>634</v>
      </c>
      <c r="J889" s="2">
        <v>314</v>
      </c>
      <c r="K889" s="2" t="s">
        <v>477</v>
      </c>
      <c r="L889" s="2" t="s">
        <v>478</v>
      </c>
      <c r="M889" s="3">
        <v>40247</v>
      </c>
      <c r="N889" s="2" t="s">
        <v>3103</v>
      </c>
      <c r="O889" s="2" t="s">
        <v>107</v>
      </c>
      <c r="P889" s="2" t="s">
        <v>107</v>
      </c>
      <c r="Q889" s="2" t="str">
        <f>"127-E/10"</f>
        <v>127-E/10</v>
      </c>
      <c r="R889" s="2" t="s">
        <v>107</v>
      </c>
      <c r="S889" s="2" t="s">
        <v>1100</v>
      </c>
      <c r="T889" s="2">
        <v>1</v>
      </c>
      <c r="U889" s="2" t="s">
        <v>79</v>
      </c>
      <c r="V889" s="2">
        <v>1</v>
      </c>
      <c r="W889" s="2" t="s">
        <v>80</v>
      </c>
      <c r="X889" s="2">
        <v>1</v>
      </c>
      <c r="Y889" s="2" t="s">
        <v>81</v>
      </c>
      <c r="Z889" s="2">
        <v>1</v>
      </c>
      <c r="AA889" s="2" t="s">
        <v>82</v>
      </c>
      <c r="AB889" s="2">
        <v>9</v>
      </c>
      <c r="AC889" s="2" t="s">
        <v>124</v>
      </c>
      <c r="AD889" s="3">
        <v>40246</v>
      </c>
      <c r="AE889" s="4">
        <v>0.54166666666666663</v>
      </c>
      <c r="AF889" s="3">
        <v>40247</v>
      </c>
      <c r="AG889" s="4">
        <v>0.54166666666666663</v>
      </c>
      <c r="AH889" s="2">
        <v>2</v>
      </c>
      <c r="AI889" s="2" t="s">
        <v>84</v>
      </c>
      <c r="AJ889" s="2">
        <v>9</v>
      </c>
      <c r="AK889" s="2" t="s">
        <v>103</v>
      </c>
      <c r="AL889" s="2">
        <v>15</v>
      </c>
      <c r="AM889" s="2" t="s">
        <v>104</v>
      </c>
      <c r="AN889" s="2" t="s">
        <v>3474</v>
      </c>
      <c r="AO889" s="2" t="s">
        <v>107</v>
      </c>
      <c r="AP889" s="2">
        <v>11</v>
      </c>
      <c r="AQ889" s="2" t="s">
        <v>82</v>
      </c>
      <c r="AR889" s="2"/>
      <c r="AS889" s="2"/>
      <c r="AT889" s="2" t="s">
        <v>3475</v>
      </c>
      <c r="AU889" s="2"/>
      <c r="AV889" s="2"/>
      <c r="AW889" s="2"/>
      <c r="AX889" s="2"/>
      <c r="AY889" s="2">
        <v>41</v>
      </c>
      <c r="AZ889" s="2" t="s">
        <v>82</v>
      </c>
      <c r="BA889" s="2">
        <v>41</v>
      </c>
      <c r="BB889" s="2" t="s">
        <v>82</v>
      </c>
      <c r="BC889" s="2">
        <v>41</v>
      </c>
      <c r="BD889" s="2" t="s">
        <v>82</v>
      </c>
      <c r="BE889" s="2">
        <v>41</v>
      </c>
      <c r="BF889" s="2" t="s">
        <v>82</v>
      </c>
      <c r="BG889" s="2"/>
      <c r="BH889" s="2"/>
      <c r="BI889" s="2"/>
      <c r="BJ889" s="2">
        <v>241</v>
      </c>
      <c r="BK889" s="2" t="s">
        <v>82</v>
      </c>
      <c r="BL889" s="2"/>
      <c r="BM889" s="2">
        <v>241</v>
      </c>
      <c r="BN889" s="2" t="s">
        <v>82</v>
      </c>
      <c r="BO889" s="2"/>
      <c r="BP889" s="2">
        <v>241</v>
      </c>
      <c r="BQ889" s="2" t="s">
        <v>82</v>
      </c>
      <c r="BR889" s="2"/>
      <c r="BS889" s="3">
        <v>40247</v>
      </c>
      <c r="BT889" s="4">
        <v>0.67313657407407401</v>
      </c>
    </row>
    <row r="890" spans="1:72" x14ac:dyDescent="0.25">
      <c r="A890" s="2">
        <v>1401</v>
      </c>
      <c r="B890" s="2">
        <v>2010</v>
      </c>
      <c r="C890" s="2" t="s">
        <v>171</v>
      </c>
      <c r="D890" s="2" t="s">
        <v>73</v>
      </c>
      <c r="E890" s="2" t="s">
        <v>3476</v>
      </c>
      <c r="F890" s="2">
        <v>425</v>
      </c>
      <c r="G890" s="2" t="s">
        <v>286</v>
      </c>
      <c r="H890" s="2">
        <v>39</v>
      </c>
      <c r="I890" s="2" t="s">
        <v>1117</v>
      </c>
      <c r="J890" s="2">
        <v>310</v>
      </c>
      <c r="K890" s="2" t="s">
        <v>288</v>
      </c>
      <c r="L890" s="2" t="s">
        <v>289</v>
      </c>
      <c r="M890" s="3">
        <v>40247</v>
      </c>
      <c r="N890" s="2" t="s">
        <v>1882</v>
      </c>
      <c r="O890" s="2" t="s">
        <v>2490</v>
      </c>
      <c r="P890" s="2" t="s">
        <v>3477</v>
      </c>
      <c r="Q890" s="2" t="str">
        <f>"017/10"</f>
        <v>017/10</v>
      </c>
      <c r="R890" s="2"/>
      <c r="S890" s="2" t="s">
        <v>822</v>
      </c>
      <c r="T890" s="2">
        <v>1</v>
      </c>
      <c r="U890" s="2" t="s">
        <v>79</v>
      </c>
      <c r="V890" s="2">
        <v>1</v>
      </c>
      <c r="W890" s="2" t="s">
        <v>80</v>
      </c>
      <c r="X890" s="2">
        <v>1</v>
      </c>
      <c r="Y890" s="2" t="s">
        <v>81</v>
      </c>
      <c r="Z890" s="2">
        <v>10</v>
      </c>
      <c r="AA890" s="2" t="s">
        <v>236</v>
      </c>
      <c r="AB890" s="2">
        <v>1</v>
      </c>
      <c r="AC890" s="2" t="s">
        <v>178</v>
      </c>
      <c r="AD890" s="3">
        <v>40247</v>
      </c>
      <c r="AE890" s="4">
        <v>0.64583333333333337</v>
      </c>
      <c r="AF890" s="2"/>
      <c r="AG890" s="2"/>
      <c r="AH890" s="2">
        <v>4</v>
      </c>
      <c r="AI890" s="2" t="s">
        <v>125</v>
      </c>
      <c r="AJ890" s="2">
        <v>29</v>
      </c>
      <c r="AK890" s="2" t="s">
        <v>227</v>
      </c>
      <c r="AL890" s="2">
        <v>10</v>
      </c>
      <c r="AM890" s="2" t="s">
        <v>200</v>
      </c>
      <c r="AN890" s="2" t="s">
        <v>883</v>
      </c>
      <c r="AO890" s="2"/>
      <c r="AP890" s="2">
        <v>12</v>
      </c>
      <c r="AQ890" s="2" t="s">
        <v>322</v>
      </c>
      <c r="AR890" s="2" t="s">
        <v>824</v>
      </c>
      <c r="AS890" s="2" t="s">
        <v>825</v>
      </c>
      <c r="AT890" s="2" t="s">
        <v>3478</v>
      </c>
      <c r="AU890" s="2"/>
      <c r="AV890" s="2"/>
      <c r="AW890" s="2"/>
      <c r="AX890" s="2"/>
      <c r="AY890" s="2">
        <v>41</v>
      </c>
      <c r="AZ890" s="2" t="s">
        <v>82</v>
      </c>
      <c r="BA890" s="2">
        <v>41</v>
      </c>
      <c r="BB890" s="2" t="s">
        <v>82</v>
      </c>
      <c r="BC890" s="2">
        <v>41</v>
      </c>
      <c r="BD890" s="2" t="s">
        <v>82</v>
      </c>
      <c r="BE890" s="2">
        <v>47</v>
      </c>
      <c r="BF890" s="2" t="s">
        <v>167</v>
      </c>
      <c r="BG890" s="2">
        <v>2459</v>
      </c>
      <c r="BH890" s="4">
        <v>0.85069444444444453</v>
      </c>
      <c r="BI890" s="4">
        <v>0.88888888888888884</v>
      </c>
      <c r="BJ890" s="2">
        <v>13</v>
      </c>
      <c r="BK890" s="2" t="s">
        <v>91</v>
      </c>
      <c r="BL890" s="2" t="s">
        <v>828</v>
      </c>
      <c r="BM890" s="2">
        <v>241</v>
      </c>
      <c r="BN890" s="2" t="s">
        <v>82</v>
      </c>
      <c r="BO890" s="2" t="s">
        <v>82</v>
      </c>
      <c r="BP890" s="2">
        <v>13</v>
      </c>
      <c r="BQ890" s="2" t="s">
        <v>91</v>
      </c>
      <c r="BR890" s="2" t="s">
        <v>185</v>
      </c>
      <c r="BS890" s="3">
        <v>40247</v>
      </c>
      <c r="BT890" s="4">
        <v>0.68835648148148154</v>
      </c>
    </row>
    <row r="891" spans="1:72" x14ac:dyDescent="0.25">
      <c r="A891" s="2">
        <v>1402</v>
      </c>
      <c r="B891" s="2">
        <v>2010</v>
      </c>
      <c r="C891" s="2" t="s">
        <v>1559</v>
      </c>
      <c r="D891" s="2" t="s">
        <v>73</v>
      </c>
      <c r="E891" s="2"/>
      <c r="F891" s="2">
        <v>125</v>
      </c>
      <c r="G891" s="2" t="s">
        <v>1483</v>
      </c>
      <c r="H891" s="2">
        <v>47</v>
      </c>
      <c r="I891" s="2" t="s">
        <v>1409</v>
      </c>
      <c r="J891" s="2">
        <v>390</v>
      </c>
      <c r="K891" s="2" t="s">
        <v>1560</v>
      </c>
      <c r="L891" s="2" t="s">
        <v>1561</v>
      </c>
      <c r="M891" s="3">
        <v>40247</v>
      </c>
      <c r="N891" s="2"/>
      <c r="O891" s="2" t="s">
        <v>3479</v>
      </c>
      <c r="P891" s="2" t="s">
        <v>2174</v>
      </c>
      <c r="Q891" s="2" t="str">
        <f>""</f>
        <v/>
      </c>
      <c r="R891" s="2"/>
      <c r="S891" s="2"/>
      <c r="T891" s="2">
        <v>1</v>
      </c>
      <c r="U891" s="2" t="s">
        <v>79</v>
      </c>
      <c r="V891" s="2">
        <v>3</v>
      </c>
      <c r="W891" s="2" t="s">
        <v>225</v>
      </c>
      <c r="X891" s="2">
        <v>6</v>
      </c>
      <c r="Y891" s="2" t="s">
        <v>249</v>
      </c>
      <c r="Z891" s="2">
        <v>1</v>
      </c>
      <c r="AA891" s="2" t="s">
        <v>82</v>
      </c>
      <c r="AB891" s="2">
        <v>9</v>
      </c>
      <c r="AC891" s="2" t="s">
        <v>124</v>
      </c>
      <c r="AD891" s="2"/>
      <c r="AE891" s="2"/>
      <c r="AF891" s="2"/>
      <c r="AG891" s="2"/>
      <c r="AH891" s="2">
        <v>6</v>
      </c>
      <c r="AI891" s="2" t="s">
        <v>197</v>
      </c>
      <c r="AJ891" s="2">
        <v>47</v>
      </c>
      <c r="AK891" s="2" t="s">
        <v>250</v>
      </c>
      <c r="AL891" s="2">
        <v>23</v>
      </c>
      <c r="AM891" s="2" t="s">
        <v>251</v>
      </c>
      <c r="AN891" s="2"/>
      <c r="AO891" s="2"/>
      <c r="AP891" s="2">
        <v>11</v>
      </c>
      <c r="AQ891" s="2" t="s">
        <v>82</v>
      </c>
      <c r="AR891" s="2"/>
      <c r="AS891" s="2"/>
      <c r="AT891" s="2" t="s">
        <v>3480</v>
      </c>
      <c r="AU891" s="2"/>
      <c r="AV891" s="2"/>
      <c r="AW891" s="2"/>
      <c r="AX891" s="2"/>
      <c r="AY891" s="2">
        <v>41</v>
      </c>
      <c r="AZ891" s="2" t="s">
        <v>82</v>
      </c>
      <c r="BA891" s="2">
        <v>41</v>
      </c>
      <c r="BB891" s="2" t="s">
        <v>82</v>
      </c>
      <c r="BC891" s="2">
        <v>41</v>
      </c>
      <c r="BD891" s="2" t="s">
        <v>82</v>
      </c>
      <c r="BE891" s="2">
        <v>41</v>
      </c>
      <c r="BF891" s="2" t="s">
        <v>82</v>
      </c>
      <c r="BG891" s="2"/>
      <c r="BH891" s="2"/>
      <c r="BI891" s="2"/>
      <c r="BJ891" s="2">
        <v>241</v>
      </c>
      <c r="BK891" s="2" t="s">
        <v>82</v>
      </c>
      <c r="BL891" s="2"/>
      <c r="BM891" s="2">
        <v>241</v>
      </c>
      <c r="BN891" s="2" t="s">
        <v>82</v>
      </c>
      <c r="BO891" s="2"/>
      <c r="BP891" s="2">
        <v>241</v>
      </c>
      <c r="BQ891" s="2" t="s">
        <v>82</v>
      </c>
      <c r="BR891" s="2"/>
      <c r="BS891" s="3">
        <v>40247</v>
      </c>
      <c r="BT891" s="4">
        <v>0.7153356481481481</v>
      </c>
    </row>
    <row r="892" spans="1:72" x14ac:dyDescent="0.25">
      <c r="A892" s="2">
        <v>1403</v>
      </c>
      <c r="B892" s="2">
        <v>2010</v>
      </c>
      <c r="C892" s="2" t="s">
        <v>1017</v>
      </c>
      <c r="D892" s="2" t="s">
        <v>73</v>
      </c>
      <c r="E892" s="2"/>
      <c r="F892" s="2">
        <v>451</v>
      </c>
      <c r="G892" s="2" t="s">
        <v>879</v>
      </c>
      <c r="H892" s="2">
        <v>31</v>
      </c>
      <c r="I892" s="2" t="s">
        <v>880</v>
      </c>
      <c r="J892" s="2">
        <v>326</v>
      </c>
      <c r="K892" s="2" t="s">
        <v>881</v>
      </c>
      <c r="L892" s="2" t="s">
        <v>882</v>
      </c>
      <c r="M892" s="3">
        <v>40247</v>
      </c>
      <c r="N892" s="2" t="s">
        <v>1072</v>
      </c>
      <c r="O892" s="2"/>
      <c r="P892" s="2"/>
      <c r="Q892" s="2" t="str">
        <f>"025/10"</f>
        <v>025/10</v>
      </c>
      <c r="R892" s="2" t="s">
        <v>822</v>
      </c>
      <c r="S892" s="2"/>
      <c r="T892" s="2">
        <v>1</v>
      </c>
      <c r="U892" s="2" t="s">
        <v>79</v>
      </c>
      <c r="V892" s="2">
        <v>1</v>
      </c>
      <c r="W892" s="2" t="s">
        <v>80</v>
      </c>
      <c r="X892" s="2">
        <v>1</v>
      </c>
      <c r="Y892" s="2" t="s">
        <v>81</v>
      </c>
      <c r="Z892" s="2">
        <v>10</v>
      </c>
      <c r="AA892" s="2" t="s">
        <v>236</v>
      </c>
      <c r="AB892" s="2">
        <v>7</v>
      </c>
      <c r="AC892" s="2" t="s">
        <v>1023</v>
      </c>
      <c r="AD892" s="3">
        <v>40247</v>
      </c>
      <c r="AE892" s="4">
        <v>0.625</v>
      </c>
      <c r="AF892" s="2"/>
      <c r="AG892" s="2"/>
      <c r="AH892" s="2">
        <v>4</v>
      </c>
      <c r="AI892" s="2" t="s">
        <v>125</v>
      </c>
      <c r="AJ892" s="2">
        <v>29</v>
      </c>
      <c r="AK892" s="2" t="s">
        <v>227</v>
      </c>
      <c r="AL892" s="2">
        <v>10</v>
      </c>
      <c r="AM892" s="2" t="s">
        <v>200</v>
      </c>
      <c r="AN892" s="2" t="s">
        <v>823</v>
      </c>
      <c r="AO892" s="2" t="s">
        <v>200</v>
      </c>
      <c r="AP892" s="2">
        <v>11</v>
      </c>
      <c r="AQ892" s="2" t="s">
        <v>82</v>
      </c>
      <c r="AR892" s="2"/>
      <c r="AS892" s="2"/>
      <c r="AT892" s="2" t="s">
        <v>3481</v>
      </c>
      <c r="AU892" s="2"/>
      <c r="AV892" s="2"/>
      <c r="AW892" s="2"/>
      <c r="AX892" s="2"/>
      <c r="AY892" s="2">
        <v>43</v>
      </c>
      <c r="AZ892" s="2" t="s">
        <v>220</v>
      </c>
      <c r="BA892" s="2">
        <v>70</v>
      </c>
      <c r="BB892" s="2" t="s">
        <v>236</v>
      </c>
      <c r="BC892" s="2">
        <v>42</v>
      </c>
      <c r="BD892" s="2" t="s">
        <v>182</v>
      </c>
      <c r="BE892" s="2">
        <v>4</v>
      </c>
      <c r="BF892" s="2" t="s">
        <v>90</v>
      </c>
      <c r="BG892" s="2">
        <v>4113</v>
      </c>
      <c r="BH892" s="4">
        <v>0.63888888888888895</v>
      </c>
      <c r="BI892" s="4">
        <v>0.65625</v>
      </c>
      <c r="BJ892" s="2">
        <v>13</v>
      </c>
      <c r="BK892" s="2" t="s">
        <v>91</v>
      </c>
      <c r="BL892" s="2" t="s">
        <v>828</v>
      </c>
      <c r="BM892" s="2">
        <v>241</v>
      </c>
      <c r="BN892" s="2" t="s">
        <v>82</v>
      </c>
      <c r="BO892" s="2" t="s">
        <v>82</v>
      </c>
      <c r="BP892" s="2">
        <v>13</v>
      </c>
      <c r="BQ892" s="2" t="s">
        <v>91</v>
      </c>
      <c r="BR892" s="2" t="s">
        <v>185</v>
      </c>
      <c r="BS892" s="3">
        <v>40247</v>
      </c>
      <c r="BT892" s="4">
        <v>0.74396990740740743</v>
      </c>
    </row>
    <row r="893" spans="1:72" x14ac:dyDescent="0.25">
      <c r="A893" s="2">
        <v>1404</v>
      </c>
      <c r="B893" s="2">
        <v>2010</v>
      </c>
      <c r="C893" s="2" t="s">
        <v>72</v>
      </c>
      <c r="D893" s="2" t="s">
        <v>73</v>
      </c>
      <c r="E893" s="2"/>
      <c r="F893" s="2">
        <v>37</v>
      </c>
      <c r="G893" s="2" t="s">
        <v>1790</v>
      </c>
      <c r="H893" s="2">
        <v>42</v>
      </c>
      <c r="I893" s="2" t="s">
        <v>1096</v>
      </c>
      <c r="J893" s="2">
        <v>328</v>
      </c>
      <c r="K893" s="2" t="s">
        <v>1791</v>
      </c>
      <c r="L893" s="2" t="s">
        <v>1792</v>
      </c>
      <c r="M893" s="3">
        <v>40247</v>
      </c>
      <c r="N893" s="2" t="s">
        <v>3482</v>
      </c>
      <c r="O893" s="2"/>
      <c r="P893" s="2"/>
      <c r="Q893" s="2" t="str">
        <f>"024/10"</f>
        <v>024/10</v>
      </c>
      <c r="R893" s="2"/>
      <c r="S893" s="2" t="s">
        <v>822</v>
      </c>
      <c r="T893" s="2">
        <v>1</v>
      </c>
      <c r="U893" s="2" t="s">
        <v>79</v>
      </c>
      <c r="V893" s="2">
        <v>1</v>
      </c>
      <c r="W893" s="2" t="s">
        <v>80</v>
      </c>
      <c r="X893" s="2">
        <v>5</v>
      </c>
      <c r="Y893" s="2" t="s">
        <v>82</v>
      </c>
      <c r="Z893" s="2">
        <v>10</v>
      </c>
      <c r="AA893" s="2" t="s">
        <v>236</v>
      </c>
      <c r="AB893" s="2">
        <v>6</v>
      </c>
      <c r="AC893" s="2" t="s">
        <v>83</v>
      </c>
      <c r="AD893" s="3">
        <v>40240</v>
      </c>
      <c r="AE893" s="4">
        <v>0.89583333333333337</v>
      </c>
      <c r="AF893" s="3">
        <v>40247</v>
      </c>
      <c r="AG893" s="4">
        <v>0.60416666666666663</v>
      </c>
      <c r="AH893" s="2">
        <v>4</v>
      </c>
      <c r="AI893" s="2" t="s">
        <v>125</v>
      </c>
      <c r="AJ893" s="2">
        <v>29</v>
      </c>
      <c r="AK893" s="2" t="s">
        <v>227</v>
      </c>
      <c r="AL893" s="2">
        <v>10</v>
      </c>
      <c r="AM893" s="2" t="s">
        <v>200</v>
      </c>
      <c r="AN893" s="2"/>
      <c r="AO893" s="2"/>
      <c r="AP893" s="2">
        <v>11</v>
      </c>
      <c r="AQ893" s="2" t="s">
        <v>82</v>
      </c>
      <c r="AR893" s="2" t="s">
        <v>82</v>
      </c>
      <c r="AS893" s="2" t="s">
        <v>82</v>
      </c>
      <c r="AT893" s="2" t="s">
        <v>3483</v>
      </c>
      <c r="AU893" s="2"/>
      <c r="AV893" s="2"/>
      <c r="AW893" s="2"/>
      <c r="AX893" s="2"/>
      <c r="AY893" s="2">
        <v>41</v>
      </c>
      <c r="AZ893" s="2" t="s">
        <v>82</v>
      </c>
      <c r="BA893" s="2">
        <v>41</v>
      </c>
      <c r="BB893" s="2" t="s">
        <v>82</v>
      </c>
      <c r="BC893" s="2">
        <v>4</v>
      </c>
      <c r="BD893" s="2" t="s">
        <v>90</v>
      </c>
      <c r="BE893" s="2">
        <v>4</v>
      </c>
      <c r="BF893" s="2" t="s">
        <v>90</v>
      </c>
      <c r="BG893" s="2">
        <v>4113</v>
      </c>
      <c r="BH893" s="4">
        <v>0.77777777777777779</v>
      </c>
      <c r="BI893" s="4">
        <v>0.80555555555555547</v>
      </c>
      <c r="BJ893" s="2">
        <v>13</v>
      </c>
      <c r="BK893" s="2" t="s">
        <v>91</v>
      </c>
      <c r="BL893" s="2" t="s">
        <v>828</v>
      </c>
      <c r="BM893" s="2">
        <v>241</v>
      </c>
      <c r="BN893" s="2" t="s">
        <v>82</v>
      </c>
      <c r="BO893" s="2" t="s">
        <v>82</v>
      </c>
      <c r="BP893" s="2">
        <v>13</v>
      </c>
      <c r="BQ893" s="2" t="s">
        <v>91</v>
      </c>
      <c r="BR893" s="2" t="s">
        <v>185</v>
      </c>
      <c r="BS893" s="3">
        <v>40247</v>
      </c>
      <c r="BT893" s="4">
        <v>0.7769907407407407</v>
      </c>
    </row>
    <row r="894" spans="1:72" x14ac:dyDescent="0.25">
      <c r="A894" s="2">
        <v>1405</v>
      </c>
      <c r="B894" s="2">
        <v>2010</v>
      </c>
      <c r="C894" s="2" t="s">
        <v>642</v>
      </c>
      <c r="D894" s="2" t="s">
        <v>122</v>
      </c>
      <c r="E894" s="2" t="s">
        <v>3128</v>
      </c>
      <c r="F894" s="2">
        <v>437</v>
      </c>
      <c r="G894" s="2" t="s">
        <v>633</v>
      </c>
      <c r="H894" s="2">
        <v>31</v>
      </c>
      <c r="I894" s="2" t="s">
        <v>880</v>
      </c>
      <c r="J894" s="2">
        <v>318</v>
      </c>
      <c r="K894" s="2" t="s">
        <v>635</v>
      </c>
      <c r="L894" s="2" t="s">
        <v>636</v>
      </c>
      <c r="M894" s="3">
        <v>40247</v>
      </c>
      <c r="N894" s="2" t="s">
        <v>2905</v>
      </c>
      <c r="O894" s="2" t="s">
        <v>2906</v>
      </c>
      <c r="P894" s="2" t="s">
        <v>2907</v>
      </c>
      <c r="Q894" s="2" t="str">
        <f>""</f>
        <v/>
      </c>
      <c r="R894" s="2"/>
      <c r="S894" s="2"/>
      <c r="T894" s="2">
        <v>1</v>
      </c>
      <c r="U894" s="2" t="s">
        <v>79</v>
      </c>
      <c r="V894" s="2">
        <v>3</v>
      </c>
      <c r="W894" s="2" t="s">
        <v>225</v>
      </c>
      <c r="X894" s="2">
        <v>5</v>
      </c>
      <c r="Y894" s="2" t="s">
        <v>82</v>
      </c>
      <c r="Z894" s="2">
        <v>1</v>
      </c>
      <c r="AA894" s="2" t="s">
        <v>82</v>
      </c>
      <c r="AB894" s="2">
        <v>9</v>
      </c>
      <c r="AC894" s="2" t="s">
        <v>124</v>
      </c>
      <c r="AD894" s="2"/>
      <c r="AE894" s="2"/>
      <c r="AF894" s="2"/>
      <c r="AG894" s="2"/>
      <c r="AH894" s="2">
        <v>4</v>
      </c>
      <c r="AI894" s="2" t="s">
        <v>125</v>
      </c>
      <c r="AJ894" s="2">
        <v>26</v>
      </c>
      <c r="AK894" s="2" t="s">
        <v>293</v>
      </c>
      <c r="AL894" s="2">
        <v>18</v>
      </c>
      <c r="AM894" s="2" t="s">
        <v>82</v>
      </c>
      <c r="AN894" s="2"/>
      <c r="AO894" s="2"/>
      <c r="AP894" s="2">
        <v>11</v>
      </c>
      <c r="AQ894" s="2" t="s">
        <v>82</v>
      </c>
      <c r="AR894" s="2"/>
      <c r="AS894" s="2"/>
      <c r="AT894" s="2" t="s">
        <v>3484</v>
      </c>
      <c r="AU894" s="2"/>
      <c r="AV894" s="2"/>
      <c r="AW894" s="2"/>
      <c r="AX894" s="2"/>
      <c r="AY894" s="2">
        <v>1</v>
      </c>
      <c r="AZ894" s="2" t="s">
        <v>107</v>
      </c>
      <c r="BA894" s="2">
        <v>1</v>
      </c>
      <c r="BB894" s="2" t="s">
        <v>107</v>
      </c>
      <c r="BC894" s="2">
        <v>1</v>
      </c>
      <c r="BD894" s="2" t="s">
        <v>107</v>
      </c>
      <c r="BE894" s="2">
        <v>1</v>
      </c>
      <c r="BF894" s="2" t="s">
        <v>107</v>
      </c>
      <c r="BG894" s="2"/>
      <c r="BH894" s="2"/>
      <c r="BI894" s="2"/>
      <c r="BJ894" s="2">
        <v>242</v>
      </c>
      <c r="BK894" s="2" t="s">
        <v>107</v>
      </c>
      <c r="BL894" s="2"/>
      <c r="BM894" s="2">
        <v>242</v>
      </c>
      <c r="BN894" s="2" t="s">
        <v>107</v>
      </c>
      <c r="BO894" s="2"/>
      <c r="BP894" s="2">
        <v>242</v>
      </c>
      <c r="BQ894" s="2" t="s">
        <v>107</v>
      </c>
      <c r="BR894" s="2"/>
      <c r="BS894" s="3">
        <v>40247</v>
      </c>
      <c r="BT894" s="4">
        <v>0.79378472222222218</v>
      </c>
    </row>
    <row r="895" spans="1:72" x14ac:dyDescent="0.25">
      <c r="A895" s="2">
        <v>1406</v>
      </c>
      <c r="B895" s="2">
        <v>2010</v>
      </c>
      <c r="C895" s="2" t="s">
        <v>255</v>
      </c>
      <c r="D895" s="2" t="s">
        <v>73</v>
      </c>
      <c r="E895" s="2"/>
      <c r="F895" s="2">
        <v>2</v>
      </c>
      <c r="G895" s="2" t="s">
        <v>113</v>
      </c>
      <c r="H895" s="2">
        <v>1</v>
      </c>
      <c r="I895" s="2" t="s">
        <v>82</v>
      </c>
      <c r="J895" s="2">
        <v>300</v>
      </c>
      <c r="K895" s="2" t="s">
        <v>114</v>
      </c>
      <c r="L895" s="2" t="s">
        <v>115</v>
      </c>
      <c r="M895" s="3">
        <v>40247</v>
      </c>
      <c r="N895" s="2" t="s">
        <v>107</v>
      </c>
      <c r="O895" s="2" t="s">
        <v>107</v>
      </c>
      <c r="P895" s="2" t="s">
        <v>107</v>
      </c>
      <c r="Q895" s="2" t="str">
        <f>"128-E/10"</f>
        <v>128-E/10</v>
      </c>
      <c r="R895" s="2" t="s">
        <v>947</v>
      </c>
      <c r="S895" s="2" t="s">
        <v>947</v>
      </c>
      <c r="T895" s="2">
        <v>1</v>
      </c>
      <c r="U895" s="2" t="s">
        <v>79</v>
      </c>
      <c r="V895" s="2">
        <v>1</v>
      </c>
      <c r="W895" s="2" t="s">
        <v>80</v>
      </c>
      <c r="X895" s="2">
        <v>1</v>
      </c>
      <c r="Y895" s="2" t="s">
        <v>81</v>
      </c>
      <c r="Z895" s="2">
        <v>1</v>
      </c>
      <c r="AA895" s="2" t="s">
        <v>82</v>
      </c>
      <c r="AB895" s="2">
        <v>9</v>
      </c>
      <c r="AC895" s="2" t="s">
        <v>124</v>
      </c>
      <c r="AD895" s="3">
        <v>40246</v>
      </c>
      <c r="AE895" s="4">
        <v>0.44791666666666669</v>
      </c>
      <c r="AF895" s="3">
        <v>40247</v>
      </c>
      <c r="AG895" s="4">
        <v>0.73611111111111116</v>
      </c>
      <c r="AH895" s="2">
        <v>2</v>
      </c>
      <c r="AI895" s="2" t="s">
        <v>84</v>
      </c>
      <c r="AJ895" s="2">
        <v>9</v>
      </c>
      <c r="AK895" s="2" t="s">
        <v>103</v>
      </c>
      <c r="AL895" s="2">
        <v>21</v>
      </c>
      <c r="AM895" s="2" t="s">
        <v>1311</v>
      </c>
      <c r="AN895" s="2" t="s">
        <v>3485</v>
      </c>
      <c r="AO895" s="2" t="s">
        <v>3486</v>
      </c>
      <c r="AP895" s="2">
        <v>11</v>
      </c>
      <c r="AQ895" s="2" t="s">
        <v>82</v>
      </c>
      <c r="AR895" s="2"/>
      <c r="AS895" s="2"/>
      <c r="AT895" s="2" t="s">
        <v>3487</v>
      </c>
      <c r="AU895" s="2"/>
      <c r="AV895" s="2"/>
      <c r="AW895" s="2"/>
      <c r="AX895" s="2"/>
      <c r="AY895" s="2">
        <v>1</v>
      </c>
      <c r="AZ895" s="2" t="s">
        <v>107</v>
      </c>
      <c r="BA895" s="2">
        <v>1</v>
      </c>
      <c r="BB895" s="2" t="s">
        <v>107</v>
      </c>
      <c r="BC895" s="2">
        <v>1</v>
      </c>
      <c r="BD895" s="2" t="s">
        <v>107</v>
      </c>
      <c r="BE895" s="2">
        <v>1</v>
      </c>
      <c r="BF895" s="2" t="s">
        <v>107</v>
      </c>
      <c r="BG895" s="2"/>
      <c r="BH895" s="2"/>
      <c r="BI895" s="2"/>
      <c r="BJ895" s="2">
        <v>242</v>
      </c>
      <c r="BK895" s="2" t="s">
        <v>107</v>
      </c>
      <c r="BL895" s="2"/>
      <c r="BM895" s="2">
        <v>242</v>
      </c>
      <c r="BN895" s="2" t="s">
        <v>107</v>
      </c>
      <c r="BO895" s="2"/>
      <c r="BP895" s="2">
        <v>242</v>
      </c>
      <c r="BQ895" s="2" t="s">
        <v>107</v>
      </c>
      <c r="BR895" s="2"/>
      <c r="BS895" s="3">
        <v>40247</v>
      </c>
      <c r="BT895" s="4">
        <v>0.88078703703703709</v>
      </c>
    </row>
    <row r="896" spans="1:72" x14ac:dyDescent="0.25">
      <c r="A896" s="2">
        <v>1407</v>
      </c>
      <c r="B896" s="2">
        <v>2010</v>
      </c>
      <c r="C896" s="2" t="s">
        <v>764</v>
      </c>
      <c r="D896" s="2" t="s">
        <v>73</v>
      </c>
      <c r="E896" s="2"/>
      <c r="F896" s="2">
        <v>53</v>
      </c>
      <c r="G896" s="2" t="s">
        <v>2755</v>
      </c>
      <c r="H896" s="2">
        <v>36</v>
      </c>
      <c r="I896" s="2" t="s">
        <v>3488</v>
      </c>
      <c r="J896" s="2">
        <v>88</v>
      </c>
      <c r="K896" s="2" t="s">
        <v>2756</v>
      </c>
      <c r="L896" s="2" t="s">
        <v>2757</v>
      </c>
      <c r="M896" s="3">
        <v>40247</v>
      </c>
      <c r="N896" s="2" t="s">
        <v>3489</v>
      </c>
      <c r="O896" s="2"/>
      <c r="P896" s="2"/>
      <c r="Q896" s="2" t="str">
        <f>"08/10"</f>
        <v>08/10</v>
      </c>
      <c r="R896" s="2"/>
      <c r="S896" s="2" t="s">
        <v>3490</v>
      </c>
      <c r="T896" s="2">
        <v>1</v>
      </c>
      <c r="U896" s="2" t="s">
        <v>79</v>
      </c>
      <c r="V896" s="2">
        <v>1</v>
      </c>
      <c r="W896" s="2" t="s">
        <v>80</v>
      </c>
      <c r="X896" s="2">
        <v>1</v>
      </c>
      <c r="Y896" s="2" t="s">
        <v>81</v>
      </c>
      <c r="Z896" s="2">
        <v>1</v>
      </c>
      <c r="AA896" s="2" t="s">
        <v>82</v>
      </c>
      <c r="AB896" s="2">
        <v>9</v>
      </c>
      <c r="AC896" s="2" t="s">
        <v>124</v>
      </c>
      <c r="AD896" s="3">
        <v>40247</v>
      </c>
      <c r="AE896" s="4">
        <v>0.80555555555555547</v>
      </c>
      <c r="AF896" s="2"/>
      <c r="AG896" s="2"/>
      <c r="AH896" s="2">
        <v>4</v>
      </c>
      <c r="AI896" s="2" t="s">
        <v>125</v>
      </c>
      <c r="AJ896" s="2">
        <v>28</v>
      </c>
      <c r="AK896" s="2" t="s">
        <v>741</v>
      </c>
      <c r="AL896" s="2">
        <v>10</v>
      </c>
      <c r="AM896" s="2" t="s">
        <v>200</v>
      </c>
      <c r="AN896" s="2" t="s">
        <v>3491</v>
      </c>
      <c r="AO896" s="2" t="s">
        <v>3492</v>
      </c>
      <c r="AP896" s="2">
        <v>11</v>
      </c>
      <c r="AQ896" s="2" t="s">
        <v>82</v>
      </c>
      <c r="AR896" s="2"/>
      <c r="AS896" s="2"/>
      <c r="AT896" s="2" t="s">
        <v>3493</v>
      </c>
      <c r="AU896" s="2"/>
      <c r="AV896" s="2"/>
      <c r="AW896" s="2"/>
      <c r="AX896" s="2"/>
      <c r="AY896" s="2">
        <v>41</v>
      </c>
      <c r="AZ896" s="2" t="s">
        <v>82</v>
      </c>
      <c r="BA896" s="2">
        <v>41</v>
      </c>
      <c r="BB896" s="2" t="s">
        <v>82</v>
      </c>
      <c r="BC896" s="2">
        <v>41</v>
      </c>
      <c r="BD896" s="2" t="s">
        <v>82</v>
      </c>
      <c r="BE896" s="2">
        <v>41</v>
      </c>
      <c r="BF896" s="2" t="s">
        <v>82</v>
      </c>
      <c r="BG896" s="2"/>
      <c r="BH896" s="2"/>
      <c r="BI896" s="2"/>
      <c r="BJ896" s="2">
        <v>241</v>
      </c>
      <c r="BK896" s="2" t="s">
        <v>82</v>
      </c>
      <c r="BL896" s="2"/>
      <c r="BM896" s="2">
        <v>241</v>
      </c>
      <c r="BN896" s="2" t="s">
        <v>82</v>
      </c>
      <c r="BO896" s="2"/>
      <c r="BP896" s="2">
        <v>241</v>
      </c>
      <c r="BQ896" s="2" t="s">
        <v>82</v>
      </c>
      <c r="BR896" s="2"/>
      <c r="BS896" s="3">
        <v>40247</v>
      </c>
      <c r="BT896" s="4">
        <v>0.89776620370370364</v>
      </c>
    </row>
    <row r="897" spans="1:72" x14ac:dyDescent="0.25">
      <c r="A897" s="2">
        <v>1408</v>
      </c>
      <c r="B897" s="2">
        <v>2010</v>
      </c>
      <c r="C897" s="2" t="s">
        <v>72</v>
      </c>
      <c r="D897" s="2" t="s">
        <v>73</v>
      </c>
      <c r="E897" s="2"/>
      <c r="F897" s="2">
        <v>390</v>
      </c>
      <c r="G897" s="2" t="s">
        <v>475</v>
      </c>
      <c r="H897" s="2">
        <v>5</v>
      </c>
      <c r="I897" s="2" t="s">
        <v>634</v>
      </c>
      <c r="J897" s="2">
        <v>314</v>
      </c>
      <c r="K897" s="2" t="s">
        <v>477</v>
      </c>
      <c r="L897" s="2" t="s">
        <v>478</v>
      </c>
      <c r="M897" s="3">
        <v>40247</v>
      </c>
      <c r="N897" s="2" t="s">
        <v>3103</v>
      </c>
      <c r="O897" s="2" t="s">
        <v>107</v>
      </c>
      <c r="P897" s="2" t="s">
        <v>107</v>
      </c>
      <c r="Q897" s="2" t="str">
        <f>"129E-10"</f>
        <v>129E-10</v>
      </c>
      <c r="R897" s="2" t="s">
        <v>116</v>
      </c>
      <c r="S897" s="2" t="s">
        <v>116</v>
      </c>
      <c r="T897" s="2">
        <v>1</v>
      </c>
      <c r="U897" s="2" t="s">
        <v>79</v>
      </c>
      <c r="V897" s="2">
        <v>1</v>
      </c>
      <c r="W897" s="2" t="s">
        <v>80</v>
      </c>
      <c r="X897" s="2">
        <v>1</v>
      </c>
      <c r="Y897" s="2" t="s">
        <v>81</v>
      </c>
      <c r="Z897" s="2">
        <v>1</v>
      </c>
      <c r="AA897" s="2" t="s">
        <v>82</v>
      </c>
      <c r="AB897" s="2">
        <v>6</v>
      </c>
      <c r="AC897" s="2" t="s">
        <v>83</v>
      </c>
      <c r="AD897" s="3">
        <v>40247</v>
      </c>
      <c r="AE897" s="4">
        <v>0.72916666666666663</v>
      </c>
      <c r="AF897" s="3">
        <v>40247</v>
      </c>
      <c r="AG897" s="4">
        <v>0.79166666666666663</v>
      </c>
      <c r="AH897" s="2">
        <v>2</v>
      </c>
      <c r="AI897" s="2" t="s">
        <v>84</v>
      </c>
      <c r="AJ897" s="2">
        <v>9</v>
      </c>
      <c r="AK897" s="2" t="s">
        <v>103</v>
      </c>
      <c r="AL897" s="2">
        <v>10</v>
      </c>
      <c r="AM897" s="2" t="s">
        <v>200</v>
      </c>
      <c r="AN897" s="2" t="s">
        <v>82</v>
      </c>
      <c r="AO897" s="2" t="s">
        <v>82</v>
      </c>
      <c r="AP897" s="2">
        <v>11</v>
      </c>
      <c r="AQ897" s="2" t="s">
        <v>82</v>
      </c>
      <c r="AR897" s="2"/>
      <c r="AS897" s="2"/>
      <c r="AT897" s="2" t="s">
        <v>3494</v>
      </c>
      <c r="AU897" s="2"/>
      <c r="AV897" s="2"/>
      <c r="AW897" s="2"/>
      <c r="AX897" s="2"/>
      <c r="AY897" s="2">
        <v>41</v>
      </c>
      <c r="AZ897" s="2" t="s">
        <v>82</v>
      </c>
      <c r="BA897" s="2">
        <v>41</v>
      </c>
      <c r="BB897" s="2" t="s">
        <v>82</v>
      </c>
      <c r="BC897" s="2">
        <v>41</v>
      </c>
      <c r="BD897" s="2" t="s">
        <v>82</v>
      </c>
      <c r="BE897" s="2">
        <v>33</v>
      </c>
      <c r="BF897" s="2" t="s">
        <v>1083</v>
      </c>
      <c r="BG897" s="2" t="s">
        <v>3495</v>
      </c>
      <c r="BH897" s="4">
        <v>0.72916666666666663</v>
      </c>
      <c r="BI897" s="4">
        <v>0.25</v>
      </c>
      <c r="BJ897" s="2">
        <v>205</v>
      </c>
      <c r="BK897" s="2" t="s">
        <v>1085</v>
      </c>
      <c r="BL897" s="2" t="s">
        <v>1086</v>
      </c>
      <c r="BM897" s="2">
        <v>241</v>
      </c>
      <c r="BN897" s="2" t="s">
        <v>82</v>
      </c>
      <c r="BO897" s="2"/>
      <c r="BP897" s="2">
        <v>13</v>
      </c>
      <c r="BQ897" s="2" t="s">
        <v>91</v>
      </c>
      <c r="BR897" s="2" t="s">
        <v>112</v>
      </c>
      <c r="BS897" s="3">
        <v>40247</v>
      </c>
      <c r="BT897" s="4">
        <v>0.91819444444444442</v>
      </c>
    </row>
    <row r="898" spans="1:72" x14ac:dyDescent="0.25">
      <c r="A898" s="2">
        <v>1409</v>
      </c>
      <c r="B898" s="2">
        <v>2010</v>
      </c>
      <c r="C898" s="2" t="s">
        <v>72</v>
      </c>
      <c r="D898" s="2" t="s">
        <v>73</v>
      </c>
      <c r="E898" s="2"/>
      <c r="F898" s="2">
        <v>528</v>
      </c>
      <c r="G898" s="2" t="s">
        <v>3269</v>
      </c>
      <c r="H898" s="2">
        <v>65</v>
      </c>
      <c r="I898" s="2" t="s">
        <v>3147</v>
      </c>
      <c r="J898" s="2">
        <v>458</v>
      </c>
      <c r="K898" s="2" t="s">
        <v>3270</v>
      </c>
      <c r="L898" s="2" t="s">
        <v>3271</v>
      </c>
      <c r="M898" s="3">
        <v>40247</v>
      </c>
      <c r="N898" s="2" t="s">
        <v>3272</v>
      </c>
      <c r="O898" s="2" t="s">
        <v>107</v>
      </c>
      <c r="P898" s="2" t="s">
        <v>107</v>
      </c>
      <c r="Q898" s="2" t="str">
        <f>"087-A/10"</f>
        <v>087-A/10</v>
      </c>
      <c r="R898" s="2" t="s">
        <v>107</v>
      </c>
      <c r="S898" s="2" t="s">
        <v>899</v>
      </c>
      <c r="T898" s="2">
        <v>1</v>
      </c>
      <c r="U898" s="2" t="s">
        <v>79</v>
      </c>
      <c r="V898" s="2">
        <v>1</v>
      </c>
      <c r="W898" s="2" t="s">
        <v>80</v>
      </c>
      <c r="X898" s="2">
        <v>5</v>
      </c>
      <c r="Y898" s="2" t="s">
        <v>82</v>
      </c>
      <c r="Z898" s="2">
        <v>1</v>
      </c>
      <c r="AA898" s="2" t="s">
        <v>82</v>
      </c>
      <c r="AB898" s="2">
        <v>6</v>
      </c>
      <c r="AC898" s="2" t="s">
        <v>83</v>
      </c>
      <c r="AD898" s="3">
        <v>40247</v>
      </c>
      <c r="AE898" s="4">
        <v>0.66666666666666663</v>
      </c>
      <c r="AF898" s="3">
        <v>40247</v>
      </c>
      <c r="AG898" s="4">
        <v>0.70833333333333337</v>
      </c>
      <c r="AH898" s="2">
        <v>2</v>
      </c>
      <c r="AI898" s="2" t="s">
        <v>84</v>
      </c>
      <c r="AJ898" s="2">
        <v>12</v>
      </c>
      <c r="AK898" s="2" t="s">
        <v>85</v>
      </c>
      <c r="AL898" s="2">
        <v>10</v>
      </c>
      <c r="AM898" s="2" t="s">
        <v>200</v>
      </c>
      <c r="AN898" s="2" t="s">
        <v>82</v>
      </c>
      <c r="AO898" s="2" t="s">
        <v>82</v>
      </c>
      <c r="AP898" s="2">
        <v>11</v>
      </c>
      <c r="AQ898" s="2" t="s">
        <v>82</v>
      </c>
      <c r="AR898" s="2"/>
      <c r="AS898" s="2"/>
      <c r="AT898" s="2" t="s">
        <v>3496</v>
      </c>
      <c r="AU898" s="2"/>
      <c r="AV898" s="2"/>
      <c r="AW898" s="2"/>
      <c r="AX898" s="2"/>
      <c r="AY898" s="2">
        <v>41</v>
      </c>
      <c r="AZ898" s="2" t="s">
        <v>82</v>
      </c>
      <c r="BA898" s="2">
        <v>41</v>
      </c>
      <c r="BB898" s="2" t="s">
        <v>82</v>
      </c>
      <c r="BC898" s="2">
        <v>41</v>
      </c>
      <c r="BD898" s="2" t="s">
        <v>82</v>
      </c>
      <c r="BE898" s="2">
        <v>4</v>
      </c>
      <c r="BF898" s="2" t="s">
        <v>90</v>
      </c>
      <c r="BG898" s="2" t="s">
        <v>3436</v>
      </c>
      <c r="BH898" s="4">
        <v>0.66666666666666663</v>
      </c>
      <c r="BI898" s="4">
        <v>0.59722222222222221</v>
      </c>
      <c r="BJ898" s="2">
        <v>13</v>
      </c>
      <c r="BK898" s="2" t="s">
        <v>91</v>
      </c>
      <c r="BL898" s="2" t="s">
        <v>92</v>
      </c>
      <c r="BM898" s="2">
        <v>241</v>
      </c>
      <c r="BN898" s="2" t="s">
        <v>82</v>
      </c>
      <c r="BO898" s="2" t="s">
        <v>82</v>
      </c>
      <c r="BP898" s="2">
        <v>13</v>
      </c>
      <c r="BQ898" s="2" t="s">
        <v>91</v>
      </c>
      <c r="BR898" s="2" t="s">
        <v>185</v>
      </c>
      <c r="BS898" s="3">
        <v>40247</v>
      </c>
      <c r="BT898" s="4">
        <v>0.92659722222222218</v>
      </c>
    </row>
    <row r="899" spans="1:72" x14ac:dyDescent="0.25">
      <c r="A899" s="2">
        <v>1410</v>
      </c>
      <c r="B899" s="2">
        <v>2010</v>
      </c>
      <c r="C899" s="2" t="s">
        <v>819</v>
      </c>
      <c r="D899" s="2" t="s">
        <v>122</v>
      </c>
      <c r="E899" s="2"/>
      <c r="F899" s="2">
        <v>451</v>
      </c>
      <c r="G899" s="2" t="s">
        <v>879</v>
      </c>
      <c r="H899" s="2">
        <v>31</v>
      </c>
      <c r="I899" s="2" t="s">
        <v>880</v>
      </c>
      <c r="J899" s="2">
        <v>326</v>
      </c>
      <c r="K899" s="2" t="s">
        <v>881</v>
      </c>
      <c r="L899" s="2" t="s">
        <v>882</v>
      </c>
      <c r="M899" s="3">
        <v>40247</v>
      </c>
      <c r="N899" s="2" t="s">
        <v>821</v>
      </c>
      <c r="O899" s="2"/>
      <c r="P899" s="2"/>
      <c r="Q899" s="2" t="str">
        <f>"026/10"</f>
        <v>026/10</v>
      </c>
      <c r="R899" s="2"/>
      <c r="S899" s="2" t="s">
        <v>822</v>
      </c>
      <c r="T899" s="2">
        <v>1</v>
      </c>
      <c r="U899" s="2" t="s">
        <v>79</v>
      </c>
      <c r="V899" s="2">
        <v>1</v>
      </c>
      <c r="W899" s="2" t="s">
        <v>80</v>
      </c>
      <c r="X899" s="2">
        <v>1</v>
      </c>
      <c r="Y899" s="2" t="s">
        <v>81</v>
      </c>
      <c r="Z899" s="2">
        <v>10</v>
      </c>
      <c r="AA899" s="2" t="s">
        <v>236</v>
      </c>
      <c r="AB899" s="2">
        <v>9</v>
      </c>
      <c r="AC899" s="2" t="s">
        <v>124</v>
      </c>
      <c r="AD899" s="3">
        <v>40247</v>
      </c>
      <c r="AE899" s="4">
        <v>0.85416666666666663</v>
      </c>
      <c r="AF899" s="2"/>
      <c r="AG899" s="2"/>
      <c r="AH899" s="2">
        <v>4</v>
      </c>
      <c r="AI899" s="2" t="s">
        <v>125</v>
      </c>
      <c r="AJ899" s="2">
        <v>29</v>
      </c>
      <c r="AK899" s="2" t="s">
        <v>227</v>
      </c>
      <c r="AL899" s="2">
        <v>10</v>
      </c>
      <c r="AM899" s="2" t="s">
        <v>200</v>
      </c>
      <c r="AN899" s="2" t="s">
        <v>3497</v>
      </c>
      <c r="AO899" s="2" t="s">
        <v>200</v>
      </c>
      <c r="AP899" s="2">
        <v>12</v>
      </c>
      <c r="AQ899" s="2" t="s">
        <v>322</v>
      </c>
      <c r="AR899" s="2" t="s">
        <v>824</v>
      </c>
      <c r="AS899" s="2" t="s">
        <v>3498</v>
      </c>
      <c r="AT899" s="2" t="s">
        <v>3499</v>
      </c>
      <c r="AU899" s="2"/>
      <c r="AV899" s="2"/>
      <c r="AW899" s="2"/>
      <c r="AX899" s="2"/>
      <c r="AY899" s="2">
        <v>41</v>
      </c>
      <c r="AZ899" s="2" t="s">
        <v>82</v>
      </c>
      <c r="BA899" s="2">
        <v>41</v>
      </c>
      <c r="BB899" s="2" t="s">
        <v>82</v>
      </c>
      <c r="BC899" s="2">
        <v>51</v>
      </c>
      <c r="BD899" s="2" t="s">
        <v>827</v>
      </c>
      <c r="BE899" s="2">
        <v>47</v>
      </c>
      <c r="BF899" s="2" t="s">
        <v>167</v>
      </c>
      <c r="BG899" s="2">
        <v>2459</v>
      </c>
      <c r="BH899" s="4">
        <v>0.84027777777777779</v>
      </c>
      <c r="BI899" s="4">
        <v>0.88541666666666663</v>
      </c>
      <c r="BJ899" s="2">
        <v>13</v>
      </c>
      <c r="BK899" s="2" t="s">
        <v>91</v>
      </c>
      <c r="BL899" s="2" t="s">
        <v>828</v>
      </c>
      <c r="BM899" s="2">
        <v>241</v>
      </c>
      <c r="BN899" s="2" t="s">
        <v>82</v>
      </c>
      <c r="BO899" s="2" t="s">
        <v>82</v>
      </c>
      <c r="BP899" s="2">
        <v>13</v>
      </c>
      <c r="BQ899" s="2" t="s">
        <v>91</v>
      </c>
      <c r="BR899" s="2" t="s">
        <v>2592</v>
      </c>
      <c r="BS899" s="3">
        <v>40247</v>
      </c>
      <c r="BT899" s="4">
        <v>0.95458333333333334</v>
      </c>
    </row>
    <row r="900" spans="1:72" x14ac:dyDescent="0.25">
      <c r="A900" s="2">
        <v>1411</v>
      </c>
      <c r="B900" s="2">
        <v>2010</v>
      </c>
      <c r="C900" s="2" t="s">
        <v>72</v>
      </c>
      <c r="D900" s="2" t="s">
        <v>73</v>
      </c>
      <c r="E900" s="2"/>
      <c r="F900" s="2">
        <v>179</v>
      </c>
      <c r="G900" s="2" t="s">
        <v>3146</v>
      </c>
      <c r="H900" s="2">
        <v>65</v>
      </c>
      <c r="I900" s="2" t="s">
        <v>3147</v>
      </c>
      <c r="J900" s="2">
        <v>458</v>
      </c>
      <c r="K900" s="2" t="s">
        <v>3270</v>
      </c>
      <c r="L900" s="2" t="s">
        <v>3271</v>
      </c>
      <c r="M900" s="3">
        <v>40247</v>
      </c>
      <c r="N900" s="2" t="s">
        <v>3149</v>
      </c>
      <c r="O900" s="2" t="s">
        <v>107</v>
      </c>
      <c r="P900" s="2" t="s">
        <v>107</v>
      </c>
      <c r="Q900" s="2" t="str">
        <f>"088-A/10"</f>
        <v>088-A/10</v>
      </c>
      <c r="R900" s="2" t="s">
        <v>107</v>
      </c>
      <c r="S900" s="2" t="s">
        <v>1547</v>
      </c>
      <c r="T900" s="2">
        <v>1</v>
      </c>
      <c r="U900" s="2" t="s">
        <v>79</v>
      </c>
      <c r="V900" s="2">
        <v>1</v>
      </c>
      <c r="W900" s="2" t="s">
        <v>80</v>
      </c>
      <c r="X900" s="2">
        <v>1</v>
      </c>
      <c r="Y900" s="2" t="s">
        <v>81</v>
      </c>
      <c r="Z900" s="2">
        <v>1</v>
      </c>
      <c r="AA900" s="2" t="s">
        <v>82</v>
      </c>
      <c r="AB900" s="2">
        <v>6</v>
      </c>
      <c r="AC900" s="2" t="s">
        <v>83</v>
      </c>
      <c r="AD900" s="3">
        <v>40247</v>
      </c>
      <c r="AE900" s="4">
        <v>0.55208333333333337</v>
      </c>
      <c r="AF900" s="3">
        <v>40247</v>
      </c>
      <c r="AG900" s="4">
        <v>0.76041666666666663</v>
      </c>
      <c r="AH900" s="2">
        <v>2</v>
      </c>
      <c r="AI900" s="2" t="s">
        <v>84</v>
      </c>
      <c r="AJ900" s="2">
        <v>12</v>
      </c>
      <c r="AK900" s="2" t="s">
        <v>85</v>
      </c>
      <c r="AL900" s="2">
        <v>10</v>
      </c>
      <c r="AM900" s="2" t="s">
        <v>200</v>
      </c>
      <c r="AN900" s="2" t="s">
        <v>82</v>
      </c>
      <c r="AO900" s="2" t="s">
        <v>82</v>
      </c>
      <c r="AP900" s="2">
        <v>11</v>
      </c>
      <c r="AQ900" s="2" t="s">
        <v>82</v>
      </c>
      <c r="AR900" s="2" t="s">
        <v>82</v>
      </c>
      <c r="AS900" s="2" t="s">
        <v>82</v>
      </c>
      <c r="AT900" s="2" t="s">
        <v>3500</v>
      </c>
      <c r="AU900" s="2"/>
      <c r="AV900" s="2"/>
      <c r="AW900" s="2"/>
      <c r="AX900" s="2"/>
      <c r="AY900" s="2">
        <v>41</v>
      </c>
      <c r="AZ900" s="2" t="s">
        <v>82</v>
      </c>
      <c r="BA900" s="2">
        <v>41</v>
      </c>
      <c r="BB900" s="2" t="s">
        <v>82</v>
      </c>
      <c r="BC900" s="2">
        <v>41</v>
      </c>
      <c r="BD900" s="2" t="s">
        <v>82</v>
      </c>
      <c r="BE900" s="2">
        <v>47</v>
      </c>
      <c r="BF900" s="2" t="s">
        <v>167</v>
      </c>
      <c r="BG900" s="2" t="s">
        <v>3501</v>
      </c>
      <c r="BH900" s="4">
        <v>0.55208333333333337</v>
      </c>
      <c r="BI900" s="4">
        <v>0.47083333333333338</v>
      </c>
      <c r="BJ900" s="2">
        <v>13</v>
      </c>
      <c r="BK900" s="2" t="s">
        <v>91</v>
      </c>
      <c r="BL900" s="2" t="s">
        <v>1199</v>
      </c>
      <c r="BM900" s="2">
        <v>241</v>
      </c>
      <c r="BN900" s="2" t="s">
        <v>82</v>
      </c>
      <c r="BO900" s="2" t="s">
        <v>82</v>
      </c>
      <c r="BP900" s="2">
        <v>13</v>
      </c>
      <c r="BQ900" s="2" t="s">
        <v>91</v>
      </c>
      <c r="BR900" s="2" t="s">
        <v>185</v>
      </c>
      <c r="BS900" s="3">
        <v>40247</v>
      </c>
      <c r="BT900" s="4">
        <v>0.98347222222222219</v>
      </c>
    </row>
    <row r="901" spans="1:72" x14ac:dyDescent="0.25">
      <c r="A901" s="2">
        <v>1412</v>
      </c>
      <c r="B901" s="2">
        <v>2010</v>
      </c>
      <c r="C901" s="2" t="s">
        <v>196</v>
      </c>
      <c r="D901" s="2" t="s">
        <v>122</v>
      </c>
      <c r="E901" s="2"/>
      <c r="F901" s="2">
        <v>1</v>
      </c>
      <c r="G901" s="2" t="s">
        <v>82</v>
      </c>
      <c r="H901" s="2">
        <v>1</v>
      </c>
      <c r="I901" s="2" t="s">
        <v>82</v>
      </c>
      <c r="J901" s="2">
        <v>1</v>
      </c>
      <c r="K901" s="2" t="s">
        <v>107</v>
      </c>
      <c r="L901" s="2" t="s">
        <v>107</v>
      </c>
      <c r="M901" s="3">
        <v>40247</v>
      </c>
      <c r="N901" s="2"/>
      <c r="O901" s="2"/>
      <c r="P901" s="2"/>
      <c r="Q901" s="2" t="str">
        <f>""</f>
        <v/>
      </c>
      <c r="R901" s="2"/>
      <c r="S901" s="2"/>
      <c r="T901" s="2">
        <v>2</v>
      </c>
      <c r="U901" s="2" t="s">
        <v>123</v>
      </c>
      <c r="V901" s="2">
        <v>1</v>
      </c>
      <c r="W901" s="2" t="s">
        <v>80</v>
      </c>
      <c r="X901" s="2">
        <v>1</v>
      </c>
      <c r="Y901" s="2" t="s">
        <v>81</v>
      </c>
      <c r="Z901" s="2">
        <v>13</v>
      </c>
      <c r="AA901" s="2" t="s">
        <v>3158</v>
      </c>
      <c r="AB901" s="2">
        <v>9</v>
      </c>
      <c r="AC901" s="2" t="s">
        <v>124</v>
      </c>
      <c r="AD901" s="3">
        <v>40247</v>
      </c>
      <c r="AE901" s="4">
        <v>0.625</v>
      </c>
      <c r="AF901" s="2"/>
      <c r="AG901" s="2"/>
      <c r="AH901" s="2">
        <v>2</v>
      </c>
      <c r="AI901" s="2" t="s">
        <v>84</v>
      </c>
      <c r="AJ901" s="2">
        <v>12</v>
      </c>
      <c r="AK901" s="2" t="s">
        <v>85</v>
      </c>
      <c r="AL901" s="2">
        <v>20</v>
      </c>
      <c r="AM901" s="2" t="s">
        <v>992</v>
      </c>
      <c r="AN901" s="2" t="s">
        <v>82</v>
      </c>
      <c r="AO901" s="2" t="s">
        <v>3502</v>
      </c>
      <c r="AP901" s="2">
        <v>11</v>
      </c>
      <c r="AQ901" s="2" t="s">
        <v>82</v>
      </c>
      <c r="AR901" s="2"/>
      <c r="AS901" s="2"/>
      <c r="AT901" s="2" t="s">
        <v>3503</v>
      </c>
      <c r="AU901" s="2"/>
      <c r="AV901" s="2"/>
      <c r="AW901" s="2"/>
      <c r="AX901" s="2"/>
      <c r="AY901" s="2">
        <v>1</v>
      </c>
      <c r="AZ901" s="2" t="s">
        <v>107</v>
      </c>
      <c r="BA901" s="2">
        <v>1</v>
      </c>
      <c r="BB901" s="2" t="s">
        <v>107</v>
      </c>
      <c r="BC901" s="2">
        <v>1</v>
      </c>
      <c r="BD901" s="2" t="s">
        <v>107</v>
      </c>
      <c r="BE901" s="2">
        <v>1</v>
      </c>
      <c r="BF901" s="2" t="s">
        <v>107</v>
      </c>
      <c r="BG901" s="2"/>
      <c r="BH901" s="2"/>
      <c r="BI901" s="2"/>
      <c r="BJ901" s="2">
        <v>242</v>
      </c>
      <c r="BK901" s="2" t="s">
        <v>107</v>
      </c>
      <c r="BL901" s="2"/>
      <c r="BM901" s="2">
        <v>242</v>
      </c>
      <c r="BN901" s="2" t="s">
        <v>107</v>
      </c>
      <c r="BO901" s="2"/>
      <c r="BP901" s="2">
        <v>242</v>
      </c>
      <c r="BQ901" s="2" t="s">
        <v>107</v>
      </c>
      <c r="BR901" s="2"/>
      <c r="BS901" s="3">
        <v>40247</v>
      </c>
      <c r="BT901" s="4">
        <v>0.9971875</v>
      </c>
    </row>
    <row r="902" spans="1:72" x14ac:dyDescent="0.25">
      <c r="A902" s="2">
        <v>1413</v>
      </c>
      <c r="B902" s="2">
        <v>2010</v>
      </c>
      <c r="C902" s="2" t="s">
        <v>594</v>
      </c>
      <c r="D902" s="2" t="s">
        <v>122</v>
      </c>
      <c r="E902" s="2"/>
      <c r="F902" s="2">
        <v>1</v>
      </c>
      <c r="G902" s="2" t="s">
        <v>82</v>
      </c>
      <c r="H902" s="2">
        <v>1</v>
      </c>
      <c r="I902" s="2" t="s">
        <v>82</v>
      </c>
      <c r="J902" s="2">
        <v>1</v>
      </c>
      <c r="K902" s="2" t="s">
        <v>107</v>
      </c>
      <c r="L902" s="2" t="s">
        <v>107</v>
      </c>
      <c r="M902" s="3">
        <v>40248</v>
      </c>
      <c r="N902" s="2"/>
      <c r="O902" s="2"/>
      <c r="P902" s="2"/>
      <c r="Q902" s="2" t="str">
        <f>""</f>
        <v/>
      </c>
      <c r="R902" s="2"/>
      <c r="S902" s="2"/>
      <c r="T902" s="2">
        <v>1</v>
      </c>
      <c r="U902" s="2" t="s">
        <v>79</v>
      </c>
      <c r="V902" s="2">
        <v>1</v>
      </c>
      <c r="W902" s="2" t="s">
        <v>80</v>
      </c>
      <c r="X902" s="2">
        <v>1</v>
      </c>
      <c r="Y902" s="2" t="s">
        <v>81</v>
      </c>
      <c r="Z902" s="2">
        <v>1</v>
      </c>
      <c r="AA902" s="2" t="s">
        <v>82</v>
      </c>
      <c r="AB902" s="2">
        <v>9</v>
      </c>
      <c r="AC902" s="2" t="s">
        <v>124</v>
      </c>
      <c r="AD902" s="3">
        <v>40248</v>
      </c>
      <c r="AE902" s="4">
        <v>2.7777777777777776E-2</v>
      </c>
      <c r="AF902" s="2"/>
      <c r="AG902" s="2"/>
      <c r="AH902" s="2">
        <v>6</v>
      </c>
      <c r="AI902" s="2" t="s">
        <v>197</v>
      </c>
      <c r="AJ902" s="2">
        <v>54</v>
      </c>
      <c r="AK902" s="2" t="s">
        <v>348</v>
      </c>
      <c r="AL902" s="2">
        <v>18</v>
      </c>
      <c r="AM902" s="2" t="s">
        <v>82</v>
      </c>
      <c r="AN902" s="2" t="s">
        <v>2282</v>
      </c>
      <c r="AO902" s="2" t="s">
        <v>200</v>
      </c>
      <c r="AP902" s="2">
        <v>14</v>
      </c>
      <c r="AQ902" s="2" t="s">
        <v>3301</v>
      </c>
      <c r="AR902" s="2" t="s">
        <v>596</v>
      </c>
      <c r="AS902" s="2" t="s">
        <v>596</v>
      </c>
      <c r="AT902" s="2" t="s">
        <v>3504</v>
      </c>
      <c r="AU902" s="2"/>
      <c r="AV902" s="2"/>
      <c r="AW902" s="2"/>
      <c r="AX902" s="2"/>
      <c r="AY902" s="2">
        <v>1</v>
      </c>
      <c r="AZ902" s="2" t="s">
        <v>107</v>
      </c>
      <c r="BA902" s="2">
        <v>1</v>
      </c>
      <c r="BB902" s="2" t="s">
        <v>107</v>
      </c>
      <c r="BC902" s="2">
        <v>1</v>
      </c>
      <c r="BD902" s="2" t="s">
        <v>107</v>
      </c>
      <c r="BE902" s="2">
        <v>4</v>
      </c>
      <c r="BF902" s="2" t="s">
        <v>90</v>
      </c>
      <c r="BG902" s="2" t="s">
        <v>3505</v>
      </c>
      <c r="BH902" s="4">
        <v>0.98611111111111116</v>
      </c>
      <c r="BI902" s="4">
        <v>2.7777777777777776E-2</v>
      </c>
      <c r="BJ902" s="2">
        <v>13</v>
      </c>
      <c r="BK902" s="2" t="s">
        <v>91</v>
      </c>
      <c r="BL902" s="2" t="s">
        <v>3506</v>
      </c>
      <c r="BM902" s="2">
        <v>242</v>
      </c>
      <c r="BN902" s="2" t="s">
        <v>107</v>
      </c>
      <c r="BO902" s="2"/>
      <c r="BP902" s="2">
        <v>13</v>
      </c>
      <c r="BQ902" s="2" t="s">
        <v>91</v>
      </c>
      <c r="BR902" s="2" t="s">
        <v>3507</v>
      </c>
      <c r="BS902" s="3">
        <v>40248</v>
      </c>
      <c r="BT902" s="4">
        <v>2.7025462962962959E-2</v>
      </c>
    </row>
    <row r="903" spans="1:72" x14ac:dyDescent="0.25">
      <c r="A903" s="2">
        <v>1414</v>
      </c>
      <c r="B903" s="2">
        <v>2010</v>
      </c>
      <c r="C903" s="2" t="s">
        <v>819</v>
      </c>
      <c r="D903" s="2" t="s">
        <v>73</v>
      </c>
      <c r="E903" s="2"/>
      <c r="F903" s="2">
        <v>1</v>
      </c>
      <c r="G903" s="2" t="s">
        <v>82</v>
      </c>
      <c r="H903" s="2">
        <v>1</v>
      </c>
      <c r="I903" s="2" t="s">
        <v>82</v>
      </c>
      <c r="J903" s="2">
        <v>1</v>
      </c>
      <c r="K903" s="2" t="s">
        <v>107</v>
      </c>
      <c r="L903" s="2" t="s">
        <v>107</v>
      </c>
      <c r="M903" s="3">
        <v>40248</v>
      </c>
      <c r="N903" s="2" t="s">
        <v>82</v>
      </c>
      <c r="O903" s="2" t="s">
        <v>107</v>
      </c>
      <c r="P903" s="2" t="s">
        <v>107</v>
      </c>
      <c r="Q903" s="2" t="str">
        <f>"130-E/10"</f>
        <v>130-E/10</v>
      </c>
      <c r="R903" s="2" t="s">
        <v>3508</v>
      </c>
      <c r="S903" s="2" t="s">
        <v>3509</v>
      </c>
      <c r="T903" s="2">
        <v>1</v>
      </c>
      <c r="U903" s="2" t="s">
        <v>79</v>
      </c>
      <c r="V903" s="2">
        <v>1</v>
      </c>
      <c r="W903" s="2" t="s">
        <v>80</v>
      </c>
      <c r="X903" s="2">
        <v>5</v>
      </c>
      <c r="Y903" s="2" t="s">
        <v>82</v>
      </c>
      <c r="Z903" s="2">
        <v>1</v>
      </c>
      <c r="AA903" s="2" t="s">
        <v>82</v>
      </c>
      <c r="AB903" s="2">
        <v>9</v>
      </c>
      <c r="AC903" s="2" t="s">
        <v>124</v>
      </c>
      <c r="AD903" s="3">
        <v>40247</v>
      </c>
      <c r="AE903" s="4">
        <v>0.73611111111111116</v>
      </c>
      <c r="AF903" s="3">
        <v>40247</v>
      </c>
      <c r="AG903" s="4">
        <v>0.83333333333333337</v>
      </c>
      <c r="AH903" s="2">
        <v>2</v>
      </c>
      <c r="AI903" s="2" t="s">
        <v>84</v>
      </c>
      <c r="AJ903" s="2">
        <v>9</v>
      </c>
      <c r="AK903" s="2" t="s">
        <v>103</v>
      </c>
      <c r="AL903" s="2">
        <v>11</v>
      </c>
      <c r="AM903" s="2" t="s">
        <v>137</v>
      </c>
      <c r="AN903" s="2" t="s">
        <v>3510</v>
      </c>
      <c r="AO903" s="2" t="s">
        <v>3511</v>
      </c>
      <c r="AP903" s="2">
        <v>11</v>
      </c>
      <c r="AQ903" s="2" t="s">
        <v>82</v>
      </c>
      <c r="AR903" s="2"/>
      <c r="AS903" s="2"/>
      <c r="AT903" s="2" t="s">
        <v>3512</v>
      </c>
      <c r="AU903" s="2"/>
      <c r="AV903" s="2"/>
      <c r="AW903" s="2"/>
      <c r="AX903" s="2"/>
      <c r="AY903" s="2">
        <v>1</v>
      </c>
      <c r="AZ903" s="2" t="s">
        <v>107</v>
      </c>
      <c r="BA903" s="2">
        <v>1</v>
      </c>
      <c r="BB903" s="2" t="s">
        <v>107</v>
      </c>
      <c r="BC903" s="2">
        <v>1</v>
      </c>
      <c r="BD903" s="2" t="s">
        <v>107</v>
      </c>
      <c r="BE903" s="2">
        <v>24</v>
      </c>
      <c r="BF903" s="2" t="s">
        <v>3513</v>
      </c>
      <c r="BG903" s="2">
        <v>7653</v>
      </c>
      <c r="BH903" s="4">
        <v>0.78819444444444453</v>
      </c>
      <c r="BI903" s="4">
        <v>0.91319444444444453</v>
      </c>
      <c r="BJ903" s="2">
        <v>13</v>
      </c>
      <c r="BK903" s="2" t="s">
        <v>91</v>
      </c>
      <c r="BL903" s="2" t="s">
        <v>360</v>
      </c>
      <c r="BM903" s="2">
        <v>241</v>
      </c>
      <c r="BN903" s="2" t="s">
        <v>82</v>
      </c>
      <c r="BO903" s="2"/>
      <c r="BP903" s="2">
        <v>33</v>
      </c>
      <c r="BQ903" s="2" t="s">
        <v>361</v>
      </c>
      <c r="BR903" s="2" t="s">
        <v>2723</v>
      </c>
      <c r="BS903" s="3">
        <v>40248</v>
      </c>
      <c r="BT903" s="4">
        <v>4.6504629629629625E-2</v>
      </c>
    </row>
    <row r="904" spans="1:72" x14ac:dyDescent="0.25">
      <c r="A904" s="2">
        <v>1415</v>
      </c>
      <c r="B904" s="2">
        <v>2010</v>
      </c>
      <c r="C904" s="2" t="s">
        <v>128</v>
      </c>
      <c r="D904" s="2" t="s">
        <v>122</v>
      </c>
      <c r="E904" s="2"/>
      <c r="F904" s="2">
        <v>1</v>
      </c>
      <c r="G904" s="2" t="s">
        <v>82</v>
      </c>
      <c r="H904" s="2">
        <v>1</v>
      </c>
      <c r="I904" s="2" t="s">
        <v>82</v>
      </c>
      <c r="J904" s="2">
        <v>1</v>
      </c>
      <c r="K904" s="2" t="s">
        <v>107</v>
      </c>
      <c r="L904" s="2" t="s">
        <v>107</v>
      </c>
      <c r="M904" s="3">
        <v>40248</v>
      </c>
      <c r="N904" s="2"/>
      <c r="O904" s="2" t="s">
        <v>107</v>
      </c>
      <c r="P904" s="2" t="s">
        <v>107</v>
      </c>
      <c r="Q904" s="2" t="str">
        <f>""</f>
        <v/>
      </c>
      <c r="R904" s="2"/>
      <c r="S904" s="2"/>
      <c r="T904" s="2">
        <v>1</v>
      </c>
      <c r="U904" s="2" t="s">
        <v>79</v>
      </c>
      <c r="V904" s="2">
        <v>1</v>
      </c>
      <c r="W904" s="2" t="s">
        <v>80</v>
      </c>
      <c r="X904" s="2">
        <v>5</v>
      </c>
      <c r="Y904" s="2" t="s">
        <v>82</v>
      </c>
      <c r="Z904" s="2">
        <v>1</v>
      </c>
      <c r="AA904" s="2" t="s">
        <v>82</v>
      </c>
      <c r="AB904" s="2">
        <v>9</v>
      </c>
      <c r="AC904" s="2" t="s">
        <v>124</v>
      </c>
      <c r="AD904" s="2"/>
      <c r="AE904" s="2"/>
      <c r="AF904" s="2"/>
      <c r="AG904" s="2"/>
      <c r="AH904" s="2">
        <v>4</v>
      </c>
      <c r="AI904" s="2" t="s">
        <v>125</v>
      </c>
      <c r="AJ904" s="2">
        <v>28</v>
      </c>
      <c r="AK904" s="2" t="s">
        <v>741</v>
      </c>
      <c r="AL904" s="2">
        <v>18</v>
      </c>
      <c r="AM904" s="2" t="s">
        <v>82</v>
      </c>
      <c r="AN904" s="2"/>
      <c r="AO904" s="2"/>
      <c r="AP904" s="2">
        <v>11</v>
      </c>
      <c r="AQ904" s="2" t="s">
        <v>82</v>
      </c>
      <c r="AR904" s="2"/>
      <c r="AS904" s="2"/>
      <c r="AT904" s="2" t="s">
        <v>3514</v>
      </c>
      <c r="AU904" s="2"/>
      <c r="AV904" s="2"/>
      <c r="AW904" s="2"/>
      <c r="AX904" s="2"/>
      <c r="AY904" s="2">
        <v>1</v>
      </c>
      <c r="AZ904" s="2" t="s">
        <v>107</v>
      </c>
      <c r="BA904" s="2">
        <v>1</v>
      </c>
      <c r="BB904" s="2" t="s">
        <v>107</v>
      </c>
      <c r="BC904" s="2">
        <v>1</v>
      </c>
      <c r="BD904" s="2" t="s">
        <v>107</v>
      </c>
      <c r="BE904" s="2">
        <v>1</v>
      </c>
      <c r="BF904" s="2" t="s">
        <v>107</v>
      </c>
      <c r="BG904" s="2"/>
      <c r="BH904" s="2"/>
      <c r="BI904" s="2"/>
      <c r="BJ904" s="2">
        <v>242</v>
      </c>
      <c r="BK904" s="2" t="s">
        <v>107</v>
      </c>
      <c r="BL904" s="2"/>
      <c r="BM904" s="2">
        <v>242</v>
      </c>
      <c r="BN904" s="2" t="s">
        <v>107</v>
      </c>
      <c r="BO904" s="2"/>
      <c r="BP904" s="2">
        <v>242</v>
      </c>
      <c r="BQ904" s="2" t="s">
        <v>107</v>
      </c>
      <c r="BR904" s="2"/>
      <c r="BS904" s="3">
        <v>40248</v>
      </c>
      <c r="BT904" s="4">
        <v>5.0844907407407408E-2</v>
      </c>
    </row>
    <row r="905" spans="1:72" x14ac:dyDescent="0.25">
      <c r="A905" s="2">
        <v>1416</v>
      </c>
      <c r="B905" s="2">
        <v>2010</v>
      </c>
      <c r="C905" s="2" t="s">
        <v>72</v>
      </c>
      <c r="D905" s="2" t="s">
        <v>73</v>
      </c>
      <c r="E905" s="2"/>
      <c r="F905" s="2">
        <v>390</v>
      </c>
      <c r="G905" s="2" t="s">
        <v>475</v>
      </c>
      <c r="H905" s="2">
        <v>5</v>
      </c>
      <c r="I905" s="2" t="s">
        <v>634</v>
      </c>
      <c r="J905" s="2">
        <v>314</v>
      </c>
      <c r="K905" s="2" t="s">
        <v>477</v>
      </c>
      <c r="L905" s="2" t="s">
        <v>478</v>
      </c>
      <c r="M905" s="3">
        <v>40248</v>
      </c>
      <c r="N905" s="2" t="s">
        <v>3515</v>
      </c>
      <c r="O905" s="2" t="s">
        <v>107</v>
      </c>
      <c r="P905" s="2" t="s">
        <v>107</v>
      </c>
      <c r="Q905" s="2" t="str">
        <f>"131-E/10"</f>
        <v>131-E/10</v>
      </c>
      <c r="R905" s="2" t="s">
        <v>833</v>
      </c>
      <c r="S905" s="2" t="s">
        <v>833</v>
      </c>
      <c r="T905" s="2">
        <v>1</v>
      </c>
      <c r="U905" s="2" t="s">
        <v>79</v>
      </c>
      <c r="V905" s="2">
        <v>1</v>
      </c>
      <c r="W905" s="2" t="s">
        <v>80</v>
      </c>
      <c r="X905" s="2">
        <v>1</v>
      </c>
      <c r="Y905" s="2" t="s">
        <v>81</v>
      </c>
      <c r="Z905" s="2">
        <v>1</v>
      </c>
      <c r="AA905" s="2" t="s">
        <v>82</v>
      </c>
      <c r="AB905" s="2">
        <v>6</v>
      </c>
      <c r="AC905" s="2" t="s">
        <v>83</v>
      </c>
      <c r="AD905" s="3">
        <v>40248</v>
      </c>
      <c r="AE905" s="4">
        <v>1.0416666666666666E-2</v>
      </c>
      <c r="AF905" s="3">
        <v>40248</v>
      </c>
      <c r="AG905" s="4">
        <v>0.25</v>
      </c>
      <c r="AH905" s="2">
        <v>2</v>
      </c>
      <c r="AI905" s="2" t="s">
        <v>84</v>
      </c>
      <c r="AJ905" s="2">
        <v>9</v>
      </c>
      <c r="AK905" s="2" t="s">
        <v>103</v>
      </c>
      <c r="AL905" s="2">
        <v>15</v>
      </c>
      <c r="AM905" s="2" t="s">
        <v>104</v>
      </c>
      <c r="AN905" s="2" t="s">
        <v>3516</v>
      </c>
      <c r="AO905" s="2" t="s">
        <v>82</v>
      </c>
      <c r="AP905" s="2">
        <v>11</v>
      </c>
      <c r="AQ905" s="2" t="s">
        <v>82</v>
      </c>
      <c r="AR905" s="2"/>
      <c r="AS905" s="2"/>
      <c r="AT905" s="2" t="s">
        <v>3517</v>
      </c>
      <c r="AU905" s="2"/>
      <c r="AV905" s="2"/>
      <c r="AW905" s="2"/>
      <c r="AX905" s="2"/>
      <c r="AY905" s="2">
        <v>1</v>
      </c>
      <c r="AZ905" s="2" t="s">
        <v>107</v>
      </c>
      <c r="BA905" s="2">
        <v>1</v>
      </c>
      <c r="BB905" s="2" t="s">
        <v>107</v>
      </c>
      <c r="BC905" s="2">
        <v>1</v>
      </c>
      <c r="BD905" s="2" t="s">
        <v>107</v>
      </c>
      <c r="BE905" s="2">
        <v>1</v>
      </c>
      <c r="BF905" s="2" t="s">
        <v>107</v>
      </c>
      <c r="BG905" s="2"/>
      <c r="BH905" s="2"/>
      <c r="BI905" s="2"/>
      <c r="BJ905" s="2">
        <v>242</v>
      </c>
      <c r="BK905" s="2" t="s">
        <v>107</v>
      </c>
      <c r="BL905" s="2"/>
      <c r="BM905" s="2">
        <v>242</v>
      </c>
      <c r="BN905" s="2" t="s">
        <v>107</v>
      </c>
      <c r="BO905" s="2"/>
      <c r="BP905" s="2">
        <v>242</v>
      </c>
      <c r="BQ905" s="2" t="s">
        <v>107</v>
      </c>
      <c r="BR905" s="2"/>
      <c r="BS905" s="3">
        <v>40248</v>
      </c>
      <c r="BT905" s="4">
        <v>0.37030092592592595</v>
      </c>
    </row>
    <row r="906" spans="1:72" x14ac:dyDescent="0.25">
      <c r="A906" s="2">
        <v>1417</v>
      </c>
      <c r="B906" s="2">
        <v>2010</v>
      </c>
      <c r="C906" s="2" t="s">
        <v>906</v>
      </c>
      <c r="D906" s="2" t="s">
        <v>122</v>
      </c>
      <c r="E906" s="2"/>
      <c r="F906" s="2">
        <v>1</v>
      </c>
      <c r="G906" s="2" t="s">
        <v>82</v>
      </c>
      <c r="H906" s="2">
        <v>1</v>
      </c>
      <c r="I906" s="2" t="s">
        <v>82</v>
      </c>
      <c r="J906" s="2">
        <v>1</v>
      </c>
      <c r="K906" s="2" t="s">
        <v>107</v>
      </c>
      <c r="L906" s="2" t="s">
        <v>107</v>
      </c>
      <c r="M906" s="3">
        <v>40248</v>
      </c>
      <c r="N906" s="2" t="s">
        <v>107</v>
      </c>
      <c r="O906" s="2" t="s">
        <v>107</v>
      </c>
      <c r="P906" s="2" t="s">
        <v>107</v>
      </c>
      <c r="Q906" s="2" t="str">
        <f>"0004/10"</f>
        <v>0004/10</v>
      </c>
      <c r="R906" s="2" t="s">
        <v>107</v>
      </c>
      <c r="S906" s="2" t="s">
        <v>107</v>
      </c>
      <c r="T906" s="2">
        <v>1</v>
      </c>
      <c r="U906" s="2" t="s">
        <v>79</v>
      </c>
      <c r="V906" s="2">
        <v>1</v>
      </c>
      <c r="W906" s="2" t="s">
        <v>80</v>
      </c>
      <c r="X906" s="2">
        <v>1</v>
      </c>
      <c r="Y906" s="2" t="s">
        <v>81</v>
      </c>
      <c r="Z906" s="2">
        <v>1</v>
      </c>
      <c r="AA906" s="2" t="s">
        <v>82</v>
      </c>
      <c r="AB906" s="2">
        <v>9</v>
      </c>
      <c r="AC906" s="2" t="s">
        <v>124</v>
      </c>
      <c r="AD906" s="3">
        <v>40244</v>
      </c>
      <c r="AE906" s="4">
        <v>0.95833333333333337</v>
      </c>
      <c r="AF906" s="3">
        <v>40248</v>
      </c>
      <c r="AG906" s="4">
        <v>0.39583333333333331</v>
      </c>
      <c r="AH906" s="2">
        <v>6</v>
      </c>
      <c r="AI906" s="2" t="s">
        <v>197</v>
      </c>
      <c r="AJ906" s="2">
        <v>54</v>
      </c>
      <c r="AK906" s="2" t="s">
        <v>348</v>
      </c>
      <c r="AL906" s="2">
        <v>21</v>
      </c>
      <c r="AM906" s="2" t="s">
        <v>1311</v>
      </c>
      <c r="AN906" s="2" t="s">
        <v>3518</v>
      </c>
      <c r="AO906" s="2" t="s">
        <v>107</v>
      </c>
      <c r="AP906" s="2">
        <v>11</v>
      </c>
      <c r="AQ906" s="2" t="s">
        <v>82</v>
      </c>
      <c r="AR906" s="2" t="s">
        <v>82</v>
      </c>
      <c r="AS906" s="2" t="s">
        <v>82</v>
      </c>
      <c r="AT906" s="2" t="s">
        <v>3519</v>
      </c>
      <c r="AU906" s="2"/>
      <c r="AV906" s="2"/>
      <c r="AW906" s="2"/>
      <c r="AX906" s="2"/>
      <c r="AY906" s="2">
        <v>41</v>
      </c>
      <c r="AZ906" s="2" t="s">
        <v>82</v>
      </c>
      <c r="BA906" s="2">
        <v>41</v>
      </c>
      <c r="BB906" s="2" t="s">
        <v>82</v>
      </c>
      <c r="BC906" s="2">
        <v>44</v>
      </c>
      <c r="BD906" s="2" t="s">
        <v>262</v>
      </c>
      <c r="BE906" s="2">
        <v>13</v>
      </c>
      <c r="BF906" s="2" t="s">
        <v>108</v>
      </c>
      <c r="BG906" s="2">
        <v>1838</v>
      </c>
      <c r="BH906" s="4">
        <v>0.92708333333333337</v>
      </c>
      <c r="BI906" s="4">
        <v>0.25</v>
      </c>
      <c r="BJ906" s="2">
        <v>13</v>
      </c>
      <c r="BK906" s="2" t="s">
        <v>91</v>
      </c>
      <c r="BL906" s="2" t="s">
        <v>3520</v>
      </c>
      <c r="BM906" s="2">
        <v>13</v>
      </c>
      <c r="BN906" s="2" t="s">
        <v>91</v>
      </c>
      <c r="BO906" s="2" t="s">
        <v>353</v>
      </c>
      <c r="BP906" s="2">
        <v>13</v>
      </c>
      <c r="BQ906" s="2" t="s">
        <v>91</v>
      </c>
      <c r="BR906" s="2" t="s">
        <v>3520</v>
      </c>
      <c r="BS906" s="3">
        <v>40248</v>
      </c>
      <c r="BT906" s="4">
        <v>0.48954861111111114</v>
      </c>
    </row>
    <row r="907" spans="1:72" x14ac:dyDescent="0.25">
      <c r="A907" s="2">
        <v>1420</v>
      </c>
      <c r="B907" s="2">
        <v>2010</v>
      </c>
      <c r="C907" s="2" t="s">
        <v>819</v>
      </c>
      <c r="D907" s="2" t="s">
        <v>122</v>
      </c>
      <c r="E907" s="2" t="s">
        <v>3521</v>
      </c>
      <c r="F907" s="2">
        <v>451</v>
      </c>
      <c r="G907" s="2" t="s">
        <v>879</v>
      </c>
      <c r="H907" s="2">
        <v>31</v>
      </c>
      <c r="I907" s="2" t="s">
        <v>880</v>
      </c>
      <c r="J907" s="2">
        <v>326</v>
      </c>
      <c r="K907" s="2" t="s">
        <v>881</v>
      </c>
      <c r="L907" s="2" t="s">
        <v>882</v>
      </c>
      <c r="M907" s="3">
        <v>40248</v>
      </c>
      <c r="N907" s="2" t="s">
        <v>821</v>
      </c>
      <c r="O907" s="2"/>
      <c r="P907" s="2"/>
      <c r="Q907" s="2" t="str">
        <f>"026/10"</f>
        <v>026/10</v>
      </c>
      <c r="R907" s="2" t="s">
        <v>822</v>
      </c>
      <c r="S907" s="2"/>
      <c r="T907" s="2">
        <v>1</v>
      </c>
      <c r="U907" s="2" t="s">
        <v>79</v>
      </c>
      <c r="V907" s="2">
        <v>1</v>
      </c>
      <c r="W907" s="2" t="s">
        <v>80</v>
      </c>
      <c r="X907" s="2">
        <v>1</v>
      </c>
      <c r="Y907" s="2" t="s">
        <v>81</v>
      </c>
      <c r="Z907" s="2">
        <v>10</v>
      </c>
      <c r="AA907" s="2" t="s">
        <v>236</v>
      </c>
      <c r="AB907" s="2">
        <v>9</v>
      </c>
      <c r="AC907" s="2" t="s">
        <v>124</v>
      </c>
      <c r="AD907" s="3">
        <v>40248</v>
      </c>
      <c r="AE907" s="4">
        <v>0.47222222222222227</v>
      </c>
      <c r="AF907" s="2"/>
      <c r="AG907" s="2"/>
      <c r="AH907" s="2">
        <v>4</v>
      </c>
      <c r="AI907" s="2" t="s">
        <v>125</v>
      </c>
      <c r="AJ907" s="2">
        <v>29</v>
      </c>
      <c r="AK907" s="2" t="s">
        <v>227</v>
      </c>
      <c r="AL907" s="2">
        <v>10</v>
      </c>
      <c r="AM907" s="2" t="s">
        <v>200</v>
      </c>
      <c r="AN907" s="2" t="s">
        <v>3522</v>
      </c>
      <c r="AO907" s="2" t="s">
        <v>3110</v>
      </c>
      <c r="AP907" s="2">
        <v>12</v>
      </c>
      <c r="AQ907" s="2" t="s">
        <v>322</v>
      </c>
      <c r="AR907" s="2" t="s">
        <v>824</v>
      </c>
      <c r="AS907" s="2" t="s">
        <v>3498</v>
      </c>
      <c r="AT907" s="2" t="s">
        <v>3523</v>
      </c>
      <c r="AU907" s="2"/>
      <c r="AV907" s="2"/>
      <c r="AW907" s="2"/>
      <c r="AX907" s="2"/>
      <c r="AY907" s="2">
        <v>41</v>
      </c>
      <c r="AZ907" s="2" t="s">
        <v>82</v>
      </c>
      <c r="BA907" s="2">
        <v>41</v>
      </c>
      <c r="BB907" s="2" t="s">
        <v>82</v>
      </c>
      <c r="BC907" s="2">
        <v>51</v>
      </c>
      <c r="BD907" s="2" t="s">
        <v>827</v>
      </c>
      <c r="BE907" s="2">
        <v>47</v>
      </c>
      <c r="BF907" s="2" t="s">
        <v>167</v>
      </c>
      <c r="BG907" s="2">
        <v>2459</v>
      </c>
      <c r="BH907" s="4">
        <v>0.84027777777777779</v>
      </c>
      <c r="BI907" s="4">
        <v>0.88541666666666663</v>
      </c>
      <c r="BJ907" s="2">
        <v>13</v>
      </c>
      <c r="BK907" s="2" t="s">
        <v>91</v>
      </c>
      <c r="BL907" s="2" t="s">
        <v>828</v>
      </c>
      <c r="BM907" s="2">
        <v>241</v>
      </c>
      <c r="BN907" s="2" t="s">
        <v>82</v>
      </c>
      <c r="BO907" s="2" t="s">
        <v>82</v>
      </c>
      <c r="BP907" s="2">
        <v>13</v>
      </c>
      <c r="BQ907" s="2" t="s">
        <v>91</v>
      </c>
      <c r="BR907" s="2" t="s">
        <v>2592</v>
      </c>
      <c r="BS907" s="3">
        <v>40248</v>
      </c>
      <c r="BT907" s="4">
        <v>0.49460648148148145</v>
      </c>
    </row>
    <row r="908" spans="1:72" x14ac:dyDescent="0.25">
      <c r="A908" s="2">
        <v>1422</v>
      </c>
      <c r="B908" s="2">
        <v>2010</v>
      </c>
      <c r="C908" s="2" t="s">
        <v>409</v>
      </c>
      <c r="D908" s="2" t="s">
        <v>122</v>
      </c>
      <c r="E908" s="2"/>
      <c r="F908" s="2">
        <v>385</v>
      </c>
      <c r="G908" s="2" t="s">
        <v>990</v>
      </c>
      <c r="H908" s="2">
        <v>3</v>
      </c>
      <c r="I908" s="2" t="s">
        <v>315</v>
      </c>
      <c r="J908" s="2">
        <v>332</v>
      </c>
      <c r="K908" s="2" t="s">
        <v>913</v>
      </c>
      <c r="L908" s="2" t="s">
        <v>914</v>
      </c>
      <c r="M908" s="3">
        <v>40248</v>
      </c>
      <c r="N908" s="2" t="s">
        <v>3524</v>
      </c>
      <c r="O908" s="2" t="s">
        <v>3525</v>
      </c>
      <c r="P908" s="2" t="s">
        <v>3526</v>
      </c>
      <c r="Q908" s="2" t="str">
        <f>"02/10"</f>
        <v>02/10</v>
      </c>
      <c r="R908" s="2" t="s">
        <v>82</v>
      </c>
      <c r="S908" s="2" t="s">
        <v>3527</v>
      </c>
      <c r="T908" s="2">
        <v>1</v>
      </c>
      <c r="U908" s="2" t="s">
        <v>79</v>
      </c>
      <c r="V908" s="2">
        <v>1</v>
      </c>
      <c r="W908" s="2" t="s">
        <v>80</v>
      </c>
      <c r="X908" s="2">
        <v>5</v>
      </c>
      <c r="Y908" s="2" t="s">
        <v>82</v>
      </c>
      <c r="Z908" s="2">
        <v>10</v>
      </c>
      <c r="AA908" s="2" t="s">
        <v>236</v>
      </c>
      <c r="AB908" s="2">
        <v>9</v>
      </c>
      <c r="AC908" s="2" t="s">
        <v>124</v>
      </c>
      <c r="AD908" s="3">
        <v>40248</v>
      </c>
      <c r="AE908" s="4">
        <v>0.375</v>
      </c>
      <c r="AF908" s="2"/>
      <c r="AG908" s="2"/>
      <c r="AH908" s="2">
        <v>5</v>
      </c>
      <c r="AI908" s="2" t="s">
        <v>274</v>
      </c>
      <c r="AJ908" s="2">
        <v>34</v>
      </c>
      <c r="AK908" s="2" t="s">
        <v>274</v>
      </c>
      <c r="AL908" s="2">
        <v>18</v>
      </c>
      <c r="AM908" s="2" t="s">
        <v>82</v>
      </c>
      <c r="AN908" s="2"/>
      <c r="AO908" s="2"/>
      <c r="AP908" s="2">
        <v>11</v>
      </c>
      <c r="AQ908" s="2" t="s">
        <v>82</v>
      </c>
      <c r="AR908" s="2"/>
      <c r="AS908" s="2"/>
      <c r="AT908" s="2" t="s">
        <v>3528</v>
      </c>
      <c r="AU908" s="2"/>
      <c r="AV908" s="2"/>
      <c r="AW908" s="2"/>
      <c r="AX908" s="2"/>
      <c r="AY908" s="2">
        <v>1</v>
      </c>
      <c r="AZ908" s="2" t="s">
        <v>107</v>
      </c>
      <c r="BA908" s="2">
        <v>1</v>
      </c>
      <c r="BB908" s="2" t="s">
        <v>107</v>
      </c>
      <c r="BC908" s="2">
        <v>1</v>
      </c>
      <c r="BD908" s="2" t="s">
        <v>107</v>
      </c>
      <c r="BE908" s="2">
        <v>1</v>
      </c>
      <c r="BF908" s="2" t="s">
        <v>107</v>
      </c>
      <c r="BG908" s="2"/>
      <c r="BH908" s="2"/>
      <c r="BI908" s="2"/>
      <c r="BJ908" s="2">
        <v>242</v>
      </c>
      <c r="BK908" s="2" t="s">
        <v>107</v>
      </c>
      <c r="BL908" s="2"/>
      <c r="BM908" s="2">
        <v>242</v>
      </c>
      <c r="BN908" s="2" t="s">
        <v>107</v>
      </c>
      <c r="BO908" s="2"/>
      <c r="BP908" s="2">
        <v>242</v>
      </c>
      <c r="BQ908" s="2" t="s">
        <v>107</v>
      </c>
      <c r="BR908" s="2"/>
      <c r="BS908" s="3">
        <v>40248</v>
      </c>
      <c r="BT908" s="4">
        <v>0.50776620370370373</v>
      </c>
    </row>
    <row r="909" spans="1:72" x14ac:dyDescent="0.25">
      <c r="A909" s="2">
        <v>1423</v>
      </c>
      <c r="B909" s="2">
        <v>2010</v>
      </c>
      <c r="C909" s="2" t="s">
        <v>147</v>
      </c>
      <c r="D909" s="2" t="s">
        <v>73</v>
      </c>
      <c r="E909" s="2"/>
      <c r="F909" s="2">
        <v>1</v>
      </c>
      <c r="G909" s="2" t="s">
        <v>82</v>
      </c>
      <c r="H909" s="2">
        <v>1</v>
      </c>
      <c r="I909" s="2" t="s">
        <v>82</v>
      </c>
      <c r="J909" s="2">
        <v>1</v>
      </c>
      <c r="K909" s="2" t="s">
        <v>107</v>
      </c>
      <c r="L909" s="2" t="s">
        <v>107</v>
      </c>
      <c r="M909" s="3">
        <v>40248</v>
      </c>
      <c r="N909" s="2"/>
      <c r="O909" s="2"/>
      <c r="P909" s="2"/>
      <c r="Q909" s="2" t="str">
        <f>""</f>
        <v/>
      </c>
      <c r="R909" s="2"/>
      <c r="S909" s="2"/>
      <c r="T909" s="2">
        <v>2</v>
      </c>
      <c r="U909" s="2" t="s">
        <v>123</v>
      </c>
      <c r="V909" s="2">
        <v>1</v>
      </c>
      <c r="W909" s="2" t="s">
        <v>80</v>
      </c>
      <c r="X909" s="2">
        <v>12</v>
      </c>
      <c r="Y909" s="2" t="s">
        <v>148</v>
      </c>
      <c r="Z909" s="2">
        <v>1</v>
      </c>
      <c r="AA909" s="2" t="s">
        <v>82</v>
      </c>
      <c r="AB909" s="2">
        <v>9</v>
      </c>
      <c r="AC909" s="2" t="s">
        <v>124</v>
      </c>
      <c r="AD909" s="3">
        <v>40246</v>
      </c>
      <c r="AE909" s="2"/>
      <c r="AF909" s="3">
        <v>40248</v>
      </c>
      <c r="AG909" s="4">
        <v>0.48958333333333331</v>
      </c>
      <c r="AH909" s="2">
        <v>2</v>
      </c>
      <c r="AI909" s="2" t="s">
        <v>84</v>
      </c>
      <c r="AJ909" s="2">
        <v>12</v>
      </c>
      <c r="AK909" s="2" t="s">
        <v>85</v>
      </c>
      <c r="AL909" s="2">
        <v>23</v>
      </c>
      <c r="AM909" s="2" t="s">
        <v>251</v>
      </c>
      <c r="AN909" s="2" t="s">
        <v>1781</v>
      </c>
      <c r="AO909" s="2" t="s">
        <v>107</v>
      </c>
      <c r="AP909" s="2">
        <v>11</v>
      </c>
      <c r="AQ909" s="2" t="s">
        <v>82</v>
      </c>
      <c r="AR909" s="2"/>
      <c r="AS909" s="2"/>
      <c r="AT909" s="2" t="s">
        <v>3529</v>
      </c>
      <c r="AU909" s="2"/>
      <c r="AV909" s="2"/>
      <c r="AW909" s="2"/>
      <c r="AX909" s="2"/>
      <c r="AY909" s="2">
        <v>41</v>
      </c>
      <c r="AZ909" s="2" t="s">
        <v>82</v>
      </c>
      <c r="BA909" s="2">
        <v>41</v>
      </c>
      <c r="BB909" s="2" t="s">
        <v>82</v>
      </c>
      <c r="BC909" s="2">
        <v>41</v>
      </c>
      <c r="BD909" s="2" t="s">
        <v>82</v>
      </c>
      <c r="BE909" s="2">
        <v>41</v>
      </c>
      <c r="BF909" s="2" t="s">
        <v>82</v>
      </c>
      <c r="BG909" s="2"/>
      <c r="BH909" s="2"/>
      <c r="BI909" s="2"/>
      <c r="BJ909" s="2">
        <v>241</v>
      </c>
      <c r="BK909" s="2" t="s">
        <v>82</v>
      </c>
      <c r="BL909" s="2"/>
      <c r="BM909" s="2">
        <v>241</v>
      </c>
      <c r="BN909" s="2" t="s">
        <v>82</v>
      </c>
      <c r="BO909" s="2"/>
      <c r="BP909" s="2">
        <v>241</v>
      </c>
      <c r="BQ909" s="2" t="s">
        <v>82</v>
      </c>
      <c r="BR909" s="2"/>
      <c r="BS909" s="3">
        <v>40248</v>
      </c>
      <c r="BT909" s="4">
        <v>0.52495370370370364</v>
      </c>
    </row>
    <row r="910" spans="1:72" x14ac:dyDescent="0.25">
      <c r="A910" s="2">
        <v>1424</v>
      </c>
      <c r="B910" s="2">
        <v>2010</v>
      </c>
      <c r="C910" s="2" t="s">
        <v>72</v>
      </c>
      <c r="D910" s="2" t="s">
        <v>73</v>
      </c>
      <c r="E910" s="2"/>
      <c r="F910" s="2">
        <v>528</v>
      </c>
      <c r="G910" s="2" t="s">
        <v>3269</v>
      </c>
      <c r="H910" s="2">
        <v>65</v>
      </c>
      <c r="I910" s="2" t="s">
        <v>3147</v>
      </c>
      <c r="J910" s="2">
        <v>458</v>
      </c>
      <c r="K910" s="2" t="s">
        <v>3270</v>
      </c>
      <c r="L910" s="2" t="s">
        <v>3271</v>
      </c>
      <c r="M910" s="3">
        <v>40248</v>
      </c>
      <c r="N910" s="2" t="s">
        <v>3149</v>
      </c>
      <c r="O910" s="2" t="s">
        <v>107</v>
      </c>
      <c r="P910" s="2" t="s">
        <v>107</v>
      </c>
      <c r="Q910" s="2" t="str">
        <f>"089-A/10"</f>
        <v>089-A/10</v>
      </c>
      <c r="R910" s="2" t="s">
        <v>107</v>
      </c>
      <c r="S910" s="2" t="s">
        <v>899</v>
      </c>
      <c r="T910" s="2">
        <v>1</v>
      </c>
      <c r="U910" s="2" t="s">
        <v>79</v>
      </c>
      <c r="V910" s="2">
        <v>1</v>
      </c>
      <c r="W910" s="2" t="s">
        <v>80</v>
      </c>
      <c r="X910" s="2">
        <v>1</v>
      </c>
      <c r="Y910" s="2" t="s">
        <v>81</v>
      </c>
      <c r="Z910" s="2">
        <v>1</v>
      </c>
      <c r="AA910" s="2" t="s">
        <v>82</v>
      </c>
      <c r="AB910" s="2">
        <v>6</v>
      </c>
      <c r="AC910" s="2" t="s">
        <v>83</v>
      </c>
      <c r="AD910" s="3">
        <v>40247</v>
      </c>
      <c r="AE910" s="4">
        <v>0.31597222222222221</v>
      </c>
      <c r="AF910" s="3">
        <v>40248</v>
      </c>
      <c r="AG910" s="4">
        <v>0.46527777777777773</v>
      </c>
      <c r="AH910" s="2">
        <v>2</v>
      </c>
      <c r="AI910" s="2" t="s">
        <v>84</v>
      </c>
      <c r="AJ910" s="2">
        <v>12</v>
      </c>
      <c r="AK910" s="2" t="s">
        <v>85</v>
      </c>
      <c r="AL910" s="2">
        <v>10</v>
      </c>
      <c r="AM910" s="2" t="s">
        <v>200</v>
      </c>
      <c r="AN910" s="2" t="s">
        <v>82</v>
      </c>
      <c r="AO910" s="2" t="s">
        <v>82</v>
      </c>
      <c r="AP910" s="2">
        <v>11</v>
      </c>
      <c r="AQ910" s="2" t="s">
        <v>82</v>
      </c>
      <c r="AR910" s="2"/>
      <c r="AS910" s="2"/>
      <c r="AT910" s="2" t="s">
        <v>3530</v>
      </c>
      <c r="AU910" s="2"/>
      <c r="AV910" s="2"/>
      <c r="AW910" s="2"/>
      <c r="AX910" s="2"/>
      <c r="AY910" s="2">
        <v>41</v>
      </c>
      <c r="AZ910" s="2" t="s">
        <v>82</v>
      </c>
      <c r="BA910" s="2">
        <v>41</v>
      </c>
      <c r="BB910" s="2" t="s">
        <v>82</v>
      </c>
      <c r="BC910" s="2">
        <v>41</v>
      </c>
      <c r="BD910" s="2" t="s">
        <v>82</v>
      </c>
      <c r="BE910" s="2">
        <v>47</v>
      </c>
      <c r="BF910" s="2" t="s">
        <v>167</v>
      </c>
      <c r="BG910" s="2" t="s">
        <v>3531</v>
      </c>
      <c r="BH910" s="4">
        <v>0.40277777777777773</v>
      </c>
      <c r="BI910" s="4">
        <v>0.33333333333333331</v>
      </c>
      <c r="BJ910" s="2">
        <v>13</v>
      </c>
      <c r="BK910" s="2" t="s">
        <v>91</v>
      </c>
      <c r="BL910" s="2" t="s">
        <v>185</v>
      </c>
      <c r="BM910" s="2">
        <v>241</v>
      </c>
      <c r="BN910" s="2" t="s">
        <v>82</v>
      </c>
      <c r="BO910" s="2" t="s">
        <v>82</v>
      </c>
      <c r="BP910" s="2">
        <v>13</v>
      </c>
      <c r="BQ910" s="2" t="s">
        <v>91</v>
      </c>
      <c r="BR910" s="2" t="s">
        <v>169</v>
      </c>
      <c r="BS910" s="3">
        <v>40248</v>
      </c>
      <c r="BT910" s="4">
        <v>0.5699305555555555</v>
      </c>
    </row>
    <row r="911" spans="1:72" x14ac:dyDescent="0.25">
      <c r="A911" s="2">
        <v>1425</v>
      </c>
      <c r="B911" s="2">
        <v>2010</v>
      </c>
      <c r="C911" s="2" t="s">
        <v>147</v>
      </c>
      <c r="D911" s="2" t="s">
        <v>73</v>
      </c>
      <c r="E911" s="2"/>
      <c r="F911" s="2">
        <v>1</v>
      </c>
      <c r="G911" s="2" t="s">
        <v>82</v>
      </c>
      <c r="H911" s="2">
        <v>1</v>
      </c>
      <c r="I911" s="2" t="s">
        <v>82</v>
      </c>
      <c r="J911" s="2">
        <v>1</v>
      </c>
      <c r="K911" s="2" t="s">
        <v>107</v>
      </c>
      <c r="L911" s="2" t="s">
        <v>107</v>
      </c>
      <c r="M911" s="3">
        <v>40248</v>
      </c>
      <c r="N911" s="2"/>
      <c r="O911" s="2"/>
      <c r="P911" s="2"/>
      <c r="Q911" s="2" t="str">
        <f>""</f>
        <v/>
      </c>
      <c r="R911" s="2"/>
      <c r="S911" s="2"/>
      <c r="T911" s="2">
        <v>2</v>
      </c>
      <c r="U911" s="2" t="s">
        <v>123</v>
      </c>
      <c r="V911" s="2">
        <v>1</v>
      </c>
      <c r="W911" s="2" t="s">
        <v>80</v>
      </c>
      <c r="X911" s="2">
        <v>12</v>
      </c>
      <c r="Y911" s="2" t="s">
        <v>148</v>
      </c>
      <c r="Z911" s="2">
        <v>1</v>
      </c>
      <c r="AA911" s="2" t="s">
        <v>82</v>
      </c>
      <c r="AB911" s="2">
        <v>9</v>
      </c>
      <c r="AC911" s="2" t="s">
        <v>124</v>
      </c>
      <c r="AD911" s="3">
        <v>40248</v>
      </c>
      <c r="AE911" s="4">
        <v>0.47916666666666669</v>
      </c>
      <c r="AF911" s="3">
        <v>40248</v>
      </c>
      <c r="AG911" s="4">
        <v>0.53125</v>
      </c>
      <c r="AH911" s="2">
        <v>2</v>
      </c>
      <c r="AI911" s="2" t="s">
        <v>84</v>
      </c>
      <c r="AJ911" s="2">
        <v>11</v>
      </c>
      <c r="AK911" s="2" t="s">
        <v>751</v>
      </c>
      <c r="AL911" s="2">
        <v>19</v>
      </c>
      <c r="AM911" s="2" t="s">
        <v>107</v>
      </c>
      <c r="AN911" s="2" t="s">
        <v>107</v>
      </c>
      <c r="AO911" s="2" t="s">
        <v>1772</v>
      </c>
      <c r="AP911" s="2">
        <v>11</v>
      </c>
      <c r="AQ911" s="2" t="s">
        <v>82</v>
      </c>
      <c r="AR911" s="2"/>
      <c r="AS911" s="2"/>
      <c r="AT911" s="2" t="s">
        <v>3532</v>
      </c>
      <c r="AU911" s="2"/>
      <c r="AV911" s="2"/>
      <c r="AW911" s="2"/>
      <c r="AX911" s="2"/>
      <c r="AY911" s="2">
        <v>41</v>
      </c>
      <c r="AZ911" s="2" t="s">
        <v>82</v>
      </c>
      <c r="BA911" s="2">
        <v>41</v>
      </c>
      <c r="BB911" s="2" t="s">
        <v>82</v>
      </c>
      <c r="BC911" s="2">
        <v>41</v>
      </c>
      <c r="BD911" s="2" t="s">
        <v>82</v>
      </c>
      <c r="BE911" s="2">
        <v>41</v>
      </c>
      <c r="BF911" s="2" t="s">
        <v>82</v>
      </c>
      <c r="BG911" s="2"/>
      <c r="BH911" s="2"/>
      <c r="BI911" s="2"/>
      <c r="BJ911" s="2">
        <v>241</v>
      </c>
      <c r="BK911" s="2" t="s">
        <v>82</v>
      </c>
      <c r="BL911" s="2"/>
      <c r="BM911" s="2">
        <v>241</v>
      </c>
      <c r="BN911" s="2" t="s">
        <v>82</v>
      </c>
      <c r="BO911" s="2"/>
      <c r="BP911" s="2">
        <v>241</v>
      </c>
      <c r="BQ911" s="2" t="s">
        <v>82</v>
      </c>
      <c r="BR911" s="2"/>
      <c r="BS911" s="3">
        <v>40248</v>
      </c>
      <c r="BT911" s="4">
        <v>0.57358796296296299</v>
      </c>
    </row>
    <row r="912" spans="1:72" x14ac:dyDescent="0.25">
      <c r="A912" s="2">
        <v>1428</v>
      </c>
      <c r="B912" s="2">
        <v>2010</v>
      </c>
      <c r="C912" s="2" t="s">
        <v>409</v>
      </c>
      <c r="D912" s="2" t="s">
        <v>122</v>
      </c>
      <c r="E912" s="2"/>
      <c r="F912" s="2">
        <v>37</v>
      </c>
      <c r="G912" s="2" t="s">
        <v>1790</v>
      </c>
      <c r="H912" s="2">
        <v>22</v>
      </c>
      <c r="I912" s="2" t="s">
        <v>75</v>
      </c>
      <c r="J912" s="2">
        <v>463</v>
      </c>
      <c r="K912" s="2" t="s">
        <v>3533</v>
      </c>
      <c r="L912" s="2" t="s">
        <v>3534</v>
      </c>
      <c r="M912" s="3">
        <v>40248</v>
      </c>
      <c r="N912" s="2" t="s">
        <v>3535</v>
      </c>
      <c r="O912" s="2" t="s">
        <v>3536</v>
      </c>
      <c r="P912" s="2" t="s">
        <v>3537</v>
      </c>
      <c r="Q912" s="2" t="str">
        <f>""</f>
        <v/>
      </c>
      <c r="R912" s="2"/>
      <c r="S912" s="2"/>
      <c r="T912" s="2">
        <v>1</v>
      </c>
      <c r="U912" s="2" t="s">
        <v>79</v>
      </c>
      <c r="V912" s="2">
        <v>1</v>
      </c>
      <c r="W912" s="2" t="s">
        <v>80</v>
      </c>
      <c r="X912" s="2">
        <v>5</v>
      </c>
      <c r="Y912" s="2" t="s">
        <v>82</v>
      </c>
      <c r="Z912" s="2">
        <v>1</v>
      </c>
      <c r="AA912" s="2" t="s">
        <v>82</v>
      </c>
      <c r="AB912" s="2">
        <v>9</v>
      </c>
      <c r="AC912" s="2" t="s">
        <v>124</v>
      </c>
      <c r="AD912" s="3">
        <v>40248</v>
      </c>
      <c r="AE912" s="4">
        <v>0.41666666666666669</v>
      </c>
      <c r="AF912" s="2"/>
      <c r="AG912" s="2"/>
      <c r="AH912" s="2">
        <v>5</v>
      </c>
      <c r="AI912" s="2" t="s">
        <v>274</v>
      </c>
      <c r="AJ912" s="2">
        <v>41</v>
      </c>
      <c r="AK912" s="2" t="s">
        <v>2751</v>
      </c>
      <c r="AL912" s="2">
        <v>18</v>
      </c>
      <c r="AM912" s="2" t="s">
        <v>82</v>
      </c>
      <c r="AN912" s="2"/>
      <c r="AO912" s="2"/>
      <c r="AP912" s="2">
        <v>11</v>
      </c>
      <c r="AQ912" s="2" t="s">
        <v>82</v>
      </c>
      <c r="AR912" s="2"/>
      <c r="AS912" s="2"/>
      <c r="AT912" s="2" t="s">
        <v>3538</v>
      </c>
      <c r="AU912" s="2"/>
      <c r="AV912" s="2"/>
      <c r="AW912" s="2"/>
      <c r="AX912" s="2"/>
      <c r="AY912" s="2">
        <v>41</v>
      </c>
      <c r="AZ912" s="2" t="s">
        <v>82</v>
      </c>
      <c r="BA912" s="2">
        <v>41</v>
      </c>
      <c r="BB912" s="2" t="s">
        <v>82</v>
      </c>
      <c r="BC912" s="2">
        <v>41</v>
      </c>
      <c r="BD912" s="2" t="s">
        <v>82</v>
      </c>
      <c r="BE912" s="2">
        <v>41</v>
      </c>
      <c r="BF912" s="2" t="s">
        <v>82</v>
      </c>
      <c r="BG912" s="2"/>
      <c r="BH912" s="2"/>
      <c r="BI912" s="2"/>
      <c r="BJ912" s="2">
        <v>241</v>
      </c>
      <c r="BK912" s="2" t="s">
        <v>82</v>
      </c>
      <c r="BL912" s="2"/>
      <c r="BM912" s="2">
        <v>241</v>
      </c>
      <c r="BN912" s="2" t="s">
        <v>82</v>
      </c>
      <c r="BO912" s="2"/>
      <c r="BP912" s="2">
        <v>241</v>
      </c>
      <c r="BQ912" s="2" t="s">
        <v>82</v>
      </c>
      <c r="BR912" s="2"/>
      <c r="BS912" s="3">
        <v>40248</v>
      </c>
      <c r="BT912" s="4">
        <v>0.59393518518518518</v>
      </c>
    </row>
    <row r="913" spans="1:72" x14ac:dyDescent="0.25">
      <c r="A913" s="2">
        <v>1429</v>
      </c>
      <c r="B913" s="2">
        <v>2010</v>
      </c>
      <c r="C913" s="2" t="s">
        <v>72</v>
      </c>
      <c r="D913" s="2" t="s">
        <v>73</v>
      </c>
      <c r="E913" s="2"/>
      <c r="F913" s="2">
        <v>70</v>
      </c>
      <c r="G913" s="2" t="s">
        <v>3539</v>
      </c>
      <c r="H913" s="2">
        <v>1</v>
      </c>
      <c r="I913" s="2" t="s">
        <v>82</v>
      </c>
      <c r="J913" s="2">
        <v>83</v>
      </c>
      <c r="K913" s="2" t="s">
        <v>3540</v>
      </c>
      <c r="L913" s="2" t="s">
        <v>3541</v>
      </c>
      <c r="M913" s="3">
        <v>40248</v>
      </c>
      <c r="N913" s="2" t="s">
        <v>3542</v>
      </c>
      <c r="O913" s="2" t="s">
        <v>3543</v>
      </c>
      <c r="P913" s="2" t="s">
        <v>107</v>
      </c>
      <c r="Q913" s="2" t="str">
        <f>"01/10"</f>
        <v>01/10</v>
      </c>
      <c r="R913" s="2" t="s">
        <v>3543</v>
      </c>
      <c r="S913" s="2" t="s">
        <v>3543</v>
      </c>
      <c r="T913" s="2">
        <v>1</v>
      </c>
      <c r="U913" s="2" t="s">
        <v>79</v>
      </c>
      <c r="V913" s="2">
        <v>1</v>
      </c>
      <c r="W913" s="2" t="s">
        <v>80</v>
      </c>
      <c r="X913" s="2">
        <v>5</v>
      </c>
      <c r="Y913" s="2" t="s">
        <v>82</v>
      </c>
      <c r="Z913" s="2">
        <v>11</v>
      </c>
      <c r="AA913" s="2" t="s">
        <v>859</v>
      </c>
      <c r="AB913" s="2">
        <v>6</v>
      </c>
      <c r="AC913" s="2" t="s">
        <v>83</v>
      </c>
      <c r="AD913" s="2"/>
      <c r="AE913" s="2"/>
      <c r="AF913" s="3">
        <v>40248</v>
      </c>
      <c r="AG913" s="4">
        <v>0.39583333333333331</v>
      </c>
      <c r="AH913" s="2">
        <v>3</v>
      </c>
      <c r="AI913" s="2" t="s">
        <v>214</v>
      </c>
      <c r="AJ913" s="2">
        <v>21</v>
      </c>
      <c r="AK913" s="2" t="s">
        <v>3544</v>
      </c>
      <c r="AL913" s="2">
        <v>9</v>
      </c>
      <c r="AM913" s="2" t="s">
        <v>259</v>
      </c>
      <c r="AN913" s="2" t="s">
        <v>3545</v>
      </c>
      <c r="AO913" s="2" t="s">
        <v>3546</v>
      </c>
      <c r="AP913" s="2">
        <v>11</v>
      </c>
      <c r="AQ913" s="2" t="s">
        <v>82</v>
      </c>
      <c r="AR913" s="2"/>
      <c r="AS913" s="2"/>
      <c r="AT913" s="2" t="s">
        <v>3547</v>
      </c>
      <c r="AU913" s="2"/>
      <c r="AV913" s="2"/>
      <c r="AW913" s="2"/>
      <c r="AX913" s="2"/>
      <c r="AY913" s="2">
        <v>42</v>
      </c>
      <c r="AZ913" s="2" t="s">
        <v>182</v>
      </c>
      <c r="BA913" s="2">
        <v>77</v>
      </c>
      <c r="BB913" s="2" t="s">
        <v>3158</v>
      </c>
      <c r="BC913" s="2">
        <v>77</v>
      </c>
      <c r="BD913" s="2" t="s">
        <v>3158</v>
      </c>
      <c r="BE913" s="2">
        <v>41</v>
      </c>
      <c r="BF913" s="2" t="s">
        <v>82</v>
      </c>
      <c r="BG913" s="2"/>
      <c r="BH913" s="2"/>
      <c r="BI913" s="2"/>
      <c r="BJ913" s="2">
        <v>241</v>
      </c>
      <c r="BK913" s="2" t="s">
        <v>82</v>
      </c>
      <c r="BL913" s="2"/>
      <c r="BM913" s="2">
        <v>241</v>
      </c>
      <c r="BN913" s="2" t="s">
        <v>82</v>
      </c>
      <c r="BO913" s="2"/>
      <c r="BP913" s="2">
        <v>241</v>
      </c>
      <c r="BQ913" s="2" t="s">
        <v>82</v>
      </c>
      <c r="BR913" s="2"/>
      <c r="BS913" s="3">
        <v>40248</v>
      </c>
      <c r="BT913" s="4">
        <v>0.60612268518518519</v>
      </c>
    </row>
    <row r="914" spans="1:72" x14ac:dyDescent="0.25">
      <c r="A914" s="2">
        <v>1430</v>
      </c>
      <c r="B914" s="2">
        <v>2010</v>
      </c>
      <c r="C914" s="2" t="s">
        <v>72</v>
      </c>
      <c r="D914" s="2" t="s">
        <v>73</v>
      </c>
      <c r="E914" s="2"/>
      <c r="F914" s="2">
        <v>390</v>
      </c>
      <c r="G914" s="2" t="s">
        <v>475</v>
      </c>
      <c r="H914" s="2">
        <v>5</v>
      </c>
      <c r="I914" s="2" t="s">
        <v>634</v>
      </c>
      <c r="J914" s="2">
        <v>314</v>
      </c>
      <c r="K914" s="2" t="s">
        <v>477</v>
      </c>
      <c r="L914" s="2" t="s">
        <v>478</v>
      </c>
      <c r="M914" s="3">
        <v>40248</v>
      </c>
      <c r="N914" s="2" t="s">
        <v>3103</v>
      </c>
      <c r="O914" s="2" t="s">
        <v>107</v>
      </c>
      <c r="P914" s="2" t="s">
        <v>107</v>
      </c>
      <c r="Q914" s="2" t="str">
        <f>"132-E/10"</f>
        <v>132-E/10</v>
      </c>
      <c r="R914" s="2" t="s">
        <v>107</v>
      </c>
      <c r="S914" s="2" t="s">
        <v>116</v>
      </c>
      <c r="T914" s="2">
        <v>1</v>
      </c>
      <c r="U914" s="2" t="s">
        <v>79</v>
      </c>
      <c r="V914" s="2">
        <v>1</v>
      </c>
      <c r="W914" s="2" t="s">
        <v>80</v>
      </c>
      <c r="X914" s="2">
        <v>1</v>
      </c>
      <c r="Y914" s="2" t="s">
        <v>81</v>
      </c>
      <c r="Z914" s="2">
        <v>1</v>
      </c>
      <c r="AA914" s="2" t="s">
        <v>82</v>
      </c>
      <c r="AB914" s="2">
        <v>6</v>
      </c>
      <c r="AC914" s="2" t="s">
        <v>83</v>
      </c>
      <c r="AD914" s="3">
        <v>40248</v>
      </c>
      <c r="AE914" s="4">
        <v>0.29166666666666669</v>
      </c>
      <c r="AF914" s="3">
        <v>40248</v>
      </c>
      <c r="AG914" s="4">
        <v>0.35416666666666669</v>
      </c>
      <c r="AH914" s="2">
        <v>2</v>
      </c>
      <c r="AI914" s="2" t="s">
        <v>84</v>
      </c>
      <c r="AJ914" s="2">
        <v>9</v>
      </c>
      <c r="AK914" s="2" t="s">
        <v>103</v>
      </c>
      <c r="AL914" s="2">
        <v>14</v>
      </c>
      <c r="AM914" s="2" t="s">
        <v>216</v>
      </c>
      <c r="AN914" s="2" t="s">
        <v>3548</v>
      </c>
      <c r="AO914" s="2" t="s">
        <v>82</v>
      </c>
      <c r="AP914" s="2">
        <v>11</v>
      </c>
      <c r="AQ914" s="2" t="s">
        <v>82</v>
      </c>
      <c r="AR914" s="2"/>
      <c r="AS914" s="2"/>
      <c r="AT914" s="2" t="s">
        <v>3549</v>
      </c>
      <c r="AU914" s="2"/>
      <c r="AV914" s="2"/>
      <c r="AW914" s="2"/>
      <c r="AX914" s="2"/>
      <c r="AY914" s="2">
        <v>69</v>
      </c>
      <c r="AZ914" s="2" t="s">
        <v>483</v>
      </c>
      <c r="BA914" s="2">
        <v>69</v>
      </c>
      <c r="BB914" s="2" t="s">
        <v>483</v>
      </c>
      <c r="BC914" s="2">
        <v>41</v>
      </c>
      <c r="BD914" s="2" t="s">
        <v>82</v>
      </c>
      <c r="BE914" s="2">
        <v>41</v>
      </c>
      <c r="BF914" s="2" t="s">
        <v>82</v>
      </c>
      <c r="BG914" s="2"/>
      <c r="BH914" s="2"/>
      <c r="BI914" s="2"/>
      <c r="BJ914" s="2">
        <v>241</v>
      </c>
      <c r="BK914" s="2" t="s">
        <v>82</v>
      </c>
      <c r="BL914" s="2"/>
      <c r="BM914" s="2">
        <v>241</v>
      </c>
      <c r="BN914" s="2" t="s">
        <v>82</v>
      </c>
      <c r="BO914" s="2"/>
      <c r="BP914" s="2">
        <v>241</v>
      </c>
      <c r="BQ914" s="2" t="s">
        <v>82</v>
      </c>
      <c r="BR914" s="2"/>
      <c r="BS914" s="3">
        <v>40248</v>
      </c>
      <c r="BT914" s="4">
        <v>0.62859953703703708</v>
      </c>
    </row>
    <row r="915" spans="1:72" x14ac:dyDescent="0.25">
      <c r="A915" s="2">
        <v>1431</v>
      </c>
      <c r="B915" s="2">
        <v>2010</v>
      </c>
      <c r="C915" s="2" t="s">
        <v>409</v>
      </c>
      <c r="D915" s="2" t="s">
        <v>122</v>
      </c>
      <c r="E915" s="2"/>
      <c r="F915" s="2">
        <v>385</v>
      </c>
      <c r="G915" s="2" t="s">
        <v>990</v>
      </c>
      <c r="H915" s="2">
        <v>3</v>
      </c>
      <c r="I915" s="2" t="s">
        <v>315</v>
      </c>
      <c r="J915" s="2">
        <v>332</v>
      </c>
      <c r="K915" s="2" t="s">
        <v>913</v>
      </c>
      <c r="L915" s="2" t="s">
        <v>914</v>
      </c>
      <c r="M915" s="3">
        <v>40248</v>
      </c>
      <c r="N915" s="2" t="s">
        <v>3550</v>
      </c>
      <c r="O915" s="2" t="s">
        <v>3551</v>
      </c>
      <c r="P915" s="2" t="s">
        <v>3552</v>
      </c>
      <c r="Q915" s="2" t="str">
        <f>"002/10"</f>
        <v>002/10</v>
      </c>
      <c r="R915" s="2" t="s">
        <v>3553</v>
      </c>
      <c r="S915" s="2" t="s">
        <v>82</v>
      </c>
      <c r="T915" s="2">
        <v>1</v>
      </c>
      <c r="U915" s="2" t="s">
        <v>79</v>
      </c>
      <c r="V915" s="2">
        <v>1</v>
      </c>
      <c r="W915" s="2" t="s">
        <v>80</v>
      </c>
      <c r="X915" s="2">
        <v>5</v>
      </c>
      <c r="Y915" s="2" t="s">
        <v>82</v>
      </c>
      <c r="Z915" s="2">
        <v>10</v>
      </c>
      <c r="AA915" s="2" t="s">
        <v>236</v>
      </c>
      <c r="AB915" s="2">
        <v>9</v>
      </c>
      <c r="AC915" s="2" t="s">
        <v>124</v>
      </c>
      <c r="AD915" s="3">
        <v>40248</v>
      </c>
      <c r="AE915" s="4">
        <v>0.58333333333333337</v>
      </c>
      <c r="AF915" s="2"/>
      <c r="AG915" s="2"/>
      <c r="AH915" s="2">
        <v>5</v>
      </c>
      <c r="AI915" s="2" t="s">
        <v>274</v>
      </c>
      <c r="AJ915" s="2">
        <v>34</v>
      </c>
      <c r="AK915" s="2" t="s">
        <v>274</v>
      </c>
      <c r="AL915" s="2">
        <v>18</v>
      </c>
      <c r="AM915" s="2" t="s">
        <v>82</v>
      </c>
      <c r="AN915" s="2"/>
      <c r="AO915" s="2"/>
      <c r="AP915" s="2">
        <v>11</v>
      </c>
      <c r="AQ915" s="2" t="s">
        <v>82</v>
      </c>
      <c r="AR915" s="2"/>
      <c r="AS915" s="2"/>
      <c r="AT915" s="2" t="s">
        <v>3554</v>
      </c>
      <c r="AU915" s="2"/>
      <c r="AV915" s="2"/>
      <c r="AW915" s="2"/>
      <c r="AX915" s="2"/>
      <c r="AY915" s="2">
        <v>1</v>
      </c>
      <c r="AZ915" s="2" t="s">
        <v>107</v>
      </c>
      <c r="BA915" s="2">
        <v>1</v>
      </c>
      <c r="BB915" s="2" t="s">
        <v>107</v>
      </c>
      <c r="BC915" s="2">
        <v>1</v>
      </c>
      <c r="BD915" s="2" t="s">
        <v>107</v>
      </c>
      <c r="BE915" s="2">
        <v>1</v>
      </c>
      <c r="BF915" s="2" t="s">
        <v>107</v>
      </c>
      <c r="BG915" s="2"/>
      <c r="BH915" s="2"/>
      <c r="BI915" s="2"/>
      <c r="BJ915" s="2">
        <v>242</v>
      </c>
      <c r="BK915" s="2" t="s">
        <v>107</v>
      </c>
      <c r="BL915" s="2"/>
      <c r="BM915" s="2">
        <v>242</v>
      </c>
      <c r="BN915" s="2" t="s">
        <v>107</v>
      </c>
      <c r="BO915" s="2"/>
      <c r="BP915" s="2">
        <v>242</v>
      </c>
      <c r="BQ915" s="2" t="s">
        <v>107</v>
      </c>
      <c r="BR915" s="2"/>
      <c r="BS915" s="3">
        <v>40248</v>
      </c>
      <c r="BT915" s="4">
        <v>0.63435185185185183</v>
      </c>
    </row>
    <row r="916" spans="1:72" x14ac:dyDescent="0.25">
      <c r="A916" s="2">
        <v>1435</v>
      </c>
      <c r="B916" s="2">
        <v>2010</v>
      </c>
      <c r="C916" s="2" t="s">
        <v>72</v>
      </c>
      <c r="D916" s="2" t="s">
        <v>73</v>
      </c>
      <c r="E916" s="2"/>
      <c r="F916" s="2">
        <v>499</v>
      </c>
      <c r="G916" s="2" t="s">
        <v>2177</v>
      </c>
      <c r="H916" s="2">
        <v>4</v>
      </c>
      <c r="I916" s="2" t="s">
        <v>173</v>
      </c>
      <c r="J916" s="2">
        <v>19</v>
      </c>
      <c r="K916" s="2" t="s">
        <v>2144</v>
      </c>
      <c r="L916" s="2" t="s">
        <v>2145</v>
      </c>
      <c r="M916" s="3">
        <v>40248</v>
      </c>
      <c r="N916" s="2" t="s">
        <v>3555</v>
      </c>
      <c r="O916" s="2" t="s">
        <v>107</v>
      </c>
      <c r="P916" s="2" t="s">
        <v>107</v>
      </c>
      <c r="Q916" s="2" t="str">
        <f>"012/10"</f>
        <v>012/10</v>
      </c>
      <c r="R916" s="2" t="s">
        <v>116</v>
      </c>
      <c r="S916" s="2" t="s">
        <v>116</v>
      </c>
      <c r="T916" s="2">
        <v>1</v>
      </c>
      <c r="U916" s="2" t="s">
        <v>79</v>
      </c>
      <c r="V916" s="2">
        <v>1</v>
      </c>
      <c r="W916" s="2" t="s">
        <v>80</v>
      </c>
      <c r="X916" s="2">
        <v>1</v>
      </c>
      <c r="Y916" s="2" t="s">
        <v>81</v>
      </c>
      <c r="Z916" s="2">
        <v>1</v>
      </c>
      <c r="AA916" s="2" t="s">
        <v>82</v>
      </c>
      <c r="AB916" s="2">
        <v>6</v>
      </c>
      <c r="AC916" s="2" t="s">
        <v>83</v>
      </c>
      <c r="AD916" s="3">
        <v>40245</v>
      </c>
      <c r="AE916" s="4">
        <v>0.42708333333333331</v>
      </c>
      <c r="AF916" s="3">
        <v>40248</v>
      </c>
      <c r="AG916" s="4">
        <v>0.61111111111111105</v>
      </c>
      <c r="AH916" s="2">
        <v>3</v>
      </c>
      <c r="AI916" s="2" t="s">
        <v>214</v>
      </c>
      <c r="AJ916" s="2">
        <v>24</v>
      </c>
      <c r="AK916" s="2" t="s">
        <v>215</v>
      </c>
      <c r="AL916" s="2">
        <v>2</v>
      </c>
      <c r="AM916" s="2" t="s">
        <v>163</v>
      </c>
      <c r="AN916" s="2"/>
      <c r="AO916" s="2" t="s">
        <v>3556</v>
      </c>
      <c r="AP916" s="2">
        <v>11</v>
      </c>
      <c r="AQ916" s="2" t="s">
        <v>82</v>
      </c>
      <c r="AR916" s="2" t="s">
        <v>82</v>
      </c>
      <c r="AS916" s="2" t="s">
        <v>82</v>
      </c>
      <c r="AT916" s="2" t="s">
        <v>3557</v>
      </c>
      <c r="AU916" s="2"/>
      <c r="AV916" s="2"/>
      <c r="AW916" s="2"/>
      <c r="AX916" s="2"/>
      <c r="AY916" s="2">
        <v>41</v>
      </c>
      <c r="AZ916" s="2" t="s">
        <v>82</v>
      </c>
      <c r="BA916" s="2">
        <v>41</v>
      </c>
      <c r="BB916" s="2" t="s">
        <v>82</v>
      </c>
      <c r="BC916" s="2">
        <v>41</v>
      </c>
      <c r="BD916" s="2" t="s">
        <v>82</v>
      </c>
      <c r="BE916" s="2">
        <v>48</v>
      </c>
      <c r="BF916" s="2" t="s">
        <v>1123</v>
      </c>
      <c r="BG916" s="2" t="s">
        <v>3558</v>
      </c>
      <c r="BH916" s="4">
        <v>0.45833333333333331</v>
      </c>
      <c r="BI916" s="4">
        <v>0.42708333333333331</v>
      </c>
      <c r="BJ916" s="2">
        <v>13</v>
      </c>
      <c r="BK916" s="2" t="s">
        <v>91</v>
      </c>
      <c r="BL916" s="2" t="s">
        <v>169</v>
      </c>
      <c r="BM916" s="2">
        <v>13</v>
      </c>
      <c r="BN916" s="2" t="s">
        <v>91</v>
      </c>
      <c r="BO916" s="2" t="s">
        <v>82</v>
      </c>
      <c r="BP916" s="2">
        <v>13</v>
      </c>
      <c r="BQ916" s="2" t="s">
        <v>91</v>
      </c>
      <c r="BR916" s="2" t="s">
        <v>828</v>
      </c>
      <c r="BS916" s="3">
        <v>40248</v>
      </c>
      <c r="BT916" s="4">
        <v>0.69600694444444444</v>
      </c>
    </row>
    <row r="917" spans="1:72" x14ac:dyDescent="0.25">
      <c r="A917" s="2">
        <v>1436</v>
      </c>
      <c r="B917" s="2">
        <v>2010</v>
      </c>
      <c r="C917" s="2" t="s">
        <v>72</v>
      </c>
      <c r="D917" s="2" t="s">
        <v>73</v>
      </c>
      <c r="E917" s="2"/>
      <c r="F917" s="2">
        <v>528</v>
      </c>
      <c r="G917" s="2" t="s">
        <v>3269</v>
      </c>
      <c r="H917" s="2">
        <v>65</v>
      </c>
      <c r="I917" s="2" t="s">
        <v>3147</v>
      </c>
      <c r="J917" s="2">
        <v>458</v>
      </c>
      <c r="K917" s="2" t="s">
        <v>3270</v>
      </c>
      <c r="L917" s="2" t="s">
        <v>3271</v>
      </c>
      <c r="M917" s="3">
        <v>40248</v>
      </c>
      <c r="N917" s="2" t="s">
        <v>3149</v>
      </c>
      <c r="O917" s="2" t="s">
        <v>107</v>
      </c>
      <c r="P917" s="2" t="s">
        <v>107</v>
      </c>
      <c r="Q917" s="2" t="str">
        <f>"090-A/10"</f>
        <v>090-A/10</v>
      </c>
      <c r="R917" s="2" t="s">
        <v>107</v>
      </c>
      <c r="S917" s="2" t="s">
        <v>1547</v>
      </c>
      <c r="T917" s="2">
        <v>1</v>
      </c>
      <c r="U917" s="2" t="s">
        <v>79</v>
      </c>
      <c r="V917" s="2">
        <v>1</v>
      </c>
      <c r="W917" s="2" t="s">
        <v>80</v>
      </c>
      <c r="X917" s="2">
        <v>1</v>
      </c>
      <c r="Y917" s="2" t="s">
        <v>81</v>
      </c>
      <c r="Z917" s="2">
        <v>1</v>
      </c>
      <c r="AA917" s="2" t="s">
        <v>82</v>
      </c>
      <c r="AB917" s="2">
        <v>6</v>
      </c>
      <c r="AC917" s="2" t="s">
        <v>83</v>
      </c>
      <c r="AD917" s="3">
        <v>40248</v>
      </c>
      <c r="AE917" s="4">
        <v>0.14583333333333334</v>
      </c>
      <c r="AF917" s="3">
        <v>40248</v>
      </c>
      <c r="AG917" s="4">
        <v>0.5625</v>
      </c>
      <c r="AH917" s="2">
        <v>2</v>
      </c>
      <c r="AI917" s="2" t="s">
        <v>84</v>
      </c>
      <c r="AJ917" s="2">
        <v>12</v>
      </c>
      <c r="AK917" s="2" t="s">
        <v>85</v>
      </c>
      <c r="AL917" s="2">
        <v>12</v>
      </c>
      <c r="AM917" s="2" t="s">
        <v>86</v>
      </c>
      <c r="AN917" s="2" t="s">
        <v>3559</v>
      </c>
      <c r="AO917" s="2" t="s">
        <v>3560</v>
      </c>
      <c r="AP917" s="2">
        <v>11</v>
      </c>
      <c r="AQ917" s="2" t="s">
        <v>82</v>
      </c>
      <c r="AR917" s="2"/>
      <c r="AS917" s="2"/>
      <c r="AT917" s="2" t="s">
        <v>3561</v>
      </c>
      <c r="AU917" s="2"/>
      <c r="AV917" s="2"/>
      <c r="AW917" s="2"/>
      <c r="AX917" s="2"/>
      <c r="AY917" s="2">
        <v>97</v>
      </c>
      <c r="AZ917" s="2" t="s">
        <v>3562</v>
      </c>
      <c r="BA917" s="2">
        <v>97</v>
      </c>
      <c r="BB917" s="2" t="s">
        <v>3562</v>
      </c>
      <c r="BC917" s="2">
        <v>41</v>
      </c>
      <c r="BD917" s="2" t="s">
        <v>82</v>
      </c>
      <c r="BE917" s="2">
        <v>41</v>
      </c>
      <c r="BF917" s="2" t="s">
        <v>82</v>
      </c>
      <c r="BG917" s="2"/>
      <c r="BH917" s="2"/>
      <c r="BI917" s="2"/>
      <c r="BJ917" s="2">
        <v>241</v>
      </c>
      <c r="BK917" s="2" t="s">
        <v>82</v>
      </c>
      <c r="BL917" s="2"/>
      <c r="BM917" s="2">
        <v>241</v>
      </c>
      <c r="BN917" s="2" t="s">
        <v>82</v>
      </c>
      <c r="BO917" s="2"/>
      <c r="BP917" s="2">
        <v>241</v>
      </c>
      <c r="BQ917" s="2" t="s">
        <v>82</v>
      </c>
      <c r="BR917" s="2"/>
      <c r="BS917" s="3">
        <v>40248</v>
      </c>
      <c r="BT917" s="4">
        <v>0.71303240740740748</v>
      </c>
    </row>
    <row r="918" spans="1:72" x14ac:dyDescent="0.25">
      <c r="A918" s="2">
        <v>1437</v>
      </c>
      <c r="B918" s="2">
        <v>2010</v>
      </c>
      <c r="C918" s="2" t="s">
        <v>72</v>
      </c>
      <c r="D918" s="2" t="s">
        <v>73</v>
      </c>
      <c r="E918" s="2"/>
      <c r="F918" s="2">
        <v>390</v>
      </c>
      <c r="G918" s="2" t="s">
        <v>475</v>
      </c>
      <c r="H918" s="2">
        <v>5</v>
      </c>
      <c r="I918" s="2" t="s">
        <v>634</v>
      </c>
      <c r="J918" s="2">
        <v>314</v>
      </c>
      <c r="K918" s="2" t="s">
        <v>477</v>
      </c>
      <c r="L918" s="2" t="s">
        <v>478</v>
      </c>
      <c r="M918" s="3">
        <v>40248</v>
      </c>
      <c r="N918" s="2" t="s">
        <v>3103</v>
      </c>
      <c r="O918" s="2" t="s">
        <v>107</v>
      </c>
      <c r="P918" s="2" t="s">
        <v>107</v>
      </c>
      <c r="Q918" s="2" t="str">
        <f>"133-E/10"</f>
        <v>133-E/10</v>
      </c>
      <c r="R918" s="2" t="s">
        <v>107</v>
      </c>
      <c r="S918" s="2" t="s">
        <v>116</v>
      </c>
      <c r="T918" s="2">
        <v>1</v>
      </c>
      <c r="U918" s="2" t="s">
        <v>79</v>
      </c>
      <c r="V918" s="2">
        <v>1</v>
      </c>
      <c r="W918" s="2" t="s">
        <v>80</v>
      </c>
      <c r="X918" s="2">
        <v>1</v>
      </c>
      <c r="Y918" s="2" t="s">
        <v>81</v>
      </c>
      <c r="Z918" s="2">
        <v>1</v>
      </c>
      <c r="AA918" s="2" t="s">
        <v>82</v>
      </c>
      <c r="AB918" s="2">
        <v>6</v>
      </c>
      <c r="AC918" s="2" t="s">
        <v>83</v>
      </c>
      <c r="AD918" s="3">
        <v>40248</v>
      </c>
      <c r="AE918" s="4">
        <v>0.36458333333333331</v>
      </c>
      <c r="AF918" s="3">
        <v>40248</v>
      </c>
      <c r="AG918" s="4">
        <v>0.54166666666666663</v>
      </c>
      <c r="AH918" s="2">
        <v>2</v>
      </c>
      <c r="AI918" s="2" t="s">
        <v>84</v>
      </c>
      <c r="AJ918" s="2">
        <v>9</v>
      </c>
      <c r="AK918" s="2" t="s">
        <v>103</v>
      </c>
      <c r="AL918" s="2">
        <v>14</v>
      </c>
      <c r="AM918" s="2" t="s">
        <v>216</v>
      </c>
      <c r="AN918" s="2" t="s">
        <v>3563</v>
      </c>
      <c r="AO918" s="2" t="s">
        <v>82</v>
      </c>
      <c r="AP918" s="2">
        <v>11</v>
      </c>
      <c r="AQ918" s="2" t="s">
        <v>82</v>
      </c>
      <c r="AR918" s="2"/>
      <c r="AS918" s="2"/>
      <c r="AT918" s="2" t="s">
        <v>3564</v>
      </c>
      <c r="AU918" s="2"/>
      <c r="AV918" s="2"/>
      <c r="AW918" s="2"/>
      <c r="AX918" s="2"/>
      <c r="AY918" s="2">
        <v>69</v>
      </c>
      <c r="AZ918" s="2" t="s">
        <v>483</v>
      </c>
      <c r="BA918" s="2">
        <v>69</v>
      </c>
      <c r="BB918" s="2" t="s">
        <v>483</v>
      </c>
      <c r="BC918" s="2">
        <v>41</v>
      </c>
      <c r="BD918" s="2" t="s">
        <v>82</v>
      </c>
      <c r="BE918" s="2">
        <v>41</v>
      </c>
      <c r="BF918" s="2" t="s">
        <v>82</v>
      </c>
      <c r="BG918" s="2"/>
      <c r="BH918" s="2"/>
      <c r="BI918" s="2"/>
      <c r="BJ918" s="2">
        <v>241</v>
      </c>
      <c r="BK918" s="2" t="s">
        <v>82</v>
      </c>
      <c r="BL918" s="2"/>
      <c r="BM918" s="2">
        <v>241</v>
      </c>
      <c r="BN918" s="2" t="s">
        <v>82</v>
      </c>
      <c r="BO918" s="2"/>
      <c r="BP918" s="2">
        <v>241</v>
      </c>
      <c r="BQ918" s="2" t="s">
        <v>82</v>
      </c>
      <c r="BR918" s="2"/>
      <c r="BS918" s="3">
        <v>40248</v>
      </c>
      <c r="BT918" s="4">
        <v>0.83586805555555566</v>
      </c>
    </row>
    <row r="919" spans="1:72" x14ac:dyDescent="0.25">
      <c r="A919" s="2">
        <v>1439</v>
      </c>
      <c r="B919" s="2">
        <v>2010</v>
      </c>
      <c r="C919" s="2" t="s">
        <v>819</v>
      </c>
      <c r="D919" s="2" t="s">
        <v>122</v>
      </c>
      <c r="E919" s="2"/>
      <c r="F919" s="2">
        <v>451</v>
      </c>
      <c r="G919" s="2" t="s">
        <v>879</v>
      </c>
      <c r="H919" s="2">
        <v>31</v>
      </c>
      <c r="I919" s="2" t="s">
        <v>880</v>
      </c>
      <c r="J919" s="2">
        <v>326</v>
      </c>
      <c r="K919" s="2" t="s">
        <v>881</v>
      </c>
      <c r="L919" s="2" t="s">
        <v>882</v>
      </c>
      <c r="M919" s="3">
        <v>40248</v>
      </c>
      <c r="N919" s="2" t="s">
        <v>1072</v>
      </c>
      <c r="O919" s="2"/>
      <c r="P919" s="2"/>
      <c r="Q919" s="2" t="str">
        <f>"027/10"</f>
        <v>027/10</v>
      </c>
      <c r="R919" s="2"/>
      <c r="S919" s="2" t="s">
        <v>822</v>
      </c>
      <c r="T919" s="2">
        <v>1</v>
      </c>
      <c r="U919" s="2" t="s">
        <v>79</v>
      </c>
      <c r="V919" s="2">
        <v>1</v>
      </c>
      <c r="W919" s="2" t="s">
        <v>80</v>
      </c>
      <c r="X919" s="2">
        <v>1</v>
      </c>
      <c r="Y919" s="2" t="s">
        <v>81</v>
      </c>
      <c r="Z919" s="2">
        <v>10</v>
      </c>
      <c r="AA919" s="2" t="s">
        <v>236</v>
      </c>
      <c r="AB919" s="2">
        <v>9</v>
      </c>
      <c r="AC919" s="2" t="s">
        <v>124</v>
      </c>
      <c r="AD919" s="3">
        <v>40248</v>
      </c>
      <c r="AE919" s="4">
        <v>0.85416666666666663</v>
      </c>
      <c r="AF919" s="2"/>
      <c r="AG919" s="2"/>
      <c r="AH919" s="2">
        <v>4</v>
      </c>
      <c r="AI919" s="2" t="s">
        <v>125</v>
      </c>
      <c r="AJ919" s="2">
        <v>29</v>
      </c>
      <c r="AK919" s="2" t="s">
        <v>227</v>
      </c>
      <c r="AL919" s="2">
        <v>10</v>
      </c>
      <c r="AM919" s="2" t="s">
        <v>200</v>
      </c>
      <c r="AN919" s="2" t="s">
        <v>1015</v>
      </c>
      <c r="AO919" s="2" t="s">
        <v>200</v>
      </c>
      <c r="AP919" s="2">
        <v>12</v>
      </c>
      <c r="AQ919" s="2" t="s">
        <v>322</v>
      </c>
      <c r="AR919" s="2" t="s">
        <v>824</v>
      </c>
      <c r="AS919" s="2" t="s">
        <v>825</v>
      </c>
      <c r="AT919" s="2" t="s">
        <v>3565</v>
      </c>
      <c r="AU919" s="2"/>
      <c r="AV919" s="2"/>
      <c r="AW919" s="2"/>
      <c r="AX919" s="2"/>
      <c r="AY919" s="2">
        <v>41</v>
      </c>
      <c r="AZ919" s="2" t="s">
        <v>82</v>
      </c>
      <c r="BA919" s="2">
        <v>41</v>
      </c>
      <c r="BB919" s="2" t="s">
        <v>82</v>
      </c>
      <c r="BC919" s="2">
        <v>51</v>
      </c>
      <c r="BD919" s="2" t="s">
        <v>827</v>
      </c>
      <c r="BE919" s="2">
        <v>13</v>
      </c>
      <c r="BF919" s="2" t="s">
        <v>108</v>
      </c>
      <c r="BG919" s="2">
        <v>1459</v>
      </c>
      <c r="BH919" s="4">
        <v>0.84375</v>
      </c>
      <c r="BI919" s="4">
        <v>0.88541666666666663</v>
      </c>
      <c r="BJ919" s="2">
        <v>13</v>
      </c>
      <c r="BK919" s="2" t="s">
        <v>91</v>
      </c>
      <c r="BL919" s="2" t="s">
        <v>828</v>
      </c>
      <c r="BM919" s="2">
        <v>241</v>
      </c>
      <c r="BN919" s="2" t="s">
        <v>82</v>
      </c>
      <c r="BO919" s="2" t="s">
        <v>82</v>
      </c>
      <c r="BP919" s="2">
        <v>13</v>
      </c>
      <c r="BQ919" s="2" t="s">
        <v>91</v>
      </c>
      <c r="BR919" s="2" t="s">
        <v>185</v>
      </c>
      <c r="BS919" s="3">
        <v>40248</v>
      </c>
      <c r="BT919" s="4">
        <v>0.88697916666666676</v>
      </c>
    </row>
    <row r="920" spans="1:72" x14ac:dyDescent="0.25">
      <c r="A920" s="2">
        <v>1440</v>
      </c>
      <c r="B920" s="2">
        <v>2010</v>
      </c>
      <c r="C920" s="2" t="s">
        <v>196</v>
      </c>
      <c r="D920" s="2" t="s">
        <v>122</v>
      </c>
      <c r="E920" s="2"/>
      <c r="F920" s="2">
        <v>1</v>
      </c>
      <c r="G920" s="2" t="s">
        <v>82</v>
      </c>
      <c r="H920" s="2">
        <v>1</v>
      </c>
      <c r="I920" s="2" t="s">
        <v>82</v>
      </c>
      <c r="J920" s="2">
        <v>1</v>
      </c>
      <c r="K920" s="2" t="s">
        <v>107</v>
      </c>
      <c r="L920" s="2" t="s">
        <v>107</v>
      </c>
      <c r="M920" s="3">
        <v>40248</v>
      </c>
      <c r="N920" s="2"/>
      <c r="O920" s="2"/>
      <c r="P920" s="2"/>
      <c r="Q920" s="2" t="str">
        <f>""</f>
        <v/>
      </c>
      <c r="R920" s="2"/>
      <c r="S920" s="2"/>
      <c r="T920" s="2">
        <v>2</v>
      </c>
      <c r="U920" s="2" t="s">
        <v>123</v>
      </c>
      <c r="V920" s="2">
        <v>1</v>
      </c>
      <c r="W920" s="2" t="s">
        <v>80</v>
      </c>
      <c r="X920" s="2">
        <v>5</v>
      </c>
      <c r="Y920" s="2" t="s">
        <v>82</v>
      </c>
      <c r="Z920" s="2">
        <v>1</v>
      </c>
      <c r="AA920" s="2" t="s">
        <v>82</v>
      </c>
      <c r="AB920" s="2">
        <v>9</v>
      </c>
      <c r="AC920" s="2" t="s">
        <v>124</v>
      </c>
      <c r="AD920" s="3">
        <v>40248</v>
      </c>
      <c r="AE920" s="4">
        <v>0.86458333333333337</v>
      </c>
      <c r="AF920" s="2"/>
      <c r="AG920" s="2"/>
      <c r="AH920" s="2">
        <v>6</v>
      </c>
      <c r="AI920" s="2" t="s">
        <v>197</v>
      </c>
      <c r="AJ920" s="2">
        <v>59</v>
      </c>
      <c r="AK920" s="2" t="s">
        <v>198</v>
      </c>
      <c r="AL920" s="2">
        <v>18</v>
      </c>
      <c r="AM920" s="2" t="s">
        <v>82</v>
      </c>
      <c r="AN920" s="2" t="s">
        <v>199</v>
      </c>
      <c r="AO920" s="2" t="s">
        <v>230</v>
      </c>
      <c r="AP920" s="2">
        <v>11</v>
      </c>
      <c r="AQ920" s="2" t="s">
        <v>82</v>
      </c>
      <c r="AR920" s="2"/>
      <c r="AS920" s="2"/>
      <c r="AT920" s="2" t="s">
        <v>3566</v>
      </c>
      <c r="AU920" s="2"/>
      <c r="AV920" s="2"/>
      <c r="AW920" s="2"/>
      <c r="AX920" s="2"/>
      <c r="AY920" s="2">
        <v>1</v>
      </c>
      <c r="AZ920" s="2" t="s">
        <v>107</v>
      </c>
      <c r="BA920" s="2">
        <v>1</v>
      </c>
      <c r="BB920" s="2" t="s">
        <v>107</v>
      </c>
      <c r="BC920" s="2">
        <v>1</v>
      </c>
      <c r="BD920" s="2" t="s">
        <v>107</v>
      </c>
      <c r="BE920" s="2">
        <v>1</v>
      </c>
      <c r="BF920" s="2" t="s">
        <v>107</v>
      </c>
      <c r="BG920" s="2"/>
      <c r="BH920" s="4">
        <v>0.86458333333333337</v>
      </c>
      <c r="BI920" s="2"/>
      <c r="BJ920" s="2">
        <v>46</v>
      </c>
      <c r="BK920" s="2" t="s">
        <v>307</v>
      </c>
      <c r="BL920" s="2" t="s">
        <v>308</v>
      </c>
      <c r="BM920" s="2">
        <v>242</v>
      </c>
      <c r="BN920" s="2" t="s">
        <v>107</v>
      </c>
      <c r="BO920" s="2"/>
      <c r="BP920" s="2">
        <v>13</v>
      </c>
      <c r="BQ920" s="2" t="s">
        <v>91</v>
      </c>
      <c r="BR920" s="2" t="s">
        <v>204</v>
      </c>
      <c r="BS920" s="3">
        <v>40248</v>
      </c>
      <c r="BT920" s="4">
        <v>0.89076388888888891</v>
      </c>
    </row>
    <row r="921" spans="1:72" x14ac:dyDescent="0.25">
      <c r="A921" s="2">
        <v>1441</v>
      </c>
      <c r="B921" s="2">
        <v>2010</v>
      </c>
      <c r="C921" s="2" t="s">
        <v>128</v>
      </c>
      <c r="D921" s="2" t="s">
        <v>122</v>
      </c>
      <c r="E921" s="2"/>
      <c r="F921" s="2">
        <v>475</v>
      </c>
      <c r="G921" s="2" t="s">
        <v>1271</v>
      </c>
      <c r="H921" s="2">
        <v>38</v>
      </c>
      <c r="I921" s="2" t="s">
        <v>1272</v>
      </c>
      <c r="J921" s="2">
        <v>385</v>
      </c>
      <c r="K921" s="2" t="s">
        <v>1314</v>
      </c>
      <c r="L921" s="2" t="s">
        <v>1315</v>
      </c>
      <c r="M921" s="3">
        <v>40248</v>
      </c>
      <c r="N921" s="2" t="s">
        <v>3567</v>
      </c>
      <c r="O921" s="2" t="s">
        <v>82</v>
      </c>
      <c r="P921" s="2" t="s">
        <v>82</v>
      </c>
      <c r="Q921" s="2" t="str">
        <f>"12/10"</f>
        <v>12/10</v>
      </c>
      <c r="R921" s="2" t="s">
        <v>3568</v>
      </c>
      <c r="S921" s="2" t="s">
        <v>3569</v>
      </c>
      <c r="T921" s="2">
        <v>1</v>
      </c>
      <c r="U921" s="2" t="s">
        <v>79</v>
      </c>
      <c r="V921" s="2">
        <v>1</v>
      </c>
      <c r="W921" s="2" t="s">
        <v>80</v>
      </c>
      <c r="X921" s="2">
        <v>1</v>
      </c>
      <c r="Y921" s="2" t="s">
        <v>81</v>
      </c>
      <c r="Z921" s="2">
        <v>10</v>
      </c>
      <c r="AA921" s="2" t="s">
        <v>236</v>
      </c>
      <c r="AB921" s="2">
        <v>9</v>
      </c>
      <c r="AC921" s="2" t="s">
        <v>124</v>
      </c>
      <c r="AD921" s="3">
        <v>40248</v>
      </c>
      <c r="AE921" s="4">
        <v>0.79166666666666663</v>
      </c>
      <c r="AF921" s="2"/>
      <c r="AG921" s="2"/>
      <c r="AH921" s="2">
        <v>5</v>
      </c>
      <c r="AI921" s="2" t="s">
        <v>274</v>
      </c>
      <c r="AJ921" s="2">
        <v>42</v>
      </c>
      <c r="AK921" s="2" t="s">
        <v>660</v>
      </c>
      <c r="AL921" s="2">
        <v>11</v>
      </c>
      <c r="AM921" s="2" t="s">
        <v>137</v>
      </c>
      <c r="AN921" s="2" t="s">
        <v>82</v>
      </c>
      <c r="AO921" s="2" t="s">
        <v>82</v>
      </c>
      <c r="AP921" s="2">
        <v>5</v>
      </c>
      <c r="AQ921" s="2" t="s">
        <v>827</v>
      </c>
      <c r="AR921" s="2" t="s">
        <v>82</v>
      </c>
      <c r="AS921" s="2" t="s">
        <v>82</v>
      </c>
      <c r="AT921" s="2" t="s">
        <v>3570</v>
      </c>
      <c r="AU921" s="2"/>
      <c r="AV921" s="2"/>
      <c r="AW921" s="2"/>
      <c r="AX921" s="2"/>
      <c r="AY921" s="2">
        <v>41</v>
      </c>
      <c r="AZ921" s="2" t="s">
        <v>82</v>
      </c>
      <c r="BA921" s="2">
        <v>41</v>
      </c>
      <c r="BB921" s="2" t="s">
        <v>82</v>
      </c>
      <c r="BC921" s="2">
        <v>41</v>
      </c>
      <c r="BD921" s="2" t="s">
        <v>82</v>
      </c>
      <c r="BE921" s="2">
        <v>47</v>
      </c>
      <c r="BF921" s="2" t="s">
        <v>167</v>
      </c>
      <c r="BG921" s="2">
        <v>2787</v>
      </c>
      <c r="BH921" s="4">
        <v>0.83333333333333337</v>
      </c>
      <c r="BI921" s="4">
        <v>0.875</v>
      </c>
      <c r="BJ921" s="2">
        <v>13</v>
      </c>
      <c r="BK921" s="2" t="s">
        <v>91</v>
      </c>
      <c r="BL921" s="2" t="s">
        <v>185</v>
      </c>
      <c r="BM921" s="2">
        <v>13</v>
      </c>
      <c r="BN921" s="2" t="s">
        <v>91</v>
      </c>
      <c r="BO921" s="2" t="s">
        <v>1958</v>
      </c>
      <c r="BP921" s="2">
        <v>13</v>
      </c>
      <c r="BQ921" s="2" t="s">
        <v>91</v>
      </c>
      <c r="BR921" s="2" t="s">
        <v>185</v>
      </c>
      <c r="BS921" s="3">
        <v>40248</v>
      </c>
      <c r="BT921" s="4">
        <v>0.95804398148148151</v>
      </c>
    </row>
    <row r="922" spans="1:72" x14ac:dyDescent="0.25">
      <c r="A922" s="2">
        <v>1442</v>
      </c>
      <c r="B922" s="2">
        <v>2010</v>
      </c>
      <c r="C922" s="2" t="s">
        <v>93</v>
      </c>
      <c r="D922" s="2" t="s">
        <v>122</v>
      </c>
      <c r="E922" s="2"/>
      <c r="F922" s="2">
        <v>390</v>
      </c>
      <c r="G922" s="2" t="s">
        <v>475</v>
      </c>
      <c r="H922" s="2">
        <v>5</v>
      </c>
      <c r="I922" s="2" t="s">
        <v>634</v>
      </c>
      <c r="J922" s="2">
        <v>314</v>
      </c>
      <c r="K922" s="2" t="s">
        <v>477</v>
      </c>
      <c r="L922" s="2" t="s">
        <v>478</v>
      </c>
      <c r="M922" s="3">
        <v>40248</v>
      </c>
      <c r="N922" s="2" t="s">
        <v>3103</v>
      </c>
      <c r="O922" s="2" t="s">
        <v>3571</v>
      </c>
      <c r="P922" s="2"/>
      <c r="Q922" s="2" t="str">
        <f>""</f>
        <v/>
      </c>
      <c r="R922" s="2" t="s">
        <v>3572</v>
      </c>
      <c r="S922" s="2" t="s">
        <v>3573</v>
      </c>
      <c r="T922" s="2">
        <v>1</v>
      </c>
      <c r="U922" s="2" t="s">
        <v>79</v>
      </c>
      <c r="V922" s="2">
        <v>1</v>
      </c>
      <c r="W922" s="2" t="s">
        <v>80</v>
      </c>
      <c r="X922" s="2">
        <v>1</v>
      </c>
      <c r="Y922" s="2" t="s">
        <v>81</v>
      </c>
      <c r="Z922" s="2">
        <v>1</v>
      </c>
      <c r="AA922" s="2" t="s">
        <v>82</v>
      </c>
      <c r="AB922" s="2">
        <v>2</v>
      </c>
      <c r="AC922" s="2" t="s">
        <v>102</v>
      </c>
      <c r="AD922" s="3">
        <v>40248</v>
      </c>
      <c r="AE922" s="4">
        <v>0.40277777777777773</v>
      </c>
      <c r="AF922" s="3">
        <v>40248</v>
      </c>
      <c r="AG922" s="4">
        <v>0.54166666666666663</v>
      </c>
      <c r="AH922" s="2">
        <v>2</v>
      </c>
      <c r="AI922" s="2" t="s">
        <v>84</v>
      </c>
      <c r="AJ922" s="2">
        <v>9</v>
      </c>
      <c r="AK922" s="2" t="s">
        <v>103</v>
      </c>
      <c r="AL922" s="2">
        <v>14</v>
      </c>
      <c r="AM922" s="2" t="s">
        <v>216</v>
      </c>
      <c r="AN922" s="2" t="s">
        <v>3574</v>
      </c>
      <c r="AO922" s="2" t="s">
        <v>3575</v>
      </c>
      <c r="AP922" s="2">
        <v>11</v>
      </c>
      <c r="AQ922" s="2" t="s">
        <v>82</v>
      </c>
      <c r="AR922" s="2"/>
      <c r="AS922" s="2"/>
      <c r="AT922" s="2" t="s">
        <v>3576</v>
      </c>
      <c r="AU922" s="2">
        <v>1</v>
      </c>
      <c r="AV922" s="2"/>
      <c r="AW922" s="2"/>
      <c r="AX922" s="2"/>
      <c r="AY922" s="2">
        <v>41</v>
      </c>
      <c r="AZ922" s="2" t="s">
        <v>82</v>
      </c>
      <c r="BA922" s="2">
        <v>41</v>
      </c>
      <c r="BB922" s="2" t="s">
        <v>82</v>
      </c>
      <c r="BC922" s="2">
        <v>41</v>
      </c>
      <c r="BD922" s="2" t="s">
        <v>82</v>
      </c>
      <c r="BE922" s="2">
        <v>39</v>
      </c>
      <c r="BF922" s="2" t="s">
        <v>440</v>
      </c>
      <c r="BG922" s="2" t="s">
        <v>3577</v>
      </c>
      <c r="BH922" s="4">
        <v>0</v>
      </c>
      <c r="BI922" s="4">
        <v>0.45833333333333331</v>
      </c>
      <c r="BJ922" s="2">
        <v>13</v>
      </c>
      <c r="BK922" s="2" t="s">
        <v>91</v>
      </c>
      <c r="BL922" s="2" t="s">
        <v>1084</v>
      </c>
      <c r="BM922" s="2">
        <v>241</v>
      </c>
      <c r="BN922" s="2" t="s">
        <v>82</v>
      </c>
      <c r="BO922" s="2"/>
      <c r="BP922" s="2">
        <v>33</v>
      </c>
      <c r="BQ922" s="2" t="s">
        <v>361</v>
      </c>
      <c r="BR922" s="2" t="s">
        <v>2723</v>
      </c>
      <c r="BS922" s="3">
        <v>40248</v>
      </c>
      <c r="BT922" s="4">
        <v>0.97878472222222224</v>
      </c>
    </row>
    <row r="923" spans="1:72" x14ac:dyDescent="0.25">
      <c r="A923" s="2">
        <v>1443</v>
      </c>
      <c r="B923" s="2">
        <v>2010</v>
      </c>
      <c r="C923" s="2" t="s">
        <v>196</v>
      </c>
      <c r="D923" s="2" t="s">
        <v>122</v>
      </c>
      <c r="E923" s="2"/>
      <c r="F923" s="2">
        <v>1</v>
      </c>
      <c r="G923" s="2" t="s">
        <v>82</v>
      </c>
      <c r="H923" s="2">
        <v>1</v>
      </c>
      <c r="I923" s="2" t="s">
        <v>82</v>
      </c>
      <c r="J923" s="2">
        <v>1</v>
      </c>
      <c r="K923" s="2" t="s">
        <v>107</v>
      </c>
      <c r="L923" s="2" t="s">
        <v>107</v>
      </c>
      <c r="M923" s="3">
        <v>40248</v>
      </c>
      <c r="N923" s="2"/>
      <c r="O923" s="2"/>
      <c r="P923" s="2"/>
      <c r="Q923" s="2" t="str">
        <f>""</f>
        <v/>
      </c>
      <c r="R923" s="2"/>
      <c r="S923" s="2"/>
      <c r="T923" s="2">
        <v>2</v>
      </c>
      <c r="U923" s="2" t="s">
        <v>123</v>
      </c>
      <c r="V923" s="2">
        <v>1</v>
      </c>
      <c r="W923" s="2" t="s">
        <v>80</v>
      </c>
      <c r="X923" s="2">
        <v>5</v>
      </c>
      <c r="Y923" s="2" t="s">
        <v>82</v>
      </c>
      <c r="Z923" s="2">
        <v>1</v>
      </c>
      <c r="AA923" s="2" t="s">
        <v>82</v>
      </c>
      <c r="AB923" s="2">
        <v>9</v>
      </c>
      <c r="AC923" s="2" t="s">
        <v>124</v>
      </c>
      <c r="AD923" s="3">
        <v>40248</v>
      </c>
      <c r="AE923" s="4">
        <v>0.90277777777777779</v>
      </c>
      <c r="AF923" s="2"/>
      <c r="AG923" s="2"/>
      <c r="AH923" s="2">
        <v>6</v>
      </c>
      <c r="AI923" s="2" t="s">
        <v>197</v>
      </c>
      <c r="AJ923" s="2">
        <v>58</v>
      </c>
      <c r="AK923" s="2" t="s">
        <v>406</v>
      </c>
      <c r="AL923" s="2">
        <v>9</v>
      </c>
      <c r="AM923" s="2" t="s">
        <v>259</v>
      </c>
      <c r="AN923" s="2"/>
      <c r="AO923" s="2" t="s">
        <v>3578</v>
      </c>
      <c r="AP923" s="2">
        <v>11</v>
      </c>
      <c r="AQ923" s="2" t="s">
        <v>82</v>
      </c>
      <c r="AR923" s="2"/>
      <c r="AS923" s="2"/>
      <c r="AT923" s="2" t="s">
        <v>3579</v>
      </c>
      <c r="AU923" s="2"/>
      <c r="AV923" s="2"/>
      <c r="AW923" s="2"/>
      <c r="AX923" s="2"/>
      <c r="AY923" s="2">
        <v>1</v>
      </c>
      <c r="AZ923" s="2" t="s">
        <v>107</v>
      </c>
      <c r="BA923" s="2">
        <v>1</v>
      </c>
      <c r="BB923" s="2" t="s">
        <v>107</v>
      </c>
      <c r="BC923" s="2">
        <v>1</v>
      </c>
      <c r="BD923" s="2" t="s">
        <v>107</v>
      </c>
      <c r="BE923" s="2">
        <v>1</v>
      </c>
      <c r="BF923" s="2" t="s">
        <v>107</v>
      </c>
      <c r="BG923" s="2" t="s">
        <v>265</v>
      </c>
      <c r="BH923" s="4">
        <v>0.90277777777777779</v>
      </c>
      <c r="BI923" s="2"/>
      <c r="BJ923" s="2">
        <v>13</v>
      </c>
      <c r="BK923" s="2" t="s">
        <v>91</v>
      </c>
      <c r="BL923" s="2" t="s">
        <v>204</v>
      </c>
      <c r="BM923" s="2">
        <v>13</v>
      </c>
      <c r="BN923" s="2" t="s">
        <v>91</v>
      </c>
      <c r="BO923" s="2" t="s">
        <v>492</v>
      </c>
      <c r="BP923" s="2">
        <v>241</v>
      </c>
      <c r="BQ923" s="2" t="s">
        <v>82</v>
      </c>
      <c r="BR923" s="2" t="s">
        <v>82</v>
      </c>
      <c r="BS923" s="3">
        <v>40248</v>
      </c>
      <c r="BT923" s="4">
        <v>0.98827546296296298</v>
      </c>
    </row>
    <row r="924" spans="1:72" x14ac:dyDescent="0.25">
      <c r="A924" s="2">
        <v>1444</v>
      </c>
      <c r="B924" s="2">
        <v>2010</v>
      </c>
      <c r="C924" s="2" t="s">
        <v>72</v>
      </c>
      <c r="D924" s="2" t="s">
        <v>122</v>
      </c>
      <c r="E924" s="2" t="s">
        <v>3580</v>
      </c>
      <c r="F924" s="2">
        <v>390</v>
      </c>
      <c r="G924" s="2" t="s">
        <v>475</v>
      </c>
      <c r="H924" s="2">
        <v>5</v>
      </c>
      <c r="I924" s="2" t="s">
        <v>634</v>
      </c>
      <c r="J924" s="2">
        <v>314</v>
      </c>
      <c r="K924" s="2" t="s">
        <v>477</v>
      </c>
      <c r="L924" s="2" t="s">
        <v>478</v>
      </c>
      <c r="M924" s="3">
        <v>40249</v>
      </c>
      <c r="N924" s="2" t="s">
        <v>3103</v>
      </c>
      <c r="O924" s="2"/>
      <c r="P924" s="2"/>
      <c r="Q924" s="2" t="str">
        <f>"132-E/10"</f>
        <v>132-E/10</v>
      </c>
      <c r="R924" s="2" t="s">
        <v>116</v>
      </c>
      <c r="S924" s="2"/>
      <c r="T924" s="2">
        <v>1</v>
      </c>
      <c r="U924" s="2" t="s">
        <v>79</v>
      </c>
      <c r="V924" s="2">
        <v>1</v>
      </c>
      <c r="W924" s="2" t="s">
        <v>80</v>
      </c>
      <c r="X924" s="2">
        <v>1</v>
      </c>
      <c r="Y924" s="2" t="s">
        <v>81</v>
      </c>
      <c r="Z924" s="2">
        <v>1</v>
      </c>
      <c r="AA924" s="2" t="s">
        <v>82</v>
      </c>
      <c r="AB924" s="2">
        <v>6</v>
      </c>
      <c r="AC924" s="2" t="s">
        <v>83</v>
      </c>
      <c r="AD924" s="3">
        <v>40248</v>
      </c>
      <c r="AE924" s="4">
        <v>0.29166666666666669</v>
      </c>
      <c r="AF924" s="2"/>
      <c r="AG924" s="2"/>
      <c r="AH924" s="2">
        <v>2</v>
      </c>
      <c r="AI924" s="2" t="s">
        <v>84</v>
      </c>
      <c r="AJ924" s="2">
        <v>9</v>
      </c>
      <c r="AK924" s="2" t="s">
        <v>103</v>
      </c>
      <c r="AL924" s="2">
        <v>14</v>
      </c>
      <c r="AM924" s="2" t="s">
        <v>216</v>
      </c>
      <c r="AN924" s="2" t="s">
        <v>3581</v>
      </c>
      <c r="AO924" s="2"/>
      <c r="AP924" s="2">
        <v>11</v>
      </c>
      <c r="AQ924" s="2" t="s">
        <v>82</v>
      </c>
      <c r="AR924" s="2"/>
      <c r="AS924" s="2"/>
      <c r="AT924" s="2" t="s">
        <v>3582</v>
      </c>
      <c r="AU924" s="2"/>
      <c r="AV924" s="2"/>
      <c r="AW924" s="2"/>
      <c r="AX924" s="2"/>
      <c r="AY924" s="2">
        <v>69</v>
      </c>
      <c r="AZ924" s="2" t="s">
        <v>483</v>
      </c>
      <c r="BA924" s="2">
        <v>69</v>
      </c>
      <c r="BB924" s="2" t="s">
        <v>483</v>
      </c>
      <c r="BC924" s="2">
        <v>41</v>
      </c>
      <c r="BD924" s="2" t="s">
        <v>82</v>
      </c>
      <c r="BE924" s="2">
        <v>16</v>
      </c>
      <c r="BF924" s="2" t="s">
        <v>3583</v>
      </c>
      <c r="BG924" s="2"/>
      <c r="BH924" s="2"/>
      <c r="BI924" s="2"/>
      <c r="BJ924" s="2">
        <v>241</v>
      </c>
      <c r="BK924" s="2" t="s">
        <v>82</v>
      </c>
      <c r="BL924" s="2"/>
      <c r="BM924" s="2">
        <v>241</v>
      </c>
      <c r="BN924" s="2" t="s">
        <v>82</v>
      </c>
      <c r="BO924" s="2"/>
      <c r="BP924" s="2">
        <v>241</v>
      </c>
      <c r="BQ924" s="2" t="s">
        <v>82</v>
      </c>
      <c r="BR924" s="2"/>
      <c r="BS924" s="3">
        <v>40249</v>
      </c>
      <c r="BT924" s="4">
        <v>7.9861111111111105E-4</v>
      </c>
    </row>
    <row r="925" spans="1:72" x14ac:dyDescent="0.25">
      <c r="A925" s="2">
        <v>1445</v>
      </c>
      <c r="B925" s="2">
        <v>2010</v>
      </c>
      <c r="C925" s="2" t="s">
        <v>72</v>
      </c>
      <c r="D925" s="2" t="s">
        <v>122</v>
      </c>
      <c r="E925" s="2" t="s">
        <v>3584</v>
      </c>
      <c r="F925" s="2">
        <v>390</v>
      </c>
      <c r="G925" s="2" t="s">
        <v>475</v>
      </c>
      <c r="H925" s="2">
        <v>5</v>
      </c>
      <c r="I925" s="2" t="s">
        <v>634</v>
      </c>
      <c r="J925" s="2">
        <v>314</v>
      </c>
      <c r="K925" s="2" t="s">
        <v>477</v>
      </c>
      <c r="L925" s="2" t="s">
        <v>478</v>
      </c>
      <c r="M925" s="3">
        <v>40249</v>
      </c>
      <c r="N925" s="2" t="s">
        <v>3103</v>
      </c>
      <c r="O925" s="2"/>
      <c r="P925" s="2"/>
      <c r="Q925" s="2" t="str">
        <f>"133-E/10"</f>
        <v>133-E/10</v>
      </c>
      <c r="R925" s="2" t="s">
        <v>116</v>
      </c>
      <c r="S925" s="2"/>
      <c r="T925" s="2">
        <v>1</v>
      </c>
      <c r="U925" s="2" t="s">
        <v>79</v>
      </c>
      <c r="V925" s="2">
        <v>1</v>
      </c>
      <c r="W925" s="2" t="s">
        <v>80</v>
      </c>
      <c r="X925" s="2">
        <v>1</v>
      </c>
      <c r="Y925" s="2" t="s">
        <v>81</v>
      </c>
      <c r="Z925" s="2">
        <v>1</v>
      </c>
      <c r="AA925" s="2" t="s">
        <v>82</v>
      </c>
      <c r="AB925" s="2">
        <v>6</v>
      </c>
      <c r="AC925" s="2" t="s">
        <v>83</v>
      </c>
      <c r="AD925" s="3">
        <v>40248</v>
      </c>
      <c r="AE925" s="4">
        <v>0.3611111111111111</v>
      </c>
      <c r="AF925" s="3">
        <v>40248</v>
      </c>
      <c r="AG925" s="4">
        <v>0.41666666666666669</v>
      </c>
      <c r="AH925" s="2">
        <v>2</v>
      </c>
      <c r="AI925" s="2" t="s">
        <v>84</v>
      </c>
      <c r="AJ925" s="2">
        <v>9</v>
      </c>
      <c r="AK925" s="2" t="s">
        <v>103</v>
      </c>
      <c r="AL925" s="2">
        <v>14</v>
      </c>
      <c r="AM925" s="2" t="s">
        <v>216</v>
      </c>
      <c r="AN925" s="2" t="s">
        <v>3585</v>
      </c>
      <c r="AO925" s="2"/>
      <c r="AP925" s="2">
        <v>11</v>
      </c>
      <c r="AQ925" s="2" t="s">
        <v>82</v>
      </c>
      <c r="AR925" s="2"/>
      <c r="AS925" s="2"/>
      <c r="AT925" s="2" t="s">
        <v>3586</v>
      </c>
      <c r="AU925" s="2"/>
      <c r="AV925" s="2"/>
      <c r="AW925" s="2"/>
      <c r="AX925" s="2"/>
      <c r="AY925" s="2">
        <v>69</v>
      </c>
      <c r="AZ925" s="2" t="s">
        <v>483</v>
      </c>
      <c r="BA925" s="2">
        <v>69</v>
      </c>
      <c r="BB925" s="2" t="s">
        <v>483</v>
      </c>
      <c r="BC925" s="2">
        <v>41</v>
      </c>
      <c r="BD925" s="2" t="s">
        <v>82</v>
      </c>
      <c r="BE925" s="2">
        <v>41</v>
      </c>
      <c r="BF925" s="2" t="s">
        <v>82</v>
      </c>
      <c r="BG925" s="2"/>
      <c r="BH925" s="2"/>
      <c r="BI925" s="2"/>
      <c r="BJ925" s="2">
        <v>241</v>
      </c>
      <c r="BK925" s="2" t="s">
        <v>82</v>
      </c>
      <c r="BL925" s="2"/>
      <c r="BM925" s="2">
        <v>241</v>
      </c>
      <c r="BN925" s="2" t="s">
        <v>82</v>
      </c>
      <c r="BO925" s="2"/>
      <c r="BP925" s="2">
        <v>241</v>
      </c>
      <c r="BQ925" s="2" t="s">
        <v>82</v>
      </c>
      <c r="BR925" s="2"/>
      <c r="BS925" s="3">
        <v>40249</v>
      </c>
      <c r="BT925" s="4">
        <v>1.7824074074074076E-2</v>
      </c>
    </row>
    <row r="926" spans="1:72" x14ac:dyDescent="0.25">
      <c r="A926" s="2">
        <v>1446</v>
      </c>
      <c r="B926" s="2">
        <v>2010</v>
      </c>
      <c r="C926" s="2" t="s">
        <v>72</v>
      </c>
      <c r="D926" s="2" t="s">
        <v>73</v>
      </c>
      <c r="E926" s="2"/>
      <c r="F926" s="2">
        <v>526</v>
      </c>
      <c r="G926" s="2" t="s">
        <v>3131</v>
      </c>
      <c r="H926" s="2">
        <v>67</v>
      </c>
      <c r="I926" s="2" t="s">
        <v>3132</v>
      </c>
      <c r="J926" s="2">
        <v>183</v>
      </c>
      <c r="K926" s="2" t="s">
        <v>3133</v>
      </c>
      <c r="L926" s="2" t="s">
        <v>3134</v>
      </c>
      <c r="M926" s="3">
        <v>40249</v>
      </c>
      <c r="N926" s="2" t="s">
        <v>3135</v>
      </c>
      <c r="O926" s="2" t="s">
        <v>107</v>
      </c>
      <c r="P926" s="2" t="s">
        <v>107</v>
      </c>
      <c r="Q926" s="2" t="str">
        <f>"091-A /10"</f>
        <v>091-A /10</v>
      </c>
      <c r="R926" s="2" t="s">
        <v>107</v>
      </c>
      <c r="S926" s="2" t="s">
        <v>78</v>
      </c>
      <c r="T926" s="2">
        <v>1</v>
      </c>
      <c r="U926" s="2" t="s">
        <v>79</v>
      </c>
      <c r="V926" s="2">
        <v>1</v>
      </c>
      <c r="W926" s="2" t="s">
        <v>80</v>
      </c>
      <c r="X926" s="2">
        <v>1</v>
      </c>
      <c r="Y926" s="2" t="s">
        <v>81</v>
      </c>
      <c r="Z926" s="2">
        <v>1</v>
      </c>
      <c r="AA926" s="2" t="s">
        <v>82</v>
      </c>
      <c r="AB926" s="2">
        <v>6</v>
      </c>
      <c r="AC926" s="2" t="s">
        <v>83</v>
      </c>
      <c r="AD926" s="3">
        <v>40249</v>
      </c>
      <c r="AE926" s="4">
        <v>6.25E-2</v>
      </c>
      <c r="AF926" s="3">
        <v>40249</v>
      </c>
      <c r="AG926" s="4">
        <v>0.10069444444444443</v>
      </c>
      <c r="AH926" s="2">
        <v>2</v>
      </c>
      <c r="AI926" s="2" t="s">
        <v>84</v>
      </c>
      <c r="AJ926" s="2">
        <v>12</v>
      </c>
      <c r="AK926" s="2" t="s">
        <v>85</v>
      </c>
      <c r="AL926" s="2">
        <v>5</v>
      </c>
      <c r="AM926" s="2" t="s">
        <v>193</v>
      </c>
      <c r="AN926" s="2" t="s">
        <v>3587</v>
      </c>
      <c r="AO926" s="2" t="s">
        <v>82</v>
      </c>
      <c r="AP926" s="2">
        <v>11</v>
      </c>
      <c r="AQ926" s="2" t="s">
        <v>82</v>
      </c>
      <c r="AR926" s="2" t="s">
        <v>82</v>
      </c>
      <c r="AS926" s="2" t="s">
        <v>82</v>
      </c>
      <c r="AT926" s="2" t="s">
        <v>3588</v>
      </c>
      <c r="AU926" s="2"/>
      <c r="AV926" s="2"/>
      <c r="AW926" s="2"/>
      <c r="AX926" s="2"/>
      <c r="AY926" s="2">
        <v>41</v>
      </c>
      <c r="AZ926" s="2" t="s">
        <v>82</v>
      </c>
      <c r="BA926" s="2">
        <v>41</v>
      </c>
      <c r="BB926" s="2" t="s">
        <v>82</v>
      </c>
      <c r="BC926" s="2">
        <v>41</v>
      </c>
      <c r="BD926" s="2" t="s">
        <v>82</v>
      </c>
      <c r="BE926" s="2">
        <v>41</v>
      </c>
      <c r="BF926" s="2" t="s">
        <v>82</v>
      </c>
      <c r="BG926" s="2"/>
      <c r="BH926" s="2"/>
      <c r="BI926" s="2"/>
      <c r="BJ926" s="2">
        <v>241</v>
      </c>
      <c r="BK926" s="2" t="s">
        <v>82</v>
      </c>
      <c r="BL926" s="2" t="s">
        <v>82</v>
      </c>
      <c r="BM926" s="2">
        <v>241</v>
      </c>
      <c r="BN926" s="2" t="s">
        <v>82</v>
      </c>
      <c r="BO926" s="2" t="s">
        <v>82</v>
      </c>
      <c r="BP926" s="2">
        <v>241</v>
      </c>
      <c r="BQ926" s="2" t="s">
        <v>82</v>
      </c>
      <c r="BR926" s="2" t="s">
        <v>82</v>
      </c>
      <c r="BS926" s="3">
        <v>40249</v>
      </c>
      <c r="BT926" s="4">
        <v>0.26196759259259256</v>
      </c>
    </row>
    <row r="927" spans="1:72" x14ac:dyDescent="0.25">
      <c r="A927" s="2">
        <v>1447</v>
      </c>
      <c r="B927" s="2">
        <v>2010</v>
      </c>
      <c r="C927" s="2" t="s">
        <v>385</v>
      </c>
      <c r="D927" s="2" t="s">
        <v>122</v>
      </c>
      <c r="E927" s="2"/>
      <c r="F927" s="2">
        <v>385</v>
      </c>
      <c r="G927" s="2" t="s">
        <v>990</v>
      </c>
      <c r="H927" s="2">
        <v>22</v>
      </c>
      <c r="I927" s="2" t="s">
        <v>75</v>
      </c>
      <c r="J927" s="2">
        <v>332</v>
      </c>
      <c r="K927" s="2" t="s">
        <v>913</v>
      </c>
      <c r="L927" s="2" t="s">
        <v>914</v>
      </c>
      <c r="M927" s="3">
        <v>40249</v>
      </c>
      <c r="N927" s="2" t="s">
        <v>3154</v>
      </c>
      <c r="O927" s="2" t="s">
        <v>3589</v>
      </c>
      <c r="P927" s="2" t="s">
        <v>3411</v>
      </c>
      <c r="Q927" s="2" t="str">
        <f>"0002/10"</f>
        <v>0002/10</v>
      </c>
      <c r="R927" s="2"/>
      <c r="S927" s="2" t="s">
        <v>3412</v>
      </c>
      <c r="T927" s="2">
        <v>1</v>
      </c>
      <c r="U927" s="2" t="s">
        <v>79</v>
      </c>
      <c r="V927" s="2">
        <v>1</v>
      </c>
      <c r="W927" s="2" t="s">
        <v>80</v>
      </c>
      <c r="X927" s="2">
        <v>5</v>
      </c>
      <c r="Y927" s="2" t="s">
        <v>82</v>
      </c>
      <c r="Z927" s="2">
        <v>1</v>
      </c>
      <c r="AA927" s="2" t="s">
        <v>82</v>
      </c>
      <c r="AB927" s="2">
        <v>9</v>
      </c>
      <c r="AC927" s="2" t="s">
        <v>124</v>
      </c>
      <c r="AD927" s="3">
        <v>40249</v>
      </c>
      <c r="AE927" s="4">
        <v>0.33333333333333331</v>
      </c>
      <c r="AF927" s="2"/>
      <c r="AG927" s="2"/>
      <c r="AH927" s="2">
        <v>5</v>
      </c>
      <c r="AI927" s="2" t="s">
        <v>274</v>
      </c>
      <c r="AJ927" s="2">
        <v>43</v>
      </c>
      <c r="AK927" s="2" t="s">
        <v>918</v>
      </c>
      <c r="AL927" s="2">
        <v>18</v>
      </c>
      <c r="AM927" s="2" t="s">
        <v>82</v>
      </c>
      <c r="AN927" s="2" t="s">
        <v>82</v>
      </c>
      <c r="AO927" s="2" t="s">
        <v>82</v>
      </c>
      <c r="AP927" s="2">
        <v>11</v>
      </c>
      <c r="AQ927" s="2" t="s">
        <v>82</v>
      </c>
      <c r="AR927" s="2"/>
      <c r="AS927" s="2"/>
      <c r="AT927" s="2" t="s">
        <v>3590</v>
      </c>
      <c r="AU927" s="2">
        <v>1</v>
      </c>
      <c r="AV927" s="2"/>
      <c r="AW927" s="2"/>
      <c r="AX927" s="2"/>
      <c r="AY927" s="2">
        <v>41</v>
      </c>
      <c r="AZ927" s="2" t="s">
        <v>82</v>
      </c>
      <c r="BA927" s="2">
        <v>41</v>
      </c>
      <c r="BB927" s="2" t="s">
        <v>82</v>
      </c>
      <c r="BC927" s="2">
        <v>41</v>
      </c>
      <c r="BD927" s="2" t="s">
        <v>82</v>
      </c>
      <c r="BE927" s="2">
        <v>41</v>
      </c>
      <c r="BF927" s="2" t="s">
        <v>82</v>
      </c>
      <c r="BG927" s="2"/>
      <c r="BH927" s="2"/>
      <c r="BI927" s="2"/>
      <c r="BJ927" s="2">
        <v>241</v>
      </c>
      <c r="BK927" s="2" t="s">
        <v>82</v>
      </c>
      <c r="BL927" s="2"/>
      <c r="BM927" s="2">
        <v>241</v>
      </c>
      <c r="BN927" s="2" t="s">
        <v>82</v>
      </c>
      <c r="BO927" s="2"/>
      <c r="BP927" s="2">
        <v>241</v>
      </c>
      <c r="BQ927" s="2" t="s">
        <v>82</v>
      </c>
      <c r="BR927" s="2"/>
      <c r="BS927" s="3">
        <v>40249</v>
      </c>
      <c r="BT927" s="4">
        <v>0.36608796296296298</v>
      </c>
    </row>
    <row r="928" spans="1:72" x14ac:dyDescent="0.25">
      <c r="A928" s="2">
        <v>1448</v>
      </c>
      <c r="B928" s="2">
        <v>2010</v>
      </c>
      <c r="C928" s="2" t="s">
        <v>819</v>
      </c>
      <c r="D928" s="2" t="s">
        <v>122</v>
      </c>
      <c r="E928" s="2" t="s">
        <v>3591</v>
      </c>
      <c r="F928" s="2">
        <v>451</v>
      </c>
      <c r="G928" s="2" t="s">
        <v>879</v>
      </c>
      <c r="H928" s="2">
        <v>31</v>
      </c>
      <c r="I928" s="2" t="s">
        <v>880</v>
      </c>
      <c r="J928" s="2">
        <v>326</v>
      </c>
      <c r="K928" s="2" t="s">
        <v>881</v>
      </c>
      <c r="L928" s="2" t="s">
        <v>882</v>
      </c>
      <c r="M928" s="3">
        <v>40249</v>
      </c>
      <c r="N928" s="2" t="s">
        <v>1072</v>
      </c>
      <c r="O928" s="2"/>
      <c r="P928" s="2"/>
      <c r="Q928" s="2" t="str">
        <f>"027/10"</f>
        <v>027/10</v>
      </c>
      <c r="R928" s="2"/>
      <c r="S928" s="2" t="s">
        <v>822</v>
      </c>
      <c r="T928" s="2">
        <v>1</v>
      </c>
      <c r="U928" s="2" t="s">
        <v>79</v>
      </c>
      <c r="V928" s="2">
        <v>1</v>
      </c>
      <c r="W928" s="2" t="s">
        <v>80</v>
      </c>
      <c r="X928" s="2">
        <v>1</v>
      </c>
      <c r="Y928" s="2" t="s">
        <v>81</v>
      </c>
      <c r="Z928" s="2">
        <v>10</v>
      </c>
      <c r="AA928" s="2" t="s">
        <v>236</v>
      </c>
      <c r="AB928" s="2">
        <v>9</v>
      </c>
      <c r="AC928" s="2" t="s">
        <v>124</v>
      </c>
      <c r="AD928" s="3">
        <v>40249</v>
      </c>
      <c r="AE928" s="4">
        <v>0.375</v>
      </c>
      <c r="AF928" s="2"/>
      <c r="AG928" s="2"/>
      <c r="AH928" s="2">
        <v>4</v>
      </c>
      <c r="AI928" s="2" t="s">
        <v>125</v>
      </c>
      <c r="AJ928" s="2">
        <v>29</v>
      </c>
      <c r="AK928" s="2" t="s">
        <v>227</v>
      </c>
      <c r="AL928" s="2">
        <v>10</v>
      </c>
      <c r="AM928" s="2" t="s">
        <v>200</v>
      </c>
      <c r="AN928" s="2"/>
      <c r="AO928" s="2" t="s">
        <v>3592</v>
      </c>
      <c r="AP928" s="2">
        <v>12</v>
      </c>
      <c r="AQ928" s="2" t="s">
        <v>322</v>
      </c>
      <c r="AR928" s="2" t="s">
        <v>824</v>
      </c>
      <c r="AS928" s="2" t="s">
        <v>825</v>
      </c>
      <c r="AT928" s="2" t="s">
        <v>3593</v>
      </c>
      <c r="AU928" s="2"/>
      <c r="AV928" s="2"/>
      <c r="AW928" s="2"/>
      <c r="AX928" s="2"/>
      <c r="AY928" s="2">
        <v>41</v>
      </c>
      <c r="AZ928" s="2" t="s">
        <v>82</v>
      </c>
      <c r="BA928" s="2">
        <v>41</v>
      </c>
      <c r="BB928" s="2" t="s">
        <v>82</v>
      </c>
      <c r="BC928" s="2">
        <v>51</v>
      </c>
      <c r="BD928" s="2" t="s">
        <v>827</v>
      </c>
      <c r="BE928" s="2">
        <v>13</v>
      </c>
      <c r="BF928" s="2" t="s">
        <v>108</v>
      </c>
      <c r="BG928" s="2">
        <v>1459</v>
      </c>
      <c r="BH928" s="4">
        <v>0.84375</v>
      </c>
      <c r="BI928" s="4">
        <v>0.88541666666666663</v>
      </c>
      <c r="BJ928" s="2">
        <v>13</v>
      </c>
      <c r="BK928" s="2" t="s">
        <v>91</v>
      </c>
      <c r="BL928" s="2" t="s">
        <v>828</v>
      </c>
      <c r="BM928" s="2">
        <v>241</v>
      </c>
      <c r="BN928" s="2" t="s">
        <v>82</v>
      </c>
      <c r="BO928" s="2" t="s">
        <v>82</v>
      </c>
      <c r="BP928" s="2">
        <v>13</v>
      </c>
      <c r="BQ928" s="2" t="s">
        <v>91</v>
      </c>
      <c r="BR928" s="2" t="s">
        <v>185</v>
      </c>
      <c r="BS928" s="3">
        <v>40249</v>
      </c>
      <c r="BT928" s="4">
        <v>0.45670138888888889</v>
      </c>
    </row>
    <row r="929" spans="1:72" x14ac:dyDescent="0.25">
      <c r="A929" s="2">
        <v>1449</v>
      </c>
      <c r="B929" s="2">
        <v>2010</v>
      </c>
      <c r="C929" s="2" t="s">
        <v>147</v>
      </c>
      <c r="D929" s="2" t="s">
        <v>73</v>
      </c>
      <c r="E929" s="2"/>
      <c r="F929" s="2">
        <v>1</v>
      </c>
      <c r="G929" s="2" t="s">
        <v>82</v>
      </c>
      <c r="H929" s="2">
        <v>1</v>
      </c>
      <c r="I929" s="2" t="s">
        <v>82</v>
      </c>
      <c r="J929" s="2">
        <v>1</v>
      </c>
      <c r="K929" s="2" t="s">
        <v>107</v>
      </c>
      <c r="L929" s="2" t="s">
        <v>107</v>
      </c>
      <c r="M929" s="3">
        <v>40249</v>
      </c>
      <c r="N929" s="2"/>
      <c r="O929" s="2"/>
      <c r="P929" s="2"/>
      <c r="Q929" s="2" t="str">
        <f>""</f>
        <v/>
      </c>
      <c r="R929" s="2"/>
      <c r="S929" s="2"/>
      <c r="T929" s="2">
        <v>2</v>
      </c>
      <c r="U929" s="2" t="s">
        <v>123</v>
      </c>
      <c r="V929" s="2">
        <v>1</v>
      </c>
      <c r="W929" s="2" t="s">
        <v>80</v>
      </c>
      <c r="X929" s="2">
        <v>12</v>
      </c>
      <c r="Y929" s="2" t="s">
        <v>148</v>
      </c>
      <c r="Z929" s="2">
        <v>1</v>
      </c>
      <c r="AA929" s="2" t="s">
        <v>82</v>
      </c>
      <c r="AB929" s="2">
        <v>9</v>
      </c>
      <c r="AC929" s="2" t="s">
        <v>124</v>
      </c>
      <c r="AD929" s="2"/>
      <c r="AE929" s="2"/>
      <c r="AF929" s="3">
        <v>40249</v>
      </c>
      <c r="AG929" s="4">
        <v>0.46527777777777773</v>
      </c>
      <c r="AH929" s="2">
        <v>2</v>
      </c>
      <c r="AI929" s="2" t="s">
        <v>84</v>
      </c>
      <c r="AJ929" s="2">
        <v>11</v>
      </c>
      <c r="AK929" s="2" t="s">
        <v>751</v>
      </c>
      <c r="AL929" s="2">
        <v>19</v>
      </c>
      <c r="AM929" s="2" t="s">
        <v>107</v>
      </c>
      <c r="AN929" s="2" t="s">
        <v>107</v>
      </c>
      <c r="AO929" s="2" t="s">
        <v>1772</v>
      </c>
      <c r="AP929" s="2">
        <v>11</v>
      </c>
      <c r="AQ929" s="2" t="s">
        <v>82</v>
      </c>
      <c r="AR929" s="2"/>
      <c r="AS929" s="2"/>
      <c r="AT929" s="2" t="s">
        <v>3594</v>
      </c>
      <c r="AU929" s="2"/>
      <c r="AV929" s="2"/>
      <c r="AW929" s="2"/>
      <c r="AX929" s="2"/>
      <c r="AY929" s="2">
        <v>41</v>
      </c>
      <c r="AZ929" s="2" t="s">
        <v>82</v>
      </c>
      <c r="BA929" s="2">
        <v>41</v>
      </c>
      <c r="BB929" s="2" t="s">
        <v>82</v>
      </c>
      <c r="BC929" s="2">
        <v>41</v>
      </c>
      <c r="BD929" s="2" t="s">
        <v>82</v>
      </c>
      <c r="BE929" s="2">
        <v>41</v>
      </c>
      <c r="BF929" s="2" t="s">
        <v>82</v>
      </c>
      <c r="BG929" s="2"/>
      <c r="BH929" s="2"/>
      <c r="BI929" s="2"/>
      <c r="BJ929" s="2">
        <v>241</v>
      </c>
      <c r="BK929" s="2" t="s">
        <v>82</v>
      </c>
      <c r="BL929" s="2"/>
      <c r="BM929" s="2">
        <v>241</v>
      </c>
      <c r="BN929" s="2" t="s">
        <v>82</v>
      </c>
      <c r="BO929" s="2"/>
      <c r="BP929" s="2">
        <v>241</v>
      </c>
      <c r="BQ929" s="2" t="s">
        <v>82</v>
      </c>
      <c r="BR929" s="2"/>
      <c r="BS929" s="3">
        <v>40249</v>
      </c>
      <c r="BT929" s="4">
        <v>0.5037962962962963</v>
      </c>
    </row>
    <row r="930" spans="1:72" x14ac:dyDescent="0.25">
      <c r="A930" s="2">
        <v>1452</v>
      </c>
      <c r="B930" s="2">
        <v>2010</v>
      </c>
      <c r="C930" s="2" t="s">
        <v>255</v>
      </c>
      <c r="D930" s="2" t="s">
        <v>73</v>
      </c>
      <c r="E930" s="2"/>
      <c r="F930" s="2">
        <v>444</v>
      </c>
      <c r="G930" s="2" t="s">
        <v>3595</v>
      </c>
      <c r="H930" s="2">
        <v>31</v>
      </c>
      <c r="I930" s="2" t="s">
        <v>880</v>
      </c>
      <c r="J930" s="2">
        <v>318</v>
      </c>
      <c r="K930" s="2" t="s">
        <v>635</v>
      </c>
      <c r="L930" s="2" t="s">
        <v>636</v>
      </c>
      <c r="M930" s="3">
        <v>40249</v>
      </c>
      <c r="N930" s="2" t="s">
        <v>3596</v>
      </c>
      <c r="O930" s="2"/>
      <c r="P930" s="2"/>
      <c r="Q930" s="2" t="str">
        <f>"04/10 PSA"</f>
        <v>04/10 PSA</v>
      </c>
      <c r="R930" s="2" t="s">
        <v>3597</v>
      </c>
      <c r="S930" s="2" t="s">
        <v>3597</v>
      </c>
      <c r="T930" s="2">
        <v>1</v>
      </c>
      <c r="U930" s="2" t="s">
        <v>79</v>
      </c>
      <c r="V930" s="2">
        <v>1</v>
      </c>
      <c r="W930" s="2" t="s">
        <v>80</v>
      </c>
      <c r="X930" s="2">
        <v>2</v>
      </c>
      <c r="Y930" s="2" t="s">
        <v>136</v>
      </c>
      <c r="Z930" s="2">
        <v>13</v>
      </c>
      <c r="AA930" s="2" t="s">
        <v>3158</v>
      </c>
      <c r="AB930" s="2">
        <v>9</v>
      </c>
      <c r="AC930" s="2" t="s">
        <v>124</v>
      </c>
      <c r="AD930" s="2"/>
      <c r="AE930" s="2"/>
      <c r="AF930" s="3">
        <v>40249</v>
      </c>
      <c r="AG930" s="4">
        <v>0.47222222222222227</v>
      </c>
      <c r="AH930" s="2">
        <v>4</v>
      </c>
      <c r="AI930" s="2" t="s">
        <v>125</v>
      </c>
      <c r="AJ930" s="2">
        <v>30</v>
      </c>
      <c r="AK930" s="2" t="s">
        <v>258</v>
      </c>
      <c r="AL930" s="2">
        <v>19</v>
      </c>
      <c r="AM930" s="2" t="s">
        <v>107</v>
      </c>
      <c r="AN930" s="2" t="s">
        <v>3598</v>
      </c>
      <c r="AO930" s="2" t="s">
        <v>3599</v>
      </c>
      <c r="AP930" s="2">
        <v>11</v>
      </c>
      <c r="AQ930" s="2" t="s">
        <v>82</v>
      </c>
      <c r="AR930" s="2"/>
      <c r="AS930" s="2"/>
      <c r="AT930" s="2" t="s">
        <v>3600</v>
      </c>
      <c r="AU930" s="2"/>
      <c r="AV930" s="2"/>
      <c r="AW930" s="2"/>
      <c r="AX930" s="2"/>
      <c r="AY930" s="2">
        <v>77</v>
      </c>
      <c r="AZ930" s="2" t="s">
        <v>3158</v>
      </c>
      <c r="BA930" s="2">
        <v>77</v>
      </c>
      <c r="BB930" s="2" t="s">
        <v>3158</v>
      </c>
      <c r="BC930" s="2">
        <v>77</v>
      </c>
      <c r="BD930" s="2" t="s">
        <v>3158</v>
      </c>
      <c r="BE930" s="2">
        <v>41</v>
      </c>
      <c r="BF930" s="2" t="s">
        <v>82</v>
      </c>
      <c r="BG930" s="2"/>
      <c r="BH930" s="2"/>
      <c r="BI930" s="2"/>
      <c r="BJ930" s="2">
        <v>241</v>
      </c>
      <c r="BK930" s="2" t="s">
        <v>82</v>
      </c>
      <c r="BL930" s="2"/>
      <c r="BM930" s="2">
        <v>241</v>
      </c>
      <c r="BN930" s="2" t="s">
        <v>82</v>
      </c>
      <c r="BO930" s="2"/>
      <c r="BP930" s="2">
        <v>241</v>
      </c>
      <c r="BQ930" s="2" t="s">
        <v>82</v>
      </c>
      <c r="BR930" s="2"/>
      <c r="BS930" s="3">
        <v>40249</v>
      </c>
      <c r="BT930" s="4">
        <v>0.55540509259259263</v>
      </c>
    </row>
    <row r="931" spans="1:72" x14ac:dyDescent="0.25">
      <c r="A931" s="2">
        <v>1453</v>
      </c>
      <c r="B931" s="2">
        <v>2010</v>
      </c>
      <c r="C931" s="2" t="s">
        <v>385</v>
      </c>
      <c r="D931" s="2" t="s">
        <v>122</v>
      </c>
      <c r="E931" s="2"/>
      <c r="F931" s="2">
        <v>400</v>
      </c>
      <c r="G931" s="2" t="s">
        <v>3601</v>
      </c>
      <c r="H931" s="2">
        <v>17</v>
      </c>
      <c r="I931" s="2" t="s">
        <v>3602</v>
      </c>
      <c r="J931" s="2">
        <v>316</v>
      </c>
      <c r="K931" s="2" t="s">
        <v>574</v>
      </c>
      <c r="L931" s="2" t="s">
        <v>575</v>
      </c>
      <c r="M931" s="3">
        <v>40249</v>
      </c>
      <c r="N931" s="2" t="s">
        <v>3603</v>
      </c>
      <c r="O931" s="2" t="s">
        <v>3604</v>
      </c>
      <c r="P931" s="2" t="s">
        <v>3605</v>
      </c>
      <c r="Q931" s="2" t="str">
        <f>"N/C"</f>
        <v>N/C</v>
      </c>
      <c r="R931" s="2" t="s">
        <v>107</v>
      </c>
      <c r="S931" s="2" t="s">
        <v>82</v>
      </c>
      <c r="T931" s="2">
        <v>1</v>
      </c>
      <c r="U931" s="2" t="s">
        <v>79</v>
      </c>
      <c r="V931" s="2">
        <v>1</v>
      </c>
      <c r="W931" s="2" t="s">
        <v>80</v>
      </c>
      <c r="X931" s="2">
        <v>5</v>
      </c>
      <c r="Y931" s="2" t="s">
        <v>82</v>
      </c>
      <c r="Z931" s="2">
        <v>1</v>
      </c>
      <c r="AA931" s="2" t="s">
        <v>82</v>
      </c>
      <c r="AB931" s="2">
        <v>9</v>
      </c>
      <c r="AC931" s="2" t="s">
        <v>124</v>
      </c>
      <c r="AD931" s="3">
        <v>40249</v>
      </c>
      <c r="AE931" s="4">
        <v>0.44097222222222227</v>
      </c>
      <c r="AF931" s="2"/>
      <c r="AG931" s="2"/>
      <c r="AH931" s="2">
        <v>2</v>
      </c>
      <c r="AI931" s="2" t="s">
        <v>84</v>
      </c>
      <c r="AJ931" s="2">
        <v>12</v>
      </c>
      <c r="AK931" s="2" t="s">
        <v>85</v>
      </c>
      <c r="AL931" s="2">
        <v>18</v>
      </c>
      <c r="AM931" s="2" t="s">
        <v>82</v>
      </c>
      <c r="AN931" s="2" t="s">
        <v>3606</v>
      </c>
      <c r="AO931" s="2" t="s">
        <v>3607</v>
      </c>
      <c r="AP931" s="2">
        <v>11</v>
      </c>
      <c r="AQ931" s="2" t="s">
        <v>82</v>
      </c>
      <c r="AR931" s="2"/>
      <c r="AS931" s="2"/>
      <c r="AT931" s="2" t="s">
        <v>3608</v>
      </c>
      <c r="AU931" s="2">
        <v>1</v>
      </c>
      <c r="AV931" s="2"/>
      <c r="AW931" s="2"/>
      <c r="AX931" s="2"/>
      <c r="AY931" s="2">
        <v>41</v>
      </c>
      <c r="AZ931" s="2" t="s">
        <v>82</v>
      </c>
      <c r="BA931" s="2">
        <v>41</v>
      </c>
      <c r="BB931" s="2" t="s">
        <v>82</v>
      </c>
      <c r="BC931" s="2">
        <v>41</v>
      </c>
      <c r="BD931" s="2" t="s">
        <v>82</v>
      </c>
      <c r="BE931" s="2">
        <v>41</v>
      </c>
      <c r="BF931" s="2" t="s">
        <v>82</v>
      </c>
      <c r="BG931" s="2"/>
      <c r="BH931" s="2"/>
      <c r="BI931" s="2"/>
      <c r="BJ931" s="2">
        <v>241</v>
      </c>
      <c r="BK931" s="2" t="s">
        <v>82</v>
      </c>
      <c r="BL931" s="2"/>
      <c r="BM931" s="2">
        <v>241</v>
      </c>
      <c r="BN931" s="2" t="s">
        <v>82</v>
      </c>
      <c r="BO931" s="2"/>
      <c r="BP931" s="2">
        <v>241</v>
      </c>
      <c r="BQ931" s="2" t="s">
        <v>82</v>
      </c>
      <c r="BR931" s="2"/>
      <c r="BS931" s="3">
        <v>40249</v>
      </c>
      <c r="BT931" s="4">
        <v>0.5689467592592593</v>
      </c>
    </row>
    <row r="932" spans="1:72" x14ac:dyDescent="0.25">
      <c r="A932" s="2">
        <v>1454</v>
      </c>
      <c r="B932" s="2">
        <v>2010</v>
      </c>
      <c r="C932" s="2" t="s">
        <v>3609</v>
      </c>
      <c r="D932" s="2" t="s">
        <v>73</v>
      </c>
      <c r="E932" s="2"/>
      <c r="F932" s="2">
        <v>53</v>
      </c>
      <c r="G932" s="2" t="s">
        <v>2755</v>
      </c>
      <c r="H932" s="2">
        <v>31</v>
      </c>
      <c r="I932" s="2" t="s">
        <v>880</v>
      </c>
      <c r="J932" s="2">
        <v>88</v>
      </c>
      <c r="K932" s="2" t="s">
        <v>2756</v>
      </c>
      <c r="L932" s="2" t="s">
        <v>2757</v>
      </c>
      <c r="M932" s="3">
        <v>40249</v>
      </c>
      <c r="N932" s="2" t="s">
        <v>3610</v>
      </c>
      <c r="O932" s="2"/>
      <c r="P932" s="2"/>
      <c r="Q932" s="2" t="str">
        <f>""</f>
        <v/>
      </c>
      <c r="R932" s="2"/>
      <c r="S932" s="2"/>
      <c r="T932" s="2">
        <v>1</v>
      </c>
      <c r="U932" s="2" t="s">
        <v>79</v>
      </c>
      <c r="V932" s="2">
        <v>1</v>
      </c>
      <c r="W932" s="2" t="s">
        <v>80</v>
      </c>
      <c r="X932" s="2">
        <v>5</v>
      </c>
      <c r="Y932" s="2" t="s">
        <v>82</v>
      </c>
      <c r="Z932" s="2">
        <v>1</v>
      </c>
      <c r="AA932" s="2" t="s">
        <v>82</v>
      </c>
      <c r="AB932" s="2">
        <v>9</v>
      </c>
      <c r="AC932" s="2" t="s">
        <v>124</v>
      </c>
      <c r="AD932" s="3">
        <v>40249</v>
      </c>
      <c r="AE932" s="4">
        <v>0.31944444444444448</v>
      </c>
      <c r="AF932" s="2"/>
      <c r="AG932" s="2"/>
      <c r="AH932" s="2">
        <v>4</v>
      </c>
      <c r="AI932" s="2" t="s">
        <v>125</v>
      </c>
      <c r="AJ932" s="2">
        <v>28</v>
      </c>
      <c r="AK932" s="2" t="s">
        <v>741</v>
      </c>
      <c r="AL932" s="2">
        <v>18</v>
      </c>
      <c r="AM932" s="2" t="s">
        <v>82</v>
      </c>
      <c r="AN932" s="2" t="s">
        <v>3611</v>
      </c>
      <c r="AO932" s="2" t="s">
        <v>3612</v>
      </c>
      <c r="AP932" s="2">
        <v>11</v>
      </c>
      <c r="AQ932" s="2" t="s">
        <v>82</v>
      </c>
      <c r="AR932" s="2"/>
      <c r="AS932" s="2"/>
      <c r="AT932" s="2" t="s">
        <v>3613</v>
      </c>
      <c r="AU932" s="2"/>
      <c r="AV932" s="2"/>
      <c r="AW932" s="2"/>
      <c r="AX932" s="2"/>
      <c r="AY932" s="2">
        <v>1</v>
      </c>
      <c r="AZ932" s="2" t="s">
        <v>107</v>
      </c>
      <c r="BA932" s="2">
        <v>1</v>
      </c>
      <c r="BB932" s="2" t="s">
        <v>107</v>
      </c>
      <c r="BC932" s="2">
        <v>1</v>
      </c>
      <c r="BD932" s="2" t="s">
        <v>107</v>
      </c>
      <c r="BE932" s="2">
        <v>1</v>
      </c>
      <c r="BF932" s="2" t="s">
        <v>107</v>
      </c>
      <c r="BG932" s="2"/>
      <c r="BH932" s="2"/>
      <c r="BI932" s="2"/>
      <c r="BJ932" s="2">
        <v>242</v>
      </c>
      <c r="BK932" s="2" t="s">
        <v>107</v>
      </c>
      <c r="BL932" s="2"/>
      <c r="BM932" s="2">
        <v>242</v>
      </c>
      <c r="BN932" s="2" t="s">
        <v>107</v>
      </c>
      <c r="BO932" s="2"/>
      <c r="BP932" s="2">
        <v>242</v>
      </c>
      <c r="BQ932" s="2" t="s">
        <v>107</v>
      </c>
      <c r="BR932" s="2"/>
      <c r="BS932" s="3">
        <v>40249</v>
      </c>
      <c r="BT932" s="4">
        <v>0.57013888888888886</v>
      </c>
    </row>
    <row r="933" spans="1:72" x14ac:dyDescent="0.25">
      <c r="A933" s="2">
        <v>1455</v>
      </c>
      <c r="B933" s="2">
        <v>2010</v>
      </c>
      <c r="C933" s="2" t="s">
        <v>1094</v>
      </c>
      <c r="D933" s="2" t="s">
        <v>73</v>
      </c>
      <c r="E933" s="2"/>
      <c r="F933" s="2">
        <v>67</v>
      </c>
      <c r="G933" s="2" t="s">
        <v>3220</v>
      </c>
      <c r="H933" s="2">
        <v>22</v>
      </c>
      <c r="I933" s="2" t="s">
        <v>75</v>
      </c>
      <c r="J933" s="2">
        <v>99</v>
      </c>
      <c r="K933" s="2" t="s">
        <v>3221</v>
      </c>
      <c r="L933" s="2" t="s">
        <v>3222</v>
      </c>
      <c r="M933" s="3">
        <v>40249</v>
      </c>
      <c r="N933" s="2" t="s">
        <v>3223</v>
      </c>
      <c r="O933" s="2" t="s">
        <v>3614</v>
      </c>
      <c r="P933" s="2"/>
      <c r="Q933" s="2" t="str">
        <f>"0009/10"</f>
        <v>0009/10</v>
      </c>
      <c r="R933" s="2" t="s">
        <v>3614</v>
      </c>
      <c r="S933" s="2" t="s">
        <v>1100</v>
      </c>
      <c r="T933" s="2">
        <v>1</v>
      </c>
      <c r="U933" s="2" t="s">
        <v>79</v>
      </c>
      <c r="V933" s="2">
        <v>1</v>
      </c>
      <c r="W933" s="2" t="s">
        <v>80</v>
      </c>
      <c r="X933" s="2">
        <v>5</v>
      </c>
      <c r="Y933" s="2" t="s">
        <v>82</v>
      </c>
      <c r="Z933" s="2">
        <v>1</v>
      </c>
      <c r="AA933" s="2" t="s">
        <v>82</v>
      </c>
      <c r="AB933" s="2">
        <v>9</v>
      </c>
      <c r="AC933" s="2" t="s">
        <v>124</v>
      </c>
      <c r="AD933" s="3">
        <v>40249</v>
      </c>
      <c r="AE933" s="4">
        <v>0.35416666666666669</v>
      </c>
      <c r="AF933" s="3">
        <v>40249</v>
      </c>
      <c r="AG933" s="4">
        <v>0.375</v>
      </c>
      <c r="AH933" s="2">
        <v>4</v>
      </c>
      <c r="AI933" s="2" t="s">
        <v>125</v>
      </c>
      <c r="AJ933" s="2">
        <v>28</v>
      </c>
      <c r="AK933" s="2" t="s">
        <v>741</v>
      </c>
      <c r="AL933" s="2">
        <v>19</v>
      </c>
      <c r="AM933" s="2" t="s">
        <v>107</v>
      </c>
      <c r="AN933" s="2"/>
      <c r="AO933" s="2" t="s">
        <v>3615</v>
      </c>
      <c r="AP933" s="2">
        <v>11</v>
      </c>
      <c r="AQ933" s="2" t="s">
        <v>82</v>
      </c>
      <c r="AR933" s="2"/>
      <c r="AS933" s="2"/>
      <c r="AT933" s="2" t="s">
        <v>3616</v>
      </c>
      <c r="AU933" s="2"/>
      <c r="AV933" s="2"/>
      <c r="AW933" s="2"/>
      <c r="AX933" s="2"/>
      <c r="AY933" s="2">
        <v>41</v>
      </c>
      <c r="AZ933" s="2" t="s">
        <v>82</v>
      </c>
      <c r="BA933" s="2">
        <v>41</v>
      </c>
      <c r="BB933" s="2" t="s">
        <v>82</v>
      </c>
      <c r="BC933" s="2">
        <v>41</v>
      </c>
      <c r="BD933" s="2" t="s">
        <v>82</v>
      </c>
      <c r="BE933" s="2">
        <v>41</v>
      </c>
      <c r="BF933" s="2" t="s">
        <v>82</v>
      </c>
      <c r="BG933" s="2"/>
      <c r="BH933" s="2"/>
      <c r="BI933" s="2"/>
      <c r="BJ933" s="2">
        <v>241</v>
      </c>
      <c r="BK933" s="2" t="s">
        <v>82</v>
      </c>
      <c r="BL933" s="2"/>
      <c r="BM933" s="2">
        <v>241</v>
      </c>
      <c r="BN933" s="2" t="s">
        <v>82</v>
      </c>
      <c r="BO933" s="2"/>
      <c r="BP933" s="2">
        <v>241</v>
      </c>
      <c r="BQ933" s="2" t="s">
        <v>82</v>
      </c>
      <c r="BR933" s="2"/>
      <c r="BS933" s="3">
        <v>40249</v>
      </c>
      <c r="BT933" s="4">
        <v>0.57048611111111114</v>
      </c>
    </row>
    <row r="934" spans="1:72" x14ac:dyDescent="0.25">
      <c r="A934" s="2">
        <v>1456</v>
      </c>
      <c r="B934" s="2">
        <v>2010</v>
      </c>
      <c r="C934" s="2" t="s">
        <v>457</v>
      </c>
      <c r="D934" s="2" t="s">
        <v>73</v>
      </c>
      <c r="E934" s="2"/>
      <c r="F934" s="2">
        <v>467</v>
      </c>
      <c r="G934" s="2" t="s">
        <v>1053</v>
      </c>
      <c r="H934" s="2">
        <v>42</v>
      </c>
      <c r="I934" s="2" t="s">
        <v>1096</v>
      </c>
      <c r="J934" s="2">
        <v>369</v>
      </c>
      <c r="K934" s="2" t="s">
        <v>1054</v>
      </c>
      <c r="L934" s="2" t="s">
        <v>1055</v>
      </c>
      <c r="M934" s="3">
        <v>40249</v>
      </c>
      <c r="N934" s="2" t="s">
        <v>3617</v>
      </c>
      <c r="O934" s="2" t="s">
        <v>3618</v>
      </c>
      <c r="P934" s="2" t="s">
        <v>3619</v>
      </c>
      <c r="Q934" s="2" t="str">
        <f>"---------"</f>
        <v>---------</v>
      </c>
      <c r="R934" s="2" t="s">
        <v>3299</v>
      </c>
      <c r="S934" s="2" t="s">
        <v>2104</v>
      </c>
      <c r="T934" s="2">
        <v>1</v>
      </c>
      <c r="U934" s="2" t="s">
        <v>79</v>
      </c>
      <c r="V934" s="2">
        <v>1</v>
      </c>
      <c r="W934" s="2" t="s">
        <v>80</v>
      </c>
      <c r="X934" s="2">
        <v>4</v>
      </c>
      <c r="Y934" s="2" t="s">
        <v>463</v>
      </c>
      <c r="Z934" s="2">
        <v>6</v>
      </c>
      <c r="AA934" s="2" t="s">
        <v>101</v>
      </c>
      <c r="AB934" s="2">
        <v>9</v>
      </c>
      <c r="AC934" s="2" t="s">
        <v>124</v>
      </c>
      <c r="AD934" s="3">
        <v>40249</v>
      </c>
      <c r="AE934" s="4">
        <v>0.55902777777777779</v>
      </c>
      <c r="AF934" s="2"/>
      <c r="AG934" s="2"/>
      <c r="AH934" s="2">
        <v>4</v>
      </c>
      <c r="AI934" s="2" t="s">
        <v>125</v>
      </c>
      <c r="AJ934" s="2">
        <v>29</v>
      </c>
      <c r="AK934" s="2" t="s">
        <v>227</v>
      </c>
      <c r="AL934" s="2">
        <v>11</v>
      </c>
      <c r="AM934" s="2" t="s">
        <v>137</v>
      </c>
      <c r="AN934" s="2" t="s">
        <v>3620</v>
      </c>
      <c r="AO934" s="2" t="s">
        <v>3621</v>
      </c>
      <c r="AP934" s="2">
        <v>11</v>
      </c>
      <c r="AQ934" s="2" t="s">
        <v>82</v>
      </c>
      <c r="AR934" s="2" t="s">
        <v>473</v>
      </c>
      <c r="AS934" s="2" t="s">
        <v>2529</v>
      </c>
      <c r="AT934" s="2" t="s">
        <v>3622</v>
      </c>
      <c r="AU934" s="2"/>
      <c r="AV934" s="2"/>
      <c r="AW934" s="2"/>
      <c r="AX934" s="2"/>
      <c r="AY934" s="2">
        <v>41</v>
      </c>
      <c r="AZ934" s="2" t="s">
        <v>82</v>
      </c>
      <c r="BA934" s="2">
        <v>41</v>
      </c>
      <c r="BB934" s="2" t="s">
        <v>82</v>
      </c>
      <c r="BC934" s="2">
        <v>41</v>
      </c>
      <c r="BD934" s="2" t="s">
        <v>82</v>
      </c>
      <c r="BE934" s="2">
        <v>19</v>
      </c>
      <c r="BF934" s="2" t="s">
        <v>1061</v>
      </c>
      <c r="BG934" s="2" t="s">
        <v>3623</v>
      </c>
      <c r="BH934" s="4">
        <v>0.52083333333333337</v>
      </c>
      <c r="BI934" s="4">
        <v>0.55902777777777779</v>
      </c>
      <c r="BJ934" s="2">
        <v>13</v>
      </c>
      <c r="BK934" s="2" t="s">
        <v>91</v>
      </c>
      <c r="BL934" s="2" t="s">
        <v>828</v>
      </c>
      <c r="BM934" s="2">
        <v>241</v>
      </c>
      <c r="BN934" s="2" t="s">
        <v>82</v>
      </c>
      <c r="BO934" s="2" t="s">
        <v>82</v>
      </c>
      <c r="BP934" s="2">
        <v>29</v>
      </c>
      <c r="BQ934" s="2" t="s">
        <v>962</v>
      </c>
      <c r="BR934" s="2" t="s">
        <v>963</v>
      </c>
      <c r="BS934" s="3">
        <v>40249</v>
      </c>
      <c r="BT934" s="4">
        <v>0.60299768518518515</v>
      </c>
    </row>
    <row r="935" spans="1:72" x14ac:dyDescent="0.25">
      <c r="A935" s="2">
        <v>1459</v>
      </c>
      <c r="B935" s="2">
        <v>2010</v>
      </c>
      <c r="C935" s="2" t="s">
        <v>819</v>
      </c>
      <c r="D935" s="2" t="s">
        <v>73</v>
      </c>
      <c r="E935" s="2"/>
      <c r="F935" s="2">
        <v>470</v>
      </c>
      <c r="G935" s="2" t="s">
        <v>2979</v>
      </c>
      <c r="H935" s="2">
        <v>2</v>
      </c>
      <c r="I935" s="2" t="s">
        <v>267</v>
      </c>
      <c r="J935" s="2">
        <v>371</v>
      </c>
      <c r="K935" s="2" t="s">
        <v>1138</v>
      </c>
      <c r="L935" s="2" t="s">
        <v>1139</v>
      </c>
      <c r="M935" s="3">
        <v>40249</v>
      </c>
      <c r="N935" s="2"/>
      <c r="O935" s="2"/>
      <c r="P935" s="2"/>
      <c r="Q935" s="2" t="str">
        <f>"0027/10"</f>
        <v>0027/10</v>
      </c>
      <c r="R935" s="2" t="s">
        <v>2003</v>
      </c>
      <c r="S935" s="2"/>
      <c r="T935" s="2">
        <v>1</v>
      </c>
      <c r="U935" s="2" t="s">
        <v>79</v>
      </c>
      <c r="V935" s="2">
        <v>1</v>
      </c>
      <c r="W935" s="2" t="s">
        <v>80</v>
      </c>
      <c r="X935" s="2">
        <v>1</v>
      </c>
      <c r="Y935" s="2" t="s">
        <v>81</v>
      </c>
      <c r="Z935" s="2">
        <v>10</v>
      </c>
      <c r="AA935" s="2" t="s">
        <v>236</v>
      </c>
      <c r="AB935" s="2">
        <v>9</v>
      </c>
      <c r="AC935" s="2" t="s">
        <v>124</v>
      </c>
      <c r="AD935" s="3">
        <v>40249</v>
      </c>
      <c r="AE935" s="4">
        <v>0.57291666666666663</v>
      </c>
      <c r="AF935" s="2"/>
      <c r="AG935" s="2"/>
      <c r="AH935" s="2">
        <v>5</v>
      </c>
      <c r="AI935" s="2" t="s">
        <v>274</v>
      </c>
      <c r="AJ935" s="2">
        <v>38</v>
      </c>
      <c r="AK935" s="2" t="s">
        <v>1120</v>
      </c>
      <c r="AL935" s="2">
        <v>8</v>
      </c>
      <c r="AM935" s="2" t="s">
        <v>179</v>
      </c>
      <c r="AN935" s="2"/>
      <c r="AO935" s="2"/>
      <c r="AP935" s="2">
        <v>11</v>
      </c>
      <c r="AQ935" s="2" t="s">
        <v>82</v>
      </c>
      <c r="AR935" s="2"/>
      <c r="AS935" s="2"/>
      <c r="AT935" s="2" t="s">
        <v>3624</v>
      </c>
      <c r="AU935" s="2"/>
      <c r="AV935" s="2"/>
      <c r="AW935" s="2"/>
      <c r="AX935" s="2"/>
      <c r="AY935" s="2">
        <v>41</v>
      </c>
      <c r="AZ935" s="2" t="s">
        <v>82</v>
      </c>
      <c r="BA935" s="2">
        <v>41</v>
      </c>
      <c r="BB935" s="2" t="s">
        <v>82</v>
      </c>
      <c r="BC935" s="2">
        <v>41</v>
      </c>
      <c r="BD935" s="2" t="s">
        <v>82</v>
      </c>
      <c r="BE935" s="2">
        <v>48</v>
      </c>
      <c r="BF935" s="2" t="s">
        <v>1123</v>
      </c>
      <c r="BG935" s="2">
        <v>893</v>
      </c>
      <c r="BH935" s="4">
        <v>0.54861111111111105</v>
      </c>
      <c r="BI935" s="4">
        <v>0.59027777777777779</v>
      </c>
      <c r="BJ935" s="2">
        <v>13</v>
      </c>
      <c r="BK935" s="2" t="s">
        <v>91</v>
      </c>
      <c r="BL935" s="2" t="s">
        <v>3140</v>
      </c>
      <c r="BM935" s="2">
        <v>13</v>
      </c>
      <c r="BN935" s="2" t="s">
        <v>91</v>
      </c>
      <c r="BO935" s="2" t="s">
        <v>828</v>
      </c>
      <c r="BP935" s="2">
        <v>13</v>
      </c>
      <c r="BQ935" s="2" t="s">
        <v>91</v>
      </c>
      <c r="BR935" s="2" t="s">
        <v>169</v>
      </c>
      <c r="BS935" s="3">
        <v>40249</v>
      </c>
      <c r="BT935" s="4">
        <v>0.63466435185185188</v>
      </c>
    </row>
    <row r="936" spans="1:72" x14ac:dyDescent="0.25">
      <c r="A936" s="2">
        <v>1461</v>
      </c>
      <c r="B936" s="2">
        <v>2010</v>
      </c>
      <c r="C936" s="2" t="s">
        <v>409</v>
      </c>
      <c r="D936" s="2" t="s">
        <v>122</v>
      </c>
      <c r="E936" s="2"/>
      <c r="F936" s="2">
        <v>4</v>
      </c>
      <c r="G936" s="2" t="s">
        <v>911</v>
      </c>
      <c r="H936" s="2">
        <v>24</v>
      </c>
      <c r="I936" s="2" t="s">
        <v>287</v>
      </c>
      <c r="J936" s="2">
        <v>332</v>
      </c>
      <c r="K936" s="2" t="s">
        <v>913</v>
      </c>
      <c r="L936" s="2" t="s">
        <v>914</v>
      </c>
      <c r="M936" s="3">
        <v>40249</v>
      </c>
      <c r="N936" s="2" t="s">
        <v>3625</v>
      </c>
      <c r="O936" s="2" t="s">
        <v>3626</v>
      </c>
      <c r="P936" s="2" t="s">
        <v>3627</v>
      </c>
      <c r="Q936" s="2" t="str">
        <f>"0002/10"</f>
        <v>0002/10</v>
      </c>
      <c r="R936" s="2" t="s">
        <v>3628</v>
      </c>
      <c r="S936" s="2" t="s">
        <v>3628</v>
      </c>
      <c r="T936" s="2">
        <v>1</v>
      </c>
      <c r="U936" s="2" t="s">
        <v>79</v>
      </c>
      <c r="V936" s="2">
        <v>1</v>
      </c>
      <c r="W936" s="2" t="s">
        <v>80</v>
      </c>
      <c r="X936" s="2">
        <v>5</v>
      </c>
      <c r="Y936" s="2" t="s">
        <v>82</v>
      </c>
      <c r="Z936" s="2">
        <v>1</v>
      </c>
      <c r="AA936" s="2" t="s">
        <v>82</v>
      </c>
      <c r="AB936" s="2">
        <v>9</v>
      </c>
      <c r="AC936" s="2" t="s">
        <v>124</v>
      </c>
      <c r="AD936" s="3">
        <v>40249</v>
      </c>
      <c r="AE936" s="4">
        <v>0.625</v>
      </c>
      <c r="AF936" s="2"/>
      <c r="AG936" s="2"/>
      <c r="AH936" s="2">
        <v>5</v>
      </c>
      <c r="AI936" s="2" t="s">
        <v>274</v>
      </c>
      <c r="AJ936" s="2">
        <v>43</v>
      </c>
      <c r="AK936" s="2" t="s">
        <v>918</v>
      </c>
      <c r="AL936" s="2">
        <v>18</v>
      </c>
      <c r="AM936" s="2" t="s">
        <v>82</v>
      </c>
      <c r="AN936" s="2"/>
      <c r="AO936" s="2"/>
      <c r="AP936" s="2">
        <v>11</v>
      </c>
      <c r="AQ936" s="2" t="s">
        <v>82</v>
      </c>
      <c r="AR936" s="2"/>
      <c r="AS936" s="2"/>
      <c r="AT936" s="2" t="s">
        <v>3629</v>
      </c>
      <c r="AU936" s="2"/>
      <c r="AV936" s="2"/>
      <c r="AW936" s="2"/>
      <c r="AX936" s="2"/>
      <c r="AY936" s="2">
        <v>41</v>
      </c>
      <c r="AZ936" s="2" t="s">
        <v>82</v>
      </c>
      <c r="BA936" s="2">
        <v>41</v>
      </c>
      <c r="BB936" s="2" t="s">
        <v>82</v>
      </c>
      <c r="BC936" s="2">
        <v>41</v>
      </c>
      <c r="BD936" s="2" t="s">
        <v>82</v>
      </c>
      <c r="BE936" s="2">
        <v>41</v>
      </c>
      <c r="BF936" s="2" t="s">
        <v>82</v>
      </c>
      <c r="BG936" s="2"/>
      <c r="BH936" s="2"/>
      <c r="BI936" s="2"/>
      <c r="BJ936" s="2">
        <v>241</v>
      </c>
      <c r="BK936" s="2" t="s">
        <v>82</v>
      </c>
      <c r="BL936" s="2"/>
      <c r="BM936" s="2">
        <v>241</v>
      </c>
      <c r="BN936" s="2" t="s">
        <v>82</v>
      </c>
      <c r="BO936" s="2"/>
      <c r="BP936" s="2">
        <v>241</v>
      </c>
      <c r="BQ936" s="2" t="s">
        <v>82</v>
      </c>
      <c r="BR936" s="2"/>
      <c r="BS936" s="3">
        <v>40249</v>
      </c>
      <c r="BT936" s="4">
        <v>0.64587962962962964</v>
      </c>
    </row>
    <row r="937" spans="1:72" x14ac:dyDescent="0.25">
      <c r="A937" s="2">
        <v>1463</v>
      </c>
      <c r="B937" s="2">
        <v>2010</v>
      </c>
      <c r="C937" s="2" t="s">
        <v>806</v>
      </c>
      <c r="D937" s="2" t="s">
        <v>73</v>
      </c>
      <c r="E937" s="2"/>
      <c r="F937" s="2">
        <v>52</v>
      </c>
      <c r="G937" s="2" t="s">
        <v>2963</v>
      </c>
      <c r="H937" s="2">
        <v>57</v>
      </c>
      <c r="I937" s="2" t="s">
        <v>3043</v>
      </c>
      <c r="J937" s="2">
        <v>87</v>
      </c>
      <c r="K937" s="2" t="s">
        <v>2964</v>
      </c>
      <c r="L937" s="2" t="s">
        <v>2534</v>
      </c>
      <c r="M937" s="3">
        <v>40249</v>
      </c>
      <c r="N937" s="2" t="s">
        <v>3630</v>
      </c>
      <c r="O937" s="2" t="s">
        <v>3631</v>
      </c>
      <c r="P937" s="2" t="s">
        <v>3632</v>
      </c>
      <c r="Q937" s="2" t="str">
        <f>""</f>
        <v/>
      </c>
      <c r="R937" s="2"/>
      <c r="S937" s="2"/>
      <c r="T937" s="2">
        <v>1</v>
      </c>
      <c r="U937" s="2" t="s">
        <v>79</v>
      </c>
      <c r="V937" s="2">
        <v>3</v>
      </c>
      <c r="W937" s="2" t="s">
        <v>225</v>
      </c>
      <c r="X937" s="2">
        <v>6</v>
      </c>
      <c r="Y937" s="2" t="s">
        <v>249</v>
      </c>
      <c r="Z937" s="2">
        <v>1</v>
      </c>
      <c r="AA937" s="2" t="s">
        <v>82</v>
      </c>
      <c r="AB937" s="2">
        <v>9</v>
      </c>
      <c r="AC937" s="2" t="s">
        <v>124</v>
      </c>
      <c r="AD937" s="2"/>
      <c r="AE937" s="2"/>
      <c r="AF937" s="2"/>
      <c r="AG937" s="2"/>
      <c r="AH937" s="2">
        <v>4</v>
      </c>
      <c r="AI937" s="2" t="s">
        <v>125</v>
      </c>
      <c r="AJ937" s="2">
        <v>26</v>
      </c>
      <c r="AK937" s="2" t="s">
        <v>293</v>
      </c>
      <c r="AL937" s="2">
        <v>19</v>
      </c>
      <c r="AM937" s="2" t="s">
        <v>107</v>
      </c>
      <c r="AN937" s="2"/>
      <c r="AO937" s="2"/>
      <c r="AP937" s="2">
        <v>11</v>
      </c>
      <c r="AQ937" s="2" t="s">
        <v>82</v>
      </c>
      <c r="AR937" s="2"/>
      <c r="AS937" s="2"/>
      <c r="AT937" s="2" t="s">
        <v>3633</v>
      </c>
      <c r="AU937" s="2"/>
      <c r="AV937" s="2"/>
      <c r="AW937" s="2"/>
      <c r="AX937" s="2"/>
      <c r="AY937" s="2">
        <v>1</v>
      </c>
      <c r="AZ937" s="2" t="s">
        <v>107</v>
      </c>
      <c r="BA937" s="2">
        <v>1</v>
      </c>
      <c r="BB937" s="2" t="s">
        <v>107</v>
      </c>
      <c r="BC937" s="2">
        <v>1</v>
      </c>
      <c r="BD937" s="2" t="s">
        <v>107</v>
      </c>
      <c r="BE937" s="2">
        <v>1</v>
      </c>
      <c r="BF937" s="2" t="s">
        <v>107</v>
      </c>
      <c r="BG937" s="2"/>
      <c r="BH937" s="2"/>
      <c r="BI937" s="2"/>
      <c r="BJ937" s="2">
        <v>242</v>
      </c>
      <c r="BK937" s="2" t="s">
        <v>107</v>
      </c>
      <c r="BL937" s="2"/>
      <c r="BM937" s="2">
        <v>242</v>
      </c>
      <c r="BN937" s="2" t="s">
        <v>107</v>
      </c>
      <c r="BO937" s="2"/>
      <c r="BP937" s="2">
        <v>242</v>
      </c>
      <c r="BQ937" s="2" t="s">
        <v>107</v>
      </c>
      <c r="BR937" s="2"/>
      <c r="BS937" s="3">
        <v>40249</v>
      </c>
      <c r="BT937" s="4">
        <v>0.66318287037037038</v>
      </c>
    </row>
    <row r="938" spans="1:72" x14ac:dyDescent="0.25">
      <c r="A938" s="2">
        <v>1466</v>
      </c>
      <c r="B938" s="2">
        <v>2010</v>
      </c>
      <c r="C938" s="2" t="s">
        <v>409</v>
      </c>
      <c r="D938" s="2" t="s">
        <v>122</v>
      </c>
      <c r="E938" s="2" t="s">
        <v>3634</v>
      </c>
      <c r="F938" s="2">
        <v>475</v>
      </c>
      <c r="G938" s="2" t="s">
        <v>1271</v>
      </c>
      <c r="H938" s="2">
        <v>38</v>
      </c>
      <c r="I938" s="2" t="s">
        <v>1272</v>
      </c>
      <c r="J938" s="2">
        <v>385</v>
      </c>
      <c r="K938" s="2" t="s">
        <v>1314</v>
      </c>
      <c r="L938" s="2" t="s">
        <v>1315</v>
      </c>
      <c r="M938" s="3">
        <v>40249</v>
      </c>
      <c r="N938" s="2" t="s">
        <v>3567</v>
      </c>
      <c r="O938" s="2" t="s">
        <v>3635</v>
      </c>
      <c r="P938" s="6">
        <v>44846</v>
      </c>
      <c r="Q938" s="2" t="str">
        <f>"12/10"</f>
        <v>12/10</v>
      </c>
      <c r="R938" s="2" t="s">
        <v>3569</v>
      </c>
      <c r="S938" s="2" t="s">
        <v>3568</v>
      </c>
      <c r="T938" s="2">
        <v>1</v>
      </c>
      <c r="U938" s="2" t="s">
        <v>79</v>
      </c>
      <c r="V938" s="2">
        <v>1</v>
      </c>
      <c r="W938" s="2" t="s">
        <v>80</v>
      </c>
      <c r="X938" s="2">
        <v>5</v>
      </c>
      <c r="Y938" s="2" t="s">
        <v>82</v>
      </c>
      <c r="Z938" s="2">
        <v>10</v>
      </c>
      <c r="AA938" s="2" t="s">
        <v>236</v>
      </c>
      <c r="AB938" s="2">
        <v>9</v>
      </c>
      <c r="AC938" s="2" t="s">
        <v>124</v>
      </c>
      <c r="AD938" s="3">
        <v>40249</v>
      </c>
      <c r="AE938" s="4">
        <v>0.57291666666666663</v>
      </c>
      <c r="AF938" s="2"/>
      <c r="AG938" s="2"/>
      <c r="AH938" s="2">
        <v>5</v>
      </c>
      <c r="AI938" s="2" t="s">
        <v>274</v>
      </c>
      <c r="AJ938" s="2">
        <v>42</v>
      </c>
      <c r="AK938" s="2" t="s">
        <v>660</v>
      </c>
      <c r="AL938" s="2">
        <v>18</v>
      </c>
      <c r="AM938" s="2" t="s">
        <v>82</v>
      </c>
      <c r="AN938" s="2" t="s">
        <v>82</v>
      </c>
      <c r="AO938" s="2" t="s">
        <v>3636</v>
      </c>
      <c r="AP938" s="2">
        <v>5</v>
      </c>
      <c r="AQ938" s="2" t="s">
        <v>827</v>
      </c>
      <c r="AR938" s="2" t="s">
        <v>82</v>
      </c>
      <c r="AS938" s="2" t="s">
        <v>82</v>
      </c>
      <c r="AT938" s="2" t="s">
        <v>3637</v>
      </c>
      <c r="AU938" s="2"/>
      <c r="AV938" s="2"/>
      <c r="AW938" s="2"/>
      <c r="AX938" s="2"/>
      <c r="AY938" s="2">
        <v>41</v>
      </c>
      <c r="AZ938" s="2" t="s">
        <v>82</v>
      </c>
      <c r="BA938" s="2">
        <v>41</v>
      </c>
      <c r="BB938" s="2" t="s">
        <v>82</v>
      </c>
      <c r="BC938" s="2">
        <v>41</v>
      </c>
      <c r="BD938" s="2" t="s">
        <v>82</v>
      </c>
      <c r="BE938" s="2">
        <v>41</v>
      </c>
      <c r="BF938" s="2" t="s">
        <v>82</v>
      </c>
      <c r="BG938" s="2" t="s">
        <v>82</v>
      </c>
      <c r="BH938" s="2"/>
      <c r="BI938" s="2"/>
      <c r="BJ938" s="2">
        <v>241</v>
      </c>
      <c r="BK938" s="2" t="s">
        <v>82</v>
      </c>
      <c r="BL938" s="2" t="s">
        <v>82</v>
      </c>
      <c r="BM938" s="2">
        <v>241</v>
      </c>
      <c r="BN938" s="2" t="s">
        <v>82</v>
      </c>
      <c r="BO938" s="2" t="s">
        <v>82</v>
      </c>
      <c r="BP938" s="2">
        <v>241</v>
      </c>
      <c r="BQ938" s="2" t="s">
        <v>82</v>
      </c>
      <c r="BR938" s="2" t="s">
        <v>82</v>
      </c>
      <c r="BS938" s="3">
        <v>40249</v>
      </c>
      <c r="BT938" s="4">
        <v>0.7093287037037036</v>
      </c>
    </row>
    <row r="939" spans="1:72" x14ac:dyDescent="0.25">
      <c r="A939" s="2">
        <v>1467</v>
      </c>
      <c r="B939" s="2">
        <v>2010</v>
      </c>
      <c r="C939" s="2" t="s">
        <v>414</v>
      </c>
      <c r="D939" s="2" t="s">
        <v>122</v>
      </c>
      <c r="E939" s="2"/>
      <c r="F939" s="2">
        <v>34</v>
      </c>
      <c r="G939" s="2" t="s">
        <v>334</v>
      </c>
      <c r="H939" s="2">
        <v>66</v>
      </c>
      <c r="I939" s="2" t="s">
        <v>3190</v>
      </c>
      <c r="J939" s="2">
        <v>409</v>
      </c>
      <c r="K939" s="2" t="s">
        <v>3638</v>
      </c>
      <c r="L939" s="2" t="s">
        <v>3639</v>
      </c>
      <c r="M939" s="3">
        <v>40249</v>
      </c>
      <c r="N939" s="2" t="s">
        <v>3640</v>
      </c>
      <c r="O939" s="2" t="s">
        <v>82</v>
      </c>
      <c r="P939" s="2" t="s">
        <v>82</v>
      </c>
      <c r="Q939" s="2" t="str">
        <f>"N/C"</f>
        <v>N/C</v>
      </c>
      <c r="R939" s="2" t="s">
        <v>82</v>
      </c>
      <c r="S939" s="2" t="s">
        <v>82</v>
      </c>
      <c r="T939" s="2">
        <v>1</v>
      </c>
      <c r="U939" s="2" t="s">
        <v>79</v>
      </c>
      <c r="V939" s="2">
        <v>1</v>
      </c>
      <c r="W939" s="2" t="s">
        <v>80</v>
      </c>
      <c r="X939" s="2">
        <v>1</v>
      </c>
      <c r="Y939" s="2" t="s">
        <v>81</v>
      </c>
      <c r="Z939" s="2">
        <v>1</v>
      </c>
      <c r="AA939" s="2" t="s">
        <v>82</v>
      </c>
      <c r="AB939" s="2">
        <v>9</v>
      </c>
      <c r="AC939" s="2" t="s">
        <v>124</v>
      </c>
      <c r="AD939" s="3">
        <v>40249</v>
      </c>
      <c r="AE939" s="4">
        <v>0.61805555555555558</v>
      </c>
      <c r="AF939" s="2"/>
      <c r="AG939" s="2"/>
      <c r="AH939" s="2">
        <v>3</v>
      </c>
      <c r="AI939" s="2" t="s">
        <v>214</v>
      </c>
      <c r="AJ939" s="2">
        <v>17</v>
      </c>
      <c r="AK939" s="2" t="s">
        <v>309</v>
      </c>
      <c r="AL939" s="2">
        <v>18</v>
      </c>
      <c r="AM939" s="2" t="s">
        <v>82</v>
      </c>
      <c r="AN939" s="2" t="s">
        <v>3641</v>
      </c>
      <c r="AO939" s="2" t="s">
        <v>3642</v>
      </c>
      <c r="AP939" s="2">
        <v>11</v>
      </c>
      <c r="AQ939" s="2" t="s">
        <v>82</v>
      </c>
      <c r="AR939" s="2" t="s">
        <v>82</v>
      </c>
      <c r="AS939" s="2" t="s">
        <v>82</v>
      </c>
      <c r="AT939" s="2" t="s">
        <v>3643</v>
      </c>
      <c r="AU939" s="2"/>
      <c r="AV939" s="2"/>
      <c r="AW939" s="2"/>
      <c r="AX939" s="2"/>
      <c r="AY939" s="2">
        <v>41</v>
      </c>
      <c r="AZ939" s="2" t="s">
        <v>82</v>
      </c>
      <c r="BA939" s="2">
        <v>41</v>
      </c>
      <c r="BB939" s="2" t="s">
        <v>82</v>
      </c>
      <c r="BC939" s="2">
        <v>41</v>
      </c>
      <c r="BD939" s="2" t="s">
        <v>82</v>
      </c>
      <c r="BE939" s="2">
        <v>13</v>
      </c>
      <c r="BF939" s="2" t="s">
        <v>108</v>
      </c>
      <c r="BG939" s="2">
        <v>1416</v>
      </c>
      <c r="BH939" s="4">
        <v>0.60763888888888895</v>
      </c>
      <c r="BI939" s="4">
        <v>0.54027777777777775</v>
      </c>
      <c r="BJ939" s="2">
        <v>13</v>
      </c>
      <c r="BK939" s="2" t="s">
        <v>91</v>
      </c>
      <c r="BL939" s="2" t="s">
        <v>185</v>
      </c>
      <c r="BM939" s="2">
        <v>241</v>
      </c>
      <c r="BN939" s="2" t="s">
        <v>82</v>
      </c>
      <c r="BO939" s="2" t="s">
        <v>82</v>
      </c>
      <c r="BP939" s="2">
        <v>13</v>
      </c>
      <c r="BQ939" s="2" t="s">
        <v>91</v>
      </c>
      <c r="BR939" s="2" t="s">
        <v>445</v>
      </c>
      <c r="BS939" s="3">
        <v>40249</v>
      </c>
      <c r="BT939" s="4">
        <v>0.72311342592592587</v>
      </c>
    </row>
    <row r="940" spans="1:72" x14ac:dyDescent="0.25">
      <c r="A940" s="2">
        <v>1468</v>
      </c>
      <c r="B940" s="2">
        <v>2010</v>
      </c>
      <c r="C940" s="2" t="s">
        <v>409</v>
      </c>
      <c r="D940" s="2" t="s">
        <v>122</v>
      </c>
      <c r="E940" s="2" t="s">
        <v>3644</v>
      </c>
      <c r="F940" s="2">
        <v>4</v>
      </c>
      <c r="G940" s="2" t="s">
        <v>911</v>
      </c>
      <c r="H940" s="2">
        <v>24</v>
      </c>
      <c r="I940" s="2" t="s">
        <v>287</v>
      </c>
      <c r="J940" s="2">
        <v>332</v>
      </c>
      <c r="K940" s="2" t="s">
        <v>913</v>
      </c>
      <c r="L940" s="2" t="s">
        <v>914</v>
      </c>
      <c r="M940" s="3">
        <v>40249</v>
      </c>
      <c r="N940" s="2" t="s">
        <v>3645</v>
      </c>
      <c r="O940" s="2" t="s">
        <v>3646</v>
      </c>
      <c r="P940" s="2" t="s">
        <v>3627</v>
      </c>
      <c r="Q940" s="2" t="str">
        <f>"0002/10"</f>
        <v>0002/10</v>
      </c>
      <c r="R940" s="2"/>
      <c r="S940" s="2"/>
      <c r="T940" s="2">
        <v>1</v>
      </c>
      <c r="U940" s="2" t="s">
        <v>79</v>
      </c>
      <c r="V940" s="2">
        <v>1</v>
      </c>
      <c r="W940" s="2" t="s">
        <v>80</v>
      </c>
      <c r="X940" s="2">
        <v>5</v>
      </c>
      <c r="Y940" s="2" t="s">
        <v>82</v>
      </c>
      <c r="Z940" s="2">
        <v>1</v>
      </c>
      <c r="AA940" s="2" t="s">
        <v>82</v>
      </c>
      <c r="AB940" s="2">
        <v>9</v>
      </c>
      <c r="AC940" s="2" t="s">
        <v>124</v>
      </c>
      <c r="AD940" s="3">
        <v>40280</v>
      </c>
      <c r="AE940" s="4">
        <v>0.63888888888888895</v>
      </c>
      <c r="AF940" s="2"/>
      <c r="AG940" s="2"/>
      <c r="AH940" s="2">
        <v>5</v>
      </c>
      <c r="AI940" s="2" t="s">
        <v>274</v>
      </c>
      <c r="AJ940" s="2">
        <v>43</v>
      </c>
      <c r="AK940" s="2" t="s">
        <v>918</v>
      </c>
      <c r="AL940" s="2">
        <v>18</v>
      </c>
      <c r="AM940" s="2" t="s">
        <v>82</v>
      </c>
      <c r="AN940" s="2"/>
      <c r="AO940" s="2"/>
      <c r="AP940" s="2">
        <v>11</v>
      </c>
      <c r="AQ940" s="2" t="s">
        <v>82</v>
      </c>
      <c r="AR940" s="2"/>
      <c r="AS940" s="2"/>
      <c r="AT940" s="2" t="s">
        <v>3647</v>
      </c>
      <c r="AU940" s="2"/>
      <c r="AV940" s="2"/>
      <c r="AW940" s="2"/>
      <c r="AX940" s="2"/>
      <c r="AY940" s="2">
        <v>42</v>
      </c>
      <c r="AZ940" s="2" t="s">
        <v>182</v>
      </c>
      <c r="BA940" s="2">
        <v>77</v>
      </c>
      <c r="BB940" s="2" t="s">
        <v>3158</v>
      </c>
      <c r="BC940" s="2">
        <v>41</v>
      </c>
      <c r="BD940" s="2" t="s">
        <v>82</v>
      </c>
      <c r="BE940" s="2">
        <v>41</v>
      </c>
      <c r="BF940" s="2" t="s">
        <v>82</v>
      </c>
      <c r="BG940" s="2"/>
      <c r="BH940" s="2"/>
      <c r="BI940" s="2"/>
      <c r="BJ940" s="2">
        <v>241</v>
      </c>
      <c r="BK940" s="2" t="s">
        <v>82</v>
      </c>
      <c r="BL940" s="2"/>
      <c r="BM940" s="2">
        <v>241</v>
      </c>
      <c r="BN940" s="2" t="s">
        <v>82</v>
      </c>
      <c r="BO940" s="2"/>
      <c r="BP940" s="2">
        <v>241</v>
      </c>
      <c r="BQ940" s="2" t="s">
        <v>82</v>
      </c>
      <c r="BR940" s="2"/>
      <c r="BS940" s="3">
        <v>40249</v>
      </c>
      <c r="BT940" s="4">
        <v>0.75416666666666676</v>
      </c>
    </row>
    <row r="941" spans="1:72" x14ac:dyDescent="0.25">
      <c r="A941" s="2">
        <v>1469</v>
      </c>
      <c r="B941" s="2">
        <v>2010</v>
      </c>
      <c r="C941" s="2" t="s">
        <v>726</v>
      </c>
      <c r="D941" s="2" t="s">
        <v>73</v>
      </c>
      <c r="E941" s="2"/>
      <c r="F941" s="2">
        <v>11</v>
      </c>
      <c r="G941" s="2" t="s">
        <v>2454</v>
      </c>
      <c r="H941" s="2">
        <v>4</v>
      </c>
      <c r="I941" s="2" t="s">
        <v>173</v>
      </c>
      <c r="J941" s="2">
        <v>19</v>
      </c>
      <c r="K941" s="2" t="s">
        <v>2144</v>
      </c>
      <c r="L941" s="2" t="s">
        <v>2145</v>
      </c>
      <c r="M941" s="3">
        <v>40249</v>
      </c>
      <c r="N941" s="2" t="s">
        <v>3648</v>
      </c>
      <c r="O941" s="2"/>
      <c r="P941" s="2"/>
      <c r="Q941" s="2" t="str">
        <f>"013/2010"</f>
        <v>013/2010</v>
      </c>
      <c r="R941" s="2" t="s">
        <v>480</v>
      </c>
      <c r="S941" s="2" t="s">
        <v>480</v>
      </c>
      <c r="T941" s="2">
        <v>1</v>
      </c>
      <c r="U941" s="2" t="s">
        <v>79</v>
      </c>
      <c r="V941" s="2">
        <v>1</v>
      </c>
      <c r="W941" s="2" t="s">
        <v>80</v>
      </c>
      <c r="X941" s="2">
        <v>1</v>
      </c>
      <c r="Y941" s="2" t="s">
        <v>81</v>
      </c>
      <c r="Z941" s="2">
        <v>1</v>
      </c>
      <c r="AA941" s="2" t="s">
        <v>82</v>
      </c>
      <c r="AB941" s="2">
        <v>9</v>
      </c>
      <c r="AC941" s="2" t="s">
        <v>124</v>
      </c>
      <c r="AD941" s="3">
        <v>40249</v>
      </c>
      <c r="AE941" s="2"/>
      <c r="AF941" s="3">
        <v>40249</v>
      </c>
      <c r="AG941" s="4">
        <v>0.70833333333333337</v>
      </c>
      <c r="AH941" s="2">
        <v>3</v>
      </c>
      <c r="AI941" s="2" t="s">
        <v>214</v>
      </c>
      <c r="AJ941" s="2">
        <v>24</v>
      </c>
      <c r="AK941" s="2" t="s">
        <v>215</v>
      </c>
      <c r="AL941" s="2">
        <v>10</v>
      </c>
      <c r="AM941" s="2" t="s">
        <v>200</v>
      </c>
      <c r="AN941" s="2" t="s">
        <v>3649</v>
      </c>
      <c r="AO941" s="2" t="s">
        <v>3650</v>
      </c>
      <c r="AP941" s="2">
        <v>11</v>
      </c>
      <c r="AQ941" s="2" t="s">
        <v>82</v>
      </c>
      <c r="AR941" s="2" t="s">
        <v>82</v>
      </c>
      <c r="AS941" s="2" t="s">
        <v>82</v>
      </c>
      <c r="AT941" s="2" t="s">
        <v>3651</v>
      </c>
      <c r="AU941" s="2"/>
      <c r="AV941" s="2"/>
      <c r="AW941" s="2"/>
      <c r="AX941" s="2"/>
      <c r="AY941" s="2">
        <v>41</v>
      </c>
      <c r="AZ941" s="2" t="s">
        <v>82</v>
      </c>
      <c r="BA941" s="2">
        <v>41</v>
      </c>
      <c r="BB941" s="2" t="s">
        <v>82</v>
      </c>
      <c r="BC941" s="2">
        <v>65</v>
      </c>
      <c r="BD941" s="2" t="s">
        <v>3652</v>
      </c>
      <c r="BE941" s="2">
        <v>41</v>
      </c>
      <c r="BF941" s="2" t="s">
        <v>82</v>
      </c>
      <c r="BG941" s="2"/>
      <c r="BH941" s="2"/>
      <c r="BI941" s="2"/>
      <c r="BJ941" s="2">
        <v>241</v>
      </c>
      <c r="BK941" s="2" t="s">
        <v>82</v>
      </c>
      <c r="BL941" s="2"/>
      <c r="BM941" s="2">
        <v>241</v>
      </c>
      <c r="BN941" s="2" t="s">
        <v>82</v>
      </c>
      <c r="BO941" s="2"/>
      <c r="BP941" s="2">
        <v>241</v>
      </c>
      <c r="BQ941" s="2" t="s">
        <v>82</v>
      </c>
      <c r="BR941" s="2"/>
      <c r="BS941" s="3">
        <v>40249</v>
      </c>
      <c r="BT941" s="4">
        <v>0.76336805555555554</v>
      </c>
    </row>
    <row r="942" spans="1:72" x14ac:dyDescent="0.25">
      <c r="A942" s="2">
        <v>1470</v>
      </c>
      <c r="B942" s="2">
        <v>2010</v>
      </c>
      <c r="C942" s="2" t="s">
        <v>385</v>
      </c>
      <c r="D942" s="2" t="s">
        <v>73</v>
      </c>
      <c r="E942" s="2"/>
      <c r="F942" s="2">
        <v>400</v>
      </c>
      <c r="G942" s="2" t="s">
        <v>3601</v>
      </c>
      <c r="H942" s="2">
        <v>17</v>
      </c>
      <c r="I942" s="2" t="s">
        <v>3602</v>
      </c>
      <c r="J942" s="2">
        <v>316</v>
      </c>
      <c r="K942" s="2" t="s">
        <v>574</v>
      </c>
      <c r="L942" s="2" t="s">
        <v>575</v>
      </c>
      <c r="M942" s="3">
        <v>40249</v>
      </c>
      <c r="N942" s="2" t="s">
        <v>3653</v>
      </c>
      <c r="O942" s="2" t="s">
        <v>3654</v>
      </c>
      <c r="P942" s="2" t="s">
        <v>3605</v>
      </c>
      <c r="Q942" s="2" t="str">
        <f>"N/C"</f>
        <v>N/C</v>
      </c>
      <c r="R942" s="2" t="s">
        <v>82</v>
      </c>
      <c r="S942" s="2" t="s">
        <v>82</v>
      </c>
      <c r="T942" s="2">
        <v>1</v>
      </c>
      <c r="U942" s="2" t="s">
        <v>79</v>
      </c>
      <c r="V942" s="2">
        <v>1</v>
      </c>
      <c r="W942" s="2" t="s">
        <v>80</v>
      </c>
      <c r="X942" s="2">
        <v>5</v>
      </c>
      <c r="Y942" s="2" t="s">
        <v>82</v>
      </c>
      <c r="Z942" s="2">
        <v>1</v>
      </c>
      <c r="AA942" s="2" t="s">
        <v>82</v>
      </c>
      <c r="AB942" s="2">
        <v>9</v>
      </c>
      <c r="AC942" s="2" t="s">
        <v>124</v>
      </c>
      <c r="AD942" s="3">
        <v>40249</v>
      </c>
      <c r="AE942" s="4">
        <v>0.54166666666666663</v>
      </c>
      <c r="AF942" s="2"/>
      <c r="AG942" s="2"/>
      <c r="AH942" s="2">
        <v>2</v>
      </c>
      <c r="AI942" s="2" t="s">
        <v>84</v>
      </c>
      <c r="AJ942" s="2">
        <v>9</v>
      </c>
      <c r="AK942" s="2" t="s">
        <v>103</v>
      </c>
      <c r="AL942" s="2">
        <v>18</v>
      </c>
      <c r="AM942" s="2" t="s">
        <v>82</v>
      </c>
      <c r="AN942" s="2" t="s">
        <v>82</v>
      </c>
      <c r="AO942" s="2" t="s">
        <v>82</v>
      </c>
      <c r="AP942" s="2">
        <v>11</v>
      </c>
      <c r="AQ942" s="2" t="s">
        <v>82</v>
      </c>
      <c r="AR942" s="2" t="s">
        <v>82</v>
      </c>
      <c r="AS942" s="2" t="s">
        <v>82</v>
      </c>
      <c r="AT942" s="2" t="s">
        <v>3655</v>
      </c>
      <c r="AU942" s="2"/>
      <c r="AV942" s="2"/>
      <c r="AW942" s="2"/>
      <c r="AX942" s="2"/>
      <c r="AY942" s="2">
        <v>1</v>
      </c>
      <c r="AZ942" s="2" t="s">
        <v>107</v>
      </c>
      <c r="BA942" s="2">
        <v>70</v>
      </c>
      <c r="BB942" s="2" t="s">
        <v>236</v>
      </c>
      <c r="BC942" s="2">
        <v>41</v>
      </c>
      <c r="BD942" s="2" t="s">
        <v>82</v>
      </c>
      <c r="BE942" s="2">
        <v>1</v>
      </c>
      <c r="BF942" s="2" t="s">
        <v>107</v>
      </c>
      <c r="BG942" s="2"/>
      <c r="BH942" s="2"/>
      <c r="BI942" s="2"/>
      <c r="BJ942" s="2">
        <v>242</v>
      </c>
      <c r="BK942" s="2" t="s">
        <v>107</v>
      </c>
      <c r="BL942" s="2"/>
      <c r="BM942" s="2">
        <v>242</v>
      </c>
      <c r="BN942" s="2" t="s">
        <v>107</v>
      </c>
      <c r="BO942" s="2"/>
      <c r="BP942" s="2">
        <v>242</v>
      </c>
      <c r="BQ942" s="2" t="s">
        <v>107</v>
      </c>
      <c r="BR942" s="2"/>
      <c r="BS942" s="3">
        <v>40249</v>
      </c>
      <c r="BT942" s="4">
        <v>0.76620370370370372</v>
      </c>
    </row>
    <row r="943" spans="1:72" x14ac:dyDescent="0.25">
      <c r="A943" s="2">
        <v>1471</v>
      </c>
      <c r="B943" s="2">
        <v>2010</v>
      </c>
      <c r="C943" s="2" t="s">
        <v>409</v>
      </c>
      <c r="D943" s="2" t="s">
        <v>122</v>
      </c>
      <c r="E943" s="2" t="s">
        <v>3656</v>
      </c>
      <c r="F943" s="2">
        <v>475</v>
      </c>
      <c r="G943" s="2" t="s">
        <v>1271</v>
      </c>
      <c r="H943" s="2">
        <v>44</v>
      </c>
      <c r="I943" s="2" t="s">
        <v>1272</v>
      </c>
      <c r="J943" s="2">
        <v>385</v>
      </c>
      <c r="K943" s="2" t="s">
        <v>1314</v>
      </c>
      <c r="L943" s="2" t="s">
        <v>1315</v>
      </c>
      <c r="M943" s="3">
        <v>40249</v>
      </c>
      <c r="N943" s="2" t="s">
        <v>1275</v>
      </c>
      <c r="O943" s="2" t="s">
        <v>3657</v>
      </c>
      <c r="P943" s="6">
        <v>44844</v>
      </c>
      <c r="Q943" s="2" t="str">
        <f>"11/2010"</f>
        <v>11/2010</v>
      </c>
      <c r="R943" s="2" t="s">
        <v>3169</v>
      </c>
      <c r="S943" s="2" t="s">
        <v>3169</v>
      </c>
      <c r="T943" s="2">
        <v>1</v>
      </c>
      <c r="U943" s="2" t="s">
        <v>79</v>
      </c>
      <c r="V943" s="2">
        <v>1</v>
      </c>
      <c r="W943" s="2" t="s">
        <v>80</v>
      </c>
      <c r="X943" s="2">
        <v>5</v>
      </c>
      <c r="Y943" s="2" t="s">
        <v>82</v>
      </c>
      <c r="Z943" s="2">
        <v>10</v>
      </c>
      <c r="AA943" s="2" t="s">
        <v>236</v>
      </c>
      <c r="AB943" s="2">
        <v>9</v>
      </c>
      <c r="AC943" s="2" t="s">
        <v>124</v>
      </c>
      <c r="AD943" s="3">
        <v>40249</v>
      </c>
      <c r="AE943" s="4">
        <v>0.54166666666666663</v>
      </c>
      <c r="AF943" s="2"/>
      <c r="AG943" s="2"/>
      <c r="AH943" s="2">
        <v>5</v>
      </c>
      <c r="AI943" s="2" t="s">
        <v>274</v>
      </c>
      <c r="AJ943" s="2">
        <v>42</v>
      </c>
      <c r="AK943" s="2" t="s">
        <v>660</v>
      </c>
      <c r="AL943" s="2">
        <v>18</v>
      </c>
      <c r="AM943" s="2" t="s">
        <v>82</v>
      </c>
      <c r="AN943" s="2" t="s">
        <v>82</v>
      </c>
      <c r="AO943" s="2" t="s">
        <v>3658</v>
      </c>
      <c r="AP943" s="2">
        <v>5</v>
      </c>
      <c r="AQ943" s="2" t="s">
        <v>827</v>
      </c>
      <c r="AR943" s="2" t="s">
        <v>82</v>
      </c>
      <c r="AS943" s="2" t="s">
        <v>82</v>
      </c>
      <c r="AT943" s="2" t="s">
        <v>3659</v>
      </c>
      <c r="AU943" s="2"/>
      <c r="AV943" s="2"/>
      <c r="AW943" s="2"/>
      <c r="AX943" s="2"/>
      <c r="AY943" s="2">
        <v>41</v>
      </c>
      <c r="AZ943" s="2" t="s">
        <v>82</v>
      </c>
      <c r="BA943" s="2">
        <v>41</v>
      </c>
      <c r="BB943" s="2" t="s">
        <v>82</v>
      </c>
      <c r="BC943" s="2">
        <v>41</v>
      </c>
      <c r="BD943" s="2" t="s">
        <v>82</v>
      </c>
      <c r="BE943" s="2">
        <v>41</v>
      </c>
      <c r="BF943" s="2" t="s">
        <v>82</v>
      </c>
      <c r="BG943" s="2" t="s">
        <v>82</v>
      </c>
      <c r="BH943" s="2"/>
      <c r="BI943" s="2"/>
      <c r="BJ943" s="2">
        <v>241</v>
      </c>
      <c r="BK943" s="2" t="s">
        <v>82</v>
      </c>
      <c r="BL943" s="2" t="s">
        <v>82</v>
      </c>
      <c r="BM943" s="2">
        <v>241</v>
      </c>
      <c r="BN943" s="2" t="s">
        <v>82</v>
      </c>
      <c r="BO943" s="2" t="s">
        <v>82</v>
      </c>
      <c r="BP943" s="2">
        <v>241</v>
      </c>
      <c r="BQ943" s="2" t="s">
        <v>82</v>
      </c>
      <c r="BR943" s="2" t="s">
        <v>82</v>
      </c>
      <c r="BS943" s="3">
        <v>40249</v>
      </c>
      <c r="BT943" s="4">
        <v>0.76839120370370362</v>
      </c>
    </row>
    <row r="944" spans="1:72" x14ac:dyDescent="0.25">
      <c r="A944" s="2">
        <v>1472</v>
      </c>
      <c r="B944" s="2">
        <v>2010</v>
      </c>
      <c r="C944" s="2" t="s">
        <v>625</v>
      </c>
      <c r="D944" s="2" t="s">
        <v>73</v>
      </c>
      <c r="E944" s="2"/>
      <c r="F944" s="2">
        <v>393</v>
      </c>
      <c r="G944" s="2" t="s">
        <v>3660</v>
      </c>
      <c r="H944" s="2">
        <v>3</v>
      </c>
      <c r="I944" s="2" t="s">
        <v>315</v>
      </c>
      <c r="J944" s="2">
        <v>2</v>
      </c>
      <c r="K944" s="2" t="s">
        <v>3661</v>
      </c>
      <c r="L944" s="2" t="s">
        <v>3662</v>
      </c>
      <c r="M944" s="3">
        <v>40249</v>
      </c>
      <c r="N944" s="2" t="s">
        <v>3663</v>
      </c>
      <c r="O944" s="2" t="s">
        <v>3664</v>
      </c>
      <c r="P944" s="2">
        <v>5745</v>
      </c>
      <c r="Q944" s="2" t="str">
        <f>"S/D"</f>
        <v>S/D</v>
      </c>
      <c r="R944" s="2"/>
      <c r="S944" s="2" t="s">
        <v>107</v>
      </c>
      <c r="T944" s="2">
        <v>1</v>
      </c>
      <c r="U944" s="2" t="s">
        <v>79</v>
      </c>
      <c r="V944" s="2">
        <v>1</v>
      </c>
      <c r="W944" s="2" t="s">
        <v>80</v>
      </c>
      <c r="X944" s="2">
        <v>5</v>
      </c>
      <c r="Y944" s="2" t="s">
        <v>82</v>
      </c>
      <c r="Z944" s="2">
        <v>1</v>
      </c>
      <c r="AA944" s="2" t="s">
        <v>82</v>
      </c>
      <c r="AB944" s="2">
        <v>9</v>
      </c>
      <c r="AC944" s="2" t="s">
        <v>124</v>
      </c>
      <c r="AD944" s="3">
        <v>40249</v>
      </c>
      <c r="AE944" s="4">
        <v>0.71875</v>
      </c>
      <c r="AF944" s="3">
        <v>40249</v>
      </c>
      <c r="AG944" s="4">
        <v>0.75</v>
      </c>
      <c r="AH944" s="2">
        <v>2</v>
      </c>
      <c r="AI944" s="2" t="s">
        <v>84</v>
      </c>
      <c r="AJ944" s="2">
        <v>6</v>
      </c>
      <c r="AK944" s="2" t="s">
        <v>453</v>
      </c>
      <c r="AL944" s="2">
        <v>18</v>
      </c>
      <c r="AM944" s="2" t="s">
        <v>82</v>
      </c>
      <c r="AN944" s="2" t="s">
        <v>3665</v>
      </c>
      <c r="AO944" s="2" t="s">
        <v>628</v>
      </c>
      <c r="AP944" s="2">
        <v>11</v>
      </c>
      <c r="AQ944" s="2" t="s">
        <v>82</v>
      </c>
      <c r="AR944" s="2"/>
      <c r="AS944" s="2"/>
      <c r="AT944" s="2" t="s">
        <v>3666</v>
      </c>
      <c r="AU944" s="2">
        <v>1</v>
      </c>
      <c r="AV944" s="2"/>
      <c r="AW944" s="2"/>
      <c r="AX944" s="2"/>
      <c r="AY944" s="2">
        <v>42</v>
      </c>
      <c r="AZ944" s="2" t="s">
        <v>182</v>
      </c>
      <c r="BA944" s="2">
        <v>41</v>
      </c>
      <c r="BB944" s="2" t="s">
        <v>82</v>
      </c>
      <c r="BC944" s="2">
        <v>41</v>
      </c>
      <c r="BD944" s="2" t="s">
        <v>82</v>
      </c>
      <c r="BE944" s="2">
        <v>41</v>
      </c>
      <c r="BF944" s="2" t="s">
        <v>82</v>
      </c>
      <c r="BG944" s="2"/>
      <c r="BH944" s="2"/>
      <c r="BI944" s="2"/>
      <c r="BJ944" s="2">
        <v>241</v>
      </c>
      <c r="BK944" s="2" t="s">
        <v>82</v>
      </c>
      <c r="BL944" s="2"/>
      <c r="BM944" s="2">
        <v>241</v>
      </c>
      <c r="BN944" s="2" t="s">
        <v>82</v>
      </c>
      <c r="BO944" s="2"/>
      <c r="BP944" s="2">
        <v>241</v>
      </c>
      <c r="BQ944" s="2" t="s">
        <v>82</v>
      </c>
      <c r="BR944" s="2"/>
      <c r="BS944" s="3">
        <v>40249</v>
      </c>
      <c r="BT944" s="4">
        <v>0.85525462962962961</v>
      </c>
    </row>
    <row r="945" spans="1:72" x14ac:dyDescent="0.25">
      <c r="A945" s="2">
        <v>1472</v>
      </c>
      <c r="B945" s="2">
        <v>2010</v>
      </c>
      <c r="C945" s="2" t="s">
        <v>171</v>
      </c>
      <c r="D945" s="2" t="s">
        <v>73</v>
      </c>
      <c r="E945" s="2"/>
      <c r="F945" s="2">
        <v>393</v>
      </c>
      <c r="G945" s="2" t="s">
        <v>3660</v>
      </c>
      <c r="H945" s="2">
        <v>3</v>
      </c>
      <c r="I945" s="2" t="s">
        <v>315</v>
      </c>
      <c r="J945" s="2">
        <v>2</v>
      </c>
      <c r="K945" s="2" t="s">
        <v>3661</v>
      </c>
      <c r="L945" s="2" t="s">
        <v>3662</v>
      </c>
      <c r="M945" s="3">
        <v>40249</v>
      </c>
      <c r="N945" s="2" t="s">
        <v>3663</v>
      </c>
      <c r="O945" s="2" t="s">
        <v>3664</v>
      </c>
      <c r="P945" s="2">
        <v>5745</v>
      </c>
      <c r="Q945" s="2" t="str">
        <f>"S/D"</f>
        <v>S/D</v>
      </c>
      <c r="R945" s="2"/>
      <c r="S945" s="2" t="s">
        <v>107</v>
      </c>
      <c r="T945" s="2">
        <v>1</v>
      </c>
      <c r="U945" s="2" t="s">
        <v>79</v>
      </c>
      <c r="V945" s="2">
        <v>1</v>
      </c>
      <c r="W945" s="2" t="s">
        <v>80</v>
      </c>
      <c r="X945" s="2">
        <v>5</v>
      </c>
      <c r="Y945" s="2" t="s">
        <v>82</v>
      </c>
      <c r="Z945" s="2">
        <v>1</v>
      </c>
      <c r="AA945" s="2" t="s">
        <v>82</v>
      </c>
      <c r="AB945" s="2">
        <v>1</v>
      </c>
      <c r="AC945" s="2" t="s">
        <v>178</v>
      </c>
      <c r="AD945" s="3">
        <v>40249</v>
      </c>
      <c r="AE945" s="4">
        <v>0.71875</v>
      </c>
      <c r="AF945" s="3">
        <v>40249</v>
      </c>
      <c r="AG945" s="4">
        <v>0.75</v>
      </c>
      <c r="AH945" s="2">
        <v>2</v>
      </c>
      <c r="AI945" s="2" t="s">
        <v>84</v>
      </c>
      <c r="AJ945" s="2">
        <v>6</v>
      </c>
      <c r="AK945" s="2" t="s">
        <v>453</v>
      </c>
      <c r="AL945" s="2">
        <v>18</v>
      </c>
      <c r="AM945" s="2" t="s">
        <v>82</v>
      </c>
      <c r="AN945" s="2" t="s">
        <v>3665</v>
      </c>
      <c r="AO945" s="2" t="s">
        <v>628</v>
      </c>
      <c r="AP945" s="2">
        <v>11</v>
      </c>
      <c r="AQ945" s="2" t="s">
        <v>82</v>
      </c>
      <c r="AR945" s="2"/>
      <c r="AS945" s="2"/>
      <c r="AT945" s="2" t="s">
        <v>3666</v>
      </c>
      <c r="AU945" s="2">
        <v>1</v>
      </c>
      <c r="AV945" s="2"/>
      <c r="AW945" s="2"/>
      <c r="AX945" s="2"/>
      <c r="AY945" s="2">
        <v>42</v>
      </c>
      <c r="AZ945" s="2" t="s">
        <v>182</v>
      </c>
      <c r="BA945" s="2">
        <v>41</v>
      </c>
      <c r="BB945" s="2" t="s">
        <v>82</v>
      </c>
      <c r="BC945" s="2">
        <v>41</v>
      </c>
      <c r="BD945" s="2" t="s">
        <v>82</v>
      </c>
      <c r="BE945" s="2">
        <v>41</v>
      </c>
      <c r="BF945" s="2" t="s">
        <v>82</v>
      </c>
      <c r="BG945" s="2"/>
      <c r="BH945" s="2"/>
      <c r="BI945" s="2"/>
      <c r="BJ945" s="2">
        <v>241</v>
      </c>
      <c r="BK945" s="2" t="s">
        <v>82</v>
      </c>
      <c r="BL945" s="2"/>
      <c r="BM945" s="2">
        <v>241</v>
      </c>
      <c r="BN945" s="2" t="s">
        <v>82</v>
      </c>
      <c r="BO945" s="2"/>
      <c r="BP945" s="2">
        <v>241</v>
      </c>
      <c r="BQ945" s="2" t="s">
        <v>82</v>
      </c>
      <c r="BR945" s="2"/>
      <c r="BS945" s="3">
        <v>40249</v>
      </c>
      <c r="BT945" s="4">
        <v>0.85525462962962961</v>
      </c>
    </row>
    <row r="946" spans="1:72" x14ac:dyDescent="0.25">
      <c r="A946" s="2">
        <v>1473</v>
      </c>
      <c r="B946" s="2">
        <v>2010</v>
      </c>
      <c r="C946" s="2" t="s">
        <v>385</v>
      </c>
      <c r="D946" s="2" t="s">
        <v>122</v>
      </c>
      <c r="E946" s="2" t="s">
        <v>3667</v>
      </c>
      <c r="F946" s="2">
        <v>400</v>
      </c>
      <c r="G946" s="2" t="s">
        <v>3601</v>
      </c>
      <c r="H946" s="2">
        <v>17</v>
      </c>
      <c r="I946" s="2" t="s">
        <v>3602</v>
      </c>
      <c r="J946" s="2">
        <v>316</v>
      </c>
      <c r="K946" s="2" t="s">
        <v>574</v>
      </c>
      <c r="L946" s="2" t="s">
        <v>575</v>
      </c>
      <c r="M946" s="3">
        <v>40249</v>
      </c>
      <c r="N946" s="2" t="s">
        <v>3603</v>
      </c>
      <c r="O946" s="2" t="s">
        <v>3604</v>
      </c>
      <c r="P946" s="2" t="s">
        <v>3605</v>
      </c>
      <c r="Q946" s="2" t="str">
        <f>"N/C"</f>
        <v>N/C</v>
      </c>
      <c r="R946" s="2" t="s">
        <v>82</v>
      </c>
      <c r="S946" s="2" t="s">
        <v>107</v>
      </c>
      <c r="T946" s="2">
        <v>1</v>
      </c>
      <c r="U946" s="2" t="s">
        <v>79</v>
      </c>
      <c r="V946" s="2">
        <v>1</v>
      </c>
      <c r="W946" s="2" t="s">
        <v>80</v>
      </c>
      <c r="X946" s="2">
        <v>5</v>
      </c>
      <c r="Y946" s="2" t="s">
        <v>82</v>
      </c>
      <c r="Z946" s="2">
        <v>1</v>
      </c>
      <c r="AA946" s="2" t="s">
        <v>82</v>
      </c>
      <c r="AB946" s="2">
        <v>9</v>
      </c>
      <c r="AC946" s="2" t="s">
        <v>124</v>
      </c>
      <c r="AD946" s="3">
        <v>40249</v>
      </c>
      <c r="AE946" s="4">
        <v>0.44097222222222227</v>
      </c>
      <c r="AF946" s="2"/>
      <c r="AG946" s="2"/>
      <c r="AH946" s="2">
        <v>2</v>
      </c>
      <c r="AI946" s="2" t="s">
        <v>84</v>
      </c>
      <c r="AJ946" s="2">
        <v>12</v>
      </c>
      <c r="AK946" s="2" t="s">
        <v>85</v>
      </c>
      <c r="AL946" s="2">
        <v>18</v>
      </c>
      <c r="AM946" s="2" t="s">
        <v>82</v>
      </c>
      <c r="AN946" s="2" t="s">
        <v>3606</v>
      </c>
      <c r="AO946" s="2" t="s">
        <v>3607</v>
      </c>
      <c r="AP946" s="2">
        <v>11</v>
      </c>
      <c r="AQ946" s="2" t="s">
        <v>82</v>
      </c>
      <c r="AR946" s="2" t="s">
        <v>82</v>
      </c>
      <c r="AS946" s="2" t="s">
        <v>82</v>
      </c>
      <c r="AT946" s="2" t="s">
        <v>3668</v>
      </c>
      <c r="AU946" s="2">
        <v>1</v>
      </c>
      <c r="AV946" s="2"/>
      <c r="AW946" s="2"/>
      <c r="AX946" s="2"/>
      <c r="AY946" s="2">
        <v>41</v>
      </c>
      <c r="AZ946" s="2" t="s">
        <v>82</v>
      </c>
      <c r="BA946" s="2">
        <v>41</v>
      </c>
      <c r="BB946" s="2" t="s">
        <v>82</v>
      </c>
      <c r="BC946" s="2">
        <v>41</v>
      </c>
      <c r="BD946" s="2" t="s">
        <v>82</v>
      </c>
      <c r="BE946" s="2">
        <v>41</v>
      </c>
      <c r="BF946" s="2" t="s">
        <v>82</v>
      </c>
      <c r="BG946" s="2"/>
      <c r="BH946" s="2"/>
      <c r="BI946" s="2"/>
      <c r="BJ946" s="2">
        <v>241</v>
      </c>
      <c r="BK946" s="2" t="s">
        <v>82</v>
      </c>
      <c r="BL946" s="2" t="s">
        <v>82</v>
      </c>
      <c r="BM946" s="2">
        <v>241</v>
      </c>
      <c r="BN946" s="2" t="s">
        <v>82</v>
      </c>
      <c r="BO946" s="2" t="s">
        <v>82</v>
      </c>
      <c r="BP946" s="2">
        <v>241</v>
      </c>
      <c r="BQ946" s="2" t="s">
        <v>82</v>
      </c>
      <c r="BR946" s="2" t="s">
        <v>82</v>
      </c>
      <c r="BS946" s="3">
        <v>40249</v>
      </c>
      <c r="BT946" s="4">
        <v>0.8730902777777777</v>
      </c>
    </row>
    <row r="947" spans="1:72" x14ac:dyDescent="0.25">
      <c r="A947" s="2">
        <v>1474</v>
      </c>
      <c r="B947" s="2">
        <v>2010</v>
      </c>
      <c r="C947" s="2" t="s">
        <v>819</v>
      </c>
      <c r="D947" s="2" t="s">
        <v>73</v>
      </c>
      <c r="E947" s="2"/>
      <c r="F947" s="2">
        <v>451</v>
      </c>
      <c r="G947" s="2" t="s">
        <v>879</v>
      </c>
      <c r="H947" s="2">
        <v>31</v>
      </c>
      <c r="I947" s="2" t="s">
        <v>880</v>
      </c>
      <c r="J947" s="2">
        <v>326</v>
      </c>
      <c r="K947" s="2" t="s">
        <v>881</v>
      </c>
      <c r="L947" s="2" t="s">
        <v>882</v>
      </c>
      <c r="M947" s="3">
        <v>40249</v>
      </c>
      <c r="N947" s="2" t="s">
        <v>821</v>
      </c>
      <c r="O947" s="2" t="s">
        <v>3296</v>
      </c>
      <c r="P947" s="2" t="s">
        <v>3620</v>
      </c>
      <c r="Q947" s="2" t="str">
        <f>"028/10"</f>
        <v>028/10</v>
      </c>
      <c r="R947" s="2" t="s">
        <v>822</v>
      </c>
      <c r="S947" s="2" t="s">
        <v>2104</v>
      </c>
      <c r="T947" s="2">
        <v>1</v>
      </c>
      <c r="U947" s="2" t="s">
        <v>79</v>
      </c>
      <c r="V947" s="2">
        <v>1</v>
      </c>
      <c r="W947" s="2" t="s">
        <v>80</v>
      </c>
      <c r="X947" s="2">
        <v>1</v>
      </c>
      <c r="Y947" s="2" t="s">
        <v>81</v>
      </c>
      <c r="Z947" s="2">
        <v>10</v>
      </c>
      <c r="AA947" s="2" t="s">
        <v>236</v>
      </c>
      <c r="AB947" s="2">
        <v>9</v>
      </c>
      <c r="AC947" s="2" t="s">
        <v>124</v>
      </c>
      <c r="AD947" s="3">
        <v>40257</v>
      </c>
      <c r="AE947" s="4">
        <v>0.85416666666666663</v>
      </c>
      <c r="AF947" s="2"/>
      <c r="AG947" s="2"/>
      <c r="AH947" s="2">
        <v>4</v>
      </c>
      <c r="AI947" s="2" t="s">
        <v>125</v>
      </c>
      <c r="AJ947" s="2">
        <v>29</v>
      </c>
      <c r="AK947" s="2" t="s">
        <v>227</v>
      </c>
      <c r="AL947" s="2">
        <v>10</v>
      </c>
      <c r="AM947" s="2" t="s">
        <v>200</v>
      </c>
      <c r="AN947" s="2" t="s">
        <v>1015</v>
      </c>
      <c r="AO947" s="2" t="s">
        <v>200</v>
      </c>
      <c r="AP947" s="2">
        <v>12</v>
      </c>
      <c r="AQ947" s="2" t="s">
        <v>322</v>
      </c>
      <c r="AR947" s="2" t="s">
        <v>824</v>
      </c>
      <c r="AS947" s="2" t="s">
        <v>825</v>
      </c>
      <c r="AT947" s="2" t="s">
        <v>3669</v>
      </c>
      <c r="AU947" s="2"/>
      <c r="AV947" s="2"/>
      <c r="AW947" s="2"/>
      <c r="AX947" s="2"/>
      <c r="AY947" s="2">
        <v>41</v>
      </c>
      <c r="AZ947" s="2" t="s">
        <v>82</v>
      </c>
      <c r="BA947" s="2">
        <v>41</v>
      </c>
      <c r="BB947" s="2" t="s">
        <v>82</v>
      </c>
      <c r="BC947" s="2">
        <v>51</v>
      </c>
      <c r="BD947" s="2" t="s">
        <v>827</v>
      </c>
      <c r="BE947" s="2">
        <v>47</v>
      </c>
      <c r="BF947" s="2" t="s">
        <v>167</v>
      </c>
      <c r="BG947" s="2">
        <v>2459</v>
      </c>
      <c r="BH947" s="4">
        <v>0.83680555555555547</v>
      </c>
      <c r="BI947" s="4">
        <v>0.86111111111111116</v>
      </c>
      <c r="BJ947" s="2">
        <v>13</v>
      </c>
      <c r="BK947" s="2" t="s">
        <v>91</v>
      </c>
      <c r="BL947" s="2" t="s">
        <v>828</v>
      </c>
      <c r="BM947" s="2">
        <v>241</v>
      </c>
      <c r="BN947" s="2" t="s">
        <v>82</v>
      </c>
      <c r="BO947" s="2" t="s">
        <v>82</v>
      </c>
      <c r="BP947" s="2">
        <v>13</v>
      </c>
      <c r="BQ947" s="2" t="s">
        <v>91</v>
      </c>
      <c r="BR947" s="2" t="s">
        <v>185</v>
      </c>
      <c r="BS947" s="3">
        <v>40249</v>
      </c>
      <c r="BT947" s="4">
        <v>0.8763657407407407</v>
      </c>
    </row>
    <row r="948" spans="1:72" x14ac:dyDescent="0.25">
      <c r="A948" s="2">
        <v>1475</v>
      </c>
      <c r="B948" s="2">
        <v>2010</v>
      </c>
      <c r="C948" s="2" t="s">
        <v>72</v>
      </c>
      <c r="D948" s="2" t="s">
        <v>73</v>
      </c>
      <c r="E948" s="2"/>
      <c r="F948" s="2">
        <v>528</v>
      </c>
      <c r="G948" s="2" t="s">
        <v>3269</v>
      </c>
      <c r="H948" s="2">
        <v>65</v>
      </c>
      <c r="I948" s="2" t="s">
        <v>3147</v>
      </c>
      <c r="J948" s="2">
        <v>458</v>
      </c>
      <c r="K948" s="2" t="s">
        <v>3270</v>
      </c>
      <c r="L948" s="2" t="s">
        <v>3271</v>
      </c>
      <c r="M948" s="3">
        <v>40249</v>
      </c>
      <c r="N948" s="2" t="s">
        <v>3149</v>
      </c>
      <c r="O948" s="2" t="s">
        <v>107</v>
      </c>
      <c r="P948" s="2" t="s">
        <v>107</v>
      </c>
      <c r="Q948" s="2" t="str">
        <f>"092A/10"</f>
        <v>092A/10</v>
      </c>
      <c r="R948" s="2" t="s">
        <v>107</v>
      </c>
      <c r="S948" s="2" t="s">
        <v>601</v>
      </c>
      <c r="T948" s="2">
        <v>1</v>
      </c>
      <c r="U948" s="2" t="s">
        <v>79</v>
      </c>
      <c r="V948" s="2">
        <v>1</v>
      </c>
      <c r="W948" s="2" t="s">
        <v>80</v>
      </c>
      <c r="X948" s="2">
        <v>1</v>
      </c>
      <c r="Y948" s="2" t="s">
        <v>81</v>
      </c>
      <c r="Z948" s="2">
        <v>1</v>
      </c>
      <c r="AA948" s="2" t="s">
        <v>82</v>
      </c>
      <c r="AB948" s="2">
        <v>6</v>
      </c>
      <c r="AC948" s="2" t="s">
        <v>83</v>
      </c>
      <c r="AD948" s="3">
        <v>40249</v>
      </c>
      <c r="AE948" s="4">
        <v>0.5625</v>
      </c>
      <c r="AF948" s="3">
        <v>40249</v>
      </c>
      <c r="AG948" s="4">
        <v>0.75</v>
      </c>
      <c r="AH948" s="2">
        <v>2</v>
      </c>
      <c r="AI948" s="2" t="s">
        <v>84</v>
      </c>
      <c r="AJ948" s="2">
        <v>12</v>
      </c>
      <c r="AK948" s="2" t="s">
        <v>85</v>
      </c>
      <c r="AL948" s="2">
        <v>10</v>
      </c>
      <c r="AM948" s="2" t="s">
        <v>200</v>
      </c>
      <c r="AN948" s="2" t="s">
        <v>82</v>
      </c>
      <c r="AO948" s="2" t="s">
        <v>82</v>
      </c>
      <c r="AP948" s="2">
        <v>11</v>
      </c>
      <c r="AQ948" s="2" t="s">
        <v>82</v>
      </c>
      <c r="AR948" s="2" t="s">
        <v>82</v>
      </c>
      <c r="AS948" s="2" t="s">
        <v>82</v>
      </c>
      <c r="AT948" s="2" t="s">
        <v>3670</v>
      </c>
      <c r="AU948" s="2"/>
      <c r="AV948" s="2"/>
      <c r="AW948" s="2"/>
      <c r="AX948" s="2"/>
      <c r="AY948" s="2">
        <v>41</v>
      </c>
      <c r="AZ948" s="2" t="s">
        <v>82</v>
      </c>
      <c r="BA948" s="2">
        <v>41</v>
      </c>
      <c r="BB948" s="2" t="s">
        <v>82</v>
      </c>
      <c r="BC948" s="2">
        <v>41</v>
      </c>
      <c r="BD948" s="2" t="s">
        <v>82</v>
      </c>
      <c r="BE948" s="2">
        <v>4</v>
      </c>
      <c r="BF948" s="2" t="s">
        <v>90</v>
      </c>
      <c r="BG948" s="2" t="s">
        <v>3436</v>
      </c>
      <c r="BH948" s="4">
        <v>0.72916666666666663</v>
      </c>
      <c r="BI948" s="4">
        <v>0.59722222222222221</v>
      </c>
      <c r="BJ948" s="2">
        <v>13</v>
      </c>
      <c r="BK948" s="2" t="s">
        <v>91</v>
      </c>
      <c r="BL948" s="2" t="s">
        <v>92</v>
      </c>
      <c r="BM948" s="2">
        <v>241</v>
      </c>
      <c r="BN948" s="2" t="s">
        <v>82</v>
      </c>
      <c r="BO948" s="2" t="s">
        <v>82</v>
      </c>
      <c r="BP948" s="2">
        <v>13</v>
      </c>
      <c r="BQ948" s="2" t="s">
        <v>91</v>
      </c>
      <c r="BR948" s="2" t="s">
        <v>185</v>
      </c>
      <c r="BS948" s="3">
        <v>40249</v>
      </c>
      <c r="BT948" s="4">
        <v>0.88924768518518515</v>
      </c>
    </row>
    <row r="949" spans="1:72" x14ac:dyDescent="0.25">
      <c r="A949" s="2">
        <v>1476</v>
      </c>
      <c r="B949" s="2">
        <v>2010</v>
      </c>
      <c r="C949" s="2" t="s">
        <v>385</v>
      </c>
      <c r="D949" s="2" t="s">
        <v>73</v>
      </c>
      <c r="E949" s="2"/>
      <c r="F949" s="2">
        <v>400</v>
      </c>
      <c r="G949" s="2" t="s">
        <v>3601</v>
      </c>
      <c r="H949" s="2">
        <v>17</v>
      </c>
      <c r="I949" s="2" t="s">
        <v>3602</v>
      </c>
      <c r="J949" s="2">
        <v>316</v>
      </c>
      <c r="K949" s="2" t="s">
        <v>574</v>
      </c>
      <c r="L949" s="2" t="s">
        <v>575</v>
      </c>
      <c r="M949" s="3">
        <v>40249</v>
      </c>
      <c r="N949" s="2" t="s">
        <v>3603</v>
      </c>
      <c r="O949" s="2" t="s">
        <v>3671</v>
      </c>
      <c r="P949" s="2" t="s">
        <v>3605</v>
      </c>
      <c r="Q949" s="2" t="str">
        <f>"N/C"</f>
        <v>N/C</v>
      </c>
      <c r="R949" s="2" t="s">
        <v>82</v>
      </c>
      <c r="S949" s="2" t="s">
        <v>107</v>
      </c>
      <c r="T949" s="2">
        <v>1</v>
      </c>
      <c r="U949" s="2" t="s">
        <v>79</v>
      </c>
      <c r="V949" s="2">
        <v>1</v>
      </c>
      <c r="W949" s="2" t="s">
        <v>80</v>
      </c>
      <c r="X949" s="2">
        <v>5</v>
      </c>
      <c r="Y949" s="2" t="s">
        <v>82</v>
      </c>
      <c r="Z949" s="2">
        <v>1</v>
      </c>
      <c r="AA949" s="2" t="s">
        <v>82</v>
      </c>
      <c r="AB949" s="2">
        <v>9</v>
      </c>
      <c r="AC949" s="2" t="s">
        <v>124</v>
      </c>
      <c r="AD949" s="3">
        <v>40249</v>
      </c>
      <c r="AE949" s="4">
        <v>0.69791666666666663</v>
      </c>
      <c r="AF949" s="2"/>
      <c r="AG949" s="2"/>
      <c r="AH949" s="2">
        <v>2</v>
      </c>
      <c r="AI949" s="2" t="s">
        <v>84</v>
      </c>
      <c r="AJ949" s="2">
        <v>12</v>
      </c>
      <c r="AK949" s="2" t="s">
        <v>85</v>
      </c>
      <c r="AL949" s="2">
        <v>18</v>
      </c>
      <c r="AM949" s="2" t="s">
        <v>82</v>
      </c>
      <c r="AN949" s="2" t="s">
        <v>3672</v>
      </c>
      <c r="AO949" s="2" t="s">
        <v>3607</v>
      </c>
      <c r="AP949" s="2">
        <v>11</v>
      </c>
      <c r="AQ949" s="2" t="s">
        <v>82</v>
      </c>
      <c r="AR949" s="2" t="s">
        <v>82</v>
      </c>
      <c r="AS949" s="2" t="s">
        <v>82</v>
      </c>
      <c r="AT949" s="2" t="s">
        <v>3673</v>
      </c>
      <c r="AU949" s="2"/>
      <c r="AV949" s="2"/>
      <c r="AW949" s="2"/>
      <c r="AX949" s="2"/>
      <c r="AY949" s="2">
        <v>41</v>
      </c>
      <c r="AZ949" s="2" t="s">
        <v>82</v>
      </c>
      <c r="BA949" s="2">
        <v>41</v>
      </c>
      <c r="BB949" s="2" t="s">
        <v>82</v>
      </c>
      <c r="BC949" s="2">
        <v>41</v>
      </c>
      <c r="BD949" s="2" t="s">
        <v>82</v>
      </c>
      <c r="BE949" s="2">
        <v>41</v>
      </c>
      <c r="BF949" s="2" t="s">
        <v>82</v>
      </c>
      <c r="BG949" s="2" t="s">
        <v>82</v>
      </c>
      <c r="BH949" s="2"/>
      <c r="BI949" s="2"/>
      <c r="BJ949" s="2">
        <v>241</v>
      </c>
      <c r="BK949" s="2" t="s">
        <v>82</v>
      </c>
      <c r="BL949" s="2" t="s">
        <v>82</v>
      </c>
      <c r="BM949" s="2">
        <v>241</v>
      </c>
      <c r="BN949" s="2" t="s">
        <v>82</v>
      </c>
      <c r="BO949" s="2" t="s">
        <v>82</v>
      </c>
      <c r="BP949" s="2">
        <v>241</v>
      </c>
      <c r="BQ949" s="2" t="s">
        <v>82</v>
      </c>
      <c r="BR949" s="2" t="s">
        <v>82</v>
      </c>
      <c r="BS949" s="3">
        <v>40249</v>
      </c>
      <c r="BT949" s="4">
        <v>0.89815972222222218</v>
      </c>
    </row>
    <row r="950" spans="1:72" x14ac:dyDescent="0.25">
      <c r="A950" s="2">
        <v>1477</v>
      </c>
      <c r="B950" s="2">
        <v>2010</v>
      </c>
      <c r="C950" s="2" t="s">
        <v>819</v>
      </c>
      <c r="D950" s="2" t="s">
        <v>73</v>
      </c>
      <c r="E950" s="2"/>
      <c r="F950" s="2">
        <v>400</v>
      </c>
      <c r="G950" s="2" t="s">
        <v>3601</v>
      </c>
      <c r="H950" s="2">
        <v>17</v>
      </c>
      <c r="I950" s="2" t="s">
        <v>3602</v>
      </c>
      <c r="J950" s="2">
        <v>316</v>
      </c>
      <c r="K950" s="2" t="s">
        <v>574</v>
      </c>
      <c r="L950" s="2" t="s">
        <v>575</v>
      </c>
      <c r="M950" s="3">
        <v>40249</v>
      </c>
      <c r="N950" s="2" t="s">
        <v>3674</v>
      </c>
      <c r="O950" s="2" t="s">
        <v>3675</v>
      </c>
      <c r="P950" s="2" t="s">
        <v>3605</v>
      </c>
      <c r="Q950" s="2" t="str">
        <f>"N/C"</f>
        <v>N/C</v>
      </c>
      <c r="R950" s="2" t="s">
        <v>82</v>
      </c>
      <c r="S950" s="2" t="s">
        <v>82</v>
      </c>
      <c r="T950" s="2">
        <v>1</v>
      </c>
      <c r="U950" s="2" t="s">
        <v>79</v>
      </c>
      <c r="V950" s="2">
        <v>1</v>
      </c>
      <c r="W950" s="2" t="s">
        <v>80</v>
      </c>
      <c r="X950" s="2">
        <v>2</v>
      </c>
      <c r="Y950" s="2" t="s">
        <v>136</v>
      </c>
      <c r="Z950" s="2">
        <v>1</v>
      </c>
      <c r="AA950" s="2" t="s">
        <v>82</v>
      </c>
      <c r="AB950" s="2">
        <v>9</v>
      </c>
      <c r="AC950" s="2" t="s">
        <v>124</v>
      </c>
      <c r="AD950" s="3">
        <v>40247</v>
      </c>
      <c r="AE950" s="4">
        <v>0.4375</v>
      </c>
      <c r="AF950" s="2"/>
      <c r="AG950" s="2"/>
      <c r="AH950" s="2">
        <v>2</v>
      </c>
      <c r="AI950" s="2" t="s">
        <v>84</v>
      </c>
      <c r="AJ950" s="2">
        <v>5</v>
      </c>
      <c r="AK950" s="2" t="s">
        <v>84</v>
      </c>
      <c r="AL950" s="2">
        <v>14</v>
      </c>
      <c r="AM950" s="2" t="s">
        <v>216</v>
      </c>
      <c r="AN950" s="2" t="s">
        <v>1346</v>
      </c>
      <c r="AO950" s="2" t="s">
        <v>3676</v>
      </c>
      <c r="AP950" s="2">
        <v>11</v>
      </c>
      <c r="AQ950" s="2" t="s">
        <v>82</v>
      </c>
      <c r="AR950" s="2" t="s">
        <v>82</v>
      </c>
      <c r="AS950" s="2" t="s">
        <v>82</v>
      </c>
      <c r="AT950" s="2" t="s">
        <v>3677</v>
      </c>
      <c r="AU950" s="2"/>
      <c r="AV950" s="2">
        <v>10</v>
      </c>
      <c r="AW950" s="2"/>
      <c r="AX950" s="2"/>
      <c r="AY950" s="2">
        <v>41</v>
      </c>
      <c r="AZ950" s="2" t="s">
        <v>82</v>
      </c>
      <c r="BA950" s="2">
        <v>41</v>
      </c>
      <c r="BB950" s="2" t="s">
        <v>82</v>
      </c>
      <c r="BC950" s="2">
        <v>41</v>
      </c>
      <c r="BD950" s="2" t="s">
        <v>82</v>
      </c>
      <c r="BE950" s="2">
        <v>26</v>
      </c>
      <c r="BF950" s="2" t="s">
        <v>1999</v>
      </c>
      <c r="BG950" s="2" t="s">
        <v>3678</v>
      </c>
      <c r="BH950" s="4">
        <v>0.4375</v>
      </c>
      <c r="BI950" s="2"/>
      <c r="BJ950" s="2">
        <v>75</v>
      </c>
      <c r="BK950" s="2" t="s">
        <v>1264</v>
      </c>
      <c r="BL950" s="2" t="s">
        <v>82</v>
      </c>
      <c r="BM950" s="2">
        <v>241</v>
      </c>
      <c r="BN950" s="2" t="s">
        <v>82</v>
      </c>
      <c r="BO950" s="2" t="s">
        <v>82</v>
      </c>
      <c r="BP950" s="2">
        <v>13</v>
      </c>
      <c r="BQ950" s="2" t="s">
        <v>91</v>
      </c>
      <c r="BR950" s="2" t="s">
        <v>360</v>
      </c>
      <c r="BS950" s="3">
        <v>40249</v>
      </c>
      <c r="BT950" s="4">
        <v>0.90410879629629637</v>
      </c>
    </row>
    <row r="951" spans="1:72" x14ac:dyDescent="0.25">
      <c r="A951" s="2">
        <v>1478</v>
      </c>
      <c r="B951" s="2">
        <v>2010</v>
      </c>
      <c r="C951" s="2" t="s">
        <v>819</v>
      </c>
      <c r="D951" s="2" t="s">
        <v>122</v>
      </c>
      <c r="E951" s="2" t="s">
        <v>3679</v>
      </c>
      <c r="F951" s="2">
        <v>400</v>
      </c>
      <c r="G951" s="2" t="s">
        <v>3601</v>
      </c>
      <c r="H951" s="2">
        <v>17</v>
      </c>
      <c r="I951" s="2" t="s">
        <v>3602</v>
      </c>
      <c r="J951" s="2">
        <v>316</v>
      </c>
      <c r="K951" s="2" t="s">
        <v>574</v>
      </c>
      <c r="L951" s="2" t="s">
        <v>575</v>
      </c>
      <c r="M951" s="3">
        <v>40250</v>
      </c>
      <c r="N951" s="2" t="s">
        <v>3674</v>
      </c>
      <c r="O951" s="2" t="s">
        <v>3675</v>
      </c>
      <c r="P951" s="2" t="s">
        <v>3605</v>
      </c>
      <c r="Q951" s="2" t="str">
        <f>"N/C"</f>
        <v>N/C</v>
      </c>
      <c r="R951" s="2" t="s">
        <v>82</v>
      </c>
      <c r="S951" s="2" t="s">
        <v>82</v>
      </c>
      <c r="T951" s="2">
        <v>1</v>
      </c>
      <c r="U951" s="2" t="s">
        <v>79</v>
      </c>
      <c r="V951" s="2">
        <v>1</v>
      </c>
      <c r="W951" s="2" t="s">
        <v>80</v>
      </c>
      <c r="X951" s="2">
        <v>2</v>
      </c>
      <c r="Y951" s="2" t="s">
        <v>136</v>
      </c>
      <c r="Z951" s="2">
        <v>1</v>
      </c>
      <c r="AA951" s="2" t="s">
        <v>82</v>
      </c>
      <c r="AB951" s="2">
        <v>9</v>
      </c>
      <c r="AC951" s="2" t="s">
        <v>124</v>
      </c>
      <c r="AD951" s="3">
        <v>40247</v>
      </c>
      <c r="AE951" s="4">
        <v>0.4375</v>
      </c>
      <c r="AF951" s="2"/>
      <c r="AG951" s="2"/>
      <c r="AH951" s="2">
        <v>2</v>
      </c>
      <c r="AI951" s="2" t="s">
        <v>84</v>
      </c>
      <c r="AJ951" s="2">
        <v>5</v>
      </c>
      <c r="AK951" s="2" t="s">
        <v>84</v>
      </c>
      <c r="AL951" s="2">
        <v>14</v>
      </c>
      <c r="AM951" s="2" t="s">
        <v>216</v>
      </c>
      <c r="AN951" s="2" t="s">
        <v>1346</v>
      </c>
      <c r="AO951" s="2" t="s">
        <v>3676</v>
      </c>
      <c r="AP951" s="2">
        <v>11</v>
      </c>
      <c r="AQ951" s="2" t="s">
        <v>82</v>
      </c>
      <c r="AR951" s="2" t="s">
        <v>82</v>
      </c>
      <c r="AS951" s="2" t="s">
        <v>82</v>
      </c>
      <c r="AT951" s="2" t="s">
        <v>3680</v>
      </c>
      <c r="AU951" s="2"/>
      <c r="AV951" s="2"/>
      <c r="AW951" s="2"/>
      <c r="AX951" s="2"/>
      <c r="AY951" s="2">
        <v>41</v>
      </c>
      <c r="AZ951" s="2" t="s">
        <v>82</v>
      </c>
      <c r="BA951" s="2">
        <v>41</v>
      </c>
      <c r="BB951" s="2" t="s">
        <v>82</v>
      </c>
      <c r="BC951" s="2">
        <v>41</v>
      </c>
      <c r="BD951" s="2" t="s">
        <v>82</v>
      </c>
      <c r="BE951" s="2">
        <v>26</v>
      </c>
      <c r="BF951" s="2" t="s">
        <v>1999</v>
      </c>
      <c r="BG951" s="2" t="s">
        <v>3678</v>
      </c>
      <c r="BH951" s="4">
        <v>0.4375</v>
      </c>
      <c r="BI951" s="2"/>
      <c r="BJ951" s="2">
        <v>75</v>
      </c>
      <c r="BK951" s="2" t="s">
        <v>1264</v>
      </c>
      <c r="BL951" s="2" t="s">
        <v>82</v>
      </c>
      <c r="BM951" s="2">
        <v>241</v>
      </c>
      <c r="BN951" s="2" t="s">
        <v>82</v>
      </c>
      <c r="BO951" s="2" t="s">
        <v>82</v>
      </c>
      <c r="BP951" s="2">
        <v>13</v>
      </c>
      <c r="BQ951" s="2" t="s">
        <v>91</v>
      </c>
      <c r="BR951" s="2" t="s">
        <v>360</v>
      </c>
      <c r="BS951" s="3">
        <v>40250</v>
      </c>
      <c r="BT951" s="4">
        <v>9.4351851851851853E-2</v>
      </c>
    </row>
    <row r="952" spans="1:72" x14ac:dyDescent="0.25">
      <c r="A952" s="2">
        <v>1479</v>
      </c>
      <c r="B952" s="2">
        <v>2010</v>
      </c>
      <c r="C952" s="2" t="s">
        <v>385</v>
      </c>
      <c r="D952" s="2" t="s">
        <v>122</v>
      </c>
      <c r="E952" s="2" t="s">
        <v>3681</v>
      </c>
      <c r="F952" s="2">
        <v>400</v>
      </c>
      <c r="G952" s="2" t="s">
        <v>3601</v>
      </c>
      <c r="H952" s="2">
        <v>17</v>
      </c>
      <c r="I952" s="2" t="s">
        <v>3602</v>
      </c>
      <c r="J952" s="2">
        <v>316</v>
      </c>
      <c r="K952" s="2" t="s">
        <v>574</v>
      </c>
      <c r="L952" s="2" t="s">
        <v>575</v>
      </c>
      <c r="M952" s="3">
        <v>40250</v>
      </c>
      <c r="N952" s="2" t="s">
        <v>3603</v>
      </c>
      <c r="O952" s="2" t="s">
        <v>3604</v>
      </c>
      <c r="P952" s="2" t="s">
        <v>3605</v>
      </c>
      <c r="Q952" s="2" t="str">
        <f>"N/C"</f>
        <v>N/C</v>
      </c>
      <c r="R952" s="2" t="s">
        <v>107</v>
      </c>
      <c r="S952" s="2" t="s">
        <v>82</v>
      </c>
      <c r="T952" s="2">
        <v>1</v>
      </c>
      <c r="U952" s="2" t="s">
        <v>79</v>
      </c>
      <c r="V952" s="2">
        <v>1</v>
      </c>
      <c r="W952" s="2" t="s">
        <v>80</v>
      </c>
      <c r="X952" s="2">
        <v>5</v>
      </c>
      <c r="Y952" s="2" t="s">
        <v>82</v>
      </c>
      <c r="Z952" s="2">
        <v>1</v>
      </c>
      <c r="AA952" s="2" t="s">
        <v>82</v>
      </c>
      <c r="AB952" s="2">
        <v>9</v>
      </c>
      <c r="AC952" s="2" t="s">
        <v>124</v>
      </c>
      <c r="AD952" s="3">
        <v>40249</v>
      </c>
      <c r="AE952" s="4">
        <v>0.44097222222222227</v>
      </c>
      <c r="AF952" s="2"/>
      <c r="AG952" s="2"/>
      <c r="AH952" s="2">
        <v>2</v>
      </c>
      <c r="AI952" s="2" t="s">
        <v>84</v>
      </c>
      <c r="AJ952" s="2">
        <v>12</v>
      </c>
      <c r="AK952" s="2" t="s">
        <v>85</v>
      </c>
      <c r="AL952" s="2">
        <v>18</v>
      </c>
      <c r="AM952" s="2" t="s">
        <v>82</v>
      </c>
      <c r="AN952" s="2" t="s">
        <v>3682</v>
      </c>
      <c r="AO952" s="2" t="s">
        <v>3607</v>
      </c>
      <c r="AP952" s="2">
        <v>11</v>
      </c>
      <c r="AQ952" s="2" t="s">
        <v>82</v>
      </c>
      <c r="AR952" s="2" t="s">
        <v>82</v>
      </c>
      <c r="AS952" s="2" t="s">
        <v>82</v>
      </c>
      <c r="AT952" s="2" t="s">
        <v>3683</v>
      </c>
      <c r="AU952" s="2">
        <v>1</v>
      </c>
      <c r="AV952" s="2"/>
      <c r="AW952" s="2"/>
      <c r="AX952" s="2"/>
      <c r="AY952" s="2">
        <v>41</v>
      </c>
      <c r="AZ952" s="2" t="s">
        <v>82</v>
      </c>
      <c r="BA952" s="2">
        <v>41</v>
      </c>
      <c r="BB952" s="2" t="s">
        <v>82</v>
      </c>
      <c r="BC952" s="2">
        <v>41</v>
      </c>
      <c r="BD952" s="2" t="s">
        <v>82</v>
      </c>
      <c r="BE952" s="2">
        <v>41</v>
      </c>
      <c r="BF952" s="2" t="s">
        <v>82</v>
      </c>
      <c r="BG952" s="2"/>
      <c r="BH952" s="2"/>
      <c r="BI952" s="2"/>
      <c r="BJ952" s="2">
        <v>241</v>
      </c>
      <c r="BK952" s="2" t="s">
        <v>82</v>
      </c>
      <c r="BL952" s="2" t="s">
        <v>82</v>
      </c>
      <c r="BM952" s="2">
        <v>241</v>
      </c>
      <c r="BN952" s="2" t="s">
        <v>82</v>
      </c>
      <c r="BO952" s="2" t="s">
        <v>82</v>
      </c>
      <c r="BP952" s="2">
        <v>241</v>
      </c>
      <c r="BQ952" s="2" t="s">
        <v>82</v>
      </c>
      <c r="BR952" s="2" t="s">
        <v>82</v>
      </c>
      <c r="BS952" s="3">
        <v>40250</v>
      </c>
      <c r="BT952" s="4">
        <v>0.27440972222222221</v>
      </c>
    </row>
    <row r="953" spans="1:72" x14ac:dyDescent="0.25">
      <c r="A953" s="2">
        <v>1480</v>
      </c>
      <c r="B953" s="2">
        <v>2010</v>
      </c>
      <c r="C953" s="2" t="s">
        <v>385</v>
      </c>
      <c r="D953" s="2" t="s">
        <v>122</v>
      </c>
      <c r="E953" s="2" t="s">
        <v>3684</v>
      </c>
      <c r="F953" s="2">
        <v>400</v>
      </c>
      <c r="G953" s="2" t="s">
        <v>3601</v>
      </c>
      <c r="H953" s="2">
        <v>17</v>
      </c>
      <c r="I953" s="2" t="s">
        <v>3602</v>
      </c>
      <c r="J953" s="2">
        <v>316</v>
      </c>
      <c r="K953" s="2" t="s">
        <v>574</v>
      </c>
      <c r="L953" s="2" t="s">
        <v>575</v>
      </c>
      <c r="M953" s="3">
        <v>40250</v>
      </c>
      <c r="N953" s="2" t="s">
        <v>3603</v>
      </c>
      <c r="O953" s="2" t="s">
        <v>3671</v>
      </c>
      <c r="P953" s="2" t="s">
        <v>3605</v>
      </c>
      <c r="Q953" s="2" t="str">
        <f>"N/C"</f>
        <v>N/C</v>
      </c>
      <c r="R953" s="2" t="s">
        <v>107</v>
      </c>
      <c r="S953" s="2" t="s">
        <v>82</v>
      </c>
      <c r="T953" s="2">
        <v>1</v>
      </c>
      <c r="U953" s="2" t="s">
        <v>79</v>
      </c>
      <c r="V953" s="2">
        <v>1</v>
      </c>
      <c r="W953" s="2" t="s">
        <v>80</v>
      </c>
      <c r="X953" s="2">
        <v>5</v>
      </c>
      <c r="Y953" s="2" t="s">
        <v>82</v>
      </c>
      <c r="Z953" s="2">
        <v>1</v>
      </c>
      <c r="AA953" s="2" t="s">
        <v>82</v>
      </c>
      <c r="AB953" s="2">
        <v>9</v>
      </c>
      <c r="AC953" s="2" t="s">
        <v>124</v>
      </c>
      <c r="AD953" s="3">
        <v>40249</v>
      </c>
      <c r="AE953" s="4">
        <v>0.69791666666666663</v>
      </c>
      <c r="AF953" s="2"/>
      <c r="AG953" s="2"/>
      <c r="AH953" s="2">
        <v>2</v>
      </c>
      <c r="AI953" s="2" t="s">
        <v>84</v>
      </c>
      <c r="AJ953" s="2">
        <v>12</v>
      </c>
      <c r="AK953" s="2" t="s">
        <v>85</v>
      </c>
      <c r="AL953" s="2">
        <v>18</v>
      </c>
      <c r="AM953" s="2" t="s">
        <v>82</v>
      </c>
      <c r="AN953" s="2" t="s">
        <v>3672</v>
      </c>
      <c r="AO953" s="2" t="s">
        <v>3607</v>
      </c>
      <c r="AP953" s="2">
        <v>11</v>
      </c>
      <c r="AQ953" s="2" t="s">
        <v>82</v>
      </c>
      <c r="AR953" s="2" t="s">
        <v>82</v>
      </c>
      <c r="AS953" s="2" t="s">
        <v>82</v>
      </c>
      <c r="AT953" s="2" t="s">
        <v>3685</v>
      </c>
      <c r="AU953" s="2"/>
      <c r="AV953" s="2"/>
      <c r="AW953" s="2"/>
      <c r="AX953" s="2"/>
      <c r="AY953" s="2">
        <v>41</v>
      </c>
      <c r="AZ953" s="2" t="s">
        <v>82</v>
      </c>
      <c r="BA953" s="2">
        <v>41</v>
      </c>
      <c r="BB953" s="2" t="s">
        <v>82</v>
      </c>
      <c r="BC953" s="2">
        <v>41</v>
      </c>
      <c r="BD953" s="2" t="s">
        <v>82</v>
      </c>
      <c r="BE953" s="2">
        <v>41</v>
      </c>
      <c r="BF953" s="2" t="s">
        <v>82</v>
      </c>
      <c r="BG953" s="2" t="s">
        <v>82</v>
      </c>
      <c r="BH953" s="2"/>
      <c r="BI953" s="2"/>
      <c r="BJ953" s="2">
        <v>241</v>
      </c>
      <c r="BK953" s="2" t="s">
        <v>82</v>
      </c>
      <c r="BL953" s="2" t="s">
        <v>82</v>
      </c>
      <c r="BM953" s="2">
        <v>241</v>
      </c>
      <c r="BN953" s="2" t="s">
        <v>82</v>
      </c>
      <c r="BO953" s="2" t="s">
        <v>82</v>
      </c>
      <c r="BP953" s="2">
        <v>241</v>
      </c>
      <c r="BQ953" s="2" t="s">
        <v>82</v>
      </c>
      <c r="BR953" s="2" t="s">
        <v>82</v>
      </c>
      <c r="BS953" s="3">
        <v>40250</v>
      </c>
      <c r="BT953" s="4">
        <v>0.28778935185185184</v>
      </c>
    </row>
    <row r="954" spans="1:72" x14ac:dyDescent="0.25">
      <c r="A954" s="2">
        <v>1481</v>
      </c>
      <c r="B954" s="2">
        <v>2010</v>
      </c>
      <c r="C954" s="2" t="s">
        <v>171</v>
      </c>
      <c r="D954" s="2" t="s">
        <v>73</v>
      </c>
      <c r="E954" s="2"/>
      <c r="F954" s="2">
        <v>158</v>
      </c>
      <c r="G954" s="2" t="s">
        <v>3026</v>
      </c>
      <c r="H954" s="2">
        <v>17</v>
      </c>
      <c r="I954" s="2" t="s">
        <v>3602</v>
      </c>
      <c r="J954" s="2">
        <v>164</v>
      </c>
      <c r="K954" s="2" t="s">
        <v>3254</v>
      </c>
      <c r="L954" s="2" t="s">
        <v>946</v>
      </c>
      <c r="M954" s="3">
        <v>40250</v>
      </c>
      <c r="N954" s="2" t="s">
        <v>3686</v>
      </c>
      <c r="O954" s="2" t="s">
        <v>107</v>
      </c>
      <c r="P954" s="2" t="s">
        <v>107</v>
      </c>
      <c r="Q954" s="2" t="str">
        <f>"093-A/10"</f>
        <v>093-A/10</v>
      </c>
      <c r="R954" s="2" t="s">
        <v>107</v>
      </c>
      <c r="S954" s="2" t="s">
        <v>1035</v>
      </c>
      <c r="T954" s="2">
        <v>1</v>
      </c>
      <c r="U954" s="2" t="s">
        <v>79</v>
      </c>
      <c r="V954" s="2">
        <v>1</v>
      </c>
      <c r="W954" s="2" t="s">
        <v>80</v>
      </c>
      <c r="X954" s="2">
        <v>1</v>
      </c>
      <c r="Y954" s="2" t="s">
        <v>81</v>
      </c>
      <c r="Z954" s="2">
        <v>1</v>
      </c>
      <c r="AA954" s="2" t="s">
        <v>82</v>
      </c>
      <c r="AB954" s="2">
        <v>1</v>
      </c>
      <c r="AC954" s="2" t="s">
        <v>178</v>
      </c>
      <c r="AD954" s="3">
        <v>40249</v>
      </c>
      <c r="AE954" s="4">
        <v>0.92361111111111116</v>
      </c>
      <c r="AF954" s="3">
        <v>40249</v>
      </c>
      <c r="AG954" s="4">
        <v>0.95833333333333337</v>
      </c>
      <c r="AH954" s="2">
        <v>2</v>
      </c>
      <c r="AI954" s="2" t="s">
        <v>84</v>
      </c>
      <c r="AJ954" s="2">
        <v>12</v>
      </c>
      <c r="AK954" s="2" t="s">
        <v>85</v>
      </c>
      <c r="AL954" s="2">
        <v>14</v>
      </c>
      <c r="AM954" s="2" t="s">
        <v>216</v>
      </c>
      <c r="AN954" s="2" t="s">
        <v>788</v>
      </c>
      <c r="AO954" s="2" t="s">
        <v>3687</v>
      </c>
      <c r="AP954" s="2">
        <v>11</v>
      </c>
      <c r="AQ954" s="2" t="s">
        <v>82</v>
      </c>
      <c r="AR954" s="2" t="s">
        <v>82</v>
      </c>
      <c r="AS954" s="2" t="s">
        <v>82</v>
      </c>
      <c r="AT954" s="2" t="s">
        <v>3688</v>
      </c>
      <c r="AU954" s="2">
        <v>1</v>
      </c>
      <c r="AV954" s="2"/>
      <c r="AW954" s="2"/>
      <c r="AX954" s="2"/>
      <c r="AY954" s="2">
        <v>41</v>
      </c>
      <c r="AZ954" s="2" t="s">
        <v>82</v>
      </c>
      <c r="BA954" s="2">
        <v>41</v>
      </c>
      <c r="BB954" s="2" t="s">
        <v>82</v>
      </c>
      <c r="BC954" s="2">
        <v>41</v>
      </c>
      <c r="BD954" s="2" t="s">
        <v>82</v>
      </c>
      <c r="BE954" s="2">
        <v>47</v>
      </c>
      <c r="BF954" s="2" t="s">
        <v>167</v>
      </c>
      <c r="BG954" s="2" t="s">
        <v>3689</v>
      </c>
      <c r="BH954" s="2"/>
      <c r="BI954" s="4">
        <v>0.95833333333333337</v>
      </c>
      <c r="BJ954" s="2">
        <v>13</v>
      </c>
      <c r="BK954" s="2" t="s">
        <v>91</v>
      </c>
      <c r="BL954" s="2" t="s">
        <v>3690</v>
      </c>
      <c r="BM954" s="2">
        <v>241</v>
      </c>
      <c r="BN954" s="2" t="s">
        <v>82</v>
      </c>
      <c r="BO954" s="2" t="s">
        <v>82</v>
      </c>
      <c r="BP954" s="2">
        <v>13</v>
      </c>
      <c r="BQ954" s="2" t="s">
        <v>91</v>
      </c>
      <c r="BR954" s="2" t="s">
        <v>492</v>
      </c>
      <c r="BS954" s="3">
        <v>40250</v>
      </c>
      <c r="BT954" s="4">
        <v>0.33478009259259256</v>
      </c>
    </row>
    <row r="955" spans="1:72" x14ac:dyDescent="0.25">
      <c r="A955" s="2">
        <v>1482</v>
      </c>
      <c r="B955" s="2">
        <v>2010</v>
      </c>
      <c r="C955" s="2" t="s">
        <v>171</v>
      </c>
      <c r="D955" s="2" t="s">
        <v>73</v>
      </c>
      <c r="E955" s="2"/>
      <c r="F955" s="2">
        <v>231</v>
      </c>
      <c r="G955" s="2" t="s">
        <v>450</v>
      </c>
      <c r="H955" s="2">
        <v>12</v>
      </c>
      <c r="I955" s="2" t="s">
        <v>95</v>
      </c>
      <c r="J955" s="2">
        <v>245</v>
      </c>
      <c r="K955" s="2" t="s">
        <v>96</v>
      </c>
      <c r="L955" s="2" t="s">
        <v>97</v>
      </c>
      <c r="M955" s="3">
        <v>40250</v>
      </c>
      <c r="N955" s="2" t="s">
        <v>3691</v>
      </c>
      <c r="O955" s="2" t="s">
        <v>107</v>
      </c>
      <c r="P955" s="2" t="s">
        <v>107</v>
      </c>
      <c r="Q955" s="2" t="str">
        <f>"134-E/10"</f>
        <v>134-E/10</v>
      </c>
      <c r="R955" s="2" t="s">
        <v>107</v>
      </c>
      <c r="S955" s="2" t="s">
        <v>391</v>
      </c>
      <c r="T955" s="2">
        <v>1</v>
      </c>
      <c r="U955" s="2" t="s">
        <v>79</v>
      </c>
      <c r="V955" s="2">
        <v>1</v>
      </c>
      <c r="W955" s="2" t="s">
        <v>80</v>
      </c>
      <c r="X955" s="2">
        <v>1</v>
      </c>
      <c r="Y955" s="2" t="s">
        <v>81</v>
      </c>
      <c r="Z955" s="2">
        <v>1</v>
      </c>
      <c r="AA955" s="2" t="s">
        <v>82</v>
      </c>
      <c r="AB955" s="2">
        <v>1</v>
      </c>
      <c r="AC955" s="2" t="s">
        <v>178</v>
      </c>
      <c r="AD955" s="3">
        <v>40249</v>
      </c>
      <c r="AE955" s="4">
        <v>0.95833333333333337</v>
      </c>
      <c r="AF955" s="3">
        <v>40250</v>
      </c>
      <c r="AG955" s="4">
        <v>0.17708333333333334</v>
      </c>
      <c r="AH955" s="2">
        <v>2</v>
      </c>
      <c r="AI955" s="2" t="s">
        <v>84</v>
      </c>
      <c r="AJ955" s="2">
        <v>9</v>
      </c>
      <c r="AK955" s="2" t="s">
        <v>103</v>
      </c>
      <c r="AL955" s="2">
        <v>14</v>
      </c>
      <c r="AM955" s="2" t="s">
        <v>216</v>
      </c>
      <c r="AN955" s="2" t="s">
        <v>3692</v>
      </c>
      <c r="AO955" s="2" t="s">
        <v>82</v>
      </c>
      <c r="AP955" s="2">
        <v>11</v>
      </c>
      <c r="AQ955" s="2" t="s">
        <v>82</v>
      </c>
      <c r="AR955" s="2"/>
      <c r="AS955" s="2"/>
      <c r="AT955" s="2" t="s">
        <v>3693</v>
      </c>
      <c r="AU955" s="2"/>
      <c r="AV955" s="2">
        <v>1</v>
      </c>
      <c r="AW955" s="2"/>
      <c r="AX955" s="2"/>
      <c r="AY955" s="2">
        <v>41</v>
      </c>
      <c r="AZ955" s="2" t="s">
        <v>82</v>
      </c>
      <c r="BA955" s="2">
        <v>41</v>
      </c>
      <c r="BB955" s="2" t="s">
        <v>82</v>
      </c>
      <c r="BC955" s="2">
        <v>41</v>
      </c>
      <c r="BD955" s="2" t="s">
        <v>82</v>
      </c>
      <c r="BE955" s="2">
        <v>31</v>
      </c>
      <c r="BF955" s="2" t="s">
        <v>398</v>
      </c>
      <c r="BG955" s="2" t="s">
        <v>1511</v>
      </c>
      <c r="BH955" s="2"/>
      <c r="BI955" s="4">
        <v>0.95833333333333337</v>
      </c>
      <c r="BJ955" s="2">
        <v>13</v>
      </c>
      <c r="BK955" s="2" t="s">
        <v>91</v>
      </c>
      <c r="BL955" s="2" t="s">
        <v>1362</v>
      </c>
      <c r="BM955" s="2">
        <v>73</v>
      </c>
      <c r="BN955" s="2" t="s">
        <v>186</v>
      </c>
      <c r="BO955" s="2" t="s">
        <v>187</v>
      </c>
      <c r="BP955" s="2">
        <v>225</v>
      </c>
      <c r="BQ955" s="2" t="s">
        <v>2998</v>
      </c>
      <c r="BR955" s="2" t="s">
        <v>2999</v>
      </c>
      <c r="BS955" s="3">
        <v>40250</v>
      </c>
      <c r="BT955" s="4">
        <v>0.43817129629629631</v>
      </c>
    </row>
    <row r="956" spans="1:72" x14ac:dyDescent="0.25">
      <c r="A956" s="2">
        <v>1485</v>
      </c>
      <c r="B956" s="2">
        <v>2010</v>
      </c>
      <c r="C956" s="2" t="s">
        <v>819</v>
      </c>
      <c r="D956" s="2" t="s">
        <v>122</v>
      </c>
      <c r="E956" s="2" t="s">
        <v>3694</v>
      </c>
      <c r="F956" s="2">
        <v>451</v>
      </c>
      <c r="G956" s="2" t="s">
        <v>879</v>
      </c>
      <c r="H956" s="2">
        <v>31</v>
      </c>
      <c r="I956" s="2" t="s">
        <v>880</v>
      </c>
      <c r="J956" s="2">
        <v>326</v>
      </c>
      <c r="K956" s="2" t="s">
        <v>881</v>
      </c>
      <c r="L956" s="2" t="s">
        <v>882</v>
      </c>
      <c r="M956" s="3">
        <v>40250</v>
      </c>
      <c r="N956" s="2" t="s">
        <v>821</v>
      </c>
      <c r="O956" s="2" t="s">
        <v>3296</v>
      </c>
      <c r="P956" s="2" t="s">
        <v>3620</v>
      </c>
      <c r="Q956" s="2" t="str">
        <f>"028/10"</f>
        <v>028/10</v>
      </c>
      <c r="R956" s="2" t="s">
        <v>822</v>
      </c>
      <c r="S956" s="2" t="s">
        <v>3695</v>
      </c>
      <c r="T956" s="2">
        <v>1</v>
      </c>
      <c r="U956" s="2" t="s">
        <v>79</v>
      </c>
      <c r="V956" s="2">
        <v>1</v>
      </c>
      <c r="W956" s="2" t="s">
        <v>80</v>
      </c>
      <c r="X956" s="2">
        <v>1</v>
      </c>
      <c r="Y956" s="2" t="s">
        <v>81</v>
      </c>
      <c r="Z956" s="2">
        <v>10</v>
      </c>
      <c r="AA956" s="2" t="s">
        <v>236</v>
      </c>
      <c r="AB956" s="2">
        <v>9</v>
      </c>
      <c r="AC956" s="2" t="s">
        <v>124</v>
      </c>
      <c r="AD956" s="3">
        <v>40250</v>
      </c>
      <c r="AE956" s="4">
        <v>0.3888888888888889</v>
      </c>
      <c r="AF956" s="2"/>
      <c r="AG956" s="2"/>
      <c r="AH956" s="2">
        <v>4</v>
      </c>
      <c r="AI956" s="2" t="s">
        <v>125</v>
      </c>
      <c r="AJ956" s="2">
        <v>29</v>
      </c>
      <c r="AK956" s="2" t="s">
        <v>227</v>
      </c>
      <c r="AL956" s="2">
        <v>10</v>
      </c>
      <c r="AM956" s="2" t="s">
        <v>200</v>
      </c>
      <c r="AN956" s="2"/>
      <c r="AO956" s="2" t="s">
        <v>883</v>
      </c>
      <c r="AP956" s="2">
        <v>12</v>
      </c>
      <c r="AQ956" s="2" t="s">
        <v>322</v>
      </c>
      <c r="AR956" s="2" t="s">
        <v>824</v>
      </c>
      <c r="AS956" s="2" t="s">
        <v>825</v>
      </c>
      <c r="AT956" s="2" t="s">
        <v>3696</v>
      </c>
      <c r="AU956" s="2"/>
      <c r="AV956" s="2"/>
      <c r="AW956" s="2"/>
      <c r="AX956" s="2"/>
      <c r="AY956" s="2">
        <v>41</v>
      </c>
      <c r="AZ956" s="2" t="s">
        <v>82</v>
      </c>
      <c r="BA956" s="2">
        <v>41</v>
      </c>
      <c r="BB956" s="2" t="s">
        <v>82</v>
      </c>
      <c r="BC956" s="2">
        <v>51</v>
      </c>
      <c r="BD956" s="2" t="s">
        <v>827</v>
      </c>
      <c r="BE956" s="2">
        <v>47</v>
      </c>
      <c r="BF956" s="2" t="s">
        <v>167</v>
      </c>
      <c r="BG956" s="2">
        <v>2459</v>
      </c>
      <c r="BH956" s="4">
        <v>0.92013888888888884</v>
      </c>
      <c r="BI956" s="4">
        <v>0.94444444444444453</v>
      </c>
      <c r="BJ956" s="2">
        <v>13</v>
      </c>
      <c r="BK956" s="2" t="s">
        <v>91</v>
      </c>
      <c r="BL956" s="2" t="s">
        <v>828</v>
      </c>
      <c r="BM956" s="2">
        <v>241</v>
      </c>
      <c r="BN956" s="2" t="s">
        <v>82</v>
      </c>
      <c r="BO956" s="2" t="s">
        <v>82</v>
      </c>
      <c r="BP956" s="2">
        <v>13</v>
      </c>
      <c r="BQ956" s="2" t="s">
        <v>91</v>
      </c>
      <c r="BR956" s="2" t="s">
        <v>185</v>
      </c>
      <c r="BS956" s="3">
        <v>40250</v>
      </c>
      <c r="BT956" s="4">
        <v>0.51398148148148148</v>
      </c>
    </row>
    <row r="957" spans="1:72" x14ac:dyDescent="0.25">
      <c r="A957" s="2">
        <v>1486</v>
      </c>
      <c r="B957" s="2">
        <v>2010</v>
      </c>
      <c r="C957" s="2" t="s">
        <v>72</v>
      </c>
      <c r="D957" s="2" t="s">
        <v>73</v>
      </c>
      <c r="E957" s="2"/>
      <c r="F957" s="2">
        <v>388</v>
      </c>
      <c r="G957" s="2" t="s">
        <v>3114</v>
      </c>
      <c r="H957" s="2">
        <v>22</v>
      </c>
      <c r="I957" s="2" t="s">
        <v>75</v>
      </c>
      <c r="J957" s="2">
        <v>452</v>
      </c>
      <c r="K957" s="2" t="s">
        <v>3115</v>
      </c>
      <c r="L957" s="2" t="s">
        <v>3116</v>
      </c>
      <c r="M957" s="3">
        <v>40250</v>
      </c>
      <c r="N957" s="2" t="s">
        <v>3697</v>
      </c>
      <c r="O957" s="2" t="s">
        <v>107</v>
      </c>
      <c r="P957" s="2" t="s">
        <v>107</v>
      </c>
      <c r="Q957" s="2" t="str">
        <f>"0004/10"</f>
        <v>0004/10</v>
      </c>
      <c r="R957" s="2" t="s">
        <v>3698</v>
      </c>
      <c r="S957" s="2" t="s">
        <v>3698</v>
      </c>
      <c r="T957" s="2">
        <v>1</v>
      </c>
      <c r="U957" s="2" t="s">
        <v>79</v>
      </c>
      <c r="V957" s="2">
        <v>1</v>
      </c>
      <c r="W957" s="2" t="s">
        <v>80</v>
      </c>
      <c r="X957" s="2">
        <v>1</v>
      </c>
      <c r="Y957" s="2" t="s">
        <v>81</v>
      </c>
      <c r="Z957" s="2">
        <v>10</v>
      </c>
      <c r="AA957" s="2" t="s">
        <v>236</v>
      </c>
      <c r="AB957" s="2">
        <v>6</v>
      </c>
      <c r="AC957" s="2" t="s">
        <v>83</v>
      </c>
      <c r="AD957" s="3">
        <v>40250</v>
      </c>
      <c r="AE957" s="4">
        <v>0.62152777777777779</v>
      </c>
      <c r="AF957" s="3">
        <v>40250</v>
      </c>
      <c r="AG957" s="4">
        <v>0.62152777777777779</v>
      </c>
      <c r="AH957" s="2">
        <v>5</v>
      </c>
      <c r="AI957" s="2" t="s">
        <v>274</v>
      </c>
      <c r="AJ957" s="2">
        <v>43</v>
      </c>
      <c r="AK957" s="2" t="s">
        <v>918</v>
      </c>
      <c r="AL957" s="2">
        <v>14</v>
      </c>
      <c r="AM957" s="2" t="s">
        <v>216</v>
      </c>
      <c r="AN957" s="2" t="s">
        <v>82</v>
      </c>
      <c r="AO957" s="2" t="s">
        <v>3699</v>
      </c>
      <c r="AP957" s="2">
        <v>11</v>
      </c>
      <c r="AQ957" s="2" t="s">
        <v>82</v>
      </c>
      <c r="AR957" s="2" t="s">
        <v>82</v>
      </c>
      <c r="AS957" s="2" t="s">
        <v>82</v>
      </c>
      <c r="AT957" s="2" t="s">
        <v>3700</v>
      </c>
      <c r="AU957" s="2"/>
      <c r="AV957" s="2"/>
      <c r="AW957" s="2"/>
      <c r="AX957" s="2"/>
      <c r="AY957" s="2">
        <v>41</v>
      </c>
      <c r="AZ957" s="2" t="s">
        <v>82</v>
      </c>
      <c r="BA957" s="2">
        <v>41</v>
      </c>
      <c r="BB957" s="2" t="s">
        <v>82</v>
      </c>
      <c r="BC957" s="2">
        <v>13</v>
      </c>
      <c r="BD957" s="2" t="s">
        <v>108</v>
      </c>
      <c r="BE957" s="2">
        <v>13</v>
      </c>
      <c r="BF957" s="2" t="s">
        <v>108</v>
      </c>
      <c r="BG957" s="2">
        <v>2754</v>
      </c>
      <c r="BH957" s="4">
        <v>0.57638888888888895</v>
      </c>
      <c r="BI957" s="4">
        <v>0.60069444444444442</v>
      </c>
      <c r="BJ957" s="2">
        <v>241</v>
      </c>
      <c r="BK957" s="2" t="s">
        <v>82</v>
      </c>
      <c r="BL957" s="2" t="s">
        <v>170</v>
      </c>
      <c r="BM957" s="2">
        <v>241</v>
      </c>
      <c r="BN957" s="2" t="s">
        <v>82</v>
      </c>
      <c r="BO957" s="2" t="s">
        <v>82</v>
      </c>
      <c r="BP957" s="2">
        <v>241</v>
      </c>
      <c r="BQ957" s="2" t="s">
        <v>82</v>
      </c>
      <c r="BR957" s="2" t="s">
        <v>3387</v>
      </c>
      <c r="BS957" s="3">
        <v>40250</v>
      </c>
      <c r="BT957" s="4">
        <v>0.7015393518518519</v>
      </c>
    </row>
    <row r="958" spans="1:72" x14ac:dyDescent="0.25">
      <c r="A958" s="2">
        <v>1487</v>
      </c>
      <c r="B958" s="2">
        <v>2010</v>
      </c>
      <c r="C958" s="2" t="s">
        <v>72</v>
      </c>
      <c r="D958" s="2" t="s">
        <v>73</v>
      </c>
      <c r="E958" s="2"/>
      <c r="F958" s="2">
        <v>2</v>
      </c>
      <c r="G958" s="2" t="s">
        <v>113</v>
      </c>
      <c r="H958" s="2">
        <v>1</v>
      </c>
      <c r="I958" s="2" t="s">
        <v>82</v>
      </c>
      <c r="J958" s="2">
        <v>300</v>
      </c>
      <c r="K958" s="2" t="s">
        <v>114</v>
      </c>
      <c r="L958" s="2" t="s">
        <v>115</v>
      </c>
      <c r="M958" s="3">
        <v>40250</v>
      </c>
      <c r="N958" s="2"/>
      <c r="O958" s="2" t="s">
        <v>107</v>
      </c>
      <c r="P958" s="2" t="s">
        <v>107</v>
      </c>
      <c r="Q958" s="2" t="str">
        <f>"136-E/10"</f>
        <v>136-E/10</v>
      </c>
      <c r="R958" s="2" t="s">
        <v>116</v>
      </c>
      <c r="S958" s="2" t="s">
        <v>116</v>
      </c>
      <c r="T958" s="2">
        <v>1</v>
      </c>
      <c r="U958" s="2" t="s">
        <v>79</v>
      </c>
      <c r="V958" s="2">
        <v>1</v>
      </c>
      <c r="W958" s="2" t="s">
        <v>80</v>
      </c>
      <c r="X958" s="2">
        <v>5</v>
      </c>
      <c r="Y958" s="2" t="s">
        <v>82</v>
      </c>
      <c r="Z958" s="2">
        <v>1</v>
      </c>
      <c r="AA958" s="2" t="s">
        <v>82</v>
      </c>
      <c r="AB958" s="2">
        <v>6</v>
      </c>
      <c r="AC958" s="2" t="s">
        <v>83</v>
      </c>
      <c r="AD958" s="3">
        <v>40250</v>
      </c>
      <c r="AE958" s="4">
        <v>0.39583333333333331</v>
      </c>
      <c r="AF958" s="3">
        <v>40250</v>
      </c>
      <c r="AG958" s="4">
        <v>0.4375</v>
      </c>
      <c r="AH958" s="2">
        <v>2</v>
      </c>
      <c r="AI958" s="2" t="s">
        <v>84</v>
      </c>
      <c r="AJ958" s="2">
        <v>9</v>
      </c>
      <c r="AK958" s="2" t="s">
        <v>103</v>
      </c>
      <c r="AL958" s="2">
        <v>12</v>
      </c>
      <c r="AM958" s="2" t="s">
        <v>86</v>
      </c>
      <c r="AN958" s="2" t="s">
        <v>3701</v>
      </c>
      <c r="AO958" s="2" t="s">
        <v>3702</v>
      </c>
      <c r="AP958" s="2">
        <v>11</v>
      </c>
      <c r="AQ958" s="2" t="s">
        <v>82</v>
      </c>
      <c r="AR958" s="2"/>
      <c r="AS958" s="2"/>
      <c r="AT958" s="2" t="s">
        <v>3703</v>
      </c>
      <c r="AU958" s="2"/>
      <c r="AV958" s="2"/>
      <c r="AW958" s="2"/>
      <c r="AX958" s="2"/>
      <c r="AY958" s="2">
        <v>41</v>
      </c>
      <c r="AZ958" s="2" t="s">
        <v>82</v>
      </c>
      <c r="BA958" s="2">
        <v>41</v>
      </c>
      <c r="BB958" s="2" t="s">
        <v>82</v>
      </c>
      <c r="BC958" s="2">
        <v>41</v>
      </c>
      <c r="BD958" s="2" t="s">
        <v>82</v>
      </c>
      <c r="BE958" s="2">
        <v>4</v>
      </c>
      <c r="BF958" s="2" t="s">
        <v>90</v>
      </c>
      <c r="BG958" s="2" t="s">
        <v>3704</v>
      </c>
      <c r="BH958" s="4">
        <v>0.33333333333333331</v>
      </c>
      <c r="BI958" s="2"/>
      <c r="BJ958" s="2">
        <v>75</v>
      </c>
      <c r="BK958" s="2" t="s">
        <v>1264</v>
      </c>
      <c r="BL958" s="2" t="s">
        <v>1361</v>
      </c>
      <c r="BM958" s="2">
        <v>241</v>
      </c>
      <c r="BN958" s="2" t="s">
        <v>82</v>
      </c>
      <c r="BO958" s="2"/>
      <c r="BP958" s="2">
        <v>13</v>
      </c>
      <c r="BQ958" s="2" t="s">
        <v>91</v>
      </c>
      <c r="BR958" s="2" t="s">
        <v>1362</v>
      </c>
      <c r="BS958" s="3">
        <v>40250</v>
      </c>
      <c r="BT958" s="4">
        <v>0.7085069444444444</v>
      </c>
    </row>
    <row r="959" spans="1:72" x14ac:dyDescent="0.25">
      <c r="A959" s="2">
        <v>1488</v>
      </c>
      <c r="B959" s="2">
        <v>2010</v>
      </c>
      <c r="C959" s="2" t="s">
        <v>72</v>
      </c>
      <c r="D959" s="2" t="s">
        <v>73</v>
      </c>
      <c r="E959" s="2"/>
      <c r="F959" s="2">
        <v>390</v>
      </c>
      <c r="G959" s="2" t="s">
        <v>475</v>
      </c>
      <c r="H959" s="2">
        <v>36</v>
      </c>
      <c r="I959" s="2" t="s">
        <v>3488</v>
      </c>
      <c r="J959" s="2">
        <v>314</v>
      </c>
      <c r="K959" s="2" t="s">
        <v>477</v>
      </c>
      <c r="L959" s="2" t="s">
        <v>478</v>
      </c>
      <c r="M959" s="3">
        <v>40250</v>
      </c>
      <c r="N959" s="2" t="s">
        <v>3705</v>
      </c>
      <c r="O959" s="2" t="s">
        <v>107</v>
      </c>
      <c r="P959" s="2" t="s">
        <v>107</v>
      </c>
      <c r="Q959" s="2" t="str">
        <f>"135-E/10"</f>
        <v>135-E/10</v>
      </c>
      <c r="R959" s="2" t="s">
        <v>107</v>
      </c>
      <c r="S959" s="2" t="s">
        <v>480</v>
      </c>
      <c r="T959" s="2">
        <v>1</v>
      </c>
      <c r="U959" s="2" t="s">
        <v>79</v>
      </c>
      <c r="V959" s="2">
        <v>1</v>
      </c>
      <c r="W959" s="2" t="s">
        <v>80</v>
      </c>
      <c r="X959" s="2">
        <v>1</v>
      </c>
      <c r="Y959" s="2" t="s">
        <v>81</v>
      </c>
      <c r="Z959" s="2">
        <v>1</v>
      </c>
      <c r="AA959" s="2" t="s">
        <v>82</v>
      </c>
      <c r="AB959" s="2">
        <v>6</v>
      </c>
      <c r="AC959" s="2" t="s">
        <v>83</v>
      </c>
      <c r="AD959" s="3">
        <v>40250</v>
      </c>
      <c r="AE959" s="4">
        <v>0.40277777777777773</v>
      </c>
      <c r="AF959" s="3">
        <v>40250</v>
      </c>
      <c r="AG959" s="4">
        <v>0.45833333333333331</v>
      </c>
      <c r="AH959" s="2">
        <v>2</v>
      </c>
      <c r="AI959" s="2" t="s">
        <v>84</v>
      </c>
      <c r="AJ959" s="2">
        <v>9</v>
      </c>
      <c r="AK959" s="2" t="s">
        <v>103</v>
      </c>
      <c r="AL959" s="2">
        <v>14</v>
      </c>
      <c r="AM959" s="2" t="s">
        <v>216</v>
      </c>
      <c r="AN959" s="2" t="s">
        <v>3706</v>
      </c>
      <c r="AO959" s="2" t="s">
        <v>3322</v>
      </c>
      <c r="AP959" s="2">
        <v>11</v>
      </c>
      <c r="AQ959" s="2" t="s">
        <v>82</v>
      </c>
      <c r="AR959" s="2"/>
      <c r="AS959" s="2"/>
      <c r="AT959" s="2" t="s">
        <v>3707</v>
      </c>
      <c r="AU959" s="2"/>
      <c r="AV959" s="2"/>
      <c r="AW959" s="2"/>
      <c r="AX959" s="2"/>
      <c r="AY959" s="2">
        <v>69</v>
      </c>
      <c r="AZ959" s="2" t="s">
        <v>483</v>
      </c>
      <c r="BA959" s="2">
        <v>69</v>
      </c>
      <c r="BB959" s="2" t="s">
        <v>483</v>
      </c>
      <c r="BC959" s="2">
        <v>41</v>
      </c>
      <c r="BD959" s="2" t="s">
        <v>82</v>
      </c>
      <c r="BE959" s="2">
        <v>23</v>
      </c>
      <c r="BF959" s="2" t="s">
        <v>183</v>
      </c>
      <c r="BG959" s="2" t="s">
        <v>184</v>
      </c>
      <c r="BH959" s="4">
        <v>0.33333333333333331</v>
      </c>
      <c r="BI959" s="2"/>
      <c r="BJ959" s="2">
        <v>73</v>
      </c>
      <c r="BK959" s="2" t="s">
        <v>186</v>
      </c>
      <c r="BL959" s="2" t="s">
        <v>187</v>
      </c>
      <c r="BM959" s="2">
        <v>241</v>
      </c>
      <c r="BN959" s="2" t="s">
        <v>82</v>
      </c>
      <c r="BO959" s="2"/>
      <c r="BP959" s="2">
        <v>13</v>
      </c>
      <c r="BQ959" s="2" t="s">
        <v>91</v>
      </c>
      <c r="BR959" s="2" t="s">
        <v>185</v>
      </c>
      <c r="BS959" s="3">
        <v>40250</v>
      </c>
      <c r="BT959" s="4">
        <v>0.75434027777777779</v>
      </c>
    </row>
    <row r="960" spans="1:72" x14ac:dyDescent="0.25">
      <c r="A960" s="2">
        <v>1489</v>
      </c>
      <c r="B960" s="2">
        <v>2010</v>
      </c>
      <c r="C960" s="2" t="s">
        <v>171</v>
      </c>
      <c r="D960" s="2" t="s">
        <v>73</v>
      </c>
      <c r="E960" s="2"/>
      <c r="F960" s="2">
        <v>158</v>
      </c>
      <c r="G960" s="2" t="s">
        <v>3026</v>
      </c>
      <c r="H960" s="2">
        <v>17</v>
      </c>
      <c r="I960" s="2" t="s">
        <v>3602</v>
      </c>
      <c r="J960" s="2">
        <v>451</v>
      </c>
      <c r="K960" s="2" t="s">
        <v>3028</v>
      </c>
      <c r="L960" s="2" t="s">
        <v>3029</v>
      </c>
      <c r="M960" s="3">
        <v>40250</v>
      </c>
      <c r="N960" s="2" t="s">
        <v>3708</v>
      </c>
      <c r="O960" s="2" t="s">
        <v>107</v>
      </c>
      <c r="P960" s="2" t="s">
        <v>107</v>
      </c>
      <c r="Q960" s="2" t="str">
        <f>"094-A/10"</f>
        <v>094-A/10</v>
      </c>
      <c r="R960" s="2" t="s">
        <v>107</v>
      </c>
      <c r="S960" s="2" t="s">
        <v>1035</v>
      </c>
      <c r="T960" s="2">
        <v>1</v>
      </c>
      <c r="U960" s="2" t="s">
        <v>79</v>
      </c>
      <c r="V960" s="2">
        <v>1</v>
      </c>
      <c r="W960" s="2" t="s">
        <v>80</v>
      </c>
      <c r="X960" s="2">
        <v>1</v>
      </c>
      <c r="Y960" s="2" t="s">
        <v>81</v>
      </c>
      <c r="Z960" s="2">
        <v>1</v>
      </c>
      <c r="AA960" s="2" t="s">
        <v>82</v>
      </c>
      <c r="AB960" s="2">
        <v>1</v>
      </c>
      <c r="AC960" s="2" t="s">
        <v>178</v>
      </c>
      <c r="AD960" s="3">
        <v>40250</v>
      </c>
      <c r="AE960" s="4">
        <v>0.51388888888888895</v>
      </c>
      <c r="AF960" s="3">
        <v>40250</v>
      </c>
      <c r="AG960" s="4">
        <v>0.54166666666666663</v>
      </c>
      <c r="AH960" s="2">
        <v>2</v>
      </c>
      <c r="AI960" s="2" t="s">
        <v>84</v>
      </c>
      <c r="AJ960" s="2">
        <v>12</v>
      </c>
      <c r="AK960" s="2" t="s">
        <v>85</v>
      </c>
      <c r="AL960" s="2">
        <v>14</v>
      </c>
      <c r="AM960" s="2" t="s">
        <v>216</v>
      </c>
      <c r="AN960" s="2" t="s">
        <v>919</v>
      </c>
      <c r="AO960" s="2" t="s">
        <v>3709</v>
      </c>
      <c r="AP960" s="2">
        <v>11</v>
      </c>
      <c r="AQ960" s="2" t="s">
        <v>82</v>
      </c>
      <c r="AR960" s="2" t="s">
        <v>82</v>
      </c>
      <c r="AS960" s="2" t="s">
        <v>82</v>
      </c>
      <c r="AT960" s="2" t="s">
        <v>3710</v>
      </c>
      <c r="AU960" s="2">
        <v>1</v>
      </c>
      <c r="AV960" s="2"/>
      <c r="AW960" s="2"/>
      <c r="AX960" s="2"/>
      <c r="AY960" s="2">
        <v>41</v>
      </c>
      <c r="AZ960" s="2" t="s">
        <v>82</v>
      </c>
      <c r="BA960" s="2">
        <v>41</v>
      </c>
      <c r="BB960" s="2" t="s">
        <v>82</v>
      </c>
      <c r="BC960" s="2">
        <v>41</v>
      </c>
      <c r="BD960" s="2" t="s">
        <v>82</v>
      </c>
      <c r="BE960" s="2">
        <v>47</v>
      </c>
      <c r="BF960" s="2" t="s">
        <v>167</v>
      </c>
      <c r="BG960" s="2" t="s">
        <v>3711</v>
      </c>
      <c r="BH960" s="4">
        <v>0.55208333333333337</v>
      </c>
      <c r="BI960" s="4">
        <v>0.52083333333333337</v>
      </c>
      <c r="BJ960" s="2">
        <v>13</v>
      </c>
      <c r="BK960" s="2" t="s">
        <v>91</v>
      </c>
      <c r="BL960" s="2" t="s">
        <v>3712</v>
      </c>
      <c r="BM960" s="2">
        <v>241</v>
      </c>
      <c r="BN960" s="2" t="s">
        <v>82</v>
      </c>
      <c r="BO960" s="2" t="s">
        <v>82</v>
      </c>
      <c r="BP960" s="2">
        <v>13</v>
      </c>
      <c r="BQ960" s="2" t="s">
        <v>91</v>
      </c>
      <c r="BR960" s="2" t="s">
        <v>647</v>
      </c>
      <c r="BS960" s="3">
        <v>40250</v>
      </c>
      <c r="BT960" s="4">
        <v>0.77891203703703704</v>
      </c>
    </row>
    <row r="961" spans="1:72" x14ac:dyDescent="0.25">
      <c r="A961" s="2">
        <v>1491</v>
      </c>
      <c r="B961" s="2">
        <v>2010</v>
      </c>
      <c r="C961" s="2" t="s">
        <v>171</v>
      </c>
      <c r="D961" s="2" t="s">
        <v>73</v>
      </c>
      <c r="E961" s="2"/>
      <c r="F961" s="2">
        <v>158</v>
      </c>
      <c r="G961" s="2" t="s">
        <v>3026</v>
      </c>
      <c r="H961" s="2">
        <v>17</v>
      </c>
      <c r="I961" s="2" t="s">
        <v>3602</v>
      </c>
      <c r="J961" s="2">
        <v>451</v>
      </c>
      <c r="K961" s="2" t="s">
        <v>3028</v>
      </c>
      <c r="L961" s="2" t="s">
        <v>3029</v>
      </c>
      <c r="M961" s="3">
        <v>40250</v>
      </c>
      <c r="N961" s="2" t="s">
        <v>3686</v>
      </c>
      <c r="O961" s="2" t="s">
        <v>107</v>
      </c>
      <c r="P961" s="2" t="s">
        <v>107</v>
      </c>
      <c r="Q961" s="2" t="str">
        <f>"095-A/10"</f>
        <v>095-A/10</v>
      </c>
      <c r="R961" s="2" t="s">
        <v>107</v>
      </c>
      <c r="S961" s="2" t="s">
        <v>1035</v>
      </c>
      <c r="T961" s="2">
        <v>1</v>
      </c>
      <c r="U961" s="2" t="s">
        <v>79</v>
      </c>
      <c r="V961" s="2">
        <v>1</v>
      </c>
      <c r="W961" s="2" t="s">
        <v>80</v>
      </c>
      <c r="X961" s="2">
        <v>1</v>
      </c>
      <c r="Y961" s="2" t="s">
        <v>81</v>
      </c>
      <c r="Z961" s="2">
        <v>1</v>
      </c>
      <c r="AA961" s="2" t="s">
        <v>82</v>
      </c>
      <c r="AB961" s="2">
        <v>1</v>
      </c>
      <c r="AC961" s="2" t="s">
        <v>178</v>
      </c>
      <c r="AD961" s="3">
        <v>40250</v>
      </c>
      <c r="AE961" s="4">
        <v>0.72222222222222221</v>
      </c>
      <c r="AF961" s="3">
        <v>40250</v>
      </c>
      <c r="AG961" s="4">
        <v>0.82638888888888884</v>
      </c>
      <c r="AH961" s="2">
        <v>2</v>
      </c>
      <c r="AI961" s="2" t="s">
        <v>84</v>
      </c>
      <c r="AJ961" s="2">
        <v>12</v>
      </c>
      <c r="AK961" s="2" t="s">
        <v>85</v>
      </c>
      <c r="AL961" s="2">
        <v>14</v>
      </c>
      <c r="AM961" s="2" t="s">
        <v>216</v>
      </c>
      <c r="AN961" s="2" t="s">
        <v>919</v>
      </c>
      <c r="AO961" s="2" t="s">
        <v>3713</v>
      </c>
      <c r="AP961" s="2">
        <v>11</v>
      </c>
      <c r="AQ961" s="2" t="s">
        <v>82</v>
      </c>
      <c r="AR961" s="2"/>
      <c r="AS961" s="2"/>
      <c r="AT961" s="2" t="s">
        <v>3714</v>
      </c>
      <c r="AU961" s="2">
        <v>1</v>
      </c>
      <c r="AV961" s="2"/>
      <c r="AW961" s="2"/>
      <c r="AX961" s="2"/>
      <c r="AY961" s="2">
        <v>41</v>
      </c>
      <c r="AZ961" s="2" t="s">
        <v>82</v>
      </c>
      <c r="BA961" s="2">
        <v>41</v>
      </c>
      <c r="BB961" s="2" t="s">
        <v>82</v>
      </c>
      <c r="BC961" s="2">
        <v>41</v>
      </c>
      <c r="BD961" s="2" t="s">
        <v>82</v>
      </c>
      <c r="BE961" s="2">
        <v>47</v>
      </c>
      <c r="BF961" s="2" t="s">
        <v>167</v>
      </c>
      <c r="BG961" s="2" t="s">
        <v>3715</v>
      </c>
      <c r="BH961" s="2"/>
      <c r="BI961" s="4">
        <v>0.72916666666666663</v>
      </c>
      <c r="BJ961" s="2">
        <v>13</v>
      </c>
      <c r="BK961" s="2" t="s">
        <v>91</v>
      </c>
      <c r="BL961" s="2" t="s">
        <v>3690</v>
      </c>
      <c r="BM961" s="2">
        <v>241</v>
      </c>
      <c r="BN961" s="2" t="s">
        <v>82</v>
      </c>
      <c r="BO961" s="2"/>
      <c r="BP961" s="2">
        <v>13</v>
      </c>
      <c r="BQ961" s="2" t="s">
        <v>91</v>
      </c>
      <c r="BR961" s="2" t="s">
        <v>1199</v>
      </c>
      <c r="BS961" s="3">
        <v>40250</v>
      </c>
      <c r="BT961" s="4">
        <v>0.96046296296296296</v>
      </c>
    </row>
    <row r="962" spans="1:72" x14ac:dyDescent="0.25">
      <c r="A962" s="2">
        <v>1492</v>
      </c>
      <c r="B962" s="2">
        <v>2010</v>
      </c>
      <c r="C962" s="2" t="s">
        <v>72</v>
      </c>
      <c r="D962" s="2" t="s">
        <v>73</v>
      </c>
      <c r="E962" s="2"/>
      <c r="F962" s="2">
        <v>37</v>
      </c>
      <c r="G962" s="2" t="s">
        <v>1790</v>
      </c>
      <c r="H962" s="2">
        <v>22</v>
      </c>
      <c r="I962" s="2" t="s">
        <v>75</v>
      </c>
      <c r="J962" s="2">
        <v>328</v>
      </c>
      <c r="K962" s="2" t="s">
        <v>1791</v>
      </c>
      <c r="L962" s="2" t="s">
        <v>1792</v>
      </c>
      <c r="M962" s="3">
        <v>40250</v>
      </c>
      <c r="N962" s="2" t="s">
        <v>3716</v>
      </c>
      <c r="O962" s="2" t="s">
        <v>3296</v>
      </c>
      <c r="P962" s="2" t="s">
        <v>3296</v>
      </c>
      <c r="Q962" s="2" t="str">
        <f>"029/10"</f>
        <v>029/10</v>
      </c>
      <c r="R962" s="2" t="s">
        <v>822</v>
      </c>
      <c r="S962" s="2" t="s">
        <v>3295</v>
      </c>
      <c r="T962" s="2">
        <v>1</v>
      </c>
      <c r="U962" s="2" t="s">
        <v>79</v>
      </c>
      <c r="V962" s="2">
        <v>1</v>
      </c>
      <c r="W962" s="2" t="s">
        <v>80</v>
      </c>
      <c r="X962" s="2">
        <v>5</v>
      </c>
      <c r="Y962" s="2" t="s">
        <v>82</v>
      </c>
      <c r="Z962" s="2">
        <v>10</v>
      </c>
      <c r="AA962" s="2" t="s">
        <v>236</v>
      </c>
      <c r="AB962" s="2">
        <v>6</v>
      </c>
      <c r="AC962" s="2" t="s">
        <v>83</v>
      </c>
      <c r="AD962" s="3">
        <v>40250</v>
      </c>
      <c r="AE962" s="2"/>
      <c r="AF962" s="3">
        <v>40250</v>
      </c>
      <c r="AG962" s="4">
        <v>0.86111111111111116</v>
      </c>
      <c r="AH962" s="2">
        <v>4</v>
      </c>
      <c r="AI962" s="2" t="s">
        <v>125</v>
      </c>
      <c r="AJ962" s="2">
        <v>29</v>
      </c>
      <c r="AK962" s="2" t="s">
        <v>227</v>
      </c>
      <c r="AL962" s="2">
        <v>10</v>
      </c>
      <c r="AM962" s="2" t="s">
        <v>200</v>
      </c>
      <c r="AN962" s="2" t="s">
        <v>3717</v>
      </c>
      <c r="AO962" s="2" t="s">
        <v>3718</v>
      </c>
      <c r="AP962" s="2">
        <v>11</v>
      </c>
      <c r="AQ962" s="2" t="s">
        <v>82</v>
      </c>
      <c r="AR962" s="2" t="s">
        <v>3719</v>
      </c>
      <c r="AS962" s="2" t="s">
        <v>3300</v>
      </c>
      <c r="AT962" s="2" t="s">
        <v>3720</v>
      </c>
      <c r="AU962" s="2"/>
      <c r="AV962" s="2"/>
      <c r="AW962" s="2"/>
      <c r="AX962" s="2"/>
      <c r="AY962" s="2">
        <v>41</v>
      </c>
      <c r="AZ962" s="2" t="s">
        <v>82</v>
      </c>
      <c r="BA962" s="2">
        <v>41</v>
      </c>
      <c r="BB962" s="2" t="s">
        <v>82</v>
      </c>
      <c r="BC962" s="2">
        <v>41</v>
      </c>
      <c r="BD962" s="2" t="s">
        <v>82</v>
      </c>
      <c r="BE962" s="2">
        <v>13</v>
      </c>
      <c r="BF962" s="2" t="s">
        <v>108</v>
      </c>
      <c r="BG962" s="2">
        <v>2458</v>
      </c>
      <c r="BH962" s="4">
        <v>0.83333333333333337</v>
      </c>
      <c r="BI962" s="4">
        <v>0.86458333333333337</v>
      </c>
      <c r="BJ962" s="2">
        <v>13</v>
      </c>
      <c r="BK962" s="2" t="s">
        <v>91</v>
      </c>
      <c r="BL962" s="2" t="s">
        <v>185</v>
      </c>
      <c r="BM962" s="2">
        <v>241</v>
      </c>
      <c r="BN962" s="2" t="s">
        <v>82</v>
      </c>
      <c r="BO962" s="2" t="s">
        <v>82</v>
      </c>
      <c r="BP962" s="2">
        <v>241</v>
      </c>
      <c r="BQ962" s="2" t="s">
        <v>82</v>
      </c>
      <c r="BR962" s="2" t="s">
        <v>828</v>
      </c>
      <c r="BS962" s="3">
        <v>40250</v>
      </c>
      <c r="BT962" s="4">
        <v>0.96214120370370371</v>
      </c>
    </row>
    <row r="963" spans="1:72" x14ac:dyDescent="0.25">
      <c r="A963" s="2">
        <v>1493</v>
      </c>
      <c r="B963" s="2">
        <v>2010</v>
      </c>
      <c r="C963" s="2" t="s">
        <v>819</v>
      </c>
      <c r="D963" s="2" t="s">
        <v>122</v>
      </c>
      <c r="E963" s="2" t="s">
        <v>3679</v>
      </c>
      <c r="F963" s="2">
        <v>400</v>
      </c>
      <c r="G963" s="2" t="s">
        <v>3601</v>
      </c>
      <c r="H963" s="2">
        <v>17</v>
      </c>
      <c r="I963" s="2" t="s">
        <v>3602</v>
      </c>
      <c r="J963" s="2">
        <v>316</v>
      </c>
      <c r="K963" s="2" t="s">
        <v>574</v>
      </c>
      <c r="L963" s="2" t="s">
        <v>575</v>
      </c>
      <c r="M963" s="3">
        <v>40250</v>
      </c>
      <c r="N963" s="2" t="s">
        <v>3674</v>
      </c>
      <c r="O963" s="2" t="s">
        <v>3675</v>
      </c>
      <c r="P963" s="2" t="s">
        <v>3605</v>
      </c>
      <c r="Q963" s="2" t="str">
        <f>"N/C"</f>
        <v>N/C</v>
      </c>
      <c r="R963" s="2" t="s">
        <v>82</v>
      </c>
      <c r="S963" s="2" t="s">
        <v>82</v>
      </c>
      <c r="T963" s="2">
        <v>1</v>
      </c>
      <c r="U963" s="2" t="s">
        <v>79</v>
      </c>
      <c r="V963" s="2">
        <v>1</v>
      </c>
      <c r="W963" s="2" t="s">
        <v>80</v>
      </c>
      <c r="X963" s="2">
        <v>2</v>
      </c>
      <c r="Y963" s="2" t="s">
        <v>136</v>
      </c>
      <c r="Z963" s="2">
        <v>1</v>
      </c>
      <c r="AA963" s="2" t="s">
        <v>82</v>
      </c>
      <c r="AB963" s="2">
        <v>9</v>
      </c>
      <c r="AC963" s="2" t="s">
        <v>124</v>
      </c>
      <c r="AD963" s="3">
        <v>40247</v>
      </c>
      <c r="AE963" s="4">
        <v>0.4375</v>
      </c>
      <c r="AF963" s="2"/>
      <c r="AG963" s="2"/>
      <c r="AH963" s="2">
        <v>2</v>
      </c>
      <c r="AI963" s="2" t="s">
        <v>84</v>
      </c>
      <c r="AJ963" s="2">
        <v>5</v>
      </c>
      <c r="AK963" s="2" t="s">
        <v>84</v>
      </c>
      <c r="AL963" s="2">
        <v>14</v>
      </c>
      <c r="AM963" s="2" t="s">
        <v>216</v>
      </c>
      <c r="AN963" s="2" t="s">
        <v>1346</v>
      </c>
      <c r="AO963" s="2" t="s">
        <v>3676</v>
      </c>
      <c r="AP963" s="2">
        <v>11</v>
      </c>
      <c r="AQ963" s="2" t="s">
        <v>82</v>
      </c>
      <c r="AR963" s="2" t="s">
        <v>82</v>
      </c>
      <c r="AS963" s="2" t="s">
        <v>82</v>
      </c>
      <c r="AT963" s="2" t="s">
        <v>3721</v>
      </c>
      <c r="AU963" s="2"/>
      <c r="AV963" s="2"/>
      <c r="AW963" s="2"/>
      <c r="AX963" s="2"/>
      <c r="AY963" s="2">
        <v>41</v>
      </c>
      <c r="AZ963" s="2" t="s">
        <v>82</v>
      </c>
      <c r="BA963" s="2">
        <v>41</v>
      </c>
      <c r="BB963" s="2" t="s">
        <v>82</v>
      </c>
      <c r="BC963" s="2">
        <v>41</v>
      </c>
      <c r="BD963" s="2" t="s">
        <v>82</v>
      </c>
      <c r="BE963" s="2">
        <v>26</v>
      </c>
      <c r="BF963" s="2" t="s">
        <v>1999</v>
      </c>
      <c r="BG963" s="2" t="s">
        <v>3678</v>
      </c>
      <c r="BH963" s="4">
        <v>0.4375</v>
      </c>
      <c r="BI963" s="2"/>
      <c r="BJ963" s="2">
        <v>75</v>
      </c>
      <c r="BK963" s="2" t="s">
        <v>1264</v>
      </c>
      <c r="BL963" s="2" t="s">
        <v>82</v>
      </c>
      <c r="BM963" s="2">
        <v>241</v>
      </c>
      <c r="BN963" s="2" t="s">
        <v>82</v>
      </c>
      <c r="BO963" s="2" t="s">
        <v>82</v>
      </c>
      <c r="BP963" s="2">
        <v>13</v>
      </c>
      <c r="BQ963" s="2" t="s">
        <v>91</v>
      </c>
      <c r="BR963" s="2" t="s">
        <v>360</v>
      </c>
      <c r="BS963" s="3">
        <v>40250</v>
      </c>
      <c r="BT963" s="4">
        <v>0.98827546296296298</v>
      </c>
    </row>
    <row r="964" spans="1:72" x14ac:dyDescent="0.25">
      <c r="A964" s="2">
        <v>1494</v>
      </c>
      <c r="B964" s="2">
        <v>2010</v>
      </c>
      <c r="C964" s="2" t="s">
        <v>819</v>
      </c>
      <c r="D964" s="2" t="s">
        <v>122</v>
      </c>
      <c r="E964" s="2" t="s">
        <v>3679</v>
      </c>
      <c r="F964" s="2">
        <v>400</v>
      </c>
      <c r="G964" s="2" t="s">
        <v>3601</v>
      </c>
      <c r="H964" s="2">
        <v>17</v>
      </c>
      <c r="I964" s="2" t="s">
        <v>3602</v>
      </c>
      <c r="J964" s="2">
        <v>316</v>
      </c>
      <c r="K964" s="2" t="s">
        <v>574</v>
      </c>
      <c r="L964" s="2" t="s">
        <v>575</v>
      </c>
      <c r="M964" s="3">
        <v>40251</v>
      </c>
      <c r="N964" s="2" t="s">
        <v>3674</v>
      </c>
      <c r="O964" s="2" t="s">
        <v>3675</v>
      </c>
      <c r="P964" s="2" t="s">
        <v>3605</v>
      </c>
      <c r="Q964" s="2" t="str">
        <f>"N/C"</f>
        <v>N/C</v>
      </c>
      <c r="R964" s="2" t="s">
        <v>82</v>
      </c>
      <c r="S964" s="2" t="s">
        <v>82</v>
      </c>
      <c r="T964" s="2">
        <v>1</v>
      </c>
      <c r="U964" s="2" t="s">
        <v>79</v>
      </c>
      <c r="V964" s="2">
        <v>1</v>
      </c>
      <c r="W964" s="2" t="s">
        <v>80</v>
      </c>
      <c r="X964" s="2">
        <v>2</v>
      </c>
      <c r="Y964" s="2" t="s">
        <v>136</v>
      </c>
      <c r="Z964" s="2">
        <v>1</v>
      </c>
      <c r="AA964" s="2" t="s">
        <v>82</v>
      </c>
      <c r="AB964" s="2">
        <v>9</v>
      </c>
      <c r="AC964" s="2" t="s">
        <v>124</v>
      </c>
      <c r="AD964" s="3">
        <v>40247</v>
      </c>
      <c r="AE964" s="4">
        <v>0.4375</v>
      </c>
      <c r="AF964" s="2"/>
      <c r="AG964" s="2"/>
      <c r="AH964" s="2">
        <v>2</v>
      </c>
      <c r="AI964" s="2" t="s">
        <v>84</v>
      </c>
      <c r="AJ964" s="2">
        <v>5</v>
      </c>
      <c r="AK964" s="2" t="s">
        <v>84</v>
      </c>
      <c r="AL964" s="2">
        <v>14</v>
      </c>
      <c r="AM964" s="2" t="s">
        <v>216</v>
      </c>
      <c r="AN964" s="2" t="s">
        <v>1346</v>
      </c>
      <c r="AO964" s="2" t="s">
        <v>3676</v>
      </c>
      <c r="AP964" s="2">
        <v>11</v>
      </c>
      <c r="AQ964" s="2" t="s">
        <v>82</v>
      </c>
      <c r="AR964" s="2" t="s">
        <v>82</v>
      </c>
      <c r="AS964" s="2" t="s">
        <v>82</v>
      </c>
      <c r="AT964" s="2" t="s">
        <v>3722</v>
      </c>
      <c r="AU964" s="2"/>
      <c r="AV964" s="2"/>
      <c r="AW964" s="2"/>
      <c r="AX964" s="2"/>
      <c r="AY964" s="2">
        <v>41</v>
      </c>
      <c r="AZ964" s="2" t="s">
        <v>82</v>
      </c>
      <c r="BA964" s="2">
        <v>41</v>
      </c>
      <c r="BB964" s="2" t="s">
        <v>82</v>
      </c>
      <c r="BC964" s="2">
        <v>41</v>
      </c>
      <c r="BD964" s="2" t="s">
        <v>82</v>
      </c>
      <c r="BE964" s="2">
        <v>26</v>
      </c>
      <c r="BF964" s="2" t="s">
        <v>1999</v>
      </c>
      <c r="BG964" s="2" t="s">
        <v>3678</v>
      </c>
      <c r="BH964" s="4">
        <v>0.4375</v>
      </c>
      <c r="BI964" s="2"/>
      <c r="BJ964" s="2">
        <v>75</v>
      </c>
      <c r="BK964" s="2" t="s">
        <v>1264</v>
      </c>
      <c r="BL964" s="2" t="s">
        <v>82</v>
      </c>
      <c r="BM964" s="2">
        <v>241</v>
      </c>
      <c r="BN964" s="2" t="s">
        <v>82</v>
      </c>
      <c r="BO964" s="2" t="s">
        <v>82</v>
      </c>
      <c r="BP964" s="2">
        <v>13</v>
      </c>
      <c r="BQ964" s="2" t="s">
        <v>91</v>
      </c>
      <c r="BR964" s="2" t="s">
        <v>360</v>
      </c>
      <c r="BS964" s="3">
        <v>40251</v>
      </c>
      <c r="BT964" s="4">
        <v>5.1956018518518519E-2</v>
      </c>
    </row>
    <row r="965" spans="1:72" x14ac:dyDescent="0.25">
      <c r="A965" s="2">
        <v>1495</v>
      </c>
      <c r="B965" s="2">
        <v>2010</v>
      </c>
      <c r="C965" s="2" t="s">
        <v>171</v>
      </c>
      <c r="D965" s="2" t="s">
        <v>73</v>
      </c>
      <c r="E965" s="2"/>
      <c r="F965" s="2">
        <v>158</v>
      </c>
      <c r="G965" s="2" t="s">
        <v>3026</v>
      </c>
      <c r="H965" s="2">
        <v>17</v>
      </c>
      <c r="I965" s="2" t="s">
        <v>3602</v>
      </c>
      <c r="J965" s="2">
        <v>451</v>
      </c>
      <c r="K965" s="2" t="s">
        <v>3028</v>
      </c>
      <c r="L965" s="2" t="s">
        <v>3029</v>
      </c>
      <c r="M965" s="3">
        <v>40251</v>
      </c>
      <c r="N965" s="2" t="s">
        <v>3723</v>
      </c>
      <c r="O965" s="2" t="s">
        <v>107</v>
      </c>
      <c r="P965" s="2" t="s">
        <v>107</v>
      </c>
      <c r="Q965" s="2" t="str">
        <f>"096-A/10"</f>
        <v>096-A/10</v>
      </c>
      <c r="R965" s="2" t="s">
        <v>107</v>
      </c>
      <c r="S965" s="2" t="s">
        <v>1035</v>
      </c>
      <c r="T965" s="2">
        <v>1</v>
      </c>
      <c r="U965" s="2" t="s">
        <v>79</v>
      </c>
      <c r="V965" s="2">
        <v>1</v>
      </c>
      <c r="W965" s="2" t="s">
        <v>80</v>
      </c>
      <c r="X965" s="2">
        <v>1</v>
      </c>
      <c r="Y965" s="2" t="s">
        <v>81</v>
      </c>
      <c r="Z965" s="2">
        <v>1</v>
      </c>
      <c r="AA965" s="2" t="s">
        <v>82</v>
      </c>
      <c r="AB965" s="2">
        <v>1</v>
      </c>
      <c r="AC965" s="2" t="s">
        <v>178</v>
      </c>
      <c r="AD965" s="3">
        <v>40250</v>
      </c>
      <c r="AE965" s="4">
        <v>0.95833333333333337</v>
      </c>
      <c r="AF965" s="3">
        <v>40251</v>
      </c>
      <c r="AG965" s="4">
        <v>3.125E-2</v>
      </c>
      <c r="AH965" s="2">
        <v>2</v>
      </c>
      <c r="AI965" s="2" t="s">
        <v>84</v>
      </c>
      <c r="AJ965" s="2">
        <v>12</v>
      </c>
      <c r="AK965" s="2" t="s">
        <v>85</v>
      </c>
      <c r="AL965" s="2">
        <v>14</v>
      </c>
      <c r="AM965" s="2" t="s">
        <v>216</v>
      </c>
      <c r="AN965" s="2" t="s">
        <v>919</v>
      </c>
      <c r="AO965" s="2" t="s">
        <v>3724</v>
      </c>
      <c r="AP965" s="2">
        <v>11</v>
      </c>
      <c r="AQ965" s="2" t="s">
        <v>82</v>
      </c>
      <c r="AR965" s="2"/>
      <c r="AS965" s="2"/>
      <c r="AT965" s="2" t="s">
        <v>3725</v>
      </c>
      <c r="AU965" s="2">
        <v>1</v>
      </c>
      <c r="AV965" s="2"/>
      <c r="AW965" s="2"/>
      <c r="AX965" s="2"/>
      <c r="AY965" s="2">
        <v>41</v>
      </c>
      <c r="AZ965" s="2" t="s">
        <v>82</v>
      </c>
      <c r="BA965" s="2">
        <v>41</v>
      </c>
      <c r="BB965" s="2" t="s">
        <v>82</v>
      </c>
      <c r="BC965" s="2">
        <v>41</v>
      </c>
      <c r="BD965" s="2" t="s">
        <v>82</v>
      </c>
      <c r="BE965" s="2">
        <v>47</v>
      </c>
      <c r="BF965" s="2" t="s">
        <v>167</v>
      </c>
      <c r="BG965" s="2" t="s">
        <v>3689</v>
      </c>
      <c r="BH965" s="4">
        <v>0.125</v>
      </c>
      <c r="BI965" s="4">
        <v>0.99305555555555547</v>
      </c>
      <c r="BJ965" s="2">
        <v>13</v>
      </c>
      <c r="BK965" s="2" t="s">
        <v>91</v>
      </c>
      <c r="BL965" s="2" t="s">
        <v>3378</v>
      </c>
      <c r="BM965" s="2">
        <v>241</v>
      </c>
      <c r="BN965" s="2" t="s">
        <v>82</v>
      </c>
      <c r="BO965" s="2" t="s">
        <v>82</v>
      </c>
      <c r="BP965" s="2">
        <v>13</v>
      </c>
      <c r="BQ965" s="2" t="s">
        <v>91</v>
      </c>
      <c r="BR965" s="2" t="s">
        <v>492</v>
      </c>
      <c r="BS965" s="3">
        <v>40251</v>
      </c>
      <c r="BT965" s="4">
        <v>0.12666666666666668</v>
      </c>
    </row>
    <row r="966" spans="1:72" x14ac:dyDescent="0.25">
      <c r="A966" s="2">
        <v>1496</v>
      </c>
      <c r="B966" s="2">
        <v>2010</v>
      </c>
      <c r="C966" s="2" t="s">
        <v>764</v>
      </c>
      <c r="D966" s="2" t="s">
        <v>73</v>
      </c>
      <c r="E966" s="2"/>
      <c r="F966" s="2">
        <v>390</v>
      </c>
      <c r="G966" s="2" t="s">
        <v>475</v>
      </c>
      <c r="H966" s="2">
        <v>5</v>
      </c>
      <c r="I966" s="2" t="s">
        <v>634</v>
      </c>
      <c r="J966" s="2">
        <v>314</v>
      </c>
      <c r="K966" s="2" t="s">
        <v>477</v>
      </c>
      <c r="L966" s="2" t="s">
        <v>478</v>
      </c>
      <c r="M966" s="3">
        <v>40251</v>
      </c>
      <c r="N966" s="2" t="s">
        <v>3103</v>
      </c>
      <c r="O966" s="2"/>
      <c r="P966" s="2"/>
      <c r="Q966" s="2" t="str">
        <f>"137-E/10"</f>
        <v>137-E/10</v>
      </c>
      <c r="R966" s="2"/>
      <c r="S966" s="2" t="s">
        <v>2013</v>
      </c>
      <c r="T966" s="2">
        <v>1</v>
      </c>
      <c r="U966" s="2" t="s">
        <v>79</v>
      </c>
      <c r="V966" s="2">
        <v>1</v>
      </c>
      <c r="W966" s="2" t="s">
        <v>80</v>
      </c>
      <c r="X966" s="2">
        <v>1</v>
      </c>
      <c r="Y966" s="2" t="s">
        <v>81</v>
      </c>
      <c r="Z966" s="2">
        <v>10</v>
      </c>
      <c r="AA966" s="2" t="s">
        <v>236</v>
      </c>
      <c r="AB966" s="2">
        <v>9</v>
      </c>
      <c r="AC966" s="2" t="s">
        <v>124</v>
      </c>
      <c r="AD966" s="3">
        <v>40250</v>
      </c>
      <c r="AE966" s="4">
        <v>0.83333333333333337</v>
      </c>
      <c r="AF966" s="3">
        <v>40250</v>
      </c>
      <c r="AG966" s="4">
        <v>0.79861111111111116</v>
      </c>
      <c r="AH966" s="2">
        <v>2</v>
      </c>
      <c r="AI966" s="2" t="s">
        <v>84</v>
      </c>
      <c r="AJ966" s="2">
        <v>9</v>
      </c>
      <c r="AK966" s="2" t="s">
        <v>103</v>
      </c>
      <c r="AL966" s="2">
        <v>14</v>
      </c>
      <c r="AM966" s="2" t="s">
        <v>216</v>
      </c>
      <c r="AN966" s="2" t="s">
        <v>3726</v>
      </c>
      <c r="AO966" s="2"/>
      <c r="AP966" s="2">
        <v>11</v>
      </c>
      <c r="AQ966" s="2" t="s">
        <v>82</v>
      </c>
      <c r="AR966" s="2"/>
      <c r="AS966" s="2"/>
      <c r="AT966" s="2" t="s">
        <v>3727</v>
      </c>
      <c r="AU966" s="2"/>
      <c r="AV966" s="2"/>
      <c r="AW966" s="2"/>
      <c r="AX966" s="2"/>
      <c r="AY966" s="2">
        <v>42</v>
      </c>
      <c r="AZ966" s="2" t="s">
        <v>182</v>
      </c>
      <c r="BA966" s="2">
        <v>41</v>
      </c>
      <c r="BB966" s="2" t="s">
        <v>82</v>
      </c>
      <c r="BC966" s="2">
        <v>70</v>
      </c>
      <c r="BD966" s="2" t="s">
        <v>236</v>
      </c>
      <c r="BE966" s="2">
        <v>25</v>
      </c>
      <c r="BF966" s="2" t="s">
        <v>358</v>
      </c>
      <c r="BG966" s="2" t="s">
        <v>3728</v>
      </c>
      <c r="BH966" s="2"/>
      <c r="BI966" s="4">
        <v>0.83333333333333337</v>
      </c>
      <c r="BJ966" s="2">
        <v>13</v>
      </c>
      <c r="BK966" s="2" t="s">
        <v>91</v>
      </c>
      <c r="BL966" s="2" t="s">
        <v>360</v>
      </c>
      <c r="BM966" s="2">
        <v>241</v>
      </c>
      <c r="BN966" s="2" t="s">
        <v>82</v>
      </c>
      <c r="BO966" s="2"/>
      <c r="BP966" s="2">
        <v>33</v>
      </c>
      <c r="BQ966" s="2" t="s">
        <v>361</v>
      </c>
      <c r="BR966" s="2" t="s">
        <v>1739</v>
      </c>
      <c r="BS966" s="3">
        <v>40251</v>
      </c>
      <c r="BT966" s="4">
        <v>0.17277777777777778</v>
      </c>
    </row>
    <row r="967" spans="1:72" x14ac:dyDescent="0.25">
      <c r="A967" s="2">
        <v>1497</v>
      </c>
      <c r="B967" s="2">
        <v>2010</v>
      </c>
      <c r="C967" s="2" t="s">
        <v>171</v>
      </c>
      <c r="D967" s="2" t="s">
        <v>122</v>
      </c>
      <c r="E967" s="2" t="s">
        <v>3729</v>
      </c>
      <c r="F967" s="2">
        <v>158</v>
      </c>
      <c r="G967" s="2" t="s">
        <v>3026</v>
      </c>
      <c r="H967" s="2">
        <v>17</v>
      </c>
      <c r="I967" s="2" t="s">
        <v>3602</v>
      </c>
      <c r="J967" s="2">
        <v>451</v>
      </c>
      <c r="K967" s="2" t="s">
        <v>3028</v>
      </c>
      <c r="L967" s="2" t="s">
        <v>3029</v>
      </c>
      <c r="M967" s="3">
        <v>40251</v>
      </c>
      <c r="N967" s="2" t="s">
        <v>3723</v>
      </c>
      <c r="O967" s="2" t="s">
        <v>107</v>
      </c>
      <c r="P967" s="2" t="s">
        <v>107</v>
      </c>
      <c r="Q967" s="2" t="str">
        <f>"096-A/10"</f>
        <v>096-A/10</v>
      </c>
      <c r="R967" s="2" t="s">
        <v>1035</v>
      </c>
      <c r="S967" s="2" t="s">
        <v>107</v>
      </c>
      <c r="T967" s="2">
        <v>1</v>
      </c>
      <c r="U967" s="2" t="s">
        <v>79</v>
      </c>
      <c r="V967" s="2">
        <v>1</v>
      </c>
      <c r="W967" s="2" t="s">
        <v>80</v>
      </c>
      <c r="X967" s="2">
        <v>1</v>
      </c>
      <c r="Y967" s="2" t="s">
        <v>81</v>
      </c>
      <c r="Z967" s="2">
        <v>10</v>
      </c>
      <c r="AA967" s="2" t="s">
        <v>236</v>
      </c>
      <c r="AB967" s="2">
        <v>1</v>
      </c>
      <c r="AC967" s="2" t="s">
        <v>178</v>
      </c>
      <c r="AD967" s="3">
        <v>40250</v>
      </c>
      <c r="AE967" s="4">
        <v>0.95833333333333337</v>
      </c>
      <c r="AF967" s="3">
        <v>40251</v>
      </c>
      <c r="AG967" s="4">
        <v>3.125E-2</v>
      </c>
      <c r="AH967" s="2">
        <v>2</v>
      </c>
      <c r="AI967" s="2" t="s">
        <v>84</v>
      </c>
      <c r="AJ967" s="2">
        <v>12</v>
      </c>
      <c r="AK967" s="2" t="s">
        <v>85</v>
      </c>
      <c r="AL967" s="2">
        <v>14</v>
      </c>
      <c r="AM967" s="2" t="s">
        <v>216</v>
      </c>
      <c r="AN967" s="2" t="s">
        <v>919</v>
      </c>
      <c r="AO967" s="2" t="s">
        <v>788</v>
      </c>
      <c r="AP967" s="2">
        <v>11</v>
      </c>
      <c r="AQ967" s="2" t="s">
        <v>82</v>
      </c>
      <c r="AR967" s="2"/>
      <c r="AS967" s="2"/>
      <c r="AT967" s="2" t="s">
        <v>3730</v>
      </c>
      <c r="AU967" s="2">
        <v>1</v>
      </c>
      <c r="AV967" s="2"/>
      <c r="AW967" s="2"/>
      <c r="AX967" s="2"/>
      <c r="AY967" s="2">
        <v>41</v>
      </c>
      <c r="AZ967" s="2" t="s">
        <v>82</v>
      </c>
      <c r="BA967" s="2">
        <v>41</v>
      </c>
      <c r="BB967" s="2" t="s">
        <v>82</v>
      </c>
      <c r="BC967" s="2">
        <v>41</v>
      </c>
      <c r="BD967" s="2" t="s">
        <v>82</v>
      </c>
      <c r="BE967" s="2">
        <v>13</v>
      </c>
      <c r="BF967" s="2" t="s">
        <v>108</v>
      </c>
      <c r="BG967" s="2" t="s">
        <v>3731</v>
      </c>
      <c r="BH967" s="4">
        <v>0.125</v>
      </c>
      <c r="BI967" s="4">
        <v>0.99305555555555547</v>
      </c>
      <c r="BJ967" s="2">
        <v>13</v>
      </c>
      <c r="BK967" s="2" t="s">
        <v>91</v>
      </c>
      <c r="BL967" s="2" t="s">
        <v>185</v>
      </c>
      <c r="BM967" s="2">
        <v>241</v>
      </c>
      <c r="BN967" s="2" t="s">
        <v>82</v>
      </c>
      <c r="BO967" s="2" t="s">
        <v>82</v>
      </c>
      <c r="BP967" s="2">
        <v>13</v>
      </c>
      <c r="BQ967" s="2" t="s">
        <v>91</v>
      </c>
      <c r="BR967" s="2" t="s">
        <v>492</v>
      </c>
      <c r="BS967" s="3">
        <v>40251</v>
      </c>
      <c r="BT967" s="4">
        <v>0.40393518518518517</v>
      </c>
    </row>
    <row r="968" spans="1:72" x14ac:dyDescent="0.25">
      <c r="A968" s="2">
        <v>1498</v>
      </c>
      <c r="B968" s="2">
        <v>2010</v>
      </c>
      <c r="C968" s="2" t="s">
        <v>171</v>
      </c>
      <c r="D968" s="2" t="s">
        <v>122</v>
      </c>
      <c r="E968" s="2" t="s">
        <v>3732</v>
      </c>
      <c r="F968" s="2">
        <v>158</v>
      </c>
      <c r="G968" s="2" t="s">
        <v>3026</v>
      </c>
      <c r="H968" s="2">
        <v>17</v>
      </c>
      <c r="I968" s="2" t="s">
        <v>3602</v>
      </c>
      <c r="J968" s="2">
        <v>451</v>
      </c>
      <c r="K968" s="2" t="s">
        <v>3028</v>
      </c>
      <c r="L968" s="2" t="s">
        <v>3029</v>
      </c>
      <c r="M968" s="3">
        <v>40251</v>
      </c>
      <c r="N968" s="2" t="s">
        <v>3686</v>
      </c>
      <c r="O968" s="2" t="s">
        <v>107</v>
      </c>
      <c r="P968" s="2" t="s">
        <v>107</v>
      </c>
      <c r="Q968" s="2" t="str">
        <f>"095-A/10"</f>
        <v>095-A/10</v>
      </c>
      <c r="R968" s="2" t="s">
        <v>1035</v>
      </c>
      <c r="S968" s="2" t="s">
        <v>107</v>
      </c>
      <c r="T968" s="2">
        <v>1</v>
      </c>
      <c r="U968" s="2" t="s">
        <v>79</v>
      </c>
      <c r="V968" s="2">
        <v>1</v>
      </c>
      <c r="W968" s="2" t="s">
        <v>80</v>
      </c>
      <c r="X968" s="2">
        <v>1</v>
      </c>
      <c r="Y968" s="2" t="s">
        <v>81</v>
      </c>
      <c r="Z968" s="2">
        <v>1</v>
      </c>
      <c r="AA968" s="2" t="s">
        <v>82</v>
      </c>
      <c r="AB968" s="2">
        <v>1</v>
      </c>
      <c r="AC968" s="2" t="s">
        <v>178</v>
      </c>
      <c r="AD968" s="3">
        <v>40250</v>
      </c>
      <c r="AE968" s="4">
        <v>0.72222222222222221</v>
      </c>
      <c r="AF968" s="2"/>
      <c r="AG968" s="2"/>
      <c r="AH968" s="2">
        <v>2</v>
      </c>
      <c r="AI968" s="2" t="s">
        <v>84</v>
      </c>
      <c r="AJ968" s="2">
        <v>12</v>
      </c>
      <c r="AK968" s="2" t="s">
        <v>85</v>
      </c>
      <c r="AL968" s="2">
        <v>11</v>
      </c>
      <c r="AM968" s="2" t="s">
        <v>137</v>
      </c>
      <c r="AN968" s="2" t="s">
        <v>3351</v>
      </c>
      <c r="AO968" s="2" t="s">
        <v>1424</v>
      </c>
      <c r="AP968" s="2">
        <v>11</v>
      </c>
      <c r="AQ968" s="2" t="s">
        <v>82</v>
      </c>
      <c r="AR968" s="2"/>
      <c r="AS968" s="2"/>
      <c r="AT968" s="2" t="s">
        <v>3733</v>
      </c>
      <c r="AU968" s="2">
        <v>1</v>
      </c>
      <c r="AV968" s="2"/>
      <c r="AW968" s="2"/>
      <c r="AX968" s="2"/>
      <c r="AY968" s="2">
        <v>41</v>
      </c>
      <c r="AZ968" s="2" t="s">
        <v>82</v>
      </c>
      <c r="BA968" s="2">
        <v>41</v>
      </c>
      <c r="BB968" s="2" t="s">
        <v>82</v>
      </c>
      <c r="BC968" s="2">
        <v>41</v>
      </c>
      <c r="BD968" s="2" t="s">
        <v>82</v>
      </c>
      <c r="BE968" s="2">
        <v>13</v>
      </c>
      <c r="BF968" s="2" t="s">
        <v>108</v>
      </c>
      <c r="BG968" s="2" t="s">
        <v>3734</v>
      </c>
      <c r="BH968" s="2"/>
      <c r="BI968" s="4">
        <v>0.72916666666666663</v>
      </c>
      <c r="BJ968" s="2">
        <v>13</v>
      </c>
      <c r="BK968" s="2" t="s">
        <v>91</v>
      </c>
      <c r="BL968" s="2" t="s">
        <v>185</v>
      </c>
      <c r="BM968" s="2">
        <v>241</v>
      </c>
      <c r="BN968" s="2" t="s">
        <v>82</v>
      </c>
      <c r="BO968" s="2"/>
      <c r="BP968" s="2">
        <v>13</v>
      </c>
      <c r="BQ968" s="2" t="s">
        <v>91</v>
      </c>
      <c r="BR968" s="2" t="s">
        <v>1199</v>
      </c>
      <c r="BS968" s="3">
        <v>40251</v>
      </c>
      <c r="BT968" s="4">
        <v>0.52032407407407411</v>
      </c>
    </row>
    <row r="969" spans="1:72" x14ac:dyDescent="0.25">
      <c r="A969" s="2">
        <v>1499</v>
      </c>
      <c r="B969" s="2">
        <v>2010</v>
      </c>
      <c r="C969" s="2" t="s">
        <v>72</v>
      </c>
      <c r="D969" s="2" t="s">
        <v>73</v>
      </c>
      <c r="E969" s="2"/>
      <c r="F969" s="2">
        <v>37</v>
      </c>
      <c r="G969" s="2" t="s">
        <v>1790</v>
      </c>
      <c r="H969" s="2">
        <v>22</v>
      </c>
      <c r="I969" s="2" t="s">
        <v>75</v>
      </c>
      <c r="J969" s="2">
        <v>328</v>
      </c>
      <c r="K969" s="2" t="s">
        <v>1791</v>
      </c>
      <c r="L969" s="2" t="s">
        <v>1792</v>
      </c>
      <c r="M969" s="3">
        <v>40251</v>
      </c>
      <c r="N969" s="2" t="s">
        <v>3716</v>
      </c>
      <c r="O969" s="2"/>
      <c r="P969" s="2"/>
      <c r="Q969" s="2" t="str">
        <f>"030/10"</f>
        <v>030/10</v>
      </c>
      <c r="R969" s="2" t="s">
        <v>822</v>
      </c>
      <c r="S969" s="2"/>
      <c r="T969" s="2">
        <v>1</v>
      </c>
      <c r="U969" s="2" t="s">
        <v>79</v>
      </c>
      <c r="V969" s="2">
        <v>1</v>
      </c>
      <c r="W969" s="2" t="s">
        <v>80</v>
      </c>
      <c r="X969" s="2">
        <v>5</v>
      </c>
      <c r="Y969" s="2" t="s">
        <v>82</v>
      </c>
      <c r="Z969" s="2">
        <v>10</v>
      </c>
      <c r="AA969" s="2" t="s">
        <v>236</v>
      </c>
      <c r="AB969" s="2">
        <v>6</v>
      </c>
      <c r="AC969" s="2" t="s">
        <v>83</v>
      </c>
      <c r="AD969" s="3">
        <v>40251</v>
      </c>
      <c r="AE969" s="4">
        <v>0.22222222222222221</v>
      </c>
      <c r="AF969" s="3">
        <v>40251</v>
      </c>
      <c r="AG969" s="4">
        <v>0.53125</v>
      </c>
      <c r="AH969" s="2">
        <v>4</v>
      </c>
      <c r="AI969" s="2" t="s">
        <v>125</v>
      </c>
      <c r="AJ969" s="2">
        <v>29</v>
      </c>
      <c r="AK969" s="2" t="s">
        <v>227</v>
      </c>
      <c r="AL969" s="2">
        <v>8</v>
      </c>
      <c r="AM969" s="2" t="s">
        <v>179</v>
      </c>
      <c r="AN969" s="2" t="s">
        <v>107</v>
      </c>
      <c r="AO969" s="2"/>
      <c r="AP969" s="2">
        <v>11</v>
      </c>
      <c r="AQ969" s="2" t="s">
        <v>82</v>
      </c>
      <c r="AR969" s="2" t="s">
        <v>82</v>
      </c>
      <c r="AS969" s="2" t="s">
        <v>82</v>
      </c>
      <c r="AT969" s="2" t="s">
        <v>3735</v>
      </c>
      <c r="AU969" s="2"/>
      <c r="AV969" s="2"/>
      <c r="AW969" s="2"/>
      <c r="AX969" s="2"/>
      <c r="AY969" s="2">
        <v>41</v>
      </c>
      <c r="AZ969" s="2" t="s">
        <v>82</v>
      </c>
      <c r="BA969" s="2">
        <v>41</v>
      </c>
      <c r="BB969" s="2" t="s">
        <v>82</v>
      </c>
      <c r="BC969" s="2">
        <v>41</v>
      </c>
      <c r="BD969" s="2" t="s">
        <v>82</v>
      </c>
      <c r="BE969" s="2">
        <v>13</v>
      </c>
      <c r="BF969" s="2" t="s">
        <v>108</v>
      </c>
      <c r="BG969" s="2" t="s">
        <v>3736</v>
      </c>
      <c r="BH969" s="4">
        <v>0.35416666666666669</v>
      </c>
      <c r="BI969" s="4">
        <v>0.27083333333333331</v>
      </c>
      <c r="BJ969" s="2">
        <v>13</v>
      </c>
      <c r="BK969" s="2" t="s">
        <v>91</v>
      </c>
      <c r="BL969" s="2" t="s">
        <v>185</v>
      </c>
      <c r="BM969" s="2">
        <v>241</v>
      </c>
      <c r="BN969" s="2" t="s">
        <v>82</v>
      </c>
      <c r="BO969" s="2" t="s">
        <v>82</v>
      </c>
      <c r="BP969" s="2">
        <v>13</v>
      </c>
      <c r="BQ969" s="2" t="s">
        <v>91</v>
      </c>
      <c r="BR969" s="2" t="s">
        <v>828</v>
      </c>
      <c r="BS969" s="3">
        <v>40251</v>
      </c>
      <c r="BT969" s="4">
        <v>0.59818287037037032</v>
      </c>
    </row>
    <row r="970" spans="1:72" x14ac:dyDescent="0.25">
      <c r="A970" s="2">
        <v>1500</v>
      </c>
      <c r="B970" s="2">
        <v>2010</v>
      </c>
      <c r="C970" s="2" t="s">
        <v>171</v>
      </c>
      <c r="D970" s="2" t="s">
        <v>122</v>
      </c>
      <c r="E970" s="2" t="s">
        <v>3737</v>
      </c>
      <c r="F970" s="2">
        <v>158</v>
      </c>
      <c r="G970" s="2" t="s">
        <v>3026</v>
      </c>
      <c r="H970" s="2">
        <v>17</v>
      </c>
      <c r="I970" s="2" t="s">
        <v>3602</v>
      </c>
      <c r="J970" s="2">
        <v>451</v>
      </c>
      <c r="K970" s="2" t="s">
        <v>3028</v>
      </c>
      <c r="L970" s="2" t="s">
        <v>3029</v>
      </c>
      <c r="M970" s="3">
        <v>40251</v>
      </c>
      <c r="N970" s="2" t="s">
        <v>3686</v>
      </c>
      <c r="O970" s="2" t="s">
        <v>107</v>
      </c>
      <c r="P970" s="2" t="s">
        <v>107</v>
      </c>
      <c r="Q970" s="2" t="str">
        <f>"095-A/10"</f>
        <v>095-A/10</v>
      </c>
      <c r="R970" s="2" t="s">
        <v>107</v>
      </c>
      <c r="S970" s="2" t="s">
        <v>1035</v>
      </c>
      <c r="T970" s="2">
        <v>1</v>
      </c>
      <c r="U970" s="2" t="s">
        <v>79</v>
      </c>
      <c r="V970" s="2">
        <v>1</v>
      </c>
      <c r="W970" s="2" t="s">
        <v>80</v>
      </c>
      <c r="X970" s="2">
        <v>1</v>
      </c>
      <c r="Y970" s="2" t="s">
        <v>81</v>
      </c>
      <c r="Z970" s="2">
        <v>1</v>
      </c>
      <c r="AA970" s="2" t="s">
        <v>82</v>
      </c>
      <c r="AB970" s="2">
        <v>1</v>
      </c>
      <c r="AC970" s="2" t="s">
        <v>178</v>
      </c>
      <c r="AD970" s="3">
        <v>40250</v>
      </c>
      <c r="AE970" s="4">
        <v>0.72222222222222221</v>
      </c>
      <c r="AF970" s="2"/>
      <c r="AG970" s="2"/>
      <c r="AH970" s="2">
        <v>2</v>
      </c>
      <c r="AI970" s="2" t="s">
        <v>84</v>
      </c>
      <c r="AJ970" s="2">
        <v>12</v>
      </c>
      <c r="AK970" s="2" t="s">
        <v>85</v>
      </c>
      <c r="AL970" s="2">
        <v>11</v>
      </c>
      <c r="AM970" s="2" t="s">
        <v>137</v>
      </c>
      <c r="AN970" s="2" t="s">
        <v>3351</v>
      </c>
      <c r="AO970" s="2" t="s">
        <v>1424</v>
      </c>
      <c r="AP970" s="2">
        <v>11</v>
      </c>
      <c r="AQ970" s="2" t="s">
        <v>82</v>
      </c>
      <c r="AR970" s="2"/>
      <c r="AS970" s="2"/>
      <c r="AT970" s="2" t="s">
        <v>3738</v>
      </c>
      <c r="AU970" s="2">
        <v>1</v>
      </c>
      <c r="AV970" s="2"/>
      <c r="AW970" s="2"/>
      <c r="AX970" s="2"/>
      <c r="AY970" s="2">
        <v>41</v>
      </c>
      <c r="AZ970" s="2" t="s">
        <v>82</v>
      </c>
      <c r="BA970" s="2">
        <v>41</v>
      </c>
      <c r="BB970" s="2" t="s">
        <v>82</v>
      </c>
      <c r="BC970" s="2">
        <v>41</v>
      </c>
      <c r="BD970" s="2" t="s">
        <v>82</v>
      </c>
      <c r="BE970" s="2">
        <v>13</v>
      </c>
      <c r="BF970" s="2" t="s">
        <v>108</v>
      </c>
      <c r="BG970" s="2" t="s">
        <v>3734</v>
      </c>
      <c r="BH970" s="2"/>
      <c r="BI970" s="4">
        <v>0.72916666666666663</v>
      </c>
      <c r="BJ970" s="2">
        <v>13</v>
      </c>
      <c r="BK970" s="2" t="s">
        <v>91</v>
      </c>
      <c r="BL970" s="2" t="s">
        <v>185</v>
      </c>
      <c r="BM970" s="2">
        <v>241</v>
      </c>
      <c r="BN970" s="2" t="s">
        <v>82</v>
      </c>
      <c r="BO970" s="2"/>
      <c r="BP970" s="2">
        <v>13</v>
      </c>
      <c r="BQ970" s="2" t="s">
        <v>91</v>
      </c>
      <c r="BR970" s="2" t="s">
        <v>1199</v>
      </c>
      <c r="BS970" s="3">
        <v>40251</v>
      </c>
      <c r="BT970" s="4">
        <v>0.66453703703703704</v>
      </c>
    </row>
    <row r="971" spans="1:72" x14ac:dyDescent="0.25">
      <c r="A971" s="2">
        <v>1501</v>
      </c>
      <c r="B971" s="2">
        <v>2010</v>
      </c>
      <c r="C971" s="2" t="s">
        <v>549</v>
      </c>
      <c r="D971" s="2" t="s">
        <v>73</v>
      </c>
      <c r="E971" s="2"/>
      <c r="F971" s="2">
        <v>58</v>
      </c>
      <c r="G971" s="2" t="s">
        <v>3739</v>
      </c>
      <c r="H971" s="2">
        <v>22</v>
      </c>
      <c r="I971" s="2" t="s">
        <v>75</v>
      </c>
      <c r="J971" s="2">
        <v>95</v>
      </c>
      <c r="K971" s="2" t="s">
        <v>3740</v>
      </c>
      <c r="L971" s="2" t="s">
        <v>3741</v>
      </c>
      <c r="M971" s="3">
        <v>40251</v>
      </c>
      <c r="N971" s="2" t="s">
        <v>3742</v>
      </c>
      <c r="O971" s="2"/>
      <c r="P971" s="2"/>
      <c r="Q971" s="2" t="str">
        <f>"010/10"</f>
        <v>010/10</v>
      </c>
      <c r="R971" s="2" t="s">
        <v>3743</v>
      </c>
      <c r="S971" s="2" t="s">
        <v>3743</v>
      </c>
      <c r="T971" s="2">
        <v>1</v>
      </c>
      <c r="U971" s="2" t="s">
        <v>79</v>
      </c>
      <c r="V971" s="2">
        <v>1</v>
      </c>
      <c r="W971" s="2" t="s">
        <v>80</v>
      </c>
      <c r="X971" s="2">
        <v>1</v>
      </c>
      <c r="Y971" s="2" t="s">
        <v>81</v>
      </c>
      <c r="Z971" s="2">
        <v>1</v>
      </c>
      <c r="AA971" s="2" t="s">
        <v>82</v>
      </c>
      <c r="AB971" s="2">
        <v>9</v>
      </c>
      <c r="AC971" s="2" t="s">
        <v>124</v>
      </c>
      <c r="AD971" s="3">
        <v>40251</v>
      </c>
      <c r="AE971" s="4">
        <v>0.57638888888888895</v>
      </c>
      <c r="AF971" s="2"/>
      <c r="AG971" s="2"/>
      <c r="AH971" s="2">
        <v>4</v>
      </c>
      <c r="AI971" s="2" t="s">
        <v>125</v>
      </c>
      <c r="AJ971" s="2">
        <v>28</v>
      </c>
      <c r="AK971" s="2" t="s">
        <v>741</v>
      </c>
      <c r="AL971" s="2">
        <v>18</v>
      </c>
      <c r="AM971" s="2" t="s">
        <v>82</v>
      </c>
      <c r="AN971" s="2" t="s">
        <v>3744</v>
      </c>
      <c r="AO971" s="2" t="s">
        <v>3073</v>
      </c>
      <c r="AP971" s="2">
        <v>11</v>
      </c>
      <c r="AQ971" s="2" t="s">
        <v>82</v>
      </c>
      <c r="AR971" s="2"/>
      <c r="AS971" s="2"/>
      <c r="AT971" s="2" t="s">
        <v>3745</v>
      </c>
      <c r="AU971" s="2"/>
      <c r="AV971" s="2"/>
      <c r="AW971" s="2"/>
      <c r="AX971" s="2"/>
      <c r="AY971" s="2">
        <v>41</v>
      </c>
      <c r="AZ971" s="2" t="s">
        <v>82</v>
      </c>
      <c r="BA971" s="2">
        <v>41</v>
      </c>
      <c r="BB971" s="2" t="s">
        <v>82</v>
      </c>
      <c r="BC971" s="2">
        <v>41</v>
      </c>
      <c r="BD971" s="2" t="s">
        <v>82</v>
      </c>
      <c r="BE971" s="2">
        <v>41</v>
      </c>
      <c r="BF971" s="2" t="s">
        <v>82</v>
      </c>
      <c r="BG971" s="2"/>
      <c r="BH971" s="2"/>
      <c r="BI971" s="2"/>
      <c r="BJ971" s="2">
        <v>241</v>
      </c>
      <c r="BK971" s="2" t="s">
        <v>82</v>
      </c>
      <c r="BL971" s="2"/>
      <c r="BM971" s="2">
        <v>241</v>
      </c>
      <c r="BN971" s="2" t="s">
        <v>82</v>
      </c>
      <c r="BO971" s="2"/>
      <c r="BP971" s="2">
        <v>241</v>
      </c>
      <c r="BQ971" s="2" t="s">
        <v>82</v>
      </c>
      <c r="BR971" s="2"/>
      <c r="BS971" s="3">
        <v>40251</v>
      </c>
      <c r="BT971" s="4">
        <v>0.71604166666666658</v>
      </c>
    </row>
    <row r="972" spans="1:72" x14ac:dyDescent="0.25">
      <c r="A972" s="2">
        <v>1502</v>
      </c>
      <c r="B972" s="2">
        <v>2010</v>
      </c>
      <c r="C972" s="2" t="s">
        <v>93</v>
      </c>
      <c r="D972" s="2" t="s">
        <v>73</v>
      </c>
      <c r="E972" s="2"/>
      <c r="F972" s="2">
        <v>536</v>
      </c>
      <c r="G972" s="2" t="s">
        <v>3746</v>
      </c>
      <c r="H972" s="2">
        <v>68</v>
      </c>
      <c r="I972" s="2" t="s">
        <v>3747</v>
      </c>
      <c r="J972" s="2">
        <v>211</v>
      </c>
      <c r="K972" s="2" t="s">
        <v>3748</v>
      </c>
      <c r="L972" s="2" t="s">
        <v>3749</v>
      </c>
      <c r="M972" s="3">
        <v>40251</v>
      </c>
      <c r="N972" s="2" t="s">
        <v>3750</v>
      </c>
      <c r="O972" s="2" t="s">
        <v>3751</v>
      </c>
      <c r="P972" s="2"/>
      <c r="Q972" s="2" t="str">
        <f>"0034/10"</f>
        <v>0034/10</v>
      </c>
      <c r="R972" s="2" t="s">
        <v>3752</v>
      </c>
      <c r="S972" s="2"/>
      <c r="T972" s="2">
        <v>1</v>
      </c>
      <c r="U972" s="2" t="s">
        <v>79</v>
      </c>
      <c r="V972" s="2">
        <v>1</v>
      </c>
      <c r="W972" s="2" t="s">
        <v>80</v>
      </c>
      <c r="X972" s="2">
        <v>3</v>
      </c>
      <c r="Y972" s="2" t="s">
        <v>698</v>
      </c>
      <c r="Z972" s="2">
        <v>9</v>
      </c>
      <c r="AA972" s="2" t="s">
        <v>1119</v>
      </c>
      <c r="AB972" s="2">
        <v>2</v>
      </c>
      <c r="AC972" s="2" t="s">
        <v>102</v>
      </c>
      <c r="AD972" s="3">
        <v>40251</v>
      </c>
      <c r="AE972" s="4">
        <v>0.70138888888888884</v>
      </c>
      <c r="AF972" s="2"/>
      <c r="AG972" s="2"/>
      <c r="AH972" s="2">
        <v>5</v>
      </c>
      <c r="AI972" s="2" t="s">
        <v>274</v>
      </c>
      <c r="AJ972" s="2">
        <v>38</v>
      </c>
      <c r="AK972" s="2" t="s">
        <v>1120</v>
      </c>
      <c r="AL972" s="2">
        <v>11</v>
      </c>
      <c r="AM972" s="2" t="s">
        <v>137</v>
      </c>
      <c r="AN972" s="2"/>
      <c r="AO972" s="2"/>
      <c r="AP972" s="2">
        <v>11</v>
      </c>
      <c r="AQ972" s="2" t="s">
        <v>82</v>
      </c>
      <c r="AR972" s="2" t="s">
        <v>3753</v>
      </c>
      <c r="AS972" s="2" t="s">
        <v>3753</v>
      </c>
      <c r="AT972" s="2" t="s">
        <v>3754</v>
      </c>
      <c r="AU972" s="2"/>
      <c r="AV972" s="2"/>
      <c r="AW972" s="2"/>
      <c r="AX972" s="2"/>
      <c r="AY972" s="2">
        <v>41</v>
      </c>
      <c r="AZ972" s="2" t="s">
        <v>82</v>
      </c>
      <c r="BA972" s="2">
        <v>41</v>
      </c>
      <c r="BB972" s="2" t="s">
        <v>82</v>
      </c>
      <c r="BC972" s="2">
        <v>41</v>
      </c>
      <c r="BD972" s="2" t="s">
        <v>82</v>
      </c>
      <c r="BE972" s="2">
        <v>4</v>
      </c>
      <c r="BF972" s="2" t="s">
        <v>90</v>
      </c>
      <c r="BG972" s="2">
        <v>4031</v>
      </c>
      <c r="BH972" s="4">
        <v>0.69097222222222221</v>
      </c>
      <c r="BI972" s="4">
        <v>0.71875</v>
      </c>
      <c r="BJ972" s="2">
        <v>13</v>
      </c>
      <c r="BK972" s="2" t="s">
        <v>91</v>
      </c>
      <c r="BL972" s="2" t="s">
        <v>170</v>
      </c>
      <c r="BM972" s="2">
        <v>13</v>
      </c>
      <c r="BN972" s="2" t="s">
        <v>91</v>
      </c>
      <c r="BO972" s="2" t="s">
        <v>1697</v>
      </c>
      <c r="BP972" s="2">
        <v>13</v>
      </c>
      <c r="BQ972" s="2" t="s">
        <v>91</v>
      </c>
      <c r="BR972" s="2" t="s">
        <v>170</v>
      </c>
      <c r="BS972" s="3">
        <v>40251</v>
      </c>
      <c r="BT972" s="4">
        <v>0.78464120370370372</v>
      </c>
    </row>
    <row r="973" spans="1:72" x14ac:dyDescent="0.25">
      <c r="A973" s="2">
        <v>1503</v>
      </c>
      <c r="B973" s="2">
        <v>2010</v>
      </c>
      <c r="C973" s="2" t="s">
        <v>72</v>
      </c>
      <c r="D973" s="2" t="s">
        <v>73</v>
      </c>
      <c r="E973" s="2"/>
      <c r="F973" s="2">
        <v>529</v>
      </c>
      <c r="G973" s="2" t="s">
        <v>3755</v>
      </c>
      <c r="H973" s="2">
        <v>22</v>
      </c>
      <c r="I973" s="2" t="s">
        <v>75</v>
      </c>
      <c r="J973" s="2">
        <v>459</v>
      </c>
      <c r="K973" s="2" t="s">
        <v>3756</v>
      </c>
      <c r="L973" s="2" t="s">
        <v>3757</v>
      </c>
      <c r="M973" s="3">
        <v>40251</v>
      </c>
      <c r="N973" s="2" t="s">
        <v>3758</v>
      </c>
      <c r="O973" s="2" t="s">
        <v>107</v>
      </c>
      <c r="P973" s="2" t="s">
        <v>107</v>
      </c>
      <c r="Q973" s="2" t="str">
        <f>"PS 097-A/10"</f>
        <v>PS 097-A/10</v>
      </c>
      <c r="R973" s="2" t="s">
        <v>107</v>
      </c>
      <c r="S973" s="2" t="s">
        <v>1547</v>
      </c>
      <c r="T973" s="2">
        <v>1</v>
      </c>
      <c r="U973" s="2" t="s">
        <v>79</v>
      </c>
      <c r="V973" s="2">
        <v>1</v>
      </c>
      <c r="W973" s="2" t="s">
        <v>80</v>
      </c>
      <c r="X973" s="2">
        <v>1</v>
      </c>
      <c r="Y973" s="2" t="s">
        <v>81</v>
      </c>
      <c r="Z973" s="2">
        <v>1</v>
      </c>
      <c r="AA973" s="2" t="s">
        <v>82</v>
      </c>
      <c r="AB973" s="2">
        <v>6</v>
      </c>
      <c r="AC973" s="2" t="s">
        <v>83</v>
      </c>
      <c r="AD973" s="3">
        <v>40246</v>
      </c>
      <c r="AE973" s="4">
        <v>0.25347222222222221</v>
      </c>
      <c r="AF973" s="3">
        <v>40251</v>
      </c>
      <c r="AG973" s="4">
        <v>0.53472222222222221</v>
      </c>
      <c r="AH973" s="2">
        <v>2</v>
      </c>
      <c r="AI973" s="2" t="s">
        <v>84</v>
      </c>
      <c r="AJ973" s="2">
        <v>12</v>
      </c>
      <c r="AK973" s="2" t="s">
        <v>85</v>
      </c>
      <c r="AL973" s="2">
        <v>17</v>
      </c>
      <c r="AM973" s="2" t="s">
        <v>232</v>
      </c>
      <c r="AN973" s="2"/>
      <c r="AO973" s="2" t="s">
        <v>3759</v>
      </c>
      <c r="AP973" s="2">
        <v>11</v>
      </c>
      <c r="AQ973" s="2" t="s">
        <v>82</v>
      </c>
      <c r="AR973" s="2"/>
      <c r="AS973" s="2"/>
      <c r="AT973" s="2" t="s">
        <v>3760</v>
      </c>
      <c r="AU973" s="2"/>
      <c r="AV973" s="2"/>
      <c r="AW973" s="2"/>
      <c r="AX973" s="2"/>
      <c r="AY973" s="2">
        <v>41</v>
      </c>
      <c r="AZ973" s="2" t="s">
        <v>82</v>
      </c>
      <c r="BA973" s="2">
        <v>41</v>
      </c>
      <c r="BB973" s="2" t="s">
        <v>82</v>
      </c>
      <c r="BC973" s="2">
        <v>41</v>
      </c>
      <c r="BD973" s="2" t="s">
        <v>82</v>
      </c>
      <c r="BE973" s="2">
        <v>13</v>
      </c>
      <c r="BF973" s="2" t="s">
        <v>108</v>
      </c>
      <c r="BG973" s="2">
        <v>1782</v>
      </c>
      <c r="BH973" s="4">
        <v>0.35416666666666669</v>
      </c>
      <c r="BI973" s="4">
        <v>0.28125</v>
      </c>
      <c r="BJ973" s="2">
        <v>13</v>
      </c>
      <c r="BK973" s="2" t="s">
        <v>91</v>
      </c>
      <c r="BL973" s="2" t="s">
        <v>185</v>
      </c>
      <c r="BM973" s="2">
        <v>241</v>
      </c>
      <c r="BN973" s="2" t="s">
        <v>82</v>
      </c>
      <c r="BO973" s="2"/>
      <c r="BP973" s="2">
        <v>13</v>
      </c>
      <c r="BQ973" s="2" t="s">
        <v>91</v>
      </c>
      <c r="BR973" s="2" t="s">
        <v>3387</v>
      </c>
      <c r="BS973" s="3">
        <v>40251</v>
      </c>
      <c r="BT973" s="4">
        <v>0.7880787037037037</v>
      </c>
    </row>
    <row r="974" spans="1:72" x14ac:dyDescent="0.25">
      <c r="A974" s="2">
        <v>1506</v>
      </c>
      <c r="B974" s="2">
        <v>2010</v>
      </c>
      <c r="C974" s="2" t="s">
        <v>171</v>
      </c>
      <c r="D974" s="2" t="s">
        <v>73</v>
      </c>
      <c r="E974" s="2"/>
      <c r="F974" s="2">
        <v>398</v>
      </c>
      <c r="G974" s="2" t="s">
        <v>94</v>
      </c>
      <c r="H974" s="2">
        <v>13</v>
      </c>
      <c r="I974" s="2" t="s">
        <v>2229</v>
      </c>
      <c r="J974" s="2">
        <v>245</v>
      </c>
      <c r="K974" s="2" t="s">
        <v>96</v>
      </c>
      <c r="L974" s="2" t="s">
        <v>97</v>
      </c>
      <c r="M974" s="3">
        <v>40252</v>
      </c>
      <c r="N974" s="2" t="s">
        <v>1938</v>
      </c>
      <c r="O974" s="2" t="s">
        <v>107</v>
      </c>
      <c r="P974" s="2" t="s">
        <v>107</v>
      </c>
      <c r="Q974" s="2" t="str">
        <f>"138-E/10"</f>
        <v>138-E/10</v>
      </c>
      <c r="R974" s="2" t="s">
        <v>391</v>
      </c>
      <c r="S974" s="2" t="s">
        <v>391</v>
      </c>
      <c r="T974" s="2">
        <v>1</v>
      </c>
      <c r="U974" s="2" t="s">
        <v>79</v>
      </c>
      <c r="V974" s="2">
        <v>1</v>
      </c>
      <c r="W974" s="2" t="s">
        <v>80</v>
      </c>
      <c r="X974" s="2">
        <v>1</v>
      </c>
      <c r="Y974" s="2" t="s">
        <v>81</v>
      </c>
      <c r="Z974" s="2">
        <v>1</v>
      </c>
      <c r="AA974" s="2" t="s">
        <v>82</v>
      </c>
      <c r="AB974" s="2">
        <v>1</v>
      </c>
      <c r="AC974" s="2" t="s">
        <v>178</v>
      </c>
      <c r="AD974" s="3">
        <v>40251</v>
      </c>
      <c r="AE974" s="4">
        <v>0.54861111111111105</v>
      </c>
      <c r="AF974" s="3">
        <v>40251</v>
      </c>
      <c r="AG974" s="4">
        <v>0.83333333333333337</v>
      </c>
      <c r="AH974" s="2">
        <v>2</v>
      </c>
      <c r="AI974" s="2" t="s">
        <v>84</v>
      </c>
      <c r="AJ974" s="2">
        <v>9</v>
      </c>
      <c r="AK974" s="2" t="s">
        <v>103</v>
      </c>
      <c r="AL974" s="2">
        <v>15</v>
      </c>
      <c r="AM974" s="2" t="s">
        <v>104</v>
      </c>
      <c r="AN974" s="2" t="s">
        <v>179</v>
      </c>
      <c r="AO974" s="2" t="s">
        <v>82</v>
      </c>
      <c r="AP974" s="2">
        <v>11</v>
      </c>
      <c r="AQ974" s="2" t="s">
        <v>82</v>
      </c>
      <c r="AR974" s="2"/>
      <c r="AS974" s="2"/>
      <c r="AT974" s="2" t="s">
        <v>3761</v>
      </c>
      <c r="AU974" s="2"/>
      <c r="AV974" s="2">
        <v>1</v>
      </c>
      <c r="AW974" s="2"/>
      <c r="AX974" s="2"/>
      <c r="AY974" s="2">
        <v>41</v>
      </c>
      <c r="AZ974" s="2" t="s">
        <v>82</v>
      </c>
      <c r="BA974" s="2">
        <v>41</v>
      </c>
      <c r="BB974" s="2" t="s">
        <v>82</v>
      </c>
      <c r="BC974" s="2">
        <v>41</v>
      </c>
      <c r="BD974" s="2" t="s">
        <v>82</v>
      </c>
      <c r="BE974" s="2">
        <v>13</v>
      </c>
      <c r="BF974" s="2" t="s">
        <v>108</v>
      </c>
      <c r="BG974" s="2" t="s">
        <v>674</v>
      </c>
      <c r="BH974" s="2"/>
      <c r="BI974" s="4">
        <v>0.625</v>
      </c>
      <c r="BJ974" s="2">
        <v>13</v>
      </c>
      <c r="BK974" s="2" t="s">
        <v>91</v>
      </c>
      <c r="BL974" s="2" t="s">
        <v>1685</v>
      </c>
      <c r="BM974" s="2">
        <v>241</v>
      </c>
      <c r="BN974" s="2" t="s">
        <v>82</v>
      </c>
      <c r="BO974" s="2"/>
      <c r="BP974" s="2">
        <v>73</v>
      </c>
      <c r="BQ974" s="2" t="s">
        <v>186</v>
      </c>
      <c r="BR974" s="2" t="s">
        <v>675</v>
      </c>
      <c r="BS974" s="3">
        <v>40252</v>
      </c>
      <c r="BT974" s="4">
        <v>8.3506944444444453E-2</v>
      </c>
    </row>
    <row r="975" spans="1:72" x14ac:dyDescent="0.25">
      <c r="A975" s="2">
        <v>1507</v>
      </c>
      <c r="B975" s="2">
        <v>2010</v>
      </c>
      <c r="C975" s="2" t="s">
        <v>1660</v>
      </c>
      <c r="D975" s="2" t="s">
        <v>73</v>
      </c>
      <c r="E975" s="2"/>
      <c r="F975" s="2">
        <v>158</v>
      </c>
      <c r="G975" s="2" t="s">
        <v>3026</v>
      </c>
      <c r="H975" s="2">
        <v>17</v>
      </c>
      <c r="I975" s="2" t="s">
        <v>3602</v>
      </c>
      <c r="J975" s="2">
        <v>451</v>
      </c>
      <c r="K975" s="2" t="s">
        <v>3028</v>
      </c>
      <c r="L975" s="2" t="s">
        <v>3029</v>
      </c>
      <c r="M975" s="3">
        <v>40252</v>
      </c>
      <c r="N975" s="2" t="s">
        <v>3686</v>
      </c>
      <c r="O975" s="2" t="s">
        <v>82</v>
      </c>
      <c r="P975" s="2" t="s">
        <v>82</v>
      </c>
      <c r="Q975" s="2" t="str">
        <f>"098-A/10"</f>
        <v>098-A/10</v>
      </c>
      <c r="R975" s="2" t="s">
        <v>82</v>
      </c>
      <c r="S975" s="2" t="s">
        <v>3762</v>
      </c>
      <c r="T975" s="2">
        <v>1</v>
      </c>
      <c r="U975" s="2" t="s">
        <v>79</v>
      </c>
      <c r="V975" s="2">
        <v>1</v>
      </c>
      <c r="W975" s="2" t="s">
        <v>80</v>
      </c>
      <c r="X975" s="2">
        <v>4</v>
      </c>
      <c r="Y975" s="2" t="s">
        <v>463</v>
      </c>
      <c r="Z975" s="2">
        <v>6</v>
      </c>
      <c r="AA975" s="2" t="s">
        <v>101</v>
      </c>
      <c r="AB975" s="2">
        <v>3</v>
      </c>
      <c r="AC975" s="2" t="s">
        <v>1663</v>
      </c>
      <c r="AD975" s="3">
        <v>40251</v>
      </c>
      <c r="AE975" s="4">
        <v>0.68055555555555547</v>
      </c>
      <c r="AF975" s="3">
        <v>40251</v>
      </c>
      <c r="AG975" s="4">
        <v>0.71875</v>
      </c>
      <c r="AH975" s="2">
        <v>2</v>
      </c>
      <c r="AI975" s="2" t="s">
        <v>84</v>
      </c>
      <c r="AJ975" s="2">
        <v>12</v>
      </c>
      <c r="AK975" s="2" t="s">
        <v>85</v>
      </c>
      <c r="AL975" s="2">
        <v>14</v>
      </c>
      <c r="AM975" s="2" t="s">
        <v>216</v>
      </c>
      <c r="AN975" s="2" t="s">
        <v>3763</v>
      </c>
      <c r="AO975" s="2" t="s">
        <v>3764</v>
      </c>
      <c r="AP975" s="2">
        <v>11</v>
      </c>
      <c r="AQ975" s="2" t="s">
        <v>82</v>
      </c>
      <c r="AR975" s="2" t="s">
        <v>82</v>
      </c>
      <c r="AS975" s="2" t="s">
        <v>82</v>
      </c>
      <c r="AT975" s="2" t="s">
        <v>3765</v>
      </c>
      <c r="AU975" s="2">
        <v>1</v>
      </c>
      <c r="AV975" s="2"/>
      <c r="AW975" s="2"/>
      <c r="AX975" s="2"/>
      <c r="AY975" s="2">
        <v>41</v>
      </c>
      <c r="AZ975" s="2" t="s">
        <v>82</v>
      </c>
      <c r="BA975" s="2">
        <v>41</v>
      </c>
      <c r="BB975" s="2" t="s">
        <v>82</v>
      </c>
      <c r="BC975" s="2">
        <v>41</v>
      </c>
      <c r="BD975" s="2" t="s">
        <v>82</v>
      </c>
      <c r="BE975" s="2">
        <v>13</v>
      </c>
      <c r="BF975" s="2" t="s">
        <v>108</v>
      </c>
      <c r="BG975" s="2" t="s">
        <v>3766</v>
      </c>
      <c r="BH975" s="4">
        <v>0.56944444444444442</v>
      </c>
      <c r="BI975" s="4">
        <v>0.44791666666666669</v>
      </c>
      <c r="BJ975" s="2">
        <v>33</v>
      </c>
      <c r="BK975" s="2" t="s">
        <v>361</v>
      </c>
      <c r="BL975" s="2" t="s">
        <v>1739</v>
      </c>
      <c r="BM975" s="2">
        <v>241</v>
      </c>
      <c r="BN975" s="2" t="s">
        <v>82</v>
      </c>
      <c r="BO975" s="2" t="s">
        <v>82</v>
      </c>
      <c r="BP975" s="2">
        <v>13</v>
      </c>
      <c r="BQ975" s="2" t="s">
        <v>91</v>
      </c>
      <c r="BR975" s="2" t="s">
        <v>185</v>
      </c>
      <c r="BS975" s="3">
        <v>40252</v>
      </c>
      <c r="BT975" s="4">
        <v>0.10452546296296296</v>
      </c>
    </row>
    <row r="976" spans="1:72" x14ac:dyDescent="0.25">
      <c r="A976" s="2">
        <v>1508</v>
      </c>
      <c r="B976" s="2">
        <v>2010</v>
      </c>
      <c r="C976" s="2" t="s">
        <v>171</v>
      </c>
      <c r="D976" s="2" t="s">
        <v>73</v>
      </c>
      <c r="E976" s="2"/>
      <c r="F976" s="2">
        <v>398</v>
      </c>
      <c r="G976" s="2" t="s">
        <v>94</v>
      </c>
      <c r="H976" s="2">
        <v>13</v>
      </c>
      <c r="I976" s="2" t="s">
        <v>2229</v>
      </c>
      <c r="J976" s="2">
        <v>245</v>
      </c>
      <c r="K976" s="2" t="s">
        <v>96</v>
      </c>
      <c r="L976" s="2" t="s">
        <v>97</v>
      </c>
      <c r="M976" s="3">
        <v>40252</v>
      </c>
      <c r="N976" s="2" t="s">
        <v>3767</v>
      </c>
      <c r="O976" s="2" t="s">
        <v>107</v>
      </c>
      <c r="P976" s="2" t="s">
        <v>107</v>
      </c>
      <c r="Q976" s="2" t="str">
        <f>"139-E/10"</f>
        <v>139-E/10</v>
      </c>
      <c r="R976" s="2" t="s">
        <v>107</v>
      </c>
      <c r="S976" s="2" t="s">
        <v>3768</v>
      </c>
      <c r="T976" s="2">
        <v>1</v>
      </c>
      <c r="U976" s="2" t="s">
        <v>79</v>
      </c>
      <c r="V976" s="2">
        <v>1</v>
      </c>
      <c r="W976" s="2" t="s">
        <v>80</v>
      </c>
      <c r="X976" s="2">
        <v>1</v>
      </c>
      <c r="Y976" s="2" t="s">
        <v>81</v>
      </c>
      <c r="Z976" s="2">
        <v>1</v>
      </c>
      <c r="AA976" s="2" t="s">
        <v>82</v>
      </c>
      <c r="AB976" s="2">
        <v>1</v>
      </c>
      <c r="AC976" s="2" t="s">
        <v>178</v>
      </c>
      <c r="AD976" s="3">
        <v>40251</v>
      </c>
      <c r="AE976" s="4">
        <v>0.625</v>
      </c>
      <c r="AF976" s="3">
        <v>40251</v>
      </c>
      <c r="AG976" s="4">
        <v>0.875</v>
      </c>
      <c r="AH976" s="2">
        <v>2</v>
      </c>
      <c r="AI976" s="2" t="s">
        <v>84</v>
      </c>
      <c r="AJ976" s="2">
        <v>9</v>
      </c>
      <c r="AK976" s="2" t="s">
        <v>103</v>
      </c>
      <c r="AL976" s="2">
        <v>15</v>
      </c>
      <c r="AM976" s="2" t="s">
        <v>104</v>
      </c>
      <c r="AN976" s="2" t="s">
        <v>179</v>
      </c>
      <c r="AO976" s="2" t="s">
        <v>82</v>
      </c>
      <c r="AP976" s="2">
        <v>11</v>
      </c>
      <c r="AQ976" s="2" t="s">
        <v>82</v>
      </c>
      <c r="AR976" s="2"/>
      <c r="AS976" s="2"/>
      <c r="AT976" s="2" t="s">
        <v>3769</v>
      </c>
      <c r="AU976" s="2"/>
      <c r="AV976" s="2">
        <v>1</v>
      </c>
      <c r="AW976" s="2"/>
      <c r="AX976" s="2"/>
      <c r="AY976" s="2">
        <v>41</v>
      </c>
      <c r="AZ976" s="2" t="s">
        <v>82</v>
      </c>
      <c r="BA976" s="2">
        <v>41</v>
      </c>
      <c r="BB976" s="2" t="s">
        <v>82</v>
      </c>
      <c r="BC976" s="2">
        <v>41</v>
      </c>
      <c r="BD976" s="2" t="s">
        <v>82</v>
      </c>
      <c r="BE976" s="2">
        <v>13</v>
      </c>
      <c r="BF976" s="2" t="s">
        <v>108</v>
      </c>
      <c r="BG976" s="2" t="s">
        <v>674</v>
      </c>
      <c r="BH976" s="2"/>
      <c r="BI976" s="4">
        <v>0.625</v>
      </c>
      <c r="BJ976" s="2">
        <v>13</v>
      </c>
      <c r="BK976" s="2" t="s">
        <v>91</v>
      </c>
      <c r="BL976" s="2" t="s">
        <v>723</v>
      </c>
      <c r="BM976" s="2">
        <v>241</v>
      </c>
      <c r="BN976" s="2" t="s">
        <v>82</v>
      </c>
      <c r="BO976" s="2"/>
      <c r="BP976" s="2">
        <v>73</v>
      </c>
      <c r="BQ976" s="2" t="s">
        <v>186</v>
      </c>
      <c r="BR976" s="2" t="s">
        <v>675</v>
      </c>
      <c r="BS976" s="3">
        <v>40252</v>
      </c>
      <c r="BT976" s="4">
        <v>0.17903935185185185</v>
      </c>
    </row>
    <row r="977" spans="1:72" x14ac:dyDescent="0.25">
      <c r="A977" s="2">
        <v>1509</v>
      </c>
      <c r="B977" s="2">
        <v>2010</v>
      </c>
      <c r="C977" s="2" t="s">
        <v>72</v>
      </c>
      <c r="D977" s="2" t="s">
        <v>73</v>
      </c>
      <c r="E977" s="2"/>
      <c r="F977" s="2">
        <v>75</v>
      </c>
      <c r="G977" s="2" t="s">
        <v>3770</v>
      </c>
      <c r="H977" s="2">
        <v>22</v>
      </c>
      <c r="I977" s="2" t="s">
        <v>75</v>
      </c>
      <c r="J977" s="2">
        <v>107</v>
      </c>
      <c r="K977" s="2" t="s">
        <v>1975</v>
      </c>
      <c r="L977" s="2" t="s">
        <v>3771</v>
      </c>
      <c r="M977" s="3">
        <v>40252</v>
      </c>
      <c r="N977" s="2" t="s">
        <v>3772</v>
      </c>
      <c r="O977" s="2" t="s">
        <v>107</v>
      </c>
      <c r="P977" s="2" t="s">
        <v>107</v>
      </c>
      <c r="Q977" s="2" t="str">
        <f>"004/10"</f>
        <v>004/10</v>
      </c>
      <c r="R977" s="2" t="s">
        <v>3773</v>
      </c>
      <c r="S977" s="2" t="s">
        <v>107</v>
      </c>
      <c r="T977" s="2">
        <v>1</v>
      </c>
      <c r="U977" s="2" t="s">
        <v>79</v>
      </c>
      <c r="V977" s="2">
        <v>1</v>
      </c>
      <c r="W977" s="2" t="s">
        <v>80</v>
      </c>
      <c r="X977" s="2">
        <v>1</v>
      </c>
      <c r="Y977" s="2" t="s">
        <v>81</v>
      </c>
      <c r="Z977" s="2">
        <v>1</v>
      </c>
      <c r="AA977" s="2" t="s">
        <v>82</v>
      </c>
      <c r="AB977" s="2">
        <v>6</v>
      </c>
      <c r="AC977" s="2" t="s">
        <v>83</v>
      </c>
      <c r="AD977" s="3">
        <v>40251</v>
      </c>
      <c r="AE977" s="4">
        <v>6.9444444444444441E-3</v>
      </c>
      <c r="AF977" s="3">
        <v>40252</v>
      </c>
      <c r="AG977" s="4">
        <v>6.25E-2</v>
      </c>
      <c r="AH977" s="2">
        <v>6</v>
      </c>
      <c r="AI977" s="2" t="s">
        <v>197</v>
      </c>
      <c r="AJ977" s="2">
        <v>51</v>
      </c>
      <c r="AK977" s="2" t="s">
        <v>238</v>
      </c>
      <c r="AL977" s="2">
        <v>10</v>
      </c>
      <c r="AM977" s="2" t="s">
        <v>200</v>
      </c>
      <c r="AN977" s="2" t="s">
        <v>107</v>
      </c>
      <c r="AO977" s="2" t="s">
        <v>107</v>
      </c>
      <c r="AP977" s="2">
        <v>11</v>
      </c>
      <c r="AQ977" s="2" t="s">
        <v>82</v>
      </c>
      <c r="AR977" s="2" t="s">
        <v>82</v>
      </c>
      <c r="AS977" s="2" t="s">
        <v>82</v>
      </c>
      <c r="AT977" s="2" t="s">
        <v>3774</v>
      </c>
      <c r="AU977" s="2"/>
      <c r="AV977" s="2"/>
      <c r="AW977" s="2"/>
      <c r="AX977" s="2"/>
      <c r="AY977" s="2">
        <v>41</v>
      </c>
      <c r="AZ977" s="2" t="s">
        <v>82</v>
      </c>
      <c r="BA977" s="2">
        <v>41</v>
      </c>
      <c r="BB977" s="2" t="s">
        <v>82</v>
      </c>
      <c r="BC977" s="2">
        <v>41</v>
      </c>
      <c r="BD977" s="2" t="s">
        <v>82</v>
      </c>
      <c r="BE977" s="2">
        <v>47</v>
      </c>
      <c r="BF977" s="2" t="s">
        <v>167</v>
      </c>
      <c r="BG977" s="2">
        <v>2658</v>
      </c>
      <c r="BH977" s="4">
        <v>6.9444444444444441E-3</v>
      </c>
      <c r="BI977" s="4">
        <v>0.93055555555555547</v>
      </c>
      <c r="BJ977" s="2">
        <v>13</v>
      </c>
      <c r="BK977" s="2" t="s">
        <v>91</v>
      </c>
      <c r="BL977" s="2" t="s">
        <v>170</v>
      </c>
      <c r="BM977" s="2">
        <v>241</v>
      </c>
      <c r="BN977" s="2" t="s">
        <v>82</v>
      </c>
      <c r="BO977" s="2" t="s">
        <v>82</v>
      </c>
      <c r="BP977" s="2">
        <v>13</v>
      </c>
      <c r="BQ977" s="2" t="s">
        <v>91</v>
      </c>
      <c r="BR977" s="2" t="s">
        <v>241</v>
      </c>
      <c r="BS977" s="3">
        <v>40252</v>
      </c>
      <c r="BT977" s="4">
        <v>0.20625000000000002</v>
      </c>
    </row>
    <row r="978" spans="1:72" x14ac:dyDescent="0.25">
      <c r="A978" s="2">
        <v>1514</v>
      </c>
      <c r="B978" s="2">
        <v>2010</v>
      </c>
      <c r="C978" s="2" t="s">
        <v>196</v>
      </c>
      <c r="D978" s="2" t="s">
        <v>122</v>
      </c>
      <c r="E978" s="2"/>
      <c r="F978" s="2">
        <v>1</v>
      </c>
      <c r="G978" s="2" t="s">
        <v>82</v>
      </c>
      <c r="H978" s="2">
        <v>1</v>
      </c>
      <c r="I978" s="2" t="s">
        <v>82</v>
      </c>
      <c r="J978" s="2">
        <v>1</v>
      </c>
      <c r="K978" s="2" t="s">
        <v>107</v>
      </c>
      <c r="L978" s="2" t="s">
        <v>107</v>
      </c>
      <c r="M978" s="3">
        <v>40252</v>
      </c>
      <c r="N978" s="2"/>
      <c r="O978" s="2"/>
      <c r="P978" s="2"/>
      <c r="Q978" s="2" t="str">
        <f>""</f>
        <v/>
      </c>
      <c r="R978" s="2"/>
      <c r="S978" s="2"/>
      <c r="T978" s="2">
        <v>2</v>
      </c>
      <c r="U978" s="2" t="s">
        <v>123</v>
      </c>
      <c r="V978" s="2">
        <v>1</v>
      </c>
      <c r="W978" s="2" t="s">
        <v>80</v>
      </c>
      <c r="X978" s="2">
        <v>5</v>
      </c>
      <c r="Y978" s="2" t="s">
        <v>82</v>
      </c>
      <c r="Z978" s="2">
        <v>1</v>
      </c>
      <c r="AA978" s="2" t="s">
        <v>82</v>
      </c>
      <c r="AB978" s="2">
        <v>9</v>
      </c>
      <c r="AC978" s="2" t="s">
        <v>124</v>
      </c>
      <c r="AD978" s="3">
        <v>40252</v>
      </c>
      <c r="AE978" s="2"/>
      <c r="AF978" s="2"/>
      <c r="AG978" s="2"/>
      <c r="AH978" s="2">
        <v>6</v>
      </c>
      <c r="AI978" s="2" t="s">
        <v>197</v>
      </c>
      <c r="AJ978" s="2">
        <v>59</v>
      </c>
      <c r="AK978" s="2" t="s">
        <v>198</v>
      </c>
      <c r="AL978" s="2">
        <v>18</v>
      </c>
      <c r="AM978" s="2" t="s">
        <v>82</v>
      </c>
      <c r="AN978" s="2" t="s">
        <v>199</v>
      </c>
      <c r="AO978" s="2" t="s">
        <v>3775</v>
      </c>
      <c r="AP978" s="2">
        <v>11</v>
      </c>
      <c r="AQ978" s="2" t="s">
        <v>82</v>
      </c>
      <c r="AR978" s="2"/>
      <c r="AS978" s="2"/>
      <c r="AT978" s="2" t="s">
        <v>3776</v>
      </c>
      <c r="AU978" s="2"/>
      <c r="AV978" s="2"/>
      <c r="AW978" s="2"/>
      <c r="AX978" s="2"/>
      <c r="AY978" s="2">
        <v>1</v>
      </c>
      <c r="AZ978" s="2" t="s">
        <v>107</v>
      </c>
      <c r="BA978" s="2">
        <v>1</v>
      </c>
      <c r="BB978" s="2" t="s">
        <v>107</v>
      </c>
      <c r="BC978" s="2">
        <v>1</v>
      </c>
      <c r="BD978" s="2" t="s">
        <v>107</v>
      </c>
      <c r="BE978" s="2">
        <v>1</v>
      </c>
      <c r="BF978" s="2" t="s">
        <v>107</v>
      </c>
      <c r="BG978" s="2"/>
      <c r="BH978" s="2"/>
      <c r="BI978" s="4">
        <v>0.47222222222222227</v>
      </c>
      <c r="BJ978" s="2">
        <v>13</v>
      </c>
      <c r="BK978" s="2" t="s">
        <v>91</v>
      </c>
      <c r="BL978" s="2" t="s">
        <v>204</v>
      </c>
      <c r="BM978" s="2">
        <v>242</v>
      </c>
      <c r="BN978" s="2" t="s">
        <v>107</v>
      </c>
      <c r="BO978" s="2"/>
      <c r="BP978" s="2">
        <v>13</v>
      </c>
      <c r="BQ978" s="2" t="s">
        <v>91</v>
      </c>
      <c r="BR978" s="2" t="s">
        <v>895</v>
      </c>
      <c r="BS978" s="3">
        <v>40252</v>
      </c>
      <c r="BT978" s="4">
        <v>0.47674768518518523</v>
      </c>
    </row>
    <row r="979" spans="1:72" x14ac:dyDescent="0.25">
      <c r="A979" s="2">
        <v>1515</v>
      </c>
      <c r="B979" s="2">
        <v>2010</v>
      </c>
      <c r="C979" s="2" t="s">
        <v>72</v>
      </c>
      <c r="D979" s="2" t="s">
        <v>73</v>
      </c>
      <c r="E979" s="2"/>
      <c r="F979" s="2">
        <v>529</v>
      </c>
      <c r="G979" s="2" t="s">
        <v>3755</v>
      </c>
      <c r="H979" s="2">
        <v>22</v>
      </c>
      <c r="I979" s="2" t="s">
        <v>75</v>
      </c>
      <c r="J979" s="2">
        <v>458</v>
      </c>
      <c r="K979" s="2" t="s">
        <v>3270</v>
      </c>
      <c r="L979" s="2" t="s">
        <v>3271</v>
      </c>
      <c r="M979" s="3">
        <v>40252</v>
      </c>
      <c r="N979" s="2" t="s">
        <v>3777</v>
      </c>
      <c r="O979" s="2" t="s">
        <v>82</v>
      </c>
      <c r="P979" s="2" t="s">
        <v>82</v>
      </c>
      <c r="Q979" s="2" t="str">
        <f>"099-A/10"</f>
        <v>099-A/10</v>
      </c>
      <c r="R979" s="2" t="s">
        <v>82</v>
      </c>
      <c r="S979" s="2" t="s">
        <v>1547</v>
      </c>
      <c r="T979" s="2">
        <v>1</v>
      </c>
      <c r="U979" s="2" t="s">
        <v>79</v>
      </c>
      <c r="V979" s="2">
        <v>1</v>
      </c>
      <c r="W979" s="2" t="s">
        <v>80</v>
      </c>
      <c r="X979" s="2">
        <v>1</v>
      </c>
      <c r="Y979" s="2" t="s">
        <v>81</v>
      </c>
      <c r="Z979" s="2">
        <v>1</v>
      </c>
      <c r="AA979" s="2" t="s">
        <v>82</v>
      </c>
      <c r="AB979" s="2">
        <v>6</v>
      </c>
      <c r="AC979" s="2" t="s">
        <v>83</v>
      </c>
      <c r="AD979" s="3">
        <v>40251</v>
      </c>
      <c r="AE979" s="4">
        <v>0.76736111111111116</v>
      </c>
      <c r="AF979" s="3">
        <v>40252</v>
      </c>
      <c r="AG979" s="4">
        <v>0.36805555555555558</v>
      </c>
      <c r="AH979" s="2">
        <v>2</v>
      </c>
      <c r="AI979" s="2" t="s">
        <v>84</v>
      </c>
      <c r="AJ979" s="2">
        <v>12</v>
      </c>
      <c r="AK979" s="2" t="s">
        <v>85</v>
      </c>
      <c r="AL979" s="2">
        <v>10</v>
      </c>
      <c r="AM979" s="2" t="s">
        <v>200</v>
      </c>
      <c r="AN979" s="2" t="s">
        <v>107</v>
      </c>
      <c r="AO979" s="2" t="s">
        <v>163</v>
      </c>
      <c r="AP979" s="2">
        <v>11</v>
      </c>
      <c r="AQ979" s="2" t="s">
        <v>82</v>
      </c>
      <c r="AR979" s="2" t="s">
        <v>82</v>
      </c>
      <c r="AS979" s="2" t="s">
        <v>82</v>
      </c>
      <c r="AT979" s="2" t="s">
        <v>3778</v>
      </c>
      <c r="AU979" s="2"/>
      <c r="AV979" s="2"/>
      <c r="AW979" s="2"/>
      <c r="AX979" s="2"/>
      <c r="AY979" s="2">
        <v>41</v>
      </c>
      <c r="AZ979" s="2" t="s">
        <v>82</v>
      </c>
      <c r="BA979" s="2">
        <v>41</v>
      </c>
      <c r="BB979" s="2" t="s">
        <v>82</v>
      </c>
      <c r="BC979" s="2">
        <v>41</v>
      </c>
      <c r="BD979" s="2" t="s">
        <v>82</v>
      </c>
      <c r="BE979" s="2">
        <v>4</v>
      </c>
      <c r="BF979" s="2" t="s">
        <v>90</v>
      </c>
      <c r="BG979" s="2" t="s">
        <v>3779</v>
      </c>
      <c r="BH979" s="4">
        <v>0.83680555555555547</v>
      </c>
      <c r="BI979" s="4">
        <v>0.71875</v>
      </c>
      <c r="BJ979" s="2">
        <v>13</v>
      </c>
      <c r="BK979" s="2" t="s">
        <v>91</v>
      </c>
      <c r="BL979" s="2" t="s">
        <v>744</v>
      </c>
      <c r="BM979" s="2">
        <v>241</v>
      </c>
      <c r="BN979" s="2" t="s">
        <v>82</v>
      </c>
      <c r="BO979" s="2" t="s">
        <v>82</v>
      </c>
      <c r="BP979" s="2">
        <v>13</v>
      </c>
      <c r="BQ979" s="2" t="s">
        <v>91</v>
      </c>
      <c r="BR979" s="2" t="s">
        <v>185</v>
      </c>
      <c r="BS979" s="3">
        <v>40252</v>
      </c>
      <c r="BT979" s="4">
        <v>0.53017361111111116</v>
      </c>
    </row>
    <row r="980" spans="1:72" x14ac:dyDescent="0.25">
      <c r="A980" s="2">
        <v>1516</v>
      </c>
      <c r="B980" s="2">
        <v>2010</v>
      </c>
      <c r="C980" s="2" t="s">
        <v>196</v>
      </c>
      <c r="D980" s="2" t="s">
        <v>122</v>
      </c>
      <c r="E980" s="2"/>
      <c r="F980" s="2">
        <v>1</v>
      </c>
      <c r="G980" s="2" t="s">
        <v>82</v>
      </c>
      <c r="H980" s="2">
        <v>1</v>
      </c>
      <c r="I980" s="2" t="s">
        <v>82</v>
      </c>
      <c r="J980" s="2">
        <v>1</v>
      </c>
      <c r="K980" s="2" t="s">
        <v>107</v>
      </c>
      <c r="L980" s="2" t="s">
        <v>107</v>
      </c>
      <c r="M980" s="3">
        <v>40252</v>
      </c>
      <c r="N980" s="2"/>
      <c r="O980" s="2"/>
      <c r="P980" s="2"/>
      <c r="Q980" s="2" t="str">
        <f>""</f>
        <v/>
      </c>
      <c r="R980" s="2"/>
      <c r="S980" s="2"/>
      <c r="T980" s="2">
        <v>2</v>
      </c>
      <c r="U980" s="2" t="s">
        <v>123</v>
      </c>
      <c r="V980" s="2">
        <v>1</v>
      </c>
      <c r="W980" s="2" t="s">
        <v>80</v>
      </c>
      <c r="X980" s="2">
        <v>1</v>
      </c>
      <c r="Y980" s="2" t="s">
        <v>81</v>
      </c>
      <c r="Z980" s="2">
        <v>10</v>
      </c>
      <c r="AA980" s="2" t="s">
        <v>236</v>
      </c>
      <c r="AB980" s="2">
        <v>9</v>
      </c>
      <c r="AC980" s="2" t="s">
        <v>124</v>
      </c>
      <c r="AD980" s="3">
        <v>40252</v>
      </c>
      <c r="AE980" s="4">
        <v>0.41666666666666669</v>
      </c>
      <c r="AF980" s="2"/>
      <c r="AG980" s="2"/>
      <c r="AH980" s="2">
        <v>6</v>
      </c>
      <c r="AI980" s="2" t="s">
        <v>197</v>
      </c>
      <c r="AJ980" s="2">
        <v>46</v>
      </c>
      <c r="AK980" s="2" t="s">
        <v>197</v>
      </c>
      <c r="AL980" s="2">
        <v>2</v>
      </c>
      <c r="AM980" s="2" t="s">
        <v>163</v>
      </c>
      <c r="AN980" s="2" t="s">
        <v>82</v>
      </c>
      <c r="AO980" s="2" t="s">
        <v>230</v>
      </c>
      <c r="AP980" s="2">
        <v>11</v>
      </c>
      <c r="AQ980" s="2" t="s">
        <v>82</v>
      </c>
      <c r="AR980" s="2" t="s">
        <v>82</v>
      </c>
      <c r="AS980" s="2" t="s">
        <v>82</v>
      </c>
      <c r="AT980" s="2" t="s">
        <v>3780</v>
      </c>
      <c r="AU980" s="2"/>
      <c r="AV980" s="2"/>
      <c r="AW980" s="2"/>
      <c r="AX980" s="2"/>
      <c r="AY980" s="2">
        <v>41</v>
      </c>
      <c r="AZ980" s="2" t="s">
        <v>82</v>
      </c>
      <c r="BA980" s="2">
        <v>41</v>
      </c>
      <c r="BB980" s="2" t="s">
        <v>82</v>
      </c>
      <c r="BC980" s="2">
        <v>42</v>
      </c>
      <c r="BD980" s="2" t="s">
        <v>182</v>
      </c>
      <c r="BE980" s="2">
        <v>42</v>
      </c>
      <c r="BF980" s="2" t="s">
        <v>182</v>
      </c>
      <c r="BG980" s="2" t="s">
        <v>265</v>
      </c>
      <c r="BH980" s="2"/>
      <c r="BI980" s="4">
        <v>0.41666666666666669</v>
      </c>
      <c r="BJ980" s="2">
        <v>13</v>
      </c>
      <c r="BK980" s="2" t="s">
        <v>91</v>
      </c>
      <c r="BL980" s="2" t="s">
        <v>3299</v>
      </c>
      <c r="BM980" s="2">
        <v>241</v>
      </c>
      <c r="BN980" s="2" t="s">
        <v>82</v>
      </c>
      <c r="BO980" s="2" t="s">
        <v>82</v>
      </c>
      <c r="BP980" s="2">
        <v>13</v>
      </c>
      <c r="BQ980" s="2" t="s">
        <v>91</v>
      </c>
      <c r="BR980" s="2" t="s">
        <v>204</v>
      </c>
      <c r="BS980" s="3">
        <v>40252</v>
      </c>
      <c r="BT980" s="4">
        <v>0.53059027777777779</v>
      </c>
    </row>
    <row r="981" spans="1:72" x14ac:dyDescent="0.25">
      <c r="A981" s="2">
        <v>1517</v>
      </c>
      <c r="B981" s="2">
        <v>2010</v>
      </c>
      <c r="C981" s="2" t="s">
        <v>196</v>
      </c>
      <c r="D981" s="2" t="s">
        <v>122</v>
      </c>
      <c r="E981" s="2"/>
      <c r="F981" s="2">
        <v>1</v>
      </c>
      <c r="G981" s="2" t="s">
        <v>82</v>
      </c>
      <c r="H981" s="2">
        <v>1</v>
      </c>
      <c r="I981" s="2" t="s">
        <v>82</v>
      </c>
      <c r="J981" s="2">
        <v>1</v>
      </c>
      <c r="K981" s="2" t="s">
        <v>107</v>
      </c>
      <c r="L981" s="2" t="s">
        <v>107</v>
      </c>
      <c r="M981" s="3">
        <v>40252</v>
      </c>
      <c r="N981" s="2"/>
      <c r="O981" s="2"/>
      <c r="P981" s="2"/>
      <c r="Q981" s="2" t="str">
        <f>""</f>
        <v/>
      </c>
      <c r="R981" s="2"/>
      <c r="S981" s="2"/>
      <c r="T981" s="2">
        <v>2</v>
      </c>
      <c r="U981" s="2" t="s">
        <v>123</v>
      </c>
      <c r="V981" s="2">
        <v>1</v>
      </c>
      <c r="W981" s="2" t="s">
        <v>80</v>
      </c>
      <c r="X981" s="2">
        <v>5</v>
      </c>
      <c r="Y981" s="2" t="s">
        <v>82</v>
      </c>
      <c r="Z981" s="2">
        <v>1</v>
      </c>
      <c r="AA981" s="2" t="s">
        <v>82</v>
      </c>
      <c r="AB981" s="2">
        <v>9</v>
      </c>
      <c r="AC981" s="2" t="s">
        <v>124</v>
      </c>
      <c r="AD981" s="2"/>
      <c r="AE981" s="2"/>
      <c r="AF981" s="2"/>
      <c r="AG981" s="2"/>
      <c r="AH981" s="2">
        <v>6</v>
      </c>
      <c r="AI981" s="2" t="s">
        <v>197</v>
      </c>
      <c r="AJ981" s="2">
        <v>60</v>
      </c>
      <c r="AK981" s="2" t="s">
        <v>543</v>
      </c>
      <c r="AL981" s="2">
        <v>10</v>
      </c>
      <c r="AM981" s="2" t="s">
        <v>200</v>
      </c>
      <c r="AN981" s="2"/>
      <c r="AO981" s="2" t="s">
        <v>3781</v>
      </c>
      <c r="AP981" s="2">
        <v>11</v>
      </c>
      <c r="AQ981" s="2" t="s">
        <v>82</v>
      </c>
      <c r="AR981" s="2"/>
      <c r="AS981" s="2"/>
      <c r="AT981" s="2" t="s">
        <v>3782</v>
      </c>
      <c r="AU981" s="2"/>
      <c r="AV981" s="2"/>
      <c r="AW981" s="2"/>
      <c r="AX981" s="2"/>
      <c r="AY981" s="2">
        <v>41</v>
      </c>
      <c r="AZ981" s="2" t="s">
        <v>82</v>
      </c>
      <c r="BA981" s="2">
        <v>41</v>
      </c>
      <c r="BB981" s="2" t="s">
        <v>82</v>
      </c>
      <c r="BC981" s="2">
        <v>41</v>
      </c>
      <c r="BD981" s="2" t="s">
        <v>82</v>
      </c>
      <c r="BE981" s="2">
        <v>42</v>
      </c>
      <c r="BF981" s="2" t="s">
        <v>182</v>
      </c>
      <c r="BG981" s="2" t="s">
        <v>3783</v>
      </c>
      <c r="BH981" s="4">
        <v>0.51111111111111118</v>
      </c>
      <c r="BI981" s="2"/>
      <c r="BJ981" s="2">
        <v>13</v>
      </c>
      <c r="BK981" s="2" t="s">
        <v>91</v>
      </c>
      <c r="BL981" s="2" t="s">
        <v>204</v>
      </c>
      <c r="BM981" s="2">
        <v>241</v>
      </c>
      <c r="BN981" s="2" t="s">
        <v>82</v>
      </c>
      <c r="BO981" s="2" t="s">
        <v>82</v>
      </c>
      <c r="BP981" s="2">
        <v>13</v>
      </c>
      <c r="BQ981" s="2" t="s">
        <v>91</v>
      </c>
      <c r="BR981" s="2" t="s">
        <v>3784</v>
      </c>
      <c r="BS981" s="3">
        <v>40252</v>
      </c>
      <c r="BT981" s="4">
        <v>0.53446759259259258</v>
      </c>
    </row>
    <row r="982" spans="1:72" x14ac:dyDescent="0.25">
      <c r="A982" s="2">
        <v>1518</v>
      </c>
      <c r="B982" s="2">
        <v>2010</v>
      </c>
      <c r="C982" s="2" t="s">
        <v>72</v>
      </c>
      <c r="D982" s="2" t="s">
        <v>73</v>
      </c>
      <c r="E982" s="2"/>
      <c r="F982" s="2">
        <v>387</v>
      </c>
      <c r="G982" s="2" t="s">
        <v>3785</v>
      </c>
      <c r="H982" s="2">
        <v>42</v>
      </c>
      <c r="I982" s="2" t="s">
        <v>1096</v>
      </c>
      <c r="J982" s="2">
        <v>452</v>
      </c>
      <c r="K982" s="2" t="s">
        <v>3115</v>
      </c>
      <c r="L982" s="2" t="s">
        <v>3116</v>
      </c>
      <c r="M982" s="3">
        <v>40252</v>
      </c>
      <c r="N982" s="2" t="s">
        <v>3786</v>
      </c>
      <c r="O982" s="2"/>
      <c r="P982" s="2"/>
      <c r="Q982" s="2" t="str">
        <f>"0005/10"</f>
        <v>0005/10</v>
      </c>
      <c r="R982" s="2"/>
      <c r="S982" s="2" t="s">
        <v>3787</v>
      </c>
      <c r="T982" s="2">
        <v>1</v>
      </c>
      <c r="U982" s="2" t="s">
        <v>79</v>
      </c>
      <c r="V982" s="2">
        <v>1</v>
      </c>
      <c r="W982" s="2" t="s">
        <v>80</v>
      </c>
      <c r="X982" s="2">
        <v>1</v>
      </c>
      <c r="Y982" s="2" t="s">
        <v>81</v>
      </c>
      <c r="Z982" s="2">
        <v>10</v>
      </c>
      <c r="AA982" s="2" t="s">
        <v>236</v>
      </c>
      <c r="AB982" s="2">
        <v>6</v>
      </c>
      <c r="AC982" s="2" t="s">
        <v>83</v>
      </c>
      <c r="AD982" s="3">
        <v>40252</v>
      </c>
      <c r="AE982" s="2"/>
      <c r="AF982" s="3">
        <v>40252</v>
      </c>
      <c r="AG982" s="4">
        <v>0.45833333333333331</v>
      </c>
      <c r="AH982" s="2">
        <v>5</v>
      </c>
      <c r="AI982" s="2" t="s">
        <v>274</v>
      </c>
      <c r="AJ982" s="2">
        <v>43</v>
      </c>
      <c r="AK982" s="2" t="s">
        <v>918</v>
      </c>
      <c r="AL982" s="2">
        <v>14</v>
      </c>
      <c r="AM982" s="2" t="s">
        <v>216</v>
      </c>
      <c r="AN982" s="2"/>
      <c r="AO982" s="2" t="s">
        <v>2345</v>
      </c>
      <c r="AP982" s="2">
        <v>11</v>
      </c>
      <c r="AQ982" s="2" t="s">
        <v>82</v>
      </c>
      <c r="AR982" s="2"/>
      <c r="AS982" s="2"/>
      <c r="AT982" s="2" t="s">
        <v>3788</v>
      </c>
      <c r="AU982" s="2"/>
      <c r="AV982" s="2"/>
      <c r="AW982" s="2"/>
      <c r="AX982" s="2"/>
      <c r="AY982" s="2">
        <v>41</v>
      </c>
      <c r="AZ982" s="2" t="s">
        <v>82</v>
      </c>
      <c r="BA982" s="2">
        <v>41</v>
      </c>
      <c r="BB982" s="2" t="s">
        <v>82</v>
      </c>
      <c r="BC982" s="2">
        <v>13</v>
      </c>
      <c r="BD982" s="2" t="s">
        <v>108</v>
      </c>
      <c r="BE982" s="2">
        <v>13</v>
      </c>
      <c r="BF982" s="2" t="s">
        <v>108</v>
      </c>
      <c r="BG982" s="2">
        <v>1782</v>
      </c>
      <c r="BH982" s="4">
        <v>0.42708333333333331</v>
      </c>
      <c r="BI982" s="4">
        <v>0.45833333333333331</v>
      </c>
      <c r="BJ982" s="2">
        <v>13</v>
      </c>
      <c r="BK982" s="2" t="s">
        <v>91</v>
      </c>
      <c r="BL982" s="2" t="s">
        <v>3520</v>
      </c>
      <c r="BM982" s="2">
        <v>241</v>
      </c>
      <c r="BN982" s="2" t="s">
        <v>82</v>
      </c>
      <c r="BO982" s="2" t="s">
        <v>3789</v>
      </c>
      <c r="BP982" s="2">
        <v>13</v>
      </c>
      <c r="BQ982" s="2" t="s">
        <v>91</v>
      </c>
      <c r="BR982" s="2" t="s">
        <v>3387</v>
      </c>
      <c r="BS982" s="3">
        <v>40252</v>
      </c>
      <c r="BT982" s="4">
        <v>0.54486111111111113</v>
      </c>
    </row>
    <row r="983" spans="1:72" x14ac:dyDescent="0.25">
      <c r="A983" s="2">
        <v>1519</v>
      </c>
      <c r="B983" s="2">
        <v>2010</v>
      </c>
      <c r="C983" s="2" t="s">
        <v>72</v>
      </c>
      <c r="D983" s="2" t="s">
        <v>73</v>
      </c>
      <c r="E983" s="2"/>
      <c r="F983" s="2">
        <v>529</v>
      </c>
      <c r="G983" s="2" t="s">
        <v>3755</v>
      </c>
      <c r="H983" s="2">
        <v>22</v>
      </c>
      <c r="I983" s="2" t="s">
        <v>75</v>
      </c>
      <c r="J983" s="2">
        <v>458</v>
      </c>
      <c r="K983" s="2" t="s">
        <v>3270</v>
      </c>
      <c r="L983" s="2" t="s">
        <v>3271</v>
      </c>
      <c r="M983" s="3">
        <v>40252</v>
      </c>
      <c r="N983" s="2" t="s">
        <v>3777</v>
      </c>
      <c r="O983" s="2" t="s">
        <v>82</v>
      </c>
      <c r="P983" s="2" t="s">
        <v>82</v>
      </c>
      <c r="Q983" s="2" t="str">
        <f>"100-A/10"</f>
        <v>100-A/10</v>
      </c>
      <c r="R983" s="2" t="s">
        <v>82</v>
      </c>
      <c r="S983" s="2" t="s">
        <v>1547</v>
      </c>
      <c r="T983" s="2">
        <v>1</v>
      </c>
      <c r="U983" s="2" t="s">
        <v>79</v>
      </c>
      <c r="V983" s="2">
        <v>1</v>
      </c>
      <c r="W983" s="2" t="s">
        <v>80</v>
      </c>
      <c r="X983" s="2">
        <v>1</v>
      </c>
      <c r="Y983" s="2" t="s">
        <v>81</v>
      </c>
      <c r="Z983" s="2">
        <v>1</v>
      </c>
      <c r="AA983" s="2" t="s">
        <v>82</v>
      </c>
      <c r="AB983" s="2">
        <v>6</v>
      </c>
      <c r="AC983" s="2" t="s">
        <v>83</v>
      </c>
      <c r="AD983" s="3">
        <v>40252</v>
      </c>
      <c r="AE983" s="4">
        <v>0.3611111111111111</v>
      </c>
      <c r="AF983" s="3">
        <v>40252</v>
      </c>
      <c r="AG983" s="4">
        <v>0.41666666666666669</v>
      </c>
      <c r="AH983" s="2">
        <v>2</v>
      </c>
      <c r="AI983" s="2" t="s">
        <v>84</v>
      </c>
      <c r="AJ983" s="2">
        <v>12</v>
      </c>
      <c r="AK983" s="2" t="s">
        <v>85</v>
      </c>
      <c r="AL983" s="2">
        <v>2</v>
      </c>
      <c r="AM983" s="2" t="s">
        <v>163</v>
      </c>
      <c r="AN983" s="2" t="s">
        <v>107</v>
      </c>
      <c r="AO983" s="2" t="s">
        <v>3790</v>
      </c>
      <c r="AP983" s="2">
        <v>11</v>
      </c>
      <c r="AQ983" s="2" t="s">
        <v>82</v>
      </c>
      <c r="AR983" s="2" t="s">
        <v>82</v>
      </c>
      <c r="AS983" s="2" t="s">
        <v>82</v>
      </c>
      <c r="AT983" s="2" t="s">
        <v>3791</v>
      </c>
      <c r="AU983" s="2"/>
      <c r="AV983" s="2"/>
      <c r="AW983" s="2"/>
      <c r="AX983" s="2"/>
      <c r="AY983" s="2">
        <v>41</v>
      </c>
      <c r="AZ983" s="2" t="s">
        <v>82</v>
      </c>
      <c r="BA983" s="2">
        <v>41</v>
      </c>
      <c r="BB983" s="2" t="s">
        <v>82</v>
      </c>
      <c r="BC983" s="2">
        <v>41</v>
      </c>
      <c r="BD983" s="2" t="s">
        <v>82</v>
      </c>
      <c r="BE983" s="2">
        <v>13</v>
      </c>
      <c r="BF983" s="2" t="s">
        <v>108</v>
      </c>
      <c r="BG983" s="2" t="s">
        <v>3792</v>
      </c>
      <c r="BH983" s="4">
        <v>0.3611111111111111</v>
      </c>
      <c r="BI983" s="4">
        <v>0.26041666666666669</v>
      </c>
      <c r="BJ983" s="2">
        <v>46</v>
      </c>
      <c r="BK983" s="2" t="s">
        <v>307</v>
      </c>
      <c r="BL983" s="2" t="s">
        <v>308</v>
      </c>
      <c r="BM983" s="2">
        <v>241</v>
      </c>
      <c r="BN983" s="2" t="s">
        <v>82</v>
      </c>
      <c r="BO983" s="2" t="s">
        <v>82</v>
      </c>
      <c r="BP983" s="2">
        <v>13</v>
      </c>
      <c r="BQ983" s="2" t="s">
        <v>91</v>
      </c>
      <c r="BR983" s="2" t="s">
        <v>185</v>
      </c>
      <c r="BS983" s="3">
        <v>40252</v>
      </c>
      <c r="BT983" s="4">
        <v>0.56570601851851854</v>
      </c>
    </row>
    <row r="984" spans="1:72" x14ac:dyDescent="0.25">
      <c r="A984" s="2">
        <v>1521</v>
      </c>
      <c r="B984" s="2">
        <v>2010</v>
      </c>
      <c r="C984" s="2" t="s">
        <v>594</v>
      </c>
      <c r="D984" s="2" t="s">
        <v>122</v>
      </c>
      <c r="E984" s="2"/>
      <c r="F984" s="2">
        <v>1</v>
      </c>
      <c r="G984" s="2" t="s">
        <v>82</v>
      </c>
      <c r="H984" s="2">
        <v>1</v>
      </c>
      <c r="I984" s="2" t="s">
        <v>82</v>
      </c>
      <c r="J984" s="2">
        <v>1</v>
      </c>
      <c r="K984" s="2" t="s">
        <v>107</v>
      </c>
      <c r="L984" s="2" t="s">
        <v>107</v>
      </c>
      <c r="M984" s="3">
        <v>40252</v>
      </c>
      <c r="N984" s="2"/>
      <c r="O984" s="2"/>
      <c r="P984" s="2"/>
      <c r="Q984" s="2" t="str">
        <f>""</f>
        <v/>
      </c>
      <c r="R984" s="2"/>
      <c r="S984" s="2"/>
      <c r="T984" s="2">
        <v>1</v>
      </c>
      <c r="U984" s="2" t="s">
        <v>79</v>
      </c>
      <c r="V984" s="2">
        <v>1</v>
      </c>
      <c r="W984" s="2" t="s">
        <v>80</v>
      </c>
      <c r="X984" s="2">
        <v>1</v>
      </c>
      <c r="Y984" s="2" t="s">
        <v>81</v>
      </c>
      <c r="Z984" s="2">
        <v>1</v>
      </c>
      <c r="AA984" s="2" t="s">
        <v>82</v>
      </c>
      <c r="AB984" s="2">
        <v>9</v>
      </c>
      <c r="AC984" s="2" t="s">
        <v>124</v>
      </c>
      <c r="AD984" s="3">
        <v>40252</v>
      </c>
      <c r="AE984" s="4">
        <v>0.59375</v>
      </c>
      <c r="AF984" s="2"/>
      <c r="AG984" s="2"/>
      <c r="AH984" s="2">
        <v>6</v>
      </c>
      <c r="AI984" s="2" t="s">
        <v>197</v>
      </c>
      <c r="AJ984" s="2">
        <v>54</v>
      </c>
      <c r="AK984" s="2" t="s">
        <v>348</v>
      </c>
      <c r="AL984" s="2">
        <v>18</v>
      </c>
      <c r="AM984" s="2" t="s">
        <v>82</v>
      </c>
      <c r="AN984" s="2" t="s">
        <v>595</v>
      </c>
      <c r="AO984" s="2" t="s">
        <v>200</v>
      </c>
      <c r="AP984" s="2">
        <v>12</v>
      </c>
      <c r="AQ984" s="2" t="s">
        <v>322</v>
      </c>
      <c r="AR984" s="2" t="s">
        <v>596</v>
      </c>
      <c r="AS984" s="2" t="s">
        <v>596</v>
      </c>
      <c r="AT984" s="2" t="s">
        <v>3793</v>
      </c>
      <c r="AU984" s="2"/>
      <c r="AV984" s="2"/>
      <c r="AW984" s="2"/>
      <c r="AX984" s="2"/>
      <c r="AY984" s="2">
        <v>1</v>
      </c>
      <c r="AZ984" s="2" t="s">
        <v>107</v>
      </c>
      <c r="BA984" s="2">
        <v>1</v>
      </c>
      <c r="BB984" s="2" t="s">
        <v>107</v>
      </c>
      <c r="BC984" s="2">
        <v>1</v>
      </c>
      <c r="BD984" s="2" t="s">
        <v>107</v>
      </c>
      <c r="BE984" s="2">
        <v>47</v>
      </c>
      <c r="BF984" s="2" t="s">
        <v>167</v>
      </c>
      <c r="BG984" s="2" t="s">
        <v>3794</v>
      </c>
      <c r="BH984" s="4">
        <v>0.54166666666666663</v>
      </c>
      <c r="BI984" s="4">
        <v>0.58333333333333337</v>
      </c>
      <c r="BJ984" s="2">
        <v>13</v>
      </c>
      <c r="BK984" s="2" t="s">
        <v>91</v>
      </c>
      <c r="BL984" s="2" t="s">
        <v>2769</v>
      </c>
      <c r="BM984" s="2">
        <v>242</v>
      </c>
      <c r="BN984" s="2" t="s">
        <v>107</v>
      </c>
      <c r="BO984" s="2"/>
      <c r="BP984" s="2">
        <v>13</v>
      </c>
      <c r="BQ984" s="2" t="s">
        <v>91</v>
      </c>
      <c r="BR984" s="2" t="s">
        <v>3795</v>
      </c>
      <c r="BS984" s="3">
        <v>40252</v>
      </c>
      <c r="BT984" s="4">
        <v>0.59815972222222225</v>
      </c>
    </row>
    <row r="985" spans="1:72" x14ac:dyDescent="0.25">
      <c r="A985" s="2">
        <v>1522</v>
      </c>
      <c r="B985" s="2">
        <v>2010</v>
      </c>
      <c r="C985" s="2" t="s">
        <v>549</v>
      </c>
      <c r="D985" s="2" t="s">
        <v>73</v>
      </c>
      <c r="E985" s="2"/>
      <c r="F985" s="2">
        <v>24</v>
      </c>
      <c r="G985" s="2" t="s">
        <v>532</v>
      </c>
      <c r="H985" s="2">
        <v>1</v>
      </c>
      <c r="I985" s="2" t="s">
        <v>82</v>
      </c>
      <c r="J985" s="2">
        <v>300</v>
      </c>
      <c r="K985" s="2" t="s">
        <v>114</v>
      </c>
      <c r="L985" s="2" t="s">
        <v>115</v>
      </c>
      <c r="M985" s="3">
        <v>40252</v>
      </c>
      <c r="N985" s="2" t="s">
        <v>107</v>
      </c>
      <c r="O985" s="2" t="s">
        <v>107</v>
      </c>
      <c r="P985" s="2" t="s">
        <v>107</v>
      </c>
      <c r="Q985" s="2" t="str">
        <f>"140-E/10"</f>
        <v>140-E/10</v>
      </c>
      <c r="R985" s="2" t="s">
        <v>107</v>
      </c>
      <c r="S985" s="2" t="s">
        <v>3796</v>
      </c>
      <c r="T985" s="2">
        <v>1</v>
      </c>
      <c r="U985" s="2" t="s">
        <v>79</v>
      </c>
      <c r="V985" s="2">
        <v>1</v>
      </c>
      <c r="W985" s="2" t="s">
        <v>80</v>
      </c>
      <c r="X985" s="2">
        <v>1</v>
      </c>
      <c r="Y985" s="2" t="s">
        <v>81</v>
      </c>
      <c r="Z985" s="2">
        <v>1</v>
      </c>
      <c r="AA985" s="2" t="s">
        <v>82</v>
      </c>
      <c r="AB985" s="2">
        <v>9</v>
      </c>
      <c r="AC985" s="2" t="s">
        <v>124</v>
      </c>
      <c r="AD985" s="3">
        <v>40250</v>
      </c>
      <c r="AE985" s="4">
        <v>0.54166666666666663</v>
      </c>
      <c r="AF985" s="3">
        <v>40252</v>
      </c>
      <c r="AG985" s="4">
        <v>0.45833333333333331</v>
      </c>
      <c r="AH985" s="2">
        <v>2</v>
      </c>
      <c r="AI985" s="2" t="s">
        <v>84</v>
      </c>
      <c r="AJ985" s="2">
        <v>9</v>
      </c>
      <c r="AK985" s="2" t="s">
        <v>103</v>
      </c>
      <c r="AL985" s="2">
        <v>9</v>
      </c>
      <c r="AM985" s="2" t="s">
        <v>259</v>
      </c>
      <c r="AN985" s="2" t="s">
        <v>3797</v>
      </c>
      <c r="AO985" s="2" t="s">
        <v>82</v>
      </c>
      <c r="AP985" s="2">
        <v>11</v>
      </c>
      <c r="AQ985" s="2" t="s">
        <v>82</v>
      </c>
      <c r="AR985" s="2"/>
      <c r="AS985" s="2"/>
      <c r="AT985" s="2" t="s">
        <v>3798</v>
      </c>
      <c r="AU985" s="2"/>
      <c r="AV985" s="2"/>
      <c r="AW985" s="2"/>
      <c r="AX985" s="2"/>
      <c r="AY985" s="2">
        <v>41</v>
      </c>
      <c r="AZ985" s="2" t="s">
        <v>82</v>
      </c>
      <c r="BA985" s="2">
        <v>41</v>
      </c>
      <c r="BB985" s="2" t="s">
        <v>82</v>
      </c>
      <c r="BC985" s="2">
        <v>41</v>
      </c>
      <c r="BD985" s="2" t="s">
        <v>82</v>
      </c>
      <c r="BE985" s="2">
        <v>41</v>
      </c>
      <c r="BF985" s="2" t="s">
        <v>82</v>
      </c>
      <c r="BG985" s="2"/>
      <c r="BH985" s="2"/>
      <c r="BI985" s="2"/>
      <c r="BJ985" s="2">
        <v>241</v>
      </c>
      <c r="BK985" s="2" t="s">
        <v>82</v>
      </c>
      <c r="BL985" s="2"/>
      <c r="BM985" s="2">
        <v>241</v>
      </c>
      <c r="BN985" s="2" t="s">
        <v>82</v>
      </c>
      <c r="BO985" s="2"/>
      <c r="BP985" s="2">
        <v>241</v>
      </c>
      <c r="BQ985" s="2" t="s">
        <v>82</v>
      </c>
      <c r="BR985" s="2"/>
      <c r="BS985" s="3">
        <v>40252</v>
      </c>
      <c r="BT985" s="4">
        <v>0.61511574074074071</v>
      </c>
    </row>
    <row r="986" spans="1:72" x14ac:dyDescent="0.25">
      <c r="A986" s="2">
        <v>1523</v>
      </c>
      <c r="B986" s="2">
        <v>2010</v>
      </c>
      <c r="C986" s="2" t="s">
        <v>196</v>
      </c>
      <c r="D986" s="2" t="s">
        <v>122</v>
      </c>
      <c r="E986" s="2"/>
      <c r="F986" s="2">
        <v>1</v>
      </c>
      <c r="G986" s="2" t="s">
        <v>82</v>
      </c>
      <c r="H986" s="2">
        <v>1</v>
      </c>
      <c r="I986" s="2" t="s">
        <v>82</v>
      </c>
      <c r="J986" s="2">
        <v>1</v>
      </c>
      <c r="K986" s="2" t="s">
        <v>107</v>
      </c>
      <c r="L986" s="2" t="s">
        <v>107</v>
      </c>
      <c r="M986" s="3">
        <v>40252</v>
      </c>
      <c r="N986" s="2" t="s">
        <v>82</v>
      </c>
      <c r="O986" s="2" t="s">
        <v>3695</v>
      </c>
      <c r="P986" s="2" t="s">
        <v>82</v>
      </c>
      <c r="Q986" s="2" t="str">
        <f>"-----------------"</f>
        <v>-----------------</v>
      </c>
      <c r="R986" s="2" t="s">
        <v>3717</v>
      </c>
      <c r="S986" s="2" t="s">
        <v>3799</v>
      </c>
      <c r="T986" s="2">
        <v>2</v>
      </c>
      <c r="U986" s="2" t="s">
        <v>123</v>
      </c>
      <c r="V986" s="2">
        <v>1</v>
      </c>
      <c r="W986" s="2" t="s">
        <v>80</v>
      </c>
      <c r="X986" s="2">
        <v>5</v>
      </c>
      <c r="Y986" s="2" t="s">
        <v>82</v>
      </c>
      <c r="Z986" s="2">
        <v>1</v>
      </c>
      <c r="AA986" s="2" t="s">
        <v>82</v>
      </c>
      <c r="AB986" s="2">
        <v>9</v>
      </c>
      <c r="AC986" s="2" t="s">
        <v>124</v>
      </c>
      <c r="AD986" s="3">
        <v>40252</v>
      </c>
      <c r="AE986" s="4">
        <v>0.62013888888888891</v>
      </c>
      <c r="AF986" s="2"/>
      <c r="AG986" s="2"/>
      <c r="AH986" s="2">
        <v>6</v>
      </c>
      <c r="AI986" s="2" t="s">
        <v>197</v>
      </c>
      <c r="AJ986" s="2">
        <v>60</v>
      </c>
      <c r="AK986" s="2" t="s">
        <v>543</v>
      </c>
      <c r="AL986" s="2">
        <v>18</v>
      </c>
      <c r="AM986" s="2" t="s">
        <v>82</v>
      </c>
      <c r="AN986" s="2" t="s">
        <v>230</v>
      </c>
      <c r="AO986" s="2" t="s">
        <v>199</v>
      </c>
      <c r="AP986" s="2">
        <v>11</v>
      </c>
      <c r="AQ986" s="2" t="s">
        <v>82</v>
      </c>
      <c r="AR986" s="2" t="s">
        <v>82</v>
      </c>
      <c r="AS986" s="2" t="s">
        <v>82</v>
      </c>
      <c r="AT986" s="2" t="s">
        <v>3800</v>
      </c>
      <c r="AU986" s="2"/>
      <c r="AV986" s="2"/>
      <c r="AW986" s="2"/>
      <c r="AX986" s="2"/>
      <c r="AY986" s="2">
        <v>1</v>
      </c>
      <c r="AZ986" s="2" t="s">
        <v>107</v>
      </c>
      <c r="BA986" s="2">
        <v>1</v>
      </c>
      <c r="BB986" s="2" t="s">
        <v>107</v>
      </c>
      <c r="BC986" s="2">
        <v>1</v>
      </c>
      <c r="BD986" s="2" t="s">
        <v>107</v>
      </c>
      <c r="BE986" s="2">
        <v>42</v>
      </c>
      <c r="BF986" s="2" t="s">
        <v>182</v>
      </c>
      <c r="BG986" s="2" t="s">
        <v>265</v>
      </c>
      <c r="BH986" s="4">
        <v>0.51111111111111118</v>
      </c>
      <c r="BI986" s="4">
        <v>0.62013888888888891</v>
      </c>
      <c r="BJ986" s="2">
        <v>13</v>
      </c>
      <c r="BK986" s="2" t="s">
        <v>91</v>
      </c>
      <c r="BL986" s="2" t="s">
        <v>895</v>
      </c>
      <c r="BM986" s="2">
        <v>241</v>
      </c>
      <c r="BN986" s="2" t="s">
        <v>82</v>
      </c>
      <c r="BO986" s="2" t="s">
        <v>82</v>
      </c>
      <c r="BP986" s="2">
        <v>13</v>
      </c>
      <c r="BQ986" s="2" t="s">
        <v>91</v>
      </c>
      <c r="BR986" s="2" t="s">
        <v>564</v>
      </c>
      <c r="BS986" s="3">
        <v>40252</v>
      </c>
      <c r="BT986" s="4">
        <v>0.64210648148148153</v>
      </c>
    </row>
    <row r="987" spans="1:72" x14ac:dyDescent="0.25">
      <c r="A987" s="2">
        <v>1524</v>
      </c>
      <c r="B987" s="2">
        <v>2010</v>
      </c>
      <c r="C987" s="2" t="s">
        <v>409</v>
      </c>
      <c r="D987" s="2" t="s">
        <v>122</v>
      </c>
      <c r="E987" s="2" t="s">
        <v>3801</v>
      </c>
      <c r="F987" s="2">
        <v>470</v>
      </c>
      <c r="G987" s="2" t="s">
        <v>2979</v>
      </c>
      <c r="H987" s="2">
        <v>2</v>
      </c>
      <c r="I987" s="2" t="s">
        <v>267</v>
      </c>
      <c r="J987" s="2">
        <v>371</v>
      </c>
      <c r="K987" s="2" t="s">
        <v>1138</v>
      </c>
      <c r="L987" s="2" t="s">
        <v>1139</v>
      </c>
      <c r="M987" s="3">
        <v>40252</v>
      </c>
      <c r="N987" s="2" t="s">
        <v>2980</v>
      </c>
      <c r="O987" s="2" t="s">
        <v>2981</v>
      </c>
      <c r="P987" s="2"/>
      <c r="Q987" s="2" t="str">
        <f>"024 10"</f>
        <v>024 10</v>
      </c>
      <c r="R987" s="2"/>
      <c r="S987" s="2"/>
      <c r="T987" s="2">
        <v>1</v>
      </c>
      <c r="U987" s="2" t="s">
        <v>79</v>
      </c>
      <c r="V987" s="2">
        <v>1</v>
      </c>
      <c r="W987" s="2" t="s">
        <v>80</v>
      </c>
      <c r="X987" s="2">
        <v>5</v>
      </c>
      <c r="Y987" s="2" t="s">
        <v>82</v>
      </c>
      <c r="Z987" s="2">
        <v>10</v>
      </c>
      <c r="AA987" s="2" t="s">
        <v>236</v>
      </c>
      <c r="AB987" s="2">
        <v>9</v>
      </c>
      <c r="AC987" s="2" t="s">
        <v>124</v>
      </c>
      <c r="AD987" s="3">
        <v>40252</v>
      </c>
      <c r="AE987" s="4">
        <v>0.33333333333333331</v>
      </c>
      <c r="AF987" s="2"/>
      <c r="AG987" s="2"/>
      <c r="AH987" s="2">
        <v>5</v>
      </c>
      <c r="AI987" s="2" t="s">
        <v>274</v>
      </c>
      <c r="AJ987" s="2">
        <v>38</v>
      </c>
      <c r="AK987" s="2" t="s">
        <v>1120</v>
      </c>
      <c r="AL987" s="2">
        <v>18</v>
      </c>
      <c r="AM987" s="2" t="s">
        <v>82</v>
      </c>
      <c r="AN987" s="2" t="s">
        <v>3802</v>
      </c>
      <c r="AO987" s="2" t="s">
        <v>3803</v>
      </c>
      <c r="AP987" s="2">
        <v>11</v>
      </c>
      <c r="AQ987" s="2" t="s">
        <v>82</v>
      </c>
      <c r="AR987" s="2"/>
      <c r="AS987" s="2"/>
      <c r="AT987" s="2" t="s">
        <v>3804</v>
      </c>
      <c r="AU987" s="2"/>
      <c r="AV987" s="2"/>
      <c r="AW987" s="2"/>
      <c r="AX987" s="2"/>
      <c r="AY987" s="2">
        <v>41</v>
      </c>
      <c r="AZ987" s="2" t="s">
        <v>82</v>
      </c>
      <c r="BA987" s="2">
        <v>41</v>
      </c>
      <c r="BB987" s="2" t="s">
        <v>82</v>
      </c>
      <c r="BC987" s="2">
        <v>41</v>
      </c>
      <c r="BD987" s="2" t="s">
        <v>82</v>
      </c>
      <c r="BE987" s="2">
        <v>41</v>
      </c>
      <c r="BF987" s="2" t="s">
        <v>82</v>
      </c>
      <c r="BG987" s="2" t="s">
        <v>82</v>
      </c>
      <c r="BH987" s="2"/>
      <c r="BI987" s="2"/>
      <c r="BJ987" s="2">
        <v>241</v>
      </c>
      <c r="BK987" s="2" t="s">
        <v>82</v>
      </c>
      <c r="BL987" s="2" t="s">
        <v>82</v>
      </c>
      <c r="BM987" s="2">
        <v>241</v>
      </c>
      <c r="BN987" s="2" t="s">
        <v>82</v>
      </c>
      <c r="BO987" s="2" t="s">
        <v>82</v>
      </c>
      <c r="BP987" s="2">
        <v>241</v>
      </c>
      <c r="BQ987" s="2" t="s">
        <v>82</v>
      </c>
      <c r="BR987" s="2" t="s">
        <v>82</v>
      </c>
      <c r="BS987" s="3">
        <v>40252</v>
      </c>
      <c r="BT987" s="4">
        <v>0.6589814814814815</v>
      </c>
    </row>
    <row r="988" spans="1:72" x14ac:dyDescent="0.25">
      <c r="A988" s="2">
        <v>1525</v>
      </c>
      <c r="B988" s="2">
        <v>2010</v>
      </c>
      <c r="C988" s="2" t="s">
        <v>594</v>
      </c>
      <c r="D988" s="2" t="s">
        <v>122</v>
      </c>
      <c r="E988" s="2"/>
      <c r="F988" s="2">
        <v>1</v>
      </c>
      <c r="G988" s="2" t="s">
        <v>82</v>
      </c>
      <c r="H988" s="2">
        <v>1</v>
      </c>
      <c r="I988" s="2" t="s">
        <v>82</v>
      </c>
      <c r="J988" s="2">
        <v>1</v>
      </c>
      <c r="K988" s="2" t="s">
        <v>107</v>
      </c>
      <c r="L988" s="2" t="s">
        <v>107</v>
      </c>
      <c r="M988" s="3">
        <v>40252</v>
      </c>
      <c r="N988" s="2"/>
      <c r="O988" s="2"/>
      <c r="P988" s="2"/>
      <c r="Q988" s="2" t="str">
        <f>""</f>
        <v/>
      </c>
      <c r="R988" s="2"/>
      <c r="S988" s="2"/>
      <c r="T988" s="2">
        <v>1</v>
      </c>
      <c r="U988" s="2" t="s">
        <v>79</v>
      </c>
      <c r="V988" s="2">
        <v>1</v>
      </c>
      <c r="W988" s="2" t="s">
        <v>80</v>
      </c>
      <c r="X988" s="2">
        <v>1</v>
      </c>
      <c r="Y988" s="2" t="s">
        <v>81</v>
      </c>
      <c r="Z988" s="2">
        <v>1</v>
      </c>
      <c r="AA988" s="2" t="s">
        <v>82</v>
      </c>
      <c r="AB988" s="2">
        <v>9</v>
      </c>
      <c r="AC988" s="2" t="s">
        <v>124</v>
      </c>
      <c r="AD988" s="3">
        <v>40252</v>
      </c>
      <c r="AE988" s="4">
        <v>0.4375</v>
      </c>
      <c r="AF988" s="2"/>
      <c r="AG988" s="2"/>
      <c r="AH988" s="2">
        <v>2</v>
      </c>
      <c r="AI988" s="2" t="s">
        <v>84</v>
      </c>
      <c r="AJ988" s="2">
        <v>12</v>
      </c>
      <c r="AK988" s="2" t="s">
        <v>85</v>
      </c>
      <c r="AL988" s="2">
        <v>13</v>
      </c>
      <c r="AM988" s="2" t="s">
        <v>117</v>
      </c>
      <c r="AN988" s="2" t="s">
        <v>3805</v>
      </c>
      <c r="AO988" s="2"/>
      <c r="AP988" s="2">
        <v>11</v>
      </c>
      <c r="AQ988" s="2" t="s">
        <v>82</v>
      </c>
      <c r="AR988" s="2"/>
      <c r="AS988" s="2"/>
      <c r="AT988" s="2" t="s">
        <v>3806</v>
      </c>
      <c r="AU988" s="2"/>
      <c r="AV988" s="2"/>
      <c r="AW988" s="2"/>
      <c r="AX988" s="2"/>
      <c r="AY988" s="2">
        <v>1</v>
      </c>
      <c r="AZ988" s="2" t="s">
        <v>107</v>
      </c>
      <c r="BA988" s="2">
        <v>1</v>
      </c>
      <c r="BB988" s="2" t="s">
        <v>107</v>
      </c>
      <c r="BC988" s="2">
        <v>1</v>
      </c>
      <c r="BD988" s="2" t="s">
        <v>107</v>
      </c>
      <c r="BE988" s="2">
        <v>1</v>
      </c>
      <c r="BF988" s="2" t="s">
        <v>107</v>
      </c>
      <c r="BG988" s="2"/>
      <c r="BH988" s="2"/>
      <c r="BI988" s="2"/>
      <c r="BJ988" s="2">
        <v>242</v>
      </c>
      <c r="BK988" s="2" t="s">
        <v>107</v>
      </c>
      <c r="BL988" s="2"/>
      <c r="BM988" s="2">
        <v>242</v>
      </c>
      <c r="BN988" s="2" t="s">
        <v>107</v>
      </c>
      <c r="BO988" s="2"/>
      <c r="BP988" s="2">
        <v>242</v>
      </c>
      <c r="BQ988" s="2" t="s">
        <v>107</v>
      </c>
      <c r="BR988" s="2"/>
      <c r="BS988" s="3">
        <v>40252</v>
      </c>
      <c r="BT988" s="4">
        <v>0.67891203703703706</v>
      </c>
    </row>
    <row r="989" spans="1:72" x14ac:dyDescent="0.25">
      <c r="A989" s="2">
        <v>1529</v>
      </c>
      <c r="B989" s="2">
        <v>2010</v>
      </c>
      <c r="C989" s="2" t="s">
        <v>93</v>
      </c>
      <c r="D989" s="2" t="s">
        <v>73</v>
      </c>
      <c r="E989" s="2"/>
      <c r="F989" s="2">
        <v>539</v>
      </c>
      <c r="G989" s="2" t="s">
        <v>3807</v>
      </c>
      <c r="H989" s="2">
        <v>50</v>
      </c>
      <c r="I989" s="2" t="s">
        <v>107</v>
      </c>
      <c r="J989" s="2">
        <v>467</v>
      </c>
      <c r="K989" s="2" t="s">
        <v>3808</v>
      </c>
      <c r="L989" s="2" t="s">
        <v>3809</v>
      </c>
      <c r="M989" s="3">
        <v>40252</v>
      </c>
      <c r="N989" s="2" t="s">
        <v>3810</v>
      </c>
      <c r="O989" s="2" t="s">
        <v>3811</v>
      </c>
      <c r="P989" s="2" t="s">
        <v>107</v>
      </c>
      <c r="Q989" s="2" t="str">
        <f>"0029/10"</f>
        <v>0029/10</v>
      </c>
      <c r="R989" s="2"/>
      <c r="S989" s="2" t="s">
        <v>3812</v>
      </c>
      <c r="T989" s="2">
        <v>1</v>
      </c>
      <c r="U989" s="2" t="s">
        <v>79</v>
      </c>
      <c r="V989" s="2">
        <v>1</v>
      </c>
      <c r="W989" s="2" t="s">
        <v>80</v>
      </c>
      <c r="X989" s="2">
        <v>3</v>
      </c>
      <c r="Y989" s="2" t="s">
        <v>698</v>
      </c>
      <c r="Z989" s="2">
        <v>9</v>
      </c>
      <c r="AA989" s="2" t="s">
        <v>1119</v>
      </c>
      <c r="AB989" s="2">
        <v>2</v>
      </c>
      <c r="AC989" s="2" t="s">
        <v>102</v>
      </c>
      <c r="AD989" s="3">
        <v>40252</v>
      </c>
      <c r="AE989" s="4">
        <v>0.57291666666666663</v>
      </c>
      <c r="AF989" s="2"/>
      <c r="AG989" s="2"/>
      <c r="AH989" s="2">
        <v>5</v>
      </c>
      <c r="AI989" s="2" t="s">
        <v>274</v>
      </c>
      <c r="AJ989" s="2">
        <v>38</v>
      </c>
      <c r="AK989" s="2" t="s">
        <v>1120</v>
      </c>
      <c r="AL989" s="2">
        <v>11</v>
      </c>
      <c r="AM989" s="2" t="s">
        <v>137</v>
      </c>
      <c r="AN989" s="2"/>
      <c r="AO989" s="2"/>
      <c r="AP989" s="2">
        <v>11</v>
      </c>
      <c r="AQ989" s="2" t="s">
        <v>82</v>
      </c>
      <c r="AR989" s="2"/>
      <c r="AS989" s="2"/>
      <c r="AT989" s="2" t="s">
        <v>3813</v>
      </c>
      <c r="AU989" s="2"/>
      <c r="AV989" s="2"/>
      <c r="AW989" s="2"/>
      <c r="AX989" s="2"/>
      <c r="AY989" s="2">
        <v>41</v>
      </c>
      <c r="AZ989" s="2" t="s">
        <v>82</v>
      </c>
      <c r="BA989" s="2">
        <v>41</v>
      </c>
      <c r="BB989" s="2" t="s">
        <v>82</v>
      </c>
      <c r="BC989" s="2">
        <v>41</v>
      </c>
      <c r="BD989" s="2" t="s">
        <v>82</v>
      </c>
      <c r="BE989" s="2">
        <v>48</v>
      </c>
      <c r="BF989" s="2" t="s">
        <v>1123</v>
      </c>
      <c r="BG989" s="2">
        <v>893</v>
      </c>
      <c r="BH989" s="4">
        <v>0.55208333333333337</v>
      </c>
      <c r="BI989" s="4">
        <v>0.59027777777777779</v>
      </c>
      <c r="BJ989" s="2">
        <v>13</v>
      </c>
      <c r="BK989" s="2" t="s">
        <v>91</v>
      </c>
      <c r="BL989" s="2" t="s">
        <v>3140</v>
      </c>
      <c r="BM989" s="2">
        <v>13</v>
      </c>
      <c r="BN989" s="2" t="s">
        <v>91</v>
      </c>
      <c r="BO989" s="2" t="s">
        <v>828</v>
      </c>
      <c r="BP989" s="2">
        <v>13</v>
      </c>
      <c r="BQ989" s="2" t="s">
        <v>91</v>
      </c>
      <c r="BR989" s="2" t="s">
        <v>169</v>
      </c>
      <c r="BS989" s="3">
        <v>40252</v>
      </c>
      <c r="BT989" s="4">
        <v>0.75692129629629623</v>
      </c>
    </row>
    <row r="990" spans="1:72" x14ac:dyDescent="0.25">
      <c r="A990" s="2">
        <v>1530</v>
      </c>
      <c r="B990" s="2">
        <v>2010</v>
      </c>
      <c r="C990" s="2" t="s">
        <v>196</v>
      </c>
      <c r="D990" s="2" t="s">
        <v>122</v>
      </c>
      <c r="E990" s="2"/>
      <c r="F990" s="2">
        <v>1</v>
      </c>
      <c r="G990" s="2" t="s">
        <v>82</v>
      </c>
      <c r="H990" s="2">
        <v>1</v>
      </c>
      <c r="I990" s="2" t="s">
        <v>82</v>
      </c>
      <c r="J990" s="2">
        <v>1</v>
      </c>
      <c r="K990" s="2" t="s">
        <v>107</v>
      </c>
      <c r="L990" s="2" t="s">
        <v>107</v>
      </c>
      <c r="M990" s="3">
        <v>40252</v>
      </c>
      <c r="N990" s="2"/>
      <c r="O990" s="2"/>
      <c r="P990" s="2"/>
      <c r="Q990" s="2" t="str">
        <f>""</f>
        <v/>
      </c>
      <c r="R990" s="2"/>
      <c r="S990" s="2"/>
      <c r="T990" s="2">
        <v>2</v>
      </c>
      <c r="U990" s="2" t="s">
        <v>123</v>
      </c>
      <c r="V990" s="2">
        <v>1</v>
      </c>
      <c r="W990" s="2" t="s">
        <v>80</v>
      </c>
      <c r="X990" s="2">
        <v>1</v>
      </c>
      <c r="Y990" s="2" t="s">
        <v>81</v>
      </c>
      <c r="Z990" s="2">
        <v>1</v>
      </c>
      <c r="AA990" s="2" t="s">
        <v>82</v>
      </c>
      <c r="AB990" s="2">
        <v>9</v>
      </c>
      <c r="AC990" s="2" t="s">
        <v>124</v>
      </c>
      <c r="AD990" s="3">
        <v>40252</v>
      </c>
      <c r="AE990" s="4">
        <v>0.6875</v>
      </c>
      <c r="AF990" s="2"/>
      <c r="AG990" s="2"/>
      <c r="AH990" s="2">
        <v>2</v>
      </c>
      <c r="AI990" s="2" t="s">
        <v>84</v>
      </c>
      <c r="AJ990" s="2">
        <v>12</v>
      </c>
      <c r="AK990" s="2" t="s">
        <v>85</v>
      </c>
      <c r="AL990" s="2">
        <v>20</v>
      </c>
      <c r="AM990" s="2" t="s">
        <v>992</v>
      </c>
      <c r="AN990" s="2" t="s">
        <v>3112</v>
      </c>
      <c r="AO990" s="2"/>
      <c r="AP990" s="2">
        <v>11</v>
      </c>
      <c r="AQ990" s="2" t="s">
        <v>82</v>
      </c>
      <c r="AR990" s="2"/>
      <c r="AS990" s="2"/>
      <c r="AT990" s="2" t="s">
        <v>3814</v>
      </c>
      <c r="AU990" s="2"/>
      <c r="AV990" s="2"/>
      <c r="AW990" s="2"/>
      <c r="AX990" s="2"/>
      <c r="AY990" s="2">
        <v>41</v>
      </c>
      <c r="AZ990" s="2" t="s">
        <v>82</v>
      </c>
      <c r="BA990" s="2">
        <v>41</v>
      </c>
      <c r="BB990" s="2" t="s">
        <v>82</v>
      </c>
      <c r="BC990" s="2">
        <v>41</v>
      </c>
      <c r="BD990" s="2" t="s">
        <v>82</v>
      </c>
      <c r="BE990" s="2">
        <v>41</v>
      </c>
      <c r="BF990" s="2" t="s">
        <v>82</v>
      </c>
      <c r="BG990" s="2"/>
      <c r="BH990" s="4">
        <v>0.72916666666666663</v>
      </c>
      <c r="BI990" s="4">
        <v>0.62013888888888891</v>
      </c>
      <c r="BJ990" s="2">
        <v>13</v>
      </c>
      <c r="BK990" s="2" t="s">
        <v>91</v>
      </c>
      <c r="BL990" s="2" t="s">
        <v>3815</v>
      </c>
      <c r="BM990" s="2">
        <v>241</v>
      </c>
      <c r="BN990" s="2" t="s">
        <v>82</v>
      </c>
      <c r="BO990" s="2"/>
      <c r="BP990" s="2">
        <v>241</v>
      </c>
      <c r="BQ990" s="2" t="s">
        <v>82</v>
      </c>
      <c r="BR990" s="2"/>
      <c r="BS990" s="3">
        <v>40252</v>
      </c>
      <c r="BT990" s="4">
        <v>0.76043981481481471</v>
      </c>
    </row>
    <row r="991" spans="1:72" x14ac:dyDescent="0.25">
      <c r="A991" s="2">
        <v>1531</v>
      </c>
      <c r="B991" s="2">
        <v>2010</v>
      </c>
      <c r="C991" s="2" t="s">
        <v>2808</v>
      </c>
      <c r="D991" s="2" t="s">
        <v>122</v>
      </c>
      <c r="E991" s="2"/>
      <c r="F991" s="2">
        <v>1</v>
      </c>
      <c r="G991" s="2" t="s">
        <v>82</v>
      </c>
      <c r="H991" s="2">
        <v>1</v>
      </c>
      <c r="I991" s="2" t="s">
        <v>82</v>
      </c>
      <c r="J991" s="2">
        <v>1</v>
      </c>
      <c r="K991" s="2" t="s">
        <v>107</v>
      </c>
      <c r="L991" s="2" t="s">
        <v>107</v>
      </c>
      <c r="M991" s="3">
        <v>40252</v>
      </c>
      <c r="N991" s="2"/>
      <c r="O991" s="2"/>
      <c r="P991" s="2"/>
      <c r="Q991" s="2" t="str">
        <f>""</f>
        <v/>
      </c>
      <c r="R991" s="2"/>
      <c r="S991" s="2"/>
      <c r="T991" s="2">
        <v>1</v>
      </c>
      <c r="U991" s="2" t="s">
        <v>79</v>
      </c>
      <c r="V991" s="2">
        <v>3</v>
      </c>
      <c r="W991" s="2" t="s">
        <v>225</v>
      </c>
      <c r="X991" s="2">
        <v>5</v>
      </c>
      <c r="Y991" s="2" t="s">
        <v>82</v>
      </c>
      <c r="Z991" s="2">
        <v>1</v>
      </c>
      <c r="AA991" s="2" t="s">
        <v>82</v>
      </c>
      <c r="AB991" s="2">
        <v>9</v>
      </c>
      <c r="AC991" s="2" t="s">
        <v>124</v>
      </c>
      <c r="AD991" s="3">
        <v>40249</v>
      </c>
      <c r="AE991" s="4">
        <v>0.70833333333333337</v>
      </c>
      <c r="AF991" s="2"/>
      <c r="AG991" s="2"/>
      <c r="AH991" s="2">
        <v>2</v>
      </c>
      <c r="AI991" s="2" t="s">
        <v>84</v>
      </c>
      <c r="AJ991" s="2">
        <v>8</v>
      </c>
      <c r="AK991" s="2" t="s">
        <v>436</v>
      </c>
      <c r="AL991" s="2">
        <v>18</v>
      </c>
      <c r="AM991" s="2" t="s">
        <v>82</v>
      </c>
      <c r="AN991" s="2"/>
      <c r="AO991" s="2"/>
      <c r="AP991" s="2">
        <v>11</v>
      </c>
      <c r="AQ991" s="2" t="s">
        <v>82</v>
      </c>
      <c r="AR991" s="2"/>
      <c r="AS991" s="2"/>
      <c r="AT991" s="2" t="s">
        <v>3816</v>
      </c>
      <c r="AU991" s="2"/>
      <c r="AV991" s="2"/>
      <c r="AW991" s="2"/>
      <c r="AX991" s="2"/>
      <c r="AY991" s="2">
        <v>1</v>
      </c>
      <c r="AZ991" s="2" t="s">
        <v>107</v>
      </c>
      <c r="BA991" s="2">
        <v>1</v>
      </c>
      <c r="BB991" s="2" t="s">
        <v>107</v>
      </c>
      <c r="BC991" s="2">
        <v>1</v>
      </c>
      <c r="BD991" s="2" t="s">
        <v>107</v>
      </c>
      <c r="BE991" s="2">
        <v>1</v>
      </c>
      <c r="BF991" s="2" t="s">
        <v>107</v>
      </c>
      <c r="BG991" s="2"/>
      <c r="BH991" s="2"/>
      <c r="BI991" s="2"/>
      <c r="BJ991" s="2">
        <v>242</v>
      </c>
      <c r="BK991" s="2" t="s">
        <v>107</v>
      </c>
      <c r="BL991" s="2"/>
      <c r="BM991" s="2">
        <v>242</v>
      </c>
      <c r="BN991" s="2" t="s">
        <v>107</v>
      </c>
      <c r="BO991" s="2"/>
      <c r="BP991" s="2">
        <v>242</v>
      </c>
      <c r="BQ991" s="2" t="s">
        <v>107</v>
      </c>
      <c r="BR991" s="2"/>
      <c r="BS991" s="3">
        <v>40252</v>
      </c>
      <c r="BT991" s="4">
        <v>0.76333333333333331</v>
      </c>
    </row>
    <row r="992" spans="1:72" x14ac:dyDescent="0.25">
      <c r="A992" s="2">
        <v>1532</v>
      </c>
      <c r="B992" s="2">
        <v>2010</v>
      </c>
      <c r="C992" s="2" t="s">
        <v>2567</v>
      </c>
      <c r="D992" s="2" t="s">
        <v>122</v>
      </c>
      <c r="E992" s="2"/>
      <c r="F992" s="2">
        <v>1</v>
      </c>
      <c r="G992" s="2" t="s">
        <v>82</v>
      </c>
      <c r="H992" s="2">
        <v>1</v>
      </c>
      <c r="I992" s="2" t="s">
        <v>82</v>
      </c>
      <c r="J992" s="2">
        <v>1</v>
      </c>
      <c r="K992" s="2" t="s">
        <v>107</v>
      </c>
      <c r="L992" s="2" t="s">
        <v>107</v>
      </c>
      <c r="M992" s="3">
        <v>40252</v>
      </c>
      <c r="N992" s="2"/>
      <c r="O992" s="2"/>
      <c r="P992" s="2"/>
      <c r="Q992" s="2" t="str">
        <f>""</f>
        <v/>
      </c>
      <c r="R992" s="2"/>
      <c r="S992" s="2"/>
      <c r="T992" s="2">
        <v>1</v>
      </c>
      <c r="U992" s="2" t="s">
        <v>79</v>
      </c>
      <c r="V992" s="2">
        <v>1</v>
      </c>
      <c r="W992" s="2" t="s">
        <v>80</v>
      </c>
      <c r="X992" s="2">
        <v>1</v>
      </c>
      <c r="Y992" s="2" t="s">
        <v>81</v>
      </c>
      <c r="Z992" s="2">
        <v>10</v>
      </c>
      <c r="AA992" s="2" t="s">
        <v>236</v>
      </c>
      <c r="AB992" s="2">
        <v>9</v>
      </c>
      <c r="AC992" s="2" t="s">
        <v>124</v>
      </c>
      <c r="AD992" s="3">
        <v>40252</v>
      </c>
      <c r="AE992" s="4">
        <v>0.69444444444444453</v>
      </c>
      <c r="AF992" s="2"/>
      <c r="AG992" s="2"/>
      <c r="AH992" s="2">
        <v>6</v>
      </c>
      <c r="AI992" s="2" t="s">
        <v>197</v>
      </c>
      <c r="AJ992" s="2">
        <v>58</v>
      </c>
      <c r="AK992" s="2" t="s">
        <v>406</v>
      </c>
      <c r="AL992" s="2">
        <v>2</v>
      </c>
      <c r="AM992" s="2" t="s">
        <v>163</v>
      </c>
      <c r="AN992" s="2" t="s">
        <v>3817</v>
      </c>
      <c r="AO992" s="2" t="s">
        <v>3818</v>
      </c>
      <c r="AP992" s="2">
        <v>11</v>
      </c>
      <c r="AQ992" s="2" t="s">
        <v>82</v>
      </c>
      <c r="AR992" s="2" t="s">
        <v>82</v>
      </c>
      <c r="AS992" s="2" t="s">
        <v>82</v>
      </c>
      <c r="AT992" s="2" t="s">
        <v>3819</v>
      </c>
      <c r="AU992" s="2"/>
      <c r="AV992" s="2"/>
      <c r="AW992" s="2"/>
      <c r="AX992" s="2"/>
      <c r="AY992" s="2">
        <v>41</v>
      </c>
      <c r="AZ992" s="2" t="s">
        <v>82</v>
      </c>
      <c r="BA992" s="2">
        <v>41</v>
      </c>
      <c r="BB992" s="2" t="s">
        <v>82</v>
      </c>
      <c r="BC992" s="2">
        <v>41</v>
      </c>
      <c r="BD992" s="2" t="s">
        <v>82</v>
      </c>
      <c r="BE992" s="2">
        <v>41</v>
      </c>
      <c r="BF992" s="2" t="s">
        <v>82</v>
      </c>
      <c r="BG992" s="2" t="s">
        <v>3820</v>
      </c>
      <c r="BH992" s="4">
        <v>0.67013888888888884</v>
      </c>
      <c r="BI992" s="4">
        <v>0.69513888888888886</v>
      </c>
      <c r="BJ992" s="2">
        <v>13</v>
      </c>
      <c r="BK992" s="2" t="s">
        <v>91</v>
      </c>
      <c r="BL992" s="2" t="s">
        <v>690</v>
      </c>
      <c r="BM992" s="2">
        <v>241</v>
      </c>
      <c r="BN992" s="2" t="s">
        <v>82</v>
      </c>
      <c r="BO992" s="2" t="s">
        <v>82</v>
      </c>
      <c r="BP992" s="2">
        <v>13</v>
      </c>
      <c r="BQ992" s="2" t="s">
        <v>91</v>
      </c>
      <c r="BR992" s="2" t="s">
        <v>690</v>
      </c>
      <c r="BS992" s="3">
        <v>40252</v>
      </c>
      <c r="BT992" s="4">
        <v>0.82420138888888894</v>
      </c>
    </row>
    <row r="993" spans="1:72" x14ac:dyDescent="0.25">
      <c r="A993" s="2">
        <v>1533</v>
      </c>
      <c r="B993" s="2">
        <v>2010</v>
      </c>
      <c r="C993" s="2" t="s">
        <v>72</v>
      </c>
      <c r="D993" s="2" t="s">
        <v>73</v>
      </c>
      <c r="E993" s="2"/>
      <c r="F993" s="2">
        <v>2</v>
      </c>
      <c r="G993" s="2" t="s">
        <v>113</v>
      </c>
      <c r="H993" s="2">
        <v>42</v>
      </c>
      <c r="I993" s="2" t="s">
        <v>1096</v>
      </c>
      <c r="J993" s="2">
        <v>300</v>
      </c>
      <c r="K993" s="2" t="s">
        <v>114</v>
      </c>
      <c r="L993" s="2" t="s">
        <v>115</v>
      </c>
      <c r="M993" s="3">
        <v>40252</v>
      </c>
      <c r="N993" s="2" t="s">
        <v>107</v>
      </c>
      <c r="O993" s="2" t="s">
        <v>107</v>
      </c>
      <c r="P993" s="2" t="s">
        <v>107</v>
      </c>
      <c r="Q993" s="2" t="str">
        <f>"141-E/10"</f>
        <v>141-E/10</v>
      </c>
      <c r="R993" s="2" t="s">
        <v>107</v>
      </c>
      <c r="S993" s="2" t="s">
        <v>671</v>
      </c>
      <c r="T993" s="2">
        <v>1</v>
      </c>
      <c r="U993" s="2" t="s">
        <v>79</v>
      </c>
      <c r="V993" s="2">
        <v>1</v>
      </c>
      <c r="W993" s="2" t="s">
        <v>80</v>
      </c>
      <c r="X993" s="2">
        <v>1</v>
      </c>
      <c r="Y993" s="2" t="s">
        <v>81</v>
      </c>
      <c r="Z993" s="2">
        <v>1</v>
      </c>
      <c r="AA993" s="2" t="s">
        <v>82</v>
      </c>
      <c r="AB993" s="2">
        <v>6</v>
      </c>
      <c r="AC993" s="2" t="s">
        <v>83</v>
      </c>
      <c r="AD993" s="3">
        <v>40252</v>
      </c>
      <c r="AE993" s="4">
        <v>0.44861111111111113</v>
      </c>
      <c r="AF993" s="3">
        <v>40252</v>
      </c>
      <c r="AG993" s="4">
        <v>0.5</v>
      </c>
      <c r="AH993" s="2">
        <v>2</v>
      </c>
      <c r="AI993" s="2" t="s">
        <v>84</v>
      </c>
      <c r="AJ993" s="2">
        <v>9</v>
      </c>
      <c r="AK993" s="2" t="s">
        <v>103</v>
      </c>
      <c r="AL993" s="2">
        <v>12</v>
      </c>
      <c r="AM993" s="2" t="s">
        <v>86</v>
      </c>
      <c r="AN993" s="2" t="s">
        <v>3821</v>
      </c>
      <c r="AO993" s="2" t="s">
        <v>82</v>
      </c>
      <c r="AP993" s="2">
        <v>11</v>
      </c>
      <c r="AQ993" s="2" t="s">
        <v>82</v>
      </c>
      <c r="AR993" s="2"/>
      <c r="AS993" s="2"/>
      <c r="AT993" s="2" t="s">
        <v>3822</v>
      </c>
      <c r="AU993" s="2"/>
      <c r="AV993" s="2"/>
      <c r="AW993" s="2">
        <v>1</v>
      </c>
      <c r="AX993" s="2"/>
      <c r="AY993" s="2">
        <v>41</v>
      </c>
      <c r="AZ993" s="2" t="s">
        <v>82</v>
      </c>
      <c r="BA993" s="2">
        <v>41</v>
      </c>
      <c r="BB993" s="2" t="s">
        <v>82</v>
      </c>
      <c r="BC993" s="2">
        <v>41</v>
      </c>
      <c r="BD993" s="2" t="s">
        <v>82</v>
      </c>
      <c r="BE993" s="2">
        <v>31</v>
      </c>
      <c r="BF993" s="2" t="s">
        <v>398</v>
      </c>
      <c r="BG993" s="2">
        <v>6843</v>
      </c>
      <c r="BH993" s="4">
        <v>0.39444444444444443</v>
      </c>
      <c r="BI993" s="2"/>
      <c r="BJ993" s="2">
        <v>73</v>
      </c>
      <c r="BK993" s="2" t="s">
        <v>186</v>
      </c>
      <c r="BL993" s="2" t="s">
        <v>398</v>
      </c>
      <c r="BM993" s="2">
        <v>241</v>
      </c>
      <c r="BN993" s="2" t="s">
        <v>82</v>
      </c>
      <c r="BO993" s="2"/>
      <c r="BP993" s="2">
        <v>13</v>
      </c>
      <c r="BQ993" s="2" t="s">
        <v>91</v>
      </c>
      <c r="BR993" s="2" t="s">
        <v>185</v>
      </c>
      <c r="BS993" s="3">
        <v>40252</v>
      </c>
      <c r="BT993" s="4">
        <v>0.83450231481481485</v>
      </c>
    </row>
    <row r="994" spans="1:72" x14ac:dyDescent="0.25">
      <c r="A994" s="2">
        <v>1534</v>
      </c>
      <c r="B994" s="2">
        <v>2010</v>
      </c>
      <c r="C994" s="2" t="s">
        <v>2567</v>
      </c>
      <c r="D994" s="2" t="s">
        <v>122</v>
      </c>
      <c r="E994" s="2"/>
      <c r="F994" s="2">
        <v>1</v>
      </c>
      <c r="G994" s="2" t="s">
        <v>82</v>
      </c>
      <c r="H994" s="2">
        <v>1</v>
      </c>
      <c r="I994" s="2" t="s">
        <v>82</v>
      </c>
      <c r="J994" s="2">
        <v>1</v>
      </c>
      <c r="K994" s="2" t="s">
        <v>107</v>
      </c>
      <c r="L994" s="2" t="s">
        <v>107</v>
      </c>
      <c r="M994" s="3">
        <v>40252</v>
      </c>
      <c r="N994" s="2"/>
      <c r="O994" s="2"/>
      <c r="P994" s="2"/>
      <c r="Q994" s="2" t="str">
        <f>""</f>
        <v/>
      </c>
      <c r="R994" s="2"/>
      <c r="S994" s="2"/>
      <c r="T994" s="2">
        <v>1</v>
      </c>
      <c r="U994" s="2" t="s">
        <v>79</v>
      </c>
      <c r="V994" s="2">
        <v>1</v>
      </c>
      <c r="W994" s="2" t="s">
        <v>80</v>
      </c>
      <c r="X994" s="2">
        <v>1</v>
      </c>
      <c r="Y994" s="2" t="s">
        <v>81</v>
      </c>
      <c r="Z994" s="2">
        <v>10</v>
      </c>
      <c r="AA994" s="2" t="s">
        <v>236</v>
      </c>
      <c r="AB994" s="2">
        <v>9</v>
      </c>
      <c r="AC994" s="2" t="s">
        <v>124</v>
      </c>
      <c r="AD994" s="3">
        <v>40252</v>
      </c>
      <c r="AE994" s="4">
        <v>0.74652777777777779</v>
      </c>
      <c r="AF994" s="2"/>
      <c r="AG994" s="2"/>
      <c r="AH994" s="2">
        <v>6</v>
      </c>
      <c r="AI994" s="2" t="s">
        <v>197</v>
      </c>
      <c r="AJ994" s="2">
        <v>61</v>
      </c>
      <c r="AK994" s="2" t="s">
        <v>686</v>
      </c>
      <c r="AL994" s="2">
        <v>2</v>
      </c>
      <c r="AM994" s="2" t="s">
        <v>163</v>
      </c>
      <c r="AN994" s="2" t="s">
        <v>3823</v>
      </c>
      <c r="AO994" s="2" t="s">
        <v>230</v>
      </c>
      <c r="AP994" s="2">
        <v>11</v>
      </c>
      <c r="AQ994" s="2" t="s">
        <v>82</v>
      </c>
      <c r="AR994" s="2" t="s">
        <v>82</v>
      </c>
      <c r="AS994" s="2" t="s">
        <v>82</v>
      </c>
      <c r="AT994" s="2" t="s">
        <v>3824</v>
      </c>
      <c r="AU994" s="2"/>
      <c r="AV994" s="2"/>
      <c r="AW994" s="2"/>
      <c r="AX994" s="2"/>
      <c r="AY994" s="2">
        <v>41</v>
      </c>
      <c r="AZ994" s="2" t="s">
        <v>82</v>
      </c>
      <c r="BA994" s="2">
        <v>41</v>
      </c>
      <c r="BB994" s="2" t="s">
        <v>82</v>
      </c>
      <c r="BC994" s="2">
        <v>41</v>
      </c>
      <c r="BD994" s="2" t="s">
        <v>82</v>
      </c>
      <c r="BE994" s="2">
        <v>41</v>
      </c>
      <c r="BF994" s="2" t="s">
        <v>82</v>
      </c>
      <c r="BG994" s="2" t="s">
        <v>3820</v>
      </c>
      <c r="BH994" s="4">
        <v>0.74652777777777779</v>
      </c>
      <c r="BI994" s="2"/>
      <c r="BJ994" s="2">
        <v>13</v>
      </c>
      <c r="BK994" s="2" t="s">
        <v>91</v>
      </c>
      <c r="BL994" s="2" t="s">
        <v>492</v>
      </c>
      <c r="BM994" s="2">
        <v>241</v>
      </c>
      <c r="BN994" s="2" t="s">
        <v>82</v>
      </c>
      <c r="BO994" s="2" t="s">
        <v>82</v>
      </c>
      <c r="BP994" s="2">
        <v>13</v>
      </c>
      <c r="BQ994" s="2" t="s">
        <v>91</v>
      </c>
      <c r="BR994" s="2" t="s">
        <v>690</v>
      </c>
      <c r="BS994" s="3">
        <v>40252</v>
      </c>
      <c r="BT994" s="4">
        <v>0.84380787037037042</v>
      </c>
    </row>
    <row r="995" spans="1:72" x14ac:dyDescent="0.25">
      <c r="A995" s="2">
        <v>1535</v>
      </c>
      <c r="B995" s="2">
        <v>2010</v>
      </c>
      <c r="C995" s="2" t="s">
        <v>385</v>
      </c>
      <c r="D995" s="2" t="s">
        <v>122</v>
      </c>
      <c r="E995" s="2"/>
      <c r="F995" s="2">
        <v>408</v>
      </c>
      <c r="G995" s="2" t="s">
        <v>3825</v>
      </c>
      <c r="H995" s="2">
        <v>17</v>
      </c>
      <c r="I995" s="2" t="s">
        <v>3602</v>
      </c>
      <c r="J995" s="2">
        <v>316</v>
      </c>
      <c r="K995" s="2" t="s">
        <v>574</v>
      </c>
      <c r="L995" s="2" t="s">
        <v>575</v>
      </c>
      <c r="M995" s="3">
        <v>40252</v>
      </c>
      <c r="N995" s="2" t="s">
        <v>3826</v>
      </c>
      <c r="O995" s="2" t="s">
        <v>3827</v>
      </c>
      <c r="P995" s="2" t="s">
        <v>3605</v>
      </c>
      <c r="Q995" s="2" t="str">
        <f>"N/C"</f>
        <v>N/C</v>
      </c>
      <c r="R995" s="2" t="s">
        <v>82</v>
      </c>
      <c r="S995" s="2" t="s">
        <v>82</v>
      </c>
      <c r="T995" s="2">
        <v>1</v>
      </c>
      <c r="U995" s="2" t="s">
        <v>79</v>
      </c>
      <c r="V995" s="2">
        <v>1</v>
      </c>
      <c r="W995" s="2" t="s">
        <v>80</v>
      </c>
      <c r="X995" s="2">
        <v>1</v>
      </c>
      <c r="Y995" s="2" t="s">
        <v>81</v>
      </c>
      <c r="Z995" s="2">
        <v>1</v>
      </c>
      <c r="AA995" s="2" t="s">
        <v>82</v>
      </c>
      <c r="AB995" s="2">
        <v>9</v>
      </c>
      <c r="AC995" s="2" t="s">
        <v>124</v>
      </c>
      <c r="AD995" s="2"/>
      <c r="AE995" s="2"/>
      <c r="AF995" s="2"/>
      <c r="AG995" s="2"/>
      <c r="AH995" s="2">
        <v>2</v>
      </c>
      <c r="AI995" s="2" t="s">
        <v>84</v>
      </c>
      <c r="AJ995" s="2">
        <v>12</v>
      </c>
      <c r="AK995" s="2" t="s">
        <v>85</v>
      </c>
      <c r="AL995" s="2">
        <v>19</v>
      </c>
      <c r="AM995" s="2" t="s">
        <v>107</v>
      </c>
      <c r="AN995" s="2" t="s">
        <v>107</v>
      </c>
      <c r="AO995" s="2" t="s">
        <v>3828</v>
      </c>
      <c r="AP995" s="2">
        <v>11</v>
      </c>
      <c r="AQ995" s="2" t="s">
        <v>82</v>
      </c>
      <c r="AR995" s="2" t="s">
        <v>82</v>
      </c>
      <c r="AS995" s="2" t="s">
        <v>82</v>
      </c>
      <c r="AT995" s="2" t="s">
        <v>3829</v>
      </c>
      <c r="AU995" s="2"/>
      <c r="AV995" s="2">
        <v>1</v>
      </c>
      <c r="AW995" s="2"/>
      <c r="AX995" s="2"/>
      <c r="AY995" s="2">
        <v>41</v>
      </c>
      <c r="AZ995" s="2" t="s">
        <v>82</v>
      </c>
      <c r="BA995" s="2">
        <v>41</v>
      </c>
      <c r="BB995" s="2" t="s">
        <v>82</v>
      </c>
      <c r="BC995" s="2">
        <v>41</v>
      </c>
      <c r="BD995" s="2" t="s">
        <v>82</v>
      </c>
      <c r="BE995" s="2">
        <v>41</v>
      </c>
      <c r="BF995" s="2" t="s">
        <v>82</v>
      </c>
      <c r="BG995" s="2" t="s">
        <v>82</v>
      </c>
      <c r="BH995" s="2"/>
      <c r="BI995" s="2"/>
      <c r="BJ995" s="2">
        <v>241</v>
      </c>
      <c r="BK995" s="2" t="s">
        <v>82</v>
      </c>
      <c r="BL995" s="2" t="s">
        <v>82</v>
      </c>
      <c r="BM995" s="2">
        <v>241</v>
      </c>
      <c r="BN995" s="2" t="s">
        <v>82</v>
      </c>
      <c r="BO995" s="2" t="s">
        <v>82</v>
      </c>
      <c r="BP995" s="2">
        <v>241</v>
      </c>
      <c r="BQ995" s="2" t="s">
        <v>82</v>
      </c>
      <c r="BR995" s="2" t="s">
        <v>82</v>
      </c>
      <c r="BS995" s="3">
        <v>40252</v>
      </c>
      <c r="BT995" s="4">
        <v>0.86940972222222224</v>
      </c>
    </row>
    <row r="996" spans="1:72" x14ac:dyDescent="0.25">
      <c r="A996" s="2">
        <v>1537</v>
      </c>
      <c r="B996" s="2">
        <v>2010</v>
      </c>
      <c r="C996" s="2" t="s">
        <v>171</v>
      </c>
      <c r="D996" s="2" t="s">
        <v>122</v>
      </c>
      <c r="E996" s="2" t="s">
        <v>3830</v>
      </c>
      <c r="F996" s="2">
        <v>398</v>
      </c>
      <c r="G996" s="2" t="s">
        <v>94</v>
      </c>
      <c r="H996" s="2">
        <v>13</v>
      </c>
      <c r="I996" s="2" t="s">
        <v>2229</v>
      </c>
      <c r="J996" s="2">
        <v>245</v>
      </c>
      <c r="K996" s="2" t="s">
        <v>96</v>
      </c>
      <c r="L996" s="2" t="s">
        <v>97</v>
      </c>
      <c r="M996" s="3">
        <v>40252</v>
      </c>
      <c r="N996" s="2" t="s">
        <v>3767</v>
      </c>
      <c r="O996" s="2"/>
      <c r="P996" s="2"/>
      <c r="Q996" s="2" t="str">
        <f>"139-E/10"</f>
        <v>139-E/10</v>
      </c>
      <c r="R996" s="2" t="s">
        <v>3831</v>
      </c>
      <c r="S996" s="2"/>
      <c r="T996" s="2">
        <v>1</v>
      </c>
      <c r="U996" s="2" t="s">
        <v>79</v>
      </c>
      <c r="V996" s="2">
        <v>1</v>
      </c>
      <c r="W996" s="2" t="s">
        <v>80</v>
      </c>
      <c r="X996" s="2">
        <v>1</v>
      </c>
      <c r="Y996" s="2" t="s">
        <v>81</v>
      </c>
      <c r="Z996" s="2">
        <v>1</v>
      </c>
      <c r="AA996" s="2" t="s">
        <v>82</v>
      </c>
      <c r="AB996" s="2">
        <v>1</v>
      </c>
      <c r="AC996" s="2" t="s">
        <v>178</v>
      </c>
      <c r="AD996" s="3">
        <v>40251</v>
      </c>
      <c r="AE996" s="4">
        <v>0.625</v>
      </c>
      <c r="AF996" s="2"/>
      <c r="AG996" s="2"/>
      <c r="AH996" s="2">
        <v>2</v>
      </c>
      <c r="AI996" s="2" t="s">
        <v>84</v>
      </c>
      <c r="AJ996" s="2">
        <v>9</v>
      </c>
      <c r="AK996" s="2" t="s">
        <v>103</v>
      </c>
      <c r="AL996" s="2">
        <v>8</v>
      </c>
      <c r="AM996" s="2" t="s">
        <v>179</v>
      </c>
      <c r="AN996" s="2"/>
      <c r="AO996" s="2" t="s">
        <v>3832</v>
      </c>
      <c r="AP996" s="2">
        <v>11</v>
      </c>
      <c r="AQ996" s="2" t="s">
        <v>82</v>
      </c>
      <c r="AR996" s="2"/>
      <c r="AS996" s="2"/>
      <c r="AT996" s="2" t="s">
        <v>3833</v>
      </c>
      <c r="AU996" s="2"/>
      <c r="AV996" s="2">
        <v>1</v>
      </c>
      <c r="AW996" s="2"/>
      <c r="AX996" s="2"/>
      <c r="AY996" s="2">
        <v>41</v>
      </c>
      <c r="AZ996" s="2" t="s">
        <v>82</v>
      </c>
      <c r="BA996" s="2">
        <v>41</v>
      </c>
      <c r="BB996" s="2" t="s">
        <v>82</v>
      </c>
      <c r="BC996" s="2">
        <v>41</v>
      </c>
      <c r="BD996" s="2" t="s">
        <v>82</v>
      </c>
      <c r="BE996" s="2">
        <v>13</v>
      </c>
      <c r="BF996" s="2" t="s">
        <v>108</v>
      </c>
      <c r="BG996" s="2">
        <v>1160</v>
      </c>
      <c r="BH996" s="2"/>
      <c r="BI996" s="4">
        <v>0.625</v>
      </c>
      <c r="BJ996" s="2">
        <v>13</v>
      </c>
      <c r="BK996" s="2" t="s">
        <v>91</v>
      </c>
      <c r="BL996" s="2" t="s">
        <v>112</v>
      </c>
      <c r="BM996" s="2">
        <v>241</v>
      </c>
      <c r="BN996" s="2" t="s">
        <v>82</v>
      </c>
      <c r="BO996" s="2"/>
      <c r="BP996" s="2">
        <v>73</v>
      </c>
      <c r="BQ996" s="2" t="s">
        <v>186</v>
      </c>
      <c r="BR996" s="2" t="s">
        <v>675</v>
      </c>
      <c r="BS996" s="3">
        <v>40252</v>
      </c>
      <c r="BT996" s="4">
        <v>0.88018518518518529</v>
      </c>
    </row>
    <row r="997" spans="1:72" x14ac:dyDescent="0.25">
      <c r="A997" s="2">
        <v>1538</v>
      </c>
      <c r="B997" s="2">
        <v>2010</v>
      </c>
      <c r="C997" s="2" t="s">
        <v>171</v>
      </c>
      <c r="D997" s="2" t="s">
        <v>122</v>
      </c>
      <c r="E997" s="2" t="s">
        <v>3834</v>
      </c>
      <c r="F997" s="2">
        <v>406</v>
      </c>
      <c r="G997" s="2" t="s">
        <v>922</v>
      </c>
      <c r="H997" s="2">
        <v>13</v>
      </c>
      <c r="I997" s="2" t="s">
        <v>2229</v>
      </c>
      <c r="J997" s="2">
        <v>245</v>
      </c>
      <c r="K997" s="2" t="s">
        <v>96</v>
      </c>
      <c r="L997" s="2" t="s">
        <v>97</v>
      </c>
      <c r="M997" s="3">
        <v>40252</v>
      </c>
      <c r="N997" s="2" t="s">
        <v>1938</v>
      </c>
      <c r="O997" s="2"/>
      <c r="P997" s="2"/>
      <c r="Q997" s="2" t="str">
        <f>"138-E/10"</f>
        <v>138-E/10</v>
      </c>
      <c r="R997" s="2" t="s">
        <v>391</v>
      </c>
      <c r="S997" s="2" t="s">
        <v>391</v>
      </c>
      <c r="T997" s="2">
        <v>1</v>
      </c>
      <c r="U997" s="2" t="s">
        <v>79</v>
      </c>
      <c r="V997" s="2">
        <v>1</v>
      </c>
      <c r="W997" s="2" t="s">
        <v>80</v>
      </c>
      <c r="X997" s="2">
        <v>1</v>
      </c>
      <c r="Y997" s="2" t="s">
        <v>81</v>
      </c>
      <c r="Z997" s="2">
        <v>1</v>
      </c>
      <c r="AA997" s="2" t="s">
        <v>82</v>
      </c>
      <c r="AB997" s="2">
        <v>1</v>
      </c>
      <c r="AC997" s="2" t="s">
        <v>178</v>
      </c>
      <c r="AD997" s="3">
        <v>40251</v>
      </c>
      <c r="AE997" s="4">
        <v>0.54861111111111105</v>
      </c>
      <c r="AF997" s="2"/>
      <c r="AG997" s="2"/>
      <c r="AH997" s="2">
        <v>2</v>
      </c>
      <c r="AI997" s="2" t="s">
        <v>84</v>
      </c>
      <c r="AJ997" s="2">
        <v>9</v>
      </c>
      <c r="AK997" s="2" t="s">
        <v>103</v>
      </c>
      <c r="AL997" s="2">
        <v>15</v>
      </c>
      <c r="AM997" s="2" t="s">
        <v>104</v>
      </c>
      <c r="AN997" s="2" t="s">
        <v>3835</v>
      </c>
      <c r="AO997" s="2"/>
      <c r="AP997" s="2">
        <v>11</v>
      </c>
      <c r="AQ997" s="2" t="s">
        <v>82</v>
      </c>
      <c r="AR997" s="2"/>
      <c r="AS997" s="2"/>
      <c r="AT997" s="2" t="s">
        <v>3836</v>
      </c>
      <c r="AU997" s="2"/>
      <c r="AV997" s="2">
        <v>1</v>
      </c>
      <c r="AW997" s="2"/>
      <c r="AX997" s="2"/>
      <c r="AY997" s="2">
        <v>41</v>
      </c>
      <c r="AZ997" s="2" t="s">
        <v>82</v>
      </c>
      <c r="BA997" s="2">
        <v>41</v>
      </c>
      <c r="BB997" s="2" t="s">
        <v>82</v>
      </c>
      <c r="BC997" s="2">
        <v>41</v>
      </c>
      <c r="BD997" s="2" t="s">
        <v>82</v>
      </c>
      <c r="BE997" s="2">
        <v>13</v>
      </c>
      <c r="BF997" s="2" t="s">
        <v>108</v>
      </c>
      <c r="BG997" s="2" t="s">
        <v>674</v>
      </c>
      <c r="BH997" s="2"/>
      <c r="BI997" s="4">
        <v>0.625</v>
      </c>
      <c r="BJ997" s="2">
        <v>13</v>
      </c>
      <c r="BK997" s="2" t="s">
        <v>91</v>
      </c>
      <c r="BL997" s="2" t="s">
        <v>185</v>
      </c>
      <c r="BM997" s="2">
        <v>241</v>
      </c>
      <c r="BN997" s="2" t="s">
        <v>82</v>
      </c>
      <c r="BO997" s="2"/>
      <c r="BP997" s="2">
        <v>73</v>
      </c>
      <c r="BQ997" s="2" t="s">
        <v>186</v>
      </c>
      <c r="BR997" s="2" t="s">
        <v>675</v>
      </c>
      <c r="BS997" s="3">
        <v>40252</v>
      </c>
      <c r="BT997" s="4">
        <v>0.88347222222222221</v>
      </c>
    </row>
    <row r="998" spans="1:72" x14ac:dyDescent="0.25">
      <c r="A998" s="2">
        <v>1540</v>
      </c>
      <c r="B998" s="2">
        <v>2010</v>
      </c>
      <c r="C998" s="2" t="s">
        <v>171</v>
      </c>
      <c r="D998" s="2" t="s">
        <v>73</v>
      </c>
      <c r="E998" s="2"/>
      <c r="F998" s="2">
        <v>158</v>
      </c>
      <c r="G998" s="2" t="s">
        <v>3026</v>
      </c>
      <c r="H998" s="2">
        <v>17</v>
      </c>
      <c r="I998" s="2" t="s">
        <v>3602</v>
      </c>
      <c r="J998" s="2">
        <v>164</v>
      </c>
      <c r="K998" s="2" t="s">
        <v>3254</v>
      </c>
      <c r="L998" s="2" t="s">
        <v>946</v>
      </c>
      <c r="M998" s="3">
        <v>40252</v>
      </c>
      <c r="N998" s="2" t="s">
        <v>3837</v>
      </c>
      <c r="O998" s="2" t="s">
        <v>107</v>
      </c>
      <c r="P998" s="2" t="s">
        <v>107</v>
      </c>
      <c r="Q998" s="2" t="str">
        <f>"101-A/10"</f>
        <v>101-A/10</v>
      </c>
      <c r="R998" s="2" t="s">
        <v>1035</v>
      </c>
      <c r="S998" s="2" t="s">
        <v>107</v>
      </c>
      <c r="T998" s="2">
        <v>1</v>
      </c>
      <c r="U998" s="2" t="s">
        <v>79</v>
      </c>
      <c r="V998" s="2">
        <v>1</v>
      </c>
      <c r="W998" s="2" t="s">
        <v>80</v>
      </c>
      <c r="X998" s="2">
        <v>1</v>
      </c>
      <c r="Y998" s="2" t="s">
        <v>81</v>
      </c>
      <c r="Z998" s="2">
        <v>1</v>
      </c>
      <c r="AA998" s="2" t="s">
        <v>82</v>
      </c>
      <c r="AB998" s="2">
        <v>1</v>
      </c>
      <c r="AC998" s="2" t="s">
        <v>178</v>
      </c>
      <c r="AD998" s="3">
        <v>40252</v>
      </c>
      <c r="AE998" s="4">
        <v>0.54861111111111105</v>
      </c>
      <c r="AF998" s="3">
        <v>40252</v>
      </c>
      <c r="AG998" s="4">
        <v>0.56944444444444442</v>
      </c>
      <c r="AH998" s="2">
        <v>2</v>
      </c>
      <c r="AI998" s="2" t="s">
        <v>84</v>
      </c>
      <c r="AJ998" s="2">
        <v>12</v>
      </c>
      <c r="AK998" s="2" t="s">
        <v>85</v>
      </c>
      <c r="AL998" s="2">
        <v>14</v>
      </c>
      <c r="AM998" s="2" t="s">
        <v>216</v>
      </c>
      <c r="AN998" s="2" t="s">
        <v>919</v>
      </c>
      <c r="AO998" s="2" t="s">
        <v>1059</v>
      </c>
      <c r="AP998" s="2">
        <v>11</v>
      </c>
      <c r="AQ998" s="2" t="s">
        <v>82</v>
      </c>
      <c r="AR998" s="2" t="s">
        <v>82</v>
      </c>
      <c r="AS998" s="2" t="s">
        <v>82</v>
      </c>
      <c r="AT998" s="2" t="s">
        <v>3838</v>
      </c>
      <c r="AU998" s="2">
        <v>1</v>
      </c>
      <c r="AV998" s="2"/>
      <c r="AW998" s="2"/>
      <c r="AX998" s="2"/>
      <c r="AY998" s="2">
        <v>41</v>
      </c>
      <c r="AZ998" s="2" t="s">
        <v>82</v>
      </c>
      <c r="BA998" s="2">
        <v>41</v>
      </c>
      <c r="BB998" s="2" t="s">
        <v>82</v>
      </c>
      <c r="BC998" s="2">
        <v>41</v>
      </c>
      <c r="BD998" s="2" t="s">
        <v>82</v>
      </c>
      <c r="BE998" s="2">
        <v>10</v>
      </c>
      <c r="BF998" s="2" t="s">
        <v>901</v>
      </c>
      <c r="BG998" s="2" t="s">
        <v>3839</v>
      </c>
      <c r="BH998" s="4">
        <v>0.63888888888888895</v>
      </c>
      <c r="BI998" s="4">
        <v>0.60416666666666663</v>
      </c>
      <c r="BJ998" s="2">
        <v>13</v>
      </c>
      <c r="BK998" s="2" t="s">
        <v>91</v>
      </c>
      <c r="BL998" s="2" t="s">
        <v>3840</v>
      </c>
      <c r="BM998" s="2">
        <v>241</v>
      </c>
      <c r="BN998" s="2" t="s">
        <v>82</v>
      </c>
      <c r="BO998" s="2" t="s">
        <v>82</v>
      </c>
      <c r="BP998" s="2">
        <v>229</v>
      </c>
      <c r="BQ998" s="2" t="s">
        <v>300</v>
      </c>
      <c r="BR998" s="2" t="s">
        <v>301</v>
      </c>
      <c r="BS998" s="3">
        <v>40252</v>
      </c>
      <c r="BT998" s="4">
        <v>0.9932523148148148</v>
      </c>
    </row>
    <row r="999" spans="1:72" x14ac:dyDescent="0.25">
      <c r="A999" s="2">
        <v>1542</v>
      </c>
      <c r="B999" s="2">
        <v>2010</v>
      </c>
      <c r="C999" s="2" t="s">
        <v>171</v>
      </c>
      <c r="D999" s="2" t="s">
        <v>73</v>
      </c>
      <c r="E999" s="2"/>
      <c r="F999" s="2">
        <v>158</v>
      </c>
      <c r="G999" s="2" t="s">
        <v>3026</v>
      </c>
      <c r="H999" s="2">
        <v>17</v>
      </c>
      <c r="I999" s="2" t="s">
        <v>3602</v>
      </c>
      <c r="J999" s="2">
        <v>451</v>
      </c>
      <c r="K999" s="2" t="s">
        <v>3028</v>
      </c>
      <c r="L999" s="2" t="s">
        <v>3029</v>
      </c>
      <c r="M999" s="3">
        <v>40253</v>
      </c>
      <c r="N999" s="2" t="s">
        <v>3686</v>
      </c>
      <c r="O999" s="2" t="s">
        <v>82</v>
      </c>
      <c r="P999" s="2" t="s">
        <v>82</v>
      </c>
      <c r="Q999" s="2" t="str">
        <f>"102-A/10"</f>
        <v>102-A/10</v>
      </c>
      <c r="R999" s="2" t="s">
        <v>82</v>
      </c>
      <c r="S999" s="2" t="s">
        <v>1035</v>
      </c>
      <c r="T999" s="2">
        <v>1</v>
      </c>
      <c r="U999" s="2" t="s">
        <v>79</v>
      </c>
      <c r="V999" s="2">
        <v>1</v>
      </c>
      <c r="W999" s="2" t="s">
        <v>80</v>
      </c>
      <c r="X999" s="2">
        <v>1</v>
      </c>
      <c r="Y999" s="2" t="s">
        <v>81</v>
      </c>
      <c r="Z999" s="2">
        <v>1</v>
      </c>
      <c r="AA999" s="2" t="s">
        <v>82</v>
      </c>
      <c r="AB999" s="2">
        <v>1</v>
      </c>
      <c r="AC999" s="2" t="s">
        <v>178</v>
      </c>
      <c r="AD999" s="3">
        <v>40252</v>
      </c>
      <c r="AE999" s="4">
        <v>0.625</v>
      </c>
      <c r="AF999" s="3">
        <v>40252</v>
      </c>
      <c r="AG999" s="4">
        <v>0.75</v>
      </c>
      <c r="AH999" s="2">
        <v>2</v>
      </c>
      <c r="AI999" s="2" t="s">
        <v>84</v>
      </c>
      <c r="AJ999" s="2">
        <v>12</v>
      </c>
      <c r="AK999" s="2" t="s">
        <v>85</v>
      </c>
      <c r="AL999" s="2">
        <v>14</v>
      </c>
      <c r="AM999" s="2" t="s">
        <v>216</v>
      </c>
      <c r="AN999" s="2" t="s">
        <v>3841</v>
      </c>
      <c r="AO999" s="2" t="s">
        <v>3724</v>
      </c>
      <c r="AP999" s="2">
        <v>11</v>
      </c>
      <c r="AQ999" s="2" t="s">
        <v>82</v>
      </c>
      <c r="AR999" s="2" t="s">
        <v>82</v>
      </c>
      <c r="AS999" s="2" t="s">
        <v>82</v>
      </c>
      <c r="AT999" s="2" t="s">
        <v>3842</v>
      </c>
      <c r="AU999" s="2">
        <v>1</v>
      </c>
      <c r="AV999" s="2"/>
      <c r="AW999" s="2"/>
      <c r="AX999" s="2"/>
      <c r="AY999" s="2">
        <v>41</v>
      </c>
      <c r="AZ999" s="2" t="s">
        <v>82</v>
      </c>
      <c r="BA999" s="2">
        <v>41</v>
      </c>
      <c r="BB999" s="2" t="s">
        <v>82</v>
      </c>
      <c r="BC999" s="2">
        <v>41</v>
      </c>
      <c r="BD999" s="2" t="s">
        <v>82</v>
      </c>
      <c r="BE999" s="2">
        <v>47</v>
      </c>
      <c r="BF999" s="2" t="s">
        <v>167</v>
      </c>
      <c r="BG999" s="2" t="s">
        <v>3843</v>
      </c>
      <c r="BH999" s="4">
        <v>0.70486111111111116</v>
      </c>
      <c r="BI999" s="4">
        <v>0.62152777777777779</v>
      </c>
      <c r="BJ999" s="2">
        <v>13</v>
      </c>
      <c r="BK999" s="2" t="s">
        <v>91</v>
      </c>
      <c r="BL999" s="2" t="s">
        <v>3840</v>
      </c>
      <c r="BM999" s="2">
        <v>241</v>
      </c>
      <c r="BN999" s="2" t="s">
        <v>82</v>
      </c>
      <c r="BO999" s="2" t="s">
        <v>82</v>
      </c>
      <c r="BP999" s="2">
        <v>13</v>
      </c>
      <c r="BQ999" s="2" t="s">
        <v>91</v>
      </c>
      <c r="BR999" s="2" t="s">
        <v>204</v>
      </c>
      <c r="BS999" s="3">
        <v>40253</v>
      </c>
      <c r="BT999" s="4">
        <v>2.8078703703703703E-2</v>
      </c>
    </row>
    <row r="1000" spans="1:72" x14ac:dyDescent="0.25">
      <c r="A1000" s="2">
        <v>1543</v>
      </c>
      <c r="B1000" s="2">
        <v>2010</v>
      </c>
      <c r="C1000" s="2" t="s">
        <v>2567</v>
      </c>
      <c r="D1000" s="2" t="s">
        <v>122</v>
      </c>
      <c r="E1000" s="2"/>
      <c r="F1000" s="2">
        <v>114</v>
      </c>
      <c r="G1000" s="2" t="s">
        <v>2817</v>
      </c>
      <c r="H1000" s="2">
        <v>22</v>
      </c>
      <c r="I1000" s="2" t="s">
        <v>75</v>
      </c>
      <c r="J1000" s="2">
        <v>133</v>
      </c>
      <c r="K1000" s="2" t="s">
        <v>3844</v>
      </c>
      <c r="L1000" s="2" t="s">
        <v>3845</v>
      </c>
      <c r="M1000" s="3">
        <v>40253</v>
      </c>
      <c r="N1000" s="2" t="s">
        <v>3846</v>
      </c>
      <c r="O1000" s="2" t="s">
        <v>3847</v>
      </c>
      <c r="P1000" s="2" t="s">
        <v>107</v>
      </c>
      <c r="Q1000" s="2" t="str">
        <f>"0005/10"</f>
        <v>0005/10</v>
      </c>
      <c r="R1000" s="2" t="s">
        <v>82</v>
      </c>
      <c r="S1000" s="2" t="s">
        <v>3847</v>
      </c>
      <c r="T1000" s="2">
        <v>1</v>
      </c>
      <c r="U1000" s="2" t="s">
        <v>79</v>
      </c>
      <c r="V1000" s="2">
        <v>1</v>
      </c>
      <c r="W1000" s="2" t="s">
        <v>80</v>
      </c>
      <c r="X1000" s="2">
        <v>1</v>
      </c>
      <c r="Y1000" s="2" t="s">
        <v>81</v>
      </c>
      <c r="Z1000" s="2">
        <v>1</v>
      </c>
      <c r="AA1000" s="2" t="s">
        <v>82</v>
      </c>
      <c r="AB1000" s="2">
        <v>9</v>
      </c>
      <c r="AC1000" s="2" t="s">
        <v>124</v>
      </c>
      <c r="AD1000" s="3">
        <v>40252</v>
      </c>
      <c r="AE1000" s="4">
        <v>0.89583333333333337</v>
      </c>
      <c r="AF1000" s="3">
        <v>40252</v>
      </c>
      <c r="AG1000" s="2"/>
      <c r="AH1000" s="2">
        <v>6</v>
      </c>
      <c r="AI1000" s="2" t="s">
        <v>197</v>
      </c>
      <c r="AJ1000" s="2">
        <v>54</v>
      </c>
      <c r="AK1000" s="2" t="s">
        <v>348</v>
      </c>
      <c r="AL1000" s="2">
        <v>8</v>
      </c>
      <c r="AM1000" s="2" t="s">
        <v>179</v>
      </c>
      <c r="AN1000" s="2" t="s">
        <v>3848</v>
      </c>
      <c r="AO1000" s="2" t="s">
        <v>200</v>
      </c>
      <c r="AP1000" s="2">
        <v>12</v>
      </c>
      <c r="AQ1000" s="2" t="s">
        <v>322</v>
      </c>
      <c r="AR1000" s="2" t="s">
        <v>3849</v>
      </c>
      <c r="AS1000" s="2" t="s">
        <v>3850</v>
      </c>
      <c r="AT1000" s="2" t="s">
        <v>3851</v>
      </c>
      <c r="AU1000" s="2"/>
      <c r="AV1000" s="2"/>
      <c r="AW1000" s="2"/>
      <c r="AX1000" s="2"/>
      <c r="AY1000" s="2">
        <v>1</v>
      </c>
      <c r="AZ1000" s="2" t="s">
        <v>107</v>
      </c>
      <c r="BA1000" s="2">
        <v>1</v>
      </c>
      <c r="BB1000" s="2" t="s">
        <v>107</v>
      </c>
      <c r="BC1000" s="2">
        <v>57</v>
      </c>
      <c r="BD1000" s="2"/>
      <c r="BE1000" s="2">
        <v>47</v>
      </c>
      <c r="BF1000" s="2" t="s">
        <v>167</v>
      </c>
      <c r="BG1000" s="2">
        <v>2837</v>
      </c>
      <c r="BH1000" s="4">
        <v>0.91666666666666663</v>
      </c>
      <c r="BI1000" s="4">
        <v>0.95138888888888884</v>
      </c>
      <c r="BJ1000" s="2">
        <v>13</v>
      </c>
      <c r="BK1000" s="2" t="s">
        <v>91</v>
      </c>
      <c r="BL1000" s="2" t="s">
        <v>3852</v>
      </c>
      <c r="BM1000" s="2">
        <v>13</v>
      </c>
      <c r="BN1000" s="2" t="s">
        <v>91</v>
      </c>
      <c r="BO1000" s="2" t="s">
        <v>82</v>
      </c>
      <c r="BP1000" s="2">
        <v>13</v>
      </c>
      <c r="BQ1000" s="2" t="s">
        <v>91</v>
      </c>
      <c r="BR1000" s="2" t="s">
        <v>3520</v>
      </c>
      <c r="BS1000" s="3">
        <v>40253</v>
      </c>
      <c r="BT1000" s="4">
        <v>5.1400462962962967E-2</v>
      </c>
    </row>
    <row r="1001" spans="1:72" x14ac:dyDescent="0.25">
      <c r="A1001" s="2">
        <v>1545</v>
      </c>
      <c r="B1001" s="2">
        <v>2010</v>
      </c>
      <c r="C1001" s="2" t="s">
        <v>243</v>
      </c>
      <c r="D1001" s="2" t="s">
        <v>73</v>
      </c>
      <c r="E1001" s="2"/>
      <c r="F1001" s="2">
        <v>390</v>
      </c>
      <c r="G1001" s="2" t="s">
        <v>475</v>
      </c>
      <c r="H1001" s="2">
        <v>5</v>
      </c>
      <c r="I1001" s="2" t="s">
        <v>634</v>
      </c>
      <c r="J1001" s="2">
        <v>314</v>
      </c>
      <c r="K1001" s="2" t="s">
        <v>477</v>
      </c>
      <c r="L1001" s="2" t="s">
        <v>478</v>
      </c>
      <c r="M1001" s="3">
        <v>40253</v>
      </c>
      <c r="N1001" s="2" t="s">
        <v>3103</v>
      </c>
      <c r="O1001" s="2" t="s">
        <v>107</v>
      </c>
      <c r="P1001" s="2" t="s">
        <v>107</v>
      </c>
      <c r="Q1001" s="2" t="str">
        <f>"142-E/10"</f>
        <v>142-E/10</v>
      </c>
      <c r="R1001" s="2" t="s">
        <v>3853</v>
      </c>
      <c r="S1001" s="2" t="s">
        <v>3853</v>
      </c>
      <c r="T1001" s="2">
        <v>1</v>
      </c>
      <c r="U1001" s="2" t="s">
        <v>79</v>
      </c>
      <c r="V1001" s="2">
        <v>1</v>
      </c>
      <c r="W1001" s="2" t="s">
        <v>80</v>
      </c>
      <c r="X1001" s="2">
        <v>1</v>
      </c>
      <c r="Y1001" s="2" t="s">
        <v>81</v>
      </c>
      <c r="Z1001" s="2">
        <v>1</v>
      </c>
      <c r="AA1001" s="2" t="s">
        <v>82</v>
      </c>
      <c r="AB1001" s="2">
        <v>9</v>
      </c>
      <c r="AC1001" s="2" t="s">
        <v>124</v>
      </c>
      <c r="AD1001" s="3">
        <v>40252</v>
      </c>
      <c r="AE1001" s="4">
        <v>0.29166666666666669</v>
      </c>
      <c r="AF1001" s="3">
        <v>40252</v>
      </c>
      <c r="AG1001" s="4">
        <v>0.90277777777777779</v>
      </c>
      <c r="AH1001" s="2">
        <v>2</v>
      </c>
      <c r="AI1001" s="2" t="s">
        <v>84</v>
      </c>
      <c r="AJ1001" s="2">
        <v>9</v>
      </c>
      <c r="AK1001" s="2" t="s">
        <v>103</v>
      </c>
      <c r="AL1001" s="2">
        <v>12</v>
      </c>
      <c r="AM1001" s="2" t="s">
        <v>86</v>
      </c>
      <c r="AN1001" s="2" t="s">
        <v>3854</v>
      </c>
      <c r="AO1001" s="2" t="s">
        <v>3855</v>
      </c>
      <c r="AP1001" s="2">
        <v>11</v>
      </c>
      <c r="AQ1001" s="2" t="s">
        <v>82</v>
      </c>
      <c r="AR1001" s="2"/>
      <c r="AS1001" s="2"/>
      <c r="AT1001" s="2" t="s">
        <v>3856</v>
      </c>
      <c r="AU1001" s="2"/>
      <c r="AV1001" s="2"/>
      <c r="AW1001" s="2"/>
      <c r="AX1001" s="2"/>
      <c r="AY1001" s="2">
        <v>41</v>
      </c>
      <c r="AZ1001" s="2" t="s">
        <v>82</v>
      </c>
      <c r="BA1001" s="2">
        <v>41</v>
      </c>
      <c r="BB1001" s="2" t="s">
        <v>82</v>
      </c>
      <c r="BC1001" s="2">
        <v>41</v>
      </c>
      <c r="BD1001" s="2" t="s">
        <v>82</v>
      </c>
      <c r="BE1001" s="2">
        <v>25</v>
      </c>
      <c r="BF1001" s="2" t="s">
        <v>358</v>
      </c>
      <c r="BG1001" s="2" t="s">
        <v>3857</v>
      </c>
      <c r="BH1001" s="4">
        <v>0.27083333333333331</v>
      </c>
      <c r="BI1001" s="4">
        <v>0</v>
      </c>
      <c r="BJ1001" s="2">
        <v>33</v>
      </c>
      <c r="BK1001" s="2" t="s">
        <v>361</v>
      </c>
      <c r="BL1001" s="2" t="s">
        <v>783</v>
      </c>
      <c r="BM1001" s="2">
        <v>241</v>
      </c>
      <c r="BN1001" s="2" t="s">
        <v>82</v>
      </c>
      <c r="BO1001" s="2" t="s">
        <v>82</v>
      </c>
      <c r="BP1001" s="2">
        <v>13</v>
      </c>
      <c r="BQ1001" s="2" t="s">
        <v>91</v>
      </c>
      <c r="BR1001" s="2" t="s">
        <v>723</v>
      </c>
      <c r="BS1001" s="3">
        <v>40253</v>
      </c>
      <c r="BT1001" s="4">
        <v>0.11615740740740742</v>
      </c>
    </row>
    <row r="1002" spans="1:72" x14ac:dyDescent="0.25">
      <c r="A1002" s="2">
        <v>1546</v>
      </c>
      <c r="B1002" s="2">
        <v>2010</v>
      </c>
      <c r="C1002" s="2" t="s">
        <v>385</v>
      </c>
      <c r="D1002" s="2" t="s">
        <v>73</v>
      </c>
      <c r="E1002" s="2"/>
      <c r="F1002" s="2">
        <v>233</v>
      </c>
      <c r="G1002" s="2" t="s">
        <v>3858</v>
      </c>
      <c r="H1002" s="2">
        <v>17</v>
      </c>
      <c r="I1002" s="2" t="s">
        <v>3602</v>
      </c>
      <c r="J1002" s="2">
        <v>316</v>
      </c>
      <c r="K1002" s="2" t="s">
        <v>574</v>
      </c>
      <c r="L1002" s="2" t="s">
        <v>575</v>
      </c>
      <c r="M1002" s="3">
        <v>40253</v>
      </c>
      <c r="N1002" s="2" t="s">
        <v>3859</v>
      </c>
      <c r="O1002" s="2" t="s">
        <v>3827</v>
      </c>
      <c r="P1002" s="2" t="s">
        <v>3605</v>
      </c>
      <c r="Q1002" s="2" t="str">
        <f>"N/C"</f>
        <v>N/C</v>
      </c>
      <c r="R1002" s="2" t="s">
        <v>82</v>
      </c>
      <c r="S1002" s="2" t="s">
        <v>82</v>
      </c>
      <c r="T1002" s="2">
        <v>1</v>
      </c>
      <c r="U1002" s="2" t="s">
        <v>79</v>
      </c>
      <c r="V1002" s="2">
        <v>1</v>
      </c>
      <c r="W1002" s="2" t="s">
        <v>80</v>
      </c>
      <c r="X1002" s="2">
        <v>1</v>
      </c>
      <c r="Y1002" s="2" t="s">
        <v>81</v>
      </c>
      <c r="Z1002" s="2">
        <v>1</v>
      </c>
      <c r="AA1002" s="2" t="s">
        <v>82</v>
      </c>
      <c r="AB1002" s="2">
        <v>9</v>
      </c>
      <c r="AC1002" s="2" t="s">
        <v>124</v>
      </c>
      <c r="AD1002" s="2"/>
      <c r="AE1002" s="2"/>
      <c r="AF1002" s="2"/>
      <c r="AG1002" s="2"/>
      <c r="AH1002" s="2">
        <v>2</v>
      </c>
      <c r="AI1002" s="2" t="s">
        <v>84</v>
      </c>
      <c r="AJ1002" s="2">
        <v>12</v>
      </c>
      <c r="AK1002" s="2" t="s">
        <v>85</v>
      </c>
      <c r="AL1002" s="2">
        <v>19</v>
      </c>
      <c r="AM1002" s="2" t="s">
        <v>107</v>
      </c>
      <c r="AN1002" s="2"/>
      <c r="AO1002" s="2"/>
      <c r="AP1002" s="2">
        <v>11</v>
      </c>
      <c r="AQ1002" s="2" t="s">
        <v>82</v>
      </c>
      <c r="AR1002" s="2"/>
      <c r="AS1002" s="2"/>
      <c r="AT1002" s="2" t="s">
        <v>3860</v>
      </c>
      <c r="AU1002" s="2">
        <v>1</v>
      </c>
      <c r="AV1002" s="2"/>
      <c r="AW1002" s="2"/>
      <c r="AX1002" s="2"/>
      <c r="AY1002" s="2">
        <v>41</v>
      </c>
      <c r="AZ1002" s="2" t="s">
        <v>82</v>
      </c>
      <c r="BA1002" s="2">
        <v>41</v>
      </c>
      <c r="BB1002" s="2" t="s">
        <v>82</v>
      </c>
      <c r="BC1002" s="2">
        <v>41</v>
      </c>
      <c r="BD1002" s="2" t="s">
        <v>82</v>
      </c>
      <c r="BE1002" s="2">
        <v>41</v>
      </c>
      <c r="BF1002" s="2" t="s">
        <v>82</v>
      </c>
      <c r="BG1002" s="2"/>
      <c r="BH1002" s="2"/>
      <c r="BI1002" s="2"/>
      <c r="BJ1002" s="2">
        <v>241</v>
      </c>
      <c r="BK1002" s="2" t="s">
        <v>82</v>
      </c>
      <c r="BL1002" s="2"/>
      <c r="BM1002" s="2">
        <v>241</v>
      </c>
      <c r="BN1002" s="2" t="s">
        <v>82</v>
      </c>
      <c r="BO1002" s="2"/>
      <c r="BP1002" s="2">
        <v>241</v>
      </c>
      <c r="BQ1002" s="2" t="s">
        <v>82</v>
      </c>
      <c r="BR1002" s="2"/>
      <c r="BS1002" s="3">
        <v>40253</v>
      </c>
      <c r="BT1002" s="4">
        <v>0.13503472222222221</v>
      </c>
    </row>
    <row r="1003" spans="1:72" x14ac:dyDescent="0.25">
      <c r="A1003" s="2">
        <v>1547</v>
      </c>
      <c r="B1003" s="2">
        <v>2010</v>
      </c>
      <c r="C1003" s="2" t="s">
        <v>171</v>
      </c>
      <c r="D1003" s="2" t="s">
        <v>122</v>
      </c>
      <c r="E1003" s="2" t="s">
        <v>3861</v>
      </c>
      <c r="F1003" s="2">
        <v>158</v>
      </c>
      <c r="G1003" s="2" t="s">
        <v>3026</v>
      </c>
      <c r="H1003" s="2">
        <v>17</v>
      </c>
      <c r="I1003" s="2" t="s">
        <v>3602</v>
      </c>
      <c r="J1003" s="2">
        <v>164</v>
      </c>
      <c r="K1003" s="2" t="s">
        <v>3254</v>
      </c>
      <c r="L1003" s="2" t="s">
        <v>946</v>
      </c>
      <c r="M1003" s="3">
        <v>40253</v>
      </c>
      <c r="N1003" s="2" t="s">
        <v>3837</v>
      </c>
      <c r="O1003" s="2" t="s">
        <v>107</v>
      </c>
      <c r="P1003" s="2" t="s">
        <v>107</v>
      </c>
      <c r="Q1003" s="2" t="str">
        <f>"101-A/10"</f>
        <v>101-A/10</v>
      </c>
      <c r="R1003" s="2" t="s">
        <v>107</v>
      </c>
      <c r="S1003" s="2" t="s">
        <v>1035</v>
      </c>
      <c r="T1003" s="2">
        <v>1</v>
      </c>
      <c r="U1003" s="2" t="s">
        <v>79</v>
      </c>
      <c r="V1003" s="2">
        <v>1</v>
      </c>
      <c r="W1003" s="2" t="s">
        <v>80</v>
      </c>
      <c r="X1003" s="2">
        <v>1</v>
      </c>
      <c r="Y1003" s="2" t="s">
        <v>81</v>
      </c>
      <c r="Z1003" s="2">
        <v>1</v>
      </c>
      <c r="AA1003" s="2" t="s">
        <v>82</v>
      </c>
      <c r="AB1003" s="2">
        <v>1</v>
      </c>
      <c r="AC1003" s="2" t="s">
        <v>178</v>
      </c>
      <c r="AD1003" s="3">
        <v>40252</v>
      </c>
      <c r="AE1003" s="4">
        <v>0.54861111111111105</v>
      </c>
      <c r="AF1003" s="2"/>
      <c r="AG1003" s="2"/>
      <c r="AH1003" s="2">
        <v>2</v>
      </c>
      <c r="AI1003" s="2" t="s">
        <v>84</v>
      </c>
      <c r="AJ1003" s="2">
        <v>12</v>
      </c>
      <c r="AK1003" s="2" t="s">
        <v>85</v>
      </c>
      <c r="AL1003" s="2">
        <v>11</v>
      </c>
      <c r="AM1003" s="2" t="s">
        <v>137</v>
      </c>
      <c r="AN1003" s="2" t="s">
        <v>3862</v>
      </c>
      <c r="AO1003" s="2" t="s">
        <v>1059</v>
      </c>
      <c r="AP1003" s="2">
        <v>11</v>
      </c>
      <c r="AQ1003" s="2" t="s">
        <v>82</v>
      </c>
      <c r="AR1003" s="2" t="s">
        <v>82</v>
      </c>
      <c r="AS1003" s="2" t="s">
        <v>82</v>
      </c>
      <c r="AT1003" s="2" t="s">
        <v>3863</v>
      </c>
      <c r="AU1003" s="2">
        <v>1</v>
      </c>
      <c r="AV1003" s="2"/>
      <c r="AW1003" s="2"/>
      <c r="AX1003" s="2"/>
      <c r="AY1003" s="2">
        <v>41</v>
      </c>
      <c r="AZ1003" s="2" t="s">
        <v>82</v>
      </c>
      <c r="BA1003" s="2">
        <v>41</v>
      </c>
      <c r="BB1003" s="2" t="s">
        <v>82</v>
      </c>
      <c r="BC1003" s="2">
        <v>41</v>
      </c>
      <c r="BD1003" s="2" t="s">
        <v>82</v>
      </c>
      <c r="BE1003" s="2">
        <v>10</v>
      </c>
      <c r="BF1003" s="2" t="s">
        <v>901</v>
      </c>
      <c r="BG1003" s="2">
        <v>8108</v>
      </c>
      <c r="BH1003" s="4">
        <v>0.63888888888888895</v>
      </c>
      <c r="BI1003" s="4">
        <v>0.60416666666666663</v>
      </c>
      <c r="BJ1003" s="2">
        <v>13</v>
      </c>
      <c r="BK1003" s="2" t="s">
        <v>91</v>
      </c>
      <c r="BL1003" s="2" t="s">
        <v>185</v>
      </c>
      <c r="BM1003" s="2">
        <v>241</v>
      </c>
      <c r="BN1003" s="2" t="s">
        <v>82</v>
      </c>
      <c r="BO1003" s="2" t="s">
        <v>82</v>
      </c>
      <c r="BP1003" s="2">
        <v>229</v>
      </c>
      <c r="BQ1003" s="2" t="s">
        <v>300</v>
      </c>
      <c r="BR1003" s="2" t="s">
        <v>301</v>
      </c>
      <c r="BS1003" s="3">
        <v>40253</v>
      </c>
      <c r="BT1003" s="4">
        <v>0.25187500000000002</v>
      </c>
    </row>
    <row r="1004" spans="1:72" x14ac:dyDescent="0.25">
      <c r="A1004" s="2">
        <v>1548</v>
      </c>
      <c r="B1004" s="2">
        <v>2010</v>
      </c>
      <c r="C1004" s="2" t="s">
        <v>171</v>
      </c>
      <c r="D1004" s="2" t="s">
        <v>122</v>
      </c>
      <c r="E1004" s="2" t="s">
        <v>3864</v>
      </c>
      <c r="F1004" s="2">
        <v>158</v>
      </c>
      <c r="G1004" s="2" t="s">
        <v>3026</v>
      </c>
      <c r="H1004" s="2">
        <v>17</v>
      </c>
      <c r="I1004" s="2" t="s">
        <v>3602</v>
      </c>
      <c r="J1004" s="2">
        <v>451</v>
      </c>
      <c r="K1004" s="2" t="s">
        <v>3028</v>
      </c>
      <c r="L1004" s="2" t="s">
        <v>3029</v>
      </c>
      <c r="M1004" s="3">
        <v>40253</v>
      </c>
      <c r="N1004" s="2" t="s">
        <v>3686</v>
      </c>
      <c r="O1004" s="2" t="s">
        <v>82</v>
      </c>
      <c r="P1004" s="2" t="s">
        <v>82</v>
      </c>
      <c r="Q1004" s="2" t="str">
        <f>"102-A/10"</f>
        <v>102-A/10</v>
      </c>
      <c r="R1004" s="2" t="s">
        <v>1035</v>
      </c>
      <c r="S1004" s="2" t="s">
        <v>82</v>
      </c>
      <c r="T1004" s="2">
        <v>1</v>
      </c>
      <c r="U1004" s="2" t="s">
        <v>79</v>
      </c>
      <c r="V1004" s="2">
        <v>1</v>
      </c>
      <c r="W1004" s="2" t="s">
        <v>80</v>
      </c>
      <c r="X1004" s="2">
        <v>1</v>
      </c>
      <c r="Y1004" s="2" t="s">
        <v>81</v>
      </c>
      <c r="Z1004" s="2">
        <v>1</v>
      </c>
      <c r="AA1004" s="2" t="s">
        <v>82</v>
      </c>
      <c r="AB1004" s="2">
        <v>1</v>
      </c>
      <c r="AC1004" s="2" t="s">
        <v>178</v>
      </c>
      <c r="AD1004" s="3">
        <v>40252</v>
      </c>
      <c r="AE1004" s="4">
        <v>0.75</v>
      </c>
      <c r="AF1004" s="2"/>
      <c r="AG1004" s="2"/>
      <c r="AH1004" s="2">
        <v>2</v>
      </c>
      <c r="AI1004" s="2" t="s">
        <v>84</v>
      </c>
      <c r="AJ1004" s="2">
        <v>12</v>
      </c>
      <c r="AK1004" s="2" t="s">
        <v>85</v>
      </c>
      <c r="AL1004" s="2">
        <v>11</v>
      </c>
      <c r="AM1004" s="2" t="s">
        <v>137</v>
      </c>
      <c r="AN1004" s="2" t="s">
        <v>107</v>
      </c>
      <c r="AO1004" s="2" t="s">
        <v>1424</v>
      </c>
      <c r="AP1004" s="2">
        <v>11</v>
      </c>
      <c r="AQ1004" s="2" t="s">
        <v>82</v>
      </c>
      <c r="AR1004" s="2" t="s">
        <v>82</v>
      </c>
      <c r="AS1004" s="2" t="s">
        <v>82</v>
      </c>
      <c r="AT1004" s="2" t="s">
        <v>3865</v>
      </c>
      <c r="AU1004" s="2">
        <v>1</v>
      </c>
      <c r="AV1004" s="2"/>
      <c r="AW1004" s="2"/>
      <c r="AX1004" s="2"/>
      <c r="AY1004" s="2">
        <v>41</v>
      </c>
      <c r="AZ1004" s="2" t="s">
        <v>82</v>
      </c>
      <c r="BA1004" s="2">
        <v>41</v>
      </c>
      <c r="BB1004" s="2" t="s">
        <v>82</v>
      </c>
      <c r="BC1004" s="2">
        <v>41</v>
      </c>
      <c r="BD1004" s="2" t="s">
        <v>82</v>
      </c>
      <c r="BE1004" s="2">
        <v>13</v>
      </c>
      <c r="BF1004" s="2" t="s">
        <v>108</v>
      </c>
      <c r="BG1004" s="2" t="s">
        <v>3866</v>
      </c>
      <c r="BH1004" s="4">
        <v>0.70486111111111116</v>
      </c>
      <c r="BI1004" s="4">
        <v>0.62152777777777779</v>
      </c>
      <c r="BJ1004" s="2">
        <v>13</v>
      </c>
      <c r="BK1004" s="2" t="s">
        <v>91</v>
      </c>
      <c r="BL1004" s="2" t="s">
        <v>185</v>
      </c>
      <c r="BM1004" s="2">
        <v>241</v>
      </c>
      <c r="BN1004" s="2" t="s">
        <v>82</v>
      </c>
      <c r="BO1004" s="2" t="s">
        <v>82</v>
      </c>
      <c r="BP1004" s="2">
        <v>13</v>
      </c>
      <c r="BQ1004" s="2" t="s">
        <v>91</v>
      </c>
      <c r="BR1004" s="2" t="s">
        <v>204</v>
      </c>
      <c r="BS1004" s="3">
        <v>40253</v>
      </c>
      <c r="BT1004" s="4">
        <v>0.25686342592592593</v>
      </c>
    </row>
    <row r="1005" spans="1:72" x14ac:dyDescent="0.25">
      <c r="A1005" s="2">
        <v>1549</v>
      </c>
      <c r="B1005" s="2">
        <v>2010</v>
      </c>
      <c r="C1005" s="2" t="s">
        <v>72</v>
      </c>
      <c r="D1005" s="2" t="s">
        <v>73</v>
      </c>
      <c r="E1005" s="2"/>
      <c r="F1005" s="2">
        <v>527</v>
      </c>
      <c r="G1005" s="2" t="s">
        <v>3867</v>
      </c>
      <c r="H1005" s="2">
        <v>42</v>
      </c>
      <c r="I1005" s="2" t="s">
        <v>1096</v>
      </c>
      <c r="J1005" s="2">
        <v>456</v>
      </c>
      <c r="K1005" s="2" t="s">
        <v>3868</v>
      </c>
      <c r="L1005" s="2" t="s">
        <v>2518</v>
      </c>
      <c r="M1005" s="3">
        <v>40253</v>
      </c>
      <c r="N1005" s="2" t="s">
        <v>3869</v>
      </c>
      <c r="O1005" s="2" t="s">
        <v>107</v>
      </c>
      <c r="P1005" s="2" t="s">
        <v>107</v>
      </c>
      <c r="Q1005" s="2" t="str">
        <f>"103-A/10"</f>
        <v>103-A/10</v>
      </c>
      <c r="R1005" s="2" t="s">
        <v>78</v>
      </c>
      <c r="S1005" s="2" t="s">
        <v>107</v>
      </c>
      <c r="T1005" s="2">
        <v>1</v>
      </c>
      <c r="U1005" s="2" t="s">
        <v>79</v>
      </c>
      <c r="V1005" s="2">
        <v>1</v>
      </c>
      <c r="W1005" s="2" t="s">
        <v>80</v>
      </c>
      <c r="X1005" s="2">
        <v>1</v>
      </c>
      <c r="Y1005" s="2" t="s">
        <v>81</v>
      </c>
      <c r="Z1005" s="2">
        <v>1</v>
      </c>
      <c r="AA1005" s="2" t="s">
        <v>82</v>
      </c>
      <c r="AB1005" s="2">
        <v>6</v>
      </c>
      <c r="AC1005" s="2" t="s">
        <v>83</v>
      </c>
      <c r="AD1005" s="3">
        <v>40251</v>
      </c>
      <c r="AE1005" s="4">
        <v>0.51388888888888895</v>
      </c>
      <c r="AF1005" s="3">
        <v>40252</v>
      </c>
      <c r="AG1005" s="4">
        <v>0.875</v>
      </c>
      <c r="AH1005" s="2">
        <v>2</v>
      </c>
      <c r="AI1005" s="2" t="s">
        <v>84</v>
      </c>
      <c r="AJ1005" s="2">
        <v>12</v>
      </c>
      <c r="AK1005" s="2" t="s">
        <v>85</v>
      </c>
      <c r="AL1005" s="2">
        <v>21</v>
      </c>
      <c r="AM1005" s="2" t="s">
        <v>1311</v>
      </c>
      <c r="AN1005" s="2" t="s">
        <v>3870</v>
      </c>
      <c r="AO1005" s="2"/>
      <c r="AP1005" s="2">
        <v>11</v>
      </c>
      <c r="AQ1005" s="2" t="s">
        <v>82</v>
      </c>
      <c r="AR1005" s="2"/>
      <c r="AS1005" s="2"/>
      <c r="AT1005" s="2" t="s">
        <v>3871</v>
      </c>
      <c r="AU1005" s="2"/>
      <c r="AV1005" s="2"/>
      <c r="AW1005" s="2"/>
      <c r="AX1005" s="2"/>
      <c r="AY1005" s="2">
        <v>41</v>
      </c>
      <c r="AZ1005" s="2" t="s">
        <v>82</v>
      </c>
      <c r="BA1005" s="2">
        <v>41</v>
      </c>
      <c r="BB1005" s="2" t="s">
        <v>82</v>
      </c>
      <c r="BC1005" s="2">
        <v>41</v>
      </c>
      <c r="BD1005" s="2" t="s">
        <v>82</v>
      </c>
      <c r="BE1005" s="2">
        <v>4</v>
      </c>
      <c r="BF1005" s="2" t="s">
        <v>90</v>
      </c>
      <c r="BG1005" s="2" t="s">
        <v>3872</v>
      </c>
      <c r="BH1005" s="4">
        <v>0.49305555555555558</v>
      </c>
      <c r="BI1005" s="4">
        <v>0.40625</v>
      </c>
      <c r="BJ1005" s="2">
        <v>13</v>
      </c>
      <c r="BK1005" s="2" t="s">
        <v>91</v>
      </c>
      <c r="BL1005" s="2" t="s">
        <v>241</v>
      </c>
      <c r="BM1005" s="2">
        <v>241</v>
      </c>
      <c r="BN1005" s="2" t="s">
        <v>82</v>
      </c>
      <c r="BO1005" s="2"/>
      <c r="BP1005" s="2">
        <v>13</v>
      </c>
      <c r="BQ1005" s="2" t="s">
        <v>91</v>
      </c>
      <c r="BR1005" s="2" t="s">
        <v>185</v>
      </c>
      <c r="BS1005" s="3">
        <v>40253</v>
      </c>
      <c r="BT1005" s="4">
        <v>0.29138888888888886</v>
      </c>
    </row>
    <row r="1006" spans="1:72" x14ac:dyDescent="0.25">
      <c r="A1006" s="2">
        <v>1550</v>
      </c>
      <c r="B1006" s="2">
        <v>2010</v>
      </c>
      <c r="C1006" s="2" t="s">
        <v>72</v>
      </c>
      <c r="D1006" s="2" t="s">
        <v>122</v>
      </c>
      <c r="E1006" s="2" t="s">
        <v>3873</v>
      </c>
      <c r="F1006" s="2">
        <v>2</v>
      </c>
      <c r="G1006" s="2" t="s">
        <v>113</v>
      </c>
      <c r="H1006" s="2">
        <v>42</v>
      </c>
      <c r="I1006" s="2" t="s">
        <v>1096</v>
      </c>
      <c r="J1006" s="2">
        <v>300</v>
      </c>
      <c r="K1006" s="2" t="s">
        <v>114</v>
      </c>
      <c r="L1006" s="2" t="s">
        <v>115</v>
      </c>
      <c r="M1006" s="3">
        <v>40253</v>
      </c>
      <c r="N1006" s="2"/>
      <c r="O1006" s="2"/>
      <c r="P1006" s="2"/>
      <c r="Q1006" s="2" t="str">
        <f>"141-E/10"</f>
        <v>141-E/10</v>
      </c>
      <c r="R1006" s="2" t="s">
        <v>671</v>
      </c>
      <c r="S1006" s="2"/>
      <c r="T1006" s="2">
        <v>1</v>
      </c>
      <c r="U1006" s="2" t="s">
        <v>79</v>
      </c>
      <c r="V1006" s="2">
        <v>1</v>
      </c>
      <c r="W1006" s="2" t="s">
        <v>80</v>
      </c>
      <c r="X1006" s="2">
        <v>1</v>
      </c>
      <c r="Y1006" s="2" t="s">
        <v>81</v>
      </c>
      <c r="Z1006" s="2">
        <v>1</v>
      </c>
      <c r="AA1006" s="2" t="s">
        <v>82</v>
      </c>
      <c r="AB1006" s="2">
        <v>6</v>
      </c>
      <c r="AC1006" s="2" t="s">
        <v>83</v>
      </c>
      <c r="AD1006" s="3">
        <v>40252</v>
      </c>
      <c r="AE1006" s="4">
        <v>0.4465277777777778</v>
      </c>
      <c r="AF1006" s="3">
        <v>40252</v>
      </c>
      <c r="AG1006" s="4">
        <v>0.4513888888888889</v>
      </c>
      <c r="AH1006" s="2">
        <v>2</v>
      </c>
      <c r="AI1006" s="2" t="s">
        <v>84</v>
      </c>
      <c r="AJ1006" s="2">
        <v>9</v>
      </c>
      <c r="AK1006" s="2" t="s">
        <v>103</v>
      </c>
      <c r="AL1006" s="2">
        <v>12</v>
      </c>
      <c r="AM1006" s="2" t="s">
        <v>86</v>
      </c>
      <c r="AN1006" s="2" t="s">
        <v>3874</v>
      </c>
      <c r="AO1006" s="2"/>
      <c r="AP1006" s="2">
        <v>11</v>
      </c>
      <c r="AQ1006" s="2" t="s">
        <v>82</v>
      </c>
      <c r="AR1006" s="2"/>
      <c r="AS1006" s="2"/>
      <c r="AT1006" s="2" t="s">
        <v>3875</v>
      </c>
      <c r="AU1006" s="2"/>
      <c r="AV1006" s="2"/>
      <c r="AW1006" s="2">
        <v>1</v>
      </c>
      <c r="AX1006" s="2"/>
      <c r="AY1006" s="2">
        <v>41</v>
      </c>
      <c r="AZ1006" s="2" t="s">
        <v>82</v>
      </c>
      <c r="BA1006" s="2">
        <v>41</v>
      </c>
      <c r="BB1006" s="2" t="s">
        <v>82</v>
      </c>
      <c r="BC1006" s="2">
        <v>41</v>
      </c>
      <c r="BD1006" s="2" t="s">
        <v>82</v>
      </c>
      <c r="BE1006" s="2">
        <v>31</v>
      </c>
      <c r="BF1006" s="2" t="s">
        <v>398</v>
      </c>
      <c r="BG1006" s="2">
        <v>6843</v>
      </c>
      <c r="BH1006" s="4">
        <v>0.39444444444444443</v>
      </c>
      <c r="BI1006" s="2"/>
      <c r="BJ1006" s="2">
        <v>73</v>
      </c>
      <c r="BK1006" s="2" t="s">
        <v>186</v>
      </c>
      <c r="BL1006" s="2" t="s">
        <v>398</v>
      </c>
      <c r="BM1006" s="2">
        <v>241</v>
      </c>
      <c r="BN1006" s="2" t="s">
        <v>82</v>
      </c>
      <c r="BO1006" s="2"/>
      <c r="BP1006" s="2">
        <v>13</v>
      </c>
      <c r="BQ1006" s="2" t="s">
        <v>91</v>
      </c>
      <c r="BR1006" s="2" t="s">
        <v>185</v>
      </c>
      <c r="BS1006" s="3">
        <v>40253</v>
      </c>
      <c r="BT1006" s="4">
        <v>0.31892361111111112</v>
      </c>
    </row>
    <row r="1007" spans="1:72" x14ac:dyDescent="0.25">
      <c r="A1007" s="2">
        <v>1551</v>
      </c>
      <c r="B1007" s="2">
        <v>2010</v>
      </c>
      <c r="C1007" s="2" t="s">
        <v>409</v>
      </c>
      <c r="D1007" s="2" t="s">
        <v>122</v>
      </c>
      <c r="E1007" s="2" t="s">
        <v>3801</v>
      </c>
      <c r="F1007" s="2">
        <v>470</v>
      </c>
      <c r="G1007" s="2" t="s">
        <v>2979</v>
      </c>
      <c r="H1007" s="2">
        <v>2</v>
      </c>
      <c r="I1007" s="2" t="s">
        <v>267</v>
      </c>
      <c r="J1007" s="2">
        <v>371</v>
      </c>
      <c r="K1007" s="2" t="s">
        <v>1138</v>
      </c>
      <c r="L1007" s="2" t="s">
        <v>1139</v>
      </c>
      <c r="M1007" s="3">
        <v>40253</v>
      </c>
      <c r="N1007" s="2" t="s">
        <v>2980</v>
      </c>
      <c r="O1007" s="2" t="s">
        <v>2981</v>
      </c>
      <c r="P1007" s="2"/>
      <c r="Q1007" s="2" t="str">
        <f>"024 10"</f>
        <v>024 10</v>
      </c>
      <c r="R1007" s="2"/>
      <c r="S1007" s="2"/>
      <c r="T1007" s="2">
        <v>1</v>
      </c>
      <c r="U1007" s="2" t="s">
        <v>79</v>
      </c>
      <c r="V1007" s="2">
        <v>1</v>
      </c>
      <c r="W1007" s="2" t="s">
        <v>80</v>
      </c>
      <c r="X1007" s="2">
        <v>5</v>
      </c>
      <c r="Y1007" s="2" t="s">
        <v>82</v>
      </c>
      <c r="Z1007" s="2">
        <v>10</v>
      </c>
      <c r="AA1007" s="2" t="s">
        <v>236</v>
      </c>
      <c r="AB1007" s="2">
        <v>9</v>
      </c>
      <c r="AC1007" s="2" t="s">
        <v>124</v>
      </c>
      <c r="AD1007" s="3">
        <v>40253</v>
      </c>
      <c r="AE1007" s="4">
        <v>0.33333333333333331</v>
      </c>
      <c r="AF1007" s="2"/>
      <c r="AG1007" s="2"/>
      <c r="AH1007" s="2">
        <v>5</v>
      </c>
      <c r="AI1007" s="2" t="s">
        <v>274</v>
      </c>
      <c r="AJ1007" s="2">
        <v>38</v>
      </c>
      <c r="AK1007" s="2" t="s">
        <v>1120</v>
      </c>
      <c r="AL1007" s="2">
        <v>18</v>
      </c>
      <c r="AM1007" s="2" t="s">
        <v>82</v>
      </c>
      <c r="AN1007" s="2"/>
      <c r="AO1007" s="2" t="s">
        <v>3876</v>
      </c>
      <c r="AP1007" s="2">
        <v>11</v>
      </c>
      <c r="AQ1007" s="2" t="s">
        <v>82</v>
      </c>
      <c r="AR1007" s="2"/>
      <c r="AS1007" s="2"/>
      <c r="AT1007" s="2" t="s">
        <v>3877</v>
      </c>
      <c r="AU1007" s="2"/>
      <c r="AV1007" s="2"/>
      <c r="AW1007" s="2"/>
      <c r="AX1007" s="2"/>
      <c r="AY1007" s="2">
        <v>41</v>
      </c>
      <c r="AZ1007" s="2" t="s">
        <v>82</v>
      </c>
      <c r="BA1007" s="2">
        <v>41</v>
      </c>
      <c r="BB1007" s="2" t="s">
        <v>82</v>
      </c>
      <c r="BC1007" s="2">
        <v>41</v>
      </c>
      <c r="BD1007" s="2" t="s">
        <v>82</v>
      </c>
      <c r="BE1007" s="2">
        <v>41</v>
      </c>
      <c r="BF1007" s="2" t="s">
        <v>82</v>
      </c>
      <c r="BG1007" s="2"/>
      <c r="BH1007" s="2"/>
      <c r="BI1007" s="2"/>
      <c r="BJ1007" s="2">
        <v>13</v>
      </c>
      <c r="BK1007" s="2" t="s">
        <v>91</v>
      </c>
      <c r="BL1007" s="2"/>
      <c r="BM1007" s="2">
        <v>241</v>
      </c>
      <c r="BN1007" s="2" t="s">
        <v>82</v>
      </c>
      <c r="BO1007" s="2" t="s">
        <v>82</v>
      </c>
      <c r="BP1007" s="2">
        <v>241</v>
      </c>
      <c r="BQ1007" s="2" t="s">
        <v>82</v>
      </c>
      <c r="BR1007" s="2"/>
      <c r="BS1007" s="3">
        <v>40253</v>
      </c>
      <c r="BT1007" s="4">
        <v>0.3406481481481482</v>
      </c>
    </row>
    <row r="1008" spans="1:72" x14ac:dyDescent="0.25">
      <c r="A1008" s="2">
        <v>1553</v>
      </c>
      <c r="B1008" s="2">
        <v>2010</v>
      </c>
      <c r="C1008" s="2" t="s">
        <v>72</v>
      </c>
      <c r="D1008" s="2" t="s">
        <v>73</v>
      </c>
      <c r="E1008" s="2"/>
      <c r="F1008" s="2">
        <v>527</v>
      </c>
      <c r="G1008" s="2" t="s">
        <v>3867</v>
      </c>
      <c r="H1008" s="2">
        <v>42</v>
      </c>
      <c r="I1008" s="2" t="s">
        <v>1096</v>
      </c>
      <c r="J1008" s="2">
        <v>456</v>
      </c>
      <c r="K1008" s="2" t="s">
        <v>3868</v>
      </c>
      <c r="L1008" s="2" t="s">
        <v>2518</v>
      </c>
      <c r="M1008" s="3">
        <v>40253</v>
      </c>
      <c r="N1008" s="2" t="s">
        <v>3869</v>
      </c>
      <c r="O1008" s="2" t="s">
        <v>107</v>
      </c>
      <c r="P1008" s="2" t="s">
        <v>107</v>
      </c>
      <c r="Q1008" s="2" t="str">
        <f>"104-A/10"</f>
        <v>104-A/10</v>
      </c>
      <c r="R1008" s="2" t="s">
        <v>107</v>
      </c>
      <c r="S1008" s="2" t="s">
        <v>78</v>
      </c>
      <c r="T1008" s="2">
        <v>1</v>
      </c>
      <c r="U1008" s="2" t="s">
        <v>79</v>
      </c>
      <c r="V1008" s="2">
        <v>1</v>
      </c>
      <c r="W1008" s="2" t="s">
        <v>80</v>
      </c>
      <c r="X1008" s="2">
        <v>1</v>
      </c>
      <c r="Y1008" s="2" t="s">
        <v>81</v>
      </c>
      <c r="Z1008" s="2">
        <v>1</v>
      </c>
      <c r="AA1008" s="2" t="s">
        <v>82</v>
      </c>
      <c r="AB1008" s="2">
        <v>6</v>
      </c>
      <c r="AC1008" s="2" t="s">
        <v>83</v>
      </c>
      <c r="AD1008" s="3">
        <v>40252</v>
      </c>
      <c r="AE1008" s="2"/>
      <c r="AF1008" s="3">
        <v>40253</v>
      </c>
      <c r="AG1008" s="4">
        <v>0.12847222222222224</v>
      </c>
      <c r="AH1008" s="2">
        <v>2</v>
      </c>
      <c r="AI1008" s="2" t="s">
        <v>84</v>
      </c>
      <c r="AJ1008" s="2">
        <v>12</v>
      </c>
      <c r="AK1008" s="2" t="s">
        <v>85</v>
      </c>
      <c r="AL1008" s="2">
        <v>12</v>
      </c>
      <c r="AM1008" s="2" t="s">
        <v>86</v>
      </c>
      <c r="AN1008" s="2" t="s">
        <v>3878</v>
      </c>
      <c r="AO1008" s="2" t="s">
        <v>3879</v>
      </c>
      <c r="AP1008" s="2">
        <v>11</v>
      </c>
      <c r="AQ1008" s="2" t="s">
        <v>82</v>
      </c>
      <c r="AR1008" s="2" t="s">
        <v>82</v>
      </c>
      <c r="AS1008" s="2" t="s">
        <v>82</v>
      </c>
      <c r="AT1008" s="2" t="s">
        <v>3880</v>
      </c>
      <c r="AU1008" s="2"/>
      <c r="AV1008" s="2"/>
      <c r="AW1008" s="2"/>
      <c r="AX1008" s="2"/>
      <c r="AY1008" s="2">
        <v>41</v>
      </c>
      <c r="AZ1008" s="2" t="s">
        <v>82</v>
      </c>
      <c r="BA1008" s="2">
        <v>41</v>
      </c>
      <c r="BB1008" s="2" t="s">
        <v>82</v>
      </c>
      <c r="BC1008" s="2">
        <v>41</v>
      </c>
      <c r="BD1008" s="2" t="s">
        <v>82</v>
      </c>
      <c r="BE1008" s="2">
        <v>13</v>
      </c>
      <c r="BF1008" s="2" t="s">
        <v>108</v>
      </c>
      <c r="BG1008" s="2">
        <v>1212</v>
      </c>
      <c r="BH1008" s="4">
        <v>0.92013888888888884</v>
      </c>
      <c r="BI1008" s="4">
        <v>0.86458333333333337</v>
      </c>
      <c r="BJ1008" s="2">
        <v>13</v>
      </c>
      <c r="BK1008" s="2" t="s">
        <v>91</v>
      </c>
      <c r="BL1008" s="2" t="s">
        <v>185</v>
      </c>
      <c r="BM1008" s="2">
        <v>241</v>
      </c>
      <c r="BN1008" s="2" t="s">
        <v>82</v>
      </c>
      <c r="BO1008" s="2" t="s">
        <v>82</v>
      </c>
      <c r="BP1008" s="2">
        <v>229</v>
      </c>
      <c r="BQ1008" s="2" t="s">
        <v>300</v>
      </c>
      <c r="BR1008" s="2" t="s">
        <v>573</v>
      </c>
      <c r="BS1008" s="3">
        <v>40253</v>
      </c>
      <c r="BT1008" s="4">
        <v>0.41858796296296297</v>
      </c>
    </row>
    <row r="1009" spans="1:72" x14ac:dyDescent="0.25">
      <c r="A1009" s="2">
        <v>1554</v>
      </c>
      <c r="B1009" s="2">
        <v>2010</v>
      </c>
      <c r="C1009" s="2" t="s">
        <v>414</v>
      </c>
      <c r="D1009" s="2" t="s">
        <v>122</v>
      </c>
      <c r="E1009" s="2"/>
      <c r="F1009" s="2">
        <v>1</v>
      </c>
      <c r="G1009" s="2" t="s">
        <v>82</v>
      </c>
      <c r="H1009" s="2">
        <v>1</v>
      </c>
      <c r="I1009" s="2" t="s">
        <v>82</v>
      </c>
      <c r="J1009" s="2">
        <v>1</v>
      </c>
      <c r="K1009" s="2" t="s">
        <v>107</v>
      </c>
      <c r="L1009" s="2" t="s">
        <v>107</v>
      </c>
      <c r="M1009" s="3">
        <v>40253</v>
      </c>
      <c r="N1009" s="2"/>
      <c r="O1009" s="2"/>
      <c r="P1009" s="2"/>
      <c r="Q1009" s="2" t="str">
        <f>""</f>
        <v/>
      </c>
      <c r="R1009" s="2"/>
      <c r="S1009" s="2"/>
      <c r="T1009" s="2">
        <v>1</v>
      </c>
      <c r="U1009" s="2" t="s">
        <v>79</v>
      </c>
      <c r="V1009" s="2">
        <v>1</v>
      </c>
      <c r="W1009" s="2" t="s">
        <v>80</v>
      </c>
      <c r="X1009" s="2">
        <v>5</v>
      </c>
      <c r="Y1009" s="2" t="s">
        <v>82</v>
      </c>
      <c r="Z1009" s="2">
        <v>1</v>
      </c>
      <c r="AA1009" s="2" t="s">
        <v>82</v>
      </c>
      <c r="AB1009" s="2">
        <v>9</v>
      </c>
      <c r="AC1009" s="2" t="s">
        <v>124</v>
      </c>
      <c r="AD1009" s="3">
        <v>40253</v>
      </c>
      <c r="AE1009" s="4">
        <v>0.41666666666666669</v>
      </c>
      <c r="AF1009" s="2"/>
      <c r="AG1009" s="2"/>
      <c r="AH1009" s="2">
        <v>2</v>
      </c>
      <c r="AI1009" s="2" t="s">
        <v>84</v>
      </c>
      <c r="AJ1009" s="2">
        <v>11</v>
      </c>
      <c r="AK1009" s="2" t="s">
        <v>751</v>
      </c>
      <c r="AL1009" s="2">
        <v>7</v>
      </c>
      <c r="AM1009" s="2" t="s">
        <v>1450</v>
      </c>
      <c r="AN1009" s="2" t="s">
        <v>3881</v>
      </c>
      <c r="AO1009" s="2"/>
      <c r="AP1009" s="2">
        <v>11</v>
      </c>
      <c r="AQ1009" s="2" t="s">
        <v>82</v>
      </c>
      <c r="AR1009" s="2"/>
      <c r="AS1009" s="2"/>
      <c r="AT1009" s="2" t="s">
        <v>3882</v>
      </c>
      <c r="AU1009" s="2"/>
      <c r="AV1009" s="2"/>
      <c r="AW1009" s="2"/>
      <c r="AX1009" s="2"/>
      <c r="AY1009" s="2">
        <v>41</v>
      </c>
      <c r="AZ1009" s="2" t="s">
        <v>82</v>
      </c>
      <c r="BA1009" s="2">
        <v>41</v>
      </c>
      <c r="BB1009" s="2" t="s">
        <v>82</v>
      </c>
      <c r="BC1009" s="2">
        <v>41</v>
      </c>
      <c r="BD1009" s="2" t="s">
        <v>82</v>
      </c>
      <c r="BE1009" s="2">
        <v>41</v>
      </c>
      <c r="BF1009" s="2" t="s">
        <v>82</v>
      </c>
      <c r="BG1009" s="2"/>
      <c r="BH1009" s="2"/>
      <c r="BI1009" s="2"/>
      <c r="BJ1009" s="2">
        <v>241</v>
      </c>
      <c r="BK1009" s="2" t="s">
        <v>82</v>
      </c>
      <c r="BL1009" s="2"/>
      <c r="BM1009" s="2">
        <v>241</v>
      </c>
      <c r="BN1009" s="2" t="s">
        <v>82</v>
      </c>
      <c r="BO1009" s="2"/>
      <c r="BP1009" s="2">
        <v>241</v>
      </c>
      <c r="BQ1009" s="2" t="s">
        <v>82</v>
      </c>
      <c r="BR1009" s="2"/>
      <c r="BS1009" s="3">
        <v>40253</v>
      </c>
      <c r="BT1009" s="4">
        <v>0.46587962962962964</v>
      </c>
    </row>
    <row r="1010" spans="1:72" x14ac:dyDescent="0.25">
      <c r="A1010" s="2">
        <v>1555</v>
      </c>
      <c r="B1010" s="2">
        <v>2010</v>
      </c>
      <c r="C1010" s="2" t="s">
        <v>171</v>
      </c>
      <c r="D1010" s="2" t="s">
        <v>73</v>
      </c>
      <c r="E1010" s="2"/>
      <c r="F1010" s="2">
        <v>159</v>
      </c>
      <c r="G1010" s="2" t="s">
        <v>3883</v>
      </c>
      <c r="H1010" s="2">
        <v>18</v>
      </c>
      <c r="I1010" s="2" t="s">
        <v>3884</v>
      </c>
      <c r="J1010" s="2">
        <v>172</v>
      </c>
      <c r="K1010" s="2" t="s">
        <v>3885</v>
      </c>
      <c r="L1010" s="2" t="s">
        <v>3886</v>
      </c>
      <c r="M1010" s="3">
        <v>40253</v>
      </c>
      <c r="N1010" s="2" t="s">
        <v>3887</v>
      </c>
      <c r="O1010" s="2" t="s">
        <v>107</v>
      </c>
      <c r="P1010" s="2" t="s">
        <v>107</v>
      </c>
      <c r="Q1010" s="2" t="str">
        <f>"105-A/10"</f>
        <v>105-A/10</v>
      </c>
      <c r="R1010" s="2" t="s">
        <v>107</v>
      </c>
      <c r="S1010" s="2" t="s">
        <v>1035</v>
      </c>
      <c r="T1010" s="2">
        <v>1</v>
      </c>
      <c r="U1010" s="2" t="s">
        <v>79</v>
      </c>
      <c r="V1010" s="2">
        <v>1</v>
      </c>
      <c r="W1010" s="2" t="s">
        <v>80</v>
      </c>
      <c r="X1010" s="2">
        <v>1</v>
      </c>
      <c r="Y1010" s="2" t="s">
        <v>81</v>
      </c>
      <c r="Z1010" s="2">
        <v>1</v>
      </c>
      <c r="AA1010" s="2" t="s">
        <v>82</v>
      </c>
      <c r="AB1010" s="2">
        <v>1</v>
      </c>
      <c r="AC1010" s="2" t="s">
        <v>178</v>
      </c>
      <c r="AD1010" s="3">
        <v>40253</v>
      </c>
      <c r="AE1010" s="4">
        <v>0.23958333333333334</v>
      </c>
      <c r="AF1010" s="3">
        <v>40253</v>
      </c>
      <c r="AG1010" s="4">
        <v>0.31944444444444448</v>
      </c>
      <c r="AH1010" s="2">
        <v>2</v>
      </c>
      <c r="AI1010" s="2" t="s">
        <v>84</v>
      </c>
      <c r="AJ1010" s="2">
        <v>12</v>
      </c>
      <c r="AK1010" s="2" t="s">
        <v>85</v>
      </c>
      <c r="AL1010" s="2">
        <v>14</v>
      </c>
      <c r="AM1010" s="2" t="s">
        <v>216</v>
      </c>
      <c r="AN1010" s="2" t="s">
        <v>3841</v>
      </c>
      <c r="AO1010" s="2" t="s">
        <v>3888</v>
      </c>
      <c r="AP1010" s="2">
        <v>11</v>
      </c>
      <c r="AQ1010" s="2" t="s">
        <v>82</v>
      </c>
      <c r="AR1010" s="2"/>
      <c r="AS1010" s="2"/>
      <c r="AT1010" s="2" t="s">
        <v>3889</v>
      </c>
      <c r="AU1010" s="2">
        <v>1</v>
      </c>
      <c r="AV1010" s="2"/>
      <c r="AW1010" s="2"/>
      <c r="AX1010" s="2"/>
      <c r="AY1010" s="2">
        <v>41</v>
      </c>
      <c r="AZ1010" s="2" t="s">
        <v>82</v>
      </c>
      <c r="BA1010" s="2">
        <v>41</v>
      </c>
      <c r="BB1010" s="2" t="s">
        <v>82</v>
      </c>
      <c r="BC1010" s="2">
        <v>41</v>
      </c>
      <c r="BD1010" s="2" t="s">
        <v>82</v>
      </c>
      <c r="BE1010" s="2">
        <v>4</v>
      </c>
      <c r="BF1010" s="2" t="s">
        <v>90</v>
      </c>
      <c r="BG1010" s="2" t="s">
        <v>3890</v>
      </c>
      <c r="BH1010" s="4">
        <v>0.63194444444444442</v>
      </c>
      <c r="BI1010" s="4">
        <v>0.25694444444444448</v>
      </c>
      <c r="BJ1010" s="2">
        <v>13</v>
      </c>
      <c r="BK1010" s="2" t="s">
        <v>91</v>
      </c>
      <c r="BL1010" s="2" t="s">
        <v>3378</v>
      </c>
      <c r="BM1010" s="2">
        <v>241</v>
      </c>
      <c r="BN1010" s="2" t="s">
        <v>82</v>
      </c>
      <c r="BO1010" s="2" t="s">
        <v>82</v>
      </c>
      <c r="BP1010" s="2">
        <v>13</v>
      </c>
      <c r="BQ1010" s="2" t="s">
        <v>91</v>
      </c>
      <c r="BR1010" s="2" t="s">
        <v>204</v>
      </c>
      <c r="BS1010" s="3">
        <v>40253</v>
      </c>
      <c r="BT1010" s="4">
        <v>0.46820601851851856</v>
      </c>
    </row>
    <row r="1011" spans="1:72" x14ac:dyDescent="0.25">
      <c r="A1011" s="2">
        <v>1556</v>
      </c>
      <c r="B1011" s="2">
        <v>2010</v>
      </c>
      <c r="C1011" s="2" t="s">
        <v>255</v>
      </c>
      <c r="D1011" s="2" t="s">
        <v>73</v>
      </c>
      <c r="E1011" s="2"/>
      <c r="F1011" s="2">
        <v>45</v>
      </c>
      <c r="G1011" s="2" t="s">
        <v>1408</v>
      </c>
      <c r="H1011" s="2">
        <v>47</v>
      </c>
      <c r="I1011" s="2" t="s">
        <v>1409</v>
      </c>
      <c r="J1011" s="2">
        <v>77</v>
      </c>
      <c r="K1011" s="2" t="s">
        <v>2517</v>
      </c>
      <c r="L1011" s="2" t="s">
        <v>2518</v>
      </c>
      <c r="M1011" s="3">
        <v>40253</v>
      </c>
      <c r="N1011" s="2"/>
      <c r="O1011" s="2"/>
      <c r="P1011" s="2"/>
      <c r="Q1011" s="2" t="str">
        <f>"09/10"</f>
        <v>09/10</v>
      </c>
      <c r="R1011" s="2" t="s">
        <v>2926</v>
      </c>
      <c r="S1011" s="2" t="s">
        <v>2926</v>
      </c>
      <c r="T1011" s="2">
        <v>1</v>
      </c>
      <c r="U1011" s="2" t="s">
        <v>79</v>
      </c>
      <c r="V1011" s="2">
        <v>1</v>
      </c>
      <c r="W1011" s="2" t="s">
        <v>80</v>
      </c>
      <c r="X1011" s="2">
        <v>1</v>
      </c>
      <c r="Y1011" s="2" t="s">
        <v>81</v>
      </c>
      <c r="Z1011" s="2">
        <v>3</v>
      </c>
      <c r="AA1011" s="2" t="s">
        <v>257</v>
      </c>
      <c r="AB1011" s="2">
        <v>9</v>
      </c>
      <c r="AC1011" s="2" t="s">
        <v>124</v>
      </c>
      <c r="AD1011" s="3">
        <v>40253</v>
      </c>
      <c r="AE1011" s="4">
        <v>0.34027777777777773</v>
      </c>
      <c r="AF1011" s="3">
        <v>40253</v>
      </c>
      <c r="AG1011" s="4">
        <v>0.375</v>
      </c>
      <c r="AH1011" s="2">
        <v>4</v>
      </c>
      <c r="AI1011" s="2" t="s">
        <v>125</v>
      </c>
      <c r="AJ1011" s="2">
        <v>31</v>
      </c>
      <c r="AK1011" s="2" t="s">
        <v>1413</v>
      </c>
      <c r="AL1011" s="2">
        <v>9</v>
      </c>
      <c r="AM1011" s="2" t="s">
        <v>259</v>
      </c>
      <c r="AN1011" s="2" t="s">
        <v>3891</v>
      </c>
      <c r="AO1011" s="2"/>
      <c r="AP1011" s="2">
        <v>11</v>
      </c>
      <c r="AQ1011" s="2" t="s">
        <v>82</v>
      </c>
      <c r="AR1011" s="2"/>
      <c r="AS1011" s="2"/>
      <c r="AT1011" s="2" t="s">
        <v>3892</v>
      </c>
      <c r="AU1011" s="2"/>
      <c r="AV1011" s="2"/>
      <c r="AW1011" s="2"/>
      <c r="AX1011" s="2"/>
      <c r="AY1011" s="2">
        <v>44</v>
      </c>
      <c r="AZ1011" s="2" t="s">
        <v>262</v>
      </c>
      <c r="BA1011" s="2">
        <v>44</v>
      </c>
      <c r="BB1011" s="2" t="s">
        <v>262</v>
      </c>
      <c r="BC1011" s="2">
        <v>44</v>
      </c>
      <c r="BD1011" s="2" t="s">
        <v>262</v>
      </c>
      <c r="BE1011" s="2">
        <v>41</v>
      </c>
      <c r="BF1011" s="2" t="s">
        <v>82</v>
      </c>
      <c r="BG1011" s="2"/>
      <c r="BH1011" s="2"/>
      <c r="BI1011" s="2"/>
      <c r="BJ1011" s="2">
        <v>241</v>
      </c>
      <c r="BK1011" s="2" t="s">
        <v>82</v>
      </c>
      <c r="BL1011" s="2"/>
      <c r="BM1011" s="2">
        <v>241</v>
      </c>
      <c r="BN1011" s="2" t="s">
        <v>82</v>
      </c>
      <c r="BO1011" s="2"/>
      <c r="BP1011" s="2">
        <v>241</v>
      </c>
      <c r="BQ1011" s="2" t="s">
        <v>82</v>
      </c>
      <c r="BR1011" s="2"/>
      <c r="BS1011" s="3">
        <v>40253</v>
      </c>
      <c r="BT1011" s="4">
        <v>0.47792824074074075</v>
      </c>
    </row>
    <row r="1012" spans="1:72" x14ac:dyDescent="0.25">
      <c r="A1012" s="2">
        <v>1559</v>
      </c>
      <c r="B1012" s="2">
        <v>2010</v>
      </c>
      <c r="C1012" s="2" t="s">
        <v>2567</v>
      </c>
      <c r="D1012" s="2" t="s">
        <v>122</v>
      </c>
      <c r="E1012" s="2" t="s">
        <v>3893</v>
      </c>
      <c r="F1012" s="2">
        <v>114</v>
      </c>
      <c r="G1012" s="2" t="s">
        <v>2817</v>
      </c>
      <c r="H1012" s="2">
        <v>22</v>
      </c>
      <c r="I1012" s="2" t="s">
        <v>75</v>
      </c>
      <c r="J1012" s="2">
        <v>133</v>
      </c>
      <c r="K1012" s="2" t="s">
        <v>3844</v>
      </c>
      <c r="L1012" s="2" t="s">
        <v>3845</v>
      </c>
      <c r="M1012" s="3">
        <v>40253</v>
      </c>
      <c r="N1012" s="2" t="s">
        <v>3846</v>
      </c>
      <c r="O1012" s="2" t="s">
        <v>3847</v>
      </c>
      <c r="P1012" s="2" t="s">
        <v>107</v>
      </c>
      <c r="Q1012" s="2" t="str">
        <f>"0005/10"</f>
        <v>0005/10</v>
      </c>
      <c r="R1012" s="2" t="s">
        <v>3847</v>
      </c>
      <c r="S1012" s="2" t="s">
        <v>82</v>
      </c>
      <c r="T1012" s="2">
        <v>1</v>
      </c>
      <c r="U1012" s="2" t="s">
        <v>79</v>
      </c>
      <c r="V1012" s="2">
        <v>1</v>
      </c>
      <c r="W1012" s="2" t="s">
        <v>80</v>
      </c>
      <c r="X1012" s="2">
        <v>1</v>
      </c>
      <c r="Y1012" s="2" t="s">
        <v>81</v>
      </c>
      <c r="Z1012" s="2">
        <v>1</v>
      </c>
      <c r="AA1012" s="2" t="s">
        <v>82</v>
      </c>
      <c r="AB1012" s="2">
        <v>9</v>
      </c>
      <c r="AC1012" s="2" t="s">
        <v>124</v>
      </c>
      <c r="AD1012" s="3">
        <v>40252</v>
      </c>
      <c r="AE1012" s="4">
        <v>0.89583333333333337</v>
      </c>
      <c r="AF1012" s="3">
        <v>40252</v>
      </c>
      <c r="AG1012" s="2"/>
      <c r="AH1012" s="2">
        <v>6</v>
      </c>
      <c r="AI1012" s="2" t="s">
        <v>197</v>
      </c>
      <c r="AJ1012" s="2">
        <v>54</v>
      </c>
      <c r="AK1012" s="2" t="s">
        <v>348</v>
      </c>
      <c r="AL1012" s="2">
        <v>8</v>
      </c>
      <c r="AM1012" s="2" t="s">
        <v>179</v>
      </c>
      <c r="AN1012" s="2" t="s">
        <v>3848</v>
      </c>
      <c r="AO1012" s="2" t="s">
        <v>200</v>
      </c>
      <c r="AP1012" s="2">
        <v>12</v>
      </c>
      <c r="AQ1012" s="2" t="s">
        <v>322</v>
      </c>
      <c r="AR1012" s="2" t="s">
        <v>3849</v>
      </c>
      <c r="AS1012" s="2" t="s">
        <v>3850</v>
      </c>
      <c r="AT1012" s="2" t="s">
        <v>3851</v>
      </c>
      <c r="AU1012" s="2"/>
      <c r="AV1012" s="2"/>
      <c r="AW1012" s="2"/>
      <c r="AX1012" s="2"/>
      <c r="AY1012" s="2">
        <v>1</v>
      </c>
      <c r="AZ1012" s="2" t="s">
        <v>107</v>
      </c>
      <c r="BA1012" s="2">
        <v>1</v>
      </c>
      <c r="BB1012" s="2" t="s">
        <v>107</v>
      </c>
      <c r="BC1012" s="2">
        <v>57</v>
      </c>
      <c r="BD1012" s="2"/>
      <c r="BE1012" s="2">
        <v>47</v>
      </c>
      <c r="BF1012" s="2" t="s">
        <v>167</v>
      </c>
      <c r="BG1012" s="2">
        <v>2837</v>
      </c>
      <c r="BH1012" s="4">
        <v>0.91666666666666663</v>
      </c>
      <c r="BI1012" s="4">
        <v>0.95138888888888884</v>
      </c>
      <c r="BJ1012" s="2">
        <v>13</v>
      </c>
      <c r="BK1012" s="2" t="s">
        <v>91</v>
      </c>
      <c r="BL1012" s="2" t="s">
        <v>3852</v>
      </c>
      <c r="BM1012" s="2">
        <v>13</v>
      </c>
      <c r="BN1012" s="2" t="s">
        <v>91</v>
      </c>
      <c r="BO1012" s="2" t="s">
        <v>82</v>
      </c>
      <c r="BP1012" s="2">
        <v>13</v>
      </c>
      <c r="BQ1012" s="2" t="s">
        <v>91</v>
      </c>
      <c r="BR1012" s="2" t="s">
        <v>3520</v>
      </c>
      <c r="BS1012" s="3">
        <v>40253</v>
      </c>
      <c r="BT1012" s="4">
        <v>0.54855324074074074</v>
      </c>
    </row>
    <row r="1013" spans="1:72" x14ac:dyDescent="0.25">
      <c r="A1013" s="2">
        <v>1560</v>
      </c>
      <c r="B1013" s="2">
        <v>2010</v>
      </c>
      <c r="C1013" s="2" t="s">
        <v>72</v>
      </c>
      <c r="D1013" s="2" t="s">
        <v>73</v>
      </c>
      <c r="E1013" s="2"/>
      <c r="F1013" s="2">
        <v>165</v>
      </c>
      <c r="G1013" s="2" t="s">
        <v>3894</v>
      </c>
      <c r="H1013" s="2">
        <v>42</v>
      </c>
      <c r="I1013" s="2" t="s">
        <v>1096</v>
      </c>
      <c r="J1013" s="2">
        <v>455</v>
      </c>
      <c r="K1013" s="2" t="s">
        <v>3895</v>
      </c>
      <c r="L1013" s="2" t="s">
        <v>3134</v>
      </c>
      <c r="M1013" s="3">
        <v>40253</v>
      </c>
      <c r="N1013" s="2" t="s">
        <v>3896</v>
      </c>
      <c r="O1013" s="2" t="s">
        <v>107</v>
      </c>
      <c r="P1013" s="2" t="s">
        <v>107</v>
      </c>
      <c r="Q1013" s="2" t="str">
        <f>"106-A/10"</f>
        <v>106-A/10</v>
      </c>
      <c r="R1013" s="2" t="s">
        <v>107</v>
      </c>
      <c r="S1013" s="2" t="s">
        <v>78</v>
      </c>
      <c r="T1013" s="2">
        <v>1</v>
      </c>
      <c r="U1013" s="2" t="s">
        <v>79</v>
      </c>
      <c r="V1013" s="2">
        <v>1</v>
      </c>
      <c r="W1013" s="2" t="s">
        <v>80</v>
      </c>
      <c r="X1013" s="2">
        <v>1</v>
      </c>
      <c r="Y1013" s="2" t="s">
        <v>81</v>
      </c>
      <c r="Z1013" s="2">
        <v>1</v>
      </c>
      <c r="AA1013" s="2" t="s">
        <v>82</v>
      </c>
      <c r="AB1013" s="2">
        <v>6</v>
      </c>
      <c r="AC1013" s="2" t="s">
        <v>83</v>
      </c>
      <c r="AD1013" s="3">
        <v>40253</v>
      </c>
      <c r="AE1013" s="4">
        <v>0.3263888888888889</v>
      </c>
      <c r="AF1013" s="3">
        <v>40253</v>
      </c>
      <c r="AG1013" s="4">
        <v>0.40625</v>
      </c>
      <c r="AH1013" s="2">
        <v>2</v>
      </c>
      <c r="AI1013" s="2" t="s">
        <v>84</v>
      </c>
      <c r="AJ1013" s="2">
        <v>12</v>
      </c>
      <c r="AK1013" s="2" t="s">
        <v>85</v>
      </c>
      <c r="AL1013" s="2">
        <v>2</v>
      </c>
      <c r="AM1013" s="2" t="s">
        <v>163</v>
      </c>
      <c r="AN1013" s="2" t="s">
        <v>82</v>
      </c>
      <c r="AO1013" s="2" t="s">
        <v>3897</v>
      </c>
      <c r="AP1013" s="2">
        <v>11</v>
      </c>
      <c r="AQ1013" s="2" t="s">
        <v>82</v>
      </c>
      <c r="AR1013" s="2" t="s">
        <v>82</v>
      </c>
      <c r="AS1013" s="2" t="s">
        <v>82</v>
      </c>
      <c r="AT1013" s="2" t="s">
        <v>3898</v>
      </c>
      <c r="AU1013" s="2"/>
      <c r="AV1013" s="2"/>
      <c r="AW1013" s="2"/>
      <c r="AX1013" s="2"/>
      <c r="AY1013" s="2">
        <v>41</v>
      </c>
      <c r="AZ1013" s="2" t="s">
        <v>82</v>
      </c>
      <c r="BA1013" s="2">
        <v>41</v>
      </c>
      <c r="BB1013" s="2" t="s">
        <v>82</v>
      </c>
      <c r="BC1013" s="2">
        <v>41</v>
      </c>
      <c r="BD1013" s="2" t="s">
        <v>82</v>
      </c>
      <c r="BE1013" s="2">
        <v>13</v>
      </c>
      <c r="BF1013" s="2" t="s">
        <v>108</v>
      </c>
      <c r="BG1013" s="2" t="s">
        <v>3899</v>
      </c>
      <c r="BH1013" s="4">
        <v>0.3263888888888889</v>
      </c>
      <c r="BI1013" s="4">
        <v>0.24305555555555555</v>
      </c>
      <c r="BJ1013" s="2">
        <v>13</v>
      </c>
      <c r="BK1013" s="2" t="s">
        <v>91</v>
      </c>
      <c r="BL1013" s="2" t="s">
        <v>445</v>
      </c>
      <c r="BM1013" s="2">
        <v>241</v>
      </c>
      <c r="BN1013" s="2" t="s">
        <v>82</v>
      </c>
      <c r="BO1013" s="2" t="s">
        <v>82</v>
      </c>
      <c r="BP1013" s="2">
        <v>13</v>
      </c>
      <c r="BQ1013" s="2" t="s">
        <v>91</v>
      </c>
      <c r="BR1013" s="2" t="s">
        <v>185</v>
      </c>
      <c r="BS1013" s="3">
        <v>40253</v>
      </c>
      <c r="BT1013" s="4">
        <v>0.55098379629629635</v>
      </c>
    </row>
    <row r="1014" spans="1:72" x14ac:dyDescent="0.25">
      <c r="A1014" s="2">
        <v>1562</v>
      </c>
      <c r="B1014" s="2">
        <v>2010</v>
      </c>
      <c r="C1014" s="2" t="s">
        <v>72</v>
      </c>
      <c r="D1014" s="2" t="s">
        <v>73</v>
      </c>
      <c r="E1014" s="2"/>
      <c r="F1014" s="2">
        <v>36</v>
      </c>
      <c r="G1014" s="2" t="s">
        <v>3900</v>
      </c>
      <c r="H1014" s="2">
        <v>71</v>
      </c>
      <c r="I1014" s="2" t="s">
        <v>335</v>
      </c>
      <c r="J1014" s="2">
        <v>43</v>
      </c>
      <c r="K1014" s="2" t="s">
        <v>2059</v>
      </c>
      <c r="L1014" s="2" t="s">
        <v>2060</v>
      </c>
      <c r="M1014" s="3">
        <v>40253</v>
      </c>
      <c r="N1014" s="2" t="s">
        <v>3901</v>
      </c>
      <c r="O1014" s="2" t="s">
        <v>107</v>
      </c>
      <c r="P1014" s="2" t="s">
        <v>107</v>
      </c>
      <c r="Q1014" s="2" t="str">
        <f>"14/10"</f>
        <v>14/10</v>
      </c>
      <c r="R1014" s="2" t="s">
        <v>480</v>
      </c>
      <c r="S1014" s="2" t="s">
        <v>480</v>
      </c>
      <c r="T1014" s="2">
        <v>1</v>
      </c>
      <c r="U1014" s="2" t="s">
        <v>79</v>
      </c>
      <c r="V1014" s="2">
        <v>1</v>
      </c>
      <c r="W1014" s="2" t="s">
        <v>80</v>
      </c>
      <c r="X1014" s="2">
        <v>12</v>
      </c>
      <c r="Y1014" s="2" t="s">
        <v>148</v>
      </c>
      <c r="Z1014" s="2">
        <v>1</v>
      </c>
      <c r="AA1014" s="2" t="s">
        <v>82</v>
      </c>
      <c r="AB1014" s="2">
        <v>6</v>
      </c>
      <c r="AC1014" s="2" t="s">
        <v>83</v>
      </c>
      <c r="AD1014" s="2"/>
      <c r="AE1014" s="2"/>
      <c r="AF1014" s="3">
        <v>40253</v>
      </c>
      <c r="AG1014" s="4">
        <v>0.43541666666666662</v>
      </c>
      <c r="AH1014" s="2">
        <v>3</v>
      </c>
      <c r="AI1014" s="2" t="s">
        <v>214</v>
      </c>
      <c r="AJ1014" s="2">
        <v>17</v>
      </c>
      <c r="AK1014" s="2" t="s">
        <v>309</v>
      </c>
      <c r="AL1014" s="2">
        <v>23</v>
      </c>
      <c r="AM1014" s="2" t="s">
        <v>251</v>
      </c>
      <c r="AN1014" s="2" t="s">
        <v>3902</v>
      </c>
      <c r="AO1014" s="2" t="s">
        <v>3903</v>
      </c>
      <c r="AP1014" s="2">
        <v>11</v>
      </c>
      <c r="AQ1014" s="2" t="s">
        <v>82</v>
      </c>
      <c r="AR1014" s="2"/>
      <c r="AS1014" s="2"/>
      <c r="AT1014" s="2" t="s">
        <v>3904</v>
      </c>
      <c r="AU1014" s="2"/>
      <c r="AV1014" s="2"/>
      <c r="AW1014" s="2"/>
      <c r="AX1014" s="2"/>
      <c r="AY1014" s="2">
        <v>41</v>
      </c>
      <c r="AZ1014" s="2" t="s">
        <v>82</v>
      </c>
      <c r="BA1014" s="2">
        <v>41</v>
      </c>
      <c r="BB1014" s="2" t="s">
        <v>82</v>
      </c>
      <c r="BC1014" s="2">
        <v>41</v>
      </c>
      <c r="BD1014" s="2" t="s">
        <v>82</v>
      </c>
      <c r="BE1014" s="2">
        <v>41</v>
      </c>
      <c r="BF1014" s="2" t="s">
        <v>82</v>
      </c>
      <c r="BG1014" s="2"/>
      <c r="BH1014" s="2"/>
      <c r="BI1014" s="2"/>
      <c r="BJ1014" s="2">
        <v>241</v>
      </c>
      <c r="BK1014" s="2" t="s">
        <v>82</v>
      </c>
      <c r="BL1014" s="2"/>
      <c r="BM1014" s="2">
        <v>241</v>
      </c>
      <c r="BN1014" s="2" t="s">
        <v>82</v>
      </c>
      <c r="BO1014" s="2"/>
      <c r="BP1014" s="2">
        <v>241</v>
      </c>
      <c r="BQ1014" s="2" t="s">
        <v>82</v>
      </c>
      <c r="BR1014" s="2"/>
      <c r="BS1014" s="3">
        <v>40253</v>
      </c>
      <c r="BT1014" s="4">
        <v>0.57010416666666663</v>
      </c>
    </row>
    <row r="1015" spans="1:72" x14ac:dyDescent="0.25">
      <c r="A1015" s="2">
        <v>1564</v>
      </c>
      <c r="B1015" s="2">
        <v>2010</v>
      </c>
      <c r="C1015" s="2" t="s">
        <v>171</v>
      </c>
      <c r="D1015" s="2" t="s">
        <v>73</v>
      </c>
      <c r="E1015" s="2"/>
      <c r="F1015" s="2">
        <v>100</v>
      </c>
      <c r="G1015" s="2" t="s">
        <v>517</v>
      </c>
      <c r="H1015" s="2">
        <v>47</v>
      </c>
      <c r="I1015" s="2" t="s">
        <v>1409</v>
      </c>
      <c r="J1015" s="2">
        <v>119</v>
      </c>
      <c r="K1015" s="2" t="s">
        <v>325</v>
      </c>
      <c r="L1015" s="2" t="s">
        <v>326</v>
      </c>
      <c r="M1015" s="3">
        <v>40253</v>
      </c>
      <c r="N1015" s="2" t="s">
        <v>3905</v>
      </c>
      <c r="O1015" s="2" t="s">
        <v>3906</v>
      </c>
      <c r="P1015" s="2" t="s">
        <v>519</v>
      </c>
      <c r="Q1015" s="2" t="str">
        <f>""</f>
        <v/>
      </c>
      <c r="R1015" s="2"/>
      <c r="S1015" s="2"/>
      <c r="T1015" s="2">
        <v>1</v>
      </c>
      <c r="U1015" s="2" t="s">
        <v>79</v>
      </c>
      <c r="V1015" s="2">
        <v>3</v>
      </c>
      <c r="W1015" s="2" t="s">
        <v>225</v>
      </c>
      <c r="X1015" s="2">
        <v>6</v>
      </c>
      <c r="Y1015" s="2" t="s">
        <v>249</v>
      </c>
      <c r="Z1015" s="2">
        <v>1</v>
      </c>
      <c r="AA1015" s="2" t="s">
        <v>82</v>
      </c>
      <c r="AB1015" s="2">
        <v>9</v>
      </c>
      <c r="AC1015" s="2" t="s">
        <v>124</v>
      </c>
      <c r="AD1015" s="2"/>
      <c r="AE1015" s="2"/>
      <c r="AF1015" s="2"/>
      <c r="AG1015" s="2"/>
      <c r="AH1015" s="2">
        <v>4</v>
      </c>
      <c r="AI1015" s="2" t="s">
        <v>125</v>
      </c>
      <c r="AJ1015" s="2">
        <v>26</v>
      </c>
      <c r="AK1015" s="2" t="s">
        <v>293</v>
      </c>
      <c r="AL1015" s="2">
        <v>23</v>
      </c>
      <c r="AM1015" s="2" t="s">
        <v>251</v>
      </c>
      <c r="AN1015" s="2"/>
      <c r="AO1015" s="2"/>
      <c r="AP1015" s="2">
        <v>11</v>
      </c>
      <c r="AQ1015" s="2" t="s">
        <v>82</v>
      </c>
      <c r="AR1015" s="2"/>
      <c r="AS1015" s="2"/>
      <c r="AT1015" s="2" t="s">
        <v>3907</v>
      </c>
      <c r="AU1015" s="2"/>
      <c r="AV1015" s="2"/>
      <c r="AW1015" s="2"/>
      <c r="AX1015" s="2"/>
      <c r="AY1015" s="2">
        <v>1</v>
      </c>
      <c r="AZ1015" s="2" t="s">
        <v>107</v>
      </c>
      <c r="BA1015" s="2">
        <v>1</v>
      </c>
      <c r="BB1015" s="2" t="s">
        <v>107</v>
      </c>
      <c r="BC1015" s="2">
        <v>1</v>
      </c>
      <c r="BD1015" s="2" t="s">
        <v>107</v>
      </c>
      <c r="BE1015" s="2">
        <v>1</v>
      </c>
      <c r="BF1015" s="2" t="s">
        <v>107</v>
      </c>
      <c r="BG1015" s="2"/>
      <c r="BH1015" s="2"/>
      <c r="BI1015" s="2"/>
      <c r="BJ1015" s="2">
        <v>242</v>
      </c>
      <c r="BK1015" s="2" t="s">
        <v>107</v>
      </c>
      <c r="BL1015" s="2"/>
      <c r="BM1015" s="2">
        <v>242</v>
      </c>
      <c r="BN1015" s="2" t="s">
        <v>107</v>
      </c>
      <c r="BO1015" s="2"/>
      <c r="BP1015" s="2">
        <v>242</v>
      </c>
      <c r="BQ1015" s="2" t="s">
        <v>107</v>
      </c>
      <c r="BR1015" s="2"/>
      <c r="BS1015" s="3">
        <v>40253</v>
      </c>
      <c r="BT1015" s="4">
        <v>0.58065972222222217</v>
      </c>
    </row>
    <row r="1016" spans="1:72" x14ac:dyDescent="0.25">
      <c r="A1016" s="2">
        <v>1571</v>
      </c>
      <c r="B1016" s="2">
        <v>2010</v>
      </c>
      <c r="C1016" s="2" t="s">
        <v>2219</v>
      </c>
      <c r="D1016" s="2" t="s">
        <v>73</v>
      </c>
      <c r="E1016" s="2"/>
      <c r="F1016" s="2">
        <v>12</v>
      </c>
      <c r="G1016" s="2" t="s">
        <v>2494</v>
      </c>
      <c r="H1016" s="2">
        <v>1</v>
      </c>
      <c r="I1016" s="2" t="s">
        <v>82</v>
      </c>
      <c r="J1016" s="2">
        <v>21</v>
      </c>
      <c r="K1016" s="2" t="s">
        <v>3908</v>
      </c>
      <c r="L1016" s="2" t="s">
        <v>3909</v>
      </c>
      <c r="M1016" s="3">
        <v>40253</v>
      </c>
      <c r="N1016" s="2" t="s">
        <v>82</v>
      </c>
      <c r="O1016" s="2" t="s">
        <v>3910</v>
      </c>
      <c r="P1016" s="2" t="s">
        <v>3911</v>
      </c>
      <c r="Q1016" s="2" t="str">
        <f>"N/C"</f>
        <v>N/C</v>
      </c>
      <c r="R1016" s="2" t="s">
        <v>82</v>
      </c>
      <c r="S1016" s="2" t="s">
        <v>82</v>
      </c>
      <c r="T1016" s="2">
        <v>1</v>
      </c>
      <c r="U1016" s="2" t="s">
        <v>79</v>
      </c>
      <c r="V1016" s="2">
        <v>3</v>
      </c>
      <c r="W1016" s="2" t="s">
        <v>225</v>
      </c>
      <c r="X1016" s="2">
        <v>6</v>
      </c>
      <c r="Y1016" s="2" t="s">
        <v>249</v>
      </c>
      <c r="Z1016" s="2">
        <v>1</v>
      </c>
      <c r="AA1016" s="2" t="s">
        <v>82</v>
      </c>
      <c r="AB1016" s="2">
        <v>9</v>
      </c>
      <c r="AC1016" s="2" t="s">
        <v>124</v>
      </c>
      <c r="AD1016" s="3">
        <v>40253</v>
      </c>
      <c r="AE1016" s="4">
        <v>0.65972222222222221</v>
      </c>
      <c r="AF1016" s="2"/>
      <c r="AG1016" s="2"/>
      <c r="AH1016" s="2">
        <v>3</v>
      </c>
      <c r="AI1016" s="2" t="s">
        <v>214</v>
      </c>
      <c r="AJ1016" s="2">
        <v>14</v>
      </c>
      <c r="AK1016" s="2" t="s">
        <v>342</v>
      </c>
      <c r="AL1016" s="2">
        <v>23</v>
      </c>
      <c r="AM1016" s="2" t="s">
        <v>251</v>
      </c>
      <c r="AN1016" s="2" t="s">
        <v>82</v>
      </c>
      <c r="AO1016" s="2" t="s">
        <v>82</v>
      </c>
      <c r="AP1016" s="2">
        <v>11</v>
      </c>
      <c r="AQ1016" s="2" t="s">
        <v>82</v>
      </c>
      <c r="AR1016" s="2"/>
      <c r="AS1016" s="2"/>
      <c r="AT1016" s="2" t="s">
        <v>3912</v>
      </c>
      <c r="AU1016" s="2"/>
      <c r="AV1016" s="2"/>
      <c r="AW1016" s="2"/>
      <c r="AX1016" s="2"/>
      <c r="AY1016" s="2">
        <v>1</v>
      </c>
      <c r="AZ1016" s="2" t="s">
        <v>107</v>
      </c>
      <c r="BA1016" s="2">
        <v>1</v>
      </c>
      <c r="BB1016" s="2" t="s">
        <v>107</v>
      </c>
      <c r="BC1016" s="2">
        <v>1</v>
      </c>
      <c r="BD1016" s="2" t="s">
        <v>107</v>
      </c>
      <c r="BE1016" s="2">
        <v>1</v>
      </c>
      <c r="BF1016" s="2" t="s">
        <v>107</v>
      </c>
      <c r="BG1016" s="2"/>
      <c r="BH1016" s="2"/>
      <c r="BI1016" s="2"/>
      <c r="BJ1016" s="2">
        <v>242</v>
      </c>
      <c r="BK1016" s="2" t="s">
        <v>107</v>
      </c>
      <c r="BL1016" s="2"/>
      <c r="BM1016" s="2">
        <v>242</v>
      </c>
      <c r="BN1016" s="2" t="s">
        <v>107</v>
      </c>
      <c r="BO1016" s="2"/>
      <c r="BP1016" s="2">
        <v>242</v>
      </c>
      <c r="BQ1016" s="2" t="s">
        <v>107</v>
      </c>
      <c r="BR1016" s="2"/>
      <c r="BS1016" s="3">
        <v>40253</v>
      </c>
      <c r="BT1016" s="4">
        <v>0.6711921296296296</v>
      </c>
    </row>
    <row r="1017" spans="1:72" x14ac:dyDescent="0.25">
      <c r="A1017" s="2">
        <v>1573</v>
      </c>
      <c r="B1017" s="2">
        <v>2010</v>
      </c>
      <c r="C1017" s="2" t="s">
        <v>409</v>
      </c>
      <c r="D1017" s="2" t="s">
        <v>122</v>
      </c>
      <c r="E1017" s="2" t="s">
        <v>3801</v>
      </c>
      <c r="F1017" s="2">
        <v>470</v>
      </c>
      <c r="G1017" s="2" t="s">
        <v>2979</v>
      </c>
      <c r="H1017" s="2">
        <v>2</v>
      </c>
      <c r="I1017" s="2" t="s">
        <v>267</v>
      </c>
      <c r="J1017" s="2">
        <v>1</v>
      </c>
      <c r="K1017" s="2" t="s">
        <v>107</v>
      </c>
      <c r="L1017" s="2" t="s">
        <v>107</v>
      </c>
      <c r="M1017" s="3">
        <v>40253</v>
      </c>
      <c r="N1017" s="2" t="s">
        <v>3913</v>
      </c>
      <c r="O1017" s="2" t="s">
        <v>2981</v>
      </c>
      <c r="P1017" s="2"/>
      <c r="Q1017" s="2" t="str">
        <f>"024 10"</f>
        <v>024 10</v>
      </c>
      <c r="R1017" s="2"/>
      <c r="S1017" s="2"/>
      <c r="T1017" s="2">
        <v>1</v>
      </c>
      <c r="U1017" s="2" t="s">
        <v>79</v>
      </c>
      <c r="V1017" s="2">
        <v>1</v>
      </c>
      <c r="W1017" s="2" t="s">
        <v>80</v>
      </c>
      <c r="X1017" s="2">
        <v>5</v>
      </c>
      <c r="Y1017" s="2" t="s">
        <v>82</v>
      </c>
      <c r="Z1017" s="2">
        <v>10</v>
      </c>
      <c r="AA1017" s="2" t="s">
        <v>236</v>
      </c>
      <c r="AB1017" s="2">
        <v>9</v>
      </c>
      <c r="AC1017" s="2" t="s">
        <v>124</v>
      </c>
      <c r="AD1017" s="3">
        <v>40253</v>
      </c>
      <c r="AE1017" s="4">
        <v>0.70138888888888884</v>
      </c>
      <c r="AF1017" s="2"/>
      <c r="AG1017" s="2"/>
      <c r="AH1017" s="2">
        <v>5</v>
      </c>
      <c r="AI1017" s="2" t="s">
        <v>274</v>
      </c>
      <c r="AJ1017" s="2">
        <v>38</v>
      </c>
      <c r="AK1017" s="2" t="s">
        <v>1120</v>
      </c>
      <c r="AL1017" s="2">
        <v>18</v>
      </c>
      <c r="AM1017" s="2" t="s">
        <v>82</v>
      </c>
      <c r="AN1017" s="2"/>
      <c r="AO1017" s="2" t="s">
        <v>3914</v>
      </c>
      <c r="AP1017" s="2">
        <v>11</v>
      </c>
      <c r="AQ1017" s="2" t="s">
        <v>82</v>
      </c>
      <c r="AR1017" s="2"/>
      <c r="AS1017" s="2"/>
      <c r="AT1017" s="2" t="s">
        <v>3915</v>
      </c>
      <c r="AU1017" s="2"/>
      <c r="AV1017" s="2"/>
      <c r="AW1017" s="2"/>
      <c r="AX1017" s="2"/>
      <c r="AY1017" s="2">
        <v>41</v>
      </c>
      <c r="AZ1017" s="2" t="s">
        <v>82</v>
      </c>
      <c r="BA1017" s="2">
        <v>41</v>
      </c>
      <c r="BB1017" s="2" t="s">
        <v>82</v>
      </c>
      <c r="BC1017" s="2">
        <v>41</v>
      </c>
      <c r="BD1017" s="2" t="s">
        <v>82</v>
      </c>
      <c r="BE1017" s="2">
        <v>41</v>
      </c>
      <c r="BF1017" s="2" t="s">
        <v>82</v>
      </c>
      <c r="BG1017" s="2"/>
      <c r="BH1017" s="2"/>
      <c r="BI1017" s="2"/>
      <c r="BJ1017" s="2">
        <v>13</v>
      </c>
      <c r="BK1017" s="2" t="s">
        <v>91</v>
      </c>
      <c r="BL1017" s="2"/>
      <c r="BM1017" s="2">
        <v>13</v>
      </c>
      <c r="BN1017" s="2" t="s">
        <v>91</v>
      </c>
      <c r="BO1017" s="2" t="s">
        <v>82</v>
      </c>
      <c r="BP1017" s="2">
        <v>13</v>
      </c>
      <c r="BQ1017" s="2" t="s">
        <v>91</v>
      </c>
      <c r="BR1017" s="2"/>
      <c r="BS1017" s="3">
        <v>40253</v>
      </c>
      <c r="BT1017" s="4">
        <v>0.7065393518518519</v>
      </c>
    </row>
    <row r="1018" spans="1:72" x14ac:dyDescent="0.25">
      <c r="A1018" s="2">
        <v>1574</v>
      </c>
      <c r="B1018" s="2">
        <v>2010</v>
      </c>
      <c r="C1018" s="2" t="s">
        <v>171</v>
      </c>
      <c r="D1018" s="2" t="s">
        <v>73</v>
      </c>
      <c r="E1018" s="2" t="s">
        <v>3362</v>
      </c>
      <c r="F1018" s="2">
        <v>451</v>
      </c>
      <c r="G1018" s="2" t="s">
        <v>879</v>
      </c>
      <c r="H1018" s="2">
        <v>31</v>
      </c>
      <c r="I1018" s="2" t="s">
        <v>880</v>
      </c>
      <c r="J1018" s="2">
        <v>326</v>
      </c>
      <c r="K1018" s="2" t="s">
        <v>881</v>
      </c>
      <c r="L1018" s="2" t="s">
        <v>882</v>
      </c>
      <c r="M1018" s="3">
        <v>40253</v>
      </c>
      <c r="N1018" s="2" t="s">
        <v>1072</v>
      </c>
      <c r="O1018" s="2" t="s">
        <v>3916</v>
      </c>
      <c r="P1018" s="2" t="s">
        <v>3917</v>
      </c>
      <c r="Q1018" s="2" t="str">
        <f>"018/10"</f>
        <v>018/10</v>
      </c>
      <c r="R1018" s="2" t="s">
        <v>822</v>
      </c>
      <c r="S1018" s="2" t="s">
        <v>3295</v>
      </c>
      <c r="T1018" s="2">
        <v>1</v>
      </c>
      <c r="U1018" s="2" t="s">
        <v>79</v>
      </c>
      <c r="V1018" s="2">
        <v>1</v>
      </c>
      <c r="W1018" s="2" t="s">
        <v>80</v>
      </c>
      <c r="X1018" s="2">
        <v>1</v>
      </c>
      <c r="Y1018" s="2" t="s">
        <v>81</v>
      </c>
      <c r="Z1018" s="2">
        <v>10</v>
      </c>
      <c r="AA1018" s="2" t="s">
        <v>236</v>
      </c>
      <c r="AB1018" s="2">
        <v>1</v>
      </c>
      <c r="AC1018" s="2" t="s">
        <v>178</v>
      </c>
      <c r="AD1018" s="3">
        <v>40253</v>
      </c>
      <c r="AE1018" s="4">
        <v>0.60416666666666663</v>
      </c>
      <c r="AF1018" s="2"/>
      <c r="AG1018" s="2"/>
      <c r="AH1018" s="2">
        <v>4</v>
      </c>
      <c r="AI1018" s="2" t="s">
        <v>125</v>
      </c>
      <c r="AJ1018" s="2">
        <v>29</v>
      </c>
      <c r="AK1018" s="2" t="s">
        <v>227</v>
      </c>
      <c r="AL1018" s="2">
        <v>10</v>
      </c>
      <c r="AM1018" s="2" t="s">
        <v>200</v>
      </c>
      <c r="AN1018" s="2" t="s">
        <v>883</v>
      </c>
      <c r="AO1018" s="2"/>
      <c r="AP1018" s="2">
        <v>12</v>
      </c>
      <c r="AQ1018" s="2" t="s">
        <v>322</v>
      </c>
      <c r="AR1018" s="2" t="s">
        <v>824</v>
      </c>
      <c r="AS1018" s="2" t="s">
        <v>825</v>
      </c>
      <c r="AT1018" s="2" t="s">
        <v>3918</v>
      </c>
      <c r="AU1018" s="2"/>
      <c r="AV1018" s="2"/>
      <c r="AW1018" s="2"/>
      <c r="AX1018" s="2"/>
      <c r="AY1018" s="2">
        <v>41</v>
      </c>
      <c r="AZ1018" s="2" t="s">
        <v>82</v>
      </c>
      <c r="BA1018" s="2">
        <v>41</v>
      </c>
      <c r="BB1018" s="2" t="s">
        <v>82</v>
      </c>
      <c r="BC1018" s="2">
        <v>41</v>
      </c>
      <c r="BD1018" s="2" t="s">
        <v>82</v>
      </c>
      <c r="BE1018" s="2">
        <v>47</v>
      </c>
      <c r="BF1018" s="2" t="s">
        <v>167</v>
      </c>
      <c r="BG1018" s="2">
        <v>2459</v>
      </c>
      <c r="BH1018" s="4">
        <v>0.84375</v>
      </c>
      <c r="BI1018" s="4">
        <v>0.87847222222222221</v>
      </c>
      <c r="BJ1018" s="2">
        <v>13</v>
      </c>
      <c r="BK1018" s="2" t="s">
        <v>91</v>
      </c>
      <c r="BL1018" s="2" t="s">
        <v>828</v>
      </c>
      <c r="BM1018" s="2">
        <v>241</v>
      </c>
      <c r="BN1018" s="2" t="s">
        <v>82</v>
      </c>
      <c r="BO1018" s="2" t="s">
        <v>82</v>
      </c>
      <c r="BP1018" s="2">
        <v>13</v>
      </c>
      <c r="BQ1018" s="2" t="s">
        <v>91</v>
      </c>
      <c r="BR1018" s="2" t="s">
        <v>185</v>
      </c>
      <c r="BS1018" s="3">
        <v>40253</v>
      </c>
      <c r="BT1018" s="4">
        <v>0.70893518518518517</v>
      </c>
    </row>
    <row r="1019" spans="1:72" x14ac:dyDescent="0.25">
      <c r="A1019" s="2">
        <v>1575</v>
      </c>
      <c r="B1019" s="2">
        <v>2010</v>
      </c>
      <c r="C1019" s="2" t="s">
        <v>171</v>
      </c>
      <c r="D1019" s="2" t="s">
        <v>73</v>
      </c>
      <c r="E1019" s="2"/>
      <c r="F1019" s="2">
        <v>534</v>
      </c>
      <c r="G1019" s="2" t="s">
        <v>3919</v>
      </c>
      <c r="H1019" s="2">
        <v>3</v>
      </c>
      <c r="I1019" s="2" t="s">
        <v>315</v>
      </c>
      <c r="J1019" s="2">
        <v>464</v>
      </c>
      <c r="K1019" s="2" t="s">
        <v>3920</v>
      </c>
      <c r="L1019" s="2" t="s">
        <v>3921</v>
      </c>
      <c r="M1019" s="3">
        <v>40253</v>
      </c>
      <c r="N1019" s="2" t="s">
        <v>3922</v>
      </c>
      <c r="O1019" s="2" t="s">
        <v>3923</v>
      </c>
      <c r="P1019" s="2" t="s">
        <v>3924</v>
      </c>
      <c r="Q1019" s="2" t="str">
        <f>"257/09"</f>
        <v>257/09</v>
      </c>
      <c r="R1019" s="2"/>
      <c r="S1019" s="2" t="s">
        <v>3925</v>
      </c>
      <c r="T1019" s="2">
        <v>1</v>
      </c>
      <c r="U1019" s="2" t="s">
        <v>79</v>
      </c>
      <c r="V1019" s="2">
        <v>3</v>
      </c>
      <c r="W1019" s="2" t="s">
        <v>225</v>
      </c>
      <c r="X1019" s="2">
        <v>2</v>
      </c>
      <c r="Y1019" s="2" t="s">
        <v>136</v>
      </c>
      <c r="Z1019" s="2">
        <v>1</v>
      </c>
      <c r="AA1019" s="2" t="s">
        <v>82</v>
      </c>
      <c r="AB1019" s="2">
        <v>9</v>
      </c>
      <c r="AC1019" s="2" t="s">
        <v>124</v>
      </c>
      <c r="AD1019" s="3">
        <v>39285</v>
      </c>
      <c r="AE1019" s="4">
        <v>0.47916666666666669</v>
      </c>
      <c r="AF1019" s="3">
        <v>39951</v>
      </c>
      <c r="AG1019" s="4">
        <v>0.77083333333333337</v>
      </c>
      <c r="AH1019" s="2">
        <v>5</v>
      </c>
      <c r="AI1019" s="2" t="s">
        <v>274</v>
      </c>
      <c r="AJ1019" s="2">
        <v>35</v>
      </c>
      <c r="AK1019" s="2" t="s">
        <v>275</v>
      </c>
      <c r="AL1019" s="2">
        <v>23</v>
      </c>
      <c r="AM1019" s="2" t="s">
        <v>251</v>
      </c>
      <c r="AN1019" s="2" t="s">
        <v>3926</v>
      </c>
      <c r="AO1019" s="2"/>
      <c r="AP1019" s="2">
        <v>11</v>
      </c>
      <c r="AQ1019" s="2" t="s">
        <v>82</v>
      </c>
      <c r="AR1019" s="2"/>
      <c r="AS1019" s="2"/>
      <c r="AT1019" s="2" t="s">
        <v>3927</v>
      </c>
      <c r="AU1019" s="2"/>
      <c r="AV1019" s="2"/>
      <c r="AW1019" s="2"/>
      <c r="AX1019" s="2"/>
      <c r="AY1019" s="2">
        <v>41</v>
      </c>
      <c r="AZ1019" s="2" t="s">
        <v>82</v>
      </c>
      <c r="BA1019" s="2">
        <v>41</v>
      </c>
      <c r="BB1019" s="2" t="s">
        <v>82</v>
      </c>
      <c r="BC1019" s="2">
        <v>41</v>
      </c>
      <c r="BD1019" s="2" t="s">
        <v>82</v>
      </c>
      <c r="BE1019" s="2">
        <v>41</v>
      </c>
      <c r="BF1019" s="2" t="s">
        <v>82</v>
      </c>
      <c r="BG1019" s="2"/>
      <c r="BH1019" s="2"/>
      <c r="BI1019" s="2"/>
      <c r="BJ1019" s="2">
        <v>241</v>
      </c>
      <c r="BK1019" s="2" t="s">
        <v>82</v>
      </c>
      <c r="BL1019" s="2"/>
      <c r="BM1019" s="2">
        <v>241</v>
      </c>
      <c r="BN1019" s="2" t="s">
        <v>82</v>
      </c>
      <c r="BO1019" s="2"/>
      <c r="BP1019" s="2">
        <v>241</v>
      </c>
      <c r="BQ1019" s="2" t="s">
        <v>82</v>
      </c>
      <c r="BR1019" s="2"/>
      <c r="BS1019" s="3">
        <v>40253</v>
      </c>
      <c r="BT1019" s="4">
        <v>0.72214120370370372</v>
      </c>
    </row>
    <row r="1020" spans="1:72" x14ac:dyDescent="0.25">
      <c r="A1020" s="2">
        <v>1576</v>
      </c>
      <c r="B1020" s="2">
        <v>2010</v>
      </c>
      <c r="C1020" s="2" t="s">
        <v>72</v>
      </c>
      <c r="D1020" s="2" t="s">
        <v>122</v>
      </c>
      <c r="E1020" s="2" t="s">
        <v>3928</v>
      </c>
      <c r="F1020" s="2">
        <v>2</v>
      </c>
      <c r="G1020" s="2" t="s">
        <v>113</v>
      </c>
      <c r="H1020" s="2">
        <v>42</v>
      </c>
      <c r="I1020" s="2" t="s">
        <v>1096</v>
      </c>
      <c r="J1020" s="2">
        <v>300</v>
      </c>
      <c r="K1020" s="2" t="s">
        <v>114</v>
      </c>
      <c r="L1020" s="2" t="s">
        <v>115</v>
      </c>
      <c r="M1020" s="3">
        <v>40253</v>
      </c>
      <c r="N1020" s="2"/>
      <c r="O1020" s="2"/>
      <c r="P1020" s="2"/>
      <c r="Q1020" s="2" t="str">
        <f>"141-E/10"</f>
        <v>141-E/10</v>
      </c>
      <c r="R1020" s="2"/>
      <c r="S1020" s="2" t="s">
        <v>671</v>
      </c>
      <c r="T1020" s="2">
        <v>1</v>
      </c>
      <c r="U1020" s="2" t="s">
        <v>79</v>
      </c>
      <c r="V1020" s="2">
        <v>1</v>
      </c>
      <c r="W1020" s="2" t="s">
        <v>80</v>
      </c>
      <c r="X1020" s="2">
        <v>1</v>
      </c>
      <c r="Y1020" s="2" t="s">
        <v>81</v>
      </c>
      <c r="Z1020" s="2">
        <v>1</v>
      </c>
      <c r="AA1020" s="2" t="s">
        <v>82</v>
      </c>
      <c r="AB1020" s="2">
        <v>6</v>
      </c>
      <c r="AC1020" s="2" t="s">
        <v>83</v>
      </c>
      <c r="AD1020" s="3">
        <v>40252</v>
      </c>
      <c r="AE1020" s="4">
        <v>0.4465277777777778</v>
      </c>
      <c r="AF1020" s="3">
        <v>40252</v>
      </c>
      <c r="AG1020" s="4">
        <v>0.4513888888888889</v>
      </c>
      <c r="AH1020" s="2">
        <v>2</v>
      </c>
      <c r="AI1020" s="2" t="s">
        <v>84</v>
      </c>
      <c r="AJ1020" s="2">
        <v>9</v>
      </c>
      <c r="AK1020" s="2" t="s">
        <v>103</v>
      </c>
      <c r="AL1020" s="2">
        <v>12</v>
      </c>
      <c r="AM1020" s="2" t="s">
        <v>86</v>
      </c>
      <c r="AN1020" s="2" t="s">
        <v>3874</v>
      </c>
      <c r="AO1020" s="2"/>
      <c r="AP1020" s="2">
        <v>11</v>
      </c>
      <c r="AQ1020" s="2" t="s">
        <v>82</v>
      </c>
      <c r="AR1020" s="2"/>
      <c r="AS1020" s="2"/>
      <c r="AT1020" s="2" t="s">
        <v>3929</v>
      </c>
      <c r="AU1020" s="2"/>
      <c r="AV1020" s="2"/>
      <c r="AW1020" s="2">
        <v>1</v>
      </c>
      <c r="AX1020" s="2"/>
      <c r="AY1020" s="2">
        <v>41</v>
      </c>
      <c r="AZ1020" s="2" t="s">
        <v>82</v>
      </c>
      <c r="BA1020" s="2">
        <v>41</v>
      </c>
      <c r="BB1020" s="2" t="s">
        <v>82</v>
      </c>
      <c r="BC1020" s="2">
        <v>41</v>
      </c>
      <c r="BD1020" s="2" t="s">
        <v>82</v>
      </c>
      <c r="BE1020" s="2">
        <v>31</v>
      </c>
      <c r="BF1020" s="2" t="s">
        <v>398</v>
      </c>
      <c r="BG1020" s="2">
        <v>6843</v>
      </c>
      <c r="BH1020" s="4">
        <v>0.39444444444444443</v>
      </c>
      <c r="BI1020" s="2"/>
      <c r="BJ1020" s="2">
        <v>73</v>
      </c>
      <c r="BK1020" s="2" t="s">
        <v>186</v>
      </c>
      <c r="BL1020" s="2" t="s">
        <v>398</v>
      </c>
      <c r="BM1020" s="2">
        <v>241</v>
      </c>
      <c r="BN1020" s="2" t="s">
        <v>82</v>
      </c>
      <c r="BO1020" s="2"/>
      <c r="BP1020" s="2">
        <v>13</v>
      </c>
      <c r="BQ1020" s="2" t="s">
        <v>91</v>
      </c>
      <c r="BR1020" s="2" t="s">
        <v>185</v>
      </c>
      <c r="BS1020" s="3">
        <v>40253</v>
      </c>
      <c r="BT1020" s="4">
        <v>0.72563657407407411</v>
      </c>
    </row>
    <row r="1021" spans="1:72" x14ac:dyDescent="0.25">
      <c r="A1021" s="2">
        <v>1577</v>
      </c>
      <c r="B1021" s="2">
        <v>2010</v>
      </c>
      <c r="C1021" s="2" t="s">
        <v>171</v>
      </c>
      <c r="D1021" s="2" t="s">
        <v>73</v>
      </c>
      <c r="E1021" s="2" t="s">
        <v>3930</v>
      </c>
      <c r="F1021" s="2">
        <v>451</v>
      </c>
      <c r="G1021" s="2" t="s">
        <v>879</v>
      </c>
      <c r="H1021" s="2">
        <v>31</v>
      </c>
      <c r="I1021" s="2" t="s">
        <v>880</v>
      </c>
      <c r="J1021" s="2">
        <v>326</v>
      </c>
      <c r="K1021" s="2" t="s">
        <v>881</v>
      </c>
      <c r="L1021" s="2" t="s">
        <v>882</v>
      </c>
      <c r="M1021" s="3">
        <v>40253</v>
      </c>
      <c r="N1021" s="2" t="s">
        <v>1072</v>
      </c>
      <c r="O1021" s="2" t="s">
        <v>3239</v>
      </c>
      <c r="P1021" s="2" t="s">
        <v>3931</v>
      </c>
      <c r="Q1021" s="2" t="str">
        <f>"020/10"</f>
        <v>020/10</v>
      </c>
      <c r="R1021" s="2" t="s">
        <v>822</v>
      </c>
      <c r="S1021" s="2" t="s">
        <v>3295</v>
      </c>
      <c r="T1021" s="2">
        <v>1</v>
      </c>
      <c r="U1021" s="2" t="s">
        <v>79</v>
      </c>
      <c r="V1021" s="2">
        <v>1</v>
      </c>
      <c r="W1021" s="2" t="s">
        <v>80</v>
      </c>
      <c r="X1021" s="2">
        <v>1</v>
      </c>
      <c r="Y1021" s="2" t="s">
        <v>81</v>
      </c>
      <c r="Z1021" s="2">
        <v>10</v>
      </c>
      <c r="AA1021" s="2" t="s">
        <v>236</v>
      </c>
      <c r="AB1021" s="2">
        <v>1</v>
      </c>
      <c r="AC1021" s="2" t="s">
        <v>178</v>
      </c>
      <c r="AD1021" s="3">
        <v>40253</v>
      </c>
      <c r="AE1021" s="4">
        <v>0.6875</v>
      </c>
      <c r="AF1021" s="2"/>
      <c r="AG1021" s="2"/>
      <c r="AH1021" s="2">
        <v>4</v>
      </c>
      <c r="AI1021" s="2" t="s">
        <v>125</v>
      </c>
      <c r="AJ1021" s="2">
        <v>29</v>
      </c>
      <c r="AK1021" s="2" t="s">
        <v>227</v>
      </c>
      <c r="AL1021" s="2">
        <v>10</v>
      </c>
      <c r="AM1021" s="2" t="s">
        <v>200</v>
      </c>
      <c r="AN1021" s="2" t="s">
        <v>883</v>
      </c>
      <c r="AO1021" s="2"/>
      <c r="AP1021" s="2">
        <v>12</v>
      </c>
      <c r="AQ1021" s="2" t="s">
        <v>322</v>
      </c>
      <c r="AR1021" s="2" t="s">
        <v>824</v>
      </c>
      <c r="AS1021" s="2" t="s">
        <v>825</v>
      </c>
      <c r="AT1021" s="2" t="s">
        <v>3932</v>
      </c>
      <c r="AU1021" s="2"/>
      <c r="AV1021" s="2"/>
      <c r="AW1021" s="2"/>
      <c r="AX1021" s="2"/>
      <c r="AY1021" s="2">
        <v>41</v>
      </c>
      <c r="AZ1021" s="2" t="s">
        <v>82</v>
      </c>
      <c r="BA1021" s="2">
        <v>41</v>
      </c>
      <c r="BB1021" s="2" t="s">
        <v>82</v>
      </c>
      <c r="BC1021" s="2">
        <v>41</v>
      </c>
      <c r="BD1021" s="2" t="s">
        <v>82</v>
      </c>
      <c r="BE1021" s="2">
        <v>47</v>
      </c>
      <c r="BF1021" s="2" t="s">
        <v>167</v>
      </c>
      <c r="BG1021" s="2">
        <v>2459</v>
      </c>
      <c r="BH1021" s="4">
        <v>0.84027777777777779</v>
      </c>
      <c r="BI1021" s="4">
        <v>0.86458333333333337</v>
      </c>
      <c r="BJ1021" s="2">
        <v>13</v>
      </c>
      <c r="BK1021" s="2" t="s">
        <v>91</v>
      </c>
      <c r="BL1021" s="2" t="s">
        <v>828</v>
      </c>
      <c r="BM1021" s="2">
        <v>241</v>
      </c>
      <c r="BN1021" s="2" t="s">
        <v>82</v>
      </c>
      <c r="BO1021" s="2" t="s">
        <v>82</v>
      </c>
      <c r="BP1021" s="2">
        <v>13</v>
      </c>
      <c r="BQ1021" s="2" t="s">
        <v>91</v>
      </c>
      <c r="BR1021" s="2" t="s">
        <v>185</v>
      </c>
      <c r="BS1021" s="3">
        <v>40253</v>
      </c>
      <c r="BT1021" s="4">
        <v>0.74520833333333336</v>
      </c>
    </row>
    <row r="1022" spans="1:72" x14ac:dyDescent="0.25">
      <c r="A1022" s="2">
        <v>1578</v>
      </c>
      <c r="B1022" s="2">
        <v>2010</v>
      </c>
      <c r="C1022" s="2" t="s">
        <v>642</v>
      </c>
      <c r="D1022" s="2" t="s">
        <v>122</v>
      </c>
      <c r="E1022" s="2" t="s">
        <v>3933</v>
      </c>
      <c r="F1022" s="2">
        <v>100</v>
      </c>
      <c r="G1022" s="2" t="s">
        <v>517</v>
      </c>
      <c r="H1022" s="2">
        <v>47</v>
      </c>
      <c r="I1022" s="2" t="s">
        <v>1409</v>
      </c>
      <c r="J1022" s="2">
        <v>119</v>
      </c>
      <c r="K1022" s="2" t="s">
        <v>325</v>
      </c>
      <c r="L1022" s="2" t="s">
        <v>326</v>
      </c>
      <c r="M1022" s="3">
        <v>40253</v>
      </c>
      <c r="N1022" s="2" t="s">
        <v>3905</v>
      </c>
      <c r="O1022" s="2" t="s">
        <v>3906</v>
      </c>
      <c r="P1022" s="2" t="s">
        <v>519</v>
      </c>
      <c r="Q1022" s="2" t="str">
        <f>""</f>
        <v/>
      </c>
      <c r="R1022" s="2"/>
      <c r="S1022" s="2"/>
      <c r="T1022" s="2">
        <v>1</v>
      </c>
      <c r="U1022" s="2" t="s">
        <v>79</v>
      </c>
      <c r="V1022" s="2">
        <v>3</v>
      </c>
      <c r="W1022" s="2" t="s">
        <v>225</v>
      </c>
      <c r="X1022" s="2">
        <v>5</v>
      </c>
      <c r="Y1022" s="2" t="s">
        <v>82</v>
      </c>
      <c r="Z1022" s="2">
        <v>1</v>
      </c>
      <c r="AA1022" s="2" t="s">
        <v>82</v>
      </c>
      <c r="AB1022" s="2">
        <v>9</v>
      </c>
      <c r="AC1022" s="2" t="s">
        <v>124</v>
      </c>
      <c r="AD1022" s="2"/>
      <c r="AE1022" s="2"/>
      <c r="AF1022" s="2"/>
      <c r="AG1022" s="2"/>
      <c r="AH1022" s="2">
        <v>4</v>
      </c>
      <c r="AI1022" s="2" t="s">
        <v>125</v>
      </c>
      <c r="AJ1022" s="2">
        <v>26</v>
      </c>
      <c r="AK1022" s="2" t="s">
        <v>293</v>
      </c>
      <c r="AL1022" s="2">
        <v>18</v>
      </c>
      <c r="AM1022" s="2" t="s">
        <v>82</v>
      </c>
      <c r="AN1022" s="2"/>
      <c r="AO1022" s="2"/>
      <c r="AP1022" s="2">
        <v>11</v>
      </c>
      <c r="AQ1022" s="2" t="s">
        <v>82</v>
      </c>
      <c r="AR1022" s="2"/>
      <c r="AS1022" s="2"/>
      <c r="AT1022" s="2" t="s">
        <v>3934</v>
      </c>
      <c r="AU1022" s="2"/>
      <c r="AV1022" s="2"/>
      <c r="AW1022" s="2"/>
      <c r="AX1022" s="2"/>
      <c r="AY1022" s="2">
        <v>1</v>
      </c>
      <c r="AZ1022" s="2" t="s">
        <v>107</v>
      </c>
      <c r="BA1022" s="2">
        <v>1</v>
      </c>
      <c r="BB1022" s="2" t="s">
        <v>107</v>
      </c>
      <c r="BC1022" s="2">
        <v>1</v>
      </c>
      <c r="BD1022" s="2" t="s">
        <v>107</v>
      </c>
      <c r="BE1022" s="2">
        <v>1</v>
      </c>
      <c r="BF1022" s="2" t="s">
        <v>107</v>
      </c>
      <c r="BG1022" s="2"/>
      <c r="BH1022" s="2"/>
      <c r="BI1022" s="2"/>
      <c r="BJ1022" s="2">
        <v>242</v>
      </c>
      <c r="BK1022" s="2" t="s">
        <v>107</v>
      </c>
      <c r="BL1022" s="2"/>
      <c r="BM1022" s="2">
        <v>242</v>
      </c>
      <c r="BN1022" s="2" t="s">
        <v>107</v>
      </c>
      <c r="BO1022" s="2"/>
      <c r="BP1022" s="2">
        <v>242</v>
      </c>
      <c r="BQ1022" s="2" t="s">
        <v>107</v>
      </c>
      <c r="BR1022" s="2"/>
      <c r="BS1022" s="3">
        <v>40253</v>
      </c>
      <c r="BT1022" s="4">
        <v>0.7565277777777778</v>
      </c>
    </row>
    <row r="1023" spans="1:72" x14ac:dyDescent="0.25">
      <c r="A1023" s="2">
        <v>1579</v>
      </c>
      <c r="B1023" s="2">
        <v>2010</v>
      </c>
      <c r="C1023" s="2" t="s">
        <v>171</v>
      </c>
      <c r="D1023" s="2" t="s">
        <v>122</v>
      </c>
      <c r="E1023" s="2" t="s">
        <v>3935</v>
      </c>
      <c r="F1023" s="2">
        <v>159</v>
      </c>
      <c r="G1023" s="2" t="s">
        <v>3883</v>
      </c>
      <c r="H1023" s="2">
        <v>18</v>
      </c>
      <c r="I1023" s="2" t="s">
        <v>3884</v>
      </c>
      <c r="J1023" s="2">
        <v>172</v>
      </c>
      <c r="K1023" s="2" t="s">
        <v>3885</v>
      </c>
      <c r="L1023" s="2" t="s">
        <v>3886</v>
      </c>
      <c r="M1023" s="3">
        <v>40253</v>
      </c>
      <c r="N1023" s="2" t="s">
        <v>3887</v>
      </c>
      <c r="O1023" s="2" t="s">
        <v>107</v>
      </c>
      <c r="P1023" s="2" t="s">
        <v>107</v>
      </c>
      <c r="Q1023" s="2" t="str">
        <f>"105-A/10"</f>
        <v>105-A/10</v>
      </c>
      <c r="R1023" s="2" t="s">
        <v>1035</v>
      </c>
      <c r="S1023" s="2" t="s">
        <v>107</v>
      </c>
      <c r="T1023" s="2">
        <v>1</v>
      </c>
      <c r="U1023" s="2" t="s">
        <v>79</v>
      </c>
      <c r="V1023" s="2">
        <v>1</v>
      </c>
      <c r="W1023" s="2" t="s">
        <v>80</v>
      </c>
      <c r="X1023" s="2">
        <v>1</v>
      </c>
      <c r="Y1023" s="2" t="s">
        <v>81</v>
      </c>
      <c r="Z1023" s="2">
        <v>10</v>
      </c>
      <c r="AA1023" s="2" t="s">
        <v>236</v>
      </c>
      <c r="AB1023" s="2">
        <v>1</v>
      </c>
      <c r="AC1023" s="2" t="s">
        <v>178</v>
      </c>
      <c r="AD1023" s="3">
        <v>40253</v>
      </c>
      <c r="AE1023" s="4">
        <v>0.23958333333333334</v>
      </c>
      <c r="AF1023" s="3">
        <v>40253</v>
      </c>
      <c r="AG1023" s="4">
        <v>0.31944444444444448</v>
      </c>
      <c r="AH1023" s="2">
        <v>2</v>
      </c>
      <c r="AI1023" s="2" t="s">
        <v>84</v>
      </c>
      <c r="AJ1023" s="2">
        <v>12</v>
      </c>
      <c r="AK1023" s="2" t="s">
        <v>85</v>
      </c>
      <c r="AL1023" s="2">
        <v>14</v>
      </c>
      <c r="AM1023" s="2" t="s">
        <v>216</v>
      </c>
      <c r="AN1023" s="2" t="s">
        <v>919</v>
      </c>
      <c r="AO1023" s="2" t="s">
        <v>3936</v>
      </c>
      <c r="AP1023" s="2">
        <v>11</v>
      </c>
      <c r="AQ1023" s="2" t="s">
        <v>82</v>
      </c>
      <c r="AR1023" s="2"/>
      <c r="AS1023" s="2"/>
      <c r="AT1023" s="2" t="s">
        <v>3937</v>
      </c>
      <c r="AU1023" s="2">
        <v>1</v>
      </c>
      <c r="AV1023" s="2"/>
      <c r="AW1023" s="2"/>
      <c r="AX1023" s="2"/>
      <c r="AY1023" s="2">
        <v>41</v>
      </c>
      <c r="AZ1023" s="2" t="s">
        <v>82</v>
      </c>
      <c r="BA1023" s="2">
        <v>41</v>
      </c>
      <c r="BB1023" s="2" t="s">
        <v>82</v>
      </c>
      <c r="BC1023" s="2">
        <v>41</v>
      </c>
      <c r="BD1023" s="2" t="s">
        <v>82</v>
      </c>
      <c r="BE1023" s="2">
        <v>4</v>
      </c>
      <c r="BF1023" s="2" t="s">
        <v>90</v>
      </c>
      <c r="BG1023" s="2" t="s">
        <v>3890</v>
      </c>
      <c r="BH1023" s="4">
        <v>0.63194444444444442</v>
      </c>
      <c r="BI1023" s="4">
        <v>0.25694444444444448</v>
      </c>
      <c r="BJ1023" s="2">
        <v>13</v>
      </c>
      <c r="BK1023" s="2" t="s">
        <v>91</v>
      </c>
      <c r="BL1023" s="2" t="s">
        <v>185</v>
      </c>
      <c r="BM1023" s="2">
        <v>241</v>
      </c>
      <c r="BN1023" s="2" t="s">
        <v>82</v>
      </c>
      <c r="BO1023" s="2" t="s">
        <v>82</v>
      </c>
      <c r="BP1023" s="2">
        <v>13</v>
      </c>
      <c r="BQ1023" s="2" t="s">
        <v>91</v>
      </c>
      <c r="BR1023" s="2" t="s">
        <v>204</v>
      </c>
      <c r="BS1023" s="3">
        <v>40253</v>
      </c>
      <c r="BT1023" s="4">
        <v>0.76503472222222213</v>
      </c>
    </row>
    <row r="1024" spans="1:72" x14ac:dyDescent="0.25">
      <c r="A1024" s="2">
        <v>1580</v>
      </c>
      <c r="B1024" s="2">
        <v>2010</v>
      </c>
      <c r="C1024" s="2" t="s">
        <v>72</v>
      </c>
      <c r="D1024" s="2" t="s">
        <v>73</v>
      </c>
      <c r="E1024" s="2"/>
      <c r="F1024" s="2">
        <v>3</v>
      </c>
      <c r="G1024" s="2" t="s">
        <v>1041</v>
      </c>
      <c r="H1024" s="2">
        <v>1</v>
      </c>
      <c r="I1024" s="2" t="s">
        <v>82</v>
      </c>
      <c r="J1024" s="2">
        <v>368</v>
      </c>
      <c r="K1024" s="2" t="s">
        <v>1042</v>
      </c>
      <c r="L1024" s="2" t="s">
        <v>1043</v>
      </c>
      <c r="M1024" s="3">
        <v>40253</v>
      </c>
      <c r="N1024" s="2"/>
      <c r="O1024" s="2"/>
      <c r="P1024" s="2"/>
      <c r="Q1024" s="2" t="str">
        <f>"143-E/10"</f>
        <v>143-E/10</v>
      </c>
      <c r="R1024" s="2"/>
      <c r="S1024" s="2" t="s">
        <v>116</v>
      </c>
      <c r="T1024" s="2">
        <v>1</v>
      </c>
      <c r="U1024" s="2" t="s">
        <v>79</v>
      </c>
      <c r="V1024" s="2">
        <v>1</v>
      </c>
      <c r="W1024" s="2" t="s">
        <v>80</v>
      </c>
      <c r="X1024" s="2">
        <v>1</v>
      </c>
      <c r="Y1024" s="2" t="s">
        <v>81</v>
      </c>
      <c r="Z1024" s="2">
        <v>10</v>
      </c>
      <c r="AA1024" s="2" t="s">
        <v>236</v>
      </c>
      <c r="AB1024" s="2">
        <v>6</v>
      </c>
      <c r="AC1024" s="2" t="s">
        <v>83</v>
      </c>
      <c r="AD1024" s="3">
        <v>40253</v>
      </c>
      <c r="AE1024" s="4">
        <v>0.41666666666666669</v>
      </c>
      <c r="AF1024" s="3">
        <v>40253</v>
      </c>
      <c r="AG1024" s="4">
        <v>0.63194444444444442</v>
      </c>
      <c r="AH1024" s="2">
        <v>2</v>
      </c>
      <c r="AI1024" s="2" t="s">
        <v>84</v>
      </c>
      <c r="AJ1024" s="2">
        <v>9</v>
      </c>
      <c r="AK1024" s="2" t="s">
        <v>103</v>
      </c>
      <c r="AL1024" s="2">
        <v>13</v>
      </c>
      <c r="AM1024" s="2" t="s">
        <v>117</v>
      </c>
      <c r="AN1024" s="2" t="s">
        <v>1311</v>
      </c>
      <c r="AO1024" s="2"/>
      <c r="AP1024" s="2">
        <v>11</v>
      </c>
      <c r="AQ1024" s="2" t="s">
        <v>82</v>
      </c>
      <c r="AR1024" s="2"/>
      <c r="AS1024" s="2"/>
      <c r="AT1024" s="2" t="s">
        <v>3938</v>
      </c>
      <c r="AU1024" s="2"/>
      <c r="AV1024" s="2"/>
      <c r="AW1024" s="2"/>
      <c r="AX1024" s="2"/>
      <c r="AY1024" s="2">
        <v>41</v>
      </c>
      <c r="AZ1024" s="2" t="s">
        <v>82</v>
      </c>
      <c r="BA1024" s="2">
        <v>41</v>
      </c>
      <c r="BB1024" s="2" t="s">
        <v>82</v>
      </c>
      <c r="BC1024" s="2">
        <v>70</v>
      </c>
      <c r="BD1024" s="2" t="s">
        <v>236</v>
      </c>
      <c r="BE1024" s="2">
        <v>41</v>
      </c>
      <c r="BF1024" s="2" t="s">
        <v>82</v>
      </c>
      <c r="BG1024" s="2"/>
      <c r="BH1024" s="2"/>
      <c r="BI1024" s="2"/>
      <c r="BJ1024" s="2">
        <v>241</v>
      </c>
      <c r="BK1024" s="2" t="s">
        <v>82</v>
      </c>
      <c r="BL1024" s="2"/>
      <c r="BM1024" s="2">
        <v>241</v>
      </c>
      <c r="BN1024" s="2" t="s">
        <v>82</v>
      </c>
      <c r="BO1024" s="2"/>
      <c r="BP1024" s="2">
        <v>241</v>
      </c>
      <c r="BQ1024" s="2" t="s">
        <v>82</v>
      </c>
      <c r="BR1024" s="2"/>
      <c r="BS1024" s="3">
        <v>40253</v>
      </c>
      <c r="BT1024" s="4">
        <v>0.77118055555555554</v>
      </c>
    </row>
    <row r="1025" spans="1:72" x14ac:dyDescent="0.25">
      <c r="A1025" s="2">
        <v>1581</v>
      </c>
      <c r="B1025" s="2">
        <v>2010</v>
      </c>
      <c r="C1025" s="2" t="s">
        <v>72</v>
      </c>
      <c r="D1025" s="2" t="s">
        <v>73</v>
      </c>
      <c r="E1025" s="2"/>
      <c r="F1025" s="2">
        <v>3</v>
      </c>
      <c r="G1025" s="2" t="s">
        <v>1041</v>
      </c>
      <c r="H1025" s="2">
        <v>1</v>
      </c>
      <c r="I1025" s="2" t="s">
        <v>82</v>
      </c>
      <c r="J1025" s="2">
        <v>368</v>
      </c>
      <c r="K1025" s="2" t="s">
        <v>1042</v>
      </c>
      <c r="L1025" s="2" t="s">
        <v>1043</v>
      </c>
      <c r="M1025" s="3">
        <v>40253</v>
      </c>
      <c r="N1025" s="2" t="s">
        <v>107</v>
      </c>
      <c r="O1025" s="2" t="s">
        <v>107</v>
      </c>
      <c r="P1025" s="2" t="s">
        <v>107</v>
      </c>
      <c r="Q1025" s="2" t="str">
        <f>"145-E/10"</f>
        <v>145-E/10</v>
      </c>
      <c r="R1025" s="2" t="s">
        <v>601</v>
      </c>
      <c r="S1025" s="2" t="s">
        <v>601</v>
      </c>
      <c r="T1025" s="2">
        <v>1</v>
      </c>
      <c r="U1025" s="2" t="s">
        <v>79</v>
      </c>
      <c r="V1025" s="2">
        <v>1</v>
      </c>
      <c r="W1025" s="2" t="s">
        <v>80</v>
      </c>
      <c r="X1025" s="2">
        <v>5</v>
      </c>
      <c r="Y1025" s="2" t="s">
        <v>82</v>
      </c>
      <c r="Z1025" s="2">
        <v>1</v>
      </c>
      <c r="AA1025" s="2" t="s">
        <v>82</v>
      </c>
      <c r="AB1025" s="2">
        <v>6</v>
      </c>
      <c r="AC1025" s="2" t="s">
        <v>83</v>
      </c>
      <c r="AD1025" s="3">
        <v>40245</v>
      </c>
      <c r="AE1025" s="4">
        <v>0.45833333333333331</v>
      </c>
      <c r="AF1025" s="3">
        <v>40253</v>
      </c>
      <c r="AG1025" s="4">
        <v>0.59375</v>
      </c>
      <c r="AH1025" s="2">
        <v>2</v>
      </c>
      <c r="AI1025" s="2" t="s">
        <v>84</v>
      </c>
      <c r="AJ1025" s="2">
        <v>9</v>
      </c>
      <c r="AK1025" s="2" t="s">
        <v>103</v>
      </c>
      <c r="AL1025" s="2">
        <v>18</v>
      </c>
      <c r="AM1025" s="2" t="s">
        <v>82</v>
      </c>
      <c r="AN1025" s="2" t="s">
        <v>107</v>
      </c>
      <c r="AO1025" s="2" t="s">
        <v>3939</v>
      </c>
      <c r="AP1025" s="2">
        <v>11</v>
      </c>
      <c r="AQ1025" s="2" t="s">
        <v>82</v>
      </c>
      <c r="AR1025" s="2" t="s">
        <v>82</v>
      </c>
      <c r="AS1025" s="2" t="s">
        <v>82</v>
      </c>
      <c r="AT1025" s="2" t="s">
        <v>3940</v>
      </c>
      <c r="AU1025" s="2"/>
      <c r="AV1025" s="2"/>
      <c r="AW1025" s="2"/>
      <c r="AX1025" s="2"/>
      <c r="AY1025" s="2">
        <v>41</v>
      </c>
      <c r="AZ1025" s="2" t="s">
        <v>82</v>
      </c>
      <c r="BA1025" s="2">
        <v>41</v>
      </c>
      <c r="BB1025" s="2" t="s">
        <v>82</v>
      </c>
      <c r="BC1025" s="2">
        <v>41</v>
      </c>
      <c r="BD1025" s="2" t="s">
        <v>82</v>
      </c>
      <c r="BE1025" s="2">
        <v>16</v>
      </c>
      <c r="BF1025" s="2" t="s">
        <v>3583</v>
      </c>
      <c r="BG1025" s="2" t="s">
        <v>3941</v>
      </c>
      <c r="BH1025" s="4">
        <v>0.30208333333333331</v>
      </c>
      <c r="BI1025" s="4">
        <v>0</v>
      </c>
      <c r="BJ1025" s="2">
        <v>52</v>
      </c>
      <c r="BK1025" s="2" t="s">
        <v>3942</v>
      </c>
      <c r="BL1025" s="2" t="s">
        <v>3943</v>
      </c>
      <c r="BM1025" s="2">
        <v>241</v>
      </c>
      <c r="BN1025" s="2" t="s">
        <v>82</v>
      </c>
      <c r="BO1025" s="2" t="s">
        <v>82</v>
      </c>
      <c r="BP1025" s="2">
        <v>13</v>
      </c>
      <c r="BQ1025" s="2" t="s">
        <v>91</v>
      </c>
      <c r="BR1025" s="2" t="s">
        <v>185</v>
      </c>
      <c r="BS1025" s="3">
        <v>40253</v>
      </c>
      <c r="BT1025" s="4">
        <v>0.79799768518518521</v>
      </c>
    </row>
    <row r="1026" spans="1:72" x14ac:dyDescent="0.25">
      <c r="A1026" s="2">
        <v>1583</v>
      </c>
      <c r="B1026" s="2">
        <v>2010</v>
      </c>
      <c r="C1026" s="2" t="s">
        <v>906</v>
      </c>
      <c r="D1026" s="2" t="s">
        <v>122</v>
      </c>
      <c r="E1026" s="2"/>
      <c r="F1026" s="2">
        <v>1</v>
      </c>
      <c r="G1026" s="2" t="s">
        <v>82</v>
      </c>
      <c r="H1026" s="2">
        <v>1</v>
      </c>
      <c r="I1026" s="2" t="s">
        <v>82</v>
      </c>
      <c r="J1026" s="2">
        <v>1</v>
      </c>
      <c r="K1026" s="2" t="s">
        <v>107</v>
      </c>
      <c r="L1026" s="2" t="s">
        <v>107</v>
      </c>
      <c r="M1026" s="3">
        <v>40253</v>
      </c>
      <c r="N1026" s="2"/>
      <c r="O1026" s="2"/>
      <c r="P1026" s="2"/>
      <c r="Q1026" s="2" t="str">
        <f>""</f>
        <v/>
      </c>
      <c r="R1026" s="2"/>
      <c r="S1026" s="2"/>
      <c r="T1026" s="2">
        <v>1</v>
      </c>
      <c r="U1026" s="2" t="s">
        <v>79</v>
      </c>
      <c r="V1026" s="2">
        <v>1</v>
      </c>
      <c r="W1026" s="2" t="s">
        <v>80</v>
      </c>
      <c r="X1026" s="2">
        <v>5</v>
      </c>
      <c r="Y1026" s="2" t="s">
        <v>82</v>
      </c>
      <c r="Z1026" s="2">
        <v>1</v>
      </c>
      <c r="AA1026" s="2" t="s">
        <v>82</v>
      </c>
      <c r="AB1026" s="2">
        <v>9</v>
      </c>
      <c r="AC1026" s="2" t="s">
        <v>124</v>
      </c>
      <c r="AD1026" s="3">
        <v>40253</v>
      </c>
      <c r="AE1026" s="2"/>
      <c r="AF1026" s="3">
        <v>40253</v>
      </c>
      <c r="AG1026" s="4">
        <v>0.71527777777777779</v>
      </c>
      <c r="AH1026" s="2">
        <v>6</v>
      </c>
      <c r="AI1026" s="2" t="s">
        <v>197</v>
      </c>
      <c r="AJ1026" s="2">
        <v>59</v>
      </c>
      <c r="AK1026" s="2" t="s">
        <v>198</v>
      </c>
      <c r="AL1026" s="2">
        <v>18</v>
      </c>
      <c r="AM1026" s="2" t="s">
        <v>82</v>
      </c>
      <c r="AN1026" s="2" t="s">
        <v>82</v>
      </c>
      <c r="AO1026" s="2" t="s">
        <v>82</v>
      </c>
      <c r="AP1026" s="2">
        <v>11</v>
      </c>
      <c r="AQ1026" s="2" t="s">
        <v>82</v>
      </c>
      <c r="AR1026" s="2"/>
      <c r="AS1026" s="2"/>
      <c r="AT1026" s="2" t="s">
        <v>3944</v>
      </c>
      <c r="AU1026" s="2"/>
      <c r="AV1026" s="2"/>
      <c r="AW1026" s="2"/>
      <c r="AX1026" s="2"/>
      <c r="AY1026" s="2">
        <v>1</v>
      </c>
      <c r="AZ1026" s="2" t="s">
        <v>107</v>
      </c>
      <c r="BA1026" s="2">
        <v>1</v>
      </c>
      <c r="BB1026" s="2" t="s">
        <v>107</v>
      </c>
      <c r="BC1026" s="2">
        <v>1</v>
      </c>
      <c r="BD1026" s="2" t="s">
        <v>107</v>
      </c>
      <c r="BE1026" s="2">
        <v>1</v>
      </c>
      <c r="BF1026" s="2" t="s">
        <v>107</v>
      </c>
      <c r="BG1026" s="2"/>
      <c r="BH1026" s="4">
        <v>0.70833333333333337</v>
      </c>
      <c r="BI1026" s="2"/>
      <c r="BJ1026" s="2">
        <v>242</v>
      </c>
      <c r="BK1026" s="2" t="s">
        <v>107</v>
      </c>
      <c r="BL1026" s="2" t="s">
        <v>3945</v>
      </c>
      <c r="BM1026" s="2">
        <v>242</v>
      </c>
      <c r="BN1026" s="2" t="s">
        <v>107</v>
      </c>
      <c r="BO1026" s="2"/>
      <c r="BP1026" s="2">
        <v>242</v>
      </c>
      <c r="BQ1026" s="2" t="s">
        <v>107</v>
      </c>
      <c r="BR1026" s="2" t="s">
        <v>204</v>
      </c>
      <c r="BS1026" s="3">
        <v>40253</v>
      </c>
      <c r="BT1026" s="4">
        <v>0.83901620370370367</v>
      </c>
    </row>
    <row r="1027" spans="1:72" x14ac:dyDescent="0.25">
      <c r="A1027" s="2">
        <v>1584</v>
      </c>
      <c r="B1027" s="2">
        <v>2010</v>
      </c>
      <c r="C1027" s="2" t="s">
        <v>385</v>
      </c>
      <c r="D1027" s="2" t="s">
        <v>73</v>
      </c>
      <c r="E1027" s="2"/>
      <c r="F1027" s="2">
        <v>542</v>
      </c>
      <c r="G1027" s="2" t="s">
        <v>3946</v>
      </c>
      <c r="H1027" s="2">
        <v>44</v>
      </c>
      <c r="I1027" s="2" t="s">
        <v>1272</v>
      </c>
      <c r="J1027" s="2">
        <v>335</v>
      </c>
      <c r="K1027" s="2" t="s">
        <v>2804</v>
      </c>
      <c r="L1027" s="2" t="s">
        <v>3947</v>
      </c>
      <c r="M1027" s="3">
        <v>40253</v>
      </c>
      <c r="N1027" s="2" t="s">
        <v>3948</v>
      </c>
      <c r="O1027" s="2" t="s">
        <v>3949</v>
      </c>
      <c r="P1027" s="2" t="s">
        <v>3950</v>
      </c>
      <c r="Q1027" s="2" t="str">
        <f>"N/C"</f>
        <v>N/C</v>
      </c>
      <c r="R1027" s="2" t="s">
        <v>107</v>
      </c>
      <c r="S1027" s="2" t="s">
        <v>82</v>
      </c>
      <c r="T1027" s="2">
        <v>1</v>
      </c>
      <c r="U1027" s="2" t="s">
        <v>79</v>
      </c>
      <c r="V1027" s="2">
        <v>1</v>
      </c>
      <c r="W1027" s="2" t="s">
        <v>80</v>
      </c>
      <c r="X1027" s="2">
        <v>4</v>
      </c>
      <c r="Y1027" s="2" t="s">
        <v>463</v>
      </c>
      <c r="Z1027" s="2">
        <v>7</v>
      </c>
      <c r="AA1027" s="2" t="s">
        <v>1462</v>
      </c>
      <c r="AB1027" s="2">
        <v>9</v>
      </c>
      <c r="AC1027" s="2" t="s">
        <v>124</v>
      </c>
      <c r="AD1027" s="3">
        <v>40253</v>
      </c>
      <c r="AE1027" s="4">
        <v>0.65625</v>
      </c>
      <c r="AF1027" s="2"/>
      <c r="AG1027" s="2"/>
      <c r="AH1027" s="2">
        <v>2</v>
      </c>
      <c r="AI1027" s="2" t="s">
        <v>84</v>
      </c>
      <c r="AJ1027" s="2">
        <v>12</v>
      </c>
      <c r="AK1027" s="2" t="s">
        <v>85</v>
      </c>
      <c r="AL1027" s="2">
        <v>2</v>
      </c>
      <c r="AM1027" s="2" t="s">
        <v>163</v>
      </c>
      <c r="AN1027" s="2" t="s">
        <v>3951</v>
      </c>
      <c r="AO1027" s="2" t="s">
        <v>82</v>
      </c>
      <c r="AP1027" s="2">
        <v>11</v>
      </c>
      <c r="AQ1027" s="2" t="s">
        <v>82</v>
      </c>
      <c r="AR1027" s="2"/>
      <c r="AS1027" s="2"/>
      <c r="AT1027" s="2" t="s">
        <v>3952</v>
      </c>
      <c r="AU1027" s="2">
        <v>1</v>
      </c>
      <c r="AV1027" s="2"/>
      <c r="AW1027" s="2"/>
      <c r="AX1027" s="2"/>
      <c r="AY1027" s="2">
        <v>41</v>
      </c>
      <c r="AZ1027" s="2" t="s">
        <v>82</v>
      </c>
      <c r="BA1027" s="2">
        <v>41</v>
      </c>
      <c r="BB1027" s="2" t="s">
        <v>82</v>
      </c>
      <c r="BC1027" s="2">
        <v>41</v>
      </c>
      <c r="BD1027" s="2" t="s">
        <v>82</v>
      </c>
      <c r="BE1027" s="2">
        <v>13</v>
      </c>
      <c r="BF1027" s="2" t="s">
        <v>108</v>
      </c>
      <c r="BG1027" s="2" t="s">
        <v>3953</v>
      </c>
      <c r="BH1027" s="4">
        <v>0.85416666666666663</v>
      </c>
      <c r="BI1027" s="4">
        <v>0.80555555555555547</v>
      </c>
      <c r="BJ1027" s="2">
        <v>13</v>
      </c>
      <c r="BK1027" s="2" t="s">
        <v>91</v>
      </c>
      <c r="BL1027" s="2" t="s">
        <v>185</v>
      </c>
      <c r="BM1027" s="2">
        <v>241</v>
      </c>
      <c r="BN1027" s="2" t="s">
        <v>82</v>
      </c>
      <c r="BO1027" s="2" t="s">
        <v>82</v>
      </c>
      <c r="BP1027" s="2">
        <v>13</v>
      </c>
      <c r="BQ1027" s="2" t="s">
        <v>91</v>
      </c>
      <c r="BR1027" s="2" t="s">
        <v>1552</v>
      </c>
      <c r="BS1027" s="3">
        <v>40253</v>
      </c>
      <c r="BT1027" s="4">
        <v>0.8407175925925926</v>
      </c>
    </row>
    <row r="1028" spans="1:72" x14ac:dyDescent="0.25">
      <c r="A1028" s="2">
        <v>1586</v>
      </c>
      <c r="B1028" s="2">
        <v>2010</v>
      </c>
      <c r="C1028" s="2" t="s">
        <v>549</v>
      </c>
      <c r="D1028" s="2" t="s">
        <v>73</v>
      </c>
      <c r="E1028" s="2"/>
      <c r="F1028" s="2">
        <v>558</v>
      </c>
      <c r="G1028" s="2" t="s">
        <v>3954</v>
      </c>
      <c r="H1028" s="2">
        <v>11</v>
      </c>
      <c r="I1028" s="2" t="s">
        <v>1397</v>
      </c>
      <c r="J1028" s="2">
        <v>471</v>
      </c>
      <c r="K1028" s="2" t="s">
        <v>3955</v>
      </c>
      <c r="L1028" s="2" t="s">
        <v>3956</v>
      </c>
      <c r="M1028" s="3">
        <v>40254</v>
      </c>
      <c r="N1028" s="2" t="s">
        <v>3957</v>
      </c>
      <c r="O1028" s="2" t="s">
        <v>3958</v>
      </c>
      <c r="P1028" s="2" t="s">
        <v>82</v>
      </c>
      <c r="Q1028" s="2" t="str">
        <f>"0013/10"</f>
        <v>0013/10</v>
      </c>
      <c r="R1028" s="2" t="s">
        <v>3958</v>
      </c>
      <c r="S1028" s="2" t="s">
        <v>3958</v>
      </c>
      <c r="T1028" s="2">
        <v>1</v>
      </c>
      <c r="U1028" s="2" t="s">
        <v>79</v>
      </c>
      <c r="V1028" s="2">
        <v>1</v>
      </c>
      <c r="W1028" s="2" t="s">
        <v>80</v>
      </c>
      <c r="X1028" s="2">
        <v>1</v>
      </c>
      <c r="Y1028" s="2" t="s">
        <v>81</v>
      </c>
      <c r="Z1028" s="2">
        <v>10</v>
      </c>
      <c r="AA1028" s="2" t="s">
        <v>236</v>
      </c>
      <c r="AB1028" s="2">
        <v>9</v>
      </c>
      <c r="AC1028" s="2" t="s">
        <v>124</v>
      </c>
      <c r="AD1028" s="3">
        <v>40253</v>
      </c>
      <c r="AE1028" s="4">
        <v>0.80208333333333337</v>
      </c>
      <c r="AF1028" s="3">
        <v>40253</v>
      </c>
      <c r="AG1028" s="4">
        <v>0.84722222222222221</v>
      </c>
      <c r="AH1028" s="2">
        <v>5</v>
      </c>
      <c r="AI1028" s="2" t="s">
        <v>274</v>
      </c>
      <c r="AJ1028" s="2">
        <v>42</v>
      </c>
      <c r="AK1028" s="2" t="s">
        <v>660</v>
      </c>
      <c r="AL1028" s="2">
        <v>18</v>
      </c>
      <c r="AM1028" s="2" t="s">
        <v>82</v>
      </c>
      <c r="AN1028" s="2" t="s">
        <v>3959</v>
      </c>
      <c r="AO1028" s="2" t="s">
        <v>3960</v>
      </c>
      <c r="AP1028" s="2">
        <v>11</v>
      </c>
      <c r="AQ1028" s="2" t="s">
        <v>82</v>
      </c>
      <c r="AR1028" s="2" t="s">
        <v>82</v>
      </c>
      <c r="AS1028" s="2" t="s">
        <v>82</v>
      </c>
      <c r="AT1028" s="2" t="s">
        <v>3961</v>
      </c>
      <c r="AU1028" s="2"/>
      <c r="AV1028" s="2"/>
      <c r="AW1028" s="2"/>
      <c r="AX1028" s="2"/>
      <c r="AY1028" s="2">
        <v>41</v>
      </c>
      <c r="AZ1028" s="2" t="s">
        <v>82</v>
      </c>
      <c r="BA1028" s="2">
        <v>41</v>
      </c>
      <c r="BB1028" s="2" t="s">
        <v>82</v>
      </c>
      <c r="BC1028" s="2">
        <v>41</v>
      </c>
      <c r="BD1028" s="2" t="s">
        <v>82</v>
      </c>
      <c r="BE1028" s="2">
        <v>41</v>
      </c>
      <c r="BF1028" s="2" t="s">
        <v>82</v>
      </c>
      <c r="BG1028" s="2" t="s">
        <v>82</v>
      </c>
      <c r="BH1028" s="2"/>
      <c r="BI1028" s="2"/>
      <c r="BJ1028" s="2">
        <v>241</v>
      </c>
      <c r="BK1028" s="2" t="s">
        <v>82</v>
      </c>
      <c r="BL1028" s="2" t="s">
        <v>82</v>
      </c>
      <c r="BM1028" s="2">
        <v>241</v>
      </c>
      <c r="BN1028" s="2" t="s">
        <v>82</v>
      </c>
      <c r="BO1028" s="2" t="s">
        <v>82</v>
      </c>
      <c r="BP1028" s="2">
        <v>241</v>
      </c>
      <c r="BQ1028" s="2" t="s">
        <v>82</v>
      </c>
      <c r="BR1028" s="2" t="s">
        <v>82</v>
      </c>
      <c r="BS1028" s="3">
        <v>40254</v>
      </c>
      <c r="BT1028" s="4">
        <v>7.1099537037037031E-2</v>
      </c>
    </row>
    <row r="1029" spans="1:72" x14ac:dyDescent="0.25">
      <c r="A1029" s="2">
        <v>1586</v>
      </c>
      <c r="B1029" s="2">
        <v>2010</v>
      </c>
      <c r="C1029" s="2" t="s">
        <v>255</v>
      </c>
      <c r="D1029" s="2" t="s">
        <v>73</v>
      </c>
      <c r="E1029" s="2"/>
      <c r="F1029" s="2">
        <v>558</v>
      </c>
      <c r="G1029" s="2" t="s">
        <v>3954</v>
      </c>
      <c r="H1029" s="2">
        <v>11</v>
      </c>
      <c r="I1029" s="2" t="s">
        <v>1397</v>
      </c>
      <c r="J1029" s="2">
        <v>471</v>
      </c>
      <c r="K1029" s="2" t="s">
        <v>3955</v>
      </c>
      <c r="L1029" s="2" t="s">
        <v>3956</v>
      </c>
      <c r="M1029" s="3">
        <v>40254</v>
      </c>
      <c r="N1029" s="2" t="s">
        <v>3957</v>
      </c>
      <c r="O1029" s="2" t="s">
        <v>3958</v>
      </c>
      <c r="P1029" s="2" t="s">
        <v>82</v>
      </c>
      <c r="Q1029" s="2" t="str">
        <f>"0013/10"</f>
        <v>0013/10</v>
      </c>
      <c r="R1029" s="2" t="s">
        <v>3958</v>
      </c>
      <c r="S1029" s="2" t="s">
        <v>3958</v>
      </c>
      <c r="T1029" s="2">
        <v>1</v>
      </c>
      <c r="U1029" s="2" t="s">
        <v>79</v>
      </c>
      <c r="V1029" s="2">
        <v>1</v>
      </c>
      <c r="W1029" s="2" t="s">
        <v>80</v>
      </c>
      <c r="X1029" s="2">
        <v>1</v>
      </c>
      <c r="Y1029" s="2" t="s">
        <v>81</v>
      </c>
      <c r="Z1029" s="2">
        <v>10</v>
      </c>
      <c r="AA1029" s="2" t="s">
        <v>236</v>
      </c>
      <c r="AB1029" s="2">
        <v>9</v>
      </c>
      <c r="AC1029" s="2" t="s">
        <v>124</v>
      </c>
      <c r="AD1029" s="3">
        <v>40253</v>
      </c>
      <c r="AE1029" s="4">
        <v>0.80208333333333337</v>
      </c>
      <c r="AF1029" s="3">
        <v>40253</v>
      </c>
      <c r="AG1029" s="4">
        <v>0.84722222222222221</v>
      </c>
      <c r="AH1029" s="2">
        <v>5</v>
      </c>
      <c r="AI1029" s="2" t="s">
        <v>274</v>
      </c>
      <c r="AJ1029" s="2">
        <v>42</v>
      </c>
      <c r="AK1029" s="2" t="s">
        <v>660</v>
      </c>
      <c r="AL1029" s="2">
        <v>18</v>
      </c>
      <c r="AM1029" s="2" t="s">
        <v>82</v>
      </c>
      <c r="AN1029" s="2" t="s">
        <v>3959</v>
      </c>
      <c r="AO1029" s="2" t="s">
        <v>3960</v>
      </c>
      <c r="AP1029" s="2">
        <v>11</v>
      </c>
      <c r="AQ1029" s="2" t="s">
        <v>82</v>
      </c>
      <c r="AR1029" s="2" t="s">
        <v>82</v>
      </c>
      <c r="AS1029" s="2" t="s">
        <v>82</v>
      </c>
      <c r="AT1029" s="2" t="s">
        <v>3961</v>
      </c>
      <c r="AU1029" s="2"/>
      <c r="AV1029" s="2"/>
      <c r="AW1029" s="2"/>
      <c r="AX1029" s="2"/>
      <c r="AY1029" s="2">
        <v>41</v>
      </c>
      <c r="AZ1029" s="2" t="s">
        <v>82</v>
      </c>
      <c r="BA1029" s="2">
        <v>41</v>
      </c>
      <c r="BB1029" s="2" t="s">
        <v>82</v>
      </c>
      <c r="BC1029" s="2">
        <v>41</v>
      </c>
      <c r="BD1029" s="2" t="s">
        <v>82</v>
      </c>
      <c r="BE1029" s="2">
        <v>41</v>
      </c>
      <c r="BF1029" s="2" t="s">
        <v>82</v>
      </c>
      <c r="BG1029" s="2" t="s">
        <v>82</v>
      </c>
      <c r="BH1029" s="2"/>
      <c r="BI1029" s="2"/>
      <c r="BJ1029" s="2">
        <v>241</v>
      </c>
      <c r="BK1029" s="2" t="s">
        <v>82</v>
      </c>
      <c r="BL1029" s="2" t="s">
        <v>82</v>
      </c>
      <c r="BM1029" s="2">
        <v>241</v>
      </c>
      <c r="BN1029" s="2" t="s">
        <v>82</v>
      </c>
      <c r="BO1029" s="2" t="s">
        <v>82</v>
      </c>
      <c r="BP1029" s="2">
        <v>241</v>
      </c>
      <c r="BQ1029" s="2" t="s">
        <v>82</v>
      </c>
      <c r="BR1029" s="2" t="s">
        <v>82</v>
      </c>
      <c r="BS1029" s="3">
        <v>40254</v>
      </c>
      <c r="BT1029" s="4">
        <v>7.1099537037037031E-2</v>
      </c>
    </row>
    <row r="1030" spans="1:72" x14ac:dyDescent="0.25">
      <c r="A1030" s="2">
        <v>1587</v>
      </c>
      <c r="B1030" s="2">
        <v>2010</v>
      </c>
      <c r="C1030" s="2" t="s">
        <v>549</v>
      </c>
      <c r="D1030" s="2" t="s">
        <v>73</v>
      </c>
      <c r="E1030" s="2"/>
      <c r="F1030" s="2">
        <v>24</v>
      </c>
      <c r="G1030" s="2" t="s">
        <v>532</v>
      </c>
      <c r="H1030" s="2">
        <v>1</v>
      </c>
      <c r="I1030" s="2" t="s">
        <v>82</v>
      </c>
      <c r="J1030" s="2">
        <v>300</v>
      </c>
      <c r="K1030" s="2" t="s">
        <v>114</v>
      </c>
      <c r="L1030" s="2" t="s">
        <v>115</v>
      </c>
      <c r="M1030" s="3">
        <v>40254</v>
      </c>
      <c r="N1030" s="2" t="s">
        <v>82</v>
      </c>
      <c r="O1030" s="2" t="s">
        <v>107</v>
      </c>
      <c r="P1030" s="2" t="s">
        <v>107</v>
      </c>
      <c r="Q1030" s="2" t="str">
        <f>"144-E/10"</f>
        <v>144-E/10</v>
      </c>
      <c r="R1030" s="2" t="s">
        <v>107</v>
      </c>
      <c r="S1030" s="2" t="s">
        <v>3962</v>
      </c>
      <c r="T1030" s="2">
        <v>1</v>
      </c>
      <c r="U1030" s="2" t="s">
        <v>79</v>
      </c>
      <c r="V1030" s="2">
        <v>1</v>
      </c>
      <c r="W1030" s="2" t="s">
        <v>80</v>
      </c>
      <c r="X1030" s="2">
        <v>5</v>
      </c>
      <c r="Y1030" s="2" t="s">
        <v>82</v>
      </c>
      <c r="Z1030" s="2">
        <v>1</v>
      </c>
      <c r="AA1030" s="2" t="s">
        <v>82</v>
      </c>
      <c r="AB1030" s="2">
        <v>9</v>
      </c>
      <c r="AC1030" s="2" t="s">
        <v>124</v>
      </c>
      <c r="AD1030" s="3">
        <v>40249</v>
      </c>
      <c r="AE1030" s="4">
        <v>0.2638888888888889</v>
      </c>
      <c r="AF1030" s="3">
        <v>40249</v>
      </c>
      <c r="AG1030" s="4">
        <v>0.3125</v>
      </c>
      <c r="AH1030" s="2">
        <v>2</v>
      </c>
      <c r="AI1030" s="2" t="s">
        <v>84</v>
      </c>
      <c r="AJ1030" s="2">
        <v>9</v>
      </c>
      <c r="AK1030" s="2" t="s">
        <v>103</v>
      </c>
      <c r="AL1030" s="2">
        <v>9</v>
      </c>
      <c r="AM1030" s="2" t="s">
        <v>259</v>
      </c>
      <c r="AN1030" s="2" t="s">
        <v>82</v>
      </c>
      <c r="AO1030" s="2" t="s">
        <v>3963</v>
      </c>
      <c r="AP1030" s="2">
        <v>11</v>
      </c>
      <c r="AQ1030" s="2" t="s">
        <v>82</v>
      </c>
      <c r="AR1030" s="2"/>
      <c r="AS1030" s="2"/>
      <c r="AT1030" s="2" t="s">
        <v>3964</v>
      </c>
      <c r="AU1030" s="2"/>
      <c r="AV1030" s="2"/>
      <c r="AW1030" s="2"/>
      <c r="AX1030" s="2"/>
      <c r="AY1030" s="2">
        <v>41</v>
      </c>
      <c r="AZ1030" s="2" t="s">
        <v>82</v>
      </c>
      <c r="BA1030" s="2">
        <v>41</v>
      </c>
      <c r="BB1030" s="2" t="s">
        <v>82</v>
      </c>
      <c r="BC1030" s="2">
        <v>41</v>
      </c>
      <c r="BD1030" s="2" t="s">
        <v>82</v>
      </c>
      <c r="BE1030" s="2">
        <v>41</v>
      </c>
      <c r="BF1030" s="2" t="s">
        <v>82</v>
      </c>
      <c r="BG1030" s="2"/>
      <c r="BH1030" s="2"/>
      <c r="BI1030" s="2"/>
      <c r="BJ1030" s="2">
        <v>241</v>
      </c>
      <c r="BK1030" s="2" t="s">
        <v>82</v>
      </c>
      <c r="BL1030" s="2"/>
      <c r="BM1030" s="2">
        <v>241</v>
      </c>
      <c r="BN1030" s="2" t="s">
        <v>82</v>
      </c>
      <c r="BO1030" s="2"/>
      <c r="BP1030" s="2">
        <v>241</v>
      </c>
      <c r="BQ1030" s="2" t="s">
        <v>82</v>
      </c>
      <c r="BR1030" s="2"/>
      <c r="BS1030" s="3">
        <v>40254</v>
      </c>
      <c r="BT1030" s="4">
        <v>0.42233796296296294</v>
      </c>
    </row>
    <row r="1031" spans="1:72" x14ac:dyDescent="0.25">
      <c r="A1031" s="2">
        <v>1589</v>
      </c>
      <c r="B1031" s="2">
        <v>2010</v>
      </c>
      <c r="C1031" s="2" t="s">
        <v>385</v>
      </c>
      <c r="D1031" s="2" t="s">
        <v>73</v>
      </c>
      <c r="E1031" s="2"/>
      <c r="F1031" s="2">
        <v>145</v>
      </c>
      <c r="G1031" s="2" t="s">
        <v>1247</v>
      </c>
      <c r="H1031" s="2">
        <v>50</v>
      </c>
      <c r="I1031" s="2" t="s">
        <v>107</v>
      </c>
      <c r="J1031" s="2">
        <v>1</v>
      </c>
      <c r="K1031" s="2" t="s">
        <v>107</v>
      </c>
      <c r="L1031" s="2" t="s">
        <v>107</v>
      </c>
      <c r="M1031" s="3">
        <v>40254</v>
      </c>
      <c r="N1031" s="2" t="s">
        <v>107</v>
      </c>
      <c r="O1031" s="2" t="s">
        <v>3965</v>
      </c>
      <c r="P1031" s="2" t="s">
        <v>3966</v>
      </c>
      <c r="Q1031" s="2" t="str">
        <f>"N/C"</f>
        <v>N/C</v>
      </c>
      <c r="R1031" s="2" t="s">
        <v>82</v>
      </c>
      <c r="S1031" s="2" t="s">
        <v>82</v>
      </c>
      <c r="T1031" s="2">
        <v>1</v>
      </c>
      <c r="U1031" s="2" t="s">
        <v>79</v>
      </c>
      <c r="V1031" s="2">
        <v>1</v>
      </c>
      <c r="W1031" s="2" t="s">
        <v>80</v>
      </c>
      <c r="X1031" s="2">
        <v>1</v>
      </c>
      <c r="Y1031" s="2" t="s">
        <v>81</v>
      </c>
      <c r="Z1031" s="2">
        <v>1</v>
      </c>
      <c r="AA1031" s="2" t="s">
        <v>82</v>
      </c>
      <c r="AB1031" s="2">
        <v>9</v>
      </c>
      <c r="AC1031" s="2" t="s">
        <v>124</v>
      </c>
      <c r="AD1031" s="3">
        <v>40254</v>
      </c>
      <c r="AE1031" s="4">
        <v>0.38194444444444442</v>
      </c>
      <c r="AF1031" s="2"/>
      <c r="AG1031" s="2"/>
      <c r="AH1031" s="2">
        <v>2</v>
      </c>
      <c r="AI1031" s="2" t="s">
        <v>84</v>
      </c>
      <c r="AJ1031" s="2">
        <v>12</v>
      </c>
      <c r="AK1031" s="2" t="s">
        <v>85</v>
      </c>
      <c r="AL1031" s="2">
        <v>2</v>
      </c>
      <c r="AM1031" s="2" t="s">
        <v>163</v>
      </c>
      <c r="AN1031" s="2"/>
      <c r="AO1031" s="2" t="s">
        <v>1971</v>
      </c>
      <c r="AP1031" s="2">
        <v>11</v>
      </c>
      <c r="AQ1031" s="2" t="s">
        <v>82</v>
      </c>
      <c r="AR1031" s="2" t="s">
        <v>82</v>
      </c>
      <c r="AS1031" s="2" t="s">
        <v>82</v>
      </c>
      <c r="AT1031" s="2" t="s">
        <v>3967</v>
      </c>
      <c r="AU1031" s="2">
        <v>1</v>
      </c>
      <c r="AV1031" s="2"/>
      <c r="AW1031" s="2"/>
      <c r="AX1031" s="2"/>
      <c r="AY1031" s="2">
        <v>41</v>
      </c>
      <c r="AZ1031" s="2" t="s">
        <v>82</v>
      </c>
      <c r="BA1031" s="2">
        <v>41</v>
      </c>
      <c r="BB1031" s="2" t="s">
        <v>82</v>
      </c>
      <c r="BC1031" s="2">
        <v>41</v>
      </c>
      <c r="BD1031" s="2" t="s">
        <v>82</v>
      </c>
      <c r="BE1031" s="2">
        <v>13</v>
      </c>
      <c r="BF1031" s="2" t="s">
        <v>108</v>
      </c>
      <c r="BG1031" s="2" t="s">
        <v>3968</v>
      </c>
      <c r="BH1031" s="4">
        <v>0.52083333333333337</v>
      </c>
      <c r="BI1031" s="4">
        <v>0.38194444444444442</v>
      </c>
      <c r="BJ1031" s="2">
        <v>13</v>
      </c>
      <c r="BK1031" s="2" t="s">
        <v>91</v>
      </c>
      <c r="BL1031" s="2" t="s">
        <v>185</v>
      </c>
      <c r="BM1031" s="2">
        <v>241</v>
      </c>
      <c r="BN1031" s="2" t="s">
        <v>82</v>
      </c>
      <c r="BO1031" s="2"/>
      <c r="BP1031" s="2">
        <v>13</v>
      </c>
      <c r="BQ1031" s="2" t="s">
        <v>91</v>
      </c>
      <c r="BR1031" s="2" t="s">
        <v>895</v>
      </c>
      <c r="BS1031" s="3">
        <v>40254</v>
      </c>
      <c r="BT1031" s="4">
        <v>0.47413194444444445</v>
      </c>
    </row>
    <row r="1032" spans="1:72" x14ac:dyDescent="0.25">
      <c r="A1032" s="2">
        <v>1594</v>
      </c>
      <c r="B1032" s="2">
        <v>2010</v>
      </c>
      <c r="C1032" s="2" t="s">
        <v>72</v>
      </c>
      <c r="D1032" s="2" t="s">
        <v>73</v>
      </c>
      <c r="E1032" s="2"/>
      <c r="F1032" s="2">
        <v>545</v>
      </c>
      <c r="G1032" s="2" t="s">
        <v>3969</v>
      </c>
      <c r="H1032" s="2">
        <v>42</v>
      </c>
      <c r="I1032" s="2" t="s">
        <v>1096</v>
      </c>
      <c r="J1032" s="2">
        <v>159</v>
      </c>
      <c r="K1032" s="2" t="s">
        <v>771</v>
      </c>
      <c r="L1032" s="2" t="s">
        <v>772</v>
      </c>
      <c r="M1032" s="3">
        <v>40254</v>
      </c>
      <c r="N1032" s="2" t="s">
        <v>3970</v>
      </c>
      <c r="O1032" s="2" t="s">
        <v>107</v>
      </c>
      <c r="P1032" s="2" t="s">
        <v>107</v>
      </c>
      <c r="Q1032" s="2" t="str">
        <f>"AP 0013/10 UOUSU"</f>
        <v>AP 0013/10 UOUSU</v>
      </c>
      <c r="R1032" s="2"/>
      <c r="S1032" s="2" t="s">
        <v>3971</v>
      </c>
      <c r="T1032" s="2">
        <v>1</v>
      </c>
      <c r="U1032" s="2" t="s">
        <v>79</v>
      </c>
      <c r="V1032" s="2">
        <v>1</v>
      </c>
      <c r="W1032" s="2" t="s">
        <v>80</v>
      </c>
      <c r="X1032" s="2">
        <v>1</v>
      </c>
      <c r="Y1032" s="2" t="s">
        <v>81</v>
      </c>
      <c r="Z1032" s="2">
        <v>10</v>
      </c>
      <c r="AA1032" s="2" t="s">
        <v>236</v>
      </c>
      <c r="AB1032" s="2">
        <v>6</v>
      </c>
      <c r="AC1032" s="2" t="s">
        <v>83</v>
      </c>
      <c r="AD1032" s="3">
        <v>40254</v>
      </c>
      <c r="AE1032" s="4">
        <v>0.46875</v>
      </c>
      <c r="AF1032" s="2"/>
      <c r="AG1032" s="2"/>
      <c r="AH1032" s="2">
        <v>6</v>
      </c>
      <c r="AI1032" s="2" t="s">
        <v>197</v>
      </c>
      <c r="AJ1032" s="2">
        <v>60</v>
      </c>
      <c r="AK1032" s="2" t="s">
        <v>543</v>
      </c>
      <c r="AL1032" s="2">
        <v>14</v>
      </c>
      <c r="AM1032" s="2" t="s">
        <v>216</v>
      </c>
      <c r="AN1032" s="2" t="s">
        <v>3972</v>
      </c>
      <c r="AO1032" s="2" t="s">
        <v>2887</v>
      </c>
      <c r="AP1032" s="2">
        <v>11</v>
      </c>
      <c r="AQ1032" s="2" t="s">
        <v>82</v>
      </c>
      <c r="AR1032" s="2" t="s">
        <v>82</v>
      </c>
      <c r="AS1032" s="2" t="s">
        <v>82</v>
      </c>
      <c r="AT1032" s="2" t="s">
        <v>3973</v>
      </c>
      <c r="AU1032" s="2"/>
      <c r="AV1032" s="2">
        <v>1</v>
      </c>
      <c r="AW1032" s="2"/>
      <c r="AX1032" s="2"/>
      <c r="AY1032" s="2">
        <v>13</v>
      </c>
      <c r="AZ1032" s="2" t="s">
        <v>108</v>
      </c>
      <c r="BA1032" s="2">
        <v>41</v>
      </c>
      <c r="BB1032" s="2" t="s">
        <v>82</v>
      </c>
      <c r="BC1032" s="2">
        <v>70</v>
      </c>
      <c r="BD1032" s="2" t="s">
        <v>236</v>
      </c>
      <c r="BE1032" s="2">
        <v>13</v>
      </c>
      <c r="BF1032" s="2" t="s">
        <v>108</v>
      </c>
      <c r="BG1032" s="2">
        <v>1852</v>
      </c>
      <c r="BH1032" s="4">
        <v>0.45833333333333331</v>
      </c>
      <c r="BI1032" s="4">
        <v>0.49305555555555558</v>
      </c>
      <c r="BJ1032" s="2">
        <v>13</v>
      </c>
      <c r="BK1032" s="2" t="s">
        <v>91</v>
      </c>
      <c r="BL1032" s="2" t="s">
        <v>3974</v>
      </c>
      <c r="BM1032" s="2">
        <v>13</v>
      </c>
      <c r="BN1032" s="2" t="s">
        <v>91</v>
      </c>
      <c r="BO1032" s="2" t="s">
        <v>82</v>
      </c>
      <c r="BP1032" s="2">
        <v>13</v>
      </c>
      <c r="BQ1032" s="2" t="s">
        <v>91</v>
      </c>
      <c r="BR1032" s="2" t="s">
        <v>3975</v>
      </c>
      <c r="BS1032" s="3">
        <v>40254</v>
      </c>
      <c r="BT1032" s="4">
        <v>0.57105324074074071</v>
      </c>
    </row>
    <row r="1033" spans="1:72" x14ac:dyDescent="0.25">
      <c r="A1033" s="2">
        <v>1596</v>
      </c>
      <c r="B1033" s="2">
        <v>2010</v>
      </c>
      <c r="C1033" s="2" t="s">
        <v>906</v>
      </c>
      <c r="D1033" s="2" t="s">
        <v>122</v>
      </c>
      <c r="E1033" s="2"/>
      <c r="F1033" s="2">
        <v>1</v>
      </c>
      <c r="G1033" s="2" t="s">
        <v>82</v>
      </c>
      <c r="H1033" s="2">
        <v>1</v>
      </c>
      <c r="I1033" s="2" t="s">
        <v>82</v>
      </c>
      <c r="J1033" s="2">
        <v>1</v>
      </c>
      <c r="K1033" s="2" t="s">
        <v>107</v>
      </c>
      <c r="L1033" s="2" t="s">
        <v>107</v>
      </c>
      <c r="M1033" s="3">
        <v>40254</v>
      </c>
      <c r="N1033" s="2"/>
      <c r="O1033" s="2" t="s">
        <v>82</v>
      </c>
      <c r="P1033" s="2"/>
      <c r="Q1033" s="2" t="str">
        <f>""</f>
        <v/>
      </c>
      <c r="R1033" s="2" t="s">
        <v>82</v>
      </c>
      <c r="S1033" s="2" t="s">
        <v>82</v>
      </c>
      <c r="T1033" s="2">
        <v>1</v>
      </c>
      <c r="U1033" s="2" t="s">
        <v>79</v>
      </c>
      <c r="V1033" s="2">
        <v>1</v>
      </c>
      <c r="W1033" s="2" t="s">
        <v>80</v>
      </c>
      <c r="X1033" s="2">
        <v>5</v>
      </c>
      <c r="Y1033" s="2" t="s">
        <v>82</v>
      </c>
      <c r="Z1033" s="2">
        <v>1</v>
      </c>
      <c r="AA1033" s="2" t="s">
        <v>82</v>
      </c>
      <c r="AB1033" s="2">
        <v>9</v>
      </c>
      <c r="AC1033" s="2" t="s">
        <v>124</v>
      </c>
      <c r="AD1033" s="3">
        <v>40254</v>
      </c>
      <c r="AE1033" s="4">
        <v>0.35416666666666669</v>
      </c>
      <c r="AF1033" s="3">
        <v>40254</v>
      </c>
      <c r="AG1033" s="4">
        <v>0.53125</v>
      </c>
      <c r="AH1033" s="2">
        <v>6</v>
      </c>
      <c r="AI1033" s="2" t="s">
        <v>197</v>
      </c>
      <c r="AJ1033" s="2">
        <v>59</v>
      </c>
      <c r="AK1033" s="2" t="s">
        <v>198</v>
      </c>
      <c r="AL1033" s="2">
        <v>11</v>
      </c>
      <c r="AM1033" s="2" t="s">
        <v>137</v>
      </c>
      <c r="AN1033" s="2" t="s">
        <v>3976</v>
      </c>
      <c r="AO1033" s="2" t="s">
        <v>82</v>
      </c>
      <c r="AP1033" s="2">
        <v>11</v>
      </c>
      <c r="AQ1033" s="2" t="s">
        <v>82</v>
      </c>
      <c r="AR1033" s="2"/>
      <c r="AS1033" s="2"/>
      <c r="AT1033" s="2" t="s">
        <v>3977</v>
      </c>
      <c r="AU1033" s="2"/>
      <c r="AV1033" s="2"/>
      <c r="AW1033" s="2"/>
      <c r="AX1033" s="2"/>
      <c r="AY1033" s="2">
        <v>41</v>
      </c>
      <c r="AZ1033" s="2" t="s">
        <v>82</v>
      </c>
      <c r="BA1033" s="2">
        <v>41</v>
      </c>
      <c r="BB1033" s="2" t="s">
        <v>82</v>
      </c>
      <c r="BC1033" s="2">
        <v>41</v>
      </c>
      <c r="BD1033" s="2" t="s">
        <v>82</v>
      </c>
      <c r="BE1033" s="2">
        <v>13</v>
      </c>
      <c r="BF1033" s="2" t="s">
        <v>108</v>
      </c>
      <c r="BG1033" s="2">
        <v>2872</v>
      </c>
      <c r="BH1033" s="4">
        <v>0.52083333333333337</v>
      </c>
      <c r="BI1033" s="2"/>
      <c r="BJ1033" s="2">
        <v>13</v>
      </c>
      <c r="BK1033" s="2" t="s">
        <v>91</v>
      </c>
      <c r="BL1033" s="2" t="s">
        <v>524</v>
      </c>
      <c r="BM1033" s="2">
        <v>13</v>
      </c>
      <c r="BN1033" s="2" t="s">
        <v>91</v>
      </c>
      <c r="BO1033" s="2"/>
      <c r="BP1033" s="2">
        <v>13</v>
      </c>
      <c r="BQ1033" s="2" t="s">
        <v>91</v>
      </c>
      <c r="BR1033" s="2" t="s">
        <v>3339</v>
      </c>
      <c r="BS1033" s="3">
        <v>40254</v>
      </c>
      <c r="BT1033" s="4">
        <v>0.59649305555555554</v>
      </c>
    </row>
    <row r="1034" spans="1:72" x14ac:dyDescent="0.25">
      <c r="A1034" s="2">
        <v>1599</v>
      </c>
      <c r="B1034" s="2">
        <v>2010</v>
      </c>
      <c r="C1034" s="2" t="s">
        <v>385</v>
      </c>
      <c r="D1034" s="2" t="s">
        <v>122</v>
      </c>
      <c r="E1034" s="2"/>
      <c r="F1034" s="2">
        <v>145</v>
      </c>
      <c r="G1034" s="2" t="s">
        <v>1247</v>
      </c>
      <c r="H1034" s="2">
        <v>42</v>
      </c>
      <c r="I1034" s="2" t="s">
        <v>1096</v>
      </c>
      <c r="J1034" s="2">
        <v>378</v>
      </c>
      <c r="K1034" s="2" t="s">
        <v>1248</v>
      </c>
      <c r="L1034" s="2" t="s">
        <v>1249</v>
      </c>
      <c r="M1034" s="3">
        <v>40254</v>
      </c>
      <c r="N1034" s="2" t="s">
        <v>3978</v>
      </c>
      <c r="O1034" s="2" t="s">
        <v>3979</v>
      </c>
      <c r="P1034" s="2" t="s">
        <v>107</v>
      </c>
      <c r="Q1034" s="2" t="str">
        <f>"N/C"</f>
        <v>N/C</v>
      </c>
      <c r="R1034" s="2" t="s">
        <v>82</v>
      </c>
      <c r="S1034" s="2" t="s">
        <v>82</v>
      </c>
      <c r="T1034" s="2">
        <v>1</v>
      </c>
      <c r="U1034" s="2" t="s">
        <v>79</v>
      </c>
      <c r="V1034" s="2">
        <v>1</v>
      </c>
      <c r="W1034" s="2" t="s">
        <v>80</v>
      </c>
      <c r="X1034" s="2">
        <v>4</v>
      </c>
      <c r="Y1034" s="2" t="s">
        <v>463</v>
      </c>
      <c r="Z1034" s="2">
        <v>1</v>
      </c>
      <c r="AA1034" s="2" t="s">
        <v>82</v>
      </c>
      <c r="AB1034" s="2">
        <v>9</v>
      </c>
      <c r="AC1034" s="2" t="s">
        <v>124</v>
      </c>
      <c r="AD1034" s="3">
        <v>40252</v>
      </c>
      <c r="AE1034" s="4">
        <v>0.53472222222222221</v>
      </c>
      <c r="AF1034" s="2"/>
      <c r="AG1034" s="2"/>
      <c r="AH1034" s="2">
        <v>6</v>
      </c>
      <c r="AI1034" s="2" t="s">
        <v>197</v>
      </c>
      <c r="AJ1034" s="2">
        <v>60</v>
      </c>
      <c r="AK1034" s="2" t="s">
        <v>543</v>
      </c>
      <c r="AL1034" s="2">
        <v>9</v>
      </c>
      <c r="AM1034" s="2" t="s">
        <v>259</v>
      </c>
      <c r="AN1034" s="2"/>
      <c r="AO1034" s="2" t="s">
        <v>3980</v>
      </c>
      <c r="AP1034" s="2">
        <v>11</v>
      </c>
      <c r="AQ1034" s="2" t="s">
        <v>82</v>
      </c>
      <c r="AR1034" s="2"/>
      <c r="AS1034" s="2"/>
      <c r="AT1034" s="2" t="s">
        <v>3981</v>
      </c>
      <c r="AU1034" s="2"/>
      <c r="AV1034" s="2"/>
      <c r="AW1034" s="2"/>
      <c r="AX1034" s="2"/>
      <c r="AY1034" s="2">
        <v>41</v>
      </c>
      <c r="AZ1034" s="2" t="s">
        <v>82</v>
      </c>
      <c r="BA1034" s="2">
        <v>41</v>
      </c>
      <c r="BB1034" s="2" t="s">
        <v>82</v>
      </c>
      <c r="BC1034" s="2">
        <v>41</v>
      </c>
      <c r="BD1034" s="2" t="s">
        <v>82</v>
      </c>
      <c r="BE1034" s="2">
        <v>13</v>
      </c>
      <c r="BF1034" s="2" t="s">
        <v>108</v>
      </c>
      <c r="BG1034" s="2" t="s">
        <v>3968</v>
      </c>
      <c r="BH1034" s="4">
        <v>0.53472222222222221</v>
      </c>
      <c r="BI1034" s="4">
        <v>0.38194444444444442</v>
      </c>
      <c r="BJ1034" s="2">
        <v>13</v>
      </c>
      <c r="BK1034" s="2" t="s">
        <v>91</v>
      </c>
      <c r="BL1034" s="2" t="s">
        <v>3982</v>
      </c>
      <c r="BM1034" s="2">
        <v>13</v>
      </c>
      <c r="BN1034" s="2" t="s">
        <v>91</v>
      </c>
      <c r="BO1034" s="2" t="s">
        <v>82</v>
      </c>
      <c r="BP1034" s="2">
        <v>13</v>
      </c>
      <c r="BQ1034" s="2" t="s">
        <v>91</v>
      </c>
      <c r="BR1034" s="2" t="s">
        <v>895</v>
      </c>
      <c r="BS1034" s="3">
        <v>40254</v>
      </c>
      <c r="BT1034" s="4">
        <v>0.6038310185185185</v>
      </c>
    </row>
    <row r="1035" spans="1:72" x14ac:dyDescent="0.25">
      <c r="A1035" s="2">
        <v>1601</v>
      </c>
      <c r="B1035" s="2">
        <v>2010</v>
      </c>
      <c r="C1035" s="2" t="s">
        <v>819</v>
      </c>
      <c r="D1035" s="2" t="s">
        <v>73</v>
      </c>
      <c r="E1035" s="2"/>
      <c r="F1035" s="2">
        <v>400</v>
      </c>
      <c r="G1035" s="2" t="s">
        <v>3601</v>
      </c>
      <c r="H1035" s="2">
        <v>17</v>
      </c>
      <c r="I1035" s="2" t="s">
        <v>3602</v>
      </c>
      <c r="J1035" s="2">
        <v>316</v>
      </c>
      <c r="K1035" s="2" t="s">
        <v>574</v>
      </c>
      <c r="L1035" s="2" t="s">
        <v>575</v>
      </c>
      <c r="M1035" s="3">
        <v>40254</v>
      </c>
      <c r="N1035" s="2" t="s">
        <v>3674</v>
      </c>
      <c r="O1035" s="2" t="s">
        <v>3983</v>
      </c>
      <c r="P1035" s="2" t="s">
        <v>107</v>
      </c>
      <c r="Q1035" s="2" t="str">
        <f>"990/08"</f>
        <v>990/08</v>
      </c>
      <c r="R1035" s="2" t="s">
        <v>107</v>
      </c>
      <c r="S1035" s="2" t="s">
        <v>107</v>
      </c>
      <c r="T1035" s="2">
        <v>1</v>
      </c>
      <c r="U1035" s="2" t="s">
        <v>79</v>
      </c>
      <c r="V1035" s="2">
        <v>1</v>
      </c>
      <c r="W1035" s="2" t="s">
        <v>80</v>
      </c>
      <c r="X1035" s="2">
        <v>1</v>
      </c>
      <c r="Y1035" s="2" t="s">
        <v>81</v>
      </c>
      <c r="Z1035" s="2">
        <v>1</v>
      </c>
      <c r="AA1035" s="2" t="s">
        <v>82</v>
      </c>
      <c r="AB1035" s="2">
        <v>9</v>
      </c>
      <c r="AC1035" s="2" t="s">
        <v>124</v>
      </c>
      <c r="AD1035" s="3">
        <v>40254</v>
      </c>
      <c r="AE1035" s="4">
        <v>0.45833333333333331</v>
      </c>
      <c r="AF1035" s="2"/>
      <c r="AG1035" s="2"/>
      <c r="AH1035" s="2">
        <v>2</v>
      </c>
      <c r="AI1035" s="2" t="s">
        <v>84</v>
      </c>
      <c r="AJ1035" s="2">
        <v>12</v>
      </c>
      <c r="AK1035" s="2" t="s">
        <v>85</v>
      </c>
      <c r="AL1035" s="2">
        <v>18</v>
      </c>
      <c r="AM1035" s="2" t="s">
        <v>82</v>
      </c>
      <c r="AN1035" s="2" t="s">
        <v>3984</v>
      </c>
      <c r="AO1035" s="2" t="s">
        <v>3985</v>
      </c>
      <c r="AP1035" s="2">
        <v>11</v>
      </c>
      <c r="AQ1035" s="2" t="s">
        <v>82</v>
      </c>
      <c r="AR1035" s="2"/>
      <c r="AS1035" s="2"/>
      <c r="AT1035" s="2" t="s">
        <v>3986</v>
      </c>
      <c r="AU1035" s="2">
        <v>1</v>
      </c>
      <c r="AV1035" s="2"/>
      <c r="AW1035" s="2"/>
      <c r="AX1035" s="2"/>
      <c r="AY1035" s="2">
        <v>41</v>
      </c>
      <c r="AZ1035" s="2" t="s">
        <v>82</v>
      </c>
      <c r="BA1035" s="2">
        <v>41</v>
      </c>
      <c r="BB1035" s="2" t="s">
        <v>82</v>
      </c>
      <c r="BC1035" s="2">
        <v>41</v>
      </c>
      <c r="BD1035" s="2" t="s">
        <v>82</v>
      </c>
      <c r="BE1035" s="2">
        <v>41</v>
      </c>
      <c r="BF1035" s="2" t="s">
        <v>82</v>
      </c>
      <c r="BG1035" s="2"/>
      <c r="BH1035" s="2"/>
      <c r="BI1035" s="2"/>
      <c r="BJ1035" s="2">
        <v>241</v>
      </c>
      <c r="BK1035" s="2" t="s">
        <v>82</v>
      </c>
      <c r="BL1035" s="2"/>
      <c r="BM1035" s="2">
        <v>241</v>
      </c>
      <c r="BN1035" s="2" t="s">
        <v>82</v>
      </c>
      <c r="BO1035" s="2"/>
      <c r="BP1035" s="2">
        <v>241</v>
      </c>
      <c r="BQ1035" s="2" t="s">
        <v>82</v>
      </c>
      <c r="BR1035" s="2"/>
      <c r="BS1035" s="3">
        <v>40254</v>
      </c>
      <c r="BT1035" s="4">
        <v>0.68733796296296301</v>
      </c>
    </row>
    <row r="1036" spans="1:72" x14ac:dyDescent="0.25">
      <c r="A1036" s="2">
        <v>1605</v>
      </c>
      <c r="B1036" s="2">
        <v>2010</v>
      </c>
      <c r="C1036" s="2" t="s">
        <v>93</v>
      </c>
      <c r="D1036" s="2" t="s">
        <v>73</v>
      </c>
      <c r="E1036" s="2"/>
      <c r="F1036" s="2">
        <v>212</v>
      </c>
      <c r="G1036" s="2" t="s">
        <v>3987</v>
      </c>
      <c r="H1036" s="2">
        <v>72</v>
      </c>
      <c r="I1036" s="2" t="s">
        <v>3988</v>
      </c>
      <c r="J1036" s="2">
        <v>474</v>
      </c>
      <c r="K1036" s="2" t="s">
        <v>3989</v>
      </c>
      <c r="L1036" s="2" t="s">
        <v>3990</v>
      </c>
      <c r="M1036" s="3">
        <v>40254</v>
      </c>
      <c r="N1036" s="2" t="s">
        <v>3991</v>
      </c>
      <c r="O1036" s="2" t="s">
        <v>3992</v>
      </c>
      <c r="P1036" s="2" t="s">
        <v>107</v>
      </c>
      <c r="Q1036" s="2" t="str">
        <f>"S/N"</f>
        <v>S/N</v>
      </c>
      <c r="R1036" s="2" t="s">
        <v>100</v>
      </c>
      <c r="S1036" s="2" t="s">
        <v>100</v>
      </c>
      <c r="T1036" s="2">
        <v>1</v>
      </c>
      <c r="U1036" s="2" t="s">
        <v>79</v>
      </c>
      <c r="V1036" s="2">
        <v>1</v>
      </c>
      <c r="W1036" s="2" t="s">
        <v>80</v>
      </c>
      <c r="X1036" s="2">
        <v>1</v>
      </c>
      <c r="Y1036" s="2" t="s">
        <v>81</v>
      </c>
      <c r="Z1036" s="2">
        <v>1</v>
      </c>
      <c r="AA1036" s="2" t="s">
        <v>82</v>
      </c>
      <c r="AB1036" s="2">
        <v>2</v>
      </c>
      <c r="AC1036" s="2" t="s">
        <v>102</v>
      </c>
      <c r="AD1036" s="3">
        <v>40254</v>
      </c>
      <c r="AE1036" s="4">
        <v>0.39583333333333331</v>
      </c>
      <c r="AF1036" s="3">
        <v>40254</v>
      </c>
      <c r="AG1036" s="4">
        <v>0.54166666666666663</v>
      </c>
      <c r="AH1036" s="2">
        <v>2</v>
      </c>
      <c r="AI1036" s="2" t="s">
        <v>84</v>
      </c>
      <c r="AJ1036" s="2">
        <v>9</v>
      </c>
      <c r="AK1036" s="2" t="s">
        <v>103</v>
      </c>
      <c r="AL1036" s="2">
        <v>14</v>
      </c>
      <c r="AM1036" s="2" t="s">
        <v>216</v>
      </c>
      <c r="AN1036" s="2" t="s">
        <v>105</v>
      </c>
      <c r="AO1036" s="2" t="s">
        <v>82</v>
      </c>
      <c r="AP1036" s="2">
        <v>11</v>
      </c>
      <c r="AQ1036" s="2" t="s">
        <v>82</v>
      </c>
      <c r="AR1036" s="2"/>
      <c r="AS1036" s="2"/>
      <c r="AT1036" s="2" t="s">
        <v>3993</v>
      </c>
      <c r="AU1036" s="2">
        <v>1</v>
      </c>
      <c r="AV1036" s="2"/>
      <c r="AW1036" s="2"/>
      <c r="AX1036" s="2"/>
      <c r="AY1036" s="2">
        <v>41</v>
      </c>
      <c r="AZ1036" s="2" t="s">
        <v>82</v>
      </c>
      <c r="BA1036" s="2">
        <v>41</v>
      </c>
      <c r="BB1036" s="2" t="s">
        <v>82</v>
      </c>
      <c r="BC1036" s="2">
        <v>41</v>
      </c>
      <c r="BD1036" s="2" t="s">
        <v>82</v>
      </c>
      <c r="BE1036" s="2">
        <v>17</v>
      </c>
      <c r="BF1036" s="2" t="s">
        <v>508</v>
      </c>
      <c r="BG1036" s="2" t="s">
        <v>3994</v>
      </c>
      <c r="BH1036" s="4">
        <v>0.35416666666666669</v>
      </c>
      <c r="BI1036" s="2"/>
      <c r="BJ1036" s="2">
        <v>75</v>
      </c>
      <c r="BK1036" s="2" t="s">
        <v>1264</v>
      </c>
      <c r="BL1036" s="2" t="s">
        <v>1361</v>
      </c>
      <c r="BM1036" s="2">
        <v>241</v>
      </c>
      <c r="BN1036" s="2" t="s">
        <v>82</v>
      </c>
      <c r="BO1036" s="2" t="s">
        <v>82</v>
      </c>
      <c r="BP1036" s="2">
        <v>13</v>
      </c>
      <c r="BQ1036" s="2" t="s">
        <v>91</v>
      </c>
      <c r="BR1036" s="2" t="s">
        <v>1362</v>
      </c>
      <c r="BS1036" s="3">
        <v>40254</v>
      </c>
      <c r="BT1036" s="4">
        <v>0.74840277777777775</v>
      </c>
    </row>
    <row r="1037" spans="1:72" x14ac:dyDescent="0.25">
      <c r="A1037" s="2">
        <v>1607</v>
      </c>
      <c r="B1037" s="2">
        <v>2010</v>
      </c>
      <c r="C1037" s="2" t="s">
        <v>93</v>
      </c>
      <c r="D1037" s="2" t="s">
        <v>73</v>
      </c>
      <c r="E1037" s="2"/>
      <c r="F1037" s="2">
        <v>448</v>
      </c>
      <c r="G1037" s="2" t="s">
        <v>863</v>
      </c>
      <c r="H1037" s="2">
        <v>22</v>
      </c>
      <c r="I1037" s="2" t="s">
        <v>75</v>
      </c>
      <c r="J1037" s="2">
        <v>140</v>
      </c>
      <c r="K1037" s="2" t="s">
        <v>864</v>
      </c>
      <c r="L1037" s="2" t="s">
        <v>865</v>
      </c>
      <c r="M1037" s="3">
        <v>40254</v>
      </c>
      <c r="N1037" s="2" t="s">
        <v>3995</v>
      </c>
      <c r="O1037" s="2" t="s">
        <v>602</v>
      </c>
      <c r="P1037" s="2" t="s">
        <v>3996</v>
      </c>
      <c r="Q1037" s="2" t="str">
        <f>"N/C"</f>
        <v>N/C</v>
      </c>
      <c r="R1037" s="2" t="s">
        <v>82</v>
      </c>
      <c r="S1037" s="2" t="s">
        <v>2948</v>
      </c>
      <c r="T1037" s="2">
        <v>1</v>
      </c>
      <c r="U1037" s="2" t="s">
        <v>79</v>
      </c>
      <c r="V1037" s="2">
        <v>1</v>
      </c>
      <c r="W1037" s="2" t="s">
        <v>80</v>
      </c>
      <c r="X1037" s="2">
        <v>1</v>
      </c>
      <c r="Y1037" s="2" t="s">
        <v>81</v>
      </c>
      <c r="Z1037" s="2">
        <v>10</v>
      </c>
      <c r="AA1037" s="2" t="s">
        <v>236</v>
      </c>
      <c r="AB1037" s="2">
        <v>2</v>
      </c>
      <c r="AC1037" s="2" t="s">
        <v>102</v>
      </c>
      <c r="AD1037" s="3">
        <v>40254</v>
      </c>
      <c r="AE1037" s="4">
        <v>0.67361111111111116</v>
      </c>
      <c r="AF1037" s="2"/>
      <c r="AG1037" s="2"/>
      <c r="AH1037" s="2">
        <v>6</v>
      </c>
      <c r="AI1037" s="2" t="s">
        <v>197</v>
      </c>
      <c r="AJ1037" s="2">
        <v>61</v>
      </c>
      <c r="AK1037" s="2" t="s">
        <v>686</v>
      </c>
      <c r="AL1037" s="2">
        <v>11</v>
      </c>
      <c r="AM1037" s="2" t="s">
        <v>137</v>
      </c>
      <c r="AN1037" s="2" t="s">
        <v>137</v>
      </c>
      <c r="AO1037" s="2" t="s">
        <v>82</v>
      </c>
      <c r="AP1037" s="2">
        <v>11</v>
      </c>
      <c r="AQ1037" s="2" t="s">
        <v>82</v>
      </c>
      <c r="AR1037" s="2"/>
      <c r="AS1037" s="2"/>
      <c r="AT1037" s="2" t="s">
        <v>3997</v>
      </c>
      <c r="AU1037" s="2"/>
      <c r="AV1037" s="2"/>
      <c r="AW1037" s="2"/>
      <c r="AX1037" s="2"/>
      <c r="AY1037" s="2">
        <v>41</v>
      </c>
      <c r="AZ1037" s="2" t="s">
        <v>82</v>
      </c>
      <c r="BA1037" s="2">
        <v>41</v>
      </c>
      <c r="BB1037" s="2" t="s">
        <v>82</v>
      </c>
      <c r="BC1037" s="2">
        <v>41</v>
      </c>
      <c r="BD1037" s="2" t="s">
        <v>82</v>
      </c>
      <c r="BE1037" s="2">
        <v>49</v>
      </c>
      <c r="BF1037" s="2" t="s">
        <v>1254</v>
      </c>
      <c r="BG1037" s="2" t="s">
        <v>3998</v>
      </c>
      <c r="BH1037" s="4">
        <v>0.66388888888888886</v>
      </c>
      <c r="BI1037" s="4">
        <v>0.70138888888888884</v>
      </c>
      <c r="BJ1037" s="2">
        <v>13</v>
      </c>
      <c r="BK1037" s="2" t="s">
        <v>91</v>
      </c>
      <c r="BL1037" s="2" t="s">
        <v>690</v>
      </c>
      <c r="BM1037" s="2">
        <v>13</v>
      </c>
      <c r="BN1037" s="2" t="s">
        <v>91</v>
      </c>
      <c r="BO1037" s="2" t="s">
        <v>492</v>
      </c>
      <c r="BP1037" s="2">
        <v>13</v>
      </c>
      <c r="BQ1037" s="2" t="s">
        <v>91</v>
      </c>
      <c r="BR1037" s="2" t="s">
        <v>353</v>
      </c>
      <c r="BS1037" s="3">
        <v>40254</v>
      </c>
      <c r="BT1037" s="4">
        <v>0.82104166666666656</v>
      </c>
    </row>
    <row r="1038" spans="1:72" x14ac:dyDescent="0.25">
      <c r="A1038" s="2">
        <v>1608</v>
      </c>
      <c r="B1038" s="2">
        <v>2010</v>
      </c>
      <c r="C1038" s="2" t="s">
        <v>377</v>
      </c>
      <c r="D1038" s="2" t="s">
        <v>73</v>
      </c>
      <c r="E1038" s="2"/>
      <c r="F1038" s="2">
        <v>426</v>
      </c>
      <c r="G1038" s="2" t="s">
        <v>378</v>
      </c>
      <c r="H1038" s="2">
        <v>22</v>
      </c>
      <c r="I1038" s="2" t="s">
        <v>75</v>
      </c>
      <c r="J1038" s="2">
        <v>311</v>
      </c>
      <c r="K1038" s="2" t="s">
        <v>379</v>
      </c>
      <c r="L1038" s="2" t="s">
        <v>380</v>
      </c>
      <c r="M1038" s="3">
        <v>40254</v>
      </c>
      <c r="N1038" s="2" t="s">
        <v>3999</v>
      </c>
      <c r="O1038" s="2" t="s">
        <v>107</v>
      </c>
      <c r="P1038" s="2" t="s">
        <v>107</v>
      </c>
      <c r="Q1038" s="2" t="str">
        <f>"018-E/10"</f>
        <v>018-E/10</v>
      </c>
      <c r="R1038" s="2" t="s">
        <v>4000</v>
      </c>
      <c r="S1038" s="2" t="s">
        <v>4000</v>
      </c>
      <c r="T1038" s="2">
        <v>1</v>
      </c>
      <c r="U1038" s="2" t="s">
        <v>79</v>
      </c>
      <c r="V1038" s="2">
        <v>1</v>
      </c>
      <c r="W1038" s="2" t="s">
        <v>80</v>
      </c>
      <c r="X1038" s="2">
        <v>1</v>
      </c>
      <c r="Y1038" s="2" t="s">
        <v>81</v>
      </c>
      <c r="Z1038" s="2">
        <v>1</v>
      </c>
      <c r="AA1038" s="2" t="s">
        <v>82</v>
      </c>
      <c r="AB1038" s="2">
        <v>9</v>
      </c>
      <c r="AC1038" s="2" t="s">
        <v>124</v>
      </c>
      <c r="AD1038" s="3">
        <v>40254</v>
      </c>
      <c r="AE1038" s="4">
        <v>0.5</v>
      </c>
      <c r="AF1038" s="3">
        <v>40254</v>
      </c>
      <c r="AG1038" s="4">
        <v>0.50694444444444442</v>
      </c>
      <c r="AH1038" s="2">
        <v>2</v>
      </c>
      <c r="AI1038" s="2" t="s">
        <v>84</v>
      </c>
      <c r="AJ1038" s="2">
        <v>9</v>
      </c>
      <c r="AK1038" s="2" t="s">
        <v>103</v>
      </c>
      <c r="AL1038" s="2">
        <v>12</v>
      </c>
      <c r="AM1038" s="2" t="s">
        <v>86</v>
      </c>
      <c r="AN1038" s="2" t="s">
        <v>4001</v>
      </c>
      <c r="AO1038" s="2" t="s">
        <v>82</v>
      </c>
      <c r="AP1038" s="2">
        <v>11</v>
      </c>
      <c r="AQ1038" s="2" t="s">
        <v>82</v>
      </c>
      <c r="AR1038" s="2"/>
      <c r="AS1038" s="2"/>
      <c r="AT1038" s="2" t="s">
        <v>4002</v>
      </c>
      <c r="AU1038" s="2"/>
      <c r="AV1038" s="2"/>
      <c r="AW1038" s="2"/>
      <c r="AX1038" s="2"/>
      <c r="AY1038" s="2">
        <v>41</v>
      </c>
      <c r="AZ1038" s="2" t="s">
        <v>82</v>
      </c>
      <c r="BA1038" s="2">
        <v>41</v>
      </c>
      <c r="BB1038" s="2" t="s">
        <v>82</v>
      </c>
      <c r="BC1038" s="2">
        <v>41</v>
      </c>
      <c r="BD1038" s="2" t="s">
        <v>82</v>
      </c>
      <c r="BE1038" s="2">
        <v>41</v>
      </c>
      <c r="BF1038" s="2" t="s">
        <v>82</v>
      </c>
      <c r="BG1038" s="2"/>
      <c r="BH1038" s="2"/>
      <c r="BI1038" s="2"/>
      <c r="BJ1038" s="2">
        <v>241</v>
      </c>
      <c r="BK1038" s="2" t="s">
        <v>82</v>
      </c>
      <c r="BL1038" s="2"/>
      <c r="BM1038" s="2">
        <v>241</v>
      </c>
      <c r="BN1038" s="2" t="s">
        <v>82</v>
      </c>
      <c r="BO1038" s="2"/>
      <c r="BP1038" s="2">
        <v>241</v>
      </c>
      <c r="BQ1038" s="2" t="s">
        <v>82</v>
      </c>
      <c r="BR1038" s="2"/>
      <c r="BS1038" s="3">
        <v>40254</v>
      </c>
      <c r="BT1038" s="4">
        <v>0.88607638888888884</v>
      </c>
    </row>
    <row r="1039" spans="1:72" x14ac:dyDescent="0.25">
      <c r="A1039" s="2">
        <v>1610</v>
      </c>
      <c r="B1039" s="2">
        <v>2010</v>
      </c>
      <c r="C1039" s="2" t="s">
        <v>72</v>
      </c>
      <c r="D1039" s="2" t="s">
        <v>73</v>
      </c>
      <c r="E1039" s="2"/>
      <c r="F1039" s="2">
        <v>342</v>
      </c>
      <c r="G1039" s="2" t="s">
        <v>4003</v>
      </c>
      <c r="H1039" s="2">
        <v>22</v>
      </c>
      <c r="I1039" s="2" t="s">
        <v>75</v>
      </c>
      <c r="J1039" s="2">
        <v>159</v>
      </c>
      <c r="K1039" s="2" t="s">
        <v>771</v>
      </c>
      <c r="L1039" s="2" t="s">
        <v>772</v>
      </c>
      <c r="M1039" s="3">
        <v>40254</v>
      </c>
      <c r="N1039" s="2" t="s">
        <v>4004</v>
      </c>
      <c r="O1039" s="2" t="s">
        <v>82</v>
      </c>
      <c r="P1039" s="2"/>
      <c r="Q1039" s="2" t="str">
        <f>"N/C"</f>
        <v>N/C</v>
      </c>
      <c r="R1039" s="2" t="s">
        <v>82</v>
      </c>
      <c r="S1039" s="2" t="s">
        <v>82</v>
      </c>
      <c r="T1039" s="2">
        <v>1</v>
      </c>
      <c r="U1039" s="2" t="s">
        <v>79</v>
      </c>
      <c r="V1039" s="2">
        <v>1</v>
      </c>
      <c r="W1039" s="2" t="s">
        <v>80</v>
      </c>
      <c r="X1039" s="2">
        <v>1</v>
      </c>
      <c r="Y1039" s="2" t="s">
        <v>81</v>
      </c>
      <c r="Z1039" s="2">
        <v>10</v>
      </c>
      <c r="AA1039" s="2" t="s">
        <v>236</v>
      </c>
      <c r="AB1039" s="2">
        <v>6</v>
      </c>
      <c r="AC1039" s="2" t="s">
        <v>83</v>
      </c>
      <c r="AD1039" s="3">
        <v>40254</v>
      </c>
      <c r="AE1039" s="4">
        <v>0.61111111111111105</v>
      </c>
      <c r="AF1039" s="3">
        <v>40254</v>
      </c>
      <c r="AG1039" s="4">
        <v>0.61111111111111105</v>
      </c>
      <c r="AH1039" s="2">
        <v>6</v>
      </c>
      <c r="AI1039" s="2" t="s">
        <v>197</v>
      </c>
      <c r="AJ1039" s="2">
        <v>60</v>
      </c>
      <c r="AK1039" s="2" t="s">
        <v>543</v>
      </c>
      <c r="AL1039" s="2">
        <v>11</v>
      </c>
      <c r="AM1039" s="2" t="s">
        <v>137</v>
      </c>
      <c r="AN1039" s="2"/>
      <c r="AO1039" s="2" t="s">
        <v>3972</v>
      </c>
      <c r="AP1039" s="2">
        <v>11</v>
      </c>
      <c r="AQ1039" s="2" t="s">
        <v>82</v>
      </c>
      <c r="AR1039" s="2"/>
      <c r="AS1039" s="2"/>
      <c r="AT1039" s="2" t="s">
        <v>4005</v>
      </c>
      <c r="AU1039" s="2"/>
      <c r="AV1039" s="2"/>
      <c r="AW1039" s="2"/>
      <c r="AX1039" s="2"/>
      <c r="AY1039" s="2">
        <v>13</v>
      </c>
      <c r="AZ1039" s="2" t="s">
        <v>108</v>
      </c>
      <c r="BA1039" s="2">
        <v>41</v>
      </c>
      <c r="BB1039" s="2" t="s">
        <v>82</v>
      </c>
      <c r="BC1039" s="2">
        <v>70</v>
      </c>
      <c r="BD1039" s="2" t="s">
        <v>236</v>
      </c>
      <c r="BE1039" s="2">
        <v>13</v>
      </c>
      <c r="BF1039" s="2" t="s">
        <v>108</v>
      </c>
      <c r="BG1039" s="2">
        <v>1872</v>
      </c>
      <c r="BH1039" s="4">
        <v>0.5854166666666667</v>
      </c>
      <c r="BI1039" s="4">
        <v>0.63263888888888886</v>
      </c>
      <c r="BJ1039" s="2">
        <v>13</v>
      </c>
      <c r="BK1039" s="2" t="s">
        <v>91</v>
      </c>
      <c r="BL1039" s="2" t="s">
        <v>185</v>
      </c>
      <c r="BM1039" s="2">
        <v>13</v>
      </c>
      <c r="BN1039" s="2" t="s">
        <v>91</v>
      </c>
      <c r="BO1039" s="2" t="s">
        <v>895</v>
      </c>
      <c r="BP1039" s="2">
        <v>13</v>
      </c>
      <c r="BQ1039" s="2" t="s">
        <v>91</v>
      </c>
      <c r="BR1039" s="2" t="s">
        <v>185</v>
      </c>
      <c r="BS1039" s="3">
        <v>40254</v>
      </c>
      <c r="BT1039" s="4">
        <v>0.89093750000000005</v>
      </c>
    </row>
    <row r="1040" spans="1:72" x14ac:dyDescent="0.25">
      <c r="A1040" s="2">
        <v>1611</v>
      </c>
      <c r="B1040" s="2">
        <v>2010</v>
      </c>
      <c r="C1040" s="2" t="s">
        <v>819</v>
      </c>
      <c r="D1040" s="2" t="s">
        <v>122</v>
      </c>
      <c r="E1040" s="2"/>
      <c r="F1040" s="2">
        <v>451</v>
      </c>
      <c r="G1040" s="2" t="s">
        <v>879</v>
      </c>
      <c r="H1040" s="2">
        <v>31</v>
      </c>
      <c r="I1040" s="2" t="s">
        <v>880</v>
      </c>
      <c r="J1040" s="2">
        <v>326</v>
      </c>
      <c r="K1040" s="2" t="s">
        <v>881</v>
      </c>
      <c r="L1040" s="2" t="s">
        <v>882</v>
      </c>
      <c r="M1040" s="3">
        <v>40254</v>
      </c>
      <c r="N1040" s="2" t="s">
        <v>821</v>
      </c>
      <c r="O1040" s="2" t="s">
        <v>2957</v>
      </c>
      <c r="P1040" s="2" t="s">
        <v>3620</v>
      </c>
      <c r="Q1040" s="2" t="str">
        <f>"031/10"</f>
        <v>031/10</v>
      </c>
      <c r="R1040" s="2" t="s">
        <v>2104</v>
      </c>
      <c r="S1040" s="2" t="s">
        <v>822</v>
      </c>
      <c r="T1040" s="2">
        <v>1</v>
      </c>
      <c r="U1040" s="2" t="s">
        <v>79</v>
      </c>
      <c r="V1040" s="2">
        <v>1</v>
      </c>
      <c r="W1040" s="2" t="s">
        <v>80</v>
      </c>
      <c r="X1040" s="2">
        <v>1</v>
      </c>
      <c r="Y1040" s="2" t="s">
        <v>81</v>
      </c>
      <c r="Z1040" s="2">
        <v>10</v>
      </c>
      <c r="AA1040" s="2" t="s">
        <v>236</v>
      </c>
      <c r="AB1040" s="2">
        <v>9</v>
      </c>
      <c r="AC1040" s="2" t="s">
        <v>124</v>
      </c>
      <c r="AD1040" s="3">
        <v>40254</v>
      </c>
      <c r="AE1040" s="4">
        <v>0.89583333333333337</v>
      </c>
      <c r="AF1040" s="2"/>
      <c r="AG1040" s="2"/>
      <c r="AH1040" s="2">
        <v>4</v>
      </c>
      <c r="AI1040" s="2" t="s">
        <v>125</v>
      </c>
      <c r="AJ1040" s="2">
        <v>29</v>
      </c>
      <c r="AK1040" s="2" t="s">
        <v>227</v>
      </c>
      <c r="AL1040" s="2">
        <v>10</v>
      </c>
      <c r="AM1040" s="2" t="s">
        <v>200</v>
      </c>
      <c r="AN1040" s="2" t="s">
        <v>1015</v>
      </c>
      <c r="AO1040" s="2" t="s">
        <v>200</v>
      </c>
      <c r="AP1040" s="2">
        <v>12</v>
      </c>
      <c r="AQ1040" s="2" t="s">
        <v>322</v>
      </c>
      <c r="AR1040" s="2" t="s">
        <v>824</v>
      </c>
      <c r="AS1040" s="2" t="s">
        <v>825</v>
      </c>
      <c r="AT1040" s="2" t="s">
        <v>4006</v>
      </c>
      <c r="AU1040" s="2"/>
      <c r="AV1040" s="2"/>
      <c r="AW1040" s="2"/>
      <c r="AX1040" s="2"/>
      <c r="AY1040" s="2">
        <v>41</v>
      </c>
      <c r="AZ1040" s="2" t="s">
        <v>82</v>
      </c>
      <c r="BA1040" s="2">
        <v>41</v>
      </c>
      <c r="BB1040" s="2" t="s">
        <v>82</v>
      </c>
      <c r="BC1040" s="2">
        <v>51</v>
      </c>
      <c r="BD1040" s="2" t="s">
        <v>827</v>
      </c>
      <c r="BE1040" s="2">
        <v>47</v>
      </c>
      <c r="BF1040" s="2" t="s">
        <v>167</v>
      </c>
      <c r="BG1040" s="2">
        <v>2459</v>
      </c>
      <c r="BH1040" s="4">
        <v>0.90277777777777779</v>
      </c>
      <c r="BI1040" s="4">
        <v>0.92708333333333337</v>
      </c>
      <c r="BJ1040" s="2">
        <v>13</v>
      </c>
      <c r="BK1040" s="2" t="s">
        <v>91</v>
      </c>
      <c r="BL1040" s="2" t="s">
        <v>828</v>
      </c>
      <c r="BM1040" s="2">
        <v>241</v>
      </c>
      <c r="BN1040" s="2" t="s">
        <v>82</v>
      </c>
      <c r="BO1040" s="2" t="s">
        <v>82</v>
      </c>
      <c r="BP1040" s="2">
        <v>13</v>
      </c>
      <c r="BQ1040" s="2" t="s">
        <v>91</v>
      </c>
      <c r="BR1040" s="2" t="s">
        <v>2592</v>
      </c>
      <c r="BS1040" s="3">
        <v>40254</v>
      </c>
      <c r="BT1040" s="4">
        <v>0.91826388888888888</v>
      </c>
    </row>
    <row r="1041" spans="1:72" x14ac:dyDescent="0.25">
      <c r="A1041" s="2">
        <v>1612</v>
      </c>
      <c r="B1041" s="2">
        <v>2010</v>
      </c>
      <c r="C1041" s="2" t="s">
        <v>377</v>
      </c>
      <c r="D1041" s="2" t="s">
        <v>73</v>
      </c>
      <c r="E1041" s="2"/>
      <c r="F1041" s="2">
        <v>426</v>
      </c>
      <c r="G1041" s="2" t="s">
        <v>378</v>
      </c>
      <c r="H1041" s="2">
        <v>42</v>
      </c>
      <c r="I1041" s="2" t="s">
        <v>1096</v>
      </c>
      <c r="J1041" s="2">
        <v>311</v>
      </c>
      <c r="K1041" s="2" t="s">
        <v>379</v>
      </c>
      <c r="L1041" s="2" t="s">
        <v>380</v>
      </c>
      <c r="M1041" s="3">
        <v>40254</v>
      </c>
      <c r="N1041" s="2" t="s">
        <v>4007</v>
      </c>
      <c r="O1041" s="2" t="s">
        <v>107</v>
      </c>
      <c r="P1041" s="2" t="s">
        <v>107</v>
      </c>
      <c r="Q1041" s="2" t="str">
        <f>"019-E/10"</f>
        <v>019-E/10</v>
      </c>
      <c r="R1041" s="2" t="s">
        <v>4000</v>
      </c>
      <c r="S1041" s="2" t="s">
        <v>4000</v>
      </c>
      <c r="T1041" s="2">
        <v>1</v>
      </c>
      <c r="U1041" s="2" t="s">
        <v>79</v>
      </c>
      <c r="V1041" s="2">
        <v>1</v>
      </c>
      <c r="W1041" s="2" t="s">
        <v>80</v>
      </c>
      <c r="X1041" s="2">
        <v>1</v>
      </c>
      <c r="Y1041" s="2" t="s">
        <v>81</v>
      </c>
      <c r="Z1041" s="2">
        <v>1</v>
      </c>
      <c r="AA1041" s="2" t="s">
        <v>82</v>
      </c>
      <c r="AB1041" s="2">
        <v>9</v>
      </c>
      <c r="AC1041" s="2" t="s">
        <v>124</v>
      </c>
      <c r="AD1041" s="3">
        <v>40254</v>
      </c>
      <c r="AE1041" s="4">
        <v>0.52083333333333337</v>
      </c>
      <c r="AF1041" s="3">
        <v>40254</v>
      </c>
      <c r="AG1041" s="4">
        <v>0.50694444444444442</v>
      </c>
      <c r="AH1041" s="2">
        <v>2</v>
      </c>
      <c r="AI1041" s="2" t="s">
        <v>84</v>
      </c>
      <c r="AJ1041" s="2">
        <v>9</v>
      </c>
      <c r="AK1041" s="2" t="s">
        <v>103</v>
      </c>
      <c r="AL1041" s="2">
        <v>12</v>
      </c>
      <c r="AM1041" s="2" t="s">
        <v>86</v>
      </c>
      <c r="AN1041" s="2" t="s">
        <v>4008</v>
      </c>
      <c r="AO1041" s="2" t="s">
        <v>82</v>
      </c>
      <c r="AP1041" s="2">
        <v>11</v>
      </c>
      <c r="AQ1041" s="2" t="s">
        <v>82</v>
      </c>
      <c r="AR1041" s="2"/>
      <c r="AS1041" s="2"/>
      <c r="AT1041" s="2" t="s">
        <v>4009</v>
      </c>
      <c r="AU1041" s="2"/>
      <c r="AV1041" s="2"/>
      <c r="AW1041" s="2"/>
      <c r="AX1041" s="2"/>
      <c r="AY1041" s="2">
        <v>41</v>
      </c>
      <c r="AZ1041" s="2" t="s">
        <v>82</v>
      </c>
      <c r="BA1041" s="2">
        <v>41</v>
      </c>
      <c r="BB1041" s="2" t="s">
        <v>82</v>
      </c>
      <c r="BC1041" s="2">
        <v>41</v>
      </c>
      <c r="BD1041" s="2" t="s">
        <v>82</v>
      </c>
      <c r="BE1041" s="2">
        <v>41</v>
      </c>
      <c r="BF1041" s="2" t="s">
        <v>82</v>
      </c>
      <c r="BG1041" s="2"/>
      <c r="BH1041" s="2"/>
      <c r="BI1041" s="2"/>
      <c r="BJ1041" s="2">
        <v>241</v>
      </c>
      <c r="BK1041" s="2" t="s">
        <v>82</v>
      </c>
      <c r="BL1041" s="2"/>
      <c r="BM1041" s="2">
        <v>241</v>
      </c>
      <c r="BN1041" s="2" t="s">
        <v>82</v>
      </c>
      <c r="BO1041" s="2"/>
      <c r="BP1041" s="2">
        <v>241</v>
      </c>
      <c r="BQ1041" s="2" t="s">
        <v>82</v>
      </c>
      <c r="BR1041" s="2"/>
      <c r="BS1041" s="3">
        <v>40254</v>
      </c>
      <c r="BT1041" s="4">
        <v>0.91899305555555555</v>
      </c>
    </row>
    <row r="1042" spans="1:72" x14ac:dyDescent="0.25">
      <c r="A1042" s="2">
        <v>1613</v>
      </c>
      <c r="B1042" s="2">
        <v>2010</v>
      </c>
      <c r="C1042" s="2" t="s">
        <v>72</v>
      </c>
      <c r="D1042" s="2" t="s">
        <v>122</v>
      </c>
      <c r="E1042" s="2" t="s">
        <v>4010</v>
      </c>
      <c r="F1042" s="2">
        <v>58</v>
      </c>
      <c r="G1042" s="2" t="s">
        <v>3739</v>
      </c>
      <c r="H1042" s="2">
        <v>22</v>
      </c>
      <c r="I1042" s="2" t="s">
        <v>75</v>
      </c>
      <c r="J1042" s="2">
        <v>159</v>
      </c>
      <c r="K1042" s="2" t="s">
        <v>771</v>
      </c>
      <c r="L1042" s="2" t="s">
        <v>772</v>
      </c>
      <c r="M1042" s="3">
        <v>40254</v>
      </c>
      <c r="N1042" s="2" t="s">
        <v>4011</v>
      </c>
      <c r="O1042" s="2" t="s">
        <v>107</v>
      </c>
      <c r="P1042" s="2" t="s">
        <v>107</v>
      </c>
      <c r="Q1042" s="2" t="str">
        <f>"AP-0013/10 UO-USU"</f>
        <v>AP-0013/10 UO-USU</v>
      </c>
      <c r="R1042" s="2" t="s">
        <v>3971</v>
      </c>
      <c r="S1042" s="2" t="s">
        <v>3971</v>
      </c>
      <c r="T1042" s="2">
        <v>1</v>
      </c>
      <c r="U1042" s="2" t="s">
        <v>79</v>
      </c>
      <c r="V1042" s="2">
        <v>1</v>
      </c>
      <c r="W1042" s="2" t="s">
        <v>80</v>
      </c>
      <c r="X1042" s="2">
        <v>1</v>
      </c>
      <c r="Y1042" s="2" t="s">
        <v>81</v>
      </c>
      <c r="Z1042" s="2">
        <v>10</v>
      </c>
      <c r="AA1042" s="2" t="s">
        <v>236</v>
      </c>
      <c r="AB1042" s="2">
        <v>6</v>
      </c>
      <c r="AC1042" s="2" t="s">
        <v>83</v>
      </c>
      <c r="AD1042" s="3">
        <v>40254</v>
      </c>
      <c r="AE1042" s="4">
        <v>0.46875</v>
      </c>
      <c r="AF1042" s="2"/>
      <c r="AG1042" s="2"/>
      <c r="AH1042" s="2">
        <v>6</v>
      </c>
      <c r="AI1042" s="2" t="s">
        <v>197</v>
      </c>
      <c r="AJ1042" s="2">
        <v>60</v>
      </c>
      <c r="AK1042" s="2" t="s">
        <v>543</v>
      </c>
      <c r="AL1042" s="2">
        <v>18</v>
      </c>
      <c r="AM1042" s="2" t="s">
        <v>82</v>
      </c>
      <c r="AN1042" s="2" t="s">
        <v>3972</v>
      </c>
      <c r="AO1042" s="2" t="s">
        <v>2887</v>
      </c>
      <c r="AP1042" s="2">
        <v>11</v>
      </c>
      <c r="AQ1042" s="2" t="s">
        <v>82</v>
      </c>
      <c r="AR1042" s="2"/>
      <c r="AS1042" s="2"/>
      <c r="AT1042" s="2" t="s">
        <v>4012</v>
      </c>
      <c r="AU1042" s="2">
        <v>1</v>
      </c>
      <c r="AV1042" s="2"/>
      <c r="AW1042" s="2"/>
      <c r="AX1042" s="2"/>
      <c r="AY1042" s="2">
        <v>13</v>
      </c>
      <c r="AZ1042" s="2" t="s">
        <v>108</v>
      </c>
      <c r="BA1042" s="2">
        <v>41</v>
      </c>
      <c r="BB1042" s="2" t="s">
        <v>82</v>
      </c>
      <c r="BC1042" s="2">
        <v>41</v>
      </c>
      <c r="BD1042" s="2" t="s">
        <v>82</v>
      </c>
      <c r="BE1042" s="2">
        <v>13</v>
      </c>
      <c r="BF1042" s="2" t="s">
        <v>108</v>
      </c>
      <c r="BG1042" s="2">
        <v>1852</v>
      </c>
      <c r="BH1042" s="4">
        <v>0.45833333333333331</v>
      </c>
      <c r="BI1042" s="4">
        <v>0.49305555555555558</v>
      </c>
      <c r="BJ1042" s="2">
        <v>13</v>
      </c>
      <c r="BK1042" s="2" t="s">
        <v>91</v>
      </c>
      <c r="BL1042" s="2" t="s">
        <v>3974</v>
      </c>
      <c r="BM1042" s="2">
        <v>13</v>
      </c>
      <c r="BN1042" s="2" t="s">
        <v>91</v>
      </c>
      <c r="BO1042" s="2"/>
      <c r="BP1042" s="2">
        <v>13</v>
      </c>
      <c r="BQ1042" s="2" t="s">
        <v>91</v>
      </c>
      <c r="BR1042" s="2" t="s">
        <v>895</v>
      </c>
      <c r="BS1042" s="3">
        <v>40254</v>
      </c>
      <c r="BT1042" s="4">
        <v>0.95758101851851851</v>
      </c>
    </row>
    <row r="1043" spans="1:72" x14ac:dyDescent="0.25">
      <c r="A1043" s="2">
        <v>1614</v>
      </c>
      <c r="B1043" s="2">
        <v>2010</v>
      </c>
      <c r="C1043" s="2" t="s">
        <v>594</v>
      </c>
      <c r="D1043" s="2" t="s">
        <v>122</v>
      </c>
      <c r="E1043" s="2"/>
      <c r="F1043" s="2">
        <v>1</v>
      </c>
      <c r="G1043" s="2" t="s">
        <v>82</v>
      </c>
      <c r="H1043" s="2">
        <v>1</v>
      </c>
      <c r="I1043" s="2" t="s">
        <v>82</v>
      </c>
      <c r="J1043" s="2">
        <v>1</v>
      </c>
      <c r="K1043" s="2" t="s">
        <v>107</v>
      </c>
      <c r="L1043" s="2" t="s">
        <v>107</v>
      </c>
      <c r="M1043" s="3">
        <v>40255</v>
      </c>
      <c r="N1043" s="2"/>
      <c r="O1043" s="2"/>
      <c r="P1043" s="2"/>
      <c r="Q1043" s="2" t="str">
        <f>""</f>
        <v/>
      </c>
      <c r="R1043" s="2"/>
      <c r="S1043" s="2"/>
      <c r="T1043" s="2">
        <v>1</v>
      </c>
      <c r="U1043" s="2" t="s">
        <v>79</v>
      </c>
      <c r="V1043" s="2">
        <v>1</v>
      </c>
      <c r="W1043" s="2" t="s">
        <v>80</v>
      </c>
      <c r="X1043" s="2">
        <v>1</v>
      </c>
      <c r="Y1043" s="2" t="s">
        <v>81</v>
      </c>
      <c r="Z1043" s="2">
        <v>1</v>
      </c>
      <c r="AA1043" s="2" t="s">
        <v>82</v>
      </c>
      <c r="AB1043" s="2">
        <v>9</v>
      </c>
      <c r="AC1043" s="2" t="s">
        <v>124</v>
      </c>
      <c r="AD1043" s="3">
        <v>40255</v>
      </c>
      <c r="AE1043" s="4">
        <v>7.7777777777777779E-2</v>
      </c>
      <c r="AF1043" s="2"/>
      <c r="AG1043" s="2"/>
      <c r="AH1043" s="2">
        <v>6</v>
      </c>
      <c r="AI1043" s="2" t="s">
        <v>197</v>
      </c>
      <c r="AJ1043" s="2">
        <v>54</v>
      </c>
      <c r="AK1043" s="2" t="s">
        <v>348</v>
      </c>
      <c r="AL1043" s="2">
        <v>18</v>
      </c>
      <c r="AM1043" s="2" t="s">
        <v>82</v>
      </c>
      <c r="AN1043" s="2" t="s">
        <v>595</v>
      </c>
      <c r="AO1043" s="2" t="s">
        <v>200</v>
      </c>
      <c r="AP1043" s="2">
        <v>14</v>
      </c>
      <c r="AQ1043" s="2" t="s">
        <v>3301</v>
      </c>
      <c r="AR1043" s="2" t="s">
        <v>596</v>
      </c>
      <c r="AS1043" s="2" t="s">
        <v>596</v>
      </c>
      <c r="AT1043" s="2" t="s">
        <v>4013</v>
      </c>
      <c r="AU1043" s="2"/>
      <c r="AV1043" s="2"/>
      <c r="AW1043" s="2"/>
      <c r="AX1043" s="2"/>
      <c r="AY1043" s="2">
        <v>1</v>
      </c>
      <c r="AZ1043" s="2" t="s">
        <v>107</v>
      </c>
      <c r="BA1043" s="2">
        <v>1</v>
      </c>
      <c r="BB1043" s="2" t="s">
        <v>107</v>
      </c>
      <c r="BC1043" s="2">
        <v>1</v>
      </c>
      <c r="BD1043" s="2" t="s">
        <v>107</v>
      </c>
      <c r="BE1043" s="2">
        <v>4</v>
      </c>
      <c r="BF1043" s="2" t="s">
        <v>90</v>
      </c>
      <c r="BG1043" s="2" t="s">
        <v>3505</v>
      </c>
      <c r="BH1043" s="4">
        <v>3.125E-2</v>
      </c>
      <c r="BI1043" s="4">
        <v>7.7777777777777779E-2</v>
      </c>
      <c r="BJ1043" s="2">
        <v>13</v>
      </c>
      <c r="BK1043" s="2" t="s">
        <v>91</v>
      </c>
      <c r="BL1043" s="2" t="s">
        <v>2769</v>
      </c>
      <c r="BM1043" s="2">
        <v>242</v>
      </c>
      <c r="BN1043" s="2" t="s">
        <v>107</v>
      </c>
      <c r="BO1043" s="2"/>
      <c r="BP1043" s="2">
        <v>13</v>
      </c>
      <c r="BQ1043" s="2" t="s">
        <v>91</v>
      </c>
      <c r="BR1043" s="2" t="s">
        <v>3507</v>
      </c>
      <c r="BS1043" s="3">
        <v>40255</v>
      </c>
      <c r="BT1043" s="4">
        <v>7.6539351851851858E-2</v>
      </c>
    </row>
    <row r="1044" spans="1:72" x14ac:dyDescent="0.25">
      <c r="A1044" s="2">
        <v>1615</v>
      </c>
      <c r="B1044" s="2">
        <v>2010</v>
      </c>
      <c r="C1044" s="2" t="s">
        <v>171</v>
      </c>
      <c r="D1044" s="2" t="s">
        <v>73</v>
      </c>
      <c r="E1044" s="2"/>
      <c r="F1044" s="2">
        <v>159</v>
      </c>
      <c r="G1044" s="2" t="s">
        <v>3883</v>
      </c>
      <c r="H1044" s="2">
        <v>18</v>
      </c>
      <c r="I1044" s="2" t="s">
        <v>3884</v>
      </c>
      <c r="J1044" s="2">
        <v>172</v>
      </c>
      <c r="K1044" s="2" t="s">
        <v>3885</v>
      </c>
      <c r="L1044" s="2" t="s">
        <v>3886</v>
      </c>
      <c r="M1044" s="3">
        <v>40255</v>
      </c>
      <c r="N1044" s="2" t="s">
        <v>3887</v>
      </c>
      <c r="O1044" s="2" t="s">
        <v>107</v>
      </c>
      <c r="P1044" s="2" t="s">
        <v>107</v>
      </c>
      <c r="Q1044" s="2" t="str">
        <f>"107-A/10"</f>
        <v>107-A/10</v>
      </c>
      <c r="R1044" s="2" t="s">
        <v>107</v>
      </c>
      <c r="S1044" s="2" t="s">
        <v>1035</v>
      </c>
      <c r="T1044" s="2">
        <v>1</v>
      </c>
      <c r="U1044" s="2" t="s">
        <v>79</v>
      </c>
      <c r="V1044" s="2">
        <v>1</v>
      </c>
      <c r="W1044" s="2" t="s">
        <v>80</v>
      </c>
      <c r="X1044" s="2">
        <v>1</v>
      </c>
      <c r="Y1044" s="2" t="s">
        <v>81</v>
      </c>
      <c r="Z1044" s="2">
        <v>1</v>
      </c>
      <c r="AA1044" s="2" t="s">
        <v>82</v>
      </c>
      <c r="AB1044" s="2">
        <v>1</v>
      </c>
      <c r="AC1044" s="2" t="s">
        <v>178</v>
      </c>
      <c r="AD1044" s="3">
        <v>40254</v>
      </c>
      <c r="AE1044" s="4">
        <v>0.80208333333333337</v>
      </c>
      <c r="AF1044" s="3">
        <v>40254</v>
      </c>
      <c r="AG1044" s="4">
        <v>0.96527777777777779</v>
      </c>
      <c r="AH1044" s="2">
        <v>2</v>
      </c>
      <c r="AI1044" s="2" t="s">
        <v>84</v>
      </c>
      <c r="AJ1044" s="2">
        <v>12</v>
      </c>
      <c r="AK1044" s="2" t="s">
        <v>85</v>
      </c>
      <c r="AL1044" s="2">
        <v>14</v>
      </c>
      <c r="AM1044" s="2" t="s">
        <v>216</v>
      </c>
      <c r="AN1044" s="2" t="s">
        <v>919</v>
      </c>
      <c r="AO1044" s="2" t="s">
        <v>3724</v>
      </c>
      <c r="AP1044" s="2">
        <v>11</v>
      </c>
      <c r="AQ1044" s="2" t="s">
        <v>82</v>
      </c>
      <c r="AR1044" s="2"/>
      <c r="AS1044" s="2"/>
      <c r="AT1044" s="2" t="s">
        <v>4014</v>
      </c>
      <c r="AU1044" s="2">
        <v>1</v>
      </c>
      <c r="AV1044" s="2"/>
      <c r="AW1044" s="2"/>
      <c r="AX1044" s="2"/>
      <c r="AY1044" s="2">
        <v>41</v>
      </c>
      <c r="AZ1044" s="2" t="s">
        <v>82</v>
      </c>
      <c r="BA1044" s="2">
        <v>41</v>
      </c>
      <c r="BB1044" s="2" t="s">
        <v>82</v>
      </c>
      <c r="BC1044" s="2">
        <v>41</v>
      </c>
      <c r="BD1044" s="2" t="s">
        <v>82</v>
      </c>
      <c r="BE1044" s="2">
        <v>47</v>
      </c>
      <c r="BF1044" s="2" t="s">
        <v>167</v>
      </c>
      <c r="BG1044" s="2" t="s">
        <v>4015</v>
      </c>
      <c r="BH1044" s="4">
        <v>0.92708333333333337</v>
      </c>
      <c r="BI1044" s="4">
        <v>0.81597222222222221</v>
      </c>
      <c r="BJ1044" s="2">
        <v>13</v>
      </c>
      <c r="BK1044" s="2" t="s">
        <v>91</v>
      </c>
      <c r="BL1044" s="2" t="s">
        <v>3840</v>
      </c>
      <c r="BM1044" s="2">
        <v>241</v>
      </c>
      <c r="BN1044" s="2" t="s">
        <v>82</v>
      </c>
      <c r="BO1044" s="2" t="s">
        <v>82</v>
      </c>
      <c r="BP1044" s="2">
        <v>13</v>
      </c>
      <c r="BQ1044" s="2" t="s">
        <v>91</v>
      </c>
      <c r="BR1044" s="2" t="s">
        <v>353</v>
      </c>
      <c r="BS1044" s="3">
        <v>40255</v>
      </c>
      <c r="BT1044" s="4">
        <v>0.12133101851851852</v>
      </c>
    </row>
    <row r="1045" spans="1:72" x14ac:dyDescent="0.25">
      <c r="A1045" s="2">
        <v>1616</v>
      </c>
      <c r="B1045" s="2">
        <v>2010</v>
      </c>
      <c r="C1045" s="2" t="s">
        <v>171</v>
      </c>
      <c r="D1045" s="2" t="s">
        <v>122</v>
      </c>
      <c r="E1045" s="2" t="s">
        <v>4016</v>
      </c>
      <c r="F1045" s="2">
        <v>159</v>
      </c>
      <c r="G1045" s="2" t="s">
        <v>3883</v>
      </c>
      <c r="H1045" s="2">
        <v>18</v>
      </c>
      <c r="I1045" s="2" t="s">
        <v>3884</v>
      </c>
      <c r="J1045" s="2">
        <v>172</v>
      </c>
      <c r="K1045" s="2" t="s">
        <v>3885</v>
      </c>
      <c r="L1045" s="2" t="s">
        <v>3886</v>
      </c>
      <c r="M1045" s="3">
        <v>40255</v>
      </c>
      <c r="N1045" s="2" t="s">
        <v>3887</v>
      </c>
      <c r="O1045" s="2" t="s">
        <v>107</v>
      </c>
      <c r="P1045" s="2" t="s">
        <v>107</v>
      </c>
      <c r="Q1045" s="2" t="str">
        <f>"107-A/10"</f>
        <v>107-A/10</v>
      </c>
      <c r="R1045" s="2" t="s">
        <v>1035</v>
      </c>
      <c r="S1045" s="2" t="s">
        <v>107</v>
      </c>
      <c r="T1045" s="2">
        <v>1</v>
      </c>
      <c r="U1045" s="2" t="s">
        <v>79</v>
      </c>
      <c r="V1045" s="2">
        <v>1</v>
      </c>
      <c r="W1045" s="2" t="s">
        <v>80</v>
      </c>
      <c r="X1045" s="2">
        <v>1</v>
      </c>
      <c r="Y1045" s="2" t="s">
        <v>81</v>
      </c>
      <c r="Z1045" s="2">
        <v>10</v>
      </c>
      <c r="AA1045" s="2" t="s">
        <v>236</v>
      </c>
      <c r="AB1045" s="2">
        <v>1</v>
      </c>
      <c r="AC1045" s="2" t="s">
        <v>178</v>
      </c>
      <c r="AD1045" s="3">
        <v>40254</v>
      </c>
      <c r="AE1045" s="4">
        <v>0.80208333333333337</v>
      </c>
      <c r="AF1045" s="3">
        <v>40254</v>
      </c>
      <c r="AG1045" s="4">
        <v>0.96527777777777779</v>
      </c>
      <c r="AH1045" s="2">
        <v>2</v>
      </c>
      <c r="AI1045" s="2" t="s">
        <v>84</v>
      </c>
      <c r="AJ1045" s="2">
        <v>12</v>
      </c>
      <c r="AK1045" s="2" t="s">
        <v>85</v>
      </c>
      <c r="AL1045" s="2">
        <v>14</v>
      </c>
      <c r="AM1045" s="2" t="s">
        <v>216</v>
      </c>
      <c r="AN1045" s="2" t="s">
        <v>919</v>
      </c>
      <c r="AO1045" s="2" t="s">
        <v>1424</v>
      </c>
      <c r="AP1045" s="2">
        <v>11</v>
      </c>
      <c r="AQ1045" s="2" t="s">
        <v>82</v>
      </c>
      <c r="AR1045" s="2"/>
      <c r="AS1045" s="2"/>
      <c r="AT1045" s="2" t="s">
        <v>4017</v>
      </c>
      <c r="AU1045" s="2">
        <v>1</v>
      </c>
      <c r="AV1045" s="2"/>
      <c r="AW1045" s="2"/>
      <c r="AX1045" s="2"/>
      <c r="AY1045" s="2">
        <v>41</v>
      </c>
      <c r="AZ1045" s="2" t="s">
        <v>82</v>
      </c>
      <c r="BA1045" s="2">
        <v>41</v>
      </c>
      <c r="BB1045" s="2" t="s">
        <v>82</v>
      </c>
      <c r="BC1045" s="2">
        <v>41</v>
      </c>
      <c r="BD1045" s="2" t="s">
        <v>82</v>
      </c>
      <c r="BE1045" s="2">
        <v>13</v>
      </c>
      <c r="BF1045" s="2" t="s">
        <v>108</v>
      </c>
      <c r="BG1045" s="2" t="s">
        <v>4018</v>
      </c>
      <c r="BH1045" s="4">
        <v>0.92708333333333337</v>
      </c>
      <c r="BI1045" s="4">
        <v>0.81597222222222221</v>
      </c>
      <c r="BJ1045" s="2">
        <v>13</v>
      </c>
      <c r="BK1045" s="2" t="s">
        <v>91</v>
      </c>
      <c r="BL1045" s="2" t="s">
        <v>185</v>
      </c>
      <c r="BM1045" s="2">
        <v>241</v>
      </c>
      <c r="BN1045" s="2" t="s">
        <v>82</v>
      </c>
      <c r="BO1045" s="2" t="s">
        <v>82</v>
      </c>
      <c r="BP1045" s="2">
        <v>13</v>
      </c>
      <c r="BQ1045" s="2" t="s">
        <v>91</v>
      </c>
      <c r="BR1045" s="2" t="s">
        <v>353</v>
      </c>
      <c r="BS1045" s="3">
        <v>40255</v>
      </c>
      <c r="BT1045" s="4">
        <v>0.26425925925925925</v>
      </c>
    </row>
    <row r="1046" spans="1:72" x14ac:dyDescent="0.25">
      <c r="A1046" s="2">
        <v>1617</v>
      </c>
      <c r="B1046" s="2">
        <v>2010</v>
      </c>
      <c r="C1046" s="2" t="s">
        <v>128</v>
      </c>
      <c r="D1046" s="2" t="s">
        <v>122</v>
      </c>
      <c r="E1046" s="2"/>
      <c r="F1046" s="2">
        <v>1</v>
      </c>
      <c r="G1046" s="2" t="s">
        <v>82</v>
      </c>
      <c r="H1046" s="2">
        <v>1</v>
      </c>
      <c r="I1046" s="2" t="s">
        <v>82</v>
      </c>
      <c r="J1046" s="2">
        <v>1</v>
      </c>
      <c r="K1046" s="2" t="s">
        <v>107</v>
      </c>
      <c r="L1046" s="2" t="s">
        <v>107</v>
      </c>
      <c r="M1046" s="3">
        <v>40255</v>
      </c>
      <c r="N1046" s="2"/>
      <c r="O1046" s="2"/>
      <c r="P1046" s="2"/>
      <c r="Q1046" s="2" t="str">
        <f>""</f>
        <v/>
      </c>
      <c r="R1046" s="2"/>
      <c r="S1046" s="2"/>
      <c r="T1046" s="2">
        <v>1</v>
      </c>
      <c r="U1046" s="2" t="s">
        <v>79</v>
      </c>
      <c r="V1046" s="2">
        <v>1</v>
      </c>
      <c r="W1046" s="2" t="s">
        <v>80</v>
      </c>
      <c r="X1046" s="2">
        <v>1</v>
      </c>
      <c r="Y1046" s="2" t="s">
        <v>81</v>
      </c>
      <c r="Z1046" s="2">
        <v>1</v>
      </c>
      <c r="AA1046" s="2" t="s">
        <v>82</v>
      </c>
      <c r="AB1046" s="2">
        <v>9</v>
      </c>
      <c r="AC1046" s="2" t="s">
        <v>124</v>
      </c>
      <c r="AD1046" s="3">
        <v>40255</v>
      </c>
      <c r="AE1046" s="4">
        <v>0.3125</v>
      </c>
      <c r="AF1046" s="2"/>
      <c r="AG1046" s="2"/>
      <c r="AH1046" s="2">
        <v>3</v>
      </c>
      <c r="AI1046" s="2" t="s">
        <v>214</v>
      </c>
      <c r="AJ1046" s="2">
        <v>20</v>
      </c>
      <c r="AK1046" s="2" t="s">
        <v>1897</v>
      </c>
      <c r="AL1046" s="2">
        <v>18</v>
      </c>
      <c r="AM1046" s="2" t="s">
        <v>82</v>
      </c>
      <c r="AN1046" s="2" t="s">
        <v>4019</v>
      </c>
      <c r="AO1046" s="2" t="s">
        <v>4020</v>
      </c>
      <c r="AP1046" s="2">
        <v>11</v>
      </c>
      <c r="AQ1046" s="2" t="s">
        <v>82</v>
      </c>
      <c r="AR1046" s="2"/>
      <c r="AS1046" s="2"/>
      <c r="AT1046" s="2" t="s">
        <v>4021</v>
      </c>
      <c r="AU1046" s="2"/>
      <c r="AV1046" s="2"/>
      <c r="AW1046" s="2"/>
      <c r="AX1046" s="2"/>
      <c r="AY1046" s="2">
        <v>1</v>
      </c>
      <c r="AZ1046" s="2" t="s">
        <v>107</v>
      </c>
      <c r="BA1046" s="2">
        <v>1</v>
      </c>
      <c r="BB1046" s="2" t="s">
        <v>107</v>
      </c>
      <c r="BC1046" s="2">
        <v>1</v>
      </c>
      <c r="BD1046" s="2" t="s">
        <v>107</v>
      </c>
      <c r="BE1046" s="2">
        <v>1</v>
      </c>
      <c r="BF1046" s="2" t="s">
        <v>107</v>
      </c>
      <c r="BG1046" s="2"/>
      <c r="BH1046" s="2"/>
      <c r="BI1046" s="2"/>
      <c r="BJ1046" s="2">
        <v>242</v>
      </c>
      <c r="BK1046" s="2" t="s">
        <v>107</v>
      </c>
      <c r="BL1046" s="2"/>
      <c r="BM1046" s="2">
        <v>242</v>
      </c>
      <c r="BN1046" s="2" t="s">
        <v>107</v>
      </c>
      <c r="BO1046" s="2"/>
      <c r="BP1046" s="2">
        <v>242</v>
      </c>
      <c r="BQ1046" s="2" t="s">
        <v>107</v>
      </c>
      <c r="BR1046" s="2"/>
      <c r="BS1046" s="3">
        <v>40255</v>
      </c>
      <c r="BT1046" s="4">
        <v>0.33714120370370365</v>
      </c>
    </row>
    <row r="1047" spans="1:72" x14ac:dyDescent="0.25">
      <c r="A1047" s="2">
        <v>1619</v>
      </c>
      <c r="B1047" s="2">
        <v>2010</v>
      </c>
      <c r="C1047" s="2" t="s">
        <v>819</v>
      </c>
      <c r="D1047" s="2" t="s">
        <v>122</v>
      </c>
      <c r="E1047" s="2" t="s">
        <v>4022</v>
      </c>
      <c r="F1047" s="2">
        <v>400</v>
      </c>
      <c r="G1047" s="2" t="s">
        <v>3601</v>
      </c>
      <c r="H1047" s="2">
        <v>17</v>
      </c>
      <c r="I1047" s="2" t="s">
        <v>3602</v>
      </c>
      <c r="J1047" s="2">
        <v>316</v>
      </c>
      <c r="K1047" s="2" t="s">
        <v>574</v>
      </c>
      <c r="L1047" s="2" t="s">
        <v>575</v>
      </c>
      <c r="M1047" s="3">
        <v>40255</v>
      </c>
      <c r="N1047" s="2" t="s">
        <v>3674</v>
      </c>
      <c r="O1047" s="2" t="s">
        <v>3983</v>
      </c>
      <c r="P1047" s="2" t="s">
        <v>107</v>
      </c>
      <c r="Q1047" s="2" t="str">
        <f>"990/08"</f>
        <v>990/08</v>
      </c>
      <c r="R1047" s="2" t="s">
        <v>107</v>
      </c>
      <c r="S1047" s="2" t="s">
        <v>107</v>
      </c>
      <c r="T1047" s="2">
        <v>1</v>
      </c>
      <c r="U1047" s="2" t="s">
        <v>79</v>
      </c>
      <c r="V1047" s="2">
        <v>1</v>
      </c>
      <c r="W1047" s="2" t="s">
        <v>80</v>
      </c>
      <c r="X1047" s="2">
        <v>1</v>
      </c>
      <c r="Y1047" s="2" t="s">
        <v>81</v>
      </c>
      <c r="Z1047" s="2">
        <v>1</v>
      </c>
      <c r="AA1047" s="2" t="s">
        <v>82</v>
      </c>
      <c r="AB1047" s="2">
        <v>9</v>
      </c>
      <c r="AC1047" s="2" t="s">
        <v>124</v>
      </c>
      <c r="AD1047" s="3">
        <v>40254</v>
      </c>
      <c r="AE1047" s="4">
        <v>0.45833333333333331</v>
      </c>
      <c r="AF1047" s="2"/>
      <c r="AG1047" s="2"/>
      <c r="AH1047" s="2">
        <v>2</v>
      </c>
      <c r="AI1047" s="2" t="s">
        <v>84</v>
      </c>
      <c r="AJ1047" s="2">
        <v>12</v>
      </c>
      <c r="AK1047" s="2" t="s">
        <v>85</v>
      </c>
      <c r="AL1047" s="2">
        <v>18</v>
      </c>
      <c r="AM1047" s="2" t="s">
        <v>82</v>
      </c>
      <c r="AN1047" s="2" t="s">
        <v>3984</v>
      </c>
      <c r="AO1047" s="2" t="s">
        <v>3985</v>
      </c>
      <c r="AP1047" s="2">
        <v>11</v>
      </c>
      <c r="AQ1047" s="2" t="s">
        <v>82</v>
      </c>
      <c r="AR1047" s="2"/>
      <c r="AS1047" s="2"/>
      <c r="AT1047" s="2" t="s">
        <v>4023</v>
      </c>
      <c r="AU1047" s="2">
        <v>1</v>
      </c>
      <c r="AV1047" s="2"/>
      <c r="AW1047" s="2"/>
      <c r="AX1047" s="2"/>
      <c r="AY1047" s="2">
        <v>41</v>
      </c>
      <c r="AZ1047" s="2" t="s">
        <v>82</v>
      </c>
      <c r="BA1047" s="2">
        <v>41</v>
      </c>
      <c r="BB1047" s="2" t="s">
        <v>82</v>
      </c>
      <c r="BC1047" s="2">
        <v>41</v>
      </c>
      <c r="BD1047" s="2" t="s">
        <v>82</v>
      </c>
      <c r="BE1047" s="2">
        <v>41</v>
      </c>
      <c r="BF1047" s="2" t="s">
        <v>82</v>
      </c>
      <c r="BG1047" s="2"/>
      <c r="BH1047" s="2"/>
      <c r="BI1047" s="2"/>
      <c r="BJ1047" s="2">
        <v>241</v>
      </c>
      <c r="BK1047" s="2" t="s">
        <v>82</v>
      </c>
      <c r="BL1047" s="2"/>
      <c r="BM1047" s="2">
        <v>241</v>
      </c>
      <c r="BN1047" s="2" t="s">
        <v>82</v>
      </c>
      <c r="BO1047" s="2"/>
      <c r="BP1047" s="2">
        <v>241</v>
      </c>
      <c r="BQ1047" s="2" t="s">
        <v>82</v>
      </c>
      <c r="BR1047" s="2"/>
      <c r="BS1047" s="3">
        <v>40255</v>
      </c>
      <c r="BT1047" s="4">
        <v>0.36519675925925926</v>
      </c>
    </row>
    <row r="1048" spans="1:72" x14ac:dyDescent="0.25">
      <c r="A1048" s="2">
        <v>1625</v>
      </c>
      <c r="B1048" s="2">
        <v>2010</v>
      </c>
      <c r="C1048" s="2" t="s">
        <v>128</v>
      </c>
      <c r="D1048" s="2" t="s">
        <v>122</v>
      </c>
      <c r="E1048" s="2"/>
      <c r="F1048" s="2">
        <v>1</v>
      </c>
      <c r="G1048" s="2" t="s">
        <v>82</v>
      </c>
      <c r="H1048" s="2">
        <v>1</v>
      </c>
      <c r="I1048" s="2" t="s">
        <v>82</v>
      </c>
      <c r="J1048" s="2">
        <v>1</v>
      </c>
      <c r="K1048" s="2" t="s">
        <v>107</v>
      </c>
      <c r="L1048" s="2" t="s">
        <v>107</v>
      </c>
      <c r="M1048" s="3">
        <v>40255</v>
      </c>
      <c r="N1048" s="2"/>
      <c r="O1048" s="2" t="s">
        <v>107</v>
      </c>
      <c r="P1048" s="2" t="s">
        <v>107</v>
      </c>
      <c r="Q1048" s="2" t="str">
        <f>""</f>
        <v/>
      </c>
      <c r="R1048" s="2"/>
      <c r="S1048" s="2"/>
      <c r="T1048" s="2">
        <v>1</v>
      </c>
      <c r="U1048" s="2" t="s">
        <v>79</v>
      </c>
      <c r="V1048" s="2">
        <v>1</v>
      </c>
      <c r="W1048" s="2" t="s">
        <v>80</v>
      </c>
      <c r="X1048" s="2">
        <v>1</v>
      </c>
      <c r="Y1048" s="2" t="s">
        <v>81</v>
      </c>
      <c r="Z1048" s="2">
        <v>1</v>
      </c>
      <c r="AA1048" s="2" t="s">
        <v>82</v>
      </c>
      <c r="AB1048" s="2">
        <v>9</v>
      </c>
      <c r="AC1048" s="2" t="s">
        <v>124</v>
      </c>
      <c r="AD1048" s="3">
        <v>40255</v>
      </c>
      <c r="AE1048" s="4">
        <v>0.48958333333333331</v>
      </c>
      <c r="AF1048" s="2"/>
      <c r="AG1048" s="2"/>
      <c r="AH1048" s="2">
        <v>3</v>
      </c>
      <c r="AI1048" s="2" t="s">
        <v>214</v>
      </c>
      <c r="AJ1048" s="2">
        <v>20</v>
      </c>
      <c r="AK1048" s="2" t="s">
        <v>1897</v>
      </c>
      <c r="AL1048" s="2">
        <v>18</v>
      </c>
      <c r="AM1048" s="2" t="s">
        <v>82</v>
      </c>
      <c r="AN1048" s="2" t="s">
        <v>4024</v>
      </c>
      <c r="AO1048" s="2" t="s">
        <v>4020</v>
      </c>
      <c r="AP1048" s="2">
        <v>11</v>
      </c>
      <c r="AQ1048" s="2" t="s">
        <v>82</v>
      </c>
      <c r="AR1048" s="2"/>
      <c r="AS1048" s="2"/>
      <c r="AT1048" s="2" t="s">
        <v>4025</v>
      </c>
      <c r="AU1048" s="2"/>
      <c r="AV1048" s="2"/>
      <c r="AW1048" s="2"/>
      <c r="AX1048" s="2"/>
      <c r="AY1048" s="2">
        <v>1</v>
      </c>
      <c r="AZ1048" s="2" t="s">
        <v>107</v>
      </c>
      <c r="BA1048" s="2">
        <v>1</v>
      </c>
      <c r="BB1048" s="2" t="s">
        <v>107</v>
      </c>
      <c r="BC1048" s="2">
        <v>1</v>
      </c>
      <c r="BD1048" s="2" t="s">
        <v>107</v>
      </c>
      <c r="BE1048" s="2">
        <v>1</v>
      </c>
      <c r="BF1048" s="2" t="s">
        <v>107</v>
      </c>
      <c r="BG1048" s="2"/>
      <c r="BH1048" s="2"/>
      <c r="BI1048" s="2"/>
      <c r="BJ1048" s="2">
        <v>242</v>
      </c>
      <c r="BK1048" s="2" t="s">
        <v>107</v>
      </c>
      <c r="BL1048" s="2"/>
      <c r="BM1048" s="2">
        <v>242</v>
      </c>
      <c r="BN1048" s="2" t="s">
        <v>107</v>
      </c>
      <c r="BO1048" s="2"/>
      <c r="BP1048" s="2">
        <v>242</v>
      </c>
      <c r="BQ1048" s="2" t="s">
        <v>107</v>
      </c>
      <c r="BR1048" s="2"/>
      <c r="BS1048" s="3">
        <v>40255</v>
      </c>
      <c r="BT1048" s="4">
        <v>0.50135416666666666</v>
      </c>
    </row>
    <row r="1049" spans="1:72" x14ac:dyDescent="0.25">
      <c r="A1049" s="2">
        <v>1627</v>
      </c>
      <c r="B1049" s="2">
        <v>2010</v>
      </c>
      <c r="C1049" s="2" t="s">
        <v>72</v>
      </c>
      <c r="D1049" s="2" t="s">
        <v>73</v>
      </c>
      <c r="E1049" s="2"/>
      <c r="F1049" s="2">
        <v>390</v>
      </c>
      <c r="G1049" s="2" t="s">
        <v>475</v>
      </c>
      <c r="H1049" s="2">
        <v>5</v>
      </c>
      <c r="I1049" s="2" t="s">
        <v>634</v>
      </c>
      <c r="J1049" s="2">
        <v>314</v>
      </c>
      <c r="K1049" s="2" t="s">
        <v>477</v>
      </c>
      <c r="L1049" s="2" t="s">
        <v>478</v>
      </c>
      <c r="M1049" s="3">
        <v>40255</v>
      </c>
      <c r="N1049" s="2" t="s">
        <v>3103</v>
      </c>
      <c r="O1049" s="2"/>
      <c r="P1049" s="2"/>
      <c r="Q1049" s="2" t="str">
        <f>"147-E/10"</f>
        <v>147-E/10</v>
      </c>
      <c r="R1049" s="2" t="s">
        <v>671</v>
      </c>
      <c r="S1049" s="2" t="s">
        <v>671</v>
      </c>
      <c r="T1049" s="2">
        <v>1</v>
      </c>
      <c r="U1049" s="2" t="s">
        <v>79</v>
      </c>
      <c r="V1049" s="2">
        <v>1</v>
      </c>
      <c r="W1049" s="2" t="s">
        <v>80</v>
      </c>
      <c r="X1049" s="2">
        <v>1</v>
      </c>
      <c r="Y1049" s="2" t="s">
        <v>81</v>
      </c>
      <c r="Z1049" s="2">
        <v>1</v>
      </c>
      <c r="AA1049" s="2" t="s">
        <v>82</v>
      </c>
      <c r="AB1049" s="2">
        <v>6</v>
      </c>
      <c r="AC1049" s="2" t="s">
        <v>83</v>
      </c>
      <c r="AD1049" s="3">
        <v>40255</v>
      </c>
      <c r="AE1049" s="4">
        <v>0.4375</v>
      </c>
      <c r="AF1049" s="3">
        <v>40255</v>
      </c>
      <c r="AG1049" s="4">
        <v>0.45833333333333331</v>
      </c>
      <c r="AH1049" s="2">
        <v>2</v>
      </c>
      <c r="AI1049" s="2" t="s">
        <v>84</v>
      </c>
      <c r="AJ1049" s="2">
        <v>9</v>
      </c>
      <c r="AK1049" s="2" t="s">
        <v>103</v>
      </c>
      <c r="AL1049" s="2">
        <v>14</v>
      </c>
      <c r="AM1049" s="2" t="s">
        <v>216</v>
      </c>
      <c r="AN1049" s="2" t="s">
        <v>4026</v>
      </c>
      <c r="AO1049" s="2" t="s">
        <v>4027</v>
      </c>
      <c r="AP1049" s="2">
        <v>11</v>
      </c>
      <c r="AQ1049" s="2" t="s">
        <v>82</v>
      </c>
      <c r="AR1049" s="2"/>
      <c r="AS1049" s="2"/>
      <c r="AT1049" s="2" t="s">
        <v>4028</v>
      </c>
      <c r="AU1049" s="2"/>
      <c r="AV1049" s="2"/>
      <c r="AW1049" s="2"/>
      <c r="AX1049" s="2"/>
      <c r="AY1049" s="2">
        <v>69</v>
      </c>
      <c r="AZ1049" s="2" t="s">
        <v>483</v>
      </c>
      <c r="BA1049" s="2">
        <v>69</v>
      </c>
      <c r="BB1049" s="2" t="s">
        <v>483</v>
      </c>
      <c r="BC1049" s="2">
        <v>41</v>
      </c>
      <c r="BD1049" s="2" t="s">
        <v>82</v>
      </c>
      <c r="BE1049" s="2">
        <v>31</v>
      </c>
      <c r="BF1049" s="2" t="s">
        <v>398</v>
      </c>
      <c r="BG1049" s="2" t="s">
        <v>989</v>
      </c>
      <c r="BH1049" s="4">
        <v>0.39583333333333331</v>
      </c>
      <c r="BI1049" s="4">
        <v>0</v>
      </c>
      <c r="BJ1049" s="2">
        <v>73</v>
      </c>
      <c r="BK1049" s="2" t="s">
        <v>186</v>
      </c>
      <c r="BL1049" s="2" t="s">
        <v>675</v>
      </c>
      <c r="BM1049" s="2">
        <v>73</v>
      </c>
      <c r="BN1049" s="2" t="s">
        <v>186</v>
      </c>
      <c r="BO1049" s="2" t="s">
        <v>187</v>
      </c>
      <c r="BP1049" s="2">
        <v>13</v>
      </c>
      <c r="BQ1049" s="2" t="s">
        <v>91</v>
      </c>
      <c r="BR1049" s="2" t="s">
        <v>1084</v>
      </c>
      <c r="BS1049" s="3">
        <v>40255</v>
      </c>
      <c r="BT1049" s="4">
        <v>0.56839120370370366</v>
      </c>
    </row>
    <row r="1050" spans="1:72" x14ac:dyDescent="0.25">
      <c r="A1050" s="2">
        <v>1630</v>
      </c>
      <c r="B1050" s="2">
        <v>2010</v>
      </c>
      <c r="C1050" s="2" t="s">
        <v>819</v>
      </c>
      <c r="D1050" s="2" t="s">
        <v>122</v>
      </c>
      <c r="E1050" s="2" t="s">
        <v>4029</v>
      </c>
      <c r="F1050" s="2">
        <v>451</v>
      </c>
      <c r="G1050" s="2" t="s">
        <v>879</v>
      </c>
      <c r="H1050" s="2">
        <v>31</v>
      </c>
      <c r="I1050" s="2" t="s">
        <v>880</v>
      </c>
      <c r="J1050" s="2">
        <v>326</v>
      </c>
      <c r="K1050" s="2" t="s">
        <v>881</v>
      </c>
      <c r="L1050" s="2" t="s">
        <v>882</v>
      </c>
      <c r="M1050" s="3">
        <v>40255</v>
      </c>
      <c r="N1050" s="2" t="s">
        <v>821</v>
      </c>
      <c r="O1050" s="2" t="s">
        <v>2957</v>
      </c>
      <c r="P1050" s="2" t="s">
        <v>3620</v>
      </c>
      <c r="Q1050" s="2" t="str">
        <f>"031/10"</f>
        <v>031/10</v>
      </c>
      <c r="R1050" s="2" t="s">
        <v>3300</v>
      </c>
      <c r="S1050" s="2" t="s">
        <v>822</v>
      </c>
      <c r="T1050" s="2">
        <v>1</v>
      </c>
      <c r="U1050" s="2" t="s">
        <v>79</v>
      </c>
      <c r="V1050" s="2">
        <v>1</v>
      </c>
      <c r="W1050" s="2" t="s">
        <v>80</v>
      </c>
      <c r="X1050" s="2">
        <v>1</v>
      </c>
      <c r="Y1050" s="2" t="s">
        <v>81</v>
      </c>
      <c r="Z1050" s="2">
        <v>10</v>
      </c>
      <c r="AA1050" s="2" t="s">
        <v>236</v>
      </c>
      <c r="AB1050" s="2">
        <v>9</v>
      </c>
      <c r="AC1050" s="2" t="s">
        <v>124</v>
      </c>
      <c r="AD1050" s="3">
        <v>40255</v>
      </c>
      <c r="AE1050" s="4">
        <v>0.41666666666666669</v>
      </c>
      <c r="AF1050" s="2"/>
      <c r="AG1050" s="2"/>
      <c r="AH1050" s="2">
        <v>4</v>
      </c>
      <c r="AI1050" s="2" t="s">
        <v>125</v>
      </c>
      <c r="AJ1050" s="2">
        <v>29</v>
      </c>
      <c r="AK1050" s="2" t="s">
        <v>227</v>
      </c>
      <c r="AL1050" s="2">
        <v>10</v>
      </c>
      <c r="AM1050" s="2" t="s">
        <v>200</v>
      </c>
      <c r="AN1050" s="2"/>
      <c r="AO1050" s="2" t="s">
        <v>883</v>
      </c>
      <c r="AP1050" s="2">
        <v>12</v>
      </c>
      <c r="AQ1050" s="2" t="s">
        <v>322</v>
      </c>
      <c r="AR1050" s="2" t="s">
        <v>824</v>
      </c>
      <c r="AS1050" s="2" t="s">
        <v>825</v>
      </c>
      <c r="AT1050" s="2" t="s">
        <v>4030</v>
      </c>
      <c r="AU1050" s="2"/>
      <c r="AV1050" s="2"/>
      <c r="AW1050" s="2"/>
      <c r="AX1050" s="2"/>
      <c r="AY1050" s="2">
        <v>41</v>
      </c>
      <c r="AZ1050" s="2" t="s">
        <v>82</v>
      </c>
      <c r="BA1050" s="2">
        <v>41</v>
      </c>
      <c r="BB1050" s="2" t="s">
        <v>82</v>
      </c>
      <c r="BC1050" s="2">
        <v>51</v>
      </c>
      <c r="BD1050" s="2" t="s">
        <v>827</v>
      </c>
      <c r="BE1050" s="2">
        <v>47</v>
      </c>
      <c r="BF1050" s="2" t="s">
        <v>167</v>
      </c>
      <c r="BG1050" s="2">
        <v>2459</v>
      </c>
      <c r="BH1050" s="4">
        <v>0.90277777777777779</v>
      </c>
      <c r="BI1050" s="4">
        <v>0.92708333333333337</v>
      </c>
      <c r="BJ1050" s="2">
        <v>13</v>
      </c>
      <c r="BK1050" s="2" t="s">
        <v>91</v>
      </c>
      <c r="BL1050" s="2" t="s">
        <v>828</v>
      </c>
      <c r="BM1050" s="2">
        <v>241</v>
      </c>
      <c r="BN1050" s="2" t="s">
        <v>82</v>
      </c>
      <c r="BO1050" s="2" t="s">
        <v>82</v>
      </c>
      <c r="BP1050" s="2">
        <v>13</v>
      </c>
      <c r="BQ1050" s="2" t="s">
        <v>91</v>
      </c>
      <c r="BR1050" s="2" t="s">
        <v>2592</v>
      </c>
      <c r="BS1050" s="3">
        <v>40255</v>
      </c>
      <c r="BT1050" s="4">
        <v>0.59283564814814815</v>
      </c>
    </row>
    <row r="1051" spans="1:72" x14ac:dyDescent="0.25">
      <c r="A1051" s="2">
        <v>1631</v>
      </c>
      <c r="B1051" s="2">
        <v>2010</v>
      </c>
      <c r="C1051" s="2" t="s">
        <v>806</v>
      </c>
      <c r="D1051" s="2" t="s">
        <v>73</v>
      </c>
      <c r="E1051" s="2"/>
      <c r="F1051" s="2">
        <v>11</v>
      </c>
      <c r="G1051" s="2" t="s">
        <v>2454</v>
      </c>
      <c r="H1051" s="2">
        <v>61</v>
      </c>
      <c r="I1051" s="2" t="s">
        <v>3043</v>
      </c>
      <c r="J1051" s="2">
        <v>19</v>
      </c>
      <c r="K1051" s="2" t="s">
        <v>2144</v>
      </c>
      <c r="L1051" s="2" t="s">
        <v>2145</v>
      </c>
      <c r="M1051" s="3">
        <v>40255</v>
      </c>
      <c r="N1051" s="2" t="s">
        <v>3064</v>
      </c>
      <c r="O1051" s="2" t="s">
        <v>4031</v>
      </c>
      <c r="P1051" s="2" t="s">
        <v>4032</v>
      </c>
      <c r="Q1051" s="2" t="str">
        <f>"09/2010"</f>
        <v>09/2010</v>
      </c>
      <c r="R1051" s="2" t="s">
        <v>82</v>
      </c>
      <c r="S1051" s="2" t="s">
        <v>82</v>
      </c>
      <c r="T1051" s="2">
        <v>1</v>
      </c>
      <c r="U1051" s="2" t="s">
        <v>79</v>
      </c>
      <c r="V1051" s="2">
        <v>3</v>
      </c>
      <c r="W1051" s="2" t="s">
        <v>225</v>
      </c>
      <c r="X1051" s="2">
        <v>6</v>
      </c>
      <c r="Y1051" s="2" t="s">
        <v>249</v>
      </c>
      <c r="Z1051" s="2">
        <v>1</v>
      </c>
      <c r="AA1051" s="2" t="s">
        <v>82</v>
      </c>
      <c r="AB1051" s="2">
        <v>9</v>
      </c>
      <c r="AC1051" s="2" t="s">
        <v>124</v>
      </c>
      <c r="AD1051" s="3">
        <v>40255</v>
      </c>
      <c r="AE1051" s="4">
        <v>0.54166666666666663</v>
      </c>
      <c r="AF1051" s="2"/>
      <c r="AG1051" s="2"/>
      <c r="AH1051" s="2">
        <v>3</v>
      </c>
      <c r="AI1051" s="2" t="s">
        <v>214</v>
      </c>
      <c r="AJ1051" s="2">
        <v>14</v>
      </c>
      <c r="AK1051" s="2" t="s">
        <v>342</v>
      </c>
      <c r="AL1051" s="2">
        <v>23</v>
      </c>
      <c r="AM1051" s="2" t="s">
        <v>251</v>
      </c>
      <c r="AN1051" s="2" t="s">
        <v>82</v>
      </c>
      <c r="AO1051" s="2" t="s">
        <v>4033</v>
      </c>
      <c r="AP1051" s="2">
        <v>11</v>
      </c>
      <c r="AQ1051" s="2" t="s">
        <v>82</v>
      </c>
      <c r="AR1051" s="2"/>
      <c r="AS1051" s="2"/>
      <c r="AT1051" s="2" t="s">
        <v>4034</v>
      </c>
      <c r="AU1051" s="2"/>
      <c r="AV1051" s="2"/>
      <c r="AW1051" s="2"/>
      <c r="AX1051" s="2"/>
      <c r="AY1051" s="2">
        <v>41</v>
      </c>
      <c r="AZ1051" s="2" t="s">
        <v>82</v>
      </c>
      <c r="BA1051" s="2">
        <v>41</v>
      </c>
      <c r="BB1051" s="2" t="s">
        <v>82</v>
      </c>
      <c r="BC1051" s="2">
        <v>41</v>
      </c>
      <c r="BD1051" s="2" t="s">
        <v>82</v>
      </c>
      <c r="BE1051" s="2">
        <v>41</v>
      </c>
      <c r="BF1051" s="2" t="s">
        <v>82</v>
      </c>
      <c r="BG1051" s="2"/>
      <c r="BH1051" s="2"/>
      <c r="BI1051" s="2"/>
      <c r="BJ1051" s="2">
        <v>241</v>
      </c>
      <c r="BK1051" s="2" t="s">
        <v>82</v>
      </c>
      <c r="BL1051" s="2"/>
      <c r="BM1051" s="2">
        <v>241</v>
      </c>
      <c r="BN1051" s="2" t="s">
        <v>82</v>
      </c>
      <c r="BO1051" s="2"/>
      <c r="BP1051" s="2">
        <v>241</v>
      </c>
      <c r="BQ1051" s="2" t="s">
        <v>82</v>
      </c>
      <c r="BR1051" s="2"/>
      <c r="BS1051" s="3">
        <v>40255</v>
      </c>
      <c r="BT1051" s="4">
        <v>0.61752314814814813</v>
      </c>
    </row>
    <row r="1052" spans="1:72" x14ac:dyDescent="0.25">
      <c r="A1052" s="2">
        <v>1632</v>
      </c>
      <c r="B1052" s="2">
        <v>2010</v>
      </c>
      <c r="C1052" s="2" t="s">
        <v>377</v>
      </c>
      <c r="D1052" s="2" t="s">
        <v>73</v>
      </c>
      <c r="E1052" s="2"/>
      <c r="F1052" s="2">
        <v>426</v>
      </c>
      <c r="G1052" s="2" t="s">
        <v>378</v>
      </c>
      <c r="H1052" s="2">
        <v>1</v>
      </c>
      <c r="I1052" s="2" t="s">
        <v>82</v>
      </c>
      <c r="J1052" s="2">
        <v>311</v>
      </c>
      <c r="K1052" s="2" t="s">
        <v>379</v>
      </c>
      <c r="L1052" s="2" t="s">
        <v>380</v>
      </c>
      <c r="M1052" s="3">
        <v>40255</v>
      </c>
      <c r="N1052" s="2" t="s">
        <v>107</v>
      </c>
      <c r="O1052" s="2" t="s">
        <v>107</v>
      </c>
      <c r="P1052" s="2" t="s">
        <v>107</v>
      </c>
      <c r="Q1052" s="2" t="str">
        <f>"020-E/10"</f>
        <v>020-E/10</v>
      </c>
      <c r="R1052" s="2" t="s">
        <v>4035</v>
      </c>
      <c r="S1052" s="2" t="s">
        <v>3458</v>
      </c>
      <c r="T1052" s="2">
        <v>1</v>
      </c>
      <c r="U1052" s="2" t="s">
        <v>79</v>
      </c>
      <c r="V1052" s="2">
        <v>1</v>
      </c>
      <c r="W1052" s="2" t="s">
        <v>80</v>
      </c>
      <c r="X1052" s="2">
        <v>1</v>
      </c>
      <c r="Y1052" s="2" t="s">
        <v>81</v>
      </c>
      <c r="Z1052" s="2">
        <v>1</v>
      </c>
      <c r="AA1052" s="2" t="s">
        <v>82</v>
      </c>
      <c r="AB1052" s="2">
        <v>9</v>
      </c>
      <c r="AC1052" s="2" t="s">
        <v>124</v>
      </c>
      <c r="AD1052" s="3">
        <v>40255</v>
      </c>
      <c r="AE1052" s="4">
        <v>0.45833333333333331</v>
      </c>
      <c r="AF1052" s="3">
        <v>40255</v>
      </c>
      <c r="AG1052" s="4">
        <v>0.46875</v>
      </c>
      <c r="AH1052" s="2">
        <v>2</v>
      </c>
      <c r="AI1052" s="2" t="s">
        <v>84</v>
      </c>
      <c r="AJ1052" s="2">
        <v>9</v>
      </c>
      <c r="AK1052" s="2" t="s">
        <v>103</v>
      </c>
      <c r="AL1052" s="2">
        <v>12</v>
      </c>
      <c r="AM1052" s="2" t="s">
        <v>86</v>
      </c>
      <c r="AN1052" s="2" t="s">
        <v>4036</v>
      </c>
      <c r="AO1052" s="2" t="s">
        <v>82</v>
      </c>
      <c r="AP1052" s="2">
        <v>11</v>
      </c>
      <c r="AQ1052" s="2" t="s">
        <v>82</v>
      </c>
      <c r="AR1052" s="2"/>
      <c r="AS1052" s="2"/>
      <c r="AT1052" s="2" t="s">
        <v>4037</v>
      </c>
      <c r="AU1052" s="2"/>
      <c r="AV1052" s="2"/>
      <c r="AW1052" s="2"/>
      <c r="AX1052" s="2"/>
      <c r="AY1052" s="2">
        <v>41</v>
      </c>
      <c r="AZ1052" s="2" t="s">
        <v>82</v>
      </c>
      <c r="BA1052" s="2">
        <v>41</v>
      </c>
      <c r="BB1052" s="2" t="s">
        <v>82</v>
      </c>
      <c r="BC1052" s="2">
        <v>41</v>
      </c>
      <c r="BD1052" s="2" t="s">
        <v>82</v>
      </c>
      <c r="BE1052" s="2">
        <v>41</v>
      </c>
      <c r="BF1052" s="2" t="s">
        <v>82</v>
      </c>
      <c r="BG1052" s="2"/>
      <c r="BH1052" s="2"/>
      <c r="BI1052" s="2"/>
      <c r="BJ1052" s="2">
        <v>241</v>
      </c>
      <c r="BK1052" s="2" t="s">
        <v>82</v>
      </c>
      <c r="BL1052" s="2"/>
      <c r="BM1052" s="2">
        <v>241</v>
      </c>
      <c r="BN1052" s="2" t="s">
        <v>82</v>
      </c>
      <c r="BO1052" s="2"/>
      <c r="BP1052" s="2">
        <v>241</v>
      </c>
      <c r="BQ1052" s="2" t="s">
        <v>82</v>
      </c>
      <c r="BR1052" s="2"/>
      <c r="BS1052" s="3">
        <v>40255</v>
      </c>
      <c r="BT1052" s="4">
        <v>0.68043981481481486</v>
      </c>
    </row>
    <row r="1053" spans="1:72" x14ac:dyDescent="0.25">
      <c r="A1053" s="2">
        <v>1633</v>
      </c>
      <c r="B1053" s="2">
        <v>2010</v>
      </c>
      <c r="C1053" s="2" t="s">
        <v>1559</v>
      </c>
      <c r="D1053" s="2" t="s">
        <v>73</v>
      </c>
      <c r="E1053" s="2"/>
      <c r="F1053" s="2">
        <v>548</v>
      </c>
      <c r="G1053" s="2" t="s">
        <v>4038</v>
      </c>
      <c r="H1053" s="2">
        <v>22</v>
      </c>
      <c r="I1053" s="2" t="s">
        <v>75</v>
      </c>
      <c r="J1053" s="2">
        <v>478</v>
      </c>
      <c r="K1053" s="2" t="s">
        <v>4039</v>
      </c>
      <c r="L1053" s="2" t="s">
        <v>4040</v>
      </c>
      <c r="M1053" s="3">
        <v>40255</v>
      </c>
      <c r="N1053" s="2" t="s">
        <v>82</v>
      </c>
      <c r="O1053" s="2" t="s">
        <v>4041</v>
      </c>
      <c r="P1053" s="2" t="s">
        <v>4042</v>
      </c>
      <c r="Q1053" s="2" t="str">
        <f>"10/10"</f>
        <v>10/10</v>
      </c>
      <c r="R1053" s="2" t="s">
        <v>3197</v>
      </c>
      <c r="S1053" s="2" t="s">
        <v>107</v>
      </c>
      <c r="T1053" s="2">
        <v>1</v>
      </c>
      <c r="U1053" s="2" t="s">
        <v>79</v>
      </c>
      <c r="V1053" s="2">
        <v>3</v>
      </c>
      <c r="W1053" s="2" t="s">
        <v>225</v>
      </c>
      <c r="X1053" s="2">
        <v>6</v>
      </c>
      <c r="Y1053" s="2" t="s">
        <v>249</v>
      </c>
      <c r="Z1053" s="2">
        <v>1</v>
      </c>
      <c r="AA1053" s="2" t="s">
        <v>82</v>
      </c>
      <c r="AB1053" s="2">
        <v>9</v>
      </c>
      <c r="AC1053" s="2" t="s">
        <v>124</v>
      </c>
      <c r="AD1053" s="3">
        <v>40255</v>
      </c>
      <c r="AE1053" s="4">
        <v>0.47916666666666669</v>
      </c>
      <c r="AF1053" s="2"/>
      <c r="AG1053" s="2"/>
      <c r="AH1053" s="2">
        <v>3</v>
      </c>
      <c r="AI1053" s="2" t="s">
        <v>214</v>
      </c>
      <c r="AJ1053" s="2">
        <v>14</v>
      </c>
      <c r="AK1053" s="2" t="s">
        <v>342</v>
      </c>
      <c r="AL1053" s="2">
        <v>19</v>
      </c>
      <c r="AM1053" s="2" t="s">
        <v>107</v>
      </c>
      <c r="AN1053" s="2" t="s">
        <v>4043</v>
      </c>
      <c r="AO1053" s="2" t="s">
        <v>82</v>
      </c>
      <c r="AP1053" s="2">
        <v>11</v>
      </c>
      <c r="AQ1053" s="2" t="s">
        <v>82</v>
      </c>
      <c r="AR1053" s="2" t="s">
        <v>82</v>
      </c>
      <c r="AS1053" s="2" t="s">
        <v>82</v>
      </c>
      <c r="AT1053" s="2" t="s">
        <v>4044</v>
      </c>
      <c r="AU1053" s="2"/>
      <c r="AV1053" s="2"/>
      <c r="AW1053" s="2"/>
      <c r="AX1053" s="2"/>
      <c r="AY1053" s="2">
        <v>41</v>
      </c>
      <c r="AZ1053" s="2" t="s">
        <v>82</v>
      </c>
      <c r="BA1053" s="2">
        <v>41</v>
      </c>
      <c r="BB1053" s="2" t="s">
        <v>82</v>
      </c>
      <c r="BC1053" s="2">
        <v>41</v>
      </c>
      <c r="BD1053" s="2" t="s">
        <v>82</v>
      </c>
      <c r="BE1053" s="2">
        <v>41</v>
      </c>
      <c r="BF1053" s="2" t="s">
        <v>82</v>
      </c>
      <c r="BG1053" s="2" t="s">
        <v>82</v>
      </c>
      <c r="BH1053" s="2"/>
      <c r="BI1053" s="2"/>
      <c r="BJ1053" s="2">
        <v>241</v>
      </c>
      <c r="BK1053" s="2" t="s">
        <v>82</v>
      </c>
      <c r="BL1053" s="2"/>
      <c r="BM1053" s="2">
        <v>241</v>
      </c>
      <c r="BN1053" s="2" t="s">
        <v>82</v>
      </c>
      <c r="BO1053" s="2"/>
      <c r="BP1053" s="2">
        <v>241</v>
      </c>
      <c r="BQ1053" s="2" t="s">
        <v>82</v>
      </c>
      <c r="BR1053" s="2"/>
      <c r="BS1053" s="3">
        <v>40255</v>
      </c>
      <c r="BT1053" s="4">
        <v>0.68736111111111109</v>
      </c>
    </row>
    <row r="1054" spans="1:72" x14ac:dyDescent="0.25">
      <c r="A1054" s="2">
        <v>1638</v>
      </c>
      <c r="B1054" s="2">
        <v>2010</v>
      </c>
      <c r="C1054" s="2" t="s">
        <v>2754</v>
      </c>
      <c r="D1054" s="2" t="s">
        <v>73</v>
      </c>
      <c r="E1054" s="2"/>
      <c r="F1054" s="2">
        <v>34</v>
      </c>
      <c r="G1054" s="2" t="s">
        <v>334</v>
      </c>
      <c r="H1054" s="2">
        <v>71</v>
      </c>
      <c r="I1054" s="2" t="s">
        <v>335</v>
      </c>
      <c r="J1054" s="2">
        <v>43</v>
      </c>
      <c r="K1054" s="2" t="s">
        <v>2059</v>
      </c>
      <c r="L1054" s="2" t="s">
        <v>2060</v>
      </c>
      <c r="M1054" s="3">
        <v>40255</v>
      </c>
      <c r="N1054" s="2" t="s">
        <v>4045</v>
      </c>
      <c r="O1054" s="2" t="s">
        <v>82</v>
      </c>
      <c r="P1054" s="2" t="s">
        <v>82</v>
      </c>
      <c r="Q1054" s="2" t="str">
        <f>"15/10"</f>
        <v>15/10</v>
      </c>
      <c r="R1054" s="2" t="s">
        <v>4046</v>
      </c>
      <c r="S1054" s="2" t="s">
        <v>4046</v>
      </c>
      <c r="T1054" s="2">
        <v>1</v>
      </c>
      <c r="U1054" s="2" t="s">
        <v>79</v>
      </c>
      <c r="V1054" s="2">
        <v>1</v>
      </c>
      <c r="W1054" s="2" t="s">
        <v>80</v>
      </c>
      <c r="X1054" s="2">
        <v>1</v>
      </c>
      <c r="Y1054" s="2" t="s">
        <v>81</v>
      </c>
      <c r="Z1054" s="2">
        <v>1</v>
      </c>
      <c r="AA1054" s="2" t="s">
        <v>82</v>
      </c>
      <c r="AB1054" s="2">
        <v>8</v>
      </c>
      <c r="AC1054" s="2" t="s">
        <v>2760</v>
      </c>
      <c r="AD1054" s="3">
        <v>40255</v>
      </c>
      <c r="AE1054" s="4">
        <v>0.62847222222222221</v>
      </c>
      <c r="AF1054" s="2"/>
      <c r="AG1054" s="2"/>
      <c r="AH1054" s="2">
        <v>3</v>
      </c>
      <c r="AI1054" s="2" t="s">
        <v>214</v>
      </c>
      <c r="AJ1054" s="2">
        <v>17</v>
      </c>
      <c r="AK1054" s="2" t="s">
        <v>309</v>
      </c>
      <c r="AL1054" s="2">
        <v>11</v>
      </c>
      <c r="AM1054" s="2" t="s">
        <v>137</v>
      </c>
      <c r="AN1054" s="2" t="s">
        <v>4047</v>
      </c>
      <c r="AO1054" s="2" t="s">
        <v>1059</v>
      </c>
      <c r="AP1054" s="2">
        <v>11</v>
      </c>
      <c r="AQ1054" s="2" t="s">
        <v>82</v>
      </c>
      <c r="AR1054" s="2" t="s">
        <v>82</v>
      </c>
      <c r="AS1054" s="2" t="s">
        <v>82</v>
      </c>
      <c r="AT1054" s="2" t="s">
        <v>4048</v>
      </c>
      <c r="AU1054" s="2"/>
      <c r="AV1054" s="2"/>
      <c r="AW1054" s="2"/>
      <c r="AX1054" s="2"/>
      <c r="AY1054" s="2">
        <v>41</v>
      </c>
      <c r="AZ1054" s="2" t="s">
        <v>82</v>
      </c>
      <c r="BA1054" s="2">
        <v>41</v>
      </c>
      <c r="BB1054" s="2" t="s">
        <v>82</v>
      </c>
      <c r="BC1054" s="2">
        <v>41</v>
      </c>
      <c r="BD1054" s="2" t="s">
        <v>82</v>
      </c>
      <c r="BE1054" s="2">
        <v>17</v>
      </c>
      <c r="BF1054" s="2" t="s">
        <v>508</v>
      </c>
      <c r="BG1054" s="2">
        <v>933</v>
      </c>
      <c r="BH1054" s="4">
        <v>0.71180555555555547</v>
      </c>
      <c r="BI1054" s="4">
        <v>0.6875</v>
      </c>
      <c r="BJ1054" s="2">
        <v>13</v>
      </c>
      <c r="BK1054" s="2" t="s">
        <v>91</v>
      </c>
      <c r="BL1054" s="2" t="s">
        <v>445</v>
      </c>
      <c r="BM1054" s="2">
        <v>241</v>
      </c>
      <c r="BN1054" s="2" t="s">
        <v>82</v>
      </c>
      <c r="BO1054" s="2" t="s">
        <v>82</v>
      </c>
      <c r="BP1054" s="2">
        <v>46</v>
      </c>
      <c r="BQ1054" s="2" t="s">
        <v>307</v>
      </c>
      <c r="BR1054" s="2" t="s">
        <v>308</v>
      </c>
      <c r="BS1054" s="3">
        <v>40255</v>
      </c>
      <c r="BT1054" s="4">
        <v>0.81187500000000001</v>
      </c>
    </row>
    <row r="1055" spans="1:72" x14ac:dyDescent="0.25">
      <c r="A1055" s="2">
        <v>1642</v>
      </c>
      <c r="B1055" s="2">
        <v>2010</v>
      </c>
      <c r="C1055" s="2" t="s">
        <v>385</v>
      </c>
      <c r="D1055" s="2" t="s">
        <v>122</v>
      </c>
      <c r="E1055" s="2" t="s">
        <v>4049</v>
      </c>
      <c r="F1055" s="2">
        <v>233</v>
      </c>
      <c r="G1055" s="2" t="s">
        <v>3858</v>
      </c>
      <c r="H1055" s="2">
        <v>17</v>
      </c>
      <c r="I1055" s="2" t="s">
        <v>3602</v>
      </c>
      <c r="J1055" s="2">
        <v>316</v>
      </c>
      <c r="K1055" s="2" t="s">
        <v>574</v>
      </c>
      <c r="L1055" s="2" t="s">
        <v>575</v>
      </c>
      <c r="M1055" s="3">
        <v>40255</v>
      </c>
      <c r="N1055" s="2" t="s">
        <v>3859</v>
      </c>
      <c r="O1055" s="2" t="s">
        <v>3827</v>
      </c>
      <c r="P1055" s="2" t="s">
        <v>3605</v>
      </c>
      <c r="Q1055" s="2" t="str">
        <f>"N/C"</f>
        <v>N/C</v>
      </c>
      <c r="R1055" s="2" t="s">
        <v>82</v>
      </c>
      <c r="S1055" s="2" t="s">
        <v>82</v>
      </c>
      <c r="T1055" s="2">
        <v>1</v>
      </c>
      <c r="U1055" s="2" t="s">
        <v>79</v>
      </c>
      <c r="V1055" s="2">
        <v>1</v>
      </c>
      <c r="W1055" s="2" t="s">
        <v>80</v>
      </c>
      <c r="X1055" s="2">
        <v>1</v>
      </c>
      <c r="Y1055" s="2" t="s">
        <v>81</v>
      </c>
      <c r="Z1055" s="2">
        <v>1</v>
      </c>
      <c r="AA1055" s="2" t="s">
        <v>82</v>
      </c>
      <c r="AB1055" s="2">
        <v>9</v>
      </c>
      <c r="AC1055" s="2" t="s">
        <v>124</v>
      </c>
      <c r="AD1055" s="2"/>
      <c r="AE1055" s="2"/>
      <c r="AF1055" s="2"/>
      <c r="AG1055" s="2"/>
      <c r="AH1055" s="2">
        <v>2</v>
      </c>
      <c r="AI1055" s="2" t="s">
        <v>84</v>
      </c>
      <c r="AJ1055" s="2">
        <v>12</v>
      </c>
      <c r="AK1055" s="2" t="s">
        <v>85</v>
      </c>
      <c r="AL1055" s="2">
        <v>19</v>
      </c>
      <c r="AM1055" s="2" t="s">
        <v>107</v>
      </c>
      <c r="AN1055" s="2"/>
      <c r="AO1055" s="2"/>
      <c r="AP1055" s="2">
        <v>11</v>
      </c>
      <c r="AQ1055" s="2" t="s">
        <v>82</v>
      </c>
      <c r="AR1055" s="2"/>
      <c r="AS1055" s="2"/>
      <c r="AT1055" s="2" t="s">
        <v>4050</v>
      </c>
      <c r="AU1055" s="2">
        <v>1</v>
      </c>
      <c r="AV1055" s="2"/>
      <c r="AW1055" s="2"/>
      <c r="AX1055" s="2"/>
      <c r="AY1055" s="2">
        <v>41</v>
      </c>
      <c r="AZ1055" s="2" t="s">
        <v>82</v>
      </c>
      <c r="BA1055" s="2">
        <v>41</v>
      </c>
      <c r="BB1055" s="2" t="s">
        <v>82</v>
      </c>
      <c r="BC1055" s="2">
        <v>41</v>
      </c>
      <c r="BD1055" s="2" t="s">
        <v>82</v>
      </c>
      <c r="BE1055" s="2">
        <v>41</v>
      </c>
      <c r="BF1055" s="2" t="s">
        <v>82</v>
      </c>
      <c r="BG1055" s="2"/>
      <c r="BH1055" s="2"/>
      <c r="BI1055" s="2"/>
      <c r="BJ1055" s="2">
        <v>241</v>
      </c>
      <c r="BK1055" s="2" t="s">
        <v>82</v>
      </c>
      <c r="BL1055" s="2"/>
      <c r="BM1055" s="2">
        <v>241</v>
      </c>
      <c r="BN1055" s="2" t="s">
        <v>82</v>
      </c>
      <c r="BO1055" s="2"/>
      <c r="BP1055" s="2">
        <v>241</v>
      </c>
      <c r="BQ1055" s="2" t="s">
        <v>82</v>
      </c>
      <c r="BR1055" s="2"/>
      <c r="BS1055" s="3">
        <v>40255</v>
      </c>
      <c r="BT1055" s="4">
        <v>0.83386574074074071</v>
      </c>
    </row>
    <row r="1056" spans="1:72" x14ac:dyDescent="0.25">
      <c r="A1056" s="2">
        <v>1643</v>
      </c>
      <c r="B1056" s="2">
        <v>2010</v>
      </c>
      <c r="C1056" s="2" t="s">
        <v>819</v>
      </c>
      <c r="D1056" s="2" t="s">
        <v>122</v>
      </c>
      <c r="E1056" s="2" t="s">
        <v>4051</v>
      </c>
      <c r="F1056" s="2">
        <v>400</v>
      </c>
      <c r="G1056" s="2" t="s">
        <v>3601</v>
      </c>
      <c r="H1056" s="2">
        <v>17</v>
      </c>
      <c r="I1056" s="2" t="s">
        <v>3602</v>
      </c>
      <c r="J1056" s="2">
        <v>316</v>
      </c>
      <c r="K1056" s="2" t="s">
        <v>574</v>
      </c>
      <c r="L1056" s="2" t="s">
        <v>575</v>
      </c>
      <c r="M1056" s="3">
        <v>40255</v>
      </c>
      <c r="N1056" s="2" t="s">
        <v>3674</v>
      </c>
      <c r="O1056" s="2" t="s">
        <v>3983</v>
      </c>
      <c r="P1056" s="2" t="s">
        <v>107</v>
      </c>
      <c r="Q1056" s="2" t="str">
        <f>"990/08"</f>
        <v>990/08</v>
      </c>
      <c r="R1056" s="2" t="s">
        <v>107</v>
      </c>
      <c r="S1056" s="2" t="s">
        <v>107</v>
      </c>
      <c r="T1056" s="2">
        <v>1</v>
      </c>
      <c r="U1056" s="2" t="s">
        <v>79</v>
      </c>
      <c r="V1056" s="2">
        <v>1</v>
      </c>
      <c r="W1056" s="2" t="s">
        <v>80</v>
      </c>
      <c r="X1056" s="2">
        <v>1</v>
      </c>
      <c r="Y1056" s="2" t="s">
        <v>81</v>
      </c>
      <c r="Z1056" s="2">
        <v>1</v>
      </c>
      <c r="AA1056" s="2" t="s">
        <v>82</v>
      </c>
      <c r="AB1056" s="2">
        <v>9</v>
      </c>
      <c r="AC1056" s="2" t="s">
        <v>124</v>
      </c>
      <c r="AD1056" s="3">
        <v>40254</v>
      </c>
      <c r="AE1056" s="4">
        <v>0.45833333333333331</v>
      </c>
      <c r="AF1056" s="2"/>
      <c r="AG1056" s="2"/>
      <c r="AH1056" s="2">
        <v>2</v>
      </c>
      <c r="AI1056" s="2" t="s">
        <v>84</v>
      </c>
      <c r="AJ1056" s="2">
        <v>12</v>
      </c>
      <c r="AK1056" s="2" t="s">
        <v>85</v>
      </c>
      <c r="AL1056" s="2">
        <v>18</v>
      </c>
      <c r="AM1056" s="2" t="s">
        <v>82</v>
      </c>
      <c r="AN1056" s="2" t="s">
        <v>3984</v>
      </c>
      <c r="AO1056" s="2" t="s">
        <v>3985</v>
      </c>
      <c r="AP1056" s="2">
        <v>11</v>
      </c>
      <c r="AQ1056" s="2" t="s">
        <v>82</v>
      </c>
      <c r="AR1056" s="2"/>
      <c r="AS1056" s="2"/>
      <c r="AT1056" s="2" t="s">
        <v>4052</v>
      </c>
      <c r="AU1056" s="2">
        <v>1</v>
      </c>
      <c r="AV1056" s="2"/>
      <c r="AW1056" s="2"/>
      <c r="AX1056" s="2"/>
      <c r="AY1056" s="2">
        <v>41</v>
      </c>
      <c r="AZ1056" s="2" t="s">
        <v>82</v>
      </c>
      <c r="BA1056" s="2">
        <v>41</v>
      </c>
      <c r="BB1056" s="2" t="s">
        <v>82</v>
      </c>
      <c r="BC1056" s="2">
        <v>41</v>
      </c>
      <c r="BD1056" s="2" t="s">
        <v>82</v>
      </c>
      <c r="BE1056" s="2">
        <v>41</v>
      </c>
      <c r="BF1056" s="2" t="s">
        <v>82</v>
      </c>
      <c r="BG1056" s="2"/>
      <c r="BH1056" s="2"/>
      <c r="BI1056" s="2"/>
      <c r="BJ1056" s="2">
        <v>241</v>
      </c>
      <c r="BK1056" s="2" t="s">
        <v>82</v>
      </c>
      <c r="BL1056" s="2"/>
      <c r="BM1056" s="2">
        <v>241</v>
      </c>
      <c r="BN1056" s="2" t="s">
        <v>82</v>
      </c>
      <c r="BO1056" s="2"/>
      <c r="BP1056" s="2">
        <v>241</v>
      </c>
      <c r="BQ1056" s="2" t="s">
        <v>82</v>
      </c>
      <c r="BR1056" s="2"/>
      <c r="BS1056" s="3">
        <v>40255</v>
      </c>
      <c r="BT1056" s="4">
        <v>0.84274305555555562</v>
      </c>
    </row>
    <row r="1057" spans="1:72" x14ac:dyDescent="0.25">
      <c r="A1057" s="2">
        <v>1644</v>
      </c>
      <c r="B1057" s="2">
        <v>2010</v>
      </c>
      <c r="C1057" s="2" t="s">
        <v>72</v>
      </c>
      <c r="D1057" s="2" t="s">
        <v>73</v>
      </c>
      <c r="E1057" s="2"/>
      <c r="F1057" s="2">
        <v>11</v>
      </c>
      <c r="G1057" s="2" t="s">
        <v>2454</v>
      </c>
      <c r="H1057" s="2">
        <v>56</v>
      </c>
      <c r="I1057" s="2" t="s">
        <v>3372</v>
      </c>
      <c r="J1057" s="2">
        <v>19</v>
      </c>
      <c r="K1057" s="2" t="s">
        <v>2144</v>
      </c>
      <c r="L1057" s="2" t="s">
        <v>2145</v>
      </c>
      <c r="M1057" s="3">
        <v>40255</v>
      </c>
      <c r="N1057" s="2" t="s">
        <v>2455</v>
      </c>
      <c r="O1057" s="2" t="s">
        <v>107</v>
      </c>
      <c r="P1057" s="2" t="s">
        <v>107</v>
      </c>
      <c r="Q1057" s="2" t="str">
        <f>"14/10"</f>
        <v>14/10</v>
      </c>
      <c r="R1057" s="2" t="s">
        <v>116</v>
      </c>
      <c r="S1057" s="2" t="s">
        <v>116</v>
      </c>
      <c r="T1057" s="2">
        <v>1</v>
      </c>
      <c r="U1057" s="2" t="s">
        <v>79</v>
      </c>
      <c r="V1057" s="2">
        <v>1</v>
      </c>
      <c r="W1057" s="2" t="s">
        <v>80</v>
      </c>
      <c r="X1057" s="2">
        <v>5</v>
      </c>
      <c r="Y1057" s="2" t="s">
        <v>82</v>
      </c>
      <c r="Z1057" s="2">
        <v>1</v>
      </c>
      <c r="AA1057" s="2" t="s">
        <v>82</v>
      </c>
      <c r="AB1057" s="2">
        <v>6</v>
      </c>
      <c r="AC1057" s="2" t="s">
        <v>83</v>
      </c>
      <c r="AD1057" s="2"/>
      <c r="AE1057" s="2"/>
      <c r="AF1057" s="3">
        <v>40255</v>
      </c>
      <c r="AG1057" s="4">
        <v>0.83333333333333337</v>
      </c>
      <c r="AH1057" s="2">
        <v>3</v>
      </c>
      <c r="AI1057" s="2" t="s">
        <v>214</v>
      </c>
      <c r="AJ1057" s="2">
        <v>24</v>
      </c>
      <c r="AK1057" s="2" t="s">
        <v>215</v>
      </c>
      <c r="AL1057" s="2">
        <v>21</v>
      </c>
      <c r="AM1057" s="2" t="s">
        <v>1311</v>
      </c>
      <c r="AN1057" s="2" t="s">
        <v>4053</v>
      </c>
      <c r="AO1057" s="2"/>
      <c r="AP1057" s="2">
        <v>11</v>
      </c>
      <c r="AQ1057" s="2" t="s">
        <v>82</v>
      </c>
      <c r="AR1057" s="2"/>
      <c r="AS1057" s="2"/>
      <c r="AT1057" s="2" t="s">
        <v>4054</v>
      </c>
      <c r="AU1057" s="2"/>
      <c r="AV1057" s="2"/>
      <c r="AW1057" s="2"/>
      <c r="AX1057" s="2"/>
      <c r="AY1057" s="2">
        <v>41</v>
      </c>
      <c r="AZ1057" s="2" t="s">
        <v>82</v>
      </c>
      <c r="BA1057" s="2">
        <v>41</v>
      </c>
      <c r="BB1057" s="2" t="s">
        <v>82</v>
      </c>
      <c r="BC1057" s="2">
        <v>41</v>
      </c>
      <c r="BD1057" s="2" t="s">
        <v>82</v>
      </c>
      <c r="BE1057" s="2">
        <v>41</v>
      </c>
      <c r="BF1057" s="2" t="s">
        <v>82</v>
      </c>
      <c r="BG1057" s="2"/>
      <c r="BH1057" s="2"/>
      <c r="BI1057" s="2"/>
      <c r="BJ1057" s="2">
        <v>241</v>
      </c>
      <c r="BK1057" s="2" t="s">
        <v>82</v>
      </c>
      <c r="BL1057" s="2"/>
      <c r="BM1057" s="2">
        <v>241</v>
      </c>
      <c r="BN1057" s="2" t="s">
        <v>82</v>
      </c>
      <c r="BO1057" s="2"/>
      <c r="BP1057" s="2">
        <v>241</v>
      </c>
      <c r="BQ1057" s="2" t="s">
        <v>82</v>
      </c>
      <c r="BR1057" s="2"/>
      <c r="BS1057" s="3">
        <v>40255</v>
      </c>
      <c r="BT1057" s="4">
        <v>0.89001157407407405</v>
      </c>
    </row>
    <row r="1058" spans="1:72" x14ac:dyDescent="0.25">
      <c r="A1058" s="2">
        <v>1645</v>
      </c>
      <c r="B1058" s="2">
        <v>2010</v>
      </c>
      <c r="C1058" s="2" t="s">
        <v>72</v>
      </c>
      <c r="D1058" s="2" t="s">
        <v>73</v>
      </c>
      <c r="E1058" s="2"/>
      <c r="F1058" s="2">
        <v>557</v>
      </c>
      <c r="G1058" s="2" t="s">
        <v>4055</v>
      </c>
      <c r="H1058" s="2">
        <v>68</v>
      </c>
      <c r="I1058" s="2" t="s">
        <v>3747</v>
      </c>
      <c r="J1058" s="2">
        <v>479</v>
      </c>
      <c r="K1058" s="2" t="s">
        <v>4056</v>
      </c>
      <c r="L1058" s="2" t="s">
        <v>4057</v>
      </c>
      <c r="M1058" s="3">
        <v>40255</v>
      </c>
      <c r="N1058" s="2" t="s">
        <v>4058</v>
      </c>
      <c r="O1058" s="2"/>
      <c r="P1058" s="2"/>
      <c r="Q1058" s="2" t="str">
        <f>"109-A/10"</f>
        <v>109-A/10</v>
      </c>
      <c r="R1058" s="2"/>
      <c r="S1058" s="2" t="s">
        <v>1547</v>
      </c>
      <c r="T1058" s="2">
        <v>1</v>
      </c>
      <c r="U1058" s="2" t="s">
        <v>79</v>
      </c>
      <c r="V1058" s="2">
        <v>1</v>
      </c>
      <c r="W1058" s="2" t="s">
        <v>80</v>
      </c>
      <c r="X1058" s="2">
        <v>1</v>
      </c>
      <c r="Y1058" s="2" t="s">
        <v>81</v>
      </c>
      <c r="Z1058" s="2">
        <v>1</v>
      </c>
      <c r="AA1058" s="2" t="s">
        <v>82</v>
      </c>
      <c r="AB1058" s="2">
        <v>6</v>
      </c>
      <c r="AC1058" s="2" t="s">
        <v>83</v>
      </c>
      <c r="AD1058" s="3">
        <v>40250</v>
      </c>
      <c r="AE1058" s="4">
        <v>0.55555555555555558</v>
      </c>
      <c r="AF1058" s="3">
        <v>40255</v>
      </c>
      <c r="AG1058" s="4">
        <v>0.60416666666666663</v>
      </c>
      <c r="AH1058" s="2">
        <v>2</v>
      </c>
      <c r="AI1058" s="2" t="s">
        <v>84</v>
      </c>
      <c r="AJ1058" s="2">
        <v>12</v>
      </c>
      <c r="AK1058" s="2" t="s">
        <v>85</v>
      </c>
      <c r="AL1058" s="2">
        <v>18</v>
      </c>
      <c r="AM1058" s="2" t="s">
        <v>82</v>
      </c>
      <c r="AN1058" s="2" t="s">
        <v>107</v>
      </c>
      <c r="AO1058" s="2" t="s">
        <v>4059</v>
      </c>
      <c r="AP1058" s="2">
        <v>11</v>
      </c>
      <c r="AQ1058" s="2" t="s">
        <v>82</v>
      </c>
      <c r="AR1058" s="2"/>
      <c r="AS1058" s="2"/>
      <c r="AT1058" s="2" t="s">
        <v>4060</v>
      </c>
      <c r="AU1058" s="2"/>
      <c r="AV1058" s="2"/>
      <c r="AW1058" s="2"/>
      <c r="AX1058" s="2"/>
      <c r="AY1058" s="2">
        <v>41</v>
      </c>
      <c r="AZ1058" s="2" t="s">
        <v>82</v>
      </c>
      <c r="BA1058" s="2">
        <v>41</v>
      </c>
      <c r="BB1058" s="2" t="s">
        <v>82</v>
      </c>
      <c r="BC1058" s="2">
        <v>41</v>
      </c>
      <c r="BD1058" s="2" t="s">
        <v>82</v>
      </c>
      <c r="BE1058" s="2">
        <v>13</v>
      </c>
      <c r="BF1058" s="2" t="s">
        <v>108</v>
      </c>
      <c r="BG1058" s="2" t="s">
        <v>4061</v>
      </c>
      <c r="BH1058" s="4">
        <v>0.76388888888888884</v>
      </c>
      <c r="BI1058" s="4">
        <v>0.68055555555555547</v>
      </c>
      <c r="BJ1058" s="2">
        <v>13</v>
      </c>
      <c r="BK1058" s="2" t="s">
        <v>91</v>
      </c>
      <c r="BL1058" s="2" t="s">
        <v>185</v>
      </c>
      <c r="BM1058" s="2">
        <v>241</v>
      </c>
      <c r="BN1058" s="2" t="s">
        <v>82</v>
      </c>
      <c r="BO1058" s="2" t="s">
        <v>82</v>
      </c>
      <c r="BP1058" s="2">
        <v>13</v>
      </c>
      <c r="BQ1058" s="2" t="s">
        <v>91</v>
      </c>
      <c r="BR1058" s="2" t="s">
        <v>4062</v>
      </c>
      <c r="BS1058" s="3">
        <v>40255</v>
      </c>
      <c r="BT1058" s="4">
        <v>0.92658564814814814</v>
      </c>
    </row>
    <row r="1059" spans="1:72" x14ac:dyDescent="0.25">
      <c r="A1059" s="2">
        <v>1646</v>
      </c>
      <c r="B1059" s="2">
        <v>2010</v>
      </c>
      <c r="C1059" s="2" t="s">
        <v>819</v>
      </c>
      <c r="D1059" s="2" t="s">
        <v>122</v>
      </c>
      <c r="E1059" s="2"/>
      <c r="F1059" s="2">
        <v>451</v>
      </c>
      <c r="G1059" s="2" t="s">
        <v>879</v>
      </c>
      <c r="H1059" s="2">
        <v>31</v>
      </c>
      <c r="I1059" s="2" t="s">
        <v>880</v>
      </c>
      <c r="J1059" s="2">
        <v>326</v>
      </c>
      <c r="K1059" s="2" t="s">
        <v>881</v>
      </c>
      <c r="L1059" s="2" t="s">
        <v>882</v>
      </c>
      <c r="M1059" s="3">
        <v>40255</v>
      </c>
      <c r="N1059" s="2" t="s">
        <v>821</v>
      </c>
      <c r="O1059" s="2"/>
      <c r="P1059" s="2"/>
      <c r="Q1059" s="2" t="str">
        <f>"032/10"</f>
        <v>032/10</v>
      </c>
      <c r="R1059" s="2" t="s">
        <v>822</v>
      </c>
      <c r="S1059" s="2" t="s">
        <v>3718</v>
      </c>
      <c r="T1059" s="2">
        <v>1</v>
      </c>
      <c r="U1059" s="2" t="s">
        <v>79</v>
      </c>
      <c r="V1059" s="2">
        <v>1</v>
      </c>
      <c r="W1059" s="2" t="s">
        <v>80</v>
      </c>
      <c r="X1059" s="2">
        <v>1</v>
      </c>
      <c r="Y1059" s="2" t="s">
        <v>81</v>
      </c>
      <c r="Z1059" s="2">
        <v>10</v>
      </c>
      <c r="AA1059" s="2" t="s">
        <v>236</v>
      </c>
      <c r="AB1059" s="2">
        <v>9</v>
      </c>
      <c r="AC1059" s="2" t="s">
        <v>124</v>
      </c>
      <c r="AD1059" s="3">
        <v>40255</v>
      </c>
      <c r="AE1059" s="4">
        <v>0.88541666666666663</v>
      </c>
      <c r="AF1059" s="2"/>
      <c r="AG1059" s="2"/>
      <c r="AH1059" s="2">
        <v>4</v>
      </c>
      <c r="AI1059" s="2" t="s">
        <v>125</v>
      </c>
      <c r="AJ1059" s="2">
        <v>29</v>
      </c>
      <c r="AK1059" s="2" t="s">
        <v>227</v>
      </c>
      <c r="AL1059" s="2">
        <v>10</v>
      </c>
      <c r="AM1059" s="2" t="s">
        <v>200</v>
      </c>
      <c r="AN1059" s="2" t="s">
        <v>1073</v>
      </c>
      <c r="AO1059" s="2" t="s">
        <v>200</v>
      </c>
      <c r="AP1059" s="2">
        <v>12</v>
      </c>
      <c r="AQ1059" s="2" t="s">
        <v>322</v>
      </c>
      <c r="AR1059" s="2" t="s">
        <v>824</v>
      </c>
      <c r="AS1059" s="2" t="s">
        <v>825</v>
      </c>
      <c r="AT1059" s="2" t="s">
        <v>4063</v>
      </c>
      <c r="AU1059" s="2"/>
      <c r="AV1059" s="2"/>
      <c r="AW1059" s="2"/>
      <c r="AX1059" s="2"/>
      <c r="AY1059" s="2">
        <v>41</v>
      </c>
      <c r="AZ1059" s="2" t="s">
        <v>82</v>
      </c>
      <c r="BA1059" s="2">
        <v>41</v>
      </c>
      <c r="BB1059" s="2" t="s">
        <v>82</v>
      </c>
      <c r="BC1059" s="2">
        <v>51</v>
      </c>
      <c r="BD1059" s="2" t="s">
        <v>827</v>
      </c>
      <c r="BE1059" s="2">
        <v>47</v>
      </c>
      <c r="BF1059" s="2" t="s">
        <v>167</v>
      </c>
      <c r="BG1059" s="2">
        <v>2459</v>
      </c>
      <c r="BH1059" s="4">
        <v>0.89583333333333337</v>
      </c>
      <c r="BI1059" s="4">
        <v>0.93055555555555547</v>
      </c>
      <c r="BJ1059" s="2">
        <v>13</v>
      </c>
      <c r="BK1059" s="2" t="s">
        <v>91</v>
      </c>
      <c r="BL1059" s="2" t="s">
        <v>828</v>
      </c>
      <c r="BM1059" s="2">
        <v>241</v>
      </c>
      <c r="BN1059" s="2" t="s">
        <v>82</v>
      </c>
      <c r="BO1059" s="2" t="s">
        <v>82</v>
      </c>
      <c r="BP1059" s="2">
        <v>13</v>
      </c>
      <c r="BQ1059" s="2" t="s">
        <v>91</v>
      </c>
      <c r="BR1059" s="2" t="s">
        <v>185</v>
      </c>
      <c r="BS1059" s="3">
        <v>40255</v>
      </c>
      <c r="BT1059" s="4">
        <v>0.92881944444444453</v>
      </c>
    </row>
    <row r="1060" spans="1:72" x14ac:dyDescent="0.25">
      <c r="A1060" s="2">
        <v>1647</v>
      </c>
      <c r="B1060" s="2">
        <v>2010</v>
      </c>
      <c r="C1060" s="2" t="s">
        <v>128</v>
      </c>
      <c r="D1060" s="2" t="s">
        <v>122</v>
      </c>
      <c r="E1060" s="2"/>
      <c r="F1060" s="2">
        <v>475</v>
      </c>
      <c r="G1060" s="2" t="s">
        <v>1271</v>
      </c>
      <c r="H1060" s="2">
        <v>38</v>
      </c>
      <c r="I1060" s="2" t="s">
        <v>1272</v>
      </c>
      <c r="J1060" s="2">
        <v>385</v>
      </c>
      <c r="K1060" s="2" t="s">
        <v>1314</v>
      </c>
      <c r="L1060" s="2" t="s">
        <v>1315</v>
      </c>
      <c r="M1060" s="3">
        <v>40255</v>
      </c>
      <c r="N1060" s="2" t="s">
        <v>4064</v>
      </c>
      <c r="O1060" s="2" t="s">
        <v>4065</v>
      </c>
      <c r="P1060" s="2" t="s">
        <v>82</v>
      </c>
      <c r="Q1060" s="2" t="str">
        <f>"PS Nº 14/2010"</f>
        <v>PS Nº 14/2010</v>
      </c>
      <c r="R1060" s="2" t="s">
        <v>82</v>
      </c>
      <c r="S1060" s="2" t="s">
        <v>82</v>
      </c>
      <c r="T1060" s="2">
        <v>1</v>
      </c>
      <c r="U1060" s="2" t="s">
        <v>79</v>
      </c>
      <c r="V1060" s="2">
        <v>1</v>
      </c>
      <c r="W1060" s="2" t="s">
        <v>80</v>
      </c>
      <c r="X1060" s="2">
        <v>1</v>
      </c>
      <c r="Y1060" s="2" t="s">
        <v>81</v>
      </c>
      <c r="Z1060" s="2">
        <v>10</v>
      </c>
      <c r="AA1060" s="2" t="s">
        <v>236</v>
      </c>
      <c r="AB1060" s="2">
        <v>9</v>
      </c>
      <c r="AC1060" s="2" t="s">
        <v>124</v>
      </c>
      <c r="AD1060" s="3">
        <v>40255</v>
      </c>
      <c r="AE1060" s="4">
        <v>0.81597222222222221</v>
      </c>
      <c r="AF1060" s="3">
        <v>40255</v>
      </c>
      <c r="AG1060" s="4">
        <v>0.81597222222222221</v>
      </c>
      <c r="AH1060" s="2">
        <v>5</v>
      </c>
      <c r="AI1060" s="2" t="s">
        <v>274</v>
      </c>
      <c r="AJ1060" s="2">
        <v>42</v>
      </c>
      <c r="AK1060" s="2" t="s">
        <v>660</v>
      </c>
      <c r="AL1060" s="2">
        <v>11</v>
      </c>
      <c r="AM1060" s="2" t="s">
        <v>137</v>
      </c>
      <c r="AN1060" s="2" t="s">
        <v>82</v>
      </c>
      <c r="AO1060" s="2" t="s">
        <v>82</v>
      </c>
      <c r="AP1060" s="2">
        <v>5</v>
      </c>
      <c r="AQ1060" s="2" t="s">
        <v>827</v>
      </c>
      <c r="AR1060" s="2" t="s">
        <v>82</v>
      </c>
      <c r="AS1060" s="2" t="s">
        <v>82</v>
      </c>
      <c r="AT1060" s="2" t="s">
        <v>4066</v>
      </c>
      <c r="AU1060" s="2"/>
      <c r="AV1060" s="2"/>
      <c r="AW1060" s="2"/>
      <c r="AX1060" s="2"/>
      <c r="AY1060" s="2">
        <v>41</v>
      </c>
      <c r="AZ1060" s="2" t="s">
        <v>82</v>
      </c>
      <c r="BA1060" s="2">
        <v>41</v>
      </c>
      <c r="BB1060" s="2" t="s">
        <v>82</v>
      </c>
      <c r="BC1060" s="2">
        <v>41</v>
      </c>
      <c r="BD1060" s="2" t="s">
        <v>82</v>
      </c>
      <c r="BE1060" s="2">
        <v>13</v>
      </c>
      <c r="BF1060" s="2" t="s">
        <v>108</v>
      </c>
      <c r="BG1060" s="2">
        <v>1789</v>
      </c>
      <c r="BH1060" s="2"/>
      <c r="BI1060" s="2"/>
      <c r="BJ1060" s="2">
        <v>13</v>
      </c>
      <c r="BK1060" s="2" t="s">
        <v>91</v>
      </c>
      <c r="BL1060" s="2" t="s">
        <v>185</v>
      </c>
      <c r="BM1060" s="2">
        <v>13</v>
      </c>
      <c r="BN1060" s="2" t="s">
        <v>91</v>
      </c>
      <c r="BO1060" s="2" t="s">
        <v>1958</v>
      </c>
      <c r="BP1060" s="2">
        <v>13</v>
      </c>
      <c r="BQ1060" s="2" t="s">
        <v>91</v>
      </c>
      <c r="BR1060" s="2" t="s">
        <v>185</v>
      </c>
      <c r="BS1060" s="3">
        <v>40255</v>
      </c>
      <c r="BT1060" s="4">
        <v>0.992650462962963</v>
      </c>
    </row>
    <row r="1061" spans="1:72" x14ac:dyDescent="0.25">
      <c r="A1061" s="2">
        <v>1648</v>
      </c>
      <c r="B1061" s="2">
        <v>2010</v>
      </c>
      <c r="C1061" s="2" t="s">
        <v>72</v>
      </c>
      <c r="D1061" s="2" t="s">
        <v>73</v>
      </c>
      <c r="E1061" s="2"/>
      <c r="F1061" s="2">
        <v>558</v>
      </c>
      <c r="G1061" s="2" t="s">
        <v>3954</v>
      </c>
      <c r="H1061" s="2">
        <v>42</v>
      </c>
      <c r="I1061" s="2" t="s">
        <v>1096</v>
      </c>
      <c r="J1061" s="2">
        <v>480</v>
      </c>
      <c r="K1061" s="2" t="s">
        <v>3955</v>
      </c>
      <c r="L1061" s="2" t="s">
        <v>3956</v>
      </c>
      <c r="M1061" s="3">
        <v>40256</v>
      </c>
      <c r="N1061" s="2" t="s">
        <v>4067</v>
      </c>
      <c r="O1061" s="2" t="s">
        <v>4068</v>
      </c>
      <c r="P1061" s="2"/>
      <c r="Q1061" s="2" t="str">
        <f>"0015/2010"</f>
        <v>0015/2010</v>
      </c>
      <c r="R1061" s="2" t="s">
        <v>4068</v>
      </c>
      <c r="S1061" s="2" t="s">
        <v>4068</v>
      </c>
      <c r="T1061" s="2">
        <v>1</v>
      </c>
      <c r="U1061" s="2" t="s">
        <v>79</v>
      </c>
      <c r="V1061" s="2">
        <v>1</v>
      </c>
      <c r="W1061" s="2" t="s">
        <v>80</v>
      </c>
      <c r="X1061" s="2">
        <v>1</v>
      </c>
      <c r="Y1061" s="2" t="s">
        <v>81</v>
      </c>
      <c r="Z1061" s="2">
        <v>10</v>
      </c>
      <c r="AA1061" s="2" t="s">
        <v>236</v>
      </c>
      <c r="AB1061" s="2">
        <v>6</v>
      </c>
      <c r="AC1061" s="2" t="s">
        <v>83</v>
      </c>
      <c r="AD1061" s="3">
        <v>40255</v>
      </c>
      <c r="AE1061" s="4">
        <v>0.79166666666666663</v>
      </c>
      <c r="AF1061" s="3">
        <v>40255</v>
      </c>
      <c r="AG1061" s="4">
        <v>0.89236111111111116</v>
      </c>
      <c r="AH1061" s="2">
        <v>5</v>
      </c>
      <c r="AI1061" s="2" t="s">
        <v>274</v>
      </c>
      <c r="AJ1061" s="2">
        <v>42</v>
      </c>
      <c r="AK1061" s="2" t="s">
        <v>660</v>
      </c>
      <c r="AL1061" s="2">
        <v>9</v>
      </c>
      <c r="AM1061" s="2" t="s">
        <v>259</v>
      </c>
      <c r="AN1061" s="2" t="s">
        <v>4069</v>
      </c>
      <c r="AO1061" s="2" t="s">
        <v>4070</v>
      </c>
      <c r="AP1061" s="2">
        <v>11</v>
      </c>
      <c r="AQ1061" s="2" t="s">
        <v>82</v>
      </c>
      <c r="AR1061" s="2"/>
      <c r="AS1061" s="2"/>
      <c r="AT1061" s="2" t="s">
        <v>4071</v>
      </c>
      <c r="AU1061" s="2"/>
      <c r="AV1061" s="2"/>
      <c r="AW1061" s="2"/>
      <c r="AX1061" s="2"/>
      <c r="AY1061" s="2">
        <v>41</v>
      </c>
      <c r="AZ1061" s="2" t="s">
        <v>82</v>
      </c>
      <c r="BA1061" s="2">
        <v>41</v>
      </c>
      <c r="BB1061" s="2" t="s">
        <v>82</v>
      </c>
      <c r="BC1061" s="2">
        <v>41</v>
      </c>
      <c r="BD1061" s="2" t="s">
        <v>82</v>
      </c>
      <c r="BE1061" s="2">
        <v>41</v>
      </c>
      <c r="BF1061" s="2" t="s">
        <v>82</v>
      </c>
      <c r="BG1061" s="2"/>
      <c r="BH1061" s="2"/>
      <c r="BI1061" s="2"/>
      <c r="BJ1061" s="2">
        <v>241</v>
      </c>
      <c r="BK1061" s="2" t="s">
        <v>82</v>
      </c>
      <c r="BL1061" s="2"/>
      <c r="BM1061" s="2">
        <v>241</v>
      </c>
      <c r="BN1061" s="2" t="s">
        <v>82</v>
      </c>
      <c r="BO1061" s="2"/>
      <c r="BP1061" s="2">
        <v>241</v>
      </c>
      <c r="BQ1061" s="2" t="s">
        <v>82</v>
      </c>
      <c r="BR1061" s="2"/>
      <c r="BS1061" s="3">
        <v>40256</v>
      </c>
      <c r="BT1061" s="4">
        <v>4.9826388888888885E-2</v>
      </c>
    </row>
    <row r="1062" spans="1:72" x14ac:dyDescent="0.25">
      <c r="A1062" s="2">
        <v>1649</v>
      </c>
      <c r="B1062" s="2">
        <v>2010</v>
      </c>
      <c r="C1062" s="2" t="s">
        <v>377</v>
      </c>
      <c r="D1062" s="2" t="s">
        <v>73</v>
      </c>
      <c r="E1062" s="2"/>
      <c r="F1062" s="2">
        <v>426</v>
      </c>
      <c r="G1062" s="2" t="s">
        <v>378</v>
      </c>
      <c r="H1062" s="2">
        <v>1</v>
      </c>
      <c r="I1062" s="2" t="s">
        <v>82</v>
      </c>
      <c r="J1062" s="2">
        <v>311</v>
      </c>
      <c r="K1062" s="2" t="s">
        <v>379</v>
      </c>
      <c r="L1062" s="2" t="s">
        <v>380</v>
      </c>
      <c r="M1062" s="3">
        <v>40256</v>
      </c>
      <c r="N1062" s="2" t="s">
        <v>107</v>
      </c>
      <c r="O1062" s="2" t="s">
        <v>107</v>
      </c>
      <c r="P1062" s="2" t="s">
        <v>107</v>
      </c>
      <c r="Q1062" s="2" t="str">
        <f>"021-E/10"</f>
        <v>021-E/10</v>
      </c>
      <c r="R1062" s="2" t="s">
        <v>4072</v>
      </c>
      <c r="S1062" s="2" t="s">
        <v>4072</v>
      </c>
      <c r="T1062" s="2">
        <v>1</v>
      </c>
      <c r="U1062" s="2" t="s">
        <v>79</v>
      </c>
      <c r="V1062" s="2">
        <v>1</v>
      </c>
      <c r="W1062" s="2" t="s">
        <v>80</v>
      </c>
      <c r="X1062" s="2">
        <v>1</v>
      </c>
      <c r="Y1062" s="2" t="s">
        <v>81</v>
      </c>
      <c r="Z1062" s="2">
        <v>1</v>
      </c>
      <c r="AA1062" s="2" t="s">
        <v>82</v>
      </c>
      <c r="AB1062" s="2">
        <v>9</v>
      </c>
      <c r="AC1062" s="2" t="s">
        <v>124</v>
      </c>
      <c r="AD1062" s="3">
        <v>40255</v>
      </c>
      <c r="AE1062" s="4">
        <v>0.59375</v>
      </c>
      <c r="AF1062" s="3">
        <v>40255</v>
      </c>
      <c r="AG1062" s="4">
        <v>0.65972222222222221</v>
      </c>
      <c r="AH1062" s="2">
        <v>2</v>
      </c>
      <c r="AI1062" s="2" t="s">
        <v>84</v>
      </c>
      <c r="AJ1062" s="2">
        <v>9</v>
      </c>
      <c r="AK1062" s="2" t="s">
        <v>103</v>
      </c>
      <c r="AL1062" s="2">
        <v>12</v>
      </c>
      <c r="AM1062" s="2" t="s">
        <v>86</v>
      </c>
      <c r="AN1062" s="2" t="s">
        <v>4073</v>
      </c>
      <c r="AO1062" s="2" t="s">
        <v>82</v>
      </c>
      <c r="AP1062" s="2">
        <v>11</v>
      </c>
      <c r="AQ1062" s="2" t="s">
        <v>82</v>
      </c>
      <c r="AR1062" s="2"/>
      <c r="AS1062" s="2"/>
      <c r="AT1062" s="2" t="s">
        <v>4074</v>
      </c>
      <c r="AU1062" s="2"/>
      <c r="AV1062" s="2"/>
      <c r="AW1062" s="2"/>
      <c r="AX1062" s="2"/>
      <c r="AY1062" s="2">
        <v>41</v>
      </c>
      <c r="AZ1062" s="2" t="s">
        <v>82</v>
      </c>
      <c r="BA1062" s="2">
        <v>41</v>
      </c>
      <c r="BB1062" s="2" t="s">
        <v>82</v>
      </c>
      <c r="BC1062" s="2">
        <v>41</v>
      </c>
      <c r="BD1062" s="2" t="s">
        <v>82</v>
      </c>
      <c r="BE1062" s="2">
        <v>41</v>
      </c>
      <c r="BF1062" s="2" t="s">
        <v>82</v>
      </c>
      <c r="BG1062" s="2"/>
      <c r="BH1062" s="2"/>
      <c r="BI1062" s="2"/>
      <c r="BJ1062" s="2">
        <v>241</v>
      </c>
      <c r="BK1062" s="2" t="s">
        <v>82</v>
      </c>
      <c r="BL1062" s="2"/>
      <c r="BM1062" s="2">
        <v>241</v>
      </c>
      <c r="BN1062" s="2" t="s">
        <v>82</v>
      </c>
      <c r="BO1062" s="2"/>
      <c r="BP1062" s="2">
        <v>241</v>
      </c>
      <c r="BQ1062" s="2" t="s">
        <v>82</v>
      </c>
      <c r="BR1062" s="2"/>
      <c r="BS1062" s="3">
        <v>40256</v>
      </c>
      <c r="BT1062" s="4">
        <v>8.0868055555555554E-2</v>
      </c>
    </row>
    <row r="1063" spans="1:72" x14ac:dyDescent="0.25">
      <c r="A1063" s="2">
        <v>1650</v>
      </c>
      <c r="B1063" s="2">
        <v>2010</v>
      </c>
      <c r="C1063" s="2" t="s">
        <v>171</v>
      </c>
      <c r="D1063" s="2" t="s">
        <v>73</v>
      </c>
      <c r="E1063" s="2"/>
      <c r="F1063" s="2">
        <v>232</v>
      </c>
      <c r="G1063" s="2" t="s">
        <v>4075</v>
      </c>
      <c r="H1063" s="2">
        <v>15</v>
      </c>
      <c r="I1063" s="2" t="s">
        <v>130</v>
      </c>
      <c r="J1063" s="2">
        <v>242</v>
      </c>
      <c r="K1063" s="2" t="s">
        <v>1077</v>
      </c>
      <c r="L1063" s="2" t="s">
        <v>1078</v>
      </c>
      <c r="M1063" s="3">
        <v>40256</v>
      </c>
      <c r="N1063" s="2" t="s">
        <v>4076</v>
      </c>
      <c r="O1063" s="2" t="s">
        <v>391</v>
      </c>
      <c r="P1063" s="2">
        <v>6469</v>
      </c>
      <c r="Q1063" s="2" t="str">
        <f>"148-E/10"</f>
        <v>148-E/10</v>
      </c>
      <c r="R1063" s="2" t="s">
        <v>391</v>
      </c>
      <c r="S1063" s="2" t="s">
        <v>391</v>
      </c>
      <c r="T1063" s="2">
        <v>1</v>
      </c>
      <c r="U1063" s="2" t="s">
        <v>79</v>
      </c>
      <c r="V1063" s="2">
        <v>1</v>
      </c>
      <c r="W1063" s="2" t="s">
        <v>80</v>
      </c>
      <c r="X1063" s="2">
        <v>1</v>
      </c>
      <c r="Y1063" s="2" t="s">
        <v>81</v>
      </c>
      <c r="Z1063" s="2">
        <v>1</v>
      </c>
      <c r="AA1063" s="2" t="s">
        <v>82</v>
      </c>
      <c r="AB1063" s="2">
        <v>1</v>
      </c>
      <c r="AC1063" s="2" t="s">
        <v>178</v>
      </c>
      <c r="AD1063" s="3">
        <v>40255</v>
      </c>
      <c r="AE1063" s="4">
        <v>0.70833333333333337</v>
      </c>
      <c r="AF1063" s="3">
        <v>40255</v>
      </c>
      <c r="AG1063" s="4">
        <v>0.83333333333333337</v>
      </c>
      <c r="AH1063" s="2">
        <v>2</v>
      </c>
      <c r="AI1063" s="2" t="s">
        <v>84</v>
      </c>
      <c r="AJ1063" s="2">
        <v>9</v>
      </c>
      <c r="AK1063" s="2" t="s">
        <v>103</v>
      </c>
      <c r="AL1063" s="2">
        <v>14</v>
      </c>
      <c r="AM1063" s="2" t="s">
        <v>216</v>
      </c>
      <c r="AN1063" s="2" t="s">
        <v>179</v>
      </c>
      <c r="AO1063" s="2" t="s">
        <v>107</v>
      </c>
      <c r="AP1063" s="2">
        <v>11</v>
      </c>
      <c r="AQ1063" s="2" t="s">
        <v>82</v>
      </c>
      <c r="AR1063" s="2"/>
      <c r="AS1063" s="2"/>
      <c r="AT1063" s="2" t="s">
        <v>4077</v>
      </c>
      <c r="AU1063" s="2"/>
      <c r="AV1063" s="2">
        <v>1</v>
      </c>
      <c r="AW1063" s="2"/>
      <c r="AX1063" s="2"/>
      <c r="AY1063" s="2">
        <v>41</v>
      </c>
      <c r="AZ1063" s="2" t="s">
        <v>82</v>
      </c>
      <c r="BA1063" s="2">
        <v>41</v>
      </c>
      <c r="BB1063" s="2" t="s">
        <v>82</v>
      </c>
      <c r="BC1063" s="2">
        <v>41</v>
      </c>
      <c r="BD1063" s="2" t="s">
        <v>82</v>
      </c>
      <c r="BE1063" s="2">
        <v>14</v>
      </c>
      <c r="BF1063" s="2" t="s">
        <v>484</v>
      </c>
      <c r="BG1063" s="2" t="s">
        <v>3450</v>
      </c>
      <c r="BH1063" s="2"/>
      <c r="BI1063" s="4">
        <v>0.75</v>
      </c>
      <c r="BJ1063" s="2">
        <v>13</v>
      </c>
      <c r="BK1063" s="2" t="s">
        <v>91</v>
      </c>
      <c r="BL1063" s="2" t="s">
        <v>723</v>
      </c>
      <c r="BM1063" s="2">
        <v>82</v>
      </c>
      <c r="BN1063" s="2" t="s">
        <v>487</v>
      </c>
      <c r="BO1063" s="2" t="s">
        <v>488</v>
      </c>
      <c r="BP1063" s="2">
        <v>47</v>
      </c>
      <c r="BQ1063" s="2" t="s">
        <v>4078</v>
      </c>
      <c r="BR1063" s="2" t="s">
        <v>4079</v>
      </c>
      <c r="BS1063" s="3">
        <v>40256</v>
      </c>
      <c r="BT1063" s="4">
        <v>0.12646990740740741</v>
      </c>
    </row>
    <row r="1064" spans="1:72" x14ac:dyDescent="0.25">
      <c r="A1064" s="2">
        <v>1651</v>
      </c>
      <c r="B1064" s="2">
        <v>2010</v>
      </c>
      <c r="C1064" s="2" t="s">
        <v>72</v>
      </c>
      <c r="D1064" s="2" t="s">
        <v>122</v>
      </c>
      <c r="E1064" s="2" t="s">
        <v>4080</v>
      </c>
      <c r="F1064" s="2">
        <v>390</v>
      </c>
      <c r="G1064" s="2" t="s">
        <v>475</v>
      </c>
      <c r="H1064" s="2">
        <v>5</v>
      </c>
      <c r="I1064" s="2" t="s">
        <v>634</v>
      </c>
      <c r="J1064" s="2">
        <v>314</v>
      </c>
      <c r="K1064" s="2" t="s">
        <v>477</v>
      </c>
      <c r="L1064" s="2" t="s">
        <v>478</v>
      </c>
      <c r="M1064" s="3">
        <v>40256</v>
      </c>
      <c r="N1064" s="2" t="s">
        <v>3103</v>
      </c>
      <c r="O1064" s="2"/>
      <c r="P1064" s="2"/>
      <c r="Q1064" s="2" t="str">
        <f>"147-E/10"</f>
        <v>147-E/10</v>
      </c>
      <c r="R1064" s="2" t="s">
        <v>671</v>
      </c>
      <c r="S1064" s="2" t="s">
        <v>671</v>
      </c>
      <c r="T1064" s="2">
        <v>1</v>
      </c>
      <c r="U1064" s="2" t="s">
        <v>79</v>
      </c>
      <c r="V1064" s="2">
        <v>1</v>
      </c>
      <c r="W1064" s="2" t="s">
        <v>80</v>
      </c>
      <c r="X1064" s="2">
        <v>1</v>
      </c>
      <c r="Y1064" s="2" t="s">
        <v>81</v>
      </c>
      <c r="Z1064" s="2">
        <v>1</v>
      </c>
      <c r="AA1064" s="2" t="s">
        <v>82</v>
      </c>
      <c r="AB1064" s="2">
        <v>6</v>
      </c>
      <c r="AC1064" s="2" t="s">
        <v>83</v>
      </c>
      <c r="AD1064" s="3">
        <v>40255</v>
      </c>
      <c r="AE1064" s="4">
        <v>0.4375</v>
      </c>
      <c r="AF1064" s="3">
        <v>40255</v>
      </c>
      <c r="AG1064" s="4">
        <v>0.45833333333333331</v>
      </c>
      <c r="AH1064" s="2">
        <v>2</v>
      </c>
      <c r="AI1064" s="2" t="s">
        <v>84</v>
      </c>
      <c r="AJ1064" s="2">
        <v>9</v>
      </c>
      <c r="AK1064" s="2" t="s">
        <v>103</v>
      </c>
      <c r="AL1064" s="2">
        <v>14</v>
      </c>
      <c r="AM1064" s="2" t="s">
        <v>216</v>
      </c>
      <c r="AN1064" s="2" t="s">
        <v>4026</v>
      </c>
      <c r="AO1064" s="2" t="s">
        <v>4027</v>
      </c>
      <c r="AP1064" s="2">
        <v>11</v>
      </c>
      <c r="AQ1064" s="2" t="s">
        <v>82</v>
      </c>
      <c r="AR1064" s="2"/>
      <c r="AS1064" s="2"/>
      <c r="AT1064" s="2" t="s">
        <v>4081</v>
      </c>
      <c r="AU1064" s="2"/>
      <c r="AV1064" s="2"/>
      <c r="AW1064" s="2"/>
      <c r="AX1064" s="2"/>
      <c r="AY1064" s="2">
        <v>69</v>
      </c>
      <c r="AZ1064" s="2" t="s">
        <v>483</v>
      </c>
      <c r="BA1064" s="2">
        <v>69</v>
      </c>
      <c r="BB1064" s="2" t="s">
        <v>483</v>
      </c>
      <c r="BC1064" s="2">
        <v>41</v>
      </c>
      <c r="BD1064" s="2" t="s">
        <v>82</v>
      </c>
      <c r="BE1064" s="2">
        <v>31</v>
      </c>
      <c r="BF1064" s="2" t="s">
        <v>398</v>
      </c>
      <c r="BG1064" s="2" t="s">
        <v>989</v>
      </c>
      <c r="BH1064" s="4">
        <v>0.39583333333333331</v>
      </c>
      <c r="BI1064" s="4">
        <v>0</v>
      </c>
      <c r="BJ1064" s="2">
        <v>73</v>
      </c>
      <c r="BK1064" s="2" t="s">
        <v>186</v>
      </c>
      <c r="BL1064" s="2" t="s">
        <v>675</v>
      </c>
      <c r="BM1064" s="2">
        <v>73</v>
      </c>
      <c r="BN1064" s="2" t="s">
        <v>186</v>
      </c>
      <c r="BO1064" s="2" t="s">
        <v>187</v>
      </c>
      <c r="BP1064" s="2">
        <v>13</v>
      </c>
      <c r="BQ1064" s="2" t="s">
        <v>91</v>
      </c>
      <c r="BR1064" s="2" t="s">
        <v>1084</v>
      </c>
      <c r="BS1064" s="3">
        <v>40256</v>
      </c>
      <c r="BT1064" s="4">
        <v>0.13223379629629631</v>
      </c>
    </row>
    <row r="1065" spans="1:72" x14ac:dyDescent="0.25">
      <c r="A1065" s="2">
        <v>1652</v>
      </c>
      <c r="B1065" s="2">
        <v>2010</v>
      </c>
      <c r="C1065" s="2" t="s">
        <v>1568</v>
      </c>
      <c r="D1065" s="2" t="s">
        <v>73</v>
      </c>
      <c r="E1065" s="2"/>
      <c r="F1065" s="2">
        <v>560</v>
      </c>
      <c r="G1065" s="2" t="s">
        <v>4082</v>
      </c>
      <c r="H1065" s="2">
        <v>42</v>
      </c>
      <c r="I1065" s="2" t="s">
        <v>1096</v>
      </c>
      <c r="J1065" s="2">
        <v>477</v>
      </c>
      <c r="K1065" s="2" t="s">
        <v>4083</v>
      </c>
      <c r="L1065" s="2" t="s">
        <v>1908</v>
      </c>
      <c r="M1065" s="3">
        <v>40256</v>
      </c>
      <c r="N1065" s="2" t="s">
        <v>4084</v>
      </c>
      <c r="O1065" s="2" t="s">
        <v>107</v>
      </c>
      <c r="P1065" s="2" t="s">
        <v>107</v>
      </c>
      <c r="Q1065" s="2" t="str">
        <f>"108A/010"</f>
        <v>108A/010</v>
      </c>
      <c r="R1065" s="2" t="s">
        <v>107</v>
      </c>
      <c r="S1065" s="2" t="s">
        <v>4085</v>
      </c>
      <c r="T1065" s="2">
        <v>1</v>
      </c>
      <c r="U1065" s="2" t="s">
        <v>79</v>
      </c>
      <c r="V1065" s="2">
        <v>1</v>
      </c>
      <c r="W1065" s="2" t="s">
        <v>80</v>
      </c>
      <c r="X1065" s="2">
        <v>1</v>
      </c>
      <c r="Y1065" s="2" t="s">
        <v>81</v>
      </c>
      <c r="Z1065" s="2">
        <v>1</v>
      </c>
      <c r="AA1065" s="2" t="s">
        <v>82</v>
      </c>
      <c r="AB1065" s="2">
        <v>4</v>
      </c>
      <c r="AC1065" s="2" t="s">
        <v>1569</v>
      </c>
      <c r="AD1065" s="3">
        <v>40255</v>
      </c>
      <c r="AE1065" s="4">
        <v>0.31944444444444448</v>
      </c>
      <c r="AF1065" s="2"/>
      <c r="AG1065" s="2"/>
      <c r="AH1065" s="2">
        <v>2</v>
      </c>
      <c r="AI1065" s="2" t="s">
        <v>84</v>
      </c>
      <c r="AJ1065" s="2">
        <v>12</v>
      </c>
      <c r="AK1065" s="2" t="s">
        <v>85</v>
      </c>
      <c r="AL1065" s="2">
        <v>8</v>
      </c>
      <c r="AM1065" s="2" t="s">
        <v>179</v>
      </c>
      <c r="AN1065" s="2" t="s">
        <v>4086</v>
      </c>
      <c r="AO1065" s="2" t="s">
        <v>82</v>
      </c>
      <c r="AP1065" s="2">
        <v>11</v>
      </c>
      <c r="AQ1065" s="2" t="s">
        <v>82</v>
      </c>
      <c r="AR1065" s="2"/>
      <c r="AS1065" s="2"/>
      <c r="AT1065" s="2" t="s">
        <v>4087</v>
      </c>
      <c r="AU1065" s="2">
        <v>1</v>
      </c>
      <c r="AV1065" s="2"/>
      <c r="AW1065" s="2"/>
      <c r="AX1065" s="2"/>
      <c r="AY1065" s="2">
        <v>41</v>
      </c>
      <c r="AZ1065" s="2" t="s">
        <v>82</v>
      </c>
      <c r="BA1065" s="2">
        <v>41</v>
      </c>
      <c r="BB1065" s="2" t="s">
        <v>82</v>
      </c>
      <c r="BC1065" s="2">
        <v>41</v>
      </c>
      <c r="BD1065" s="2" t="s">
        <v>82</v>
      </c>
      <c r="BE1065" s="2">
        <v>4</v>
      </c>
      <c r="BF1065" s="2" t="s">
        <v>90</v>
      </c>
      <c r="BG1065" s="2">
        <v>4202</v>
      </c>
      <c r="BH1065" s="2"/>
      <c r="BI1065" s="2"/>
      <c r="BJ1065" s="2">
        <v>13</v>
      </c>
      <c r="BK1065" s="2" t="s">
        <v>91</v>
      </c>
      <c r="BL1065" s="2" t="s">
        <v>185</v>
      </c>
      <c r="BM1065" s="2">
        <v>241</v>
      </c>
      <c r="BN1065" s="2" t="s">
        <v>82</v>
      </c>
      <c r="BO1065" s="2"/>
      <c r="BP1065" s="2">
        <v>13</v>
      </c>
      <c r="BQ1065" s="2" t="s">
        <v>91</v>
      </c>
      <c r="BR1065" s="2" t="s">
        <v>169</v>
      </c>
      <c r="BS1065" s="3">
        <v>40256</v>
      </c>
      <c r="BT1065" s="4">
        <v>0.4370486111111111</v>
      </c>
    </row>
    <row r="1066" spans="1:72" x14ac:dyDescent="0.25">
      <c r="A1066" s="2">
        <v>1653</v>
      </c>
      <c r="B1066" s="2">
        <v>2010</v>
      </c>
      <c r="C1066" s="2" t="s">
        <v>171</v>
      </c>
      <c r="D1066" s="2" t="s">
        <v>73</v>
      </c>
      <c r="E1066" s="2"/>
      <c r="F1066" s="2">
        <v>398</v>
      </c>
      <c r="G1066" s="2" t="s">
        <v>94</v>
      </c>
      <c r="H1066" s="2">
        <v>12</v>
      </c>
      <c r="I1066" s="2" t="s">
        <v>95</v>
      </c>
      <c r="J1066" s="2">
        <v>245</v>
      </c>
      <c r="K1066" s="2" t="s">
        <v>96</v>
      </c>
      <c r="L1066" s="2" t="s">
        <v>97</v>
      </c>
      <c r="M1066" s="3">
        <v>40256</v>
      </c>
      <c r="N1066" s="2" t="s">
        <v>451</v>
      </c>
      <c r="O1066" s="2" t="s">
        <v>4088</v>
      </c>
      <c r="P1066" s="2">
        <v>11895</v>
      </c>
      <c r="Q1066" s="2" t="str">
        <f>"134E/10"</f>
        <v>134E/10</v>
      </c>
      <c r="R1066" s="2"/>
      <c r="S1066" s="2" t="s">
        <v>4089</v>
      </c>
      <c r="T1066" s="2">
        <v>1</v>
      </c>
      <c r="U1066" s="2" t="s">
        <v>79</v>
      </c>
      <c r="V1066" s="2">
        <v>3</v>
      </c>
      <c r="W1066" s="2" t="s">
        <v>225</v>
      </c>
      <c r="X1066" s="2">
        <v>6</v>
      </c>
      <c r="Y1066" s="2" t="s">
        <v>249</v>
      </c>
      <c r="Z1066" s="2">
        <v>10</v>
      </c>
      <c r="AA1066" s="2" t="s">
        <v>236</v>
      </c>
      <c r="AB1066" s="2">
        <v>9</v>
      </c>
      <c r="AC1066" s="2" t="s">
        <v>124</v>
      </c>
      <c r="AD1066" s="3">
        <v>40250</v>
      </c>
      <c r="AE1066" s="2"/>
      <c r="AF1066" s="3">
        <v>40254</v>
      </c>
      <c r="AG1066" s="4">
        <v>0.45833333333333331</v>
      </c>
      <c r="AH1066" s="2">
        <v>2</v>
      </c>
      <c r="AI1066" s="2" t="s">
        <v>84</v>
      </c>
      <c r="AJ1066" s="2">
        <v>6</v>
      </c>
      <c r="AK1066" s="2" t="s">
        <v>453</v>
      </c>
      <c r="AL1066" s="2">
        <v>23</v>
      </c>
      <c r="AM1066" s="2" t="s">
        <v>251</v>
      </c>
      <c r="AN1066" s="2"/>
      <c r="AO1066" s="2"/>
      <c r="AP1066" s="2">
        <v>11</v>
      </c>
      <c r="AQ1066" s="2" t="s">
        <v>82</v>
      </c>
      <c r="AR1066" s="2"/>
      <c r="AS1066" s="2"/>
      <c r="AT1066" s="2" t="s">
        <v>4090</v>
      </c>
      <c r="AU1066" s="2"/>
      <c r="AV1066" s="2"/>
      <c r="AW1066" s="2"/>
      <c r="AX1066" s="2"/>
      <c r="AY1066" s="2">
        <v>42</v>
      </c>
      <c r="AZ1066" s="2" t="s">
        <v>182</v>
      </c>
      <c r="BA1066" s="2">
        <v>70</v>
      </c>
      <c r="BB1066" s="2" t="s">
        <v>236</v>
      </c>
      <c r="BC1066" s="2">
        <v>70</v>
      </c>
      <c r="BD1066" s="2" t="s">
        <v>236</v>
      </c>
      <c r="BE1066" s="2">
        <v>41</v>
      </c>
      <c r="BF1066" s="2" t="s">
        <v>82</v>
      </c>
      <c r="BG1066" s="2"/>
      <c r="BH1066" s="2"/>
      <c r="BI1066" s="2"/>
      <c r="BJ1066" s="2">
        <v>241</v>
      </c>
      <c r="BK1066" s="2" t="s">
        <v>82</v>
      </c>
      <c r="BL1066" s="2"/>
      <c r="BM1066" s="2">
        <v>241</v>
      </c>
      <c r="BN1066" s="2" t="s">
        <v>82</v>
      </c>
      <c r="BO1066" s="2"/>
      <c r="BP1066" s="2">
        <v>241</v>
      </c>
      <c r="BQ1066" s="2" t="s">
        <v>82</v>
      </c>
      <c r="BR1066" s="2"/>
      <c r="BS1066" s="3">
        <v>40256</v>
      </c>
      <c r="BT1066" s="4">
        <v>0.45891203703703703</v>
      </c>
    </row>
    <row r="1067" spans="1:72" x14ac:dyDescent="0.25">
      <c r="A1067" s="2">
        <v>1654</v>
      </c>
      <c r="B1067" s="2">
        <v>2010</v>
      </c>
      <c r="C1067" s="2" t="s">
        <v>171</v>
      </c>
      <c r="D1067" s="2" t="s">
        <v>122</v>
      </c>
      <c r="E1067" s="2" t="s">
        <v>4091</v>
      </c>
      <c r="F1067" s="2">
        <v>232</v>
      </c>
      <c r="G1067" s="2" t="s">
        <v>4075</v>
      </c>
      <c r="H1067" s="2">
        <v>15</v>
      </c>
      <c r="I1067" s="2" t="s">
        <v>130</v>
      </c>
      <c r="J1067" s="2">
        <v>242</v>
      </c>
      <c r="K1067" s="2" t="s">
        <v>1077</v>
      </c>
      <c r="L1067" s="2" t="s">
        <v>1078</v>
      </c>
      <c r="M1067" s="3">
        <v>40256</v>
      </c>
      <c r="N1067" s="2" t="s">
        <v>4076</v>
      </c>
      <c r="O1067" s="2"/>
      <c r="P1067" s="2"/>
      <c r="Q1067" s="2" t="str">
        <f>"148-E/10"</f>
        <v>148-E/10</v>
      </c>
      <c r="R1067" s="2" t="s">
        <v>391</v>
      </c>
      <c r="S1067" s="2" t="s">
        <v>391</v>
      </c>
      <c r="T1067" s="2">
        <v>1</v>
      </c>
      <c r="U1067" s="2" t="s">
        <v>79</v>
      </c>
      <c r="V1067" s="2">
        <v>1</v>
      </c>
      <c r="W1067" s="2" t="s">
        <v>80</v>
      </c>
      <c r="X1067" s="2">
        <v>1</v>
      </c>
      <c r="Y1067" s="2" t="s">
        <v>81</v>
      </c>
      <c r="Z1067" s="2">
        <v>1</v>
      </c>
      <c r="AA1067" s="2" t="s">
        <v>82</v>
      </c>
      <c r="AB1067" s="2">
        <v>1</v>
      </c>
      <c r="AC1067" s="2" t="s">
        <v>178</v>
      </c>
      <c r="AD1067" s="3">
        <v>40255</v>
      </c>
      <c r="AE1067" s="4">
        <v>0.70833333333333337</v>
      </c>
      <c r="AF1067" s="2"/>
      <c r="AG1067" s="2"/>
      <c r="AH1067" s="2">
        <v>2</v>
      </c>
      <c r="AI1067" s="2" t="s">
        <v>84</v>
      </c>
      <c r="AJ1067" s="2">
        <v>9</v>
      </c>
      <c r="AK1067" s="2" t="s">
        <v>103</v>
      </c>
      <c r="AL1067" s="2">
        <v>14</v>
      </c>
      <c r="AM1067" s="2" t="s">
        <v>216</v>
      </c>
      <c r="AN1067" s="2" t="s">
        <v>179</v>
      </c>
      <c r="AO1067" s="2"/>
      <c r="AP1067" s="2">
        <v>11</v>
      </c>
      <c r="AQ1067" s="2" t="s">
        <v>82</v>
      </c>
      <c r="AR1067" s="2"/>
      <c r="AS1067" s="2"/>
      <c r="AT1067" s="2" t="s">
        <v>4092</v>
      </c>
      <c r="AU1067" s="2"/>
      <c r="AV1067" s="2">
        <v>1</v>
      </c>
      <c r="AW1067" s="2"/>
      <c r="AX1067" s="2"/>
      <c r="AY1067" s="2">
        <v>41</v>
      </c>
      <c r="AZ1067" s="2" t="s">
        <v>82</v>
      </c>
      <c r="BA1067" s="2">
        <v>41</v>
      </c>
      <c r="BB1067" s="2" t="s">
        <v>82</v>
      </c>
      <c r="BC1067" s="2">
        <v>41</v>
      </c>
      <c r="BD1067" s="2" t="s">
        <v>82</v>
      </c>
      <c r="BE1067" s="2">
        <v>14</v>
      </c>
      <c r="BF1067" s="2" t="s">
        <v>484</v>
      </c>
      <c r="BG1067" s="2" t="s">
        <v>3450</v>
      </c>
      <c r="BH1067" s="2"/>
      <c r="BI1067" s="4">
        <v>0.75</v>
      </c>
      <c r="BJ1067" s="2">
        <v>13</v>
      </c>
      <c r="BK1067" s="2" t="s">
        <v>91</v>
      </c>
      <c r="BL1067" s="2" t="s">
        <v>185</v>
      </c>
      <c r="BM1067" s="2">
        <v>241</v>
      </c>
      <c r="BN1067" s="2" t="s">
        <v>82</v>
      </c>
      <c r="BO1067" s="2"/>
      <c r="BP1067" s="2">
        <v>82</v>
      </c>
      <c r="BQ1067" s="2" t="s">
        <v>487</v>
      </c>
      <c r="BR1067" s="2" t="s">
        <v>488</v>
      </c>
      <c r="BS1067" s="3">
        <v>40256</v>
      </c>
      <c r="BT1067" s="4">
        <v>0.48444444444444446</v>
      </c>
    </row>
    <row r="1068" spans="1:72" x14ac:dyDescent="0.25">
      <c r="A1068" s="2">
        <v>1655</v>
      </c>
      <c r="B1068" s="2">
        <v>2010</v>
      </c>
      <c r="C1068" s="2" t="s">
        <v>819</v>
      </c>
      <c r="D1068" s="2" t="s">
        <v>122</v>
      </c>
      <c r="E1068" s="2" t="s">
        <v>4093</v>
      </c>
      <c r="F1068" s="2">
        <v>451</v>
      </c>
      <c r="G1068" s="2" t="s">
        <v>879</v>
      </c>
      <c r="H1068" s="2">
        <v>31</v>
      </c>
      <c r="I1068" s="2" t="s">
        <v>880</v>
      </c>
      <c r="J1068" s="2">
        <v>326</v>
      </c>
      <c r="K1068" s="2" t="s">
        <v>881</v>
      </c>
      <c r="L1068" s="2" t="s">
        <v>882</v>
      </c>
      <c r="M1068" s="3">
        <v>40256</v>
      </c>
      <c r="N1068" s="2" t="s">
        <v>821</v>
      </c>
      <c r="O1068" s="2"/>
      <c r="P1068" s="2"/>
      <c r="Q1068" s="2" t="str">
        <f>"032/10"</f>
        <v>032/10</v>
      </c>
      <c r="R1068" s="2" t="s">
        <v>3718</v>
      </c>
      <c r="S1068" s="2" t="s">
        <v>822</v>
      </c>
      <c r="T1068" s="2">
        <v>1</v>
      </c>
      <c r="U1068" s="2" t="s">
        <v>79</v>
      </c>
      <c r="V1068" s="2">
        <v>1</v>
      </c>
      <c r="W1068" s="2" t="s">
        <v>80</v>
      </c>
      <c r="X1068" s="2">
        <v>1</v>
      </c>
      <c r="Y1068" s="2" t="s">
        <v>81</v>
      </c>
      <c r="Z1068" s="2">
        <v>10</v>
      </c>
      <c r="AA1068" s="2" t="s">
        <v>236</v>
      </c>
      <c r="AB1068" s="2">
        <v>9</v>
      </c>
      <c r="AC1068" s="2" t="s">
        <v>124</v>
      </c>
      <c r="AD1068" s="3">
        <v>40256</v>
      </c>
      <c r="AE1068" s="4">
        <v>0.43055555555555558</v>
      </c>
      <c r="AF1068" s="2"/>
      <c r="AG1068" s="2"/>
      <c r="AH1068" s="2">
        <v>4</v>
      </c>
      <c r="AI1068" s="2" t="s">
        <v>125</v>
      </c>
      <c r="AJ1068" s="2">
        <v>29</v>
      </c>
      <c r="AK1068" s="2" t="s">
        <v>227</v>
      </c>
      <c r="AL1068" s="2">
        <v>10</v>
      </c>
      <c r="AM1068" s="2" t="s">
        <v>200</v>
      </c>
      <c r="AN1068" s="2" t="s">
        <v>883</v>
      </c>
      <c r="AO1068" s="2"/>
      <c r="AP1068" s="2">
        <v>12</v>
      </c>
      <c r="AQ1068" s="2" t="s">
        <v>322</v>
      </c>
      <c r="AR1068" s="2" t="s">
        <v>824</v>
      </c>
      <c r="AS1068" s="2" t="s">
        <v>825</v>
      </c>
      <c r="AT1068" s="2" t="s">
        <v>4094</v>
      </c>
      <c r="AU1068" s="2"/>
      <c r="AV1068" s="2"/>
      <c r="AW1068" s="2"/>
      <c r="AX1068" s="2"/>
      <c r="AY1068" s="2">
        <v>41</v>
      </c>
      <c r="AZ1068" s="2" t="s">
        <v>82</v>
      </c>
      <c r="BA1068" s="2">
        <v>41</v>
      </c>
      <c r="BB1068" s="2" t="s">
        <v>82</v>
      </c>
      <c r="BC1068" s="2">
        <v>51</v>
      </c>
      <c r="BD1068" s="2" t="s">
        <v>827</v>
      </c>
      <c r="BE1068" s="2">
        <v>47</v>
      </c>
      <c r="BF1068" s="2" t="s">
        <v>167</v>
      </c>
      <c r="BG1068" s="2">
        <v>2459</v>
      </c>
      <c r="BH1068" s="4">
        <v>0.89583333333333337</v>
      </c>
      <c r="BI1068" s="4">
        <v>0.93055555555555547</v>
      </c>
      <c r="BJ1068" s="2">
        <v>13</v>
      </c>
      <c r="BK1068" s="2" t="s">
        <v>91</v>
      </c>
      <c r="BL1068" s="2" t="s">
        <v>828</v>
      </c>
      <c r="BM1068" s="2">
        <v>241</v>
      </c>
      <c r="BN1068" s="2" t="s">
        <v>82</v>
      </c>
      <c r="BO1068" s="2" t="s">
        <v>82</v>
      </c>
      <c r="BP1068" s="2">
        <v>13</v>
      </c>
      <c r="BQ1068" s="2" t="s">
        <v>91</v>
      </c>
      <c r="BR1068" s="2" t="s">
        <v>185</v>
      </c>
      <c r="BS1068" s="3">
        <v>40256</v>
      </c>
      <c r="BT1068" s="4">
        <v>0.4866435185185185</v>
      </c>
    </row>
    <row r="1069" spans="1:72" x14ac:dyDescent="0.25">
      <c r="A1069" s="2">
        <v>1656</v>
      </c>
      <c r="B1069" s="2">
        <v>2010</v>
      </c>
      <c r="C1069" s="2" t="s">
        <v>457</v>
      </c>
      <c r="D1069" s="2" t="s">
        <v>122</v>
      </c>
      <c r="E1069" s="2"/>
      <c r="F1069" s="2">
        <v>486</v>
      </c>
      <c r="G1069" s="2" t="s">
        <v>1580</v>
      </c>
      <c r="H1069" s="2">
        <v>3</v>
      </c>
      <c r="I1069" s="2" t="s">
        <v>315</v>
      </c>
      <c r="J1069" s="2">
        <v>1</v>
      </c>
      <c r="K1069" s="2" t="s">
        <v>107</v>
      </c>
      <c r="L1069" s="2" t="s">
        <v>107</v>
      </c>
      <c r="M1069" s="3">
        <v>40256</v>
      </c>
      <c r="N1069" s="2" t="s">
        <v>4095</v>
      </c>
      <c r="O1069" s="2" t="s">
        <v>4096</v>
      </c>
      <c r="P1069" s="2"/>
      <c r="Q1069" s="2" t="str">
        <f>""</f>
        <v/>
      </c>
      <c r="R1069" s="2"/>
      <c r="S1069" s="2" t="s">
        <v>4097</v>
      </c>
      <c r="T1069" s="2">
        <v>1</v>
      </c>
      <c r="U1069" s="2" t="s">
        <v>79</v>
      </c>
      <c r="V1069" s="2">
        <v>1</v>
      </c>
      <c r="W1069" s="2" t="s">
        <v>80</v>
      </c>
      <c r="X1069" s="2">
        <v>3</v>
      </c>
      <c r="Y1069" s="2" t="s">
        <v>698</v>
      </c>
      <c r="Z1069" s="2">
        <v>6</v>
      </c>
      <c r="AA1069" s="2" t="s">
        <v>101</v>
      </c>
      <c r="AB1069" s="2">
        <v>9</v>
      </c>
      <c r="AC1069" s="2" t="s">
        <v>124</v>
      </c>
      <c r="AD1069" s="3">
        <v>40256</v>
      </c>
      <c r="AE1069" s="4">
        <v>0.39930555555555558</v>
      </c>
      <c r="AF1069" s="2"/>
      <c r="AG1069" s="2"/>
      <c r="AH1069" s="2">
        <v>3</v>
      </c>
      <c r="AI1069" s="2" t="s">
        <v>214</v>
      </c>
      <c r="AJ1069" s="2">
        <v>24</v>
      </c>
      <c r="AK1069" s="2" t="s">
        <v>215</v>
      </c>
      <c r="AL1069" s="2">
        <v>18</v>
      </c>
      <c r="AM1069" s="2" t="s">
        <v>82</v>
      </c>
      <c r="AN1069" s="2"/>
      <c r="AO1069" s="2"/>
      <c r="AP1069" s="2">
        <v>11</v>
      </c>
      <c r="AQ1069" s="2" t="s">
        <v>82</v>
      </c>
      <c r="AR1069" s="2"/>
      <c r="AS1069" s="2"/>
      <c r="AT1069" s="2" t="s">
        <v>4098</v>
      </c>
      <c r="AU1069" s="2"/>
      <c r="AV1069" s="2"/>
      <c r="AW1069" s="2"/>
      <c r="AX1069" s="2"/>
      <c r="AY1069" s="2">
        <v>41</v>
      </c>
      <c r="AZ1069" s="2" t="s">
        <v>82</v>
      </c>
      <c r="BA1069" s="2">
        <v>41</v>
      </c>
      <c r="BB1069" s="2" t="s">
        <v>82</v>
      </c>
      <c r="BC1069" s="2">
        <v>41</v>
      </c>
      <c r="BD1069" s="2" t="s">
        <v>82</v>
      </c>
      <c r="BE1069" s="2">
        <v>38</v>
      </c>
      <c r="BF1069" s="2" t="s">
        <v>221</v>
      </c>
      <c r="BG1069" s="2">
        <v>2422</v>
      </c>
      <c r="BH1069" s="4">
        <v>0.52430555555555558</v>
      </c>
      <c r="BI1069" s="4">
        <v>0.39930555555555558</v>
      </c>
      <c r="BJ1069" s="2">
        <v>13</v>
      </c>
      <c r="BK1069" s="2" t="s">
        <v>91</v>
      </c>
      <c r="BL1069" s="2" t="s">
        <v>169</v>
      </c>
      <c r="BM1069" s="2">
        <v>241</v>
      </c>
      <c r="BN1069" s="2" t="s">
        <v>82</v>
      </c>
      <c r="BO1069" s="2"/>
      <c r="BP1069" s="2">
        <v>173</v>
      </c>
      <c r="BQ1069" s="2" t="s">
        <v>223</v>
      </c>
      <c r="BR1069" s="2" t="s">
        <v>224</v>
      </c>
      <c r="BS1069" s="3">
        <v>40256</v>
      </c>
      <c r="BT1069" s="4">
        <v>0.48688657407407404</v>
      </c>
    </row>
    <row r="1070" spans="1:72" x14ac:dyDescent="0.25">
      <c r="A1070" s="2">
        <v>1658</v>
      </c>
      <c r="B1070" s="2">
        <v>2010</v>
      </c>
      <c r="C1070" s="2" t="s">
        <v>819</v>
      </c>
      <c r="D1070" s="2" t="s">
        <v>73</v>
      </c>
      <c r="E1070" s="2"/>
      <c r="F1070" s="2">
        <v>232</v>
      </c>
      <c r="G1070" s="2" t="s">
        <v>4075</v>
      </c>
      <c r="H1070" s="2">
        <v>15</v>
      </c>
      <c r="I1070" s="2" t="s">
        <v>130</v>
      </c>
      <c r="J1070" s="2">
        <v>242</v>
      </c>
      <c r="K1070" s="2" t="s">
        <v>1077</v>
      </c>
      <c r="L1070" s="2" t="s">
        <v>1078</v>
      </c>
      <c r="M1070" s="3">
        <v>40256</v>
      </c>
      <c r="N1070" s="2" t="s">
        <v>4099</v>
      </c>
      <c r="O1070" s="2" t="s">
        <v>107</v>
      </c>
      <c r="P1070" s="2" t="s">
        <v>107</v>
      </c>
      <c r="Q1070" s="2" t="str">
        <f>"146-E/10"</f>
        <v>146-E/10</v>
      </c>
      <c r="R1070" s="2" t="s">
        <v>4100</v>
      </c>
      <c r="S1070" s="2" t="s">
        <v>4100</v>
      </c>
      <c r="T1070" s="2">
        <v>1</v>
      </c>
      <c r="U1070" s="2" t="s">
        <v>79</v>
      </c>
      <c r="V1070" s="2">
        <v>3</v>
      </c>
      <c r="W1070" s="2" t="s">
        <v>225</v>
      </c>
      <c r="X1070" s="2">
        <v>12</v>
      </c>
      <c r="Y1070" s="2" t="s">
        <v>148</v>
      </c>
      <c r="Z1070" s="2">
        <v>1</v>
      </c>
      <c r="AA1070" s="2" t="s">
        <v>82</v>
      </c>
      <c r="AB1070" s="2">
        <v>9</v>
      </c>
      <c r="AC1070" s="2" t="s">
        <v>124</v>
      </c>
      <c r="AD1070" s="3">
        <v>39888</v>
      </c>
      <c r="AE1070" s="4">
        <v>0.71527777777777779</v>
      </c>
      <c r="AF1070" s="3">
        <v>40253</v>
      </c>
      <c r="AG1070" s="4">
        <v>0.71527777777777779</v>
      </c>
      <c r="AH1070" s="2">
        <v>2</v>
      </c>
      <c r="AI1070" s="2" t="s">
        <v>84</v>
      </c>
      <c r="AJ1070" s="2">
        <v>9</v>
      </c>
      <c r="AK1070" s="2" t="s">
        <v>103</v>
      </c>
      <c r="AL1070" s="2">
        <v>19</v>
      </c>
      <c r="AM1070" s="2" t="s">
        <v>107</v>
      </c>
      <c r="AN1070" s="2" t="s">
        <v>107</v>
      </c>
      <c r="AO1070" s="2" t="s">
        <v>107</v>
      </c>
      <c r="AP1070" s="2">
        <v>11</v>
      </c>
      <c r="AQ1070" s="2" t="s">
        <v>82</v>
      </c>
      <c r="AR1070" s="2" t="s">
        <v>82</v>
      </c>
      <c r="AS1070" s="2" t="s">
        <v>82</v>
      </c>
      <c r="AT1070" s="2" t="s">
        <v>4101</v>
      </c>
      <c r="AU1070" s="2"/>
      <c r="AV1070" s="2"/>
      <c r="AW1070" s="2"/>
      <c r="AX1070" s="2"/>
      <c r="AY1070" s="2">
        <v>41</v>
      </c>
      <c r="AZ1070" s="2" t="s">
        <v>82</v>
      </c>
      <c r="BA1070" s="2">
        <v>41</v>
      </c>
      <c r="BB1070" s="2" t="s">
        <v>82</v>
      </c>
      <c r="BC1070" s="2">
        <v>41</v>
      </c>
      <c r="BD1070" s="2" t="s">
        <v>82</v>
      </c>
      <c r="BE1070" s="2">
        <v>41</v>
      </c>
      <c r="BF1070" s="2" t="s">
        <v>82</v>
      </c>
      <c r="BG1070" s="2" t="s">
        <v>82</v>
      </c>
      <c r="BH1070" s="2"/>
      <c r="BI1070" s="2"/>
      <c r="BJ1070" s="2">
        <v>241</v>
      </c>
      <c r="BK1070" s="2" t="s">
        <v>82</v>
      </c>
      <c r="BL1070" s="2" t="s">
        <v>82</v>
      </c>
      <c r="BM1070" s="2">
        <v>241</v>
      </c>
      <c r="BN1070" s="2" t="s">
        <v>82</v>
      </c>
      <c r="BO1070" s="2" t="s">
        <v>82</v>
      </c>
      <c r="BP1070" s="2">
        <v>241</v>
      </c>
      <c r="BQ1070" s="2" t="s">
        <v>82</v>
      </c>
      <c r="BR1070" s="2" t="s">
        <v>82</v>
      </c>
      <c r="BS1070" s="3">
        <v>40256</v>
      </c>
      <c r="BT1070" s="4">
        <v>0.56144675925925924</v>
      </c>
    </row>
    <row r="1071" spans="1:72" x14ac:dyDescent="0.25">
      <c r="A1071" s="2">
        <v>1659</v>
      </c>
      <c r="B1071" s="2">
        <v>2010</v>
      </c>
      <c r="C1071" s="2" t="s">
        <v>171</v>
      </c>
      <c r="D1071" s="2" t="s">
        <v>73</v>
      </c>
      <c r="E1071" s="2"/>
      <c r="F1071" s="2">
        <v>398</v>
      </c>
      <c r="G1071" s="2" t="s">
        <v>94</v>
      </c>
      <c r="H1071" s="2">
        <v>13</v>
      </c>
      <c r="I1071" s="2" t="s">
        <v>2229</v>
      </c>
      <c r="J1071" s="2">
        <v>245</v>
      </c>
      <c r="K1071" s="2" t="s">
        <v>96</v>
      </c>
      <c r="L1071" s="2" t="s">
        <v>97</v>
      </c>
      <c r="M1071" s="3">
        <v>40256</v>
      </c>
      <c r="N1071" s="2" t="s">
        <v>4102</v>
      </c>
      <c r="O1071" s="2" t="s">
        <v>4103</v>
      </c>
      <c r="P1071" s="2">
        <v>10656</v>
      </c>
      <c r="Q1071" s="2" t="str">
        <f>"138-E/10"</f>
        <v>138-E/10</v>
      </c>
      <c r="R1071" s="2"/>
      <c r="S1071" s="2" t="s">
        <v>391</v>
      </c>
      <c r="T1071" s="2">
        <v>1</v>
      </c>
      <c r="U1071" s="2" t="s">
        <v>79</v>
      </c>
      <c r="V1071" s="2">
        <v>3</v>
      </c>
      <c r="W1071" s="2" t="s">
        <v>225</v>
      </c>
      <c r="X1071" s="2">
        <v>6</v>
      </c>
      <c r="Y1071" s="2" t="s">
        <v>249</v>
      </c>
      <c r="Z1071" s="2">
        <v>10</v>
      </c>
      <c r="AA1071" s="2" t="s">
        <v>236</v>
      </c>
      <c r="AB1071" s="2">
        <v>9</v>
      </c>
      <c r="AC1071" s="2" t="s">
        <v>124</v>
      </c>
      <c r="AD1071" s="3">
        <v>40256</v>
      </c>
      <c r="AE1071" s="4">
        <v>0.45833333333333331</v>
      </c>
      <c r="AF1071" s="2"/>
      <c r="AG1071" s="2"/>
      <c r="AH1071" s="2">
        <v>2</v>
      </c>
      <c r="AI1071" s="2" t="s">
        <v>84</v>
      </c>
      <c r="AJ1071" s="2">
        <v>6</v>
      </c>
      <c r="AK1071" s="2" t="s">
        <v>453</v>
      </c>
      <c r="AL1071" s="2">
        <v>23</v>
      </c>
      <c r="AM1071" s="2" t="s">
        <v>251</v>
      </c>
      <c r="AN1071" s="2" t="s">
        <v>4104</v>
      </c>
      <c r="AO1071" s="2" t="s">
        <v>1226</v>
      </c>
      <c r="AP1071" s="2">
        <v>11</v>
      </c>
      <c r="AQ1071" s="2" t="s">
        <v>82</v>
      </c>
      <c r="AR1071" s="2"/>
      <c r="AS1071" s="2"/>
      <c r="AT1071" s="2" t="s">
        <v>4105</v>
      </c>
      <c r="AU1071" s="2"/>
      <c r="AV1071" s="2"/>
      <c r="AW1071" s="2"/>
      <c r="AX1071" s="2"/>
      <c r="AY1071" s="2">
        <v>42</v>
      </c>
      <c r="AZ1071" s="2" t="s">
        <v>182</v>
      </c>
      <c r="BA1071" s="2">
        <v>70</v>
      </c>
      <c r="BB1071" s="2" t="s">
        <v>236</v>
      </c>
      <c r="BC1071" s="2">
        <v>70</v>
      </c>
      <c r="BD1071" s="2" t="s">
        <v>236</v>
      </c>
      <c r="BE1071" s="2">
        <v>41</v>
      </c>
      <c r="BF1071" s="2" t="s">
        <v>82</v>
      </c>
      <c r="BG1071" s="2"/>
      <c r="BH1071" s="2"/>
      <c r="BI1071" s="2"/>
      <c r="BJ1071" s="2">
        <v>241</v>
      </c>
      <c r="BK1071" s="2" t="s">
        <v>82</v>
      </c>
      <c r="BL1071" s="2"/>
      <c r="BM1071" s="2">
        <v>241</v>
      </c>
      <c r="BN1071" s="2" t="s">
        <v>82</v>
      </c>
      <c r="BO1071" s="2"/>
      <c r="BP1071" s="2">
        <v>241</v>
      </c>
      <c r="BQ1071" s="2" t="s">
        <v>82</v>
      </c>
      <c r="BR1071" s="2"/>
      <c r="BS1071" s="3">
        <v>40256</v>
      </c>
      <c r="BT1071" s="4">
        <v>0.56814814814814818</v>
      </c>
    </row>
    <row r="1072" spans="1:72" x14ac:dyDescent="0.25">
      <c r="A1072" s="2">
        <v>1661</v>
      </c>
      <c r="B1072" s="2">
        <v>2010</v>
      </c>
      <c r="C1072" s="2" t="s">
        <v>726</v>
      </c>
      <c r="D1072" s="2" t="s">
        <v>73</v>
      </c>
      <c r="E1072" s="2"/>
      <c r="F1072" s="2">
        <v>100</v>
      </c>
      <c r="G1072" s="2" t="s">
        <v>517</v>
      </c>
      <c r="H1072" s="2">
        <v>42</v>
      </c>
      <c r="I1072" s="2" t="s">
        <v>1096</v>
      </c>
      <c r="J1072" s="2">
        <v>119</v>
      </c>
      <c r="K1072" s="2" t="s">
        <v>325</v>
      </c>
      <c r="L1072" s="2" t="s">
        <v>326</v>
      </c>
      <c r="M1072" s="3">
        <v>40256</v>
      </c>
      <c r="N1072" s="2" t="s">
        <v>4106</v>
      </c>
      <c r="O1072" s="2" t="s">
        <v>107</v>
      </c>
      <c r="P1072" s="2"/>
      <c r="Q1072" s="2" t="str">
        <f>"006/2010"</f>
        <v>006/2010</v>
      </c>
      <c r="R1072" s="2" t="s">
        <v>107</v>
      </c>
      <c r="S1072" s="2" t="s">
        <v>4107</v>
      </c>
      <c r="T1072" s="2">
        <v>1</v>
      </c>
      <c r="U1072" s="2" t="s">
        <v>79</v>
      </c>
      <c r="V1072" s="2">
        <v>1</v>
      </c>
      <c r="W1072" s="2" t="s">
        <v>80</v>
      </c>
      <c r="X1072" s="2">
        <v>5</v>
      </c>
      <c r="Y1072" s="2" t="s">
        <v>82</v>
      </c>
      <c r="Z1072" s="2">
        <v>11</v>
      </c>
      <c r="AA1072" s="2" t="s">
        <v>859</v>
      </c>
      <c r="AB1072" s="2">
        <v>9</v>
      </c>
      <c r="AC1072" s="2" t="s">
        <v>124</v>
      </c>
      <c r="AD1072" s="3">
        <v>40253</v>
      </c>
      <c r="AE1072" s="4">
        <v>0.90972222222222221</v>
      </c>
      <c r="AF1072" s="3">
        <v>40255</v>
      </c>
      <c r="AG1072" s="4">
        <v>0.55208333333333337</v>
      </c>
      <c r="AH1072" s="2">
        <v>6</v>
      </c>
      <c r="AI1072" s="2" t="s">
        <v>197</v>
      </c>
      <c r="AJ1072" s="2">
        <v>50</v>
      </c>
      <c r="AK1072" s="2" t="s">
        <v>330</v>
      </c>
      <c r="AL1072" s="2">
        <v>18</v>
      </c>
      <c r="AM1072" s="2" t="s">
        <v>82</v>
      </c>
      <c r="AN1072" s="2" t="s">
        <v>4108</v>
      </c>
      <c r="AO1072" s="2" t="s">
        <v>4109</v>
      </c>
      <c r="AP1072" s="2">
        <v>11</v>
      </c>
      <c r="AQ1072" s="2" t="s">
        <v>82</v>
      </c>
      <c r="AR1072" s="2"/>
      <c r="AS1072" s="2"/>
      <c r="AT1072" s="2" t="s">
        <v>4110</v>
      </c>
      <c r="AU1072" s="2"/>
      <c r="AV1072" s="2"/>
      <c r="AW1072" s="2"/>
      <c r="AX1072" s="2"/>
      <c r="AY1072" s="2">
        <v>1</v>
      </c>
      <c r="AZ1072" s="2" t="s">
        <v>107</v>
      </c>
      <c r="BA1072" s="2">
        <v>41</v>
      </c>
      <c r="BB1072" s="2" t="s">
        <v>82</v>
      </c>
      <c r="BC1072" s="2">
        <v>41</v>
      </c>
      <c r="BD1072" s="2" t="s">
        <v>82</v>
      </c>
      <c r="BE1072" s="2">
        <v>1</v>
      </c>
      <c r="BF1072" s="2" t="s">
        <v>107</v>
      </c>
      <c r="BG1072" s="2" t="s">
        <v>107</v>
      </c>
      <c r="BH1072" s="2"/>
      <c r="BI1072" s="2"/>
      <c r="BJ1072" s="2">
        <v>242</v>
      </c>
      <c r="BK1072" s="2" t="s">
        <v>107</v>
      </c>
      <c r="BL1072" s="2"/>
      <c r="BM1072" s="2">
        <v>242</v>
      </c>
      <c r="BN1072" s="2" t="s">
        <v>107</v>
      </c>
      <c r="BO1072" s="2"/>
      <c r="BP1072" s="2">
        <v>242</v>
      </c>
      <c r="BQ1072" s="2" t="s">
        <v>107</v>
      </c>
      <c r="BR1072" s="2"/>
      <c r="BS1072" s="3">
        <v>40256</v>
      </c>
      <c r="BT1072" s="4">
        <v>0.57905092592592589</v>
      </c>
    </row>
    <row r="1073" spans="1:72" x14ac:dyDescent="0.25">
      <c r="A1073" s="2">
        <v>1662</v>
      </c>
      <c r="B1073" s="2">
        <v>2010</v>
      </c>
      <c r="C1073" s="2" t="s">
        <v>171</v>
      </c>
      <c r="D1073" s="2" t="s">
        <v>73</v>
      </c>
      <c r="E1073" s="2"/>
      <c r="F1073" s="2">
        <v>159</v>
      </c>
      <c r="G1073" s="2" t="s">
        <v>3883</v>
      </c>
      <c r="H1073" s="2">
        <v>18</v>
      </c>
      <c r="I1073" s="2" t="s">
        <v>3884</v>
      </c>
      <c r="J1073" s="2">
        <v>172</v>
      </c>
      <c r="K1073" s="2" t="s">
        <v>3885</v>
      </c>
      <c r="L1073" s="2" t="s">
        <v>3886</v>
      </c>
      <c r="M1073" s="3">
        <v>40256</v>
      </c>
      <c r="N1073" s="2" t="s">
        <v>4111</v>
      </c>
      <c r="O1073" s="2" t="s">
        <v>82</v>
      </c>
      <c r="P1073" s="2" t="s">
        <v>82</v>
      </c>
      <c r="Q1073" s="2" t="str">
        <f>"110-A/10"</f>
        <v>110-A/10</v>
      </c>
      <c r="R1073" s="2" t="s">
        <v>82</v>
      </c>
      <c r="S1073" s="2" t="s">
        <v>1035</v>
      </c>
      <c r="T1073" s="2">
        <v>1</v>
      </c>
      <c r="U1073" s="2" t="s">
        <v>79</v>
      </c>
      <c r="V1073" s="2">
        <v>1</v>
      </c>
      <c r="W1073" s="2" t="s">
        <v>80</v>
      </c>
      <c r="X1073" s="2">
        <v>1</v>
      </c>
      <c r="Y1073" s="2" t="s">
        <v>81</v>
      </c>
      <c r="Z1073" s="2">
        <v>1</v>
      </c>
      <c r="AA1073" s="2" t="s">
        <v>82</v>
      </c>
      <c r="AB1073" s="2">
        <v>1</v>
      </c>
      <c r="AC1073" s="2" t="s">
        <v>178</v>
      </c>
      <c r="AD1073" s="3">
        <v>40256</v>
      </c>
      <c r="AE1073" s="4">
        <v>0.40277777777777773</v>
      </c>
      <c r="AF1073" s="3">
        <v>40256</v>
      </c>
      <c r="AG1073" s="4">
        <v>0.47916666666666669</v>
      </c>
      <c r="AH1073" s="2">
        <v>2</v>
      </c>
      <c r="AI1073" s="2" t="s">
        <v>84</v>
      </c>
      <c r="AJ1073" s="2">
        <v>12</v>
      </c>
      <c r="AK1073" s="2" t="s">
        <v>85</v>
      </c>
      <c r="AL1073" s="2">
        <v>14</v>
      </c>
      <c r="AM1073" s="2" t="s">
        <v>216</v>
      </c>
      <c r="AN1073" s="2" t="s">
        <v>3841</v>
      </c>
      <c r="AO1073" s="2" t="s">
        <v>1059</v>
      </c>
      <c r="AP1073" s="2">
        <v>11</v>
      </c>
      <c r="AQ1073" s="2" t="s">
        <v>82</v>
      </c>
      <c r="AR1073" s="2" t="s">
        <v>82</v>
      </c>
      <c r="AS1073" s="2" t="s">
        <v>82</v>
      </c>
      <c r="AT1073" s="2" t="s">
        <v>4112</v>
      </c>
      <c r="AU1073" s="2">
        <v>1</v>
      </c>
      <c r="AV1073" s="2"/>
      <c r="AW1073" s="2"/>
      <c r="AX1073" s="2"/>
      <c r="AY1073" s="2">
        <v>41</v>
      </c>
      <c r="AZ1073" s="2" t="s">
        <v>82</v>
      </c>
      <c r="BA1073" s="2">
        <v>41</v>
      </c>
      <c r="BB1073" s="2" t="s">
        <v>82</v>
      </c>
      <c r="BC1073" s="2">
        <v>41</v>
      </c>
      <c r="BD1073" s="2" t="s">
        <v>82</v>
      </c>
      <c r="BE1073" s="2">
        <v>10</v>
      </c>
      <c r="BF1073" s="2" t="s">
        <v>901</v>
      </c>
      <c r="BG1073" s="2" t="s">
        <v>4113</v>
      </c>
      <c r="BH1073" s="4">
        <v>0.4548611111111111</v>
      </c>
      <c r="BI1073" s="4">
        <v>0.4201388888888889</v>
      </c>
      <c r="BJ1073" s="2">
        <v>13</v>
      </c>
      <c r="BK1073" s="2" t="s">
        <v>91</v>
      </c>
      <c r="BL1073" s="2" t="s">
        <v>3378</v>
      </c>
      <c r="BM1073" s="2">
        <v>241</v>
      </c>
      <c r="BN1073" s="2" t="s">
        <v>82</v>
      </c>
      <c r="BO1073" s="2" t="s">
        <v>82</v>
      </c>
      <c r="BP1073" s="2">
        <v>229</v>
      </c>
      <c r="BQ1073" s="2" t="s">
        <v>300</v>
      </c>
      <c r="BR1073" s="2" t="s">
        <v>573</v>
      </c>
      <c r="BS1073" s="3">
        <v>40256</v>
      </c>
      <c r="BT1073" s="4">
        <v>0.60146990740740736</v>
      </c>
    </row>
    <row r="1074" spans="1:72" x14ac:dyDescent="0.25">
      <c r="A1074" s="2">
        <v>1666</v>
      </c>
      <c r="B1074" s="2">
        <v>2010</v>
      </c>
      <c r="C1074" s="2" t="s">
        <v>196</v>
      </c>
      <c r="D1074" s="2" t="s">
        <v>122</v>
      </c>
      <c r="E1074" s="2"/>
      <c r="F1074" s="2">
        <v>1</v>
      </c>
      <c r="G1074" s="2" t="s">
        <v>82</v>
      </c>
      <c r="H1074" s="2">
        <v>1</v>
      </c>
      <c r="I1074" s="2" t="s">
        <v>82</v>
      </c>
      <c r="J1074" s="2">
        <v>1</v>
      </c>
      <c r="K1074" s="2" t="s">
        <v>107</v>
      </c>
      <c r="L1074" s="2" t="s">
        <v>107</v>
      </c>
      <c r="M1074" s="3">
        <v>40256</v>
      </c>
      <c r="N1074" s="2"/>
      <c r="O1074" s="2"/>
      <c r="P1074" s="2"/>
      <c r="Q1074" s="2" t="str">
        <f>""</f>
        <v/>
      </c>
      <c r="R1074" s="2"/>
      <c r="S1074" s="2"/>
      <c r="T1074" s="2">
        <v>2</v>
      </c>
      <c r="U1074" s="2" t="s">
        <v>123</v>
      </c>
      <c r="V1074" s="2">
        <v>1</v>
      </c>
      <c r="W1074" s="2" t="s">
        <v>80</v>
      </c>
      <c r="X1074" s="2">
        <v>1</v>
      </c>
      <c r="Y1074" s="2" t="s">
        <v>81</v>
      </c>
      <c r="Z1074" s="2">
        <v>1</v>
      </c>
      <c r="AA1074" s="2" t="s">
        <v>82</v>
      </c>
      <c r="AB1074" s="2">
        <v>9</v>
      </c>
      <c r="AC1074" s="2" t="s">
        <v>124</v>
      </c>
      <c r="AD1074" s="3">
        <v>40256</v>
      </c>
      <c r="AE1074" s="4">
        <v>0.41666666666666669</v>
      </c>
      <c r="AF1074" s="2"/>
      <c r="AG1074" s="2"/>
      <c r="AH1074" s="2">
        <v>2</v>
      </c>
      <c r="AI1074" s="2" t="s">
        <v>84</v>
      </c>
      <c r="AJ1074" s="2">
        <v>12</v>
      </c>
      <c r="AK1074" s="2" t="s">
        <v>85</v>
      </c>
      <c r="AL1074" s="2">
        <v>20</v>
      </c>
      <c r="AM1074" s="2" t="s">
        <v>992</v>
      </c>
      <c r="AN1074" s="2" t="s">
        <v>993</v>
      </c>
      <c r="AO1074" s="2"/>
      <c r="AP1074" s="2">
        <v>11</v>
      </c>
      <c r="AQ1074" s="2" t="s">
        <v>82</v>
      </c>
      <c r="AR1074" s="2"/>
      <c r="AS1074" s="2"/>
      <c r="AT1074" s="2" t="s">
        <v>4114</v>
      </c>
      <c r="AU1074" s="2"/>
      <c r="AV1074" s="2"/>
      <c r="AW1074" s="2"/>
      <c r="AX1074" s="2"/>
      <c r="AY1074" s="2">
        <v>41</v>
      </c>
      <c r="AZ1074" s="2" t="s">
        <v>82</v>
      </c>
      <c r="BA1074" s="2">
        <v>41</v>
      </c>
      <c r="BB1074" s="2" t="s">
        <v>82</v>
      </c>
      <c r="BC1074" s="2">
        <v>41</v>
      </c>
      <c r="BD1074" s="2" t="s">
        <v>82</v>
      </c>
      <c r="BE1074" s="2">
        <v>41</v>
      </c>
      <c r="BF1074" s="2" t="s">
        <v>82</v>
      </c>
      <c r="BG1074" s="2"/>
      <c r="BH1074" s="2"/>
      <c r="BI1074" s="4">
        <v>0.50486111111111109</v>
      </c>
      <c r="BJ1074" s="2">
        <v>13</v>
      </c>
      <c r="BK1074" s="2" t="s">
        <v>91</v>
      </c>
      <c r="BL1074" s="2"/>
      <c r="BM1074" s="2">
        <v>13</v>
      </c>
      <c r="BN1074" s="2" t="s">
        <v>91</v>
      </c>
      <c r="BO1074" s="2"/>
      <c r="BP1074" s="2">
        <v>13</v>
      </c>
      <c r="BQ1074" s="2" t="s">
        <v>91</v>
      </c>
      <c r="BR1074" s="2" t="s">
        <v>241</v>
      </c>
      <c r="BS1074" s="3">
        <v>40256</v>
      </c>
      <c r="BT1074" s="4">
        <v>0.64542824074074068</v>
      </c>
    </row>
    <row r="1075" spans="1:72" x14ac:dyDescent="0.25">
      <c r="A1075" s="2">
        <v>1667</v>
      </c>
      <c r="B1075" s="2">
        <v>2010</v>
      </c>
      <c r="C1075" s="2" t="s">
        <v>72</v>
      </c>
      <c r="D1075" s="2" t="s">
        <v>73</v>
      </c>
      <c r="E1075" s="2"/>
      <c r="F1075" s="2">
        <v>111</v>
      </c>
      <c r="G1075" s="2" t="s">
        <v>2339</v>
      </c>
      <c r="H1075" s="2">
        <v>2</v>
      </c>
      <c r="I1075" s="2" t="s">
        <v>267</v>
      </c>
      <c r="J1075" s="2">
        <v>421</v>
      </c>
      <c r="K1075" s="2" t="s">
        <v>2340</v>
      </c>
      <c r="L1075" s="2" t="s">
        <v>2341</v>
      </c>
      <c r="M1075" s="3">
        <v>40256</v>
      </c>
      <c r="N1075" s="2" t="s">
        <v>107</v>
      </c>
      <c r="O1075" s="2" t="s">
        <v>107</v>
      </c>
      <c r="P1075" s="2" t="s">
        <v>107</v>
      </c>
      <c r="Q1075" s="2" t="str">
        <f>"0002/10"</f>
        <v>0002/10</v>
      </c>
      <c r="R1075" s="2" t="s">
        <v>4115</v>
      </c>
      <c r="S1075" s="2" t="s">
        <v>4115</v>
      </c>
      <c r="T1075" s="2">
        <v>1</v>
      </c>
      <c r="U1075" s="2" t="s">
        <v>79</v>
      </c>
      <c r="V1075" s="2">
        <v>1</v>
      </c>
      <c r="W1075" s="2" t="s">
        <v>80</v>
      </c>
      <c r="X1075" s="2">
        <v>5</v>
      </c>
      <c r="Y1075" s="2" t="s">
        <v>82</v>
      </c>
      <c r="Z1075" s="2">
        <v>1</v>
      </c>
      <c r="AA1075" s="2" t="s">
        <v>82</v>
      </c>
      <c r="AB1075" s="2">
        <v>6</v>
      </c>
      <c r="AC1075" s="2" t="s">
        <v>83</v>
      </c>
      <c r="AD1075" s="3">
        <v>40249</v>
      </c>
      <c r="AE1075" s="4">
        <v>0.52083333333333337</v>
      </c>
      <c r="AF1075" s="3">
        <v>40256</v>
      </c>
      <c r="AG1075" s="4">
        <v>0.53819444444444442</v>
      </c>
      <c r="AH1075" s="2">
        <v>6</v>
      </c>
      <c r="AI1075" s="2" t="s">
        <v>197</v>
      </c>
      <c r="AJ1075" s="2">
        <v>57</v>
      </c>
      <c r="AK1075" s="2" t="s">
        <v>2344</v>
      </c>
      <c r="AL1075" s="2">
        <v>10</v>
      </c>
      <c r="AM1075" s="2" t="s">
        <v>200</v>
      </c>
      <c r="AN1075" s="2" t="s">
        <v>4116</v>
      </c>
      <c r="AO1075" s="2" t="s">
        <v>82</v>
      </c>
      <c r="AP1075" s="2">
        <v>11</v>
      </c>
      <c r="AQ1075" s="2" t="s">
        <v>82</v>
      </c>
      <c r="AR1075" s="2" t="s">
        <v>82</v>
      </c>
      <c r="AS1075" s="2" t="s">
        <v>82</v>
      </c>
      <c r="AT1075" s="2" t="s">
        <v>4117</v>
      </c>
      <c r="AU1075" s="2"/>
      <c r="AV1075" s="2"/>
      <c r="AW1075" s="2"/>
      <c r="AX1075" s="2"/>
      <c r="AY1075" s="2">
        <v>41</v>
      </c>
      <c r="AZ1075" s="2" t="s">
        <v>82</v>
      </c>
      <c r="BA1075" s="2">
        <v>41</v>
      </c>
      <c r="BB1075" s="2" t="s">
        <v>82</v>
      </c>
      <c r="BC1075" s="2">
        <v>41</v>
      </c>
      <c r="BD1075" s="2" t="s">
        <v>82</v>
      </c>
      <c r="BE1075" s="2">
        <v>13</v>
      </c>
      <c r="BF1075" s="2" t="s">
        <v>108</v>
      </c>
      <c r="BG1075" s="2" t="s">
        <v>1809</v>
      </c>
      <c r="BH1075" s="4">
        <v>0.49305555555555558</v>
      </c>
      <c r="BI1075" s="4">
        <v>0.52083333333333337</v>
      </c>
      <c r="BJ1075" s="2">
        <v>13</v>
      </c>
      <c r="BK1075" s="2" t="s">
        <v>91</v>
      </c>
      <c r="BL1075" s="2" t="s">
        <v>421</v>
      </c>
      <c r="BM1075" s="2">
        <v>13</v>
      </c>
      <c r="BN1075" s="2" t="s">
        <v>91</v>
      </c>
      <c r="BO1075" s="2" t="s">
        <v>1014</v>
      </c>
      <c r="BP1075" s="2">
        <v>13</v>
      </c>
      <c r="BQ1075" s="2" t="s">
        <v>91</v>
      </c>
      <c r="BR1075" s="2" t="s">
        <v>895</v>
      </c>
      <c r="BS1075" s="3">
        <v>40256</v>
      </c>
      <c r="BT1075" s="4">
        <v>0.64591435185185186</v>
      </c>
    </row>
    <row r="1076" spans="1:72" x14ac:dyDescent="0.25">
      <c r="A1076" s="2">
        <v>1668</v>
      </c>
      <c r="B1076" s="2">
        <v>2010</v>
      </c>
      <c r="C1076" s="2" t="s">
        <v>72</v>
      </c>
      <c r="D1076" s="2" t="s">
        <v>73</v>
      </c>
      <c r="E1076" s="2"/>
      <c r="F1076" s="2">
        <v>11</v>
      </c>
      <c r="G1076" s="2" t="s">
        <v>2454</v>
      </c>
      <c r="H1076" s="2">
        <v>56</v>
      </c>
      <c r="I1076" s="2" t="s">
        <v>3372</v>
      </c>
      <c r="J1076" s="2">
        <v>19</v>
      </c>
      <c r="K1076" s="2" t="s">
        <v>2144</v>
      </c>
      <c r="L1076" s="2" t="s">
        <v>2145</v>
      </c>
      <c r="M1076" s="3">
        <v>40256</v>
      </c>
      <c r="N1076" s="2" t="s">
        <v>2455</v>
      </c>
      <c r="O1076" s="2" t="s">
        <v>4118</v>
      </c>
      <c r="P1076" s="2" t="s">
        <v>107</v>
      </c>
      <c r="Q1076" s="2" t="str">
        <f>"15/10"</f>
        <v>15/10</v>
      </c>
      <c r="R1076" s="2" t="s">
        <v>480</v>
      </c>
      <c r="S1076" s="2" t="s">
        <v>480</v>
      </c>
      <c r="T1076" s="2">
        <v>1</v>
      </c>
      <c r="U1076" s="2" t="s">
        <v>79</v>
      </c>
      <c r="V1076" s="2">
        <v>1</v>
      </c>
      <c r="W1076" s="2" t="s">
        <v>80</v>
      </c>
      <c r="X1076" s="2">
        <v>1</v>
      </c>
      <c r="Y1076" s="2" t="s">
        <v>81</v>
      </c>
      <c r="Z1076" s="2">
        <v>1</v>
      </c>
      <c r="AA1076" s="2" t="s">
        <v>82</v>
      </c>
      <c r="AB1076" s="2">
        <v>6</v>
      </c>
      <c r="AC1076" s="2" t="s">
        <v>83</v>
      </c>
      <c r="AD1076" s="3">
        <v>40256</v>
      </c>
      <c r="AE1076" s="4">
        <v>0.3888888888888889</v>
      </c>
      <c r="AF1076" s="3">
        <v>40256</v>
      </c>
      <c r="AG1076" s="4">
        <v>0.45833333333333331</v>
      </c>
      <c r="AH1076" s="2">
        <v>3</v>
      </c>
      <c r="AI1076" s="2" t="s">
        <v>214</v>
      </c>
      <c r="AJ1076" s="2">
        <v>24</v>
      </c>
      <c r="AK1076" s="2" t="s">
        <v>215</v>
      </c>
      <c r="AL1076" s="2">
        <v>10</v>
      </c>
      <c r="AM1076" s="2" t="s">
        <v>200</v>
      </c>
      <c r="AN1076" s="2" t="s">
        <v>4119</v>
      </c>
      <c r="AO1076" s="2" t="s">
        <v>4120</v>
      </c>
      <c r="AP1076" s="2">
        <v>11</v>
      </c>
      <c r="AQ1076" s="2" t="s">
        <v>82</v>
      </c>
      <c r="AR1076" s="2"/>
      <c r="AS1076" s="2"/>
      <c r="AT1076" s="2" t="s">
        <v>4121</v>
      </c>
      <c r="AU1076" s="2"/>
      <c r="AV1076" s="2">
        <v>1</v>
      </c>
      <c r="AW1076" s="2"/>
      <c r="AX1076" s="2"/>
      <c r="AY1076" s="2">
        <v>41</v>
      </c>
      <c r="AZ1076" s="2" t="s">
        <v>82</v>
      </c>
      <c r="BA1076" s="2">
        <v>41</v>
      </c>
      <c r="BB1076" s="2" t="s">
        <v>82</v>
      </c>
      <c r="BC1076" s="2">
        <v>41</v>
      </c>
      <c r="BD1076" s="2" t="s">
        <v>82</v>
      </c>
      <c r="BE1076" s="2">
        <v>48</v>
      </c>
      <c r="BF1076" s="2" t="s">
        <v>1123</v>
      </c>
      <c r="BG1076" s="2">
        <v>892</v>
      </c>
      <c r="BH1076" s="4">
        <v>0.45833333333333331</v>
      </c>
      <c r="BI1076" s="4">
        <v>0.40972222222222227</v>
      </c>
      <c r="BJ1076" s="2">
        <v>13</v>
      </c>
      <c r="BK1076" s="2" t="s">
        <v>91</v>
      </c>
      <c r="BL1076" s="2" t="s">
        <v>169</v>
      </c>
      <c r="BM1076" s="2">
        <v>241</v>
      </c>
      <c r="BN1076" s="2" t="s">
        <v>82</v>
      </c>
      <c r="BO1076" s="2"/>
      <c r="BP1076" s="2">
        <v>13</v>
      </c>
      <c r="BQ1076" s="2" t="s">
        <v>91</v>
      </c>
      <c r="BR1076" s="2" t="s">
        <v>828</v>
      </c>
      <c r="BS1076" s="3">
        <v>40256</v>
      </c>
      <c r="BT1076" s="4">
        <v>0.66150462962962964</v>
      </c>
    </row>
    <row r="1077" spans="1:72" x14ac:dyDescent="0.25">
      <c r="A1077" s="2">
        <v>1669</v>
      </c>
      <c r="B1077" s="2">
        <v>2010</v>
      </c>
      <c r="C1077" s="2" t="s">
        <v>196</v>
      </c>
      <c r="D1077" s="2" t="s">
        <v>122</v>
      </c>
      <c r="E1077" s="2"/>
      <c r="F1077" s="2">
        <v>1</v>
      </c>
      <c r="G1077" s="2" t="s">
        <v>82</v>
      </c>
      <c r="H1077" s="2">
        <v>1</v>
      </c>
      <c r="I1077" s="2" t="s">
        <v>82</v>
      </c>
      <c r="J1077" s="2">
        <v>1</v>
      </c>
      <c r="K1077" s="2" t="s">
        <v>107</v>
      </c>
      <c r="L1077" s="2" t="s">
        <v>107</v>
      </c>
      <c r="M1077" s="3">
        <v>40256</v>
      </c>
      <c r="N1077" s="2"/>
      <c r="O1077" s="2"/>
      <c r="P1077" s="2"/>
      <c r="Q1077" s="2" t="str">
        <f>""</f>
        <v/>
      </c>
      <c r="R1077" s="2"/>
      <c r="S1077" s="2"/>
      <c r="T1077" s="2">
        <v>2</v>
      </c>
      <c r="U1077" s="2" t="s">
        <v>123</v>
      </c>
      <c r="V1077" s="2">
        <v>1</v>
      </c>
      <c r="W1077" s="2" t="s">
        <v>80</v>
      </c>
      <c r="X1077" s="2">
        <v>5</v>
      </c>
      <c r="Y1077" s="2" t="s">
        <v>82</v>
      </c>
      <c r="Z1077" s="2">
        <v>1</v>
      </c>
      <c r="AA1077" s="2" t="s">
        <v>82</v>
      </c>
      <c r="AB1077" s="2">
        <v>9</v>
      </c>
      <c r="AC1077" s="2" t="s">
        <v>124</v>
      </c>
      <c r="AD1077" s="2"/>
      <c r="AE1077" s="2"/>
      <c r="AF1077" s="2"/>
      <c r="AG1077" s="2"/>
      <c r="AH1077" s="2">
        <v>6</v>
      </c>
      <c r="AI1077" s="2" t="s">
        <v>197</v>
      </c>
      <c r="AJ1077" s="2">
        <v>51</v>
      </c>
      <c r="AK1077" s="2" t="s">
        <v>238</v>
      </c>
      <c r="AL1077" s="2">
        <v>18</v>
      </c>
      <c r="AM1077" s="2" t="s">
        <v>82</v>
      </c>
      <c r="AN1077" s="2"/>
      <c r="AO1077" s="2"/>
      <c r="AP1077" s="2">
        <v>11</v>
      </c>
      <c r="AQ1077" s="2" t="s">
        <v>82</v>
      </c>
      <c r="AR1077" s="2"/>
      <c r="AS1077" s="2"/>
      <c r="AT1077" s="2" t="s">
        <v>4122</v>
      </c>
      <c r="AU1077" s="2"/>
      <c r="AV1077" s="2"/>
      <c r="AW1077" s="2"/>
      <c r="AX1077" s="2"/>
      <c r="AY1077" s="2">
        <v>1</v>
      </c>
      <c r="AZ1077" s="2" t="s">
        <v>107</v>
      </c>
      <c r="BA1077" s="2">
        <v>1</v>
      </c>
      <c r="BB1077" s="2" t="s">
        <v>107</v>
      </c>
      <c r="BC1077" s="2">
        <v>1</v>
      </c>
      <c r="BD1077" s="2" t="s">
        <v>107</v>
      </c>
      <c r="BE1077" s="2">
        <v>1</v>
      </c>
      <c r="BF1077" s="2" t="s">
        <v>107</v>
      </c>
      <c r="BG1077" s="2"/>
      <c r="BH1077" s="4">
        <v>0.56944444444444442</v>
      </c>
      <c r="BI1077" s="4">
        <v>0.50694444444444442</v>
      </c>
      <c r="BJ1077" s="2">
        <v>13</v>
      </c>
      <c r="BK1077" s="2" t="s">
        <v>91</v>
      </c>
      <c r="BL1077" s="2" t="s">
        <v>170</v>
      </c>
      <c r="BM1077" s="2">
        <v>13</v>
      </c>
      <c r="BN1077" s="2" t="s">
        <v>91</v>
      </c>
      <c r="BO1077" s="2"/>
      <c r="BP1077" s="2">
        <v>242</v>
      </c>
      <c r="BQ1077" s="2" t="s">
        <v>107</v>
      </c>
      <c r="BR1077" s="2"/>
      <c r="BS1077" s="3">
        <v>40256</v>
      </c>
      <c r="BT1077" s="4">
        <v>0.66865740740740742</v>
      </c>
    </row>
    <row r="1078" spans="1:72" x14ac:dyDescent="0.25">
      <c r="A1078" s="2">
        <v>1672</v>
      </c>
      <c r="B1078" s="2">
        <v>2010</v>
      </c>
      <c r="C1078" s="2" t="s">
        <v>409</v>
      </c>
      <c r="D1078" s="2" t="s">
        <v>122</v>
      </c>
      <c r="E1078" s="2"/>
      <c r="F1078" s="2">
        <v>11</v>
      </c>
      <c r="G1078" s="2" t="s">
        <v>2454</v>
      </c>
      <c r="H1078" s="2">
        <v>56</v>
      </c>
      <c r="I1078" s="2" t="s">
        <v>3372</v>
      </c>
      <c r="J1078" s="2">
        <v>19</v>
      </c>
      <c r="K1078" s="2" t="s">
        <v>2144</v>
      </c>
      <c r="L1078" s="2" t="s">
        <v>2145</v>
      </c>
      <c r="M1078" s="3">
        <v>40256</v>
      </c>
      <c r="N1078" s="2" t="s">
        <v>2455</v>
      </c>
      <c r="O1078" s="2" t="s">
        <v>4123</v>
      </c>
      <c r="P1078" s="2" t="s">
        <v>107</v>
      </c>
      <c r="Q1078" s="2" t="str">
        <f>"15/10"</f>
        <v>15/10</v>
      </c>
      <c r="R1078" s="2" t="s">
        <v>3307</v>
      </c>
      <c r="S1078" s="2" t="s">
        <v>3307</v>
      </c>
      <c r="T1078" s="2">
        <v>1</v>
      </c>
      <c r="U1078" s="2" t="s">
        <v>79</v>
      </c>
      <c r="V1078" s="2">
        <v>1</v>
      </c>
      <c r="W1078" s="2" t="s">
        <v>80</v>
      </c>
      <c r="X1078" s="2">
        <v>5</v>
      </c>
      <c r="Y1078" s="2" t="s">
        <v>82</v>
      </c>
      <c r="Z1078" s="2">
        <v>10</v>
      </c>
      <c r="AA1078" s="2" t="s">
        <v>236</v>
      </c>
      <c r="AB1078" s="2">
        <v>9</v>
      </c>
      <c r="AC1078" s="2" t="s">
        <v>124</v>
      </c>
      <c r="AD1078" s="3">
        <v>40256</v>
      </c>
      <c r="AE1078" s="4">
        <v>0.55555555555555558</v>
      </c>
      <c r="AF1078" s="2"/>
      <c r="AG1078" s="2"/>
      <c r="AH1078" s="2">
        <v>3</v>
      </c>
      <c r="AI1078" s="2" t="s">
        <v>214</v>
      </c>
      <c r="AJ1078" s="2">
        <v>24</v>
      </c>
      <c r="AK1078" s="2" t="s">
        <v>215</v>
      </c>
      <c r="AL1078" s="2">
        <v>10</v>
      </c>
      <c r="AM1078" s="2" t="s">
        <v>200</v>
      </c>
      <c r="AN1078" s="2"/>
      <c r="AO1078" s="2" t="s">
        <v>4124</v>
      </c>
      <c r="AP1078" s="2">
        <v>11</v>
      </c>
      <c r="AQ1078" s="2" t="s">
        <v>82</v>
      </c>
      <c r="AR1078" s="2"/>
      <c r="AS1078" s="2"/>
      <c r="AT1078" s="2" t="s">
        <v>4125</v>
      </c>
      <c r="AU1078" s="2"/>
      <c r="AV1078" s="2"/>
      <c r="AW1078" s="2"/>
      <c r="AX1078" s="2"/>
      <c r="AY1078" s="2">
        <v>41</v>
      </c>
      <c r="AZ1078" s="2" t="s">
        <v>82</v>
      </c>
      <c r="BA1078" s="2">
        <v>41</v>
      </c>
      <c r="BB1078" s="2" t="s">
        <v>82</v>
      </c>
      <c r="BC1078" s="2">
        <v>41</v>
      </c>
      <c r="BD1078" s="2" t="s">
        <v>82</v>
      </c>
      <c r="BE1078" s="2">
        <v>41</v>
      </c>
      <c r="BF1078" s="2" t="s">
        <v>82</v>
      </c>
      <c r="BG1078" s="2"/>
      <c r="BH1078" s="2"/>
      <c r="BI1078" s="2"/>
      <c r="BJ1078" s="2">
        <v>241</v>
      </c>
      <c r="BK1078" s="2" t="s">
        <v>82</v>
      </c>
      <c r="BL1078" s="2"/>
      <c r="BM1078" s="2">
        <v>241</v>
      </c>
      <c r="BN1078" s="2" t="s">
        <v>82</v>
      </c>
      <c r="BO1078" s="2"/>
      <c r="BP1078" s="2">
        <v>241</v>
      </c>
      <c r="BQ1078" s="2" t="s">
        <v>82</v>
      </c>
      <c r="BR1078" s="2"/>
      <c r="BS1078" s="3">
        <v>40256</v>
      </c>
      <c r="BT1078" s="4">
        <v>0.69413194444444448</v>
      </c>
    </row>
    <row r="1079" spans="1:72" x14ac:dyDescent="0.25">
      <c r="A1079" s="2">
        <v>1675</v>
      </c>
      <c r="B1079" s="2">
        <v>2010</v>
      </c>
      <c r="C1079" s="2" t="s">
        <v>196</v>
      </c>
      <c r="D1079" s="2" t="s">
        <v>122</v>
      </c>
      <c r="E1079" s="2"/>
      <c r="F1079" s="2">
        <v>1</v>
      </c>
      <c r="G1079" s="2" t="s">
        <v>82</v>
      </c>
      <c r="H1079" s="2">
        <v>1</v>
      </c>
      <c r="I1079" s="2" t="s">
        <v>82</v>
      </c>
      <c r="J1079" s="2">
        <v>1</v>
      </c>
      <c r="K1079" s="2" t="s">
        <v>107</v>
      </c>
      <c r="L1079" s="2" t="s">
        <v>107</v>
      </c>
      <c r="M1079" s="3">
        <v>40256</v>
      </c>
      <c r="N1079" s="2"/>
      <c r="O1079" s="2"/>
      <c r="P1079" s="2"/>
      <c r="Q1079" s="2" t="str">
        <f>""</f>
        <v/>
      </c>
      <c r="R1079" s="2"/>
      <c r="S1079" s="2"/>
      <c r="T1079" s="2">
        <v>2</v>
      </c>
      <c r="U1079" s="2" t="s">
        <v>123</v>
      </c>
      <c r="V1079" s="2">
        <v>1</v>
      </c>
      <c r="W1079" s="2" t="s">
        <v>80</v>
      </c>
      <c r="X1079" s="2">
        <v>5</v>
      </c>
      <c r="Y1079" s="2" t="s">
        <v>82</v>
      </c>
      <c r="Z1079" s="2">
        <v>1</v>
      </c>
      <c r="AA1079" s="2" t="s">
        <v>82</v>
      </c>
      <c r="AB1079" s="2">
        <v>9</v>
      </c>
      <c r="AC1079" s="2" t="s">
        <v>124</v>
      </c>
      <c r="AD1079" s="3">
        <v>40256</v>
      </c>
      <c r="AE1079" s="4">
        <v>0.6875</v>
      </c>
      <c r="AF1079" s="2"/>
      <c r="AG1079" s="2"/>
      <c r="AH1079" s="2">
        <v>6</v>
      </c>
      <c r="AI1079" s="2" t="s">
        <v>197</v>
      </c>
      <c r="AJ1079" s="2">
        <v>51</v>
      </c>
      <c r="AK1079" s="2" t="s">
        <v>238</v>
      </c>
      <c r="AL1079" s="2">
        <v>18</v>
      </c>
      <c r="AM1079" s="2" t="s">
        <v>82</v>
      </c>
      <c r="AN1079" s="2"/>
      <c r="AO1079" s="2"/>
      <c r="AP1079" s="2">
        <v>11</v>
      </c>
      <c r="AQ1079" s="2" t="s">
        <v>82</v>
      </c>
      <c r="AR1079" s="2"/>
      <c r="AS1079" s="2"/>
      <c r="AT1079" s="2" t="s">
        <v>4126</v>
      </c>
      <c r="AU1079" s="2"/>
      <c r="AV1079" s="2"/>
      <c r="AW1079" s="2"/>
      <c r="AX1079" s="2"/>
      <c r="AY1079" s="2">
        <v>1</v>
      </c>
      <c r="AZ1079" s="2" t="s">
        <v>107</v>
      </c>
      <c r="BA1079" s="2">
        <v>1</v>
      </c>
      <c r="BB1079" s="2" t="s">
        <v>107</v>
      </c>
      <c r="BC1079" s="2">
        <v>1</v>
      </c>
      <c r="BD1079" s="2" t="s">
        <v>107</v>
      </c>
      <c r="BE1079" s="2">
        <v>1</v>
      </c>
      <c r="BF1079" s="2" t="s">
        <v>107</v>
      </c>
      <c r="BG1079" s="2"/>
      <c r="BH1079" s="4">
        <v>0.56944444444444442</v>
      </c>
      <c r="BI1079" s="4">
        <v>0.6875</v>
      </c>
      <c r="BJ1079" s="2">
        <v>242</v>
      </c>
      <c r="BK1079" s="2" t="s">
        <v>107</v>
      </c>
      <c r="BL1079" s="2"/>
      <c r="BM1079" s="2">
        <v>242</v>
      </c>
      <c r="BN1079" s="2" t="s">
        <v>107</v>
      </c>
      <c r="BO1079" s="2"/>
      <c r="BP1079" s="2">
        <v>13</v>
      </c>
      <c r="BQ1079" s="2" t="s">
        <v>91</v>
      </c>
      <c r="BR1079" s="2" t="s">
        <v>4127</v>
      </c>
      <c r="BS1079" s="3">
        <v>40256</v>
      </c>
      <c r="BT1079" s="4">
        <v>0.71354166666666663</v>
      </c>
    </row>
    <row r="1080" spans="1:72" x14ac:dyDescent="0.25">
      <c r="A1080" s="2">
        <v>1676</v>
      </c>
      <c r="B1080" s="2">
        <v>2010</v>
      </c>
      <c r="C1080" s="2" t="s">
        <v>171</v>
      </c>
      <c r="D1080" s="2" t="s">
        <v>73</v>
      </c>
      <c r="E1080" s="2"/>
      <c r="F1080" s="2">
        <v>92</v>
      </c>
      <c r="G1080" s="2" t="s">
        <v>1432</v>
      </c>
      <c r="H1080" s="2">
        <v>47</v>
      </c>
      <c r="I1080" s="2" t="s">
        <v>1409</v>
      </c>
      <c r="J1080" s="2">
        <v>119</v>
      </c>
      <c r="K1080" s="2" t="s">
        <v>325</v>
      </c>
      <c r="L1080" s="2" t="s">
        <v>326</v>
      </c>
      <c r="M1080" s="3">
        <v>40256</v>
      </c>
      <c r="N1080" s="2" t="s">
        <v>4128</v>
      </c>
      <c r="O1080" s="2" t="s">
        <v>4129</v>
      </c>
      <c r="P1080" s="2" t="s">
        <v>519</v>
      </c>
      <c r="Q1080" s="2" t="str">
        <f>""</f>
        <v/>
      </c>
      <c r="R1080" s="2"/>
      <c r="S1080" s="2"/>
      <c r="T1080" s="2">
        <v>1</v>
      </c>
      <c r="U1080" s="2" t="s">
        <v>79</v>
      </c>
      <c r="V1080" s="2">
        <v>3</v>
      </c>
      <c r="W1080" s="2" t="s">
        <v>225</v>
      </c>
      <c r="X1080" s="2">
        <v>2</v>
      </c>
      <c r="Y1080" s="2" t="s">
        <v>136</v>
      </c>
      <c r="Z1080" s="2">
        <v>1</v>
      </c>
      <c r="AA1080" s="2" t="s">
        <v>82</v>
      </c>
      <c r="AB1080" s="2">
        <v>9</v>
      </c>
      <c r="AC1080" s="2" t="s">
        <v>124</v>
      </c>
      <c r="AD1080" s="2"/>
      <c r="AE1080" s="2"/>
      <c r="AF1080" s="2"/>
      <c r="AG1080" s="2"/>
      <c r="AH1080" s="2">
        <v>6</v>
      </c>
      <c r="AI1080" s="2" t="s">
        <v>197</v>
      </c>
      <c r="AJ1080" s="2">
        <v>47</v>
      </c>
      <c r="AK1080" s="2" t="s">
        <v>250</v>
      </c>
      <c r="AL1080" s="2">
        <v>23</v>
      </c>
      <c r="AM1080" s="2" t="s">
        <v>251</v>
      </c>
      <c r="AN1080" s="2"/>
      <c r="AO1080" s="2"/>
      <c r="AP1080" s="2">
        <v>11</v>
      </c>
      <c r="AQ1080" s="2" t="s">
        <v>82</v>
      </c>
      <c r="AR1080" s="2"/>
      <c r="AS1080" s="2"/>
      <c r="AT1080" s="2" t="s">
        <v>4130</v>
      </c>
      <c r="AU1080" s="2"/>
      <c r="AV1080" s="2"/>
      <c r="AW1080" s="2"/>
      <c r="AX1080" s="2"/>
      <c r="AY1080" s="2">
        <v>41</v>
      </c>
      <c r="AZ1080" s="2" t="s">
        <v>82</v>
      </c>
      <c r="BA1080" s="2">
        <v>41</v>
      </c>
      <c r="BB1080" s="2" t="s">
        <v>82</v>
      </c>
      <c r="BC1080" s="2">
        <v>41</v>
      </c>
      <c r="BD1080" s="2" t="s">
        <v>82</v>
      </c>
      <c r="BE1080" s="2">
        <v>41</v>
      </c>
      <c r="BF1080" s="2" t="s">
        <v>82</v>
      </c>
      <c r="BG1080" s="2"/>
      <c r="BH1080" s="2"/>
      <c r="BI1080" s="2"/>
      <c r="BJ1080" s="2">
        <v>241</v>
      </c>
      <c r="BK1080" s="2" t="s">
        <v>82</v>
      </c>
      <c r="BL1080" s="2"/>
      <c r="BM1080" s="2">
        <v>241</v>
      </c>
      <c r="BN1080" s="2" t="s">
        <v>82</v>
      </c>
      <c r="BO1080" s="2"/>
      <c r="BP1080" s="2">
        <v>241</v>
      </c>
      <c r="BQ1080" s="2" t="s">
        <v>82</v>
      </c>
      <c r="BR1080" s="2"/>
      <c r="BS1080" s="3">
        <v>40256</v>
      </c>
      <c r="BT1080" s="4">
        <v>0.75043981481481481</v>
      </c>
    </row>
    <row r="1081" spans="1:72" x14ac:dyDescent="0.25">
      <c r="A1081" s="2">
        <v>1677</v>
      </c>
      <c r="B1081" s="2">
        <v>2010</v>
      </c>
      <c r="C1081" s="2" t="s">
        <v>72</v>
      </c>
      <c r="D1081" s="2" t="s">
        <v>122</v>
      </c>
      <c r="E1081" s="2" t="s">
        <v>4131</v>
      </c>
      <c r="F1081" s="2">
        <v>11</v>
      </c>
      <c r="G1081" s="2" t="s">
        <v>2454</v>
      </c>
      <c r="H1081" s="2">
        <v>56</v>
      </c>
      <c r="I1081" s="2" t="s">
        <v>3372</v>
      </c>
      <c r="J1081" s="2">
        <v>19</v>
      </c>
      <c r="K1081" s="2" t="s">
        <v>2144</v>
      </c>
      <c r="L1081" s="2" t="s">
        <v>2145</v>
      </c>
      <c r="M1081" s="3">
        <v>40256</v>
      </c>
      <c r="N1081" s="2" t="s">
        <v>2455</v>
      </c>
      <c r="O1081" s="2" t="s">
        <v>4118</v>
      </c>
      <c r="P1081" s="2" t="s">
        <v>107</v>
      </c>
      <c r="Q1081" s="2" t="str">
        <f>"15/10"</f>
        <v>15/10</v>
      </c>
      <c r="R1081" s="2" t="s">
        <v>480</v>
      </c>
      <c r="S1081" s="2" t="s">
        <v>480</v>
      </c>
      <c r="T1081" s="2">
        <v>1</v>
      </c>
      <c r="U1081" s="2" t="s">
        <v>79</v>
      </c>
      <c r="V1081" s="2">
        <v>1</v>
      </c>
      <c r="W1081" s="2" t="s">
        <v>80</v>
      </c>
      <c r="X1081" s="2">
        <v>1</v>
      </c>
      <c r="Y1081" s="2" t="s">
        <v>81</v>
      </c>
      <c r="Z1081" s="2">
        <v>1</v>
      </c>
      <c r="AA1081" s="2" t="s">
        <v>82</v>
      </c>
      <c r="AB1081" s="2">
        <v>6</v>
      </c>
      <c r="AC1081" s="2" t="s">
        <v>83</v>
      </c>
      <c r="AD1081" s="3">
        <v>40256</v>
      </c>
      <c r="AE1081" s="4">
        <v>0.3888888888888889</v>
      </c>
      <c r="AF1081" s="3">
        <v>40256</v>
      </c>
      <c r="AG1081" s="4">
        <v>0.45833333333333331</v>
      </c>
      <c r="AH1081" s="2">
        <v>3</v>
      </c>
      <c r="AI1081" s="2" t="s">
        <v>214</v>
      </c>
      <c r="AJ1081" s="2">
        <v>24</v>
      </c>
      <c r="AK1081" s="2" t="s">
        <v>215</v>
      </c>
      <c r="AL1081" s="2">
        <v>10</v>
      </c>
      <c r="AM1081" s="2" t="s">
        <v>200</v>
      </c>
      <c r="AN1081" s="2" t="s">
        <v>4119</v>
      </c>
      <c r="AO1081" s="2" t="s">
        <v>4120</v>
      </c>
      <c r="AP1081" s="2">
        <v>11</v>
      </c>
      <c r="AQ1081" s="2" t="s">
        <v>82</v>
      </c>
      <c r="AR1081" s="2"/>
      <c r="AS1081" s="2"/>
      <c r="AT1081" s="2" t="s">
        <v>4132</v>
      </c>
      <c r="AU1081" s="2"/>
      <c r="AV1081" s="2">
        <v>1</v>
      </c>
      <c r="AW1081" s="2"/>
      <c r="AX1081" s="2"/>
      <c r="AY1081" s="2">
        <v>41</v>
      </c>
      <c r="AZ1081" s="2" t="s">
        <v>82</v>
      </c>
      <c r="BA1081" s="2">
        <v>41</v>
      </c>
      <c r="BB1081" s="2" t="s">
        <v>82</v>
      </c>
      <c r="BC1081" s="2">
        <v>41</v>
      </c>
      <c r="BD1081" s="2" t="s">
        <v>82</v>
      </c>
      <c r="BE1081" s="2">
        <v>48</v>
      </c>
      <c r="BF1081" s="2" t="s">
        <v>1123</v>
      </c>
      <c r="BG1081" s="2">
        <v>892</v>
      </c>
      <c r="BH1081" s="4">
        <v>0.45833333333333331</v>
      </c>
      <c r="BI1081" s="4">
        <v>0.40972222222222227</v>
      </c>
      <c r="BJ1081" s="2">
        <v>13</v>
      </c>
      <c r="BK1081" s="2" t="s">
        <v>91</v>
      </c>
      <c r="BL1081" s="2" t="s">
        <v>169</v>
      </c>
      <c r="BM1081" s="2">
        <v>241</v>
      </c>
      <c r="BN1081" s="2" t="s">
        <v>82</v>
      </c>
      <c r="BO1081" s="2"/>
      <c r="BP1081" s="2">
        <v>13</v>
      </c>
      <c r="BQ1081" s="2" t="s">
        <v>91</v>
      </c>
      <c r="BR1081" s="2" t="s">
        <v>828</v>
      </c>
      <c r="BS1081" s="3">
        <v>40256</v>
      </c>
      <c r="BT1081" s="4">
        <v>0.78159722222222217</v>
      </c>
    </row>
    <row r="1082" spans="1:72" x14ac:dyDescent="0.25">
      <c r="A1082" s="2">
        <v>1678</v>
      </c>
      <c r="B1082" s="2">
        <v>2010</v>
      </c>
      <c r="C1082" s="2" t="s">
        <v>196</v>
      </c>
      <c r="D1082" s="2" t="s">
        <v>122</v>
      </c>
      <c r="E1082" s="2"/>
      <c r="F1082" s="2">
        <v>1</v>
      </c>
      <c r="G1082" s="2" t="s">
        <v>82</v>
      </c>
      <c r="H1082" s="2">
        <v>1</v>
      </c>
      <c r="I1082" s="2" t="s">
        <v>82</v>
      </c>
      <c r="J1082" s="2">
        <v>1</v>
      </c>
      <c r="K1082" s="2" t="s">
        <v>107</v>
      </c>
      <c r="L1082" s="2" t="s">
        <v>107</v>
      </c>
      <c r="M1082" s="3">
        <v>40256</v>
      </c>
      <c r="N1082" s="2"/>
      <c r="O1082" s="2"/>
      <c r="P1082" s="2"/>
      <c r="Q1082" s="2" t="str">
        <f>""</f>
        <v/>
      </c>
      <c r="R1082" s="2"/>
      <c r="S1082" s="2"/>
      <c r="T1082" s="2">
        <v>2</v>
      </c>
      <c r="U1082" s="2" t="s">
        <v>123</v>
      </c>
      <c r="V1082" s="2">
        <v>1</v>
      </c>
      <c r="W1082" s="2" t="s">
        <v>80</v>
      </c>
      <c r="X1082" s="2">
        <v>5</v>
      </c>
      <c r="Y1082" s="2" t="s">
        <v>82</v>
      </c>
      <c r="Z1082" s="2">
        <v>1</v>
      </c>
      <c r="AA1082" s="2" t="s">
        <v>82</v>
      </c>
      <c r="AB1082" s="2">
        <v>9</v>
      </c>
      <c r="AC1082" s="2" t="s">
        <v>124</v>
      </c>
      <c r="AD1082" s="3">
        <v>40256</v>
      </c>
      <c r="AE1082" s="2"/>
      <c r="AF1082" s="2"/>
      <c r="AG1082" s="2"/>
      <c r="AH1082" s="2">
        <v>2</v>
      </c>
      <c r="AI1082" s="2" t="s">
        <v>84</v>
      </c>
      <c r="AJ1082" s="2">
        <v>12</v>
      </c>
      <c r="AK1082" s="2" t="s">
        <v>85</v>
      </c>
      <c r="AL1082" s="2">
        <v>18</v>
      </c>
      <c r="AM1082" s="2" t="s">
        <v>82</v>
      </c>
      <c r="AN1082" s="2"/>
      <c r="AO1082" s="2"/>
      <c r="AP1082" s="2">
        <v>11</v>
      </c>
      <c r="AQ1082" s="2" t="s">
        <v>82</v>
      </c>
      <c r="AR1082" s="2"/>
      <c r="AS1082" s="2"/>
      <c r="AT1082" s="2" t="s">
        <v>4133</v>
      </c>
      <c r="AU1082" s="2"/>
      <c r="AV1082" s="2"/>
      <c r="AW1082" s="2"/>
      <c r="AX1082" s="2"/>
      <c r="AY1082" s="2">
        <v>1</v>
      </c>
      <c r="AZ1082" s="2" t="s">
        <v>107</v>
      </c>
      <c r="BA1082" s="2">
        <v>1</v>
      </c>
      <c r="BB1082" s="2" t="s">
        <v>107</v>
      </c>
      <c r="BC1082" s="2">
        <v>1</v>
      </c>
      <c r="BD1082" s="2" t="s">
        <v>107</v>
      </c>
      <c r="BE1082" s="2">
        <v>1</v>
      </c>
      <c r="BF1082" s="2" t="s">
        <v>107</v>
      </c>
      <c r="BG1082" s="2"/>
      <c r="BH1082" s="4">
        <v>0.74722222222222223</v>
      </c>
      <c r="BI1082" s="4">
        <v>0.67708333333333337</v>
      </c>
      <c r="BJ1082" s="2">
        <v>13</v>
      </c>
      <c r="BK1082" s="2" t="s">
        <v>91</v>
      </c>
      <c r="BL1082" s="2" t="s">
        <v>241</v>
      </c>
      <c r="BM1082" s="2">
        <v>242</v>
      </c>
      <c r="BN1082" s="2" t="s">
        <v>107</v>
      </c>
      <c r="BO1082" s="2"/>
      <c r="BP1082" s="2">
        <v>13</v>
      </c>
      <c r="BQ1082" s="2" t="s">
        <v>91</v>
      </c>
      <c r="BR1082" s="2"/>
      <c r="BS1082" s="3">
        <v>40256</v>
      </c>
      <c r="BT1082" s="4">
        <v>0.78606481481481483</v>
      </c>
    </row>
    <row r="1083" spans="1:72" x14ac:dyDescent="0.25">
      <c r="A1083" s="2">
        <v>1680</v>
      </c>
      <c r="B1083" s="2">
        <v>2010</v>
      </c>
      <c r="C1083" s="2" t="s">
        <v>409</v>
      </c>
      <c r="D1083" s="2" t="s">
        <v>73</v>
      </c>
      <c r="E1083" s="2" t="s">
        <v>4134</v>
      </c>
      <c r="F1083" s="2">
        <v>11</v>
      </c>
      <c r="G1083" s="2" t="s">
        <v>2454</v>
      </c>
      <c r="H1083" s="2">
        <v>56</v>
      </c>
      <c r="I1083" s="2" t="s">
        <v>3372</v>
      </c>
      <c r="J1083" s="2">
        <v>19</v>
      </c>
      <c r="K1083" s="2" t="s">
        <v>2144</v>
      </c>
      <c r="L1083" s="2" t="s">
        <v>2145</v>
      </c>
      <c r="M1083" s="3">
        <v>40256</v>
      </c>
      <c r="N1083" s="2" t="s">
        <v>2455</v>
      </c>
      <c r="O1083" s="2" t="s">
        <v>4123</v>
      </c>
      <c r="P1083" s="2" t="s">
        <v>107</v>
      </c>
      <c r="Q1083" s="2" t="str">
        <f>"15/10"</f>
        <v>15/10</v>
      </c>
      <c r="R1083" s="2" t="s">
        <v>3307</v>
      </c>
      <c r="S1083" s="2" t="s">
        <v>3307</v>
      </c>
      <c r="T1083" s="2">
        <v>1</v>
      </c>
      <c r="U1083" s="2" t="s">
        <v>79</v>
      </c>
      <c r="V1083" s="2">
        <v>1</v>
      </c>
      <c r="W1083" s="2" t="s">
        <v>80</v>
      </c>
      <c r="X1083" s="2">
        <v>5</v>
      </c>
      <c r="Y1083" s="2" t="s">
        <v>82</v>
      </c>
      <c r="Z1083" s="2">
        <v>10</v>
      </c>
      <c r="AA1083" s="2" t="s">
        <v>236</v>
      </c>
      <c r="AB1083" s="2">
        <v>9</v>
      </c>
      <c r="AC1083" s="2" t="s">
        <v>124</v>
      </c>
      <c r="AD1083" s="3">
        <v>40256</v>
      </c>
      <c r="AE1083" s="4">
        <v>0.55555555555555558</v>
      </c>
      <c r="AF1083" s="2"/>
      <c r="AG1083" s="2"/>
      <c r="AH1083" s="2">
        <v>3</v>
      </c>
      <c r="AI1083" s="2" t="s">
        <v>214</v>
      </c>
      <c r="AJ1083" s="2">
        <v>24</v>
      </c>
      <c r="AK1083" s="2" t="s">
        <v>215</v>
      </c>
      <c r="AL1083" s="2">
        <v>10</v>
      </c>
      <c r="AM1083" s="2" t="s">
        <v>200</v>
      </c>
      <c r="AN1083" s="2"/>
      <c r="AO1083" s="2" t="s">
        <v>4124</v>
      </c>
      <c r="AP1083" s="2">
        <v>11</v>
      </c>
      <c r="AQ1083" s="2" t="s">
        <v>82</v>
      </c>
      <c r="AR1083" s="2"/>
      <c r="AS1083" s="2"/>
      <c r="AT1083" s="2" t="s">
        <v>4135</v>
      </c>
      <c r="AU1083" s="2"/>
      <c r="AV1083" s="2"/>
      <c r="AW1083" s="2"/>
      <c r="AX1083" s="2"/>
      <c r="AY1083" s="2">
        <v>41</v>
      </c>
      <c r="AZ1083" s="2" t="s">
        <v>82</v>
      </c>
      <c r="BA1083" s="2">
        <v>41</v>
      </c>
      <c r="BB1083" s="2" t="s">
        <v>82</v>
      </c>
      <c r="BC1083" s="2">
        <v>41</v>
      </c>
      <c r="BD1083" s="2" t="s">
        <v>82</v>
      </c>
      <c r="BE1083" s="2">
        <v>41</v>
      </c>
      <c r="BF1083" s="2" t="s">
        <v>82</v>
      </c>
      <c r="BG1083" s="2"/>
      <c r="BH1083" s="2"/>
      <c r="BI1083" s="2"/>
      <c r="BJ1083" s="2">
        <v>241</v>
      </c>
      <c r="BK1083" s="2" t="s">
        <v>82</v>
      </c>
      <c r="BL1083" s="2"/>
      <c r="BM1083" s="2">
        <v>241</v>
      </c>
      <c r="BN1083" s="2" t="s">
        <v>82</v>
      </c>
      <c r="BO1083" s="2"/>
      <c r="BP1083" s="2">
        <v>241</v>
      </c>
      <c r="BQ1083" s="2" t="s">
        <v>82</v>
      </c>
      <c r="BR1083" s="2"/>
      <c r="BS1083" s="3">
        <v>40256</v>
      </c>
      <c r="BT1083" s="4">
        <v>0.79481481481481486</v>
      </c>
    </row>
    <row r="1084" spans="1:72" x14ac:dyDescent="0.25">
      <c r="A1084" s="2">
        <v>1680</v>
      </c>
      <c r="B1084" s="2">
        <v>2010</v>
      </c>
      <c r="C1084" s="2" t="s">
        <v>72</v>
      </c>
      <c r="D1084" s="2" t="s">
        <v>73</v>
      </c>
      <c r="E1084" s="2" t="s">
        <v>4134</v>
      </c>
      <c r="F1084" s="2">
        <v>11</v>
      </c>
      <c r="G1084" s="2" t="s">
        <v>2454</v>
      </c>
      <c r="H1084" s="2">
        <v>56</v>
      </c>
      <c r="I1084" s="2" t="s">
        <v>3372</v>
      </c>
      <c r="J1084" s="2">
        <v>19</v>
      </c>
      <c r="K1084" s="2" t="s">
        <v>2144</v>
      </c>
      <c r="L1084" s="2" t="s">
        <v>2145</v>
      </c>
      <c r="M1084" s="3">
        <v>40256</v>
      </c>
      <c r="N1084" s="2" t="s">
        <v>2455</v>
      </c>
      <c r="O1084" s="2" t="s">
        <v>4123</v>
      </c>
      <c r="P1084" s="2" t="s">
        <v>107</v>
      </c>
      <c r="Q1084" s="2" t="str">
        <f>"15/10"</f>
        <v>15/10</v>
      </c>
      <c r="R1084" s="2" t="s">
        <v>3307</v>
      </c>
      <c r="S1084" s="2" t="s">
        <v>3307</v>
      </c>
      <c r="T1084" s="2">
        <v>1</v>
      </c>
      <c r="U1084" s="2" t="s">
        <v>79</v>
      </c>
      <c r="V1084" s="2">
        <v>1</v>
      </c>
      <c r="W1084" s="2" t="s">
        <v>80</v>
      </c>
      <c r="X1084" s="2">
        <v>5</v>
      </c>
      <c r="Y1084" s="2" t="s">
        <v>82</v>
      </c>
      <c r="Z1084" s="2">
        <v>10</v>
      </c>
      <c r="AA1084" s="2" t="s">
        <v>236</v>
      </c>
      <c r="AB1084" s="2">
        <v>6</v>
      </c>
      <c r="AC1084" s="2" t="s">
        <v>83</v>
      </c>
      <c r="AD1084" s="3">
        <v>40256</v>
      </c>
      <c r="AE1084" s="4">
        <v>0.55555555555555558</v>
      </c>
      <c r="AF1084" s="2"/>
      <c r="AG1084" s="2"/>
      <c r="AH1084" s="2">
        <v>3</v>
      </c>
      <c r="AI1084" s="2" t="s">
        <v>214</v>
      </c>
      <c r="AJ1084" s="2">
        <v>24</v>
      </c>
      <c r="AK1084" s="2" t="s">
        <v>215</v>
      </c>
      <c r="AL1084" s="2">
        <v>10</v>
      </c>
      <c r="AM1084" s="2" t="s">
        <v>200</v>
      </c>
      <c r="AN1084" s="2"/>
      <c r="AO1084" s="2" t="s">
        <v>4124</v>
      </c>
      <c r="AP1084" s="2">
        <v>11</v>
      </c>
      <c r="AQ1084" s="2" t="s">
        <v>82</v>
      </c>
      <c r="AR1084" s="2"/>
      <c r="AS1084" s="2"/>
      <c r="AT1084" s="2" t="s">
        <v>4135</v>
      </c>
      <c r="AU1084" s="2"/>
      <c r="AV1084" s="2"/>
      <c r="AW1084" s="2"/>
      <c r="AX1084" s="2"/>
      <c r="AY1084" s="2">
        <v>41</v>
      </c>
      <c r="AZ1084" s="2" t="s">
        <v>82</v>
      </c>
      <c r="BA1084" s="2">
        <v>41</v>
      </c>
      <c r="BB1084" s="2" t="s">
        <v>82</v>
      </c>
      <c r="BC1084" s="2">
        <v>41</v>
      </c>
      <c r="BD1084" s="2" t="s">
        <v>82</v>
      </c>
      <c r="BE1084" s="2">
        <v>41</v>
      </c>
      <c r="BF1084" s="2" t="s">
        <v>82</v>
      </c>
      <c r="BG1084" s="2"/>
      <c r="BH1084" s="2"/>
      <c r="BI1084" s="2"/>
      <c r="BJ1084" s="2">
        <v>241</v>
      </c>
      <c r="BK1084" s="2" t="s">
        <v>82</v>
      </c>
      <c r="BL1084" s="2"/>
      <c r="BM1084" s="2">
        <v>241</v>
      </c>
      <c r="BN1084" s="2" t="s">
        <v>82</v>
      </c>
      <c r="BO1084" s="2"/>
      <c r="BP1084" s="2">
        <v>241</v>
      </c>
      <c r="BQ1084" s="2" t="s">
        <v>82</v>
      </c>
      <c r="BR1084" s="2"/>
      <c r="BS1084" s="3">
        <v>40256</v>
      </c>
      <c r="BT1084" s="4">
        <v>0.79481481481481486</v>
      </c>
    </row>
    <row r="1085" spans="1:72" x14ac:dyDescent="0.25">
      <c r="A1085" s="2">
        <v>1682</v>
      </c>
      <c r="B1085" s="2">
        <v>2010</v>
      </c>
      <c r="C1085" s="2" t="s">
        <v>377</v>
      </c>
      <c r="D1085" s="2" t="s">
        <v>73</v>
      </c>
      <c r="E1085" s="2"/>
      <c r="F1085" s="2">
        <v>426</v>
      </c>
      <c r="G1085" s="2" t="s">
        <v>378</v>
      </c>
      <c r="H1085" s="2">
        <v>1</v>
      </c>
      <c r="I1085" s="2" t="s">
        <v>82</v>
      </c>
      <c r="J1085" s="2">
        <v>311</v>
      </c>
      <c r="K1085" s="2" t="s">
        <v>379</v>
      </c>
      <c r="L1085" s="2" t="s">
        <v>380</v>
      </c>
      <c r="M1085" s="3">
        <v>40256</v>
      </c>
      <c r="N1085" s="2" t="s">
        <v>107</v>
      </c>
      <c r="O1085" s="2" t="s">
        <v>107</v>
      </c>
      <c r="P1085" s="2" t="s">
        <v>107</v>
      </c>
      <c r="Q1085" s="2" t="str">
        <f>"022-E/10"</f>
        <v>022-E/10</v>
      </c>
      <c r="R1085" s="2" t="s">
        <v>107</v>
      </c>
      <c r="S1085" s="2" t="s">
        <v>4136</v>
      </c>
      <c r="T1085" s="2">
        <v>1</v>
      </c>
      <c r="U1085" s="2" t="s">
        <v>79</v>
      </c>
      <c r="V1085" s="2">
        <v>1</v>
      </c>
      <c r="W1085" s="2" t="s">
        <v>80</v>
      </c>
      <c r="X1085" s="2">
        <v>1</v>
      </c>
      <c r="Y1085" s="2" t="s">
        <v>81</v>
      </c>
      <c r="Z1085" s="2">
        <v>1</v>
      </c>
      <c r="AA1085" s="2" t="s">
        <v>82</v>
      </c>
      <c r="AB1085" s="2">
        <v>9</v>
      </c>
      <c r="AC1085" s="2" t="s">
        <v>124</v>
      </c>
      <c r="AD1085" s="3">
        <v>40256</v>
      </c>
      <c r="AE1085" s="4">
        <v>0.27083333333333331</v>
      </c>
      <c r="AF1085" s="3">
        <v>40256</v>
      </c>
      <c r="AG1085" s="4">
        <v>0.29166666666666669</v>
      </c>
      <c r="AH1085" s="2">
        <v>2</v>
      </c>
      <c r="AI1085" s="2" t="s">
        <v>84</v>
      </c>
      <c r="AJ1085" s="2">
        <v>9</v>
      </c>
      <c r="AK1085" s="2" t="s">
        <v>103</v>
      </c>
      <c r="AL1085" s="2">
        <v>12</v>
      </c>
      <c r="AM1085" s="2" t="s">
        <v>86</v>
      </c>
      <c r="AN1085" s="2" t="s">
        <v>4137</v>
      </c>
      <c r="AO1085" s="2" t="s">
        <v>82</v>
      </c>
      <c r="AP1085" s="2">
        <v>11</v>
      </c>
      <c r="AQ1085" s="2" t="s">
        <v>82</v>
      </c>
      <c r="AR1085" s="2"/>
      <c r="AS1085" s="2"/>
      <c r="AT1085" s="2" t="s">
        <v>4138</v>
      </c>
      <c r="AU1085" s="2"/>
      <c r="AV1085" s="2"/>
      <c r="AW1085" s="2"/>
      <c r="AX1085" s="2"/>
      <c r="AY1085" s="2">
        <v>41</v>
      </c>
      <c r="AZ1085" s="2" t="s">
        <v>82</v>
      </c>
      <c r="BA1085" s="2">
        <v>41</v>
      </c>
      <c r="BB1085" s="2" t="s">
        <v>82</v>
      </c>
      <c r="BC1085" s="2">
        <v>41</v>
      </c>
      <c r="BD1085" s="2" t="s">
        <v>82</v>
      </c>
      <c r="BE1085" s="2">
        <v>41</v>
      </c>
      <c r="BF1085" s="2" t="s">
        <v>82</v>
      </c>
      <c r="BG1085" s="2"/>
      <c r="BH1085" s="2"/>
      <c r="BI1085" s="2"/>
      <c r="BJ1085" s="2">
        <v>241</v>
      </c>
      <c r="BK1085" s="2" t="s">
        <v>82</v>
      </c>
      <c r="BL1085" s="2"/>
      <c r="BM1085" s="2">
        <v>241</v>
      </c>
      <c r="BN1085" s="2" t="s">
        <v>82</v>
      </c>
      <c r="BO1085" s="2"/>
      <c r="BP1085" s="2">
        <v>241</v>
      </c>
      <c r="BQ1085" s="2" t="s">
        <v>82</v>
      </c>
      <c r="BR1085" s="2"/>
      <c r="BS1085" s="3">
        <v>40256</v>
      </c>
      <c r="BT1085" s="4">
        <v>0.83706018518518521</v>
      </c>
    </row>
    <row r="1086" spans="1:72" x14ac:dyDescent="0.25">
      <c r="A1086" s="2">
        <v>1683</v>
      </c>
      <c r="B1086" s="2">
        <v>2010</v>
      </c>
      <c r="C1086" s="2" t="s">
        <v>93</v>
      </c>
      <c r="D1086" s="2" t="s">
        <v>73</v>
      </c>
      <c r="E1086" s="2"/>
      <c r="F1086" s="2">
        <v>126</v>
      </c>
      <c r="G1086" s="2" t="s">
        <v>4139</v>
      </c>
      <c r="H1086" s="2">
        <v>22</v>
      </c>
      <c r="I1086" s="2" t="s">
        <v>75</v>
      </c>
      <c r="J1086" s="2">
        <v>140</v>
      </c>
      <c r="K1086" s="2" t="s">
        <v>864</v>
      </c>
      <c r="L1086" s="2" t="s">
        <v>865</v>
      </c>
      <c r="M1086" s="3">
        <v>40256</v>
      </c>
      <c r="N1086" s="2" t="s">
        <v>4140</v>
      </c>
      <c r="O1086" s="2" t="s">
        <v>4141</v>
      </c>
      <c r="P1086" s="5">
        <v>2793011</v>
      </c>
      <c r="Q1086" s="2" t="str">
        <f>"N/C"</f>
        <v>N/C</v>
      </c>
      <c r="R1086" s="2" t="s">
        <v>82</v>
      </c>
      <c r="S1086" s="2" t="s">
        <v>82</v>
      </c>
      <c r="T1086" s="2">
        <v>1</v>
      </c>
      <c r="U1086" s="2" t="s">
        <v>79</v>
      </c>
      <c r="V1086" s="2">
        <v>1</v>
      </c>
      <c r="W1086" s="2" t="s">
        <v>80</v>
      </c>
      <c r="X1086" s="2">
        <v>1</v>
      </c>
      <c r="Y1086" s="2" t="s">
        <v>81</v>
      </c>
      <c r="Z1086" s="2">
        <v>10</v>
      </c>
      <c r="AA1086" s="2" t="s">
        <v>236</v>
      </c>
      <c r="AB1086" s="2">
        <v>2</v>
      </c>
      <c r="AC1086" s="2" t="s">
        <v>102</v>
      </c>
      <c r="AD1086" s="3">
        <v>40256</v>
      </c>
      <c r="AE1086" s="4">
        <v>0.77777777777777779</v>
      </c>
      <c r="AF1086" s="2"/>
      <c r="AG1086" s="2"/>
      <c r="AH1086" s="2">
        <v>6</v>
      </c>
      <c r="AI1086" s="2" t="s">
        <v>197</v>
      </c>
      <c r="AJ1086" s="2">
        <v>61</v>
      </c>
      <c r="AK1086" s="2" t="s">
        <v>686</v>
      </c>
      <c r="AL1086" s="2">
        <v>11</v>
      </c>
      <c r="AM1086" s="2" t="s">
        <v>137</v>
      </c>
      <c r="AN1086" s="2" t="s">
        <v>82</v>
      </c>
      <c r="AO1086" s="2" t="s">
        <v>2949</v>
      </c>
      <c r="AP1086" s="2">
        <v>11</v>
      </c>
      <c r="AQ1086" s="2" t="s">
        <v>82</v>
      </c>
      <c r="AR1086" s="2" t="s">
        <v>82</v>
      </c>
      <c r="AS1086" s="2" t="s">
        <v>82</v>
      </c>
      <c r="AT1086" s="2" t="s">
        <v>4142</v>
      </c>
      <c r="AU1086" s="2"/>
      <c r="AV1086" s="2"/>
      <c r="AW1086" s="2"/>
      <c r="AX1086" s="2"/>
      <c r="AY1086" s="2">
        <v>41</v>
      </c>
      <c r="AZ1086" s="2" t="s">
        <v>82</v>
      </c>
      <c r="BA1086" s="2">
        <v>41</v>
      </c>
      <c r="BB1086" s="2" t="s">
        <v>82</v>
      </c>
      <c r="BC1086" s="2">
        <v>41</v>
      </c>
      <c r="BD1086" s="2" t="s">
        <v>82</v>
      </c>
      <c r="BE1086" s="2">
        <v>47</v>
      </c>
      <c r="BF1086" s="2" t="s">
        <v>167</v>
      </c>
      <c r="BG1086" s="2" t="s">
        <v>2951</v>
      </c>
      <c r="BH1086" s="4">
        <v>0.76388888888888884</v>
      </c>
      <c r="BI1086" s="4">
        <v>0.80555555555555547</v>
      </c>
      <c r="BJ1086" s="2">
        <v>13</v>
      </c>
      <c r="BK1086" s="2" t="s">
        <v>91</v>
      </c>
      <c r="BL1086" s="2" t="s">
        <v>690</v>
      </c>
      <c r="BM1086" s="2">
        <v>241</v>
      </c>
      <c r="BN1086" s="2" t="s">
        <v>82</v>
      </c>
      <c r="BO1086" s="2" t="s">
        <v>82</v>
      </c>
      <c r="BP1086" s="2">
        <v>13</v>
      </c>
      <c r="BQ1086" s="2" t="s">
        <v>91</v>
      </c>
      <c r="BR1086" s="2" t="s">
        <v>185</v>
      </c>
      <c r="BS1086" s="3">
        <v>40256</v>
      </c>
      <c r="BT1086" s="4">
        <v>0.8531481481481481</v>
      </c>
    </row>
    <row r="1087" spans="1:72" x14ac:dyDescent="0.25">
      <c r="A1087" s="2">
        <v>1684</v>
      </c>
      <c r="B1087" s="2">
        <v>2010</v>
      </c>
      <c r="C1087" s="2" t="s">
        <v>377</v>
      </c>
      <c r="D1087" s="2" t="s">
        <v>73</v>
      </c>
      <c r="E1087" s="2"/>
      <c r="F1087" s="2">
        <v>426</v>
      </c>
      <c r="G1087" s="2" t="s">
        <v>378</v>
      </c>
      <c r="H1087" s="2">
        <v>1</v>
      </c>
      <c r="I1087" s="2" t="s">
        <v>82</v>
      </c>
      <c r="J1087" s="2">
        <v>311</v>
      </c>
      <c r="K1087" s="2" t="s">
        <v>379</v>
      </c>
      <c r="L1087" s="2" t="s">
        <v>380</v>
      </c>
      <c r="M1087" s="3">
        <v>40256</v>
      </c>
      <c r="N1087" s="2" t="s">
        <v>107</v>
      </c>
      <c r="O1087" s="2" t="s">
        <v>107</v>
      </c>
      <c r="P1087" s="2" t="s">
        <v>107</v>
      </c>
      <c r="Q1087" s="2" t="str">
        <f>"023-E/10"</f>
        <v>023-E/10</v>
      </c>
      <c r="R1087" s="2" t="s">
        <v>107</v>
      </c>
      <c r="S1087" s="2" t="s">
        <v>4143</v>
      </c>
      <c r="T1087" s="2">
        <v>1</v>
      </c>
      <c r="U1087" s="2" t="s">
        <v>79</v>
      </c>
      <c r="V1087" s="2">
        <v>1</v>
      </c>
      <c r="W1087" s="2" t="s">
        <v>80</v>
      </c>
      <c r="X1087" s="2">
        <v>1</v>
      </c>
      <c r="Y1087" s="2" t="s">
        <v>81</v>
      </c>
      <c r="Z1087" s="2">
        <v>1</v>
      </c>
      <c r="AA1087" s="2" t="s">
        <v>82</v>
      </c>
      <c r="AB1087" s="2">
        <v>9</v>
      </c>
      <c r="AC1087" s="2" t="s">
        <v>124</v>
      </c>
      <c r="AD1087" s="3">
        <v>40256</v>
      </c>
      <c r="AE1087" s="4">
        <v>0.3125</v>
      </c>
      <c r="AF1087" s="3">
        <v>40256</v>
      </c>
      <c r="AG1087" s="4">
        <v>0.375</v>
      </c>
      <c r="AH1087" s="2">
        <v>2</v>
      </c>
      <c r="AI1087" s="2" t="s">
        <v>84</v>
      </c>
      <c r="AJ1087" s="2">
        <v>9</v>
      </c>
      <c r="AK1087" s="2" t="s">
        <v>103</v>
      </c>
      <c r="AL1087" s="2">
        <v>21</v>
      </c>
      <c r="AM1087" s="2" t="s">
        <v>1311</v>
      </c>
      <c r="AN1087" s="2" t="s">
        <v>4144</v>
      </c>
      <c r="AO1087" s="2" t="s">
        <v>82</v>
      </c>
      <c r="AP1087" s="2">
        <v>11</v>
      </c>
      <c r="AQ1087" s="2" t="s">
        <v>82</v>
      </c>
      <c r="AR1087" s="2"/>
      <c r="AS1087" s="2"/>
      <c r="AT1087" s="2" t="s">
        <v>4145</v>
      </c>
      <c r="AU1087" s="2"/>
      <c r="AV1087" s="2"/>
      <c r="AW1087" s="2"/>
      <c r="AX1087" s="2"/>
      <c r="AY1087" s="2">
        <v>41</v>
      </c>
      <c r="AZ1087" s="2" t="s">
        <v>82</v>
      </c>
      <c r="BA1087" s="2">
        <v>41</v>
      </c>
      <c r="BB1087" s="2" t="s">
        <v>82</v>
      </c>
      <c r="BC1087" s="2">
        <v>41</v>
      </c>
      <c r="BD1087" s="2" t="s">
        <v>82</v>
      </c>
      <c r="BE1087" s="2">
        <v>41</v>
      </c>
      <c r="BF1087" s="2" t="s">
        <v>82</v>
      </c>
      <c r="BG1087" s="2"/>
      <c r="BH1087" s="2"/>
      <c r="BI1087" s="2"/>
      <c r="BJ1087" s="2">
        <v>241</v>
      </c>
      <c r="BK1087" s="2" t="s">
        <v>82</v>
      </c>
      <c r="BL1087" s="2"/>
      <c r="BM1087" s="2">
        <v>241</v>
      </c>
      <c r="BN1087" s="2" t="s">
        <v>82</v>
      </c>
      <c r="BO1087" s="2"/>
      <c r="BP1087" s="2">
        <v>241</v>
      </c>
      <c r="BQ1087" s="2" t="s">
        <v>82</v>
      </c>
      <c r="BR1087" s="2"/>
      <c r="BS1087" s="3">
        <v>40256</v>
      </c>
      <c r="BT1087" s="4">
        <v>0.8548958333333333</v>
      </c>
    </row>
    <row r="1088" spans="1:72" x14ac:dyDescent="0.25">
      <c r="A1088" s="2">
        <v>1685</v>
      </c>
      <c r="B1088" s="2">
        <v>2010</v>
      </c>
      <c r="C1088" s="2" t="s">
        <v>93</v>
      </c>
      <c r="D1088" s="2" t="s">
        <v>73</v>
      </c>
      <c r="E1088" s="2"/>
      <c r="F1088" s="2">
        <v>561</v>
      </c>
      <c r="G1088" s="2" t="s">
        <v>4146</v>
      </c>
      <c r="H1088" s="2">
        <v>78</v>
      </c>
      <c r="I1088" s="2" t="s">
        <v>4147</v>
      </c>
      <c r="J1088" s="2">
        <v>485</v>
      </c>
      <c r="K1088" s="2" t="s">
        <v>4148</v>
      </c>
      <c r="L1088" s="2" t="s">
        <v>4149</v>
      </c>
      <c r="M1088" s="3">
        <v>40256</v>
      </c>
      <c r="N1088" s="2" t="s">
        <v>4150</v>
      </c>
      <c r="O1088" s="2" t="s">
        <v>3367</v>
      </c>
      <c r="P1088" s="2"/>
      <c r="Q1088" s="2" t="str">
        <f>"0030/10"</f>
        <v>0030/10</v>
      </c>
      <c r="R1088" s="2"/>
      <c r="S1088" s="2" t="s">
        <v>4151</v>
      </c>
      <c r="T1088" s="2">
        <v>1</v>
      </c>
      <c r="U1088" s="2" t="s">
        <v>79</v>
      </c>
      <c r="V1088" s="2">
        <v>1</v>
      </c>
      <c r="W1088" s="2" t="s">
        <v>80</v>
      </c>
      <c r="X1088" s="2">
        <v>3</v>
      </c>
      <c r="Y1088" s="2" t="s">
        <v>698</v>
      </c>
      <c r="Z1088" s="2">
        <v>9</v>
      </c>
      <c r="AA1088" s="2" t="s">
        <v>1119</v>
      </c>
      <c r="AB1088" s="2">
        <v>2</v>
      </c>
      <c r="AC1088" s="2" t="s">
        <v>102</v>
      </c>
      <c r="AD1088" s="3">
        <v>40256</v>
      </c>
      <c r="AE1088" s="4">
        <v>0.60763888888888895</v>
      </c>
      <c r="AF1088" s="2"/>
      <c r="AG1088" s="2"/>
      <c r="AH1088" s="2">
        <v>5</v>
      </c>
      <c r="AI1088" s="2" t="s">
        <v>274</v>
      </c>
      <c r="AJ1088" s="2">
        <v>38</v>
      </c>
      <c r="AK1088" s="2" t="s">
        <v>1120</v>
      </c>
      <c r="AL1088" s="2">
        <v>11</v>
      </c>
      <c r="AM1088" s="2" t="s">
        <v>137</v>
      </c>
      <c r="AN1088" s="2"/>
      <c r="AO1088" s="2"/>
      <c r="AP1088" s="2">
        <v>11</v>
      </c>
      <c r="AQ1088" s="2" t="s">
        <v>82</v>
      </c>
      <c r="AR1088" s="2"/>
      <c r="AS1088" s="2"/>
      <c r="AT1088" s="2" t="s">
        <v>4152</v>
      </c>
      <c r="AU1088" s="2"/>
      <c r="AV1088" s="2"/>
      <c r="AW1088" s="2"/>
      <c r="AX1088" s="2"/>
      <c r="AY1088" s="2">
        <v>41</v>
      </c>
      <c r="AZ1088" s="2" t="s">
        <v>82</v>
      </c>
      <c r="BA1088" s="2">
        <v>41</v>
      </c>
      <c r="BB1088" s="2" t="s">
        <v>82</v>
      </c>
      <c r="BC1088" s="2">
        <v>41</v>
      </c>
      <c r="BD1088" s="2" t="s">
        <v>82</v>
      </c>
      <c r="BE1088" s="2">
        <v>47</v>
      </c>
      <c r="BF1088" s="2" t="s">
        <v>167</v>
      </c>
      <c r="BG1088" s="2">
        <v>2725</v>
      </c>
      <c r="BH1088" s="4">
        <v>0.58194444444444449</v>
      </c>
      <c r="BI1088" s="4">
        <v>0.625</v>
      </c>
      <c r="BJ1088" s="2">
        <v>13</v>
      </c>
      <c r="BK1088" s="2" t="s">
        <v>91</v>
      </c>
      <c r="BL1088" s="2" t="s">
        <v>3140</v>
      </c>
      <c r="BM1088" s="2">
        <v>13</v>
      </c>
      <c r="BN1088" s="2" t="s">
        <v>91</v>
      </c>
      <c r="BO1088" s="2"/>
      <c r="BP1088" s="2">
        <v>13</v>
      </c>
      <c r="BQ1088" s="2" t="s">
        <v>91</v>
      </c>
      <c r="BR1088" s="2" t="s">
        <v>185</v>
      </c>
      <c r="BS1088" s="3">
        <v>40256</v>
      </c>
      <c r="BT1088" s="4">
        <v>0.87591435185185185</v>
      </c>
    </row>
    <row r="1089" spans="1:72" x14ac:dyDescent="0.25">
      <c r="A1089" s="2">
        <v>1686</v>
      </c>
      <c r="B1089" s="2">
        <v>2010</v>
      </c>
      <c r="C1089" s="2" t="s">
        <v>93</v>
      </c>
      <c r="D1089" s="2" t="s">
        <v>73</v>
      </c>
      <c r="E1089" s="2"/>
      <c r="F1089" s="2">
        <v>144</v>
      </c>
      <c r="G1089" s="2" t="s">
        <v>537</v>
      </c>
      <c r="H1089" s="2">
        <v>22</v>
      </c>
      <c r="I1089" s="2" t="s">
        <v>75</v>
      </c>
      <c r="J1089" s="2">
        <v>160</v>
      </c>
      <c r="K1089" s="2" t="s">
        <v>538</v>
      </c>
      <c r="L1089" s="2" t="s">
        <v>539</v>
      </c>
      <c r="M1089" s="3">
        <v>40256</v>
      </c>
      <c r="N1089" s="2" t="s">
        <v>1813</v>
      </c>
      <c r="O1089" s="2" t="s">
        <v>4153</v>
      </c>
      <c r="P1089" s="7">
        <v>12430</v>
      </c>
      <c r="Q1089" s="2" t="str">
        <f>"015/10"</f>
        <v>015/10</v>
      </c>
      <c r="R1089" s="2" t="s">
        <v>82</v>
      </c>
      <c r="S1089" s="2" t="s">
        <v>4154</v>
      </c>
      <c r="T1089" s="2">
        <v>1</v>
      </c>
      <c r="U1089" s="2" t="s">
        <v>79</v>
      </c>
      <c r="V1089" s="2">
        <v>1</v>
      </c>
      <c r="W1089" s="2" t="s">
        <v>80</v>
      </c>
      <c r="X1089" s="2">
        <v>1</v>
      </c>
      <c r="Y1089" s="2" t="s">
        <v>81</v>
      </c>
      <c r="Z1089" s="2">
        <v>10</v>
      </c>
      <c r="AA1089" s="2" t="s">
        <v>236</v>
      </c>
      <c r="AB1089" s="2">
        <v>2</v>
      </c>
      <c r="AC1089" s="2" t="s">
        <v>102</v>
      </c>
      <c r="AD1089" s="3">
        <v>40256</v>
      </c>
      <c r="AE1089" s="4">
        <v>0.84027777777777779</v>
      </c>
      <c r="AF1089" s="2"/>
      <c r="AG1089" s="2"/>
      <c r="AH1089" s="2">
        <v>6</v>
      </c>
      <c r="AI1089" s="2" t="s">
        <v>197</v>
      </c>
      <c r="AJ1089" s="2">
        <v>60</v>
      </c>
      <c r="AK1089" s="2" t="s">
        <v>543</v>
      </c>
      <c r="AL1089" s="2">
        <v>11</v>
      </c>
      <c r="AM1089" s="2" t="s">
        <v>137</v>
      </c>
      <c r="AN1089" s="2" t="s">
        <v>82</v>
      </c>
      <c r="AO1089" s="2" t="s">
        <v>82</v>
      </c>
      <c r="AP1089" s="2">
        <v>11</v>
      </c>
      <c r="AQ1089" s="2" t="s">
        <v>82</v>
      </c>
      <c r="AR1089" s="2" t="s">
        <v>82</v>
      </c>
      <c r="AS1089" s="2" t="s">
        <v>82</v>
      </c>
      <c r="AT1089" s="2" t="s">
        <v>4155</v>
      </c>
      <c r="AU1089" s="2"/>
      <c r="AV1089" s="2"/>
      <c r="AW1089" s="2"/>
      <c r="AX1089" s="2"/>
      <c r="AY1089" s="2">
        <v>1</v>
      </c>
      <c r="AZ1089" s="2" t="s">
        <v>107</v>
      </c>
      <c r="BA1089" s="2">
        <v>1</v>
      </c>
      <c r="BB1089" s="2" t="s">
        <v>107</v>
      </c>
      <c r="BC1089" s="2">
        <v>1</v>
      </c>
      <c r="BD1089" s="2" t="s">
        <v>107</v>
      </c>
      <c r="BE1089" s="2">
        <v>13</v>
      </c>
      <c r="BF1089" s="2" t="s">
        <v>108</v>
      </c>
      <c r="BG1089" s="2" t="s">
        <v>4156</v>
      </c>
      <c r="BH1089" s="4">
        <v>0.82291666666666663</v>
      </c>
      <c r="BI1089" s="4">
        <v>0.85416666666666663</v>
      </c>
      <c r="BJ1089" s="2">
        <v>13</v>
      </c>
      <c r="BK1089" s="2" t="s">
        <v>91</v>
      </c>
      <c r="BL1089" s="2" t="s">
        <v>895</v>
      </c>
      <c r="BM1089" s="2">
        <v>13</v>
      </c>
      <c r="BN1089" s="2" t="s">
        <v>91</v>
      </c>
      <c r="BO1089" s="2" t="s">
        <v>82</v>
      </c>
      <c r="BP1089" s="2">
        <v>13</v>
      </c>
      <c r="BQ1089" s="2" t="s">
        <v>91</v>
      </c>
      <c r="BR1089" s="2" t="s">
        <v>185</v>
      </c>
      <c r="BS1089" s="3">
        <v>40256</v>
      </c>
      <c r="BT1089" s="4">
        <v>0.87799768518518517</v>
      </c>
    </row>
    <row r="1090" spans="1:72" x14ac:dyDescent="0.25">
      <c r="A1090" s="2">
        <v>1687</v>
      </c>
      <c r="B1090" s="2">
        <v>2010</v>
      </c>
      <c r="C1090" s="2" t="s">
        <v>385</v>
      </c>
      <c r="D1090" s="2" t="s">
        <v>122</v>
      </c>
      <c r="E1090" s="2"/>
      <c r="F1090" s="2">
        <v>562</v>
      </c>
      <c r="G1090" s="2" t="s">
        <v>4157</v>
      </c>
      <c r="H1090" s="2">
        <v>22</v>
      </c>
      <c r="I1090" s="2" t="s">
        <v>75</v>
      </c>
      <c r="J1090" s="2">
        <v>486</v>
      </c>
      <c r="K1090" s="2" t="s">
        <v>4158</v>
      </c>
      <c r="L1090" s="2" t="s">
        <v>4159</v>
      </c>
      <c r="M1090" s="3">
        <v>40256</v>
      </c>
      <c r="N1090" s="2" t="s">
        <v>4160</v>
      </c>
      <c r="O1090" s="2" t="s">
        <v>4161</v>
      </c>
      <c r="P1090" s="2" t="s">
        <v>4162</v>
      </c>
      <c r="Q1090" s="2" t="str">
        <f>""</f>
        <v/>
      </c>
      <c r="R1090" s="2"/>
      <c r="S1090" s="2"/>
      <c r="T1090" s="2">
        <v>1</v>
      </c>
      <c r="U1090" s="2" t="s">
        <v>79</v>
      </c>
      <c r="V1090" s="2">
        <v>1</v>
      </c>
      <c r="W1090" s="2" t="s">
        <v>80</v>
      </c>
      <c r="X1090" s="2">
        <v>4</v>
      </c>
      <c r="Y1090" s="2" t="s">
        <v>463</v>
      </c>
      <c r="Z1090" s="2">
        <v>4</v>
      </c>
      <c r="AA1090" s="2" t="s">
        <v>182</v>
      </c>
      <c r="AB1090" s="2">
        <v>9</v>
      </c>
      <c r="AC1090" s="2" t="s">
        <v>124</v>
      </c>
      <c r="AD1090" s="3">
        <v>40256</v>
      </c>
      <c r="AE1090" s="4">
        <v>0.76041666666666663</v>
      </c>
      <c r="AF1090" s="2"/>
      <c r="AG1090" s="2"/>
      <c r="AH1090" s="2">
        <v>4</v>
      </c>
      <c r="AI1090" s="2" t="s">
        <v>125</v>
      </c>
      <c r="AJ1090" s="2">
        <v>29</v>
      </c>
      <c r="AK1090" s="2" t="s">
        <v>227</v>
      </c>
      <c r="AL1090" s="2">
        <v>11</v>
      </c>
      <c r="AM1090" s="2" t="s">
        <v>137</v>
      </c>
      <c r="AN1090" s="2"/>
      <c r="AO1090" s="2"/>
      <c r="AP1090" s="2">
        <v>11</v>
      </c>
      <c r="AQ1090" s="2" t="s">
        <v>82</v>
      </c>
      <c r="AR1090" s="2"/>
      <c r="AS1090" s="2"/>
      <c r="AT1090" s="2" t="s">
        <v>4163</v>
      </c>
      <c r="AU1090" s="2">
        <v>1</v>
      </c>
      <c r="AV1090" s="2"/>
      <c r="AW1090" s="2"/>
      <c r="AX1090" s="2"/>
      <c r="AY1090" s="2">
        <v>41</v>
      </c>
      <c r="AZ1090" s="2" t="s">
        <v>82</v>
      </c>
      <c r="BA1090" s="2">
        <v>41</v>
      </c>
      <c r="BB1090" s="2" t="s">
        <v>82</v>
      </c>
      <c r="BC1090" s="2">
        <v>41</v>
      </c>
      <c r="BD1090" s="2" t="s">
        <v>82</v>
      </c>
      <c r="BE1090" s="2">
        <v>4</v>
      </c>
      <c r="BF1090" s="2" t="s">
        <v>90</v>
      </c>
      <c r="BG1090" s="2">
        <v>4113</v>
      </c>
      <c r="BH1090" s="4">
        <v>0.75694444444444453</v>
      </c>
      <c r="BI1090" s="4">
        <v>0.78819444444444453</v>
      </c>
      <c r="BJ1090" s="2">
        <v>13</v>
      </c>
      <c r="BK1090" s="2" t="s">
        <v>91</v>
      </c>
      <c r="BL1090" s="2" t="s">
        <v>828</v>
      </c>
      <c r="BM1090" s="2">
        <v>241</v>
      </c>
      <c r="BN1090" s="2" t="s">
        <v>82</v>
      </c>
      <c r="BO1090" s="2" t="s">
        <v>82</v>
      </c>
      <c r="BP1090" s="2">
        <v>13</v>
      </c>
      <c r="BQ1090" s="2" t="s">
        <v>91</v>
      </c>
      <c r="BR1090" s="2" t="s">
        <v>185</v>
      </c>
      <c r="BS1090" s="3">
        <v>40256</v>
      </c>
      <c r="BT1090" s="4">
        <v>0.88134259259259251</v>
      </c>
    </row>
    <row r="1091" spans="1:72" x14ac:dyDescent="0.25">
      <c r="A1091" s="2">
        <v>1688</v>
      </c>
      <c r="B1091" s="2">
        <v>2010</v>
      </c>
      <c r="C1091" s="2" t="s">
        <v>642</v>
      </c>
      <c r="D1091" s="2" t="s">
        <v>122</v>
      </c>
      <c r="E1091" s="2" t="s">
        <v>4164</v>
      </c>
      <c r="F1091" s="2">
        <v>52</v>
      </c>
      <c r="G1091" s="2" t="s">
        <v>2963</v>
      </c>
      <c r="H1091" s="2">
        <v>57</v>
      </c>
      <c r="I1091" s="2" t="s">
        <v>3043</v>
      </c>
      <c r="J1091" s="2">
        <v>87</v>
      </c>
      <c r="K1091" s="2" t="s">
        <v>2964</v>
      </c>
      <c r="L1091" s="2" t="s">
        <v>2534</v>
      </c>
      <c r="M1091" s="3">
        <v>40256</v>
      </c>
      <c r="N1091" s="2" t="s">
        <v>3630</v>
      </c>
      <c r="O1091" s="2" t="s">
        <v>3631</v>
      </c>
      <c r="P1091" s="2" t="s">
        <v>3632</v>
      </c>
      <c r="Q1091" s="2" t="str">
        <f>""</f>
        <v/>
      </c>
      <c r="R1091" s="2"/>
      <c r="S1091" s="2"/>
      <c r="T1091" s="2">
        <v>1</v>
      </c>
      <c r="U1091" s="2" t="s">
        <v>79</v>
      </c>
      <c r="V1091" s="2">
        <v>3</v>
      </c>
      <c r="W1091" s="2" t="s">
        <v>225</v>
      </c>
      <c r="X1091" s="2">
        <v>5</v>
      </c>
      <c r="Y1091" s="2" t="s">
        <v>82</v>
      </c>
      <c r="Z1091" s="2">
        <v>1</v>
      </c>
      <c r="AA1091" s="2" t="s">
        <v>82</v>
      </c>
      <c r="AB1091" s="2">
        <v>9</v>
      </c>
      <c r="AC1091" s="2" t="s">
        <v>124</v>
      </c>
      <c r="AD1091" s="2"/>
      <c r="AE1091" s="2"/>
      <c r="AF1091" s="2"/>
      <c r="AG1091" s="2"/>
      <c r="AH1091" s="2">
        <v>4</v>
      </c>
      <c r="AI1091" s="2" t="s">
        <v>125</v>
      </c>
      <c r="AJ1091" s="2">
        <v>26</v>
      </c>
      <c r="AK1091" s="2" t="s">
        <v>293</v>
      </c>
      <c r="AL1091" s="2">
        <v>18</v>
      </c>
      <c r="AM1091" s="2" t="s">
        <v>82</v>
      </c>
      <c r="AN1091" s="2"/>
      <c r="AO1091" s="2"/>
      <c r="AP1091" s="2">
        <v>11</v>
      </c>
      <c r="AQ1091" s="2" t="s">
        <v>82</v>
      </c>
      <c r="AR1091" s="2"/>
      <c r="AS1091" s="2"/>
      <c r="AT1091" s="2" t="s">
        <v>4165</v>
      </c>
      <c r="AU1091" s="2"/>
      <c r="AV1091" s="2"/>
      <c r="AW1091" s="2"/>
      <c r="AX1091" s="2"/>
      <c r="AY1091" s="2">
        <v>1</v>
      </c>
      <c r="AZ1091" s="2" t="s">
        <v>107</v>
      </c>
      <c r="BA1091" s="2">
        <v>1</v>
      </c>
      <c r="BB1091" s="2" t="s">
        <v>107</v>
      </c>
      <c r="BC1091" s="2">
        <v>1</v>
      </c>
      <c r="BD1091" s="2" t="s">
        <v>107</v>
      </c>
      <c r="BE1091" s="2">
        <v>1</v>
      </c>
      <c r="BF1091" s="2" t="s">
        <v>107</v>
      </c>
      <c r="BG1091" s="2"/>
      <c r="BH1091" s="2"/>
      <c r="BI1091" s="2"/>
      <c r="BJ1091" s="2">
        <v>242</v>
      </c>
      <c r="BK1091" s="2" t="s">
        <v>107</v>
      </c>
      <c r="BL1091" s="2"/>
      <c r="BM1091" s="2">
        <v>242</v>
      </c>
      <c r="BN1091" s="2" t="s">
        <v>107</v>
      </c>
      <c r="BO1091" s="2"/>
      <c r="BP1091" s="2">
        <v>242</v>
      </c>
      <c r="BQ1091" s="2" t="s">
        <v>107</v>
      </c>
      <c r="BR1091" s="2"/>
      <c r="BS1091" s="3">
        <v>40256</v>
      </c>
      <c r="BT1091" s="4">
        <v>0.91853009259259266</v>
      </c>
    </row>
    <row r="1092" spans="1:72" x14ac:dyDescent="0.25">
      <c r="A1092" s="2">
        <v>1689</v>
      </c>
      <c r="B1092" s="2">
        <v>2010</v>
      </c>
      <c r="C1092" s="2" t="s">
        <v>171</v>
      </c>
      <c r="D1092" s="2" t="s">
        <v>122</v>
      </c>
      <c r="E1092" s="2" t="s">
        <v>4166</v>
      </c>
      <c r="F1092" s="2">
        <v>159</v>
      </c>
      <c r="G1092" s="2" t="s">
        <v>3883</v>
      </c>
      <c r="H1092" s="2">
        <v>18</v>
      </c>
      <c r="I1092" s="2" t="s">
        <v>3884</v>
      </c>
      <c r="J1092" s="2">
        <v>172</v>
      </c>
      <c r="K1092" s="2" t="s">
        <v>3885</v>
      </c>
      <c r="L1092" s="2" t="s">
        <v>3886</v>
      </c>
      <c r="M1092" s="3">
        <v>40256</v>
      </c>
      <c r="N1092" s="2" t="s">
        <v>4167</v>
      </c>
      <c r="O1092" s="2" t="s">
        <v>82</v>
      </c>
      <c r="P1092" s="2" t="s">
        <v>82</v>
      </c>
      <c r="Q1092" s="2" t="str">
        <f>"110-A/10"</f>
        <v>110-A/10</v>
      </c>
      <c r="R1092" s="2" t="s">
        <v>1035</v>
      </c>
      <c r="S1092" s="2" t="s">
        <v>82</v>
      </c>
      <c r="T1092" s="2">
        <v>1</v>
      </c>
      <c r="U1092" s="2" t="s">
        <v>79</v>
      </c>
      <c r="V1092" s="2">
        <v>1</v>
      </c>
      <c r="W1092" s="2" t="s">
        <v>80</v>
      </c>
      <c r="X1092" s="2">
        <v>1</v>
      </c>
      <c r="Y1092" s="2" t="s">
        <v>81</v>
      </c>
      <c r="Z1092" s="2">
        <v>1</v>
      </c>
      <c r="AA1092" s="2" t="s">
        <v>82</v>
      </c>
      <c r="AB1092" s="2">
        <v>1</v>
      </c>
      <c r="AC1092" s="2" t="s">
        <v>178</v>
      </c>
      <c r="AD1092" s="3">
        <v>40256</v>
      </c>
      <c r="AE1092" s="4">
        <v>0.40277777777777773</v>
      </c>
      <c r="AF1092" s="2"/>
      <c r="AG1092" s="2"/>
      <c r="AH1092" s="2">
        <v>2</v>
      </c>
      <c r="AI1092" s="2" t="s">
        <v>84</v>
      </c>
      <c r="AJ1092" s="2">
        <v>12</v>
      </c>
      <c r="AK1092" s="2" t="s">
        <v>85</v>
      </c>
      <c r="AL1092" s="2">
        <v>11</v>
      </c>
      <c r="AM1092" s="2" t="s">
        <v>137</v>
      </c>
      <c r="AN1092" s="2" t="s">
        <v>816</v>
      </c>
      <c r="AO1092" s="2" t="s">
        <v>1059</v>
      </c>
      <c r="AP1092" s="2">
        <v>11</v>
      </c>
      <c r="AQ1092" s="2" t="s">
        <v>82</v>
      </c>
      <c r="AR1092" s="2" t="s">
        <v>82</v>
      </c>
      <c r="AS1092" s="2" t="s">
        <v>82</v>
      </c>
      <c r="AT1092" s="2" t="s">
        <v>4168</v>
      </c>
      <c r="AU1092" s="2">
        <v>1</v>
      </c>
      <c r="AV1092" s="2"/>
      <c r="AW1092" s="2"/>
      <c r="AX1092" s="2"/>
      <c r="AY1092" s="2">
        <v>41</v>
      </c>
      <c r="AZ1092" s="2" t="s">
        <v>82</v>
      </c>
      <c r="BA1092" s="2">
        <v>41</v>
      </c>
      <c r="BB1092" s="2" t="s">
        <v>82</v>
      </c>
      <c r="BC1092" s="2">
        <v>41</v>
      </c>
      <c r="BD1092" s="2" t="s">
        <v>82</v>
      </c>
      <c r="BE1092" s="2">
        <v>10</v>
      </c>
      <c r="BF1092" s="2" t="s">
        <v>901</v>
      </c>
      <c r="BG1092" s="2" t="s">
        <v>4113</v>
      </c>
      <c r="BH1092" s="4">
        <v>0.4548611111111111</v>
      </c>
      <c r="BI1092" s="4">
        <v>0.4201388888888889</v>
      </c>
      <c r="BJ1092" s="2">
        <v>13</v>
      </c>
      <c r="BK1092" s="2" t="s">
        <v>91</v>
      </c>
      <c r="BL1092" s="2" t="s">
        <v>185</v>
      </c>
      <c r="BM1092" s="2">
        <v>241</v>
      </c>
      <c r="BN1092" s="2" t="s">
        <v>82</v>
      </c>
      <c r="BO1092" s="2" t="s">
        <v>82</v>
      </c>
      <c r="BP1092" s="2">
        <v>229</v>
      </c>
      <c r="BQ1092" s="2" t="s">
        <v>300</v>
      </c>
      <c r="BR1092" s="2" t="s">
        <v>573</v>
      </c>
      <c r="BS1092" s="3">
        <v>40256</v>
      </c>
      <c r="BT1092" s="4">
        <v>0.92849537037037033</v>
      </c>
    </row>
    <row r="1093" spans="1:72" x14ac:dyDescent="0.25">
      <c r="A1093" s="2">
        <v>1690</v>
      </c>
      <c r="B1093" s="2">
        <v>2010</v>
      </c>
      <c r="C1093" s="2" t="s">
        <v>819</v>
      </c>
      <c r="D1093" s="2" t="s">
        <v>122</v>
      </c>
      <c r="E1093" s="2"/>
      <c r="F1093" s="2">
        <v>451</v>
      </c>
      <c r="G1093" s="2" t="s">
        <v>879</v>
      </c>
      <c r="H1093" s="2">
        <v>31</v>
      </c>
      <c r="I1093" s="2" t="s">
        <v>880</v>
      </c>
      <c r="J1093" s="2">
        <v>326</v>
      </c>
      <c r="K1093" s="2" t="s">
        <v>881</v>
      </c>
      <c r="L1093" s="2" t="s">
        <v>882</v>
      </c>
      <c r="M1093" s="3">
        <v>40256</v>
      </c>
      <c r="N1093" s="2" t="s">
        <v>1072</v>
      </c>
      <c r="O1093" s="2"/>
      <c r="P1093" s="2"/>
      <c r="Q1093" s="2" t="str">
        <f>"033/10"</f>
        <v>033/10</v>
      </c>
      <c r="R1093" s="2" t="s">
        <v>3719</v>
      </c>
      <c r="S1093" s="2" t="s">
        <v>822</v>
      </c>
      <c r="T1093" s="2">
        <v>1</v>
      </c>
      <c r="U1093" s="2" t="s">
        <v>79</v>
      </c>
      <c r="V1093" s="2">
        <v>1</v>
      </c>
      <c r="W1093" s="2" t="s">
        <v>80</v>
      </c>
      <c r="X1093" s="2">
        <v>1</v>
      </c>
      <c r="Y1093" s="2" t="s">
        <v>81</v>
      </c>
      <c r="Z1093" s="2">
        <v>10</v>
      </c>
      <c r="AA1093" s="2" t="s">
        <v>236</v>
      </c>
      <c r="AB1093" s="2">
        <v>9</v>
      </c>
      <c r="AC1093" s="2" t="s">
        <v>124</v>
      </c>
      <c r="AD1093" s="3">
        <v>40256</v>
      </c>
      <c r="AE1093" s="4">
        <v>0.88888888888888884</v>
      </c>
      <c r="AF1093" s="2"/>
      <c r="AG1093" s="2"/>
      <c r="AH1093" s="2">
        <v>4</v>
      </c>
      <c r="AI1093" s="2" t="s">
        <v>125</v>
      </c>
      <c r="AJ1093" s="2">
        <v>29</v>
      </c>
      <c r="AK1093" s="2" t="s">
        <v>227</v>
      </c>
      <c r="AL1093" s="2">
        <v>10</v>
      </c>
      <c r="AM1093" s="2" t="s">
        <v>200</v>
      </c>
      <c r="AN1093" s="2" t="s">
        <v>1073</v>
      </c>
      <c r="AO1093" s="2" t="s">
        <v>200</v>
      </c>
      <c r="AP1093" s="2">
        <v>12</v>
      </c>
      <c r="AQ1093" s="2" t="s">
        <v>322</v>
      </c>
      <c r="AR1093" s="2" t="s">
        <v>824</v>
      </c>
      <c r="AS1093" s="2" t="s">
        <v>825</v>
      </c>
      <c r="AT1093" s="2" t="s">
        <v>4169</v>
      </c>
      <c r="AU1093" s="2"/>
      <c r="AV1093" s="2"/>
      <c r="AW1093" s="2"/>
      <c r="AX1093" s="2"/>
      <c r="AY1093" s="2">
        <v>41</v>
      </c>
      <c r="AZ1093" s="2" t="s">
        <v>82</v>
      </c>
      <c r="BA1093" s="2">
        <v>41</v>
      </c>
      <c r="BB1093" s="2" t="s">
        <v>82</v>
      </c>
      <c r="BC1093" s="2">
        <v>51</v>
      </c>
      <c r="BD1093" s="2" t="s">
        <v>827</v>
      </c>
      <c r="BE1093" s="2">
        <v>47</v>
      </c>
      <c r="BF1093" s="2" t="s">
        <v>167</v>
      </c>
      <c r="BG1093" s="2">
        <v>2459</v>
      </c>
      <c r="BH1093" s="4">
        <v>0.88888888888888884</v>
      </c>
      <c r="BI1093" s="4">
        <v>0.92361111111111116</v>
      </c>
      <c r="BJ1093" s="2">
        <v>13</v>
      </c>
      <c r="BK1093" s="2" t="s">
        <v>91</v>
      </c>
      <c r="BL1093" s="2" t="s">
        <v>828</v>
      </c>
      <c r="BM1093" s="2">
        <v>241</v>
      </c>
      <c r="BN1093" s="2" t="s">
        <v>82</v>
      </c>
      <c r="BO1093" s="2" t="s">
        <v>82</v>
      </c>
      <c r="BP1093" s="2">
        <v>13</v>
      </c>
      <c r="BQ1093" s="2" t="s">
        <v>91</v>
      </c>
      <c r="BR1093" s="2" t="s">
        <v>185</v>
      </c>
      <c r="BS1093" s="3">
        <v>40256</v>
      </c>
      <c r="BT1093" s="4">
        <v>0.95726851851851846</v>
      </c>
    </row>
    <row r="1094" spans="1:72" x14ac:dyDescent="0.25">
      <c r="A1094" s="2">
        <v>1691</v>
      </c>
      <c r="B1094" s="2">
        <v>2010</v>
      </c>
      <c r="C1094" s="2" t="s">
        <v>2219</v>
      </c>
      <c r="D1094" s="2" t="s">
        <v>73</v>
      </c>
      <c r="E1094" s="2"/>
      <c r="F1094" s="2">
        <v>175</v>
      </c>
      <c r="G1094" s="2" t="s">
        <v>4170</v>
      </c>
      <c r="H1094" s="2">
        <v>79</v>
      </c>
      <c r="I1094" s="2" t="s">
        <v>4171</v>
      </c>
      <c r="J1094" s="2">
        <v>183</v>
      </c>
      <c r="K1094" s="2" t="s">
        <v>3133</v>
      </c>
      <c r="L1094" s="2" t="s">
        <v>3134</v>
      </c>
      <c r="M1094" s="3">
        <v>40257</v>
      </c>
      <c r="N1094" s="2" t="s">
        <v>4172</v>
      </c>
      <c r="O1094" s="2" t="s">
        <v>107</v>
      </c>
      <c r="P1094" s="2" t="s">
        <v>107</v>
      </c>
      <c r="Q1094" s="2" t="str">
        <f>"111-A/10"</f>
        <v>111-A/10</v>
      </c>
      <c r="R1094" s="2" t="s">
        <v>107</v>
      </c>
      <c r="S1094" s="2" t="s">
        <v>4173</v>
      </c>
      <c r="T1094" s="2">
        <v>1</v>
      </c>
      <c r="U1094" s="2" t="s">
        <v>79</v>
      </c>
      <c r="V1094" s="2">
        <v>1</v>
      </c>
      <c r="W1094" s="2" t="s">
        <v>80</v>
      </c>
      <c r="X1094" s="2">
        <v>1</v>
      </c>
      <c r="Y1094" s="2" t="s">
        <v>81</v>
      </c>
      <c r="Z1094" s="2">
        <v>1</v>
      </c>
      <c r="AA1094" s="2" t="s">
        <v>82</v>
      </c>
      <c r="AB1094" s="2">
        <v>9</v>
      </c>
      <c r="AC1094" s="2" t="s">
        <v>124</v>
      </c>
      <c r="AD1094" s="3">
        <v>40256</v>
      </c>
      <c r="AE1094" s="4">
        <v>0.61458333333333337</v>
      </c>
      <c r="AF1094" s="3">
        <v>40256</v>
      </c>
      <c r="AG1094" s="4">
        <v>0.62152777777777779</v>
      </c>
      <c r="AH1094" s="2">
        <v>2</v>
      </c>
      <c r="AI1094" s="2" t="s">
        <v>84</v>
      </c>
      <c r="AJ1094" s="2">
        <v>12</v>
      </c>
      <c r="AK1094" s="2" t="s">
        <v>85</v>
      </c>
      <c r="AL1094" s="2">
        <v>15</v>
      </c>
      <c r="AM1094" s="2" t="s">
        <v>104</v>
      </c>
      <c r="AN1094" s="2" t="s">
        <v>4174</v>
      </c>
      <c r="AO1094" s="2" t="s">
        <v>4175</v>
      </c>
      <c r="AP1094" s="2">
        <v>11</v>
      </c>
      <c r="AQ1094" s="2" t="s">
        <v>82</v>
      </c>
      <c r="AR1094" s="2"/>
      <c r="AS1094" s="2"/>
      <c r="AT1094" s="2" t="s">
        <v>4176</v>
      </c>
      <c r="AU1094" s="2">
        <v>1</v>
      </c>
      <c r="AV1094" s="2"/>
      <c r="AW1094" s="2"/>
      <c r="AX1094" s="2"/>
      <c r="AY1094" s="2">
        <v>41</v>
      </c>
      <c r="AZ1094" s="2" t="s">
        <v>82</v>
      </c>
      <c r="BA1094" s="2">
        <v>41</v>
      </c>
      <c r="BB1094" s="2" t="s">
        <v>82</v>
      </c>
      <c r="BC1094" s="2">
        <v>41</v>
      </c>
      <c r="BD1094" s="2" t="s">
        <v>82</v>
      </c>
      <c r="BE1094" s="2">
        <v>41</v>
      </c>
      <c r="BF1094" s="2" t="s">
        <v>82</v>
      </c>
      <c r="BG1094" s="2"/>
      <c r="BH1094" s="2"/>
      <c r="BI1094" s="2"/>
      <c r="BJ1094" s="2">
        <v>241</v>
      </c>
      <c r="BK1094" s="2" t="s">
        <v>82</v>
      </c>
      <c r="BL1094" s="2"/>
      <c r="BM1094" s="2">
        <v>241</v>
      </c>
      <c r="BN1094" s="2" t="s">
        <v>82</v>
      </c>
      <c r="BO1094" s="2"/>
      <c r="BP1094" s="2">
        <v>241</v>
      </c>
      <c r="BQ1094" s="2" t="s">
        <v>82</v>
      </c>
      <c r="BR1094" s="2"/>
      <c r="BS1094" s="3">
        <v>40257</v>
      </c>
      <c r="BT1094" s="4">
        <v>0.30290509259259263</v>
      </c>
    </row>
    <row r="1095" spans="1:72" x14ac:dyDescent="0.25">
      <c r="A1095" s="2">
        <v>1692</v>
      </c>
      <c r="B1095" s="2">
        <v>2010</v>
      </c>
      <c r="C1095" s="2" t="s">
        <v>72</v>
      </c>
      <c r="D1095" s="2" t="s">
        <v>73</v>
      </c>
      <c r="E1095" s="2"/>
      <c r="F1095" s="2">
        <v>7</v>
      </c>
      <c r="G1095" s="2" t="s">
        <v>4177</v>
      </c>
      <c r="H1095" s="2">
        <v>22</v>
      </c>
      <c r="I1095" s="2" t="s">
        <v>75</v>
      </c>
      <c r="J1095" s="2">
        <v>13</v>
      </c>
      <c r="K1095" s="2" t="s">
        <v>4178</v>
      </c>
      <c r="L1095" s="2" t="s">
        <v>115</v>
      </c>
      <c r="M1095" s="3">
        <v>40257</v>
      </c>
      <c r="N1095" s="2" t="s">
        <v>4179</v>
      </c>
      <c r="O1095" s="2" t="s">
        <v>107</v>
      </c>
      <c r="P1095" s="2" t="s">
        <v>107</v>
      </c>
      <c r="Q1095" s="2" t="str">
        <f>"01/10"</f>
        <v>01/10</v>
      </c>
      <c r="R1095" s="2" t="s">
        <v>116</v>
      </c>
      <c r="S1095" s="2"/>
      <c r="T1095" s="2">
        <v>1</v>
      </c>
      <c r="U1095" s="2" t="s">
        <v>79</v>
      </c>
      <c r="V1095" s="2">
        <v>1</v>
      </c>
      <c r="W1095" s="2" t="s">
        <v>80</v>
      </c>
      <c r="X1095" s="2">
        <v>1</v>
      </c>
      <c r="Y1095" s="2" t="s">
        <v>81</v>
      </c>
      <c r="Z1095" s="2">
        <v>1</v>
      </c>
      <c r="AA1095" s="2" t="s">
        <v>82</v>
      </c>
      <c r="AB1095" s="2">
        <v>6</v>
      </c>
      <c r="AC1095" s="2" t="s">
        <v>83</v>
      </c>
      <c r="AD1095" s="3">
        <v>40256</v>
      </c>
      <c r="AE1095" s="2"/>
      <c r="AF1095" s="3">
        <v>40256</v>
      </c>
      <c r="AG1095" s="4">
        <v>0.86111111111111116</v>
      </c>
      <c r="AH1095" s="2">
        <v>4</v>
      </c>
      <c r="AI1095" s="2" t="s">
        <v>125</v>
      </c>
      <c r="AJ1095" s="2">
        <v>32</v>
      </c>
      <c r="AK1095" s="2" t="s">
        <v>419</v>
      </c>
      <c r="AL1095" s="2">
        <v>21</v>
      </c>
      <c r="AM1095" s="2" t="s">
        <v>1311</v>
      </c>
      <c r="AN1095" s="2"/>
      <c r="AO1095" s="2"/>
      <c r="AP1095" s="2">
        <v>11</v>
      </c>
      <c r="AQ1095" s="2" t="s">
        <v>82</v>
      </c>
      <c r="AR1095" s="2"/>
      <c r="AS1095" s="2"/>
      <c r="AT1095" s="2" t="s">
        <v>4180</v>
      </c>
      <c r="AU1095" s="2"/>
      <c r="AV1095" s="2"/>
      <c r="AW1095" s="2"/>
      <c r="AX1095" s="2"/>
      <c r="AY1095" s="2">
        <v>41</v>
      </c>
      <c r="AZ1095" s="2" t="s">
        <v>82</v>
      </c>
      <c r="BA1095" s="2">
        <v>41</v>
      </c>
      <c r="BB1095" s="2" t="s">
        <v>82</v>
      </c>
      <c r="BC1095" s="2">
        <v>41</v>
      </c>
      <c r="BD1095" s="2" t="s">
        <v>82</v>
      </c>
      <c r="BE1095" s="2">
        <v>41</v>
      </c>
      <c r="BF1095" s="2" t="s">
        <v>82</v>
      </c>
      <c r="BG1095" s="2"/>
      <c r="BH1095" s="2"/>
      <c r="BI1095" s="2"/>
      <c r="BJ1095" s="2">
        <v>241</v>
      </c>
      <c r="BK1095" s="2" t="s">
        <v>82</v>
      </c>
      <c r="BL1095" s="2"/>
      <c r="BM1095" s="2">
        <v>241</v>
      </c>
      <c r="BN1095" s="2" t="s">
        <v>82</v>
      </c>
      <c r="BO1095" s="2"/>
      <c r="BP1095" s="2">
        <v>241</v>
      </c>
      <c r="BQ1095" s="2" t="s">
        <v>82</v>
      </c>
      <c r="BR1095" s="2"/>
      <c r="BS1095" s="3">
        <v>40257</v>
      </c>
      <c r="BT1095" s="4">
        <v>0.31865740740740739</v>
      </c>
    </row>
    <row r="1096" spans="1:72" x14ac:dyDescent="0.25">
      <c r="A1096" s="2">
        <v>1693</v>
      </c>
      <c r="B1096" s="2">
        <v>2010</v>
      </c>
      <c r="C1096" s="2" t="s">
        <v>385</v>
      </c>
      <c r="D1096" s="2" t="s">
        <v>73</v>
      </c>
      <c r="E1096" s="2"/>
      <c r="F1096" s="2">
        <v>562</v>
      </c>
      <c r="G1096" s="2" t="s">
        <v>4157</v>
      </c>
      <c r="H1096" s="2">
        <v>42</v>
      </c>
      <c r="I1096" s="2" t="s">
        <v>1096</v>
      </c>
      <c r="J1096" s="2">
        <v>486</v>
      </c>
      <c r="K1096" s="2" t="s">
        <v>4158</v>
      </c>
      <c r="L1096" s="2" t="s">
        <v>4159</v>
      </c>
      <c r="M1096" s="3">
        <v>40257</v>
      </c>
      <c r="N1096" s="2" t="s">
        <v>4181</v>
      </c>
      <c r="O1096" s="2" t="s">
        <v>4182</v>
      </c>
      <c r="P1096" s="2" t="s">
        <v>107</v>
      </c>
      <c r="Q1096" s="2" t="str">
        <f>"N/C"</f>
        <v>N/C</v>
      </c>
      <c r="R1096" s="2" t="s">
        <v>82</v>
      </c>
      <c r="S1096" s="2" t="s">
        <v>82</v>
      </c>
      <c r="T1096" s="2">
        <v>1</v>
      </c>
      <c r="U1096" s="2" t="s">
        <v>79</v>
      </c>
      <c r="V1096" s="2">
        <v>1</v>
      </c>
      <c r="W1096" s="2" t="s">
        <v>80</v>
      </c>
      <c r="X1096" s="2">
        <v>5</v>
      </c>
      <c r="Y1096" s="2" t="s">
        <v>82</v>
      </c>
      <c r="Z1096" s="2">
        <v>1</v>
      </c>
      <c r="AA1096" s="2" t="s">
        <v>82</v>
      </c>
      <c r="AB1096" s="2">
        <v>9</v>
      </c>
      <c r="AC1096" s="2" t="s">
        <v>124</v>
      </c>
      <c r="AD1096" s="2"/>
      <c r="AE1096" s="2"/>
      <c r="AF1096" s="2"/>
      <c r="AG1096" s="2"/>
      <c r="AH1096" s="2">
        <v>2</v>
      </c>
      <c r="AI1096" s="2" t="s">
        <v>84</v>
      </c>
      <c r="AJ1096" s="2">
        <v>12</v>
      </c>
      <c r="AK1096" s="2" t="s">
        <v>85</v>
      </c>
      <c r="AL1096" s="2">
        <v>18</v>
      </c>
      <c r="AM1096" s="2" t="s">
        <v>82</v>
      </c>
      <c r="AN1096" s="2" t="s">
        <v>194</v>
      </c>
      <c r="AO1096" s="2" t="s">
        <v>4183</v>
      </c>
      <c r="AP1096" s="2">
        <v>11</v>
      </c>
      <c r="AQ1096" s="2" t="s">
        <v>82</v>
      </c>
      <c r="AR1096" s="2" t="s">
        <v>82</v>
      </c>
      <c r="AS1096" s="2" t="s">
        <v>82</v>
      </c>
      <c r="AT1096" s="2" t="s">
        <v>4184</v>
      </c>
      <c r="AU1096" s="2">
        <v>1</v>
      </c>
      <c r="AV1096" s="2"/>
      <c r="AW1096" s="2"/>
      <c r="AX1096" s="2"/>
      <c r="AY1096" s="2">
        <v>1</v>
      </c>
      <c r="AZ1096" s="2" t="s">
        <v>107</v>
      </c>
      <c r="BA1096" s="2">
        <v>1</v>
      </c>
      <c r="BB1096" s="2" t="s">
        <v>107</v>
      </c>
      <c r="BC1096" s="2">
        <v>1</v>
      </c>
      <c r="BD1096" s="2" t="s">
        <v>107</v>
      </c>
      <c r="BE1096" s="2">
        <v>1</v>
      </c>
      <c r="BF1096" s="2" t="s">
        <v>107</v>
      </c>
      <c r="BG1096" s="2" t="s">
        <v>4185</v>
      </c>
      <c r="BH1096" s="4">
        <v>0.39583333333333331</v>
      </c>
      <c r="BI1096" s="4">
        <v>0.29166666666666669</v>
      </c>
      <c r="BJ1096" s="2">
        <v>242</v>
      </c>
      <c r="BK1096" s="2" t="s">
        <v>107</v>
      </c>
      <c r="BL1096" s="2" t="s">
        <v>1040</v>
      </c>
      <c r="BM1096" s="2">
        <v>242</v>
      </c>
      <c r="BN1096" s="2" t="s">
        <v>107</v>
      </c>
      <c r="BO1096" s="2" t="s">
        <v>82</v>
      </c>
      <c r="BP1096" s="2">
        <v>242</v>
      </c>
      <c r="BQ1096" s="2" t="s">
        <v>107</v>
      </c>
      <c r="BR1096" s="2" t="s">
        <v>241</v>
      </c>
      <c r="BS1096" s="3">
        <v>40257</v>
      </c>
      <c r="BT1096" s="4">
        <v>0.33815972222222218</v>
      </c>
    </row>
    <row r="1097" spans="1:72" x14ac:dyDescent="0.25">
      <c r="A1097" s="2">
        <v>1694</v>
      </c>
      <c r="B1097" s="2">
        <v>2010</v>
      </c>
      <c r="C1097" s="2" t="s">
        <v>702</v>
      </c>
      <c r="D1097" s="2" t="s">
        <v>73</v>
      </c>
      <c r="E1097" s="2"/>
      <c r="F1097" s="2">
        <v>390</v>
      </c>
      <c r="G1097" s="2" t="s">
        <v>475</v>
      </c>
      <c r="H1097" s="2">
        <v>5</v>
      </c>
      <c r="I1097" s="2" t="s">
        <v>634</v>
      </c>
      <c r="J1097" s="2">
        <v>314</v>
      </c>
      <c r="K1097" s="2" t="s">
        <v>477</v>
      </c>
      <c r="L1097" s="2" t="s">
        <v>478</v>
      </c>
      <c r="M1097" s="3">
        <v>40257</v>
      </c>
      <c r="N1097" s="2" t="s">
        <v>3103</v>
      </c>
      <c r="O1097" s="2" t="s">
        <v>480</v>
      </c>
      <c r="P1097" s="2"/>
      <c r="Q1097" s="2" t="str">
        <f>"149-E/10"</f>
        <v>149-E/10</v>
      </c>
      <c r="R1097" s="2" t="s">
        <v>480</v>
      </c>
      <c r="S1097" s="2" t="s">
        <v>480</v>
      </c>
      <c r="T1097" s="2">
        <v>1</v>
      </c>
      <c r="U1097" s="2" t="s">
        <v>79</v>
      </c>
      <c r="V1097" s="2">
        <v>1</v>
      </c>
      <c r="W1097" s="2" t="s">
        <v>80</v>
      </c>
      <c r="X1097" s="2">
        <v>1</v>
      </c>
      <c r="Y1097" s="2" t="s">
        <v>81</v>
      </c>
      <c r="Z1097" s="2">
        <v>1</v>
      </c>
      <c r="AA1097" s="2" t="s">
        <v>82</v>
      </c>
      <c r="AB1097" s="2">
        <v>9</v>
      </c>
      <c r="AC1097" s="2" t="s">
        <v>124</v>
      </c>
      <c r="AD1097" s="3">
        <v>40256</v>
      </c>
      <c r="AE1097" s="4">
        <v>0.9375</v>
      </c>
      <c r="AF1097" s="2"/>
      <c r="AG1097" s="2"/>
      <c r="AH1097" s="2">
        <v>2</v>
      </c>
      <c r="AI1097" s="2" t="s">
        <v>84</v>
      </c>
      <c r="AJ1097" s="2">
        <v>9</v>
      </c>
      <c r="AK1097" s="2" t="s">
        <v>103</v>
      </c>
      <c r="AL1097" s="2">
        <v>15</v>
      </c>
      <c r="AM1097" s="2" t="s">
        <v>104</v>
      </c>
      <c r="AN1097" s="2" t="s">
        <v>590</v>
      </c>
      <c r="AO1097" s="2" t="s">
        <v>4186</v>
      </c>
      <c r="AP1097" s="2">
        <v>11</v>
      </c>
      <c r="AQ1097" s="2" t="s">
        <v>82</v>
      </c>
      <c r="AR1097" s="2"/>
      <c r="AS1097" s="2"/>
      <c r="AT1097" s="2" t="s">
        <v>4187</v>
      </c>
      <c r="AU1097" s="2"/>
      <c r="AV1097" s="2"/>
      <c r="AW1097" s="2"/>
      <c r="AX1097" s="2"/>
      <c r="AY1097" s="2">
        <v>41</v>
      </c>
      <c r="AZ1097" s="2" t="s">
        <v>82</v>
      </c>
      <c r="BA1097" s="2">
        <v>41</v>
      </c>
      <c r="BB1097" s="2" t="s">
        <v>82</v>
      </c>
      <c r="BC1097" s="2">
        <v>41</v>
      </c>
      <c r="BD1097" s="2" t="s">
        <v>82</v>
      </c>
      <c r="BE1097" s="2">
        <v>41</v>
      </c>
      <c r="BF1097" s="2" t="s">
        <v>82</v>
      </c>
      <c r="BG1097" s="2"/>
      <c r="BH1097" s="2"/>
      <c r="BI1097" s="2"/>
      <c r="BJ1097" s="2">
        <v>241</v>
      </c>
      <c r="BK1097" s="2" t="s">
        <v>82</v>
      </c>
      <c r="BL1097" s="2"/>
      <c r="BM1097" s="2">
        <v>241</v>
      </c>
      <c r="BN1097" s="2" t="s">
        <v>82</v>
      </c>
      <c r="BO1097" s="2"/>
      <c r="BP1097" s="2">
        <v>241</v>
      </c>
      <c r="BQ1097" s="2" t="s">
        <v>82</v>
      </c>
      <c r="BR1097" s="2"/>
      <c r="BS1097" s="3">
        <v>40257</v>
      </c>
      <c r="BT1097" s="4">
        <v>0.36248842592592595</v>
      </c>
    </row>
    <row r="1098" spans="1:72" x14ac:dyDescent="0.25">
      <c r="A1098" s="2">
        <v>1695</v>
      </c>
      <c r="B1098" s="2">
        <v>2010</v>
      </c>
      <c r="C1098" s="2" t="s">
        <v>72</v>
      </c>
      <c r="D1098" s="2" t="s">
        <v>73</v>
      </c>
      <c r="E1098" s="2"/>
      <c r="F1098" s="2">
        <v>536</v>
      </c>
      <c r="G1098" s="2" t="s">
        <v>3746</v>
      </c>
      <c r="H1098" s="2">
        <v>68</v>
      </c>
      <c r="I1098" s="2" t="s">
        <v>3747</v>
      </c>
      <c r="J1098" s="2">
        <v>507</v>
      </c>
      <c r="K1098" s="2" t="s">
        <v>4188</v>
      </c>
      <c r="L1098" s="2" t="s">
        <v>4189</v>
      </c>
      <c r="M1098" s="3">
        <v>40257</v>
      </c>
      <c r="N1098" s="2" t="s">
        <v>4190</v>
      </c>
      <c r="O1098" s="2" t="s">
        <v>107</v>
      </c>
      <c r="P1098" s="2" t="s">
        <v>107</v>
      </c>
      <c r="Q1098" s="2" t="str">
        <f>"112-A/10"</f>
        <v>112-A/10</v>
      </c>
      <c r="R1098" s="2" t="s">
        <v>107</v>
      </c>
      <c r="S1098" s="2" t="s">
        <v>156</v>
      </c>
      <c r="T1098" s="2">
        <v>1</v>
      </c>
      <c r="U1098" s="2" t="s">
        <v>79</v>
      </c>
      <c r="V1098" s="2">
        <v>1</v>
      </c>
      <c r="W1098" s="2" t="s">
        <v>80</v>
      </c>
      <c r="X1098" s="2">
        <v>1</v>
      </c>
      <c r="Y1098" s="2" t="s">
        <v>81</v>
      </c>
      <c r="Z1098" s="2">
        <v>1</v>
      </c>
      <c r="AA1098" s="2" t="s">
        <v>82</v>
      </c>
      <c r="AB1098" s="2">
        <v>6</v>
      </c>
      <c r="AC1098" s="2" t="s">
        <v>83</v>
      </c>
      <c r="AD1098" s="3">
        <v>40254</v>
      </c>
      <c r="AE1098" s="4">
        <v>0.625</v>
      </c>
      <c r="AF1098" s="3">
        <v>40256</v>
      </c>
      <c r="AG1098" s="4">
        <v>0.88541666666666663</v>
      </c>
      <c r="AH1098" s="2">
        <v>2</v>
      </c>
      <c r="AI1098" s="2" t="s">
        <v>84</v>
      </c>
      <c r="AJ1098" s="2">
        <v>12</v>
      </c>
      <c r="AK1098" s="2" t="s">
        <v>85</v>
      </c>
      <c r="AL1098" s="2">
        <v>10</v>
      </c>
      <c r="AM1098" s="2" t="s">
        <v>200</v>
      </c>
      <c r="AN1098" s="2" t="s">
        <v>82</v>
      </c>
      <c r="AO1098" s="2" t="s">
        <v>82</v>
      </c>
      <c r="AP1098" s="2">
        <v>11</v>
      </c>
      <c r="AQ1098" s="2" t="s">
        <v>82</v>
      </c>
      <c r="AR1098" s="2"/>
      <c r="AS1098" s="2"/>
      <c r="AT1098" s="2" t="s">
        <v>4191</v>
      </c>
      <c r="AU1098" s="2"/>
      <c r="AV1098" s="2"/>
      <c r="AW1098" s="2"/>
      <c r="AX1098" s="2"/>
      <c r="AY1098" s="2">
        <v>41</v>
      </c>
      <c r="AZ1098" s="2" t="s">
        <v>82</v>
      </c>
      <c r="BA1098" s="2">
        <v>41</v>
      </c>
      <c r="BB1098" s="2" t="s">
        <v>82</v>
      </c>
      <c r="BC1098" s="2">
        <v>41</v>
      </c>
      <c r="BD1098" s="2" t="s">
        <v>82</v>
      </c>
      <c r="BE1098" s="2">
        <v>47</v>
      </c>
      <c r="BF1098" s="2" t="s">
        <v>167</v>
      </c>
      <c r="BG1098" s="2" t="s">
        <v>4192</v>
      </c>
      <c r="BH1098" s="4">
        <v>0.60416666666666663</v>
      </c>
      <c r="BI1098" s="4">
        <v>0.51388888888888895</v>
      </c>
      <c r="BJ1098" s="2">
        <v>13</v>
      </c>
      <c r="BK1098" s="2" t="s">
        <v>91</v>
      </c>
      <c r="BL1098" s="2" t="s">
        <v>353</v>
      </c>
      <c r="BM1098" s="2">
        <v>241</v>
      </c>
      <c r="BN1098" s="2" t="s">
        <v>82</v>
      </c>
      <c r="BO1098" s="2" t="s">
        <v>82</v>
      </c>
      <c r="BP1098" s="2">
        <v>13</v>
      </c>
      <c r="BQ1098" s="2" t="s">
        <v>91</v>
      </c>
      <c r="BR1098" s="2" t="s">
        <v>3378</v>
      </c>
      <c r="BS1098" s="3">
        <v>40257</v>
      </c>
      <c r="BT1098" s="4">
        <v>0.40982638888888889</v>
      </c>
    </row>
    <row r="1099" spans="1:72" x14ac:dyDescent="0.25">
      <c r="A1099" s="2">
        <v>1696</v>
      </c>
      <c r="B1099" s="2">
        <v>2010</v>
      </c>
      <c r="C1099" s="2" t="s">
        <v>819</v>
      </c>
      <c r="D1099" s="2" t="s">
        <v>122</v>
      </c>
      <c r="E1099" s="2" t="s">
        <v>4193</v>
      </c>
      <c r="F1099" s="2">
        <v>451</v>
      </c>
      <c r="G1099" s="2" t="s">
        <v>879</v>
      </c>
      <c r="H1099" s="2">
        <v>31</v>
      </c>
      <c r="I1099" s="2" t="s">
        <v>880</v>
      </c>
      <c r="J1099" s="2">
        <v>326</v>
      </c>
      <c r="K1099" s="2" t="s">
        <v>881</v>
      </c>
      <c r="L1099" s="2" t="s">
        <v>882</v>
      </c>
      <c r="M1099" s="3">
        <v>40257</v>
      </c>
      <c r="N1099" s="2" t="s">
        <v>1072</v>
      </c>
      <c r="O1099" s="2" t="s">
        <v>4194</v>
      </c>
      <c r="P1099" s="2" t="s">
        <v>3695</v>
      </c>
      <c r="Q1099" s="2" t="str">
        <f>"033/10"</f>
        <v>033/10</v>
      </c>
      <c r="R1099" s="2" t="s">
        <v>822</v>
      </c>
      <c r="S1099" s="2" t="s">
        <v>3717</v>
      </c>
      <c r="T1099" s="2">
        <v>1</v>
      </c>
      <c r="U1099" s="2" t="s">
        <v>79</v>
      </c>
      <c r="V1099" s="2">
        <v>1</v>
      </c>
      <c r="W1099" s="2" t="s">
        <v>80</v>
      </c>
      <c r="X1099" s="2">
        <v>1</v>
      </c>
      <c r="Y1099" s="2" t="s">
        <v>81</v>
      </c>
      <c r="Z1099" s="2">
        <v>10</v>
      </c>
      <c r="AA1099" s="2" t="s">
        <v>236</v>
      </c>
      <c r="AB1099" s="2">
        <v>9</v>
      </c>
      <c r="AC1099" s="2" t="s">
        <v>124</v>
      </c>
      <c r="AD1099" s="3">
        <v>40257</v>
      </c>
      <c r="AE1099" s="4">
        <v>0.41666666666666669</v>
      </c>
      <c r="AF1099" s="2"/>
      <c r="AG1099" s="2"/>
      <c r="AH1099" s="2">
        <v>4</v>
      </c>
      <c r="AI1099" s="2" t="s">
        <v>125</v>
      </c>
      <c r="AJ1099" s="2">
        <v>29</v>
      </c>
      <c r="AK1099" s="2" t="s">
        <v>227</v>
      </c>
      <c r="AL1099" s="2">
        <v>10</v>
      </c>
      <c r="AM1099" s="2" t="s">
        <v>200</v>
      </c>
      <c r="AN1099" s="2" t="s">
        <v>3040</v>
      </c>
      <c r="AO1099" s="2" t="s">
        <v>3176</v>
      </c>
      <c r="AP1099" s="2">
        <v>12</v>
      </c>
      <c r="AQ1099" s="2" t="s">
        <v>322</v>
      </c>
      <c r="AR1099" s="2" t="s">
        <v>824</v>
      </c>
      <c r="AS1099" s="2" t="s">
        <v>825</v>
      </c>
      <c r="AT1099" s="2" t="s">
        <v>4195</v>
      </c>
      <c r="AU1099" s="2"/>
      <c r="AV1099" s="2"/>
      <c r="AW1099" s="2"/>
      <c r="AX1099" s="2"/>
      <c r="AY1099" s="2">
        <v>41</v>
      </c>
      <c r="AZ1099" s="2" t="s">
        <v>82</v>
      </c>
      <c r="BA1099" s="2">
        <v>41</v>
      </c>
      <c r="BB1099" s="2" t="s">
        <v>82</v>
      </c>
      <c r="BC1099" s="2">
        <v>51</v>
      </c>
      <c r="BD1099" s="2" t="s">
        <v>827</v>
      </c>
      <c r="BE1099" s="2">
        <v>47</v>
      </c>
      <c r="BF1099" s="2" t="s">
        <v>167</v>
      </c>
      <c r="BG1099" s="2">
        <v>2459</v>
      </c>
      <c r="BH1099" s="4">
        <v>0.88888888888888884</v>
      </c>
      <c r="BI1099" s="4">
        <v>0.92361111111111116</v>
      </c>
      <c r="BJ1099" s="2">
        <v>13</v>
      </c>
      <c r="BK1099" s="2" t="s">
        <v>91</v>
      </c>
      <c r="BL1099" s="2" t="s">
        <v>828</v>
      </c>
      <c r="BM1099" s="2">
        <v>241</v>
      </c>
      <c r="BN1099" s="2" t="s">
        <v>82</v>
      </c>
      <c r="BO1099" s="2" t="s">
        <v>82</v>
      </c>
      <c r="BP1099" s="2">
        <v>13</v>
      </c>
      <c r="BQ1099" s="2" t="s">
        <v>91</v>
      </c>
      <c r="BR1099" s="2" t="s">
        <v>185</v>
      </c>
      <c r="BS1099" s="3">
        <v>40257</v>
      </c>
      <c r="BT1099" s="4">
        <v>0.47530092592592593</v>
      </c>
    </row>
    <row r="1100" spans="1:72" x14ac:dyDescent="0.25">
      <c r="A1100" s="2">
        <v>1697</v>
      </c>
      <c r="B1100" s="2">
        <v>2010</v>
      </c>
      <c r="C1100" s="2" t="s">
        <v>72</v>
      </c>
      <c r="D1100" s="2" t="s">
        <v>73</v>
      </c>
      <c r="E1100" s="2"/>
      <c r="F1100" s="2">
        <v>3</v>
      </c>
      <c r="G1100" s="2" t="s">
        <v>1041</v>
      </c>
      <c r="H1100" s="2">
        <v>1</v>
      </c>
      <c r="I1100" s="2" t="s">
        <v>82</v>
      </c>
      <c r="J1100" s="2">
        <v>368</v>
      </c>
      <c r="K1100" s="2" t="s">
        <v>1042</v>
      </c>
      <c r="L1100" s="2" t="s">
        <v>1043</v>
      </c>
      <c r="M1100" s="3">
        <v>40257</v>
      </c>
      <c r="N1100" s="2" t="s">
        <v>107</v>
      </c>
      <c r="O1100" s="2"/>
      <c r="P1100" s="2" t="s">
        <v>107</v>
      </c>
      <c r="Q1100" s="2" t="str">
        <f>"150-E/10"</f>
        <v>150-E/10</v>
      </c>
      <c r="R1100" s="2" t="s">
        <v>480</v>
      </c>
      <c r="S1100" s="2" t="s">
        <v>480</v>
      </c>
      <c r="T1100" s="2">
        <v>1</v>
      </c>
      <c r="U1100" s="2" t="s">
        <v>79</v>
      </c>
      <c r="V1100" s="2">
        <v>1</v>
      </c>
      <c r="W1100" s="2" t="s">
        <v>80</v>
      </c>
      <c r="X1100" s="2">
        <v>1</v>
      </c>
      <c r="Y1100" s="2" t="s">
        <v>81</v>
      </c>
      <c r="Z1100" s="2">
        <v>1</v>
      </c>
      <c r="AA1100" s="2" t="s">
        <v>82</v>
      </c>
      <c r="AB1100" s="2">
        <v>6</v>
      </c>
      <c r="AC1100" s="2" t="s">
        <v>83</v>
      </c>
      <c r="AD1100" s="3">
        <v>40252</v>
      </c>
      <c r="AE1100" s="4">
        <v>4.1666666666666664E-2</v>
      </c>
      <c r="AF1100" s="3">
        <v>40257</v>
      </c>
      <c r="AG1100" s="4">
        <v>0.3888888888888889</v>
      </c>
      <c r="AH1100" s="2">
        <v>2</v>
      </c>
      <c r="AI1100" s="2" t="s">
        <v>84</v>
      </c>
      <c r="AJ1100" s="2">
        <v>9</v>
      </c>
      <c r="AK1100" s="2" t="s">
        <v>103</v>
      </c>
      <c r="AL1100" s="2">
        <v>12</v>
      </c>
      <c r="AM1100" s="2" t="s">
        <v>86</v>
      </c>
      <c r="AN1100" s="2" t="s">
        <v>4196</v>
      </c>
      <c r="AO1100" s="2" t="s">
        <v>82</v>
      </c>
      <c r="AP1100" s="2">
        <v>11</v>
      </c>
      <c r="AQ1100" s="2" t="s">
        <v>82</v>
      </c>
      <c r="AR1100" s="2"/>
      <c r="AS1100" s="2"/>
      <c r="AT1100" s="2" t="s">
        <v>4197</v>
      </c>
      <c r="AU1100" s="2"/>
      <c r="AV1100" s="2"/>
      <c r="AW1100" s="2"/>
      <c r="AX1100" s="2"/>
      <c r="AY1100" s="2">
        <v>41</v>
      </c>
      <c r="AZ1100" s="2" t="s">
        <v>82</v>
      </c>
      <c r="BA1100" s="2">
        <v>41</v>
      </c>
      <c r="BB1100" s="2" t="s">
        <v>82</v>
      </c>
      <c r="BC1100" s="2">
        <v>41</v>
      </c>
      <c r="BD1100" s="2" t="s">
        <v>82</v>
      </c>
      <c r="BE1100" s="2">
        <v>39</v>
      </c>
      <c r="BF1100" s="2" t="s">
        <v>440</v>
      </c>
      <c r="BG1100" s="2" t="s">
        <v>4198</v>
      </c>
      <c r="BH1100" s="4">
        <v>2.0833333333333332E-2</v>
      </c>
      <c r="BI1100" s="2"/>
      <c r="BJ1100" s="2">
        <v>33</v>
      </c>
      <c r="BK1100" s="2" t="s">
        <v>361</v>
      </c>
      <c r="BL1100" s="2" t="s">
        <v>1739</v>
      </c>
      <c r="BM1100" s="2">
        <v>241</v>
      </c>
      <c r="BN1100" s="2" t="s">
        <v>82</v>
      </c>
      <c r="BO1100" s="2"/>
      <c r="BP1100" s="2">
        <v>13</v>
      </c>
      <c r="BQ1100" s="2" t="s">
        <v>91</v>
      </c>
      <c r="BR1100" s="2" t="s">
        <v>4199</v>
      </c>
      <c r="BS1100" s="3">
        <v>40257</v>
      </c>
      <c r="BT1100" s="4">
        <v>0.57550925925925933</v>
      </c>
    </row>
    <row r="1101" spans="1:72" x14ac:dyDescent="0.25">
      <c r="A1101" s="2">
        <v>1698</v>
      </c>
      <c r="B1101" s="2">
        <v>2010</v>
      </c>
      <c r="C1101" s="2" t="s">
        <v>385</v>
      </c>
      <c r="D1101" s="2" t="s">
        <v>122</v>
      </c>
      <c r="E1101" s="2"/>
      <c r="F1101" s="2">
        <v>1</v>
      </c>
      <c r="G1101" s="2" t="s">
        <v>82</v>
      </c>
      <c r="H1101" s="2">
        <v>1</v>
      </c>
      <c r="I1101" s="2" t="s">
        <v>82</v>
      </c>
      <c r="J1101" s="2">
        <v>486</v>
      </c>
      <c r="K1101" s="2" t="s">
        <v>4158</v>
      </c>
      <c r="L1101" s="2" t="s">
        <v>4159</v>
      </c>
      <c r="M1101" s="3">
        <v>40257</v>
      </c>
      <c r="N1101" s="2" t="s">
        <v>82</v>
      </c>
      <c r="O1101" s="2" t="s">
        <v>4161</v>
      </c>
      <c r="P1101" s="2" t="s">
        <v>4200</v>
      </c>
      <c r="Q1101" s="2" t="str">
        <f>"S/D"</f>
        <v>S/D</v>
      </c>
      <c r="R1101" s="2" t="s">
        <v>107</v>
      </c>
      <c r="S1101" s="2" t="s">
        <v>107</v>
      </c>
      <c r="T1101" s="2">
        <v>1</v>
      </c>
      <c r="U1101" s="2" t="s">
        <v>79</v>
      </c>
      <c r="V1101" s="2">
        <v>1</v>
      </c>
      <c r="W1101" s="2" t="s">
        <v>80</v>
      </c>
      <c r="X1101" s="2">
        <v>1</v>
      </c>
      <c r="Y1101" s="2" t="s">
        <v>81</v>
      </c>
      <c r="Z1101" s="2">
        <v>1</v>
      </c>
      <c r="AA1101" s="2" t="s">
        <v>82</v>
      </c>
      <c r="AB1101" s="2">
        <v>9</v>
      </c>
      <c r="AC1101" s="2" t="s">
        <v>124</v>
      </c>
      <c r="AD1101" s="3">
        <v>40257</v>
      </c>
      <c r="AE1101" s="4">
        <v>0.375</v>
      </c>
      <c r="AF1101" s="2"/>
      <c r="AG1101" s="2"/>
      <c r="AH1101" s="2">
        <v>6</v>
      </c>
      <c r="AI1101" s="2" t="s">
        <v>197</v>
      </c>
      <c r="AJ1101" s="2">
        <v>51</v>
      </c>
      <c r="AK1101" s="2" t="s">
        <v>238</v>
      </c>
      <c r="AL1101" s="2">
        <v>18</v>
      </c>
      <c r="AM1101" s="2" t="s">
        <v>82</v>
      </c>
      <c r="AN1101" s="2" t="s">
        <v>4201</v>
      </c>
      <c r="AO1101" s="2" t="s">
        <v>4201</v>
      </c>
      <c r="AP1101" s="2">
        <v>11</v>
      </c>
      <c r="AQ1101" s="2" t="s">
        <v>82</v>
      </c>
      <c r="AR1101" s="2" t="s">
        <v>82</v>
      </c>
      <c r="AS1101" s="2" t="s">
        <v>82</v>
      </c>
      <c r="AT1101" s="2" t="s">
        <v>4202</v>
      </c>
      <c r="AU1101" s="2"/>
      <c r="AV1101" s="2"/>
      <c r="AW1101" s="2"/>
      <c r="AX1101" s="2"/>
      <c r="AY1101" s="2">
        <v>41</v>
      </c>
      <c r="AZ1101" s="2" t="s">
        <v>82</v>
      </c>
      <c r="BA1101" s="2">
        <v>41</v>
      </c>
      <c r="BB1101" s="2" t="s">
        <v>82</v>
      </c>
      <c r="BC1101" s="2">
        <v>41</v>
      </c>
      <c r="BD1101" s="2" t="s">
        <v>82</v>
      </c>
      <c r="BE1101" s="2">
        <v>13</v>
      </c>
      <c r="BF1101" s="2" t="s">
        <v>108</v>
      </c>
      <c r="BG1101" s="2">
        <v>2652</v>
      </c>
      <c r="BH1101" s="4">
        <v>0.375</v>
      </c>
      <c r="BI1101" s="4">
        <v>0.31944444444444448</v>
      </c>
      <c r="BJ1101" s="2">
        <v>13</v>
      </c>
      <c r="BK1101" s="2" t="s">
        <v>91</v>
      </c>
      <c r="BL1101" s="2" t="s">
        <v>170</v>
      </c>
      <c r="BM1101" s="2">
        <v>13</v>
      </c>
      <c r="BN1101" s="2" t="s">
        <v>91</v>
      </c>
      <c r="BO1101" s="2" t="s">
        <v>170</v>
      </c>
      <c r="BP1101" s="2">
        <v>13</v>
      </c>
      <c r="BQ1101" s="2" t="s">
        <v>91</v>
      </c>
      <c r="BR1101" s="2" t="s">
        <v>241</v>
      </c>
      <c r="BS1101" s="3">
        <v>40257</v>
      </c>
      <c r="BT1101" s="4">
        <v>0.61881944444444448</v>
      </c>
    </row>
    <row r="1102" spans="1:72" x14ac:dyDescent="0.25">
      <c r="A1102" s="2">
        <v>1699</v>
      </c>
      <c r="B1102" s="2">
        <v>2010</v>
      </c>
      <c r="C1102" s="2" t="s">
        <v>377</v>
      </c>
      <c r="D1102" s="2" t="s">
        <v>73</v>
      </c>
      <c r="E1102" s="2"/>
      <c r="F1102" s="2">
        <v>426</v>
      </c>
      <c r="G1102" s="2" t="s">
        <v>378</v>
      </c>
      <c r="H1102" s="2">
        <v>1</v>
      </c>
      <c r="I1102" s="2" t="s">
        <v>82</v>
      </c>
      <c r="J1102" s="2">
        <v>311</v>
      </c>
      <c r="K1102" s="2" t="s">
        <v>379</v>
      </c>
      <c r="L1102" s="2" t="s">
        <v>380</v>
      </c>
      <c r="M1102" s="3">
        <v>40257</v>
      </c>
      <c r="N1102" s="2" t="s">
        <v>107</v>
      </c>
      <c r="O1102" s="2" t="s">
        <v>107</v>
      </c>
      <c r="P1102" s="2" t="s">
        <v>107</v>
      </c>
      <c r="Q1102" s="2" t="str">
        <f>"027-E/10"</f>
        <v>027-E/10</v>
      </c>
      <c r="R1102" s="2" t="s">
        <v>107</v>
      </c>
      <c r="S1102" s="2" t="s">
        <v>1924</v>
      </c>
      <c r="T1102" s="2">
        <v>1</v>
      </c>
      <c r="U1102" s="2" t="s">
        <v>79</v>
      </c>
      <c r="V1102" s="2">
        <v>1</v>
      </c>
      <c r="W1102" s="2" t="s">
        <v>80</v>
      </c>
      <c r="X1102" s="2">
        <v>1</v>
      </c>
      <c r="Y1102" s="2" t="s">
        <v>81</v>
      </c>
      <c r="Z1102" s="2">
        <v>1</v>
      </c>
      <c r="AA1102" s="2" t="s">
        <v>82</v>
      </c>
      <c r="AB1102" s="2">
        <v>9</v>
      </c>
      <c r="AC1102" s="2" t="s">
        <v>124</v>
      </c>
      <c r="AD1102" s="3">
        <v>40257</v>
      </c>
      <c r="AE1102" s="4">
        <v>0.61805555555555558</v>
      </c>
      <c r="AF1102" s="3">
        <v>40257</v>
      </c>
      <c r="AG1102" s="4">
        <v>0.625</v>
      </c>
      <c r="AH1102" s="2">
        <v>2</v>
      </c>
      <c r="AI1102" s="2" t="s">
        <v>84</v>
      </c>
      <c r="AJ1102" s="2">
        <v>9</v>
      </c>
      <c r="AK1102" s="2" t="s">
        <v>103</v>
      </c>
      <c r="AL1102" s="2">
        <v>12</v>
      </c>
      <c r="AM1102" s="2" t="s">
        <v>86</v>
      </c>
      <c r="AN1102" s="2" t="s">
        <v>1936</v>
      </c>
      <c r="AO1102" s="2" t="s">
        <v>82</v>
      </c>
      <c r="AP1102" s="2">
        <v>11</v>
      </c>
      <c r="AQ1102" s="2" t="s">
        <v>82</v>
      </c>
      <c r="AR1102" s="2"/>
      <c r="AS1102" s="2"/>
      <c r="AT1102" s="2" t="s">
        <v>4203</v>
      </c>
      <c r="AU1102" s="2"/>
      <c r="AV1102" s="2"/>
      <c r="AW1102" s="2"/>
      <c r="AX1102" s="2"/>
      <c r="AY1102" s="2">
        <v>41</v>
      </c>
      <c r="AZ1102" s="2" t="s">
        <v>82</v>
      </c>
      <c r="BA1102" s="2">
        <v>41</v>
      </c>
      <c r="BB1102" s="2" t="s">
        <v>82</v>
      </c>
      <c r="BC1102" s="2">
        <v>41</v>
      </c>
      <c r="BD1102" s="2" t="s">
        <v>82</v>
      </c>
      <c r="BE1102" s="2">
        <v>41</v>
      </c>
      <c r="BF1102" s="2" t="s">
        <v>82</v>
      </c>
      <c r="BG1102" s="2"/>
      <c r="BH1102" s="2"/>
      <c r="BI1102" s="2"/>
      <c r="BJ1102" s="2">
        <v>241</v>
      </c>
      <c r="BK1102" s="2" t="s">
        <v>82</v>
      </c>
      <c r="BL1102" s="2"/>
      <c r="BM1102" s="2">
        <v>241</v>
      </c>
      <c r="BN1102" s="2" t="s">
        <v>82</v>
      </c>
      <c r="BO1102" s="2"/>
      <c r="BP1102" s="2">
        <v>241</v>
      </c>
      <c r="BQ1102" s="2" t="s">
        <v>82</v>
      </c>
      <c r="BR1102" s="2"/>
      <c r="BS1102" s="3">
        <v>40257</v>
      </c>
      <c r="BT1102" s="4">
        <v>0.70024305555555555</v>
      </c>
    </row>
    <row r="1103" spans="1:72" x14ac:dyDescent="0.25">
      <c r="A1103" s="2">
        <v>1700</v>
      </c>
      <c r="B1103" s="2">
        <v>2010</v>
      </c>
      <c r="C1103" s="2" t="s">
        <v>377</v>
      </c>
      <c r="D1103" s="2" t="s">
        <v>73</v>
      </c>
      <c r="E1103" s="2"/>
      <c r="F1103" s="2">
        <v>426</v>
      </c>
      <c r="G1103" s="2" t="s">
        <v>378</v>
      </c>
      <c r="H1103" s="2">
        <v>1</v>
      </c>
      <c r="I1103" s="2" t="s">
        <v>82</v>
      </c>
      <c r="J1103" s="2">
        <v>311</v>
      </c>
      <c r="K1103" s="2" t="s">
        <v>379</v>
      </c>
      <c r="L1103" s="2" t="s">
        <v>380</v>
      </c>
      <c r="M1103" s="3">
        <v>40257</v>
      </c>
      <c r="N1103" s="2" t="s">
        <v>107</v>
      </c>
      <c r="O1103" s="2" t="s">
        <v>107</v>
      </c>
      <c r="P1103" s="2" t="s">
        <v>107</v>
      </c>
      <c r="Q1103" s="2" t="str">
        <f>"024-E/10"</f>
        <v>024-E/10</v>
      </c>
      <c r="R1103" s="2" t="s">
        <v>107</v>
      </c>
      <c r="S1103" s="2" t="s">
        <v>4204</v>
      </c>
      <c r="T1103" s="2">
        <v>1</v>
      </c>
      <c r="U1103" s="2" t="s">
        <v>79</v>
      </c>
      <c r="V1103" s="2">
        <v>1</v>
      </c>
      <c r="W1103" s="2" t="s">
        <v>80</v>
      </c>
      <c r="X1103" s="2">
        <v>1</v>
      </c>
      <c r="Y1103" s="2" t="s">
        <v>81</v>
      </c>
      <c r="Z1103" s="2">
        <v>1</v>
      </c>
      <c r="AA1103" s="2" t="s">
        <v>82</v>
      </c>
      <c r="AB1103" s="2">
        <v>9</v>
      </c>
      <c r="AC1103" s="2" t="s">
        <v>124</v>
      </c>
      <c r="AD1103" s="3">
        <v>40256</v>
      </c>
      <c r="AE1103" s="4">
        <v>0.54166666666666663</v>
      </c>
      <c r="AF1103" s="3">
        <v>40256</v>
      </c>
      <c r="AG1103" s="4">
        <v>0.625</v>
      </c>
      <c r="AH1103" s="2">
        <v>2</v>
      </c>
      <c r="AI1103" s="2" t="s">
        <v>84</v>
      </c>
      <c r="AJ1103" s="2">
        <v>9</v>
      </c>
      <c r="AK1103" s="2" t="s">
        <v>103</v>
      </c>
      <c r="AL1103" s="2">
        <v>21</v>
      </c>
      <c r="AM1103" s="2" t="s">
        <v>1311</v>
      </c>
      <c r="AN1103" s="2" t="s">
        <v>4205</v>
      </c>
      <c r="AO1103" s="2" t="s">
        <v>82</v>
      </c>
      <c r="AP1103" s="2">
        <v>11</v>
      </c>
      <c r="AQ1103" s="2" t="s">
        <v>82</v>
      </c>
      <c r="AR1103" s="2"/>
      <c r="AS1103" s="2"/>
      <c r="AT1103" s="2" t="s">
        <v>4206</v>
      </c>
      <c r="AU1103" s="2"/>
      <c r="AV1103" s="2"/>
      <c r="AW1103" s="2"/>
      <c r="AX1103" s="2"/>
      <c r="AY1103" s="2">
        <v>41</v>
      </c>
      <c r="AZ1103" s="2" t="s">
        <v>82</v>
      </c>
      <c r="BA1103" s="2">
        <v>41</v>
      </c>
      <c r="BB1103" s="2" t="s">
        <v>82</v>
      </c>
      <c r="BC1103" s="2">
        <v>41</v>
      </c>
      <c r="BD1103" s="2" t="s">
        <v>82</v>
      </c>
      <c r="BE1103" s="2">
        <v>41</v>
      </c>
      <c r="BF1103" s="2" t="s">
        <v>82</v>
      </c>
      <c r="BG1103" s="2"/>
      <c r="BH1103" s="2"/>
      <c r="BI1103" s="2"/>
      <c r="BJ1103" s="2">
        <v>241</v>
      </c>
      <c r="BK1103" s="2" t="s">
        <v>82</v>
      </c>
      <c r="BL1103" s="2"/>
      <c r="BM1103" s="2">
        <v>241</v>
      </c>
      <c r="BN1103" s="2" t="s">
        <v>82</v>
      </c>
      <c r="BO1103" s="2"/>
      <c r="BP1103" s="2">
        <v>241</v>
      </c>
      <c r="BQ1103" s="2" t="s">
        <v>82</v>
      </c>
      <c r="BR1103" s="2"/>
      <c r="BS1103" s="3">
        <v>40257</v>
      </c>
      <c r="BT1103" s="4">
        <v>0.73973379629629632</v>
      </c>
    </row>
    <row r="1104" spans="1:72" x14ac:dyDescent="0.25">
      <c r="A1104" s="2">
        <v>1701</v>
      </c>
      <c r="B1104" s="2">
        <v>2010</v>
      </c>
      <c r="C1104" s="2" t="s">
        <v>377</v>
      </c>
      <c r="D1104" s="2" t="s">
        <v>73</v>
      </c>
      <c r="E1104" s="2"/>
      <c r="F1104" s="2">
        <v>426</v>
      </c>
      <c r="G1104" s="2" t="s">
        <v>378</v>
      </c>
      <c r="H1104" s="2">
        <v>1</v>
      </c>
      <c r="I1104" s="2" t="s">
        <v>82</v>
      </c>
      <c r="J1104" s="2">
        <v>311</v>
      </c>
      <c r="K1104" s="2" t="s">
        <v>379</v>
      </c>
      <c r="L1104" s="2" t="s">
        <v>380</v>
      </c>
      <c r="M1104" s="3">
        <v>40257</v>
      </c>
      <c r="N1104" s="2" t="s">
        <v>107</v>
      </c>
      <c r="O1104" s="2" t="s">
        <v>107</v>
      </c>
      <c r="P1104" s="2" t="s">
        <v>107</v>
      </c>
      <c r="Q1104" s="2" t="str">
        <f>"025-E/10"</f>
        <v>025-E/10</v>
      </c>
      <c r="R1104" s="2" t="s">
        <v>107</v>
      </c>
      <c r="S1104" s="2" t="s">
        <v>4136</v>
      </c>
      <c r="T1104" s="2">
        <v>1</v>
      </c>
      <c r="U1104" s="2" t="s">
        <v>79</v>
      </c>
      <c r="V1104" s="2">
        <v>1</v>
      </c>
      <c r="W1104" s="2" t="s">
        <v>80</v>
      </c>
      <c r="X1104" s="2">
        <v>1</v>
      </c>
      <c r="Y1104" s="2" t="s">
        <v>81</v>
      </c>
      <c r="Z1104" s="2">
        <v>1</v>
      </c>
      <c r="AA1104" s="2" t="s">
        <v>82</v>
      </c>
      <c r="AB1104" s="2">
        <v>9</v>
      </c>
      <c r="AC1104" s="2" t="s">
        <v>124</v>
      </c>
      <c r="AD1104" s="3">
        <v>40256</v>
      </c>
      <c r="AE1104" s="4">
        <v>0.54513888888888895</v>
      </c>
      <c r="AF1104" s="3">
        <v>40256</v>
      </c>
      <c r="AG1104" s="4">
        <v>0.63541666666666663</v>
      </c>
      <c r="AH1104" s="2">
        <v>2</v>
      </c>
      <c r="AI1104" s="2" t="s">
        <v>84</v>
      </c>
      <c r="AJ1104" s="2">
        <v>9</v>
      </c>
      <c r="AK1104" s="2" t="s">
        <v>103</v>
      </c>
      <c r="AL1104" s="2">
        <v>16</v>
      </c>
      <c r="AM1104" s="2" t="s">
        <v>392</v>
      </c>
      <c r="AN1104" s="2" t="s">
        <v>4207</v>
      </c>
      <c r="AO1104" s="2" t="s">
        <v>82</v>
      </c>
      <c r="AP1104" s="2">
        <v>11</v>
      </c>
      <c r="AQ1104" s="2" t="s">
        <v>82</v>
      </c>
      <c r="AR1104" s="2"/>
      <c r="AS1104" s="2"/>
      <c r="AT1104" s="2" t="s">
        <v>4208</v>
      </c>
      <c r="AU1104" s="2"/>
      <c r="AV1104" s="2"/>
      <c r="AW1104" s="2"/>
      <c r="AX1104" s="2"/>
      <c r="AY1104" s="2">
        <v>41</v>
      </c>
      <c r="AZ1104" s="2" t="s">
        <v>82</v>
      </c>
      <c r="BA1104" s="2">
        <v>41</v>
      </c>
      <c r="BB1104" s="2" t="s">
        <v>82</v>
      </c>
      <c r="BC1104" s="2">
        <v>41</v>
      </c>
      <c r="BD1104" s="2" t="s">
        <v>82</v>
      </c>
      <c r="BE1104" s="2">
        <v>41</v>
      </c>
      <c r="BF1104" s="2" t="s">
        <v>82</v>
      </c>
      <c r="BG1104" s="2"/>
      <c r="BH1104" s="2"/>
      <c r="BI1104" s="2"/>
      <c r="BJ1104" s="2">
        <v>241</v>
      </c>
      <c r="BK1104" s="2" t="s">
        <v>82</v>
      </c>
      <c r="BL1104" s="2"/>
      <c r="BM1104" s="2">
        <v>241</v>
      </c>
      <c r="BN1104" s="2" t="s">
        <v>82</v>
      </c>
      <c r="BO1104" s="2"/>
      <c r="BP1104" s="2">
        <v>241</v>
      </c>
      <c r="BQ1104" s="2" t="s">
        <v>82</v>
      </c>
      <c r="BR1104" s="2"/>
      <c r="BS1104" s="3">
        <v>40257</v>
      </c>
      <c r="BT1104" s="4">
        <v>0.75818287037037047</v>
      </c>
    </row>
    <row r="1105" spans="1:72" x14ac:dyDescent="0.25">
      <c r="A1105" s="2">
        <v>1702</v>
      </c>
      <c r="B1105" s="2">
        <v>2010</v>
      </c>
      <c r="C1105" s="2" t="s">
        <v>659</v>
      </c>
      <c r="D1105" s="2" t="s">
        <v>73</v>
      </c>
      <c r="E1105" s="2"/>
      <c r="F1105" s="2">
        <v>390</v>
      </c>
      <c r="G1105" s="2" t="s">
        <v>475</v>
      </c>
      <c r="H1105" s="2">
        <v>5</v>
      </c>
      <c r="I1105" s="2" t="s">
        <v>634</v>
      </c>
      <c r="J1105" s="2">
        <v>314</v>
      </c>
      <c r="K1105" s="2" t="s">
        <v>477</v>
      </c>
      <c r="L1105" s="2" t="s">
        <v>478</v>
      </c>
      <c r="M1105" s="3">
        <v>40257</v>
      </c>
      <c r="N1105" s="2" t="s">
        <v>3103</v>
      </c>
      <c r="O1105" s="2" t="s">
        <v>107</v>
      </c>
      <c r="P1105" s="2" t="s">
        <v>107</v>
      </c>
      <c r="Q1105" s="2" t="str">
        <f>"151-E/10"</f>
        <v>151-E/10</v>
      </c>
      <c r="R1105" s="2" t="s">
        <v>107</v>
      </c>
      <c r="S1105" s="2" t="s">
        <v>4209</v>
      </c>
      <c r="T1105" s="2">
        <v>1</v>
      </c>
      <c r="U1105" s="2" t="s">
        <v>79</v>
      </c>
      <c r="V1105" s="2">
        <v>1</v>
      </c>
      <c r="W1105" s="2" t="s">
        <v>80</v>
      </c>
      <c r="X1105" s="2">
        <v>1</v>
      </c>
      <c r="Y1105" s="2" t="s">
        <v>81</v>
      </c>
      <c r="Z1105" s="2">
        <v>1</v>
      </c>
      <c r="AA1105" s="2" t="s">
        <v>82</v>
      </c>
      <c r="AB1105" s="2">
        <v>9</v>
      </c>
      <c r="AC1105" s="2" t="s">
        <v>124</v>
      </c>
      <c r="AD1105" s="3">
        <v>40257</v>
      </c>
      <c r="AE1105" s="4">
        <v>0.375</v>
      </c>
      <c r="AF1105" s="3">
        <v>40257</v>
      </c>
      <c r="AG1105" s="4">
        <v>0.39930555555555558</v>
      </c>
      <c r="AH1105" s="2">
        <v>2</v>
      </c>
      <c r="AI1105" s="2" t="s">
        <v>84</v>
      </c>
      <c r="AJ1105" s="2">
        <v>9</v>
      </c>
      <c r="AK1105" s="2" t="s">
        <v>103</v>
      </c>
      <c r="AL1105" s="2">
        <v>10</v>
      </c>
      <c r="AM1105" s="2" t="s">
        <v>200</v>
      </c>
      <c r="AN1105" s="2" t="s">
        <v>4210</v>
      </c>
      <c r="AO1105" s="2" t="s">
        <v>909</v>
      </c>
      <c r="AP1105" s="2">
        <v>11</v>
      </c>
      <c r="AQ1105" s="2" t="s">
        <v>82</v>
      </c>
      <c r="AR1105" s="2"/>
      <c r="AS1105" s="2"/>
      <c r="AT1105" s="2" t="s">
        <v>4211</v>
      </c>
      <c r="AU1105" s="2"/>
      <c r="AV1105" s="2"/>
      <c r="AW1105" s="2"/>
      <c r="AX1105" s="2"/>
      <c r="AY1105" s="2">
        <v>41</v>
      </c>
      <c r="AZ1105" s="2" t="s">
        <v>82</v>
      </c>
      <c r="BA1105" s="2">
        <v>41</v>
      </c>
      <c r="BB1105" s="2" t="s">
        <v>82</v>
      </c>
      <c r="BC1105" s="2">
        <v>41</v>
      </c>
      <c r="BD1105" s="2" t="s">
        <v>82</v>
      </c>
      <c r="BE1105" s="2">
        <v>41</v>
      </c>
      <c r="BF1105" s="2" t="s">
        <v>82</v>
      </c>
      <c r="BG1105" s="2"/>
      <c r="BH1105" s="2"/>
      <c r="BI1105" s="2"/>
      <c r="BJ1105" s="2">
        <v>241</v>
      </c>
      <c r="BK1105" s="2" t="s">
        <v>82</v>
      </c>
      <c r="BL1105" s="2"/>
      <c r="BM1105" s="2">
        <v>241</v>
      </c>
      <c r="BN1105" s="2" t="s">
        <v>82</v>
      </c>
      <c r="BO1105" s="2"/>
      <c r="BP1105" s="2">
        <v>241</v>
      </c>
      <c r="BQ1105" s="2" t="s">
        <v>82</v>
      </c>
      <c r="BR1105" s="2"/>
      <c r="BS1105" s="3">
        <v>40257</v>
      </c>
      <c r="BT1105" s="4">
        <v>0.79268518518518516</v>
      </c>
    </row>
    <row r="1106" spans="1:72" x14ac:dyDescent="0.25">
      <c r="A1106" s="2">
        <v>1703</v>
      </c>
      <c r="B1106" s="2">
        <v>2010</v>
      </c>
      <c r="C1106" s="2" t="s">
        <v>72</v>
      </c>
      <c r="D1106" s="2" t="s">
        <v>73</v>
      </c>
      <c r="E1106" s="2"/>
      <c r="F1106" s="2">
        <v>177</v>
      </c>
      <c r="G1106" s="2" t="s">
        <v>403</v>
      </c>
      <c r="H1106" s="2">
        <v>68</v>
      </c>
      <c r="I1106" s="2" t="s">
        <v>3747</v>
      </c>
      <c r="J1106" s="2">
        <v>507</v>
      </c>
      <c r="K1106" s="2" t="s">
        <v>4188</v>
      </c>
      <c r="L1106" s="2" t="s">
        <v>4189</v>
      </c>
      <c r="M1106" s="3">
        <v>40257</v>
      </c>
      <c r="N1106" s="2" t="s">
        <v>4212</v>
      </c>
      <c r="O1106" s="2" t="s">
        <v>107</v>
      </c>
      <c r="P1106" s="2" t="s">
        <v>107</v>
      </c>
      <c r="Q1106" s="2" t="str">
        <f>"113-A/10"</f>
        <v>113-A/10</v>
      </c>
      <c r="R1106" s="2" t="s">
        <v>1547</v>
      </c>
      <c r="S1106" s="2" t="s">
        <v>1547</v>
      </c>
      <c r="T1106" s="2">
        <v>1</v>
      </c>
      <c r="U1106" s="2" t="s">
        <v>79</v>
      </c>
      <c r="V1106" s="2">
        <v>1</v>
      </c>
      <c r="W1106" s="2" t="s">
        <v>80</v>
      </c>
      <c r="X1106" s="2">
        <v>1</v>
      </c>
      <c r="Y1106" s="2" t="s">
        <v>81</v>
      </c>
      <c r="Z1106" s="2">
        <v>1</v>
      </c>
      <c r="AA1106" s="2" t="s">
        <v>82</v>
      </c>
      <c r="AB1106" s="2">
        <v>6</v>
      </c>
      <c r="AC1106" s="2" t="s">
        <v>83</v>
      </c>
      <c r="AD1106" s="3">
        <v>40243</v>
      </c>
      <c r="AE1106" s="4">
        <v>0.70138888888888884</v>
      </c>
      <c r="AF1106" s="3">
        <v>40257</v>
      </c>
      <c r="AG1106" s="4">
        <v>0.77083333333333337</v>
      </c>
      <c r="AH1106" s="2">
        <v>2</v>
      </c>
      <c r="AI1106" s="2" t="s">
        <v>84</v>
      </c>
      <c r="AJ1106" s="2">
        <v>12</v>
      </c>
      <c r="AK1106" s="2" t="s">
        <v>85</v>
      </c>
      <c r="AL1106" s="2">
        <v>10</v>
      </c>
      <c r="AM1106" s="2" t="s">
        <v>200</v>
      </c>
      <c r="AN1106" s="2" t="s">
        <v>107</v>
      </c>
      <c r="AO1106" s="2" t="s">
        <v>1853</v>
      </c>
      <c r="AP1106" s="2">
        <v>11</v>
      </c>
      <c r="AQ1106" s="2" t="s">
        <v>82</v>
      </c>
      <c r="AR1106" s="2" t="s">
        <v>82</v>
      </c>
      <c r="AS1106" s="2" t="s">
        <v>82</v>
      </c>
      <c r="AT1106" s="2" t="s">
        <v>4213</v>
      </c>
      <c r="AU1106" s="2"/>
      <c r="AV1106" s="2"/>
      <c r="AW1106" s="2"/>
      <c r="AX1106" s="2"/>
      <c r="AY1106" s="2">
        <v>41</v>
      </c>
      <c r="AZ1106" s="2" t="s">
        <v>82</v>
      </c>
      <c r="BA1106" s="2">
        <v>41</v>
      </c>
      <c r="BB1106" s="2" t="s">
        <v>82</v>
      </c>
      <c r="BC1106" s="2">
        <v>41</v>
      </c>
      <c r="BD1106" s="2" t="s">
        <v>82</v>
      </c>
      <c r="BE1106" s="2">
        <v>47</v>
      </c>
      <c r="BF1106" s="2" t="s">
        <v>167</v>
      </c>
      <c r="BG1106" s="2" t="s">
        <v>3313</v>
      </c>
      <c r="BH1106" s="4">
        <v>0.79861111111111116</v>
      </c>
      <c r="BI1106" s="4">
        <v>0.70833333333333337</v>
      </c>
      <c r="BJ1106" s="2">
        <v>13</v>
      </c>
      <c r="BK1106" s="2" t="s">
        <v>91</v>
      </c>
      <c r="BL1106" s="2" t="s">
        <v>185</v>
      </c>
      <c r="BM1106" s="2">
        <v>241</v>
      </c>
      <c r="BN1106" s="2" t="s">
        <v>82</v>
      </c>
      <c r="BO1106" s="2" t="s">
        <v>82</v>
      </c>
      <c r="BP1106" s="2">
        <v>13</v>
      </c>
      <c r="BQ1106" s="2" t="s">
        <v>91</v>
      </c>
      <c r="BR1106" s="2" t="s">
        <v>828</v>
      </c>
      <c r="BS1106" s="3">
        <v>40257</v>
      </c>
      <c r="BT1106" s="4">
        <v>0.83753472222222225</v>
      </c>
    </row>
    <row r="1107" spans="1:72" x14ac:dyDescent="0.25">
      <c r="A1107" s="2">
        <v>1704</v>
      </c>
      <c r="B1107" s="2">
        <v>2010</v>
      </c>
      <c r="C1107" s="2" t="s">
        <v>72</v>
      </c>
      <c r="D1107" s="2" t="s">
        <v>73</v>
      </c>
      <c r="E1107" s="2"/>
      <c r="F1107" s="2">
        <v>3</v>
      </c>
      <c r="G1107" s="2" t="s">
        <v>1041</v>
      </c>
      <c r="H1107" s="2">
        <v>1</v>
      </c>
      <c r="I1107" s="2" t="s">
        <v>82</v>
      </c>
      <c r="J1107" s="2">
        <v>368</v>
      </c>
      <c r="K1107" s="2" t="s">
        <v>1042</v>
      </c>
      <c r="L1107" s="2" t="s">
        <v>1043</v>
      </c>
      <c r="M1107" s="3">
        <v>40257</v>
      </c>
      <c r="N1107" s="2" t="s">
        <v>82</v>
      </c>
      <c r="O1107" s="2" t="s">
        <v>107</v>
      </c>
      <c r="P1107" s="2" t="s">
        <v>82</v>
      </c>
      <c r="Q1107" s="2" t="str">
        <f>"152-E/09"</f>
        <v>152-E/09</v>
      </c>
      <c r="R1107" s="2" t="s">
        <v>116</v>
      </c>
      <c r="S1107" s="2" t="s">
        <v>116</v>
      </c>
      <c r="T1107" s="2">
        <v>1</v>
      </c>
      <c r="U1107" s="2" t="s">
        <v>79</v>
      </c>
      <c r="V1107" s="2">
        <v>1</v>
      </c>
      <c r="W1107" s="2" t="s">
        <v>80</v>
      </c>
      <c r="X1107" s="2">
        <v>1</v>
      </c>
      <c r="Y1107" s="2" t="s">
        <v>81</v>
      </c>
      <c r="Z1107" s="2">
        <v>1</v>
      </c>
      <c r="AA1107" s="2" t="s">
        <v>82</v>
      </c>
      <c r="AB1107" s="2">
        <v>6</v>
      </c>
      <c r="AC1107" s="2" t="s">
        <v>83</v>
      </c>
      <c r="AD1107" s="3">
        <v>40257</v>
      </c>
      <c r="AE1107" s="4">
        <v>0.65972222222222221</v>
      </c>
      <c r="AF1107" s="3">
        <v>40257</v>
      </c>
      <c r="AG1107" s="4">
        <v>0.72916666666666663</v>
      </c>
      <c r="AH1107" s="2">
        <v>2</v>
      </c>
      <c r="AI1107" s="2" t="s">
        <v>84</v>
      </c>
      <c r="AJ1107" s="2">
        <v>9</v>
      </c>
      <c r="AK1107" s="2" t="s">
        <v>103</v>
      </c>
      <c r="AL1107" s="2">
        <v>21</v>
      </c>
      <c r="AM1107" s="2" t="s">
        <v>1311</v>
      </c>
      <c r="AN1107" s="2" t="s">
        <v>4214</v>
      </c>
      <c r="AO1107" s="2" t="s">
        <v>4137</v>
      </c>
      <c r="AP1107" s="2">
        <v>11</v>
      </c>
      <c r="AQ1107" s="2" t="s">
        <v>82</v>
      </c>
      <c r="AR1107" s="2"/>
      <c r="AS1107" s="2"/>
      <c r="AT1107" s="2" t="s">
        <v>4215</v>
      </c>
      <c r="AU1107" s="2"/>
      <c r="AV1107" s="2"/>
      <c r="AW1107" s="2"/>
      <c r="AX1107" s="2"/>
      <c r="AY1107" s="2">
        <v>41</v>
      </c>
      <c r="AZ1107" s="2" t="s">
        <v>82</v>
      </c>
      <c r="BA1107" s="2">
        <v>41</v>
      </c>
      <c r="BB1107" s="2" t="s">
        <v>82</v>
      </c>
      <c r="BC1107" s="2">
        <v>41</v>
      </c>
      <c r="BD1107" s="2" t="s">
        <v>82</v>
      </c>
      <c r="BE1107" s="2">
        <v>39</v>
      </c>
      <c r="BF1107" s="2" t="s">
        <v>440</v>
      </c>
      <c r="BG1107" s="2" t="s">
        <v>4216</v>
      </c>
      <c r="BH1107" s="4">
        <v>0.625</v>
      </c>
      <c r="BI1107" s="4">
        <v>0.5</v>
      </c>
      <c r="BJ1107" s="2">
        <v>33</v>
      </c>
      <c r="BK1107" s="2" t="s">
        <v>361</v>
      </c>
      <c r="BL1107" s="2" t="s">
        <v>2723</v>
      </c>
      <c r="BM1107" s="2">
        <v>241</v>
      </c>
      <c r="BN1107" s="2" t="s">
        <v>82</v>
      </c>
      <c r="BO1107" s="2"/>
      <c r="BP1107" s="2">
        <v>13</v>
      </c>
      <c r="BQ1107" s="2" t="s">
        <v>91</v>
      </c>
      <c r="BR1107" s="2" t="s">
        <v>185</v>
      </c>
      <c r="BS1107" s="3">
        <v>40257</v>
      </c>
      <c r="BT1107" s="4">
        <v>0.9068518518518518</v>
      </c>
    </row>
    <row r="1108" spans="1:72" x14ac:dyDescent="0.25">
      <c r="A1108" s="2">
        <v>1705</v>
      </c>
      <c r="B1108" s="2">
        <v>2010</v>
      </c>
      <c r="C1108" s="2" t="s">
        <v>377</v>
      </c>
      <c r="D1108" s="2" t="s">
        <v>73</v>
      </c>
      <c r="E1108" s="2"/>
      <c r="F1108" s="2">
        <v>426</v>
      </c>
      <c r="G1108" s="2" t="s">
        <v>378</v>
      </c>
      <c r="H1108" s="2">
        <v>1</v>
      </c>
      <c r="I1108" s="2" t="s">
        <v>82</v>
      </c>
      <c r="J1108" s="2">
        <v>311</v>
      </c>
      <c r="K1108" s="2" t="s">
        <v>379</v>
      </c>
      <c r="L1108" s="2" t="s">
        <v>380</v>
      </c>
      <c r="M1108" s="3">
        <v>40257</v>
      </c>
      <c r="N1108" s="2" t="s">
        <v>107</v>
      </c>
      <c r="O1108" s="2" t="s">
        <v>107</v>
      </c>
      <c r="P1108" s="2" t="s">
        <v>107</v>
      </c>
      <c r="Q1108" s="2" t="str">
        <f>"026-E/10"</f>
        <v>026-E/10</v>
      </c>
      <c r="R1108" s="2" t="s">
        <v>107</v>
      </c>
      <c r="S1108" s="2" t="s">
        <v>4217</v>
      </c>
      <c r="T1108" s="2">
        <v>1</v>
      </c>
      <c r="U1108" s="2" t="s">
        <v>79</v>
      </c>
      <c r="V1108" s="2">
        <v>1</v>
      </c>
      <c r="W1108" s="2" t="s">
        <v>80</v>
      </c>
      <c r="X1108" s="2">
        <v>1</v>
      </c>
      <c r="Y1108" s="2" t="s">
        <v>81</v>
      </c>
      <c r="Z1108" s="2">
        <v>1</v>
      </c>
      <c r="AA1108" s="2" t="s">
        <v>82</v>
      </c>
      <c r="AB1108" s="2">
        <v>9</v>
      </c>
      <c r="AC1108" s="2" t="s">
        <v>124</v>
      </c>
      <c r="AD1108" s="3">
        <v>40256</v>
      </c>
      <c r="AE1108" s="4">
        <v>0.55555555555555558</v>
      </c>
      <c r="AF1108" s="3">
        <v>40256</v>
      </c>
      <c r="AG1108" s="4">
        <v>0.625</v>
      </c>
      <c r="AH1108" s="2">
        <v>2</v>
      </c>
      <c r="AI1108" s="2" t="s">
        <v>84</v>
      </c>
      <c r="AJ1108" s="2">
        <v>9</v>
      </c>
      <c r="AK1108" s="2" t="s">
        <v>103</v>
      </c>
      <c r="AL1108" s="2">
        <v>21</v>
      </c>
      <c r="AM1108" s="2" t="s">
        <v>1311</v>
      </c>
      <c r="AN1108" s="2" t="s">
        <v>4218</v>
      </c>
      <c r="AO1108" s="2" t="s">
        <v>82</v>
      </c>
      <c r="AP1108" s="2">
        <v>11</v>
      </c>
      <c r="AQ1108" s="2" t="s">
        <v>82</v>
      </c>
      <c r="AR1108" s="2"/>
      <c r="AS1108" s="2"/>
      <c r="AT1108" s="2" t="s">
        <v>4219</v>
      </c>
      <c r="AU1108" s="2"/>
      <c r="AV1108" s="2"/>
      <c r="AW1108" s="2"/>
      <c r="AX1108" s="2"/>
      <c r="AY1108" s="2">
        <v>41</v>
      </c>
      <c r="AZ1108" s="2" t="s">
        <v>82</v>
      </c>
      <c r="BA1108" s="2">
        <v>41</v>
      </c>
      <c r="BB1108" s="2" t="s">
        <v>82</v>
      </c>
      <c r="BC1108" s="2">
        <v>41</v>
      </c>
      <c r="BD1108" s="2" t="s">
        <v>82</v>
      </c>
      <c r="BE1108" s="2">
        <v>41</v>
      </c>
      <c r="BF1108" s="2" t="s">
        <v>82</v>
      </c>
      <c r="BG1108" s="2"/>
      <c r="BH1108" s="2"/>
      <c r="BI1108" s="2"/>
      <c r="BJ1108" s="2">
        <v>241</v>
      </c>
      <c r="BK1108" s="2" t="s">
        <v>82</v>
      </c>
      <c r="BL1108" s="2"/>
      <c r="BM1108" s="2">
        <v>241</v>
      </c>
      <c r="BN1108" s="2" t="s">
        <v>82</v>
      </c>
      <c r="BO1108" s="2"/>
      <c r="BP1108" s="2">
        <v>241</v>
      </c>
      <c r="BQ1108" s="2" t="s">
        <v>82</v>
      </c>
      <c r="BR1108" s="2"/>
      <c r="BS1108" s="3">
        <v>40257</v>
      </c>
      <c r="BT1108" s="4">
        <v>0.91519675925925925</v>
      </c>
    </row>
    <row r="1109" spans="1:72" x14ac:dyDescent="0.25">
      <c r="A1109" s="2">
        <v>1706</v>
      </c>
      <c r="B1109" s="2">
        <v>2010</v>
      </c>
      <c r="C1109" s="2" t="s">
        <v>377</v>
      </c>
      <c r="D1109" s="2" t="s">
        <v>73</v>
      </c>
      <c r="E1109" s="2"/>
      <c r="F1109" s="2">
        <v>426</v>
      </c>
      <c r="G1109" s="2" t="s">
        <v>378</v>
      </c>
      <c r="H1109" s="2">
        <v>1</v>
      </c>
      <c r="I1109" s="2" t="s">
        <v>82</v>
      </c>
      <c r="J1109" s="2">
        <v>311</v>
      </c>
      <c r="K1109" s="2" t="s">
        <v>379</v>
      </c>
      <c r="L1109" s="2" t="s">
        <v>380</v>
      </c>
      <c r="M1109" s="3">
        <v>40257</v>
      </c>
      <c r="N1109" s="2" t="s">
        <v>107</v>
      </c>
      <c r="O1109" s="2" t="s">
        <v>107</v>
      </c>
      <c r="P1109" s="2" t="s">
        <v>107</v>
      </c>
      <c r="Q1109" s="2" t="str">
        <f>"028-E/10"</f>
        <v>028-E/10</v>
      </c>
      <c r="R1109" s="2" t="s">
        <v>107</v>
      </c>
      <c r="S1109" s="2" t="s">
        <v>1344</v>
      </c>
      <c r="T1109" s="2">
        <v>1</v>
      </c>
      <c r="U1109" s="2" t="s">
        <v>79</v>
      </c>
      <c r="V1109" s="2">
        <v>1</v>
      </c>
      <c r="W1109" s="2" t="s">
        <v>80</v>
      </c>
      <c r="X1109" s="2">
        <v>1</v>
      </c>
      <c r="Y1109" s="2" t="s">
        <v>81</v>
      </c>
      <c r="Z1109" s="2">
        <v>1</v>
      </c>
      <c r="AA1109" s="2" t="s">
        <v>82</v>
      </c>
      <c r="AB1109" s="2">
        <v>9</v>
      </c>
      <c r="AC1109" s="2" t="s">
        <v>124</v>
      </c>
      <c r="AD1109" s="3">
        <v>40257</v>
      </c>
      <c r="AE1109" s="4">
        <v>0.62847222222222221</v>
      </c>
      <c r="AF1109" s="3">
        <v>40257</v>
      </c>
      <c r="AG1109" s="4">
        <v>0.65277777777777779</v>
      </c>
      <c r="AH1109" s="2">
        <v>2</v>
      </c>
      <c r="AI1109" s="2" t="s">
        <v>84</v>
      </c>
      <c r="AJ1109" s="2">
        <v>9</v>
      </c>
      <c r="AK1109" s="2" t="s">
        <v>103</v>
      </c>
      <c r="AL1109" s="2">
        <v>12</v>
      </c>
      <c r="AM1109" s="2" t="s">
        <v>86</v>
      </c>
      <c r="AN1109" s="2" t="s">
        <v>4220</v>
      </c>
      <c r="AO1109" s="2" t="s">
        <v>82</v>
      </c>
      <c r="AP1109" s="2">
        <v>11</v>
      </c>
      <c r="AQ1109" s="2" t="s">
        <v>82</v>
      </c>
      <c r="AR1109" s="2"/>
      <c r="AS1109" s="2"/>
      <c r="AT1109" s="2" t="s">
        <v>4221</v>
      </c>
      <c r="AU1109" s="2"/>
      <c r="AV1109" s="2"/>
      <c r="AW1109" s="2"/>
      <c r="AX1109" s="2"/>
      <c r="AY1109" s="2">
        <v>41</v>
      </c>
      <c r="AZ1109" s="2" t="s">
        <v>82</v>
      </c>
      <c r="BA1109" s="2">
        <v>41</v>
      </c>
      <c r="BB1109" s="2" t="s">
        <v>82</v>
      </c>
      <c r="BC1109" s="2">
        <v>41</v>
      </c>
      <c r="BD1109" s="2" t="s">
        <v>82</v>
      </c>
      <c r="BE1109" s="2">
        <v>41</v>
      </c>
      <c r="BF1109" s="2" t="s">
        <v>82</v>
      </c>
      <c r="BG1109" s="2"/>
      <c r="BH1109" s="2"/>
      <c r="BI1109" s="2"/>
      <c r="BJ1109" s="2">
        <v>241</v>
      </c>
      <c r="BK1109" s="2" t="s">
        <v>82</v>
      </c>
      <c r="BL1109" s="2"/>
      <c r="BM1109" s="2">
        <v>241</v>
      </c>
      <c r="BN1109" s="2" t="s">
        <v>82</v>
      </c>
      <c r="BO1109" s="2"/>
      <c r="BP1109" s="2">
        <v>241</v>
      </c>
      <c r="BQ1109" s="2" t="s">
        <v>82</v>
      </c>
      <c r="BR1109" s="2"/>
      <c r="BS1109" s="3">
        <v>40257</v>
      </c>
      <c r="BT1109" s="4">
        <v>0.92379629629629623</v>
      </c>
    </row>
    <row r="1110" spans="1:72" x14ac:dyDescent="0.25">
      <c r="A1110" s="2">
        <v>1708</v>
      </c>
      <c r="B1110" s="2">
        <v>2010</v>
      </c>
      <c r="C1110" s="2" t="s">
        <v>93</v>
      </c>
      <c r="D1110" s="2" t="s">
        <v>73</v>
      </c>
      <c r="E1110" s="2"/>
      <c r="F1110" s="2">
        <v>564</v>
      </c>
      <c r="G1110" s="2" t="s">
        <v>4222</v>
      </c>
      <c r="H1110" s="2">
        <v>1</v>
      </c>
      <c r="I1110" s="2" t="s">
        <v>82</v>
      </c>
      <c r="J1110" s="2">
        <v>488</v>
      </c>
      <c r="K1110" s="2" t="s">
        <v>4223</v>
      </c>
      <c r="L1110" s="2" t="s">
        <v>4224</v>
      </c>
      <c r="M1110" s="3">
        <v>40258</v>
      </c>
      <c r="N1110" s="2" t="s">
        <v>107</v>
      </c>
      <c r="O1110" s="2" t="s">
        <v>4225</v>
      </c>
      <c r="P1110" s="2"/>
      <c r="Q1110" s="2" t="str">
        <f>"010/2010"</f>
        <v>010/2010</v>
      </c>
      <c r="R1110" s="2" t="s">
        <v>4226</v>
      </c>
      <c r="S1110" s="2" t="s">
        <v>4226</v>
      </c>
      <c r="T1110" s="2">
        <v>1</v>
      </c>
      <c r="U1110" s="2" t="s">
        <v>79</v>
      </c>
      <c r="V1110" s="2">
        <v>1</v>
      </c>
      <c r="W1110" s="2" t="s">
        <v>80</v>
      </c>
      <c r="X1110" s="2">
        <v>1</v>
      </c>
      <c r="Y1110" s="2" t="s">
        <v>81</v>
      </c>
      <c r="Z1110" s="2">
        <v>10</v>
      </c>
      <c r="AA1110" s="2" t="s">
        <v>236</v>
      </c>
      <c r="AB1110" s="2">
        <v>2</v>
      </c>
      <c r="AC1110" s="2" t="s">
        <v>102</v>
      </c>
      <c r="AD1110" s="3">
        <v>40257</v>
      </c>
      <c r="AE1110" s="4">
        <v>0.73958333333333337</v>
      </c>
      <c r="AF1110" s="2"/>
      <c r="AG1110" s="2"/>
      <c r="AH1110" s="2">
        <v>6</v>
      </c>
      <c r="AI1110" s="2" t="s">
        <v>197</v>
      </c>
      <c r="AJ1110" s="2">
        <v>61</v>
      </c>
      <c r="AK1110" s="2" t="s">
        <v>686</v>
      </c>
      <c r="AL1110" s="2">
        <v>11</v>
      </c>
      <c r="AM1110" s="2" t="s">
        <v>137</v>
      </c>
      <c r="AN1110" s="2" t="s">
        <v>137</v>
      </c>
      <c r="AO1110" s="2" t="s">
        <v>82</v>
      </c>
      <c r="AP1110" s="2">
        <v>11</v>
      </c>
      <c r="AQ1110" s="2" t="s">
        <v>82</v>
      </c>
      <c r="AR1110" s="2" t="s">
        <v>82</v>
      </c>
      <c r="AS1110" s="2" t="s">
        <v>82</v>
      </c>
      <c r="AT1110" s="2" t="s">
        <v>4227</v>
      </c>
      <c r="AU1110" s="2">
        <v>1</v>
      </c>
      <c r="AV1110" s="2"/>
      <c r="AW1110" s="2"/>
      <c r="AX1110" s="2"/>
      <c r="AY1110" s="2">
        <v>41</v>
      </c>
      <c r="AZ1110" s="2" t="s">
        <v>82</v>
      </c>
      <c r="BA1110" s="2">
        <v>41</v>
      </c>
      <c r="BB1110" s="2" t="s">
        <v>82</v>
      </c>
      <c r="BC1110" s="2">
        <v>41</v>
      </c>
      <c r="BD1110" s="2" t="s">
        <v>82</v>
      </c>
      <c r="BE1110" s="2">
        <v>13</v>
      </c>
      <c r="BF1110" s="2" t="s">
        <v>108</v>
      </c>
      <c r="BG1110" s="2">
        <v>2849</v>
      </c>
      <c r="BH1110" s="4">
        <v>0.71319444444444446</v>
      </c>
      <c r="BI1110" s="4">
        <v>0.79513888888888884</v>
      </c>
      <c r="BJ1110" s="2">
        <v>241</v>
      </c>
      <c r="BK1110" s="2" t="s">
        <v>82</v>
      </c>
      <c r="BL1110" s="2" t="s">
        <v>690</v>
      </c>
      <c r="BM1110" s="2">
        <v>13</v>
      </c>
      <c r="BN1110" s="2" t="s">
        <v>91</v>
      </c>
      <c r="BO1110" s="2" t="s">
        <v>82</v>
      </c>
      <c r="BP1110" s="2">
        <v>13</v>
      </c>
      <c r="BQ1110" s="2" t="s">
        <v>91</v>
      </c>
      <c r="BR1110" s="2" t="s">
        <v>185</v>
      </c>
      <c r="BS1110" s="3">
        <v>40258</v>
      </c>
      <c r="BT1110" s="4">
        <v>4.2650462962962959E-2</v>
      </c>
    </row>
    <row r="1111" spans="1:72" x14ac:dyDescent="0.25">
      <c r="A1111" s="2">
        <v>1709</v>
      </c>
      <c r="B1111" s="2">
        <v>2010</v>
      </c>
      <c r="C1111" s="2" t="s">
        <v>93</v>
      </c>
      <c r="D1111" s="2" t="s">
        <v>73</v>
      </c>
      <c r="E1111" s="2"/>
      <c r="F1111" s="2">
        <v>565</v>
      </c>
      <c r="G1111" s="2" t="s">
        <v>4228</v>
      </c>
      <c r="H1111" s="2">
        <v>50</v>
      </c>
      <c r="I1111" s="2" t="s">
        <v>107</v>
      </c>
      <c r="J1111" s="2">
        <v>489</v>
      </c>
      <c r="K1111" s="2" t="s">
        <v>4229</v>
      </c>
      <c r="L1111" s="2" t="s">
        <v>4230</v>
      </c>
      <c r="M1111" s="3">
        <v>40258</v>
      </c>
      <c r="N1111" s="2"/>
      <c r="O1111" s="2"/>
      <c r="P1111" s="2"/>
      <c r="Q1111" s="2" t="str">
        <f>""</f>
        <v/>
      </c>
      <c r="R1111" s="2"/>
      <c r="S1111" s="2"/>
      <c r="T1111" s="2">
        <v>1</v>
      </c>
      <c r="U1111" s="2" t="s">
        <v>79</v>
      </c>
      <c r="V1111" s="2">
        <v>1</v>
      </c>
      <c r="W1111" s="2" t="s">
        <v>80</v>
      </c>
      <c r="X1111" s="2">
        <v>1</v>
      </c>
      <c r="Y1111" s="2" t="s">
        <v>81</v>
      </c>
      <c r="Z1111" s="2">
        <v>1</v>
      </c>
      <c r="AA1111" s="2" t="s">
        <v>82</v>
      </c>
      <c r="AB1111" s="2">
        <v>2</v>
      </c>
      <c r="AC1111" s="2" t="s">
        <v>102</v>
      </c>
      <c r="AD1111" s="3">
        <v>40258</v>
      </c>
      <c r="AE1111" s="4">
        <v>7.2916666666666671E-2</v>
      </c>
      <c r="AF1111" s="2"/>
      <c r="AG1111" s="2"/>
      <c r="AH1111" s="2">
        <v>6</v>
      </c>
      <c r="AI1111" s="2" t="s">
        <v>197</v>
      </c>
      <c r="AJ1111" s="2">
        <v>58</v>
      </c>
      <c r="AK1111" s="2" t="s">
        <v>406</v>
      </c>
      <c r="AL1111" s="2">
        <v>9</v>
      </c>
      <c r="AM1111" s="2" t="s">
        <v>259</v>
      </c>
      <c r="AN1111" s="2" t="s">
        <v>4231</v>
      </c>
      <c r="AO1111" s="2" t="s">
        <v>1971</v>
      </c>
      <c r="AP1111" s="2">
        <v>11</v>
      </c>
      <c r="AQ1111" s="2" t="s">
        <v>82</v>
      </c>
      <c r="AR1111" s="2"/>
      <c r="AS1111" s="2"/>
      <c r="AT1111" s="2" t="s">
        <v>4232</v>
      </c>
      <c r="AU1111" s="2">
        <v>1</v>
      </c>
      <c r="AV1111" s="2"/>
      <c r="AW1111" s="2"/>
      <c r="AX1111" s="2"/>
      <c r="AY1111" s="2">
        <v>41</v>
      </c>
      <c r="AZ1111" s="2" t="s">
        <v>82</v>
      </c>
      <c r="BA1111" s="2">
        <v>41</v>
      </c>
      <c r="BB1111" s="2" t="s">
        <v>82</v>
      </c>
      <c r="BC1111" s="2">
        <v>41</v>
      </c>
      <c r="BD1111" s="2" t="s">
        <v>82</v>
      </c>
      <c r="BE1111" s="2">
        <v>41</v>
      </c>
      <c r="BF1111" s="2" t="s">
        <v>82</v>
      </c>
      <c r="BG1111" s="2" t="s">
        <v>473</v>
      </c>
      <c r="BH1111" s="2"/>
      <c r="BI1111" s="2"/>
      <c r="BJ1111" s="2">
        <v>241</v>
      </c>
      <c r="BK1111" s="2" t="s">
        <v>82</v>
      </c>
      <c r="BL1111" s="2"/>
      <c r="BM1111" s="2">
        <v>241</v>
      </c>
      <c r="BN1111" s="2" t="s">
        <v>82</v>
      </c>
      <c r="BO1111" s="2"/>
      <c r="BP1111" s="2">
        <v>241</v>
      </c>
      <c r="BQ1111" s="2" t="s">
        <v>82</v>
      </c>
      <c r="BR1111" s="2"/>
      <c r="BS1111" s="3">
        <v>40258</v>
      </c>
      <c r="BT1111" s="4">
        <v>0.12209490740740742</v>
      </c>
    </row>
    <row r="1112" spans="1:72" x14ac:dyDescent="0.25">
      <c r="A1112" s="2">
        <v>1710</v>
      </c>
      <c r="B1112" s="2">
        <v>2010</v>
      </c>
      <c r="C1112" s="2" t="s">
        <v>1568</v>
      </c>
      <c r="D1112" s="2" t="s">
        <v>73</v>
      </c>
      <c r="E1112" s="2"/>
      <c r="F1112" s="2">
        <v>74</v>
      </c>
      <c r="G1112" s="2" t="s">
        <v>2220</v>
      </c>
      <c r="H1112" s="2">
        <v>39</v>
      </c>
      <c r="I1112" s="2" t="s">
        <v>1117</v>
      </c>
      <c r="J1112" s="2">
        <v>420</v>
      </c>
      <c r="K1112" s="2" t="s">
        <v>2328</v>
      </c>
      <c r="L1112" s="2" t="s">
        <v>2329</v>
      </c>
      <c r="M1112" s="3">
        <v>40258</v>
      </c>
      <c r="N1112" s="2" t="s">
        <v>4233</v>
      </c>
      <c r="O1112" s="2" t="s">
        <v>107</v>
      </c>
      <c r="P1112" s="2" t="s">
        <v>107</v>
      </c>
      <c r="Q1112" s="2" t="str">
        <f>"S/D"</f>
        <v>S/D</v>
      </c>
      <c r="R1112" s="2" t="s">
        <v>107</v>
      </c>
      <c r="S1112" s="2" t="s">
        <v>107</v>
      </c>
      <c r="T1112" s="2">
        <v>1</v>
      </c>
      <c r="U1112" s="2" t="s">
        <v>79</v>
      </c>
      <c r="V1112" s="2">
        <v>1</v>
      </c>
      <c r="W1112" s="2" t="s">
        <v>80</v>
      </c>
      <c r="X1112" s="2">
        <v>1</v>
      </c>
      <c r="Y1112" s="2" t="s">
        <v>81</v>
      </c>
      <c r="Z1112" s="2">
        <v>1</v>
      </c>
      <c r="AA1112" s="2" t="s">
        <v>82</v>
      </c>
      <c r="AB1112" s="2">
        <v>4</v>
      </c>
      <c r="AC1112" s="2" t="s">
        <v>1569</v>
      </c>
      <c r="AD1112" s="3">
        <v>40257</v>
      </c>
      <c r="AE1112" s="4">
        <v>0.85069444444444453</v>
      </c>
      <c r="AF1112" s="3">
        <v>40257</v>
      </c>
      <c r="AG1112" s="2"/>
      <c r="AH1112" s="2">
        <v>6</v>
      </c>
      <c r="AI1112" s="2" t="s">
        <v>197</v>
      </c>
      <c r="AJ1112" s="2">
        <v>51</v>
      </c>
      <c r="AK1112" s="2" t="s">
        <v>238</v>
      </c>
      <c r="AL1112" s="2">
        <v>16</v>
      </c>
      <c r="AM1112" s="2" t="s">
        <v>392</v>
      </c>
      <c r="AN1112" s="2" t="s">
        <v>4234</v>
      </c>
      <c r="AO1112" s="2" t="s">
        <v>230</v>
      </c>
      <c r="AP1112" s="2">
        <v>12</v>
      </c>
      <c r="AQ1112" s="2" t="s">
        <v>322</v>
      </c>
      <c r="AR1112" s="2" t="s">
        <v>322</v>
      </c>
      <c r="AS1112" s="2" t="s">
        <v>82</v>
      </c>
      <c r="AT1112" s="2" t="s">
        <v>4235</v>
      </c>
      <c r="AU1112" s="2"/>
      <c r="AV1112" s="2"/>
      <c r="AW1112" s="2"/>
      <c r="AX1112" s="2"/>
      <c r="AY1112" s="2">
        <v>41</v>
      </c>
      <c r="AZ1112" s="2" t="s">
        <v>82</v>
      </c>
      <c r="BA1112" s="2">
        <v>41</v>
      </c>
      <c r="BB1112" s="2" t="s">
        <v>82</v>
      </c>
      <c r="BC1112" s="2">
        <v>41</v>
      </c>
      <c r="BD1112" s="2" t="s">
        <v>82</v>
      </c>
      <c r="BE1112" s="2">
        <v>47</v>
      </c>
      <c r="BF1112" s="2" t="s">
        <v>167</v>
      </c>
      <c r="BG1112" s="2">
        <v>2657</v>
      </c>
      <c r="BH1112" s="4">
        <v>0.82500000000000007</v>
      </c>
      <c r="BI1112" s="4">
        <v>0.85416666666666663</v>
      </c>
      <c r="BJ1112" s="2">
        <v>13</v>
      </c>
      <c r="BK1112" s="2" t="s">
        <v>91</v>
      </c>
      <c r="BL1112" s="2" t="s">
        <v>185</v>
      </c>
      <c r="BM1112" s="2">
        <v>13</v>
      </c>
      <c r="BN1112" s="2" t="s">
        <v>91</v>
      </c>
      <c r="BO1112" s="2" t="s">
        <v>241</v>
      </c>
      <c r="BP1112" s="2">
        <v>13</v>
      </c>
      <c r="BQ1112" s="2" t="s">
        <v>91</v>
      </c>
      <c r="BR1112" s="2" t="s">
        <v>185</v>
      </c>
      <c r="BS1112" s="3">
        <v>40258</v>
      </c>
      <c r="BT1112" s="4">
        <v>0.3210648148148148</v>
      </c>
    </row>
    <row r="1113" spans="1:72" x14ac:dyDescent="0.25">
      <c r="A1113" s="2">
        <v>1711</v>
      </c>
      <c r="B1113" s="2">
        <v>2010</v>
      </c>
      <c r="C1113" s="2" t="s">
        <v>72</v>
      </c>
      <c r="D1113" s="2" t="s">
        <v>73</v>
      </c>
      <c r="E1113" s="2"/>
      <c r="F1113" s="2">
        <v>390</v>
      </c>
      <c r="G1113" s="2" t="s">
        <v>475</v>
      </c>
      <c r="H1113" s="2">
        <v>5</v>
      </c>
      <c r="I1113" s="2" t="s">
        <v>634</v>
      </c>
      <c r="J1113" s="2">
        <v>314</v>
      </c>
      <c r="K1113" s="2" t="s">
        <v>477</v>
      </c>
      <c r="L1113" s="2" t="s">
        <v>478</v>
      </c>
      <c r="M1113" s="3">
        <v>40258</v>
      </c>
      <c r="N1113" s="2" t="s">
        <v>3515</v>
      </c>
      <c r="O1113" s="2" t="s">
        <v>107</v>
      </c>
      <c r="P1113" s="2" t="s">
        <v>107</v>
      </c>
      <c r="Q1113" s="2" t="str">
        <f>"153-E/10"</f>
        <v>153-E/10</v>
      </c>
      <c r="R1113" s="2" t="s">
        <v>107</v>
      </c>
      <c r="S1113" s="2" t="s">
        <v>601</v>
      </c>
      <c r="T1113" s="2">
        <v>1</v>
      </c>
      <c r="U1113" s="2" t="s">
        <v>79</v>
      </c>
      <c r="V1113" s="2">
        <v>1</v>
      </c>
      <c r="W1113" s="2" t="s">
        <v>80</v>
      </c>
      <c r="X1113" s="2">
        <v>5</v>
      </c>
      <c r="Y1113" s="2" t="s">
        <v>82</v>
      </c>
      <c r="Z1113" s="2">
        <v>1</v>
      </c>
      <c r="AA1113" s="2" t="s">
        <v>82</v>
      </c>
      <c r="AB1113" s="2">
        <v>6</v>
      </c>
      <c r="AC1113" s="2" t="s">
        <v>83</v>
      </c>
      <c r="AD1113" s="3">
        <v>40258</v>
      </c>
      <c r="AE1113" s="4">
        <v>0.27777777777777779</v>
      </c>
      <c r="AF1113" s="3">
        <v>40258</v>
      </c>
      <c r="AG1113" s="4">
        <v>0.41666666666666669</v>
      </c>
      <c r="AH1113" s="2">
        <v>2</v>
      </c>
      <c r="AI1113" s="2" t="s">
        <v>84</v>
      </c>
      <c r="AJ1113" s="2">
        <v>9</v>
      </c>
      <c r="AK1113" s="2" t="s">
        <v>103</v>
      </c>
      <c r="AL1113" s="2">
        <v>10</v>
      </c>
      <c r="AM1113" s="2" t="s">
        <v>200</v>
      </c>
      <c r="AN1113" s="2" t="s">
        <v>4026</v>
      </c>
      <c r="AO1113" s="2" t="s">
        <v>104</v>
      </c>
      <c r="AP1113" s="2">
        <v>11</v>
      </c>
      <c r="AQ1113" s="2" t="s">
        <v>82</v>
      </c>
      <c r="AR1113" s="2"/>
      <c r="AS1113" s="2"/>
      <c r="AT1113" s="2" t="s">
        <v>4236</v>
      </c>
      <c r="AU1113" s="2"/>
      <c r="AV1113" s="2"/>
      <c r="AW1113" s="2"/>
      <c r="AX1113" s="2"/>
      <c r="AY1113" s="2">
        <v>41</v>
      </c>
      <c r="AZ1113" s="2" t="s">
        <v>82</v>
      </c>
      <c r="BA1113" s="2">
        <v>41</v>
      </c>
      <c r="BB1113" s="2" t="s">
        <v>82</v>
      </c>
      <c r="BC1113" s="2">
        <v>41</v>
      </c>
      <c r="BD1113" s="2" t="s">
        <v>82</v>
      </c>
      <c r="BE1113" s="2">
        <v>13</v>
      </c>
      <c r="BF1113" s="2" t="s">
        <v>108</v>
      </c>
      <c r="BG1113" s="2" t="s">
        <v>605</v>
      </c>
      <c r="BH1113" s="4">
        <v>0.27777777777777779</v>
      </c>
      <c r="BI1113" s="2"/>
      <c r="BJ1113" s="2">
        <v>73</v>
      </c>
      <c r="BK1113" s="2" t="s">
        <v>186</v>
      </c>
      <c r="BL1113" s="2" t="s">
        <v>187</v>
      </c>
      <c r="BM1113" s="2">
        <v>241</v>
      </c>
      <c r="BN1113" s="2" t="s">
        <v>82</v>
      </c>
      <c r="BO1113" s="2" t="s">
        <v>82</v>
      </c>
      <c r="BP1113" s="2">
        <v>13</v>
      </c>
      <c r="BQ1113" s="2" t="s">
        <v>91</v>
      </c>
      <c r="BR1113" s="2" t="s">
        <v>1362</v>
      </c>
      <c r="BS1113" s="3">
        <v>40258</v>
      </c>
      <c r="BT1113" s="4">
        <v>0.53815972222222219</v>
      </c>
    </row>
    <row r="1114" spans="1:72" x14ac:dyDescent="0.25">
      <c r="A1114" s="2">
        <v>1712</v>
      </c>
      <c r="B1114" s="2">
        <v>2010</v>
      </c>
      <c r="C1114" s="2" t="s">
        <v>554</v>
      </c>
      <c r="D1114" s="2" t="s">
        <v>73</v>
      </c>
      <c r="E1114" s="2"/>
      <c r="F1114" s="2">
        <v>536</v>
      </c>
      <c r="G1114" s="2" t="s">
        <v>3746</v>
      </c>
      <c r="H1114" s="2">
        <v>68</v>
      </c>
      <c r="I1114" s="2" t="s">
        <v>3747</v>
      </c>
      <c r="J1114" s="2">
        <v>211</v>
      </c>
      <c r="K1114" s="2" t="s">
        <v>3748</v>
      </c>
      <c r="L1114" s="2" t="s">
        <v>3749</v>
      </c>
      <c r="M1114" s="3">
        <v>40258</v>
      </c>
      <c r="N1114" s="2" t="s">
        <v>4237</v>
      </c>
      <c r="O1114" s="2" t="s">
        <v>107</v>
      </c>
      <c r="P1114" s="2" t="s">
        <v>107</v>
      </c>
      <c r="Q1114" s="2" t="str">
        <f>"114-A/10"</f>
        <v>114-A/10</v>
      </c>
      <c r="R1114" s="2" t="s">
        <v>107</v>
      </c>
      <c r="S1114" s="2" t="s">
        <v>1130</v>
      </c>
      <c r="T1114" s="2">
        <v>1</v>
      </c>
      <c r="U1114" s="2" t="s">
        <v>79</v>
      </c>
      <c r="V1114" s="2">
        <v>1</v>
      </c>
      <c r="W1114" s="2" t="s">
        <v>80</v>
      </c>
      <c r="X1114" s="2">
        <v>1</v>
      </c>
      <c r="Y1114" s="2" t="s">
        <v>81</v>
      </c>
      <c r="Z1114" s="2">
        <v>1</v>
      </c>
      <c r="AA1114" s="2" t="s">
        <v>82</v>
      </c>
      <c r="AB1114" s="2">
        <v>5</v>
      </c>
      <c r="AC1114" s="2" t="s">
        <v>559</v>
      </c>
      <c r="AD1114" s="3">
        <v>40258</v>
      </c>
      <c r="AE1114" s="4">
        <v>0.53472222222222221</v>
      </c>
      <c r="AF1114" s="3">
        <v>40258</v>
      </c>
      <c r="AG1114" s="4">
        <v>0.69791666666666663</v>
      </c>
      <c r="AH1114" s="2">
        <v>2</v>
      </c>
      <c r="AI1114" s="2" t="s">
        <v>84</v>
      </c>
      <c r="AJ1114" s="2">
        <v>12</v>
      </c>
      <c r="AK1114" s="2" t="s">
        <v>85</v>
      </c>
      <c r="AL1114" s="2">
        <v>14</v>
      </c>
      <c r="AM1114" s="2" t="s">
        <v>216</v>
      </c>
      <c r="AN1114" s="2" t="s">
        <v>4238</v>
      </c>
      <c r="AO1114" s="2" t="s">
        <v>1424</v>
      </c>
      <c r="AP1114" s="2">
        <v>11</v>
      </c>
      <c r="AQ1114" s="2" t="s">
        <v>82</v>
      </c>
      <c r="AR1114" s="2" t="s">
        <v>82</v>
      </c>
      <c r="AS1114" s="2" t="s">
        <v>82</v>
      </c>
      <c r="AT1114" s="2" t="s">
        <v>4239</v>
      </c>
      <c r="AU1114" s="2"/>
      <c r="AV1114" s="2"/>
      <c r="AW1114" s="2"/>
      <c r="AX1114" s="2"/>
      <c r="AY1114" s="2">
        <v>41</v>
      </c>
      <c r="AZ1114" s="2" t="s">
        <v>82</v>
      </c>
      <c r="BA1114" s="2">
        <v>41</v>
      </c>
      <c r="BB1114" s="2" t="s">
        <v>82</v>
      </c>
      <c r="BC1114" s="2">
        <v>41</v>
      </c>
      <c r="BD1114" s="2" t="s">
        <v>82</v>
      </c>
      <c r="BE1114" s="2">
        <v>41</v>
      </c>
      <c r="BF1114" s="2" t="s">
        <v>82</v>
      </c>
      <c r="BG1114" s="2" t="s">
        <v>82</v>
      </c>
      <c r="BH1114" s="2"/>
      <c r="BI1114" s="2"/>
      <c r="BJ1114" s="2">
        <v>241</v>
      </c>
      <c r="BK1114" s="2" t="s">
        <v>82</v>
      </c>
      <c r="BL1114" s="2" t="s">
        <v>82</v>
      </c>
      <c r="BM1114" s="2">
        <v>241</v>
      </c>
      <c r="BN1114" s="2" t="s">
        <v>82</v>
      </c>
      <c r="BO1114" s="2" t="s">
        <v>82</v>
      </c>
      <c r="BP1114" s="2">
        <v>241</v>
      </c>
      <c r="BQ1114" s="2" t="s">
        <v>82</v>
      </c>
      <c r="BR1114" s="2" t="s">
        <v>82</v>
      </c>
      <c r="BS1114" s="3">
        <v>40258</v>
      </c>
      <c r="BT1114" s="4">
        <v>0.76153935185185195</v>
      </c>
    </row>
    <row r="1115" spans="1:72" x14ac:dyDescent="0.25">
      <c r="A1115" s="2">
        <v>1713</v>
      </c>
      <c r="B1115" s="2">
        <v>2010</v>
      </c>
      <c r="C1115" s="2" t="s">
        <v>594</v>
      </c>
      <c r="D1115" s="2" t="s">
        <v>122</v>
      </c>
      <c r="E1115" s="2"/>
      <c r="F1115" s="2">
        <v>1</v>
      </c>
      <c r="G1115" s="2" t="s">
        <v>82</v>
      </c>
      <c r="H1115" s="2">
        <v>1</v>
      </c>
      <c r="I1115" s="2" t="s">
        <v>82</v>
      </c>
      <c r="J1115" s="2">
        <v>1</v>
      </c>
      <c r="K1115" s="2" t="s">
        <v>107</v>
      </c>
      <c r="L1115" s="2" t="s">
        <v>107</v>
      </c>
      <c r="M1115" s="3">
        <v>40258</v>
      </c>
      <c r="N1115" s="2"/>
      <c r="O1115" s="2"/>
      <c r="P1115" s="2"/>
      <c r="Q1115" s="2" t="str">
        <f>""</f>
        <v/>
      </c>
      <c r="R1115" s="2"/>
      <c r="S1115" s="2"/>
      <c r="T1115" s="2">
        <v>1</v>
      </c>
      <c r="U1115" s="2" t="s">
        <v>79</v>
      </c>
      <c r="V1115" s="2">
        <v>1</v>
      </c>
      <c r="W1115" s="2" t="s">
        <v>80</v>
      </c>
      <c r="X1115" s="2">
        <v>1</v>
      </c>
      <c r="Y1115" s="2" t="s">
        <v>81</v>
      </c>
      <c r="Z1115" s="2">
        <v>1</v>
      </c>
      <c r="AA1115" s="2" t="s">
        <v>82</v>
      </c>
      <c r="AB1115" s="2">
        <v>9</v>
      </c>
      <c r="AC1115" s="2" t="s">
        <v>124</v>
      </c>
      <c r="AD1115" s="3">
        <v>40258</v>
      </c>
      <c r="AE1115" s="4">
        <v>0.76041666666666663</v>
      </c>
      <c r="AF1115" s="2"/>
      <c r="AG1115" s="2"/>
      <c r="AH1115" s="2">
        <v>2</v>
      </c>
      <c r="AI1115" s="2" t="s">
        <v>84</v>
      </c>
      <c r="AJ1115" s="2">
        <v>12</v>
      </c>
      <c r="AK1115" s="2" t="s">
        <v>85</v>
      </c>
      <c r="AL1115" s="2">
        <v>12</v>
      </c>
      <c r="AM1115" s="2" t="s">
        <v>86</v>
      </c>
      <c r="AN1115" s="2"/>
      <c r="AO1115" s="2" t="s">
        <v>4240</v>
      </c>
      <c r="AP1115" s="2">
        <v>11</v>
      </c>
      <c r="AQ1115" s="2" t="s">
        <v>82</v>
      </c>
      <c r="AR1115" s="2"/>
      <c r="AS1115" s="2"/>
      <c r="AT1115" s="2" t="s">
        <v>4241</v>
      </c>
      <c r="AU1115" s="2"/>
      <c r="AV1115" s="2"/>
      <c r="AW1115" s="2"/>
      <c r="AX1115" s="2"/>
      <c r="AY1115" s="2">
        <v>41</v>
      </c>
      <c r="AZ1115" s="2" t="s">
        <v>82</v>
      </c>
      <c r="BA1115" s="2">
        <v>41</v>
      </c>
      <c r="BB1115" s="2" t="s">
        <v>82</v>
      </c>
      <c r="BC1115" s="2">
        <v>41</v>
      </c>
      <c r="BD1115" s="2" t="s">
        <v>82</v>
      </c>
      <c r="BE1115" s="2">
        <v>41</v>
      </c>
      <c r="BF1115" s="2" t="s">
        <v>82</v>
      </c>
      <c r="BG1115" s="2"/>
      <c r="BH1115" s="2"/>
      <c r="BI1115" s="2"/>
      <c r="BJ1115" s="2">
        <v>241</v>
      </c>
      <c r="BK1115" s="2" t="s">
        <v>82</v>
      </c>
      <c r="BL1115" s="2"/>
      <c r="BM1115" s="2">
        <v>241</v>
      </c>
      <c r="BN1115" s="2" t="s">
        <v>82</v>
      </c>
      <c r="BO1115" s="2"/>
      <c r="BP1115" s="2">
        <v>241</v>
      </c>
      <c r="BQ1115" s="2" t="s">
        <v>82</v>
      </c>
      <c r="BR1115" s="2"/>
      <c r="BS1115" s="3">
        <v>40258</v>
      </c>
      <c r="BT1115" s="4">
        <v>0.77105324074074078</v>
      </c>
    </row>
    <row r="1116" spans="1:72" x14ac:dyDescent="0.25">
      <c r="A1116" s="2">
        <v>1714</v>
      </c>
      <c r="B1116" s="2">
        <v>2010</v>
      </c>
      <c r="C1116" s="2" t="s">
        <v>196</v>
      </c>
      <c r="D1116" s="2" t="s">
        <v>122</v>
      </c>
      <c r="E1116" s="2"/>
      <c r="F1116" s="2">
        <v>1</v>
      </c>
      <c r="G1116" s="2" t="s">
        <v>82</v>
      </c>
      <c r="H1116" s="2">
        <v>1</v>
      </c>
      <c r="I1116" s="2" t="s">
        <v>82</v>
      </c>
      <c r="J1116" s="2">
        <v>1</v>
      </c>
      <c r="K1116" s="2" t="s">
        <v>107</v>
      </c>
      <c r="L1116" s="2" t="s">
        <v>107</v>
      </c>
      <c r="M1116" s="3">
        <v>40258</v>
      </c>
      <c r="N1116" s="2"/>
      <c r="O1116" s="2"/>
      <c r="P1116" s="2"/>
      <c r="Q1116" s="2" t="str">
        <f>""</f>
        <v/>
      </c>
      <c r="R1116" s="2"/>
      <c r="S1116" s="2"/>
      <c r="T1116" s="2">
        <v>2</v>
      </c>
      <c r="U1116" s="2" t="s">
        <v>123</v>
      </c>
      <c r="V1116" s="2">
        <v>1</v>
      </c>
      <c r="W1116" s="2" t="s">
        <v>80</v>
      </c>
      <c r="X1116" s="2">
        <v>1</v>
      </c>
      <c r="Y1116" s="2" t="s">
        <v>81</v>
      </c>
      <c r="Z1116" s="2">
        <v>1</v>
      </c>
      <c r="AA1116" s="2" t="s">
        <v>82</v>
      </c>
      <c r="AB1116" s="2">
        <v>9</v>
      </c>
      <c r="AC1116" s="2" t="s">
        <v>124</v>
      </c>
      <c r="AD1116" s="3">
        <v>40258</v>
      </c>
      <c r="AE1116" s="4">
        <v>0.7090277777777777</v>
      </c>
      <c r="AF1116" s="2"/>
      <c r="AG1116" s="2"/>
      <c r="AH1116" s="2">
        <v>2</v>
      </c>
      <c r="AI1116" s="2" t="s">
        <v>84</v>
      </c>
      <c r="AJ1116" s="2">
        <v>12</v>
      </c>
      <c r="AK1116" s="2" t="s">
        <v>85</v>
      </c>
      <c r="AL1116" s="2">
        <v>20</v>
      </c>
      <c r="AM1116" s="2" t="s">
        <v>992</v>
      </c>
      <c r="AN1116" s="2"/>
      <c r="AO1116" s="2"/>
      <c r="AP1116" s="2">
        <v>11</v>
      </c>
      <c r="AQ1116" s="2" t="s">
        <v>82</v>
      </c>
      <c r="AR1116" s="2"/>
      <c r="AS1116" s="2"/>
      <c r="AT1116" s="2" t="s">
        <v>4242</v>
      </c>
      <c r="AU1116" s="2"/>
      <c r="AV1116" s="2"/>
      <c r="AW1116" s="2"/>
      <c r="AX1116" s="2"/>
      <c r="AY1116" s="2">
        <v>41</v>
      </c>
      <c r="AZ1116" s="2" t="s">
        <v>82</v>
      </c>
      <c r="BA1116" s="2">
        <v>41</v>
      </c>
      <c r="BB1116" s="2" t="s">
        <v>82</v>
      </c>
      <c r="BC1116" s="2">
        <v>41</v>
      </c>
      <c r="BD1116" s="2" t="s">
        <v>82</v>
      </c>
      <c r="BE1116" s="2">
        <v>41</v>
      </c>
      <c r="BF1116" s="2" t="s">
        <v>82</v>
      </c>
      <c r="BG1116" s="2"/>
      <c r="BH1116" s="2"/>
      <c r="BI1116" s="2"/>
      <c r="BJ1116" s="2">
        <v>241</v>
      </c>
      <c r="BK1116" s="2" t="s">
        <v>82</v>
      </c>
      <c r="BL1116" s="2"/>
      <c r="BM1116" s="2">
        <v>241</v>
      </c>
      <c r="BN1116" s="2" t="s">
        <v>82</v>
      </c>
      <c r="BO1116" s="2"/>
      <c r="BP1116" s="2">
        <v>241</v>
      </c>
      <c r="BQ1116" s="2" t="s">
        <v>82</v>
      </c>
      <c r="BR1116" s="2"/>
      <c r="BS1116" s="3">
        <v>40258</v>
      </c>
      <c r="BT1116" s="4">
        <v>0.77674768518518522</v>
      </c>
    </row>
    <row r="1117" spans="1:72" x14ac:dyDescent="0.25">
      <c r="A1117" s="2">
        <v>1715</v>
      </c>
      <c r="B1117" s="2">
        <v>2010</v>
      </c>
      <c r="C1117" s="2" t="s">
        <v>72</v>
      </c>
      <c r="D1117" s="2" t="s">
        <v>73</v>
      </c>
      <c r="E1117" s="2"/>
      <c r="F1117" s="2">
        <v>177</v>
      </c>
      <c r="G1117" s="2" t="s">
        <v>403</v>
      </c>
      <c r="H1117" s="2">
        <v>68</v>
      </c>
      <c r="I1117" s="2" t="s">
        <v>3747</v>
      </c>
      <c r="J1117" s="2">
        <v>185</v>
      </c>
      <c r="K1117" s="2" t="s">
        <v>3748</v>
      </c>
      <c r="L1117" s="2" t="s">
        <v>3749</v>
      </c>
      <c r="M1117" s="3">
        <v>40258</v>
      </c>
      <c r="N1117" s="2" t="s">
        <v>4212</v>
      </c>
      <c r="O1117" s="2" t="s">
        <v>107</v>
      </c>
      <c r="P1117" s="2" t="s">
        <v>107</v>
      </c>
      <c r="Q1117" s="2" t="str">
        <f>"115-A/10"</f>
        <v>115-A/10</v>
      </c>
      <c r="R1117" s="2" t="s">
        <v>206</v>
      </c>
      <c r="S1117" s="2" t="s">
        <v>206</v>
      </c>
      <c r="T1117" s="2">
        <v>1</v>
      </c>
      <c r="U1117" s="2" t="s">
        <v>79</v>
      </c>
      <c r="V1117" s="2">
        <v>1</v>
      </c>
      <c r="W1117" s="2" t="s">
        <v>80</v>
      </c>
      <c r="X1117" s="2">
        <v>1</v>
      </c>
      <c r="Y1117" s="2" t="s">
        <v>81</v>
      </c>
      <c r="Z1117" s="2">
        <v>1</v>
      </c>
      <c r="AA1117" s="2" t="s">
        <v>82</v>
      </c>
      <c r="AB1117" s="2">
        <v>6</v>
      </c>
      <c r="AC1117" s="2" t="s">
        <v>83</v>
      </c>
      <c r="AD1117" s="3">
        <v>40255</v>
      </c>
      <c r="AE1117" s="4">
        <v>0.96527777777777779</v>
      </c>
      <c r="AF1117" s="3">
        <v>40258</v>
      </c>
      <c r="AG1117" s="4">
        <v>0.77083333333333337</v>
      </c>
      <c r="AH1117" s="2">
        <v>2</v>
      </c>
      <c r="AI1117" s="2" t="s">
        <v>84</v>
      </c>
      <c r="AJ1117" s="2">
        <v>12</v>
      </c>
      <c r="AK1117" s="2" t="s">
        <v>85</v>
      </c>
      <c r="AL1117" s="2">
        <v>10</v>
      </c>
      <c r="AM1117" s="2" t="s">
        <v>200</v>
      </c>
      <c r="AN1117" s="2"/>
      <c r="AO1117" s="2" t="s">
        <v>4243</v>
      </c>
      <c r="AP1117" s="2">
        <v>11</v>
      </c>
      <c r="AQ1117" s="2" t="s">
        <v>82</v>
      </c>
      <c r="AR1117" s="2" t="s">
        <v>82</v>
      </c>
      <c r="AS1117" s="2" t="s">
        <v>82</v>
      </c>
      <c r="AT1117" s="2" t="s">
        <v>4244</v>
      </c>
      <c r="AU1117" s="2"/>
      <c r="AV1117" s="2"/>
      <c r="AW1117" s="2"/>
      <c r="AX1117" s="2"/>
      <c r="AY1117" s="2">
        <v>41</v>
      </c>
      <c r="AZ1117" s="2" t="s">
        <v>82</v>
      </c>
      <c r="BA1117" s="2">
        <v>41</v>
      </c>
      <c r="BB1117" s="2" t="s">
        <v>82</v>
      </c>
      <c r="BC1117" s="2">
        <v>41</v>
      </c>
      <c r="BD1117" s="2" t="s">
        <v>82</v>
      </c>
      <c r="BE1117" s="2">
        <v>10</v>
      </c>
      <c r="BF1117" s="2" t="s">
        <v>901</v>
      </c>
      <c r="BG1117" s="2" t="s">
        <v>4245</v>
      </c>
      <c r="BH1117" s="4">
        <v>0.96527777777777779</v>
      </c>
      <c r="BI1117" s="4">
        <v>0.92708333333333337</v>
      </c>
      <c r="BJ1117" s="2">
        <v>13</v>
      </c>
      <c r="BK1117" s="2" t="s">
        <v>91</v>
      </c>
      <c r="BL1117" s="2" t="s">
        <v>4246</v>
      </c>
      <c r="BM1117" s="2">
        <v>241</v>
      </c>
      <c r="BN1117" s="2" t="s">
        <v>82</v>
      </c>
      <c r="BO1117" s="2" t="s">
        <v>82</v>
      </c>
      <c r="BP1117" s="2">
        <v>229</v>
      </c>
      <c r="BQ1117" s="2" t="s">
        <v>300</v>
      </c>
      <c r="BR1117" s="2" t="s">
        <v>301</v>
      </c>
      <c r="BS1117" s="3">
        <v>40258</v>
      </c>
      <c r="BT1117" s="4">
        <v>0.78738425925925926</v>
      </c>
    </row>
    <row r="1118" spans="1:72" x14ac:dyDescent="0.25">
      <c r="A1118" s="2">
        <v>1717</v>
      </c>
      <c r="B1118" s="2">
        <v>2010</v>
      </c>
      <c r="C1118" s="2" t="s">
        <v>93</v>
      </c>
      <c r="D1118" s="2" t="s">
        <v>122</v>
      </c>
      <c r="E1118" s="2"/>
      <c r="F1118" s="2">
        <v>390</v>
      </c>
      <c r="G1118" s="2" t="s">
        <v>475</v>
      </c>
      <c r="H1118" s="2">
        <v>5</v>
      </c>
      <c r="I1118" s="2" t="s">
        <v>634</v>
      </c>
      <c r="J1118" s="2">
        <v>314</v>
      </c>
      <c r="K1118" s="2" t="s">
        <v>477</v>
      </c>
      <c r="L1118" s="2" t="s">
        <v>478</v>
      </c>
      <c r="M1118" s="3">
        <v>40258</v>
      </c>
      <c r="N1118" s="2" t="s">
        <v>3515</v>
      </c>
      <c r="O1118" s="2" t="s">
        <v>82</v>
      </c>
      <c r="P1118" s="2" t="s">
        <v>82</v>
      </c>
      <c r="Q1118" s="2" t="str">
        <f>"N/C"</f>
        <v>N/C</v>
      </c>
      <c r="R1118" s="2" t="s">
        <v>82</v>
      </c>
      <c r="S1118" s="2" t="s">
        <v>4247</v>
      </c>
      <c r="T1118" s="2">
        <v>1</v>
      </c>
      <c r="U1118" s="2" t="s">
        <v>79</v>
      </c>
      <c r="V1118" s="2">
        <v>1</v>
      </c>
      <c r="W1118" s="2" t="s">
        <v>80</v>
      </c>
      <c r="X1118" s="2">
        <v>5</v>
      </c>
      <c r="Y1118" s="2" t="s">
        <v>82</v>
      </c>
      <c r="Z1118" s="2">
        <v>1</v>
      </c>
      <c r="AA1118" s="2" t="s">
        <v>82</v>
      </c>
      <c r="AB1118" s="2">
        <v>2</v>
      </c>
      <c r="AC1118" s="2" t="s">
        <v>102</v>
      </c>
      <c r="AD1118" s="3">
        <v>40258</v>
      </c>
      <c r="AE1118" s="4">
        <v>0.54166666666666663</v>
      </c>
      <c r="AF1118" s="2"/>
      <c r="AG1118" s="2"/>
      <c r="AH1118" s="2">
        <v>2</v>
      </c>
      <c r="AI1118" s="2" t="s">
        <v>84</v>
      </c>
      <c r="AJ1118" s="2">
        <v>9</v>
      </c>
      <c r="AK1118" s="2" t="s">
        <v>103</v>
      </c>
      <c r="AL1118" s="2">
        <v>14</v>
      </c>
      <c r="AM1118" s="2" t="s">
        <v>216</v>
      </c>
      <c r="AN1118" s="2" t="s">
        <v>82</v>
      </c>
      <c r="AO1118" s="2" t="s">
        <v>4248</v>
      </c>
      <c r="AP1118" s="2">
        <v>11</v>
      </c>
      <c r="AQ1118" s="2" t="s">
        <v>82</v>
      </c>
      <c r="AR1118" s="2"/>
      <c r="AS1118" s="2"/>
      <c r="AT1118" s="2" t="s">
        <v>4249</v>
      </c>
      <c r="AU1118" s="2"/>
      <c r="AV1118" s="2"/>
      <c r="AW1118" s="2"/>
      <c r="AX1118" s="2"/>
      <c r="AY1118" s="2">
        <v>41</v>
      </c>
      <c r="AZ1118" s="2" t="s">
        <v>82</v>
      </c>
      <c r="BA1118" s="2">
        <v>41</v>
      </c>
      <c r="BB1118" s="2" t="s">
        <v>82</v>
      </c>
      <c r="BC1118" s="2">
        <v>41</v>
      </c>
      <c r="BD1118" s="2" t="s">
        <v>82</v>
      </c>
      <c r="BE1118" s="2">
        <v>39</v>
      </c>
      <c r="BF1118" s="2" t="s">
        <v>440</v>
      </c>
      <c r="BG1118" s="2" t="s">
        <v>4250</v>
      </c>
      <c r="BH1118" s="4">
        <v>0.45833333333333331</v>
      </c>
      <c r="BI1118" s="2"/>
      <c r="BJ1118" s="2">
        <v>33</v>
      </c>
      <c r="BK1118" s="2" t="s">
        <v>361</v>
      </c>
      <c r="BL1118" s="2" t="s">
        <v>1739</v>
      </c>
      <c r="BM1118" s="2">
        <v>241</v>
      </c>
      <c r="BN1118" s="2" t="s">
        <v>82</v>
      </c>
      <c r="BO1118" s="2"/>
      <c r="BP1118" s="2">
        <v>13</v>
      </c>
      <c r="BQ1118" s="2" t="s">
        <v>91</v>
      </c>
      <c r="BR1118" s="2" t="s">
        <v>4251</v>
      </c>
      <c r="BS1118" s="3">
        <v>40258</v>
      </c>
      <c r="BT1118" s="4">
        <v>0.90040509259259249</v>
      </c>
    </row>
    <row r="1119" spans="1:72" x14ac:dyDescent="0.25">
      <c r="A1119" s="2">
        <v>1718</v>
      </c>
      <c r="B1119" s="2">
        <v>2010</v>
      </c>
      <c r="C1119" s="2" t="s">
        <v>764</v>
      </c>
      <c r="D1119" s="2" t="s">
        <v>73</v>
      </c>
      <c r="E1119" s="2"/>
      <c r="F1119" s="2">
        <v>390</v>
      </c>
      <c r="G1119" s="2" t="s">
        <v>475</v>
      </c>
      <c r="H1119" s="2">
        <v>5</v>
      </c>
      <c r="I1119" s="2" t="s">
        <v>634</v>
      </c>
      <c r="J1119" s="2">
        <v>314</v>
      </c>
      <c r="K1119" s="2" t="s">
        <v>477</v>
      </c>
      <c r="L1119" s="2" t="s">
        <v>478</v>
      </c>
      <c r="M1119" s="3">
        <v>40258</v>
      </c>
      <c r="N1119" s="2" t="s">
        <v>3515</v>
      </c>
      <c r="O1119" s="2" t="s">
        <v>107</v>
      </c>
      <c r="P1119" s="2" t="s">
        <v>107</v>
      </c>
      <c r="Q1119" s="2" t="str">
        <f>"154-E/10"</f>
        <v>154-E/10</v>
      </c>
      <c r="R1119" s="2" t="s">
        <v>107</v>
      </c>
      <c r="S1119" s="2" t="s">
        <v>4252</v>
      </c>
      <c r="T1119" s="2">
        <v>1</v>
      </c>
      <c r="U1119" s="2" t="s">
        <v>79</v>
      </c>
      <c r="V1119" s="2">
        <v>1</v>
      </c>
      <c r="W1119" s="2" t="s">
        <v>80</v>
      </c>
      <c r="X1119" s="2">
        <v>5</v>
      </c>
      <c r="Y1119" s="2" t="s">
        <v>82</v>
      </c>
      <c r="Z1119" s="2">
        <v>1</v>
      </c>
      <c r="AA1119" s="2" t="s">
        <v>82</v>
      </c>
      <c r="AB1119" s="2">
        <v>9</v>
      </c>
      <c r="AC1119" s="2" t="s">
        <v>124</v>
      </c>
      <c r="AD1119" s="3">
        <v>40258</v>
      </c>
      <c r="AE1119" s="4">
        <v>0.45833333333333331</v>
      </c>
      <c r="AF1119" s="2"/>
      <c r="AG1119" s="2"/>
      <c r="AH1119" s="2">
        <v>2</v>
      </c>
      <c r="AI1119" s="2" t="s">
        <v>84</v>
      </c>
      <c r="AJ1119" s="2">
        <v>9</v>
      </c>
      <c r="AK1119" s="2" t="s">
        <v>103</v>
      </c>
      <c r="AL1119" s="2">
        <v>14</v>
      </c>
      <c r="AM1119" s="2" t="s">
        <v>216</v>
      </c>
      <c r="AN1119" s="2" t="s">
        <v>230</v>
      </c>
      <c r="AO1119" s="2" t="s">
        <v>4253</v>
      </c>
      <c r="AP1119" s="2">
        <v>11</v>
      </c>
      <c r="AQ1119" s="2" t="s">
        <v>82</v>
      </c>
      <c r="AR1119" s="2"/>
      <c r="AS1119" s="2"/>
      <c r="AT1119" s="2" t="s">
        <v>4254</v>
      </c>
      <c r="AU1119" s="2"/>
      <c r="AV1119" s="2"/>
      <c r="AW1119" s="2"/>
      <c r="AX1119" s="2"/>
      <c r="AY1119" s="2">
        <v>8</v>
      </c>
      <c r="AZ1119" s="2" t="s">
        <v>3465</v>
      </c>
      <c r="BA1119" s="2">
        <v>41</v>
      </c>
      <c r="BB1119" s="2" t="s">
        <v>82</v>
      </c>
      <c r="BC1119" s="2">
        <v>41</v>
      </c>
      <c r="BD1119" s="2" t="s">
        <v>82</v>
      </c>
      <c r="BE1119" s="2">
        <v>8</v>
      </c>
      <c r="BF1119" s="2" t="s">
        <v>3465</v>
      </c>
      <c r="BG1119" s="2" t="s">
        <v>3466</v>
      </c>
      <c r="BH1119" s="4">
        <v>0.4513888888888889</v>
      </c>
      <c r="BI1119" s="2"/>
      <c r="BJ1119" s="2">
        <v>180</v>
      </c>
      <c r="BK1119" s="2" t="s">
        <v>4255</v>
      </c>
      <c r="BL1119" s="2" t="s">
        <v>1237</v>
      </c>
      <c r="BM1119" s="2">
        <v>33</v>
      </c>
      <c r="BN1119" s="2" t="s">
        <v>361</v>
      </c>
      <c r="BO1119" s="2" t="s">
        <v>1739</v>
      </c>
      <c r="BP1119" s="2">
        <v>13</v>
      </c>
      <c r="BQ1119" s="2" t="s">
        <v>91</v>
      </c>
      <c r="BR1119" s="2" t="s">
        <v>4256</v>
      </c>
      <c r="BS1119" s="3">
        <v>40258</v>
      </c>
      <c r="BT1119" s="4">
        <v>0.94013888888888886</v>
      </c>
    </row>
    <row r="1120" spans="1:72" x14ac:dyDescent="0.25">
      <c r="A1120" s="2">
        <v>1719</v>
      </c>
      <c r="B1120" s="2">
        <v>2010</v>
      </c>
      <c r="C1120" s="2" t="s">
        <v>171</v>
      </c>
      <c r="D1120" s="2" t="s">
        <v>73</v>
      </c>
      <c r="E1120" s="2"/>
      <c r="F1120" s="2">
        <v>159</v>
      </c>
      <c r="G1120" s="2" t="s">
        <v>3883</v>
      </c>
      <c r="H1120" s="2">
        <v>18</v>
      </c>
      <c r="I1120" s="2" t="s">
        <v>3884</v>
      </c>
      <c r="J1120" s="2">
        <v>172</v>
      </c>
      <c r="K1120" s="2" t="s">
        <v>3885</v>
      </c>
      <c r="L1120" s="2" t="s">
        <v>3886</v>
      </c>
      <c r="M1120" s="3">
        <v>40258</v>
      </c>
      <c r="N1120" s="2" t="s">
        <v>4111</v>
      </c>
      <c r="O1120" s="2" t="s">
        <v>107</v>
      </c>
      <c r="P1120" s="2" t="s">
        <v>107</v>
      </c>
      <c r="Q1120" s="2" t="str">
        <f>"116-A/10"</f>
        <v>116-A/10</v>
      </c>
      <c r="R1120" s="2" t="s">
        <v>107</v>
      </c>
      <c r="S1120" s="2" t="s">
        <v>1035</v>
      </c>
      <c r="T1120" s="2">
        <v>1</v>
      </c>
      <c r="U1120" s="2" t="s">
        <v>79</v>
      </c>
      <c r="V1120" s="2">
        <v>1</v>
      </c>
      <c r="W1120" s="2" t="s">
        <v>80</v>
      </c>
      <c r="X1120" s="2">
        <v>1</v>
      </c>
      <c r="Y1120" s="2" t="s">
        <v>81</v>
      </c>
      <c r="Z1120" s="2">
        <v>1</v>
      </c>
      <c r="AA1120" s="2" t="s">
        <v>82</v>
      </c>
      <c r="AB1120" s="2">
        <v>1</v>
      </c>
      <c r="AC1120" s="2" t="s">
        <v>178</v>
      </c>
      <c r="AD1120" s="3">
        <v>40258</v>
      </c>
      <c r="AE1120" s="4">
        <v>0.89583333333333337</v>
      </c>
      <c r="AF1120" s="3">
        <v>40258</v>
      </c>
      <c r="AG1120" s="4">
        <v>0.93055555555555547</v>
      </c>
      <c r="AH1120" s="2">
        <v>2</v>
      </c>
      <c r="AI1120" s="2" t="s">
        <v>84</v>
      </c>
      <c r="AJ1120" s="2">
        <v>12</v>
      </c>
      <c r="AK1120" s="2" t="s">
        <v>85</v>
      </c>
      <c r="AL1120" s="2">
        <v>14</v>
      </c>
      <c r="AM1120" s="2" t="s">
        <v>216</v>
      </c>
      <c r="AN1120" s="2" t="s">
        <v>919</v>
      </c>
      <c r="AO1120" s="2" t="s">
        <v>3888</v>
      </c>
      <c r="AP1120" s="2">
        <v>11</v>
      </c>
      <c r="AQ1120" s="2" t="s">
        <v>82</v>
      </c>
      <c r="AR1120" s="2"/>
      <c r="AS1120" s="2"/>
      <c r="AT1120" s="2" t="s">
        <v>4257</v>
      </c>
      <c r="AU1120" s="2">
        <v>1</v>
      </c>
      <c r="AV1120" s="2"/>
      <c r="AW1120" s="2"/>
      <c r="AX1120" s="2"/>
      <c r="AY1120" s="2">
        <v>41</v>
      </c>
      <c r="AZ1120" s="2" t="s">
        <v>82</v>
      </c>
      <c r="BA1120" s="2">
        <v>41</v>
      </c>
      <c r="BB1120" s="2" t="s">
        <v>82</v>
      </c>
      <c r="BC1120" s="2">
        <v>41</v>
      </c>
      <c r="BD1120" s="2" t="s">
        <v>82</v>
      </c>
      <c r="BE1120" s="2">
        <v>13</v>
      </c>
      <c r="BF1120" s="2" t="s">
        <v>108</v>
      </c>
      <c r="BG1120" s="2" t="s">
        <v>4258</v>
      </c>
      <c r="BH1120" s="4">
        <v>0.96527777777777779</v>
      </c>
      <c r="BI1120" s="4">
        <v>0.92499999999999993</v>
      </c>
      <c r="BJ1120" s="2">
        <v>13</v>
      </c>
      <c r="BK1120" s="2" t="s">
        <v>91</v>
      </c>
      <c r="BL1120" s="2" t="s">
        <v>3378</v>
      </c>
      <c r="BM1120" s="2">
        <v>241</v>
      </c>
      <c r="BN1120" s="2" t="s">
        <v>82</v>
      </c>
      <c r="BO1120" s="2" t="s">
        <v>82</v>
      </c>
      <c r="BP1120" s="2">
        <v>13</v>
      </c>
      <c r="BQ1120" s="2" t="s">
        <v>91</v>
      </c>
      <c r="BR1120" s="2" t="s">
        <v>169</v>
      </c>
      <c r="BS1120" s="3">
        <v>40258</v>
      </c>
      <c r="BT1120" s="4">
        <v>0.9836111111111111</v>
      </c>
    </row>
    <row r="1121" spans="1:72" x14ac:dyDescent="0.25">
      <c r="A1121" s="2">
        <v>1720</v>
      </c>
      <c r="B1121" s="2">
        <v>2010</v>
      </c>
      <c r="C1121" s="2" t="s">
        <v>549</v>
      </c>
      <c r="D1121" s="2" t="s">
        <v>73</v>
      </c>
      <c r="E1121" s="2"/>
      <c r="F1121" s="2">
        <v>3</v>
      </c>
      <c r="G1121" s="2" t="s">
        <v>1041</v>
      </c>
      <c r="H1121" s="2">
        <v>42</v>
      </c>
      <c r="I1121" s="2" t="s">
        <v>1096</v>
      </c>
      <c r="J1121" s="2">
        <v>368</v>
      </c>
      <c r="K1121" s="2" t="s">
        <v>1042</v>
      </c>
      <c r="L1121" s="2" t="s">
        <v>1043</v>
      </c>
      <c r="M1121" s="3">
        <v>40259</v>
      </c>
      <c r="N1121" s="2" t="s">
        <v>82</v>
      </c>
      <c r="O1121" s="2" t="s">
        <v>107</v>
      </c>
      <c r="P1121" s="2" t="s">
        <v>107</v>
      </c>
      <c r="Q1121" s="2" t="str">
        <f>"156-E/10"</f>
        <v>156-E/10</v>
      </c>
      <c r="R1121" s="2" t="s">
        <v>550</v>
      </c>
      <c r="S1121" s="2" t="s">
        <v>550</v>
      </c>
      <c r="T1121" s="2">
        <v>1</v>
      </c>
      <c r="U1121" s="2" t="s">
        <v>79</v>
      </c>
      <c r="V1121" s="2">
        <v>1</v>
      </c>
      <c r="W1121" s="2" t="s">
        <v>80</v>
      </c>
      <c r="X1121" s="2">
        <v>1</v>
      </c>
      <c r="Y1121" s="2" t="s">
        <v>81</v>
      </c>
      <c r="Z1121" s="2">
        <v>1</v>
      </c>
      <c r="AA1121" s="2" t="s">
        <v>82</v>
      </c>
      <c r="AB1121" s="2">
        <v>9</v>
      </c>
      <c r="AC1121" s="2" t="s">
        <v>124</v>
      </c>
      <c r="AD1121" s="3">
        <v>40258</v>
      </c>
      <c r="AE1121" s="4">
        <v>0.73611111111111116</v>
      </c>
      <c r="AF1121" s="3">
        <v>40258</v>
      </c>
      <c r="AG1121" s="4">
        <v>0.89583333333333337</v>
      </c>
      <c r="AH1121" s="2">
        <v>2</v>
      </c>
      <c r="AI1121" s="2" t="s">
        <v>84</v>
      </c>
      <c r="AJ1121" s="2">
        <v>9</v>
      </c>
      <c r="AK1121" s="2" t="s">
        <v>103</v>
      </c>
      <c r="AL1121" s="2">
        <v>12</v>
      </c>
      <c r="AM1121" s="2" t="s">
        <v>86</v>
      </c>
      <c r="AN1121" s="2" t="s">
        <v>4259</v>
      </c>
      <c r="AO1121" s="2" t="s">
        <v>82</v>
      </c>
      <c r="AP1121" s="2">
        <v>11</v>
      </c>
      <c r="AQ1121" s="2" t="s">
        <v>82</v>
      </c>
      <c r="AR1121" s="2"/>
      <c r="AS1121" s="2"/>
      <c r="AT1121" s="2" t="s">
        <v>4260</v>
      </c>
      <c r="AU1121" s="2"/>
      <c r="AV1121" s="2"/>
      <c r="AW1121" s="2"/>
      <c r="AX1121" s="2"/>
      <c r="AY1121" s="2">
        <v>41</v>
      </c>
      <c r="AZ1121" s="2" t="s">
        <v>82</v>
      </c>
      <c r="BA1121" s="2">
        <v>41</v>
      </c>
      <c r="BB1121" s="2" t="s">
        <v>82</v>
      </c>
      <c r="BC1121" s="2">
        <v>41</v>
      </c>
      <c r="BD1121" s="2" t="s">
        <v>82</v>
      </c>
      <c r="BE1121" s="2">
        <v>41</v>
      </c>
      <c r="BF1121" s="2" t="s">
        <v>82</v>
      </c>
      <c r="BG1121" s="2"/>
      <c r="BH1121" s="2"/>
      <c r="BI1121" s="2"/>
      <c r="BJ1121" s="2">
        <v>241</v>
      </c>
      <c r="BK1121" s="2" t="s">
        <v>82</v>
      </c>
      <c r="BL1121" s="2"/>
      <c r="BM1121" s="2">
        <v>241</v>
      </c>
      <c r="BN1121" s="2" t="s">
        <v>82</v>
      </c>
      <c r="BO1121" s="2"/>
      <c r="BP1121" s="2">
        <v>241</v>
      </c>
      <c r="BQ1121" s="2" t="s">
        <v>82</v>
      </c>
      <c r="BR1121" s="2"/>
      <c r="BS1121" s="3">
        <v>40259</v>
      </c>
      <c r="BT1121" s="4">
        <v>4.5300925925925932E-2</v>
      </c>
    </row>
    <row r="1122" spans="1:72" x14ac:dyDescent="0.25">
      <c r="A1122" s="2">
        <v>1721</v>
      </c>
      <c r="B1122" s="2">
        <v>2010</v>
      </c>
      <c r="C1122" s="2" t="s">
        <v>171</v>
      </c>
      <c r="D1122" s="2" t="s">
        <v>122</v>
      </c>
      <c r="E1122" s="2" t="s">
        <v>4261</v>
      </c>
      <c r="F1122" s="2">
        <v>159</v>
      </c>
      <c r="G1122" s="2" t="s">
        <v>3883</v>
      </c>
      <c r="H1122" s="2">
        <v>18</v>
      </c>
      <c r="I1122" s="2" t="s">
        <v>3884</v>
      </c>
      <c r="J1122" s="2">
        <v>172</v>
      </c>
      <c r="K1122" s="2" t="s">
        <v>3885</v>
      </c>
      <c r="L1122" s="2" t="s">
        <v>3886</v>
      </c>
      <c r="M1122" s="3">
        <v>40259</v>
      </c>
      <c r="N1122" s="2" t="s">
        <v>4167</v>
      </c>
      <c r="O1122" s="2" t="s">
        <v>107</v>
      </c>
      <c r="P1122" s="2" t="s">
        <v>107</v>
      </c>
      <c r="Q1122" s="2" t="str">
        <f>"116-A/10"</f>
        <v>116-A/10</v>
      </c>
      <c r="R1122" s="2" t="s">
        <v>1035</v>
      </c>
      <c r="S1122" s="2" t="s">
        <v>107</v>
      </c>
      <c r="T1122" s="2">
        <v>1</v>
      </c>
      <c r="U1122" s="2" t="s">
        <v>79</v>
      </c>
      <c r="V1122" s="2">
        <v>1</v>
      </c>
      <c r="W1122" s="2" t="s">
        <v>80</v>
      </c>
      <c r="X1122" s="2">
        <v>1</v>
      </c>
      <c r="Y1122" s="2" t="s">
        <v>81</v>
      </c>
      <c r="Z1122" s="2">
        <v>10</v>
      </c>
      <c r="AA1122" s="2" t="s">
        <v>236</v>
      </c>
      <c r="AB1122" s="2">
        <v>1</v>
      </c>
      <c r="AC1122" s="2" t="s">
        <v>178</v>
      </c>
      <c r="AD1122" s="3">
        <v>40258</v>
      </c>
      <c r="AE1122" s="4">
        <v>0.88194444444444453</v>
      </c>
      <c r="AF1122" s="3">
        <v>40258</v>
      </c>
      <c r="AG1122" s="4">
        <v>0.89583333333333337</v>
      </c>
      <c r="AH1122" s="2">
        <v>2</v>
      </c>
      <c r="AI1122" s="2" t="s">
        <v>84</v>
      </c>
      <c r="AJ1122" s="2">
        <v>12</v>
      </c>
      <c r="AK1122" s="2" t="s">
        <v>85</v>
      </c>
      <c r="AL1122" s="2">
        <v>14</v>
      </c>
      <c r="AM1122" s="2" t="s">
        <v>216</v>
      </c>
      <c r="AN1122" s="2" t="s">
        <v>919</v>
      </c>
      <c r="AO1122" s="2" t="s">
        <v>4262</v>
      </c>
      <c r="AP1122" s="2">
        <v>11</v>
      </c>
      <c r="AQ1122" s="2" t="s">
        <v>82</v>
      </c>
      <c r="AR1122" s="2"/>
      <c r="AS1122" s="2"/>
      <c r="AT1122" s="2" t="s">
        <v>4263</v>
      </c>
      <c r="AU1122" s="2">
        <v>1</v>
      </c>
      <c r="AV1122" s="2"/>
      <c r="AW1122" s="2"/>
      <c r="AX1122" s="2"/>
      <c r="AY1122" s="2">
        <v>41</v>
      </c>
      <c r="AZ1122" s="2" t="s">
        <v>82</v>
      </c>
      <c r="BA1122" s="2">
        <v>41</v>
      </c>
      <c r="BB1122" s="2" t="s">
        <v>82</v>
      </c>
      <c r="BC1122" s="2">
        <v>41</v>
      </c>
      <c r="BD1122" s="2" t="s">
        <v>82</v>
      </c>
      <c r="BE1122" s="2">
        <v>13</v>
      </c>
      <c r="BF1122" s="2" t="s">
        <v>108</v>
      </c>
      <c r="BG1122" s="2" t="s">
        <v>4258</v>
      </c>
      <c r="BH1122" s="4">
        <v>0.96527777777777779</v>
      </c>
      <c r="BI1122" s="4">
        <v>0.92499999999999993</v>
      </c>
      <c r="BJ1122" s="2">
        <v>13</v>
      </c>
      <c r="BK1122" s="2" t="s">
        <v>91</v>
      </c>
      <c r="BL1122" s="2" t="s">
        <v>185</v>
      </c>
      <c r="BM1122" s="2">
        <v>241</v>
      </c>
      <c r="BN1122" s="2" t="s">
        <v>82</v>
      </c>
      <c r="BO1122" s="2" t="s">
        <v>82</v>
      </c>
      <c r="BP1122" s="2">
        <v>13</v>
      </c>
      <c r="BQ1122" s="2" t="s">
        <v>91</v>
      </c>
      <c r="BR1122" s="2" t="s">
        <v>169</v>
      </c>
      <c r="BS1122" s="3">
        <v>40259</v>
      </c>
      <c r="BT1122" s="4">
        <v>0.25072916666666667</v>
      </c>
    </row>
    <row r="1123" spans="1:72" x14ac:dyDescent="0.25">
      <c r="A1123" s="2">
        <v>1722</v>
      </c>
      <c r="B1123" s="2">
        <v>2010</v>
      </c>
      <c r="C1123" s="2" t="s">
        <v>171</v>
      </c>
      <c r="D1123" s="2" t="s">
        <v>73</v>
      </c>
      <c r="E1123" s="2"/>
      <c r="F1123" s="2">
        <v>232</v>
      </c>
      <c r="G1123" s="2" t="s">
        <v>4075</v>
      </c>
      <c r="H1123" s="2">
        <v>15</v>
      </c>
      <c r="I1123" s="2" t="s">
        <v>130</v>
      </c>
      <c r="J1123" s="2">
        <v>242</v>
      </c>
      <c r="K1123" s="2" t="s">
        <v>1077</v>
      </c>
      <c r="L1123" s="2" t="s">
        <v>1078</v>
      </c>
      <c r="M1123" s="3">
        <v>40259</v>
      </c>
      <c r="N1123" s="2" t="s">
        <v>588</v>
      </c>
      <c r="O1123" s="2" t="s">
        <v>4264</v>
      </c>
      <c r="P1123" s="2">
        <v>6469</v>
      </c>
      <c r="Q1123" s="2" t="str">
        <f>"148E/10"</f>
        <v>148E/10</v>
      </c>
      <c r="R1123" s="2"/>
      <c r="S1123" s="2" t="s">
        <v>2448</v>
      </c>
      <c r="T1123" s="2">
        <v>1</v>
      </c>
      <c r="U1123" s="2" t="s">
        <v>79</v>
      </c>
      <c r="V1123" s="2">
        <v>3</v>
      </c>
      <c r="W1123" s="2" t="s">
        <v>225</v>
      </c>
      <c r="X1123" s="2">
        <v>6</v>
      </c>
      <c r="Y1123" s="2" t="s">
        <v>249</v>
      </c>
      <c r="Z1123" s="2">
        <v>10</v>
      </c>
      <c r="AA1123" s="2" t="s">
        <v>236</v>
      </c>
      <c r="AB1123" s="2">
        <v>9</v>
      </c>
      <c r="AC1123" s="2" t="s">
        <v>124</v>
      </c>
      <c r="AD1123" s="3">
        <v>40255</v>
      </c>
      <c r="AE1123" s="4">
        <v>0.83333333333333337</v>
      </c>
      <c r="AF1123" s="2"/>
      <c r="AG1123" s="2"/>
      <c r="AH1123" s="2">
        <v>2</v>
      </c>
      <c r="AI1123" s="2" t="s">
        <v>84</v>
      </c>
      <c r="AJ1123" s="2">
        <v>6</v>
      </c>
      <c r="AK1123" s="2" t="s">
        <v>453</v>
      </c>
      <c r="AL1123" s="2">
        <v>23</v>
      </c>
      <c r="AM1123" s="2" t="s">
        <v>251</v>
      </c>
      <c r="AN1123" s="2"/>
      <c r="AO1123" s="2"/>
      <c r="AP1123" s="2">
        <v>11</v>
      </c>
      <c r="AQ1123" s="2" t="s">
        <v>82</v>
      </c>
      <c r="AR1123" s="2"/>
      <c r="AS1123" s="2"/>
      <c r="AT1123" s="2" t="s">
        <v>4265</v>
      </c>
      <c r="AU1123" s="2"/>
      <c r="AV1123" s="2"/>
      <c r="AW1123" s="2"/>
      <c r="AX1123" s="2"/>
      <c r="AY1123" s="2">
        <v>42</v>
      </c>
      <c r="AZ1123" s="2" t="s">
        <v>182</v>
      </c>
      <c r="BA1123" s="2">
        <v>70</v>
      </c>
      <c r="BB1123" s="2" t="s">
        <v>236</v>
      </c>
      <c r="BC1123" s="2">
        <v>70</v>
      </c>
      <c r="BD1123" s="2" t="s">
        <v>236</v>
      </c>
      <c r="BE1123" s="2">
        <v>41</v>
      </c>
      <c r="BF1123" s="2" t="s">
        <v>82</v>
      </c>
      <c r="BG1123" s="2"/>
      <c r="BH1123" s="2"/>
      <c r="BI1123" s="2"/>
      <c r="BJ1123" s="2">
        <v>241</v>
      </c>
      <c r="BK1123" s="2" t="s">
        <v>82</v>
      </c>
      <c r="BL1123" s="2"/>
      <c r="BM1123" s="2">
        <v>241</v>
      </c>
      <c r="BN1123" s="2" t="s">
        <v>82</v>
      </c>
      <c r="BO1123" s="2"/>
      <c r="BP1123" s="2">
        <v>241</v>
      </c>
      <c r="BQ1123" s="2" t="s">
        <v>82</v>
      </c>
      <c r="BR1123" s="2"/>
      <c r="BS1123" s="3">
        <v>40259</v>
      </c>
      <c r="BT1123" s="4">
        <v>0.35554398148148153</v>
      </c>
    </row>
    <row r="1124" spans="1:72" x14ac:dyDescent="0.25">
      <c r="A1124" s="2">
        <v>1723</v>
      </c>
      <c r="B1124" s="2">
        <v>2010</v>
      </c>
      <c r="C1124" s="2" t="s">
        <v>385</v>
      </c>
      <c r="D1124" s="2" t="s">
        <v>122</v>
      </c>
      <c r="E1124" s="2"/>
      <c r="F1124" s="2">
        <v>118</v>
      </c>
      <c r="G1124" s="2" t="s">
        <v>4266</v>
      </c>
      <c r="H1124" s="2">
        <v>39</v>
      </c>
      <c r="I1124" s="2" t="s">
        <v>1117</v>
      </c>
      <c r="J1124" s="2">
        <v>135</v>
      </c>
      <c r="K1124" s="2" t="s">
        <v>2502</v>
      </c>
      <c r="L1124" s="2" t="s">
        <v>2503</v>
      </c>
      <c r="M1124" s="3">
        <v>40259</v>
      </c>
      <c r="N1124" s="2" t="s">
        <v>4267</v>
      </c>
      <c r="O1124" s="2" t="s">
        <v>4268</v>
      </c>
      <c r="P1124" s="2" t="s">
        <v>107</v>
      </c>
      <c r="Q1124" s="2" t="str">
        <f>""</f>
        <v/>
      </c>
      <c r="R1124" s="2"/>
      <c r="S1124" s="2"/>
      <c r="T1124" s="2">
        <v>1</v>
      </c>
      <c r="U1124" s="2" t="s">
        <v>79</v>
      </c>
      <c r="V1124" s="2">
        <v>1</v>
      </c>
      <c r="W1124" s="2" t="s">
        <v>80</v>
      </c>
      <c r="X1124" s="2">
        <v>1</v>
      </c>
      <c r="Y1124" s="2" t="s">
        <v>81</v>
      </c>
      <c r="Z1124" s="2">
        <v>1</v>
      </c>
      <c r="AA1124" s="2" t="s">
        <v>82</v>
      </c>
      <c r="AB1124" s="2">
        <v>9</v>
      </c>
      <c r="AC1124" s="2" t="s">
        <v>124</v>
      </c>
      <c r="AD1124" s="3">
        <v>40258</v>
      </c>
      <c r="AE1124" s="4">
        <v>0.52777777777777779</v>
      </c>
      <c r="AF1124" s="2"/>
      <c r="AG1124" s="2"/>
      <c r="AH1124" s="2">
        <v>6</v>
      </c>
      <c r="AI1124" s="2" t="s">
        <v>197</v>
      </c>
      <c r="AJ1124" s="2">
        <v>58</v>
      </c>
      <c r="AK1124" s="2" t="s">
        <v>406</v>
      </c>
      <c r="AL1124" s="2">
        <v>18</v>
      </c>
      <c r="AM1124" s="2" t="s">
        <v>82</v>
      </c>
      <c r="AN1124" s="2"/>
      <c r="AO1124" s="2"/>
      <c r="AP1124" s="2">
        <v>11</v>
      </c>
      <c r="AQ1124" s="2" t="s">
        <v>82</v>
      </c>
      <c r="AR1124" s="2"/>
      <c r="AS1124" s="2"/>
      <c r="AT1124" s="2" t="s">
        <v>4269</v>
      </c>
      <c r="AU1124" s="2">
        <v>1</v>
      </c>
      <c r="AV1124" s="2"/>
      <c r="AW1124" s="2"/>
      <c r="AX1124" s="2"/>
      <c r="AY1124" s="2">
        <v>41</v>
      </c>
      <c r="AZ1124" s="2" t="s">
        <v>82</v>
      </c>
      <c r="BA1124" s="2">
        <v>41</v>
      </c>
      <c r="BB1124" s="2" t="s">
        <v>82</v>
      </c>
      <c r="BC1124" s="2">
        <v>41</v>
      </c>
      <c r="BD1124" s="2" t="s">
        <v>82</v>
      </c>
      <c r="BE1124" s="2">
        <v>41</v>
      </c>
      <c r="BF1124" s="2" t="s">
        <v>82</v>
      </c>
      <c r="BG1124" s="2"/>
      <c r="BH1124" s="2"/>
      <c r="BI1124" s="2"/>
      <c r="BJ1124" s="2">
        <v>241</v>
      </c>
      <c r="BK1124" s="2" t="s">
        <v>82</v>
      </c>
      <c r="BL1124" s="2"/>
      <c r="BM1124" s="2">
        <v>241</v>
      </c>
      <c r="BN1124" s="2" t="s">
        <v>82</v>
      </c>
      <c r="BO1124" s="2"/>
      <c r="BP1124" s="2">
        <v>241</v>
      </c>
      <c r="BQ1124" s="2" t="s">
        <v>82</v>
      </c>
      <c r="BR1124" s="2"/>
      <c r="BS1124" s="3">
        <v>40259</v>
      </c>
      <c r="BT1124" s="4">
        <v>0.38017361111111114</v>
      </c>
    </row>
    <row r="1125" spans="1:72" x14ac:dyDescent="0.25">
      <c r="A1125" s="2">
        <v>1724</v>
      </c>
      <c r="B1125" s="2">
        <v>2010</v>
      </c>
      <c r="C1125" s="2" t="s">
        <v>72</v>
      </c>
      <c r="D1125" s="2" t="s">
        <v>73</v>
      </c>
      <c r="E1125" s="2"/>
      <c r="F1125" s="2">
        <v>3</v>
      </c>
      <c r="G1125" s="2" t="s">
        <v>1041</v>
      </c>
      <c r="H1125" s="2">
        <v>1</v>
      </c>
      <c r="I1125" s="2" t="s">
        <v>82</v>
      </c>
      <c r="J1125" s="2">
        <v>368</v>
      </c>
      <c r="K1125" s="2" t="s">
        <v>1042</v>
      </c>
      <c r="L1125" s="2" t="s">
        <v>1043</v>
      </c>
      <c r="M1125" s="3">
        <v>40259</v>
      </c>
      <c r="N1125" s="2"/>
      <c r="O1125" s="2" t="s">
        <v>107</v>
      </c>
      <c r="P1125" s="2" t="s">
        <v>107</v>
      </c>
      <c r="Q1125" s="2" t="str">
        <f>"155-E/10"</f>
        <v>155-E/10</v>
      </c>
      <c r="R1125" s="2" t="s">
        <v>116</v>
      </c>
      <c r="S1125" s="2" t="s">
        <v>116</v>
      </c>
      <c r="T1125" s="2">
        <v>1</v>
      </c>
      <c r="U1125" s="2" t="s">
        <v>79</v>
      </c>
      <c r="V1125" s="2">
        <v>1</v>
      </c>
      <c r="W1125" s="2" t="s">
        <v>80</v>
      </c>
      <c r="X1125" s="2">
        <v>1</v>
      </c>
      <c r="Y1125" s="2" t="s">
        <v>81</v>
      </c>
      <c r="Z1125" s="2">
        <v>10</v>
      </c>
      <c r="AA1125" s="2" t="s">
        <v>236</v>
      </c>
      <c r="AB1125" s="2">
        <v>6</v>
      </c>
      <c r="AC1125" s="2" t="s">
        <v>83</v>
      </c>
      <c r="AD1125" s="3">
        <v>40258</v>
      </c>
      <c r="AE1125" s="4">
        <v>0.77083333333333337</v>
      </c>
      <c r="AF1125" s="3">
        <v>40258</v>
      </c>
      <c r="AG1125" s="4">
        <v>0.83333333333333337</v>
      </c>
      <c r="AH1125" s="2">
        <v>2</v>
      </c>
      <c r="AI1125" s="2" t="s">
        <v>84</v>
      </c>
      <c r="AJ1125" s="2">
        <v>9</v>
      </c>
      <c r="AK1125" s="2" t="s">
        <v>103</v>
      </c>
      <c r="AL1125" s="2">
        <v>12</v>
      </c>
      <c r="AM1125" s="2" t="s">
        <v>86</v>
      </c>
      <c r="AN1125" s="2" t="s">
        <v>4270</v>
      </c>
      <c r="AO1125" s="2" t="s">
        <v>4271</v>
      </c>
      <c r="AP1125" s="2">
        <v>11</v>
      </c>
      <c r="AQ1125" s="2" t="s">
        <v>82</v>
      </c>
      <c r="AR1125" s="2"/>
      <c r="AS1125" s="2"/>
      <c r="AT1125" s="2" t="s">
        <v>4272</v>
      </c>
      <c r="AU1125" s="2"/>
      <c r="AV1125" s="2"/>
      <c r="AW1125" s="2"/>
      <c r="AX1125" s="2"/>
      <c r="AY1125" s="2">
        <v>41</v>
      </c>
      <c r="AZ1125" s="2" t="s">
        <v>82</v>
      </c>
      <c r="BA1125" s="2">
        <v>41</v>
      </c>
      <c r="BB1125" s="2" t="s">
        <v>82</v>
      </c>
      <c r="BC1125" s="2">
        <v>41</v>
      </c>
      <c r="BD1125" s="2" t="s">
        <v>82</v>
      </c>
      <c r="BE1125" s="2">
        <v>41</v>
      </c>
      <c r="BF1125" s="2" t="s">
        <v>82</v>
      </c>
      <c r="BG1125" s="2"/>
      <c r="BH1125" s="2"/>
      <c r="BI1125" s="2"/>
      <c r="BJ1125" s="2">
        <v>241</v>
      </c>
      <c r="BK1125" s="2" t="s">
        <v>82</v>
      </c>
      <c r="BL1125" s="2"/>
      <c r="BM1125" s="2">
        <v>241</v>
      </c>
      <c r="BN1125" s="2" t="s">
        <v>82</v>
      </c>
      <c r="BO1125" s="2"/>
      <c r="BP1125" s="2">
        <v>241</v>
      </c>
      <c r="BQ1125" s="2" t="s">
        <v>82</v>
      </c>
      <c r="BR1125" s="2"/>
      <c r="BS1125" s="3">
        <v>40259</v>
      </c>
      <c r="BT1125" s="4">
        <v>0.43935185185185183</v>
      </c>
    </row>
    <row r="1126" spans="1:72" x14ac:dyDescent="0.25">
      <c r="A1126" s="2">
        <v>1725</v>
      </c>
      <c r="B1126" s="2">
        <v>2010</v>
      </c>
      <c r="C1126" s="2" t="s">
        <v>1094</v>
      </c>
      <c r="D1126" s="2" t="s">
        <v>73</v>
      </c>
      <c r="E1126" s="2"/>
      <c r="F1126" s="2">
        <v>118</v>
      </c>
      <c r="G1126" s="2" t="s">
        <v>4266</v>
      </c>
      <c r="H1126" s="2">
        <v>24</v>
      </c>
      <c r="I1126" s="2" t="s">
        <v>287</v>
      </c>
      <c r="J1126" s="2">
        <v>135</v>
      </c>
      <c r="K1126" s="2" t="s">
        <v>2502</v>
      </c>
      <c r="L1126" s="2" t="s">
        <v>2503</v>
      </c>
      <c r="M1126" s="3">
        <v>40259</v>
      </c>
      <c r="N1126" s="2" t="s">
        <v>4273</v>
      </c>
      <c r="O1126" s="2" t="s">
        <v>4274</v>
      </c>
      <c r="P1126" s="2" t="s">
        <v>203</v>
      </c>
      <c r="Q1126" s="2" t="str">
        <f>""</f>
        <v/>
      </c>
      <c r="R1126" s="2"/>
      <c r="S1126" s="2"/>
      <c r="T1126" s="2">
        <v>1</v>
      </c>
      <c r="U1126" s="2" t="s">
        <v>79</v>
      </c>
      <c r="V1126" s="2">
        <v>3</v>
      </c>
      <c r="W1126" s="2" t="s">
        <v>225</v>
      </c>
      <c r="X1126" s="2">
        <v>1</v>
      </c>
      <c r="Y1126" s="2" t="s">
        <v>81</v>
      </c>
      <c r="Z1126" s="2">
        <v>1</v>
      </c>
      <c r="AA1126" s="2" t="s">
        <v>82</v>
      </c>
      <c r="AB1126" s="2">
        <v>9</v>
      </c>
      <c r="AC1126" s="2" t="s">
        <v>124</v>
      </c>
      <c r="AD1126" s="3">
        <v>40258</v>
      </c>
      <c r="AE1126" s="4">
        <v>7.2916666666666671E-2</v>
      </c>
      <c r="AF1126" s="2"/>
      <c r="AG1126" s="2"/>
      <c r="AH1126" s="2">
        <v>6</v>
      </c>
      <c r="AI1126" s="2" t="s">
        <v>197</v>
      </c>
      <c r="AJ1126" s="2">
        <v>47</v>
      </c>
      <c r="AK1126" s="2" t="s">
        <v>250</v>
      </c>
      <c r="AL1126" s="2">
        <v>24</v>
      </c>
      <c r="AM1126" s="2" t="s">
        <v>1540</v>
      </c>
      <c r="AN1126" s="2" t="s">
        <v>82</v>
      </c>
      <c r="AO1126" s="2" t="s">
        <v>82</v>
      </c>
      <c r="AP1126" s="2">
        <v>11</v>
      </c>
      <c r="AQ1126" s="2" t="s">
        <v>82</v>
      </c>
      <c r="AR1126" s="2"/>
      <c r="AS1126" s="2"/>
      <c r="AT1126" s="2" t="s">
        <v>4275</v>
      </c>
      <c r="AU1126" s="2">
        <v>1</v>
      </c>
      <c r="AV1126" s="2"/>
      <c r="AW1126" s="2"/>
      <c r="AX1126" s="2"/>
      <c r="AY1126" s="2">
        <v>41</v>
      </c>
      <c r="AZ1126" s="2" t="s">
        <v>82</v>
      </c>
      <c r="BA1126" s="2">
        <v>41</v>
      </c>
      <c r="BB1126" s="2" t="s">
        <v>82</v>
      </c>
      <c r="BC1126" s="2">
        <v>41</v>
      </c>
      <c r="BD1126" s="2" t="s">
        <v>82</v>
      </c>
      <c r="BE1126" s="2">
        <v>41</v>
      </c>
      <c r="BF1126" s="2" t="s">
        <v>82</v>
      </c>
      <c r="BG1126" s="2"/>
      <c r="BH1126" s="2"/>
      <c r="BI1126" s="2"/>
      <c r="BJ1126" s="2">
        <v>241</v>
      </c>
      <c r="BK1126" s="2" t="s">
        <v>82</v>
      </c>
      <c r="BL1126" s="2"/>
      <c r="BM1126" s="2">
        <v>241</v>
      </c>
      <c r="BN1126" s="2" t="s">
        <v>82</v>
      </c>
      <c r="BO1126" s="2"/>
      <c r="BP1126" s="2">
        <v>241</v>
      </c>
      <c r="BQ1126" s="2" t="s">
        <v>82</v>
      </c>
      <c r="BR1126" s="2"/>
      <c r="BS1126" s="3">
        <v>40259</v>
      </c>
      <c r="BT1126" s="4">
        <v>0.47863425925925923</v>
      </c>
    </row>
    <row r="1127" spans="1:72" x14ac:dyDescent="0.25">
      <c r="A1127" s="2">
        <v>1732</v>
      </c>
      <c r="B1127" s="2">
        <v>2010</v>
      </c>
      <c r="C1127" s="2" t="s">
        <v>642</v>
      </c>
      <c r="D1127" s="2" t="s">
        <v>122</v>
      </c>
      <c r="E1127" s="2"/>
      <c r="F1127" s="2">
        <v>424</v>
      </c>
      <c r="G1127" s="2" t="s">
        <v>266</v>
      </c>
      <c r="H1127" s="2">
        <v>23</v>
      </c>
      <c r="I1127" s="2" t="s">
        <v>422</v>
      </c>
      <c r="J1127" s="2">
        <v>309</v>
      </c>
      <c r="K1127" s="2" t="s">
        <v>268</v>
      </c>
      <c r="L1127" s="2" t="s">
        <v>269</v>
      </c>
      <c r="M1127" s="3">
        <v>40259</v>
      </c>
      <c r="N1127" s="2" t="s">
        <v>4276</v>
      </c>
      <c r="O1127" s="2" t="s">
        <v>4277</v>
      </c>
      <c r="P1127" s="2" t="s">
        <v>4278</v>
      </c>
      <c r="Q1127" s="2" t="str">
        <f>"329/09"</f>
        <v>329/09</v>
      </c>
      <c r="R1127" s="2"/>
      <c r="S1127" s="2" t="s">
        <v>4279</v>
      </c>
      <c r="T1127" s="2">
        <v>1</v>
      </c>
      <c r="U1127" s="2" t="s">
        <v>79</v>
      </c>
      <c r="V1127" s="2">
        <v>3</v>
      </c>
      <c r="W1127" s="2" t="s">
        <v>225</v>
      </c>
      <c r="X1127" s="2">
        <v>5</v>
      </c>
      <c r="Y1127" s="2" t="s">
        <v>82</v>
      </c>
      <c r="Z1127" s="2">
        <v>1</v>
      </c>
      <c r="AA1127" s="2" t="s">
        <v>82</v>
      </c>
      <c r="AB1127" s="2">
        <v>9</v>
      </c>
      <c r="AC1127" s="2" t="s">
        <v>124</v>
      </c>
      <c r="AD1127" s="3">
        <v>40126</v>
      </c>
      <c r="AE1127" s="4">
        <v>0.64583333333333337</v>
      </c>
      <c r="AF1127" s="3">
        <v>40126</v>
      </c>
      <c r="AG1127" s="4">
        <v>0.64583333333333337</v>
      </c>
      <c r="AH1127" s="2">
        <v>5</v>
      </c>
      <c r="AI1127" s="2" t="s">
        <v>274</v>
      </c>
      <c r="AJ1127" s="2">
        <v>35</v>
      </c>
      <c r="AK1127" s="2" t="s">
        <v>275</v>
      </c>
      <c r="AL1127" s="2">
        <v>18</v>
      </c>
      <c r="AM1127" s="2" t="s">
        <v>82</v>
      </c>
      <c r="AN1127" s="2" t="s">
        <v>2497</v>
      </c>
      <c r="AO1127" s="2" t="s">
        <v>284</v>
      </c>
      <c r="AP1127" s="2">
        <v>11</v>
      </c>
      <c r="AQ1127" s="2" t="s">
        <v>82</v>
      </c>
      <c r="AR1127" s="2"/>
      <c r="AS1127" s="2"/>
      <c r="AT1127" s="2" t="s">
        <v>4280</v>
      </c>
      <c r="AU1127" s="2"/>
      <c r="AV1127" s="2"/>
      <c r="AW1127" s="2"/>
      <c r="AX1127" s="2"/>
      <c r="AY1127" s="2">
        <v>1</v>
      </c>
      <c r="AZ1127" s="2" t="s">
        <v>107</v>
      </c>
      <c r="BA1127" s="2">
        <v>1</v>
      </c>
      <c r="BB1127" s="2" t="s">
        <v>107</v>
      </c>
      <c r="BC1127" s="2">
        <v>1</v>
      </c>
      <c r="BD1127" s="2" t="s">
        <v>107</v>
      </c>
      <c r="BE1127" s="2">
        <v>1</v>
      </c>
      <c r="BF1127" s="2" t="s">
        <v>107</v>
      </c>
      <c r="BG1127" s="2"/>
      <c r="BH1127" s="2"/>
      <c r="BI1127" s="2"/>
      <c r="BJ1127" s="2">
        <v>242</v>
      </c>
      <c r="BK1127" s="2" t="s">
        <v>107</v>
      </c>
      <c r="BL1127" s="2"/>
      <c r="BM1127" s="2">
        <v>242</v>
      </c>
      <c r="BN1127" s="2" t="s">
        <v>107</v>
      </c>
      <c r="BO1127" s="2"/>
      <c r="BP1127" s="2">
        <v>242</v>
      </c>
      <c r="BQ1127" s="2" t="s">
        <v>107</v>
      </c>
      <c r="BR1127" s="2"/>
      <c r="BS1127" s="3">
        <v>40259</v>
      </c>
      <c r="BT1127" s="4">
        <v>0.6480555555555555</v>
      </c>
    </row>
    <row r="1128" spans="1:72" x14ac:dyDescent="0.25">
      <c r="A1128" s="2">
        <v>1733</v>
      </c>
      <c r="B1128" s="2">
        <v>2010</v>
      </c>
      <c r="C1128" s="2" t="s">
        <v>93</v>
      </c>
      <c r="D1128" s="2" t="s">
        <v>73</v>
      </c>
      <c r="E1128" s="2"/>
      <c r="F1128" s="2">
        <v>566</v>
      </c>
      <c r="G1128" s="2" t="s">
        <v>4281</v>
      </c>
      <c r="H1128" s="2">
        <v>80</v>
      </c>
      <c r="I1128" s="2" t="s">
        <v>4282</v>
      </c>
      <c r="J1128" s="2">
        <v>492</v>
      </c>
      <c r="K1128" s="2" t="s">
        <v>4283</v>
      </c>
      <c r="L1128" s="2" t="s">
        <v>3029</v>
      </c>
      <c r="M1128" s="3">
        <v>40259</v>
      </c>
      <c r="N1128" s="2" t="s">
        <v>4284</v>
      </c>
      <c r="O1128" s="2" t="s">
        <v>601</v>
      </c>
      <c r="P1128" s="2"/>
      <c r="Q1128" s="2" t="str">
        <f>"0031/10"</f>
        <v>0031/10</v>
      </c>
      <c r="R1128" s="2"/>
      <c r="S1128" s="2" t="s">
        <v>3752</v>
      </c>
      <c r="T1128" s="2">
        <v>1</v>
      </c>
      <c r="U1128" s="2" t="s">
        <v>79</v>
      </c>
      <c r="V1128" s="2">
        <v>1</v>
      </c>
      <c r="W1128" s="2" t="s">
        <v>80</v>
      </c>
      <c r="X1128" s="2">
        <v>3</v>
      </c>
      <c r="Y1128" s="2" t="s">
        <v>698</v>
      </c>
      <c r="Z1128" s="2">
        <v>9</v>
      </c>
      <c r="AA1128" s="2" t="s">
        <v>1119</v>
      </c>
      <c r="AB1128" s="2">
        <v>2</v>
      </c>
      <c r="AC1128" s="2" t="s">
        <v>102</v>
      </c>
      <c r="AD1128" s="3">
        <v>40259</v>
      </c>
      <c r="AE1128" s="4">
        <v>0.59027777777777779</v>
      </c>
      <c r="AF1128" s="2"/>
      <c r="AG1128" s="2"/>
      <c r="AH1128" s="2">
        <v>5</v>
      </c>
      <c r="AI1128" s="2" t="s">
        <v>274</v>
      </c>
      <c r="AJ1128" s="2">
        <v>38</v>
      </c>
      <c r="AK1128" s="2" t="s">
        <v>1120</v>
      </c>
      <c r="AL1128" s="2">
        <v>11</v>
      </c>
      <c r="AM1128" s="2" t="s">
        <v>137</v>
      </c>
      <c r="AN1128" s="2"/>
      <c r="AO1128" s="2"/>
      <c r="AP1128" s="2">
        <v>11</v>
      </c>
      <c r="AQ1128" s="2" t="s">
        <v>82</v>
      </c>
      <c r="AR1128" s="2"/>
      <c r="AS1128" s="2"/>
      <c r="AT1128" s="2" t="s">
        <v>4285</v>
      </c>
      <c r="AU1128" s="2"/>
      <c r="AV1128" s="2"/>
      <c r="AW1128" s="2"/>
      <c r="AX1128" s="2"/>
      <c r="AY1128" s="2">
        <v>41</v>
      </c>
      <c r="AZ1128" s="2" t="s">
        <v>82</v>
      </c>
      <c r="BA1128" s="2">
        <v>41</v>
      </c>
      <c r="BB1128" s="2" t="s">
        <v>82</v>
      </c>
      <c r="BC1128" s="2">
        <v>41</v>
      </c>
      <c r="BD1128" s="2" t="s">
        <v>82</v>
      </c>
      <c r="BE1128" s="2">
        <v>4</v>
      </c>
      <c r="BF1128" s="2" t="s">
        <v>90</v>
      </c>
      <c r="BG1128" s="2">
        <v>4023</v>
      </c>
      <c r="BH1128" s="4">
        <v>0.57638888888888895</v>
      </c>
      <c r="BI1128" s="4">
        <v>0.61458333333333337</v>
      </c>
      <c r="BJ1128" s="2">
        <v>13</v>
      </c>
      <c r="BK1128" s="2" t="s">
        <v>91</v>
      </c>
      <c r="BL1128" s="2" t="s">
        <v>3140</v>
      </c>
      <c r="BM1128" s="2">
        <v>13</v>
      </c>
      <c r="BN1128" s="2" t="s">
        <v>91</v>
      </c>
      <c r="BO1128" s="2"/>
      <c r="BP1128" s="2">
        <v>13</v>
      </c>
      <c r="BQ1128" s="2" t="s">
        <v>91</v>
      </c>
      <c r="BR1128" s="2" t="s">
        <v>185</v>
      </c>
      <c r="BS1128" s="3">
        <v>40259</v>
      </c>
      <c r="BT1128" s="4">
        <v>0.65726851851851853</v>
      </c>
    </row>
    <row r="1129" spans="1:72" x14ac:dyDescent="0.25">
      <c r="A1129" s="2">
        <v>1734</v>
      </c>
      <c r="B1129" s="2">
        <v>2010</v>
      </c>
      <c r="C1129" s="2" t="s">
        <v>409</v>
      </c>
      <c r="D1129" s="2" t="s">
        <v>122</v>
      </c>
      <c r="E1129" s="2"/>
      <c r="F1129" s="2">
        <v>385</v>
      </c>
      <c r="G1129" s="2" t="s">
        <v>990</v>
      </c>
      <c r="H1129" s="2">
        <v>57</v>
      </c>
      <c r="I1129" s="2" t="s">
        <v>3043</v>
      </c>
      <c r="J1129" s="2">
        <v>332</v>
      </c>
      <c r="K1129" s="2" t="s">
        <v>913</v>
      </c>
      <c r="L1129" s="2" t="s">
        <v>914</v>
      </c>
      <c r="M1129" s="3">
        <v>40259</v>
      </c>
      <c r="N1129" s="2" t="s">
        <v>4286</v>
      </c>
      <c r="O1129" s="2" t="s">
        <v>4287</v>
      </c>
      <c r="P1129" s="2" t="s">
        <v>4288</v>
      </c>
      <c r="Q1129" s="2" t="str">
        <f>""</f>
        <v/>
      </c>
      <c r="R1129" s="2"/>
      <c r="S1129" s="2"/>
      <c r="T1129" s="2">
        <v>1</v>
      </c>
      <c r="U1129" s="2" t="s">
        <v>79</v>
      </c>
      <c r="V1129" s="2">
        <v>1</v>
      </c>
      <c r="W1129" s="2" t="s">
        <v>80</v>
      </c>
      <c r="X1129" s="2">
        <v>5</v>
      </c>
      <c r="Y1129" s="2" t="s">
        <v>82</v>
      </c>
      <c r="Z1129" s="2">
        <v>1</v>
      </c>
      <c r="AA1129" s="2" t="s">
        <v>82</v>
      </c>
      <c r="AB1129" s="2">
        <v>9</v>
      </c>
      <c r="AC1129" s="2" t="s">
        <v>124</v>
      </c>
      <c r="AD1129" s="3">
        <v>40259</v>
      </c>
      <c r="AE1129" s="2"/>
      <c r="AF1129" s="2"/>
      <c r="AG1129" s="2"/>
      <c r="AH1129" s="2">
        <v>5</v>
      </c>
      <c r="AI1129" s="2" t="s">
        <v>274</v>
      </c>
      <c r="AJ1129" s="2">
        <v>43</v>
      </c>
      <c r="AK1129" s="2" t="s">
        <v>918</v>
      </c>
      <c r="AL1129" s="2">
        <v>18</v>
      </c>
      <c r="AM1129" s="2" t="s">
        <v>82</v>
      </c>
      <c r="AN1129" s="2"/>
      <c r="AO1129" s="2"/>
      <c r="AP1129" s="2">
        <v>11</v>
      </c>
      <c r="AQ1129" s="2" t="s">
        <v>82</v>
      </c>
      <c r="AR1129" s="2"/>
      <c r="AS1129" s="2"/>
      <c r="AT1129" s="2" t="s">
        <v>4289</v>
      </c>
      <c r="AU1129" s="2"/>
      <c r="AV1129" s="2"/>
      <c r="AW1129" s="2"/>
      <c r="AX1129" s="2"/>
      <c r="AY1129" s="2">
        <v>1</v>
      </c>
      <c r="AZ1129" s="2" t="s">
        <v>107</v>
      </c>
      <c r="BA1129" s="2">
        <v>1</v>
      </c>
      <c r="BB1129" s="2" t="s">
        <v>107</v>
      </c>
      <c r="BC1129" s="2">
        <v>1</v>
      </c>
      <c r="BD1129" s="2" t="s">
        <v>107</v>
      </c>
      <c r="BE1129" s="2">
        <v>1</v>
      </c>
      <c r="BF1129" s="2" t="s">
        <v>107</v>
      </c>
      <c r="BG1129" s="2"/>
      <c r="BH1129" s="2"/>
      <c r="BI1129" s="2"/>
      <c r="BJ1129" s="2">
        <v>242</v>
      </c>
      <c r="BK1129" s="2" t="s">
        <v>107</v>
      </c>
      <c r="BL1129" s="2"/>
      <c r="BM1129" s="2">
        <v>242</v>
      </c>
      <c r="BN1129" s="2" t="s">
        <v>107</v>
      </c>
      <c r="BO1129" s="2"/>
      <c r="BP1129" s="2">
        <v>242</v>
      </c>
      <c r="BQ1129" s="2" t="s">
        <v>107</v>
      </c>
      <c r="BR1129" s="2"/>
      <c r="BS1129" s="3">
        <v>40259</v>
      </c>
      <c r="BT1129" s="4">
        <v>0.66969907407407403</v>
      </c>
    </row>
    <row r="1130" spans="1:72" x14ac:dyDescent="0.25">
      <c r="A1130" s="2">
        <v>1738</v>
      </c>
      <c r="B1130" s="2">
        <v>2010</v>
      </c>
      <c r="C1130" s="2" t="s">
        <v>377</v>
      </c>
      <c r="D1130" s="2" t="s">
        <v>73</v>
      </c>
      <c r="E1130" s="2"/>
      <c r="F1130" s="2">
        <v>426</v>
      </c>
      <c r="G1130" s="2" t="s">
        <v>378</v>
      </c>
      <c r="H1130" s="2">
        <v>1</v>
      </c>
      <c r="I1130" s="2" t="s">
        <v>82</v>
      </c>
      <c r="J1130" s="2">
        <v>311</v>
      </c>
      <c r="K1130" s="2" t="s">
        <v>379</v>
      </c>
      <c r="L1130" s="2" t="s">
        <v>380</v>
      </c>
      <c r="M1130" s="3">
        <v>40259</v>
      </c>
      <c r="N1130" s="2" t="s">
        <v>107</v>
      </c>
      <c r="O1130" s="2" t="s">
        <v>107</v>
      </c>
      <c r="P1130" s="2" t="s">
        <v>107</v>
      </c>
      <c r="Q1130" s="2" t="str">
        <f>"029-E/10"</f>
        <v>029-E/10</v>
      </c>
      <c r="R1130" s="2" t="s">
        <v>1924</v>
      </c>
      <c r="S1130" s="2" t="s">
        <v>1924</v>
      </c>
      <c r="T1130" s="2">
        <v>1</v>
      </c>
      <c r="U1130" s="2" t="s">
        <v>79</v>
      </c>
      <c r="V1130" s="2">
        <v>1</v>
      </c>
      <c r="W1130" s="2" t="s">
        <v>80</v>
      </c>
      <c r="X1130" s="2">
        <v>1</v>
      </c>
      <c r="Y1130" s="2" t="s">
        <v>81</v>
      </c>
      <c r="Z1130" s="2">
        <v>1</v>
      </c>
      <c r="AA1130" s="2" t="s">
        <v>82</v>
      </c>
      <c r="AB1130" s="2">
        <v>9</v>
      </c>
      <c r="AC1130" s="2" t="s">
        <v>124</v>
      </c>
      <c r="AD1130" s="3">
        <v>40259</v>
      </c>
      <c r="AE1130" s="4">
        <v>0.63541666666666663</v>
      </c>
      <c r="AF1130" s="3">
        <v>40259</v>
      </c>
      <c r="AG1130" s="4">
        <v>0.64583333333333337</v>
      </c>
      <c r="AH1130" s="2">
        <v>2</v>
      </c>
      <c r="AI1130" s="2" t="s">
        <v>84</v>
      </c>
      <c r="AJ1130" s="2">
        <v>9</v>
      </c>
      <c r="AK1130" s="2" t="s">
        <v>103</v>
      </c>
      <c r="AL1130" s="2">
        <v>12</v>
      </c>
      <c r="AM1130" s="2" t="s">
        <v>86</v>
      </c>
      <c r="AN1130" s="2" t="s">
        <v>4290</v>
      </c>
      <c r="AO1130" s="2" t="s">
        <v>82</v>
      </c>
      <c r="AP1130" s="2">
        <v>11</v>
      </c>
      <c r="AQ1130" s="2" t="s">
        <v>82</v>
      </c>
      <c r="AR1130" s="2"/>
      <c r="AS1130" s="2"/>
      <c r="AT1130" s="2" t="s">
        <v>4291</v>
      </c>
      <c r="AU1130" s="2"/>
      <c r="AV1130" s="2"/>
      <c r="AW1130" s="2"/>
      <c r="AX1130" s="2"/>
      <c r="AY1130" s="2">
        <v>41</v>
      </c>
      <c r="AZ1130" s="2" t="s">
        <v>82</v>
      </c>
      <c r="BA1130" s="2">
        <v>41</v>
      </c>
      <c r="BB1130" s="2" t="s">
        <v>82</v>
      </c>
      <c r="BC1130" s="2">
        <v>41</v>
      </c>
      <c r="BD1130" s="2" t="s">
        <v>82</v>
      </c>
      <c r="BE1130" s="2">
        <v>41</v>
      </c>
      <c r="BF1130" s="2" t="s">
        <v>82</v>
      </c>
      <c r="BG1130" s="2"/>
      <c r="BH1130" s="2"/>
      <c r="BI1130" s="2"/>
      <c r="BJ1130" s="2">
        <v>241</v>
      </c>
      <c r="BK1130" s="2" t="s">
        <v>82</v>
      </c>
      <c r="BL1130" s="2"/>
      <c r="BM1130" s="2">
        <v>241</v>
      </c>
      <c r="BN1130" s="2" t="s">
        <v>82</v>
      </c>
      <c r="BO1130" s="2"/>
      <c r="BP1130" s="2">
        <v>241</v>
      </c>
      <c r="BQ1130" s="2" t="s">
        <v>82</v>
      </c>
      <c r="BR1130" s="2"/>
      <c r="BS1130" s="3">
        <v>40259</v>
      </c>
      <c r="BT1130" s="4">
        <v>0.81789351851851855</v>
      </c>
    </row>
    <row r="1131" spans="1:72" x14ac:dyDescent="0.25">
      <c r="A1131" s="2">
        <v>1740</v>
      </c>
      <c r="B1131" s="2">
        <v>2010</v>
      </c>
      <c r="C1131" s="2" t="s">
        <v>171</v>
      </c>
      <c r="D1131" s="2" t="s">
        <v>73</v>
      </c>
      <c r="E1131" s="2"/>
      <c r="F1131" s="2">
        <v>159</v>
      </c>
      <c r="G1131" s="2" t="s">
        <v>3883</v>
      </c>
      <c r="H1131" s="2">
        <v>18</v>
      </c>
      <c r="I1131" s="2" t="s">
        <v>3884</v>
      </c>
      <c r="J1131" s="2">
        <v>172</v>
      </c>
      <c r="K1131" s="2" t="s">
        <v>3885</v>
      </c>
      <c r="L1131" s="2" t="s">
        <v>3886</v>
      </c>
      <c r="M1131" s="3">
        <v>40259</v>
      </c>
      <c r="N1131" s="2" t="s">
        <v>4167</v>
      </c>
      <c r="O1131" s="2" t="s">
        <v>82</v>
      </c>
      <c r="P1131" s="2" t="s">
        <v>82</v>
      </c>
      <c r="Q1131" s="2" t="str">
        <f>"117-A/10"</f>
        <v>117-A/10</v>
      </c>
      <c r="R1131" s="2" t="s">
        <v>82</v>
      </c>
      <c r="S1131" s="2" t="s">
        <v>1035</v>
      </c>
      <c r="T1131" s="2">
        <v>1</v>
      </c>
      <c r="U1131" s="2" t="s">
        <v>79</v>
      </c>
      <c r="V1131" s="2">
        <v>1</v>
      </c>
      <c r="W1131" s="2" t="s">
        <v>80</v>
      </c>
      <c r="X1131" s="2">
        <v>1</v>
      </c>
      <c r="Y1131" s="2" t="s">
        <v>81</v>
      </c>
      <c r="Z1131" s="2">
        <v>1</v>
      </c>
      <c r="AA1131" s="2" t="s">
        <v>82</v>
      </c>
      <c r="AB1131" s="2">
        <v>1</v>
      </c>
      <c r="AC1131" s="2" t="s">
        <v>178</v>
      </c>
      <c r="AD1131" s="3">
        <v>40259</v>
      </c>
      <c r="AE1131" s="4">
        <v>0.79166666666666663</v>
      </c>
      <c r="AF1131" s="3">
        <v>40259</v>
      </c>
      <c r="AG1131" s="4">
        <v>0.83333333333333337</v>
      </c>
      <c r="AH1131" s="2">
        <v>2</v>
      </c>
      <c r="AI1131" s="2" t="s">
        <v>84</v>
      </c>
      <c r="AJ1131" s="2">
        <v>12</v>
      </c>
      <c r="AK1131" s="2" t="s">
        <v>85</v>
      </c>
      <c r="AL1131" s="2">
        <v>15</v>
      </c>
      <c r="AM1131" s="2" t="s">
        <v>104</v>
      </c>
      <c r="AN1131" s="2" t="s">
        <v>4292</v>
      </c>
      <c r="AO1131" s="2" t="s">
        <v>82</v>
      </c>
      <c r="AP1131" s="2">
        <v>11</v>
      </c>
      <c r="AQ1131" s="2" t="s">
        <v>82</v>
      </c>
      <c r="AR1131" s="2" t="s">
        <v>82</v>
      </c>
      <c r="AS1131" s="2" t="s">
        <v>82</v>
      </c>
      <c r="AT1131" s="2" t="s">
        <v>4293</v>
      </c>
      <c r="AU1131" s="2">
        <v>1</v>
      </c>
      <c r="AV1131" s="2"/>
      <c r="AW1131" s="2"/>
      <c r="AX1131" s="2"/>
      <c r="AY1131" s="2">
        <v>41</v>
      </c>
      <c r="AZ1131" s="2" t="s">
        <v>82</v>
      </c>
      <c r="BA1131" s="2">
        <v>41</v>
      </c>
      <c r="BB1131" s="2" t="s">
        <v>82</v>
      </c>
      <c r="BC1131" s="2">
        <v>41</v>
      </c>
      <c r="BD1131" s="2" t="s">
        <v>82</v>
      </c>
      <c r="BE1131" s="2">
        <v>45</v>
      </c>
      <c r="BF1131" s="2" t="s">
        <v>1855</v>
      </c>
      <c r="BG1131" s="2" t="s">
        <v>4294</v>
      </c>
      <c r="BH1131" s="4">
        <v>0.84027777777777779</v>
      </c>
      <c r="BI1131" s="4">
        <v>0.80555555555555547</v>
      </c>
      <c r="BJ1131" s="2">
        <v>13</v>
      </c>
      <c r="BK1131" s="2" t="s">
        <v>91</v>
      </c>
      <c r="BL1131" s="2" t="s">
        <v>3378</v>
      </c>
      <c r="BM1131" s="2">
        <v>241</v>
      </c>
      <c r="BN1131" s="2" t="s">
        <v>82</v>
      </c>
      <c r="BO1131" s="2"/>
      <c r="BP1131" s="2">
        <v>13</v>
      </c>
      <c r="BQ1131" s="2" t="s">
        <v>91</v>
      </c>
      <c r="BR1131" s="2" t="s">
        <v>2548</v>
      </c>
      <c r="BS1131" s="3">
        <v>40259</v>
      </c>
      <c r="BT1131" s="4">
        <v>0.91702546296296295</v>
      </c>
    </row>
    <row r="1132" spans="1:72" x14ac:dyDescent="0.25">
      <c r="A1132" s="2">
        <v>1741</v>
      </c>
      <c r="B1132" s="2">
        <v>2010</v>
      </c>
      <c r="C1132" s="2" t="s">
        <v>171</v>
      </c>
      <c r="D1132" s="2" t="s">
        <v>122</v>
      </c>
      <c r="E1132" s="2"/>
      <c r="F1132" s="2">
        <v>451</v>
      </c>
      <c r="G1132" s="2" t="s">
        <v>879</v>
      </c>
      <c r="H1132" s="2">
        <v>31</v>
      </c>
      <c r="I1132" s="2" t="s">
        <v>880</v>
      </c>
      <c r="J1132" s="2">
        <v>326</v>
      </c>
      <c r="K1132" s="2" t="s">
        <v>881</v>
      </c>
      <c r="L1132" s="2" t="s">
        <v>882</v>
      </c>
      <c r="M1132" s="3">
        <v>40259</v>
      </c>
      <c r="N1132" s="2" t="s">
        <v>1072</v>
      </c>
      <c r="O1132" s="2"/>
      <c r="P1132" s="2" t="s">
        <v>4295</v>
      </c>
      <c r="Q1132" s="2" t="str">
        <f>"034/10"</f>
        <v>034/10</v>
      </c>
      <c r="R1132" s="2" t="s">
        <v>3620</v>
      </c>
      <c r="S1132" s="2" t="s">
        <v>822</v>
      </c>
      <c r="T1132" s="2">
        <v>1</v>
      </c>
      <c r="U1132" s="2" t="s">
        <v>79</v>
      </c>
      <c r="V1132" s="2">
        <v>1</v>
      </c>
      <c r="W1132" s="2" t="s">
        <v>80</v>
      </c>
      <c r="X1132" s="2">
        <v>1</v>
      </c>
      <c r="Y1132" s="2" t="s">
        <v>81</v>
      </c>
      <c r="Z1132" s="2">
        <v>1</v>
      </c>
      <c r="AA1132" s="2" t="s">
        <v>82</v>
      </c>
      <c r="AB1132" s="2">
        <v>1</v>
      </c>
      <c r="AC1132" s="2" t="s">
        <v>178</v>
      </c>
      <c r="AD1132" s="3">
        <v>40259</v>
      </c>
      <c r="AE1132" s="4">
        <v>0.88888888888888884</v>
      </c>
      <c r="AF1132" s="2"/>
      <c r="AG1132" s="2"/>
      <c r="AH1132" s="2">
        <v>4</v>
      </c>
      <c r="AI1132" s="2" t="s">
        <v>125</v>
      </c>
      <c r="AJ1132" s="2">
        <v>29</v>
      </c>
      <c r="AK1132" s="2" t="s">
        <v>227</v>
      </c>
      <c r="AL1132" s="2">
        <v>16</v>
      </c>
      <c r="AM1132" s="2" t="s">
        <v>392</v>
      </c>
      <c r="AN1132" s="2" t="s">
        <v>1073</v>
      </c>
      <c r="AO1132" s="2" t="s">
        <v>200</v>
      </c>
      <c r="AP1132" s="2">
        <v>12</v>
      </c>
      <c r="AQ1132" s="2" t="s">
        <v>322</v>
      </c>
      <c r="AR1132" s="2" t="s">
        <v>824</v>
      </c>
      <c r="AS1132" s="2" t="s">
        <v>884</v>
      </c>
      <c r="AT1132" s="2" t="s">
        <v>4296</v>
      </c>
      <c r="AU1132" s="2"/>
      <c r="AV1132" s="2"/>
      <c r="AW1132" s="2"/>
      <c r="AX1132" s="2"/>
      <c r="AY1132" s="2">
        <v>41</v>
      </c>
      <c r="AZ1132" s="2" t="s">
        <v>82</v>
      </c>
      <c r="BA1132" s="2">
        <v>41</v>
      </c>
      <c r="BB1132" s="2" t="s">
        <v>82</v>
      </c>
      <c r="BC1132" s="2">
        <v>51</v>
      </c>
      <c r="BD1132" s="2" t="s">
        <v>827</v>
      </c>
      <c r="BE1132" s="2">
        <v>47</v>
      </c>
      <c r="BF1132" s="2" t="s">
        <v>167</v>
      </c>
      <c r="BG1132" s="2">
        <v>2459</v>
      </c>
      <c r="BH1132" s="4">
        <v>0.91666666666666663</v>
      </c>
      <c r="BI1132" s="4">
        <v>0.95138888888888884</v>
      </c>
      <c r="BJ1132" s="2">
        <v>13</v>
      </c>
      <c r="BK1132" s="2" t="s">
        <v>91</v>
      </c>
      <c r="BL1132" s="2" t="s">
        <v>828</v>
      </c>
      <c r="BM1132" s="2">
        <v>241</v>
      </c>
      <c r="BN1132" s="2" t="s">
        <v>82</v>
      </c>
      <c r="BO1132" s="2" t="s">
        <v>82</v>
      </c>
      <c r="BP1132" s="2">
        <v>13</v>
      </c>
      <c r="BQ1132" s="2" t="s">
        <v>91</v>
      </c>
      <c r="BR1132" s="2" t="s">
        <v>1108</v>
      </c>
      <c r="BS1132" s="3">
        <v>40259</v>
      </c>
      <c r="BT1132" s="4">
        <v>0.9566203703703704</v>
      </c>
    </row>
    <row r="1133" spans="1:72" x14ac:dyDescent="0.25">
      <c r="A1133" s="2">
        <v>1743</v>
      </c>
      <c r="B1133" s="2">
        <v>2010</v>
      </c>
      <c r="C1133" s="2" t="s">
        <v>171</v>
      </c>
      <c r="D1133" s="2" t="s">
        <v>122</v>
      </c>
      <c r="E1133" s="2" t="s">
        <v>4297</v>
      </c>
      <c r="F1133" s="2">
        <v>159</v>
      </c>
      <c r="G1133" s="2" t="s">
        <v>3883</v>
      </c>
      <c r="H1133" s="2">
        <v>18</v>
      </c>
      <c r="I1133" s="2" t="s">
        <v>3884</v>
      </c>
      <c r="J1133" s="2">
        <v>172</v>
      </c>
      <c r="K1133" s="2" t="s">
        <v>3885</v>
      </c>
      <c r="L1133" s="2" t="s">
        <v>3886</v>
      </c>
      <c r="M1133" s="3">
        <v>40260</v>
      </c>
      <c r="N1133" s="2" t="s">
        <v>4298</v>
      </c>
      <c r="O1133" s="2" t="s">
        <v>82</v>
      </c>
      <c r="P1133" s="2" t="s">
        <v>82</v>
      </c>
      <c r="Q1133" s="2" t="str">
        <f>"117-A/10"</f>
        <v>117-A/10</v>
      </c>
      <c r="R1133" s="2" t="s">
        <v>1035</v>
      </c>
      <c r="S1133" s="2" t="s">
        <v>82</v>
      </c>
      <c r="T1133" s="2">
        <v>1</v>
      </c>
      <c r="U1133" s="2" t="s">
        <v>79</v>
      </c>
      <c r="V1133" s="2">
        <v>1</v>
      </c>
      <c r="W1133" s="2" t="s">
        <v>80</v>
      </c>
      <c r="X1133" s="2">
        <v>1</v>
      </c>
      <c r="Y1133" s="2" t="s">
        <v>81</v>
      </c>
      <c r="Z1133" s="2">
        <v>1</v>
      </c>
      <c r="AA1133" s="2" t="s">
        <v>82</v>
      </c>
      <c r="AB1133" s="2">
        <v>1</v>
      </c>
      <c r="AC1133" s="2" t="s">
        <v>178</v>
      </c>
      <c r="AD1133" s="3">
        <v>40259</v>
      </c>
      <c r="AE1133" s="4">
        <v>0.79166666666666663</v>
      </c>
      <c r="AF1133" s="2"/>
      <c r="AG1133" s="2"/>
      <c r="AH1133" s="2">
        <v>2</v>
      </c>
      <c r="AI1133" s="2" t="s">
        <v>84</v>
      </c>
      <c r="AJ1133" s="2">
        <v>12</v>
      </c>
      <c r="AK1133" s="2" t="s">
        <v>85</v>
      </c>
      <c r="AL1133" s="2">
        <v>11</v>
      </c>
      <c r="AM1133" s="2" t="s">
        <v>137</v>
      </c>
      <c r="AN1133" s="2" t="s">
        <v>2369</v>
      </c>
      <c r="AO1133" s="2" t="s">
        <v>82</v>
      </c>
      <c r="AP1133" s="2">
        <v>11</v>
      </c>
      <c r="AQ1133" s="2" t="s">
        <v>82</v>
      </c>
      <c r="AR1133" s="2" t="s">
        <v>82</v>
      </c>
      <c r="AS1133" s="2" t="s">
        <v>82</v>
      </c>
      <c r="AT1133" s="2" t="s">
        <v>4299</v>
      </c>
      <c r="AU1133" s="2">
        <v>1</v>
      </c>
      <c r="AV1133" s="2"/>
      <c r="AW1133" s="2"/>
      <c r="AX1133" s="2"/>
      <c r="AY1133" s="2">
        <v>41</v>
      </c>
      <c r="AZ1133" s="2" t="s">
        <v>82</v>
      </c>
      <c r="BA1133" s="2">
        <v>41</v>
      </c>
      <c r="BB1133" s="2" t="s">
        <v>82</v>
      </c>
      <c r="BC1133" s="2">
        <v>41</v>
      </c>
      <c r="BD1133" s="2" t="s">
        <v>82</v>
      </c>
      <c r="BE1133" s="2">
        <v>45</v>
      </c>
      <c r="BF1133" s="2" t="s">
        <v>1855</v>
      </c>
      <c r="BG1133" s="2" t="s">
        <v>4294</v>
      </c>
      <c r="BH1133" s="4">
        <v>0.84027777777777779</v>
      </c>
      <c r="BI1133" s="4">
        <v>0.80555555555555547</v>
      </c>
      <c r="BJ1133" s="2">
        <v>13</v>
      </c>
      <c r="BK1133" s="2" t="s">
        <v>91</v>
      </c>
      <c r="BL1133" s="2" t="s">
        <v>185</v>
      </c>
      <c r="BM1133" s="2">
        <v>241</v>
      </c>
      <c r="BN1133" s="2" t="s">
        <v>82</v>
      </c>
      <c r="BO1133" s="2"/>
      <c r="BP1133" s="2">
        <v>241</v>
      </c>
      <c r="BQ1133" s="2" t="s">
        <v>82</v>
      </c>
      <c r="BR1133" s="2" t="s">
        <v>2548</v>
      </c>
      <c r="BS1133" s="3">
        <v>40260</v>
      </c>
      <c r="BT1133" s="4">
        <v>0.14063657407407407</v>
      </c>
    </row>
    <row r="1134" spans="1:72" x14ac:dyDescent="0.25">
      <c r="A1134" s="2">
        <v>1747</v>
      </c>
      <c r="B1134" s="2">
        <v>2010</v>
      </c>
      <c r="C1134" s="2" t="s">
        <v>255</v>
      </c>
      <c r="D1134" s="2" t="s">
        <v>73</v>
      </c>
      <c r="E1134" s="2"/>
      <c r="F1134" s="2">
        <v>45</v>
      </c>
      <c r="G1134" s="2" t="s">
        <v>1408</v>
      </c>
      <c r="H1134" s="2">
        <v>47</v>
      </c>
      <c r="I1134" s="2" t="s">
        <v>1409</v>
      </c>
      <c r="J1134" s="2">
        <v>77</v>
      </c>
      <c r="K1134" s="2" t="s">
        <v>2517</v>
      </c>
      <c r="L1134" s="2" t="s">
        <v>2518</v>
      </c>
      <c r="M1134" s="3">
        <v>40260</v>
      </c>
      <c r="N1134" s="2" t="s">
        <v>4300</v>
      </c>
      <c r="O1134" s="2"/>
      <c r="P1134" s="2"/>
      <c r="Q1134" s="2" t="str">
        <f>"0010 / 2010"</f>
        <v>0010 / 2010</v>
      </c>
      <c r="R1134" s="2" t="s">
        <v>2926</v>
      </c>
      <c r="S1134" s="2"/>
      <c r="T1134" s="2">
        <v>1</v>
      </c>
      <c r="U1134" s="2" t="s">
        <v>79</v>
      </c>
      <c r="V1134" s="2">
        <v>1</v>
      </c>
      <c r="W1134" s="2" t="s">
        <v>80</v>
      </c>
      <c r="X1134" s="2">
        <v>1</v>
      </c>
      <c r="Y1134" s="2" t="s">
        <v>81</v>
      </c>
      <c r="Z1134" s="2">
        <v>3</v>
      </c>
      <c r="AA1134" s="2" t="s">
        <v>257</v>
      </c>
      <c r="AB1134" s="2">
        <v>9</v>
      </c>
      <c r="AC1134" s="2" t="s">
        <v>124</v>
      </c>
      <c r="AD1134" s="3">
        <v>40260</v>
      </c>
      <c r="AE1134" s="2"/>
      <c r="AF1134" s="3">
        <v>40260</v>
      </c>
      <c r="AG1134" s="4">
        <v>0.4236111111111111</v>
      </c>
      <c r="AH1134" s="2">
        <v>4</v>
      </c>
      <c r="AI1134" s="2" t="s">
        <v>125</v>
      </c>
      <c r="AJ1134" s="2">
        <v>31</v>
      </c>
      <c r="AK1134" s="2" t="s">
        <v>1413</v>
      </c>
      <c r="AL1134" s="2">
        <v>9</v>
      </c>
      <c r="AM1134" s="2" t="s">
        <v>259</v>
      </c>
      <c r="AN1134" s="2" t="s">
        <v>4301</v>
      </c>
      <c r="AO1134" s="2"/>
      <c r="AP1134" s="2">
        <v>11</v>
      </c>
      <c r="AQ1134" s="2" t="s">
        <v>82</v>
      </c>
      <c r="AR1134" s="2"/>
      <c r="AS1134" s="2"/>
      <c r="AT1134" s="2" t="s">
        <v>4302</v>
      </c>
      <c r="AU1134" s="2"/>
      <c r="AV1134" s="2"/>
      <c r="AW1134" s="2"/>
      <c r="AX1134" s="2"/>
      <c r="AY1134" s="2">
        <v>44</v>
      </c>
      <c r="AZ1134" s="2" t="s">
        <v>262</v>
      </c>
      <c r="BA1134" s="2">
        <v>44</v>
      </c>
      <c r="BB1134" s="2" t="s">
        <v>262</v>
      </c>
      <c r="BC1134" s="2">
        <v>44</v>
      </c>
      <c r="BD1134" s="2" t="s">
        <v>262</v>
      </c>
      <c r="BE1134" s="2">
        <v>41</v>
      </c>
      <c r="BF1134" s="2" t="s">
        <v>82</v>
      </c>
      <c r="BG1134" s="2"/>
      <c r="BH1134" s="2"/>
      <c r="BI1134" s="2"/>
      <c r="BJ1134" s="2">
        <v>241</v>
      </c>
      <c r="BK1134" s="2" t="s">
        <v>82</v>
      </c>
      <c r="BL1134" s="2"/>
      <c r="BM1134" s="2">
        <v>241</v>
      </c>
      <c r="BN1134" s="2" t="s">
        <v>82</v>
      </c>
      <c r="BO1134" s="2"/>
      <c r="BP1134" s="2">
        <v>241</v>
      </c>
      <c r="BQ1134" s="2" t="s">
        <v>82</v>
      </c>
      <c r="BR1134" s="2"/>
      <c r="BS1134" s="3">
        <v>40260</v>
      </c>
      <c r="BT1134" s="4">
        <v>0.52188657407407402</v>
      </c>
    </row>
    <row r="1135" spans="1:72" x14ac:dyDescent="0.25">
      <c r="A1135" s="2">
        <v>1749</v>
      </c>
      <c r="B1135" s="2">
        <v>2010</v>
      </c>
      <c r="C1135" s="2" t="s">
        <v>819</v>
      </c>
      <c r="D1135" s="2" t="s">
        <v>122</v>
      </c>
      <c r="E1135" s="2" t="s">
        <v>4303</v>
      </c>
      <c r="F1135" s="2">
        <v>451</v>
      </c>
      <c r="G1135" s="2" t="s">
        <v>879</v>
      </c>
      <c r="H1135" s="2">
        <v>31</v>
      </c>
      <c r="I1135" s="2" t="s">
        <v>880</v>
      </c>
      <c r="J1135" s="2">
        <v>326</v>
      </c>
      <c r="K1135" s="2" t="s">
        <v>881</v>
      </c>
      <c r="L1135" s="2" t="s">
        <v>882</v>
      </c>
      <c r="M1135" s="3">
        <v>40260</v>
      </c>
      <c r="N1135" s="2" t="s">
        <v>1072</v>
      </c>
      <c r="O1135" s="2" t="s">
        <v>3620</v>
      </c>
      <c r="P1135" s="2" t="s">
        <v>3620</v>
      </c>
      <c r="Q1135" s="2" t="str">
        <f>"034/10"</f>
        <v>034/10</v>
      </c>
      <c r="R1135" s="2" t="s">
        <v>822</v>
      </c>
      <c r="S1135" s="2" t="s">
        <v>3620</v>
      </c>
      <c r="T1135" s="2">
        <v>1</v>
      </c>
      <c r="U1135" s="2" t="s">
        <v>79</v>
      </c>
      <c r="V1135" s="2">
        <v>1</v>
      </c>
      <c r="W1135" s="2" t="s">
        <v>80</v>
      </c>
      <c r="X1135" s="2">
        <v>1</v>
      </c>
      <c r="Y1135" s="2" t="s">
        <v>81</v>
      </c>
      <c r="Z1135" s="2">
        <v>10</v>
      </c>
      <c r="AA1135" s="2" t="s">
        <v>236</v>
      </c>
      <c r="AB1135" s="2">
        <v>9</v>
      </c>
      <c r="AC1135" s="2" t="s">
        <v>124</v>
      </c>
      <c r="AD1135" s="3">
        <v>40260</v>
      </c>
      <c r="AE1135" s="4">
        <v>0.45833333333333331</v>
      </c>
      <c r="AF1135" s="2"/>
      <c r="AG1135" s="2"/>
      <c r="AH1135" s="2">
        <v>4</v>
      </c>
      <c r="AI1135" s="2" t="s">
        <v>125</v>
      </c>
      <c r="AJ1135" s="2">
        <v>29</v>
      </c>
      <c r="AK1135" s="2" t="s">
        <v>227</v>
      </c>
      <c r="AL1135" s="2">
        <v>10</v>
      </c>
      <c r="AM1135" s="2" t="s">
        <v>200</v>
      </c>
      <c r="AN1135" s="2"/>
      <c r="AO1135" s="2" t="s">
        <v>883</v>
      </c>
      <c r="AP1135" s="2">
        <v>12</v>
      </c>
      <c r="AQ1135" s="2" t="s">
        <v>322</v>
      </c>
      <c r="AR1135" s="2" t="s">
        <v>824</v>
      </c>
      <c r="AS1135" s="2" t="s">
        <v>884</v>
      </c>
      <c r="AT1135" s="2" t="s">
        <v>4304</v>
      </c>
      <c r="AU1135" s="2"/>
      <c r="AV1135" s="2"/>
      <c r="AW1135" s="2"/>
      <c r="AX1135" s="2"/>
      <c r="AY1135" s="2">
        <v>41</v>
      </c>
      <c r="AZ1135" s="2" t="s">
        <v>82</v>
      </c>
      <c r="BA1135" s="2">
        <v>41</v>
      </c>
      <c r="BB1135" s="2" t="s">
        <v>82</v>
      </c>
      <c r="BC1135" s="2">
        <v>51</v>
      </c>
      <c r="BD1135" s="2" t="s">
        <v>827</v>
      </c>
      <c r="BE1135" s="2">
        <v>47</v>
      </c>
      <c r="BF1135" s="2" t="s">
        <v>167</v>
      </c>
      <c r="BG1135" s="2">
        <v>2459</v>
      </c>
      <c r="BH1135" s="4">
        <v>0.91666666666666663</v>
      </c>
      <c r="BI1135" s="4">
        <v>0.95138888888888884</v>
      </c>
      <c r="BJ1135" s="2">
        <v>13</v>
      </c>
      <c r="BK1135" s="2" t="s">
        <v>91</v>
      </c>
      <c r="BL1135" s="2" t="s">
        <v>828</v>
      </c>
      <c r="BM1135" s="2">
        <v>241</v>
      </c>
      <c r="BN1135" s="2" t="s">
        <v>82</v>
      </c>
      <c r="BO1135" s="2" t="s">
        <v>82</v>
      </c>
      <c r="BP1135" s="2">
        <v>13</v>
      </c>
      <c r="BQ1135" s="2" t="s">
        <v>91</v>
      </c>
      <c r="BR1135" s="2" t="s">
        <v>1108</v>
      </c>
      <c r="BS1135" s="3">
        <v>40260</v>
      </c>
      <c r="BT1135" s="4">
        <v>0.57703703703703701</v>
      </c>
    </row>
    <row r="1136" spans="1:72" x14ac:dyDescent="0.25">
      <c r="A1136" s="2">
        <v>1750</v>
      </c>
      <c r="B1136" s="2">
        <v>2010</v>
      </c>
      <c r="C1136" s="2" t="s">
        <v>93</v>
      </c>
      <c r="D1136" s="2" t="s">
        <v>122</v>
      </c>
      <c r="E1136" s="2" t="s">
        <v>4305</v>
      </c>
      <c r="F1136" s="2">
        <v>567</v>
      </c>
      <c r="G1136" s="2" t="s">
        <v>4306</v>
      </c>
      <c r="H1136" s="2">
        <v>42</v>
      </c>
      <c r="I1136" s="2" t="s">
        <v>1096</v>
      </c>
      <c r="J1136" s="2">
        <v>493</v>
      </c>
      <c r="K1136" s="2" t="s">
        <v>4307</v>
      </c>
      <c r="L1136" s="2" t="s">
        <v>4308</v>
      </c>
      <c r="M1136" s="3">
        <v>40260</v>
      </c>
      <c r="N1136" s="2" t="s">
        <v>4309</v>
      </c>
      <c r="O1136" s="2" t="s">
        <v>4310</v>
      </c>
      <c r="P1136" s="2">
        <v>43997</v>
      </c>
      <c r="Q1136" s="2" t="str">
        <f>"0010/2010"</f>
        <v>0010/2010</v>
      </c>
      <c r="R1136" s="2" t="s">
        <v>82</v>
      </c>
      <c r="S1136" s="2" t="s">
        <v>82</v>
      </c>
      <c r="T1136" s="2">
        <v>1</v>
      </c>
      <c r="U1136" s="2" t="s">
        <v>79</v>
      </c>
      <c r="V1136" s="2">
        <v>1</v>
      </c>
      <c r="W1136" s="2" t="s">
        <v>80</v>
      </c>
      <c r="X1136" s="2">
        <v>1</v>
      </c>
      <c r="Y1136" s="2" t="s">
        <v>81</v>
      </c>
      <c r="Z1136" s="2">
        <v>10</v>
      </c>
      <c r="AA1136" s="2" t="s">
        <v>236</v>
      </c>
      <c r="AB1136" s="2">
        <v>2</v>
      </c>
      <c r="AC1136" s="2" t="s">
        <v>102</v>
      </c>
      <c r="AD1136" s="3">
        <v>40257</v>
      </c>
      <c r="AE1136" s="4">
        <v>0.78125</v>
      </c>
      <c r="AF1136" s="2"/>
      <c r="AG1136" s="2"/>
      <c r="AH1136" s="2">
        <v>6</v>
      </c>
      <c r="AI1136" s="2" t="s">
        <v>197</v>
      </c>
      <c r="AJ1136" s="2">
        <v>61</v>
      </c>
      <c r="AK1136" s="2" t="s">
        <v>686</v>
      </c>
      <c r="AL1136" s="2">
        <v>11</v>
      </c>
      <c r="AM1136" s="2" t="s">
        <v>137</v>
      </c>
      <c r="AN1136" s="2" t="s">
        <v>82</v>
      </c>
      <c r="AO1136" s="2" t="s">
        <v>350</v>
      </c>
      <c r="AP1136" s="2">
        <v>11</v>
      </c>
      <c r="AQ1136" s="2" t="s">
        <v>82</v>
      </c>
      <c r="AR1136" s="2" t="s">
        <v>82</v>
      </c>
      <c r="AS1136" s="2" t="s">
        <v>82</v>
      </c>
      <c r="AT1136" s="2" t="s">
        <v>4311</v>
      </c>
      <c r="AU1136" s="2"/>
      <c r="AV1136" s="2"/>
      <c r="AW1136" s="2"/>
      <c r="AX1136" s="2"/>
      <c r="AY1136" s="2">
        <v>41</v>
      </c>
      <c r="AZ1136" s="2" t="s">
        <v>82</v>
      </c>
      <c r="BA1136" s="2">
        <v>41</v>
      </c>
      <c r="BB1136" s="2" t="s">
        <v>82</v>
      </c>
      <c r="BC1136" s="2">
        <v>41</v>
      </c>
      <c r="BD1136" s="2" t="s">
        <v>82</v>
      </c>
      <c r="BE1136" s="2">
        <v>13</v>
      </c>
      <c r="BF1136" s="2" t="s">
        <v>108</v>
      </c>
      <c r="BG1136" s="2">
        <v>2849</v>
      </c>
      <c r="BH1136" s="4">
        <v>0.75486111111111109</v>
      </c>
      <c r="BI1136" s="4">
        <v>0.79513888888888884</v>
      </c>
      <c r="BJ1136" s="2">
        <v>13</v>
      </c>
      <c r="BK1136" s="2" t="s">
        <v>91</v>
      </c>
      <c r="BL1136" s="2" t="s">
        <v>690</v>
      </c>
      <c r="BM1136" s="2">
        <v>241</v>
      </c>
      <c r="BN1136" s="2" t="s">
        <v>82</v>
      </c>
      <c r="BO1136" s="2" t="s">
        <v>82</v>
      </c>
      <c r="BP1136" s="2">
        <v>13</v>
      </c>
      <c r="BQ1136" s="2" t="s">
        <v>91</v>
      </c>
      <c r="BR1136" s="2" t="s">
        <v>185</v>
      </c>
      <c r="BS1136" s="3">
        <v>40260</v>
      </c>
      <c r="BT1136" s="4">
        <v>0.58019675925925929</v>
      </c>
    </row>
    <row r="1137" spans="1:72" x14ac:dyDescent="0.25">
      <c r="A1137" s="2">
        <v>1751</v>
      </c>
      <c r="B1137" s="2">
        <v>2010</v>
      </c>
      <c r="C1137" s="2" t="s">
        <v>171</v>
      </c>
      <c r="D1137" s="2" t="s">
        <v>73</v>
      </c>
      <c r="E1137" s="2"/>
      <c r="F1137" s="2">
        <v>508</v>
      </c>
      <c r="G1137" s="2" t="s">
        <v>2803</v>
      </c>
      <c r="H1137" s="2">
        <v>42</v>
      </c>
      <c r="I1137" s="2" t="s">
        <v>1096</v>
      </c>
      <c r="J1137" s="2">
        <v>496</v>
      </c>
      <c r="K1137" s="2" t="s">
        <v>4312</v>
      </c>
      <c r="L1137" s="2" t="s">
        <v>4313</v>
      </c>
      <c r="M1137" s="3">
        <v>40260</v>
      </c>
      <c r="N1137" s="2" t="s">
        <v>4314</v>
      </c>
      <c r="O1137" s="2" t="s">
        <v>4315</v>
      </c>
      <c r="P1137" s="6">
        <v>44812</v>
      </c>
      <c r="Q1137" s="2" t="str">
        <f>"N/C"</f>
        <v>N/C</v>
      </c>
      <c r="R1137" s="2" t="s">
        <v>82</v>
      </c>
      <c r="S1137" s="2" t="s">
        <v>82</v>
      </c>
      <c r="T1137" s="2">
        <v>1</v>
      </c>
      <c r="U1137" s="2" t="s">
        <v>79</v>
      </c>
      <c r="V1137" s="2">
        <v>3</v>
      </c>
      <c r="W1137" s="2" t="s">
        <v>225</v>
      </c>
      <c r="X1137" s="2">
        <v>2</v>
      </c>
      <c r="Y1137" s="2" t="s">
        <v>136</v>
      </c>
      <c r="Z1137" s="2">
        <v>1</v>
      </c>
      <c r="AA1137" s="2" t="s">
        <v>82</v>
      </c>
      <c r="AB1137" s="2">
        <v>9</v>
      </c>
      <c r="AC1137" s="2" t="s">
        <v>124</v>
      </c>
      <c r="AD1137" s="2"/>
      <c r="AE1137" s="2"/>
      <c r="AF1137" s="2"/>
      <c r="AG1137" s="2"/>
      <c r="AH1137" s="2">
        <v>6</v>
      </c>
      <c r="AI1137" s="2" t="s">
        <v>197</v>
      </c>
      <c r="AJ1137" s="2">
        <v>47</v>
      </c>
      <c r="AK1137" s="2" t="s">
        <v>250</v>
      </c>
      <c r="AL1137" s="2">
        <v>23</v>
      </c>
      <c r="AM1137" s="2" t="s">
        <v>251</v>
      </c>
      <c r="AN1137" s="2" t="s">
        <v>107</v>
      </c>
      <c r="AO1137" s="2" t="s">
        <v>107</v>
      </c>
      <c r="AP1137" s="2">
        <v>11</v>
      </c>
      <c r="AQ1137" s="2" t="s">
        <v>82</v>
      </c>
      <c r="AR1137" s="2" t="s">
        <v>82</v>
      </c>
      <c r="AS1137" s="2" t="s">
        <v>82</v>
      </c>
      <c r="AT1137" s="2" t="s">
        <v>4316</v>
      </c>
      <c r="AU1137" s="2"/>
      <c r="AV1137" s="2"/>
      <c r="AW1137" s="2"/>
      <c r="AX1137" s="2"/>
      <c r="AY1137" s="2">
        <v>41</v>
      </c>
      <c r="AZ1137" s="2" t="s">
        <v>82</v>
      </c>
      <c r="BA1137" s="2">
        <v>41</v>
      </c>
      <c r="BB1137" s="2" t="s">
        <v>82</v>
      </c>
      <c r="BC1137" s="2">
        <v>41</v>
      </c>
      <c r="BD1137" s="2" t="s">
        <v>82</v>
      </c>
      <c r="BE1137" s="2">
        <v>41</v>
      </c>
      <c r="BF1137" s="2" t="s">
        <v>82</v>
      </c>
      <c r="BG1137" s="2" t="s">
        <v>82</v>
      </c>
      <c r="BH1137" s="2"/>
      <c r="BI1137" s="2"/>
      <c r="BJ1137" s="2">
        <v>241</v>
      </c>
      <c r="BK1137" s="2" t="s">
        <v>82</v>
      </c>
      <c r="BL1137" s="2" t="s">
        <v>82</v>
      </c>
      <c r="BM1137" s="2">
        <v>241</v>
      </c>
      <c r="BN1137" s="2" t="s">
        <v>82</v>
      </c>
      <c r="BO1137" s="2"/>
      <c r="BP1137" s="2">
        <v>241</v>
      </c>
      <c r="BQ1137" s="2" t="s">
        <v>82</v>
      </c>
      <c r="BR1137" s="2" t="s">
        <v>82</v>
      </c>
      <c r="BS1137" s="3">
        <v>40260</v>
      </c>
      <c r="BT1137" s="4">
        <v>0.60444444444444445</v>
      </c>
    </row>
    <row r="1138" spans="1:72" x14ac:dyDescent="0.25">
      <c r="A1138" s="2">
        <v>1752</v>
      </c>
      <c r="B1138" s="2">
        <v>2010</v>
      </c>
      <c r="C1138" s="2" t="s">
        <v>2567</v>
      </c>
      <c r="D1138" s="2" t="s">
        <v>122</v>
      </c>
      <c r="E1138" s="2"/>
      <c r="F1138" s="2">
        <v>1</v>
      </c>
      <c r="G1138" s="2" t="s">
        <v>82</v>
      </c>
      <c r="H1138" s="2">
        <v>1</v>
      </c>
      <c r="I1138" s="2" t="s">
        <v>82</v>
      </c>
      <c r="J1138" s="2">
        <v>1</v>
      </c>
      <c r="K1138" s="2" t="s">
        <v>107</v>
      </c>
      <c r="L1138" s="2" t="s">
        <v>107</v>
      </c>
      <c r="M1138" s="3">
        <v>40260</v>
      </c>
      <c r="N1138" s="2"/>
      <c r="O1138" s="2"/>
      <c r="P1138" s="2"/>
      <c r="Q1138" s="2" t="str">
        <f>""</f>
        <v/>
      </c>
      <c r="R1138" s="2"/>
      <c r="S1138" s="2"/>
      <c r="T1138" s="2">
        <v>1</v>
      </c>
      <c r="U1138" s="2" t="s">
        <v>79</v>
      </c>
      <c r="V1138" s="2">
        <v>1</v>
      </c>
      <c r="W1138" s="2" t="s">
        <v>80</v>
      </c>
      <c r="X1138" s="2">
        <v>1</v>
      </c>
      <c r="Y1138" s="2" t="s">
        <v>81</v>
      </c>
      <c r="Z1138" s="2">
        <v>1</v>
      </c>
      <c r="AA1138" s="2" t="s">
        <v>82</v>
      </c>
      <c r="AB1138" s="2">
        <v>9</v>
      </c>
      <c r="AC1138" s="2" t="s">
        <v>124</v>
      </c>
      <c r="AD1138" s="3">
        <v>40260</v>
      </c>
      <c r="AE1138" s="4">
        <v>0.59930555555555554</v>
      </c>
      <c r="AF1138" s="2"/>
      <c r="AG1138" s="2"/>
      <c r="AH1138" s="2">
        <v>6</v>
      </c>
      <c r="AI1138" s="2" t="s">
        <v>197</v>
      </c>
      <c r="AJ1138" s="2">
        <v>54</v>
      </c>
      <c r="AK1138" s="2" t="s">
        <v>348</v>
      </c>
      <c r="AL1138" s="2">
        <v>18</v>
      </c>
      <c r="AM1138" s="2" t="s">
        <v>82</v>
      </c>
      <c r="AN1138" s="2" t="s">
        <v>4317</v>
      </c>
      <c r="AO1138" s="2" t="s">
        <v>4318</v>
      </c>
      <c r="AP1138" s="2">
        <v>11</v>
      </c>
      <c r="AQ1138" s="2" t="s">
        <v>82</v>
      </c>
      <c r="AR1138" s="2" t="s">
        <v>4319</v>
      </c>
      <c r="AS1138" s="2" t="s">
        <v>4319</v>
      </c>
      <c r="AT1138" s="2" t="s">
        <v>4320</v>
      </c>
      <c r="AU1138" s="2"/>
      <c r="AV1138" s="2"/>
      <c r="AW1138" s="2"/>
      <c r="AX1138" s="2"/>
      <c r="AY1138" s="2">
        <v>1</v>
      </c>
      <c r="AZ1138" s="2" t="s">
        <v>107</v>
      </c>
      <c r="BA1138" s="2">
        <v>1</v>
      </c>
      <c r="BB1138" s="2" t="s">
        <v>107</v>
      </c>
      <c r="BC1138" s="2">
        <v>1</v>
      </c>
      <c r="BD1138" s="2" t="s">
        <v>107</v>
      </c>
      <c r="BE1138" s="2">
        <v>1</v>
      </c>
      <c r="BF1138" s="2" t="s">
        <v>107</v>
      </c>
      <c r="BG1138" s="2" t="s">
        <v>4321</v>
      </c>
      <c r="BH1138" s="4">
        <v>0.43402777777777773</v>
      </c>
      <c r="BI1138" s="4">
        <v>0.59930555555555554</v>
      </c>
      <c r="BJ1138" s="2">
        <v>13</v>
      </c>
      <c r="BK1138" s="2" t="s">
        <v>91</v>
      </c>
      <c r="BL1138" s="2" t="s">
        <v>2764</v>
      </c>
      <c r="BM1138" s="2">
        <v>242</v>
      </c>
      <c r="BN1138" s="2" t="s">
        <v>107</v>
      </c>
      <c r="BO1138" s="2"/>
      <c r="BP1138" s="2">
        <v>13</v>
      </c>
      <c r="BQ1138" s="2" t="s">
        <v>91</v>
      </c>
      <c r="BR1138" s="2" t="s">
        <v>4322</v>
      </c>
      <c r="BS1138" s="3">
        <v>40260</v>
      </c>
      <c r="BT1138" s="4">
        <v>0.61714120370370373</v>
      </c>
    </row>
    <row r="1139" spans="1:72" x14ac:dyDescent="0.25">
      <c r="A1139" s="2">
        <v>1753</v>
      </c>
      <c r="B1139" s="2">
        <v>2010</v>
      </c>
      <c r="C1139" s="2" t="s">
        <v>171</v>
      </c>
      <c r="D1139" s="2" t="s">
        <v>73</v>
      </c>
      <c r="E1139" s="2" t="s">
        <v>4323</v>
      </c>
      <c r="F1139" s="2">
        <v>475</v>
      </c>
      <c r="G1139" s="2" t="s">
        <v>1271</v>
      </c>
      <c r="H1139" s="2">
        <v>38</v>
      </c>
      <c r="I1139" s="2" t="s">
        <v>1272</v>
      </c>
      <c r="J1139" s="2">
        <v>385</v>
      </c>
      <c r="K1139" s="2" t="s">
        <v>1314</v>
      </c>
      <c r="L1139" s="2" t="s">
        <v>1315</v>
      </c>
      <c r="M1139" s="3">
        <v>40260</v>
      </c>
      <c r="N1139" s="2" t="s">
        <v>4064</v>
      </c>
      <c r="O1139" s="2" t="s">
        <v>4324</v>
      </c>
      <c r="P1139" s="6">
        <v>44849</v>
      </c>
      <c r="Q1139" s="2" t="str">
        <f>"0014/10"</f>
        <v>0014/10</v>
      </c>
      <c r="R1139" s="2" t="s">
        <v>3169</v>
      </c>
      <c r="S1139" s="2" t="s">
        <v>3169</v>
      </c>
      <c r="T1139" s="2">
        <v>1</v>
      </c>
      <c r="U1139" s="2" t="s">
        <v>79</v>
      </c>
      <c r="V1139" s="2">
        <v>1</v>
      </c>
      <c r="W1139" s="2" t="s">
        <v>80</v>
      </c>
      <c r="X1139" s="2">
        <v>1</v>
      </c>
      <c r="Y1139" s="2" t="s">
        <v>81</v>
      </c>
      <c r="Z1139" s="2">
        <v>10</v>
      </c>
      <c r="AA1139" s="2" t="s">
        <v>236</v>
      </c>
      <c r="AB1139" s="2">
        <v>1</v>
      </c>
      <c r="AC1139" s="2" t="s">
        <v>178</v>
      </c>
      <c r="AD1139" s="3">
        <v>40260</v>
      </c>
      <c r="AE1139" s="4">
        <v>0.52083333333333337</v>
      </c>
      <c r="AF1139" s="2"/>
      <c r="AG1139" s="2"/>
      <c r="AH1139" s="2">
        <v>5</v>
      </c>
      <c r="AI1139" s="2" t="s">
        <v>274</v>
      </c>
      <c r="AJ1139" s="2">
        <v>42</v>
      </c>
      <c r="AK1139" s="2" t="s">
        <v>660</v>
      </c>
      <c r="AL1139" s="2">
        <v>18</v>
      </c>
      <c r="AM1139" s="2" t="s">
        <v>82</v>
      </c>
      <c r="AN1139" s="2" t="s">
        <v>82</v>
      </c>
      <c r="AO1139" s="2" t="s">
        <v>3260</v>
      </c>
      <c r="AP1139" s="2">
        <v>5</v>
      </c>
      <c r="AQ1139" s="2" t="s">
        <v>827</v>
      </c>
      <c r="AR1139" s="2" t="s">
        <v>82</v>
      </c>
      <c r="AS1139" s="2" t="s">
        <v>82</v>
      </c>
      <c r="AT1139" s="2" t="s">
        <v>4325</v>
      </c>
      <c r="AU1139" s="2"/>
      <c r="AV1139" s="2"/>
      <c r="AW1139" s="2"/>
      <c r="AX1139" s="2"/>
      <c r="AY1139" s="2">
        <v>41</v>
      </c>
      <c r="AZ1139" s="2" t="s">
        <v>82</v>
      </c>
      <c r="BA1139" s="2">
        <v>41</v>
      </c>
      <c r="BB1139" s="2" t="s">
        <v>82</v>
      </c>
      <c r="BC1139" s="2">
        <v>41</v>
      </c>
      <c r="BD1139" s="2" t="s">
        <v>82</v>
      </c>
      <c r="BE1139" s="2">
        <v>41</v>
      </c>
      <c r="BF1139" s="2" t="s">
        <v>82</v>
      </c>
      <c r="BG1139" s="2" t="s">
        <v>82</v>
      </c>
      <c r="BH1139" s="2"/>
      <c r="BI1139" s="2"/>
      <c r="BJ1139" s="2">
        <v>241</v>
      </c>
      <c r="BK1139" s="2" t="s">
        <v>82</v>
      </c>
      <c r="BL1139" s="2" t="s">
        <v>82</v>
      </c>
      <c r="BM1139" s="2">
        <v>241</v>
      </c>
      <c r="BN1139" s="2" t="s">
        <v>82</v>
      </c>
      <c r="BO1139" s="2" t="s">
        <v>82</v>
      </c>
      <c r="BP1139" s="2">
        <v>241</v>
      </c>
      <c r="BQ1139" s="2" t="s">
        <v>82</v>
      </c>
      <c r="BR1139" s="2" t="s">
        <v>82</v>
      </c>
      <c r="BS1139" s="3">
        <v>40260</v>
      </c>
      <c r="BT1139" s="4">
        <v>0.70702546296296298</v>
      </c>
    </row>
    <row r="1140" spans="1:72" x14ac:dyDescent="0.25">
      <c r="A1140" s="2">
        <v>1754</v>
      </c>
      <c r="B1140" s="2">
        <v>2010</v>
      </c>
      <c r="C1140" s="2" t="s">
        <v>72</v>
      </c>
      <c r="D1140" s="2" t="s">
        <v>73</v>
      </c>
      <c r="E1140" s="2"/>
      <c r="F1140" s="2">
        <v>390</v>
      </c>
      <c r="G1140" s="2" t="s">
        <v>475</v>
      </c>
      <c r="H1140" s="2">
        <v>5</v>
      </c>
      <c r="I1140" s="2" t="s">
        <v>634</v>
      </c>
      <c r="J1140" s="2">
        <v>314</v>
      </c>
      <c r="K1140" s="2" t="s">
        <v>477</v>
      </c>
      <c r="L1140" s="2" t="s">
        <v>478</v>
      </c>
      <c r="M1140" s="3">
        <v>40260</v>
      </c>
      <c r="N1140" s="2" t="s">
        <v>3103</v>
      </c>
      <c r="O1140" s="2" t="s">
        <v>107</v>
      </c>
      <c r="P1140" s="2" t="s">
        <v>107</v>
      </c>
      <c r="Q1140" s="2" t="str">
        <f>"157-E/10"</f>
        <v>157-E/10</v>
      </c>
      <c r="R1140" s="2" t="s">
        <v>601</v>
      </c>
      <c r="S1140" s="2" t="s">
        <v>601</v>
      </c>
      <c r="T1140" s="2">
        <v>1</v>
      </c>
      <c r="U1140" s="2" t="s">
        <v>79</v>
      </c>
      <c r="V1140" s="2">
        <v>1</v>
      </c>
      <c r="W1140" s="2" t="s">
        <v>80</v>
      </c>
      <c r="X1140" s="2">
        <v>1</v>
      </c>
      <c r="Y1140" s="2" t="s">
        <v>81</v>
      </c>
      <c r="Z1140" s="2">
        <v>1</v>
      </c>
      <c r="AA1140" s="2" t="s">
        <v>82</v>
      </c>
      <c r="AB1140" s="2">
        <v>6</v>
      </c>
      <c r="AC1140" s="2" t="s">
        <v>83</v>
      </c>
      <c r="AD1140" s="3">
        <v>40259</v>
      </c>
      <c r="AE1140" s="4">
        <v>0.90277777777777779</v>
      </c>
      <c r="AF1140" s="3">
        <v>40259</v>
      </c>
      <c r="AG1140" s="4">
        <v>0.92708333333333337</v>
      </c>
      <c r="AH1140" s="2">
        <v>2</v>
      </c>
      <c r="AI1140" s="2" t="s">
        <v>84</v>
      </c>
      <c r="AJ1140" s="2">
        <v>9</v>
      </c>
      <c r="AK1140" s="2" t="s">
        <v>103</v>
      </c>
      <c r="AL1140" s="2">
        <v>10</v>
      </c>
      <c r="AM1140" s="2" t="s">
        <v>200</v>
      </c>
      <c r="AN1140" s="2" t="s">
        <v>4326</v>
      </c>
      <c r="AO1140" s="2" t="s">
        <v>4327</v>
      </c>
      <c r="AP1140" s="2">
        <v>11</v>
      </c>
      <c r="AQ1140" s="2" t="s">
        <v>82</v>
      </c>
      <c r="AR1140" s="2"/>
      <c r="AS1140" s="2"/>
      <c r="AT1140" s="2" t="s">
        <v>4328</v>
      </c>
      <c r="AU1140" s="2"/>
      <c r="AV1140" s="2"/>
      <c r="AW1140" s="2"/>
      <c r="AX1140" s="2"/>
      <c r="AY1140" s="2">
        <v>41</v>
      </c>
      <c r="AZ1140" s="2" t="s">
        <v>82</v>
      </c>
      <c r="BA1140" s="2">
        <v>41</v>
      </c>
      <c r="BB1140" s="2" t="s">
        <v>82</v>
      </c>
      <c r="BC1140" s="2">
        <v>41</v>
      </c>
      <c r="BD1140" s="2" t="s">
        <v>82</v>
      </c>
      <c r="BE1140" s="2">
        <v>9</v>
      </c>
      <c r="BF1140" s="2" t="s">
        <v>966</v>
      </c>
      <c r="BG1140" s="2" t="s">
        <v>1979</v>
      </c>
      <c r="BH1140" s="4">
        <v>0.90277777777777779</v>
      </c>
      <c r="BI1140" s="2"/>
      <c r="BJ1140" s="2">
        <v>170</v>
      </c>
      <c r="BK1140" s="2" t="s">
        <v>968</v>
      </c>
      <c r="BL1140" s="2" t="s">
        <v>1390</v>
      </c>
      <c r="BM1140" s="2">
        <v>242</v>
      </c>
      <c r="BN1140" s="2" t="s">
        <v>107</v>
      </c>
      <c r="BO1140" s="2" t="s">
        <v>107</v>
      </c>
      <c r="BP1140" s="2">
        <v>13</v>
      </c>
      <c r="BQ1140" s="2" t="s">
        <v>91</v>
      </c>
      <c r="BR1140" s="2" t="s">
        <v>4199</v>
      </c>
      <c r="BS1140" s="3">
        <v>40260</v>
      </c>
      <c r="BT1140" s="4">
        <v>0.72820601851851852</v>
      </c>
    </row>
    <row r="1141" spans="1:72" x14ac:dyDescent="0.25">
      <c r="A1141" s="2">
        <v>1756</v>
      </c>
      <c r="B1141" s="2">
        <v>2010</v>
      </c>
      <c r="C1141" s="2" t="s">
        <v>1568</v>
      </c>
      <c r="D1141" s="2" t="s">
        <v>73</v>
      </c>
      <c r="E1141" s="2"/>
      <c r="F1141" s="2">
        <v>568</v>
      </c>
      <c r="G1141" s="2" t="s">
        <v>4329</v>
      </c>
      <c r="H1141" s="2">
        <v>42</v>
      </c>
      <c r="I1141" s="2" t="s">
        <v>1096</v>
      </c>
      <c r="J1141" s="2">
        <v>495</v>
      </c>
      <c r="K1141" s="2" t="s">
        <v>4330</v>
      </c>
      <c r="L1141" s="2" t="s">
        <v>4331</v>
      </c>
      <c r="M1141" s="3">
        <v>40260</v>
      </c>
      <c r="N1141" s="2"/>
      <c r="O1141" s="2" t="s">
        <v>107</v>
      </c>
      <c r="P1141" s="2" t="s">
        <v>107</v>
      </c>
      <c r="Q1141" s="2" t="str">
        <f>"0006/10"</f>
        <v>0006/10</v>
      </c>
      <c r="R1141" s="2" t="s">
        <v>4332</v>
      </c>
      <c r="S1141" s="2" t="s">
        <v>4332</v>
      </c>
      <c r="T1141" s="2">
        <v>1</v>
      </c>
      <c r="U1141" s="2" t="s">
        <v>79</v>
      </c>
      <c r="V1141" s="2">
        <v>1</v>
      </c>
      <c r="W1141" s="2" t="s">
        <v>80</v>
      </c>
      <c r="X1141" s="2">
        <v>1</v>
      </c>
      <c r="Y1141" s="2" t="s">
        <v>81</v>
      </c>
      <c r="Z1141" s="2">
        <v>10</v>
      </c>
      <c r="AA1141" s="2" t="s">
        <v>236</v>
      </c>
      <c r="AB1141" s="2">
        <v>4</v>
      </c>
      <c r="AC1141" s="2" t="s">
        <v>1569</v>
      </c>
      <c r="AD1141" s="3">
        <v>40260</v>
      </c>
      <c r="AE1141" s="4">
        <v>0.4513888888888889</v>
      </c>
      <c r="AF1141" s="3">
        <v>40260</v>
      </c>
      <c r="AG1141" s="4">
        <v>0.47222222222222227</v>
      </c>
      <c r="AH1141" s="2">
        <v>5</v>
      </c>
      <c r="AI1141" s="2" t="s">
        <v>274</v>
      </c>
      <c r="AJ1141" s="2">
        <v>43</v>
      </c>
      <c r="AK1141" s="2" t="s">
        <v>918</v>
      </c>
      <c r="AL1141" s="2">
        <v>21</v>
      </c>
      <c r="AM1141" s="2" t="s">
        <v>1311</v>
      </c>
      <c r="AN1141" s="2" t="s">
        <v>4333</v>
      </c>
      <c r="AO1141" s="2"/>
      <c r="AP1141" s="2">
        <v>11</v>
      </c>
      <c r="AQ1141" s="2" t="s">
        <v>82</v>
      </c>
      <c r="AR1141" s="2"/>
      <c r="AS1141" s="2"/>
      <c r="AT1141" s="2" t="s">
        <v>4334</v>
      </c>
      <c r="AU1141" s="2"/>
      <c r="AV1141" s="2"/>
      <c r="AW1141" s="2">
        <v>1</v>
      </c>
      <c r="AX1141" s="2"/>
      <c r="AY1141" s="2">
        <v>41</v>
      </c>
      <c r="AZ1141" s="2" t="s">
        <v>82</v>
      </c>
      <c r="BA1141" s="2">
        <v>41</v>
      </c>
      <c r="BB1141" s="2" t="s">
        <v>82</v>
      </c>
      <c r="BC1141" s="2">
        <v>41</v>
      </c>
      <c r="BD1141" s="2" t="s">
        <v>82</v>
      </c>
      <c r="BE1141" s="2">
        <v>41</v>
      </c>
      <c r="BF1141" s="2" t="s">
        <v>82</v>
      </c>
      <c r="BG1141" s="2"/>
      <c r="BH1141" s="2"/>
      <c r="BI1141" s="2"/>
      <c r="BJ1141" s="2">
        <v>241</v>
      </c>
      <c r="BK1141" s="2" t="s">
        <v>82</v>
      </c>
      <c r="BL1141" s="2"/>
      <c r="BM1141" s="2">
        <v>241</v>
      </c>
      <c r="BN1141" s="2" t="s">
        <v>82</v>
      </c>
      <c r="BO1141" s="2"/>
      <c r="BP1141" s="2">
        <v>241</v>
      </c>
      <c r="BQ1141" s="2" t="s">
        <v>82</v>
      </c>
      <c r="BR1141" s="2"/>
      <c r="BS1141" s="3">
        <v>40260</v>
      </c>
      <c r="BT1141" s="4">
        <v>0.75320601851851843</v>
      </c>
    </row>
    <row r="1142" spans="1:72" x14ac:dyDescent="0.25">
      <c r="A1142" s="2">
        <v>1757</v>
      </c>
      <c r="B1142" s="2">
        <v>2010</v>
      </c>
      <c r="C1142" s="2" t="s">
        <v>1094</v>
      </c>
      <c r="D1142" s="2" t="s">
        <v>73</v>
      </c>
      <c r="E1142" s="2"/>
      <c r="F1142" s="2">
        <v>568</v>
      </c>
      <c r="G1142" s="2" t="s">
        <v>4329</v>
      </c>
      <c r="H1142" s="2">
        <v>42</v>
      </c>
      <c r="I1142" s="2" t="s">
        <v>1096</v>
      </c>
      <c r="J1142" s="2">
        <v>495</v>
      </c>
      <c r="K1142" s="2" t="s">
        <v>4330</v>
      </c>
      <c r="L1142" s="2" t="s">
        <v>4331</v>
      </c>
      <c r="M1142" s="3">
        <v>40260</v>
      </c>
      <c r="N1142" s="2"/>
      <c r="O1142" s="2"/>
      <c r="P1142" s="2"/>
      <c r="Q1142" s="2" t="str">
        <f>"0007/10"</f>
        <v>0007/10</v>
      </c>
      <c r="R1142" s="2" t="s">
        <v>4335</v>
      </c>
      <c r="S1142" s="2" t="s">
        <v>4335</v>
      </c>
      <c r="T1142" s="2">
        <v>1</v>
      </c>
      <c r="U1142" s="2" t="s">
        <v>79</v>
      </c>
      <c r="V1142" s="2">
        <v>1</v>
      </c>
      <c r="W1142" s="2" t="s">
        <v>80</v>
      </c>
      <c r="X1142" s="2">
        <v>1</v>
      </c>
      <c r="Y1142" s="2" t="s">
        <v>81</v>
      </c>
      <c r="Z1142" s="2">
        <v>10</v>
      </c>
      <c r="AA1142" s="2" t="s">
        <v>236</v>
      </c>
      <c r="AB1142" s="2">
        <v>9</v>
      </c>
      <c r="AC1142" s="2" t="s">
        <v>124</v>
      </c>
      <c r="AD1142" s="3">
        <v>40260</v>
      </c>
      <c r="AE1142" s="2"/>
      <c r="AF1142" s="3">
        <v>40260</v>
      </c>
      <c r="AG1142" s="4">
        <v>0.59375</v>
      </c>
      <c r="AH1142" s="2">
        <v>5</v>
      </c>
      <c r="AI1142" s="2" t="s">
        <v>274</v>
      </c>
      <c r="AJ1142" s="2">
        <v>43</v>
      </c>
      <c r="AK1142" s="2" t="s">
        <v>918</v>
      </c>
      <c r="AL1142" s="2">
        <v>21</v>
      </c>
      <c r="AM1142" s="2" t="s">
        <v>1311</v>
      </c>
      <c r="AN1142" s="2" t="s">
        <v>4336</v>
      </c>
      <c r="AO1142" s="2"/>
      <c r="AP1142" s="2">
        <v>11</v>
      </c>
      <c r="AQ1142" s="2" t="s">
        <v>82</v>
      </c>
      <c r="AR1142" s="2"/>
      <c r="AS1142" s="2"/>
      <c r="AT1142" s="2" t="s">
        <v>4337</v>
      </c>
      <c r="AU1142" s="2"/>
      <c r="AV1142" s="2"/>
      <c r="AW1142" s="2"/>
      <c r="AX1142" s="2"/>
      <c r="AY1142" s="2">
        <v>1</v>
      </c>
      <c r="AZ1142" s="2" t="s">
        <v>107</v>
      </c>
      <c r="BA1142" s="2">
        <v>1</v>
      </c>
      <c r="BB1142" s="2" t="s">
        <v>107</v>
      </c>
      <c r="BC1142" s="2">
        <v>1</v>
      </c>
      <c r="BD1142" s="2" t="s">
        <v>107</v>
      </c>
      <c r="BE1142" s="2">
        <v>1</v>
      </c>
      <c r="BF1142" s="2" t="s">
        <v>107</v>
      </c>
      <c r="BG1142" s="2"/>
      <c r="BH1142" s="2"/>
      <c r="BI1142" s="2"/>
      <c r="BJ1142" s="2">
        <v>242</v>
      </c>
      <c r="BK1142" s="2" t="s">
        <v>107</v>
      </c>
      <c r="BL1142" s="2"/>
      <c r="BM1142" s="2">
        <v>242</v>
      </c>
      <c r="BN1142" s="2" t="s">
        <v>107</v>
      </c>
      <c r="BO1142" s="2"/>
      <c r="BP1142" s="2">
        <v>242</v>
      </c>
      <c r="BQ1142" s="2" t="s">
        <v>107</v>
      </c>
      <c r="BR1142" s="2"/>
      <c r="BS1142" s="3">
        <v>40260</v>
      </c>
      <c r="BT1142" s="4">
        <v>0.81311342592592595</v>
      </c>
    </row>
    <row r="1143" spans="1:72" x14ac:dyDescent="0.25">
      <c r="A1143" s="2">
        <v>1759</v>
      </c>
      <c r="B1143" s="2">
        <v>2010</v>
      </c>
      <c r="C1143" s="2" t="s">
        <v>196</v>
      </c>
      <c r="D1143" s="2" t="s">
        <v>122</v>
      </c>
      <c r="E1143" s="2"/>
      <c r="F1143" s="2">
        <v>1</v>
      </c>
      <c r="G1143" s="2" t="s">
        <v>82</v>
      </c>
      <c r="H1143" s="2">
        <v>1</v>
      </c>
      <c r="I1143" s="2" t="s">
        <v>82</v>
      </c>
      <c r="J1143" s="2">
        <v>1</v>
      </c>
      <c r="K1143" s="2" t="s">
        <v>107</v>
      </c>
      <c r="L1143" s="2" t="s">
        <v>107</v>
      </c>
      <c r="M1143" s="3">
        <v>40260</v>
      </c>
      <c r="N1143" s="2"/>
      <c r="O1143" s="2"/>
      <c r="P1143" s="2"/>
      <c r="Q1143" s="2" t="str">
        <f>""</f>
        <v/>
      </c>
      <c r="R1143" s="2"/>
      <c r="S1143" s="2"/>
      <c r="T1143" s="2">
        <v>2</v>
      </c>
      <c r="U1143" s="2" t="s">
        <v>123</v>
      </c>
      <c r="V1143" s="2">
        <v>1</v>
      </c>
      <c r="W1143" s="2" t="s">
        <v>80</v>
      </c>
      <c r="X1143" s="2">
        <v>1</v>
      </c>
      <c r="Y1143" s="2" t="s">
        <v>81</v>
      </c>
      <c r="Z1143" s="2">
        <v>4</v>
      </c>
      <c r="AA1143" s="2" t="s">
        <v>182</v>
      </c>
      <c r="AB1143" s="2">
        <v>9</v>
      </c>
      <c r="AC1143" s="2" t="s">
        <v>124</v>
      </c>
      <c r="AD1143" s="3">
        <v>40260</v>
      </c>
      <c r="AE1143" s="4">
        <v>0.87152777777777779</v>
      </c>
      <c r="AF1143" s="2"/>
      <c r="AG1143" s="2"/>
      <c r="AH1143" s="2">
        <v>2</v>
      </c>
      <c r="AI1143" s="2" t="s">
        <v>84</v>
      </c>
      <c r="AJ1143" s="2">
        <v>12</v>
      </c>
      <c r="AK1143" s="2" t="s">
        <v>85</v>
      </c>
      <c r="AL1143" s="2">
        <v>20</v>
      </c>
      <c r="AM1143" s="2" t="s">
        <v>992</v>
      </c>
      <c r="AN1143" s="2"/>
      <c r="AO1143" s="2"/>
      <c r="AP1143" s="2">
        <v>11</v>
      </c>
      <c r="AQ1143" s="2" t="s">
        <v>82</v>
      </c>
      <c r="AR1143" s="2"/>
      <c r="AS1143" s="2"/>
      <c r="AT1143" s="2" t="s">
        <v>4338</v>
      </c>
      <c r="AU1143" s="2"/>
      <c r="AV1143" s="2"/>
      <c r="AW1143" s="2"/>
      <c r="AX1143" s="2"/>
      <c r="AY1143" s="2">
        <v>41</v>
      </c>
      <c r="AZ1143" s="2" t="s">
        <v>82</v>
      </c>
      <c r="BA1143" s="2">
        <v>41</v>
      </c>
      <c r="BB1143" s="2" t="s">
        <v>82</v>
      </c>
      <c r="BC1143" s="2">
        <v>70</v>
      </c>
      <c r="BD1143" s="2" t="s">
        <v>236</v>
      </c>
      <c r="BE1143" s="2">
        <v>42</v>
      </c>
      <c r="BF1143" s="2" t="s">
        <v>182</v>
      </c>
      <c r="BG1143" s="2"/>
      <c r="BH1143" s="2"/>
      <c r="BI1143" s="2"/>
      <c r="BJ1143" s="2">
        <v>173</v>
      </c>
      <c r="BK1143" s="2" t="s">
        <v>223</v>
      </c>
      <c r="BL1143" s="2" t="s">
        <v>224</v>
      </c>
      <c r="BM1143" s="2">
        <v>241</v>
      </c>
      <c r="BN1143" s="2" t="s">
        <v>82</v>
      </c>
      <c r="BO1143" s="2" t="s">
        <v>82</v>
      </c>
      <c r="BP1143" s="2">
        <v>13</v>
      </c>
      <c r="BQ1143" s="2" t="s">
        <v>91</v>
      </c>
      <c r="BR1143" s="2" t="s">
        <v>170</v>
      </c>
      <c r="BS1143" s="3">
        <v>40260</v>
      </c>
      <c r="BT1143" s="4">
        <v>0.86942129629629628</v>
      </c>
    </row>
    <row r="1144" spans="1:72" x14ac:dyDescent="0.25">
      <c r="A1144" s="2">
        <v>1760</v>
      </c>
      <c r="B1144" s="2">
        <v>2010</v>
      </c>
      <c r="C1144" s="2" t="s">
        <v>2567</v>
      </c>
      <c r="D1144" s="2" t="s">
        <v>122</v>
      </c>
      <c r="E1144" s="2"/>
      <c r="F1144" s="2">
        <v>1</v>
      </c>
      <c r="G1144" s="2" t="s">
        <v>82</v>
      </c>
      <c r="H1144" s="2">
        <v>1</v>
      </c>
      <c r="I1144" s="2" t="s">
        <v>82</v>
      </c>
      <c r="J1144" s="2">
        <v>1</v>
      </c>
      <c r="K1144" s="2" t="s">
        <v>107</v>
      </c>
      <c r="L1144" s="2" t="s">
        <v>107</v>
      </c>
      <c r="M1144" s="3">
        <v>40260</v>
      </c>
      <c r="N1144" s="2"/>
      <c r="O1144" s="2"/>
      <c r="P1144" s="2"/>
      <c r="Q1144" s="2" t="str">
        <f>""</f>
        <v/>
      </c>
      <c r="R1144" s="2"/>
      <c r="S1144" s="2"/>
      <c r="T1144" s="2">
        <v>1</v>
      </c>
      <c r="U1144" s="2" t="s">
        <v>79</v>
      </c>
      <c r="V1144" s="2">
        <v>1</v>
      </c>
      <c r="W1144" s="2" t="s">
        <v>80</v>
      </c>
      <c r="X1144" s="2">
        <v>1</v>
      </c>
      <c r="Y1144" s="2" t="s">
        <v>81</v>
      </c>
      <c r="Z1144" s="2">
        <v>10</v>
      </c>
      <c r="AA1144" s="2" t="s">
        <v>236</v>
      </c>
      <c r="AB1144" s="2">
        <v>9</v>
      </c>
      <c r="AC1144" s="2" t="s">
        <v>124</v>
      </c>
      <c r="AD1144" s="3">
        <v>40260</v>
      </c>
      <c r="AE1144" s="4">
        <v>0.76041666666666663</v>
      </c>
      <c r="AF1144" s="2"/>
      <c r="AG1144" s="2"/>
      <c r="AH1144" s="2">
        <v>6</v>
      </c>
      <c r="AI1144" s="2" t="s">
        <v>197</v>
      </c>
      <c r="AJ1144" s="2">
        <v>61</v>
      </c>
      <c r="AK1144" s="2" t="s">
        <v>686</v>
      </c>
      <c r="AL1144" s="2">
        <v>10</v>
      </c>
      <c r="AM1144" s="2" t="s">
        <v>200</v>
      </c>
      <c r="AN1144" s="2" t="s">
        <v>137</v>
      </c>
      <c r="AO1144" s="2" t="s">
        <v>4339</v>
      </c>
      <c r="AP1144" s="2">
        <v>11</v>
      </c>
      <c r="AQ1144" s="2" t="s">
        <v>82</v>
      </c>
      <c r="AR1144" s="2" t="s">
        <v>82</v>
      </c>
      <c r="AS1144" s="2" t="s">
        <v>82</v>
      </c>
      <c r="AT1144" s="2" t="s">
        <v>4340</v>
      </c>
      <c r="AU1144" s="2"/>
      <c r="AV1144" s="2"/>
      <c r="AW1144" s="2"/>
      <c r="AX1144" s="2"/>
      <c r="AY1144" s="2">
        <v>41</v>
      </c>
      <c r="AZ1144" s="2" t="s">
        <v>82</v>
      </c>
      <c r="BA1144" s="2">
        <v>41</v>
      </c>
      <c r="BB1144" s="2" t="s">
        <v>82</v>
      </c>
      <c r="BC1144" s="2">
        <v>41</v>
      </c>
      <c r="BD1144" s="2" t="s">
        <v>82</v>
      </c>
      <c r="BE1144" s="2">
        <v>41</v>
      </c>
      <c r="BF1144" s="2" t="s">
        <v>82</v>
      </c>
      <c r="BG1144" s="2" t="s">
        <v>4321</v>
      </c>
      <c r="BH1144" s="4">
        <v>0.76041666666666663</v>
      </c>
      <c r="BI1144" s="2"/>
      <c r="BJ1144" s="2">
        <v>13</v>
      </c>
      <c r="BK1144" s="2" t="s">
        <v>91</v>
      </c>
      <c r="BL1144" s="2" t="s">
        <v>353</v>
      </c>
      <c r="BM1144" s="2">
        <v>241</v>
      </c>
      <c r="BN1144" s="2" t="s">
        <v>82</v>
      </c>
      <c r="BO1144" s="2" t="s">
        <v>82</v>
      </c>
      <c r="BP1144" s="2">
        <v>241</v>
      </c>
      <c r="BQ1144" s="2" t="s">
        <v>82</v>
      </c>
      <c r="BR1144" s="2" t="s">
        <v>690</v>
      </c>
      <c r="BS1144" s="3">
        <v>40260</v>
      </c>
      <c r="BT1144" s="4">
        <v>0.89736111111111105</v>
      </c>
    </row>
    <row r="1145" spans="1:72" x14ac:dyDescent="0.25">
      <c r="A1145" s="2">
        <v>1761</v>
      </c>
      <c r="B1145" s="2">
        <v>2010</v>
      </c>
      <c r="C1145" s="2" t="s">
        <v>1094</v>
      </c>
      <c r="D1145" s="2" t="s">
        <v>122</v>
      </c>
      <c r="E1145" s="2"/>
      <c r="F1145" s="2">
        <v>11</v>
      </c>
      <c r="G1145" s="2" t="s">
        <v>2454</v>
      </c>
      <c r="H1145" s="2">
        <v>56</v>
      </c>
      <c r="I1145" s="2" t="s">
        <v>3372</v>
      </c>
      <c r="J1145" s="2">
        <v>19</v>
      </c>
      <c r="K1145" s="2" t="s">
        <v>2144</v>
      </c>
      <c r="L1145" s="2" t="s">
        <v>2145</v>
      </c>
      <c r="M1145" s="3">
        <v>40261</v>
      </c>
      <c r="N1145" s="2" t="s">
        <v>2455</v>
      </c>
      <c r="O1145" s="2" t="s">
        <v>4341</v>
      </c>
      <c r="P1145" s="2" t="s">
        <v>107</v>
      </c>
      <c r="Q1145" s="2" t="str">
        <f>"15/10"</f>
        <v>15/10</v>
      </c>
      <c r="R1145" s="2" t="s">
        <v>480</v>
      </c>
      <c r="S1145" s="2" t="s">
        <v>480</v>
      </c>
      <c r="T1145" s="2">
        <v>1</v>
      </c>
      <c r="U1145" s="2" t="s">
        <v>79</v>
      </c>
      <c r="V1145" s="2">
        <v>1</v>
      </c>
      <c r="W1145" s="2" t="s">
        <v>80</v>
      </c>
      <c r="X1145" s="2">
        <v>1</v>
      </c>
      <c r="Y1145" s="2" t="s">
        <v>81</v>
      </c>
      <c r="Z1145" s="2">
        <v>1</v>
      </c>
      <c r="AA1145" s="2" t="s">
        <v>82</v>
      </c>
      <c r="AB1145" s="2">
        <v>9</v>
      </c>
      <c r="AC1145" s="2" t="s">
        <v>124</v>
      </c>
      <c r="AD1145" s="3">
        <v>40261</v>
      </c>
      <c r="AE1145" s="4">
        <v>0.1111111111111111</v>
      </c>
      <c r="AF1145" s="2"/>
      <c r="AG1145" s="2"/>
      <c r="AH1145" s="2">
        <v>3</v>
      </c>
      <c r="AI1145" s="2" t="s">
        <v>214</v>
      </c>
      <c r="AJ1145" s="2">
        <v>24</v>
      </c>
      <c r="AK1145" s="2" t="s">
        <v>215</v>
      </c>
      <c r="AL1145" s="2">
        <v>18</v>
      </c>
      <c r="AM1145" s="2" t="s">
        <v>82</v>
      </c>
      <c r="AN1145" s="2" t="s">
        <v>2316</v>
      </c>
      <c r="AO1145" s="2" t="s">
        <v>4342</v>
      </c>
      <c r="AP1145" s="2">
        <v>11</v>
      </c>
      <c r="AQ1145" s="2" t="s">
        <v>82</v>
      </c>
      <c r="AR1145" s="2"/>
      <c r="AS1145" s="2"/>
      <c r="AT1145" s="2" t="s">
        <v>4343</v>
      </c>
      <c r="AU1145" s="2"/>
      <c r="AV1145" s="2"/>
      <c r="AW1145" s="2"/>
      <c r="AX1145" s="2"/>
      <c r="AY1145" s="2">
        <v>41</v>
      </c>
      <c r="AZ1145" s="2" t="s">
        <v>82</v>
      </c>
      <c r="BA1145" s="2">
        <v>41</v>
      </c>
      <c r="BB1145" s="2" t="s">
        <v>82</v>
      </c>
      <c r="BC1145" s="2">
        <v>41</v>
      </c>
      <c r="BD1145" s="2" t="s">
        <v>82</v>
      </c>
      <c r="BE1145" s="2">
        <v>41</v>
      </c>
      <c r="BF1145" s="2" t="s">
        <v>82</v>
      </c>
      <c r="BG1145" s="2"/>
      <c r="BH1145" s="2"/>
      <c r="BI1145" s="2"/>
      <c r="BJ1145" s="2">
        <v>241</v>
      </c>
      <c r="BK1145" s="2" t="s">
        <v>82</v>
      </c>
      <c r="BL1145" s="2"/>
      <c r="BM1145" s="2">
        <v>241</v>
      </c>
      <c r="BN1145" s="2" t="s">
        <v>82</v>
      </c>
      <c r="BO1145" s="2"/>
      <c r="BP1145" s="2">
        <v>241</v>
      </c>
      <c r="BQ1145" s="2" t="s">
        <v>82</v>
      </c>
      <c r="BR1145" s="2"/>
      <c r="BS1145" s="3">
        <v>40261</v>
      </c>
      <c r="BT1145" s="4">
        <v>0.11916666666666666</v>
      </c>
    </row>
    <row r="1146" spans="1:72" x14ac:dyDescent="0.25">
      <c r="A1146" s="2">
        <v>1762</v>
      </c>
      <c r="B1146" s="2">
        <v>2010</v>
      </c>
      <c r="C1146" s="2" t="s">
        <v>171</v>
      </c>
      <c r="D1146" s="2" t="s">
        <v>73</v>
      </c>
      <c r="E1146" s="2"/>
      <c r="F1146" s="2">
        <v>399</v>
      </c>
      <c r="G1146" s="2" t="s">
        <v>587</v>
      </c>
      <c r="H1146" s="2">
        <v>15</v>
      </c>
      <c r="I1146" s="2" t="s">
        <v>130</v>
      </c>
      <c r="J1146" s="2">
        <v>242</v>
      </c>
      <c r="K1146" s="2" t="s">
        <v>1077</v>
      </c>
      <c r="L1146" s="2" t="s">
        <v>1078</v>
      </c>
      <c r="M1146" s="3">
        <v>40261</v>
      </c>
      <c r="N1146" s="2" t="s">
        <v>4076</v>
      </c>
      <c r="O1146" s="2"/>
      <c r="P1146" s="2"/>
      <c r="Q1146" s="2" t="str">
        <f>"158-E/10"</f>
        <v>158-E/10</v>
      </c>
      <c r="R1146" s="2"/>
      <c r="S1146" s="2" t="s">
        <v>4344</v>
      </c>
      <c r="T1146" s="2">
        <v>1</v>
      </c>
      <c r="U1146" s="2" t="s">
        <v>79</v>
      </c>
      <c r="V1146" s="2">
        <v>1</v>
      </c>
      <c r="W1146" s="2" t="s">
        <v>80</v>
      </c>
      <c r="X1146" s="2">
        <v>3</v>
      </c>
      <c r="Y1146" s="2" t="s">
        <v>698</v>
      </c>
      <c r="Z1146" s="2">
        <v>2</v>
      </c>
      <c r="AA1146" s="2" t="s">
        <v>2148</v>
      </c>
      <c r="AB1146" s="2">
        <v>1</v>
      </c>
      <c r="AC1146" s="2" t="s">
        <v>178</v>
      </c>
      <c r="AD1146" s="3">
        <v>40261</v>
      </c>
      <c r="AE1146" s="4">
        <v>6.9444444444444447E-4</v>
      </c>
      <c r="AF1146" s="3">
        <v>40261</v>
      </c>
      <c r="AG1146" s="4">
        <v>0.125</v>
      </c>
      <c r="AH1146" s="2">
        <v>2</v>
      </c>
      <c r="AI1146" s="2" t="s">
        <v>84</v>
      </c>
      <c r="AJ1146" s="2">
        <v>9</v>
      </c>
      <c r="AK1146" s="2" t="s">
        <v>103</v>
      </c>
      <c r="AL1146" s="2">
        <v>16</v>
      </c>
      <c r="AM1146" s="2" t="s">
        <v>392</v>
      </c>
      <c r="AN1146" s="2" t="s">
        <v>4345</v>
      </c>
      <c r="AO1146" s="2"/>
      <c r="AP1146" s="2">
        <v>7</v>
      </c>
      <c r="AQ1146" s="2" t="s">
        <v>139</v>
      </c>
      <c r="AR1146" s="2" t="s">
        <v>4346</v>
      </c>
      <c r="AS1146" s="2" t="s">
        <v>4347</v>
      </c>
      <c r="AT1146" s="2" t="s">
        <v>4348</v>
      </c>
      <c r="AU1146" s="2"/>
      <c r="AV1146" s="2"/>
      <c r="AW1146" s="2"/>
      <c r="AX1146" s="2"/>
      <c r="AY1146" s="2">
        <v>42</v>
      </c>
      <c r="AZ1146" s="2" t="s">
        <v>182</v>
      </c>
      <c r="BA1146" s="2">
        <v>41</v>
      </c>
      <c r="BB1146" s="2" t="s">
        <v>82</v>
      </c>
      <c r="BC1146" s="2">
        <v>70</v>
      </c>
      <c r="BD1146" s="2" t="s">
        <v>236</v>
      </c>
      <c r="BE1146" s="2">
        <v>57</v>
      </c>
      <c r="BF1146" s="2" t="s">
        <v>4349</v>
      </c>
      <c r="BG1146" s="2" t="s">
        <v>4350</v>
      </c>
      <c r="BH1146" s="2"/>
      <c r="BI1146" s="4">
        <v>6.25E-2</v>
      </c>
      <c r="BJ1146" s="2">
        <v>13</v>
      </c>
      <c r="BK1146" s="2" t="s">
        <v>91</v>
      </c>
      <c r="BL1146" s="2" t="s">
        <v>360</v>
      </c>
      <c r="BM1146" s="2">
        <v>241</v>
      </c>
      <c r="BN1146" s="2" t="s">
        <v>82</v>
      </c>
      <c r="BO1146" s="2"/>
      <c r="BP1146" s="2">
        <v>232</v>
      </c>
      <c r="BQ1146" s="2" t="s">
        <v>4351</v>
      </c>
      <c r="BR1146" s="2" t="s">
        <v>2600</v>
      </c>
      <c r="BS1146" s="3">
        <v>40261</v>
      </c>
      <c r="BT1146" s="4">
        <v>0.51606481481481481</v>
      </c>
    </row>
    <row r="1147" spans="1:72" x14ac:dyDescent="0.25">
      <c r="A1147" s="2">
        <v>1763</v>
      </c>
      <c r="B1147" s="2">
        <v>2010</v>
      </c>
      <c r="C1147" s="2" t="s">
        <v>171</v>
      </c>
      <c r="D1147" s="2" t="s">
        <v>73</v>
      </c>
      <c r="E1147" s="2"/>
      <c r="F1147" s="2">
        <v>399</v>
      </c>
      <c r="G1147" s="2" t="s">
        <v>587</v>
      </c>
      <c r="H1147" s="2">
        <v>15</v>
      </c>
      <c r="I1147" s="2" t="s">
        <v>130</v>
      </c>
      <c r="J1147" s="2">
        <v>242</v>
      </c>
      <c r="K1147" s="2" t="s">
        <v>1077</v>
      </c>
      <c r="L1147" s="2" t="s">
        <v>1078</v>
      </c>
      <c r="M1147" s="3">
        <v>40261</v>
      </c>
      <c r="N1147" s="2" t="s">
        <v>588</v>
      </c>
      <c r="O1147" s="2" t="s">
        <v>82</v>
      </c>
      <c r="P1147" s="2" t="s">
        <v>82</v>
      </c>
      <c r="Q1147" s="2" t="str">
        <f>"158E/10"</f>
        <v>158E/10</v>
      </c>
      <c r="R1147" s="2"/>
      <c r="S1147" s="2" t="s">
        <v>4352</v>
      </c>
      <c r="T1147" s="2">
        <v>1</v>
      </c>
      <c r="U1147" s="2" t="s">
        <v>79</v>
      </c>
      <c r="V1147" s="2">
        <v>1</v>
      </c>
      <c r="W1147" s="2" t="s">
        <v>80</v>
      </c>
      <c r="X1147" s="2">
        <v>5</v>
      </c>
      <c r="Y1147" s="2" t="s">
        <v>82</v>
      </c>
      <c r="Z1147" s="2">
        <v>10</v>
      </c>
      <c r="AA1147" s="2" t="s">
        <v>236</v>
      </c>
      <c r="AB1147" s="2">
        <v>1</v>
      </c>
      <c r="AC1147" s="2" t="s">
        <v>178</v>
      </c>
      <c r="AD1147" s="3">
        <v>40261</v>
      </c>
      <c r="AE1147" s="4">
        <v>0.33333333333333331</v>
      </c>
      <c r="AF1147" s="2"/>
      <c r="AG1147" s="2"/>
      <c r="AH1147" s="2">
        <v>2</v>
      </c>
      <c r="AI1147" s="2" t="s">
        <v>84</v>
      </c>
      <c r="AJ1147" s="2">
        <v>6</v>
      </c>
      <c r="AK1147" s="2" t="s">
        <v>453</v>
      </c>
      <c r="AL1147" s="2">
        <v>18</v>
      </c>
      <c r="AM1147" s="2" t="s">
        <v>82</v>
      </c>
      <c r="AN1147" s="2" t="s">
        <v>4353</v>
      </c>
      <c r="AO1147" s="2" t="s">
        <v>1394</v>
      </c>
      <c r="AP1147" s="2">
        <v>11</v>
      </c>
      <c r="AQ1147" s="2" t="s">
        <v>82</v>
      </c>
      <c r="AR1147" s="2"/>
      <c r="AS1147" s="2"/>
      <c r="AT1147" s="2" t="s">
        <v>4354</v>
      </c>
      <c r="AU1147" s="2"/>
      <c r="AV1147" s="2">
        <v>1</v>
      </c>
      <c r="AW1147" s="2"/>
      <c r="AX1147" s="2"/>
      <c r="AY1147" s="2">
        <v>42</v>
      </c>
      <c r="AZ1147" s="2" t="s">
        <v>182</v>
      </c>
      <c r="BA1147" s="2">
        <v>41</v>
      </c>
      <c r="BB1147" s="2" t="s">
        <v>82</v>
      </c>
      <c r="BC1147" s="2">
        <v>41</v>
      </c>
      <c r="BD1147" s="2" t="s">
        <v>82</v>
      </c>
      <c r="BE1147" s="2">
        <v>41</v>
      </c>
      <c r="BF1147" s="2" t="s">
        <v>82</v>
      </c>
      <c r="BG1147" s="2"/>
      <c r="BH1147" s="2"/>
      <c r="BI1147" s="2"/>
      <c r="BJ1147" s="2">
        <v>241</v>
      </c>
      <c r="BK1147" s="2" t="s">
        <v>82</v>
      </c>
      <c r="BL1147" s="2"/>
      <c r="BM1147" s="2">
        <v>241</v>
      </c>
      <c r="BN1147" s="2" t="s">
        <v>82</v>
      </c>
      <c r="BO1147" s="2"/>
      <c r="BP1147" s="2">
        <v>241</v>
      </c>
      <c r="BQ1147" s="2" t="s">
        <v>82</v>
      </c>
      <c r="BR1147" s="2"/>
      <c r="BS1147" s="3">
        <v>40261</v>
      </c>
      <c r="BT1147" s="4">
        <v>0.60833333333333328</v>
      </c>
    </row>
    <row r="1148" spans="1:72" x14ac:dyDescent="0.25">
      <c r="A1148" s="2">
        <v>1763</v>
      </c>
      <c r="B1148" s="2">
        <v>2010</v>
      </c>
      <c r="C1148" s="2" t="s">
        <v>625</v>
      </c>
      <c r="D1148" s="2" t="s">
        <v>73</v>
      </c>
      <c r="E1148" s="2"/>
      <c r="F1148" s="2">
        <v>399</v>
      </c>
      <c r="G1148" s="2" t="s">
        <v>587</v>
      </c>
      <c r="H1148" s="2">
        <v>15</v>
      </c>
      <c r="I1148" s="2" t="s">
        <v>130</v>
      </c>
      <c r="J1148" s="2">
        <v>242</v>
      </c>
      <c r="K1148" s="2" t="s">
        <v>1077</v>
      </c>
      <c r="L1148" s="2" t="s">
        <v>1078</v>
      </c>
      <c r="M1148" s="3">
        <v>40261</v>
      </c>
      <c r="N1148" s="2" t="s">
        <v>588</v>
      </c>
      <c r="O1148" s="2" t="s">
        <v>82</v>
      </c>
      <c r="P1148" s="2" t="s">
        <v>82</v>
      </c>
      <c r="Q1148" s="2" t="str">
        <f>"158E/10"</f>
        <v>158E/10</v>
      </c>
      <c r="R1148" s="2"/>
      <c r="S1148" s="2" t="s">
        <v>4352</v>
      </c>
      <c r="T1148" s="2">
        <v>1</v>
      </c>
      <c r="U1148" s="2" t="s">
        <v>79</v>
      </c>
      <c r="V1148" s="2">
        <v>1</v>
      </c>
      <c r="W1148" s="2" t="s">
        <v>80</v>
      </c>
      <c r="X1148" s="2">
        <v>5</v>
      </c>
      <c r="Y1148" s="2" t="s">
        <v>82</v>
      </c>
      <c r="Z1148" s="2">
        <v>10</v>
      </c>
      <c r="AA1148" s="2" t="s">
        <v>236</v>
      </c>
      <c r="AB1148" s="2">
        <v>9</v>
      </c>
      <c r="AC1148" s="2" t="s">
        <v>124</v>
      </c>
      <c r="AD1148" s="3">
        <v>40261</v>
      </c>
      <c r="AE1148" s="4">
        <v>0.33333333333333331</v>
      </c>
      <c r="AF1148" s="2"/>
      <c r="AG1148" s="2"/>
      <c r="AH1148" s="2">
        <v>2</v>
      </c>
      <c r="AI1148" s="2" t="s">
        <v>84</v>
      </c>
      <c r="AJ1148" s="2">
        <v>6</v>
      </c>
      <c r="AK1148" s="2" t="s">
        <v>453</v>
      </c>
      <c r="AL1148" s="2">
        <v>18</v>
      </c>
      <c r="AM1148" s="2" t="s">
        <v>82</v>
      </c>
      <c r="AN1148" s="2" t="s">
        <v>4353</v>
      </c>
      <c r="AO1148" s="2" t="s">
        <v>1394</v>
      </c>
      <c r="AP1148" s="2">
        <v>11</v>
      </c>
      <c r="AQ1148" s="2" t="s">
        <v>82</v>
      </c>
      <c r="AR1148" s="2"/>
      <c r="AS1148" s="2"/>
      <c r="AT1148" s="2" t="s">
        <v>4354</v>
      </c>
      <c r="AU1148" s="2"/>
      <c r="AV1148" s="2">
        <v>1</v>
      </c>
      <c r="AW1148" s="2"/>
      <c r="AX1148" s="2"/>
      <c r="AY1148" s="2">
        <v>42</v>
      </c>
      <c r="AZ1148" s="2" t="s">
        <v>182</v>
      </c>
      <c r="BA1148" s="2">
        <v>41</v>
      </c>
      <c r="BB1148" s="2" t="s">
        <v>82</v>
      </c>
      <c r="BC1148" s="2">
        <v>41</v>
      </c>
      <c r="BD1148" s="2" t="s">
        <v>82</v>
      </c>
      <c r="BE1148" s="2">
        <v>41</v>
      </c>
      <c r="BF1148" s="2" t="s">
        <v>82</v>
      </c>
      <c r="BG1148" s="2"/>
      <c r="BH1148" s="2"/>
      <c r="BI1148" s="2"/>
      <c r="BJ1148" s="2">
        <v>241</v>
      </c>
      <c r="BK1148" s="2" t="s">
        <v>82</v>
      </c>
      <c r="BL1148" s="2"/>
      <c r="BM1148" s="2">
        <v>241</v>
      </c>
      <c r="BN1148" s="2" t="s">
        <v>82</v>
      </c>
      <c r="BO1148" s="2"/>
      <c r="BP1148" s="2">
        <v>241</v>
      </c>
      <c r="BQ1148" s="2" t="s">
        <v>82</v>
      </c>
      <c r="BR1148" s="2"/>
      <c r="BS1148" s="3">
        <v>40261</v>
      </c>
      <c r="BT1148" s="4">
        <v>0.60833333333333328</v>
      </c>
    </row>
    <row r="1149" spans="1:72" x14ac:dyDescent="0.25">
      <c r="A1149" s="2">
        <v>1764</v>
      </c>
      <c r="B1149" s="2">
        <v>2010</v>
      </c>
      <c r="C1149" s="2" t="s">
        <v>171</v>
      </c>
      <c r="D1149" s="2" t="s">
        <v>73</v>
      </c>
      <c r="E1149" s="2"/>
      <c r="F1149" s="2">
        <v>159</v>
      </c>
      <c r="G1149" s="2" t="s">
        <v>3883</v>
      </c>
      <c r="H1149" s="2">
        <v>19</v>
      </c>
      <c r="I1149" s="2" t="s">
        <v>4355</v>
      </c>
      <c r="J1149" s="2">
        <v>172</v>
      </c>
      <c r="K1149" s="2" t="s">
        <v>3885</v>
      </c>
      <c r="L1149" s="2" t="s">
        <v>3886</v>
      </c>
      <c r="M1149" s="3">
        <v>40261</v>
      </c>
      <c r="N1149" s="2" t="s">
        <v>4356</v>
      </c>
      <c r="O1149" s="2" t="s">
        <v>107</v>
      </c>
      <c r="P1149" s="2" t="s">
        <v>107</v>
      </c>
      <c r="Q1149" s="2" t="str">
        <f>"118-A/10"</f>
        <v>118-A/10</v>
      </c>
      <c r="R1149" s="2" t="s">
        <v>107</v>
      </c>
      <c r="S1149" s="2" t="s">
        <v>489</v>
      </c>
      <c r="T1149" s="2">
        <v>1</v>
      </c>
      <c r="U1149" s="2" t="s">
        <v>79</v>
      </c>
      <c r="V1149" s="2">
        <v>1</v>
      </c>
      <c r="W1149" s="2" t="s">
        <v>80</v>
      </c>
      <c r="X1149" s="2">
        <v>1</v>
      </c>
      <c r="Y1149" s="2" t="s">
        <v>81</v>
      </c>
      <c r="Z1149" s="2">
        <v>1</v>
      </c>
      <c r="AA1149" s="2" t="s">
        <v>82</v>
      </c>
      <c r="AB1149" s="2">
        <v>1</v>
      </c>
      <c r="AC1149" s="2" t="s">
        <v>178</v>
      </c>
      <c r="AD1149" s="3">
        <v>40261</v>
      </c>
      <c r="AE1149" s="4">
        <v>0.70833333333333337</v>
      </c>
      <c r="AF1149" s="3">
        <v>40261</v>
      </c>
      <c r="AG1149" s="4">
        <v>0.82638888888888884</v>
      </c>
      <c r="AH1149" s="2">
        <v>2</v>
      </c>
      <c r="AI1149" s="2" t="s">
        <v>84</v>
      </c>
      <c r="AJ1149" s="2">
        <v>12</v>
      </c>
      <c r="AK1149" s="2" t="s">
        <v>85</v>
      </c>
      <c r="AL1149" s="2">
        <v>14</v>
      </c>
      <c r="AM1149" s="2" t="s">
        <v>216</v>
      </c>
      <c r="AN1149" s="2" t="s">
        <v>919</v>
      </c>
      <c r="AO1149" s="2" t="s">
        <v>3888</v>
      </c>
      <c r="AP1149" s="2">
        <v>11</v>
      </c>
      <c r="AQ1149" s="2" t="s">
        <v>82</v>
      </c>
      <c r="AR1149" s="2"/>
      <c r="AS1149" s="2"/>
      <c r="AT1149" s="2" t="s">
        <v>4357</v>
      </c>
      <c r="AU1149" s="2">
        <v>1</v>
      </c>
      <c r="AV1149" s="2"/>
      <c r="AW1149" s="2"/>
      <c r="AX1149" s="2"/>
      <c r="AY1149" s="2">
        <v>41</v>
      </c>
      <c r="AZ1149" s="2" t="s">
        <v>82</v>
      </c>
      <c r="BA1149" s="2">
        <v>41</v>
      </c>
      <c r="BB1149" s="2" t="s">
        <v>82</v>
      </c>
      <c r="BC1149" s="2">
        <v>41</v>
      </c>
      <c r="BD1149" s="2" t="s">
        <v>82</v>
      </c>
      <c r="BE1149" s="2">
        <v>13</v>
      </c>
      <c r="BF1149" s="2" t="s">
        <v>108</v>
      </c>
      <c r="BG1149" s="2" t="s">
        <v>4358</v>
      </c>
      <c r="BH1149" s="4">
        <v>0.81597222222222221</v>
      </c>
      <c r="BI1149" s="4">
        <v>0.74652777777777779</v>
      </c>
      <c r="BJ1149" s="2">
        <v>13</v>
      </c>
      <c r="BK1149" s="2" t="s">
        <v>91</v>
      </c>
      <c r="BL1149" s="2" t="s">
        <v>3378</v>
      </c>
      <c r="BM1149" s="2">
        <v>241</v>
      </c>
      <c r="BN1149" s="2" t="s">
        <v>82</v>
      </c>
      <c r="BO1149" s="2" t="s">
        <v>82</v>
      </c>
      <c r="BP1149" s="2">
        <v>13</v>
      </c>
      <c r="BQ1149" s="2" t="s">
        <v>91</v>
      </c>
      <c r="BR1149" s="2" t="s">
        <v>445</v>
      </c>
      <c r="BS1149" s="3">
        <v>40261</v>
      </c>
      <c r="BT1149" s="4">
        <v>0.79292824074074064</v>
      </c>
    </row>
    <row r="1150" spans="1:72" x14ac:dyDescent="0.25">
      <c r="A1150" s="2">
        <v>1766</v>
      </c>
      <c r="B1150" s="2">
        <v>2010</v>
      </c>
      <c r="C1150" s="2" t="s">
        <v>625</v>
      </c>
      <c r="D1150" s="2" t="s">
        <v>73</v>
      </c>
      <c r="E1150" s="2"/>
      <c r="F1150" s="2">
        <v>399</v>
      </c>
      <c r="G1150" s="2" t="s">
        <v>587</v>
      </c>
      <c r="H1150" s="2">
        <v>15</v>
      </c>
      <c r="I1150" s="2" t="s">
        <v>130</v>
      </c>
      <c r="J1150" s="2">
        <v>242</v>
      </c>
      <c r="K1150" s="2" t="s">
        <v>1077</v>
      </c>
      <c r="L1150" s="2" t="s">
        <v>1078</v>
      </c>
      <c r="M1150" s="3">
        <v>40261</v>
      </c>
      <c r="N1150" s="2" t="s">
        <v>588</v>
      </c>
      <c r="O1150" s="2" t="s">
        <v>4359</v>
      </c>
      <c r="P1150" s="2">
        <v>6479</v>
      </c>
      <c r="Q1150" s="2" t="str">
        <f>"158E/10"</f>
        <v>158E/10</v>
      </c>
      <c r="R1150" s="2"/>
      <c r="S1150" s="2" t="s">
        <v>4352</v>
      </c>
      <c r="T1150" s="2">
        <v>1</v>
      </c>
      <c r="U1150" s="2" t="s">
        <v>79</v>
      </c>
      <c r="V1150" s="2">
        <v>1</v>
      </c>
      <c r="W1150" s="2" t="s">
        <v>80</v>
      </c>
      <c r="X1150" s="2">
        <v>2</v>
      </c>
      <c r="Y1150" s="2" t="s">
        <v>136</v>
      </c>
      <c r="Z1150" s="2">
        <v>10</v>
      </c>
      <c r="AA1150" s="2" t="s">
        <v>236</v>
      </c>
      <c r="AB1150" s="2">
        <v>9</v>
      </c>
      <c r="AC1150" s="2" t="s">
        <v>124</v>
      </c>
      <c r="AD1150" s="3">
        <v>40261</v>
      </c>
      <c r="AE1150" s="4">
        <v>0.78125</v>
      </c>
      <c r="AF1150" s="2"/>
      <c r="AG1150" s="2"/>
      <c r="AH1150" s="2">
        <v>2</v>
      </c>
      <c r="AI1150" s="2" t="s">
        <v>84</v>
      </c>
      <c r="AJ1150" s="2">
        <v>6</v>
      </c>
      <c r="AK1150" s="2" t="s">
        <v>453</v>
      </c>
      <c r="AL1150" s="2">
        <v>18</v>
      </c>
      <c r="AM1150" s="2" t="s">
        <v>82</v>
      </c>
      <c r="AN1150" s="2" t="s">
        <v>4360</v>
      </c>
      <c r="AO1150" s="2" t="s">
        <v>1394</v>
      </c>
      <c r="AP1150" s="2">
        <v>11</v>
      </c>
      <c r="AQ1150" s="2" t="s">
        <v>82</v>
      </c>
      <c r="AR1150" s="2"/>
      <c r="AS1150" s="2"/>
      <c r="AT1150" s="2" t="s">
        <v>4361</v>
      </c>
      <c r="AU1150" s="2"/>
      <c r="AV1150" s="2"/>
      <c r="AW1150" s="2"/>
      <c r="AX1150" s="2"/>
      <c r="AY1150" s="2">
        <v>42</v>
      </c>
      <c r="AZ1150" s="2" t="s">
        <v>182</v>
      </c>
      <c r="BA1150" s="2">
        <v>41</v>
      </c>
      <c r="BB1150" s="2" t="s">
        <v>82</v>
      </c>
      <c r="BC1150" s="2">
        <v>70</v>
      </c>
      <c r="BD1150" s="2" t="s">
        <v>236</v>
      </c>
      <c r="BE1150" s="2">
        <v>41</v>
      </c>
      <c r="BF1150" s="2" t="s">
        <v>82</v>
      </c>
      <c r="BG1150" s="2"/>
      <c r="BH1150" s="2"/>
      <c r="BI1150" s="2"/>
      <c r="BJ1150" s="2">
        <v>241</v>
      </c>
      <c r="BK1150" s="2" t="s">
        <v>82</v>
      </c>
      <c r="BL1150" s="2"/>
      <c r="BM1150" s="2">
        <v>241</v>
      </c>
      <c r="BN1150" s="2" t="s">
        <v>82</v>
      </c>
      <c r="BO1150" s="2"/>
      <c r="BP1150" s="2">
        <v>241</v>
      </c>
      <c r="BQ1150" s="2" t="s">
        <v>82</v>
      </c>
      <c r="BR1150" s="2"/>
      <c r="BS1150" s="3">
        <v>40261</v>
      </c>
      <c r="BT1150" s="4">
        <v>0.83444444444444443</v>
      </c>
    </row>
    <row r="1151" spans="1:72" x14ac:dyDescent="0.25">
      <c r="A1151" s="2">
        <v>1766</v>
      </c>
      <c r="B1151" s="2">
        <v>2010</v>
      </c>
      <c r="C1151" s="2" t="s">
        <v>171</v>
      </c>
      <c r="D1151" s="2" t="s">
        <v>73</v>
      </c>
      <c r="E1151" s="2"/>
      <c r="F1151" s="2">
        <v>399</v>
      </c>
      <c r="G1151" s="2" t="s">
        <v>587</v>
      </c>
      <c r="H1151" s="2">
        <v>15</v>
      </c>
      <c r="I1151" s="2" t="s">
        <v>130</v>
      </c>
      <c r="J1151" s="2">
        <v>242</v>
      </c>
      <c r="K1151" s="2" t="s">
        <v>1077</v>
      </c>
      <c r="L1151" s="2" t="s">
        <v>1078</v>
      </c>
      <c r="M1151" s="3">
        <v>40261</v>
      </c>
      <c r="N1151" s="2" t="s">
        <v>588</v>
      </c>
      <c r="O1151" s="2" t="s">
        <v>4359</v>
      </c>
      <c r="P1151" s="2">
        <v>6479</v>
      </c>
      <c r="Q1151" s="2" t="str">
        <f>"158E/10"</f>
        <v>158E/10</v>
      </c>
      <c r="R1151" s="2"/>
      <c r="S1151" s="2" t="s">
        <v>4352</v>
      </c>
      <c r="T1151" s="2">
        <v>1</v>
      </c>
      <c r="U1151" s="2" t="s">
        <v>79</v>
      </c>
      <c r="V1151" s="2">
        <v>1</v>
      </c>
      <c r="W1151" s="2" t="s">
        <v>80</v>
      </c>
      <c r="X1151" s="2">
        <v>2</v>
      </c>
      <c r="Y1151" s="2" t="s">
        <v>136</v>
      </c>
      <c r="Z1151" s="2">
        <v>10</v>
      </c>
      <c r="AA1151" s="2" t="s">
        <v>236</v>
      </c>
      <c r="AB1151" s="2">
        <v>1</v>
      </c>
      <c r="AC1151" s="2" t="s">
        <v>178</v>
      </c>
      <c r="AD1151" s="3">
        <v>40261</v>
      </c>
      <c r="AE1151" s="4">
        <v>0.78125</v>
      </c>
      <c r="AF1151" s="2"/>
      <c r="AG1151" s="2"/>
      <c r="AH1151" s="2">
        <v>2</v>
      </c>
      <c r="AI1151" s="2" t="s">
        <v>84</v>
      </c>
      <c r="AJ1151" s="2">
        <v>6</v>
      </c>
      <c r="AK1151" s="2" t="s">
        <v>453</v>
      </c>
      <c r="AL1151" s="2">
        <v>18</v>
      </c>
      <c r="AM1151" s="2" t="s">
        <v>82</v>
      </c>
      <c r="AN1151" s="2" t="s">
        <v>4360</v>
      </c>
      <c r="AO1151" s="2" t="s">
        <v>1394</v>
      </c>
      <c r="AP1151" s="2">
        <v>11</v>
      </c>
      <c r="AQ1151" s="2" t="s">
        <v>82</v>
      </c>
      <c r="AR1151" s="2"/>
      <c r="AS1151" s="2"/>
      <c r="AT1151" s="2" t="s">
        <v>4361</v>
      </c>
      <c r="AU1151" s="2"/>
      <c r="AV1151" s="2"/>
      <c r="AW1151" s="2"/>
      <c r="AX1151" s="2"/>
      <c r="AY1151" s="2">
        <v>42</v>
      </c>
      <c r="AZ1151" s="2" t="s">
        <v>182</v>
      </c>
      <c r="BA1151" s="2">
        <v>41</v>
      </c>
      <c r="BB1151" s="2" t="s">
        <v>82</v>
      </c>
      <c r="BC1151" s="2">
        <v>70</v>
      </c>
      <c r="BD1151" s="2" t="s">
        <v>236</v>
      </c>
      <c r="BE1151" s="2">
        <v>41</v>
      </c>
      <c r="BF1151" s="2" t="s">
        <v>82</v>
      </c>
      <c r="BG1151" s="2"/>
      <c r="BH1151" s="2"/>
      <c r="BI1151" s="2"/>
      <c r="BJ1151" s="2">
        <v>241</v>
      </c>
      <c r="BK1151" s="2" t="s">
        <v>82</v>
      </c>
      <c r="BL1151" s="2"/>
      <c r="BM1151" s="2">
        <v>241</v>
      </c>
      <c r="BN1151" s="2" t="s">
        <v>82</v>
      </c>
      <c r="BO1151" s="2"/>
      <c r="BP1151" s="2">
        <v>241</v>
      </c>
      <c r="BQ1151" s="2" t="s">
        <v>82</v>
      </c>
      <c r="BR1151" s="2"/>
      <c r="BS1151" s="3">
        <v>40261</v>
      </c>
      <c r="BT1151" s="4">
        <v>0.83444444444444443</v>
      </c>
    </row>
    <row r="1152" spans="1:72" x14ac:dyDescent="0.25">
      <c r="A1152" s="2">
        <v>1767</v>
      </c>
      <c r="B1152" s="2">
        <v>2010</v>
      </c>
      <c r="C1152" s="2" t="s">
        <v>171</v>
      </c>
      <c r="D1152" s="2" t="s">
        <v>122</v>
      </c>
      <c r="E1152" s="2" t="s">
        <v>4362</v>
      </c>
      <c r="F1152" s="2">
        <v>159</v>
      </c>
      <c r="G1152" s="2" t="s">
        <v>3883</v>
      </c>
      <c r="H1152" s="2">
        <v>19</v>
      </c>
      <c r="I1152" s="2" t="s">
        <v>4355</v>
      </c>
      <c r="J1152" s="2">
        <v>172</v>
      </c>
      <c r="K1152" s="2" t="s">
        <v>3885</v>
      </c>
      <c r="L1152" s="2" t="s">
        <v>3886</v>
      </c>
      <c r="M1152" s="3">
        <v>40262</v>
      </c>
      <c r="N1152" s="2" t="s">
        <v>4356</v>
      </c>
      <c r="O1152" s="2" t="s">
        <v>107</v>
      </c>
      <c r="P1152" s="2" t="s">
        <v>107</v>
      </c>
      <c r="Q1152" s="2" t="str">
        <f>"118-A/10"</f>
        <v>118-A/10</v>
      </c>
      <c r="R1152" s="2" t="s">
        <v>489</v>
      </c>
      <c r="S1152" s="2" t="s">
        <v>107</v>
      </c>
      <c r="T1152" s="2">
        <v>1</v>
      </c>
      <c r="U1152" s="2" t="s">
        <v>79</v>
      </c>
      <c r="V1152" s="2">
        <v>1</v>
      </c>
      <c r="W1152" s="2" t="s">
        <v>80</v>
      </c>
      <c r="X1152" s="2">
        <v>1</v>
      </c>
      <c r="Y1152" s="2" t="s">
        <v>81</v>
      </c>
      <c r="Z1152" s="2">
        <v>10</v>
      </c>
      <c r="AA1152" s="2" t="s">
        <v>236</v>
      </c>
      <c r="AB1152" s="2">
        <v>1</v>
      </c>
      <c r="AC1152" s="2" t="s">
        <v>178</v>
      </c>
      <c r="AD1152" s="3">
        <v>40261</v>
      </c>
      <c r="AE1152" s="4">
        <v>0.70833333333333337</v>
      </c>
      <c r="AF1152" s="2"/>
      <c r="AG1152" s="2"/>
      <c r="AH1152" s="2">
        <v>2</v>
      </c>
      <c r="AI1152" s="2" t="s">
        <v>84</v>
      </c>
      <c r="AJ1152" s="2">
        <v>12</v>
      </c>
      <c r="AK1152" s="2" t="s">
        <v>85</v>
      </c>
      <c r="AL1152" s="2">
        <v>11</v>
      </c>
      <c r="AM1152" s="2" t="s">
        <v>137</v>
      </c>
      <c r="AN1152" s="2" t="s">
        <v>919</v>
      </c>
      <c r="AO1152" s="2" t="s">
        <v>4262</v>
      </c>
      <c r="AP1152" s="2">
        <v>11</v>
      </c>
      <c r="AQ1152" s="2" t="s">
        <v>82</v>
      </c>
      <c r="AR1152" s="2"/>
      <c r="AS1152" s="2"/>
      <c r="AT1152" s="2" t="s">
        <v>4363</v>
      </c>
      <c r="AU1152" s="2">
        <v>1</v>
      </c>
      <c r="AV1152" s="2"/>
      <c r="AW1152" s="2"/>
      <c r="AX1152" s="2"/>
      <c r="AY1152" s="2">
        <v>41</v>
      </c>
      <c r="AZ1152" s="2" t="s">
        <v>82</v>
      </c>
      <c r="BA1152" s="2">
        <v>41</v>
      </c>
      <c r="BB1152" s="2" t="s">
        <v>82</v>
      </c>
      <c r="BC1152" s="2">
        <v>41</v>
      </c>
      <c r="BD1152" s="2" t="s">
        <v>82</v>
      </c>
      <c r="BE1152" s="2">
        <v>13</v>
      </c>
      <c r="BF1152" s="2" t="s">
        <v>108</v>
      </c>
      <c r="BG1152" s="2" t="s">
        <v>4358</v>
      </c>
      <c r="BH1152" s="4">
        <v>0.81597222222222221</v>
      </c>
      <c r="BI1152" s="4">
        <v>0.74652777777777779</v>
      </c>
      <c r="BJ1152" s="2">
        <v>13</v>
      </c>
      <c r="BK1152" s="2" t="s">
        <v>91</v>
      </c>
      <c r="BL1152" s="2" t="s">
        <v>185</v>
      </c>
      <c r="BM1152" s="2">
        <v>241</v>
      </c>
      <c r="BN1152" s="2" t="s">
        <v>82</v>
      </c>
      <c r="BO1152" s="2" t="s">
        <v>82</v>
      </c>
      <c r="BP1152" s="2">
        <v>13</v>
      </c>
      <c r="BQ1152" s="2" t="s">
        <v>91</v>
      </c>
      <c r="BR1152" s="2" t="s">
        <v>445</v>
      </c>
      <c r="BS1152" s="3">
        <v>40262</v>
      </c>
      <c r="BT1152" s="4">
        <v>9.0011574074074077E-2</v>
      </c>
    </row>
    <row r="1153" spans="1:72" x14ac:dyDescent="0.25">
      <c r="A1153" s="2">
        <v>1768</v>
      </c>
      <c r="B1153" s="2">
        <v>2010</v>
      </c>
      <c r="C1153" s="2" t="s">
        <v>171</v>
      </c>
      <c r="D1153" s="2" t="s">
        <v>73</v>
      </c>
      <c r="E1153" s="2"/>
      <c r="F1153" s="2">
        <v>390</v>
      </c>
      <c r="G1153" s="2" t="s">
        <v>475</v>
      </c>
      <c r="H1153" s="2">
        <v>5</v>
      </c>
      <c r="I1153" s="2" t="s">
        <v>634</v>
      </c>
      <c r="J1153" s="2">
        <v>314</v>
      </c>
      <c r="K1153" s="2" t="s">
        <v>477</v>
      </c>
      <c r="L1153" s="2" t="s">
        <v>478</v>
      </c>
      <c r="M1153" s="3">
        <v>40262</v>
      </c>
      <c r="N1153" s="2" t="s">
        <v>3103</v>
      </c>
      <c r="O1153" s="2" t="s">
        <v>2529</v>
      </c>
      <c r="P1153" s="2" t="s">
        <v>2529</v>
      </c>
      <c r="Q1153" s="2" t="str">
        <f>"159-E/10"</f>
        <v>159-E/10</v>
      </c>
      <c r="R1153" s="2" t="s">
        <v>2529</v>
      </c>
      <c r="S1153" s="2" t="s">
        <v>4364</v>
      </c>
      <c r="T1153" s="2">
        <v>1</v>
      </c>
      <c r="U1153" s="2" t="s">
        <v>79</v>
      </c>
      <c r="V1153" s="2">
        <v>1</v>
      </c>
      <c r="W1153" s="2" t="s">
        <v>80</v>
      </c>
      <c r="X1153" s="2">
        <v>1</v>
      </c>
      <c r="Y1153" s="2" t="s">
        <v>81</v>
      </c>
      <c r="Z1153" s="2">
        <v>1</v>
      </c>
      <c r="AA1153" s="2" t="s">
        <v>82</v>
      </c>
      <c r="AB1153" s="2">
        <v>1</v>
      </c>
      <c r="AC1153" s="2" t="s">
        <v>178</v>
      </c>
      <c r="AD1153" s="3">
        <v>40261</v>
      </c>
      <c r="AE1153" s="4">
        <v>0.625</v>
      </c>
      <c r="AF1153" s="3">
        <v>40261</v>
      </c>
      <c r="AG1153" s="4">
        <v>0.91666666666666663</v>
      </c>
      <c r="AH1153" s="2">
        <v>2</v>
      </c>
      <c r="AI1153" s="2" t="s">
        <v>84</v>
      </c>
      <c r="AJ1153" s="2">
        <v>9</v>
      </c>
      <c r="AK1153" s="2" t="s">
        <v>103</v>
      </c>
      <c r="AL1153" s="2">
        <v>14</v>
      </c>
      <c r="AM1153" s="2" t="s">
        <v>216</v>
      </c>
      <c r="AN1153" s="2" t="s">
        <v>4365</v>
      </c>
      <c r="AO1153" s="2" t="s">
        <v>2529</v>
      </c>
      <c r="AP1153" s="2">
        <v>11</v>
      </c>
      <c r="AQ1153" s="2" t="s">
        <v>82</v>
      </c>
      <c r="AR1153" s="2" t="s">
        <v>473</v>
      </c>
      <c r="AS1153" s="2" t="s">
        <v>473</v>
      </c>
      <c r="AT1153" s="2" t="s">
        <v>4366</v>
      </c>
      <c r="AU1153" s="2"/>
      <c r="AV1153" s="2">
        <v>1</v>
      </c>
      <c r="AW1153" s="2"/>
      <c r="AX1153" s="2"/>
      <c r="AY1153" s="2">
        <v>41</v>
      </c>
      <c r="AZ1153" s="2" t="s">
        <v>82</v>
      </c>
      <c r="BA1153" s="2">
        <v>41</v>
      </c>
      <c r="BB1153" s="2" t="s">
        <v>82</v>
      </c>
      <c r="BC1153" s="2">
        <v>41</v>
      </c>
      <c r="BD1153" s="2" t="s">
        <v>82</v>
      </c>
      <c r="BE1153" s="2">
        <v>19</v>
      </c>
      <c r="BF1153" s="2" t="s">
        <v>1061</v>
      </c>
      <c r="BG1153" s="2" t="s">
        <v>1242</v>
      </c>
      <c r="BH1153" s="4">
        <v>0.60416666666666663</v>
      </c>
      <c r="BI1153" s="2"/>
      <c r="BJ1153" s="2">
        <v>29</v>
      </c>
      <c r="BK1153" s="2" t="s">
        <v>962</v>
      </c>
      <c r="BL1153" s="2" t="s">
        <v>963</v>
      </c>
      <c r="BM1153" s="2">
        <v>13</v>
      </c>
      <c r="BN1153" s="2" t="s">
        <v>91</v>
      </c>
      <c r="BO1153" s="2" t="s">
        <v>360</v>
      </c>
      <c r="BP1153" s="2">
        <v>205</v>
      </c>
      <c r="BQ1153" s="2" t="s">
        <v>1085</v>
      </c>
      <c r="BR1153" s="2" t="s">
        <v>1086</v>
      </c>
      <c r="BS1153" s="3">
        <v>40262</v>
      </c>
      <c r="BT1153" s="4">
        <v>0.10910879629629629</v>
      </c>
    </row>
    <row r="1154" spans="1:72" x14ac:dyDescent="0.25">
      <c r="A1154" s="2">
        <v>1769</v>
      </c>
      <c r="B1154" s="2">
        <v>2010</v>
      </c>
      <c r="C1154" s="2" t="s">
        <v>171</v>
      </c>
      <c r="D1154" s="2" t="s">
        <v>122</v>
      </c>
      <c r="E1154" s="2" t="s">
        <v>4367</v>
      </c>
      <c r="F1154" s="2">
        <v>399</v>
      </c>
      <c r="G1154" s="2" t="s">
        <v>587</v>
      </c>
      <c r="H1154" s="2">
        <v>15</v>
      </c>
      <c r="I1154" s="2" t="s">
        <v>130</v>
      </c>
      <c r="J1154" s="2">
        <v>242</v>
      </c>
      <c r="K1154" s="2" t="s">
        <v>1077</v>
      </c>
      <c r="L1154" s="2" t="s">
        <v>1078</v>
      </c>
      <c r="M1154" s="3">
        <v>40262</v>
      </c>
      <c r="N1154" s="2" t="s">
        <v>4076</v>
      </c>
      <c r="O1154" s="2"/>
      <c r="P1154" s="2"/>
      <c r="Q1154" s="2" t="str">
        <f>"158-E/10"</f>
        <v>158-E/10</v>
      </c>
      <c r="R1154" s="2" t="s">
        <v>4344</v>
      </c>
      <c r="S1154" s="2"/>
      <c r="T1154" s="2">
        <v>1</v>
      </c>
      <c r="U1154" s="2" t="s">
        <v>79</v>
      </c>
      <c r="V1154" s="2">
        <v>1</v>
      </c>
      <c r="W1154" s="2" t="s">
        <v>80</v>
      </c>
      <c r="X1154" s="2">
        <v>3</v>
      </c>
      <c r="Y1154" s="2" t="s">
        <v>698</v>
      </c>
      <c r="Z1154" s="2">
        <v>10</v>
      </c>
      <c r="AA1154" s="2" t="s">
        <v>236</v>
      </c>
      <c r="AB1154" s="2">
        <v>1</v>
      </c>
      <c r="AC1154" s="2" t="s">
        <v>178</v>
      </c>
      <c r="AD1154" s="3">
        <v>40261</v>
      </c>
      <c r="AE1154" s="4">
        <v>6.9444444444444447E-4</v>
      </c>
      <c r="AF1154" s="2"/>
      <c r="AG1154" s="2"/>
      <c r="AH1154" s="2">
        <v>2</v>
      </c>
      <c r="AI1154" s="2" t="s">
        <v>84</v>
      </c>
      <c r="AJ1154" s="2">
        <v>9</v>
      </c>
      <c r="AK1154" s="2" t="s">
        <v>103</v>
      </c>
      <c r="AL1154" s="2">
        <v>16</v>
      </c>
      <c r="AM1154" s="2" t="s">
        <v>392</v>
      </c>
      <c r="AN1154" s="2" t="s">
        <v>4345</v>
      </c>
      <c r="AO1154" s="2"/>
      <c r="AP1154" s="2">
        <v>7</v>
      </c>
      <c r="AQ1154" s="2" t="s">
        <v>139</v>
      </c>
      <c r="AR1154" s="2" t="s">
        <v>4346</v>
      </c>
      <c r="AS1154" s="2" t="s">
        <v>4347</v>
      </c>
      <c r="AT1154" s="2" t="s">
        <v>4368</v>
      </c>
      <c r="AU1154" s="2"/>
      <c r="AV1154" s="2">
        <v>1</v>
      </c>
      <c r="AW1154" s="2"/>
      <c r="AX1154" s="2"/>
      <c r="AY1154" s="2">
        <v>42</v>
      </c>
      <c r="AZ1154" s="2" t="s">
        <v>182</v>
      </c>
      <c r="BA1154" s="2">
        <v>41</v>
      </c>
      <c r="BB1154" s="2" t="s">
        <v>82</v>
      </c>
      <c r="BC1154" s="2">
        <v>70</v>
      </c>
      <c r="BD1154" s="2" t="s">
        <v>236</v>
      </c>
      <c r="BE1154" s="2">
        <v>57</v>
      </c>
      <c r="BF1154" s="2" t="s">
        <v>4349</v>
      </c>
      <c r="BG1154" s="2" t="s">
        <v>4350</v>
      </c>
      <c r="BH1154" s="2"/>
      <c r="BI1154" s="4">
        <v>6.25E-2</v>
      </c>
      <c r="BJ1154" s="2">
        <v>13</v>
      </c>
      <c r="BK1154" s="2" t="s">
        <v>91</v>
      </c>
      <c r="BL1154" s="2" t="s">
        <v>360</v>
      </c>
      <c r="BM1154" s="2">
        <v>241</v>
      </c>
      <c r="BN1154" s="2" t="s">
        <v>82</v>
      </c>
      <c r="BO1154" s="2"/>
      <c r="BP1154" s="2">
        <v>232</v>
      </c>
      <c r="BQ1154" s="2" t="s">
        <v>4351</v>
      </c>
      <c r="BR1154" s="2" t="s">
        <v>4369</v>
      </c>
      <c r="BS1154" s="3">
        <v>40262</v>
      </c>
      <c r="BT1154" s="4">
        <v>0.12395833333333334</v>
      </c>
    </row>
    <row r="1155" spans="1:72" x14ac:dyDescent="0.25">
      <c r="A1155" s="2">
        <v>1770</v>
      </c>
      <c r="B1155" s="2">
        <v>2010</v>
      </c>
      <c r="C1155" s="2" t="s">
        <v>72</v>
      </c>
      <c r="D1155" s="2" t="s">
        <v>73</v>
      </c>
      <c r="E1155" s="2"/>
      <c r="F1155" s="2">
        <v>3</v>
      </c>
      <c r="G1155" s="2" t="s">
        <v>1041</v>
      </c>
      <c r="H1155" s="2">
        <v>1</v>
      </c>
      <c r="I1155" s="2" t="s">
        <v>82</v>
      </c>
      <c r="J1155" s="2">
        <v>368</v>
      </c>
      <c r="K1155" s="2" t="s">
        <v>1042</v>
      </c>
      <c r="L1155" s="2" t="s">
        <v>1043</v>
      </c>
      <c r="M1155" s="3">
        <v>40262</v>
      </c>
      <c r="N1155" s="2"/>
      <c r="O1155" s="2"/>
      <c r="P1155" s="2"/>
      <c r="Q1155" s="2" t="str">
        <f>"160-E/10"</f>
        <v>160-E/10</v>
      </c>
      <c r="R1155" s="2"/>
      <c r="S1155" s="2" t="s">
        <v>116</v>
      </c>
      <c r="T1155" s="2">
        <v>1</v>
      </c>
      <c r="U1155" s="2" t="s">
        <v>79</v>
      </c>
      <c r="V1155" s="2">
        <v>1</v>
      </c>
      <c r="W1155" s="2" t="s">
        <v>80</v>
      </c>
      <c r="X1155" s="2">
        <v>1</v>
      </c>
      <c r="Y1155" s="2" t="s">
        <v>81</v>
      </c>
      <c r="Z1155" s="2">
        <v>1</v>
      </c>
      <c r="AA1155" s="2" t="s">
        <v>82</v>
      </c>
      <c r="AB1155" s="2">
        <v>6</v>
      </c>
      <c r="AC1155" s="2" t="s">
        <v>83</v>
      </c>
      <c r="AD1155" s="3">
        <v>40261</v>
      </c>
      <c r="AE1155" s="4">
        <v>0.84722222222222221</v>
      </c>
      <c r="AF1155" s="3">
        <v>40262</v>
      </c>
      <c r="AG1155" s="4">
        <v>1.0416666666666666E-2</v>
      </c>
      <c r="AH1155" s="2">
        <v>2</v>
      </c>
      <c r="AI1155" s="2" t="s">
        <v>84</v>
      </c>
      <c r="AJ1155" s="2">
        <v>9</v>
      </c>
      <c r="AK1155" s="2" t="s">
        <v>103</v>
      </c>
      <c r="AL1155" s="2">
        <v>21</v>
      </c>
      <c r="AM1155" s="2" t="s">
        <v>1311</v>
      </c>
      <c r="AN1155" s="2" t="s">
        <v>4370</v>
      </c>
      <c r="AO1155" s="2"/>
      <c r="AP1155" s="2">
        <v>11</v>
      </c>
      <c r="AQ1155" s="2" t="s">
        <v>82</v>
      </c>
      <c r="AR1155" s="2"/>
      <c r="AS1155" s="2"/>
      <c r="AT1155" s="2" t="s">
        <v>4371</v>
      </c>
      <c r="AU1155" s="2"/>
      <c r="AV1155" s="2"/>
      <c r="AW1155" s="2"/>
      <c r="AX1155" s="2"/>
      <c r="AY1155" s="2">
        <v>41</v>
      </c>
      <c r="AZ1155" s="2" t="s">
        <v>82</v>
      </c>
      <c r="BA1155" s="2">
        <v>41</v>
      </c>
      <c r="BB1155" s="2" t="s">
        <v>82</v>
      </c>
      <c r="BC1155" s="2">
        <v>41</v>
      </c>
      <c r="BD1155" s="2" t="s">
        <v>82</v>
      </c>
      <c r="BE1155" s="2">
        <v>41</v>
      </c>
      <c r="BF1155" s="2" t="s">
        <v>82</v>
      </c>
      <c r="BG1155" s="2"/>
      <c r="BH1155" s="2"/>
      <c r="BI1155" s="2"/>
      <c r="BJ1155" s="2">
        <v>241</v>
      </c>
      <c r="BK1155" s="2" t="s">
        <v>82</v>
      </c>
      <c r="BL1155" s="2"/>
      <c r="BM1155" s="2">
        <v>241</v>
      </c>
      <c r="BN1155" s="2" t="s">
        <v>82</v>
      </c>
      <c r="BO1155" s="2"/>
      <c r="BP1155" s="2">
        <v>241</v>
      </c>
      <c r="BQ1155" s="2" t="s">
        <v>82</v>
      </c>
      <c r="BR1155" s="2"/>
      <c r="BS1155" s="3">
        <v>40262</v>
      </c>
      <c r="BT1155" s="4">
        <v>0.14538194444444444</v>
      </c>
    </row>
    <row r="1156" spans="1:72" x14ac:dyDescent="0.25">
      <c r="A1156" s="2">
        <v>1771</v>
      </c>
      <c r="B1156" s="2">
        <v>2010</v>
      </c>
      <c r="C1156" s="2" t="s">
        <v>171</v>
      </c>
      <c r="D1156" s="2" t="s">
        <v>122</v>
      </c>
      <c r="E1156" s="2" t="s">
        <v>4372</v>
      </c>
      <c r="F1156" s="2">
        <v>399</v>
      </c>
      <c r="G1156" s="2" t="s">
        <v>587</v>
      </c>
      <c r="H1156" s="2">
        <v>15</v>
      </c>
      <c r="I1156" s="2" t="s">
        <v>130</v>
      </c>
      <c r="J1156" s="2">
        <v>242</v>
      </c>
      <c r="K1156" s="2" t="s">
        <v>1077</v>
      </c>
      <c r="L1156" s="2" t="s">
        <v>1078</v>
      </c>
      <c r="M1156" s="3">
        <v>40262</v>
      </c>
      <c r="N1156" s="2" t="s">
        <v>4076</v>
      </c>
      <c r="O1156" s="2"/>
      <c r="P1156" s="2"/>
      <c r="Q1156" s="2" t="str">
        <f>"158-E/10"</f>
        <v>158-E/10</v>
      </c>
      <c r="R1156" s="2"/>
      <c r="S1156" s="2" t="s">
        <v>4344</v>
      </c>
      <c r="T1156" s="2">
        <v>1</v>
      </c>
      <c r="U1156" s="2" t="s">
        <v>79</v>
      </c>
      <c r="V1156" s="2">
        <v>1</v>
      </c>
      <c r="W1156" s="2" t="s">
        <v>80</v>
      </c>
      <c r="X1156" s="2">
        <v>3</v>
      </c>
      <c r="Y1156" s="2" t="s">
        <v>698</v>
      </c>
      <c r="Z1156" s="2">
        <v>10</v>
      </c>
      <c r="AA1156" s="2" t="s">
        <v>236</v>
      </c>
      <c r="AB1156" s="2">
        <v>1</v>
      </c>
      <c r="AC1156" s="2" t="s">
        <v>178</v>
      </c>
      <c r="AD1156" s="3">
        <v>40261</v>
      </c>
      <c r="AE1156" s="4">
        <v>6.9444444444444447E-4</v>
      </c>
      <c r="AF1156" s="2"/>
      <c r="AG1156" s="2"/>
      <c r="AH1156" s="2">
        <v>2</v>
      </c>
      <c r="AI1156" s="2" t="s">
        <v>84</v>
      </c>
      <c r="AJ1156" s="2">
        <v>9</v>
      </c>
      <c r="AK1156" s="2" t="s">
        <v>103</v>
      </c>
      <c r="AL1156" s="2">
        <v>16</v>
      </c>
      <c r="AM1156" s="2" t="s">
        <v>392</v>
      </c>
      <c r="AN1156" s="2" t="s">
        <v>4345</v>
      </c>
      <c r="AO1156" s="2"/>
      <c r="AP1156" s="2">
        <v>7</v>
      </c>
      <c r="AQ1156" s="2" t="s">
        <v>139</v>
      </c>
      <c r="AR1156" s="2" t="s">
        <v>4346</v>
      </c>
      <c r="AS1156" s="2" t="s">
        <v>4347</v>
      </c>
      <c r="AT1156" s="2" t="s">
        <v>4373</v>
      </c>
      <c r="AU1156" s="2"/>
      <c r="AV1156" s="2">
        <v>1</v>
      </c>
      <c r="AW1156" s="2"/>
      <c r="AX1156" s="2"/>
      <c r="AY1156" s="2">
        <v>42</v>
      </c>
      <c r="AZ1156" s="2" t="s">
        <v>182</v>
      </c>
      <c r="BA1156" s="2">
        <v>41</v>
      </c>
      <c r="BB1156" s="2" t="s">
        <v>82</v>
      </c>
      <c r="BC1156" s="2">
        <v>70</v>
      </c>
      <c r="BD1156" s="2" t="s">
        <v>236</v>
      </c>
      <c r="BE1156" s="2">
        <v>57</v>
      </c>
      <c r="BF1156" s="2" t="s">
        <v>4349</v>
      </c>
      <c r="BG1156" s="2" t="s">
        <v>4350</v>
      </c>
      <c r="BH1156" s="2"/>
      <c r="BI1156" s="4">
        <v>6.25E-2</v>
      </c>
      <c r="BJ1156" s="2">
        <v>13</v>
      </c>
      <c r="BK1156" s="2" t="s">
        <v>91</v>
      </c>
      <c r="BL1156" s="2" t="s">
        <v>360</v>
      </c>
      <c r="BM1156" s="2">
        <v>241</v>
      </c>
      <c r="BN1156" s="2" t="s">
        <v>82</v>
      </c>
      <c r="BO1156" s="2"/>
      <c r="BP1156" s="2">
        <v>232</v>
      </c>
      <c r="BQ1156" s="2" t="s">
        <v>4351</v>
      </c>
      <c r="BR1156" s="2" t="s">
        <v>4369</v>
      </c>
      <c r="BS1156" s="3">
        <v>40262</v>
      </c>
      <c r="BT1156" s="4">
        <v>0.28653935185185186</v>
      </c>
    </row>
    <row r="1157" spans="1:72" x14ac:dyDescent="0.25">
      <c r="A1157" s="2">
        <v>1772</v>
      </c>
      <c r="B1157" s="2">
        <v>2010</v>
      </c>
      <c r="C1157" s="2" t="s">
        <v>171</v>
      </c>
      <c r="D1157" s="2" t="s">
        <v>122</v>
      </c>
      <c r="E1157" s="2" t="s">
        <v>4374</v>
      </c>
      <c r="F1157" s="2">
        <v>390</v>
      </c>
      <c r="G1157" s="2" t="s">
        <v>475</v>
      </c>
      <c r="H1157" s="2">
        <v>5</v>
      </c>
      <c r="I1157" s="2" t="s">
        <v>634</v>
      </c>
      <c r="J1157" s="2">
        <v>314</v>
      </c>
      <c r="K1157" s="2" t="s">
        <v>477</v>
      </c>
      <c r="L1157" s="2" t="s">
        <v>478</v>
      </c>
      <c r="M1157" s="3">
        <v>40262</v>
      </c>
      <c r="N1157" s="2" t="s">
        <v>3103</v>
      </c>
      <c r="O1157" s="2"/>
      <c r="P1157" s="2"/>
      <c r="Q1157" s="2" t="str">
        <f>"159-E/10"</f>
        <v>159-E/10</v>
      </c>
      <c r="R1157" s="2" t="s">
        <v>4364</v>
      </c>
      <c r="S1157" s="2"/>
      <c r="T1157" s="2">
        <v>1</v>
      </c>
      <c r="U1157" s="2" t="s">
        <v>79</v>
      </c>
      <c r="V1157" s="2">
        <v>1</v>
      </c>
      <c r="W1157" s="2" t="s">
        <v>80</v>
      </c>
      <c r="X1157" s="2">
        <v>1</v>
      </c>
      <c r="Y1157" s="2" t="s">
        <v>81</v>
      </c>
      <c r="Z1157" s="2">
        <v>1</v>
      </c>
      <c r="AA1157" s="2" t="s">
        <v>82</v>
      </c>
      <c r="AB1157" s="2">
        <v>1</v>
      </c>
      <c r="AC1157" s="2" t="s">
        <v>178</v>
      </c>
      <c r="AD1157" s="3">
        <v>40261</v>
      </c>
      <c r="AE1157" s="4">
        <v>0.625</v>
      </c>
      <c r="AF1157" s="2"/>
      <c r="AG1157" s="2"/>
      <c r="AH1157" s="2">
        <v>2</v>
      </c>
      <c r="AI1157" s="2" t="s">
        <v>84</v>
      </c>
      <c r="AJ1157" s="2">
        <v>9</v>
      </c>
      <c r="AK1157" s="2" t="s">
        <v>103</v>
      </c>
      <c r="AL1157" s="2">
        <v>14</v>
      </c>
      <c r="AM1157" s="2" t="s">
        <v>216</v>
      </c>
      <c r="AN1157" s="2" t="s">
        <v>4365</v>
      </c>
      <c r="AO1157" s="2"/>
      <c r="AP1157" s="2">
        <v>11</v>
      </c>
      <c r="AQ1157" s="2" t="s">
        <v>82</v>
      </c>
      <c r="AR1157" s="2"/>
      <c r="AS1157" s="2"/>
      <c r="AT1157" s="2" t="s">
        <v>4375</v>
      </c>
      <c r="AU1157" s="2"/>
      <c r="AV1157" s="2">
        <v>1</v>
      </c>
      <c r="AW1157" s="2"/>
      <c r="AX1157" s="2"/>
      <c r="AY1157" s="2">
        <v>41</v>
      </c>
      <c r="AZ1157" s="2" t="s">
        <v>82</v>
      </c>
      <c r="BA1157" s="2">
        <v>41</v>
      </c>
      <c r="BB1157" s="2" t="s">
        <v>82</v>
      </c>
      <c r="BC1157" s="2">
        <v>41</v>
      </c>
      <c r="BD1157" s="2" t="s">
        <v>82</v>
      </c>
      <c r="BE1157" s="2">
        <v>19</v>
      </c>
      <c r="BF1157" s="2" t="s">
        <v>1061</v>
      </c>
      <c r="BG1157" s="2" t="s">
        <v>1242</v>
      </c>
      <c r="BH1157" s="4">
        <v>0.60416666666666663</v>
      </c>
      <c r="BI1157" s="2"/>
      <c r="BJ1157" s="2">
        <v>29</v>
      </c>
      <c r="BK1157" s="2" t="s">
        <v>962</v>
      </c>
      <c r="BL1157" s="2" t="s">
        <v>963</v>
      </c>
      <c r="BM1157" s="2">
        <v>13</v>
      </c>
      <c r="BN1157" s="2" t="s">
        <v>91</v>
      </c>
      <c r="BO1157" s="2" t="s">
        <v>185</v>
      </c>
      <c r="BP1157" s="2">
        <v>205</v>
      </c>
      <c r="BQ1157" s="2" t="s">
        <v>1085</v>
      </c>
      <c r="BR1157" s="2" t="s">
        <v>1086</v>
      </c>
      <c r="BS1157" s="3">
        <v>40262</v>
      </c>
      <c r="BT1157" s="4">
        <v>0.29074074074074074</v>
      </c>
    </row>
    <row r="1158" spans="1:72" x14ac:dyDescent="0.25">
      <c r="A1158" s="2">
        <v>1774</v>
      </c>
      <c r="B1158" s="2">
        <v>2010</v>
      </c>
      <c r="C1158" s="2" t="s">
        <v>409</v>
      </c>
      <c r="D1158" s="2" t="s">
        <v>122</v>
      </c>
      <c r="E1158" s="2" t="s">
        <v>4376</v>
      </c>
      <c r="F1158" s="2">
        <v>399</v>
      </c>
      <c r="G1158" s="2" t="s">
        <v>587</v>
      </c>
      <c r="H1158" s="2">
        <v>15</v>
      </c>
      <c r="I1158" s="2" t="s">
        <v>130</v>
      </c>
      <c r="J1158" s="2">
        <v>242</v>
      </c>
      <c r="K1158" s="2" t="s">
        <v>1077</v>
      </c>
      <c r="L1158" s="2" t="s">
        <v>1078</v>
      </c>
      <c r="M1158" s="3">
        <v>40262</v>
      </c>
      <c r="N1158" s="2" t="s">
        <v>588</v>
      </c>
      <c r="O1158" s="2" t="s">
        <v>82</v>
      </c>
      <c r="P1158" s="2" t="s">
        <v>82</v>
      </c>
      <c r="Q1158" s="2" t="str">
        <f>"158E/10"</f>
        <v>158E/10</v>
      </c>
      <c r="R1158" s="2" t="s">
        <v>4352</v>
      </c>
      <c r="S1158" s="2"/>
      <c r="T1158" s="2">
        <v>1</v>
      </c>
      <c r="U1158" s="2" t="s">
        <v>79</v>
      </c>
      <c r="V1158" s="2">
        <v>1</v>
      </c>
      <c r="W1158" s="2" t="s">
        <v>80</v>
      </c>
      <c r="X1158" s="2">
        <v>5</v>
      </c>
      <c r="Y1158" s="2" t="s">
        <v>82</v>
      </c>
      <c r="Z1158" s="2">
        <v>10</v>
      </c>
      <c r="AA1158" s="2" t="s">
        <v>236</v>
      </c>
      <c r="AB1158" s="2">
        <v>9</v>
      </c>
      <c r="AC1158" s="2" t="s">
        <v>124</v>
      </c>
      <c r="AD1158" s="3">
        <v>40261</v>
      </c>
      <c r="AE1158" s="4">
        <v>0.33333333333333331</v>
      </c>
      <c r="AF1158" s="2"/>
      <c r="AG1158" s="2"/>
      <c r="AH1158" s="2">
        <v>2</v>
      </c>
      <c r="AI1158" s="2" t="s">
        <v>84</v>
      </c>
      <c r="AJ1158" s="2">
        <v>6</v>
      </c>
      <c r="AK1158" s="2" t="s">
        <v>453</v>
      </c>
      <c r="AL1158" s="2">
        <v>18</v>
      </c>
      <c r="AM1158" s="2" t="s">
        <v>82</v>
      </c>
      <c r="AN1158" s="2" t="s">
        <v>4353</v>
      </c>
      <c r="AO1158" s="2" t="s">
        <v>1394</v>
      </c>
      <c r="AP1158" s="2">
        <v>11</v>
      </c>
      <c r="AQ1158" s="2" t="s">
        <v>82</v>
      </c>
      <c r="AR1158" s="2"/>
      <c r="AS1158" s="2"/>
      <c r="AT1158" s="2" t="s">
        <v>4377</v>
      </c>
      <c r="AU1158" s="2"/>
      <c r="AV1158" s="2">
        <v>1</v>
      </c>
      <c r="AW1158" s="2"/>
      <c r="AX1158" s="2"/>
      <c r="AY1158" s="2">
        <v>42</v>
      </c>
      <c r="AZ1158" s="2" t="s">
        <v>182</v>
      </c>
      <c r="BA1158" s="2">
        <v>41</v>
      </c>
      <c r="BB1158" s="2" t="s">
        <v>82</v>
      </c>
      <c r="BC1158" s="2">
        <v>41</v>
      </c>
      <c r="BD1158" s="2" t="s">
        <v>82</v>
      </c>
      <c r="BE1158" s="2">
        <v>41</v>
      </c>
      <c r="BF1158" s="2" t="s">
        <v>82</v>
      </c>
      <c r="BG1158" s="2"/>
      <c r="BH1158" s="2"/>
      <c r="BI1158" s="2"/>
      <c r="BJ1158" s="2">
        <v>241</v>
      </c>
      <c r="BK1158" s="2" t="s">
        <v>82</v>
      </c>
      <c r="BL1158" s="2"/>
      <c r="BM1158" s="2">
        <v>241</v>
      </c>
      <c r="BN1158" s="2" t="s">
        <v>82</v>
      </c>
      <c r="BO1158" s="2"/>
      <c r="BP1158" s="2">
        <v>241</v>
      </c>
      <c r="BQ1158" s="2" t="s">
        <v>82</v>
      </c>
      <c r="BR1158" s="2"/>
      <c r="BS1158" s="3">
        <v>40262</v>
      </c>
      <c r="BT1158" s="4">
        <v>0.34285879629629629</v>
      </c>
    </row>
    <row r="1159" spans="1:72" x14ac:dyDescent="0.25">
      <c r="A1159" s="2">
        <v>1777</v>
      </c>
      <c r="B1159" s="2">
        <v>2010</v>
      </c>
      <c r="C1159" s="2" t="s">
        <v>3609</v>
      </c>
      <c r="D1159" s="2" t="s">
        <v>73</v>
      </c>
      <c r="E1159" s="2"/>
      <c r="F1159" s="2">
        <v>11</v>
      </c>
      <c r="G1159" s="2" t="s">
        <v>2454</v>
      </c>
      <c r="H1159" s="2">
        <v>4</v>
      </c>
      <c r="I1159" s="2" t="s">
        <v>173</v>
      </c>
      <c r="J1159" s="2">
        <v>19</v>
      </c>
      <c r="K1159" s="2" t="s">
        <v>2144</v>
      </c>
      <c r="L1159" s="2" t="s">
        <v>2145</v>
      </c>
      <c r="M1159" s="3">
        <v>40262</v>
      </c>
      <c r="N1159" s="2" t="s">
        <v>2455</v>
      </c>
      <c r="O1159" s="2"/>
      <c r="P1159" s="2"/>
      <c r="Q1159" s="2" t="str">
        <f>""</f>
        <v/>
      </c>
      <c r="R1159" s="2"/>
      <c r="S1159" s="2"/>
      <c r="T1159" s="2">
        <v>1</v>
      </c>
      <c r="U1159" s="2" t="s">
        <v>79</v>
      </c>
      <c r="V1159" s="2">
        <v>1</v>
      </c>
      <c r="W1159" s="2" t="s">
        <v>80</v>
      </c>
      <c r="X1159" s="2">
        <v>5</v>
      </c>
      <c r="Y1159" s="2" t="s">
        <v>82</v>
      </c>
      <c r="Z1159" s="2">
        <v>1</v>
      </c>
      <c r="AA1159" s="2" t="s">
        <v>82</v>
      </c>
      <c r="AB1159" s="2">
        <v>9</v>
      </c>
      <c r="AC1159" s="2" t="s">
        <v>124</v>
      </c>
      <c r="AD1159" s="3">
        <v>40262</v>
      </c>
      <c r="AE1159" s="4">
        <v>0.33333333333333331</v>
      </c>
      <c r="AF1159" s="2"/>
      <c r="AG1159" s="2"/>
      <c r="AH1159" s="2">
        <v>3</v>
      </c>
      <c r="AI1159" s="2" t="s">
        <v>214</v>
      </c>
      <c r="AJ1159" s="2">
        <v>24</v>
      </c>
      <c r="AK1159" s="2" t="s">
        <v>215</v>
      </c>
      <c r="AL1159" s="2">
        <v>18</v>
      </c>
      <c r="AM1159" s="2" t="s">
        <v>82</v>
      </c>
      <c r="AN1159" s="2"/>
      <c r="AO1159" s="2" t="s">
        <v>4378</v>
      </c>
      <c r="AP1159" s="2">
        <v>11</v>
      </c>
      <c r="AQ1159" s="2" t="s">
        <v>82</v>
      </c>
      <c r="AR1159" s="2"/>
      <c r="AS1159" s="2"/>
      <c r="AT1159" s="2" t="s">
        <v>4379</v>
      </c>
      <c r="AU1159" s="2"/>
      <c r="AV1159" s="2"/>
      <c r="AW1159" s="2"/>
      <c r="AX1159" s="2"/>
      <c r="AY1159" s="2">
        <v>41</v>
      </c>
      <c r="AZ1159" s="2" t="s">
        <v>82</v>
      </c>
      <c r="BA1159" s="2">
        <v>41</v>
      </c>
      <c r="BB1159" s="2" t="s">
        <v>82</v>
      </c>
      <c r="BC1159" s="2">
        <v>41</v>
      </c>
      <c r="BD1159" s="2" t="s">
        <v>82</v>
      </c>
      <c r="BE1159" s="2">
        <v>41</v>
      </c>
      <c r="BF1159" s="2" t="s">
        <v>82</v>
      </c>
      <c r="BG1159" s="2"/>
      <c r="BH1159" s="2"/>
      <c r="BI1159" s="2"/>
      <c r="BJ1159" s="2">
        <v>241</v>
      </c>
      <c r="BK1159" s="2" t="s">
        <v>82</v>
      </c>
      <c r="BL1159" s="2"/>
      <c r="BM1159" s="2">
        <v>241</v>
      </c>
      <c r="BN1159" s="2" t="s">
        <v>82</v>
      </c>
      <c r="BO1159" s="2"/>
      <c r="BP1159" s="2">
        <v>241</v>
      </c>
      <c r="BQ1159" s="2" t="s">
        <v>82</v>
      </c>
      <c r="BR1159" s="2"/>
      <c r="BS1159" s="3">
        <v>40262</v>
      </c>
      <c r="BT1159" s="4">
        <v>0.36832175925925931</v>
      </c>
    </row>
    <row r="1160" spans="1:72" x14ac:dyDescent="0.25">
      <c r="A1160" s="2">
        <v>1778</v>
      </c>
      <c r="B1160" s="2">
        <v>2010</v>
      </c>
      <c r="C1160" s="2" t="s">
        <v>377</v>
      </c>
      <c r="D1160" s="2" t="s">
        <v>73</v>
      </c>
      <c r="E1160" s="2"/>
      <c r="F1160" s="2">
        <v>426</v>
      </c>
      <c r="G1160" s="2" t="s">
        <v>378</v>
      </c>
      <c r="H1160" s="2">
        <v>22</v>
      </c>
      <c r="I1160" s="2" t="s">
        <v>75</v>
      </c>
      <c r="J1160" s="2">
        <v>311</v>
      </c>
      <c r="K1160" s="2" t="s">
        <v>379</v>
      </c>
      <c r="L1160" s="2" t="s">
        <v>380</v>
      </c>
      <c r="M1160" s="3">
        <v>40262</v>
      </c>
      <c r="N1160" s="2" t="s">
        <v>4380</v>
      </c>
      <c r="O1160" s="2" t="s">
        <v>107</v>
      </c>
      <c r="P1160" s="2" t="s">
        <v>107</v>
      </c>
      <c r="Q1160" s="2" t="str">
        <f>"031-C/10"</f>
        <v>031-C/10</v>
      </c>
      <c r="R1160" s="2" t="s">
        <v>4381</v>
      </c>
      <c r="S1160" s="2" t="s">
        <v>4381</v>
      </c>
      <c r="T1160" s="2">
        <v>1</v>
      </c>
      <c r="U1160" s="2" t="s">
        <v>79</v>
      </c>
      <c r="V1160" s="2">
        <v>1</v>
      </c>
      <c r="W1160" s="2" t="s">
        <v>80</v>
      </c>
      <c r="X1160" s="2">
        <v>1</v>
      </c>
      <c r="Y1160" s="2" t="s">
        <v>81</v>
      </c>
      <c r="Z1160" s="2">
        <v>1</v>
      </c>
      <c r="AA1160" s="2" t="s">
        <v>82</v>
      </c>
      <c r="AB1160" s="2">
        <v>9</v>
      </c>
      <c r="AC1160" s="2" t="s">
        <v>124</v>
      </c>
      <c r="AD1160" s="3">
        <v>40261</v>
      </c>
      <c r="AE1160" s="4">
        <v>0.4513888888888889</v>
      </c>
      <c r="AF1160" s="3">
        <v>40261</v>
      </c>
      <c r="AG1160" s="4">
        <v>0.5</v>
      </c>
      <c r="AH1160" s="2">
        <v>2</v>
      </c>
      <c r="AI1160" s="2" t="s">
        <v>84</v>
      </c>
      <c r="AJ1160" s="2">
        <v>9</v>
      </c>
      <c r="AK1160" s="2" t="s">
        <v>103</v>
      </c>
      <c r="AL1160" s="2">
        <v>12</v>
      </c>
      <c r="AM1160" s="2" t="s">
        <v>86</v>
      </c>
      <c r="AN1160" s="2" t="s">
        <v>1936</v>
      </c>
      <c r="AO1160" s="2" t="s">
        <v>82</v>
      </c>
      <c r="AP1160" s="2">
        <v>11</v>
      </c>
      <c r="AQ1160" s="2" t="s">
        <v>82</v>
      </c>
      <c r="AR1160" s="2"/>
      <c r="AS1160" s="2"/>
      <c r="AT1160" s="2" t="s">
        <v>4382</v>
      </c>
      <c r="AU1160" s="2"/>
      <c r="AV1160" s="2"/>
      <c r="AW1160" s="2"/>
      <c r="AX1160" s="2"/>
      <c r="AY1160" s="2">
        <v>41</v>
      </c>
      <c r="AZ1160" s="2" t="s">
        <v>82</v>
      </c>
      <c r="BA1160" s="2">
        <v>41</v>
      </c>
      <c r="BB1160" s="2" t="s">
        <v>82</v>
      </c>
      <c r="BC1160" s="2">
        <v>41</v>
      </c>
      <c r="BD1160" s="2" t="s">
        <v>82</v>
      </c>
      <c r="BE1160" s="2">
        <v>41</v>
      </c>
      <c r="BF1160" s="2" t="s">
        <v>82</v>
      </c>
      <c r="BG1160" s="2"/>
      <c r="BH1160" s="2"/>
      <c r="BI1160" s="2"/>
      <c r="BJ1160" s="2">
        <v>241</v>
      </c>
      <c r="BK1160" s="2" t="s">
        <v>82</v>
      </c>
      <c r="BL1160" s="2"/>
      <c r="BM1160" s="2">
        <v>241</v>
      </c>
      <c r="BN1160" s="2" t="s">
        <v>82</v>
      </c>
      <c r="BO1160" s="2"/>
      <c r="BP1160" s="2">
        <v>241</v>
      </c>
      <c r="BQ1160" s="2" t="s">
        <v>82</v>
      </c>
      <c r="BR1160" s="2"/>
      <c r="BS1160" s="3">
        <v>40262</v>
      </c>
      <c r="BT1160" s="4">
        <v>0.37812499999999999</v>
      </c>
    </row>
    <row r="1161" spans="1:72" x14ac:dyDescent="0.25">
      <c r="A1161" s="2">
        <v>1780</v>
      </c>
      <c r="B1161" s="2">
        <v>2010</v>
      </c>
      <c r="C1161" s="2" t="s">
        <v>642</v>
      </c>
      <c r="D1161" s="2" t="s">
        <v>122</v>
      </c>
      <c r="E1161" s="2"/>
      <c r="F1161" s="2">
        <v>424</v>
      </c>
      <c r="G1161" s="2" t="s">
        <v>266</v>
      </c>
      <c r="H1161" s="2">
        <v>40</v>
      </c>
      <c r="I1161" s="2" t="s">
        <v>2101</v>
      </c>
      <c r="J1161" s="2">
        <v>309</v>
      </c>
      <c r="K1161" s="2" t="s">
        <v>268</v>
      </c>
      <c r="L1161" s="2" t="s">
        <v>269</v>
      </c>
      <c r="M1161" s="3">
        <v>40262</v>
      </c>
      <c r="N1161" s="2" t="s">
        <v>4383</v>
      </c>
      <c r="O1161" s="2" t="s">
        <v>4384</v>
      </c>
      <c r="P1161" s="2" t="s">
        <v>4385</v>
      </c>
      <c r="Q1161" s="2" t="str">
        <f>"317/09"</f>
        <v>317/09</v>
      </c>
      <c r="R1161" s="2"/>
      <c r="S1161" s="2" t="s">
        <v>4386</v>
      </c>
      <c r="T1161" s="2">
        <v>1</v>
      </c>
      <c r="U1161" s="2" t="s">
        <v>79</v>
      </c>
      <c r="V1161" s="2">
        <v>3</v>
      </c>
      <c r="W1161" s="2" t="s">
        <v>225</v>
      </c>
      <c r="X1161" s="2">
        <v>5</v>
      </c>
      <c r="Y1161" s="2" t="s">
        <v>82</v>
      </c>
      <c r="Z1161" s="2">
        <v>1</v>
      </c>
      <c r="AA1161" s="2" t="s">
        <v>82</v>
      </c>
      <c r="AB1161" s="2">
        <v>9</v>
      </c>
      <c r="AC1161" s="2" t="s">
        <v>124</v>
      </c>
      <c r="AD1161" s="3">
        <v>40126</v>
      </c>
      <c r="AE1161" s="4">
        <v>0.75347222222222221</v>
      </c>
      <c r="AF1161" s="3">
        <v>40126</v>
      </c>
      <c r="AG1161" s="4">
        <v>0.75347222222222221</v>
      </c>
      <c r="AH1161" s="2">
        <v>5</v>
      </c>
      <c r="AI1161" s="2" t="s">
        <v>274</v>
      </c>
      <c r="AJ1161" s="2">
        <v>35</v>
      </c>
      <c r="AK1161" s="2" t="s">
        <v>275</v>
      </c>
      <c r="AL1161" s="2">
        <v>18</v>
      </c>
      <c r="AM1161" s="2" t="s">
        <v>82</v>
      </c>
      <c r="AN1161" s="2" t="s">
        <v>2497</v>
      </c>
      <c r="AO1161" s="2" t="s">
        <v>284</v>
      </c>
      <c r="AP1161" s="2">
        <v>11</v>
      </c>
      <c r="AQ1161" s="2" t="s">
        <v>82</v>
      </c>
      <c r="AR1161" s="2"/>
      <c r="AS1161" s="2"/>
      <c r="AT1161" s="2" t="s">
        <v>4387</v>
      </c>
      <c r="AU1161" s="2"/>
      <c r="AV1161" s="2"/>
      <c r="AW1161" s="2"/>
      <c r="AX1161" s="2"/>
      <c r="AY1161" s="2">
        <v>1</v>
      </c>
      <c r="AZ1161" s="2" t="s">
        <v>107</v>
      </c>
      <c r="BA1161" s="2">
        <v>1</v>
      </c>
      <c r="BB1161" s="2" t="s">
        <v>107</v>
      </c>
      <c r="BC1161" s="2">
        <v>1</v>
      </c>
      <c r="BD1161" s="2" t="s">
        <v>107</v>
      </c>
      <c r="BE1161" s="2">
        <v>1</v>
      </c>
      <c r="BF1161" s="2" t="s">
        <v>107</v>
      </c>
      <c r="BG1161" s="2"/>
      <c r="BH1161" s="2"/>
      <c r="BI1161" s="2"/>
      <c r="BJ1161" s="2">
        <v>242</v>
      </c>
      <c r="BK1161" s="2" t="s">
        <v>107</v>
      </c>
      <c r="BL1161" s="2"/>
      <c r="BM1161" s="2">
        <v>242</v>
      </c>
      <c r="BN1161" s="2" t="s">
        <v>107</v>
      </c>
      <c r="BO1161" s="2"/>
      <c r="BP1161" s="2">
        <v>242</v>
      </c>
      <c r="BQ1161" s="2" t="s">
        <v>107</v>
      </c>
      <c r="BR1161" s="2"/>
      <c r="BS1161" s="3">
        <v>40262</v>
      </c>
      <c r="BT1161" s="4">
        <v>0.39535879629629633</v>
      </c>
    </row>
    <row r="1162" spans="1:72" x14ac:dyDescent="0.25">
      <c r="A1162" s="2">
        <v>1782</v>
      </c>
      <c r="B1162" s="2">
        <v>2010</v>
      </c>
      <c r="C1162" s="2" t="s">
        <v>171</v>
      </c>
      <c r="D1162" s="2" t="s">
        <v>73</v>
      </c>
      <c r="E1162" s="2"/>
      <c r="F1162" s="2">
        <v>513</v>
      </c>
      <c r="G1162" s="2" t="s">
        <v>4388</v>
      </c>
      <c r="H1162" s="2">
        <v>1</v>
      </c>
      <c r="I1162" s="2" t="s">
        <v>82</v>
      </c>
      <c r="J1162" s="2">
        <v>441</v>
      </c>
      <c r="K1162" s="2" t="s">
        <v>4389</v>
      </c>
      <c r="L1162" s="2" t="s">
        <v>3029</v>
      </c>
      <c r="M1162" s="3">
        <v>40262</v>
      </c>
      <c r="N1162" s="2"/>
      <c r="O1162" s="2" t="s">
        <v>4390</v>
      </c>
      <c r="P1162" s="2" t="s">
        <v>4391</v>
      </c>
      <c r="Q1162" s="2" t="str">
        <f>"319/09"</f>
        <v>319/09</v>
      </c>
      <c r="R1162" s="2"/>
      <c r="S1162" s="2" t="s">
        <v>4392</v>
      </c>
      <c r="T1162" s="2">
        <v>1</v>
      </c>
      <c r="U1162" s="2" t="s">
        <v>79</v>
      </c>
      <c r="V1162" s="2">
        <v>3</v>
      </c>
      <c r="W1162" s="2" t="s">
        <v>225</v>
      </c>
      <c r="X1162" s="2">
        <v>2</v>
      </c>
      <c r="Y1162" s="2" t="s">
        <v>136</v>
      </c>
      <c r="Z1162" s="2">
        <v>1</v>
      </c>
      <c r="AA1162" s="2" t="s">
        <v>82</v>
      </c>
      <c r="AB1162" s="2">
        <v>9</v>
      </c>
      <c r="AC1162" s="2" t="s">
        <v>124</v>
      </c>
      <c r="AD1162" s="3">
        <v>40079</v>
      </c>
      <c r="AE1162" s="4">
        <v>0.70833333333333337</v>
      </c>
      <c r="AF1162" s="3">
        <v>40079</v>
      </c>
      <c r="AG1162" s="4">
        <v>0.70833333333333337</v>
      </c>
      <c r="AH1162" s="2">
        <v>5</v>
      </c>
      <c r="AI1162" s="2" t="s">
        <v>274</v>
      </c>
      <c r="AJ1162" s="2">
        <v>35</v>
      </c>
      <c r="AK1162" s="2" t="s">
        <v>275</v>
      </c>
      <c r="AL1162" s="2">
        <v>23</v>
      </c>
      <c r="AM1162" s="2" t="s">
        <v>251</v>
      </c>
      <c r="AN1162" s="2" t="s">
        <v>2497</v>
      </c>
      <c r="AO1162" s="2" t="s">
        <v>4393</v>
      </c>
      <c r="AP1162" s="2">
        <v>11</v>
      </c>
      <c r="AQ1162" s="2" t="s">
        <v>82</v>
      </c>
      <c r="AR1162" s="2"/>
      <c r="AS1162" s="2"/>
      <c r="AT1162" s="2" t="s">
        <v>4394</v>
      </c>
      <c r="AU1162" s="2"/>
      <c r="AV1162" s="2"/>
      <c r="AW1162" s="2"/>
      <c r="AX1162" s="2"/>
      <c r="AY1162" s="2">
        <v>1</v>
      </c>
      <c r="AZ1162" s="2" t="s">
        <v>107</v>
      </c>
      <c r="BA1162" s="2">
        <v>1</v>
      </c>
      <c r="BB1162" s="2" t="s">
        <v>107</v>
      </c>
      <c r="BC1162" s="2">
        <v>1</v>
      </c>
      <c r="BD1162" s="2" t="s">
        <v>107</v>
      </c>
      <c r="BE1162" s="2">
        <v>1</v>
      </c>
      <c r="BF1162" s="2" t="s">
        <v>107</v>
      </c>
      <c r="BG1162" s="2"/>
      <c r="BH1162" s="2"/>
      <c r="BI1162" s="2"/>
      <c r="BJ1162" s="2">
        <v>242</v>
      </c>
      <c r="BK1162" s="2" t="s">
        <v>107</v>
      </c>
      <c r="BL1162" s="2"/>
      <c r="BM1162" s="2">
        <v>242</v>
      </c>
      <c r="BN1162" s="2" t="s">
        <v>107</v>
      </c>
      <c r="BO1162" s="2"/>
      <c r="BP1162" s="2">
        <v>242</v>
      </c>
      <c r="BQ1162" s="2" t="s">
        <v>107</v>
      </c>
      <c r="BR1162" s="2"/>
      <c r="BS1162" s="3">
        <v>40262</v>
      </c>
      <c r="BT1162" s="4">
        <v>0.43134259259259261</v>
      </c>
    </row>
    <row r="1163" spans="1:72" x14ac:dyDescent="0.25">
      <c r="A1163" s="2">
        <v>1783</v>
      </c>
      <c r="B1163" s="2">
        <v>2010</v>
      </c>
      <c r="C1163" s="2" t="s">
        <v>385</v>
      </c>
      <c r="D1163" s="2" t="s">
        <v>122</v>
      </c>
      <c r="E1163" s="2" t="s">
        <v>4395</v>
      </c>
      <c r="F1163" s="2">
        <v>145</v>
      </c>
      <c r="G1163" s="2" t="s">
        <v>1247</v>
      </c>
      <c r="H1163" s="2">
        <v>42</v>
      </c>
      <c r="I1163" s="2" t="s">
        <v>1096</v>
      </c>
      <c r="J1163" s="2">
        <v>378</v>
      </c>
      <c r="K1163" s="2" t="s">
        <v>1248</v>
      </c>
      <c r="L1163" s="2" t="s">
        <v>1249</v>
      </c>
      <c r="M1163" s="3">
        <v>40262</v>
      </c>
      <c r="N1163" s="2" t="s">
        <v>3978</v>
      </c>
      <c r="O1163" s="2" t="s">
        <v>3979</v>
      </c>
      <c r="P1163" s="2" t="s">
        <v>107</v>
      </c>
      <c r="Q1163" s="2" t="str">
        <f>"N/C"</f>
        <v>N/C</v>
      </c>
      <c r="R1163" s="2" t="s">
        <v>82</v>
      </c>
      <c r="S1163" s="2" t="s">
        <v>82</v>
      </c>
      <c r="T1163" s="2">
        <v>1</v>
      </c>
      <c r="U1163" s="2" t="s">
        <v>79</v>
      </c>
      <c r="V1163" s="2">
        <v>1</v>
      </c>
      <c r="W1163" s="2" t="s">
        <v>80</v>
      </c>
      <c r="X1163" s="2">
        <v>4</v>
      </c>
      <c r="Y1163" s="2" t="s">
        <v>463</v>
      </c>
      <c r="Z1163" s="2">
        <v>1</v>
      </c>
      <c r="AA1163" s="2" t="s">
        <v>82</v>
      </c>
      <c r="AB1163" s="2">
        <v>9</v>
      </c>
      <c r="AC1163" s="2" t="s">
        <v>124</v>
      </c>
      <c r="AD1163" s="3">
        <v>40262</v>
      </c>
      <c r="AE1163" s="4">
        <v>0.50694444444444442</v>
      </c>
      <c r="AF1163" s="2"/>
      <c r="AG1163" s="2"/>
      <c r="AH1163" s="2">
        <v>6</v>
      </c>
      <c r="AI1163" s="2" t="s">
        <v>197</v>
      </c>
      <c r="AJ1163" s="2">
        <v>60</v>
      </c>
      <c r="AK1163" s="2" t="s">
        <v>543</v>
      </c>
      <c r="AL1163" s="2">
        <v>9</v>
      </c>
      <c r="AM1163" s="2" t="s">
        <v>259</v>
      </c>
      <c r="AN1163" s="2"/>
      <c r="AO1163" s="2" t="s">
        <v>2249</v>
      </c>
      <c r="AP1163" s="2">
        <v>11</v>
      </c>
      <c r="AQ1163" s="2" t="s">
        <v>82</v>
      </c>
      <c r="AR1163" s="2"/>
      <c r="AS1163" s="2"/>
      <c r="AT1163" s="2" t="s">
        <v>4396</v>
      </c>
      <c r="AU1163" s="2"/>
      <c r="AV1163" s="2"/>
      <c r="AW1163" s="2"/>
      <c r="AX1163" s="2"/>
      <c r="AY1163" s="2">
        <v>41</v>
      </c>
      <c r="AZ1163" s="2" t="s">
        <v>82</v>
      </c>
      <c r="BA1163" s="2">
        <v>41</v>
      </c>
      <c r="BB1163" s="2" t="s">
        <v>82</v>
      </c>
      <c r="BC1163" s="2">
        <v>41</v>
      </c>
      <c r="BD1163" s="2" t="s">
        <v>82</v>
      </c>
      <c r="BE1163" s="2">
        <v>13</v>
      </c>
      <c r="BF1163" s="2" t="s">
        <v>108</v>
      </c>
      <c r="BG1163" s="2" t="s">
        <v>4397</v>
      </c>
      <c r="BH1163" s="4">
        <v>0.47916666666666669</v>
      </c>
      <c r="BI1163" s="4">
        <v>0.50694444444444442</v>
      </c>
      <c r="BJ1163" s="2">
        <v>13</v>
      </c>
      <c r="BK1163" s="2" t="s">
        <v>91</v>
      </c>
      <c r="BL1163" s="2" t="s">
        <v>4398</v>
      </c>
      <c r="BM1163" s="2">
        <v>241</v>
      </c>
      <c r="BN1163" s="2" t="s">
        <v>82</v>
      </c>
      <c r="BO1163" s="2" t="s">
        <v>82</v>
      </c>
      <c r="BP1163" s="2">
        <v>13</v>
      </c>
      <c r="BQ1163" s="2" t="s">
        <v>91</v>
      </c>
      <c r="BR1163" s="2" t="s">
        <v>3982</v>
      </c>
      <c r="BS1163" s="3">
        <v>40262</v>
      </c>
      <c r="BT1163" s="4">
        <v>0.46033564814814815</v>
      </c>
    </row>
    <row r="1164" spans="1:72" x14ac:dyDescent="0.25">
      <c r="A1164" s="2">
        <v>1784</v>
      </c>
      <c r="B1164" s="2">
        <v>2010</v>
      </c>
      <c r="C1164" s="2" t="s">
        <v>1568</v>
      </c>
      <c r="D1164" s="2" t="s">
        <v>122</v>
      </c>
      <c r="E1164" s="2" t="s">
        <v>4399</v>
      </c>
      <c r="F1164" s="2">
        <v>74</v>
      </c>
      <c r="G1164" s="2" t="s">
        <v>2220</v>
      </c>
      <c r="H1164" s="2">
        <v>2</v>
      </c>
      <c r="I1164" s="2" t="s">
        <v>267</v>
      </c>
      <c r="J1164" s="2">
        <v>420</v>
      </c>
      <c r="K1164" s="2" t="s">
        <v>2328</v>
      </c>
      <c r="L1164" s="2" t="s">
        <v>2329</v>
      </c>
      <c r="M1164" s="3">
        <v>40262</v>
      </c>
      <c r="N1164" s="2" t="s">
        <v>4400</v>
      </c>
      <c r="O1164" s="2" t="s">
        <v>107</v>
      </c>
      <c r="P1164" s="2" t="s">
        <v>107</v>
      </c>
      <c r="Q1164" s="2" t="str">
        <f>"S/D"</f>
        <v>S/D</v>
      </c>
      <c r="R1164" s="2" t="s">
        <v>107</v>
      </c>
      <c r="S1164" s="2" t="s">
        <v>107</v>
      </c>
      <c r="T1164" s="2">
        <v>1</v>
      </c>
      <c r="U1164" s="2" t="s">
        <v>79</v>
      </c>
      <c r="V1164" s="2">
        <v>1</v>
      </c>
      <c r="W1164" s="2" t="s">
        <v>80</v>
      </c>
      <c r="X1164" s="2">
        <v>1</v>
      </c>
      <c r="Y1164" s="2" t="s">
        <v>81</v>
      </c>
      <c r="Z1164" s="2">
        <v>10</v>
      </c>
      <c r="AA1164" s="2" t="s">
        <v>236</v>
      </c>
      <c r="AB1164" s="2">
        <v>4</v>
      </c>
      <c r="AC1164" s="2" t="s">
        <v>1569</v>
      </c>
      <c r="AD1164" s="3">
        <v>40257</v>
      </c>
      <c r="AE1164" s="4">
        <v>0.85069444444444453</v>
      </c>
      <c r="AF1164" s="2"/>
      <c r="AG1164" s="2"/>
      <c r="AH1164" s="2">
        <v>6</v>
      </c>
      <c r="AI1164" s="2" t="s">
        <v>197</v>
      </c>
      <c r="AJ1164" s="2">
        <v>51</v>
      </c>
      <c r="AK1164" s="2" t="s">
        <v>238</v>
      </c>
      <c r="AL1164" s="2">
        <v>16</v>
      </c>
      <c r="AM1164" s="2" t="s">
        <v>392</v>
      </c>
      <c r="AN1164" s="2" t="s">
        <v>1289</v>
      </c>
      <c r="AO1164" s="2" t="s">
        <v>230</v>
      </c>
      <c r="AP1164" s="2">
        <v>12</v>
      </c>
      <c r="AQ1164" s="2" t="s">
        <v>322</v>
      </c>
      <c r="AR1164" s="2" t="s">
        <v>322</v>
      </c>
      <c r="AS1164" s="2" t="s">
        <v>322</v>
      </c>
      <c r="AT1164" s="2" t="s">
        <v>4401</v>
      </c>
      <c r="AU1164" s="2"/>
      <c r="AV1164" s="2"/>
      <c r="AW1164" s="2"/>
      <c r="AX1164" s="2"/>
      <c r="AY1164" s="2">
        <v>41</v>
      </c>
      <c r="AZ1164" s="2" t="s">
        <v>82</v>
      </c>
      <c r="BA1164" s="2">
        <v>41</v>
      </c>
      <c r="BB1164" s="2" t="s">
        <v>82</v>
      </c>
      <c r="BC1164" s="2">
        <v>41</v>
      </c>
      <c r="BD1164" s="2" t="s">
        <v>82</v>
      </c>
      <c r="BE1164" s="2">
        <v>47</v>
      </c>
      <c r="BF1164" s="2" t="s">
        <v>167</v>
      </c>
      <c r="BG1164" s="2">
        <v>2657</v>
      </c>
      <c r="BH1164" s="4">
        <v>0.82500000000000007</v>
      </c>
      <c r="BI1164" s="4">
        <v>0.85416666666666663</v>
      </c>
      <c r="BJ1164" s="2">
        <v>13</v>
      </c>
      <c r="BK1164" s="2" t="s">
        <v>91</v>
      </c>
      <c r="BL1164" s="2" t="s">
        <v>241</v>
      </c>
      <c r="BM1164" s="2">
        <v>242</v>
      </c>
      <c r="BN1164" s="2" t="s">
        <v>107</v>
      </c>
      <c r="BO1164" s="2"/>
      <c r="BP1164" s="2">
        <v>13</v>
      </c>
      <c r="BQ1164" s="2" t="s">
        <v>91</v>
      </c>
      <c r="BR1164" s="2" t="s">
        <v>185</v>
      </c>
      <c r="BS1164" s="3">
        <v>40262</v>
      </c>
      <c r="BT1164" s="4">
        <v>0.47414351851851855</v>
      </c>
    </row>
    <row r="1165" spans="1:72" x14ac:dyDescent="0.25">
      <c r="A1165" s="2">
        <v>1786</v>
      </c>
      <c r="B1165" s="2">
        <v>2010</v>
      </c>
      <c r="C1165" s="2" t="s">
        <v>642</v>
      </c>
      <c r="D1165" s="2" t="s">
        <v>122</v>
      </c>
      <c r="E1165" s="2" t="s">
        <v>4402</v>
      </c>
      <c r="F1165" s="2">
        <v>100</v>
      </c>
      <c r="G1165" s="2" t="s">
        <v>517</v>
      </c>
      <c r="H1165" s="2">
        <v>47</v>
      </c>
      <c r="I1165" s="2" t="s">
        <v>1409</v>
      </c>
      <c r="J1165" s="2">
        <v>119</v>
      </c>
      <c r="K1165" s="2" t="s">
        <v>325</v>
      </c>
      <c r="L1165" s="2" t="s">
        <v>326</v>
      </c>
      <c r="M1165" s="3">
        <v>40262</v>
      </c>
      <c r="N1165" s="2" t="s">
        <v>3905</v>
      </c>
      <c r="O1165" s="2" t="s">
        <v>3906</v>
      </c>
      <c r="P1165" s="2" t="s">
        <v>519</v>
      </c>
      <c r="Q1165" s="2" t="str">
        <f>""</f>
        <v/>
      </c>
      <c r="R1165" s="2"/>
      <c r="S1165" s="2"/>
      <c r="T1165" s="2">
        <v>1</v>
      </c>
      <c r="U1165" s="2" t="s">
        <v>79</v>
      </c>
      <c r="V1165" s="2">
        <v>3</v>
      </c>
      <c r="W1165" s="2" t="s">
        <v>225</v>
      </c>
      <c r="X1165" s="2">
        <v>5</v>
      </c>
      <c r="Y1165" s="2" t="s">
        <v>82</v>
      </c>
      <c r="Z1165" s="2">
        <v>1</v>
      </c>
      <c r="AA1165" s="2" t="s">
        <v>82</v>
      </c>
      <c r="AB1165" s="2">
        <v>9</v>
      </c>
      <c r="AC1165" s="2" t="s">
        <v>124</v>
      </c>
      <c r="AD1165" s="2"/>
      <c r="AE1165" s="2"/>
      <c r="AF1165" s="2"/>
      <c r="AG1165" s="2"/>
      <c r="AH1165" s="2">
        <v>4</v>
      </c>
      <c r="AI1165" s="2" t="s">
        <v>125</v>
      </c>
      <c r="AJ1165" s="2">
        <v>26</v>
      </c>
      <c r="AK1165" s="2" t="s">
        <v>293</v>
      </c>
      <c r="AL1165" s="2">
        <v>18</v>
      </c>
      <c r="AM1165" s="2" t="s">
        <v>82</v>
      </c>
      <c r="AN1165" s="2"/>
      <c r="AO1165" s="2"/>
      <c r="AP1165" s="2">
        <v>11</v>
      </c>
      <c r="AQ1165" s="2" t="s">
        <v>82</v>
      </c>
      <c r="AR1165" s="2"/>
      <c r="AS1165" s="2"/>
      <c r="AT1165" s="2" t="s">
        <v>4403</v>
      </c>
      <c r="AU1165" s="2"/>
      <c r="AV1165" s="2"/>
      <c r="AW1165" s="2"/>
      <c r="AX1165" s="2"/>
      <c r="AY1165" s="2">
        <v>1</v>
      </c>
      <c r="AZ1165" s="2" t="s">
        <v>107</v>
      </c>
      <c r="BA1165" s="2">
        <v>1</v>
      </c>
      <c r="BB1165" s="2" t="s">
        <v>107</v>
      </c>
      <c r="BC1165" s="2">
        <v>1</v>
      </c>
      <c r="BD1165" s="2" t="s">
        <v>107</v>
      </c>
      <c r="BE1165" s="2">
        <v>1</v>
      </c>
      <c r="BF1165" s="2" t="s">
        <v>107</v>
      </c>
      <c r="BG1165" s="2"/>
      <c r="BH1165" s="2"/>
      <c r="BI1165" s="2"/>
      <c r="BJ1165" s="2">
        <v>242</v>
      </c>
      <c r="BK1165" s="2" t="s">
        <v>107</v>
      </c>
      <c r="BL1165" s="2"/>
      <c r="BM1165" s="2">
        <v>242</v>
      </c>
      <c r="BN1165" s="2" t="s">
        <v>107</v>
      </c>
      <c r="BO1165" s="2"/>
      <c r="BP1165" s="2">
        <v>242</v>
      </c>
      <c r="BQ1165" s="2" t="s">
        <v>107</v>
      </c>
      <c r="BR1165" s="2"/>
      <c r="BS1165" s="3">
        <v>40262</v>
      </c>
      <c r="BT1165" s="4">
        <v>0.49524305555555559</v>
      </c>
    </row>
    <row r="1166" spans="1:72" x14ac:dyDescent="0.25">
      <c r="A1166" s="2">
        <v>1788</v>
      </c>
      <c r="B1166" s="2">
        <v>2010</v>
      </c>
      <c r="C1166" s="2" t="s">
        <v>806</v>
      </c>
      <c r="D1166" s="2" t="s">
        <v>73</v>
      </c>
      <c r="E1166" s="2"/>
      <c r="F1166" s="2">
        <v>12</v>
      </c>
      <c r="G1166" s="2" t="s">
        <v>2494</v>
      </c>
      <c r="H1166" s="2">
        <v>22</v>
      </c>
      <c r="I1166" s="2" t="s">
        <v>75</v>
      </c>
      <c r="J1166" s="2">
        <v>1</v>
      </c>
      <c r="K1166" s="2" t="s">
        <v>107</v>
      </c>
      <c r="L1166" s="2" t="s">
        <v>107</v>
      </c>
      <c r="M1166" s="3">
        <v>40262</v>
      </c>
      <c r="N1166" s="2" t="s">
        <v>2495</v>
      </c>
      <c r="O1166" s="2" t="s">
        <v>4404</v>
      </c>
      <c r="P1166" s="2" t="s">
        <v>4405</v>
      </c>
      <c r="Q1166" s="2" t="str">
        <f>"N/C"</f>
        <v>N/C</v>
      </c>
      <c r="R1166" s="2" t="s">
        <v>82</v>
      </c>
      <c r="S1166" s="2" t="s">
        <v>82</v>
      </c>
      <c r="T1166" s="2">
        <v>1</v>
      </c>
      <c r="U1166" s="2" t="s">
        <v>79</v>
      </c>
      <c r="V1166" s="2">
        <v>3</v>
      </c>
      <c r="W1166" s="2" t="s">
        <v>225</v>
      </c>
      <c r="X1166" s="2">
        <v>6</v>
      </c>
      <c r="Y1166" s="2" t="s">
        <v>249</v>
      </c>
      <c r="Z1166" s="2">
        <v>1</v>
      </c>
      <c r="AA1166" s="2" t="s">
        <v>82</v>
      </c>
      <c r="AB1166" s="2">
        <v>9</v>
      </c>
      <c r="AC1166" s="2" t="s">
        <v>124</v>
      </c>
      <c r="AD1166" s="3">
        <v>40262</v>
      </c>
      <c r="AE1166" s="4">
        <v>0.5</v>
      </c>
      <c r="AF1166" s="2"/>
      <c r="AG1166" s="2"/>
      <c r="AH1166" s="2">
        <v>3</v>
      </c>
      <c r="AI1166" s="2" t="s">
        <v>214</v>
      </c>
      <c r="AJ1166" s="2">
        <v>14</v>
      </c>
      <c r="AK1166" s="2" t="s">
        <v>342</v>
      </c>
      <c r="AL1166" s="2">
        <v>23</v>
      </c>
      <c r="AM1166" s="2" t="s">
        <v>251</v>
      </c>
      <c r="AN1166" s="2"/>
      <c r="AO1166" s="2"/>
      <c r="AP1166" s="2">
        <v>11</v>
      </c>
      <c r="AQ1166" s="2" t="s">
        <v>82</v>
      </c>
      <c r="AR1166" s="2"/>
      <c r="AS1166" s="2"/>
      <c r="AT1166" s="2" t="s">
        <v>4406</v>
      </c>
      <c r="AU1166" s="2"/>
      <c r="AV1166" s="2"/>
      <c r="AW1166" s="2"/>
      <c r="AX1166" s="2"/>
      <c r="AY1166" s="2">
        <v>1</v>
      </c>
      <c r="AZ1166" s="2" t="s">
        <v>107</v>
      </c>
      <c r="BA1166" s="2">
        <v>1</v>
      </c>
      <c r="BB1166" s="2" t="s">
        <v>107</v>
      </c>
      <c r="BC1166" s="2">
        <v>1</v>
      </c>
      <c r="BD1166" s="2" t="s">
        <v>107</v>
      </c>
      <c r="BE1166" s="2">
        <v>1</v>
      </c>
      <c r="BF1166" s="2" t="s">
        <v>107</v>
      </c>
      <c r="BG1166" s="2"/>
      <c r="BH1166" s="2"/>
      <c r="BI1166" s="2"/>
      <c r="BJ1166" s="2">
        <v>242</v>
      </c>
      <c r="BK1166" s="2" t="s">
        <v>107</v>
      </c>
      <c r="BL1166" s="2"/>
      <c r="BM1166" s="2">
        <v>242</v>
      </c>
      <c r="BN1166" s="2" t="s">
        <v>107</v>
      </c>
      <c r="BO1166" s="2"/>
      <c r="BP1166" s="2">
        <v>242</v>
      </c>
      <c r="BQ1166" s="2" t="s">
        <v>107</v>
      </c>
      <c r="BR1166" s="2"/>
      <c r="BS1166" s="3">
        <v>40262</v>
      </c>
      <c r="BT1166" s="4">
        <v>0.5173726851851852</v>
      </c>
    </row>
    <row r="1167" spans="1:72" x14ac:dyDescent="0.25">
      <c r="A1167" s="2">
        <v>1790</v>
      </c>
      <c r="B1167" s="2">
        <v>2010</v>
      </c>
      <c r="C1167" s="2" t="s">
        <v>72</v>
      </c>
      <c r="D1167" s="2" t="s">
        <v>73</v>
      </c>
      <c r="E1167" s="2"/>
      <c r="F1167" s="2">
        <v>390</v>
      </c>
      <c r="G1167" s="2" t="s">
        <v>475</v>
      </c>
      <c r="H1167" s="2">
        <v>5</v>
      </c>
      <c r="I1167" s="2" t="s">
        <v>634</v>
      </c>
      <c r="J1167" s="2">
        <v>314</v>
      </c>
      <c r="K1167" s="2" t="s">
        <v>477</v>
      </c>
      <c r="L1167" s="2" t="s">
        <v>478</v>
      </c>
      <c r="M1167" s="3">
        <v>40262</v>
      </c>
      <c r="N1167" s="2" t="s">
        <v>4407</v>
      </c>
      <c r="O1167" s="2" t="s">
        <v>107</v>
      </c>
      <c r="P1167" s="2" t="s">
        <v>107</v>
      </c>
      <c r="Q1167" s="2" t="str">
        <f>"161-E/10"</f>
        <v>161-E/10</v>
      </c>
      <c r="R1167" s="2" t="s">
        <v>116</v>
      </c>
      <c r="S1167" s="2" t="s">
        <v>116</v>
      </c>
      <c r="T1167" s="2">
        <v>1</v>
      </c>
      <c r="U1167" s="2" t="s">
        <v>79</v>
      </c>
      <c r="V1167" s="2">
        <v>1</v>
      </c>
      <c r="W1167" s="2" t="s">
        <v>80</v>
      </c>
      <c r="X1167" s="2">
        <v>1</v>
      </c>
      <c r="Y1167" s="2" t="s">
        <v>81</v>
      </c>
      <c r="Z1167" s="2">
        <v>1</v>
      </c>
      <c r="AA1167" s="2" t="s">
        <v>82</v>
      </c>
      <c r="AB1167" s="2">
        <v>6</v>
      </c>
      <c r="AC1167" s="2" t="s">
        <v>83</v>
      </c>
      <c r="AD1167" s="3">
        <v>40253</v>
      </c>
      <c r="AE1167" s="4">
        <v>3.472222222222222E-3</v>
      </c>
      <c r="AF1167" s="3">
        <v>40262</v>
      </c>
      <c r="AG1167" s="4">
        <v>0.5625</v>
      </c>
      <c r="AH1167" s="2">
        <v>2</v>
      </c>
      <c r="AI1167" s="2" t="s">
        <v>84</v>
      </c>
      <c r="AJ1167" s="2">
        <v>9</v>
      </c>
      <c r="AK1167" s="2" t="s">
        <v>103</v>
      </c>
      <c r="AL1167" s="2">
        <v>10</v>
      </c>
      <c r="AM1167" s="2" t="s">
        <v>200</v>
      </c>
      <c r="AN1167" s="2" t="s">
        <v>1853</v>
      </c>
      <c r="AO1167" s="2" t="s">
        <v>4408</v>
      </c>
      <c r="AP1167" s="2">
        <v>11</v>
      </c>
      <c r="AQ1167" s="2" t="s">
        <v>82</v>
      </c>
      <c r="AR1167" s="2"/>
      <c r="AS1167" s="2"/>
      <c r="AT1167" s="2" t="s">
        <v>4409</v>
      </c>
      <c r="AU1167" s="2"/>
      <c r="AV1167" s="2"/>
      <c r="AW1167" s="2"/>
      <c r="AX1167" s="2"/>
      <c r="AY1167" s="2">
        <v>41</v>
      </c>
      <c r="AZ1167" s="2" t="s">
        <v>82</v>
      </c>
      <c r="BA1167" s="2">
        <v>41</v>
      </c>
      <c r="BB1167" s="2" t="s">
        <v>82</v>
      </c>
      <c r="BC1167" s="2">
        <v>41</v>
      </c>
      <c r="BD1167" s="2" t="s">
        <v>82</v>
      </c>
      <c r="BE1167" s="2">
        <v>13</v>
      </c>
      <c r="BF1167" s="2" t="s">
        <v>108</v>
      </c>
      <c r="BG1167" s="2" t="s">
        <v>4410</v>
      </c>
      <c r="BH1167" s="4">
        <v>3.472222222222222E-3</v>
      </c>
      <c r="BI1167" s="2"/>
      <c r="BJ1167" s="2">
        <v>232</v>
      </c>
      <c r="BK1167" s="2" t="s">
        <v>4351</v>
      </c>
      <c r="BL1167" s="2" t="s">
        <v>4411</v>
      </c>
      <c r="BM1167" s="2">
        <v>241</v>
      </c>
      <c r="BN1167" s="2" t="s">
        <v>82</v>
      </c>
      <c r="BO1167" s="2"/>
      <c r="BP1167" s="2">
        <v>13</v>
      </c>
      <c r="BQ1167" s="2" t="s">
        <v>91</v>
      </c>
      <c r="BR1167" s="2" t="s">
        <v>185</v>
      </c>
      <c r="BS1167" s="3">
        <v>40262</v>
      </c>
      <c r="BT1167" s="4">
        <v>0.55797453703703703</v>
      </c>
    </row>
    <row r="1168" spans="1:72" x14ac:dyDescent="0.25">
      <c r="A1168" s="2">
        <v>1792</v>
      </c>
      <c r="B1168" s="2">
        <v>2010</v>
      </c>
      <c r="C1168" s="2" t="s">
        <v>642</v>
      </c>
      <c r="D1168" s="2" t="s">
        <v>122</v>
      </c>
      <c r="E1168" s="2"/>
      <c r="F1168" s="2">
        <v>49</v>
      </c>
      <c r="G1168" s="2" t="s">
        <v>4412</v>
      </c>
      <c r="H1168" s="2">
        <v>42</v>
      </c>
      <c r="I1168" s="2" t="s">
        <v>1096</v>
      </c>
      <c r="J1168" s="2">
        <v>85</v>
      </c>
      <c r="K1168" s="2" t="s">
        <v>4413</v>
      </c>
      <c r="L1168" s="2" t="s">
        <v>4414</v>
      </c>
      <c r="M1168" s="3">
        <v>40262</v>
      </c>
      <c r="N1168" s="2" t="s">
        <v>4415</v>
      </c>
      <c r="O1168" s="2"/>
      <c r="P1168" s="2" t="s">
        <v>107</v>
      </c>
      <c r="Q1168" s="2" t="str">
        <f>"04/09"</f>
        <v>04/09</v>
      </c>
      <c r="R1168" s="2" t="s">
        <v>4416</v>
      </c>
      <c r="S1168" s="2"/>
      <c r="T1168" s="2">
        <v>1</v>
      </c>
      <c r="U1168" s="2" t="s">
        <v>79</v>
      </c>
      <c r="V1168" s="2">
        <v>3</v>
      </c>
      <c r="W1168" s="2" t="s">
        <v>225</v>
      </c>
      <c r="X1168" s="2">
        <v>3</v>
      </c>
      <c r="Y1168" s="2" t="s">
        <v>698</v>
      </c>
      <c r="Z1168" s="2">
        <v>22</v>
      </c>
      <c r="AA1168" s="2" t="s">
        <v>4417</v>
      </c>
      <c r="AB1168" s="2">
        <v>9</v>
      </c>
      <c r="AC1168" s="2" t="s">
        <v>124</v>
      </c>
      <c r="AD1168" s="3">
        <v>40263</v>
      </c>
      <c r="AE1168" s="4">
        <v>0.3125</v>
      </c>
      <c r="AF1168" s="2"/>
      <c r="AG1168" s="2"/>
      <c r="AH1168" s="2">
        <v>3</v>
      </c>
      <c r="AI1168" s="2" t="s">
        <v>214</v>
      </c>
      <c r="AJ1168" s="2">
        <v>21</v>
      </c>
      <c r="AK1168" s="2" t="s">
        <v>3544</v>
      </c>
      <c r="AL1168" s="2">
        <v>18</v>
      </c>
      <c r="AM1168" s="2" t="s">
        <v>82</v>
      </c>
      <c r="AN1168" s="2"/>
      <c r="AO1168" s="2"/>
      <c r="AP1168" s="2">
        <v>11</v>
      </c>
      <c r="AQ1168" s="2" t="s">
        <v>82</v>
      </c>
      <c r="AR1168" s="2"/>
      <c r="AS1168" s="2"/>
      <c r="AT1168" s="2" t="s">
        <v>4418</v>
      </c>
      <c r="AU1168" s="2"/>
      <c r="AV1168" s="2"/>
      <c r="AW1168" s="2"/>
      <c r="AX1168" s="2"/>
      <c r="AY1168" s="2">
        <v>1</v>
      </c>
      <c r="AZ1168" s="2" t="s">
        <v>107</v>
      </c>
      <c r="BA1168" s="2">
        <v>1</v>
      </c>
      <c r="BB1168" s="2" t="s">
        <v>107</v>
      </c>
      <c r="BC1168" s="2">
        <v>1</v>
      </c>
      <c r="BD1168" s="2" t="s">
        <v>107</v>
      </c>
      <c r="BE1168" s="2">
        <v>1</v>
      </c>
      <c r="BF1168" s="2" t="s">
        <v>107</v>
      </c>
      <c r="BG1168" s="2"/>
      <c r="BH1168" s="2"/>
      <c r="BI1168" s="2"/>
      <c r="BJ1168" s="2">
        <v>242</v>
      </c>
      <c r="BK1168" s="2" t="s">
        <v>107</v>
      </c>
      <c r="BL1168" s="2"/>
      <c r="BM1168" s="2">
        <v>242</v>
      </c>
      <c r="BN1168" s="2" t="s">
        <v>107</v>
      </c>
      <c r="BO1168" s="2"/>
      <c r="BP1168" s="2">
        <v>242</v>
      </c>
      <c r="BQ1168" s="2" t="s">
        <v>107</v>
      </c>
      <c r="BR1168" s="2"/>
      <c r="BS1168" s="3">
        <v>40262</v>
      </c>
      <c r="BT1168" s="4">
        <v>0.57912037037037034</v>
      </c>
    </row>
    <row r="1169" spans="1:72" x14ac:dyDescent="0.25">
      <c r="A1169" s="2">
        <v>1795</v>
      </c>
      <c r="B1169" s="2">
        <v>2010</v>
      </c>
      <c r="C1169" s="2" t="s">
        <v>409</v>
      </c>
      <c r="D1169" s="2" t="s">
        <v>122</v>
      </c>
      <c r="E1169" s="2"/>
      <c r="F1169" s="2">
        <v>424</v>
      </c>
      <c r="G1169" s="2" t="s">
        <v>266</v>
      </c>
      <c r="H1169" s="2">
        <v>2</v>
      </c>
      <c r="I1169" s="2" t="s">
        <v>267</v>
      </c>
      <c r="J1169" s="2">
        <v>434</v>
      </c>
      <c r="K1169" s="2" t="s">
        <v>4419</v>
      </c>
      <c r="L1169" s="2" t="s">
        <v>946</v>
      </c>
      <c r="M1169" s="3">
        <v>40262</v>
      </c>
      <c r="N1169" s="2" t="s">
        <v>4420</v>
      </c>
      <c r="O1169" s="2" t="s">
        <v>4421</v>
      </c>
      <c r="P1169" s="2" t="s">
        <v>4422</v>
      </c>
      <c r="Q1169" s="2" t="str">
        <f>"155/10"</f>
        <v>155/10</v>
      </c>
      <c r="R1169" s="2"/>
      <c r="S1169" s="2" t="s">
        <v>4423</v>
      </c>
      <c r="T1169" s="2">
        <v>1</v>
      </c>
      <c r="U1169" s="2" t="s">
        <v>79</v>
      </c>
      <c r="V1169" s="2">
        <v>1</v>
      </c>
      <c r="W1169" s="2" t="s">
        <v>80</v>
      </c>
      <c r="X1169" s="2">
        <v>5</v>
      </c>
      <c r="Y1169" s="2" t="s">
        <v>82</v>
      </c>
      <c r="Z1169" s="2">
        <v>1</v>
      </c>
      <c r="AA1169" s="2" t="s">
        <v>82</v>
      </c>
      <c r="AB1169" s="2">
        <v>9</v>
      </c>
      <c r="AC1169" s="2" t="s">
        <v>124</v>
      </c>
      <c r="AD1169" s="3">
        <v>40262</v>
      </c>
      <c r="AE1169" s="4">
        <v>0.6875</v>
      </c>
      <c r="AF1169" s="3">
        <v>40262</v>
      </c>
      <c r="AG1169" s="4">
        <v>0.50347222222222221</v>
      </c>
      <c r="AH1169" s="2">
        <v>5</v>
      </c>
      <c r="AI1169" s="2" t="s">
        <v>274</v>
      </c>
      <c r="AJ1169" s="2">
        <v>35</v>
      </c>
      <c r="AK1169" s="2" t="s">
        <v>275</v>
      </c>
      <c r="AL1169" s="2">
        <v>18</v>
      </c>
      <c r="AM1169" s="2" t="s">
        <v>82</v>
      </c>
      <c r="AN1169" s="2" t="s">
        <v>4424</v>
      </c>
      <c r="AO1169" s="2" t="s">
        <v>4425</v>
      </c>
      <c r="AP1169" s="2">
        <v>11</v>
      </c>
      <c r="AQ1169" s="2" t="s">
        <v>82</v>
      </c>
      <c r="AR1169" s="2"/>
      <c r="AS1169" s="2"/>
      <c r="AT1169" s="2" t="s">
        <v>4426</v>
      </c>
      <c r="AU1169" s="2"/>
      <c r="AV1169" s="2"/>
      <c r="AW1169" s="2"/>
      <c r="AX1169" s="2"/>
      <c r="AY1169" s="2">
        <v>1</v>
      </c>
      <c r="AZ1169" s="2" t="s">
        <v>107</v>
      </c>
      <c r="BA1169" s="2">
        <v>1</v>
      </c>
      <c r="BB1169" s="2" t="s">
        <v>107</v>
      </c>
      <c r="BC1169" s="2">
        <v>1</v>
      </c>
      <c r="BD1169" s="2" t="s">
        <v>107</v>
      </c>
      <c r="BE1169" s="2">
        <v>1</v>
      </c>
      <c r="BF1169" s="2" t="s">
        <v>107</v>
      </c>
      <c r="BG1169" s="2"/>
      <c r="BH1169" s="2"/>
      <c r="BI1169" s="2"/>
      <c r="BJ1169" s="2">
        <v>242</v>
      </c>
      <c r="BK1169" s="2" t="s">
        <v>107</v>
      </c>
      <c r="BL1169" s="2"/>
      <c r="BM1169" s="2">
        <v>242</v>
      </c>
      <c r="BN1169" s="2" t="s">
        <v>107</v>
      </c>
      <c r="BO1169" s="2"/>
      <c r="BP1169" s="2">
        <v>242</v>
      </c>
      <c r="BQ1169" s="2" t="s">
        <v>107</v>
      </c>
      <c r="BR1169" s="2"/>
      <c r="BS1169" s="3">
        <v>40262</v>
      </c>
      <c r="BT1169" s="4">
        <v>0.63908564814814817</v>
      </c>
    </row>
    <row r="1170" spans="1:72" x14ac:dyDescent="0.25">
      <c r="A1170" s="2">
        <v>1796</v>
      </c>
      <c r="B1170" s="2">
        <v>2010</v>
      </c>
      <c r="C1170" s="2" t="s">
        <v>377</v>
      </c>
      <c r="D1170" s="2" t="s">
        <v>73</v>
      </c>
      <c r="E1170" s="2"/>
      <c r="F1170" s="2">
        <v>426</v>
      </c>
      <c r="G1170" s="2" t="s">
        <v>378</v>
      </c>
      <c r="H1170" s="2">
        <v>22</v>
      </c>
      <c r="I1170" s="2" t="s">
        <v>75</v>
      </c>
      <c r="J1170" s="2">
        <v>311</v>
      </c>
      <c r="K1170" s="2" t="s">
        <v>379</v>
      </c>
      <c r="L1170" s="2" t="s">
        <v>380</v>
      </c>
      <c r="M1170" s="3">
        <v>40262</v>
      </c>
      <c r="N1170" s="2" t="s">
        <v>4427</v>
      </c>
      <c r="O1170" s="2" t="s">
        <v>107</v>
      </c>
      <c r="P1170" s="2" t="s">
        <v>107</v>
      </c>
      <c r="Q1170" s="2" t="str">
        <f>"030-C/10"</f>
        <v>030-C/10</v>
      </c>
      <c r="R1170" s="2" t="s">
        <v>4428</v>
      </c>
      <c r="S1170" s="2" t="s">
        <v>4428</v>
      </c>
      <c r="T1170" s="2">
        <v>1</v>
      </c>
      <c r="U1170" s="2" t="s">
        <v>79</v>
      </c>
      <c r="V1170" s="2">
        <v>1</v>
      </c>
      <c r="W1170" s="2" t="s">
        <v>80</v>
      </c>
      <c r="X1170" s="2">
        <v>1</v>
      </c>
      <c r="Y1170" s="2" t="s">
        <v>81</v>
      </c>
      <c r="Z1170" s="2">
        <v>1</v>
      </c>
      <c r="AA1170" s="2" t="s">
        <v>82</v>
      </c>
      <c r="AB1170" s="2">
        <v>9</v>
      </c>
      <c r="AC1170" s="2" t="s">
        <v>124</v>
      </c>
      <c r="AD1170" s="3">
        <v>40260</v>
      </c>
      <c r="AE1170" s="4">
        <v>0.54861111111111105</v>
      </c>
      <c r="AF1170" s="3">
        <v>40260</v>
      </c>
      <c r="AG1170" s="4">
        <v>0.58333333333333337</v>
      </c>
      <c r="AH1170" s="2">
        <v>2</v>
      </c>
      <c r="AI1170" s="2" t="s">
        <v>84</v>
      </c>
      <c r="AJ1170" s="2">
        <v>9</v>
      </c>
      <c r="AK1170" s="2" t="s">
        <v>103</v>
      </c>
      <c r="AL1170" s="2">
        <v>21</v>
      </c>
      <c r="AM1170" s="2" t="s">
        <v>1311</v>
      </c>
      <c r="AN1170" s="2" t="s">
        <v>4429</v>
      </c>
      <c r="AO1170" s="2" t="s">
        <v>82</v>
      </c>
      <c r="AP1170" s="2">
        <v>11</v>
      </c>
      <c r="AQ1170" s="2" t="s">
        <v>82</v>
      </c>
      <c r="AR1170" s="2"/>
      <c r="AS1170" s="2"/>
      <c r="AT1170" s="2" t="s">
        <v>4430</v>
      </c>
      <c r="AU1170" s="2"/>
      <c r="AV1170" s="2"/>
      <c r="AW1170" s="2"/>
      <c r="AX1170" s="2"/>
      <c r="AY1170" s="2">
        <v>41</v>
      </c>
      <c r="AZ1170" s="2" t="s">
        <v>82</v>
      </c>
      <c r="BA1170" s="2">
        <v>41</v>
      </c>
      <c r="BB1170" s="2" t="s">
        <v>82</v>
      </c>
      <c r="BC1170" s="2">
        <v>41</v>
      </c>
      <c r="BD1170" s="2" t="s">
        <v>82</v>
      </c>
      <c r="BE1170" s="2">
        <v>41</v>
      </c>
      <c r="BF1170" s="2" t="s">
        <v>82</v>
      </c>
      <c r="BG1170" s="2"/>
      <c r="BH1170" s="2"/>
      <c r="BI1170" s="2"/>
      <c r="BJ1170" s="2">
        <v>241</v>
      </c>
      <c r="BK1170" s="2" t="s">
        <v>82</v>
      </c>
      <c r="BL1170" s="2"/>
      <c r="BM1170" s="2">
        <v>241</v>
      </c>
      <c r="BN1170" s="2" t="s">
        <v>82</v>
      </c>
      <c r="BO1170" s="2"/>
      <c r="BP1170" s="2">
        <v>241</v>
      </c>
      <c r="BQ1170" s="2" t="s">
        <v>82</v>
      </c>
      <c r="BR1170" s="2"/>
      <c r="BS1170" s="3">
        <v>40262</v>
      </c>
      <c r="BT1170" s="4">
        <v>0.74570601851851848</v>
      </c>
    </row>
    <row r="1171" spans="1:72" x14ac:dyDescent="0.25">
      <c r="A1171" s="2">
        <v>1797</v>
      </c>
      <c r="B1171" s="2">
        <v>2010</v>
      </c>
      <c r="C1171" s="2" t="s">
        <v>819</v>
      </c>
      <c r="D1171" s="2" t="s">
        <v>122</v>
      </c>
      <c r="E1171" s="2"/>
      <c r="F1171" s="2">
        <v>399</v>
      </c>
      <c r="G1171" s="2" t="s">
        <v>587</v>
      </c>
      <c r="H1171" s="2">
        <v>15</v>
      </c>
      <c r="I1171" s="2" t="s">
        <v>130</v>
      </c>
      <c r="J1171" s="2">
        <v>242</v>
      </c>
      <c r="K1171" s="2" t="s">
        <v>1077</v>
      </c>
      <c r="L1171" s="2" t="s">
        <v>1078</v>
      </c>
      <c r="M1171" s="3">
        <v>40262</v>
      </c>
      <c r="N1171" s="2" t="s">
        <v>4431</v>
      </c>
      <c r="O1171" s="2" t="s">
        <v>4432</v>
      </c>
      <c r="P1171" s="2">
        <v>6479</v>
      </c>
      <c r="Q1171" s="2" t="str">
        <f>"158-E/10"</f>
        <v>158-E/10</v>
      </c>
      <c r="R1171" s="2"/>
      <c r="S1171" s="2" t="s">
        <v>4433</v>
      </c>
      <c r="T1171" s="2">
        <v>1</v>
      </c>
      <c r="U1171" s="2" t="s">
        <v>79</v>
      </c>
      <c r="V1171" s="2">
        <v>1</v>
      </c>
      <c r="W1171" s="2" t="s">
        <v>80</v>
      </c>
      <c r="X1171" s="2">
        <v>1</v>
      </c>
      <c r="Y1171" s="2" t="s">
        <v>81</v>
      </c>
      <c r="Z1171" s="2">
        <v>1</v>
      </c>
      <c r="AA1171" s="2" t="s">
        <v>82</v>
      </c>
      <c r="AB1171" s="2">
        <v>9</v>
      </c>
      <c r="AC1171" s="2" t="s">
        <v>124</v>
      </c>
      <c r="AD1171" s="3">
        <v>40262</v>
      </c>
      <c r="AE1171" s="4">
        <v>0.72222222222222221</v>
      </c>
      <c r="AF1171" s="2"/>
      <c r="AG1171" s="2"/>
      <c r="AH1171" s="2">
        <v>2</v>
      </c>
      <c r="AI1171" s="2" t="s">
        <v>84</v>
      </c>
      <c r="AJ1171" s="2">
        <v>12</v>
      </c>
      <c r="AK1171" s="2" t="s">
        <v>85</v>
      </c>
      <c r="AL1171" s="2">
        <v>18</v>
      </c>
      <c r="AM1171" s="2" t="s">
        <v>82</v>
      </c>
      <c r="AN1171" s="2"/>
      <c r="AO1171" s="2" t="s">
        <v>4434</v>
      </c>
      <c r="AP1171" s="2">
        <v>11</v>
      </c>
      <c r="AQ1171" s="2" t="s">
        <v>82</v>
      </c>
      <c r="AR1171" s="2"/>
      <c r="AS1171" s="2"/>
      <c r="AT1171" s="2" t="s">
        <v>4435</v>
      </c>
      <c r="AU1171" s="2">
        <v>1</v>
      </c>
      <c r="AV1171" s="2"/>
      <c r="AW1171" s="2"/>
      <c r="AX1171" s="2"/>
      <c r="AY1171" s="2">
        <v>41</v>
      </c>
      <c r="AZ1171" s="2" t="s">
        <v>82</v>
      </c>
      <c r="BA1171" s="2">
        <v>41</v>
      </c>
      <c r="BB1171" s="2" t="s">
        <v>82</v>
      </c>
      <c r="BC1171" s="2">
        <v>41</v>
      </c>
      <c r="BD1171" s="2" t="s">
        <v>82</v>
      </c>
      <c r="BE1171" s="2">
        <v>41</v>
      </c>
      <c r="BF1171" s="2" t="s">
        <v>82</v>
      </c>
      <c r="BG1171" s="2"/>
      <c r="BH1171" s="2"/>
      <c r="BI1171" s="2"/>
      <c r="BJ1171" s="2">
        <v>241</v>
      </c>
      <c r="BK1171" s="2" t="s">
        <v>82</v>
      </c>
      <c r="BL1171" s="2"/>
      <c r="BM1171" s="2">
        <v>241</v>
      </c>
      <c r="BN1171" s="2" t="s">
        <v>82</v>
      </c>
      <c r="BO1171" s="2"/>
      <c r="BP1171" s="2">
        <v>241</v>
      </c>
      <c r="BQ1171" s="2" t="s">
        <v>82</v>
      </c>
      <c r="BR1171" s="2"/>
      <c r="BS1171" s="3">
        <v>40262</v>
      </c>
      <c r="BT1171" s="4">
        <v>0.75520833333333337</v>
      </c>
    </row>
    <row r="1172" spans="1:72" x14ac:dyDescent="0.25">
      <c r="A1172" s="2">
        <v>1798</v>
      </c>
      <c r="B1172" s="2">
        <v>2010</v>
      </c>
      <c r="C1172" s="2" t="s">
        <v>377</v>
      </c>
      <c r="D1172" s="2" t="s">
        <v>73</v>
      </c>
      <c r="E1172" s="2"/>
      <c r="F1172" s="2">
        <v>426</v>
      </c>
      <c r="G1172" s="2" t="s">
        <v>378</v>
      </c>
      <c r="H1172" s="2">
        <v>42</v>
      </c>
      <c r="I1172" s="2" t="s">
        <v>1096</v>
      </c>
      <c r="J1172" s="2">
        <v>311</v>
      </c>
      <c r="K1172" s="2" t="s">
        <v>379</v>
      </c>
      <c r="L1172" s="2" t="s">
        <v>380</v>
      </c>
      <c r="M1172" s="3">
        <v>40262</v>
      </c>
      <c r="N1172" s="2" t="s">
        <v>4427</v>
      </c>
      <c r="O1172" s="2" t="s">
        <v>107</v>
      </c>
      <c r="P1172" s="2" t="s">
        <v>107</v>
      </c>
      <c r="Q1172" s="2" t="str">
        <f>"032-C/10"</f>
        <v>032-C/10</v>
      </c>
      <c r="R1172" s="2" t="s">
        <v>4436</v>
      </c>
      <c r="S1172" s="2" t="s">
        <v>4428</v>
      </c>
      <c r="T1172" s="2">
        <v>1</v>
      </c>
      <c r="U1172" s="2" t="s">
        <v>79</v>
      </c>
      <c r="V1172" s="2">
        <v>1</v>
      </c>
      <c r="W1172" s="2" t="s">
        <v>80</v>
      </c>
      <c r="X1172" s="2">
        <v>1</v>
      </c>
      <c r="Y1172" s="2" t="s">
        <v>81</v>
      </c>
      <c r="Z1172" s="2">
        <v>1</v>
      </c>
      <c r="AA1172" s="2" t="s">
        <v>82</v>
      </c>
      <c r="AB1172" s="2">
        <v>9</v>
      </c>
      <c r="AC1172" s="2" t="s">
        <v>124</v>
      </c>
      <c r="AD1172" s="3">
        <v>40262</v>
      </c>
      <c r="AE1172" s="4">
        <v>0.4375</v>
      </c>
      <c r="AF1172" s="3">
        <v>40262</v>
      </c>
      <c r="AG1172" s="4">
        <v>0.50694444444444442</v>
      </c>
      <c r="AH1172" s="2">
        <v>2</v>
      </c>
      <c r="AI1172" s="2" t="s">
        <v>84</v>
      </c>
      <c r="AJ1172" s="2">
        <v>9</v>
      </c>
      <c r="AK1172" s="2" t="s">
        <v>103</v>
      </c>
      <c r="AL1172" s="2">
        <v>12</v>
      </c>
      <c r="AM1172" s="2" t="s">
        <v>86</v>
      </c>
      <c r="AN1172" s="2" t="s">
        <v>4437</v>
      </c>
      <c r="AO1172" s="2" t="s">
        <v>82</v>
      </c>
      <c r="AP1172" s="2">
        <v>11</v>
      </c>
      <c r="AQ1172" s="2" t="s">
        <v>82</v>
      </c>
      <c r="AR1172" s="2"/>
      <c r="AS1172" s="2"/>
      <c r="AT1172" s="2" t="s">
        <v>4438</v>
      </c>
      <c r="AU1172" s="2"/>
      <c r="AV1172" s="2"/>
      <c r="AW1172" s="2"/>
      <c r="AX1172" s="2"/>
      <c r="AY1172" s="2">
        <v>41</v>
      </c>
      <c r="AZ1172" s="2" t="s">
        <v>82</v>
      </c>
      <c r="BA1172" s="2">
        <v>41</v>
      </c>
      <c r="BB1172" s="2" t="s">
        <v>82</v>
      </c>
      <c r="BC1172" s="2">
        <v>41</v>
      </c>
      <c r="BD1172" s="2" t="s">
        <v>82</v>
      </c>
      <c r="BE1172" s="2">
        <v>41</v>
      </c>
      <c r="BF1172" s="2" t="s">
        <v>82</v>
      </c>
      <c r="BG1172" s="2"/>
      <c r="BH1172" s="2"/>
      <c r="BI1172" s="2"/>
      <c r="BJ1172" s="2">
        <v>241</v>
      </c>
      <c r="BK1172" s="2" t="s">
        <v>82</v>
      </c>
      <c r="BL1172" s="2"/>
      <c r="BM1172" s="2">
        <v>241</v>
      </c>
      <c r="BN1172" s="2" t="s">
        <v>82</v>
      </c>
      <c r="BO1172" s="2"/>
      <c r="BP1172" s="2">
        <v>241</v>
      </c>
      <c r="BQ1172" s="2" t="s">
        <v>82</v>
      </c>
      <c r="BR1172" s="2"/>
      <c r="BS1172" s="3">
        <v>40262</v>
      </c>
      <c r="BT1172" s="4">
        <v>0.75790509259259264</v>
      </c>
    </row>
    <row r="1173" spans="1:72" x14ac:dyDescent="0.25">
      <c r="A1173" s="2">
        <v>1799</v>
      </c>
      <c r="B1173" s="2">
        <v>2010</v>
      </c>
      <c r="C1173" s="2" t="s">
        <v>72</v>
      </c>
      <c r="D1173" s="2" t="s">
        <v>73</v>
      </c>
      <c r="E1173" s="2"/>
      <c r="F1173" s="2">
        <v>34</v>
      </c>
      <c r="G1173" s="2" t="s">
        <v>334</v>
      </c>
      <c r="H1173" s="2">
        <v>71</v>
      </c>
      <c r="I1173" s="2" t="s">
        <v>335</v>
      </c>
      <c r="J1173" s="2">
        <v>43</v>
      </c>
      <c r="K1173" s="2" t="s">
        <v>2059</v>
      </c>
      <c r="L1173" s="2" t="s">
        <v>2060</v>
      </c>
      <c r="M1173" s="3">
        <v>40262</v>
      </c>
      <c r="N1173" s="2" t="s">
        <v>338</v>
      </c>
      <c r="O1173" s="2" t="s">
        <v>480</v>
      </c>
      <c r="P1173" s="2" t="s">
        <v>107</v>
      </c>
      <c r="Q1173" s="2" t="str">
        <f>"14/10"</f>
        <v>14/10</v>
      </c>
      <c r="R1173" s="2" t="s">
        <v>480</v>
      </c>
      <c r="S1173" s="2" t="s">
        <v>480</v>
      </c>
      <c r="T1173" s="2">
        <v>1</v>
      </c>
      <c r="U1173" s="2" t="s">
        <v>79</v>
      </c>
      <c r="V1173" s="2">
        <v>1</v>
      </c>
      <c r="W1173" s="2" t="s">
        <v>80</v>
      </c>
      <c r="X1173" s="2">
        <v>12</v>
      </c>
      <c r="Y1173" s="2" t="s">
        <v>148</v>
      </c>
      <c r="Z1173" s="2">
        <v>10</v>
      </c>
      <c r="AA1173" s="2" t="s">
        <v>236</v>
      </c>
      <c r="AB1173" s="2">
        <v>6</v>
      </c>
      <c r="AC1173" s="2" t="s">
        <v>83</v>
      </c>
      <c r="AD1173" s="2"/>
      <c r="AE1173" s="2"/>
      <c r="AF1173" s="3">
        <v>40262</v>
      </c>
      <c r="AG1173" s="4">
        <v>0.69444444444444453</v>
      </c>
      <c r="AH1173" s="2">
        <v>3</v>
      </c>
      <c r="AI1173" s="2" t="s">
        <v>214</v>
      </c>
      <c r="AJ1173" s="2">
        <v>17</v>
      </c>
      <c r="AK1173" s="2" t="s">
        <v>309</v>
      </c>
      <c r="AL1173" s="2">
        <v>23</v>
      </c>
      <c r="AM1173" s="2" t="s">
        <v>251</v>
      </c>
      <c r="AN1173" s="2" t="s">
        <v>4439</v>
      </c>
      <c r="AO1173" s="2" t="s">
        <v>251</v>
      </c>
      <c r="AP1173" s="2">
        <v>11</v>
      </c>
      <c r="AQ1173" s="2" t="s">
        <v>82</v>
      </c>
      <c r="AR1173" s="2"/>
      <c r="AS1173" s="2"/>
      <c r="AT1173" s="2" t="s">
        <v>4440</v>
      </c>
      <c r="AU1173" s="2"/>
      <c r="AV1173" s="2"/>
      <c r="AW1173" s="2"/>
      <c r="AX1173" s="2"/>
      <c r="AY1173" s="2">
        <v>1</v>
      </c>
      <c r="AZ1173" s="2" t="s">
        <v>107</v>
      </c>
      <c r="BA1173" s="2">
        <v>41</v>
      </c>
      <c r="BB1173" s="2" t="s">
        <v>82</v>
      </c>
      <c r="BC1173" s="2">
        <v>41</v>
      </c>
      <c r="BD1173" s="2" t="s">
        <v>82</v>
      </c>
      <c r="BE1173" s="2">
        <v>41</v>
      </c>
      <c r="BF1173" s="2" t="s">
        <v>82</v>
      </c>
      <c r="BG1173" s="2"/>
      <c r="BH1173" s="2"/>
      <c r="BI1173" s="2"/>
      <c r="BJ1173" s="2">
        <v>241</v>
      </c>
      <c r="BK1173" s="2" t="s">
        <v>82</v>
      </c>
      <c r="BL1173" s="2"/>
      <c r="BM1173" s="2">
        <v>241</v>
      </c>
      <c r="BN1173" s="2" t="s">
        <v>82</v>
      </c>
      <c r="BO1173" s="2"/>
      <c r="BP1173" s="2">
        <v>241</v>
      </c>
      <c r="BQ1173" s="2" t="s">
        <v>82</v>
      </c>
      <c r="BR1173" s="2"/>
      <c r="BS1173" s="3">
        <v>40262</v>
      </c>
      <c r="BT1173" s="4">
        <v>0.82785879629629633</v>
      </c>
    </row>
    <row r="1174" spans="1:72" x14ac:dyDescent="0.25">
      <c r="A1174" s="2">
        <v>1801</v>
      </c>
      <c r="B1174" s="2">
        <v>2010</v>
      </c>
      <c r="C1174" s="2" t="s">
        <v>72</v>
      </c>
      <c r="D1174" s="2" t="s">
        <v>73</v>
      </c>
      <c r="E1174" s="2"/>
      <c r="F1174" s="2">
        <v>125</v>
      </c>
      <c r="G1174" s="2" t="s">
        <v>1483</v>
      </c>
      <c r="H1174" s="2">
        <v>47</v>
      </c>
      <c r="I1174" s="2" t="s">
        <v>1409</v>
      </c>
      <c r="J1174" s="2">
        <v>139</v>
      </c>
      <c r="K1174" s="2" t="s">
        <v>1485</v>
      </c>
      <c r="L1174" s="2" t="s">
        <v>1486</v>
      </c>
      <c r="M1174" s="3">
        <v>40262</v>
      </c>
      <c r="N1174" s="2" t="s">
        <v>4441</v>
      </c>
      <c r="O1174" s="2" t="s">
        <v>82</v>
      </c>
      <c r="P1174" s="2"/>
      <c r="Q1174" s="2" t="str">
        <f>" PREV Nº0011/2010"</f>
        <v xml:space="preserve"> PREV Nº0011/2010</v>
      </c>
      <c r="R1174" s="2" t="s">
        <v>4442</v>
      </c>
      <c r="S1174" s="2" t="s">
        <v>4442</v>
      </c>
      <c r="T1174" s="2">
        <v>1</v>
      </c>
      <c r="U1174" s="2" t="s">
        <v>79</v>
      </c>
      <c r="V1174" s="2">
        <v>1</v>
      </c>
      <c r="W1174" s="2" t="s">
        <v>80</v>
      </c>
      <c r="X1174" s="2">
        <v>1</v>
      </c>
      <c r="Y1174" s="2" t="s">
        <v>81</v>
      </c>
      <c r="Z1174" s="2">
        <v>1</v>
      </c>
      <c r="AA1174" s="2" t="s">
        <v>82</v>
      </c>
      <c r="AB1174" s="2">
        <v>6</v>
      </c>
      <c r="AC1174" s="2" t="s">
        <v>83</v>
      </c>
      <c r="AD1174" s="3">
        <v>40256</v>
      </c>
      <c r="AE1174" s="2"/>
      <c r="AF1174" s="3">
        <v>40262</v>
      </c>
      <c r="AG1174" s="4">
        <v>0.58333333333333337</v>
      </c>
      <c r="AH1174" s="2">
        <v>6</v>
      </c>
      <c r="AI1174" s="2" t="s">
        <v>197</v>
      </c>
      <c r="AJ1174" s="2">
        <v>61</v>
      </c>
      <c r="AK1174" s="2" t="s">
        <v>686</v>
      </c>
      <c r="AL1174" s="2">
        <v>5</v>
      </c>
      <c r="AM1174" s="2" t="s">
        <v>193</v>
      </c>
      <c r="AN1174" s="2" t="s">
        <v>4443</v>
      </c>
      <c r="AO1174" s="2" t="s">
        <v>984</v>
      </c>
      <c r="AP1174" s="2">
        <v>11</v>
      </c>
      <c r="AQ1174" s="2" t="s">
        <v>82</v>
      </c>
      <c r="AR1174" s="2"/>
      <c r="AS1174" s="2"/>
      <c r="AT1174" s="2" t="s">
        <v>4444</v>
      </c>
      <c r="AU1174" s="2"/>
      <c r="AV1174" s="2"/>
      <c r="AW1174" s="2"/>
      <c r="AX1174" s="2"/>
      <c r="AY1174" s="2">
        <v>41</v>
      </c>
      <c r="AZ1174" s="2" t="s">
        <v>82</v>
      </c>
      <c r="BA1174" s="2">
        <v>41</v>
      </c>
      <c r="BB1174" s="2" t="s">
        <v>82</v>
      </c>
      <c r="BC1174" s="2">
        <v>41</v>
      </c>
      <c r="BD1174" s="2" t="s">
        <v>82</v>
      </c>
      <c r="BE1174" s="2">
        <v>41</v>
      </c>
      <c r="BF1174" s="2" t="s">
        <v>82</v>
      </c>
      <c r="BG1174" s="2"/>
      <c r="BH1174" s="2"/>
      <c r="BI1174" s="2"/>
      <c r="BJ1174" s="2">
        <v>241</v>
      </c>
      <c r="BK1174" s="2" t="s">
        <v>82</v>
      </c>
      <c r="BL1174" s="2"/>
      <c r="BM1174" s="2">
        <v>241</v>
      </c>
      <c r="BN1174" s="2" t="s">
        <v>82</v>
      </c>
      <c r="BO1174" s="2"/>
      <c r="BP1174" s="2">
        <v>241</v>
      </c>
      <c r="BQ1174" s="2" t="s">
        <v>82</v>
      </c>
      <c r="BR1174" s="2"/>
      <c r="BS1174" s="3">
        <v>40262</v>
      </c>
      <c r="BT1174" s="4">
        <v>0.84715277777777775</v>
      </c>
    </row>
    <row r="1175" spans="1:72" x14ac:dyDescent="0.25">
      <c r="A1175" s="2">
        <v>1802</v>
      </c>
      <c r="B1175" s="2">
        <v>2010</v>
      </c>
      <c r="C1175" s="2" t="s">
        <v>72</v>
      </c>
      <c r="D1175" s="2" t="s">
        <v>73</v>
      </c>
      <c r="E1175" s="2"/>
      <c r="F1175" s="2">
        <v>117</v>
      </c>
      <c r="G1175" s="2" t="s">
        <v>3284</v>
      </c>
      <c r="H1175" s="2">
        <v>42</v>
      </c>
      <c r="I1175" s="2" t="s">
        <v>1096</v>
      </c>
      <c r="J1175" s="2">
        <v>134</v>
      </c>
      <c r="K1175" s="2" t="s">
        <v>3285</v>
      </c>
      <c r="L1175" s="2" t="s">
        <v>3286</v>
      </c>
      <c r="M1175" s="3">
        <v>40262</v>
      </c>
      <c r="N1175" s="2" t="s">
        <v>3287</v>
      </c>
      <c r="O1175" s="2" t="s">
        <v>4445</v>
      </c>
      <c r="P1175" s="2" t="s">
        <v>4446</v>
      </c>
      <c r="Q1175" s="2" t="str">
        <f>"0002/10"</f>
        <v>0002/10</v>
      </c>
      <c r="R1175" s="2" t="s">
        <v>4445</v>
      </c>
      <c r="S1175" s="2" t="s">
        <v>4445</v>
      </c>
      <c r="T1175" s="2">
        <v>1</v>
      </c>
      <c r="U1175" s="2" t="s">
        <v>79</v>
      </c>
      <c r="V1175" s="2">
        <v>1</v>
      </c>
      <c r="W1175" s="2" t="s">
        <v>80</v>
      </c>
      <c r="X1175" s="2">
        <v>5</v>
      </c>
      <c r="Y1175" s="2" t="s">
        <v>82</v>
      </c>
      <c r="Z1175" s="2">
        <v>1</v>
      </c>
      <c r="AA1175" s="2" t="s">
        <v>82</v>
      </c>
      <c r="AB1175" s="2">
        <v>6</v>
      </c>
      <c r="AC1175" s="2" t="s">
        <v>83</v>
      </c>
      <c r="AD1175" s="3">
        <v>40262</v>
      </c>
      <c r="AE1175" s="4">
        <v>0.55208333333333337</v>
      </c>
      <c r="AF1175" s="3">
        <v>40262</v>
      </c>
      <c r="AG1175" s="4">
        <v>0.6875</v>
      </c>
      <c r="AH1175" s="2">
        <v>6</v>
      </c>
      <c r="AI1175" s="2" t="s">
        <v>197</v>
      </c>
      <c r="AJ1175" s="2">
        <v>59</v>
      </c>
      <c r="AK1175" s="2" t="s">
        <v>198</v>
      </c>
      <c r="AL1175" s="2">
        <v>6</v>
      </c>
      <c r="AM1175" s="2" t="s">
        <v>4447</v>
      </c>
      <c r="AN1175" s="2" t="s">
        <v>4448</v>
      </c>
      <c r="AO1175" s="2" t="s">
        <v>4449</v>
      </c>
      <c r="AP1175" s="2">
        <v>11</v>
      </c>
      <c r="AQ1175" s="2" t="s">
        <v>82</v>
      </c>
      <c r="AR1175" s="2" t="s">
        <v>82</v>
      </c>
      <c r="AS1175" s="2" t="s">
        <v>82</v>
      </c>
      <c r="AT1175" s="2" t="s">
        <v>4450</v>
      </c>
      <c r="AU1175" s="2"/>
      <c r="AV1175" s="2"/>
      <c r="AW1175" s="2"/>
      <c r="AX1175" s="2"/>
      <c r="AY1175" s="2">
        <v>41</v>
      </c>
      <c r="AZ1175" s="2" t="s">
        <v>82</v>
      </c>
      <c r="BA1175" s="2">
        <v>41</v>
      </c>
      <c r="BB1175" s="2" t="s">
        <v>82</v>
      </c>
      <c r="BC1175" s="2">
        <v>41</v>
      </c>
      <c r="BD1175" s="2" t="s">
        <v>82</v>
      </c>
      <c r="BE1175" s="2">
        <v>47</v>
      </c>
      <c r="BF1175" s="2" t="s">
        <v>167</v>
      </c>
      <c r="BG1175" s="2">
        <v>2870</v>
      </c>
      <c r="BH1175" s="4">
        <v>0.54861111111111105</v>
      </c>
      <c r="BI1175" s="2"/>
      <c r="BJ1175" s="2">
        <v>13</v>
      </c>
      <c r="BK1175" s="2" t="s">
        <v>91</v>
      </c>
      <c r="BL1175" s="2" t="s">
        <v>524</v>
      </c>
      <c r="BM1175" s="2">
        <v>241</v>
      </c>
      <c r="BN1175" s="2" t="s">
        <v>82</v>
      </c>
      <c r="BO1175" s="2" t="s">
        <v>82</v>
      </c>
      <c r="BP1175" s="2">
        <v>13</v>
      </c>
      <c r="BQ1175" s="2" t="s">
        <v>91</v>
      </c>
      <c r="BR1175" s="2" t="s">
        <v>3339</v>
      </c>
      <c r="BS1175" s="3">
        <v>40262</v>
      </c>
      <c r="BT1175" s="4">
        <v>0.85697916666666663</v>
      </c>
    </row>
    <row r="1176" spans="1:72" x14ac:dyDescent="0.25">
      <c r="A1176" s="2">
        <v>1803</v>
      </c>
      <c r="B1176" s="2">
        <v>2010</v>
      </c>
      <c r="C1176" s="2" t="s">
        <v>171</v>
      </c>
      <c r="D1176" s="2" t="s">
        <v>73</v>
      </c>
      <c r="E1176" s="2"/>
      <c r="F1176" s="2">
        <v>159</v>
      </c>
      <c r="G1176" s="2" t="s">
        <v>3883</v>
      </c>
      <c r="H1176" s="2">
        <v>19</v>
      </c>
      <c r="I1176" s="2" t="s">
        <v>4355</v>
      </c>
      <c r="J1176" s="2">
        <v>172</v>
      </c>
      <c r="K1176" s="2" t="s">
        <v>3885</v>
      </c>
      <c r="L1176" s="2" t="s">
        <v>3886</v>
      </c>
      <c r="M1176" s="3">
        <v>40262</v>
      </c>
      <c r="N1176" s="2" t="s">
        <v>4356</v>
      </c>
      <c r="O1176" s="2" t="s">
        <v>107</v>
      </c>
      <c r="P1176" s="2" t="s">
        <v>107</v>
      </c>
      <c r="Q1176" s="2" t="str">
        <f>"119-A/10"</f>
        <v>119-A/10</v>
      </c>
      <c r="R1176" s="2" t="s">
        <v>107</v>
      </c>
      <c r="S1176" s="2" t="s">
        <v>1035</v>
      </c>
      <c r="T1176" s="2">
        <v>1</v>
      </c>
      <c r="U1176" s="2" t="s">
        <v>79</v>
      </c>
      <c r="V1176" s="2">
        <v>1</v>
      </c>
      <c r="W1176" s="2" t="s">
        <v>80</v>
      </c>
      <c r="X1176" s="2">
        <v>1</v>
      </c>
      <c r="Y1176" s="2" t="s">
        <v>81</v>
      </c>
      <c r="Z1176" s="2">
        <v>1</v>
      </c>
      <c r="AA1176" s="2" t="s">
        <v>82</v>
      </c>
      <c r="AB1176" s="2">
        <v>1</v>
      </c>
      <c r="AC1176" s="2" t="s">
        <v>178</v>
      </c>
      <c r="AD1176" s="3">
        <v>40262</v>
      </c>
      <c r="AE1176" s="4">
        <v>0.72222222222222221</v>
      </c>
      <c r="AF1176" s="3">
        <v>40262</v>
      </c>
      <c r="AG1176" s="4">
        <v>0.82291666666666663</v>
      </c>
      <c r="AH1176" s="2">
        <v>2</v>
      </c>
      <c r="AI1176" s="2" t="s">
        <v>84</v>
      </c>
      <c r="AJ1176" s="2">
        <v>12</v>
      </c>
      <c r="AK1176" s="2" t="s">
        <v>85</v>
      </c>
      <c r="AL1176" s="2">
        <v>14</v>
      </c>
      <c r="AM1176" s="2" t="s">
        <v>216</v>
      </c>
      <c r="AN1176" s="2" t="s">
        <v>919</v>
      </c>
      <c r="AO1176" s="2" t="s">
        <v>4451</v>
      </c>
      <c r="AP1176" s="2">
        <v>11</v>
      </c>
      <c r="AQ1176" s="2" t="s">
        <v>82</v>
      </c>
      <c r="AR1176" s="2"/>
      <c r="AS1176" s="2"/>
      <c r="AT1176" s="2" t="s">
        <v>4452</v>
      </c>
      <c r="AU1176" s="2">
        <v>1</v>
      </c>
      <c r="AV1176" s="2"/>
      <c r="AW1176" s="2"/>
      <c r="AX1176" s="2"/>
      <c r="AY1176" s="2">
        <v>41</v>
      </c>
      <c r="AZ1176" s="2" t="s">
        <v>82</v>
      </c>
      <c r="BA1176" s="2">
        <v>41</v>
      </c>
      <c r="BB1176" s="2" t="s">
        <v>82</v>
      </c>
      <c r="BC1176" s="2">
        <v>41</v>
      </c>
      <c r="BD1176" s="2" t="s">
        <v>82</v>
      </c>
      <c r="BE1176" s="2">
        <v>10</v>
      </c>
      <c r="BF1176" s="2" t="s">
        <v>901</v>
      </c>
      <c r="BG1176" s="2" t="s">
        <v>4453</v>
      </c>
      <c r="BH1176" s="4">
        <v>0.78125</v>
      </c>
      <c r="BI1176" s="4">
        <v>0.74652777777777779</v>
      </c>
      <c r="BJ1176" s="2">
        <v>13</v>
      </c>
      <c r="BK1176" s="2" t="s">
        <v>91</v>
      </c>
      <c r="BL1176" s="2" t="s">
        <v>4454</v>
      </c>
      <c r="BM1176" s="2">
        <v>241</v>
      </c>
      <c r="BN1176" s="2" t="s">
        <v>82</v>
      </c>
      <c r="BO1176" s="2" t="s">
        <v>82</v>
      </c>
      <c r="BP1176" s="2">
        <v>229</v>
      </c>
      <c r="BQ1176" s="2" t="s">
        <v>300</v>
      </c>
      <c r="BR1176" s="2" t="s">
        <v>301</v>
      </c>
      <c r="BS1176" s="3">
        <v>40262</v>
      </c>
      <c r="BT1176" s="4">
        <v>0.89159722222222226</v>
      </c>
    </row>
    <row r="1177" spans="1:72" x14ac:dyDescent="0.25">
      <c r="A1177" s="2">
        <v>1804</v>
      </c>
      <c r="B1177" s="2">
        <v>2010</v>
      </c>
      <c r="C1177" s="2" t="s">
        <v>255</v>
      </c>
      <c r="D1177" s="2" t="s">
        <v>73</v>
      </c>
      <c r="E1177" s="2"/>
      <c r="F1177" s="2">
        <v>125</v>
      </c>
      <c r="G1177" s="2" t="s">
        <v>1483</v>
      </c>
      <c r="H1177" s="2">
        <v>47</v>
      </c>
      <c r="I1177" s="2" t="s">
        <v>1409</v>
      </c>
      <c r="J1177" s="2">
        <v>139</v>
      </c>
      <c r="K1177" s="2" t="s">
        <v>1485</v>
      </c>
      <c r="L1177" s="2" t="s">
        <v>1486</v>
      </c>
      <c r="M1177" s="3">
        <v>40262</v>
      </c>
      <c r="N1177" s="2" t="s">
        <v>4455</v>
      </c>
      <c r="O1177" s="2" t="s">
        <v>82</v>
      </c>
      <c r="P1177" s="2" t="s">
        <v>82</v>
      </c>
      <c r="Q1177" s="2" t="str">
        <f>"PREV 0011/2010"</f>
        <v>PREV 0011/2010</v>
      </c>
      <c r="R1177" s="2" t="s">
        <v>4456</v>
      </c>
      <c r="S1177" s="2" t="s">
        <v>4456</v>
      </c>
      <c r="T1177" s="2">
        <v>1</v>
      </c>
      <c r="U1177" s="2" t="s">
        <v>79</v>
      </c>
      <c r="V1177" s="2">
        <v>1</v>
      </c>
      <c r="W1177" s="2" t="s">
        <v>80</v>
      </c>
      <c r="X1177" s="2">
        <v>1</v>
      </c>
      <c r="Y1177" s="2" t="s">
        <v>81</v>
      </c>
      <c r="Z1177" s="2">
        <v>3</v>
      </c>
      <c r="AA1177" s="2" t="s">
        <v>257</v>
      </c>
      <c r="AB1177" s="2">
        <v>9</v>
      </c>
      <c r="AC1177" s="2" t="s">
        <v>124</v>
      </c>
      <c r="AD1177" s="3">
        <v>40262</v>
      </c>
      <c r="AE1177" s="4">
        <v>0.2673611111111111</v>
      </c>
      <c r="AF1177" s="3">
        <v>40262</v>
      </c>
      <c r="AG1177" s="4">
        <v>0.68402777777777779</v>
      </c>
      <c r="AH1177" s="2">
        <v>6</v>
      </c>
      <c r="AI1177" s="2" t="s">
        <v>197</v>
      </c>
      <c r="AJ1177" s="2">
        <v>61</v>
      </c>
      <c r="AK1177" s="2" t="s">
        <v>686</v>
      </c>
      <c r="AL1177" s="2">
        <v>9</v>
      </c>
      <c r="AM1177" s="2" t="s">
        <v>259</v>
      </c>
      <c r="AN1177" s="2"/>
      <c r="AO1177" s="2" t="s">
        <v>4457</v>
      </c>
      <c r="AP1177" s="2">
        <v>11</v>
      </c>
      <c r="AQ1177" s="2" t="s">
        <v>82</v>
      </c>
      <c r="AR1177" s="2"/>
      <c r="AS1177" s="2"/>
      <c r="AT1177" s="2" t="s">
        <v>4458</v>
      </c>
      <c r="AU1177" s="2"/>
      <c r="AV1177" s="2"/>
      <c r="AW1177" s="2"/>
      <c r="AX1177" s="2"/>
      <c r="AY1177" s="2">
        <v>44</v>
      </c>
      <c r="AZ1177" s="2" t="s">
        <v>262</v>
      </c>
      <c r="BA1177" s="2">
        <v>44</v>
      </c>
      <c r="BB1177" s="2" t="s">
        <v>262</v>
      </c>
      <c r="BC1177" s="2">
        <v>44</v>
      </c>
      <c r="BD1177" s="2" t="s">
        <v>262</v>
      </c>
      <c r="BE1177" s="2">
        <v>44</v>
      </c>
      <c r="BF1177" s="2" t="s">
        <v>262</v>
      </c>
      <c r="BG1177" s="2"/>
      <c r="BH1177" s="2"/>
      <c r="BI1177" s="2"/>
      <c r="BJ1177" s="2">
        <v>241</v>
      </c>
      <c r="BK1177" s="2" t="s">
        <v>82</v>
      </c>
      <c r="BL1177" s="2"/>
      <c r="BM1177" s="2">
        <v>241</v>
      </c>
      <c r="BN1177" s="2" t="s">
        <v>82</v>
      </c>
      <c r="BO1177" s="2"/>
      <c r="BP1177" s="2">
        <v>241</v>
      </c>
      <c r="BQ1177" s="2" t="s">
        <v>82</v>
      </c>
      <c r="BR1177" s="2"/>
      <c r="BS1177" s="3">
        <v>40262</v>
      </c>
      <c r="BT1177" s="4">
        <v>0.89681712962962967</v>
      </c>
    </row>
    <row r="1178" spans="1:72" x14ac:dyDescent="0.25">
      <c r="A1178" s="2">
        <v>1806</v>
      </c>
      <c r="B1178" s="2">
        <v>2010</v>
      </c>
      <c r="C1178" s="2" t="s">
        <v>409</v>
      </c>
      <c r="D1178" s="2" t="s">
        <v>73</v>
      </c>
      <c r="E1178" s="2"/>
      <c r="F1178" s="2">
        <v>338</v>
      </c>
      <c r="G1178" s="2" t="s">
        <v>4459</v>
      </c>
      <c r="H1178" s="2">
        <v>2</v>
      </c>
      <c r="I1178" s="2" t="s">
        <v>267</v>
      </c>
      <c r="J1178" s="2">
        <v>434</v>
      </c>
      <c r="K1178" s="2" t="s">
        <v>4419</v>
      </c>
      <c r="L1178" s="2" t="s">
        <v>946</v>
      </c>
      <c r="M1178" s="3">
        <v>40262</v>
      </c>
      <c r="N1178" s="2" t="s">
        <v>4460</v>
      </c>
      <c r="O1178" s="2" t="s">
        <v>4421</v>
      </c>
      <c r="P1178" s="2" t="s">
        <v>4422</v>
      </c>
      <c r="Q1178" s="2" t="str">
        <f>"0002/10"</f>
        <v>0002/10</v>
      </c>
      <c r="R1178" s="2"/>
      <c r="S1178" s="2" t="s">
        <v>4461</v>
      </c>
      <c r="T1178" s="2">
        <v>1</v>
      </c>
      <c r="U1178" s="2" t="s">
        <v>79</v>
      </c>
      <c r="V1178" s="2">
        <v>1</v>
      </c>
      <c r="W1178" s="2" t="s">
        <v>80</v>
      </c>
      <c r="X1178" s="2">
        <v>1</v>
      </c>
      <c r="Y1178" s="2" t="s">
        <v>81</v>
      </c>
      <c r="Z1178" s="2">
        <v>10</v>
      </c>
      <c r="AA1178" s="2" t="s">
        <v>236</v>
      </c>
      <c r="AB1178" s="2">
        <v>9</v>
      </c>
      <c r="AC1178" s="2" t="s">
        <v>124</v>
      </c>
      <c r="AD1178" s="3">
        <v>40262</v>
      </c>
      <c r="AE1178" s="4">
        <v>0.71875</v>
      </c>
      <c r="AF1178" s="3">
        <v>40262</v>
      </c>
      <c r="AG1178" s="4">
        <v>0.50347222222222221</v>
      </c>
      <c r="AH1178" s="2">
        <v>5</v>
      </c>
      <c r="AI1178" s="2" t="s">
        <v>274</v>
      </c>
      <c r="AJ1178" s="2">
        <v>35</v>
      </c>
      <c r="AK1178" s="2" t="s">
        <v>275</v>
      </c>
      <c r="AL1178" s="2">
        <v>18</v>
      </c>
      <c r="AM1178" s="2" t="s">
        <v>82</v>
      </c>
      <c r="AN1178" s="2" t="s">
        <v>4462</v>
      </c>
      <c r="AO1178" s="2" t="s">
        <v>4425</v>
      </c>
      <c r="AP1178" s="2">
        <v>11</v>
      </c>
      <c r="AQ1178" s="2" t="s">
        <v>82</v>
      </c>
      <c r="AR1178" s="2"/>
      <c r="AS1178" s="2"/>
      <c r="AT1178" s="2" t="s">
        <v>4463</v>
      </c>
      <c r="AU1178" s="2"/>
      <c r="AV1178" s="2"/>
      <c r="AW1178" s="2"/>
      <c r="AX1178" s="2"/>
      <c r="AY1178" s="2">
        <v>1</v>
      </c>
      <c r="AZ1178" s="2" t="s">
        <v>107</v>
      </c>
      <c r="BA1178" s="2">
        <v>1</v>
      </c>
      <c r="BB1178" s="2" t="s">
        <v>107</v>
      </c>
      <c r="BC1178" s="2">
        <v>1</v>
      </c>
      <c r="BD1178" s="2" t="s">
        <v>107</v>
      </c>
      <c r="BE1178" s="2">
        <v>1</v>
      </c>
      <c r="BF1178" s="2" t="s">
        <v>107</v>
      </c>
      <c r="BG1178" s="2"/>
      <c r="BH1178" s="2"/>
      <c r="BI1178" s="2"/>
      <c r="BJ1178" s="2">
        <v>242</v>
      </c>
      <c r="BK1178" s="2" t="s">
        <v>107</v>
      </c>
      <c r="BL1178" s="2"/>
      <c r="BM1178" s="2">
        <v>242</v>
      </c>
      <c r="BN1178" s="2" t="s">
        <v>107</v>
      </c>
      <c r="BO1178" s="2"/>
      <c r="BP1178" s="2">
        <v>242</v>
      </c>
      <c r="BQ1178" s="2" t="s">
        <v>107</v>
      </c>
      <c r="BR1178" s="2"/>
      <c r="BS1178" s="3">
        <v>40262</v>
      </c>
      <c r="BT1178" s="4">
        <v>0.9409143518518519</v>
      </c>
    </row>
    <row r="1179" spans="1:72" x14ac:dyDescent="0.25">
      <c r="A1179" s="2">
        <v>1806</v>
      </c>
      <c r="B1179" s="2">
        <v>2010</v>
      </c>
      <c r="C1179" s="2" t="s">
        <v>171</v>
      </c>
      <c r="D1179" s="2" t="s">
        <v>73</v>
      </c>
      <c r="E1179" s="2"/>
      <c r="F1179" s="2">
        <v>338</v>
      </c>
      <c r="G1179" s="2" t="s">
        <v>4459</v>
      </c>
      <c r="H1179" s="2">
        <v>2</v>
      </c>
      <c r="I1179" s="2" t="s">
        <v>267</v>
      </c>
      <c r="J1179" s="2">
        <v>434</v>
      </c>
      <c r="K1179" s="2" t="s">
        <v>4419</v>
      </c>
      <c r="L1179" s="2" t="s">
        <v>946</v>
      </c>
      <c r="M1179" s="3">
        <v>40262</v>
      </c>
      <c r="N1179" s="2" t="s">
        <v>4460</v>
      </c>
      <c r="O1179" s="2" t="s">
        <v>4421</v>
      </c>
      <c r="P1179" s="2" t="s">
        <v>4422</v>
      </c>
      <c r="Q1179" s="2" t="str">
        <f>"0002/10"</f>
        <v>0002/10</v>
      </c>
      <c r="R1179" s="2"/>
      <c r="S1179" s="2" t="s">
        <v>4461</v>
      </c>
      <c r="T1179" s="2">
        <v>1</v>
      </c>
      <c r="U1179" s="2" t="s">
        <v>79</v>
      </c>
      <c r="V1179" s="2">
        <v>1</v>
      </c>
      <c r="W1179" s="2" t="s">
        <v>80</v>
      </c>
      <c r="X1179" s="2">
        <v>1</v>
      </c>
      <c r="Y1179" s="2" t="s">
        <v>81</v>
      </c>
      <c r="Z1179" s="2">
        <v>10</v>
      </c>
      <c r="AA1179" s="2" t="s">
        <v>236</v>
      </c>
      <c r="AB1179" s="2">
        <v>1</v>
      </c>
      <c r="AC1179" s="2" t="s">
        <v>178</v>
      </c>
      <c r="AD1179" s="3">
        <v>40262</v>
      </c>
      <c r="AE1179" s="4">
        <v>0.71875</v>
      </c>
      <c r="AF1179" s="3">
        <v>40262</v>
      </c>
      <c r="AG1179" s="4">
        <v>0.50347222222222221</v>
      </c>
      <c r="AH1179" s="2">
        <v>5</v>
      </c>
      <c r="AI1179" s="2" t="s">
        <v>274</v>
      </c>
      <c r="AJ1179" s="2">
        <v>35</v>
      </c>
      <c r="AK1179" s="2" t="s">
        <v>275</v>
      </c>
      <c r="AL1179" s="2">
        <v>18</v>
      </c>
      <c r="AM1179" s="2" t="s">
        <v>82</v>
      </c>
      <c r="AN1179" s="2" t="s">
        <v>4462</v>
      </c>
      <c r="AO1179" s="2" t="s">
        <v>4425</v>
      </c>
      <c r="AP1179" s="2">
        <v>11</v>
      </c>
      <c r="AQ1179" s="2" t="s">
        <v>82</v>
      </c>
      <c r="AR1179" s="2"/>
      <c r="AS1179" s="2"/>
      <c r="AT1179" s="2" t="s">
        <v>4463</v>
      </c>
      <c r="AU1179" s="2"/>
      <c r="AV1179" s="2"/>
      <c r="AW1179" s="2"/>
      <c r="AX1179" s="2"/>
      <c r="AY1179" s="2">
        <v>1</v>
      </c>
      <c r="AZ1179" s="2" t="s">
        <v>107</v>
      </c>
      <c r="BA1179" s="2">
        <v>1</v>
      </c>
      <c r="BB1179" s="2" t="s">
        <v>107</v>
      </c>
      <c r="BC1179" s="2">
        <v>1</v>
      </c>
      <c r="BD1179" s="2" t="s">
        <v>107</v>
      </c>
      <c r="BE1179" s="2">
        <v>1</v>
      </c>
      <c r="BF1179" s="2" t="s">
        <v>107</v>
      </c>
      <c r="BG1179" s="2"/>
      <c r="BH1179" s="2"/>
      <c r="BI1179" s="2"/>
      <c r="BJ1179" s="2">
        <v>242</v>
      </c>
      <c r="BK1179" s="2" t="s">
        <v>107</v>
      </c>
      <c r="BL1179" s="2"/>
      <c r="BM1179" s="2">
        <v>242</v>
      </c>
      <c r="BN1179" s="2" t="s">
        <v>107</v>
      </c>
      <c r="BO1179" s="2"/>
      <c r="BP1179" s="2">
        <v>242</v>
      </c>
      <c r="BQ1179" s="2" t="s">
        <v>107</v>
      </c>
      <c r="BR1179" s="2"/>
      <c r="BS1179" s="3">
        <v>40262</v>
      </c>
      <c r="BT1179" s="4">
        <v>0.9409143518518519</v>
      </c>
    </row>
    <row r="1180" spans="1:72" x14ac:dyDescent="0.25">
      <c r="A1180" s="2">
        <v>1807</v>
      </c>
      <c r="B1180" s="2">
        <v>2010</v>
      </c>
      <c r="C1180" s="2" t="s">
        <v>255</v>
      </c>
      <c r="D1180" s="2" t="s">
        <v>73</v>
      </c>
      <c r="E1180" s="2"/>
      <c r="F1180" s="2">
        <v>279</v>
      </c>
      <c r="G1180" s="2" t="s">
        <v>4464</v>
      </c>
      <c r="H1180" s="2">
        <v>42</v>
      </c>
      <c r="I1180" s="2" t="s">
        <v>1096</v>
      </c>
      <c r="J1180" s="2">
        <v>284</v>
      </c>
      <c r="K1180" s="2" t="s">
        <v>4465</v>
      </c>
      <c r="L1180" s="2" t="s">
        <v>4466</v>
      </c>
      <c r="M1180" s="3">
        <v>40262</v>
      </c>
      <c r="N1180" s="2" t="s">
        <v>4467</v>
      </c>
      <c r="O1180" s="2" t="s">
        <v>947</v>
      </c>
      <c r="P1180" s="2" t="s">
        <v>4468</v>
      </c>
      <c r="Q1180" s="2" t="str">
        <f>"0001/2010"</f>
        <v>0001/2010</v>
      </c>
      <c r="R1180" s="2" t="s">
        <v>947</v>
      </c>
      <c r="S1180" s="2"/>
      <c r="T1180" s="2">
        <v>1</v>
      </c>
      <c r="U1180" s="2" t="s">
        <v>79</v>
      </c>
      <c r="V1180" s="2">
        <v>1</v>
      </c>
      <c r="W1180" s="2" t="s">
        <v>80</v>
      </c>
      <c r="X1180" s="2">
        <v>5</v>
      </c>
      <c r="Y1180" s="2" t="s">
        <v>82</v>
      </c>
      <c r="Z1180" s="2">
        <v>10</v>
      </c>
      <c r="AA1180" s="2" t="s">
        <v>236</v>
      </c>
      <c r="AB1180" s="2">
        <v>9</v>
      </c>
      <c r="AC1180" s="2" t="s">
        <v>124</v>
      </c>
      <c r="AD1180" s="3">
        <v>40262</v>
      </c>
      <c r="AE1180" s="4">
        <v>0.88541666666666663</v>
      </c>
      <c r="AF1180" s="2"/>
      <c r="AG1180" s="2"/>
      <c r="AH1180" s="2">
        <v>3</v>
      </c>
      <c r="AI1180" s="2" t="s">
        <v>214</v>
      </c>
      <c r="AJ1180" s="2">
        <v>18</v>
      </c>
      <c r="AK1180" s="2" t="s">
        <v>4469</v>
      </c>
      <c r="AL1180" s="2">
        <v>9</v>
      </c>
      <c r="AM1180" s="2" t="s">
        <v>259</v>
      </c>
      <c r="AN1180" s="2" t="s">
        <v>4470</v>
      </c>
      <c r="AO1180" s="2" t="s">
        <v>4471</v>
      </c>
      <c r="AP1180" s="2">
        <v>11</v>
      </c>
      <c r="AQ1180" s="2" t="s">
        <v>82</v>
      </c>
      <c r="AR1180" s="2"/>
      <c r="AS1180" s="2"/>
      <c r="AT1180" s="2" t="s">
        <v>4472</v>
      </c>
      <c r="AU1180" s="2"/>
      <c r="AV1180" s="2"/>
      <c r="AW1180" s="2"/>
      <c r="AX1180" s="2"/>
      <c r="AY1180" s="2">
        <v>70</v>
      </c>
      <c r="AZ1180" s="2" t="s">
        <v>236</v>
      </c>
      <c r="BA1180" s="2">
        <v>70</v>
      </c>
      <c r="BB1180" s="2" t="s">
        <v>236</v>
      </c>
      <c r="BC1180" s="2">
        <v>41</v>
      </c>
      <c r="BD1180" s="2" t="s">
        <v>82</v>
      </c>
      <c r="BE1180" s="2">
        <v>45</v>
      </c>
      <c r="BF1180" s="2" t="s">
        <v>1855</v>
      </c>
      <c r="BG1180" s="2"/>
      <c r="BH1180" s="4">
        <v>0.88888888888888884</v>
      </c>
      <c r="BI1180" s="4">
        <v>0.83333333333333337</v>
      </c>
      <c r="BJ1180" s="2">
        <v>13</v>
      </c>
      <c r="BK1180" s="2" t="s">
        <v>91</v>
      </c>
      <c r="BL1180" s="2" t="s">
        <v>185</v>
      </c>
      <c r="BM1180" s="2">
        <v>13</v>
      </c>
      <c r="BN1180" s="2" t="s">
        <v>91</v>
      </c>
      <c r="BO1180" s="2"/>
      <c r="BP1180" s="2">
        <v>13</v>
      </c>
      <c r="BQ1180" s="2" t="s">
        <v>91</v>
      </c>
      <c r="BR1180" s="2" t="s">
        <v>2548</v>
      </c>
      <c r="BS1180" s="3">
        <v>40262</v>
      </c>
      <c r="BT1180" s="4">
        <v>0.99200231481481482</v>
      </c>
    </row>
    <row r="1181" spans="1:72" x14ac:dyDescent="0.25">
      <c r="A1181" s="2">
        <v>1809</v>
      </c>
      <c r="B1181" s="2">
        <v>2010</v>
      </c>
      <c r="C1181" s="2" t="s">
        <v>171</v>
      </c>
      <c r="D1181" s="2" t="s">
        <v>122</v>
      </c>
      <c r="E1181" s="2" t="s">
        <v>4473</v>
      </c>
      <c r="F1181" s="2">
        <v>159</v>
      </c>
      <c r="G1181" s="2" t="s">
        <v>3883</v>
      </c>
      <c r="H1181" s="2">
        <v>19</v>
      </c>
      <c r="I1181" s="2" t="s">
        <v>4355</v>
      </c>
      <c r="J1181" s="2">
        <v>172</v>
      </c>
      <c r="K1181" s="2" t="s">
        <v>3885</v>
      </c>
      <c r="L1181" s="2" t="s">
        <v>3886</v>
      </c>
      <c r="M1181" s="3">
        <v>40263</v>
      </c>
      <c r="N1181" s="2" t="s">
        <v>4356</v>
      </c>
      <c r="O1181" s="2" t="s">
        <v>107</v>
      </c>
      <c r="P1181" s="2" t="s">
        <v>107</v>
      </c>
      <c r="Q1181" s="2" t="str">
        <f>"119-A/10"</f>
        <v>119-A/10</v>
      </c>
      <c r="R1181" s="2" t="s">
        <v>1035</v>
      </c>
      <c r="S1181" s="2" t="s">
        <v>107</v>
      </c>
      <c r="T1181" s="2">
        <v>1</v>
      </c>
      <c r="U1181" s="2" t="s">
        <v>79</v>
      </c>
      <c r="V1181" s="2">
        <v>1</v>
      </c>
      <c r="W1181" s="2" t="s">
        <v>80</v>
      </c>
      <c r="X1181" s="2">
        <v>1</v>
      </c>
      <c r="Y1181" s="2" t="s">
        <v>81</v>
      </c>
      <c r="Z1181" s="2">
        <v>10</v>
      </c>
      <c r="AA1181" s="2" t="s">
        <v>236</v>
      </c>
      <c r="AB1181" s="2">
        <v>1</v>
      </c>
      <c r="AC1181" s="2" t="s">
        <v>178</v>
      </c>
      <c r="AD1181" s="3">
        <v>40262</v>
      </c>
      <c r="AE1181" s="4">
        <v>0.72222222222222221</v>
      </c>
      <c r="AF1181" s="3">
        <v>40262</v>
      </c>
      <c r="AG1181" s="4">
        <v>0.82291666666666663</v>
      </c>
      <c r="AH1181" s="2">
        <v>2</v>
      </c>
      <c r="AI1181" s="2" t="s">
        <v>84</v>
      </c>
      <c r="AJ1181" s="2">
        <v>12</v>
      </c>
      <c r="AK1181" s="2" t="s">
        <v>85</v>
      </c>
      <c r="AL1181" s="2">
        <v>11</v>
      </c>
      <c r="AM1181" s="2" t="s">
        <v>137</v>
      </c>
      <c r="AN1181" s="2" t="s">
        <v>919</v>
      </c>
      <c r="AO1181" s="2" t="s">
        <v>4451</v>
      </c>
      <c r="AP1181" s="2">
        <v>11</v>
      </c>
      <c r="AQ1181" s="2" t="s">
        <v>82</v>
      </c>
      <c r="AR1181" s="2"/>
      <c r="AS1181" s="2"/>
      <c r="AT1181" s="2" t="s">
        <v>4474</v>
      </c>
      <c r="AU1181" s="2">
        <v>1</v>
      </c>
      <c r="AV1181" s="2"/>
      <c r="AW1181" s="2"/>
      <c r="AX1181" s="2"/>
      <c r="AY1181" s="2">
        <v>41</v>
      </c>
      <c r="AZ1181" s="2" t="s">
        <v>82</v>
      </c>
      <c r="BA1181" s="2">
        <v>41</v>
      </c>
      <c r="BB1181" s="2" t="s">
        <v>82</v>
      </c>
      <c r="BC1181" s="2">
        <v>41</v>
      </c>
      <c r="BD1181" s="2" t="s">
        <v>82</v>
      </c>
      <c r="BE1181" s="2">
        <v>10</v>
      </c>
      <c r="BF1181" s="2" t="s">
        <v>901</v>
      </c>
      <c r="BG1181" s="2" t="s">
        <v>4453</v>
      </c>
      <c r="BH1181" s="4">
        <v>0.78125</v>
      </c>
      <c r="BI1181" s="4">
        <v>0.74652777777777779</v>
      </c>
      <c r="BJ1181" s="2">
        <v>13</v>
      </c>
      <c r="BK1181" s="2" t="s">
        <v>91</v>
      </c>
      <c r="BL1181" s="2" t="s">
        <v>185</v>
      </c>
      <c r="BM1181" s="2">
        <v>241</v>
      </c>
      <c r="BN1181" s="2" t="s">
        <v>82</v>
      </c>
      <c r="BO1181" s="2" t="s">
        <v>82</v>
      </c>
      <c r="BP1181" s="2">
        <v>229</v>
      </c>
      <c r="BQ1181" s="2" t="s">
        <v>300</v>
      </c>
      <c r="BR1181" s="2" t="s">
        <v>301</v>
      </c>
      <c r="BS1181" s="3">
        <v>40263</v>
      </c>
      <c r="BT1181" s="4">
        <v>0.34313657407407411</v>
      </c>
    </row>
    <row r="1182" spans="1:72" x14ac:dyDescent="0.25">
      <c r="A1182" s="2">
        <v>1810</v>
      </c>
      <c r="B1182" s="2">
        <v>2010</v>
      </c>
      <c r="C1182" s="2" t="s">
        <v>1094</v>
      </c>
      <c r="D1182" s="2" t="s">
        <v>73</v>
      </c>
      <c r="E1182" s="2"/>
      <c r="F1182" s="2">
        <v>252</v>
      </c>
      <c r="G1182" s="2" t="s">
        <v>4475</v>
      </c>
      <c r="H1182" s="2">
        <v>81</v>
      </c>
      <c r="I1182" s="2" t="s">
        <v>4476</v>
      </c>
      <c r="J1182" s="2">
        <v>482</v>
      </c>
      <c r="K1182" s="2" t="s">
        <v>4083</v>
      </c>
      <c r="L1182" s="2" t="s">
        <v>1908</v>
      </c>
      <c r="M1182" s="3">
        <v>40263</v>
      </c>
      <c r="N1182" s="2" t="s">
        <v>4477</v>
      </c>
      <c r="O1182" s="2" t="s">
        <v>82</v>
      </c>
      <c r="P1182" s="2" t="s">
        <v>82</v>
      </c>
      <c r="Q1182" s="2" t="str">
        <f>"120-A/10"</f>
        <v>120-A/10</v>
      </c>
      <c r="R1182" s="2" t="s">
        <v>82</v>
      </c>
      <c r="S1182" s="2" t="s">
        <v>4478</v>
      </c>
      <c r="T1182" s="2">
        <v>1</v>
      </c>
      <c r="U1182" s="2" t="s">
        <v>79</v>
      </c>
      <c r="V1182" s="2">
        <v>1</v>
      </c>
      <c r="W1182" s="2" t="s">
        <v>80</v>
      </c>
      <c r="X1182" s="2">
        <v>1</v>
      </c>
      <c r="Y1182" s="2" t="s">
        <v>81</v>
      </c>
      <c r="Z1182" s="2">
        <v>1</v>
      </c>
      <c r="AA1182" s="2" t="s">
        <v>82</v>
      </c>
      <c r="AB1182" s="2">
        <v>9</v>
      </c>
      <c r="AC1182" s="2" t="s">
        <v>124</v>
      </c>
      <c r="AD1182" s="3">
        <v>40262</v>
      </c>
      <c r="AE1182" s="4">
        <v>0.9375</v>
      </c>
      <c r="AF1182" s="3">
        <v>40262</v>
      </c>
      <c r="AG1182" s="4">
        <v>0.95833333333333337</v>
      </c>
      <c r="AH1182" s="2">
        <v>2</v>
      </c>
      <c r="AI1182" s="2" t="s">
        <v>84</v>
      </c>
      <c r="AJ1182" s="2">
        <v>12</v>
      </c>
      <c r="AK1182" s="2" t="s">
        <v>85</v>
      </c>
      <c r="AL1182" s="2">
        <v>12</v>
      </c>
      <c r="AM1182" s="2" t="s">
        <v>86</v>
      </c>
      <c r="AN1182" s="2" t="s">
        <v>560</v>
      </c>
      <c r="AO1182" s="2" t="s">
        <v>4479</v>
      </c>
      <c r="AP1182" s="2">
        <v>11</v>
      </c>
      <c r="AQ1182" s="2" t="s">
        <v>82</v>
      </c>
      <c r="AR1182" s="2" t="s">
        <v>82</v>
      </c>
      <c r="AS1182" s="2" t="s">
        <v>82</v>
      </c>
      <c r="AT1182" s="2" t="s">
        <v>4480</v>
      </c>
      <c r="AU1182" s="2">
        <v>2</v>
      </c>
      <c r="AV1182" s="2"/>
      <c r="AW1182" s="2"/>
      <c r="AX1182" s="2"/>
      <c r="AY1182" s="2">
        <v>41</v>
      </c>
      <c r="AZ1182" s="2" t="s">
        <v>82</v>
      </c>
      <c r="BA1182" s="2">
        <v>41</v>
      </c>
      <c r="BB1182" s="2" t="s">
        <v>82</v>
      </c>
      <c r="BC1182" s="2">
        <v>41</v>
      </c>
      <c r="BD1182" s="2" t="s">
        <v>82</v>
      </c>
      <c r="BE1182" s="2">
        <v>10</v>
      </c>
      <c r="BF1182" s="2" t="s">
        <v>901</v>
      </c>
      <c r="BG1182" s="2" t="s">
        <v>4481</v>
      </c>
      <c r="BH1182" s="4">
        <v>0.875</v>
      </c>
      <c r="BI1182" s="4">
        <v>0.83680555555555547</v>
      </c>
      <c r="BJ1182" s="2">
        <v>229</v>
      </c>
      <c r="BK1182" s="2" t="s">
        <v>300</v>
      </c>
      <c r="BL1182" s="2" t="s">
        <v>573</v>
      </c>
      <c r="BM1182" s="2">
        <v>241</v>
      </c>
      <c r="BN1182" s="2" t="s">
        <v>82</v>
      </c>
      <c r="BO1182" s="2" t="s">
        <v>82</v>
      </c>
      <c r="BP1182" s="2">
        <v>13</v>
      </c>
      <c r="BQ1182" s="2" t="s">
        <v>91</v>
      </c>
      <c r="BR1182" s="2" t="s">
        <v>3690</v>
      </c>
      <c r="BS1182" s="3">
        <v>40263</v>
      </c>
      <c r="BT1182" s="4">
        <v>0.38087962962962968</v>
      </c>
    </row>
    <row r="1183" spans="1:72" x14ac:dyDescent="0.25">
      <c r="A1183" s="2">
        <v>1810</v>
      </c>
      <c r="B1183" s="2">
        <v>2010</v>
      </c>
      <c r="C1183" s="2" t="s">
        <v>255</v>
      </c>
      <c r="D1183" s="2" t="s">
        <v>73</v>
      </c>
      <c r="E1183" s="2"/>
      <c r="F1183" s="2">
        <v>252</v>
      </c>
      <c r="G1183" s="2" t="s">
        <v>4475</v>
      </c>
      <c r="H1183" s="2">
        <v>81</v>
      </c>
      <c r="I1183" s="2" t="s">
        <v>4476</v>
      </c>
      <c r="J1183" s="2">
        <v>482</v>
      </c>
      <c r="K1183" s="2" t="s">
        <v>4083</v>
      </c>
      <c r="L1183" s="2" t="s">
        <v>1908</v>
      </c>
      <c r="M1183" s="3">
        <v>40263</v>
      </c>
      <c r="N1183" s="2" t="s">
        <v>4477</v>
      </c>
      <c r="O1183" s="2" t="s">
        <v>82</v>
      </c>
      <c r="P1183" s="2" t="s">
        <v>82</v>
      </c>
      <c r="Q1183" s="2" t="str">
        <f>"120-A/10"</f>
        <v>120-A/10</v>
      </c>
      <c r="R1183" s="2" t="s">
        <v>82</v>
      </c>
      <c r="S1183" s="2" t="s">
        <v>4478</v>
      </c>
      <c r="T1183" s="2">
        <v>1</v>
      </c>
      <c r="U1183" s="2" t="s">
        <v>79</v>
      </c>
      <c r="V1183" s="2">
        <v>1</v>
      </c>
      <c r="W1183" s="2" t="s">
        <v>80</v>
      </c>
      <c r="X1183" s="2">
        <v>1</v>
      </c>
      <c r="Y1183" s="2" t="s">
        <v>81</v>
      </c>
      <c r="Z1183" s="2">
        <v>1</v>
      </c>
      <c r="AA1183" s="2" t="s">
        <v>82</v>
      </c>
      <c r="AB1183" s="2">
        <v>9</v>
      </c>
      <c r="AC1183" s="2" t="s">
        <v>124</v>
      </c>
      <c r="AD1183" s="3">
        <v>40262</v>
      </c>
      <c r="AE1183" s="4">
        <v>0.9375</v>
      </c>
      <c r="AF1183" s="3">
        <v>40262</v>
      </c>
      <c r="AG1183" s="4">
        <v>0.95833333333333337</v>
      </c>
      <c r="AH1183" s="2">
        <v>2</v>
      </c>
      <c r="AI1183" s="2" t="s">
        <v>84</v>
      </c>
      <c r="AJ1183" s="2">
        <v>12</v>
      </c>
      <c r="AK1183" s="2" t="s">
        <v>85</v>
      </c>
      <c r="AL1183" s="2">
        <v>12</v>
      </c>
      <c r="AM1183" s="2" t="s">
        <v>86</v>
      </c>
      <c r="AN1183" s="2" t="s">
        <v>560</v>
      </c>
      <c r="AO1183" s="2" t="s">
        <v>4479</v>
      </c>
      <c r="AP1183" s="2">
        <v>11</v>
      </c>
      <c r="AQ1183" s="2" t="s">
        <v>82</v>
      </c>
      <c r="AR1183" s="2" t="s">
        <v>82</v>
      </c>
      <c r="AS1183" s="2" t="s">
        <v>82</v>
      </c>
      <c r="AT1183" s="2" t="s">
        <v>4480</v>
      </c>
      <c r="AU1183" s="2">
        <v>2</v>
      </c>
      <c r="AV1183" s="2"/>
      <c r="AW1183" s="2"/>
      <c r="AX1183" s="2"/>
      <c r="AY1183" s="2">
        <v>41</v>
      </c>
      <c r="AZ1183" s="2" t="s">
        <v>82</v>
      </c>
      <c r="BA1183" s="2">
        <v>41</v>
      </c>
      <c r="BB1183" s="2" t="s">
        <v>82</v>
      </c>
      <c r="BC1183" s="2">
        <v>41</v>
      </c>
      <c r="BD1183" s="2" t="s">
        <v>82</v>
      </c>
      <c r="BE1183" s="2">
        <v>10</v>
      </c>
      <c r="BF1183" s="2" t="s">
        <v>901</v>
      </c>
      <c r="BG1183" s="2" t="s">
        <v>4481</v>
      </c>
      <c r="BH1183" s="4">
        <v>0.875</v>
      </c>
      <c r="BI1183" s="4">
        <v>0.83680555555555547</v>
      </c>
      <c r="BJ1183" s="2">
        <v>229</v>
      </c>
      <c r="BK1183" s="2" t="s">
        <v>300</v>
      </c>
      <c r="BL1183" s="2" t="s">
        <v>573</v>
      </c>
      <c r="BM1183" s="2">
        <v>241</v>
      </c>
      <c r="BN1183" s="2" t="s">
        <v>82</v>
      </c>
      <c r="BO1183" s="2" t="s">
        <v>82</v>
      </c>
      <c r="BP1183" s="2">
        <v>13</v>
      </c>
      <c r="BQ1183" s="2" t="s">
        <v>91</v>
      </c>
      <c r="BR1183" s="2" t="s">
        <v>3690</v>
      </c>
      <c r="BS1183" s="3">
        <v>40263</v>
      </c>
      <c r="BT1183" s="4">
        <v>0.38087962962962968</v>
      </c>
    </row>
    <row r="1184" spans="1:72" x14ac:dyDescent="0.25">
      <c r="A1184" s="2">
        <v>1812</v>
      </c>
      <c r="B1184" s="2">
        <v>2010</v>
      </c>
      <c r="C1184" s="2" t="s">
        <v>128</v>
      </c>
      <c r="D1184" s="2" t="s">
        <v>73</v>
      </c>
      <c r="E1184" s="2"/>
      <c r="F1184" s="2">
        <v>121</v>
      </c>
      <c r="G1184" s="2" t="s">
        <v>2501</v>
      </c>
      <c r="H1184" s="2">
        <v>39</v>
      </c>
      <c r="I1184" s="2" t="s">
        <v>1117</v>
      </c>
      <c r="J1184" s="2">
        <v>135</v>
      </c>
      <c r="K1184" s="2" t="s">
        <v>2502</v>
      </c>
      <c r="L1184" s="2" t="s">
        <v>2503</v>
      </c>
      <c r="M1184" s="3">
        <v>40263</v>
      </c>
      <c r="N1184" s="2" t="s">
        <v>4482</v>
      </c>
      <c r="O1184" s="2" t="s">
        <v>4483</v>
      </c>
      <c r="P1184" s="2" t="s">
        <v>4484</v>
      </c>
      <c r="Q1184" s="2" t="str">
        <f>""</f>
        <v/>
      </c>
      <c r="R1184" s="2"/>
      <c r="S1184" s="2"/>
      <c r="T1184" s="2">
        <v>1</v>
      </c>
      <c r="U1184" s="2" t="s">
        <v>79</v>
      </c>
      <c r="V1184" s="2">
        <v>3</v>
      </c>
      <c r="W1184" s="2" t="s">
        <v>225</v>
      </c>
      <c r="X1184" s="2">
        <v>6</v>
      </c>
      <c r="Y1184" s="2" t="s">
        <v>249</v>
      </c>
      <c r="Z1184" s="2">
        <v>1</v>
      </c>
      <c r="AA1184" s="2" t="s">
        <v>82</v>
      </c>
      <c r="AB1184" s="2">
        <v>9</v>
      </c>
      <c r="AC1184" s="2" t="s">
        <v>124</v>
      </c>
      <c r="AD1184" s="3">
        <v>40260</v>
      </c>
      <c r="AE1184" s="2"/>
      <c r="AF1184" s="2"/>
      <c r="AG1184" s="2"/>
      <c r="AH1184" s="2">
        <v>6</v>
      </c>
      <c r="AI1184" s="2" t="s">
        <v>197</v>
      </c>
      <c r="AJ1184" s="2">
        <v>47</v>
      </c>
      <c r="AK1184" s="2" t="s">
        <v>250</v>
      </c>
      <c r="AL1184" s="2">
        <v>23</v>
      </c>
      <c r="AM1184" s="2" t="s">
        <v>251</v>
      </c>
      <c r="AN1184" s="2" t="s">
        <v>82</v>
      </c>
      <c r="AO1184" s="2" t="s">
        <v>82</v>
      </c>
      <c r="AP1184" s="2">
        <v>11</v>
      </c>
      <c r="AQ1184" s="2" t="s">
        <v>82</v>
      </c>
      <c r="AR1184" s="2" t="s">
        <v>82</v>
      </c>
      <c r="AS1184" s="2" t="s">
        <v>82</v>
      </c>
      <c r="AT1184" s="2" t="s">
        <v>4485</v>
      </c>
      <c r="AU1184" s="2"/>
      <c r="AV1184" s="2"/>
      <c r="AW1184" s="2"/>
      <c r="AX1184" s="2"/>
      <c r="AY1184" s="2">
        <v>41</v>
      </c>
      <c r="AZ1184" s="2" t="s">
        <v>82</v>
      </c>
      <c r="BA1184" s="2">
        <v>41</v>
      </c>
      <c r="BB1184" s="2" t="s">
        <v>82</v>
      </c>
      <c r="BC1184" s="2">
        <v>41</v>
      </c>
      <c r="BD1184" s="2" t="s">
        <v>82</v>
      </c>
      <c r="BE1184" s="2">
        <v>41</v>
      </c>
      <c r="BF1184" s="2" t="s">
        <v>82</v>
      </c>
      <c r="BG1184" s="2" t="s">
        <v>82</v>
      </c>
      <c r="BH1184" s="2"/>
      <c r="BI1184" s="2"/>
      <c r="BJ1184" s="2">
        <v>241</v>
      </c>
      <c r="BK1184" s="2" t="s">
        <v>82</v>
      </c>
      <c r="BL1184" s="2" t="s">
        <v>82</v>
      </c>
      <c r="BM1184" s="2">
        <v>241</v>
      </c>
      <c r="BN1184" s="2" t="s">
        <v>82</v>
      </c>
      <c r="BO1184" s="2" t="s">
        <v>82</v>
      </c>
      <c r="BP1184" s="2">
        <v>241</v>
      </c>
      <c r="BQ1184" s="2" t="s">
        <v>82</v>
      </c>
      <c r="BR1184" s="2" t="s">
        <v>82</v>
      </c>
      <c r="BS1184" s="3">
        <v>40263</v>
      </c>
      <c r="BT1184" s="4">
        <v>0.39266203703703706</v>
      </c>
    </row>
    <row r="1185" spans="1:72" x14ac:dyDescent="0.25">
      <c r="A1185" s="2">
        <v>1813</v>
      </c>
      <c r="B1185" s="2">
        <v>2010</v>
      </c>
      <c r="C1185" s="2" t="s">
        <v>93</v>
      </c>
      <c r="D1185" s="2" t="s">
        <v>73</v>
      </c>
      <c r="E1185" s="2"/>
      <c r="F1185" s="2">
        <v>570</v>
      </c>
      <c r="G1185" s="2" t="s">
        <v>4486</v>
      </c>
      <c r="H1185" s="2">
        <v>17</v>
      </c>
      <c r="I1185" s="2" t="s">
        <v>3602</v>
      </c>
      <c r="J1185" s="2">
        <v>316</v>
      </c>
      <c r="K1185" s="2" t="s">
        <v>574</v>
      </c>
      <c r="L1185" s="2" t="s">
        <v>575</v>
      </c>
      <c r="M1185" s="3">
        <v>40263</v>
      </c>
      <c r="N1185" s="2" t="s">
        <v>4487</v>
      </c>
      <c r="O1185" s="2" t="s">
        <v>4488</v>
      </c>
      <c r="P1185" s="2">
        <v>6954</v>
      </c>
      <c r="Q1185" s="2" t="str">
        <f>"0032/10"</f>
        <v>0032/10</v>
      </c>
      <c r="R1185" s="2" t="s">
        <v>3752</v>
      </c>
      <c r="S1185" s="2"/>
      <c r="T1185" s="2">
        <v>1</v>
      </c>
      <c r="U1185" s="2" t="s">
        <v>79</v>
      </c>
      <c r="V1185" s="2">
        <v>1</v>
      </c>
      <c r="W1185" s="2" t="s">
        <v>80</v>
      </c>
      <c r="X1185" s="2">
        <v>3</v>
      </c>
      <c r="Y1185" s="2" t="s">
        <v>698</v>
      </c>
      <c r="Z1185" s="2">
        <v>9</v>
      </c>
      <c r="AA1185" s="2" t="s">
        <v>1119</v>
      </c>
      <c r="AB1185" s="2">
        <v>2</v>
      </c>
      <c r="AC1185" s="2" t="s">
        <v>102</v>
      </c>
      <c r="AD1185" s="3">
        <v>40262</v>
      </c>
      <c r="AE1185" s="4">
        <v>0.90416666666666667</v>
      </c>
      <c r="AF1185" s="2"/>
      <c r="AG1185" s="2"/>
      <c r="AH1185" s="2">
        <v>5</v>
      </c>
      <c r="AI1185" s="2" t="s">
        <v>274</v>
      </c>
      <c r="AJ1185" s="2">
        <v>38</v>
      </c>
      <c r="AK1185" s="2" t="s">
        <v>1120</v>
      </c>
      <c r="AL1185" s="2">
        <v>11</v>
      </c>
      <c r="AM1185" s="2" t="s">
        <v>137</v>
      </c>
      <c r="AN1185" s="2"/>
      <c r="AO1185" s="2"/>
      <c r="AP1185" s="2">
        <v>11</v>
      </c>
      <c r="AQ1185" s="2" t="s">
        <v>82</v>
      </c>
      <c r="AR1185" s="2"/>
      <c r="AS1185" s="2"/>
      <c r="AT1185" s="2" t="s">
        <v>4489</v>
      </c>
      <c r="AU1185" s="2"/>
      <c r="AV1185" s="2"/>
      <c r="AW1185" s="2"/>
      <c r="AX1185" s="2"/>
      <c r="AY1185" s="2">
        <v>41</v>
      </c>
      <c r="AZ1185" s="2" t="s">
        <v>82</v>
      </c>
      <c r="BA1185" s="2">
        <v>41</v>
      </c>
      <c r="BB1185" s="2" t="s">
        <v>82</v>
      </c>
      <c r="BC1185" s="2">
        <v>41</v>
      </c>
      <c r="BD1185" s="2" t="s">
        <v>82</v>
      </c>
      <c r="BE1185" s="2">
        <v>13</v>
      </c>
      <c r="BF1185" s="2" t="s">
        <v>108</v>
      </c>
      <c r="BG1185" s="2">
        <v>1737</v>
      </c>
      <c r="BH1185" s="4">
        <v>0.89583333333333337</v>
      </c>
      <c r="BI1185" s="4">
        <v>0.92361111111111116</v>
      </c>
      <c r="BJ1185" s="2">
        <v>13</v>
      </c>
      <c r="BK1185" s="2" t="s">
        <v>91</v>
      </c>
      <c r="BL1185" s="2" t="s">
        <v>3140</v>
      </c>
      <c r="BM1185" s="2">
        <v>13</v>
      </c>
      <c r="BN1185" s="2" t="s">
        <v>91</v>
      </c>
      <c r="BO1185" s="2"/>
      <c r="BP1185" s="2">
        <v>13</v>
      </c>
      <c r="BQ1185" s="2" t="s">
        <v>91</v>
      </c>
      <c r="BR1185" s="2" t="s">
        <v>185</v>
      </c>
      <c r="BS1185" s="3">
        <v>40263</v>
      </c>
      <c r="BT1185" s="4">
        <v>0.43809027777777776</v>
      </c>
    </row>
    <row r="1186" spans="1:72" x14ac:dyDescent="0.25">
      <c r="A1186" s="2">
        <v>1814</v>
      </c>
      <c r="B1186" s="2">
        <v>2010</v>
      </c>
      <c r="C1186" s="2" t="s">
        <v>171</v>
      </c>
      <c r="D1186" s="2" t="s">
        <v>73</v>
      </c>
      <c r="E1186" s="2"/>
      <c r="F1186" s="2">
        <v>159</v>
      </c>
      <c r="G1186" s="2" t="s">
        <v>3883</v>
      </c>
      <c r="H1186" s="2">
        <v>19</v>
      </c>
      <c r="I1186" s="2" t="s">
        <v>4355</v>
      </c>
      <c r="J1186" s="2">
        <v>172</v>
      </c>
      <c r="K1186" s="2" t="s">
        <v>3885</v>
      </c>
      <c r="L1186" s="2" t="s">
        <v>3886</v>
      </c>
      <c r="M1186" s="3">
        <v>40263</v>
      </c>
      <c r="N1186" s="2" t="s">
        <v>4356</v>
      </c>
      <c r="O1186" s="2" t="s">
        <v>82</v>
      </c>
      <c r="P1186" s="2" t="s">
        <v>82</v>
      </c>
      <c r="Q1186" s="2" t="str">
        <f>"121-A/10"</f>
        <v>121-A/10</v>
      </c>
      <c r="R1186" s="2" t="s">
        <v>82</v>
      </c>
      <c r="S1186" s="2" t="s">
        <v>1035</v>
      </c>
      <c r="T1186" s="2">
        <v>1</v>
      </c>
      <c r="U1186" s="2" t="s">
        <v>79</v>
      </c>
      <c r="V1186" s="2">
        <v>1</v>
      </c>
      <c r="W1186" s="2" t="s">
        <v>80</v>
      </c>
      <c r="X1186" s="2">
        <v>1</v>
      </c>
      <c r="Y1186" s="2" t="s">
        <v>81</v>
      </c>
      <c r="Z1186" s="2">
        <v>1</v>
      </c>
      <c r="AA1186" s="2" t="s">
        <v>82</v>
      </c>
      <c r="AB1186" s="2">
        <v>1</v>
      </c>
      <c r="AC1186" s="2" t="s">
        <v>178</v>
      </c>
      <c r="AD1186" s="3">
        <v>40263</v>
      </c>
      <c r="AE1186" s="4">
        <v>0.25</v>
      </c>
      <c r="AF1186" s="3">
        <v>40263</v>
      </c>
      <c r="AG1186" s="4">
        <v>0.34027777777777773</v>
      </c>
      <c r="AH1186" s="2">
        <v>2</v>
      </c>
      <c r="AI1186" s="2" t="s">
        <v>84</v>
      </c>
      <c r="AJ1186" s="2">
        <v>12</v>
      </c>
      <c r="AK1186" s="2" t="s">
        <v>85</v>
      </c>
      <c r="AL1186" s="2">
        <v>14</v>
      </c>
      <c r="AM1186" s="2" t="s">
        <v>216</v>
      </c>
      <c r="AN1186" s="2" t="s">
        <v>4490</v>
      </c>
      <c r="AO1186" s="2" t="s">
        <v>137</v>
      </c>
      <c r="AP1186" s="2">
        <v>11</v>
      </c>
      <c r="AQ1186" s="2" t="s">
        <v>82</v>
      </c>
      <c r="AR1186" s="2" t="s">
        <v>82</v>
      </c>
      <c r="AS1186" s="2" t="s">
        <v>82</v>
      </c>
      <c r="AT1186" s="2" t="s">
        <v>4491</v>
      </c>
      <c r="AU1186" s="2">
        <v>1</v>
      </c>
      <c r="AV1186" s="2"/>
      <c r="AW1186" s="2"/>
      <c r="AX1186" s="2"/>
      <c r="AY1186" s="2">
        <v>41</v>
      </c>
      <c r="AZ1186" s="2" t="s">
        <v>82</v>
      </c>
      <c r="BA1186" s="2">
        <v>41</v>
      </c>
      <c r="BB1186" s="2" t="s">
        <v>82</v>
      </c>
      <c r="BC1186" s="2">
        <v>41</v>
      </c>
      <c r="BD1186" s="2" t="s">
        <v>82</v>
      </c>
      <c r="BE1186" s="2">
        <v>4</v>
      </c>
      <c r="BF1186" s="2" t="s">
        <v>90</v>
      </c>
      <c r="BG1186" s="2" t="s">
        <v>4492</v>
      </c>
      <c r="BH1186" s="4">
        <v>0.32291666666666669</v>
      </c>
      <c r="BI1186" s="4">
        <v>0.26041666666666669</v>
      </c>
      <c r="BJ1186" s="2">
        <v>13</v>
      </c>
      <c r="BK1186" s="2" t="s">
        <v>91</v>
      </c>
      <c r="BL1186" s="2" t="s">
        <v>3690</v>
      </c>
      <c r="BM1186" s="2">
        <v>241</v>
      </c>
      <c r="BN1186" s="2" t="s">
        <v>82</v>
      </c>
      <c r="BO1186" s="2" t="s">
        <v>82</v>
      </c>
      <c r="BP1186" s="2">
        <v>13</v>
      </c>
      <c r="BQ1186" s="2" t="s">
        <v>91</v>
      </c>
      <c r="BR1186" s="2" t="s">
        <v>744</v>
      </c>
      <c r="BS1186" s="3">
        <v>40263</v>
      </c>
      <c r="BT1186" s="4">
        <v>0.45694444444444443</v>
      </c>
    </row>
    <row r="1187" spans="1:72" x14ac:dyDescent="0.25">
      <c r="A1187" s="2">
        <v>1818</v>
      </c>
      <c r="B1187" s="2">
        <v>2010</v>
      </c>
      <c r="C1187" s="2" t="s">
        <v>196</v>
      </c>
      <c r="D1187" s="2" t="s">
        <v>122</v>
      </c>
      <c r="E1187" s="2"/>
      <c r="F1187" s="2">
        <v>1</v>
      </c>
      <c r="G1187" s="2" t="s">
        <v>82</v>
      </c>
      <c r="H1187" s="2">
        <v>1</v>
      </c>
      <c r="I1187" s="2" t="s">
        <v>82</v>
      </c>
      <c r="J1187" s="2">
        <v>1</v>
      </c>
      <c r="K1187" s="2" t="s">
        <v>107</v>
      </c>
      <c r="L1187" s="2" t="s">
        <v>107</v>
      </c>
      <c r="M1187" s="3">
        <v>40263</v>
      </c>
      <c r="N1187" s="2" t="s">
        <v>82</v>
      </c>
      <c r="O1187" s="2" t="s">
        <v>82</v>
      </c>
      <c r="P1187" s="2" t="s">
        <v>82</v>
      </c>
      <c r="Q1187" s="2" t="str">
        <f>"N/C"</f>
        <v>N/C</v>
      </c>
      <c r="R1187" s="2" t="s">
        <v>82</v>
      </c>
      <c r="S1187" s="2" t="s">
        <v>82</v>
      </c>
      <c r="T1187" s="2">
        <v>2</v>
      </c>
      <c r="U1187" s="2" t="s">
        <v>123</v>
      </c>
      <c r="V1187" s="2">
        <v>1</v>
      </c>
      <c r="W1187" s="2" t="s">
        <v>80</v>
      </c>
      <c r="X1187" s="2">
        <v>1</v>
      </c>
      <c r="Y1187" s="2" t="s">
        <v>81</v>
      </c>
      <c r="Z1187" s="2">
        <v>1</v>
      </c>
      <c r="AA1187" s="2" t="s">
        <v>82</v>
      </c>
      <c r="AB1187" s="2">
        <v>9</v>
      </c>
      <c r="AC1187" s="2" t="s">
        <v>124</v>
      </c>
      <c r="AD1187" s="3">
        <v>40263</v>
      </c>
      <c r="AE1187" s="4">
        <v>0.35416666666666669</v>
      </c>
      <c r="AF1187" s="2"/>
      <c r="AG1187" s="2"/>
      <c r="AH1187" s="2">
        <v>2</v>
      </c>
      <c r="AI1187" s="2" t="s">
        <v>84</v>
      </c>
      <c r="AJ1187" s="2">
        <v>12</v>
      </c>
      <c r="AK1187" s="2" t="s">
        <v>85</v>
      </c>
      <c r="AL1187" s="2">
        <v>20</v>
      </c>
      <c r="AM1187" s="2" t="s">
        <v>992</v>
      </c>
      <c r="AN1187" s="2" t="s">
        <v>82</v>
      </c>
      <c r="AO1187" s="2" t="s">
        <v>4493</v>
      </c>
      <c r="AP1187" s="2">
        <v>11</v>
      </c>
      <c r="AQ1187" s="2" t="s">
        <v>82</v>
      </c>
      <c r="AR1187" s="2" t="s">
        <v>82</v>
      </c>
      <c r="AS1187" s="2" t="s">
        <v>82</v>
      </c>
      <c r="AT1187" s="2" t="s">
        <v>4494</v>
      </c>
      <c r="AU1187" s="2"/>
      <c r="AV1187" s="2"/>
      <c r="AW1187" s="2"/>
      <c r="AX1187" s="2"/>
      <c r="AY1187" s="2">
        <v>41</v>
      </c>
      <c r="AZ1187" s="2" t="s">
        <v>82</v>
      </c>
      <c r="BA1187" s="2">
        <v>41</v>
      </c>
      <c r="BB1187" s="2" t="s">
        <v>82</v>
      </c>
      <c r="BC1187" s="2">
        <v>41</v>
      </c>
      <c r="BD1187" s="2" t="s">
        <v>82</v>
      </c>
      <c r="BE1187" s="2">
        <v>41</v>
      </c>
      <c r="BF1187" s="2" t="s">
        <v>82</v>
      </c>
      <c r="BG1187" s="2" t="s">
        <v>82</v>
      </c>
      <c r="BH1187" s="4">
        <v>0.46875</v>
      </c>
      <c r="BI1187" s="4">
        <v>0.47916666666666669</v>
      </c>
      <c r="BJ1187" s="2">
        <v>13</v>
      </c>
      <c r="BK1187" s="2" t="s">
        <v>91</v>
      </c>
      <c r="BL1187" s="2" t="s">
        <v>185</v>
      </c>
      <c r="BM1187" s="2">
        <v>241</v>
      </c>
      <c r="BN1187" s="2" t="s">
        <v>82</v>
      </c>
      <c r="BO1187" s="2" t="s">
        <v>82</v>
      </c>
      <c r="BP1187" s="2">
        <v>29</v>
      </c>
      <c r="BQ1187" s="2" t="s">
        <v>962</v>
      </c>
      <c r="BR1187" s="2" t="s">
        <v>107</v>
      </c>
      <c r="BS1187" s="3">
        <v>40263</v>
      </c>
      <c r="BT1187" s="4">
        <v>0.49413194444444447</v>
      </c>
    </row>
    <row r="1188" spans="1:72" x14ac:dyDescent="0.25">
      <c r="A1188" s="2">
        <v>1820</v>
      </c>
      <c r="B1188" s="2">
        <v>2010</v>
      </c>
      <c r="C1188" s="2" t="s">
        <v>171</v>
      </c>
      <c r="D1188" s="2" t="s">
        <v>73</v>
      </c>
      <c r="E1188" s="2"/>
      <c r="F1188" s="2">
        <v>100</v>
      </c>
      <c r="G1188" s="2" t="s">
        <v>517</v>
      </c>
      <c r="H1188" s="2">
        <v>47</v>
      </c>
      <c r="I1188" s="2" t="s">
        <v>1409</v>
      </c>
      <c r="J1188" s="2">
        <v>500</v>
      </c>
      <c r="K1188" s="2" t="s">
        <v>4495</v>
      </c>
      <c r="L1188" s="2" t="s">
        <v>4496</v>
      </c>
      <c r="M1188" s="3">
        <v>40263</v>
      </c>
      <c r="N1188" s="2" t="s">
        <v>4497</v>
      </c>
      <c r="O1188" s="2" t="s">
        <v>4498</v>
      </c>
      <c r="P1188" s="2" t="s">
        <v>4499</v>
      </c>
      <c r="Q1188" s="2" t="str">
        <f>"N/C"</f>
        <v>N/C</v>
      </c>
      <c r="R1188" s="2" t="s">
        <v>82</v>
      </c>
      <c r="S1188" s="2" t="s">
        <v>82</v>
      </c>
      <c r="T1188" s="2">
        <v>1</v>
      </c>
      <c r="U1188" s="2" t="s">
        <v>79</v>
      </c>
      <c r="V1188" s="2">
        <v>3</v>
      </c>
      <c r="W1188" s="2" t="s">
        <v>225</v>
      </c>
      <c r="X1188" s="2">
        <v>2</v>
      </c>
      <c r="Y1188" s="2" t="s">
        <v>136</v>
      </c>
      <c r="Z1188" s="2">
        <v>1</v>
      </c>
      <c r="AA1188" s="2" t="s">
        <v>82</v>
      </c>
      <c r="AB1188" s="2">
        <v>9</v>
      </c>
      <c r="AC1188" s="2" t="s">
        <v>124</v>
      </c>
      <c r="AD1188" s="3">
        <v>40262</v>
      </c>
      <c r="AE1188" s="2"/>
      <c r="AF1188" s="2"/>
      <c r="AG1188" s="2"/>
      <c r="AH1188" s="2">
        <v>6</v>
      </c>
      <c r="AI1188" s="2" t="s">
        <v>197</v>
      </c>
      <c r="AJ1188" s="2">
        <v>47</v>
      </c>
      <c r="AK1188" s="2" t="s">
        <v>250</v>
      </c>
      <c r="AL1188" s="2">
        <v>23</v>
      </c>
      <c r="AM1188" s="2" t="s">
        <v>251</v>
      </c>
      <c r="AN1188" s="2" t="s">
        <v>82</v>
      </c>
      <c r="AO1188" s="2" t="s">
        <v>82</v>
      </c>
      <c r="AP1188" s="2">
        <v>11</v>
      </c>
      <c r="AQ1188" s="2" t="s">
        <v>82</v>
      </c>
      <c r="AR1188" s="2" t="s">
        <v>82</v>
      </c>
      <c r="AS1188" s="2" t="s">
        <v>82</v>
      </c>
      <c r="AT1188" s="2" t="s">
        <v>4500</v>
      </c>
      <c r="AU1188" s="2"/>
      <c r="AV1188" s="2"/>
      <c r="AW1188" s="2"/>
      <c r="AX1188" s="2"/>
      <c r="AY1188" s="2">
        <v>41</v>
      </c>
      <c r="AZ1188" s="2" t="s">
        <v>82</v>
      </c>
      <c r="BA1188" s="2">
        <v>41</v>
      </c>
      <c r="BB1188" s="2" t="s">
        <v>82</v>
      </c>
      <c r="BC1188" s="2">
        <v>41</v>
      </c>
      <c r="BD1188" s="2" t="s">
        <v>82</v>
      </c>
      <c r="BE1188" s="2">
        <v>41</v>
      </c>
      <c r="BF1188" s="2" t="s">
        <v>82</v>
      </c>
      <c r="BG1188" s="2" t="s">
        <v>82</v>
      </c>
      <c r="BH1188" s="2"/>
      <c r="BI1188" s="2"/>
      <c r="BJ1188" s="2">
        <v>241</v>
      </c>
      <c r="BK1188" s="2" t="s">
        <v>82</v>
      </c>
      <c r="BL1188" s="2" t="s">
        <v>82</v>
      </c>
      <c r="BM1188" s="2">
        <v>241</v>
      </c>
      <c r="BN1188" s="2" t="s">
        <v>82</v>
      </c>
      <c r="BO1188" s="2" t="s">
        <v>82</v>
      </c>
      <c r="BP1188" s="2">
        <v>241</v>
      </c>
      <c r="BQ1188" s="2" t="s">
        <v>82</v>
      </c>
      <c r="BR1188" s="2" t="s">
        <v>82</v>
      </c>
      <c r="BS1188" s="3">
        <v>40263</v>
      </c>
      <c r="BT1188" s="4">
        <v>0.51918981481481474</v>
      </c>
    </row>
    <row r="1189" spans="1:72" x14ac:dyDescent="0.25">
      <c r="A1189" s="2">
        <v>1821</v>
      </c>
      <c r="B1189" s="2">
        <v>2010</v>
      </c>
      <c r="C1189" s="2" t="s">
        <v>806</v>
      </c>
      <c r="D1189" s="2" t="s">
        <v>73</v>
      </c>
      <c r="E1189" s="2"/>
      <c r="F1189" s="2">
        <v>11</v>
      </c>
      <c r="G1189" s="2" t="s">
        <v>2454</v>
      </c>
      <c r="H1189" s="2">
        <v>61</v>
      </c>
      <c r="I1189" s="2" t="s">
        <v>3043</v>
      </c>
      <c r="J1189" s="2">
        <v>19</v>
      </c>
      <c r="K1189" s="2" t="s">
        <v>2144</v>
      </c>
      <c r="L1189" s="2" t="s">
        <v>2145</v>
      </c>
      <c r="M1189" s="3">
        <v>40263</v>
      </c>
      <c r="N1189" s="2" t="s">
        <v>3358</v>
      </c>
      <c r="O1189" s="2" t="s">
        <v>4501</v>
      </c>
      <c r="P1189" s="2">
        <v>14573</v>
      </c>
      <c r="Q1189" s="2" t="str">
        <f>"09/10"</f>
        <v>09/10</v>
      </c>
      <c r="R1189" s="2" t="s">
        <v>82</v>
      </c>
      <c r="S1189" s="2" t="s">
        <v>4502</v>
      </c>
      <c r="T1189" s="2">
        <v>1</v>
      </c>
      <c r="U1189" s="2" t="s">
        <v>79</v>
      </c>
      <c r="V1189" s="2">
        <v>3</v>
      </c>
      <c r="W1189" s="2" t="s">
        <v>225</v>
      </c>
      <c r="X1189" s="2">
        <v>9</v>
      </c>
      <c r="Y1189" s="2" t="s">
        <v>3393</v>
      </c>
      <c r="Z1189" s="2">
        <v>1</v>
      </c>
      <c r="AA1189" s="2" t="s">
        <v>82</v>
      </c>
      <c r="AB1189" s="2">
        <v>9</v>
      </c>
      <c r="AC1189" s="2" t="s">
        <v>124</v>
      </c>
      <c r="AD1189" s="3">
        <v>40263</v>
      </c>
      <c r="AE1189" s="4">
        <v>0.47916666666666669</v>
      </c>
      <c r="AF1189" s="2"/>
      <c r="AG1189" s="2"/>
      <c r="AH1189" s="2">
        <v>3</v>
      </c>
      <c r="AI1189" s="2" t="s">
        <v>214</v>
      </c>
      <c r="AJ1189" s="2">
        <v>14</v>
      </c>
      <c r="AK1189" s="2" t="s">
        <v>342</v>
      </c>
      <c r="AL1189" s="2">
        <v>23</v>
      </c>
      <c r="AM1189" s="2" t="s">
        <v>251</v>
      </c>
      <c r="AN1189" s="2"/>
      <c r="AO1189" s="2" t="s">
        <v>4503</v>
      </c>
      <c r="AP1189" s="2">
        <v>11</v>
      </c>
      <c r="AQ1189" s="2" t="s">
        <v>82</v>
      </c>
      <c r="AR1189" s="2"/>
      <c r="AS1189" s="2"/>
      <c r="AT1189" s="2" t="s">
        <v>4504</v>
      </c>
      <c r="AU1189" s="2"/>
      <c r="AV1189" s="2"/>
      <c r="AW1189" s="2"/>
      <c r="AX1189" s="2"/>
      <c r="AY1189" s="2">
        <v>1</v>
      </c>
      <c r="AZ1189" s="2" t="s">
        <v>107</v>
      </c>
      <c r="BA1189" s="2">
        <v>1</v>
      </c>
      <c r="BB1189" s="2" t="s">
        <v>107</v>
      </c>
      <c r="BC1189" s="2">
        <v>1</v>
      </c>
      <c r="BD1189" s="2" t="s">
        <v>107</v>
      </c>
      <c r="BE1189" s="2">
        <v>1</v>
      </c>
      <c r="BF1189" s="2" t="s">
        <v>107</v>
      </c>
      <c r="BG1189" s="2"/>
      <c r="BH1189" s="2"/>
      <c r="BI1189" s="2"/>
      <c r="BJ1189" s="2">
        <v>242</v>
      </c>
      <c r="BK1189" s="2" t="s">
        <v>107</v>
      </c>
      <c r="BL1189" s="2"/>
      <c r="BM1189" s="2">
        <v>242</v>
      </c>
      <c r="BN1189" s="2" t="s">
        <v>107</v>
      </c>
      <c r="BO1189" s="2"/>
      <c r="BP1189" s="2">
        <v>242</v>
      </c>
      <c r="BQ1189" s="2" t="s">
        <v>107</v>
      </c>
      <c r="BR1189" s="2"/>
      <c r="BS1189" s="3">
        <v>40263</v>
      </c>
      <c r="BT1189" s="4">
        <v>0.53252314814814816</v>
      </c>
    </row>
    <row r="1190" spans="1:72" x14ac:dyDescent="0.25">
      <c r="A1190" s="2">
        <v>1824</v>
      </c>
      <c r="B1190" s="2">
        <v>2010</v>
      </c>
      <c r="C1190" s="2" t="s">
        <v>625</v>
      </c>
      <c r="D1190" s="2" t="s">
        <v>73</v>
      </c>
      <c r="E1190" s="2"/>
      <c r="F1190" s="2">
        <v>49</v>
      </c>
      <c r="G1190" s="2" t="s">
        <v>4412</v>
      </c>
      <c r="H1190" s="2">
        <v>42</v>
      </c>
      <c r="I1190" s="2" t="s">
        <v>1096</v>
      </c>
      <c r="J1190" s="2">
        <v>85</v>
      </c>
      <c r="K1190" s="2" t="s">
        <v>4413</v>
      </c>
      <c r="L1190" s="2" t="s">
        <v>4414</v>
      </c>
      <c r="M1190" s="3">
        <v>40263</v>
      </c>
      <c r="N1190" s="2" t="s">
        <v>4505</v>
      </c>
      <c r="O1190" s="2"/>
      <c r="P1190" s="2"/>
      <c r="Q1190" s="2" t="str">
        <f>"04/09"</f>
        <v>04/09</v>
      </c>
      <c r="R1190" s="2"/>
      <c r="S1190" s="2" t="s">
        <v>4416</v>
      </c>
      <c r="T1190" s="2">
        <v>1</v>
      </c>
      <c r="U1190" s="2" t="s">
        <v>79</v>
      </c>
      <c r="V1190" s="2">
        <v>1</v>
      </c>
      <c r="W1190" s="2" t="s">
        <v>80</v>
      </c>
      <c r="X1190" s="2">
        <v>3</v>
      </c>
      <c r="Y1190" s="2" t="s">
        <v>698</v>
      </c>
      <c r="Z1190" s="2">
        <v>22</v>
      </c>
      <c r="AA1190" s="2" t="s">
        <v>4417</v>
      </c>
      <c r="AB1190" s="2">
        <v>9</v>
      </c>
      <c r="AC1190" s="2" t="s">
        <v>124</v>
      </c>
      <c r="AD1190" s="3">
        <v>40263</v>
      </c>
      <c r="AE1190" s="4">
        <v>0.37847222222222227</v>
      </c>
      <c r="AF1190" s="2"/>
      <c r="AG1190" s="2"/>
      <c r="AH1190" s="2">
        <v>3</v>
      </c>
      <c r="AI1190" s="2" t="s">
        <v>214</v>
      </c>
      <c r="AJ1190" s="2">
        <v>21</v>
      </c>
      <c r="AK1190" s="2" t="s">
        <v>3544</v>
      </c>
      <c r="AL1190" s="2">
        <v>18</v>
      </c>
      <c r="AM1190" s="2" t="s">
        <v>82</v>
      </c>
      <c r="AN1190" s="2"/>
      <c r="AO1190" s="2" t="s">
        <v>4506</v>
      </c>
      <c r="AP1190" s="2">
        <v>11</v>
      </c>
      <c r="AQ1190" s="2" t="s">
        <v>82</v>
      </c>
      <c r="AR1190" s="2"/>
      <c r="AS1190" s="2"/>
      <c r="AT1190" s="2" t="s">
        <v>4507</v>
      </c>
      <c r="AU1190" s="2"/>
      <c r="AV1190" s="2"/>
      <c r="AW1190" s="2"/>
      <c r="AX1190" s="2"/>
      <c r="AY1190" s="2">
        <v>44</v>
      </c>
      <c r="AZ1190" s="2" t="s">
        <v>262</v>
      </c>
      <c r="BA1190" s="2">
        <v>44</v>
      </c>
      <c r="BB1190" s="2" t="s">
        <v>262</v>
      </c>
      <c r="BC1190" s="2">
        <v>41</v>
      </c>
      <c r="BD1190" s="2" t="s">
        <v>82</v>
      </c>
      <c r="BE1190" s="2">
        <v>41</v>
      </c>
      <c r="BF1190" s="2" t="s">
        <v>82</v>
      </c>
      <c r="BG1190" s="2"/>
      <c r="BH1190" s="2"/>
      <c r="BI1190" s="2"/>
      <c r="BJ1190" s="2">
        <v>241</v>
      </c>
      <c r="BK1190" s="2" t="s">
        <v>82</v>
      </c>
      <c r="BL1190" s="2"/>
      <c r="BM1190" s="2">
        <v>241</v>
      </c>
      <c r="BN1190" s="2" t="s">
        <v>82</v>
      </c>
      <c r="BO1190" s="2"/>
      <c r="BP1190" s="2">
        <v>241</v>
      </c>
      <c r="BQ1190" s="2" t="s">
        <v>82</v>
      </c>
      <c r="BR1190" s="2"/>
      <c r="BS1190" s="3">
        <v>40263</v>
      </c>
      <c r="BT1190" s="4">
        <v>0.56664351851851846</v>
      </c>
    </row>
    <row r="1191" spans="1:72" x14ac:dyDescent="0.25">
      <c r="A1191" s="2">
        <v>1824</v>
      </c>
      <c r="B1191" s="2">
        <v>2010</v>
      </c>
      <c r="C1191" s="2" t="s">
        <v>72</v>
      </c>
      <c r="D1191" s="2" t="s">
        <v>73</v>
      </c>
      <c r="E1191" s="2"/>
      <c r="F1191" s="2">
        <v>49</v>
      </c>
      <c r="G1191" s="2" t="s">
        <v>4412</v>
      </c>
      <c r="H1191" s="2">
        <v>42</v>
      </c>
      <c r="I1191" s="2" t="s">
        <v>1096</v>
      </c>
      <c r="J1191" s="2">
        <v>85</v>
      </c>
      <c r="K1191" s="2" t="s">
        <v>4413</v>
      </c>
      <c r="L1191" s="2" t="s">
        <v>4414</v>
      </c>
      <c r="M1191" s="3">
        <v>40263</v>
      </c>
      <c r="N1191" s="2" t="s">
        <v>4505</v>
      </c>
      <c r="O1191" s="2"/>
      <c r="P1191" s="2"/>
      <c r="Q1191" s="2" t="str">
        <f>"04/09"</f>
        <v>04/09</v>
      </c>
      <c r="R1191" s="2"/>
      <c r="S1191" s="2" t="s">
        <v>4416</v>
      </c>
      <c r="T1191" s="2">
        <v>1</v>
      </c>
      <c r="U1191" s="2" t="s">
        <v>79</v>
      </c>
      <c r="V1191" s="2">
        <v>1</v>
      </c>
      <c r="W1191" s="2" t="s">
        <v>80</v>
      </c>
      <c r="X1191" s="2">
        <v>3</v>
      </c>
      <c r="Y1191" s="2" t="s">
        <v>698</v>
      </c>
      <c r="Z1191" s="2">
        <v>22</v>
      </c>
      <c r="AA1191" s="2" t="s">
        <v>4417</v>
      </c>
      <c r="AB1191" s="2">
        <v>6</v>
      </c>
      <c r="AC1191" s="2" t="s">
        <v>83</v>
      </c>
      <c r="AD1191" s="3">
        <v>40263</v>
      </c>
      <c r="AE1191" s="4">
        <v>0.37847222222222227</v>
      </c>
      <c r="AF1191" s="2"/>
      <c r="AG1191" s="2"/>
      <c r="AH1191" s="2">
        <v>3</v>
      </c>
      <c r="AI1191" s="2" t="s">
        <v>214</v>
      </c>
      <c r="AJ1191" s="2">
        <v>21</v>
      </c>
      <c r="AK1191" s="2" t="s">
        <v>3544</v>
      </c>
      <c r="AL1191" s="2">
        <v>18</v>
      </c>
      <c r="AM1191" s="2" t="s">
        <v>82</v>
      </c>
      <c r="AN1191" s="2"/>
      <c r="AO1191" s="2" t="s">
        <v>4506</v>
      </c>
      <c r="AP1191" s="2">
        <v>11</v>
      </c>
      <c r="AQ1191" s="2" t="s">
        <v>82</v>
      </c>
      <c r="AR1191" s="2"/>
      <c r="AS1191" s="2"/>
      <c r="AT1191" s="2" t="s">
        <v>4507</v>
      </c>
      <c r="AU1191" s="2"/>
      <c r="AV1191" s="2"/>
      <c r="AW1191" s="2"/>
      <c r="AX1191" s="2"/>
      <c r="AY1191" s="2">
        <v>44</v>
      </c>
      <c r="AZ1191" s="2" t="s">
        <v>262</v>
      </c>
      <c r="BA1191" s="2">
        <v>44</v>
      </c>
      <c r="BB1191" s="2" t="s">
        <v>262</v>
      </c>
      <c r="BC1191" s="2">
        <v>41</v>
      </c>
      <c r="BD1191" s="2" t="s">
        <v>82</v>
      </c>
      <c r="BE1191" s="2">
        <v>41</v>
      </c>
      <c r="BF1191" s="2" t="s">
        <v>82</v>
      </c>
      <c r="BG1191" s="2"/>
      <c r="BH1191" s="2"/>
      <c r="BI1191" s="2"/>
      <c r="BJ1191" s="2">
        <v>241</v>
      </c>
      <c r="BK1191" s="2" t="s">
        <v>82</v>
      </c>
      <c r="BL1191" s="2"/>
      <c r="BM1191" s="2">
        <v>241</v>
      </c>
      <c r="BN1191" s="2" t="s">
        <v>82</v>
      </c>
      <c r="BO1191" s="2"/>
      <c r="BP1191" s="2">
        <v>241</v>
      </c>
      <c r="BQ1191" s="2" t="s">
        <v>82</v>
      </c>
      <c r="BR1191" s="2"/>
      <c r="BS1191" s="3">
        <v>40263</v>
      </c>
      <c r="BT1191" s="4">
        <v>0.56664351851851846</v>
      </c>
    </row>
    <row r="1192" spans="1:72" x14ac:dyDescent="0.25">
      <c r="A1192" s="2">
        <v>1825</v>
      </c>
      <c r="B1192" s="2">
        <v>2010</v>
      </c>
      <c r="C1192" s="2" t="s">
        <v>819</v>
      </c>
      <c r="D1192" s="2" t="s">
        <v>122</v>
      </c>
      <c r="E1192" s="2" t="s">
        <v>4508</v>
      </c>
      <c r="F1192" s="2">
        <v>399</v>
      </c>
      <c r="G1192" s="2" t="s">
        <v>587</v>
      </c>
      <c r="H1192" s="2">
        <v>15</v>
      </c>
      <c r="I1192" s="2" t="s">
        <v>130</v>
      </c>
      <c r="J1192" s="2">
        <v>242</v>
      </c>
      <c r="K1192" s="2" t="s">
        <v>1077</v>
      </c>
      <c r="L1192" s="2" t="s">
        <v>1078</v>
      </c>
      <c r="M1192" s="3">
        <v>40263</v>
      </c>
      <c r="N1192" s="2" t="s">
        <v>4431</v>
      </c>
      <c r="O1192" s="2" t="s">
        <v>4432</v>
      </c>
      <c r="P1192" s="2">
        <v>6479</v>
      </c>
      <c r="Q1192" s="2" t="str">
        <f>"158-E/10"</f>
        <v>158-E/10</v>
      </c>
      <c r="R1192" s="2" t="s">
        <v>4433</v>
      </c>
      <c r="S1192" s="2"/>
      <c r="T1192" s="2">
        <v>1</v>
      </c>
      <c r="U1192" s="2" t="s">
        <v>79</v>
      </c>
      <c r="V1192" s="2">
        <v>1</v>
      </c>
      <c r="W1192" s="2" t="s">
        <v>80</v>
      </c>
      <c r="X1192" s="2">
        <v>1</v>
      </c>
      <c r="Y1192" s="2" t="s">
        <v>81</v>
      </c>
      <c r="Z1192" s="2">
        <v>1</v>
      </c>
      <c r="AA1192" s="2" t="s">
        <v>82</v>
      </c>
      <c r="AB1192" s="2">
        <v>9</v>
      </c>
      <c r="AC1192" s="2" t="s">
        <v>124</v>
      </c>
      <c r="AD1192" s="3">
        <v>40263</v>
      </c>
      <c r="AE1192" s="4">
        <v>0.39583333333333331</v>
      </c>
      <c r="AF1192" s="2"/>
      <c r="AG1192" s="2"/>
      <c r="AH1192" s="2">
        <v>2</v>
      </c>
      <c r="AI1192" s="2" t="s">
        <v>84</v>
      </c>
      <c r="AJ1192" s="2">
        <v>12</v>
      </c>
      <c r="AK1192" s="2" t="s">
        <v>85</v>
      </c>
      <c r="AL1192" s="2">
        <v>18</v>
      </c>
      <c r="AM1192" s="2" t="s">
        <v>82</v>
      </c>
      <c r="AN1192" s="2"/>
      <c r="AO1192" s="2" t="s">
        <v>4509</v>
      </c>
      <c r="AP1192" s="2">
        <v>11</v>
      </c>
      <c r="AQ1192" s="2" t="s">
        <v>82</v>
      </c>
      <c r="AR1192" s="2"/>
      <c r="AS1192" s="2"/>
      <c r="AT1192" s="2" t="s">
        <v>4510</v>
      </c>
      <c r="AU1192" s="2">
        <v>1</v>
      </c>
      <c r="AV1192" s="2"/>
      <c r="AW1192" s="2"/>
      <c r="AX1192" s="2"/>
      <c r="AY1192" s="2">
        <v>41</v>
      </c>
      <c r="AZ1192" s="2" t="s">
        <v>82</v>
      </c>
      <c r="BA1192" s="2">
        <v>41</v>
      </c>
      <c r="BB1192" s="2" t="s">
        <v>82</v>
      </c>
      <c r="BC1192" s="2">
        <v>41</v>
      </c>
      <c r="BD1192" s="2" t="s">
        <v>82</v>
      </c>
      <c r="BE1192" s="2">
        <v>41</v>
      </c>
      <c r="BF1192" s="2" t="s">
        <v>82</v>
      </c>
      <c r="BG1192" s="2"/>
      <c r="BH1192" s="2"/>
      <c r="BI1192" s="2"/>
      <c r="BJ1192" s="2">
        <v>241</v>
      </c>
      <c r="BK1192" s="2" t="s">
        <v>82</v>
      </c>
      <c r="BL1192" s="2"/>
      <c r="BM1192" s="2">
        <v>241</v>
      </c>
      <c r="BN1192" s="2" t="s">
        <v>82</v>
      </c>
      <c r="BO1192" s="2"/>
      <c r="BP1192" s="2">
        <v>241</v>
      </c>
      <c r="BQ1192" s="2" t="s">
        <v>82</v>
      </c>
      <c r="BR1192" s="2"/>
      <c r="BS1192" s="3">
        <v>40263</v>
      </c>
      <c r="BT1192" s="4">
        <v>0.58891203703703698</v>
      </c>
    </row>
    <row r="1193" spans="1:72" x14ac:dyDescent="0.25">
      <c r="A1193" s="2">
        <v>1826</v>
      </c>
      <c r="B1193" s="2">
        <v>2010</v>
      </c>
      <c r="C1193" s="2" t="s">
        <v>255</v>
      </c>
      <c r="D1193" s="2" t="s">
        <v>122</v>
      </c>
      <c r="E1193" s="2" t="s">
        <v>4511</v>
      </c>
      <c r="F1193" s="2">
        <v>252</v>
      </c>
      <c r="G1193" s="2" t="s">
        <v>4475</v>
      </c>
      <c r="H1193" s="2">
        <v>81</v>
      </c>
      <c r="I1193" s="2" t="s">
        <v>4476</v>
      </c>
      <c r="J1193" s="2">
        <v>482</v>
      </c>
      <c r="K1193" s="2" t="s">
        <v>4083</v>
      </c>
      <c r="L1193" s="2" t="s">
        <v>1908</v>
      </c>
      <c r="M1193" s="3">
        <v>40263</v>
      </c>
      <c r="N1193" s="2" t="s">
        <v>4477</v>
      </c>
      <c r="O1193" s="2" t="s">
        <v>82</v>
      </c>
      <c r="P1193" s="2" t="s">
        <v>82</v>
      </c>
      <c r="Q1193" s="2" t="str">
        <f>"120-A/10"</f>
        <v>120-A/10</v>
      </c>
      <c r="R1193" s="2" t="s">
        <v>4478</v>
      </c>
      <c r="S1193" s="2" t="s">
        <v>82</v>
      </c>
      <c r="T1193" s="2">
        <v>1</v>
      </c>
      <c r="U1193" s="2" t="s">
        <v>79</v>
      </c>
      <c r="V1193" s="2">
        <v>1</v>
      </c>
      <c r="W1193" s="2" t="s">
        <v>80</v>
      </c>
      <c r="X1193" s="2">
        <v>1</v>
      </c>
      <c r="Y1193" s="2" t="s">
        <v>81</v>
      </c>
      <c r="Z1193" s="2">
        <v>1</v>
      </c>
      <c r="AA1193" s="2" t="s">
        <v>82</v>
      </c>
      <c r="AB1193" s="2">
        <v>9</v>
      </c>
      <c r="AC1193" s="2" t="s">
        <v>124</v>
      </c>
      <c r="AD1193" s="3">
        <v>40262</v>
      </c>
      <c r="AE1193" s="4">
        <v>0.9375</v>
      </c>
      <c r="AF1193" s="3">
        <v>40262</v>
      </c>
      <c r="AG1193" s="4">
        <v>0.95833333333333337</v>
      </c>
      <c r="AH1193" s="2">
        <v>2</v>
      </c>
      <c r="AI1193" s="2" t="s">
        <v>84</v>
      </c>
      <c r="AJ1193" s="2">
        <v>12</v>
      </c>
      <c r="AK1193" s="2" t="s">
        <v>85</v>
      </c>
      <c r="AL1193" s="2">
        <v>12</v>
      </c>
      <c r="AM1193" s="2" t="s">
        <v>86</v>
      </c>
      <c r="AN1193" s="2" t="s">
        <v>560</v>
      </c>
      <c r="AO1193" s="2" t="s">
        <v>4479</v>
      </c>
      <c r="AP1193" s="2">
        <v>11</v>
      </c>
      <c r="AQ1193" s="2" t="s">
        <v>82</v>
      </c>
      <c r="AR1193" s="2" t="s">
        <v>82</v>
      </c>
      <c r="AS1193" s="2" t="s">
        <v>82</v>
      </c>
      <c r="AT1193" s="2" t="s">
        <v>4512</v>
      </c>
      <c r="AU1193" s="2">
        <v>2</v>
      </c>
      <c r="AV1193" s="2"/>
      <c r="AW1193" s="2"/>
      <c r="AX1193" s="2"/>
      <c r="AY1193" s="2">
        <v>41</v>
      </c>
      <c r="AZ1193" s="2" t="s">
        <v>82</v>
      </c>
      <c r="BA1193" s="2">
        <v>41</v>
      </c>
      <c r="BB1193" s="2" t="s">
        <v>82</v>
      </c>
      <c r="BC1193" s="2">
        <v>41</v>
      </c>
      <c r="BD1193" s="2" t="s">
        <v>82</v>
      </c>
      <c r="BE1193" s="2">
        <v>10</v>
      </c>
      <c r="BF1193" s="2" t="s">
        <v>901</v>
      </c>
      <c r="BG1193" s="2" t="s">
        <v>4481</v>
      </c>
      <c r="BH1193" s="4">
        <v>0.875</v>
      </c>
      <c r="BI1193" s="4">
        <v>0.83680555555555547</v>
      </c>
      <c r="BJ1193" s="2">
        <v>229</v>
      </c>
      <c r="BK1193" s="2" t="s">
        <v>300</v>
      </c>
      <c r="BL1193" s="2" t="s">
        <v>573</v>
      </c>
      <c r="BM1193" s="2">
        <v>241</v>
      </c>
      <c r="BN1193" s="2" t="s">
        <v>82</v>
      </c>
      <c r="BO1193" s="2" t="s">
        <v>82</v>
      </c>
      <c r="BP1193" s="2">
        <v>13</v>
      </c>
      <c r="BQ1193" s="2" t="s">
        <v>91</v>
      </c>
      <c r="BR1193" s="2" t="s">
        <v>185</v>
      </c>
      <c r="BS1193" s="3">
        <v>40263</v>
      </c>
      <c r="BT1193" s="4">
        <v>0.59804398148148141</v>
      </c>
    </row>
    <row r="1194" spans="1:72" x14ac:dyDescent="0.25">
      <c r="A1194" s="2">
        <v>1826</v>
      </c>
      <c r="B1194" s="2">
        <v>2010</v>
      </c>
      <c r="C1194" s="2" t="s">
        <v>1094</v>
      </c>
      <c r="D1194" s="2" t="s">
        <v>122</v>
      </c>
      <c r="E1194" s="2" t="s">
        <v>4511</v>
      </c>
      <c r="F1194" s="2">
        <v>252</v>
      </c>
      <c r="G1194" s="2" t="s">
        <v>4475</v>
      </c>
      <c r="H1194" s="2">
        <v>81</v>
      </c>
      <c r="I1194" s="2" t="s">
        <v>4476</v>
      </c>
      <c r="J1194" s="2">
        <v>482</v>
      </c>
      <c r="K1194" s="2" t="s">
        <v>4083</v>
      </c>
      <c r="L1194" s="2" t="s">
        <v>1908</v>
      </c>
      <c r="M1194" s="3">
        <v>40263</v>
      </c>
      <c r="N1194" s="2" t="s">
        <v>4477</v>
      </c>
      <c r="O1194" s="2" t="s">
        <v>82</v>
      </c>
      <c r="P1194" s="2" t="s">
        <v>82</v>
      </c>
      <c r="Q1194" s="2" t="str">
        <f>"120-A/10"</f>
        <v>120-A/10</v>
      </c>
      <c r="R1194" s="2" t="s">
        <v>4478</v>
      </c>
      <c r="S1194" s="2" t="s">
        <v>82</v>
      </c>
      <c r="T1194" s="2">
        <v>1</v>
      </c>
      <c r="U1194" s="2" t="s">
        <v>79</v>
      </c>
      <c r="V1194" s="2">
        <v>1</v>
      </c>
      <c r="W1194" s="2" t="s">
        <v>80</v>
      </c>
      <c r="X1194" s="2">
        <v>1</v>
      </c>
      <c r="Y1194" s="2" t="s">
        <v>81</v>
      </c>
      <c r="Z1194" s="2">
        <v>1</v>
      </c>
      <c r="AA1194" s="2" t="s">
        <v>82</v>
      </c>
      <c r="AB1194" s="2">
        <v>9</v>
      </c>
      <c r="AC1194" s="2" t="s">
        <v>124</v>
      </c>
      <c r="AD1194" s="3">
        <v>40262</v>
      </c>
      <c r="AE1194" s="4">
        <v>0.9375</v>
      </c>
      <c r="AF1194" s="3">
        <v>40262</v>
      </c>
      <c r="AG1194" s="4">
        <v>0.95833333333333337</v>
      </c>
      <c r="AH1194" s="2">
        <v>2</v>
      </c>
      <c r="AI1194" s="2" t="s">
        <v>84</v>
      </c>
      <c r="AJ1194" s="2">
        <v>12</v>
      </c>
      <c r="AK1194" s="2" t="s">
        <v>85</v>
      </c>
      <c r="AL1194" s="2">
        <v>12</v>
      </c>
      <c r="AM1194" s="2" t="s">
        <v>86</v>
      </c>
      <c r="AN1194" s="2" t="s">
        <v>560</v>
      </c>
      <c r="AO1194" s="2" t="s">
        <v>4479</v>
      </c>
      <c r="AP1194" s="2">
        <v>11</v>
      </c>
      <c r="AQ1194" s="2" t="s">
        <v>82</v>
      </c>
      <c r="AR1194" s="2" t="s">
        <v>82</v>
      </c>
      <c r="AS1194" s="2" t="s">
        <v>82</v>
      </c>
      <c r="AT1194" s="2" t="s">
        <v>4512</v>
      </c>
      <c r="AU1194" s="2">
        <v>2</v>
      </c>
      <c r="AV1194" s="2"/>
      <c r="AW1194" s="2"/>
      <c r="AX1194" s="2"/>
      <c r="AY1194" s="2">
        <v>41</v>
      </c>
      <c r="AZ1194" s="2" t="s">
        <v>82</v>
      </c>
      <c r="BA1194" s="2">
        <v>41</v>
      </c>
      <c r="BB1194" s="2" t="s">
        <v>82</v>
      </c>
      <c r="BC1194" s="2">
        <v>41</v>
      </c>
      <c r="BD1194" s="2" t="s">
        <v>82</v>
      </c>
      <c r="BE1194" s="2">
        <v>10</v>
      </c>
      <c r="BF1194" s="2" t="s">
        <v>901</v>
      </c>
      <c r="BG1194" s="2" t="s">
        <v>4481</v>
      </c>
      <c r="BH1194" s="4">
        <v>0.875</v>
      </c>
      <c r="BI1194" s="4">
        <v>0.83680555555555547</v>
      </c>
      <c r="BJ1194" s="2">
        <v>229</v>
      </c>
      <c r="BK1194" s="2" t="s">
        <v>300</v>
      </c>
      <c r="BL1194" s="2" t="s">
        <v>573</v>
      </c>
      <c r="BM1194" s="2">
        <v>241</v>
      </c>
      <c r="BN1194" s="2" t="s">
        <v>82</v>
      </c>
      <c r="BO1194" s="2" t="s">
        <v>82</v>
      </c>
      <c r="BP1194" s="2">
        <v>13</v>
      </c>
      <c r="BQ1194" s="2" t="s">
        <v>91</v>
      </c>
      <c r="BR1194" s="2" t="s">
        <v>185</v>
      </c>
      <c r="BS1194" s="3">
        <v>40263</v>
      </c>
      <c r="BT1194" s="4">
        <v>0.59804398148148141</v>
      </c>
    </row>
    <row r="1195" spans="1:72" x14ac:dyDescent="0.25">
      <c r="A1195" s="2">
        <v>1827</v>
      </c>
      <c r="B1195" s="2">
        <v>2010</v>
      </c>
      <c r="C1195" s="2" t="s">
        <v>409</v>
      </c>
      <c r="D1195" s="2" t="s">
        <v>122</v>
      </c>
      <c r="E1195" s="2"/>
      <c r="F1195" s="2">
        <v>146</v>
      </c>
      <c r="G1195" s="2" t="s">
        <v>753</v>
      </c>
      <c r="H1195" s="2">
        <v>83</v>
      </c>
      <c r="I1195" s="2" t="s">
        <v>4513</v>
      </c>
      <c r="J1195" s="2">
        <v>161</v>
      </c>
      <c r="K1195" s="2" t="s">
        <v>1900</v>
      </c>
      <c r="L1195" s="2" t="s">
        <v>1901</v>
      </c>
      <c r="M1195" s="3">
        <v>40263</v>
      </c>
      <c r="N1195" s="2" t="s">
        <v>4514</v>
      </c>
      <c r="O1195" s="2" t="s">
        <v>4515</v>
      </c>
      <c r="P1195" s="2" t="s">
        <v>82</v>
      </c>
      <c r="Q1195" s="2" t="str">
        <f>"N/C"</f>
        <v>N/C</v>
      </c>
      <c r="R1195" s="2" t="s">
        <v>82</v>
      </c>
      <c r="S1195" s="2" t="s">
        <v>82</v>
      </c>
      <c r="T1195" s="2">
        <v>1</v>
      </c>
      <c r="U1195" s="2" t="s">
        <v>79</v>
      </c>
      <c r="V1195" s="2">
        <v>1</v>
      </c>
      <c r="W1195" s="2" t="s">
        <v>80</v>
      </c>
      <c r="X1195" s="2">
        <v>4</v>
      </c>
      <c r="Y1195" s="2" t="s">
        <v>463</v>
      </c>
      <c r="Z1195" s="2">
        <v>1</v>
      </c>
      <c r="AA1195" s="2" t="s">
        <v>82</v>
      </c>
      <c r="AB1195" s="2">
        <v>9</v>
      </c>
      <c r="AC1195" s="2" t="s">
        <v>124</v>
      </c>
      <c r="AD1195" s="3">
        <v>40263</v>
      </c>
      <c r="AE1195" s="4">
        <v>0.5</v>
      </c>
      <c r="AF1195" s="2"/>
      <c r="AG1195" s="2"/>
      <c r="AH1195" s="2">
        <v>6</v>
      </c>
      <c r="AI1195" s="2" t="s">
        <v>197</v>
      </c>
      <c r="AJ1195" s="2">
        <v>60</v>
      </c>
      <c r="AK1195" s="2" t="s">
        <v>543</v>
      </c>
      <c r="AL1195" s="2">
        <v>18</v>
      </c>
      <c r="AM1195" s="2" t="s">
        <v>82</v>
      </c>
      <c r="AN1195" s="2" t="s">
        <v>82</v>
      </c>
      <c r="AO1195" s="2" t="s">
        <v>82</v>
      </c>
      <c r="AP1195" s="2">
        <v>11</v>
      </c>
      <c r="AQ1195" s="2" t="s">
        <v>82</v>
      </c>
      <c r="AR1195" s="2" t="s">
        <v>82</v>
      </c>
      <c r="AS1195" s="2" t="s">
        <v>82</v>
      </c>
      <c r="AT1195" s="2" t="s">
        <v>4516</v>
      </c>
      <c r="AU1195" s="2"/>
      <c r="AV1195" s="2"/>
      <c r="AW1195" s="2"/>
      <c r="AX1195" s="2"/>
      <c r="AY1195" s="2">
        <v>41</v>
      </c>
      <c r="AZ1195" s="2" t="s">
        <v>82</v>
      </c>
      <c r="BA1195" s="2">
        <v>41</v>
      </c>
      <c r="BB1195" s="2" t="s">
        <v>82</v>
      </c>
      <c r="BC1195" s="2">
        <v>41</v>
      </c>
      <c r="BD1195" s="2" t="s">
        <v>82</v>
      </c>
      <c r="BE1195" s="2">
        <v>49</v>
      </c>
      <c r="BF1195" s="2" t="s">
        <v>1254</v>
      </c>
      <c r="BG1195" s="2" t="s">
        <v>4517</v>
      </c>
      <c r="BH1195" s="4">
        <v>0.53819444444444442</v>
      </c>
      <c r="BI1195" s="4">
        <v>0.5625</v>
      </c>
      <c r="BJ1195" s="2">
        <v>13</v>
      </c>
      <c r="BK1195" s="2" t="s">
        <v>91</v>
      </c>
      <c r="BL1195" s="2" t="s">
        <v>895</v>
      </c>
      <c r="BM1195" s="2">
        <v>13</v>
      </c>
      <c r="BN1195" s="2" t="s">
        <v>91</v>
      </c>
      <c r="BO1195" s="2" t="s">
        <v>492</v>
      </c>
      <c r="BP1195" s="2">
        <v>13</v>
      </c>
      <c r="BQ1195" s="2" t="s">
        <v>91</v>
      </c>
      <c r="BR1195" s="2" t="s">
        <v>353</v>
      </c>
      <c r="BS1195" s="3">
        <v>40263</v>
      </c>
      <c r="BT1195" s="4">
        <v>0.60799768518518515</v>
      </c>
    </row>
    <row r="1196" spans="1:72" x14ac:dyDescent="0.25">
      <c r="A1196" s="2">
        <v>1828</v>
      </c>
      <c r="B1196" s="2">
        <v>2010</v>
      </c>
      <c r="C1196" s="2" t="s">
        <v>93</v>
      </c>
      <c r="D1196" s="2" t="s">
        <v>73</v>
      </c>
      <c r="E1196" s="2"/>
      <c r="F1196" s="2">
        <v>399</v>
      </c>
      <c r="G1196" s="2" t="s">
        <v>587</v>
      </c>
      <c r="H1196" s="2">
        <v>15</v>
      </c>
      <c r="I1196" s="2" t="s">
        <v>130</v>
      </c>
      <c r="J1196" s="2">
        <v>242</v>
      </c>
      <c r="K1196" s="2" t="s">
        <v>1077</v>
      </c>
      <c r="L1196" s="2" t="s">
        <v>1078</v>
      </c>
      <c r="M1196" s="3">
        <v>40263</v>
      </c>
      <c r="N1196" s="2" t="s">
        <v>4518</v>
      </c>
      <c r="O1196" s="2" t="s">
        <v>4519</v>
      </c>
      <c r="P1196" s="2" t="s">
        <v>4520</v>
      </c>
      <c r="Q1196" s="2" t="str">
        <f>"0033/10"</f>
        <v>0033/10</v>
      </c>
      <c r="R1196" s="2" t="s">
        <v>3752</v>
      </c>
      <c r="S1196" s="2"/>
      <c r="T1196" s="2">
        <v>1</v>
      </c>
      <c r="U1196" s="2" t="s">
        <v>79</v>
      </c>
      <c r="V1196" s="2">
        <v>1</v>
      </c>
      <c r="W1196" s="2" t="s">
        <v>80</v>
      </c>
      <c r="X1196" s="2">
        <v>3</v>
      </c>
      <c r="Y1196" s="2" t="s">
        <v>698</v>
      </c>
      <c r="Z1196" s="2">
        <v>9</v>
      </c>
      <c r="AA1196" s="2" t="s">
        <v>1119</v>
      </c>
      <c r="AB1196" s="2">
        <v>2</v>
      </c>
      <c r="AC1196" s="2" t="s">
        <v>102</v>
      </c>
      <c r="AD1196" s="3">
        <v>40262</v>
      </c>
      <c r="AE1196" s="4">
        <v>0.90625</v>
      </c>
      <c r="AF1196" s="2"/>
      <c r="AG1196" s="2"/>
      <c r="AH1196" s="2">
        <v>5</v>
      </c>
      <c r="AI1196" s="2" t="s">
        <v>274</v>
      </c>
      <c r="AJ1196" s="2">
        <v>38</v>
      </c>
      <c r="AK1196" s="2" t="s">
        <v>1120</v>
      </c>
      <c r="AL1196" s="2">
        <v>11</v>
      </c>
      <c r="AM1196" s="2" t="s">
        <v>137</v>
      </c>
      <c r="AN1196" s="2"/>
      <c r="AO1196" s="2"/>
      <c r="AP1196" s="2">
        <v>11</v>
      </c>
      <c r="AQ1196" s="2" t="s">
        <v>82</v>
      </c>
      <c r="AR1196" s="2"/>
      <c r="AS1196" s="2"/>
      <c r="AT1196" s="2" t="s">
        <v>4521</v>
      </c>
      <c r="AU1196" s="2"/>
      <c r="AV1196" s="2"/>
      <c r="AW1196" s="2"/>
      <c r="AX1196" s="2"/>
      <c r="AY1196" s="2">
        <v>41</v>
      </c>
      <c r="AZ1196" s="2" t="s">
        <v>82</v>
      </c>
      <c r="BA1196" s="2">
        <v>41</v>
      </c>
      <c r="BB1196" s="2" t="s">
        <v>82</v>
      </c>
      <c r="BC1196" s="2">
        <v>41</v>
      </c>
      <c r="BD1196" s="2" t="s">
        <v>82</v>
      </c>
      <c r="BE1196" s="2">
        <v>13</v>
      </c>
      <c r="BF1196" s="2" t="s">
        <v>108</v>
      </c>
      <c r="BG1196" s="2">
        <v>1737</v>
      </c>
      <c r="BH1196" s="4">
        <v>0.89583333333333337</v>
      </c>
      <c r="BI1196" s="4">
        <v>0.92361111111111116</v>
      </c>
      <c r="BJ1196" s="2">
        <v>13</v>
      </c>
      <c r="BK1196" s="2" t="s">
        <v>91</v>
      </c>
      <c r="BL1196" s="2" t="s">
        <v>4522</v>
      </c>
      <c r="BM1196" s="2">
        <v>241</v>
      </c>
      <c r="BN1196" s="2" t="s">
        <v>82</v>
      </c>
      <c r="BO1196" s="2"/>
      <c r="BP1196" s="2">
        <v>13</v>
      </c>
      <c r="BQ1196" s="2" t="s">
        <v>91</v>
      </c>
      <c r="BR1196" s="2" t="s">
        <v>185</v>
      </c>
      <c r="BS1196" s="3">
        <v>40263</v>
      </c>
      <c r="BT1196" s="4">
        <v>0.60936342592592596</v>
      </c>
    </row>
    <row r="1197" spans="1:72" x14ac:dyDescent="0.25">
      <c r="A1197" s="2">
        <v>1829</v>
      </c>
      <c r="B1197" s="2">
        <v>2010</v>
      </c>
      <c r="C1197" s="2" t="s">
        <v>594</v>
      </c>
      <c r="D1197" s="2" t="s">
        <v>122</v>
      </c>
      <c r="E1197" s="2"/>
      <c r="F1197" s="2">
        <v>1</v>
      </c>
      <c r="G1197" s="2" t="s">
        <v>82</v>
      </c>
      <c r="H1197" s="2">
        <v>1</v>
      </c>
      <c r="I1197" s="2" t="s">
        <v>82</v>
      </c>
      <c r="J1197" s="2">
        <v>1</v>
      </c>
      <c r="K1197" s="2" t="s">
        <v>107</v>
      </c>
      <c r="L1197" s="2" t="s">
        <v>107</v>
      </c>
      <c r="M1197" s="3">
        <v>40263</v>
      </c>
      <c r="N1197" s="2"/>
      <c r="O1197" s="2"/>
      <c r="P1197" s="2"/>
      <c r="Q1197" s="2" t="str">
        <f>""</f>
        <v/>
      </c>
      <c r="R1197" s="2"/>
      <c r="S1197" s="2"/>
      <c r="T1197" s="2">
        <v>1</v>
      </c>
      <c r="U1197" s="2" t="s">
        <v>79</v>
      </c>
      <c r="V1197" s="2">
        <v>1</v>
      </c>
      <c r="W1197" s="2" t="s">
        <v>80</v>
      </c>
      <c r="X1197" s="2">
        <v>1</v>
      </c>
      <c r="Y1197" s="2" t="s">
        <v>81</v>
      </c>
      <c r="Z1197" s="2">
        <v>1</v>
      </c>
      <c r="AA1197" s="2" t="s">
        <v>82</v>
      </c>
      <c r="AB1197" s="2">
        <v>9</v>
      </c>
      <c r="AC1197" s="2" t="s">
        <v>124</v>
      </c>
      <c r="AD1197" s="3">
        <v>40263</v>
      </c>
      <c r="AE1197" s="4">
        <v>0.47847222222222219</v>
      </c>
      <c r="AF1197" s="2"/>
      <c r="AG1197" s="2"/>
      <c r="AH1197" s="2">
        <v>6</v>
      </c>
      <c r="AI1197" s="2" t="s">
        <v>197</v>
      </c>
      <c r="AJ1197" s="2">
        <v>46</v>
      </c>
      <c r="AK1197" s="2" t="s">
        <v>197</v>
      </c>
      <c r="AL1197" s="2">
        <v>10</v>
      </c>
      <c r="AM1197" s="2" t="s">
        <v>200</v>
      </c>
      <c r="AN1197" s="2" t="s">
        <v>595</v>
      </c>
      <c r="AO1197" s="2" t="s">
        <v>200</v>
      </c>
      <c r="AP1197" s="2">
        <v>12</v>
      </c>
      <c r="AQ1197" s="2" t="s">
        <v>322</v>
      </c>
      <c r="AR1197" s="2"/>
      <c r="AS1197" s="2"/>
      <c r="AT1197" s="2" t="s">
        <v>4523</v>
      </c>
      <c r="AU1197" s="2"/>
      <c r="AV1197" s="2"/>
      <c r="AW1197" s="2"/>
      <c r="AX1197" s="2"/>
      <c r="AY1197" s="2">
        <v>57</v>
      </c>
      <c r="AZ1197" s="2"/>
      <c r="BA1197" s="2">
        <v>52</v>
      </c>
      <c r="BB1197" s="2" t="s">
        <v>1261</v>
      </c>
      <c r="BC1197" s="2">
        <v>57</v>
      </c>
      <c r="BD1197" s="2"/>
      <c r="BE1197" s="2">
        <v>47</v>
      </c>
      <c r="BF1197" s="2" t="s">
        <v>167</v>
      </c>
      <c r="BG1197" s="2">
        <v>2833</v>
      </c>
      <c r="BH1197" s="4">
        <v>0.4236111111111111</v>
      </c>
      <c r="BI1197" s="4">
        <v>0.47847222222222219</v>
      </c>
      <c r="BJ1197" s="2">
        <v>13</v>
      </c>
      <c r="BK1197" s="2" t="s">
        <v>91</v>
      </c>
      <c r="BL1197" s="2" t="s">
        <v>4524</v>
      </c>
      <c r="BM1197" s="2">
        <v>241</v>
      </c>
      <c r="BN1197" s="2" t="s">
        <v>82</v>
      </c>
      <c r="BO1197" s="2" t="s">
        <v>607</v>
      </c>
      <c r="BP1197" s="2">
        <v>13</v>
      </c>
      <c r="BQ1197" s="2" t="s">
        <v>91</v>
      </c>
      <c r="BR1197" s="2" t="s">
        <v>984</v>
      </c>
      <c r="BS1197" s="3">
        <v>40263</v>
      </c>
      <c r="BT1197" s="4">
        <v>0.62418981481481484</v>
      </c>
    </row>
    <row r="1198" spans="1:72" x14ac:dyDescent="0.25">
      <c r="A1198" s="2">
        <v>1831</v>
      </c>
      <c r="B1198" s="2">
        <v>2010</v>
      </c>
      <c r="C1198" s="2" t="s">
        <v>377</v>
      </c>
      <c r="D1198" s="2" t="s">
        <v>73</v>
      </c>
      <c r="E1198" s="2"/>
      <c r="F1198" s="2">
        <v>426</v>
      </c>
      <c r="G1198" s="2" t="s">
        <v>378</v>
      </c>
      <c r="H1198" s="2">
        <v>1</v>
      </c>
      <c r="I1198" s="2" t="s">
        <v>82</v>
      </c>
      <c r="J1198" s="2">
        <v>311</v>
      </c>
      <c r="K1198" s="2" t="s">
        <v>379</v>
      </c>
      <c r="L1198" s="2" t="s">
        <v>380</v>
      </c>
      <c r="M1198" s="3">
        <v>40263</v>
      </c>
      <c r="N1198" s="2" t="s">
        <v>82</v>
      </c>
      <c r="O1198" s="2" t="s">
        <v>107</v>
      </c>
      <c r="P1198" s="2" t="s">
        <v>107</v>
      </c>
      <c r="Q1198" s="2" t="str">
        <f>"033-C/10"</f>
        <v>033-C/10</v>
      </c>
      <c r="R1198" s="2" t="s">
        <v>4525</v>
      </c>
      <c r="S1198" s="2" t="s">
        <v>4525</v>
      </c>
      <c r="T1198" s="2">
        <v>1</v>
      </c>
      <c r="U1198" s="2" t="s">
        <v>79</v>
      </c>
      <c r="V1198" s="2">
        <v>1</v>
      </c>
      <c r="W1198" s="2" t="s">
        <v>80</v>
      </c>
      <c r="X1198" s="2">
        <v>1</v>
      </c>
      <c r="Y1198" s="2" t="s">
        <v>81</v>
      </c>
      <c r="Z1198" s="2">
        <v>1</v>
      </c>
      <c r="AA1198" s="2" t="s">
        <v>82</v>
      </c>
      <c r="AB1198" s="2">
        <v>9</v>
      </c>
      <c r="AC1198" s="2" t="s">
        <v>124</v>
      </c>
      <c r="AD1198" s="3">
        <v>40261</v>
      </c>
      <c r="AE1198" s="4">
        <v>0.4513888888888889</v>
      </c>
      <c r="AF1198" s="3">
        <v>40261</v>
      </c>
      <c r="AG1198" s="4">
        <v>0.45833333333333331</v>
      </c>
      <c r="AH1198" s="2">
        <v>2</v>
      </c>
      <c r="AI1198" s="2" t="s">
        <v>84</v>
      </c>
      <c r="AJ1198" s="2">
        <v>9</v>
      </c>
      <c r="AK1198" s="2" t="s">
        <v>103</v>
      </c>
      <c r="AL1198" s="2">
        <v>12</v>
      </c>
      <c r="AM1198" s="2" t="s">
        <v>86</v>
      </c>
      <c r="AN1198" s="2" t="s">
        <v>1936</v>
      </c>
      <c r="AO1198" s="2" t="s">
        <v>2874</v>
      </c>
      <c r="AP1198" s="2">
        <v>11</v>
      </c>
      <c r="AQ1198" s="2" t="s">
        <v>82</v>
      </c>
      <c r="AR1198" s="2" t="s">
        <v>82</v>
      </c>
      <c r="AS1198" s="2" t="s">
        <v>82</v>
      </c>
      <c r="AT1198" s="2" t="s">
        <v>4526</v>
      </c>
      <c r="AU1198" s="2"/>
      <c r="AV1198" s="2"/>
      <c r="AW1198" s="2"/>
      <c r="AX1198" s="2"/>
      <c r="AY1198" s="2">
        <v>41</v>
      </c>
      <c r="AZ1198" s="2" t="s">
        <v>82</v>
      </c>
      <c r="BA1198" s="2">
        <v>41</v>
      </c>
      <c r="BB1198" s="2" t="s">
        <v>82</v>
      </c>
      <c r="BC1198" s="2">
        <v>41</v>
      </c>
      <c r="BD1198" s="2" t="s">
        <v>82</v>
      </c>
      <c r="BE1198" s="2">
        <v>41</v>
      </c>
      <c r="BF1198" s="2" t="s">
        <v>82</v>
      </c>
      <c r="BG1198" s="2" t="s">
        <v>82</v>
      </c>
      <c r="BH1198" s="2"/>
      <c r="BI1198" s="2"/>
      <c r="BJ1198" s="2">
        <v>241</v>
      </c>
      <c r="BK1198" s="2" t="s">
        <v>82</v>
      </c>
      <c r="BL1198" s="2" t="s">
        <v>82</v>
      </c>
      <c r="BM1198" s="2">
        <v>241</v>
      </c>
      <c r="BN1198" s="2" t="s">
        <v>82</v>
      </c>
      <c r="BO1198" s="2" t="s">
        <v>82</v>
      </c>
      <c r="BP1198" s="2">
        <v>241</v>
      </c>
      <c r="BQ1198" s="2" t="s">
        <v>82</v>
      </c>
      <c r="BR1198" s="2" t="s">
        <v>82</v>
      </c>
      <c r="BS1198" s="3">
        <v>40263</v>
      </c>
      <c r="BT1198" s="4">
        <v>0.63721064814814821</v>
      </c>
    </row>
    <row r="1199" spans="1:72" x14ac:dyDescent="0.25">
      <c r="A1199" s="2">
        <v>1832</v>
      </c>
      <c r="B1199" s="2">
        <v>2010</v>
      </c>
      <c r="C1199" s="2" t="s">
        <v>385</v>
      </c>
      <c r="D1199" s="2" t="s">
        <v>73</v>
      </c>
      <c r="E1199" s="2"/>
      <c r="F1199" s="2">
        <v>433</v>
      </c>
      <c r="G1199" s="2" t="s">
        <v>504</v>
      </c>
      <c r="H1199" s="2">
        <v>50</v>
      </c>
      <c r="I1199" s="2" t="s">
        <v>107</v>
      </c>
      <c r="J1199" s="2">
        <v>1</v>
      </c>
      <c r="K1199" s="2" t="s">
        <v>107</v>
      </c>
      <c r="L1199" s="2" t="s">
        <v>107</v>
      </c>
      <c r="M1199" s="3">
        <v>40263</v>
      </c>
      <c r="N1199" s="2" t="s">
        <v>107</v>
      </c>
      <c r="O1199" s="2" t="s">
        <v>107</v>
      </c>
      <c r="P1199" s="2" t="s">
        <v>4527</v>
      </c>
      <c r="Q1199" s="2" t="str">
        <f>"N/C"</f>
        <v>N/C</v>
      </c>
      <c r="R1199" s="2" t="s">
        <v>566</v>
      </c>
      <c r="S1199" s="2" t="s">
        <v>82</v>
      </c>
      <c r="T1199" s="2">
        <v>1</v>
      </c>
      <c r="U1199" s="2" t="s">
        <v>79</v>
      </c>
      <c r="V1199" s="2">
        <v>1</v>
      </c>
      <c r="W1199" s="2" t="s">
        <v>80</v>
      </c>
      <c r="X1199" s="2">
        <v>4</v>
      </c>
      <c r="Y1199" s="2" t="s">
        <v>463</v>
      </c>
      <c r="Z1199" s="2">
        <v>7</v>
      </c>
      <c r="AA1199" s="2" t="s">
        <v>1462</v>
      </c>
      <c r="AB1199" s="2">
        <v>9</v>
      </c>
      <c r="AC1199" s="2" t="s">
        <v>124</v>
      </c>
      <c r="AD1199" s="3">
        <v>40263</v>
      </c>
      <c r="AE1199" s="4">
        <v>0.5</v>
      </c>
      <c r="AF1199" s="2"/>
      <c r="AG1199" s="2"/>
      <c r="AH1199" s="2">
        <v>2</v>
      </c>
      <c r="AI1199" s="2" t="s">
        <v>84</v>
      </c>
      <c r="AJ1199" s="2">
        <v>12</v>
      </c>
      <c r="AK1199" s="2" t="s">
        <v>85</v>
      </c>
      <c r="AL1199" s="2">
        <v>19</v>
      </c>
      <c r="AM1199" s="2" t="s">
        <v>107</v>
      </c>
      <c r="AN1199" s="2" t="s">
        <v>514</v>
      </c>
      <c r="AO1199" s="2" t="s">
        <v>4528</v>
      </c>
      <c r="AP1199" s="2">
        <v>11</v>
      </c>
      <c r="AQ1199" s="2" t="s">
        <v>82</v>
      </c>
      <c r="AR1199" s="2" t="s">
        <v>82</v>
      </c>
      <c r="AS1199" s="2" t="s">
        <v>82</v>
      </c>
      <c r="AT1199" s="2" t="s">
        <v>4529</v>
      </c>
      <c r="AU1199" s="2"/>
      <c r="AV1199" s="2"/>
      <c r="AW1199" s="2"/>
      <c r="AX1199" s="2"/>
      <c r="AY1199" s="2">
        <v>41</v>
      </c>
      <c r="AZ1199" s="2" t="s">
        <v>82</v>
      </c>
      <c r="BA1199" s="2">
        <v>41</v>
      </c>
      <c r="BB1199" s="2" t="s">
        <v>82</v>
      </c>
      <c r="BC1199" s="2">
        <v>41</v>
      </c>
      <c r="BD1199" s="2" t="s">
        <v>82</v>
      </c>
      <c r="BE1199" s="2">
        <v>13</v>
      </c>
      <c r="BF1199" s="2" t="s">
        <v>108</v>
      </c>
      <c r="BG1199" s="2" t="s">
        <v>4530</v>
      </c>
      <c r="BH1199" s="4">
        <v>0.6875</v>
      </c>
      <c r="BI1199" s="4">
        <v>0.59027777777777779</v>
      </c>
      <c r="BJ1199" s="2">
        <v>13</v>
      </c>
      <c r="BK1199" s="2" t="s">
        <v>91</v>
      </c>
      <c r="BL1199" s="2" t="s">
        <v>185</v>
      </c>
      <c r="BM1199" s="2">
        <v>241</v>
      </c>
      <c r="BN1199" s="2" t="s">
        <v>82</v>
      </c>
      <c r="BO1199" s="2" t="s">
        <v>82</v>
      </c>
      <c r="BP1199" s="2">
        <v>172</v>
      </c>
      <c r="BQ1199" s="2" t="s">
        <v>843</v>
      </c>
      <c r="BR1199" s="2" t="s">
        <v>844</v>
      </c>
      <c r="BS1199" s="3">
        <v>40263</v>
      </c>
      <c r="BT1199" s="4">
        <v>0.64069444444444446</v>
      </c>
    </row>
    <row r="1200" spans="1:72" x14ac:dyDescent="0.25">
      <c r="A1200" s="2">
        <v>1833</v>
      </c>
      <c r="B1200" s="2">
        <v>2010</v>
      </c>
      <c r="C1200" s="2" t="s">
        <v>2567</v>
      </c>
      <c r="D1200" s="2" t="s">
        <v>122</v>
      </c>
      <c r="E1200" s="2"/>
      <c r="F1200" s="2">
        <v>1</v>
      </c>
      <c r="G1200" s="2" t="s">
        <v>82</v>
      </c>
      <c r="H1200" s="2">
        <v>1</v>
      </c>
      <c r="I1200" s="2" t="s">
        <v>82</v>
      </c>
      <c r="J1200" s="2">
        <v>1</v>
      </c>
      <c r="K1200" s="2" t="s">
        <v>107</v>
      </c>
      <c r="L1200" s="2" t="s">
        <v>107</v>
      </c>
      <c r="M1200" s="3">
        <v>40263</v>
      </c>
      <c r="N1200" s="2"/>
      <c r="O1200" s="2"/>
      <c r="P1200" s="2"/>
      <c r="Q1200" s="2" t="str">
        <f>""</f>
        <v/>
      </c>
      <c r="R1200" s="2"/>
      <c r="S1200" s="2"/>
      <c r="T1200" s="2">
        <v>1</v>
      </c>
      <c r="U1200" s="2" t="s">
        <v>79</v>
      </c>
      <c r="V1200" s="2">
        <v>1</v>
      </c>
      <c r="W1200" s="2" t="s">
        <v>80</v>
      </c>
      <c r="X1200" s="2">
        <v>1</v>
      </c>
      <c r="Y1200" s="2" t="s">
        <v>81</v>
      </c>
      <c r="Z1200" s="2">
        <v>1</v>
      </c>
      <c r="AA1200" s="2" t="s">
        <v>82</v>
      </c>
      <c r="AB1200" s="2">
        <v>9</v>
      </c>
      <c r="AC1200" s="2" t="s">
        <v>124</v>
      </c>
      <c r="AD1200" s="3">
        <v>40263</v>
      </c>
      <c r="AE1200" s="4">
        <v>0.69444444444444453</v>
      </c>
      <c r="AF1200" s="2"/>
      <c r="AG1200" s="2"/>
      <c r="AH1200" s="2">
        <v>6</v>
      </c>
      <c r="AI1200" s="2" t="s">
        <v>197</v>
      </c>
      <c r="AJ1200" s="2">
        <v>58</v>
      </c>
      <c r="AK1200" s="2" t="s">
        <v>406</v>
      </c>
      <c r="AL1200" s="2">
        <v>2</v>
      </c>
      <c r="AM1200" s="2" t="s">
        <v>163</v>
      </c>
      <c r="AN1200" s="2" t="s">
        <v>4531</v>
      </c>
      <c r="AO1200" s="2" t="s">
        <v>4532</v>
      </c>
      <c r="AP1200" s="2">
        <v>11</v>
      </c>
      <c r="AQ1200" s="2" t="s">
        <v>82</v>
      </c>
      <c r="AR1200" s="2"/>
      <c r="AS1200" s="2"/>
      <c r="AT1200" s="2" t="s">
        <v>4533</v>
      </c>
      <c r="AU1200" s="2"/>
      <c r="AV1200" s="2"/>
      <c r="AW1200" s="2"/>
      <c r="AX1200" s="2"/>
      <c r="AY1200" s="2">
        <v>41</v>
      </c>
      <c r="AZ1200" s="2" t="s">
        <v>82</v>
      </c>
      <c r="BA1200" s="2">
        <v>41</v>
      </c>
      <c r="BB1200" s="2" t="s">
        <v>82</v>
      </c>
      <c r="BC1200" s="2">
        <v>41</v>
      </c>
      <c r="BD1200" s="2" t="s">
        <v>82</v>
      </c>
      <c r="BE1200" s="2">
        <v>41</v>
      </c>
      <c r="BF1200" s="2" t="s">
        <v>82</v>
      </c>
      <c r="BG1200" s="2" t="s">
        <v>3200</v>
      </c>
      <c r="BH1200" s="4">
        <v>0.5625</v>
      </c>
      <c r="BI1200" s="4">
        <v>0.61458333333333337</v>
      </c>
      <c r="BJ1200" s="2">
        <v>13</v>
      </c>
      <c r="BK1200" s="2" t="s">
        <v>91</v>
      </c>
      <c r="BL1200" s="2" t="s">
        <v>4534</v>
      </c>
      <c r="BM1200" s="2">
        <v>241</v>
      </c>
      <c r="BN1200" s="2" t="s">
        <v>82</v>
      </c>
      <c r="BO1200" s="2" t="s">
        <v>82</v>
      </c>
      <c r="BP1200" s="2">
        <v>13</v>
      </c>
      <c r="BQ1200" s="2" t="s">
        <v>91</v>
      </c>
      <c r="BR1200" s="2"/>
      <c r="BS1200" s="3">
        <v>40263</v>
      </c>
      <c r="BT1200" s="4">
        <v>0.66934027777777771</v>
      </c>
    </row>
    <row r="1201" spans="1:72" x14ac:dyDescent="0.25">
      <c r="A1201" s="2">
        <v>1834</v>
      </c>
      <c r="B1201" s="2">
        <v>2010</v>
      </c>
      <c r="C1201" s="2" t="s">
        <v>806</v>
      </c>
      <c r="D1201" s="2" t="s">
        <v>73</v>
      </c>
      <c r="E1201" s="2"/>
      <c r="F1201" s="2">
        <v>11</v>
      </c>
      <c r="G1201" s="2" t="s">
        <v>2454</v>
      </c>
      <c r="H1201" s="2">
        <v>57</v>
      </c>
      <c r="I1201" s="2" t="s">
        <v>3043</v>
      </c>
      <c r="J1201" s="2">
        <v>19</v>
      </c>
      <c r="K1201" s="2" t="s">
        <v>2144</v>
      </c>
      <c r="L1201" s="2" t="s">
        <v>2145</v>
      </c>
      <c r="M1201" s="3">
        <v>40263</v>
      </c>
      <c r="N1201" s="2" t="s">
        <v>3358</v>
      </c>
      <c r="O1201" s="2" t="s">
        <v>4501</v>
      </c>
      <c r="P1201" s="2">
        <v>14573</v>
      </c>
      <c r="Q1201" s="2" t="str">
        <f>"09/10"</f>
        <v>09/10</v>
      </c>
      <c r="R1201" s="2" t="s">
        <v>82</v>
      </c>
      <c r="S1201" s="2" t="s">
        <v>4502</v>
      </c>
      <c r="T1201" s="2">
        <v>1</v>
      </c>
      <c r="U1201" s="2" t="s">
        <v>79</v>
      </c>
      <c r="V1201" s="2">
        <v>1</v>
      </c>
      <c r="W1201" s="2" t="s">
        <v>80</v>
      </c>
      <c r="X1201" s="2">
        <v>4</v>
      </c>
      <c r="Y1201" s="2" t="s">
        <v>463</v>
      </c>
      <c r="Z1201" s="2">
        <v>1</v>
      </c>
      <c r="AA1201" s="2" t="s">
        <v>82</v>
      </c>
      <c r="AB1201" s="2">
        <v>9</v>
      </c>
      <c r="AC1201" s="2" t="s">
        <v>124</v>
      </c>
      <c r="AD1201" s="3">
        <v>40263</v>
      </c>
      <c r="AE1201" s="4">
        <v>0.64583333333333337</v>
      </c>
      <c r="AF1201" s="2"/>
      <c r="AG1201" s="2"/>
      <c r="AH1201" s="2">
        <v>3</v>
      </c>
      <c r="AI1201" s="2" t="s">
        <v>214</v>
      </c>
      <c r="AJ1201" s="2">
        <v>14</v>
      </c>
      <c r="AK1201" s="2" t="s">
        <v>342</v>
      </c>
      <c r="AL1201" s="2">
        <v>18</v>
      </c>
      <c r="AM1201" s="2" t="s">
        <v>82</v>
      </c>
      <c r="AN1201" s="2"/>
      <c r="AO1201" s="2" t="s">
        <v>4503</v>
      </c>
      <c r="AP1201" s="2">
        <v>11</v>
      </c>
      <c r="AQ1201" s="2" t="s">
        <v>82</v>
      </c>
      <c r="AR1201" s="2"/>
      <c r="AS1201" s="2"/>
      <c r="AT1201" s="2" t="s">
        <v>4535</v>
      </c>
      <c r="AU1201" s="2">
        <v>2</v>
      </c>
      <c r="AV1201" s="2"/>
      <c r="AW1201" s="2"/>
      <c r="AX1201" s="2"/>
      <c r="AY1201" s="2">
        <v>1</v>
      </c>
      <c r="AZ1201" s="2" t="s">
        <v>107</v>
      </c>
      <c r="BA1201" s="2">
        <v>1</v>
      </c>
      <c r="BB1201" s="2" t="s">
        <v>107</v>
      </c>
      <c r="BC1201" s="2">
        <v>1</v>
      </c>
      <c r="BD1201" s="2" t="s">
        <v>107</v>
      </c>
      <c r="BE1201" s="2">
        <v>1</v>
      </c>
      <c r="BF1201" s="2" t="s">
        <v>107</v>
      </c>
      <c r="BG1201" s="2"/>
      <c r="BH1201" s="2"/>
      <c r="BI1201" s="2"/>
      <c r="BJ1201" s="2">
        <v>242</v>
      </c>
      <c r="BK1201" s="2" t="s">
        <v>107</v>
      </c>
      <c r="BL1201" s="2"/>
      <c r="BM1201" s="2">
        <v>242</v>
      </c>
      <c r="BN1201" s="2" t="s">
        <v>107</v>
      </c>
      <c r="BO1201" s="2"/>
      <c r="BP1201" s="2">
        <v>242</v>
      </c>
      <c r="BQ1201" s="2" t="s">
        <v>107</v>
      </c>
      <c r="BR1201" s="2"/>
      <c r="BS1201" s="3">
        <v>40263</v>
      </c>
      <c r="BT1201" s="4">
        <v>0.67216435185185175</v>
      </c>
    </row>
    <row r="1202" spans="1:72" x14ac:dyDescent="0.25">
      <c r="A1202" s="2">
        <v>1834</v>
      </c>
      <c r="B1202" s="2">
        <v>2010</v>
      </c>
      <c r="C1202" s="2" t="s">
        <v>409</v>
      </c>
      <c r="D1202" s="2" t="s">
        <v>73</v>
      </c>
      <c r="E1202" s="2"/>
      <c r="F1202" s="2">
        <v>11</v>
      </c>
      <c r="G1202" s="2" t="s">
        <v>2454</v>
      </c>
      <c r="H1202" s="2">
        <v>57</v>
      </c>
      <c r="I1202" s="2" t="s">
        <v>3043</v>
      </c>
      <c r="J1202" s="2">
        <v>19</v>
      </c>
      <c r="K1202" s="2" t="s">
        <v>2144</v>
      </c>
      <c r="L1202" s="2" t="s">
        <v>2145</v>
      </c>
      <c r="M1202" s="3">
        <v>40263</v>
      </c>
      <c r="N1202" s="2" t="s">
        <v>3358</v>
      </c>
      <c r="O1202" s="2" t="s">
        <v>4501</v>
      </c>
      <c r="P1202" s="2">
        <v>14573</v>
      </c>
      <c r="Q1202" s="2" t="str">
        <f>"09/10"</f>
        <v>09/10</v>
      </c>
      <c r="R1202" s="2" t="s">
        <v>82</v>
      </c>
      <c r="S1202" s="2" t="s">
        <v>4502</v>
      </c>
      <c r="T1202" s="2">
        <v>1</v>
      </c>
      <c r="U1202" s="2" t="s">
        <v>79</v>
      </c>
      <c r="V1202" s="2">
        <v>1</v>
      </c>
      <c r="W1202" s="2" t="s">
        <v>80</v>
      </c>
      <c r="X1202" s="2">
        <v>4</v>
      </c>
      <c r="Y1202" s="2" t="s">
        <v>463</v>
      </c>
      <c r="Z1202" s="2">
        <v>1</v>
      </c>
      <c r="AA1202" s="2" t="s">
        <v>82</v>
      </c>
      <c r="AB1202" s="2">
        <v>9</v>
      </c>
      <c r="AC1202" s="2" t="s">
        <v>124</v>
      </c>
      <c r="AD1202" s="3">
        <v>40263</v>
      </c>
      <c r="AE1202" s="4">
        <v>0.64583333333333337</v>
      </c>
      <c r="AF1202" s="2"/>
      <c r="AG1202" s="2"/>
      <c r="AH1202" s="2">
        <v>3</v>
      </c>
      <c r="AI1202" s="2" t="s">
        <v>214</v>
      </c>
      <c r="AJ1202" s="2">
        <v>14</v>
      </c>
      <c r="AK1202" s="2" t="s">
        <v>342</v>
      </c>
      <c r="AL1202" s="2">
        <v>18</v>
      </c>
      <c r="AM1202" s="2" t="s">
        <v>82</v>
      </c>
      <c r="AN1202" s="2"/>
      <c r="AO1202" s="2" t="s">
        <v>4503</v>
      </c>
      <c r="AP1202" s="2">
        <v>11</v>
      </c>
      <c r="AQ1202" s="2" t="s">
        <v>82</v>
      </c>
      <c r="AR1202" s="2"/>
      <c r="AS1202" s="2"/>
      <c r="AT1202" s="2" t="s">
        <v>4535</v>
      </c>
      <c r="AU1202" s="2">
        <v>2</v>
      </c>
      <c r="AV1202" s="2"/>
      <c r="AW1202" s="2"/>
      <c r="AX1202" s="2"/>
      <c r="AY1202" s="2">
        <v>1</v>
      </c>
      <c r="AZ1202" s="2" t="s">
        <v>107</v>
      </c>
      <c r="BA1202" s="2">
        <v>1</v>
      </c>
      <c r="BB1202" s="2" t="s">
        <v>107</v>
      </c>
      <c r="BC1202" s="2">
        <v>1</v>
      </c>
      <c r="BD1202" s="2" t="s">
        <v>107</v>
      </c>
      <c r="BE1202" s="2">
        <v>1</v>
      </c>
      <c r="BF1202" s="2" t="s">
        <v>107</v>
      </c>
      <c r="BG1202" s="2"/>
      <c r="BH1202" s="2"/>
      <c r="BI1202" s="2"/>
      <c r="BJ1202" s="2">
        <v>242</v>
      </c>
      <c r="BK1202" s="2" t="s">
        <v>107</v>
      </c>
      <c r="BL1202" s="2"/>
      <c r="BM1202" s="2">
        <v>242</v>
      </c>
      <c r="BN1202" s="2" t="s">
        <v>107</v>
      </c>
      <c r="BO1202" s="2"/>
      <c r="BP1202" s="2">
        <v>242</v>
      </c>
      <c r="BQ1202" s="2" t="s">
        <v>107</v>
      </c>
      <c r="BR1202" s="2"/>
      <c r="BS1202" s="3">
        <v>40263</v>
      </c>
      <c r="BT1202" s="4">
        <v>0.67216435185185175</v>
      </c>
    </row>
    <row r="1203" spans="1:72" x14ac:dyDescent="0.25">
      <c r="A1203" s="2">
        <v>1834</v>
      </c>
      <c r="B1203" s="2">
        <v>2010</v>
      </c>
      <c r="C1203" s="2" t="s">
        <v>806</v>
      </c>
      <c r="D1203" s="2" t="s">
        <v>73</v>
      </c>
      <c r="E1203" s="2"/>
      <c r="F1203" s="2">
        <v>11</v>
      </c>
      <c r="G1203" s="2" t="s">
        <v>2454</v>
      </c>
      <c r="H1203" s="2">
        <v>57</v>
      </c>
      <c r="I1203" s="2" t="s">
        <v>3043</v>
      </c>
      <c r="J1203" s="2">
        <v>19</v>
      </c>
      <c r="K1203" s="2" t="s">
        <v>2144</v>
      </c>
      <c r="L1203" s="2" t="s">
        <v>2145</v>
      </c>
      <c r="M1203" s="3">
        <v>40263</v>
      </c>
      <c r="N1203" s="2" t="s">
        <v>3358</v>
      </c>
      <c r="O1203" s="2" t="s">
        <v>4501</v>
      </c>
      <c r="P1203" s="2">
        <v>14573</v>
      </c>
      <c r="Q1203" s="2" t="str">
        <f>"09/10"</f>
        <v>09/10</v>
      </c>
      <c r="R1203" s="2" t="s">
        <v>82</v>
      </c>
      <c r="S1203" s="2" t="s">
        <v>4502</v>
      </c>
      <c r="T1203" s="2">
        <v>1</v>
      </c>
      <c r="U1203" s="2" t="s">
        <v>79</v>
      </c>
      <c r="V1203" s="2">
        <v>1</v>
      </c>
      <c r="W1203" s="2" t="s">
        <v>80</v>
      </c>
      <c r="X1203" s="2">
        <v>4</v>
      </c>
      <c r="Y1203" s="2" t="s">
        <v>463</v>
      </c>
      <c r="Z1203" s="2">
        <v>1</v>
      </c>
      <c r="AA1203" s="2" t="s">
        <v>82</v>
      </c>
      <c r="AB1203" s="2">
        <v>9</v>
      </c>
      <c r="AC1203" s="2" t="s">
        <v>124</v>
      </c>
      <c r="AD1203" s="3">
        <v>40263</v>
      </c>
      <c r="AE1203" s="4">
        <v>0.64583333333333337</v>
      </c>
      <c r="AF1203" s="2"/>
      <c r="AG1203" s="2"/>
      <c r="AH1203" s="2">
        <v>3</v>
      </c>
      <c r="AI1203" s="2" t="s">
        <v>214</v>
      </c>
      <c r="AJ1203" s="2">
        <v>14</v>
      </c>
      <c r="AK1203" s="2" t="s">
        <v>342</v>
      </c>
      <c r="AL1203" s="2">
        <v>18</v>
      </c>
      <c r="AM1203" s="2" t="s">
        <v>82</v>
      </c>
      <c r="AN1203" s="2"/>
      <c r="AO1203" s="2" t="s">
        <v>4503</v>
      </c>
      <c r="AP1203" s="2">
        <v>11</v>
      </c>
      <c r="AQ1203" s="2" t="s">
        <v>82</v>
      </c>
      <c r="AR1203" s="2"/>
      <c r="AS1203" s="2"/>
      <c r="AT1203" s="2" t="s">
        <v>4535</v>
      </c>
      <c r="AU1203" s="2">
        <v>2</v>
      </c>
      <c r="AV1203" s="2"/>
      <c r="AW1203" s="2"/>
      <c r="AX1203" s="2"/>
      <c r="AY1203" s="2">
        <v>1</v>
      </c>
      <c r="AZ1203" s="2" t="s">
        <v>107</v>
      </c>
      <c r="BA1203" s="2">
        <v>1</v>
      </c>
      <c r="BB1203" s="2" t="s">
        <v>107</v>
      </c>
      <c r="BC1203" s="2">
        <v>1</v>
      </c>
      <c r="BD1203" s="2" t="s">
        <v>107</v>
      </c>
      <c r="BE1203" s="2">
        <v>1</v>
      </c>
      <c r="BF1203" s="2" t="s">
        <v>107</v>
      </c>
      <c r="BG1203" s="2"/>
      <c r="BH1203" s="2"/>
      <c r="BI1203" s="2"/>
      <c r="BJ1203" s="2">
        <v>242</v>
      </c>
      <c r="BK1203" s="2" t="s">
        <v>107</v>
      </c>
      <c r="BL1203" s="2"/>
      <c r="BM1203" s="2">
        <v>242</v>
      </c>
      <c r="BN1203" s="2" t="s">
        <v>107</v>
      </c>
      <c r="BO1203" s="2"/>
      <c r="BP1203" s="2">
        <v>242</v>
      </c>
      <c r="BQ1203" s="2" t="s">
        <v>107</v>
      </c>
      <c r="BR1203" s="2"/>
      <c r="BS1203" s="3">
        <v>40263</v>
      </c>
      <c r="BT1203" s="4">
        <v>0.67216435185185175</v>
      </c>
    </row>
    <row r="1204" spans="1:72" x14ac:dyDescent="0.25">
      <c r="A1204" s="2">
        <v>1835</v>
      </c>
      <c r="B1204" s="2">
        <v>2010</v>
      </c>
      <c r="C1204" s="2" t="s">
        <v>72</v>
      </c>
      <c r="D1204" s="2" t="s">
        <v>73</v>
      </c>
      <c r="E1204" s="2"/>
      <c r="F1204" s="2">
        <v>45</v>
      </c>
      <c r="G1204" s="2" t="s">
        <v>1408</v>
      </c>
      <c r="H1204" s="2">
        <v>47</v>
      </c>
      <c r="I1204" s="2" t="s">
        <v>1409</v>
      </c>
      <c r="J1204" s="2">
        <v>77</v>
      </c>
      <c r="K1204" s="2" t="s">
        <v>2517</v>
      </c>
      <c r="L1204" s="2" t="s">
        <v>2518</v>
      </c>
      <c r="M1204" s="3">
        <v>40263</v>
      </c>
      <c r="N1204" s="2" t="s">
        <v>4536</v>
      </c>
      <c r="O1204" s="2" t="s">
        <v>4537</v>
      </c>
      <c r="P1204" s="2" t="s">
        <v>4538</v>
      </c>
      <c r="Q1204" s="2" t="str">
        <f>"011/10"</f>
        <v>011/10</v>
      </c>
      <c r="R1204" s="2"/>
      <c r="S1204" s="2"/>
      <c r="T1204" s="2">
        <v>1</v>
      </c>
      <c r="U1204" s="2" t="s">
        <v>79</v>
      </c>
      <c r="V1204" s="2">
        <v>1</v>
      </c>
      <c r="W1204" s="2" t="s">
        <v>80</v>
      </c>
      <c r="X1204" s="2">
        <v>2</v>
      </c>
      <c r="Y1204" s="2" t="s">
        <v>136</v>
      </c>
      <c r="Z1204" s="2">
        <v>1</v>
      </c>
      <c r="AA1204" s="2" t="s">
        <v>82</v>
      </c>
      <c r="AB1204" s="2">
        <v>6</v>
      </c>
      <c r="AC1204" s="2" t="s">
        <v>83</v>
      </c>
      <c r="AD1204" s="3">
        <v>40258</v>
      </c>
      <c r="AE1204" s="4">
        <v>0.125</v>
      </c>
      <c r="AF1204" s="3">
        <v>40263</v>
      </c>
      <c r="AG1204" s="4">
        <v>0.4375</v>
      </c>
      <c r="AH1204" s="2">
        <v>4</v>
      </c>
      <c r="AI1204" s="2" t="s">
        <v>125</v>
      </c>
      <c r="AJ1204" s="2">
        <v>31</v>
      </c>
      <c r="AK1204" s="2" t="s">
        <v>1413</v>
      </c>
      <c r="AL1204" s="2">
        <v>12</v>
      </c>
      <c r="AM1204" s="2" t="s">
        <v>86</v>
      </c>
      <c r="AN1204" s="2" t="s">
        <v>4539</v>
      </c>
      <c r="AO1204" s="2"/>
      <c r="AP1204" s="2">
        <v>11</v>
      </c>
      <c r="AQ1204" s="2" t="s">
        <v>82</v>
      </c>
      <c r="AR1204" s="2"/>
      <c r="AS1204" s="2"/>
      <c r="AT1204" s="2" t="s">
        <v>4540</v>
      </c>
      <c r="AU1204" s="2"/>
      <c r="AV1204" s="2"/>
      <c r="AW1204" s="2"/>
      <c r="AX1204" s="2"/>
      <c r="AY1204" s="2">
        <v>44</v>
      </c>
      <c r="AZ1204" s="2" t="s">
        <v>262</v>
      </c>
      <c r="BA1204" s="2">
        <v>70</v>
      </c>
      <c r="BB1204" s="2" t="s">
        <v>236</v>
      </c>
      <c r="BC1204" s="2">
        <v>44</v>
      </c>
      <c r="BD1204" s="2" t="s">
        <v>262</v>
      </c>
      <c r="BE1204" s="2">
        <v>41</v>
      </c>
      <c r="BF1204" s="2" t="s">
        <v>82</v>
      </c>
      <c r="BG1204" s="2"/>
      <c r="BH1204" s="2"/>
      <c r="BI1204" s="2"/>
      <c r="BJ1204" s="2">
        <v>241</v>
      </c>
      <c r="BK1204" s="2" t="s">
        <v>82</v>
      </c>
      <c r="BL1204" s="2"/>
      <c r="BM1204" s="2">
        <v>241</v>
      </c>
      <c r="BN1204" s="2" t="s">
        <v>82</v>
      </c>
      <c r="BO1204" s="2"/>
      <c r="BP1204" s="2">
        <v>241</v>
      </c>
      <c r="BQ1204" s="2" t="s">
        <v>82</v>
      </c>
      <c r="BR1204" s="2"/>
      <c r="BS1204" s="3">
        <v>40263</v>
      </c>
      <c r="BT1204" s="4">
        <v>0.6789236111111111</v>
      </c>
    </row>
    <row r="1205" spans="1:72" x14ac:dyDescent="0.25">
      <c r="A1205" s="2">
        <v>1836</v>
      </c>
      <c r="B1205" s="2">
        <v>2010</v>
      </c>
      <c r="C1205" s="2" t="s">
        <v>819</v>
      </c>
      <c r="D1205" s="2" t="s">
        <v>73</v>
      </c>
      <c r="E1205" s="2" t="s">
        <v>4541</v>
      </c>
      <c r="F1205" s="2">
        <v>451</v>
      </c>
      <c r="G1205" s="2" t="s">
        <v>879</v>
      </c>
      <c r="H1205" s="2">
        <v>31</v>
      </c>
      <c r="I1205" s="2" t="s">
        <v>880</v>
      </c>
      <c r="J1205" s="2">
        <v>326</v>
      </c>
      <c r="K1205" s="2" t="s">
        <v>881</v>
      </c>
      <c r="L1205" s="2" t="s">
        <v>882</v>
      </c>
      <c r="M1205" s="3">
        <v>40263</v>
      </c>
      <c r="N1205" s="2" t="s">
        <v>821</v>
      </c>
      <c r="O1205" s="2" t="s">
        <v>3239</v>
      </c>
      <c r="P1205" s="2" t="s">
        <v>908</v>
      </c>
      <c r="Q1205" s="2" t="str">
        <f>"026/10"</f>
        <v>026/10</v>
      </c>
      <c r="R1205" s="2"/>
      <c r="S1205" s="2" t="s">
        <v>822</v>
      </c>
      <c r="T1205" s="2">
        <v>1</v>
      </c>
      <c r="U1205" s="2" t="s">
        <v>79</v>
      </c>
      <c r="V1205" s="2">
        <v>1</v>
      </c>
      <c r="W1205" s="2" t="s">
        <v>80</v>
      </c>
      <c r="X1205" s="2">
        <v>1</v>
      </c>
      <c r="Y1205" s="2" t="s">
        <v>81</v>
      </c>
      <c r="Z1205" s="2">
        <v>10</v>
      </c>
      <c r="AA1205" s="2" t="s">
        <v>236</v>
      </c>
      <c r="AB1205" s="2">
        <v>9</v>
      </c>
      <c r="AC1205" s="2" t="s">
        <v>124</v>
      </c>
      <c r="AD1205" s="3">
        <v>40263</v>
      </c>
      <c r="AE1205" s="4">
        <v>0.5</v>
      </c>
      <c r="AF1205" s="2"/>
      <c r="AG1205" s="2"/>
      <c r="AH1205" s="2">
        <v>4</v>
      </c>
      <c r="AI1205" s="2" t="s">
        <v>125</v>
      </c>
      <c r="AJ1205" s="2">
        <v>29</v>
      </c>
      <c r="AK1205" s="2" t="s">
        <v>227</v>
      </c>
      <c r="AL1205" s="2">
        <v>10</v>
      </c>
      <c r="AM1205" s="2" t="s">
        <v>200</v>
      </c>
      <c r="AN1205" s="2" t="s">
        <v>3592</v>
      </c>
      <c r="AO1205" s="2"/>
      <c r="AP1205" s="2">
        <v>12</v>
      </c>
      <c r="AQ1205" s="2" t="s">
        <v>322</v>
      </c>
      <c r="AR1205" s="2" t="s">
        <v>824</v>
      </c>
      <c r="AS1205" s="2" t="s">
        <v>3498</v>
      </c>
      <c r="AT1205" s="2" t="s">
        <v>4542</v>
      </c>
      <c r="AU1205" s="2"/>
      <c r="AV1205" s="2"/>
      <c r="AW1205" s="2"/>
      <c r="AX1205" s="2"/>
      <c r="AY1205" s="2">
        <v>41</v>
      </c>
      <c r="AZ1205" s="2" t="s">
        <v>82</v>
      </c>
      <c r="BA1205" s="2">
        <v>41</v>
      </c>
      <c r="BB1205" s="2" t="s">
        <v>82</v>
      </c>
      <c r="BC1205" s="2">
        <v>51</v>
      </c>
      <c r="BD1205" s="2" t="s">
        <v>827</v>
      </c>
      <c r="BE1205" s="2">
        <v>47</v>
      </c>
      <c r="BF1205" s="2" t="s">
        <v>167</v>
      </c>
      <c r="BG1205" s="2">
        <v>2459</v>
      </c>
      <c r="BH1205" s="4">
        <v>0.84027777777777779</v>
      </c>
      <c r="BI1205" s="4">
        <v>0.88541666666666663</v>
      </c>
      <c r="BJ1205" s="2">
        <v>13</v>
      </c>
      <c r="BK1205" s="2" t="s">
        <v>91</v>
      </c>
      <c r="BL1205" s="2" t="s">
        <v>828</v>
      </c>
      <c r="BM1205" s="2">
        <v>241</v>
      </c>
      <c r="BN1205" s="2" t="s">
        <v>82</v>
      </c>
      <c r="BO1205" s="2" t="s">
        <v>82</v>
      </c>
      <c r="BP1205" s="2">
        <v>13</v>
      </c>
      <c r="BQ1205" s="2" t="s">
        <v>91</v>
      </c>
      <c r="BR1205" s="2" t="s">
        <v>2592</v>
      </c>
      <c r="BS1205" s="3">
        <v>40263</v>
      </c>
      <c r="BT1205" s="4">
        <v>0.68019675925925915</v>
      </c>
    </row>
    <row r="1206" spans="1:72" x14ac:dyDescent="0.25">
      <c r="A1206" s="2">
        <v>1836</v>
      </c>
      <c r="B1206" s="2">
        <v>2010</v>
      </c>
      <c r="C1206" s="2" t="s">
        <v>171</v>
      </c>
      <c r="D1206" s="2" t="s">
        <v>73</v>
      </c>
      <c r="E1206" s="2" t="s">
        <v>4541</v>
      </c>
      <c r="F1206" s="2">
        <v>451</v>
      </c>
      <c r="G1206" s="2" t="s">
        <v>879</v>
      </c>
      <c r="H1206" s="2">
        <v>31</v>
      </c>
      <c r="I1206" s="2" t="s">
        <v>880</v>
      </c>
      <c r="J1206" s="2">
        <v>326</v>
      </c>
      <c r="K1206" s="2" t="s">
        <v>881</v>
      </c>
      <c r="L1206" s="2" t="s">
        <v>882</v>
      </c>
      <c r="M1206" s="3">
        <v>40263</v>
      </c>
      <c r="N1206" s="2" t="s">
        <v>821</v>
      </c>
      <c r="O1206" s="2" t="s">
        <v>3239</v>
      </c>
      <c r="P1206" s="2" t="s">
        <v>908</v>
      </c>
      <c r="Q1206" s="2" t="str">
        <f>"026/10"</f>
        <v>026/10</v>
      </c>
      <c r="R1206" s="2"/>
      <c r="S1206" s="2" t="s">
        <v>822</v>
      </c>
      <c r="T1206" s="2">
        <v>1</v>
      </c>
      <c r="U1206" s="2" t="s">
        <v>79</v>
      </c>
      <c r="V1206" s="2">
        <v>1</v>
      </c>
      <c r="W1206" s="2" t="s">
        <v>80</v>
      </c>
      <c r="X1206" s="2">
        <v>1</v>
      </c>
      <c r="Y1206" s="2" t="s">
        <v>81</v>
      </c>
      <c r="Z1206" s="2">
        <v>10</v>
      </c>
      <c r="AA1206" s="2" t="s">
        <v>236</v>
      </c>
      <c r="AB1206" s="2">
        <v>1</v>
      </c>
      <c r="AC1206" s="2" t="s">
        <v>178</v>
      </c>
      <c r="AD1206" s="3">
        <v>40263</v>
      </c>
      <c r="AE1206" s="4">
        <v>0.5</v>
      </c>
      <c r="AF1206" s="2"/>
      <c r="AG1206" s="2"/>
      <c r="AH1206" s="2">
        <v>4</v>
      </c>
      <c r="AI1206" s="2" t="s">
        <v>125</v>
      </c>
      <c r="AJ1206" s="2">
        <v>29</v>
      </c>
      <c r="AK1206" s="2" t="s">
        <v>227</v>
      </c>
      <c r="AL1206" s="2">
        <v>10</v>
      </c>
      <c r="AM1206" s="2" t="s">
        <v>200</v>
      </c>
      <c r="AN1206" s="2" t="s">
        <v>3592</v>
      </c>
      <c r="AO1206" s="2"/>
      <c r="AP1206" s="2">
        <v>12</v>
      </c>
      <c r="AQ1206" s="2" t="s">
        <v>322</v>
      </c>
      <c r="AR1206" s="2" t="s">
        <v>824</v>
      </c>
      <c r="AS1206" s="2" t="s">
        <v>3498</v>
      </c>
      <c r="AT1206" s="2" t="s">
        <v>4542</v>
      </c>
      <c r="AU1206" s="2"/>
      <c r="AV1206" s="2"/>
      <c r="AW1206" s="2"/>
      <c r="AX1206" s="2"/>
      <c r="AY1206" s="2">
        <v>41</v>
      </c>
      <c r="AZ1206" s="2" t="s">
        <v>82</v>
      </c>
      <c r="BA1206" s="2">
        <v>41</v>
      </c>
      <c r="BB1206" s="2" t="s">
        <v>82</v>
      </c>
      <c r="BC1206" s="2">
        <v>51</v>
      </c>
      <c r="BD1206" s="2" t="s">
        <v>827</v>
      </c>
      <c r="BE1206" s="2">
        <v>47</v>
      </c>
      <c r="BF1206" s="2" t="s">
        <v>167</v>
      </c>
      <c r="BG1206" s="2">
        <v>2459</v>
      </c>
      <c r="BH1206" s="4">
        <v>0.84027777777777779</v>
      </c>
      <c r="BI1206" s="4">
        <v>0.88541666666666663</v>
      </c>
      <c r="BJ1206" s="2">
        <v>13</v>
      </c>
      <c r="BK1206" s="2" t="s">
        <v>91</v>
      </c>
      <c r="BL1206" s="2" t="s">
        <v>828</v>
      </c>
      <c r="BM1206" s="2">
        <v>241</v>
      </c>
      <c r="BN1206" s="2" t="s">
        <v>82</v>
      </c>
      <c r="BO1206" s="2" t="s">
        <v>82</v>
      </c>
      <c r="BP1206" s="2">
        <v>13</v>
      </c>
      <c r="BQ1206" s="2" t="s">
        <v>91</v>
      </c>
      <c r="BR1206" s="2" t="s">
        <v>2592</v>
      </c>
      <c r="BS1206" s="3">
        <v>40263</v>
      </c>
      <c r="BT1206" s="4">
        <v>0.68019675925925915</v>
      </c>
    </row>
    <row r="1207" spans="1:72" x14ac:dyDescent="0.25">
      <c r="A1207" s="2">
        <v>1838</v>
      </c>
      <c r="B1207" s="2">
        <v>2010</v>
      </c>
      <c r="C1207" s="2" t="s">
        <v>4543</v>
      </c>
      <c r="D1207" s="2" t="s">
        <v>122</v>
      </c>
      <c r="E1207" s="2"/>
      <c r="F1207" s="2">
        <v>1</v>
      </c>
      <c r="G1207" s="2" t="s">
        <v>82</v>
      </c>
      <c r="H1207" s="2">
        <v>1</v>
      </c>
      <c r="I1207" s="2" t="s">
        <v>82</v>
      </c>
      <c r="J1207" s="2">
        <v>1</v>
      </c>
      <c r="K1207" s="2" t="s">
        <v>107</v>
      </c>
      <c r="L1207" s="2" t="s">
        <v>107</v>
      </c>
      <c r="M1207" s="3">
        <v>40263</v>
      </c>
      <c r="N1207" s="2"/>
      <c r="O1207" s="2"/>
      <c r="P1207" s="2"/>
      <c r="Q1207" s="2" t="str">
        <f>""</f>
        <v/>
      </c>
      <c r="R1207" s="2"/>
      <c r="S1207" s="2"/>
      <c r="T1207" s="2">
        <v>2</v>
      </c>
      <c r="U1207" s="2" t="s">
        <v>123</v>
      </c>
      <c r="V1207" s="2">
        <v>1</v>
      </c>
      <c r="W1207" s="2" t="s">
        <v>80</v>
      </c>
      <c r="X1207" s="2">
        <v>3</v>
      </c>
      <c r="Y1207" s="2" t="s">
        <v>698</v>
      </c>
      <c r="Z1207" s="2">
        <v>10</v>
      </c>
      <c r="AA1207" s="2" t="s">
        <v>236</v>
      </c>
      <c r="AB1207" s="2">
        <v>9</v>
      </c>
      <c r="AC1207" s="2" t="s">
        <v>124</v>
      </c>
      <c r="AD1207" s="3">
        <v>40263</v>
      </c>
      <c r="AE1207" s="4">
        <v>0.71527777777777779</v>
      </c>
      <c r="AF1207" s="2"/>
      <c r="AG1207" s="2"/>
      <c r="AH1207" s="2">
        <v>4</v>
      </c>
      <c r="AI1207" s="2" t="s">
        <v>125</v>
      </c>
      <c r="AJ1207" s="2">
        <v>29</v>
      </c>
      <c r="AK1207" s="2" t="s">
        <v>227</v>
      </c>
      <c r="AL1207" s="2">
        <v>9</v>
      </c>
      <c r="AM1207" s="2" t="s">
        <v>259</v>
      </c>
      <c r="AN1207" s="2" t="s">
        <v>4544</v>
      </c>
      <c r="AO1207" s="2" t="s">
        <v>3492</v>
      </c>
      <c r="AP1207" s="2">
        <v>11</v>
      </c>
      <c r="AQ1207" s="2" t="s">
        <v>82</v>
      </c>
      <c r="AR1207" s="2"/>
      <c r="AS1207" s="2"/>
      <c r="AT1207" s="2" t="s">
        <v>4545</v>
      </c>
      <c r="AU1207" s="2"/>
      <c r="AV1207" s="2"/>
      <c r="AW1207" s="2"/>
      <c r="AX1207" s="2"/>
      <c r="AY1207" s="2">
        <v>41</v>
      </c>
      <c r="AZ1207" s="2" t="s">
        <v>82</v>
      </c>
      <c r="BA1207" s="2">
        <v>41</v>
      </c>
      <c r="BB1207" s="2" t="s">
        <v>82</v>
      </c>
      <c r="BC1207" s="2">
        <v>41</v>
      </c>
      <c r="BD1207" s="2" t="s">
        <v>82</v>
      </c>
      <c r="BE1207" s="2">
        <v>48</v>
      </c>
      <c r="BF1207" s="2" t="s">
        <v>1123</v>
      </c>
      <c r="BG1207" s="2">
        <v>893</v>
      </c>
      <c r="BH1207" s="4">
        <v>0.71875</v>
      </c>
      <c r="BI1207" s="4">
        <v>0.69791666666666663</v>
      </c>
      <c r="BJ1207" s="2">
        <v>13</v>
      </c>
      <c r="BK1207" s="2" t="s">
        <v>91</v>
      </c>
      <c r="BL1207" s="2" t="s">
        <v>828</v>
      </c>
      <c r="BM1207" s="2">
        <v>241</v>
      </c>
      <c r="BN1207" s="2" t="s">
        <v>82</v>
      </c>
      <c r="BO1207" s="2"/>
      <c r="BP1207" s="2">
        <v>13</v>
      </c>
      <c r="BQ1207" s="2" t="s">
        <v>91</v>
      </c>
      <c r="BR1207" s="2" t="s">
        <v>169</v>
      </c>
      <c r="BS1207" s="3">
        <v>40263</v>
      </c>
      <c r="BT1207" s="4">
        <v>0.73579861111111111</v>
      </c>
    </row>
    <row r="1208" spans="1:72" x14ac:dyDescent="0.25">
      <c r="A1208" s="2">
        <v>1839</v>
      </c>
      <c r="B1208" s="2">
        <v>2010</v>
      </c>
      <c r="C1208" s="2" t="s">
        <v>171</v>
      </c>
      <c r="D1208" s="2" t="s">
        <v>73</v>
      </c>
      <c r="E1208" s="2"/>
      <c r="F1208" s="2">
        <v>159</v>
      </c>
      <c r="G1208" s="2" t="s">
        <v>3883</v>
      </c>
      <c r="H1208" s="2">
        <v>19</v>
      </c>
      <c r="I1208" s="2" t="s">
        <v>4355</v>
      </c>
      <c r="J1208" s="2">
        <v>172</v>
      </c>
      <c r="K1208" s="2" t="s">
        <v>3885</v>
      </c>
      <c r="L1208" s="2" t="s">
        <v>3886</v>
      </c>
      <c r="M1208" s="3">
        <v>40263</v>
      </c>
      <c r="N1208" s="2" t="s">
        <v>4356</v>
      </c>
      <c r="O1208" s="2" t="s">
        <v>82</v>
      </c>
      <c r="P1208" s="2" t="s">
        <v>82</v>
      </c>
      <c r="Q1208" s="2" t="str">
        <f>"122-A/10"</f>
        <v>122-A/10</v>
      </c>
      <c r="R1208" s="2" t="s">
        <v>82</v>
      </c>
      <c r="S1208" s="2" t="s">
        <v>4546</v>
      </c>
      <c r="T1208" s="2">
        <v>1</v>
      </c>
      <c r="U1208" s="2" t="s">
        <v>79</v>
      </c>
      <c r="V1208" s="2">
        <v>1</v>
      </c>
      <c r="W1208" s="2" t="s">
        <v>80</v>
      </c>
      <c r="X1208" s="2">
        <v>1</v>
      </c>
      <c r="Y1208" s="2" t="s">
        <v>81</v>
      </c>
      <c r="Z1208" s="2">
        <v>1</v>
      </c>
      <c r="AA1208" s="2" t="s">
        <v>82</v>
      </c>
      <c r="AB1208" s="2">
        <v>1</v>
      </c>
      <c r="AC1208" s="2" t="s">
        <v>178</v>
      </c>
      <c r="AD1208" s="3">
        <v>40263</v>
      </c>
      <c r="AE1208" s="4">
        <v>0.51388888888888895</v>
      </c>
      <c r="AF1208" s="3">
        <v>40263</v>
      </c>
      <c r="AG1208" s="4">
        <v>0.5625</v>
      </c>
      <c r="AH1208" s="2">
        <v>2</v>
      </c>
      <c r="AI1208" s="2" t="s">
        <v>84</v>
      </c>
      <c r="AJ1208" s="2">
        <v>12</v>
      </c>
      <c r="AK1208" s="2" t="s">
        <v>85</v>
      </c>
      <c r="AL1208" s="2">
        <v>12</v>
      </c>
      <c r="AM1208" s="2" t="s">
        <v>86</v>
      </c>
      <c r="AN1208" s="2" t="s">
        <v>4547</v>
      </c>
      <c r="AO1208" s="2" t="s">
        <v>4548</v>
      </c>
      <c r="AP1208" s="2">
        <v>11</v>
      </c>
      <c r="AQ1208" s="2" t="s">
        <v>82</v>
      </c>
      <c r="AR1208" s="2" t="s">
        <v>82</v>
      </c>
      <c r="AS1208" s="2" t="s">
        <v>82</v>
      </c>
      <c r="AT1208" s="2" t="s">
        <v>4549</v>
      </c>
      <c r="AU1208" s="2"/>
      <c r="AV1208" s="2"/>
      <c r="AW1208" s="2"/>
      <c r="AX1208" s="2"/>
      <c r="AY1208" s="2">
        <v>41</v>
      </c>
      <c r="AZ1208" s="2" t="s">
        <v>82</v>
      </c>
      <c r="BA1208" s="2">
        <v>41</v>
      </c>
      <c r="BB1208" s="2" t="s">
        <v>82</v>
      </c>
      <c r="BC1208" s="2">
        <v>41</v>
      </c>
      <c r="BD1208" s="2" t="s">
        <v>82</v>
      </c>
      <c r="BE1208" s="2">
        <v>41</v>
      </c>
      <c r="BF1208" s="2" t="s">
        <v>82</v>
      </c>
      <c r="BG1208" s="2" t="s">
        <v>82</v>
      </c>
      <c r="BH1208" s="2"/>
      <c r="BI1208" s="2"/>
      <c r="BJ1208" s="2">
        <v>241</v>
      </c>
      <c r="BK1208" s="2" t="s">
        <v>82</v>
      </c>
      <c r="BL1208" s="2" t="s">
        <v>82</v>
      </c>
      <c r="BM1208" s="2">
        <v>241</v>
      </c>
      <c r="BN1208" s="2" t="s">
        <v>82</v>
      </c>
      <c r="BO1208" s="2" t="s">
        <v>82</v>
      </c>
      <c r="BP1208" s="2">
        <v>241</v>
      </c>
      <c r="BQ1208" s="2" t="s">
        <v>82</v>
      </c>
      <c r="BR1208" s="2" t="s">
        <v>82</v>
      </c>
      <c r="BS1208" s="3">
        <v>40263</v>
      </c>
      <c r="BT1208" s="4">
        <v>0.74010416666666667</v>
      </c>
    </row>
    <row r="1209" spans="1:72" x14ac:dyDescent="0.25">
      <c r="A1209" s="2">
        <v>1840</v>
      </c>
      <c r="B1209" s="2">
        <v>2010</v>
      </c>
      <c r="C1209" s="2" t="s">
        <v>171</v>
      </c>
      <c r="D1209" s="2" t="s">
        <v>73</v>
      </c>
      <c r="E1209" s="2" t="s">
        <v>4550</v>
      </c>
      <c r="F1209" s="2">
        <v>451</v>
      </c>
      <c r="G1209" s="2" t="s">
        <v>879</v>
      </c>
      <c r="H1209" s="2">
        <v>31</v>
      </c>
      <c r="I1209" s="2" t="s">
        <v>880</v>
      </c>
      <c r="J1209" s="2">
        <v>326</v>
      </c>
      <c r="K1209" s="2" t="s">
        <v>881</v>
      </c>
      <c r="L1209" s="2" t="s">
        <v>882</v>
      </c>
      <c r="M1209" s="3">
        <v>40263</v>
      </c>
      <c r="N1209" s="2" t="s">
        <v>3096</v>
      </c>
      <c r="O1209" s="2" t="s">
        <v>4551</v>
      </c>
      <c r="P1209" s="2" t="s">
        <v>4552</v>
      </c>
      <c r="Q1209" s="2" t="str">
        <f>" 023/10"</f>
        <v xml:space="preserve"> 023/10</v>
      </c>
      <c r="R1209" s="2" t="s">
        <v>4553</v>
      </c>
      <c r="S1209" s="2" t="s">
        <v>822</v>
      </c>
      <c r="T1209" s="2">
        <v>1</v>
      </c>
      <c r="U1209" s="2" t="s">
        <v>79</v>
      </c>
      <c r="V1209" s="2">
        <v>1</v>
      </c>
      <c r="W1209" s="2" t="s">
        <v>80</v>
      </c>
      <c r="X1209" s="2">
        <v>1</v>
      </c>
      <c r="Y1209" s="2" t="s">
        <v>81</v>
      </c>
      <c r="Z1209" s="2">
        <v>10</v>
      </c>
      <c r="AA1209" s="2" t="s">
        <v>236</v>
      </c>
      <c r="AB1209" s="2">
        <v>1</v>
      </c>
      <c r="AC1209" s="2" t="s">
        <v>178</v>
      </c>
      <c r="AD1209" s="3">
        <v>40263</v>
      </c>
      <c r="AE1209" s="4">
        <v>0.58333333333333337</v>
      </c>
      <c r="AF1209" s="2"/>
      <c r="AG1209" s="2"/>
      <c r="AH1209" s="2">
        <v>4</v>
      </c>
      <c r="AI1209" s="2" t="s">
        <v>125</v>
      </c>
      <c r="AJ1209" s="2">
        <v>29</v>
      </c>
      <c r="AK1209" s="2" t="s">
        <v>227</v>
      </c>
      <c r="AL1209" s="2">
        <v>10</v>
      </c>
      <c r="AM1209" s="2" t="s">
        <v>200</v>
      </c>
      <c r="AN1209" s="2" t="s">
        <v>883</v>
      </c>
      <c r="AO1209" s="2"/>
      <c r="AP1209" s="2">
        <v>12</v>
      </c>
      <c r="AQ1209" s="2" t="s">
        <v>322</v>
      </c>
      <c r="AR1209" s="2" t="s">
        <v>824</v>
      </c>
      <c r="AS1209" s="2" t="s">
        <v>825</v>
      </c>
      <c r="AT1209" s="2" t="s">
        <v>4554</v>
      </c>
      <c r="AU1209" s="2"/>
      <c r="AV1209" s="2"/>
      <c r="AW1209" s="2"/>
      <c r="AX1209" s="2"/>
      <c r="AY1209" s="2">
        <v>41</v>
      </c>
      <c r="AZ1209" s="2" t="s">
        <v>82</v>
      </c>
      <c r="BA1209" s="2">
        <v>41</v>
      </c>
      <c r="BB1209" s="2" t="s">
        <v>82</v>
      </c>
      <c r="BC1209" s="2">
        <v>51</v>
      </c>
      <c r="BD1209" s="2" t="s">
        <v>827</v>
      </c>
      <c r="BE1209" s="2">
        <v>13</v>
      </c>
      <c r="BF1209" s="2" t="s">
        <v>108</v>
      </c>
      <c r="BG1209" s="2">
        <v>1459</v>
      </c>
      <c r="BH1209" s="4">
        <v>0.84027777777777779</v>
      </c>
      <c r="BI1209" s="4">
        <v>0.88888888888888884</v>
      </c>
      <c r="BJ1209" s="2">
        <v>13</v>
      </c>
      <c r="BK1209" s="2" t="s">
        <v>91</v>
      </c>
      <c r="BL1209" s="2" t="s">
        <v>828</v>
      </c>
      <c r="BM1209" s="2">
        <v>241</v>
      </c>
      <c r="BN1209" s="2" t="s">
        <v>82</v>
      </c>
      <c r="BO1209" s="2" t="s">
        <v>82</v>
      </c>
      <c r="BP1209" s="2">
        <v>13</v>
      </c>
      <c r="BQ1209" s="2" t="s">
        <v>91</v>
      </c>
      <c r="BR1209" s="2" t="s">
        <v>185</v>
      </c>
      <c r="BS1209" s="3">
        <v>40263</v>
      </c>
      <c r="BT1209" s="4">
        <v>0.74395833333333339</v>
      </c>
    </row>
    <row r="1210" spans="1:72" x14ac:dyDescent="0.25">
      <c r="A1210" s="2">
        <v>1841</v>
      </c>
      <c r="B1210" s="2">
        <v>2010</v>
      </c>
      <c r="C1210" s="2" t="s">
        <v>171</v>
      </c>
      <c r="D1210" s="2" t="s">
        <v>122</v>
      </c>
      <c r="E1210" s="2" t="s">
        <v>4555</v>
      </c>
      <c r="F1210" s="2">
        <v>159</v>
      </c>
      <c r="G1210" s="2" t="s">
        <v>3883</v>
      </c>
      <c r="H1210" s="2">
        <v>19</v>
      </c>
      <c r="I1210" s="2" t="s">
        <v>4355</v>
      </c>
      <c r="J1210" s="2">
        <v>172</v>
      </c>
      <c r="K1210" s="2" t="s">
        <v>3885</v>
      </c>
      <c r="L1210" s="2" t="s">
        <v>3886</v>
      </c>
      <c r="M1210" s="3">
        <v>40263</v>
      </c>
      <c r="N1210" s="2" t="s">
        <v>4356</v>
      </c>
      <c r="O1210" s="2" t="s">
        <v>82</v>
      </c>
      <c r="P1210" s="2" t="s">
        <v>82</v>
      </c>
      <c r="Q1210" s="2" t="str">
        <f>"121-A/10"</f>
        <v>121-A/10</v>
      </c>
      <c r="R1210" s="2" t="s">
        <v>1035</v>
      </c>
      <c r="S1210" s="2" t="s">
        <v>82</v>
      </c>
      <c r="T1210" s="2">
        <v>1</v>
      </c>
      <c r="U1210" s="2" t="s">
        <v>79</v>
      </c>
      <c r="V1210" s="2">
        <v>1</v>
      </c>
      <c r="W1210" s="2" t="s">
        <v>80</v>
      </c>
      <c r="X1210" s="2">
        <v>1</v>
      </c>
      <c r="Y1210" s="2" t="s">
        <v>81</v>
      </c>
      <c r="Z1210" s="2">
        <v>1</v>
      </c>
      <c r="AA1210" s="2" t="s">
        <v>82</v>
      </c>
      <c r="AB1210" s="2">
        <v>1</v>
      </c>
      <c r="AC1210" s="2" t="s">
        <v>178</v>
      </c>
      <c r="AD1210" s="3">
        <v>40263</v>
      </c>
      <c r="AE1210" s="4">
        <v>0.25</v>
      </c>
      <c r="AF1210" s="2"/>
      <c r="AG1210" s="2"/>
      <c r="AH1210" s="2">
        <v>2</v>
      </c>
      <c r="AI1210" s="2" t="s">
        <v>84</v>
      </c>
      <c r="AJ1210" s="2">
        <v>12</v>
      </c>
      <c r="AK1210" s="2" t="s">
        <v>85</v>
      </c>
      <c r="AL1210" s="2">
        <v>11</v>
      </c>
      <c r="AM1210" s="2" t="s">
        <v>137</v>
      </c>
      <c r="AN1210" s="2" t="s">
        <v>107</v>
      </c>
      <c r="AO1210" s="2" t="s">
        <v>1424</v>
      </c>
      <c r="AP1210" s="2">
        <v>11</v>
      </c>
      <c r="AQ1210" s="2" t="s">
        <v>82</v>
      </c>
      <c r="AR1210" s="2" t="s">
        <v>82</v>
      </c>
      <c r="AS1210" s="2" t="s">
        <v>82</v>
      </c>
      <c r="AT1210" s="2" t="s">
        <v>4556</v>
      </c>
      <c r="AU1210" s="2">
        <v>1</v>
      </c>
      <c r="AV1210" s="2"/>
      <c r="AW1210" s="2"/>
      <c r="AX1210" s="2"/>
      <c r="AY1210" s="2">
        <v>41</v>
      </c>
      <c r="AZ1210" s="2" t="s">
        <v>82</v>
      </c>
      <c r="BA1210" s="2">
        <v>41</v>
      </c>
      <c r="BB1210" s="2" t="s">
        <v>82</v>
      </c>
      <c r="BC1210" s="2">
        <v>41</v>
      </c>
      <c r="BD1210" s="2" t="s">
        <v>82</v>
      </c>
      <c r="BE1210" s="2">
        <v>4</v>
      </c>
      <c r="BF1210" s="2" t="s">
        <v>90</v>
      </c>
      <c r="BG1210" s="2" t="s">
        <v>4492</v>
      </c>
      <c r="BH1210" s="4">
        <v>0.32291666666666669</v>
      </c>
      <c r="BI1210" s="4">
        <v>0.26041666666666669</v>
      </c>
      <c r="BJ1210" s="2">
        <v>13</v>
      </c>
      <c r="BK1210" s="2" t="s">
        <v>91</v>
      </c>
      <c r="BL1210" s="2" t="s">
        <v>185</v>
      </c>
      <c r="BM1210" s="2">
        <v>241</v>
      </c>
      <c r="BN1210" s="2" t="s">
        <v>82</v>
      </c>
      <c r="BO1210" s="2" t="s">
        <v>82</v>
      </c>
      <c r="BP1210" s="2">
        <v>13</v>
      </c>
      <c r="BQ1210" s="2" t="s">
        <v>91</v>
      </c>
      <c r="BR1210" s="2" t="s">
        <v>744</v>
      </c>
      <c r="BS1210" s="3">
        <v>40263</v>
      </c>
      <c r="BT1210" s="4">
        <v>0.74505787037037041</v>
      </c>
    </row>
    <row r="1211" spans="1:72" x14ac:dyDescent="0.25">
      <c r="A1211" s="2">
        <v>1842</v>
      </c>
      <c r="B1211" s="2">
        <v>2010</v>
      </c>
      <c r="C1211" s="2" t="s">
        <v>2567</v>
      </c>
      <c r="D1211" s="2" t="s">
        <v>122</v>
      </c>
      <c r="E1211" s="2"/>
      <c r="F1211" s="2">
        <v>1</v>
      </c>
      <c r="G1211" s="2" t="s">
        <v>82</v>
      </c>
      <c r="H1211" s="2">
        <v>1</v>
      </c>
      <c r="I1211" s="2" t="s">
        <v>82</v>
      </c>
      <c r="J1211" s="2">
        <v>1</v>
      </c>
      <c r="K1211" s="2" t="s">
        <v>107</v>
      </c>
      <c r="L1211" s="2" t="s">
        <v>107</v>
      </c>
      <c r="M1211" s="3">
        <v>40263</v>
      </c>
      <c r="N1211" s="2"/>
      <c r="O1211" s="2"/>
      <c r="P1211" s="2"/>
      <c r="Q1211" s="2" t="str">
        <f>""</f>
        <v/>
      </c>
      <c r="R1211" s="2"/>
      <c r="S1211" s="2"/>
      <c r="T1211" s="2">
        <v>1</v>
      </c>
      <c r="U1211" s="2" t="s">
        <v>79</v>
      </c>
      <c r="V1211" s="2">
        <v>1</v>
      </c>
      <c r="W1211" s="2" t="s">
        <v>80</v>
      </c>
      <c r="X1211" s="2">
        <v>1</v>
      </c>
      <c r="Y1211" s="2" t="s">
        <v>81</v>
      </c>
      <c r="Z1211" s="2">
        <v>10</v>
      </c>
      <c r="AA1211" s="2" t="s">
        <v>236</v>
      </c>
      <c r="AB1211" s="2">
        <v>9</v>
      </c>
      <c r="AC1211" s="2" t="s">
        <v>124</v>
      </c>
      <c r="AD1211" s="3">
        <v>40234</v>
      </c>
      <c r="AE1211" s="4">
        <v>0.65972222222222221</v>
      </c>
      <c r="AF1211" s="2"/>
      <c r="AG1211" s="2"/>
      <c r="AH1211" s="2">
        <v>6</v>
      </c>
      <c r="AI1211" s="2" t="s">
        <v>197</v>
      </c>
      <c r="AJ1211" s="2">
        <v>61</v>
      </c>
      <c r="AK1211" s="2" t="s">
        <v>686</v>
      </c>
      <c r="AL1211" s="2">
        <v>10</v>
      </c>
      <c r="AM1211" s="2" t="s">
        <v>200</v>
      </c>
      <c r="AN1211" s="2"/>
      <c r="AO1211" s="2" t="s">
        <v>4557</v>
      </c>
      <c r="AP1211" s="2">
        <v>11</v>
      </c>
      <c r="AQ1211" s="2" t="s">
        <v>82</v>
      </c>
      <c r="AR1211" s="2"/>
      <c r="AS1211" s="2"/>
      <c r="AT1211" s="2" t="s">
        <v>4558</v>
      </c>
      <c r="AU1211" s="2"/>
      <c r="AV1211" s="2"/>
      <c r="AW1211" s="2"/>
      <c r="AX1211" s="2"/>
      <c r="AY1211" s="2">
        <v>41</v>
      </c>
      <c r="AZ1211" s="2" t="s">
        <v>82</v>
      </c>
      <c r="BA1211" s="2">
        <v>41</v>
      </c>
      <c r="BB1211" s="2" t="s">
        <v>82</v>
      </c>
      <c r="BC1211" s="2">
        <v>41</v>
      </c>
      <c r="BD1211" s="2" t="s">
        <v>82</v>
      </c>
      <c r="BE1211" s="2">
        <v>41</v>
      </c>
      <c r="BF1211" s="2" t="s">
        <v>82</v>
      </c>
      <c r="BG1211" s="2" t="s">
        <v>4559</v>
      </c>
      <c r="BH1211" s="4">
        <v>0.65972222222222221</v>
      </c>
      <c r="BI1211" s="2"/>
      <c r="BJ1211" s="2">
        <v>13</v>
      </c>
      <c r="BK1211" s="2" t="s">
        <v>91</v>
      </c>
      <c r="BL1211" s="2" t="s">
        <v>492</v>
      </c>
      <c r="BM1211" s="2">
        <v>241</v>
      </c>
      <c r="BN1211" s="2" t="s">
        <v>82</v>
      </c>
      <c r="BO1211" s="2"/>
      <c r="BP1211" s="2">
        <v>13</v>
      </c>
      <c r="BQ1211" s="2" t="s">
        <v>91</v>
      </c>
      <c r="BR1211" s="2" t="s">
        <v>690</v>
      </c>
      <c r="BS1211" s="3">
        <v>40263</v>
      </c>
      <c r="BT1211" s="4">
        <v>0.74638888888888888</v>
      </c>
    </row>
    <row r="1212" spans="1:72" x14ac:dyDescent="0.25">
      <c r="A1212" s="2">
        <v>1843</v>
      </c>
      <c r="B1212" s="2">
        <v>2010</v>
      </c>
      <c r="C1212" s="2" t="s">
        <v>377</v>
      </c>
      <c r="D1212" s="2" t="s">
        <v>73</v>
      </c>
      <c r="E1212" s="2"/>
      <c r="F1212" s="2">
        <v>426</v>
      </c>
      <c r="G1212" s="2" t="s">
        <v>378</v>
      </c>
      <c r="H1212" s="2">
        <v>42</v>
      </c>
      <c r="I1212" s="2" t="s">
        <v>1096</v>
      </c>
      <c r="J1212" s="2">
        <v>311</v>
      </c>
      <c r="K1212" s="2" t="s">
        <v>379</v>
      </c>
      <c r="L1212" s="2" t="s">
        <v>380</v>
      </c>
      <c r="M1212" s="3">
        <v>40263</v>
      </c>
      <c r="N1212" s="2" t="s">
        <v>4560</v>
      </c>
      <c r="O1212" s="2" t="s">
        <v>107</v>
      </c>
      <c r="P1212" s="2" t="s">
        <v>107</v>
      </c>
      <c r="Q1212" s="2" t="str">
        <f>"034-C/10"</f>
        <v>034-C/10</v>
      </c>
      <c r="R1212" s="2" t="s">
        <v>4525</v>
      </c>
      <c r="S1212" s="2" t="s">
        <v>4525</v>
      </c>
      <c r="T1212" s="2">
        <v>1</v>
      </c>
      <c r="U1212" s="2" t="s">
        <v>79</v>
      </c>
      <c r="V1212" s="2">
        <v>1</v>
      </c>
      <c r="W1212" s="2" t="s">
        <v>80</v>
      </c>
      <c r="X1212" s="2">
        <v>1</v>
      </c>
      <c r="Y1212" s="2" t="s">
        <v>81</v>
      </c>
      <c r="Z1212" s="2">
        <v>1</v>
      </c>
      <c r="AA1212" s="2" t="s">
        <v>82</v>
      </c>
      <c r="AB1212" s="2">
        <v>9</v>
      </c>
      <c r="AC1212" s="2" t="s">
        <v>124</v>
      </c>
      <c r="AD1212" s="3">
        <v>40263</v>
      </c>
      <c r="AE1212" s="4">
        <v>0.63888888888888895</v>
      </c>
      <c r="AF1212" s="3">
        <v>40263</v>
      </c>
      <c r="AG1212" s="4">
        <v>0.68055555555555547</v>
      </c>
      <c r="AH1212" s="2">
        <v>2</v>
      </c>
      <c r="AI1212" s="2" t="s">
        <v>84</v>
      </c>
      <c r="AJ1212" s="2">
        <v>9</v>
      </c>
      <c r="AK1212" s="2" t="s">
        <v>103</v>
      </c>
      <c r="AL1212" s="2">
        <v>12</v>
      </c>
      <c r="AM1212" s="2" t="s">
        <v>86</v>
      </c>
      <c r="AN1212" s="2" t="s">
        <v>4561</v>
      </c>
      <c r="AO1212" s="2" t="s">
        <v>2874</v>
      </c>
      <c r="AP1212" s="2">
        <v>11</v>
      </c>
      <c r="AQ1212" s="2" t="s">
        <v>82</v>
      </c>
      <c r="AR1212" s="2" t="s">
        <v>82</v>
      </c>
      <c r="AS1212" s="2" t="s">
        <v>82</v>
      </c>
      <c r="AT1212" s="2" t="s">
        <v>4562</v>
      </c>
      <c r="AU1212" s="2"/>
      <c r="AV1212" s="2"/>
      <c r="AW1212" s="2"/>
      <c r="AX1212" s="2"/>
      <c r="AY1212" s="2">
        <v>41</v>
      </c>
      <c r="AZ1212" s="2" t="s">
        <v>82</v>
      </c>
      <c r="BA1212" s="2">
        <v>41</v>
      </c>
      <c r="BB1212" s="2" t="s">
        <v>82</v>
      </c>
      <c r="BC1212" s="2">
        <v>41</v>
      </c>
      <c r="BD1212" s="2" t="s">
        <v>82</v>
      </c>
      <c r="BE1212" s="2">
        <v>41</v>
      </c>
      <c r="BF1212" s="2" t="s">
        <v>82</v>
      </c>
      <c r="BG1212" s="2" t="s">
        <v>82</v>
      </c>
      <c r="BH1212" s="2"/>
      <c r="BI1212" s="2"/>
      <c r="BJ1212" s="2">
        <v>241</v>
      </c>
      <c r="BK1212" s="2" t="s">
        <v>82</v>
      </c>
      <c r="BL1212" s="2" t="s">
        <v>82</v>
      </c>
      <c r="BM1212" s="2">
        <v>241</v>
      </c>
      <c r="BN1212" s="2" t="s">
        <v>82</v>
      </c>
      <c r="BO1212" s="2" t="s">
        <v>82</v>
      </c>
      <c r="BP1212" s="2">
        <v>241</v>
      </c>
      <c r="BQ1212" s="2" t="s">
        <v>82</v>
      </c>
      <c r="BR1212" s="2" t="s">
        <v>82</v>
      </c>
      <c r="BS1212" s="3">
        <v>40263</v>
      </c>
      <c r="BT1212" s="4">
        <v>0.76466435185185189</v>
      </c>
    </row>
    <row r="1213" spans="1:72" x14ac:dyDescent="0.25">
      <c r="A1213" s="2">
        <v>1846</v>
      </c>
      <c r="B1213" s="2">
        <v>2010</v>
      </c>
      <c r="C1213" s="2" t="s">
        <v>171</v>
      </c>
      <c r="D1213" s="2" t="s">
        <v>73</v>
      </c>
      <c r="E1213" s="2"/>
      <c r="F1213" s="2">
        <v>399</v>
      </c>
      <c r="G1213" s="2" t="s">
        <v>587</v>
      </c>
      <c r="H1213" s="2">
        <v>15</v>
      </c>
      <c r="I1213" s="2" t="s">
        <v>130</v>
      </c>
      <c r="J1213" s="2">
        <v>242</v>
      </c>
      <c r="K1213" s="2" t="s">
        <v>1077</v>
      </c>
      <c r="L1213" s="2" t="s">
        <v>1078</v>
      </c>
      <c r="M1213" s="3">
        <v>40263</v>
      </c>
      <c r="N1213" s="2" t="s">
        <v>588</v>
      </c>
      <c r="O1213" s="2" t="s">
        <v>4563</v>
      </c>
      <c r="P1213" s="2">
        <v>6481</v>
      </c>
      <c r="Q1213" s="2" t="str">
        <f>"162-E/10"</f>
        <v>162-E/10</v>
      </c>
      <c r="R1213" s="2" t="s">
        <v>391</v>
      </c>
      <c r="S1213" s="2" t="s">
        <v>391</v>
      </c>
      <c r="T1213" s="2">
        <v>1</v>
      </c>
      <c r="U1213" s="2" t="s">
        <v>79</v>
      </c>
      <c r="V1213" s="2">
        <v>1</v>
      </c>
      <c r="W1213" s="2" t="s">
        <v>80</v>
      </c>
      <c r="X1213" s="2">
        <v>1</v>
      </c>
      <c r="Y1213" s="2" t="s">
        <v>81</v>
      </c>
      <c r="Z1213" s="2">
        <v>1</v>
      </c>
      <c r="AA1213" s="2" t="s">
        <v>82</v>
      </c>
      <c r="AB1213" s="2">
        <v>1</v>
      </c>
      <c r="AC1213" s="2" t="s">
        <v>178</v>
      </c>
      <c r="AD1213" s="3">
        <v>40263</v>
      </c>
      <c r="AE1213" s="4">
        <v>0.47916666666666669</v>
      </c>
      <c r="AF1213" s="2"/>
      <c r="AG1213" s="2"/>
      <c r="AH1213" s="2">
        <v>2</v>
      </c>
      <c r="AI1213" s="2" t="s">
        <v>84</v>
      </c>
      <c r="AJ1213" s="2">
        <v>9</v>
      </c>
      <c r="AK1213" s="2" t="s">
        <v>103</v>
      </c>
      <c r="AL1213" s="2">
        <v>14</v>
      </c>
      <c r="AM1213" s="2" t="s">
        <v>216</v>
      </c>
      <c r="AN1213" s="2" t="s">
        <v>82</v>
      </c>
      <c r="AO1213" s="2" t="s">
        <v>179</v>
      </c>
      <c r="AP1213" s="2">
        <v>11</v>
      </c>
      <c r="AQ1213" s="2" t="s">
        <v>82</v>
      </c>
      <c r="AR1213" s="2"/>
      <c r="AS1213" s="2"/>
      <c r="AT1213" s="2" t="s">
        <v>4564</v>
      </c>
      <c r="AU1213" s="2"/>
      <c r="AV1213" s="2">
        <v>1</v>
      </c>
      <c r="AW1213" s="2"/>
      <c r="AX1213" s="2"/>
      <c r="AY1213" s="2">
        <v>41</v>
      </c>
      <c r="AZ1213" s="2" t="s">
        <v>82</v>
      </c>
      <c r="BA1213" s="2">
        <v>41</v>
      </c>
      <c r="BB1213" s="2" t="s">
        <v>82</v>
      </c>
      <c r="BC1213" s="2">
        <v>41</v>
      </c>
      <c r="BD1213" s="2" t="s">
        <v>82</v>
      </c>
      <c r="BE1213" s="2">
        <v>23</v>
      </c>
      <c r="BF1213" s="2" t="s">
        <v>183</v>
      </c>
      <c r="BG1213" s="2" t="s">
        <v>184</v>
      </c>
      <c r="BH1213" s="2"/>
      <c r="BI1213" s="4">
        <v>0.57291666666666663</v>
      </c>
      <c r="BJ1213" s="2">
        <v>13</v>
      </c>
      <c r="BK1213" s="2" t="s">
        <v>91</v>
      </c>
      <c r="BL1213" s="2" t="s">
        <v>360</v>
      </c>
      <c r="BM1213" s="2">
        <v>241</v>
      </c>
      <c r="BN1213" s="2" t="s">
        <v>82</v>
      </c>
      <c r="BO1213" s="2" t="s">
        <v>82</v>
      </c>
      <c r="BP1213" s="2">
        <v>73</v>
      </c>
      <c r="BQ1213" s="2" t="s">
        <v>186</v>
      </c>
      <c r="BR1213" s="2" t="s">
        <v>187</v>
      </c>
      <c r="BS1213" s="3">
        <v>40263</v>
      </c>
      <c r="BT1213" s="4">
        <v>0.81822916666666667</v>
      </c>
    </row>
    <row r="1214" spans="1:72" x14ac:dyDescent="0.25">
      <c r="A1214" s="2">
        <v>1847</v>
      </c>
      <c r="B1214" s="2">
        <v>2010</v>
      </c>
      <c r="C1214" s="2" t="s">
        <v>377</v>
      </c>
      <c r="D1214" s="2" t="s">
        <v>73</v>
      </c>
      <c r="E1214" s="2"/>
      <c r="F1214" s="2">
        <v>426</v>
      </c>
      <c r="G1214" s="2" t="s">
        <v>378</v>
      </c>
      <c r="H1214" s="2">
        <v>42</v>
      </c>
      <c r="I1214" s="2" t="s">
        <v>1096</v>
      </c>
      <c r="J1214" s="2">
        <v>311</v>
      </c>
      <c r="K1214" s="2" t="s">
        <v>379</v>
      </c>
      <c r="L1214" s="2" t="s">
        <v>380</v>
      </c>
      <c r="M1214" s="3">
        <v>40263</v>
      </c>
      <c r="N1214" s="2" t="s">
        <v>4427</v>
      </c>
      <c r="O1214" s="2" t="s">
        <v>107</v>
      </c>
      <c r="P1214" s="2" t="s">
        <v>107</v>
      </c>
      <c r="Q1214" s="2" t="str">
        <f>"035-C/10"</f>
        <v>035-C/10</v>
      </c>
      <c r="R1214" s="2" t="s">
        <v>4565</v>
      </c>
      <c r="S1214" s="2" t="s">
        <v>4565</v>
      </c>
      <c r="T1214" s="2">
        <v>1</v>
      </c>
      <c r="U1214" s="2" t="s">
        <v>79</v>
      </c>
      <c r="V1214" s="2">
        <v>1</v>
      </c>
      <c r="W1214" s="2" t="s">
        <v>80</v>
      </c>
      <c r="X1214" s="2">
        <v>1</v>
      </c>
      <c r="Y1214" s="2" t="s">
        <v>81</v>
      </c>
      <c r="Z1214" s="2">
        <v>1</v>
      </c>
      <c r="AA1214" s="2" t="s">
        <v>82</v>
      </c>
      <c r="AB1214" s="2">
        <v>9</v>
      </c>
      <c r="AC1214" s="2" t="s">
        <v>124</v>
      </c>
      <c r="AD1214" s="3">
        <v>40263</v>
      </c>
      <c r="AE1214" s="4">
        <v>0.78472222222222221</v>
      </c>
      <c r="AF1214" s="3">
        <v>40263</v>
      </c>
      <c r="AG1214" s="4">
        <v>0.79861111111111116</v>
      </c>
      <c r="AH1214" s="2">
        <v>2</v>
      </c>
      <c r="AI1214" s="2" t="s">
        <v>84</v>
      </c>
      <c r="AJ1214" s="2">
        <v>9</v>
      </c>
      <c r="AK1214" s="2" t="s">
        <v>103</v>
      </c>
      <c r="AL1214" s="2">
        <v>12</v>
      </c>
      <c r="AM1214" s="2" t="s">
        <v>86</v>
      </c>
      <c r="AN1214" s="2" t="s">
        <v>4566</v>
      </c>
      <c r="AO1214" s="2" t="s">
        <v>4567</v>
      </c>
      <c r="AP1214" s="2">
        <v>11</v>
      </c>
      <c r="AQ1214" s="2" t="s">
        <v>82</v>
      </c>
      <c r="AR1214" s="2" t="s">
        <v>82</v>
      </c>
      <c r="AS1214" s="2" t="s">
        <v>82</v>
      </c>
      <c r="AT1214" s="2" t="s">
        <v>4568</v>
      </c>
      <c r="AU1214" s="2"/>
      <c r="AV1214" s="2"/>
      <c r="AW1214" s="2"/>
      <c r="AX1214" s="2"/>
      <c r="AY1214" s="2">
        <v>41</v>
      </c>
      <c r="AZ1214" s="2" t="s">
        <v>82</v>
      </c>
      <c r="BA1214" s="2">
        <v>41</v>
      </c>
      <c r="BB1214" s="2" t="s">
        <v>82</v>
      </c>
      <c r="BC1214" s="2">
        <v>41</v>
      </c>
      <c r="BD1214" s="2" t="s">
        <v>82</v>
      </c>
      <c r="BE1214" s="2">
        <v>41</v>
      </c>
      <c r="BF1214" s="2" t="s">
        <v>82</v>
      </c>
      <c r="BG1214" s="2"/>
      <c r="BH1214" s="2"/>
      <c r="BI1214" s="2"/>
      <c r="BJ1214" s="2">
        <v>241</v>
      </c>
      <c r="BK1214" s="2" t="s">
        <v>82</v>
      </c>
      <c r="BL1214" s="2" t="s">
        <v>82</v>
      </c>
      <c r="BM1214" s="2">
        <v>241</v>
      </c>
      <c r="BN1214" s="2" t="s">
        <v>82</v>
      </c>
      <c r="BO1214" s="2" t="s">
        <v>82</v>
      </c>
      <c r="BP1214" s="2">
        <v>241</v>
      </c>
      <c r="BQ1214" s="2" t="s">
        <v>82</v>
      </c>
      <c r="BR1214" s="2" t="s">
        <v>82</v>
      </c>
      <c r="BS1214" s="3">
        <v>40263</v>
      </c>
      <c r="BT1214" s="4">
        <v>0.83297453703703705</v>
      </c>
    </row>
    <row r="1215" spans="1:72" x14ac:dyDescent="0.25">
      <c r="A1215" s="2">
        <v>1848</v>
      </c>
      <c r="B1215" s="2">
        <v>2010</v>
      </c>
      <c r="C1215" s="2" t="s">
        <v>819</v>
      </c>
      <c r="D1215" s="2" t="s">
        <v>122</v>
      </c>
      <c r="E1215" s="2" t="s">
        <v>4569</v>
      </c>
      <c r="F1215" s="2">
        <v>399</v>
      </c>
      <c r="G1215" s="2" t="s">
        <v>587</v>
      </c>
      <c r="H1215" s="2">
        <v>15</v>
      </c>
      <c r="I1215" s="2" t="s">
        <v>130</v>
      </c>
      <c r="J1215" s="2">
        <v>242</v>
      </c>
      <c r="K1215" s="2" t="s">
        <v>1077</v>
      </c>
      <c r="L1215" s="2" t="s">
        <v>1078</v>
      </c>
      <c r="M1215" s="3">
        <v>40263</v>
      </c>
      <c r="N1215" s="2" t="s">
        <v>4431</v>
      </c>
      <c r="O1215" s="2" t="s">
        <v>4432</v>
      </c>
      <c r="P1215" s="2">
        <v>6479</v>
      </c>
      <c r="Q1215" s="2" t="str">
        <f>"158-E/10"</f>
        <v>158-E/10</v>
      </c>
      <c r="R1215" s="2"/>
      <c r="S1215" s="2" t="s">
        <v>4433</v>
      </c>
      <c r="T1215" s="2">
        <v>1</v>
      </c>
      <c r="U1215" s="2" t="s">
        <v>79</v>
      </c>
      <c r="V1215" s="2">
        <v>1</v>
      </c>
      <c r="W1215" s="2" t="s">
        <v>80</v>
      </c>
      <c r="X1215" s="2">
        <v>1</v>
      </c>
      <c r="Y1215" s="2" t="s">
        <v>81</v>
      </c>
      <c r="Z1215" s="2">
        <v>1</v>
      </c>
      <c r="AA1215" s="2" t="s">
        <v>82</v>
      </c>
      <c r="AB1215" s="2">
        <v>9</v>
      </c>
      <c r="AC1215" s="2" t="s">
        <v>124</v>
      </c>
      <c r="AD1215" s="3">
        <v>40263</v>
      </c>
      <c r="AE1215" s="4">
        <v>0.39583333333333331</v>
      </c>
      <c r="AF1215" s="2"/>
      <c r="AG1215" s="2"/>
      <c r="AH1215" s="2">
        <v>2</v>
      </c>
      <c r="AI1215" s="2" t="s">
        <v>84</v>
      </c>
      <c r="AJ1215" s="2">
        <v>12</v>
      </c>
      <c r="AK1215" s="2" t="s">
        <v>85</v>
      </c>
      <c r="AL1215" s="2">
        <v>18</v>
      </c>
      <c r="AM1215" s="2" t="s">
        <v>82</v>
      </c>
      <c r="AN1215" s="2"/>
      <c r="AO1215" s="2" t="s">
        <v>4509</v>
      </c>
      <c r="AP1215" s="2">
        <v>11</v>
      </c>
      <c r="AQ1215" s="2" t="s">
        <v>82</v>
      </c>
      <c r="AR1215" s="2"/>
      <c r="AS1215" s="2"/>
      <c r="AT1215" s="2" t="s">
        <v>4570</v>
      </c>
      <c r="AU1215" s="2">
        <v>1</v>
      </c>
      <c r="AV1215" s="2"/>
      <c r="AW1215" s="2"/>
      <c r="AX1215" s="2"/>
      <c r="AY1215" s="2">
        <v>41</v>
      </c>
      <c r="AZ1215" s="2" t="s">
        <v>82</v>
      </c>
      <c r="BA1215" s="2">
        <v>41</v>
      </c>
      <c r="BB1215" s="2" t="s">
        <v>82</v>
      </c>
      <c r="BC1215" s="2">
        <v>41</v>
      </c>
      <c r="BD1215" s="2" t="s">
        <v>82</v>
      </c>
      <c r="BE1215" s="2">
        <v>41</v>
      </c>
      <c r="BF1215" s="2" t="s">
        <v>82</v>
      </c>
      <c r="BG1215" s="2"/>
      <c r="BH1215" s="2"/>
      <c r="BI1215" s="2"/>
      <c r="BJ1215" s="2">
        <v>241</v>
      </c>
      <c r="BK1215" s="2" t="s">
        <v>82</v>
      </c>
      <c r="BL1215" s="2"/>
      <c r="BM1215" s="2">
        <v>241</v>
      </c>
      <c r="BN1215" s="2" t="s">
        <v>82</v>
      </c>
      <c r="BO1215" s="2"/>
      <c r="BP1215" s="2">
        <v>241</v>
      </c>
      <c r="BQ1215" s="2" t="s">
        <v>82</v>
      </c>
      <c r="BR1215" s="2"/>
      <c r="BS1215" s="3">
        <v>40263</v>
      </c>
      <c r="BT1215" s="4">
        <v>0.87157407407407417</v>
      </c>
    </row>
    <row r="1216" spans="1:72" x14ac:dyDescent="0.25">
      <c r="A1216" s="2">
        <v>1849</v>
      </c>
      <c r="B1216" s="2">
        <v>2010</v>
      </c>
      <c r="C1216" s="2" t="s">
        <v>385</v>
      </c>
      <c r="D1216" s="2" t="s">
        <v>122</v>
      </c>
      <c r="E1216" s="2"/>
      <c r="F1216" s="2">
        <v>11</v>
      </c>
      <c r="G1216" s="2" t="s">
        <v>2454</v>
      </c>
      <c r="H1216" s="2">
        <v>57</v>
      </c>
      <c r="I1216" s="2" t="s">
        <v>3043</v>
      </c>
      <c r="J1216" s="2">
        <v>19</v>
      </c>
      <c r="K1216" s="2" t="s">
        <v>2144</v>
      </c>
      <c r="L1216" s="2" t="s">
        <v>2145</v>
      </c>
      <c r="M1216" s="3">
        <v>40263</v>
      </c>
      <c r="N1216" s="2" t="s">
        <v>3358</v>
      </c>
      <c r="O1216" s="2" t="s">
        <v>4571</v>
      </c>
      <c r="P1216" s="2">
        <v>14573</v>
      </c>
      <c r="Q1216" s="2" t="str">
        <f>""</f>
        <v/>
      </c>
      <c r="R1216" s="2"/>
      <c r="S1216" s="2"/>
      <c r="T1216" s="2">
        <v>1</v>
      </c>
      <c r="U1216" s="2" t="s">
        <v>79</v>
      </c>
      <c r="V1216" s="2">
        <v>1</v>
      </c>
      <c r="W1216" s="2" t="s">
        <v>80</v>
      </c>
      <c r="X1216" s="2">
        <v>5</v>
      </c>
      <c r="Y1216" s="2" t="s">
        <v>82</v>
      </c>
      <c r="Z1216" s="2">
        <v>1</v>
      </c>
      <c r="AA1216" s="2" t="s">
        <v>82</v>
      </c>
      <c r="AB1216" s="2">
        <v>9</v>
      </c>
      <c r="AC1216" s="2" t="s">
        <v>124</v>
      </c>
      <c r="AD1216" s="3">
        <v>40263</v>
      </c>
      <c r="AE1216" s="4">
        <v>0.67361111111111116</v>
      </c>
      <c r="AF1216" s="2"/>
      <c r="AG1216" s="2"/>
      <c r="AH1216" s="2">
        <v>3</v>
      </c>
      <c r="AI1216" s="2" t="s">
        <v>214</v>
      </c>
      <c r="AJ1216" s="2">
        <v>24</v>
      </c>
      <c r="AK1216" s="2" t="s">
        <v>215</v>
      </c>
      <c r="AL1216" s="2">
        <v>18</v>
      </c>
      <c r="AM1216" s="2" t="s">
        <v>82</v>
      </c>
      <c r="AN1216" s="2"/>
      <c r="AO1216" s="2"/>
      <c r="AP1216" s="2">
        <v>11</v>
      </c>
      <c r="AQ1216" s="2" t="s">
        <v>82</v>
      </c>
      <c r="AR1216" s="2"/>
      <c r="AS1216" s="2"/>
      <c r="AT1216" s="2" t="s">
        <v>4572</v>
      </c>
      <c r="AU1216" s="2">
        <v>1</v>
      </c>
      <c r="AV1216" s="2"/>
      <c r="AW1216" s="2"/>
      <c r="AX1216" s="2"/>
      <c r="AY1216" s="2">
        <v>41</v>
      </c>
      <c r="AZ1216" s="2" t="s">
        <v>82</v>
      </c>
      <c r="BA1216" s="2">
        <v>41</v>
      </c>
      <c r="BB1216" s="2" t="s">
        <v>82</v>
      </c>
      <c r="BC1216" s="2">
        <v>41</v>
      </c>
      <c r="BD1216" s="2" t="s">
        <v>82</v>
      </c>
      <c r="BE1216" s="2">
        <v>41</v>
      </c>
      <c r="BF1216" s="2" t="s">
        <v>82</v>
      </c>
      <c r="BG1216" s="2"/>
      <c r="BH1216" s="2"/>
      <c r="BI1216" s="2"/>
      <c r="BJ1216" s="2">
        <v>241</v>
      </c>
      <c r="BK1216" s="2" t="s">
        <v>82</v>
      </c>
      <c r="BL1216" s="2"/>
      <c r="BM1216" s="2">
        <v>241</v>
      </c>
      <c r="BN1216" s="2" t="s">
        <v>82</v>
      </c>
      <c r="BO1216" s="2"/>
      <c r="BP1216" s="2">
        <v>241</v>
      </c>
      <c r="BQ1216" s="2" t="s">
        <v>82</v>
      </c>
      <c r="BR1216" s="2"/>
      <c r="BS1216" s="3">
        <v>40263</v>
      </c>
      <c r="BT1216" s="4">
        <v>0.87708333333333333</v>
      </c>
    </row>
    <row r="1217" spans="1:72" x14ac:dyDescent="0.25">
      <c r="A1217" s="2">
        <v>1850</v>
      </c>
      <c r="B1217" s="2">
        <v>2010</v>
      </c>
      <c r="C1217" s="2" t="s">
        <v>196</v>
      </c>
      <c r="D1217" s="2" t="s">
        <v>122</v>
      </c>
      <c r="E1217" s="2" t="s">
        <v>4573</v>
      </c>
      <c r="F1217" s="2">
        <v>1</v>
      </c>
      <c r="G1217" s="2" t="s">
        <v>82</v>
      </c>
      <c r="H1217" s="2">
        <v>1</v>
      </c>
      <c r="I1217" s="2" t="s">
        <v>82</v>
      </c>
      <c r="J1217" s="2">
        <v>1</v>
      </c>
      <c r="K1217" s="2" t="s">
        <v>107</v>
      </c>
      <c r="L1217" s="2" t="s">
        <v>107</v>
      </c>
      <c r="M1217" s="3">
        <v>40263</v>
      </c>
      <c r="N1217" s="2" t="s">
        <v>82</v>
      </c>
      <c r="O1217" s="2" t="s">
        <v>82</v>
      </c>
      <c r="P1217" s="2" t="s">
        <v>82</v>
      </c>
      <c r="Q1217" s="2" t="str">
        <f>"N/C"</f>
        <v>N/C</v>
      </c>
      <c r="R1217" s="2" t="s">
        <v>82</v>
      </c>
      <c r="S1217" s="2" t="s">
        <v>82</v>
      </c>
      <c r="T1217" s="2">
        <v>2</v>
      </c>
      <c r="U1217" s="2" t="s">
        <v>123</v>
      </c>
      <c r="V1217" s="2">
        <v>1</v>
      </c>
      <c r="W1217" s="2" t="s">
        <v>80</v>
      </c>
      <c r="X1217" s="2">
        <v>1</v>
      </c>
      <c r="Y1217" s="2" t="s">
        <v>81</v>
      </c>
      <c r="Z1217" s="2">
        <v>1</v>
      </c>
      <c r="AA1217" s="2" t="s">
        <v>82</v>
      </c>
      <c r="AB1217" s="2">
        <v>9</v>
      </c>
      <c r="AC1217" s="2" t="s">
        <v>124</v>
      </c>
      <c r="AD1217" s="3">
        <v>40263</v>
      </c>
      <c r="AE1217" s="4">
        <v>0.77083333333333337</v>
      </c>
      <c r="AF1217" s="2"/>
      <c r="AG1217" s="2"/>
      <c r="AH1217" s="2">
        <v>2</v>
      </c>
      <c r="AI1217" s="2" t="s">
        <v>84</v>
      </c>
      <c r="AJ1217" s="2">
        <v>12</v>
      </c>
      <c r="AK1217" s="2" t="s">
        <v>85</v>
      </c>
      <c r="AL1217" s="2">
        <v>20</v>
      </c>
      <c r="AM1217" s="2" t="s">
        <v>992</v>
      </c>
      <c r="AN1217" s="2" t="s">
        <v>82</v>
      </c>
      <c r="AO1217" s="2" t="s">
        <v>4493</v>
      </c>
      <c r="AP1217" s="2">
        <v>11</v>
      </c>
      <c r="AQ1217" s="2" t="s">
        <v>82</v>
      </c>
      <c r="AR1217" s="2" t="s">
        <v>82</v>
      </c>
      <c r="AS1217" s="2" t="s">
        <v>82</v>
      </c>
      <c r="AT1217" s="2" t="s">
        <v>4574</v>
      </c>
      <c r="AU1217" s="2"/>
      <c r="AV1217" s="2"/>
      <c r="AW1217" s="2"/>
      <c r="AX1217" s="2"/>
      <c r="AY1217" s="2">
        <v>41</v>
      </c>
      <c r="AZ1217" s="2" t="s">
        <v>82</v>
      </c>
      <c r="BA1217" s="2">
        <v>41</v>
      </c>
      <c r="BB1217" s="2" t="s">
        <v>82</v>
      </c>
      <c r="BC1217" s="2">
        <v>41</v>
      </c>
      <c r="BD1217" s="2" t="s">
        <v>82</v>
      </c>
      <c r="BE1217" s="2">
        <v>41</v>
      </c>
      <c r="BF1217" s="2" t="s">
        <v>82</v>
      </c>
      <c r="BG1217" s="2" t="s">
        <v>82</v>
      </c>
      <c r="BH1217" s="4">
        <v>0.86111111111111116</v>
      </c>
      <c r="BI1217" s="4">
        <v>0.77777777777777779</v>
      </c>
      <c r="BJ1217" s="2">
        <v>29</v>
      </c>
      <c r="BK1217" s="2" t="s">
        <v>962</v>
      </c>
      <c r="BL1217" s="2" t="s">
        <v>107</v>
      </c>
      <c r="BM1217" s="2">
        <v>241</v>
      </c>
      <c r="BN1217" s="2" t="s">
        <v>82</v>
      </c>
      <c r="BO1217" s="2" t="s">
        <v>82</v>
      </c>
      <c r="BP1217" s="2">
        <v>13</v>
      </c>
      <c r="BQ1217" s="2" t="s">
        <v>91</v>
      </c>
      <c r="BR1217" s="2" t="s">
        <v>185</v>
      </c>
      <c r="BS1217" s="3">
        <v>40263</v>
      </c>
      <c r="BT1217" s="4">
        <v>0.9899768518518518</v>
      </c>
    </row>
    <row r="1218" spans="1:72" x14ac:dyDescent="0.25">
      <c r="A1218" s="2">
        <v>1851</v>
      </c>
      <c r="B1218" s="2">
        <v>2010</v>
      </c>
      <c r="C1218" s="2" t="s">
        <v>171</v>
      </c>
      <c r="D1218" s="2" t="s">
        <v>73</v>
      </c>
      <c r="E1218" s="2"/>
      <c r="F1218" s="2">
        <v>159</v>
      </c>
      <c r="G1218" s="2" t="s">
        <v>3883</v>
      </c>
      <c r="H1218" s="2">
        <v>19</v>
      </c>
      <c r="I1218" s="2" t="s">
        <v>4355</v>
      </c>
      <c r="J1218" s="2">
        <v>172</v>
      </c>
      <c r="K1218" s="2" t="s">
        <v>3885</v>
      </c>
      <c r="L1218" s="2" t="s">
        <v>3886</v>
      </c>
      <c r="M1218" s="3">
        <v>40264</v>
      </c>
      <c r="N1218" s="2" t="s">
        <v>4575</v>
      </c>
      <c r="O1218" s="2" t="s">
        <v>107</v>
      </c>
      <c r="P1218" s="2" t="s">
        <v>107</v>
      </c>
      <c r="Q1218" s="2" t="str">
        <f>"123-A/10."</f>
        <v>123-A/10.</v>
      </c>
      <c r="R1218" s="2" t="s">
        <v>2334</v>
      </c>
      <c r="S1218" s="2" t="s">
        <v>2334</v>
      </c>
      <c r="T1218" s="2">
        <v>1</v>
      </c>
      <c r="U1218" s="2" t="s">
        <v>79</v>
      </c>
      <c r="V1218" s="2">
        <v>1</v>
      </c>
      <c r="W1218" s="2" t="s">
        <v>80</v>
      </c>
      <c r="X1218" s="2">
        <v>1</v>
      </c>
      <c r="Y1218" s="2" t="s">
        <v>81</v>
      </c>
      <c r="Z1218" s="2">
        <v>1</v>
      </c>
      <c r="AA1218" s="2" t="s">
        <v>82</v>
      </c>
      <c r="AB1218" s="2">
        <v>1</v>
      </c>
      <c r="AC1218" s="2" t="s">
        <v>178</v>
      </c>
      <c r="AD1218" s="3">
        <v>40263</v>
      </c>
      <c r="AE1218" s="4">
        <v>0.79861111111111116</v>
      </c>
      <c r="AF1218" s="2"/>
      <c r="AG1218" s="2"/>
      <c r="AH1218" s="2">
        <v>2</v>
      </c>
      <c r="AI1218" s="2" t="s">
        <v>84</v>
      </c>
      <c r="AJ1218" s="2">
        <v>12</v>
      </c>
      <c r="AK1218" s="2" t="s">
        <v>85</v>
      </c>
      <c r="AL1218" s="2">
        <v>11</v>
      </c>
      <c r="AM1218" s="2" t="s">
        <v>137</v>
      </c>
      <c r="AN1218" s="2" t="s">
        <v>4576</v>
      </c>
      <c r="AO1218" s="2" t="s">
        <v>82</v>
      </c>
      <c r="AP1218" s="2">
        <v>11</v>
      </c>
      <c r="AQ1218" s="2" t="s">
        <v>82</v>
      </c>
      <c r="AR1218" s="2" t="s">
        <v>82</v>
      </c>
      <c r="AS1218" s="2" t="s">
        <v>82</v>
      </c>
      <c r="AT1218" s="2" t="s">
        <v>4577</v>
      </c>
      <c r="AU1218" s="2">
        <v>1</v>
      </c>
      <c r="AV1218" s="2"/>
      <c r="AW1218" s="2"/>
      <c r="AX1218" s="2"/>
      <c r="AY1218" s="2">
        <v>41</v>
      </c>
      <c r="AZ1218" s="2" t="s">
        <v>82</v>
      </c>
      <c r="BA1218" s="2">
        <v>41</v>
      </c>
      <c r="BB1218" s="2" t="s">
        <v>82</v>
      </c>
      <c r="BC1218" s="2">
        <v>41</v>
      </c>
      <c r="BD1218" s="2" t="s">
        <v>82</v>
      </c>
      <c r="BE1218" s="2">
        <v>48</v>
      </c>
      <c r="BF1218" s="2" t="s">
        <v>1123</v>
      </c>
      <c r="BG1218" s="2">
        <v>854</v>
      </c>
      <c r="BH1218" s="4">
        <v>0.97916666666666663</v>
      </c>
      <c r="BI1218" s="4">
        <v>0.8125</v>
      </c>
      <c r="BJ1218" s="2">
        <v>13</v>
      </c>
      <c r="BK1218" s="2" t="s">
        <v>91</v>
      </c>
      <c r="BL1218" s="2" t="s">
        <v>185</v>
      </c>
      <c r="BM1218" s="2">
        <v>241</v>
      </c>
      <c r="BN1218" s="2" t="s">
        <v>82</v>
      </c>
      <c r="BO1218" s="2" t="s">
        <v>82</v>
      </c>
      <c r="BP1218" s="2">
        <v>13</v>
      </c>
      <c r="BQ1218" s="2" t="s">
        <v>91</v>
      </c>
      <c r="BR1218" s="2" t="s">
        <v>2792</v>
      </c>
      <c r="BS1218" s="3">
        <v>40264</v>
      </c>
      <c r="BT1218" s="4">
        <v>3.7094907407407403E-2</v>
      </c>
    </row>
    <row r="1219" spans="1:72" x14ac:dyDescent="0.25">
      <c r="A1219" s="2">
        <v>1852</v>
      </c>
      <c r="B1219" s="2">
        <v>2010</v>
      </c>
      <c r="C1219" s="2" t="s">
        <v>72</v>
      </c>
      <c r="D1219" s="2" t="s">
        <v>73</v>
      </c>
      <c r="E1219" s="2"/>
      <c r="F1219" s="2">
        <v>34</v>
      </c>
      <c r="G1219" s="2" t="s">
        <v>334</v>
      </c>
      <c r="H1219" s="2">
        <v>71</v>
      </c>
      <c r="I1219" s="2" t="s">
        <v>335</v>
      </c>
      <c r="J1219" s="2">
        <v>409</v>
      </c>
      <c r="K1219" s="2" t="s">
        <v>3638</v>
      </c>
      <c r="L1219" s="2" t="s">
        <v>3639</v>
      </c>
      <c r="M1219" s="3">
        <v>40264</v>
      </c>
      <c r="N1219" s="2" t="s">
        <v>3640</v>
      </c>
      <c r="O1219" s="2" t="s">
        <v>4578</v>
      </c>
      <c r="P1219" s="2" t="s">
        <v>107</v>
      </c>
      <c r="Q1219" s="2" t="str">
        <f>"16/10"</f>
        <v>16/10</v>
      </c>
      <c r="R1219" s="2" t="s">
        <v>4578</v>
      </c>
      <c r="S1219" s="2" t="s">
        <v>4578</v>
      </c>
      <c r="T1219" s="2">
        <v>1</v>
      </c>
      <c r="U1219" s="2" t="s">
        <v>79</v>
      </c>
      <c r="V1219" s="2">
        <v>1</v>
      </c>
      <c r="W1219" s="2" t="s">
        <v>80</v>
      </c>
      <c r="X1219" s="2">
        <v>1</v>
      </c>
      <c r="Y1219" s="2" t="s">
        <v>81</v>
      </c>
      <c r="Z1219" s="2">
        <v>10</v>
      </c>
      <c r="AA1219" s="2" t="s">
        <v>236</v>
      </c>
      <c r="AB1219" s="2">
        <v>6</v>
      </c>
      <c r="AC1219" s="2" t="s">
        <v>83</v>
      </c>
      <c r="AD1219" s="3">
        <v>40264</v>
      </c>
      <c r="AE1219" s="4">
        <v>0.19444444444444445</v>
      </c>
      <c r="AF1219" s="2"/>
      <c r="AG1219" s="2"/>
      <c r="AH1219" s="2">
        <v>3</v>
      </c>
      <c r="AI1219" s="2" t="s">
        <v>214</v>
      </c>
      <c r="AJ1219" s="2">
        <v>17</v>
      </c>
      <c r="AK1219" s="2" t="s">
        <v>309</v>
      </c>
      <c r="AL1219" s="2">
        <v>9</v>
      </c>
      <c r="AM1219" s="2" t="s">
        <v>259</v>
      </c>
      <c r="AN1219" s="2" t="s">
        <v>4579</v>
      </c>
      <c r="AO1219" s="2" t="s">
        <v>4580</v>
      </c>
      <c r="AP1219" s="2">
        <v>11</v>
      </c>
      <c r="AQ1219" s="2" t="s">
        <v>82</v>
      </c>
      <c r="AR1219" s="2"/>
      <c r="AS1219" s="2"/>
      <c r="AT1219" s="2" t="s">
        <v>4581</v>
      </c>
      <c r="AU1219" s="2"/>
      <c r="AV1219" s="2"/>
      <c r="AW1219" s="2"/>
      <c r="AX1219" s="2"/>
      <c r="AY1219" s="2">
        <v>44</v>
      </c>
      <c r="AZ1219" s="2" t="s">
        <v>262</v>
      </c>
      <c r="BA1219" s="2">
        <v>1</v>
      </c>
      <c r="BB1219" s="2" t="s">
        <v>107</v>
      </c>
      <c r="BC1219" s="2">
        <v>70</v>
      </c>
      <c r="BD1219" s="2" t="s">
        <v>236</v>
      </c>
      <c r="BE1219" s="2">
        <v>41</v>
      </c>
      <c r="BF1219" s="2" t="s">
        <v>82</v>
      </c>
      <c r="BG1219" s="2" t="s">
        <v>3295</v>
      </c>
      <c r="BH1219" s="2"/>
      <c r="BI1219" s="2"/>
      <c r="BJ1219" s="2">
        <v>241</v>
      </c>
      <c r="BK1219" s="2" t="s">
        <v>82</v>
      </c>
      <c r="BL1219" s="2"/>
      <c r="BM1219" s="2">
        <v>242</v>
      </c>
      <c r="BN1219" s="2" t="s">
        <v>107</v>
      </c>
      <c r="BO1219" s="2"/>
      <c r="BP1219" s="2">
        <v>242</v>
      </c>
      <c r="BQ1219" s="2" t="s">
        <v>107</v>
      </c>
      <c r="BR1219" s="2"/>
      <c r="BS1219" s="3">
        <v>40264</v>
      </c>
      <c r="BT1219" s="4">
        <v>0.28334490740740742</v>
      </c>
    </row>
    <row r="1220" spans="1:72" x14ac:dyDescent="0.25">
      <c r="A1220" s="2">
        <v>1853</v>
      </c>
      <c r="B1220" s="2">
        <v>2010</v>
      </c>
      <c r="C1220" s="2" t="s">
        <v>171</v>
      </c>
      <c r="D1220" s="2" t="s">
        <v>122</v>
      </c>
      <c r="E1220" s="2" t="s">
        <v>4582</v>
      </c>
      <c r="F1220" s="2">
        <v>159</v>
      </c>
      <c r="G1220" s="2" t="s">
        <v>3883</v>
      </c>
      <c r="H1220" s="2">
        <v>19</v>
      </c>
      <c r="I1220" s="2" t="s">
        <v>4355</v>
      </c>
      <c r="J1220" s="2">
        <v>172</v>
      </c>
      <c r="K1220" s="2" t="s">
        <v>3885</v>
      </c>
      <c r="L1220" s="2" t="s">
        <v>3886</v>
      </c>
      <c r="M1220" s="3">
        <v>40264</v>
      </c>
      <c r="N1220" s="2" t="s">
        <v>4298</v>
      </c>
      <c r="O1220" s="2" t="s">
        <v>82</v>
      </c>
      <c r="P1220" s="2" t="s">
        <v>82</v>
      </c>
      <c r="Q1220" s="2" t="str">
        <f>"123-A/10."</f>
        <v>123-A/10.</v>
      </c>
      <c r="R1220" s="2" t="s">
        <v>2334</v>
      </c>
      <c r="S1220" s="2" t="s">
        <v>82</v>
      </c>
      <c r="T1220" s="2">
        <v>1</v>
      </c>
      <c r="U1220" s="2" t="s">
        <v>79</v>
      </c>
      <c r="V1220" s="2">
        <v>1</v>
      </c>
      <c r="W1220" s="2" t="s">
        <v>80</v>
      </c>
      <c r="X1220" s="2">
        <v>1</v>
      </c>
      <c r="Y1220" s="2" t="s">
        <v>81</v>
      </c>
      <c r="Z1220" s="2">
        <v>1</v>
      </c>
      <c r="AA1220" s="2" t="s">
        <v>82</v>
      </c>
      <c r="AB1220" s="2">
        <v>1</v>
      </c>
      <c r="AC1220" s="2" t="s">
        <v>178</v>
      </c>
      <c r="AD1220" s="3">
        <v>40264</v>
      </c>
      <c r="AE1220" s="4">
        <v>0.1875</v>
      </c>
      <c r="AF1220" s="2"/>
      <c r="AG1220" s="2"/>
      <c r="AH1220" s="2">
        <v>2</v>
      </c>
      <c r="AI1220" s="2" t="s">
        <v>84</v>
      </c>
      <c r="AJ1220" s="2">
        <v>12</v>
      </c>
      <c r="AK1220" s="2" t="s">
        <v>85</v>
      </c>
      <c r="AL1220" s="2">
        <v>18</v>
      </c>
      <c r="AM1220" s="2" t="s">
        <v>82</v>
      </c>
      <c r="AN1220" s="2"/>
      <c r="AO1220" s="2" t="s">
        <v>1971</v>
      </c>
      <c r="AP1220" s="2">
        <v>11</v>
      </c>
      <c r="AQ1220" s="2" t="s">
        <v>82</v>
      </c>
      <c r="AR1220" s="2" t="s">
        <v>82</v>
      </c>
      <c r="AS1220" s="2" t="s">
        <v>82</v>
      </c>
      <c r="AT1220" s="2" t="s">
        <v>4583</v>
      </c>
      <c r="AU1220" s="2">
        <v>1</v>
      </c>
      <c r="AV1220" s="2"/>
      <c r="AW1220" s="2"/>
      <c r="AX1220" s="2"/>
      <c r="AY1220" s="2">
        <v>41</v>
      </c>
      <c r="AZ1220" s="2" t="s">
        <v>82</v>
      </c>
      <c r="BA1220" s="2">
        <v>41</v>
      </c>
      <c r="BB1220" s="2" t="s">
        <v>82</v>
      </c>
      <c r="BC1220" s="2">
        <v>41</v>
      </c>
      <c r="BD1220" s="2" t="s">
        <v>82</v>
      </c>
      <c r="BE1220" s="2">
        <v>48</v>
      </c>
      <c r="BF1220" s="2" t="s">
        <v>1123</v>
      </c>
      <c r="BG1220" s="2">
        <v>854</v>
      </c>
      <c r="BH1220" s="4">
        <v>0.97916666666666663</v>
      </c>
      <c r="BI1220" s="4">
        <v>0.8125</v>
      </c>
      <c r="BJ1220" s="2">
        <v>13</v>
      </c>
      <c r="BK1220" s="2" t="s">
        <v>91</v>
      </c>
      <c r="BL1220" s="2" t="s">
        <v>185</v>
      </c>
      <c r="BM1220" s="2">
        <v>241</v>
      </c>
      <c r="BN1220" s="2" t="s">
        <v>82</v>
      </c>
      <c r="BO1220" s="2" t="s">
        <v>82</v>
      </c>
      <c r="BP1220" s="2">
        <v>13</v>
      </c>
      <c r="BQ1220" s="2" t="s">
        <v>91</v>
      </c>
      <c r="BR1220" s="2" t="s">
        <v>2792</v>
      </c>
      <c r="BS1220" s="3">
        <v>40264</v>
      </c>
      <c r="BT1220" s="4">
        <v>0.29615740740740742</v>
      </c>
    </row>
    <row r="1221" spans="1:72" x14ac:dyDescent="0.25">
      <c r="A1221" s="2">
        <v>1854</v>
      </c>
      <c r="B1221" s="2">
        <v>2010</v>
      </c>
      <c r="C1221" s="2" t="s">
        <v>147</v>
      </c>
      <c r="D1221" s="2" t="s">
        <v>73</v>
      </c>
      <c r="E1221" s="2"/>
      <c r="F1221" s="2">
        <v>1</v>
      </c>
      <c r="G1221" s="2" t="s">
        <v>82</v>
      </c>
      <c r="H1221" s="2">
        <v>1</v>
      </c>
      <c r="I1221" s="2" t="s">
        <v>82</v>
      </c>
      <c r="J1221" s="2">
        <v>1</v>
      </c>
      <c r="K1221" s="2" t="s">
        <v>107</v>
      </c>
      <c r="L1221" s="2" t="s">
        <v>107</v>
      </c>
      <c r="M1221" s="3">
        <v>40264</v>
      </c>
      <c r="N1221" s="2"/>
      <c r="O1221" s="2"/>
      <c r="P1221" s="2"/>
      <c r="Q1221" s="2" t="str">
        <f>"AP_0004/10"</f>
        <v>AP_0004/10</v>
      </c>
      <c r="R1221" s="2"/>
      <c r="S1221" s="2"/>
      <c r="T1221" s="2">
        <v>2</v>
      </c>
      <c r="U1221" s="2" t="s">
        <v>123</v>
      </c>
      <c r="V1221" s="2">
        <v>1</v>
      </c>
      <c r="W1221" s="2" t="s">
        <v>80</v>
      </c>
      <c r="X1221" s="2">
        <v>12</v>
      </c>
      <c r="Y1221" s="2" t="s">
        <v>148</v>
      </c>
      <c r="Z1221" s="2">
        <v>1</v>
      </c>
      <c r="AA1221" s="2" t="s">
        <v>82</v>
      </c>
      <c r="AB1221" s="2">
        <v>9</v>
      </c>
      <c r="AC1221" s="2" t="s">
        <v>124</v>
      </c>
      <c r="AD1221" s="3">
        <v>40263</v>
      </c>
      <c r="AE1221" s="2"/>
      <c r="AF1221" s="3">
        <v>40264</v>
      </c>
      <c r="AG1221" s="4">
        <v>0.3888888888888889</v>
      </c>
      <c r="AH1221" s="2">
        <v>5</v>
      </c>
      <c r="AI1221" s="2" t="s">
        <v>274</v>
      </c>
      <c r="AJ1221" s="2">
        <v>37</v>
      </c>
      <c r="AK1221" s="2" t="s">
        <v>497</v>
      </c>
      <c r="AL1221" s="2">
        <v>12</v>
      </c>
      <c r="AM1221" s="2" t="s">
        <v>86</v>
      </c>
      <c r="AN1221" s="2" t="s">
        <v>4584</v>
      </c>
      <c r="AO1221" s="2"/>
      <c r="AP1221" s="2">
        <v>11</v>
      </c>
      <c r="AQ1221" s="2" t="s">
        <v>82</v>
      </c>
      <c r="AR1221" s="2"/>
      <c r="AS1221" s="2"/>
      <c r="AT1221" s="2" t="s">
        <v>4585</v>
      </c>
      <c r="AU1221" s="2"/>
      <c r="AV1221" s="2"/>
      <c r="AW1221" s="2"/>
      <c r="AX1221" s="2"/>
      <c r="AY1221" s="2">
        <v>41</v>
      </c>
      <c r="AZ1221" s="2" t="s">
        <v>82</v>
      </c>
      <c r="BA1221" s="2">
        <v>41</v>
      </c>
      <c r="BB1221" s="2" t="s">
        <v>82</v>
      </c>
      <c r="BC1221" s="2">
        <v>41</v>
      </c>
      <c r="BD1221" s="2" t="s">
        <v>82</v>
      </c>
      <c r="BE1221" s="2">
        <v>41</v>
      </c>
      <c r="BF1221" s="2" t="s">
        <v>82</v>
      </c>
      <c r="BG1221" s="2"/>
      <c r="BH1221" s="2"/>
      <c r="BI1221" s="2"/>
      <c r="BJ1221" s="2">
        <v>241</v>
      </c>
      <c r="BK1221" s="2" t="s">
        <v>82</v>
      </c>
      <c r="BL1221" s="2"/>
      <c r="BM1221" s="2">
        <v>241</v>
      </c>
      <c r="BN1221" s="2" t="s">
        <v>82</v>
      </c>
      <c r="BO1221" s="2"/>
      <c r="BP1221" s="2">
        <v>241</v>
      </c>
      <c r="BQ1221" s="2" t="s">
        <v>82</v>
      </c>
      <c r="BR1221" s="2"/>
      <c r="BS1221" s="3">
        <v>40264</v>
      </c>
      <c r="BT1221" s="4">
        <v>0.47291666666666665</v>
      </c>
    </row>
    <row r="1222" spans="1:72" x14ac:dyDescent="0.25">
      <c r="A1222" s="2">
        <v>1855</v>
      </c>
      <c r="B1222" s="2">
        <v>2010</v>
      </c>
      <c r="C1222" s="2" t="s">
        <v>1172</v>
      </c>
      <c r="D1222" s="2" t="s">
        <v>122</v>
      </c>
      <c r="E1222" s="2"/>
      <c r="F1222" s="2">
        <v>45</v>
      </c>
      <c r="G1222" s="2" t="s">
        <v>1408</v>
      </c>
      <c r="H1222" s="2">
        <v>47</v>
      </c>
      <c r="I1222" s="2" t="s">
        <v>1409</v>
      </c>
      <c r="J1222" s="2">
        <v>77</v>
      </c>
      <c r="K1222" s="2" t="s">
        <v>2517</v>
      </c>
      <c r="L1222" s="2" t="s">
        <v>2518</v>
      </c>
      <c r="M1222" s="3">
        <v>40264</v>
      </c>
      <c r="N1222" s="2" t="s">
        <v>2925</v>
      </c>
      <c r="O1222" s="2"/>
      <c r="P1222" s="2"/>
      <c r="Q1222" s="2" t="str">
        <f>""</f>
        <v/>
      </c>
      <c r="R1222" s="2"/>
      <c r="S1222" s="2"/>
      <c r="T1222" s="2">
        <v>1</v>
      </c>
      <c r="U1222" s="2" t="s">
        <v>79</v>
      </c>
      <c r="V1222" s="2">
        <v>1</v>
      </c>
      <c r="W1222" s="2" t="s">
        <v>80</v>
      </c>
      <c r="X1222" s="2">
        <v>5</v>
      </c>
      <c r="Y1222" s="2" t="s">
        <v>82</v>
      </c>
      <c r="Z1222" s="2">
        <v>1</v>
      </c>
      <c r="AA1222" s="2" t="s">
        <v>82</v>
      </c>
      <c r="AB1222" s="2">
        <v>9</v>
      </c>
      <c r="AC1222" s="2" t="s">
        <v>124</v>
      </c>
      <c r="AD1222" s="3">
        <v>40264</v>
      </c>
      <c r="AE1222" s="4">
        <v>0.43055555555555558</v>
      </c>
      <c r="AF1222" s="2"/>
      <c r="AG1222" s="2"/>
      <c r="AH1222" s="2">
        <v>4</v>
      </c>
      <c r="AI1222" s="2" t="s">
        <v>125</v>
      </c>
      <c r="AJ1222" s="2">
        <v>31</v>
      </c>
      <c r="AK1222" s="2" t="s">
        <v>1413</v>
      </c>
      <c r="AL1222" s="2">
        <v>18</v>
      </c>
      <c r="AM1222" s="2" t="s">
        <v>82</v>
      </c>
      <c r="AN1222" s="2"/>
      <c r="AO1222" s="2" t="s">
        <v>4586</v>
      </c>
      <c r="AP1222" s="2">
        <v>11</v>
      </c>
      <c r="AQ1222" s="2" t="s">
        <v>82</v>
      </c>
      <c r="AR1222" s="2"/>
      <c r="AS1222" s="2"/>
      <c r="AT1222" s="2" t="s">
        <v>4587</v>
      </c>
      <c r="AU1222" s="2"/>
      <c r="AV1222" s="2"/>
      <c r="AW1222" s="2"/>
      <c r="AX1222" s="2"/>
      <c r="AY1222" s="2">
        <v>1</v>
      </c>
      <c r="AZ1222" s="2" t="s">
        <v>107</v>
      </c>
      <c r="BA1222" s="2">
        <v>1</v>
      </c>
      <c r="BB1222" s="2" t="s">
        <v>107</v>
      </c>
      <c r="BC1222" s="2">
        <v>1</v>
      </c>
      <c r="BD1222" s="2" t="s">
        <v>107</v>
      </c>
      <c r="BE1222" s="2">
        <v>1</v>
      </c>
      <c r="BF1222" s="2" t="s">
        <v>107</v>
      </c>
      <c r="BG1222" s="2" t="s">
        <v>4588</v>
      </c>
      <c r="BH1222" s="2"/>
      <c r="BI1222" s="2"/>
      <c r="BJ1222" s="2">
        <v>242</v>
      </c>
      <c r="BK1222" s="2" t="s">
        <v>107</v>
      </c>
      <c r="BL1222" s="2" t="s">
        <v>828</v>
      </c>
      <c r="BM1222" s="2">
        <v>242</v>
      </c>
      <c r="BN1222" s="2" t="s">
        <v>107</v>
      </c>
      <c r="BO1222" s="2" t="s">
        <v>4589</v>
      </c>
      <c r="BP1222" s="2">
        <v>242</v>
      </c>
      <c r="BQ1222" s="2" t="s">
        <v>107</v>
      </c>
      <c r="BR1222" s="2" t="s">
        <v>828</v>
      </c>
      <c r="BS1222" s="3">
        <v>40264</v>
      </c>
      <c r="BT1222" s="4">
        <v>0.50809027777777771</v>
      </c>
    </row>
    <row r="1223" spans="1:72" x14ac:dyDescent="0.25">
      <c r="A1223" s="2">
        <v>1857</v>
      </c>
      <c r="B1223" s="2">
        <v>2010</v>
      </c>
      <c r="C1223" s="2" t="s">
        <v>171</v>
      </c>
      <c r="D1223" s="2" t="s">
        <v>73</v>
      </c>
      <c r="E1223" s="2"/>
      <c r="F1223" s="2">
        <v>399</v>
      </c>
      <c r="G1223" s="2" t="s">
        <v>587</v>
      </c>
      <c r="H1223" s="2">
        <v>14</v>
      </c>
      <c r="I1223" s="2" t="s">
        <v>1458</v>
      </c>
      <c r="J1223" s="2">
        <v>242</v>
      </c>
      <c r="K1223" s="2" t="s">
        <v>1077</v>
      </c>
      <c r="L1223" s="2" t="s">
        <v>1078</v>
      </c>
      <c r="M1223" s="3">
        <v>40264</v>
      </c>
      <c r="N1223" s="2" t="s">
        <v>4590</v>
      </c>
      <c r="O1223" s="2" t="s">
        <v>4591</v>
      </c>
      <c r="P1223" s="2">
        <v>6809</v>
      </c>
      <c r="Q1223" s="2" t="str">
        <f>"163-E/10"</f>
        <v>163-E/10</v>
      </c>
      <c r="R1223" s="2" t="s">
        <v>4592</v>
      </c>
      <c r="S1223" s="2" t="s">
        <v>107</v>
      </c>
      <c r="T1223" s="2">
        <v>1</v>
      </c>
      <c r="U1223" s="2" t="s">
        <v>79</v>
      </c>
      <c r="V1223" s="2">
        <v>1</v>
      </c>
      <c r="W1223" s="2" t="s">
        <v>80</v>
      </c>
      <c r="X1223" s="2">
        <v>1</v>
      </c>
      <c r="Y1223" s="2" t="s">
        <v>81</v>
      </c>
      <c r="Z1223" s="2">
        <v>1</v>
      </c>
      <c r="AA1223" s="2" t="s">
        <v>82</v>
      </c>
      <c r="AB1223" s="2">
        <v>1</v>
      </c>
      <c r="AC1223" s="2" t="s">
        <v>178</v>
      </c>
      <c r="AD1223" s="3">
        <v>40264</v>
      </c>
      <c r="AE1223" s="4">
        <v>0.46527777777777773</v>
      </c>
      <c r="AF1223" s="3">
        <v>40264</v>
      </c>
      <c r="AG1223" s="4">
        <v>0.66666666666666663</v>
      </c>
      <c r="AH1223" s="2">
        <v>2</v>
      </c>
      <c r="AI1223" s="2" t="s">
        <v>84</v>
      </c>
      <c r="AJ1223" s="2">
        <v>9</v>
      </c>
      <c r="AK1223" s="2" t="s">
        <v>103</v>
      </c>
      <c r="AL1223" s="2">
        <v>14</v>
      </c>
      <c r="AM1223" s="2" t="s">
        <v>216</v>
      </c>
      <c r="AN1223" s="2" t="s">
        <v>1340</v>
      </c>
      <c r="AO1223" s="2" t="s">
        <v>4593</v>
      </c>
      <c r="AP1223" s="2">
        <v>11</v>
      </c>
      <c r="AQ1223" s="2" t="s">
        <v>82</v>
      </c>
      <c r="AR1223" s="2"/>
      <c r="AS1223" s="2"/>
      <c r="AT1223" s="2" t="s">
        <v>4594</v>
      </c>
      <c r="AU1223" s="2"/>
      <c r="AV1223" s="2">
        <v>2</v>
      </c>
      <c r="AW1223" s="2"/>
      <c r="AX1223" s="2"/>
      <c r="AY1223" s="2">
        <v>41</v>
      </c>
      <c r="AZ1223" s="2" t="s">
        <v>82</v>
      </c>
      <c r="BA1223" s="2">
        <v>41</v>
      </c>
      <c r="BB1223" s="2" t="s">
        <v>82</v>
      </c>
      <c r="BC1223" s="2">
        <v>41</v>
      </c>
      <c r="BD1223" s="2" t="s">
        <v>82</v>
      </c>
      <c r="BE1223" s="2">
        <v>23</v>
      </c>
      <c r="BF1223" s="2" t="s">
        <v>183</v>
      </c>
      <c r="BG1223" s="2" t="s">
        <v>4595</v>
      </c>
      <c r="BH1223" s="2"/>
      <c r="BI1223" s="4">
        <v>0.5625</v>
      </c>
      <c r="BJ1223" s="2">
        <v>13</v>
      </c>
      <c r="BK1223" s="2" t="s">
        <v>91</v>
      </c>
      <c r="BL1223" s="2" t="s">
        <v>1362</v>
      </c>
      <c r="BM1223" s="2">
        <v>73</v>
      </c>
      <c r="BN1223" s="2" t="s">
        <v>186</v>
      </c>
      <c r="BO1223" s="2" t="s">
        <v>187</v>
      </c>
      <c r="BP1223" s="2">
        <v>114</v>
      </c>
      <c r="BQ1223" s="2" t="s">
        <v>4596</v>
      </c>
      <c r="BR1223" s="2" t="s">
        <v>4597</v>
      </c>
      <c r="BS1223" s="3">
        <v>40264</v>
      </c>
      <c r="BT1223" s="4">
        <v>0.86378472222222225</v>
      </c>
    </row>
    <row r="1224" spans="1:72" x14ac:dyDescent="0.25">
      <c r="A1224" s="2">
        <v>1859</v>
      </c>
      <c r="B1224" s="2">
        <v>2010</v>
      </c>
      <c r="C1224" s="2" t="s">
        <v>409</v>
      </c>
      <c r="D1224" s="2" t="s">
        <v>122</v>
      </c>
      <c r="E1224" s="2"/>
      <c r="F1224" s="2">
        <v>338</v>
      </c>
      <c r="G1224" s="2" t="s">
        <v>4459</v>
      </c>
      <c r="H1224" s="2">
        <v>2</v>
      </c>
      <c r="I1224" s="2" t="s">
        <v>267</v>
      </c>
      <c r="J1224" s="2">
        <v>309</v>
      </c>
      <c r="K1224" s="2" t="s">
        <v>268</v>
      </c>
      <c r="L1224" s="2" t="s">
        <v>269</v>
      </c>
      <c r="M1224" s="3">
        <v>40265</v>
      </c>
      <c r="N1224" s="2" t="s">
        <v>4420</v>
      </c>
      <c r="O1224" s="2" t="s">
        <v>4598</v>
      </c>
      <c r="P1224" s="2" t="s">
        <v>4422</v>
      </c>
      <c r="Q1224" s="2" t="str">
        <f>"155/10"</f>
        <v>155/10</v>
      </c>
      <c r="R1224" s="2"/>
      <c r="S1224" s="2" t="s">
        <v>4461</v>
      </c>
      <c r="T1224" s="2">
        <v>1</v>
      </c>
      <c r="U1224" s="2" t="s">
        <v>79</v>
      </c>
      <c r="V1224" s="2">
        <v>1</v>
      </c>
      <c r="W1224" s="2" t="s">
        <v>80</v>
      </c>
      <c r="X1224" s="2">
        <v>5</v>
      </c>
      <c r="Y1224" s="2" t="s">
        <v>82</v>
      </c>
      <c r="Z1224" s="2">
        <v>1</v>
      </c>
      <c r="AA1224" s="2" t="s">
        <v>82</v>
      </c>
      <c r="AB1224" s="2">
        <v>9</v>
      </c>
      <c r="AC1224" s="2" t="s">
        <v>124</v>
      </c>
      <c r="AD1224" s="3">
        <v>40264</v>
      </c>
      <c r="AE1224" s="4">
        <v>0.95833333333333337</v>
      </c>
      <c r="AF1224" s="3">
        <v>40262</v>
      </c>
      <c r="AG1224" s="4">
        <v>0.50347222222222221</v>
      </c>
      <c r="AH1224" s="2">
        <v>5</v>
      </c>
      <c r="AI1224" s="2" t="s">
        <v>274</v>
      </c>
      <c r="AJ1224" s="2">
        <v>35</v>
      </c>
      <c r="AK1224" s="2" t="s">
        <v>275</v>
      </c>
      <c r="AL1224" s="2">
        <v>18</v>
      </c>
      <c r="AM1224" s="2" t="s">
        <v>82</v>
      </c>
      <c r="AN1224" s="2" t="s">
        <v>4599</v>
      </c>
      <c r="AO1224" s="2" t="s">
        <v>4425</v>
      </c>
      <c r="AP1224" s="2">
        <v>11</v>
      </c>
      <c r="AQ1224" s="2" t="s">
        <v>82</v>
      </c>
      <c r="AR1224" s="2"/>
      <c r="AS1224" s="2"/>
      <c r="AT1224" s="2" t="s">
        <v>4600</v>
      </c>
      <c r="AU1224" s="2"/>
      <c r="AV1224" s="2"/>
      <c r="AW1224" s="2"/>
      <c r="AX1224" s="2"/>
      <c r="AY1224" s="2">
        <v>1</v>
      </c>
      <c r="AZ1224" s="2" t="s">
        <v>107</v>
      </c>
      <c r="BA1224" s="2">
        <v>1</v>
      </c>
      <c r="BB1224" s="2" t="s">
        <v>107</v>
      </c>
      <c r="BC1224" s="2">
        <v>1</v>
      </c>
      <c r="BD1224" s="2" t="s">
        <v>107</v>
      </c>
      <c r="BE1224" s="2">
        <v>1</v>
      </c>
      <c r="BF1224" s="2" t="s">
        <v>107</v>
      </c>
      <c r="BG1224" s="2"/>
      <c r="BH1224" s="2"/>
      <c r="BI1224" s="2"/>
      <c r="BJ1224" s="2">
        <v>242</v>
      </c>
      <c r="BK1224" s="2" t="s">
        <v>107</v>
      </c>
      <c r="BL1224" s="2"/>
      <c r="BM1224" s="2">
        <v>242</v>
      </c>
      <c r="BN1224" s="2" t="s">
        <v>107</v>
      </c>
      <c r="BO1224" s="2"/>
      <c r="BP1224" s="2">
        <v>242</v>
      </c>
      <c r="BQ1224" s="2" t="s">
        <v>107</v>
      </c>
      <c r="BR1224" s="2"/>
      <c r="BS1224" s="3">
        <v>40265</v>
      </c>
      <c r="BT1224" s="4">
        <v>2.0856481481481479E-2</v>
      </c>
    </row>
    <row r="1225" spans="1:72" x14ac:dyDescent="0.25">
      <c r="A1225" s="2">
        <v>1860</v>
      </c>
      <c r="B1225" s="2">
        <v>2010</v>
      </c>
      <c r="C1225" s="2" t="s">
        <v>549</v>
      </c>
      <c r="D1225" s="2" t="s">
        <v>73</v>
      </c>
      <c r="E1225" s="2"/>
      <c r="F1225" s="2">
        <v>390</v>
      </c>
      <c r="G1225" s="2" t="s">
        <v>475</v>
      </c>
      <c r="H1225" s="2">
        <v>5</v>
      </c>
      <c r="I1225" s="2" t="s">
        <v>634</v>
      </c>
      <c r="J1225" s="2">
        <v>314</v>
      </c>
      <c r="K1225" s="2" t="s">
        <v>477</v>
      </c>
      <c r="L1225" s="2" t="s">
        <v>478</v>
      </c>
      <c r="M1225" s="3">
        <v>40265</v>
      </c>
      <c r="N1225" s="2" t="s">
        <v>3705</v>
      </c>
      <c r="O1225" s="2" t="s">
        <v>550</v>
      </c>
      <c r="P1225" s="2"/>
      <c r="Q1225" s="2" t="str">
        <f>"164-E/10"</f>
        <v>164-E/10</v>
      </c>
      <c r="R1225" s="2" t="s">
        <v>550</v>
      </c>
      <c r="S1225" s="2" t="s">
        <v>550</v>
      </c>
      <c r="T1225" s="2">
        <v>1</v>
      </c>
      <c r="U1225" s="2" t="s">
        <v>79</v>
      </c>
      <c r="V1225" s="2">
        <v>1</v>
      </c>
      <c r="W1225" s="2" t="s">
        <v>80</v>
      </c>
      <c r="X1225" s="2">
        <v>1</v>
      </c>
      <c r="Y1225" s="2" t="s">
        <v>81</v>
      </c>
      <c r="Z1225" s="2">
        <v>1</v>
      </c>
      <c r="AA1225" s="2" t="s">
        <v>82</v>
      </c>
      <c r="AB1225" s="2">
        <v>9</v>
      </c>
      <c r="AC1225" s="2" t="s">
        <v>124</v>
      </c>
      <c r="AD1225" s="3">
        <v>40264</v>
      </c>
      <c r="AE1225" s="4">
        <v>0.84375</v>
      </c>
      <c r="AF1225" s="3">
        <v>40265</v>
      </c>
      <c r="AG1225" s="4">
        <v>6.25E-2</v>
      </c>
      <c r="AH1225" s="2">
        <v>2</v>
      </c>
      <c r="AI1225" s="2" t="s">
        <v>84</v>
      </c>
      <c r="AJ1225" s="2">
        <v>9</v>
      </c>
      <c r="AK1225" s="2" t="s">
        <v>103</v>
      </c>
      <c r="AL1225" s="2">
        <v>14</v>
      </c>
      <c r="AM1225" s="2" t="s">
        <v>216</v>
      </c>
      <c r="AN1225" s="2" t="s">
        <v>4601</v>
      </c>
      <c r="AO1225" s="2" t="s">
        <v>230</v>
      </c>
      <c r="AP1225" s="2">
        <v>11</v>
      </c>
      <c r="AQ1225" s="2" t="s">
        <v>82</v>
      </c>
      <c r="AR1225" s="2"/>
      <c r="AS1225" s="2"/>
      <c r="AT1225" s="2" t="s">
        <v>4602</v>
      </c>
      <c r="AU1225" s="2"/>
      <c r="AV1225" s="2"/>
      <c r="AW1225" s="2"/>
      <c r="AX1225" s="2"/>
      <c r="AY1225" s="2">
        <v>41</v>
      </c>
      <c r="AZ1225" s="2" t="s">
        <v>82</v>
      </c>
      <c r="BA1225" s="2">
        <v>41</v>
      </c>
      <c r="BB1225" s="2" t="s">
        <v>82</v>
      </c>
      <c r="BC1225" s="2">
        <v>41</v>
      </c>
      <c r="BD1225" s="2" t="s">
        <v>82</v>
      </c>
      <c r="BE1225" s="2">
        <v>41</v>
      </c>
      <c r="BF1225" s="2" t="s">
        <v>82</v>
      </c>
      <c r="BG1225" s="2"/>
      <c r="BH1225" s="2"/>
      <c r="BI1225" s="2"/>
      <c r="BJ1225" s="2">
        <v>241</v>
      </c>
      <c r="BK1225" s="2" t="s">
        <v>82</v>
      </c>
      <c r="BL1225" s="2"/>
      <c r="BM1225" s="2">
        <v>241</v>
      </c>
      <c r="BN1225" s="2" t="s">
        <v>82</v>
      </c>
      <c r="BO1225" s="2"/>
      <c r="BP1225" s="2">
        <v>241</v>
      </c>
      <c r="BQ1225" s="2" t="s">
        <v>82</v>
      </c>
      <c r="BR1225" s="2"/>
      <c r="BS1225" s="3">
        <v>40265</v>
      </c>
      <c r="BT1225" s="4">
        <v>8.4247685185185175E-2</v>
      </c>
    </row>
    <row r="1226" spans="1:72" x14ac:dyDescent="0.25">
      <c r="A1226" s="2">
        <v>1861</v>
      </c>
      <c r="B1226" s="2">
        <v>2010</v>
      </c>
      <c r="C1226" s="2" t="s">
        <v>72</v>
      </c>
      <c r="D1226" s="2" t="s">
        <v>73</v>
      </c>
      <c r="E1226" s="2"/>
      <c r="F1226" s="2">
        <v>189</v>
      </c>
      <c r="G1226" s="2" t="s">
        <v>4603</v>
      </c>
      <c r="H1226" s="2">
        <v>79</v>
      </c>
      <c r="I1226" s="2" t="s">
        <v>4171</v>
      </c>
      <c r="J1226" s="2">
        <v>183</v>
      </c>
      <c r="K1226" s="2" t="s">
        <v>3133</v>
      </c>
      <c r="L1226" s="2" t="s">
        <v>3134</v>
      </c>
      <c r="M1226" s="3">
        <v>40265</v>
      </c>
      <c r="N1226" s="2" t="s">
        <v>4604</v>
      </c>
      <c r="O1226" s="2" t="s">
        <v>107</v>
      </c>
      <c r="P1226" s="2" t="s">
        <v>107</v>
      </c>
      <c r="Q1226" s="2" t="str">
        <f>"124-A/10"</f>
        <v>124-A/10</v>
      </c>
      <c r="R1226" s="2" t="s">
        <v>116</v>
      </c>
      <c r="S1226" s="2" t="s">
        <v>116</v>
      </c>
      <c r="T1226" s="2">
        <v>1</v>
      </c>
      <c r="U1226" s="2" t="s">
        <v>79</v>
      </c>
      <c r="V1226" s="2">
        <v>1</v>
      </c>
      <c r="W1226" s="2" t="s">
        <v>80</v>
      </c>
      <c r="X1226" s="2">
        <v>1</v>
      </c>
      <c r="Y1226" s="2" t="s">
        <v>81</v>
      </c>
      <c r="Z1226" s="2">
        <v>1</v>
      </c>
      <c r="AA1226" s="2" t="s">
        <v>82</v>
      </c>
      <c r="AB1226" s="2">
        <v>6</v>
      </c>
      <c r="AC1226" s="2" t="s">
        <v>83</v>
      </c>
      <c r="AD1226" s="3">
        <v>40264</v>
      </c>
      <c r="AE1226" s="4">
        <v>0.53472222222222221</v>
      </c>
      <c r="AF1226" s="3">
        <v>40264</v>
      </c>
      <c r="AG1226" s="4">
        <v>0.60416666666666663</v>
      </c>
      <c r="AH1226" s="2">
        <v>2</v>
      </c>
      <c r="AI1226" s="2" t="s">
        <v>84</v>
      </c>
      <c r="AJ1226" s="2">
        <v>12</v>
      </c>
      <c r="AK1226" s="2" t="s">
        <v>85</v>
      </c>
      <c r="AL1226" s="2">
        <v>12</v>
      </c>
      <c r="AM1226" s="2" t="s">
        <v>86</v>
      </c>
      <c r="AN1226" s="2" t="s">
        <v>1212</v>
      </c>
      <c r="AO1226" s="2" t="s">
        <v>816</v>
      </c>
      <c r="AP1226" s="2">
        <v>11</v>
      </c>
      <c r="AQ1226" s="2" t="s">
        <v>82</v>
      </c>
      <c r="AR1226" s="2" t="s">
        <v>82</v>
      </c>
      <c r="AS1226" s="2" t="s">
        <v>82</v>
      </c>
      <c r="AT1226" s="2" t="s">
        <v>4605</v>
      </c>
      <c r="AU1226" s="2"/>
      <c r="AV1226" s="2"/>
      <c r="AW1226" s="2"/>
      <c r="AX1226" s="2"/>
      <c r="AY1226" s="2">
        <v>41</v>
      </c>
      <c r="AZ1226" s="2" t="s">
        <v>82</v>
      </c>
      <c r="BA1226" s="2">
        <v>41</v>
      </c>
      <c r="BB1226" s="2" t="s">
        <v>82</v>
      </c>
      <c r="BC1226" s="2">
        <v>41</v>
      </c>
      <c r="BD1226" s="2" t="s">
        <v>82</v>
      </c>
      <c r="BE1226" s="2">
        <v>1</v>
      </c>
      <c r="BF1226" s="2" t="s">
        <v>107</v>
      </c>
      <c r="BG1226" s="2" t="s">
        <v>107</v>
      </c>
      <c r="BH1226" s="4">
        <v>0.74305555555555547</v>
      </c>
      <c r="BI1226" s="4">
        <v>0.66666666666666663</v>
      </c>
      <c r="BJ1226" s="2">
        <v>13</v>
      </c>
      <c r="BK1226" s="2" t="s">
        <v>91</v>
      </c>
      <c r="BL1226" s="2" t="s">
        <v>564</v>
      </c>
      <c r="BM1226" s="2">
        <v>241</v>
      </c>
      <c r="BN1226" s="2" t="s">
        <v>82</v>
      </c>
      <c r="BO1226" s="2" t="s">
        <v>82</v>
      </c>
      <c r="BP1226" s="2">
        <v>13</v>
      </c>
      <c r="BQ1226" s="2" t="s">
        <v>91</v>
      </c>
      <c r="BR1226" s="2" t="s">
        <v>92</v>
      </c>
      <c r="BS1226" s="3">
        <v>40265</v>
      </c>
      <c r="BT1226" s="4">
        <v>0.12144675925925925</v>
      </c>
    </row>
    <row r="1227" spans="1:72" x14ac:dyDescent="0.25">
      <c r="A1227" s="2">
        <v>1862</v>
      </c>
      <c r="B1227" s="2">
        <v>2010</v>
      </c>
      <c r="C1227" s="2" t="s">
        <v>171</v>
      </c>
      <c r="D1227" s="2" t="s">
        <v>73</v>
      </c>
      <c r="E1227" s="2"/>
      <c r="F1227" s="2">
        <v>159</v>
      </c>
      <c r="G1227" s="2" t="s">
        <v>3883</v>
      </c>
      <c r="H1227" s="2">
        <v>19</v>
      </c>
      <c r="I1227" s="2" t="s">
        <v>4355</v>
      </c>
      <c r="J1227" s="2">
        <v>172</v>
      </c>
      <c r="K1227" s="2" t="s">
        <v>3885</v>
      </c>
      <c r="L1227" s="2" t="s">
        <v>3886</v>
      </c>
      <c r="M1227" s="3">
        <v>40265</v>
      </c>
      <c r="N1227" s="2" t="s">
        <v>4356</v>
      </c>
      <c r="O1227" s="2" t="s">
        <v>107</v>
      </c>
      <c r="P1227" s="2" t="s">
        <v>107</v>
      </c>
      <c r="Q1227" s="2" t="str">
        <f>"125-A/10"</f>
        <v>125-A/10</v>
      </c>
      <c r="R1227" s="2" t="s">
        <v>107</v>
      </c>
      <c r="S1227" s="2" t="s">
        <v>1035</v>
      </c>
      <c r="T1227" s="2">
        <v>1</v>
      </c>
      <c r="U1227" s="2" t="s">
        <v>79</v>
      </c>
      <c r="V1227" s="2">
        <v>1</v>
      </c>
      <c r="W1227" s="2" t="s">
        <v>80</v>
      </c>
      <c r="X1227" s="2">
        <v>1</v>
      </c>
      <c r="Y1227" s="2" t="s">
        <v>81</v>
      </c>
      <c r="Z1227" s="2">
        <v>10</v>
      </c>
      <c r="AA1227" s="2" t="s">
        <v>236</v>
      </c>
      <c r="AB1227" s="2">
        <v>1</v>
      </c>
      <c r="AC1227" s="2" t="s">
        <v>178</v>
      </c>
      <c r="AD1227" s="3">
        <v>40264</v>
      </c>
      <c r="AE1227" s="4">
        <v>0.56944444444444442</v>
      </c>
      <c r="AF1227" s="3">
        <v>40264</v>
      </c>
      <c r="AG1227" s="4">
        <v>0.58680555555555558</v>
      </c>
      <c r="AH1227" s="2">
        <v>2</v>
      </c>
      <c r="AI1227" s="2" t="s">
        <v>84</v>
      </c>
      <c r="AJ1227" s="2">
        <v>12</v>
      </c>
      <c r="AK1227" s="2" t="s">
        <v>85</v>
      </c>
      <c r="AL1227" s="2">
        <v>11</v>
      </c>
      <c r="AM1227" s="2" t="s">
        <v>137</v>
      </c>
      <c r="AN1227" s="2" t="s">
        <v>919</v>
      </c>
      <c r="AO1227" s="2" t="s">
        <v>1424</v>
      </c>
      <c r="AP1227" s="2">
        <v>11</v>
      </c>
      <c r="AQ1227" s="2" t="s">
        <v>82</v>
      </c>
      <c r="AR1227" s="2" t="s">
        <v>82</v>
      </c>
      <c r="AS1227" s="2" t="s">
        <v>82</v>
      </c>
      <c r="AT1227" s="2" t="s">
        <v>4606</v>
      </c>
      <c r="AU1227" s="2">
        <v>1</v>
      </c>
      <c r="AV1227" s="2"/>
      <c r="AW1227" s="2"/>
      <c r="AX1227" s="2"/>
      <c r="AY1227" s="2">
        <v>41</v>
      </c>
      <c r="AZ1227" s="2" t="s">
        <v>82</v>
      </c>
      <c r="BA1227" s="2">
        <v>41</v>
      </c>
      <c r="BB1227" s="2" t="s">
        <v>82</v>
      </c>
      <c r="BC1227" s="2">
        <v>41</v>
      </c>
      <c r="BD1227" s="2" t="s">
        <v>82</v>
      </c>
      <c r="BE1227" s="2">
        <v>47</v>
      </c>
      <c r="BF1227" s="2" t="s">
        <v>167</v>
      </c>
      <c r="BG1227" s="2" t="s">
        <v>4607</v>
      </c>
      <c r="BH1227" s="2"/>
      <c r="BI1227" s="4">
        <v>0.58333333333333337</v>
      </c>
      <c r="BJ1227" s="2">
        <v>13</v>
      </c>
      <c r="BK1227" s="2" t="s">
        <v>91</v>
      </c>
      <c r="BL1227" s="2" t="s">
        <v>564</v>
      </c>
      <c r="BM1227" s="2">
        <v>241</v>
      </c>
      <c r="BN1227" s="2" t="s">
        <v>82</v>
      </c>
      <c r="BO1227" s="2" t="s">
        <v>82</v>
      </c>
      <c r="BP1227" s="2">
        <v>13</v>
      </c>
      <c r="BQ1227" s="2" t="s">
        <v>91</v>
      </c>
      <c r="BR1227" s="2" t="s">
        <v>690</v>
      </c>
      <c r="BS1227" s="3">
        <v>40265</v>
      </c>
      <c r="BT1227" s="4">
        <v>0.12180555555555556</v>
      </c>
    </row>
    <row r="1228" spans="1:72" x14ac:dyDescent="0.25">
      <c r="A1228" s="2">
        <v>1863</v>
      </c>
      <c r="B1228" s="2">
        <v>2010</v>
      </c>
      <c r="C1228" s="2" t="s">
        <v>409</v>
      </c>
      <c r="D1228" s="2" t="s">
        <v>73</v>
      </c>
      <c r="E1228" s="2"/>
      <c r="F1228" s="2">
        <v>338</v>
      </c>
      <c r="G1228" s="2" t="s">
        <v>4459</v>
      </c>
      <c r="H1228" s="2">
        <v>2</v>
      </c>
      <c r="I1228" s="2" t="s">
        <v>267</v>
      </c>
      <c r="J1228" s="2">
        <v>309</v>
      </c>
      <c r="K1228" s="2" t="s">
        <v>268</v>
      </c>
      <c r="L1228" s="2" t="s">
        <v>269</v>
      </c>
      <c r="M1228" s="3">
        <v>40265</v>
      </c>
      <c r="N1228" s="2" t="s">
        <v>4608</v>
      </c>
      <c r="O1228" s="2" t="s">
        <v>4609</v>
      </c>
      <c r="P1228" s="2"/>
      <c r="Q1228" s="2" t="str">
        <f>"155/10"</f>
        <v>155/10</v>
      </c>
      <c r="R1228" s="2" t="s">
        <v>4610</v>
      </c>
      <c r="S1228" s="2"/>
      <c r="T1228" s="2">
        <v>1</v>
      </c>
      <c r="U1228" s="2" t="s">
        <v>79</v>
      </c>
      <c r="V1228" s="2">
        <v>1</v>
      </c>
      <c r="W1228" s="2" t="s">
        <v>80</v>
      </c>
      <c r="X1228" s="2">
        <v>5</v>
      </c>
      <c r="Y1228" s="2" t="s">
        <v>82</v>
      </c>
      <c r="Z1228" s="2">
        <v>10</v>
      </c>
      <c r="AA1228" s="2" t="s">
        <v>236</v>
      </c>
      <c r="AB1228" s="2">
        <v>9</v>
      </c>
      <c r="AC1228" s="2" t="s">
        <v>124</v>
      </c>
      <c r="AD1228" s="3">
        <v>40265</v>
      </c>
      <c r="AE1228" s="4">
        <v>0.1423611111111111</v>
      </c>
      <c r="AF1228" s="3">
        <v>40262</v>
      </c>
      <c r="AG1228" s="4">
        <v>0.50347222222222221</v>
      </c>
      <c r="AH1228" s="2">
        <v>5</v>
      </c>
      <c r="AI1228" s="2" t="s">
        <v>274</v>
      </c>
      <c r="AJ1228" s="2">
        <v>35</v>
      </c>
      <c r="AK1228" s="2" t="s">
        <v>275</v>
      </c>
      <c r="AL1228" s="2">
        <v>18</v>
      </c>
      <c r="AM1228" s="2" t="s">
        <v>82</v>
      </c>
      <c r="AN1228" s="2" t="s">
        <v>4462</v>
      </c>
      <c r="AO1228" s="2" t="s">
        <v>4425</v>
      </c>
      <c r="AP1228" s="2">
        <v>11</v>
      </c>
      <c r="AQ1228" s="2" t="s">
        <v>82</v>
      </c>
      <c r="AR1228" s="2"/>
      <c r="AS1228" s="2"/>
      <c r="AT1228" s="2" t="s">
        <v>4611</v>
      </c>
      <c r="AU1228" s="2"/>
      <c r="AV1228" s="2"/>
      <c r="AW1228" s="2"/>
      <c r="AX1228" s="2"/>
      <c r="AY1228" s="2">
        <v>1</v>
      </c>
      <c r="AZ1228" s="2" t="s">
        <v>107</v>
      </c>
      <c r="BA1228" s="2">
        <v>1</v>
      </c>
      <c r="BB1228" s="2" t="s">
        <v>107</v>
      </c>
      <c r="BC1228" s="2">
        <v>1</v>
      </c>
      <c r="BD1228" s="2" t="s">
        <v>107</v>
      </c>
      <c r="BE1228" s="2">
        <v>1</v>
      </c>
      <c r="BF1228" s="2" t="s">
        <v>107</v>
      </c>
      <c r="BG1228" s="2"/>
      <c r="BH1228" s="2"/>
      <c r="BI1228" s="2"/>
      <c r="BJ1228" s="2">
        <v>242</v>
      </c>
      <c r="BK1228" s="2" t="s">
        <v>107</v>
      </c>
      <c r="BL1228" s="2"/>
      <c r="BM1228" s="2">
        <v>242</v>
      </c>
      <c r="BN1228" s="2" t="s">
        <v>107</v>
      </c>
      <c r="BO1228" s="2"/>
      <c r="BP1228" s="2">
        <v>242</v>
      </c>
      <c r="BQ1228" s="2" t="s">
        <v>107</v>
      </c>
      <c r="BR1228" s="2"/>
      <c r="BS1228" s="3">
        <v>40265</v>
      </c>
      <c r="BT1228" s="4">
        <v>0.16184027777777779</v>
      </c>
    </row>
    <row r="1229" spans="1:72" x14ac:dyDescent="0.25">
      <c r="A1229" s="2">
        <v>1864</v>
      </c>
      <c r="B1229" s="2">
        <v>2010</v>
      </c>
      <c r="C1229" s="2" t="s">
        <v>4543</v>
      </c>
      <c r="D1229" s="2" t="s">
        <v>122</v>
      </c>
      <c r="E1229" s="2"/>
      <c r="F1229" s="2">
        <v>1</v>
      </c>
      <c r="G1229" s="2" t="s">
        <v>82</v>
      </c>
      <c r="H1229" s="2">
        <v>1</v>
      </c>
      <c r="I1229" s="2" t="s">
        <v>82</v>
      </c>
      <c r="J1229" s="2">
        <v>1</v>
      </c>
      <c r="K1229" s="2" t="s">
        <v>107</v>
      </c>
      <c r="L1229" s="2" t="s">
        <v>107</v>
      </c>
      <c r="M1229" s="3">
        <v>40265</v>
      </c>
      <c r="N1229" s="2"/>
      <c r="O1229" s="2"/>
      <c r="P1229" s="2"/>
      <c r="Q1229" s="2" t="str">
        <f>""</f>
        <v/>
      </c>
      <c r="R1229" s="2"/>
      <c r="S1229" s="2"/>
      <c r="T1229" s="2">
        <v>2</v>
      </c>
      <c r="U1229" s="2" t="s">
        <v>123</v>
      </c>
      <c r="V1229" s="2">
        <v>1</v>
      </c>
      <c r="W1229" s="2" t="s">
        <v>80</v>
      </c>
      <c r="X1229" s="2">
        <v>1</v>
      </c>
      <c r="Y1229" s="2" t="s">
        <v>81</v>
      </c>
      <c r="Z1229" s="2">
        <v>10</v>
      </c>
      <c r="AA1229" s="2" t="s">
        <v>236</v>
      </c>
      <c r="AB1229" s="2">
        <v>9</v>
      </c>
      <c r="AC1229" s="2" t="s">
        <v>124</v>
      </c>
      <c r="AD1229" s="3">
        <v>40265</v>
      </c>
      <c r="AE1229" s="4">
        <v>0.76736111111111116</v>
      </c>
      <c r="AF1229" s="2"/>
      <c r="AG1229" s="2"/>
      <c r="AH1229" s="2">
        <v>4</v>
      </c>
      <c r="AI1229" s="2" t="s">
        <v>125</v>
      </c>
      <c r="AJ1229" s="2">
        <v>29</v>
      </c>
      <c r="AK1229" s="2" t="s">
        <v>227</v>
      </c>
      <c r="AL1229" s="2">
        <v>11</v>
      </c>
      <c r="AM1229" s="2" t="s">
        <v>137</v>
      </c>
      <c r="AN1229" s="2" t="s">
        <v>4612</v>
      </c>
      <c r="AO1229" s="2"/>
      <c r="AP1229" s="2">
        <v>11</v>
      </c>
      <c r="AQ1229" s="2" t="s">
        <v>82</v>
      </c>
      <c r="AR1229" s="2"/>
      <c r="AS1229" s="2"/>
      <c r="AT1229" s="2" t="s">
        <v>4613</v>
      </c>
      <c r="AU1229" s="2"/>
      <c r="AV1229" s="2"/>
      <c r="AW1229" s="2"/>
      <c r="AX1229" s="2"/>
      <c r="AY1229" s="2">
        <v>41</v>
      </c>
      <c r="AZ1229" s="2" t="s">
        <v>82</v>
      </c>
      <c r="BA1229" s="2">
        <v>41</v>
      </c>
      <c r="BB1229" s="2" t="s">
        <v>82</v>
      </c>
      <c r="BC1229" s="2">
        <v>41</v>
      </c>
      <c r="BD1229" s="2" t="s">
        <v>82</v>
      </c>
      <c r="BE1229" s="2">
        <v>4</v>
      </c>
      <c r="BF1229" s="2" t="s">
        <v>90</v>
      </c>
      <c r="BG1229" s="2">
        <v>4115</v>
      </c>
      <c r="BH1229" s="4">
        <v>0.73958333333333337</v>
      </c>
      <c r="BI1229" s="4">
        <v>0.76736111111111116</v>
      </c>
      <c r="BJ1229" s="2">
        <v>13</v>
      </c>
      <c r="BK1229" s="2" t="s">
        <v>91</v>
      </c>
      <c r="BL1229" s="2" t="s">
        <v>828</v>
      </c>
      <c r="BM1229" s="2">
        <v>241</v>
      </c>
      <c r="BN1229" s="2" t="s">
        <v>82</v>
      </c>
      <c r="BO1229" s="2"/>
      <c r="BP1229" s="2">
        <v>13</v>
      </c>
      <c r="BQ1229" s="2" t="s">
        <v>91</v>
      </c>
      <c r="BR1229" s="2" t="s">
        <v>185</v>
      </c>
      <c r="BS1229" s="3">
        <v>40265</v>
      </c>
      <c r="BT1229" s="4">
        <v>0.80322916666666666</v>
      </c>
    </row>
    <row r="1230" spans="1:72" x14ac:dyDescent="0.25">
      <c r="A1230" s="2">
        <v>1865</v>
      </c>
      <c r="B1230" s="2">
        <v>2010</v>
      </c>
      <c r="C1230" s="2" t="s">
        <v>93</v>
      </c>
      <c r="D1230" s="2" t="s">
        <v>73</v>
      </c>
      <c r="E1230" s="2"/>
      <c r="F1230" s="2">
        <v>572</v>
      </c>
      <c r="G1230" s="2" t="s">
        <v>4614</v>
      </c>
      <c r="H1230" s="2">
        <v>3</v>
      </c>
      <c r="I1230" s="2" t="s">
        <v>315</v>
      </c>
      <c r="J1230" s="2">
        <v>503</v>
      </c>
      <c r="K1230" s="2" t="s">
        <v>4615</v>
      </c>
      <c r="L1230" s="2" t="s">
        <v>4616</v>
      </c>
      <c r="M1230" s="3">
        <v>40265</v>
      </c>
      <c r="N1230" s="2" t="s">
        <v>4617</v>
      </c>
      <c r="O1230" s="2" t="s">
        <v>1130</v>
      </c>
      <c r="P1230" s="2"/>
      <c r="Q1230" s="2" t="str">
        <f>"0036/10"</f>
        <v>0036/10</v>
      </c>
      <c r="R1230" s="2"/>
      <c r="S1230" s="2" t="s">
        <v>4618</v>
      </c>
      <c r="T1230" s="2">
        <v>1</v>
      </c>
      <c r="U1230" s="2" t="s">
        <v>79</v>
      </c>
      <c r="V1230" s="2">
        <v>1</v>
      </c>
      <c r="W1230" s="2" t="s">
        <v>80</v>
      </c>
      <c r="X1230" s="2">
        <v>3</v>
      </c>
      <c r="Y1230" s="2" t="s">
        <v>698</v>
      </c>
      <c r="Z1230" s="2">
        <v>9</v>
      </c>
      <c r="AA1230" s="2" t="s">
        <v>1119</v>
      </c>
      <c r="AB1230" s="2">
        <v>2</v>
      </c>
      <c r="AC1230" s="2" t="s">
        <v>102</v>
      </c>
      <c r="AD1230" s="3">
        <v>40265</v>
      </c>
      <c r="AE1230" s="4">
        <v>0.65277777777777779</v>
      </c>
      <c r="AF1230" s="2"/>
      <c r="AG1230" s="2"/>
      <c r="AH1230" s="2">
        <v>5</v>
      </c>
      <c r="AI1230" s="2" t="s">
        <v>274</v>
      </c>
      <c r="AJ1230" s="2">
        <v>38</v>
      </c>
      <c r="AK1230" s="2" t="s">
        <v>1120</v>
      </c>
      <c r="AL1230" s="2">
        <v>11</v>
      </c>
      <c r="AM1230" s="2" t="s">
        <v>137</v>
      </c>
      <c r="AN1230" s="2"/>
      <c r="AO1230" s="2"/>
      <c r="AP1230" s="2">
        <v>11</v>
      </c>
      <c r="AQ1230" s="2" t="s">
        <v>82</v>
      </c>
      <c r="AR1230" s="2"/>
      <c r="AS1230" s="2"/>
      <c r="AT1230" s="2" t="s">
        <v>4619</v>
      </c>
      <c r="AU1230" s="2"/>
      <c r="AV1230" s="2"/>
      <c r="AW1230" s="2"/>
      <c r="AX1230" s="2"/>
      <c r="AY1230" s="2">
        <v>41</v>
      </c>
      <c r="AZ1230" s="2" t="s">
        <v>82</v>
      </c>
      <c r="BA1230" s="2">
        <v>41</v>
      </c>
      <c r="BB1230" s="2" t="s">
        <v>82</v>
      </c>
      <c r="BC1230" s="2">
        <v>41</v>
      </c>
      <c r="BD1230" s="2" t="s">
        <v>82</v>
      </c>
      <c r="BE1230" s="2">
        <v>47</v>
      </c>
      <c r="BF1230" s="2" t="s">
        <v>167</v>
      </c>
      <c r="BG1230" s="2">
        <v>2729</v>
      </c>
      <c r="BH1230" s="4">
        <v>0.63888888888888895</v>
      </c>
      <c r="BI1230" s="4">
        <v>0.67361111111111116</v>
      </c>
      <c r="BJ1230" s="2">
        <v>13</v>
      </c>
      <c r="BK1230" s="2" t="s">
        <v>91</v>
      </c>
      <c r="BL1230" s="2" t="s">
        <v>4620</v>
      </c>
      <c r="BM1230" s="2">
        <v>13</v>
      </c>
      <c r="BN1230" s="2" t="s">
        <v>91</v>
      </c>
      <c r="BO1230" s="2"/>
      <c r="BP1230" s="2">
        <v>13</v>
      </c>
      <c r="BQ1230" s="2" t="s">
        <v>91</v>
      </c>
      <c r="BR1230" s="2" t="s">
        <v>185</v>
      </c>
      <c r="BS1230" s="3">
        <v>40265</v>
      </c>
      <c r="BT1230" s="4">
        <v>0.84181712962962962</v>
      </c>
    </row>
    <row r="1231" spans="1:72" x14ac:dyDescent="0.25">
      <c r="A1231" s="2">
        <v>1866</v>
      </c>
      <c r="B1231" s="2">
        <v>2010</v>
      </c>
      <c r="C1231" s="2" t="s">
        <v>93</v>
      </c>
      <c r="D1231" s="2" t="s">
        <v>73</v>
      </c>
      <c r="E1231" s="2"/>
      <c r="F1231" s="2">
        <v>1</v>
      </c>
      <c r="G1231" s="2" t="s">
        <v>82</v>
      </c>
      <c r="H1231" s="2">
        <v>50</v>
      </c>
      <c r="I1231" s="2" t="s">
        <v>107</v>
      </c>
      <c r="J1231" s="2">
        <v>501</v>
      </c>
      <c r="K1231" s="2" t="s">
        <v>4621</v>
      </c>
      <c r="L1231" s="2" t="s">
        <v>4622</v>
      </c>
      <c r="M1231" s="3">
        <v>40265</v>
      </c>
      <c r="N1231" s="2" t="s">
        <v>4623</v>
      </c>
      <c r="O1231" s="2" t="s">
        <v>4624</v>
      </c>
      <c r="P1231" s="2">
        <v>495679</v>
      </c>
      <c r="Q1231" s="2" t="str">
        <f>"0034/10"</f>
        <v>0034/10</v>
      </c>
      <c r="R1231" s="2"/>
      <c r="S1231" s="2" t="s">
        <v>513</v>
      </c>
      <c r="T1231" s="2">
        <v>1</v>
      </c>
      <c r="U1231" s="2" t="s">
        <v>79</v>
      </c>
      <c r="V1231" s="2">
        <v>1</v>
      </c>
      <c r="W1231" s="2" t="s">
        <v>80</v>
      </c>
      <c r="X1231" s="2">
        <v>3</v>
      </c>
      <c r="Y1231" s="2" t="s">
        <v>698</v>
      </c>
      <c r="Z1231" s="2">
        <v>9</v>
      </c>
      <c r="AA1231" s="2" t="s">
        <v>1119</v>
      </c>
      <c r="AB1231" s="2">
        <v>2</v>
      </c>
      <c r="AC1231" s="2" t="s">
        <v>102</v>
      </c>
      <c r="AD1231" s="3">
        <v>40265</v>
      </c>
      <c r="AE1231" s="4">
        <v>0.65277777777777779</v>
      </c>
      <c r="AF1231" s="2"/>
      <c r="AG1231" s="2"/>
      <c r="AH1231" s="2">
        <v>5</v>
      </c>
      <c r="AI1231" s="2" t="s">
        <v>274</v>
      </c>
      <c r="AJ1231" s="2">
        <v>38</v>
      </c>
      <c r="AK1231" s="2" t="s">
        <v>1120</v>
      </c>
      <c r="AL1231" s="2">
        <v>11</v>
      </c>
      <c r="AM1231" s="2" t="s">
        <v>137</v>
      </c>
      <c r="AN1231" s="2"/>
      <c r="AO1231" s="2"/>
      <c r="AP1231" s="2">
        <v>11</v>
      </c>
      <c r="AQ1231" s="2" t="s">
        <v>82</v>
      </c>
      <c r="AR1231" s="2"/>
      <c r="AS1231" s="2"/>
      <c r="AT1231" s="2" t="s">
        <v>4625</v>
      </c>
      <c r="AU1231" s="2"/>
      <c r="AV1231" s="2"/>
      <c r="AW1231" s="2"/>
      <c r="AX1231" s="2"/>
      <c r="AY1231" s="2">
        <v>41</v>
      </c>
      <c r="AZ1231" s="2" t="s">
        <v>82</v>
      </c>
      <c r="BA1231" s="2">
        <v>41</v>
      </c>
      <c r="BB1231" s="2" t="s">
        <v>82</v>
      </c>
      <c r="BC1231" s="2">
        <v>41</v>
      </c>
      <c r="BD1231" s="2" t="s">
        <v>82</v>
      </c>
      <c r="BE1231" s="2">
        <v>47</v>
      </c>
      <c r="BF1231" s="2" t="s">
        <v>167</v>
      </c>
      <c r="BG1231" s="2">
        <v>2729</v>
      </c>
      <c r="BH1231" s="4">
        <v>0.63888888888888895</v>
      </c>
      <c r="BI1231" s="4">
        <v>0.67361111111111116</v>
      </c>
      <c r="BJ1231" s="2">
        <v>13</v>
      </c>
      <c r="BK1231" s="2" t="s">
        <v>91</v>
      </c>
      <c r="BL1231" s="2" t="s">
        <v>4620</v>
      </c>
      <c r="BM1231" s="2">
        <v>13</v>
      </c>
      <c r="BN1231" s="2" t="s">
        <v>91</v>
      </c>
      <c r="BO1231" s="2"/>
      <c r="BP1231" s="2">
        <v>13</v>
      </c>
      <c r="BQ1231" s="2" t="s">
        <v>91</v>
      </c>
      <c r="BR1231" s="2" t="s">
        <v>185</v>
      </c>
      <c r="BS1231" s="3">
        <v>40265</v>
      </c>
      <c r="BT1231" s="4">
        <v>0.87293981481481486</v>
      </c>
    </row>
    <row r="1232" spans="1:72" x14ac:dyDescent="0.25">
      <c r="A1232" s="2">
        <v>1867</v>
      </c>
      <c r="B1232" s="2">
        <v>2010</v>
      </c>
      <c r="C1232" s="2" t="s">
        <v>93</v>
      </c>
      <c r="D1232" s="2" t="s">
        <v>122</v>
      </c>
      <c r="E1232" s="2"/>
      <c r="F1232" s="2">
        <v>34</v>
      </c>
      <c r="G1232" s="2" t="s">
        <v>334</v>
      </c>
      <c r="H1232" s="2">
        <v>71</v>
      </c>
      <c r="I1232" s="2" t="s">
        <v>335</v>
      </c>
      <c r="J1232" s="2">
        <v>43</v>
      </c>
      <c r="K1232" s="2" t="s">
        <v>2059</v>
      </c>
      <c r="L1232" s="2" t="s">
        <v>2060</v>
      </c>
      <c r="M1232" s="3">
        <v>40265</v>
      </c>
      <c r="N1232" s="2" t="s">
        <v>3901</v>
      </c>
      <c r="O1232" s="2" t="s">
        <v>107</v>
      </c>
      <c r="P1232" s="2" t="s">
        <v>107</v>
      </c>
      <c r="Q1232" s="2" t="str">
        <f>"N/C"</f>
        <v>N/C</v>
      </c>
      <c r="R1232" s="2" t="s">
        <v>82</v>
      </c>
      <c r="S1232" s="2" t="s">
        <v>82</v>
      </c>
      <c r="T1232" s="2">
        <v>1</v>
      </c>
      <c r="U1232" s="2" t="s">
        <v>79</v>
      </c>
      <c r="V1232" s="2">
        <v>1</v>
      </c>
      <c r="W1232" s="2" t="s">
        <v>80</v>
      </c>
      <c r="X1232" s="2">
        <v>5</v>
      </c>
      <c r="Y1232" s="2" t="s">
        <v>82</v>
      </c>
      <c r="Z1232" s="2">
        <v>6</v>
      </c>
      <c r="AA1232" s="2" t="s">
        <v>101</v>
      </c>
      <c r="AB1232" s="2">
        <v>2</v>
      </c>
      <c r="AC1232" s="2" t="s">
        <v>102</v>
      </c>
      <c r="AD1232" s="3">
        <v>40265</v>
      </c>
      <c r="AE1232" s="4">
        <v>0.76388888888888884</v>
      </c>
      <c r="AF1232" s="2"/>
      <c r="AG1232" s="2"/>
      <c r="AH1232" s="2">
        <v>3</v>
      </c>
      <c r="AI1232" s="2" t="s">
        <v>214</v>
      </c>
      <c r="AJ1232" s="2">
        <v>17</v>
      </c>
      <c r="AK1232" s="2" t="s">
        <v>309</v>
      </c>
      <c r="AL1232" s="2">
        <v>11</v>
      </c>
      <c r="AM1232" s="2" t="s">
        <v>137</v>
      </c>
      <c r="AN1232" s="2" t="s">
        <v>1059</v>
      </c>
      <c r="AO1232" s="2" t="s">
        <v>4626</v>
      </c>
      <c r="AP1232" s="2">
        <v>11</v>
      </c>
      <c r="AQ1232" s="2" t="s">
        <v>82</v>
      </c>
      <c r="AR1232" s="2"/>
      <c r="AS1232" s="2"/>
      <c r="AT1232" s="2" t="s">
        <v>4627</v>
      </c>
      <c r="AU1232" s="2"/>
      <c r="AV1232" s="2"/>
      <c r="AW1232" s="2"/>
      <c r="AX1232" s="2"/>
      <c r="AY1232" s="2">
        <v>41</v>
      </c>
      <c r="AZ1232" s="2" t="s">
        <v>82</v>
      </c>
      <c r="BA1232" s="2">
        <v>41</v>
      </c>
      <c r="BB1232" s="2" t="s">
        <v>82</v>
      </c>
      <c r="BC1232" s="2">
        <v>41</v>
      </c>
      <c r="BD1232" s="2" t="s">
        <v>82</v>
      </c>
      <c r="BE1232" s="2">
        <v>17</v>
      </c>
      <c r="BF1232" s="2" t="s">
        <v>508</v>
      </c>
      <c r="BG1232" s="2">
        <v>933</v>
      </c>
      <c r="BH1232" s="4">
        <v>0.80902777777777779</v>
      </c>
      <c r="BI1232" s="4">
        <v>0.77777777777777779</v>
      </c>
      <c r="BJ1232" s="2">
        <v>13</v>
      </c>
      <c r="BK1232" s="2" t="s">
        <v>91</v>
      </c>
      <c r="BL1232" s="2" t="s">
        <v>445</v>
      </c>
      <c r="BM1232" s="2">
        <v>241</v>
      </c>
      <c r="BN1232" s="2" t="s">
        <v>82</v>
      </c>
      <c r="BO1232" s="2"/>
      <c r="BP1232" s="2">
        <v>46</v>
      </c>
      <c r="BQ1232" s="2" t="s">
        <v>307</v>
      </c>
      <c r="BR1232" s="2" t="s">
        <v>4628</v>
      </c>
      <c r="BS1232" s="3">
        <v>40265</v>
      </c>
      <c r="BT1232" s="4">
        <v>0.89728009259259256</v>
      </c>
    </row>
    <row r="1233" spans="1:72" x14ac:dyDescent="0.25">
      <c r="A1233" s="2">
        <v>1868</v>
      </c>
      <c r="B1233" s="2">
        <v>2010</v>
      </c>
      <c r="C1233" s="2" t="s">
        <v>72</v>
      </c>
      <c r="D1233" s="2" t="s">
        <v>73</v>
      </c>
      <c r="E1233" s="2"/>
      <c r="F1233" s="2">
        <v>392</v>
      </c>
      <c r="G1233" s="2" t="s">
        <v>4629</v>
      </c>
      <c r="H1233" s="2">
        <v>5</v>
      </c>
      <c r="I1233" s="2" t="s">
        <v>634</v>
      </c>
      <c r="J1233" s="2">
        <v>314</v>
      </c>
      <c r="K1233" s="2" t="s">
        <v>477</v>
      </c>
      <c r="L1233" s="2" t="s">
        <v>478</v>
      </c>
      <c r="M1233" s="3">
        <v>40265</v>
      </c>
      <c r="N1233" s="2" t="s">
        <v>3103</v>
      </c>
      <c r="O1233" s="2" t="s">
        <v>107</v>
      </c>
      <c r="P1233" s="2" t="s">
        <v>107</v>
      </c>
      <c r="Q1233" s="2" t="str">
        <f>"165-E/10"</f>
        <v>165-E/10</v>
      </c>
      <c r="R1233" s="2" t="s">
        <v>480</v>
      </c>
      <c r="S1233" s="2" t="s">
        <v>480</v>
      </c>
      <c r="T1233" s="2">
        <v>1</v>
      </c>
      <c r="U1233" s="2" t="s">
        <v>79</v>
      </c>
      <c r="V1233" s="2">
        <v>1</v>
      </c>
      <c r="W1233" s="2" t="s">
        <v>80</v>
      </c>
      <c r="X1233" s="2">
        <v>1</v>
      </c>
      <c r="Y1233" s="2" t="s">
        <v>81</v>
      </c>
      <c r="Z1233" s="2">
        <v>1</v>
      </c>
      <c r="AA1233" s="2" t="s">
        <v>82</v>
      </c>
      <c r="AB1233" s="2">
        <v>6</v>
      </c>
      <c r="AC1233" s="2" t="s">
        <v>83</v>
      </c>
      <c r="AD1233" s="3">
        <v>40265</v>
      </c>
      <c r="AE1233" s="4">
        <v>0.35416666666666669</v>
      </c>
      <c r="AF1233" s="2"/>
      <c r="AG1233" s="2"/>
      <c r="AH1233" s="2">
        <v>2</v>
      </c>
      <c r="AI1233" s="2" t="s">
        <v>84</v>
      </c>
      <c r="AJ1233" s="2">
        <v>9</v>
      </c>
      <c r="AK1233" s="2" t="s">
        <v>103</v>
      </c>
      <c r="AL1233" s="2">
        <v>10</v>
      </c>
      <c r="AM1233" s="2" t="s">
        <v>200</v>
      </c>
      <c r="AN1233" s="2" t="s">
        <v>4630</v>
      </c>
      <c r="AO1233" s="2" t="s">
        <v>200</v>
      </c>
      <c r="AP1233" s="2">
        <v>11</v>
      </c>
      <c r="AQ1233" s="2" t="s">
        <v>82</v>
      </c>
      <c r="AR1233" s="2"/>
      <c r="AS1233" s="2"/>
      <c r="AT1233" s="2" t="s">
        <v>4631</v>
      </c>
      <c r="AU1233" s="2"/>
      <c r="AV1233" s="2"/>
      <c r="AW1233" s="2"/>
      <c r="AX1233" s="2"/>
      <c r="AY1233" s="2">
        <v>24</v>
      </c>
      <c r="AZ1233" s="2" t="s">
        <v>3513</v>
      </c>
      <c r="BA1233" s="2">
        <v>41</v>
      </c>
      <c r="BB1233" s="2" t="s">
        <v>82</v>
      </c>
      <c r="BC1233" s="2">
        <v>41</v>
      </c>
      <c r="BD1233" s="2" t="s">
        <v>82</v>
      </c>
      <c r="BE1233" s="2">
        <v>41</v>
      </c>
      <c r="BF1233" s="2" t="s">
        <v>82</v>
      </c>
      <c r="BG1233" s="2"/>
      <c r="BH1233" s="2"/>
      <c r="BI1233" s="2"/>
      <c r="BJ1233" s="2">
        <v>241</v>
      </c>
      <c r="BK1233" s="2" t="s">
        <v>82</v>
      </c>
      <c r="BL1233" s="2"/>
      <c r="BM1233" s="2">
        <v>241</v>
      </c>
      <c r="BN1233" s="2" t="s">
        <v>82</v>
      </c>
      <c r="BO1233" s="2"/>
      <c r="BP1233" s="2">
        <v>241</v>
      </c>
      <c r="BQ1233" s="2" t="s">
        <v>82</v>
      </c>
      <c r="BR1233" s="2"/>
      <c r="BS1233" s="3">
        <v>40265</v>
      </c>
      <c r="BT1233" s="4">
        <v>0.97090277777777778</v>
      </c>
    </row>
    <row r="1234" spans="1:72" x14ac:dyDescent="0.25">
      <c r="A1234" s="2">
        <v>1869</v>
      </c>
      <c r="B1234" s="2">
        <v>2010</v>
      </c>
      <c r="C1234" s="2" t="s">
        <v>171</v>
      </c>
      <c r="D1234" s="2" t="s">
        <v>73</v>
      </c>
      <c r="E1234" s="2"/>
      <c r="F1234" s="2">
        <v>3</v>
      </c>
      <c r="G1234" s="2" t="s">
        <v>1041</v>
      </c>
      <c r="H1234" s="2">
        <v>1</v>
      </c>
      <c r="I1234" s="2" t="s">
        <v>82</v>
      </c>
      <c r="J1234" s="2">
        <v>368</v>
      </c>
      <c r="K1234" s="2" t="s">
        <v>1042</v>
      </c>
      <c r="L1234" s="2" t="s">
        <v>1043</v>
      </c>
      <c r="M1234" s="3">
        <v>40266</v>
      </c>
      <c r="N1234" s="2" t="s">
        <v>82</v>
      </c>
      <c r="O1234" s="2"/>
      <c r="P1234" s="2"/>
      <c r="Q1234" s="2" t="str">
        <f>"166-E/10"</f>
        <v>166-E/10</v>
      </c>
      <c r="R1234" s="2"/>
      <c r="S1234" s="2" t="s">
        <v>4632</v>
      </c>
      <c r="T1234" s="2">
        <v>1</v>
      </c>
      <c r="U1234" s="2" t="s">
        <v>79</v>
      </c>
      <c r="V1234" s="2">
        <v>1</v>
      </c>
      <c r="W1234" s="2" t="s">
        <v>80</v>
      </c>
      <c r="X1234" s="2">
        <v>1</v>
      </c>
      <c r="Y1234" s="2" t="s">
        <v>81</v>
      </c>
      <c r="Z1234" s="2">
        <v>1</v>
      </c>
      <c r="AA1234" s="2" t="s">
        <v>82</v>
      </c>
      <c r="AB1234" s="2">
        <v>1</v>
      </c>
      <c r="AC1234" s="2" t="s">
        <v>178</v>
      </c>
      <c r="AD1234" s="3">
        <v>40265</v>
      </c>
      <c r="AE1234" s="4">
        <v>0.44791666666666669</v>
      </c>
      <c r="AF1234" s="3">
        <v>40265</v>
      </c>
      <c r="AG1234" s="4">
        <v>0.47222222222222227</v>
      </c>
      <c r="AH1234" s="2">
        <v>2</v>
      </c>
      <c r="AI1234" s="2" t="s">
        <v>84</v>
      </c>
      <c r="AJ1234" s="2">
        <v>9</v>
      </c>
      <c r="AK1234" s="2" t="s">
        <v>103</v>
      </c>
      <c r="AL1234" s="2">
        <v>13</v>
      </c>
      <c r="AM1234" s="2" t="s">
        <v>117</v>
      </c>
      <c r="AN1234" s="2"/>
      <c r="AO1234" s="2" t="s">
        <v>4633</v>
      </c>
      <c r="AP1234" s="2">
        <v>11</v>
      </c>
      <c r="AQ1234" s="2" t="s">
        <v>82</v>
      </c>
      <c r="AR1234" s="2"/>
      <c r="AS1234" s="2"/>
      <c r="AT1234" s="2" t="s">
        <v>4634</v>
      </c>
      <c r="AU1234" s="2"/>
      <c r="AV1234" s="2"/>
      <c r="AW1234" s="2"/>
      <c r="AX1234" s="2"/>
      <c r="AY1234" s="2">
        <v>41</v>
      </c>
      <c r="AZ1234" s="2" t="s">
        <v>82</v>
      </c>
      <c r="BA1234" s="2">
        <v>41</v>
      </c>
      <c r="BB1234" s="2" t="s">
        <v>82</v>
      </c>
      <c r="BC1234" s="2">
        <v>41</v>
      </c>
      <c r="BD1234" s="2" t="s">
        <v>82</v>
      </c>
      <c r="BE1234" s="2">
        <v>41</v>
      </c>
      <c r="BF1234" s="2" t="s">
        <v>82</v>
      </c>
      <c r="BG1234" s="2"/>
      <c r="BH1234" s="2"/>
      <c r="BI1234" s="2"/>
      <c r="BJ1234" s="2">
        <v>241</v>
      </c>
      <c r="BK1234" s="2" t="s">
        <v>82</v>
      </c>
      <c r="BL1234" s="2"/>
      <c r="BM1234" s="2">
        <v>241</v>
      </c>
      <c r="BN1234" s="2" t="s">
        <v>82</v>
      </c>
      <c r="BO1234" s="2"/>
      <c r="BP1234" s="2">
        <v>241</v>
      </c>
      <c r="BQ1234" s="2" t="s">
        <v>82</v>
      </c>
      <c r="BR1234" s="2"/>
      <c r="BS1234" s="3">
        <v>40266</v>
      </c>
      <c r="BT1234" s="4">
        <v>7.083333333333333E-3</v>
      </c>
    </row>
    <row r="1235" spans="1:72" x14ac:dyDescent="0.25">
      <c r="A1235" s="2">
        <v>1870</v>
      </c>
      <c r="B1235" s="2">
        <v>2010</v>
      </c>
      <c r="C1235" s="2" t="s">
        <v>171</v>
      </c>
      <c r="D1235" s="2" t="s">
        <v>73</v>
      </c>
      <c r="E1235" s="2"/>
      <c r="F1235" s="2">
        <v>399</v>
      </c>
      <c r="G1235" s="2" t="s">
        <v>587</v>
      </c>
      <c r="H1235" s="2">
        <v>15</v>
      </c>
      <c r="I1235" s="2" t="s">
        <v>130</v>
      </c>
      <c r="J1235" s="2">
        <v>242</v>
      </c>
      <c r="K1235" s="2" t="s">
        <v>1077</v>
      </c>
      <c r="L1235" s="2" t="s">
        <v>1078</v>
      </c>
      <c r="M1235" s="3">
        <v>40266</v>
      </c>
      <c r="N1235" s="2" t="s">
        <v>4635</v>
      </c>
      <c r="O1235" s="2" t="s">
        <v>4636</v>
      </c>
      <c r="P1235" s="2">
        <v>6484</v>
      </c>
      <c r="Q1235" s="2" t="str">
        <f>"167-E-10"</f>
        <v>167-E-10</v>
      </c>
      <c r="R1235" s="2" t="s">
        <v>391</v>
      </c>
      <c r="S1235" s="2" t="s">
        <v>391</v>
      </c>
      <c r="T1235" s="2">
        <v>1</v>
      </c>
      <c r="U1235" s="2" t="s">
        <v>79</v>
      </c>
      <c r="V1235" s="2">
        <v>1</v>
      </c>
      <c r="W1235" s="2" t="s">
        <v>80</v>
      </c>
      <c r="X1235" s="2">
        <v>1</v>
      </c>
      <c r="Y1235" s="2" t="s">
        <v>81</v>
      </c>
      <c r="Z1235" s="2">
        <v>1</v>
      </c>
      <c r="AA1235" s="2" t="s">
        <v>82</v>
      </c>
      <c r="AB1235" s="2">
        <v>1</v>
      </c>
      <c r="AC1235" s="2" t="s">
        <v>178</v>
      </c>
      <c r="AD1235" s="3">
        <v>40265</v>
      </c>
      <c r="AE1235" s="4">
        <v>0.54166666666666663</v>
      </c>
      <c r="AF1235" s="2"/>
      <c r="AG1235" s="2"/>
      <c r="AH1235" s="2">
        <v>2</v>
      </c>
      <c r="AI1235" s="2" t="s">
        <v>84</v>
      </c>
      <c r="AJ1235" s="2">
        <v>9</v>
      </c>
      <c r="AK1235" s="2" t="s">
        <v>103</v>
      </c>
      <c r="AL1235" s="2">
        <v>15</v>
      </c>
      <c r="AM1235" s="2" t="s">
        <v>104</v>
      </c>
      <c r="AN1235" s="2" t="s">
        <v>4637</v>
      </c>
      <c r="AO1235" s="2" t="s">
        <v>82</v>
      </c>
      <c r="AP1235" s="2">
        <v>11</v>
      </c>
      <c r="AQ1235" s="2" t="s">
        <v>82</v>
      </c>
      <c r="AR1235" s="2"/>
      <c r="AS1235" s="2"/>
      <c r="AT1235" s="2" t="s">
        <v>4638</v>
      </c>
      <c r="AU1235" s="2"/>
      <c r="AV1235" s="2">
        <v>1</v>
      </c>
      <c r="AW1235" s="2"/>
      <c r="AX1235" s="2"/>
      <c r="AY1235" s="2">
        <v>41</v>
      </c>
      <c r="AZ1235" s="2" t="s">
        <v>82</v>
      </c>
      <c r="BA1235" s="2">
        <v>41</v>
      </c>
      <c r="BB1235" s="2" t="s">
        <v>82</v>
      </c>
      <c r="BC1235" s="2">
        <v>41</v>
      </c>
      <c r="BD1235" s="2" t="s">
        <v>82</v>
      </c>
      <c r="BE1235" s="2">
        <v>13</v>
      </c>
      <c r="BF1235" s="2" t="s">
        <v>108</v>
      </c>
      <c r="BG1235" s="2" t="s">
        <v>674</v>
      </c>
      <c r="BH1235" s="2"/>
      <c r="BI1235" s="4">
        <v>0.625</v>
      </c>
      <c r="BJ1235" s="2">
        <v>13</v>
      </c>
      <c r="BK1235" s="2" t="s">
        <v>91</v>
      </c>
      <c r="BL1235" s="2" t="s">
        <v>1362</v>
      </c>
      <c r="BM1235" s="2">
        <v>241</v>
      </c>
      <c r="BN1235" s="2" t="s">
        <v>82</v>
      </c>
      <c r="BO1235" s="2" t="s">
        <v>82</v>
      </c>
      <c r="BP1235" s="2">
        <v>73</v>
      </c>
      <c r="BQ1235" s="2" t="s">
        <v>186</v>
      </c>
      <c r="BR1235" s="2" t="s">
        <v>675</v>
      </c>
      <c r="BS1235" s="3">
        <v>40266</v>
      </c>
      <c r="BT1235" s="4">
        <v>0.14180555555555555</v>
      </c>
    </row>
    <row r="1236" spans="1:72" x14ac:dyDescent="0.25">
      <c r="A1236" s="2">
        <v>1871</v>
      </c>
      <c r="B1236" s="2">
        <v>2010</v>
      </c>
      <c r="C1236" s="2" t="s">
        <v>72</v>
      </c>
      <c r="D1236" s="2" t="s">
        <v>73</v>
      </c>
      <c r="E1236" s="2"/>
      <c r="F1236" s="2">
        <v>3</v>
      </c>
      <c r="G1236" s="2" t="s">
        <v>1041</v>
      </c>
      <c r="H1236" s="2">
        <v>1</v>
      </c>
      <c r="I1236" s="2" t="s">
        <v>82</v>
      </c>
      <c r="J1236" s="2">
        <v>368</v>
      </c>
      <c r="K1236" s="2" t="s">
        <v>1042</v>
      </c>
      <c r="L1236" s="2" t="s">
        <v>1043</v>
      </c>
      <c r="M1236" s="3">
        <v>40266</v>
      </c>
      <c r="N1236" s="2"/>
      <c r="O1236" s="2" t="s">
        <v>107</v>
      </c>
      <c r="P1236" s="2" t="s">
        <v>107</v>
      </c>
      <c r="Q1236" s="2" t="str">
        <f>"169-E/10"</f>
        <v>169-E/10</v>
      </c>
      <c r="R1236" s="2" t="s">
        <v>116</v>
      </c>
      <c r="S1236" s="2" t="s">
        <v>116</v>
      </c>
      <c r="T1236" s="2">
        <v>1</v>
      </c>
      <c r="U1236" s="2" t="s">
        <v>79</v>
      </c>
      <c r="V1236" s="2">
        <v>1</v>
      </c>
      <c r="W1236" s="2" t="s">
        <v>80</v>
      </c>
      <c r="X1236" s="2">
        <v>1</v>
      </c>
      <c r="Y1236" s="2" t="s">
        <v>81</v>
      </c>
      <c r="Z1236" s="2">
        <v>1</v>
      </c>
      <c r="AA1236" s="2" t="s">
        <v>82</v>
      </c>
      <c r="AB1236" s="2">
        <v>6</v>
      </c>
      <c r="AC1236" s="2" t="s">
        <v>83</v>
      </c>
      <c r="AD1236" s="3">
        <v>40265</v>
      </c>
      <c r="AE1236" s="4">
        <v>0.66666666666666663</v>
      </c>
      <c r="AF1236" s="3">
        <v>40265</v>
      </c>
      <c r="AG1236" s="4">
        <v>0.86458333333333337</v>
      </c>
      <c r="AH1236" s="2">
        <v>2</v>
      </c>
      <c r="AI1236" s="2" t="s">
        <v>84</v>
      </c>
      <c r="AJ1236" s="2">
        <v>9</v>
      </c>
      <c r="AK1236" s="2" t="s">
        <v>103</v>
      </c>
      <c r="AL1236" s="2">
        <v>12</v>
      </c>
      <c r="AM1236" s="2" t="s">
        <v>86</v>
      </c>
      <c r="AN1236" s="2" t="s">
        <v>4639</v>
      </c>
      <c r="AO1236" s="2" t="s">
        <v>1346</v>
      </c>
      <c r="AP1236" s="2">
        <v>11</v>
      </c>
      <c r="AQ1236" s="2" t="s">
        <v>82</v>
      </c>
      <c r="AR1236" s="2"/>
      <c r="AS1236" s="2"/>
      <c r="AT1236" s="2" t="s">
        <v>4640</v>
      </c>
      <c r="AU1236" s="2"/>
      <c r="AV1236" s="2"/>
      <c r="AW1236" s="2"/>
      <c r="AX1236" s="2"/>
      <c r="AY1236" s="2">
        <v>41</v>
      </c>
      <c r="AZ1236" s="2" t="s">
        <v>82</v>
      </c>
      <c r="BA1236" s="2">
        <v>41</v>
      </c>
      <c r="BB1236" s="2" t="s">
        <v>82</v>
      </c>
      <c r="BC1236" s="2">
        <v>41</v>
      </c>
      <c r="BD1236" s="2" t="s">
        <v>82</v>
      </c>
      <c r="BE1236" s="2">
        <v>41</v>
      </c>
      <c r="BF1236" s="2" t="s">
        <v>82</v>
      </c>
      <c r="BG1236" s="2"/>
      <c r="BH1236" s="2"/>
      <c r="BI1236" s="2"/>
      <c r="BJ1236" s="2">
        <v>241</v>
      </c>
      <c r="BK1236" s="2" t="s">
        <v>82</v>
      </c>
      <c r="BL1236" s="2"/>
      <c r="BM1236" s="2">
        <v>241</v>
      </c>
      <c r="BN1236" s="2" t="s">
        <v>82</v>
      </c>
      <c r="BO1236" s="2"/>
      <c r="BP1236" s="2">
        <v>241</v>
      </c>
      <c r="BQ1236" s="2" t="s">
        <v>82</v>
      </c>
      <c r="BR1236" s="2"/>
      <c r="BS1236" s="3">
        <v>40266</v>
      </c>
      <c r="BT1236" s="4">
        <v>0.35173611111111108</v>
      </c>
    </row>
    <row r="1237" spans="1:72" x14ac:dyDescent="0.25">
      <c r="A1237" s="2">
        <v>1872</v>
      </c>
      <c r="B1237" s="2">
        <v>2010</v>
      </c>
      <c r="C1237" s="2" t="s">
        <v>171</v>
      </c>
      <c r="D1237" s="2" t="s">
        <v>122</v>
      </c>
      <c r="E1237" s="2" t="s">
        <v>4641</v>
      </c>
      <c r="F1237" s="2">
        <v>399</v>
      </c>
      <c r="G1237" s="2" t="s">
        <v>587</v>
      </c>
      <c r="H1237" s="2">
        <v>14</v>
      </c>
      <c r="I1237" s="2" t="s">
        <v>1458</v>
      </c>
      <c r="J1237" s="2">
        <v>242</v>
      </c>
      <c r="K1237" s="2" t="s">
        <v>1077</v>
      </c>
      <c r="L1237" s="2" t="s">
        <v>1078</v>
      </c>
      <c r="M1237" s="3">
        <v>40266</v>
      </c>
      <c r="N1237" s="2" t="s">
        <v>4590</v>
      </c>
      <c r="O1237" s="2"/>
      <c r="P1237" s="2"/>
      <c r="Q1237" s="2" t="str">
        <f>"163-E/10"</f>
        <v>163-E/10</v>
      </c>
      <c r="R1237" s="2"/>
      <c r="S1237" s="2" t="s">
        <v>4592</v>
      </c>
      <c r="T1237" s="2">
        <v>1</v>
      </c>
      <c r="U1237" s="2" t="s">
        <v>79</v>
      </c>
      <c r="V1237" s="2">
        <v>1</v>
      </c>
      <c r="W1237" s="2" t="s">
        <v>80</v>
      </c>
      <c r="X1237" s="2">
        <v>1</v>
      </c>
      <c r="Y1237" s="2" t="s">
        <v>81</v>
      </c>
      <c r="Z1237" s="2">
        <v>1</v>
      </c>
      <c r="AA1237" s="2" t="s">
        <v>82</v>
      </c>
      <c r="AB1237" s="2">
        <v>1</v>
      </c>
      <c r="AC1237" s="2" t="s">
        <v>178</v>
      </c>
      <c r="AD1237" s="3">
        <v>40264</v>
      </c>
      <c r="AE1237" s="4">
        <v>0.46527777777777773</v>
      </c>
      <c r="AF1237" s="2"/>
      <c r="AG1237" s="2"/>
      <c r="AH1237" s="2">
        <v>2</v>
      </c>
      <c r="AI1237" s="2" t="s">
        <v>84</v>
      </c>
      <c r="AJ1237" s="2">
        <v>9</v>
      </c>
      <c r="AK1237" s="2" t="s">
        <v>103</v>
      </c>
      <c r="AL1237" s="2">
        <v>11</v>
      </c>
      <c r="AM1237" s="2" t="s">
        <v>137</v>
      </c>
      <c r="AN1237" s="2" t="s">
        <v>1340</v>
      </c>
      <c r="AO1237" s="2"/>
      <c r="AP1237" s="2">
        <v>11</v>
      </c>
      <c r="AQ1237" s="2" t="s">
        <v>82</v>
      </c>
      <c r="AR1237" s="2"/>
      <c r="AS1237" s="2"/>
      <c r="AT1237" s="2" t="s">
        <v>4642</v>
      </c>
      <c r="AU1237" s="2"/>
      <c r="AV1237" s="2">
        <v>2</v>
      </c>
      <c r="AW1237" s="2"/>
      <c r="AX1237" s="2"/>
      <c r="AY1237" s="2">
        <v>41</v>
      </c>
      <c r="AZ1237" s="2" t="s">
        <v>82</v>
      </c>
      <c r="BA1237" s="2">
        <v>41</v>
      </c>
      <c r="BB1237" s="2" t="s">
        <v>82</v>
      </c>
      <c r="BC1237" s="2">
        <v>41</v>
      </c>
      <c r="BD1237" s="2" t="s">
        <v>82</v>
      </c>
      <c r="BE1237" s="2">
        <v>23</v>
      </c>
      <c r="BF1237" s="2" t="s">
        <v>183</v>
      </c>
      <c r="BG1237" s="2" t="s">
        <v>4595</v>
      </c>
      <c r="BH1237" s="2"/>
      <c r="BI1237" s="4">
        <v>0.5625</v>
      </c>
      <c r="BJ1237" s="2">
        <v>13</v>
      </c>
      <c r="BK1237" s="2" t="s">
        <v>91</v>
      </c>
      <c r="BL1237" s="2" t="s">
        <v>185</v>
      </c>
      <c r="BM1237" s="2">
        <v>241</v>
      </c>
      <c r="BN1237" s="2" t="s">
        <v>82</v>
      </c>
      <c r="BO1237" s="2"/>
      <c r="BP1237" s="2">
        <v>73</v>
      </c>
      <c r="BQ1237" s="2" t="s">
        <v>186</v>
      </c>
      <c r="BR1237" s="2" t="s">
        <v>187</v>
      </c>
      <c r="BS1237" s="3">
        <v>40266</v>
      </c>
      <c r="BT1237" s="4">
        <v>0.35694444444444445</v>
      </c>
    </row>
    <row r="1238" spans="1:72" x14ac:dyDescent="0.25">
      <c r="A1238" s="2">
        <v>1873</v>
      </c>
      <c r="B1238" s="2">
        <v>2010</v>
      </c>
      <c r="C1238" s="2" t="s">
        <v>171</v>
      </c>
      <c r="D1238" s="2" t="s">
        <v>122</v>
      </c>
      <c r="E1238" s="2" t="s">
        <v>4643</v>
      </c>
      <c r="F1238" s="2">
        <v>399</v>
      </c>
      <c r="G1238" s="2" t="s">
        <v>587</v>
      </c>
      <c r="H1238" s="2">
        <v>15</v>
      </c>
      <c r="I1238" s="2" t="s">
        <v>130</v>
      </c>
      <c r="J1238" s="2">
        <v>242</v>
      </c>
      <c r="K1238" s="2" t="s">
        <v>1077</v>
      </c>
      <c r="L1238" s="2" t="s">
        <v>1078</v>
      </c>
      <c r="M1238" s="3">
        <v>40266</v>
      </c>
      <c r="N1238" s="2" t="s">
        <v>4635</v>
      </c>
      <c r="O1238" s="2" t="s">
        <v>107</v>
      </c>
      <c r="P1238" s="2" t="s">
        <v>107</v>
      </c>
      <c r="Q1238" s="2" t="str">
        <f>"167-E-10"</f>
        <v>167-E-10</v>
      </c>
      <c r="R1238" s="2" t="s">
        <v>391</v>
      </c>
      <c r="S1238" s="2" t="s">
        <v>391</v>
      </c>
      <c r="T1238" s="2">
        <v>1</v>
      </c>
      <c r="U1238" s="2" t="s">
        <v>79</v>
      </c>
      <c r="V1238" s="2">
        <v>1</v>
      </c>
      <c r="W1238" s="2" t="s">
        <v>80</v>
      </c>
      <c r="X1238" s="2">
        <v>1</v>
      </c>
      <c r="Y1238" s="2" t="s">
        <v>81</v>
      </c>
      <c r="Z1238" s="2">
        <v>1</v>
      </c>
      <c r="AA1238" s="2" t="s">
        <v>82</v>
      </c>
      <c r="AB1238" s="2">
        <v>1</v>
      </c>
      <c r="AC1238" s="2" t="s">
        <v>178</v>
      </c>
      <c r="AD1238" s="3">
        <v>40265</v>
      </c>
      <c r="AE1238" s="4">
        <v>0.58680555555555558</v>
      </c>
      <c r="AF1238" s="2"/>
      <c r="AG1238" s="2"/>
      <c r="AH1238" s="2">
        <v>2</v>
      </c>
      <c r="AI1238" s="2" t="s">
        <v>84</v>
      </c>
      <c r="AJ1238" s="2">
        <v>9</v>
      </c>
      <c r="AK1238" s="2" t="s">
        <v>103</v>
      </c>
      <c r="AL1238" s="2">
        <v>15</v>
      </c>
      <c r="AM1238" s="2" t="s">
        <v>104</v>
      </c>
      <c r="AN1238" s="2"/>
      <c r="AO1238" s="2" t="s">
        <v>179</v>
      </c>
      <c r="AP1238" s="2">
        <v>11</v>
      </c>
      <c r="AQ1238" s="2" t="s">
        <v>82</v>
      </c>
      <c r="AR1238" s="2"/>
      <c r="AS1238" s="2"/>
      <c r="AT1238" s="2" t="s">
        <v>4644</v>
      </c>
      <c r="AU1238" s="2"/>
      <c r="AV1238" s="2">
        <v>1</v>
      </c>
      <c r="AW1238" s="2"/>
      <c r="AX1238" s="2"/>
      <c r="AY1238" s="2">
        <v>41</v>
      </c>
      <c r="AZ1238" s="2" t="s">
        <v>82</v>
      </c>
      <c r="BA1238" s="2">
        <v>41</v>
      </c>
      <c r="BB1238" s="2" t="s">
        <v>82</v>
      </c>
      <c r="BC1238" s="2">
        <v>41</v>
      </c>
      <c r="BD1238" s="2" t="s">
        <v>82</v>
      </c>
      <c r="BE1238" s="2">
        <v>13</v>
      </c>
      <c r="BF1238" s="2" t="s">
        <v>108</v>
      </c>
      <c r="BG1238" s="2" t="s">
        <v>674</v>
      </c>
      <c r="BH1238" s="2"/>
      <c r="BI1238" s="4">
        <v>0.625</v>
      </c>
      <c r="BJ1238" s="2">
        <v>13</v>
      </c>
      <c r="BK1238" s="2" t="s">
        <v>91</v>
      </c>
      <c r="BL1238" s="2" t="s">
        <v>360</v>
      </c>
      <c r="BM1238" s="2">
        <v>241</v>
      </c>
      <c r="BN1238" s="2" t="s">
        <v>82</v>
      </c>
      <c r="BO1238" s="2"/>
      <c r="BP1238" s="2">
        <v>73</v>
      </c>
      <c r="BQ1238" s="2" t="s">
        <v>186</v>
      </c>
      <c r="BR1238" s="2" t="s">
        <v>675</v>
      </c>
      <c r="BS1238" s="3">
        <v>40266</v>
      </c>
      <c r="BT1238" s="4">
        <v>0.35966435185185186</v>
      </c>
    </row>
    <row r="1239" spans="1:72" x14ac:dyDescent="0.25">
      <c r="A1239" s="2">
        <v>1874</v>
      </c>
      <c r="B1239" s="2">
        <v>2010</v>
      </c>
      <c r="C1239" s="2" t="s">
        <v>72</v>
      </c>
      <c r="D1239" s="2" t="s">
        <v>73</v>
      </c>
      <c r="E1239" s="2"/>
      <c r="F1239" s="2">
        <v>189</v>
      </c>
      <c r="G1239" s="2" t="s">
        <v>4603</v>
      </c>
      <c r="H1239" s="2">
        <v>79</v>
      </c>
      <c r="I1239" s="2" t="s">
        <v>4171</v>
      </c>
      <c r="J1239" s="2">
        <v>183</v>
      </c>
      <c r="K1239" s="2" t="s">
        <v>3133</v>
      </c>
      <c r="L1239" s="2" t="s">
        <v>3134</v>
      </c>
      <c r="M1239" s="3">
        <v>40266</v>
      </c>
      <c r="N1239" s="2" t="s">
        <v>4645</v>
      </c>
      <c r="O1239" s="2" t="s">
        <v>107</v>
      </c>
      <c r="P1239" s="2" t="s">
        <v>107</v>
      </c>
      <c r="Q1239" s="2" t="str">
        <f>"128-A/10"</f>
        <v>128-A/10</v>
      </c>
      <c r="R1239" s="2" t="s">
        <v>116</v>
      </c>
      <c r="S1239" s="2" t="s">
        <v>116</v>
      </c>
      <c r="T1239" s="2">
        <v>1</v>
      </c>
      <c r="U1239" s="2" t="s">
        <v>79</v>
      </c>
      <c r="V1239" s="2">
        <v>1</v>
      </c>
      <c r="W1239" s="2" t="s">
        <v>80</v>
      </c>
      <c r="X1239" s="2">
        <v>1</v>
      </c>
      <c r="Y1239" s="2" t="s">
        <v>81</v>
      </c>
      <c r="Z1239" s="2">
        <v>1</v>
      </c>
      <c r="AA1239" s="2" t="s">
        <v>82</v>
      </c>
      <c r="AB1239" s="2">
        <v>6</v>
      </c>
      <c r="AC1239" s="2" t="s">
        <v>83</v>
      </c>
      <c r="AD1239" s="3">
        <v>40265</v>
      </c>
      <c r="AE1239" s="4">
        <v>0.66666666666666663</v>
      </c>
      <c r="AF1239" s="3">
        <v>40266</v>
      </c>
      <c r="AG1239" s="4">
        <v>0.35694444444444445</v>
      </c>
      <c r="AH1239" s="2">
        <v>2</v>
      </c>
      <c r="AI1239" s="2" t="s">
        <v>84</v>
      </c>
      <c r="AJ1239" s="2">
        <v>12</v>
      </c>
      <c r="AK1239" s="2" t="s">
        <v>85</v>
      </c>
      <c r="AL1239" s="2">
        <v>12</v>
      </c>
      <c r="AM1239" s="2" t="s">
        <v>86</v>
      </c>
      <c r="AN1239" s="2" t="s">
        <v>4646</v>
      </c>
      <c r="AO1239" s="2" t="s">
        <v>4647</v>
      </c>
      <c r="AP1239" s="2">
        <v>11</v>
      </c>
      <c r="AQ1239" s="2" t="s">
        <v>82</v>
      </c>
      <c r="AR1239" s="2"/>
      <c r="AS1239" s="2"/>
      <c r="AT1239" s="2" t="s">
        <v>4648</v>
      </c>
      <c r="AU1239" s="2"/>
      <c r="AV1239" s="2"/>
      <c r="AW1239" s="2"/>
      <c r="AX1239" s="2"/>
      <c r="AY1239" s="2">
        <v>41</v>
      </c>
      <c r="AZ1239" s="2" t="s">
        <v>82</v>
      </c>
      <c r="BA1239" s="2">
        <v>41</v>
      </c>
      <c r="BB1239" s="2" t="s">
        <v>82</v>
      </c>
      <c r="BC1239" s="2">
        <v>41</v>
      </c>
      <c r="BD1239" s="2" t="s">
        <v>82</v>
      </c>
      <c r="BE1239" s="2">
        <v>13</v>
      </c>
      <c r="BF1239" s="2" t="s">
        <v>108</v>
      </c>
      <c r="BG1239" s="2" t="s">
        <v>4649</v>
      </c>
      <c r="BH1239" s="4">
        <v>0.66666666666666663</v>
      </c>
      <c r="BI1239" s="4">
        <v>0.5</v>
      </c>
      <c r="BJ1239" s="2">
        <v>33</v>
      </c>
      <c r="BK1239" s="2" t="s">
        <v>361</v>
      </c>
      <c r="BL1239" s="2" t="s">
        <v>2723</v>
      </c>
      <c r="BM1239" s="2">
        <v>241</v>
      </c>
      <c r="BN1239" s="2" t="s">
        <v>82</v>
      </c>
      <c r="BO1239" s="2"/>
      <c r="BP1239" s="2">
        <v>13</v>
      </c>
      <c r="BQ1239" s="2" t="s">
        <v>91</v>
      </c>
      <c r="BR1239" s="2"/>
      <c r="BS1239" s="3">
        <v>40266</v>
      </c>
      <c r="BT1239" s="4">
        <v>0.44094907407407408</v>
      </c>
    </row>
    <row r="1240" spans="1:72" x14ac:dyDescent="0.25">
      <c r="A1240" s="2">
        <v>1875</v>
      </c>
      <c r="B1240" s="2">
        <v>2010</v>
      </c>
      <c r="C1240" s="2" t="s">
        <v>409</v>
      </c>
      <c r="D1240" s="2" t="s">
        <v>122</v>
      </c>
      <c r="E1240" s="2"/>
      <c r="F1240" s="2">
        <v>150</v>
      </c>
      <c r="G1240" s="2" t="s">
        <v>4650</v>
      </c>
      <c r="H1240" s="2">
        <v>23</v>
      </c>
      <c r="I1240" s="2" t="s">
        <v>422</v>
      </c>
      <c r="J1240" s="2">
        <v>161</v>
      </c>
      <c r="K1240" s="2" t="s">
        <v>1900</v>
      </c>
      <c r="L1240" s="2" t="s">
        <v>1901</v>
      </c>
      <c r="M1240" s="3">
        <v>40266</v>
      </c>
      <c r="N1240" s="2" t="s">
        <v>4651</v>
      </c>
      <c r="O1240" s="2" t="s">
        <v>107</v>
      </c>
      <c r="P1240" s="2" t="s">
        <v>107</v>
      </c>
      <c r="Q1240" s="2" t="str">
        <f>"S/D"</f>
        <v>S/D</v>
      </c>
      <c r="R1240" s="2" t="s">
        <v>107</v>
      </c>
      <c r="S1240" s="2" t="s">
        <v>107</v>
      </c>
      <c r="T1240" s="2">
        <v>1</v>
      </c>
      <c r="U1240" s="2" t="s">
        <v>79</v>
      </c>
      <c r="V1240" s="2">
        <v>1</v>
      </c>
      <c r="W1240" s="2" t="s">
        <v>80</v>
      </c>
      <c r="X1240" s="2">
        <v>5</v>
      </c>
      <c r="Y1240" s="2" t="s">
        <v>82</v>
      </c>
      <c r="Z1240" s="2">
        <v>1</v>
      </c>
      <c r="AA1240" s="2" t="s">
        <v>82</v>
      </c>
      <c r="AB1240" s="2">
        <v>9</v>
      </c>
      <c r="AC1240" s="2" t="s">
        <v>124</v>
      </c>
      <c r="AD1240" s="3">
        <v>40266</v>
      </c>
      <c r="AE1240" s="4">
        <v>0.41666666666666669</v>
      </c>
      <c r="AF1240" s="2"/>
      <c r="AG1240" s="2"/>
      <c r="AH1240" s="2">
        <v>6</v>
      </c>
      <c r="AI1240" s="2" t="s">
        <v>197</v>
      </c>
      <c r="AJ1240" s="2">
        <v>54</v>
      </c>
      <c r="AK1240" s="2" t="s">
        <v>348</v>
      </c>
      <c r="AL1240" s="2">
        <v>18</v>
      </c>
      <c r="AM1240" s="2" t="s">
        <v>82</v>
      </c>
      <c r="AN1240" s="2" t="s">
        <v>2920</v>
      </c>
      <c r="AO1240" s="2" t="s">
        <v>107</v>
      </c>
      <c r="AP1240" s="2">
        <v>11</v>
      </c>
      <c r="AQ1240" s="2" t="s">
        <v>82</v>
      </c>
      <c r="AR1240" s="2" t="s">
        <v>107</v>
      </c>
      <c r="AS1240" s="2" t="s">
        <v>107</v>
      </c>
      <c r="AT1240" s="2" t="s">
        <v>4652</v>
      </c>
      <c r="AU1240" s="2"/>
      <c r="AV1240" s="2"/>
      <c r="AW1240" s="2"/>
      <c r="AX1240" s="2"/>
      <c r="AY1240" s="2">
        <v>1</v>
      </c>
      <c r="AZ1240" s="2" t="s">
        <v>107</v>
      </c>
      <c r="BA1240" s="2">
        <v>1</v>
      </c>
      <c r="BB1240" s="2" t="s">
        <v>107</v>
      </c>
      <c r="BC1240" s="2">
        <v>1</v>
      </c>
      <c r="BD1240" s="2" t="s">
        <v>107</v>
      </c>
      <c r="BE1240" s="2">
        <v>1</v>
      </c>
      <c r="BF1240" s="2" t="s">
        <v>107</v>
      </c>
      <c r="BG1240" s="2" t="s">
        <v>107</v>
      </c>
      <c r="BH1240" s="2"/>
      <c r="BI1240" s="2"/>
      <c r="BJ1240" s="2">
        <v>242</v>
      </c>
      <c r="BK1240" s="2" t="s">
        <v>107</v>
      </c>
      <c r="BL1240" s="2" t="s">
        <v>107</v>
      </c>
      <c r="BM1240" s="2">
        <v>242</v>
      </c>
      <c r="BN1240" s="2" t="s">
        <v>107</v>
      </c>
      <c r="BO1240" s="2" t="s">
        <v>107</v>
      </c>
      <c r="BP1240" s="2">
        <v>242</v>
      </c>
      <c r="BQ1240" s="2" t="s">
        <v>107</v>
      </c>
      <c r="BR1240" s="2" t="s">
        <v>107</v>
      </c>
      <c r="BS1240" s="3">
        <v>40266</v>
      </c>
      <c r="BT1240" s="4">
        <v>0.47458333333333336</v>
      </c>
    </row>
    <row r="1241" spans="1:72" x14ac:dyDescent="0.25">
      <c r="A1241" s="2">
        <v>1876</v>
      </c>
      <c r="B1241" s="2">
        <v>2010</v>
      </c>
      <c r="C1241" s="2" t="s">
        <v>4543</v>
      </c>
      <c r="D1241" s="2" t="s">
        <v>122</v>
      </c>
      <c r="E1241" s="2"/>
      <c r="F1241" s="2">
        <v>1</v>
      </c>
      <c r="G1241" s="2" t="s">
        <v>82</v>
      </c>
      <c r="H1241" s="2">
        <v>1</v>
      </c>
      <c r="I1241" s="2" t="s">
        <v>82</v>
      </c>
      <c r="J1241" s="2">
        <v>1</v>
      </c>
      <c r="K1241" s="2" t="s">
        <v>107</v>
      </c>
      <c r="L1241" s="2" t="s">
        <v>107</v>
      </c>
      <c r="M1241" s="3">
        <v>40266</v>
      </c>
      <c r="N1241" s="2"/>
      <c r="O1241" s="2"/>
      <c r="P1241" s="2"/>
      <c r="Q1241" s="2" t="str">
        <f>"037/10"</f>
        <v>037/10</v>
      </c>
      <c r="R1241" s="2"/>
      <c r="S1241" s="2"/>
      <c r="T1241" s="2">
        <v>2</v>
      </c>
      <c r="U1241" s="2" t="s">
        <v>123</v>
      </c>
      <c r="V1241" s="2">
        <v>1</v>
      </c>
      <c r="W1241" s="2" t="s">
        <v>80</v>
      </c>
      <c r="X1241" s="2">
        <v>5</v>
      </c>
      <c r="Y1241" s="2" t="s">
        <v>82</v>
      </c>
      <c r="Z1241" s="2">
        <v>1</v>
      </c>
      <c r="AA1241" s="2" t="s">
        <v>82</v>
      </c>
      <c r="AB1241" s="2">
        <v>9</v>
      </c>
      <c r="AC1241" s="2" t="s">
        <v>124</v>
      </c>
      <c r="AD1241" s="2"/>
      <c r="AE1241" s="2"/>
      <c r="AF1241" s="2"/>
      <c r="AG1241" s="2"/>
      <c r="AH1241" s="2">
        <v>5</v>
      </c>
      <c r="AI1241" s="2" t="s">
        <v>274</v>
      </c>
      <c r="AJ1241" s="2">
        <v>38</v>
      </c>
      <c r="AK1241" s="2" t="s">
        <v>1120</v>
      </c>
      <c r="AL1241" s="2">
        <v>18</v>
      </c>
      <c r="AM1241" s="2" t="s">
        <v>82</v>
      </c>
      <c r="AN1241" s="2"/>
      <c r="AO1241" s="2"/>
      <c r="AP1241" s="2">
        <v>11</v>
      </c>
      <c r="AQ1241" s="2" t="s">
        <v>82</v>
      </c>
      <c r="AR1241" s="2"/>
      <c r="AS1241" s="2"/>
      <c r="AT1241" s="2" t="s">
        <v>4653</v>
      </c>
      <c r="AU1241" s="2"/>
      <c r="AV1241" s="2"/>
      <c r="AW1241" s="2"/>
      <c r="AX1241" s="2"/>
      <c r="AY1241" s="2">
        <v>13</v>
      </c>
      <c r="AZ1241" s="2" t="s">
        <v>108</v>
      </c>
      <c r="BA1241" s="2">
        <v>13</v>
      </c>
      <c r="BB1241" s="2" t="s">
        <v>108</v>
      </c>
      <c r="BC1241" s="2">
        <v>13</v>
      </c>
      <c r="BD1241" s="2" t="s">
        <v>108</v>
      </c>
      <c r="BE1241" s="2">
        <v>13</v>
      </c>
      <c r="BF1241" s="2" t="s">
        <v>108</v>
      </c>
      <c r="BG1241" s="2" t="s">
        <v>4654</v>
      </c>
      <c r="BH1241" s="4">
        <v>0.3923611111111111</v>
      </c>
      <c r="BI1241" s="4">
        <v>0.32847222222222222</v>
      </c>
      <c r="BJ1241" s="2">
        <v>13</v>
      </c>
      <c r="BK1241" s="2" t="s">
        <v>91</v>
      </c>
      <c r="BL1241" s="2" t="s">
        <v>185</v>
      </c>
      <c r="BM1241" s="2">
        <v>13</v>
      </c>
      <c r="BN1241" s="2" t="s">
        <v>91</v>
      </c>
      <c r="BO1241" s="2" t="s">
        <v>3140</v>
      </c>
      <c r="BP1241" s="2">
        <v>13</v>
      </c>
      <c r="BQ1241" s="2" t="s">
        <v>91</v>
      </c>
      <c r="BR1241" s="2" t="s">
        <v>185</v>
      </c>
      <c r="BS1241" s="3">
        <v>40266</v>
      </c>
      <c r="BT1241" s="4">
        <v>0.48287037037037034</v>
      </c>
    </row>
    <row r="1242" spans="1:72" x14ac:dyDescent="0.25">
      <c r="A1242" s="2">
        <v>1879</v>
      </c>
      <c r="B1242" s="2">
        <v>2010</v>
      </c>
      <c r="C1242" s="2" t="s">
        <v>171</v>
      </c>
      <c r="D1242" s="2" t="s">
        <v>73</v>
      </c>
      <c r="E1242" s="2"/>
      <c r="F1242" s="2">
        <v>399</v>
      </c>
      <c r="G1242" s="2" t="s">
        <v>587</v>
      </c>
      <c r="H1242" s="2">
        <v>15</v>
      </c>
      <c r="I1242" s="2" t="s">
        <v>130</v>
      </c>
      <c r="J1242" s="2">
        <v>242</v>
      </c>
      <c r="K1242" s="2" t="s">
        <v>1077</v>
      </c>
      <c r="L1242" s="2" t="s">
        <v>1078</v>
      </c>
      <c r="M1242" s="3">
        <v>40266</v>
      </c>
      <c r="N1242" s="2" t="s">
        <v>588</v>
      </c>
      <c r="O1242" s="2" t="s">
        <v>4655</v>
      </c>
      <c r="P1242" s="2">
        <v>6481</v>
      </c>
      <c r="Q1242" s="2" t="str">
        <f>"162E/10"</f>
        <v>162E/10</v>
      </c>
      <c r="R1242" s="2" t="s">
        <v>391</v>
      </c>
      <c r="S1242" s="2" t="s">
        <v>391</v>
      </c>
      <c r="T1242" s="2">
        <v>1</v>
      </c>
      <c r="U1242" s="2" t="s">
        <v>79</v>
      </c>
      <c r="V1242" s="2">
        <v>3</v>
      </c>
      <c r="W1242" s="2" t="s">
        <v>225</v>
      </c>
      <c r="X1242" s="2">
        <v>6</v>
      </c>
      <c r="Y1242" s="2" t="s">
        <v>249</v>
      </c>
      <c r="Z1242" s="2">
        <v>10</v>
      </c>
      <c r="AA1242" s="2" t="s">
        <v>236</v>
      </c>
      <c r="AB1242" s="2">
        <v>9</v>
      </c>
      <c r="AC1242" s="2" t="s">
        <v>124</v>
      </c>
      <c r="AD1242" s="3">
        <v>40266</v>
      </c>
      <c r="AE1242" s="4">
        <v>0.47916666666666669</v>
      </c>
      <c r="AF1242" s="2"/>
      <c r="AG1242" s="2"/>
      <c r="AH1242" s="2">
        <v>2</v>
      </c>
      <c r="AI1242" s="2" t="s">
        <v>84</v>
      </c>
      <c r="AJ1242" s="2">
        <v>6</v>
      </c>
      <c r="AK1242" s="2" t="s">
        <v>453</v>
      </c>
      <c r="AL1242" s="2">
        <v>23</v>
      </c>
      <c r="AM1242" s="2" t="s">
        <v>251</v>
      </c>
      <c r="AN1242" s="2" t="s">
        <v>4656</v>
      </c>
      <c r="AO1242" s="2"/>
      <c r="AP1242" s="2">
        <v>11</v>
      </c>
      <c r="AQ1242" s="2" t="s">
        <v>82</v>
      </c>
      <c r="AR1242" s="2"/>
      <c r="AS1242" s="2"/>
      <c r="AT1242" s="2" t="s">
        <v>4657</v>
      </c>
      <c r="AU1242" s="2"/>
      <c r="AV1242" s="2"/>
      <c r="AW1242" s="2"/>
      <c r="AX1242" s="2"/>
      <c r="AY1242" s="2">
        <v>42</v>
      </c>
      <c r="AZ1242" s="2" t="s">
        <v>182</v>
      </c>
      <c r="BA1242" s="2">
        <v>70</v>
      </c>
      <c r="BB1242" s="2" t="s">
        <v>236</v>
      </c>
      <c r="BC1242" s="2">
        <v>70</v>
      </c>
      <c r="BD1242" s="2" t="s">
        <v>236</v>
      </c>
      <c r="BE1242" s="2">
        <v>41</v>
      </c>
      <c r="BF1242" s="2" t="s">
        <v>82</v>
      </c>
      <c r="BG1242" s="2"/>
      <c r="BH1242" s="2"/>
      <c r="BI1242" s="2"/>
      <c r="BJ1242" s="2">
        <v>241</v>
      </c>
      <c r="BK1242" s="2" t="s">
        <v>82</v>
      </c>
      <c r="BL1242" s="2"/>
      <c r="BM1242" s="2">
        <v>241</v>
      </c>
      <c r="BN1242" s="2" t="s">
        <v>82</v>
      </c>
      <c r="BO1242" s="2"/>
      <c r="BP1242" s="2">
        <v>241</v>
      </c>
      <c r="BQ1242" s="2" t="s">
        <v>82</v>
      </c>
      <c r="BR1242" s="2"/>
      <c r="BS1242" s="3">
        <v>40266</v>
      </c>
      <c r="BT1242" s="4">
        <v>0.51103009259259258</v>
      </c>
    </row>
    <row r="1243" spans="1:72" x14ac:dyDescent="0.25">
      <c r="A1243" s="2">
        <v>1881</v>
      </c>
      <c r="B1243" s="2">
        <v>2010</v>
      </c>
      <c r="C1243" s="2" t="s">
        <v>93</v>
      </c>
      <c r="D1243" s="2" t="s">
        <v>73</v>
      </c>
      <c r="E1243" s="2"/>
      <c r="F1243" s="2">
        <v>195</v>
      </c>
      <c r="G1243" s="2" t="s">
        <v>4658</v>
      </c>
      <c r="H1243" s="2">
        <v>85</v>
      </c>
      <c r="I1243" s="2" t="s">
        <v>4659</v>
      </c>
      <c r="J1243" s="2">
        <v>203</v>
      </c>
      <c r="K1243" s="2" t="s">
        <v>4660</v>
      </c>
      <c r="L1243" s="2" t="s">
        <v>4661</v>
      </c>
      <c r="M1243" s="3">
        <v>40266</v>
      </c>
      <c r="N1243" s="2" t="s">
        <v>4662</v>
      </c>
      <c r="O1243" s="2" t="s">
        <v>1130</v>
      </c>
      <c r="P1243" s="2">
        <v>15379</v>
      </c>
      <c r="Q1243" s="2" t="str">
        <f>"0036/10"</f>
        <v>0036/10</v>
      </c>
      <c r="R1243" s="2" t="s">
        <v>3752</v>
      </c>
      <c r="S1243" s="2" t="s">
        <v>107</v>
      </c>
      <c r="T1243" s="2">
        <v>1</v>
      </c>
      <c r="U1243" s="2" t="s">
        <v>79</v>
      </c>
      <c r="V1243" s="2">
        <v>1</v>
      </c>
      <c r="W1243" s="2" t="s">
        <v>80</v>
      </c>
      <c r="X1243" s="2">
        <v>3</v>
      </c>
      <c r="Y1243" s="2" t="s">
        <v>698</v>
      </c>
      <c r="Z1243" s="2">
        <v>9</v>
      </c>
      <c r="AA1243" s="2" t="s">
        <v>1119</v>
      </c>
      <c r="AB1243" s="2">
        <v>2</v>
      </c>
      <c r="AC1243" s="2" t="s">
        <v>102</v>
      </c>
      <c r="AD1243" s="3">
        <v>40266</v>
      </c>
      <c r="AE1243" s="4">
        <v>0.57638888888888895</v>
      </c>
      <c r="AF1243" s="2"/>
      <c r="AG1243" s="2"/>
      <c r="AH1243" s="2">
        <v>5</v>
      </c>
      <c r="AI1243" s="2" t="s">
        <v>274</v>
      </c>
      <c r="AJ1243" s="2">
        <v>38</v>
      </c>
      <c r="AK1243" s="2" t="s">
        <v>1120</v>
      </c>
      <c r="AL1243" s="2">
        <v>11</v>
      </c>
      <c r="AM1243" s="2" t="s">
        <v>137</v>
      </c>
      <c r="AN1243" s="2" t="s">
        <v>82</v>
      </c>
      <c r="AO1243" s="2" t="s">
        <v>82</v>
      </c>
      <c r="AP1243" s="2">
        <v>11</v>
      </c>
      <c r="AQ1243" s="2" t="s">
        <v>82</v>
      </c>
      <c r="AR1243" s="2" t="s">
        <v>82</v>
      </c>
      <c r="AS1243" s="2" t="s">
        <v>82</v>
      </c>
      <c r="AT1243" s="2" t="s">
        <v>4663</v>
      </c>
      <c r="AU1243" s="2"/>
      <c r="AV1243" s="2"/>
      <c r="AW1243" s="2"/>
      <c r="AX1243" s="2"/>
      <c r="AY1243" s="2">
        <v>41</v>
      </c>
      <c r="AZ1243" s="2" t="s">
        <v>82</v>
      </c>
      <c r="BA1243" s="2">
        <v>41</v>
      </c>
      <c r="BB1243" s="2" t="s">
        <v>82</v>
      </c>
      <c r="BC1243" s="2">
        <v>41</v>
      </c>
      <c r="BD1243" s="2" t="s">
        <v>82</v>
      </c>
      <c r="BE1243" s="2">
        <v>4</v>
      </c>
      <c r="BF1243" s="2" t="s">
        <v>90</v>
      </c>
      <c r="BG1243" s="2">
        <v>4025</v>
      </c>
      <c r="BH1243" s="4">
        <v>0.56944444444444442</v>
      </c>
      <c r="BI1243" s="4">
        <v>0.59722222222222221</v>
      </c>
      <c r="BJ1243" s="2">
        <v>13</v>
      </c>
      <c r="BK1243" s="2" t="s">
        <v>91</v>
      </c>
      <c r="BL1243" s="2" t="s">
        <v>3140</v>
      </c>
      <c r="BM1243" s="2">
        <v>241</v>
      </c>
      <c r="BN1243" s="2" t="s">
        <v>82</v>
      </c>
      <c r="BO1243" s="2" t="s">
        <v>82</v>
      </c>
      <c r="BP1243" s="2">
        <v>241</v>
      </c>
      <c r="BQ1243" s="2" t="s">
        <v>82</v>
      </c>
      <c r="BR1243" s="2" t="s">
        <v>185</v>
      </c>
      <c r="BS1243" s="3">
        <v>40266</v>
      </c>
      <c r="BT1243" s="4">
        <v>0.62983796296296302</v>
      </c>
    </row>
    <row r="1244" spans="1:72" x14ac:dyDescent="0.25">
      <c r="A1244" s="2">
        <v>1884</v>
      </c>
      <c r="B1244" s="2">
        <v>2010</v>
      </c>
      <c r="C1244" s="2" t="s">
        <v>171</v>
      </c>
      <c r="D1244" s="2" t="s">
        <v>73</v>
      </c>
      <c r="E1244" s="2"/>
      <c r="F1244" s="2">
        <v>518</v>
      </c>
      <c r="G1244" s="2" t="s">
        <v>4664</v>
      </c>
      <c r="H1244" s="2">
        <v>1</v>
      </c>
      <c r="I1244" s="2" t="s">
        <v>82</v>
      </c>
      <c r="J1244" s="2">
        <v>436</v>
      </c>
      <c r="K1244" s="2" t="s">
        <v>4665</v>
      </c>
      <c r="L1244" s="2" t="s">
        <v>4666</v>
      </c>
      <c r="M1244" s="3">
        <v>40266</v>
      </c>
      <c r="N1244" s="2" t="s">
        <v>4667</v>
      </c>
      <c r="O1244" s="2" t="s">
        <v>4668</v>
      </c>
      <c r="P1244" s="2" t="s">
        <v>4669</v>
      </c>
      <c r="Q1244" s="2" t="str">
        <f>"598/08"</f>
        <v>598/08</v>
      </c>
      <c r="R1244" s="2"/>
      <c r="S1244" s="2" t="s">
        <v>4670</v>
      </c>
      <c r="T1244" s="2">
        <v>1</v>
      </c>
      <c r="U1244" s="2" t="s">
        <v>79</v>
      </c>
      <c r="V1244" s="2">
        <v>3</v>
      </c>
      <c r="W1244" s="2" t="s">
        <v>225</v>
      </c>
      <c r="X1244" s="2">
        <v>2</v>
      </c>
      <c r="Y1244" s="2" t="s">
        <v>136</v>
      </c>
      <c r="Z1244" s="2">
        <v>1</v>
      </c>
      <c r="AA1244" s="2" t="s">
        <v>82</v>
      </c>
      <c r="AB1244" s="2">
        <v>9</v>
      </c>
      <c r="AC1244" s="2" t="s">
        <v>124</v>
      </c>
      <c r="AD1244" s="3">
        <v>39848</v>
      </c>
      <c r="AE1244" s="4">
        <v>0.66666666666666663</v>
      </c>
      <c r="AF1244" s="3">
        <v>39851</v>
      </c>
      <c r="AG1244" s="4">
        <v>0.70833333333333337</v>
      </c>
      <c r="AH1244" s="2">
        <v>5</v>
      </c>
      <c r="AI1244" s="2" t="s">
        <v>274</v>
      </c>
      <c r="AJ1244" s="2">
        <v>35</v>
      </c>
      <c r="AK1244" s="2" t="s">
        <v>275</v>
      </c>
      <c r="AL1244" s="2">
        <v>23</v>
      </c>
      <c r="AM1244" s="2" t="s">
        <v>251</v>
      </c>
      <c r="AN1244" s="2" t="s">
        <v>2497</v>
      </c>
      <c r="AO1244" s="2" t="s">
        <v>284</v>
      </c>
      <c r="AP1244" s="2">
        <v>11</v>
      </c>
      <c r="AQ1244" s="2" t="s">
        <v>82</v>
      </c>
      <c r="AR1244" s="2"/>
      <c r="AS1244" s="2"/>
      <c r="AT1244" s="2" t="s">
        <v>4671</v>
      </c>
      <c r="AU1244" s="2"/>
      <c r="AV1244" s="2"/>
      <c r="AW1244" s="2"/>
      <c r="AX1244" s="2"/>
      <c r="AY1244" s="2">
        <v>1</v>
      </c>
      <c r="AZ1244" s="2" t="s">
        <v>107</v>
      </c>
      <c r="BA1244" s="2">
        <v>1</v>
      </c>
      <c r="BB1244" s="2" t="s">
        <v>107</v>
      </c>
      <c r="BC1244" s="2">
        <v>1</v>
      </c>
      <c r="BD1244" s="2" t="s">
        <v>107</v>
      </c>
      <c r="BE1244" s="2">
        <v>1</v>
      </c>
      <c r="BF1244" s="2" t="s">
        <v>107</v>
      </c>
      <c r="BG1244" s="2"/>
      <c r="BH1244" s="2"/>
      <c r="BI1244" s="2"/>
      <c r="BJ1244" s="2">
        <v>242</v>
      </c>
      <c r="BK1244" s="2" t="s">
        <v>107</v>
      </c>
      <c r="BL1244" s="2"/>
      <c r="BM1244" s="2">
        <v>242</v>
      </c>
      <c r="BN1244" s="2" t="s">
        <v>107</v>
      </c>
      <c r="BO1244" s="2"/>
      <c r="BP1244" s="2">
        <v>242</v>
      </c>
      <c r="BQ1244" s="2" t="s">
        <v>107</v>
      </c>
      <c r="BR1244" s="2"/>
      <c r="BS1244" s="3">
        <v>40266</v>
      </c>
      <c r="BT1244" s="4">
        <v>0.68013888888888896</v>
      </c>
    </row>
    <row r="1245" spans="1:72" x14ac:dyDescent="0.25">
      <c r="A1245" s="2">
        <v>1885</v>
      </c>
      <c r="B1245" s="2">
        <v>2010</v>
      </c>
      <c r="C1245" s="2" t="s">
        <v>702</v>
      </c>
      <c r="D1245" s="2" t="s">
        <v>73</v>
      </c>
      <c r="E1245" s="2"/>
      <c r="F1245" s="2">
        <v>175</v>
      </c>
      <c r="G1245" s="2" t="s">
        <v>4170</v>
      </c>
      <c r="H1245" s="2">
        <v>79</v>
      </c>
      <c r="I1245" s="2" t="s">
        <v>4171</v>
      </c>
      <c r="J1245" s="2">
        <v>455</v>
      </c>
      <c r="K1245" s="2" t="s">
        <v>3895</v>
      </c>
      <c r="L1245" s="2" t="s">
        <v>3134</v>
      </c>
      <c r="M1245" s="3">
        <v>40266</v>
      </c>
      <c r="N1245" s="2" t="s">
        <v>4672</v>
      </c>
      <c r="O1245" s="2" t="s">
        <v>82</v>
      </c>
      <c r="P1245" s="2" t="s">
        <v>82</v>
      </c>
      <c r="Q1245" s="2" t="str">
        <f>"129-A/10"</f>
        <v>129-A/10</v>
      </c>
      <c r="R1245" s="2" t="s">
        <v>4673</v>
      </c>
      <c r="S1245" s="2"/>
      <c r="T1245" s="2">
        <v>1</v>
      </c>
      <c r="U1245" s="2" t="s">
        <v>79</v>
      </c>
      <c r="V1245" s="2">
        <v>1</v>
      </c>
      <c r="W1245" s="2" t="s">
        <v>80</v>
      </c>
      <c r="X1245" s="2">
        <v>1</v>
      </c>
      <c r="Y1245" s="2" t="s">
        <v>81</v>
      </c>
      <c r="Z1245" s="2">
        <v>1</v>
      </c>
      <c r="AA1245" s="2" t="s">
        <v>82</v>
      </c>
      <c r="AB1245" s="2">
        <v>9</v>
      </c>
      <c r="AC1245" s="2" t="s">
        <v>124</v>
      </c>
      <c r="AD1245" s="3">
        <v>40266</v>
      </c>
      <c r="AE1245" s="2"/>
      <c r="AF1245" s="2"/>
      <c r="AG1245" s="2"/>
      <c r="AH1245" s="2">
        <v>2</v>
      </c>
      <c r="AI1245" s="2" t="s">
        <v>84</v>
      </c>
      <c r="AJ1245" s="2">
        <v>12</v>
      </c>
      <c r="AK1245" s="2" t="s">
        <v>85</v>
      </c>
      <c r="AL1245" s="2">
        <v>12</v>
      </c>
      <c r="AM1245" s="2" t="s">
        <v>86</v>
      </c>
      <c r="AN1245" s="2" t="s">
        <v>4674</v>
      </c>
      <c r="AO1245" s="2"/>
      <c r="AP1245" s="2">
        <v>11</v>
      </c>
      <c r="AQ1245" s="2" t="s">
        <v>82</v>
      </c>
      <c r="AR1245" s="2"/>
      <c r="AS1245" s="2"/>
      <c r="AT1245" s="2" t="s">
        <v>4675</v>
      </c>
      <c r="AU1245" s="2">
        <v>2</v>
      </c>
      <c r="AV1245" s="2"/>
      <c r="AW1245" s="2"/>
      <c r="AX1245" s="2"/>
      <c r="AY1245" s="2">
        <v>41</v>
      </c>
      <c r="AZ1245" s="2" t="s">
        <v>82</v>
      </c>
      <c r="BA1245" s="2">
        <v>41</v>
      </c>
      <c r="BB1245" s="2" t="s">
        <v>82</v>
      </c>
      <c r="BC1245" s="2">
        <v>41</v>
      </c>
      <c r="BD1245" s="2" t="s">
        <v>82</v>
      </c>
      <c r="BE1245" s="2">
        <v>41</v>
      </c>
      <c r="BF1245" s="2" t="s">
        <v>82</v>
      </c>
      <c r="BG1245" s="2"/>
      <c r="BH1245" s="2"/>
      <c r="BI1245" s="2"/>
      <c r="BJ1245" s="2">
        <v>241</v>
      </c>
      <c r="BK1245" s="2" t="s">
        <v>82</v>
      </c>
      <c r="BL1245" s="2"/>
      <c r="BM1245" s="2">
        <v>241</v>
      </c>
      <c r="BN1245" s="2" t="s">
        <v>82</v>
      </c>
      <c r="BO1245" s="2"/>
      <c r="BP1245" s="2">
        <v>241</v>
      </c>
      <c r="BQ1245" s="2" t="s">
        <v>82</v>
      </c>
      <c r="BR1245" s="2"/>
      <c r="BS1245" s="3">
        <v>40266</v>
      </c>
      <c r="BT1245" s="4">
        <v>0.68648148148148147</v>
      </c>
    </row>
    <row r="1246" spans="1:72" x14ac:dyDescent="0.25">
      <c r="A1246" s="2">
        <v>1885</v>
      </c>
      <c r="B1246" s="2">
        <v>2010</v>
      </c>
      <c r="C1246" s="2" t="s">
        <v>764</v>
      </c>
      <c r="D1246" s="2" t="s">
        <v>73</v>
      </c>
      <c r="E1246" s="2"/>
      <c r="F1246" s="2">
        <v>175</v>
      </c>
      <c r="G1246" s="2" t="s">
        <v>4170</v>
      </c>
      <c r="H1246" s="2">
        <v>79</v>
      </c>
      <c r="I1246" s="2" t="s">
        <v>4171</v>
      </c>
      <c r="J1246" s="2">
        <v>455</v>
      </c>
      <c r="K1246" s="2" t="s">
        <v>3895</v>
      </c>
      <c r="L1246" s="2" t="s">
        <v>3134</v>
      </c>
      <c r="M1246" s="3">
        <v>40266</v>
      </c>
      <c r="N1246" s="2" t="s">
        <v>4672</v>
      </c>
      <c r="O1246" s="2" t="s">
        <v>82</v>
      </c>
      <c r="P1246" s="2" t="s">
        <v>82</v>
      </c>
      <c r="Q1246" s="2" t="str">
        <f>"129-A/10"</f>
        <v>129-A/10</v>
      </c>
      <c r="R1246" s="2" t="s">
        <v>4673</v>
      </c>
      <c r="S1246" s="2"/>
      <c r="T1246" s="2">
        <v>1</v>
      </c>
      <c r="U1246" s="2" t="s">
        <v>79</v>
      </c>
      <c r="V1246" s="2">
        <v>1</v>
      </c>
      <c r="W1246" s="2" t="s">
        <v>80</v>
      </c>
      <c r="X1246" s="2">
        <v>1</v>
      </c>
      <c r="Y1246" s="2" t="s">
        <v>81</v>
      </c>
      <c r="Z1246" s="2">
        <v>1</v>
      </c>
      <c r="AA1246" s="2" t="s">
        <v>82</v>
      </c>
      <c r="AB1246" s="2">
        <v>9</v>
      </c>
      <c r="AC1246" s="2" t="s">
        <v>124</v>
      </c>
      <c r="AD1246" s="3">
        <v>40266</v>
      </c>
      <c r="AE1246" s="2"/>
      <c r="AF1246" s="2"/>
      <c r="AG1246" s="2"/>
      <c r="AH1246" s="2">
        <v>2</v>
      </c>
      <c r="AI1246" s="2" t="s">
        <v>84</v>
      </c>
      <c r="AJ1246" s="2">
        <v>12</v>
      </c>
      <c r="AK1246" s="2" t="s">
        <v>85</v>
      </c>
      <c r="AL1246" s="2">
        <v>12</v>
      </c>
      <c r="AM1246" s="2" t="s">
        <v>86</v>
      </c>
      <c r="AN1246" s="2" t="s">
        <v>4674</v>
      </c>
      <c r="AO1246" s="2"/>
      <c r="AP1246" s="2">
        <v>11</v>
      </c>
      <c r="AQ1246" s="2" t="s">
        <v>82</v>
      </c>
      <c r="AR1246" s="2"/>
      <c r="AS1246" s="2"/>
      <c r="AT1246" s="2" t="s">
        <v>4675</v>
      </c>
      <c r="AU1246" s="2">
        <v>2</v>
      </c>
      <c r="AV1246" s="2"/>
      <c r="AW1246" s="2"/>
      <c r="AX1246" s="2"/>
      <c r="AY1246" s="2">
        <v>41</v>
      </c>
      <c r="AZ1246" s="2" t="s">
        <v>82</v>
      </c>
      <c r="BA1246" s="2">
        <v>41</v>
      </c>
      <c r="BB1246" s="2" t="s">
        <v>82</v>
      </c>
      <c r="BC1246" s="2">
        <v>41</v>
      </c>
      <c r="BD1246" s="2" t="s">
        <v>82</v>
      </c>
      <c r="BE1246" s="2">
        <v>41</v>
      </c>
      <c r="BF1246" s="2" t="s">
        <v>82</v>
      </c>
      <c r="BG1246" s="2"/>
      <c r="BH1246" s="2"/>
      <c r="BI1246" s="2"/>
      <c r="BJ1246" s="2">
        <v>241</v>
      </c>
      <c r="BK1246" s="2" t="s">
        <v>82</v>
      </c>
      <c r="BL1246" s="2"/>
      <c r="BM1246" s="2">
        <v>241</v>
      </c>
      <c r="BN1246" s="2" t="s">
        <v>82</v>
      </c>
      <c r="BO1246" s="2"/>
      <c r="BP1246" s="2">
        <v>241</v>
      </c>
      <c r="BQ1246" s="2" t="s">
        <v>82</v>
      </c>
      <c r="BR1246" s="2"/>
      <c r="BS1246" s="3">
        <v>40266</v>
      </c>
      <c r="BT1246" s="4">
        <v>0.68648148148148147</v>
      </c>
    </row>
    <row r="1247" spans="1:72" x14ac:dyDescent="0.25">
      <c r="A1247" s="2">
        <v>1886</v>
      </c>
      <c r="B1247" s="2">
        <v>2010</v>
      </c>
      <c r="C1247" s="2" t="s">
        <v>72</v>
      </c>
      <c r="D1247" s="2" t="s">
        <v>73</v>
      </c>
      <c r="E1247" s="2"/>
      <c r="F1247" s="2">
        <v>3</v>
      </c>
      <c r="G1247" s="2" t="s">
        <v>1041</v>
      </c>
      <c r="H1247" s="2">
        <v>1</v>
      </c>
      <c r="I1247" s="2" t="s">
        <v>82</v>
      </c>
      <c r="J1247" s="2">
        <v>368</v>
      </c>
      <c r="K1247" s="2" t="s">
        <v>1042</v>
      </c>
      <c r="L1247" s="2" t="s">
        <v>1043</v>
      </c>
      <c r="M1247" s="3">
        <v>40266</v>
      </c>
      <c r="N1247" s="2" t="s">
        <v>82</v>
      </c>
      <c r="O1247" s="2" t="s">
        <v>107</v>
      </c>
      <c r="P1247" s="2" t="s">
        <v>107</v>
      </c>
      <c r="Q1247" s="2" t="str">
        <f>"170-E/10"</f>
        <v>170-E/10</v>
      </c>
      <c r="R1247" s="2" t="s">
        <v>107</v>
      </c>
      <c r="S1247" s="2" t="s">
        <v>480</v>
      </c>
      <c r="T1247" s="2">
        <v>1</v>
      </c>
      <c r="U1247" s="2" t="s">
        <v>79</v>
      </c>
      <c r="V1247" s="2">
        <v>1</v>
      </c>
      <c r="W1247" s="2" t="s">
        <v>80</v>
      </c>
      <c r="X1247" s="2">
        <v>1</v>
      </c>
      <c r="Y1247" s="2" t="s">
        <v>81</v>
      </c>
      <c r="Z1247" s="2">
        <v>1</v>
      </c>
      <c r="AA1247" s="2" t="s">
        <v>82</v>
      </c>
      <c r="AB1247" s="2">
        <v>6</v>
      </c>
      <c r="AC1247" s="2" t="s">
        <v>83</v>
      </c>
      <c r="AD1247" s="3">
        <v>40266</v>
      </c>
      <c r="AE1247" s="4">
        <v>0.60416666666666663</v>
      </c>
      <c r="AF1247" s="3">
        <v>40266</v>
      </c>
      <c r="AG1247" s="4">
        <v>0.6875</v>
      </c>
      <c r="AH1247" s="2">
        <v>2</v>
      </c>
      <c r="AI1247" s="2" t="s">
        <v>84</v>
      </c>
      <c r="AJ1247" s="2">
        <v>9</v>
      </c>
      <c r="AK1247" s="2" t="s">
        <v>103</v>
      </c>
      <c r="AL1247" s="2">
        <v>12</v>
      </c>
      <c r="AM1247" s="2" t="s">
        <v>86</v>
      </c>
      <c r="AN1247" s="2" t="s">
        <v>4676</v>
      </c>
      <c r="AO1247" s="2" t="s">
        <v>107</v>
      </c>
      <c r="AP1247" s="2">
        <v>11</v>
      </c>
      <c r="AQ1247" s="2" t="s">
        <v>82</v>
      </c>
      <c r="AR1247" s="2"/>
      <c r="AS1247" s="2"/>
      <c r="AT1247" s="2" t="s">
        <v>4677</v>
      </c>
      <c r="AU1247" s="2"/>
      <c r="AV1247" s="2"/>
      <c r="AW1247" s="2"/>
      <c r="AX1247" s="2"/>
      <c r="AY1247" s="2">
        <v>41</v>
      </c>
      <c r="AZ1247" s="2" t="s">
        <v>82</v>
      </c>
      <c r="BA1247" s="2">
        <v>41</v>
      </c>
      <c r="BB1247" s="2" t="s">
        <v>82</v>
      </c>
      <c r="BC1247" s="2">
        <v>41</v>
      </c>
      <c r="BD1247" s="2" t="s">
        <v>82</v>
      </c>
      <c r="BE1247" s="2">
        <v>38</v>
      </c>
      <c r="BF1247" s="2" t="s">
        <v>221</v>
      </c>
      <c r="BG1247" s="2" t="s">
        <v>701</v>
      </c>
      <c r="BH1247" s="4">
        <v>0.60416666666666663</v>
      </c>
      <c r="BI1247" s="2"/>
      <c r="BJ1247" s="2">
        <v>173</v>
      </c>
      <c r="BK1247" s="2" t="s">
        <v>223</v>
      </c>
      <c r="BL1247" s="2" t="s">
        <v>224</v>
      </c>
      <c r="BM1247" s="2">
        <v>241</v>
      </c>
      <c r="BN1247" s="2" t="s">
        <v>82</v>
      </c>
      <c r="BO1247" s="2"/>
      <c r="BP1247" s="2">
        <v>13</v>
      </c>
      <c r="BQ1247" s="2" t="s">
        <v>91</v>
      </c>
      <c r="BR1247" s="2" t="s">
        <v>4251</v>
      </c>
      <c r="BS1247" s="3">
        <v>40266</v>
      </c>
      <c r="BT1247" s="4">
        <v>0.71431712962962957</v>
      </c>
    </row>
    <row r="1248" spans="1:72" x14ac:dyDescent="0.25">
      <c r="A1248" s="2">
        <v>1887</v>
      </c>
      <c r="B1248" s="2">
        <v>2010</v>
      </c>
      <c r="C1248" s="2" t="s">
        <v>377</v>
      </c>
      <c r="D1248" s="2" t="s">
        <v>73</v>
      </c>
      <c r="E1248" s="2"/>
      <c r="F1248" s="2">
        <v>426</v>
      </c>
      <c r="G1248" s="2" t="s">
        <v>378</v>
      </c>
      <c r="H1248" s="2">
        <v>42</v>
      </c>
      <c r="I1248" s="2" t="s">
        <v>1096</v>
      </c>
      <c r="J1248" s="2">
        <v>311</v>
      </c>
      <c r="K1248" s="2" t="s">
        <v>379</v>
      </c>
      <c r="L1248" s="2" t="s">
        <v>380</v>
      </c>
      <c r="M1248" s="3">
        <v>40266</v>
      </c>
      <c r="N1248" s="2" t="s">
        <v>4427</v>
      </c>
      <c r="O1248" s="2" t="s">
        <v>107</v>
      </c>
      <c r="P1248" s="2" t="s">
        <v>107</v>
      </c>
      <c r="Q1248" s="2" t="str">
        <f>"038-C/10"</f>
        <v>038-C/10</v>
      </c>
      <c r="R1248" s="2" t="s">
        <v>4428</v>
      </c>
      <c r="S1248" s="2" t="s">
        <v>4436</v>
      </c>
      <c r="T1248" s="2">
        <v>1</v>
      </c>
      <c r="U1248" s="2" t="s">
        <v>79</v>
      </c>
      <c r="V1248" s="2">
        <v>1</v>
      </c>
      <c r="W1248" s="2" t="s">
        <v>80</v>
      </c>
      <c r="X1248" s="2">
        <v>1</v>
      </c>
      <c r="Y1248" s="2" t="s">
        <v>81</v>
      </c>
      <c r="Z1248" s="2">
        <v>1</v>
      </c>
      <c r="AA1248" s="2" t="s">
        <v>82</v>
      </c>
      <c r="AB1248" s="2">
        <v>9</v>
      </c>
      <c r="AC1248" s="2" t="s">
        <v>124</v>
      </c>
      <c r="AD1248" s="3">
        <v>40266</v>
      </c>
      <c r="AE1248" s="4">
        <v>0.54861111111111105</v>
      </c>
      <c r="AF1248" s="3">
        <v>40266</v>
      </c>
      <c r="AG1248" s="4">
        <v>0.57638888888888895</v>
      </c>
      <c r="AH1248" s="2">
        <v>2</v>
      </c>
      <c r="AI1248" s="2" t="s">
        <v>84</v>
      </c>
      <c r="AJ1248" s="2">
        <v>9</v>
      </c>
      <c r="AK1248" s="2" t="s">
        <v>103</v>
      </c>
      <c r="AL1248" s="2">
        <v>12</v>
      </c>
      <c r="AM1248" s="2" t="s">
        <v>86</v>
      </c>
      <c r="AN1248" s="2" t="s">
        <v>1936</v>
      </c>
      <c r="AO1248" s="2" t="s">
        <v>82</v>
      </c>
      <c r="AP1248" s="2">
        <v>11</v>
      </c>
      <c r="AQ1248" s="2" t="s">
        <v>82</v>
      </c>
      <c r="AR1248" s="2"/>
      <c r="AS1248" s="2" t="s">
        <v>82</v>
      </c>
      <c r="AT1248" s="2" t="s">
        <v>4678</v>
      </c>
      <c r="AU1248" s="2"/>
      <c r="AV1248" s="2"/>
      <c r="AW1248" s="2"/>
      <c r="AX1248" s="2"/>
      <c r="AY1248" s="2">
        <v>41</v>
      </c>
      <c r="AZ1248" s="2" t="s">
        <v>82</v>
      </c>
      <c r="BA1248" s="2">
        <v>41</v>
      </c>
      <c r="BB1248" s="2" t="s">
        <v>82</v>
      </c>
      <c r="BC1248" s="2">
        <v>41</v>
      </c>
      <c r="BD1248" s="2" t="s">
        <v>82</v>
      </c>
      <c r="BE1248" s="2">
        <v>41</v>
      </c>
      <c r="BF1248" s="2" t="s">
        <v>82</v>
      </c>
      <c r="BG1248" s="2" t="s">
        <v>82</v>
      </c>
      <c r="BH1248" s="2"/>
      <c r="BI1248" s="2"/>
      <c r="BJ1248" s="2">
        <v>241</v>
      </c>
      <c r="BK1248" s="2" t="s">
        <v>82</v>
      </c>
      <c r="BL1248" s="2" t="s">
        <v>82</v>
      </c>
      <c r="BM1248" s="2">
        <v>241</v>
      </c>
      <c r="BN1248" s="2" t="s">
        <v>82</v>
      </c>
      <c r="BO1248" s="2" t="s">
        <v>82</v>
      </c>
      <c r="BP1248" s="2">
        <v>241</v>
      </c>
      <c r="BQ1248" s="2" t="s">
        <v>82</v>
      </c>
      <c r="BR1248" s="2" t="s">
        <v>82</v>
      </c>
      <c r="BS1248" s="3">
        <v>40266</v>
      </c>
      <c r="BT1248" s="4">
        <v>0.71717592592592594</v>
      </c>
    </row>
    <row r="1249" spans="1:72" x14ac:dyDescent="0.25">
      <c r="A1249" s="2">
        <v>1888</v>
      </c>
      <c r="B1249" s="2">
        <v>2010</v>
      </c>
      <c r="C1249" s="2" t="s">
        <v>377</v>
      </c>
      <c r="D1249" s="2" t="s">
        <v>73</v>
      </c>
      <c r="E1249" s="2"/>
      <c r="F1249" s="2">
        <v>426</v>
      </c>
      <c r="G1249" s="2" t="s">
        <v>378</v>
      </c>
      <c r="H1249" s="2">
        <v>42</v>
      </c>
      <c r="I1249" s="2" t="s">
        <v>1096</v>
      </c>
      <c r="J1249" s="2">
        <v>311</v>
      </c>
      <c r="K1249" s="2" t="s">
        <v>379</v>
      </c>
      <c r="L1249" s="2" t="s">
        <v>380</v>
      </c>
      <c r="M1249" s="3">
        <v>40266</v>
      </c>
      <c r="N1249" s="2" t="s">
        <v>4427</v>
      </c>
      <c r="O1249" s="2" t="s">
        <v>107</v>
      </c>
      <c r="P1249" s="2" t="s">
        <v>107</v>
      </c>
      <c r="Q1249" s="2" t="str">
        <f>"039-C/10"</f>
        <v>039-C/10</v>
      </c>
      <c r="R1249" s="2" t="s">
        <v>4679</v>
      </c>
      <c r="S1249" s="2" t="s">
        <v>4428</v>
      </c>
      <c r="T1249" s="2">
        <v>1</v>
      </c>
      <c r="U1249" s="2" t="s">
        <v>79</v>
      </c>
      <c r="V1249" s="2">
        <v>1</v>
      </c>
      <c r="W1249" s="2" t="s">
        <v>80</v>
      </c>
      <c r="X1249" s="2">
        <v>1</v>
      </c>
      <c r="Y1249" s="2" t="s">
        <v>81</v>
      </c>
      <c r="Z1249" s="2">
        <v>1</v>
      </c>
      <c r="AA1249" s="2" t="s">
        <v>82</v>
      </c>
      <c r="AB1249" s="2">
        <v>9</v>
      </c>
      <c r="AC1249" s="2" t="s">
        <v>124</v>
      </c>
      <c r="AD1249" s="3">
        <v>40266</v>
      </c>
      <c r="AE1249" s="4">
        <v>0.57638888888888895</v>
      </c>
      <c r="AF1249" s="3">
        <v>40266</v>
      </c>
      <c r="AG1249" s="4">
        <v>0.57638888888888895</v>
      </c>
      <c r="AH1249" s="2">
        <v>2</v>
      </c>
      <c r="AI1249" s="2" t="s">
        <v>84</v>
      </c>
      <c r="AJ1249" s="2">
        <v>9</v>
      </c>
      <c r="AK1249" s="2" t="s">
        <v>103</v>
      </c>
      <c r="AL1249" s="2">
        <v>12</v>
      </c>
      <c r="AM1249" s="2" t="s">
        <v>86</v>
      </c>
      <c r="AN1249" s="2" t="s">
        <v>1936</v>
      </c>
      <c r="AO1249" s="2" t="s">
        <v>82</v>
      </c>
      <c r="AP1249" s="2">
        <v>11</v>
      </c>
      <c r="AQ1249" s="2" t="s">
        <v>82</v>
      </c>
      <c r="AR1249" s="2" t="s">
        <v>82</v>
      </c>
      <c r="AS1249" s="2" t="s">
        <v>82</v>
      </c>
      <c r="AT1249" s="2" t="s">
        <v>4680</v>
      </c>
      <c r="AU1249" s="2"/>
      <c r="AV1249" s="2"/>
      <c r="AW1249" s="2"/>
      <c r="AX1249" s="2"/>
      <c r="AY1249" s="2">
        <v>41</v>
      </c>
      <c r="AZ1249" s="2" t="s">
        <v>82</v>
      </c>
      <c r="BA1249" s="2">
        <v>41</v>
      </c>
      <c r="BB1249" s="2" t="s">
        <v>82</v>
      </c>
      <c r="BC1249" s="2">
        <v>41</v>
      </c>
      <c r="BD1249" s="2" t="s">
        <v>82</v>
      </c>
      <c r="BE1249" s="2">
        <v>41</v>
      </c>
      <c r="BF1249" s="2" t="s">
        <v>82</v>
      </c>
      <c r="BG1249" s="2" t="s">
        <v>82</v>
      </c>
      <c r="BH1249" s="2"/>
      <c r="BI1249" s="2"/>
      <c r="BJ1249" s="2">
        <v>241</v>
      </c>
      <c r="BK1249" s="2" t="s">
        <v>82</v>
      </c>
      <c r="BL1249" s="2" t="s">
        <v>82</v>
      </c>
      <c r="BM1249" s="2">
        <v>241</v>
      </c>
      <c r="BN1249" s="2" t="s">
        <v>82</v>
      </c>
      <c r="BO1249" s="2" t="s">
        <v>82</v>
      </c>
      <c r="BP1249" s="2">
        <v>241</v>
      </c>
      <c r="BQ1249" s="2" t="s">
        <v>82</v>
      </c>
      <c r="BR1249" s="2" t="s">
        <v>82</v>
      </c>
      <c r="BS1249" s="3">
        <v>40266</v>
      </c>
      <c r="BT1249" s="4">
        <v>0.72850694444444442</v>
      </c>
    </row>
    <row r="1250" spans="1:72" x14ac:dyDescent="0.25">
      <c r="A1250" s="2">
        <v>1890</v>
      </c>
      <c r="B1250" s="2">
        <v>2010</v>
      </c>
      <c r="C1250" s="2" t="s">
        <v>72</v>
      </c>
      <c r="D1250" s="2" t="s">
        <v>73</v>
      </c>
      <c r="E1250" s="2"/>
      <c r="F1250" s="2">
        <v>279</v>
      </c>
      <c r="G1250" s="2" t="s">
        <v>4464</v>
      </c>
      <c r="H1250" s="2">
        <v>42</v>
      </c>
      <c r="I1250" s="2" t="s">
        <v>1096</v>
      </c>
      <c r="J1250" s="2">
        <v>284</v>
      </c>
      <c r="K1250" s="2" t="s">
        <v>4465</v>
      </c>
      <c r="L1250" s="2" t="s">
        <v>4466</v>
      </c>
      <c r="M1250" s="3">
        <v>40266</v>
      </c>
      <c r="N1250" s="2" t="s">
        <v>4681</v>
      </c>
      <c r="O1250" s="2" t="s">
        <v>4682</v>
      </c>
      <c r="P1250" s="2"/>
      <c r="Q1250" s="2" t="str">
        <f>"002/10"</f>
        <v>002/10</v>
      </c>
      <c r="R1250" s="2" t="s">
        <v>4682</v>
      </c>
      <c r="S1250" s="2" t="s">
        <v>4682</v>
      </c>
      <c r="T1250" s="2">
        <v>1</v>
      </c>
      <c r="U1250" s="2" t="s">
        <v>79</v>
      </c>
      <c r="V1250" s="2">
        <v>1</v>
      </c>
      <c r="W1250" s="2" t="s">
        <v>80</v>
      </c>
      <c r="X1250" s="2">
        <v>1</v>
      </c>
      <c r="Y1250" s="2" t="s">
        <v>81</v>
      </c>
      <c r="Z1250" s="2">
        <v>1</v>
      </c>
      <c r="AA1250" s="2" t="s">
        <v>82</v>
      </c>
      <c r="AB1250" s="2">
        <v>6</v>
      </c>
      <c r="AC1250" s="2" t="s">
        <v>83</v>
      </c>
      <c r="AD1250" s="3">
        <v>40265</v>
      </c>
      <c r="AE1250" s="4">
        <v>0.51388888888888895</v>
      </c>
      <c r="AF1250" s="3">
        <v>40266</v>
      </c>
      <c r="AG1250" s="4">
        <v>0.66666666666666663</v>
      </c>
      <c r="AH1250" s="2">
        <v>3</v>
      </c>
      <c r="AI1250" s="2" t="s">
        <v>214</v>
      </c>
      <c r="AJ1250" s="2">
        <v>18</v>
      </c>
      <c r="AK1250" s="2" t="s">
        <v>4469</v>
      </c>
      <c r="AL1250" s="2">
        <v>22</v>
      </c>
      <c r="AM1250" s="2" t="s">
        <v>1853</v>
      </c>
      <c r="AN1250" s="2" t="s">
        <v>1853</v>
      </c>
      <c r="AO1250" s="2" t="s">
        <v>3556</v>
      </c>
      <c r="AP1250" s="2">
        <v>11</v>
      </c>
      <c r="AQ1250" s="2" t="s">
        <v>82</v>
      </c>
      <c r="AR1250" s="2"/>
      <c r="AS1250" s="2"/>
      <c r="AT1250" s="2" t="s">
        <v>4683</v>
      </c>
      <c r="AU1250" s="2"/>
      <c r="AV1250" s="2"/>
      <c r="AW1250" s="2"/>
      <c r="AX1250" s="2"/>
      <c r="AY1250" s="2">
        <v>41</v>
      </c>
      <c r="AZ1250" s="2" t="s">
        <v>82</v>
      </c>
      <c r="BA1250" s="2">
        <v>41</v>
      </c>
      <c r="BB1250" s="2" t="s">
        <v>82</v>
      </c>
      <c r="BC1250" s="2">
        <v>41</v>
      </c>
      <c r="BD1250" s="2" t="s">
        <v>82</v>
      </c>
      <c r="BE1250" s="2">
        <v>13</v>
      </c>
      <c r="BF1250" s="2" t="s">
        <v>108</v>
      </c>
      <c r="BG1250" s="2">
        <v>1482</v>
      </c>
      <c r="BH1250" s="4">
        <v>0.61111111111111105</v>
      </c>
      <c r="BI1250" s="4">
        <v>0.53125</v>
      </c>
      <c r="BJ1250" s="2">
        <v>13</v>
      </c>
      <c r="BK1250" s="2" t="s">
        <v>91</v>
      </c>
      <c r="BL1250" s="2" t="s">
        <v>185</v>
      </c>
      <c r="BM1250" s="2">
        <v>241</v>
      </c>
      <c r="BN1250" s="2" t="s">
        <v>82</v>
      </c>
      <c r="BO1250" s="2"/>
      <c r="BP1250" s="2">
        <v>13</v>
      </c>
      <c r="BQ1250" s="2" t="s">
        <v>91</v>
      </c>
      <c r="BR1250" s="2" t="s">
        <v>2548</v>
      </c>
      <c r="BS1250" s="3">
        <v>40266</v>
      </c>
      <c r="BT1250" s="4">
        <v>0.73922453703703705</v>
      </c>
    </row>
    <row r="1251" spans="1:72" x14ac:dyDescent="0.25">
      <c r="A1251" s="2">
        <v>1891</v>
      </c>
      <c r="B1251" s="2">
        <v>2010</v>
      </c>
      <c r="C1251" s="2" t="s">
        <v>764</v>
      </c>
      <c r="D1251" s="2" t="s">
        <v>73</v>
      </c>
      <c r="E1251" s="2"/>
      <c r="F1251" s="2">
        <v>159</v>
      </c>
      <c r="G1251" s="2" t="s">
        <v>3883</v>
      </c>
      <c r="H1251" s="2">
        <v>19</v>
      </c>
      <c r="I1251" s="2" t="s">
        <v>4355</v>
      </c>
      <c r="J1251" s="2">
        <v>172</v>
      </c>
      <c r="K1251" s="2" t="s">
        <v>3885</v>
      </c>
      <c r="L1251" s="2" t="s">
        <v>3886</v>
      </c>
      <c r="M1251" s="3">
        <v>40266</v>
      </c>
      <c r="N1251" s="2" t="s">
        <v>4684</v>
      </c>
      <c r="O1251" s="2" t="s">
        <v>82</v>
      </c>
      <c r="P1251" s="2" t="s">
        <v>82</v>
      </c>
      <c r="Q1251" s="2" t="str">
        <f>"127-A/10"</f>
        <v>127-A/10</v>
      </c>
      <c r="R1251" s="2" t="s">
        <v>82</v>
      </c>
      <c r="S1251" s="2" t="s">
        <v>4685</v>
      </c>
      <c r="T1251" s="2">
        <v>1</v>
      </c>
      <c r="U1251" s="2" t="s">
        <v>79</v>
      </c>
      <c r="V1251" s="2">
        <v>1</v>
      </c>
      <c r="W1251" s="2" t="s">
        <v>80</v>
      </c>
      <c r="X1251" s="2">
        <v>1</v>
      </c>
      <c r="Y1251" s="2" t="s">
        <v>81</v>
      </c>
      <c r="Z1251" s="2">
        <v>1</v>
      </c>
      <c r="AA1251" s="2" t="s">
        <v>82</v>
      </c>
      <c r="AB1251" s="2">
        <v>9</v>
      </c>
      <c r="AC1251" s="2" t="s">
        <v>124</v>
      </c>
      <c r="AD1251" s="3">
        <v>40265</v>
      </c>
      <c r="AE1251" s="4">
        <v>0.97222222222222221</v>
      </c>
      <c r="AF1251" s="2"/>
      <c r="AG1251" s="2"/>
      <c r="AH1251" s="2">
        <v>2</v>
      </c>
      <c r="AI1251" s="2" t="s">
        <v>84</v>
      </c>
      <c r="AJ1251" s="2">
        <v>12</v>
      </c>
      <c r="AK1251" s="2" t="s">
        <v>85</v>
      </c>
      <c r="AL1251" s="2">
        <v>9</v>
      </c>
      <c r="AM1251" s="2" t="s">
        <v>259</v>
      </c>
      <c r="AN1251" s="2" t="s">
        <v>4686</v>
      </c>
      <c r="AO1251" s="2"/>
      <c r="AP1251" s="2">
        <v>11</v>
      </c>
      <c r="AQ1251" s="2" t="s">
        <v>82</v>
      </c>
      <c r="AR1251" s="2"/>
      <c r="AS1251" s="2"/>
      <c r="AT1251" s="2" t="s">
        <v>4687</v>
      </c>
      <c r="AU1251" s="2">
        <v>1</v>
      </c>
      <c r="AV1251" s="2"/>
      <c r="AW1251" s="2"/>
      <c r="AX1251" s="2"/>
      <c r="AY1251" s="2">
        <v>41</v>
      </c>
      <c r="AZ1251" s="2" t="s">
        <v>82</v>
      </c>
      <c r="BA1251" s="2">
        <v>41</v>
      </c>
      <c r="BB1251" s="2" t="s">
        <v>82</v>
      </c>
      <c r="BC1251" s="2">
        <v>41</v>
      </c>
      <c r="BD1251" s="2" t="s">
        <v>82</v>
      </c>
      <c r="BE1251" s="2">
        <v>41</v>
      </c>
      <c r="BF1251" s="2" t="s">
        <v>82</v>
      </c>
      <c r="BG1251" s="2"/>
      <c r="BH1251" s="2"/>
      <c r="BI1251" s="2"/>
      <c r="BJ1251" s="2">
        <v>241</v>
      </c>
      <c r="BK1251" s="2" t="s">
        <v>82</v>
      </c>
      <c r="BL1251" s="2"/>
      <c r="BM1251" s="2">
        <v>241</v>
      </c>
      <c r="BN1251" s="2" t="s">
        <v>82</v>
      </c>
      <c r="BO1251" s="2"/>
      <c r="BP1251" s="2">
        <v>241</v>
      </c>
      <c r="BQ1251" s="2" t="s">
        <v>82</v>
      </c>
      <c r="BR1251" s="2"/>
      <c r="BS1251" s="3">
        <v>40266</v>
      </c>
      <c r="BT1251" s="4">
        <v>0.81467592592592597</v>
      </c>
    </row>
    <row r="1252" spans="1:72" x14ac:dyDescent="0.25">
      <c r="A1252" s="2">
        <v>1893</v>
      </c>
      <c r="B1252" s="2">
        <v>2010</v>
      </c>
      <c r="C1252" s="2" t="s">
        <v>819</v>
      </c>
      <c r="D1252" s="2" t="s">
        <v>73</v>
      </c>
      <c r="E1252" s="2"/>
      <c r="F1252" s="2">
        <v>399</v>
      </c>
      <c r="G1252" s="2" t="s">
        <v>587</v>
      </c>
      <c r="H1252" s="2">
        <v>14</v>
      </c>
      <c r="I1252" s="2" t="s">
        <v>1458</v>
      </c>
      <c r="J1252" s="2">
        <v>242</v>
      </c>
      <c r="K1252" s="2" t="s">
        <v>1077</v>
      </c>
      <c r="L1252" s="2" t="s">
        <v>1078</v>
      </c>
      <c r="M1252" s="3">
        <v>40266</v>
      </c>
      <c r="N1252" s="2" t="s">
        <v>4688</v>
      </c>
      <c r="O1252" s="2" t="s">
        <v>107</v>
      </c>
      <c r="P1252" s="2" t="s">
        <v>107</v>
      </c>
      <c r="Q1252" s="2" t="str">
        <f>"130-A/10"</f>
        <v>130-A/10</v>
      </c>
      <c r="R1252" s="2" t="s">
        <v>4689</v>
      </c>
      <c r="S1252" s="2" t="s">
        <v>4689</v>
      </c>
      <c r="T1252" s="2">
        <v>1</v>
      </c>
      <c r="U1252" s="2" t="s">
        <v>79</v>
      </c>
      <c r="V1252" s="2">
        <v>1</v>
      </c>
      <c r="W1252" s="2" t="s">
        <v>80</v>
      </c>
      <c r="X1252" s="2">
        <v>1</v>
      </c>
      <c r="Y1252" s="2" t="s">
        <v>81</v>
      </c>
      <c r="Z1252" s="2">
        <v>1</v>
      </c>
      <c r="AA1252" s="2" t="s">
        <v>82</v>
      </c>
      <c r="AB1252" s="2">
        <v>9</v>
      </c>
      <c r="AC1252" s="2" t="s">
        <v>124</v>
      </c>
      <c r="AD1252" s="3">
        <v>40266</v>
      </c>
      <c r="AE1252" s="4">
        <v>0.375</v>
      </c>
      <c r="AF1252" s="2"/>
      <c r="AG1252" s="2"/>
      <c r="AH1252" s="2">
        <v>2</v>
      </c>
      <c r="AI1252" s="2" t="s">
        <v>84</v>
      </c>
      <c r="AJ1252" s="2">
        <v>12</v>
      </c>
      <c r="AK1252" s="2" t="s">
        <v>85</v>
      </c>
      <c r="AL1252" s="2">
        <v>16</v>
      </c>
      <c r="AM1252" s="2" t="s">
        <v>392</v>
      </c>
      <c r="AN1252" s="2" t="s">
        <v>4690</v>
      </c>
      <c r="AO1252" s="2" t="s">
        <v>4691</v>
      </c>
      <c r="AP1252" s="2">
        <v>11</v>
      </c>
      <c r="AQ1252" s="2" t="s">
        <v>82</v>
      </c>
      <c r="AR1252" s="2"/>
      <c r="AS1252" s="2"/>
      <c r="AT1252" s="2" t="s">
        <v>4692</v>
      </c>
      <c r="AU1252" s="2"/>
      <c r="AV1252" s="2"/>
      <c r="AW1252" s="2"/>
      <c r="AX1252" s="2"/>
      <c r="AY1252" s="2">
        <v>41</v>
      </c>
      <c r="AZ1252" s="2" t="s">
        <v>82</v>
      </c>
      <c r="BA1252" s="2">
        <v>41</v>
      </c>
      <c r="BB1252" s="2" t="s">
        <v>82</v>
      </c>
      <c r="BC1252" s="2">
        <v>41</v>
      </c>
      <c r="BD1252" s="2" t="s">
        <v>82</v>
      </c>
      <c r="BE1252" s="2">
        <v>13</v>
      </c>
      <c r="BF1252" s="2" t="s">
        <v>108</v>
      </c>
      <c r="BG1252" s="2">
        <v>1506</v>
      </c>
      <c r="BH1252" s="2"/>
      <c r="BI1252" s="4">
        <v>0.39583333333333331</v>
      </c>
      <c r="BJ1252" s="2">
        <v>242</v>
      </c>
      <c r="BK1252" s="2" t="s">
        <v>107</v>
      </c>
      <c r="BL1252" s="2" t="s">
        <v>107</v>
      </c>
      <c r="BM1252" s="2">
        <v>13</v>
      </c>
      <c r="BN1252" s="2" t="s">
        <v>91</v>
      </c>
      <c r="BO1252" s="2" t="s">
        <v>564</v>
      </c>
      <c r="BP1252" s="2">
        <v>13</v>
      </c>
      <c r="BQ1252" s="2" t="s">
        <v>91</v>
      </c>
      <c r="BR1252" s="2" t="s">
        <v>169</v>
      </c>
      <c r="BS1252" s="3">
        <v>40266</v>
      </c>
      <c r="BT1252" s="4">
        <v>0.8297337962962964</v>
      </c>
    </row>
    <row r="1253" spans="1:72" x14ac:dyDescent="0.25">
      <c r="A1253" s="2">
        <v>1894</v>
      </c>
      <c r="B1253" s="2">
        <v>2010</v>
      </c>
      <c r="C1253" s="2" t="s">
        <v>93</v>
      </c>
      <c r="D1253" s="2" t="s">
        <v>73</v>
      </c>
      <c r="E1253" s="2" t="s">
        <v>4693</v>
      </c>
      <c r="F1253" s="2">
        <v>175</v>
      </c>
      <c r="G1253" s="2" t="s">
        <v>4170</v>
      </c>
      <c r="H1253" s="2">
        <v>79</v>
      </c>
      <c r="I1253" s="2" t="s">
        <v>4171</v>
      </c>
      <c r="J1253" s="2">
        <v>455</v>
      </c>
      <c r="K1253" s="2" t="s">
        <v>3895</v>
      </c>
      <c r="L1253" s="2" t="s">
        <v>3134</v>
      </c>
      <c r="M1253" s="3">
        <v>40266</v>
      </c>
      <c r="N1253" s="2" t="s">
        <v>4672</v>
      </c>
      <c r="O1253" s="2" t="s">
        <v>82</v>
      </c>
      <c r="P1253" s="2" t="s">
        <v>82</v>
      </c>
      <c r="Q1253" s="2" t="str">
        <f>"129-A/10"</f>
        <v>129-A/10</v>
      </c>
      <c r="R1253" s="2" t="s">
        <v>4673</v>
      </c>
      <c r="S1253" s="2" t="s">
        <v>82</v>
      </c>
      <c r="T1253" s="2">
        <v>1</v>
      </c>
      <c r="U1253" s="2" t="s">
        <v>79</v>
      </c>
      <c r="V1253" s="2">
        <v>1</v>
      </c>
      <c r="W1253" s="2" t="s">
        <v>80</v>
      </c>
      <c r="X1253" s="2">
        <v>1</v>
      </c>
      <c r="Y1253" s="2" t="s">
        <v>81</v>
      </c>
      <c r="Z1253" s="2">
        <v>1</v>
      </c>
      <c r="AA1253" s="2" t="s">
        <v>82</v>
      </c>
      <c r="AB1253" s="2">
        <v>2</v>
      </c>
      <c r="AC1253" s="2" t="s">
        <v>102</v>
      </c>
      <c r="AD1253" s="3">
        <v>40266</v>
      </c>
      <c r="AE1253" s="2"/>
      <c r="AF1253" s="2"/>
      <c r="AG1253" s="2"/>
      <c r="AH1253" s="2">
        <v>2</v>
      </c>
      <c r="AI1253" s="2" t="s">
        <v>84</v>
      </c>
      <c r="AJ1253" s="2">
        <v>12</v>
      </c>
      <c r="AK1253" s="2" t="s">
        <v>85</v>
      </c>
      <c r="AL1253" s="2">
        <v>12</v>
      </c>
      <c r="AM1253" s="2" t="s">
        <v>86</v>
      </c>
      <c r="AN1253" s="2" t="s">
        <v>4674</v>
      </c>
      <c r="AO1253" s="2"/>
      <c r="AP1253" s="2">
        <v>11</v>
      </c>
      <c r="AQ1253" s="2" t="s">
        <v>82</v>
      </c>
      <c r="AR1253" s="2"/>
      <c r="AS1253" s="2"/>
      <c r="AT1253" s="2" t="s">
        <v>4694</v>
      </c>
      <c r="AU1253" s="2">
        <v>1</v>
      </c>
      <c r="AV1253" s="2"/>
      <c r="AW1253" s="2"/>
      <c r="AX1253" s="2"/>
      <c r="AY1253" s="2">
        <v>41</v>
      </c>
      <c r="AZ1253" s="2" t="s">
        <v>82</v>
      </c>
      <c r="BA1253" s="2">
        <v>41</v>
      </c>
      <c r="BB1253" s="2" t="s">
        <v>82</v>
      </c>
      <c r="BC1253" s="2">
        <v>41</v>
      </c>
      <c r="BD1253" s="2" t="s">
        <v>82</v>
      </c>
      <c r="BE1253" s="2">
        <v>41</v>
      </c>
      <c r="BF1253" s="2" t="s">
        <v>82</v>
      </c>
      <c r="BG1253" s="2"/>
      <c r="BH1253" s="2"/>
      <c r="BI1253" s="2"/>
      <c r="BJ1253" s="2">
        <v>241</v>
      </c>
      <c r="BK1253" s="2" t="s">
        <v>82</v>
      </c>
      <c r="BL1253" s="2"/>
      <c r="BM1253" s="2">
        <v>241</v>
      </c>
      <c r="BN1253" s="2" t="s">
        <v>82</v>
      </c>
      <c r="BO1253" s="2"/>
      <c r="BP1253" s="2">
        <v>241</v>
      </c>
      <c r="BQ1253" s="2" t="s">
        <v>82</v>
      </c>
      <c r="BR1253" s="2"/>
      <c r="BS1253" s="3">
        <v>40266</v>
      </c>
      <c r="BT1253" s="4">
        <v>0.91310185185185189</v>
      </c>
    </row>
    <row r="1254" spans="1:72" x14ac:dyDescent="0.25">
      <c r="A1254" s="2">
        <v>1895</v>
      </c>
      <c r="B1254" s="2">
        <v>2010</v>
      </c>
      <c r="C1254" s="2" t="s">
        <v>72</v>
      </c>
      <c r="D1254" s="2" t="s">
        <v>73</v>
      </c>
      <c r="E1254" s="2"/>
      <c r="F1254" s="2">
        <v>536</v>
      </c>
      <c r="G1254" s="2" t="s">
        <v>3746</v>
      </c>
      <c r="H1254" s="2">
        <v>68</v>
      </c>
      <c r="I1254" s="2" t="s">
        <v>3747</v>
      </c>
      <c r="J1254" s="2">
        <v>214</v>
      </c>
      <c r="K1254" s="2" t="s">
        <v>3748</v>
      </c>
      <c r="L1254" s="2" t="s">
        <v>3749</v>
      </c>
      <c r="M1254" s="3">
        <v>40266</v>
      </c>
      <c r="N1254" s="2" t="s">
        <v>4695</v>
      </c>
      <c r="O1254" s="2" t="s">
        <v>107</v>
      </c>
      <c r="P1254" s="2" t="s">
        <v>107</v>
      </c>
      <c r="Q1254" s="2" t="str">
        <f>"126-A/10"</f>
        <v>126-A/10</v>
      </c>
      <c r="R1254" s="2" t="s">
        <v>4696</v>
      </c>
      <c r="S1254" s="2" t="s">
        <v>4696</v>
      </c>
      <c r="T1254" s="2">
        <v>1</v>
      </c>
      <c r="U1254" s="2" t="s">
        <v>79</v>
      </c>
      <c r="V1254" s="2">
        <v>1</v>
      </c>
      <c r="W1254" s="2" t="s">
        <v>80</v>
      </c>
      <c r="X1254" s="2">
        <v>5</v>
      </c>
      <c r="Y1254" s="2" t="s">
        <v>82</v>
      </c>
      <c r="Z1254" s="2">
        <v>1</v>
      </c>
      <c r="AA1254" s="2" t="s">
        <v>82</v>
      </c>
      <c r="AB1254" s="2">
        <v>6</v>
      </c>
      <c r="AC1254" s="2" t="s">
        <v>83</v>
      </c>
      <c r="AD1254" s="3">
        <v>40265</v>
      </c>
      <c r="AE1254" s="4">
        <v>0.67708333333333337</v>
      </c>
      <c r="AF1254" s="3">
        <v>40265</v>
      </c>
      <c r="AG1254" s="4">
        <v>0.70833333333333337</v>
      </c>
      <c r="AH1254" s="2">
        <v>2</v>
      </c>
      <c r="AI1254" s="2" t="s">
        <v>84</v>
      </c>
      <c r="AJ1254" s="2">
        <v>12</v>
      </c>
      <c r="AK1254" s="2" t="s">
        <v>85</v>
      </c>
      <c r="AL1254" s="2">
        <v>12</v>
      </c>
      <c r="AM1254" s="2" t="s">
        <v>86</v>
      </c>
      <c r="AN1254" s="2" t="s">
        <v>4697</v>
      </c>
      <c r="AO1254" s="2" t="s">
        <v>4698</v>
      </c>
      <c r="AP1254" s="2">
        <v>11</v>
      </c>
      <c r="AQ1254" s="2" t="s">
        <v>82</v>
      </c>
      <c r="AR1254" s="2"/>
      <c r="AS1254" s="2"/>
      <c r="AT1254" s="2" t="s">
        <v>4699</v>
      </c>
      <c r="AU1254" s="2"/>
      <c r="AV1254" s="2">
        <v>1</v>
      </c>
      <c r="AW1254" s="2"/>
      <c r="AX1254" s="2"/>
      <c r="AY1254" s="2">
        <v>41</v>
      </c>
      <c r="AZ1254" s="2" t="s">
        <v>82</v>
      </c>
      <c r="BA1254" s="2">
        <v>41</v>
      </c>
      <c r="BB1254" s="2" t="s">
        <v>82</v>
      </c>
      <c r="BC1254" s="2">
        <v>41</v>
      </c>
      <c r="BD1254" s="2" t="s">
        <v>82</v>
      </c>
      <c r="BE1254" s="2">
        <v>4</v>
      </c>
      <c r="BF1254" s="2" t="s">
        <v>90</v>
      </c>
      <c r="BG1254" s="2" t="s">
        <v>4700</v>
      </c>
      <c r="BH1254" s="4">
        <v>0.64583333333333337</v>
      </c>
      <c r="BI1254" s="2"/>
      <c r="BJ1254" s="2">
        <v>13</v>
      </c>
      <c r="BK1254" s="2" t="s">
        <v>91</v>
      </c>
      <c r="BL1254" s="2" t="s">
        <v>828</v>
      </c>
      <c r="BM1254" s="2">
        <v>241</v>
      </c>
      <c r="BN1254" s="2" t="s">
        <v>82</v>
      </c>
      <c r="BO1254" s="2" t="s">
        <v>82</v>
      </c>
      <c r="BP1254" s="2">
        <v>13</v>
      </c>
      <c r="BQ1254" s="2" t="s">
        <v>91</v>
      </c>
      <c r="BR1254" s="2" t="s">
        <v>170</v>
      </c>
      <c r="BS1254" s="3">
        <v>40266</v>
      </c>
      <c r="BT1254" s="4">
        <v>0.92436342592592602</v>
      </c>
    </row>
    <row r="1255" spans="1:72" x14ac:dyDescent="0.25">
      <c r="A1255" s="2">
        <v>1896</v>
      </c>
      <c r="B1255" s="2">
        <v>2010</v>
      </c>
      <c r="C1255" s="2" t="s">
        <v>2219</v>
      </c>
      <c r="D1255" s="2" t="s">
        <v>73</v>
      </c>
      <c r="E1255" s="2" t="s">
        <v>4693</v>
      </c>
      <c r="F1255" s="2">
        <v>175</v>
      </c>
      <c r="G1255" s="2" t="s">
        <v>4170</v>
      </c>
      <c r="H1255" s="2">
        <v>79</v>
      </c>
      <c r="I1255" s="2" t="s">
        <v>4171</v>
      </c>
      <c r="J1255" s="2">
        <v>455</v>
      </c>
      <c r="K1255" s="2" t="s">
        <v>3895</v>
      </c>
      <c r="L1255" s="2" t="s">
        <v>3134</v>
      </c>
      <c r="M1255" s="3">
        <v>40267</v>
      </c>
      <c r="N1255" s="2" t="s">
        <v>4672</v>
      </c>
      <c r="O1255" s="2" t="s">
        <v>82</v>
      </c>
      <c r="P1255" s="2" t="s">
        <v>82</v>
      </c>
      <c r="Q1255" s="2" t="str">
        <f>"133-A/10"</f>
        <v>133-A/10</v>
      </c>
      <c r="R1255" s="2" t="s">
        <v>4701</v>
      </c>
      <c r="S1255" s="2" t="s">
        <v>82</v>
      </c>
      <c r="T1255" s="2">
        <v>1</v>
      </c>
      <c r="U1255" s="2" t="s">
        <v>79</v>
      </c>
      <c r="V1255" s="2">
        <v>1</v>
      </c>
      <c r="W1255" s="2" t="s">
        <v>80</v>
      </c>
      <c r="X1255" s="2">
        <v>1</v>
      </c>
      <c r="Y1255" s="2" t="s">
        <v>81</v>
      </c>
      <c r="Z1255" s="2">
        <v>1</v>
      </c>
      <c r="AA1255" s="2" t="s">
        <v>82</v>
      </c>
      <c r="AB1255" s="2">
        <v>9</v>
      </c>
      <c r="AC1255" s="2" t="s">
        <v>124</v>
      </c>
      <c r="AD1255" s="3">
        <v>40266</v>
      </c>
      <c r="AE1255" s="2"/>
      <c r="AF1255" s="2"/>
      <c r="AG1255" s="2"/>
      <c r="AH1255" s="2">
        <v>2</v>
      </c>
      <c r="AI1255" s="2" t="s">
        <v>84</v>
      </c>
      <c r="AJ1255" s="2">
        <v>12</v>
      </c>
      <c r="AK1255" s="2" t="s">
        <v>85</v>
      </c>
      <c r="AL1255" s="2">
        <v>12</v>
      </c>
      <c r="AM1255" s="2" t="s">
        <v>86</v>
      </c>
      <c r="AN1255" s="2" t="s">
        <v>4674</v>
      </c>
      <c r="AO1255" s="2"/>
      <c r="AP1255" s="2">
        <v>11</v>
      </c>
      <c r="AQ1255" s="2" t="s">
        <v>82</v>
      </c>
      <c r="AR1255" s="2"/>
      <c r="AS1255" s="2"/>
      <c r="AT1255" s="2" t="s">
        <v>4702</v>
      </c>
      <c r="AU1255" s="2"/>
      <c r="AV1255" s="2"/>
      <c r="AW1255" s="2"/>
      <c r="AX1255" s="2"/>
      <c r="AY1255" s="2">
        <v>41</v>
      </c>
      <c r="AZ1255" s="2" t="s">
        <v>82</v>
      </c>
      <c r="BA1255" s="2">
        <v>41</v>
      </c>
      <c r="BB1255" s="2" t="s">
        <v>82</v>
      </c>
      <c r="BC1255" s="2">
        <v>41</v>
      </c>
      <c r="BD1255" s="2" t="s">
        <v>82</v>
      </c>
      <c r="BE1255" s="2">
        <v>41</v>
      </c>
      <c r="BF1255" s="2" t="s">
        <v>82</v>
      </c>
      <c r="BG1255" s="2"/>
      <c r="BH1255" s="2"/>
      <c r="BI1255" s="2"/>
      <c r="BJ1255" s="2">
        <v>241</v>
      </c>
      <c r="BK1255" s="2" t="s">
        <v>82</v>
      </c>
      <c r="BL1255" s="2"/>
      <c r="BM1255" s="2">
        <v>241</v>
      </c>
      <c r="BN1255" s="2" t="s">
        <v>82</v>
      </c>
      <c r="BO1255" s="2"/>
      <c r="BP1255" s="2">
        <v>241</v>
      </c>
      <c r="BQ1255" s="2" t="s">
        <v>82</v>
      </c>
      <c r="BR1255" s="2"/>
      <c r="BS1255" s="3">
        <v>40267</v>
      </c>
      <c r="BT1255" s="4">
        <v>3.2314814814814817E-2</v>
      </c>
    </row>
    <row r="1256" spans="1:72" x14ac:dyDescent="0.25">
      <c r="A1256" s="2">
        <v>1897</v>
      </c>
      <c r="B1256" s="2">
        <v>2010</v>
      </c>
      <c r="C1256" s="2" t="s">
        <v>72</v>
      </c>
      <c r="D1256" s="2" t="s">
        <v>73</v>
      </c>
      <c r="E1256" s="2"/>
      <c r="F1256" s="2">
        <v>573</v>
      </c>
      <c r="G1256" s="2" t="s">
        <v>4703</v>
      </c>
      <c r="H1256" s="2">
        <v>86</v>
      </c>
      <c r="I1256" s="2" t="s">
        <v>4704</v>
      </c>
      <c r="J1256" s="2">
        <v>221</v>
      </c>
      <c r="K1256" s="2" t="s">
        <v>4705</v>
      </c>
      <c r="L1256" s="2" t="s">
        <v>4706</v>
      </c>
      <c r="M1256" s="3">
        <v>40267</v>
      </c>
      <c r="N1256" s="2" t="s">
        <v>4707</v>
      </c>
      <c r="O1256" s="2" t="s">
        <v>4708</v>
      </c>
      <c r="P1256" s="2" t="s">
        <v>4709</v>
      </c>
      <c r="Q1256" s="2" t="str">
        <f>""</f>
        <v/>
      </c>
      <c r="R1256" s="2"/>
      <c r="S1256" s="2"/>
      <c r="T1256" s="2">
        <v>1</v>
      </c>
      <c r="U1256" s="2" t="s">
        <v>79</v>
      </c>
      <c r="V1256" s="2">
        <v>1</v>
      </c>
      <c r="W1256" s="2" t="s">
        <v>80</v>
      </c>
      <c r="X1256" s="2">
        <v>8</v>
      </c>
      <c r="Y1256" s="2" t="s">
        <v>375</v>
      </c>
      <c r="Z1256" s="2">
        <v>1</v>
      </c>
      <c r="AA1256" s="2" t="s">
        <v>82</v>
      </c>
      <c r="AB1256" s="2">
        <v>6</v>
      </c>
      <c r="AC1256" s="2" t="s">
        <v>83</v>
      </c>
      <c r="AD1256" s="3">
        <v>40266</v>
      </c>
      <c r="AE1256" s="4">
        <v>0.625</v>
      </c>
      <c r="AF1256" s="2"/>
      <c r="AG1256" s="2"/>
      <c r="AH1256" s="2">
        <v>2</v>
      </c>
      <c r="AI1256" s="2" t="s">
        <v>84</v>
      </c>
      <c r="AJ1256" s="2">
        <v>6</v>
      </c>
      <c r="AK1256" s="2" t="s">
        <v>453</v>
      </c>
      <c r="AL1256" s="2">
        <v>23</v>
      </c>
      <c r="AM1256" s="2" t="s">
        <v>251</v>
      </c>
      <c r="AN1256" s="2" t="s">
        <v>4710</v>
      </c>
      <c r="AO1256" s="2" t="s">
        <v>4711</v>
      </c>
      <c r="AP1256" s="2">
        <v>11</v>
      </c>
      <c r="AQ1256" s="2" t="s">
        <v>82</v>
      </c>
      <c r="AR1256" s="2"/>
      <c r="AS1256" s="2"/>
      <c r="AT1256" s="2" t="s">
        <v>4712</v>
      </c>
      <c r="AU1256" s="2"/>
      <c r="AV1256" s="2"/>
      <c r="AW1256" s="2"/>
      <c r="AX1256" s="2"/>
      <c r="AY1256" s="2">
        <v>42</v>
      </c>
      <c r="AZ1256" s="2" t="s">
        <v>182</v>
      </c>
      <c r="BA1256" s="2">
        <v>70</v>
      </c>
      <c r="BB1256" s="2" t="s">
        <v>236</v>
      </c>
      <c r="BC1256" s="2">
        <v>70</v>
      </c>
      <c r="BD1256" s="2" t="s">
        <v>236</v>
      </c>
      <c r="BE1256" s="2">
        <v>41</v>
      </c>
      <c r="BF1256" s="2" t="s">
        <v>82</v>
      </c>
      <c r="BG1256" s="2"/>
      <c r="BH1256" s="2"/>
      <c r="BI1256" s="2"/>
      <c r="BJ1256" s="2">
        <v>241</v>
      </c>
      <c r="BK1256" s="2" t="s">
        <v>82</v>
      </c>
      <c r="BL1256" s="2"/>
      <c r="BM1256" s="2">
        <v>241</v>
      </c>
      <c r="BN1256" s="2" t="s">
        <v>82</v>
      </c>
      <c r="BO1256" s="2"/>
      <c r="BP1256" s="2">
        <v>241</v>
      </c>
      <c r="BQ1256" s="2" t="s">
        <v>82</v>
      </c>
      <c r="BR1256" s="2"/>
      <c r="BS1256" s="3">
        <v>40267</v>
      </c>
      <c r="BT1256" s="4">
        <v>0.21335648148148148</v>
      </c>
    </row>
    <row r="1257" spans="1:72" x14ac:dyDescent="0.25">
      <c r="A1257" s="2">
        <v>1898</v>
      </c>
      <c r="B1257" s="2">
        <v>2010</v>
      </c>
      <c r="C1257" s="2" t="s">
        <v>72</v>
      </c>
      <c r="D1257" s="2" t="s">
        <v>73</v>
      </c>
      <c r="E1257" s="2"/>
      <c r="F1257" s="2">
        <v>390</v>
      </c>
      <c r="G1257" s="2" t="s">
        <v>475</v>
      </c>
      <c r="H1257" s="2">
        <v>5</v>
      </c>
      <c r="I1257" s="2" t="s">
        <v>634</v>
      </c>
      <c r="J1257" s="2">
        <v>314</v>
      </c>
      <c r="K1257" s="2" t="s">
        <v>477</v>
      </c>
      <c r="L1257" s="2" t="s">
        <v>478</v>
      </c>
      <c r="M1257" s="3">
        <v>40267</v>
      </c>
      <c r="N1257" s="2" t="s">
        <v>3103</v>
      </c>
      <c r="O1257" s="2" t="s">
        <v>107</v>
      </c>
      <c r="P1257" s="2" t="s">
        <v>107</v>
      </c>
      <c r="Q1257" s="2" t="str">
        <f>"171-E/10"</f>
        <v>171-E/10</v>
      </c>
      <c r="R1257" s="2" t="s">
        <v>480</v>
      </c>
      <c r="S1257" s="2" t="s">
        <v>480</v>
      </c>
      <c r="T1257" s="2">
        <v>1</v>
      </c>
      <c r="U1257" s="2" t="s">
        <v>79</v>
      </c>
      <c r="V1257" s="2">
        <v>1</v>
      </c>
      <c r="W1257" s="2" t="s">
        <v>80</v>
      </c>
      <c r="X1257" s="2">
        <v>5</v>
      </c>
      <c r="Y1257" s="2" t="s">
        <v>82</v>
      </c>
      <c r="Z1257" s="2">
        <v>1</v>
      </c>
      <c r="AA1257" s="2" t="s">
        <v>82</v>
      </c>
      <c r="AB1257" s="2">
        <v>6</v>
      </c>
      <c r="AC1257" s="2" t="s">
        <v>83</v>
      </c>
      <c r="AD1257" s="3">
        <v>40264</v>
      </c>
      <c r="AE1257" s="4">
        <v>8.1944444444444445E-2</v>
      </c>
      <c r="AF1257" s="2"/>
      <c r="AG1257" s="2"/>
      <c r="AH1257" s="2">
        <v>2</v>
      </c>
      <c r="AI1257" s="2" t="s">
        <v>84</v>
      </c>
      <c r="AJ1257" s="2">
        <v>9</v>
      </c>
      <c r="AK1257" s="2" t="s">
        <v>103</v>
      </c>
      <c r="AL1257" s="2">
        <v>10</v>
      </c>
      <c r="AM1257" s="2" t="s">
        <v>200</v>
      </c>
      <c r="AN1257" s="2" t="s">
        <v>1853</v>
      </c>
      <c r="AO1257" s="2" t="s">
        <v>4713</v>
      </c>
      <c r="AP1257" s="2">
        <v>11</v>
      </c>
      <c r="AQ1257" s="2" t="s">
        <v>82</v>
      </c>
      <c r="AR1257" s="2"/>
      <c r="AS1257" s="2"/>
      <c r="AT1257" s="2" t="s">
        <v>4714</v>
      </c>
      <c r="AU1257" s="2"/>
      <c r="AV1257" s="2"/>
      <c r="AW1257" s="2"/>
      <c r="AX1257" s="2"/>
      <c r="AY1257" s="2">
        <v>41</v>
      </c>
      <c r="AZ1257" s="2" t="s">
        <v>82</v>
      </c>
      <c r="BA1257" s="2">
        <v>41</v>
      </c>
      <c r="BB1257" s="2" t="s">
        <v>82</v>
      </c>
      <c r="BC1257" s="2">
        <v>41</v>
      </c>
      <c r="BD1257" s="2" t="s">
        <v>82</v>
      </c>
      <c r="BE1257" s="2">
        <v>39</v>
      </c>
      <c r="BF1257" s="2" t="s">
        <v>440</v>
      </c>
      <c r="BG1257" s="2" t="s">
        <v>4715</v>
      </c>
      <c r="BH1257" s="4">
        <v>8.1944444444444445E-2</v>
      </c>
      <c r="BI1257" s="2"/>
      <c r="BJ1257" s="2">
        <v>75</v>
      </c>
      <c r="BK1257" s="2" t="s">
        <v>1264</v>
      </c>
      <c r="BL1257" s="2" t="s">
        <v>1361</v>
      </c>
      <c r="BM1257" s="2">
        <v>33</v>
      </c>
      <c r="BN1257" s="2" t="s">
        <v>361</v>
      </c>
      <c r="BO1257" s="2" t="s">
        <v>1739</v>
      </c>
      <c r="BP1257" s="2">
        <v>13</v>
      </c>
      <c r="BQ1257" s="2" t="s">
        <v>91</v>
      </c>
      <c r="BR1257" s="2" t="s">
        <v>360</v>
      </c>
      <c r="BS1257" s="3">
        <v>40267</v>
      </c>
      <c r="BT1257" s="4">
        <v>0.44283564814814813</v>
      </c>
    </row>
    <row r="1258" spans="1:72" x14ac:dyDescent="0.25">
      <c r="A1258" s="2">
        <v>1901</v>
      </c>
      <c r="B1258" s="2">
        <v>2010</v>
      </c>
      <c r="C1258" s="2" t="s">
        <v>171</v>
      </c>
      <c r="D1258" s="2" t="s">
        <v>122</v>
      </c>
      <c r="E1258" s="2" t="s">
        <v>4716</v>
      </c>
      <c r="F1258" s="2">
        <v>425</v>
      </c>
      <c r="G1258" s="2" t="s">
        <v>286</v>
      </c>
      <c r="H1258" s="2">
        <v>24</v>
      </c>
      <c r="I1258" s="2" t="s">
        <v>287</v>
      </c>
      <c r="J1258" s="2">
        <v>310</v>
      </c>
      <c r="K1258" s="2" t="s">
        <v>288</v>
      </c>
      <c r="L1258" s="2" t="s">
        <v>289</v>
      </c>
      <c r="M1258" s="3">
        <v>40267</v>
      </c>
      <c r="N1258" s="2" t="s">
        <v>290</v>
      </c>
      <c r="O1258" s="2" t="s">
        <v>291</v>
      </c>
      <c r="P1258" s="2" t="s">
        <v>292</v>
      </c>
      <c r="Q1258" s="2" t="str">
        <f>""</f>
        <v/>
      </c>
      <c r="R1258" s="2"/>
      <c r="S1258" s="2"/>
      <c r="T1258" s="2">
        <v>1</v>
      </c>
      <c r="U1258" s="2" t="s">
        <v>79</v>
      </c>
      <c r="V1258" s="2">
        <v>3</v>
      </c>
      <c r="W1258" s="2" t="s">
        <v>225</v>
      </c>
      <c r="X1258" s="2">
        <v>6</v>
      </c>
      <c r="Y1258" s="2" t="s">
        <v>249</v>
      </c>
      <c r="Z1258" s="2">
        <v>1</v>
      </c>
      <c r="AA1258" s="2" t="s">
        <v>82</v>
      </c>
      <c r="AB1258" s="2">
        <v>9</v>
      </c>
      <c r="AC1258" s="2" t="s">
        <v>124</v>
      </c>
      <c r="AD1258" s="2"/>
      <c r="AE1258" s="2"/>
      <c r="AF1258" s="2"/>
      <c r="AG1258" s="2"/>
      <c r="AH1258" s="2">
        <v>4</v>
      </c>
      <c r="AI1258" s="2" t="s">
        <v>125</v>
      </c>
      <c r="AJ1258" s="2">
        <v>26</v>
      </c>
      <c r="AK1258" s="2" t="s">
        <v>293</v>
      </c>
      <c r="AL1258" s="2">
        <v>19</v>
      </c>
      <c r="AM1258" s="2" t="s">
        <v>107</v>
      </c>
      <c r="AN1258" s="2"/>
      <c r="AO1258" s="2"/>
      <c r="AP1258" s="2">
        <v>11</v>
      </c>
      <c r="AQ1258" s="2" t="s">
        <v>82</v>
      </c>
      <c r="AR1258" s="2"/>
      <c r="AS1258" s="2"/>
      <c r="AT1258" s="2" t="s">
        <v>4717</v>
      </c>
      <c r="AU1258" s="2"/>
      <c r="AV1258" s="2"/>
      <c r="AW1258" s="2"/>
      <c r="AX1258" s="2"/>
      <c r="AY1258" s="2">
        <v>1</v>
      </c>
      <c r="AZ1258" s="2" t="s">
        <v>107</v>
      </c>
      <c r="BA1258" s="2">
        <v>1</v>
      </c>
      <c r="BB1258" s="2" t="s">
        <v>107</v>
      </c>
      <c r="BC1258" s="2">
        <v>1</v>
      </c>
      <c r="BD1258" s="2" t="s">
        <v>107</v>
      </c>
      <c r="BE1258" s="2">
        <v>1</v>
      </c>
      <c r="BF1258" s="2" t="s">
        <v>107</v>
      </c>
      <c r="BG1258" s="2"/>
      <c r="BH1258" s="2"/>
      <c r="BI1258" s="2"/>
      <c r="BJ1258" s="2">
        <v>242</v>
      </c>
      <c r="BK1258" s="2" t="s">
        <v>107</v>
      </c>
      <c r="BL1258" s="2"/>
      <c r="BM1258" s="2">
        <v>242</v>
      </c>
      <c r="BN1258" s="2" t="s">
        <v>107</v>
      </c>
      <c r="BO1258" s="2"/>
      <c r="BP1258" s="2">
        <v>242</v>
      </c>
      <c r="BQ1258" s="2" t="s">
        <v>107</v>
      </c>
      <c r="BR1258" s="2"/>
      <c r="BS1258" s="3">
        <v>40267</v>
      </c>
      <c r="BT1258" s="4">
        <v>0.58769675925925924</v>
      </c>
    </row>
    <row r="1259" spans="1:72" x14ac:dyDescent="0.25">
      <c r="A1259" s="2">
        <v>1902</v>
      </c>
      <c r="B1259" s="2">
        <v>2010</v>
      </c>
      <c r="C1259" s="2" t="s">
        <v>171</v>
      </c>
      <c r="D1259" s="2" t="s">
        <v>73</v>
      </c>
      <c r="E1259" s="2"/>
      <c r="F1259" s="2">
        <v>425</v>
      </c>
      <c r="G1259" s="2" t="s">
        <v>286</v>
      </c>
      <c r="H1259" s="2">
        <v>30</v>
      </c>
      <c r="I1259" s="2" t="s">
        <v>912</v>
      </c>
      <c r="J1259" s="2">
        <v>310</v>
      </c>
      <c r="K1259" s="2" t="s">
        <v>288</v>
      </c>
      <c r="L1259" s="2" t="s">
        <v>289</v>
      </c>
      <c r="M1259" s="3">
        <v>40267</v>
      </c>
      <c r="N1259" s="2" t="s">
        <v>1917</v>
      </c>
      <c r="O1259" s="2" t="s">
        <v>4718</v>
      </c>
      <c r="P1259" s="2" t="s">
        <v>4719</v>
      </c>
      <c r="Q1259" s="2" t="str">
        <f>"84"</f>
        <v>84</v>
      </c>
      <c r="R1259" s="2"/>
      <c r="S1259" s="2"/>
      <c r="T1259" s="2">
        <v>1</v>
      </c>
      <c r="U1259" s="2" t="s">
        <v>79</v>
      </c>
      <c r="V1259" s="2">
        <v>3</v>
      </c>
      <c r="W1259" s="2" t="s">
        <v>225</v>
      </c>
      <c r="X1259" s="2">
        <v>6</v>
      </c>
      <c r="Y1259" s="2" t="s">
        <v>249</v>
      </c>
      <c r="Z1259" s="2">
        <v>1</v>
      </c>
      <c r="AA1259" s="2" t="s">
        <v>82</v>
      </c>
      <c r="AB1259" s="2">
        <v>9</v>
      </c>
      <c r="AC1259" s="2" t="s">
        <v>124</v>
      </c>
      <c r="AD1259" s="2"/>
      <c r="AE1259" s="2"/>
      <c r="AF1259" s="2"/>
      <c r="AG1259" s="2"/>
      <c r="AH1259" s="2">
        <v>4</v>
      </c>
      <c r="AI1259" s="2" t="s">
        <v>125</v>
      </c>
      <c r="AJ1259" s="2">
        <v>26</v>
      </c>
      <c r="AK1259" s="2" t="s">
        <v>293</v>
      </c>
      <c r="AL1259" s="2">
        <v>23</v>
      </c>
      <c r="AM1259" s="2" t="s">
        <v>251</v>
      </c>
      <c r="AN1259" s="2"/>
      <c r="AO1259" s="2"/>
      <c r="AP1259" s="2">
        <v>11</v>
      </c>
      <c r="AQ1259" s="2" t="s">
        <v>82</v>
      </c>
      <c r="AR1259" s="2"/>
      <c r="AS1259" s="2"/>
      <c r="AT1259" s="2" t="s">
        <v>4720</v>
      </c>
      <c r="AU1259" s="2"/>
      <c r="AV1259" s="2"/>
      <c r="AW1259" s="2"/>
      <c r="AX1259" s="2"/>
      <c r="AY1259" s="2">
        <v>1</v>
      </c>
      <c r="AZ1259" s="2" t="s">
        <v>107</v>
      </c>
      <c r="BA1259" s="2">
        <v>1</v>
      </c>
      <c r="BB1259" s="2" t="s">
        <v>107</v>
      </c>
      <c r="BC1259" s="2">
        <v>1</v>
      </c>
      <c r="BD1259" s="2" t="s">
        <v>107</v>
      </c>
      <c r="BE1259" s="2">
        <v>1</v>
      </c>
      <c r="BF1259" s="2" t="s">
        <v>107</v>
      </c>
      <c r="BG1259" s="2"/>
      <c r="BH1259" s="2"/>
      <c r="BI1259" s="2"/>
      <c r="BJ1259" s="2">
        <v>242</v>
      </c>
      <c r="BK1259" s="2" t="s">
        <v>107</v>
      </c>
      <c r="BL1259" s="2"/>
      <c r="BM1259" s="2">
        <v>242</v>
      </c>
      <c r="BN1259" s="2" t="s">
        <v>107</v>
      </c>
      <c r="BO1259" s="2"/>
      <c r="BP1259" s="2">
        <v>242</v>
      </c>
      <c r="BQ1259" s="2" t="s">
        <v>107</v>
      </c>
      <c r="BR1259" s="2"/>
      <c r="BS1259" s="3">
        <v>40267</v>
      </c>
      <c r="BT1259" s="4">
        <v>0.61021990740740739</v>
      </c>
    </row>
    <row r="1260" spans="1:72" x14ac:dyDescent="0.25">
      <c r="A1260" s="2">
        <v>1904</v>
      </c>
      <c r="B1260" s="2">
        <v>2010</v>
      </c>
      <c r="C1260" s="2" t="s">
        <v>642</v>
      </c>
      <c r="D1260" s="2" t="s">
        <v>122</v>
      </c>
      <c r="E1260" s="2" t="s">
        <v>3933</v>
      </c>
      <c r="F1260" s="2">
        <v>100</v>
      </c>
      <c r="G1260" s="2" t="s">
        <v>517</v>
      </c>
      <c r="H1260" s="2">
        <v>47</v>
      </c>
      <c r="I1260" s="2" t="s">
        <v>1409</v>
      </c>
      <c r="J1260" s="2">
        <v>119</v>
      </c>
      <c r="K1260" s="2" t="s">
        <v>325</v>
      </c>
      <c r="L1260" s="2" t="s">
        <v>326</v>
      </c>
      <c r="M1260" s="3">
        <v>40267</v>
      </c>
      <c r="N1260" s="2" t="s">
        <v>3905</v>
      </c>
      <c r="O1260" s="2" t="s">
        <v>3906</v>
      </c>
      <c r="P1260" s="2" t="s">
        <v>519</v>
      </c>
      <c r="Q1260" s="2" t="str">
        <f>""</f>
        <v/>
      </c>
      <c r="R1260" s="2"/>
      <c r="S1260" s="2"/>
      <c r="T1260" s="2">
        <v>1</v>
      </c>
      <c r="U1260" s="2" t="s">
        <v>79</v>
      </c>
      <c r="V1260" s="2">
        <v>3</v>
      </c>
      <c r="W1260" s="2" t="s">
        <v>225</v>
      </c>
      <c r="X1260" s="2">
        <v>5</v>
      </c>
      <c r="Y1260" s="2" t="s">
        <v>82</v>
      </c>
      <c r="Z1260" s="2">
        <v>1</v>
      </c>
      <c r="AA1260" s="2" t="s">
        <v>82</v>
      </c>
      <c r="AB1260" s="2">
        <v>9</v>
      </c>
      <c r="AC1260" s="2" t="s">
        <v>124</v>
      </c>
      <c r="AD1260" s="2"/>
      <c r="AE1260" s="2"/>
      <c r="AF1260" s="2"/>
      <c r="AG1260" s="2"/>
      <c r="AH1260" s="2">
        <v>4</v>
      </c>
      <c r="AI1260" s="2" t="s">
        <v>125</v>
      </c>
      <c r="AJ1260" s="2">
        <v>26</v>
      </c>
      <c r="AK1260" s="2" t="s">
        <v>293</v>
      </c>
      <c r="AL1260" s="2">
        <v>18</v>
      </c>
      <c r="AM1260" s="2" t="s">
        <v>82</v>
      </c>
      <c r="AN1260" s="2"/>
      <c r="AO1260" s="2"/>
      <c r="AP1260" s="2">
        <v>11</v>
      </c>
      <c r="AQ1260" s="2" t="s">
        <v>82</v>
      </c>
      <c r="AR1260" s="2"/>
      <c r="AS1260" s="2"/>
      <c r="AT1260" s="2" t="s">
        <v>4721</v>
      </c>
      <c r="AU1260" s="2"/>
      <c r="AV1260" s="2"/>
      <c r="AW1260" s="2"/>
      <c r="AX1260" s="2"/>
      <c r="AY1260" s="2">
        <v>1</v>
      </c>
      <c r="AZ1260" s="2" t="s">
        <v>107</v>
      </c>
      <c r="BA1260" s="2">
        <v>1</v>
      </c>
      <c r="BB1260" s="2" t="s">
        <v>107</v>
      </c>
      <c r="BC1260" s="2">
        <v>1</v>
      </c>
      <c r="BD1260" s="2" t="s">
        <v>107</v>
      </c>
      <c r="BE1260" s="2">
        <v>1</v>
      </c>
      <c r="BF1260" s="2" t="s">
        <v>107</v>
      </c>
      <c r="BG1260" s="2"/>
      <c r="BH1260" s="2"/>
      <c r="BI1260" s="2"/>
      <c r="BJ1260" s="2">
        <v>242</v>
      </c>
      <c r="BK1260" s="2" t="s">
        <v>107</v>
      </c>
      <c r="BL1260" s="2"/>
      <c r="BM1260" s="2">
        <v>242</v>
      </c>
      <c r="BN1260" s="2" t="s">
        <v>107</v>
      </c>
      <c r="BO1260" s="2"/>
      <c r="BP1260" s="2">
        <v>242</v>
      </c>
      <c r="BQ1260" s="2" t="s">
        <v>107</v>
      </c>
      <c r="BR1260" s="2"/>
      <c r="BS1260" s="3">
        <v>40267</v>
      </c>
      <c r="BT1260" s="4">
        <v>0.69490740740740742</v>
      </c>
    </row>
    <row r="1261" spans="1:72" x14ac:dyDescent="0.25">
      <c r="A1261" s="2">
        <v>1907</v>
      </c>
      <c r="B1261" s="2">
        <v>2010</v>
      </c>
      <c r="C1261" s="2" t="s">
        <v>255</v>
      </c>
      <c r="D1261" s="2" t="s">
        <v>122</v>
      </c>
      <c r="E1261" s="2" t="s">
        <v>4722</v>
      </c>
      <c r="F1261" s="2">
        <v>279</v>
      </c>
      <c r="G1261" s="2" t="s">
        <v>4464</v>
      </c>
      <c r="H1261" s="2">
        <v>42</v>
      </c>
      <c r="I1261" s="2" t="s">
        <v>1096</v>
      </c>
      <c r="J1261" s="2">
        <v>284</v>
      </c>
      <c r="K1261" s="2" t="s">
        <v>4465</v>
      </c>
      <c r="L1261" s="2" t="s">
        <v>4466</v>
      </c>
      <c r="M1261" s="3">
        <v>40267</v>
      </c>
      <c r="N1261" s="2" t="s">
        <v>4467</v>
      </c>
      <c r="O1261" s="2" t="s">
        <v>947</v>
      </c>
      <c r="P1261" s="2"/>
      <c r="Q1261" s="2" t="str">
        <f>"0001/2010"</f>
        <v>0001/2010</v>
      </c>
      <c r="R1261" s="2"/>
      <c r="S1261" s="2" t="s">
        <v>947</v>
      </c>
      <c r="T1261" s="2">
        <v>1</v>
      </c>
      <c r="U1261" s="2" t="s">
        <v>79</v>
      </c>
      <c r="V1261" s="2">
        <v>1</v>
      </c>
      <c r="W1261" s="2" t="s">
        <v>80</v>
      </c>
      <c r="X1261" s="2">
        <v>5</v>
      </c>
      <c r="Y1261" s="2" t="s">
        <v>82</v>
      </c>
      <c r="Z1261" s="2">
        <v>10</v>
      </c>
      <c r="AA1261" s="2" t="s">
        <v>236</v>
      </c>
      <c r="AB1261" s="2">
        <v>9</v>
      </c>
      <c r="AC1261" s="2" t="s">
        <v>124</v>
      </c>
      <c r="AD1261" s="3">
        <v>40262</v>
      </c>
      <c r="AE1261" s="4">
        <v>0.88541666666666663</v>
      </c>
      <c r="AF1261" s="2"/>
      <c r="AG1261" s="2"/>
      <c r="AH1261" s="2">
        <v>3</v>
      </c>
      <c r="AI1261" s="2" t="s">
        <v>214</v>
      </c>
      <c r="AJ1261" s="2">
        <v>18</v>
      </c>
      <c r="AK1261" s="2" t="s">
        <v>4469</v>
      </c>
      <c r="AL1261" s="2">
        <v>9</v>
      </c>
      <c r="AM1261" s="2" t="s">
        <v>259</v>
      </c>
      <c r="AN1261" s="2" t="s">
        <v>4470</v>
      </c>
      <c r="AO1261" s="2" t="s">
        <v>4471</v>
      </c>
      <c r="AP1261" s="2">
        <v>11</v>
      </c>
      <c r="AQ1261" s="2" t="s">
        <v>82</v>
      </c>
      <c r="AR1261" s="2"/>
      <c r="AS1261" s="2"/>
      <c r="AT1261" s="2" t="s">
        <v>4723</v>
      </c>
      <c r="AU1261" s="2"/>
      <c r="AV1261" s="2"/>
      <c r="AW1261" s="2"/>
      <c r="AX1261" s="2"/>
      <c r="AY1261" s="2">
        <v>70</v>
      </c>
      <c r="AZ1261" s="2" t="s">
        <v>236</v>
      </c>
      <c r="BA1261" s="2">
        <v>70</v>
      </c>
      <c r="BB1261" s="2" t="s">
        <v>236</v>
      </c>
      <c r="BC1261" s="2">
        <v>41</v>
      </c>
      <c r="BD1261" s="2" t="s">
        <v>82</v>
      </c>
      <c r="BE1261" s="2">
        <v>45</v>
      </c>
      <c r="BF1261" s="2" t="s">
        <v>1855</v>
      </c>
      <c r="BG1261" s="2"/>
      <c r="BH1261" s="4">
        <v>0.88888888888888884</v>
      </c>
      <c r="BI1261" s="4">
        <v>0.83333333333333337</v>
      </c>
      <c r="BJ1261" s="2">
        <v>13</v>
      </c>
      <c r="BK1261" s="2" t="s">
        <v>91</v>
      </c>
      <c r="BL1261" s="2" t="s">
        <v>185</v>
      </c>
      <c r="BM1261" s="2">
        <v>13</v>
      </c>
      <c r="BN1261" s="2" t="s">
        <v>91</v>
      </c>
      <c r="BO1261" s="2"/>
      <c r="BP1261" s="2">
        <v>13</v>
      </c>
      <c r="BQ1261" s="2" t="s">
        <v>91</v>
      </c>
      <c r="BR1261" s="2" t="s">
        <v>2548</v>
      </c>
      <c r="BS1261" s="3">
        <v>40267</v>
      </c>
      <c r="BT1261" s="4">
        <v>0.70864583333333331</v>
      </c>
    </row>
    <row r="1262" spans="1:72" x14ac:dyDescent="0.25">
      <c r="A1262" s="2">
        <v>1909</v>
      </c>
      <c r="B1262" s="2">
        <v>2010</v>
      </c>
      <c r="C1262" s="2" t="s">
        <v>121</v>
      </c>
      <c r="D1262" s="2" t="s">
        <v>122</v>
      </c>
      <c r="E1262" s="2"/>
      <c r="F1262" s="2">
        <v>1</v>
      </c>
      <c r="G1262" s="2" t="s">
        <v>82</v>
      </c>
      <c r="H1262" s="2">
        <v>1</v>
      </c>
      <c r="I1262" s="2" t="s">
        <v>82</v>
      </c>
      <c r="J1262" s="2">
        <v>1</v>
      </c>
      <c r="K1262" s="2" t="s">
        <v>107</v>
      </c>
      <c r="L1262" s="2" t="s">
        <v>107</v>
      </c>
      <c r="M1262" s="3">
        <v>40267</v>
      </c>
      <c r="N1262" s="2"/>
      <c r="O1262" s="2"/>
      <c r="P1262" s="2"/>
      <c r="Q1262" s="2" t="str">
        <f>""</f>
        <v/>
      </c>
      <c r="R1262" s="2"/>
      <c r="S1262" s="2"/>
      <c r="T1262" s="2">
        <v>2</v>
      </c>
      <c r="U1262" s="2" t="s">
        <v>123</v>
      </c>
      <c r="V1262" s="2">
        <v>1</v>
      </c>
      <c r="W1262" s="2" t="s">
        <v>80</v>
      </c>
      <c r="X1262" s="2">
        <v>5</v>
      </c>
      <c r="Y1262" s="2" t="s">
        <v>82</v>
      </c>
      <c r="Z1262" s="2">
        <v>1</v>
      </c>
      <c r="AA1262" s="2" t="s">
        <v>82</v>
      </c>
      <c r="AB1262" s="2">
        <v>9</v>
      </c>
      <c r="AC1262" s="2" t="s">
        <v>124</v>
      </c>
      <c r="AD1262" s="3">
        <v>40267</v>
      </c>
      <c r="AE1262" s="4">
        <v>0.60069444444444442</v>
      </c>
      <c r="AF1262" s="2"/>
      <c r="AG1262" s="2"/>
      <c r="AH1262" s="2">
        <v>4</v>
      </c>
      <c r="AI1262" s="2" t="s">
        <v>125</v>
      </c>
      <c r="AJ1262" s="2">
        <v>31</v>
      </c>
      <c r="AK1262" s="2" t="s">
        <v>1413</v>
      </c>
      <c r="AL1262" s="2">
        <v>18</v>
      </c>
      <c r="AM1262" s="2" t="s">
        <v>82</v>
      </c>
      <c r="AN1262" s="2"/>
      <c r="AO1262" s="2" t="s">
        <v>230</v>
      </c>
      <c r="AP1262" s="2">
        <v>11</v>
      </c>
      <c r="AQ1262" s="2" t="s">
        <v>82</v>
      </c>
      <c r="AR1262" s="2"/>
      <c r="AS1262" s="2"/>
      <c r="AT1262" s="2" t="s">
        <v>4724</v>
      </c>
      <c r="AU1262" s="2"/>
      <c r="AV1262" s="2"/>
      <c r="AW1262" s="2"/>
      <c r="AX1262" s="2"/>
      <c r="AY1262" s="2">
        <v>1</v>
      </c>
      <c r="AZ1262" s="2" t="s">
        <v>107</v>
      </c>
      <c r="BA1262" s="2">
        <v>1</v>
      </c>
      <c r="BB1262" s="2" t="s">
        <v>107</v>
      </c>
      <c r="BC1262" s="2">
        <v>1</v>
      </c>
      <c r="BD1262" s="2" t="s">
        <v>107</v>
      </c>
      <c r="BE1262" s="2">
        <v>1</v>
      </c>
      <c r="BF1262" s="2" t="s">
        <v>107</v>
      </c>
      <c r="BG1262" s="2"/>
      <c r="BH1262" s="4">
        <v>0.60069444444444442</v>
      </c>
      <c r="BI1262" s="2"/>
      <c r="BJ1262" s="2">
        <v>242</v>
      </c>
      <c r="BK1262" s="2" t="s">
        <v>107</v>
      </c>
      <c r="BL1262" s="2" t="s">
        <v>185</v>
      </c>
      <c r="BM1262" s="2">
        <v>242</v>
      </c>
      <c r="BN1262" s="2" t="s">
        <v>107</v>
      </c>
      <c r="BO1262" s="2"/>
      <c r="BP1262" s="2">
        <v>242</v>
      </c>
      <c r="BQ1262" s="2" t="s">
        <v>107</v>
      </c>
      <c r="BR1262" s="2" t="s">
        <v>4725</v>
      </c>
      <c r="BS1262" s="3">
        <v>40267</v>
      </c>
      <c r="BT1262" s="4">
        <v>0.72459490740740751</v>
      </c>
    </row>
    <row r="1263" spans="1:72" x14ac:dyDescent="0.25">
      <c r="A1263" s="2">
        <v>1911</v>
      </c>
      <c r="B1263" s="2">
        <v>2010</v>
      </c>
      <c r="C1263" s="2" t="s">
        <v>171</v>
      </c>
      <c r="D1263" s="2" t="s">
        <v>73</v>
      </c>
      <c r="E1263" s="2"/>
      <c r="F1263" s="2">
        <v>338</v>
      </c>
      <c r="G1263" s="2" t="s">
        <v>4459</v>
      </c>
      <c r="H1263" s="2">
        <v>2</v>
      </c>
      <c r="I1263" s="2" t="s">
        <v>267</v>
      </c>
      <c r="J1263" s="2">
        <v>309</v>
      </c>
      <c r="K1263" s="2" t="s">
        <v>268</v>
      </c>
      <c r="L1263" s="2" t="s">
        <v>269</v>
      </c>
      <c r="M1263" s="3">
        <v>40267</v>
      </c>
      <c r="N1263" s="2" t="s">
        <v>4726</v>
      </c>
      <c r="O1263" s="2" t="s">
        <v>4727</v>
      </c>
      <c r="P1263" s="2" t="s">
        <v>4422</v>
      </c>
      <c r="Q1263" s="2" t="str">
        <f>"155/10"</f>
        <v>155/10</v>
      </c>
      <c r="R1263" s="2"/>
      <c r="S1263" s="2" t="s">
        <v>4728</v>
      </c>
      <c r="T1263" s="2">
        <v>1</v>
      </c>
      <c r="U1263" s="2" t="s">
        <v>79</v>
      </c>
      <c r="V1263" s="2">
        <v>3</v>
      </c>
      <c r="W1263" s="2" t="s">
        <v>225</v>
      </c>
      <c r="X1263" s="2">
        <v>6</v>
      </c>
      <c r="Y1263" s="2" t="s">
        <v>249</v>
      </c>
      <c r="Z1263" s="2">
        <v>1</v>
      </c>
      <c r="AA1263" s="2" t="s">
        <v>82</v>
      </c>
      <c r="AB1263" s="2">
        <v>9</v>
      </c>
      <c r="AC1263" s="2" t="s">
        <v>124</v>
      </c>
      <c r="AD1263" s="2"/>
      <c r="AE1263" s="2"/>
      <c r="AF1263" s="3">
        <v>40262</v>
      </c>
      <c r="AG1263" s="4">
        <v>0.50347222222222221</v>
      </c>
      <c r="AH1263" s="2">
        <v>5</v>
      </c>
      <c r="AI1263" s="2" t="s">
        <v>274</v>
      </c>
      <c r="AJ1263" s="2">
        <v>35</v>
      </c>
      <c r="AK1263" s="2" t="s">
        <v>275</v>
      </c>
      <c r="AL1263" s="2">
        <v>23</v>
      </c>
      <c r="AM1263" s="2" t="s">
        <v>251</v>
      </c>
      <c r="AN1263" s="2" t="s">
        <v>4729</v>
      </c>
      <c r="AO1263" s="2" t="s">
        <v>4730</v>
      </c>
      <c r="AP1263" s="2">
        <v>11</v>
      </c>
      <c r="AQ1263" s="2" t="s">
        <v>82</v>
      </c>
      <c r="AR1263" s="2"/>
      <c r="AS1263" s="2"/>
      <c r="AT1263" s="2" t="s">
        <v>4731</v>
      </c>
      <c r="AU1263" s="2"/>
      <c r="AV1263" s="2"/>
      <c r="AW1263" s="2"/>
      <c r="AX1263" s="2"/>
      <c r="AY1263" s="2">
        <v>1</v>
      </c>
      <c r="AZ1263" s="2" t="s">
        <v>107</v>
      </c>
      <c r="BA1263" s="2">
        <v>1</v>
      </c>
      <c r="BB1263" s="2" t="s">
        <v>107</v>
      </c>
      <c r="BC1263" s="2">
        <v>1</v>
      </c>
      <c r="BD1263" s="2" t="s">
        <v>107</v>
      </c>
      <c r="BE1263" s="2">
        <v>1</v>
      </c>
      <c r="BF1263" s="2" t="s">
        <v>107</v>
      </c>
      <c r="BG1263" s="2"/>
      <c r="BH1263" s="2"/>
      <c r="BI1263" s="2"/>
      <c r="BJ1263" s="2">
        <v>242</v>
      </c>
      <c r="BK1263" s="2" t="s">
        <v>107</v>
      </c>
      <c r="BL1263" s="2"/>
      <c r="BM1263" s="2">
        <v>242</v>
      </c>
      <c r="BN1263" s="2" t="s">
        <v>107</v>
      </c>
      <c r="BO1263" s="2"/>
      <c r="BP1263" s="2">
        <v>242</v>
      </c>
      <c r="BQ1263" s="2" t="s">
        <v>107</v>
      </c>
      <c r="BR1263" s="2"/>
      <c r="BS1263" s="3">
        <v>40267</v>
      </c>
      <c r="BT1263" s="4">
        <v>0.74733796296296295</v>
      </c>
    </row>
    <row r="1264" spans="1:72" x14ac:dyDescent="0.25">
      <c r="A1264" s="2">
        <v>1913</v>
      </c>
      <c r="B1264" s="2">
        <v>2010</v>
      </c>
      <c r="C1264" s="2" t="s">
        <v>171</v>
      </c>
      <c r="D1264" s="2" t="s">
        <v>73</v>
      </c>
      <c r="E1264" s="2"/>
      <c r="F1264" s="2">
        <v>338</v>
      </c>
      <c r="G1264" s="2" t="s">
        <v>4459</v>
      </c>
      <c r="H1264" s="2">
        <v>2</v>
      </c>
      <c r="I1264" s="2" t="s">
        <v>267</v>
      </c>
      <c r="J1264" s="2">
        <v>309</v>
      </c>
      <c r="K1264" s="2" t="s">
        <v>268</v>
      </c>
      <c r="L1264" s="2" t="s">
        <v>269</v>
      </c>
      <c r="M1264" s="3">
        <v>40267</v>
      </c>
      <c r="N1264" s="2" t="s">
        <v>4732</v>
      </c>
      <c r="O1264" s="2" t="s">
        <v>4733</v>
      </c>
      <c r="P1264" s="2" t="s">
        <v>4734</v>
      </c>
      <c r="Q1264" s="2" t="str">
        <f>"0003/2010"</f>
        <v>0003/2010</v>
      </c>
      <c r="R1264" s="2"/>
      <c r="S1264" s="2" t="s">
        <v>4735</v>
      </c>
      <c r="T1264" s="2">
        <v>1</v>
      </c>
      <c r="U1264" s="2" t="s">
        <v>79</v>
      </c>
      <c r="V1264" s="2">
        <v>3</v>
      </c>
      <c r="W1264" s="2" t="s">
        <v>225</v>
      </c>
      <c r="X1264" s="2">
        <v>6</v>
      </c>
      <c r="Y1264" s="2" t="s">
        <v>249</v>
      </c>
      <c r="Z1264" s="2">
        <v>1</v>
      </c>
      <c r="AA1264" s="2" t="s">
        <v>82</v>
      </c>
      <c r="AB1264" s="2">
        <v>9</v>
      </c>
      <c r="AC1264" s="2" t="s">
        <v>124</v>
      </c>
      <c r="AD1264" s="2"/>
      <c r="AE1264" s="2"/>
      <c r="AF1264" s="3">
        <v>40267</v>
      </c>
      <c r="AG1264" s="2"/>
      <c r="AH1264" s="2">
        <v>5</v>
      </c>
      <c r="AI1264" s="2" t="s">
        <v>274</v>
      </c>
      <c r="AJ1264" s="2">
        <v>35</v>
      </c>
      <c r="AK1264" s="2" t="s">
        <v>275</v>
      </c>
      <c r="AL1264" s="2">
        <v>23</v>
      </c>
      <c r="AM1264" s="2" t="s">
        <v>251</v>
      </c>
      <c r="AN1264" s="2"/>
      <c r="AO1264" s="2" t="s">
        <v>4736</v>
      </c>
      <c r="AP1264" s="2">
        <v>11</v>
      </c>
      <c r="AQ1264" s="2" t="s">
        <v>82</v>
      </c>
      <c r="AR1264" s="2"/>
      <c r="AS1264" s="2"/>
      <c r="AT1264" s="2" t="s">
        <v>4737</v>
      </c>
      <c r="AU1264" s="2"/>
      <c r="AV1264" s="2"/>
      <c r="AW1264" s="2"/>
      <c r="AX1264" s="2"/>
      <c r="AY1264" s="2">
        <v>1</v>
      </c>
      <c r="AZ1264" s="2" t="s">
        <v>107</v>
      </c>
      <c r="BA1264" s="2">
        <v>1</v>
      </c>
      <c r="BB1264" s="2" t="s">
        <v>107</v>
      </c>
      <c r="BC1264" s="2">
        <v>1</v>
      </c>
      <c r="BD1264" s="2" t="s">
        <v>107</v>
      </c>
      <c r="BE1264" s="2">
        <v>1</v>
      </c>
      <c r="BF1264" s="2" t="s">
        <v>107</v>
      </c>
      <c r="BG1264" s="2"/>
      <c r="BH1264" s="2"/>
      <c r="BI1264" s="2"/>
      <c r="BJ1264" s="2">
        <v>242</v>
      </c>
      <c r="BK1264" s="2" t="s">
        <v>107</v>
      </c>
      <c r="BL1264" s="2"/>
      <c r="BM1264" s="2">
        <v>242</v>
      </c>
      <c r="BN1264" s="2" t="s">
        <v>107</v>
      </c>
      <c r="BO1264" s="2"/>
      <c r="BP1264" s="2">
        <v>242</v>
      </c>
      <c r="BQ1264" s="2" t="s">
        <v>107</v>
      </c>
      <c r="BR1264" s="2"/>
      <c r="BS1264" s="3">
        <v>40267</v>
      </c>
      <c r="BT1264" s="4">
        <v>0.7618287037037037</v>
      </c>
    </row>
    <row r="1265" spans="1:72" x14ac:dyDescent="0.25">
      <c r="A1265" s="2">
        <v>1914</v>
      </c>
      <c r="B1265" s="2">
        <v>2010</v>
      </c>
      <c r="C1265" s="2" t="s">
        <v>121</v>
      </c>
      <c r="D1265" s="2" t="s">
        <v>122</v>
      </c>
      <c r="E1265" s="2"/>
      <c r="F1265" s="2">
        <v>1</v>
      </c>
      <c r="G1265" s="2" t="s">
        <v>82</v>
      </c>
      <c r="H1265" s="2">
        <v>1</v>
      </c>
      <c r="I1265" s="2" t="s">
        <v>82</v>
      </c>
      <c r="J1265" s="2">
        <v>1</v>
      </c>
      <c r="K1265" s="2" t="s">
        <v>107</v>
      </c>
      <c r="L1265" s="2" t="s">
        <v>107</v>
      </c>
      <c r="M1265" s="3">
        <v>40267</v>
      </c>
      <c r="N1265" s="2"/>
      <c r="O1265" s="2"/>
      <c r="P1265" s="2"/>
      <c r="Q1265" s="2" t="str">
        <f>""</f>
        <v/>
      </c>
      <c r="R1265" s="2"/>
      <c r="S1265" s="2"/>
      <c r="T1265" s="2">
        <v>2</v>
      </c>
      <c r="U1265" s="2" t="s">
        <v>123</v>
      </c>
      <c r="V1265" s="2">
        <v>1</v>
      </c>
      <c r="W1265" s="2" t="s">
        <v>80</v>
      </c>
      <c r="X1265" s="2">
        <v>5</v>
      </c>
      <c r="Y1265" s="2" t="s">
        <v>82</v>
      </c>
      <c r="Z1265" s="2">
        <v>1</v>
      </c>
      <c r="AA1265" s="2" t="s">
        <v>82</v>
      </c>
      <c r="AB1265" s="2">
        <v>9</v>
      </c>
      <c r="AC1265" s="2" t="s">
        <v>124</v>
      </c>
      <c r="AD1265" s="3">
        <v>40267</v>
      </c>
      <c r="AE1265" s="4">
        <v>0.82291666666666663</v>
      </c>
      <c r="AF1265" s="2"/>
      <c r="AG1265" s="2"/>
      <c r="AH1265" s="2">
        <v>4</v>
      </c>
      <c r="AI1265" s="2" t="s">
        <v>125</v>
      </c>
      <c r="AJ1265" s="2">
        <v>31</v>
      </c>
      <c r="AK1265" s="2" t="s">
        <v>1413</v>
      </c>
      <c r="AL1265" s="2">
        <v>18</v>
      </c>
      <c r="AM1265" s="2" t="s">
        <v>82</v>
      </c>
      <c r="AN1265" s="2"/>
      <c r="AO1265" s="2" t="s">
        <v>230</v>
      </c>
      <c r="AP1265" s="2">
        <v>11</v>
      </c>
      <c r="AQ1265" s="2" t="s">
        <v>82</v>
      </c>
      <c r="AR1265" s="2"/>
      <c r="AS1265" s="2"/>
      <c r="AT1265" s="2" t="s">
        <v>4738</v>
      </c>
      <c r="AU1265" s="2"/>
      <c r="AV1265" s="2"/>
      <c r="AW1265" s="2"/>
      <c r="AX1265" s="2"/>
      <c r="AY1265" s="2">
        <v>1</v>
      </c>
      <c r="AZ1265" s="2" t="s">
        <v>107</v>
      </c>
      <c r="BA1265" s="2">
        <v>1</v>
      </c>
      <c r="BB1265" s="2" t="s">
        <v>107</v>
      </c>
      <c r="BC1265" s="2">
        <v>1</v>
      </c>
      <c r="BD1265" s="2" t="s">
        <v>107</v>
      </c>
      <c r="BE1265" s="2">
        <v>1</v>
      </c>
      <c r="BF1265" s="2" t="s">
        <v>107</v>
      </c>
      <c r="BG1265" s="2"/>
      <c r="BH1265" s="2"/>
      <c r="BI1265" s="4">
        <v>0.82291666666666663</v>
      </c>
      <c r="BJ1265" s="2">
        <v>241</v>
      </c>
      <c r="BK1265" s="2" t="s">
        <v>82</v>
      </c>
      <c r="BL1265" s="2" t="s">
        <v>4725</v>
      </c>
      <c r="BM1265" s="2">
        <v>242</v>
      </c>
      <c r="BN1265" s="2" t="s">
        <v>107</v>
      </c>
      <c r="BO1265" s="2"/>
      <c r="BP1265" s="2">
        <v>242</v>
      </c>
      <c r="BQ1265" s="2" t="s">
        <v>107</v>
      </c>
      <c r="BR1265" s="2" t="s">
        <v>185</v>
      </c>
      <c r="BS1265" s="3">
        <v>40267</v>
      </c>
      <c r="BT1265" s="4">
        <v>0.76538194444444441</v>
      </c>
    </row>
    <row r="1266" spans="1:72" x14ac:dyDescent="0.25">
      <c r="A1266" s="2">
        <v>1915</v>
      </c>
      <c r="B1266" s="2">
        <v>2010</v>
      </c>
      <c r="C1266" s="2" t="s">
        <v>171</v>
      </c>
      <c r="D1266" s="2" t="s">
        <v>73</v>
      </c>
      <c r="E1266" s="2"/>
      <c r="F1266" s="2">
        <v>159</v>
      </c>
      <c r="G1266" s="2" t="s">
        <v>3883</v>
      </c>
      <c r="H1266" s="2">
        <v>19</v>
      </c>
      <c r="I1266" s="2" t="s">
        <v>4355</v>
      </c>
      <c r="J1266" s="2">
        <v>172</v>
      </c>
      <c r="K1266" s="2" t="s">
        <v>3885</v>
      </c>
      <c r="L1266" s="2" t="s">
        <v>3886</v>
      </c>
      <c r="M1266" s="3">
        <v>40267</v>
      </c>
      <c r="N1266" s="2" t="s">
        <v>4356</v>
      </c>
      <c r="O1266" s="2" t="s">
        <v>107</v>
      </c>
      <c r="P1266" s="2" t="s">
        <v>107</v>
      </c>
      <c r="Q1266" s="2" t="str">
        <f>"132-A/10"</f>
        <v>132-A/10</v>
      </c>
      <c r="R1266" s="2" t="s">
        <v>107</v>
      </c>
      <c r="S1266" s="2" t="s">
        <v>1035</v>
      </c>
      <c r="T1266" s="2">
        <v>1</v>
      </c>
      <c r="U1266" s="2" t="s">
        <v>79</v>
      </c>
      <c r="V1266" s="2">
        <v>1</v>
      </c>
      <c r="W1266" s="2" t="s">
        <v>80</v>
      </c>
      <c r="X1266" s="2">
        <v>1</v>
      </c>
      <c r="Y1266" s="2" t="s">
        <v>81</v>
      </c>
      <c r="Z1266" s="2">
        <v>1</v>
      </c>
      <c r="AA1266" s="2" t="s">
        <v>82</v>
      </c>
      <c r="AB1266" s="2">
        <v>1</v>
      </c>
      <c r="AC1266" s="2" t="s">
        <v>178</v>
      </c>
      <c r="AD1266" s="3">
        <v>40267</v>
      </c>
      <c r="AE1266" s="4">
        <v>0.27083333333333331</v>
      </c>
      <c r="AF1266" s="3">
        <v>40267</v>
      </c>
      <c r="AG1266" s="4">
        <v>0.34027777777777773</v>
      </c>
      <c r="AH1266" s="2">
        <v>2</v>
      </c>
      <c r="AI1266" s="2" t="s">
        <v>84</v>
      </c>
      <c r="AJ1266" s="2">
        <v>12</v>
      </c>
      <c r="AK1266" s="2" t="s">
        <v>85</v>
      </c>
      <c r="AL1266" s="2">
        <v>14</v>
      </c>
      <c r="AM1266" s="2" t="s">
        <v>216</v>
      </c>
      <c r="AN1266" s="2" t="s">
        <v>919</v>
      </c>
      <c r="AO1266" s="2" t="s">
        <v>3724</v>
      </c>
      <c r="AP1266" s="2">
        <v>11</v>
      </c>
      <c r="AQ1266" s="2" t="s">
        <v>82</v>
      </c>
      <c r="AR1266" s="2" t="s">
        <v>82</v>
      </c>
      <c r="AS1266" s="2" t="s">
        <v>82</v>
      </c>
      <c r="AT1266" s="2" t="s">
        <v>4739</v>
      </c>
      <c r="AU1266" s="2">
        <v>1</v>
      </c>
      <c r="AV1266" s="2"/>
      <c r="AW1266" s="2"/>
      <c r="AX1266" s="2"/>
      <c r="AY1266" s="2">
        <v>41</v>
      </c>
      <c r="AZ1266" s="2" t="s">
        <v>82</v>
      </c>
      <c r="BA1266" s="2">
        <v>41</v>
      </c>
      <c r="BB1266" s="2" t="s">
        <v>82</v>
      </c>
      <c r="BC1266" s="2">
        <v>41</v>
      </c>
      <c r="BD1266" s="2" t="s">
        <v>82</v>
      </c>
      <c r="BE1266" s="2">
        <v>4</v>
      </c>
      <c r="BF1266" s="2" t="s">
        <v>90</v>
      </c>
      <c r="BG1266" s="2" t="s">
        <v>4740</v>
      </c>
      <c r="BH1266" s="2"/>
      <c r="BI1266" s="4">
        <v>0.29166666666666669</v>
      </c>
      <c r="BJ1266" s="2">
        <v>13</v>
      </c>
      <c r="BK1266" s="2" t="s">
        <v>91</v>
      </c>
      <c r="BL1266" s="2" t="s">
        <v>3690</v>
      </c>
      <c r="BM1266" s="2">
        <v>241</v>
      </c>
      <c r="BN1266" s="2" t="s">
        <v>82</v>
      </c>
      <c r="BO1266" s="2" t="s">
        <v>82</v>
      </c>
      <c r="BP1266" s="2">
        <v>13</v>
      </c>
      <c r="BQ1266" s="2" t="s">
        <v>91</v>
      </c>
      <c r="BR1266" s="2" t="s">
        <v>241</v>
      </c>
      <c r="BS1266" s="3">
        <v>40267</v>
      </c>
      <c r="BT1266" s="4">
        <v>0.77657407407407408</v>
      </c>
    </row>
    <row r="1267" spans="1:72" x14ac:dyDescent="0.25">
      <c r="A1267" s="2">
        <v>1916</v>
      </c>
      <c r="B1267" s="2">
        <v>2010</v>
      </c>
      <c r="C1267" s="2" t="s">
        <v>764</v>
      </c>
      <c r="D1267" s="2" t="s">
        <v>73</v>
      </c>
      <c r="E1267" s="2"/>
      <c r="F1267" s="2">
        <v>90</v>
      </c>
      <c r="G1267" s="2" t="s">
        <v>4741</v>
      </c>
      <c r="H1267" s="2">
        <v>47</v>
      </c>
      <c r="I1267" s="2" t="s">
        <v>1409</v>
      </c>
      <c r="J1267" s="2">
        <v>118</v>
      </c>
      <c r="K1267" s="2" t="s">
        <v>4742</v>
      </c>
      <c r="L1267" s="2" t="s">
        <v>4743</v>
      </c>
      <c r="M1267" s="3">
        <v>40267</v>
      </c>
      <c r="N1267" s="2" t="s">
        <v>4744</v>
      </c>
      <c r="O1267" s="2" t="s">
        <v>107</v>
      </c>
      <c r="P1267" s="2" t="s">
        <v>107</v>
      </c>
      <c r="Q1267" s="2" t="str">
        <f>"001/2010"</f>
        <v>001/2010</v>
      </c>
      <c r="R1267" s="2" t="s">
        <v>4745</v>
      </c>
      <c r="S1267" s="2" t="s">
        <v>4745</v>
      </c>
      <c r="T1267" s="2">
        <v>1</v>
      </c>
      <c r="U1267" s="2" t="s">
        <v>79</v>
      </c>
      <c r="V1267" s="2">
        <v>1</v>
      </c>
      <c r="W1267" s="2" t="s">
        <v>80</v>
      </c>
      <c r="X1267" s="2">
        <v>1</v>
      </c>
      <c r="Y1267" s="2" t="s">
        <v>81</v>
      </c>
      <c r="Z1267" s="2">
        <v>1</v>
      </c>
      <c r="AA1267" s="2" t="s">
        <v>82</v>
      </c>
      <c r="AB1267" s="2">
        <v>9</v>
      </c>
      <c r="AC1267" s="2" t="s">
        <v>124</v>
      </c>
      <c r="AD1267" s="3">
        <v>40267</v>
      </c>
      <c r="AE1267" s="4">
        <v>0.51388888888888895</v>
      </c>
      <c r="AF1267" s="2"/>
      <c r="AG1267" s="2"/>
      <c r="AH1267" s="2">
        <v>6</v>
      </c>
      <c r="AI1267" s="2" t="s">
        <v>197</v>
      </c>
      <c r="AJ1267" s="2">
        <v>52</v>
      </c>
      <c r="AK1267" s="2" t="s">
        <v>4746</v>
      </c>
      <c r="AL1267" s="2">
        <v>9</v>
      </c>
      <c r="AM1267" s="2" t="s">
        <v>259</v>
      </c>
      <c r="AN1267" s="2" t="s">
        <v>4747</v>
      </c>
      <c r="AO1267" s="2" t="s">
        <v>4748</v>
      </c>
      <c r="AP1267" s="2">
        <v>11</v>
      </c>
      <c r="AQ1267" s="2" t="s">
        <v>82</v>
      </c>
      <c r="AR1267" s="2" t="s">
        <v>82</v>
      </c>
      <c r="AS1267" s="2" t="s">
        <v>82</v>
      </c>
      <c r="AT1267" s="2" t="s">
        <v>4749</v>
      </c>
      <c r="AU1267" s="2">
        <v>2</v>
      </c>
      <c r="AV1267" s="2"/>
      <c r="AW1267" s="2"/>
      <c r="AX1267" s="2"/>
      <c r="AY1267" s="2">
        <v>41</v>
      </c>
      <c r="AZ1267" s="2" t="s">
        <v>82</v>
      </c>
      <c r="BA1267" s="2">
        <v>41</v>
      </c>
      <c r="BB1267" s="2" t="s">
        <v>82</v>
      </c>
      <c r="BC1267" s="2">
        <v>41</v>
      </c>
      <c r="BD1267" s="2" t="s">
        <v>82</v>
      </c>
      <c r="BE1267" s="2">
        <v>41</v>
      </c>
      <c r="BF1267" s="2" t="s">
        <v>82</v>
      </c>
      <c r="BG1267" s="2" t="s">
        <v>82</v>
      </c>
      <c r="BH1267" s="2"/>
      <c r="BI1267" s="2"/>
      <c r="BJ1267" s="2">
        <v>241</v>
      </c>
      <c r="BK1267" s="2" t="s">
        <v>82</v>
      </c>
      <c r="BL1267" s="2" t="s">
        <v>82</v>
      </c>
      <c r="BM1267" s="2">
        <v>241</v>
      </c>
      <c r="BN1267" s="2" t="s">
        <v>82</v>
      </c>
      <c r="BO1267" s="2" t="s">
        <v>82</v>
      </c>
      <c r="BP1267" s="2">
        <v>241</v>
      </c>
      <c r="BQ1267" s="2" t="s">
        <v>82</v>
      </c>
      <c r="BR1267" s="2" t="s">
        <v>82</v>
      </c>
      <c r="BS1267" s="3">
        <v>40267</v>
      </c>
      <c r="BT1267" s="4">
        <v>0.78994212962962962</v>
      </c>
    </row>
    <row r="1268" spans="1:72" x14ac:dyDescent="0.25">
      <c r="A1268" s="2">
        <v>1918</v>
      </c>
      <c r="B1268" s="2">
        <v>2010</v>
      </c>
      <c r="C1268" s="2" t="s">
        <v>171</v>
      </c>
      <c r="D1268" s="2" t="s">
        <v>73</v>
      </c>
      <c r="E1268" s="2"/>
      <c r="F1268" s="2">
        <v>159</v>
      </c>
      <c r="G1268" s="2" t="s">
        <v>3883</v>
      </c>
      <c r="H1268" s="2">
        <v>19</v>
      </c>
      <c r="I1268" s="2" t="s">
        <v>4355</v>
      </c>
      <c r="J1268" s="2">
        <v>172</v>
      </c>
      <c r="K1268" s="2" t="s">
        <v>3885</v>
      </c>
      <c r="L1268" s="2" t="s">
        <v>3886</v>
      </c>
      <c r="M1268" s="3">
        <v>40267</v>
      </c>
      <c r="N1268" s="2" t="s">
        <v>4356</v>
      </c>
      <c r="O1268" s="2" t="s">
        <v>107</v>
      </c>
      <c r="P1268" s="2" t="s">
        <v>107</v>
      </c>
      <c r="Q1268" s="2" t="str">
        <f>"134-A/10"</f>
        <v>134-A/10</v>
      </c>
      <c r="R1268" s="2" t="s">
        <v>1035</v>
      </c>
      <c r="S1268" s="2" t="s">
        <v>1035</v>
      </c>
      <c r="T1268" s="2">
        <v>1</v>
      </c>
      <c r="U1268" s="2" t="s">
        <v>79</v>
      </c>
      <c r="V1268" s="2">
        <v>1</v>
      </c>
      <c r="W1268" s="2" t="s">
        <v>80</v>
      </c>
      <c r="X1268" s="2">
        <v>1</v>
      </c>
      <c r="Y1268" s="2" t="s">
        <v>81</v>
      </c>
      <c r="Z1268" s="2">
        <v>10</v>
      </c>
      <c r="AA1268" s="2" t="s">
        <v>236</v>
      </c>
      <c r="AB1268" s="2">
        <v>1</v>
      </c>
      <c r="AC1268" s="2" t="s">
        <v>178</v>
      </c>
      <c r="AD1268" s="3">
        <v>40267</v>
      </c>
      <c r="AE1268" s="4">
        <v>0.51388888888888895</v>
      </c>
      <c r="AF1268" s="2"/>
      <c r="AG1268" s="2"/>
      <c r="AH1268" s="2">
        <v>2</v>
      </c>
      <c r="AI1268" s="2" t="s">
        <v>84</v>
      </c>
      <c r="AJ1268" s="2">
        <v>12</v>
      </c>
      <c r="AK1268" s="2" t="s">
        <v>85</v>
      </c>
      <c r="AL1268" s="2">
        <v>11</v>
      </c>
      <c r="AM1268" s="2" t="s">
        <v>137</v>
      </c>
      <c r="AN1268" s="2" t="s">
        <v>3351</v>
      </c>
      <c r="AO1268" s="2" t="s">
        <v>1424</v>
      </c>
      <c r="AP1268" s="2">
        <v>11</v>
      </c>
      <c r="AQ1268" s="2" t="s">
        <v>82</v>
      </c>
      <c r="AR1268" s="2" t="s">
        <v>82</v>
      </c>
      <c r="AS1268" s="2" t="s">
        <v>82</v>
      </c>
      <c r="AT1268" s="2" t="s">
        <v>4750</v>
      </c>
      <c r="AU1268" s="2">
        <v>1</v>
      </c>
      <c r="AV1268" s="2"/>
      <c r="AW1268" s="2"/>
      <c r="AX1268" s="2"/>
      <c r="AY1268" s="2">
        <v>41</v>
      </c>
      <c r="AZ1268" s="2" t="s">
        <v>82</v>
      </c>
      <c r="BA1268" s="2">
        <v>41</v>
      </c>
      <c r="BB1268" s="2" t="s">
        <v>82</v>
      </c>
      <c r="BC1268" s="2">
        <v>41</v>
      </c>
      <c r="BD1268" s="2" t="s">
        <v>82</v>
      </c>
      <c r="BE1268" s="2">
        <v>4</v>
      </c>
      <c r="BF1268" s="2" t="s">
        <v>90</v>
      </c>
      <c r="BG1268" s="2" t="s">
        <v>4751</v>
      </c>
      <c r="BH1268" s="2"/>
      <c r="BI1268" s="4">
        <v>0.51041666666666663</v>
      </c>
      <c r="BJ1268" s="2">
        <v>13</v>
      </c>
      <c r="BK1268" s="2" t="s">
        <v>91</v>
      </c>
      <c r="BL1268" s="2" t="s">
        <v>170</v>
      </c>
      <c r="BM1268" s="2">
        <v>241</v>
      </c>
      <c r="BN1268" s="2" t="s">
        <v>82</v>
      </c>
      <c r="BO1268" s="2" t="s">
        <v>82</v>
      </c>
      <c r="BP1268" s="2">
        <v>13</v>
      </c>
      <c r="BQ1268" s="2" t="s">
        <v>91</v>
      </c>
      <c r="BR1268" s="2" t="s">
        <v>1199</v>
      </c>
      <c r="BS1268" s="3">
        <v>40267</v>
      </c>
      <c r="BT1268" s="4">
        <v>0.80533564814814806</v>
      </c>
    </row>
    <row r="1269" spans="1:72" x14ac:dyDescent="0.25">
      <c r="A1269" s="2">
        <v>1920</v>
      </c>
      <c r="B1269" s="2">
        <v>2010</v>
      </c>
      <c r="C1269" s="2" t="s">
        <v>377</v>
      </c>
      <c r="D1269" s="2" t="s">
        <v>73</v>
      </c>
      <c r="E1269" s="2"/>
      <c r="F1269" s="2">
        <v>426</v>
      </c>
      <c r="G1269" s="2" t="s">
        <v>378</v>
      </c>
      <c r="H1269" s="2">
        <v>42</v>
      </c>
      <c r="I1269" s="2" t="s">
        <v>1096</v>
      </c>
      <c r="J1269" s="2">
        <v>311</v>
      </c>
      <c r="K1269" s="2" t="s">
        <v>379</v>
      </c>
      <c r="L1269" s="2" t="s">
        <v>380</v>
      </c>
      <c r="M1269" s="3">
        <v>40267</v>
      </c>
      <c r="N1269" s="2" t="s">
        <v>4427</v>
      </c>
      <c r="O1269" s="2" t="s">
        <v>107</v>
      </c>
      <c r="P1269" s="2" t="s">
        <v>107</v>
      </c>
      <c r="Q1269" s="2" t="str">
        <f>"040-C/10"</f>
        <v>040-C/10</v>
      </c>
      <c r="R1269" s="2" t="s">
        <v>4752</v>
      </c>
      <c r="S1269" s="2" t="s">
        <v>4752</v>
      </c>
      <c r="T1269" s="2">
        <v>1</v>
      </c>
      <c r="U1269" s="2" t="s">
        <v>79</v>
      </c>
      <c r="V1269" s="2">
        <v>1</v>
      </c>
      <c r="W1269" s="2" t="s">
        <v>80</v>
      </c>
      <c r="X1269" s="2">
        <v>1</v>
      </c>
      <c r="Y1269" s="2" t="s">
        <v>81</v>
      </c>
      <c r="Z1269" s="2">
        <v>1</v>
      </c>
      <c r="AA1269" s="2" t="s">
        <v>82</v>
      </c>
      <c r="AB1269" s="2">
        <v>9</v>
      </c>
      <c r="AC1269" s="2" t="s">
        <v>124</v>
      </c>
      <c r="AD1269" s="3">
        <v>40267</v>
      </c>
      <c r="AE1269" s="4">
        <v>0.61111111111111105</v>
      </c>
      <c r="AF1269" s="3">
        <v>40267</v>
      </c>
      <c r="AG1269" s="4">
        <v>0.72916666666666663</v>
      </c>
      <c r="AH1269" s="2">
        <v>2</v>
      </c>
      <c r="AI1269" s="2" t="s">
        <v>84</v>
      </c>
      <c r="AJ1269" s="2">
        <v>9</v>
      </c>
      <c r="AK1269" s="2" t="s">
        <v>103</v>
      </c>
      <c r="AL1269" s="2">
        <v>12</v>
      </c>
      <c r="AM1269" s="2" t="s">
        <v>86</v>
      </c>
      <c r="AN1269" s="2" t="s">
        <v>1936</v>
      </c>
      <c r="AO1269" s="2" t="s">
        <v>82</v>
      </c>
      <c r="AP1269" s="2">
        <v>11</v>
      </c>
      <c r="AQ1269" s="2" t="s">
        <v>82</v>
      </c>
      <c r="AR1269" s="2"/>
      <c r="AS1269" s="2"/>
      <c r="AT1269" s="2" t="s">
        <v>4753</v>
      </c>
      <c r="AU1269" s="2"/>
      <c r="AV1269" s="2"/>
      <c r="AW1269" s="2"/>
      <c r="AX1269" s="2"/>
      <c r="AY1269" s="2">
        <v>41</v>
      </c>
      <c r="AZ1269" s="2" t="s">
        <v>82</v>
      </c>
      <c r="BA1269" s="2">
        <v>41</v>
      </c>
      <c r="BB1269" s="2" t="s">
        <v>82</v>
      </c>
      <c r="BC1269" s="2">
        <v>41</v>
      </c>
      <c r="BD1269" s="2" t="s">
        <v>82</v>
      </c>
      <c r="BE1269" s="2">
        <v>41</v>
      </c>
      <c r="BF1269" s="2" t="s">
        <v>82</v>
      </c>
      <c r="BG1269" s="2" t="s">
        <v>82</v>
      </c>
      <c r="BH1269" s="2"/>
      <c r="BI1269" s="2"/>
      <c r="BJ1269" s="2">
        <v>241</v>
      </c>
      <c r="BK1269" s="2" t="s">
        <v>82</v>
      </c>
      <c r="BL1269" s="2" t="s">
        <v>82</v>
      </c>
      <c r="BM1269" s="2">
        <v>241</v>
      </c>
      <c r="BN1269" s="2" t="s">
        <v>82</v>
      </c>
      <c r="BO1269" s="2"/>
      <c r="BP1269" s="2">
        <v>241</v>
      </c>
      <c r="BQ1269" s="2" t="s">
        <v>82</v>
      </c>
      <c r="BR1269" s="2"/>
      <c r="BS1269" s="3">
        <v>40267</v>
      </c>
      <c r="BT1269" s="4">
        <v>0.82314814814814818</v>
      </c>
    </row>
    <row r="1270" spans="1:72" x14ac:dyDescent="0.25">
      <c r="A1270" s="2">
        <v>1921</v>
      </c>
      <c r="B1270" s="2">
        <v>2010</v>
      </c>
      <c r="C1270" s="2" t="s">
        <v>72</v>
      </c>
      <c r="D1270" s="2" t="s">
        <v>73</v>
      </c>
      <c r="E1270" s="2"/>
      <c r="F1270" s="2">
        <v>177</v>
      </c>
      <c r="G1270" s="2" t="s">
        <v>403</v>
      </c>
      <c r="H1270" s="2">
        <v>50</v>
      </c>
      <c r="I1270" s="2" t="s">
        <v>107</v>
      </c>
      <c r="J1270" s="2">
        <v>507</v>
      </c>
      <c r="K1270" s="2" t="s">
        <v>4188</v>
      </c>
      <c r="L1270" s="2" t="s">
        <v>4189</v>
      </c>
      <c r="M1270" s="3">
        <v>40267</v>
      </c>
      <c r="N1270" s="2" t="s">
        <v>107</v>
      </c>
      <c r="O1270" s="2" t="s">
        <v>107</v>
      </c>
      <c r="P1270" s="2" t="s">
        <v>107</v>
      </c>
      <c r="Q1270" s="2" t="str">
        <f>"135-A/10"</f>
        <v>135-A/10</v>
      </c>
      <c r="R1270" s="2" t="s">
        <v>107</v>
      </c>
      <c r="S1270" s="2" t="s">
        <v>601</v>
      </c>
      <c r="T1270" s="2">
        <v>1</v>
      </c>
      <c r="U1270" s="2" t="s">
        <v>79</v>
      </c>
      <c r="V1270" s="2">
        <v>1</v>
      </c>
      <c r="W1270" s="2" t="s">
        <v>80</v>
      </c>
      <c r="X1270" s="2">
        <v>5</v>
      </c>
      <c r="Y1270" s="2" t="s">
        <v>82</v>
      </c>
      <c r="Z1270" s="2">
        <v>1</v>
      </c>
      <c r="AA1270" s="2" t="s">
        <v>82</v>
      </c>
      <c r="AB1270" s="2">
        <v>6</v>
      </c>
      <c r="AC1270" s="2" t="s">
        <v>83</v>
      </c>
      <c r="AD1270" s="3">
        <v>40267</v>
      </c>
      <c r="AE1270" s="4">
        <v>0.57291666666666663</v>
      </c>
      <c r="AF1270" s="3">
        <v>40267</v>
      </c>
      <c r="AG1270" s="4">
        <v>0.59722222222222221</v>
      </c>
      <c r="AH1270" s="2">
        <v>2</v>
      </c>
      <c r="AI1270" s="2" t="s">
        <v>84</v>
      </c>
      <c r="AJ1270" s="2">
        <v>12</v>
      </c>
      <c r="AK1270" s="2" t="s">
        <v>85</v>
      </c>
      <c r="AL1270" s="2">
        <v>8</v>
      </c>
      <c r="AM1270" s="2" t="s">
        <v>179</v>
      </c>
      <c r="AN1270" s="2" t="s">
        <v>4754</v>
      </c>
      <c r="AO1270" s="2" t="s">
        <v>4755</v>
      </c>
      <c r="AP1270" s="2">
        <v>11</v>
      </c>
      <c r="AQ1270" s="2" t="s">
        <v>82</v>
      </c>
      <c r="AR1270" s="2" t="s">
        <v>82</v>
      </c>
      <c r="AS1270" s="2" t="s">
        <v>82</v>
      </c>
      <c r="AT1270" s="2" t="s">
        <v>4756</v>
      </c>
      <c r="AU1270" s="2"/>
      <c r="AV1270" s="2"/>
      <c r="AW1270" s="2"/>
      <c r="AX1270" s="2"/>
      <c r="AY1270" s="2">
        <v>41</v>
      </c>
      <c r="AZ1270" s="2" t="s">
        <v>82</v>
      </c>
      <c r="BA1270" s="2">
        <v>41</v>
      </c>
      <c r="BB1270" s="2" t="s">
        <v>82</v>
      </c>
      <c r="BC1270" s="2">
        <v>41</v>
      </c>
      <c r="BD1270" s="2" t="s">
        <v>82</v>
      </c>
      <c r="BE1270" s="2">
        <v>13</v>
      </c>
      <c r="BF1270" s="2" t="s">
        <v>108</v>
      </c>
      <c r="BG1270" s="2" t="s">
        <v>3968</v>
      </c>
      <c r="BH1270" s="4">
        <v>0.8125</v>
      </c>
      <c r="BI1270" s="4">
        <v>0.66666666666666663</v>
      </c>
      <c r="BJ1270" s="2">
        <v>13</v>
      </c>
      <c r="BK1270" s="2" t="s">
        <v>91</v>
      </c>
      <c r="BL1270" s="2" t="s">
        <v>170</v>
      </c>
      <c r="BM1270" s="2">
        <v>241</v>
      </c>
      <c r="BN1270" s="2" t="s">
        <v>82</v>
      </c>
      <c r="BO1270" s="2" t="s">
        <v>82</v>
      </c>
      <c r="BP1270" s="2">
        <v>13</v>
      </c>
      <c r="BQ1270" s="2" t="s">
        <v>91</v>
      </c>
      <c r="BR1270" s="2" t="s">
        <v>895</v>
      </c>
      <c r="BS1270" s="3">
        <v>40267</v>
      </c>
      <c r="BT1270" s="4">
        <v>0.84512731481481485</v>
      </c>
    </row>
    <row r="1271" spans="1:72" x14ac:dyDescent="0.25">
      <c r="A1271" s="2">
        <v>1923</v>
      </c>
      <c r="B1271" s="2">
        <v>2010</v>
      </c>
      <c r="C1271" s="2" t="s">
        <v>72</v>
      </c>
      <c r="D1271" s="2" t="s">
        <v>73</v>
      </c>
      <c r="E1271" s="2"/>
      <c r="F1271" s="2">
        <v>177</v>
      </c>
      <c r="G1271" s="2" t="s">
        <v>403</v>
      </c>
      <c r="H1271" s="2">
        <v>50</v>
      </c>
      <c r="I1271" s="2" t="s">
        <v>107</v>
      </c>
      <c r="J1271" s="2">
        <v>507</v>
      </c>
      <c r="K1271" s="2" t="s">
        <v>4188</v>
      </c>
      <c r="L1271" s="2" t="s">
        <v>4189</v>
      </c>
      <c r="M1271" s="3">
        <v>40267</v>
      </c>
      <c r="N1271" s="2" t="s">
        <v>107</v>
      </c>
      <c r="O1271" s="2" t="s">
        <v>107</v>
      </c>
      <c r="P1271" s="2" t="s">
        <v>107</v>
      </c>
      <c r="Q1271" s="2" t="str">
        <f>"137-A/10"</f>
        <v>137-A/10</v>
      </c>
      <c r="R1271" s="2" t="s">
        <v>107</v>
      </c>
      <c r="S1271" s="2" t="s">
        <v>601</v>
      </c>
      <c r="T1271" s="2">
        <v>1</v>
      </c>
      <c r="U1271" s="2" t="s">
        <v>79</v>
      </c>
      <c r="V1271" s="2">
        <v>1</v>
      </c>
      <c r="W1271" s="2" t="s">
        <v>80</v>
      </c>
      <c r="X1271" s="2">
        <v>5</v>
      </c>
      <c r="Y1271" s="2" t="s">
        <v>82</v>
      </c>
      <c r="Z1271" s="2">
        <v>1</v>
      </c>
      <c r="AA1271" s="2" t="s">
        <v>82</v>
      </c>
      <c r="AB1271" s="2">
        <v>6</v>
      </c>
      <c r="AC1271" s="2" t="s">
        <v>83</v>
      </c>
      <c r="AD1271" s="3">
        <v>40267</v>
      </c>
      <c r="AE1271" s="4">
        <v>0.57291666666666663</v>
      </c>
      <c r="AF1271" s="3">
        <v>40267</v>
      </c>
      <c r="AG1271" s="4">
        <v>0.625</v>
      </c>
      <c r="AH1271" s="2">
        <v>2</v>
      </c>
      <c r="AI1271" s="2" t="s">
        <v>84</v>
      </c>
      <c r="AJ1271" s="2">
        <v>12</v>
      </c>
      <c r="AK1271" s="2" t="s">
        <v>85</v>
      </c>
      <c r="AL1271" s="2">
        <v>8</v>
      </c>
      <c r="AM1271" s="2" t="s">
        <v>179</v>
      </c>
      <c r="AN1271" s="2" t="s">
        <v>4757</v>
      </c>
      <c r="AO1271" s="2" t="s">
        <v>4755</v>
      </c>
      <c r="AP1271" s="2">
        <v>11</v>
      </c>
      <c r="AQ1271" s="2" t="s">
        <v>82</v>
      </c>
      <c r="AR1271" s="2"/>
      <c r="AS1271" s="2"/>
      <c r="AT1271" s="2" t="s">
        <v>4758</v>
      </c>
      <c r="AU1271" s="2"/>
      <c r="AV1271" s="2"/>
      <c r="AW1271" s="2"/>
      <c r="AX1271" s="2"/>
      <c r="AY1271" s="2">
        <v>41</v>
      </c>
      <c r="AZ1271" s="2" t="s">
        <v>82</v>
      </c>
      <c r="BA1271" s="2">
        <v>41</v>
      </c>
      <c r="BB1271" s="2" t="s">
        <v>82</v>
      </c>
      <c r="BC1271" s="2">
        <v>41</v>
      </c>
      <c r="BD1271" s="2" t="s">
        <v>82</v>
      </c>
      <c r="BE1271" s="2">
        <v>13</v>
      </c>
      <c r="BF1271" s="2" t="s">
        <v>108</v>
      </c>
      <c r="BG1271" s="2" t="s">
        <v>3968</v>
      </c>
      <c r="BH1271" s="2"/>
      <c r="BI1271" s="4">
        <v>0.66666666666666663</v>
      </c>
      <c r="BJ1271" s="2">
        <v>13</v>
      </c>
      <c r="BK1271" s="2" t="s">
        <v>91</v>
      </c>
      <c r="BL1271" s="2" t="s">
        <v>170</v>
      </c>
      <c r="BM1271" s="2">
        <v>241</v>
      </c>
      <c r="BN1271" s="2" t="s">
        <v>82</v>
      </c>
      <c r="BO1271" s="2"/>
      <c r="BP1271" s="2">
        <v>13</v>
      </c>
      <c r="BQ1271" s="2" t="s">
        <v>91</v>
      </c>
      <c r="BR1271" s="2" t="s">
        <v>895</v>
      </c>
      <c r="BS1271" s="3">
        <v>40267</v>
      </c>
      <c r="BT1271" s="4">
        <v>0.86886574074074074</v>
      </c>
    </row>
    <row r="1272" spans="1:72" x14ac:dyDescent="0.25">
      <c r="A1272" s="2">
        <v>1924</v>
      </c>
      <c r="B1272" s="2">
        <v>2010</v>
      </c>
      <c r="C1272" s="2" t="s">
        <v>171</v>
      </c>
      <c r="D1272" s="2" t="s">
        <v>122</v>
      </c>
      <c r="E1272" s="2"/>
      <c r="F1272" s="2">
        <v>451</v>
      </c>
      <c r="G1272" s="2" t="s">
        <v>879</v>
      </c>
      <c r="H1272" s="2">
        <v>31</v>
      </c>
      <c r="I1272" s="2" t="s">
        <v>880</v>
      </c>
      <c r="J1272" s="2">
        <v>326</v>
      </c>
      <c r="K1272" s="2" t="s">
        <v>881</v>
      </c>
      <c r="L1272" s="2" t="s">
        <v>882</v>
      </c>
      <c r="M1272" s="3">
        <v>40267</v>
      </c>
      <c r="N1272" s="2" t="s">
        <v>1072</v>
      </c>
      <c r="O1272" s="2" t="s">
        <v>4551</v>
      </c>
      <c r="P1272" s="2" t="s">
        <v>4759</v>
      </c>
      <c r="Q1272" s="2" t="str">
        <f>"035/10"</f>
        <v>035/10</v>
      </c>
      <c r="R1272" s="2" t="s">
        <v>4760</v>
      </c>
      <c r="S1272" s="2"/>
      <c r="T1272" s="2">
        <v>1</v>
      </c>
      <c r="U1272" s="2" t="s">
        <v>79</v>
      </c>
      <c r="V1272" s="2">
        <v>1</v>
      </c>
      <c r="W1272" s="2" t="s">
        <v>80</v>
      </c>
      <c r="X1272" s="2">
        <v>1</v>
      </c>
      <c r="Y1272" s="2" t="s">
        <v>81</v>
      </c>
      <c r="Z1272" s="2">
        <v>1</v>
      </c>
      <c r="AA1272" s="2" t="s">
        <v>82</v>
      </c>
      <c r="AB1272" s="2">
        <v>1</v>
      </c>
      <c r="AC1272" s="2" t="s">
        <v>178</v>
      </c>
      <c r="AD1272" s="3">
        <v>40267</v>
      </c>
      <c r="AE1272" s="4">
        <v>0.88541666666666663</v>
      </c>
      <c r="AF1272" s="2"/>
      <c r="AG1272" s="2"/>
      <c r="AH1272" s="2">
        <v>4</v>
      </c>
      <c r="AI1272" s="2" t="s">
        <v>125</v>
      </c>
      <c r="AJ1272" s="2">
        <v>29</v>
      </c>
      <c r="AK1272" s="2" t="s">
        <v>227</v>
      </c>
      <c r="AL1272" s="2">
        <v>10</v>
      </c>
      <c r="AM1272" s="2" t="s">
        <v>200</v>
      </c>
      <c r="AN1272" s="2" t="s">
        <v>1073</v>
      </c>
      <c r="AO1272" s="2" t="s">
        <v>200</v>
      </c>
      <c r="AP1272" s="2">
        <v>12</v>
      </c>
      <c r="AQ1272" s="2" t="s">
        <v>322</v>
      </c>
      <c r="AR1272" s="2" t="s">
        <v>824</v>
      </c>
      <c r="AS1272" s="2" t="s">
        <v>884</v>
      </c>
      <c r="AT1272" s="2" t="s">
        <v>4761</v>
      </c>
      <c r="AU1272" s="2"/>
      <c r="AV1272" s="2"/>
      <c r="AW1272" s="2"/>
      <c r="AX1272" s="2"/>
      <c r="AY1272" s="2">
        <v>41</v>
      </c>
      <c r="AZ1272" s="2" t="s">
        <v>82</v>
      </c>
      <c r="BA1272" s="2">
        <v>41</v>
      </c>
      <c r="BB1272" s="2" t="s">
        <v>82</v>
      </c>
      <c r="BC1272" s="2">
        <v>51</v>
      </c>
      <c r="BD1272" s="2" t="s">
        <v>827</v>
      </c>
      <c r="BE1272" s="2">
        <v>13</v>
      </c>
      <c r="BF1272" s="2" t="s">
        <v>108</v>
      </c>
      <c r="BG1272" s="2">
        <v>1459</v>
      </c>
      <c r="BH1272" s="4">
        <v>0.88541666666666663</v>
      </c>
      <c r="BI1272" s="4">
        <v>0.91319444444444453</v>
      </c>
      <c r="BJ1272" s="2">
        <v>13</v>
      </c>
      <c r="BK1272" s="2" t="s">
        <v>91</v>
      </c>
      <c r="BL1272" s="2" t="s">
        <v>828</v>
      </c>
      <c r="BM1272" s="2">
        <v>241</v>
      </c>
      <c r="BN1272" s="2" t="s">
        <v>82</v>
      </c>
      <c r="BO1272" s="2" t="s">
        <v>82</v>
      </c>
      <c r="BP1272" s="2">
        <v>13</v>
      </c>
      <c r="BQ1272" s="2" t="s">
        <v>91</v>
      </c>
      <c r="BR1272" s="2" t="s">
        <v>1108</v>
      </c>
      <c r="BS1272" s="3">
        <v>40267</v>
      </c>
      <c r="BT1272" s="4">
        <v>0.91575231481481489</v>
      </c>
    </row>
    <row r="1273" spans="1:72" x14ac:dyDescent="0.25">
      <c r="A1273" s="2">
        <v>1925</v>
      </c>
      <c r="B1273" s="2">
        <v>2010</v>
      </c>
      <c r="C1273" s="2" t="s">
        <v>72</v>
      </c>
      <c r="D1273" s="2" t="s">
        <v>73</v>
      </c>
      <c r="E1273" s="2"/>
      <c r="F1273" s="2">
        <v>175</v>
      </c>
      <c r="G1273" s="2" t="s">
        <v>4170</v>
      </c>
      <c r="H1273" s="2">
        <v>50</v>
      </c>
      <c r="I1273" s="2" t="s">
        <v>107</v>
      </c>
      <c r="J1273" s="2">
        <v>455</v>
      </c>
      <c r="K1273" s="2" t="s">
        <v>3895</v>
      </c>
      <c r="L1273" s="2" t="s">
        <v>3134</v>
      </c>
      <c r="M1273" s="3">
        <v>40267</v>
      </c>
      <c r="N1273" s="2" t="s">
        <v>107</v>
      </c>
      <c r="O1273" s="2"/>
      <c r="P1273" s="2" t="s">
        <v>107</v>
      </c>
      <c r="Q1273" s="2" t="str">
        <f>"136-A/10"</f>
        <v>136-A/10</v>
      </c>
      <c r="R1273" s="2" t="s">
        <v>116</v>
      </c>
      <c r="S1273" s="2" t="s">
        <v>116</v>
      </c>
      <c r="T1273" s="2">
        <v>1</v>
      </c>
      <c r="U1273" s="2" t="s">
        <v>79</v>
      </c>
      <c r="V1273" s="2">
        <v>1</v>
      </c>
      <c r="W1273" s="2" t="s">
        <v>80</v>
      </c>
      <c r="X1273" s="2">
        <v>1</v>
      </c>
      <c r="Y1273" s="2" t="s">
        <v>81</v>
      </c>
      <c r="Z1273" s="2">
        <v>1</v>
      </c>
      <c r="AA1273" s="2" t="s">
        <v>82</v>
      </c>
      <c r="AB1273" s="2">
        <v>6</v>
      </c>
      <c r="AC1273" s="2" t="s">
        <v>83</v>
      </c>
      <c r="AD1273" s="3">
        <v>40267</v>
      </c>
      <c r="AE1273" s="4">
        <v>0.5</v>
      </c>
      <c r="AF1273" s="3">
        <v>40267</v>
      </c>
      <c r="AG1273" s="4">
        <v>0.59722222222222221</v>
      </c>
      <c r="AH1273" s="2">
        <v>2</v>
      </c>
      <c r="AI1273" s="2" t="s">
        <v>84</v>
      </c>
      <c r="AJ1273" s="2">
        <v>12</v>
      </c>
      <c r="AK1273" s="2" t="s">
        <v>85</v>
      </c>
      <c r="AL1273" s="2">
        <v>12</v>
      </c>
      <c r="AM1273" s="2" t="s">
        <v>86</v>
      </c>
      <c r="AN1273" s="2"/>
      <c r="AO1273" s="2" t="s">
        <v>4762</v>
      </c>
      <c r="AP1273" s="2">
        <v>11</v>
      </c>
      <c r="AQ1273" s="2" t="s">
        <v>82</v>
      </c>
      <c r="AR1273" s="2"/>
      <c r="AS1273" s="2"/>
      <c r="AT1273" s="2" t="s">
        <v>4763</v>
      </c>
      <c r="AU1273" s="2"/>
      <c r="AV1273" s="2"/>
      <c r="AW1273" s="2"/>
      <c r="AX1273" s="2"/>
      <c r="AY1273" s="2">
        <v>41</v>
      </c>
      <c r="AZ1273" s="2" t="s">
        <v>82</v>
      </c>
      <c r="BA1273" s="2">
        <v>41</v>
      </c>
      <c r="BB1273" s="2" t="s">
        <v>82</v>
      </c>
      <c r="BC1273" s="2">
        <v>41</v>
      </c>
      <c r="BD1273" s="2" t="s">
        <v>82</v>
      </c>
      <c r="BE1273" s="2">
        <v>41</v>
      </c>
      <c r="BF1273" s="2" t="s">
        <v>82</v>
      </c>
      <c r="BG1273" s="2"/>
      <c r="BH1273" s="2"/>
      <c r="BI1273" s="2"/>
      <c r="BJ1273" s="2">
        <v>241</v>
      </c>
      <c r="BK1273" s="2" t="s">
        <v>82</v>
      </c>
      <c r="BL1273" s="2"/>
      <c r="BM1273" s="2">
        <v>241</v>
      </c>
      <c r="BN1273" s="2" t="s">
        <v>82</v>
      </c>
      <c r="BO1273" s="2"/>
      <c r="BP1273" s="2">
        <v>241</v>
      </c>
      <c r="BQ1273" s="2" t="s">
        <v>82</v>
      </c>
      <c r="BR1273" s="2"/>
      <c r="BS1273" s="3">
        <v>40267</v>
      </c>
      <c r="BT1273" s="4">
        <v>0.94973379629629628</v>
      </c>
    </row>
    <row r="1274" spans="1:72" x14ac:dyDescent="0.25">
      <c r="A1274" s="2">
        <v>1926</v>
      </c>
      <c r="B1274" s="2">
        <v>2010</v>
      </c>
      <c r="C1274" s="2" t="s">
        <v>196</v>
      </c>
      <c r="D1274" s="2" t="s">
        <v>122</v>
      </c>
      <c r="E1274" s="2"/>
      <c r="F1274" s="2">
        <v>1</v>
      </c>
      <c r="G1274" s="2" t="s">
        <v>82</v>
      </c>
      <c r="H1274" s="2">
        <v>1</v>
      </c>
      <c r="I1274" s="2" t="s">
        <v>82</v>
      </c>
      <c r="J1274" s="2">
        <v>1</v>
      </c>
      <c r="K1274" s="2" t="s">
        <v>107</v>
      </c>
      <c r="L1274" s="2" t="s">
        <v>107</v>
      </c>
      <c r="M1274" s="3">
        <v>40267</v>
      </c>
      <c r="N1274" s="2"/>
      <c r="O1274" s="2"/>
      <c r="P1274" s="2"/>
      <c r="Q1274" s="2" t="str">
        <f>""</f>
        <v/>
      </c>
      <c r="R1274" s="2"/>
      <c r="S1274" s="2"/>
      <c r="T1274" s="2">
        <v>2</v>
      </c>
      <c r="U1274" s="2" t="s">
        <v>123</v>
      </c>
      <c r="V1274" s="2">
        <v>1</v>
      </c>
      <c r="W1274" s="2" t="s">
        <v>80</v>
      </c>
      <c r="X1274" s="2">
        <v>1</v>
      </c>
      <c r="Y1274" s="2" t="s">
        <v>81</v>
      </c>
      <c r="Z1274" s="2">
        <v>1</v>
      </c>
      <c r="AA1274" s="2" t="s">
        <v>82</v>
      </c>
      <c r="AB1274" s="2">
        <v>9</v>
      </c>
      <c r="AC1274" s="2" t="s">
        <v>124</v>
      </c>
      <c r="AD1274" s="3">
        <v>40267</v>
      </c>
      <c r="AE1274" s="4">
        <v>0.75</v>
      </c>
      <c r="AF1274" s="2"/>
      <c r="AG1274" s="2"/>
      <c r="AH1274" s="2">
        <v>2</v>
      </c>
      <c r="AI1274" s="2" t="s">
        <v>84</v>
      </c>
      <c r="AJ1274" s="2">
        <v>12</v>
      </c>
      <c r="AK1274" s="2" t="s">
        <v>85</v>
      </c>
      <c r="AL1274" s="2">
        <v>20</v>
      </c>
      <c r="AM1274" s="2" t="s">
        <v>992</v>
      </c>
      <c r="AN1274" s="2"/>
      <c r="AO1274" s="2"/>
      <c r="AP1274" s="2">
        <v>11</v>
      </c>
      <c r="AQ1274" s="2" t="s">
        <v>82</v>
      </c>
      <c r="AR1274" s="2"/>
      <c r="AS1274" s="2"/>
      <c r="AT1274" s="2" t="s">
        <v>4764</v>
      </c>
      <c r="AU1274" s="2"/>
      <c r="AV1274" s="2"/>
      <c r="AW1274" s="2"/>
      <c r="AX1274" s="2"/>
      <c r="AY1274" s="2">
        <v>41</v>
      </c>
      <c r="AZ1274" s="2" t="s">
        <v>82</v>
      </c>
      <c r="BA1274" s="2">
        <v>41</v>
      </c>
      <c r="BB1274" s="2" t="s">
        <v>82</v>
      </c>
      <c r="BC1274" s="2">
        <v>41</v>
      </c>
      <c r="BD1274" s="2" t="s">
        <v>82</v>
      </c>
      <c r="BE1274" s="2">
        <v>41</v>
      </c>
      <c r="BF1274" s="2" t="s">
        <v>82</v>
      </c>
      <c r="BG1274" s="2"/>
      <c r="BH1274" s="4">
        <v>0.83680555555555547</v>
      </c>
      <c r="BI1274" s="4">
        <v>0.84444444444444444</v>
      </c>
      <c r="BJ1274" s="2">
        <v>13</v>
      </c>
      <c r="BK1274" s="2" t="s">
        <v>91</v>
      </c>
      <c r="BL1274" s="2" t="s">
        <v>185</v>
      </c>
      <c r="BM1274" s="2">
        <v>241</v>
      </c>
      <c r="BN1274" s="2" t="s">
        <v>82</v>
      </c>
      <c r="BO1274" s="2"/>
      <c r="BP1274" s="2">
        <v>13</v>
      </c>
      <c r="BQ1274" s="2" t="s">
        <v>91</v>
      </c>
      <c r="BR1274" s="2" t="s">
        <v>204</v>
      </c>
      <c r="BS1274" s="3">
        <v>40267</v>
      </c>
      <c r="BT1274" s="4">
        <v>0.95425925925925925</v>
      </c>
    </row>
    <row r="1275" spans="1:72" x14ac:dyDescent="0.25">
      <c r="A1275" s="2">
        <v>1927</v>
      </c>
      <c r="B1275" s="2">
        <v>2010</v>
      </c>
      <c r="C1275" s="2" t="s">
        <v>196</v>
      </c>
      <c r="D1275" s="2" t="s">
        <v>122</v>
      </c>
      <c r="E1275" s="2"/>
      <c r="F1275" s="2">
        <v>1</v>
      </c>
      <c r="G1275" s="2" t="s">
        <v>82</v>
      </c>
      <c r="H1275" s="2">
        <v>1</v>
      </c>
      <c r="I1275" s="2" t="s">
        <v>82</v>
      </c>
      <c r="J1275" s="2">
        <v>1</v>
      </c>
      <c r="K1275" s="2" t="s">
        <v>107</v>
      </c>
      <c r="L1275" s="2" t="s">
        <v>107</v>
      </c>
      <c r="M1275" s="3">
        <v>40267</v>
      </c>
      <c r="N1275" s="2"/>
      <c r="O1275" s="2"/>
      <c r="P1275" s="2"/>
      <c r="Q1275" s="2" t="str">
        <f>""</f>
        <v/>
      </c>
      <c r="R1275" s="2"/>
      <c r="S1275" s="2"/>
      <c r="T1275" s="2">
        <v>2</v>
      </c>
      <c r="U1275" s="2" t="s">
        <v>123</v>
      </c>
      <c r="V1275" s="2">
        <v>1</v>
      </c>
      <c r="W1275" s="2" t="s">
        <v>80</v>
      </c>
      <c r="X1275" s="2">
        <v>5</v>
      </c>
      <c r="Y1275" s="2" t="s">
        <v>82</v>
      </c>
      <c r="Z1275" s="2">
        <v>1</v>
      </c>
      <c r="AA1275" s="2" t="s">
        <v>82</v>
      </c>
      <c r="AB1275" s="2">
        <v>9</v>
      </c>
      <c r="AC1275" s="2" t="s">
        <v>124</v>
      </c>
      <c r="AD1275" s="2"/>
      <c r="AE1275" s="2"/>
      <c r="AF1275" s="2"/>
      <c r="AG1275" s="2"/>
      <c r="AH1275" s="2">
        <v>6</v>
      </c>
      <c r="AI1275" s="2" t="s">
        <v>197</v>
      </c>
      <c r="AJ1275" s="2">
        <v>59</v>
      </c>
      <c r="AK1275" s="2" t="s">
        <v>198</v>
      </c>
      <c r="AL1275" s="2">
        <v>18</v>
      </c>
      <c r="AM1275" s="2" t="s">
        <v>82</v>
      </c>
      <c r="AN1275" s="2" t="s">
        <v>259</v>
      </c>
      <c r="AO1275" s="2" t="s">
        <v>230</v>
      </c>
      <c r="AP1275" s="2">
        <v>11</v>
      </c>
      <c r="AQ1275" s="2" t="s">
        <v>82</v>
      </c>
      <c r="AR1275" s="2"/>
      <c r="AS1275" s="2"/>
      <c r="AT1275" s="2" t="s">
        <v>4765</v>
      </c>
      <c r="AU1275" s="2"/>
      <c r="AV1275" s="2"/>
      <c r="AW1275" s="2"/>
      <c r="AX1275" s="2"/>
      <c r="AY1275" s="2">
        <v>1</v>
      </c>
      <c r="AZ1275" s="2" t="s">
        <v>107</v>
      </c>
      <c r="BA1275" s="2">
        <v>1</v>
      </c>
      <c r="BB1275" s="2" t="s">
        <v>107</v>
      </c>
      <c r="BC1275" s="2">
        <v>1</v>
      </c>
      <c r="BD1275" s="2" t="s">
        <v>107</v>
      </c>
      <c r="BE1275" s="2">
        <v>1</v>
      </c>
      <c r="BF1275" s="2" t="s">
        <v>107</v>
      </c>
      <c r="BG1275" s="2"/>
      <c r="BH1275" s="4">
        <v>0.96527777777777779</v>
      </c>
      <c r="BI1275" s="2"/>
      <c r="BJ1275" s="2">
        <v>242</v>
      </c>
      <c r="BK1275" s="2" t="s">
        <v>107</v>
      </c>
      <c r="BL1275" s="2" t="s">
        <v>185</v>
      </c>
      <c r="BM1275" s="2">
        <v>242</v>
      </c>
      <c r="BN1275" s="2" t="s">
        <v>107</v>
      </c>
      <c r="BO1275" s="2" t="s">
        <v>82</v>
      </c>
      <c r="BP1275" s="2">
        <v>242</v>
      </c>
      <c r="BQ1275" s="2" t="s">
        <v>107</v>
      </c>
      <c r="BR1275" s="2" t="s">
        <v>204</v>
      </c>
      <c r="BS1275" s="3">
        <v>40267</v>
      </c>
      <c r="BT1275" s="4">
        <v>0.97450231481481486</v>
      </c>
    </row>
    <row r="1276" spans="1:72" x14ac:dyDescent="0.25">
      <c r="A1276" s="2">
        <v>1928</v>
      </c>
      <c r="B1276" s="2">
        <v>2010</v>
      </c>
      <c r="C1276" s="2" t="s">
        <v>171</v>
      </c>
      <c r="D1276" s="2" t="s">
        <v>122</v>
      </c>
      <c r="E1276" s="2" t="s">
        <v>4766</v>
      </c>
      <c r="F1276" s="2">
        <v>159</v>
      </c>
      <c r="G1276" s="2" t="s">
        <v>3883</v>
      </c>
      <c r="H1276" s="2">
        <v>19</v>
      </c>
      <c r="I1276" s="2" t="s">
        <v>4355</v>
      </c>
      <c r="J1276" s="2">
        <v>172</v>
      </c>
      <c r="K1276" s="2" t="s">
        <v>3885</v>
      </c>
      <c r="L1276" s="2" t="s">
        <v>3886</v>
      </c>
      <c r="M1276" s="3">
        <v>40268</v>
      </c>
      <c r="N1276" s="2" t="s">
        <v>4356</v>
      </c>
      <c r="O1276" s="2" t="s">
        <v>107</v>
      </c>
      <c r="P1276" s="2" t="s">
        <v>107</v>
      </c>
      <c r="Q1276" s="2" t="str">
        <f>"134-A/10"</f>
        <v>134-A/10</v>
      </c>
      <c r="R1276" s="2" t="s">
        <v>1035</v>
      </c>
      <c r="S1276" s="2" t="s">
        <v>107</v>
      </c>
      <c r="T1276" s="2">
        <v>1</v>
      </c>
      <c r="U1276" s="2" t="s">
        <v>79</v>
      </c>
      <c r="V1276" s="2">
        <v>1</v>
      </c>
      <c r="W1276" s="2" t="s">
        <v>80</v>
      </c>
      <c r="X1276" s="2">
        <v>1</v>
      </c>
      <c r="Y1276" s="2" t="s">
        <v>81</v>
      </c>
      <c r="Z1276" s="2">
        <v>10</v>
      </c>
      <c r="AA1276" s="2" t="s">
        <v>236</v>
      </c>
      <c r="AB1276" s="2">
        <v>1</v>
      </c>
      <c r="AC1276" s="2" t="s">
        <v>178</v>
      </c>
      <c r="AD1276" s="3">
        <v>40267</v>
      </c>
      <c r="AE1276" s="4">
        <v>0.97222222222222221</v>
      </c>
      <c r="AF1276" s="2"/>
      <c r="AG1276" s="2"/>
      <c r="AH1276" s="2">
        <v>2</v>
      </c>
      <c r="AI1276" s="2" t="s">
        <v>84</v>
      </c>
      <c r="AJ1276" s="2">
        <v>12</v>
      </c>
      <c r="AK1276" s="2" t="s">
        <v>85</v>
      </c>
      <c r="AL1276" s="2">
        <v>18</v>
      </c>
      <c r="AM1276" s="2" t="s">
        <v>82</v>
      </c>
      <c r="AN1276" s="2"/>
      <c r="AO1276" s="2" t="s">
        <v>1971</v>
      </c>
      <c r="AP1276" s="2">
        <v>11</v>
      </c>
      <c r="AQ1276" s="2" t="s">
        <v>82</v>
      </c>
      <c r="AR1276" s="2" t="s">
        <v>82</v>
      </c>
      <c r="AS1276" s="2" t="s">
        <v>82</v>
      </c>
      <c r="AT1276" s="2" t="s">
        <v>4767</v>
      </c>
      <c r="AU1276" s="2">
        <v>1</v>
      </c>
      <c r="AV1276" s="2"/>
      <c r="AW1276" s="2"/>
      <c r="AX1276" s="2"/>
      <c r="AY1276" s="2">
        <v>41</v>
      </c>
      <c r="AZ1276" s="2" t="s">
        <v>82</v>
      </c>
      <c r="BA1276" s="2">
        <v>41</v>
      </c>
      <c r="BB1276" s="2" t="s">
        <v>82</v>
      </c>
      <c r="BC1276" s="2">
        <v>41</v>
      </c>
      <c r="BD1276" s="2" t="s">
        <v>82</v>
      </c>
      <c r="BE1276" s="2">
        <v>4</v>
      </c>
      <c r="BF1276" s="2" t="s">
        <v>90</v>
      </c>
      <c r="BG1276" s="2" t="s">
        <v>4751</v>
      </c>
      <c r="BH1276" s="2"/>
      <c r="BI1276" s="4">
        <v>0.51041666666666663</v>
      </c>
      <c r="BJ1276" s="2">
        <v>13</v>
      </c>
      <c r="BK1276" s="2" t="s">
        <v>91</v>
      </c>
      <c r="BL1276" s="2" t="s">
        <v>170</v>
      </c>
      <c r="BM1276" s="2">
        <v>241</v>
      </c>
      <c r="BN1276" s="2" t="s">
        <v>82</v>
      </c>
      <c r="BO1276" s="2" t="s">
        <v>82</v>
      </c>
      <c r="BP1276" s="2">
        <v>13</v>
      </c>
      <c r="BQ1276" s="2" t="s">
        <v>91</v>
      </c>
      <c r="BR1276" s="2" t="s">
        <v>1199</v>
      </c>
      <c r="BS1276" s="3">
        <v>40268</v>
      </c>
      <c r="BT1276" s="4">
        <v>0.18968750000000001</v>
      </c>
    </row>
    <row r="1277" spans="1:72" x14ac:dyDescent="0.25">
      <c r="A1277" s="2">
        <v>1929</v>
      </c>
      <c r="B1277" s="2">
        <v>2010</v>
      </c>
      <c r="C1277" s="2" t="s">
        <v>171</v>
      </c>
      <c r="D1277" s="2" t="s">
        <v>73</v>
      </c>
      <c r="E1277" s="2"/>
      <c r="F1277" s="2">
        <v>159</v>
      </c>
      <c r="G1277" s="2" t="s">
        <v>3883</v>
      </c>
      <c r="H1277" s="2">
        <v>19</v>
      </c>
      <c r="I1277" s="2" t="s">
        <v>4355</v>
      </c>
      <c r="J1277" s="2">
        <v>172</v>
      </c>
      <c r="K1277" s="2" t="s">
        <v>3885</v>
      </c>
      <c r="L1277" s="2" t="s">
        <v>3886</v>
      </c>
      <c r="M1277" s="3">
        <v>40268</v>
      </c>
      <c r="N1277" s="2" t="s">
        <v>4684</v>
      </c>
      <c r="O1277" s="2"/>
      <c r="P1277" s="2"/>
      <c r="Q1277" s="2" t="str">
        <f>"138-A/10"</f>
        <v>138-A/10</v>
      </c>
      <c r="R1277" s="2"/>
      <c r="S1277" s="2" t="s">
        <v>1035</v>
      </c>
      <c r="T1277" s="2">
        <v>1</v>
      </c>
      <c r="U1277" s="2" t="s">
        <v>79</v>
      </c>
      <c r="V1277" s="2">
        <v>1</v>
      </c>
      <c r="W1277" s="2" t="s">
        <v>80</v>
      </c>
      <c r="X1277" s="2">
        <v>1</v>
      </c>
      <c r="Y1277" s="2" t="s">
        <v>81</v>
      </c>
      <c r="Z1277" s="2">
        <v>1</v>
      </c>
      <c r="AA1277" s="2" t="s">
        <v>82</v>
      </c>
      <c r="AB1277" s="2">
        <v>1</v>
      </c>
      <c r="AC1277" s="2" t="s">
        <v>178</v>
      </c>
      <c r="AD1277" s="3">
        <v>40267</v>
      </c>
      <c r="AE1277" s="4">
        <v>0.9375</v>
      </c>
      <c r="AF1277" s="2"/>
      <c r="AG1277" s="2"/>
      <c r="AH1277" s="2">
        <v>2</v>
      </c>
      <c r="AI1277" s="2" t="s">
        <v>84</v>
      </c>
      <c r="AJ1277" s="2">
        <v>12</v>
      </c>
      <c r="AK1277" s="2" t="s">
        <v>85</v>
      </c>
      <c r="AL1277" s="2">
        <v>11</v>
      </c>
      <c r="AM1277" s="2" t="s">
        <v>137</v>
      </c>
      <c r="AN1277" s="2" t="s">
        <v>919</v>
      </c>
      <c r="AO1277" s="2" t="s">
        <v>4768</v>
      </c>
      <c r="AP1277" s="2">
        <v>11</v>
      </c>
      <c r="AQ1277" s="2" t="s">
        <v>82</v>
      </c>
      <c r="AR1277" s="2"/>
      <c r="AS1277" s="2"/>
      <c r="AT1277" s="2" t="s">
        <v>4769</v>
      </c>
      <c r="AU1277" s="2"/>
      <c r="AV1277" s="2">
        <v>1</v>
      </c>
      <c r="AW1277" s="2"/>
      <c r="AX1277" s="2"/>
      <c r="AY1277" s="2">
        <v>41</v>
      </c>
      <c r="AZ1277" s="2" t="s">
        <v>82</v>
      </c>
      <c r="BA1277" s="2">
        <v>41</v>
      </c>
      <c r="BB1277" s="2" t="s">
        <v>82</v>
      </c>
      <c r="BC1277" s="2">
        <v>41</v>
      </c>
      <c r="BD1277" s="2" t="s">
        <v>82</v>
      </c>
      <c r="BE1277" s="2">
        <v>47</v>
      </c>
      <c r="BF1277" s="2" t="s">
        <v>167</v>
      </c>
      <c r="BG1277" s="2" t="s">
        <v>4770</v>
      </c>
      <c r="BH1277" s="2"/>
      <c r="BI1277" s="4">
        <v>0.96180555555555547</v>
      </c>
      <c r="BJ1277" s="2">
        <v>13</v>
      </c>
      <c r="BK1277" s="2" t="s">
        <v>91</v>
      </c>
      <c r="BL1277" s="2" t="s">
        <v>564</v>
      </c>
      <c r="BM1277" s="2">
        <v>241</v>
      </c>
      <c r="BN1277" s="2" t="s">
        <v>82</v>
      </c>
      <c r="BO1277" s="2"/>
      <c r="BP1277" s="2">
        <v>13</v>
      </c>
      <c r="BQ1277" s="2" t="s">
        <v>91</v>
      </c>
      <c r="BR1277" s="2" t="s">
        <v>492</v>
      </c>
      <c r="BS1277" s="3">
        <v>40268</v>
      </c>
      <c r="BT1277" s="4">
        <v>0.2409259259259259</v>
      </c>
    </row>
    <row r="1278" spans="1:72" x14ac:dyDescent="0.25">
      <c r="A1278" s="2">
        <v>1930</v>
      </c>
      <c r="B1278" s="2">
        <v>2010</v>
      </c>
      <c r="C1278" s="2" t="s">
        <v>4543</v>
      </c>
      <c r="D1278" s="2" t="s">
        <v>122</v>
      </c>
      <c r="E1278" s="2"/>
      <c r="F1278" s="2">
        <v>1</v>
      </c>
      <c r="G1278" s="2" t="s">
        <v>82</v>
      </c>
      <c r="H1278" s="2">
        <v>1</v>
      </c>
      <c r="I1278" s="2" t="s">
        <v>82</v>
      </c>
      <c r="J1278" s="2">
        <v>1</v>
      </c>
      <c r="K1278" s="2" t="s">
        <v>107</v>
      </c>
      <c r="L1278" s="2" t="s">
        <v>107</v>
      </c>
      <c r="M1278" s="3">
        <v>40268</v>
      </c>
      <c r="N1278" s="2"/>
      <c r="O1278" s="2"/>
      <c r="P1278" s="2"/>
      <c r="Q1278" s="2" t="str">
        <f>""</f>
        <v/>
      </c>
      <c r="R1278" s="2"/>
      <c r="S1278" s="2"/>
      <c r="T1278" s="2">
        <v>2</v>
      </c>
      <c r="U1278" s="2" t="s">
        <v>123</v>
      </c>
      <c r="V1278" s="2">
        <v>1</v>
      </c>
      <c r="W1278" s="2" t="s">
        <v>80</v>
      </c>
      <c r="X1278" s="2">
        <v>1</v>
      </c>
      <c r="Y1278" s="2" t="s">
        <v>81</v>
      </c>
      <c r="Z1278" s="2">
        <v>1</v>
      </c>
      <c r="AA1278" s="2" t="s">
        <v>82</v>
      </c>
      <c r="AB1278" s="2">
        <v>9</v>
      </c>
      <c r="AC1278" s="2" t="s">
        <v>124</v>
      </c>
      <c r="AD1278" s="3">
        <v>40268</v>
      </c>
      <c r="AE1278" s="4">
        <v>0.3125</v>
      </c>
      <c r="AF1278" s="2"/>
      <c r="AG1278" s="2"/>
      <c r="AH1278" s="2">
        <v>3</v>
      </c>
      <c r="AI1278" s="2" t="s">
        <v>214</v>
      </c>
      <c r="AJ1278" s="2">
        <v>20</v>
      </c>
      <c r="AK1278" s="2" t="s">
        <v>1897</v>
      </c>
      <c r="AL1278" s="2">
        <v>18</v>
      </c>
      <c r="AM1278" s="2" t="s">
        <v>82</v>
      </c>
      <c r="AN1278" s="2" t="s">
        <v>4019</v>
      </c>
      <c r="AO1278" s="2" t="s">
        <v>4771</v>
      </c>
      <c r="AP1278" s="2">
        <v>11</v>
      </c>
      <c r="AQ1278" s="2" t="s">
        <v>82</v>
      </c>
      <c r="AR1278" s="2"/>
      <c r="AS1278" s="2"/>
      <c r="AT1278" s="2" t="s">
        <v>4772</v>
      </c>
      <c r="AU1278" s="2"/>
      <c r="AV1278" s="2"/>
      <c r="AW1278" s="2"/>
      <c r="AX1278" s="2"/>
      <c r="AY1278" s="2">
        <v>1</v>
      </c>
      <c r="AZ1278" s="2" t="s">
        <v>107</v>
      </c>
      <c r="BA1278" s="2">
        <v>1</v>
      </c>
      <c r="BB1278" s="2" t="s">
        <v>107</v>
      </c>
      <c r="BC1278" s="2">
        <v>1</v>
      </c>
      <c r="BD1278" s="2" t="s">
        <v>107</v>
      </c>
      <c r="BE1278" s="2">
        <v>1</v>
      </c>
      <c r="BF1278" s="2" t="s">
        <v>107</v>
      </c>
      <c r="BG1278" s="2"/>
      <c r="BH1278" s="2"/>
      <c r="BI1278" s="2"/>
      <c r="BJ1278" s="2">
        <v>242</v>
      </c>
      <c r="BK1278" s="2" t="s">
        <v>107</v>
      </c>
      <c r="BL1278" s="2"/>
      <c r="BM1278" s="2">
        <v>242</v>
      </c>
      <c r="BN1278" s="2" t="s">
        <v>107</v>
      </c>
      <c r="BO1278" s="2"/>
      <c r="BP1278" s="2">
        <v>242</v>
      </c>
      <c r="BQ1278" s="2" t="s">
        <v>107</v>
      </c>
      <c r="BR1278" s="2"/>
      <c r="BS1278" s="3">
        <v>40268</v>
      </c>
      <c r="BT1278" s="4">
        <v>0.37700231481481478</v>
      </c>
    </row>
    <row r="1279" spans="1:72" x14ac:dyDescent="0.25">
      <c r="A1279" s="2">
        <v>1931</v>
      </c>
      <c r="B1279" s="2">
        <v>2010</v>
      </c>
      <c r="C1279" s="2" t="s">
        <v>72</v>
      </c>
      <c r="D1279" s="2" t="s">
        <v>73</v>
      </c>
      <c r="E1279" s="2"/>
      <c r="F1279" s="2">
        <v>114</v>
      </c>
      <c r="G1279" s="2" t="s">
        <v>2817</v>
      </c>
      <c r="H1279" s="2">
        <v>50</v>
      </c>
      <c r="I1279" s="2" t="s">
        <v>107</v>
      </c>
      <c r="J1279" s="2">
        <v>133</v>
      </c>
      <c r="K1279" s="2" t="s">
        <v>3844</v>
      </c>
      <c r="L1279" s="2" t="s">
        <v>3845</v>
      </c>
      <c r="M1279" s="3">
        <v>40268</v>
      </c>
      <c r="N1279" s="2" t="s">
        <v>107</v>
      </c>
      <c r="O1279" s="2" t="s">
        <v>107</v>
      </c>
      <c r="P1279" s="2" t="s">
        <v>107</v>
      </c>
      <c r="Q1279" s="2" t="str">
        <f>"0006/2010"</f>
        <v>0006/2010</v>
      </c>
      <c r="R1279" s="2" t="s">
        <v>4773</v>
      </c>
      <c r="S1279" s="2" t="s">
        <v>4773</v>
      </c>
      <c r="T1279" s="2">
        <v>1</v>
      </c>
      <c r="U1279" s="2" t="s">
        <v>79</v>
      </c>
      <c r="V1279" s="2">
        <v>1</v>
      </c>
      <c r="W1279" s="2" t="s">
        <v>80</v>
      </c>
      <c r="X1279" s="2">
        <v>1</v>
      </c>
      <c r="Y1279" s="2" t="s">
        <v>81</v>
      </c>
      <c r="Z1279" s="2">
        <v>10</v>
      </c>
      <c r="AA1279" s="2" t="s">
        <v>236</v>
      </c>
      <c r="AB1279" s="2">
        <v>6</v>
      </c>
      <c r="AC1279" s="2" t="s">
        <v>83</v>
      </c>
      <c r="AD1279" s="3">
        <v>40267</v>
      </c>
      <c r="AE1279" s="4">
        <v>0.98749999999999993</v>
      </c>
      <c r="AF1279" s="3">
        <v>40267</v>
      </c>
      <c r="AG1279" s="4">
        <v>6.3888888888888884E-2</v>
      </c>
      <c r="AH1279" s="2">
        <v>6</v>
      </c>
      <c r="AI1279" s="2" t="s">
        <v>197</v>
      </c>
      <c r="AJ1279" s="2">
        <v>54</v>
      </c>
      <c r="AK1279" s="2" t="s">
        <v>348</v>
      </c>
      <c r="AL1279" s="2">
        <v>8</v>
      </c>
      <c r="AM1279" s="2" t="s">
        <v>179</v>
      </c>
      <c r="AN1279" s="2" t="s">
        <v>107</v>
      </c>
      <c r="AO1279" s="2" t="s">
        <v>4774</v>
      </c>
      <c r="AP1279" s="2">
        <v>11</v>
      </c>
      <c r="AQ1279" s="2" t="s">
        <v>82</v>
      </c>
      <c r="AR1279" s="2" t="s">
        <v>82</v>
      </c>
      <c r="AS1279" s="2" t="s">
        <v>82</v>
      </c>
      <c r="AT1279" s="2" t="s">
        <v>4775</v>
      </c>
      <c r="AU1279" s="2"/>
      <c r="AV1279" s="2"/>
      <c r="AW1279" s="2"/>
      <c r="AX1279" s="2"/>
      <c r="AY1279" s="2">
        <v>41</v>
      </c>
      <c r="AZ1279" s="2" t="s">
        <v>82</v>
      </c>
      <c r="BA1279" s="2">
        <v>41</v>
      </c>
      <c r="BB1279" s="2" t="s">
        <v>82</v>
      </c>
      <c r="BC1279" s="2">
        <v>41</v>
      </c>
      <c r="BD1279" s="2" t="s">
        <v>82</v>
      </c>
      <c r="BE1279" s="2">
        <v>4</v>
      </c>
      <c r="BF1279" s="2" t="s">
        <v>90</v>
      </c>
      <c r="BG1279" s="2">
        <v>4424</v>
      </c>
      <c r="BH1279" s="4">
        <v>0.98749999999999993</v>
      </c>
      <c r="BI1279" s="4">
        <v>3.3333333333333333E-2</v>
      </c>
      <c r="BJ1279" s="2">
        <v>13</v>
      </c>
      <c r="BK1279" s="2" t="s">
        <v>91</v>
      </c>
      <c r="BL1279" s="2" t="s">
        <v>353</v>
      </c>
      <c r="BM1279" s="2">
        <v>241</v>
      </c>
      <c r="BN1279" s="2" t="s">
        <v>82</v>
      </c>
      <c r="BO1279" s="2" t="s">
        <v>82</v>
      </c>
      <c r="BP1279" s="2">
        <v>13</v>
      </c>
      <c r="BQ1279" s="2" t="s">
        <v>91</v>
      </c>
      <c r="BR1279" s="2" t="s">
        <v>185</v>
      </c>
      <c r="BS1279" s="3">
        <v>40268</v>
      </c>
      <c r="BT1279" s="4">
        <v>0.38936342592592593</v>
      </c>
    </row>
    <row r="1280" spans="1:72" x14ac:dyDescent="0.25">
      <c r="A1280" s="2">
        <v>1933</v>
      </c>
      <c r="B1280" s="2">
        <v>2010</v>
      </c>
      <c r="C1280" s="2" t="s">
        <v>2219</v>
      </c>
      <c r="D1280" s="2" t="s">
        <v>73</v>
      </c>
      <c r="E1280" s="2"/>
      <c r="F1280" s="2">
        <v>390</v>
      </c>
      <c r="G1280" s="2" t="s">
        <v>475</v>
      </c>
      <c r="H1280" s="2">
        <v>5</v>
      </c>
      <c r="I1280" s="2" t="s">
        <v>634</v>
      </c>
      <c r="J1280" s="2">
        <v>314</v>
      </c>
      <c r="K1280" s="2" t="s">
        <v>477</v>
      </c>
      <c r="L1280" s="2" t="s">
        <v>478</v>
      </c>
      <c r="M1280" s="3">
        <v>40268</v>
      </c>
      <c r="N1280" s="2" t="s">
        <v>3103</v>
      </c>
      <c r="O1280" s="2" t="s">
        <v>4173</v>
      </c>
      <c r="P1280" s="2" t="s">
        <v>107</v>
      </c>
      <c r="Q1280" s="2" t="str">
        <f>"172-E/10"</f>
        <v>172-E/10</v>
      </c>
      <c r="R1280" s="2" t="s">
        <v>4173</v>
      </c>
      <c r="S1280" s="2" t="s">
        <v>4173</v>
      </c>
      <c r="T1280" s="2">
        <v>1</v>
      </c>
      <c r="U1280" s="2" t="s">
        <v>79</v>
      </c>
      <c r="V1280" s="2">
        <v>1</v>
      </c>
      <c r="W1280" s="2" t="s">
        <v>80</v>
      </c>
      <c r="X1280" s="2">
        <v>1</v>
      </c>
      <c r="Y1280" s="2" t="s">
        <v>81</v>
      </c>
      <c r="Z1280" s="2">
        <v>1</v>
      </c>
      <c r="AA1280" s="2" t="s">
        <v>82</v>
      </c>
      <c r="AB1280" s="2">
        <v>9</v>
      </c>
      <c r="AC1280" s="2" t="s">
        <v>124</v>
      </c>
      <c r="AD1280" s="3">
        <v>40267</v>
      </c>
      <c r="AE1280" s="4">
        <v>0.54166666666666663</v>
      </c>
      <c r="AF1280" s="3">
        <v>40267</v>
      </c>
      <c r="AG1280" s="4">
        <v>0.83333333333333337</v>
      </c>
      <c r="AH1280" s="2">
        <v>2</v>
      </c>
      <c r="AI1280" s="2" t="s">
        <v>84</v>
      </c>
      <c r="AJ1280" s="2">
        <v>9</v>
      </c>
      <c r="AK1280" s="2" t="s">
        <v>103</v>
      </c>
      <c r="AL1280" s="2">
        <v>12</v>
      </c>
      <c r="AM1280" s="2" t="s">
        <v>86</v>
      </c>
      <c r="AN1280" s="2" t="s">
        <v>4776</v>
      </c>
      <c r="AO1280" s="2" t="s">
        <v>82</v>
      </c>
      <c r="AP1280" s="2">
        <v>11</v>
      </c>
      <c r="AQ1280" s="2" t="s">
        <v>82</v>
      </c>
      <c r="AR1280" s="2"/>
      <c r="AS1280" s="2"/>
      <c r="AT1280" s="2" t="s">
        <v>4777</v>
      </c>
      <c r="AU1280" s="2">
        <v>1</v>
      </c>
      <c r="AV1280" s="2"/>
      <c r="AW1280" s="2"/>
      <c r="AX1280" s="2"/>
      <c r="AY1280" s="2">
        <v>41</v>
      </c>
      <c r="AZ1280" s="2" t="s">
        <v>82</v>
      </c>
      <c r="BA1280" s="2">
        <v>41</v>
      </c>
      <c r="BB1280" s="2" t="s">
        <v>82</v>
      </c>
      <c r="BC1280" s="2">
        <v>41</v>
      </c>
      <c r="BD1280" s="2" t="s">
        <v>82</v>
      </c>
      <c r="BE1280" s="2">
        <v>41</v>
      </c>
      <c r="BF1280" s="2" t="s">
        <v>82</v>
      </c>
      <c r="BG1280" s="2"/>
      <c r="BH1280" s="2"/>
      <c r="BI1280" s="2"/>
      <c r="BJ1280" s="2">
        <v>241</v>
      </c>
      <c r="BK1280" s="2" t="s">
        <v>82</v>
      </c>
      <c r="BL1280" s="2"/>
      <c r="BM1280" s="2">
        <v>241</v>
      </c>
      <c r="BN1280" s="2" t="s">
        <v>82</v>
      </c>
      <c r="BO1280" s="2"/>
      <c r="BP1280" s="2">
        <v>241</v>
      </c>
      <c r="BQ1280" s="2" t="s">
        <v>82</v>
      </c>
      <c r="BR1280" s="2"/>
      <c r="BS1280" s="3">
        <v>40268</v>
      </c>
      <c r="BT1280" s="4">
        <v>0.47489583333333335</v>
      </c>
    </row>
    <row r="1281" spans="1:72" x14ac:dyDescent="0.25">
      <c r="A1281" s="2">
        <v>1936</v>
      </c>
      <c r="B1281" s="2">
        <v>2010</v>
      </c>
      <c r="C1281" s="2" t="s">
        <v>72</v>
      </c>
      <c r="D1281" s="2" t="s">
        <v>73</v>
      </c>
      <c r="E1281" s="2"/>
      <c r="F1281" s="2">
        <v>3</v>
      </c>
      <c r="G1281" s="2" t="s">
        <v>1041</v>
      </c>
      <c r="H1281" s="2">
        <v>1</v>
      </c>
      <c r="I1281" s="2" t="s">
        <v>82</v>
      </c>
      <c r="J1281" s="2">
        <v>368</v>
      </c>
      <c r="K1281" s="2" t="s">
        <v>1042</v>
      </c>
      <c r="L1281" s="2" t="s">
        <v>1043</v>
      </c>
      <c r="M1281" s="3">
        <v>40268</v>
      </c>
      <c r="N1281" s="2"/>
      <c r="O1281" s="2"/>
      <c r="P1281" s="2"/>
      <c r="Q1281" s="2" t="str">
        <f>"174-E/10"</f>
        <v>174-E/10</v>
      </c>
      <c r="R1281" s="2" t="s">
        <v>4778</v>
      </c>
      <c r="S1281" s="2" t="s">
        <v>4778</v>
      </c>
      <c r="T1281" s="2">
        <v>1</v>
      </c>
      <c r="U1281" s="2" t="s">
        <v>79</v>
      </c>
      <c r="V1281" s="2">
        <v>1</v>
      </c>
      <c r="W1281" s="2" t="s">
        <v>80</v>
      </c>
      <c r="X1281" s="2">
        <v>1</v>
      </c>
      <c r="Y1281" s="2" t="s">
        <v>81</v>
      </c>
      <c r="Z1281" s="2">
        <v>1</v>
      </c>
      <c r="AA1281" s="2" t="s">
        <v>82</v>
      </c>
      <c r="AB1281" s="2">
        <v>6</v>
      </c>
      <c r="AC1281" s="2" t="s">
        <v>83</v>
      </c>
      <c r="AD1281" s="3">
        <v>40267</v>
      </c>
      <c r="AE1281" s="4">
        <v>0.89583333333333337</v>
      </c>
      <c r="AF1281" s="3">
        <v>40268</v>
      </c>
      <c r="AG1281" s="4">
        <v>0.29166666666666669</v>
      </c>
      <c r="AH1281" s="2">
        <v>2</v>
      </c>
      <c r="AI1281" s="2" t="s">
        <v>84</v>
      </c>
      <c r="AJ1281" s="2">
        <v>9</v>
      </c>
      <c r="AK1281" s="2" t="s">
        <v>103</v>
      </c>
      <c r="AL1281" s="2">
        <v>18</v>
      </c>
      <c r="AM1281" s="2" t="s">
        <v>82</v>
      </c>
      <c r="AN1281" s="2" t="s">
        <v>4779</v>
      </c>
      <c r="AO1281" s="2" t="s">
        <v>4780</v>
      </c>
      <c r="AP1281" s="2">
        <v>11</v>
      </c>
      <c r="AQ1281" s="2" t="s">
        <v>82</v>
      </c>
      <c r="AR1281" s="2"/>
      <c r="AS1281" s="2"/>
      <c r="AT1281" s="2" t="s">
        <v>4781</v>
      </c>
      <c r="AU1281" s="2"/>
      <c r="AV1281" s="2"/>
      <c r="AW1281" s="2">
        <v>10</v>
      </c>
      <c r="AX1281" s="2"/>
      <c r="AY1281" s="2">
        <v>41</v>
      </c>
      <c r="AZ1281" s="2" t="s">
        <v>82</v>
      </c>
      <c r="BA1281" s="2">
        <v>41</v>
      </c>
      <c r="BB1281" s="2" t="s">
        <v>82</v>
      </c>
      <c r="BC1281" s="2">
        <v>41</v>
      </c>
      <c r="BD1281" s="2" t="s">
        <v>82</v>
      </c>
      <c r="BE1281" s="2">
        <v>41</v>
      </c>
      <c r="BF1281" s="2" t="s">
        <v>82</v>
      </c>
      <c r="BG1281" s="2"/>
      <c r="BH1281" s="2"/>
      <c r="BI1281" s="2"/>
      <c r="BJ1281" s="2">
        <v>241</v>
      </c>
      <c r="BK1281" s="2" t="s">
        <v>82</v>
      </c>
      <c r="BL1281" s="2"/>
      <c r="BM1281" s="2">
        <v>241</v>
      </c>
      <c r="BN1281" s="2" t="s">
        <v>82</v>
      </c>
      <c r="BO1281" s="2"/>
      <c r="BP1281" s="2">
        <v>241</v>
      </c>
      <c r="BQ1281" s="2" t="s">
        <v>82</v>
      </c>
      <c r="BR1281" s="2"/>
      <c r="BS1281" s="3">
        <v>40268</v>
      </c>
      <c r="BT1281" s="4">
        <v>0.52783564814814821</v>
      </c>
    </row>
    <row r="1282" spans="1:72" x14ac:dyDescent="0.25">
      <c r="A1282" s="2">
        <v>1937</v>
      </c>
      <c r="B1282" s="2">
        <v>2010</v>
      </c>
      <c r="C1282" s="2" t="s">
        <v>1559</v>
      </c>
      <c r="D1282" s="2" t="s">
        <v>73</v>
      </c>
      <c r="E1282" s="2"/>
      <c r="F1282" s="2">
        <v>390</v>
      </c>
      <c r="G1282" s="2" t="s">
        <v>475</v>
      </c>
      <c r="H1282" s="2">
        <v>5</v>
      </c>
      <c r="I1282" s="2" t="s">
        <v>634</v>
      </c>
      <c r="J1282" s="2">
        <v>314</v>
      </c>
      <c r="K1282" s="2" t="s">
        <v>477</v>
      </c>
      <c r="L1282" s="2" t="s">
        <v>478</v>
      </c>
      <c r="M1282" s="3">
        <v>40268</v>
      </c>
      <c r="N1282" s="2" t="s">
        <v>3103</v>
      </c>
      <c r="O1282" s="2" t="s">
        <v>107</v>
      </c>
      <c r="P1282" s="2" t="s">
        <v>107</v>
      </c>
      <c r="Q1282" s="2" t="str">
        <f>"173-E/10"</f>
        <v>173-E/10</v>
      </c>
      <c r="R1282" s="2" t="s">
        <v>4782</v>
      </c>
      <c r="S1282" s="2" t="s">
        <v>480</v>
      </c>
      <c r="T1282" s="2">
        <v>1</v>
      </c>
      <c r="U1282" s="2" t="s">
        <v>79</v>
      </c>
      <c r="V1282" s="2">
        <v>1</v>
      </c>
      <c r="W1282" s="2" t="s">
        <v>80</v>
      </c>
      <c r="X1282" s="2">
        <v>5</v>
      </c>
      <c r="Y1282" s="2" t="s">
        <v>82</v>
      </c>
      <c r="Z1282" s="2">
        <v>1</v>
      </c>
      <c r="AA1282" s="2" t="s">
        <v>82</v>
      </c>
      <c r="AB1282" s="2">
        <v>9</v>
      </c>
      <c r="AC1282" s="2" t="s">
        <v>124</v>
      </c>
      <c r="AD1282" s="2"/>
      <c r="AE1282" s="2"/>
      <c r="AF1282" s="3">
        <v>40267</v>
      </c>
      <c r="AG1282" s="4">
        <v>0.51041666666666663</v>
      </c>
      <c r="AH1282" s="2">
        <v>2</v>
      </c>
      <c r="AI1282" s="2" t="s">
        <v>84</v>
      </c>
      <c r="AJ1282" s="2">
        <v>9</v>
      </c>
      <c r="AK1282" s="2" t="s">
        <v>103</v>
      </c>
      <c r="AL1282" s="2">
        <v>18</v>
      </c>
      <c r="AM1282" s="2" t="s">
        <v>82</v>
      </c>
      <c r="AN1282" s="2" t="s">
        <v>4783</v>
      </c>
      <c r="AO1282" s="2" t="s">
        <v>251</v>
      </c>
      <c r="AP1282" s="2">
        <v>11</v>
      </c>
      <c r="AQ1282" s="2" t="s">
        <v>82</v>
      </c>
      <c r="AR1282" s="2" t="s">
        <v>82</v>
      </c>
      <c r="AS1282" s="2" t="s">
        <v>82</v>
      </c>
      <c r="AT1282" s="2" t="s">
        <v>4784</v>
      </c>
      <c r="AU1282" s="2"/>
      <c r="AV1282" s="2"/>
      <c r="AW1282" s="2"/>
      <c r="AX1282" s="2"/>
      <c r="AY1282" s="2">
        <v>41</v>
      </c>
      <c r="AZ1282" s="2" t="s">
        <v>82</v>
      </c>
      <c r="BA1282" s="2">
        <v>41</v>
      </c>
      <c r="BB1282" s="2" t="s">
        <v>82</v>
      </c>
      <c r="BC1282" s="2">
        <v>41</v>
      </c>
      <c r="BD1282" s="2" t="s">
        <v>82</v>
      </c>
      <c r="BE1282" s="2">
        <v>41</v>
      </c>
      <c r="BF1282" s="2" t="s">
        <v>82</v>
      </c>
      <c r="BG1282" s="2" t="s">
        <v>82</v>
      </c>
      <c r="BH1282" s="2"/>
      <c r="BI1282" s="2"/>
      <c r="BJ1282" s="2">
        <v>241</v>
      </c>
      <c r="BK1282" s="2" t="s">
        <v>82</v>
      </c>
      <c r="BL1282" s="2" t="s">
        <v>82</v>
      </c>
      <c r="BM1282" s="2">
        <v>241</v>
      </c>
      <c r="BN1282" s="2" t="s">
        <v>82</v>
      </c>
      <c r="BO1282" s="2" t="s">
        <v>82</v>
      </c>
      <c r="BP1282" s="2">
        <v>241</v>
      </c>
      <c r="BQ1282" s="2" t="s">
        <v>82</v>
      </c>
      <c r="BR1282" s="2" t="s">
        <v>82</v>
      </c>
      <c r="BS1282" s="3">
        <v>40268</v>
      </c>
      <c r="BT1282" s="4">
        <v>0.53736111111111107</v>
      </c>
    </row>
    <row r="1283" spans="1:72" x14ac:dyDescent="0.25">
      <c r="A1283" s="2">
        <v>1939</v>
      </c>
      <c r="B1283" s="2">
        <v>2010</v>
      </c>
      <c r="C1283" s="2" t="s">
        <v>171</v>
      </c>
      <c r="D1283" s="2" t="s">
        <v>73</v>
      </c>
      <c r="E1283" s="2"/>
      <c r="F1283" s="2">
        <v>399</v>
      </c>
      <c r="G1283" s="2" t="s">
        <v>587</v>
      </c>
      <c r="H1283" s="2">
        <v>15</v>
      </c>
      <c r="I1283" s="2" t="s">
        <v>130</v>
      </c>
      <c r="J1283" s="2">
        <v>242</v>
      </c>
      <c r="K1283" s="2" t="s">
        <v>1077</v>
      </c>
      <c r="L1283" s="2" t="s">
        <v>1078</v>
      </c>
      <c r="M1283" s="3">
        <v>40268</v>
      </c>
      <c r="N1283" s="2" t="s">
        <v>588</v>
      </c>
      <c r="O1283" s="2" t="s">
        <v>4785</v>
      </c>
      <c r="P1283" s="2">
        <v>6484</v>
      </c>
      <c r="Q1283" s="2" t="str">
        <f>"167E/10"</f>
        <v>167E/10</v>
      </c>
      <c r="R1283" s="2"/>
      <c r="S1283" s="2" t="s">
        <v>4786</v>
      </c>
      <c r="T1283" s="2">
        <v>1</v>
      </c>
      <c r="U1283" s="2" t="s">
        <v>79</v>
      </c>
      <c r="V1283" s="2">
        <v>3</v>
      </c>
      <c r="W1283" s="2" t="s">
        <v>225</v>
      </c>
      <c r="X1283" s="2">
        <v>6</v>
      </c>
      <c r="Y1283" s="2" t="s">
        <v>249</v>
      </c>
      <c r="Z1283" s="2">
        <v>10</v>
      </c>
      <c r="AA1283" s="2" t="s">
        <v>236</v>
      </c>
      <c r="AB1283" s="2">
        <v>9</v>
      </c>
      <c r="AC1283" s="2" t="s">
        <v>124</v>
      </c>
      <c r="AD1283" s="3">
        <v>40268</v>
      </c>
      <c r="AE1283" s="4">
        <v>0.45833333333333331</v>
      </c>
      <c r="AF1283" s="2"/>
      <c r="AG1283" s="2"/>
      <c r="AH1283" s="2">
        <v>2</v>
      </c>
      <c r="AI1283" s="2" t="s">
        <v>84</v>
      </c>
      <c r="AJ1283" s="2">
        <v>6</v>
      </c>
      <c r="AK1283" s="2" t="s">
        <v>453</v>
      </c>
      <c r="AL1283" s="2">
        <v>19</v>
      </c>
      <c r="AM1283" s="2" t="s">
        <v>107</v>
      </c>
      <c r="AN1283" s="2"/>
      <c r="AO1283" s="2" t="s">
        <v>4787</v>
      </c>
      <c r="AP1283" s="2">
        <v>11</v>
      </c>
      <c r="AQ1283" s="2" t="s">
        <v>82</v>
      </c>
      <c r="AR1283" s="2"/>
      <c r="AS1283" s="2"/>
      <c r="AT1283" s="2" t="s">
        <v>4788</v>
      </c>
      <c r="AU1283" s="2"/>
      <c r="AV1283" s="2"/>
      <c r="AW1283" s="2"/>
      <c r="AX1283" s="2"/>
      <c r="AY1283" s="2">
        <v>42</v>
      </c>
      <c r="AZ1283" s="2" t="s">
        <v>182</v>
      </c>
      <c r="BA1283" s="2">
        <v>70</v>
      </c>
      <c r="BB1283" s="2" t="s">
        <v>236</v>
      </c>
      <c r="BC1283" s="2">
        <v>70</v>
      </c>
      <c r="BD1283" s="2" t="s">
        <v>236</v>
      </c>
      <c r="BE1283" s="2">
        <v>41</v>
      </c>
      <c r="BF1283" s="2" t="s">
        <v>82</v>
      </c>
      <c r="BG1283" s="2"/>
      <c r="BH1283" s="2"/>
      <c r="BI1283" s="2"/>
      <c r="BJ1283" s="2">
        <v>241</v>
      </c>
      <c r="BK1283" s="2" t="s">
        <v>82</v>
      </c>
      <c r="BL1283" s="2"/>
      <c r="BM1283" s="2">
        <v>241</v>
      </c>
      <c r="BN1283" s="2" t="s">
        <v>82</v>
      </c>
      <c r="BO1283" s="2"/>
      <c r="BP1283" s="2">
        <v>241</v>
      </c>
      <c r="BQ1283" s="2" t="s">
        <v>82</v>
      </c>
      <c r="BR1283" s="2"/>
      <c r="BS1283" s="3">
        <v>40268</v>
      </c>
      <c r="BT1283" s="4">
        <v>0.54236111111111118</v>
      </c>
    </row>
    <row r="1284" spans="1:72" x14ac:dyDescent="0.25">
      <c r="A1284" s="2">
        <v>1940</v>
      </c>
      <c r="B1284" s="2">
        <v>2010</v>
      </c>
      <c r="C1284" s="2" t="s">
        <v>4543</v>
      </c>
      <c r="D1284" s="2" t="s">
        <v>122</v>
      </c>
      <c r="E1284" s="2"/>
      <c r="F1284" s="2">
        <v>1</v>
      </c>
      <c r="G1284" s="2" t="s">
        <v>82</v>
      </c>
      <c r="H1284" s="2">
        <v>1</v>
      </c>
      <c r="I1284" s="2" t="s">
        <v>82</v>
      </c>
      <c r="J1284" s="2">
        <v>1</v>
      </c>
      <c r="K1284" s="2" t="s">
        <v>107</v>
      </c>
      <c r="L1284" s="2" t="s">
        <v>107</v>
      </c>
      <c r="M1284" s="3">
        <v>40268</v>
      </c>
      <c r="N1284" s="2"/>
      <c r="O1284" s="2"/>
      <c r="P1284" s="2"/>
      <c r="Q1284" s="2" t="str">
        <f>""</f>
        <v/>
      </c>
      <c r="R1284" s="2"/>
      <c r="S1284" s="2"/>
      <c r="T1284" s="2">
        <v>2</v>
      </c>
      <c r="U1284" s="2" t="s">
        <v>123</v>
      </c>
      <c r="V1284" s="2">
        <v>1</v>
      </c>
      <c r="W1284" s="2" t="s">
        <v>80</v>
      </c>
      <c r="X1284" s="2">
        <v>1</v>
      </c>
      <c r="Y1284" s="2" t="s">
        <v>81</v>
      </c>
      <c r="Z1284" s="2">
        <v>1</v>
      </c>
      <c r="AA1284" s="2" t="s">
        <v>82</v>
      </c>
      <c r="AB1284" s="2">
        <v>9</v>
      </c>
      <c r="AC1284" s="2" t="s">
        <v>124</v>
      </c>
      <c r="AD1284" s="3">
        <v>40268</v>
      </c>
      <c r="AE1284" s="4">
        <v>0.3125</v>
      </c>
      <c r="AF1284" s="2"/>
      <c r="AG1284" s="2"/>
      <c r="AH1284" s="2">
        <v>3</v>
      </c>
      <c r="AI1284" s="2" t="s">
        <v>214</v>
      </c>
      <c r="AJ1284" s="2">
        <v>20</v>
      </c>
      <c r="AK1284" s="2" t="s">
        <v>1897</v>
      </c>
      <c r="AL1284" s="2">
        <v>18</v>
      </c>
      <c r="AM1284" s="2" t="s">
        <v>82</v>
      </c>
      <c r="AN1284" s="2" t="s">
        <v>4019</v>
      </c>
      <c r="AO1284" s="2" t="s">
        <v>4789</v>
      </c>
      <c r="AP1284" s="2">
        <v>11</v>
      </c>
      <c r="AQ1284" s="2" t="s">
        <v>82</v>
      </c>
      <c r="AR1284" s="2"/>
      <c r="AS1284" s="2"/>
      <c r="AT1284" s="2" t="s">
        <v>4790</v>
      </c>
      <c r="AU1284" s="2"/>
      <c r="AV1284" s="2"/>
      <c r="AW1284" s="2"/>
      <c r="AX1284" s="2"/>
      <c r="AY1284" s="2">
        <v>1</v>
      </c>
      <c r="AZ1284" s="2" t="s">
        <v>107</v>
      </c>
      <c r="BA1284" s="2">
        <v>1</v>
      </c>
      <c r="BB1284" s="2" t="s">
        <v>107</v>
      </c>
      <c r="BC1284" s="2">
        <v>1</v>
      </c>
      <c r="BD1284" s="2" t="s">
        <v>107</v>
      </c>
      <c r="BE1284" s="2">
        <v>1</v>
      </c>
      <c r="BF1284" s="2" t="s">
        <v>107</v>
      </c>
      <c r="BG1284" s="2"/>
      <c r="BH1284" s="2"/>
      <c r="BI1284" s="2"/>
      <c r="BJ1284" s="2">
        <v>242</v>
      </c>
      <c r="BK1284" s="2" t="s">
        <v>107</v>
      </c>
      <c r="BL1284" s="2"/>
      <c r="BM1284" s="2">
        <v>242</v>
      </c>
      <c r="BN1284" s="2" t="s">
        <v>107</v>
      </c>
      <c r="BO1284" s="2"/>
      <c r="BP1284" s="2">
        <v>242</v>
      </c>
      <c r="BQ1284" s="2" t="s">
        <v>107</v>
      </c>
      <c r="BR1284" s="2"/>
      <c r="BS1284" s="3">
        <v>40268</v>
      </c>
      <c r="BT1284" s="4">
        <v>0.54521990740740744</v>
      </c>
    </row>
    <row r="1285" spans="1:72" x14ac:dyDescent="0.25">
      <c r="A1285" s="2">
        <v>1942</v>
      </c>
      <c r="B1285" s="2">
        <v>2010</v>
      </c>
      <c r="C1285" s="2" t="s">
        <v>171</v>
      </c>
      <c r="D1285" s="2" t="s">
        <v>122</v>
      </c>
      <c r="E1285" s="2" t="s">
        <v>4791</v>
      </c>
      <c r="F1285" s="2">
        <v>159</v>
      </c>
      <c r="G1285" s="2" t="s">
        <v>3883</v>
      </c>
      <c r="H1285" s="2">
        <v>19</v>
      </c>
      <c r="I1285" s="2" t="s">
        <v>4355</v>
      </c>
      <c r="J1285" s="2">
        <v>172</v>
      </c>
      <c r="K1285" s="2" t="s">
        <v>3885</v>
      </c>
      <c r="L1285" s="2" t="s">
        <v>3886</v>
      </c>
      <c r="M1285" s="3">
        <v>40268</v>
      </c>
      <c r="N1285" s="2" t="s">
        <v>4684</v>
      </c>
      <c r="O1285" s="2"/>
      <c r="P1285" s="2"/>
      <c r="Q1285" s="2" t="str">
        <f>"138-A/10"</f>
        <v>138-A/10</v>
      </c>
      <c r="R1285" s="2" t="s">
        <v>1035</v>
      </c>
      <c r="S1285" s="2"/>
      <c r="T1285" s="2">
        <v>1</v>
      </c>
      <c r="U1285" s="2" t="s">
        <v>79</v>
      </c>
      <c r="V1285" s="2">
        <v>1</v>
      </c>
      <c r="W1285" s="2" t="s">
        <v>80</v>
      </c>
      <c r="X1285" s="2">
        <v>1</v>
      </c>
      <c r="Y1285" s="2" t="s">
        <v>81</v>
      </c>
      <c r="Z1285" s="2">
        <v>1</v>
      </c>
      <c r="AA1285" s="2" t="s">
        <v>82</v>
      </c>
      <c r="AB1285" s="2">
        <v>1</v>
      </c>
      <c r="AC1285" s="2" t="s">
        <v>178</v>
      </c>
      <c r="AD1285" s="3">
        <v>40268</v>
      </c>
      <c r="AE1285" s="4">
        <v>0.35416666666666669</v>
      </c>
      <c r="AF1285" s="2"/>
      <c r="AG1285" s="2"/>
      <c r="AH1285" s="2">
        <v>2</v>
      </c>
      <c r="AI1285" s="2" t="s">
        <v>84</v>
      </c>
      <c r="AJ1285" s="2">
        <v>12</v>
      </c>
      <c r="AK1285" s="2" t="s">
        <v>85</v>
      </c>
      <c r="AL1285" s="2">
        <v>11</v>
      </c>
      <c r="AM1285" s="2" t="s">
        <v>137</v>
      </c>
      <c r="AN1285" s="2"/>
      <c r="AO1285" s="2" t="s">
        <v>4792</v>
      </c>
      <c r="AP1285" s="2">
        <v>11</v>
      </c>
      <c r="AQ1285" s="2" t="s">
        <v>82</v>
      </c>
      <c r="AR1285" s="2"/>
      <c r="AS1285" s="2"/>
      <c r="AT1285" s="2" t="s">
        <v>4793</v>
      </c>
      <c r="AU1285" s="2"/>
      <c r="AV1285" s="2">
        <v>1</v>
      </c>
      <c r="AW1285" s="2"/>
      <c r="AX1285" s="2"/>
      <c r="AY1285" s="2">
        <v>41</v>
      </c>
      <c r="AZ1285" s="2" t="s">
        <v>82</v>
      </c>
      <c r="BA1285" s="2">
        <v>41</v>
      </c>
      <c r="BB1285" s="2" t="s">
        <v>82</v>
      </c>
      <c r="BC1285" s="2">
        <v>41</v>
      </c>
      <c r="BD1285" s="2" t="s">
        <v>82</v>
      </c>
      <c r="BE1285" s="2">
        <v>13</v>
      </c>
      <c r="BF1285" s="2" t="s">
        <v>108</v>
      </c>
      <c r="BG1285" s="2" t="s">
        <v>3731</v>
      </c>
      <c r="BH1285" s="4">
        <v>9.7222222222222224E-2</v>
      </c>
      <c r="BI1285" s="4">
        <v>0.96180555555555547</v>
      </c>
      <c r="BJ1285" s="2">
        <v>13</v>
      </c>
      <c r="BK1285" s="2" t="s">
        <v>91</v>
      </c>
      <c r="BL1285" s="2" t="s">
        <v>185</v>
      </c>
      <c r="BM1285" s="2">
        <v>241</v>
      </c>
      <c r="BN1285" s="2" t="s">
        <v>82</v>
      </c>
      <c r="BO1285" s="2"/>
      <c r="BP1285" s="2">
        <v>13</v>
      </c>
      <c r="BQ1285" s="2" t="s">
        <v>91</v>
      </c>
      <c r="BR1285" s="2" t="s">
        <v>492</v>
      </c>
      <c r="BS1285" s="3">
        <v>40268</v>
      </c>
      <c r="BT1285" s="4">
        <v>0.56843750000000004</v>
      </c>
    </row>
    <row r="1286" spans="1:72" x14ac:dyDescent="0.25">
      <c r="A1286" s="2">
        <v>1944</v>
      </c>
      <c r="B1286" s="2">
        <v>2010</v>
      </c>
      <c r="C1286" s="2" t="s">
        <v>1568</v>
      </c>
      <c r="D1286" s="2" t="s">
        <v>73</v>
      </c>
      <c r="E1286" s="2"/>
      <c r="F1286" s="2">
        <v>118</v>
      </c>
      <c r="G1286" s="2" t="s">
        <v>4266</v>
      </c>
      <c r="H1286" s="2">
        <v>39</v>
      </c>
      <c r="I1286" s="2" t="s">
        <v>1117</v>
      </c>
      <c r="J1286" s="2">
        <v>135</v>
      </c>
      <c r="K1286" s="2" t="s">
        <v>2502</v>
      </c>
      <c r="L1286" s="2" t="s">
        <v>2503</v>
      </c>
      <c r="M1286" s="3">
        <v>40268</v>
      </c>
      <c r="N1286" s="2" t="s">
        <v>4794</v>
      </c>
      <c r="O1286" s="2" t="s">
        <v>107</v>
      </c>
      <c r="P1286" s="2"/>
      <c r="Q1286" s="2" t="str">
        <f>"0002/10"</f>
        <v>0002/10</v>
      </c>
      <c r="R1286" s="2" t="s">
        <v>107</v>
      </c>
      <c r="S1286" s="2" t="s">
        <v>4795</v>
      </c>
      <c r="T1286" s="2">
        <v>1</v>
      </c>
      <c r="U1286" s="2" t="s">
        <v>79</v>
      </c>
      <c r="V1286" s="2">
        <v>1</v>
      </c>
      <c r="W1286" s="2" t="s">
        <v>80</v>
      </c>
      <c r="X1286" s="2">
        <v>1</v>
      </c>
      <c r="Y1286" s="2" t="s">
        <v>81</v>
      </c>
      <c r="Z1286" s="2">
        <v>10</v>
      </c>
      <c r="AA1286" s="2" t="s">
        <v>236</v>
      </c>
      <c r="AB1286" s="2">
        <v>4</v>
      </c>
      <c r="AC1286" s="2" t="s">
        <v>1569</v>
      </c>
      <c r="AD1286" s="3">
        <v>40267</v>
      </c>
      <c r="AE1286" s="4">
        <v>0.55208333333333337</v>
      </c>
      <c r="AF1286" s="2"/>
      <c r="AG1286" s="2"/>
      <c r="AH1286" s="2">
        <v>6</v>
      </c>
      <c r="AI1286" s="2" t="s">
        <v>197</v>
      </c>
      <c r="AJ1286" s="2">
        <v>58</v>
      </c>
      <c r="AK1286" s="2" t="s">
        <v>406</v>
      </c>
      <c r="AL1286" s="2">
        <v>8</v>
      </c>
      <c r="AM1286" s="2" t="s">
        <v>179</v>
      </c>
      <c r="AN1286" s="2" t="s">
        <v>107</v>
      </c>
      <c r="AO1286" s="2" t="s">
        <v>107</v>
      </c>
      <c r="AP1286" s="2">
        <v>12</v>
      </c>
      <c r="AQ1286" s="2" t="s">
        <v>322</v>
      </c>
      <c r="AR1286" s="2" t="s">
        <v>827</v>
      </c>
      <c r="AS1286" s="2" t="s">
        <v>322</v>
      </c>
      <c r="AT1286" s="2" t="s">
        <v>4796</v>
      </c>
      <c r="AU1286" s="2"/>
      <c r="AV1286" s="2"/>
      <c r="AW1286" s="2"/>
      <c r="AX1286" s="2"/>
      <c r="AY1286" s="2">
        <v>41</v>
      </c>
      <c r="AZ1286" s="2" t="s">
        <v>82</v>
      </c>
      <c r="BA1286" s="2">
        <v>41</v>
      </c>
      <c r="BB1286" s="2" t="s">
        <v>82</v>
      </c>
      <c r="BC1286" s="2">
        <v>41</v>
      </c>
      <c r="BD1286" s="2" t="s">
        <v>82</v>
      </c>
      <c r="BE1286" s="2">
        <v>47</v>
      </c>
      <c r="BF1286" s="2" t="s">
        <v>167</v>
      </c>
      <c r="BG1286" s="2">
        <v>2880</v>
      </c>
      <c r="BH1286" s="4">
        <v>0.5625</v>
      </c>
      <c r="BI1286" s="4">
        <v>0.59375</v>
      </c>
      <c r="BJ1286" s="2">
        <v>13</v>
      </c>
      <c r="BK1286" s="2" t="s">
        <v>91</v>
      </c>
      <c r="BL1286" s="2" t="s">
        <v>185</v>
      </c>
      <c r="BM1286" s="2">
        <v>13</v>
      </c>
      <c r="BN1286" s="2" t="s">
        <v>91</v>
      </c>
      <c r="BO1286" s="2" t="s">
        <v>492</v>
      </c>
      <c r="BP1286" s="2">
        <v>13</v>
      </c>
      <c r="BQ1286" s="2" t="s">
        <v>91</v>
      </c>
      <c r="BR1286" s="2" t="s">
        <v>895</v>
      </c>
      <c r="BS1286" s="3">
        <v>40268</v>
      </c>
      <c r="BT1286" s="4">
        <v>0.5767592592592593</v>
      </c>
    </row>
    <row r="1287" spans="1:72" x14ac:dyDescent="0.25">
      <c r="A1287" s="2">
        <v>1945</v>
      </c>
      <c r="B1287" s="2">
        <v>2010</v>
      </c>
      <c r="C1287" s="2" t="s">
        <v>1559</v>
      </c>
      <c r="D1287" s="2" t="s">
        <v>73</v>
      </c>
      <c r="E1287" s="2"/>
      <c r="F1287" s="2">
        <v>338</v>
      </c>
      <c r="G1287" s="2" t="s">
        <v>4459</v>
      </c>
      <c r="H1287" s="2">
        <v>2</v>
      </c>
      <c r="I1287" s="2" t="s">
        <v>267</v>
      </c>
      <c r="J1287" s="2">
        <v>309</v>
      </c>
      <c r="K1287" s="2" t="s">
        <v>268</v>
      </c>
      <c r="L1287" s="2" t="s">
        <v>269</v>
      </c>
      <c r="M1287" s="3">
        <v>40268</v>
      </c>
      <c r="N1287" s="2" t="s">
        <v>4726</v>
      </c>
      <c r="O1287" s="2" t="s">
        <v>4797</v>
      </c>
      <c r="P1287" s="2" t="s">
        <v>4798</v>
      </c>
      <c r="Q1287" s="2" t="str">
        <f>"06/2010"</f>
        <v>06/2010</v>
      </c>
      <c r="R1287" s="2"/>
      <c r="S1287" s="2" t="s">
        <v>4797</v>
      </c>
      <c r="T1287" s="2">
        <v>1</v>
      </c>
      <c r="U1287" s="2" t="s">
        <v>79</v>
      </c>
      <c r="V1287" s="2">
        <v>1</v>
      </c>
      <c r="W1287" s="2" t="s">
        <v>80</v>
      </c>
      <c r="X1287" s="2">
        <v>4</v>
      </c>
      <c r="Y1287" s="2" t="s">
        <v>463</v>
      </c>
      <c r="Z1287" s="2">
        <v>1</v>
      </c>
      <c r="AA1287" s="2" t="s">
        <v>82</v>
      </c>
      <c r="AB1287" s="2">
        <v>9</v>
      </c>
      <c r="AC1287" s="2" t="s">
        <v>124</v>
      </c>
      <c r="AD1287" s="2"/>
      <c r="AE1287" s="2"/>
      <c r="AF1287" s="2"/>
      <c r="AG1287" s="2"/>
      <c r="AH1287" s="2">
        <v>5</v>
      </c>
      <c r="AI1287" s="2" t="s">
        <v>274</v>
      </c>
      <c r="AJ1287" s="2">
        <v>35</v>
      </c>
      <c r="AK1287" s="2" t="s">
        <v>275</v>
      </c>
      <c r="AL1287" s="2">
        <v>18</v>
      </c>
      <c r="AM1287" s="2" t="s">
        <v>82</v>
      </c>
      <c r="AN1287" s="2" t="s">
        <v>4799</v>
      </c>
      <c r="AO1287" s="2" t="s">
        <v>4800</v>
      </c>
      <c r="AP1287" s="2">
        <v>11</v>
      </c>
      <c r="AQ1287" s="2" t="s">
        <v>82</v>
      </c>
      <c r="AR1287" s="2"/>
      <c r="AS1287" s="2"/>
      <c r="AT1287" s="2" t="s">
        <v>4801</v>
      </c>
      <c r="AU1287" s="2"/>
      <c r="AV1287" s="2"/>
      <c r="AW1287" s="2"/>
      <c r="AX1287" s="2"/>
      <c r="AY1287" s="2">
        <v>1</v>
      </c>
      <c r="AZ1287" s="2" t="s">
        <v>107</v>
      </c>
      <c r="BA1287" s="2">
        <v>1</v>
      </c>
      <c r="BB1287" s="2" t="s">
        <v>107</v>
      </c>
      <c r="BC1287" s="2">
        <v>1</v>
      </c>
      <c r="BD1287" s="2" t="s">
        <v>107</v>
      </c>
      <c r="BE1287" s="2">
        <v>1</v>
      </c>
      <c r="BF1287" s="2" t="s">
        <v>107</v>
      </c>
      <c r="BG1287" s="2"/>
      <c r="BH1287" s="2"/>
      <c r="BI1287" s="2"/>
      <c r="BJ1287" s="2">
        <v>242</v>
      </c>
      <c r="BK1287" s="2" t="s">
        <v>107</v>
      </c>
      <c r="BL1287" s="2"/>
      <c r="BM1287" s="2">
        <v>242</v>
      </c>
      <c r="BN1287" s="2" t="s">
        <v>107</v>
      </c>
      <c r="BO1287" s="2"/>
      <c r="BP1287" s="2">
        <v>242</v>
      </c>
      <c r="BQ1287" s="2" t="s">
        <v>107</v>
      </c>
      <c r="BR1287" s="2"/>
      <c r="BS1287" s="3">
        <v>40268</v>
      </c>
      <c r="BT1287" s="4">
        <v>0.57799768518518524</v>
      </c>
    </row>
    <row r="1288" spans="1:72" x14ac:dyDescent="0.25">
      <c r="A1288" s="2">
        <v>1948</v>
      </c>
      <c r="B1288" s="2">
        <v>2010</v>
      </c>
      <c r="C1288" s="2" t="s">
        <v>377</v>
      </c>
      <c r="D1288" s="2" t="s">
        <v>73</v>
      </c>
      <c r="E1288" s="2"/>
      <c r="F1288" s="2">
        <v>426</v>
      </c>
      <c r="G1288" s="2" t="s">
        <v>378</v>
      </c>
      <c r="H1288" s="2">
        <v>22</v>
      </c>
      <c r="I1288" s="2" t="s">
        <v>75</v>
      </c>
      <c r="J1288" s="2">
        <v>311</v>
      </c>
      <c r="K1288" s="2" t="s">
        <v>379</v>
      </c>
      <c r="L1288" s="2" t="s">
        <v>380</v>
      </c>
      <c r="M1288" s="3">
        <v>40268</v>
      </c>
      <c r="N1288" s="2" t="s">
        <v>4802</v>
      </c>
      <c r="O1288" s="2" t="s">
        <v>107</v>
      </c>
      <c r="P1288" s="2" t="s">
        <v>107</v>
      </c>
      <c r="Q1288" s="2" t="str">
        <f>"031-BIS-C/10"</f>
        <v>031-BIS-C/10</v>
      </c>
      <c r="R1288" s="2" t="s">
        <v>4803</v>
      </c>
      <c r="S1288" s="2" t="s">
        <v>4803</v>
      </c>
      <c r="T1288" s="2">
        <v>1</v>
      </c>
      <c r="U1288" s="2" t="s">
        <v>79</v>
      </c>
      <c r="V1288" s="2">
        <v>1</v>
      </c>
      <c r="W1288" s="2" t="s">
        <v>80</v>
      </c>
      <c r="X1288" s="2">
        <v>1</v>
      </c>
      <c r="Y1288" s="2" t="s">
        <v>81</v>
      </c>
      <c r="Z1288" s="2">
        <v>1</v>
      </c>
      <c r="AA1288" s="2" t="s">
        <v>82</v>
      </c>
      <c r="AB1288" s="2">
        <v>9</v>
      </c>
      <c r="AC1288" s="2" t="s">
        <v>124</v>
      </c>
      <c r="AD1288" s="3">
        <v>40262</v>
      </c>
      <c r="AE1288" s="4">
        <v>0.95138888888888884</v>
      </c>
      <c r="AF1288" s="3">
        <v>40262</v>
      </c>
      <c r="AG1288" s="4">
        <v>0</v>
      </c>
      <c r="AH1288" s="2">
        <v>2</v>
      </c>
      <c r="AI1288" s="2" t="s">
        <v>84</v>
      </c>
      <c r="AJ1288" s="2">
        <v>9</v>
      </c>
      <c r="AK1288" s="2" t="s">
        <v>103</v>
      </c>
      <c r="AL1288" s="2">
        <v>12</v>
      </c>
      <c r="AM1288" s="2" t="s">
        <v>86</v>
      </c>
      <c r="AN1288" s="2" t="s">
        <v>2585</v>
      </c>
      <c r="AO1288" s="2" t="s">
        <v>82</v>
      </c>
      <c r="AP1288" s="2">
        <v>11</v>
      </c>
      <c r="AQ1288" s="2" t="s">
        <v>82</v>
      </c>
      <c r="AR1288" s="2" t="s">
        <v>82</v>
      </c>
      <c r="AS1288" s="2" t="s">
        <v>82</v>
      </c>
      <c r="AT1288" s="2" t="s">
        <v>4804</v>
      </c>
      <c r="AU1288" s="2"/>
      <c r="AV1288" s="2"/>
      <c r="AW1288" s="2"/>
      <c r="AX1288" s="2"/>
      <c r="AY1288" s="2">
        <v>41</v>
      </c>
      <c r="AZ1288" s="2" t="s">
        <v>82</v>
      </c>
      <c r="BA1288" s="2">
        <v>41</v>
      </c>
      <c r="BB1288" s="2" t="s">
        <v>82</v>
      </c>
      <c r="BC1288" s="2">
        <v>41</v>
      </c>
      <c r="BD1288" s="2" t="s">
        <v>82</v>
      </c>
      <c r="BE1288" s="2">
        <v>41</v>
      </c>
      <c r="BF1288" s="2" t="s">
        <v>82</v>
      </c>
      <c r="BG1288" s="2" t="s">
        <v>82</v>
      </c>
      <c r="BH1288" s="2"/>
      <c r="BI1288" s="2"/>
      <c r="BJ1288" s="2">
        <v>241</v>
      </c>
      <c r="BK1288" s="2" t="s">
        <v>82</v>
      </c>
      <c r="BL1288" s="2" t="s">
        <v>82</v>
      </c>
      <c r="BM1288" s="2">
        <v>241</v>
      </c>
      <c r="BN1288" s="2" t="s">
        <v>82</v>
      </c>
      <c r="BO1288" s="2" t="s">
        <v>82</v>
      </c>
      <c r="BP1288" s="2">
        <v>241</v>
      </c>
      <c r="BQ1288" s="2" t="s">
        <v>82</v>
      </c>
      <c r="BR1288" s="2" t="s">
        <v>82</v>
      </c>
      <c r="BS1288" s="3">
        <v>40268</v>
      </c>
      <c r="BT1288" s="4">
        <v>0.58871527777777777</v>
      </c>
    </row>
    <row r="1289" spans="1:72" x14ac:dyDescent="0.25">
      <c r="A1289" s="2">
        <v>1950</v>
      </c>
      <c r="B1289" s="2">
        <v>2010</v>
      </c>
      <c r="C1289" s="2" t="s">
        <v>377</v>
      </c>
      <c r="D1289" s="2" t="s">
        <v>73</v>
      </c>
      <c r="E1289" s="2"/>
      <c r="F1289" s="2">
        <v>252</v>
      </c>
      <c r="G1289" s="2" t="s">
        <v>4475</v>
      </c>
      <c r="H1289" s="2">
        <v>22</v>
      </c>
      <c r="I1289" s="2" t="s">
        <v>75</v>
      </c>
      <c r="J1289" s="2">
        <v>477</v>
      </c>
      <c r="K1289" s="2" t="s">
        <v>4083</v>
      </c>
      <c r="L1289" s="2" t="s">
        <v>1908</v>
      </c>
      <c r="M1289" s="3">
        <v>40268</v>
      </c>
      <c r="N1289" s="2" t="s">
        <v>4477</v>
      </c>
      <c r="O1289" s="2" t="s">
        <v>107</v>
      </c>
      <c r="P1289" s="2" t="s">
        <v>107</v>
      </c>
      <c r="Q1289" s="2" t="str">
        <f>"CONTRAV. 001-A/10"</f>
        <v>CONTRAV. 001-A/10</v>
      </c>
      <c r="R1289" s="2" t="s">
        <v>4805</v>
      </c>
      <c r="S1289" s="2" t="s">
        <v>4806</v>
      </c>
      <c r="T1289" s="2">
        <v>1</v>
      </c>
      <c r="U1289" s="2" t="s">
        <v>79</v>
      </c>
      <c r="V1289" s="2">
        <v>1</v>
      </c>
      <c r="W1289" s="2" t="s">
        <v>80</v>
      </c>
      <c r="X1289" s="2">
        <v>1</v>
      </c>
      <c r="Y1289" s="2" t="s">
        <v>81</v>
      </c>
      <c r="Z1289" s="2">
        <v>1</v>
      </c>
      <c r="AA1289" s="2" t="s">
        <v>82</v>
      </c>
      <c r="AB1289" s="2">
        <v>9</v>
      </c>
      <c r="AC1289" s="2" t="s">
        <v>124</v>
      </c>
      <c r="AD1289" s="3">
        <v>40268</v>
      </c>
      <c r="AE1289" s="4">
        <v>0.4236111111111111</v>
      </c>
      <c r="AF1289" s="3">
        <v>40268</v>
      </c>
      <c r="AG1289" s="4">
        <v>0.44097222222222227</v>
      </c>
      <c r="AH1289" s="2">
        <v>2</v>
      </c>
      <c r="AI1289" s="2" t="s">
        <v>84</v>
      </c>
      <c r="AJ1289" s="2">
        <v>12</v>
      </c>
      <c r="AK1289" s="2" t="s">
        <v>85</v>
      </c>
      <c r="AL1289" s="2">
        <v>12</v>
      </c>
      <c r="AM1289" s="2" t="s">
        <v>86</v>
      </c>
      <c r="AN1289" s="2" t="s">
        <v>296</v>
      </c>
      <c r="AO1289" s="2" t="s">
        <v>82</v>
      </c>
      <c r="AP1289" s="2">
        <v>11</v>
      </c>
      <c r="AQ1289" s="2" t="s">
        <v>82</v>
      </c>
      <c r="AR1289" s="2" t="s">
        <v>82</v>
      </c>
      <c r="AS1289" s="2" t="s">
        <v>82</v>
      </c>
      <c r="AT1289" s="2" t="s">
        <v>4807</v>
      </c>
      <c r="AU1289" s="2"/>
      <c r="AV1289" s="2"/>
      <c r="AW1289" s="2"/>
      <c r="AX1289" s="2"/>
      <c r="AY1289" s="2">
        <v>41</v>
      </c>
      <c r="AZ1289" s="2" t="s">
        <v>82</v>
      </c>
      <c r="BA1289" s="2">
        <v>41</v>
      </c>
      <c r="BB1289" s="2" t="s">
        <v>82</v>
      </c>
      <c r="BC1289" s="2">
        <v>41</v>
      </c>
      <c r="BD1289" s="2" t="s">
        <v>82</v>
      </c>
      <c r="BE1289" s="2">
        <v>41</v>
      </c>
      <c r="BF1289" s="2" t="s">
        <v>82</v>
      </c>
      <c r="BG1289" s="2" t="s">
        <v>82</v>
      </c>
      <c r="BH1289" s="2"/>
      <c r="BI1289" s="2"/>
      <c r="BJ1289" s="2">
        <v>241</v>
      </c>
      <c r="BK1289" s="2" t="s">
        <v>82</v>
      </c>
      <c r="BL1289" s="2" t="s">
        <v>82</v>
      </c>
      <c r="BM1289" s="2">
        <v>241</v>
      </c>
      <c r="BN1289" s="2" t="s">
        <v>82</v>
      </c>
      <c r="BO1289" s="2" t="s">
        <v>82</v>
      </c>
      <c r="BP1289" s="2">
        <v>241</v>
      </c>
      <c r="BQ1289" s="2" t="s">
        <v>82</v>
      </c>
      <c r="BR1289" s="2" t="s">
        <v>82</v>
      </c>
      <c r="BS1289" s="3">
        <v>40268</v>
      </c>
      <c r="BT1289" s="4">
        <v>0.594212962962963</v>
      </c>
    </row>
    <row r="1290" spans="1:72" x14ac:dyDescent="0.25">
      <c r="A1290" s="2">
        <v>1951</v>
      </c>
      <c r="B1290" s="2">
        <v>2010</v>
      </c>
      <c r="C1290" s="2" t="s">
        <v>171</v>
      </c>
      <c r="D1290" s="2" t="s">
        <v>73</v>
      </c>
      <c r="E1290" s="2"/>
      <c r="F1290" s="2">
        <v>399</v>
      </c>
      <c r="G1290" s="2" t="s">
        <v>587</v>
      </c>
      <c r="H1290" s="2">
        <v>14</v>
      </c>
      <c r="I1290" s="2" t="s">
        <v>1458</v>
      </c>
      <c r="J1290" s="2">
        <v>242</v>
      </c>
      <c r="K1290" s="2" t="s">
        <v>1077</v>
      </c>
      <c r="L1290" s="2" t="s">
        <v>1078</v>
      </c>
      <c r="M1290" s="3">
        <v>40268</v>
      </c>
      <c r="N1290" s="2" t="s">
        <v>4808</v>
      </c>
      <c r="O1290" s="2" t="s">
        <v>4809</v>
      </c>
      <c r="P1290" s="2">
        <v>6809</v>
      </c>
      <c r="Q1290" s="2" t="str">
        <f>"163E/10"</f>
        <v>163E/10</v>
      </c>
      <c r="R1290" s="2"/>
      <c r="S1290" s="2" t="s">
        <v>4810</v>
      </c>
      <c r="T1290" s="2">
        <v>1</v>
      </c>
      <c r="U1290" s="2" t="s">
        <v>79</v>
      </c>
      <c r="V1290" s="2">
        <v>3</v>
      </c>
      <c r="W1290" s="2" t="s">
        <v>225</v>
      </c>
      <c r="X1290" s="2">
        <v>6</v>
      </c>
      <c r="Y1290" s="2" t="s">
        <v>249</v>
      </c>
      <c r="Z1290" s="2">
        <v>10</v>
      </c>
      <c r="AA1290" s="2" t="s">
        <v>236</v>
      </c>
      <c r="AB1290" s="2">
        <v>9</v>
      </c>
      <c r="AC1290" s="2" t="s">
        <v>124</v>
      </c>
      <c r="AD1290" s="3">
        <v>40268</v>
      </c>
      <c r="AE1290" s="4">
        <v>0.58333333333333337</v>
      </c>
      <c r="AF1290" s="2"/>
      <c r="AG1290" s="2"/>
      <c r="AH1290" s="2">
        <v>2</v>
      </c>
      <c r="AI1290" s="2" t="s">
        <v>84</v>
      </c>
      <c r="AJ1290" s="2">
        <v>6</v>
      </c>
      <c r="AK1290" s="2" t="s">
        <v>453</v>
      </c>
      <c r="AL1290" s="2">
        <v>19</v>
      </c>
      <c r="AM1290" s="2" t="s">
        <v>107</v>
      </c>
      <c r="AN1290" s="2"/>
      <c r="AO1290" s="2" t="s">
        <v>4811</v>
      </c>
      <c r="AP1290" s="2">
        <v>11</v>
      </c>
      <c r="AQ1290" s="2" t="s">
        <v>82</v>
      </c>
      <c r="AR1290" s="2"/>
      <c r="AS1290" s="2"/>
      <c r="AT1290" s="2" t="s">
        <v>4812</v>
      </c>
      <c r="AU1290" s="2"/>
      <c r="AV1290" s="2"/>
      <c r="AW1290" s="2"/>
      <c r="AX1290" s="2"/>
      <c r="AY1290" s="2">
        <v>42</v>
      </c>
      <c r="AZ1290" s="2" t="s">
        <v>182</v>
      </c>
      <c r="BA1290" s="2">
        <v>70</v>
      </c>
      <c r="BB1290" s="2" t="s">
        <v>236</v>
      </c>
      <c r="BC1290" s="2">
        <v>70</v>
      </c>
      <c r="BD1290" s="2" t="s">
        <v>236</v>
      </c>
      <c r="BE1290" s="2">
        <v>41</v>
      </c>
      <c r="BF1290" s="2" t="s">
        <v>82</v>
      </c>
      <c r="BG1290" s="2"/>
      <c r="BH1290" s="2"/>
      <c r="BI1290" s="2"/>
      <c r="BJ1290" s="2">
        <v>241</v>
      </c>
      <c r="BK1290" s="2" t="s">
        <v>82</v>
      </c>
      <c r="BL1290" s="2"/>
      <c r="BM1290" s="2">
        <v>241</v>
      </c>
      <c r="BN1290" s="2" t="s">
        <v>82</v>
      </c>
      <c r="BO1290" s="2"/>
      <c r="BP1290" s="2">
        <v>241</v>
      </c>
      <c r="BQ1290" s="2" t="s">
        <v>82</v>
      </c>
      <c r="BR1290" s="2"/>
      <c r="BS1290" s="3">
        <v>40268</v>
      </c>
      <c r="BT1290" s="4">
        <v>0.6075694444444445</v>
      </c>
    </row>
    <row r="1291" spans="1:72" x14ac:dyDescent="0.25">
      <c r="A1291" s="2">
        <v>1952</v>
      </c>
      <c r="B1291" s="2">
        <v>2010</v>
      </c>
      <c r="C1291" s="2" t="s">
        <v>2567</v>
      </c>
      <c r="D1291" s="2" t="s">
        <v>122</v>
      </c>
      <c r="E1291" s="2"/>
      <c r="F1291" s="2">
        <v>1</v>
      </c>
      <c r="G1291" s="2" t="s">
        <v>82</v>
      </c>
      <c r="H1291" s="2">
        <v>1</v>
      </c>
      <c r="I1291" s="2" t="s">
        <v>82</v>
      </c>
      <c r="J1291" s="2">
        <v>1</v>
      </c>
      <c r="K1291" s="2" t="s">
        <v>107</v>
      </c>
      <c r="L1291" s="2" t="s">
        <v>107</v>
      </c>
      <c r="M1291" s="3">
        <v>40268</v>
      </c>
      <c r="N1291" s="2"/>
      <c r="O1291" s="2"/>
      <c r="P1291" s="2"/>
      <c r="Q1291" s="2" t="str">
        <f>""</f>
        <v/>
      </c>
      <c r="R1291" s="2"/>
      <c r="S1291" s="2"/>
      <c r="T1291" s="2">
        <v>1</v>
      </c>
      <c r="U1291" s="2" t="s">
        <v>79</v>
      </c>
      <c r="V1291" s="2">
        <v>1</v>
      </c>
      <c r="W1291" s="2" t="s">
        <v>80</v>
      </c>
      <c r="X1291" s="2">
        <v>1</v>
      </c>
      <c r="Y1291" s="2" t="s">
        <v>81</v>
      </c>
      <c r="Z1291" s="2">
        <v>1</v>
      </c>
      <c r="AA1291" s="2" t="s">
        <v>82</v>
      </c>
      <c r="AB1291" s="2">
        <v>9</v>
      </c>
      <c r="AC1291" s="2" t="s">
        <v>124</v>
      </c>
      <c r="AD1291" s="3">
        <v>40268</v>
      </c>
      <c r="AE1291" s="2"/>
      <c r="AF1291" s="2"/>
      <c r="AG1291" s="2"/>
      <c r="AH1291" s="2">
        <v>6</v>
      </c>
      <c r="AI1291" s="2" t="s">
        <v>197</v>
      </c>
      <c r="AJ1291" s="2">
        <v>58</v>
      </c>
      <c r="AK1291" s="2" t="s">
        <v>406</v>
      </c>
      <c r="AL1291" s="2">
        <v>2</v>
      </c>
      <c r="AM1291" s="2" t="s">
        <v>163</v>
      </c>
      <c r="AN1291" s="2" t="s">
        <v>4813</v>
      </c>
      <c r="AO1291" s="2" t="s">
        <v>4814</v>
      </c>
      <c r="AP1291" s="2">
        <v>11</v>
      </c>
      <c r="AQ1291" s="2" t="s">
        <v>82</v>
      </c>
      <c r="AR1291" s="2" t="s">
        <v>82</v>
      </c>
      <c r="AS1291" s="2" t="s">
        <v>82</v>
      </c>
      <c r="AT1291" s="2" t="s">
        <v>4815</v>
      </c>
      <c r="AU1291" s="2"/>
      <c r="AV1291" s="2"/>
      <c r="AW1291" s="2"/>
      <c r="AX1291" s="2"/>
      <c r="AY1291" s="2">
        <v>1</v>
      </c>
      <c r="AZ1291" s="2" t="s">
        <v>107</v>
      </c>
      <c r="BA1291" s="2">
        <v>1</v>
      </c>
      <c r="BB1291" s="2" t="s">
        <v>107</v>
      </c>
      <c r="BC1291" s="2">
        <v>1</v>
      </c>
      <c r="BD1291" s="2" t="s">
        <v>107</v>
      </c>
      <c r="BE1291" s="2">
        <v>1</v>
      </c>
      <c r="BF1291" s="2" t="s">
        <v>107</v>
      </c>
      <c r="BG1291" s="2" t="s">
        <v>3200</v>
      </c>
      <c r="BH1291" s="4">
        <v>0.57638888888888895</v>
      </c>
      <c r="BI1291" s="4">
        <v>0.60416666666666663</v>
      </c>
      <c r="BJ1291" s="2">
        <v>242</v>
      </c>
      <c r="BK1291" s="2" t="s">
        <v>107</v>
      </c>
      <c r="BL1291" s="2" t="s">
        <v>690</v>
      </c>
      <c r="BM1291" s="2">
        <v>242</v>
      </c>
      <c r="BN1291" s="2" t="s">
        <v>107</v>
      </c>
      <c r="BO1291" s="2" t="s">
        <v>82</v>
      </c>
      <c r="BP1291" s="2">
        <v>242</v>
      </c>
      <c r="BQ1291" s="2" t="s">
        <v>107</v>
      </c>
      <c r="BR1291" s="2" t="s">
        <v>690</v>
      </c>
      <c r="BS1291" s="3">
        <v>40268</v>
      </c>
      <c r="BT1291" s="4">
        <v>0.63181712962962966</v>
      </c>
    </row>
    <row r="1292" spans="1:72" x14ac:dyDescent="0.25">
      <c r="A1292" s="2">
        <v>1955</v>
      </c>
      <c r="B1292" s="2">
        <v>2010</v>
      </c>
      <c r="C1292" s="2" t="s">
        <v>171</v>
      </c>
      <c r="D1292" s="2" t="s">
        <v>73</v>
      </c>
      <c r="E1292" s="2"/>
      <c r="F1292" s="2">
        <v>451</v>
      </c>
      <c r="G1292" s="2" t="s">
        <v>879</v>
      </c>
      <c r="H1292" s="2">
        <v>31</v>
      </c>
      <c r="I1292" s="2" t="s">
        <v>880</v>
      </c>
      <c r="J1292" s="2">
        <v>326</v>
      </c>
      <c r="K1292" s="2" t="s">
        <v>881</v>
      </c>
      <c r="L1292" s="2" t="s">
        <v>882</v>
      </c>
      <c r="M1292" s="3">
        <v>40268</v>
      </c>
      <c r="N1292" s="2" t="s">
        <v>1072</v>
      </c>
      <c r="O1292" s="2"/>
      <c r="P1292" s="2"/>
      <c r="Q1292" s="2" t="str">
        <f>"036/10"</f>
        <v>036/10</v>
      </c>
      <c r="R1292" s="2"/>
      <c r="S1292" s="2" t="s">
        <v>822</v>
      </c>
      <c r="T1292" s="2">
        <v>1</v>
      </c>
      <c r="U1292" s="2" t="s">
        <v>79</v>
      </c>
      <c r="V1292" s="2">
        <v>1</v>
      </c>
      <c r="W1292" s="2" t="s">
        <v>80</v>
      </c>
      <c r="X1292" s="2">
        <v>1</v>
      </c>
      <c r="Y1292" s="2" t="s">
        <v>81</v>
      </c>
      <c r="Z1292" s="2">
        <v>10</v>
      </c>
      <c r="AA1292" s="2" t="s">
        <v>236</v>
      </c>
      <c r="AB1292" s="2">
        <v>1</v>
      </c>
      <c r="AC1292" s="2" t="s">
        <v>178</v>
      </c>
      <c r="AD1292" s="3">
        <v>40268</v>
      </c>
      <c r="AE1292" s="4">
        <v>0.47916666666666669</v>
      </c>
      <c r="AF1292" s="2"/>
      <c r="AG1292" s="2"/>
      <c r="AH1292" s="2">
        <v>4</v>
      </c>
      <c r="AI1292" s="2" t="s">
        <v>125</v>
      </c>
      <c r="AJ1292" s="2">
        <v>29</v>
      </c>
      <c r="AK1292" s="2" t="s">
        <v>227</v>
      </c>
      <c r="AL1292" s="2">
        <v>11</v>
      </c>
      <c r="AM1292" s="2" t="s">
        <v>137</v>
      </c>
      <c r="AN1292" s="2" t="s">
        <v>4816</v>
      </c>
      <c r="AO1292" s="2"/>
      <c r="AP1292" s="2">
        <v>11</v>
      </c>
      <c r="AQ1292" s="2" t="s">
        <v>82</v>
      </c>
      <c r="AR1292" s="2"/>
      <c r="AS1292" s="2"/>
      <c r="AT1292" s="2" t="s">
        <v>4817</v>
      </c>
      <c r="AU1292" s="2"/>
      <c r="AV1292" s="2"/>
      <c r="AW1292" s="2"/>
      <c r="AX1292" s="2"/>
      <c r="AY1292" s="2">
        <v>41</v>
      </c>
      <c r="AZ1292" s="2" t="s">
        <v>82</v>
      </c>
      <c r="BA1292" s="2">
        <v>41</v>
      </c>
      <c r="BB1292" s="2" t="s">
        <v>82</v>
      </c>
      <c r="BC1292" s="2">
        <v>70</v>
      </c>
      <c r="BD1292" s="2" t="s">
        <v>236</v>
      </c>
      <c r="BE1292" s="2">
        <v>19</v>
      </c>
      <c r="BF1292" s="2" t="s">
        <v>1061</v>
      </c>
      <c r="BG1292" s="2">
        <v>250</v>
      </c>
      <c r="BH1292" s="4">
        <v>0.52083333333333337</v>
      </c>
      <c r="BI1292" s="4">
        <v>0.54861111111111105</v>
      </c>
      <c r="BJ1292" s="2">
        <v>13</v>
      </c>
      <c r="BK1292" s="2" t="s">
        <v>91</v>
      </c>
      <c r="BL1292" s="2" t="s">
        <v>828</v>
      </c>
      <c r="BM1292" s="2">
        <v>241</v>
      </c>
      <c r="BN1292" s="2" t="s">
        <v>82</v>
      </c>
      <c r="BO1292" s="2" t="s">
        <v>82</v>
      </c>
      <c r="BP1292" s="2">
        <v>29</v>
      </c>
      <c r="BQ1292" s="2" t="s">
        <v>962</v>
      </c>
      <c r="BR1292" s="2" t="s">
        <v>963</v>
      </c>
      <c r="BS1292" s="3">
        <v>40268</v>
      </c>
      <c r="BT1292" s="4">
        <v>0.65332175925925928</v>
      </c>
    </row>
    <row r="1293" spans="1:72" x14ac:dyDescent="0.25">
      <c r="A1293" s="2">
        <v>1956</v>
      </c>
      <c r="B1293" s="2">
        <v>2010</v>
      </c>
      <c r="C1293" s="2" t="s">
        <v>147</v>
      </c>
      <c r="D1293" s="2" t="s">
        <v>73</v>
      </c>
      <c r="E1293" s="2"/>
      <c r="F1293" s="2">
        <v>1</v>
      </c>
      <c r="G1293" s="2" t="s">
        <v>82</v>
      </c>
      <c r="H1293" s="2">
        <v>1</v>
      </c>
      <c r="I1293" s="2" t="s">
        <v>82</v>
      </c>
      <c r="J1293" s="2">
        <v>1</v>
      </c>
      <c r="K1293" s="2" t="s">
        <v>107</v>
      </c>
      <c r="L1293" s="2" t="s">
        <v>107</v>
      </c>
      <c r="M1293" s="3">
        <v>40268</v>
      </c>
      <c r="N1293" s="2"/>
      <c r="O1293" s="2"/>
      <c r="P1293" s="2"/>
      <c r="Q1293" s="2" t="str">
        <f>""</f>
        <v/>
      </c>
      <c r="R1293" s="2"/>
      <c r="S1293" s="2"/>
      <c r="T1293" s="2">
        <v>2</v>
      </c>
      <c r="U1293" s="2" t="s">
        <v>123</v>
      </c>
      <c r="V1293" s="2">
        <v>1</v>
      </c>
      <c r="W1293" s="2" t="s">
        <v>80</v>
      </c>
      <c r="X1293" s="2">
        <v>5</v>
      </c>
      <c r="Y1293" s="2" t="s">
        <v>82</v>
      </c>
      <c r="Z1293" s="2">
        <v>1</v>
      </c>
      <c r="AA1293" s="2" t="s">
        <v>82</v>
      </c>
      <c r="AB1293" s="2">
        <v>9</v>
      </c>
      <c r="AC1293" s="2" t="s">
        <v>124</v>
      </c>
      <c r="AD1293" s="3">
        <v>40268</v>
      </c>
      <c r="AE1293" s="4">
        <v>0.58333333333333337</v>
      </c>
      <c r="AF1293" s="3">
        <v>40268</v>
      </c>
      <c r="AG1293" s="4">
        <v>0.60416666666666663</v>
      </c>
      <c r="AH1293" s="2">
        <v>3</v>
      </c>
      <c r="AI1293" s="2" t="s">
        <v>214</v>
      </c>
      <c r="AJ1293" s="2">
        <v>22</v>
      </c>
      <c r="AK1293" s="2" t="s">
        <v>4818</v>
      </c>
      <c r="AL1293" s="2">
        <v>18</v>
      </c>
      <c r="AM1293" s="2" t="s">
        <v>82</v>
      </c>
      <c r="AN1293" s="2"/>
      <c r="AO1293" s="2"/>
      <c r="AP1293" s="2">
        <v>11</v>
      </c>
      <c r="AQ1293" s="2" t="s">
        <v>82</v>
      </c>
      <c r="AR1293" s="2"/>
      <c r="AS1293" s="2"/>
      <c r="AT1293" s="2" t="s">
        <v>4819</v>
      </c>
      <c r="AU1293" s="2"/>
      <c r="AV1293" s="2"/>
      <c r="AW1293" s="2"/>
      <c r="AX1293" s="2"/>
      <c r="AY1293" s="2">
        <v>1</v>
      </c>
      <c r="AZ1293" s="2" t="s">
        <v>107</v>
      </c>
      <c r="BA1293" s="2">
        <v>1</v>
      </c>
      <c r="BB1293" s="2" t="s">
        <v>107</v>
      </c>
      <c r="BC1293" s="2">
        <v>1</v>
      </c>
      <c r="BD1293" s="2" t="s">
        <v>107</v>
      </c>
      <c r="BE1293" s="2">
        <v>1</v>
      </c>
      <c r="BF1293" s="2" t="s">
        <v>107</v>
      </c>
      <c r="BG1293" s="2"/>
      <c r="BH1293" s="2"/>
      <c r="BI1293" s="2"/>
      <c r="BJ1293" s="2">
        <v>242</v>
      </c>
      <c r="BK1293" s="2" t="s">
        <v>107</v>
      </c>
      <c r="BL1293" s="2"/>
      <c r="BM1293" s="2">
        <v>242</v>
      </c>
      <c r="BN1293" s="2" t="s">
        <v>107</v>
      </c>
      <c r="BO1293" s="2"/>
      <c r="BP1293" s="2">
        <v>242</v>
      </c>
      <c r="BQ1293" s="2" t="s">
        <v>107</v>
      </c>
      <c r="BR1293" s="2"/>
      <c r="BS1293" s="3">
        <v>40268</v>
      </c>
      <c r="BT1293" s="4">
        <v>0.65601851851851845</v>
      </c>
    </row>
    <row r="1294" spans="1:72" x14ac:dyDescent="0.25">
      <c r="A1294" s="2">
        <v>1958</v>
      </c>
      <c r="B1294" s="2">
        <v>2010</v>
      </c>
      <c r="C1294" s="2" t="s">
        <v>147</v>
      </c>
      <c r="D1294" s="2" t="s">
        <v>73</v>
      </c>
      <c r="E1294" s="2"/>
      <c r="F1294" s="2">
        <v>576</v>
      </c>
      <c r="G1294" s="2" t="s">
        <v>4820</v>
      </c>
      <c r="H1294" s="2">
        <v>1</v>
      </c>
      <c r="I1294" s="2" t="s">
        <v>82</v>
      </c>
      <c r="J1294" s="2">
        <v>508</v>
      </c>
      <c r="K1294" s="2" t="s">
        <v>4821</v>
      </c>
      <c r="L1294" s="2" t="s">
        <v>4822</v>
      </c>
      <c r="M1294" s="3">
        <v>40268</v>
      </c>
      <c r="N1294" s="2"/>
      <c r="O1294" s="2" t="s">
        <v>4823</v>
      </c>
      <c r="P1294" s="2" t="s">
        <v>4824</v>
      </c>
      <c r="Q1294" s="2" t="str">
        <f>"N/C"</f>
        <v>N/C</v>
      </c>
      <c r="R1294" s="2" t="s">
        <v>82</v>
      </c>
      <c r="S1294" s="2" t="s">
        <v>82</v>
      </c>
      <c r="T1294" s="2">
        <v>2</v>
      </c>
      <c r="U1294" s="2" t="s">
        <v>123</v>
      </c>
      <c r="V1294" s="2">
        <v>1</v>
      </c>
      <c r="W1294" s="2" t="s">
        <v>80</v>
      </c>
      <c r="X1294" s="2">
        <v>12</v>
      </c>
      <c r="Y1294" s="2" t="s">
        <v>148</v>
      </c>
      <c r="Z1294" s="2">
        <v>1</v>
      </c>
      <c r="AA1294" s="2" t="s">
        <v>82</v>
      </c>
      <c r="AB1294" s="2">
        <v>9</v>
      </c>
      <c r="AC1294" s="2" t="s">
        <v>124</v>
      </c>
      <c r="AD1294" s="3">
        <v>40268</v>
      </c>
      <c r="AE1294" s="2"/>
      <c r="AF1294" s="3">
        <v>40268</v>
      </c>
      <c r="AG1294" s="4">
        <v>0.5</v>
      </c>
      <c r="AH1294" s="2">
        <v>3</v>
      </c>
      <c r="AI1294" s="2" t="s">
        <v>214</v>
      </c>
      <c r="AJ1294" s="2">
        <v>17</v>
      </c>
      <c r="AK1294" s="2" t="s">
        <v>309</v>
      </c>
      <c r="AL1294" s="2">
        <v>23</v>
      </c>
      <c r="AM1294" s="2" t="s">
        <v>251</v>
      </c>
      <c r="AN1294" s="2" t="s">
        <v>4825</v>
      </c>
      <c r="AO1294" s="2" t="s">
        <v>1736</v>
      </c>
      <c r="AP1294" s="2">
        <v>11</v>
      </c>
      <c r="AQ1294" s="2" t="s">
        <v>82</v>
      </c>
      <c r="AR1294" s="2"/>
      <c r="AS1294" s="2"/>
      <c r="AT1294" s="2" t="s">
        <v>4826</v>
      </c>
      <c r="AU1294" s="2"/>
      <c r="AV1294" s="2"/>
      <c r="AW1294" s="2"/>
      <c r="AX1294" s="2"/>
      <c r="AY1294" s="2">
        <v>70</v>
      </c>
      <c r="AZ1294" s="2" t="s">
        <v>236</v>
      </c>
      <c r="BA1294" s="2">
        <v>41</v>
      </c>
      <c r="BB1294" s="2" t="s">
        <v>82</v>
      </c>
      <c r="BC1294" s="2">
        <v>41</v>
      </c>
      <c r="BD1294" s="2" t="s">
        <v>82</v>
      </c>
      <c r="BE1294" s="2">
        <v>41</v>
      </c>
      <c r="BF1294" s="2" t="s">
        <v>82</v>
      </c>
      <c r="BG1294" s="2"/>
      <c r="BH1294" s="2"/>
      <c r="BI1294" s="2"/>
      <c r="BJ1294" s="2">
        <v>241</v>
      </c>
      <c r="BK1294" s="2" t="s">
        <v>82</v>
      </c>
      <c r="BL1294" s="2"/>
      <c r="BM1294" s="2">
        <v>241</v>
      </c>
      <c r="BN1294" s="2" t="s">
        <v>82</v>
      </c>
      <c r="BO1294" s="2"/>
      <c r="BP1294" s="2">
        <v>241</v>
      </c>
      <c r="BQ1294" s="2" t="s">
        <v>82</v>
      </c>
      <c r="BR1294" s="2"/>
      <c r="BS1294" s="3">
        <v>40268</v>
      </c>
      <c r="BT1294" s="4">
        <v>0.67087962962962966</v>
      </c>
    </row>
    <row r="1295" spans="1:72" x14ac:dyDescent="0.25">
      <c r="A1295" s="2">
        <v>1959</v>
      </c>
      <c r="B1295" s="2">
        <v>2010</v>
      </c>
      <c r="C1295" s="2" t="s">
        <v>1094</v>
      </c>
      <c r="D1295" s="2" t="s">
        <v>73</v>
      </c>
      <c r="E1295" s="2"/>
      <c r="F1295" s="2">
        <v>3</v>
      </c>
      <c r="G1295" s="2" t="s">
        <v>1041</v>
      </c>
      <c r="H1295" s="2">
        <v>22</v>
      </c>
      <c r="I1295" s="2" t="s">
        <v>75</v>
      </c>
      <c r="J1295" s="2">
        <v>368</v>
      </c>
      <c r="K1295" s="2" t="s">
        <v>1042</v>
      </c>
      <c r="L1295" s="2" t="s">
        <v>1043</v>
      </c>
      <c r="M1295" s="3">
        <v>40268</v>
      </c>
      <c r="N1295" s="2" t="s">
        <v>4827</v>
      </c>
      <c r="O1295" s="2" t="s">
        <v>107</v>
      </c>
      <c r="P1295" s="2" t="s">
        <v>107</v>
      </c>
      <c r="Q1295" s="2" t="str">
        <f>"175-E/10"</f>
        <v>175-E/10</v>
      </c>
      <c r="R1295" s="2" t="s">
        <v>1100</v>
      </c>
      <c r="S1295" s="2" t="s">
        <v>1100</v>
      </c>
      <c r="T1295" s="2">
        <v>1</v>
      </c>
      <c r="U1295" s="2" t="s">
        <v>79</v>
      </c>
      <c r="V1295" s="2">
        <v>1</v>
      </c>
      <c r="W1295" s="2" t="s">
        <v>80</v>
      </c>
      <c r="X1295" s="2">
        <v>1</v>
      </c>
      <c r="Y1295" s="2" t="s">
        <v>81</v>
      </c>
      <c r="Z1295" s="2">
        <v>1</v>
      </c>
      <c r="AA1295" s="2" t="s">
        <v>82</v>
      </c>
      <c r="AB1295" s="2">
        <v>9</v>
      </c>
      <c r="AC1295" s="2" t="s">
        <v>124</v>
      </c>
      <c r="AD1295" s="3">
        <v>40268</v>
      </c>
      <c r="AE1295" s="4">
        <v>0.16666666666666666</v>
      </c>
      <c r="AF1295" s="3">
        <v>40268</v>
      </c>
      <c r="AG1295" s="4">
        <v>0.50694444444444442</v>
      </c>
      <c r="AH1295" s="2">
        <v>2</v>
      </c>
      <c r="AI1295" s="2" t="s">
        <v>84</v>
      </c>
      <c r="AJ1295" s="2">
        <v>9</v>
      </c>
      <c r="AK1295" s="2" t="s">
        <v>103</v>
      </c>
      <c r="AL1295" s="2">
        <v>13</v>
      </c>
      <c r="AM1295" s="2" t="s">
        <v>117</v>
      </c>
      <c r="AN1295" s="2" t="s">
        <v>4828</v>
      </c>
      <c r="AO1295" s="2" t="s">
        <v>82</v>
      </c>
      <c r="AP1295" s="2">
        <v>11</v>
      </c>
      <c r="AQ1295" s="2" t="s">
        <v>82</v>
      </c>
      <c r="AR1295" s="2"/>
      <c r="AS1295" s="2"/>
      <c r="AT1295" s="2" t="s">
        <v>4829</v>
      </c>
      <c r="AU1295" s="2"/>
      <c r="AV1295" s="2"/>
      <c r="AW1295" s="2"/>
      <c r="AX1295" s="2"/>
      <c r="AY1295" s="2">
        <v>41</v>
      </c>
      <c r="AZ1295" s="2" t="s">
        <v>82</v>
      </c>
      <c r="BA1295" s="2">
        <v>41</v>
      </c>
      <c r="BB1295" s="2" t="s">
        <v>82</v>
      </c>
      <c r="BC1295" s="2">
        <v>41</v>
      </c>
      <c r="BD1295" s="2" t="s">
        <v>82</v>
      </c>
      <c r="BE1295" s="2">
        <v>41</v>
      </c>
      <c r="BF1295" s="2" t="s">
        <v>82</v>
      </c>
      <c r="BG1295" s="2"/>
      <c r="BH1295" s="2"/>
      <c r="BI1295" s="2"/>
      <c r="BJ1295" s="2">
        <v>241</v>
      </c>
      <c r="BK1295" s="2" t="s">
        <v>82</v>
      </c>
      <c r="BL1295" s="2"/>
      <c r="BM1295" s="2">
        <v>241</v>
      </c>
      <c r="BN1295" s="2" t="s">
        <v>82</v>
      </c>
      <c r="BO1295" s="2"/>
      <c r="BP1295" s="2">
        <v>241</v>
      </c>
      <c r="BQ1295" s="2" t="s">
        <v>82</v>
      </c>
      <c r="BR1295" s="2"/>
      <c r="BS1295" s="3">
        <v>40268</v>
      </c>
      <c r="BT1295" s="4">
        <v>0.710474537037037</v>
      </c>
    </row>
    <row r="1296" spans="1:72" x14ac:dyDescent="0.25">
      <c r="A1296" s="2">
        <v>1960</v>
      </c>
      <c r="B1296" s="2">
        <v>2010</v>
      </c>
      <c r="C1296" s="2" t="s">
        <v>147</v>
      </c>
      <c r="D1296" s="2" t="s">
        <v>73</v>
      </c>
      <c r="E1296" s="2"/>
      <c r="F1296" s="2">
        <v>1</v>
      </c>
      <c r="G1296" s="2" t="s">
        <v>82</v>
      </c>
      <c r="H1296" s="2">
        <v>1</v>
      </c>
      <c r="I1296" s="2" t="s">
        <v>82</v>
      </c>
      <c r="J1296" s="2">
        <v>1</v>
      </c>
      <c r="K1296" s="2" t="s">
        <v>107</v>
      </c>
      <c r="L1296" s="2" t="s">
        <v>107</v>
      </c>
      <c r="M1296" s="3">
        <v>40268</v>
      </c>
      <c r="N1296" s="2"/>
      <c r="O1296" s="2"/>
      <c r="P1296" s="2"/>
      <c r="Q1296" s="2" t="str">
        <f>""</f>
        <v/>
      </c>
      <c r="R1296" s="2"/>
      <c r="S1296" s="2"/>
      <c r="T1296" s="2">
        <v>2</v>
      </c>
      <c r="U1296" s="2" t="s">
        <v>123</v>
      </c>
      <c r="V1296" s="2">
        <v>1</v>
      </c>
      <c r="W1296" s="2" t="s">
        <v>80</v>
      </c>
      <c r="X1296" s="2">
        <v>12</v>
      </c>
      <c r="Y1296" s="2" t="s">
        <v>148</v>
      </c>
      <c r="Z1296" s="2">
        <v>1</v>
      </c>
      <c r="AA1296" s="2" t="s">
        <v>82</v>
      </c>
      <c r="AB1296" s="2">
        <v>9</v>
      </c>
      <c r="AC1296" s="2" t="s">
        <v>124</v>
      </c>
      <c r="AD1296" s="3">
        <v>40267</v>
      </c>
      <c r="AE1296" s="2"/>
      <c r="AF1296" s="3">
        <v>40268</v>
      </c>
      <c r="AG1296" s="4">
        <v>0.59027777777777779</v>
      </c>
      <c r="AH1296" s="2">
        <v>3</v>
      </c>
      <c r="AI1296" s="2" t="s">
        <v>214</v>
      </c>
      <c r="AJ1296" s="2">
        <v>17</v>
      </c>
      <c r="AK1296" s="2" t="s">
        <v>309</v>
      </c>
      <c r="AL1296" s="2">
        <v>10</v>
      </c>
      <c r="AM1296" s="2" t="s">
        <v>200</v>
      </c>
      <c r="AN1296" s="2" t="s">
        <v>107</v>
      </c>
      <c r="AO1296" s="2"/>
      <c r="AP1296" s="2">
        <v>11</v>
      </c>
      <c r="AQ1296" s="2" t="s">
        <v>82</v>
      </c>
      <c r="AR1296" s="2"/>
      <c r="AS1296" s="2"/>
      <c r="AT1296" s="2" t="s">
        <v>4830</v>
      </c>
      <c r="AU1296" s="2"/>
      <c r="AV1296" s="2"/>
      <c r="AW1296" s="2"/>
      <c r="AX1296" s="2"/>
      <c r="AY1296" s="2">
        <v>70</v>
      </c>
      <c r="AZ1296" s="2" t="s">
        <v>236</v>
      </c>
      <c r="BA1296" s="2">
        <v>41</v>
      </c>
      <c r="BB1296" s="2" t="s">
        <v>82</v>
      </c>
      <c r="BC1296" s="2">
        <v>41</v>
      </c>
      <c r="BD1296" s="2" t="s">
        <v>82</v>
      </c>
      <c r="BE1296" s="2">
        <v>41</v>
      </c>
      <c r="BF1296" s="2" t="s">
        <v>82</v>
      </c>
      <c r="BG1296" s="2"/>
      <c r="BH1296" s="2"/>
      <c r="BI1296" s="2"/>
      <c r="BJ1296" s="2">
        <v>241</v>
      </c>
      <c r="BK1296" s="2" t="s">
        <v>82</v>
      </c>
      <c r="BL1296" s="2"/>
      <c r="BM1296" s="2">
        <v>241</v>
      </c>
      <c r="BN1296" s="2" t="s">
        <v>82</v>
      </c>
      <c r="BO1296" s="2"/>
      <c r="BP1296" s="2">
        <v>241</v>
      </c>
      <c r="BQ1296" s="2" t="s">
        <v>82</v>
      </c>
      <c r="BR1296" s="2"/>
      <c r="BS1296" s="3">
        <v>40268</v>
      </c>
      <c r="BT1296" s="4">
        <v>0.71732638888888889</v>
      </c>
    </row>
    <row r="1297" spans="1:72" x14ac:dyDescent="0.25">
      <c r="A1297" s="2">
        <v>1961</v>
      </c>
      <c r="B1297" s="2">
        <v>2010</v>
      </c>
      <c r="C1297" s="2" t="s">
        <v>72</v>
      </c>
      <c r="D1297" s="2" t="s">
        <v>73</v>
      </c>
      <c r="E1297" s="2"/>
      <c r="F1297" s="2">
        <v>177</v>
      </c>
      <c r="G1297" s="2" t="s">
        <v>403</v>
      </c>
      <c r="H1297" s="2">
        <v>68</v>
      </c>
      <c r="I1297" s="2" t="s">
        <v>3747</v>
      </c>
      <c r="J1297" s="2">
        <v>507</v>
      </c>
      <c r="K1297" s="2" t="s">
        <v>4188</v>
      </c>
      <c r="L1297" s="2" t="s">
        <v>4189</v>
      </c>
      <c r="M1297" s="3">
        <v>40268</v>
      </c>
      <c r="N1297" s="2" t="s">
        <v>4212</v>
      </c>
      <c r="O1297" s="2" t="s">
        <v>107</v>
      </c>
      <c r="P1297" s="2" t="s">
        <v>107</v>
      </c>
      <c r="Q1297" s="2" t="str">
        <f>"139-A/10"</f>
        <v>139-A/10</v>
      </c>
      <c r="R1297" s="2" t="s">
        <v>206</v>
      </c>
      <c r="S1297" s="2" t="s">
        <v>206</v>
      </c>
      <c r="T1297" s="2">
        <v>1</v>
      </c>
      <c r="U1297" s="2" t="s">
        <v>79</v>
      </c>
      <c r="V1297" s="2">
        <v>1</v>
      </c>
      <c r="W1297" s="2" t="s">
        <v>80</v>
      </c>
      <c r="X1297" s="2">
        <v>1</v>
      </c>
      <c r="Y1297" s="2" t="s">
        <v>81</v>
      </c>
      <c r="Z1297" s="2">
        <v>1</v>
      </c>
      <c r="AA1297" s="2" t="s">
        <v>82</v>
      </c>
      <c r="AB1297" s="2">
        <v>6</v>
      </c>
      <c r="AC1297" s="2" t="s">
        <v>83</v>
      </c>
      <c r="AD1297" s="3">
        <v>40268</v>
      </c>
      <c r="AE1297" s="4">
        <v>0.43402777777777773</v>
      </c>
      <c r="AF1297" s="3">
        <v>40268</v>
      </c>
      <c r="AG1297" s="4">
        <v>0.75</v>
      </c>
      <c r="AH1297" s="2">
        <v>2</v>
      </c>
      <c r="AI1297" s="2" t="s">
        <v>84</v>
      </c>
      <c r="AJ1297" s="2">
        <v>12</v>
      </c>
      <c r="AK1297" s="2" t="s">
        <v>85</v>
      </c>
      <c r="AL1297" s="2">
        <v>17</v>
      </c>
      <c r="AM1297" s="2" t="s">
        <v>232</v>
      </c>
      <c r="AN1297" s="2" t="s">
        <v>2127</v>
      </c>
      <c r="AO1297" s="2" t="s">
        <v>4831</v>
      </c>
      <c r="AP1297" s="2">
        <v>11</v>
      </c>
      <c r="AQ1297" s="2" t="s">
        <v>82</v>
      </c>
      <c r="AR1297" s="2"/>
      <c r="AS1297" s="2"/>
      <c r="AT1297" s="2" t="s">
        <v>4832</v>
      </c>
      <c r="AU1297" s="2"/>
      <c r="AV1297" s="2"/>
      <c r="AW1297" s="2"/>
      <c r="AX1297" s="2"/>
      <c r="AY1297" s="2">
        <v>41</v>
      </c>
      <c r="AZ1297" s="2" t="s">
        <v>82</v>
      </c>
      <c r="BA1297" s="2">
        <v>41</v>
      </c>
      <c r="BB1297" s="2" t="s">
        <v>82</v>
      </c>
      <c r="BC1297" s="2">
        <v>41</v>
      </c>
      <c r="BD1297" s="2" t="s">
        <v>82</v>
      </c>
      <c r="BE1297" s="2">
        <v>13</v>
      </c>
      <c r="BF1297" s="2" t="s">
        <v>108</v>
      </c>
      <c r="BG1297" s="2" t="s">
        <v>4833</v>
      </c>
      <c r="BH1297" s="4">
        <v>0.90972222222222221</v>
      </c>
      <c r="BI1297" s="4">
        <v>0.79861111111111116</v>
      </c>
      <c r="BJ1297" s="2">
        <v>13</v>
      </c>
      <c r="BK1297" s="2" t="s">
        <v>91</v>
      </c>
      <c r="BL1297" s="2" t="s">
        <v>185</v>
      </c>
      <c r="BM1297" s="2">
        <v>13</v>
      </c>
      <c r="BN1297" s="2" t="s">
        <v>91</v>
      </c>
      <c r="BO1297" s="2" t="s">
        <v>82</v>
      </c>
      <c r="BP1297" s="2">
        <v>13</v>
      </c>
      <c r="BQ1297" s="2" t="s">
        <v>91</v>
      </c>
      <c r="BR1297" s="2" t="s">
        <v>353</v>
      </c>
      <c r="BS1297" s="3">
        <v>40268</v>
      </c>
      <c r="BT1297" s="4">
        <v>0.83613425925925933</v>
      </c>
    </row>
    <row r="1298" spans="1:72" x14ac:dyDescent="0.25">
      <c r="A1298" s="2">
        <v>1963</v>
      </c>
      <c r="B1298" s="2">
        <v>2010</v>
      </c>
      <c r="C1298" s="2" t="s">
        <v>625</v>
      </c>
      <c r="D1298" s="2" t="s">
        <v>73</v>
      </c>
      <c r="E1298" s="2"/>
      <c r="F1298" s="2">
        <v>232</v>
      </c>
      <c r="G1298" s="2" t="s">
        <v>4075</v>
      </c>
      <c r="H1298" s="2">
        <v>15</v>
      </c>
      <c r="I1298" s="2" t="s">
        <v>130</v>
      </c>
      <c r="J1298" s="2">
        <v>242</v>
      </c>
      <c r="K1298" s="2" t="s">
        <v>1077</v>
      </c>
      <c r="L1298" s="2" t="s">
        <v>1078</v>
      </c>
      <c r="M1298" s="3">
        <v>40268</v>
      </c>
      <c r="N1298" s="2" t="s">
        <v>588</v>
      </c>
      <c r="O1298" s="2" t="s">
        <v>4655</v>
      </c>
      <c r="P1298" s="2">
        <v>6481</v>
      </c>
      <c r="Q1298" s="2" t="str">
        <f>""</f>
        <v/>
      </c>
      <c r="R1298" s="2"/>
      <c r="S1298" s="2"/>
      <c r="T1298" s="2">
        <v>1</v>
      </c>
      <c r="U1298" s="2" t="s">
        <v>79</v>
      </c>
      <c r="V1298" s="2">
        <v>1</v>
      </c>
      <c r="W1298" s="2" t="s">
        <v>80</v>
      </c>
      <c r="X1298" s="2">
        <v>2</v>
      </c>
      <c r="Y1298" s="2" t="s">
        <v>136</v>
      </c>
      <c r="Z1298" s="2">
        <v>10</v>
      </c>
      <c r="AA1298" s="2" t="s">
        <v>236</v>
      </c>
      <c r="AB1298" s="2">
        <v>9</v>
      </c>
      <c r="AC1298" s="2" t="s">
        <v>124</v>
      </c>
      <c r="AD1298" s="3">
        <v>40268</v>
      </c>
      <c r="AE1298" s="4">
        <v>0.93055555555555547</v>
      </c>
      <c r="AF1298" s="2"/>
      <c r="AG1298" s="2"/>
      <c r="AH1298" s="2">
        <v>2</v>
      </c>
      <c r="AI1298" s="2" t="s">
        <v>84</v>
      </c>
      <c r="AJ1298" s="2">
        <v>6</v>
      </c>
      <c r="AK1298" s="2" t="s">
        <v>453</v>
      </c>
      <c r="AL1298" s="2">
        <v>18</v>
      </c>
      <c r="AM1298" s="2" t="s">
        <v>82</v>
      </c>
      <c r="AN1298" s="2" t="s">
        <v>4834</v>
      </c>
      <c r="AO1298" s="2" t="s">
        <v>251</v>
      </c>
      <c r="AP1298" s="2">
        <v>11</v>
      </c>
      <c r="AQ1298" s="2" t="s">
        <v>82</v>
      </c>
      <c r="AR1298" s="2"/>
      <c r="AS1298" s="2"/>
      <c r="AT1298" s="2" t="s">
        <v>4835</v>
      </c>
      <c r="AU1298" s="2"/>
      <c r="AV1298" s="2"/>
      <c r="AW1298" s="2"/>
      <c r="AX1298" s="2"/>
      <c r="AY1298" s="2">
        <v>42</v>
      </c>
      <c r="AZ1298" s="2" t="s">
        <v>182</v>
      </c>
      <c r="BA1298" s="2">
        <v>70</v>
      </c>
      <c r="BB1298" s="2" t="s">
        <v>236</v>
      </c>
      <c r="BC1298" s="2">
        <v>70</v>
      </c>
      <c r="BD1298" s="2" t="s">
        <v>236</v>
      </c>
      <c r="BE1298" s="2">
        <v>41</v>
      </c>
      <c r="BF1298" s="2" t="s">
        <v>82</v>
      </c>
      <c r="BG1298" s="2"/>
      <c r="BH1298" s="2"/>
      <c r="BI1298" s="2"/>
      <c r="BJ1298" s="2">
        <v>241</v>
      </c>
      <c r="BK1298" s="2" t="s">
        <v>82</v>
      </c>
      <c r="BL1298" s="2"/>
      <c r="BM1298" s="2">
        <v>241</v>
      </c>
      <c r="BN1298" s="2" t="s">
        <v>82</v>
      </c>
      <c r="BO1298" s="2"/>
      <c r="BP1298" s="2">
        <v>241</v>
      </c>
      <c r="BQ1298" s="2" t="s">
        <v>82</v>
      </c>
      <c r="BR1298" s="2"/>
      <c r="BS1298" s="3">
        <v>40268</v>
      </c>
      <c r="BT1298" s="4">
        <v>0.98828703703703702</v>
      </c>
    </row>
    <row r="1299" spans="1:72" x14ac:dyDescent="0.25">
      <c r="A1299" s="2">
        <v>1963</v>
      </c>
      <c r="B1299" s="2">
        <v>2010</v>
      </c>
      <c r="C1299" s="2" t="s">
        <v>171</v>
      </c>
      <c r="D1299" s="2" t="s">
        <v>73</v>
      </c>
      <c r="E1299" s="2"/>
      <c r="F1299" s="2">
        <v>232</v>
      </c>
      <c r="G1299" s="2" t="s">
        <v>4075</v>
      </c>
      <c r="H1299" s="2">
        <v>15</v>
      </c>
      <c r="I1299" s="2" t="s">
        <v>130</v>
      </c>
      <c r="J1299" s="2">
        <v>242</v>
      </c>
      <c r="K1299" s="2" t="s">
        <v>1077</v>
      </c>
      <c r="L1299" s="2" t="s">
        <v>1078</v>
      </c>
      <c r="M1299" s="3">
        <v>40268</v>
      </c>
      <c r="N1299" s="2" t="s">
        <v>588</v>
      </c>
      <c r="O1299" s="2" t="s">
        <v>4655</v>
      </c>
      <c r="P1299" s="2">
        <v>6481</v>
      </c>
      <c r="Q1299" s="2" t="str">
        <f>""</f>
        <v/>
      </c>
      <c r="R1299" s="2"/>
      <c r="S1299" s="2"/>
      <c r="T1299" s="2">
        <v>1</v>
      </c>
      <c r="U1299" s="2" t="s">
        <v>79</v>
      </c>
      <c r="V1299" s="2">
        <v>1</v>
      </c>
      <c r="W1299" s="2" t="s">
        <v>80</v>
      </c>
      <c r="X1299" s="2">
        <v>2</v>
      </c>
      <c r="Y1299" s="2" t="s">
        <v>136</v>
      </c>
      <c r="Z1299" s="2">
        <v>10</v>
      </c>
      <c r="AA1299" s="2" t="s">
        <v>236</v>
      </c>
      <c r="AB1299" s="2">
        <v>1</v>
      </c>
      <c r="AC1299" s="2" t="s">
        <v>178</v>
      </c>
      <c r="AD1299" s="3">
        <v>40268</v>
      </c>
      <c r="AE1299" s="4">
        <v>0.93055555555555547</v>
      </c>
      <c r="AF1299" s="2"/>
      <c r="AG1299" s="2"/>
      <c r="AH1299" s="2">
        <v>2</v>
      </c>
      <c r="AI1299" s="2" t="s">
        <v>84</v>
      </c>
      <c r="AJ1299" s="2">
        <v>6</v>
      </c>
      <c r="AK1299" s="2" t="s">
        <v>453</v>
      </c>
      <c r="AL1299" s="2">
        <v>18</v>
      </c>
      <c r="AM1299" s="2" t="s">
        <v>82</v>
      </c>
      <c r="AN1299" s="2" t="s">
        <v>4834</v>
      </c>
      <c r="AO1299" s="2" t="s">
        <v>251</v>
      </c>
      <c r="AP1299" s="2">
        <v>11</v>
      </c>
      <c r="AQ1299" s="2" t="s">
        <v>82</v>
      </c>
      <c r="AR1299" s="2"/>
      <c r="AS1299" s="2"/>
      <c r="AT1299" s="2" t="s">
        <v>4835</v>
      </c>
      <c r="AU1299" s="2"/>
      <c r="AV1299" s="2"/>
      <c r="AW1299" s="2"/>
      <c r="AX1299" s="2"/>
      <c r="AY1299" s="2">
        <v>42</v>
      </c>
      <c r="AZ1299" s="2" t="s">
        <v>182</v>
      </c>
      <c r="BA1299" s="2">
        <v>70</v>
      </c>
      <c r="BB1299" s="2" t="s">
        <v>236</v>
      </c>
      <c r="BC1299" s="2">
        <v>70</v>
      </c>
      <c r="BD1299" s="2" t="s">
        <v>236</v>
      </c>
      <c r="BE1299" s="2">
        <v>41</v>
      </c>
      <c r="BF1299" s="2" t="s">
        <v>82</v>
      </c>
      <c r="BG1299" s="2"/>
      <c r="BH1299" s="2"/>
      <c r="BI1299" s="2"/>
      <c r="BJ1299" s="2">
        <v>241</v>
      </c>
      <c r="BK1299" s="2" t="s">
        <v>82</v>
      </c>
      <c r="BL1299" s="2"/>
      <c r="BM1299" s="2">
        <v>241</v>
      </c>
      <c r="BN1299" s="2" t="s">
        <v>82</v>
      </c>
      <c r="BO1299" s="2"/>
      <c r="BP1299" s="2">
        <v>241</v>
      </c>
      <c r="BQ1299" s="2" t="s">
        <v>82</v>
      </c>
      <c r="BR1299" s="2"/>
      <c r="BS1299" s="3">
        <v>40268</v>
      </c>
      <c r="BT1299" s="4">
        <v>0.98828703703703702</v>
      </c>
    </row>
    <row r="1300" spans="1:72" x14ac:dyDescent="0.25">
      <c r="A1300" s="2">
        <v>1964</v>
      </c>
      <c r="B1300" s="2">
        <v>2010</v>
      </c>
      <c r="C1300" s="2" t="s">
        <v>72</v>
      </c>
      <c r="D1300" s="2" t="s">
        <v>73</v>
      </c>
      <c r="E1300" s="2"/>
      <c r="F1300" s="2">
        <v>175</v>
      </c>
      <c r="G1300" s="2" t="s">
        <v>4170</v>
      </c>
      <c r="H1300" s="2">
        <v>79</v>
      </c>
      <c r="I1300" s="2" t="s">
        <v>4171</v>
      </c>
      <c r="J1300" s="2">
        <v>183</v>
      </c>
      <c r="K1300" s="2" t="s">
        <v>3133</v>
      </c>
      <c r="L1300" s="2" t="s">
        <v>3134</v>
      </c>
      <c r="M1300" s="3">
        <v>40269</v>
      </c>
      <c r="N1300" s="2" t="s">
        <v>4836</v>
      </c>
      <c r="O1300" s="2" t="s">
        <v>107</v>
      </c>
      <c r="P1300" s="2" t="s">
        <v>107</v>
      </c>
      <c r="Q1300" s="2" t="str">
        <f>"140-A/10"</f>
        <v>140-A/10</v>
      </c>
      <c r="R1300" s="2" t="s">
        <v>107</v>
      </c>
      <c r="S1300" s="2" t="s">
        <v>78</v>
      </c>
      <c r="T1300" s="2">
        <v>1</v>
      </c>
      <c r="U1300" s="2" t="s">
        <v>79</v>
      </c>
      <c r="V1300" s="2">
        <v>1</v>
      </c>
      <c r="W1300" s="2" t="s">
        <v>80</v>
      </c>
      <c r="X1300" s="2">
        <v>5</v>
      </c>
      <c r="Y1300" s="2" t="s">
        <v>82</v>
      </c>
      <c r="Z1300" s="2">
        <v>1</v>
      </c>
      <c r="AA1300" s="2" t="s">
        <v>82</v>
      </c>
      <c r="AB1300" s="2">
        <v>6</v>
      </c>
      <c r="AC1300" s="2" t="s">
        <v>83</v>
      </c>
      <c r="AD1300" s="3">
        <v>40268</v>
      </c>
      <c r="AE1300" s="4">
        <v>0.73958333333333337</v>
      </c>
      <c r="AF1300" s="3">
        <v>40268</v>
      </c>
      <c r="AG1300" s="4">
        <v>0.875</v>
      </c>
      <c r="AH1300" s="2">
        <v>2</v>
      </c>
      <c r="AI1300" s="2" t="s">
        <v>84</v>
      </c>
      <c r="AJ1300" s="2">
        <v>12</v>
      </c>
      <c r="AK1300" s="2" t="s">
        <v>85</v>
      </c>
      <c r="AL1300" s="2">
        <v>21</v>
      </c>
      <c r="AM1300" s="2" t="s">
        <v>1311</v>
      </c>
      <c r="AN1300" s="2" t="s">
        <v>4837</v>
      </c>
      <c r="AO1300" s="2" t="s">
        <v>4838</v>
      </c>
      <c r="AP1300" s="2">
        <v>11</v>
      </c>
      <c r="AQ1300" s="2" t="s">
        <v>82</v>
      </c>
      <c r="AR1300" s="2"/>
      <c r="AS1300" s="2"/>
      <c r="AT1300" s="2" t="s">
        <v>4839</v>
      </c>
      <c r="AU1300" s="2"/>
      <c r="AV1300" s="2"/>
      <c r="AW1300" s="2"/>
      <c r="AX1300" s="2"/>
      <c r="AY1300" s="2">
        <v>41</v>
      </c>
      <c r="AZ1300" s="2" t="s">
        <v>82</v>
      </c>
      <c r="BA1300" s="2">
        <v>41</v>
      </c>
      <c r="BB1300" s="2" t="s">
        <v>82</v>
      </c>
      <c r="BC1300" s="2">
        <v>41</v>
      </c>
      <c r="BD1300" s="2" t="s">
        <v>82</v>
      </c>
      <c r="BE1300" s="2">
        <v>4</v>
      </c>
      <c r="BF1300" s="2" t="s">
        <v>90</v>
      </c>
      <c r="BG1300" s="2" t="s">
        <v>4840</v>
      </c>
      <c r="BH1300" s="4">
        <v>0.72569444444444453</v>
      </c>
      <c r="BI1300" s="4">
        <v>0.625</v>
      </c>
      <c r="BJ1300" s="2">
        <v>13</v>
      </c>
      <c r="BK1300" s="2" t="s">
        <v>91</v>
      </c>
      <c r="BL1300" s="2" t="s">
        <v>828</v>
      </c>
      <c r="BM1300" s="2">
        <v>241</v>
      </c>
      <c r="BN1300" s="2" t="s">
        <v>82</v>
      </c>
      <c r="BO1300" s="2" t="s">
        <v>82</v>
      </c>
      <c r="BP1300" s="2">
        <v>13</v>
      </c>
      <c r="BQ1300" s="2" t="s">
        <v>91</v>
      </c>
      <c r="BR1300" s="2" t="s">
        <v>3690</v>
      </c>
      <c r="BS1300" s="3">
        <v>40269</v>
      </c>
      <c r="BT1300" s="4">
        <v>3.6574074074074074E-3</v>
      </c>
    </row>
    <row r="1301" spans="1:72" x14ac:dyDescent="0.25">
      <c r="A1301" s="2">
        <v>1965</v>
      </c>
      <c r="B1301" s="2">
        <v>2010</v>
      </c>
      <c r="C1301" s="2" t="s">
        <v>2567</v>
      </c>
      <c r="D1301" s="2" t="s">
        <v>122</v>
      </c>
      <c r="E1301" s="2"/>
      <c r="F1301" s="2">
        <v>1</v>
      </c>
      <c r="G1301" s="2" t="s">
        <v>82</v>
      </c>
      <c r="H1301" s="2">
        <v>1</v>
      </c>
      <c r="I1301" s="2" t="s">
        <v>82</v>
      </c>
      <c r="J1301" s="2">
        <v>1</v>
      </c>
      <c r="K1301" s="2" t="s">
        <v>107</v>
      </c>
      <c r="L1301" s="2" t="s">
        <v>107</v>
      </c>
      <c r="M1301" s="3">
        <v>40269</v>
      </c>
      <c r="N1301" s="2" t="s">
        <v>82</v>
      </c>
      <c r="O1301" s="2" t="s">
        <v>82</v>
      </c>
      <c r="P1301" s="2" t="s">
        <v>82</v>
      </c>
      <c r="Q1301" s="2" t="str">
        <f>"N/C"</f>
        <v>N/C</v>
      </c>
      <c r="R1301" s="2" t="s">
        <v>82</v>
      </c>
      <c r="S1301" s="2" t="s">
        <v>82</v>
      </c>
      <c r="T1301" s="2">
        <v>1</v>
      </c>
      <c r="U1301" s="2" t="s">
        <v>79</v>
      </c>
      <c r="V1301" s="2">
        <v>1</v>
      </c>
      <c r="W1301" s="2" t="s">
        <v>80</v>
      </c>
      <c r="X1301" s="2">
        <v>1</v>
      </c>
      <c r="Y1301" s="2" t="s">
        <v>81</v>
      </c>
      <c r="Z1301" s="2">
        <v>10</v>
      </c>
      <c r="AA1301" s="2" t="s">
        <v>236</v>
      </c>
      <c r="AB1301" s="2">
        <v>9</v>
      </c>
      <c r="AC1301" s="2" t="s">
        <v>124</v>
      </c>
      <c r="AD1301" s="3">
        <v>40268</v>
      </c>
      <c r="AE1301" s="4">
        <v>0.63750000000000007</v>
      </c>
      <c r="AF1301" s="2"/>
      <c r="AG1301" s="2"/>
      <c r="AH1301" s="2">
        <v>6</v>
      </c>
      <c r="AI1301" s="2" t="s">
        <v>197</v>
      </c>
      <c r="AJ1301" s="2">
        <v>61</v>
      </c>
      <c r="AK1301" s="2" t="s">
        <v>686</v>
      </c>
      <c r="AL1301" s="2">
        <v>18</v>
      </c>
      <c r="AM1301" s="2" t="s">
        <v>82</v>
      </c>
      <c r="AN1301" s="2" t="s">
        <v>4557</v>
      </c>
      <c r="AO1301" s="2" t="s">
        <v>200</v>
      </c>
      <c r="AP1301" s="2">
        <v>11</v>
      </c>
      <c r="AQ1301" s="2" t="s">
        <v>82</v>
      </c>
      <c r="AR1301" s="2" t="s">
        <v>82</v>
      </c>
      <c r="AS1301" s="2" t="s">
        <v>82</v>
      </c>
      <c r="AT1301" s="2" t="s">
        <v>4841</v>
      </c>
      <c r="AU1301" s="2"/>
      <c r="AV1301" s="2"/>
      <c r="AW1301" s="2"/>
      <c r="AX1301" s="2"/>
      <c r="AY1301" s="2">
        <v>41</v>
      </c>
      <c r="AZ1301" s="2" t="s">
        <v>82</v>
      </c>
      <c r="BA1301" s="2">
        <v>41</v>
      </c>
      <c r="BB1301" s="2" t="s">
        <v>82</v>
      </c>
      <c r="BC1301" s="2">
        <v>41</v>
      </c>
      <c r="BD1301" s="2" t="s">
        <v>82</v>
      </c>
      <c r="BE1301" s="2">
        <v>1</v>
      </c>
      <c r="BF1301" s="2" t="s">
        <v>107</v>
      </c>
      <c r="BG1301" s="2"/>
      <c r="BH1301" s="4">
        <v>0.63750000000000007</v>
      </c>
      <c r="BI1301" s="2"/>
      <c r="BJ1301" s="2">
        <v>13</v>
      </c>
      <c r="BK1301" s="2" t="s">
        <v>91</v>
      </c>
      <c r="BL1301" s="2" t="s">
        <v>492</v>
      </c>
      <c r="BM1301" s="2">
        <v>241</v>
      </c>
      <c r="BN1301" s="2" t="s">
        <v>82</v>
      </c>
      <c r="BO1301" s="2" t="s">
        <v>82</v>
      </c>
      <c r="BP1301" s="2">
        <v>13</v>
      </c>
      <c r="BQ1301" s="2" t="s">
        <v>91</v>
      </c>
      <c r="BR1301" s="2" t="s">
        <v>690</v>
      </c>
      <c r="BS1301" s="3">
        <v>40269</v>
      </c>
      <c r="BT1301" s="4">
        <v>3.0428240740740742E-2</v>
      </c>
    </row>
    <row r="1302" spans="1:72" x14ac:dyDescent="0.25">
      <c r="A1302" s="2">
        <v>1966</v>
      </c>
      <c r="B1302" s="2">
        <v>2010</v>
      </c>
      <c r="C1302" s="2" t="s">
        <v>594</v>
      </c>
      <c r="D1302" s="2" t="s">
        <v>122</v>
      </c>
      <c r="E1302" s="2"/>
      <c r="F1302" s="2">
        <v>1</v>
      </c>
      <c r="G1302" s="2" t="s">
        <v>82</v>
      </c>
      <c r="H1302" s="2">
        <v>1</v>
      </c>
      <c r="I1302" s="2" t="s">
        <v>82</v>
      </c>
      <c r="J1302" s="2">
        <v>1</v>
      </c>
      <c r="K1302" s="2" t="s">
        <v>107</v>
      </c>
      <c r="L1302" s="2" t="s">
        <v>107</v>
      </c>
      <c r="M1302" s="3">
        <v>40269</v>
      </c>
      <c r="N1302" s="2"/>
      <c r="O1302" s="2"/>
      <c r="P1302" s="2"/>
      <c r="Q1302" s="2" t="str">
        <f>""</f>
        <v/>
      </c>
      <c r="R1302" s="2"/>
      <c r="S1302" s="2"/>
      <c r="T1302" s="2">
        <v>1</v>
      </c>
      <c r="U1302" s="2" t="s">
        <v>79</v>
      </c>
      <c r="V1302" s="2">
        <v>1</v>
      </c>
      <c r="W1302" s="2" t="s">
        <v>80</v>
      </c>
      <c r="X1302" s="2">
        <v>1</v>
      </c>
      <c r="Y1302" s="2" t="s">
        <v>81</v>
      </c>
      <c r="Z1302" s="2">
        <v>1</v>
      </c>
      <c r="AA1302" s="2" t="s">
        <v>82</v>
      </c>
      <c r="AB1302" s="2">
        <v>9</v>
      </c>
      <c r="AC1302" s="2" t="s">
        <v>124</v>
      </c>
      <c r="AD1302" s="3">
        <v>40238</v>
      </c>
      <c r="AE1302" s="4">
        <v>5.2777777777777778E-2</v>
      </c>
      <c r="AF1302" s="2"/>
      <c r="AG1302" s="2"/>
      <c r="AH1302" s="2">
        <v>6</v>
      </c>
      <c r="AI1302" s="2" t="s">
        <v>197</v>
      </c>
      <c r="AJ1302" s="2">
        <v>54</v>
      </c>
      <c r="AK1302" s="2" t="s">
        <v>348</v>
      </c>
      <c r="AL1302" s="2">
        <v>18</v>
      </c>
      <c r="AM1302" s="2" t="s">
        <v>82</v>
      </c>
      <c r="AN1302" s="2" t="s">
        <v>595</v>
      </c>
      <c r="AO1302" s="2" t="s">
        <v>200</v>
      </c>
      <c r="AP1302" s="2">
        <v>14</v>
      </c>
      <c r="AQ1302" s="2" t="s">
        <v>3301</v>
      </c>
      <c r="AR1302" s="2" t="s">
        <v>596</v>
      </c>
      <c r="AS1302" s="2" t="s">
        <v>596</v>
      </c>
      <c r="AT1302" s="2" t="s">
        <v>4842</v>
      </c>
      <c r="AU1302" s="2"/>
      <c r="AV1302" s="2"/>
      <c r="AW1302" s="2"/>
      <c r="AX1302" s="2"/>
      <c r="AY1302" s="2">
        <v>1</v>
      </c>
      <c r="AZ1302" s="2" t="s">
        <v>107</v>
      </c>
      <c r="BA1302" s="2">
        <v>1</v>
      </c>
      <c r="BB1302" s="2" t="s">
        <v>107</v>
      </c>
      <c r="BC1302" s="2">
        <v>1</v>
      </c>
      <c r="BD1302" s="2" t="s">
        <v>107</v>
      </c>
      <c r="BE1302" s="2">
        <v>4</v>
      </c>
      <c r="BF1302" s="2" t="s">
        <v>90</v>
      </c>
      <c r="BG1302" s="2" t="s">
        <v>3505</v>
      </c>
      <c r="BH1302" s="4">
        <v>1.7361111111111112E-2</v>
      </c>
      <c r="BI1302" s="4">
        <v>5.2777777777777778E-2</v>
      </c>
      <c r="BJ1302" s="2">
        <v>13</v>
      </c>
      <c r="BK1302" s="2" t="s">
        <v>91</v>
      </c>
      <c r="BL1302" s="2" t="s">
        <v>904</v>
      </c>
      <c r="BM1302" s="2">
        <v>242</v>
      </c>
      <c r="BN1302" s="2" t="s">
        <v>107</v>
      </c>
      <c r="BO1302" s="2" t="s">
        <v>107</v>
      </c>
      <c r="BP1302" s="2">
        <v>13</v>
      </c>
      <c r="BQ1302" s="2" t="s">
        <v>91</v>
      </c>
      <c r="BR1302" s="2" t="s">
        <v>905</v>
      </c>
      <c r="BS1302" s="3">
        <v>40269</v>
      </c>
      <c r="BT1302" s="4">
        <v>5.8784722222222224E-2</v>
      </c>
    </row>
    <row r="1303" spans="1:72" x14ac:dyDescent="0.25">
      <c r="A1303" s="2">
        <v>1967</v>
      </c>
      <c r="B1303" s="2">
        <v>2010</v>
      </c>
      <c r="C1303" s="2" t="s">
        <v>414</v>
      </c>
      <c r="D1303" s="2" t="s">
        <v>122</v>
      </c>
      <c r="E1303" s="2"/>
      <c r="F1303" s="2">
        <v>1</v>
      </c>
      <c r="G1303" s="2" t="s">
        <v>82</v>
      </c>
      <c r="H1303" s="2">
        <v>1</v>
      </c>
      <c r="I1303" s="2" t="s">
        <v>82</v>
      </c>
      <c r="J1303" s="2">
        <v>1</v>
      </c>
      <c r="K1303" s="2" t="s">
        <v>107</v>
      </c>
      <c r="L1303" s="2" t="s">
        <v>107</v>
      </c>
      <c r="M1303" s="3">
        <v>40269</v>
      </c>
      <c r="N1303" s="2"/>
      <c r="O1303" s="2"/>
      <c r="P1303" s="2"/>
      <c r="Q1303" s="2" t="str">
        <f>""</f>
        <v/>
      </c>
      <c r="R1303" s="2"/>
      <c r="S1303" s="2"/>
      <c r="T1303" s="2">
        <v>1</v>
      </c>
      <c r="U1303" s="2" t="s">
        <v>79</v>
      </c>
      <c r="V1303" s="2">
        <v>1</v>
      </c>
      <c r="W1303" s="2" t="s">
        <v>80</v>
      </c>
      <c r="X1303" s="2">
        <v>1</v>
      </c>
      <c r="Y1303" s="2" t="s">
        <v>81</v>
      </c>
      <c r="Z1303" s="2">
        <v>10</v>
      </c>
      <c r="AA1303" s="2" t="s">
        <v>236</v>
      </c>
      <c r="AB1303" s="2">
        <v>9</v>
      </c>
      <c r="AC1303" s="2" t="s">
        <v>124</v>
      </c>
      <c r="AD1303" s="3">
        <v>40268</v>
      </c>
      <c r="AE1303" s="4">
        <v>0.88541666666666663</v>
      </c>
      <c r="AF1303" s="2"/>
      <c r="AG1303" s="2"/>
      <c r="AH1303" s="2">
        <v>2</v>
      </c>
      <c r="AI1303" s="2" t="s">
        <v>84</v>
      </c>
      <c r="AJ1303" s="2">
        <v>12</v>
      </c>
      <c r="AK1303" s="2" t="s">
        <v>85</v>
      </c>
      <c r="AL1303" s="2">
        <v>21</v>
      </c>
      <c r="AM1303" s="2" t="s">
        <v>1311</v>
      </c>
      <c r="AN1303" s="2" t="s">
        <v>4843</v>
      </c>
      <c r="AO1303" s="2" t="s">
        <v>4838</v>
      </c>
      <c r="AP1303" s="2">
        <v>11</v>
      </c>
      <c r="AQ1303" s="2" t="s">
        <v>82</v>
      </c>
      <c r="AR1303" s="2"/>
      <c r="AS1303" s="2"/>
      <c r="AT1303" s="2" t="s">
        <v>4844</v>
      </c>
      <c r="AU1303" s="2"/>
      <c r="AV1303" s="2"/>
      <c r="AW1303" s="2"/>
      <c r="AX1303" s="2"/>
      <c r="AY1303" s="2">
        <v>41</v>
      </c>
      <c r="AZ1303" s="2" t="s">
        <v>82</v>
      </c>
      <c r="BA1303" s="2">
        <v>41</v>
      </c>
      <c r="BB1303" s="2" t="s">
        <v>82</v>
      </c>
      <c r="BC1303" s="2">
        <v>41</v>
      </c>
      <c r="BD1303" s="2" t="s">
        <v>82</v>
      </c>
      <c r="BE1303" s="2">
        <v>41</v>
      </c>
      <c r="BF1303" s="2" t="s">
        <v>82</v>
      </c>
      <c r="BG1303" s="2"/>
      <c r="BH1303" s="2"/>
      <c r="BI1303" s="2"/>
      <c r="BJ1303" s="2">
        <v>241</v>
      </c>
      <c r="BK1303" s="2" t="s">
        <v>82</v>
      </c>
      <c r="BL1303" s="2"/>
      <c r="BM1303" s="2">
        <v>241</v>
      </c>
      <c r="BN1303" s="2" t="s">
        <v>82</v>
      </c>
      <c r="BO1303" s="2"/>
      <c r="BP1303" s="2">
        <v>241</v>
      </c>
      <c r="BQ1303" s="2" t="s">
        <v>82</v>
      </c>
      <c r="BR1303" s="2"/>
      <c r="BS1303" s="3">
        <v>40269</v>
      </c>
      <c r="BT1303" s="4">
        <v>0.26594907407407409</v>
      </c>
    </row>
    <row r="1304" spans="1:72" x14ac:dyDescent="0.25">
      <c r="A1304" s="2">
        <v>1968</v>
      </c>
      <c r="B1304" s="2">
        <v>2010</v>
      </c>
      <c r="C1304" s="2" t="s">
        <v>171</v>
      </c>
      <c r="D1304" s="2" t="s">
        <v>73</v>
      </c>
      <c r="E1304" s="2"/>
      <c r="F1304" s="2">
        <v>399</v>
      </c>
      <c r="G1304" s="2" t="s">
        <v>587</v>
      </c>
      <c r="H1304" s="2">
        <v>14</v>
      </c>
      <c r="I1304" s="2" t="s">
        <v>1458</v>
      </c>
      <c r="J1304" s="2">
        <v>242</v>
      </c>
      <c r="K1304" s="2" t="s">
        <v>1077</v>
      </c>
      <c r="L1304" s="2" t="s">
        <v>1078</v>
      </c>
      <c r="M1304" s="3">
        <v>40269</v>
      </c>
      <c r="N1304" s="2" t="s">
        <v>4590</v>
      </c>
      <c r="O1304" s="2" t="s">
        <v>4845</v>
      </c>
      <c r="P1304" s="2">
        <v>6814</v>
      </c>
      <c r="Q1304" s="2" t="str">
        <f>"176-E/10"</f>
        <v>176-E/10</v>
      </c>
      <c r="R1304" s="2" t="s">
        <v>4846</v>
      </c>
      <c r="S1304" s="2"/>
      <c r="T1304" s="2">
        <v>1</v>
      </c>
      <c r="U1304" s="2" t="s">
        <v>79</v>
      </c>
      <c r="V1304" s="2">
        <v>1</v>
      </c>
      <c r="W1304" s="2" t="s">
        <v>80</v>
      </c>
      <c r="X1304" s="2">
        <v>1</v>
      </c>
      <c r="Y1304" s="2" t="s">
        <v>81</v>
      </c>
      <c r="Z1304" s="2">
        <v>1</v>
      </c>
      <c r="AA1304" s="2" t="s">
        <v>82</v>
      </c>
      <c r="AB1304" s="2">
        <v>1</v>
      </c>
      <c r="AC1304" s="2" t="s">
        <v>178</v>
      </c>
      <c r="AD1304" s="3">
        <v>40268</v>
      </c>
      <c r="AE1304" s="4">
        <v>0.85416666666666663</v>
      </c>
      <c r="AF1304" s="3">
        <v>40269</v>
      </c>
      <c r="AG1304" s="4">
        <v>0.33333333333333331</v>
      </c>
      <c r="AH1304" s="2">
        <v>2</v>
      </c>
      <c r="AI1304" s="2" t="s">
        <v>84</v>
      </c>
      <c r="AJ1304" s="2">
        <v>9</v>
      </c>
      <c r="AK1304" s="2" t="s">
        <v>103</v>
      </c>
      <c r="AL1304" s="2">
        <v>10</v>
      </c>
      <c r="AM1304" s="2" t="s">
        <v>200</v>
      </c>
      <c r="AN1304" s="2" t="s">
        <v>4847</v>
      </c>
      <c r="AO1304" s="2" t="s">
        <v>4848</v>
      </c>
      <c r="AP1304" s="2">
        <v>11</v>
      </c>
      <c r="AQ1304" s="2" t="s">
        <v>82</v>
      </c>
      <c r="AR1304" s="2"/>
      <c r="AS1304" s="2"/>
      <c r="AT1304" s="2" t="s">
        <v>4849</v>
      </c>
      <c r="AU1304" s="2"/>
      <c r="AV1304" s="2">
        <v>2</v>
      </c>
      <c r="AW1304" s="2"/>
      <c r="AX1304" s="2"/>
      <c r="AY1304" s="2">
        <v>41</v>
      </c>
      <c r="AZ1304" s="2" t="s">
        <v>82</v>
      </c>
      <c r="BA1304" s="2">
        <v>41</v>
      </c>
      <c r="BB1304" s="2" t="s">
        <v>82</v>
      </c>
      <c r="BC1304" s="2">
        <v>41</v>
      </c>
      <c r="BD1304" s="2" t="s">
        <v>82</v>
      </c>
      <c r="BE1304" s="2">
        <v>13</v>
      </c>
      <c r="BF1304" s="2" t="s">
        <v>108</v>
      </c>
      <c r="BG1304" s="2" t="s">
        <v>592</v>
      </c>
      <c r="BH1304" s="4">
        <v>0</v>
      </c>
      <c r="BI1304" s="4">
        <v>0.96875</v>
      </c>
      <c r="BJ1304" s="2">
        <v>13</v>
      </c>
      <c r="BK1304" s="2" t="s">
        <v>91</v>
      </c>
      <c r="BL1304" s="2" t="s">
        <v>1084</v>
      </c>
      <c r="BM1304" s="2">
        <v>241</v>
      </c>
      <c r="BN1304" s="2" t="s">
        <v>82</v>
      </c>
      <c r="BO1304" s="2"/>
      <c r="BP1304" s="2">
        <v>112</v>
      </c>
      <c r="BQ1304" s="2" t="s">
        <v>110</v>
      </c>
      <c r="BR1304" s="2" t="s">
        <v>111</v>
      </c>
      <c r="BS1304" s="3">
        <v>40269</v>
      </c>
      <c r="BT1304" s="4">
        <v>0.46053240740740736</v>
      </c>
    </row>
    <row r="1305" spans="1:72" x14ac:dyDescent="0.25">
      <c r="A1305" s="2">
        <v>1969</v>
      </c>
      <c r="B1305" s="2">
        <v>2010</v>
      </c>
      <c r="C1305" s="2" t="s">
        <v>414</v>
      </c>
      <c r="D1305" s="2" t="s">
        <v>122</v>
      </c>
      <c r="E1305" s="2"/>
      <c r="F1305" s="2">
        <v>1</v>
      </c>
      <c r="G1305" s="2" t="s">
        <v>82</v>
      </c>
      <c r="H1305" s="2">
        <v>1</v>
      </c>
      <c r="I1305" s="2" t="s">
        <v>82</v>
      </c>
      <c r="J1305" s="2">
        <v>1</v>
      </c>
      <c r="K1305" s="2" t="s">
        <v>107</v>
      </c>
      <c r="L1305" s="2" t="s">
        <v>107</v>
      </c>
      <c r="M1305" s="3">
        <v>40269</v>
      </c>
      <c r="N1305" s="2"/>
      <c r="O1305" s="2"/>
      <c r="P1305" s="2"/>
      <c r="Q1305" s="2" t="str">
        <f>""</f>
        <v/>
      </c>
      <c r="R1305" s="2"/>
      <c r="S1305" s="2"/>
      <c r="T1305" s="2">
        <v>1</v>
      </c>
      <c r="U1305" s="2" t="s">
        <v>79</v>
      </c>
      <c r="V1305" s="2">
        <v>1</v>
      </c>
      <c r="W1305" s="2" t="s">
        <v>80</v>
      </c>
      <c r="X1305" s="2">
        <v>5</v>
      </c>
      <c r="Y1305" s="2" t="s">
        <v>82</v>
      </c>
      <c r="Z1305" s="2">
        <v>1</v>
      </c>
      <c r="AA1305" s="2" t="s">
        <v>82</v>
      </c>
      <c r="AB1305" s="2">
        <v>9</v>
      </c>
      <c r="AC1305" s="2" t="s">
        <v>124</v>
      </c>
      <c r="AD1305" s="3">
        <v>40269</v>
      </c>
      <c r="AE1305" s="4">
        <v>0.44791666666666669</v>
      </c>
      <c r="AF1305" s="3">
        <v>40269</v>
      </c>
      <c r="AG1305" s="4">
        <v>0.45833333333333331</v>
      </c>
      <c r="AH1305" s="2">
        <v>2</v>
      </c>
      <c r="AI1305" s="2" t="s">
        <v>84</v>
      </c>
      <c r="AJ1305" s="2">
        <v>12</v>
      </c>
      <c r="AK1305" s="2" t="s">
        <v>85</v>
      </c>
      <c r="AL1305" s="2">
        <v>21</v>
      </c>
      <c r="AM1305" s="2" t="s">
        <v>1311</v>
      </c>
      <c r="AN1305" s="2" t="s">
        <v>4850</v>
      </c>
      <c r="AO1305" s="2" t="s">
        <v>4851</v>
      </c>
      <c r="AP1305" s="2">
        <v>11</v>
      </c>
      <c r="AQ1305" s="2" t="s">
        <v>82</v>
      </c>
      <c r="AR1305" s="2"/>
      <c r="AS1305" s="2"/>
      <c r="AT1305" s="2" t="s">
        <v>4852</v>
      </c>
      <c r="AU1305" s="2"/>
      <c r="AV1305" s="2"/>
      <c r="AW1305" s="2"/>
      <c r="AX1305" s="2"/>
      <c r="AY1305" s="2">
        <v>41</v>
      </c>
      <c r="AZ1305" s="2" t="s">
        <v>82</v>
      </c>
      <c r="BA1305" s="2">
        <v>41</v>
      </c>
      <c r="BB1305" s="2" t="s">
        <v>82</v>
      </c>
      <c r="BC1305" s="2">
        <v>41</v>
      </c>
      <c r="BD1305" s="2" t="s">
        <v>82</v>
      </c>
      <c r="BE1305" s="2">
        <v>41</v>
      </c>
      <c r="BF1305" s="2" t="s">
        <v>82</v>
      </c>
      <c r="BG1305" s="2"/>
      <c r="BH1305" s="2"/>
      <c r="BI1305" s="2"/>
      <c r="BJ1305" s="2">
        <v>241</v>
      </c>
      <c r="BK1305" s="2" t="s">
        <v>82</v>
      </c>
      <c r="BL1305" s="2"/>
      <c r="BM1305" s="2">
        <v>241</v>
      </c>
      <c r="BN1305" s="2" t="s">
        <v>82</v>
      </c>
      <c r="BO1305" s="2"/>
      <c r="BP1305" s="2">
        <v>241</v>
      </c>
      <c r="BQ1305" s="2" t="s">
        <v>82</v>
      </c>
      <c r="BR1305" s="2"/>
      <c r="BS1305" s="3">
        <v>40269</v>
      </c>
      <c r="BT1305" s="4">
        <v>0.48596064814814816</v>
      </c>
    </row>
    <row r="1306" spans="1:72" x14ac:dyDescent="0.25">
      <c r="A1306" s="2">
        <v>1971</v>
      </c>
      <c r="B1306" s="2">
        <v>2010</v>
      </c>
      <c r="C1306" s="2" t="s">
        <v>255</v>
      </c>
      <c r="D1306" s="2" t="s">
        <v>73</v>
      </c>
      <c r="E1306" s="2"/>
      <c r="F1306" s="2">
        <v>45</v>
      </c>
      <c r="G1306" s="2" t="s">
        <v>1408</v>
      </c>
      <c r="H1306" s="2">
        <v>47</v>
      </c>
      <c r="I1306" s="2" t="s">
        <v>1409</v>
      </c>
      <c r="J1306" s="2">
        <v>77</v>
      </c>
      <c r="K1306" s="2" t="s">
        <v>2517</v>
      </c>
      <c r="L1306" s="2" t="s">
        <v>2518</v>
      </c>
      <c r="M1306" s="3">
        <v>40269</v>
      </c>
      <c r="N1306" s="2" t="s">
        <v>2795</v>
      </c>
      <c r="O1306" s="2"/>
      <c r="P1306" s="2"/>
      <c r="Q1306" s="2" t="str">
        <f>"12/10"</f>
        <v>12/10</v>
      </c>
      <c r="R1306" s="2" t="s">
        <v>3093</v>
      </c>
      <c r="S1306" s="2" t="s">
        <v>2926</v>
      </c>
      <c r="T1306" s="2">
        <v>1</v>
      </c>
      <c r="U1306" s="2" t="s">
        <v>79</v>
      </c>
      <c r="V1306" s="2">
        <v>1</v>
      </c>
      <c r="W1306" s="2" t="s">
        <v>80</v>
      </c>
      <c r="X1306" s="2">
        <v>1</v>
      </c>
      <c r="Y1306" s="2" t="s">
        <v>81</v>
      </c>
      <c r="Z1306" s="2">
        <v>3</v>
      </c>
      <c r="AA1306" s="2" t="s">
        <v>257</v>
      </c>
      <c r="AB1306" s="2">
        <v>9</v>
      </c>
      <c r="AC1306" s="2" t="s">
        <v>124</v>
      </c>
      <c r="AD1306" s="3">
        <v>40269</v>
      </c>
      <c r="AE1306" s="2"/>
      <c r="AF1306" s="3">
        <v>40269</v>
      </c>
      <c r="AG1306" s="4">
        <v>0.41666666666666669</v>
      </c>
      <c r="AH1306" s="2">
        <v>4</v>
      </c>
      <c r="AI1306" s="2" t="s">
        <v>125</v>
      </c>
      <c r="AJ1306" s="2">
        <v>31</v>
      </c>
      <c r="AK1306" s="2" t="s">
        <v>1413</v>
      </c>
      <c r="AL1306" s="2">
        <v>9</v>
      </c>
      <c r="AM1306" s="2" t="s">
        <v>259</v>
      </c>
      <c r="AN1306" s="2" t="s">
        <v>4853</v>
      </c>
      <c r="AO1306" s="2"/>
      <c r="AP1306" s="2">
        <v>11</v>
      </c>
      <c r="AQ1306" s="2" t="s">
        <v>82</v>
      </c>
      <c r="AR1306" s="2"/>
      <c r="AS1306" s="2"/>
      <c r="AT1306" s="2" t="s">
        <v>4854</v>
      </c>
      <c r="AU1306" s="2"/>
      <c r="AV1306" s="2"/>
      <c r="AW1306" s="2"/>
      <c r="AX1306" s="2"/>
      <c r="AY1306" s="2">
        <v>44</v>
      </c>
      <c r="AZ1306" s="2" t="s">
        <v>262</v>
      </c>
      <c r="BA1306" s="2">
        <v>44</v>
      </c>
      <c r="BB1306" s="2" t="s">
        <v>262</v>
      </c>
      <c r="BC1306" s="2">
        <v>44</v>
      </c>
      <c r="BD1306" s="2" t="s">
        <v>262</v>
      </c>
      <c r="BE1306" s="2">
        <v>41</v>
      </c>
      <c r="BF1306" s="2" t="s">
        <v>82</v>
      </c>
      <c r="BG1306" s="2"/>
      <c r="BH1306" s="2"/>
      <c r="BI1306" s="2"/>
      <c r="BJ1306" s="2">
        <v>241</v>
      </c>
      <c r="BK1306" s="2" t="s">
        <v>82</v>
      </c>
      <c r="BL1306" s="2"/>
      <c r="BM1306" s="2">
        <v>241</v>
      </c>
      <c r="BN1306" s="2" t="s">
        <v>82</v>
      </c>
      <c r="BO1306" s="2"/>
      <c r="BP1306" s="2">
        <v>241</v>
      </c>
      <c r="BQ1306" s="2" t="s">
        <v>82</v>
      </c>
      <c r="BR1306" s="2"/>
      <c r="BS1306" s="3">
        <v>40269</v>
      </c>
      <c r="BT1306" s="4">
        <v>0.52598379629629632</v>
      </c>
    </row>
    <row r="1307" spans="1:72" x14ac:dyDescent="0.25">
      <c r="A1307" s="2">
        <v>1972</v>
      </c>
      <c r="B1307" s="2">
        <v>2010</v>
      </c>
      <c r="C1307" s="2" t="s">
        <v>819</v>
      </c>
      <c r="D1307" s="2" t="s">
        <v>122</v>
      </c>
      <c r="E1307" s="2" t="s">
        <v>4855</v>
      </c>
      <c r="F1307" s="2">
        <v>451</v>
      </c>
      <c r="G1307" s="2" t="s">
        <v>879</v>
      </c>
      <c r="H1307" s="2">
        <v>31</v>
      </c>
      <c r="I1307" s="2" t="s">
        <v>880</v>
      </c>
      <c r="J1307" s="2">
        <v>326</v>
      </c>
      <c r="K1307" s="2" t="s">
        <v>881</v>
      </c>
      <c r="L1307" s="2" t="s">
        <v>882</v>
      </c>
      <c r="M1307" s="3">
        <v>40269</v>
      </c>
      <c r="N1307" s="2" t="s">
        <v>1072</v>
      </c>
      <c r="O1307" s="2" t="s">
        <v>4856</v>
      </c>
      <c r="P1307" s="2" t="s">
        <v>4857</v>
      </c>
      <c r="Q1307" s="2" t="str">
        <f>"035/10"</f>
        <v>035/10</v>
      </c>
      <c r="R1307" s="2" t="s">
        <v>822</v>
      </c>
      <c r="S1307" s="2" t="s">
        <v>4856</v>
      </c>
      <c r="T1307" s="2">
        <v>1</v>
      </c>
      <c r="U1307" s="2" t="s">
        <v>79</v>
      </c>
      <c r="V1307" s="2">
        <v>1</v>
      </c>
      <c r="W1307" s="2" t="s">
        <v>80</v>
      </c>
      <c r="X1307" s="2">
        <v>1</v>
      </c>
      <c r="Y1307" s="2" t="s">
        <v>81</v>
      </c>
      <c r="Z1307" s="2">
        <v>10</v>
      </c>
      <c r="AA1307" s="2" t="s">
        <v>236</v>
      </c>
      <c r="AB1307" s="2">
        <v>9</v>
      </c>
      <c r="AC1307" s="2" t="s">
        <v>124</v>
      </c>
      <c r="AD1307" s="3">
        <v>40269</v>
      </c>
      <c r="AE1307" s="4">
        <v>0.45833333333333331</v>
      </c>
      <c r="AF1307" s="2"/>
      <c r="AG1307" s="2"/>
      <c r="AH1307" s="2">
        <v>4</v>
      </c>
      <c r="AI1307" s="2" t="s">
        <v>125</v>
      </c>
      <c r="AJ1307" s="2">
        <v>29</v>
      </c>
      <c r="AK1307" s="2" t="s">
        <v>227</v>
      </c>
      <c r="AL1307" s="2">
        <v>10</v>
      </c>
      <c r="AM1307" s="2" t="s">
        <v>200</v>
      </c>
      <c r="AN1307" s="2" t="s">
        <v>4858</v>
      </c>
      <c r="AO1307" s="2" t="s">
        <v>3299</v>
      </c>
      <c r="AP1307" s="2">
        <v>12</v>
      </c>
      <c r="AQ1307" s="2" t="s">
        <v>322</v>
      </c>
      <c r="AR1307" s="2" t="s">
        <v>824</v>
      </c>
      <c r="AS1307" s="2" t="s">
        <v>884</v>
      </c>
      <c r="AT1307" s="2" t="s">
        <v>4859</v>
      </c>
      <c r="AU1307" s="2"/>
      <c r="AV1307" s="2"/>
      <c r="AW1307" s="2"/>
      <c r="AX1307" s="2"/>
      <c r="AY1307" s="2">
        <v>41</v>
      </c>
      <c r="AZ1307" s="2" t="s">
        <v>82</v>
      </c>
      <c r="BA1307" s="2">
        <v>41</v>
      </c>
      <c r="BB1307" s="2" t="s">
        <v>82</v>
      </c>
      <c r="BC1307" s="2">
        <v>51</v>
      </c>
      <c r="BD1307" s="2" t="s">
        <v>827</v>
      </c>
      <c r="BE1307" s="2">
        <v>13</v>
      </c>
      <c r="BF1307" s="2" t="s">
        <v>108</v>
      </c>
      <c r="BG1307" s="2">
        <v>1459</v>
      </c>
      <c r="BH1307" s="4">
        <v>0.88541666666666663</v>
      </c>
      <c r="BI1307" s="4">
        <v>0.91319444444444453</v>
      </c>
      <c r="BJ1307" s="2">
        <v>13</v>
      </c>
      <c r="BK1307" s="2" t="s">
        <v>91</v>
      </c>
      <c r="BL1307" s="2" t="s">
        <v>828</v>
      </c>
      <c r="BM1307" s="2">
        <v>241</v>
      </c>
      <c r="BN1307" s="2" t="s">
        <v>82</v>
      </c>
      <c r="BO1307" s="2" t="s">
        <v>82</v>
      </c>
      <c r="BP1307" s="2">
        <v>13</v>
      </c>
      <c r="BQ1307" s="2" t="s">
        <v>91</v>
      </c>
      <c r="BR1307" s="2" t="s">
        <v>1108</v>
      </c>
      <c r="BS1307" s="3">
        <v>40269</v>
      </c>
      <c r="BT1307" s="4">
        <v>0.54694444444444446</v>
      </c>
    </row>
    <row r="1308" spans="1:72" x14ac:dyDescent="0.25">
      <c r="A1308" s="2">
        <v>1973</v>
      </c>
      <c r="B1308" s="2">
        <v>2010</v>
      </c>
      <c r="C1308" s="2" t="s">
        <v>409</v>
      </c>
      <c r="D1308" s="2" t="s">
        <v>122</v>
      </c>
      <c r="E1308" s="2"/>
      <c r="F1308" s="2">
        <v>146</v>
      </c>
      <c r="G1308" s="2" t="s">
        <v>753</v>
      </c>
      <c r="H1308" s="2">
        <v>39</v>
      </c>
      <c r="I1308" s="2" t="s">
        <v>1117</v>
      </c>
      <c r="J1308" s="2">
        <v>509</v>
      </c>
      <c r="K1308" s="2" t="s">
        <v>4860</v>
      </c>
      <c r="L1308" s="2" t="s">
        <v>4861</v>
      </c>
      <c r="M1308" s="3">
        <v>40269</v>
      </c>
      <c r="N1308" s="2" t="s">
        <v>4862</v>
      </c>
      <c r="O1308" s="2" t="s">
        <v>4863</v>
      </c>
      <c r="P1308" s="2">
        <v>2277</v>
      </c>
      <c r="Q1308" s="2" t="str">
        <f>"N/C"</f>
        <v>N/C</v>
      </c>
      <c r="R1308" s="2" t="s">
        <v>82</v>
      </c>
      <c r="S1308" s="2" t="s">
        <v>82</v>
      </c>
      <c r="T1308" s="2">
        <v>1</v>
      </c>
      <c r="U1308" s="2" t="s">
        <v>79</v>
      </c>
      <c r="V1308" s="2">
        <v>1</v>
      </c>
      <c r="W1308" s="2" t="s">
        <v>80</v>
      </c>
      <c r="X1308" s="2">
        <v>4</v>
      </c>
      <c r="Y1308" s="2" t="s">
        <v>463</v>
      </c>
      <c r="Z1308" s="2">
        <v>1</v>
      </c>
      <c r="AA1308" s="2" t="s">
        <v>82</v>
      </c>
      <c r="AB1308" s="2">
        <v>9</v>
      </c>
      <c r="AC1308" s="2" t="s">
        <v>124</v>
      </c>
      <c r="AD1308" s="3">
        <v>40268</v>
      </c>
      <c r="AE1308" s="4">
        <v>0.60555555555555551</v>
      </c>
      <c r="AF1308" s="2"/>
      <c r="AG1308" s="2"/>
      <c r="AH1308" s="2">
        <v>6</v>
      </c>
      <c r="AI1308" s="2" t="s">
        <v>197</v>
      </c>
      <c r="AJ1308" s="2">
        <v>60</v>
      </c>
      <c r="AK1308" s="2" t="s">
        <v>543</v>
      </c>
      <c r="AL1308" s="2">
        <v>18</v>
      </c>
      <c r="AM1308" s="2" t="s">
        <v>82</v>
      </c>
      <c r="AN1308" s="2" t="s">
        <v>82</v>
      </c>
      <c r="AO1308" s="2" t="s">
        <v>82</v>
      </c>
      <c r="AP1308" s="2">
        <v>11</v>
      </c>
      <c r="AQ1308" s="2" t="s">
        <v>82</v>
      </c>
      <c r="AR1308" s="2" t="s">
        <v>82</v>
      </c>
      <c r="AS1308" s="2" t="s">
        <v>82</v>
      </c>
      <c r="AT1308" s="2" t="s">
        <v>4864</v>
      </c>
      <c r="AU1308" s="2"/>
      <c r="AV1308" s="2"/>
      <c r="AW1308" s="2"/>
      <c r="AX1308" s="2"/>
      <c r="AY1308" s="2">
        <v>41</v>
      </c>
      <c r="AZ1308" s="2" t="s">
        <v>82</v>
      </c>
      <c r="BA1308" s="2">
        <v>41</v>
      </c>
      <c r="BB1308" s="2" t="s">
        <v>82</v>
      </c>
      <c r="BC1308" s="2">
        <v>41</v>
      </c>
      <c r="BD1308" s="2" t="s">
        <v>82</v>
      </c>
      <c r="BE1308" s="2">
        <v>49</v>
      </c>
      <c r="BF1308" s="2" t="s">
        <v>1254</v>
      </c>
      <c r="BG1308" s="2" t="s">
        <v>4865</v>
      </c>
      <c r="BH1308" s="4">
        <v>0.49305555555555558</v>
      </c>
      <c r="BI1308" s="4">
        <v>0.52083333333333337</v>
      </c>
      <c r="BJ1308" s="2">
        <v>13</v>
      </c>
      <c r="BK1308" s="2" t="s">
        <v>91</v>
      </c>
      <c r="BL1308" s="2" t="s">
        <v>895</v>
      </c>
      <c r="BM1308" s="2">
        <v>13</v>
      </c>
      <c r="BN1308" s="2" t="s">
        <v>91</v>
      </c>
      <c r="BO1308" s="2" t="s">
        <v>4866</v>
      </c>
      <c r="BP1308" s="2">
        <v>13</v>
      </c>
      <c r="BQ1308" s="2" t="s">
        <v>91</v>
      </c>
      <c r="BR1308" s="2" t="s">
        <v>353</v>
      </c>
      <c r="BS1308" s="3">
        <v>40269</v>
      </c>
      <c r="BT1308" s="4">
        <v>0.56208333333333338</v>
      </c>
    </row>
    <row r="1309" spans="1:72" x14ac:dyDescent="0.25">
      <c r="A1309" s="2">
        <v>1975</v>
      </c>
      <c r="B1309" s="2">
        <v>2010</v>
      </c>
      <c r="C1309" s="2" t="s">
        <v>171</v>
      </c>
      <c r="D1309" s="2" t="s">
        <v>73</v>
      </c>
      <c r="E1309" s="2"/>
      <c r="F1309" s="2">
        <v>400</v>
      </c>
      <c r="G1309" s="2" t="s">
        <v>3601</v>
      </c>
      <c r="H1309" s="2">
        <v>16</v>
      </c>
      <c r="I1309" s="2" t="s">
        <v>3027</v>
      </c>
      <c r="J1309" s="2">
        <v>316</v>
      </c>
      <c r="K1309" s="2" t="s">
        <v>574</v>
      </c>
      <c r="L1309" s="2" t="s">
        <v>575</v>
      </c>
      <c r="M1309" s="3">
        <v>40269</v>
      </c>
      <c r="N1309" s="2" t="s">
        <v>4867</v>
      </c>
      <c r="O1309" s="2" t="s">
        <v>4868</v>
      </c>
      <c r="P1309" s="2">
        <v>5019</v>
      </c>
      <c r="Q1309" s="2" t="str">
        <f>"177-E/10"</f>
        <v>177-E/10</v>
      </c>
      <c r="R1309" s="2" t="s">
        <v>4868</v>
      </c>
      <c r="S1309" s="2" t="s">
        <v>4868</v>
      </c>
      <c r="T1309" s="2">
        <v>1</v>
      </c>
      <c r="U1309" s="2" t="s">
        <v>79</v>
      </c>
      <c r="V1309" s="2">
        <v>1</v>
      </c>
      <c r="W1309" s="2" t="s">
        <v>80</v>
      </c>
      <c r="X1309" s="2">
        <v>1</v>
      </c>
      <c r="Y1309" s="2" t="s">
        <v>81</v>
      </c>
      <c r="Z1309" s="2">
        <v>1</v>
      </c>
      <c r="AA1309" s="2" t="s">
        <v>82</v>
      </c>
      <c r="AB1309" s="2">
        <v>1</v>
      </c>
      <c r="AC1309" s="2" t="s">
        <v>178</v>
      </c>
      <c r="AD1309" s="3">
        <v>40269</v>
      </c>
      <c r="AE1309" s="4">
        <v>0.15277777777777776</v>
      </c>
      <c r="AF1309" s="2"/>
      <c r="AG1309" s="2"/>
      <c r="AH1309" s="2">
        <v>2</v>
      </c>
      <c r="AI1309" s="2" t="s">
        <v>84</v>
      </c>
      <c r="AJ1309" s="2">
        <v>9</v>
      </c>
      <c r="AK1309" s="2" t="s">
        <v>103</v>
      </c>
      <c r="AL1309" s="2">
        <v>8</v>
      </c>
      <c r="AM1309" s="2" t="s">
        <v>179</v>
      </c>
      <c r="AN1309" s="2" t="s">
        <v>4869</v>
      </c>
      <c r="AO1309" s="2" t="s">
        <v>82</v>
      </c>
      <c r="AP1309" s="2">
        <v>11</v>
      </c>
      <c r="AQ1309" s="2" t="s">
        <v>82</v>
      </c>
      <c r="AR1309" s="2"/>
      <c r="AS1309" s="2"/>
      <c r="AT1309" s="2" t="s">
        <v>4870</v>
      </c>
      <c r="AU1309" s="2"/>
      <c r="AV1309" s="2">
        <v>1</v>
      </c>
      <c r="AW1309" s="2"/>
      <c r="AX1309" s="2"/>
      <c r="AY1309" s="2">
        <v>41</v>
      </c>
      <c r="AZ1309" s="2" t="s">
        <v>82</v>
      </c>
      <c r="BA1309" s="2">
        <v>41</v>
      </c>
      <c r="BB1309" s="2" t="s">
        <v>82</v>
      </c>
      <c r="BC1309" s="2">
        <v>41</v>
      </c>
      <c r="BD1309" s="2" t="s">
        <v>82</v>
      </c>
      <c r="BE1309" s="2">
        <v>23</v>
      </c>
      <c r="BF1309" s="2" t="s">
        <v>183</v>
      </c>
      <c r="BG1309" s="2" t="s">
        <v>4871</v>
      </c>
      <c r="BH1309" s="4">
        <v>0</v>
      </c>
      <c r="BI1309" s="4">
        <v>0.20833333333333334</v>
      </c>
      <c r="BJ1309" s="2">
        <v>13</v>
      </c>
      <c r="BK1309" s="2" t="s">
        <v>91</v>
      </c>
      <c r="BL1309" s="2" t="s">
        <v>1084</v>
      </c>
      <c r="BM1309" s="2">
        <v>241</v>
      </c>
      <c r="BN1309" s="2" t="s">
        <v>82</v>
      </c>
      <c r="BO1309" s="2" t="s">
        <v>82</v>
      </c>
      <c r="BP1309" s="2">
        <v>73</v>
      </c>
      <c r="BQ1309" s="2" t="s">
        <v>186</v>
      </c>
      <c r="BR1309" s="2" t="s">
        <v>187</v>
      </c>
      <c r="BS1309" s="3">
        <v>40269</v>
      </c>
      <c r="BT1309" s="4">
        <v>0.69961805555555545</v>
      </c>
    </row>
    <row r="1310" spans="1:72" x14ac:dyDescent="0.25">
      <c r="A1310" s="2">
        <v>1976</v>
      </c>
      <c r="B1310" s="2">
        <v>2010</v>
      </c>
      <c r="C1310" s="2" t="s">
        <v>594</v>
      </c>
      <c r="D1310" s="2" t="s">
        <v>122</v>
      </c>
      <c r="E1310" s="2"/>
      <c r="F1310" s="2">
        <v>1</v>
      </c>
      <c r="G1310" s="2" t="s">
        <v>82</v>
      </c>
      <c r="H1310" s="2">
        <v>1</v>
      </c>
      <c r="I1310" s="2" t="s">
        <v>82</v>
      </c>
      <c r="J1310" s="2">
        <v>1</v>
      </c>
      <c r="K1310" s="2" t="s">
        <v>107</v>
      </c>
      <c r="L1310" s="2" t="s">
        <v>107</v>
      </c>
      <c r="M1310" s="3">
        <v>40269</v>
      </c>
      <c r="N1310" s="2"/>
      <c r="O1310" s="2"/>
      <c r="P1310" s="2"/>
      <c r="Q1310" s="2" t="str">
        <f>""</f>
        <v/>
      </c>
      <c r="R1310" s="2"/>
      <c r="S1310" s="2"/>
      <c r="T1310" s="2">
        <v>1</v>
      </c>
      <c r="U1310" s="2" t="s">
        <v>79</v>
      </c>
      <c r="V1310" s="2">
        <v>1</v>
      </c>
      <c r="W1310" s="2" t="s">
        <v>80</v>
      </c>
      <c r="X1310" s="2">
        <v>1</v>
      </c>
      <c r="Y1310" s="2" t="s">
        <v>81</v>
      </c>
      <c r="Z1310" s="2">
        <v>1</v>
      </c>
      <c r="AA1310" s="2" t="s">
        <v>82</v>
      </c>
      <c r="AB1310" s="2">
        <v>9</v>
      </c>
      <c r="AC1310" s="2" t="s">
        <v>124</v>
      </c>
      <c r="AD1310" s="3">
        <v>40269</v>
      </c>
      <c r="AE1310" s="4">
        <v>0.70277777777777783</v>
      </c>
      <c r="AF1310" s="2"/>
      <c r="AG1310" s="2"/>
      <c r="AH1310" s="2">
        <v>6</v>
      </c>
      <c r="AI1310" s="2" t="s">
        <v>197</v>
      </c>
      <c r="AJ1310" s="2">
        <v>54</v>
      </c>
      <c r="AK1310" s="2" t="s">
        <v>348</v>
      </c>
      <c r="AL1310" s="2">
        <v>18</v>
      </c>
      <c r="AM1310" s="2" t="s">
        <v>82</v>
      </c>
      <c r="AN1310" s="2" t="s">
        <v>595</v>
      </c>
      <c r="AO1310" s="2" t="s">
        <v>200</v>
      </c>
      <c r="AP1310" s="2">
        <v>12</v>
      </c>
      <c r="AQ1310" s="2" t="s">
        <v>322</v>
      </c>
      <c r="AR1310" s="2" t="s">
        <v>596</v>
      </c>
      <c r="AS1310" s="2" t="s">
        <v>596</v>
      </c>
      <c r="AT1310" s="2" t="s">
        <v>4872</v>
      </c>
      <c r="AU1310" s="2"/>
      <c r="AV1310" s="2"/>
      <c r="AW1310" s="2"/>
      <c r="AX1310" s="2"/>
      <c r="AY1310" s="2">
        <v>1</v>
      </c>
      <c r="AZ1310" s="2" t="s">
        <v>107</v>
      </c>
      <c r="BA1310" s="2">
        <v>1</v>
      </c>
      <c r="BB1310" s="2" t="s">
        <v>107</v>
      </c>
      <c r="BC1310" s="2">
        <v>1</v>
      </c>
      <c r="BD1310" s="2" t="s">
        <v>107</v>
      </c>
      <c r="BE1310" s="2">
        <v>13</v>
      </c>
      <c r="BF1310" s="2" t="s">
        <v>108</v>
      </c>
      <c r="BG1310" s="2" t="s">
        <v>4873</v>
      </c>
      <c r="BH1310" s="4">
        <v>0.65972222222222221</v>
      </c>
      <c r="BI1310" s="4">
        <v>0.70277777777777783</v>
      </c>
      <c r="BJ1310" s="2">
        <v>13</v>
      </c>
      <c r="BK1310" s="2" t="s">
        <v>91</v>
      </c>
      <c r="BL1310" s="2" t="s">
        <v>2764</v>
      </c>
      <c r="BM1310" s="2">
        <v>242</v>
      </c>
      <c r="BN1310" s="2" t="s">
        <v>107</v>
      </c>
      <c r="BO1310" s="2"/>
      <c r="BP1310" s="2">
        <v>13</v>
      </c>
      <c r="BQ1310" s="2" t="s">
        <v>91</v>
      </c>
      <c r="BR1310" s="2" t="s">
        <v>2168</v>
      </c>
      <c r="BS1310" s="3">
        <v>40269</v>
      </c>
      <c r="BT1310" s="4">
        <v>0.70781250000000007</v>
      </c>
    </row>
    <row r="1311" spans="1:72" x14ac:dyDescent="0.25">
      <c r="A1311" s="2">
        <v>1977</v>
      </c>
      <c r="B1311" s="2">
        <v>2010</v>
      </c>
      <c r="C1311" s="2" t="s">
        <v>72</v>
      </c>
      <c r="D1311" s="2" t="s">
        <v>73</v>
      </c>
      <c r="E1311" s="2"/>
      <c r="F1311" s="2">
        <v>533</v>
      </c>
      <c r="G1311" s="2" t="s">
        <v>3397</v>
      </c>
      <c r="H1311" s="2">
        <v>3</v>
      </c>
      <c r="I1311" s="2" t="s">
        <v>315</v>
      </c>
      <c r="J1311" s="2">
        <v>462</v>
      </c>
      <c r="K1311" s="2" t="s">
        <v>3398</v>
      </c>
      <c r="L1311" s="2" t="s">
        <v>3399</v>
      </c>
      <c r="M1311" s="3">
        <v>40269</v>
      </c>
      <c r="N1311" s="2" t="s">
        <v>4874</v>
      </c>
      <c r="O1311" s="2" t="s">
        <v>4875</v>
      </c>
      <c r="P1311" s="2"/>
      <c r="Q1311" s="2" t="str">
        <f>"0037/10"</f>
        <v>0037/10</v>
      </c>
      <c r="R1311" s="2"/>
      <c r="S1311" s="2" t="s">
        <v>148</v>
      </c>
      <c r="T1311" s="2">
        <v>1</v>
      </c>
      <c r="U1311" s="2" t="s">
        <v>79</v>
      </c>
      <c r="V1311" s="2">
        <v>1</v>
      </c>
      <c r="W1311" s="2" t="s">
        <v>80</v>
      </c>
      <c r="X1311" s="2">
        <v>1</v>
      </c>
      <c r="Y1311" s="2" t="s">
        <v>81</v>
      </c>
      <c r="Z1311" s="2">
        <v>10</v>
      </c>
      <c r="AA1311" s="2" t="s">
        <v>236</v>
      </c>
      <c r="AB1311" s="2">
        <v>6</v>
      </c>
      <c r="AC1311" s="2" t="s">
        <v>83</v>
      </c>
      <c r="AD1311" s="3">
        <v>40269</v>
      </c>
      <c r="AE1311" s="2"/>
      <c r="AF1311" s="3">
        <v>40269</v>
      </c>
      <c r="AG1311" s="4">
        <v>0.72222222222222221</v>
      </c>
      <c r="AH1311" s="2">
        <v>5</v>
      </c>
      <c r="AI1311" s="2" t="s">
        <v>274</v>
      </c>
      <c r="AJ1311" s="2">
        <v>38</v>
      </c>
      <c r="AK1311" s="2" t="s">
        <v>1120</v>
      </c>
      <c r="AL1311" s="2">
        <v>14</v>
      </c>
      <c r="AM1311" s="2" t="s">
        <v>216</v>
      </c>
      <c r="AN1311" s="2"/>
      <c r="AO1311" s="2" t="s">
        <v>4876</v>
      </c>
      <c r="AP1311" s="2">
        <v>11</v>
      </c>
      <c r="AQ1311" s="2" t="s">
        <v>82</v>
      </c>
      <c r="AR1311" s="2"/>
      <c r="AS1311" s="2"/>
      <c r="AT1311" s="2" t="s">
        <v>4877</v>
      </c>
      <c r="AU1311" s="2"/>
      <c r="AV1311" s="2"/>
      <c r="AW1311" s="2"/>
      <c r="AX1311" s="2"/>
      <c r="AY1311" s="2">
        <v>41</v>
      </c>
      <c r="AZ1311" s="2" t="s">
        <v>82</v>
      </c>
      <c r="BA1311" s="2">
        <v>41</v>
      </c>
      <c r="BB1311" s="2" t="s">
        <v>82</v>
      </c>
      <c r="BC1311" s="2">
        <v>41</v>
      </c>
      <c r="BD1311" s="2" t="s">
        <v>82</v>
      </c>
      <c r="BE1311" s="2">
        <v>4</v>
      </c>
      <c r="BF1311" s="2" t="s">
        <v>90</v>
      </c>
      <c r="BG1311" s="2">
        <v>4030</v>
      </c>
      <c r="BH1311" s="4">
        <v>0.70833333333333337</v>
      </c>
      <c r="BI1311" s="4">
        <v>0.73611111111111116</v>
      </c>
      <c r="BJ1311" s="2">
        <v>13</v>
      </c>
      <c r="BK1311" s="2" t="s">
        <v>91</v>
      </c>
      <c r="BL1311" s="2" t="s">
        <v>170</v>
      </c>
      <c r="BM1311" s="2">
        <v>13</v>
      </c>
      <c r="BN1311" s="2" t="s">
        <v>91</v>
      </c>
      <c r="BO1311" s="2" t="s">
        <v>1697</v>
      </c>
      <c r="BP1311" s="2">
        <v>13</v>
      </c>
      <c r="BQ1311" s="2" t="s">
        <v>91</v>
      </c>
      <c r="BR1311" s="2" t="s">
        <v>170</v>
      </c>
      <c r="BS1311" s="3">
        <v>40269</v>
      </c>
      <c r="BT1311" s="4">
        <v>0.84523148148148142</v>
      </c>
    </row>
    <row r="1312" spans="1:72" x14ac:dyDescent="0.25">
      <c r="A1312" s="2">
        <v>1978</v>
      </c>
      <c r="B1312" s="2">
        <v>2010</v>
      </c>
      <c r="C1312" s="2" t="s">
        <v>72</v>
      </c>
      <c r="D1312" s="2" t="s">
        <v>122</v>
      </c>
      <c r="E1312" s="2" t="s">
        <v>4878</v>
      </c>
      <c r="F1312" s="2">
        <v>527</v>
      </c>
      <c r="G1312" s="2" t="s">
        <v>3867</v>
      </c>
      <c r="H1312" s="2">
        <v>22</v>
      </c>
      <c r="I1312" s="2" t="s">
        <v>75</v>
      </c>
      <c r="J1312" s="2">
        <v>456</v>
      </c>
      <c r="K1312" s="2" t="s">
        <v>3868</v>
      </c>
      <c r="L1312" s="2" t="s">
        <v>2518</v>
      </c>
      <c r="M1312" s="3">
        <v>40269</v>
      </c>
      <c r="N1312" s="2" t="s">
        <v>3869</v>
      </c>
      <c r="O1312" s="2" t="s">
        <v>107</v>
      </c>
      <c r="P1312" s="2" t="s">
        <v>107</v>
      </c>
      <c r="Q1312" s="2" t="str">
        <f>"140-A/10"</f>
        <v>140-A/10</v>
      </c>
      <c r="R1312" s="2" t="s">
        <v>78</v>
      </c>
      <c r="S1312" s="2" t="s">
        <v>107</v>
      </c>
      <c r="T1312" s="2">
        <v>1</v>
      </c>
      <c r="U1312" s="2" t="s">
        <v>79</v>
      </c>
      <c r="V1312" s="2">
        <v>1</v>
      </c>
      <c r="W1312" s="2" t="s">
        <v>80</v>
      </c>
      <c r="X1312" s="2">
        <v>5</v>
      </c>
      <c r="Y1312" s="2" t="s">
        <v>82</v>
      </c>
      <c r="Z1312" s="2">
        <v>1</v>
      </c>
      <c r="AA1312" s="2" t="s">
        <v>82</v>
      </c>
      <c r="AB1312" s="2">
        <v>6</v>
      </c>
      <c r="AC1312" s="2" t="s">
        <v>83</v>
      </c>
      <c r="AD1312" s="3">
        <v>40269</v>
      </c>
      <c r="AE1312" s="4">
        <v>0.625</v>
      </c>
      <c r="AF1312" s="3">
        <v>40268</v>
      </c>
      <c r="AG1312" s="4">
        <v>0.875</v>
      </c>
      <c r="AH1312" s="2">
        <v>2</v>
      </c>
      <c r="AI1312" s="2" t="s">
        <v>84</v>
      </c>
      <c r="AJ1312" s="2">
        <v>12</v>
      </c>
      <c r="AK1312" s="2" t="s">
        <v>85</v>
      </c>
      <c r="AL1312" s="2">
        <v>21</v>
      </c>
      <c r="AM1312" s="2" t="s">
        <v>1311</v>
      </c>
      <c r="AN1312" s="2" t="s">
        <v>4837</v>
      </c>
      <c r="AO1312" s="2" t="s">
        <v>4838</v>
      </c>
      <c r="AP1312" s="2">
        <v>11</v>
      </c>
      <c r="AQ1312" s="2" t="s">
        <v>82</v>
      </c>
      <c r="AR1312" s="2"/>
      <c r="AS1312" s="2"/>
      <c r="AT1312" s="2" t="s">
        <v>4879</v>
      </c>
      <c r="AU1312" s="2"/>
      <c r="AV1312" s="2"/>
      <c r="AW1312" s="2"/>
      <c r="AX1312" s="2"/>
      <c r="AY1312" s="2">
        <v>41</v>
      </c>
      <c r="AZ1312" s="2" t="s">
        <v>82</v>
      </c>
      <c r="BA1312" s="2">
        <v>41</v>
      </c>
      <c r="BB1312" s="2" t="s">
        <v>82</v>
      </c>
      <c r="BC1312" s="2">
        <v>41</v>
      </c>
      <c r="BD1312" s="2" t="s">
        <v>82</v>
      </c>
      <c r="BE1312" s="2">
        <v>4</v>
      </c>
      <c r="BF1312" s="2" t="s">
        <v>90</v>
      </c>
      <c r="BG1312" s="2" t="s">
        <v>4840</v>
      </c>
      <c r="BH1312" s="4">
        <v>0.72569444444444453</v>
      </c>
      <c r="BI1312" s="4">
        <v>0.625</v>
      </c>
      <c r="BJ1312" s="2">
        <v>13</v>
      </c>
      <c r="BK1312" s="2" t="s">
        <v>91</v>
      </c>
      <c r="BL1312" s="2" t="s">
        <v>828</v>
      </c>
      <c r="BM1312" s="2">
        <v>241</v>
      </c>
      <c r="BN1312" s="2" t="s">
        <v>82</v>
      </c>
      <c r="BO1312" s="2" t="s">
        <v>82</v>
      </c>
      <c r="BP1312" s="2">
        <v>13</v>
      </c>
      <c r="BQ1312" s="2" t="s">
        <v>91</v>
      </c>
      <c r="BR1312" s="2" t="s">
        <v>170</v>
      </c>
      <c r="BS1312" s="3">
        <v>40269</v>
      </c>
      <c r="BT1312" s="4">
        <v>0.86039351851851853</v>
      </c>
    </row>
    <row r="1313" spans="1:72" x14ac:dyDescent="0.25">
      <c r="A1313" s="2">
        <v>1979</v>
      </c>
      <c r="B1313" s="2">
        <v>2010</v>
      </c>
      <c r="C1313" s="2" t="s">
        <v>72</v>
      </c>
      <c r="D1313" s="2" t="s">
        <v>73</v>
      </c>
      <c r="E1313" s="2"/>
      <c r="F1313" s="2">
        <v>389</v>
      </c>
      <c r="G1313" s="2" t="s">
        <v>1819</v>
      </c>
      <c r="H1313" s="2">
        <v>3</v>
      </c>
      <c r="I1313" s="2" t="s">
        <v>315</v>
      </c>
      <c r="J1313" s="2">
        <v>399</v>
      </c>
      <c r="K1313" s="2" t="s">
        <v>1820</v>
      </c>
      <c r="L1313" s="2" t="s">
        <v>1821</v>
      </c>
      <c r="M1313" s="3">
        <v>40269</v>
      </c>
      <c r="N1313" s="2" t="s">
        <v>2319</v>
      </c>
      <c r="O1313" s="2" t="s">
        <v>480</v>
      </c>
      <c r="P1313" s="2"/>
      <c r="Q1313" s="2" t="str">
        <f>"178-E/10"</f>
        <v>178-E/10</v>
      </c>
      <c r="R1313" s="2"/>
      <c r="S1313" s="2" t="s">
        <v>480</v>
      </c>
      <c r="T1313" s="2">
        <v>1</v>
      </c>
      <c r="U1313" s="2" t="s">
        <v>79</v>
      </c>
      <c r="V1313" s="2">
        <v>1</v>
      </c>
      <c r="W1313" s="2" t="s">
        <v>80</v>
      </c>
      <c r="X1313" s="2">
        <v>1</v>
      </c>
      <c r="Y1313" s="2" t="s">
        <v>81</v>
      </c>
      <c r="Z1313" s="2">
        <v>1</v>
      </c>
      <c r="AA1313" s="2" t="s">
        <v>82</v>
      </c>
      <c r="AB1313" s="2">
        <v>6</v>
      </c>
      <c r="AC1313" s="2" t="s">
        <v>83</v>
      </c>
      <c r="AD1313" s="3">
        <v>40269</v>
      </c>
      <c r="AE1313" s="4">
        <v>0.32083333333333336</v>
      </c>
      <c r="AF1313" s="3">
        <v>40269</v>
      </c>
      <c r="AG1313" s="4">
        <v>0.48958333333333331</v>
      </c>
      <c r="AH1313" s="2">
        <v>2</v>
      </c>
      <c r="AI1313" s="2" t="s">
        <v>84</v>
      </c>
      <c r="AJ1313" s="2">
        <v>9</v>
      </c>
      <c r="AK1313" s="2" t="s">
        <v>103</v>
      </c>
      <c r="AL1313" s="2">
        <v>12</v>
      </c>
      <c r="AM1313" s="2" t="s">
        <v>86</v>
      </c>
      <c r="AN1313" s="2" t="s">
        <v>4880</v>
      </c>
      <c r="AO1313" s="2" t="s">
        <v>82</v>
      </c>
      <c r="AP1313" s="2">
        <v>11</v>
      </c>
      <c r="AQ1313" s="2" t="s">
        <v>82</v>
      </c>
      <c r="AR1313" s="2"/>
      <c r="AS1313" s="2"/>
      <c r="AT1313" s="2" t="s">
        <v>4881</v>
      </c>
      <c r="AU1313" s="2"/>
      <c r="AV1313" s="2"/>
      <c r="AW1313" s="2"/>
      <c r="AX1313" s="2"/>
      <c r="AY1313" s="2">
        <v>41</v>
      </c>
      <c r="AZ1313" s="2" t="s">
        <v>82</v>
      </c>
      <c r="BA1313" s="2">
        <v>41</v>
      </c>
      <c r="BB1313" s="2" t="s">
        <v>82</v>
      </c>
      <c r="BC1313" s="2">
        <v>41</v>
      </c>
      <c r="BD1313" s="2" t="s">
        <v>82</v>
      </c>
      <c r="BE1313" s="2">
        <v>17</v>
      </c>
      <c r="BF1313" s="2" t="s">
        <v>508</v>
      </c>
      <c r="BG1313" s="2" t="s">
        <v>4882</v>
      </c>
      <c r="BH1313" s="4">
        <v>0.29166666666666669</v>
      </c>
      <c r="BI1313" s="4">
        <v>0.79166666666666663</v>
      </c>
      <c r="BJ1313" s="2">
        <v>75</v>
      </c>
      <c r="BK1313" s="2" t="s">
        <v>1264</v>
      </c>
      <c r="BL1313" s="2" t="s">
        <v>1361</v>
      </c>
      <c r="BM1313" s="2">
        <v>241</v>
      </c>
      <c r="BN1313" s="2" t="s">
        <v>82</v>
      </c>
      <c r="BO1313" s="2"/>
      <c r="BP1313" s="2">
        <v>13</v>
      </c>
      <c r="BQ1313" s="2" t="s">
        <v>91</v>
      </c>
      <c r="BR1313" s="2" t="s">
        <v>1362</v>
      </c>
      <c r="BS1313" s="3">
        <v>40269</v>
      </c>
      <c r="BT1313" s="4">
        <v>0.87023148148148144</v>
      </c>
    </row>
    <row r="1314" spans="1:72" x14ac:dyDescent="0.25">
      <c r="A1314" s="2">
        <v>1980</v>
      </c>
      <c r="B1314" s="2">
        <v>2010</v>
      </c>
      <c r="C1314" s="2" t="s">
        <v>72</v>
      </c>
      <c r="D1314" s="2" t="s">
        <v>73</v>
      </c>
      <c r="E1314" s="2"/>
      <c r="F1314" s="2">
        <v>550</v>
      </c>
      <c r="G1314" s="2" t="s">
        <v>4883</v>
      </c>
      <c r="H1314" s="2">
        <v>1</v>
      </c>
      <c r="I1314" s="2" t="s">
        <v>82</v>
      </c>
      <c r="J1314" s="2">
        <v>510</v>
      </c>
      <c r="K1314" s="2" t="s">
        <v>4884</v>
      </c>
      <c r="L1314" s="2" t="s">
        <v>4885</v>
      </c>
      <c r="M1314" s="3">
        <v>40269</v>
      </c>
      <c r="N1314" s="2" t="s">
        <v>4886</v>
      </c>
      <c r="O1314" s="2" t="s">
        <v>4887</v>
      </c>
      <c r="P1314" s="2" t="s">
        <v>82</v>
      </c>
      <c r="Q1314" s="2" t="str">
        <f>"0016/10"</f>
        <v>0016/10</v>
      </c>
      <c r="R1314" s="2" t="s">
        <v>4887</v>
      </c>
      <c r="S1314" s="2" t="s">
        <v>4887</v>
      </c>
      <c r="T1314" s="2">
        <v>1</v>
      </c>
      <c r="U1314" s="2" t="s">
        <v>79</v>
      </c>
      <c r="V1314" s="2">
        <v>1</v>
      </c>
      <c r="W1314" s="2" t="s">
        <v>80</v>
      </c>
      <c r="X1314" s="2">
        <v>1</v>
      </c>
      <c r="Y1314" s="2" t="s">
        <v>81</v>
      </c>
      <c r="Z1314" s="2">
        <v>10</v>
      </c>
      <c r="AA1314" s="2" t="s">
        <v>236</v>
      </c>
      <c r="AB1314" s="2">
        <v>6</v>
      </c>
      <c r="AC1314" s="2" t="s">
        <v>83</v>
      </c>
      <c r="AD1314" s="3">
        <v>40269</v>
      </c>
      <c r="AE1314" s="4">
        <v>0.75</v>
      </c>
      <c r="AF1314" s="3">
        <v>40269</v>
      </c>
      <c r="AG1314" s="4">
        <v>0.85069444444444453</v>
      </c>
      <c r="AH1314" s="2">
        <v>5</v>
      </c>
      <c r="AI1314" s="2" t="s">
        <v>274</v>
      </c>
      <c r="AJ1314" s="2">
        <v>42</v>
      </c>
      <c r="AK1314" s="2" t="s">
        <v>660</v>
      </c>
      <c r="AL1314" s="2">
        <v>9</v>
      </c>
      <c r="AM1314" s="2" t="s">
        <v>259</v>
      </c>
      <c r="AN1314" s="2" t="s">
        <v>4888</v>
      </c>
      <c r="AO1314" s="2" t="s">
        <v>4889</v>
      </c>
      <c r="AP1314" s="2">
        <v>11</v>
      </c>
      <c r="AQ1314" s="2" t="s">
        <v>82</v>
      </c>
      <c r="AR1314" s="2" t="s">
        <v>82</v>
      </c>
      <c r="AS1314" s="2" t="s">
        <v>82</v>
      </c>
      <c r="AT1314" s="2" t="s">
        <v>4890</v>
      </c>
      <c r="AU1314" s="2"/>
      <c r="AV1314" s="2"/>
      <c r="AW1314" s="2"/>
      <c r="AX1314" s="2"/>
      <c r="AY1314" s="2">
        <v>41</v>
      </c>
      <c r="AZ1314" s="2" t="s">
        <v>82</v>
      </c>
      <c r="BA1314" s="2">
        <v>41</v>
      </c>
      <c r="BB1314" s="2" t="s">
        <v>82</v>
      </c>
      <c r="BC1314" s="2">
        <v>41</v>
      </c>
      <c r="BD1314" s="2" t="s">
        <v>82</v>
      </c>
      <c r="BE1314" s="2">
        <v>41</v>
      </c>
      <c r="BF1314" s="2" t="s">
        <v>82</v>
      </c>
      <c r="BG1314" s="2"/>
      <c r="BH1314" s="2"/>
      <c r="BI1314" s="2"/>
      <c r="BJ1314" s="2">
        <v>241</v>
      </c>
      <c r="BK1314" s="2" t="s">
        <v>82</v>
      </c>
      <c r="BL1314" s="2" t="s">
        <v>82</v>
      </c>
      <c r="BM1314" s="2">
        <v>241</v>
      </c>
      <c r="BN1314" s="2" t="s">
        <v>82</v>
      </c>
      <c r="BO1314" s="2" t="s">
        <v>82</v>
      </c>
      <c r="BP1314" s="2">
        <v>241</v>
      </c>
      <c r="BQ1314" s="2" t="s">
        <v>82</v>
      </c>
      <c r="BR1314" s="2" t="s">
        <v>82</v>
      </c>
      <c r="BS1314" s="3">
        <v>40269</v>
      </c>
      <c r="BT1314" s="4">
        <v>0.99562499999999998</v>
      </c>
    </row>
    <row r="1315" spans="1:72" x14ac:dyDescent="0.25">
      <c r="A1315" s="2">
        <v>1981</v>
      </c>
      <c r="B1315" s="2">
        <v>2010</v>
      </c>
      <c r="C1315" s="2" t="s">
        <v>377</v>
      </c>
      <c r="D1315" s="2" t="s">
        <v>73</v>
      </c>
      <c r="E1315" s="2"/>
      <c r="F1315" s="2">
        <v>426</v>
      </c>
      <c r="G1315" s="2" t="s">
        <v>378</v>
      </c>
      <c r="H1315" s="2">
        <v>1</v>
      </c>
      <c r="I1315" s="2" t="s">
        <v>82</v>
      </c>
      <c r="J1315" s="2">
        <v>311</v>
      </c>
      <c r="K1315" s="2" t="s">
        <v>379</v>
      </c>
      <c r="L1315" s="2" t="s">
        <v>380</v>
      </c>
      <c r="M1315" s="3">
        <v>40270</v>
      </c>
      <c r="N1315" s="2" t="s">
        <v>4891</v>
      </c>
      <c r="O1315" s="2" t="s">
        <v>107</v>
      </c>
      <c r="P1315" s="2" t="s">
        <v>107</v>
      </c>
      <c r="Q1315" s="2" t="str">
        <f>"041-C/10"</f>
        <v>041-C/10</v>
      </c>
      <c r="R1315" s="2"/>
      <c r="S1315" s="2" t="s">
        <v>4892</v>
      </c>
      <c r="T1315" s="2">
        <v>1</v>
      </c>
      <c r="U1315" s="2" t="s">
        <v>79</v>
      </c>
      <c r="V1315" s="2">
        <v>1</v>
      </c>
      <c r="W1315" s="2" t="s">
        <v>80</v>
      </c>
      <c r="X1315" s="2">
        <v>1</v>
      </c>
      <c r="Y1315" s="2" t="s">
        <v>81</v>
      </c>
      <c r="Z1315" s="2">
        <v>1</v>
      </c>
      <c r="AA1315" s="2" t="s">
        <v>82</v>
      </c>
      <c r="AB1315" s="2">
        <v>9</v>
      </c>
      <c r="AC1315" s="2" t="s">
        <v>124</v>
      </c>
      <c r="AD1315" s="3">
        <v>40269</v>
      </c>
      <c r="AE1315" s="4">
        <v>0.67361111111111116</v>
      </c>
      <c r="AF1315" s="2"/>
      <c r="AG1315" s="2"/>
      <c r="AH1315" s="2">
        <v>2</v>
      </c>
      <c r="AI1315" s="2" t="s">
        <v>84</v>
      </c>
      <c r="AJ1315" s="2">
        <v>9</v>
      </c>
      <c r="AK1315" s="2" t="s">
        <v>103</v>
      </c>
      <c r="AL1315" s="2">
        <v>12</v>
      </c>
      <c r="AM1315" s="2" t="s">
        <v>86</v>
      </c>
      <c r="AN1315" s="2"/>
      <c r="AO1315" s="2" t="s">
        <v>2345</v>
      </c>
      <c r="AP1315" s="2">
        <v>11</v>
      </c>
      <c r="AQ1315" s="2" t="s">
        <v>82</v>
      </c>
      <c r="AR1315" s="2"/>
      <c r="AS1315" s="2"/>
      <c r="AT1315" s="2" t="s">
        <v>4893</v>
      </c>
      <c r="AU1315" s="2"/>
      <c r="AV1315" s="2"/>
      <c r="AW1315" s="2"/>
      <c r="AX1315" s="2"/>
      <c r="AY1315" s="2">
        <v>41</v>
      </c>
      <c r="AZ1315" s="2" t="s">
        <v>82</v>
      </c>
      <c r="BA1315" s="2">
        <v>70</v>
      </c>
      <c r="BB1315" s="2" t="s">
        <v>236</v>
      </c>
      <c r="BC1315" s="2">
        <v>41</v>
      </c>
      <c r="BD1315" s="2" t="s">
        <v>82</v>
      </c>
      <c r="BE1315" s="2">
        <v>41</v>
      </c>
      <c r="BF1315" s="2" t="s">
        <v>82</v>
      </c>
      <c r="BG1315" s="2"/>
      <c r="BH1315" s="2"/>
      <c r="BI1315" s="2"/>
      <c r="BJ1315" s="2">
        <v>241</v>
      </c>
      <c r="BK1315" s="2" t="s">
        <v>82</v>
      </c>
      <c r="BL1315" s="2"/>
      <c r="BM1315" s="2">
        <v>241</v>
      </c>
      <c r="BN1315" s="2" t="s">
        <v>82</v>
      </c>
      <c r="BO1315" s="2"/>
      <c r="BP1315" s="2">
        <v>241</v>
      </c>
      <c r="BQ1315" s="2" t="s">
        <v>82</v>
      </c>
      <c r="BR1315" s="2"/>
      <c r="BS1315" s="3">
        <v>40270</v>
      </c>
      <c r="BT1315" s="4">
        <v>4.1365740740740745E-2</v>
      </c>
    </row>
    <row r="1316" spans="1:72" x14ac:dyDescent="0.25">
      <c r="A1316" s="2">
        <v>1982</v>
      </c>
      <c r="B1316" s="2">
        <v>2010</v>
      </c>
      <c r="C1316" s="2" t="s">
        <v>819</v>
      </c>
      <c r="D1316" s="2" t="s">
        <v>122</v>
      </c>
      <c r="E1316" s="2"/>
      <c r="F1316" s="2">
        <v>425</v>
      </c>
      <c r="G1316" s="2" t="s">
        <v>286</v>
      </c>
      <c r="H1316" s="2">
        <v>39</v>
      </c>
      <c r="I1316" s="2" t="s">
        <v>1117</v>
      </c>
      <c r="J1316" s="2">
        <v>310</v>
      </c>
      <c r="K1316" s="2" t="s">
        <v>288</v>
      </c>
      <c r="L1316" s="2" t="s">
        <v>289</v>
      </c>
      <c r="M1316" s="3">
        <v>40270</v>
      </c>
      <c r="N1316" s="2" t="s">
        <v>4894</v>
      </c>
      <c r="O1316" s="2"/>
      <c r="P1316" s="2"/>
      <c r="Q1316" s="2" t="str">
        <f>"N° 037/10"</f>
        <v>N° 037/10</v>
      </c>
      <c r="R1316" s="2"/>
      <c r="S1316" s="2" t="s">
        <v>822</v>
      </c>
      <c r="T1316" s="2">
        <v>1</v>
      </c>
      <c r="U1316" s="2" t="s">
        <v>79</v>
      </c>
      <c r="V1316" s="2">
        <v>1</v>
      </c>
      <c r="W1316" s="2" t="s">
        <v>80</v>
      </c>
      <c r="X1316" s="2">
        <v>1</v>
      </c>
      <c r="Y1316" s="2" t="s">
        <v>81</v>
      </c>
      <c r="Z1316" s="2">
        <v>10</v>
      </c>
      <c r="AA1316" s="2" t="s">
        <v>236</v>
      </c>
      <c r="AB1316" s="2">
        <v>9</v>
      </c>
      <c r="AC1316" s="2" t="s">
        <v>124</v>
      </c>
      <c r="AD1316" s="3">
        <v>40269</v>
      </c>
      <c r="AE1316" s="4">
        <v>0.875</v>
      </c>
      <c r="AF1316" s="2"/>
      <c r="AG1316" s="2"/>
      <c r="AH1316" s="2">
        <v>4</v>
      </c>
      <c r="AI1316" s="2" t="s">
        <v>125</v>
      </c>
      <c r="AJ1316" s="2">
        <v>29</v>
      </c>
      <c r="AK1316" s="2" t="s">
        <v>227</v>
      </c>
      <c r="AL1316" s="2">
        <v>10</v>
      </c>
      <c r="AM1316" s="2" t="s">
        <v>200</v>
      </c>
      <c r="AN1316" s="2" t="s">
        <v>4895</v>
      </c>
      <c r="AO1316" s="2" t="s">
        <v>200</v>
      </c>
      <c r="AP1316" s="2">
        <v>12</v>
      </c>
      <c r="AQ1316" s="2" t="s">
        <v>322</v>
      </c>
      <c r="AR1316" s="2" t="s">
        <v>4896</v>
      </c>
      <c r="AS1316" s="2" t="s">
        <v>1670</v>
      </c>
      <c r="AT1316" s="2" t="s">
        <v>4897</v>
      </c>
      <c r="AU1316" s="2"/>
      <c r="AV1316" s="2"/>
      <c r="AW1316" s="2"/>
      <c r="AX1316" s="2"/>
      <c r="AY1316" s="2">
        <v>41</v>
      </c>
      <c r="AZ1316" s="2" t="s">
        <v>82</v>
      </c>
      <c r="BA1316" s="2">
        <v>41</v>
      </c>
      <c r="BB1316" s="2" t="s">
        <v>82</v>
      </c>
      <c r="BC1316" s="2">
        <v>51</v>
      </c>
      <c r="BD1316" s="2" t="s">
        <v>827</v>
      </c>
      <c r="BE1316" s="2">
        <v>47</v>
      </c>
      <c r="BF1316" s="2" t="s">
        <v>167</v>
      </c>
      <c r="BG1316" s="2">
        <v>2459</v>
      </c>
      <c r="BH1316" s="4">
        <v>0.90277777777777779</v>
      </c>
      <c r="BI1316" s="4">
        <v>0.9375</v>
      </c>
      <c r="BJ1316" s="2">
        <v>13</v>
      </c>
      <c r="BK1316" s="2" t="s">
        <v>91</v>
      </c>
      <c r="BL1316" s="2" t="s">
        <v>828</v>
      </c>
      <c r="BM1316" s="2">
        <v>241</v>
      </c>
      <c r="BN1316" s="2" t="s">
        <v>82</v>
      </c>
      <c r="BO1316" s="2" t="s">
        <v>82</v>
      </c>
      <c r="BP1316" s="2">
        <v>13</v>
      </c>
      <c r="BQ1316" s="2" t="s">
        <v>91</v>
      </c>
      <c r="BR1316" s="2" t="s">
        <v>185</v>
      </c>
      <c r="BS1316" s="3">
        <v>40270</v>
      </c>
      <c r="BT1316" s="4">
        <v>4.4386574074074071E-2</v>
      </c>
    </row>
    <row r="1317" spans="1:72" x14ac:dyDescent="0.25">
      <c r="A1317" s="2">
        <v>1983</v>
      </c>
      <c r="B1317" s="2">
        <v>2010</v>
      </c>
      <c r="C1317" s="2" t="s">
        <v>377</v>
      </c>
      <c r="D1317" s="2" t="s">
        <v>73</v>
      </c>
      <c r="E1317" s="2"/>
      <c r="F1317" s="2">
        <v>426</v>
      </c>
      <c r="G1317" s="2" t="s">
        <v>378</v>
      </c>
      <c r="H1317" s="2">
        <v>22</v>
      </c>
      <c r="I1317" s="2" t="s">
        <v>75</v>
      </c>
      <c r="J1317" s="2">
        <v>311</v>
      </c>
      <c r="K1317" s="2" t="s">
        <v>379</v>
      </c>
      <c r="L1317" s="2" t="s">
        <v>380</v>
      </c>
      <c r="M1317" s="3">
        <v>40270</v>
      </c>
      <c r="N1317" s="2" t="s">
        <v>4891</v>
      </c>
      <c r="O1317" s="2" t="s">
        <v>107</v>
      </c>
      <c r="P1317" s="2" t="s">
        <v>107</v>
      </c>
      <c r="Q1317" s="2" t="str">
        <f>"042-C/10"</f>
        <v>042-C/10</v>
      </c>
      <c r="R1317" s="2" t="s">
        <v>4898</v>
      </c>
      <c r="S1317" s="2" t="s">
        <v>4899</v>
      </c>
      <c r="T1317" s="2">
        <v>1</v>
      </c>
      <c r="U1317" s="2" t="s">
        <v>79</v>
      </c>
      <c r="V1317" s="2">
        <v>1</v>
      </c>
      <c r="W1317" s="2" t="s">
        <v>80</v>
      </c>
      <c r="X1317" s="2">
        <v>5</v>
      </c>
      <c r="Y1317" s="2" t="s">
        <v>82</v>
      </c>
      <c r="Z1317" s="2">
        <v>1</v>
      </c>
      <c r="AA1317" s="2" t="s">
        <v>82</v>
      </c>
      <c r="AB1317" s="2">
        <v>9</v>
      </c>
      <c r="AC1317" s="2" t="s">
        <v>124</v>
      </c>
      <c r="AD1317" s="3">
        <v>40269</v>
      </c>
      <c r="AE1317" s="4">
        <v>0.65972222222222221</v>
      </c>
      <c r="AF1317" s="2"/>
      <c r="AG1317" s="2"/>
      <c r="AH1317" s="2">
        <v>2</v>
      </c>
      <c r="AI1317" s="2" t="s">
        <v>84</v>
      </c>
      <c r="AJ1317" s="2">
        <v>9</v>
      </c>
      <c r="AK1317" s="2" t="s">
        <v>103</v>
      </c>
      <c r="AL1317" s="2">
        <v>12</v>
      </c>
      <c r="AM1317" s="2" t="s">
        <v>86</v>
      </c>
      <c r="AN1317" s="2"/>
      <c r="AO1317" s="2" t="s">
        <v>2345</v>
      </c>
      <c r="AP1317" s="2">
        <v>11</v>
      </c>
      <c r="AQ1317" s="2" t="s">
        <v>82</v>
      </c>
      <c r="AR1317" s="2"/>
      <c r="AS1317" s="2"/>
      <c r="AT1317" s="2" t="s">
        <v>4900</v>
      </c>
      <c r="AU1317" s="2"/>
      <c r="AV1317" s="2"/>
      <c r="AW1317" s="2"/>
      <c r="AX1317" s="2"/>
      <c r="AY1317" s="2">
        <v>41</v>
      </c>
      <c r="AZ1317" s="2" t="s">
        <v>82</v>
      </c>
      <c r="BA1317" s="2">
        <v>70</v>
      </c>
      <c r="BB1317" s="2" t="s">
        <v>236</v>
      </c>
      <c r="BC1317" s="2">
        <v>41</v>
      </c>
      <c r="BD1317" s="2" t="s">
        <v>82</v>
      </c>
      <c r="BE1317" s="2">
        <v>41</v>
      </c>
      <c r="BF1317" s="2" t="s">
        <v>82</v>
      </c>
      <c r="BG1317" s="2"/>
      <c r="BH1317" s="2"/>
      <c r="BI1317" s="2"/>
      <c r="BJ1317" s="2">
        <v>241</v>
      </c>
      <c r="BK1317" s="2" t="s">
        <v>82</v>
      </c>
      <c r="BL1317" s="2"/>
      <c r="BM1317" s="2">
        <v>241</v>
      </c>
      <c r="BN1317" s="2" t="s">
        <v>82</v>
      </c>
      <c r="BO1317" s="2"/>
      <c r="BP1317" s="2">
        <v>241</v>
      </c>
      <c r="BQ1317" s="2" t="s">
        <v>82</v>
      </c>
      <c r="BR1317" s="2"/>
      <c r="BS1317" s="3">
        <v>40270</v>
      </c>
      <c r="BT1317" s="4">
        <v>5.6689814814814811E-2</v>
      </c>
    </row>
    <row r="1318" spans="1:72" x14ac:dyDescent="0.25">
      <c r="A1318" s="2">
        <v>1984</v>
      </c>
      <c r="B1318" s="2">
        <v>2010</v>
      </c>
      <c r="C1318" s="2" t="s">
        <v>121</v>
      </c>
      <c r="D1318" s="2" t="s">
        <v>122</v>
      </c>
      <c r="E1318" s="2"/>
      <c r="F1318" s="2">
        <v>1</v>
      </c>
      <c r="G1318" s="2" t="s">
        <v>82</v>
      </c>
      <c r="H1318" s="2">
        <v>1</v>
      </c>
      <c r="I1318" s="2" t="s">
        <v>82</v>
      </c>
      <c r="J1318" s="2">
        <v>1</v>
      </c>
      <c r="K1318" s="2" t="s">
        <v>107</v>
      </c>
      <c r="L1318" s="2" t="s">
        <v>107</v>
      </c>
      <c r="M1318" s="3">
        <v>40270</v>
      </c>
      <c r="N1318" s="2"/>
      <c r="O1318" s="2"/>
      <c r="P1318" s="2"/>
      <c r="Q1318" s="2" t="str">
        <f>""</f>
        <v/>
      </c>
      <c r="R1318" s="2"/>
      <c r="S1318" s="2"/>
      <c r="T1318" s="2">
        <v>2</v>
      </c>
      <c r="U1318" s="2" t="s">
        <v>123</v>
      </c>
      <c r="V1318" s="2">
        <v>1</v>
      </c>
      <c r="W1318" s="2" t="s">
        <v>80</v>
      </c>
      <c r="X1318" s="2">
        <v>1</v>
      </c>
      <c r="Y1318" s="2" t="s">
        <v>81</v>
      </c>
      <c r="Z1318" s="2">
        <v>1</v>
      </c>
      <c r="AA1318" s="2" t="s">
        <v>82</v>
      </c>
      <c r="AB1318" s="2">
        <v>9</v>
      </c>
      <c r="AC1318" s="2" t="s">
        <v>124</v>
      </c>
      <c r="AD1318" s="3">
        <v>40270</v>
      </c>
      <c r="AE1318" s="4">
        <v>0.17708333333333334</v>
      </c>
      <c r="AF1318" s="2"/>
      <c r="AG1318" s="2"/>
      <c r="AH1318" s="2">
        <v>3</v>
      </c>
      <c r="AI1318" s="2" t="s">
        <v>214</v>
      </c>
      <c r="AJ1318" s="2">
        <v>19</v>
      </c>
      <c r="AK1318" s="2" t="s">
        <v>4901</v>
      </c>
      <c r="AL1318" s="2">
        <v>18</v>
      </c>
      <c r="AM1318" s="2" t="s">
        <v>82</v>
      </c>
      <c r="AN1318" s="2"/>
      <c r="AO1318" s="2"/>
      <c r="AP1318" s="2">
        <v>11</v>
      </c>
      <c r="AQ1318" s="2" t="s">
        <v>82</v>
      </c>
      <c r="AR1318" s="2"/>
      <c r="AS1318" s="2"/>
      <c r="AT1318" s="2" t="s">
        <v>4902</v>
      </c>
      <c r="AU1318" s="2"/>
      <c r="AV1318" s="2"/>
      <c r="AW1318" s="2"/>
      <c r="AX1318" s="2"/>
      <c r="AY1318" s="2">
        <v>41</v>
      </c>
      <c r="AZ1318" s="2" t="s">
        <v>82</v>
      </c>
      <c r="BA1318" s="2">
        <v>41</v>
      </c>
      <c r="BB1318" s="2" t="s">
        <v>82</v>
      </c>
      <c r="BC1318" s="2">
        <v>43</v>
      </c>
      <c r="BD1318" s="2" t="s">
        <v>220</v>
      </c>
      <c r="BE1318" s="2">
        <v>41</v>
      </c>
      <c r="BF1318" s="2" t="s">
        <v>82</v>
      </c>
      <c r="BG1318" s="2"/>
      <c r="BH1318" s="2"/>
      <c r="BI1318" s="2"/>
      <c r="BJ1318" s="2">
        <v>241</v>
      </c>
      <c r="BK1318" s="2" t="s">
        <v>82</v>
      </c>
      <c r="BL1318" s="2" t="s">
        <v>4903</v>
      </c>
      <c r="BM1318" s="2">
        <v>241</v>
      </c>
      <c r="BN1318" s="2" t="s">
        <v>82</v>
      </c>
      <c r="BO1318" s="2"/>
      <c r="BP1318" s="2">
        <v>241</v>
      </c>
      <c r="BQ1318" s="2" t="s">
        <v>82</v>
      </c>
      <c r="BR1318" s="2" t="s">
        <v>4903</v>
      </c>
      <c r="BS1318" s="3">
        <v>40270</v>
      </c>
      <c r="BT1318" s="4">
        <v>0.22127314814814814</v>
      </c>
    </row>
    <row r="1319" spans="1:72" x14ac:dyDescent="0.25">
      <c r="A1319" s="2">
        <v>1985</v>
      </c>
      <c r="B1319" s="2">
        <v>2010</v>
      </c>
      <c r="C1319" s="2" t="s">
        <v>171</v>
      </c>
      <c r="D1319" s="2" t="s">
        <v>122</v>
      </c>
      <c r="E1319" s="2" t="s">
        <v>4904</v>
      </c>
      <c r="F1319" s="2">
        <v>399</v>
      </c>
      <c r="G1319" s="2" t="s">
        <v>587</v>
      </c>
      <c r="H1319" s="2">
        <v>14</v>
      </c>
      <c r="I1319" s="2" t="s">
        <v>1458</v>
      </c>
      <c r="J1319" s="2">
        <v>242</v>
      </c>
      <c r="K1319" s="2" t="s">
        <v>1077</v>
      </c>
      <c r="L1319" s="2" t="s">
        <v>1078</v>
      </c>
      <c r="M1319" s="3">
        <v>40270</v>
      </c>
      <c r="N1319" s="2" t="s">
        <v>4590</v>
      </c>
      <c r="O1319" s="2" t="s">
        <v>4845</v>
      </c>
      <c r="P1319" s="2"/>
      <c r="Q1319" s="2" t="str">
        <f>"176-E/10"</f>
        <v>176-E/10</v>
      </c>
      <c r="R1319" s="2" t="s">
        <v>4905</v>
      </c>
      <c r="S1319" s="2" t="s">
        <v>4846</v>
      </c>
      <c r="T1319" s="2">
        <v>1</v>
      </c>
      <c r="U1319" s="2" t="s">
        <v>79</v>
      </c>
      <c r="V1319" s="2">
        <v>1</v>
      </c>
      <c r="W1319" s="2" t="s">
        <v>80</v>
      </c>
      <c r="X1319" s="2">
        <v>1</v>
      </c>
      <c r="Y1319" s="2" t="s">
        <v>81</v>
      </c>
      <c r="Z1319" s="2">
        <v>1</v>
      </c>
      <c r="AA1319" s="2" t="s">
        <v>82</v>
      </c>
      <c r="AB1319" s="2">
        <v>1</v>
      </c>
      <c r="AC1319" s="2" t="s">
        <v>178</v>
      </c>
      <c r="AD1319" s="3">
        <v>40268</v>
      </c>
      <c r="AE1319" s="4">
        <v>0.85416666666666663</v>
      </c>
      <c r="AF1319" s="2"/>
      <c r="AG1319" s="2"/>
      <c r="AH1319" s="2">
        <v>2</v>
      </c>
      <c r="AI1319" s="2" t="s">
        <v>84</v>
      </c>
      <c r="AJ1319" s="2">
        <v>9</v>
      </c>
      <c r="AK1319" s="2" t="s">
        <v>103</v>
      </c>
      <c r="AL1319" s="2">
        <v>10</v>
      </c>
      <c r="AM1319" s="2" t="s">
        <v>200</v>
      </c>
      <c r="AN1319" s="2" t="s">
        <v>4847</v>
      </c>
      <c r="AO1319" s="2" t="s">
        <v>4848</v>
      </c>
      <c r="AP1319" s="2">
        <v>11</v>
      </c>
      <c r="AQ1319" s="2" t="s">
        <v>82</v>
      </c>
      <c r="AR1319" s="2"/>
      <c r="AS1319" s="2"/>
      <c r="AT1319" s="2" t="s">
        <v>4906</v>
      </c>
      <c r="AU1319" s="2"/>
      <c r="AV1319" s="2">
        <v>2</v>
      </c>
      <c r="AW1319" s="2"/>
      <c r="AX1319" s="2"/>
      <c r="AY1319" s="2">
        <v>41</v>
      </c>
      <c r="AZ1319" s="2" t="s">
        <v>82</v>
      </c>
      <c r="BA1319" s="2">
        <v>41</v>
      </c>
      <c r="BB1319" s="2" t="s">
        <v>82</v>
      </c>
      <c r="BC1319" s="2">
        <v>41</v>
      </c>
      <c r="BD1319" s="2" t="s">
        <v>82</v>
      </c>
      <c r="BE1319" s="2">
        <v>13</v>
      </c>
      <c r="BF1319" s="2" t="s">
        <v>108</v>
      </c>
      <c r="BG1319" s="2" t="s">
        <v>592</v>
      </c>
      <c r="BH1319" s="4">
        <v>0</v>
      </c>
      <c r="BI1319" s="4">
        <v>0.96875</v>
      </c>
      <c r="BJ1319" s="2">
        <v>13</v>
      </c>
      <c r="BK1319" s="2" t="s">
        <v>91</v>
      </c>
      <c r="BL1319" s="2" t="s">
        <v>1084</v>
      </c>
      <c r="BM1319" s="2">
        <v>241</v>
      </c>
      <c r="BN1319" s="2" t="s">
        <v>82</v>
      </c>
      <c r="BO1319" s="2"/>
      <c r="BP1319" s="2">
        <v>112</v>
      </c>
      <c r="BQ1319" s="2" t="s">
        <v>110</v>
      </c>
      <c r="BR1319" s="2" t="s">
        <v>111</v>
      </c>
      <c r="BS1319" s="3">
        <v>40270</v>
      </c>
      <c r="BT1319" s="4">
        <v>0.33837962962962959</v>
      </c>
    </row>
    <row r="1320" spans="1:72" x14ac:dyDescent="0.25">
      <c r="A1320" s="2">
        <v>1986</v>
      </c>
      <c r="B1320" s="2">
        <v>2010</v>
      </c>
      <c r="C1320" s="2" t="s">
        <v>171</v>
      </c>
      <c r="D1320" s="2" t="s">
        <v>122</v>
      </c>
      <c r="E1320" s="2" t="s">
        <v>4907</v>
      </c>
      <c r="F1320" s="2">
        <v>400</v>
      </c>
      <c r="G1320" s="2" t="s">
        <v>3601</v>
      </c>
      <c r="H1320" s="2">
        <v>16</v>
      </c>
      <c r="I1320" s="2" t="s">
        <v>3027</v>
      </c>
      <c r="J1320" s="2">
        <v>316</v>
      </c>
      <c r="K1320" s="2" t="s">
        <v>574</v>
      </c>
      <c r="L1320" s="2" t="s">
        <v>575</v>
      </c>
      <c r="M1320" s="3">
        <v>40270</v>
      </c>
      <c r="N1320" s="2" t="s">
        <v>4867</v>
      </c>
      <c r="O1320" s="2" t="s">
        <v>4868</v>
      </c>
      <c r="P1320" s="2"/>
      <c r="Q1320" s="2" t="str">
        <f>"177-E/10"</f>
        <v>177-E/10</v>
      </c>
      <c r="R1320" s="2" t="s">
        <v>4868</v>
      </c>
      <c r="S1320" s="2" t="s">
        <v>4868</v>
      </c>
      <c r="T1320" s="2">
        <v>1</v>
      </c>
      <c r="U1320" s="2" t="s">
        <v>79</v>
      </c>
      <c r="V1320" s="2">
        <v>1</v>
      </c>
      <c r="W1320" s="2" t="s">
        <v>80</v>
      </c>
      <c r="X1320" s="2">
        <v>1</v>
      </c>
      <c r="Y1320" s="2" t="s">
        <v>81</v>
      </c>
      <c r="Z1320" s="2">
        <v>1</v>
      </c>
      <c r="AA1320" s="2" t="s">
        <v>82</v>
      </c>
      <c r="AB1320" s="2">
        <v>1</v>
      </c>
      <c r="AC1320" s="2" t="s">
        <v>178</v>
      </c>
      <c r="AD1320" s="3">
        <v>40269</v>
      </c>
      <c r="AE1320" s="4">
        <v>0.15277777777777776</v>
      </c>
      <c r="AF1320" s="2"/>
      <c r="AG1320" s="2"/>
      <c r="AH1320" s="2">
        <v>2</v>
      </c>
      <c r="AI1320" s="2" t="s">
        <v>84</v>
      </c>
      <c r="AJ1320" s="2">
        <v>9</v>
      </c>
      <c r="AK1320" s="2" t="s">
        <v>103</v>
      </c>
      <c r="AL1320" s="2">
        <v>10</v>
      </c>
      <c r="AM1320" s="2" t="s">
        <v>200</v>
      </c>
      <c r="AN1320" s="2" t="s">
        <v>4908</v>
      </c>
      <c r="AO1320" s="2" t="s">
        <v>1230</v>
      </c>
      <c r="AP1320" s="2">
        <v>11</v>
      </c>
      <c r="AQ1320" s="2" t="s">
        <v>82</v>
      </c>
      <c r="AR1320" s="2"/>
      <c r="AS1320" s="2"/>
      <c r="AT1320" s="2" t="s">
        <v>4909</v>
      </c>
      <c r="AU1320" s="2"/>
      <c r="AV1320" s="2">
        <v>1</v>
      </c>
      <c r="AW1320" s="2"/>
      <c r="AX1320" s="2"/>
      <c r="AY1320" s="2">
        <v>41</v>
      </c>
      <c r="AZ1320" s="2" t="s">
        <v>82</v>
      </c>
      <c r="BA1320" s="2">
        <v>41</v>
      </c>
      <c r="BB1320" s="2" t="s">
        <v>82</v>
      </c>
      <c r="BC1320" s="2">
        <v>41</v>
      </c>
      <c r="BD1320" s="2" t="s">
        <v>82</v>
      </c>
      <c r="BE1320" s="2">
        <v>23</v>
      </c>
      <c r="BF1320" s="2" t="s">
        <v>183</v>
      </c>
      <c r="BG1320" s="2" t="s">
        <v>4871</v>
      </c>
      <c r="BH1320" s="4">
        <v>0</v>
      </c>
      <c r="BI1320" s="4">
        <v>0.20833333333333334</v>
      </c>
      <c r="BJ1320" s="2">
        <v>13</v>
      </c>
      <c r="BK1320" s="2" t="s">
        <v>91</v>
      </c>
      <c r="BL1320" s="2" t="s">
        <v>1084</v>
      </c>
      <c r="BM1320" s="2">
        <v>241</v>
      </c>
      <c r="BN1320" s="2" t="s">
        <v>82</v>
      </c>
      <c r="BO1320" s="2"/>
      <c r="BP1320" s="2">
        <v>73</v>
      </c>
      <c r="BQ1320" s="2" t="s">
        <v>186</v>
      </c>
      <c r="BR1320" s="2" t="s">
        <v>187</v>
      </c>
      <c r="BS1320" s="3">
        <v>40270</v>
      </c>
      <c r="BT1320" s="4">
        <v>0.34370370370370368</v>
      </c>
    </row>
    <row r="1321" spans="1:72" x14ac:dyDescent="0.25">
      <c r="A1321" s="2">
        <v>1987</v>
      </c>
      <c r="B1321" s="2">
        <v>2010</v>
      </c>
      <c r="C1321" s="2" t="s">
        <v>377</v>
      </c>
      <c r="D1321" s="2" t="s">
        <v>73</v>
      </c>
      <c r="E1321" s="2"/>
      <c r="F1321" s="2">
        <v>426</v>
      </c>
      <c r="G1321" s="2" t="s">
        <v>378</v>
      </c>
      <c r="H1321" s="2">
        <v>1</v>
      </c>
      <c r="I1321" s="2" t="s">
        <v>82</v>
      </c>
      <c r="J1321" s="2">
        <v>311</v>
      </c>
      <c r="K1321" s="2" t="s">
        <v>379</v>
      </c>
      <c r="L1321" s="2" t="s">
        <v>380</v>
      </c>
      <c r="M1321" s="3">
        <v>40270</v>
      </c>
      <c r="N1321" s="2"/>
      <c r="O1321" s="2"/>
      <c r="P1321" s="2"/>
      <c r="Q1321" s="2" t="str">
        <f>"043-C/10"</f>
        <v>043-C/10</v>
      </c>
      <c r="R1321" s="2"/>
      <c r="S1321" s="2" t="s">
        <v>4143</v>
      </c>
      <c r="T1321" s="2">
        <v>1</v>
      </c>
      <c r="U1321" s="2" t="s">
        <v>79</v>
      </c>
      <c r="V1321" s="2">
        <v>1</v>
      </c>
      <c r="W1321" s="2" t="s">
        <v>80</v>
      </c>
      <c r="X1321" s="2">
        <v>1</v>
      </c>
      <c r="Y1321" s="2" t="s">
        <v>81</v>
      </c>
      <c r="Z1321" s="2">
        <v>1</v>
      </c>
      <c r="AA1321" s="2" t="s">
        <v>82</v>
      </c>
      <c r="AB1321" s="2">
        <v>9</v>
      </c>
      <c r="AC1321" s="2" t="s">
        <v>124</v>
      </c>
      <c r="AD1321" s="3">
        <v>40254</v>
      </c>
      <c r="AE1321" s="4">
        <v>0.41666666666666669</v>
      </c>
      <c r="AF1321" s="2"/>
      <c r="AG1321" s="2"/>
      <c r="AH1321" s="2">
        <v>2</v>
      </c>
      <c r="AI1321" s="2" t="s">
        <v>84</v>
      </c>
      <c r="AJ1321" s="2">
        <v>9</v>
      </c>
      <c r="AK1321" s="2" t="s">
        <v>103</v>
      </c>
      <c r="AL1321" s="2">
        <v>12</v>
      </c>
      <c r="AM1321" s="2" t="s">
        <v>86</v>
      </c>
      <c r="AN1321" s="2" t="s">
        <v>4910</v>
      </c>
      <c r="AO1321" s="2" t="s">
        <v>82</v>
      </c>
      <c r="AP1321" s="2">
        <v>11</v>
      </c>
      <c r="AQ1321" s="2" t="s">
        <v>82</v>
      </c>
      <c r="AR1321" s="2"/>
      <c r="AS1321" s="2"/>
      <c r="AT1321" s="2" t="s">
        <v>4911</v>
      </c>
      <c r="AU1321" s="2"/>
      <c r="AV1321" s="2"/>
      <c r="AW1321" s="2"/>
      <c r="AX1321" s="2"/>
      <c r="AY1321" s="2">
        <v>41</v>
      </c>
      <c r="AZ1321" s="2" t="s">
        <v>82</v>
      </c>
      <c r="BA1321" s="2">
        <v>41</v>
      </c>
      <c r="BB1321" s="2" t="s">
        <v>82</v>
      </c>
      <c r="BC1321" s="2">
        <v>41</v>
      </c>
      <c r="BD1321" s="2" t="s">
        <v>82</v>
      </c>
      <c r="BE1321" s="2">
        <v>41</v>
      </c>
      <c r="BF1321" s="2" t="s">
        <v>82</v>
      </c>
      <c r="BG1321" s="2"/>
      <c r="BH1321" s="2"/>
      <c r="BI1321" s="2"/>
      <c r="BJ1321" s="2">
        <v>241</v>
      </c>
      <c r="BK1321" s="2" t="s">
        <v>82</v>
      </c>
      <c r="BL1321" s="2"/>
      <c r="BM1321" s="2">
        <v>241</v>
      </c>
      <c r="BN1321" s="2" t="s">
        <v>82</v>
      </c>
      <c r="BO1321" s="2"/>
      <c r="BP1321" s="2">
        <v>241</v>
      </c>
      <c r="BQ1321" s="2" t="s">
        <v>82</v>
      </c>
      <c r="BR1321" s="2"/>
      <c r="BS1321" s="3">
        <v>40270</v>
      </c>
      <c r="BT1321" s="4">
        <v>0.36385416666666665</v>
      </c>
    </row>
    <row r="1322" spans="1:72" x14ac:dyDescent="0.25">
      <c r="A1322" s="2">
        <v>1988</v>
      </c>
      <c r="B1322" s="2">
        <v>2010</v>
      </c>
      <c r="C1322" s="2" t="s">
        <v>196</v>
      </c>
      <c r="D1322" s="2" t="s">
        <v>122</v>
      </c>
      <c r="E1322" s="2"/>
      <c r="F1322" s="2">
        <v>1</v>
      </c>
      <c r="G1322" s="2" t="s">
        <v>82</v>
      </c>
      <c r="H1322" s="2">
        <v>1</v>
      </c>
      <c r="I1322" s="2" t="s">
        <v>82</v>
      </c>
      <c r="J1322" s="2">
        <v>1</v>
      </c>
      <c r="K1322" s="2" t="s">
        <v>107</v>
      </c>
      <c r="L1322" s="2" t="s">
        <v>107</v>
      </c>
      <c r="M1322" s="3">
        <v>40270</v>
      </c>
      <c r="N1322" s="2"/>
      <c r="O1322" s="2" t="s">
        <v>107</v>
      </c>
      <c r="P1322" s="2" t="s">
        <v>107</v>
      </c>
      <c r="Q1322" s="2" t="str">
        <f>""</f>
        <v/>
      </c>
      <c r="R1322" s="2"/>
      <c r="S1322" s="2"/>
      <c r="T1322" s="2">
        <v>2</v>
      </c>
      <c r="U1322" s="2" t="s">
        <v>123</v>
      </c>
      <c r="V1322" s="2">
        <v>1</v>
      </c>
      <c r="W1322" s="2" t="s">
        <v>80</v>
      </c>
      <c r="X1322" s="2">
        <v>5</v>
      </c>
      <c r="Y1322" s="2" t="s">
        <v>82</v>
      </c>
      <c r="Z1322" s="2">
        <v>1</v>
      </c>
      <c r="AA1322" s="2" t="s">
        <v>82</v>
      </c>
      <c r="AB1322" s="2">
        <v>9</v>
      </c>
      <c r="AC1322" s="2" t="s">
        <v>124</v>
      </c>
      <c r="AD1322" s="3">
        <v>40270</v>
      </c>
      <c r="AE1322" s="4">
        <v>0.46875</v>
      </c>
      <c r="AF1322" s="2"/>
      <c r="AG1322" s="2"/>
      <c r="AH1322" s="2">
        <v>6</v>
      </c>
      <c r="AI1322" s="2" t="s">
        <v>197</v>
      </c>
      <c r="AJ1322" s="2">
        <v>59</v>
      </c>
      <c r="AK1322" s="2" t="s">
        <v>198</v>
      </c>
      <c r="AL1322" s="2">
        <v>18</v>
      </c>
      <c r="AM1322" s="2" t="s">
        <v>82</v>
      </c>
      <c r="AN1322" s="2" t="s">
        <v>199</v>
      </c>
      <c r="AO1322" s="2" t="s">
        <v>3775</v>
      </c>
      <c r="AP1322" s="2">
        <v>11</v>
      </c>
      <c r="AQ1322" s="2" t="s">
        <v>82</v>
      </c>
      <c r="AR1322" s="2"/>
      <c r="AS1322" s="2"/>
      <c r="AT1322" s="2" t="s">
        <v>4912</v>
      </c>
      <c r="AU1322" s="2"/>
      <c r="AV1322" s="2"/>
      <c r="AW1322" s="2"/>
      <c r="AX1322" s="2"/>
      <c r="AY1322" s="2">
        <v>1</v>
      </c>
      <c r="AZ1322" s="2" t="s">
        <v>107</v>
      </c>
      <c r="BA1322" s="2">
        <v>1</v>
      </c>
      <c r="BB1322" s="2" t="s">
        <v>107</v>
      </c>
      <c r="BC1322" s="2">
        <v>1</v>
      </c>
      <c r="BD1322" s="2" t="s">
        <v>107</v>
      </c>
      <c r="BE1322" s="2">
        <v>1</v>
      </c>
      <c r="BF1322" s="2" t="s">
        <v>107</v>
      </c>
      <c r="BG1322" s="2"/>
      <c r="BH1322" s="2"/>
      <c r="BI1322" s="4">
        <v>0.46875</v>
      </c>
      <c r="BJ1322" s="2">
        <v>242</v>
      </c>
      <c r="BK1322" s="2" t="s">
        <v>107</v>
      </c>
      <c r="BL1322" s="2" t="s">
        <v>204</v>
      </c>
      <c r="BM1322" s="2">
        <v>242</v>
      </c>
      <c r="BN1322" s="2" t="s">
        <v>107</v>
      </c>
      <c r="BO1322" s="2"/>
      <c r="BP1322" s="2">
        <v>242</v>
      </c>
      <c r="BQ1322" s="2" t="s">
        <v>107</v>
      </c>
      <c r="BR1322" s="2" t="s">
        <v>4913</v>
      </c>
      <c r="BS1322" s="3">
        <v>40270</v>
      </c>
      <c r="BT1322" s="4">
        <v>0.46303240740740742</v>
      </c>
    </row>
    <row r="1323" spans="1:72" x14ac:dyDescent="0.25">
      <c r="A1323" s="2">
        <v>1989</v>
      </c>
      <c r="B1323" s="2">
        <v>2010</v>
      </c>
      <c r="C1323" s="2" t="s">
        <v>414</v>
      </c>
      <c r="D1323" s="2" t="s">
        <v>122</v>
      </c>
      <c r="E1323" s="2"/>
      <c r="F1323" s="2">
        <v>1</v>
      </c>
      <c r="G1323" s="2" t="s">
        <v>82</v>
      </c>
      <c r="H1323" s="2">
        <v>1</v>
      </c>
      <c r="I1323" s="2" t="s">
        <v>82</v>
      </c>
      <c r="J1323" s="2">
        <v>1</v>
      </c>
      <c r="K1323" s="2" t="s">
        <v>107</v>
      </c>
      <c r="L1323" s="2" t="s">
        <v>107</v>
      </c>
      <c r="M1323" s="3">
        <v>40270</v>
      </c>
      <c r="N1323" s="2" t="s">
        <v>82</v>
      </c>
      <c r="O1323" s="2" t="s">
        <v>82</v>
      </c>
      <c r="P1323" s="2" t="s">
        <v>82</v>
      </c>
      <c r="Q1323" s="2" t="str">
        <f>"N/C"</f>
        <v>N/C</v>
      </c>
      <c r="R1323" s="2" t="s">
        <v>82</v>
      </c>
      <c r="S1323" s="2" t="s">
        <v>82</v>
      </c>
      <c r="T1323" s="2">
        <v>1</v>
      </c>
      <c r="U1323" s="2" t="s">
        <v>79</v>
      </c>
      <c r="V1323" s="2">
        <v>1</v>
      </c>
      <c r="W1323" s="2" t="s">
        <v>80</v>
      </c>
      <c r="X1323" s="2">
        <v>5</v>
      </c>
      <c r="Y1323" s="2" t="s">
        <v>82</v>
      </c>
      <c r="Z1323" s="2">
        <v>1</v>
      </c>
      <c r="AA1323" s="2" t="s">
        <v>82</v>
      </c>
      <c r="AB1323" s="2">
        <v>9</v>
      </c>
      <c r="AC1323" s="2" t="s">
        <v>124</v>
      </c>
      <c r="AD1323" s="3">
        <v>40269</v>
      </c>
      <c r="AE1323" s="4">
        <v>0.3125</v>
      </c>
      <c r="AF1323" s="2"/>
      <c r="AG1323" s="2"/>
      <c r="AH1323" s="2">
        <v>6</v>
      </c>
      <c r="AI1323" s="2" t="s">
        <v>197</v>
      </c>
      <c r="AJ1323" s="2">
        <v>51</v>
      </c>
      <c r="AK1323" s="2" t="s">
        <v>238</v>
      </c>
      <c r="AL1323" s="2">
        <v>18</v>
      </c>
      <c r="AM1323" s="2" t="s">
        <v>82</v>
      </c>
      <c r="AN1323" s="2" t="s">
        <v>4914</v>
      </c>
      <c r="AO1323" s="2" t="s">
        <v>1860</v>
      </c>
      <c r="AP1323" s="2">
        <v>11</v>
      </c>
      <c r="AQ1323" s="2" t="s">
        <v>82</v>
      </c>
      <c r="AR1323" s="2"/>
      <c r="AS1323" s="2"/>
      <c r="AT1323" s="2" t="s">
        <v>4915</v>
      </c>
      <c r="AU1323" s="2"/>
      <c r="AV1323" s="2"/>
      <c r="AW1323" s="2"/>
      <c r="AX1323" s="2"/>
      <c r="AY1323" s="2">
        <v>1</v>
      </c>
      <c r="AZ1323" s="2" t="s">
        <v>107</v>
      </c>
      <c r="BA1323" s="2">
        <v>1</v>
      </c>
      <c r="BB1323" s="2" t="s">
        <v>107</v>
      </c>
      <c r="BC1323" s="2">
        <v>1</v>
      </c>
      <c r="BD1323" s="2" t="s">
        <v>107</v>
      </c>
      <c r="BE1323" s="2">
        <v>1</v>
      </c>
      <c r="BF1323" s="2" t="s">
        <v>107</v>
      </c>
      <c r="BG1323" s="2"/>
      <c r="BH1323" s="2"/>
      <c r="BI1323" s="2"/>
      <c r="BJ1323" s="2">
        <v>242</v>
      </c>
      <c r="BK1323" s="2" t="s">
        <v>107</v>
      </c>
      <c r="BL1323" s="2"/>
      <c r="BM1323" s="2">
        <v>242</v>
      </c>
      <c r="BN1323" s="2" t="s">
        <v>107</v>
      </c>
      <c r="BO1323" s="2"/>
      <c r="BP1323" s="2">
        <v>241</v>
      </c>
      <c r="BQ1323" s="2" t="s">
        <v>82</v>
      </c>
      <c r="BR1323" s="2"/>
      <c r="BS1323" s="3">
        <v>40270</v>
      </c>
      <c r="BT1323" s="4">
        <v>0.49839120370370371</v>
      </c>
    </row>
    <row r="1324" spans="1:72" x14ac:dyDescent="0.25">
      <c r="A1324" s="2">
        <v>1990</v>
      </c>
      <c r="B1324" s="2">
        <v>2010</v>
      </c>
      <c r="C1324" s="2" t="s">
        <v>196</v>
      </c>
      <c r="D1324" s="2" t="s">
        <v>122</v>
      </c>
      <c r="E1324" s="2"/>
      <c r="F1324" s="2">
        <v>1</v>
      </c>
      <c r="G1324" s="2" t="s">
        <v>82</v>
      </c>
      <c r="H1324" s="2">
        <v>1</v>
      </c>
      <c r="I1324" s="2" t="s">
        <v>82</v>
      </c>
      <c r="J1324" s="2">
        <v>1</v>
      </c>
      <c r="K1324" s="2" t="s">
        <v>107</v>
      </c>
      <c r="L1324" s="2" t="s">
        <v>107</v>
      </c>
      <c r="M1324" s="3">
        <v>40270</v>
      </c>
      <c r="N1324" s="2"/>
      <c r="O1324" s="2"/>
      <c r="P1324" s="2"/>
      <c r="Q1324" s="2" t="str">
        <f>""</f>
        <v/>
      </c>
      <c r="R1324" s="2"/>
      <c r="S1324" s="2"/>
      <c r="T1324" s="2">
        <v>2</v>
      </c>
      <c r="U1324" s="2" t="s">
        <v>123</v>
      </c>
      <c r="V1324" s="2">
        <v>1</v>
      </c>
      <c r="W1324" s="2" t="s">
        <v>80</v>
      </c>
      <c r="X1324" s="2">
        <v>5</v>
      </c>
      <c r="Y1324" s="2" t="s">
        <v>82</v>
      </c>
      <c r="Z1324" s="2">
        <v>1</v>
      </c>
      <c r="AA1324" s="2" t="s">
        <v>82</v>
      </c>
      <c r="AB1324" s="2">
        <v>9</v>
      </c>
      <c r="AC1324" s="2" t="s">
        <v>124</v>
      </c>
      <c r="AD1324" s="2"/>
      <c r="AE1324" s="2"/>
      <c r="AF1324" s="2"/>
      <c r="AG1324" s="2"/>
      <c r="AH1324" s="2">
        <v>6</v>
      </c>
      <c r="AI1324" s="2" t="s">
        <v>197</v>
      </c>
      <c r="AJ1324" s="2">
        <v>60</v>
      </c>
      <c r="AK1324" s="2" t="s">
        <v>543</v>
      </c>
      <c r="AL1324" s="2">
        <v>18</v>
      </c>
      <c r="AM1324" s="2" t="s">
        <v>82</v>
      </c>
      <c r="AN1324" s="2"/>
      <c r="AO1324" s="2"/>
      <c r="AP1324" s="2">
        <v>11</v>
      </c>
      <c r="AQ1324" s="2" t="s">
        <v>82</v>
      </c>
      <c r="AR1324" s="2" t="s">
        <v>82</v>
      </c>
      <c r="AS1324" s="2" t="s">
        <v>82</v>
      </c>
      <c r="AT1324" s="2" t="s">
        <v>4916</v>
      </c>
      <c r="AU1324" s="2"/>
      <c r="AV1324" s="2"/>
      <c r="AW1324" s="2"/>
      <c r="AX1324" s="2"/>
      <c r="AY1324" s="2">
        <v>41</v>
      </c>
      <c r="AZ1324" s="2" t="s">
        <v>82</v>
      </c>
      <c r="BA1324" s="2">
        <v>41</v>
      </c>
      <c r="BB1324" s="2" t="s">
        <v>82</v>
      </c>
      <c r="BC1324" s="2">
        <v>41</v>
      </c>
      <c r="BD1324" s="2" t="s">
        <v>82</v>
      </c>
      <c r="BE1324" s="2">
        <v>41</v>
      </c>
      <c r="BF1324" s="2" t="s">
        <v>82</v>
      </c>
      <c r="BG1324" s="2" t="s">
        <v>265</v>
      </c>
      <c r="BH1324" s="4">
        <v>0.51180555555555551</v>
      </c>
      <c r="BI1324" s="2"/>
      <c r="BJ1324" s="2">
        <v>13</v>
      </c>
      <c r="BK1324" s="2" t="s">
        <v>91</v>
      </c>
      <c r="BL1324" s="2" t="s">
        <v>204</v>
      </c>
      <c r="BM1324" s="2">
        <v>13</v>
      </c>
      <c r="BN1324" s="2" t="s">
        <v>91</v>
      </c>
      <c r="BO1324" s="2" t="s">
        <v>895</v>
      </c>
      <c r="BP1324" s="2">
        <v>13</v>
      </c>
      <c r="BQ1324" s="2" t="s">
        <v>91</v>
      </c>
      <c r="BR1324" s="2" t="s">
        <v>204</v>
      </c>
      <c r="BS1324" s="3">
        <v>40270</v>
      </c>
      <c r="BT1324" s="4">
        <v>0.54013888888888884</v>
      </c>
    </row>
    <row r="1325" spans="1:72" x14ac:dyDescent="0.25">
      <c r="A1325" s="2">
        <v>1991</v>
      </c>
      <c r="B1325" s="2">
        <v>2010</v>
      </c>
      <c r="C1325" s="2" t="s">
        <v>93</v>
      </c>
      <c r="D1325" s="2" t="s">
        <v>73</v>
      </c>
      <c r="E1325" s="2"/>
      <c r="F1325" s="2">
        <v>578</v>
      </c>
      <c r="G1325" s="2" t="s">
        <v>4917</v>
      </c>
      <c r="H1325" s="2">
        <v>87</v>
      </c>
      <c r="I1325" s="2" t="s">
        <v>4918</v>
      </c>
      <c r="J1325" s="2">
        <v>511</v>
      </c>
      <c r="K1325" s="2" t="s">
        <v>4919</v>
      </c>
      <c r="L1325" s="2" t="s">
        <v>3541</v>
      </c>
      <c r="M1325" s="3">
        <v>40270</v>
      </c>
      <c r="N1325" s="2" t="s">
        <v>4920</v>
      </c>
      <c r="O1325" s="2" t="s">
        <v>4921</v>
      </c>
      <c r="P1325" s="2" t="s">
        <v>4922</v>
      </c>
      <c r="Q1325" s="2" t="str">
        <f>"N/C"</f>
        <v>N/C</v>
      </c>
      <c r="R1325" s="2" t="s">
        <v>82</v>
      </c>
      <c r="S1325" s="2" t="s">
        <v>82</v>
      </c>
      <c r="T1325" s="2">
        <v>1</v>
      </c>
      <c r="U1325" s="2" t="s">
        <v>79</v>
      </c>
      <c r="V1325" s="2">
        <v>1</v>
      </c>
      <c r="W1325" s="2" t="s">
        <v>80</v>
      </c>
      <c r="X1325" s="2">
        <v>1</v>
      </c>
      <c r="Y1325" s="2" t="s">
        <v>81</v>
      </c>
      <c r="Z1325" s="2">
        <v>1</v>
      </c>
      <c r="AA1325" s="2" t="s">
        <v>82</v>
      </c>
      <c r="AB1325" s="2">
        <v>2</v>
      </c>
      <c r="AC1325" s="2" t="s">
        <v>102</v>
      </c>
      <c r="AD1325" s="3">
        <v>40270</v>
      </c>
      <c r="AE1325" s="4">
        <v>0.35416666666666669</v>
      </c>
      <c r="AF1325" s="2"/>
      <c r="AG1325" s="2"/>
      <c r="AH1325" s="2">
        <v>2</v>
      </c>
      <c r="AI1325" s="2" t="s">
        <v>84</v>
      </c>
      <c r="AJ1325" s="2">
        <v>9</v>
      </c>
      <c r="AK1325" s="2" t="s">
        <v>103</v>
      </c>
      <c r="AL1325" s="2">
        <v>15</v>
      </c>
      <c r="AM1325" s="2" t="s">
        <v>104</v>
      </c>
      <c r="AN1325" s="2" t="s">
        <v>4923</v>
      </c>
      <c r="AO1325" s="2" t="s">
        <v>4924</v>
      </c>
      <c r="AP1325" s="2">
        <v>11</v>
      </c>
      <c r="AQ1325" s="2" t="s">
        <v>82</v>
      </c>
      <c r="AR1325" s="2"/>
      <c r="AS1325" s="2"/>
      <c r="AT1325" s="2" t="s">
        <v>4925</v>
      </c>
      <c r="AU1325" s="2"/>
      <c r="AV1325" s="2"/>
      <c r="AW1325" s="2"/>
      <c r="AX1325" s="2"/>
      <c r="AY1325" s="2">
        <v>41</v>
      </c>
      <c r="AZ1325" s="2" t="s">
        <v>82</v>
      </c>
      <c r="BA1325" s="2">
        <v>41</v>
      </c>
      <c r="BB1325" s="2" t="s">
        <v>82</v>
      </c>
      <c r="BC1325" s="2">
        <v>41</v>
      </c>
      <c r="BD1325" s="2" t="s">
        <v>82</v>
      </c>
      <c r="BE1325" s="2">
        <v>13</v>
      </c>
      <c r="BF1325" s="2" t="s">
        <v>108</v>
      </c>
      <c r="BG1325" s="2" t="s">
        <v>4926</v>
      </c>
      <c r="BH1325" s="4">
        <v>0.27083333333333331</v>
      </c>
      <c r="BI1325" s="2"/>
      <c r="BJ1325" s="2">
        <v>112</v>
      </c>
      <c r="BK1325" s="2" t="s">
        <v>110</v>
      </c>
      <c r="BL1325" s="2" t="s">
        <v>111</v>
      </c>
      <c r="BM1325" s="2">
        <v>242</v>
      </c>
      <c r="BN1325" s="2" t="s">
        <v>107</v>
      </c>
      <c r="BO1325" s="2" t="s">
        <v>107</v>
      </c>
      <c r="BP1325" s="2">
        <v>13</v>
      </c>
      <c r="BQ1325" s="2" t="s">
        <v>91</v>
      </c>
      <c r="BR1325" s="2" t="s">
        <v>1362</v>
      </c>
      <c r="BS1325" s="3">
        <v>40270</v>
      </c>
      <c r="BT1325" s="4">
        <v>0.56938657407407411</v>
      </c>
    </row>
    <row r="1326" spans="1:72" x14ac:dyDescent="0.25">
      <c r="A1326" s="2">
        <v>1992</v>
      </c>
      <c r="B1326" s="2">
        <v>2010</v>
      </c>
      <c r="C1326" s="2" t="s">
        <v>72</v>
      </c>
      <c r="D1326" s="2" t="s">
        <v>73</v>
      </c>
      <c r="E1326" s="2"/>
      <c r="F1326" s="2">
        <v>389</v>
      </c>
      <c r="G1326" s="2" t="s">
        <v>1819</v>
      </c>
      <c r="H1326" s="2">
        <v>3</v>
      </c>
      <c r="I1326" s="2" t="s">
        <v>315</v>
      </c>
      <c r="J1326" s="2">
        <v>399</v>
      </c>
      <c r="K1326" s="2" t="s">
        <v>1820</v>
      </c>
      <c r="L1326" s="2" t="s">
        <v>1821</v>
      </c>
      <c r="M1326" s="3">
        <v>40270</v>
      </c>
      <c r="N1326" s="2" t="s">
        <v>4927</v>
      </c>
      <c r="O1326" s="2" t="s">
        <v>107</v>
      </c>
      <c r="P1326" s="2" t="s">
        <v>107</v>
      </c>
      <c r="Q1326" s="2" t="str">
        <f>"179-E/10"</f>
        <v>179-E/10</v>
      </c>
      <c r="R1326" s="2" t="s">
        <v>107</v>
      </c>
      <c r="S1326" s="2" t="s">
        <v>116</v>
      </c>
      <c r="T1326" s="2">
        <v>1</v>
      </c>
      <c r="U1326" s="2" t="s">
        <v>79</v>
      </c>
      <c r="V1326" s="2">
        <v>1</v>
      </c>
      <c r="W1326" s="2" t="s">
        <v>80</v>
      </c>
      <c r="X1326" s="2">
        <v>1</v>
      </c>
      <c r="Y1326" s="2" t="s">
        <v>81</v>
      </c>
      <c r="Z1326" s="2">
        <v>1</v>
      </c>
      <c r="AA1326" s="2" t="s">
        <v>82</v>
      </c>
      <c r="AB1326" s="2">
        <v>6</v>
      </c>
      <c r="AC1326" s="2" t="s">
        <v>83</v>
      </c>
      <c r="AD1326" s="3">
        <v>40270</v>
      </c>
      <c r="AE1326" s="4">
        <v>0.5</v>
      </c>
      <c r="AF1326" s="3">
        <v>40270</v>
      </c>
      <c r="AG1326" s="4">
        <v>0.54166666666666663</v>
      </c>
      <c r="AH1326" s="2">
        <v>2</v>
      </c>
      <c r="AI1326" s="2" t="s">
        <v>84</v>
      </c>
      <c r="AJ1326" s="2">
        <v>9</v>
      </c>
      <c r="AK1326" s="2" t="s">
        <v>103</v>
      </c>
      <c r="AL1326" s="2">
        <v>10</v>
      </c>
      <c r="AM1326" s="2" t="s">
        <v>200</v>
      </c>
      <c r="AN1326" s="2"/>
      <c r="AO1326" s="2" t="s">
        <v>4928</v>
      </c>
      <c r="AP1326" s="2">
        <v>11</v>
      </c>
      <c r="AQ1326" s="2" t="s">
        <v>82</v>
      </c>
      <c r="AR1326" s="2"/>
      <c r="AS1326" s="2"/>
      <c r="AT1326" s="2" t="s">
        <v>4929</v>
      </c>
      <c r="AU1326" s="2"/>
      <c r="AV1326" s="2"/>
      <c r="AW1326" s="2"/>
      <c r="AX1326" s="2"/>
      <c r="AY1326" s="2">
        <v>41</v>
      </c>
      <c r="AZ1326" s="2" t="s">
        <v>82</v>
      </c>
      <c r="BA1326" s="2">
        <v>41</v>
      </c>
      <c r="BB1326" s="2" t="s">
        <v>82</v>
      </c>
      <c r="BC1326" s="2">
        <v>41</v>
      </c>
      <c r="BD1326" s="2" t="s">
        <v>82</v>
      </c>
      <c r="BE1326" s="2">
        <v>39</v>
      </c>
      <c r="BF1326" s="2" t="s">
        <v>440</v>
      </c>
      <c r="BG1326" s="2" t="s">
        <v>4250</v>
      </c>
      <c r="BH1326" s="4">
        <v>0.47916666666666669</v>
      </c>
      <c r="BI1326" s="2"/>
      <c r="BJ1326" s="2">
        <v>33</v>
      </c>
      <c r="BK1326" s="2" t="s">
        <v>361</v>
      </c>
      <c r="BL1326" s="2" t="s">
        <v>1739</v>
      </c>
      <c r="BM1326" s="2">
        <v>241</v>
      </c>
      <c r="BN1326" s="2" t="s">
        <v>82</v>
      </c>
      <c r="BO1326" s="2" t="s">
        <v>82</v>
      </c>
      <c r="BP1326" s="2">
        <v>13</v>
      </c>
      <c r="BQ1326" s="2" t="s">
        <v>91</v>
      </c>
      <c r="BR1326" s="2" t="s">
        <v>4251</v>
      </c>
      <c r="BS1326" s="3">
        <v>40270</v>
      </c>
      <c r="BT1326" s="4">
        <v>0.62231481481481488</v>
      </c>
    </row>
    <row r="1327" spans="1:72" x14ac:dyDescent="0.25">
      <c r="A1327" s="2">
        <v>1993</v>
      </c>
      <c r="B1327" s="2">
        <v>2010</v>
      </c>
      <c r="C1327" s="2" t="s">
        <v>72</v>
      </c>
      <c r="D1327" s="2" t="s">
        <v>73</v>
      </c>
      <c r="E1327" s="2"/>
      <c r="F1327" s="2">
        <v>214</v>
      </c>
      <c r="G1327" s="2" t="s">
        <v>4930</v>
      </c>
      <c r="H1327" s="2">
        <v>90</v>
      </c>
      <c r="I1327" s="2" t="s">
        <v>4931</v>
      </c>
      <c r="J1327" s="2">
        <v>227</v>
      </c>
      <c r="K1327" s="2" t="s">
        <v>864</v>
      </c>
      <c r="L1327" s="2" t="s">
        <v>4932</v>
      </c>
      <c r="M1327" s="3">
        <v>40270</v>
      </c>
      <c r="N1327" s="2" t="s">
        <v>4933</v>
      </c>
      <c r="O1327" s="2" t="s">
        <v>82</v>
      </c>
      <c r="P1327" s="2" t="s">
        <v>82</v>
      </c>
      <c r="Q1327" s="2" t="str">
        <f>"141-A/10"</f>
        <v>141-A/10</v>
      </c>
      <c r="R1327" s="2" t="s">
        <v>82</v>
      </c>
      <c r="S1327" s="2" t="s">
        <v>1547</v>
      </c>
      <c r="T1327" s="2">
        <v>1</v>
      </c>
      <c r="U1327" s="2" t="s">
        <v>79</v>
      </c>
      <c r="V1327" s="2">
        <v>1</v>
      </c>
      <c r="W1327" s="2" t="s">
        <v>80</v>
      </c>
      <c r="X1327" s="2">
        <v>1</v>
      </c>
      <c r="Y1327" s="2" t="s">
        <v>81</v>
      </c>
      <c r="Z1327" s="2">
        <v>1</v>
      </c>
      <c r="AA1327" s="2" t="s">
        <v>82</v>
      </c>
      <c r="AB1327" s="2">
        <v>6</v>
      </c>
      <c r="AC1327" s="2" t="s">
        <v>83</v>
      </c>
      <c r="AD1327" s="3">
        <v>40270</v>
      </c>
      <c r="AE1327" s="4">
        <v>0.53472222222222221</v>
      </c>
      <c r="AF1327" s="3">
        <v>40270</v>
      </c>
      <c r="AG1327" s="4">
        <v>0.53472222222222221</v>
      </c>
      <c r="AH1327" s="2">
        <v>2</v>
      </c>
      <c r="AI1327" s="2" t="s">
        <v>84</v>
      </c>
      <c r="AJ1327" s="2">
        <v>12</v>
      </c>
      <c r="AK1327" s="2" t="s">
        <v>85</v>
      </c>
      <c r="AL1327" s="2">
        <v>10</v>
      </c>
      <c r="AM1327" s="2" t="s">
        <v>200</v>
      </c>
      <c r="AN1327" s="2" t="s">
        <v>82</v>
      </c>
      <c r="AO1327" s="2" t="s">
        <v>82</v>
      </c>
      <c r="AP1327" s="2">
        <v>11</v>
      </c>
      <c r="AQ1327" s="2" t="s">
        <v>82</v>
      </c>
      <c r="AR1327" s="2"/>
      <c r="AS1327" s="2"/>
      <c r="AT1327" s="2" t="s">
        <v>4934</v>
      </c>
      <c r="AU1327" s="2"/>
      <c r="AV1327" s="2"/>
      <c r="AW1327" s="2"/>
      <c r="AX1327" s="2"/>
      <c r="AY1327" s="2">
        <v>41</v>
      </c>
      <c r="AZ1327" s="2" t="s">
        <v>82</v>
      </c>
      <c r="BA1327" s="2">
        <v>41</v>
      </c>
      <c r="BB1327" s="2" t="s">
        <v>82</v>
      </c>
      <c r="BC1327" s="2">
        <v>41</v>
      </c>
      <c r="BD1327" s="2" t="s">
        <v>82</v>
      </c>
      <c r="BE1327" s="2">
        <v>13</v>
      </c>
      <c r="BF1327" s="2" t="s">
        <v>108</v>
      </c>
      <c r="BG1327" s="2" t="s">
        <v>4935</v>
      </c>
      <c r="BH1327" s="4">
        <v>0.5</v>
      </c>
      <c r="BI1327" s="4">
        <v>0.4513888888888889</v>
      </c>
      <c r="BJ1327" s="2">
        <v>13</v>
      </c>
      <c r="BK1327" s="2" t="s">
        <v>91</v>
      </c>
      <c r="BL1327" s="2" t="s">
        <v>169</v>
      </c>
      <c r="BM1327" s="2">
        <v>241</v>
      </c>
      <c r="BN1327" s="2" t="s">
        <v>82</v>
      </c>
      <c r="BO1327" s="2"/>
      <c r="BP1327" s="2">
        <v>13</v>
      </c>
      <c r="BQ1327" s="2" t="s">
        <v>91</v>
      </c>
      <c r="BR1327" s="2" t="s">
        <v>3690</v>
      </c>
      <c r="BS1327" s="3">
        <v>40270</v>
      </c>
      <c r="BT1327" s="4">
        <v>0.64484953703703707</v>
      </c>
    </row>
    <row r="1328" spans="1:72" x14ac:dyDescent="0.25">
      <c r="A1328" s="2">
        <v>1994</v>
      </c>
      <c r="B1328" s="2">
        <v>2010</v>
      </c>
      <c r="C1328" s="2" t="s">
        <v>196</v>
      </c>
      <c r="D1328" s="2" t="s">
        <v>122</v>
      </c>
      <c r="E1328" s="2"/>
      <c r="F1328" s="2">
        <v>1</v>
      </c>
      <c r="G1328" s="2" t="s">
        <v>82</v>
      </c>
      <c r="H1328" s="2">
        <v>1</v>
      </c>
      <c r="I1328" s="2" t="s">
        <v>82</v>
      </c>
      <c r="J1328" s="2">
        <v>1</v>
      </c>
      <c r="K1328" s="2" t="s">
        <v>107</v>
      </c>
      <c r="L1328" s="2" t="s">
        <v>107</v>
      </c>
      <c r="M1328" s="3">
        <v>40270</v>
      </c>
      <c r="N1328" s="2"/>
      <c r="O1328" s="2"/>
      <c r="P1328" s="2"/>
      <c r="Q1328" s="2" t="str">
        <f>""</f>
        <v/>
      </c>
      <c r="R1328" s="2"/>
      <c r="S1328" s="2"/>
      <c r="T1328" s="2">
        <v>2</v>
      </c>
      <c r="U1328" s="2" t="s">
        <v>123</v>
      </c>
      <c r="V1328" s="2">
        <v>1</v>
      </c>
      <c r="W1328" s="2" t="s">
        <v>80</v>
      </c>
      <c r="X1328" s="2">
        <v>5</v>
      </c>
      <c r="Y1328" s="2" t="s">
        <v>82</v>
      </c>
      <c r="Z1328" s="2">
        <v>1</v>
      </c>
      <c r="AA1328" s="2" t="s">
        <v>82</v>
      </c>
      <c r="AB1328" s="2">
        <v>9</v>
      </c>
      <c r="AC1328" s="2" t="s">
        <v>124</v>
      </c>
      <c r="AD1328" s="2"/>
      <c r="AE1328" s="2"/>
      <c r="AF1328" s="2"/>
      <c r="AG1328" s="2"/>
      <c r="AH1328" s="2">
        <v>6</v>
      </c>
      <c r="AI1328" s="2" t="s">
        <v>197</v>
      </c>
      <c r="AJ1328" s="2">
        <v>60</v>
      </c>
      <c r="AK1328" s="2" t="s">
        <v>543</v>
      </c>
      <c r="AL1328" s="2">
        <v>18</v>
      </c>
      <c r="AM1328" s="2" t="s">
        <v>82</v>
      </c>
      <c r="AN1328" s="2"/>
      <c r="AO1328" s="2"/>
      <c r="AP1328" s="2">
        <v>11</v>
      </c>
      <c r="AQ1328" s="2" t="s">
        <v>82</v>
      </c>
      <c r="AR1328" s="2" t="s">
        <v>82</v>
      </c>
      <c r="AS1328" s="2" t="s">
        <v>82</v>
      </c>
      <c r="AT1328" s="2" t="s">
        <v>4936</v>
      </c>
      <c r="AU1328" s="2"/>
      <c r="AV1328" s="2"/>
      <c r="AW1328" s="2"/>
      <c r="AX1328" s="2"/>
      <c r="AY1328" s="2">
        <v>41</v>
      </c>
      <c r="AZ1328" s="2" t="s">
        <v>82</v>
      </c>
      <c r="BA1328" s="2">
        <v>41</v>
      </c>
      <c r="BB1328" s="2" t="s">
        <v>82</v>
      </c>
      <c r="BC1328" s="2">
        <v>41</v>
      </c>
      <c r="BD1328" s="2" t="s">
        <v>82</v>
      </c>
      <c r="BE1328" s="2">
        <v>1</v>
      </c>
      <c r="BF1328" s="2" t="s">
        <v>107</v>
      </c>
      <c r="BG1328" s="2" t="s">
        <v>265</v>
      </c>
      <c r="BH1328" s="4">
        <v>0.51180555555555551</v>
      </c>
      <c r="BI1328" s="4">
        <v>0.63888888888888895</v>
      </c>
      <c r="BJ1328" s="2">
        <v>13</v>
      </c>
      <c r="BK1328" s="2" t="s">
        <v>91</v>
      </c>
      <c r="BL1328" s="2" t="s">
        <v>895</v>
      </c>
      <c r="BM1328" s="2">
        <v>242</v>
      </c>
      <c r="BN1328" s="2" t="s">
        <v>107</v>
      </c>
      <c r="BO1328" s="2" t="s">
        <v>107</v>
      </c>
      <c r="BP1328" s="2">
        <v>13</v>
      </c>
      <c r="BQ1328" s="2" t="s">
        <v>91</v>
      </c>
      <c r="BR1328" s="2" t="s">
        <v>204</v>
      </c>
      <c r="BS1328" s="3">
        <v>40270</v>
      </c>
      <c r="BT1328" s="4">
        <v>0.66651620370370368</v>
      </c>
    </row>
    <row r="1329" spans="1:72" x14ac:dyDescent="0.25">
      <c r="A1329" s="2">
        <v>1995</v>
      </c>
      <c r="B1329" s="2">
        <v>2010</v>
      </c>
      <c r="C1329" s="2" t="s">
        <v>196</v>
      </c>
      <c r="D1329" s="2" t="s">
        <v>122</v>
      </c>
      <c r="E1329" s="2"/>
      <c r="F1329" s="2">
        <v>1</v>
      </c>
      <c r="G1329" s="2" t="s">
        <v>82</v>
      </c>
      <c r="H1329" s="2">
        <v>1</v>
      </c>
      <c r="I1329" s="2" t="s">
        <v>82</v>
      </c>
      <c r="J1329" s="2">
        <v>1</v>
      </c>
      <c r="K1329" s="2" t="s">
        <v>107</v>
      </c>
      <c r="L1329" s="2" t="s">
        <v>107</v>
      </c>
      <c r="M1329" s="3">
        <v>40270</v>
      </c>
      <c r="N1329" s="2"/>
      <c r="O1329" s="2"/>
      <c r="P1329" s="2"/>
      <c r="Q1329" s="2" t="str">
        <f>""</f>
        <v/>
      </c>
      <c r="R1329" s="2"/>
      <c r="S1329" s="2"/>
      <c r="T1329" s="2">
        <v>2</v>
      </c>
      <c r="U1329" s="2" t="s">
        <v>123</v>
      </c>
      <c r="V1329" s="2">
        <v>1</v>
      </c>
      <c r="W1329" s="2" t="s">
        <v>80</v>
      </c>
      <c r="X1329" s="2">
        <v>5</v>
      </c>
      <c r="Y1329" s="2" t="s">
        <v>82</v>
      </c>
      <c r="Z1329" s="2">
        <v>1</v>
      </c>
      <c r="AA1329" s="2" t="s">
        <v>82</v>
      </c>
      <c r="AB1329" s="2">
        <v>9</v>
      </c>
      <c r="AC1329" s="2" t="s">
        <v>124</v>
      </c>
      <c r="AD1329" s="3">
        <v>40270</v>
      </c>
      <c r="AE1329" s="4">
        <v>0.67499999999999993</v>
      </c>
      <c r="AF1329" s="2"/>
      <c r="AG1329" s="2"/>
      <c r="AH1329" s="2">
        <v>6</v>
      </c>
      <c r="AI1329" s="2" t="s">
        <v>197</v>
      </c>
      <c r="AJ1329" s="2">
        <v>59</v>
      </c>
      <c r="AK1329" s="2" t="s">
        <v>198</v>
      </c>
      <c r="AL1329" s="2">
        <v>18</v>
      </c>
      <c r="AM1329" s="2" t="s">
        <v>82</v>
      </c>
      <c r="AN1329" s="2" t="s">
        <v>199</v>
      </c>
      <c r="AO1329" s="2" t="s">
        <v>230</v>
      </c>
      <c r="AP1329" s="2">
        <v>11</v>
      </c>
      <c r="AQ1329" s="2" t="s">
        <v>82</v>
      </c>
      <c r="AR1329" s="2"/>
      <c r="AS1329" s="2"/>
      <c r="AT1329" s="2" t="s">
        <v>4937</v>
      </c>
      <c r="AU1329" s="2"/>
      <c r="AV1329" s="2"/>
      <c r="AW1329" s="2"/>
      <c r="AX1329" s="2"/>
      <c r="AY1329" s="2">
        <v>1</v>
      </c>
      <c r="AZ1329" s="2" t="s">
        <v>107</v>
      </c>
      <c r="BA1329" s="2">
        <v>1</v>
      </c>
      <c r="BB1329" s="2" t="s">
        <v>107</v>
      </c>
      <c r="BC1329" s="2">
        <v>1</v>
      </c>
      <c r="BD1329" s="2" t="s">
        <v>107</v>
      </c>
      <c r="BE1329" s="2">
        <v>1</v>
      </c>
      <c r="BF1329" s="2" t="s">
        <v>107</v>
      </c>
      <c r="BG1329" s="2"/>
      <c r="BH1329" s="4">
        <v>0.67499999999999993</v>
      </c>
      <c r="BI1329" s="2"/>
      <c r="BJ1329" s="2">
        <v>242</v>
      </c>
      <c r="BK1329" s="2" t="s">
        <v>107</v>
      </c>
      <c r="BL1329" s="2" t="s">
        <v>4913</v>
      </c>
      <c r="BM1329" s="2">
        <v>242</v>
      </c>
      <c r="BN1329" s="2" t="s">
        <v>107</v>
      </c>
      <c r="BO1329" s="2"/>
      <c r="BP1329" s="2">
        <v>242</v>
      </c>
      <c r="BQ1329" s="2" t="s">
        <v>107</v>
      </c>
      <c r="BR1329" s="2" t="s">
        <v>3339</v>
      </c>
      <c r="BS1329" s="3">
        <v>40270</v>
      </c>
      <c r="BT1329" s="4">
        <v>0.67210648148148155</v>
      </c>
    </row>
    <row r="1330" spans="1:72" x14ac:dyDescent="0.25">
      <c r="A1330" s="2">
        <v>1997</v>
      </c>
      <c r="B1330" s="2">
        <v>2010</v>
      </c>
      <c r="C1330" s="2" t="s">
        <v>1568</v>
      </c>
      <c r="D1330" s="2" t="s">
        <v>122</v>
      </c>
      <c r="E1330" s="2"/>
      <c r="F1330" s="2">
        <v>18</v>
      </c>
      <c r="G1330" s="2" t="s">
        <v>1974</v>
      </c>
      <c r="H1330" s="2">
        <v>42</v>
      </c>
      <c r="I1330" s="2" t="s">
        <v>1096</v>
      </c>
      <c r="J1330" s="2">
        <v>24</v>
      </c>
      <c r="K1330" s="2" t="s">
        <v>1975</v>
      </c>
      <c r="L1330" s="2" t="s">
        <v>1976</v>
      </c>
      <c r="M1330" s="3">
        <v>40270</v>
      </c>
      <c r="N1330" s="2" t="s">
        <v>4938</v>
      </c>
      <c r="O1330" s="2"/>
      <c r="P1330" s="2"/>
      <c r="Q1330" s="2" t="str">
        <f>""</f>
        <v/>
      </c>
      <c r="R1330" s="2"/>
      <c r="S1330" s="2"/>
      <c r="T1330" s="2">
        <v>1</v>
      </c>
      <c r="U1330" s="2" t="s">
        <v>79</v>
      </c>
      <c r="V1330" s="2">
        <v>1</v>
      </c>
      <c r="W1330" s="2" t="s">
        <v>80</v>
      </c>
      <c r="X1330" s="2">
        <v>1</v>
      </c>
      <c r="Y1330" s="2" t="s">
        <v>81</v>
      </c>
      <c r="Z1330" s="2">
        <v>1</v>
      </c>
      <c r="AA1330" s="2" t="s">
        <v>82</v>
      </c>
      <c r="AB1330" s="2">
        <v>4</v>
      </c>
      <c r="AC1330" s="2" t="s">
        <v>1569</v>
      </c>
      <c r="AD1330" s="3">
        <v>40270</v>
      </c>
      <c r="AE1330" s="4">
        <v>0.72916666666666663</v>
      </c>
      <c r="AF1330" s="2"/>
      <c r="AG1330" s="2"/>
      <c r="AH1330" s="2">
        <v>3</v>
      </c>
      <c r="AI1330" s="2" t="s">
        <v>214</v>
      </c>
      <c r="AJ1330" s="2">
        <v>20</v>
      </c>
      <c r="AK1330" s="2" t="s">
        <v>1897</v>
      </c>
      <c r="AL1330" s="2">
        <v>18</v>
      </c>
      <c r="AM1330" s="2" t="s">
        <v>82</v>
      </c>
      <c r="AN1330" s="2" t="s">
        <v>4939</v>
      </c>
      <c r="AO1330" s="2" t="s">
        <v>2047</v>
      </c>
      <c r="AP1330" s="2">
        <v>11</v>
      </c>
      <c r="AQ1330" s="2" t="s">
        <v>82</v>
      </c>
      <c r="AR1330" s="2" t="s">
        <v>82</v>
      </c>
      <c r="AS1330" s="2" t="s">
        <v>82</v>
      </c>
      <c r="AT1330" s="2" t="s">
        <v>4940</v>
      </c>
      <c r="AU1330" s="2"/>
      <c r="AV1330" s="2"/>
      <c r="AW1330" s="2"/>
      <c r="AX1330" s="2"/>
      <c r="AY1330" s="2">
        <v>41</v>
      </c>
      <c r="AZ1330" s="2" t="s">
        <v>82</v>
      </c>
      <c r="BA1330" s="2">
        <v>41</v>
      </c>
      <c r="BB1330" s="2" t="s">
        <v>82</v>
      </c>
      <c r="BC1330" s="2">
        <v>41</v>
      </c>
      <c r="BD1330" s="2" t="s">
        <v>82</v>
      </c>
      <c r="BE1330" s="2">
        <v>13</v>
      </c>
      <c r="BF1330" s="2" t="s">
        <v>108</v>
      </c>
      <c r="BG1330" s="2">
        <v>1640</v>
      </c>
      <c r="BH1330" s="4">
        <v>0.65277777777777779</v>
      </c>
      <c r="BI1330" s="4">
        <v>0.67708333333333337</v>
      </c>
      <c r="BJ1330" s="2">
        <v>13</v>
      </c>
      <c r="BK1330" s="2" t="s">
        <v>91</v>
      </c>
      <c r="BL1330" s="2" t="s">
        <v>4941</v>
      </c>
      <c r="BM1330" s="2">
        <v>13</v>
      </c>
      <c r="BN1330" s="2" t="s">
        <v>91</v>
      </c>
      <c r="BO1330" s="2" t="s">
        <v>2844</v>
      </c>
      <c r="BP1330" s="2">
        <v>13</v>
      </c>
      <c r="BQ1330" s="2" t="s">
        <v>91</v>
      </c>
      <c r="BR1330" s="2" t="s">
        <v>185</v>
      </c>
      <c r="BS1330" s="3">
        <v>40270</v>
      </c>
      <c r="BT1330" s="4">
        <v>0.81276620370370367</v>
      </c>
    </row>
    <row r="1331" spans="1:72" x14ac:dyDescent="0.25">
      <c r="A1331" s="2">
        <v>1998</v>
      </c>
      <c r="B1331" s="2">
        <v>2010</v>
      </c>
      <c r="C1331" s="2" t="s">
        <v>1559</v>
      </c>
      <c r="D1331" s="2" t="s">
        <v>73</v>
      </c>
      <c r="E1331" s="2"/>
      <c r="F1331" s="2">
        <v>499</v>
      </c>
      <c r="G1331" s="2" t="s">
        <v>2177</v>
      </c>
      <c r="H1331" s="2">
        <v>9</v>
      </c>
      <c r="I1331" s="2" t="s">
        <v>794</v>
      </c>
      <c r="J1331" s="2">
        <v>33</v>
      </c>
      <c r="K1331" s="2" t="s">
        <v>2178</v>
      </c>
      <c r="L1331" s="2" t="s">
        <v>1877</v>
      </c>
      <c r="M1331" s="3">
        <v>40270</v>
      </c>
      <c r="N1331" s="2" t="s">
        <v>4942</v>
      </c>
      <c r="O1331" s="2" t="s">
        <v>4943</v>
      </c>
      <c r="P1331" s="2" t="s">
        <v>4944</v>
      </c>
      <c r="Q1331" s="2" t="str">
        <f>""</f>
        <v/>
      </c>
      <c r="R1331" s="2"/>
      <c r="S1331" s="2"/>
      <c r="T1331" s="2">
        <v>1</v>
      </c>
      <c r="U1331" s="2" t="s">
        <v>79</v>
      </c>
      <c r="V1331" s="2">
        <v>1</v>
      </c>
      <c r="W1331" s="2" t="s">
        <v>80</v>
      </c>
      <c r="X1331" s="2">
        <v>7</v>
      </c>
      <c r="Y1331" s="2" t="s">
        <v>1964</v>
      </c>
      <c r="Z1331" s="2">
        <v>1</v>
      </c>
      <c r="AA1331" s="2" t="s">
        <v>82</v>
      </c>
      <c r="AB1331" s="2">
        <v>9</v>
      </c>
      <c r="AC1331" s="2" t="s">
        <v>124</v>
      </c>
      <c r="AD1331" s="3">
        <v>40270</v>
      </c>
      <c r="AE1331" s="4">
        <v>0.81944444444444453</v>
      </c>
      <c r="AF1331" s="2"/>
      <c r="AG1331" s="2"/>
      <c r="AH1331" s="2">
        <v>2</v>
      </c>
      <c r="AI1331" s="2" t="s">
        <v>84</v>
      </c>
      <c r="AJ1331" s="2">
        <v>6</v>
      </c>
      <c r="AK1331" s="2" t="s">
        <v>453</v>
      </c>
      <c r="AL1331" s="2">
        <v>23</v>
      </c>
      <c r="AM1331" s="2" t="s">
        <v>251</v>
      </c>
      <c r="AN1331" s="2" t="s">
        <v>4945</v>
      </c>
      <c r="AO1331" s="2" t="s">
        <v>647</v>
      </c>
      <c r="AP1331" s="2">
        <v>11</v>
      </c>
      <c r="AQ1331" s="2" t="s">
        <v>82</v>
      </c>
      <c r="AR1331" s="2"/>
      <c r="AS1331" s="2"/>
      <c r="AT1331" s="2" t="s">
        <v>4946</v>
      </c>
      <c r="AU1331" s="2">
        <v>1</v>
      </c>
      <c r="AV1331" s="2"/>
      <c r="AW1331" s="2"/>
      <c r="AX1331" s="2"/>
      <c r="AY1331" s="2">
        <v>42</v>
      </c>
      <c r="AZ1331" s="2" t="s">
        <v>182</v>
      </c>
      <c r="BA1331" s="2">
        <v>1</v>
      </c>
      <c r="BB1331" s="2" t="s">
        <v>107</v>
      </c>
      <c r="BC1331" s="2">
        <v>70</v>
      </c>
      <c r="BD1331" s="2" t="s">
        <v>236</v>
      </c>
      <c r="BE1331" s="2">
        <v>41</v>
      </c>
      <c r="BF1331" s="2" t="s">
        <v>82</v>
      </c>
      <c r="BG1331" s="2"/>
      <c r="BH1331" s="2"/>
      <c r="BI1331" s="2"/>
      <c r="BJ1331" s="2">
        <v>241</v>
      </c>
      <c r="BK1331" s="2" t="s">
        <v>82</v>
      </c>
      <c r="BL1331" s="2"/>
      <c r="BM1331" s="2">
        <v>241</v>
      </c>
      <c r="BN1331" s="2" t="s">
        <v>82</v>
      </c>
      <c r="BO1331" s="2"/>
      <c r="BP1331" s="2">
        <v>241</v>
      </c>
      <c r="BQ1331" s="2" t="s">
        <v>82</v>
      </c>
      <c r="BR1331" s="2"/>
      <c r="BS1331" s="3">
        <v>40270</v>
      </c>
      <c r="BT1331" s="4">
        <v>0.9523611111111111</v>
      </c>
    </row>
    <row r="1332" spans="1:72" x14ac:dyDescent="0.25">
      <c r="A1332" s="2">
        <v>1999</v>
      </c>
      <c r="B1332" s="2">
        <v>2010</v>
      </c>
      <c r="C1332" s="2" t="s">
        <v>72</v>
      </c>
      <c r="D1332" s="2" t="s">
        <v>73</v>
      </c>
      <c r="E1332" s="2"/>
      <c r="F1332" s="2">
        <v>214</v>
      </c>
      <c r="G1332" s="2" t="s">
        <v>4930</v>
      </c>
      <c r="H1332" s="2">
        <v>90</v>
      </c>
      <c r="I1332" s="2" t="s">
        <v>4931</v>
      </c>
      <c r="J1332" s="2">
        <v>227</v>
      </c>
      <c r="K1332" s="2" t="s">
        <v>864</v>
      </c>
      <c r="L1332" s="2" t="s">
        <v>4932</v>
      </c>
      <c r="M1332" s="3">
        <v>40270</v>
      </c>
      <c r="N1332" s="2" t="s">
        <v>4947</v>
      </c>
      <c r="O1332" s="2" t="s">
        <v>107</v>
      </c>
      <c r="P1332" s="2" t="s">
        <v>107</v>
      </c>
      <c r="Q1332" s="2" t="str">
        <f>"142-A/10"</f>
        <v>142-A/10</v>
      </c>
      <c r="R1332" s="2" t="s">
        <v>107</v>
      </c>
      <c r="S1332" s="2" t="s">
        <v>206</v>
      </c>
      <c r="T1332" s="2">
        <v>1</v>
      </c>
      <c r="U1332" s="2" t="s">
        <v>79</v>
      </c>
      <c r="V1332" s="2">
        <v>1</v>
      </c>
      <c r="W1332" s="2" t="s">
        <v>80</v>
      </c>
      <c r="X1332" s="2">
        <v>5</v>
      </c>
      <c r="Y1332" s="2" t="s">
        <v>82</v>
      </c>
      <c r="Z1332" s="2">
        <v>1</v>
      </c>
      <c r="AA1332" s="2" t="s">
        <v>82</v>
      </c>
      <c r="AB1332" s="2">
        <v>6</v>
      </c>
      <c r="AC1332" s="2" t="s">
        <v>83</v>
      </c>
      <c r="AD1332" s="3">
        <v>40270</v>
      </c>
      <c r="AE1332" s="4">
        <v>0.8125</v>
      </c>
      <c r="AF1332" s="3">
        <v>40270</v>
      </c>
      <c r="AG1332" s="4">
        <v>0.85069444444444453</v>
      </c>
      <c r="AH1332" s="2">
        <v>2</v>
      </c>
      <c r="AI1332" s="2" t="s">
        <v>84</v>
      </c>
      <c r="AJ1332" s="2">
        <v>12</v>
      </c>
      <c r="AK1332" s="2" t="s">
        <v>85</v>
      </c>
      <c r="AL1332" s="2">
        <v>10</v>
      </c>
      <c r="AM1332" s="2" t="s">
        <v>200</v>
      </c>
      <c r="AN1332" s="2" t="s">
        <v>82</v>
      </c>
      <c r="AO1332" s="2" t="s">
        <v>82</v>
      </c>
      <c r="AP1332" s="2">
        <v>11</v>
      </c>
      <c r="AQ1332" s="2" t="s">
        <v>82</v>
      </c>
      <c r="AR1332" s="2"/>
      <c r="AS1332" s="2"/>
      <c r="AT1332" s="2" t="s">
        <v>4948</v>
      </c>
      <c r="AU1332" s="2"/>
      <c r="AV1332" s="2"/>
      <c r="AW1332" s="2"/>
      <c r="AX1332" s="2"/>
      <c r="AY1332" s="2">
        <v>41</v>
      </c>
      <c r="AZ1332" s="2" t="s">
        <v>82</v>
      </c>
      <c r="BA1332" s="2">
        <v>41</v>
      </c>
      <c r="BB1332" s="2" t="s">
        <v>82</v>
      </c>
      <c r="BC1332" s="2">
        <v>41</v>
      </c>
      <c r="BD1332" s="2" t="s">
        <v>82</v>
      </c>
      <c r="BE1332" s="2">
        <v>13</v>
      </c>
      <c r="BF1332" s="2" t="s">
        <v>108</v>
      </c>
      <c r="BG1332" s="2" t="s">
        <v>4949</v>
      </c>
      <c r="BH1332" s="4">
        <v>0.80555555555555547</v>
      </c>
      <c r="BI1332" s="4">
        <v>0.76388888888888884</v>
      </c>
      <c r="BJ1332" s="2">
        <v>229</v>
      </c>
      <c r="BK1332" s="2" t="s">
        <v>300</v>
      </c>
      <c r="BL1332" s="2" t="s">
        <v>573</v>
      </c>
      <c r="BM1332" s="2">
        <v>241</v>
      </c>
      <c r="BN1332" s="2" t="s">
        <v>82</v>
      </c>
      <c r="BO1332" s="2" t="s">
        <v>82</v>
      </c>
      <c r="BP1332" s="2">
        <v>13</v>
      </c>
      <c r="BQ1332" s="2" t="s">
        <v>91</v>
      </c>
      <c r="BR1332" s="2" t="s">
        <v>3690</v>
      </c>
      <c r="BS1332" s="3">
        <v>40270</v>
      </c>
      <c r="BT1332" s="4">
        <v>0.96902777777777782</v>
      </c>
    </row>
    <row r="1333" spans="1:72" x14ac:dyDescent="0.25">
      <c r="A1333" s="2">
        <v>2000</v>
      </c>
      <c r="B1333" s="2">
        <v>2010</v>
      </c>
      <c r="C1333" s="2" t="s">
        <v>625</v>
      </c>
      <c r="D1333" s="2" t="s">
        <v>73</v>
      </c>
      <c r="E1333" s="2"/>
      <c r="F1333" s="2">
        <v>399</v>
      </c>
      <c r="G1333" s="2" t="s">
        <v>587</v>
      </c>
      <c r="H1333" s="2">
        <v>14</v>
      </c>
      <c r="I1333" s="2" t="s">
        <v>1458</v>
      </c>
      <c r="J1333" s="2">
        <v>242</v>
      </c>
      <c r="K1333" s="2" t="s">
        <v>1077</v>
      </c>
      <c r="L1333" s="2" t="s">
        <v>1078</v>
      </c>
      <c r="M1333" s="3">
        <v>40271</v>
      </c>
      <c r="N1333" s="2" t="s">
        <v>4950</v>
      </c>
      <c r="O1333" s="2" t="s">
        <v>4951</v>
      </c>
      <c r="P1333" s="2">
        <v>6814</v>
      </c>
      <c r="Q1333" s="2" t="str">
        <f>""</f>
        <v/>
      </c>
      <c r="R1333" s="2"/>
      <c r="S1333" s="2"/>
      <c r="T1333" s="2">
        <v>1</v>
      </c>
      <c r="U1333" s="2" t="s">
        <v>79</v>
      </c>
      <c r="V1333" s="2">
        <v>1</v>
      </c>
      <c r="W1333" s="2" t="s">
        <v>80</v>
      </c>
      <c r="X1333" s="2">
        <v>5</v>
      </c>
      <c r="Y1333" s="2" t="s">
        <v>82</v>
      </c>
      <c r="Z1333" s="2">
        <v>1</v>
      </c>
      <c r="AA1333" s="2" t="s">
        <v>82</v>
      </c>
      <c r="AB1333" s="2">
        <v>9</v>
      </c>
      <c r="AC1333" s="2" t="s">
        <v>124</v>
      </c>
      <c r="AD1333" s="3">
        <v>40270</v>
      </c>
      <c r="AE1333" s="4">
        <v>0.72916666666666663</v>
      </c>
      <c r="AF1333" s="2"/>
      <c r="AG1333" s="2"/>
      <c r="AH1333" s="2">
        <v>2</v>
      </c>
      <c r="AI1333" s="2" t="s">
        <v>84</v>
      </c>
      <c r="AJ1333" s="2">
        <v>6</v>
      </c>
      <c r="AK1333" s="2" t="s">
        <v>453</v>
      </c>
      <c r="AL1333" s="2">
        <v>18</v>
      </c>
      <c r="AM1333" s="2" t="s">
        <v>82</v>
      </c>
      <c r="AN1333" s="2" t="s">
        <v>4952</v>
      </c>
      <c r="AO1333" s="2" t="s">
        <v>1226</v>
      </c>
      <c r="AP1333" s="2">
        <v>11</v>
      </c>
      <c r="AQ1333" s="2" t="s">
        <v>82</v>
      </c>
      <c r="AR1333" s="2"/>
      <c r="AS1333" s="2"/>
      <c r="AT1333" s="2" t="s">
        <v>4953</v>
      </c>
      <c r="AU1333" s="2"/>
      <c r="AV1333" s="2"/>
      <c r="AW1333" s="2"/>
      <c r="AX1333" s="2"/>
      <c r="AY1333" s="2">
        <v>42</v>
      </c>
      <c r="AZ1333" s="2" t="s">
        <v>182</v>
      </c>
      <c r="BA1333" s="2">
        <v>70</v>
      </c>
      <c r="BB1333" s="2" t="s">
        <v>236</v>
      </c>
      <c r="BC1333" s="2">
        <v>70</v>
      </c>
      <c r="BD1333" s="2" t="s">
        <v>236</v>
      </c>
      <c r="BE1333" s="2">
        <v>41</v>
      </c>
      <c r="BF1333" s="2" t="s">
        <v>82</v>
      </c>
      <c r="BG1333" s="2"/>
      <c r="BH1333" s="2"/>
      <c r="BI1333" s="2"/>
      <c r="BJ1333" s="2">
        <v>241</v>
      </c>
      <c r="BK1333" s="2" t="s">
        <v>82</v>
      </c>
      <c r="BL1333" s="2"/>
      <c r="BM1333" s="2">
        <v>241</v>
      </c>
      <c r="BN1333" s="2" t="s">
        <v>82</v>
      </c>
      <c r="BO1333" s="2"/>
      <c r="BP1333" s="2">
        <v>241</v>
      </c>
      <c r="BQ1333" s="2" t="s">
        <v>82</v>
      </c>
      <c r="BR1333" s="2"/>
      <c r="BS1333" s="3">
        <v>40271</v>
      </c>
      <c r="BT1333" s="4">
        <v>3.7511574074074072E-2</v>
      </c>
    </row>
    <row r="1334" spans="1:72" x14ac:dyDescent="0.25">
      <c r="A1334" s="2">
        <v>2000</v>
      </c>
      <c r="B1334" s="2">
        <v>2010</v>
      </c>
      <c r="C1334" s="2" t="s">
        <v>171</v>
      </c>
      <c r="D1334" s="2" t="s">
        <v>73</v>
      </c>
      <c r="E1334" s="2"/>
      <c r="F1334" s="2">
        <v>399</v>
      </c>
      <c r="G1334" s="2" t="s">
        <v>587</v>
      </c>
      <c r="H1334" s="2">
        <v>14</v>
      </c>
      <c r="I1334" s="2" t="s">
        <v>1458</v>
      </c>
      <c r="J1334" s="2">
        <v>242</v>
      </c>
      <c r="K1334" s="2" t="s">
        <v>1077</v>
      </c>
      <c r="L1334" s="2" t="s">
        <v>1078</v>
      </c>
      <c r="M1334" s="3">
        <v>40271</v>
      </c>
      <c r="N1334" s="2" t="s">
        <v>4950</v>
      </c>
      <c r="O1334" s="2" t="s">
        <v>4951</v>
      </c>
      <c r="P1334" s="2">
        <v>6814</v>
      </c>
      <c r="Q1334" s="2" t="str">
        <f>""</f>
        <v/>
      </c>
      <c r="R1334" s="2"/>
      <c r="S1334" s="2"/>
      <c r="T1334" s="2">
        <v>1</v>
      </c>
      <c r="U1334" s="2" t="s">
        <v>79</v>
      </c>
      <c r="V1334" s="2">
        <v>1</v>
      </c>
      <c r="W1334" s="2" t="s">
        <v>80</v>
      </c>
      <c r="X1334" s="2">
        <v>5</v>
      </c>
      <c r="Y1334" s="2" t="s">
        <v>82</v>
      </c>
      <c r="Z1334" s="2">
        <v>1</v>
      </c>
      <c r="AA1334" s="2" t="s">
        <v>82</v>
      </c>
      <c r="AB1334" s="2">
        <v>1</v>
      </c>
      <c r="AC1334" s="2" t="s">
        <v>178</v>
      </c>
      <c r="AD1334" s="3">
        <v>40270</v>
      </c>
      <c r="AE1334" s="4">
        <v>0.72916666666666663</v>
      </c>
      <c r="AF1334" s="2"/>
      <c r="AG1334" s="2"/>
      <c r="AH1334" s="2">
        <v>2</v>
      </c>
      <c r="AI1334" s="2" t="s">
        <v>84</v>
      </c>
      <c r="AJ1334" s="2">
        <v>6</v>
      </c>
      <c r="AK1334" s="2" t="s">
        <v>453</v>
      </c>
      <c r="AL1334" s="2">
        <v>18</v>
      </c>
      <c r="AM1334" s="2" t="s">
        <v>82</v>
      </c>
      <c r="AN1334" s="2" t="s">
        <v>4952</v>
      </c>
      <c r="AO1334" s="2" t="s">
        <v>1226</v>
      </c>
      <c r="AP1334" s="2">
        <v>11</v>
      </c>
      <c r="AQ1334" s="2" t="s">
        <v>82</v>
      </c>
      <c r="AR1334" s="2"/>
      <c r="AS1334" s="2"/>
      <c r="AT1334" s="2" t="s">
        <v>4953</v>
      </c>
      <c r="AU1334" s="2"/>
      <c r="AV1334" s="2"/>
      <c r="AW1334" s="2"/>
      <c r="AX1334" s="2"/>
      <c r="AY1334" s="2">
        <v>42</v>
      </c>
      <c r="AZ1334" s="2" t="s">
        <v>182</v>
      </c>
      <c r="BA1334" s="2">
        <v>70</v>
      </c>
      <c r="BB1334" s="2" t="s">
        <v>236</v>
      </c>
      <c r="BC1334" s="2">
        <v>70</v>
      </c>
      <c r="BD1334" s="2" t="s">
        <v>236</v>
      </c>
      <c r="BE1334" s="2">
        <v>41</v>
      </c>
      <c r="BF1334" s="2" t="s">
        <v>82</v>
      </c>
      <c r="BG1334" s="2"/>
      <c r="BH1334" s="2"/>
      <c r="BI1334" s="2"/>
      <c r="BJ1334" s="2">
        <v>241</v>
      </c>
      <c r="BK1334" s="2" t="s">
        <v>82</v>
      </c>
      <c r="BL1334" s="2"/>
      <c r="BM1334" s="2">
        <v>241</v>
      </c>
      <c r="BN1334" s="2" t="s">
        <v>82</v>
      </c>
      <c r="BO1334" s="2"/>
      <c r="BP1334" s="2">
        <v>241</v>
      </c>
      <c r="BQ1334" s="2" t="s">
        <v>82</v>
      </c>
      <c r="BR1334" s="2"/>
      <c r="BS1334" s="3">
        <v>40271</v>
      </c>
      <c r="BT1334" s="4">
        <v>3.7511574074074072E-2</v>
      </c>
    </row>
    <row r="1335" spans="1:72" x14ac:dyDescent="0.25">
      <c r="A1335" s="2">
        <v>2001</v>
      </c>
      <c r="B1335" s="2">
        <v>2010</v>
      </c>
      <c r="C1335" s="2" t="s">
        <v>171</v>
      </c>
      <c r="D1335" s="2" t="s">
        <v>122</v>
      </c>
      <c r="E1335" s="2" t="s">
        <v>4954</v>
      </c>
      <c r="F1335" s="2">
        <v>399</v>
      </c>
      <c r="G1335" s="2" t="s">
        <v>587</v>
      </c>
      <c r="H1335" s="2">
        <v>14</v>
      </c>
      <c r="I1335" s="2" t="s">
        <v>1458</v>
      </c>
      <c r="J1335" s="2">
        <v>242</v>
      </c>
      <c r="K1335" s="2" t="s">
        <v>1077</v>
      </c>
      <c r="L1335" s="2" t="s">
        <v>1078</v>
      </c>
      <c r="M1335" s="3">
        <v>40271</v>
      </c>
      <c r="N1335" s="2" t="s">
        <v>4590</v>
      </c>
      <c r="O1335" s="2" t="s">
        <v>4845</v>
      </c>
      <c r="P1335" s="2"/>
      <c r="Q1335" s="2" t="str">
        <f>"176-E/10"</f>
        <v>176-E/10</v>
      </c>
      <c r="R1335" s="2" t="s">
        <v>4846</v>
      </c>
      <c r="S1335" s="2" t="s">
        <v>4905</v>
      </c>
      <c r="T1335" s="2">
        <v>1</v>
      </c>
      <c r="U1335" s="2" t="s">
        <v>79</v>
      </c>
      <c r="V1335" s="2">
        <v>1</v>
      </c>
      <c r="W1335" s="2" t="s">
        <v>80</v>
      </c>
      <c r="X1335" s="2">
        <v>1</v>
      </c>
      <c r="Y1335" s="2" t="s">
        <v>81</v>
      </c>
      <c r="Z1335" s="2">
        <v>1</v>
      </c>
      <c r="AA1335" s="2" t="s">
        <v>82</v>
      </c>
      <c r="AB1335" s="2">
        <v>1</v>
      </c>
      <c r="AC1335" s="2" t="s">
        <v>178</v>
      </c>
      <c r="AD1335" s="3">
        <v>40268</v>
      </c>
      <c r="AE1335" s="4">
        <v>0.85416666666666663</v>
      </c>
      <c r="AF1335" s="2"/>
      <c r="AG1335" s="2"/>
      <c r="AH1335" s="2">
        <v>2</v>
      </c>
      <c r="AI1335" s="2" t="s">
        <v>84</v>
      </c>
      <c r="AJ1335" s="2">
        <v>9</v>
      </c>
      <c r="AK1335" s="2" t="s">
        <v>103</v>
      </c>
      <c r="AL1335" s="2">
        <v>10</v>
      </c>
      <c r="AM1335" s="2" t="s">
        <v>200</v>
      </c>
      <c r="AN1335" s="2" t="s">
        <v>4847</v>
      </c>
      <c r="AO1335" s="2" t="s">
        <v>4848</v>
      </c>
      <c r="AP1335" s="2">
        <v>11</v>
      </c>
      <c r="AQ1335" s="2" t="s">
        <v>82</v>
      </c>
      <c r="AR1335" s="2"/>
      <c r="AS1335" s="2"/>
      <c r="AT1335" s="2" t="s">
        <v>4955</v>
      </c>
      <c r="AU1335" s="2"/>
      <c r="AV1335" s="2">
        <v>2</v>
      </c>
      <c r="AW1335" s="2"/>
      <c r="AX1335" s="2"/>
      <c r="AY1335" s="2">
        <v>41</v>
      </c>
      <c r="AZ1335" s="2" t="s">
        <v>82</v>
      </c>
      <c r="BA1335" s="2">
        <v>41</v>
      </c>
      <c r="BB1335" s="2" t="s">
        <v>82</v>
      </c>
      <c r="BC1335" s="2">
        <v>41</v>
      </c>
      <c r="BD1335" s="2" t="s">
        <v>82</v>
      </c>
      <c r="BE1335" s="2">
        <v>13</v>
      </c>
      <c r="BF1335" s="2" t="s">
        <v>108</v>
      </c>
      <c r="BG1335" s="2" t="s">
        <v>592</v>
      </c>
      <c r="BH1335" s="4">
        <v>0</v>
      </c>
      <c r="BI1335" s="4">
        <v>0.96875</v>
      </c>
      <c r="BJ1335" s="2">
        <v>13</v>
      </c>
      <c r="BK1335" s="2" t="s">
        <v>91</v>
      </c>
      <c r="BL1335" s="2" t="s">
        <v>1084</v>
      </c>
      <c r="BM1335" s="2">
        <v>241</v>
      </c>
      <c r="BN1335" s="2" t="s">
        <v>82</v>
      </c>
      <c r="BO1335" s="2"/>
      <c r="BP1335" s="2">
        <v>112</v>
      </c>
      <c r="BQ1335" s="2" t="s">
        <v>110</v>
      </c>
      <c r="BR1335" s="2" t="s">
        <v>111</v>
      </c>
      <c r="BS1335" s="3">
        <v>40271</v>
      </c>
      <c r="BT1335" s="4">
        <v>0.12261574074074073</v>
      </c>
    </row>
    <row r="1336" spans="1:72" x14ac:dyDescent="0.25">
      <c r="A1336" s="2">
        <v>2001</v>
      </c>
      <c r="B1336" s="2">
        <v>2010</v>
      </c>
      <c r="C1336" s="2" t="s">
        <v>385</v>
      </c>
      <c r="D1336" s="2" t="s">
        <v>122</v>
      </c>
      <c r="E1336" s="2" t="s">
        <v>4954</v>
      </c>
      <c r="F1336" s="2">
        <v>399</v>
      </c>
      <c r="G1336" s="2" t="s">
        <v>587</v>
      </c>
      <c r="H1336" s="2">
        <v>14</v>
      </c>
      <c r="I1336" s="2" t="s">
        <v>1458</v>
      </c>
      <c r="J1336" s="2">
        <v>242</v>
      </c>
      <c r="K1336" s="2" t="s">
        <v>1077</v>
      </c>
      <c r="L1336" s="2" t="s">
        <v>1078</v>
      </c>
      <c r="M1336" s="3">
        <v>40271</v>
      </c>
      <c r="N1336" s="2" t="s">
        <v>4590</v>
      </c>
      <c r="O1336" s="2" t="s">
        <v>4845</v>
      </c>
      <c r="P1336" s="2"/>
      <c r="Q1336" s="2" t="str">
        <f>"176-E/10"</f>
        <v>176-E/10</v>
      </c>
      <c r="R1336" s="2" t="s">
        <v>4846</v>
      </c>
      <c r="S1336" s="2" t="s">
        <v>4905</v>
      </c>
      <c r="T1336" s="2">
        <v>1</v>
      </c>
      <c r="U1336" s="2" t="s">
        <v>79</v>
      </c>
      <c r="V1336" s="2">
        <v>1</v>
      </c>
      <c r="W1336" s="2" t="s">
        <v>80</v>
      </c>
      <c r="X1336" s="2">
        <v>1</v>
      </c>
      <c r="Y1336" s="2" t="s">
        <v>81</v>
      </c>
      <c r="Z1336" s="2">
        <v>1</v>
      </c>
      <c r="AA1336" s="2" t="s">
        <v>82</v>
      </c>
      <c r="AB1336" s="2">
        <v>9</v>
      </c>
      <c r="AC1336" s="2" t="s">
        <v>124</v>
      </c>
      <c r="AD1336" s="3">
        <v>40268</v>
      </c>
      <c r="AE1336" s="4">
        <v>0.85416666666666663</v>
      </c>
      <c r="AF1336" s="2"/>
      <c r="AG1336" s="2"/>
      <c r="AH1336" s="2">
        <v>2</v>
      </c>
      <c r="AI1336" s="2" t="s">
        <v>84</v>
      </c>
      <c r="AJ1336" s="2">
        <v>9</v>
      </c>
      <c r="AK1336" s="2" t="s">
        <v>103</v>
      </c>
      <c r="AL1336" s="2">
        <v>10</v>
      </c>
      <c r="AM1336" s="2" t="s">
        <v>200</v>
      </c>
      <c r="AN1336" s="2" t="s">
        <v>4847</v>
      </c>
      <c r="AO1336" s="2" t="s">
        <v>4848</v>
      </c>
      <c r="AP1336" s="2">
        <v>11</v>
      </c>
      <c r="AQ1336" s="2" t="s">
        <v>82</v>
      </c>
      <c r="AR1336" s="2"/>
      <c r="AS1336" s="2"/>
      <c r="AT1336" s="2" t="s">
        <v>4955</v>
      </c>
      <c r="AU1336" s="2"/>
      <c r="AV1336" s="2">
        <v>2</v>
      </c>
      <c r="AW1336" s="2"/>
      <c r="AX1336" s="2"/>
      <c r="AY1336" s="2">
        <v>41</v>
      </c>
      <c r="AZ1336" s="2" t="s">
        <v>82</v>
      </c>
      <c r="BA1336" s="2">
        <v>41</v>
      </c>
      <c r="BB1336" s="2" t="s">
        <v>82</v>
      </c>
      <c r="BC1336" s="2">
        <v>41</v>
      </c>
      <c r="BD1336" s="2" t="s">
        <v>82</v>
      </c>
      <c r="BE1336" s="2">
        <v>13</v>
      </c>
      <c r="BF1336" s="2" t="s">
        <v>108</v>
      </c>
      <c r="BG1336" s="2" t="s">
        <v>592</v>
      </c>
      <c r="BH1336" s="4">
        <v>0</v>
      </c>
      <c r="BI1336" s="4">
        <v>0.96875</v>
      </c>
      <c r="BJ1336" s="2">
        <v>13</v>
      </c>
      <c r="BK1336" s="2" t="s">
        <v>91</v>
      </c>
      <c r="BL1336" s="2" t="s">
        <v>1084</v>
      </c>
      <c r="BM1336" s="2">
        <v>241</v>
      </c>
      <c r="BN1336" s="2" t="s">
        <v>82</v>
      </c>
      <c r="BO1336" s="2"/>
      <c r="BP1336" s="2">
        <v>112</v>
      </c>
      <c r="BQ1336" s="2" t="s">
        <v>110</v>
      </c>
      <c r="BR1336" s="2" t="s">
        <v>111</v>
      </c>
      <c r="BS1336" s="3">
        <v>40271</v>
      </c>
      <c r="BT1336" s="4">
        <v>0.12261574074074073</v>
      </c>
    </row>
    <row r="1337" spans="1:72" x14ac:dyDescent="0.25">
      <c r="A1337" s="2">
        <v>2002</v>
      </c>
      <c r="B1337" s="2">
        <v>2010</v>
      </c>
      <c r="C1337" s="2" t="s">
        <v>171</v>
      </c>
      <c r="D1337" s="2" t="s">
        <v>122</v>
      </c>
      <c r="E1337" s="2" t="s">
        <v>4956</v>
      </c>
      <c r="F1337" s="2">
        <v>399</v>
      </c>
      <c r="G1337" s="2" t="s">
        <v>587</v>
      </c>
      <c r="H1337" s="2">
        <v>14</v>
      </c>
      <c r="I1337" s="2" t="s">
        <v>1458</v>
      </c>
      <c r="J1337" s="2">
        <v>242</v>
      </c>
      <c r="K1337" s="2" t="s">
        <v>1077</v>
      </c>
      <c r="L1337" s="2" t="s">
        <v>1078</v>
      </c>
      <c r="M1337" s="3">
        <v>40271</v>
      </c>
      <c r="N1337" s="2" t="s">
        <v>4590</v>
      </c>
      <c r="O1337" s="2" t="s">
        <v>4845</v>
      </c>
      <c r="P1337" s="2"/>
      <c r="Q1337" s="2" t="str">
        <f>"176-E/10"</f>
        <v>176-E/10</v>
      </c>
      <c r="R1337" s="2" t="s">
        <v>4905</v>
      </c>
      <c r="S1337" s="2" t="s">
        <v>4846</v>
      </c>
      <c r="T1337" s="2">
        <v>1</v>
      </c>
      <c r="U1337" s="2" t="s">
        <v>79</v>
      </c>
      <c r="V1337" s="2">
        <v>1</v>
      </c>
      <c r="W1337" s="2" t="s">
        <v>80</v>
      </c>
      <c r="X1337" s="2">
        <v>1</v>
      </c>
      <c r="Y1337" s="2" t="s">
        <v>81</v>
      </c>
      <c r="Z1337" s="2">
        <v>1</v>
      </c>
      <c r="AA1337" s="2" t="s">
        <v>82</v>
      </c>
      <c r="AB1337" s="2">
        <v>1</v>
      </c>
      <c r="AC1337" s="2" t="s">
        <v>178</v>
      </c>
      <c r="AD1337" s="3">
        <v>40268</v>
      </c>
      <c r="AE1337" s="4">
        <v>0.85416666666666663</v>
      </c>
      <c r="AF1337" s="2"/>
      <c r="AG1337" s="2"/>
      <c r="AH1337" s="2">
        <v>2</v>
      </c>
      <c r="AI1337" s="2" t="s">
        <v>84</v>
      </c>
      <c r="AJ1337" s="2">
        <v>9</v>
      </c>
      <c r="AK1337" s="2" t="s">
        <v>103</v>
      </c>
      <c r="AL1337" s="2">
        <v>10</v>
      </c>
      <c r="AM1337" s="2" t="s">
        <v>200</v>
      </c>
      <c r="AN1337" s="2" t="s">
        <v>4847</v>
      </c>
      <c r="AO1337" s="2" t="s">
        <v>4848</v>
      </c>
      <c r="AP1337" s="2">
        <v>11</v>
      </c>
      <c r="AQ1337" s="2" t="s">
        <v>82</v>
      </c>
      <c r="AR1337" s="2"/>
      <c r="AS1337" s="2"/>
      <c r="AT1337" s="2" t="s">
        <v>4957</v>
      </c>
      <c r="AU1337" s="2"/>
      <c r="AV1337" s="2">
        <v>2</v>
      </c>
      <c r="AW1337" s="2"/>
      <c r="AX1337" s="2"/>
      <c r="AY1337" s="2">
        <v>41</v>
      </c>
      <c r="AZ1337" s="2" t="s">
        <v>82</v>
      </c>
      <c r="BA1337" s="2">
        <v>41</v>
      </c>
      <c r="BB1337" s="2" t="s">
        <v>82</v>
      </c>
      <c r="BC1337" s="2">
        <v>41</v>
      </c>
      <c r="BD1337" s="2" t="s">
        <v>82</v>
      </c>
      <c r="BE1337" s="2">
        <v>13</v>
      </c>
      <c r="BF1337" s="2" t="s">
        <v>108</v>
      </c>
      <c r="BG1337" s="2" t="s">
        <v>592</v>
      </c>
      <c r="BH1337" s="4">
        <v>0</v>
      </c>
      <c r="BI1337" s="4">
        <v>0.96875</v>
      </c>
      <c r="BJ1337" s="2">
        <v>13</v>
      </c>
      <c r="BK1337" s="2" t="s">
        <v>91</v>
      </c>
      <c r="BL1337" s="2" t="s">
        <v>1084</v>
      </c>
      <c r="BM1337" s="2">
        <v>241</v>
      </c>
      <c r="BN1337" s="2" t="s">
        <v>82</v>
      </c>
      <c r="BO1337" s="2"/>
      <c r="BP1337" s="2">
        <v>112</v>
      </c>
      <c r="BQ1337" s="2" t="s">
        <v>110</v>
      </c>
      <c r="BR1337" s="2" t="s">
        <v>111</v>
      </c>
      <c r="BS1337" s="3">
        <v>40271</v>
      </c>
      <c r="BT1337" s="4">
        <v>0.6488194444444445</v>
      </c>
    </row>
    <row r="1338" spans="1:72" x14ac:dyDescent="0.25">
      <c r="A1338" s="2">
        <v>2002</v>
      </c>
      <c r="B1338" s="2">
        <v>2010</v>
      </c>
      <c r="C1338" s="2" t="s">
        <v>385</v>
      </c>
      <c r="D1338" s="2" t="s">
        <v>122</v>
      </c>
      <c r="E1338" s="2" t="s">
        <v>4956</v>
      </c>
      <c r="F1338" s="2">
        <v>399</v>
      </c>
      <c r="G1338" s="2" t="s">
        <v>587</v>
      </c>
      <c r="H1338" s="2">
        <v>14</v>
      </c>
      <c r="I1338" s="2" t="s">
        <v>1458</v>
      </c>
      <c r="J1338" s="2">
        <v>242</v>
      </c>
      <c r="K1338" s="2" t="s">
        <v>1077</v>
      </c>
      <c r="L1338" s="2" t="s">
        <v>1078</v>
      </c>
      <c r="M1338" s="3">
        <v>40271</v>
      </c>
      <c r="N1338" s="2" t="s">
        <v>4590</v>
      </c>
      <c r="O1338" s="2" t="s">
        <v>4845</v>
      </c>
      <c r="P1338" s="2"/>
      <c r="Q1338" s="2" t="str">
        <f>"176-E/10"</f>
        <v>176-E/10</v>
      </c>
      <c r="R1338" s="2" t="s">
        <v>4905</v>
      </c>
      <c r="S1338" s="2" t="s">
        <v>4846</v>
      </c>
      <c r="T1338" s="2">
        <v>1</v>
      </c>
      <c r="U1338" s="2" t="s">
        <v>79</v>
      </c>
      <c r="V1338" s="2">
        <v>1</v>
      </c>
      <c r="W1338" s="2" t="s">
        <v>80</v>
      </c>
      <c r="X1338" s="2">
        <v>1</v>
      </c>
      <c r="Y1338" s="2" t="s">
        <v>81</v>
      </c>
      <c r="Z1338" s="2">
        <v>1</v>
      </c>
      <c r="AA1338" s="2" t="s">
        <v>82</v>
      </c>
      <c r="AB1338" s="2">
        <v>9</v>
      </c>
      <c r="AC1338" s="2" t="s">
        <v>124</v>
      </c>
      <c r="AD1338" s="3">
        <v>40268</v>
      </c>
      <c r="AE1338" s="4">
        <v>0.85416666666666663</v>
      </c>
      <c r="AF1338" s="2"/>
      <c r="AG1338" s="2"/>
      <c r="AH1338" s="2">
        <v>2</v>
      </c>
      <c r="AI1338" s="2" t="s">
        <v>84</v>
      </c>
      <c r="AJ1338" s="2">
        <v>9</v>
      </c>
      <c r="AK1338" s="2" t="s">
        <v>103</v>
      </c>
      <c r="AL1338" s="2">
        <v>10</v>
      </c>
      <c r="AM1338" s="2" t="s">
        <v>200</v>
      </c>
      <c r="AN1338" s="2" t="s">
        <v>4847</v>
      </c>
      <c r="AO1338" s="2" t="s">
        <v>4848</v>
      </c>
      <c r="AP1338" s="2">
        <v>11</v>
      </c>
      <c r="AQ1338" s="2" t="s">
        <v>82</v>
      </c>
      <c r="AR1338" s="2"/>
      <c r="AS1338" s="2"/>
      <c r="AT1338" s="2" t="s">
        <v>4957</v>
      </c>
      <c r="AU1338" s="2"/>
      <c r="AV1338" s="2">
        <v>2</v>
      </c>
      <c r="AW1338" s="2"/>
      <c r="AX1338" s="2"/>
      <c r="AY1338" s="2">
        <v>41</v>
      </c>
      <c r="AZ1338" s="2" t="s">
        <v>82</v>
      </c>
      <c r="BA1338" s="2">
        <v>41</v>
      </c>
      <c r="BB1338" s="2" t="s">
        <v>82</v>
      </c>
      <c r="BC1338" s="2">
        <v>41</v>
      </c>
      <c r="BD1338" s="2" t="s">
        <v>82</v>
      </c>
      <c r="BE1338" s="2">
        <v>13</v>
      </c>
      <c r="BF1338" s="2" t="s">
        <v>108</v>
      </c>
      <c r="BG1338" s="2" t="s">
        <v>592</v>
      </c>
      <c r="BH1338" s="4">
        <v>0</v>
      </c>
      <c r="BI1338" s="4">
        <v>0.96875</v>
      </c>
      <c r="BJ1338" s="2">
        <v>13</v>
      </c>
      <c r="BK1338" s="2" t="s">
        <v>91</v>
      </c>
      <c r="BL1338" s="2" t="s">
        <v>1084</v>
      </c>
      <c r="BM1338" s="2">
        <v>241</v>
      </c>
      <c r="BN1338" s="2" t="s">
        <v>82</v>
      </c>
      <c r="BO1338" s="2"/>
      <c r="BP1338" s="2">
        <v>112</v>
      </c>
      <c r="BQ1338" s="2" t="s">
        <v>110</v>
      </c>
      <c r="BR1338" s="2" t="s">
        <v>111</v>
      </c>
      <c r="BS1338" s="3">
        <v>40271</v>
      </c>
      <c r="BT1338" s="4">
        <v>0.6488194444444445</v>
      </c>
    </row>
    <row r="1339" spans="1:72" x14ac:dyDescent="0.25">
      <c r="A1339" s="2">
        <v>2003</v>
      </c>
      <c r="B1339" s="2">
        <v>2010</v>
      </c>
      <c r="C1339" s="2" t="s">
        <v>409</v>
      </c>
      <c r="D1339" s="2" t="s">
        <v>122</v>
      </c>
      <c r="E1339" s="2"/>
      <c r="F1339" s="2">
        <v>538</v>
      </c>
      <c r="G1339" s="2" t="s">
        <v>4958</v>
      </c>
      <c r="H1339" s="2">
        <v>22</v>
      </c>
      <c r="I1339" s="2" t="s">
        <v>75</v>
      </c>
      <c r="J1339" s="2">
        <v>463</v>
      </c>
      <c r="K1339" s="2" t="s">
        <v>3533</v>
      </c>
      <c r="L1339" s="2" t="s">
        <v>3534</v>
      </c>
      <c r="M1339" s="3">
        <v>40271</v>
      </c>
      <c r="N1339" s="2" t="s">
        <v>3535</v>
      </c>
      <c r="O1339" s="2" t="s">
        <v>4959</v>
      </c>
      <c r="P1339" s="2"/>
      <c r="Q1339" s="2" t="str">
        <f>""</f>
        <v/>
      </c>
      <c r="R1339" s="2"/>
      <c r="S1339" s="2"/>
      <c r="T1339" s="2">
        <v>1</v>
      </c>
      <c r="U1339" s="2" t="s">
        <v>79</v>
      </c>
      <c r="V1339" s="2">
        <v>1</v>
      </c>
      <c r="W1339" s="2" t="s">
        <v>80</v>
      </c>
      <c r="X1339" s="2">
        <v>2</v>
      </c>
      <c r="Y1339" s="2" t="s">
        <v>136</v>
      </c>
      <c r="Z1339" s="2">
        <v>1</v>
      </c>
      <c r="AA1339" s="2" t="s">
        <v>82</v>
      </c>
      <c r="AB1339" s="2">
        <v>9</v>
      </c>
      <c r="AC1339" s="2" t="s">
        <v>124</v>
      </c>
      <c r="AD1339" s="3">
        <v>40271</v>
      </c>
      <c r="AE1339" s="4">
        <v>0.5</v>
      </c>
      <c r="AF1339" s="3">
        <v>40270</v>
      </c>
      <c r="AG1339" s="2"/>
      <c r="AH1339" s="2">
        <v>5</v>
      </c>
      <c r="AI1339" s="2" t="s">
        <v>274</v>
      </c>
      <c r="AJ1339" s="2">
        <v>41</v>
      </c>
      <c r="AK1339" s="2" t="s">
        <v>2751</v>
      </c>
      <c r="AL1339" s="2">
        <v>19</v>
      </c>
      <c r="AM1339" s="2" t="s">
        <v>107</v>
      </c>
      <c r="AN1339" s="2"/>
      <c r="AO1339" s="2"/>
      <c r="AP1339" s="2">
        <v>11</v>
      </c>
      <c r="AQ1339" s="2" t="s">
        <v>82</v>
      </c>
      <c r="AR1339" s="2"/>
      <c r="AS1339" s="2"/>
      <c r="AT1339" s="2" t="s">
        <v>4960</v>
      </c>
      <c r="AU1339" s="2"/>
      <c r="AV1339" s="2"/>
      <c r="AW1339" s="2"/>
      <c r="AX1339" s="2"/>
      <c r="AY1339" s="2">
        <v>41</v>
      </c>
      <c r="AZ1339" s="2" t="s">
        <v>82</v>
      </c>
      <c r="BA1339" s="2">
        <v>41</v>
      </c>
      <c r="BB1339" s="2" t="s">
        <v>82</v>
      </c>
      <c r="BC1339" s="2">
        <v>41</v>
      </c>
      <c r="BD1339" s="2" t="s">
        <v>82</v>
      </c>
      <c r="BE1339" s="2">
        <v>41</v>
      </c>
      <c r="BF1339" s="2" t="s">
        <v>82</v>
      </c>
      <c r="BG1339" s="2"/>
      <c r="BH1339" s="2"/>
      <c r="BI1339" s="2"/>
      <c r="BJ1339" s="2">
        <v>241</v>
      </c>
      <c r="BK1339" s="2" t="s">
        <v>82</v>
      </c>
      <c r="BL1339" s="2"/>
      <c r="BM1339" s="2">
        <v>241</v>
      </c>
      <c r="BN1339" s="2" t="s">
        <v>82</v>
      </c>
      <c r="BO1339" s="2"/>
      <c r="BP1339" s="2">
        <v>241</v>
      </c>
      <c r="BQ1339" s="2" t="s">
        <v>82</v>
      </c>
      <c r="BR1339" s="2"/>
      <c r="BS1339" s="3">
        <v>40271</v>
      </c>
      <c r="BT1339" s="4">
        <v>0.66212962962962962</v>
      </c>
    </row>
    <row r="1340" spans="1:72" x14ac:dyDescent="0.25">
      <c r="A1340" s="2">
        <v>2004</v>
      </c>
      <c r="B1340" s="2">
        <v>2010</v>
      </c>
      <c r="C1340" s="2" t="s">
        <v>819</v>
      </c>
      <c r="D1340" s="2" t="s">
        <v>122</v>
      </c>
      <c r="E1340" s="2" t="s">
        <v>4961</v>
      </c>
      <c r="F1340" s="2">
        <v>425</v>
      </c>
      <c r="G1340" s="2" t="s">
        <v>286</v>
      </c>
      <c r="H1340" s="2">
        <v>39</v>
      </c>
      <c r="I1340" s="2" t="s">
        <v>1117</v>
      </c>
      <c r="J1340" s="2">
        <v>310</v>
      </c>
      <c r="K1340" s="2" t="s">
        <v>288</v>
      </c>
      <c r="L1340" s="2" t="s">
        <v>289</v>
      </c>
      <c r="M1340" s="3">
        <v>40271</v>
      </c>
      <c r="N1340" s="2" t="s">
        <v>4894</v>
      </c>
      <c r="O1340" s="2"/>
      <c r="P1340" s="2"/>
      <c r="Q1340" s="2" t="str">
        <f>"N° 037/10"</f>
        <v>N° 037/10</v>
      </c>
      <c r="R1340" s="2"/>
      <c r="S1340" s="2" t="s">
        <v>822</v>
      </c>
      <c r="T1340" s="2">
        <v>1</v>
      </c>
      <c r="U1340" s="2" t="s">
        <v>79</v>
      </c>
      <c r="V1340" s="2">
        <v>1</v>
      </c>
      <c r="W1340" s="2" t="s">
        <v>80</v>
      </c>
      <c r="X1340" s="2">
        <v>1</v>
      </c>
      <c r="Y1340" s="2" t="s">
        <v>81</v>
      </c>
      <c r="Z1340" s="2">
        <v>10</v>
      </c>
      <c r="AA1340" s="2" t="s">
        <v>236</v>
      </c>
      <c r="AB1340" s="2">
        <v>9</v>
      </c>
      <c r="AC1340" s="2" t="s">
        <v>124</v>
      </c>
      <c r="AD1340" s="3">
        <v>40271</v>
      </c>
      <c r="AE1340" s="4">
        <v>0.45833333333333331</v>
      </c>
      <c r="AF1340" s="2"/>
      <c r="AG1340" s="2"/>
      <c r="AH1340" s="2">
        <v>4</v>
      </c>
      <c r="AI1340" s="2" t="s">
        <v>125</v>
      </c>
      <c r="AJ1340" s="2">
        <v>29</v>
      </c>
      <c r="AK1340" s="2" t="s">
        <v>227</v>
      </c>
      <c r="AL1340" s="2">
        <v>10</v>
      </c>
      <c r="AM1340" s="2" t="s">
        <v>200</v>
      </c>
      <c r="AN1340" s="2" t="s">
        <v>883</v>
      </c>
      <c r="AO1340" s="2" t="s">
        <v>200</v>
      </c>
      <c r="AP1340" s="2">
        <v>12</v>
      </c>
      <c r="AQ1340" s="2" t="s">
        <v>322</v>
      </c>
      <c r="AR1340" s="2" t="s">
        <v>824</v>
      </c>
      <c r="AS1340" s="2" t="s">
        <v>825</v>
      </c>
      <c r="AT1340" s="2" t="s">
        <v>4962</v>
      </c>
      <c r="AU1340" s="2"/>
      <c r="AV1340" s="2"/>
      <c r="AW1340" s="2"/>
      <c r="AX1340" s="2"/>
      <c r="AY1340" s="2">
        <v>41</v>
      </c>
      <c r="AZ1340" s="2" t="s">
        <v>82</v>
      </c>
      <c r="BA1340" s="2">
        <v>41</v>
      </c>
      <c r="BB1340" s="2" t="s">
        <v>82</v>
      </c>
      <c r="BC1340" s="2">
        <v>51</v>
      </c>
      <c r="BD1340" s="2" t="s">
        <v>827</v>
      </c>
      <c r="BE1340" s="2">
        <v>47</v>
      </c>
      <c r="BF1340" s="2" t="s">
        <v>167</v>
      </c>
      <c r="BG1340" s="2">
        <v>2459</v>
      </c>
      <c r="BH1340" s="4">
        <v>0.90277777777777779</v>
      </c>
      <c r="BI1340" s="4">
        <v>0.9375</v>
      </c>
      <c r="BJ1340" s="2">
        <v>13</v>
      </c>
      <c r="BK1340" s="2" t="s">
        <v>91</v>
      </c>
      <c r="BL1340" s="2" t="s">
        <v>828</v>
      </c>
      <c r="BM1340" s="2">
        <v>241</v>
      </c>
      <c r="BN1340" s="2" t="s">
        <v>82</v>
      </c>
      <c r="BO1340" s="2" t="s">
        <v>82</v>
      </c>
      <c r="BP1340" s="2">
        <v>13</v>
      </c>
      <c r="BQ1340" s="2" t="s">
        <v>91</v>
      </c>
      <c r="BR1340" s="2" t="s">
        <v>185</v>
      </c>
      <c r="BS1340" s="3">
        <v>40271</v>
      </c>
      <c r="BT1340" s="4">
        <v>0.69871527777777775</v>
      </c>
    </row>
    <row r="1341" spans="1:72" x14ac:dyDescent="0.25">
      <c r="A1341" s="2">
        <v>2005</v>
      </c>
      <c r="B1341" s="2">
        <v>2010</v>
      </c>
      <c r="C1341" s="2" t="s">
        <v>72</v>
      </c>
      <c r="D1341" s="2" t="s">
        <v>73</v>
      </c>
      <c r="E1341" s="2"/>
      <c r="F1341" s="2">
        <v>164</v>
      </c>
      <c r="G1341" s="2" t="s">
        <v>4963</v>
      </c>
      <c r="H1341" s="2">
        <v>88</v>
      </c>
      <c r="I1341" s="2" t="s">
        <v>4964</v>
      </c>
      <c r="J1341" s="2">
        <v>174</v>
      </c>
      <c r="K1341" s="2" t="s">
        <v>4965</v>
      </c>
      <c r="L1341" s="2" t="s">
        <v>2631</v>
      </c>
      <c r="M1341" s="3">
        <v>40271</v>
      </c>
      <c r="N1341" s="2" t="s">
        <v>4966</v>
      </c>
      <c r="O1341" s="2" t="s">
        <v>107</v>
      </c>
      <c r="P1341" s="2" t="s">
        <v>107</v>
      </c>
      <c r="Q1341" s="2" t="str">
        <f>"143-A/10"</f>
        <v>143-A/10</v>
      </c>
      <c r="R1341" s="2" t="s">
        <v>107</v>
      </c>
      <c r="S1341" s="2" t="s">
        <v>78</v>
      </c>
      <c r="T1341" s="2">
        <v>1</v>
      </c>
      <c r="U1341" s="2" t="s">
        <v>79</v>
      </c>
      <c r="V1341" s="2">
        <v>1</v>
      </c>
      <c r="W1341" s="2" t="s">
        <v>80</v>
      </c>
      <c r="X1341" s="2">
        <v>1</v>
      </c>
      <c r="Y1341" s="2" t="s">
        <v>81</v>
      </c>
      <c r="Z1341" s="2">
        <v>1</v>
      </c>
      <c r="AA1341" s="2" t="s">
        <v>82</v>
      </c>
      <c r="AB1341" s="2">
        <v>6</v>
      </c>
      <c r="AC1341" s="2" t="s">
        <v>83</v>
      </c>
      <c r="AD1341" s="3">
        <v>40271</v>
      </c>
      <c r="AE1341" s="4">
        <v>0.64583333333333337</v>
      </c>
      <c r="AF1341" s="3">
        <v>40271</v>
      </c>
      <c r="AG1341" s="4">
        <v>0.69791666666666663</v>
      </c>
      <c r="AH1341" s="2">
        <v>2</v>
      </c>
      <c r="AI1341" s="2" t="s">
        <v>84</v>
      </c>
      <c r="AJ1341" s="2">
        <v>12</v>
      </c>
      <c r="AK1341" s="2" t="s">
        <v>85</v>
      </c>
      <c r="AL1341" s="2">
        <v>12</v>
      </c>
      <c r="AM1341" s="2" t="s">
        <v>86</v>
      </c>
      <c r="AN1341" s="2" t="s">
        <v>4967</v>
      </c>
      <c r="AO1341" s="2" t="s">
        <v>82</v>
      </c>
      <c r="AP1341" s="2">
        <v>11</v>
      </c>
      <c r="AQ1341" s="2" t="s">
        <v>82</v>
      </c>
      <c r="AR1341" s="2"/>
      <c r="AS1341" s="2"/>
      <c r="AT1341" s="2" t="s">
        <v>4968</v>
      </c>
      <c r="AU1341" s="2"/>
      <c r="AV1341" s="2"/>
      <c r="AW1341" s="2"/>
      <c r="AX1341" s="2"/>
      <c r="AY1341" s="2">
        <v>41</v>
      </c>
      <c r="AZ1341" s="2" t="s">
        <v>82</v>
      </c>
      <c r="BA1341" s="2">
        <v>41</v>
      </c>
      <c r="BB1341" s="2" t="s">
        <v>82</v>
      </c>
      <c r="BC1341" s="2">
        <v>41</v>
      </c>
      <c r="BD1341" s="2" t="s">
        <v>82</v>
      </c>
      <c r="BE1341" s="2">
        <v>13</v>
      </c>
      <c r="BF1341" s="2" t="s">
        <v>108</v>
      </c>
      <c r="BG1341" s="2" t="s">
        <v>4969</v>
      </c>
      <c r="BH1341" s="4">
        <v>0.74652777777777779</v>
      </c>
      <c r="BI1341" s="4">
        <v>0.71527777777777779</v>
      </c>
      <c r="BJ1341" s="2">
        <v>13</v>
      </c>
      <c r="BK1341" s="2" t="s">
        <v>91</v>
      </c>
      <c r="BL1341" s="2" t="s">
        <v>3690</v>
      </c>
      <c r="BM1341" s="2">
        <v>241</v>
      </c>
      <c r="BN1341" s="2" t="s">
        <v>82</v>
      </c>
      <c r="BO1341" s="2" t="s">
        <v>82</v>
      </c>
      <c r="BP1341" s="2">
        <v>229</v>
      </c>
      <c r="BQ1341" s="2" t="s">
        <v>300</v>
      </c>
      <c r="BR1341" s="2" t="s">
        <v>573</v>
      </c>
      <c r="BS1341" s="3">
        <v>40271</v>
      </c>
      <c r="BT1341" s="4">
        <v>0.75859953703703698</v>
      </c>
    </row>
    <row r="1342" spans="1:72" x14ac:dyDescent="0.25">
      <c r="A1342" s="2">
        <v>2006</v>
      </c>
      <c r="B1342" s="2">
        <v>2010</v>
      </c>
      <c r="C1342" s="2" t="s">
        <v>1559</v>
      </c>
      <c r="D1342" s="2" t="s">
        <v>73</v>
      </c>
      <c r="E1342" s="2"/>
      <c r="F1342" s="2">
        <v>1</v>
      </c>
      <c r="G1342" s="2" t="s">
        <v>82</v>
      </c>
      <c r="H1342" s="2">
        <v>1</v>
      </c>
      <c r="I1342" s="2" t="s">
        <v>82</v>
      </c>
      <c r="J1342" s="2">
        <v>1</v>
      </c>
      <c r="K1342" s="2" t="s">
        <v>107</v>
      </c>
      <c r="L1342" s="2" t="s">
        <v>107</v>
      </c>
      <c r="M1342" s="3">
        <v>40271</v>
      </c>
      <c r="N1342" s="2"/>
      <c r="O1342" s="2"/>
      <c r="P1342" s="2"/>
      <c r="Q1342" s="2" t="str">
        <f>""</f>
        <v/>
      </c>
      <c r="R1342" s="2"/>
      <c r="S1342" s="2"/>
      <c r="T1342" s="2">
        <v>1</v>
      </c>
      <c r="U1342" s="2" t="s">
        <v>79</v>
      </c>
      <c r="V1342" s="2">
        <v>1</v>
      </c>
      <c r="W1342" s="2" t="s">
        <v>80</v>
      </c>
      <c r="X1342" s="2">
        <v>4</v>
      </c>
      <c r="Y1342" s="2" t="s">
        <v>463</v>
      </c>
      <c r="Z1342" s="2">
        <v>1</v>
      </c>
      <c r="AA1342" s="2" t="s">
        <v>82</v>
      </c>
      <c r="AB1342" s="2">
        <v>9</v>
      </c>
      <c r="AC1342" s="2" t="s">
        <v>124</v>
      </c>
      <c r="AD1342" s="3">
        <v>40271</v>
      </c>
      <c r="AE1342" s="4">
        <v>0.70833333333333337</v>
      </c>
      <c r="AF1342" s="2"/>
      <c r="AG1342" s="2"/>
      <c r="AH1342" s="2">
        <v>6</v>
      </c>
      <c r="AI1342" s="2" t="s">
        <v>197</v>
      </c>
      <c r="AJ1342" s="2">
        <v>58</v>
      </c>
      <c r="AK1342" s="2" t="s">
        <v>406</v>
      </c>
      <c r="AL1342" s="2">
        <v>11</v>
      </c>
      <c r="AM1342" s="2" t="s">
        <v>137</v>
      </c>
      <c r="AN1342" s="2" t="s">
        <v>82</v>
      </c>
      <c r="AO1342" s="2" t="s">
        <v>515</v>
      </c>
      <c r="AP1342" s="2">
        <v>11</v>
      </c>
      <c r="AQ1342" s="2" t="s">
        <v>82</v>
      </c>
      <c r="AR1342" s="2" t="s">
        <v>82</v>
      </c>
      <c r="AS1342" s="2" t="s">
        <v>82</v>
      </c>
      <c r="AT1342" s="2" t="s">
        <v>4970</v>
      </c>
      <c r="AU1342" s="2"/>
      <c r="AV1342" s="2"/>
      <c r="AW1342" s="2"/>
      <c r="AX1342" s="2"/>
      <c r="AY1342" s="2">
        <v>1</v>
      </c>
      <c r="AZ1342" s="2" t="s">
        <v>107</v>
      </c>
      <c r="BA1342" s="2">
        <v>1</v>
      </c>
      <c r="BB1342" s="2" t="s">
        <v>107</v>
      </c>
      <c r="BC1342" s="2">
        <v>1</v>
      </c>
      <c r="BD1342" s="2" t="s">
        <v>107</v>
      </c>
      <c r="BE1342" s="2">
        <v>13</v>
      </c>
      <c r="BF1342" s="2" t="s">
        <v>108</v>
      </c>
      <c r="BG1342" s="2">
        <v>1881</v>
      </c>
      <c r="BH1342" s="4">
        <v>0.67708333333333337</v>
      </c>
      <c r="BI1342" s="4">
        <v>0.70833333333333337</v>
      </c>
      <c r="BJ1342" s="2">
        <v>242</v>
      </c>
      <c r="BK1342" s="2" t="s">
        <v>107</v>
      </c>
      <c r="BL1342" s="2" t="s">
        <v>895</v>
      </c>
      <c r="BM1342" s="2">
        <v>13</v>
      </c>
      <c r="BN1342" s="2" t="s">
        <v>91</v>
      </c>
      <c r="BO1342" s="2" t="s">
        <v>492</v>
      </c>
      <c r="BP1342" s="2">
        <v>13</v>
      </c>
      <c r="BQ1342" s="2" t="s">
        <v>91</v>
      </c>
      <c r="BR1342" s="2" t="s">
        <v>4971</v>
      </c>
      <c r="BS1342" s="3">
        <v>40271</v>
      </c>
      <c r="BT1342" s="4">
        <v>0.8040856481481482</v>
      </c>
    </row>
    <row r="1343" spans="1:72" x14ac:dyDescent="0.25">
      <c r="A1343" s="2">
        <v>2007</v>
      </c>
      <c r="B1343" s="2">
        <v>2010</v>
      </c>
      <c r="C1343" s="2" t="s">
        <v>4543</v>
      </c>
      <c r="D1343" s="2" t="s">
        <v>122</v>
      </c>
      <c r="E1343" s="2"/>
      <c r="F1343" s="2">
        <v>1</v>
      </c>
      <c r="G1343" s="2" t="s">
        <v>82</v>
      </c>
      <c r="H1343" s="2">
        <v>1</v>
      </c>
      <c r="I1343" s="2" t="s">
        <v>82</v>
      </c>
      <c r="J1343" s="2">
        <v>1</v>
      </c>
      <c r="K1343" s="2" t="s">
        <v>107</v>
      </c>
      <c r="L1343" s="2" t="s">
        <v>107</v>
      </c>
      <c r="M1343" s="3">
        <v>40271</v>
      </c>
      <c r="N1343" s="2"/>
      <c r="O1343" s="2"/>
      <c r="P1343" s="2"/>
      <c r="Q1343" s="2" t="str">
        <f>""</f>
        <v/>
      </c>
      <c r="R1343" s="2"/>
      <c r="S1343" s="2"/>
      <c r="T1343" s="2">
        <v>2</v>
      </c>
      <c r="U1343" s="2" t="s">
        <v>123</v>
      </c>
      <c r="V1343" s="2">
        <v>1</v>
      </c>
      <c r="W1343" s="2" t="s">
        <v>80</v>
      </c>
      <c r="X1343" s="2">
        <v>1</v>
      </c>
      <c r="Y1343" s="2" t="s">
        <v>81</v>
      </c>
      <c r="Z1343" s="2">
        <v>1</v>
      </c>
      <c r="AA1343" s="2" t="s">
        <v>82</v>
      </c>
      <c r="AB1343" s="2">
        <v>9</v>
      </c>
      <c r="AC1343" s="2" t="s">
        <v>124</v>
      </c>
      <c r="AD1343" s="3">
        <v>40240</v>
      </c>
      <c r="AE1343" s="4">
        <v>0.81944444444444453</v>
      </c>
      <c r="AF1343" s="2"/>
      <c r="AG1343" s="2"/>
      <c r="AH1343" s="2">
        <v>2</v>
      </c>
      <c r="AI1343" s="2" t="s">
        <v>84</v>
      </c>
      <c r="AJ1343" s="2">
        <v>12</v>
      </c>
      <c r="AK1343" s="2" t="s">
        <v>85</v>
      </c>
      <c r="AL1343" s="2">
        <v>10</v>
      </c>
      <c r="AM1343" s="2" t="s">
        <v>200</v>
      </c>
      <c r="AN1343" s="2"/>
      <c r="AO1343" s="2"/>
      <c r="AP1343" s="2">
        <v>11</v>
      </c>
      <c r="AQ1343" s="2" t="s">
        <v>82</v>
      </c>
      <c r="AR1343" s="2"/>
      <c r="AS1343" s="2"/>
      <c r="AT1343" s="2" t="s">
        <v>4972</v>
      </c>
      <c r="AU1343" s="2"/>
      <c r="AV1343" s="2"/>
      <c r="AW1343" s="2"/>
      <c r="AX1343" s="2"/>
      <c r="AY1343" s="2">
        <v>41</v>
      </c>
      <c r="AZ1343" s="2" t="s">
        <v>82</v>
      </c>
      <c r="BA1343" s="2">
        <v>41</v>
      </c>
      <c r="BB1343" s="2" t="s">
        <v>82</v>
      </c>
      <c r="BC1343" s="2">
        <v>41</v>
      </c>
      <c r="BD1343" s="2" t="s">
        <v>82</v>
      </c>
      <c r="BE1343" s="2">
        <v>13</v>
      </c>
      <c r="BF1343" s="2" t="s">
        <v>108</v>
      </c>
      <c r="BG1343" s="2" t="s">
        <v>4973</v>
      </c>
      <c r="BH1343" s="4">
        <v>0.81944444444444453</v>
      </c>
      <c r="BI1343" s="4">
        <v>0.69791666666666663</v>
      </c>
      <c r="BJ1343" s="2">
        <v>13</v>
      </c>
      <c r="BK1343" s="2" t="s">
        <v>91</v>
      </c>
      <c r="BL1343" s="2" t="s">
        <v>492</v>
      </c>
      <c r="BM1343" s="2">
        <v>241</v>
      </c>
      <c r="BN1343" s="2" t="s">
        <v>82</v>
      </c>
      <c r="BO1343" s="2" t="s">
        <v>82</v>
      </c>
      <c r="BP1343" s="2">
        <v>13</v>
      </c>
      <c r="BQ1343" s="2" t="s">
        <v>91</v>
      </c>
      <c r="BR1343" s="2" t="s">
        <v>185</v>
      </c>
      <c r="BS1343" s="3">
        <v>40271</v>
      </c>
      <c r="BT1343" s="4">
        <v>0.85991898148148149</v>
      </c>
    </row>
    <row r="1344" spans="1:72" x14ac:dyDescent="0.25">
      <c r="A1344" s="2">
        <v>2008</v>
      </c>
      <c r="B1344" s="2">
        <v>2010</v>
      </c>
      <c r="C1344" s="2" t="s">
        <v>171</v>
      </c>
      <c r="D1344" s="2" t="s">
        <v>73</v>
      </c>
      <c r="E1344" s="2"/>
      <c r="F1344" s="2">
        <v>400</v>
      </c>
      <c r="G1344" s="2" t="s">
        <v>3601</v>
      </c>
      <c r="H1344" s="2">
        <v>16</v>
      </c>
      <c r="I1344" s="2" t="s">
        <v>3027</v>
      </c>
      <c r="J1344" s="2">
        <v>316</v>
      </c>
      <c r="K1344" s="2" t="s">
        <v>574</v>
      </c>
      <c r="L1344" s="2" t="s">
        <v>575</v>
      </c>
      <c r="M1344" s="3">
        <v>40272</v>
      </c>
      <c r="N1344" s="2" t="s">
        <v>4867</v>
      </c>
      <c r="O1344" s="2" t="s">
        <v>391</v>
      </c>
      <c r="P1344" s="2">
        <v>5020</v>
      </c>
      <c r="Q1344" s="2" t="str">
        <f>"180-E/10"</f>
        <v>180-E/10</v>
      </c>
      <c r="R1344" s="2" t="s">
        <v>391</v>
      </c>
      <c r="S1344" s="2"/>
      <c r="T1344" s="2">
        <v>1</v>
      </c>
      <c r="U1344" s="2" t="s">
        <v>79</v>
      </c>
      <c r="V1344" s="2">
        <v>1</v>
      </c>
      <c r="W1344" s="2" t="s">
        <v>80</v>
      </c>
      <c r="X1344" s="2">
        <v>1</v>
      </c>
      <c r="Y1344" s="2" t="s">
        <v>81</v>
      </c>
      <c r="Z1344" s="2">
        <v>1</v>
      </c>
      <c r="AA1344" s="2" t="s">
        <v>82</v>
      </c>
      <c r="AB1344" s="2">
        <v>1</v>
      </c>
      <c r="AC1344" s="2" t="s">
        <v>178</v>
      </c>
      <c r="AD1344" s="3">
        <v>40271</v>
      </c>
      <c r="AE1344" s="4">
        <v>0.91666666666666663</v>
      </c>
      <c r="AF1344" s="2"/>
      <c r="AG1344" s="2"/>
      <c r="AH1344" s="2">
        <v>2</v>
      </c>
      <c r="AI1344" s="2" t="s">
        <v>84</v>
      </c>
      <c r="AJ1344" s="2">
        <v>9</v>
      </c>
      <c r="AK1344" s="2" t="s">
        <v>103</v>
      </c>
      <c r="AL1344" s="2">
        <v>12</v>
      </c>
      <c r="AM1344" s="2" t="s">
        <v>86</v>
      </c>
      <c r="AN1344" s="2" t="s">
        <v>1340</v>
      </c>
      <c r="AO1344" s="2" t="s">
        <v>4974</v>
      </c>
      <c r="AP1344" s="2">
        <v>11</v>
      </c>
      <c r="AQ1344" s="2" t="s">
        <v>82</v>
      </c>
      <c r="AR1344" s="2"/>
      <c r="AS1344" s="2"/>
      <c r="AT1344" s="2" t="s">
        <v>4975</v>
      </c>
      <c r="AU1344" s="2"/>
      <c r="AV1344" s="2">
        <v>1</v>
      </c>
      <c r="AW1344" s="2"/>
      <c r="AX1344" s="2"/>
      <c r="AY1344" s="2">
        <v>41</v>
      </c>
      <c r="AZ1344" s="2" t="s">
        <v>82</v>
      </c>
      <c r="BA1344" s="2">
        <v>41</v>
      </c>
      <c r="BB1344" s="2" t="s">
        <v>82</v>
      </c>
      <c r="BC1344" s="2">
        <v>41</v>
      </c>
      <c r="BD1344" s="2" t="s">
        <v>82</v>
      </c>
      <c r="BE1344" s="2">
        <v>31</v>
      </c>
      <c r="BF1344" s="2" t="s">
        <v>398</v>
      </c>
      <c r="BG1344" s="2" t="s">
        <v>722</v>
      </c>
      <c r="BH1344" s="2"/>
      <c r="BI1344" s="4">
        <v>0.91666666666666663</v>
      </c>
      <c r="BJ1344" s="2">
        <v>13</v>
      </c>
      <c r="BK1344" s="2" t="s">
        <v>91</v>
      </c>
      <c r="BL1344" s="2" t="s">
        <v>1362</v>
      </c>
      <c r="BM1344" s="2">
        <v>241</v>
      </c>
      <c r="BN1344" s="2" t="s">
        <v>82</v>
      </c>
      <c r="BO1344" s="2" t="s">
        <v>82</v>
      </c>
      <c r="BP1344" s="2">
        <v>73</v>
      </c>
      <c r="BQ1344" s="2" t="s">
        <v>186</v>
      </c>
      <c r="BR1344" s="2" t="s">
        <v>187</v>
      </c>
      <c r="BS1344" s="3">
        <v>40272</v>
      </c>
      <c r="BT1344" s="4">
        <v>0.13486111111111113</v>
      </c>
    </row>
    <row r="1345" spans="1:72" x14ac:dyDescent="0.25">
      <c r="A1345" s="2">
        <v>2009</v>
      </c>
      <c r="B1345" s="2">
        <v>2010</v>
      </c>
      <c r="C1345" s="2" t="s">
        <v>72</v>
      </c>
      <c r="D1345" s="2" t="s">
        <v>73</v>
      </c>
      <c r="E1345" s="2"/>
      <c r="F1345" s="2">
        <v>389</v>
      </c>
      <c r="G1345" s="2" t="s">
        <v>1819</v>
      </c>
      <c r="H1345" s="2">
        <v>3</v>
      </c>
      <c r="I1345" s="2" t="s">
        <v>315</v>
      </c>
      <c r="J1345" s="2">
        <v>399</v>
      </c>
      <c r="K1345" s="2" t="s">
        <v>1820</v>
      </c>
      <c r="L1345" s="2" t="s">
        <v>1821</v>
      </c>
      <c r="M1345" s="3">
        <v>40272</v>
      </c>
      <c r="N1345" s="2" t="s">
        <v>4976</v>
      </c>
      <c r="O1345" s="2"/>
      <c r="P1345" s="2"/>
      <c r="Q1345" s="2" t="str">
        <f>"181-E/10"</f>
        <v>181-E/10</v>
      </c>
      <c r="R1345" s="2" t="s">
        <v>1847</v>
      </c>
      <c r="S1345" s="2"/>
      <c r="T1345" s="2">
        <v>1</v>
      </c>
      <c r="U1345" s="2" t="s">
        <v>79</v>
      </c>
      <c r="V1345" s="2">
        <v>1</v>
      </c>
      <c r="W1345" s="2" t="s">
        <v>80</v>
      </c>
      <c r="X1345" s="2">
        <v>5</v>
      </c>
      <c r="Y1345" s="2" t="s">
        <v>82</v>
      </c>
      <c r="Z1345" s="2">
        <v>1</v>
      </c>
      <c r="AA1345" s="2" t="s">
        <v>82</v>
      </c>
      <c r="AB1345" s="2">
        <v>6</v>
      </c>
      <c r="AC1345" s="2" t="s">
        <v>83</v>
      </c>
      <c r="AD1345" s="3">
        <v>40272</v>
      </c>
      <c r="AE1345" s="2"/>
      <c r="AF1345" s="3">
        <v>40272</v>
      </c>
      <c r="AG1345" s="4">
        <v>0.47916666666666669</v>
      </c>
      <c r="AH1345" s="2">
        <v>2</v>
      </c>
      <c r="AI1345" s="2" t="s">
        <v>84</v>
      </c>
      <c r="AJ1345" s="2">
        <v>9</v>
      </c>
      <c r="AK1345" s="2" t="s">
        <v>103</v>
      </c>
      <c r="AL1345" s="2">
        <v>10</v>
      </c>
      <c r="AM1345" s="2" t="s">
        <v>200</v>
      </c>
      <c r="AN1345" s="2" t="s">
        <v>1853</v>
      </c>
      <c r="AO1345" s="2" t="s">
        <v>4977</v>
      </c>
      <c r="AP1345" s="2">
        <v>11</v>
      </c>
      <c r="AQ1345" s="2" t="s">
        <v>82</v>
      </c>
      <c r="AR1345" s="2"/>
      <c r="AS1345" s="2"/>
      <c r="AT1345" s="2" t="s">
        <v>4978</v>
      </c>
      <c r="AU1345" s="2"/>
      <c r="AV1345" s="2"/>
      <c r="AW1345" s="2"/>
      <c r="AX1345" s="2"/>
      <c r="AY1345" s="2">
        <v>41</v>
      </c>
      <c r="AZ1345" s="2" t="s">
        <v>82</v>
      </c>
      <c r="BA1345" s="2">
        <v>41</v>
      </c>
      <c r="BB1345" s="2" t="s">
        <v>82</v>
      </c>
      <c r="BC1345" s="2">
        <v>41</v>
      </c>
      <c r="BD1345" s="2" t="s">
        <v>82</v>
      </c>
      <c r="BE1345" s="2">
        <v>17</v>
      </c>
      <c r="BF1345" s="2" t="s">
        <v>508</v>
      </c>
      <c r="BG1345" s="2" t="s">
        <v>4979</v>
      </c>
      <c r="BH1345" s="4">
        <v>0.27083333333333331</v>
      </c>
      <c r="BI1345" s="2"/>
      <c r="BJ1345" s="2">
        <v>75</v>
      </c>
      <c r="BK1345" s="2" t="s">
        <v>1264</v>
      </c>
      <c r="BL1345" s="2" t="s">
        <v>1361</v>
      </c>
      <c r="BM1345" s="2">
        <v>241</v>
      </c>
      <c r="BN1345" s="2" t="s">
        <v>82</v>
      </c>
      <c r="BO1345" s="2" t="s">
        <v>82</v>
      </c>
      <c r="BP1345" s="2">
        <v>13</v>
      </c>
      <c r="BQ1345" s="2" t="s">
        <v>91</v>
      </c>
      <c r="BR1345" s="2" t="s">
        <v>185</v>
      </c>
      <c r="BS1345" s="3">
        <v>40272</v>
      </c>
      <c r="BT1345" s="4">
        <v>0.5510532407407408</v>
      </c>
    </row>
    <row r="1346" spans="1:72" x14ac:dyDescent="0.25">
      <c r="A1346" s="2">
        <v>2010</v>
      </c>
      <c r="B1346" s="2">
        <v>2010</v>
      </c>
      <c r="C1346" s="2" t="s">
        <v>93</v>
      </c>
      <c r="D1346" s="2" t="s">
        <v>73</v>
      </c>
      <c r="E1346" s="2"/>
      <c r="F1346" s="2">
        <v>457</v>
      </c>
      <c r="G1346" s="2" t="s">
        <v>1416</v>
      </c>
      <c r="H1346" s="2">
        <v>65</v>
      </c>
      <c r="I1346" s="2" t="s">
        <v>3147</v>
      </c>
      <c r="J1346" s="2">
        <v>187</v>
      </c>
      <c r="K1346" s="2" t="s">
        <v>3148</v>
      </c>
      <c r="L1346" s="2" t="s">
        <v>2518</v>
      </c>
      <c r="M1346" s="3">
        <v>40272</v>
      </c>
      <c r="N1346" s="2" t="s">
        <v>4980</v>
      </c>
      <c r="O1346" s="2" t="s">
        <v>1130</v>
      </c>
      <c r="P1346" s="2">
        <v>46972</v>
      </c>
      <c r="Q1346" s="2" t="str">
        <f>"0038/10"</f>
        <v>0038/10</v>
      </c>
      <c r="R1346" s="2" t="s">
        <v>513</v>
      </c>
      <c r="S1346" s="2"/>
      <c r="T1346" s="2">
        <v>1</v>
      </c>
      <c r="U1346" s="2" t="s">
        <v>79</v>
      </c>
      <c r="V1346" s="2">
        <v>1</v>
      </c>
      <c r="W1346" s="2" t="s">
        <v>80</v>
      </c>
      <c r="X1346" s="2">
        <v>3</v>
      </c>
      <c r="Y1346" s="2" t="s">
        <v>698</v>
      </c>
      <c r="Z1346" s="2">
        <v>9</v>
      </c>
      <c r="AA1346" s="2" t="s">
        <v>1119</v>
      </c>
      <c r="AB1346" s="2">
        <v>2</v>
      </c>
      <c r="AC1346" s="2" t="s">
        <v>102</v>
      </c>
      <c r="AD1346" s="3">
        <v>40272</v>
      </c>
      <c r="AE1346" s="4">
        <v>0.63055555555555554</v>
      </c>
      <c r="AF1346" s="2"/>
      <c r="AG1346" s="2"/>
      <c r="AH1346" s="2">
        <v>5</v>
      </c>
      <c r="AI1346" s="2" t="s">
        <v>274</v>
      </c>
      <c r="AJ1346" s="2">
        <v>38</v>
      </c>
      <c r="AK1346" s="2" t="s">
        <v>1120</v>
      </c>
      <c r="AL1346" s="2">
        <v>11</v>
      </c>
      <c r="AM1346" s="2" t="s">
        <v>137</v>
      </c>
      <c r="AN1346" s="2"/>
      <c r="AO1346" s="2" t="s">
        <v>4981</v>
      </c>
      <c r="AP1346" s="2">
        <v>11</v>
      </c>
      <c r="AQ1346" s="2" t="s">
        <v>82</v>
      </c>
      <c r="AR1346" s="2"/>
      <c r="AS1346" s="2"/>
      <c r="AT1346" s="2" t="s">
        <v>4982</v>
      </c>
      <c r="AU1346" s="2"/>
      <c r="AV1346" s="2"/>
      <c r="AW1346" s="2"/>
      <c r="AX1346" s="2"/>
      <c r="AY1346" s="2">
        <v>41</v>
      </c>
      <c r="AZ1346" s="2" t="s">
        <v>82</v>
      </c>
      <c r="BA1346" s="2">
        <v>41</v>
      </c>
      <c r="BB1346" s="2" t="s">
        <v>82</v>
      </c>
      <c r="BC1346" s="2">
        <v>41</v>
      </c>
      <c r="BD1346" s="2" t="s">
        <v>82</v>
      </c>
      <c r="BE1346" s="2">
        <v>4</v>
      </c>
      <c r="BF1346" s="2" t="s">
        <v>90</v>
      </c>
      <c r="BG1346" s="2">
        <v>4027</v>
      </c>
      <c r="BH1346" s="4">
        <v>0.59375</v>
      </c>
      <c r="BI1346" s="4">
        <v>0.63541666666666663</v>
      </c>
      <c r="BJ1346" s="2">
        <v>13</v>
      </c>
      <c r="BK1346" s="2" t="s">
        <v>91</v>
      </c>
      <c r="BL1346" s="2" t="s">
        <v>170</v>
      </c>
      <c r="BM1346" s="2">
        <v>13</v>
      </c>
      <c r="BN1346" s="2" t="s">
        <v>91</v>
      </c>
      <c r="BO1346" s="2" t="s">
        <v>3140</v>
      </c>
      <c r="BP1346" s="2">
        <v>13</v>
      </c>
      <c r="BQ1346" s="2" t="s">
        <v>91</v>
      </c>
      <c r="BR1346" s="2" t="s">
        <v>170</v>
      </c>
      <c r="BS1346" s="3">
        <v>40272</v>
      </c>
      <c r="BT1346" s="4">
        <v>0.65706018518518516</v>
      </c>
    </row>
    <row r="1347" spans="1:72" x14ac:dyDescent="0.25">
      <c r="A1347" s="2">
        <v>2011</v>
      </c>
      <c r="B1347" s="2">
        <v>2010</v>
      </c>
      <c r="C1347" s="2" t="s">
        <v>196</v>
      </c>
      <c r="D1347" s="2" t="s">
        <v>122</v>
      </c>
      <c r="E1347" s="2"/>
      <c r="F1347" s="2">
        <v>1</v>
      </c>
      <c r="G1347" s="2" t="s">
        <v>82</v>
      </c>
      <c r="H1347" s="2">
        <v>1</v>
      </c>
      <c r="I1347" s="2" t="s">
        <v>82</v>
      </c>
      <c r="J1347" s="2">
        <v>1</v>
      </c>
      <c r="K1347" s="2" t="s">
        <v>107</v>
      </c>
      <c r="L1347" s="2" t="s">
        <v>107</v>
      </c>
      <c r="M1347" s="3">
        <v>40272</v>
      </c>
      <c r="N1347" s="2"/>
      <c r="O1347" s="2"/>
      <c r="P1347" s="2"/>
      <c r="Q1347" s="2" t="str">
        <f>""</f>
        <v/>
      </c>
      <c r="R1347" s="2"/>
      <c r="S1347" s="2"/>
      <c r="T1347" s="2">
        <v>2</v>
      </c>
      <c r="U1347" s="2" t="s">
        <v>123</v>
      </c>
      <c r="V1347" s="2">
        <v>1</v>
      </c>
      <c r="W1347" s="2" t="s">
        <v>80</v>
      </c>
      <c r="X1347" s="2">
        <v>5</v>
      </c>
      <c r="Y1347" s="2" t="s">
        <v>82</v>
      </c>
      <c r="Z1347" s="2">
        <v>1</v>
      </c>
      <c r="AA1347" s="2" t="s">
        <v>82</v>
      </c>
      <c r="AB1347" s="2">
        <v>9</v>
      </c>
      <c r="AC1347" s="2" t="s">
        <v>124</v>
      </c>
      <c r="AD1347" s="3">
        <v>40272</v>
      </c>
      <c r="AE1347" s="4">
        <v>0.67361111111111116</v>
      </c>
      <c r="AF1347" s="2"/>
      <c r="AG1347" s="2"/>
      <c r="AH1347" s="2">
        <v>6</v>
      </c>
      <c r="AI1347" s="2" t="s">
        <v>197</v>
      </c>
      <c r="AJ1347" s="2">
        <v>59</v>
      </c>
      <c r="AK1347" s="2" t="s">
        <v>198</v>
      </c>
      <c r="AL1347" s="2">
        <v>9</v>
      </c>
      <c r="AM1347" s="2" t="s">
        <v>259</v>
      </c>
      <c r="AN1347" s="2"/>
      <c r="AO1347" s="2" t="s">
        <v>230</v>
      </c>
      <c r="AP1347" s="2">
        <v>11</v>
      </c>
      <c r="AQ1347" s="2" t="s">
        <v>82</v>
      </c>
      <c r="AR1347" s="2"/>
      <c r="AS1347" s="2"/>
      <c r="AT1347" s="2" t="s">
        <v>4983</v>
      </c>
      <c r="AU1347" s="2"/>
      <c r="AV1347" s="2"/>
      <c r="AW1347" s="2"/>
      <c r="AX1347" s="2"/>
      <c r="AY1347" s="2">
        <v>1</v>
      </c>
      <c r="AZ1347" s="2" t="s">
        <v>107</v>
      </c>
      <c r="BA1347" s="2">
        <v>1</v>
      </c>
      <c r="BB1347" s="2" t="s">
        <v>107</v>
      </c>
      <c r="BC1347" s="2">
        <v>1</v>
      </c>
      <c r="BD1347" s="2" t="s">
        <v>107</v>
      </c>
      <c r="BE1347" s="2">
        <v>1</v>
      </c>
      <c r="BF1347" s="2" t="s">
        <v>107</v>
      </c>
      <c r="BG1347" s="2"/>
      <c r="BH1347" s="2"/>
      <c r="BI1347" s="4">
        <v>0.67361111111111116</v>
      </c>
      <c r="BJ1347" s="2">
        <v>13</v>
      </c>
      <c r="BK1347" s="2" t="s">
        <v>91</v>
      </c>
      <c r="BL1347" s="2" t="s">
        <v>204</v>
      </c>
      <c r="BM1347" s="2">
        <v>241</v>
      </c>
      <c r="BN1347" s="2" t="s">
        <v>82</v>
      </c>
      <c r="BO1347" s="2" t="s">
        <v>82</v>
      </c>
      <c r="BP1347" s="2">
        <v>13</v>
      </c>
      <c r="BQ1347" s="2" t="s">
        <v>91</v>
      </c>
      <c r="BR1347" s="2" t="s">
        <v>185</v>
      </c>
      <c r="BS1347" s="3">
        <v>40272</v>
      </c>
      <c r="BT1347" s="4">
        <v>0.66829861111111111</v>
      </c>
    </row>
    <row r="1348" spans="1:72" x14ac:dyDescent="0.25">
      <c r="A1348" s="2">
        <v>2012</v>
      </c>
      <c r="B1348" s="2">
        <v>2010</v>
      </c>
      <c r="C1348" s="2" t="s">
        <v>72</v>
      </c>
      <c r="D1348" s="2" t="s">
        <v>73</v>
      </c>
      <c r="E1348" s="2"/>
      <c r="F1348" s="2">
        <v>550</v>
      </c>
      <c r="G1348" s="2" t="s">
        <v>4883</v>
      </c>
      <c r="H1348" s="2">
        <v>2</v>
      </c>
      <c r="I1348" s="2" t="s">
        <v>267</v>
      </c>
      <c r="J1348" s="2">
        <v>510</v>
      </c>
      <c r="K1348" s="2" t="s">
        <v>4884</v>
      </c>
      <c r="L1348" s="2" t="s">
        <v>4885</v>
      </c>
      <c r="M1348" s="3">
        <v>40272</v>
      </c>
      <c r="N1348" s="2" t="s">
        <v>4886</v>
      </c>
      <c r="O1348" s="2" t="s">
        <v>4984</v>
      </c>
      <c r="P1348" s="2" t="s">
        <v>107</v>
      </c>
      <c r="Q1348" s="2" t="str">
        <f>"0017/2010"</f>
        <v>0017/2010</v>
      </c>
      <c r="R1348" s="2" t="s">
        <v>4984</v>
      </c>
      <c r="S1348" s="2" t="s">
        <v>4984</v>
      </c>
      <c r="T1348" s="2">
        <v>1</v>
      </c>
      <c r="U1348" s="2" t="s">
        <v>79</v>
      </c>
      <c r="V1348" s="2">
        <v>1</v>
      </c>
      <c r="W1348" s="2" t="s">
        <v>80</v>
      </c>
      <c r="X1348" s="2">
        <v>1</v>
      </c>
      <c r="Y1348" s="2" t="s">
        <v>81</v>
      </c>
      <c r="Z1348" s="2">
        <v>10</v>
      </c>
      <c r="AA1348" s="2" t="s">
        <v>236</v>
      </c>
      <c r="AB1348" s="2">
        <v>6</v>
      </c>
      <c r="AC1348" s="2" t="s">
        <v>83</v>
      </c>
      <c r="AD1348" s="3">
        <v>40272</v>
      </c>
      <c r="AE1348" s="4">
        <v>0.39930555555555558</v>
      </c>
      <c r="AF1348" s="3">
        <v>40272</v>
      </c>
      <c r="AG1348" s="4">
        <v>0.40277777777777773</v>
      </c>
      <c r="AH1348" s="2">
        <v>5</v>
      </c>
      <c r="AI1348" s="2" t="s">
        <v>274</v>
      </c>
      <c r="AJ1348" s="2">
        <v>42</v>
      </c>
      <c r="AK1348" s="2" t="s">
        <v>660</v>
      </c>
      <c r="AL1348" s="2">
        <v>9</v>
      </c>
      <c r="AM1348" s="2" t="s">
        <v>259</v>
      </c>
      <c r="AN1348" s="2" t="s">
        <v>4985</v>
      </c>
      <c r="AO1348" s="2" t="s">
        <v>4986</v>
      </c>
      <c r="AP1348" s="2">
        <v>11</v>
      </c>
      <c r="AQ1348" s="2" t="s">
        <v>82</v>
      </c>
      <c r="AR1348" s="2" t="s">
        <v>82</v>
      </c>
      <c r="AS1348" s="2" t="s">
        <v>82</v>
      </c>
      <c r="AT1348" s="2" t="s">
        <v>4987</v>
      </c>
      <c r="AU1348" s="2"/>
      <c r="AV1348" s="2"/>
      <c r="AW1348" s="2"/>
      <c r="AX1348" s="2"/>
      <c r="AY1348" s="2">
        <v>41</v>
      </c>
      <c r="AZ1348" s="2" t="s">
        <v>82</v>
      </c>
      <c r="BA1348" s="2">
        <v>41</v>
      </c>
      <c r="BB1348" s="2" t="s">
        <v>82</v>
      </c>
      <c r="BC1348" s="2">
        <v>41</v>
      </c>
      <c r="BD1348" s="2" t="s">
        <v>82</v>
      </c>
      <c r="BE1348" s="2">
        <v>41</v>
      </c>
      <c r="BF1348" s="2" t="s">
        <v>82</v>
      </c>
      <c r="BG1348" s="2" t="s">
        <v>82</v>
      </c>
      <c r="BH1348" s="2"/>
      <c r="BI1348" s="2"/>
      <c r="BJ1348" s="2">
        <v>241</v>
      </c>
      <c r="BK1348" s="2" t="s">
        <v>82</v>
      </c>
      <c r="BL1348" s="2" t="s">
        <v>82</v>
      </c>
      <c r="BM1348" s="2">
        <v>241</v>
      </c>
      <c r="BN1348" s="2" t="s">
        <v>82</v>
      </c>
      <c r="BO1348" s="2" t="s">
        <v>82</v>
      </c>
      <c r="BP1348" s="2">
        <v>241</v>
      </c>
      <c r="BQ1348" s="2" t="s">
        <v>82</v>
      </c>
      <c r="BR1348" s="2" t="s">
        <v>82</v>
      </c>
      <c r="BS1348" s="3">
        <v>40272</v>
      </c>
      <c r="BT1348" s="4">
        <v>0.69868055555555564</v>
      </c>
    </row>
    <row r="1349" spans="1:72" x14ac:dyDescent="0.25">
      <c r="A1349" s="2">
        <v>2013</v>
      </c>
      <c r="B1349" s="2">
        <v>2010</v>
      </c>
      <c r="C1349" s="2" t="s">
        <v>196</v>
      </c>
      <c r="D1349" s="2" t="s">
        <v>122</v>
      </c>
      <c r="E1349" s="2"/>
      <c r="F1349" s="2">
        <v>1</v>
      </c>
      <c r="G1349" s="2" t="s">
        <v>82</v>
      </c>
      <c r="H1349" s="2">
        <v>1</v>
      </c>
      <c r="I1349" s="2" t="s">
        <v>82</v>
      </c>
      <c r="J1349" s="2">
        <v>1</v>
      </c>
      <c r="K1349" s="2" t="s">
        <v>107</v>
      </c>
      <c r="L1349" s="2" t="s">
        <v>107</v>
      </c>
      <c r="M1349" s="3">
        <v>40272</v>
      </c>
      <c r="N1349" s="2"/>
      <c r="O1349" s="2"/>
      <c r="P1349" s="2"/>
      <c r="Q1349" s="2" t="str">
        <f>""</f>
        <v/>
      </c>
      <c r="R1349" s="2"/>
      <c r="S1349" s="2"/>
      <c r="T1349" s="2">
        <v>2</v>
      </c>
      <c r="U1349" s="2" t="s">
        <v>123</v>
      </c>
      <c r="V1349" s="2">
        <v>1</v>
      </c>
      <c r="W1349" s="2" t="s">
        <v>80</v>
      </c>
      <c r="X1349" s="2">
        <v>1</v>
      </c>
      <c r="Y1349" s="2" t="s">
        <v>81</v>
      </c>
      <c r="Z1349" s="2">
        <v>10</v>
      </c>
      <c r="AA1349" s="2" t="s">
        <v>236</v>
      </c>
      <c r="AB1349" s="2">
        <v>9</v>
      </c>
      <c r="AC1349" s="2" t="s">
        <v>124</v>
      </c>
      <c r="AD1349" s="3">
        <v>40272</v>
      </c>
      <c r="AE1349" s="4">
        <v>0.75</v>
      </c>
      <c r="AF1349" s="2"/>
      <c r="AG1349" s="2"/>
      <c r="AH1349" s="2">
        <v>2</v>
      </c>
      <c r="AI1349" s="2" t="s">
        <v>84</v>
      </c>
      <c r="AJ1349" s="2">
        <v>12</v>
      </c>
      <c r="AK1349" s="2" t="s">
        <v>85</v>
      </c>
      <c r="AL1349" s="2">
        <v>20</v>
      </c>
      <c r="AM1349" s="2" t="s">
        <v>992</v>
      </c>
      <c r="AN1349" s="2" t="s">
        <v>107</v>
      </c>
      <c r="AO1349" s="2" t="s">
        <v>992</v>
      </c>
      <c r="AP1349" s="2">
        <v>11</v>
      </c>
      <c r="AQ1349" s="2" t="s">
        <v>82</v>
      </c>
      <c r="AR1349" s="2"/>
      <c r="AS1349" s="2"/>
      <c r="AT1349" s="2" t="s">
        <v>4988</v>
      </c>
      <c r="AU1349" s="2"/>
      <c r="AV1349" s="2"/>
      <c r="AW1349" s="2"/>
      <c r="AX1349" s="2"/>
      <c r="AY1349" s="2">
        <v>41</v>
      </c>
      <c r="AZ1349" s="2" t="s">
        <v>82</v>
      </c>
      <c r="BA1349" s="2">
        <v>41</v>
      </c>
      <c r="BB1349" s="2" t="s">
        <v>82</v>
      </c>
      <c r="BC1349" s="2">
        <v>41</v>
      </c>
      <c r="BD1349" s="2" t="s">
        <v>82</v>
      </c>
      <c r="BE1349" s="2">
        <v>41</v>
      </c>
      <c r="BF1349" s="2" t="s">
        <v>82</v>
      </c>
      <c r="BG1349" s="2"/>
      <c r="BH1349" s="2"/>
      <c r="BI1349" s="2"/>
      <c r="BJ1349" s="2">
        <v>13</v>
      </c>
      <c r="BK1349" s="2" t="s">
        <v>91</v>
      </c>
      <c r="BL1349" s="2" t="s">
        <v>204</v>
      </c>
      <c r="BM1349" s="2">
        <v>241</v>
      </c>
      <c r="BN1349" s="2" t="s">
        <v>82</v>
      </c>
      <c r="BO1349" s="2" t="s">
        <v>82</v>
      </c>
      <c r="BP1349" s="2">
        <v>13</v>
      </c>
      <c r="BQ1349" s="2" t="s">
        <v>91</v>
      </c>
      <c r="BR1349" s="2" t="s">
        <v>185</v>
      </c>
      <c r="BS1349" s="3">
        <v>40272</v>
      </c>
      <c r="BT1349" s="4">
        <v>0.80361111111111105</v>
      </c>
    </row>
    <row r="1350" spans="1:72" x14ac:dyDescent="0.25">
      <c r="A1350" s="2">
        <v>2014</v>
      </c>
      <c r="B1350" s="2">
        <v>2010</v>
      </c>
      <c r="C1350" s="2" t="s">
        <v>72</v>
      </c>
      <c r="D1350" s="2" t="s">
        <v>73</v>
      </c>
      <c r="E1350" s="2"/>
      <c r="F1350" s="2">
        <v>389</v>
      </c>
      <c r="G1350" s="2" t="s">
        <v>1819</v>
      </c>
      <c r="H1350" s="2">
        <v>3</v>
      </c>
      <c r="I1350" s="2" t="s">
        <v>315</v>
      </c>
      <c r="J1350" s="2">
        <v>399</v>
      </c>
      <c r="K1350" s="2" t="s">
        <v>1820</v>
      </c>
      <c r="L1350" s="2" t="s">
        <v>1821</v>
      </c>
      <c r="M1350" s="3">
        <v>40272</v>
      </c>
      <c r="N1350" s="2" t="s">
        <v>2319</v>
      </c>
      <c r="O1350" s="2" t="s">
        <v>4989</v>
      </c>
      <c r="P1350" s="2"/>
      <c r="Q1350" s="2" t="str">
        <f>"182-E/10"</f>
        <v>182-E/10</v>
      </c>
      <c r="R1350" s="2"/>
      <c r="S1350" s="2" t="s">
        <v>4989</v>
      </c>
      <c r="T1350" s="2">
        <v>1</v>
      </c>
      <c r="U1350" s="2" t="s">
        <v>79</v>
      </c>
      <c r="V1350" s="2">
        <v>1</v>
      </c>
      <c r="W1350" s="2" t="s">
        <v>80</v>
      </c>
      <c r="X1350" s="2">
        <v>1</v>
      </c>
      <c r="Y1350" s="2" t="s">
        <v>81</v>
      </c>
      <c r="Z1350" s="2">
        <v>1</v>
      </c>
      <c r="AA1350" s="2" t="s">
        <v>82</v>
      </c>
      <c r="AB1350" s="2">
        <v>6</v>
      </c>
      <c r="AC1350" s="2" t="s">
        <v>83</v>
      </c>
      <c r="AD1350" s="3">
        <v>40272</v>
      </c>
      <c r="AE1350" s="4">
        <v>0.625</v>
      </c>
      <c r="AF1350" s="3">
        <v>40272</v>
      </c>
      <c r="AG1350" s="4">
        <v>0.65625</v>
      </c>
      <c r="AH1350" s="2">
        <v>2</v>
      </c>
      <c r="AI1350" s="2" t="s">
        <v>84</v>
      </c>
      <c r="AJ1350" s="2">
        <v>9</v>
      </c>
      <c r="AK1350" s="2" t="s">
        <v>103</v>
      </c>
      <c r="AL1350" s="2">
        <v>14</v>
      </c>
      <c r="AM1350" s="2" t="s">
        <v>216</v>
      </c>
      <c r="AN1350" s="2" t="s">
        <v>4990</v>
      </c>
      <c r="AO1350" s="2" t="s">
        <v>82</v>
      </c>
      <c r="AP1350" s="2">
        <v>11</v>
      </c>
      <c r="AQ1350" s="2" t="s">
        <v>82</v>
      </c>
      <c r="AR1350" s="2"/>
      <c r="AS1350" s="2"/>
      <c r="AT1350" s="2" t="s">
        <v>4991</v>
      </c>
      <c r="AU1350" s="2"/>
      <c r="AV1350" s="2"/>
      <c r="AW1350" s="2"/>
      <c r="AX1350" s="2"/>
      <c r="AY1350" s="2">
        <v>41</v>
      </c>
      <c r="AZ1350" s="2" t="s">
        <v>82</v>
      </c>
      <c r="BA1350" s="2">
        <v>41</v>
      </c>
      <c r="BB1350" s="2" t="s">
        <v>82</v>
      </c>
      <c r="BC1350" s="2">
        <v>41</v>
      </c>
      <c r="BD1350" s="2" t="s">
        <v>82</v>
      </c>
      <c r="BE1350" s="2">
        <v>1</v>
      </c>
      <c r="BF1350" s="2" t="s">
        <v>107</v>
      </c>
      <c r="BG1350" s="2"/>
      <c r="BH1350" s="2"/>
      <c r="BI1350" s="2"/>
      <c r="BJ1350" s="2">
        <v>241</v>
      </c>
      <c r="BK1350" s="2" t="s">
        <v>82</v>
      </c>
      <c r="BL1350" s="2"/>
      <c r="BM1350" s="2">
        <v>241</v>
      </c>
      <c r="BN1350" s="2" t="s">
        <v>82</v>
      </c>
      <c r="BO1350" s="2"/>
      <c r="BP1350" s="2">
        <v>241</v>
      </c>
      <c r="BQ1350" s="2" t="s">
        <v>82</v>
      </c>
      <c r="BR1350" s="2"/>
      <c r="BS1350" s="3">
        <v>40272</v>
      </c>
      <c r="BT1350" s="4">
        <v>0.88538194444444451</v>
      </c>
    </row>
    <row r="1351" spans="1:72" x14ac:dyDescent="0.25">
      <c r="A1351" s="2">
        <v>2015</v>
      </c>
      <c r="B1351" s="2">
        <v>2010</v>
      </c>
      <c r="C1351" s="2" t="s">
        <v>237</v>
      </c>
      <c r="D1351" s="2" t="s">
        <v>122</v>
      </c>
      <c r="E1351" s="2"/>
      <c r="F1351" s="2">
        <v>1</v>
      </c>
      <c r="G1351" s="2" t="s">
        <v>82</v>
      </c>
      <c r="H1351" s="2">
        <v>1</v>
      </c>
      <c r="I1351" s="2" t="s">
        <v>82</v>
      </c>
      <c r="J1351" s="2">
        <v>1</v>
      </c>
      <c r="K1351" s="2" t="s">
        <v>107</v>
      </c>
      <c r="L1351" s="2" t="s">
        <v>107</v>
      </c>
      <c r="M1351" s="3">
        <v>40272</v>
      </c>
      <c r="N1351" s="2" t="s">
        <v>4992</v>
      </c>
      <c r="O1351" s="2" t="s">
        <v>107</v>
      </c>
      <c r="P1351" s="2" t="s">
        <v>107</v>
      </c>
      <c r="Q1351" s="2" t="str">
        <f>"N/C"</f>
        <v>N/C</v>
      </c>
      <c r="R1351" s="2" t="s">
        <v>82</v>
      </c>
      <c r="S1351" s="2" t="s">
        <v>82</v>
      </c>
      <c r="T1351" s="2">
        <v>2</v>
      </c>
      <c r="U1351" s="2" t="s">
        <v>123</v>
      </c>
      <c r="V1351" s="2">
        <v>1</v>
      </c>
      <c r="W1351" s="2" t="s">
        <v>80</v>
      </c>
      <c r="X1351" s="2">
        <v>1</v>
      </c>
      <c r="Y1351" s="2" t="s">
        <v>81</v>
      </c>
      <c r="Z1351" s="2">
        <v>22</v>
      </c>
      <c r="AA1351" s="2" t="s">
        <v>4417</v>
      </c>
      <c r="AB1351" s="2">
        <v>9</v>
      </c>
      <c r="AC1351" s="2" t="s">
        <v>124</v>
      </c>
      <c r="AD1351" s="3">
        <v>40269</v>
      </c>
      <c r="AE1351" s="4">
        <v>0.9375</v>
      </c>
      <c r="AF1351" s="2"/>
      <c r="AG1351" s="2"/>
      <c r="AH1351" s="2">
        <v>6</v>
      </c>
      <c r="AI1351" s="2" t="s">
        <v>197</v>
      </c>
      <c r="AJ1351" s="2">
        <v>51</v>
      </c>
      <c r="AK1351" s="2" t="s">
        <v>238</v>
      </c>
      <c r="AL1351" s="2">
        <v>8</v>
      </c>
      <c r="AM1351" s="2" t="s">
        <v>179</v>
      </c>
      <c r="AN1351" s="2" t="s">
        <v>82</v>
      </c>
      <c r="AO1351" s="2" t="s">
        <v>4993</v>
      </c>
      <c r="AP1351" s="2">
        <v>5</v>
      </c>
      <c r="AQ1351" s="2" t="s">
        <v>827</v>
      </c>
      <c r="AR1351" s="2" t="s">
        <v>107</v>
      </c>
      <c r="AS1351" s="2"/>
      <c r="AT1351" s="2" t="s">
        <v>4994</v>
      </c>
      <c r="AU1351" s="2"/>
      <c r="AV1351" s="2"/>
      <c r="AW1351" s="2"/>
      <c r="AX1351" s="2"/>
      <c r="AY1351" s="2">
        <v>41</v>
      </c>
      <c r="AZ1351" s="2" t="s">
        <v>82</v>
      </c>
      <c r="BA1351" s="2">
        <v>41</v>
      </c>
      <c r="BB1351" s="2" t="s">
        <v>82</v>
      </c>
      <c r="BC1351" s="2">
        <v>57</v>
      </c>
      <c r="BD1351" s="2"/>
      <c r="BE1351" s="2">
        <v>13</v>
      </c>
      <c r="BF1351" s="2" t="s">
        <v>108</v>
      </c>
      <c r="BG1351" s="2">
        <v>2657</v>
      </c>
      <c r="BH1351" s="2"/>
      <c r="BI1351" s="4">
        <v>0.88888888888888884</v>
      </c>
      <c r="BJ1351" s="2">
        <v>241</v>
      </c>
      <c r="BK1351" s="2" t="s">
        <v>82</v>
      </c>
      <c r="BL1351" s="2" t="s">
        <v>82</v>
      </c>
      <c r="BM1351" s="2">
        <v>241</v>
      </c>
      <c r="BN1351" s="2" t="s">
        <v>82</v>
      </c>
      <c r="BO1351" s="2" t="s">
        <v>82</v>
      </c>
      <c r="BP1351" s="2">
        <v>13</v>
      </c>
      <c r="BQ1351" s="2" t="s">
        <v>91</v>
      </c>
      <c r="BR1351" s="2" t="s">
        <v>4995</v>
      </c>
      <c r="BS1351" s="3">
        <v>40272</v>
      </c>
      <c r="BT1351" s="4">
        <v>0.88770833333333332</v>
      </c>
    </row>
    <row r="1352" spans="1:72" x14ac:dyDescent="0.25">
      <c r="A1352" s="2">
        <v>2016</v>
      </c>
      <c r="B1352" s="2">
        <v>2010</v>
      </c>
      <c r="C1352" s="2" t="s">
        <v>72</v>
      </c>
      <c r="D1352" s="2" t="s">
        <v>73</v>
      </c>
      <c r="E1352" s="2"/>
      <c r="F1352" s="2">
        <v>3</v>
      </c>
      <c r="G1352" s="2" t="s">
        <v>1041</v>
      </c>
      <c r="H1352" s="2">
        <v>42</v>
      </c>
      <c r="I1352" s="2" t="s">
        <v>1096</v>
      </c>
      <c r="J1352" s="2">
        <v>368</v>
      </c>
      <c r="K1352" s="2" t="s">
        <v>1042</v>
      </c>
      <c r="L1352" s="2" t="s">
        <v>1043</v>
      </c>
      <c r="M1352" s="3">
        <v>40272</v>
      </c>
      <c r="N1352" s="2"/>
      <c r="O1352" s="2"/>
      <c r="P1352" s="2"/>
      <c r="Q1352" s="2" t="str">
        <f>"183-E/10"</f>
        <v>183-E/10</v>
      </c>
      <c r="R1352" s="2"/>
      <c r="S1352" s="2" t="s">
        <v>4823</v>
      </c>
      <c r="T1352" s="2">
        <v>1</v>
      </c>
      <c r="U1352" s="2" t="s">
        <v>79</v>
      </c>
      <c r="V1352" s="2">
        <v>1</v>
      </c>
      <c r="W1352" s="2" t="s">
        <v>80</v>
      </c>
      <c r="X1352" s="2">
        <v>1</v>
      </c>
      <c r="Y1352" s="2" t="s">
        <v>81</v>
      </c>
      <c r="Z1352" s="2">
        <v>1</v>
      </c>
      <c r="AA1352" s="2" t="s">
        <v>82</v>
      </c>
      <c r="AB1352" s="2">
        <v>6</v>
      </c>
      <c r="AC1352" s="2" t="s">
        <v>83</v>
      </c>
      <c r="AD1352" s="3">
        <v>40272</v>
      </c>
      <c r="AE1352" s="4">
        <v>0.58333333333333337</v>
      </c>
      <c r="AF1352" s="3">
        <v>40272</v>
      </c>
      <c r="AG1352" s="4">
        <v>0.67013888888888884</v>
      </c>
      <c r="AH1352" s="2">
        <v>2</v>
      </c>
      <c r="AI1352" s="2" t="s">
        <v>84</v>
      </c>
      <c r="AJ1352" s="2">
        <v>9</v>
      </c>
      <c r="AK1352" s="2" t="s">
        <v>103</v>
      </c>
      <c r="AL1352" s="2">
        <v>12</v>
      </c>
      <c r="AM1352" s="2" t="s">
        <v>86</v>
      </c>
      <c r="AN1352" s="2" t="s">
        <v>2585</v>
      </c>
      <c r="AO1352" s="2" t="s">
        <v>82</v>
      </c>
      <c r="AP1352" s="2">
        <v>11</v>
      </c>
      <c r="AQ1352" s="2" t="s">
        <v>82</v>
      </c>
      <c r="AR1352" s="2"/>
      <c r="AS1352" s="2"/>
      <c r="AT1352" s="2" t="s">
        <v>4996</v>
      </c>
      <c r="AU1352" s="2"/>
      <c r="AV1352" s="2"/>
      <c r="AW1352" s="2"/>
      <c r="AX1352" s="2"/>
      <c r="AY1352" s="2">
        <v>41</v>
      </c>
      <c r="AZ1352" s="2" t="s">
        <v>82</v>
      </c>
      <c r="BA1352" s="2">
        <v>41</v>
      </c>
      <c r="BB1352" s="2" t="s">
        <v>82</v>
      </c>
      <c r="BC1352" s="2">
        <v>41</v>
      </c>
      <c r="BD1352" s="2" t="s">
        <v>82</v>
      </c>
      <c r="BE1352" s="2">
        <v>39</v>
      </c>
      <c r="BF1352" s="2" t="s">
        <v>440</v>
      </c>
      <c r="BG1352" s="2" t="s">
        <v>4997</v>
      </c>
      <c r="BH1352" s="4">
        <v>0.56944444444444442</v>
      </c>
      <c r="BI1352" s="2"/>
      <c r="BJ1352" s="2">
        <v>33</v>
      </c>
      <c r="BK1352" s="2" t="s">
        <v>361</v>
      </c>
      <c r="BL1352" s="2"/>
      <c r="BM1352" s="2">
        <v>241</v>
      </c>
      <c r="BN1352" s="2" t="s">
        <v>82</v>
      </c>
      <c r="BO1352" s="2"/>
      <c r="BP1352" s="2">
        <v>13</v>
      </c>
      <c r="BQ1352" s="2" t="s">
        <v>91</v>
      </c>
      <c r="BR1352" s="2" t="s">
        <v>4998</v>
      </c>
      <c r="BS1352" s="3">
        <v>40272</v>
      </c>
      <c r="BT1352" s="4">
        <v>0.91774305555555558</v>
      </c>
    </row>
    <row r="1353" spans="1:72" x14ac:dyDescent="0.25">
      <c r="A1353" s="2">
        <v>2017</v>
      </c>
      <c r="B1353" s="2">
        <v>2010</v>
      </c>
      <c r="C1353" s="2" t="s">
        <v>72</v>
      </c>
      <c r="D1353" s="2" t="s">
        <v>122</v>
      </c>
      <c r="E1353" s="2"/>
      <c r="F1353" s="2">
        <v>389</v>
      </c>
      <c r="G1353" s="2" t="s">
        <v>1819</v>
      </c>
      <c r="H1353" s="2">
        <v>3</v>
      </c>
      <c r="I1353" s="2" t="s">
        <v>315</v>
      </c>
      <c r="J1353" s="2">
        <v>399</v>
      </c>
      <c r="K1353" s="2" t="s">
        <v>1820</v>
      </c>
      <c r="L1353" s="2" t="s">
        <v>1821</v>
      </c>
      <c r="M1353" s="3">
        <v>40272</v>
      </c>
      <c r="N1353" s="2" t="s">
        <v>2319</v>
      </c>
      <c r="O1353" s="2"/>
      <c r="P1353" s="2"/>
      <c r="Q1353" s="2" t="str">
        <f>"182-E/10"</f>
        <v>182-E/10</v>
      </c>
      <c r="R1353" s="2"/>
      <c r="S1353" s="2" t="s">
        <v>4989</v>
      </c>
      <c r="T1353" s="2">
        <v>1</v>
      </c>
      <c r="U1353" s="2" t="s">
        <v>79</v>
      </c>
      <c r="V1353" s="2">
        <v>1</v>
      </c>
      <c r="W1353" s="2" t="s">
        <v>80</v>
      </c>
      <c r="X1353" s="2">
        <v>1</v>
      </c>
      <c r="Y1353" s="2" t="s">
        <v>81</v>
      </c>
      <c r="Z1353" s="2">
        <v>1</v>
      </c>
      <c r="AA1353" s="2" t="s">
        <v>82</v>
      </c>
      <c r="AB1353" s="2">
        <v>6</v>
      </c>
      <c r="AC1353" s="2" t="s">
        <v>83</v>
      </c>
      <c r="AD1353" s="3">
        <v>40272</v>
      </c>
      <c r="AE1353" s="4">
        <v>0.625</v>
      </c>
      <c r="AF1353" s="3">
        <v>40272</v>
      </c>
      <c r="AG1353" s="4">
        <v>0.65625</v>
      </c>
      <c r="AH1353" s="2">
        <v>2</v>
      </c>
      <c r="AI1353" s="2" t="s">
        <v>84</v>
      </c>
      <c r="AJ1353" s="2">
        <v>9</v>
      </c>
      <c r="AK1353" s="2" t="s">
        <v>103</v>
      </c>
      <c r="AL1353" s="2">
        <v>14</v>
      </c>
      <c r="AM1353" s="2" t="s">
        <v>216</v>
      </c>
      <c r="AN1353" s="2"/>
      <c r="AO1353" s="2" t="s">
        <v>4999</v>
      </c>
      <c r="AP1353" s="2">
        <v>11</v>
      </c>
      <c r="AQ1353" s="2" t="s">
        <v>82</v>
      </c>
      <c r="AR1353" s="2"/>
      <c r="AS1353" s="2"/>
      <c r="AT1353" s="2" t="s">
        <v>5000</v>
      </c>
      <c r="AU1353" s="2"/>
      <c r="AV1353" s="2"/>
      <c r="AW1353" s="2"/>
      <c r="AX1353" s="2"/>
      <c r="AY1353" s="2">
        <v>41</v>
      </c>
      <c r="AZ1353" s="2" t="s">
        <v>82</v>
      </c>
      <c r="BA1353" s="2">
        <v>41</v>
      </c>
      <c r="BB1353" s="2" t="s">
        <v>82</v>
      </c>
      <c r="BC1353" s="2">
        <v>41</v>
      </c>
      <c r="BD1353" s="2" t="s">
        <v>82</v>
      </c>
      <c r="BE1353" s="2">
        <v>41</v>
      </c>
      <c r="BF1353" s="2" t="s">
        <v>82</v>
      </c>
      <c r="BG1353" s="2"/>
      <c r="BH1353" s="2"/>
      <c r="BI1353" s="2"/>
      <c r="BJ1353" s="2">
        <v>241</v>
      </c>
      <c r="BK1353" s="2" t="s">
        <v>82</v>
      </c>
      <c r="BL1353" s="2"/>
      <c r="BM1353" s="2">
        <v>241</v>
      </c>
      <c r="BN1353" s="2" t="s">
        <v>82</v>
      </c>
      <c r="BO1353" s="2"/>
      <c r="BP1353" s="2">
        <v>241</v>
      </c>
      <c r="BQ1353" s="2" t="s">
        <v>82</v>
      </c>
      <c r="BR1353" s="2"/>
      <c r="BS1353" s="3">
        <v>40272</v>
      </c>
      <c r="BT1353" s="4">
        <v>0.95723379629629635</v>
      </c>
    </row>
    <row r="1354" spans="1:72" x14ac:dyDescent="0.25">
      <c r="A1354" s="2">
        <v>2018</v>
      </c>
      <c r="B1354" s="2">
        <v>2010</v>
      </c>
      <c r="C1354" s="2" t="s">
        <v>72</v>
      </c>
      <c r="D1354" s="2" t="s">
        <v>73</v>
      </c>
      <c r="E1354" s="2"/>
      <c r="F1354" s="2">
        <v>9</v>
      </c>
      <c r="G1354" s="2" t="s">
        <v>364</v>
      </c>
      <c r="H1354" s="2">
        <v>44</v>
      </c>
      <c r="I1354" s="2" t="s">
        <v>1272</v>
      </c>
      <c r="J1354" s="2">
        <v>18</v>
      </c>
      <c r="K1354" s="2" t="s">
        <v>365</v>
      </c>
      <c r="L1354" s="2" t="s">
        <v>115</v>
      </c>
      <c r="M1354" s="3">
        <v>40272</v>
      </c>
      <c r="N1354" s="2" t="s">
        <v>5001</v>
      </c>
      <c r="O1354" s="2" t="s">
        <v>601</v>
      </c>
      <c r="P1354" s="2"/>
      <c r="Q1354" s="2" t="str">
        <f>"16/10"</f>
        <v>16/10</v>
      </c>
      <c r="R1354" s="2"/>
      <c r="S1354" s="2" t="s">
        <v>601</v>
      </c>
      <c r="T1354" s="2">
        <v>1</v>
      </c>
      <c r="U1354" s="2" t="s">
        <v>79</v>
      </c>
      <c r="V1354" s="2">
        <v>1</v>
      </c>
      <c r="W1354" s="2" t="s">
        <v>80</v>
      </c>
      <c r="X1354" s="2">
        <v>5</v>
      </c>
      <c r="Y1354" s="2" t="s">
        <v>82</v>
      </c>
      <c r="Z1354" s="2">
        <v>1</v>
      </c>
      <c r="AA1354" s="2" t="s">
        <v>82</v>
      </c>
      <c r="AB1354" s="2">
        <v>6</v>
      </c>
      <c r="AC1354" s="2" t="s">
        <v>83</v>
      </c>
      <c r="AD1354" s="3">
        <v>40265</v>
      </c>
      <c r="AE1354" s="4">
        <v>0.5625</v>
      </c>
      <c r="AF1354" s="3">
        <v>40272</v>
      </c>
      <c r="AG1354" s="4">
        <v>0.90625</v>
      </c>
      <c r="AH1354" s="2">
        <v>3</v>
      </c>
      <c r="AI1354" s="2" t="s">
        <v>214</v>
      </c>
      <c r="AJ1354" s="2">
        <v>24</v>
      </c>
      <c r="AK1354" s="2" t="s">
        <v>215</v>
      </c>
      <c r="AL1354" s="2">
        <v>21</v>
      </c>
      <c r="AM1354" s="2" t="s">
        <v>1311</v>
      </c>
      <c r="AN1354" s="2" t="s">
        <v>5002</v>
      </c>
      <c r="AO1354" s="2"/>
      <c r="AP1354" s="2">
        <v>11</v>
      </c>
      <c r="AQ1354" s="2" t="s">
        <v>82</v>
      </c>
      <c r="AR1354" s="2"/>
      <c r="AS1354" s="2"/>
      <c r="AT1354" s="2" t="s">
        <v>5003</v>
      </c>
      <c r="AU1354" s="2"/>
      <c r="AV1354" s="2"/>
      <c r="AW1354" s="2"/>
      <c r="AX1354" s="2"/>
      <c r="AY1354" s="2">
        <v>41</v>
      </c>
      <c r="AZ1354" s="2" t="s">
        <v>82</v>
      </c>
      <c r="BA1354" s="2">
        <v>41</v>
      </c>
      <c r="BB1354" s="2" t="s">
        <v>82</v>
      </c>
      <c r="BC1354" s="2">
        <v>41</v>
      </c>
      <c r="BD1354" s="2" t="s">
        <v>82</v>
      </c>
      <c r="BE1354" s="2">
        <v>41</v>
      </c>
      <c r="BF1354" s="2" t="s">
        <v>82</v>
      </c>
      <c r="BG1354" s="2"/>
      <c r="BH1354" s="2"/>
      <c r="BI1354" s="2"/>
      <c r="BJ1354" s="2">
        <v>241</v>
      </c>
      <c r="BK1354" s="2" t="s">
        <v>82</v>
      </c>
      <c r="BL1354" s="2"/>
      <c r="BM1354" s="2">
        <v>241</v>
      </c>
      <c r="BN1354" s="2" t="s">
        <v>82</v>
      </c>
      <c r="BO1354" s="2"/>
      <c r="BP1354" s="2">
        <v>241</v>
      </c>
      <c r="BQ1354" s="2" t="s">
        <v>82</v>
      </c>
      <c r="BR1354" s="2"/>
      <c r="BS1354" s="3">
        <v>40272</v>
      </c>
      <c r="BT1354" s="4">
        <v>0.98171296296296295</v>
      </c>
    </row>
    <row r="1355" spans="1:72" x14ac:dyDescent="0.25">
      <c r="A1355" s="2">
        <v>2019</v>
      </c>
      <c r="B1355" s="2">
        <v>2010</v>
      </c>
      <c r="C1355" s="2" t="s">
        <v>171</v>
      </c>
      <c r="D1355" s="2" t="s">
        <v>73</v>
      </c>
      <c r="E1355" s="2"/>
      <c r="F1355" s="2">
        <v>233</v>
      </c>
      <c r="G1355" s="2" t="s">
        <v>3858</v>
      </c>
      <c r="H1355" s="2">
        <v>17</v>
      </c>
      <c r="I1355" s="2" t="s">
        <v>3602</v>
      </c>
      <c r="J1355" s="2">
        <v>316</v>
      </c>
      <c r="K1355" s="2" t="s">
        <v>574</v>
      </c>
      <c r="L1355" s="2" t="s">
        <v>575</v>
      </c>
      <c r="M1355" s="3">
        <v>40273</v>
      </c>
      <c r="N1355" s="2" t="s">
        <v>3826</v>
      </c>
      <c r="O1355" s="2"/>
      <c r="P1355" s="2"/>
      <c r="Q1355" s="2" t="str">
        <f>"2585/10 ADUANA"</f>
        <v>2585/10 ADUANA</v>
      </c>
      <c r="R1355" s="2"/>
      <c r="S1355" s="2" t="s">
        <v>391</v>
      </c>
      <c r="T1355" s="2">
        <v>1</v>
      </c>
      <c r="U1355" s="2" t="s">
        <v>79</v>
      </c>
      <c r="V1355" s="2">
        <v>1</v>
      </c>
      <c r="W1355" s="2" t="s">
        <v>80</v>
      </c>
      <c r="X1355" s="2">
        <v>4</v>
      </c>
      <c r="Y1355" s="2" t="s">
        <v>463</v>
      </c>
      <c r="Z1355" s="2">
        <v>2</v>
      </c>
      <c r="AA1355" s="2" t="s">
        <v>2148</v>
      </c>
      <c r="AB1355" s="2">
        <v>1</v>
      </c>
      <c r="AC1355" s="2" t="s">
        <v>178</v>
      </c>
      <c r="AD1355" s="2"/>
      <c r="AE1355" s="2"/>
      <c r="AF1355" s="2"/>
      <c r="AG1355" s="2"/>
      <c r="AH1355" s="2">
        <v>2</v>
      </c>
      <c r="AI1355" s="2" t="s">
        <v>84</v>
      </c>
      <c r="AJ1355" s="2">
        <v>9</v>
      </c>
      <c r="AK1355" s="2" t="s">
        <v>103</v>
      </c>
      <c r="AL1355" s="2">
        <v>14</v>
      </c>
      <c r="AM1355" s="2" t="s">
        <v>216</v>
      </c>
      <c r="AN1355" s="2"/>
      <c r="AO1355" s="2"/>
      <c r="AP1355" s="2">
        <v>11</v>
      </c>
      <c r="AQ1355" s="2" t="s">
        <v>82</v>
      </c>
      <c r="AR1355" s="2"/>
      <c r="AS1355" s="2"/>
      <c r="AT1355" s="2" t="s">
        <v>5004</v>
      </c>
      <c r="AU1355" s="2"/>
      <c r="AV1355" s="2">
        <v>1</v>
      </c>
      <c r="AW1355" s="2"/>
      <c r="AX1355" s="2"/>
      <c r="AY1355" s="2">
        <v>41</v>
      </c>
      <c r="AZ1355" s="2" t="s">
        <v>82</v>
      </c>
      <c r="BA1355" s="2">
        <v>41</v>
      </c>
      <c r="BB1355" s="2" t="s">
        <v>82</v>
      </c>
      <c r="BC1355" s="2">
        <v>41</v>
      </c>
      <c r="BD1355" s="2" t="s">
        <v>82</v>
      </c>
      <c r="BE1355" s="2">
        <v>31</v>
      </c>
      <c r="BF1355" s="2" t="s">
        <v>398</v>
      </c>
      <c r="BG1355" s="2">
        <v>6845</v>
      </c>
      <c r="BH1355" s="2"/>
      <c r="BI1355" s="2"/>
      <c r="BJ1355" s="2">
        <v>241</v>
      </c>
      <c r="BK1355" s="2" t="s">
        <v>82</v>
      </c>
      <c r="BL1355" s="2"/>
      <c r="BM1355" s="2">
        <v>241</v>
      </c>
      <c r="BN1355" s="2" t="s">
        <v>82</v>
      </c>
      <c r="BO1355" s="2"/>
      <c r="BP1355" s="2">
        <v>241</v>
      </c>
      <c r="BQ1355" s="2" t="s">
        <v>82</v>
      </c>
      <c r="BR1355" s="2"/>
      <c r="BS1355" s="3">
        <v>40273</v>
      </c>
      <c r="BT1355" s="4">
        <v>0.11413194444444445</v>
      </c>
    </row>
    <row r="1356" spans="1:72" x14ac:dyDescent="0.25">
      <c r="A1356" s="2">
        <v>2020</v>
      </c>
      <c r="B1356" s="2">
        <v>2010</v>
      </c>
      <c r="C1356" s="2" t="s">
        <v>72</v>
      </c>
      <c r="D1356" s="2" t="s">
        <v>73</v>
      </c>
      <c r="E1356" s="2"/>
      <c r="F1356" s="2">
        <v>27</v>
      </c>
      <c r="G1356" s="2" t="s">
        <v>5005</v>
      </c>
      <c r="H1356" s="2">
        <v>1</v>
      </c>
      <c r="I1356" s="2" t="s">
        <v>82</v>
      </c>
      <c r="J1356" s="2">
        <v>35</v>
      </c>
      <c r="K1356" s="2" t="s">
        <v>5006</v>
      </c>
      <c r="L1356" s="2" t="s">
        <v>5007</v>
      </c>
      <c r="M1356" s="3">
        <v>40273</v>
      </c>
      <c r="N1356" s="2" t="s">
        <v>5008</v>
      </c>
      <c r="O1356" s="2" t="s">
        <v>107</v>
      </c>
      <c r="P1356" s="2" t="s">
        <v>107</v>
      </c>
      <c r="Q1356" s="2" t="str">
        <f>"007-M/10"</f>
        <v>007-M/10</v>
      </c>
      <c r="R1356" s="2" t="s">
        <v>5009</v>
      </c>
      <c r="S1356" s="2" t="s">
        <v>5009</v>
      </c>
      <c r="T1356" s="2">
        <v>1</v>
      </c>
      <c r="U1356" s="2" t="s">
        <v>79</v>
      </c>
      <c r="V1356" s="2">
        <v>1</v>
      </c>
      <c r="W1356" s="2" t="s">
        <v>80</v>
      </c>
      <c r="X1356" s="2">
        <v>5</v>
      </c>
      <c r="Y1356" s="2" t="s">
        <v>82</v>
      </c>
      <c r="Z1356" s="2">
        <v>1</v>
      </c>
      <c r="AA1356" s="2" t="s">
        <v>82</v>
      </c>
      <c r="AB1356" s="2">
        <v>6</v>
      </c>
      <c r="AC1356" s="2" t="s">
        <v>83</v>
      </c>
      <c r="AD1356" s="3">
        <v>40272</v>
      </c>
      <c r="AE1356" s="2"/>
      <c r="AF1356" s="3">
        <v>40273</v>
      </c>
      <c r="AG1356" s="4">
        <v>4.1666666666666664E-2</v>
      </c>
      <c r="AH1356" s="2">
        <v>2</v>
      </c>
      <c r="AI1356" s="2" t="s">
        <v>84</v>
      </c>
      <c r="AJ1356" s="2">
        <v>8</v>
      </c>
      <c r="AK1356" s="2" t="s">
        <v>436</v>
      </c>
      <c r="AL1356" s="2">
        <v>10</v>
      </c>
      <c r="AM1356" s="2" t="s">
        <v>200</v>
      </c>
      <c r="AN1356" s="2" t="s">
        <v>1853</v>
      </c>
      <c r="AO1356" s="2" t="s">
        <v>5010</v>
      </c>
      <c r="AP1356" s="2">
        <v>11</v>
      </c>
      <c r="AQ1356" s="2" t="s">
        <v>82</v>
      </c>
      <c r="AR1356" s="2"/>
      <c r="AS1356" s="2"/>
      <c r="AT1356" s="2" t="s">
        <v>5011</v>
      </c>
      <c r="AU1356" s="2"/>
      <c r="AV1356" s="2"/>
      <c r="AW1356" s="2"/>
      <c r="AX1356" s="2"/>
      <c r="AY1356" s="2">
        <v>41</v>
      </c>
      <c r="AZ1356" s="2" t="s">
        <v>82</v>
      </c>
      <c r="BA1356" s="2">
        <v>41</v>
      </c>
      <c r="BB1356" s="2" t="s">
        <v>82</v>
      </c>
      <c r="BC1356" s="2">
        <v>41</v>
      </c>
      <c r="BD1356" s="2" t="s">
        <v>82</v>
      </c>
      <c r="BE1356" s="2">
        <v>47</v>
      </c>
      <c r="BF1356" s="2" t="s">
        <v>167</v>
      </c>
      <c r="BG1356" s="2">
        <v>2610</v>
      </c>
      <c r="BH1356" s="4">
        <v>1.0416666666666666E-2</v>
      </c>
      <c r="BI1356" s="2"/>
      <c r="BJ1356" s="2">
        <v>13</v>
      </c>
      <c r="BK1356" s="2" t="s">
        <v>91</v>
      </c>
      <c r="BL1356" s="2" t="s">
        <v>185</v>
      </c>
      <c r="BM1356" s="2">
        <v>241</v>
      </c>
      <c r="BN1356" s="2" t="s">
        <v>82</v>
      </c>
      <c r="BO1356" s="2"/>
      <c r="BP1356" s="2">
        <v>13</v>
      </c>
      <c r="BQ1356" s="2" t="s">
        <v>91</v>
      </c>
      <c r="BR1356" s="2" t="s">
        <v>647</v>
      </c>
      <c r="BS1356" s="3">
        <v>40273</v>
      </c>
      <c r="BT1356" s="4">
        <v>0.23607638888888891</v>
      </c>
    </row>
    <row r="1357" spans="1:72" x14ac:dyDescent="0.25">
      <c r="A1357" s="2">
        <v>2021</v>
      </c>
      <c r="B1357" s="2">
        <v>2010</v>
      </c>
      <c r="C1357" s="2" t="s">
        <v>1568</v>
      </c>
      <c r="D1357" s="2" t="s">
        <v>73</v>
      </c>
      <c r="E1357" s="2"/>
      <c r="F1357" s="2">
        <v>582</v>
      </c>
      <c r="G1357" s="2" t="s">
        <v>5012</v>
      </c>
      <c r="H1357" s="2">
        <v>42</v>
      </c>
      <c r="I1357" s="2" t="s">
        <v>1096</v>
      </c>
      <c r="J1357" s="2">
        <v>514</v>
      </c>
      <c r="K1357" s="2" t="s">
        <v>5013</v>
      </c>
      <c r="L1357" s="2" t="s">
        <v>5014</v>
      </c>
      <c r="M1357" s="3">
        <v>40273</v>
      </c>
      <c r="N1357" s="2" t="s">
        <v>5015</v>
      </c>
      <c r="O1357" s="2" t="s">
        <v>107</v>
      </c>
      <c r="P1357" s="2" t="s">
        <v>107</v>
      </c>
      <c r="Q1357" s="2" t="str">
        <f>"144-A/10"</f>
        <v>144-A/10</v>
      </c>
      <c r="R1357" s="2" t="s">
        <v>107</v>
      </c>
      <c r="S1357" s="2" t="s">
        <v>480</v>
      </c>
      <c r="T1357" s="2">
        <v>1</v>
      </c>
      <c r="U1357" s="2" t="s">
        <v>79</v>
      </c>
      <c r="V1357" s="2">
        <v>1</v>
      </c>
      <c r="W1357" s="2" t="s">
        <v>80</v>
      </c>
      <c r="X1357" s="2">
        <v>1</v>
      </c>
      <c r="Y1357" s="2" t="s">
        <v>81</v>
      </c>
      <c r="Z1357" s="2">
        <v>1</v>
      </c>
      <c r="AA1357" s="2" t="s">
        <v>82</v>
      </c>
      <c r="AB1357" s="2">
        <v>4</v>
      </c>
      <c r="AC1357" s="2" t="s">
        <v>1569</v>
      </c>
      <c r="AD1357" s="3">
        <v>40272</v>
      </c>
      <c r="AE1357" s="4">
        <v>0.79166666666666663</v>
      </c>
      <c r="AF1357" s="2"/>
      <c r="AG1357" s="2"/>
      <c r="AH1357" s="2">
        <v>2</v>
      </c>
      <c r="AI1357" s="2" t="s">
        <v>84</v>
      </c>
      <c r="AJ1357" s="2">
        <v>12</v>
      </c>
      <c r="AK1357" s="2" t="s">
        <v>85</v>
      </c>
      <c r="AL1357" s="2">
        <v>10</v>
      </c>
      <c r="AM1357" s="2" t="s">
        <v>200</v>
      </c>
      <c r="AN1357" s="2"/>
      <c r="AO1357" s="2" t="s">
        <v>5016</v>
      </c>
      <c r="AP1357" s="2">
        <v>11</v>
      </c>
      <c r="AQ1357" s="2" t="s">
        <v>82</v>
      </c>
      <c r="AR1357" s="2"/>
      <c r="AS1357" s="2"/>
      <c r="AT1357" s="2" t="s">
        <v>5017</v>
      </c>
      <c r="AU1357" s="2"/>
      <c r="AV1357" s="2"/>
      <c r="AW1357" s="2"/>
      <c r="AX1357" s="2"/>
      <c r="AY1357" s="2">
        <v>41</v>
      </c>
      <c r="AZ1357" s="2" t="s">
        <v>82</v>
      </c>
      <c r="BA1357" s="2">
        <v>41</v>
      </c>
      <c r="BB1357" s="2" t="s">
        <v>82</v>
      </c>
      <c r="BC1357" s="2">
        <v>41</v>
      </c>
      <c r="BD1357" s="2" t="s">
        <v>82</v>
      </c>
      <c r="BE1357" s="2">
        <v>13</v>
      </c>
      <c r="BF1357" s="2" t="s">
        <v>108</v>
      </c>
      <c r="BG1357" s="2" t="s">
        <v>5018</v>
      </c>
      <c r="BH1357" s="4">
        <v>0.94444444444444453</v>
      </c>
      <c r="BI1357" s="4">
        <v>0.77083333333333337</v>
      </c>
      <c r="BJ1357" s="2">
        <v>13</v>
      </c>
      <c r="BK1357" s="2" t="s">
        <v>91</v>
      </c>
      <c r="BL1357" s="2" t="s">
        <v>170</v>
      </c>
      <c r="BM1357" s="2">
        <v>241</v>
      </c>
      <c r="BN1357" s="2" t="s">
        <v>82</v>
      </c>
      <c r="BO1357" s="2"/>
      <c r="BP1357" s="2">
        <v>33</v>
      </c>
      <c r="BQ1357" s="2" t="s">
        <v>361</v>
      </c>
      <c r="BR1357" s="2" t="s">
        <v>2723</v>
      </c>
      <c r="BS1357" s="3">
        <v>40273</v>
      </c>
      <c r="BT1357" s="4">
        <v>0.30141203703703706</v>
      </c>
    </row>
    <row r="1358" spans="1:72" x14ac:dyDescent="0.25">
      <c r="A1358" s="2">
        <v>2022</v>
      </c>
      <c r="B1358" s="2">
        <v>2010</v>
      </c>
      <c r="C1358" s="2" t="s">
        <v>93</v>
      </c>
      <c r="D1358" s="2" t="s">
        <v>73</v>
      </c>
      <c r="E1358" s="2"/>
      <c r="F1358" s="2">
        <v>434</v>
      </c>
      <c r="G1358" s="2" t="s">
        <v>1517</v>
      </c>
      <c r="H1358" s="2">
        <v>22</v>
      </c>
      <c r="I1358" s="2" t="s">
        <v>75</v>
      </c>
      <c r="J1358" s="2">
        <v>1</v>
      </c>
      <c r="K1358" s="2" t="s">
        <v>107</v>
      </c>
      <c r="L1358" s="2" t="s">
        <v>107</v>
      </c>
      <c r="M1358" s="3">
        <v>40273</v>
      </c>
      <c r="N1358" s="2" t="s">
        <v>5019</v>
      </c>
      <c r="O1358" s="2" t="s">
        <v>5020</v>
      </c>
      <c r="P1358" s="2" t="s">
        <v>5021</v>
      </c>
      <c r="Q1358" s="2" t="str">
        <f>""</f>
        <v/>
      </c>
      <c r="R1358" s="2"/>
      <c r="S1358" s="2"/>
      <c r="T1358" s="2">
        <v>1</v>
      </c>
      <c r="U1358" s="2" t="s">
        <v>79</v>
      </c>
      <c r="V1358" s="2">
        <v>1</v>
      </c>
      <c r="W1358" s="2" t="s">
        <v>80</v>
      </c>
      <c r="X1358" s="2">
        <v>1</v>
      </c>
      <c r="Y1358" s="2" t="s">
        <v>81</v>
      </c>
      <c r="Z1358" s="2">
        <v>1</v>
      </c>
      <c r="AA1358" s="2" t="s">
        <v>82</v>
      </c>
      <c r="AB1358" s="2">
        <v>2</v>
      </c>
      <c r="AC1358" s="2" t="s">
        <v>102</v>
      </c>
      <c r="AD1358" s="3">
        <v>40272</v>
      </c>
      <c r="AE1358" s="4">
        <v>0.8125</v>
      </c>
      <c r="AF1358" s="2"/>
      <c r="AG1358" s="2"/>
      <c r="AH1358" s="2">
        <v>2</v>
      </c>
      <c r="AI1358" s="2" t="s">
        <v>84</v>
      </c>
      <c r="AJ1358" s="2">
        <v>9</v>
      </c>
      <c r="AK1358" s="2" t="s">
        <v>103</v>
      </c>
      <c r="AL1358" s="2">
        <v>14</v>
      </c>
      <c r="AM1358" s="2" t="s">
        <v>216</v>
      </c>
      <c r="AN1358" s="2" t="s">
        <v>5022</v>
      </c>
      <c r="AO1358" s="2" t="s">
        <v>82</v>
      </c>
      <c r="AP1358" s="2">
        <v>11</v>
      </c>
      <c r="AQ1358" s="2" t="s">
        <v>82</v>
      </c>
      <c r="AR1358" s="2"/>
      <c r="AS1358" s="2"/>
      <c r="AT1358" s="2" t="s">
        <v>5023</v>
      </c>
      <c r="AU1358" s="2">
        <v>1</v>
      </c>
      <c r="AV1358" s="2"/>
      <c r="AW1358" s="2"/>
      <c r="AX1358" s="2"/>
      <c r="AY1358" s="2">
        <v>41</v>
      </c>
      <c r="AZ1358" s="2" t="s">
        <v>82</v>
      </c>
      <c r="BA1358" s="2">
        <v>41</v>
      </c>
      <c r="BB1358" s="2" t="s">
        <v>82</v>
      </c>
      <c r="BC1358" s="2">
        <v>41</v>
      </c>
      <c r="BD1358" s="2" t="s">
        <v>82</v>
      </c>
      <c r="BE1358" s="2">
        <v>18</v>
      </c>
      <c r="BF1358" s="2" t="s">
        <v>1091</v>
      </c>
      <c r="BG1358" s="2" t="s">
        <v>5024</v>
      </c>
      <c r="BH1358" s="2"/>
      <c r="BI1358" s="2"/>
      <c r="BJ1358" s="2">
        <v>13</v>
      </c>
      <c r="BK1358" s="2" t="s">
        <v>91</v>
      </c>
      <c r="BL1358" s="2" t="s">
        <v>112</v>
      </c>
      <c r="BM1358" s="2">
        <v>241</v>
      </c>
      <c r="BN1358" s="2" t="s">
        <v>82</v>
      </c>
      <c r="BO1358" s="2"/>
      <c r="BP1358" s="2">
        <v>47</v>
      </c>
      <c r="BQ1358" s="2" t="s">
        <v>4078</v>
      </c>
      <c r="BR1358" s="2" t="s">
        <v>5025</v>
      </c>
      <c r="BS1358" s="3">
        <v>40273</v>
      </c>
      <c r="BT1358" s="4">
        <v>0.31097222222222221</v>
      </c>
    </row>
    <row r="1359" spans="1:72" x14ac:dyDescent="0.25">
      <c r="A1359" s="2">
        <v>2023</v>
      </c>
      <c r="B1359" s="2">
        <v>2010</v>
      </c>
      <c r="C1359" s="2" t="s">
        <v>171</v>
      </c>
      <c r="D1359" s="2" t="s">
        <v>122</v>
      </c>
      <c r="E1359" s="2" t="s">
        <v>5026</v>
      </c>
      <c r="F1359" s="2">
        <v>233</v>
      </c>
      <c r="G1359" s="2" t="s">
        <v>3858</v>
      </c>
      <c r="H1359" s="2">
        <v>17</v>
      </c>
      <c r="I1359" s="2" t="s">
        <v>3602</v>
      </c>
      <c r="J1359" s="2">
        <v>316</v>
      </c>
      <c r="K1359" s="2" t="s">
        <v>574</v>
      </c>
      <c r="L1359" s="2" t="s">
        <v>575</v>
      </c>
      <c r="M1359" s="3">
        <v>40273</v>
      </c>
      <c r="N1359" s="2" t="s">
        <v>3826</v>
      </c>
      <c r="O1359" s="2"/>
      <c r="P1359" s="2"/>
      <c r="Q1359" s="2" t="str">
        <f>"2585/10 ADUANA"</f>
        <v>2585/10 ADUANA</v>
      </c>
      <c r="R1359" s="2" t="s">
        <v>391</v>
      </c>
      <c r="S1359" s="2"/>
      <c r="T1359" s="2">
        <v>1</v>
      </c>
      <c r="U1359" s="2" t="s">
        <v>79</v>
      </c>
      <c r="V1359" s="2">
        <v>1</v>
      </c>
      <c r="W1359" s="2" t="s">
        <v>80</v>
      </c>
      <c r="X1359" s="2">
        <v>4</v>
      </c>
      <c r="Y1359" s="2" t="s">
        <v>463</v>
      </c>
      <c r="Z1359" s="2">
        <v>2</v>
      </c>
      <c r="AA1359" s="2" t="s">
        <v>2148</v>
      </c>
      <c r="AB1359" s="2">
        <v>1</v>
      </c>
      <c r="AC1359" s="2" t="s">
        <v>178</v>
      </c>
      <c r="AD1359" s="2"/>
      <c r="AE1359" s="2"/>
      <c r="AF1359" s="2"/>
      <c r="AG1359" s="2"/>
      <c r="AH1359" s="2">
        <v>2</v>
      </c>
      <c r="AI1359" s="2" t="s">
        <v>84</v>
      </c>
      <c r="AJ1359" s="2">
        <v>9</v>
      </c>
      <c r="AK1359" s="2" t="s">
        <v>103</v>
      </c>
      <c r="AL1359" s="2">
        <v>14</v>
      </c>
      <c r="AM1359" s="2" t="s">
        <v>216</v>
      </c>
      <c r="AN1359" s="2"/>
      <c r="AO1359" s="2"/>
      <c r="AP1359" s="2">
        <v>11</v>
      </c>
      <c r="AQ1359" s="2" t="s">
        <v>82</v>
      </c>
      <c r="AR1359" s="2"/>
      <c r="AS1359" s="2"/>
      <c r="AT1359" s="2" t="s">
        <v>5027</v>
      </c>
      <c r="AU1359" s="2"/>
      <c r="AV1359" s="2">
        <v>1</v>
      </c>
      <c r="AW1359" s="2"/>
      <c r="AX1359" s="2"/>
      <c r="AY1359" s="2">
        <v>41</v>
      </c>
      <c r="AZ1359" s="2" t="s">
        <v>82</v>
      </c>
      <c r="BA1359" s="2">
        <v>41</v>
      </c>
      <c r="BB1359" s="2" t="s">
        <v>82</v>
      </c>
      <c r="BC1359" s="2">
        <v>41</v>
      </c>
      <c r="BD1359" s="2" t="s">
        <v>82</v>
      </c>
      <c r="BE1359" s="2">
        <v>31</v>
      </c>
      <c r="BF1359" s="2" t="s">
        <v>398</v>
      </c>
      <c r="BG1359" s="2">
        <v>6845</v>
      </c>
      <c r="BH1359" s="2"/>
      <c r="BI1359" s="2"/>
      <c r="BJ1359" s="2">
        <v>4</v>
      </c>
      <c r="BK1359" s="2" t="s">
        <v>618</v>
      </c>
      <c r="BL1359" s="2" t="s">
        <v>5028</v>
      </c>
      <c r="BM1359" s="2">
        <v>73</v>
      </c>
      <c r="BN1359" s="2" t="s">
        <v>186</v>
      </c>
      <c r="BO1359" s="2" t="s">
        <v>187</v>
      </c>
      <c r="BP1359" s="2">
        <v>13</v>
      </c>
      <c r="BQ1359" s="2" t="s">
        <v>91</v>
      </c>
      <c r="BR1359" s="2" t="s">
        <v>4998</v>
      </c>
      <c r="BS1359" s="3">
        <v>40273</v>
      </c>
      <c r="BT1359" s="4">
        <v>0.38778935185185182</v>
      </c>
    </row>
    <row r="1360" spans="1:72" x14ac:dyDescent="0.25">
      <c r="A1360" s="2">
        <v>2024</v>
      </c>
      <c r="B1360" s="2">
        <v>2010</v>
      </c>
      <c r="C1360" s="2" t="s">
        <v>72</v>
      </c>
      <c r="D1360" s="2" t="s">
        <v>122</v>
      </c>
      <c r="E1360" s="2" t="s">
        <v>5029</v>
      </c>
      <c r="F1360" s="2">
        <v>389</v>
      </c>
      <c r="G1360" s="2" t="s">
        <v>1819</v>
      </c>
      <c r="H1360" s="2">
        <v>3</v>
      </c>
      <c r="I1360" s="2" t="s">
        <v>315</v>
      </c>
      <c r="J1360" s="2">
        <v>399</v>
      </c>
      <c r="K1360" s="2" t="s">
        <v>1820</v>
      </c>
      <c r="L1360" s="2" t="s">
        <v>1821</v>
      </c>
      <c r="M1360" s="3">
        <v>40273</v>
      </c>
      <c r="N1360" s="2" t="s">
        <v>2319</v>
      </c>
      <c r="O1360" s="2"/>
      <c r="P1360" s="2"/>
      <c r="Q1360" s="2" t="str">
        <f>"182-E/10"</f>
        <v>182-E/10</v>
      </c>
      <c r="R1360" s="2" t="s">
        <v>4989</v>
      </c>
      <c r="S1360" s="2"/>
      <c r="T1360" s="2">
        <v>1</v>
      </c>
      <c r="U1360" s="2" t="s">
        <v>79</v>
      </c>
      <c r="V1360" s="2">
        <v>1</v>
      </c>
      <c r="W1360" s="2" t="s">
        <v>80</v>
      </c>
      <c r="X1360" s="2">
        <v>1</v>
      </c>
      <c r="Y1360" s="2" t="s">
        <v>81</v>
      </c>
      <c r="Z1360" s="2">
        <v>1</v>
      </c>
      <c r="AA1360" s="2" t="s">
        <v>82</v>
      </c>
      <c r="AB1360" s="2">
        <v>6</v>
      </c>
      <c r="AC1360" s="2" t="s">
        <v>83</v>
      </c>
      <c r="AD1360" s="3">
        <v>40272</v>
      </c>
      <c r="AE1360" s="4">
        <v>0.625</v>
      </c>
      <c r="AF1360" s="3">
        <v>40272</v>
      </c>
      <c r="AG1360" s="4">
        <v>0.65625</v>
      </c>
      <c r="AH1360" s="2">
        <v>2</v>
      </c>
      <c r="AI1360" s="2" t="s">
        <v>84</v>
      </c>
      <c r="AJ1360" s="2">
        <v>9</v>
      </c>
      <c r="AK1360" s="2" t="s">
        <v>103</v>
      </c>
      <c r="AL1360" s="2">
        <v>14</v>
      </c>
      <c r="AM1360" s="2" t="s">
        <v>216</v>
      </c>
      <c r="AN1360" s="2"/>
      <c r="AO1360" s="2" t="s">
        <v>4999</v>
      </c>
      <c r="AP1360" s="2">
        <v>11</v>
      </c>
      <c r="AQ1360" s="2" t="s">
        <v>82</v>
      </c>
      <c r="AR1360" s="2"/>
      <c r="AS1360" s="2"/>
      <c r="AT1360" s="2" t="s">
        <v>5030</v>
      </c>
      <c r="AU1360" s="2"/>
      <c r="AV1360" s="2"/>
      <c r="AW1360" s="2"/>
      <c r="AX1360" s="2"/>
      <c r="AY1360" s="2">
        <v>41</v>
      </c>
      <c r="AZ1360" s="2" t="s">
        <v>82</v>
      </c>
      <c r="BA1360" s="2">
        <v>41</v>
      </c>
      <c r="BB1360" s="2" t="s">
        <v>82</v>
      </c>
      <c r="BC1360" s="2">
        <v>41</v>
      </c>
      <c r="BD1360" s="2" t="s">
        <v>82</v>
      </c>
      <c r="BE1360" s="2">
        <v>41</v>
      </c>
      <c r="BF1360" s="2" t="s">
        <v>82</v>
      </c>
      <c r="BG1360" s="2"/>
      <c r="BH1360" s="2"/>
      <c r="BI1360" s="2"/>
      <c r="BJ1360" s="2">
        <v>241</v>
      </c>
      <c r="BK1360" s="2" t="s">
        <v>82</v>
      </c>
      <c r="BL1360" s="2"/>
      <c r="BM1360" s="2">
        <v>241</v>
      </c>
      <c r="BN1360" s="2" t="s">
        <v>82</v>
      </c>
      <c r="BO1360" s="2"/>
      <c r="BP1360" s="2">
        <v>241</v>
      </c>
      <c r="BQ1360" s="2" t="s">
        <v>82</v>
      </c>
      <c r="BR1360" s="2"/>
      <c r="BS1360" s="3">
        <v>40273</v>
      </c>
      <c r="BT1360" s="4">
        <v>0.39070601851851849</v>
      </c>
    </row>
    <row r="1361" spans="1:72" x14ac:dyDescent="0.25">
      <c r="A1361" s="2">
        <v>2025</v>
      </c>
      <c r="B1361" s="2">
        <v>2010</v>
      </c>
      <c r="C1361" s="2" t="s">
        <v>171</v>
      </c>
      <c r="D1361" s="2" t="s">
        <v>122</v>
      </c>
      <c r="E1361" s="2" t="s">
        <v>5031</v>
      </c>
      <c r="F1361" s="2">
        <v>400</v>
      </c>
      <c r="G1361" s="2" t="s">
        <v>3601</v>
      </c>
      <c r="H1361" s="2">
        <v>16</v>
      </c>
      <c r="I1361" s="2" t="s">
        <v>3027</v>
      </c>
      <c r="J1361" s="2">
        <v>316</v>
      </c>
      <c r="K1361" s="2" t="s">
        <v>574</v>
      </c>
      <c r="L1361" s="2" t="s">
        <v>575</v>
      </c>
      <c r="M1361" s="3">
        <v>40273</v>
      </c>
      <c r="N1361" s="2" t="s">
        <v>4867</v>
      </c>
      <c r="O1361" s="2"/>
      <c r="P1361" s="2"/>
      <c r="Q1361" s="2" t="str">
        <f>"180-E/10"</f>
        <v>180-E/10</v>
      </c>
      <c r="R1361" s="2" t="s">
        <v>391</v>
      </c>
      <c r="S1361" s="2" t="s">
        <v>391</v>
      </c>
      <c r="T1361" s="2">
        <v>1</v>
      </c>
      <c r="U1361" s="2" t="s">
        <v>79</v>
      </c>
      <c r="V1361" s="2">
        <v>1</v>
      </c>
      <c r="W1361" s="2" t="s">
        <v>80</v>
      </c>
      <c r="X1361" s="2">
        <v>1</v>
      </c>
      <c r="Y1361" s="2" t="s">
        <v>81</v>
      </c>
      <c r="Z1361" s="2">
        <v>1</v>
      </c>
      <c r="AA1361" s="2" t="s">
        <v>82</v>
      </c>
      <c r="AB1361" s="2">
        <v>1</v>
      </c>
      <c r="AC1361" s="2" t="s">
        <v>178</v>
      </c>
      <c r="AD1361" s="3">
        <v>40271</v>
      </c>
      <c r="AE1361" s="4">
        <v>0.91666666666666663</v>
      </c>
      <c r="AF1361" s="2"/>
      <c r="AG1361" s="2"/>
      <c r="AH1361" s="2">
        <v>2</v>
      </c>
      <c r="AI1361" s="2" t="s">
        <v>84</v>
      </c>
      <c r="AJ1361" s="2">
        <v>9</v>
      </c>
      <c r="AK1361" s="2" t="s">
        <v>103</v>
      </c>
      <c r="AL1361" s="2">
        <v>12</v>
      </c>
      <c r="AM1361" s="2" t="s">
        <v>86</v>
      </c>
      <c r="AN1361" s="2" t="s">
        <v>137</v>
      </c>
      <c r="AO1361" s="2"/>
      <c r="AP1361" s="2">
        <v>11</v>
      </c>
      <c r="AQ1361" s="2" t="s">
        <v>82</v>
      </c>
      <c r="AR1361" s="2"/>
      <c r="AS1361" s="2"/>
      <c r="AT1361" s="2" t="s">
        <v>5032</v>
      </c>
      <c r="AU1361" s="2"/>
      <c r="AV1361" s="2">
        <v>1</v>
      </c>
      <c r="AW1361" s="2"/>
      <c r="AX1361" s="2"/>
      <c r="AY1361" s="2">
        <v>41</v>
      </c>
      <c r="AZ1361" s="2" t="s">
        <v>82</v>
      </c>
      <c r="BA1361" s="2">
        <v>41</v>
      </c>
      <c r="BB1361" s="2" t="s">
        <v>82</v>
      </c>
      <c r="BC1361" s="2">
        <v>41</v>
      </c>
      <c r="BD1361" s="2" t="s">
        <v>82</v>
      </c>
      <c r="BE1361" s="2">
        <v>41</v>
      </c>
      <c r="BF1361" s="2" t="s">
        <v>82</v>
      </c>
      <c r="BG1361" s="2" t="s">
        <v>399</v>
      </c>
      <c r="BH1361" s="2"/>
      <c r="BI1361" s="4">
        <v>0.91666666666666663</v>
      </c>
      <c r="BJ1361" s="2">
        <v>13</v>
      </c>
      <c r="BK1361" s="2" t="s">
        <v>91</v>
      </c>
      <c r="BL1361" s="2" t="s">
        <v>185</v>
      </c>
      <c r="BM1361" s="2">
        <v>241</v>
      </c>
      <c r="BN1361" s="2" t="s">
        <v>82</v>
      </c>
      <c r="BO1361" s="2"/>
      <c r="BP1361" s="2">
        <v>73</v>
      </c>
      <c r="BQ1361" s="2" t="s">
        <v>186</v>
      </c>
      <c r="BR1361" s="2" t="s">
        <v>187</v>
      </c>
      <c r="BS1361" s="3">
        <v>40273</v>
      </c>
      <c r="BT1361" s="4">
        <v>0.39324074074074072</v>
      </c>
    </row>
    <row r="1362" spans="1:72" x14ac:dyDescent="0.25">
      <c r="A1362" s="2">
        <v>2027</v>
      </c>
      <c r="B1362" s="2">
        <v>2010</v>
      </c>
      <c r="C1362" s="2" t="s">
        <v>4543</v>
      </c>
      <c r="D1362" s="2" t="s">
        <v>122</v>
      </c>
      <c r="E1362" s="2"/>
      <c r="F1362" s="2">
        <v>91</v>
      </c>
      <c r="G1362" s="2" t="s">
        <v>5033</v>
      </c>
      <c r="H1362" s="2">
        <v>47</v>
      </c>
      <c r="I1362" s="2" t="s">
        <v>1409</v>
      </c>
      <c r="J1362" s="2">
        <v>118</v>
      </c>
      <c r="K1362" s="2" t="s">
        <v>4742</v>
      </c>
      <c r="L1362" s="2" t="s">
        <v>4743</v>
      </c>
      <c r="M1362" s="3">
        <v>40273</v>
      </c>
      <c r="N1362" s="2" t="s">
        <v>5034</v>
      </c>
      <c r="O1362" s="2" t="s">
        <v>5035</v>
      </c>
      <c r="P1362" s="2" t="s">
        <v>5036</v>
      </c>
      <c r="Q1362" s="2" t="str">
        <f>"0001/09"</f>
        <v>0001/09</v>
      </c>
      <c r="R1362" s="2" t="s">
        <v>5037</v>
      </c>
      <c r="S1362" s="2" t="s">
        <v>5038</v>
      </c>
      <c r="T1362" s="2">
        <v>2</v>
      </c>
      <c r="U1362" s="2" t="s">
        <v>123</v>
      </c>
      <c r="V1362" s="2">
        <v>1</v>
      </c>
      <c r="W1362" s="2" t="s">
        <v>80</v>
      </c>
      <c r="X1362" s="2">
        <v>5</v>
      </c>
      <c r="Y1362" s="2" t="s">
        <v>82</v>
      </c>
      <c r="Z1362" s="2">
        <v>1</v>
      </c>
      <c r="AA1362" s="2" t="s">
        <v>82</v>
      </c>
      <c r="AB1362" s="2">
        <v>9</v>
      </c>
      <c r="AC1362" s="2" t="s">
        <v>124</v>
      </c>
      <c r="AD1362" s="3">
        <v>40273</v>
      </c>
      <c r="AE1362" s="4">
        <v>0.41666666666666669</v>
      </c>
      <c r="AF1362" s="2"/>
      <c r="AG1362" s="2"/>
      <c r="AH1362" s="2">
        <v>6</v>
      </c>
      <c r="AI1362" s="2" t="s">
        <v>197</v>
      </c>
      <c r="AJ1362" s="2">
        <v>52</v>
      </c>
      <c r="AK1362" s="2" t="s">
        <v>4746</v>
      </c>
      <c r="AL1362" s="2">
        <v>18</v>
      </c>
      <c r="AM1362" s="2" t="s">
        <v>82</v>
      </c>
      <c r="AN1362" s="2"/>
      <c r="AO1362" s="2"/>
      <c r="AP1362" s="2">
        <v>11</v>
      </c>
      <c r="AQ1362" s="2" t="s">
        <v>82</v>
      </c>
      <c r="AR1362" s="2"/>
      <c r="AS1362" s="2"/>
      <c r="AT1362" s="2" t="s">
        <v>5039</v>
      </c>
      <c r="AU1362" s="2"/>
      <c r="AV1362" s="2"/>
      <c r="AW1362" s="2"/>
      <c r="AX1362" s="2"/>
      <c r="AY1362" s="2">
        <v>1</v>
      </c>
      <c r="AZ1362" s="2" t="s">
        <v>107</v>
      </c>
      <c r="BA1362" s="2">
        <v>1</v>
      </c>
      <c r="BB1362" s="2" t="s">
        <v>107</v>
      </c>
      <c r="BC1362" s="2">
        <v>1</v>
      </c>
      <c r="BD1362" s="2" t="s">
        <v>107</v>
      </c>
      <c r="BE1362" s="2">
        <v>1</v>
      </c>
      <c r="BF1362" s="2" t="s">
        <v>107</v>
      </c>
      <c r="BG1362" s="2"/>
      <c r="BH1362" s="2"/>
      <c r="BI1362" s="2"/>
      <c r="BJ1362" s="2">
        <v>242</v>
      </c>
      <c r="BK1362" s="2" t="s">
        <v>107</v>
      </c>
      <c r="BL1362" s="2"/>
      <c r="BM1362" s="2">
        <v>242</v>
      </c>
      <c r="BN1362" s="2" t="s">
        <v>107</v>
      </c>
      <c r="BO1362" s="2"/>
      <c r="BP1362" s="2">
        <v>242</v>
      </c>
      <c r="BQ1362" s="2" t="s">
        <v>107</v>
      </c>
      <c r="BR1362" s="2"/>
      <c r="BS1362" s="3">
        <v>40273</v>
      </c>
      <c r="BT1362" s="4">
        <v>0.46899305555555554</v>
      </c>
    </row>
    <row r="1363" spans="1:72" x14ac:dyDescent="0.25">
      <c r="A1363" s="2">
        <v>2028</v>
      </c>
      <c r="B1363" s="2">
        <v>2010</v>
      </c>
      <c r="C1363" s="2" t="s">
        <v>93</v>
      </c>
      <c r="D1363" s="2" t="s">
        <v>122</v>
      </c>
      <c r="E1363" s="2" t="s">
        <v>5040</v>
      </c>
      <c r="F1363" s="2">
        <v>434</v>
      </c>
      <c r="G1363" s="2" t="s">
        <v>1517</v>
      </c>
      <c r="H1363" s="2">
        <v>50</v>
      </c>
      <c r="I1363" s="2" t="s">
        <v>107</v>
      </c>
      <c r="J1363" s="2">
        <v>1</v>
      </c>
      <c r="K1363" s="2" t="s">
        <v>107</v>
      </c>
      <c r="L1363" s="2" t="s">
        <v>107</v>
      </c>
      <c r="M1363" s="3">
        <v>40273</v>
      </c>
      <c r="N1363" s="2" t="s">
        <v>5019</v>
      </c>
      <c r="O1363" s="2" t="s">
        <v>5020</v>
      </c>
      <c r="P1363" s="2" t="s">
        <v>5021</v>
      </c>
      <c r="Q1363" s="2" t="str">
        <f>""</f>
        <v/>
      </c>
      <c r="R1363" s="2"/>
      <c r="S1363" s="2"/>
      <c r="T1363" s="2">
        <v>1</v>
      </c>
      <c r="U1363" s="2" t="s">
        <v>79</v>
      </c>
      <c r="V1363" s="2">
        <v>1</v>
      </c>
      <c r="W1363" s="2" t="s">
        <v>80</v>
      </c>
      <c r="X1363" s="2">
        <v>1</v>
      </c>
      <c r="Y1363" s="2" t="s">
        <v>81</v>
      </c>
      <c r="Z1363" s="2">
        <v>1</v>
      </c>
      <c r="AA1363" s="2" t="s">
        <v>82</v>
      </c>
      <c r="AB1363" s="2">
        <v>2</v>
      </c>
      <c r="AC1363" s="2" t="s">
        <v>102</v>
      </c>
      <c r="AD1363" s="2"/>
      <c r="AE1363" s="2"/>
      <c r="AF1363" s="2"/>
      <c r="AG1363" s="2"/>
      <c r="AH1363" s="2">
        <v>2</v>
      </c>
      <c r="AI1363" s="2" t="s">
        <v>84</v>
      </c>
      <c r="AJ1363" s="2">
        <v>9</v>
      </c>
      <c r="AK1363" s="2" t="s">
        <v>103</v>
      </c>
      <c r="AL1363" s="2">
        <v>14</v>
      </c>
      <c r="AM1363" s="2" t="s">
        <v>216</v>
      </c>
      <c r="AN1363" s="2"/>
      <c r="AO1363" s="2" t="s">
        <v>5041</v>
      </c>
      <c r="AP1363" s="2">
        <v>11</v>
      </c>
      <c r="AQ1363" s="2" t="s">
        <v>82</v>
      </c>
      <c r="AR1363" s="2"/>
      <c r="AS1363" s="2"/>
      <c r="AT1363" s="2" t="s">
        <v>5042</v>
      </c>
      <c r="AU1363" s="2">
        <v>1</v>
      </c>
      <c r="AV1363" s="2"/>
      <c r="AW1363" s="2"/>
      <c r="AX1363" s="2"/>
      <c r="AY1363" s="2">
        <v>41</v>
      </c>
      <c r="AZ1363" s="2" t="s">
        <v>82</v>
      </c>
      <c r="BA1363" s="2">
        <v>41</v>
      </c>
      <c r="BB1363" s="2" t="s">
        <v>82</v>
      </c>
      <c r="BC1363" s="2">
        <v>41</v>
      </c>
      <c r="BD1363" s="2" t="s">
        <v>82</v>
      </c>
      <c r="BE1363" s="2">
        <v>18</v>
      </c>
      <c r="BF1363" s="2" t="s">
        <v>1091</v>
      </c>
      <c r="BG1363" s="2" t="s">
        <v>5024</v>
      </c>
      <c r="BH1363" s="2"/>
      <c r="BI1363" s="2"/>
      <c r="BJ1363" s="2">
        <v>13</v>
      </c>
      <c r="BK1363" s="2" t="s">
        <v>91</v>
      </c>
      <c r="BL1363" s="2" t="s">
        <v>112</v>
      </c>
      <c r="BM1363" s="2">
        <v>241</v>
      </c>
      <c r="BN1363" s="2" t="s">
        <v>82</v>
      </c>
      <c r="BO1363" s="2"/>
      <c r="BP1363" s="2">
        <v>133</v>
      </c>
      <c r="BQ1363" s="2" t="s">
        <v>2860</v>
      </c>
      <c r="BR1363" s="2" t="s">
        <v>5043</v>
      </c>
      <c r="BS1363" s="3">
        <v>40273</v>
      </c>
      <c r="BT1363" s="4">
        <v>0.48535879629629625</v>
      </c>
    </row>
    <row r="1364" spans="1:72" x14ac:dyDescent="0.25">
      <c r="A1364" s="2">
        <v>2030</v>
      </c>
      <c r="B1364" s="2">
        <v>2010</v>
      </c>
      <c r="C1364" s="2" t="s">
        <v>409</v>
      </c>
      <c r="D1364" s="2" t="s">
        <v>122</v>
      </c>
      <c r="E1364" s="2"/>
      <c r="F1364" s="2">
        <v>146</v>
      </c>
      <c r="G1364" s="2" t="s">
        <v>753</v>
      </c>
      <c r="H1364" s="2">
        <v>30</v>
      </c>
      <c r="I1364" s="2" t="s">
        <v>912</v>
      </c>
      <c r="J1364" s="2">
        <v>509</v>
      </c>
      <c r="K1364" s="2" t="s">
        <v>4860</v>
      </c>
      <c r="L1364" s="2" t="s">
        <v>4861</v>
      </c>
      <c r="M1364" s="3">
        <v>40273</v>
      </c>
      <c r="N1364" s="2" t="s">
        <v>5044</v>
      </c>
      <c r="O1364" s="2" t="s">
        <v>107</v>
      </c>
      <c r="P1364" s="2">
        <v>2277</v>
      </c>
      <c r="Q1364" s="2" t="str">
        <f>"S/D"</f>
        <v>S/D</v>
      </c>
      <c r="R1364" s="2" t="s">
        <v>107</v>
      </c>
      <c r="S1364" s="2" t="s">
        <v>107</v>
      </c>
      <c r="T1364" s="2">
        <v>1</v>
      </c>
      <c r="U1364" s="2" t="s">
        <v>79</v>
      </c>
      <c r="V1364" s="2">
        <v>1</v>
      </c>
      <c r="W1364" s="2" t="s">
        <v>80</v>
      </c>
      <c r="X1364" s="2">
        <v>5</v>
      </c>
      <c r="Y1364" s="2" t="s">
        <v>82</v>
      </c>
      <c r="Z1364" s="2">
        <v>1</v>
      </c>
      <c r="AA1364" s="2" t="s">
        <v>82</v>
      </c>
      <c r="AB1364" s="2">
        <v>9</v>
      </c>
      <c r="AC1364" s="2" t="s">
        <v>124</v>
      </c>
      <c r="AD1364" s="3">
        <v>40242</v>
      </c>
      <c r="AE1364" s="4">
        <v>0.54166666666666663</v>
      </c>
      <c r="AF1364" s="2"/>
      <c r="AG1364" s="2"/>
      <c r="AH1364" s="2">
        <v>6</v>
      </c>
      <c r="AI1364" s="2" t="s">
        <v>197</v>
      </c>
      <c r="AJ1364" s="2">
        <v>54</v>
      </c>
      <c r="AK1364" s="2" t="s">
        <v>348</v>
      </c>
      <c r="AL1364" s="2">
        <v>18</v>
      </c>
      <c r="AM1364" s="2" t="s">
        <v>82</v>
      </c>
      <c r="AN1364" s="2" t="s">
        <v>2691</v>
      </c>
      <c r="AO1364" s="2" t="s">
        <v>107</v>
      </c>
      <c r="AP1364" s="2">
        <v>11</v>
      </c>
      <c r="AQ1364" s="2" t="s">
        <v>82</v>
      </c>
      <c r="AR1364" s="2" t="s">
        <v>107</v>
      </c>
      <c r="AS1364" s="2" t="s">
        <v>107</v>
      </c>
      <c r="AT1364" s="2" t="s">
        <v>5045</v>
      </c>
      <c r="AU1364" s="2"/>
      <c r="AV1364" s="2"/>
      <c r="AW1364" s="2"/>
      <c r="AX1364" s="2"/>
      <c r="AY1364" s="2">
        <v>1</v>
      </c>
      <c r="AZ1364" s="2" t="s">
        <v>107</v>
      </c>
      <c r="BA1364" s="2">
        <v>1</v>
      </c>
      <c r="BB1364" s="2" t="s">
        <v>107</v>
      </c>
      <c r="BC1364" s="2">
        <v>1</v>
      </c>
      <c r="BD1364" s="2" t="s">
        <v>107</v>
      </c>
      <c r="BE1364" s="2">
        <v>1</v>
      </c>
      <c r="BF1364" s="2" t="s">
        <v>107</v>
      </c>
      <c r="BG1364" s="2" t="s">
        <v>107</v>
      </c>
      <c r="BH1364" s="2"/>
      <c r="BI1364" s="2"/>
      <c r="BJ1364" s="2">
        <v>242</v>
      </c>
      <c r="BK1364" s="2" t="s">
        <v>107</v>
      </c>
      <c r="BL1364" s="2" t="s">
        <v>107</v>
      </c>
      <c r="BM1364" s="2">
        <v>242</v>
      </c>
      <c r="BN1364" s="2" t="s">
        <v>107</v>
      </c>
      <c r="BO1364" s="2" t="s">
        <v>107</v>
      </c>
      <c r="BP1364" s="2">
        <v>242</v>
      </c>
      <c r="BQ1364" s="2" t="s">
        <v>107</v>
      </c>
      <c r="BR1364" s="2" t="s">
        <v>107</v>
      </c>
      <c r="BS1364" s="3">
        <v>40273</v>
      </c>
      <c r="BT1364" s="4">
        <v>0.55540509259259263</v>
      </c>
    </row>
    <row r="1365" spans="1:72" x14ac:dyDescent="0.25">
      <c r="A1365" s="2">
        <v>2032</v>
      </c>
      <c r="B1365" s="2">
        <v>2010</v>
      </c>
      <c r="C1365" s="2" t="s">
        <v>457</v>
      </c>
      <c r="D1365" s="2" t="s">
        <v>122</v>
      </c>
      <c r="E1365" s="2"/>
      <c r="F1365" s="2">
        <v>1</v>
      </c>
      <c r="G1365" s="2" t="s">
        <v>82</v>
      </c>
      <c r="H1365" s="2">
        <v>1</v>
      </c>
      <c r="I1365" s="2" t="s">
        <v>82</v>
      </c>
      <c r="J1365" s="2">
        <v>1</v>
      </c>
      <c r="K1365" s="2" t="s">
        <v>107</v>
      </c>
      <c r="L1365" s="2" t="s">
        <v>107</v>
      </c>
      <c r="M1365" s="3">
        <v>40273</v>
      </c>
      <c r="N1365" s="2"/>
      <c r="O1365" s="2"/>
      <c r="P1365" s="2"/>
      <c r="Q1365" s="2" t="str">
        <f>""</f>
        <v/>
      </c>
      <c r="R1365" s="2"/>
      <c r="S1365" s="2"/>
      <c r="T1365" s="2">
        <v>1</v>
      </c>
      <c r="U1365" s="2" t="s">
        <v>79</v>
      </c>
      <c r="V1365" s="2">
        <v>1</v>
      </c>
      <c r="W1365" s="2" t="s">
        <v>80</v>
      </c>
      <c r="X1365" s="2">
        <v>4</v>
      </c>
      <c r="Y1365" s="2" t="s">
        <v>463</v>
      </c>
      <c r="Z1365" s="2">
        <v>7</v>
      </c>
      <c r="AA1365" s="2" t="s">
        <v>1462</v>
      </c>
      <c r="AB1365" s="2">
        <v>9</v>
      </c>
      <c r="AC1365" s="2" t="s">
        <v>124</v>
      </c>
      <c r="AD1365" s="3">
        <v>40273</v>
      </c>
      <c r="AE1365" s="4">
        <v>0.48958333333333331</v>
      </c>
      <c r="AF1365" s="2"/>
      <c r="AG1365" s="2"/>
      <c r="AH1365" s="2">
        <v>2</v>
      </c>
      <c r="AI1365" s="2" t="s">
        <v>84</v>
      </c>
      <c r="AJ1365" s="2">
        <v>12</v>
      </c>
      <c r="AK1365" s="2" t="s">
        <v>85</v>
      </c>
      <c r="AL1365" s="2">
        <v>2</v>
      </c>
      <c r="AM1365" s="2" t="s">
        <v>163</v>
      </c>
      <c r="AN1365" s="2" t="s">
        <v>107</v>
      </c>
      <c r="AO1365" s="2" t="s">
        <v>5046</v>
      </c>
      <c r="AP1365" s="2">
        <v>11</v>
      </c>
      <c r="AQ1365" s="2" t="s">
        <v>82</v>
      </c>
      <c r="AR1365" s="2"/>
      <c r="AS1365" s="2"/>
      <c r="AT1365" s="2" t="s">
        <v>5047</v>
      </c>
      <c r="AU1365" s="2"/>
      <c r="AV1365" s="2"/>
      <c r="AW1365" s="2"/>
      <c r="AX1365" s="2"/>
      <c r="AY1365" s="2">
        <v>41</v>
      </c>
      <c r="AZ1365" s="2" t="s">
        <v>82</v>
      </c>
      <c r="BA1365" s="2">
        <v>41</v>
      </c>
      <c r="BB1365" s="2" t="s">
        <v>82</v>
      </c>
      <c r="BC1365" s="2">
        <v>41</v>
      </c>
      <c r="BD1365" s="2" t="s">
        <v>82</v>
      </c>
      <c r="BE1365" s="2">
        <v>13</v>
      </c>
      <c r="BF1365" s="2" t="s">
        <v>108</v>
      </c>
      <c r="BG1365" s="2" t="s">
        <v>5048</v>
      </c>
      <c r="BH1365" s="2"/>
      <c r="BI1365" s="4">
        <v>0.5625</v>
      </c>
      <c r="BJ1365" s="2">
        <v>13</v>
      </c>
      <c r="BK1365" s="2" t="s">
        <v>91</v>
      </c>
      <c r="BL1365" s="2" t="s">
        <v>202</v>
      </c>
      <c r="BM1365" s="2">
        <v>241</v>
      </c>
      <c r="BN1365" s="2" t="s">
        <v>82</v>
      </c>
      <c r="BO1365" s="2"/>
      <c r="BP1365" s="2">
        <v>172</v>
      </c>
      <c r="BQ1365" s="2" t="s">
        <v>843</v>
      </c>
      <c r="BR1365" s="2" t="s">
        <v>107</v>
      </c>
      <c r="BS1365" s="3">
        <v>40273</v>
      </c>
      <c r="BT1365" s="4">
        <v>0.58126157407407408</v>
      </c>
    </row>
    <row r="1366" spans="1:72" x14ac:dyDescent="0.25">
      <c r="A1366" s="2">
        <v>2033</v>
      </c>
      <c r="B1366" s="2">
        <v>2010</v>
      </c>
      <c r="C1366" s="2" t="s">
        <v>4543</v>
      </c>
      <c r="D1366" s="2" t="s">
        <v>122</v>
      </c>
      <c r="E1366" s="2"/>
      <c r="F1366" s="2">
        <v>1</v>
      </c>
      <c r="G1366" s="2" t="s">
        <v>82</v>
      </c>
      <c r="H1366" s="2">
        <v>1</v>
      </c>
      <c r="I1366" s="2" t="s">
        <v>82</v>
      </c>
      <c r="J1366" s="2">
        <v>1</v>
      </c>
      <c r="K1366" s="2" t="s">
        <v>107</v>
      </c>
      <c r="L1366" s="2" t="s">
        <v>107</v>
      </c>
      <c r="M1366" s="3">
        <v>40273</v>
      </c>
      <c r="N1366" s="2"/>
      <c r="O1366" s="2" t="s">
        <v>5049</v>
      </c>
      <c r="P1366" s="2">
        <v>24223</v>
      </c>
      <c r="Q1366" s="2" t="str">
        <f>"0002/2010"</f>
        <v>0002/2010</v>
      </c>
      <c r="R1366" s="2"/>
      <c r="S1366" s="2" t="s">
        <v>5050</v>
      </c>
      <c r="T1366" s="2">
        <v>2</v>
      </c>
      <c r="U1366" s="2" t="s">
        <v>123</v>
      </c>
      <c r="V1366" s="2">
        <v>1</v>
      </c>
      <c r="W1366" s="2" t="s">
        <v>80</v>
      </c>
      <c r="X1366" s="2">
        <v>5</v>
      </c>
      <c r="Y1366" s="2" t="s">
        <v>82</v>
      </c>
      <c r="Z1366" s="2">
        <v>1</v>
      </c>
      <c r="AA1366" s="2" t="s">
        <v>82</v>
      </c>
      <c r="AB1366" s="2">
        <v>9</v>
      </c>
      <c r="AC1366" s="2" t="s">
        <v>124</v>
      </c>
      <c r="AD1366" s="3">
        <v>40273</v>
      </c>
      <c r="AE1366" s="4">
        <v>0.54166666666666663</v>
      </c>
      <c r="AF1366" s="2"/>
      <c r="AG1366" s="2"/>
      <c r="AH1366" s="2">
        <v>6</v>
      </c>
      <c r="AI1366" s="2" t="s">
        <v>197</v>
      </c>
      <c r="AJ1366" s="2">
        <v>57</v>
      </c>
      <c r="AK1366" s="2" t="s">
        <v>2344</v>
      </c>
      <c r="AL1366" s="2">
        <v>18</v>
      </c>
      <c r="AM1366" s="2" t="s">
        <v>82</v>
      </c>
      <c r="AN1366" s="2"/>
      <c r="AO1366" s="2"/>
      <c r="AP1366" s="2">
        <v>11</v>
      </c>
      <c r="AQ1366" s="2" t="s">
        <v>82</v>
      </c>
      <c r="AR1366" s="2"/>
      <c r="AS1366" s="2"/>
      <c r="AT1366" s="2" t="s">
        <v>5051</v>
      </c>
      <c r="AU1366" s="2"/>
      <c r="AV1366" s="2"/>
      <c r="AW1366" s="2"/>
      <c r="AX1366" s="2"/>
      <c r="AY1366" s="2">
        <v>1</v>
      </c>
      <c r="AZ1366" s="2" t="s">
        <v>107</v>
      </c>
      <c r="BA1366" s="2">
        <v>1</v>
      </c>
      <c r="BB1366" s="2" t="s">
        <v>107</v>
      </c>
      <c r="BC1366" s="2">
        <v>1</v>
      </c>
      <c r="BD1366" s="2" t="s">
        <v>107</v>
      </c>
      <c r="BE1366" s="2">
        <v>1</v>
      </c>
      <c r="BF1366" s="2" t="s">
        <v>107</v>
      </c>
      <c r="BG1366" s="2"/>
      <c r="BH1366" s="2"/>
      <c r="BI1366" s="2"/>
      <c r="BJ1366" s="2">
        <v>242</v>
      </c>
      <c r="BK1366" s="2" t="s">
        <v>107</v>
      </c>
      <c r="BL1366" s="2"/>
      <c r="BM1366" s="2">
        <v>242</v>
      </c>
      <c r="BN1366" s="2" t="s">
        <v>107</v>
      </c>
      <c r="BO1366" s="2"/>
      <c r="BP1366" s="2">
        <v>242</v>
      </c>
      <c r="BQ1366" s="2" t="s">
        <v>107</v>
      </c>
      <c r="BR1366" s="2"/>
      <c r="BS1366" s="3">
        <v>40273</v>
      </c>
      <c r="BT1366" s="4">
        <v>0.5879050925925926</v>
      </c>
    </row>
    <row r="1367" spans="1:72" x14ac:dyDescent="0.25">
      <c r="A1367" s="2">
        <v>2038</v>
      </c>
      <c r="B1367" s="2">
        <v>2010</v>
      </c>
      <c r="C1367" s="2" t="s">
        <v>642</v>
      </c>
      <c r="D1367" s="2" t="s">
        <v>122</v>
      </c>
      <c r="E1367" s="2"/>
      <c r="F1367" s="2">
        <v>125</v>
      </c>
      <c r="G1367" s="2" t="s">
        <v>1483</v>
      </c>
      <c r="H1367" s="2">
        <v>49</v>
      </c>
      <c r="I1367" s="2" t="s">
        <v>1484</v>
      </c>
      <c r="J1367" s="2">
        <v>139</v>
      </c>
      <c r="K1367" s="2" t="s">
        <v>1485</v>
      </c>
      <c r="L1367" s="2" t="s">
        <v>1486</v>
      </c>
      <c r="M1367" s="3">
        <v>40273</v>
      </c>
      <c r="N1367" s="2" t="s">
        <v>5052</v>
      </c>
      <c r="O1367" s="2" t="s">
        <v>5053</v>
      </c>
      <c r="P1367" s="2" t="s">
        <v>5054</v>
      </c>
      <c r="Q1367" s="2" t="str">
        <f>"N/C"</f>
        <v>N/C</v>
      </c>
      <c r="R1367" s="2" t="s">
        <v>82</v>
      </c>
      <c r="S1367" s="2" t="s">
        <v>82</v>
      </c>
      <c r="T1367" s="2">
        <v>1</v>
      </c>
      <c r="U1367" s="2" t="s">
        <v>79</v>
      </c>
      <c r="V1367" s="2">
        <v>3</v>
      </c>
      <c r="W1367" s="2" t="s">
        <v>225</v>
      </c>
      <c r="X1367" s="2">
        <v>2</v>
      </c>
      <c r="Y1367" s="2" t="s">
        <v>136</v>
      </c>
      <c r="Z1367" s="2">
        <v>10</v>
      </c>
      <c r="AA1367" s="2" t="s">
        <v>236</v>
      </c>
      <c r="AB1367" s="2">
        <v>9</v>
      </c>
      <c r="AC1367" s="2" t="s">
        <v>124</v>
      </c>
      <c r="AD1367" s="2"/>
      <c r="AE1367" s="2"/>
      <c r="AF1367" s="2"/>
      <c r="AG1367" s="2"/>
      <c r="AH1367" s="2">
        <v>6</v>
      </c>
      <c r="AI1367" s="2" t="s">
        <v>197</v>
      </c>
      <c r="AJ1367" s="2">
        <v>61</v>
      </c>
      <c r="AK1367" s="2" t="s">
        <v>686</v>
      </c>
      <c r="AL1367" s="2">
        <v>18</v>
      </c>
      <c r="AM1367" s="2" t="s">
        <v>82</v>
      </c>
      <c r="AN1367" s="2" t="s">
        <v>82</v>
      </c>
      <c r="AO1367" s="2" t="s">
        <v>82</v>
      </c>
      <c r="AP1367" s="2">
        <v>11</v>
      </c>
      <c r="AQ1367" s="2" t="s">
        <v>82</v>
      </c>
      <c r="AR1367" s="2" t="s">
        <v>82</v>
      </c>
      <c r="AS1367" s="2" t="s">
        <v>82</v>
      </c>
      <c r="AT1367" s="2" t="s">
        <v>5055</v>
      </c>
      <c r="AU1367" s="2"/>
      <c r="AV1367" s="2"/>
      <c r="AW1367" s="2"/>
      <c r="AX1367" s="2"/>
      <c r="AY1367" s="2">
        <v>41</v>
      </c>
      <c r="AZ1367" s="2" t="s">
        <v>82</v>
      </c>
      <c r="BA1367" s="2">
        <v>41</v>
      </c>
      <c r="BB1367" s="2" t="s">
        <v>82</v>
      </c>
      <c r="BC1367" s="2">
        <v>41</v>
      </c>
      <c r="BD1367" s="2" t="s">
        <v>82</v>
      </c>
      <c r="BE1367" s="2">
        <v>41</v>
      </c>
      <c r="BF1367" s="2" t="s">
        <v>82</v>
      </c>
      <c r="BG1367" s="2" t="s">
        <v>82</v>
      </c>
      <c r="BH1367" s="2"/>
      <c r="BI1367" s="2"/>
      <c r="BJ1367" s="2">
        <v>241</v>
      </c>
      <c r="BK1367" s="2" t="s">
        <v>82</v>
      </c>
      <c r="BL1367" s="2" t="s">
        <v>82</v>
      </c>
      <c r="BM1367" s="2">
        <v>241</v>
      </c>
      <c r="BN1367" s="2" t="s">
        <v>82</v>
      </c>
      <c r="BO1367" s="2" t="s">
        <v>82</v>
      </c>
      <c r="BP1367" s="2">
        <v>241</v>
      </c>
      <c r="BQ1367" s="2" t="s">
        <v>82</v>
      </c>
      <c r="BR1367" s="2" t="s">
        <v>82</v>
      </c>
      <c r="BS1367" s="3">
        <v>40273</v>
      </c>
      <c r="BT1367" s="4">
        <v>0.69694444444444448</v>
      </c>
    </row>
    <row r="1368" spans="1:72" x14ac:dyDescent="0.25">
      <c r="A1368" s="2">
        <v>2039</v>
      </c>
      <c r="B1368" s="2">
        <v>2010</v>
      </c>
      <c r="C1368" s="2" t="s">
        <v>128</v>
      </c>
      <c r="D1368" s="2" t="s">
        <v>73</v>
      </c>
      <c r="E1368" s="2"/>
      <c r="F1368" s="2">
        <v>125</v>
      </c>
      <c r="G1368" s="2" t="s">
        <v>1483</v>
      </c>
      <c r="H1368" s="2">
        <v>49</v>
      </c>
      <c r="I1368" s="2" t="s">
        <v>1484</v>
      </c>
      <c r="J1368" s="2">
        <v>139</v>
      </c>
      <c r="K1368" s="2" t="s">
        <v>1485</v>
      </c>
      <c r="L1368" s="2" t="s">
        <v>1486</v>
      </c>
      <c r="M1368" s="3">
        <v>40273</v>
      </c>
      <c r="N1368" s="2" t="s">
        <v>5056</v>
      </c>
      <c r="O1368" s="2" t="s">
        <v>5057</v>
      </c>
      <c r="P1368" s="2" t="s">
        <v>5054</v>
      </c>
      <c r="Q1368" s="2" t="str">
        <f>""</f>
        <v/>
      </c>
      <c r="R1368" s="2"/>
      <c r="S1368" s="2"/>
      <c r="T1368" s="2">
        <v>1</v>
      </c>
      <c r="U1368" s="2" t="s">
        <v>79</v>
      </c>
      <c r="V1368" s="2">
        <v>3</v>
      </c>
      <c r="W1368" s="2" t="s">
        <v>225</v>
      </c>
      <c r="X1368" s="2">
        <v>6</v>
      </c>
      <c r="Y1368" s="2" t="s">
        <v>249</v>
      </c>
      <c r="Z1368" s="2">
        <v>1</v>
      </c>
      <c r="AA1368" s="2" t="s">
        <v>82</v>
      </c>
      <c r="AB1368" s="2">
        <v>9</v>
      </c>
      <c r="AC1368" s="2" t="s">
        <v>124</v>
      </c>
      <c r="AD1368" s="3">
        <v>40273</v>
      </c>
      <c r="AE1368" s="4">
        <v>0.375</v>
      </c>
      <c r="AF1368" s="2"/>
      <c r="AG1368" s="2"/>
      <c r="AH1368" s="2">
        <v>6</v>
      </c>
      <c r="AI1368" s="2" t="s">
        <v>197</v>
      </c>
      <c r="AJ1368" s="2">
        <v>47</v>
      </c>
      <c r="AK1368" s="2" t="s">
        <v>250</v>
      </c>
      <c r="AL1368" s="2">
        <v>23</v>
      </c>
      <c r="AM1368" s="2" t="s">
        <v>251</v>
      </c>
      <c r="AN1368" s="2"/>
      <c r="AO1368" s="2"/>
      <c r="AP1368" s="2">
        <v>11</v>
      </c>
      <c r="AQ1368" s="2" t="s">
        <v>82</v>
      </c>
      <c r="AR1368" s="2"/>
      <c r="AS1368" s="2"/>
      <c r="AT1368" s="2" t="s">
        <v>5058</v>
      </c>
      <c r="AU1368" s="2"/>
      <c r="AV1368" s="2"/>
      <c r="AW1368" s="2"/>
      <c r="AX1368" s="2"/>
      <c r="AY1368" s="2">
        <v>1</v>
      </c>
      <c r="AZ1368" s="2" t="s">
        <v>107</v>
      </c>
      <c r="BA1368" s="2">
        <v>1</v>
      </c>
      <c r="BB1368" s="2" t="s">
        <v>107</v>
      </c>
      <c r="BC1368" s="2">
        <v>1</v>
      </c>
      <c r="BD1368" s="2" t="s">
        <v>107</v>
      </c>
      <c r="BE1368" s="2">
        <v>1</v>
      </c>
      <c r="BF1368" s="2" t="s">
        <v>107</v>
      </c>
      <c r="BG1368" s="2"/>
      <c r="BH1368" s="2"/>
      <c r="BI1368" s="2"/>
      <c r="BJ1368" s="2">
        <v>242</v>
      </c>
      <c r="BK1368" s="2" t="s">
        <v>107</v>
      </c>
      <c r="BL1368" s="2"/>
      <c r="BM1368" s="2">
        <v>242</v>
      </c>
      <c r="BN1368" s="2" t="s">
        <v>107</v>
      </c>
      <c r="BO1368" s="2"/>
      <c r="BP1368" s="2">
        <v>242</v>
      </c>
      <c r="BQ1368" s="2" t="s">
        <v>107</v>
      </c>
      <c r="BR1368" s="2"/>
      <c r="BS1368" s="3">
        <v>40273</v>
      </c>
      <c r="BT1368" s="4">
        <v>0.73848379629629635</v>
      </c>
    </row>
    <row r="1369" spans="1:72" x14ac:dyDescent="0.25">
      <c r="A1369" s="2">
        <v>2040</v>
      </c>
      <c r="B1369" s="2">
        <v>2010</v>
      </c>
      <c r="C1369" s="2" t="s">
        <v>147</v>
      </c>
      <c r="D1369" s="2" t="s">
        <v>73</v>
      </c>
      <c r="E1369" s="2"/>
      <c r="F1369" s="2">
        <v>1</v>
      </c>
      <c r="G1369" s="2" t="s">
        <v>82</v>
      </c>
      <c r="H1369" s="2">
        <v>1</v>
      </c>
      <c r="I1369" s="2" t="s">
        <v>82</v>
      </c>
      <c r="J1369" s="2">
        <v>1</v>
      </c>
      <c r="K1369" s="2" t="s">
        <v>107</v>
      </c>
      <c r="L1369" s="2" t="s">
        <v>107</v>
      </c>
      <c r="M1369" s="3">
        <v>40273</v>
      </c>
      <c r="N1369" s="2"/>
      <c r="O1369" s="2"/>
      <c r="P1369" s="2"/>
      <c r="Q1369" s="2" t="str">
        <f>""</f>
        <v/>
      </c>
      <c r="R1369" s="2"/>
      <c r="S1369" s="2"/>
      <c r="T1369" s="2">
        <v>2</v>
      </c>
      <c r="U1369" s="2" t="s">
        <v>123</v>
      </c>
      <c r="V1369" s="2">
        <v>1</v>
      </c>
      <c r="W1369" s="2" t="s">
        <v>80</v>
      </c>
      <c r="X1369" s="2">
        <v>12</v>
      </c>
      <c r="Y1369" s="2" t="s">
        <v>148</v>
      </c>
      <c r="Z1369" s="2">
        <v>1</v>
      </c>
      <c r="AA1369" s="2" t="s">
        <v>82</v>
      </c>
      <c r="AB1369" s="2">
        <v>9</v>
      </c>
      <c r="AC1369" s="2" t="s">
        <v>124</v>
      </c>
      <c r="AD1369" s="3">
        <v>40271</v>
      </c>
      <c r="AE1369" s="2"/>
      <c r="AF1369" s="3">
        <v>40273</v>
      </c>
      <c r="AG1369" s="4">
        <v>0.71527777777777779</v>
      </c>
      <c r="AH1369" s="2">
        <v>3</v>
      </c>
      <c r="AI1369" s="2" t="s">
        <v>214</v>
      </c>
      <c r="AJ1369" s="2">
        <v>24</v>
      </c>
      <c r="AK1369" s="2" t="s">
        <v>215</v>
      </c>
      <c r="AL1369" s="2">
        <v>19</v>
      </c>
      <c r="AM1369" s="2" t="s">
        <v>107</v>
      </c>
      <c r="AN1369" s="2"/>
      <c r="AO1369" s="2"/>
      <c r="AP1369" s="2">
        <v>11</v>
      </c>
      <c r="AQ1369" s="2" t="s">
        <v>82</v>
      </c>
      <c r="AR1369" s="2"/>
      <c r="AS1369" s="2"/>
      <c r="AT1369" s="2" t="s">
        <v>5059</v>
      </c>
      <c r="AU1369" s="2"/>
      <c r="AV1369" s="2"/>
      <c r="AW1369" s="2"/>
      <c r="AX1369" s="2"/>
      <c r="AY1369" s="2">
        <v>70</v>
      </c>
      <c r="AZ1369" s="2" t="s">
        <v>236</v>
      </c>
      <c r="BA1369" s="2">
        <v>41</v>
      </c>
      <c r="BB1369" s="2" t="s">
        <v>82</v>
      </c>
      <c r="BC1369" s="2">
        <v>41</v>
      </c>
      <c r="BD1369" s="2" t="s">
        <v>82</v>
      </c>
      <c r="BE1369" s="2">
        <v>41</v>
      </c>
      <c r="BF1369" s="2" t="s">
        <v>82</v>
      </c>
      <c r="BG1369" s="2"/>
      <c r="BH1369" s="2"/>
      <c r="BI1369" s="2"/>
      <c r="BJ1369" s="2">
        <v>241</v>
      </c>
      <c r="BK1369" s="2" t="s">
        <v>82</v>
      </c>
      <c r="BL1369" s="2"/>
      <c r="BM1369" s="2">
        <v>241</v>
      </c>
      <c r="BN1369" s="2" t="s">
        <v>82</v>
      </c>
      <c r="BO1369" s="2"/>
      <c r="BP1369" s="2">
        <v>241</v>
      </c>
      <c r="BQ1369" s="2" t="s">
        <v>82</v>
      </c>
      <c r="BR1369" s="2"/>
      <c r="BS1369" s="3">
        <v>40273</v>
      </c>
      <c r="BT1369" s="4">
        <v>0.74766203703703704</v>
      </c>
    </row>
    <row r="1370" spans="1:72" x14ac:dyDescent="0.25">
      <c r="A1370" s="2">
        <v>2041</v>
      </c>
      <c r="B1370" s="2">
        <v>2010</v>
      </c>
      <c r="C1370" s="2" t="s">
        <v>72</v>
      </c>
      <c r="D1370" s="2" t="s">
        <v>122</v>
      </c>
      <c r="E1370" s="2"/>
      <c r="F1370" s="2">
        <v>70</v>
      </c>
      <c r="G1370" s="2" t="s">
        <v>3539</v>
      </c>
      <c r="H1370" s="2">
        <v>42</v>
      </c>
      <c r="I1370" s="2" t="s">
        <v>1096</v>
      </c>
      <c r="J1370" s="2">
        <v>102</v>
      </c>
      <c r="K1370" s="2" t="s">
        <v>3540</v>
      </c>
      <c r="L1370" s="2" t="s">
        <v>3541</v>
      </c>
      <c r="M1370" s="3">
        <v>40273</v>
      </c>
      <c r="N1370" s="2" t="s">
        <v>5060</v>
      </c>
      <c r="O1370" s="2" t="s">
        <v>5061</v>
      </c>
      <c r="P1370" s="2" t="s">
        <v>5062</v>
      </c>
      <c r="Q1370" s="2" t="str">
        <f>"01/06"</f>
        <v>01/06</v>
      </c>
      <c r="R1370" s="2"/>
      <c r="S1370" s="2" t="s">
        <v>5063</v>
      </c>
      <c r="T1370" s="2">
        <v>1</v>
      </c>
      <c r="U1370" s="2" t="s">
        <v>79</v>
      </c>
      <c r="V1370" s="2">
        <v>1</v>
      </c>
      <c r="W1370" s="2" t="s">
        <v>80</v>
      </c>
      <c r="X1370" s="2">
        <v>1</v>
      </c>
      <c r="Y1370" s="2" t="s">
        <v>81</v>
      </c>
      <c r="Z1370" s="2">
        <v>3</v>
      </c>
      <c r="AA1370" s="2" t="s">
        <v>257</v>
      </c>
      <c r="AB1370" s="2">
        <v>6</v>
      </c>
      <c r="AC1370" s="2" t="s">
        <v>83</v>
      </c>
      <c r="AD1370" s="3">
        <v>38793</v>
      </c>
      <c r="AE1370" s="4">
        <v>0.5</v>
      </c>
      <c r="AF1370" s="3">
        <v>38793</v>
      </c>
      <c r="AG1370" s="4">
        <v>0.67013888888888884</v>
      </c>
      <c r="AH1370" s="2">
        <v>3</v>
      </c>
      <c r="AI1370" s="2" t="s">
        <v>214</v>
      </c>
      <c r="AJ1370" s="2">
        <v>21</v>
      </c>
      <c r="AK1370" s="2" t="s">
        <v>3544</v>
      </c>
      <c r="AL1370" s="2">
        <v>9</v>
      </c>
      <c r="AM1370" s="2" t="s">
        <v>259</v>
      </c>
      <c r="AN1370" s="2"/>
      <c r="AO1370" s="2"/>
      <c r="AP1370" s="2">
        <v>11</v>
      </c>
      <c r="AQ1370" s="2" t="s">
        <v>82</v>
      </c>
      <c r="AR1370" s="2"/>
      <c r="AS1370" s="2"/>
      <c r="AT1370" s="2" t="s">
        <v>5064</v>
      </c>
      <c r="AU1370" s="2"/>
      <c r="AV1370" s="2"/>
      <c r="AW1370" s="2"/>
      <c r="AX1370" s="2"/>
      <c r="AY1370" s="2">
        <v>44</v>
      </c>
      <c r="AZ1370" s="2" t="s">
        <v>262</v>
      </c>
      <c r="BA1370" s="2">
        <v>44</v>
      </c>
      <c r="BB1370" s="2" t="s">
        <v>262</v>
      </c>
      <c r="BC1370" s="2">
        <v>41</v>
      </c>
      <c r="BD1370" s="2" t="s">
        <v>82</v>
      </c>
      <c r="BE1370" s="2">
        <v>41</v>
      </c>
      <c r="BF1370" s="2" t="s">
        <v>82</v>
      </c>
      <c r="BG1370" s="2"/>
      <c r="BH1370" s="2"/>
      <c r="BI1370" s="2"/>
      <c r="BJ1370" s="2">
        <v>241</v>
      </c>
      <c r="BK1370" s="2" t="s">
        <v>82</v>
      </c>
      <c r="BL1370" s="2"/>
      <c r="BM1370" s="2">
        <v>241</v>
      </c>
      <c r="BN1370" s="2" t="s">
        <v>82</v>
      </c>
      <c r="BO1370" s="2"/>
      <c r="BP1370" s="2">
        <v>241</v>
      </c>
      <c r="BQ1370" s="2" t="s">
        <v>82</v>
      </c>
      <c r="BR1370" s="2"/>
      <c r="BS1370" s="3">
        <v>40273</v>
      </c>
      <c r="BT1370" s="4">
        <v>0.79645833333333327</v>
      </c>
    </row>
    <row r="1371" spans="1:72" x14ac:dyDescent="0.25">
      <c r="A1371" s="2">
        <v>2042</v>
      </c>
      <c r="B1371" s="2">
        <v>2010</v>
      </c>
      <c r="C1371" s="2" t="s">
        <v>93</v>
      </c>
      <c r="D1371" s="2" t="s">
        <v>73</v>
      </c>
      <c r="E1371" s="2"/>
      <c r="F1371" s="2">
        <v>583</v>
      </c>
      <c r="G1371" s="2" t="s">
        <v>5065</v>
      </c>
      <c r="H1371" s="2">
        <v>1</v>
      </c>
      <c r="I1371" s="2" t="s">
        <v>82</v>
      </c>
      <c r="J1371" s="2">
        <v>515</v>
      </c>
      <c r="K1371" s="2" t="s">
        <v>5066</v>
      </c>
      <c r="L1371" s="2" t="s">
        <v>5067</v>
      </c>
      <c r="M1371" s="3">
        <v>40273</v>
      </c>
      <c r="N1371" s="2"/>
      <c r="O1371" s="2" t="s">
        <v>5068</v>
      </c>
      <c r="P1371" s="2" t="s">
        <v>5069</v>
      </c>
      <c r="Q1371" s="2" t="str">
        <f>""</f>
        <v/>
      </c>
      <c r="R1371" s="2"/>
      <c r="S1371" s="2"/>
      <c r="T1371" s="2">
        <v>1</v>
      </c>
      <c r="U1371" s="2" t="s">
        <v>79</v>
      </c>
      <c r="V1371" s="2">
        <v>1</v>
      </c>
      <c r="W1371" s="2" t="s">
        <v>80</v>
      </c>
      <c r="X1371" s="2">
        <v>1</v>
      </c>
      <c r="Y1371" s="2" t="s">
        <v>81</v>
      </c>
      <c r="Z1371" s="2">
        <v>1</v>
      </c>
      <c r="AA1371" s="2" t="s">
        <v>82</v>
      </c>
      <c r="AB1371" s="2">
        <v>2</v>
      </c>
      <c r="AC1371" s="2" t="s">
        <v>102</v>
      </c>
      <c r="AD1371" s="3">
        <v>40273</v>
      </c>
      <c r="AE1371" s="4">
        <v>0.375</v>
      </c>
      <c r="AF1371" s="2"/>
      <c r="AG1371" s="2"/>
      <c r="AH1371" s="2">
        <v>2</v>
      </c>
      <c r="AI1371" s="2" t="s">
        <v>84</v>
      </c>
      <c r="AJ1371" s="2">
        <v>9</v>
      </c>
      <c r="AK1371" s="2" t="s">
        <v>103</v>
      </c>
      <c r="AL1371" s="2">
        <v>14</v>
      </c>
      <c r="AM1371" s="2" t="s">
        <v>216</v>
      </c>
      <c r="AN1371" s="2" t="s">
        <v>5070</v>
      </c>
      <c r="AO1371" s="2" t="s">
        <v>82</v>
      </c>
      <c r="AP1371" s="2">
        <v>11</v>
      </c>
      <c r="AQ1371" s="2" t="s">
        <v>82</v>
      </c>
      <c r="AR1371" s="2"/>
      <c r="AS1371" s="2"/>
      <c r="AT1371" s="2" t="s">
        <v>5071</v>
      </c>
      <c r="AU1371" s="2"/>
      <c r="AV1371" s="2"/>
      <c r="AW1371" s="2">
        <v>1</v>
      </c>
      <c r="AX1371" s="2"/>
      <c r="AY1371" s="2">
        <v>43</v>
      </c>
      <c r="AZ1371" s="2" t="s">
        <v>220</v>
      </c>
      <c r="BA1371" s="2">
        <v>41</v>
      </c>
      <c r="BB1371" s="2" t="s">
        <v>82</v>
      </c>
      <c r="BC1371" s="2">
        <v>41</v>
      </c>
      <c r="BD1371" s="2" t="s">
        <v>82</v>
      </c>
      <c r="BE1371" s="2">
        <v>25</v>
      </c>
      <c r="BF1371" s="2" t="s">
        <v>358</v>
      </c>
      <c r="BG1371" s="2" t="s">
        <v>5072</v>
      </c>
      <c r="BH1371" s="4">
        <v>0.22013888888888888</v>
      </c>
      <c r="BI1371" s="4">
        <v>4.1666666666666664E-2</v>
      </c>
      <c r="BJ1371" s="2">
        <v>33</v>
      </c>
      <c r="BK1371" s="2" t="s">
        <v>361</v>
      </c>
      <c r="BL1371" s="2" t="s">
        <v>2723</v>
      </c>
      <c r="BM1371" s="2">
        <v>241</v>
      </c>
      <c r="BN1371" s="2" t="s">
        <v>82</v>
      </c>
      <c r="BO1371" s="2"/>
      <c r="BP1371" s="2">
        <v>13</v>
      </c>
      <c r="BQ1371" s="2" t="s">
        <v>91</v>
      </c>
      <c r="BR1371" s="2" t="s">
        <v>360</v>
      </c>
      <c r="BS1371" s="3">
        <v>40273</v>
      </c>
      <c r="BT1371" s="4">
        <v>0.80406250000000001</v>
      </c>
    </row>
    <row r="1372" spans="1:72" x14ac:dyDescent="0.25">
      <c r="A1372" s="2">
        <v>2043</v>
      </c>
      <c r="B1372" s="2">
        <v>2010</v>
      </c>
      <c r="C1372" s="2" t="s">
        <v>243</v>
      </c>
      <c r="D1372" s="2" t="s">
        <v>73</v>
      </c>
      <c r="E1372" s="2"/>
      <c r="F1372" s="2">
        <v>160</v>
      </c>
      <c r="G1372" s="2"/>
      <c r="H1372" s="2">
        <v>20</v>
      </c>
      <c r="I1372" s="2" t="s">
        <v>5073</v>
      </c>
      <c r="J1372" s="2">
        <v>170</v>
      </c>
      <c r="K1372" s="2" t="s">
        <v>5074</v>
      </c>
      <c r="L1372" s="2" t="s">
        <v>5075</v>
      </c>
      <c r="M1372" s="3">
        <v>40273</v>
      </c>
      <c r="N1372" s="2" t="s">
        <v>5076</v>
      </c>
      <c r="O1372" s="2" t="s">
        <v>82</v>
      </c>
      <c r="P1372" s="2" t="s">
        <v>82</v>
      </c>
      <c r="Q1372" s="2" t="str">
        <f>"145-A/10"</f>
        <v>145-A/10</v>
      </c>
      <c r="R1372" s="2" t="s">
        <v>82</v>
      </c>
      <c r="S1372" s="2" t="s">
        <v>5077</v>
      </c>
      <c r="T1372" s="2">
        <v>1</v>
      </c>
      <c r="U1372" s="2" t="s">
        <v>79</v>
      </c>
      <c r="V1372" s="2">
        <v>1</v>
      </c>
      <c r="W1372" s="2" t="s">
        <v>80</v>
      </c>
      <c r="X1372" s="2">
        <v>1</v>
      </c>
      <c r="Y1372" s="2" t="s">
        <v>81</v>
      </c>
      <c r="Z1372" s="2">
        <v>1</v>
      </c>
      <c r="AA1372" s="2" t="s">
        <v>82</v>
      </c>
      <c r="AB1372" s="2">
        <v>9</v>
      </c>
      <c r="AC1372" s="2" t="s">
        <v>124</v>
      </c>
      <c r="AD1372" s="3">
        <v>40270</v>
      </c>
      <c r="AE1372" s="4">
        <v>0.6430555555555556</v>
      </c>
      <c r="AF1372" s="3">
        <v>40273</v>
      </c>
      <c r="AG1372" s="4">
        <v>0.60763888888888895</v>
      </c>
      <c r="AH1372" s="2">
        <v>2</v>
      </c>
      <c r="AI1372" s="2" t="s">
        <v>84</v>
      </c>
      <c r="AJ1372" s="2">
        <v>12</v>
      </c>
      <c r="AK1372" s="2" t="s">
        <v>85</v>
      </c>
      <c r="AL1372" s="2">
        <v>12</v>
      </c>
      <c r="AM1372" s="2" t="s">
        <v>86</v>
      </c>
      <c r="AN1372" s="2" t="s">
        <v>5078</v>
      </c>
      <c r="AO1372" s="2" t="s">
        <v>5079</v>
      </c>
      <c r="AP1372" s="2">
        <v>11</v>
      </c>
      <c r="AQ1372" s="2" t="s">
        <v>82</v>
      </c>
      <c r="AR1372" s="2"/>
      <c r="AS1372" s="2"/>
      <c r="AT1372" s="2" t="s">
        <v>5080</v>
      </c>
      <c r="AU1372" s="2"/>
      <c r="AV1372" s="2"/>
      <c r="AW1372" s="2"/>
      <c r="AX1372" s="2"/>
      <c r="AY1372" s="2">
        <v>41</v>
      </c>
      <c r="AZ1372" s="2" t="s">
        <v>82</v>
      </c>
      <c r="BA1372" s="2">
        <v>1</v>
      </c>
      <c r="BB1372" s="2" t="s">
        <v>107</v>
      </c>
      <c r="BC1372" s="2">
        <v>1</v>
      </c>
      <c r="BD1372" s="2" t="s">
        <v>107</v>
      </c>
      <c r="BE1372" s="2">
        <v>13</v>
      </c>
      <c r="BF1372" s="2" t="s">
        <v>108</v>
      </c>
      <c r="BG1372" s="2" t="s">
        <v>5081</v>
      </c>
      <c r="BH1372" s="4">
        <v>0.61111111111111105</v>
      </c>
      <c r="BI1372" s="2"/>
      <c r="BJ1372" s="2">
        <v>33</v>
      </c>
      <c r="BK1372" s="2" t="s">
        <v>361</v>
      </c>
      <c r="BL1372" s="2" t="s">
        <v>2723</v>
      </c>
      <c r="BM1372" s="2">
        <v>241</v>
      </c>
      <c r="BN1372" s="2" t="s">
        <v>82</v>
      </c>
      <c r="BO1372" s="2"/>
      <c r="BP1372" s="2">
        <v>13</v>
      </c>
      <c r="BQ1372" s="2" t="s">
        <v>91</v>
      </c>
      <c r="BR1372" s="2" t="s">
        <v>564</v>
      </c>
      <c r="BS1372" s="3">
        <v>40273</v>
      </c>
      <c r="BT1372" s="4">
        <v>0.80733796296296301</v>
      </c>
    </row>
    <row r="1373" spans="1:72" x14ac:dyDescent="0.25">
      <c r="A1373" s="2">
        <v>2044</v>
      </c>
      <c r="B1373" s="2">
        <v>2010</v>
      </c>
      <c r="C1373" s="2" t="s">
        <v>72</v>
      </c>
      <c r="D1373" s="2" t="s">
        <v>73</v>
      </c>
      <c r="E1373" s="2"/>
      <c r="F1373" s="2">
        <v>389</v>
      </c>
      <c r="G1373" s="2" t="s">
        <v>1819</v>
      </c>
      <c r="H1373" s="2">
        <v>3</v>
      </c>
      <c r="I1373" s="2" t="s">
        <v>315</v>
      </c>
      <c r="J1373" s="2">
        <v>399</v>
      </c>
      <c r="K1373" s="2" t="s">
        <v>1820</v>
      </c>
      <c r="L1373" s="2" t="s">
        <v>1821</v>
      </c>
      <c r="M1373" s="3">
        <v>40273</v>
      </c>
      <c r="N1373" s="2" t="s">
        <v>2319</v>
      </c>
      <c r="O1373" s="2" t="s">
        <v>82</v>
      </c>
      <c r="P1373" s="2" t="s">
        <v>82</v>
      </c>
      <c r="Q1373" s="2" t="str">
        <f>"185-E/10"</f>
        <v>185-E/10</v>
      </c>
      <c r="R1373" s="2" t="s">
        <v>82</v>
      </c>
      <c r="S1373" s="2" t="s">
        <v>601</v>
      </c>
      <c r="T1373" s="2">
        <v>1</v>
      </c>
      <c r="U1373" s="2" t="s">
        <v>79</v>
      </c>
      <c r="V1373" s="2">
        <v>1</v>
      </c>
      <c r="W1373" s="2" t="s">
        <v>80</v>
      </c>
      <c r="X1373" s="2">
        <v>1</v>
      </c>
      <c r="Y1373" s="2" t="s">
        <v>81</v>
      </c>
      <c r="Z1373" s="2">
        <v>1</v>
      </c>
      <c r="AA1373" s="2" t="s">
        <v>82</v>
      </c>
      <c r="AB1373" s="2">
        <v>6</v>
      </c>
      <c r="AC1373" s="2" t="s">
        <v>83</v>
      </c>
      <c r="AD1373" s="3">
        <v>40273</v>
      </c>
      <c r="AE1373" s="4">
        <v>0.73611111111111116</v>
      </c>
      <c r="AF1373" s="3">
        <v>40273</v>
      </c>
      <c r="AG1373" s="4">
        <v>0.83333333333333337</v>
      </c>
      <c r="AH1373" s="2">
        <v>2</v>
      </c>
      <c r="AI1373" s="2" t="s">
        <v>84</v>
      </c>
      <c r="AJ1373" s="2">
        <v>9</v>
      </c>
      <c r="AK1373" s="2" t="s">
        <v>103</v>
      </c>
      <c r="AL1373" s="2">
        <v>10</v>
      </c>
      <c r="AM1373" s="2" t="s">
        <v>200</v>
      </c>
      <c r="AN1373" s="2"/>
      <c r="AO1373" s="2"/>
      <c r="AP1373" s="2">
        <v>11</v>
      </c>
      <c r="AQ1373" s="2" t="s">
        <v>82</v>
      </c>
      <c r="AR1373" s="2"/>
      <c r="AS1373" s="2"/>
      <c r="AT1373" s="2" t="s">
        <v>5082</v>
      </c>
      <c r="AU1373" s="2"/>
      <c r="AV1373" s="2"/>
      <c r="AW1373" s="2"/>
      <c r="AX1373" s="2"/>
      <c r="AY1373" s="2">
        <v>41</v>
      </c>
      <c r="AZ1373" s="2" t="s">
        <v>82</v>
      </c>
      <c r="BA1373" s="2">
        <v>41</v>
      </c>
      <c r="BB1373" s="2" t="s">
        <v>82</v>
      </c>
      <c r="BC1373" s="2">
        <v>41</v>
      </c>
      <c r="BD1373" s="2" t="s">
        <v>82</v>
      </c>
      <c r="BE1373" s="2">
        <v>39</v>
      </c>
      <c r="BF1373" s="2" t="s">
        <v>440</v>
      </c>
      <c r="BG1373" s="2" t="s">
        <v>5083</v>
      </c>
      <c r="BH1373" s="4">
        <v>0.73611111111111116</v>
      </c>
      <c r="BI1373" s="2"/>
      <c r="BJ1373" s="2">
        <v>33</v>
      </c>
      <c r="BK1373" s="2" t="s">
        <v>361</v>
      </c>
      <c r="BL1373" s="2" t="s">
        <v>5084</v>
      </c>
      <c r="BM1373" s="2">
        <v>33</v>
      </c>
      <c r="BN1373" s="2" t="s">
        <v>361</v>
      </c>
      <c r="BO1373" s="2" t="s">
        <v>1739</v>
      </c>
      <c r="BP1373" s="2">
        <v>13</v>
      </c>
      <c r="BQ1373" s="2" t="s">
        <v>91</v>
      </c>
      <c r="BR1373" s="2" t="s">
        <v>185</v>
      </c>
      <c r="BS1373" s="3">
        <v>40273</v>
      </c>
      <c r="BT1373" s="4">
        <v>0.93622685185185184</v>
      </c>
    </row>
    <row r="1374" spans="1:72" x14ac:dyDescent="0.25">
      <c r="A1374" s="2">
        <v>2045</v>
      </c>
      <c r="B1374" s="2">
        <v>2010</v>
      </c>
      <c r="C1374" s="2" t="s">
        <v>377</v>
      </c>
      <c r="D1374" s="2" t="s">
        <v>73</v>
      </c>
      <c r="E1374" s="2"/>
      <c r="F1374" s="2">
        <v>426</v>
      </c>
      <c r="G1374" s="2" t="s">
        <v>378</v>
      </c>
      <c r="H1374" s="2">
        <v>42</v>
      </c>
      <c r="I1374" s="2" t="s">
        <v>1096</v>
      </c>
      <c r="J1374" s="2">
        <v>311</v>
      </c>
      <c r="K1374" s="2" t="s">
        <v>379</v>
      </c>
      <c r="L1374" s="2" t="s">
        <v>380</v>
      </c>
      <c r="M1374" s="3">
        <v>40273</v>
      </c>
      <c r="N1374" s="2" t="s">
        <v>3159</v>
      </c>
      <c r="O1374" s="2"/>
      <c r="P1374" s="2"/>
      <c r="Q1374" s="2" t="str">
        <f>"44-C/10"</f>
        <v>44-C/10</v>
      </c>
      <c r="R1374" s="2"/>
      <c r="S1374" s="2" t="s">
        <v>5085</v>
      </c>
      <c r="T1374" s="2">
        <v>1</v>
      </c>
      <c r="U1374" s="2" t="s">
        <v>79</v>
      </c>
      <c r="V1374" s="2">
        <v>1</v>
      </c>
      <c r="W1374" s="2" t="s">
        <v>80</v>
      </c>
      <c r="X1374" s="2">
        <v>1</v>
      </c>
      <c r="Y1374" s="2" t="s">
        <v>81</v>
      </c>
      <c r="Z1374" s="2">
        <v>1</v>
      </c>
      <c r="AA1374" s="2" t="s">
        <v>82</v>
      </c>
      <c r="AB1374" s="2">
        <v>9</v>
      </c>
      <c r="AC1374" s="2" t="s">
        <v>124</v>
      </c>
      <c r="AD1374" s="3">
        <v>40273</v>
      </c>
      <c r="AE1374" s="4">
        <v>0.80555555555555547</v>
      </c>
      <c r="AF1374" s="2"/>
      <c r="AG1374" s="2"/>
      <c r="AH1374" s="2">
        <v>2</v>
      </c>
      <c r="AI1374" s="2" t="s">
        <v>84</v>
      </c>
      <c r="AJ1374" s="2">
        <v>9</v>
      </c>
      <c r="AK1374" s="2" t="s">
        <v>103</v>
      </c>
      <c r="AL1374" s="2">
        <v>12</v>
      </c>
      <c r="AM1374" s="2" t="s">
        <v>86</v>
      </c>
      <c r="AN1374" s="2" t="s">
        <v>5086</v>
      </c>
      <c r="AO1374" s="2" t="s">
        <v>4026</v>
      </c>
      <c r="AP1374" s="2">
        <v>11</v>
      </c>
      <c r="AQ1374" s="2" t="s">
        <v>82</v>
      </c>
      <c r="AR1374" s="2"/>
      <c r="AS1374" s="2"/>
      <c r="AT1374" s="2" t="s">
        <v>5087</v>
      </c>
      <c r="AU1374" s="2"/>
      <c r="AV1374" s="2"/>
      <c r="AW1374" s="2"/>
      <c r="AX1374" s="2"/>
      <c r="AY1374" s="2">
        <v>41</v>
      </c>
      <c r="AZ1374" s="2" t="s">
        <v>82</v>
      </c>
      <c r="BA1374" s="2">
        <v>41</v>
      </c>
      <c r="BB1374" s="2" t="s">
        <v>82</v>
      </c>
      <c r="BC1374" s="2">
        <v>41</v>
      </c>
      <c r="BD1374" s="2" t="s">
        <v>82</v>
      </c>
      <c r="BE1374" s="2">
        <v>41</v>
      </c>
      <c r="BF1374" s="2" t="s">
        <v>82</v>
      </c>
      <c r="BG1374" s="2"/>
      <c r="BH1374" s="2"/>
      <c r="BI1374" s="2"/>
      <c r="BJ1374" s="2">
        <v>241</v>
      </c>
      <c r="BK1374" s="2" t="s">
        <v>82</v>
      </c>
      <c r="BL1374" s="2"/>
      <c r="BM1374" s="2">
        <v>241</v>
      </c>
      <c r="BN1374" s="2" t="s">
        <v>82</v>
      </c>
      <c r="BO1374" s="2"/>
      <c r="BP1374" s="2">
        <v>241</v>
      </c>
      <c r="BQ1374" s="2" t="s">
        <v>82</v>
      </c>
      <c r="BR1374" s="2"/>
      <c r="BS1374" s="3">
        <v>40273</v>
      </c>
      <c r="BT1374" s="4">
        <v>0.94936342592592593</v>
      </c>
    </row>
    <row r="1375" spans="1:72" x14ac:dyDescent="0.25">
      <c r="A1375" s="2">
        <v>2046</v>
      </c>
      <c r="B1375" s="2">
        <v>2010</v>
      </c>
      <c r="C1375" s="2" t="s">
        <v>819</v>
      </c>
      <c r="D1375" s="2" t="s">
        <v>122</v>
      </c>
      <c r="E1375" s="2"/>
      <c r="F1375" s="2">
        <v>425</v>
      </c>
      <c r="G1375" s="2" t="s">
        <v>286</v>
      </c>
      <c r="H1375" s="2">
        <v>39</v>
      </c>
      <c r="I1375" s="2" t="s">
        <v>1117</v>
      </c>
      <c r="J1375" s="2">
        <v>310</v>
      </c>
      <c r="K1375" s="2" t="s">
        <v>288</v>
      </c>
      <c r="L1375" s="2" t="s">
        <v>289</v>
      </c>
      <c r="M1375" s="3">
        <v>40273</v>
      </c>
      <c r="N1375" s="2" t="s">
        <v>2049</v>
      </c>
      <c r="O1375" s="2"/>
      <c r="P1375" s="2"/>
      <c r="Q1375" s="2" t="str">
        <f>"038/10"</f>
        <v>038/10</v>
      </c>
      <c r="R1375" s="2"/>
      <c r="S1375" s="2" t="s">
        <v>822</v>
      </c>
      <c r="T1375" s="2">
        <v>1</v>
      </c>
      <c r="U1375" s="2" t="s">
        <v>79</v>
      </c>
      <c r="V1375" s="2">
        <v>1</v>
      </c>
      <c r="W1375" s="2" t="s">
        <v>80</v>
      </c>
      <c r="X1375" s="2">
        <v>1</v>
      </c>
      <c r="Y1375" s="2" t="s">
        <v>81</v>
      </c>
      <c r="Z1375" s="2">
        <v>10</v>
      </c>
      <c r="AA1375" s="2" t="s">
        <v>236</v>
      </c>
      <c r="AB1375" s="2">
        <v>9</v>
      </c>
      <c r="AC1375" s="2" t="s">
        <v>124</v>
      </c>
      <c r="AD1375" s="3">
        <v>40273</v>
      </c>
      <c r="AE1375" s="4">
        <v>0.875</v>
      </c>
      <c r="AF1375" s="2"/>
      <c r="AG1375" s="2"/>
      <c r="AH1375" s="2">
        <v>4</v>
      </c>
      <c r="AI1375" s="2" t="s">
        <v>125</v>
      </c>
      <c r="AJ1375" s="2">
        <v>29</v>
      </c>
      <c r="AK1375" s="2" t="s">
        <v>227</v>
      </c>
      <c r="AL1375" s="2">
        <v>10</v>
      </c>
      <c r="AM1375" s="2" t="s">
        <v>200</v>
      </c>
      <c r="AN1375" s="2" t="s">
        <v>5088</v>
      </c>
      <c r="AO1375" s="2"/>
      <c r="AP1375" s="2">
        <v>12</v>
      </c>
      <c r="AQ1375" s="2" t="s">
        <v>322</v>
      </c>
      <c r="AR1375" s="2" t="s">
        <v>824</v>
      </c>
      <c r="AS1375" s="2" t="s">
        <v>825</v>
      </c>
      <c r="AT1375" s="2" t="s">
        <v>5089</v>
      </c>
      <c r="AU1375" s="2"/>
      <c r="AV1375" s="2"/>
      <c r="AW1375" s="2"/>
      <c r="AX1375" s="2"/>
      <c r="AY1375" s="2">
        <v>41</v>
      </c>
      <c r="AZ1375" s="2" t="s">
        <v>82</v>
      </c>
      <c r="BA1375" s="2">
        <v>41</v>
      </c>
      <c r="BB1375" s="2" t="s">
        <v>82</v>
      </c>
      <c r="BC1375" s="2">
        <v>51</v>
      </c>
      <c r="BD1375" s="2" t="s">
        <v>827</v>
      </c>
      <c r="BE1375" s="2">
        <v>47</v>
      </c>
      <c r="BF1375" s="2" t="s">
        <v>167</v>
      </c>
      <c r="BG1375" s="2">
        <v>2459</v>
      </c>
      <c r="BH1375" s="4">
        <v>0.90277777777777779</v>
      </c>
      <c r="BI1375" s="4">
        <v>0.92708333333333337</v>
      </c>
      <c r="BJ1375" s="2">
        <v>13</v>
      </c>
      <c r="BK1375" s="2" t="s">
        <v>91</v>
      </c>
      <c r="BL1375" s="2" t="s">
        <v>828</v>
      </c>
      <c r="BM1375" s="2">
        <v>241</v>
      </c>
      <c r="BN1375" s="2" t="s">
        <v>82</v>
      </c>
      <c r="BO1375" s="2" t="s">
        <v>82</v>
      </c>
      <c r="BP1375" s="2">
        <v>13</v>
      </c>
      <c r="BQ1375" s="2" t="s">
        <v>91</v>
      </c>
      <c r="BR1375" s="2" t="s">
        <v>185</v>
      </c>
      <c r="BS1375" s="3">
        <v>40273</v>
      </c>
      <c r="BT1375" s="4">
        <v>0.9495717592592593</v>
      </c>
    </row>
    <row r="1376" spans="1:72" x14ac:dyDescent="0.25">
      <c r="A1376" s="2">
        <v>2047</v>
      </c>
      <c r="B1376" s="2">
        <v>2010</v>
      </c>
      <c r="C1376" s="2" t="s">
        <v>2567</v>
      </c>
      <c r="D1376" s="2" t="s">
        <v>122</v>
      </c>
      <c r="E1376" s="2"/>
      <c r="F1376" s="2">
        <v>1</v>
      </c>
      <c r="G1376" s="2" t="s">
        <v>82</v>
      </c>
      <c r="H1376" s="2">
        <v>1</v>
      </c>
      <c r="I1376" s="2" t="s">
        <v>82</v>
      </c>
      <c r="J1376" s="2">
        <v>1</v>
      </c>
      <c r="K1376" s="2" t="s">
        <v>107</v>
      </c>
      <c r="L1376" s="2" t="s">
        <v>107</v>
      </c>
      <c r="M1376" s="3">
        <v>40274</v>
      </c>
      <c r="N1376" s="2"/>
      <c r="O1376" s="2"/>
      <c r="P1376" s="2"/>
      <c r="Q1376" s="2" t="str">
        <f>""</f>
        <v/>
      </c>
      <c r="R1376" s="2"/>
      <c r="S1376" s="2"/>
      <c r="T1376" s="2">
        <v>1</v>
      </c>
      <c r="U1376" s="2" t="s">
        <v>79</v>
      </c>
      <c r="V1376" s="2">
        <v>1</v>
      </c>
      <c r="W1376" s="2" t="s">
        <v>80</v>
      </c>
      <c r="X1376" s="2">
        <v>1</v>
      </c>
      <c r="Y1376" s="2" t="s">
        <v>81</v>
      </c>
      <c r="Z1376" s="2">
        <v>1</v>
      </c>
      <c r="AA1376" s="2" t="s">
        <v>82</v>
      </c>
      <c r="AB1376" s="2">
        <v>9</v>
      </c>
      <c r="AC1376" s="2" t="s">
        <v>124</v>
      </c>
      <c r="AD1376" s="2"/>
      <c r="AE1376" s="2"/>
      <c r="AF1376" s="2"/>
      <c r="AG1376" s="2"/>
      <c r="AH1376" s="2">
        <v>6</v>
      </c>
      <c r="AI1376" s="2" t="s">
        <v>197</v>
      </c>
      <c r="AJ1376" s="2">
        <v>58</v>
      </c>
      <c r="AK1376" s="2" t="s">
        <v>406</v>
      </c>
      <c r="AL1376" s="2">
        <v>18</v>
      </c>
      <c r="AM1376" s="2" t="s">
        <v>82</v>
      </c>
      <c r="AN1376" s="2" t="s">
        <v>2568</v>
      </c>
      <c r="AO1376" s="2" t="s">
        <v>5090</v>
      </c>
      <c r="AP1376" s="2">
        <v>12</v>
      </c>
      <c r="AQ1376" s="2" t="s">
        <v>322</v>
      </c>
      <c r="AR1376" s="2" t="s">
        <v>5091</v>
      </c>
      <c r="AS1376" s="2" t="s">
        <v>5092</v>
      </c>
      <c r="AT1376" s="2" t="s">
        <v>5093</v>
      </c>
      <c r="AU1376" s="2"/>
      <c r="AV1376" s="2"/>
      <c r="AW1376" s="2"/>
      <c r="AX1376" s="2"/>
      <c r="AY1376" s="2">
        <v>1</v>
      </c>
      <c r="AZ1376" s="2" t="s">
        <v>107</v>
      </c>
      <c r="BA1376" s="2">
        <v>1</v>
      </c>
      <c r="BB1376" s="2" t="s">
        <v>107</v>
      </c>
      <c r="BC1376" s="2">
        <v>47</v>
      </c>
      <c r="BD1376" s="2" t="s">
        <v>167</v>
      </c>
      <c r="BE1376" s="2">
        <v>47</v>
      </c>
      <c r="BF1376" s="2" t="s">
        <v>167</v>
      </c>
      <c r="BG1376" s="2" t="s">
        <v>610</v>
      </c>
      <c r="BH1376" s="4">
        <v>0.10416666666666667</v>
      </c>
      <c r="BI1376" s="4">
        <v>0.14930555555555555</v>
      </c>
      <c r="BJ1376" s="2">
        <v>13</v>
      </c>
      <c r="BK1376" s="2" t="s">
        <v>91</v>
      </c>
      <c r="BL1376" s="2" t="s">
        <v>170</v>
      </c>
      <c r="BM1376" s="2">
        <v>242</v>
      </c>
      <c r="BN1376" s="2" t="s">
        <v>107</v>
      </c>
      <c r="BO1376" s="2" t="s">
        <v>107</v>
      </c>
      <c r="BP1376" s="2">
        <v>13</v>
      </c>
      <c r="BQ1376" s="2" t="s">
        <v>91</v>
      </c>
      <c r="BR1376" s="2" t="s">
        <v>170</v>
      </c>
      <c r="BS1376" s="3">
        <v>40274</v>
      </c>
      <c r="BT1376" s="4">
        <v>0.19640046296296299</v>
      </c>
    </row>
    <row r="1377" spans="1:72" x14ac:dyDescent="0.25">
      <c r="A1377" s="2">
        <v>2051</v>
      </c>
      <c r="B1377" s="2">
        <v>2010</v>
      </c>
      <c r="C1377" s="2" t="s">
        <v>819</v>
      </c>
      <c r="D1377" s="2" t="s">
        <v>122</v>
      </c>
      <c r="E1377" s="2" t="s">
        <v>5094</v>
      </c>
      <c r="F1377" s="2">
        <v>425</v>
      </c>
      <c r="G1377" s="2" t="s">
        <v>286</v>
      </c>
      <c r="H1377" s="2">
        <v>39</v>
      </c>
      <c r="I1377" s="2" t="s">
        <v>1117</v>
      </c>
      <c r="J1377" s="2">
        <v>310</v>
      </c>
      <c r="K1377" s="2" t="s">
        <v>288</v>
      </c>
      <c r="L1377" s="2" t="s">
        <v>289</v>
      </c>
      <c r="M1377" s="3">
        <v>40274</v>
      </c>
      <c r="N1377" s="2" t="s">
        <v>2049</v>
      </c>
      <c r="O1377" s="2"/>
      <c r="P1377" s="2"/>
      <c r="Q1377" s="2" t="str">
        <f>"038/10"</f>
        <v>038/10</v>
      </c>
      <c r="R1377" s="2" t="s">
        <v>822</v>
      </c>
      <c r="S1377" s="2"/>
      <c r="T1377" s="2">
        <v>1</v>
      </c>
      <c r="U1377" s="2" t="s">
        <v>79</v>
      </c>
      <c r="V1377" s="2">
        <v>1</v>
      </c>
      <c r="W1377" s="2" t="s">
        <v>80</v>
      </c>
      <c r="X1377" s="2">
        <v>1</v>
      </c>
      <c r="Y1377" s="2" t="s">
        <v>81</v>
      </c>
      <c r="Z1377" s="2">
        <v>10</v>
      </c>
      <c r="AA1377" s="2" t="s">
        <v>236</v>
      </c>
      <c r="AB1377" s="2">
        <v>9</v>
      </c>
      <c r="AC1377" s="2" t="s">
        <v>124</v>
      </c>
      <c r="AD1377" s="3">
        <v>40274</v>
      </c>
      <c r="AE1377" s="4">
        <v>0.43055555555555558</v>
      </c>
      <c r="AF1377" s="2"/>
      <c r="AG1377" s="2"/>
      <c r="AH1377" s="2">
        <v>4</v>
      </c>
      <c r="AI1377" s="2" t="s">
        <v>125</v>
      </c>
      <c r="AJ1377" s="2">
        <v>29</v>
      </c>
      <c r="AK1377" s="2" t="s">
        <v>227</v>
      </c>
      <c r="AL1377" s="2">
        <v>10</v>
      </c>
      <c r="AM1377" s="2" t="s">
        <v>200</v>
      </c>
      <c r="AN1377" s="2" t="s">
        <v>3040</v>
      </c>
      <c r="AO1377" s="2" t="s">
        <v>5095</v>
      </c>
      <c r="AP1377" s="2">
        <v>12</v>
      </c>
      <c r="AQ1377" s="2" t="s">
        <v>322</v>
      </c>
      <c r="AR1377" s="2" t="s">
        <v>824</v>
      </c>
      <c r="AS1377" s="2" t="s">
        <v>825</v>
      </c>
      <c r="AT1377" s="2" t="s">
        <v>5096</v>
      </c>
      <c r="AU1377" s="2"/>
      <c r="AV1377" s="2"/>
      <c r="AW1377" s="2"/>
      <c r="AX1377" s="2"/>
      <c r="AY1377" s="2">
        <v>41</v>
      </c>
      <c r="AZ1377" s="2" t="s">
        <v>82</v>
      </c>
      <c r="BA1377" s="2">
        <v>41</v>
      </c>
      <c r="BB1377" s="2" t="s">
        <v>82</v>
      </c>
      <c r="BC1377" s="2">
        <v>51</v>
      </c>
      <c r="BD1377" s="2" t="s">
        <v>827</v>
      </c>
      <c r="BE1377" s="2">
        <v>47</v>
      </c>
      <c r="BF1377" s="2" t="s">
        <v>167</v>
      </c>
      <c r="BG1377" s="2">
        <v>2459</v>
      </c>
      <c r="BH1377" s="4">
        <v>0.90277777777777779</v>
      </c>
      <c r="BI1377" s="4">
        <v>0.92708333333333337</v>
      </c>
      <c r="BJ1377" s="2">
        <v>13</v>
      </c>
      <c r="BK1377" s="2" t="s">
        <v>91</v>
      </c>
      <c r="BL1377" s="2" t="s">
        <v>828</v>
      </c>
      <c r="BM1377" s="2">
        <v>241</v>
      </c>
      <c r="BN1377" s="2" t="s">
        <v>82</v>
      </c>
      <c r="BO1377" s="2" t="s">
        <v>82</v>
      </c>
      <c r="BP1377" s="2">
        <v>13</v>
      </c>
      <c r="BQ1377" s="2" t="s">
        <v>91</v>
      </c>
      <c r="BR1377" s="2" t="s">
        <v>185</v>
      </c>
      <c r="BS1377" s="3">
        <v>40274</v>
      </c>
      <c r="BT1377" s="4">
        <v>0.4753472222222222</v>
      </c>
    </row>
    <row r="1378" spans="1:72" x14ac:dyDescent="0.25">
      <c r="A1378" s="2">
        <v>2053</v>
      </c>
      <c r="B1378" s="2">
        <v>2010</v>
      </c>
      <c r="C1378" s="2" t="s">
        <v>377</v>
      </c>
      <c r="D1378" s="2" t="s">
        <v>73</v>
      </c>
      <c r="E1378" s="2"/>
      <c r="F1378" s="2">
        <v>426</v>
      </c>
      <c r="G1378" s="2" t="s">
        <v>378</v>
      </c>
      <c r="H1378" s="2">
        <v>42</v>
      </c>
      <c r="I1378" s="2" t="s">
        <v>1096</v>
      </c>
      <c r="J1378" s="2">
        <v>311</v>
      </c>
      <c r="K1378" s="2" t="s">
        <v>379</v>
      </c>
      <c r="L1378" s="2" t="s">
        <v>380</v>
      </c>
      <c r="M1378" s="3">
        <v>40274</v>
      </c>
      <c r="N1378" s="2" t="s">
        <v>4427</v>
      </c>
      <c r="O1378" s="2"/>
      <c r="P1378" s="2"/>
      <c r="Q1378" s="2" t="str">
        <f>"036-C/10"</f>
        <v>036-C/10</v>
      </c>
      <c r="R1378" s="2" t="s">
        <v>4428</v>
      </c>
      <c r="S1378" s="2" t="s">
        <v>4428</v>
      </c>
      <c r="T1378" s="2">
        <v>1</v>
      </c>
      <c r="U1378" s="2" t="s">
        <v>79</v>
      </c>
      <c r="V1378" s="2">
        <v>1</v>
      </c>
      <c r="W1378" s="2" t="s">
        <v>80</v>
      </c>
      <c r="X1378" s="2">
        <v>1</v>
      </c>
      <c r="Y1378" s="2" t="s">
        <v>81</v>
      </c>
      <c r="Z1378" s="2">
        <v>1</v>
      </c>
      <c r="AA1378" s="2" t="s">
        <v>82</v>
      </c>
      <c r="AB1378" s="2">
        <v>9</v>
      </c>
      <c r="AC1378" s="2" t="s">
        <v>124</v>
      </c>
      <c r="AD1378" s="3">
        <v>40265</v>
      </c>
      <c r="AE1378" s="4">
        <v>0.38194444444444442</v>
      </c>
      <c r="AF1378" s="2"/>
      <c r="AG1378" s="2"/>
      <c r="AH1378" s="2">
        <v>2</v>
      </c>
      <c r="AI1378" s="2" t="s">
        <v>84</v>
      </c>
      <c r="AJ1378" s="2">
        <v>9</v>
      </c>
      <c r="AK1378" s="2" t="s">
        <v>103</v>
      </c>
      <c r="AL1378" s="2">
        <v>12</v>
      </c>
      <c r="AM1378" s="2" t="s">
        <v>86</v>
      </c>
      <c r="AN1378" s="2" t="s">
        <v>1830</v>
      </c>
      <c r="AO1378" s="2" t="s">
        <v>82</v>
      </c>
      <c r="AP1378" s="2">
        <v>11</v>
      </c>
      <c r="AQ1378" s="2" t="s">
        <v>82</v>
      </c>
      <c r="AR1378" s="2"/>
      <c r="AS1378" s="2"/>
      <c r="AT1378" s="2" t="s">
        <v>5097</v>
      </c>
      <c r="AU1378" s="2"/>
      <c r="AV1378" s="2"/>
      <c r="AW1378" s="2"/>
      <c r="AX1378" s="2"/>
      <c r="AY1378" s="2">
        <v>41</v>
      </c>
      <c r="AZ1378" s="2" t="s">
        <v>82</v>
      </c>
      <c r="BA1378" s="2">
        <v>41</v>
      </c>
      <c r="BB1378" s="2" t="s">
        <v>82</v>
      </c>
      <c r="BC1378" s="2">
        <v>41</v>
      </c>
      <c r="BD1378" s="2" t="s">
        <v>82</v>
      </c>
      <c r="BE1378" s="2">
        <v>41</v>
      </c>
      <c r="BF1378" s="2" t="s">
        <v>82</v>
      </c>
      <c r="BG1378" s="2"/>
      <c r="BH1378" s="2"/>
      <c r="BI1378" s="2"/>
      <c r="BJ1378" s="2">
        <v>241</v>
      </c>
      <c r="BK1378" s="2" t="s">
        <v>82</v>
      </c>
      <c r="BL1378" s="2"/>
      <c r="BM1378" s="2">
        <v>241</v>
      </c>
      <c r="BN1378" s="2" t="s">
        <v>82</v>
      </c>
      <c r="BO1378" s="2"/>
      <c r="BP1378" s="2">
        <v>241</v>
      </c>
      <c r="BQ1378" s="2" t="s">
        <v>82</v>
      </c>
      <c r="BR1378" s="2"/>
      <c r="BS1378" s="3">
        <v>40274</v>
      </c>
      <c r="BT1378" s="4">
        <v>0.5021296296296297</v>
      </c>
    </row>
    <row r="1379" spans="1:72" x14ac:dyDescent="0.25">
      <c r="A1379" s="2">
        <v>2054</v>
      </c>
      <c r="B1379" s="2">
        <v>2010</v>
      </c>
      <c r="C1379" s="2" t="s">
        <v>72</v>
      </c>
      <c r="D1379" s="2" t="s">
        <v>73</v>
      </c>
      <c r="E1379" s="2"/>
      <c r="F1379" s="2">
        <v>3</v>
      </c>
      <c r="G1379" s="2" t="s">
        <v>1041</v>
      </c>
      <c r="H1379" s="2">
        <v>1</v>
      </c>
      <c r="I1379" s="2" t="s">
        <v>82</v>
      </c>
      <c r="J1379" s="2">
        <v>368</v>
      </c>
      <c r="K1379" s="2" t="s">
        <v>1042</v>
      </c>
      <c r="L1379" s="2" t="s">
        <v>1043</v>
      </c>
      <c r="M1379" s="3">
        <v>40274</v>
      </c>
      <c r="N1379" s="2" t="s">
        <v>82</v>
      </c>
      <c r="O1379" s="2" t="s">
        <v>107</v>
      </c>
      <c r="P1379" s="2" t="s">
        <v>107</v>
      </c>
      <c r="Q1379" s="2" t="str">
        <f>"184-E/10"</f>
        <v>184-E/10</v>
      </c>
      <c r="R1379" s="2" t="s">
        <v>107</v>
      </c>
      <c r="S1379" s="2" t="s">
        <v>116</v>
      </c>
      <c r="T1379" s="2">
        <v>1</v>
      </c>
      <c r="U1379" s="2" t="s">
        <v>79</v>
      </c>
      <c r="V1379" s="2">
        <v>1</v>
      </c>
      <c r="W1379" s="2" t="s">
        <v>80</v>
      </c>
      <c r="X1379" s="2">
        <v>1</v>
      </c>
      <c r="Y1379" s="2" t="s">
        <v>81</v>
      </c>
      <c r="Z1379" s="2">
        <v>1</v>
      </c>
      <c r="AA1379" s="2" t="s">
        <v>82</v>
      </c>
      <c r="AB1379" s="2">
        <v>6</v>
      </c>
      <c r="AC1379" s="2" t="s">
        <v>83</v>
      </c>
      <c r="AD1379" s="3">
        <v>40273</v>
      </c>
      <c r="AE1379" s="4">
        <v>0.27083333333333331</v>
      </c>
      <c r="AF1379" s="3">
        <v>40274</v>
      </c>
      <c r="AG1379" s="4">
        <v>0.46875</v>
      </c>
      <c r="AH1379" s="2">
        <v>2</v>
      </c>
      <c r="AI1379" s="2" t="s">
        <v>84</v>
      </c>
      <c r="AJ1379" s="2">
        <v>9</v>
      </c>
      <c r="AK1379" s="2" t="s">
        <v>103</v>
      </c>
      <c r="AL1379" s="2">
        <v>17</v>
      </c>
      <c r="AM1379" s="2" t="s">
        <v>232</v>
      </c>
      <c r="AN1379" s="2" t="s">
        <v>5098</v>
      </c>
      <c r="AO1379" s="2" t="s">
        <v>5099</v>
      </c>
      <c r="AP1379" s="2">
        <v>11</v>
      </c>
      <c r="AQ1379" s="2" t="s">
        <v>82</v>
      </c>
      <c r="AR1379" s="2"/>
      <c r="AS1379" s="2"/>
      <c r="AT1379" s="2" t="s">
        <v>5100</v>
      </c>
      <c r="AU1379" s="2"/>
      <c r="AV1379" s="2"/>
      <c r="AW1379" s="2"/>
      <c r="AX1379" s="2"/>
      <c r="AY1379" s="2">
        <v>41</v>
      </c>
      <c r="AZ1379" s="2" t="s">
        <v>82</v>
      </c>
      <c r="BA1379" s="2">
        <v>41</v>
      </c>
      <c r="BB1379" s="2" t="s">
        <v>82</v>
      </c>
      <c r="BC1379" s="2">
        <v>41</v>
      </c>
      <c r="BD1379" s="2" t="s">
        <v>82</v>
      </c>
      <c r="BE1379" s="2">
        <v>41</v>
      </c>
      <c r="BF1379" s="2" t="s">
        <v>82</v>
      </c>
      <c r="BG1379" s="2"/>
      <c r="BH1379" s="2"/>
      <c r="BI1379" s="2"/>
      <c r="BJ1379" s="2">
        <v>241</v>
      </c>
      <c r="BK1379" s="2" t="s">
        <v>82</v>
      </c>
      <c r="BL1379" s="2"/>
      <c r="BM1379" s="2">
        <v>241</v>
      </c>
      <c r="BN1379" s="2" t="s">
        <v>82</v>
      </c>
      <c r="BO1379" s="2"/>
      <c r="BP1379" s="2">
        <v>241</v>
      </c>
      <c r="BQ1379" s="2" t="s">
        <v>82</v>
      </c>
      <c r="BR1379" s="2"/>
      <c r="BS1379" s="3">
        <v>40274</v>
      </c>
      <c r="BT1379" s="4">
        <v>0.50643518518518515</v>
      </c>
    </row>
    <row r="1380" spans="1:72" x14ac:dyDescent="0.25">
      <c r="A1380" s="2">
        <v>2055</v>
      </c>
      <c r="B1380" s="2">
        <v>2010</v>
      </c>
      <c r="C1380" s="2" t="s">
        <v>377</v>
      </c>
      <c r="D1380" s="2" t="s">
        <v>73</v>
      </c>
      <c r="E1380" s="2"/>
      <c r="F1380" s="2">
        <v>426</v>
      </c>
      <c r="G1380" s="2" t="s">
        <v>378</v>
      </c>
      <c r="H1380" s="2">
        <v>42</v>
      </c>
      <c r="I1380" s="2" t="s">
        <v>1096</v>
      </c>
      <c r="J1380" s="2">
        <v>311</v>
      </c>
      <c r="K1380" s="2" t="s">
        <v>379</v>
      </c>
      <c r="L1380" s="2" t="s">
        <v>380</v>
      </c>
      <c r="M1380" s="3">
        <v>40274</v>
      </c>
      <c r="N1380" s="2" t="s">
        <v>4427</v>
      </c>
      <c r="O1380" s="2"/>
      <c r="P1380" s="2"/>
      <c r="Q1380" s="2" t="str">
        <f>"037-C/10"</f>
        <v>037-C/10</v>
      </c>
      <c r="R1380" s="2" t="s">
        <v>4428</v>
      </c>
      <c r="S1380" s="2" t="s">
        <v>4428</v>
      </c>
      <c r="T1380" s="2">
        <v>1</v>
      </c>
      <c r="U1380" s="2" t="s">
        <v>79</v>
      </c>
      <c r="V1380" s="2">
        <v>1</v>
      </c>
      <c r="W1380" s="2" t="s">
        <v>80</v>
      </c>
      <c r="X1380" s="2">
        <v>1</v>
      </c>
      <c r="Y1380" s="2" t="s">
        <v>81</v>
      </c>
      <c r="Z1380" s="2">
        <v>1</v>
      </c>
      <c r="AA1380" s="2" t="s">
        <v>82</v>
      </c>
      <c r="AB1380" s="2">
        <v>9</v>
      </c>
      <c r="AC1380" s="2" t="s">
        <v>124</v>
      </c>
      <c r="AD1380" s="3">
        <v>40265</v>
      </c>
      <c r="AE1380" s="4">
        <v>0.53472222222222221</v>
      </c>
      <c r="AF1380" s="2"/>
      <c r="AG1380" s="2"/>
      <c r="AH1380" s="2">
        <v>2</v>
      </c>
      <c r="AI1380" s="2" t="s">
        <v>84</v>
      </c>
      <c r="AJ1380" s="2">
        <v>9</v>
      </c>
      <c r="AK1380" s="2" t="s">
        <v>103</v>
      </c>
      <c r="AL1380" s="2">
        <v>13</v>
      </c>
      <c r="AM1380" s="2" t="s">
        <v>117</v>
      </c>
      <c r="AN1380" s="2" t="s">
        <v>5101</v>
      </c>
      <c r="AO1380" s="2" t="s">
        <v>82</v>
      </c>
      <c r="AP1380" s="2">
        <v>11</v>
      </c>
      <c r="AQ1380" s="2" t="s">
        <v>82</v>
      </c>
      <c r="AR1380" s="2"/>
      <c r="AS1380" s="2"/>
      <c r="AT1380" s="2" t="s">
        <v>5102</v>
      </c>
      <c r="AU1380" s="2"/>
      <c r="AV1380" s="2"/>
      <c r="AW1380" s="2"/>
      <c r="AX1380" s="2"/>
      <c r="AY1380" s="2">
        <v>41</v>
      </c>
      <c r="AZ1380" s="2" t="s">
        <v>82</v>
      </c>
      <c r="BA1380" s="2">
        <v>41</v>
      </c>
      <c r="BB1380" s="2" t="s">
        <v>82</v>
      </c>
      <c r="BC1380" s="2">
        <v>41</v>
      </c>
      <c r="BD1380" s="2" t="s">
        <v>82</v>
      </c>
      <c r="BE1380" s="2">
        <v>41</v>
      </c>
      <c r="BF1380" s="2" t="s">
        <v>82</v>
      </c>
      <c r="BG1380" s="2"/>
      <c r="BH1380" s="2"/>
      <c r="BI1380" s="2"/>
      <c r="BJ1380" s="2">
        <v>241</v>
      </c>
      <c r="BK1380" s="2" t="s">
        <v>82</v>
      </c>
      <c r="BL1380" s="2"/>
      <c r="BM1380" s="2">
        <v>241</v>
      </c>
      <c r="BN1380" s="2" t="s">
        <v>82</v>
      </c>
      <c r="BO1380" s="2"/>
      <c r="BP1380" s="2">
        <v>241</v>
      </c>
      <c r="BQ1380" s="2" t="s">
        <v>82</v>
      </c>
      <c r="BR1380" s="2"/>
      <c r="BS1380" s="3">
        <v>40274</v>
      </c>
      <c r="BT1380" s="4">
        <v>0.51077546296296295</v>
      </c>
    </row>
    <row r="1381" spans="1:72" x14ac:dyDescent="0.25">
      <c r="A1381" s="2">
        <v>2057</v>
      </c>
      <c r="B1381" s="2">
        <v>2010</v>
      </c>
      <c r="C1381" s="2" t="s">
        <v>255</v>
      </c>
      <c r="D1381" s="2" t="s">
        <v>73</v>
      </c>
      <c r="E1381" s="2"/>
      <c r="F1381" s="2">
        <v>100</v>
      </c>
      <c r="G1381" s="2" t="s">
        <v>517</v>
      </c>
      <c r="H1381" s="2">
        <v>47</v>
      </c>
      <c r="I1381" s="2" t="s">
        <v>1409</v>
      </c>
      <c r="J1381" s="2">
        <v>119</v>
      </c>
      <c r="K1381" s="2" t="s">
        <v>325</v>
      </c>
      <c r="L1381" s="2" t="s">
        <v>326</v>
      </c>
      <c r="M1381" s="3">
        <v>40274</v>
      </c>
      <c r="N1381" s="2" t="s">
        <v>5103</v>
      </c>
      <c r="O1381" s="2" t="s">
        <v>5104</v>
      </c>
      <c r="P1381" s="2" t="s">
        <v>5105</v>
      </c>
      <c r="Q1381" s="2" t="str">
        <f>""</f>
        <v/>
      </c>
      <c r="R1381" s="2"/>
      <c r="S1381" s="2"/>
      <c r="T1381" s="2">
        <v>1</v>
      </c>
      <c r="U1381" s="2" t="s">
        <v>79</v>
      </c>
      <c r="V1381" s="2">
        <v>3</v>
      </c>
      <c r="W1381" s="2" t="s">
        <v>225</v>
      </c>
      <c r="X1381" s="2">
        <v>6</v>
      </c>
      <c r="Y1381" s="2" t="s">
        <v>249</v>
      </c>
      <c r="Z1381" s="2">
        <v>1</v>
      </c>
      <c r="AA1381" s="2" t="s">
        <v>82</v>
      </c>
      <c r="AB1381" s="2">
        <v>9</v>
      </c>
      <c r="AC1381" s="2" t="s">
        <v>124</v>
      </c>
      <c r="AD1381" s="3">
        <v>40274</v>
      </c>
      <c r="AE1381" s="4">
        <v>0.41666666666666669</v>
      </c>
      <c r="AF1381" s="2"/>
      <c r="AG1381" s="2"/>
      <c r="AH1381" s="2">
        <v>6</v>
      </c>
      <c r="AI1381" s="2" t="s">
        <v>197</v>
      </c>
      <c r="AJ1381" s="2">
        <v>47</v>
      </c>
      <c r="AK1381" s="2" t="s">
        <v>250</v>
      </c>
      <c r="AL1381" s="2">
        <v>19</v>
      </c>
      <c r="AM1381" s="2" t="s">
        <v>107</v>
      </c>
      <c r="AN1381" s="2"/>
      <c r="AO1381" s="2"/>
      <c r="AP1381" s="2">
        <v>11</v>
      </c>
      <c r="AQ1381" s="2" t="s">
        <v>82</v>
      </c>
      <c r="AR1381" s="2"/>
      <c r="AS1381" s="2"/>
      <c r="AT1381" s="2" t="s">
        <v>5106</v>
      </c>
      <c r="AU1381" s="2"/>
      <c r="AV1381" s="2"/>
      <c r="AW1381" s="2"/>
      <c r="AX1381" s="2"/>
      <c r="AY1381" s="2">
        <v>41</v>
      </c>
      <c r="AZ1381" s="2" t="s">
        <v>82</v>
      </c>
      <c r="BA1381" s="2">
        <v>41</v>
      </c>
      <c r="BB1381" s="2" t="s">
        <v>82</v>
      </c>
      <c r="BC1381" s="2">
        <v>41</v>
      </c>
      <c r="BD1381" s="2" t="s">
        <v>82</v>
      </c>
      <c r="BE1381" s="2">
        <v>41</v>
      </c>
      <c r="BF1381" s="2" t="s">
        <v>82</v>
      </c>
      <c r="BG1381" s="2"/>
      <c r="BH1381" s="2"/>
      <c r="BI1381" s="2"/>
      <c r="BJ1381" s="2">
        <v>241</v>
      </c>
      <c r="BK1381" s="2" t="s">
        <v>82</v>
      </c>
      <c r="BL1381" s="2"/>
      <c r="BM1381" s="2">
        <v>241</v>
      </c>
      <c r="BN1381" s="2" t="s">
        <v>82</v>
      </c>
      <c r="BO1381" s="2"/>
      <c r="BP1381" s="2">
        <v>241</v>
      </c>
      <c r="BQ1381" s="2" t="s">
        <v>82</v>
      </c>
      <c r="BR1381" s="2"/>
      <c r="BS1381" s="3">
        <v>40274</v>
      </c>
      <c r="BT1381" s="4">
        <v>0.5504282407407407</v>
      </c>
    </row>
    <row r="1382" spans="1:72" x14ac:dyDescent="0.25">
      <c r="A1382" s="2">
        <v>2060</v>
      </c>
      <c r="B1382" s="2">
        <v>2010</v>
      </c>
      <c r="C1382" s="2" t="s">
        <v>409</v>
      </c>
      <c r="D1382" s="2" t="s">
        <v>73</v>
      </c>
      <c r="E1382" s="2"/>
      <c r="F1382" s="2">
        <v>337</v>
      </c>
      <c r="G1382" s="2" t="s">
        <v>1190</v>
      </c>
      <c r="H1382" s="2">
        <v>60</v>
      </c>
      <c r="I1382" s="2" t="s">
        <v>2704</v>
      </c>
      <c r="J1382" s="2">
        <v>374</v>
      </c>
      <c r="K1382" s="2" t="s">
        <v>1191</v>
      </c>
      <c r="L1382" s="2" t="s">
        <v>132</v>
      </c>
      <c r="M1382" s="3">
        <v>40274</v>
      </c>
      <c r="N1382" s="2" t="s">
        <v>5107</v>
      </c>
      <c r="O1382" s="2" t="s">
        <v>5108</v>
      </c>
      <c r="P1382" s="2" t="s">
        <v>5109</v>
      </c>
      <c r="Q1382" s="2" t="str">
        <f>"0005/10"</f>
        <v>0005/10</v>
      </c>
      <c r="R1382" s="2"/>
      <c r="S1382" s="2" t="s">
        <v>5110</v>
      </c>
      <c r="T1382" s="2">
        <v>1</v>
      </c>
      <c r="U1382" s="2" t="s">
        <v>79</v>
      </c>
      <c r="V1382" s="2">
        <v>1</v>
      </c>
      <c r="W1382" s="2" t="s">
        <v>80</v>
      </c>
      <c r="X1382" s="2">
        <v>1</v>
      </c>
      <c r="Y1382" s="2" t="s">
        <v>81</v>
      </c>
      <c r="Z1382" s="2">
        <v>10</v>
      </c>
      <c r="AA1382" s="2" t="s">
        <v>236</v>
      </c>
      <c r="AB1382" s="2">
        <v>9</v>
      </c>
      <c r="AC1382" s="2" t="s">
        <v>124</v>
      </c>
      <c r="AD1382" s="3">
        <v>40274</v>
      </c>
      <c r="AE1382" s="4">
        <v>0.58333333333333337</v>
      </c>
      <c r="AF1382" s="2"/>
      <c r="AG1382" s="2"/>
      <c r="AH1382" s="2">
        <v>5</v>
      </c>
      <c r="AI1382" s="2" t="s">
        <v>274</v>
      </c>
      <c r="AJ1382" s="2">
        <v>35</v>
      </c>
      <c r="AK1382" s="2" t="s">
        <v>275</v>
      </c>
      <c r="AL1382" s="2">
        <v>18</v>
      </c>
      <c r="AM1382" s="2" t="s">
        <v>82</v>
      </c>
      <c r="AN1382" s="2"/>
      <c r="AO1382" s="2" t="s">
        <v>284</v>
      </c>
      <c r="AP1382" s="2">
        <v>11</v>
      </c>
      <c r="AQ1382" s="2" t="s">
        <v>82</v>
      </c>
      <c r="AR1382" s="2"/>
      <c r="AS1382" s="2"/>
      <c r="AT1382" s="2" t="s">
        <v>5111</v>
      </c>
      <c r="AU1382" s="2"/>
      <c r="AV1382" s="2"/>
      <c r="AW1382" s="2"/>
      <c r="AX1382" s="2"/>
      <c r="AY1382" s="2">
        <v>1</v>
      </c>
      <c r="AZ1382" s="2" t="s">
        <v>107</v>
      </c>
      <c r="BA1382" s="2">
        <v>1</v>
      </c>
      <c r="BB1382" s="2" t="s">
        <v>107</v>
      </c>
      <c r="BC1382" s="2">
        <v>1</v>
      </c>
      <c r="BD1382" s="2" t="s">
        <v>107</v>
      </c>
      <c r="BE1382" s="2">
        <v>1</v>
      </c>
      <c r="BF1382" s="2" t="s">
        <v>107</v>
      </c>
      <c r="BG1382" s="2"/>
      <c r="BH1382" s="2"/>
      <c r="BI1382" s="2"/>
      <c r="BJ1382" s="2">
        <v>242</v>
      </c>
      <c r="BK1382" s="2" t="s">
        <v>107</v>
      </c>
      <c r="BL1382" s="2"/>
      <c r="BM1382" s="2">
        <v>242</v>
      </c>
      <c r="BN1382" s="2" t="s">
        <v>107</v>
      </c>
      <c r="BO1382" s="2"/>
      <c r="BP1382" s="2">
        <v>242</v>
      </c>
      <c r="BQ1382" s="2" t="s">
        <v>107</v>
      </c>
      <c r="BR1382" s="2"/>
      <c r="BS1382" s="3">
        <v>40274</v>
      </c>
      <c r="BT1382" s="4">
        <v>0.64997685185185183</v>
      </c>
    </row>
    <row r="1383" spans="1:72" x14ac:dyDescent="0.25">
      <c r="A1383" s="2">
        <v>2064</v>
      </c>
      <c r="B1383" s="2">
        <v>2010</v>
      </c>
      <c r="C1383" s="2" t="s">
        <v>2219</v>
      </c>
      <c r="D1383" s="2" t="s">
        <v>73</v>
      </c>
      <c r="E1383" s="2"/>
      <c r="F1383" s="2">
        <v>580</v>
      </c>
      <c r="G1383" s="2" t="s">
        <v>5112</v>
      </c>
      <c r="H1383" s="2">
        <v>88</v>
      </c>
      <c r="I1383" s="2" t="s">
        <v>4964</v>
      </c>
      <c r="J1383" s="2">
        <v>174</v>
      </c>
      <c r="K1383" s="2" t="s">
        <v>4965</v>
      </c>
      <c r="L1383" s="2" t="s">
        <v>2631</v>
      </c>
      <c r="M1383" s="3">
        <v>40274</v>
      </c>
      <c r="N1383" s="2" t="s">
        <v>5113</v>
      </c>
      <c r="O1383" s="2"/>
      <c r="P1383" s="2" t="s">
        <v>107</v>
      </c>
      <c r="Q1383" s="2" t="str">
        <f>"146-A/10"</f>
        <v>146-A/10</v>
      </c>
      <c r="R1383" s="2"/>
      <c r="S1383" s="2" t="s">
        <v>4173</v>
      </c>
      <c r="T1383" s="2">
        <v>1</v>
      </c>
      <c r="U1383" s="2" t="s">
        <v>79</v>
      </c>
      <c r="V1383" s="2">
        <v>1</v>
      </c>
      <c r="W1383" s="2" t="s">
        <v>80</v>
      </c>
      <c r="X1383" s="2">
        <v>1</v>
      </c>
      <c r="Y1383" s="2" t="s">
        <v>81</v>
      </c>
      <c r="Z1383" s="2">
        <v>1</v>
      </c>
      <c r="AA1383" s="2" t="s">
        <v>82</v>
      </c>
      <c r="AB1383" s="2">
        <v>9</v>
      </c>
      <c r="AC1383" s="2" t="s">
        <v>124</v>
      </c>
      <c r="AD1383" s="3">
        <v>40274</v>
      </c>
      <c r="AE1383" s="4">
        <v>0.54513888888888895</v>
      </c>
      <c r="AF1383" s="2"/>
      <c r="AG1383" s="2"/>
      <c r="AH1383" s="2">
        <v>2</v>
      </c>
      <c r="AI1383" s="2" t="s">
        <v>84</v>
      </c>
      <c r="AJ1383" s="2">
        <v>12</v>
      </c>
      <c r="AK1383" s="2" t="s">
        <v>85</v>
      </c>
      <c r="AL1383" s="2">
        <v>2</v>
      </c>
      <c r="AM1383" s="2" t="s">
        <v>163</v>
      </c>
      <c r="AN1383" s="2" t="s">
        <v>5114</v>
      </c>
      <c r="AO1383" s="2" t="s">
        <v>216</v>
      </c>
      <c r="AP1383" s="2">
        <v>11</v>
      </c>
      <c r="AQ1383" s="2" t="s">
        <v>82</v>
      </c>
      <c r="AR1383" s="2"/>
      <c r="AS1383" s="2"/>
      <c r="AT1383" s="2" t="s">
        <v>5115</v>
      </c>
      <c r="AU1383" s="2">
        <v>1</v>
      </c>
      <c r="AV1383" s="2"/>
      <c r="AW1383" s="2"/>
      <c r="AX1383" s="2"/>
      <c r="AY1383" s="2">
        <v>41</v>
      </c>
      <c r="AZ1383" s="2" t="s">
        <v>82</v>
      </c>
      <c r="BA1383" s="2">
        <v>41</v>
      </c>
      <c r="BB1383" s="2" t="s">
        <v>82</v>
      </c>
      <c r="BC1383" s="2">
        <v>41</v>
      </c>
      <c r="BD1383" s="2" t="s">
        <v>82</v>
      </c>
      <c r="BE1383" s="2">
        <v>47</v>
      </c>
      <c r="BF1383" s="2" t="s">
        <v>167</v>
      </c>
      <c r="BG1383" s="2" t="s">
        <v>5116</v>
      </c>
      <c r="BH1383" s="4">
        <v>0.54513888888888895</v>
      </c>
      <c r="BI1383" s="4">
        <v>0.47916666666666669</v>
      </c>
      <c r="BJ1383" s="2">
        <v>13</v>
      </c>
      <c r="BK1383" s="2" t="s">
        <v>91</v>
      </c>
      <c r="BL1383" s="2" t="s">
        <v>5117</v>
      </c>
      <c r="BM1383" s="2">
        <v>241</v>
      </c>
      <c r="BN1383" s="2" t="s">
        <v>82</v>
      </c>
      <c r="BO1383" s="2" t="s">
        <v>82</v>
      </c>
      <c r="BP1383" s="2">
        <v>13</v>
      </c>
      <c r="BQ1383" s="2" t="s">
        <v>91</v>
      </c>
      <c r="BR1383" s="2" t="s">
        <v>3690</v>
      </c>
      <c r="BS1383" s="3">
        <v>40274</v>
      </c>
      <c r="BT1383" s="4">
        <v>0.77214120370370365</v>
      </c>
    </row>
    <row r="1384" spans="1:72" x14ac:dyDescent="0.25">
      <c r="A1384" s="2">
        <v>2065</v>
      </c>
      <c r="B1384" s="2">
        <v>2010</v>
      </c>
      <c r="C1384" s="2" t="s">
        <v>1094</v>
      </c>
      <c r="D1384" s="2" t="s">
        <v>73</v>
      </c>
      <c r="E1384" s="2"/>
      <c r="F1384" s="2">
        <v>538</v>
      </c>
      <c r="G1384" s="2" t="s">
        <v>4958</v>
      </c>
      <c r="H1384" s="2">
        <v>42</v>
      </c>
      <c r="I1384" s="2" t="s">
        <v>1096</v>
      </c>
      <c r="J1384" s="2">
        <v>463</v>
      </c>
      <c r="K1384" s="2" t="s">
        <v>3533</v>
      </c>
      <c r="L1384" s="2" t="s">
        <v>3534</v>
      </c>
      <c r="M1384" s="3">
        <v>40274</v>
      </c>
      <c r="N1384" s="2" t="s">
        <v>3535</v>
      </c>
      <c r="O1384" s="2" t="s">
        <v>4959</v>
      </c>
      <c r="P1384" s="2"/>
      <c r="Q1384" s="2" t="str">
        <f>"0004/10"</f>
        <v>0004/10</v>
      </c>
      <c r="R1384" s="2"/>
      <c r="S1384" s="2"/>
      <c r="T1384" s="2">
        <v>1</v>
      </c>
      <c r="U1384" s="2" t="s">
        <v>79</v>
      </c>
      <c r="V1384" s="2">
        <v>3</v>
      </c>
      <c r="W1384" s="2" t="s">
        <v>225</v>
      </c>
      <c r="X1384" s="2">
        <v>2</v>
      </c>
      <c r="Y1384" s="2" t="s">
        <v>136</v>
      </c>
      <c r="Z1384" s="2">
        <v>10</v>
      </c>
      <c r="AA1384" s="2" t="s">
        <v>236</v>
      </c>
      <c r="AB1384" s="2">
        <v>9</v>
      </c>
      <c r="AC1384" s="2" t="s">
        <v>124</v>
      </c>
      <c r="AD1384" s="3">
        <v>40271</v>
      </c>
      <c r="AE1384" s="4">
        <v>0.5</v>
      </c>
      <c r="AF1384" s="3">
        <v>40270</v>
      </c>
      <c r="AG1384" s="2"/>
      <c r="AH1384" s="2">
        <v>5</v>
      </c>
      <c r="AI1384" s="2" t="s">
        <v>274</v>
      </c>
      <c r="AJ1384" s="2">
        <v>35</v>
      </c>
      <c r="AK1384" s="2" t="s">
        <v>275</v>
      </c>
      <c r="AL1384" s="2">
        <v>23</v>
      </c>
      <c r="AM1384" s="2" t="s">
        <v>251</v>
      </c>
      <c r="AN1384" s="2" t="s">
        <v>2497</v>
      </c>
      <c r="AO1384" s="2" t="s">
        <v>5118</v>
      </c>
      <c r="AP1384" s="2">
        <v>11</v>
      </c>
      <c r="AQ1384" s="2" t="s">
        <v>82</v>
      </c>
      <c r="AR1384" s="2"/>
      <c r="AS1384" s="2"/>
      <c r="AT1384" s="2" t="s">
        <v>5119</v>
      </c>
      <c r="AU1384" s="2"/>
      <c r="AV1384" s="2"/>
      <c r="AW1384" s="2"/>
      <c r="AX1384" s="2"/>
      <c r="AY1384" s="2">
        <v>1</v>
      </c>
      <c r="AZ1384" s="2" t="s">
        <v>107</v>
      </c>
      <c r="BA1384" s="2">
        <v>1</v>
      </c>
      <c r="BB1384" s="2" t="s">
        <v>107</v>
      </c>
      <c r="BC1384" s="2">
        <v>1</v>
      </c>
      <c r="BD1384" s="2" t="s">
        <v>107</v>
      </c>
      <c r="BE1384" s="2">
        <v>1</v>
      </c>
      <c r="BF1384" s="2" t="s">
        <v>107</v>
      </c>
      <c r="BG1384" s="2"/>
      <c r="BH1384" s="2"/>
      <c r="BI1384" s="2"/>
      <c r="BJ1384" s="2">
        <v>242</v>
      </c>
      <c r="BK1384" s="2" t="s">
        <v>107</v>
      </c>
      <c r="BL1384" s="2"/>
      <c r="BM1384" s="2">
        <v>242</v>
      </c>
      <c r="BN1384" s="2" t="s">
        <v>107</v>
      </c>
      <c r="BO1384" s="2"/>
      <c r="BP1384" s="2">
        <v>242</v>
      </c>
      <c r="BQ1384" s="2" t="s">
        <v>107</v>
      </c>
      <c r="BR1384" s="2"/>
      <c r="BS1384" s="3">
        <v>40274</v>
      </c>
      <c r="BT1384" s="4">
        <v>0.77690972222222221</v>
      </c>
    </row>
    <row r="1385" spans="1:72" x14ac:dyDescent="0.25">
      <c r="A1385" s="2">
        <v>2066</v>
      </c>
      <c r="B1385" s="2">
        <v>2010</v>
      </c>
      <c r="C1385" s="2" t="s">
        <v>457</v>
      </c>
      <c r="D1385" s="2" t="s">
        <v>122</v>
      </c>
      <c r="E1385" s="2"/>
      <c r="F1385" s="2">
        <v>435</v>
      </c>
      <c r="G1385" s="2" t="s">
        <v>565</v>
      </c>
      <c r="H1385" s="2">
        <v>42</v>
      </c>
      <c r="I1385" s="2" t="s">
        <v>1096</v>
      </c>
      <c r="J1385" s="2">
        <v>1</v>
      </c>
      <c r="K1385" s="2" t="s">
        <v>107</v>
      </c>
      <c r="L1385" s="2" t="s">
        <v>107</v>
      </c>
      <c r="M1385" s="3">
        <v>40274</v>
      </c>
      <c r="N1385" s="2"/>
      <c r="O1385" s="2" t="s">
        <v>5120</v>
      </c>
      <c r="P1385" s="2">
        <v>1911</v>
      </c>
      <c r="Q1385" s="2" t="str">
        <f>""</f>
        <v/>
      </c>
      <c r="R1385" s="2"/>
      <c r="S1385" s="2"/>
      <c r="T1385" s="2">
        <v>1</v>
      </c>
      <c r="U1385" s="2" t="s">
        <v>79</v>
      </c>
      <c r="V1385" s="2">
        <v>1</v>
      </c>
      <c r="W1385" s="2" t="s">
        <v>80</v>
      </c>
      <c r="X1385" s="2">
        <v>1</v>
      </c>
      <c r="Y1385" s="2" t="s">
        <v>81</v>
      </c>
      <c r="Z1385" s="2">
        <v>1</v>
      </c>
      <c r="AA1385" s="2" t="s">
        <v>82</v>
      </c>
      <c r="AB1385" s="2">
        <v>9</v>
      </c>
      <c r="AC1385" s="2" t="s">
        <v>124</v>
      </c>
      <c r="AD1385" s="3">
        <v>40274</v>
      </c>
      <c r="AE1385" s="4">
        <v>0.77777777777777779</v>
      </c>
      <c r="AF1385" s="2"/>
      <c r="AG1385" s="2"/>
      <c r="AH1385" s="2">
        <v>2</v>
      </c>
      <c r="AI1385" s="2" t="s">
        <v>84</v>
      </c>
      <c r="AJ1385" s="2">
        <v>12</v>
      </c>
      <c r="AK1385" s="2" t="s">
        <v>85</v>
      </c>
      <c r="AL1385" s="2">
        <v>2</v>
      </c>
      <c r="AM1385" s="2" t="s">
        <v>163</v>
      </c>
      <c r="AN1385" s="2" t="s">
        <v>1636</v>
      </c>
      <c r="AO1385" s="2"/>
      <c r="AP1385" s="2">
        <v>11</v>
      </c>
      <c r="AQ1385" s="2" t="s">
        <v>82</v>
      </c>
      <c r="AR1385" s="2"/>
      <c r="AS1385" s="2"/>
      <c r="AT1385" s="2" t="s">
        <v>5121</v>
      </c>
      <c r="AU1385" s="2"/>
      <c r="AV1385" s="2"/>
      <c r="AW1385" s="2"/>
      <c r="AX1385" s="2"/>
      <c r="AY1385" s="2">
        <v>41</v>
      </c>
      <c r="AZ1385" s="2" t="s">
        <v>82</v>
      </c>
      <c r="BA1385" s="2">
        <v>41</v>
      </c>
      <c r="BB1385" s="2" t="s">
        <v>82</v>
      </c>
      <c r="BC1385" s="2">
        <v>41</v>
      </c>
      <c r="BD1385" s="2" t="s">
        <v>82</v>
      </c>
      <c r="BE1385" s="2">
        <v>13</v>
      </c>
      <c r="BF1385" s="2" t="s">
        <v>108</v>
      </c>
      <c r="BG1385" s="2" t="s">
        <v>5122</v>
      </c>
      <c r="BH1385" s="4">
        <v>0.77777777777777779</v>
      </c>
      <c r="BI1385" s="4">
        <v>0.81944444444444453</v>
      </c>
      <c r="BJ1385" s="2">
        <v>13</v>
      </c>
      <c r="BK1385" s="2" t="s">
        <v>91</v>
      </c>
      <c r="BL1385" s="2" t="s">
        <v>185</v>
      </c>
      <c r="BM1385" s="2">
        <v>241</v>
      </c>
      <c r="BN1385" s="2" t="s">
        <v>82</v>
      </c>
      <c r="BO1385" s="2" t="s">
        <v>82</v>
      </c>
      <c r="BP1385" s="2">
        <v>229</v>
      </c>
      <c r="BQ1385" s="2" t="s">
        <v>300</v>
      </c>
      <c r="BR1385" s="2" t="s">
        <v>4783</v>
      </c>
      <c r="BS1385" s="3">
        <v>40274</v>
      </c>
      <c r="BT1385" s="4">
        <v>0.81070601851851853</v>
      </c>
    </row>
    <row r="1386" spans="1:72" x14ac:dyDescent="0.25">
      <c r="A1386" s="2">
        <v>2067</v>
      </c>
      <c r="B1386" s="2">
        <v>2010</v>
      </c>
      <c r="C1386" s="2" t="s">
        <v>409</v>
      </c>
      <c r="D1386" s="2" t="s">
        <v>73</v>
      </c>
      <c r="E1386" s="2"/>
      <c r="F1386" s="2">
        <v>53</v>
      </c>
      <c r="G1386" s="2" t="s">
        <v>2755</v>
      </c>
      <c r="H1386" s="2">
        <v>36</v>
      </c>
      <c r="I1386" s="2" t="s">
        <v>3488</v>
      </c>
      <c r="J1386" s="2">
        <v>88</v>
      </c>
      <c r="K1386" s="2" t="s">
        <v>2756</v>
      </c>
      <c r="L1386" s="2" t="s">
        <v>2757</v>
      </c>
      <c r="M1386" s="3">
        <v>40274</v>
      </c>
      <c r="N1386" s="2" t="s">
        <v>5123</v>
      </c>
      <c r="O1386" s="2" t="s">
        <v>5124</v>
      </c>
      <c r="P1386" s="2" t="s">
        <v>5125</v>
      </c>
      <c r="Q1386" s="2" t="str">
        <f>"011/10"</f>
        <v>011/10</v>
      </c>
      <c r="R1386" s="2"/>
      <c r="S1386" s="2" t="s">
        <v>5126</v>
      </c>
      <c r="T1386" s="2">
        <v>1</v>
      </c>
      <c r="U1386" s="2" t="s">
        <v>79</v>
      </c>
      <c r="V1386" s="2">
        <v>1</v>
      </c>
      <c r="W1386" s="2" t="s">
        <v>80</v>
      </c>
      <c r="X1386" s="2">
        <v>4</v>
      </c>
      <c r="Y1386" s="2" t="s">
        <v>463</v>
      </c>
      <c r="Z1386" s="2">
        <v>1</v>
      </c>
      <c r="AA1386" s="2" t="s">
        <v>82</v>
      </c>
      <c r="AB1386" s="2">
        <v>9</v>
      </c>
      <c r="AC1386" s="2" t="s">
        <v>124</v>
      </c>
      <c r="AD1386" s="3">
        <v>40274</v>
      </c>
      <c r="AE1386" s="4">
        <v>0.47916666666666669</v>
      </c>
      <c r="AF1386" s="2"/>
      <c r="AG1386" s="2"/>
      <c r="AH1386" s="2">
        <v>4</v>
      </c>
      <c r="AI1386" s="2" t="s">
        <v>125</v>
      </c>
      <c r="AJ1386" s="2">
        <v>28</v>
      </c>
      <c r="AK1386" s="2" t="s">
        <v>741</v>
      </c>
      <c r="AL1386" s="2">
        <v>18</v>
      </c>
      <c r="AM1386" s="2" t="s">
        <v>82</v>
      </c>
      <c r="AN1386" s="2"/>
      <c r="AO1386" s="2" t="s">
        <v>5127</v>
      </c>
      <c r="AP1386" s="2">
        <v>11</v>
      </c>
      <c r="AQ1386" s="2" t="s">
        <v>82</v>
      </c>
      <c r="AR1386" s="2"/>
      <c r="AS1386" s="2"/>
      <c r="AT1386" s="2" t="s">
        <v>5128</v>
      </c>
      <c r="AU1386" s="2"/>
      <c r="AV1386" s="2"/>
      <c r="AW1386" s="2"/>
      <c r="AX1386" s="2"/>
      <c r="AY1386" s="2">
        <v>1</v>
      </c>
      <c r="AZ1386" s="2" t="s">
        <v>107</v>
      </c>
      <c r="BA1386" s="2">
        <v>1</v>
      </c>
      <c r="BB1386" s="2" t="s">
        <v>107</v>
      </c>
      <c r="BC1386" s="2">
        <v>1</v>
      </c>
      <c r="BD1386" s="2" t="s">
        <v>107</v>
      </c>
      <c r="BE1386" s="2">
        <v>1</v>
      </c>
      <c r="BF1386" s="2" t="s">
        <v>107</v>
      </c>
      <c r="BG1386" s="2"/>
      <c r="BH1386" s="2"/>
      <c r="BI1386" s="2"/>
      <c r="BJ1386" s="2">
        <v>242</v>
      </c>
      <c r="BK1386" s="2" t="s">
        <v>107</v>
      </c>
      <c r="BL1386" s="2"/>
      <c r="BM1386" s="2">
        <v>242</v>
      </c>
      <c r="BN1386" s="2" t="s">
        <v>107</v>
      </c>
      <c r="BO1386" s="2"/>
      <c r="BP1386" s="2">
        <v>242</v>
      </c>
      <c r="BQ1386" s="2" t="s">
        <v>107</v>
      </c>
      <c r="BR1386" s="2"/>
      <c r="BS1386" s="3">
        <v>40274</v>
      </c>
      <c r="BT1386" s="4">
        <v>0.81290509259259258</v>
      </c>
    </row>
    <row r="1387" spans="1:72" x14ac:dyDescent="0.25">
      <c r="A1387" s="2">
        <v>2068</v>
      </c>
      <c r="B1387" s="2">
        <v>2010</v>
      </c>
      <c r="C1387" s="2" t="s">
        <v>1017</v>
      </c>
      <c r="D1387" s="2" t="s">
        <v>73</v>
      </c>
      <c r="E1387" s="2"/>
      <c r="F1387" s="2">
        <v>1</v>
      </c>
      <c r="G1387" s="2" t="s">
        <v>82</v>
      </c>
      <c r="H1387" s="2">
        <v>1</v>
      </c>
      <c r="I1387" s="2" t="s">
        <v>82</v>
      </c>
      <c r="J1387" s="2">
        <v>1</v>
      </c>
      <c r="K1387" s="2" t="s">
        <v>107</v>
      </c>
      <c r="L1387" s="2" t="s">
        <v>107</v>
      </c>
      <c r="M1387" s="3">
        <v>40274</v>
      </c>
      <c r="N1387" s="2"/>
      <c r="O1387" s="2"/>
      <c r="P1387" s="2"/>
      <c r="Q1387" s="2" t="str">
        <f>"AP0005/2010"</f>
        <v>AP0005/2010</v>
      </c>
      <c r="R1387" s="2"/>
      <c r="S1387" s="2"/>
      <c r="T1387" s="2">
        <v>1</v>
      </c>
      <c r="U1387" s="2" t="s">
        <v>79</v>
      </c>
      <c r="V1387" s="2">
        <v>1</v>
      </c>
      <c r="W1387" s="2" t="s">
        <v>80</v>
      </c>
      <c r="X1387" s="2">
        <v>1</v>
      </c>
      <c r="Y1387" s="2" t="s">
        <v>81</v>
      </c>
      <c r="Z1387" s="2">
        <v>1</v>
      </c>
      <c r="AA1387" s="2" t="s">
        <v>82</v>
      </c>
      <c r="AB1387" s="2">
        <v>7</v>
      </c>
      <c r="AC1387" s="2" t="s">
        <v>1023</v>
      </c>
      <c r="AD1387" s="3">
        <v>40274</v>
      </c>
      <c r="AE1387" s="4">
        <v>0.73611111111111116</v>
      </c>
      <c r="AF1387" s="2"/>
      <c r="AG1387" s="2"/>
      <c r="AH1387" s="2">
        <v>5</v>
      </c>
      <c r="AI1387" s="2" t="s">
        <v>274</v>
      </c>
      <c r="AJ1387" s="2">
        <v>41</v>
      </c>
      <c r="AK1387" s="2" t="s">
        <v>2751</v>
      </c>
      <c r="AL1387" s="2">
        <v>11</v>
      </c>
      <c r="AM1387" s="2" t="s">
        <v>137</v>
      </c>
      <c r="AN1387" s="2"/>
      <c r="AO1387" s="2"/>
      <c r="AP1387" s="2">
        <v>11</v>
      </c>
      <c r="AQ1387" s="2" t="s">
        <v>82</v>
      </c>
      <c r="AR1387" s="2"/>
      <c r="AS1387" s="2"/>
      <c r="AT1387" s="2" t="s">
        <v>5129</v>
      </c>
      <c r="AU1387" s="2"/>
      <c r="AV1387" s="2"/>
      <c r="AW1387" s="2"/>
      <c r="AX1387" s="2"/>
      <c r="AY1387" s="2">
        <v>1</v>
      </c>
      <c r="AZ1387" s="2" t="s">
        <v>107</v>
      </c>
      <c r="BA1387" s="2">
        <v>1</v>
      </c>
      <c r="BB1387" s="2" t="s">
        <v>107</v>
      </c>
      <c r="BC1387" s="2">
        <v>1</v>
      </c>
      <c r="BD1387" s="2" t="s">
        <v>107</v>
      </c>
      <c r="BE1387" s="2">
        <v>13</v>
      </c>
      <c r="BF1387" s="2" t="s">
        <v>108</v>
      </c>
      <c r="BG1387" s="2" t="s">
        <v>5130</v>
      </c>
      <c r="BH1387" s="4">
        <v>0.73263888888888884</v>
      </c>
      <c r="BI1387" s="4">
        <v>0.76041666666666663</v>
      </c>
      <c r="BJ1387" s="2">
        <v>13</v>
      </c>
      <c r="BK1387" s="2" t="s">
        <v>91</v>
      </c>
      <c r="BL1387" s="2" t="s">
        <v>4062</v>
      </c>
      <c r="BM1387" s="2">
        <v>241</v>
      </c>
      <c r="BN1387" s="2" t="s">
        <v>82</v>
      </c>
      <c r="BO1387" s="2" t="s">
        <v>82</v>
      </c>
      <c r="BP1387" s="2">
        <v>13</v>
      </c>
      <c r="BQ1387" s="2" t="s">
        <v>91</v>
      </c>
      <c r="BR1387" s="2" t="s">
        <v>170</v>
      </c>
      <c r="BS1387" s="3">
        <v>40274</v>
      </c>
      <c r="BT1387" s="4">
        <v>0.89751157407407411</v>
      </c>
    </row>
    <row r="1388" spans="1:72" x14ac:dyDescent="0.25">
      <c r="A1388" s="2">
        <v>2069</v>
      </c>
      <c r="B1388" s="2">
        <v>2010</v>
      </c>
      <c r="C1388" s="2" t="s">
        <v>2219</v>
      </c>
      <c r="D1388" s="2" t="s">
        <v>122</v>
      </c>
      <c r="E1388" s="2" t="s">
        <v>5131</v>
      </c>
      <c r="F1388" s="2">
        <v>580</v>
      </c>
      <c r="G1388" s="2" t="s">
        <v>5112</v>
      </c>
      <c r="H1388" s="2">
        <v>88</v>
      </c>
      <c r="I1388" s="2" t="s">
        <v>4964</v>
      </c>
      <c r="J1388" s="2">
        <v>174</v>
      </c>
      <c r="K1388" s="2" t="s">
        <v>4965</v>
      </c>
      <c r="L1388" s="2" t="s">
        <v>2631</v>
      </c>
      <c r="M1388" s="3">
        <v>40274</v>
      </c>
      <c r="N1388" s="2" t="s">
        <v>5113</v>
      </c>
      <c r="O1388" s="2"/>
      <c r="P1388" s="2"/>
      <c r="Q1388" s="2" t="str">
        <f>"146-A/10"</f>
        <v>146-A/10</v>
      </c>
      <c r="R1388" s="2" t="s">
        <v>4173</v>
      </c>
      <c r="S1388" s="2"/>
      <c r="T1388" s="2">
        <v>1</v>
      </c>
      <c r="U1388" s="2" t="s">
        <v>79</v>
      </c>
      <c r="V1388" s="2">
        <v>1</v>
      </c>
      <c r="W1388" s="2" t="s">
        <v>80</v>
      </c>
      <c r="X1388" s="2">
        <v>1</v>
      </c>
      <c r="Y1388" s="2" t="s">
        <v>81</v>
      </c>
      <c r="Z1388" s="2">
        <v>1</v>
      </c>
      <c r="AA1388" s="2" t="s">
        <v>82</v>
      </c>
      <c r="AB1388" s="2">
        <v>9</v>
      </c>
      <c r="AC1388" s="2" t="s">
        <v>124</v>
      </c>
      <c r="AD1388" s="3">
        <v>40274</v>
      </c>
      <c r="AE1388" s="4">
        <v>0.92013888888888884</v>
      </c>
      <c r="AF1388" s="2"/>
      <c r="AG1388" s="2"/>
      <c r="AH1388" s="2">
        <v>2</v>
      </c>
      <c r="AI1388" s="2" t="s">
        <v>84</v>
      </c>
      <c r="AJ1388" s="2">
        <v>12</v>
      </c>
      <c r="AK1388" s="2" t="s">
        <v>85</v>
      </c>
      <c r="AL1388" s="2">
        <v>2</v>
      </c>
      <c r="AM1388" s="2" t="s">
        <v>163</v>
      </c>
      <c r="AN1388" s="2" t="s">
        <v>5114</v>
      </c>
      <c r="AO1388" s="2"/>
      <c r="AP1388" s="2">
        <v>11</v>
      </c>
      <c r="AQ1388" s="2" t="s">
        <v>82</v>
      </c>
      <c r="AR1388" s="2"/>
      <c r="AS1388" s="2"/>
      <c r="AT1388" s="2" t="s">
        <v>5132</v>
      </c>
      <c r="AU1388" s="2">
        <v>1</v>
      </c>
      <c r="AV1388" s="2"/>
      <c r="AW1388" s="2"/>
      <c r="AX1388" s="2"/>
      <c r="AY1388" s="2">
        <v>41</v>
      </c>
      <c r="AZ1388" s="2" t="s">
        <v>82</v>
      </c>
      <c r="BA1388" s="2">
        <v>41</v>
      </c>
      <c r="BB1388" s="2" t="s">
        <v>82</v>
      </c>
      <c r="BC1388" s="2">
        <v>41</v>
      </c>
      <c r="BD1388" s="2" t="s">
        <v>82</v>
      </c>
      <c r="BE1388" s="2">
        <v>47</v>
      </c>
      <c r="BF1388" s="2" t="s">
        <v>167</v>
      </c>
      <c r="BG1388" s="2" t="s">
        <v>5116</v>
      </c>
      <c r="BH1388" s="4">
        <v>0.54513888888888895</v>
      </c>
      <c r="BI1388" s="4">
        <v>0.47916666666666669</v>
      </c>
      <c r="BJ1388" s="2">
        <v>13</v>
      </c>
      <c r="BK1388" s="2" t="s">
        <v>91</v>
      </c>
      <c r="BL1388" s="2" t="s">
        <v>5117</v>
      </c>
      <c r="BM1388" s="2">
        <v>241</v>
      </c>
      <c r="BN1388" s="2" t="s">
        <v>82</v>
      </c>
      <c r="BO1388" s="2" t="s">
        <v>82</v>
      </c>
      <c r="BP1388" s="2">
        <v>13</v>
      </c>
      <c r="BQ1388" s="2" t="s">
        <v>91</v>
      </c>
      <c r="BR1388" s="2" t="s">
        <v>185</v>
      </c>
      <c r="BS1388" s="3">
        <v>40274</v>
      </c>
      <c r="BT1388" s="4">
        <v>0.91787037037037045</v>
      </c>
    </row>
    <row r="1389" spans="1:72" x14ac:dyDescent="0.25">
      <c r="A1389" s="2">
        <v>2070</v>
      </c>
      <c r="B1389" s="2">
        <v>2010</v>
      </c>
      <c r="C1389" s="2" t="s">
        <v>171</v>
      </c>
      <c r="D1389" s="2" t="s">
        <v>73</v>
      </c>
      <c r="E1389" s="2"/>
      <c r="F1389" s="2">
        <v>400</v>
      </c>
      <c r="G1389" s="2" t="s">
        <v>3601</v>
      </c>
      <c r="H1389" s="2">
        <v>17</v>
      </c>
      <c r="I1389" s="2" t="s">
        <v>3602</v>
      </c>
      <c r="J1389" s="2">
        <v>316</v>
      </c>
      <c r="K1389" s="2" t="s">
        <v>574</v>
      </c>
      <c r="L1389" s="2" t="s">
        <v>575</v>
      </c>
      <c r="M1389" s="3">
        <v>40274</v>
      </c>
      <c r="N1389" s="2" t="s">
        <v>5133</v>
      </c>
      <c r="O1389" s="2" t="s">
        <v>391</v>
      </c>
      <c r="P1389" s="2">
        <v>9964</v>
      </c>
      <c r="Q1389" s="2" t="str">
        <f>"186-E/10"</f>
        <v>186-E/10</v>
      </c>
      <c r="R1389" s="2"/>
      <c r="S1389" s="2" t="s">
        <v>391</v>
      </c>
      <c r="T1389" s="2">
        <v>1</v>
      </c>
      <c r="U1389" s="2" t="s">
        <v>79</v>
      </c>
      <c r="V1389" s="2">
        <v>1</v>
      </c>
      <c r="W1389" s="2" t="s">
        <v>80</v>
      </c>
      <c r="X1389" s="2">
        <v>1</v>
      </c>
      <c r="Y1389" s="2" t="s">
        <v>81</v>
      </c>
      <c r="Z1389" s="2">
        <v>1</v>
      </c>
      <c r="AA1389" s="2" t="s">
        <v>82</v>
      </c>
      <c r="AB1389" s="2">
        <v>1</v>
      </c>
      <c r="AC1389" s="2" t="s">
        <v>178</v>
      </c>
      <c r="AD1389" s="3">
        <v>40274</v>
      </c>
      <c r="AE1389" s="4">
        <v>0.625</v>
      </c>
      <c r="AF1389" s="2"/>
      <c r="AG1389" s="2"/>
      <c r="AH1389" s="2">
        <v>2</v>
      </c>
      <c r="AI1389" s="2" t="s">
        <v>84</v>
      </c>
      <c r="AJ1389" s="2">
        <v>9</v>
      </c>
      <c r="AK1389" s="2" t="s">
        <v>103</v>
      </c>
      <c r="AL1389" s="2">
        <v>8</v>
      </c>
      <c r="AM1389" s="2" t="s">
        <v>179</v>
      </c>
      <c r="AN1389" s="2" t="s">
        <v>5134</v>
      </c>
      <c r="AO1389" s="2" t="s">
        <v>82</v>
      </c>
      <c r="AP1389" s="2">
        <v>11</v>
      </c>
      <c r="AQ1389" s="2" t="s">
        <v>82</v>
      </c>
      <c r="AR1389" s="2"/>
      <c r="AS1389" s="2"/>
      <c r="AT1389" s="2" t="s">
        <v>5135</v>
      </c>
      <c r="AU1389" s="2"/>
      <c r="AV1389" s="2">
        <v>2</v>
      </c>
      <c r="AW1389" s="2"/>
      <c r="AX1389" s="2"/>
      <c r="AY1389" s="2">
        <v>42</v>
      </c>
      <c r="AZ1389" s="2" t="s">
        <v>182</v>
      </c>
      <c r="BA1389" s="2">
        <v>41</v>
      </c>
      <c r="BB1389" s="2" t="s">
        <v>82</v>
      </c>
      <c r="BC1389" s="2">
        <v>41</v>
      </c>
      <c r="BD1389" s="2" t="s">
        <v>82</v>
      </c>
      <c r="BE1389" s="2">
        <v>14</v>
      </c>
      <c r="BF1389" s="2" t="s">
        <v>484</v>
      </c>
      <c r="BG1389" s="2" t="s">
        <v>818</v>
      </c>
      <c r="BH1389" s="2"/>
      <c r="BI1389" s="4">
        <v>0.71180555555555547</v>
      </c>
      <c r="BJ1389" s="2">
        <v>13</v>
      </c>
      <c r="BK1389" s="2" t="s">
        <v>91</v>
      </c>
      <c r="BL1389" s="2" t="s">
        <v>1362</v>
      </c>
      <c r="BM1389" s="2">
        <v>241</v>
      </c>
      <c r="BN1389" s="2" t="s">
        <v>82</v>
      </c>
      <c r="BO1389" s="2"/>
      <c r="BP1389" s="2">
        <v>82</v>
      </c>
      <c r="BQ1389" s="2" t="s">
        <v>487</v>
      </c>
      <c r="BR1389" s="2" t="s">
        <v>488</v>
      </c>
      <c r="BS1389" s="3">
        <v>40274</v>
      </c>
      <c r="BT1389" s="4">
        <v>0.92715277777777771</v>
      </c>
    </row>
    <row r="1390" spans="1:72" x14ac:dyDescent="0.25">
      <c r="A1390" s="2">
        <v>2072</v>
      </c>
      <c r="B1390" s="2">
        <v>2010</v>
      </c>
      <c r="C1390" s="2" t="s">
        <v>93</v>
      </c>
      <c r="D1390" s="2" t="s">
        <v>73</v>
      </c>
      <c r="E1390" s="2"/>
      <c r="F1390" s="2">
        <v>585</v>
      </c>
      <c r="G1390" s="2" t="s">
        <v>5136</v>
      </c>
      <c r="H1390" s="2">
        <v>89</v>
      </c>
      <c r="I1390" s="2" t="s">
        <v>5137</v>
      </c>
      <c r="J1390" s="2">
        <v>516</v>
      </c>
      <c r="K1390" s="2" t="s">
        <v>5138</v>
      </c>
      <c r="L1390" s="2" t="s">
        <v>5139</v>
      </c>
      <c r="M1390" s="3">
        <v>40274</v>
      </c>
      <c r="N1390" s="2" t="s">
        <v>5140</v>
      </c>
      <c r="O1390" s="2" t="s">
        <v>5141</v>
      </c>
      <c r="P1390" s="2" t="s">
        <v>5142</v>
      </c>
      <c r="Q1390" s="2" t="str">
        <f>""</f>
        <v/>
      </c>
      <c r="R1390" s="2"/>
      <c r="S1390" s="2" t="s">
        <v>100</v>
      </c>
      <c r="T1390" s="2">
        <v>1</v>
      </c>
      <c r="U1390" s="2" t="s">
        <v>79</v>
      </c>
      <c r="V1390" s="2">
        <v>1</v>
      </c>
      <c r="W1390" s="2" t="s">
        <v>80</v>
      </c>
      <c r="X1390" s="2">
        <v>1</v>
      </c>
      <c r="Y1390" s="2" t="s">
        <v>81</v>
      </c>
      <c r="Z1390" s="2">
        <v>1</v>
      </c>
      <c r="AA1390" s="2" t="s">
        <v>82</v>
      </c>
      <c r="AB1390" s="2">
        <v>2</v>
      </c>
      <c r="AC1390" s="2" t="s">
        <v>102</v>
      </c>
      <c r="AD1390" s="3">
        <v>40274</v>
      </c>
      <c r="AE1390" s="4">
        <v>0.70833333333333337</v>
      </c>
      <c r="AF1390" s="2"/>
      <c r="AG1390" s="2"/>
      <c r="AH1390" s="2">
        <v>2</v>
      </c>
      <c r="AI1390" s="2" t="s">
        <v>84</v>
      </c>
      <c r="AJ1390" s="2">
        <v>9</v>
      </c>
      <c r="AK1390" s="2" t="s">
        <v>103</v>
      </c>
      <c r="AL1390" s="2">
        <v>14</v>
      </c>
      <c r="AM1390" s="2" t="s">
        <v>216</v>
      </c>
      <c r="AN1390" s="2" t="s">
        <v>1182</v>
      </c>
      <c r="AO1390" s="2" t="s">
        <v>82</v>
      </c>
      <c r="AP1390" s="2">
        <v>11</v>
      </c>
      <c r="AQ1390" s="2" t="s">
        <v>82</v>
      </c>
      <c r="AR1390" s="2"/>
      <c r="AS1390" s="2"/>
      <c r="AT1390" s="2" t="s">
        <v>5143</v>
      </c>
      <c r="AU1390" s="2">
        <v>1</v>
      </c>
      <c r="AV1390" s="2"/>
      <c r="AW1390" s="2"/>
      <c r="AX1390" s="2"/>
      <c r="AY1390" s="2">
        <v>41</v>
      </c>
      <c r="AZ1390" s="2" t="s">
        <v>82</v>
      </c>
      <c r="BA1390" s="2">
        <v>42</v>
      </c>
      <c r="BB1390" s="2" t="s">
        <v>182</v>
      </c>
      <c r="BC1390" s="2">
        <v>41</v>
      </c>
      <c r="BD1390" s="2" t="s">
        <v>82</v>
      </c>
      <c r="BE1390" s="2">
        <v>39</v>
      </c>
      <c r="BF1390" s="2" t="s">
        <v>440</v>
      </c>
      <c r="BG1390" s="2" t="s">
        <v>5144</v>
      </c>
      <c r="BH1390" s="2"/>
      <c r="BI1390" s="4">
        <v>0.75694444444444453</v>
      </c>
      <c r="BJ1390" s="2">
        <v>13</v>
      </c>
      <c r="BK1390" s="2" t="s">
        <v>91</v>
      </c>
      <c r="BL1390" s="2" t="s">
        <v>1362</v>
      </c>
      <c r="BM1390" s="2">
        <v>33</v>
      </c>
      <c r="BN1390" s="2" t="s">
        <v>361</v>
      </c>
      <c r="BO1390" s="2" t="s">
        <v>1739</v>
      </c>
      <c r="BP1390" s="2">
        <v>75</v>
      </c>
      <c r="BQ1390" s="2" t="s">
        <v>1264</v>
      </c>
      <c r="BR1390" s="2" t="s">
        <v>1361</v>
      </c>
      <c r="BS1390" s="3">
        <v>40274</v>
      </c>
      <c r="BT1390" s="4">
        <v>0.97517361111111101</v>
      </c>
    </row>
    <row r="1391" spans="1:72" x14ac:dyDescent="0.25">
      <c r="A1391" s="2">
        <v>2072</v>
      </c>
      <c r="B1391" s="2">
        <v>2010</v>
      </c>
      <c r="C1391" s="2" t="s">
        <v>806</v>
      </c>
      <c r="D1391" s="2" t="s">
        <v>73</v>
      </c>
      <c r="E1391" s="2"/>
      <c r="F1391" s="2">
        <v>585</v>
      </c>
      <c r="G1391" s="2" t="s">
        <v>5136</v>
      </c>
      <c r="H1391" s="2">
        <v>89</v>
      </c>
      <c r="I1391" s="2" t="s">
        <v>5137</v>
      </c>
      <c r="J1391" s="2">
        <v>516</v>
      </c>
      <c r="K1391" s="2" t="s">
        <v>5138</v>
      </c>
      <c r="L1391" s="2" t="s">
        <v>5139</v>
      </c>
      <c r="M1391" s="3">
        <v>40274</v>
      </c>
      <c r="N1391" s="2" t="s">
        <v>5140</v>
      </c>
      <c r="O1391" s="2" t="s">
        <v>5141</v>
      </c>
      <c r="P1391" s="2" t="s">
        <v>5142</v>
      </c>
      <c r="Q1391" s="2" t="str">
        <f>""</f>
        <v/>
      </c>
      <c r="R1391" s="2"/>
      <c r="S1391" s="2" t="s">
        <v>100</v>
      </c>
      <c r="T1391" s="2">
        <v>1</v>
      </c>
      <c r="U1391" s="2" t="s">
        <v>79</v>
      </c>
      <c r="V1391" s="2">
        <v>1</v>
      </c>
      <c r="W1391" s="2" t="s">
        <v>80</v>
      </c>
      <c r="X1391" s="2">
        <v>1</v>
      </c>
      <c r="Y1391" s="2" t="s">
        <v>81</v>
      </c>
      <c r="Z1391" s="2">
        <v>1</v>
      </c>
      <c r="AA1391" s="2" t="s">
        <v>82</v>
      </c>
      <c r="AB1391" s="2">
        <v>9</v>
      </c>
      <c r="AC1391" s="2" t="s">
        <v>124</v>
      </c>
      <c r="AD1391" s="3">
        <v>40274</v>
      </c>
      <c r="AE1391" s="4">
        <v>0.70833333333333337</v>
      </c>
      <c r="AF1391" s="2"/>
      <c r="AG1391" s="2"/>
      <c r="AH1391" s="2">
        <v>2</v>
      </c>
      <c r="AI1391" s="2" t="s">
        <v>84</v>
      </c>
      <c r="AJ1391" s="2">
        <v>9</v>
      </c>
      <c r="AK1391" s="2" t="s">
        <v>103</v>
      </c>
      <c r="AL1391" s="2">
        <v>14</v>
      </c>
      <c r="AM1391" s="2" t="s">
        <v>216</v>
      </c>
      <c r="AN1391" s="2" t="s">
        <v>1182</v>
      </c>
      <c r="AO1391" s="2" t="s">
        <v>82</v>
      </c>
      <c r="AP1391" s="2">
        <v>11</v>
      </c>
      <c r="AQ1391" s="2" t="s">
        <v>82</v>
      </c>
      <c r="AR1391" s="2"/>
      <c r="AS1391" s="2"/>
      <c r="AT1391" s="2" t="s">
        <v>5143</v>
      </c>
      <c r="AU1391" s="2">
        <v>1</v>
      </c>
      <c r="AV1391" s="2"/>
      <c r="AW1391" s="2"/>
      <c r="AX1391" s="2"/>
      <c r="AY1391" s="2">
        <v>41</v>
      </c>
      <c r="AZ1391" s="2" t="s">
        <v>82</v>
      </c>
      <c r="BA1391" s="2">
        <v>42</v>
      </c>
      <c r="BB1391" s="2" t="s">
        <v>182</v>
      </c>
      <c r="BC1391" s="2">
        <v>41</v>
      </c>
      <c r="BD1391" s="2" t="s">
        <v>82</v>
      </c>
      <c r="BE1391" s="2">
        <v>39</v>
      </c>
      <c r="BF1391" s="2" t="s">
        <v>440</v>
      </c>
      <c r="BG1391" s="2" t="s">
        <v>5144</v>
      </c>
      <c r="BH1391" s="2"/>
      <c r="BI1391" s="4">
        <v>0.75694444444444453</v>
      </c>
      <c r="BJ1391" s="2">
        <v>13</v>
      </c>
      <c r="BK1391" s="2" t="s">
        <v>91</v>
      </c>
      <c r="BL1391" s="2" t="s">
        <v>1362</v>
      </c>
      <c r="BM1391" s="2">
        <v>33</v>
      </c>
      <c r="BN1391" s="2" t="s">
        <v>361</v>
      </c>
      <c r="BO1391" s="2" t="s">
        <v>1739</v>
      </c>
      <c r="BP1391" s="2">
        <v>75</v>
      </c>
      <c r="BQ1391" s="2" t="s">
        <v>1264</v>
      </c>
      <c r="BR1391" s="2" t="s">
        <v>1361</v>
      </c>
      <c r="BS1391" s="3">
        <v>40274</v>
      </c>
      <c r="BT1391" s="4">
        <v>0.97517361111111101</v>
      </c>
    </row>
    <row r="1392" spans="1:72" x14ac:dyDescent="0.25">
      <c r="A1392" s="2">
        <v>2073</v>
      </c>
      <c r="B1392" s="2">
        <v>2010</v>
      </c>
      <c r="C1392" s="2" t="s">
        <v>72</v>
      </c>
      <c r="D1392" s="2" t="s">
        <v>73</v>
      </c>
      <c r="E1392" s="2"/>
      <c r="F1392" s="2">
        <v>52</v>
      </c>
      <c r="G1392" s="2" t="s">
        <v>2963</v>
      </c>
      <c r="H1392" s="2">
        <v>3</v>
      </c>
      <c r="I1392" s="2" t="s">
        <v>315</v>
      </c>
      <c r="J1392" s="2">
        <v>87</v>
      </c>
      <c r="K1392" s="2" t="s">
        <v>2964</v>
      </c>
      <c r="L1392" s="2" t="s">
        <v>2534</v>
      </c>
      <c r="M1392" s="3">
        <v>40275</v>
      </c>
      <c r="N1392" s="2" t="s">
        <v>5145</v>
      </c>
      <c r="O1392" s="2" t="s">
        <v>2966</v>
      </c>
      <c r="P1392" s="2"/>
      <c r="Q1392" s="2" t="str">
        <f>"012/10"</f>
        <v>012/10</v>
      </c>
      <c r="R1392" s="2" t="s">
        <v>2967</v>
      </c>
      <c r="S1392" s="2" t="s">
        <v>2967</v>
      </c>
      <c r="T1392" s="2">
        <v>1</v>
      </c>
      <c r="U1392" s="2" t="s">
        <v>79</v>
      </c>
      <c r="V1392" s="2">
        <v>1</v>
      </c>
      <c r="W1392" s="2" t="s">
        <v>80</v>
      </c>
      <c r="X1392" s="2">
        <v>1</v>
      </c>
      <c r="Y1392" s="2" t="s">
        <v>81</v>
      </c>
      <c r="Z1392" s="2">
        <v>4</v>
      </c>
      <c r="AA1392" s="2" t="s">
        <v>182</v>
      </c>
      <c r="AB1392" s="2">
        <v>6</v>
      </c>
      <c r="AC1392" s="2" t="s">
        <v>83</v>
      </c>
      <c r="AD1392" s="3">
        <v>40274</v>
      </c>
      <c r="AE1392" s="4">
        <v>0.98611111111111116</v>
      </c>
      <c r="AF1392" s="2"/>
      <c r="AG1392" s="2"/>
      <c r="AH1392" s="2">
        <v>4</v>
      </c>
      <c r="AI1392" s="2" t="s">
        <v>125</v>
      </c>
      <c r="AJ1392" s="2">
        <v>28</v>
      </c>
      <c r="AK1392" s="2" t="s">
        <v>741</v>
      </c>
      <c r="AL1392" s="2">
        <v>9</v>
      </c>
      <c r="AM1392" s="2" t="s">
        <v>259</v>
      </c>
      <c r="AN1392" s="2" t="s">
        <v>5146</v>
      </c>
      <c r="AO1392" s="2"/>
      <c r="AP1392" s="2">
        <v>11</v>
      </c>
      <c r="AQ1392" s="2" t="s">
        <v>82</v>
      </c>
      <c r="AR1392" s="2"/>
      <c r="AS1392" s="2"/>
      <c r="AT1392" s="2" t="s">
        <v>5147</v>
      </c>
      <c r="AU1392" s="2"/>
      <c r="AV1392" s="2"/>
      <c r="AW1392" s="2"/>
      <c r="AX1392" s="2"/>
      <c r="AY1392" s="2">
        <v>42</v>
      </c>
      <c r="AZ1392" s="2" t="s">
        <v>182</v>
      </c>
      <c r="BA1392" s="2">
        <v>41</v>
      </c>
      <c r="BB1392" s="2" t="s">
        <v>82</v>
      </c>
      <c r="BC1392" s="2">
        <v>41</v>
      </c>
      <c r="BD1392" s="2" t="s">
        <v>82</v>
      </c>
      <c r="BE1392" s="2">
        <v>41</v>
      </c>
      <c r="BF1392" s="2" t="s">
        <v>82</v>
      </c>
      <c r="BG1392" s="2"/>
      <c r="BH1392" s="2"/>
      <c r="BI1392" s="2"/>
      <c r="BJ1392" s="2">
        <v>241</v>
      </c>
      <c r="BK1392" s="2" t="s">
        <v>82</v>
      </c>
      <c r="BL1392" s="2"/>
      <c r="BM1392" s="2">
        <v>241</v>
      </c>
      <c r="BN1392" s="2" t="s">
        <v>82</v>
      </c>
      <c r="BO1392" s="2"/>
      <c r="BP1392" s="2">
        <v>241</v>
      </c>
      <c r="BQ1392" s="2" t="s">
        <v>82</v>
      </c>
      <c r="BR1392" s="2"/>
      <c r="BS1392" s="3">
        <v>40275</v>
      </c>
      <c r="BT1392" s="4">
        <v>4.4745370370370373E-2</v>
      </c>
    </row>
    <row r="1393" spans="1:72" x14ac:dyDescent="0.25">
      <c r="A1393" s="2">
        <v>2074</v>
      </c>
      <c r="B1393" s="2">
        <v>2010</v>
      </c>
      <c r="C1393" s="2" t="s">
        <v>594</v>
      </c>
      <c r="D1393" s="2" t="s">
        <v>122</v>
      </c>
      <c r="E1393" s="2"/>
      <c r="F1393" s="2">
        <v>1</v>
      </c>
      <c r="G1393" s="2" t="s">
        <v>82</v>
      </c>
      <c r="H1393" s="2">
        <v>1</v>
      </c>
      <c r="I1393" s="2" t="s">
        <v>82</v>
      </c>
      <c r="J1393" s="2">
        <v>1</v>
      </c>
      <c r="K1393" s="2" t="s">
        <v>107</v>
      </c>
      <c r="L1393" s="2" t="s">
        <v>107</v>
      </c>
      <c r="M1393" s="3">
        <v>40275</v>
      </c>
      <c r="N1393" s="2"/>
      <c r="O1393" s="2"/>
      <c r="P1393" s="2"/>
      <c r="Q1393" s="2" t="str">
        <f>""</f>
        <v/>
      </c>
      <c r="R1393" s="2"/>
      <c r="S1393" s="2"/>
      <c r="T1393" s="2">
        <v>1</v>
      </c>
      <c r="U1393" s="2" t="s">
        <v>79</v>
      </c>
      <c r="V1393" s="2">
        <v>1</v>
      </c>
      <c r="W1393" s="2" t="s">
        <v>80</v>
      </c>
      <c r="X1393" s="2">
        <v>1</v>
      </c>
      <c r="Y1393" s="2" t="s">
        <v>81</v>
      </c>
      <c r="Z1393" s="2">
        <v>1</v>
      </c>
      <c r="AA1393" s="2" t="s">
        <v>82</v>
      </c>
      <c r="AB1393" s="2">
        <v>9</v>
      </c>
      <c r="AC1393" s="2" t="s">
        <v>124</v>
      </c>
      <c r="AD1393" s="3">
        <v>40275</v>
      </c>
      <c r="AE1393" s="4">
        <v>0.11805555555555557</v>
      </c>
      <c r="AF1393" s="2"/>
      <c r="AG1393" s="2"/>
      <c r="AH1393" s="2">
        <v>6</v>
      </c>
      <c r="AI1393" s="2" t="s">
        <v>197</v>
      </c>
      <c r="AJ1393" s="2">
        <v>54</v>
      </c>
      <c r="AK1393" s="2" t="s">
        <v>348</v>
      </c>
      <c r="AL1393" s="2">
        <v>18</v>
      </c>
      <c r="AM1393" s="2" t="s">
        <v>82</v>
      </c>
      <c r="AN1393" s="2" t="s">
        <v>595</v>
      </c>
      <c r="AO1393" s="2" t="s">
        <v>200</v>
      </c>
      <c r="AP1393" s="2">
        <v>14</v>
      </c>
      <c r="AQ1393" s="2" t="s">
        <v>3301</v>
      </c>
      <c r="AR1393" s="2" t="s">
        <v>596</v>
      </c>
      <c r="AS1393" s="2" t="s">
        <v>596</v>
      </c>
      <c r="AT1393" s="2" t="s">
        <v>5148</v>
      </c>
      <c r="AU1393" s="2"/>
      <c r="AV1393" s="2"/>
      <c r="AW1393" s="2"/>
      <c r="AX1393" s="2"/>
      <c r="AY1393" s="2">
        <v>1</v>
      </c>
      <c r="AZ1393" s="2" t="s">
        <v>107</v>
      </c>
      <c r="BA1393" s="2">
        <v>1</v>
      </c>
      <c r="BB1393" s="2" t="s">
        <v>107</v>
      </c>
      <c r="BC1393" s="2">
        <v>1</v>
      </c>
      <c r="BD1393" s="2" t="s">
        <v>107</v>
      </c>
      <c r="BE1393" s="2">
        <v>4</v>
      </c>
      <c r="BF1393" s="2" t="s">
        <v>90</v>
      </c>
      <c r="BG1393" s="2" t="s">
        <v>598</v>
      </c>
      <c r="BH1393" s="4">
        <v>5.486111111111111E-2</v>
      </c>
      <c r="BI1393" s="4">
        <v>0.11805555555555557</v>
      </c>
      <c r="BJ1393" s="2">
        <v>13</v>
      </c>
      <c r="BK1393" s="2" t="s">
        <v>91</v>
      </c>
      <c r="BL1393" s="2" t="s">
        <v>2236</v>
      </c>
      <c r="BM1393" s="2">
        <v>242</v>
      </c>
      <c r="BN1393" s="2" t="s">
        <v>107</v>
      </c>
      <c r="BO1393" s="2" t="s">
        <v>107</v>
      </c>
      <c r="BP1393" s="2">
        <v>13</v>
      </c>
      <c r="BQ1393" s="2" t="s">
        <v>91</v>
      </c>
      <c r="BR1393" s="2" t="s">
        <v>905</v>
      </c>
      <c r="BS1393" s="3">
        <v>40275</v>
      </c>
      <c r="BT1393" s="4">
        <v>0.11450231481481482</v>
      </c>
    </row>
    <row r="1394" spans="1:72" x14ac:dyDescent="0.25">
      <c r="A1394" s="2">
        <v>2075</v>
      </c>
      <c r="B1394" s="2">
        <v>2010</v>
      </c>
      <c r="C1394" s="2" t="s">
        <v>93</v>
      </c>
      <c r="D1394" s="2" t="s">
        <v>122</v>
      </c>
      <c r="E1394" s="2" t="s">
        <v>5149</v>
      </c>
      <c r="F1394" s="2">
        <v>585</v>
      </c>
      <c r="G1394" s="2" t="s">
        <v>5136</v>
      </c>
      <c r="H1394" s="2">
        <v>89</v>
      </c>
      <c r="I1394" s="2" t="s">
        <v>5137</v>
      </c>
      <c r="J1394" s="2">
        <v>516</v>
      </c>
      <c r="K1394" s="2" t="s">
        <v>5138</v>
      </c>
      <c r="L1394" s="2" t="s">
        <v>5139</v>
      </c>
      <c r="M1394" s="3">
        <v>40275</v>
      </c>
      <c r="N1394" s="2" t="s">
        <v>5140</v>
      </c>
      <c r="O1394" s="2" t="s">
        <v>5141</v>
      </c>
      <c r="P1394" s="2" t="s">
        <v>5142</v>
      </c>
      <c r="Q1394" s="2" t="str">
        <f>""</f>
        <v/>
      </c>
      <c r="R1394" s="2" t="s">
        <v>100</v>
      </c>
      <c r="S1394" s="2"/>
      <c r="T1394" s="2">
        <v>1</v>
      </c>
      <c r="U1394" s="2" t="s">
        <v>79</v>
      </c>
      <c r="V1394" s="2">
        <v>1</v>
      </c>
      <c r="W1394" s="2" t="s">
        <v>80</v>
      </c>
      <c r="X1394" s="2">
        <v>1</v>
      </c>
      <c r="Y1394" s="2" t="s">
        <v>81</v>
      </c>
      <c r="Z1394" s="2">
        <v>10</v>
      </c>
      <c r="AA1394" s="2" t="s">
        <v>236</v>
      </c>
      <c r="AB1394" s="2">
        <v>2</v>
      </c>
      <c r="AC1394" s="2" t="s">
        <v>102</v>
      </c>
      <c r="AD1394" s="3">
        <v>40274</v>
      </c>
      <c r="AE1394" s="4">
        <v>0.70833333333333337</v>
      </c>
      <c r="AF1394" s="2"/>
      <c r="AG1394" s="2"/>
      <c r="AH1394" s="2">
        <v>2</v>
      </c>
      <c r="AI1394" s="2" t="s">
        <v>84</v>
      </c>
      <c r="AJ1394" s="2">
        <v>9</v>
      </c>
      <c r="AK1394" s="2" t="s">
        <v>103</v>
      </c>
      <c r="AL1394" s="2">
        <v>14</v>
      </c>
      <c r="AM1394" s="2" t="s">
        <v>216</v>
      </c>
      <c r="AN1394" s="2" t="s">
        <v>5150</v>
      </c>
      <c r="AO1394" s="2"/>
      <c r="AP1394" s="2">
        <v>11</v>
      </c>
      <c r="AQ1394" s="2" t="s">
        <v>82</v>
      </c>
      <c r="AR1394" s="2"/>
      <c r="AS1394" s="2"/>
      <c r="AT1394" s="2" t="s">
        <v>5151</v>
      </c>
      <c r="AU1394" s="2">
        <v>1</v>
      </c>
      <c r="AV1394" s="2"/>
      <c r="AW1394" s="2"/>
      <c r="AX1394" s="2"/>
      <c r="AY1394" s="2">
        <v>41</v>
      </c>
      <c r="AZ1394" s="2" t="s">
        <v>82</v>
      </c>
      <c r="BA1394" s="2">
        <v>42</v>
      </c>
      <c r="BB1394" s="2" t="s">
        <v>182</v>
      </c>
      <c r="BC1394" s="2">
        <v>70</v>
      </c>
      <c r="BD1394" s="2" t="s">
        <v>236</v>
      </c>
      <c r="BE1394" s="2">
        <v>39</v>
      </c>
      <c r="BF1394" s="2" t="s">
        <v>440</v>
      </c>
      <c r="BG1394" s="2" t="s">
        <v>5144</v>
      </c>
      <c r="BH1394" s="2"/>
      <c r="BI1394" s="4">
        <v>0.75694444444444453</v>
      </c>
      <c r="BJ1394" s="2">
        <v>13</v>
      </c>
      <c r="BK1394" s="2" t="s">
        <v>91</v>
      </c>
      <c r="BL1394" s="2" t="s">
        <v>360</v>
      </c>
      <c r="BM1394" s="2">
        <v>33</v>
      </c>
      <c r="BN1394" s="2" t="s">
        <v>361</v>
      </c>
      <c r="BO1394" s="2" t="s">
        <v>1739</v>
      </c>
      <c r="BP1394" s="2">
        <v>75</v>
      </c>
      <c r="BQ1394" s="2" t="s">
        <v>1264</v>
      </c>
      <c r="BR1394" s="2" t="s">
        <v>1361</v>
      </c>
      <c r="BS1394" s="3">
        <v>40275</v>
      </c>
      <c r="BT1394" s="4">
        <v>0.12393518518518519</v>
      </c>
    </row>
    <row r="1395" spans="1:72" x14ac:dyDescent="0.25">
      <c r="A1395" s="2">
        <v>2076</v>
      </c>
      <c r="B1395" s="2">
        <v>2010</v>
      </c>
      <c r="C1395" s="2" t="s">
        <v>171</v>
      </c>
      <c r="D1395" s="2" t="s">
        <v>122</v>
      </c>
      <c r="E1395" s="2" t="s">
        <v>5152</v>
      </c>
      <c r="F1395" s="2">
        <v>400</v>
      </c>
      <c r="G1395" s="2" t="s">
        <v>3601</v>
      </c>
      <c r="H1395" s="2">
        <v>17</v>
      </c>
      <c r="I1395" s="2" t="s">
        <v>3602</v>
      </c>
      <c r="J1395" s="2">
        <v>316</v>
      </c>
      <c r="K1395" s="2" t="s">
        <v>574</v>
      </c>
      <c r="L1395" s="2" t="s">
        <v>575</v>
      </c>
      <c r="M1395" s="3">
        <v>40275</v>
      </c>
      <c r="N1395" s="2" t="s">
        <v>5133</v>
      </c>
      <c r="O1395" s="2"/>
      <c r="P1395" s="2"/>
      <c r="Q1395" s="2" t="str">
        <f>"186-E/10"</f>
        <v>186-E/10</v>
      </c>
      <c r="R1395" s="2" t="s">
        <v>391</v>
      </c>
      <c r="S1395" s="2"/>
      <c r="T1395" s="2">
        <v>1</v>
      </c>
      <c r="U1395" s="2" t="s">
        <v>79</v>
      </c>
      <c r="V1395" s="2">
        <v>1</v>
      </c>
      <c r="W1395" s="2" t="s">
        <v>80</v>
      </c>
      <c r="X1395" s="2">
        <v>1</v>
      </c>
      <c r="Y1395" s="2" t="s">
        <v>81</v>
      </c>
      <c r="Z1395" s="2">
        <v>10</v>
      </c>
      <c r="AA1395" s="2" t="s">
        <v>236</v>
      </c>
      <c r="AB1395" s="2">
        <v>1</v>
      </c>
      <c r="AC1395" s="2" t="s">
        <v>178</v>
      </c>
      <c r="AD1395" s="3">
        <v>40274</v>
      </c>
      <c r="AE1395" s="4">
        <v>0.625</v>
      </c>
      <c r="AF1395" s="2"/>
      <c r="AG1395" s="2"/>
      <c r="AH1395" s="2">
        <v>2</v>
      </c>
      <c r="AI1395" s="2" t="s">
        <v>84</v>
      </c>
      <c r="AJ1395" s="2">
        <v>9</v>
      </c>
      <c r="AK1395" s="2" t="s">
        <v>103</v>
      </c>
      <c r="AL1395" s="2">
        <v>8</v>
      </c>
      <c r="AM1395" s="2" t="s">
        <v>179</v>
      </c>
      <c r="AN1395" s="2" t="s">
        <v>987</v>
      </c>
      <c r="AO1395" s="2"/>
      <c r="AP1395" s="2">
        <v>11</v>
      </c>
      <c r="AQ1395" s="2" t="s">
        <v>82</v>
      </c>
      <c r="AR1395" s="2"/>
      <c r="AS1395" s="2"/>
      <c r="AT1395" s="2" t="s">
        <v>5153</v>
      </c>
      <c r="AU1395" s="2"/>
      <c r="AV1395" s="2">
        <v>2</v>
      </c>
      <c r="AW1395" s="2"/>
      <c r="AX1395" s="2"/>
      <c r="AY1395" s="2">
        <v>42</v>
      </c>
      <c r="AZ1395" s="2" t="s">
        <v>182</v>
      </c>
      <c r="BA1395" s="2">
        <v>41</v>
      </c>
      <c r="BB1395" s="2" t="s">
        <v>82</v>
      </c>
      <c r="BC1395" s="2">
        <v>70</v>
      </c>
      <c r="BD1395" s="2" t="s">
        <v>236</v>
      </c>
      <c r="BE1395" s="2">
        <v>14</v>
      </c>
      <c r="BF1395" s="2" t="s">
        <v>484</v>
      </c>
      <c r="BG1395" s="2" t="s">
        <v>818</v>
      </c>
      <c r="BH1395" s="2"/>
      <c r="BI1395" s="4">
        <v>0.71180555555555547</v>
      </c>
      <c r="BJ1395" s="2">
        <v>13</v>
      </c>
      <c r="BK1395" s="2" t="s">
        <v>91</v>
      </c>
      <c r="BL1395" s="2" t="s">
        <v>360</v>
      </c>
      <c r="BM1395" s="2">
        <v>241</v>
      </c>
      <c r="BN1395" s="2" t="s">
        <v>82</v>
      </c>
      <c r="BO1395" s="2"/>
      <c r="BP1395" s="2">
        <v>82</v>
      </c>
      <c r="BQ1395" s="2" t="s">
        <v>487</v>
      </c>
      <c r="BR1395" s="2" t="s">
        <v>488</v>
      </c>
      <c r="BS1395" s="3">
        <v>40275</v>
      </c>
      <c r="BT1395" s="4">
        <v>0.34718749999999998</v>
      </c>
    </row>
    <row r="1396" spans="1:72" x14ac:dyDescent="0.25">
      <c r="A1396" s="2">
        <v>2078</v>
      </c>
      <c r="B1396" s="2">
        <v>2010</v>
      </c>
      <c r="C1396" s="2" t="s">
        <v>147</v>
      </c>
      <c r="D1396" s="2" t="s">
        <v>73</v>
      </c>
      <c r="E1396" s="2"/>
      <c r="F1396" s="2">
        <v>1</v>
      </c>
      <c r="G1396" s="2" t="s">
        <v>82</v>
      </c>
      <c r="H1396" s="2">
        <v>1</v>
      </c>
      <c r="I1396" s="2" t="s">
        <v>82</v>
      </c>
      <c r="J1396" s="2">
        <v>1</v>
      </c>
      <c r="K1396" s="2" t="s">
        <v>107</v>
      </c>
      <c r="L1396" s="2" t="s">
        <v>107</v>
      </c>
      <c r="M1396" s="3">
        <v>40275</v>
      </c>
      <c r="N1396" s="2"/>
      <c r="O1396" s="2"/>
      <c r="P1396" s="2"/>
      <c r="Q1396" s="2" t="str">
        <f>""</f>
        <v/>
      </c>
      <c r="R1396" s="2"/>
      <c r="S1396" s="2"/>
      <c r="T1396" s="2">
        <v>2</v>
      </c>
      <c r="U1396" s="2" t="s">
        <v>123</v>
      </c>
      <c r="V1396" s="2">
        <v>1</v>
      </c>
      <c r="W1396" s="2" t="s">
        <v>80</v>
      </c>
      <c r="X1396" s="2">
        <v>12</v>
      </c>
      <c r="Y1396" s="2" t="s">
        <v>148</v>
      </c>
      <c r="Z1396" s="2">
        <v>1</v>
      </c>
      <c r="AA1396" s="2" t="s">
        <v>82</v>
      </c>
      <c r="AB1396" s="2">
        <v>9</v>
      </c>
      <c r="AC1396" s="2" t="s">
        <v>124</v>
      </c>
      <c r="AD1396" s="3">
        <v>40253</v>
      </c>
      <c r="AE1396" s="2"/>
      <c r="AF1396" s="3">
        <v>40275</v>
      </c>
      <c r="AG1396" s="4">
        <v>0.40625</v>
      </c>
      <c r="AH1396" s="2">
        <v>6</v>
      </c>
      <c r="AI1396" s="2" t="s">
        <v>197</v>
      </c>
      <c r="AJ1396" s="2">
        <v>60</v>
      </c>
      <c r="AK1396" s="2" t="s">
        <v>543</v>
      </c>
      <c r="AL1396" s="2">
        <v>23</v>
      </c>
      <c r="AM1396" s="2" t="s">
        <v>251</v>
      </c>
      <c r="AN1396" s="2"/>
      <c r="AO1396" s="2" t="s">
        <v>5154</v>
      </c>
      <c r="AP1396" s="2">
        <v>11</v>
      </c>
      <c r="AQ1396" s="2" t="s">
        <v>82</v>
      </c>
      <c r="AR1396" s="2" t="s">
        <v>82</v>
      </c>
      <c r="AS1396" s="2" t="s">
        <v>82</v>
      </c>
      <c r="AT1396" s="2" t="s">
        <v>5155</v>
      </c>
      <c r="AU1396" s="2"/>
      <c r="AV1396" s="2"/>
      <c r="AW1396" s="2"/>
      <c r="AX1396" s="2"/>
      <c r="AY1396" s="2">
        <v>41</v>
      </c>
      <c r="AZ1396" s="2" t="s">
        <v>82</v>
      </c>
      <c r="BA1396" s="2">
        <v>41</v>
      </c>
      <c r="BB1396" s="2" t="s">
        <v>82</v>
      </c>
      <c r="BC1396" s="2">
        <v>41</v>
      </c>
      <c r="BD1396" s="2" t="s">
        <v>82</v>
      </c>
      <c r="BE1396" s="2">
        <v>41</v>
      </c>
      <c r="BF1396" s="2" t="s">
        <v>82</v>
      </c>
      <c r="BG1396" s="2" t="s">
        <v>82</v>
      </c>
      <c r="BH1396" s="2"/>
      <c r="BI1396" s="2"/>
      <c r="BJ1396" s="2">
        <v>241</v>
      </c>
      <c r="BK1396" s="2" t="s">
        <v>82</v>
      </c>
      <c r="BL1396" s="2" t="s">
        <v>82</v>
      </c>
      <c r="BM1396" s="2">
        <v>241</v>
      </c>
      <c r="BN1396" s="2" t="s">
        <v>82</v>
      </c>
      <c r="BO1396" s="2" t="s">
        <v>82</v>
      </c>
      <c r="BP1396" s="2">
        <v>241</v>
      </c>
      <c r="BQ1396" s="2" t="s">
        <v>82</v>
      </c>
      <c r="BR1396" s="2" t="s">
        <v>82</v>
      </c>
      <c r="BS1396" s="3">
        <v>40275</v>
      </c>
      <c r="BT1396" s="4">
        <v>0.45187500000000003</v>
      </c>
    </row>
    <row r="1397" spans="1:72" x14ac:dyDescent="0.25">
      <c r="A1397" s="2">
        <v>2079</v>
      </c>
      <c r="B1397" s="2">
        <v>2010</v>
      </c>
      <c r="C1397" s="2" t="s">
        <v>171</v>
      </c>
      <c r="D1397" s="2" t="s">
        <v>73</v>
      </c>
      <c r="E1397" s="2"/>
      <c r="F1397" s="2">
        <v>399</v>
      </c>
      <c r="G1397" s="2" t="s">
        <v>587</v>
      </c>
      <c r="H1397" s="2">
        <v>14</v>
      </c>
      <c r="I1397" s="2" t="s">
        <v>1458</v>
      </c>
      <c r="J1397" s="2">
        <v>242</v>
      </c>
      <c r="K1397" s="2" t="s">
        <v>1077</v>
      </c>
      <c r="L1397" s="2" t="s">
        <v>1078</v>
      </c>
      <c r="M1397" s="3">
        <v>40275</v>
      </c>
      <c r="N1397" s="2" t="s">
        <v>4688</v>
      </c>
      <c r="O1397" s="2" t="s">
        <v>5156</v>
      </c>
      <c r="P1397" s="2">
        <v>6814</v>
      </c>
      <c r="Q1397" s="2" t="str">
        <f>"176E/10"</f>
        <v>176E/10</v>
      </c>
      <c r="R1397" s="2"/>
      <c r="S1397" s="2" t="s">
        <v>5157</v>
      </c>
      <c r="T1397" s="2">
        <v>1</v>
      </c>
      <c r="U1397" s="2" t="s">
        <v>79</v>
      </c>
      <c r="V1397" s="2">
        <v>3</v>
      </c>
      <c r="W1397" s="2" t="s">
        <v>225</v>
      </c>
      <c r="X1397" s="2">
        <v>2</v>
      </c>
      <c r="Y1397" s="2" t="s">
        <v>136</v>
      </c>
      <c r="Z1397" s="2">
        <v>10</v>
      </c>
      <c r="AA1397" s="2" t="s">
        <v>236</v>
      </c>
      <c r="AB1397" s="2">
        <v>9</v>
      </c>
      <c r="AC1397" s="2" t="s">
        <v>124</v>
      </c>
      <c r="AD1397" s="3">
        <v>40275</v>
      </c>
      <c r="AE1397" s="4">
        <v>0.45833333333333331</v>
      </c>
      <c r="AF1397" s="2"/>
      <c r="AG1397" s="2"/>
      <c r="AH1397" s="2">
        <v>2</v>
      </c>
      <c r="AI1397" s="2" t="s">
        <v>84</v>
      </c>
      <c r="AJ1397" s="2">
        <v>6</v>
      </c>
      <c r="AK1397" s="2" t="s">
        <v>453</v>
      </c>
      <c r="AL1397" s="2">
        <v>19</v>
      </c>
      <c r="AM1397" s="2" t="s">
        <v>107</v>
      </c>
      <c r="AN1397" s="2" t="s">
        <v>82</v>
      </c>
      <c r="AO1397" s="2" t="s">
        <v>82</v>
      </c>
      <c r="AP1397" s="2">
        <v>11</v>
      </c>
      <c r="AQ1397" s="2" t="s">
        <v>82</v>
      </c>
      <c r="AR1397" s="2"/>
      <c r="AS1397" s="2"/>
      <c r="AT1397" s="2" t="s">
        <v>5158</v>
      </c>
      <c r="AU1397" s="2"/>
      <c r="AV1397" s="2"/>
      <c r="AW1397" s="2"/>
      <c r="AX1397" s="2"/>
      <c r="AY1397" s="2">
        <v>42</v>
      </c>
      <c r="AZ1397" s="2" t="s">
        <v>182</v>
      </c>
      <c r="BA1397" s="2">
        <v>70</v>
      </c>
      <c r="BB1397" s="2" t="s">
        <v>236</v>
      </c>
      <c r="BC1397" s="2">
        <v>70</v>
      </c>
      <c r="BD1397" s="2" t="s">
        <v>236</v>
      </c>
      <c r="BE1397" s="2">
        <v>41</v>
      </c>
      <c r="BF1397" s="2" t="s">
        <v>82</v>
      </c>
      <c r="BG1397" s="2"/>
      <c r="BH1397" s="2"/>
      <c r="BI1397" s="2"/>
      <c r="BJ1397" s="2">
        <v>241</v>
      </c>
      <c r="BK1397" s="2" t="s">
        <v>82</v>
      </c>
      <c r="BL1397" s="2"/>
      <c r="BM1397" s="2">
        <v>241</v>
      </c>
      <c r="BN1397" s="2" t="s">
        <v>82</v>
      </c>
      <c r="BO1397" s="2"/>
      <c r="BP1397" s="2">
        <v>241</v>
      </c>
      <c r="BQ1397" s="2" t="s">
        <v>82</v>
      </c>
      <c r="BR1397" s="2"/>
      <c r="BS1397" s="3">
        <v>40275</v>
      </c>
      <c r="BT1397" s="4">
        <v>0.4926388888888889</v>
      </c>
    </row>
    <row r="1398" spans="1:72" x14ac:dyDescent="0.25">
      <c r="A1398" s="2">
        <v>2080</v>
      </c>
      <c r="B1398" s="2">
        <v>2010</v>
      </c>
      <c r="C1398" s="2" t="s">
        <v>196</v>
      </c>
      <c r="D1398" s="2" t="s">
        <v>122</v>
      </c>
      <c r="E1398" s="2"/>
      <c r="F1398" s="2">
        <v>1</v>
      </c>
      <c r="G1398" s="2" t="s">
        <v>82</v>
      </c>
      <c r="H1398" s="2">
        <v>1</v>
      </c>
      <c r="I1398" s="2" t="s">
        <v>82</v>
      </c>
      <c r="J1398" s="2">
        <v>1</v>
      </c>
      <c r="K1398" s="2" t="s">
        <v>107</v>
      </c>
      <c r="L1398" s="2" t="s">
        <v>107</v>
      </c>
      <c r="M1398" s="3">
        <v>40275</v>
      </c>
      <c r="N1398" s="2"/>
      <c r="O1398" s="2"/>
      <c r="P1398" s="2"/>
      <c r="Q1398" s="2" t="str">
        <f>""</f>
        <v/>
      </c>
      <c r="R1398" s="2"/>
      <c r="S1398" s="2"/>
      <c r="T1398" s="2">
        <v>2</v>
      </c>
      <c r="U1398" s="2" t="s">
        <v>123</v>
      </c>
      <c r="V1398" s="2">
        <v>1</v>
      </c>
      <c r="W1398" s="2" t="s">
        <v>80</v>
      </c>
      <c r="X1398" s="2">
        <v>1</v>
      </c>
      <c r="Y1398" s="2" t="s">
        <v>81</v>
      </c>
      <c r="Z1398" s="2">
        <v>10</v>
      </c>
      <c r="AA1398" s="2" t="s">
        <v>236</v>
      </c>
      <c r="AB1398" s="2">
        <v>9</v>
      </c>
      <c r="AC1398" s="2" t="s">
        <v>124</v>
      </c>
      <c r="AD1398" s="3">
        <v>40275</v>
      </c>
      <c r="AE1398" s="4">
        <v>0.375</v>
      </c>
      <c r="AF1398" s="2"/>
      <c r="AG1398" s="2"/>
      <c r="AH1398" s="2">
        <v>2</v>
      </c>
      <c r="AI1398" s="2" t="s">
        <v>84</v>
      </c>
      <c r="AJ1398" s="2">
        <v>12</v>
      </c>
      <c r="AK1398" s="2" t="s">
        <v>85</v>
      </c>
      <c r="AL1398" s="2">
        <v>20</v>
      </c>
      <c r="AM1398" s="2" t="s">
        <v>992</v>
      </c>
      <c r="AN1398" s="2" t="s">
        <v>82</v>
      </c>
      <c r="AO1398" s="2" t="s">
        <v>992</v>
      </c>
      <c r="AP1398" s="2">
        <v>11</v>
      </c>
      <c r="AQ1398" s="2" t="s">
        <v>82</v>
      </c>
      <c r="AR1398" s="2"/>
      <c r="AS1398" s="2"/>
      <c r="AT1398" s="2" t="s">
        <v>5159</v>
      </c>
      <c r="AU1398" s="2"/>
      <c r="AV1398" s="2"/>
      <c r="AW1398" s="2"/>
      <c r="AX1398" s="2"/>
      <c r="AY1398" s="2">
        <v>41</v>
      </c>
      <c r="AZ1398" s="2" t="s">
        <v>82</v>
      </c>
      <c r="BA1398" s="2">
        <v>41</v>
      </c>
      <c r="BB1398" s="2" t="s">
        <v>82</v>
      </c>
      <c r="BC1398" s="2">
        <v>41</v>
      </c>
      <c r="BD1398" s="2" t="s">
        <v>82</v>
      </c>
      <c r="BE1398" s="2">
        <v>41</v>
      </c>
      <c r="BF1398" s="2" t="s">
        <v>82</v>
      </c>
      <c r="BG1398" s="2"/>
      <c r="BH1398" s="2"/>
      <c r="BI1398" s="2"/>
      <c r="BJ1398" s="2">
        <v>13</v>
      </c>
      <c r="BK1398" s="2" t="s">
        <v>91</v>
      </c>
      <c r="BL1398" s="2" t="s">
        <v>185</v>
      </c>
      <c r="BM1398" s="2">
        <v>241</v>
      </c>
      <c r="BN1398" s="2" t="s">
        <v>82</v>
      </c>
      <c r="BO1398" s="2" t="s">
        <v>82</v>
      </c>
      <c r="BP1398" s="2">
        <v>13</v>
      </c>
      <c r="BQ1398" s="2" t="s">
        <v>91</v>
      </c>
      <c r="BR1398" s="2" t="s">
        <v>5160</v>
      </c>
      <c r="BS1398" s="3">
        <v>40275</v>
      </c>
      <c r="BT1398" s="4">
        <v>0.4931828703703704</v>
      </c>
    </row>
    <row r="1399" spans="1:72" x14ac:dyDescent="0.25">
      <c r="A1399" s="2">
        <v>2081</v>
      </c>
      <c r="B1399" s="2">
        <v>2010</v>
      </c>
      <c r="C1399" s="2" t="s">
        <v>377</v>
      </c>
      <c r="D1399" s="2" t="s">
        <v>73</v>
      </c>
      <c r="E1399" s="2"/>
      <c r="F1399" s="2">
        <v>426</v>
      </c>
      <c r="G1399" s="2" t="s">
        <v>378</v>
      </c>
      <c r="H1399" s="2">
        <v>22</v>
      </c>
      <c r="I1399" s="2" t="s">
        <v>75</v>
      </c>
      <c r="J1399" s="2">
        <v>311</v>
      </c>
      <c r="K1399" s="2" t="s">
        <v>379</v>
      </c>
      <c r="L1399" s="2" t="s">
        <v>380</v>
      </c>
      <c r="M1399" s="3">
        <v>40275</v>
      </c>
      <c r="N1399" s="2" t="s">
        <v>4007</v>
      </c>
      <c r="O1399" s="2" t="s">
        <v>107</v>
      </c>
      <c r="P1399" s="2" t="s">
        <v>107</v>
      </c>
      <c r="Q1399" s="2" t="str">
        <f>"046-C/10"</f>
        <v>046-C/10</v>
      </c>
      <c r="R1399" s="2" t="s">
        <v>5161</v>
      </c>
      <c r="S1399" s="2" t="s">
        <v>5162</v>
      </c>
      <c r="T1399" s="2">
        <v>1</v>
      </c>
      <c r="U1399" s="2" t="s">
        <v>79</v>
      </c>
      <c r="V1399" s="2">
        <v>1</v>
      </c>
      <c r="W1399" s="2" t="s">
        <v>80</v>
      </c>
      <c r="X1399" s="2">
        <v>1</v>
      </c>
      <c r="Y1399" s="2" t="s">
        <v>81</v>
      </c>
      <c r="Z1399" s="2">
        <v>10</v>
      </c>
      <c r="AA1399" s="2" t="s">
        <v>236</v>
      </c>
      <c r="AB1399" s="2">
        <v>9</v>
      </c>
      <c r="AC1399" s="2" t="s">
        <v>124</v>
      </c>
      <c r="AD1399" s="3">
        <v>40274</v>
      </c>
      <c r="AE1399" s="4">
        <v>0.52083333333333337</v>
      </c>
      <c r="AF1399" s="2"/>
      <c r="AG1399" s="2"/>
      <c r="AH1399" s="2">
        <v>2</v>
      </c>
      <c r="AI1399" s="2" t="s">
        <v>84</v>
      </c>
      <c r="AJ1399" s="2">
        <v>9</v>
      </c>
      <c r="AK1399" s="2" t="s">
        <v>103</v>
      </c>
      <c r="AL1399" s="2">
        <v>21</v>
      </c>
      <c r="AM1399" s="2" t="s">
        <v>1311</v>
      </c>
      <c r="AN1399" s="2"/>
      <c r="AO1399" s="2" t="s">
        <v>987</v>
      </c>
      <c r="AP1399" s="2">
        <v>11</v>
      </c>
      <c r="AQ1399" s="2" t="s">
        <v>82</v>
      </c>
      <c r="AR1399" s="2" t="s">
        <v>82</v>
      </c>
      <c r="AS1399" s="2" t="s">
        <v>82</v>
      </c>
      <c r="AT1399" s="2" t="s">
        <v>5163</v>
      </c>
      <c r="AU1399" s="2"/>
      <c r="AV1399" s="2"/>
      <c r="AW1399" s="2"/>
      <c r="AX1399" s="2"/>
      <c r="AY1399" s="2">
        <v>41</v>
      </c>
      <c r="AZ1399" s="2" t="s">
        <v>82</v>
      </c>
      <c r="BA1399" s="2">
        <v>41</v>
      </c>
      <c r="BB1399" s="2" t="s">
        <v>82</v>
      </c>
      <c r="BC1399" s="2">
        <v>41</v>
      </c>
      <c r="BD1399" s="2" t="s">
        <v>82</v>
      </c>
      <c r="BE1399" s="2">
        <v>41</v>
      </c>
      <c r="BF1399" s="2" t="s">
        <v>82</v>
      </c>
      <c r="BG1399" s="2" t="s">
        <v>82</v>
      </c>
      <c r="BH1399" s="2"/>
      <c r="BI1399" s="2"/>
      <c r="BJ1399" s="2">
        <v>241</v>
      </c>
      <c r="BK1399" s="2" t="s">
        <v>82</v>
      </c>
      <c r="BL1399" s="2" t="s">
        <v>82</v>
      </c>
      <c r="BM1399" s="2">
        <v>241</v>
      </c>
      <c r="BN1399" s="2" t="s">
        <v>82</v>
      </c>
      <c r="BO1399" s="2" t="s">
        <v>82</v>
      </c>
      <c r="BP1399" s="2">
        <v>241</v>
      </c>
      <c r="BQ1399" s="2" t="s">
        <v>82</v>
      </c>
      <c r="BR1399" s="2" t="s">
        <v>82</v>
      </c>
      <c r="BS1399" s="3">
        <v>40275</v>
      </c>
      <c r="BT1399" s="4">
        <v>0.49906249999999996</v>
      </c>
    </row>
    <row r="1400" spans="1:72" x14ac:dyDescent="0.25">
      <c r="A1400" s="2">
        <v>2082</v>
      </c>
      <c r="B1400" s="2">
        <v>2010</v>
      </c>
      <c r="C1400" s="2" t="s">
        <v>377</v>
      </c>
      <c r="D1400" s="2" t="s">
        <v>73</v>
      </c>
      <c r="E1400" s="2"/>
      <c r="F1400" s="2">
        <v>426</v>
      </c>
      <c r="G1400" s="2" t="s">
        <v>378</v>
      </c>
      <c r="H1400" s="2">
        <v>22</v>
      </c>
      <c r="I1400" s="2" t="s">
        <v>75</v>
      </c>
      <c r="J1400" s="2">
        <v>311</v>
      </c>
      <c r="K1400" s="2" t="s">
        <v>379</v>
      </c>
      <c r="L1400" s="2" t="s">
        <v>380</v>
      </c>
      <c r="M1400" s="3">
        <v>40275</v>
      </c>
      <c r="N1400" s="2" t="s">
        <v>5164</v>
      </c>
      <c r="O1400" s="2"/>
      <c r="P1400" s="2" t="s">
        <v>107</v>
      </c>
      <c r="Q1400" s="2" t="str">
        <f>"047-C/10"</f>
        <v>047-C/10</v>
      </c>
      <c r="R1400" s="2" t="s">
        <v>5165</v>
      </c>
      <c r="S1400" s="2" t="s">
        <v>5166</v>
      </c>
      <c r="T1400" s="2">
        <v>1</v>
      </c>
      <c r="U1400" s="2" t="s">
        <v>79</v>
      </c>
      <c r="V1400" s="2">
        <v>1</v>
      </c>
      <c r="W1400" s="2" t="s">
        <v>80</v>
      </c>
      <c r="X1400" s="2">
        <v>1</v>
      </c>
      <c r="Y1400" s="2" t="s">
        <v>81</v>
      </c>
      <c r="Z1400" s="2">
        <v>1</v>
      </c>
      <c r="AA1400" s="2" t="s">
        <v>82</v>
      </c>
      <c r="AB1400" s="2">
        <v>9</v>
      </c>
      <c r="AC1400" s="2" t="s">
        <v>124</v>
      </c>
      <c r="AD1400" s="3">
        <v>40274</v>
      </c>
      <c r="AE1400" s="4">
        <v>0.75</v>
      </c>
      <c r="AF1400" s="2"/>
      <c r="AG1400" s="2"/>
      <c r="AH1400" s="2">
        <v>2</v>
      </c>
      <c r="AI1400" s="2" t="s">
        <v>84</v>
      </c>
      <c r="AJ1400" s="2">
        <v>9</v>
      </c>
      <c r="AK1400" s="2" t="s">
        <v>103</v>
      </c>
      <c r="AL1400" s="2">
        <v>12</v>
      </c>
      <c r="AM1400" s="2" t="s">
        <v>86</v>
      </c>
      <c r="AN1400" s="2" t="s">
        <v>5167</v>
      </c>
      <c r="AO1400" s="2" t="s">
        <v>82</v>
      </c>
      <c r="AP1400" s="2">
        <v>11</v>
      </c>
      <c r="AQ1400" s="2" t="s">
        <v>82</v>
      </c>
      <c r="AR1400" s="2"/>
      <c r="AS1400" s="2"/>
      <c r="AT1400" s="2" t="s">
        <v>5168</v>
      </c>
      <c r="AU1400" s="2"/>
      <c r="AV1400" s="2"/>
      <c r="AW1400" s="2"/>
      <c r="AX1400" s="2"/>
      <c r="AY1400" s="2">
        <v>41</v>
      </c>
      <c r="AZ1400" s="2" t="s">
        <v>82</v>
      </c>
      <c r="BA1400" s="2">
        <v>41</v>
      </c>
      <c r="BB1400" s="2" t="s">
        <v>82</v>
      </c>
      <c r="BC1400" s="2">
        <v>41</v>
      </c>
      <c r="BD1400" s="2" t="s">
        <v>82</v>
      </c>
      <c r="BE1400" s="2">
        <v>41</v>
      </c>
      <c r="BF1400" s="2" t="s">
        <v>82</v>
      </c>
      <c r="BG1400" s="2"/>
      <c r="BH1400" s="2"/>
      <c r="BI1400" s="2"/>
      <c r="BJ1400" s="2">
        <v>241</v>
      </c>
      <c r="BK1400" s="2" t="s">
        <v>82</v>
      </c>
      <c r="BL1400" s="2"/>
      <c r="BM1400" s="2">
        <v>241</v>
      </c>
      <c r="BN1400" s="2" t="s">
        <v>82</v>
      </c>
      <c r="BO1400" s="2"/>
      <c r="BP1400" s="2">
        <v>241</v>
      </c>
      <c r="BQ1400" s="2" t="s">
        <v>82</v>
      </c>
      <c r="BR1400" s="2"/>
      <c r="BS1400" s="3">
        <v>40275</v>
      </c>
      <c r="BT1400" s="4">
        <v>0.51023148148148145</v>
      </c>
    </row>
    <row r="1401" spans="1:72" x14ac:dyDescent="0.25">
      <c r="A1401" s="2">
        <v>2083</v>
      </c>
      <c r="B1401" s="2">
        <v>2010</v>
      </c>
      <c r="C1401" s="2" t="s">
        <v>72</v>
      </c>
      <c r="D1401" s="2" t="s">
        <v>73</v>
      </c>
      <c r="E1401" s="2"/>
      <c r="F1401" s="2">
        <v>389</v>
      </c>
      <c r="G1401" s="2" t="s">
        <v>1819</v>
      </c>
      <c r="H1401" s="2">
        <v>3</v>
      </c>
      <c r="I1401" s="2" t="s">
        <v>315</v>
      </c>
      <c r="J1401" s="2">
        <v>399</v>
      </c>
      <c r="K1401" s="2" t="s">
        <v>1820</v>
      </c>
      <c r="L1401" s="2" t="s">
        <v>1821</v>
      </c>
      <c r="M1401" s="3">
        <v>40275</v>
      </c>
      <c r="N1401" s="2" t="s">
        <v>4976</v>
      </c>
      <c r="O1401" s="2"/>
      <c r="P1401" s="2"/>
      <c r="Q1401" s="2" t="str">
        <f>"187-E/10"</f>
        <v>187-E/10</v>
      </c>
      <c r="R1401" s="2" t="s">
        <v>601</v>
      </c>
      <c r="S1401" s="2" t="s">
        <v>601</v>
      </c>
      <c r="T1401" s="2">
        <v>1</v>
      </c>
      <c r="U1401" s="2" t="s">
        <v>79</v>
      </c>
      <c r="V1401" s="2">
        <v>1</v>
      </c>
      <c r="W1401" s="2" t="s">
        <v>80</v>
      </c>
      <c r="X1401" s="2">
        <v>1</v>
      </c>
      <c r="Y1401" s="2" t="s">
        <v>81</v>
      </c>
      <c r="Z1401" s="2">
        <v>1</v>
      </c>
      <c r="AA1401" s="2" t="s">
        <v>82</v>
      </c>
      <c r="AB1401" s="2">
        <v>6</v>
      </c>
      <c r="AC1401" s="2" t="s">
        <v>83</v>
      </c>
      <c r="AD1401" s="3">
        <v>40275</v>
      </c>
      <c r="AE1401" s="4">
        <v>0.375</v>
      </c>
      <c r="AF1401" s="3">
        <v>40275</v>
      </c>
      <c r="AG1401" s="4">
        <v>0.41666666666666669</v>
      </c>
      <c r="AH1401" s="2">
        <v>2</v>
      </c>
      <c r="AI1401" s="2" t="s">
        <v>84</v>
      </c>
      <c r="AJ1401" s="2">
        <v>9</v>
      </c>
      <c r="AK1401" s="2" t="s">
        <v>103</v>
      </c>
      <c r="AL1401" s="2">
        <v>10</v>
      </c>
      <c r="AM1401" s="2" t="s">
        <v>200</v>
      </c>
      <c r="AN1401" s="2" t="s">
        <v>82</v>
      </c>
      <c r="AO1401" s="2" t="s">
        <v>82</v>
      </c>
      <c r="AP1401" s="2">
        <v>11</v>
      </c>
      <c r="AQ1401" s="2" t="s">
        <v>82</v>
      </c>
      <c r="AR1401" s="2"/>
      <c r="AS1401" s="2"/>
      <c r="AT1401" s="2" t="s">
        <v>5169</v>
      </c>
      <c r="AU1401" s="2"/>
      <c r="AV1401" s="2"/>
      <c r="AW1401" s="2"/>
      <c r="AX1401" s="2"/>
      <c r="AY1401" s="2">
        <v>41</v>
      </c>
      <c r="AZ1401" s="2" t="s">
        <v>82</v>
      </c>
      <c r="BA1401" s="2">
        <v>41</v>
      </c>
      <c r="BB1401" s="2" t="s">
        <v>82</v>
      </c>
      <c r="BC1401" s="2">
        <v>41</v>
      </c>
      <c r="BD1401" s="2" t="s">
        <v>82</v>
      </c>
      <c r="BE1401" s="2">
        <v>31</v>
      </c>
      <c r="BF1401" s="2" t="s">
        <v>398</v>
      </c>
      <c r="BG1401" s="2" t="s">
        <v>1800</v>
      </c>
      <c r="BH1401" s="4">
        <v>0.35416666666666669</v>
      </c>
      <c r="BI1401" s="4">
        <v>0</v>
      </c>
      <c r="BJ1401" s="2">
        <v>111</v>
      </c>
      <c r="BK1401" s="2" t="s">
        <v>5170</v>
      </c>
      <c r="BL1401" s="2" t="s">
        <v>5171</v>
      </c>
      <c r="BM1401" s="2">
        <v>73</v>
      </c>
      <c r="BN1401" s="2" t="s">
        <v>186</v>
      </c>
      <c r="BO1401" s="2" t="s">
        <v>187</v>
      </c>
      <c r="BP1401" s="2">
        <v>13</v>
      </c>
      <c r="BQ1401" s="2" t="s">
        <v>91</v>
      </c>
      <c r="BR1401" s="2" t="s">
        <v>1084</v>
      </c>
      <c r="BS1401" s="3">
        <v>40275</v>
      </c>
      <c r="BT1401" s="4">
        <v>0.5113657407407407</v>
      </c>
    </row>
    <row r="1402" spans="1:72" x14ac:dyDescent="0.25">
      <c r="A1402" s="2">
        <v>2084</v>
      </c>
      <c r="B1402" s="2">
        <v>2010</v>
      </c>
      <c r="C1402" s="2" t="s">
        <v>147</v>
      </c>
      <c r="D1402" s="2" t="s">
        <v>73</v>
      </c>
      <c r="E1402" s="2"/>
      <c r="F1402" s="2">
        <v>1</v>
      </c>
      <c r="G1402" s="2" t="s">
        <v>82</v>
      </c>
      <c r="H1402" s="2">
        <v>1</v>
      </c>
      <c r="I1402" s="2" t="s">
        <v>82</v>
      </c>
      <c r="J1402" s="2">
        <v>1</v>
      </c>
      <c r="K1402" s="2" t="s">
        <v>107</v>
      </c>
      <c r="L1402" s="2" t="s">
        <v>107</v>
      </c>
      <c r="M1402" s="3">
        <v>40275</v>
      </c>
      <c r="N1402" s="2"/>
      <c r="O1402" s="2"/>
      <c r="P1402" s="2"/>
      <c r="Q1402" s="2" t="str">
        <f>""</f>
        <v/>
      </c>
      <c r="R1402" s="2"/>
      <c r="S1402" s="2"/>
      <c r="T1402" s="2">
        <v>2</v>
      </c>
      <c r="U1402" s="2" t="s">
        <v>123</v>
      </c>
      <c r="V1402" s="2">
        <v>1</v>
      </c>
      <c r="W1402" s="2" t="s">
        <v>80</v>
      </c>
      <c r="X1402" s="2">
        <v>12</v>
      </c>
      <c r="Y1402" s="2" t="s">
        <v>148</v>
      </c>
      <c r="Z1402" s="2">
        <v>1</v>
      </c>
      <c r="AA1402" s="2" t="s">
        <v>82</v>
      </c>
      <c r="AB1402" s="2">
        <v>9</v>
      </c>
      <c r="AC1402" s="2" t="s">
        <v>124</v>
      </c>
      <c r="AD1402" s="2"/>
      <c r="AE1402" s="2"/>
      <c r="AF1402" s="3">
        <v>40275</v>
      </c>
      <c r="AG1402" s="4">
        <v>0.47569444444444442</v>
      </c>
      <c r="AH1402" s="2">
        <v>3</v>
      </c>
      <c r="AI1402" s="2" t="s">
        <v>214</v>
      </c>
      <c r="AJ1402" s="2">
        <v>24</v>
      </c>
      <c r="AK1402" s="2" t="s">
        <v>215</v>
      </c>
      <c r="AL1402" s="2">
        <v>19</v>
      </c>
      <c r="AM1402" s="2" t="s">
        <v>107</v>
      </c>
      <c r="AN1402" s="2"/>
      <c r="AO1402" s="2"/>
      <c r="AP1402" s="2">
        <v>11</v>
      </c>
      <c r="AQ1402" s="2" t="s">
        <v>82</v>
      </c>
      <c r="AR1402" s="2"/>
      <c r="AS1402" s="2"/>
      <c r="AT1402" s="2" t="s">
        <v>5172</v>
      </c>
      <c r="AU1402" s="2"/>
      <c r="AV1402" s="2"/>
      <c r="AW1402" s="2"/>
      <c r="AX1402" s="2"/>
      <c r="AY1402" s="2">
        <v>70</v>
      </c>
      <c r="AZ1402" s="2" t="s">
        <v>236</v>
      </c>
      <c r="BA1402" s="2">
        <v>41</v>
      </c>
      <c r="BB1402" s="2" t="s">
        <v>82</v>
      </c>
      <c r="BC1402" s="2">
        <v>41</v>
      </c>
      <c r="BD1402" s="2" t="s">
        <v>82</v>
      </c>
      <c r="BE1402" s="2">
        <v>41</v>
      </c>
      <c r="BF1402" s="2" t="s">
        <v>82</v>
      </c>
      <c r="BG1402" s="2"/>
      <c r="BH1402" s="2"/>
      <c r="BI1402" s="2"/>
      <c r="BJ1402" s="2">
        <v>241</v>
      </c>
      <c r="BK1402" s="2" t="s">
        <v>82</v>
      </c>
      <c r="BL1402" s="2"/>
      <c r="BM1402" s="2">
        <v>241</v>
      </c>
      <c r="BN1402" s="2" t="s">
        <v>82</v>
      </c>
      <c r="BO1402" s="2"/>
      <c r="BP1402" s="2">
        <v>241</v>
      </c>
      <c r="BQ1402" s="2" t="s">
        <v>82</v>
      </c>
      <c r="BR1402" s="2"/>
      <c r="BS1402" s="3">
        <v>40275</v>
      </c>
      <c r="BT1402" s="4">
        <v>0.52546296296296291</v>
      </c>
    </row>
    <row r="1403" spans="1:72" x14ac:dyDescent="0.25">
      <c r="A1403" s="2">
        <v>2087</v>
      </c>
      <c r="B1403" s="2">
        <v>2010</v>
      </c>
      <c r="C1403" s="2" t="s">
        <v>171</v>
      </c>
      <c r="D1403" s="2" t="s">
        <v>73</v>
      </c>
      <c r="E1403" s="2"/>
      <c r="F1403" s="2">
        <v>400</v>
      </c>
      <c r="G1403" s="2" t="s">
        <v>3601</v>
      </c>
      <c r="H1403" s="2">
        <v>16</v>
      </c>
      <c r="I1403" s="2" t="s">
        <v>3027</v>
      </c>
      <c r="J1403" s="2">
        <v>316</v>
      </c>
      <c r="K1403" s="2" t="s">
        <v>574</v>
      </c>
      <c r="L1403" s="2" t="s">
        <v>575</v>
      </c>
      <c r="M1403" s="3">
        <v>40275</v>
      </c>
      <c r="N1403" s="2" t="s">
        <v>5173</v>
      </c>
      <c r="O1403" s="2" t="s">
        <v>5174</v>
      </c>
      <c r="P1403" s="2">
        <v>5020</v>
      </c>
      <c r="Q1403" s="2" t="str">
        <f>"180E/10"</f>
        <v>180E/10</v>
      </c>
      <c r="R1403" s="2"/>
      <c r="S1403" s="2" t="s">
        <v>5175</v>
      </c>
      <c r="T1403" s="2">
        <v>1</v>
      </c>
      <c r="U1403" s="2" t="s">
        <v>79</v>
      </c>
      <c r="V1403" s="2">
        <v>3</v>
      </c>
      <c r="W1403" s="2" t="s">
        <v>225</v>
      </c>
      <c r="X1403" s="2">
        <v>6</v>
      </c>
      <c r="Y1403" s="2" t="s">
        <v>249</v>
      </c>
      <c r="Z1403" s="2">
        <v>10</v>
      </c>
      <c r="AA1403" s="2" t="s">
        <v>236</v>
      </c>
      <c r="AB1403" s="2">
        <v>9</v>
      </c>
      <c r="AC1403" s="2" t="s">
        <v>124</v>
      </c>
      <c r="AD1403" s="3">
        <v>40275</v>
      </c>
      <c r="AE1403" s="4">
        <v>0.5</v>
      </c>
      <c r="AF1403" s="2"/>
      <c r="AG1403" s="2"/>
      <c r="AH1403" s="2">
        <v>2</v>
      </c>
      <c r="AI1403" s="2" t="s">
        <v>84</v>
      </c>
      <c r="AJ1403" s="2">
        <v>6</v>
      </c>
      <c r="AK1403" s="2" t="s">
        <v>453</v>
      </c>
      <c r="AL1403" s="2">
        <v>19</v>
      </c>
      <c r="AM1403" s="2" t="s">
        <v>107</v>
      </c>
      <c r="AN1403" s="2" t="s">
        <v>5176</v>
      </c>
      <c r="AO1403" s="2" t="s">
        <v>1394</v>
      </c>
      <c r="AP1403" s="2">
        <v>11</v>
      </c>
      <c r="AQ1403" s="2" t="s">
        <v>82</v>
      </c>
      <c r="AR1403" s="2"/>
      <c r="AS1403" s="2"/>
      <c r="AT1403" s="2" t="s">
        <v>5177</v>
      </c>
      <c r="AU1403" s="2"/>
      <c r="AV1403" s="2"/>
      <c r="AW1403" s="2"/>
      <c r="AX1403" s="2"/>
      <c r="AY1403" s="2">
        <v>42</v>
      </c>
      <c r="AZ1403" s="2" t="s">
        <v>182</v>
      </c>
      <c r="BA1403" s="2">
        <v>70</v>
      </c>
      <c r="BB1403" s="2" t="s">
        <v>236</v>
      </c>
      <c r="BC1403" s="2">
        <v>70</v>
      </c>
      <c r="BD1403" s="2" t="s">
        <v>236</v>
      </c>
      <c r="BE1403" s="2">
        <v>41</v>
      </c>
      <c r="BF1403" s="2" t="s">
        <v>82</v>
      </c>
      <c r="BG1403" s="2"/>
      <c r="BH1403" s="2"/>
      <c r="BI1403" s="2"/>
      <c r="BJ1403" s="2">
        <v>241</v>
      </c>
      <c r="BK1403" s="2" t="s">
        <v>82</v>
      </c>
      <c r="BL1403" s="2"/>
      <c r="BM1403" s="2">
        <v>241</v>
      </c>
      <c r="BN1403" s="2" t="s">
        <v>82</v>
      </c>
      <c r="BO1403" s="2"/>
      <c r="BP1403" s="2">
        <v>241</v>
      </c>
      <c r="BQ1403" s="2" t="s">
        <v>82</v>
      </c>
      <c r="BR1403" s="2"/>
      <c r="BS1403" s="3">
        <v>40275</v>
      </c>
      <c r="BT1403" s="4">
        <v>0.53726851851851853</v>
      </c>
    </row>
    <row r="1404" spans="1:72" x14ac:dyDescent="0.25">
      <c r="A1404" s="2">
        <v>2089</v>
      </c>
      <c r="B1404" s="2">
        <v>2010</v>
      </c>
      <c r="C1404" s="2" t="s">
        <v>121</v>
      </c>
      <c r="D1404" s="2" t="s">
        <v>122</v>
      </c>
      <c r="E1404" s="2"/>
      <c r="F1404" s="2">
        <v>1</v>
      </c>
      <c r="G1404" s="2" t="s">
        <v>82</v>
      </c>
      <c r="H1404" s="2">
        <v>1</v>
      </c>
      <c r="I1404" s="2" t="s">
        <v>82</v>
      </c>
      <c r="J1404" s="2">
        <v>1</v>
      </c>
      <c r="K1404" s="2" t="s">
        <v>107</v>
      </c>
      <c r="L1404" s="2" t="s">
        <v>107</v>
      </c>
      <c r="M1404" s="3">
        <v>40275</v>
      </c>
      <c r="N1404" s="2"/>
      <c r="O1404" s="2"/>
      <c r="P1404" s="2"/>
      <c r="Q1404" s="2" t="str">
        <f>""</f>
        <v/>
      </c>
      <c r="R1404" s="2"/>
      <c r="S1404" s="2"/>
      <c r="T1404" s="2">
        <v>2</v>
      </c>
      <c r="U1404" s="2" t="s">
        <v>123</v>
      </c>
      <c r="V1404" s="2">
        <v>1</v>
      </c>
      <c r="W1404" s="2" t="s">
        <v>80</v>
      </c>
      <c r="X1404" s="2">
        <v>5</v>
      </c>
      <c r="Y1404" s="2" t="s">
        <v>82</v>
      </c>
      <c r="Z1404" s="2">
        <v>1</v>
      </c>
      <c r="AA1404" s="2" t="s">
        <v>82</v>
      </c>
      <c r="AB1404" s="2">
        <v>9</v>
      </c>
      <c r="AC1404" s="2" t="s">
        <v>124</v>
      </c>
      <c r="AD1404" s="3">
        <v>40275</v>
      </c>
      <c r="AE1404" s="4">
        <v>0.44444444444444442</v>
      </c>
      <c r="AF1404" s="2"/>
      <c r="AG1404" s="2"/>
      <c r="AH1404" s="2">
        <v>3</v>
      </c>
      <c r="AI1404" s="2" t="s">
        <v>214</v>
      </c>
      <c r="AJ1404" s="2">
        <v>24</v>
      </c>
      <c r="AK1404" s="2" t="s">
        <v>215</v>
      </c>
      <c r="AL1404" s="2">
        <v>10</v>
      </c>
      <c r="AM1404" s="2" t="s">
        <v>200</v>
      </c>
      <c r="AN1404" s="2"/>
      <c r="AO1404" s="2" t="s">
        <v>5178</v>
      </c>
      <c r="AP1404" s="2">
        <v>11</v>
      </c>
      <c r="AQ1404" s="2" t="s">
        <v>82</v>
      </c>
      <c r="AR1404" s="2"/>
      <c r="AS1404" s="2"/>
      <c r="AT1404" s="2" t="s">
        <v>5179</v>
      </c>
      <c r="AU1404" s="2"/>
      <c r="AV1404" s="2"/>
      <c r="AW1404" s="2"/>
      <c r="AX1404" s="2"/>
      <c r="AY1404" s="2">
        <v>41</v>
      </c>
      <c r="AZ1404" s="2" t="s">
        <v>82</v>
      </c>
      <c r="BA1404" s="2">
        <v>41</v>
      </c>
      <c r="BB1404" s="2" t="s">
        <v>82</v>
      </c>
      <c r="BC1404" s="2">
        <v>41</v>
      </c>
      <c r="BD1404" s="2" t="s">
        <v>82</v>
      </c>
      <c r="BE1404" s="2">
        <v>41</v>
      </c>
      <c r="BF1404" s="2" t="s">
        <v>82</v>
      </c>
      <c r="BG1404" s="2">
        <v>310</v>
      </c>
      <c r="BH1404" s="4">
        <v>0.44444444444444442</v>
      </c>
      <c r="BI1404" s="4">
        <v>0.50138888888888888</v>
      </c>
      <c r="BJ1404" s="2">
        <v>13</v>
      </c>
      <c r="BK1404" s="2" t="s">
        <v>91</v>
      </c>
      <c r="BL1404" s="2" t="s">
        <v>169</v>
      </c>
      <c r="BM1404" s="2">
        <v>241</v>
      </c>
      <c r="BN1404" s="2" t="s">
        <v>82</v>
      </c>
      <c r="BO1404" s="2"/>
      <c r="BP1404" s="2">
        <v>13</v>
      </c>
      <c r="BQ1404" s="2" t="s">
        <v>91</v>
      </c>
      <c r="BR1404" s="2" t="s">
        <v>5180</v>
      </c>
      <c r="BS1404" s="3">
        <v>40275</v>
      </c>
      <c r="BT1404" s="4">
        <v>0.55034722222222221</v>
      </c>
    </row>
    <row r="1405" spans="1:72" x14ac:dyDescent="0.25">
      <c r="A1405" s="2">
        <v>2094</v>
      </c>
      <c r="B1405" s="2">
        <v>2010</v>
      </c>
      <c r="C1405" s="2" t="s">
        <v>93</v>
      </c>
      <c r="D1405" s="2" t="s">
        <v>73</v>
      </c>
      <c r="E1405" s="2"/>
      <c r="F1405" s="2">
        <v>146</v>
      </c>
      <c r="G1405" s="2" t="s">
        <v>753</v>
      </c>
      <c r="H1405" s="2">
        <v>24</v>
      </c>
      <c r="I1405" s="2" t="s">
        <v>287</v>
      </c>
      <c r="J1405" s="2">
        <v>161</v>
      </c>
      <c r="K1405" s="2" t="s">
        <v>1900</v>
      </c>
      <c r="L1405" s="2" t="s">
        <v>1901</v>
      </c>
      <c r="M1405" s="3">
        <v>40275</v>
      </c>
      <c r="N1405" s="2" t="s">
        <v>756</v>
      </c>
      <c r="O1405" s="2" t="s">
        <v>5181</v>
      </c>
      <c r="P1405" s="7">
        <v>2503</v>
      </c>
      <c r="Q1405" s="2" t="str">
        <f>"AP- 0016/10"</f>
        <v>AP- 0016/10</v>
      </c>
      <c r="R1405" s="2" t="s">
        <v>5182</v>
      </c>
      <c r="S1405" s="2" t="s">
        <v>82</v>
      </c>
      <c r="T1405" s="2">
        <v>1</v>
      </c>
      <c r="U1405" s="2" t="s">
        <v>79</v>
      </c>
      <c r="V1405" s="2">
        <v>1</v>
      </c>
      <c r="W1405" s="2" t="s">
        <v>80</v>
      </c>
      <c r="X1405" s="2">
        <v>1</v>
      </c>
      <c r="Y1405" s="2" t="s">
        <v>81</v>
      </c>
      <c r="Z1405" s="2">
        <v>10</v>
      </c>
      <c r="AA1405" s="2" t="s">
        <v>236</v>
      </c>
      <c r="AB1405" s="2">
        <v>2</v>
      </c>
      <c r="AC1405" s="2" t="s">
        <v>102</v>
      </c>
      <c r="AD1405" s="3">
        <v>40275</v>
      </c>
      <c r="AE1405" s="4">
        <v>0.57638888888888895</v>
      </c>
      <c r="AF1405" s="2"/>
      <c r="AG1405" s="2"/>
      <c r="AH1405" s="2">
        <v>6</v>
      </c>
      <c r="AI1405" s="2" t="s">
        <v>197</v>
      </c>
      <c r="AJ1405" s="2">
        <v>60</v>
      </c>
      <c r="AK1405" s="2" t="s">
        <v>543</v>
      </c>
      <c r="AL1405" s="2">
        <v>11</v>
      </c>
      <c r="AM1405" s="2" t="s">
        <v>137</v>
      </c>
      <c r="AN1405" s="2" t="s">
        <v>5183</v>
      </c>
      <c r="AO1405" s="2" t="s">
        <v>82</v>
      </c>
      <c r="AP1405" s="2">
        <v>11</v>
      </c>
      <c r="AQ1405" s="2" t="s">
        <v>82</v>
      </c>
      <c r="AR1405" s="2" t="s">
        <v>82</v>
      </c>
      <c r="AS1405" s="2" t="s">
        <v>82</v>
      </c>
      <c r="AT1405" s="2" t="s">
        <v>5184</v>
      </c>
      <c r="AU1405" s="2"/>
      <c r="AV1405" s="2"/>
      <c r="AW1405" s="2"/>
      <c r="AX1405" s="2"/>
      <c r="AY1405" s="2">
        <v>41</v>
      </c>
      <c r="AZ1405" s="2" t="s">
        <v>82</v>
      </c>
      <c r="BA1405" s="2">
        <v>41</v>
      </c>
      <c r="BB1405" s="2" t="s">
        <v>82</v>
      </c>
      <c r="BC1405" s="2">
        <v>41</v>
      </c>
      <c r="BD1405" s="2" t="s">
        <v>82</v>
      </c>
      <c r="BE1405" s="2">
        <v>41</v>
      </c>
      <c r="BF1405" s="2" t="s">
        <v>82</v>
      </c>
      <c r="BG1405" s="2" t="s">
        <v>5185</v>
      </c>
      <c r="BH1405" s="4">
        <v>0.59375</v>
      </c>
      <c r="BI1405" s="4">
        <v>0.62152777777777779</v>
      </c>
      <c r="BJ1405" s="2">
        <v>13</v>
      </c>
      <c r="BK1405" s="2" t="s">
        <v>91</v>
      </c>
      <c r="BL1405" s="2" t="s">
        <v>895</v>
      </c>
      <c r="BM1405" s="2">
        <v>13</v>
      </c>
      <c r="BN1405" s="2" t="s">
        <v>91</v>
      </c>
      <c r="BO1405" s="2" t="s">
        <v>82</v>
      </c>
      <c r="BP1405" s="2">
        <v>13</v>
      </c>
      <c r="BQ1405" s="2" t="s">
        <v>91</v>
      </c>
      <c r="BR1405" s="2" t="s">
        <v>185</v>
      </c>
      <c r="BS1405" s="3">
        <v>40275</v>
      </c>
      <c r="BT1405" s="4">
        <v>0.64557870370370374</v>
      </c>
    </row>
    <row r="1406" spans="1:72" x14ac:dyDescent="0.25">
      <c r="A1406" s="2">
        <v>2095</v>
      </c>
      <c r="B1406" s="2">
        <v>2010</v>
      </c>
      <c r="C1406" s="2" t="s">
        <v>72</v>
      </c>
      <c r="D1406" s="2" t="s">
        <v>73</v>
      </c>
      <c r="E1406" s="2"/>
      <c r="F1406" s="2">
        <v>9</v>
      </c>
      <c r="G1406" s="2" t="s">
        <v>364</v>
      </c>
      <c r="H1406" s="2">
        <v>38</v>
      </c>
      <c r="I1406" s="2" t="s">
        <v>1272</v>
      </c>
      <c r="J1406" s="2">
        <v>18</v>
      </c>
      <c r="K1406" s="2" t="s">
        <v>365</v>
      </c>
      <c r="L1406" s="2" t="s">
        <v>115</v>
      </c>
      <c r="M1406" s="3">
        <v>40275</v>
      </c>
      <c r="N1406" s="2" t="s">
        <v>366</v>
      </c>
      <c r="O1406" s="2"/>
      <c r="P1406" s="2"/>
      <c r="Q1406" s="2" t="str">
        <f>"17-10"</f>
        <v>17-10</v>
      </c>
      <c r="R1406" s="2"/>
      <c r="S1406" s="2" t="s">
        <v>116</v>
      </c>
      <c r="T1406" s="2">
        <v>1</v>
      </c>
      <c r="U1406" s="2" t="s">
        <v>79</v>
      </c>
      <c r="V1406" s="2">
        <v>1</v>
      </c>
      <c r="W1406" s="2" t="s">
        <v>80</v>
      </c>
      <c r="X1406" s="2">
        <v>5</v>
      </c>
      <c r="Y1406" s="2" t="s">
        <v>82</v>
      </c>
      <c r="Z1406" s="2">
        <v>1</v>
      </c>
      <c r="AA1406" s="2" t="s">
        <v>82</v>
      </c>
      <c r="AB1406" s="2">
        <v>6</v>
      </c>
      <c r="AC1406" s="2" t="s">
        <v>83</v>
      </c>
      <c r="AD1406" s="3">
        <v>40275</v>
      </c>
      <c r="AE1406" s="2"/>
      <c r="AF1406" s="3">
        <v>40275</v>
      </c>
      <c r="AG1406" s="4">
        <v>0.51041666666666663</v>
      </c>
      <c r="AH1406" s="2">
        <v>3</v>
      </c>
      <c r="AI1406" s="2" t="s">
        <v>214</v>
      </c>
      <c r="AJ1406" s="2">
        <v>24</v>
      </c>
      <c r="AK1406" s="2" t="s">
        <v>215</v>
      </c>
      <c r="AL1406" s="2">
        <v>10</v>
      </c>
      <c r="AM1406" s="2" t="s">
        <v>200</v>
      </c>
      <c r="AN1406" s="2"/>
      <c r="AO1406" s="2" t="s">
        <v>5186</v>
      </c>
      <c r="AP1406" s="2">
        <v>11</v>
      </c>
      <c r="AQ1406" s="2" t="s">
        <v>82</v>
      </c>
      <c r="AR1406" s="2"/>
      <c r="AS1406" s="2"/>
      <c r="AT1406" s="2" t="s">
        <v>5187</v>
      </c>
      <c r="AU1406" s="2"/>
      <c r="AV1406" s="2"/>
      <c r="AW1406" s="2"/>
      <c r="AX1406" s="2"/>
      <c r="AY1406" s="2">
        <v>106</v>
      </c>
      <c r="AZ1406" s="2" t="s">
        <v>5188</v>
      </c>
      <c r="BA1406" s="2">
        <v>106</v>
      </c>
      <c r="BB1406" s="2" t="s">
        <v>5188</v>
      </c>
      <c r="BC1406" s="2">
        <v>106</v>
      </c>
      <c r="BD1406" s="2" t="s">
        <v>5188</v>
      </c>
      <c r="BE1406" s="2">
        <v>13</v>
      </c>
      <c r="BF1406" s="2" t="s">
        <v>108</v>
      </c>
      <c r="BG1406" s="2">
        <v>1506</v>
      </c>
      <c r="BH1406" s="4">
        <v>0.45833333333333331</v>
      </c>
      <c r="BI1406" s="4">
        <v>0.4152777777777778</v>
      </c>
      <c r="BJ1406" s="2">
        <v>13</v>
      </c>
      <c r="BK1406" s="2" t="s">
        <v>91</v>
      </c>
      <c r="BL1406" s="2" t="s">
        <v>185</v>
      </c>
      <c r="BM1406" s="2">
        <v>241</v>
      </c>
      <c r="BN1406" s="2" t="s">
        <v>82</v>
      </c>
      <c r="BO1406" s="2"/>
      <c r="BP1406" s="2">
        <v>13</v>
      </c>
      <c r="BQ1406" s="2" t="s">
        <v>91</v>
      </c>
      <c r="BR1406" s="2" t="s">
        <v>169</v>
      </c>
      <c r="BS1406" s="3">
        <v>40275</v>
      </c>
      <c r="BT1406" s="4">
        <v>0.65718750000000004</v>
      </c>
    </row>
    <row r="1407" spans="1:72" x14ac:dyDescent="0.25">
      <c r="A1407" s="2">
        <v>2096</v>
      </c>
      <c r="B1407" s="2">
        <v>2010</v>
      </c>
      <c r="C1407" s="2" t="s">
        <v>196</v>
      </c>
      <c r="D1407" s="2" t="s">
        <v>122</v>
      </c>
      <c r="E1407" s="2"/>
      <c r="F1407" s="2">
        <v>1</v>
      </c>
      <c r="G1407" s="2" t="s">
        <v>82</v>
      </c>
      <c r="H1407" s="2">
        <v>1</v>
      </c>
      <c r="I1407" s="2" t="s">
        <v>82</v>
      </c>
      <c r="J1407" s="2">
        <v>1</v>
      </c>
      <c r="K1407" s="2" t="s">
        <v>107</v>
      </c>
      <c r="L1407" s="2" t="s">
        <v>107</v>
      </c>
      <c r="M1407" s="3">
        <v>40275</v>
      </c>
      <c r="N1407" s="2"/>
      <c r="O1407" s="2"/>
      <c r="P1407" s="2"/>
      <c r="Q1407" s="2" t="str">
        <f>""</f>
        <v/>
      </c>
      <c r="R1407" s="2"/>
      <c r="S1407" s="2"/>
      <c r="T1407" s="2">
        <v>2</v>
      </c>
      <c r="U1407" s="2" t="s">
        <v>123</v>
      </c>
      <c r="V1407" s="2">
        <v>1</v>
      </c>
      <c r="W1407" s="2" t="s">
        <v>80</v>
      </c>
      <c r="X1407" s="2">
        <v>1</v>
      </c>
      <c r="Y1407" s="2" t="s">
        <v>81</v>
      </c>
      <c r="Z1407" s="2">
        <v>10</v>
      </c>
      <c r="AA1407" s="2" t="s">
        <v>236</v>
      </c>
      <c r="AB1407" s="2">
        <v>9</v>
      </c>
      <c r="AC1407" s="2" t="s">
        <v>124</v>
      </c>
      <c r="AD1407" s="3">
        <v>40275</v>
      </c>
      <c r="AE1407" s="4">
        <v>0.60416666666666663</v>
      </c>
      <c r="AF1407" s="2"/>
      <c r="AG1407" s="2"/>
      <c r="AH1407" s="2">
        <v>2</v>
      </c>
      <c r="AI1407" s="2" t="s">
        <v>84</v>
      </c>
      <c r="AJ1407" s="2">
        <v>12</v>
      </c>
      <c r="AK1407" s="2" t="s">
        <v>85</v>
      </c>
      <c r="AL1407" s="2">
        <v>20</v>
      </c>
      <c r="AM1407" s="2" t="s">
        <v>992</v>
      </c>
      <c r="AN1407" s="2" t="s">
        <v>107</v>
      </c>
      <c r="AO1407" s="2" t="s">
        <v>992</v>
      </c>
      <c r="AP1407" s="2">
        <v>11</v>
      </c>
      <c r="AQ1407" s="2" t="s">
        <v>82</v>
      </c>
      <c r="AR1407" s="2"/>
      <c r="AS1407" s="2"/>
      <c r="AT1407" s="2" t="s">
        <v>5189</v>
      </c>
      <c r="AU1407" s="2"/>
      <c r="AV1407" s="2"/>
      <c r="AW1407" s="2"/>
      <c r="AX1407" s="2"/>
      <c r="AY1407" s="2">
        <v>41</v>
      </c>
      <c r="AZ1407" s="2" t="s">
        <v>82</v>
      </c>
      <c r="BA1407" s="2">
        <v>41</v>
      </c>
      <c r="BB1407" s="2" t="s">
        <v>82</v>
      </c>
      <c r="BC1407" s="2">
        <v>41</v>
      </c>
      <c r="BD1407" s="2" t="s">
        <v>82</v>
      </c>
      <c r="BE1407" s="2">
        <v>41</v>
      </c>
      <c r="BF1407" s="2" t="s">
        <v>82</v>
      </c>
      <c r="BG1407" s="2"/>
      <c r="BH1407" s="2"/>
      <c r="BI1407" s="2"/>
      <c r="BJ1407" s="2">
        <v>13</v>
      </c>
      <c r="BK1407" s="2" t="s">
        <v>91</v>
      </c>
      <c r="BL1407" s="2" t="s">
        <v>5190</v>
      </c>
      <c r="BM1407" s="2">
        <v>241</v>
      </c>
      <c r="BN1407" s="2" t="s">
        <v>82</v>
      </c>
      <c r="BO1407" s="2"/>
      <c r="BP1407" s="2">
        <v>13</v>
      </c>
      <c r="BQ1407" s="2" t="s">
        <v>91</v>
      </c>
      <c r="BR1407" s="2" t="s">
        <v>185</v>
      </c>
      <c r="BS1407" s="3">
        <v>40275</v>
      </c>
      <c r="BT1407" s="4">
        <v>0.66283564814814822</v>
      </c>
    </row>
    <row r="1408" spans="1:72" x14ac:dyDescent="0.25">
      <c r="A1408" s="2">
        <v>2097</v>
      </c>
      <c r="B1408" s="2">
        <v>2010</v>
      </c>
      <c r="C1408" s="2" t="s">
        <v>377</v>
      </c>
      <c r="D1408" s="2" t="s">
        <v>73</v>
      </c>
      <c r="E1408" s="2"/>
      <c r="F1408" s="2">
        <v>426</v>
      </c>
      <c r="G1408" s="2" t="s">
        <v>378</v>
      </c>
      <c r="H1408" s="2">
        <v>22</v>
      </c>
      <c r="I1408" s="2" t="s">
        <v>75</v>
      </c>
      <c r="J1408" s="2">
        <v>311</v>
      </c>
      <c r="K1408" s="2" t="s">
        <v>379</v>
      </c>
      <c r="L1408" s="2" t="s">
        <v>380</v>
      </c>
      <c r="M1408" s="3">
        <v>40275</v>
      </c>
      <c r="N1408" s="2" t="s">
        <v>4427</v>
      </c>
      <c r="O1408" s="2"/>
      <c r="P1408" s="2"/>
      <c r="Q1408" s="2" t="str">
        <f>"045-C/10"</f>
        <v>045-C/10</v>
      </c>
      <c r="R1408" s="2" t="s">
        <v>4428</v>
      </c>
      <c r="S1408" s="2" t="s">
        <v>4428</v>
      </c>
      <c r="T1408" s="2">
        <v>1</v>
      </c>
      <c r="U1408" s="2" t="s">
        <v>79</v>
      </c>
      <c r="V1408" s="2">
        <v>1</v>
      </c>
      <c r="W1408" s="2" t="s">
        <v>80</v>
      </c>
      <c r="X1408" s="2">
        <v>1</v>
      </c>
      <c r="Y1408" s="2" t="s">
        <v>81</v>
      </c>
      <c r="Z1408" s="2">
        <v>1</v>
      </c>
      <c r="AA1408" s="2" t="s">
        <v>82</v>
      </c>
      <c r="AB1408" s="2">
        <v>9</v>
      </c>
      <c r="AC1408" s="2" t="s">
        <v>124</v>
      </c>
      <c r="AD1408" s="3">
        <v>40274</v>
      </c>
      <c r="AE1408" s="4">
        <v>0.41666666666666669</v>
      </c>
      <c r="AF1408" s="2"/>
      <c r="AG1408" s="2"/>
      <c r="AH1408" s="2">
        <v>2</v>
      </c>
      <c r="AI1408" s="2" t="s">
        <v>84</v>
      </c>
      <c r="AJ1408" s="2">
        <v>9</v>
      </c>
      <c r="AK1408" s="2" t="s">
        <v>103</v>
      </c>
      <c r="AL1408" s="2">
        <v>12</v>
      </c>
      <c r="AM1408" s="2" t="s">
        <v>86</v>
      </c>
      <c r="AN1408" s="2"/>
      <c r="AO1408" s="2" t="s">
        <v>2887</v>
      </c>
      <c r="AP1408" s="2">
        <v>11</v>
      </c>
      <c r="AQ1408" s="2" t="s">
        <v>82</v>
      </c>
      <c r="AR1408" s="2"/>
      <c r="AS1408" s="2"/>
      <c r="AT1408" s="2" t="s">
        <v>5191</v>
      </c>
      <c r="AU1408" s="2"/>
      <c r="AV1408" s="2"/>
      <c r="AW1408" s="2"/>
      <c r="AX1408" s="2"/>
      <c r="AY1408" s="2">
        <v>41</v>
      </c>
      <c r="AZ1408" s="2" t="s">
        <v>82</v>
      </c>
      <c r="BA1408" s="2">
        <v>41</v>
      </c>
      <c r="BB1408" s="2" t="s">
        <v>82</v>
      </c>
      <c r="BC1408" s="2">
        <v>41</v>
      </c>
      <c r="BD1408" s="2" t="s">
        <v>82</v>
      </c>
      <c r="BE1408" s="2">
        <v>41</v>
      </c>
      <c r="BF1408" s="2" t="s">
        <v>82</v>
      </c>
      <c r="BG1408" s="2"/>
      <c r="BH1408" s="2"/>
      <c r="BI1408" s="2"/>
      <c r="BJ1408" s="2">
        <v>241</v>
      </c>
      <c r="BK1408" s="2" t="s">
        <v>82</v>
      </c>
      <c r="BL1408" s="2"/>
      <c r="BM1408" s="2">
        <v>241</v>
      </c>
      <c r="BN1408" s="2" t="s">
        <v>82</v>
      </c>
      <c r="BO1408" s="2"/>
      <c r="BP1408" s="2">
        <v>241</v>
      </c>
      <c r="BQ1408" s="2" t="s">
        <v>82</v>
      </c>
      <c r="BR1408" s="2"/>
      <c r="BS1408" s="3">
        <v>40275</v>
      </c>
      <c r="BT1408" s="4">
        <v>0.66537037037037039</v>
      </c>
    </row>
    <row r="1409" spans="1:72" x14ac:dyDescent="0.25">
      <c r="A1409" s="2">
        <v>2098</v>
      </c>
      <c r="B1409" s="2">
        <v>2010</v>
      </c>
      <c r="C1409" s="2" t="s">
        <v>171</v>
      </c>
      <c r="D1409" s="2" t="s">
        <v>73</v>
      </c>
      <c r="E1409" s="2"/>
      <c r="F1409" s="2">
        <v>400</v>
      </c>
      <c r="G1409" s="2" t="s">
        <v>3601</v>
      </c>
      <c r="H1409" s="2">
        <v>16</v>
      </c>
      <c r="I1409" s="2" t="s">
        <v>3027</v>
      </c>
      <c r="J1409" s="2">
        <v>316</v>
      </c>
      <c r="K1409" s="2" t="s">
        <v>574</v>
      </c>
      <c r="L1409" s="2" t="s">
        <v>575</v>
      </c>
      <c r="M1409" s="3">
        <v>40275</v>
      </c>
      <c r="N1409" s="2" t="s">
        <v>5192</v>
      </c>
      <c r="O1409" s="2" t="s">
        <v>5193</v>
      </c>
      <c r="P1409" s="2">
        <v>5019</v>
      </c>
      <c r="Q1409" s="2" t="str">
        <f>"177E-10"</f>
        <v>177E-10</v>
      </c>
      <c r="R1409" s="2" t="s">
        <v>5194</v>
      </c>
      <c r="S1409" s="2"/>
      <c r="T1409" s="2">
        <v>1</v>
      </c>
      <c r="U1409" s="2" t="s">
        <v>79</v>
      </c>
      <c r="V1409" s="2">
        <v>3</v>
      </c>
      <c r="W1409" s="2" t="s">
        <v>225</v>
      </c>
      <c r="X1409" s="2">
        <v>6</v>
      </c>
      <c r="Y1409" s="2" t="s">
        <v>249</v>
      </c>
      <c r="Z1409" s="2">
        <v>10</v>
      </c>
      <c r="AA1409" s="2" t="s">
        <v>236</v>
      </c>
      <c r="AB1409" s="2">
        <v>9</v>
      </c>
      <c r="AC1409" s="2" t="s">
        <v>124</v>
      </c>
      <c r="AD1409" s="3">
        <v>40275</v>
      </c>
      <c r="AE1409" s="4">
        <v>0.66666666666666663</v>
      </c>
      <c r="AF1409" s="2"/>
      <c r="AG1409" s="2"/>
      <c r="AH1409" s="2">
        <v>2</v>
      </c>
      <c r="AI1409" s="2" t="s">
        <v>84</v>
      </c>
      <c r="AJ1409" s="2">
        <v>6</v>
      </c>
      <c r="AK1409" s="2" t="s">
        <v>453</v>
      </c>
      <c r="AL1409" s="2">
        <v>19</v>
      </c>
      <c r="AM1409" s="2" t="s">
        <v>107</v>
      </c>
      <c r="AN1409" s="2"/>
      <c r="AO1409" s="2"/>
      <c r="AP1409" s="2">
        <v>11</v>
      </c>
      <c r="AQ1409" s="2" t="s">
        <v>82</v>
      </c>
      <c r="AR1409" s="2"/>
      <c r="AS1409" s="2"/>
      <c r="AT1409" s="2" t="s">
        <v>5195</v>
      </c>
      <c r="AU1409" s="2"/>
      <c r="AV1409" s="2"/>
      <c r="AW1409" s="2"/>
      <c r="AX1409" s="2"/>
      <c r="AY1409" s="2">
        <v>42</v>
      </c>
      <c r="AZ1409" s="2" t="s">
        <v>182</v>
      </c>
      <c r="BA1409" s="2">
        <v>70</v>
      </c>
      <c r="BB1409" s="2" t="s">
        <v>236</v>
      </c>
      <c r="BC1409" s="2">
        <v>70</v>
      </c>
      <c r="BD1409" s="2" t="s">
        <v>236</v>
      </c>
      <c r="BE1409" s="2">
        <v>41</v>
      </c>
      <c r="BF1409" s="2" t="s">
        <v>82</v>
      </c>
      <c r="BG1409" s="2"/>
      <c r="BH1409" s="2"/>
      <c r="BI1409" s="2"/>
      <c r="BJ1409" s="2">
        <v>241</v>
      </c>
      <c r="BK1409" s="2" t="s">
        <v>82</v>
      </c>
      <c r="BL1409" s="2"/>
      <c r="BM1409" s="2">
        <v>241</v>
      </c>
      <c r="BN1409" s="2" t="s">
        <v>82</v>
      </c>
      <c r="BO1409" s="2"/>
      <c r="BP1409" s="2">
        <v>241</v>
      </c>
      <c r="BQ1409" s="2" t="s">
        <v>82</v>
      </c>
      <c r="BR1409" s="2"/>
      <c r="BS1409" s="3">
        <v>40275</v>
      </c>
      <c r="BT1409" s="4">
        <v>0.67094907407407411</v>
      </c>
    </row>
    <row r="1410" spans="1:72" x14ac:dyDescent="0.25">
      <c r="A1410" s="2">
        <v>2099</v>
      </c>
      <c r="B1410" s="2">
        <v>2010</v>
      </c>
      <c r="C1410" s="2" t="s">
        <v>93</v>
      </c>
      <c r="D1410" s="2" t="s">
        <v>73</v>
      </c>
      <c r="E1410" s="2"/>
      <c r="F1410" s="2">
        <v>284</v>
      </c>
      <c r="G1410" s="2" t="s">
        <v>5196</v>
      </c>
      <c r="H1410" s="2">
        <v>2</v>
      </c>
      <c r="I1410" s="2" t="s">
        <v>267</v>
      </c>
      <c r="J1410" s="2">
        <v>518</v>
      </c>
      <c r="K1410" s="2" t="s">
        <v>5197</v>
      </c>
      <c r="L1410" s="2" t="s">
        <v>5198</v>
      </c>
      <c r="M1410" s="3">
        <v>40275</v>
      </c>
      <c r="N1410" s="2" t="s">
        <v>5199</v>
      </c>
      <c r="O1410" s="2" t="s">
        <v>5200</v>
      </c>
      <c r="P1410" s="2" t="s">
        <v>107</v>
      </c>
      <c r="Q1410" s="2" t="str">
        <f>"S/D"</f>
        <v>S/D</v>
      </c>
      <c r="R1410" s="2" t="s">
        <v>107</v>
      </c>
      <c r="S1410" s="2" t="s">
        <v>107</v>
      </c>
      <c r="T1410" s="2">
        <v>1</v>
      </c>
      <c r="U1410" s="2" t="s">
        <v>79</v>
      </c>
      <c r="V1410" s="2">
        <v>1</v>
      </c>
      <c r="W1410" s="2" t="s">
        <v>80</v>
      </c>
      <c r="X1410" s="2">
        <v>1</v>
      </c>
      <c r="Y1410" s="2" t="s">
        <v>81</v>
      </c>
      <c r="Z1410" s="2">
        <v>10</v>
      </c>
      <c r="AA1410" s="2" t="s">
        <v>236</v>
      </c>
      <c r="AB1410" s="2">
        <v>2</v>
      </c>
      <c r="AC1410" s="2" t="s">
        <v>102</v>
      </c>
      <c r="AD1410" s="3">
        <v>40275</v>
      </c>
      <c r="AE1410" s="4">
        <v>0.47222222222222227</v>
      </c>
      <c r="AF1410" s="2"/>
      <c r="AG1410" s="2"/>
      <c r="AH1410" s="2">
        <v>6</v>
      </c>
      <c r="AI1410" s="2" t="s">
        <v>197</v>
      </c>
      <c r="AJ1410" s="2">
        <v>58</v>
      </c>
      <c r="AK1410" s="2" t="s">
        <v>406</v>
      </c>
      <c r="AL1410" s="2">
        <v>11</v>
      </c>
      <c r="AM1410" s="2" t="s">
        <v>137</v>
      </c>
      <c r="AN1410" s="2" t="s">
        <v>5201</v>
      </c>
      <c r="AO1410" s="2" t="s">
        <v>5202</v>
      </c>
      <c r="AP1410" s="2">
        <v>11</v>
      </c>
      <c r="AQ1410" s="2" t="s">
        <v>82</v>
      </c>
      <c r="AR1410" s="2" t="s">
        <v>82</v>
      </c>
      <c r="AS1410" s="2" t="s">
        <v>82</v>
      </c>
      <c r="AT1410" s="2" t="s">
        <v>5203</v>
      </c>
      <c r="AU1410" s="2"/>
      <c r="AV1410" s="2"/>
      <c r="AW1410" s="2"/>
      <c r="AX1410" s="2"/>
      <c r="AY1410" s="2">
        <v>41</v>
      </c>
      <c r="AZ1410" s="2" t="s">
        <v>82</v>
      </c>
      <c r="BA1410" s="2">
        <v>41</v>
      </c>
      <c r="BB1410" s="2" t="s">
        <v>82</v>
      </c>
      <c r="BC1410" s="2">
        <v>41</v>
      </c>
      <c r="BD1410" s="2" t="s">
        <v>82</v>
      </c>
      <c r="BE1410" s="2">
        <v>47</v>
      </c>
      <c r="BF1410" s="2" t="s">
        <v>167</v>
      </c>
      <c r="BG1410" s="2" t="s">
        <v>5204</v>
      </c>
      <c r="BH1410" s="4">
        <v>0.40972222222222227</v>
      </c>
      <c r="BI1410" s="4">
        <v>0.4513888888888889</v>
      </c>
      <c r="BJ1410" s="2">
        <v>13</v>
      </c>
      <c r="BK1410" s="2" t="s">
        <v>91</v>
      </c>
      <c r="BL1410" s="2" t="s">
        <v>185</v>
      </c>
      <c r="BM1410" s="2">
        <v>241</v>
      </c>
      <c r="BN1410" s="2" t="s">
        <v>82</v>
      </c>
      <c r="BO1410" s="2" t="s">
        <v>82</v>
      </c>
      <c r="BP1410" s="2">
        <v>13</v>
      </c>
      <c r="BQ1410" s="2" t="s">
        <v>91</v>
      </c>
      <c r="BR1410" s="2" t="s">
        <v>185</v>
      </c>
      <c r="BS1410" s="3">
        <v>40275</v>
      </c>
      <c r="BT1410" s="4">
        <v>0.70434027777777775</v>
      </c>
    </row>
    <row r="1411" spans="1:72" x14ac:dyDescent="0.25">
      <c r="A1411" s="2">
        <v>2100</v>
      </c>
      <c r="B1411" s="2">
        <v>2010</v>
      </c>
      <c r="C1411" s="2" t="s">
        <v>906</v>
      </c>
      <c r="D1411" s="2" t="s">
        <v>122</v>
      </c>
      <c r="E1411" s="2"/>
      <c r="F1411" s="2">
        <v>1</v>
      </c>
      <c r="G1411" s="2" t="s">
        <v>82</v>
      </c>
      <c r="H1411" s="2">
        <v>1</v>
      </c>
      <c r="I1411" s="2" t="s">
        <v>82</v>
      </c>
      <c r="J1411" s="2">
        <v>1</v>
      </c>
      <c r="K1411" s="2" t="s">
        <v>107</v>
      </c>
      <c r="L1411" s="2" t="s">
        <v>107</v>
      </c>
      <c r="M1411" s="3">
        <v>40275</v>
      </c>
      <c r="N1411" s="2"/>
      <c r="O1411" s="2"/>
      <c r="P1411" s="2"/>
      <c r="Q1411" s="2" t="str">
        <f>""</f>
        <v/>
      </c>
      <c r="R1411" s="2"/>
      <c r="S1411" s="2"/>
      <c r="T1411" s="2">
        <v>1</v>
      </c>
      <c r="U1411" s="2" t="s">
        <v>79</v>
      </c>
      <c r="V1411" s="2">
        <v>1</v>
      </c>
      <c r="W1411" s="2" t="s">
        <v>80</v>
      </c>
      <c r="X1411" s="2">
        <v>5</v>
      </c>
      <c r="Y1411" s="2" t="s">
        <v>82</v>
      </c>
      <c r="Z1411" s="2">
        <v>1</v>
      </c>
      <c r="AA1411" s="2" t="s">
        <v>82</v>
      </c>
      <c r="AB1411" s="2">
        <v>9</v>
      </c>
      <c r="AC1411" s="2" t="s">
        <v>124</v>
      </c>
      <c r="AD1411" s="3">
        <v>40275</v>
      </c>
      <c r="AE1411" s="4">
        <v>0.54166666666666663</v>
      </c>
      <c r="AF1411" s="3">
        <v>40275</v>
      </c>
      <c r="AG1411" s="4">
        <v>0.65277777777777779</v>
      </c>
      <c r="AH1411" s="2">
        <v>6</v>
      </c>
      <c r="AI1411" s="2" t="s">
        <v>197</v>
      </c>
      <c r="AJ1411" s="2">
        <v>59</v>
      </c>
      <c r="AK1411" s="2" t="s">
        <v>198</v>
      </c>
      <c r="AL1411" s="2">
        <v>18</v>
      </c>
      <c r="AM1411" s="2" t="s">
        <v>82</v>
      </c>
      <c r="AN1411" s="2" t="s">
        <v>5205</v>
      </c>
      <c r="AO1411" s="2" t="s">
        <v>5206</v>
      </c>
      <c r="AP1411" s="2">
        <v>11</v>
      </c>
      <c r="AQ1411" s="2" t="s">
        <v>82</v>
      </c>
      <c r="AR1411" s="2"/>
      <c r="AS1411" s="2"/>
      <c r="AT1411" s="2" t="s">
        <v>5207</v>
      </c>
      <c r="AU1411" s="2"/>
      <c r="AV1411" s="2"/>
      <c r="AW1411" s="2"/>
      <c r="AX1411" s="2"/>
      <c r="AY1411" s="2">
        <v>1</v>
      </c>
      <c r="AZ1411" s="2" t="s">
        <v>107</v>
      </c>
      <c r="BA1411" s="2">
        <v>1</v>
      </c>
      <c r="BB1411" s="2" t="s">
        <v>107</v>
      </c>
      <c r="BC1411" s="2">
        <v>1</v>
      </c>
      <c r="BD1411" s="2" t="s">
        <v>107</v>
      </c>
      <c r="BE1411" s="2">
        <v>47</v>
      </c>
      <c r="BF1411" s="2" t="s">
        <v>167</v>
      </c>
      <c r="BG1411" s="2">
        <v>2898</v>
      </c>
      <c r="BH1411" s="4">
        <v>0.59027777777777779</v>
      </c>
      <c r="BI1411" s="4">
        <v>0.64583333333333337</v>
      </c>
      <c r="BJ1411" s="2">
        <v>242</v>
      </c>
      <c r="BK1411" s="2" t="s">
        <v>107</v>
      </c>
      <c r="BL1411" s="2" t="s">
        <v>895</v>
      </c>
      <c r="BM1411" s="2">
        <v>13</v>
      </c>
      <c r="BN1411" s="2" t="s">
        <v>91</v>
      </c>
      <c r="BO1411" s="2" t="s">
        <v>5208</v>
      </c>
      <c r="BP1411" s="2">
        <v>242</v>
      </c>
      <c r="BQ1411" s="2" t="s">
        <v>107</v>
      </c>
      <c r="BR1411" s="2" t="s">
        <v>524</v>
      </c>
      <c r="BS1411" s="3">
        <v>40275</v>
      </c>
      <c r="BT1411" s="4">
        <v>0.71635416666666663</v>
      </c>
    </row>
    <row r="1412" spans="1:72" x14ac:dyDescent="0.25">
      <c r="A1412" s="2">
        <v>2102</v>
      </c>
      <c r="B1412" s="2">
        <v>2010</v>
      </c>
      <c r="C1412" s="2" t="s">
        <v>819</v>
      </c>
      <c r="D1412" s="2" t="s">
        <v>73</v>
      </c>
      <c r="E1412" s="2"/>
      <c r="F1412" s="2">
        <v>404</v>
      </c>
      <c r="G1412" s="2" t="s">
        <v>5209</v>
      </c>
      <c r="H1412" s="2">
        <v>1</v>
      </c>
      <c r="I1412" s="2" t="s">
        <v>82</v>
      </c>
      <c r="J1412" s="2">
        <v>517</v>
      </c>
      <c r="K1412" s="2" t="s">
        <v>5210</v>
      </c>
      <c r="L1412" s="2" t="s">
        <v>5211</v>
      </c>
      <c r="M1412" s="3">
        <v>40275</v>
      </c>
      <c r="N1412" s="2" t="s">
        <v>5212</v>
      </c>
      <c r="O1412" s="2" t="s">
        <v>5213</v>
      </c>
      <c r="P1412" s="2">
        <v>6467</v>
      </c>
      <c r="Q1412" s="2" t="str">
        <f>""</f>
        <v/>
      </c>
      <c r="R1412" s="2"/>
      <c r="S1412" s="2"/>
      <c r="T1412" s="2">
        <v>1</v>
      </c>
      <c r="U1412" s="2" t="s">
        <v>79</v>
      </c>
      <c r="V1412" s="2">
        <v>3</v>
      </c>
      <c r="W1412" s="2" t="s">
        <v>225</v>
      </c>
      <c r="X1412" s="2">
        <v>6</v>
      </c>
      <c r="Y1412" s="2" t="s">
        <v>249</v>
      </c>
      <c r="Z1412" s="2">
        <v>10</v>
      </c>
      <c r="AA1412" s="2" t="s">
        <v>236</v>
      </c>
      <c r="AB1412" s="2">
        <v>9</v>
      </c>
      <c r="AC1412" s="2" t="s">
        <v>124</v>
      </c>
      <c r="AD1412" s="3">
        <v>40275</v>
      </c>
      <c r="AE1412" s="4">
        <v>0.625</v>
      </c>
      <c r="AF1412" s="2"/>
      <c r="AG1412" s="2"/>
      <c r="AH1412" s="2">
        <v>2</v>
      </c>
      <c r="AI1412" s="2" t="s">
        <v>84</v>
      </c>
      <c r="AJ1412" s="2">
        <v>6</v>
      </c>
      <c r="AK1412" s="2" t="s">
        <v>453</v>
      </c>
      <c r="AL1412" s="2">
        <v>24</v>
      </c>
      <c r="AM1412" s="2" t="s">
        <v>1540</v>
      </c>
      <c r="AN1412" s="2" t="s">
        <v>5214</v>
      </c>
      <c r="AO1412" s="2" t="s">
        <v>5215</v>
      </c>
      <c r="AP1412" s="2">
        <v>11</v>
      </c>
      <c r="AQ1412" s="2" t="s">
        <v>82</v>
      </c>
      <c r="AR1412" s="2"/>
      <c r="AS1412" s="2"/>
      <c r="AT1412" s="2" t="s">
        <v>5216</v>
      </c>
      <c r="AU1412" s="2"/>
      <c r="AV1412" s="2"/>
      <c r="AW1412" s="2"/>
      <c r="AX1412" s="2"/>
      <c r="AY1412" s="2">
        <v>42</v>
      </c>
      <c r="AZ1412" s="2" t="s">
        <v>182</v>
      </c>
      <c r="BA1412" s="2">
        <v>70</v>
      </c>
      <c r="BB1412" s="2" t="s">
        <v>236</v>
      </c>
      <c r="BC1412" s="2">
        <v>70</v>
      </c>
      <c r="BD1412" s="2" t="s">
        <v>236</v>
      </c>
      <c r="BE1412" s="2">
        <v>41</v>
      </c>
      <c r="BF1412" s="2" t="s">
        <v>82</v>
      </c>
      <c r="BG1412" s="2"/>
      <c r="BH1412" s="2"/>
      <c r="BI1412" s="2"/>
      <c r="BJ1412" s="2">
        <v>241</v>
      </c>
      <c r="BK1412" s="2" t="s">
        <v>82</v>
      </c>
      <c r="BL1412" s="2"/>
      <c r="BM1412" s="2">
        <v>241</v>
      </c>
      <c r="BN1412" s="2" t="s">
        <v>82</v>
      </c>
      <c r="BO1412" s="2"/>
      <c r="BP1412" s="2">
        <v>241</v>
      </c>
      <c r="BQ1412" s="2" t="s">
        <v>82</v>
      </c>
      <c r="BR1412" s="2"/>
      <c r="BS1412" s="3">
        <v>40275</v>
      </c>
      <c r="BT1412" s="4">
        <v>0.73126157407407411</v>
      </c>
    </row>
    <row r="1413" spans="1:72" x14ac:dyDescent="0.25">
      <c r="A1413" s="2">
        <v>2103</v>
      </c>
      <c r="B1413" s="2">
        <v>2010</v>
      </c>
      <c r="C1413" s="2" t="s">
        <v>1094</v>
      </c>
      <c r="D1413" s="2" t="s">
        <v>73</v>
      </c>
      <c r="E1413" s="2"/>
      <c r="F1413" s="2">
        <v>92</v>
      </c>
      <c r="G1413" s="2" t="s">
        <v>1432</v>
      </c>
      <c r="H1413" s="2">
        <v>22</v>
      </c>
      <c r="I1413" s="2" t="s">
        <v>75</v>
      </c>
      <c r="J1413" s="2">
        <v>119</v>
      </c>
      <c r="K1413" s="2" t="s">
        <v>325</v>
      </c>
      <c r="L1413" s="2" t="s">
        <v>326</v>
      </c>
      <c r="M1413" s="3">
        <v>40275</v>
      </c>
      <c r="N1413" s="2" t="s">
        <v>5217</v>
      </c>
      <c r="O1413" s="2"/>
      <c r="P1413" s="2" t="s">
        <v>107</v>
      </c>
      <c r="Q1413" s="2" t="str">
        <f>"007/10"</f>
        <v>007/10</v>
      </c>
      <c r="R1413" s="2"/>
      <c r="S1413" s="2" t="s">
        <v>5218</v>
      </c>
      <c r="T1413" s="2">
        <v>1</v>
      </c>
      <c r="U1413" s="2" t="s">
        <v>79</v>
      </c>
      <c r="V1413" s="2">
        <v>1</v>
      </c>
      <c r="W1413" s="2" t="s">
        <v>80</v>
      </c>
      <c r="X1413" s="2">
        <v>1</v>
      </c>
      <c r="Y1413" s="2" t="s">
        <v>81</v>
      </c>
      <c r="Z1413" s="2">
        <v>1</v>
      </c>
      <c r="AA1413" s="2" t="s">
        <v>82</v>
      </c>
      <c r="AB1413" s="2">
        <v>9</v>
      </c>
      <c r="AC1413" s="2" t="s">
        <v>124</v>
      </c>
      <c r="AD1413" s="3">
        <v>40273</v>
      </c>
      <c r="AE1413" s="4">
        <v>0.65625</v>
      </c>
      <c r="AF1413" s="3">
        <v>40275</v>
      </c>
      <c r="AG1413" s="4">
        <v>0.625</v>
      </c>
      <c r="AH1413" s="2">
        <v>6</v>
      </c>
      <c r="AI1413" s="2" t="s">
        <v>197</v>
      </c>
      <c r="AJ1413" s="2">
        <v>50</v>
      </c>
      <c r="AK1413" s="2" t="s">
        <v>330</v>
      </c>
      <c r="AL1413" s="2">
        <v>18</v>
      </c>
      <c r="AM1413" s="2" t="s">
        <v>82</v>
      </c>
      <c r="AN1413" s="2"/>
      <c r="AO1413" s="2"/>
      <c r="AP1413" s="2">
        <v>11</v>
      </c>
      <c r="AQ1413" s="2" t="s">
        <v>82</v>
      </c>
      <c r="AR1413" s="2"/>
      <c r="AS1413" s="2"/>
      <c r="AT1413" s="2" t="s">
        <v>5219</v>
      </c>
      <c r="AU1413" s="2"/>
      <c r="AV1413" s="2"/>
      <c r="AW1413" s="2"/>
      <c r="AX1413" s="2"/>
      <c r="AY1413" s="2">
        <v>41</v>
      </c>
      <c r="AZ1413" s="2" t="s">
        <v>82</v>
      </c>
      <c r="BA1413" s="2">
        <v>41</v>
      </c>
      <c r="BB1413" s="2" t="s">
        <v>82</v>
      </c>
      <c r="BC1413" s="2">
        <v>41</v>
      </c>
      <c r="BD1413" s="2" t="s">
        <v>82</v>
      </c>
      <c r="BE1413" s="2">
        <v>41</v>
      </c>
      <c r="BF1413" s="2" t="s">
        <v>82</v>
      </c>
      <c r="BG1413" s="2"/>
      <c r="BH1413" s="2"/>
      <c r="BI1413" s="2"/>
      <c r="BJ1413" s="2">
        <v>241</v>
      </c>
      <c r="BK1413" s="2" t="s">
        <v>82</v>
      </c>
      <c r="BL1413" s="2"/>
      <c r="BM1413" s="2">
        <v>241</v>
      </c>
      <c r="BN1413" s="2" t="s">
        <v>82</v>
      </c>
      <c r="BO1413" s="2"/>
      <c r="BP1413" s="2">
        <v>241</v>
      </c>
      <c r="BQ1413" s="2" t="s">
        <v>82</v>
      </c>
      <c r="BR1413" s="2"/>
      <c r="BS1413" s="3">
        <v>40275</v>
      </c>
      <c r="BT1413" s="4">
        <v>0.74009259259259252</v>
      </c>
    </row>
    <row r="1414" spans="1:72" x14ac:dyDescent="0.25">
      <c r="A1414" s="2">
        <v>2104</v>
      </c>
      <c r="B1414" s="2">
        <v>2010</v>
      </c>
      <c r="C1414" s="2" t="s">
        <v>72</v>
      </c>
      <c r="D1414" s="2" t="s">
        <v>73</v>
      </c>
      <c r="E1414" s="2"/>
      <c r="F1414" s="2">
        <v>533</v>
      </c>
      <c r="G1414" s="2" t="s">
        <v>3397</v>
      </c>
      <c r="H1414" s="2">
        <v>2</v>
      </c>
      <c r="I1414" s="2" t="s">
        <v>267</v>
      </c>
      <c r="J1414" s="2">
        <v>462</v>
      </c>
      <c r="K1414" s="2" t="s">
        <v>3398</v>
      </c>
      <c r="L1414" s="2" t="s">
        <v>3399</v>
      </c>
      <c r="M1414" s="3">
        <v>40275</v>
      </c>
      <c r="N1414" s="2" t="s">
        <v>5220</v>
      </c>
      <c r="O1414" s="2"/>
      <c r="P1414" s="2"/>
      <c r="Q1414" s="2" t="str">
        <f>"0039/10"</f>
        <v>0039/10</v>
      </c>
      <c r="R1414" s="2"/>
      <c r="S1414" s="2"/>
      <c r="T1414" s="2">
        <v>1</v>
      </c>
      <c r="U1414" s="2" t="s">
        <v>79</v>
      </c>
      <c r="V1414" s="2">
        <v>1</v>
      </c>
      <c r="W1414" s="2" t="s">
        <v>80</v>
      </c>
      <c r="X1414" s="2">
        <v>5</v>
      </c>
      <c r="Y1414" s="2" t="s">
        <v>82</v>
      </c>
      <c r="Z1414" s="2">
        <v>1</v>
      </c>
      <c r="AA1414" s="2" t="s">
        <v>82</v>
      </c>
      <c r="AB1414" s="2">
        <v>6</v>
      </c>
      <c r="AC1414" s="2" t="s">
        <v>83</v>
      </c>
      <c r="AD1414" s="3">
        <v>40212</v>
      </c>
      <c r="AE1414" s="2"/>
      <c r="AF1414" s="3">
        <v>40212</v>
      </c>
      <c r="AG1414" s="4">
        <v>0.59375</v>
      </c>
      <c r="AH1414" s="2">
        <v>5</v>
      </c>
      <c r="AI1414" s="2" t="s">
        <v>274</v>
      </c>
      <c r="AJ1414" s="2">
        <v>38</v>
      </c>
      <c r="AK1414" s="2" t="s">
        <v>1120</v>
      </c>
      <c r="AL1414" s="2">
        <v>5</v>
      </c>
      <c r="AM1414" s="2" t="s">
        <v>193</v>
      </c>
      <c r="AN1414" s="2"/>
      <c r="AO1414" s="2" t="s">
        <v>5221</v>
      </c>
      <c r="AP1414" s="2">
        <v>11</v>
      </c>
      <c r="AQ1414" s="2" t="s">
        <v>82</v>
      </c>
      <c r="AR1414" s="2"/>
      <c r="AS1414" s="2"/>
      <c r="AT1414" s="2" t="s">
        <v>5222</v>
      </c>
      <c r="AU1414" s="2"/>
      <c r="AV1414" s="2"/>
      <c r="AW1414" s="2"/>
      <c r="AX1414" s="2"/>
      <c r="AY1414" s="2">
        <v>41</v>
      </c>
      <c r="AZ1414" s="2" t="s">
        <v>82</v>
      </c>
      <c r="BA1414" s="2">
        <v>41</v>
      </c>
      <c r="BB1414" s="2" t="s">
        <v>82</v>
      </c>
      <c r="BC1414" s="2">
        <v>41</v>
      </c>
      <c r="BD1414" s="2" t="s">
        <v>82</v>
      </c>
      <c r="BE1414" s="2">
        <v>41</v>
      </c>
      <c r="BF1414" s="2" t="s">
        <v>82</v>
      </c>
      <c r="BG1414" s="2"/>
      <c r="BH1414" s="2"/>
      <c r="BI1414" s="2"/>
      <c r="BJ1414" s="2">
        <v>13</v>
      </c>
      <c r="BK1414" s="2" t="s">
        <v>91</v>
      </c>
      <c r="BL1414" s="2" t="s">
        <v>92</v>
      </c>
      <c r="BM1414" s="2">
        <v>13</v>
      </c>
      <c r="BN1414" s="2" t="s">
        <v>91</v>
      </c>
      <c r="BO1414" s="2"/>
      <c r="BP1414" s="2">
        <v>13</v>
      </c>
      <c r="BQ1414" s="2" t="s">
        <v>91</v>
      </c>
      <c r="BR1414" s="2" t="s">
        <v>170</v>
      </c>
      <c r="BS1414" s="3">
        <v>40275</v>
      </c>
      <c r="BT1414" s="4">
        <v>0.77473379629629635</v>
      </c>
    </row>
    <row r="1415" spans="1:72" x14ac:dyDescent="0.25">
      <c r="A1415" s="2">
        <v>2105</v>
      </c>
      <c r="B1415" s="2">
        <v>2010</v>
      </c>
      <c r="C1415" s="2" t="s">
        <v>72</v>
      </c>
      <c r="D1415" s="2" t="s">
        <v>73</v>
      </c>
      <c r="E1415" s="2"/>
      <c r="F1415" s="2">
        <v>160</v>
      </c>
      <c r="G1415" s="2"/>
      <c r="H1415" s="2">
        <v>20</v>
      </c>
      <c r="I1415" s="2" t="s">
        <v>5073</v>
      </c>
      <c r="J1415" s="2">
        <v>170</v>
      </c>
      <c r="K1415" s="2" t="s">
        <v>5074</v>
      </c>
      <c r="L1415" s="2" t="s">
        <v>5075</v>
      </c>
      <c r="M1415" s="3">
        <v>40275</v>
      </c>
      <c r="N1415" s="2" t="s">
        <v>5223</v>
      </c>
      <c r="O1415" s="2" t="s">
        <v>107</v>
      </c>
      <c r="P1415" s="2" t="s">
        <v>107</v>
      </c>
      <c r="Q1415" s="2" t="str">
        <f>"147-A/10"</f>
        <v>147-A/10</v>
      </c>
      <c r="R1415" s="2" t="s">
        <v>107</v>
      </c>
      <c r="S1415" s="2" t="s">
        <v>480</v>
      </c>
      <c r="T1415" s="2">
        <v>1</v>
      </c>
      <c r="U1415" s="2" t="s">
        <v>79</v>
      </c>
      <c r="V1415" s="2">
        <v>1</v>
      </c>
      <c r="W1415" s="2" t="s">
        <v>80</v>
      </c>
      <c r="X1415" s="2">
        <v>1</v>
      </c>
      <c r="Y1415" s="2" t="s">
        <v>81</v>
      </c>
      <c r="Z1415" s="2">
        <v>10</v>
      </c>
      <c r="AA1415" s="2" t="s">
        <v>236</v>
      </c>
      <c r="AB1415" s="2">
        <v>6</v>
      </c>
      <c r="AC1415" s="2" t="s">
        <v>83</v>
      </c>
      <c r="AD1415" s="3">
        <v>40275</v>
      </c>
      <c r="AE1415" s="4">
        <v>0.68402777777777779</v>
      </c>
      <c r="AF1415" s="3">
        <v>40275</v>
      </c>
      <c r="AG1415" s="4">
        <v>0.74305555555555547</v>
      </c>
      <c r="AH1415" s="2">
        <v>2</v>
      </c>
      <c r="AI1415" s="2" t="s">
        <v>84</v>
      </c>
      <c r="AJ1415" s="2">
        <v>12</v>
      </c>
      <c r="AK1415" s="2" t="s">
        <v>85</v>
      </c>
      <c r="AL1415" s="2">
        <v>16</v>
      </c>
      <c r="AM1415" s="2" t="s">
        <v>392</v>
      </c>
      <c r="AN1415" s="2"/>
      <c r="AO1415" s="2" t="s">
        <v>5224</v>
      </c>
      <c r="AP1415" s="2">
        <v>11</v>
      </c>
      <c r="AQ1415" s="2" t="s">
        <v>82</v>
      </c>
      <c r="AR1415" s="2"/>
      <c r="AS1415" s="2"/>
      <c r="AT1415" s="2" t="s">
        <v>5225</v>
      </c>
      <c r="AU1415" s="2"/>
      <c r="AV1415" s="2"/>
      <c r="AW1415" s="2"/>
      <c r="AX1415" s="2"/>
      <c r="AY1415" s="2">
        <v>41</v>
      </c>
      <c r="AZ1415" s="2" t="s">
        <v>82</v>
      </c>
      <c r="BA1415" s="2">
        <v>41</v>
      </c>
      <c r="BB1415" s="2" t="s">
        <v>82</v>
      </c>
      <c r="BC1415" s="2">
        <v>41</v>
      </c>
      <c r="BD1415" s="2" t="s">
        <v>82</v>
      </c>
      <c r="BE1415" s="2">
        <v>41</v>
      </c>
      <c r="BF1415" s="2" t="s">
        <v>82</v>
      </c>
      <c r="BG1415" s="2"/>
      <c r="BH1415" s="2"/>
      <c r="BI1415" s="2"/>
      <c r="BJ1415" s="2">
        <v>241</v>
      </c>
      <c r="BK1415" s="2" t="s">
        <v>82</v>
      </c>
      <c r="BL1415" s="2"/>
      <c r="BM1415" s="2">
        <v>241</v>
      </c>
      <c r="BN1415" s="2" t="s">
        <v>82</v>
      </c>
      <c r="BO1415" s="2"/>
      <c r="BP1415" s="2">
        <v>241</v>
      </c>
      <c r="BQ1415" s="2" t="s">
        <v>82</v>
      </c>
      <c r="BR1415" s="2"/>
      <c r="BS1415" s="3">
        <v>40275</v>
      </c>
      <c r="BT1415" s="4">
        <v>0.82010416666666675</v>
      </c>
    </row>
    <row r="1416" spans="1:72" x14ac:dyDescent="0.25">
      <c r="A1416" s="2">
        <v>2106</v>
      </c>
      <c r="B1416" s="2">
        <v>2010</v>
      </c>
      <c r="C1416" s="2" t="s">
        <v>385</v>
      </c>
      <c r="D1416" s="2" t="s">
        <v>122</v>
      </c>
      <c r="E1416" s="2"/>
      <c r="F1416" s="2">
        <v>400</v>
      </c>
      <c r="G1416" s="2" t="s">
        <v>3601</v>
      </c>
      <c r="H1416" s="2">
        <v>17</v>
      </c>
      <c r="I1416" s="2" t="s">
        <v>3602</v>
      </c>
      <c r="J1416" s="2">
        <v>316</v>
      </c>
      <c r="K1416" s="2" t="s">
        <v>574</v>
      </c>
      <c r="L1416" s="2" t="s">
        <v>575</v>
      </c>
      <c r="M1416" s="3">
        <v>40275</v>
      </c>
      <c r="N1416" s="2" t="s">
        <v>5226</v>
      </c>
      <c r="O1416" s="2" t="s">
        <v>5227</v>
      </c>
      <c r="P1416" s="2">
        <v>9964</v>
      </c>
      <c r="Q1416" s="2" t="str">
        <f>""</f>
        <v/>
      </c>
      <c r="R1416" s="2"/>
      <c r="S1416" s="2"/>
      <c r="T1416" s="2">
        <v>1</v>
      </c>
      <c r="U1416" s="2" t="s">
        <v>79</v>
      </c>
      <c r="V1416" s="2">
        <v>1</v>
      </c>
      <c r="W1416" s="2" t="s">
        <v>80</v>
      </c>
      <c r="X1416" s="2">
        <v>1</v>
      </c>
      <c r="Y1416" s="2" t="s">
        <v>81</v>
      </c>
      <c r="Z1416" s="2">
        <v>1</v>
      </c>
      <c r="AA1416" s="2" t="s">
        <v>82</v>
      </c>
      <c r="AB1416" s="2">
        <v>9</v>
      </c>
      <c r="AC1416" s="2" t="s">
        <v>124</v>
      </c>
      <c r="AD1416" s="3">
        <v>40275</v>
      </c>
      <c r="AE1416" s="4">
        <v>0.76041666666666663</v>
      </c>
      <c r="AF1416" s="2"/>
      <c r="AG1416" s="2"/>
      <c r="AH1416" s="2">
        <v>2</v>
      </c>
      <c r="AI1416" s="2" t="s">
        <v>84</v>
      </c>
      <c r="AJ1416" s="2">
        <v>12</v>
      </c>
      <c r="AK1416" s="2" t="s">
        <v>85</v>
      </c>
      <c r="AL1416" s="2">
        <v>18</v>
      </c>
      <c r="AM1416" s="2" t="s">
        <v>82</v>
      </c>
      <c r="AN1416" s="2"/>
      <c r="AO1416" s="2" t="s">
        <v>5228</v>
      </c>
      <c r="AP1416" s="2">
        <v>11</v>
      </c>
      <c r="AQ1416" s="2" t="s">
        <v>82</v>
      </c>
      <c r="AR1416" s="2"/>
      <c r="AS1416" s="2"/>
      <c r="AT1416" s="2" t="s">
        <v>5229</v>
      </c>
      <c r="AU1416" s="2">
        <v>1</v>
      </c>
      <c r="AV1416" s="2"/>
      <c r="AW1416" s="2"/>
      <c r="AX1416" s="2"/>
      <c r="AY1416" s="2">
        <v>41</v>
      </c>
      <c r="AZ1416" s="2" t="s">
        <v>82</v>
      </c>
      <c r="BA1416" s="2">
        <v>41</v>
      </c>
      <c r="BB1416" s="2" t="s">
        <v>82</v>
      </c>
      <c r="BC1416" s="2">
        <v>41</v>
      </c>
      <c r="BD1416" s="2" t="s">
        <v>82</v>
      </c>
      <c r="BE1416" s="2">
        <v>41</v>
      </c>
      <c r="BF1416" s="2" t="s">
        <v>82</v>
      </c>
      <c r="BG1416" s="2"/>
      <c r="BH1416" s="2"/>
      <c r="BI1416" s="2"/>
      <c r="BJ1416" s="2">
        <v>241</v>
      </c>
      <c r="BK1416" s="2" t="s">
        <v>82</v>
      </c>
      <c r="BL1416" s="2"/>
      <c r="BM1416" s="2">
        <v>241</v>
      </c>
      <c r="BN1416" s="2" t="s">
        <v>82</v>
      </c>
      <c r="BO1416" s="2"/>
      <c r="BP1416" s="2">
        <v>241</v>
      </c>
      <c r="BQ1416" s="2" t="s">
        <v>82</v>
      </c>
      <c r="BR1416" s="2"/>
      <c r="BS1416" s="3">
        <v>40275</v>
      </c>
      <c r="BT1416" s="4">
        <v>0.88744212962962965</v>
      </c>
    </row>
    <row r="1417" spans="1:72" x14ac:dyDescent="0.25">
      <c r="A1417" s="2">
        <v>2108</v>
      </c>
      <c r="B1417" s="2">
        <v>2010</v>
      </c>
      <c r="C1417" s="2" t="s">
        <v>171</v>
      </c>
      <c r="D1417" s="2" t="s">
        <v>122</v>
      </c>
      <c r="E1417" s="2" t="s">
        <v>5230</v>
      </c>
      <c r="F1417" s="2">
        <v>400</v>
      </c>
      <c r="G1417" s="2" t="s">
        <v>3601</v>
      </c>
      <c r="H1417" s="2">
        <v>17</v>
      </c>
      <c r="I1417" s="2" t="s">
        <v>3602</v>
      </c>
      <c r="J1417" s="2">
        <v>316</v>
      </c>
      <c r="K1417" s="2" t="s">
        <v>574</v>
      </c>
      <c r="L1417" s="2" t="s">
        <v>575</v>
      </c>
      <c r="M1417" s="3">
        <v>40275</v>
      </c>
      <c r="N1417" s="2" t="s">
        <v>5133</v>
      </c>
      <c r="O1417" s="2"/>
      <c r="P1417" s="2"/>
      <c r="Q1417" s="2" t="str">
        <f>"186-E/10"</f>
        <v>186-E/10</v>
      </c>
      <c r="R1417" s="2"/>
      <c r="S1417" s="2" t="s">
        <v>391</v>
      </c>
      <c r="T1417" s="2">
        <v>1</v>
      </c>
      <c r="U1417" s="2" t="s">
        <v>79</v>
      </c>
      <c r="V1417" s="2">
        <v>1</v>
      </c>
      <c r="W1417" s="2" t="s">
        <v>80</v>
      </c>
      <c r="X1417" s="2">
        <v>1</v>
      </c>
      <c r="Y1417" s="2" t="s">
        <v>81</v>
      </c>
      <c r="Z1417" s="2">
        <v>10</v>
      </c>
      <c r="AA1417" s="2" t="s">
        <v>236</v>
      </c>
      <c r="AB1417" s="2">
        <v>1</v>
      </c>
      <c r="AC1417" s="2" t="s">
        <v>178</v>
      </c>
      <c r="AD1417" s="3">
        <v>40274</v>
      </c>
      <c r="AE1417" s="4">
        <v>0.625</v>
      </c>
      <c r="AF1417" s="2"/>
      <c r="AG1417" s="2"/>
      <c r="AH1417" s="2">
        <v>2</v>
      </c>
      <c r="AI1417" s="2" t="s">
        <v>84</v>
      </c>
      <c r="AJ1417" s="2">
        <v>9</v>
      </c>
      <c r="AK1417" s="2" t="s">
        <v>103</v>
      </c>
      <c r="AL1417" s="2">
        <v>8</v>
      </c>
      <c r="AM1417" s="2" t="s">
        <v>179</v>
      </c>
      <c r="AN1417" s="2" t="s">
        <v>987</v>
      </c>
      <c r="AO1417" s="2"/>
      <c r="AP1417" s="2">
        <v>11</v>
      </c>
      <c r="AQ1417" s="2" t="s">
        <v>82</v>
      </c>
      <c r="AR1417" s="2"/>
      <c r="AS1417" s="2"/>
      <c r="AT1417" s="2" t="s">
        <v>5231</v>
      </c>
      <c r="AU1417" s="2"/>
      <c r="AV1417" s="2">
        <v>2</v>
      </c>
      <c r="AW1417" s="2"/>
      <c r="AX1417" s="2"/>
      <c r="AY1417" s="2">
        <v>42</v>
      </c>
      <c r="AZ1417" s="2" t="s">
        <v>182</v>
      </c>
      <c r="BA1417" s="2">
        <v>41</v>
      </c>
      <c r="BB1417" s="2" t="s">
        <v>82</v>
      </c>
      <c r="BC1417" s="2">
        <v>70</v>
      </c>
      <c r="BD1417" s="2" t="s">
        <v>236</v>
      </c>
      <c r="BE1417" s="2">
        <v>14</v>
      </c>
      <c r="BF1417" s="2" t="s">
        <v>484</v>
      </c>
      <c r="BG1417" s="2" t="s">
        <v>818</v>
      </c>
      <c r="BH1417" s="2"/>
      <c r="BI1417" s="4">
        <v>0.71180555555555547</v>
      </c>
      <c r="BJ1417" s="2">
        <v>13</v>
      </c>
      <c r="BK1417" s="2" t="s">
        <v>91</v>
      </c>
      <c r="BL1417" s="2" t="s">
        <v>360</v>
      </c>
      <c r="BM1417" s="2">
        <v>241</v>
      </c>
      <c r="BN1417" s="2" t="s">
        <v>82</v>
      </c>
      <c r="BO1417" s="2"/>
      <c r="BP1417" s="2">
        <v>82</v>
      </c>
      <c r="BQ1417" s="2" t="s">
        <v>487</v>
      </c>
      <c r="BR1417" s="2" t="s">
        <v>488</v>
      </c>
      <c r="BS1417" s="3">
        <v>40275</v>
      </c>
      <c r="BT1417" s="4">
        <v>0.93237268518518512</v>
      </c>
    </row>
    <row r="1418" spans="1:72" x14ac:dyDescent="0.25">
      <c r="A1418" s="2">
        <v>2109</v>
      </c>
      <c r="B1418" s="2">
        <v>2010</v>
      </c>
      <c r="C1418" s="2" t="s">
        <v>72</v>
      </c>
      <c r="D1418" s="2" t="s">
        <v>122</v>
      </c>
      <c r="E1418" s="2" t="s">
        <v>5232</v>
      </c>
      <c r="F1418" s="2">
        <v>288</v>
      </c>
      <c r="G1418" s="2" t="s">
        <v>5233</v>
      </c>
      <c r="H1418" s="2">
        <v>50</v>
      </c>
      <c r="I1418" s="2" t="s">
        <v>107</v>
      </c>
      <c r="J1418" s="2">
        <v>519</v>
      </c>
      <c r="K1418" s="2" t="s">
        <v>5234</v>
      </c>
      <c r="L1418" s="2" t="s">
        <v>5235</v>
      </c>
      <c r="M1418" s="3">
        <v>40275</v>
      </c>
      <c r="N1418" s="2" t="s">
        <v>107</v>
      </c>
      <c r="O1418" s="2"/>
      <c r="P1418" s="2"/>
      <c r="Q1418" s="2" t="str">
        <f>"17-10"</f>
        <v>17-10</v>
      </c>
      <c r="R1418" s="2" t="s">
        <v>116</v>
      </c>
      <c r="S1418" s="2"/>
      <c r="T1418" s="2">
        <v>1</v>
      </c>
      <c r="U1418" s="2" t="s">
        <v>79</v>
      </c>
      <c r="V1418" s="2">
        <v>1</v>
      </c>
      <c r="W1418" s="2" t="s">
        <v>80</v>
      </c>
      <c r="X1418" s="2">
        <v>5</v>
      </c>
      <c r="Y1418" s="2" t="s">
        <v>82</v>
      </c>
      <c r="Z1418" s="2">
        <v>1</v>
      </c>
      <c r="AA1418" s="2" t="s">
        <v>82</v>
      </c>
      <c r="AB1418" s="2">
        <v>6</v>
      </c>
      <c r="AC1418" s="2" t="s">
        <v>83</v>
      </c>
      <c r="AD1418" s="3">
        <v>40275</v>
      </c>
      <c r="AE1418" s="2"/>
      <c r="AF1418" s="3">
        <v>40275</v>
      </c>
      <c r="AG1418" s="4">
        <v>0.51041666666666663</v>
      </c>
      <c r="AH1418" s="2">
        <v>3</v>
      </c>
      <c r="AI1418" s="2" t="s">
        <v>214</v>
      </c>
      <c r="AJ1418" s="2">
        <v>24</v>
      </c>
      <c r="AK1418" s="2" t="s">
        <v>215</v>
      </c>
      <c r="AL1418" s="2">
        <v>10</v>
      </c>
      <c r="AM1418" s="2" t="s">
        <v>200</v>
      </c>
      <c r="AN1418" s="2"/>
      <c r="AO1418" s="2" t="s">
        <v>5186</v>
      </c>
      <c r="AP1418" s="2">
        <v>11</v>
      </c>
      <c r="AQ1418" s="2" t="s">
        <v>82</v>
      </c>
      <c r="AR1418" s="2"/>
      <c r="AS1418" s="2"/>
      <c r="AT1418" s="2" t="s">
        <v>5236</v>
      </c>
      <c r="AU1418" s="2"/>
      <c r="AV1418" s="2"/>
      <c r="AW1418" s="2"/>
      <c r="AX1418" s="2"/>
      <c r="AY1418" s="2">
        <v>106</v>
      </c>
      <c r="AZ1418" s="2" t="s">
        <v>5188</v>
      </c>
      <c r="BA1418" s="2">
        <v>106</v>
      </c>
      <c r="BB1418" s="2" t="s">
        <v>5188</v>
      </c>
      <c r="BC1418" s="2">
        <v>106</v>
      </c>
      <c r="BD1418" s="2" t="s">
        <v>5188</v>
      </c>
      <c r="BE1418" s="2">
        <v>13</v>
      </c>
      <c r="BF1418" s="2" t="s">
        <v>108</v>
      </c>
      <c r="BG1418" s="2">
        <v>1506</v>
      </c>
      <c r="BH1418" s="4">
        <v>0.45833333333333331</v>
      </c>
      <c r="BI1418" s="4">
        <v>0.4152777777777778</v>
      </c>
      <c r="BJ1418" s="2">
        <v>13</v>
      </c>
      <c r="BK1418" s="2" t="s">
        <v>91</v>
      </c>
      <c r="BL1418" s="2" t="s">
        <v>185</v>
      </c>
      <c r="BM1418" s="2">
        <v>241</v>
      </c>
      <c r="BN1418" s="2" t="s">
        <v>82</v>
      </c>
      <c r="BO1418" s="2"/>
      <c r="BP1418" s="2">
        <v>13</v>
      </c>
      <c r="BQ1418" s="2" t="s">
        <v>91</v>
      </c>
      <c r="BR1418" s="2" t="s">
        <v>169</v>
      </c>
      <c r="BS1418" s="3">
        <v>40275</v>
      </c>
      <c r="BT1418" s="4">
        <v>0.99738425925925922</v>
      </c>
    </row>
    <row r="1419" spans="1:72" x14ac:dyDescent="0.25">
      <c r="A1419" s="2">
        <v>2110</v>
      </c>
      <c r="B1419" s="2">
        <v>2010</v>
      </c>
      <c r="C1419" s="2" t="s">
        <v>72</v>
      </c>
      <c r="D1419" s="2" t="s">
        <v>73</v>
      </c>
      <c r="E1419" s="2"/>
      <c r="F1419" s="2">
        <v>3</v>
      </c>
      <c r="G1419" s="2" t="s">
        <v>1041</v>
      </c>
      <c r="H1419" s="2">
        <v>22</v>
      </c>
      <c r="I1419" s="2" t="s">
        <v>75</v>
      </c>
      <c r="J1419" s="2">
        <v>368</v>
      </c>
      <c r="K1419" s="2" t="s">
        <v>1042</v>
      </c>
      <c r="L1419" s="2" t="s">
        <v>1043</v>
      </c>
      <c r="M1419" s="3">
        <v>40276</v>
      </c>
      <c r="N1419" s="2"/>
      <c r="O1419" s="2" t="s">
        <v>82</v>
      </c>
      <c r="P1419" s="2" t="s">
        <v>82</v>
      </c>
      <c r="Q1419" s="2" t="str">
        <f>"188-E/10"</f>
        <v>188-E/10</v>
      </c>
      <c r="R1419" s="2" t="s">
        <v>116</v>
      </c>
      <c r="S1419" s="2" t="s">
        <v>116</v>
      </c>
      <c r="T1419" s="2">
        <v>1</v>
      </c>
      <c r="U1419" s="2" t="s">
        <v>79</v>
      </c>
      <c r="V1419" s="2">
        <v>1</v>
      </c>
      <c r="W1419" s="2" t="s">
        <v>80</v>
      </c>
      <c r="X1419" s="2">
        <v>5</v>
      </c>
      <c r="Y1419" s="2" t="s">
        <v>82</v>
      </c>
      <c r="Z1419" s="2">
        <v>1</v>
      </c>
      <c r="AA1419" s="2" t="s">
        <v>82</v>
      </c>
      <c r="AB1419" s="2">
        <v>6</v>
      </c>
      <c r="AC1419" s="2" t="s">
        <v>83</v>
      </c>
      <c r="AD1419" s="3">
        <v>40275</v>
      </c>
      <c r="AE1419" s="4">
        <v>0.84027777777777779</v>
      </c>
      <c r="AF1419" s="3">
        <v>40275</v>
      </c>
      <c r="AG1419" s="4">
        <v>0.875</v>
      </c>
      <c r="AH1419" s="2">
        <v>2</v>
      </c>
      <c r="AI1419" s="2" t="s">
        <v>84</v>
      </c>
      <c r="AJ1419" s="2">
        <v>9</v>
      </c>
      <c r="AK1419" s="2" t="s">
        <v>103</v>
      </c>
      <c r="AL1419" s="2">
        <v>12</v>
      </c>
      <c r="AM1419" s="2" t="s">
        <v>86</v>
      </c>
      <c r="AN1419" s="2"/>
      <c r="AO1419" s="2" t="s">
        <v>5237</v>
      </c>
      <c r="AP1419" s="2">
        <v>11</v>
      </c>
      <c r="AQ1419" s="2" t="s">
        <v>82</v>
      </c>
      <c r="AR1419" s="2"/>
      <c r="AS1419" s="2"/>
      <c r="AT1419" s="2" t="s">
        <v>5238</v>
      </c>
      <c r="AU1419" s="2"/>
      <c r="AV1419" s="2"/>
      <c r="AW1419" s="2"/>
      <c r="AX1419" s="2"/>
      <c r="AY1419" s="2">
        <v>1</v>
      </c>
      <c r="AZ1419" s="2" t="s">
        <v>107</v>
      </c>
      <c r="BA1419" s="2">
        <v>1</v>
      </c>
      <c r="BB1419" s="2" t="s">
        <v>107</v>
      </c>
      <c r="BC1419" s="2">
        <v>1</v>
      </c>
      <c r="BD1419" s="2" t="s">
        <v>107</v>
      </c>
      <c r="BE1419" s="2">
        <v>41</v>
      </c>
      <c r="BF1419" s="2" t="s">
        <v>82</v>
      </c>
      <c r="BG1419" s="2"/>
      <c r="BH1419" s="2"/>
      <c r="BI1419" s="2"/>
      <c r="BJ1419" s="2">
        <v>241</v>
      </c>
      <c r="BK1419" s="2" t="s">
        <v>82</v>
      </c>
      <c r="BL1419" s="2"/>
      <c r="BM1419" s="2">
        <v>241</v>
      </c>
      <c r="BN1419" s="2" t="s">
        <v>82</v>
      </c>
      <c r="BO1419" s="2"/>
      <c r="BP1419" s="2">
        <v>241</v>
      </c>
      <c r="BQ1419" s="2" t="s">
        <v>82</v>
      </c>
      <c r="BR1419" s="2"/>
      <c r="BS1419" s="3">
        <v>40276</v>
      </c>
      <c r="BT1419" s="4">
        <v>5.7326388888888892E-2</v>
      </c>
    </row>
    <row r="1420" spans="1:72" x14ac:dyDescent="0.25">
      <c r="A1420" s="2">
        <v>2111</v>
      </c>
      <c r="B1420" s="2">
        <v>2010</v>
      </c>
      <c r="C1420" s="2" t="s">
        <v>72</v>
      </c>
      <c r="D1420" s="2" t="s">
        <v>73</v>
      </c>
      <c r="E1420" s="2"/>
      <c r="F1420" s="2">
        <v>533</v>
      </c>
      <c r="G1420" s="2" t="s">
        <v>3397</v>
      </c>
      <c r="H1420" s="2">
        <v>3</v>
      </c>
      <c r="I1420" s="2" t="s">
        <v>315</v>
      </c>
      <c r="J1420" s="2">
        <v>462</v>
      </c>
      <c r="K1420" s="2" t="s">
        <v>3398</v>
      </c>
      <c r="L1420" s="2" t="s">
        <v>3399</v>
      </c>
      <c r="M1420" s="3">
        <v>40276</v>
      </c>
      <c r="N1420" s="2" t="s">
        <v>5220</v>
      </c>
      <c r="O1420" s="2" t="s">
        <v>5239</v>
      </c>
      <c r="P1420" s="2" t="s">
        <v>82</v>
      </c>
      <c r="Q1420" s="2" t="str">
        <f>"0040/10"</f>
        <v>0040/10</v>
      </c>
      <c r="R1420" s="2" t="s">
        <v>82</v>
      </c>
      <c r="S1420" s="2"/>
      <c r="T1420" s="2">
        <v>1</v>
      </c>
      <c r="U1420" s="2" t="s">
        <v>79</v>
      </c>
      <c r="V1420" s="2">
        <v>1</v>
      </c>
      <c r="W1420" s="2" t="s">
        <v>80</v>
      </c>
      <c r="X1420" s="2">
        <v>1</v>
      </c>
      <c r="Y1420" s="2" t="s">
        <v>81</v>
      </c>
      <c r="Z1420" s="2">
        <v>10</v>
      </c>
      <c r="AA1420" s="2" t="s">
        <v>236</v>
      </c>
      <c r="AB1420" s="2">
        <v>6</v>
      </c>
      <c r="AC1420" s="2" t="s">
        <v>83</v>
      </c>
      <c r="AD1420" s="3">
        <v>40275</v>
      </c>
      <c r="AE1420" s="2"/>
      <c r="AF1420" s="3">
        <v>40275</v>
      </c>
      <c r="AG1420" s="4">
        <v>0.97222222222222221</v>
      </c>
      <c r="AH1420" s="2">
        <v>5</v>
      </c>
      <c r="AI1420" s="2" t="s">
        <v>274</v>
      </c>
      <c r="AJ1420" s="2">
        <v>38</v>
      </c>
      <c r="AK1420" s="2" t="s">
        <v>1120</v>
      </c>
      <c r="AL1420" s="2">
        <v>18</v>
      </c>
      <c r="AM1420" s="2" t="s">
        <v>82</v>
      </c>
      <c r="AN1420" s="2"/>
      <c r="AO1420" s="2" t="s">
        <v>5240</v>
      </c>
      <c r="AP1420" s="2">
        <v>11</v>
      </c>
      <c r="AQ1420" s="2" t="s">
        <v>82</v>
      </c>
      <c r="AR1420" s="2"/>
      <c r="AS1420" s="2"/>
      <c r="AT1420" s="2" t="s">
        <v>5241</v>
      </c>
      <c r="AU1420" s="2"/>
      <c r="AV1420" s="2"/>
      <c r="AW1420" s="2"/>
      <c r="AX1420" s="2"/>
      <c r="AY1420" s="2">
        <v>41</v>
      </c>
      <c r="AZ1420" s="2" t="s">
        <v>82</v>
      </c>
      <c r="BA1420" s="2">
        <v>41</v>
      </c>
      <c r="BB1420" s="2" t="s">
        <v>82</v>
      </c>
      <c r="BC1420" s="2">
        <v>41</v>
      </c>
      <c r="BD1420" s="2" t="s">
        <v>82</v>
      </c>
      <c r="BE1420" s="2">
        <v>41</v>
      </c>
      <c r="BF1420" s="2" t="s">
        <v>82</v>
      </c>
      <c r="BG1420" s="2"/>
      <c r="BH1420" s="2"/>
      <c r="BI1420" s="2"/>
      <c r="BJ1420" s="2">
        <v>241</v>
      </c>
      <c r="BK1420" s="2" t="s">
        <v>82</v>
      </c>
      <c r="BL1420" s="2"/>
      <c r="BM1420" s="2">
        <v>241</v>
      </c>
      <c r="BN1420" s="2" t="s">
        <v>82</v>
      </c>
      <c r="BO1420" s="2"/>
      <c r="BP1420" s="2">
        <v>241</v>
      </c>
      <c r="BQ1420" s="2" t="s">
        <v>82</v>
      </c>
      <c r="BR1420" s="2"/>
      <c r="BS1420" s="3">
        <v>40276</v>
      </c>
      <c r="BT1420" s="4">
        <v>0.19795138888888889</v>
      </c>
    </row>
    <row r="1421" spans="1:72" x14ac:dyDescent="0.25">
      <c r="A1421" s="2">
        <v>2114</v>
      </c>
      <c r="B1421" s="2">
        <v>2010</v>
      </c>
      <c r="C1421" s="2" t="s">
        <v>171</v>
      </c>
      <c r="D1421" s="2" t="s">
        <v>73</v>
      </c>
      <c r="E1421" s="2"/>
      <c r="F1421" s="2">
        <v>400</v>
      </c>
      <c r="G1421" s="2" t="s">
        <v>3601</v>
      </c>
      <c r="H1421" s="2">
        <v>17</v>
      </c>
      <c r="I1421" s="2" t="s">
        <v>3602</v>
      </c>
      <c r="J1421" s="2">
        <v>316</v>
      </c>
      <c r="K1421" s="2" t="s">
        <v>574</v>
      </c>
      <c r="L1421" s="2" t="s">
        <v>575</v>
      </c>
      <c r="M1421" s="3">
        <v>40276</v>
      </c>
      <c r="N1421" s="2" t="s">
        <v>5242</v>
      </c>
      <c r="O1421" s="2" t="s">
        <v>5243</v>
      </c>
      <c r="P1421" s="2">
        <v>9964</v>
      </c>
      <c r="Q1421" s="2" t="str">
        <f>"186E/10"</f>
        <v>186E/10</v>
      </c>
      <c r="R1421" s="2"/>
      <c r="S1421" s="2" t="s">
        <v>2448</v>
      </c>
      <c r="T1421" s="2">
        <v>1</v>
      </c>
      <c r="U1421" s="2" t="s">
        <v>79</v>
      </c>
      <c r="V1421" s="2">
        <v>3</v>
      </c>
      <c r="W1421" s="2" t="s">
        <v>225</v>
      </c>
      <c r="X1421" s="2">
        <v>6</v>
      </c>
      <c r="Y1421" s="2" t="s">
        <v>249</v>
      </c>
      <c r="Z1421" s="2">
        <v>10</v>
      </c>
      <c r="AA1421" s="2" t="s">
        <v>236</v>
      </c>
      <c r="AB1421" s="2">
        <v>9</v>
      </c>
      <c r="AC1421" s="2" t="s">
        <v>124</v>
      </c>
      <c r="AD1421" s="3">
        <v>40276</v>
      </c>
      <c r="AE1421" s="4">
        <v>0.45833333333333331</v>
      </c>
      <c r="AF1421" s="2"/>
      <c r="AG1421" s="2"/>
      <c r="AH1421" s="2">
        <v>2</v>
      </c>
      <c r="AI1421" s="2" t="s">
        <v>84</v>
      </c>
      <c r="AJ1421" s="2">
        <v>6</v>
      </c>
      <c r="AK1421" s="2" t="s">
        <v>453</v>
      </c>
      <c r="AL1421" s="2">
        <v>19</v>
      </c>
      <c r="AM1421" s="2" t="s">
        <v>107</v>
      </c>
      <c r="AN1421" s="2" t="s">
        <v>82</v>
      </c>
      <c r="AO1421" s="2" t="s">
        <v>5244</v>
      </c>
      <c r="AP1421" s="2">
        <v>11</v>
      </c>
      <c r="AQ1421" s="2" t="s">
        <v>82</v>
      </c>
      <c r="AR1421" s="2"/>
      <c r="AS1421" s="2"/>
      <c r="AT1421" s="2" t="s">
        <v>5245</v>
      </c>
      <c r="AU1421" s="2"/>
      <c r="AV1421" s="2"/>
      <c r="AW1421" s="2"/>
      <c r="AX1421" s="2"/>
      <c r="AY1421" s="2">
        <v>42</v>
      </c>
      <c r="AZ1421" s="2" t="s">
        <v>182</v>
      </c>
      <c r="BA1421" s="2">
        <v>70</v>
      </c>
      <c r="BB1421" s="2" t="s">
        <v>236</v>
      </c>
      <c r="BC1421" s="2">
        <v>70</v>
      </c>
      <c r="BD1421" s="2" t="s">
        <v>236</v>
      </c>
      <c r="BE1421" s="2">
        <v>41</v>
      </c>
      <c r="BF1421" s="2" t="s">
        <v>82</v>
      </c>
      <c r="BG1421" s="2"/>
      <c r="BH1421" s="2"/>
      <c r="BI1421" s="2"/>
      <c r="BJ1421" s="2">
        <v>241</v>
      </c>
      <c r="BK1421" s="2" t="s">
        <v>82</v>
      </c>
      <c r="BL1421" s="2"/>
      <c r="BM1421" s="2">
        <v>241</v>
      </c>
      <c r="BN1421" s="2" t="s">
        <v>82</v>
      </c>
      <c r="BO1421" s="2"/>
      <c r="BP1421" s="2">
        <v>241</v>
      </c>
      <c r="BQ1421" s="2" t="s">
        <v>82</v>
      </c>
      <c r="BR1421" s="2"/>
      <c r="BS1421" s="3">
        <v>40276</v>
      </c>
      <c r="BT1421" s="4">
        <v>0.43093749999999997</v>
      </c>
    </row>
    <row r="1422" spans="1:72" x14ac:dyDescent="0.25">
      <c r="A1422" s="2">
        <v>2115</v>
      </c>
      <c r="B1422" s="2">
        <v>2010</v>
      </c>
      <c r="C1422" s="2" t="s">
        <v>2567</v>
      </c>
      <c r="D1422" s="2" t="s">
        <v>122</v>
      </c>
      <c r="E1422" s="2"/>
      <c r="F1422" s="2">
        <v>1</v>
      </c>
      <c r="G1422" s="2" t="s">
        <v>82</v>
      </c>
      <c r="H1422" s="2">
        <v>1</v>
      </c>
      <c r="I1422" s="2" t="s">
        <v>82</v>
      </c>
      <c r="J1422" s="2">
        <v>1</v>
      </c>
      <c r="K1422" s="2" t="s">
        <v>107</v>
      </c>
      <c r="L1422" s="2" t="s">
        <v>107</v>
      </c>
      <c r="M1422" s="3">
        <v>40276</v>
      </c>
      <c r="N1422" s="2"/>
      <c r="O1422" s="2"/>
      <c r="P1422" s="2"/>
      <c r="Q1422" s="2" t="str">
        <f>""</f>
        <v/>
      </c>
      <c r="R1422" s="2"/>
      <c r="S1422" s="2"/>
      <c r="T1422" s="2">
        <v>1</v>
      </c>
      <c r="U1422" s="2" t="s">
        <v>79</v>
      </c>
      <c r="V1422" s="2">
        <v>1</v>
      </c>
      <c r="W1422" s="2" t="s">
        <v>80</v>
      </c>
      <c r="X1422" s="2">
        <v>1</v>
      </c>
      <c r="Y1422" s="2" t="s">
        <v>81</v>
      </c>
      <c r="Z1422" s="2">
        <v>10</v>
      </c>
      <c r="AA1422" s="2" t="s">
        <v>236</v>
      </c>
      <c r="AB1422" s="2">
        <v>9</v>
      </c>
      <c r="AC1422" s="2" t="s">
        <v>124</v>
      </c>
      <c r="AD1422" s="3">
        <v>40276</v>
      </c>
      <c r="AE1422" s="4">
        <v>0.33333333333333331</v>
      </c>
      <c r="AF1422" s="2"/>
      <c r="AG1422" s="2"/>
      <c r="AH1422" s="2">
        <v>6</v>
      </c>
      <c r="AI1422" s="2" t="s">
        <v>197</v>
      </c>
      <c r="AJ1422" s="2">
        <v>61</v>
      </c>
      <c r="AK1422" s="2" t="s">
        <v>686</v>
      </c>
      <c r="AL1422" s="2">
        <v>10</v>
      </c>
      <c r="AM1422" s="2" t="s">
        <v>200</v>
      </c>
      <c r="AN1422" s="2"/>
      <c r="AO1422" s="2" t="s">
        <v>5246</v>
      </c>
      <c r="AP1422" s="2">
        <v>11</v>
      </c>
      <c r="AQ1422" s="2" t="s">
        <v>82</v>
      </c>
      <c r="AR1422" s="2" t="s">
        <v>82</v>
      </c>
      <c r="AS1422" s="2" t="s">
        <v>82</v>
      </c>
      <c r="AT1422" s="2" t="s">
        <v>5247</v>
      </c>
      <c r="AU1422" s="2"/>
      <c r="AV1422" s="2"/>
      <c r="AW1422" s="2"/>
      <c r="AX1422" s="2"/>
      <c r="AY1422" s="2">
        <v>41</v>
      </c>
      <c r="AZ1422" s="2" t="s">
        <v>82</v>
      </c>
      <c r="BA1422" s="2">
        <v>41</v>
      </c>
      <c r="BB1422" s="2" t="s">
        <v>82</v>
      </c>
      <c r="BC1422" s="2">
        <v>41</v>
      </c>
      <c r="BD1422" s="2" t="s">
        <v>82</v>
      </c>
      <c r="BE1422" s="2">
        <v>1</v>
      </c>
      <c r="BF1422" s="2" t="s">
        <v>107</v>
      </c>
      <c r="BG1422" s="2" t="s">
        <v>5248</v>
      </c>
      <c r="BH1422" s="2"/>
      <c r="BI1422" s="4">
        <v>0.35416666666666669</v>
      </c>
      <c r="BJ1422" s="2">
        <v>13</v>
      </c>
      <c r="BK1422" s="2" t="s">
        <v>91</v>
      </c>
      <c r="BL1422" s="2" t="s">
        <v>353</v>
      </c>
      <c r="BM1422" s="2">
        <v>242</v>
      </c>
      <c r="BN1422" s="2" t="s">
        <v>107</v>
      </c>
      <c r="BO1422" s="2" t="s">
        <v>82</v>
      </c>
      <c r="BP1422" s="2">
        <v>13</v>
      </c>
      <c r="BQ1422" s="2" t="s">
        <v>91</v>
      </c>
      <c r="BR1422" s="2" t="s">
        <v>353</v>
      </c>
      <c r="BS1422" s="3">
        <v>40276</v>
      </c>
      <c r="BT1422" s="4">
        <v>0.45449074074074075</v>
      </c>
    </row>
    <row r="1423" spans="1:72" x14ac:dyDescent="0.25">
      <c r="A1423" s="2">
        <v>2116</v>
      </c>
      <c r="B1423" s="2">
        <v>2010</v>
      </c>
      <c r="C1423" s="2" t="s">
        <v>385</v>
      </c>
      <c r="D1423" s="2" t="s">
        <v>122</v>
      </c>
      <c r="E1423" s="2" t="s">
        <v>5249</v>
      </c>
      <c r="F1423" s="2">
        <v>400</v>
      </c>
      <c r="G1423" s="2" t="s">
        <v>3601</v>
      </c>
      <c r="H1423" s="2">
        <v>17</v>
      </c>
      <c r="I1423" s="2" t="s">
        <v>3602</v>
      </c>
      <c r="J1423" s="2">
        <v>316</v>
      </c>
      <c r="K1423" s="2" t="s">
        <v>574</v>
      </c>
      <c r="L1423" s="2" t="s">
        <v>575</v>
      </c>
      <c r="M1423" s="3">
        <v>40276</v>
      </c>
      <c r="N1423" s="2" t="s">
        <v>5226</v>
      </c>
      <c r="O1423" s="2" t="s">
        <v>5227</v>
      </c>
      <c r="P1423" s="2">
        <v>9964</v>
      </c>
      <c r="Q1423" s="2" t="str">
        <f>""</f>
        <v/>
      </c>
      <c r="R1423" s="2"/>
      <c r="S1423" s="2"/>
      <c r="T1423" s="2">
        <v>1</v>
      </c>
      <c r="U1423" s="2" t="s">
        <v>79</v>
      </c>
      <c r="V1423" s="2">
        <v>1</v>
      </c>
      <c r="W1423" s="2" t="s">
        <v>80</v>
      </c>
      <c r="X1423" s="2">
        <v>1</v>
      </c>
      <c r="Y1423" s="2" t="s">
        <v>81</v>
      </c>
      <c r="Z1423" s="2">
        <v>1</v>
      </c>
      <c r="AA1423" s="2" t="s">
        <v>82</v>
      </c>
      <c r="AB1423" s="2">
        <v>9</v>
      </c>
      <c r="AC1423" s="2" t="s">
        <v>124</v>
      </c>
      <c r="AD1423" s="3">
        <v>40276</v>
      </c>
      <c r="AE1423" s="4">
        <v>0.48958333333333331</v>
      </c>
      <c r="AF1423" s="2"/>
      <c r="AG1423" s="2"/>
      <c r="AH1423" s="2">
        <v>2</v>
      </c>
      <c r="AI1423" s="2" t="s">
        <v>84</v>
      </c>
      <c r="AJ1423" s="2">
        <v>12</v>
      </c>
      <c r="AK1423" s="2" t="s">
        <v>85</v>
      </c>
      <c r="AL1423" s="2">
        <v>18</v>
      </c>
      <c r="AM1423" s="2" t="s">
        <v>82</v>
      </c>
      <c r="AN1423" s="2"/>
      <c r="AO1423" s="2" t="s">
        <v>5228</v>
      </c>
      <c r="AP1423" s="2">
        <v>11</v>
      </c>
      <c r="AQ1423" s="2" t="s">
        <v>82</v>
      </c>
      <c r="AR1423" s="2"/>
      <c r="AS1423" s="2"/>
      <c r="AT1423" s="2" t="s">
        <v>5250</v>
      </c>
      <c r="AU1423" s="2">
        <v>1</v>
      </c>
      <c r="AV1423" s="2"/>
      <c r="AW1423" s="2"/>
      <c r="AX1423" s="2"/>
      <c r="AY1423" s="2">
        <v>41</v>
      </c>
      <c r="AZ1423" s="2" t="s">
        <v>82</v>
      </c>
      <c r="BA1423" s="2">
        <v>41</v>
      </c>
      <c r="BB1423" s="2" t="s">
        <v>82</v>
      </c>
      <c r="BC1423" s="2">
        <v>41</v>
      </c>
      <c r="BD1423" s="2" t="s">
        <v>82</v>
      </c>
      <c r="BE1423" s="2">
        <v>41</v>
      </c>
      <c r="BF1423" s="2" t="s">
        <v>82</v>
      </c>
      <c r="BG1423" s="2"/>
      <c r="BH1423" s="2"/>
      <c r="BI1423" s="2"/>
      <c r="BJ1423" s="2">
        <v>241</v>
      </c>
      <c r="BK1423" s="2" t="s">
        <v>82</v>
      </c>
      <c r="BL1423" s="2"/>
      <c r="BM1423" s="2">
        <v>241</v>
      </c>
      <c r="BN1423" s="2" t="s">
        <v>82</v>
      </c>
      <c r="BO1423" s="2"/>
      <c r="BP1423" s="2">
        <v>241</v>
      </c>
      <c r="BQ1423" s="2" t="s">
        <v>82</v>
      </c>
      <c r="BR1423" s="2"/>
      <c r="BS1423" s="3">
        <v>40276</v>
      </c>
      <c r="BT1423" s="4">
        <v>0.48622685185185183</v>
      </c>
    </row>
    <row r="1424" spans="1:72" x14ac:dyDescent="0.25">
      <c r="A1424" s="2">
        <v>2117</v>
      </c>
      <c r="B1424" s="2">
        <v>2010</v>
      </c>
      <c r="C1424" s="2" t="s">
        <v>385</v>
      </c>
      <c r="D1424" s="2" t="s">
        <v>122</v>
      </c>
      <c r="E1424" s="2" t="s">
        <v>5251</v>
      </c>
      <c r="F1424" s="2">
        <v>400</v>
      </c>
      <c r="G1424" s="2" t="s">
        <v>3601</v>
      </c>
      <c r="H1424" s="2">
        <v>17</v>
      </c>
      <c r="I1424" s="2" t="s">
        <v>3602</v>
      </c>
      <c r="J1424" s="2">
        <v>316</v>
      </c>
      <c r="K1424" s="2" t="s">
        <v>574</v>
      </c>
      <c r="L1424" s="2" t="s">
        <v>575</v>
      </c>
      <c r="M1424" s="3">
        <v>40276</v>
      </c>
      <c r="N1424" s="2" t="s">
        <v>5226</v>
      </c>
      <c r="O1424" s="2" t="s">
        <v>5227</v>
      </c>
      <c r="P1424" s="2">
        <v>9964</v>
      </c>
      <c r="Q1424" s="2" t="str">
        <f>""</f>
        <v/>
      </c>
      <c r="R1424" s="2"/>
      <c r="S1424" s="2"/>
      <c r="T1424" s="2">
        <v>1</v>
      </c>
      <c r="U1424" s="2" t="s">
        <v>79</v>
      </c>
      <c r="V1424" s="2">
        <v>1</v>
      </c>
      <c r="W1424" s="2" t="s">
        <v>80</v>
      </c>
      <c r="X1424" s="2">
        <v>1</v>
      </c>
      <c r="Y1424" s="2" t="s">
        <v>81</v>
      </c>
      <c r="Z1424" s="2">
        <v>1</v>
      </c>
      <c r="AA1424" s="2" t="s">
        <v>82</v>
      </c>
      <c r="AB1424" s="2">
        <v>9</v>
      </c>
      <c r="AC1424" s="2" t="s">
        <v>124</v>
      </c>
      <c r="AD1424" s="3">
        <v>40276</v>
      </c>
      <c r="AE1424" s="4">
        <v>0.55902777777777779</v>
      </c>
      <c r="AF1424" s="2"/>
      <c r="AG1424" s="2"/>
      <c r="AH1424" s="2">
        <v>2</v>
      </c>
      <c r="AI1424" s="2" t="s">
        <v>84</v>
      </c>
      <c r="AJ1424" s="2">
        <v>12</v>
      </c>
      <c r="AK1424" s="2" t="s">
        <v>85</v>
      </c>
      <c r="AL1424" s="2">
        <v>18</v>
      </c>
      <c r="AM1424" s="2" t="s">
        <v>82</v>
      </c>
      <c r="AN1424" s="2"/>
      <c r="AO1424" s="2" t="s">
        <v>5252</v>
      </c>
      <c r="AP1424" s="2">
        <v>11</v>
      </c>
      <c r="AQ1424" s="2" t="s">
        <v>82</v>
      </c>
      <c r="AR1424" s="2"/>
      <c r="AS1424" s="2"/>
      <c r="AT1424" s="2" t="s">
        <v>5253</v>
      </c>
      <c r="AU1424" s="2">
        <v>1</v>
      </c>
      <c r="AV1424" s="2"/>
      <c r="AW1424" s="2"/>
      <c r="AX1424" s="2"/>
      <c r="AY1424" s="2">
        <v>41</v>
      </c>
      <c r="AZ1424" s="2" t="s">
        <v>82</v>
      </c>
      <c r="BA1424" s="2">
        <v>41</v>
      </c>
      <c r="BB1424" s="2" t="s">
        <v>82</v>
      </c>
      <c r="BC1424" s="2">
        <v>41</v>
      </c>
      <c r="BD1424" s="2" t="s">
        <v>82</v>
      </c>
      <c r="BE1424" s="2">
        <v>41</v>
      </c>
      <c r="BF1424" s="2" t="s">
        <v>82</v>
      </c>
      <c r="BG1424" s="2"/>
      <c r="BH1424" s="2"/>
      <c r="BI1424" s="2"/>
      <c r="BJ1424" s="2">
        <v>241</v>
      </c>
      <c r="BK1424" s="2" t="s">
        <v>82</v>
      </c>
      <c r="BL1424" s="2"/>
      <c r="BM1424" s="2">
        <v>241</v>
      </c>
      <c r="BN1424" s="2" t="s">
        <v>82</v>
      </c>
      <c r="BO1424" s="2"/>
      <c r="BP1424" s="2">
        <v>241</v>
      </c>
      <c r="BQ1424" s="2" t="s">
        <v>82</v>
      </c>
      <c r="BR1424" s="2"/>
      <c r="BS1424" s="3">
        <v>40276</v>
      </c>
      <c r="BT1424" s="4">
        <v>0.55629629629629629</v>
      </c>
    </row>
    <row r="1425" spans="1:72" x14ac:dyDescent="0.25">
      <c r="A1425" s="2">
        <v>2118</v>
      </c>
      <c r="B1425" s="2">
        <v>2010</v>
      </c>
      <c r="C1425" s="2" t="s">
        <v>2567</v>
      </c>
      <c r="D1425" s="2" t="s">
        <v>122</v>
      </c>
      <c r="E1425" s="2"/>
      <c r="F1425" s="2">
        <v>1</v>
      </c>
      <c r="G1425" s="2" t="s">
        <v>82</v>
      </c>
      <c r="H1425" s="2">
        <v>1</v>
      </c>
      <c r="I1425" s="2" t="s">
        <v>82</v>
      </c>
      <c r="J1425" s="2">
        <v>1</v>
      </c>
      <c r="K1425" s="2" t="s">
        <v>107</v>
      </c>
      <c r="L1425" s="2" t="s">
        <v>107</v>
      </c>
      <c r="M1425" s="3">
        <v>40276</v>
      </c>
      <c r="N1425" s="2"/>
      <c r="O1425" s="2"/>
      <c r="P1425" s="2"/>
      <c r="Q1425" s="2" t="str">
        <f>""</f>
        <v/>
      </c>
      <c r="R1425" s="2"/>
      <c r="S1425" s="2"/>
      <c r="T1425" s="2">
        <v>1</v>
      </c>
      <c r="U1425" s="2" t="s">
        <v>79</v>
      </c>
      <c r="V1425" s="2">
        <v>1</v>
      </c>
      <c r="W1425" s="2" t="s">
        <v>80</v>
      </c>
      <c r="X1425" s="2">
        <v>1</v>
      </c>
      <c r="Y1425" s="2" t="s">
        <v>81</v>
      </c>
      <c r="Z1425" s="2">
        <v>1</v>
      </c>
      <c r="AA1425" s="2" t="s">
        <v>82</v>
      </c>
      <c r="AB1425" s="2">
        <v>9</v>
      </c>
      <c r="AC1425" s="2" t="s">
        <v>124</v>
      </c>
      <c r="AD1425" s="2"/>
      <c r="AE1425" s="4">
        <v>0.54861111111111105</v>
      </c>
      <c r="AF1425" s="2"/>
      <c r="AG1425" s="2"/>
      <c r="AH1425" s="2">
        <v>6</v>
      </c>
      <c r="AI1425" s="2" t="s">
        <v>197</v>
      </c>
      <c r="AJ1425" s="2">
        <v>54</v>
      </c>
      <c r="AK1425" s="2" t="s">
        <v>348</v>
      </c>
      <c r="AL1425" s="2">
        <v>18</v>
      </c>
      <c r="AM1425" s="2" t="s">
        <v>82</v>
      </c>
      <c r="AN1425" s="2" t="s">
        <v>5254</v>
      </c>
      <c r="AO1425" s="2" t="s">
        <v>4318</v>
      </c>
      <c r="AP1425" s="2">
        <v>11</v>
      </c>
      <c r="AQ1425" s="2" t="s">
        <v>82</v>
      </c>
      <c r="AR1425" s="2" t="s">
        <v>5255</v>
      </c>
      <c r="AS1425" s="2" t="s">
        <v>5255</v>
      </c>
      <c r="AT1425" s="2" t="s">
        <v>5256</v>
      </c>
      <c r="AU1425" s="2"/>
      <c r="AV1425" s="2"/>
      <c r="AW1425" s="2"/>
      <c r="AX1425" s="2"/>
      <c r="AY1425" s="2">
        <v>1</v>
      </c>
      <c r="AZ1425" s="2" t="s">
        <v>107</v>
      </c>
      <c r="BA1425" s="2">
        <v>1</v>
      </c>
      <c r="BB1425" s="2" t="s">
        <v>107</v>
      </c>
      <c r="BC1425" s="2">
        <v>1</v>
      </c>
      <c r="BD1425" s="2" t="s">
        <v>107</v>
      </c>
      <c r="BE1425" s="2">
        <v>1</v>
      </c>
      <c r="BF1425" s="2" t="s">
        <v>107</v>
      </c>
      <c r="BG1425" s="2" t="s">
        <v>107</v>
      </c>
      <c r="BH1425" s="4">
        <v>0.52638888888888891</v>
      </c>
      <c r="BI1425" s="2"/>
      <c r="BJ1425" s="2">
        <v>13</v>
      </c>
      <c r="BK1425" s="2" t="s">
        <v>91</v>
      </c>
      <c r="BL1425" s="2" t="s">
        <v>5257</v>
      </c>
      <c r="BM1425" s="2">
        <v>242</v>
      </c>
      <c r="BN1425" s="2" t="s">
        <v>107</v>
      </c>
      <c r="BO1425" s="2" t="s">
        <v>107</v>
      </c>
      <c r="BP1425" s="2">
        <v>13</v>
      </c>
      <c r="BQ1425" s="2" t="s">
        <v>91</v>
      </c>
      <c r="BR1425" s="2" t="s">
        <v>5258</v>
      </c>
      <c r="BS1425" s="3">
        <v>40276</v>
      </c>
      <c r="BT1425" s="4">
        <v>0.57458333333333333</v>
      </c>
    </row>
    <row r="1426" spans="1:72" x14ac:dyDescent="0.25">
      <c r="A1426" s="2">
        <v>2120</v>
      </c>
      <c r="B1426" s="2">
        <v>2010</v>
      </c>
      <c r="C1426" s="2" t="s">
        <v>72</v>
      </c>
      <c r="D1426" s="2" t="s">
        <v>73</v>
      </c>
      <c r="E1426" s="2"/>
      <c r="F1426" s="2">
        <v>9</v>
      </c>
      <c r="G1426" s="2" t="s">
        <v>364</v>
      </c>
      <c r="H1426" s="2">
        <v>44</v>
      </c>
      <c r="I1426" s="2" t="s">
        <v>1272</v>
      </c>
      <c r="J1426" s="2">
        <v>18</v>
      </c>
      <c r="K1426" s="2" t="s">
        <v>365</v>
      </c>
      <c r="L1426" s="2" t="s">
        <v>115</v>
      </c>
      <c r="M1426" s="3">
        <v>40276</v>
      </c>
      <c r="N1426" s="2" t="s">
        <v>423</v>
      </c>
      <c r="O1426" s="2"/>
      <c r="P1426" s="2"/>
      <c r="Q1426" s="2" t="str">
        <f>"18/10"</f>
        <v>18/10</v>
      </c>
      <c r="R1426" s="2" t="s">
        <v>5259</v>
      </c>
      <c r="S1426" s="2" t="s">
        <v>601</v>
      </c>
      <c r="T1426" s="2">
        <v>1</v>
      </c>
      <c r="U1426" s="2" t="s">
        <v>79</v>
      </c>
      <c r="V1426" s="2">
        <v>1</v>
      </c>
      <c r="W1426" s="2" t="s">
        <v>80</v>
      </c>
      <c r="X1426" s="2">
        <v>5</v>
      </c>
      <c r="Y1426" s="2" t="s">
        <v>82</v>
      </c>
      <c r="Z1426" s="2">
        <v>1</v>
      </c>
      <c r="AA1426" s="2" t="s">
        <v>82</v>
      </c>
      <c r="AB1426" s="2">
        <v>6</v>
      </c>
      <c r="AC1426" s="2" t="s">
        <v>83</v>
      </c>
      <c r="AD1426" s="3">
        <v>40276</v>
      </c>
      <c r="AE1426" s="4">
        <v>0.25</v>
      </c>
      <c r="AF1426" s="3">
        <v>40276</v>
      </c>
      <c r="AG1426" s="4">
        <v>0.53472222222222221</v>
      </c>
      <c r="AH1426" s="2">
        <v>3</v>
      </c>
      <c r="AI1426" s="2" t="s">
        <v>214</v>
      </c>
      <c r="AJ1426" s="2">
        <v>24</v>
      </c>
      <c r="AK1426" s="2" t="s">
        <v>215</v>
      </c>
      <c r="AL1426" s="2">
        <v>15</v>
      </c>
      <c r="AM1426" s="2" t="s">
        <v>104</v>
      </c>
      <c r="AN1426" s="2"/>
      <c r="AO1426" s="2" t="s">
        <v>5260</v>
      </c>
      <c r="AP1426" s="2">
        <v>11</v>
      </c>
      <c r="AQ1426" s="2" t="s">
        <v>82</v>
      </c>
      <c r="AR1426" s="2"/>
      <c r="AS1426" s="2"/>
      <c r="AT1426" s="2" t="s">
        <v>5261</v>
      </c>
      <c r="AU1426" s="2"/>
      <c r="AV1426" s="2"/>
      <c r="AW1426" s="2"/>
      <c r="AX1426" s="2"/>
      <c r="AY1426" s="2">
        <v>41</v>
      </c>
      <c r="AZ1426" s="2" t="s">
        <v>82</v>
      </c>
      <c r="BA1426" s="2">
        <v>41</v>
      </c>
      <c r="BB1426" s="2" t="s">
        <v>82</v>
      </c>
      <c r="BC1426" s="2">
        <v>41</v>
      </c>
      <c r="BD1426" s="2" t="s">
        <v>82</v>
      </c>
      <c r="BE1426" s="2">
        <v>13</v>
      </c>
      <c r="BF1426" s="2" t="s">
        <v>108</v>
      </c>
      <c r="BG1426" s="2" t="s">
        <v>5262</v>
      </c>
      <c r="BH1426" s="4">
        <v>0.22916666666666666</v>
      </c>
      <c r="BI1426" s="2"/>
      <c r="BJ1426" s="2">
        <v>73</v>
      </c>
      <c r="BK1426" s="2" t="s">
        <v>186</v>
      </c>
      <c r="BL1426" s="2" t="s">
        <v>187</v>
      </c>
      <c r="BM1426" s="2">
        <v>241</v>
      </c>
      <c r="BN1426" s="2" t="s">
        <v>82</v>
      </c>
      <c r="BO1426" s="2"/>
      <c r="BP1426" s="2">
        <v>13</v>
      </c>
      <c r="BQ1426" s="2" t="s">
        <v>91</v>
      </c>
      <c r="BR1426" s="2" t="s">
        <v>112</v>
      </c>
      <c r="BS1426" s="3">
        <v>40276</v>
      </c>
      <c r="BT1426" s="4">
        <v>0.60431712962962958</v>
      </c>
    </row>
    <row r="1427" spans="1:72" x14ac:dyDescent="0.25">
      <c r="A1427" s="2">
        <v>2121</v>
      </c>
      <c r="B1427" s="2">
        <v>2010</v>
      </c>
      <c r="C1427" s="2" t="s">
        <v>171</v>
      </c>
      <c r="D1427" s="2" t="s">
        <v>73</v>
      </c>
      <c r="E1427" s="2"/>
      <c r="F1427" s="2">
        <v>390</v>
      </c>
      <c r="G1427" s="2" t="s">
        <v>475</v>
      </c>
      <c r="H1427" s="2">
        <v>5</v>
      </c>
      <c r="I1427" s="2" t="s">
        <v>634</v>
      </c>
      <c r="J1427" s="2">
        <v>314</v>
      </c>
      <c r="K1427" s="2" t="s">
        <v>477</v>
      </c>
      <c r="L1427" s="2" t="s">
        <v>478</v>
      </c>
      <c r="M1427" s="3">
        <v>40276</v>
      </c>
      <c r="N1427" s="2" t="s">
        <v>3705</v>
      </c>
      <c r="O1427" s="2" t="s">
        <v>5263</v>
      </c>
      <c r="P1427" s="2">
        <v>5785</v>
      </c>
      <c r="Q1427" s="2" t="str">
        <f>"159E/10"</f>
        <v>159E/10</v>
      </c>
      <c r="R1427" s="2"/>
      <c r="S1427" s="2" t="s">
        <v>5264</v>
      </c>
      <c r="T1427" s="2">
        <v>1</v>
      </c>
      <c r="U1427" s="2" t="s">
        <v>79</v>
      </c>
      <c r="V1427" s="2">
        <v>3</v>
      </c>
      <c r="W1427" s="2" t="s">
        <v>225</v>
      </c>
      <c r="X1427" s="2">
        <v>6</v>
      </c>
      <c r="Y1427" s="2" t="s">
        <v>249</v>
      </c>
      <c r="Z1427" s="2">
        <v>10</v>
      </c>
      <c r="AA1427" s="2" t="s">
        <v>236</v>
      </c>
      <c r="AB1427" s="2">
        <v>9</v>
      </c>
      <c r="AC1427" s="2" t="s">
        <v>124</v>
      </c>
      <c r="AD1427" s="3">
        <v>40276</v>
      </c>
      <c r="AE1427" s="4">
        <v>0.625</v>
      </c>
      <c r="AF1427" s="2"/>
      <c r="AG1427" s="2"/>
      <c r="AH1427" s="2">
        <v>2</v>
      </c>
      <c r="AI1427" s="2" t="s">
        <v>84</v>
      </c>
      <c r="AJ1427" s="2">
        <v>6</v>
      </c>
      <c r="AK1427" s="2" t="s">
        <v>453</v>
      </c>
      <c r="AL1427" s="2">
        <v>19</v>
      </c>
      <c r="AM1427" s="2" t="s">
        <v>107</v>
      </c>
      <c r="AN1427" s="2" t="s">
        <v>82</v>
      </c>
      <c r="AO1427" s="2" t="s">
        <v>82</v>
      </c>
      <c r="AP1427" s="2">
        <v>11</v>
      </c>
      <c r="AQ1427" s="2" t="s">
        <v>82</v>
      </c>
      <c r="AR1427" s="2"/>
      <c r="AS1427" s="2"/>
      <c r="AT1427" s="2" t="s">
        <v>5265</v>
      </c>
      <c r="AU1427" s="2"/>
      <c r="AV1427" s="2"/>
      <c r="AW1427" s="2"/>
      <c r="AX1427" s="2"/>
      <c r="AY1427" s="2">
        <v>42</v>
      </c>
      <c r="AZ1427" s="2" t="s">
        <v>182</v>
      </c>
      <c r="BA1427" s="2">
        <v>70</v>
      </c>
      <c r="BB1427" s="2" t="s">
        <v>236</v>
      </c>
      <c r="BC1427" s="2">
        <v>70</v>
      </c>
      <c r="BD1427" s="2" t="s">
        <v>236</v>
      </c>
      <c r="BE1427" s="2">
        <v>41</v>
      </c>
      <c r="BF1427" s="2" t="s">
        <v>82</v>
      </c>
      <c r="BG1427" s="2"/>
      <c r="BH1427" s="2"/>
      <c r="BI1427" s="2"/>
      <c r="BJ1427" s="2">
        <v>241</v>
      </c>
      <c r="BK1427" s="2" t="s">
        <v>82</v>
      </c>
      <c r="BL1427" s="2"/>
      <c r="BM1427" s="2">
        <v>241</v>
      </c>
      <c r="BN1427" s="2" t="s">
        <v>82</v>
      </c>
      <c r="BO1427" s="2"/>
      <c r="BP1427" s="2">
        <v>241</v>
      </c>
      <c r="BQ1427" s="2" t="s">
        <v>82</v>
      </c>
      <c r="BR1427" s="2"/>
      <c r="BS1427" s="3">
        <v>40276</v>
      </c>
      <c r="BT1427" s="4">
        <v>0.6286342592592592</v>
      </c>
    </row>
    <row r="1428" spans="1:72" x14ac:dyDescent="0.25">
      <c r="A1428" s="2">
        <v>2122</v>
      </c>
      <c r="B1428" s="2">
        <v>2010</v>
      </c>
      <c r="C1428" s="2" t="s">
        <v>642</v>
      </c>
      <c r="D1428" s="2" t="s">
        <v>122</v>
      </c>
      <c r="E1428" s="2" t="s">
        <v>5266</v>
      </c>
      <c r="F1428" s="2">
        <v>425</v>
      </c>
      <c r="G1428" s="2" t="s">
        <v>286</v>
      </c>
      <c r="H1428" s="2">
        <v>30</v>
      </c>
      <c r="I1428" s="2" t="s">
        <v>912</v>
      </c>
      <c r="J1428" s="2">
        <v>310</v>
      </c>
      <c r="K1428" s="2" t="s">
        <v>288</v>
      </c>
      <c r="L1428" s="2" t="s">
        <v>289</v>
      </c>
      <c r="M1428" s="3">
        <v>40276</v>
      </c>
      <c r="N1428" s="2" t="s">
        <v>1917</v>
      </c>
      <c r="O1428" s="2" t="s">
        <v>4718</v>
      </c>
      <c r="P1428" s="2" t="s">
        <v>4719</v>
      </c>
      <c r="Q1428" s="2" t="str">
        <f>"84"</f>
        <v>84</v>
      </c>
      <c r="R1428" s="2"/>
      <c r="S1428" s="2"/>
      <c r="T1428" s="2">
        <v>1</v>
      </c>
      <c r="U1428" s="2" t="s">
        <v>79</v>
      </c>
      <c r="V1428" s="2">
        <v>3</v>
      </c>
      <c r="W1428" s="2" t="s">
        <v>225</v>
      </c>
      <c r="X1428" s="2">
        <v>5</v>
      </c>
      <c r="Y1428" s="2" t="s">
        <v>82</v>
      </c>
      <c r="Z1428" s="2">
        <v>1</v>
      </c>
      <c r="AA1428" s="2" t="s">
        <v>82</v>
      </c>
      <c r="AB1428" s="2">
        <v>9</v>
      </c>
      <c r="AC1428" s="2" t="s">
        <v>124</v>
      </c>
      <c r="AD1428" s="2"/>
      <c r="AE1428" s="2"/>
      <c r="AF1428" s="2"/>
      <c r="AG1428" s="2"/>
      <c r="AH1428" s="2">
        <v>4</v>
      </c>
      <c r="AI1428" s="2" t="s">
        <v>125</v>
      </c>
      <c r="AJ1428" s="2">
        <v>26</v>
      </c>
      <c r="AK1428" s="2" t="s">
        <v>293</v>
      </c>
      <c r="AL1428" s="2">
        <v>18</v>
      </c>
      <c r="AM1428" s="2" t="s">
        <v>82</v>
      </c>
      <c r="AN1428" s="2"/>
      <c r="AO1428" s="2"/>
      <c r="AP1428" s="2">
        <v>11</v>
      </c>
      <c r="AQ1428" s="2" t="s">
        <v>82</v>
      </c>
      <c r="AR1428" s="2"/>
      <c r="AS1428" s="2"/>
      <c r="AT1428" s="2" t="s">
        <v>5267</v>
      </c>
      <c r="AU1428" s="2"/>
      <c r="AV1428" s="2"/>
      <c r="AW1428" s="2"/>
      <c r="AX1428" s="2"/>
      <c r="AY1428" s="2">
        <v>1</v>
      </c>
      <c r="AZ1428" s="2" t="s">
        <v>107</v>
      </c>
      <c r="BA1428" s="2">
        <v>1</v>
      </c>
      <c r="BB1428" s="2" t="s">
        <v>107</v>
      </c>
      <c r="BC1428" s="2">
        <v>1</v>
      </c>
      <c r="BD1428" s="2" t="s">
        <v>107</v>
      </c>
      <c r="BE1428" s="2">
        <v>1</v>
      </c>
      <c r="BF1428" s="2" t="s">
        <v>107</v>
      </c>
      <c r="BG1428" s="2"/>
      <c r="BH1428" s="2"/>
      <c r="BI1428" s="2"/>
      <c r="BJ1428" s="2">
        <v>242</v>
      </c>
      <c r="BK1428" s="2" t="s">
        <v>107</v>
      </c>
      <c r="BL1428" s="2"/>
      <c r="BM1428" s="2">
        <v>242</v>
      </c>
      <c r="BN1428" s="2" t="s">
        <v>107</v>
      </c>
      <c r="BO1428" s="2"/>
      <c r="BP1428" s="2">
        <v>242</v>
      </c>
      <c r="BQ1428" s="2" t="s">
        <v>107</v>
      </c>
      <c r="BR1428" s="2"/>
      <c r="BS1428" s="3">
        <v>40276</v>
      </c>
      <c r="BT1428" s="4">
        <v>0.63049768518518523</v>
      </c>
    </row>
    <row r="1429" spans="1:72" x14ac:dyDescent="0.25">
      <c r="A1429" s="2">
        <v>2126</v>
      </c>
      <c r="B1429" s="2">
        <v>2010</v>
      </c>
      <c r="C1429" s="2" t="s">
        <v>72</v>
      </c>
      <c r="D1429" s="2" t="s">
        <v>73</v>
      </c>
      <c r="E1429" s="2"/>
      <c r="F1429" s="2">
        <v>533</v>
      </c>
      <c r="G1429" s="2" t="s">
        <v>3397</v>
      </c>
      <c r="H1429" s="2">
        <v>3</v>
      </c>
      <c r="I1429" s="2" t="s">
        <v>315</v>
      </c>
      <c r="J1429" s="2">
        <v>462</v>
      </c>
      <c r="K1429" s="2" t="s">
        <v>3398</v>
      </c>
      <c r="L1429" s="2" t="s">
        <v>3399</v>
      </c>
      <c r="M1429" s="3">
        <v>40276</v>
      </c>
      <c r="N1429" s="2" t="s">
        <v>5220</v>
      </c>
      <c r="O1429" s="2" t="s">
        <v>107</v>
      </c>
      <c r="P1429" s="2" t="s">
        <v>107</v>
      </c>
      <c r="Q1429" s="2" t="str">
        <f>"0041/10"</f>
        <v>0041/10</v>
      </c>
      <c r="R1429" s="2"/>
      <c r="S1429" s="2"/>
      <c r="T1429" s="2">
        <v>1</v>
      </c>
      <c r="U1429" s="2" t="s">
        <v>79</v>
      </c>
      <c r="V1429" s="2">
        <v>1</v>
      </c>
      <c r="W1429" s="2" t="s">
        <v>80</v>
      </c>
      <c r="X1429" s="2">
        <v>1</v>
      </c>
      <c r="Y1429" s="2" t="s">
        <v>81</v>
      </c>
      <c r="Z1429" s="2">
        <v>10</v>
      </c>
      <c r="AA1429" s="2" t="s">
        <v>236</v>
      </c>
      <c r="AB1429" s="2">
        <v>6</v>
      </c>
      <c r="AC1429" s="2" t="s">
        <v>83</v>
      </c>
      <c r="AD1429" s="3">
        <v>40276</v>
      </c>
      <c r="AE1429" s="4">
        <v>0.56944444444444442</v>
      </c>
      <c r="AF1429" s="3">
        <v>40276</v>
      </c>
      <c r="AG1429" s="4">
        <v>0.63888888888888895</v>
      </c>
      <c r="AH1429" s="2">
        <v>5</v>
      </c>
      <c r="AI1429" s="2" t="s">
        <v>274</v>
      </c>
      <c r="AJ1429" s="2">
        <v>38</v>
      </c>
      <c r="AK1429" s="2" t="s">
        <v>1120</v>
      </c>
      <c r="AL1429" s="2">
        <v>10</v>
      </c>
      <c r="AM1429" s="2" t="s">
        <v>200</v>
      </c>
      <c r="AN1429" s="2" t="s">
        <v>5268</v>
      </c>
      <c r="AO1429" s="2" t="s">
        <v>5269</v>
      </c>
      <c r="AP1429" s="2">
        <v>11</v>
      </c>
      <c r="AQ1429" s="2" t="s">
        <v>82</v>
      </c>
      <c r="AR1429" s="2" t="s">
        <v>82</v>
      </c>
      <c r="AS1429" s="2" t="s">
        <v>82</v>
      </c>
      <c r="AT1429" s="2" t="s">
        <v>5270</v>
      </c>
      <c r="AU1429" s="2"/>
      <c r="AV1429" s="2"/>
      <c r="AW1429" s="2"/>
      <c r="AX1429" s="2"/>
      <c r="AY1429" s="2">
        <v>110</v>
      </c>
      <c r="AZ1429" s="2" t="s">
        <v>5271</v>
      </c>
      <c r="BA1429" s="2">
        <v>108</v>
      </c>
      <c r="BB1429" s="2" t="s">
        <v>3301</v>
      </c>
      <c r="BC1429" s="2">
        <v>65</v>
      </c>
      <c r="BD1429" s="2" t="s">
        <v>3652</v>
      </c>
      <c r="BE1429" s="2">
        <v>4</v>
      </c>
      <c r="BF1429" s="2" t="s">
        <v>90</v>
      </c>
      <c r="BG1429" s="2">
        <v>4024</v>
      </c>
      <c r="BH1429" s="4">
        <v>0.56944444444444442</v>
      </c>
      <c r="BI1429" s="4">
        <v>0.59722222222222221</v>
      </c>
      <c r="BJ1429" s="2">
        <v>13</v>
      </c>
      <c r="BK1429" s="2" t="s">
        <v>91</v>
      </c>
      <c r="BL1429" s="2" t="s">
        <v>5272</v>
      </c>
      <c r="BM1429" s="2">
        <v>241</v>
      </c>
      <c r="BN1429" s="2" t="s">
        <v>82</v>
      </c>
      <c r="BO1429" s="2" t="s">
        <v>82</v>
      </c>
      <c r="BP1429" s="2">
        <v>13</v>
      </c>
      <c r="BQ1429" s="2" t="s">
        <v>91</v>
      </c>
      <c r="BR1429" s="2" t="s">
        <v>3140</v>
      </c>
      <c r="BS1429" s="3">
        <v>40276</v>
      </c>
      <c r="BT1429" s="4">
        <v>0.70677083333333324</v>
      </c>
    </row>
    <row r="1430" spans="1:72" x14ac:dyDescent="0.25">
      <c r="A1430" s="2">
        <v>2127</v>
      </c>
      <c r="B1430" s="2">
        <v>2010</v>
      </c>
      <c r="C1430" s="2" t="s">
        <v>171</v>
      </c>
      <c r="D1430" s="2" t="s">
        <v>73</v>
      </c>
      <c r="E1430" s="2"/>
      <c r="F1430" s="2">
        <v>424</v>
      </c>
      <c r="G1430" s="2" t="s">
        <v>266</v>
      </c>
      <c r="H1430" s="2">
        <v>2</v>
      </c>
      <c r="I1430" s="2" t="s">
        <v>267</v>
      </c>
      <c r="J1430" s="2">
        <v>309</v>
      </c>
      <c r="K1430" s="2" t="s">
        <v>268</v>
      </c>
      <c r="L1430" s="2" t="s">
        <v>269</v>
      </c>
      <c r="M1430" s="3">
        <v>40276</v>
      </c>
      <c r="N1430" s="2" t="s">
        <v>5273</v>
      </c>
      <c r="O1430" s="2" t="s">
        <v>5274</v>
      </c>
      <c r="P1430" s="2" t="s">
        <v>5275</v>
      </c>
      <c r="Q1430" s="2" t="str">
        <f>"0006/2010"</f>
        <v>0006/2010</v>
      </c>
      <c r="R1430" s="2"/>
      <c r="S1430" s="2" t="s">
        <v>5276</v>
      </c>
      <c r="T1430" s="2">
        <v>1</v>
      </c>
      <c r="U1430" s="2" t="s">
        <v>79</v>
      </c>
      <c r="V1430" s="2">
        <v>3</v>
      </c>
      <c r="W1430" s="2" t="s">
        <v>225</v>
      </c>
      <c r="X1430" s="2">
        <v>6</v>
      </c>
      <c r="Y1430" s="2" t="s">
        <v>249</v>
      </c>
      <c r="Z1430" s="2">
        <v>1</v>
      </c>
      <c r="AA1430" s="2" t="s">
        <v>82</v>
      </c>
      <c r="AB1430" s="2">
        <v>9</v>
      </c>
      <c r="AC1430" s="2" t="s">
        <v>124</v>
      </c>
      <c r="AD1430" s="2"/>
      <c r="AE1430" s="2"/>
      <c r="AF1430" s="2"/>
      <c r="AG1430" s="2"/>
      <c r="AH1430" s="2">
        <v>5</v>
      </c>
      <c r="AI1430" s="2" t="s">
        <v>274</v>
      </c>
      <c r="AJ1430" s="2">
        <v>35</v>
      </c>
      <c r="AK1430" s="2" t="s">
        <v>275</v>
      </c>
      <c r="AL1430" s="2">
        <v>19</v>
      </c>
      <c r="AM1430" s="2" t="s">
        <v>107</v>
      </c>
      <c r="AN1430" s="2"/>
      <c r="AO1430" s="2"/>
      <c r="AP1430" s="2">
        <v>11</v>
      </c>
      <c r="AQ1430" s="2" t="s">
        <v>82</v>
      </c>
      <c r="AR1430" s="2"/>
      <c r="AS1430" s="2"/>
      <c r="AT1430" s="2" t="s">
        <v>5277</v>
      </c>
      <c r="AU1430" s="2"/>
      <c r="AV1430" s="2"/>
      <c r="AW1430" s="2"/>
      <c r="AX1430" s="2"/>
      <c r="AY1430" s="2">
        <v>1</v>
      </c>
      <c r="AZ1430" s="2" t="s">
        <v>107</v>
      </c>
      <c r="BA1430" s="2">
        <v>1</v>
      </c>
      <c r="BB1430" s="2" t="s">
        <v>107</v>
      </c>
      <c r="BC1430" s="2">
        <v>1</v>
      </c>
      <c r="BD1430" s="2" t="s">
        <v>107</v>
      </c>
      <c r="BE1430" s="2">
        <v>1</v>
      </c>
      <c r="BF1430" s="2" t="s">
        <v>107</v>
      </c>
      <c r="BG1430" s="2"/>
      <c r="BH1430" s="2"/>
      <c r="BI1430" s="2"/>
      <c r="BJ1430" s="2">
        <v>242</v>
      </c>
      <c r="BK1430" s="2" t="s">
        <v>107</v>
      </c>
      <c r="BL1430" s="2"/>
      <c r="BM1430" s="2">
        <v>242</v>
      </c>
      <c r="BN1430" s="2" t="s">
        <v>107</v>
      </c>
      <c r="BO1430" s="2"/>
      <c r="BP1430" s="2">
        <v>242</v>
      </c>
      <c r="BQ1430" s="2" t="s">
        <v>107</v>
      </c>
      <c r="BR1430" s="2"/>
      <c r="BS1430" s="3">
        <v>40276</v>
      </c>
      <c r="BT1430" s="4">
        <v>0.74872685185185184</v>
      </c>
    </row>
    <row r="1431" spans="1:72" x14ac:dyDescent="0.25">
      <c r="A1431" s="2">
        <v>2129</v>
      </c>
      <c r="B1431" s="2">
        <v>2010</v>
      </c>
      <c r="C1431" s="2" t="s">
        <v>409</v>
      </c>
      <c r="D1431" s="2" t="s">
        <v>73</v>
      </c>
      <c r="E1431" s="2"/>
      <c r="F1431" s="2">
        <v>582</v>
      </c>
      <c r="G1431" s="2" t="s">
        <v>5012</v>
      </c>
      <c r="H1431" s="2">
        <v>1</v>
      </c>
      <c r="I1431" s="2" t="s">
        <v>82</v>
      </c>
      <c r="J1431" s="2">
        <v>514</v>
      </c>
      <c r="K1431" s="2" t="s">
        <v>5013</v>
      </c>
      <c r="L1431" s="2" t="s">
        <v>5014</v>
      </c>
      <c r="M1431" s="3">
        <v>40276</v>
      </c>
      <c r="N1431" s="2"/>
      <c r="O1431" s="2"/>
      <c r="P1431" s="2"/>
      <c r="Q1431" s="2" t="str">
        <f>"P.S. NRO. 3R/10"</f>
        <v>P.S. NRO. 3R/10</v>
      </c>
      <c r="R1431" s="2"/>
      <c r="S1431" s="2" t="s">
        <v>5278</v>
      </c>
      <c r="T1431" s="2">
        <v>1</v>
      </c>
      <c r="U1431" s="2" t="s">
        <v>79</v>
      </c>
      <c r="V1431" s="2">
        <v>1</v>
      </c>
      <c r="W1431" s="2" t="s">
        <v>80</v>
      </c>
      <c r="X1431" s="2">
        <v>2</v>
      </c>
      <c r="Y1431" s="2" t="s">
        <v>136</v>
      </c>
      <c r="Z1431" s="2">
        <v>10</v>
      </c>
      <c r="AA1431" s="2" t="s">
        <v>236</v>
      </c>
      <c r="AB1431" s="2">
        <v>9</v>
      </c>
      <c r="AC1431" s="2" t="s">
        <v>124</v>
      </c>
      <c r="AD1431" s="3">
        <v>40276</v>
      </c>
      <c r="AE1431" s="4">
        <v>0.70833333333333337</v>
      </c>
      <c r="AF1431" s="2"/>
      <c r="AG1431" s="2"/>
      <c r="AH1431" s="2">
        <v>2</v>
      </c>
      <c r="AI1431" s="2" t="s">
        <v>84</v>
      </c>
      <c r="AJ1431" s="2">
        <v>6</v>
      </c>
      <c r="AK1431" s="2" t="s">
        <v>453</v>
      </c>
      <c r="AL1431" s="2">
        <v>17</v>
      </c>
      <c r="AM1431" s="2" t="s">
        <v>232</v>
      </c>
      <c r="AN1431" s="2"/>
      <c r="AO1431" s="2" t="s">
        <v>3520</v>
      </c>
      <c r="AP1431" s="2">
        <v>11</v>
      </c>
      <c r="AQ1431" s="2" t="s">
        <v>82</v>
      </c>
      <c r="AR1431" s="2"/>
      <c r="AS1431" s="2"/>
      <c r="AT1431" s="2" t="s">
        <v>5279</v>
      </c>
      <c r="AU1431" s="2"/>
      <c r="AV1431" s="2"/>
      <c r="AW1431" s="2"/>
      <c r="AX1431" s="2"/>
      <c r="AY1431" s="2">
        <v>42</v>
      </c>
      <c r="AZ1431" s="2" t="s">
        <v>182</v>
      </c>
      <c r="BA1431" s="2">
        <v>1</v>
      </c>
      <c r="BB1431" s="2" t="s">
        <v>107</v>
      </c>
      <c r="BC1431" s="2">
        <v>70</v>
      </c>
      <c r="BD1431" s="2" t="s">
        <v>236</v>
      </c>
      <c r="BE1431" s="2">
        <v>41</v>
      </c>
      <c r="BF1431" s="2" t="s">
        <v>82</v>
      </c>
      <c r="BG1431" s="2"/>
      <c r="BH1431" s="2"/>
      <c r="BI1431" s="2"/>
      <c r="BJ1431" s="2">
        <v>241</v>
      </c>
      <c r="BK1431" s="2" t="s">
        <v>82</v>
      </c>
      <c r="BL1431" s="2"/>
      <c r="BM1431" s="2">
        <v>241</v>
      </c>
      <c r="BN1431" s="2" t="s">
        <v>82</v>
      </c>
      <c r="BO1431" s="2"/>
      <c r="BP1431" s="2">
        <v>241</v>
      </c>
      <c r="BQ1431" s="2" t="s">
        <v>82</v>
      </c>
      <c r="BR1431" s="2"/>
      <c r="BS1431" s="3">
        <v>40276</v>
      </c>
      <c r="BT1431" s="4">
        <v>0.77733796296296298</v>
      </c>
    </row>
    <row r="1432" spans="1:72" x14ac:dyDescent="0.25">
      <c r="A1432" s="2">
        <v>2129</v>
      </c>
      <c r="B1432" s="2">
        <v>2010</v>
      </c>
      <c r="C1432" s="2" t="s">
        <v>5280</v>
      </c>
      <c r="D1432" s="2" t="s">
        <v>73</v>
      </c>
      <c r="E1432" s="2"/>
      <c r="F1432" s="2">
        <v>582</v>
      </c>
      <c r="G1432" s="2" t="s">
        <v>5012</v>
      </c>
      <c r="H1432" s="2">
        <v>1</v>
      </c>
      <c r="I1432" s="2" t="s">
        <v>82</v>
      </c>
      <c r="J1432" s="2">
        <v>514</v>
      </c>
      <c r="K1432" s="2" t="s">
        <v>5013</v>
      </c>
      <c r="L1432" s="2" t="s">
        <v>5014</v>
      </c>
      <c r="M1432" s="3">
        <v>40276</v>
      </c>
      <c r="N1432" s="2"/>
      <c r="O1432" s="2"/>
      <c r="P1432" s="2"/>
      <c r="Q1432" s="2" t="str">
        <f>"P.S. NRO. 3R/10"</f>
        <v>P.S. NRO. 3R/10</v>
      </c>
      <c r="R1432" s="2"/>
      <c r="S1432" s="2" t="s">
        <v>5278</v>
      </c>
      <c r="T1432" s="2">
        <v>1</v>
      </c>
      <c r="U1432" s="2" t="s">
        <v>79</v>
      </c>
      <c r="V1432" s="2">
        <v>1</v>
      </c>
      <c r="W1432" s="2" t="s">
        <v>80</v>
      </c>
      <c r="X1432" s="2">
        <v>2</v>
      </c>
      <c r="Y1432" s="2" t="s">
        <v>136</v>
      </c>
      <c r="Z1432" s="2">
        <v>10</v>
      </c>
      <c r="AA1432" s="2" t="s">
        <v>236</v>
      </c>
      <c r="AB1432" s="2">
        <v>9</v>
      </c>
      <c r="AC1432" s="2" t="s">
        <v>124</v>
      </c>
      <c r="AD1432" s="3">
        <v>40276</v>
      </c>
      <c r="AE1432" s="4">
        <v>0.70833333333333337</v>
      </c>
      <c r="AF1432" s="2"/>
      <c r="AG1432" s="2"/>
      <c r="AH1432" s="2">
        <v>2</v>
      </c>
      <c r="AI1432" s="2" t="s">
        <v>84</v>
      </c>
      <c r="AJ1432" s="2">
        <v>6</v>
      </c>
      <c r="AK1432" s="2" t="s">
        <v>453</v>
      </c>
      <c r="AL1432" s="2">
        <v>17</v>
      </c>
      <c r="AM1432" s="2" t="s">
        <v>232</v>
      </c>
      <c r="AN1432" s="2"/>
      <c r="AO1432" s="2" t="s">
        <v>3520</v>
      </c>
      <c r="AP1432" s="2">
        <v>11</v>
      </c>
      <c r="AQ1432" s="2" t="s">
        <v>82</v>
      </c>
      <c r="AR1432" s="2"/>
      <c r="AS1432" s="2"/>
      <c r="AT1432" s="2" t="s">
        <v>5279</v>
      </c>
      <c r="AU1432" s="2"/>
      <c r="AV1432" s="2"/>
      <c r="AW1432" s="2"/>
      <c r="AX1432" s="2"/>
      <c r="AY1432" s="2">
        <v>42</v>
      </c>
      <c r="AZ1432" s="2" t="s">
        <v>182</v>
      </c>
      <c r="BA1432" s="2">
        <v>1</v>
      </c>
      <c r="BB1432" s="2" t="s">
        <v>107</v>
      </c>
      <c r="BC1432" s="2">
        <v>70</v>
      </c>
      <c r="BD1432" s="2" t="s">
        <v>236</v>
      </c>
      <c r="BE1432" s="2">
        <v>41</v>
      </c>
      <c r="BF1432" s="2" t="s">
        <v>82</v>
      </c>
      <c r="BG1432" s="2"/>
      <c r="BH1432" s="2"/>
      <c r="BI1432" s="2"/>
      <c r="BJ1432" s="2">
        <v>241</v>
      </c>
      <c r="BK1432" s="2" t="s">
        <v>82</v>
      </c>
      <c r="BL1432" s="2"/>
      <c r="BM1432" s="2">
        <v>241</v>
      </c>
      <c r="BN1432" s="2" t="s">
        <v>82</v>
      </c>
      <c r="BO1432" s="2"/>
      <c r="BP1432" s="2">
        <v>241</v>
      </c>
      <c r="BQ1432" s="2" t="s">
        <v>82</v>
      </c>
      <c r="BR1432" s="2"/>
      <c r="BS1432" s="3">
        <v>40276</v>
      </c>
      <c r="BT1432" s="4">
        <v>0.77733796296296298</v>
      </c>
    </row>
    <row r="1433" spans="1:72" x14ac:dyDescent="0.25">
      <c r="A1433" s="2">
        <v>2130</v>
      </c>
      <c r="B1433" s="2">
        <v>2010</v>
      </c>
      <c r="C1433" s="2" t="s">
        <v>72</v>
      </c>
      <c r="D1433" s="2" t="s">
        <v>122</v>
      </c>
      <c r="E1433" s="2" t="s">
        <v>5281</v>
      </c>
      <c r="F1433" s="2">
        <v>288</v>
      </c>
      <c r="G1433" s="2" t="s">
        <v>5233</v>
      </c>
      <c r="H1433" s="2">
        <v>50</v>
      </c>
      <c r="I1433" s="2" t="s">
        <v>107</v>
      </c>
      <c r="J1433" s="2">
        <v>519</v>
      </c>
      <c r="K1433" s="2" t="s">
        <v>5234</v>
      </c>
      <c r="L1433" s="2" t="s">
        <v>5235</v>
      </c>
      <c r="M1433" s="3">
        <v>40276</v>
      </c>
      <c r="N1433" s="2" t="s">
        <v>107</v>
      </c>
      <c r="O1433" s="2"/>
      <c r="P1433" s="2"/>
      <c r="Q1433" s="2" t="str">
        <f>"17-10"</f>
        <v>17-10</v>
      </c>
      <c r="R1433" s="2"/>
      <c r="S1433" s="2" t="s">
        <v>116</v>
      </c>
      <c r="T1433" s="2">
        <v>1</v>
      </c>
      <c r="U1433" s="2" t="s">
        <v>79</v>
      </c>
      <c r="V1433" s="2">
        <v>1</v>
      </c>
      <c r="W1433" s="2" t="s">
        <v>80</v>
      </c>
      <c r="X1433" s="2">
        <v>5</v>
      </c>
      <c r="Y1433" s="2" t="s">
        <v>82</v>
      </c>
      <c r="Z1433" s="2">
        <v>1</v>
      </c>
      <c r="AA1433" s="2" t="s">
        <v>82</v>
      </c>
      <c r="AB1433" s="2">
        <v>6</v>
      </c>
      <c r="AC1433" s="2" t="s">
        <v>83</v>
      </c>
      <c r="AD1433" s="3">
        <v>40275</v>
      </c>
      <c r="AE1433" s="2"/>
      <c r="AF1433" s="3">
        <v>40275</v>
      </c>
      <c r="AG1433" s="4">
        <v>0.51041666666666663</v>
      </c>
      <c r="AH1433" s="2">
        <v>3</v>
      </c>
      <c r="AI1433" s="2" t="s">
        <v>214</v>
      </c>
      <c r="AJ1433" s="2">
        <v>24</v>
      </c>
      <c r="AK1433" s="2" t="s">
        <v>215</v>
      </c>
      <c r="AL1433" s="2">
        <v>10</v>
      </c>
      <c r="AM1433" s="2" t="s">
        <v>200</v>
      </c>
      <c r="AN1433" s="2"/>
      <c r="AO1433" s="2" t="s">
        <v>5186</v>
      </c>
      <c r="AP1433" s="2">
        <v>11</v>
      </c>
      <c r="AQ1433" s="2" t="s">
        <v>82</v>
      </c>
      <c r="AR1433" s="2"/>
      <c r="AS1433" s="2"/>
      <c r="AT1433" s="2" t="s">
        <v>5282</v>
      </c>
      <c r="AU1433" s="2"/>
      <c r="AV1433" s="2"/>
      <c r="AW1433" s="2"/>
      <c r="AX1433" s="2"/>
      <c r="AY1433" s="2">
        <v>106</v>
      </c>
      <c r="AZ1433" s="2" t="s">
        <v>5188</v>
      </c>
      <c r="BA1433" s="2">
        <v>106</v>
      </c>
      <c r="BB1433" s="2" t="s">
        <v>5188</v>
      </c>
      <c r="BC1433" s="2">
        <v>106</v>
      </c>
      <c r="BD1433" s="2" t="s">
        <v>5188</v>
      </c>
      <c r="BE1433" s="2">
        <v>13</v>
      </c>
      <c r="BF1433" s="2" t="s">
        <v>108</v>
      </c>
      <c r="BG1433" s="2">
        <v>1506</v>
      </c>
      <c r="BH1433" s="4">
        <v>0.45833333333333331</v>
      </c>
      <c r="BI1433" s="4">
        <v>0.4152777777777778</v>
      </c>
      <c r="BJ1433" s="2">
        <v>13</v>
      </c>
      <c r="BK1433" s="2" t="s">
        <v>91</v>
      </c>
      <c r="BL1433" s="2" t="s">
        <v>185</v>
      </c>
      <c r="BM1433" s="2">
        <v>241</v>
      </c>
      <c r="BN1433" s="2" t="s">
        <v>82</v>
      </c>
      <c r="BO1433" s="2"/>
      <c r="BP1433" s="2">
        <v>13</v>
      </c>
      <c r="BQ1433" s="2" t="s">
        <v>91</v>
      </c>
      <c r="BR1433" s="2" t="s">
        <v>169</v>
      </c>
      <c r="BS1433" s="3">
        <v>40276</v>
      </c>
      <c r="BT1433" s="4">
        <v>0.81075231481481491</v>
      </c>
    </row>
    <row r="1434" spans="1:72" x14ac:dyDescent="0.25">
      <c r="A1434" s="2">
        <v>2131</v>
      </c>
      <c r="B1434" s="2">
        <v>2010</v>
      </c>
      <c r="C1434" s="2" t="s">
        <v>819</v>
      </c>
      <c r="D1434" s="2" t="s">
        <v>73</v>
      </c>
      <c r="E1434" s="2"/>
      <c r="F1434" s="2">
        <v>400</v>
      </c>
      <c r="G1434" s="2" t="s">
        <v>3601</v>
      </c>
      <c r="H1434" s="2">
        <v>17</v>
      </c>
      <c r="I1434" s="2" t="s">
        <v>3602</v>
      </c>
      <c r="J1434" s="2">
        <v>316</v>
      </c>
      <c r="K1434" s="2" t="s">
        <v>574</v>
      </c>
      <c r="L1434" s="2" t="s">
        <v>575</v>
      </c>
      <c r="M1434" s="3">
        <v>40276</v>
      </c>
      <c r="N1434" s="2" t="s">
        <v>5283</v>
      </c>
      <c r="O1434" s="2" t="s">
        <v>5284</v>
      </c>
      <c r="P1434" s="2" t="s">
        <v>3605</v>
      </c>
      <c r="Q1434" s="2" t="str">
        <f>""</f>
        <v/>
      </c>
      <c r="R1434" s="2"/>
      <c r="S1434" s="2"/>
      <c r="T1434" s="2">
        <v>1</v>
      </c>
      <c r="U1434" s="2" t="s">
        <v>79</v>
      </c>
      <c r="V1434" s="2">
        <v>1</v>
      </c>
      <c r="W1434" s="2" t="s">
        <v>80</v>
      </c>
      <c r="X1434" s="2">
        <v>2</v>
      </c>
      <c r="Y1434" s="2" t="s">
        <v>136</v>
      </c>
      <c r="Z1434" s="2">
        <v>10</v>
      </c>
      <c r="AA1434" s="2" t="s">
        <v>236</v>
      </c>
      <c r="AB1434" s="2">
        <v>9</v>
      </c>
      <c r="AC1434" s="2" t="s">
        <v>124</v>
      </c>
      <c r="AD1434" s="3">
        <v>40276</v>
      </c>
      <c r="AE1434" s="4">
        <v>0.5</v>
      </c>
      <c r="AF1434" s="2"/>
      <c r="AG1434" s="2"/>
      <c r="AH1434" s="2">
        <v>2</v>
      </c>
      <c r="AI1434" s="2" t="s">
        <v>84</v>
      </c>
      <c r="AJ1434" s="2">
        <v>6</v>
      </c>
      <c r="AK1434" s="2" t="s">
        <v>453</v>
      </c>
      <c r="AL1434" s="2">
        <v>18</v>
      </c>
      <c r="AM1434" s="2" t="s">
        <v>82</v>
      </c>
      <c r="AN1434" s="2" t="s">
        <v>5285</v>
      </c>
      <c r="AO1434" s="2" t="s">
        <v>5286</v>
      </c>
      <c r="AP1434" s="2">
        <v>11</v>
      </c>
      <c r="AQ1434" s="2" t="s">
        <v>82</v>
      </c>
      <c r="AR1434" s="2"/>
      <c r="AS1434" s="2"/>
      <c r="AT1434" s="2" t="s">
        <v>5287</v>
      </c>
      <c r="AU1434" s="2"/>
      <c r="AV1434" s="2"/>
      <c r="AW1434" s="2"/>
      <c r="AX1434" s="2"/>
      <c r="AY1434" s="2">
        <v>42</v>
      </c>
      <c r="AZ1434" s="2" t="s">
        <v>182</v>
      </c>
      <c r="BA1434" s="2">
        <v>70</v>
      </c>
      <c r="BB1434" s="2" t="s">
        <v>236</v>
      </c>
      <c r="BC1434" s="2">
        <v>70</v>
      </c>
      <c r="BD1434" s="2" t="s">
        <v>236</v>
      </c>
      <c r="BE1434" s="2">
        <v>41</v>
      </c>
      <c r="BF1434" s="2" t="s">
        <v>82</v>
      </c>
      <c r="BG1434" s="2"/>
      <c r="BH1434" s="2"/>
      <c r="BI1434" s="2"/>
      <c r="BJ1434" s="2">
        <v>241</v>
      </c>
      <c r="BK1434" s="2" t="s">
        <v>82</v>
      </c>
      <c r="BL1434" s="2"/>
      <c r="BM1434" s="2">
        <v>241</v>
      </c>
      <c r="BN1434" s="2" t="s">
        <v>82</v>
      </c>
      <c r="BO1434" s="2"/>
      <c r="BP1434" s="2">
        <v>241</v>
      </c>
      <c r="BQ1434" s="2" t="s">
        <v>82</v>
      </c>
      <c r="BR1434" s="2"/>
      <c r="BS1434" s="3">
        <v>40276</v>
      </c>
      <c r="BT1434" s="4">
        <v>0.86152777777777778</v>
      </c>
    </row>
    <row r="1435" spans="1:72" x14ac:dyDescent="0.25">
      <c r="A1435" s="2">
        <v>2132</v>
      </c>
      <c r="B1435" s="2">
        <v>2010</v>
      </c>
      <c r="C1435" s="2" t="s">
        <v>72</v>
      </c>
      <c r="D1435" s="2" t="s">
        <v>73</v>
      </c>
      <c r="E1435" s="2"/>
      <c r="F1435" s="2">
        <v>389</v>
      </c>
      <c r="G1435" s="2" t="s">
        <v>1819</v>
      </c>
      <c r="H1435" s="2">
        <v>3</v>
      </c>
      <c r="I1435" s="2" t="s">
        <v>315</v>
      </c>
      <c r="J1435" s="2">
        <v>399</v>
      </c>
      <c r="K1435" s="2" t="s">
        <v>1820</v>
      </c>
      <c r="L1435" s="2" t="s">
        <v>1821</v>
      </c>
      <c r="M1435" s="3">
        <v>40276</v>
      </c>
      <c r="N1435" s="2" t="s">
        <v>4976</v>
      </c>
      <c r="O1435" s="2" t="s">
        <v>107</v>
      </c>
      <c r="P1435" s="2" t="s">
        <v>107</v>
      </c>
      <c r="Q1435" s="2" t="str">
        <f>"189-E/10"</f>
        <v>189-E/10</v>
      </c>
      <c r="R1435" s="2" t="s">
        <v>107</v>
      </c>
      <c r="S1435" s="2" t="s">
        <v>116</v>
      </c>
      <c r="T1435" s="2">
        <v>1</v>
      </c>
      <c r="U1435" s="2" t="s">
        <v>79</v>
      </c>
      <c r="V1435" s="2">
        <v>1</v>
      </c>
      <c r="W1435" s="2" t="s">
        <v>80</v>
      </c>
      <c r="X1435" s="2">
        <v>5</v>
      </c>
      <c r="Y1435" s="2" t="s">
        <v>82</v>
      </c>
      <c r="Z1435" s="2">
        <v>1</v>
      </c>
      <c r="AA1435" s="2" t="s">
        <v>82</v>
      </c>
      <c r="AB1435" s="2">
        <v>6</v>
      </c>
      <c r="AC1435" s="2" t="s">
        <v>83</v>
      </c>
      <c r="AD1435" s="3">
        <v>40276</v>
      </c>
      <c r="AE1435" s="4">
        <v>0.33333333333333331</v>
      </c>
      <c r="AF1435" s="3">
        <v>40276</v>
      </c>
      <c r="AG1435" s="4">
        <v>0.88888888888888884</v>
      </c>
      <c r="AH1435" s="2">
        <v>2</v>
      </c>
      <c r="AI1435" s="2" t="s">
        <v>84</v>
      </c>
      <c r="AJ1435" s="2">
        <v>9</v>
      </c>
      <c r="AK1435" s="2" t="s">
        <v>103</v>
      </c>
      <c r="AL1435" s="2">
        <v>14</v>
      </c>
      <c r="AM1435" s="2" t="s">
        <v>216</v>
      </c>
      <c r="AN1435" s="2" t="s">
        <v>5288</v>
      </c>
      <c r="AO1435" s="2" t="s">
        <v>4026</v>
      </c>
      <c r="AP1435" s="2">
        <v>11</v>
      </c>
      <c r="AQ1435" s="2" t="s">
        <v>82</v>
      </c>
      <c r="AR1435" s="2"/>
      <c r="AS1435" s="2"/>
      <c r="AT1435" s="2" t="s">
        <v>5289</v>
      </c>
      <c r="AU1435" s="2"/>
      <c r="AV1435" s="2"/>
      <c r="AW1435" s="2"/>
      <c r="AX1435" s="2"/>
      <c r="AY1435" s="2">
        <v>41</v>
      </c>
      <c r="AZ1435" s="2" t="s">
        <v>82</v>
      </c>
      <c r="BA1435" s="2">
        <v>41</v>
      </c>
      <c r="BB1435" s="2" t="s">
        <v>82</v>
      </c>
      <c r="BC1435" s="2">
        <v>41</v>
      </c>
      <c r="BD1435" s="2" t="s">
        <v>82</v>
      </c>
      <c r="BE1435" s="2">
        <v>22</v>
      </c>
      <c r="BF1435" s="2" t="s">
        <v>1262</v>
      </c>
      <c r="BG1435" s="2" t="s">
        <v>5290</v>
      </c>
      <c r="BH1435" s="4">
        <v>0.3125</v>
      </c>
      <c r="BI1435" s="4">
        <v>0</v>
      </c>
      <c r="BJ1435" s="2">
        <v>75</v>
      </c>
      <c r="BK1435" s="2" t="s">
        <v>1264</v>
      </c>
      <c r="BL1435" s="2" t="s">
        <v>5291</v>
      </c>
      <c r="BM1435" s="2">
        <v>75</v>
      </c>
      <c r="BN1435" s="2" t="s">
        <v>1264</v>
      </c>
      <c r="BO1435" s="2" t="s">
        <v>5292</v>
      </c>
      <c r="BP1435" s="2">
        <v>13</v>
      </c>
      <c r="BQ1435" s="2" t="s">
        <v>91</v>
      </c>
      <c r="BR1435" s="2" t="s">
        <v>1084</v>
      </c>
      <c r="BS1435" s="3">
        <v>40276</v>
      </c>
      <c r="BT1435" s="4">
        <v>0.90138888888888891</v>
      </c>
    </row>
    <row r="1436" spans="1:72" x14ac:dyDescent="0.25">
      <c r="A1436" s="2">
        <v>2133</v>
      </c>
      <c r="B1436" s="2">
        <v>2010</v>
      </c>
      <c r="C1436" s="2" t="s">
        <v>196</v>
      </c>
      <c r="D1436" s="2" t="s">
        <v>122</v>
      </c>
      <c r="E1436" s="2"/>
      <c r="F1436" s="2">
        <v>1</v>
      </c>
      <c r="G1436" s="2" t="s">
        <v>82</v>
      </c>
      <c r="H1436" s="2">
        <v>1</v>
      </c>
      <c r="I1436" s="2" t="s">
        <v>82</v>
      </c>
      <c r="J1436" s="2">
        <v>1</v>
      </c>
      <c r="K1436" s="2" t="s">
        <v>107</v>
      </c>
      <c r="L1436" s="2" t="s">
        <v>107</v>
      </c>
      <c r="M1436" s="3">
        <v>40276</v>
      </c>
      <c r="N1436" s="2"/>
      <c r="O1436" s="2"/>
      <c r="P1436" s="2"/>
      <c r="Q1436" s="2" t="str">
        <f>""</f>
        <v/>
      </c>
      <c r="R1436" s="2"/>
      <c r="S1436" s="2"/>
      <c r="T1436" s="2">
        <v>2</v>
      </c>
      <c r="U1436" s="2" t="s">
        <v>123</v>
      </c>
      <c r="V1436" s="2">
        <v>1</v>
      </c>
      <c r="W1436" s="2" t="s">
        <v>80</v>
      </c>
      <c r="X1436" s="2">
        <v>1</v>
      </c>
      <c r="Y1436" s="2" t="s">
        <v>81</v>
      </c>
      <c r="Z1436" s="2">
        <v>10</v>
      </c>
      <c r="AA1436" s="2" t="s">
        <v>236</v>
      </c>
      <c r="AB1436" s="2">
        <v>9</v>
      </c>
      <c r="AC1436" s="2" t="s">
        <v>124</v>
      </c>
      <c r="AD1436" s="3">
        <v>40276</v>
      </c>
      <c r="AE1436" s="4">
        <v>0.72916666666666663</v>
      </c>
      <c r="AF1436" s="2"/>
      <c r="AG1436" s="2"/>
      <c r="AH1436" s="2">
        <v>2</v>
      </c>
      <c r="AI1436" s="2" t="s">
        <v>84</v>
      </c>
      <c r="AJ1436" s="2">
        <v>12</v>
      </c>
      <c r="AK1436" s="2" t="s">
        <v>85</v>
      </c>
      <c r="AL1436" s="2">
        <v>20</v>
      </c>
      <c r="AM1436" s="2" t="s">
        <v>992</v>
      </c>
      <c r="AN1436" s="2" t="s">
        <v>107</v>
      </c>
      <c r="AO1436" s="2" t="s">
        <v>992</v>
      </c>
      <c r="AP1436" s="2">
        <v>11</v>
      </c>
      <c r="AQ1436" s="2" t="s">
        <v>82</v>
      </c>
      <c r="AR1436" s="2"/>
      <c r="AS1436" s="2"/>
      <c r="AT1436" s="2" t="s">
        <v>5293</v>
      </c>
      <c r="AU1436" s="2"/>
      <c r="AV1436" s="2"/>
      <c r="AW1436" s="2"/>
      <c r="AX1436" s="2"/>
      <c r="AY1436" s="2">
        <v>41</v>
      </c>
      <c r="AZ1436" s="2" t="s">
        <v>82</v>
      </c>
      <c r="BA1436" s="2">
        <v>41</v>
      </c>
      <c r="BB1436" s="2" t="s">
        <v>82</v>
      </c>
      <c r="BC1436" s="2">
        <v>41</v>
      </c>
      <c r="BD1436" s="2" t="s">
        <v>82</v>
      </c>
      <c r="BE1436" s="2">
        <v>41</v>
      </c>
      <c r="BF1436" s="2" t="s">
        <v>82</v>
      </c>
      <c r="BG1436" s="2"/>
      <c r="BH1436" s="2"/>
      <c r="BI1436" s="2"/>
      <c r="BJ1436" s="2">
        <v>13</v>
      </c>
      <c r="BK1436" s="2" t="s">
        <v>91</v>
      </c>
      <c r="BL1436" s="2" t="s">
        <v>185</v>
      </c>
      <c r="BM1436" s="2">
        <v>241</v>
      </c>
      <c r="BN1436" s="2" t="s">
        <v>82</v>
      </c>
      <c r="BO1436" s="2"/>
      <c r="BP1436" s="2">
        <v>75</v>
      </c>
      <c r="BQ1436" s="2" t="s">
        <v>1264</v>
      </c>
      <c r="BR1436" s="2" t="s">
        <v>2406</v>
      </c>
      <c r="BS1436" s="3">
        <v>40276</v>
      </c>
      <c r="BT1436" s="4">
        <v>0.92437499999999995</v>
      </c>
    </row>
    <row r="1437" spans="1:72" x14ac:dyDescent="0.25">
      <c r="A1437" s="2">
        <v>2134</v>
      </c>
      <c r="B1437" s="2">
        <v>2010</v>
      </c>
      <c r="C1437" s="2" t="s">
        <v>594</v>
      </c>
      <c r="D1437" s="2" t="s">
        <v>122</v>
      </c>
      <c r="E1437" s="2"/>
      <c r="F1437" s="2">
        <v>1</v>
      </c>
      <c r="G1437" s="2" t="s">
        <v>82</v>
      </c>
      <c r="H1437" s="2">
        <v>1</v>
      </c>
      <c r="I1437" s="2" t="s">
        <v>82</v>
      </c>
      <c r="J1437" s="2">
        <v>1</v>
      </c>
      <c r="K1437" s="2" t="s">
        <v>107</v>
      </c>
      <c r="L1437" s="2" t="s">
        <v>107</v>
      </c>
      <c r="M1437" s="3">
        <v>40277</v>
      </c>
      <c r="N1437" s="2"/>
      <c r="O1437" s="2"/>
      <c r="P1437" s="2"/>
      <c r="Q1437" s="2" t="str">
        <f>""</f>
        <v/>
      </c>
      <c r="R1437" s="2"/>
      <c r="S1437" s="2"/>
      <c r="T1437" s="2">
        <v>1</v>
      </c>
      <c r="U1437" s="2" t="s">
        <v>79</v>
      </c>
      <c r="V1437" s="2">
        <v>1</v>
      </c>
      <c r="W1437" s="2" t="s">
        <v>80</v>
      </c>
      <c r="X1437" s="2">
        <v>1</v>
      </c>
      <c r="Y1437" s="2" t="s">
        <v>81</v>
      </c>
      <c r="Z1437" s="2">
        <v>1</v>
      </c>
      <c r="AA1437" s="2" t="s">
        <v>82</v>
      </c>
      <c r="AB1437" s="2">
        <v>9</v>
      </c>
      <c r="AC1437" s="2" t="s">
        <v>124</v>
      </c>
      <c r="AD1437" s="3">
        <v>40276</v>
      </c>
      <c r="AE1437" s="4">
        <v>0.97916666666666663</v>
      </c>
      <c r="AF1437" s="2"/>
      <c r="AG1437" s="2"/>
      <c r="AH1437" s="2">
        <v>3</v>
      </c>
      <c r="AI1437" s="2" t="s">
        <v>214</v>
      </c>
      <c r="AJ1437" s="2">
        <v>13</v>
      </c>
      <c r="AK1437" s="2" t="s">
        <v>214</v>
      </c>
      <c r="AL1437" s="2">
        <v>21</v>
      </c>
      <c r="AM1437" s="2" t="s">
        <v>1311</v>
      </c>
      <c r="AN1437" s="2"/>
      <c r="AO1437" s="2"/>
      <c r="AP1437" s="2">
        <v>11</v>
      </c>
      <c r="AQ1437" s="2" t="s">
        <v>82</v>
      </c>
      <c r="AR1437" s="2"/>
      <c r="AS1437" s="2"/>
      <c r="AT1437" s="2" t="s">
        <v>5294</v>
      </c>
      <c r="AU1437" s="2"/>
      <c r="AV1437" s="2"/>
      <c r="AW1437" s="2"/>
      <c r="AX1437" s="2"/>
      <c r="AY1437" s="2">
        <v>41</v>
      </c>
      <c r="AZ1437" s="2" t="s">
        <v>82</v>
      </c>
      <c r="BA1437" s="2">
        <v>41</v>
      </c>
      <c r="BB1437" s="2" t="s">
        <v>82</v>
      </c>
      <c r="BC1437" s="2">
        <v>41</v>
      </c>
      <c r="BD1437" s="2" t="s">
        <v>82</v>
      </c>
      <c r="BE1437" s="2">
        <v>4</v>
      </c>
      <c r="BF1437" s="2" t="s">
        <v>90</v>
      </c>
      <c r="BG1437" s="2" t="s">
        <v>5295</v>
      </c>
      <c r="BH1437" s="4">
        <v>0.97916666666666663</v>
      </c>
      <c r="BI1437" s="4">
        <v>0.90972222222222221</v>
      </c>
      <c r="BJ1437" s="2">
        <v>13</v>
      </c>
      <c r="BK1437" s="2" t="s">
        <v>91</v>
      </c>
      <c r="BL1437" s="2" t="s">
        <v>5296</v>
      </c>
      <c r="BM1437" s="2">
        <v>241</v>
      </c>
      <c r="BN1437" s="2" t="s">
        <v>82</v>
      </c>
      <c r="BO1437" s="2"/>
      <c r="BP1437" s="2">
        <v>13</v>
      </c>
      <c r="BQ1437" s="2" t="s">
        <v>91</v>
      </c>
      <c r="BR1437" s="2" t="s">
        <v>5297</v>
      </c>
      <c r="BS1437" s="3">
        <v>40277</v>
      </c>
      <c r="BT1437" s="4">
        <v>6.5787037037037033E-2</v>
      </c>
    </row>
    <row r="1438" spans="1:72" x14ac:dyDescent="0.25">
      <c r="A1438" s="2">
        <v>2135</v>
      </c>
      <c r="B1438" s="2">
        <v>2010</v>
      </c>
      <c r="C1438" s="2" t="s">
        <v>196</v>
      </c>
      <c r="D1438" s="2" t="s">
        <v>122</v>
      </c>
      <c r="E1438" s="2"/>
      <c r="F1438" s="2">
        <v>1</v>
      </c>
      <c r="G1438" s="2" t="s">
        <v>82</v>
      </c>
      <c r="H1438" s="2">
        <v>1</v>
      </c>
      <c r="I1438" s="2" t="s">
        <v>82</v>
      </c>
      <c r="J1438" s="2">
        <v>1</v>
      </c>
      <c r="K1438" s="2" t="s">
        <v>107</v>
      </c>
      <c r="L1438" s="2" t="s">
        <v>107</v>
      </c>
      <c r="M1438" s="3">
        <v>40277</v>
      </c>
      <c r="N1438" s="2"/>
      <c r="O1438" s="2"/>
      <c r="P1438" s="2"/>
      <c r="Q1438" s="2" t="str">
        <f>""</f>
        <v/>
      </c>
      <c r="R1438" s="2"/>
      <c r="S1438" s="2"/>
      <c r="T1438" s="2">
        <v>2</v>
      </c>
      <c r="U1438" s="2" t="s">
        <v>123</v>
      </c>
      <c r="V1438" s="2">
        <v>1</v>
      </c>
      <c r="W1438" s="2" t="s">
        <v>80</v>
      </c>
      <c r="X1438" s="2">
        <v>5</v>
      </c>
      <c r="Y1438" s="2" t="s">
        <v>82</v>
      </c>
      <c r="Z1438" s="2">
        <v>1</v>
      </c>
      <c r="AA1438" s="2" t="s">
        <v>82</v>
      </c>
      <c r="AB1438" s="2">
        <v>9</v>
      </c>
      <c r="AC1438" s="2" t="s">
        <v>124</v>
      </c>
      <c r="AD1438" s="3">
        <v>40276</v>
      </c>
      <c r="AE1438" s="4">
        <v>0.43402777777777773</v>
      </c>
      <c r="AF1438" s="2"/>
      <c r="AG1438" s="2"/>
      <c r="AH1438" s="2">
        <v>2</v>
      </c>
      <c r="AI1438" s="2" t="s">
        <v>84</v>
      </c>
      <c r="AJ1438" s="2">
        <v>9</v>
      </c>
      <c r="AK1438" s="2" t="s">
        <v>103</v>
      </c>
      <c r="AL1438" s="2">
        <v>16</v>
      </c>
      <c r="AM1438" s="2" t="s">
        <v>392</v>
      </c>
      <c r="AN1438" s="2" t="s">
        <v>5298</v>
      </c>
      <c r="AO1438" s="2"/>
      <c r="AP1438" s="2">
        <v>11</v>
      </c>
      <c r="AQ1438" s="2" t="s">
        <v>82</v>
      </c>
      <c r="AR1438" s="2"/>
      <c r="AS1438" s="2"/>
      <c r="AT1438" s="2" t="s">
        <v>5299</v>
      </c>
      <c r="AU1438" s="2"/>
      <c r="AV1438" s="2"/>
      <c r="AW1438" s="2"/>
      <c r="AX1438" s="2"/>
      <c r="AY1438" s="2">
        <v>41</v>
      </c>
      <c r="AZ1438" s="2" t="s">
        <v>82</v>
      </c>
      <c r="BA1438" s="2">
        <v>41</v>
      </c>
      <c r="BB1438" s="2" t="s">
        <v>82</v>
      </c>
      <c r="BC1438" s="2">
        <v>41</v>
      </c>
      <c r="BD1438" s="2" t="s">
        <v>82</v>
      </c>
      <c r="BE1438" s="2">
        <v>41</v>
      </c>
      <c r="BF1438" s="2" t="s">
        <v>82</v>
      </c>
      <c r="BG1438" s="2"/>
      <c r="BH1438" s="4">
        <v>0.43402777777777773</v>
      </c>
      <c r="BI1438" s="4">
        <v>0.71875</v>
      </c>
      <c r="BJ1438" s="2">
        <v>46</v>
      </c>
      <c r="BK1438" s="2" t="s">
        <v>307</v>
      </c>
      <c r="BL1438" s="2" t="s">
        <v>4628</v>
      </c>
      <c r="BM1438" s="2">
        <v>241</v>
      </c>
      <c r="BN1438" s="2" t="s">
        <v>82</v>
      </c>
      <c r="BO1438" s="2"/>
      <c r="BP1438" s="2">
        <v>13</v>
      </c>
      <c r="BQ1438" s="2" t="s">
        <v>91</v>
      </c>
      <c r="BR1438" s="2" t="s">
        <v>5300</v>
      </c>
      <c r="BS1438" s="3">
        <v>40277</v>
      </c>
      <c r="BT1438" s="4">
        <v>7.3020833333333326E-2</v>
      </c>
    </row>
    <row r="1439" spans="1:72" x14ac:dyDescent="0.25">
      <c r="A1439" s="2">
        <v>2136</v>
      </c>
      <c r="B1439" s="2">
        <v>2010</v>
      </c>
      <c r="C1439" s="2" t="s">
        <v>196</v>
      </c>
      <c r="D1439" s="2" t="s">
        <v>122</v>
      </c>
      <c r="E1439" s="2"/>
      <c r="F1439" s="2">
        <v>1</v>
      </c>
      <c r="G1439" s="2" t="s">
        <v>82</v>
      </c>
      <c r="H1439" s="2">
        <v>1</v>
      </c>
      <c r="I1439" s="2" t="s">
        <v>82</v>
      </c>
      <c r="J1439" s="2">
        <v>1</v>
      </c>
      <c r="K1439" s="2" t="s">
        <v>107</v>
      </c>
      <c r="L1439" s="2" t="s">
        <v>107</v>
      </c>
      <c r="M1439" s="3">
        <v>40277</v>
      </c>
      <c r="N1439" s="2"/>
      <c r="O1439" s="2"/>
      <c r="P1439" s="2"/>
      <c r="Q1439" s="2" t="str">
        <f>""</f>
        <v/>
      </c>
      <c r="R1439" s="2"/>
      <c r="S1439" s="2"/>
      <c r="T1439" s="2">
        <v>2</v>
      </c>
      <c r="U1439" s="2" t="s">
        <v>123</v>
      </c>
      <c r="V1439" s="2">
        <v>1</v>
      </c>
      <c r="W1439" s="2" t="s">
        <v>80</v>
      </c>
      <c r="X1439" s="2">
        <v>5</v>
      </c>
      <c r="Y1439" s="2" t="s">
        <v>82</v>
      </c>
      <c r="Z1439" s="2">
        <v>1</v>
      </c>
      <c r="AA1439" s="2" t="s">
        <v>82</v>
      </c>
      <c r="AB1439" s="2">
        <v>9</v>
      </c>
      <c r="AC1439" s="2" t="s">
        <v>124</v>
      </c>
      <c r="AD1439" s="2"/>
      <c r="AE1439" s="2"/>
      <c r="AF1439" s="2"/>
      <c r="AG1439" s="2"/>
      <c r="AH1439" s="2">
        <v>2</v>
      </c>
      <c r="AI1439" s="2" t="s">
        <v>84</v>
      </c>
      <c r="AJ1439" s="2">
        <v>9</v>
      </c>
      <c r="AK1439" s="2" t="s">
        <v>103</v>
      </c>
      <c r="AL1439" s="2">
        <v>7</v>
      </c>
      <c r="AM1439" s="2" t="s">
        <v>1450</v>
      </c>
      <c r="AN1439" s="2" t="s">
        <v>5301</v>
      </c>
      <c r="AO1439" s="2"/>
      <c r="AP1439" s="2">
        <v>11</v>
      </c>
      <c r="AQ1439" s="2" t="s">
        <v>82</v>
      </c>
      <c r="AR1439" s="2"/>
      <c r="AS1439" s="2"/>
      <c r="AT1439" s="2" t="s">
        <v>5302</v>
      </c>
      <c r="AU1439" s="2"/>
      <c r="AV1439" s="2"/>
      <c r="AW1439" s="2"/>
      <c r="AX1439" s="2"/>
      <c r="AY1439" s="2">
        <v>41</v>
      </c>
      <c r="AZ1439" s="2" t="s">
        <v>82</v>
      </c>
      <c r="BA1439" s="2">
        <v>41</v>
      </c>
      <c r="BB1439" s="2" t="s">
        <v>82</v>
      </c>
      <c r="BC1439" s="2">
        <v>41</v>
      </c>
      <c r="BD1439" s="2" t="s">
        <v>82</v>
      </c>
      <c r="BE1439" s="2">
        <v>41</v>
      </c>
      <c r="BF1439" s="2" t="s">
        <v>82</v>
      </c>
      <c r="BG1439" s="2" t="s">
        <v>5303</v>
      </c>
      <c r="BH1439" s="2"/>
      <c r="BI1439" s="2"/>
      <c r="BJ1439" s="2">
        <v>184</v>
      </c>
      <c r="BK1439" s="2" t="s">
        <v>5304</v>
      </c>
      <c r="BL1439" s="2" t="s">
        <v>5305</v>
      </c>
      <c r="BM1439" s="2">
        <v>4</v>
      </c>
      <c r="BN1439" s="2" t="s">
        <v>618</v>
      </c>
      <c r="BO1439" s="2" t="s">
        <v>619</v>
      </c>
      <c r="BP1439" s="2">
        <v>13</v>
      </c>
      <c r="BQ1439" s="2" t="s">
        <v>91</v>
      </c>
      <c r="BR1439" s="2" t="s">
        <v>5306</v>
      </c>
      <c r="BS1439" s="3">
        <v>40277</v>
      </c>
      <c r="BT1439" s="4">
        <v>8.4027777777777771E-2</v>
      </c>
    </row>
    <row r="1440" spans="1:72" x14ac:dyDescent="0.25">
      <c r="A1440" s="2">
        <v>2137</v>
      </c>
      <c r="B1440" s="2">
        <v>2010</v>
      </c>
      <c r="C1440" s="2" t="s">
        <v>72</v>
      </c>
      <c r="D1440" s="2" t="s">
        <v>73</v>
      </c>
      <c r="E1440" s="2"/>
      <c r="F1440" s="2">
        <v>587</v>
      </c>
      <c r="G1440" s="2" t="s">
        <v>5307</v>
      </c>
      <c r="H1440" s="2">
        <v>90</v>
      </c>
      <c r="I1440" s="2" t="s">
        <v>4931</v>
      </c>
      <c r="J1440" s="2">
        <v>227</v>
      </c>
      <c r="K1440" s="2" t="s">
        <v>864</v>
      </c>
      <c r="L1440" s="2" t="s">
        <v>4932</v>
      </c>
      <c r="M1440" s="3">
        <v>40277</v>
      </c>
      <c r="N1440" s="2" t="s">
        <v>5308</v>
      </c>
      <c r="O1440" s="2" t="s">
        <v>107</v>
      </c>
      <c r="P1440" s="2" t="s">
        <v>107</v>
      </c>
      <c r="Q1440" s="2" t="str">
        <f>"148-A/10"</f>
        <v>148-A/10</v>
      </c>
      <c r="R1440" s="2" t="s">
        <v>107</v>
      </c>
      <c r="S1440" s="2" t="s">
        <v>5309</v>
      </c>
      <c r="T1440" s="2">
        <v>1</v>
      </c>
      <c r="U1440" s="2" t="s">
        <v>79</v>
      </c>
      <c r="V1440" s="2">
        <v>1</v>
      </c>
      <c r="W1440" s="2" t="s">
        <v>80</v>
      </c>
      <c r="X1440" s="2">
        <v>5</v>
      </c>
      <c r="Y1440" s="2" t="s">
        <v>82</v>
      </c>
      <c r="Z1440" s="2">
        <v>1</v>
      </c>
      <c r="AA1440" s="2" t="s">
        <v>82</v>
      </c>
      <c r="AB1440" s="2">
        <v>6</v>
      </c>
      <c r="AC1440" s="2" t="s">
        <v>83</v>
      </c>
      <c r="AD1440" s="3">
        <v>40276</v>
      </c>
      <c r="AE1440" s="4">
        <v>0.98611111111111116</v>
      </c>
      <c r="AF1440" s="3">
        <v>40277</v>
      </c>
      <c r="AG1440" s="4">
        <v>6.9444444444444434E-2</v>
      </c>
      <c r="AH1440" s="2">
        <v>2</v>
      </c>
      <c r="AI1440" s="2" t="s">
        <v>84</v>
      </c>
      <c r="AJ1440" s="2">
        <v>12</v>
      </c>
      <c r="AK1440" s="2" t="s">
        <v>85</v>
      </c>
      <c r="AL1440" s="2">
        <v>8</v>
      </c>
      <c r="AM1440" s="2" t="s">
        <v>179</v>
      </c>
      <c r="AN1440" s="2" t="s">
        <v>5310</v>
      </c>
      <c r="AO1440" s="2" t="s">
        <v>5311</v>
      </c>
      <c r="AP1440" s="2">
        <v>11</v>
      </c>
      <c r="AQ1440" s="2" t="s">
        <v>82</v>
      </c>
      <c r="AR1440" s="2"/>
      <c r="AS1440" s="2"/>
      <c r="AT1440" s="2" t="s">
        <v>5312</v>
      </c>
      <c r="AU1440" s="2"/>
      <c r="AV1440" s="2">
        <v>3</v>
      </c>
      <c r="AW1440" s="2"/>
      <c r="AX1440" s="2"/>
      <c r="AY1440" s="2">
        <v>41</v>
      </c>
      <c r="AZ1440" s="2" t="s">
        <v>82</v>
      </c>
      <c r="BA1440" s="2">
        <v>41</v>
      </c>
      <c r="BB1440" s="2" t="s">
        <v>82</v>
      </c>
      <c r="BC1440" s="2">
        <v>41</v>
      </c>
      <c r="BD1440" s="2" t="s">
        <v>82</v>
      </c>
      <c r="BE1440" s="2">
        <v>13</v>
      </c>
      <c r="BF1440" s="2" t="s">
        <v>108</v>
      </c>
      <c r="BG1440" s="2" t="s">
        <v>5313</v>
      </c>
      <c r="BH1440" s="2"/>
      <c r="BI1440" s="4">
        <v>0.92708333333333337</v>
      </c>
      <c r="BJ1440" s="2">
        <v>13</v>
      </c>
      <c r="BK1440" s="2" t="s">
        <v>91</v>
      </c>
      <c r="BL1440" s="2" t="s">
        <v>3690</v>
      </c>
      <c r="BM1440" s="2">
        <v>241</v>
      </c>
      <c r="BN1440" s="2" t="s">
        <v>82</v>
      </c>
      <c r="BO1440" s="2" t="s">
        <v>82</v>
      </c>
      <c r="BP1440" s="2">
        <v>172</v>
      </c>
      <c r="BQ1440" s="2" t="s">
        <v>843</v>
      </c>
      <c r="BR1440" s="2" t="s">
        <v>844</v>
      </c>
      <c r="BS1440" s="3">
        <v>40277</v>
      </c>
      <c r="BT1440" s="4">
        <v>0.3021064814814815</v>
      </c>
    </row>
    <row r="1441" spans="1:72" x14ac:dyDescent="0.25">
      <c r="A1441" s="2">
        <v>2141</v>
      </c>
      <c r="B1441" s="2">
        <v>2010</v>
      </c>
      <c r="C1441" s="2" t="s">
        <v>2567</v>
      </c>
      <c r="D1441" s="2" t="s">
        <v>122</v>
      </c>
      <c r="E1441" s="2"/>
      <c r="F1441" s="2">
        <v>1</v>
      </c>
      <c r="G1441" s="2" t="s">
        <v>82</v>
      </c>
      <c r="H1441" s="2">
        <v>1</v>
      </c>
      <c r="I1441" s="2" t="s">
        <v>82</v>
      </c>
      <c r="J1441" s="2">
        <v>1</v>
      </c>
      <c r="K1441" s="2" t="s">
        <v>107</v>
      </c>
      <c r="L1441" s="2" t="s">
        <v>107</v>
      </c>
      <c r="M1441" s="3">
        <v>40277</v>
      </c>
      <c r="N1441" s="2"/>
      <c r="O1441" s="2"/>
      <c r="P1441" s="2"/>
      <c r="Q1441" s="2" t="str">
        <f>""</f>
        <v/>
      </c>
      <c r="R1441" s="2"/>
      <c r="S1441" s="2"/>
      <c r="T1441" s="2">
        <v>1</v>
      </c>
      <c r="U1441" s="2" t="s">
        <v>79</v>
      </c>
      <c r="V1441" s="2">
        <v>1</v>
      </c>
      <c r="W1441" s="2" t="s">
        <v>80</v>
      </c>
      <c r="X1441" s="2">
        <v>1</v>
      </c>
      <c r="Y1441" s="2" t="s">
        <v>81</v>
      </c>
      <c r="Z1441" s="2">
        <v>1</v>
      </c>
      <c r="AA1441" s="2" t="s">
        <v>82</v>
      </c>
      <c r="AB1441" s="2">
        <v>9</v>
      </c>
      <c r="AC1441" s="2" t="s">
        <v>124</v>
      </c>
      <c r="AD1441" s="3">
        <v>40277</v>
      </c>
      <c r="AE1441" s="4">
        <v>0.13194444444444445</v>
      </c>
      <c r="AF1441" s="2"/>
      <c r="AG1441" s="2"/>
      <c r="AH1441" s="2">
        <v>6</v>
      </c>
      <c r="AI1441" s="2" t="s">
        <v>197</v>
      </c>
      <c r="AJ1441" s="2">
        <v>58</v>
      </c>
      <c r="AK1441" s="2" t="s">
        <v>406</v>
      </c>
      <c r="AL1441" s="2">
        <v>2</v>
      </c>
      <c r="AM1441" s="2" t="s">
        <v>163</v>
      </c>
      <c r="AN1441" s="2" t="s">
        <v>179</v>
      </c>
      <c r="AO1441" s="2" t="s">
        <v>179</v>
      </c>
      <c r="AP1441" s="2">
        <v>11</v>
      </c>
      <c r="AQ1441" s="2" t="s">
        <v>82</v>
      </c>
      <c r="AR1441" s="2"/>
      <c r="AS1441" s="2"/>
      <c r="AT1441" s="2" t="s">
        <v>5314</v>
      </c>
      <c r="AU1441" s="2"/>
      <c r="AV1441" s="2"/>
      <c r="AW1441" s="2"/>
      <c r="AX1441" s="2"/>
      <c r="AY1441" s="2">
        <v>41</v>
      </c>
      <c r="AZ1441" s="2" t="s">
        <v>82</v>
      </c>
      <c r="BA1441" s="2">
        <v>41</v>
      </c>
      <c r="BB1441" s="2" t="s">
        <v>82</v>
      </c>
      <c r="BC1441" s="2">
        <v>41</v>
      </c>
      <c r="BD1441" s="2" t="s">
        <v>82</v>
      </c>
      <c r="BE1441" s="2">
        <v>47</v>
      </c>
      <c r="BF1441" s="2" t="s">
        <v>167</v>
      </c>
      <c r="BG1441" s="2">
        <v>2882</v>
      </c>
      <c r="BH1441" s="4">
        <v>0.10416666666666667</v>
      </c>
      <c r="BI1441" s="4">
        <v>0.13194444444444445</v>
      </c>
      <c r="BJ1441" s="2">
        <v>13</v>
      </c>
      <c r="BK1441" s="2" t="s">
        <v>91</v>
      </c>
      <c r="BL1441" s="2" t="s">
        <v>170</v>
      </c>
      <c r="BM1441" s="2">
        <v>13</v>
      </c>
      <c r="BN1441" s="2" t="s">
        <v>91</v>
      </c>
      <c r="BO1441" s="2" t="s">
        <v>82</v>
      </c>
      <c r="BP1441" s="2">
        <v>13</v>
      </c>
      <c r="BQ1441" s="2" t="s">
        <v>91</v>
      </c>
      <c r="BR1441" s="2"/>
      <c r="BS1441" s="3">
        <v>40277</v>
      </c>
      <c r="BT1441" s="4">
        <v>0.42709490740740735</v>
      </c>
    </row>
    <row r="1442" spans="1:72" x14ac:dyDescent="0.25">
      <c r="A1442" s="2">
        <v>2142</v>
      </c>
      <c r="B1442" s="2">
        <v>2010</v>
      </c>
      <c r="C1442" s="2" t="s">
        <v>72</v>
      </c>
      <c r="D1442" s="2" t="s">
        <v>73</v>
      </c>
      <c r="E1442" s="2"/>
      <c r="F1442" s="2">
        <v>52</v>
      </c>
      <c r="G1442" s="2" t="s">
        <v>2963</v>
      </c>
      <c r="H1442" s="2">
        <v>39</v>
      </c>
      <c r="I1442" s="2" t="s">
        <v>1117</v>
      </c>
      <c r="J1442" s="2">
        <v>87</v>
      </c>
      <c r="K1442" s="2" t="s">
        <v>2964</v>
      </c>
      <c r="L1442" s="2" t="s">
        <v>2534</v>
      </c>
      <c r="M1442" s="3">
        <v>40277</v>
      </c>
      <c r="N1442" s="2" t="s">
        <v>5315</v>
      </c>
      <c r="O1442" s="2"/>
      <c r="P1442" s="2"/>
      <c r="Q1442" s="2" t="str">
        <f>"013/10"</f>
        <v>013/10</v>
      </c>
      <c r="R1442" s="2" t="s">
        <v>5316</v>
      </c>
      <c r="S1442" s="2" t="s">
        <v>2967</v>
      </c>
      <c r="T1442" s="2">
        <v>1</v>
      </c>
      <c r="U1442" s="2" t="s">
        <v>79</v>
      </c>
      <c r="V1442" s="2">
        <v>1</v>
      </c>
      <c r="W1442" s="2" t="s">
        <v>80</v>
      </c>
      <c r="X1442" s="2">
        <v>1</v>
      </c>
      <c r="Y1442" s="2" t="s">
        <v>81</v>
      </c>
      <c r="Z1442" s="2">
        <v>1</v>
      </c>
      <c r="AA1442" s="2" t="s">
        <v>82</v>
      </c>
      <c r="AB1442" s="2">
        <v>6</v>
      </c>
      <c r="AC1442" s="2" t="s">
        <v>83</v>
      </c>
      <c r="AD1442" s="3">
        <v>40277</v>
      </c>
      <c r="AE1442" s="4">
        <v>0.2638888888888889</v>
      </c>
      <c r="AF1442" s="2"/>
      <c r="AG1442" s="2"/>
      <c r="AH1442" s="2">
        <v>4</v>
      </c>
      <c r="AI1442" s="2" t="s">
        <v>125</v>
      </c>
      <c r="AJ1442" s="2">
        <v>28</v>
      </c>
      <c r="AK1442" s="2" t="s">
        <v>741</v>
      </c>
      <c r="AL1442" s="2">
        <v>9</v>
      </c>
      <c r="AM1442" s="2" t="s">
        <v>259</v>
      </c>
      <c r="AN1442" s="2" t="s">
        <v>5317</v>
      </c>
      <c r="AO1442" s="2" t="s">
        <v>5318</v>
      </c>
      <c r="AP1442" s="2">
        <v>11</v>
      </c>
      <c r="AQ1442" s="2" t="s">
        <v>82</v>
      </c>
      <c r="AR1442" s="2"/>
      <c r="AS1442" s="2"/>
      <c r="AT1442" s="2" t="s">
        <v>5319</v>
      </c>
      <c r="AU1442" s="2"/>
      <c r="AV1442" s="2"/>
      <c r="AW1442" s="2"/>
      <c r="AX1442" s="2"/>
      <c r="AY1442" s="2">
        <v>44</v>
      </c>
      <c r="AZ1442" s="2" t="s">
        <v>262</v>
      </c>
      <c r="BA1442" s="2">
        <v>41</v>
      </c>
      <c r="BB1442" s="2" t="s">
        <v>82</v>
      </c>
      <c r="BC1442" s="2">
        <v>44</v>
      </c>
      <c r="BD1442" s="2" t="s">
        <v>262</v>
      </c>
      <c r="BE1442" s="2">
        <v>41</v>
      </c>
      <c r="BF1442" s="2" t="s">
        <v>82</v>
      </c>
      <c r="BG1442" s="2"/>
      <c r="BH1442" s="2"/>
      <c r="BI1442" s="2"/>
      <c r="BJ1442" s="2">
        <v>241</v>
      </c>
      <c r="BK1442" s="2" t="s">
        <v>82</v>
      </c>
      <c r="BL1442" s="2"/>
      <c r="BM1442" s="2">
        <v>241</v>
      </c>
      <c r="BN1442" s="2" t="s">
        <v>82</v>
      </c>
      <c r="BO1442" s="2"/>
      <c r="BP1442" s="2">
        <v>241</v>
      </c>
      <c r="BQ1442" s="2" t="s">
        <v>82</v>
      </c>
      <c r="BR1442" s="2"/>
      <c r="BS1442" s="3">
        <v>40277</v>
      </c>
      <c r="BT1442" s="4">
        <v>0.4387962962962963</v>
      </c>
    </row>
    <row r="1443" spans="1:72" x14ac:dyDescent="0.25">
      <c r="A1443" s="2">
        <v>2144</v>
      </c>
      <c r="B1443" s="2">
        <v>2010</v>
      </c>
      <c r="C1443" s="2" t="s">
        <v>72</v>
      </c>
      <c r="D1443" s="2" t="s">
        <v>73</v>
      </c>
      <c r="E1443" s="2"/>
      <c r="F1443" s="2">
        <v>581</v>
      </c>
      <c r="G1443" s="2" t="s">
        <v>5320</v>
      </c>
      <c r="H1443" s="2">
        <v>22</v>
      </c>
      <c r="I1443" s="2" t="s">
        <v>75</v>
      </c>
      <c r="J1443" s="2">
        <v>174</v>
      </c>
      <c r="K1443" s="2" t="s">
        <v>4965</v>
      </c>
      <c r="L1443" s="2" t="s">
        <v>2631</v>
      </c>
      <c r="M1443" s="3">
        <v>40277</v>
      </c>
      <c r="N1443" s="2" t="s">
        <v>5321</v>
      </c>
      <c r="O1443" s="2" t="s">
        <v>82</v>
      </c>
      <c r="P1443" s="2" t="s">
        <v>82</v>
      </c>
      <c r="Q1443" s="2" t="str">
        <f>"150-A/10"</f>
        <v>150-A/10</v>
      </c>
      <c r="R1443" s="2" t="s">
        <v>82</v>
      </c>
      <c r="S1443" s="2" t="s">
        <v>480</v>
      </c>
      <c r="T1443" s="2">
        <v>1</v>
      </c>
      <c r="U1443" s="2" t="s">
        <v>79</v>
      </c>
      <c r="V1443" s="2">
        <v>1</v>
      </c>
      <c r="W1443" s="2" t="s">
        <v>80</v>
      </c>
      <c r="X1443" s="2">
        <v>1</v>
      </c>
      <c r="Y1443" s="2" t="s">
        <v>81</v>
      </c>
      <c r="Z1443" s="2">
        <v>1</v>
      </c>
      <c r="AA1443" s="2" t="s">
        <v>82</v>
      </c>
      <c r="AB1443" s="2">
        <v>6</v>
      </c>
      <c r="AC1443" s="2" t="s">
        <v>83</v>
      </c>
      <c r="AD1443" s="3">
        <v>40277</v>
      </c>
      <c r="AE1443" s="4">
        <v>0.28472222222222221</v>
      </c>
      <c r="AF1443" s="2"/>
      <c r="AG1443" s="2"/>
      <c r="AH1443" s="2">
        <v>2</v>
      </c>
      <c r="AI1443" s="2" t="s">
        <v>84</v>
      </c>
      <c r="AJ1443" s="2">
        <v>12</v>
      </c>
      <c r="AK1443" s="2" t="s">
        <v>85</v>
      </c>
      <c r="AL1443" s="2">
        <v>11</v>
      </c>
      <c r="AM1443" s="2" t="s">
        <v>137</v>
      </c>
      <c r="AN1443" s="2" t="s">
        <v>5322</v>
      </c>
      <c r="AO1443" s="2" t="s">
        <v>1424</v>
      </c>
      <c r="AP1443" s="2">
        <v>11</v>
      </c>
      <c r="AQ1443" s="2" t="s">
        <v>82</v>
      </c>
      <c r="AR1443" s="2" t="s">
        <v>82</v>
      </c>
      <c r="AS1443" s="2" t="s">
        <v>82</v>
      </c>
      <c r="AT1443" s="2" t="s">
        <v>5323</v>
      </c>
      <c r="AU1443" s="2"/>
      <c r="AV1443" s="2"/>
      <c r="AW1443" s="2"/>
      <c r="AX1443" s="2"/>
      <c r="AY1443" s="2">
        <v>41</v>
      </c>
      <c r="AZ1443" s="2" t="s">
        <v>82</v>
      </c>
      <c r="BA1443" s="2">
        <v>41</v>
      </c>
      <c r="BB1443" s="2" t="s">
        <v>82</v>
      </c>
      <c r="BC1443" s="2">
        <v>41</v>
      </c>
      <c r="BD1443" s="2" t="s">
        <v>82</v>
      </c>
      <c r="BE1443" s="2">
        <v>1</v>
      </c>
      <c r="BF1443" s="2" t="s">
        <v>107</v>
      </c>
      <c r="BG1443" s="2" t="s">
        <v>107</v>
      </c>
      <c r="BH1443" s="2"/>
      <c r="BI1443" s="2"/>
      <c r="BJ1443" s="2">
        <v>242</v>
      </c>
      <c r="BK1443" s="2" t="s">
        <v>107</v>
      </c>
      <c r="BL1443" s="2" t="s">
        <v>107</v>
      </c>
      <c r="BM1443" s="2">
        <v>242</v>
      </c>
      <c r="BN1443" s="2" t="s">
        <v>107</v>
      </c>
      <c r="BO1443" s="2" t="s">
        <v>107</v>
      </c>
      <c r="BP1443" s="2">
        <v>242</v>
      </c>
      <c r="BQ1443" s="2" t="s">
        <v>107</v>
      </c>
      <c r="BR1443" s="2" t="s">
        <v>107</v>
      </c>
      <c r="BS1443" s="3">
        <v>40277</v>
      </c>
      <c r="BT1443" s="4">
        <v>0.54988425925925932</v>
      </c>
    </row>
    <row r="1444" spans="1:72" x14ac:dyDescent="0.25">
      <c r="A1444" s="2">
        <v>2146</v>
      </c>
      <c r="B1444" s="2">
        <v>2010</v>
      </c>
      <c r="C1444" s="2" t="s">
        <v>147</v>
      </c>
      <c r="D1444" s="2" t="s">
        <v>73</v>
      </c>
      <c r="E1444" s="2"/>
      <c r="F1444" s="2">
        <v>1</v>
      </c>
      <c r="G1444" s="2" t="s">
        <v>82</v>
      </c>
      <c r="H1444" s="2">
        <v>1</v>
      </c>
      <c r="I1444" s="2" t="s">
        <v>82</v>
      </c>
      <c r="J1444" s="2">
        <v>1</v>
      </c>
      <c r="K1444" s="2" t="s">
        <v>107</v>
      </c>
      <c r="L1444" s="2" t="s">
        <v>107</v>
      </c>
      <c r="M1444" s="3">
        <v>40277</v>
      </c>
      <c r="N1444" s="2"/>
      <c r="O1444" s="2"/>
      <c r="P1444" s="2"/>
      <c r="Q1444" s="2" t="str">
        <f>""</f>
        <v/>
      </c>
      <c r="R1444" s="2"/>
      <c r="S1444" s="2"/>
      <c r="T1444" s="2">
        <v>2</v>
      </c>
      <c r="U1444" s="2" t="s">
        <v>123</v>
      </c>
      <c r="V1444" s="2">
        <v>1</v>
      </c>
      <c r="W1444" s="2" t="s">
        <v>80</v>
      </c>
      <c r="X1444" s="2">
        <v>12</v>
      </c>
      <c r="Y1444" s="2" t="s">
        <v>148</v>
      </c>
      <c r="Z1444" s="2">
        <v>1</v>
      </c>
      <c r="AA1444" s="2" t="s">
        <v>82</v>
      </c>
      <c r="AB1444" s="2">
        <v>9</v>
      </c>
      <c r="AC1444" s="2" t="s">
        <v>124</v>
      </c>
      <c r="AD1444" s="2"/>
      <c r="AE1444" s="2"/>
      <c r="AF1444" s="3">
        <v>40277</v>
      </c>
      <c r="AG1444" s="4">
        <v>0.57291666666666663</v>
      </c>
      <c r="AH1444" s="2">
        <v>3</v>
      </c>
      <c r="AI1444" s="2" t="s">
        <v>214</v>
      </c>
      <c r="AJ1444" s="2">
        <v>24</v>
      </c>
      <c r="AK1444" s="2" t="s">
        <v>215</v>
      </c>
      <c r="AL1444" s="2">
        <v>19</v>
      </c>
      <c r="AM1444" s="2" t="s">
        <v>107</v>
      </c>
      <c r="AN1444" s="2" t="s">
        <v>107</v>
      </c>
      <c r="AO1444" s="2" t="s">
        <v>107</v>
      </c>
      <c r="AP1444" s="2">
        <v>11</v>
      </c>
      <c r="AQ1444" s="2" t="s">
        <v>82</v>
      </c>
      <c r="AR1444" s="2" t="s">
        <v>107</v>
      </c>
      <c r="AS1444" s="2" t="s">
        <v>107</v>
      </c>
      <c r="AT1444" s="2" t="s">
        <v>5324</v>
      </c>
      <c r="AU1444" s="2"/>
      <c r="AV1444" s="2"/>
      <c r="AW1444" s="2"/>
      <c r="AX1444" s="2"/>
      <c r="AY1444" s="2">
        <v>70</v>
      </c>
      <c r="AZ1444" s="2" t="s">
        <v>236</v>
      </c>
      <c r="BA1444" s="2">
        <v>41</v>
      </c>
      <c r="BB1444" s="2" t="s">
        <v>82</v>
      </c>
      <c r="BC1444" s="2">
        <v>41</v>
      </c>
      <c r="BD1444" s="2" t="s">
        <v>82</v>
      </c>
      <c r="BE1444" s="2">
        <v>41</v>
      </c>
      <c r="BF1444" s="2" t="s">
        <v>82</v>
      </c>
      <c r="BG1444" s="2" t="s">
        <v>107</v>
      </c>
      <c r="BH1444" s="2"/>
      <c r="BI1444" s="2"/>
      <c r="BJ1444" s="2">
        <v>241</v>
      </c>
      <c r="BK1444" s="2" t="s">
        <v>82</v>
      </c>
      <c r="BL1444" s="2" t="s">
        <v>107</v>
      </c>
      <c r="BM1444" s="2">
        <v>241</v>
      </c>
      <c r="BN1444" s="2" t="s">
        <v>82</v>
      </c>
      <c r="BO1444" s="2" t="s">
        <v>107</v>
      </c>
      <c r="BP1444" s="2">
        <v>241</v>
      </c>
      <c r="BQ1444" s="2" t="s">
        <v>82</v>
      </c>
      <c r="BR1444" s="2" t="s">
        <v>107</v>
      </c>
      <c r="BS1444" s="3">
        <v>40277</v>
      </c>
      <c r="BT1444" s="4">
        <v>0.60548611111111106</v>
      </c>
    </row>
    <row r="1445" spans="1:72" x14ac:dyDescent="0.25">
      <c r="A1445" s="2">
        <v>2147</v>
      </c>
      <c r="B1445" s="2">
        <v>2010</v>
      </c>
      <c r="C1445" s="2" t="s">
        <v>171</v>
      </c>
      <c r="D1445" s="2" t="s">
        <v>73</v>
      </c>
      <c r="E1445" s="2"/>
      <c r="F1445" s="2">
        <v>600</v>
      </c>
      <c r="G1445" s="2" t="s">
        <v>5325</v>
      </c>
      <c r="H1445" s="2">
        <v>21</v>
      </c>
      <c r="I1445" s="2" t="s">
        <v>5326</v>
      </c>
      <c r="J1445" s="2">
        <v>170</v>
      </c>
      <c r="K1445" s="2" t="s">
        <v>5074</v>
      </c>
      <c r="L1445" s="2" t="s">
        <v>5075</v>
      </c>
      <c r="M1445" s="3">
        <v>40277</v>
      </c>
      <c r="N1445" s="2" t="s">
        <v>5327</v>
      </c>
      <c r="O1445" s="2" t="s">
        <v>107</v>
      </c>
      <c r="P1445" s="2"/>
      <c r="Q1445" s="2" t="str">
        <f>"149-A/10"</f>
        <v>149-A/10</v>
      </c>
      <c r="R1445" s="2" t="s">
        <v>107</v>
      </c>
      <c r="S1445" s="2" t="s">
        <v>1035</v>
      </c>
      <c r="T1445" s="2">
        <v>1</v>
      </c>
      <c r="U1445" s="2" t="s">
        <v>79</v>
      </c>
      <c r="V1445" s="2">
        <v>1</v>
      </c>
      <c r="W1445" s="2" t="s">
        <v>80</v>
      </c>
      <c r="X1445" s="2">
        <v>1</v>
      </c>
      <c r="Y1445" s="2" t="s">
        <v>81</v>
      </c>
      <c r="Z1445" s="2">
        <v>1</v>
      </c>
      <c r="AA1445" s="2" t="s">
        <v>82</v>
      </c>
      <c r="AB1445" s="2">
        <v>1</v>
      </c>
      <c r="AC1445" s="2" t="s">
        <v>178</v>
      </c>
      <c r="AD1445" s="3">
        <v>40277</v>
      </c>
      <c r="AE1445" s="4">
        <v>0.36805555555555558</v>
      </c>
      <c r="AF1445" s="2"/>
      <c r="AG1445" s="2"/>
      <c r="AH1445" s="2">
        <v>2</v>
      </c>
      <c r="AI1445" s="2" t="s">
        <v>84</v>
      </c>
      <c r="AJ1445" s="2">
        <v>12</v>
      </c>
      <c r="AK1445" s="2" t="s">
        <v>85</v>
      </c>
      <c r="AL1445" s="2">
        <v>11</v>
      </c>
      <c r="AM1445" s="2" t="s">
        <v>137</v>
      </c>
      <c r="AN1445" s="2" t="s">
        <v>5328</v>
      </c>
      <c r="AO1445" s="2" t="s">
        <v>5329</v>
      </c>
      <c r="AP1445" s="2">
        <v>11</v>
      </c>
      <c r="AQ1445" s="2" t="s">
        <v>82</v>
      </c>
      <c r="AR1445" s="2"/>
      <c r="AS1445" s="2"/>
      <c r="AT1445" s="2" t="s">
        <v>5330</v>
      </c>
      <c r="AU1445" s="2">
        <v>1</v>
      </c>
      <c r="AV1445" s="2"/>
      <c r="AW1445" s="2"/>
      <c r="AX1445" s="2"/>
      <c r="AY1445" s="2">
        <v>41</v>
      </c>
      <c r="AZ1445" s="2" t="s">
        <v>82</v>
      </c>
      <c r="BA1445" s="2">
        <v>41</v>
      </c>
      <c r="BB1445" s="2" t="s">
        <v>82</v>
      </c>
      <c r="BC1445" s="2">
        <v>41</v>
      </c>
      <c r="BD1445" s="2" t="s">
        <v>82</v>
      </c>
      <c r="BE1445" s="2">
        <v>13</v>
      </c>
      <c r="BF1445" s="2" t="s">
        <v>108</v>
      </c>
      <c r="BG1445" s="2" t="s">
        <v>5331</v>
      </c>
      <c r="BH1445" s="2"/>
      <c r="BI1445" s="4">
        <v>0.375</v>
      </c>
      <c r="BJ1445" s="2">
        <v>13</v>
      </c>
      <c r="BK1445" s="2" t="s">
        <v>91</v>
      </c>
      <c r="BL1445" s="2" t="s">
        <v>185</v>
      </c>
      <c r="BM1445" s="2">
        <v>241</v>
      </c>
      <c r="BN1445" s="2" t="s">
        <v>82</v>
      </c>
      <c r="BO1445" s="2"/>
      <c r="BP1445" s="2">
        <v>13</v>
      </c>
      <c r="BQ1445" s="2" t="s">
        <v>91</v>
      </c>
      <c r="BR1445" s="2" t="s">
        <v>204</v>
      </c>
      <c r="BS1445" s="3">
        <v>40277</v>
      </c>
      <c r="BT1445" s="4">
        <v>0.61895833333333339</v>
      </c>
    </row>
    <row r="1446" spans="1:72" x14ac:dyDescent="0.25">
      <c r="A1446" s="2">
        <v>2148</v>
      </c>
      <c r="B1446" s="2">
        <v>2010</v>
      </c>
      <c r="C1446" s="2" t="s">
        <v>2754</v>
      </c>
      <c r="D1446" s="2" t="s">
        <v>73</v>
      </c>
      <c r="E1446" s="2"/>
      <c r="F1446" s="2">
        <v>90</v>
      </c>
      <c r="G1446" s="2" t="s">
        <v>4741</v>
      </c>
      <c r="H1446" s="2">
        <v>44</v>
      </c>
      <c r="I1446" s="2" t="s">
        <v>1272</v>
      </c>
      <c r="J1446" s="2">
        <v>118</v>
      </c>
      <c r="K1446" s="2" t="s">
        <v>4742</v>
      </c>
      <c r="L1446" s="2" t="s">
        <v>4743</v>
      </c>
      <c r="M1446" s="3">
        <v>40277</v>
      </c>
      <c r="N1446" s="2" t="s">
        <v>5332</v>
      </c>
      <c r="O1446" s="2" t="s">
        <v>107</v>
      </c>
      <c r="P1446" s="2" t="s">
        <v>107</v>
      </c>
      <c r="Q1446" s="2" t="str">
        <f>"S/D"</f>
        <v>S/D</v>
      </c>
      <c r="R1446" s="2" t="s">
        <v>107</v>
      </c>
      <c r="S1446" s="2" t="s">
        <v>107</v>
      </c>
      <c r="T1446" s="2">
        <v>1</v>
      </c>
      <c r="U1446" s="2" t="s">
        <v>79</v>
      </c>
      <c r="V1446" s="2">
        <v>3</v>
      </c>
      <c r="W1446" s="2" t="s">
        <v>225</v>
      </c>
      <c r="X1446" s="2">
        <v>6</v>
      </c>
      <c r="Y1446" s="2" t="s">
        <v>249</v>
      </c>
      <c r="Z1446" s="2">
        <v>1</v>
      </c>
      <c r="AA1446" s="2" t="s">
        <v>82</v>
      </c>
      <c r="AB1446" s="2">
        <v>9</v>
      </c>
      <c r="AC1446" s="2" t="s">
        <v>124</v>
      </c>
      <c r="AD1446" s="3">
        <v>40277</v>
      </c>
      <c r="AE1446" s="4">
        <v>0.63194444444444442</v>
      </c>
      <c r="AF1446" s="2"/>
      <c r="AG1446" s="2"/>
      <c r="AH1446" s="2">
        <v>6</v>
      </c>
      <c r="AI1446" s="2" t="s">
        <v>197</v>
      </c>
      <c r="AJ1446" s="2">
        <v>47</v>
      </c>
      <c r="AK1446" s="2" t="s">
        <v>250</v>
      </c>
      <c r="AL1446" s="2">
        <v>12</v>
      </c>
      <c r="AM1446" s="2" t="s">
        <v>86</v>
      </c>
      <c r="AN1446" s="2" t="s">
        <v>82</v>
      </c>
      <c r="AO1446" s="2" t="s">
        <v>5333</v>
      </c>
      <c r="AP1446" s="2">
        <v>11</v>
      </c>
      <c r="AQ1446" s="2" t="s">
        <v>82</v>
      </c>
      <c r="AR1446" s="2"/>
      <c r="AS1446" s="2"/>
      <c r="AT1446" s="2" t="s">
        <v>5334</v>
      </c>
      <c r="AU1446" s="2"/>
      <c r="AV1446" s="2"/>
      <c r="AW1446" s="2"/>
      <c r="AX1446" s="2"/>
      <c r="AY1446" s="2">
        <v>41</v>
      </c>
      <c r="AZ1446" s="2" t="s">
        <v>82</v>
      </c>
      <c r="BA1446" s="2">
        <v>41</v>
      </c>
      <c r="BB1446" s="2" t="s">
        <v>82</v>
      </c>
      <c r="BC1446" s="2">
        <v>41</v>
      </c>
      <c r="BD1446" s="2" t="s">
        <v>82</v>
      </c>
      <c r="BE1446" s="2">
        <v>41</v>
      </c>
      <c r="BF1446" s="2" t="s">
        <v>82</v>
      </c>
      <c r="BG1446" s="2"/>
      <c r="BH1446" s="2"/>
      <c r="BI1446" s="2"/>
      <c r="BJ1446" s="2">
        <v>241</v>
      </c>
      <c r="BK1446" s="2" t="s">
        <v>82</v>
      </c>
      <c r="BL1446" s="2"/>
      <c r="BM1446" s="2">
        <v>241</v>
      </c>
      <c r="BN1446" s="2" t="s">
        <v>82</v>
      </c>
      <c r="BO1446" s="2"/>
      <c r="BP1446" s="2">
        <v>241</v>
      </c>
      <c r="BQ1446" s="2" t="s">
        <v>82</v>
      </c>
      <c r="BR1446" s="2"/>
      <c r="BS1446" s="3">
        <v>40277</v>
      </c>
      <c r="BT1446" s="4">
        <v>0.65254629629629635</v>
      </c>
    </row>
    <row r="1447" spans="1:72" x14ac:dyDescent="0.25">
      <c r="A1447" s="2">
        <v>2149</v>
      </c>
      <c r="B1447" s="2">
        <v>2010</v>
      </c>
      <c r="C1447" s="2" t="s">
        <v>72</v>
      </c>
      <c r="D1447" s="2" t="s">
        <v>122</v>
      </c>
      <c r="E1447" s="2" t="s">
        <v>5232</v>
      </c>
      <c r="F1447" s="2">
        <v>288</v>
      </c>
      <c r="G1447" s="2" t="s">
        <v>5233</v>
      </c>
      <c r="H1447" s="2">
        <v>50</v>
      </c>
      <c r="I1447" s="2" t="s">
        <v>107</v>
      </c>
      <c r="J1447" s="2">
        <v>1</v>
      </c>
      <c r="K1447" s="2" t="s">
        <v>107</v>
      </c>
      <c r="L1447" s="2" t="s">
        <v>107</v>
      </c>
      <c r="M1447" s="3">
        <v>40277</v>
      </c>
      <c r="N1447" s="2" t="s">
        <v>5335</v>
      </c>
      <c r="O1447" s="2"/>
      <c r="P1447" s="2" t="s">
        <v>5336</v>
      </c>
      <c r="Q1447" s="2" t="str">
        <f>"17-10"</f>
        <v>17-10</v>
      </c>
      <c r="R1447" s="2" t="s">
        <v>116</v>
      </c>
      <c r="S1447" s="2"/>
      <c r="T1447" s="2">
        <v>1</v>
      </c>
      <c r="U1447" s="2" t="s">
        <v>79</v>
      </c>
      <c r="V1447" s="2">
        <v>1</v>
      </c>
      <c r="W1447" s="2" t="s">
        <v>80</v>
      </c>
      <c r="X1447" s="2">
        <v>5</v>
      </c>
      <c r="Y1447" s="2" t="s">
        <v>82</v>
      </c>
      <c r="Z1447" s="2">
        <v>1</v>
      </c>
      <c r="AA1447" s="2" t="s">
        <v>82</v>
      </c>
      <c r="AB1447" s="2">
        <v>6</v>
      </c>
      <c r="AC1447" s="2" t="s">
        <v>83</v>
      </c>
      <c r="AD1447" s="3">
        <v>40275</v>
      </c>
      <c r="AE1447" s="2"/>
      <c r="AF1447" s="3">
        <v>40275</v>
      </c>
      <c r="AG1447" s="4">
        <v>0.51041666666666663</v>
      </c>
      <c r="AH1447" s="2">
        <v>3</v>
      </c>
      <c r="AI1447" s="2" t="s">
        <v>214</v>
      </c>
      <c r="AJ1447" s="2">
        <v>24</v>
      </c>
      <c r="AK1447" s="2" t="s">
        <v>215</v>
      </c>
      <c r="AL1447" s="2">
        <v>10</v>
      </c>
      <c r="AM1447" s="2" t="s">
        <v>200</v>
      </c>
      <c r="AN1447" s="2"/>
      <c r="AO1447" s="2" t="s">
        <v>5186</v>
      </c>
      <c r="AP1447" s="2">
        <v>11</v>
      </c>
      <c r="AQ1447" s="2" t="s">
        <v>82</v>
      </c>
      <c r="AR1447" s="2"/>
      <c r="AS1447" s="2"/>
      <c r="AT1447" s="2" t="s">
        <v>5337</v>
      </c>
      <c r="AU1447" s="2"/>
      <c r="AV1447" s="2"/>
      <c r="AW1447" s="2"/>
      <c r="AX1447" s="2"/>
      <c r="AY1447" s="2">
        <v>106</v>
      </c>
      <c r="AZ1447" s="2" t="s">
        <v>5188</v>
      </c>
      <c r="BA1447" s="2">
        <v>106</v>
      </c>
      <c r="BB1447" s="2" t="s">
        <v>5188</v>
      </c>
      <c r="BC1447" s="2">
        <v>106</v>
      </c>
      <c r="BD1447" s="2" t="s">
        <v>5188</v>
      </c>
      <c r="BE1447" s="2">
        <v>13</v>
      </c>
      <c r="BF1447" s="2" t="s">
        <v>108</v>
      </c>
      <c r="BG1447" s="2">
        <v>1506</v>
      </c>
      <c r="BH1447" s="4">
        <v>0.45833333333333331</v>
      </c>
      <c r="BI1447" s="4">
        <v>0.4152777777777778</v>
      </c>
      <c r="BJ1447" s="2">
        <v>13</v>
      </c>
      <c r="BK1447" s="2" t="s">
        <v>91</v>
      </c>
      <c r="BL1447" s="2" t="s">
        <v>185</v>
      </c>
      <c r="BM1447" s="2">
        <v>241</v>
      </c>
      <c r="BN1447" s="2" t="s">
        <v>82</v>
      </c>
      <c r="BO1447" s="2"/>
      <c r="BP1447" s="2">
        <v>13</v>
      </c>
      <c r="BQ1447" s="2" t="s">
        <v>91</v>
      </c>
      <c r="BR1447" s="2" t="s">
        <v>169</v>
      </c>
      <c r="BS1447" s="3">
        <v>40277</v>
      </c>
      <c r="BT1447" s="4">
        <v>0.68991898148148145</v>
      </c>
    </row>
    <row r="1448" spans="1:72" x14ac:dyDescent="0.25">
      <c r="A1448" s="2">
        <v>2150</v>
      </c>
      <c r="B1448" s="2">
        <v>2010</v>
      </c>
      <c r="C1448" s="2" t="s">
        <v>171</v>
      </c>
      <c r="D1448" s="2" t="s">
        <v>122</v>
      </c>
      <c r="E1448" s="2" t="s">
        <v>5338</v>
      </c>
      <c r="F1448" s="2">
        <v>160</v>
      </c>
      <c r="G1448" s="2"/>
      <c r="H1448" s="2">
        <v>21</v>
      </c>
      <c r="I1448" s="2" t="s">
        <v>5326</v>
      </c>
      <c r="J1448" s="2">
        <v>170</v>
      </c>
      <c r="K1448" s="2" t="s">
        <v>5074</v>
      </c>
      <c r="L1448" s="2" t="s">
        <v>5075</v>
      </c>
      <c r="M1448" s="3">
        <v>40277</v>
      </c>
      <c r="N1448" s="2" t="s">
        <v>5327</v>
      </c>
      <c r="O1448" s="2" t="s">
        <v>107</v>
      </c>
      <c r="P1448" s="2"/>
      <c r="Q1448" s="2" t="str">
        <f>"149-A/10"</f>
        <v>149-A/10</v>
      </c>
      <c r="R1448" s="2" t="s">
        <v>1035</v>
      </c>
      <c r="S1448" s="2" t="s">
        <v>107</v>
      </c>
      <c r="T1448" s="2">
        <v>1</v>
      </c>
      <c r="U1448" s="2" t="s">
        <v>79</v>
      </c>
      <c r="V1448" s="2">
        <v>1</v>
      </c>
      <c r="W1448" s="2" t="s">
        <v>80</v>
      </c>
      <c r="X1448" s="2">
        <v>1</v>
      </c>
      <c r="Y1448" s="2" t="s">
        <v>81</v>
      </c>
      <c r="Z1448" s="2">
        <v>1</v>
      </c>
      <c r="AA1448" s="2" t="s">
        <v>82</v>
      </c>
      <c r="AB1448" s="2">
        <v>1</v>
      </c>
      <c r="AC1448" s="2" t="s">
        <v>178</v>
      </c>
      <c r="AD1448" s="3">
        <v>40277</v>
      </c>
      <c r="AE1448" s="4">
        <v>0.36805555555555558</v>
      </c>
      <c r="AF1448" s="2"/>
      <c r="AG1448" s="2"/>
      <c r="AH1448" s="2">
        <v>2</v>
      </c>
      <c r="AI1448" s="2" t="s">
        <v>84</v>
      </c>
      <c r="AJ1448" s="2">
        <v>12</v>
      </c>
      <c r="AK1448" s="2" t="s">
        <v>85</v>
      </c>
      <c r="AL1448" s="2">
        <v>11</v>
      </c>
      <c r="AM1448" s="2" t="s">
        <v>137</v>
      </c>
      <c r="AN1448" s="2" t="s">
        <v>5328</v>
      </c>
      <c r="AO1448" s="2" t="s">
        <v>5329</v>
      </c>
      <c r="AP1448" s="2">
        <v>11</v>
      </c>
      <c r="AQ1448" s="2" t="s">
        <v>82</v>
      </c>
      <c r="AR1448" s="2"/>
      <c r="AS1448" s="2"/>
      <c r="AT1448" s="2" t="s">
        <v>5339</v>
      </c>
      <c r="AU1448" s="2">
        <v>1</v>
      </c>
      <c r="AV1448" s="2"/>
      <c r="AW1448" s="2"/>
      <c r="AX1448" s="2"/>
      <c r="AY1448" s="2">
        <v>41</v>
      </c>
      <c r="AZ1448" s="2" t="s">
        <v>82</v>
      </c>
      <c r="BA1448" s="2">
        <v>41</v>
      </c>
      <c r="BB1448" s="2" t="s">
        <v>82</v>
      </c>
      <c r="BC1448" s="2">
        <v>41</v>
      </c>
      <c r="BD1448" s="2" t="s">
        <v>82</v>
      </c>
      <c r="BE1448" s="2">
        <v>13</v>
      </c>
      <c r="BF1448" s="2" t="s">
        <v>108</v>
      </c>
      <c r="BG1448" s="2" t="s">
        <v>5331</v>
      </c>
      <c r="BH1448" s="2"/>
      <c r="BI1448" s="4">
        <v>0.375</v>
      </c>
      <c r="BJ1448" s="2">
        <v>13</v>
      </c>
      <c r="BK1448" s="2" t="s">
        <v>91</v>
      </c>
      <c r="BL1448" s="2" t="s">
        <v>185</v>
      </c>
      <c r="BM1448" s="2">
        <v>241</v>
      </c>
      <c r="BN1448" s="2" t="s">
        <v>82</v>
      </c>
      <c r="BO1448" s="2"/>
      <c r="BP1448" s="2">
        <v>13</v>
      </c>
      <c r="BQ1448" s="2" t="s">
        <v>91</v>
      </c>
      <c r="BR1448" s="2" t="s">
        <v>204</v>
      </c>
      <c r="BS1448" s="3">
        <v>40277</v>
      </c>
      <c r="BT1448" s="4">
        <v>0.76199074074074069</v>
      </c>
    </row>
    <row r="1449" spans="1:72" x14ac:dyDescent="0.25">
      <c r="A1449" s="2">
        <v>2151</v>
      </c>
      <c r="B1449" s="2">
        <v>2010</v>
      </c>
      <c r="C1449" s="2" t="s">
        <v>255</v>
      </c>
      <c r="D1449" s="2" t="s">
        <v>73</v>
      </c>
      <c r="E1449" s="2"/>
      <c r="F1449" s="2">
        <v>279</v>
      </c>
      <c r="G1449" s="2" t="s">
        <v>4464</v>
      </c>
      <c r="H1449" s="2">
        <v>22</v>
      </c>
      <c r="I1449" s="2" t="s">
        <v>75</v>
      </c>
      <c r="J1449" s="2">
        <v>284</v>
      </c>
      <c r="K1449" s="2" t="s">
        <v>4465</v>
      </c>
      <c r="L1449" s="2" t="s">
        <v>4466</v>
      </c>
      <c r="M1449" s="3">
        <v>40277</v>
      </c>
      <c r="N1449" s="2" t="s">
        <v>5340</v>
      </c>
      <c r="O1449" s="2" t="s">
        <v>947</v>
      </c>
      <c r="P1449" s="2" t="s">
        <v>5341</v>
      </c>
      <c r="Q1449" s="2" t="str">
        <f>"003/2010"</f>
        <v>003/2010</v>
      </c>
      <c r="R1449" s="2" t="s">
        <v>947</v>
      </c>
      <c r="S1449" s="2" t="s">
        <v>947</v>
      </c>
      <c r="T1449" s="2">
        <v>1</v>
      </c>
      <c r="U1449" s="2" t="s">
        <v>79</v>
      </c>
      <c r="V1449" s="2">
        <v>1</v>
      </c>
      <c r="W1449" s="2" t="s">
        <v>80</v>
      </c>
      <c r="X1449" s="2">
        <v>5</v>
      </c>
      <c r="Y1449" s="2" t="s">
        <v>82</v>
      </c>
      <c r="Z1449" s="2">
        <v>1</v>
      </c>
      <c r="AA1449" s="2" t="s">
        <v>82</v>
      </c>
      <c r="AB1449" s="2">
        <v>9</v>
      </c>
      <c r="AC1449" s="2" t="s">
        <v>124</v>
      </c>
      <c r="AD1449" s="3">
        <v>40277</v>
      </c>
      <c r="AE1449" s="4">
        <v>0.31944444444444448</v>
      </c>
      <c r="AF1449" s="3">
        <v>40277</v>
      </c>
      <c r="AG1449" s="4">
        <v>0.64583333333333337</v>
      </c>
      <c r="AH1449" s="2">
        <v>3</v>
      </c>
      <c r="AI1449" s="2" t="s">
        <v>214</v>
      </c>
      <c r="AJ1449" s="2">
        <v>18</v>
      </c>
      <c r="AK1449" s="2" t="s">
        <v>4469</v>
      </c>
      <c r="AL1449" s="2">
        <v>9</v>
      </c>
      <c r="AM1449" s="2" t="s">
        <v>259</v>
      </c>
      <c r="AN1449" s="2"/>
      <c r="AO1449" s="2" t="s">
        <v>5342</v>
      </c>
      <c r="AP1449" s="2">
        <v>11</v>
      </c>
      <c r="AQ1449" s="2" t="s">
        <v>82</v>
      </c>
      <c r="AR1449" s="2"/>
      <c r="AS1449" s="2"/>
      <c r="AT1449" s="2" t="s">
        <v>5343</v>
      </c>
      <c r="AU1449" s="2"/>
      <c r="AV1449" s="2"/>
      <c r="AW1449" s="2"/>
      <c r="AX1449" s="2"/>
      <c r="AY1449" s="2">
        <v>44</v>
      </c>
      <c r="AZ1449" s="2" t="s">
        <v>262</v>
      </c>
      <c r="BA1449" s="2">
        <v>44</v>
      </c>
      <c r="BB1449" s="2" t="s">
        <v>262</v>
      </c>
      <c r="BC1449" s="2">
        <v>41</v>
      </c>
      <c r="BD1449" s="2" t="s">
        <v>82</v>
      </c>
      <c r="BE1449" s="2">
        <v>41</v>
      </c>
      <c r="BF1449" s="2" t="s">
        <v>82</v>
      </c>
      <c r="BG1449" s="2"/>
      <c r="BH1449" s="2"/>
      <c r="BI1449" s="2"/>
      <c r="BJ1449" s="2">
        <v>241</v>
      </c>
      <c r="BK1449" s="2" t="s">
        <v>82</v>
      </c>
      <c r="BL1449" s="2"/>
      <c r="BM1449" s="2">
        <v>241</v>
      </c>
      <c r="BN1449" s="2" t="s">
        <v>82</v>
      </c>
      <c r="BO1449" s="2"/>
      <c r="BP1449" s="2">
        <v>241</v>
      </c>
      <c r="BQ1449" s="2" t="s">
        <v>82</v>
      </c>
      <c r="BR1449" s="2"/>
      <c r="BS1449" s="3">
        <v>40277</v>
      </c>
      <c r="BT1449" s="4">
        <v>0.8119791666666667</v>
      </c>
    </row>
    <row r="1450" spans="1:72" x14ac:dyDescent="0.25">
      <c r="A1450" s="2">
        <v>2152</v>
      </c>
      <c r="B1450" s="2">
        <v>2010</v>
      </c>
      <c r="C1450" s="2" t="s">
        <v>93</v>
      </c>
      <c r="D1450" s="2" t="s">
        <v>73</v>
      </c>
      <c r="E1450" s="2"/>
      <c r="F1450" s="2">
        <v>117</v>
      </c>
      <c r="G1450" s="2" t="s">
        <v>3284</v>
      </c>
      <c r="H1450" s="2">
        <v>42</v>
      </c>
      <c r="I1450" s="2" t="s">
        <v>1096</v>
      </c>
      <c r="J1450" s="2">
        <v>134</v>
      </c>
      <c r="K1450" s="2" t="s">
        <v>3285</v>
      </c>
      <c r="L1450" s="2" t="s">
        <v>3286</v>
      </c>
      <c r="M1450" s="3">
        <v>40277</v>
      </c>
      <c r="N1450" s="2" t="s">
        <v>5344</v>
      </c>
      <c r="O1450" s="2" t="s">
        <v>5345</v>
      </c>
      <c r="P1450" s="2" t="s">
        <v>107</v>
      </c>
      <c r="Q1450" s="2" t="str">
        <f>"N/C"</f>
        <v>N/C</v>
      </c>
      <c r="R1450" s="2" t="s">
        <v>107</v>
      </c>
      <c r="S1450" s="2" t="s">
        <v>82</v>
      </c>
      <c r="T1450" s="2">
        <v>1</v>
      </c>
      <c r="U1450" s="2" t="s">
        <v>79</v>
      </c>
      <c r="V1450" s="2">
        <v>1</v>
      </c>
      <c r="W1450" s="2" t="s">
        <v>80</v>
      </c>
      <c r="X1450" s="2">
        <v>1</v>
      </c>
      <c r="Y1450" s="2" t="s">
        <v>81</v>
      </c>
      <c r="Z1450" s="2">
        <v>10</v>
      </c>
      <c r="AA1450" s="2" t="s">
        <v>236</v>
      </c>
      <c r="AB1450" s="2">
        <v>2</v>
      </c>
      <c r="AC1450" s="2" t="s">
        <v>102</v>
      </c>
      <c r="AD1450" s="3">
        <v>40277</v>
      </c>
      <c r="AE1450" s="4">
        <v>0.8125</v>
      </c>
      <c r="AF1450" s="2"/>
      <c r="AG1450" s="2"/>
      <c r="AH1450" s="2">
        <v>6</v>
      </c>
      <c r="AI1450" s="2" t="s">
        <v>197</v>
      </c>
      <c r="AJ1450" s="2">
        <v>61</v>
      </c>
      <c r="AK1450" s="2" t="s">
        <v>686</v>
      </c>
      <c r="AL1450" s="2">
        <v>11</v>
      </c>
      <c r="AM1450" s="2" t="s">
        <v>137</v>
      </c>
      <c r="AN1450" s="2" t="s">
        <v>82</v>
      </c>
      <c r="AO1450" s="2" t="s">
        <v>5346</v>
      </c>
      <c r="AP1450" s="2">
        <v>11</v>
      </c>
      <c r="AQ1450" s="2" t="s">
        <v>82</v>
      </c>
      <c r="AR1450" s="2"/>
      <c r="AS1450" s="2"/>
      <c r="AT1450" s="2" t="s">
        <v>5347</v>
      </c>
      <c r="AU1450" s="2"/>
      <c r="AV1450" s="2"/>
      <c r="AW1450" s="2"/>
      <c r="AX1450" s="2"/>
      <c r="AY1450" s="2">
        <v>41</v>
      </c>
      <c r="AZ1450" s="2" t="s">
        <v>82</v>
      </c>
      <c r="BA1450" s="2">
        <v>41</v>
      </c>
      <c r="BB1450" s="2" t="s">
        <v>82</v>
      </c>
      <c r="BC1450" s="2">
        <v>41</v>
      </c>
      <c r="BD1450" s="2" t="s">
        <v>82</v>
      </c>
      <c r="BE1450" s="2">
        <v>47</v>
      </c>
      <c r="BF1450" s="2" t="s">
        <v>167</v>
      </c>
      <c r="BG1450" s="2">
        <v>2849</v>
      </c>
      <c r="BH1450" s="4">
        <v>0.78125</v>
      </c>
      <c r="BI1450" s="2"/>
      <c r="BJ1450" s="2">
        <v>13</v>
      </c>
      <c r="BK1450" s="2" t="s">
        <v>91</v>
      </c>
      <c r="BL1450" s="2" t="s">
        <v>564</v>
      </c>
      <c r="BM1450" s="2">
        <v>13</v>
      </c>
      <c r="BN1450" s="2" t="s">
        <v>91</v>
      </c>
      <c r="BO1450" s="2" t="s">
        <v>82</v>
      </c>
      <c r="BP1450" s="2">
        <v>13</v>
      </c>
      <c r="BQ1450" s="2" t="s">
        <v>91</v>
      </c>
      <c r="BR1450" s="2" t="s">
        <v>564</v>
      </c>
      <c r="BS1450" s="3">
        <v>40277</v>
      </c>
      <c r="BT1450" s="4">
        <v>0.89589120370370379</v>
      </c>
    </row>
    <row r="1451" spans="1:72" x14ac:dyDescent="0.25">
      <c r="A1451" s="2">
        <v>2153</v>
      </c>
      <c r="B1451" s="2">
        <v>2010</v>
      </c>
      <c r="C1451" s="2" t="s">
        <v>171</v>
      </c>
      <c r="D1451" s="2" t="s">
        <v>73</v>
      </c>
      <c r="E1451" s="2"/>
      <c r="F1451" s="2">
        <v>400</v>
      </c>
      <c r="G1451" s="2" t="s">
        <v>3601</v>
      </c>
      <c r="H1451" s="2">
        <v>16</v>
      </c>
      <c r="I1451" s="2" t="s">
        <v>3027</v>
      </c>
      <c r="J1451" s="2">
        <v>316</v>
      </c>
      <c r="K1451" s="2" t="s">
        <v>574</v>
      </c>
      <c r="L1451" s="2" t="s">
        <v>575</v>
      </c>
      <c r="M1451" s="3">
        <v>40277</v>
      </c>
      <c r="N1451" s="2" t="s">
        <v>4867</v>
      </c>
      <c r="O1451" s="2"/>
      <c r="P1451" s="2"/>
      <c r="Q1451" s="2" t="str">
        <f>"190-E/10"</f>
        <v>190-E/10</v>
      </c>
      <c r="R1451" s="2"/>
      <c r="S1451" s="2" t="s">
        <v>391</v>
      </c>
      <c r="T1451" s="2">
        <v>1</v>
      </c>
      <c r="U1451" s="2" t="s">
        <v>79</v>
      </c>
      <c r="V1451" s="2">
        <v>1</v>
      </c>
      <c r="W1451" s="2" t="s">
        <v>80</v>
      </c>
      <c r="X1451" s="2">
        <v>1</v>
      </c>
      <c r="Y1451" s="2" t="s">
        <v>81</v>
      </c>
      <c r="Z1451" s="2">
        <v>10</v>
      </c>
      <c r="AA1451" s="2" t="s">
        <v>236</v>
      </c>
      <c r="AB1451" s="2">
        <v>1</v>
      </c>
      <c r="AC1451" s="2" t="s">
        <v>178</v>
      </c>
      <c r="AD1451" s="3">
        <v>40277</v>
      </c>
      <c r="AE1451" s="4">
        <v>0.52083333333333337</v>
      </c>
      <c r="AF1451" s="2"/>
      <c r="AG1451" s="2"/>
      <c r="AH1451" s="2">
        <v>2</v>
      </c>
      <c r="AI1451" s="2" t="s">
        <v>84</v>
      </c>
      <c r="AJ1451" s="2">
        <v>9</v>
      </c>
      <c r="AK1451" s="2" t="s">
        <v>103</v>
      </c>
      <c r="AL1451" s="2">
        <v>16</v>
      </c>
      <c r="AM1451" s="2" t="s">
        <v>392</v>
      </c>
      <c r="AN1451" s="2" t="s">
        <v>5348</v>
      </c>
      <c r="AO1451" s="2"/>
      <c r="AP1451" s="2">
        <v>5</v>
      </c>
      <c r="AQ1451" s="2" t="s">
        <v>827</v>
      </c>
      <c r="AR1451" s="2" t="s">
        <v>5349</v>
      </c>
      <c r="AS1451" s="2" t="s">
        <v>5350</v>
      </c>
      <c r="AT1451" s="2" t="s">
        <v>5351</v>
      </c>
      <c r="AU1451" s="2"/>
      <c r="AV1451" s="2"/>
      <c r="AW1451" s="2"/>
      <c r="AX1451" s="2"/>
      <c r="AY1451" s="2">
        <v>42</v>
      </c>
      <c r="AZ1451" s="2" t="s">
        <v>182</v>
      </c>
      <c r="BA1451" s="2">
        <v>41</v>
      </c>
      <c r="BB1451" s="2" t="s">
        <v>82</v>
      </c>
      <c r="BC1451" s="2">
        <v>70</v>
      </c>
      <c r="BD1451" s="2" t="s">
        <v>236</v>
      </c>
      <c r="BE1451" s="2">
        <v>13</v>
      </c>
      <c r="BF1451" s="2" t="s">
        <v>108</v>
      </c>
      <c r="BG1451" s="2" t="s">
        <v>1769</v>
      </c>
      <c r="BH1451" s="2"/>
      <c r="BI1451" s="4">
        <v>0.875</v>
      </c>
      <c r="BJ1451" s="2">
        <v>13</v>
      </c>
      <c r="BK1451" s="2" t="s">
        <v>91</v>
      </c>
      <c r="BL1451" s="2" t="s">
        <v>360</v>
      </c>
      <c r="BM1451" s="2">
        <v>241</v>
      </c>
      <c r="BN1451" s="2" t="s">
        <v>82</v>
      </c>
      <c r="BO1451" s="2"/>
      <c r="BP1451" s="2">
        <v>73</v>
      </c>
      <c r="BQ1451" s="2" t="s">
        <v>186</v>
      </c>
      <c r="BR1451" s="2" t="s">
        <v>187</v>
      </c>
      <c r="BS1451" s="3">
        <v>40277</v>
      </c>
      <c r="BT1451" s="4">
        <v>0.97062500000000007</v>
      </c>
    </row>
    <row r="1452" spans="1:72" x14ac:dyDescent="0.25">
      <c r="A1452" s="2">
        <v>2154</v>
      </c>
      <c r="B1452" s="2">
        <v>2010</v>
      </c>
      <c r="C1452" s="2" t="s">
        <v>171</v>
      </c>
      <c r="D1452" s="2" t="s">
        <v>122</v>
      </c>
      <c r="E1452" s="2"/>
      <c r="F1452" s="2">
        <v>425</v>
      </c>
      <c r="G1452" s="2" t="s">
        <v>286</v>
      </c>
      <c r="H1452" s="2">
        <v>39</v>
      </c>
      <c r="I1452" s="2" t="s">
        <v>1117</v>
      </c>
      <c r="J1452" s="2">
        <v>310</v>
      </c>
      <c r="K1452" s="2" t="s">
        <v>288</v>
      </c>
      <c r="L1452" s="2" t="s">
        <v>289</v>
      </c>
      <c r="M1452" s="3">
        <v>40278</v>
      </c>
      <c r="N1452" s="2" t="s">
        <v>2049</v>
      </c>
      <c r="O1452" s="2"/>
      <c r="P1452" s="2" t="s">
        <v>5352</v>
      </c>
      <c r="Q1452" s="2" t="str">
        <f>"039/10"</f>
        <v>039/10</v>
      </c>
      <c r="R1452" s="2"/>
      <c r="S1452" s="2" t="s">
        <v>822</v>
      </c>
      <c r="T1452" s="2">
        <v>1</v>
      </c>
      <c r="U1452" s="2" t="s">
        <v>79</v>
      </c>
      <c r="V1452" s="2">
        <v>1</v>
      </c>
      <c r="W1452" s="2" t="s">
        <v>80</v>
      </c>
      <c r="X1452" s="2">
        <v>1</v>
      </c>
      <c r="Y1452" s="2" t="s">
        <v>81</v>
      </c>
      <c r="Z1452" s="2">
        <v>1</v>
      </c>
      <c r="AA1452" s="2" t="s">
        <v>82</v>
      </c>
      <c r="AB1452" s="2">
        <v>1</v>
      </c>
      <c r="AC1452" s="2" t="s">
        <v>178</v>
      </c>
      <c r="AD1452" s="3">
        <v>40277</v>
      </c>
      <c r="AE1452" s="4">
        <v>0.89583333333333337</v>
      </c>
      <c r="AF1452" s="2"/>
      <c r="AG1452" s="2"/>
      <c r="AH1452" s="2">
        <v>4</v>
      </c>
      <c r="AI1452" s="2" t="s">
        <v>125</v>
      </c>
      <c r="AJ1452" s="2">
        <v>29</v>
      </c>
      <c r="AK1452" s="2" t="s">
        <v>227</v>
      </c>
      <c r="AL1452" s="2">
        <v>16</v>
      </c>
      <c r="AM1452" s="2" t="s">
        <v>392</v>
      </c>
      <c r="AN1452" s="2" t="s">
        <v>1015</v>
      </c>
      <c r="AO1452" s="2"/>
      <c r="AP1452" s="2">
        <v>12</v>
      </c>
      <c r="AQ1452" s="2" t="s">
        <v>322</v>
      </c>
      <c r="AR1452" s="2" t="s">
        <v>824</v>
      </c>
      <c r="AS1452" s="2" t="s">
        <v>825</v>
      </c>
      <c r="AT1452" s="2" t="s">
        <v>5353</v>
      </c>
      <c r="AU1452" s="2"/>
      <c r="AV1452" s="2"/>
      <c r="AW1452" s="2"/>
      <c r="AX1452" s="2"/>
      <c r="AY1452" s="2">
        <v>41</v>
      </c>
      <c r="AZ1452" s="2" t="s">
        <v>82</v>
      </c>
      <c r="BA1452" s="2">
        <v>41</v>
      </c>
      <c r="BB1452" s="2" t="s">
        <v>82</v>
      </c>
      <c r="BC1452" s="2">
        <v>51</v>
      </c>
      <c r="BD1452" s="2" t="s">
        <v>827</v>
      </c>
      <c r="BE1452" s="2">
        <v>47</v>
      </c>
      <c r="BF1452" s="2" t="s">
        <v>167</v>
      </c>
      <c r="BG1452" s="2">
        <v>2459</v>
      </c>
      <c r="BH1452" s="4">
        <v>0.91666666666666663</v>
      </c>
      <c r="BI1452" s="4">
        <v>0.94791666666666663</v>
      </c>
      <c r="BJ1452" s="2">
        <v>13</v>
      </c>
      <c r="BK1452" s="2" t="s">
        <v>91</v>
      </c>
      <c r="BL1452" s="2" t="s">
        <v>828</v>
      </c>
      <c r="BM1452" s="2">
        <v>241</v>
      </c>
      <c r="BN1452" s="2" t="s">
        <v>82</v>
      </c>
      <c r="BO1452" s="2" t="s">
        <v>82</v>
      </c>
      <c r="BP1452" s="2">
        <v>13</v>
      </c>
      <c r="BQ1452" s="2" t="s">
        <v>91</v>
      </c>
      <c r="BR1452" s="2" t="s">
        <v>185</v>
      </c>
      <c r="BS1452" s="3">
        <v>40278</v>
      </c>
      <c r="BT1452" s="4">
        <v>2.1400462962962965E-2</v>
      </c>
    </row>
    <row r="1453" spans="1:72" x14ac:dyDescent="0.25">
      <c r="A1453" s="2">
        <v>2155</v>
      </c>
      <c r="B1453" s="2">
        <v>2010</v>
      </c>
      <c r="C1453" s="2" t="s">
        <v>72</v>
      </c>
      <c r="D1453" s="2" t="s">
        <v>73</v>
      </c>
      <c r="E1453" s="2"/>
      <c r="F1453" s="2">
        <v>579</v>
      </c>
      <c r="G1453" s="2" t="s">
        <v>5354</v>
      </c>
      <c r="H1453" s="2">
        <v>22</v>
      </c>
      <c r="I1453" s="2" t="s">
        <v>75</v>
      </c>
      <c r="J1453" s="2">
        <v>514</v>
      </c>
      <c r="K1453" s="2" t="s">
        <v>5013</v>
      </c>
      <c r="L1453" s="2" t="s">
        <v>5014</v>
      </c>
      <c r="M1453" s="3">
        <v>40278</v>
      </c>
      <c r="N1453" s="2" t="s">
        <v>5355</v>
      </c>
      <c r="O1453" s="2" t="s">
        <v>107</v>
      </c>
      <c r="P1453" s="2" t="s">
        <v>107</v>
      </c>
      <c r="Q1453" s="2" t="str">
        <f>"152-A/10"</f>
        <v>152-A/10</v>
      </c>
      <c r="R1453" s="2" t="s">
        <v>107</v>
      </c>
      <c r="S1453" s="2" t="s">
        <v>156</v>
      </c>
      <c r="T1453" s="2">
        <v>1</v>
      </c>
      <c r="U1453" s="2" t="s">
        <v>79</v>
      </c>
      <c r="V1453" s="2">
        <v>1</v>
      </c>
      <c r="W1453" s="2" t="s">
        <v>80</v>
      </c>
      <c r="X1453" s="2">
        <v>5</v>
      </c>
      <c r="Y1453" s="2" t="s">
        <v>82</v>
      </c>
      <c r="Z1453" s="2">
        <v>1</v>
      </c>
      <c r="AA1453" s="2" t="s">
        <v>82</v>
      </c>
      <c r="AB1453" s="2">
        <v>6</v>
      </c>
      <c r="AC1453" s="2" t="s">
        <v>83</v>
      </c>
      <c r="AD1453" s="3">
        <v>40276</v>
      </c>
      <c r="AE1453" s="4">
        <v>0.98958333333333337</v>
      </c>
      <c r="AF1453" s="3">
        <v>40277</v>
      </c>
      <c r="AG1453" s="4">
        <v>0.84027777777777779</v>
      </c>
      <c r="AH1453" s="2">
        <v>2</v>
      </c>
      <c r="AI1453" s="2" t="s">
        <v>84</v>
      </c>
      <c r="AJ1453" s="2">
        <v>12</v>
      </c>
      <c r="AK1453" s="2" t="s">
        <v>85</v>
      </c>
      <c r="AL1453" s="2">
        <v>10</v>
      </c>
      <c r="AM1453" s="2" t="s">
        <v>200</v>
      </c>
      <c r="AN1453" s="2"/>
      <c r="AO1453" s="2" t="s">
        <v>5356</v>
      </c>
      <c r="AP1453" s="2">
        <v>11</v>
      </c>
      <c r="AQ1453" s="2" t="s">
        <v>82</v>
      </c>
      <c r="AR1453" s="2"/>
      <c r="AS1453" s="2"/>
      <c r="AT1453" s="2" t="s">
        <v>5357</v>
      </c>
      <c r="AU1453" s="2"/>
      <c r="AV1453" s="2"/>
      <c r="AW1453" s="2"/>
      <c r="AX1453" s="2"/>
      <c r="AY1453" s="2">
        <v>41</v>
      </c>
      <c r="AZ1453" s="2" t="s">
        <v>82</v>
      </c>
      <c r="BA1453" s="2">
        <v>41</v>
      </c>
      <c r="BB1453" s="2" t="s">
        <v>82</v>
      </c>
      <c r="BC1453" s="2">
        <v>41</v>
      </c>
      <c r="BD1453" s="2" t="s">
        <v>82</v>
      </c>
      <c r="BE1453" s="2">
        <v>13</v>
      </c>
      <c r="BF1453" s="2" t="s">
        <v>108</v>
      </c>
      <c r="BG1453" s="2" t="s">
        <v>5358</v>
      </c>
      <c r="BH1453" s="4">
        <v>0.82986111111111116</v>
      </c>
      <c r="BI1453" s="4">
        <v>0.96875</v>
      </c>
      <c r="BJ1453" s="2">
        <v>13</v>
      </c>
      <c r="BK1453" s="2" t="s">
        <v>91</v>
      </c>
      <c r="BL1453" s="2" t="s">
        <v>895</v>
      </c>
      <c r="BM1453" s="2">
        <v>241</v>
      </c>
      <c r="BN1453" s="2" t="s">
        <v>82</v>
      </c>
      <c r="BO1453" s="2"/>
      <c r="BP1453" s="2">
        <v>13</v>
      </c>
      <c r="BQ1453" s="2" t="s">
        <v>91</v>
      </c>
      <c r="BR1453" s="2" t="s">
        <v>170</v>
      </c>
      <c r="BS1453" s="3">
        <v>40278</v>
      </c>
      <c r="BT1453" s="4">
        <v>4.6724537037037044E-2</v>
      </c>
    </row>
    <row r="1454" spans="1:72" x14ac:dyDescent="0.25">
      <c r="A1454" s="2">
        <v>2156</v>
      </c>
      <c r="B1454" s="2">
        <v>2010</v>
      </c>
      <c r="C1454" s="2" t="s">
        <v>171</v>
      </c>
      <c r="D1454" s="2" t="s">
        <v>73</v>
      </c>
      <c r="E1454" s="2"/>
      <c r="F1454" s="2">
        <v>600</v>
      </c>
      <c r="G1454" s="2" t="s">
        <v>5325</v>
      </c>
      <c r="H1454" s="2">
        <v>21</v>
      </c>
      <c r="I1454" s="2" t="s">
        <v>5326</v>
      </c>
      <c r="J1454" s="2">
        <v>170</v>
      </c>
      <c r="K1454" s="2" t="s">
        <v>5074</v>
      </c>
      <c r="L1454" s="2" t="s">
        <v>5075</v>
      </c>
      <c r="M1454" s="3">
        <v>40278</v>
      </c>
      <c r="N1454" s="2" t="s">
        <v>5359</v>
      </c>
      <c r="O1454" s="2" t="s">
        <v>107</v>
      </c>
      <c r="P1454" s="2" t="s">
        <v>107</v>
      </c>
      <c r="Q1454" s="2" t="str">
        <f>"151-A/10"</f>
        <v>151-A/10</v>
      </c>
      <c r="R1454" s="2" t="s">
        <v>107</v>
      </c>
      <c r="S1454" s="2" t="s">
        <v>318</v>
      </c>
      <c r="T1454" s="2">
        <v>1</v>
      </c>
      <c r="U1454" s="2" t="s">
        <v>79</v>
      </c>
      <c r="V1454" s="2">
        <v>1</v>
      </c>
      <c r="W1454" s="2" t="s">
        <v>80</v>
      </c>
      <c r="X1454" s="2">
        <v>1</v>
      </c>
      <c r="Y1454" s="2" t="s">
        <v>81</v>
      </c>
      <c r="Z1454" s="2">
        <v>10</v>
      </c>
      <c r="AA1454" s="2" t="s">
        <v>236</v>
      </c>
      <c r="AB1454" s="2">
        <v>1</v>
      </c>
      <c r="AC1454" s="2" t="s">
        <v>178</v>
      </c>
      <c r="AD1454" s="3">
        <v>40277</v>
      </c>
      <c r="AE1454" s="4">
        <v>0.77083333333333337</v>
      </c>
      <c r="AF1454" s="2"/>
      <c r="AG1454" s="2"/>
      <c r="AH1454" s="2">
        <v>2</v>
      </c>
      <c r="AI1454" s="2" t="s">
        <v>84</v>
      </c>
      <c r="AJ1454" s="2">
        <v>12</v>
      </c>
      <c r="AK1454" s="2" t="s">
        <v>85</v>
      </c>
      <c r="AL1454" s="2">
        <v>11</v>
      </c>
      <c r="AM1454" s="2" t="s">
        <v>137</v>
      </c>
      <c r="AN1454" s="2" t="s">
        <v>3351</v>
      </c>
      <c r="AO1454" s="2" t="s">
        <v>788</v>
      </c>
      <c r="AP1454" s="2">
        <v>11</v>
      </c>
      <c r="AQ1454" s="2" t="s">
        <v>82</v>
      </c>
      <c r="AR1454" s="2" t="s">
        <v>82</v>
      </c>
      <c r="AS1454" s="2" t="s">
        <v>82</v>
      </c>
      <c r="AT1454" s="2" t="s">
        <v>5360</v>
      </c>
      <c r="AU1454" s="2">
        <v>1</v>
      </c>
      <c r="AV1454" s="2"/>
      <c r="AW1454" s="2"/>
      <c r="AX1454" s="2"/>
      <c r="AY1454" s="2">
        <v>41</v>
      </c>
      <c r="AZ1454" s="2" t="s">
        <v>82</v>
      </c>
      <c r="BA1454" s="2">
        <v>41</v>
      </c>
      <c r="BB1454" s="2" t="s">
        <v>82</v>
      </c>
      <c r="BC1454" s="2">
        <v>41</v>
      </c>
      <c r="BD1454" s="2" t="s">
        <v>82</v>
      </c>
      <c r="BE1454" s="2">
        <v>13</v>
      </c>
      <c r="BF1454" s="2" t="s">
        <v>108</v>
      </c>
      <c r="BG1454" s="2">
        <v>2476</v>
      </c>
      <c r="BH1454" s="4">
        <v>0.87152777777777779</v>
      </c>
      <c r="BI1454" s="4">
        <v>0.79166666666666663</v>
      </c>
      <c r="BJ1454" s="2">
        <v>13</v>
      </c>
      <c r="BK1454" s="2" t="s">
        <v>91</v>
      </c>
      <c r="BL1454" s="2" t="s">
        <v>185</v>
      </c>
      <c r="BM1454" s="2">
        <v>241</v>
      </c>
      <c r="BN1454" s="2" t="s">
        <v>82</v>
      </c>
      <c r="BO1454" s="2" t="s">
        <v>82</v>
      </c>
      <c r="BP1454" s="2">
        <v>13</v>
      </c>
      <c r="BQ1454" s="2" t="s">
        <v>91</v>
      </c>
      <c r="BR1454" s="2" t="s">
        <v>5117</v>
      </c>
      <c r="BS1454" s="3">
        <v>40278</v>
      </c>
      <c r="BT1454" s="4">
        <v>4.7256944444444449E-2</v>
      </c>
    </row>
    <row r="1455" spans="1:72" x14ac:dyDescent="0.25">
      <c r="A1455" s="2">
        <v>2157</v>
      </c>
      <c r="B1455" s="2">
        <v>2010</v>
      </c>
      <c r="C1455" s="2" t="s">
        <v>171</v>
      </c>
      <c r="D1455" s="2" t="s">
        <v>73</v>
      </c>
      <c r="E1455" s="2"/>
      <c r="F1455" s="2">
        <v>400</v>
      </c>
      <c r="G1455" s="2" t="s">
        <v>3601</v>
      </c>
      <c r="H1455" s="2">
        <v>16</v>
      </c>
      <c r="I1455" s="2" t="s">
        <v>3027</v>
      </c>
      <c r="J1455" s="2">
        <v>316</v>
      </c>
      <c r="K1455" s="2" t="s">
        <v>574</v>
      </c>
      <c r="L1455" s="2" t="s">
        <v>575</v>
      </c>
      <c r="M1455" s="3">
        <v>40278</v>
      </c>
      <c r="N1455" s="2" t="s">
        <v>4867</v>
      </c>
      <c r="O1455" s="2"/>
      <c r="P1455" s="2"/>
      <c r="Q1455" s="2" t="str">
        <f>"191-E/10"</f>
        <v>191-E/10</v>
      </c>
      <c r="R1455" s="2"/>
      <c r="S1455" s="2" t="s">
        <v>5361</v>
      </c>
      <c r="T1455" s="2">
        <v>1</v>
      </c>
      <c r="U1455" s="2" t="s">
        <v>79</v>
      </c>
      <c r="V1455" s="2">
        <v>1</v>
      </c>
      <c r="W1455" s="2" t="s">
        <v>80</v>
      </c>
      <c r="X1455" s="2">
        <v>1</v>
      </c>
      <c r="Y1455" s="2" t="s">
        <v>81</v>
      </c>
      <c r="Z1455" s="2">
        <v>1</v>
      </c>
      <c r="AA1455" s="2" t="s">
        <v>82</v>
      </c>
      <c r="AB1455" s="2">
        <v>1</v>
      </c>
      <c r="AC1455" s="2" t="s">
        <v>178</v>
      </c>
      <c r="AD1455" s="3">
        <v>40277</v>
      </c>
      <c r="AE1455" s="4">
        <v>0.60416666666666663</v>
      </c>
      <c r="AF1455" s="2"/>
      <c r="AG1455" s="2"/>
      <c r="AH1455" s="2">
        <v>2</v>
      </c>
      <c r="AI1455" s="2" t="s">
        <v>84</v>
      </c>
      <c r="AJ1455" s="2">
        <v>9</v>
      </c>
      <c r="AK1455" s="2" t="s">
        <v>103</v>
      </c>
      <c r="AL1455" s="2">
        <v>15</v>
      </c>
      <c r="AM1455" s="2" t="s">
        <v>104</v>
      </c>
      <c r="AN1455" s="2" t="s">
        <v>5362</v>
      </c>
      <c r="AO1455" s="2"/>
      <c r="AP1455" s="2">
        <v>11</v>
      </c>
      <c r="AQ1455" s="2" t="s">
        <v>82</v>
      </c>
      <c r="AR1455" s="2"/>
      <c r="AS1455" s="2"/>
      <c r="AT1455" s="2" t="s">
        <v>5363</v>
      </c>
      <c r="AU1455" s="2"/>
      <c r="AV1455" s="2">
        <v>1</v>
      </c>
      <c r="AW1455" s="2"/>
      <c r="AX1455" s="2"/>
      <c r="AY1455" s="2">
        <v>41</v>
      </c>
      <c r="AZ1455" s="2" t="s">
        <v>82</v>
      </c>
      <c r="BA1455" s="2">
        <v>41</v>
      </c>
      <c r="BB1455" s="2" t="s">
        <v>82</v>
      </c>
      <c r="BC1455" s="2">
        <v>41</v>
      </c>
      <c r="BD1455" s="2" t="s">
        <v>82</v>
      </c>
      <c r="BE1455" s="2">
        <v>13</v>
      </c>
      <c r="BF1455" s="2" t="s">
        <v>108</v>
      </c>
      <c r="BG1455" s="2" t="s">
        <v>5364</v>
      </c>
      <c r="BH1455" s="2"/>
      <c r="BI1455" s="4">
        <v>0.625</v>
      </c>
      <c r="BJ1455" s="2">
        <v>13</v>
      </c>
      <c r="BK1455" s="2" t="s">
        <v>91</v>
      </c>
      <c r="BL1455" s="2" t="s">
        <v>185</v>
      </c>
      <c r="BM1455" s="2">
        <v>241</v>
      </c>
      <c r="BN1455" s="2" t="s">
        <v>82</v>
      </c>
      <c r="BO1455" s="2"/>
      <c r="BP1455" s="2">
        <v>73</v>
      </c>
      <c r="BQ1455" s="2" t="s">
        <v>186</v>
      </c>
      <c r="BR1455" s="2" t="s">
        <v>675</v>
      </c>
      <c r="BS1455" s="3">
        <v>40278</v>
      </c>
      <c r="BT1455" s="4">
        <v>8.7094907407407399E-2</v>
      </c>
    </row>
    <row r="1456" spans="1:72" x14ac:dyDescent="0.25">
      <c r="A1456" s="2">
        <v>2158</v>
      </c>
      <c r="B1456" s="2">
        <v>2010</v>
      </c>
      <c r="C1456" s="2" t="s">
        <v>72</v>
      </c>
      <c r="D1456" s="2" t="s">
        <v>73</v>
      </c>
      <c r="E1456" s="2"/>
      <c r="F1456" s="2">
        <v>3</v>
      </c>
      <c r="G1456" s="2" t="s">
        <v>1041</v>
      </c>
      <c r="H1456" s="2">
        <v>1</v>
      </c>
      <c r="I1456" s="2" t="s">
        <v>82</v>
      </c>
      <c r="J1456" s="2">
        <v>368</v>
      </c>
      <c r="K1456" s="2" t="s">
        <v>1042</v>
      </c>
      <c r="L1456" s="2" t="s">
        <v>1043</v>
      </c>
      <c r="M1456" s="3">
        <v>40278</v>
      </c>
      <c r="N1456" s="2"/>
      <c r="O1456" s="2"/>
      <c r="P1456" s="2"/>
      <c r="Q1456" s="2" t="str">
        <f>"192-E/10"</f>
        <v>192-E/10</v>
      </c>
      <c r="R1456" s="2"/>
      <c r="S1456" s="2" t="s">
        <v>116</v>
      </c>
      <c r="T1456" s="2">
        <v>1</v>
      </c>
      <c r="U1456" s="2" t="s">
        <v>79</v>
      </c>
      <c r="V1456" s="2">
        <v>1</v>
      </c>
      <c r="W1456" s="2" t="s">
        <v>80</v>
      </c>
      <c r="X1456" s="2">
        <v>1</v>
      </c>
      <c r="Y1456" s="2" t="s">
        <v>81</v>
      </c>
      <c r="Z1456" s="2">
        <v>1</v>
      </c>
      <c r="AA1456" s="2" t="s">
        <v>82</v>
      </c>
      <c r="AB1456" s="2">
        <v>6</v>
      </c>
      <c r="AC1456" s="2" t="s">
        <v>83</v>
      </c>
      <c r="AD1456" s="3">
        <v>40226</v>
      </c>
      <c r="AE1456" s="2"/>
      <c r="AF1456" s="3">
        <v>40277</v>
      </c>
      <c r="AG1456" s="4">
        <v>0.59722222222222221</v>
      </c>
      <c r="AH1456" s="2">
        <v>2</v>
      </c>
      <c r="AI1456" s="2" t="s">
        <v>84</v>
      </c>
      <c r="AJ1456" s="2">
        <v>9</v>
      </c>
      <c r="AK1456" s="2" t="s">
        <v>103</v>
      </c>
      <c r="AL1456" s="2">
        <v>12</v>
      </c>
      <c r="AM1456" s="2" t="s">
        <v>86</v>
      </c>
      <c r="AN1456" s="2" t="s">
        <v>5365</v>
      </c>
      <c r="AO1456" s="2" t="s">
        <v>1346</v>
      </c>
      <c r="AP1456" s="2">
        <v>11</v>
      </c>
      <c r="AQ1456" s="2" t="s">
        <v>82</v>
      </c>
      <c r="AR1456" s="2"/>
      <c r="AS1456" s="2"/>
      <c r="AT1456" s="2" t="s">
        <v>5366</v>
      </c>
      <c r="AU1456" s="2"/>
      <c r="AV1456" s="2"/>
      <c r="AW1456" s="2"/>
      <c r="AX1456" s="2"/>
      <c r="AY1456" s="2">
        <v>41</v>
      </c>
      <c r="AZ1456" s="2" t="s">
        <v>82</v>
      </c>
      <c r="BA1456" s="2">
        <v>41</v>
      </c>
      <c r="BB1456" s="2" t="s">
        <v>82</v>
      </c>
      <c r="BC1456" s="2">
        <v>41</v>
      </c>
      <c r="BD1456" s="2" t="s">
        <v>82</v>
      </c>
      <c r="BE1456" s="2">
        <v>41</v>
      </c>
      <c r="BF1456" s="2" t="s">
        <v>82</v>
      </c>
      <c r="BG1456" s="2"/>
      <c r="BH1456" s="2"/>
      <c r="BI1456" s="2"/>
      <c r="BJ1456" s="2">
        <v>166</v>
      </c>
      <c r="BK1456" s="2" t="s">
        <v>401</v>
      </c>
      <c r="BL1456" s="2" t="s">
        <v>82</v>
      </c>
      <c r="BM1456" s="2">
        <v>242</v>
      </c>
      <c r="BN1456" s="2" t="s">
        <v>107</v>
      </c>
      <c r="BO1456" s="2" t="s">
        <v>107</v>
      </c>
      <c r="BP1456" s="2">
        <v>242</v>
      </c>
      <c r="BQ1456" s="2" t="s">
        <v>107</v>
      </c>
      <c r="BR1456" s="2" t="s">
        <v>107</v>
      </c>
      <c r="BS1456" s="3">
        <v>40278</v>
      </c>
      <c r="BT1456" s="4">
        <v>0.10804398148148148</v>
      </c>
    </row>
    <row r="1457" spans="1:72" x14ac:dyDescent="0.25">
      <c r="A1457" s="2">
        <v>2159</v>
      </c>
      <c r="B1457" s="2">
        <v>2010</v>
      </c>
      <c r="C1457" s="2" t="s">
        <v>1559</v>
      </c>
      <c r="D1457" s="2" t="s">
        <v>73</v>
      </c>
      <c r="E1457" s="2"/>
      <c r="F1457" s="2">
        <v>1</v>
      </c>
      <c r="G1457" s="2" t="s">
        <v>82</v>
      </c>
      <c r="H1457" s="2">
        <v>1</v>
      </c>
      <c r="I1457" s="2" t="s">
        <v>82</v>
      </c>
      <c r="J1457" s="2">
        <v>1</v>
      </c>
      <c r="K1457" s="2" t="s">
        <v>107</v>
      </c>
      <c r="L1457" s="2" t="s">
        <v>107</v>
      </c>
      <c r="M1457" s="3">
        <v>40278</v>
      </c>
      <c r="N1457" s="2"/>
      <c r="O1457" s="2"/>
      <c r="P1457" s="2"/>
      <c r="Q1457" s="2" t="str">
        <f>""</f>
        <v/>
      </c>
      <c r="R1457" s="2"/>
      <c r="S1457" s="2"/>
      <c r="T1457" s="2">
        <v>1</v>
      </c>
      <c r="U1457" s="2" t="s">
        <v>79</v>
      </c>
      <c r="V1457" s="2">
        <v>1</v>
      </c>
      <c r="W1457" s="2" t="s">
        <v>80</v>
      </c>
      <c r="X1457" s="2">
        <v>4</v>
      </c>
      <c r="Y1457" s="2" t="s">
        <v>463</v>
      </c>
      <c r="Z1457" s="2">
        <v>1</v>
      </c>
      <c r="AA1457" s="2" t="s">
        <v>82</v>
      </c>
      <c r="AB1457" s="2">
        <v>9</v>
      </c>
      <c r="AC1457" s="2" t="s">
        <v>124</v>
      </c>
      <c r="AD1457" s="3">
        <v>40278</v>
      </c>
      <c r="AE1457" s="4">
        <v>0.11458333333333333</v>
      </c>
      <c r="AF1457" s="2"/>
      <c r="AG1457" s="2"/>
      <c r="AH1457" s="2">
        <v>6</v>
      </c>
      <c r="AI1457" s="2" t="s">
        <v>197</v>
      </c>
      <c r="AJ1457" s="2">
        <v>58</v>
      </c>
      <c r="AK1457" s="2" t="s">
        <v>406</v>
      </c>
      <c r="AL1457" s="2">
        <v>18</v>
      </c>
      <c r="AM1457" s="2" t="s">
        <v>82</v>
      </c>
      <c r="AN1457" s="2" t="s">
        <v>163</v>
      </c>
      <c r="AO1457" s="2" t="s">
        <v>1971</v>
      </c>
      <c r="AP1457" s="2">
        <v>11</v>
      </c>
      <c r="AQ1457" s="2" t="s">
        <v>82</v>
      </c>
      <c r="AR1457" s="2"/>
      <c r="AS1457" s="2"/>
      <c r="AT1457" s="2" t="s">
        <v>5367</v>
      </c>
      <c r="AU1457" s="2"/>
      <c r="AV1457" s="2"/>
      <c r="AW1457" s="2"/>
      <c r="AX1457" s="2"/>
      <c r="AY1457" s="2">
        <v>1</v>
      </c>
      <c r="AZ1457" s="2" t="s">
        <v>107</v>
      </c>
      <c r="BA1457" s="2">
        <v>1</v>
      </c>
      <c r="BB1457" s="2" t="s">
        <v>107</v>
      </c>
      <c r="BC1457" s="2">
        <v>1</v>
      </c>
      <c r="BD1457" s="2" t="s">
        <v>107</v>
      </c>
      <c r="BE1457" s="2">
        <v>4</v>
      </c>
      <c r="BF1457" s="2" t="s">
        <v>90</v>
      </c>
      <c r="BG1457" s="2" t="s">
        <v>5368</v>
      </c>
      <c r="BH1457" s="4">
        <v>8.6805555555555566E-2</v>
      </c>
      <c r="BI1457" s="4">
        <v>0.12847222222222224</v>
      </c>
      <c r="BJ1457" s="2">
        <v>13</v>
      </c>
      <c r="BK1457" s="2" t="s">
        <v>91</v>
      </c>
      <c r="BL1457" s="2" t="s">
        <v>492</v>
      </c>
      <c r="BM1457" s="2">
        <v>13</v>
      </c>
      <c r="BN1457" s="2" t="s">
        <v>91</v>
      </c>
      <c r="BO1457" s="2"/>
      <c r="BP1457" s="2">
        <v>13</v>
      </c>
      <c r="BQ1457" s="2" t="s">
        <v>91</v>
      </c>
      <c r="BR1457" s="2" t="s">
        <v>5369</v>
      </c>
      <c r="BS1457" s="3">
        <v>40278</v>
      </c>
      <c r="BT1457" s="4">
        <v>0.17932870370370371</v>
      </c>
    </row>
    <row r="1458" spans="1:72" x14ac:dyDescent="0.25">
      <c r="A1458" s="2">
        <v>2160</v>
      </c>
      <c r="B1458" s="2">
        <v>2010</v>
      </c>
      <c r="C1458" s="2" t="s">
        <v>1568</v>
      </c>
      <c r="D1458" s="2" t="s">
        <v>73</v>
      </c>
      <c r="E1458" s="2"/>
      <c r="F1458" s="2">
        <v>389</v>
      </c>
      <c r="G1458" s="2" t="s">
        <v>1819</v>
      </c>
      <c r="H1458" s="2">
        <v>3</v>
      </c>
      <c r="I1458" s="2" t="s">
        <v>315</v>
      </c>
      <c r="J1458" s="2">
        <v>399</v>
      </c>
      <c r="K1458" s="2" t="s">
        <v>1820</v>
      </c>
      <c r="L1458" s="2" t="s">
        <v>1821</v>
      </c>
      <c r="M1458" s="3">
        <v>40278</v>
      </c>
      <c r="N1458" s="2" t="s">
        <v>4976</v>
      </c>
      <c r="O1458" s="2" t="s">
        <v>82</v>
      </c>
      <c r="P1458" s="2" t="s">
        <v>82</v>
      </c>
      <c r="Q1458" s="2" t="str">
        <f>"193-E/10"</f>
        <v>193-E/10</v>
      </c>
      <c r="R1458" s="2" t="s">
        <v>82</v>
      </c>
      <c r="S1458" s="2" t="s">
        <v>5370</v>
      </c>
      <c r="T1458" s="2">
        <v>1</v>
      </c>
      <c r="U1458" s="2" t="s">
        <v>79</v>
      </c>
      <c r="V1458" s="2">
        <v>1</v>
      </c>
      <c r="W1458" s="2" t="s">
        <v>80</v>
      </c>
      <c r="X1458" s="2">
        <v>1</v>
      </c>
      <c r="Y1458" s="2" t="s">
        <v>81</v>
      </c>
      <c r="Z1458" s="2">
        <v>1</v>
      </c>
      <c r="AA1458" s="2" t="s">
        <v>82</v>
      </c>
      <c r="AB1458" s="2">
        <v>4</v>
      </c>
      <c r="AC1458" s="2" t="s">
        <v>1569</v>
      </c>
      <c r="AD1458" s="3">
        <v>40278</v>
      </c>
      <c r="AE1458" s="4">
        <v>6.25E-2</v>
      </c>
      <c r="AF1458" s="2"/>
      <c r="AG1458" s="2"/>
      <c r="AH1458" s="2">
        <v>2</v>
      </c>
      <c r="AI1458" s="2" t="s">
        <v>84</v>
      </c>
      <c r="AJ1458" s="2">
        <v>9</v>
      </c>
      <c r="AK1458" s="2" t="s">
        <v>103</v>
      </c>
      <c r="AL1458" s="2">
        <v>10</v>
      </c>
      <c r="AM1458" s="2" t="s">
        <v>200</v>
      </c>
      <c r="AN1458" s="2" t="s">
        <v>5371</v>
      </c>
      <c r="AO1458" s="2" t="s">
        <v>1230</v>
      </c>
      <c r="AP1458" s="2">
        <v>11</v>
      </c>
      <c r="AQ1458" s="2" t="s">
        <v>82</v>
      </c>
      <c r="AR1458" s="2"/>
      <c r="AS1458" s="2"/>
      <c r="AT1458" s="2" t="s">
        <v>5372</v>
      </c>
      <c r="AU1458" s="2"/>
      <c r="AV1458" s="2">
        <v>1</v>
      </c>
      <c r="AW1458" s="2"/>
      <c r="AX1458" s="2"/>
      <c r="AY1458" s="2">
        <v>41</v>
      </c>
      <c r="AZ1458" s="2" t="s">
        <v>82</v>
      </c>
      <c r="BA1458" s="2">
        <v>41</v>
      </c>
      <c r="BB1458" s="2" t="s">
        <v>82</v>
      </c>
      <c r="BC1458" s="2">
        <v>41</v>
      </c>
      <c r="BD1458" s="2" t="s">
        <v>82</v>
      </c>
      <c r="BE1458" s="2">
        <v>39</v>
      </c>
      <c r="BF1458" s="2" t="s">
        <v>440</v>
      </c>
      <c r="BG1458" s="2" t="s">
        <v>5373</v>
      </c>
      <c r="BH1458" s="2"/>
      <c r="BI1458" s="4">
        <v>0.11458333333333333</v>
      </c>
      <c r="BJ1458" s="2">
        <v>13</v>
      </c>
      <c r="BK1458" s="2" t="s">
        <v>91</v>
      </c>
      <c r="BL1458" s="2" t="s">
        <v>185</v>
      </c>
      <c r="BM1458" s="2">
        <v>242</v>
      </c>
      <c r="BN1458" s="2" t="s">
        <v>107</v>
      </c>
      <c r="BO1458" s="2"/>
      <c r="BP1458" s="2">
        <v>33</v>
      </c>
      <c r="BQ1458" s="2" t="s">
        <v>361</v>
      </c>
      <c r="BR1458" s="2" t="s">
        <v>1739</v>
      </c>
      <c r="BS1458" s="3">
        <v>40278</v>
      </c>
      <c r="BT1458" s="4">
        <v>0.28898148148148145</v>
      </c>
    </row>
    <row r="1459" spans="1:72" x14ac:dyDescent="0.25">
      <c r="A1459" s="2">
        <v>2161</v>
      </c>
      <c r="B1459" s="2">
        <v>2010</v>
      </c>
      <c r="C1459" s="2" t="s">
        <v>72</v>
      </c>
      <c r="D1459" s="2" t="s">
        <v>73</v>
      </c>
      <c r="E1459" s="2"/>
      <c r="F1459" s="2">
        <v>389</v>
      </c>
      <c r="G1459" s="2" t="s">
        <v>1819</v>
      </c>
      <c r="H1459" s="2">
        <v>3</v>
      </c>
      <c r="I1459" s="2" t="s">
        <v>315</v>
      </c>
      <c r="J1459" s="2">
        <v>399</v>
      </c>
      <c r="K1459" s="2" t="s">
        <v>1820</v>
      </c>
      <c r="L1459" s="2" t="s">
        <v>1821</v>
      </c>
      <c r="M1459" s="3">
        <v>40278</v>
      </c>
      <c r="N1459" s="2" t="s">
        <v>5374</v>
      </c>
      <c r="O1459" s="2" t="s">
        <v>107</v>
      </c>
      <c r="P1459" s="2" t="s">
        <v>107</v>
      </c>
      <c r="Q1459" s="2" t="str">
        <f>"194-E/10"</f>
        <v>194-E/10</v>
      </c>
      <c r="R1459" s="2" t="s">
        <v>107</v>
      </c>
      <c r="S1459" s="2" t="s">
        <v>601</v>
      </c>
      <c r="T1459" s="2">
        <v>1</v>
      </c>
      <c r="U1459" s="2" t="s">
        <v>79</v>
      </c>
      <c r="V1459" s="2">
        <v>1</v>
      </c>
      <c r="W1459" s="2" t="s">
        <v>80</v>
      </c>
      <c r="X1459" s="2">
        <v>1</v>
      </c>
      <c r="Y1459" s="2" t="s">
        <v>81</v>
      </c>
      <c r="Z1459" s="2">
        <v>1</v>
      </c>
      <c r="AA1459" s="2" t="s">
        <v>82</v>
      </c>
      <c r="AB1459" s="2">
        <v>6</v>
      </c>
      <c r="AC1459" s="2" t="s">
        <v>83</v>
      </c>
      <c r="AD1459" s="3">
        <v>40278</v>
      </c>
      <c r="AE1459" s="4">
        <v>0.33333333333333331</v>
      </c>
      <c r="AF1459" s="3">
        <v>40278</v>
      </c>
      <c r="AG1459" s="4">
        <v>0.41666666666666669</v>
      </c>
      <c r="AH1459" s="2">
        <v>2</v>
      </c>
      <c r="AI1459" s="2" t="s">
        <v>84</v>
      </c>
      <c r="AJ1459" s="2">
        <v>9</v>
      </c>
      <c r="AK1459" s="2" t="s">
        <v>103</v>
      </c>
      <c r="AL1459" s="2">
        <v>14</v>
      </c>
      <c r="AM1459" s="2" t="s">
        <v>216</v>
      </c>
      <c r="AN1459" s="2" t="s">
        <v>5375</v>
      </c>
      <c r="AO1459" s="2" t="s">
        <v>5376</v>
      </c>
      <c r="AP1459" s="2">
        <v>11</v>
      </c>
      <c r="AQ1459" s="2" t="s">
        <v>82</v>
      </c>
      <c r="AR1459" s="2"/>
      <c r="AS1459" s="2"/>
      <c r="AT1459" s="2" t="s">
        <v>5377</v>
      </c>
      <c r="AU1459" s="2"/>
      <c r="AV1459" s="2"/>
      <c r="AW1459" s="2"/>
      <c r="AX1459" s="2"/>
      <c r="AY1459" s="2">
        <v>41</v>
      </c>
      <c r="AZ1459" s="2" t="s">
        <v>82</v>
      </c>
      <c r="BA1459" s="2">
        <v>41</v>
      </c>
      <c r="BB1459" s="2" t="s">
        <v>82</v>
      </c>
      <c r="BC1459" s="2">
        <v>41</v>
      </c>
      <c r="BD1459" s="2" t="s">
        <v>82</v>
      </c>
      <c r="BE1459" s="2">
        <v>31</v>
      </c>
      <c r="BF1459" s="2" t="s">
        <v>398</v>
      </c>
      <c r="BG1459" s="2" t="s">
        <v>1800</v>
      </c>
      <c r="BH1459" s="4">
        <v>0.3125</v>
      </c>
      <c r="BI1459" s="2"/>
      <c r="BJ1459" s="2">
        <v>208</v>
      </c>
      <c r="BK1459" s="2" t="s">
        <v>1266</v>
      </c>
      <c r="BL1459" s="2" t="s">
        <v>5378</v>
      </c>
      <c r="BM1459" s="2">
        <v>73</v>
      </c>
      <c r="BN1459" s="2" t="s">
        <v>186</v>
      </c>
      <c r="BO1459" s="2" t="s">
        <v>187</v>
      </c>
      <c r="BP1459" s="2">
        <v>13</v>
      </c>
      <c r="BQ1459" s="2" t="s">
        <v>91</v>
      </c>
      <c r="BR1459" s="2" t="s">
        <v>4251</v>
      </c>
      <c r="BS1459" s="3">
        <v>40278</v>
      </c>
      <c r="BT1459" s="4">
        <v>0.47788194444444443</v>
      </c>
    </row>
    <row r="1460" spans="1:72" x14ac:dyDescent="0.25">
      <c r="A1460" s="2">
        <v>2162</v>
      </c>
      <c r="B1460" s="2">
        <v>2010</v>
      </c>
      <c r="C1460" s="2" t="s">
        <v>171</v>
      </c>
      <c r="D1460" s="2" t="s">
        <v>122</v>
      </c>
      <c r="E1460" s="2" t="s">
        <v>5379</v>
      </c>
      <c r="F1460" s="2">
        <v>160</v>
      </c>
      <c r="G1460" s="2"/>
      <c r="H1460" s="2">
        <v>21</v>
      </c>
      <c r="I1460" s="2" t="s">
        <v>5326</v>
      </c>
      <c r="J1460" s="2">
        <v>170</v>
      </c>
      <c r="K1460" s="2" t="s">
        <v>5074</v>
      </c>
      <c r="L1460" s="2" t="s">
        <v>5075</v>
      </c>
      <c r="M1460" s="3">
        <v>40278</v>
      </c>
      <c r="N1460" s="2" t="s">
        <v>5359</v>
      </c>
      <c r="O1460" s="2" t="s">
        <v>107</v>
      </c>
      <c r="P1460" s="2" t="s">
        <v>107</v>
      </c>
      <c r="Q1460" s="2" t="str">
        <f>"151-A/10"</f>
        <v>151-A/10</v>
      </c>
      <c r="R1460" s="2" t="s">
        <v>318</v>
      </c>
      <c r="S1460" s="2" t="s">
        <v>107</v>
      </c>
      <c r="T1460" s="2">
        <v>1</v>
      </c>
      <c r="U1460" s="2" t="s">
        <v>79</v>
      </c>
      <c r="V1460" s="2">
        <v>1</v>
      </c>
      <c r="W1460" s="2" t="s">
        <v>80</v>
      </c>
      <c r="X1460" s="2">
        <v>1</v>
      </c>
      <c r="Y1460" s="2" t="s">
        <v>81</v>
      </c>
      <c r="Z1460" s="2">
        <v>10</v>
      </c>
      <c r="AA1460" s="2" t="s">
        <v>236</v>
      </c>
      <c r="AB1460" s="2">
        <v>1</v>
      </c>
      <c r="AC1460" s="2" t="s">
        <v>178</v>
      </c>
      <c r="AD1460" s="3">
        <v>40278</v>
      </c>
      <c r="AE1460" s="4">
        <v>0.11458333333333333</v>
      </c>
      <c r="AF1460" s="2"/>
      <c r="AG1460" s="2"/>
      <c r="AH1460" s="2">
        <v>2</v>
      </c>
      <c r="AI1460" s="2" t="s">
        <v>84</v>
      </c>
      <c r="AJ1460" s="2">
        <v>12</v>
      </c>
      <c r="AK1460" s="2" t="s">
        <v>85</v>
      </c>
      <c r="AL1460" s="2">
        <v>18</v>
      </c>
      <c r="AM1460" s="2" t="s">
        <v>82</v>
      </c>
      <c r="AN1460" s="2" t="s">
        <v>3351</v>
      </c>
      <c r="AO1460" s="2" t="s">
        <v>1807</v>
      </c>
      <c r="AP1460" s="2">
        <v>11</v>
      </c>
      <c r="AQ1460" s="2" t="s">
        <v>82</v>
      </c>
      <c r="AR1460" s="2" t="s">
        <v>82</v>
      </c>
      <c r="AS1460" s="2" t="s">
        <v>82</v>
      </c>
      <c r="AT1460" s="2" t="s">
        <v>5380</v>
      </c>
      <c r="AU1460" s="2">
        <v>1</v>
      </c>
      <c r="AV1460" s="2"/>
      <c r="AW1460" s="2"/>
      <c r="AX1460" s="2"/>
      <c r="AY1460" s="2">
        <v>41</v>
      </c>
      <c r="AZ1460" s="2" t="s">
        <v>82</v>
      </c>
      <c r="BA1460" s="2">
        <v>41</v>
      </c>
      <c r="BB1460" s="2" t="s">
        <v>82</v>
      </c>
      <c r="BC1460" s="2">
        <v>41</v>
      </c>
      <c r="BD1460" s="2" t="s">
        <v>82</v>
      </c>
      <c r="BE1460" s="2">
        <v>13</v>
      </c>
      <c r="BF1460" s="2" t="s">
        <v>108</v>
      </c>
      <c r="BG1460" s="2">
        <v>2476</v>
      </c>
      <c r="BH1460" s="4">
        <v>0.87152777777777779</v>
      </c>
      <c r="BI1460" s="4">
        <v>0.79166666666666663</v>
      </c>
      <c r="BJ1460" s="2">
        <v>13</v>
      </c>
      <c r="BK1460" s="2" t="s">
        <v>91</v>
      </c>
      <c r="BL1460" s="2" t="s">
        <v>185</v>
      </c>
      <c r="BM1460" s="2">
        <v>241</v>
      </c>
      <c r="BN1460" s="2" t="s">
        <v>82</v>
      </c>
      <c r="BO1460" s="2" t="s">
        <v>82</v>
      </c>
      <c r="BP1460" s="2">
        <v>13</v>
      </c>
      <c r="BQ1460" s="2" t="s">
        <v>91</v>
      </c>
      <c r="BR1460" s="2" t="s">
        <v>5117</v>
      </c>
      <c r="BS1460" s="3">
        <v>40278</v>
      </c>
      <c r="BT1460" s="4">
        <v>0.57990740740740743</v>
      </c>
    </row>
    <row r="1461" spans="1:72" x14ac:dyDescent="0.25">
      <c r="A1461" s="2">
        <v>2163</v>
      </c>
      <c r="B1461" s="2">
        <v>2010</v>
      </c>
      <c r="C1461" s="2" t="s">
        <v>819</v>
      </c>
      <c r="D1461" s="2" t="s">
        <v>122</v>
      </c>
      <c r="E1461" s="2" t="s">
        <v>5381</v>
      </c>
      <c r="F1461" s="2">
        <v>425</v>
      </c>
      <c r="G1461" s="2" t="s">
        <v>286</v>
      </c>
      <c r="H1461" s="2">
        <v>39</v>
      </c>
      <c r="I1461" s="2" t="s">
        <v>1117</v>
      </c>
      <c r="J1461" s="2">
        <v>310</v>
      </c>
      <c r="K1461" s="2" t="s">
        <v>288</v>
      </c>
      <c r="L1461" s="2" t="s">
        <v>289</v>
      </c>
      <c r="M1461" s="3">
        <v>40278</v>
      </c>
      <c r="N1461" s="2" t="s">
        <v>2049</v>
      </c>
      <c r="O1461" s="2"/>
      <c r="P1461" s="2"/>
      <c r="Q1461" s="2" t="str">
        <f>"039/10"</f>
        <v>039/10</v>
      </c>
      <c r="R1461" s="2" t="s">
        <v>822</v>
      </c>
      <c r="S1461" s="2"/>
      <c r="T1461" s="2">
        <v>1</v>
      </c>
      <c r="U1461" s="2" t="s">
        <v>79</v>
      </c>
      <c r="V1461" s="2">
        <v>1</v>
      </c>
      <c r="W1461" s="2" t="s">
        <v>80</v>
      </c>
      <c r="X1461" s="2">
        <v>1</v>
      </c>
      <c r="Y1461" s="2" t="s">
        <v>81</v>
      </c>
      <c r="Z1461" s="2">
        <v>10</v>
      </c>
      <c r="AA1461" s="2" t="s">
        <v>236</v>
      </c>
      <c r="AB1461" s="2">
        <v>9</v>
      </c>
      <c r="AC1461" s="2" t="s">
        <v>124</v>
      </c>
      <c r="AD1461" s="3">
        <v>40278</v>
      </c>
      <c r="AE1461" s="4">
        <v>0.5625</v>
      </c>
      <c r="AF1461" s="2"/>
      <c r="AG1461" s="2"/>
      <c r="AH1461" s="2">
        <v>4</v>
      </c>
      <c r="AI1461" s="2" t="s">
        <v>125</v>
      </c>
      <c r="AJ1461" s="2">
        <v>29</v>
      </c>
      <c r="AK1461" s="2" t="s">
        <v>227</v>
      </c>
      <c r="AL1461" s="2">
        <v>10</v>
      </c>
      <c r="AM1461" s="2" t="s">
        <v>200</v>
      </c>
      <c r="AN1461" s="2" t="s">
        <v>5382</v>
      </c>
      <c r="AO1461" s="2" t="s">
        <v>5383</v>
      </c>
      <c r="AP1461" s="2">
        <v>12</v>
      </c>
      <c r="AQ1461" s="2" t="s">
        <v>322</v>
      </c>
      <c r="AR1461" s="2" t="s">
        <v>824</v>
      </c>
      <c r="AS1461" s="2" t="s">
        <v>825</v>
      </c>
      <c r="AT1461" s="2" t="s">
        <v>5384</v>
      </c>
      <c r="AU1461" s="2"/>
      <c r="AV1461" s="2"/>
      <c r="AW1461" s="2"/>
      <c r="AX1461" s="2"/>
      <c r="AY1461" s="2">
        <v>41</v>
      </c>
      <c r="AZ1461" s="2" t="s">
        <v>82</v>
      </c>
      <c r="BA1461" s="2">
        <v>41</v>
      </c>
      <c r="BB1461" s="2" t="s">
        <v>82</v>
      </c>
      <c r="BC1461" s="2">
        <v>51</v>
      </c>
      <c r="BD1461" s="2" t="s">
        <v>827</v>
      </c>
      <c r="BE1461" s="2">
        <v>47</v>
      </c>
      <c r="BF1461" s="2" t="s">
        <v>167</v>
      </c>
      <c r="BG1461" s="2">
        <v>2459</v>
      </c>
      <c r="BH1461" s="4">
        <v>0.91666666666666663</v>
      </c>
      <c r="BI1461" s="4">
        <v>0.94791666666666663</v>
      </c>
      <c r="BJ1461" s="2">
        <v>13</v>
      </c>
      <c r="BK1461" s="2" t="s">
        <v>91</v>
      </c>
      <c r="BL1461" s="2" t="s">
        <v>828</v>
      </c>
      <c r="BM1461" s="2">
        <v>241</v>
      </c>
      <c r="BN1461" s="2" t="s">
        <v>82</v>
      </c>
      <c r="BO1461" s="2" t="s">
        <v>82</v>
      </c>
      <c r="BP1461" s="2">
        <v>13</v>
      </c>
      <c r="BQ1461" s="2" t="s">
        <v>91</v>
      </c>
      <c r="BR1461" s="2" t="s">
        <v>185</v>
      </c>
      <c r="BS1461" s="3">
        <v>40278</v>
      </c>
      <c r="BT1461" s="4">
        <v>0.61237268518518517</v>
      </c>
    </row>
    <row r="1462" spans="1:72" x14ac:dyDescent="0.25">
      <c r="A1462" s="2">
        <v>2164</v>
      </c>
      <c r="B1462" s="2">
        <v>2010</v>
      </c>
      <c r="C1462" s="2" t="s">
        <v>72</v>
      </c>
      <c r="D1462" s="2" t="s">
        <v>73</v>
      </c>
      <c r="E1462" s="2"/>
      <c r="F1462" s="2">
        <v>425</v>
      </c>
      <c r="G1462" s="2" t="s">
        <v>286</v>
      </c>
      <c r="H1462" s="2">
        <v>39</v>
      </c>
      <c r="I1462" s="2" t="s">
        <v>1117</v>
      </c>
      <c r="J1462" s="2">
        <v>310</v>
      </c>
      <c r="K1462" s="2" t="s">
        <v>288</v>
      </c>
      <c r="L1462" s="2" t="s">
        <v>289</v>
      </c>
      <c r="M1462" s="3">
        <v>40278</v>
      </c>
      <c r="N1462" s="2" t="s">
        <v>2049</v>
      </c>
      <c r="O1462" s="2"/>
      <c r="P1462" s="2"/>
      <c r="Q1462" s="2" t="str">
        <f>"040/10"</f>
        <v>040/10</v>
      </c>
      <c r="R1462" s="2"/>
      <c r="S1462" s="2" t="s">
        <v>822</v>
      </c>
      <c r="T1462" s="2">
        <v>1</v>
      </c>
      <c r="U1462" s="2" t="s">
        <v>79</v>
      </c>
      <c r="V1462" s="2">
        <v>1</v>
      </c>
      <c r="W1462" s="2" t="s">
        <v>80</v>
      </c>
      <c r="X1462" s="2">
        <v>5</v>
      </c>
      <c r="Y1462" s="2" t="s">
        <v>82</v>
      </c>
      <c r="Z1462" s="2">
        <v>10</v>
      </c>
      <c r="AA1462" s="2" t="s">
        <v>236</v>
      </c>
      <c r="AB1462" s="2">
        <v>6</v>
      </c>
      <c r="AC1462" s="2" t="s">
        <v>83</v>
      </c>
      <c r="AD1462" s="3">
        <v>40278</v>
      </c>
      <c r="AE1462" s="4">
        <v>0.44444444444444442</v>
      </c>
      <c r="AF1462" s="3">
        <v>40278</v>
      </c>
      <c r="AG1462" s="4">
        <v>0.47916666666666669</v>
      </c>
      <c r="AH1462" s="2">
        <v>4</v>
      </c>
      <c r="AI1462" s="2" t="s">
        <v>125</v>
      </c>
      <c r="AJ1462" s="2">
        <v>29</v>
      </c>
      <c r="AK1462" s="2" t="s">
        <v>227</v>
      </c>
      <c r="AL1462" s="2">
        <v>10</v>
      </c>
      <c r="AM1462" s="2" t="s">
        <v>200</v>
      </c>
      <c r="AN1462" s="2"/>
      <c r="AO1462" s="2"/>
      <c r="AP1462" s="2">
        <v>11</v>
      </c>
      <c r="AQ1462" s="2" t="s">
        <v>82</v>
      </c>
      <c r="AR1462" s="2"/>
      <c r="AS1462" s="2"/>
      <c r="AT1462" s="2" t="s">
        <v>5385</v>
      </c>
      <c r="AU1462" s="2"/>
      <c r="AV1462" s="2"/>
      <c r="AW1462" s="2"/>
      <c r="AX1462" s="2"/>
      <c r="AY1462" s="2">
        <v>41</v>
      </c>
      <c r="AZ1462" s="2" t="s">
        <v>82</v>
      </c>
      <c r="BA1462" s="2">
        <v>41</v>
      </c>
      <c r="BB1462" s="2" t="s">
        <v>82</v>
      </c>
      <c r="BC1462" s="2">
        <v>41</v>
      </c>
      <c r="BD1462" s="2" t="s">
        <v>82</v>
      </c>
      <c r="BE1462" s="2">
        <v>4</v>
      </c>
      <c r="BF1462" s="2" t="s">
        <v>90</v>
      </c>
      <c r="BG1462" s="2">
        <v>4110</v>
      </c>
      <c r="BH1462" s="4">
        <v>0.44444444444444442</v>
      </c>
      <c r="BI1462" s="4">
        <v>0.46527777777777773</v>
      </c>
      <c r="BJ1462" s="2">
        <v>13</v>
      </c>
      <c r="BK1462" s="2" t="s">
        <v>91</v>
      </c>
      <c r="BL1462" s="2" t="s">
        <v>185</v>
      </c>
      <c r="BM1462" s="2">
        <v>241</v>
      </c>
      <c r="BN1462" s="2" t="s">
        <v>82</v>
      </c>
      <c r="BO1462" s="2" t="s">
        <v>82</v>
      </c>
      <c r="BP1462" s="2">
        <v>13</v>
      </c>
      <c r="BQ1462" s="2" t="s">
        <v>91</v>
      </c>
      <c r="BR1462" s="2" t="s">
        <v>828</v>
      </c>
      <c r="BS1462" s="3">
        <v>40278</v>
      </c>
      <c r="BT1462" s="4">
        <v>0.63673611111111106</v>
      </c>
    </row>
    <row r="1463" spans="1:72" x14ac:dyDescent="0.25">
      <c r="A1463" s="2">
        <v>2165</v>
      </c>
      <c r="B1463" s="2">
        <v>2010</v>
      </c>
      <c r="C1463" s="2" t="s">
        <v>1559</v>
      </c>
      <c r="D1463" s="2" t="s">
        <v>73</v>
      </c>
      <c r="E1463" s="2"/>
      <c r="F1463" s="2">
        <v>1</v>
      </c>
      <c r="G1463" s="2" t="s">
        <v>82</v>
      </c>
      <c r="H1463" s="2">
        <v>1</v>
      </c>
      <c r="I1463" s="2" t="s">
        <v>82</v>
      </c>
      <c r="J1463" s="2">
        <v>1</v>
      </c>
      <c r="K1463" s="2" t="s">
        <v>107</v>
      </c>
      <c r="L1463" s="2" t="s">
        <v>107</v>
      </c>
      <c r="M1463" s="3">
        <v>40278</v>
      </c>
      <c r="N1463" s="2"/>
      <c r="O1463" s="2"/>
      <c r="P1463" s="2"/>
      <c r="Q1463" s="2" t="str">
        <f>""</f>
        <v/>
      </c>
      <c r="R1463" s="2"/>
      <c r="S1463" s="2"/>
      <c r="T1463" s="2">
        <v>1</v>
      </c>
      <c r="U1463" s="2" t="s">
        <v>79</v>
      </c>
      <c r="V1463" s="2">
        <v>1</v>
      </c>
      <c r="W1463" s="2" t="s">
        <v>80</v>
      </c>
      <c r="X1463" s="2">
        <v>4</v>
      </c>
      <c r="Y1463" s="2" t="s">
        <v>463</v>
      </c>
      <c r="Z1463" s="2">
        <v>1</v>
      </c>
      <c r="AA1463" s="2" t="s">
        <v>82</v>
      </c>
      <c r="AB1463" s="2">
        <v>9</v>
      </c>
      <c r="AC1463" s="2" t="s">
        <v>124</v>
      </c>
      <c r="AD1463" s="3">
        <v>40278</v>
      </c>
      <c r="AE1463" s="4">
        <v>0.70833333333333337</v>
      </c>
      <c r="AF1463" s="2"/>
      <c r="AG1463" s="2"/>
      <c r="AH1463" s="2">
        <v>6</v>
      </c>
      <c r="AI1463" s="2" t="s">
        <v>197</v>
      </c>
      <c r="AJ1463" s="2">
        <v>58</v>
      </c>
      <c r="AK1463" s="2" t="s">
        <v>406</v>
      </c>
      <c r="AL1463" s="2">
        <v>18</v>
      </c>
      <c r="AM1463" s="2" t="s">
        <v>82</v>
      </c>
      <c r="AN1463" s="2" t="s">
        <v>163</v>
      </c>
      <c r="AO1463" s="2" t="s">
        <v>1971</v>
      </c>
      <c r="AP1463" s="2">
        <v>11</v>
      </c>
      <c r="AQ1463" s="2" t="s">
        <v>82</v>
      </c>
      <c r="AR1463" s="2"/>
      <c r="AS1463" s="2"/>
      <c r="AT1463" s="2" t="s">
        <v>5386</v>
      </c>
      <c r="AU1463" s="2"/>
      <c r="AV1463" s="2"/>
      <c r="AW1463" s="2"/>
      <c r="AX1463" s="2"/>
      <c r="AY1463" s="2">
        <v>41</v>
      </c>
      <c r="AZ1463" s="2" t="s">
        <v>82</v>
      </c>
      <c r="BA1463" s="2">
        <v>41</v>
      </c>
      <c r="BB1463" s="2" t="s">
        <v>82</v>
      </c>
      <c r="BC1463" s="2">
        <v>41</v>
      </c>
      <c r="BD1463" s="2" t="s">
        <v>82</v>
      </c>
      <c r="BE1463" s="2">
        <v>13</v>
      </c>
      <c r="BF1463" s="2" t="s">
        <v>108</v>
      </c>
      <c r="BG1463" s="2">
        <v>1881</v>
      </c>
      <c r="BH1463" s="4">
        <v>0.67361111111111116</v>
      </c>
      <c r="BI1463" s="4">
        <v>0.70833333333333337</v>
      </c>
      <c r="BJ1463" s="2">
        <v>13</v>
      </c>
      <c r="BK1463" s="2" t="s">
        <v>91</v>
      </c>
      <c r="BL1463" s="2" t="s">
        <v>492</v>
      </c>
      <c r="BM1463" s="2">
        <v>241</v>
      </c>
      <c r="BN1463" s="2" t="s">
        <v>82</v>
      </c>
      <c r="BO1463" s="2"/>
      <c r="BP1463" s="2">
        <v>13</v>
      </c>
      <c r="BQ1463" s="2" t="s">
        <v>91</v>
      </c>
      <c r="BR1463" s="2" t="s">
        <v>170</v>
      </c>
      <c r="BS1463" s="3">
        <v>40278</v>
      </c>
      <c r="BT1463" s="4">
        <v>0.77923611111111113</v>
      </c>
    </row>
    <row r="1464" spans="1:72" x14ac:dyDescent="0.25">
      <c r="A1464" s="2">
        <v>2166</v>
      </c>
      <c r="B1464" s="2">
        <v>2010</v>
      </c>
      <c r="C1464" s="2" t="s">
        <v>4543</v>
      </c>
      <c r="D1464" s="2" t="s">
        <v>122</v>
      </c>
      <c r="E1464" s="2"/>
      <c r="F1464" s="2">
        <v>1</v>
      </c>
      <c r="G1464" s="2" t="s">
        <v>82</v>
      </c>
      <c r="H1464" s="2">
        <v>1</v>
      </c>
      <c r="I1464" s="2" t="s">
        <v>82</v>
      </c>
      <c r="J1464" s="2">
        <v>1</v>
      </c>
      <c r="K1464" s="2" t="s">
        <v>107</v>
      </c>
      <c r="L1464" s="2" t="s">
        <v>107</v>
      </c>
      <c r="M1464" s="3">
        <v>40278</v>
      </c>
      <c r="N1464" s="2" t="s">
        <v>82</v>
      </c>
      <c r="O1464" s="2" t="s">
        <v>82</v>
      </c>
      <c r="P1464" s="2" t="s">
        <v>82</v>
      </c>
      <c r="Q1464" s="2" t="str">
        <f>"N/C"</f>
        <v>N/C</v>
      </c>
      <c r="R1464" s="2" t="s">
        <v>82</v>
      </c>
      <c r="S1464" s="2" t="s">
        <v>82</v>
      </c>
      <c r="T1464" s="2">
        <v>2</v>
      </c>
      <c r="U1464" s="2" t="s">
        <v>123</v>
      </c>
      <c r="V1464" s="2">
        <v>1</v>
      </c>
      <c r="W1464" s="2" t="s">
        <v>80</v>
      </c>
      <c r="X1464" s="2">
        <v>4</v>
      </c>
      <c r="Y1464" s="2" t="s">
        <v>463</v>
      </c>
      <c r="Z1464" s="2">
        <v>24</v>
      </c>
      <c r="AA1464" s="2" t="s">
        <v>5387</v>
      </c>
      <c r="AB1464" s="2">
        <v>9</v>
      </c>
      <c r="AC1464" s="2" t="s">
        <v>124</v>
      </c>
      <c r="AD1464" s="3">
        <v>40278</v>
      </c>
      <c r="AE1464" s="4">
        <v>0.82638888888888884</v>
      </c>
      <c r="AF1464" s="2"/>
      <c r="AG1464" s="2"/>
      <c r="AH1464" s="2">
        <v>2</v>
      </c>
      <c r="AI1464" s="2" t="s">
        <v>84</v>
      </c>
      <c r="AJ1464" s="2">
        <v>12</v>
      </c>
      <c r="AK1464" s="2" t="s">
        <v>85</v>
      </c>
      <c r="AL1464" s="2">
        <v>2</v>
      </c>
      <c r="AM1464" s="2" t="s">
        <v>163</v>
      </c>
      <c r="AN1464" s="2" t="s">
        <v>514</v>
      </c>
      <c r="AO1464" s="2" t="s">
        <v>5388</v>
      </c>
      <c r="AP1464" s="2">
        <v>11</v>
      </c>
      <c r="AQ1464" s="2" t="s">
        <v>82</v>
      </c>
      <c r="AR1464" s="2" t="s">
        <v>82</v>
      </c>
      <c r="AS1464" s="2" t="s">
        <v>82</v>
      </c>
      <c r="AT1464" s="2" t="s">
        <v>5389</v>
      </c>
      <c r="AU1464" s="2"/>
      <c r="AV1464" s="2"/>
      <c r="AW1464" s="2"/>
      <c r="AX1464" s="2"/>
      <c r="AY1464" s="2">
        <v>41</v>
      </c>
      <c r="AZ1464" s="2" t="s">
        <v>82</v>
      </c>
      <c r="BA1464" s="2">
        <v>41</v>
      </c>
      <c r="BB1464" s="2" t="s">
        <v>82</v>
      </c>
      <c r="BC1464" s="2">
        <v>41</v>
      </c>
      <c r="BD1464" s="2" t="s">
        <v>82</v>
      </c>
      <c r="BE1464" s="2">
        <v>13</v>
      </c>
      <c r="BF1464" s="2" t="s">
        <v>108</v>
      </c>
      <c r="BG1464" s="2">
        <v>1708</v>
      </c>
      <c r="BH1464" s="4">
        <v>0.82638888888888884</v>
      </c>
      <c r="BI1464" s="4">
        <v>0.88541666666666663</v>
      </c>
      <c r="BJ1464" s="2">
        <v>13</v>
      </c>
      <c r="BK1464" s="2" t="s">
        <v>91</v>
      </c>
      <c r="BL1464" s="2" t="s">
        <v>492</v>
      </c>
      <c r="BM1464" s="2">
        <v>13</v>
      </c>
      <c r="BN1464" s="2" t="s">
        <v>91</v>
      </c>
      <c r="BO1464" s="2" t="s">
        <v>185</v>
      </c>
      <c r="BP1464" s="2">
        <v>13</v>
      </c>
      <c r="BQ1464" s="2" t="s">
        <v>91</v>
      </c>
      <c r="BR1464" s="2" t="s">
        <v>4062</v>
      </c>
      <c r="BS1464" s="3">
        <v>40278</v>
      </c>
      <c r="BT1464" s="4">
        <v>0.95223379629629623</v>
      </c>
    </row>
    <row r="1465" spans="1:72" x14ac:dyDescent="0.25">
      <c r="A1465" s="2">
        <v>2167</v>
      </c>
      <c r="B1465" s="2">
        <v>2010</v>
      </c>
      <c r="C1465" s="2" t="s">
        <v>377</v>
      </c>
      <c r="D1465" s="2" t="s">
        <v>73</v>
      </c>
      <c r="E1465" s="2"/>
      <c r="F1465" s="2">
        <v>125</v>
      </c>
      <c r="G1465" s="2" t="s">
        <v>1483</v>
      </c>
      <c r="H1465" s="2">
        <v>49</v>
      </c>
      <c r="I1465" s="2" t="s">
        <v>1484</v>
      </c>
      <c r="J1465" s="2">
        <v>139</v>
      </c>
      <c r="K1465" s="2" t="s">
        <v>1485</v>
      </c>
      <c r="L1465" s="2" t="s">
        <v>1486</v>
      </c>
      <c r="M1465" s="3">
        <v>40278</v>
      </c>
      <c r="N1465" s="2" t="s">
        <v>5390</v>
      </c>
      <c r="O1465" s="2"/>
      <c r="P1465" s="2" t="s">
        <v>82</v>
      </c>
      <c r="Q1465" s="2" t="str">
        <f>"Nº 0013/2010"</f>
        <v>Nº 0013/2010</v>
      </c>
      <c r="R1465" s="2"/>
      <c r="S1465" s="2" t="s">
        <v>5391</v>
      </c>
      <c r="T1465" s="2">
        <v>1</v>
      </c>
      <c r="U1465" s="2" t="s">
        <v>79</v>
      </c>
      <c r="V1465" s="2">
        <v>1</v>
      </c>
      <c r="W1465" s="2" t="s">
        <v>80</v>
      </c>
      <c r="X1465" s="2">
        <v>1</v>
      </c>
      <c r="Y1465" s="2" t="s">
        <v>81</v>
      </c>
      <c r="Z1465" s="2">
        <v>10</v>
      </c>
      <c r="AA1465" s="2" t="s">
        <v>236</v>
      </c>
      <c r="AB1465" s="2">
        <v>9</v>
      </c>
      <c r="AC1465" s="2" t="s">
        <v>124</v>
      </c>
      <c r="AD1465" s="3">
        <v>40278</v>
      </c>
      <c r="AE1465" s="4">
        <v>0.8041666666666667</v>
      </c>
      <c r="AF1465" s="2"/>
      <c r="AG1465" s="2"/>
      <c r="AH1465" s="2">
        <v>6</v>
      </c>
      <c r="AI1465" s="2" t="s">
        <v>197</v>
      </c>
      <c r="AJ1465" s="2">
        <v>61</v>
      </c>
      <c r="AK1465" s="2" t="s">
        <v>686</v>
      </c>
      <c r="AL1465" s="2">
        <v>18</v>
      </c>
      <c r="AM1465" s="2" t="s">
        <v>82</v>
      </c>
      <c r="AN1465" s="2"/>
      <c r="AO1465" s="2" t="s">
        <v>3073</v>
      </c>
      <c r="AP1465" s="2">
        <v>11</v>
      </c>
      <c r="AQ1465" s="2" t="s">
        <v>82</v>
      </c>
      <c r="AR1465" s="2"/>
      <c r="AS1465" s="2"/>
      <c r="AT1465" s="2" t="s">
        <v>5392</v>
      </c>
      <c r="AU1465" s="2"/>
      <c r="AV1465" s="2"/>
      <c r="AW1465" s="2"/>
      <c r="AX1465" s="2"/>
      <c r="AY1465" s="2">
        <v>41</v>
      </c>
      <c r="AZ1465" s="2" t="s">
        <v>82</v>
      </c>
      <c r="BA1465" s="2">
        <v>41</v>
      </c>
      <c r="BB1465" s="2" t="s">
        <v>82</v>
      </c>
      <c r="BC1465" s="2">
        <v>41</v>
      </c>
      <c r="BD1465" s="2" t="s">
        <v>82</v>
      </c>
      <c r="BE1465" s="2">
        <v>13</v>
      </c>
      <c r="BF1465" s="2" t="s">
        <v>108</v>
      </c>
      <c r="BG1465" s="2">
        <v>2849</v>
      </c>
      <c r="BH1465" s="4">
        <v>0.76874999999999993</v>
      </c>
      <c r="BI1465" s="4">
        <v>0.8041666666666667</v>
      </c>
      <c r="BJ1465" s="2">
        <v>241</v>
      </c>
      <c r="BK1465" s="2" t="s">
        <v>82</v>
      </c>
      <c r="BL1465" s="2"/>
      <c r="BM1465" s="2">
        <v>241</v>
      </c>
      <c r="BN1465" s="2" t="s">
        <v>82</v>
      </c>
      <c r="BO1465" s="2"/>
      <c r="BP1465" s="2">
        <v>241</v>
      </c>
      <c r="BQ1465" s="2" t="s">
        <v>82</v>
      </c>
      <c r="BR1465" s="2"/>
      <c r="BS1465" s="3">
        <v>40278</v>
      </c>
      <c r="BT1465" s="4">
        <v>0.99593750000000003</v>
      </c>
    </row>
    <row r="1466" spans="1:72" x14ac:dyDescent="0.25">
      <c r="A1466" s="2">
        <v>2168</v>
      </c>
      <c r="B1466" s="2">
        <v>2010</v>
      </c>
      <c r="C1466" s="2" t="s">
        <v>93</v>
      </c>
      <c r="D1466" s="2" t="s">
        <v>73</v>
      </c>
      <c r="E1466" s="2"/>
      <c r="F1466" s="2">
        <v>596</v>
      </c>
      <c r="G1466" s="2" t="s">
        <v>5393</v>
      </c>
      <c r="H1466" s="2">
        <v>2</v>
      </c>
      <c r="I1466" s="2" t="s">
        <v>267</v>
      </c>
      <c r="J1466" s="2">
        <v>335</v>
      </c>
      <c r="K1466" s="2" t="s">
        <v>2804</v>
      </c>
      <c r="L1466" s="2" t="s">
        <v>3947</v>
      </c>
      <c r="M1466" s="3">
        <v>40279</v>
      </c>
      <c r="N1466" s="2" t="s">
        <v>5394</v>
      </c>
      <c r="O1466" s="2" t="s">
        <v>5395</v>
      </c>
      <c r="P1466" s="2"/>
      <c r="Q1466" s="2" t="str">
        <f>"REGISTRO PSA 1755"</f>
        <v>REGISTRO PSA 1755</v>
      </c>
      <c r="R1466" s="2"/>
      <c r="S1466" s="2"/>
      <c r="T1466" s="2">
        <v>1</v>
      </c>
      <c r="U1466" s="2" t="s">
        <v>79</v>
      </c>
      <c r="V1466" s="2">
        <v>1</v>
      </c>
      <c r="W1466" s="2" t="s">
        <v>80</v>
      </c>
      <c r="X1466" s="2">
        <v>1</v>
      </c>
      <c r="Y1466" s="2" t="s">
        <v>81</v>
      </c>
      <c r="Z1466" s="2">
        <v>1</v>
      </c>
      <c r="AA1466" s="2" t="s">
        <v>82</v>
      </c>
      <c r="AB1466" s="2">
        <v>2</v>
      </c>
      <c r="AC1466" s="2" t="s">
        <v>102</v>
      </c>
      <c r="AD1466" s="3">
        <v>40279</v>
      </c>
      <c r="AE1466" s="4">
        <v>0.375</v>
      </c>
      <c r="AF1466" s="2"/>
      <c r="AG1466" s="2"/>
      <c r="AH1466" s="2">
        <v>2</v>
      </c>
      <c r="AI1466" s="2" t="s">
        <v>84</v>
      </c>
      <c r="AJ1466" s="2">
        <v>9</v>
      </c>
      <c r="AK1466" s="2" t="s">
        <v>103</v>
      </c>
      <c r="AL1466" s="2">
        <v>14</v>
      </c>
      <c r="AM1466" s="2" t="s">
        <v>216</v>
      </c>
      <c r="AN1466" s="2" t="s">
        <v>5396</v>
      </c>
      <c r="AO1466" s="2" t="s">
        <v>5397</v>
      </c>
      <c r="AP1466" s="2">
        <v>11</v>
      </c>
      <c r="AQ1466" s="2" t="s">
        <v>82</v>
      </c>
      <c r="AR1466" s="2"/>
      <c r="AS1466" s="2"/>
      <c r="AT1466" s="2" t="s">
        <v>5398</v>
      </c>
      <c r="AU1466" s="2"/>
      <c r="AV1466" s="2"/>
      <c r="AW1466" s="2"/>
      <c r="AX1466" s="2"/>
      <c r="AY1466" s="2">
        <v>41</v>
      </c>
      <c r="AZ1466" s="2" t="s">
        <v>82</v>
      </c>
      <c r="BA1466" s="2">
        <v>41</v>
      </c>
      <c r="BB1466" s="2" t="s">
        <v>82</v>
      </c>
      <c r="BC1466" s="2">
        <v>41</v>
      </c>
      <c r="BD1466" s="2" t="s">
        <v>82</v>
      </c>
      <c r="BE1466" s="2">
        <v>38</v>
      </c>
      <c r="BF1466" s="2" t="s">
        <v>221</v>
      </c>
      <c r="BG1466" s="2" t="s">
        <v>5399</v>
      </c>
      <c r="BH1466" s="4">
        <v>0</v>
      </c>
      <c r="BI1466" s="4">
        <v>0.27083333333333331</v>
      </c>
      <c r="BJ1466" s="2">
        <v>13</v>
      </c>
      <c r="BK1466" s="2" t="s">
        <v>91</v>
      </c>
      <c r="BL1466" s="2" t="s">
        <v>1801</v>
      </c>
      <c r="BM1466" s="2">
        <v>241</v>
      </c>
      <c r="BN1466" s="2" t="s">
        <v>82</v>
      </c>
      <c r="BO1466" s="2"/>
      <c r="BP1466" s="2">
        <v>173</v>
      </c>
      <c r="BQ1466" s="2" t="s">
        <v>223</v>
      </c>
      <c r="BR1466" s="2" t="s">
        <v>224</v>
      </c>
      <c r="BS1466" s="3">
        <v>40279</v>
      </c>
      <c r="BT1466" s="4">
        <v>0.44405092592592593</v>
      </c>
    </row>
    <row r="1467" spans="1:72" x14ac:dyDescent="0.25">
      <c r="A1467" s="2">
        <v>2169</v>
      </c>
      <c r="B1467" s="2">
        <v>2010</v>
      </c>
      <c r="C1467" s="2" t="s">
        <v>819</v>
      </c>
      <c r="D1467" s="2" t="s">
        <v>73</v>
      </c>
      <c r="E1467" s="2"/>
      <c r="F1467" s="2">
        <v>310</v>
      </c>
      <c r="G1467" s="2" t="s">
        <v>3186</v>
      </c>
      <c r="H1467" s="2">
        <v>2</v>
      </c>
      <c r="I1467" s="2" t="s">
        <v>267</v>
      </c>
      <c r="J1467" s="2">
        <v>371</v>
      </c>
      <c r="K1467" s="2" t="s">
        <v>1138</v>
      </c>
      <c r="L1467" s="2" t="s">
        <v>1139</v>
      </c>
      <c r="M1467" s="3">
        <v>40279</v>
      </c>
      <c r="N1467" s="2" t="s">
        <v>5400</v>
      </c>
      <c r="O1467" s="2"/>
      <c r="P1467" s="2"/>
      <c r="Q1467" s="2" t="str">
        <f>"042/10"</f>
        <v>042/10</v>
      </c>
      <c r="R1467" s="2" t="s">
        <v>2003</v>
      </c>
      <c r="S1467" s="2"/>
      <c r="T1467" s="2">
        <v>1</v>
      </c>
      <c r="U1467" s="2" t="s">
        <v>79</v>
      </c>
      <c r="V1467" s="2">
        <v>1</v>
      </c>
      <c r="W1467" s="2" t="s">
        <v>80</v>
      </c>
      <c r="X1467" s="2">
        <v>1</v>
      </c>
      <c r="Y1467" s="2" t="s">
        <v>81</v>
      </c>
      <c r="Z1467" s="2">
        <v>1</v>
      </c>
      <c r="AA1467" s="2" t="s">
        <v>82</v>
      </c>
      <c r="AB1467" s="2">
        <v>9</v>
      </c>
      <c r="AC1467" s="2" t="s">
        <v>124</v>
      </c>
      <c r="AD1467" s="3">
        <v>40279</v>
      </c>
      <c r="AE1467" s="4">
        <v>0.41666666666666669</v>
      </c>
      <c r="AF1467" s="2"/>
      <c r="AG1467" s="2"/>
      <c r="AH1467" s="2">
        <v>5</v>
      </c>
      <c r="AI1467" s="2" t="s">
        <v>274</v>
      </c>
      <c r="AJ1467" s="2">
        <v>38</v>
      </c>
      <c r="AK1467" s="2" t="s">
        <v>1120</v>
      </c>
      <c r="AL1467" s="2">
        <v>8</v>
      </c>
      <c r="AM1467" s="2" t="s">
        <v>179</v>
      </c>
      <c r="AN1467" s="2"/>
      <c r="AO1467" s="2"/>
      <c r="AP1467" s="2">
        <v>11</v>
      </c>
      <c r="AQ1467" s="2" t="s">
        <v>82</v>
      </c>
      <c r="AR1467" s="2"/>
      <c r="AS1467" s="2"/>
      <c r="AT1467" s="2" t="s">
        <v>5401</v>
      </c>
      <c r="AU1467" s="2"/>
      <c r="AV1467" s="2"/>
      <c r="AW1467" s="2"/>
      <c r="AX1467" s="2"/>
      <c r="AY1467" s="2">
        <v>41</v>
      </c>
      <c r="AZ1467" s="2" t="s">
        <v>82</v>
      </c>
      <c r="BA1467" s="2">
        <v>41</v>
      </c>
      <c r="BB1467" s="2" t="s">
        <v>82</v>
      </c>
      <c r="BC1467" s="2">
        <v>41</v>
      </c>
      <c r="BD1467" s="2" t="s">
        <v>82</v>
      </c>
      <c r="BE1467" s="2">
        <v>13</v>
      </c>
      <c r="BF1467" s="2" t="s">
        <v>108</v>
      </c>
      <c r="BG1467" s="2">
        <v>2721</v>
      </c>
      <c r="BH1467" s="4">
        <v>0.40972222222222227</v>
      </c>
      <c r="BI1467" s="4">
        <v>0.4375</v>
      </c>
      <c r="BJ1467" s="2">
        <v>13</v>
      </c>
      <c r="BK1467" s="2" t="s">
        <v>91</v>
      </c>
      <c r="BL1467" s="2" t="s">
        <v>5402</v>
      </c>
      <c r="BM1467" s="2">
        <v>241</v>
      </c>
      <c r="BN1467" s="2" t="s">
        <v>82</v>
      </c>
      <c r="BO1467" s="2" t="s">
        <v>82</v>
      </c>
      <c r="BP1467" s="2">
        <v>13</v>
      </c>
      <c r="BQ1467" s="2" t="s">
        <v>91</v>
      </c>
      <c r="BR1467" s="2" t="s">
        <v>170</v>
      </c>
      <c r="BS1467" s="3">
        <v>40279</v>
      </c>
      <c r="BT1467" s="4">
        <v>0.53332175925925929</v>
      </c>
    </row>
    <row r="1468" spans="1:72" x14ac:dyDescent="0.25">
      <c r="A1468" s="2">
        <v>2170</v>
      </c>
      <c r="B1468" s="2">
        <v>2010</v>
      </c>
      <c r="C1468" s="2" t="s">
        <v>2219</v>
      </c>
      <c r="D1468" s="2" t="s">
        <v>73</v>
      </c>
      <c r="E1468" s="2"/>
      <c r="F1468" s="2">
        <v>144</v>
      </c>
      <c r="G1468" s="2" t="s">
        <v>537</v>
      </c>
      <c r="H1468" s="2">
        <v>22</v>
      </c>
      <c r="I1468" s="2" t="s">
        <v>75</v>
      </c>
      <c r="J1468" s="2">
        <v>160</v>
      </c>
      <c r="K1468" s="2" t="s">
        <v>538</v>
      </c>
      <c r="L1468" s="2" t="s">
        <v>539</v>
      </c>
      <c r="M1468" s="3">
        <v>40279</v>
      </c>
      <c r="N1468" s="2" t="s">
        <v>5403</v>
      </c>
      <c r="O1468" s="2" t="s">
        <v>107</v>
      </c>
      <c r="P1468" s="2" t="s">
        <v>107</v>
      </c>
      <c r="Q1468" s="2" t="str">
        <f>"AP0017/10"</f>
        <v>AP0017/10</v>
      </c>
      <c r="R1468" s="2" t="s">
        <v>5404</v>
      </c>
      <c r="S1468" s="2" t="s">
        <v>5405</v>
      </c>
      <c r="T1468" s="2">
        <v>1</v>
      </c>
      <c r="U1468" s="2" t="s">
        <v>79</v>
      </c>
      <c r="V1468" s="2">
        <v>1</v>
      </c>
      <c r="W1468" s="2" t="s">
        <v>80</v>
      </c>
      <c r="X1468" s="2">
        <v>1</v>
      </c>
      <c r="Y1468" s="2" t="s">
        <v>81</v>
      </c>
      <c r="Z1468" s="2">
        <v>1</v>
      </c>
      <c r="AA1468" s="2" t="s">
        <v>82</v>
      </c>
      <c r="AB1468" s="2">
        <v>9</v>
      </c>
      <c r="AC1468" s="2" t="s">
        <v>124</v>
      </c>
      <c r="AD1468" s="3">
        <v>40279</v>
      </c>
      <c r="AE1468" s="4">
        <v>0.47916666666666669</v>
      </c>
      <c r="AF1468" s="2"/>
      <c r="AG1468" s="2"/>
      <c r="AH1468" s="2">
        <v>6</v>
      </c>
      <c r="AI1468" s="2" t="s">
        <v>197</v>
      </c>
      <c r="AJ1468" s="2">
        <v>60</v>
      </c>
      <c r="AK1468" s="2" t="s">
        <v>543</v>
      </c>
      <c r="AL1468" s="2">
        <v>9</v>
      </c>
      <c r="AM1468" s="2" t="s">
        <v>259</v>
      </c>
      <c r="AN1468" s="2"/>
      <c r="AO1468" s="2" t="s">
        <v>5406</v>
      </c>
      <c r="AP1468" s="2">
        <v>11</v>
      </c>
      <c r="AQ1468" s="2" t="s">
        <v>82</v>
      </c>
      <c r="AR1468" s="2" t="s">
        <v>82</v>
      </c>
      <c r="AS1468" s="2" t="s">
        <v>82</v>
      </c>
      <c r="AT1468" s="2" t="s">
        <v>5407</v>
      </c>
      <c r="AU1468" s="2"/>
      <c r="AV1468" s="2"/>
      <c r="AW1468" s="2"/>
      <c r="AX1468" s="2"/>
      <c r="AY1468" s="2">
        <v>41</v>
      </c>
      <c r="AZ1468" s="2" t="s">
        <v>82</v>
      </c>
      <c r="BA1468" s="2">
        <v>41</v>
      </c>
      <c r="BB1468" s="2" t="s">
        <v>82</v>
      </c>
      <c r="BC1468" s="2">
        <v>41</v>
      </c>
      <c r="BD1468" s="2" t="s">
        <v>82</v>
      </c>
      <c r="BE1468" s="2">
        <v>41</v>
      </c>
      <c r="BF1468" s="2" t="s">
        <v>82</v>
      </c>
      <c r="BG1468" s="2"/>
      <c r="BH1468" s="2"/>
      <c r="BI1468" s="2"/>
      <c r="BJ1468" s="2">
        <v>241</v>
      </c>
      <c r="BK1468" s="2" t="s">
        <v>82</v>
      </c>
      <c r="BL1468" s="2"/>
      <c r="BM1468" s="2">
        <v>241</v>
      </c>
      <c r="BN1468" s="2" t="s">
        <v>82</v>
      </c>
      <c r="BO1468" s="2"/>
      <c r="BP1468" s="2">
        <v>241</v>
      </c>
      <c r="BQ1468" s="2" t="s">
        <v>82</v>
      </c>
      <c r="BR1468" s="2"/>
      <c r="BS1468" s="3">
        <v>40279</v>
      </c>
      <c r="BT1468" s="4">
        <v>0.54500000000000004</v>
      </c>
    </row>
    <row r="1469" spans="1:72" x14ac:dyDescent="0.25">
      <c r="A1469" s="2">
        <v>2171</v>
      </c>
      <c r="B1469" s="2">
        <v>2010</v>
      </c>
      <c r="C1469" s="2" t="s">
        <v>72</v>
      </c>
      <c r="D1469" s="2" t="s">
        <v>73</v>
      </c>
      <c r="E1469" s="2"/>
      <c r="F1469" s="2">
        <v>3</v>
      </c>
      <c r="G1469" s="2" t="s">
        <v>1041</v>
      </c>
      <c r="H1469" s="2">
        <v>42</v>
      </c>
      <c r="I1469" s="2" t="s">
        <v>1096</v>
      </c>
      <c r="J1469" s="2">
        <v>368</v>
      </c>
      <c r="K1469" s="2" t="s">
        <v>1042</v>
      </c>
      <c r="L1469" s="2" t="s">
        <v>1043</v>
      </c>
      <c r="M1469" s="3">
        <v>40279</v>
      </c>
      <c r="N1469" s="2" t="s">
        <v>82</v>
      </c>
      <c r="O1469" s="2" t="s">
        <v>107</v>
      </c>
      <c r="P1469" s="2" t="s">
        <v>107</v>
      </c>
      <c r="Q1469" s="2" t="str">
        <f>"195-E/10"</f>
        <v>195-E/10</v>
      </c>
      <c r="R1469" s="2" t="s">
        <v>116</v>
      </c>
      <c r="S1469" s="2" t="s">
        <v>116</v>
      </c>
      <c r="T1469" s="2">
        <v>1</v>
      </c>
      <c r="U1469" s="2" t="s">
        <v>79</v>
      </c>
      <c r="V1469" s="2">
        <v>1</v>
      </c>
      <c r="W1469" s="2" t="s">
        <v>80</v>
      </c>
      <c r="X1469" s="2">
        <v>1</v>
      </c>
      <c r="Y1469" s="2" t="s">
        <v>81</v>
      </c>
      <c r="Z1469" s="2">
        <v>1</v>
      </c>
      <c r="AA1469" s="2" t="s">
        <v>82</v>
      </c>
      <c r="AB1469" s="2">
        <v>6</v>
      </c>
      <c r="AC1469" s="2" t="s">
        <v>83</v>
      </c>
      <c r="AD1469" s="3">
        <v>40279</v>
      </c>
      <c r="AE1469" s="4">
        <v>0.45833333333333331</v>
      </c>
      <c r="AF1469" s="3">
        <v>40279</v>
      </c>
      <c r="AG1469" s="4">
        <v>0.54166666666666663</v>
      </c>
      <c r="AH1469" s="2">
        <v>2</v>
      </c>
      <c r="AI1469" s="2" t="s">
        <v>84</v>
      </c>
      <c r="AJ1469" s="2">
        <v>9</v>
      </c>
      <c r="AK1469" s="2" t="s">
        <v>103</v>
      </c>
      <c r="AL1469" s="2">
        <v>12</v>
      </c>
      <c r="AM1469" s="2" t="s">
        <v>86</v>
      </c>
      <c r="AN1469" s="2" t="s">
        <v>5408</v>
      </c>
      <c r="AO1469" s="2" t="s">
        <v>5409</v>
      </c>
      <c r="AP1469" s="2">
        <v>11</v>
      </c>
      <c r="AQ1469" s="2" t="s">
        <v>82</v>
      </c>
      <c r="AR1469" s="2"/>
      <c r="AS1469" s="2"/>
      <c r="AT1469" s="2" t="s">
        <v>5410</v>
      </c>
      <c r="AU1469" s="2"/>
      <c r="AV1469" s="2"/>
      <c r="AW1469" s="2"/>
      <c r="AX1469" s="2"/>
      <c r="AY1469" s="2">
        <v>41</v>
      </c>
      <c r="AZ1469" s="2" t="s">
        <v>82</v>
      </c>
      <c r="BA1469" s="2">
        <v>41</v>
      </c>
      <c r="BB1469" s="2" t="s">
        <v>82</v>
      </c>
      <c r="BC1469" s="2">
        <v>41</v>
      </c>
      <c r="BD1469" s="2" t="s">
        <v>82</v>
      </c>
      <c r="BE1469" s="2">
        <v>2</v>
      </c>
      <c r="BF1469" s="2" t="s">
        <v>1232</v>
      </c>
      <c r="BG1469" s="2" t="s">
        <v>1371</v>
      </c>
      <c r="BH1469" s="2"/>
      <c r="BI1469" s="4">
        <v>0.625</v>
      </c>
      <c r="BJ1469" s="2">
        <v>13</v>
      </c>
      <c r="BK1469" s="2" t="s">
        <v>91</v>
      </c>
      <c r="BL1469" s="2" t="s">
        <v>185</v>
      </c>
      <c r="BM1469" s="2">
        <v>241</v>
      </c>
      <c r="BN1469" s="2" t="s">
        <v>82</v>
      </c>
      <c r="BO1469" s="2" t="s">
        <v>82</v>
      </c>
      <c r="BP1469" s="2">
        <v>114</v>
      </c>
      <c r="BQ1469" s="2" t="s">
        <v>4596</v>
      </c>
      <c r="BR1469" s="2" t="s">
        <v>5411</v>
      </c>
      <c r="BS1469" s="3">
        <v>40279</v>
      </c>
      <c r="BT1469" s="4">
        <v>0.6193981481481482</v>
      </c>
    </row>
    <row r="1470" spans="1:72" x14ac:dyDescent="0.25">
      <c r="A1470" s="2">
        <v>2172</v>
      </c>
      <c r="B1470" s="2">
        <v>2010</v>
      </c>
      <c r="C1470" s="2" t="s">
        <v>72</v>
      </c>
      <c r="D1470" s="2" t="s">
        <v>73</v>
      </c>
      <c r="E1470" s="2"/>
      <c r="F1470" s="2">
        <v>33</v>
      </c>
      <c r="G1470" s="2" t="s">
        <v>654</v>
      </c>
      <c r="H1470" s="2">
        <v>1</v>
      </c>
      <c r="I1470" s="2" t="s">
        <v>82</v>
      </c>
      <c r="J1470" s="2">
        <v>42</v>
      </c>
      <c r="K1470" s="2" t="s">
        <v>655</v>
      </c>
      <c r="L1470" s="2" t="s">
        <v>656</v>
      </c>
      <c r="M1470" s="3">
        <v>40279</v>
      </c>
      <c r="N1470" s="2"/>
      <c r="O1470" s="2"/>
      <c r="P1470" s="2"/>
      <c r="Q1470" s="2" t="str">
        <f>"008-M10"</f>
        <v>008-M10</v>
      </c>
      <c r="R1470" s="2" t="s">
        <v>78</v>
      </c>
      <c r="S1470" s="2" t="s">
        <v>78</v>
      </c>
      <c r="T1470" s="2">
        <v>1</v>
      </c>
      <c r="U1470" s="2" t="s">
        <v>79</v>
      </c>
      <c r="V1470" s="2">
        <v>1</v>
      </c>
      <c r="W1470" s="2" t="s">
        <v>80</v>
      </c>
      <c r="X1470" s="2">
        <v>5</v>
      </c>
      <c r="Y1470" s="2" t="s">
        <v>82</v>
      </c>
      <c r="Z1470" s="2">
        <v>3</v>
      </c>
      <c r="AA1470" s="2" t="s">
        <v>257</v>
      </c>
      <c r="AB1470" s="2">
        <v>6</v>
      </c>
      <c r="AC1470" s="2" t="s">
        <v>83</v>
      </c>
      <c r="AD1470" s="3">
        <v>40279</v>
      </c>
      <c r="AE1470" s="2"/>
      <c r="AF1470" s="3">
        <v>40279</v>
      </c>
      <c r="AG1470" s="4">
        <v>0.59722222222222221</v>
      </c>
      <c r="AH1470" s="2">
        <v>2</v>
      </c>
      <c r="AI1470" s="2" t="s">
        <v>84</v>
      </c>
      <c r="AJ1470" s="2">
        <v>8</v>
      </c>
      <c r="AK1470" s="2" t="s">
        <v>436</v>
      </c>
      <c r="AL1470" s="2">
        <v>9</v>
      </c>
      <c r="AM1470" s="2" t="s">
        <v>259</v>
      </c>
      <c r="AN1470" s="2"/>
      <c r="AO1470" s="2"/>
      <c r="AP1470" s="2">
        <v>11</v>
      </c>
      <c r="AQ1470" s="2" t="s">
        <v>82</v>
      </c>
      <c r="AR1470" s="2"/>
      <c r="AS1470" s="2"/>
      <c r="AT1470" s="2" t="s">
        <v>5412</v>
      </c>
      <c r="AU1470" s="2"/>
      <c r="AV1470" s="2"/>
      <c r="AW1470" s="2"/>
      <c r="AX1470" s="2"/>
      <c r="AY1470" s="2">
        <v>44</v>
      </c>
      <c r="AZ1470" s="2" t="s">
        <v>262</v>
      </c>
      <c r="BA1470" s="2">
        <v>44</v>
      </c>
      <c r="BB1470" s="2" t="s">
        <v>262</v>
      </c>
      <c r="BC1470" s="2">
        <v>1</v>
      </c>
      <c r="BD1470" s="2" t="s">
        <v>107</v>
      </c>
      <c r="BE1470" s="2">
        <v>44</v>
      </c>
      <c r="BF1470" s="2" t="s">
        <v>262</v>
      </c>
      <c r="BG1470" s="2"/>
      <c r="BH1470" s="2"/>
      <c r="BI1470" s="2"/>
      <c r="BJ1470" s="2">
        <v>241</v>
      </c>
      <c r="BK1470" s="2" t="s">
        <v>82</v>
      </c>
      <c r="BL1470" s="2"/>
      <c r="BM1470" s="2">
        <v>241</v>
      </c>
      <c r="BN1470" s="2" t="s">
        <v>82</v>
      </c>
      <c r="BO1470" s="2"/>
      <c r="BP1470" s="2">
        <v>241</v>
      </c>
      <c r="BQ1470" s="2" t="s">
        <v>82</v>
      </c>
      <c r="BR1470" s="2"/>
      <c r="BS1470" s="3">
        <v>40279</v>
      </c>
      <c r="BT1470" s="4">
        <v>0.70327546296296306</v>
      </c>
    </row>
    <row r="1471" spans="1:72" x14ac:dyDescent="0.25">
      <c r="A1471" s="2">
        <v>2173</v>
      </c>
      <c r="B1471" s="2">
        <v>2010</v>
      </c>
      <c r="C1471" s="2" t="s">
        <v>72</v>
      </c>
      <c r="D1471" s="2" t="s">
        <v>73</v>
      </c>
      <c r="E1471" s="2"/>
      <c r="F1471" s="2">
        <v>79</v>
      </c>
      <c r="G1471" s="2" t="s">
        <v>5413</v>
      </c>
      <c r="H1471" s="2">
        <v>42</v>
      </c>
      <c r="I1471" s="2" t="s">
        <v>1096</v>
      </c>
      <c r="J1471" s="2">
        <v>112</v>
      </c>
      <c r="K1471" s="2" t="s">
        <v>5414</v>
      </c>
      <c r="L1471" s="2" t="s">
        <v>2427</v>
      </c>
      <c r="M1471" s="3">
        <v>40279</v>
      </c>
      <c r="N1471" s="2" t="s">
        <v>5415</v>
      </c>
      <c r="O1471" s="2" t="s">
        <v>82</v>
      </c>
      <c r="P1471" s="2" t="s">
        <v>82</v>
      </c>
      <c r="Q1471" s="2" t="str">
        <f>"0005/10"</f>
        <v>0005/10</v>
      </c>
      <c r="R1471" s="2" t="s">
        <v>82</v>
      </c>
      <c r="S1471" s="2" t="s">
        <v>116</v>
      </c>
      <c r="T1471" s="2">
        <v>1</v>
      </c>
      <c r="U1471" s="2" t="s">
        <v>79</v>
      </c>
      <c r="V1471" s="2">
        <v>1</v>
      </c>
      <c r="W1471" s="2" t="s">
        <v>80</v>
      </c>
      <c r="X1471" s="2">
        <v>12</v>
      </c>
      <c r="Y1471" s="2" t="s">
        <v>148</v>
      </c>
      <c r="Z1471" s="2">
        <v>1</v>
      </c>
      <c r="AA1471" s="2" t="s">
        <v>82</v>
      </c>
      <c r="AB1471" s="2">
        <v>6</v>
      </c>
      <c r="AC1471" s="2" t="s">
        <v>83</v>
      </c>
      <c r="AD1471" s="3">
        <v>40279</v>
      </c>
      <c r="AE1471" s="4">
        <v>0.26041666666666669</v>
      </c>
      <c r="AF1471" s="3">
        <v>40279</v>
      </c>
      <c r="AG1471" s="4">
        <v>0.61458333333333337</v>
      </c>
      <c r="AH1471" s="2">
        <v>6</v>
      </c>
      <c r="AI1471" s="2" t="s">
        <v>197</v>
      </c>
      <c r="AJ1471" s="2">
        <v>51</v>
      </c>
      <c r="AK1471" s="2" t="s">
        <v>238</v>
      </c>
      <c r="AL1471" s="2">
        <v>29</v>
      </c>
      <c r="AM1471" s="2" t="s">
        <v>5416</v>
      </c>
      <c r="AN1471" s="2" t="s">
        <v>5417</v>
      </c>
      <c r="AO1471" s="2" t="s">
        <v>82</v>
      </c>
      <c r="AP1471" s="2">
        <v>11</v>
      </c>
      <c r="AQ1471" s="2" t="s">
        <v>82</v>
      </c>
      <c r="AR1471" s="2" t="s">
        <v>82</v>
      </c>
      <c r="AS1471" s="2" t="s">
        <v>82</v>
      </c>
      <c r="AT1471" s="2" t="s">
        <v>5418</v>
      </c>
      <c r="AU1471" s="2"/>
      <c r="AV1471" s="2"/>
      <c r="AW1471" s="2"/>
      <c r="AX1471" s="2"/>
      <c r="AY1471" s="2">
        <v>41</v>
      </c>
      <c r="AZ1471" s="2" t="s">
        <v>82</v>
      </c>
      <c r="BA1471" s="2">
        <v>111</v>
      </c>
      <c r="BB1471" s="2" t="s">
        <v>5419</v>
      </c>
      <c r="BC1471" s="2">
        <v>111</v>
      </c>
      <c r="BD1471" s="2" t="s">
        <v>5419</v>
      </c>
      <c r="BE1471" s="2">
        <v>41</v>
      </c>
      <c r="BF1471" s="2" t="s">
        <v>82</v>
      </c>
      <c r="BG1471" s="2" t="s">
        <v>82</v>
      </c>
      <c r="BH1471" s="2"/>
      <c r="BI1471" s="2"/>
      <c r="BJ1471" s="2">
        <v>241</v>
      </c>
      <c r="BK1471" s="2" t="s">
        <v>82</v>
      </c>
      <c r="BL1471" s="2" t="s">
        <v>82</v>
      </c>
      <c r="BM1471" s="2">
        <v>241</v>
      </c>
      <c r="BN1471" s="2" t="s">
        <v>82</v>
      </c>
      <c r="BO1471" s="2" t="s">
        <v>82</v>
      </c>
      <c r="BP1471" s="2">
        <v>241</v>
      </c>
      <c r="BQ1471" s="2" t="s">
        <v>82</v>
      </c>
      <c r="BR1471" s="2" t="s">
        <v>82</v>
      </c>
      <c r="BS1471" s="3">
        <v>40279</v>
      </c>
      <c r="BT1471" s="4">
        <v>0.70437500000000008</v>
      </c>
    </row>
    <row r="1472" spans="1:72" x14ac:dyDescent="0.25">
      <c r="A1472" s="2">
        <v>2174</v>
      </c>
      <c r="B1472" s="2">
        <v>2010</v>
      </c>
      <c r="C1472" s="2" t="s">
        <v>171</v>
      </c>
      <c r="D1472" s="2" t="s">
        <v>73</v>
      </c>
      <c r="E1472" s="2"/>
      <c r="F1472" s="2">
        <v>34</v>
      </c>
      <c r="G1472" s="2" t="s">
        <v>334</v>
      </c>
      <c r="H1472" s="2">
        <v>91</v>
      </c>
      <c r="I1472" s="2" t="s">
        <v>5420</v>
      </c>
      <c r="J1472" s="2">
        <v>43</v>
      </c>
      <c r="K1472" s="2" t="s">
        <v>2059</v>
      </c>
      <c r="L1472" s="2" t="s">
        <v>2060</v>
      </c>
      <c r="M1472" s="3">
        <v>40279</v>
      </c>
      <c r="N1472" s="2" t="s">
        <v>5421</v>
      </c>
      <c r="O1472" s="2" t="s">
        <v>5422</v>
      </c>
      <c r="P1472" s="2" t="s">
        <v>5423</v>
      </c>
      <c r="Q1472" s="2" t="str">
        <f>"17/10"</f>
        <v>17/10</v>
      </c>
      <c r="R1472" s="2" t="s">
        <v>5424</v>
      </c>
      <c r="S1472" s="2" t="s">
        <v>5425</v>
      </c>
      <c r="T1472" s="2">
        <v>1</v>
      </c>
      <c r="U1472" s="2" t="s">
        <v>79</v>
      </c>
      <c r="V1472" s="2">
        <v>1</v>
      </c>
      <c r="W1472" s="2" t="s">
        <v>80</v>
      </c>
      <c r="X1472" s="2">
        <v>3</v>
      </c>
      <c r="Y1472" s="2" t="s">
        <v>698</v>
      </c>
      <c r="Z1472" s="2">
        <v>2</v>
      </c>
      <c r="AA1472" s="2" t="s">
        <v>2148</v>
      </c>
      <c r="AB1472" s="2">
        <v>1</v>
      </c>
      <c r="AC1472" s="2" t="s">
        <v>178</v>
      </c>
      <c r="AD1472" s="3">
        <v>40279</v>
      </c>
      <c r="AE1472" s="4">
        <v>0.46180555555555558</v>
      </c>
      <c r="AF1472" s="2"/>
      <c r="AG1472" s="2"/>
      <c r="AH1472" s="2">
        <v>3</v>
      </c>
      <c r="AI1472" s="2" t="s">
        <v>214</v>
      </c>
      <c r="AJ1472" s="2">
        <v>17</v>
      </c>
      <c r="AK1472" s="2" t="s">
        <v>309</v>
      </c>
      <c r="AL1472" s="2">
        <v>12</v>
      </c>
      <c r="AM1472" s="2" t="s">
        <v>86</v>
      </c>
      <c r="AN1472" s="2" t="s">
        <v>5426</v>
      </c>
      <c r="AO1472" s="2" t="s">
        <v>5427</v>
      </c>
      <c r="AP1472" s="2">
        <v>11</v>
      </c>
      <c r="AQ1472" s="2" t="s">
        <v>82</v>
      </c>
      <c r="AR1472" s="2"/>
      <c r="AS1472" s="2"/>
      <c r="AT1472" s="2" t="s">
        <v>5428</v>
      </c>
      <c r="AU1472" s="2"/>
      <c r="AV1472" s="2">
        <v>1</v>
      </c>
      <c r="AW1472" s="2"/>
      <c r="AX1472" s="2"/>
      <c r="AY1472" s="2">
        <v>42</v>
      </c>
      <c r="AZ1472" s="2" t="s">
        <v>182</v>
      </c>
      <c r="BA1472" s="2">
        <v>70</v>
      </c>
      <c r="BB1472" s="2" t="s">
        <v>236</v>
      </c>
      <c r="BC1472" s="2">
        <v>42</v>
      </c>
      <c r="BD1472" s="2" t="s">
        <v>182</v>
      </c>
      <c r="BE1472" s="2">
        <v>17</v>
      </c>
      <c r="BF1472" s="2" t="s">
        <v>508</v>
      </c>
      <c r="BG1472" s="2">
        <v>931</v>
      </c>
      <c r="BH1472" s="4">
        <v>0.52083333333333337</v>
      </c>
      <c r="BI1472" s="4">
        <v>0.49305555555555558</v>
      </c>
      <c r="BJ1472" s="2">
        <v>13</v>
      </c>
      <c r="BK1472" s="2" t="s">
        <v>91</v>
      </c>
      <c r="BL1472" s="2" t="s">
        <v>445</v>
      </c>
      <c r="BM1472" s="2">
        <v>241</v>
      </c>
      <c r="BN1472" s="2" t="s">
        <v>82</v>
      </c>
      <c r="BO1472" s="2" t="s">
        <v>82</v>
      </c>
      <c r="BP1472" s="2">
        <v>46</v>
      </c>
      <c r="BQ1472" s="2" t="s">
        <v>307</v>
      </c>
      <c r="BR1472" s="2" t="s">
        <v>308</v>
      </c>
      <c r="BS1472" s="3">
        <v>40279</v>
      </c>
      <c r="BT1472" s="4">
        <v>0.71151620370370372</v>
      </c>
    </row>
    <row r="1473" spans="1:72" x14ac:dyDescent="0.25">
      <c r="A1473" s="2">
        <v>2175</v>
      </c>
      <c r="B1473" s="2">
        <v>2010</v>
      </c>
      <c r="C1473" s="2" t="s">
        <v>255</v>
      </c>
      <c r="D1473" s="2" t="s">
        <v>73</v>
      </c>
      <c r="E1473" s="2"/>
      <c r="F1473" s="2">
        <v>125</v>
      </c>
      <c r="G1473" s="2" t="s">
        <v>1483</v>
      </c>
      <c r="H1473" s="2">
        <v>42</v>
      </c>
      <c r="I1473" s="2" t="s">
        <v>1096</v>
      </c>
      <c r="J1473" s="2">
        <v>139</v>
      </c>
      <c r="K1473" s="2" t="s">
        <v>1485</v>
      </c>
      <c r="L1473" s="2" t="s">
        <v>1486</v>
      </c>
      <c r="M1473" s="3">
        <v>40279</v>
      </c>
      <c r="N1473" s="2" t="s">
        <v>5429</v>
      </c>
      <c r="O1473" s="2" t="s">
        <v>107</v>
      </c>
      <c r="P1473" s="2" t="s">
        <v>107</v>
      </c>
      <c r="Q1473" s="2" t="str">
        <f>"014/2010"</f>
        <v>014/2010</v>
      </c>
      <c r="R1473" s="2" t="s">
        <v>5430</v>
      </c>
      <c r="S1473" s="2" t="s">
        <v>5431</v>
      </c>
      <c r="T1473" s="2">
        <v>1</v>
      </c>
      <c r="U1473" s="2" t="s">
        <v>79</v>
      </c>
      <c r="V1473" s="2">
        <v>1</v>
      </c>
      <c r="W1473" s="2" t="s">
        <v>80</v>
      </c>
      <c r="X1473" s="2">
        <v>1</v>
      </c>
      <c r="Y1473" s="2" t="s">
        <v>81</v>
      </c>
      <c r="Z1473" s="2">
        <v>1</v>
      </c>
      <c r="AA1473" s="2" t="s">
        <v>82</v>
      </c>
      <c r="AB1473" s="2">
        <v>9</v>
      </c>
      <c r="AC1473" s="2" t="s">
        <v>124</v>
      </c>
      <c r="AD1473" s="3">
        <v>40279</v>
      </c>
      <c r="AE1473" s="4">
        <v>0.31597222222222221</v>
      </c>
      <c r="AF1473" s="3">
        <v>40279</v>
      </c>
      <c r="AG1473" s="4">
        <v>0.54166666666666663</v>
      </c>
      <c r="AH1473" s="2">
        <v>6</v>
      </c>
      <c r="AI1473" s="2" t="s">
        <v>197</v>
      </c>
      <c r="AJ1473" s="2">
        <v>61</v>
      </c>
      <c r="AK1473" s="2" t="s">
        <v>686</v>
      </c>
      <c r="AL1473" s="2">
        <v>9</v>
      </c>
      <c r="AM1473" s="2" t="s">
        <v>259</v>
      </c>
      <c r="AN1473" s="2" t="s">
        <v>5432</v>
      </c>
      <c r="AO1473" s="2" t="s">
        <v>5433</v>
      </c>
      <c r="AP1473" s="2">
        <v>11</v>
      </c>
      <c r="AQ1473" s="2" t="s">
        <v>82</v>
      </c>
      <c r="AR1473" s="2"/>
      <c r="AS1473" s="2"/>
      <c r="AT1473" s="2" t="s">
        <v>5434</v>
      </c>
      <c r="AU1473" s="2"/>
      <c r="AV1473" s="2"/>
      <c r="AW1473" s="2"/>
      <c r="AX1473" s="2"/>
      <c r="AY1473" s="2">
        <v>44</v>
      </c>
      <c r="AZ1473" s="2" t="s">
        <v>262</v>
      </c>
      <c r="BA1473" s="2">
        <v>44</v>
      </c>
      <c r="BB1473" s="2" t="s">
        <v>262</v>
      </c>
      <c r="BC1473" s="2">
        <v>44</v>
      </c>
      <c r="BD1473" s="2" t="s">
        <v>262</v>
      </c>
      <c r="BE1473" s="2">
        <v>44</v>
      </c>
      <c r="BF1473" s="2" t="s">
        <v>262</v>
      </c>
      <c r="BG1473" s="2"/>
      <c r="BH1473" s="2"/>
      <c r="BI1473" s="2"/>
      <c r="BJ1473" s="2">
        <v>241</v>
      </c>
      <c r="BK1473" s="2" t="s">
        <v>82</v>
      </c>
      <c r="BL1473" s="2"/>
      <c r="BM1473" s="2">
        <v>241</v>
      </c>
      <c r="BN1473" s="2" t="s">
        <v>82</v>
      </c>
      <c r="BO1473" s="2"/>
      <c r="BP1473" s="2">
        <v>241</v>
      </c>
      <c r="BQ1473" s="2" t="s">
        <v>82</v>
      </c>
      <c r="BR1473" s="2"/>
      <c r="BS1473" s="3">
        <v>40279</v>
      </c>
      <c r="BT1473" s="4">
        <v>0.71894675925925933</v>
      </c>
    </row>
    <row r="1474" spans="1:72" x14ac:dyDescent="0.25">
      <c r="A1474" s="2">
        <v>2176</v>
      </c>
      <c r="B1474" s="2">
        <v>2010</v>
      </c>
      <c r="C1474" s="2" t="s">
        <v>2219</v>
      </c>
      <c r="D1474" s="2" t="s">
        <v>122</v>
      </c>
      <c r="E1474" s="2"/>
      <c r="F1474" s="2">
        <v>143</v>
      </c>
      <c r="G1474" s="2" t="s">
        <v>5435</v>
      </c>
      <c r="H1474" s="2">
        <v>42</v>
      </c>
      <c r="I1474" s="2" t="s">
        <v>1096</v>
      </c>
      <c r="J1474" s="2">
        <v>160</v>
      </c>
      <c r="K1474" s="2" t="s">
        <v>538</v>
      </c>
      <c r="L1474" s="2" t="s">
        <v>539</v>
      </c>
      <c r="M1474" s="3">
        <v>40279</v>
      </c>
      <c r="N1474" s="2" t="s">
        <v>5403</v>
      </c>
      <c r="O1474" s="2" t="s">
        <v>82</v>
      </c>
      <c r="P1474" s="2" t="s">
        <v>82</v>
      </c>
      <c r="Q1474" s="2" t="str">
        <f>"AP 0017/10"</f>
        <v>AP 0017/10</v>
      </c>
      <c r="R1474" s="2" t="s">
        <v>5436</v>
      </c>
      <c r="S1474" s="2" t="s">
        <v>5437</v>
      </c>
      <c r="T1474" s="2">
        <v>1</v>
      </c>
      <c r="U1474" s="2" t="s">
        <v>79</v>
      </c>
      <c r="V1474" s="2">
        <v>1</v>
      </c>
      <c r="W1474" s="2" t="s">
        <v>80</v>
      </c>
      <c r="X1474" s="2">
        <v>1</v>
      </c>
      <c r="Y1474" s="2" t="s">
        <v>81</v>
      </c>
      <c r="Z1474" s="2">
        <v>1</v>
      </c>
      <c r="AA1474" s="2" t="s">
        <v>82</v>
      </c>
      <c r="AB1474" s="2">
        <v>9</v>
      </c>
      <c r="AC1474" s="2" t="s">
        <v>124</v>
      </c>
      <c r="AD1474" s="3">
        <v>40279</v>
      </c>
      <c r="AE1474" s="4">
        <v>0.57638888888888895</v>
      </c>
      <c r="AF1474" s="2"/>
      <c r="AG1474" s="2"/>
      <c r="AH1474" s="2">
        <v>6</v>
      </c>
      <c r="AI1474" s="2" t="s">
        <v>197</v>
      </c>
      <c r="AJ1474" s="2">
        <v>60</v>
      </c>
      <c r="AK1474" s="2" t="s">
        <v>543</v>
      </c>
      <c r="AL1474" s="2">
        <v>9</v>
      </c>
      <c r="AM1474" s="2" t="s">
        <v>259</v>
      </c>
      <c r="AN1474" s="2" t="s">
        <v>5438</v>
      </c>
      <c r="AO1474" s="2" t="s">
        <v>5439</v>
      </c>
      <c r="AP1474" s="2">
        <v>11</v>
      </c>
      <c r="AQ1474" s="2" t="s">
        <v>82</v>
      </c>
      <c r="AR1474" s="2" t="s">
        <v>82</v>
      </c>
      <c r="AS1474" s="2" t="s">
        <v>82</v>
      </c>
      <c r="AT1474" s="2" t="s">
        <v>5440</v>
      </c>
      <c r="AU1474" s="2"/>
      <c r="AV1474" s="2"/>
      <c r="AW1474" s="2"/>
      <c r="AX1474" s="2"/>
      <c r="AY1474" s="2">
        <v>41</v>
      </c>
      <c r="AZ1474" s="2" t="s">
        <v>82</v>
      </c>
      <c r="BA1474" s="2">
        <v>41</v>
      </c>
      <c r="BB1474" s="2" t="s">
        <v>82</v>
      </c>
      <c r="BC1474" s="2">
        <v>41</v>
      </c>
      <c r="BD1474" s="2" t="s">
        <v>82</v>
      </c>
      <c r="BE1474" s="2">
        <v>41</v>
      </c>
      <c r="BF1474" s="2" t="s">
        <v>82</v>
      </c>
      <c r="BG1474" s="2"/>
      <c r="BH1474" s="2"/>
      <c r="BI1474" s="2"/>
      <c r="BJ1474" s="2">
        <v>241</v>
      </c>
      <c r="BK1474" s="2" t="s">
        <v>82</v>
      </c>
      <c r="BL1474" s="2"/>
      <c r="BM1474" s="2">
        <v>241</v>
      </c>
      <c r="BN1474" s="2" t="s">
        <v>82</v>
      </c>
      <c r="BO1474" s="2"/>
      <c r="BP1474" s="2">
        <v>241</v>
      </c>
      <c r="BQ1474" s="2" t="s">
        <v>82</v>
      </c>
      <c r="BR1474" s="2"/>
      <c r="BS1474" s="3">
        <v>40279</v>
      </c>
      <c r="BT1474" s="4">
        <v>0.75829861111111108</v>
      </c>
    </row>
    <row r="1475" spans="1:72" x14ac:dyDescent="0.25">
      <c r="A1475" s="2">
        <v>2177</v>
      </c>
      <c r="B1475" s="2">
        <v>2010</v>
      </c>
      <c r="C1475" s="2" t="s">
        <v>819</v>
      </c>
      <c r="D1475" s="2" t="s">
        <v>73</v>
      </c>
      <c r="E1475" s="2"/>
      <c r="F1475" s="2">
        <v>310</v>
      </c>
      <c r="G1475" s="2" t="s">
        <v>3186</v>
      </c>
      <c r="H1475" s="2">
        <v>2</v>
      </c>
      <c r="I1475" s="2" t="s">
        <v>267</v>
      </c>
      <c r="J1475" s="2">
        <v>371</v>
      </c>
      <c r="K1475" s="2" t="s">
        <v>1138</v>
      </c>
      <c r="L1475" s="2" t="s">
        <v>1139</v>
      </c>
      <c r="M1475" s="3">
        <v>40279</v>
      </c>
      <c r="N1475" s="2" t="s">
        <v>5441</v>
      </c>
      <c r="O1475" s="2"/>
      <c r="P1475" s="2"/>
      <c r="Q1475" s="2" t="str">
        <f>"043/10"</f>
        <v>043/10</v>
      </c>
      <c r="R1475" s="2"/>
      <c r="S1475" s="2" t="s">
        <v>2003</v>
      </c>
      <c r="T1475" s="2">
        <v>1</v>
      </c>
      <c r="U1475" s="2" t="s">
        <v>79</v>
      </c>
      <c r="V1475" s="2">
        <v>1</v>
      </c>
      <c r="W1475" s="2" t="s">
        <v>80</v>
      </c>
      <c r="X1475" s="2">
        <v>1</v>
      </c>
      <c r="Y1475" s="2" t="s">
        <v>81</v>
      </c>
      <c r="Z1475" s="2">
        <v>1</v>
      </c>
      <c r="AA1475" s="2" t="s">
        <v>82</v>
      </c>
      <c r="AB1475" s="2">
        <v>9</v>
      </c>
      <c r="AC1475" s="2" t="s">
        <v>124</v>
      </c>
      <c r="AD1475" s="3">
        <v>40279</v>
      </c>
      <c r="AE1475" s="4">
        <v>0.77430555555555547</v>
      </c>
      <c r="AF1475" s="2"/>
      <c r="AG1475" s="2"/>
      <c r="AH1475" s="2">
        <v>5</v>
      </c>
      <c r="AI1475" s="2" t="s">
        <v>274</v>
      </c>
      <c r="AJ1475" s="2">
        <v>38</v>
      </c>
      <c r="AK1475" s="2" t="s">
        <v>1120</v>
      </c>
      <c r="AL1475" s="2">
        <v>8</v>
      </c>
      <c r="AM1475" s="2" t="s">
        <v>179</v>
      </c>
      <c r="AN1475" s="2"/>
      <c r="AO1475" s="2"/>
      <c r="AP1475" s="2">
        <v>11</v>
      </c>
      <c r="AQ1475" s="2" t="s">
        <v>82</v>
      </c>
      <c r="AR1475" s="2"/>
      <c r="AS1475" s="2"/>
      <c r="AT1475" s="2" t="s">
        <v>5442</v>
      </c>
      <c r="AU1475" s="2"/>
      <c r="AV1475" s="2"/>
      <c r="AW1475" s="2"/>
      <c r="AX1475" s="2"/>
      <c r="AY1475" s="2">
        <v>41</v>
      </c>
      <c r="AZ1475" s="2" t="s">
        <v>82</v>
      </c>
      <c r="BA1475" s="2">
        <v>41</v>
      </c>
      <c r="BB1475" s="2" t="s">
        <v>82</v>
      </c>
      <c r="BC1475" s="2">
        <v>41</v>
      </c>
      <c r="BD1475" s="2" t="s">
        <v>82</v>
      </c>
      <c r="BE1475" s="2">
        <v>47</v>
      </c>
      <c r="BF1475" s="2" t="s">
        <v>167</v>
      </c>
      <c r="BG1475" s="2">
        <v>2735</v>
      </c>
      <c r="BH1475" s="4">
        <v>0.72222222222222221</v>
      </c>
      <c r="BI1475" s="4">
        <v>0.75</v>
      </c>
      <c r="BJ1475" s="2">
        <v>13</v>
      </c>
      <c r="BK1475" s="2" t="s">
        <v>91</v>
      </c>
      <c r="BL1475" s="2" t="s">
        <v>1697</v>
      </c>
      <c r="BM1475" s="2">
        <v>241</v>
      </c>
      <c r="BN1475" s="2" t="s">
        <v>82</v>
      </c>
      <c r="BO1475" s="2" t="s">
        <v>82</v>
      </c>
      <c r="BP1475" s="2">
        <v>13</v>
      </c>
      <c r="BQ1475" s="2" t="s">
        <v>91</v>
      </c>
      <c r="BR1475" s="2" t="s">
        <v>170</v>
      </c>
      <c r="BS1475" s="3">
        <v>40279</v>
      </c>
      <c r="BT1475" s="4">
        <v>0.8575462962962962</v>
      </c>
    </row>
    <row r="1476" spans="1:72" x14ac:dyDescent="0.25">
      <c r="A1476" s="2">
        <v>2178</v>
      </c>
      <c r="B1476" s="2">
        <v>2010</v>
      </c>
      <c r="C1476" s="2" t="s">
        <v>385</v>
      </c>
      <c r="D1476" s="2" t="s">
        <v>122</v>
      </c>
      <c r="E1476" s="2" t="s">
        <v>5443</v>
      </c>
      <c r="F1476" s="2">
        <v>34</v>
      </c>
      <c r="G1476" s="2" t="s">
        <v>334</v>
      </c>
      <c r="H1476" s="2">
        <v>91</v>
      </c>
      <c r="I1476" s="2" t="s">
        <v>5420</v>
      </c>
      <c r="J1476" s="2">
        <v>43</v>
      </c>
      <c r="K1476" s="2" t="s">
        <v>2059</v>
      </c>
      <c r="L1476" s="2" t="s">
        <v>2060</v>
      </c>
      <c r="M1476" s="3">
        <v>40279</v>
      </c>
      <c r="N1476" s="2" t="s">
        <v>5421</v>
      </c>
      <c r="O1476" s="2" t="s">
        <v>5424</v>
      </c>
      <c r="P1476" s="2" t="s">
        <v>107</v>
      </c>
      <c r="Q1476" s="2" t="str">
        <f>"17/10"</f>
        <v>17/10</v>
      </c>
      <c r="R1476" s="2" t="s">
        <v>5425</v>
      </c>
      <c r="S1476" s="2" t="s">
        <v>5424</v>
      </c>
      <c r="T1476" s="2">
        <v>1</v>
      </c>
      <c r="U1476" s="2" t="s">
        <v>79</v>
      </c>
      <c r="V1476" s="2">
        <v>1</v>
      </c>
      <c r="W1476" s="2" t="s">
        <v>80</v>
      </c>
      <c r="X1476" s="2">
        <v>3</v>
      </c>
      <c r="Y1476" s="2" t="s">
        <v>698</v>
      </c>
      <c r="Z1476" s="2">
        <v>2</v>
      </c>
      <c r="AA1476" s="2" t="s">
        <v>2148</v>
      </c>
      <c r="AB1476" s="2">
        <v>9</v>
      </c>
      <c r="AC1476" s="2" t="s">
        <v>124</v>
      </c>
      <c r="AD1476" s="3">
        <v>40279</v>
      </c>
      <c r="AE1476" s="4">
        <v>0.84375</v>
      </c>
      <c r="AF1476" s="2"/>
      <c r="AG1476" s="2"/>
      <c r="AH1476" s="2">
        <v>3</v>
      </c>
      <c r="AI1476" s="2" t="s">
        <v>214</v>
      </c>
      <c r="AJ1476" s="2">
        <v>17</v>
      </c>
      <c r="AK1476" s="2" t="s">
        <v>309</v>
      </c>
      <c r="AL1476" s="2">
        <v>18</v>
      </c>
      <c r="AM1476" s="2" t="s">
        <v>82</v>
      </c>
      <c r="AN1476" s="2"/>
      <c r="AO1476" s="2" t="s">
        <v>5444</v>
      </c>
      <c r="AP1476" s="2">
        <v>11</v>
      </c>
      <c r="AQ1476" s="2" t="s">
        <v>82</v>
      </c>
      <c r="AR1476" s="2"/>
      <c r="AS1476" s="2"/>
      <c r="AT1476" s="2" t="s">
        <v>5445</v>
      </c>
      <c r="AU1476" s="2"/>
      <c r="AV1476" s="2">
        <v>1</v>
      </c>
      <c r="AW1476" s="2"/>
      <c r="AX1476" s="2"/>
      <c r="AY1476" s="2">
        <v>42</v>
      </c>
      <c r="AZ1476" s="2" t="s">
        <v>182</v>
      </c>
      <c r="BA1476" s="2">
        <v>70</v>
      </c>
      <c r="BB1476" s="2" t="s">
        <v>236</v>
      </c>
      <c r="BC1476" s="2">
        <v>42</v>
      </c>
      <c r="BD1476" s="2" t="s">
        <v>182</v>
      </c>
      <c r="BE1476" s="2">
        <v>17</v>
      </c>
      <c r="BF1476" s="2" t="s">
        <v>508</v>
      </c>
      <c r="BG1476" s="2">
        <v>931</v>
      </c>
      <c r="BH1476" s="4">
        <v>0.52083333333333337</v>
      </c>
      <c r="BI1476" s="4">
        <v>0.49305555555555558</v>
      </c>
      <c r="BJ1476" s="2">
        <v>13</v>
      </c>
      <c r="BK1476" s="2" t="s">
        <v>91</v>
      </c>
      <c r="BL1476" s="2" t="s">
        <v>445</v>
      </c>
      <c r="BM1476" s="2">
        <v>241</v>
      </c>
      <c r="BN1476" s="2" t="s">
        <v>82</v>
      </c>
      <c r="BO1476" s="2" t="s">
        <v>82</v>
      </c>
      <c r="BP1476" s="2">
        <v>46</v>
      </c>
      <c r="BQ1476" s="2" t="s">
        <v>307</v>
      </c>
      <c r="BR1476" s="2" t="s">
        <v>308</v>
      </c>
      <c r="BS1476" s="3">
        <v>40279</v>
      </c>
      <c r="BT1476" s="4">
        <v>0.88413194444444443</v>
      </c>
    </row>
    <row r="1477" spans="1:72" x14ac:dyDescent="0.25">
      <c r="A1477" s="2">
        <v>2179</v>
      </c>
      <c r="B1477" s="2">
        <v>2010</v>
      </c>
      <c r="C1477" s="2" t="s">
        <v>121</v>
      </c>
      <c r="D1477" s="2" t="s">
        <v>122</v>
      </c>
      <c r="E1477" s="2"/>
      <c r="F1477" s="2">
        <v>1</v>
      </c>
      <c r="G1477" s="2" t="s">
        <v>82</v>
      </c>
      <c r="H1477" s="2">
        <v>1</v>
      </c>
      <c r="I1477" s="2" t="s">
        <v>82</v>
      </c>
      <c r="J1477" s="2">
        <v>1</v>
      </c>
      <c r="K1477" s="2" t="s">
        <v>107</v>
      </c>
      <c r="L1477" s="2" t="s">
        <v>107</v>
      </c>
      <c r="M1477" s="3">
        <v>40279</v>
      </c>
      <c r="N1477" s="2"/>
      <c r="O1477" s="2"/>
      <c r="P1477" s="2"/>
      <c r="Q1477" s="2" t="str">
        <f>""</f>
        <v/>
      </c>
      <c r="R1477" s="2"/>
      <c r="S1477" s="2"/>
      <c r="T1477" s="2">
        <v>2</v>
      </c>
      <c r="U1477" s="2" t="s">
        <v>123</v>
      </c>
      <c r="V1477" s="2">
        <v>1</v>
      </c>
      <c r="W1477" s="2" t="s">
        <v>80</v>
      </c>
      <c r="X1477" s="2">
        <v>1</v>
      </c>
      <c r="Y1477" s="2" t="s">
        <v>81</v>
      </c>
      <c r="Z1477" s="2">
        <v>1</v>
      </c>
      <c r="AA1477" s="2" t="s">
        <v>82</v>
      </c>
      <c r="AB1477" s="2">
        <v>9</v>
      </c>
      <c r="AC1477" s="2" t="s">
        <v>124</v>
      </c>
      <c r="AD1477" s="3">
        <v>40279</v>
      </c>
      <c r="AE1477" s="4">
        <v>0.625</v>
      </c>
      <c r="AF1477" s="2"/>
      <c r="AG1477" s="2"/>
      <c r="AH1477" s="2">
        <v>2</v>
      </c>
      <c r="AI1477" s="2" t="s">
        <v>84</v>
      </c>
      <c r="AJ1477" s="2">
        <v>9</v>
      </c>
      <c r="AK1477" s="2" t="s">
        <v>103</v>
      </c>
      <c r="AL1477" s="2">
        <v>18</v>
      </c>
      <c r="AM1477" s="2" t="s">
        <v>82</v>
      </c>
      <c r="AN1477" s="2" t="s">
        <v>5446</v>
      </c>
      <c r="AO1477" s="2" t="s">
        <v>5447</v>
      </c>
      <c r="AP1477" s="2">
        <v>11</v>
      </c>
      <c r="AQ1477" s="2" t="s">
        <v>82</v>
      </c>
      <c r="AR1477" s="2"/>
      <c r="AS1477" s="2"/>
      <c r="AT1477" s="2" t="s">
        <v>5448</v>
      </c>
      <c r="AU1477" s="2"/>
      <c r="AV1477" s="2"/>
      <c r="AW1477" s="2"/>
      <c r="AX1477" s="2"/>
      <c r="AY1477" s="2">
        <v>41</v>
      </c>
      <c r="AZ1477" s="2" t="s">
        <v>82</v>
      </c>
      <c r="BA1477" s="2">
        <v>41</v>
      </c>
      <c r="BB1477" s="2" t="s">
        <v>82</v>
      </c>
      <c r="BC1477" s="2">
        <v>41</v>
      </c>
      <c r="BD1477" s="2" t="s">
        <v>82</v>
      </c>
      <c r="BE1477" s="2">
        <v>41</v>
      </c>
      <c r="BF1477" s="2" t="s">
        <v>82</v>
      </c>
      <c r="BG1477" s="2" t="s">
        <v>5449</v>
      </c>
      <c r="BH1477" s="4">
        <v>0.625</v>
      </c>
      <c r="BI1477" s="2"/>
      <c r="BJ1477" s="2">
        <v>184</v>
      </c>
      <c r="BK1477" s="2" t="s">
        <v>5304</v>
      </c>
      <c r="BL1477" s="2" t="s">
        <v>107</v>
      </c>
      <c r="BM1477" s="2">
        <v>242</v>
      </c>
      <c r="BN1477" s="2" t="s">
        <v>107</v>
      </c>
      <c r="BO1477" s="2"/>
      <c r="BP1477" s="2">
        <v>13</v>
      </c>
      <c r="BQ1477" s="2" t="s">
        <v>91</v>
      </c>
      <c r="BR1477" s="2" t="s">
        <v>185</v>
      </c>
      <c r="BS1477" s="3">
        <v>40279</v>
      </c>
      <c r="BT1477" s="4">
        <v>0.90231481481481479</v>
      </c>
    </row>
    <row r="1478" spans="1:72" x14ac:dyDescent="0.25">
      <c r="A1478" s="2">
        <v>2180</v>
      </c>
      <c r="B1478" s="2">
        <v>2010</v>
      </c>
      <c r="C1478" s="2" t="s">
        <v>764</v>
      </c>
      <c r="D1478" s="2" t="s">
        <v>73</v>
      </c>
      <c r="E1478" s="2"/>
      <c r="F1478" s="2">
        <v>368</v>
      </c>
      <c r="G1478" s="2" t="s">
        <v>5450</v>
      </c>
      <c r="H1478" s="2">
        <v>3</v>
      </c>
      <c r="I1478" s="2" t="s">
        <v>315</v>
      </c>
      <c r="J1478" s="2">
        <v>520</v>
      </c>
      <c r="K1478" s="2" t="s">
        <v>5451</v>
      </c>
      <c r="L1478" s="2" t="s">
        <v>5452</v>
      </c>
      <c r="M1478" s="3">
        <v>40279</v>
      </c>
      <c r="N1478" s="2" t="s">
        <v>5453</v>
      </c>
      <c r="O1478" s="2" t="s">
        <v>5454</v>
      </c>
      <c r="P1478" s="2" t="s">
        <v>5454</v>
      </c>
      <c r="Q1478" s="2" t="str">
        <f>"041"</f>
        <v>041</v>
      </c>
      <c r="R1478" s="2" t="s">
        <v>5455</v>
      </c>
      <c r="S1478" s="2" t="s">
        <v>5454</v>
      </c>
      <c r="T1478" s="2">
        <v>1</v>
      </c>
      <c r="U1478" s="2" t="s">
        <v>79</v>
      </c>
      <c r="V1478" s="2">
        <v>1</v>
      </c>
      <c r="W1478" s="2" t="s">
        <v>80</v>
      </c>
      <c r="X1478" s="2">
        <v>1</v>
      </c>
      <c r="Y1478" s="2" t="s">
        <v>81</v>
      </c>
      <c r="Z1478" s="2">
        <v>10</v>
      </c>
      <c r="AA1478" s="2" t="s">
        <v>236</v>
      </c>
      <c r="AB1478" s="2">
        <v>9</v>
      </c>
      <c r="AC1478" s="2" t="s">
        <v>124</v>
      </c>
      <c r="AD1478" s="3">
        <v>40279</v>
      </c>
      <c r="AE1478" s="4">
        <v>0.76041666666666663</v>
      </c>
      <c r="AF1478" s="2"/>
      <c r="AG1478" s="2"/>
      <c r="AH1478" s="2">
        <v>4</v>
      </c>
      <c r="AI1478" s="2" t="s">
        <v>125</v>
      </c>
      <c r="AJ1478" s="2">
        <v>29</v>
      </c>
      <c r="AK1478" s="2" t="s">
        <v>227</v>
      </c>
      <c r="AL1478" s="2">
        <v>9</v>
      </c>
      <c r="AM1478" s="2" t="s">
        <v>259</v>
      </c>
      <c r="AN1478" s="2" t="s">
        <v>5456</v>
      </c>
      <c r="AO1478" s="2" t="s">
        <v>5457</v>
      </c>
      <c r="AP1478" s="2">
        <v>11</v>
      </c>
      <c r="AQ1478" s="2" t="s">
        <v>82</v>
      </c>
      <c r="AR1478" s="2" t="s">
        <v>82</v>
      </c>
      <c r="AS1478" s="2" t="s">
        <v>82</v>
      </c>
      <c r="AT1478" s="2" t="s">
        <v>5458</v>
      </c>
      <c r="AU1478" s="2"/>
      <c r="AV1478" s="2"/>
      <c r="AW1478" s="2"/>
      <c r="AX1478" s="2"/>
      <c r="AY1478" s="2">
        <v>41</v>
      </c>
      <c r="AZ1478" s="2" t="s">
        <v>82</v>
      </c>
      <c r="BA1478" s="2">
        <v>41</v>
      </c>
      <c r="BB1478" s="2" t="s">
        <v>82</v>
      </c>
      <c r="BC1478" s="2">
        <v>41</v>
      </c>
      <c r="BD1478" s="2" t="s">
        <v>82</v>
      </c>
      <c r="BE1478" s="2">
        <v>41</v>
      </c>
      <c r="BF1478" s="2" t="s">
        <v>82</v>
      </c>
      <c r="BG1478" s="2" t="s">
        <v>5454</v>
      </c>
      <c r="BH1478" s="2"/>
      <c r="BI1478" s="2"/>
      <c r="BJ1478" s="2">
        <v>241</v>
      </c>
      <c r="BK1478" s="2" t="s">
        <v>82</v>
      </c>
      <c r="BL1478" s="2" t="s">
        <v>82</v>
      </c>
      <c r="BM1478" s="2">
        <v>241</v>
      </c>
      <c r="BN1478" s="2" t="s">
        <v>82</v>
      </c>
      <c r="BO1478" s="2" t="s">
        <v>82</v>
      </c>
      <c r="BP1478" s="2">
        <v>241</v>
      </c>
      <c r="BQ1478" s="2" t="s">
        <v>82</v>
      </c>
      <c r="BR1478" s="2" t="s">
        <v>82</v>
      </c>
      <c r="BS1478" s="3">
        <v>40279</v>
      </c>
      <c r="BT1478" s="4">
        <v>0.92843749999999992</v>
      </c>
    </row>
    <row r="1479" spans="1:72" x14ac:dyDescent="0.25">
      <c r="A1479" s="2">
        <v>2181</v>
      </c>
      <c r="B1479" s="2">
        <v>2010</v>
      </c>
      <c r="C1479" s="2" t="s">
        <v>819</v>
      </c>
      <c r="D1479" s="2" t="s">
        <v>73</v>
      </c>
      <c r="E1479" s="2"/>
      <c r="F1479" s="2">
        <v>310</v>
      </c>
      <c r="G1479" s="2" t="s">
        <v>3186</v>
      </c>
      <c r="H1479" s="2">
        <v>2</v>
      </c>
      <c r="I1479" s="2" t="s">
        <v>267</v>
      </c>
      <c r="J1479" s="2">
        <v>371</v>
      </c>
      <c r="K1479" s="2" t="s">
        <v>1138</v>
      </c>
      <c r="L1479" s="2" t="s">
        <v>1139</v>
      </c>
      <c r="M1479" s="3">
        <v>40280</v>
      </c>
      <c r="N1479" s="2" t="s">
        <v>5459</v>
      </c>
      <c r="O1479" s="2"/>
      <c r="P1479" s="2"/>
      <c r="Q1479" s="2" t="str">
        <f>"044/10"</f>
        <v>044/10</v>
      </c>
      <c r="R1479" s="2"/>
      <c r="S1479" s="2" t="s">
        <v>2003</v>
      </c>
      <c r="T1479" s="2">
        <v>1</v>
      </c>
      <c r="U1479" s="2" t="s">
        <v>79</v>
      </c>
      <c r="V1479" s="2">
        <v>1</v>
      </c>
      <c r="W1479" s="2" t="s">
        <v>80</v>
      </c>
      <c r="X1479" s="2">
        <v>1</v>
      </c>
      <c r="Y1479" s="2" t="s">
        <v>81</v>
      </c>
      <c r="Z1479" s="2">
        <v>1</v>
      </c>
      <c r="AA1479" s="2" t="s">
        <v>82</v>
      </c>
      <c r="AB1479" s="2">
        <v>9</v>
      </c>
      <c r="AC1479" s="2" t="s">
        <v>124</v>
      </c>
      <c r="AD1479" s="3">
        <v>40279</v>
      </c>
      <c r="AE1479" s="4">
        <v>0.77777777777777779</v>
      </c>
      <c r="AF1479" s="2"/>
      <c r="AG1479" s="2"/>
      <c r="AH1479" s="2">
        <v>5</v>
      </c>
      <c r="AI1479" s="2" t="s">
        <v>274</v>
      </c>
      <c r="AJ1479" s="2">
        <v>38</v>
      </c>
      <c r="AK1479" s="2" t="s">
        <v>1120</v>
      </c>
      <c r="AL1479" s="2">
        <v>8</v>
      </c>
      <c r="AM1479" s="2" t="s">
        <v>179</v>
      </c>
      <c r="AN1479" s="2"/>
      <c r="AO1479" s="2"/>
      <c r="AP1479" s="2">
        <v>11</v>
      </c>
      <c r="AQ1479" s="2" t="s">
        <v>82</v>
      </c>
      <c r="AR1479" s="2"/>
      <c r="AS1479" s="2"/>
      <c r="AT1479" s="2" t="s">
        <v>5460</v>
      </c>
      <c r="AU1479" s="2"/>
      <c r="AV1479" s="2"/>
      <c r="AW1479" s="2"/>
      <c r="AX1479" s="2"/>
      <c r="AY1479" s="2">
        <v>41</v>
      </c>
      <c r="AZ1479" s="2" t="s">
        <v>82</v>
      </c>
      <c r="BA1479" s="2">
        <v>41</v>
      </c>
      <c r="BB1479" s="2" t="s">
        <v>82</v>
      </c>
      <c r="BC1479" s="2">
        <v>41</v>
      </c>
      <c r="BD1479" s="2" t="s">
        <v>82</v>
      </c>
      <c r="BE1479" s="2">
        <v>47</v>
      </c>
      <c r="BF1479" s="2" t="s">
        <v>167</v>
      </c>
      <c r="BG1479" s="2">
        <v>2735</v>
      </c>
      <c r="BH1479" s="4">
        <v>0.72222222222222221</v>
      </c>
      <c r="BI1479" s="4">
        <v>0.75</v>
      </c>
      <c r="BJ1479" s="2">
        <v>13</v>
      </c>
      <c r="BK1479" s="2" t="s">
        <v>91</v>
      </c>
      <c r="BL1479" s="2" t="s">
        <v>1697</v>
      </c>
      <c r="BM1479" s="2">
        <v>241</v>
      </c>
      <c r="BN1479" s="2" t="s">
        <v>82</v>
      </c>
      <c r="BO1479" s="2"/>
      <c r="BP1479" s="2">
        <v>13</v>
      </c>
      <c r="BQ1479" s="2" t="s">
        <v>91</v>
      </c>
      <c r="BR1479" s="2" t="s">
        <v>5461</v>
      </c>
      <c r="BS1479" s="3">
        <v>40280</v>
      </c>
      <c r="BT1479" s="4">
        <v>0.33740740740740738</v>
      </c>
    </row>
    <row r="1480" spans="1:72" x14ac:dyDescent="0.25">
      <c r="A1480" s="2">
        <v>2182</v>
      </c>
      <c r="B1480" s="2">
        <v>2010</v>
      </c>
      <c r="C1480" s="2" t="s">
        <v>171</v>
      </c>
      <c r="D1480" s="2" t="s">
        <v>122</v>
      </c>
      <c r="E1480" s="2" t="s">
        <v>5443</v>
      </c>
      <c r="F1480" s="2">
        <v>34</v>
      </c>
      <c r="G1480" s="2" t="s">
        <v>334</v>
      </c>
      <c r="H1480" s="2">
        <v>91</v>
      </c>
      <c r="I1480" s="2" t="s">
        <v>5420</v>
      </c>
      <c r="J1480" s="2">
        <v>43</v>
      </c>
      <c r="K1480" s="2" t="s">
        <v>2059</v>
      </c>
      <c r="L1480" s="2" t="s">
        <v>2060</v>
      </c>
      <c r="M1480" s="3">
        <v>40280</v>
      </c>
      <c r="N1480" s="2" t="s">
        <v>5421</v>
      </c>
      <c r="O1480" s="2" t="s">
        <v>5462</v>
      </c>
      <c r="P1480" s="2" t="s">
        <v>5423</v>
      </c>
      <c r="Q1480" s="2" t="str">
        <f>"17/10"</f>
        <v>17/10</v>
      </c>
      <c r="R1480" s="2" t="s">
        <v>5425</v>
      </c>
      <c r="S1480" s="2" t="s">
        <v>5424</v>
      </c>
      <c r="T1480" s="2">
        <v>1</v>
      </c>
      <c r="U1480" s="2" t="s">
        <v>79</v>
      </c>
      <c r="V1480" s="2">
        <v>1</v>
      </c>
      <c r="W1480" s="2" t="s">
        <v>80</v>
      </c>
      <c r="X1480" s="2">
        <v>3</v>
      </c>
      <c r="Y1480" s="2" t="s">
        <v>698</v>
      </c>
      <c r="Z1480" s="2">
        <v>2</v>
      </c>
      <c r="AA1480" s="2" t="s">
        <v>2148</v>
      </c>
      <c r="AB1480" s="2">
        <v>1</v>
      </c>
      <c r="AC1480" s="2" t="s">
        <v>178</v>
      </c>
      <c r="AD1480" s="3">
        <v>40280</v>
      </c>
      <c r="AE1480" s="4">
        <v>0.38541666666666669</v>
      </c>
      <c r="AF1480" s="2"/>
      <c r="AG1480" s="2"/>
      <c r="AH1480" s="2">
        <v>3</v>
      </c>
      <c r="AI1480" s="2" t="s">
        <v>214</v>
      </c>
      <c r="AJ1480" s="2">
        <v>17</v>
      </c>
      <c r="AK1480" s="2" t="s">
        <v>309</v>
      </c>
      <c r="AL1480" s="2">
        <v>18</v>
      </c>
      <c r="AM1480" s="2" t="s">
        <v>82</v>
      </c>
      <c r="AN1480" s="2"/>
      <c r="AO1480" s="2" t="s">
        <v>5463</v>
      </c>
      <c r="AP1480" s="2">
        <v>11</v>
      </c>
      <c r="AQ1480" s="2" t="s">
        <v>82</v>
      </c>
      <c r="AR1480" s="2"/>
      <c r="AS1480" s="2"/>
      <c r="AT1480" s="2" t="s">
        <v>5464</v>
      </c>
      <c r="AU1480" s="2"/>
      <c r="AV1480" s="2">
        <v>1</v>
      </c>
      <c r="AW1480" s="2"/>
      <c r="AX1480" s="2"/>
      <c r="AY1480" s="2">
        <v>42</v>
      </c>
      <c r="AZ1480" s="2" t="s">
        <v>182</v>
      </c>
      <c r="BA1480" s="2">
        <v>70</v>
      </c>
      <c r="BB1480" s="2" t="s">
        <v>236</v>
      </c>
      <c r="BC1480" s="2">
        <v>42</v>
      </c>
      <c r="BD1480" s="2" t="s">
        <v>182</v>
      </c>
      <c r="BE1480" s="2">
        <v>17</v>
      </c>
      <c r="BF1480" s="2" t="s">
        <v>508</v>
      </c>
      <c r="BG1480" s="2">
        <v>931</v>
      </c>
      <c r="BH1480" s="4">
        <v>0.52083333333333337</v>
      </c>
      <c r="BI1480" s="4">
        <v>0.49305555555555558</v>
      </c>
      <c r="BJ1480" s="2">
        <v>13</v>
      </c>
      <c r="BK1480" s="2" t="s">
        <v>91</v>
      </c>
      <c r="BL1480" s="2" t="s">
        <v>445</v>
      </c>
      <c r="BM1480" s="2">
        <v>241</v>
      </c>
      <c r="BN1480" s="2" t="s">
        <v>82</v>
      </c>
      <c r="BO1480" s="2" t="s">
        <v>82</v>
      </c>
      <c r="BP1480" s="2">
        <v>46</v>
      </c>
      <c r="BQ1480" s="2" t="s">
        <v>307</v>
      </c>
      <c r="BR1480" s="2" t="s">
        <v>308</v>
      </c>
      <c r="BS1480" s="3">
        <v>40280</v>
      </c>
      <c r="BT1480" s="4">
        <v>0.47596064814814815</v>
      </c>
    </row>
    <row r="1481" spans="1:72" x14ac:dyDescent="0.25">
      <c r="A1481" s="2">
        <v>2184</v>
      </c>
      <c r="B1481" s="2">
        <v>2010</v>
      </c>
      <c r="C1481" s="2" t="s">
        <v>171</v>
      </c>
      <c r="D1481" s="2" t="s">
        <v>73</v>
      </c>
      <c r="E1481" s="2"/>
      <c r="F1481" s="2">
        <v>9</v>
      </c>
      <c r="G1481" s="2" t="s">
        <v>364</v>
      </c>
      <c r="H1481" s="2">
        <v>2</v>
      </c>
      <c r="I1481" s="2" t="s">
        <v>267</v>
      </c>
      <c r="J1481" s="2">
        <v>18</v>
      </c>
      <c r="K1481" s="2" t="s">
        <v>365</v>
      </c>
      <c r="L1481" s="2" t="s">
        <v>115</v>
      </c>
      <c r="M1481" s="3">
        <v>40280</v>
      </c>
      <c r="N1481" s="2" t="s">
        <v>5465</v>
      </c>
      <c r="O1481" s="2" t="s">
        <v>5466</v>
      </c>
      <c r="P1481" s="2" t="s">
        <v>522</v>
      </c>
      <c r="Q1481" s="2" t="str">
        <f>"02/2010"</f>
        <v>02/2010</v>
      </c>
      <c r="R1481" s="2" t="s">
        <v>82</v>
      </c>
      <c r="S1481" s="2" t="s">
        <v>82</v>
      </c>
      <c r="T1481" s="2">
        <v>1</v>
      </c>
      <c r="U1481" s="2" t="s">
        <v>79</v>
      </c>
      <c r="V1481" s="2">
        <v>3</v>
      </c>
      <c r="W1481" s="2" t="s">
        <v>225</v>
      </c>
      <c r="X1481" s="2">
        <v>6</v>
      </c>
      <c r="Y1481" s="2" t="s">
        <v>249</v>
      </c>
      <c r="Z1481" s="2">
        <v>1</v>
      </c>
      <c r="AA1481" s="2" t="s">
        <v>82</v>
      </c>
      <c r="AB1481" s="2">
        <v>9</v>
      </c>
      <c r="AC1481" s="2" t="s">
        <v>124</v>
      </c>
      <c r="AD1481" s="3">
        <v>40277</v>
      </c>
      <c r="AE1481" s="4">
        <v>0.5625</v>
      </c>
      <c r="AF1481" s="2"/>
      <c r="AG1481" s="2"/>
      <c r="AH1481" s="2">
        <v>3</v>
      </c>
      <c r="AI1481" s="2" t="s">
        <v>214</v>
      </c>
      <c r="AJ1481" s="2">
        <v>14</v>
      </c>
      <c r="AK1481" s="2" t="s">
        <v>342</v>
      </c>
      <c r="AL1481" s="2">
        <v>23</v>
      </c>
      <c r="AM1481" s="2" t="s">
        <v>251</v>
      </c>
      <c r="AN1481" s="2"/>
      <c r="AO1481" s="2" t="s">
        <v>5467</v>
      </c>
      <c r="AP1481" s="2">
        <v>11</v>
      </c>
      <c r="AQ1481" s="2" t="s">
        <v>82</v>
      </c>
      <c r="AR1481" s="2"/>
      <c r="AS1481" s="2"/>
      <c r="AT1481" s="2" t="s">
        <v>5468</v>
      </c>
      <c r="AU1481" s="2"/>
      <c r="AV1481" s="2"/>
      <c r="AW1481" s="2"/>
      <c r="AX1481" s="2"/>
      <c r="AY1481" s="2">
        <v>41</v>
      </c>
      <c r="AZ1481" s="2" t="s">
        <v>82</v>
      </c>
      <c r="BA1481" s="2">
        <v>41</v>
      </c>
      <c r="BB1481" s="2" t="s">
        <v>82</v>
      </c>
      <c r="BC1481" s="2">
        <v>41</v>
      </c>
      <c r="BD1481" s="2" t="s">
        <v>82</v>
      </c>
      <c r="BE1481" s="2">
        <v>41</v>
      </c>
      <c r="BF1481" s="2" t="s">
        <v>82</v>
      </c>
      <c r="BG1481" s="2"/>
      <c r="BH1481" s="2"/>
      <c r="BI1481" s="2"/>
      <c r="BJ1481" s="2">
        <v>241</v>
      </c>
      <c r="BK1481" s="2" t="s">
        <v>82</v>
      </c>
      <c r="BL1481" s="2"/>
      <c r="BM1481" s="2">
        <v>241</v>
      </c>
      <c r="BN1481" s="2" t="s">
        <v>82</v>
      </c>
      <c r="BO1481" s="2"/>
      <c r="BP1481" s="2">
        <v>241</v>
      </c>
      <c r="BQ1481" s="2" t="s">
        <v>82</v>
      </c>
      <c r="BR1481" s="2"/>
      <c r="BS1481" s="3">
        <v>40280</v>
      </c>
      <c r="BT1481" s="4">
        <v>0.53729166666666661</v>
      </c>
    </row>
    <row r="1482" spans="1:72" x14ac:dyDescent="0.25">
      <c r="A1482" s="2">
        <v>2185</v>
      </c>
      <c r="B1482" s="2">
        <v>2010</v>
      </c>
      <c r="C1482" s="2" t="s">
        <v>385</v>
      </c>
      <c r="D1482" s="2" t="s">
        <v>122</v>
      </c>
      <c r="E1482" s="2"/>
      <c r="F1482" s="2">
        <v>1</v>
      </c>
      <c r="G1482" s="2" t="s">
        <v>82</v>
      </c>
      <c r="H1482" s="2">
        <v>1</v>
      </c>
      <c r="I1482" s="2" t="s">
        <v>82</v>
      </c>
      <c r="J1482" s="2">
        <v>1</v>
      </c>
      <c r="K1482" s="2" t="s">
        <v>107</v>
      </c>
      <c r="L1482" s="2" t="s">
        <v>107</v>
      </c>
      <c r="M1482" s="3">
        <v>40280</v>
      </c>
      <c r="N1482" s="2"/>
      <c r="O1482" s="2"/>
      <c r="P1482" s="2"/>
      <c r="Q1482" s="2" t="str">
        <f>""</f>
        <v/>
      </c>
      <c r="R1482" s="2"/>
      <c r="S1482" s="2"/>
      <c r="T1482" s="2">
        <v>1</v>
      </c>
      <c r="U1482" s="2" t="s">
        <v>79</v>
      </c>
      <c r="V1482" s="2">
        <v>1</v>
      </c>
      <c r="W1482" s="2" t="s">
        <v>80</v>
      </c>
      <c r="X1482" s="2">
        <v>5</v>
      </c>
      <c r="Y1482" s="2" t="s">
        <v>82</v>
      </c>
      <c r="Z1482" s="2">
        <v>1</v>
      </c>
      <c r="AA1482" s="2" t="s">
        <v>82</v>
      </c>
      <c r="AB1482" s="2">
        <v>9</v>
      </c>
      <c r="AC1482" s="2" t="s">
        <v>124</v>
      </c>
      <c r="AD1482" s="2"/>
      <c r="AE1482" s="2"/>
      <c r="AF1482" s="2"/>
      <c r="AG1482" s="2"/>
      <c r="AH1482" s="2">
        <v>6</v>
      </c>
      <c r="AI1482" s="2" t="s">
        <v>197</v>
      </c>
      <c r="AJ1482" s="2">
        <v>50</v>
      </c>
      <c r="AK1482" s="2" t="s">
        <v>330</v>
      </c>
      <c r="AL1482" s="2">
        <v>18</v>
      </c>
      <c r="AM1482" s="2" t="s">
        <v>82</v>
      </c>
      <c r="AN1482" s="2"/>
      <c r="AO1482" s="2"/>
      <c r="AP1482" s="2">
        <v>11</v>
      </c>
      <c r="AQ1482" s="2" t="s">
        <v>82</v>
      </c>
      <c r="AR1482" s="2"/>
      <c r="AS1482" s="2"/>
      <c r="AT1482" s="2" t="s">
        <v>5469</v>
      </c>
      <c r="AU1482" s="2">
        <v>1</v>
      </c>
      <c r="AV1482" s="2"/>
      <c r="AW1482" s="2"/>
      <c r="AX1482" s="2"/>
      <c r="AY1482" s="2">
        <v>1</v>
      </c>
      <c r="AZ1482" s="2" t="s">
        <v>107</v>
      </c>
      <c r="BA1482" s="2">
        <v>1</v>
      </c>
      <c r="BB1482" s="2" t="s">
        <v>107</v>
      </c>
      <c r="BC1482" s="2">
        <v>1</v>
      </c>
      <c r="BD1482" s="2" t="s">
        <v>107</v>
      </c>
      <c r="BE1482" s="2">
        <v>1</v>
      </c>
      <c r="BF1482" s="2" t="s">
        <v>107</v>
      </c>
      <c r="BG1482" s="2">
        <v>2683</v>
      </c>
      <c r="BH1482" s="4">
        <v>0.5</v>
      </c>
      <c r="BI1482" s="4">
        <v>0.52777777777777779</v>
      </c>
      <c r="BJ1482" s="2">
        <v>242</v>
      </c>
      <c r="BK1482" s="2" t="s">
        <v>107</v>
      </c>
      <c r="BL1482" s="2" t="s">
        <v>185</v>
      </c>
      <c r="BM1482" s="2">
        <v>242</v>
      </c>
      <c r="BN1482" s="2" t="s">
        <v>107</v>
      </c>
      <c r="BO1482" s="2" t="s">
        <v>1199</v>
      </c>
      <c r="BP1482" s="2">
        <v>242</v>
      </c>
      <c r="BQ1482" s="2" t="s">
        <v>107</v>
      </c>
      <c r="BR1482" s="2" t="s">
        <v>185</v>
      </c>
      <c r="BS1482" s="3">
        <v>40280</v>
      </c>
      <c r="BT1482" s="4">
        <v>0.54922453703703711</v>
      </c>
    </row>
    <row r="1483" spans="1:72" x14ac:dyDescent="0.25">
      <c r="A1483" s="2">
        <v>2186</v>
      </c>
      <c r="B1483" s="2">
        <v>2010</v>
      </c>
      <c r="C1483" s="2" t="s">
        <v>255</v>
      </c>
      <c r="D1483" s="2" t="s">
        <v>122</v>
      </c>
      <c r="E1483" s="2" t="s">
        <v>5470</v>
      </c>
      <c r="F1483" s="2">
        <v>279</v>
      </c>
      <c r="G1483" s="2" t="s">
        <v>4464</v>
      </c>
      <c r="H1483" s="2">
        <v>22</v>
      </c>
      <c r="I1483" s="2" t="s">
        <v>75</v>
      </c>
      <c r="J1483" s="2">
        <v>284</v>
      </c>
      <c r="K1483" s="2" t="s">
        <v>4465</v>
      </c>
      <c r="L1483" s="2" t="s">
        <v>4466</v>
      </c>
      <c r="M1483" s="3">
        <v>40280</v>
      </c>
      <c r="N1483" s="2" t="s">
        <v>5340</v>
      </c>
      <c r="O1483" s="2" t="s">
        <v>947</v>
      </c>
      <c r="P1483" s="2" t="s">
        <v>5341</v>
      </c>
      <c r="Q1483" s="2" t="str">
        <f>"003/2010"</f>
        <v>003/2010</v>
      </c>
      <c r="R1483" s="2" t="s">
        <v>947</v>
      </c>
      <c r="S1483" s="2" t="s">
        <v>947</v>
      </c>
      <c r="T1483" s="2">
        <v>1</v>
      </c>
      <c r="U1483" s="2" t="s">
        <v>79</v>
      </c>
      <c r="V1483" s="2">
        <v>1</v>
      </c>
      <c r="W1483" s="2" t="s">
        <v>80</v>
      </c>
      <c r="X1483" s="2">
        <v>5</v>
      </c>
      <c r="Y1483" s="2" t="s">
        <v>82</v>
      </c>
      <c r="Z1483" s="2">
        <v>1</v>
      </c>
      <c r="AA1483" s="2" t="s">
        <v>82</v>
      </c>
      <c r="AB1483" s="2">
        <v>9</v>
      </c>
      <c r="AC1483" s="2" t="s">
        <v>124</v>
      </c>
      <c r="AD1483" s="3">
        <v>40277</v>
      </c>
      <c r="AE1483" s="4">
        <v>0.31944444444444448</v>
      </c>
      <c r="AF1483" s="3">
        <v>40277</v>
      </c>
      <c r="AG1483" s="4">
        <v>0.64583333333333337</v>
      </c>
      <c r="AH1483" s="2">
        <v>3</v>
      </c>
      <c r="AI1483" s="2" t="s">
        <v>214</v>
      </c>
      <c r="AJ1483" s="2">
        <v>18</v>
      </c>
      <c r="AK1483" s="2" t="s">
        <v>4469</v>
      </c>
      <c r="AL1483" s="2">
        <v>9</v>
      </c>
      <c r="AM1483" s="2" t="s">
        <v>259</v>
      </c>
      <c r="AN1483" s="2"/>
      <c r="AO1483" s="2" t="s">
        <v>5342</v>
      </c>
      <c r="AP1483" s="2">
        <v>11</v>
      </c>
      <c r="AQ1483" s="2" t="s">
        <v>82</v>
      </c>
      <c r="AR1483" s="2"/>
      <c r="AS1483" s="2"/>
      <c r="AT1483" s="2" t="s">
        <v>5471</v>
      </c>
      <c r="AU1483" s="2"/>
      <c r="AV1483" s="2"/>
      <c r="AW1483" s="2"/>
      <c r="AX1483" s="2"/>
      <c r="AY1483" s="2">
        <v>41</v>
      </c>
      <c r="AZ1483" s="2" t="s">
        <v>82</v>
      </c>
      <c r="BA1483" s="2">
        <v>41</v>
      </c>
      <c r="BB1483" s="2" t="s">
        <v>82</v>
      </c>
      <c r="BC1483" s="2">
        <v>41</v>
      </c>
      <c r="BD1483" s="2" t="s">
        <v>82</v>
      </c>
      <c r="BE1483" s="2">
        <v>41</v>
      </c>
      <c r="BF1483" s="2" t="s">
        <v>82</v>
      </c>
      <c r="BG1483" s="2"/>
      <c r="BH1483" s="2"/>
      <c r="BI1483" s="2"/>
      <c r="BJ1483" s="2">
        <v>241</v>
      </c>
      <c r="BK1483" s="2" t="s">
        <v>82</v>
      </c>
      <c r="BL1483" s="2"/>
      <c r="BM1483" s="2">
        <v>241</v>
      </c>
      <c r="BN1483" s="2" t="s">
        <v>82</v>
      </c>
      <c r="BO1483" s="2"/>
      <c r="BP1483" s="2">
        <v>241</v>
      </c>
      <c r="BQ1483" s="2" t="s">
        <v>82</v>
      </c>
      <c r="BR1483" s="2"/>
      <c r="BS1483" s="3">
        <v>40280</v>
      </c>
      <c r="BT1483" s="4">
        <v>0.55724537037037036</v>
      </c>
    </row>
    <row r="1484" spans="1:72" x14ac:dyDescent="0.25">
      <c r="A1484" s="2">
        <v>2188</v>
      </c>
      <c r="B1484" s="2">
        <v>2010</v>
      </c>
      <c r="C1484" s="2" t="s">
        <v>171</v>
      </c>
      <c r="D1484" s="2" t="s">
        <v>73</v>
      </c>
      <c r="E1484" s="2"/>
      <c r="F1484" s="2">
        <v>400</v>
      </c>
      <c r="G1484" s="2" t="s">
        <v>3601</v>
      </c>
      <c r="H1484" s="2">
        <v>17</v>
      </c>
      <c r="I1484" s="2" t="s">
        <v>3602</v>
      </c>
      <c r="J1484" s="2">
        <v>316</v>
      </c>
      <c r="K1484" s="2" t="s">
        <v>574</v>
      </c>
      <c r="L1484" s="2" t="s">
        <v>575</v>
      </c>
      <c r="M1484" s="3">
        <v>40280</v>
      </c>
      <c r="N1484" s="2" t="s">
        <v>3826</v>
      </c>
      <c r="O1484" s="2"/>
      <c r="P1484" s="2"/>
      <c r="Q1484" s="2" t="str">
        <f>"196-E/10"</f>
        <v>196-E/10</v>
      </c>
      <c r="R1484" s="2"/>
      <c r="S1484" s="2" t="s">
        <v>5472</v>
      </c>
      <c r="T1484" s="2">
        <v>1</v>
      </c>
      <c r="U1484" s="2" t="s">
        <v>79</v>
      </c>
      <c r="V1484" s="2">
        <v>1</v>
      </c>
      <c r="W1484" s="2" t="s">
        <v>80</v>
      </c>
      <c r="X1484" s="2">
        <v>1</v>
      </c>
      <c r="Y1484" s="2" t="s">
        <v>81</v>
      </c>
      <c r="Z1484" s="2">
        <v>10</v>
      </c>
      <c r="AA1484" s="2" t="s">
        <v>236</v>
      </c>
      <c r="AB1484" s="2">
        <v>1</v>
      </c>
      <c r="AC1484" s="2" t="s">
        <v>178</v>
      </c>
      <c r="AD1484" s="3">
        <v>40280</v>
      </c>
      <c r="AE1484" s="4">
        <v>0.45833333333333331</v>
      </c>
      <c r="AF1484" s="2"/>
      <c r="AG1484" s="2"/>
      <c r="AH1484" s="2">
        <v>2</v>
      </c>
      <c r="AI1484" s="2" t="s">
        <v>84</v>
      </c>
      <c r="AJ1484" s="2">
        <v>9</v>
      </c>
      <c r="AK1484" s="2" t="s">
        <v>103</v>
      </c>
      <c r="AL1484" s="2">
        <v>11</v>
      </c>
      <c r="AM1484" s="2" t="s">
        <v>137</v>
      </c>
      <c r="AN1484" s="2" t="s">
        <v>1340</v>
      </c>
      <c r="AO1484" s="2" t="s">
        <v>5473</v>
      </c>
      <c r="AP1484" s="2">
        <v>11</v>
      </c>
      <c r="AQ1484" s="2" t="s">
        <v>82</v>
      </c>
      <c r="AR1484" s="2"/>
      <c r="AS1484" s="2"/>
      <c r="AT1484" s="2" t="s">
        <v>5474</v>
      </c>
      <c r="AU1484" s="2"/>
      <c r="AV1484" s="2">
        <v>1</v>
      </c>
      <c r="AW1484" s="2"/>
      <c r="AX1484" s="2"/>
      <c r="AY1484" s="2">
        <v>41</v>
      </c>
      <c r="AZ1484" s="2" t="s">
        <v>82</v>
      </c>
      <c r="BA1484" s="2">
        <v>41</v>
      </c>
      <c r="BB1484" s="2" t="s">
        <v>82</v>
      </c>
      <c r="BC1484" s="2">
        <v>41</v>
      </c>
      <c r="BD1484" s="2" t="s">
        <v>82</v>
      </c>
      <c r="BE1484" s="2">
        <v>23</v>
      </c>
      <c r="BF1484" s="2" t="s">
        <v>183</v>
      </c>
      <c r="BG1484" s="2" t="s">
        <v>5475</v>
      </c>
      <c r="BH1484" s="2"/>
      <c r="BI1484" s="4">
        <v>0.53125</v>
      </c>
      <c r="BJ1484" s="2">
        <v>13</v>
      </c>
      <c r="BK1484" s="2" t="s">
        <v>91</v>
      </c>
      <c r="BL1484" s="2" t="s">
        <v>5300</v>
      </c>
      <c r="BM1484" s="2">
        <v>241</v>
      </c>
      <c r="BN1484" s="2" t="s">
        <v>82</v>
      </c>
      <c r="BO1484" s="2"/>
      <c r="BP1484" s="2">
        <v>73</v>
      </c>
      <c r="BQ1484" s="2" t="s">
        <v>186</v>
      </c>
      <c r="BR1484" s="2" t="s">
        <v>187</v>
      </c>
      <c r="BS1484" s="3">
        <v>40280</v>
      </c>
      <c r="BT1484" s="4">
        <v>0.63592592592592589</v>
      </c>
    </row>
    <row r="1485" spans="1:72" x14ac:dyDescent="0.25">
      <c r="A1485" s="2">
        <v>2192</v>
      </c>
      <c r="B1485" s="2">
        <v>2010</v>
      </c>
      <c r="C1485" s="2" t="s">
        <v>554</v>
      </c>
      <c r="D1485" s="2" t="s">
        <v>73</v>
      </c>
      <c r="E1485" s="2"/>
      <c r="F1485" s="2">
        <v>214</v>
      </c>
      <c r="G1485" s="2" t="s">
        <v>4930</v>
      </c>
      <c r="H1485" s="2">
        <v>50</v>
      </c>
      <c r="I1485" s="2" t="s">
        <v>107</v>
      </c>
      <c r="J1485" s="2">
        <v>227</v>
      </c>
      <c r="K1485" s="2" t="s">
        <v>864</v>
      </c>
      <c r="L1485" s="2" t="s">
        <v>4932</v>
      </c>
      <c r="M1485" s="3">
        <v>40280</v>
      </c>
      <c r="N1485" s="2"/>
      <c r="O1485" s="2" t="s">
        <v>107</v>
      </c>
      <c r="P1485" s="2" t="s">
        <v>107</v>
      </c>
      <c r="Q1485" s="2" t="str">
        <f>"153A/10"</f>
        <v>153A/10</v>
      </c>
      <c r="R1485" s="2" t="s">
        <v>1130</v>
      </c>
      <c r="S1485" s="2" t="s">
        <v>1130</v>
      </c>
      <c r="T1485" s="2">
        <v>1</v>
      </c>
      <c r="U1485" s="2" t="s">
        <v>79</v>
      </c>
      <c r="V1485" s="2">
        <v>1</v>
      </c>
      <c r="W1485" s="2" t="s">
        <v>80</v>
      </c>
      <c r="X1485" s="2">
        <v>5</v>
      </c>
      <c r="Y1485" s="2" t="s">
        <v>82</v>
      </c>
      <c r="Z1485" s="2">
        <v>1</v>
      </c>
      <c r="AA1485" s="2" t="s">
        <v>82</v>
      </c>
      <c r="AB1485" s="2">
        <v>5</v>
      </c>
      <c r="AC1485" s="2" t="s">
        <v>559</v>
      </c>
      <c r="AD1485" s="3">
        <v>40280</v>
      </c>
      <c r="AE1485" s="4">
        <v>0.25694444444444448</v>
      </c>
      <c r="AF1485" s="3">
        <v>40280</v>
      </c>
      <c r="AG1485" s="4">
        <v>0.37361111111111112</v>
      </c>
      <c r="AH1485" s="2">
        <v>2</v>
      </c>
      <c r="AI1485" s="2" t="s">
        <v>84</v>
      </c>
      <c r="AJ1485" s="2">
        <v>12</v>
      </c>
      <c r="AK1485" s="2" t="s">
        <v>85</v>
      </c>
      <c r="AL1485" s="2">
        <v>18</v>
      </c>
      <c r="AM1485" s="2" t="s">
        <v>82</v>
      </c>
      <c r="AN1485" s="2"/>
      <c r="AO1485" s="2" t="s">
        <v>5476</v>
      </c>
      <c r="AP1485" s="2">
        <v>11</v>
      </c>
      <c r="AQ1485" s="2" t="s">
        <v>82</v>
      </c>
      <c r="AR1485" s="2"/>
      <c r="AS1485" s="2"/>
      <c r="AT1485" s="2" t="s">
        <v>5477</v>
      </c>
      <c r="AU1485" s="2"/>
      <c r="AV1485" s="2"/>
      <c r="AW1485" s="2"/>
      <c r="AX1485" s="2"/>
      <c r="AY1485" s="2">
        <v>112</v>
      </c>
      <c r="AZ1485" s="2" t="s">
        <v>5478</v>
      </c>
      <c r="BA1485" s="2">
        <v>112</v>
      </c>
      <c r="BB1485" s="2" t="s">
        <v>5478</v>
      </c>
      <c r="BC1485" s="2">
        <v>41</v>
      </c>
      <c r="BD1485" s="2" t="s">
        <v>82</v>
      </c>
      <c r="BE1485" s="2">
        <v>41</v>
      </c>
      <c r="BF1485" s="2" t="s">
        <v>82</v>
      </c>
      <c r="BG1485" s="2"/>
      <c r="BH1485" s="2"/>
      <c r="BI1485" s="2"/>
      <c r="BJ1485" s="2">
        <v>241</v>
      </c>
      <c r="BK1485" s="2" t="s">
        <v>82</v>
      </c>
      <c r="BL1485" s="2"/>
      <c r="BM1485" s="2">
        <v>241</v>
      </c>
      <c r="BN1485" s="2" t="s">
        <v>82</v>
      </c>
      <c r="BO1485" s="2"/>
      <c r="BP1485" s="2">
        <v>241</v>
      </c>
      <c r="BQ1485" s="2" t="s">
        <v>82</v>
      </c>
      <c r="BR1485" s="2"/>
      <c r="BS1485" s="3">
        <v>40280</v>
      </c>
      <c r="BT1485" s="4">
        <v>0.71328703703703711</v>
      </c>
    </row>
    <row r="1486" spans="1:72" x14ac:dyDescent="0.25">
      <c r="A1486" s="2">
        <v>2193</v>
      </c>
      <c r="B1486" s="2">
        <v>2010</v>
      </c>
      <c r="C1486" s="2" t="s">
        <v>409</v>
      </c>
      <c r="D1486" s="2" t="s">
        <v>122</v>
      </c>
      <c r="E1486" s="2"/>
      <c r="F1486" s="2">
        <v>146</v>
      </c>
      <c r="G1486" s="2" t="s">
        <v>753</v>
      </c>
      <c r="H1486" s="2">
        <v>39</v>
      </c>
      <c r="I1486" s="2" t="s">
        <v>1117</v>
      </c>
      <c r="J1486" s="2">
        <v>161</v>
      </c>
      <c r="K1486" s="2" t="s">
        <v>1900</v>
      </c>
      <c r="L1486" s="2" t="s">
        <v>1901</v>
      </c>
      <c r="M1486" s="3">
        <v>40280</v>
      </c>
      <c r="N1486" s="2" t="s">
        <v>4862</v>
      </c>
      <c r="O1486" s="2" t="s">
        <v>5479</v>
      </c>
      <c r="P1486" s="2">
        <v>2277</v>
      </c>
      <c r="Q1486" s="2" t="str">
        <f>"N/C"</f>
        <v>N/C</v>
      </c>
      <c r="R1486" s="2" t="s">
        <v>82</v>
      </c>
      <c r="S1486" s="2" t="s">
        <v>82</v>
      </c>
      <c r="T1486" s="2">
        <v>1</v>
      </c>
      <c r="U1486" s="2" t="s">
        <v>79</v>
      </c>
      <c r="V1486" s="2">
        <v>1</v>
      </c>
      <c r="W1486" s="2" t="s">
        <v>80</v>
      </c>
      <c r="X1486" s="2">
        <v>4</v>
      </c>
      <c r="Y1486" s="2" t="s">
        <v>463</v>
      </c>
      <c r="Z1486" s="2">
        <v>1</v>
      </c>
      <c r="AA1486" s="2" t="s">
        <v>82</v>
      </c>
      <c r="AB1486" s="2">
        <v>9</v>
      </c>
      <c r="AC1486" s="2" t="s">
        <v>124</v>
      </c>
      <c r="AD1486" s="3">
        <v>40280</v>
      </c>
      <c r="AE1486" s="4">
        <v>0.69791666666666663</v>
      </c>
      <c r="AF1486" s="2"/>
      <c r="AG1486" s="2"/>
      <c r="AH1486" s="2">
        <v>6</v>
      </c>
      <c r="AI1486" s="2" t="s">
        <v>197</v>
      </c>
      <c r="AJ1486" s="2">
        <v>60</v>
      </c>
      <c r="AK1486" s="2" t="s">
        <v>543</v>
      </c>
      <c r="AL1486" s="2">
        <v>18</v>
      </c>
      <c r="AM1486" s="2" t="s">
        <v>82</v>
      </c>
      <c r="AN1486" s="2" t="s">
        <v>82</v>
      </c>
      <c r="AO1486" s="2" t="s">
        <v>82</v>
      </c>
      <c r="AP1486" s="2">
        <v>11</v>
      </c>
      <c r="AQ1486" s="2" t="s">
        <v>82</v>
      </c>
      <c r="AR1486" s="2" t="s">
        <v>82</v>
      </c>
      <c r="AS1486" s="2" t="s">
        <v>82</v>
      </c>
      <c r="AT1486" s="2" t="s">
        <v>5480</v>
      </c>
      <c r="AU1486" s="2"/>
      <c r="AV1486" s="2"/>
      <c r="AW1486" s="2"/>
      <c r="AX1486" s="2"/>
      <c r="AY1486" s="2">
        <v>41</v>
      </c>
      <c r="AZ1486" s="2" t="s">
        <v>82</v>
      </c>
      <c r="BA1486" s="2">
        <v>1</v>
      </c>
      <c r="BB1486" s="2" t="s">
        <v>107</v>
      </c>
      <c r="BC1486" s="2">
        <v>41</v>
      </c>
      <c r="BD1486" s="2" t="s">
        <v>82</v>
      </c>
      <c r="BE1486" s="2">
        <v>42</v>
      </c>
      <c r="BF1486" s="2" t="s">
        <v>182</v>
      </c>
      <c r="BG1486" s="2" t="s">
        <v>5481</v>
      </c>
      <c r="BH1486" s="4">
        <v>0.66666666666666663</v>
      </c>
      <c r="BI1486" s="4">
        <v>0.69791666666666663</v>
      </c>
      <c r="BJ1486" s="2">
        <v>13</v>
      </c>
      <c r="BK1486" s="2" t="s">
        <v>91</v>
      </c>
      <c r="BL1486" s="2" t="s">
        <v>4398</v>
      </c>
      <c r="BM1486" s="2">
        <v>13</v>
      </c>
      <c r="BN1486" s="2" t="s">
        <v>91</v>
      </c>
      <c r="BO1486" s="2" t="s">
        <v>5482</v>
      </c>
      <c r="BP1486" s="2">
        <v>13</v>
      </c>
      <c r="BQ1486" s="2" t="s">
        <v>91</v>
      </c>
      <c r="BR1486" s="2" t="s">
        <v>353</v>
      </c>
      <c r="BS1486" s="3">
        <v>40280</v>
      </c>
      <c r="BT1486" s="4">
        <v>0.73936342592592597</v>
      </c>
    </row>
    <row r="1487" spans="1:72" x14ac:dyDescent="0.25">
      <c r="A1487" s="2">
        <v>2195</v>
      </c>
      <c r="B1487" s="2">
        <v>2010</v>
      </c>
      <c r="C1487" s="2" t="s">
        <v>72</v>
      </c>
      <c r="D1487" s="2" t="s">
        <v>73</v>
      </c>
      <c r="E1487" s="2"/>
      <c r="F1487" s="2">
        <v>3</v>
      </c>
      <c r="G1487" s="2" t="s">
        <v>1041</v>
      </c>
      <c r="H1487" s="2">
        <v>1</v>
      </c>
      <c r="I1487" s="2" t="s">
        <v>82</v>
      </c>
      <c r="J1487" s="2">
        <v>368</v>
      </c>
      <c r="K1487" s="2" t="s">
        <v>1042</v>
      </c>
      <c r="L1487" s="2" t="s">
        <v>1043</v>
      </c>
      <c r="M1487" s="3">
        <v>40280</v>
      </c>
      <c r="N1487" s="2"/>
      <c r="O1487" s="2"/>
      <c r="P1487" s="2"/>
      <c r="Q1487" s="2" t="str">
        <f>"02-R/10"</f>
        <v>02-R/10</v>
      </c>
      <c r="R1487" s="2"/>
      <c r="S1487" s="2" t="s">
        <v>78</v>
      </c>
      <c r="T1487" s="2">
        <v>1</v>
      </c>
      <c r="U1487" s="2" t="s">
        <v>79</v>
      </c>
      <c r="V1487" s="2">
        <v>1</v>
      </c>
      <c r="W1487" s="2" t="s">
        <v>80</v>
      </c>
      <c r="X1487" s="2">
        <v>5</v>
      </c>
      <c r="Y1487" s="2" t="s">
        <v>82</v>
      </c>
      <c r="Z1487" s="2">
        <v>10</v>
      </c>
      <c r="AA1487" s="2" t="s">
        <v>236</v>
      </c>
      <c r="AB1487" s="2">
        <v>6</v>
      </c>
      <c r="AC1487" s="2" t="s">
        <v>83</v>
      </c>
      <c r="AD1487" s="3">
        <v>40260</v>
      </c>
      <c r="AE1487" s="4">
        <v>0.60416666666666663</v>
      </c>
      <c r="AF1487" s="3">
        <v>40260</v>
      </c>
      <c r="AG1487" s="4">
        <v>0.64583333333333337</v>
      </c>
      <c r="AH1487" s="2">
        <v>2</v>
      </c>
      <c r="AI1487" s="2" t="s">
        <v>84</v>
      </c>
      <c r="AJ1487" s="2">
        <v>5</v>
      </c>
      <c r="AK1487" s="2" t="s">
        <v>84</v>
      </c>
      <c r="AL1487" s="2">
        <v>18</v>
      </c>
      <c r="AM1487" s="2" t="s">
        <v>82</v>
      </c>
      <c r="AN1487" s="2" t="s">
        <v>5483</v>
      </c>
      <c r="AO1487" s="2" t="s">
        <v>628</v>
      </c>
      <c r="AP1487" s="2">
        <v>11</v>
      </c>
      <c r="AQ1487" s="2" t="s">
        <v>82</v>
      </c>
      <c r="AR1487" s="2"/>
      <c r="AS1487" s="2"/>
      <c r="AT1487" s="2" t="s">
        <v>5484</v>
      </c>
      <c r="AU1487" s="2"/>
      <c r="AV1487" s="2"/>
      <c r="AW1487" s="2"/>
      <c r="AX1487" s="2"/>
      <c r="AY1487" s="2">
        <v>41</v>
      </c>
      <c r="AZ1487" s="2" t="s">
        <v>82</v>
      </c>
      <c r="BA1487" s="2">
        <v>41</v>
      </c>
      <c r="BB1487" s="2" t="s">
        <v>82</v>
      </c>
      <c r="BC1487" s="2">
        <v>41</v>
      </c>
      <c r="BD1487" s="2" t="s">
        <v>82</v>
      </c>
      <c r="BE1487" s="2">
        <v>41</v>
      </c>
      <c r="BF1487" s="2" t="s">
        <v>82</v>
      </c>
      <c r="BG1487" s="2"/>
      <c r="BH1487" s="2"/>
      <c r="BI1487" s="2"/>
      <c r="BJ1487" s="2">
        <v>241</v>
      </c>
      <c r="BK1487" s="2" t="s">
        <v>82</v>
      </c>
      <c r="BL1487" s="2"/>
      <c r="BM1487" s="2">
        <v>241</v>
      </c>
      <c r="BN1487" s="2" t="s">
        <v>82</v>
      </c>
      <c r="BO1487" s="2"/>
      <c r="BP1487" s="2">
        <v>241</v>
      </c>
      <c r="BQ1487" s="2" t="s">
        <v>82</v>
      </c>
      <c r="BR1487" s="2"/>
      <c r="BS1487" s="3">
        <v>40280</v>
      </c>
      <c r="BT1487" s="4">
        <v>0.78628472222222223</v>
      </c>
    </row>
    <row r="1488" spans="1:72" x14ac:dyDescent="0.25">
      <c r="A1488" s="2">
        <v>2196</v>
      </c>
      <c r="B1488" s="2">
        <v>2010</v>
      </c>
      <c r="C1488" s="2" t="s">
        <v>171</v>
      </c>
      <c r="D1488" s="2" t="s">
        <v>73</v>
      </c>
      <c r="E1488" s="2"/>
      <c r="F1488" s="2">
        <v>400</v>
      </c>
      <c r="G1488" s="2" t="s">
        <v>3601</v>
      </c>
      <c r="H1488" s="2">
        <v>17</v>
      </c>
      <c r="I1488" s="2" t="s">
        <v>3602</v>
      </c>
      <c r="J1488" s="2">
        <v>316</v>
      </c>
      <c r="K1488" s="2" t="s">
        <v>574</v>
      </c>
      <c r="L1488" s="2" t="s">
        <v>575</v>
      </c>
      <c r="M1488" s="3">
        <v>40280</v>
      </c>
      <c r="N1488" s="2" t="s">
        <v>3826</v>
      </c>
      <c r="O1488" s="2" t="s">
        <v>107</v>
      </c>
      <c r="P1488" s="2" t="s">
        <v>107</v>
      </c>
      <c r="Q1488" s="2" t="str">
        <f>"197-E/10"</f>
        <v>197-E/10</v>
      </c>
      <c r="R1488" s="2" t="s">
        <v>5485</v>
      </c>
      <c r="S1488" s="2" t="s">
        <v>5485</v>
      </c>
      <c r="T1488" s="2">
        <v>1</v>
      </c>
      <c r="U1488" s="2" t="s">
        <v>79</v>
      </c>
      <c r="V1488" s="2">
        <v>3</v>
      </c>
      <c r="W1488" s="2" t="s">
        <v>225</v>
      </c>
      <c r="X1488" s="2">
        <v>12</v>
      </c>
      <c r="Y1488" s="2" t="s">
        <v>148</v>
      </c>
      <c r="Z1488" s="2">
        <v>10</v>
      </c>
      <c r="AA1488" s="2" t="s">
        <v>236</v>
      </c>
      <c r="AB1488" s="2">
        <v>9</v>
      </c>
      <c r="AC1488" s="2" t="s">
        <v>124</v>
      </c>
      <c r="AD1488" s="2"/>
      <c r="AE1488" s="2"/>
      <c r="AF1488" s="3">
        <v>40280</v>
      </c>
      <c r="AG1488" s="4">
        <v>0.3444444444444445</v>
      </c>
      <c r="AH1488" s="2">
        <v>2</v>
      </c>
      <c r="AI1488" s="2" t="s">
        <v>84</v>
      </c>
      <c r="AJ1488" s="2">
        <v>9</v>
      </c>
      <c r="AK1488" s="2" t="s">
        <v>103</v>
      </c>
      <c r="AL1488" s="2">
        <v>19</v>
      </c>
      <c r="AM1488" s="2" t="s">
        <v>107</v>
      </c>
      <c r="AN1488" s="2" t="s">
        <v>107</v>
      </c>
      <c r="AO1488" s="2" t="s">
        <v>5486</v>
      </c>
      <c r="AP1488" s="2">
        <v>11</v>
      </c>
      <c r="AQ1488" s="2" t="s">
        <v>82</v>
      </c>
      <c r="AR1488" s="2" t="s">
        <v>82</v>
      </c>
      <c r="AS1488" s="2" t="s">
        <v>82</v>
      </c>
      <c r="AT1488" s="2" t="s">
        <v>5487</v>
      </c>
      <c r="AU1488" s="2"/>
      <c r="AV1488" s="2"/>
      <c r="AW1488" s="2"/>
      <c r="AX1488" s="2"/>
      <c r="AY1488" s="2">
        <v>1</v>
      </c>
      <c r="AZ1488" s="2" t="s">
        <v>107</v>
      </c>
      <c r="BA1488" s="2">
        <v>1</v>
      </c>
      <c r="BB1488" s="2" t="s">
        <v>107</v>
      </c>
      <c r="BC1488" s="2">
        <v>1</v>
      </c>
      <c r="BD1488" s="2" t="s">
        <v>107</v>
      </c>
      <c r="BE1488" s="2">
        <v>1</v>
      </c>
      <c r="BF1488" s="2" t="s">
        <v>107</v>
      </c>
      <c r="BG1488" s="2" t="s">
        <v>107</v>
      </c>
      <c r="BH1488" s="2"/>
      <c r="BI1488" s="2"/>
      <c r="BJ1488" s="2">
        <v>242</v>
      </c>
      <c r="BK1488" s="2" t="s">
        <v>107</v>
      </c>
      <c r="BL1488" s="2" t="s">
        <v>107</v>
      </c>
      <c r="BM1488" s="2">
        <v>242</v>
      </c>
      <c r="BN1488" s="2" t="s">
        <v>107</v>
      </c>
      <c r="BO1488" s="2" t="s">
        <v>107</v>
      </c>
      <c r="BP1488" s="2">
        <v>242</v>
      </c>
      <c r="BQ1488" s="2" t="s">
        <v>107</v>
      </c>
      <c r="BR1488" s="2" t="s">
        <v>107</v>
      </c>
      <c r="BS1488" s="3">
        <v>40280</v>
      </c>
      <c r="BT1488" s="4">
        <v>0.79621527777777779</v>
      </c>
    </row>
    <row r="1489" spans="1:72" x14ac:dyDescent="0.25">
      <c r="A1489" s="2">
        <v>2197</v>
      </c>
      <c r="B1489" s="2">
        <v>2010</v>
      </c>
      <c r="C1489" s="2" t="s">
        <v>93</v>
      </c>
      <c r="D1489" s="2" t="s">
        <v>73</v>
      </c>
      <c r="E1489" s="2"/>
      <c r="F1489" s="2">
        <v>34</v>
      </c>
      <c r="G1489" s="2" t="s">
        <v>334</v>
      </c>
      <c r="H1489" s="2">
        <v>91</v>
      </c>
      <c r="I1489" s="2" t="s">
        <v>5420</v>
      </c>
      <c r="J1489" s="2">
        <v>43</v>
      </c>
      <c r="K1489" s="2" t="s">
        <v>2059</v>
      </c>
      <c r="L1489" s="2" t="s">
        <v>2060</v>
      </c>
      <c r="M1489" s="3">
        <v>40280</v>
      </c>
      <c r="N1489" s="2" t="s">
        <v>5488</v>
      </c>
      <c r="O1489" s="2" t="s">
        <v>82</v>
      </c>
      <c r="P1489" s="2"/>
      <c r="Q1489" s="2" t="str">
        <f>"18/10"</f>
        <v>18/10</v>
      </c>
      <c r="R1489" s="2" t="s">
        <v>82</v>
      </c>
      <c r="S1489" s="2" t="s">
        <v>82</v>
      </c>
      <c r="T1489" s="2">
        <v>1</v>
      </c>
      <c r="U1489" s="2" t="s">
        <v>79</v>
      </c>
      <c r="V1489" s="2">
        <v>1</v>
      </c>
      <c r="W1489" s="2" t="s">
        <v>80</v>
      </c>
      <c r="X1489" s="2">
        <v>4</v>
      </c>
      <c r="Y1489" s="2" t="s">
        <v>463</v>
      </c>
      <c r="Z1489" s="2">
        <v>6</v>
      </c>
      <c r="AA1489" s="2" t="s">
        <v>101</v>
      </c>
      <c r="AB1489" s="2">
        <v>2</v>
      </c>
      <c r="AC1489" s="2" t="s">
        <v>102</v>
      </c>
      <c r="AD1489" s="3">
        <v>40280</v>
      </c>
      <c r="AE1489" s="4">
        <v>0.73611111111111116</v>
      </c>
      <c r="AF1489" s="2"/>
      <c r="AG1489" s="2"/>
      <c r="AH1489" s="2">
        <v>3</v>
      </c>
      <c r="AI1489" s="2" t="s">
        <v>214</v>
      </c>
      <c r="AJ1489" s="2">
        <v>17</v>
      </c>
      <c r="AK1489" s="2" t="s">
        <v>309</v>
      </c>
      <c r="AL1489" s="2">
        <v>11</v>
      </c>
      <c r="AM1489" s="2" t="s">
        <v>137</v>
      </c>
      <c r="AN1489" s="2" t="s">
        <v>5489</v>
      </c>
      <c r="AO1489" s="2" t="s">
        <v>1059</v>
      </c>
      <c r="AP1489" s="2">
        <v>11</v>
      </c>
      <c r="AQ1489" s="2" t="s">
        <v>82</v>
      </c>
      <c r="AR1489" s="2"/>
      <c r="AS1489" s="2"/>
      <c r="AT1489" s="2" t="s">
        <v>5490</v>
      </c>
      <c r="AU1489" s="2">
        <v>1</v>
      </c>
      <c r="AV1489" s="2"/>
      <c r="AW1489" s="2"/>
      <c r="AX1489" s="2"/>
      <c r="AY1489" s="2">
        <v>41</v>
      </c>
      <c r="AZ1489" s="2" t="s">
        <v>82</v>
      </c>
      <c r="BA1489" s="2">
        <v>41</v>
      </c>
      <c r="BB1489" s="2" t="s">
        <v>82</v>
      </c>
      <c r="BC1489" s="2">
        <v>41</v>
      </c>
      <c r="BD1489" s="2" t="s">
        <v>82</v>
      </c>
      <c r="BE1489" s="2">
        <v>17</v>
      </c>
      <c r="BF1489" s="2" t="s">
        <v>508</v>
      </c>
      <c r="BG1489" s="2">
        <v>933</v>
      </c>
      <c r="BH1489" s="4">
        <v>0.77916666666666667</v>
      </c>
      <c r="BI1489" s="4">
        <v>0.7583333333333333</v>
      </c>
      <c r="BJ1489" s="2">
        <v>13</v>
      </c>
      <c r="BK1489" s="2" t="s">
        <v>91</v>
      </c>
      <c r="BL1489" s="2" t="s">
        <v>445</v>
      </c>
      <c r="BM1489" s="2">
        <v>241</v>
      </c>
      <c r="BN1489" s="2" t="s">
        <v>82</v>
      </c>
      <c r="BO1489" s="2"/>
      <c r="BP1489" s="2">
        <v>173</v>
      </c>
      <c r="BQ1489" s="2" t="s">
        <v>223</v>
      </c>
      <c r="BR1489" s="2" t="s">
        <v>224</v>
      </c>
      <c r="BS1489" s="3">
        <v>40280</v>
      </c>
      <c r="BT1489" s="4">
        <v>0.91401620370370373</v>
      </c>
    </row>
    <row r="1490" spans="1:72" x14ac:dyDescent="0.25">
      <c r="A1490" s="2">
        <v>2198</v>
      </c>
      <c r="B1490" s="2">
        <v>2010</v>
      </c>
      <c r="C1490" s="2" t="s">
        <v>171</v>
      </c>
      <c r="D1490" s="2" t="s">
        <v>122</v>
      </c>
      <c r="E1490" s="2" t="s">
        <v>5491</v>
      </c>
      <c r="F1490" s="2">
        <v>400</v>
      </c>
      <c r="G1490" s="2" t="s">
        <v>3601</v>
      </c>
      <c r="H1490" s="2">
        <v>16</v>
      </c>
      <c r="I1490" s="2" t="s">
        <v>3027</v>
      </c>
      <c r="J1490" s="2">
        <v>316</v>
      </c>
      <c r="K1490" s="2" t="s">
        <v>574</v>
      </c>
      <c r="L1490" s="2" t="s">
        <v>575</v>
      </c>
      <c r="M1490" s="3">
        <v>40280</v>
      </c>
      <c r="N1490" s="2" t="s">
        <v>4867</v>
      </c>
      <c r="O1490" s="2"/>
      <c r="P1490" s="2"/>
      <c r="Q1490" s="2" t="str">
        <f>"191-E/10"</f>
        <v>191-E/10</v>
      </c>
      <c r="R1490" s="2" t="s">
        <v>5361</v>
      </c>
      <c r="S1490" s="2"/>
      <c r="T1490" s="2">
        <v>1</v>
      </c>
      <c r="U1490" s="2" t="s">
        <v>79</v>
      </c>
      <c r="V1490" s="2">
        <v>1</v>
      </c>
      <c r="W1490" s="2" t="s">
        <v>80</v>
      </c>
      <c r="X1490" s="2">
        <v>1</v>
      </c>
      <c r="Y1490" s="2" t="s">
        <v>81</v>
      </c>
      <c r="Z1490" s="2">
        <v>1</v>
      </c>
      <c r="AA1490" s="2" t="s">
        <v>82</v>
      </c>
      <c r="AB1490" s="2">
        <v>1</v>
      </c>
      <c r="AC1490" s="2" t="s">
        <v>178</v>
      </c>
      <c r="AD1490" s="3">
        <v>40277</v>
      </c>
      <c r="AE1490" s="4">
        <v>0.60416666666666663</v>
      </c>
      <c r="AF1490" s="2"/>
      <c r="AG1490" s="2"/>
      <c r="AH1490" s="2">
        <v>2</v>
      </c>
      <c r="AI1490" s="2" t="s">
        <v>84</v>
      </c>
      <c r="AJ1490" s="2">
        <v>9</v>
      </c>
      <c r="AK1490" s="2" t="s">
        <v>103</v>
      </c>
      <c r="AL1490" s="2">
        <v>15</v>
      </c>
      <c r="AM1490" s="2" t="s">
        <v>104</v>
      </c>
      <c r="AN1490" s="2" t="s">
        <v>5362</v>
      </c>
      <c r="AO1490" s="2"/>
      <c r="AP1490" s="2">
        <v>11</v>
      </c>
      <c r="AQ1490" s="2" t="s">
        <v>82</v>
      </c>
      <c r="AR1490" s="2"/>
      <c r="AS1490" s="2"/>
      <c r="AT1490" s="2" t="s">
        <v>5492</v>
      </c>
      <c r="AU1490" s="2"/>
      <c r="AV1490" s="2">
        <v>1</v>
      </c>
      <c r="AW1490" s="2"/>
      <c r="AX1490" s="2"/>
      <c r="AY1490" s="2">
        <v>41</v>
      </c>
      <c r="AZ1490" s="2" t="s">
        <v>82</v>
      </c>
      <c r="BA1490" s="2">
        <v>41</v>
      </c>
      <c r="BB1490" s="2" t="s">
        <v>82</v>
      </c>
      <c r="BC1490" s="2">
        <v>41</v>
      </c>
      <c r="BD1490" s="2" t="s">
        <v>82</v>
      </c>
      <c r="BE1490" s="2">
        <v>13</v>
      </c>
      <c r="BF1490" s="2" t="s">
        <v>108</v>
      </c>
      <c r="BG1490" s="2" t="s">
        <v>5364</v>
      </c>
      <c r="BH1490" s="2"/>
      <c r="BI1490" s="4">
        <v>0.625</v>
      </c>
      <c r="BJ1490" s="2">
        <v>13</v>
      </c>
      <c r="BK1490" s="2" t="s">
        <v>91</v>
      </c>
      <c r="BL1490" s="2" t="s">
        <v>185</v>
      </c>
      <c r="BM1490" s="2">
        <v>241</v>
      </c>
      <c r="BN1490" s="2" t="s">
        <v>82</v>
      </c>
      <c r="BO1490" s="2"/>
      <c r="BP1490" s="2">
        <v>73</v>
      </c>
      <c r="BQ1490" s="2" t="s">
        <v>186</v>
      </c>
      <c r="BR1490" s="2" t="s">
        <v>675</v>
      </c>
      <c r="BS1490" s="3">
        <v>40280</v>
      </c>
      <c r="BT1490" s="4">
        <v>0.91674768518518512</v>
      </c>
    </row>
    <row r="1491" spans="1:72" x14ac:dyDescent="0.25">
      <c r="A1491" s="2">
        <v>2199</v>
      </c>
      <c r="B1491" s="2">
        <v>2010</v>
      </c>
      <c r="C1491" s="2" t="s">
        <v>1568</v>
      </c>
      <c r="D1491" s="2" t="s">
        <v>122</v>
      </c>
      <c r="E1491" s="2" t="s">
        <v>5493</v>
      </c>
      <c r="F1491" s="2">
        <v>389</v>
      </c>
      <c r="G1491" s="2" t="s">
        <v>1819</v>
      </c>
      <c r="H1491" s="2">
        <v>3</v>
      </c>
      <c r="I1491" s="2" t="s">
        <v>315</v>
      </c>
      <c r="J1491" s="2">
        <v>399</v>
      </c>
      <c r="K1491" s="2" t="s">
        <v>1820</v>
      </c>
      <c r="L1491" s="2" t="s">
        <v>1821</v>
      </c>
      <c r="M1491" s="3">
        <v>40280</v>
      </c>
      <c r="N1491" s="2" t="s">
        <v>4976</v>
      </c>
      <c r="O1491" s="2"/>
      <c r="P1491" s="2"/>
      <c r="Q1491" s="2" t="str">
        <f>"193-E/10"</f>
        <v>193-E/10</v>
      </c>
      <c r="R1491" s="2" t="s">
        <v>5370</v>
      </c>
      <c r="S1491" s="2"/>
      <c r="T1491" s="2">
        <v>1</v>
      </c>
      <c r="U1491" s="2" t="s">
        <v>79</v>
      </c>
      <c r="V1491" s="2">
        <v>1</v>
      </c>
      <c r="W1491" s="2" t="s">
        <v>80</v>
      </c>
      <c r="X1491" s="2">
        <v>1</v>
      </c>
      <c r="Y1491" s="2" t="s">
        <v>81</v>
      </c>
      <c r="Z1491" s="2">
        <v>1</v>
      </c>
      <c r="AA1491" s="2" t="s">
        <v>82</v>
      </c>
      <c r="AB1491" s="2">
        <v>4</v>
      </c>
      <c r="AC1491" s="2" t="s">
        <v>1569</v>
      </c>
      <c r="AD1491" s="3">
        <v>40278</v>
      </c>
      <c r="AE1491" s="4">
        <v>6.25E-2</v>
      </c>
      <c r="AF1491" s="2"/>
      <c r="AG1491" s="2"/>
      <c r="AH1491" s="2">
        <v>2</v>
      </c>
      <c r="AI1491" s="2" t="s">
        <v>84</v>
      </c>
      <c r="AJ1491" s="2">
        <v>9</v>
      </c>
      <c r="AK1491" s="2" t="s">
        <v>103</v>
      </c>
      <c r="AL1491" s="2">
        <v>8</v>
      </c>
      <c r="AM1491" s="2" t="s">
        <v>179</v>
      </c>
      <c r="AN1491" s="2" t="s">
        <v>1230</v>
      </c>
      <c r="AO1491" s="2"/>
      <c r="AP1491" s="2">
        <v>11</v>
      </c>
      <c r="AQ1491" s="2" t="s">
        <v>82</v>
      </c>
      <c r="AR1491" s="2"/>
      <c r="AS1491" s="2"/>
      <c r="AT1491" s="2" t="s">
        <v>5494</v>
      </c>
      <c r="AU1491" s="2"/>
      <c r="AV1491" s="2">
        <v>1</v>
      </c>
      <c r="AW1491" s="2"/>
      <c r="AX1491" s="2"/>
      <c r="AY1491" s="2">
        <v>41</v>
      </c>
      <c r="AZ1491" s="2" t="s">
        <v>82</v>
      </c>
      <c r="BA1491" s="2">
        <v>41</v>
      </c>
      <c r="BB1491" s="2" t="s">
        <v>82</v>
      </c>
      <c r="BC1491" s="2">
        <v>41</v>
      </c>
      <c r="BD1491" s="2" t="s">
        <v>82</v>
      </c>
      <c r="BE1491" s="2">
        <v>39</v>
      </c>
      <c r="BF1491" s="2" t="s">
        <v>440</v>
      </c>
      <c r="BG1491" s="2" t="s">
        <v>5373</v>
      </c>
      <c r="BH1491" s="2"/>
      <c r="BI1491" s="4">
        <v>0.11458333333333333</v>
      </c>
      <c r="BJ1491" s="2">
        <v>13</v>
      </c>
      <c r="BK1491" s="2" t="s">
        <v>91</v>
      </c>
      <c r="BL1491" s="2" t="s">
        <v>185</v>
      </c>
      <c r="BM1491" s="2">
        <v>242</v>
      </c>
      <c r="BN1491" s="2" t="s">
        <v>107</v>
      </c>
      <c r="BO1491" s="2"/>
      <c r="BP1491" s="2">
        <v>33</v>
      </c>
      <c r="BQ1491" s="2" t="s">
        <v>361</v>
      </c>
      <c r="BR1491" s="2" t="s">
        <v>1739</v>
      </c>
      <c r="BS1491" s="3">
        <v>40280</v>
      </c>
      <c r="BT1491" s="4">
        <v>0.92312500000000008</v>
      </c>
    </row>
    <row r="1492" spans="1:72" x14ac:dyDescent="0.25">
      <c r="A1492" s="2">
        <v>2200</v>
      </c>
      <c r="B1492" s="2">
        <v>2010</v>
      </c>
      <c r="C1492" s="2" t="s">
        <v>1094</v>
      </c>
      <c r="D1492" s="2" t="s">
        <v>73</v>
      </c>
      <c r="E1492" s="2"/>
      <c r="F1492" s="2">
        <v>3</v>
      </c>
      <c r="G1492" s="2" t="s">
        <v>1041</v>
      </c>
      <c r="H1492" s="2">
        <v>1</v>
      </c>
      <c r="I1492" s="2" t="s">
        <v>82</v>
      </c>
      <c r="J1492" s="2">
        <v>368</v>
      </c>
      <c r="K1492" s="2" t="s">
        <v>1042</v>
      </c>
      <c r="L1492" s="2" t="s">
        <v>1043</v>
      </c>
      <c r="M1492" s="3">
        <v>40280</v>
      </c>
      <c r="N1492" s="2"/>
      <c r="O1492" s="2"/>
      <c r="P1492" s="2"/>
      <c r="Q1492" s="2" t="str">
        <f>"198-E/10"</f>
        <v>198-E/10</v>
      </c>
      <c r="R1492" s="2"/>
      <c r="S1492" s="2" t="s">
        <v>1100</v>
      </c>
      <c r="T1492" s="2">
        <v>1</v>
      </c>
      <c r="U1492" s="2" t="s">
        <v>79</v>
      </c>
      <c r="V1492" s="2">
        <v>1</v>
      </c>
      <c r="W1492" s="2" t="s">
        <v>80</v>
      </c>
      <c r="X1492" s="2">
        <v>12</v>
      </c>
      <c r="Y1492" s="2" t="s">
        <v>148</v>
      </c>
      <c r="Z1492" s="2">
        <v>10</v>
      </c>
      <c r="AA1492" s="2" t="s">
        <v>236</v>
      </c>
      <c r="AB1492" s="2">
        <v>9</v>
      </c>
      <c r="AC1492" s="2" t="s">
        <v>124</v>
      </c>
      <c r="AD1492" s="3">
        <v>40245</v>
      </c>
      <c r="AE1492" s="4">
        <v>0.24305555555555555</v>
      </c>
      <c r="AF1492" s="3">
        <v>40280</v>
      </c>
      <c r="AG1492" s="4">
        <v>0.63888888888888895</v>
      </c>
      <c r="AH1492" s="2">
        <v>2</v>
      </c>
      <c r="AI1492" s="2" t="s">
        <v>84</v>
      </c>
      <c r="AJ1492" s="2">
        <v>9</v>
      </c>
      <c r="AK1492" s="2" t="s">
        <v>103</v>
      </c>
      <c r="AL1492" s="2">
        <v>9</v>
      </c>
      <c r="AM1492" s="2" t="s">
        <v>259</v>
      </c>
      <c r="AN1492" s="2" t="s">
        <v>5495</v>
      </c>
      <c r="AO1492" s="2" t="s">
        <v>5496</v>
      </c>
      <c r="AP1492" s="2">
        <v>11</v>
      </c>
      <c r="AQ1492" s="2" t="s">
        <v>82</v>
      </c>
      <c r="AR1492" s="2"/>
      <c r="AS1492" s="2"/>
      <c r="AT1492" s="2" t="s">
        <v>5497</v>
      </c>
      <c r="AU1492" s="2"/>
      <c r="AV1492" s="2"/>
      <c r="AW1492" s="2"/>
      <c r="AX1492" s="2"/>
      <c r="AY1492" s="2">
        <v>41</v>
      </c>
      <c r="AZ1492" s="2" t="s">
        <v>82</v>
      </c>
      <c r="BA1492" s="2">
        <v>41</v>
      </c>
      <c r="BB1492" s="2" t="s">
        <v>82</v>
      </c>
      <c r="BC1492" s="2">
        <v>41</v>
      </c>
      <c r="BD1492" s="2" t="s">
        <v>82</v>
      </c>
      <c r="BE1492" s="2">
        <v>41</v>
      </c>
      <c r="BF1492" s="2" t="s">
        <v>82</v>
      </c>
      <c r="BG1492" s="2"/>
      <c r="BH1492" s="2"/>
      <c r="BI1492" s="2"/>
      <c r="BJ1492" s="2">
        <v>241</v>
      </c>
      <c r="BK1492" s="2" t="s">
        <v>82</v>
      </c>
      <c r="BL1492" s="2"/>
      <c r="BM1492" s="2">
        <v>241</v>
      </c>
      <c r="BN1492" s="2" t="s">
        <v>82</v>
      </c>
      <c r="BO1492" s="2"/>
      <c r="BP1492" s="2">
        <v>241</v>
      </c>
      <c r="BQ1492" s="2" t="s">
        <v>82</v>
      </c>
      <c r="BR1492" s="2"/>
      <c r="BS1492" s="3">
        <v>40280</v>
      </c>
      <c r="BT1492" s="4">
        <v>0.93965277777777778</v>
      </c>
    </row>
    <row r="1493" spans="1:72" x14ac:dyDescent="0.25">
      <c r="A1493" s="2">
        <v>2201</v>
      </c>
      <c r="B1493" s="2">
        <v>2010</v>
      </c>
      <c r="C1493" s="2" t="s">
        <v>72</v>
      </c>
      <c r="D1493" s="2" t="s">
        <v>73</v>
      </c>
      <c r="E1493" s="2"/>
      <c r="F1493" s="2">
        <v>52</v>
      </c>
      <c r="G1493" s="2" t="s">
        <v>2963</v>
      </c>
      <c r="H1493" s="2">
        <v>39</v>
      </c>
      <c r="I1493" s="2" t="s">
        <v>1117</v>
      </c>
      <c r="J1493" s="2">
        <v>87</v>
      </c>
      <c r="K1493" s="2" t="s">
        <v>2964</v>
      </c>
      <c r="L1493" s="2" t="s">
        <v>2534</v>
      </c>
      <c r="M1493" s="3">
        <v>40280</v>
      </c>
      <c r="N1493" s="2" t="s">
        <v>5498</v>
      </c>
      <c r="O1493" s="2"/>
      <c r="P1493" s="2"/>
      <c r="Q1493" s="2" t="str">
        <f>"014/10"</f>
        <v>014/10</v>
      </c>
      <c r="R1493" s="2"/>
      <c r="S1493" s="2" t="s">
        <v>116</v>
      </c>
      <c r="T1493" s="2">
        <v>1</v>
      </c>
      <c r="U1493" s="2" t="s">
        <v>79</v>
      </c>
      <c r="V1493" s="2">
        <v>1</v>
      </c>
      <c r="W1493" s="2" t="s">
        <v>80</v>
      </c>
      <c r="X1493" s="2">
        <v>5</v>
      </c>
      <c r="Y1493" s="2" t="s">
        <v>82</v>
      </c>
      <c r="Z1493" s="2">
        <v>1</v>
      </c>
      <c r="AA1493" s="2" t="s">
        <v>82</v>
      </c>
      <c r="AB1493" s="2">
        <v>6</v>
      </c>
      <c r="AC1493" s="2" t="s">
        <v>83</v>
      </c>
      <c r="AD1493" s="3">
        <v>40280</v>
      </c>
      <c r="AE1493" s="4">
        <v>0.84722222222222221</v>
      </c>
      <c r="AF1493" s="3">
        <v>40280</v>
      </c>
      <c r="AG1493" s="4">
        <v>0.89583333333333337</v>
      </c>
      <c r="AH1493" s="2">
        <v>4</v>
      </c>
      <c r="AI1493" s="2" t="s">
        <v>125</v>
      </c>
      <c r="AJ1493" s="2">
        <v>28</v>
      </c>
      <c r="AK1493" s="2" t="s">
        <v>741</v>
      </c>
      <c r="AL1493" s="2">
        <v>11</v>
      </c>
      <c r="AM1493" s="2" t="s">
        <v>137</v>
      </c>
      <c r="AN1493" s="2" t="s">
        <v>816</v>
      </c>
      <c r="AO1493" s="2"/>
      <c r="AP1493" s="2">
        <v>11</v>
      </c>
      <c r="AQ1493" s="2" t="s">
        <v>82</v>
      </c>
      <c r="AR1493" s="2"/>
      <c r="AS1493" s="2"/>
      <c r="AT1493" s="2" t="s">
        <v>5499</v>
      </c>
      <c r="AU1493" s="2"/>
      <c r="AV1493" s="2"/>
      <c r="AW1493" s="2"/>
      <c r="AX1493" s="2"/>
      <c r="AY1493" s="2">
        <v>4</v>
      </c>
      <c r="AZ1493" s="2" t="s">
        <v>90</v>
      </c>
      <c r="BA1493" s="2">
        <v>4</v>
      </c>
      <c r="BB1493" s="2" t="s">
        <v>90</v>
      </c>
      <c r="BC1493" s="2">
        <v>41</v>
      </c>
      <c r="BD1493" s="2" t="s">
        <v>82</v>
      </c>
      <c r="BE1493" s="2">
        <v>4</v>
      </c>
      <c r="BF1493" s="2" t="s">
        <v>90</v>
      </c>
      <c r="BG1493" s="2">
        <v>4155</v>
      </c>
      <c r="BH1493" s="2"/>
      <c r="BI1493" s="2"/>
      <c r="BJ1493" s="2">
        <v>13</v>
      </c>
      <c r="BK1493" s="2" t="s">
        <v>91</v>
      </c>
      <c r="BL1493" s="2" t="s">
        <v>744</v>
      </c>
      <c r="BM1493" s="2">
        <v>241</v>
      </c>
      <c r="BN1493" s="2" t="s">
        <v>82</v>
      </c>
      <c r="BO1493" s="2"/>
      <c r="BP1493" s="2">
        <v>13</v>
      </c>
      <c r="BQ1493" s="2" t="s">
        <v>91</v>
      </c>
      <c r="BR1493" s="2" t="s">
        <v>185</v>
      </c>
      <c r="BS1493" s="3">
        <v>40280</v>
      </c>
      <c r="BT1493" s="4">
        <v>0.9663425925925927</v>
      </c>
    </row>
    <row r="1494" spans="1:72" x14ac:dyDescent="0.25">
      <c r="A1494" s="2">
        <v>2202</v>
      </c>
      <c r="B1494" s="2">
        <v>2010</v>
      </c>
      <c r="C1494" s="2" t="s">
        <v>171</v>
      </c>
      <c r="D1494" s="2" t="s">
        <v>73</v>
      </c>
      <c r="E1494" s="2"/>
      <c r="F1494" s="2">
        <v>400</v>
      </c>
      <c r="G1494" s="2" t="s">
        <v>3601</v>
      </c>
      <c r="H1494" s="2">
        <v>17</v>
      </c>
      <c r="I1494" s="2" t="s">
        <v>3602</v>
      </c>
      <c r="J1494" s="2">
        <v>316</v>
      </c>
      <c r="K1494" s="2" t="s">
        <v>574</v>
      </c>
      <c r="L1494" s="2" t="s">
        <v>575</v>
      </c>
      <c r="M1494" s="3">
        <v>40281</v>
      </c>
      <c r="N1494" s="2" t="s">
        <v>3826</v>
      </c>
      <c r="O1494" s="2"/>
      <c r="P1494" s="2"/>
      <c r="Q1494" s="2" t="str">
        <f>"199-E/10"</f>
        <v>199-E/10</v>
      </c>
      <c r="R1494" s="2"/>
      <c r="S1494" s="2" t="s">
        <v>5500</v>
      </c>
      <c r="T1494" s="2">
        <v>1</v>
      </c>
      <c r="U1494" s="2" t="s">
        <v>79</v>
      </c>
      <c r="V1494" s="2">
        <v>1</v>
      </c>
      <c r="W1494" s="2" t="s">
        <v>80</v>
      </c>
      <c r="X1494" s="2">
        <v>1</v>
      </c>
      <c r="Y1494" s="2" t="s">
        <v>81</v>
      </c>
      <c r="Z1494" s="2">
        <v>10</v>
      </c>
      <c r="AA1494" s="2" t="s">
        <v>236</v>
      </c>
      <c r="AB1494" s="2">
        <v>1</v>
      </c>
      <c r="AC1494" s="2" t="s">
        <v>178</v>
      </c>
      <c r="AD1494" s="3">
        <v>40280</v>
      </c>
      <c r="AE1494" s="4">
        <v>0.79166666666666663</v>
      </c>
      <c r="AF1494" s="2"/>
      <c r="AG1494" s="2"/>
      <c r="AH1494" s="2">
        <v>2</v>
      </c>
      <c r="AI1494" s="2" t="s">
        <v>84</v>
      </c>
      <c r="AJ1494" s="2">
        <v>9</v>
      </c>
      <c r="AK1494" s="2" t="s">
        <v>103</v>
      </c>
      <c r="AL1494" s="2">
        <v>15</v>
      </c>
      <c r="AM1494" s="2" t="s">
        <v>104</v>
      </c>
      <c r="AN1494" s="2" t="s">
        <v>5501</v>
      </c>
      <c r="AO1494" s="2"/>
      <c r="AP1494" s="2">
        <v>11</v>
      </c>
      <c r="AQ1494" s="2" t="s">
        <v>82</v>
      </c>
      <c r="AR1494" s="2"/>
      <c r="AS1494" s="2"/>
      <c r="AT1494" s="2" t="s">
        <v>5502</v>
      </c>
      <c r="AU1494" s="2"/>
      <c r="AV1494" s="2">
        <v>2</v>
      </c>
      <c r="AW1494" s="2"/>
      <c r="AX1494" s="2"/>
      <c r="AY1494" s="2">
        <v>41</v>
      </c>
      <c r="AZ1494" s="2" t="s">
        <v>82</v>
      </c>
      <c r="BA1494" s="2">
        <v>41</v>
      </c>
      <c r="BB1494" s="2" t="s">
        <v>82</v>
      </c>
      <c r="BC1494" s="2">
        <v>41</v>
      </c>
      <c r="BD1494" s="2" t="s">
        <v>82</v>
      </c>
      <c r="BE1494" s="2">
        <v>13</v>
      </c>
      <c r="BF1494" s="2" t="s">
        <v>108</v>
      </c>
      <c r="BG1494" s="2" t="s">
        <v>1769</v>
      </c>
      <c r="BH1494" s="2"/>
      <c r="BI1494" s="4">
        <v>0.875</v>
      </c>
      <c r="BJ1494" s="2">
        <v>13</v>
      </c>
      <c r="BK1494" s="2" t="s">
        <v>91</v>
      </c>
      <c r="BL1494" s="2" t="s">
        <v>5300</v>
      </c>
      <c r="BM1494" s="2">
        <v>242</v>
      </c>
      <c r="BN1494" s="2" t="s">
        <v>107</v>
      </c>
      <c r="BO1494" s="2"/>
      <c r="BP1494" s="2">
        <v>73</v>
      </c>
      <c r="BQ1494" s="2" t="s">
        <v>186</v>
      </c>
      <c r="BR1494" s="2" t="s">
        <v>187</v>
      </c>
      <c r="BS1494" s="3">
        <v>40281</v>
      </c>
      <c r="BT1494" s="4">
        <v>0.16569444444444445</v>
      </c>
    </row>
    <row r="1495" spans="1:72" x14ac:dyDescent="0.25">
      <c r="A1495" s="2">
        <v>2203</v>
      </c>
      <c r="B1495" s="2">
        <v>2010</v>
      </c>
      <c r="C1495" s="2" t="s">
        <v>171</v>
      </c>
      <c r="D1495" s="2" t="s">
        <v>122</v>
      </c>
      <c r="E1495" s="2" t="s">
        <v>5503</v>
      </c>
      <c r="F1495" s="2">
        <v>400</v>
      </c>
      <c r="G1495" s="2" t="s">
        <v>3601</v>
      </c>
      <c r="H1495" s="2">
        <v>17</v>
      </c>
      <c r="I1495" s="2" t="s">
        <v>3602</v>
      </c>
      <c r="J1495" s="2">
        <v>316</v>
      </c>
      <c r="K1495" s="2" t="s">
        <v>574</v>
      </c>
      <c r="L1495" s="2" t="s">
        <v>575</v>
      </c>
      <c r="M1495" s="3">
        <v>40281</v>
      </c>
      <c r="N1495" s="2" t="s">
        <v>3826</v>
      </c>
      <c r="O1495" s="2"/>
      <c r="P1495" s="2"/>
      <c r="Q1495" s="2" t="str">
        <f>"196-E/10"</f>
        <v>196-E/10</v>
      </c>
      <c r="R1495" s="2" t="s">
        <v>5472</v>
      </c>
      <c r="S1495" s="2"/>
      <c r="T1495" s="2">
        <v>1</v>
      </c>
      <c r="U1495" s="2" t="s">
        <v>79</v>
      </c>
      <c r="V1495" s="2">
        <v>1</v>
      </c>
      <c r="W1495" s="2" t="s">
        <v>80</v>
      </c>
      <c r="X1495" s="2">
        <v>1</v>
      </c>
      <c r="Y1495" s="2" t="s">
        <v>81</v>
      </c>
      <c r="Z1495" s="2">
        <v>10</v>
      </c>
      <c r="AA1495" s="2" t="s">
        <v>236</v>
      </c>
      <c r="AB1495" s="2">
        <v>1</v>
      </c>
      <c r="AC1495" s="2" t="s">
        <v>178</v>
      </c>
      <c r="AD1495" s="3">
        <v>40280</v>
      </c>
      <c r="AE1495" s="4">
        <v>0.45833333333333331</v>
      </c>
      <c r="AF1495" s="2"/>
      <c r="AG1495" s="2"/>
      <c r="AH1495" s="2">
        <v>2</v>
      </c>
      <c r="AI1495" s="2" t="s">
        <v>84</v>
      </c>
      <c r="AJ1495" s="2">
        <v>9</v>
      </c>
      <c r="AK1495" s="2" t="s">
        <v>103</v>
      </c>
      <c r="AL1495" s="2">
        <v>14</v>
      </c>
      <c r="AM1495" s="2" t="s">
        <v>216</v>
      </c>
      <c r="AN1495" s="2" t="s">
        <v>1340</v>
      </c>
      <c r="AO1495" s="2"/>
      <c r="AP1495" s="2">
        <v>11</v>
      </c>
      <c r="AQ1495" s="2" t="s">
        <v>82</v>
      </c>
      <c r="AR1495" s="2"/>
      <c r="AS1495" s="2"/>
      <c r="AT1495" s="2" t="s">
        <v>5504</v>
      </c>
      <c r="AU1495" s="2"/>
      <c r="AV1495" s="2">
        <v>1</v>
      </c>
      <c r="AW1495" s="2"/>
      <c r="AX1495" s="2"/>
      <c r="AY1495" s="2">
        <v>41</v>
      </c>
      <c r="AZ1495" s="2" t="s">
        <v>82</v>
      </c>
      <c r="BA1495" s="2">
        <v>41</v>
      </c>
      <c r="BB1495" s="2" t="s">
        <v>82</v>
      </c>
      <c r="BC1495" s="2">
        <v>41</v>
      </c>
      <c r="BD1495" s="2" t="s">
        <v>82</v>
      </c>
      <c r="BE1495" s="2">
        <v>23</v>
      </c>
      <c r="BF1495" s="2" t="s">
        <v>183</v>
      </c>
      <c r="BG1495" s="2" t="s">
        <v>5475</v>
      </c>
      <c r="BH1495" s="2"/>
      <c r="BI1495" s="4">
        <v>0.53125</v>
      </c>
      <c r="BJ1495" s="2">
        <v>13</v>
      </c>
      <c r="BK1495" s="2" t="s">
        <v>91</v>
      </c>
      <c r="BL1495" s="2" t="s">
        <v>5300</v>
      </c>
      <c r="BM1495" s="2">
        <v>241</v>
      </c>
      <c r="BN1495" s="2" t="s">
        <v>82</v>
      </c>
      <c r="BO1495" s="2"/>
      <c r="BP1495" s="2">
        <v>73</v>
      </c>
      <c r="BQ1495" s="2" t="s">
        <v>186</v>
      </c>
      <c r="BR1495" s="2" t="s">
        <v>187</v>
      </c>
      <c r="BS1495" s="3">
        <v>40281</v>
      </c>
      <c r="BT1495" s="4">
        <v>0.36809027777777775</v>
      </c>
    </row>
    <row r="1496" spans="1:72" x14ac:dyDescent="0.25">
      <c r="A1496" s="2">
        <v>2204</v>
      </c>
      <c r="B1496" s="2">
        <v>2010</v>
      </c>
      <c r="C1496" s="2" t="s">
        <v>2567</v>
      </c>
      <c r="D1496" s="2" t="s">
        <v>122</v>
      </c>
      <c r="E1496" s="2"/>
      <c r="F1496" s="2">
        <v>1</v>
      </c>
      <c r="G1496" s="2" t="s">
        <v>82</v>
      </c>
      <c r="H1496" s="2">
        <v>1</v>
      </c>
      <c r="I1496" s="2" t="s">
        <v>82</v>
      </c>
      <c r="J1496" s="2">
        <v>1</v>
      </c>
      <c r="K1496" s="2" t="s">
        <v>107</v>
      </c>
      <c r="L1496" s="2" t="s">
        <v>107</v>
      </c>
      <c r="M1496" s="3">
        <v>40281</v>
      </c>
      <c r="N1496" s="2" t="s">
        <v>82</v>
      </c>
      <c r="O1496" s="2" t="s">
        <v>82</v>
      </c>
      <c r="P1496" s="2" t="s">
        <v>82</v>
      </c>
      <c r="Q1496" s="2" t="str">
        <f>"N/C"</f>
        <v>N/C</v>
      </c>
      <c r="R1496" s="2" t="s">
        <v>82</v>
      </c>
      <c r="S1496" s="2" t="s">
        <v>82</v>
      </c>
      <c r="T1496" s="2">
        <v>1</v>
      </c>
      <c r="U1496" s="2" t="s">
        <v>79</v>
      </c>
      <c r="V1496" s="2">
        <v>1</v>
      </c>
      <c r="W1496" s="2" t="s">
        <v>80</v>
      </c>
      <c r="X1496" s="2">
        <v>1</v>
      </c>
      <c r="Y1496" s="2" t="s">
        <v>81</v>
      </c>
      <c r="Z1496" s="2">
        <v>1</v>
      </c>
      <c r="AA1496" s="2" t="s">
        <v>82</v>
      </c>
      <c r="AB1496" s="2">
        <v>9</v>
      </c>
      <c r="AC1496" s="2" t="s">
        <v>124</v>
      </c>
      <c r="AD1496" s="3">
        <v>40281</v>
      </c>
      <c r="AE1496" s="4">
        <v>0.13194444444444445</v>
      </c>
      <c r="AF1496" s="2"/>
      <c r="AG1496" s="2"/>
      <c r="AH1496" s="2">
        <v>6</v>
      </c>
      <c r="AI1496" s="2" t="s">
        <v>197</v>
      </c>
      <c r="AJ1496" s="2">
        <v>58</v>
      </c>
      <c r="AK1496" s="2" t="s">
        <v>406</v>
      </c>
      <c r="AL1496" s="2">
        <v>8</v>
      </c>
      <c r="AM1496" s="2" t="s">
        <v>179</v>
      </c>
      <c r="AN1496" s="2" t="s">
        <v>5505</v>
      </c>
      <c r="AO1496" s="2" t="s">
        <v>82</v>
      </c>
      <c r="AP1496" s="2">
        <v>11</v>
      </c>
      <c r="AQ1496" s="2" t="s">
        <v>82</v>
      </c>
      <c r="AR1496" s="2" t="s">
        <v>5091</v>
      </c>
      <c r="AS1496" s="2" t="s">
        <v>5506</v>
      </c>
      <c r="AT1496" s="2" t="s">
        <v>5507</v>
      </c>
      <c r="AU1496" s="2"/>
      <c r="AV1496" s="2"/>
      <c r="AW1496" s="2"/>
      <c r="AX1496" s="2"/>
      <c r="AY1496" s="2">
        <v>1</v>
      </c>
      <c r="AZ1496" s="2" t="s">
        <v>107</v>
      </c>
      <c r="BA1496" s="2">
        <v>1</v>
      </c>
      <c r="BB1496" s="2" t="s">
        <v>107</v>
      </c>
      <c r="BC1496" s="2">
        <v>1</v>
      </c>
      <c r="BD1496" s="2" t="s">
        <v>107</v>
      </c>
      <c r="BE1496" s="2">
        <v>47</v>
      </c>
      <c r="BF1496" s="2" t="s">
        <v>167</v>
      </c>
      <c r="BG1496" s="2">
        <v>2883</v>
      </c>
      <c r="BH1496" s="4">
        <v>0.10416666666666667</v>
      </c>
      <c r="BI1496" s="4">
        <v>0.1388888888888889</v>
      </c>
      <c r="BJ1496" s="2">
        <v>13</v>
      </c>
      <c r="BK1496" s="2" t="s">
        <v>91</v>
      </c>
      <c r="BL1496" s="2" t="s">
        <v>492</v>
      </c>
      <c r="BM1496" s="2">
        <v>241</v>
      </c>
      <c r="BN1496" s="2" t="s">
        <v>82</v>
      </c>
      <c r="BO1496" s="2" t="s">
        <v>82</v>
      </c>
      <c r="BP1496" s="2">
        <v>13</v>
      </c>
      <c r="BQ1496" s="2" t="s">
        <v>91</v>
      </c>
      <c r="BR1496" s="2" t="s">
        <v>3520</v>
      </c>
      <c r="BS1496" s="3">
        <v>40281</v>
      </c>
      <c r="BT1496" s="4">
        <v>0.38299768518518523</v>
      </c>
    </row>
    <row r="1497" spans="1:72" x14ac:dyDescent="0.25">
      <c r="A1497" s="2">
        <v>2205</v>
      </c>
      <c r="B1497" s="2">
        <v>2010</v>
      </c>
      <c r="C1497" s="2" t="s">
        <v>72</v>
      </c>
      <c r="D1497" s="2" t="s">
        <v>73</v>
      </c>
      <c r="E1497" s="2"/>
      <c r="F1497" s="2">
        <v>389</v>
      </c>
      <c r="G1497" s="2" t="s">
        <v>1819</v>
      </c>
      <c r="H1497" s="2">
        <v>3</v>
      </c>
      <c r="I1497" s="2" t="s">
        <v>315</v>
      </c>
      <c r="J1497" s="2">
        <v>399</v>
      </c>
      <c r="K1497" s="2" t="s">
        <v>1820</v>
      </c>
      <c r="L1497" s="2" t="s">
        <v>1821</v>
      </c>
      <c r="M1497" s="3">
        <v>40281</v>
      </c>
      <c r="N1497" s="2" t="s">
        <v>2319</v>
      </c>
      <c r="O1497" s="2"/>
      <c r="P1497" s="2"/>
      <c r="Q1497" s="2" t="str">
        <f>"200-E/10"</f>
        <v>200-E/10</v>
      </c>
      <c r="R1497" s="2"/>
      <c r="S1497" s="2" t="s">
        <v>5508</v>
      </c>
      <c r="T1497" s="2">
        <v>1</v>
      </c>
      <c r="U1497" s="2" t="s">
        <v>79</v>
      </c>
      <c r="V1497" s="2">
        <v>1</v>
      </c>
      <c r="W1497" s="2" t="s">
        <v>80</v>
      </c>
      <c r="X1497" s="2">
        <v>1</v>
      </c>
      <c r="Y1497" s="2" t="s">
        <v>81</v>
      </c>
      <c r="Z1497" s="2">
        <v>1</v>
      </c>
      <c r="AA1497" s="2" t="s">
        <v>82</v>
      </c>
      <c r="AB1497" s="2">
        <v>6</v>
      </c>
      <c r="AC1497" s="2" t="s">
        <v>83</v>
      </c>
      <c r="AD1497" s="3">
        <v>40281</v>
      </c>
      <c r="AE1497" s="4">
        <v>6.9444444444444441E-3</v>
      </c>
      <c r="AF1497" s="2"/>
      <c r="AG1497" s="2"/>
      <c r="AH1497" s="2">
        <v>2</v>
      </c>
      <c r="AI1497" s="2" t="s">
        <v>84</v>
      </c>
      <c r="AJ1497" s="2">
        <v>9</v>
      </c>
      <c r="AK1497" s="2" t="s">
        <v>103</v>
      </c>
      <c r="AL1497" s="2">
        <v>10</v>
      </c>
      <c r="AM1497" s="2" t="s">
        <v>200</v>
      </c>
      <c r="AN1497" s="2" t="s">
        <v>5509</v>
      </c>
      <c r="AO1497" s="2"/>
      <c r="AP1497" s="2">
        <v>5</v>
      </c>
      <c r="AQ1497" s="2" t="s">
        <v>827</v>
      </c>
      <c r="AR1497" s="2"/>
      <c r="AS1497" s="2"/>
      <c r="AT1497" s="2" t="s">
        <v>5510</v>
      </c>
      <c r="AU1497" s="2"/>
      <c r="AV1497" s="2"/>
      <c r="AW1497" s="2"/>
      <c r="AX1497" s="2"/>
      <c r="AY1497" s="2">
        <v>41</v>
      </c>
      <c r="AZ1497" s="2" t="s">
        <v>82</v>
      </c>
      <c r="BA1497" s="2">
        <v>41</v>
      </c>
      <c r="BB1497" s="2" t="s">
        <v>82</v>
      </c>
      <c r="BC1497" s="2">
        <v>41</v>
      </c>
      <c r="BD1497" s="2" t="s">
        <v>82</v>
      </c>
      <c r="BE1497" s="2">
        <v>41</v>
      </c>
      <c r="BF1497" s="2" t="s">
        <v>82</v>
      </c>
      <c r="BG1497" s="2"/>
      <c r="BH1497" s="2"/>
      <c r="BI1497" s="2"/>
      <c r="BJ1497" s="2">
        <v>241</v>
      </c>
      <c r="BK1497" s="2" t="s">
        <v>82</v>
      </c>
      <c r="BL1497" s="2"/>
      <c r="BM1497" s="2">
        <v>241</v>
      </c>
      <c r="BN1497" s="2" t="s">
        <v>82</v>
      </c>
      <c r="BO1497" s="2"/>
      <c r="BP1497" s="2">
        <v>241</v>
      </c>
      <c r="BQ1497" s="2" t="s">
        <v>82</v>
      </c>
      <c r="BR1497" s="2"/>
      <c r="BS1497" s="3">
        <v>40281</v>
      </c>
      <c r="BT1497" s="4">
        <v>0.39550925925925928</v>
      </c>
    </row>
    <row r="1498" spans="1:72" x14ac:dyDescent="0.25">
      <c r="A1498" s="2">
        <v>2206</v>
      </c>
      <c r="B1498" s="2">
        <v>2010</v>
      </c>
      <c r="C1498" s="2" t="s">
        <v>147</v>
      </c>
      <c r="D1498" s="2" t="s">
        <v>73</v>
      </c>
      <c r="E1498" s="2"/>
      <c r="F1498" s="2">
        <v>1</v>
      </c>
      <c r="G1498" s="2" t="s">
        <v>82</v>
      </c>
      <c r="H1498" s="2">
        <v>1</v>
      </c>
      <c r="I1498" s="2" t="s">
        <v>82</v>
      </c>
      <c r="J1498" s="2">
        <v>1</v>
      </c>
      <c r="K1498" s="2" t="s">
        <v>107</v>
      </c>
      <c r="L1498" s="2" t="s">
        <v>107</v>
      </c>
      <c r="M1498" s="3">
        <v>40281</v>
      </c>
      <c r="N1498" s="2"/>
      <c r="O1498" s="2"/>
      <c r="P1498" s="2"/>
      <c r="Q1498" s="2" t="str">
        <f>""</f>
        <v/>
      </c>
      <c r="R1498" s="2"/>
      <c r="S1498" s="2"/>
      <c r="T1498" s="2">
        <v>2</v>
      </c>
      <c r="U1498" s="2" t="s">
        <v>123</v>
      </c>
      <c r="V1498" s="2">
        <v>1</v>
      </c>
      <c r="W1498" s="2" t="s">
        <v>80</v>
      </c>
      <c r="X1498" s="2">
        <v>12</v>
      </c>
      <c r="Y1498" s="2" t="s">
        <v>148</v>
      </c>
      <c r="Z1498" s="2">
        <v>1</v>
      </c>
      <c r="AA1498" s="2" t="s">
        <v>82</v>
      </c>
      <c r="AB1498" s="2">
        <v>9</v>
      </c>
      <c r="AC1498" s="2" t="s">
        <v>124</v>
      </c>
      <c r="AD1498" s="2"/>
      <c r="AE1498" s="2"/>
      <c r="AF1498" s="3">
        <v>40281</v>
      </c>
      <c r="AG1498" s="4">
        <v>0.41666666666666669</v>
      </c>
      <c r="AH1498" s="2">
        <v>3</v>
      </c>
      <c r="AI1498" s="2" t="s">
        <v>214</v>
      </c>
      <c r="AJ1498" s="2">
        <v>24</v>
      </c>
      <c r="AK1498" s="2" t="s">
        <v>215</v>
      </c>
      <c r="AL1498" s="2">
        <v>19</v>
      </c>
      <c r="AM1498" s="2" t="s">
        <v>107</v>
      </c>
      <c r="AN1498" s="2"/>
      <c r="AO1498" s="2"/>
      <c r="AP1498" s="2">
        <v>11</v>
      </c>
      <c r="AQ1498" s="2" t="s">
        <v>82</v>
      </c>
      <c r="AR1498" s="2"/>
      <c r="AS1498" s="2"/>
      <c r="AT1498" s="2" t="s">
        <v>5511</v>
      </c>
      <c r="AU1498" s="2"/>
      <c r="AV1498" s="2"/>
      <c r="AW1498" s="2"/>
      <c r="AX1498" s="2"/>
      <c r="AY1498" s="2">
        <v>70</v>
      </c>
      <c r="AZ1498" s="2" t="s">
        <v>236</v>
      </c>
      <c r="BA1498" s="2">
        <v>41</v>
      </c>
      <c r="BB1498" s="2" t="s">
        <v>82</v>
      </c>
      <c r="BC1498" s="2">
        <v>41</v>
      </c>
      <c r="BD1498" s="2" t="s">
        <v>82</v>
      </c>
      <c r="BE1498" s="2">
        <v>41</v>
      </c>
      <c r="BF1498" s="2" t="s">
        <v>82</v>
      </c>
      <c r="BG1498" s="2"/>
      <c r="BH1498" s="2"/>
      <c r="BI1498" s="2"/>
      <c r="BJ1498" s="2">
        <v>241</v>
      </c>
      <c r="BK1498" s="2" t="s">
        <v>82</v>
      </c>
      <c r="BL1498" s="2"/>
      <c r="BM1498" s="2">
        <v>241</v>
      </c>
      <c r="BN1498" s="2" t="s">
        <v>82</v>
      </c>
      <c r="BO1498" s="2"/>
      <c r="BP1498" s="2">
        <v>241</v>
      </c>
      <c r="BQ1498" s="2" t="s">
        <v>82</v>
      </c>
      <c r="BR1498" s="2"/>
      <c r="BS1498" s="3">
        <v>40281</v>
      </c>
      <c r="BT1498" s="4">
        <v>0.43511574074074072</v>
      </c>
    </row>
    <row r="1499" spans="1:72" x14ac:dyDescent="0.25">
      <c r="A1499" s="2">
        <v>2207</v>
      </c>
      <c r="B1499" s="2">
        <v>2010</v>
      </c>
      <c r="C1499" s="2" t="s">
        <v>409</v>
      </c>
      <c r="D1499" s="2" t="s">
        <v>122</v>
      </c>
      <c r="E1499" s="2"/>
      <c r="F1499" s="2">
        <v>146</v>
      </c>
      <c r="G1499" s="2" t="s">
        <v>753</v>
      </c>
      <c r="H1499" s="2">
        <v>30</v>
      </c>
      <c r="I1499" s="2" t="s">
        <v>912</v>
      </c>
      <c r="J1499" s="2">
        <v>161</v>
      </c>
      <c r="K1499" s="2" t="s">
        <v>1900</v>
      </c>
      <c r="L1499" s="2" t="s">
        <v>1901</v>
      </c>
      <c r="M1499" s="3">
        <v>40281</v>
      </c>
      <c r="N1499" s="2" t="s">
        <v>5044</v>
      </c>
      <c r="O1499" s="2" t="s">
        <v>5512</v>
      </c>
      <c r="P1499" s="2">
        <v>2277</v>
      </c>
      <c r="Q1499" s="2" t="str">
        <f>"S/D"</f>
        <v>S/D</v>
      </c>
      <c r="R1499" s="2" t="s">
        <v>107</v>
      </c>
      <c r="S1499" s="2" t="s">
        <v>107</v>
      </c>
      <c r="T1499" s="2">
        <v>1</v>
      </c>
      <c r="U1499" s="2" t="s">
        <v>79</v>
      </c>
      <c r="V1499" s="2">
        <v>1</v>
      </c>
      <c r="W1499" s="2" t="s">
        <v>80</v>
      </c>
      <c r="X1499" s="2">
        <v>5</v>
      </c>
      <c r="Y1499" s="2" t="s">
        <v>82</v>
      </c>
      <c r="Z1499" s="2">
        <v>1</v>
      </c>
      <c r="AA1499" s="2" t="s">
        <v>82</v>
      </c>
      <c r="AB1499" s="2">
        <v>9</v>
      </c>
      <c r="AC1499" s="2" t="s">
        <v>124</v>
      </c>
      <c r="AD1499" s="3">
        <v>40281</v>
      </c>
      <c r="AE1499" s="4">
        <v>0.42708333333333331</v>
      </c>
      <c r="AF1499" s="2"/>
      <c r="AG1499" s="2"/>
      <c r="AH1499" s="2">
        <v>6</v>
      </c>
      <c r="AI1499" s="2" t="s">
        <v>197</v>
      </c>
      <c r="AJ1499" s="2">
        <v>54</v>
      </c>
      <c r="AK1499" s="2" t="s">
        <v>348</v>
      </c>
      <c r="AL1499" s="2">
        <v>18</v>
      </c>
      <c r="AM1499" s="2" t="s">
        <v>82</v>
      </c>
      <c r="AN1499" s="2" t="s">
        <v>107</v>
      </c>
      <c r="AO1499" s="2" t="s">
        <v>2691</v>
      </c>
      <c r="AP1499" s="2">
        <v>11</v>
      </c>
      <c r="AQ1499" s="2" t="s">
        <v>82</v>
      </c>
      <c r="AR1499" s="2" t="s">
        <v>107</v>
      </c>
      <c r="AS1499" s="2" t="s">
        <v>107</v>
      </c>
      <c r="AT1499" s="2" t="s">
        <v>5513</v>
      </c>
      <c r="AU1499" s="2"/>
      <c r="AV1499" s="2"/>
      <c r="AW1499" s="2"/>
      <c r="AX1499" s="2"/>
      <c r="AY1499" s="2">
        <v>1</v>
      </c>
      <c r="AZ1499" s="2" t="s">
        <v>107</v>
      </c>
      <c r="BA1499" s="2">
        <v>1</v>
      </c>
      <c r="BB1499" s="2" t="s">
        <v>107</v>
      </c>
      <c r="BC1499" s="2">
        <v>1</v>
      </c>
      <c r="BD1499" s="2" t="s">
        <v>107</v>
      </c>
      <c r="BE1499" s="2">
        <v>1</v>
      </c>
      <c r="BF1499" s="2" t="s">
        <v>107</v>
      </c>
      <c r="BG1499" s="2"/>
      <c r="BH1499" s="2"/>
      <c r="BI1499" s="2"/>
      <c r="BJ1499" s="2">
        <v>242</v>
      </c>
      <c r="BK1499" s="2" t="s">
        <v>107</v>
      </c>
      <c r="BL1499" s="2" t="s">
        <v>107</v>
      </c>
      <c r="BM1499" s="2">
        <v>242</v>
      </c>
      <c r="BN1499" s="2" t="s">
        <v>107</v>
      </c>
      <c r="BO1499" s="2" t="s">
        <v>107</v>
      </c>
      <c r="BP1499" s="2">
        <v>242</v>
      </c>
      <c r="BQ1499" s="2" t="s">
        <v>107</v>
      </c>
      <c r="BR1499" s="2" t="s">
        <v>107</v>
      </c>
      <c r="BS1499" s="3">
        <v>40281</v>
      </c>
      <c r="BT1499" s="4">
        <v>0.45332175925925927</v>
      </c>
    </row>
    <row r="1500" spans="1:72" x14ac:dyDescent="0.25">
      <c r="A1500" s="2">
        <v>2208</v>
      </c>
      <c r="B1500" s="2">
        <v>2010</v>
      </c>
      <c r="C1500" s="2" t="s">
        <v>171</v>
      </c>
      <c r="D1500" s="2" t="s">
        <v>73</v>
      </c>
      <c r="E1500" s="2"/>
      <c r="F1500" s="2">
        <v>400</v>
      </c>
      <c r="G1500" s="2" t="s">
        <v>3601</v>
      </c>
      <c r="H1500" s="2">
        <v>16</v>
      </c>
      <c r="I1500" s="2" t="s">
        <v>3027</v>
      </c>
      <c r="J1500" s="2">
        <v>316</v>
      </c>
      <c r="K1500" s="2" t="s">
        <v>574</v>
      </c>
      <c r="L1500" s="2" t="s">
        <v>575</v>
      </c>
      <c r="M1500" s="3">
        <v>40281</v>
      </c>
      <c r="N1500" s="2" t="s">
        <v>5514</v>
      </c>
      <c r="O1500" s="2" t="s">
        <v>5515</v>
      </c>
      <c r="P1500" s="2">
        <v>5028</v>
      </c>
      <c r="Q1500" s="2" t="str">
        <f>"191-E/10"</f>
        <v>191-E/10</v>
      </c>
      <c r="R1500" s="2"/>
      <c r="S1500" s="2"/>
      <c r="T1500" s="2">
        <v>1</v>
      </c>
      <c r="U1500" s="2" t="s">
        <v>79</v>
      </c>
      <c r="V1500" s="2">
        <v>3</v>
      </c>
      <c r="W1500" s="2" t="s">
        <v>225</v>
      </c>
      <c r="X1500" s="2">
        <v>6</v>
      </c>
      <c r="Y1500" s="2" t="s">
        <v>249</v>
      </c>
      <c r="Z1500" s="2">
        <v>10</v>
      </c>
      <c r="AA1500" s="2" t="s">
        <v>236</v>
      </c>
      <c r="AB1500" s="2">
        <v>9</v>
      </c>
      <c r="AC1500" s="2" t="s">
        <v>124</v>
      </c>
      <c r="AD1500" s="3">
        <v>40281</v>
      </c>
      <c r="AE1500" s="4">
        <v>0.45833333333333331</v>
      </c>
      <c r="AF1500" s="2"/>
      <c r="AG1500" s="2"/>
      <c r="AH1500" s="2">
        <v>2</v>
      </c>
      <c r="AI1500" s="2" t="s">
        <v>84</v>
      </c>
      <c r="AJ1500" s="2">
        <v>6</v>
      </c>
      <c r="AK1500" s="2" t="s">
        <v>453</v>
      </c>
      <c r="AL1500" s="2">
        <v>23</v>
      </c>
      <c r="AM1500" s="2" t="s">
        <v>251</v>
      </c>
      <c r="AN1500" s="2" t="s">
        <v>5516</v>
      </c>
      <c r="AO1500" s="2" t="s">
        <v>1226</v>
      </c>
      <c r="AP1500" s="2">
        <v>11</v>
      </c>
      <c r="AQ1500" s="2" t="s">
        <v>82</v>
      </c>
      <c r="AR1500" s="2"/>
      <c r="AS1500" s="2"/>
      <c r="AT1500" s="2" t="s">
        <v>5517</v>
      </c>
      <c r="AU1500" s="2"/>
      <c r="AV1500" s="2"/>
      <c r="AW1500" s="2"/>
      <c r="AX1500" s="2"/>
      <c r="AY1500" s="2">
        <v>42</v>
      </c>
      <c r="AZ1500" s="2" t="s">
        <v>182</v>
      </c>
      <c r="BA1500" s="2">
        <v>70</v>
      </c>
      <c r="BB1500" s="2" t="s">
        <v>236</v>
      </c>
      <c r="BC1500" s="2">
        <v>70</v>
      </c>
      <c r="BD1500" s="2" t="s">
        <v>236</v>
      </c>
      <c r="BE1500" s="2">
        <v>41</v>
      </c>
      <c r="BF1500" s="2" t="s">
        <v>82</v>
      </c>
      <c r="BG1500" s="2"/>
      <c r="BH1500" s="2"/>
      <c r="BI1500" s="2"/>
      <c r="BJ1500" s="2">
        <v>241</v>
      </c>
      <c r="BK1500" s="2" t="s">
        <v>82</v>
      </c>
      <c r="BL1500" s="2"/>
      <c r="BM1500" s="2">
        <v>241</v>
      </c>
      <c r="BN1500" s="2" t="s">
        <v>82</v>
      </c>
      <c r="BO1500" s="2"/>
      <c r="BP1500" s="2">
        <v>241</v>
      </c>
      <c r="BQ1500" s="2" t="s">
        <v>82</v>
      </c>
      <c r="BR1500" s="2"/>
      <c r="BS1500" s="3">
        <v>40281</v>
      </c>
      <c r="BT1500" s="4">
        <v>0.50631944444444443</v>
      </c>
    </row>
    <row r="1501" spans="1:72" x14ac:dyDescent="0.25">
      <c r="A1501" s="2">
        <v>2210</v>
      </c>
      <c r="B1501" s="2">
        <v>2010</v>
      </c>
      <c r="C1501" s="2" t="s">
        <v>171</v>
      </c>
      <c r="D1501" s="2" t="s">
        <v>122</v>
      </c>
      <c r="E1501" s="2" t="s">
        <v>5518</v>
      </c>
      <c r="F1501" s="2">
        <v>400</v>
      </c>
      <c r="G1501" s="2" t="s">
        <v>3601</v>
      </c>
      <c r="H1501" s="2">
        <v>17</v>
      </c>
      <c r="I1501" s="2" t="s">
        <v>3602</v>
      </c>
      <c r="J1501" s="2">
        <v>316</v>
      </c>
      <c r="K1501" s="2" t="s">
        <v>574</v>
      </c>
      <c r="L1501" s="2" t="s">
        <v>575</v>
      </c>
      <c r="M1501" s="3">
        <v>40281</v>
      </c>
      <c r="N1501" s="2" t="s">
        <v>3826</v>
      </c>
      <c r="O1501" s="2"/>
      <c r="P1501" s="2"/>
      <c r="Q1501" s="2" t="str">
        <f>"199-E/10"</f>
        <v>199-E/10</v>
      </c>
      <c r="R1501" s="2" t="s">
        <v>5500</v>
      </c>
      <c r="S1501" s="2"/>
      <c r="T1501" s="2">
        <v>1</v>
      </c>
      <c r="U1501" s="2" t="s">
        <v>79</v>
      </c>
      <c r="V1501" s="2">
        <v>1</v>
      </c>
      <c r="W1501" s="2" t="s">
        <v>80</v>
      </c>
      <c r="X1501" s="2">
        <v>1</v>
      </c>
      <c r="Y1501" s="2" t="s">
        <v>81</v>
      </c>
      <c r="Z1501" s="2">
        <v>10</v>
      </c>
      <c r="AA1501" s="2" t="s">
        <v>236</v>
      </c>
      <c r="AB1501" s="2">
        <v>1</v>
      </c>
      <c r="AC1501" s="2" t="s">
        <v>178</v>
      </c>
      <c r="AD1501" s="3">
        <v>40280</v>
      </c>
      <c r="AE1501" s="4">
        <v>0.79166666666666663</v>
      </c>
      <c r="AF1501" s="2"/>
      <c r="AG1501" s="2"/>
      <c r="AH1501" s="2">
        <v>2</v>
      </c>
      <c r="AI1501" s="2" t="s">
        <v>84</v>
      </c>
      <c r="AJ1501" s="2">
        <v>9</v>
      </c>
      <c r="AK1501" s="2" t="s">
        <v>103</v>
      </c>
      <c r="AL1501" s="2">
        <v>15</v>
      </c>
      <c r="AM1501" s="2" t="s">
        <v>104</v>
      </c>
      <c r="AN1501" s="2" t="s">
        <v>5501</v>
      </c>
      <c r="AO1501" s="2"/>
      <c r="AP1501" s="2">
        <v>11</v>
      </c>
      <c r="AQ1501" s="2" t="s">
        <v>82</v>
      </c>
      <c r="AR1501" s="2"/>
      <c r="AS1501" s="2"/>
      <c r="AT1501" s="2" t="s">
        <v>5519</v>
      </c>
      <c r="AU1501" s="2"/>
      <c r="AV1501" s="2">
        <v>2</v>
      </c>
      <c r="AW1501" s="2"/>
      <c r="AX1501" s="2"/>
      <c r="AY1501" s="2">
        <v>41</v>
      </c>
      <c r="AZ1501" s="2" t="s">
        <v>82</v>
      </c>
      <c r="BA1501" s="2">
        <v>41</v>
      </c>
      <c r="BB1501" s="2" t="s">
        <v>82</v>
      </c>
      <c r="BC1501" s="2">
        <v>41</v>
      </c>
      <c r="BD1501" s="2" t="s">
        <v>82</v>
      </c>
      <c r="BE1501" s="2">
        <v>13</v>
      </c>
      <c r="BF1501" s="2" t="s">
        <v>108</v>
      </c>
      <c r="BG1501" s="2" t="s">
        <v>1769</v>
      </c>
      <c r="BH1501" s="2"/>
      <c r="BI1501" s="4">
        <v>0.875</v>
      </c>
      <c r="BJ1501" s="2">
        <v>13</v>
      </c>
      <c r="BK1501" s="2" t="s">
        <v>91</v>
      </c>
      <c r="BL1501" s="2" t="s">
        <v>5300</v>
      </c>
      <c r="BM1501" s="2">
        <v>242</v>
      </c>
      <c r="BN1501" s="2" t="s">
        <v>107</v>
      </c>
      <c r="BO1501" s="2"/>
      <c r="BP1501" s="2">
        <v>73</v>
      </c>
      <c r="BQ1501" s="2" t="s">
        <v>186</v>
      </c>
      <c r="BR1501" s="2" t="s">
        <v>187</v>
      </c>
      <c r="BS1501" s="3">
        <v>40281</v>
      </c>
      <c r="BT1501" s="4">
        <v>0.58534722222222224</v>
      </c>
    </row>
    <row r="1502" spans="1:72" x14ac:dyDescent="0.25">
      <c r="A1502" s="2">
        <v>2211</v>
      </c>
      <c r="B1502" s="2">
        <v>2010</v>
      </c>
      <c r="C1502" s="2" t="s">
        <v>171</v>
      </c>
      <c r="D1502" s="2" t="s">
        <v>73</v>
      </c>
      <c r="E1502" s="2"/>
      <c r="F1502" s="2">
        <v>100</v>
      </c>
      <c r="G1502" s="2" t="s">
        <v>517</v>
      </c>
      <c r="H1502" s="2">
        <v>47</v>
      </c>
      <c r="I1502" s="2" t="s">
        <v>1409</v>
      </c>
      <c r="J1502" s="2">
        <v>119</v>
      </c>
      <c r="K1502" s="2" t="s">
        <v>325</v>
      </c>
      <c r="L1502" s="2" t="s">
        <v>326</v>
      </c>
      <c r="M1502" s="3">
        <v>40281</v>
      </c>
      <c r="N1502" s="2" t="s">
        <v>4106</v>
      </c>
      <c r="O1502" s="2" t="s">
        <v>5520</v>
      </c>
      <c r="P1502" s="2" t="s">
        <v>519</v>
      </c>
      <c r="Q1502" s="2" t="str">
        <f>""</f>
        <v/>
      </c>
      <c r="R1502" s="2"/>
      <c r="S1502" s="2"/>
      <c r="T1502" s="2">
        <v>1</v>
      </c>
      <c r="U1502" s="2" t="s">
        <v>79</v>
      </c>
      <c r="V1502" s="2">
        <v>3</v>
      </c>
      <c r="W1502" s="2" t="s">
        <v>225</v>
      </c>
      <c r="X1502" s="2">
        <v>6</v>
      </c>
      <c r="Y1502" s="2" t="s">
        <v>249</v>
      </c>
      <c r="Z1502" s="2">
        <v>1</v>
      </c>
      <c r="AA1502" s="2" t="s">
        <v>82</v>
      </c>
      <c r="AB1502" s="2">
        <v>9</v>
      </c>
      <c r="AC1502" s="2" t="s">
        <v>124</v>
      </c>
      <c r="AD1502" s="3">
        <v>40281</v>
      </c>
      <c r="AE1502" s="4">
        <v>0.52083333333333337</v>
      </c>
      <c r="AF1502" s="2"/>
      <c r="AG1502" s="2"/>
      <c r="AH1502" s="2">
        <v>6</v>
      </c>
      <c r="AI1502" s="2" t="s">
        <v>197</v>
      </c>
      <c r="AJ1502" s="2">
        <v>47</v>
      </c>
      <c r="AK1502" s="2" t="s">
        <v>250</v>
      </c>
      <c r="AL1502" s="2">
        <v>19</v>
      </c>
      <c r="AM1502" s="2" t="s">
        <v>107</v>
      </c>
      <c r="AN1502" s="2"/>
      <c r="AO1502" s="2" t="s">
        <v>5521</v>
      </c>
      <c r="AP1502" s="2">
        <v>11</v>
      </c>
      <c r="AQ1502" s="2" t="s">
        <v>82</v>
      </c>
      <c r="AR1502" s="2"/>
      <c r="AS1502" s="2"/>
      <c r="AT1502" s="2" t="s">
        <v>5522</v>
      </c>
      <c r="AU1502" s="2"/>
      <c r="AV1502" s="2"/>
      <c r="AW1502" s="2"/>
      <c r="AX1502" s="2"/>
      <c r="AY1502" s="2">
        <v>1</v>
      </c>
      <c r="AZ1502" s="2" t="s">
        <v>107</v>
      </c>
      <c r="BA1502" s="2">
        <v>41</v>
      </c>
      <c r="BB1502" s="2" t="s">
        <v>82</v>
      </c>
      <c r="BC1502" s="2">
        <v>1</v>
      </c>
      <c r="BD1502" s="2" t="s">
        <v>107</v>
      </c>
      <c r="BE1502" s="2">
        <v>1</v>
      </c>
      <c r="BF1502" s="2" t="s">
        <v>107</v>
      </c>
      <c r="BG1502" s="2"/>
      <c r="BH1502" s="2"/>
      <c r="BI1502" s="2"/>
      <c r="BJ1502" s="2">
        <v>242</v>
      </c>
      <c r="BK1502" s="2" t="s">
        <v>107</v>
      </c>
      <c r="BL1502" s="2"/>
      <c r="BM1502" s="2">
        <v>242</v>
      </c>
      <c r="BN1502" s="2" t="s">
        <v>107</v>
      </c>
      <c r="BO1502" s="2"/>
      <c r="BP1502" s="2">
        <v>242</v>
      </c>
      <c r="BQ1502" s="2" t="s">
        <v>107</v>
      </c>
      <c r="BR1502" s="2"/>
      <c r="BS1502" s="3">
        <v>40281</v>
      </c>
      <c r="BT1502" s="4">
        <v>0.60127314814814814</v>
      </c>
    </row>
    <row r="1503" spans="1:72" x14ac:dyDescent="0.25">
      <c r="A1503" s="2">
        <v>2212</v>
      </c>
      <c r="B1503" s="2">
        <v>2010</v>
      </c>
      <c r="C1503" s="2" t="s">
        <v>642</v>
      </c>
      <c r="D1503" s="2" t="s">
        <v>122</v>
      </c>
      <c r="E1503" s="2"/>
      <c r="F1503" s="2">
        <v>34</v>
      </c>
      <c r="G1503" s="2" t="s">
        <v>334</v>
      </c>
      <c r="H1503" s="2">
        <v>50</v>
      </c>
      <c r="I1503" s="2" t="s">
        <v>107</v>
      </c>
      <c r="J1503" s="2">
        <v>43</v>
      </c>
      <c r="K1503" s="2" t="s">
        <v>2059</v>
      </c>
      <c r="L1503" s="2" t="s">
        <v>2060</v>
      </c>
      <c r="M1503" s="3">
        <v>40281</v>
      </c>
      <c r="N1503" s="2" t="s">
        <v>107</v>
      </c>
      <c r="O1503" s="2" t="s">
        <v>5523</v>
      </c>
      <c r="P1503" s="2" t="s">
        <v>5524</v>
      </c>
      <c r="Q1503" s="2" t="str">
        <f>"N/C"</f>
        <v>N/C</v>
      </c>
      <c r="R1503" s="2" t="s">
        <v>82</v>
      </c>
      <c r="S1503" s="2" t="s">
        <v>82</v>
      </c>
      <c r="T1503" s="2">
        <v>1</v>
      </c>
      <c r="U1503" s="2" t="s">
        <v>79</v>
      </c>
      <c r="V1503" s="2">
        <v>3</v>
      </c>
      <c r="W1503" s="2" t="s">
        <v>225</v>
      </c>
      <c r="X1503" s="2">
        <v>4</v>
      </c>
      <c r="Y1503" s="2" t="s">
        <v>463</v>
      </c>
      <c r="Z1503" s="2">
        <v>1</v>
      </c>
      <c r="AA1503" s="2" t="s">
        <v>82</v>
      </c>
      <c r="AB1503" s="2">
        <v>9</v>
      </c>
      <c r="AC1503" s="2" t="s">
        <v>124</v>
      </c>
      <c r="AD1503" s="3">
        <v>40281</v>
      </c>
      <c r="AE1503" s="4">
        <v>0.61597222222222225</v>
      </c>
      <c r="AF1503" s="2"/>
      <c r="AG1503" s="2"/>
      <c r="AH1503" s="2">
        <v>3</v>
      </c>
      <c r="AI1503" s="2" t="s">
        <v>214</v>
      </c>
      <c r="AJ1503" s="2">
        <v>14</v>
      </c>
      <c r="AK1503" s="2" t="s">
        <v>342</v>
      </c>
      <c r="AL1503" s="2">
        <v>18</v>
      </c>
      <c r="AM1503" s="2" t="s">
        <v>82</v>
      </c>
      <c r="AN1503" s="2"/>
      <c r="AO1503" s="2"/>
      <c r="AP1503" s="2">
        <v>11</v>
      </c>
      <c r="AQ1503" s="2" t="s">
        <v>82</v>
      </c>
      <c r="AR1503" s="2"/>
      <c r="AS1503" s="2"/>
      <c r="AT1503" s="2" t="s">
        <v>5525</v>
      </c>
      <c r="AU1503" s="2"/>
      <c r="AV1503" s="2"/>
      <c r="AW1503" s="2"/>
      <c r="AX1503" s="2"/>
      <c r="AY1503" s="2">
        <v>41</v>
      </c>
      <c r="AZ1503" s="2" t="s">
        <v>82</v>
      </c>
      <c r="BA1503" s="2">
        <v>41</v>
      </c>
      <c r="BB1503" s="2" t="s">
        <v>82</v>
      </c>
      <c r="BC1503" s="2">
        <v>41</v>
      </c>
      <c r="BD1503" s="2" t="s">
        <v>82</v>
      </c>
      <c r="BE1503" s="2">
        <v>41</v>
      </c>
      <c r="BF1503" s="2" t="s">
        <v>82</v>
      </c>
      <c r="BG1503" s="2"/>
      <c r="BH1503" s="2"/>
      <c r="BI1503" s="2"/>
      <c r="BJ1503" s="2">
        <v>241</v>
      </c>
      <c r="BK1503" s="2" t="s">
        <v>82</v>
      </c>
      <c r="BL1503" s="2"/>
      <c r="BM1503" s="2">
        <v>241</v>
      </c>
      <c r="BN1503" s="2" t="s">
        <v>82</v>
      </c>
      <c r="BO1503" s="2"/>
      <c r="BP1503" s="2">
        <v>241</v>
      </c>
      <c r="BQ1503" s="2" t="s">
        <v>82</v>
      </c>
      <c r="BR1503" s="2"/>
      <c r="BS1503" s="3">
        <v>40281</v>
      </c>
      <c r="BT1503" s="4">
        <v>0.64995370370370364</v>
      </c>
    </row>
    <row r="1504" spans="1:72" x14ac:dyDescent="0.25">
      <c r="A1504" s="2">
        <v>2213</v>
      </c>
      <c r="B1504" s="2">
        <v>2010</v>
      </c>
      <c r="C1504" s="2" t="s">
        <v>72</v>
      </c>
      <c r="D1504" s="2" t="s">
        <v>73</v>
      </c>
      <c r="E1504" s="2"/>
      <c r="F1504" s="2">
        <v>82</v>
      </c>
      <c r="G1504" s="2" t="s">
        <v>5526</v>
      </c>
      <c r="H1504" s="2">
        <v>42</v>
      </c>
      <c r="I1504" s="2" t="s">
        <v>1096</v>
      </c>
      <c r="J1504" s="2">
        <v>112</v>
      </c>
      <c r="K1504" s="2" t="s">
        <v>5414</v>
      </c>
      <c r="L1504" s="2" t="s">
        <v>2427</v>
      </c>
      <c r="M1504" s="3">
        <v>40281</v>
      </c>
      <c r="N1504" s="2" t="s">
        <v>5527</v>
      </c>
      <c r="O1504" s="2" t="s">
        <v>116</v>
      </c>
      <c r="P1504" s="2" t="s">
        <v>107</v>
      </c>
      <c r="Q1504" s="2" t="str">
        <f>"0005/2010"</f>
        <v>0005/2010</v>
      </c>
      <c r="R1504" s="2" t="s">
        <v>116</v>
      </c>
      <c r="S1504" s="2" t="s">
        <v>116</v>
      </c>
      <c r="T1504" s="2">
        <v>1</v>
      </c>
      <c r="U1504" s="2" t="s">
        <v>79</v>
      </c>
      <c r="V1504" s="2">
        <v>3</v>
      </c>
      <c r="W1504" s="2" t="s">
        <v>225</v>
      </c>
      <c r="X1504" s="2">
        <v>6</v>
      </c>
      <c r="Y1504" s="2" t="s">
        <v>249</v>
      </c>
      <c r="Z1504" s="2">
        <v>10</v>
      </c>
      <c r="AA1504" s="2" t="s">
        <v>236</v>
      </c>
      <c r="AB1504" s="2">
        <v>9</v>
      </c>
      <c r="AC1504" s="2" t="s">
        <v>124</v>
      </c>
      <c r="AD1504" s="3">
        <v>40279</v>
      </c>
      <c r="AE1504" s="4">
        <v>0.29166666666666669</v>
      </c>
      <c r="AF1504" s="3">
        <v>40279</v>
      </c>
      <c r="AG1504" s="4">
        <v>0.58333333333333337</v>
      </c>
      <c r="AH1504" s="2">
        <v>6</v>
      </c>
      <c r="AI1504" s="2" t="s">
        <v>197</v>
      </c>
      <c r="AJ1504" s="2">
        <v>51</v>
      </c>
      <c r="AK1504" s="2" t="s">
        <v>238</v>
      </c>
      <c r="AL1504" s="2">
        <v>12</v>
      </c>
      <c r="AM1504" s="2" t="s">
        <v>86</v>
      </c>
      <c r="AN1504" s="2" t="s">
        <v>5528</v>
      </c>
      <c r="AO1504" s="2" t="s">
        <v>5529</v>
      </c>
      <c r="AP1504" s="2">
        <v>11</v>
      </c>
      <c r="AQ1504" s="2" t="s">
        <v>82</v>
      </c>
      <c r="AR1504" s="2"/>
      <c r="AS1504" s="2"/>
      <c r="AT1504" s="2" t="s">
        <v>5530</v>
      </c>
      <c r="AU1504" s="2"/>
      <c r="AV1504" s="2"/>
      <c r="AW1504" s="2"/>
      <c r="AX1504" s="2"/>
      <c r="AY1504" s="2">
        <v>111</v>
      </c>
      <c r="AZ1504" s="2" t="s">
        <v>5419</v>
      </c>
      <c r="BA1504" s="2">
        <v>111</v>
      </c>
      <c r="BB1504" s="2" t="s">
        <v>5419</v>
      </c>
      <c r="BC1504" s="2">
        <v>41</v>
      </c>
      <c r="BD1504" s="2" t="s">
        <v>82</v>
      </c>
      <c r="BE1504" s="2">
        <v>59</v>
      </c>
      <c r="BF1504" s="2" t="s">
        <v>5419</v>
      </c>
      <c r="BG1504" s="2"/>
      <c r="BH1504" s="2"/>
      <c r="BI1504" s="2"/>
      <c r="BJ1504" s="2">
        <v>241</v>
      </c>
      <c r="BK1504" s="2" t="s">
        <v>82</v>
      </c>
      <c r="BL1504" s="2"/>
      <c r="BM1504" s="2">
        <v>241</v>
      </c>
      <c r="BN1504" s="2" t="s">
        <v>82</v>
      </c>
      <c r="BO1504" s="2"/>
      <c r="BP1504" s="2">
        <v>241</v>
      </c>
      <c r="BQ1504" s="2" t="s">
        <v>82</v>
      </c>
      <c r="BR1504" s="2"/>
      <c r="BS1504" s="3">
        <v>40281</v>
      </c>
      <c r="BT1504" s="4">
        <v>0.65204861111111112</v>
      </c>
    </row>
    <row r="1505" spans="1:72" x14ac:dyDescent="0.25">
      <c r="A1505" s="2">
        <v>2214</v>
      </c>
      <c r="B1505" s="2">
        <v>2010</v>
      </c>
      <c r="C1505" s="2" t="s">
        <v>93</v>
      </c>
      <c r="D1505" s="2" t="s">
        <v>73</v>
      </c>
      <c r="E1505" s="2"/>
      <c r="F1505" s="2">
        <v>191</v>
      </c>
      <c r="G1505" s="2" t="s">
        <v>5531</v>
      </c>
      <c r="H1505" s="2">
        <v>92</v>
      </c>
      <c r="I1505" s="2" t="s">
        <v>5532</v>
      </c>
      <c r="J1505" s="2">
        <v>199</v>
      </c>
      <c r="K1505" s="2" t="s">
        <v>5533</v>
      </c>
      <c r="L1505" s="2" t="s">
        <v>5534</v>
      </c>
      <c r="M1505" s="3">
        <v>40281</v>
      </c>
      <c r="N1505" s="2"/>
      <c r="O1505" s="2" t="s">
        <v>5535</v>
      </c>
      <c r="P1505" s="2"/>
      <c r="Q1505" s="2" t="str">
        <f>"045/10"</f>
        <v>045/10</v>
      </c>
      <c r="R1505" s="2"/>
      <c r="S1505" s="2" t="s">
        <v>3752</v>
      </c>
      <c r="T1505" s="2">
        <v>1</v>
      </c>
      <c r="U1505" s="2" t="s">
        <v>79</v>
      </c>
      <c r="V1505" s="2">
        <v>1</v>
      </c>
      <c r="W1505" s="2" t="s">
        <v>80</v>
      </c>
      <c r="X1505" s="2">
        <v>3</v>
      </c>
      <c r="Y1505" s="2" t="s">
        <v>698</v>
      </c>
      <c r="Z1505" s="2">
        <v>9</v>
      </c>
      <c r="AA1505" s="2" t="s">
        <v>1119</v>
      </c>
      <c r="AB1505" s="2">
        <v>2</v>
      </c>
      <c r="AC1505" s="2" t="s">
        <v>102</v>
      </c>
      <c r="AD1505" s="3">
        <v>40281</v>
      </c>
      <c r="AE1505" s="4">
        <v>0.59375</v>
      </c>
      <c r="AF1505" s="2"/>
      <c r="AG1505" s="2"/>
      <c r="AH1505" s="2">
        <v>5</v>
      </c>
      <c r="AI1505" s="2" t="s">
        <v>274</v>
      </c>
      <c r="AJ1505" s="2">
        <v>38</v>
      </c>
      <c r="AK1505" s="2" t="s">
        <v>1120</v>
      </c>
      <c r="AL1505" s="2">
        <v>11</v>
      </c>
      <c r="AM1505" s="2" t="s">
        <v>137</v>
      </c>
      <c r="AN1505" s="2"/>
      <c r="AO1505" s="2"/>
      <c r="AP1505" s="2">
        <v>11</v>
      </c>
      <c r="AQ1505" s="2" t="s">
        <v>82</v>
      </c>
      <c r="AR1505" s="2"/>
      <c r="AS1505" s="2"/>
      <c r="AT1505" s="2" t="s">
        <v>5536</v>
      </c>
      <c r="AU1505" s="2"/>
      <c r="AV1505" s="2"/>
      <c r="AW1505" s="2"/>
      <c r="AX1505" s="2"/>
      <c r="AY1505" s="2">
        <v>41</v>
      </c>
      <c r="AZ1505" s="2" t="s">
        <v>82</v>
      </c>
      <c r="BA1505" s="2">
        <v>41</v>
      </c>
      <c r="BB1505" s="2" t="s">
        <v>82</v>
      </c>
      <c r="BC1505" s="2">
        <v>41</v>
      </c>
      <c r="BD1505" s="2" t="s">
        <v>82</v>
      </c>
      <c r="BE1505" s="2">
        <v>4</v>
      </c>
      <c r="BF1505" s="2" t="s">
        <v>90</v>
      </c>
      <c r="BG1505" s="2">
        <v>4025</v>
      </c>
      <c r="BH1505" s="4">
        <v>0.59722222222222221</v>
      </c>
      <c r="BI1505" s="4">
        <v>0.63194444444444442</v>
      </c>
      <c r="BJ1505" s="2">
        <v>13</v>
      </c>
      <c r="BK1505" s="2" t="s">
        <v>91</v>
      </c>
      <c r="BL1505" s="2" t="s">
        <v>3140</v>
      </c>
      <c r="BM1505" s="2">
        <v>13</v>
      </c>
      <c r="BN1505" s="2" t="s">
        <v>91</v>
      </c>
      <c r="BO1505" s="2"/>
      <c r="BP1505" s="2">
        <v>13</v>
      </c>
      <c r="BQ1505" s="2" t="s">
        <v>91</v>
      </c>
      <c r="BR1505" s="2" t="s">
        <v>185</v>
      </c>
      <c r="BS1505" s="3">
        <v>40281</v>
      </c>
      <c r="BT1505" s="4">
        <v>0.72677083333333325</v>
      </c>
    </row>
    <row r="1506" spans="1:72" x14ac:dyDescent="0.25">
      <c r="A1506" s="2">
        <v>2215</v>
      </c>
      <c r="B1506" s="2">
        <v>2010</v>
      </c>
      <c r="C1506" s="2" t="s">
        <v>93</v>
      </c>
      <c r="D1506" s="2" t="s">
        <v>73</v>
      </c>
      <c r="E1506" s="2"/>
      <c r="F1506" s="2">
        <v>588</v>
      </c>
      <c r="G1506" s="2" t="s">
        <v>5537</v>
      </c>
      <c r="H1506" s="2">
        <v>15</v>
      </c>
      <c r="I1506" s="2" t="s">
        <v>130</v>
      </c>
      <c r="J1506" s="2">
        <v>524</v>
      </c>
      <c r="K1506" s="2" t="s">
        <v>5538</v>
      </c>
      <c r="L1506" s="2" t="s">
        <v>5539</v>
      </c>
      <c r="M1506" s="3">
        <v>40281</v>
      </c>
      <c r="N1506" s="2" t="s">
        <v>5540</v>
      </c>
      <c r="O1506" s="2" t="s">
        <v>5541</v>
      </c>
      <c r="P1506" s="2"/>
      <c r="Q1506" s="2" t="str">
        <f>"0046/2010"</f>
        <v>0046/2010</v>
      </c>
      <c r="R1506" s="2"/>
      <c r="S1506" s="2" t="s">
        <v>5542</v>
      </c>
      <c r="T1506" s="2">
        <v>1</v>
      </c>
      <c r="U1506" s="2" t="s">
        <v>79</v>
      </c>
      <c r="V1506" s="2">
        <v>1</v>
      </c>
      <c r="W1506" s="2" t="s">
        <v>80</v>
      </c>
      <c r="X1506" s="2">
        <v>3</v>
      </c>
      <c r="Y1506" s="2" t="s">
        <v>698</v>
      </c>
      <c r="Z1506" s="2">
        <v>9</v>
      </c>
      <c r="AA1506" s="2" t="s">
        <v>1119</v>
      </c>
      <c r="AB1506" s="2">
        <v>2</v>
      </c>
      <c r="AC1506" s="2" t="s">
        <v>102</v>
      </c>
      <c r="AD1506" s="3">
        <v>40281</v>
      </c>
      <c r="AE1506" s="4">
        <v>0.59375</v>
      </c>
      <c r="AF1506" s="2"/>
      <c r="AG1506" s="2"/>
      <c r="AH1506" s="2">
        <v>5</v>
      </c>
      <c r="AI1506" s="2" t="s">
        <v>274</v>
      </c>
      <c r="AJ1506" s="2">
        <v>38</v>
      </c>
      <c r="AK1506" s="2" t="s">
        <v>1120</v>
      </c>
      <c r="AL1506" s="2">
        <v>11</v>
      </c>
      <c r="AM1506" s="2" t="s">
        <v>137</v>
      </c>
      <c r="AN1506" s="2"/>
      <c r="AO1506" s="2"/>
      <c r="AP1506" s="2">
        <v>11</v>
      </c>
      <c r="AQ1506" s="2" t="s">
        <v>82</v>
      </c>
      <c r="AR1506" s="2"/>
      <c r="AS1506" s="2"/>
      <c r="AT1506" s="2" t="s">
        <v>5543</v>
      </c>
      <c r="AU1506" s="2"/>
      <c r="AV1506" s="2"/>
      <c r="AW1506" s="2"/>
      <c r="AX1506" s="2"/>
      <c r="AY1506" s="2">
        <v>41</v>
      </c>
      <c r="AZ1506" s="2" t="s">
        <v>82</v>
      </c>
      <c r="BA1506" s="2">
        <v>41</v>
      </c>
      <c r="BB1506" s="2" t="s">
        <v>82</v>
      </c>
      <c r="BC1506" s="2">
        <v>41</v>
      </c>
      <c r="BD1506" s="2" t="s">
        <v>82</v>
      </c>
      <c r="BE1506" s="2">
        <v>4</v>
      </c>
      <c r="BF1506" s="2" t="s">
        <v>90</v>
      </c>
      <c r="BG1506" s="2">
        <v>4025</v>
      </c>
      <c r="BH1506" s="4">
        <v>0.59722222222222221</v>
      </c>
      <c r="BI1506" s="4">
        <v>0.63194444444444442</v>
      </c>
      <c r="BJ1506" s="2">
        <v>13</v>
      </c>
      <c r="BK1506" s="2" t="s">
        <v>91</v>
      </c>
      <c r="BL1506" s="2" t="s">
        <v>3140</v>
      </c>
      <c r="BM1506" s="2">
        <v>13</v>
      </c>
      <c r="BN1506" s="2" t="s">
        <v>91</v>
      </c>
      <c r="BO1506" s="2"/>
      <c r="BP1506" s="2">
        <v>13</v>
      </c>
      <c r="BQ1506" s="2" t="s">
        <v>91</v>
      </c>
      <c r="BR1506" s="2" t="s">
        <v>185</v>
      </c>
      <c r="BS1506" s="3">
        <v>40281</v>
      </c>
      <c r="BT1506" s="4">
        <v>0.74400462962962965</v>
      </c>
    </row>
    <row r="1507" spans="1:72" x14ac:dyDescent="0.25">
      <c r="A1507" s="2">
        <v>2218</v>
      </c>
      <c r="B1507" s="2">
        <v>2010</v>
      </c>
      <c r="C1507" s="2" t="s">
        <v>642</v>
      </c>
      <c r="D1507" s="2" t="s">
        <v>122</v>
      </c>
      <c r="E1507" s="2"/>
      <c r="F1507" s="2">
        <v>288</v>
      </c>
      <c r="G1507" s="2" t="s">
        <v>5233</v>
      </c>
      <c r="H1507" s="2">
        <v>50</v>
      </c>
      <c r="I1507" s="2" t="s">
        <v>107</v>
      </c>
      <c r="J1507" s="2">
        <v>1</v>
      </c>
      <c r="K1507" s="2" t="s">
        <v>107</v>
      </c>
      <c r="L1507" s="2" t="s">
        <v>107</v>
      </c>
      <c r="M1507" s="3">
        <v>40281</v>
      </c>
      <c r="N1507" s="2" t="s">
        <v>5544</v>
      </c>
      <c r="O1507" s="2"/>
      <c r="P1507" s="2" t="s">
        <v>5336</v>
      </c>
      <c r="Q1507" s="2" t="str">
        <f>"17/10"</f>
        <v>17/10</v>
      </c>
      <c r="R1507" s="2"/>
      <c r="S1507" s="2" t="s">
        <v>116</v>
      </c>
      <c r="T1507" s="2">
        <v>1</v>
      </c>
      <c r="U1507" s="2" t="s">
        <v>79</v>
      </c>
      <c r="V1507" s="2">
        <v>3</v>
      </c>
      <c r="W1507" s="2" t="s">
        <v>225</v>
      </c>
      <c r="X1507" s="2">
        <v>2</v>
      </c>
      <c r="Y1507" s="2" t="s">
        <v>136</v>
      </c>
      <c r="Z1507" s="2">
        <v>1</v>
      </c>
      <c r="AA1507" s="2" t="s">
        <v>82</v>
      </c>
      <c r="AB1507" s="2">
        <v>9</v>
      </c>
      <c r="AC1507" s="2" t="s">
        <v>124</v>
      </c>
      <c r="AD1507" s="3">
        <v>40281</v>
      </c>
      <c r="AE1507" s="4">
        <v>0.60416666666666663</v>
      </c>
      <c r="AF1507" s="2"/>
      <c r="AG1507" s="2"/>
      <c r="AH1507" s="2">
        <v>3</v>
      </c>
      <c r="AI1507" s="2" t="s">
        <v>214</v>
      </c>
      <c r="AJ1507" s="2">
        <v>24</v>
      </c>
      <c r="AK1507" s="2" t="s">
        <v>215</v>
      </c>
      <c r="AL1507" s="2">
        <v>18</v>
      </c>
      <c r="AM1507" s="2" t="s">
        <v>82</v>
      </c>
      <c r="AN1507" s="2"/>
      <c r="AO1507" s="2" t="s">
        <v>5545</v>
      </c>
      <c r="AP1507" s="2">
        <v>11</v>
      </c>
      <c r="AQ1507" s="2" t="s">
        <v>82</v>
      </c>
      <c r="AR1507" s="2"/>
      <c r="AS1507" s="2"/>
      <c r="AT1507" s="2" t="s">
        <v>5546</v>
      </c>
      <c r="AU1507" s="2"/>
      <c r="AV1507" s="2"/>
      <c r="AW1507" s="2"/>
      <c r="AX1507" s="2"/>
      <c r="AY1507" s="2">
        <v>106</v>
      </c>
      <c r="AZ1507" s="2" t="s">
        <v>5188</v>
      </c>
      <c r="BA1507" s="2">
        <v>106</v>
      </c>
      <c r="BB1507" s="2" t="s">
        <v>5188</v>
      </c>
      <c r="BC1507" s="2">
        <v>106</v>
      </c>
      <c r="BD1507" s="2" t="s">
        <v>5188</v>
      </c>
      <c r="BE1507" s="2">
        <v>41</v>
      </c>
      <c r="BF1507" s="2" t="s">
        <v>82</v>
      </c>
      <c r="BG1507" s="2"/>
      <c r="BH1507" s="2"/>
      <c r="BI1507" s="2"/>
      <c r="BJ1507" s="2">
        <v>241</v>
      </c>
      <c r="BK1507" s="2" t="s">
        <v>82</v>
      </c>
      <c r="BL1507" s="2"/>
      <c r="BM1507" s="2">
        <v>241</v>
      </c>
      <c r="BN1507" s="2" t="s">
        <v>82</v>
      </c>
      <c r="BO1507" s="2"/>
      <c r="BP1507" s="2">
        <v>241</v>
      </c>
      <c r="BQ1507" s="2" t="s">
        <v>82</v>
      </c>
      <c r="BR1507" s="2"/>
      <c r="BS1507" s="3">
        <v>40281</v>
      </c>
      <c r="BT1507" s="4">
        <v>0.77938657407407408</v>
      </c>
    </row>
    <row r="1508" spans="1:72" x14ac:dyDescent="0.25">
      <c r="A1508" s="2">
        <v>2219</v>
      </c>
      <c r="B1508" s="2">
        <v>2010</v>
      </c>
      <c r="C1508" s="2" t="s">
        <v>554</v>
      </c>
      <c r="D1508" s="2" t="s">
        <v>73</v>
      </c>
      <c r="E1508" s="2"/>
      <c r="F1508" s="2">
        <v>3</v>
      </c>
      <c r="G1508" s="2" t="s">
        <v>1041</v>
      </c>
      <c r="H1508" s="2">
        <v>1</v>
      </c>
      <c r="I1508" s="2" t="s">
        <v>82</v>
      </c>
      <c r="J1508" s="2">
        <v>368</v>
      </c>
      <c r="K1508" s="2" t="s">
        <v>1042</v>
      </c>
      <c r="L1508" s="2" t="s">
        <v>1043</v>
      </c>
      <c r="M1508" s="3">
        <v>40281</v>
      </c>
      <c r="N1508" s="2"/>
      <c r="O1508" s="2"/>
      <c r="P1508" s="2"/>
      <c r="Q1508" s="2" t="str">
        <f>"201-E/10"</f>
        <v>201-E/10</v>
      </c>
      <c r="R1508" s="2"/>
      <c r="S1508" s="2" t="s">
        <v>480</v>
      </c>
      <c r="T1508" s="2">
        <v>1</v>
      </c>
      <c r="U1508" s="2" t="s">
        <v>79</v>
      </c>
      <c r="V1508" s="2">
        <v>1</v>
      </c>
      <c r="W1508" s="2" t="s">
        <v>80</v>
      </c>
      <c r="X1508" s="2">
        <v>12</v>
      </c>
      <c r="Y1508" s="2" t="s">
        <v>148</v>
      </c>
      <c r="Z1508" s="2">
        <v>10</v>
      </c>
      <c r="AA1508" s="2" t="s">
        <v>236</v>
      </c>
      <c r="AB1508" s="2">
        <v>5</v>
      </c>
      <c r="AC1508" s="2" t="s">
        <v>559</v>
      </c>
      <c r="AD1508" s="3">
        <v>40281</v>
      </c>
      <c r="AE1508" s="4">
        <v>0.60416666666666663</v>
      </c>
      <c r="AF1508" s="3">
        <v>40281</v>
      </c>
      <c r="AG1508" s="4">
        <v>0.6875</v>
      </c>
      <c r="AH1508" s="2">
        <v>2</v>
      </c>
      <c r="AI1508" s="2" t="s">
        <v>84</v>
      </c>
      <c r="AJ1508" s="2">
        <v>9</v>
      </c>
      <c r="AK1508" s="2" t="s">
        <v>103</v>
      </c>
      <c r="AL1508" s="2">
        <v>12</v>
      </c>
      <c r="AM1508" s="2" t="s">
        <v>86</v>
      </c>
      <c r="AN1508" s="2" t="s">
        <v>1936</v>
      </c>
      <c r="AO1508" s="2"/>
      <c r="AP1508" s="2">
        <v>11</v>
      </c>
      <c r="AQ1508" s="2" t="s">
        <v>82</v>
      </c>
      <c r="AR1508" s="2"/>
      <c r="AS1508" s="2"/>
      <c r="AT1508" s="2" t="s">
        <v>5547</v>
      </c>
      <c r="AU1508" s="2"/>
      <c r="AV1508" s="2"/>
      <c r="AW1508" s="2"/>
      <c r="AX1508" s="2"/>
      <c r="AY1508" s="2">
        <v>41</v>
      </c>
      <c r="AZ1508" s="2" t="s">
        <v>82</v>
      </c>
      <c r="BA1508" s="2">
        <v>41</v>
      </c>
      <c r="BB1508" s="2" t="s">
        <v>82</v>
      </c>
      <c r="BC1508" s="2">
        <v>70</v>
      </c>
      <c r="BD1508" s="2" t="s">
        <v>236</v>
      </c>
      <c r="BE1508" s="2">
        <v>39</v>
      </c>
      <c r="BF1508" s="2" t="s">
        <v>440</v>
      </c>
      <c r="BG1508" s="2" t="s">
        <v>5548</v>
      </c>
      <c r="BH1508" s="4">
        <v>0.60416666666666663</v>
      </c>
      <c r="BI1508" s="2"/>
      <c r="BJ1508" s="2">
        <v>33</v>
      </c>
      <c r="BK1508" s="2" t="s">
        <v>361</v>
      </c>
      <c r="BL1508" s="2" t="s">
        <v>2723</v>
      </c>
      <c r="BM1508" s="2">
        <v>241</v>
      </c>
      <c r="BN1508" s="2" t="s">
        <v>82</v>
      </c>
      <c r="BO1508" s="2"/>
      <c r="BP1508" s="2">
        <v>13</v>
      </c>
      <c r="BQ1508" s="2" t="s">
        <v>91</v>
      </c>
      <c r="BR1508" s="2" t="s">
        <v>360</v>
      </c>
      <c r="BS1508" s="3">
        <v>40281</v>
      </c>
      <c r="BT1508" s="4">
        <v>0.81518518518518512</v>
      </c>
    </row>
    <row r="1509" spans="1:72" x14ac:dyDescent="0.25">
      <c r="A1509" s="2">
        <v>2220</v>
      </c>
      <c r="B1509" s="2">
        <v>2010</v>
      </c>
      <c r="C1509" s="2" t="s">
        <v>196</v>
      </c>
      <c r="D1509" s="2" t="s">
        <v>122</v>
      </c>
      <c r="E1509" s="2"/>
      <c r="F1509" s="2">
        <v>1</v>
      </c>
      <c r="G1509" s="2" t="s">
        <v>82</v>
      </c>
      <c r="H1509" s="2">
        <v>1</v>
      </c>
      <c r="I1509" s="2" t="s">
        <v>82</v>
      </c>
      <c r="J1509" s="2">
        <v>1</v>
      </c>
      <c r="K1509" s="2" t="s">
        <v>107</v>
      </c>
      <c r="L1509" s="2" t="s">
        <v>107</v>
      </c>
      <c r="M1509" s="3">
        <v>40282</v>
      </c>
      <c r="N1509" s="2"/>
      <c r="O1509" s="2"/>
      <c r="P1509" s="2"/>
      <c r="Q1509" s="2" t="str">
        <f>""</f>
        <v/>
      </c>
      <c r="R1509" s="2"/>
      <c r="S1509" s="2"/>
      <c r="T1509" s="2">
        <v>2</v>
      </c>
      <c r="U1509" s="2" t="s">
        <v>123</v>
      </c>
      <c r="V1509" s="2">
        <v>1</v>
      </c>
      <c r="W1509" s="2" t="s">
        <v>80</v>
      </c>
      <c r="X1509" s="2">
        <v>1</v>
      </c>
      <c r="Y1509" s="2" t="s">
        <v>81</v>
      </c>
      <c r="Z1509" s="2">
        <v>1</v>
      </c>
      <c r="AA1509" s="2" t="s">
        <v>82</v>
      </c>
      <c r="AB1509" s="2">
        <v>9</v>
      </c>
      <c r="AC1509" s="2" t="s">
        <v>124</v>
      </c>
      <c r="AD1509" s="3">
        <v>40282</v>
      </c>
      <c r="AE1509" s="4">
        <v>0.29166666666666669</v>
      </c>
      <c r="AF1509" s="2"/>
      <c r="AG1509" s="2"/>
      <c r="AH1509" s="2">
        <v>2</v>
      </c>
      <c r="AI1509" s="2" t="s">
        <v>84</v>
      </c>
      <c r="AJ1509" s="2">
        <v>12</v>
      </c>
      <c r="AK1509" s="2" t="s">
        <v>85</v>
      </c>
      <c r="AL1509" s="2">
        <v>20</v>
      </c>
      <c r="AM1509" s="2" t="s">
        <v>992</v>
      </c>
      <c r="AN1509" s="2"/>
      <c r="AO1509" s="2"/>
      <c r="AP1509" s="2">
        <v>11</v>
      </c>
      <c r="AQ1509" s="2" t="s">
        <v>82</v>
      </c>
      <c r="AR1509" s="2"/>
      <c r="AS1509" s="2"/>
      <c r="AT1509" s="2" t="s">
        <v>5549</v>
      </c>
      <c r="AU1509" s="2"/>
      <c r="AV1509" s="2"/>
      <c r="AW1509" s="2"/>
      <c r="AX1509" s="2"/>
      <c r="AY1509" s="2">
        <v>41</v>
      </c>
      <c r="AZ1509" s="2" t="s">
        <v>82</v>
      </c>
      <c r="BA1509" s="2">
        <v>41</v>
      </c>
      <c r="BB1509" s="2" t="s">
        <v>82</v>
      </c>
      <c r="BC1509" s="2">
        <v>41</v>
      </c>
      <c r="BD1509" s="2" t="s">
        <v>82</v>
      </c>
      <c r="BE1509" s="2">
        <v>42</v>
      </c>
      <c r="BF1509" s="2" t="s">
        <v>182</v>
      </c>
      <c r="BG1509" s="2" t="s">
        <v>265</v>
      </c>
      <c r="BH1509" s="4">
        <v>0.32361111111111113</v>
      </c>
      <c r="BI1509" s="2"/>
      <c r="BJ1509" s="2">
        <v>75</v>
      </c>
      <c r="BK1509" s="2" t="s">
        <v>1264</v>
      </c>
      <c r="BL1509" s="2" t="s">
        <v>2406</v>
      </c>
      <c r="BM1509" s="2">
        <v>241</v>
      </c>
      <c r="BN1509" s="2" t="s">
        <v>82</v>
      </c>
      <c r="BO1509" s="2"/>
      <c r="BP1509" s="2">
        <v>13</v>
      </c>
      <c r="BQ1509" s="2" t="s">
        <v>91</v>
      </c>
      <c r="BR1509" s="2" t="s">
        <v>170</v>
      </c>
      <c r="BS1509" s="3">
        <v>40282</v>
      </c>
      <c r="BT1509" s="4">
        <v>0.33460648148148148</v>
      </c>
    </row>
    <row r="1510" spans="1:72" x14ac:dyDescent="0.25">
      <c r="A1510" s="2">
        <v>2221</v>
      </c>
      <c r="B1510" s="2">
        <v>2010</v>
      </c>
      <c r="C1510" s="2" t="s">
        <v>171</v>
      </c>
      <c r="D1510" s="2" t="s">
        <v>122</v>
      </c>
      <c r="E1510" s="2" t="s">
        <v>5518</v>
      </c>
      <c r="F1510" s="2">
        <v>400</v>
      </c>
      <c r="G1510" s="2" t="s">
        <v>3601</v>
      </c>
      <c r="H1510" s="2">
        <v>17</v>
      </c>
      <c r="I1510" s="2" t="s">
        <v>3602</v>
      </c>
      <c r="J1510" s="2">
        <v>316</v>
      </c>
      <c r="K1510" s="2" t="s">
        <v>574</v>
      </c>
      <c r="L1510" s="2" t="s">
        <v>575</v>
      </c>
      <c r="M1510" s="3">
        <v>40282</v>
      </c>
      <c r="N1510" s="2" t="s">
        <v>3826</v>
      </c>
      <c r="O1510" s="2"/>
      <c r="P1510" s="2"/>
      <c r="Q1510" s="2" t="str">
        <f>"199-E/10"</f>
        <v>199-E/10</v>
      </c>
      <c r="R1510" s="2" t="s">
        <v>5500</v>
      </c>
      <c r="S1510" s="2"/>
      <c r="T1510" s="2">
        <v>1</v>
      </c>
      <c r="U1510" s="2" t="s">
        <v>79</v>
      </c>
      <c r="V1510" s="2">
        <v>1</v>
      </c>
      <c r="W1510" s="2" t="s">
        <v>80</v>
      </c>
      <c r="X1510" s="2">
        <v>1</v>
      </c>
      <c r="Y1510" s="2" t="s">
        <v>81</v>
      </c>
      <c r="Z1510" s="2">
        <v>10</v>
      </c>
      <c r="AA1510" s="2" t="s">
        <v>236</v>
      </c>
      <c r="AB1510" s="2">
        <v>1</v>
      </c>
      <c r="AC1510" s="2" t="s">
        <v>178</v>
      </c>
      <c r="AD1510" s="3">
        <v>40280</v>
      </c>
      <c r="AE1510" s="4">
        <v>0.79166666666666663</v>
      </c>
      <c r="AF1510" s="2"/>
      <c r="AG1510" s="2"/>
      <c r="AH1510" s="2">
        <v>2</v>
      </c>
      <c r="AI1510" s="2" t="s">
        <v>84</v>
      </c>
      <c r="AJ1510" s="2">
        <v>9</v>
      </c>
      <c r="AK1510" s="2" t="s">
        <v>103</v>
      </c>
      <c r="AL1510" s="2">
        <v>15</v>
      </c>
      <c r="AM1510" s="2" t="s">
        <v>104</v>
      </c>
      <c r="AN1510" s="2" t="s">
        <v>5501</v>
      </c>
      <c r="AO1510" s="2"/>
      <c r="AP1510" s="2">
        <v>11</v>
      </c>
      <c r="AQ1510" s="2" t="s">
        <v>82</v>
      </c>
      <c r="AR1510" s="2"/>
      <c r="AS1510" s="2"/>
      <c r="AT1510" s="2" t="s">
        <v>5550</v>
      </c>
      <c r="AU1510" s="2"/>
      <c r="AV1510" s="2">
        <v>2</v>
      </c>
      <c r="AW1510" s="2"/>
      <c r="AX1510" s="2"/>
      <c r="AY1510" s="2">
        <v>41</v>
      </c>
      <c r="AZ1510" s="2" t="s">
        <v>82</v>
      </c>
      <c r="BA1510" s="2">
        <v>41</v>
      </c>
      <c r="BB1510" s="2" t="s">
        <v>82</v>
      </c>
      <c r="BC1510" s="2">
        <v>41</v>
      </c>
      <c r="BD1510" s="2" t="s">
        <v>82</v>
      </c>
      <c r="BE1510" s="2">
        <v>13</v>
      </c>
      <c r="BF1510" s="2" t="s">
        <v>108</v>
      </c>
      <c r="BG1510" s="2" t="s">
        <v>1769</v>
      </c>
      <c r="BH1510" s="2"/>
      <c r="BI1510" s="4">
        <v>0.875</v>
      </c>
      <c r="BJ1510" s="2">
        <v>13</v>
      </c>
      <c r="BK1510" s="2" t="s">
        <v>91</v>
      </c>
      <c r="BL1510" s="2" t="s">
        <v>5300</v>
      </c>
      <c r="BM1510" s="2">
        <v>242</v>
      </c>
      <c r="BN1510" s="2" t="s">
        <v>107</v>
      </c>
      <c r="BO1510" s="2"/>
      <c r="BP1510" s="2">
        <v>73</v>
      </c>
      <c r="BQ1510" s="2" t="s">
        <v>186</v>
      </c>
      <c r="BR1510" s="2" t="s">
        <v>187</v>
      </c>
      <c r="BS1510" s="3">
        <v>40282</v>
      </c>
      <c r="BT1510" s="4">
        <v>0.33680555555555558</v>
      </c>
    </row>
    <row r="1511" spans="1:72" x14ac:dyDescent="0.25">
      <c r="A1511" s="2">
        <v>2222</v>
      </c>
      <c r="B1511" s="2">
        <v>2010</v>
      </c>
      <c r="C1511" s="2" t="s">
        <v>72</v>
      </c>
      <c r="D1511" s="2" t="s">
        <v>73</v>
      </c>
      <c r="E1511" s="2"/>
      <c r="F1511" s="2">
        <v>3</v>
      </c>
      <c r="G1511" s="2" t="s">
        <v>1041</v>
      </c>
      <c r="H1511" s="2">
        <v>1</v>
      </c>
      <c r="I1511" s="2" t="s">
        <v>82</v>
      </c>
      <c r="J1511" s="2">
        <v>368</v>
      </c>
      <c r="K1511" s="2" t="s">
        <v>1042</v>
      </c>
      <c r="L1511" s="2" t="s">
        <v>1043</v>
      </c>
      <c r="M1511" s="3">
        <v>40282</v>
      </c>
      <c r="N1511" s="2"/>
      <c r="O1511" s="2"/>
      <c r="P1511" s="2"/>
      <c r="Q1511" s="2" t="str">
        <f>"202-E/10"</f>
        <v>202-E/10</v>
      </c>
      <c r="R1511" s="2"/>
      <c r="S1511" s="2" t="s">
        <v>5551</v>
      </c>
      <c r="T1511" s="2">
        <v>1</v>
      </c>
      <c r="U1511" s="2" t="s">
        <v>79</v>
      </c>
      <c r="V1511" s="2">
        <v>1</v>
      </c>
      <c r="W1511" s="2" t="s">
        <v>80</v>
      </c>
      <c r="X1511" s="2">
        <v>12</v>
      </c>
      <c r="Y1511" s="2" t="s">
        <v>148</v>
      </c>
      <c r="Z1511" s="2">
        <v>1</v>
      </c>
      <c r="AA1511" s="2" t="s">
        <v>82</v>
      </c>
      <c r="AB1511" s="2">
        <v>6</v>
      </c>
      <c r="AC1511" s="2" t="s">
        <v>83</v>
      </c>
      <c r="AD1511" s="3">
        <v>40281</v>
      </c>
      <c r="AE1511" s="4">
        <v>0.30555555555555552</v>
      </c>
      <c r="AF1511" s="3">
        <v>40281</v>
      </c>
      <c r="AG1511" s="4">
        <v>0.82638888888888884</v>
      </c>
      <c r="AH1511" s="2">
        <v>2</v>
      </c>
      <c r="AI1511" s="2" t="s">
        <v>84</v>
      </c>
      <c r="AJ1511" s="2">
        <v>9</v>
      </c>
      <c r="AK1511" s="2" t="s">
        <v>103</v>
      </c>
      <c r="AL1511" s="2">
        <v>12</v>
      </c>
      <c r="AM1511" s="2" t="s">
        <v>86</v>
      </c>
      <c r="AN1511" s="2" t="s">
        <v>5365</v>
      </c>
      <c r="AO1511" s="2" t="s">
        <v>4220</v>
      </c>
      <c r="AP1511" s="2">
        <v>11</v>
      </c>
      <c r="AQ1511" s="2" t="s">
        <v>82</v>
      </c>
      <c r="AR1511" s="2"/>
      <c r="AS1511" s="2"/>
      <c r="AT1511" s="2" t="s">
        <v>5552</v>
      </c>
      <c r="AU1511" s="2"/>
      <c r="AV1511" s="2"/>
      <c r="AW1511" s="2"/>
      <c r="AX1511" s="2"/>
      <c r="AY1511" s="2">
        <v>41</v>
      </c>
      <c r="AZ1511" s="2" t="s">
        <v>82</v>
      </c>
      <c r="BA1511" s="2">
        <v>41</v>
      </c>
      <c r="BB1511" s="2" t="s">
        <v>82</v>
      </c>
      <c r="BC1511" s="2">
        <v>41</v>
      </c>
      <c r="BD1511" s="2" t="s">
        <v>82</v>
      </c>
      <c r="BE1511" s="2">
        <v>16</v>
      </c>
      <c r="BF1511" s="2" t="s">
        <v>3583</v>
      </c>
      <c r="BG1511" s="2" t="s">
        <v>5553</v>
      </c>
      <c r="BH1511" s="4">
        <v>0.29166666666666669</v>
      </c>
      <c r="BI1511" s="2"/>
      <c r="BJ1511" s="2">
        <v>52</v>
      </c>
      <c r="BK1511" s="2" t="s">
        <v>3942</v>
      </c>
      <c r="BL1511" s="2" t="s">
        <v>3943</v>
      </c>
      <c r="BM1511" s="2">
        <v>242</v>
      </c>
      <c r="BN1511" s="2" t="s">
        <v>107</v>
      </c>
      <c r="BO1511" s="2"/>
      <c r="BP1511" s="2">
        <v>13</v>
      </c>
      <c r="BQ1511" s="2" t="s">
        <v>91</v>
      </c>
      <c r="BR1511" s="2" t="s">
        <v>185</v>
      </c>
      <c r="BS1511" s="3">
        <v>40282</v>
      </c>
      <c r="BT1511" s="4">
        <v>0.3681828703703704</v>
      </c>
    </row>
    <row r="1512" spans="1:72" x14ac:dyDescent="0.25">
      <c r="A1512" s="2">
        <v>2223</v>
      </c>
      <c r="B1512" s="2">
        <v>2010</v>
      </c>
      <c r="C1512" s="2" t="s">
        <v>1559</v>
      </c>
      <c r="D1512" s="2" t="s">
        <v>73</v>
      </c>
      <c r="E1512" s="2"/>
      <c r="F1512" s="2">
        <v>1</v>
      </c>
      <c r="G1512" s="2" t="s">
        <v>82</v>
      </c>
      <c r="H1512" s="2">
        <v>1</v>
      </c>
      <c r="I1512" s="2" t="s">
        <v>82</v>
      </c>
      <c r="J1512" s="2">
        <v>1</v>
      </c>
      <c r="K1512" s="2" t="s">
        <v>107</v>
      </c>
      <c r="L1512" s="2" t="s">
        <v>107</v>
      </c>
      <c r="M1512" s="3">
        <v>40282</v>
      </c>
      <c r="N1512" s="2"/>
      <c r="O1512" s="2"/>
      <c r="P1512" s="2"/>
      <c r="Q1512" s="2" t="str">
        <f>""</f>
        <v/>
      </c>
      <c r="R1512" s="2"/>
      <c r="S1512" s="2"/>
      <c r="T1512" s="2">
        <v>1</v>
      </c>
      <c r="U1512" s="2" t="s">
        <v>79</v>
      </c>
      <c r="V1512" s="2">
        <v>1</v>
      </c>
      <c r="W1512" s="2" t="s">
        <v>80</v>
      </c>
      <c r="X1512" s="2">
        <v>4</v>
      </c>
      <c r="Y1512" s="2" t="s">
        <v>463</v>
      </c>
      <c r="Z1512" s="2">
        <v>24</v>
      </c>
      <c r="AA1512" s="2" t="s">
        <v>5387</v>
      </c>
      <c r="AB1512" s="2">
        <v>9</v>
      </c>
      <c r="AC1512" s="2" t="s">
        <v>124</v>
      </c>
      <c r="AD1512" s="3">
        <v>40282</v>
      </c>
      <c r="AE1512" s="4">
        <v>0.14930555555555555</v>
      </c>
      <c r="AF1512" s="2"/>
      <c r="AG1512" s="2"/>
      <c r="AH1512" s="2">
        <v>6</v>
      </c>
      <c r="AI1512" s="2" t="s">
        <v>197</v>
      </c>
      <c r="AJ1512" s="2">
        <v>58</v>
      </c>
      <c r="AK1512" s="2" t="s">
        <v>406</v>
      </c>
      <c r="AL1512" s="2">
        <v>19</v>
      </c>
      <c r="AM1512" s="2" t="s">
        <v>107</v>
      </c>
      <c r="AN1512" s="2"/>
      <c r="AO1512" s="2" t="s">
        <v>163</v>
      </c>
      <c r="AP1512" s="2">
        <v>11</v>
      </c>
      <c r="AQ1512" s="2" t="s">
        <v>82</v>
      </c>
      <c r="AR1512" s="2"/>
      <c r="AS1512" s="2"/>
      <c r="AT1512" s="2" t="s">
        <v>5554</v>
      </c>
      <c r="AU1512" s="2"/>
      <c r="AV1512" s="2"/>
      <c r="AW1512" s="2"/>
      <c r="AX1512" s="2"/>
      <c r="AY1512" s="2">
        <v>41</v>
      </c>
      <c r="AZ1512" s="2" t="s">
        <v>82</v>
      </c>
      <c r="BA1512" s="2">
        <v>41</v>
      </c>
      <c r="BB1512" s="2" t="s">
        <v>82</v>
      </c>
      <c r="BC1512" s="2">
        <v>41</v>
      </c>
      <c r="BD1512" s="2" t="s">
        <v>82</v>
      </c>
      <c r="BE1512" s="2">
        <v>47</v>
      </c>
      <c r="BF1512" s="2" t="s">
        <v>167</v>
      </c>
      <c r="BG1512" s="2" t="s">
        <v>610</v>
      </c>
      <c r="BH1512" s="4">
        <v>0.10416666666666667</v>
      </c>
      <c r="BI1512" s="4">
        <v>0.14930555555555555</v>
      </c>
      <c r="BJ1512" s="2">
        <v>13</v>
      </c>
      <c r="BK1512" s="2" t="s">
        <v>91</v>
      </c>
      <c r="BL1512" s="2" t="s">
        <v>492</v>
      </c>
      <c r="BM1512" s="2">
        <v>241</v>
      </c>
      <c r="BN1512" s="2" t="s">
        <v>82</v>
      </c>
      <c r="BO1512" s="2" t="s">
        <v>82</v>
      </c>
      <c r="BP1512" s="2">
        <v>13</v>
      </c>
      <c r="BQ1512" s="2" t="s">
        <v>91</v>
      </c>
      <c r="BR1512" s="2" t="s">
        <v>170</v>
      </c>
      <c r="BS1512" s="3">
        <v>40282</v>
      </c>
      <c r="BT1512" s="4">
        <v>0.4060185185185185</v>
      </c>
    </row>
    <row r="1513" spans="1:72" x14ac:dyDescent="0.25">
      <c r="A1513" s="2">
        <v>2224</v>
      </c>
      <c r="B1513" s="2">
        <v>2010</v>
      </c>
      <c r="C1513" s="2" t="s">
        <v>4543</v>
      </c>
      <c r="D1513" s="2" t="s">
        <v>122</v>
      </c>
      <c r="E1513" s="2"/>
      <c r="F1513" s="2">
        <v>1</v>
      </c>
      <c r="G1513" s="2" t="s">
        <v>82</v>
      </c>
      <c r="H1513" s="2">
        <v>61</v>
      </c>
      <c r="I1513" s="2" t="s">
        <v>3043</v>
      </c>
      <c r="J1513" s="2">
        <v>1</v>
      </c>
      <c r="K1513" s="2" t="s">
        <v>107</v>
      </c>
      <c r="L1513" s="2" t="s">
        <v>107</v>
      </c>
      <c r="M1513" s="3">
        <v>40282</v>
      </c>
      <c r="N1513" s="2" t="s">
        <v>5555</v>
      </c>
      <c r="O1513" s="2" t="s">
        <v>107</v>
      </c>
      <c r="P1513" s="2"/>
      <c r="Q1513" s="2" t="str">
        <f>"S/D"</f>
        <v>S/D</v>
      </c>
      <c r="R1513" s="2" t="s">
        <v>107</v>
      </c>
      <c r="S1513" s="2" t="s">
        <v>107</v>
      </c>
      <c r="T1513" s="2">
        <v>2</v>
      </c>
      <c r="U1513" s="2" t="s">
        <v>123</v>
      </c>
      <c r="V1513" s="2">
        <v>1</v>
      </c>
      <c r="W1513" s="2" t="s">
        <v>80</v>
      </c>
      <c r="X1513" s="2">
        <v>4</v>
      </c>
      <c r="Y1513" s="2" t="s">
        <v>463</v>
      </c>
      <c r="Z1513" s="2">
        <v>1</v>
      </c>
      <c r="AA1513" s="2" t="s">
        <v>82</v>
      </c>
      <c r="AB1513" s="2">
        <v>9</v>
      </c>
      <c r="AC1513" s="2" t="s">
        <v>124</v>
      </c>
      <c r="AD1513" s="3">
        <v>40282</v>
      </c>
      <c r="AE1513" s="4">
        <v>0.42777777777777781</v>
      </c>
      <c r="AF1513" s="2"/>
      <c r="AG1513" s="2"/>
      <c r="AH1513" s="2">
        <v>3</v>
      </c>
      <c r="AI1513" s="2" t="s">
        <v>214</v>
      </c>
      <c r="AJ1513" s="2">
        <v>24</v>
      </c>
      <c r="AK1513" s="2" t="s">
        <v>215</v>
      </c>
      <c r="AL1513" s="2">
        <v>18</v>
      </c>
      <c r="AM1513" s="2" t="s">
        <v>82</v>
      </c>
      <c r="AN1513" s="2" t="s">
        <v>82</v>
      </c>
      <c r="AO1513" s="2" t="s">
        <v>82</v>
      </c>
      <c r="AP1513" s="2">
        <v>11</v>
      </c>
      <c r="AQ1513" s="2" t="s">
        <v>82</v>
      </c>
      <c r="AR1513" s="2" t="s">
        <v>107</v>
      </c>
      <c r="AS1513" s="2" t="s">
        <v>107</v>
      </c>
      <c r="AT1513" s="2" t="s">
        <v>5556</v>
      </c>
      <c r="AU1513" s="2"/>
      <c r="AV1513" s="2"/>
      <c r="AW1513" s="2"/>
      <c r="AX1513" s="2"/>
      <c r="AY1513" s="2">
        <v>1</v>
      </c>
      <c r="AZ1513" s="2" t="s">
        <v>107</v>
      </c>
      <c r="BA1513" s="2">
        <v>1</v>
      </c>
      <c r="BB1513" s="2" t="s">
        <v>107</v>
      </c>
      <c r="BC1513" s="2">
        <v>1</v>
      </c>
      <c r="BD1513" s="2" t="s">
        <v>107</v>
      </c>
      <c r="BE1513" s="2">
        <v>13</v>
      </c>
      <c r="BF1513" s="2" t="s">
        <v>108</v>
      </c>
      <c r="BG1513" s="2">
        <v>2405</v>
      </c>
      <c r="BH1513" s="4">
        <v>0.42777777777777781</v>
      </c>
      <c r="BI1513" s="4">
        <v>0.38541666666666669</v>
      </c>
      <c r="BJ1513" s="2">
        <v>13</v>
      </c>
      <c r="BK1513" s="2" t="s">
        <v>91</v>
      </c>
      <c r="BL1513" s="2" t="s">
        <v>170</v>
      </c>
      <c r="BM1513" s="2">
        <v>241</v>
      </c>
      <c r="BN1513" s="2" t="s">
        <v>82</v>
      </c>
      <c r="BO1513" s="2"/>
      <c r="BP1513" s="2">
        <v>13</v>
      </c>
      <c r="BQ1513" s="2" t="s">
        <v>91</v>
      </c>
      <c r="BR1513" s="2" t="s">
        <v>169</v>
      </c>
      <c r="BS1513" s="3">
        <v>40282</v>
      </c>
      <c r="BT1513" s="4">
        <v>0.52171296296296299</v>
      </c>
    </row>
    <row r="1514" spans="1:72" x14ac:dyDescent="0.25">
      <c r="A1514" s="2">
        <v>2225</v>
      </c>
      <c r="B1514" s="2">
        <v>2010</v>
      </c>
      <c r="C1514" s="2" t="s">
        <v>121</v>
      </c>
      <c r="D1514" s="2" t="s">
        <v>122</v>
      </c>
      <c r="E1514" s="2"/>
      <c r="F1514" s="2">
        <v>1</v>
      </c>
      <c r="G1514" s="2" t="s">
        <v>82</v>
      </c>
      <c r="H1514" s="2">
        <v>1</v>
      </c>
      <c r="I1514" s="2" t="s">
        <v>82</v>
      </c>
      <c r="J1514" s="2">
        <v>1</v>
      </c>
      <c r="K1514" s="2" t="s">
        <v>107</v>
      </c>
      <c r="L1514" s="2" t="s">
        <v>107</v>
      </c>
      <c r="M1514" s="3">
        <v>40282</v>
      </c>
      <c r="N1514" s="2"/>
      <c r="O1514" s="2"/>
      <c r="P1514" s="2"/>
      <c r="Q1514" s="2" t="str">
        <f>""</f>
        <v/>
      </c>
      <c r="R1514" s="2"/>
      <c r="S1514" s="2"/>
      <c r="T1514" s="2">
        <v>2</v>
      </c>
      <c r="U1514" s="2" t="s">
        <v>123</v>
      </c>
      <c r="V1514" s="2">
        <v>1</v>
      </c>
      <c r="W1514" s="2" t="s">
        <v>80</v>
      </c>
      <c r="X1514" s="2">
        <v>5</v>
      </c>
      <c r="Y1514" s="2" t="s">
        <v>82</v>
      </c>
      <c r="Z1514" s="2">
        <v>1</v>
      </c>
      <c r="AA1514" s="2" t="s">
        <v>82</v>
      </c>
      <c r="AB1514" s="2">
        <v>9</v>
      </c>
      <c r="AC1514" s="2" t="s">
        <v>124</v>
      </c>
      <c r="AD1514" s="3">
        <v>40282</v>
      </c>
      <c r="AE1514" s="4">
        <v>0.44861111111111113</v>
      </c>
      <c r="AF1514" s="2"/>
      <c r="AG1514" s="2"/>
      <c r="AH1514" s="2">
        <v>3</v>
      </c>
      <c r="AI1514" s="2" t="s">
        <v>214</v>
      </c>
      <c r="AJ1514" s="2">
        <v>24</v>
      </c>
      <c r="AK1514" s="2" t="s">
        <v>215</v>
      </c>
      <c r="AL1514" s="2">
        <v>10</v>
      </c>
      <c r="AM1514" s="2" t="s">
        <v>200</v>
      </c>
      <c r="AN1514" s="2"/>
      <c r="AO1514" s="2" t="s">
        <v>5557</v>
      </c>
      <c r="AP1514" s="2">
        <v>11</v>
      </c>
      <c r="AQ1514" s="2" t="s">
        <v>82</v>
      </c>
      <c r="AR1514" s="2"/>
      <c r="AS1514" s="2"/>
      <c r="AT1514" s="2" t="s">
        <v>5558</v>
      </c>
      <c r="AU1514" s="2"/>
      <c r="AV1514" s="2"/>
      <c r="AW1514" s="2"/>
      <c r="AX1514" s="2"/>
      <c r="AY1514" s="2">
        <v>41</v>
      </c>
      <c r="AZ1514" s="2" t="s">
        <v>82</v>
      </c>
      <c r="BA1514" s="2">
        <v>41</v>
      </c>
      <c r="BB1514" s="2" t="s">
        <v>82</v>
      </c>
      <c r="BC1514" s="2">
        <v>41</v>
      </c>
      <c r="BD1514" s="2" t="s">
        <v>82</v>
      </c>
      <c r="BE1514" s="2">
        <v>41</v>
      </c>
      <c r="BF1514" s="2" t="s">
        <v>82</v>
      </c>
      <c r="BG1514" s="2">
        <v>329</v>
      </c>
      <c r="BH1514" s="4">
        <v>0.44861111111111113</v>
      </c>
      <c r="BI1514" s="4">
        <v>0.39930555555555558</v>
      </c>
      <c r="BJ1514" s="2">
        <v>13</v>
      </c>
      <c r="BK1514" s="2" t="s">
        <v>91</v>
      </c>
      <c r="BL1514" s="2" t="s">
        <v>5559</v>
      </c>
      <c r="BM1514" s="2">
        <v>241</v>
      </c>
      <c r="BN1514" s="2" t="s">
        <v>82</v>
      </c>
      <c r="BO1514" s="2"/>
      <c r="BP1514" s="2">
        <v>13</v>
      </c>
      <c r="BQ1514" s="2" t="s">
        <v>91</v>
      </c>
      <c r="BR1514" s="2" t="s">
        <v>169</v>
      </c>
      <c r="BS1514" s="3">
        <v>40282</v>
      </c>
      <c r="BT1514" s="4">
        <v>0.53702546296296294</v>
      </c>
    </row>
    <row r="1515" spans="1:72" x14ac:dyDescent="0.25">
      <c r="A1515" s="2">
        <v>2226</v>
      </c>
      <c r="B1515" s="2">
        <v>2010</v>
      </c>
      <c r="C1515" s="2" t="s">
        <v>121</v>
      </c>
      <c r="D1515" s="2" t="s">
        <v>122</v>
      </c>
      <c r="E1515" s="2"/>
      <c r="F1515" s="2">
        <v>1</v>
      </c>
      <c r="G1515" s="2" t="s">
        <v>82</v>
      </c>
      <c r="H1515" s="2">
        <v>1</v>
      </c>
      <c r="I1515" s="2" t="s">
        <v>82</v>
      </c>
      <c r="J1515" s="2">
        <v>1</v>
      </c>
      <c r="K1515" s="2" t="s">
        <v>107</v>
      </c>
      <c r="L1515" s="2" t="s">
        <v>107</v>
      </c>
      <c r="M1515" s="3">
        <v>40282</v>
      </c>
      <c r="N1515" s="2"/>
      <c r="O1515" s="2"/>
      <c r="P1515" s="2"/>
      <c r="Q1515" s="2" t="str">
        <f>""</f>
        <v/>
      </c>
      <c r="R1515" s="2"/>
      <c r="S1515" s="2"/>
      <c r="T1515" s="2">
        <v>2</v>
      </c>
      <c r="U1515" s="2" t="s">
        <v>123</v>
      </c>
      <c r="V1515" s="2">
        <v>1</v>
      </c>
      <c r="W1515" s="2" t="s">
        <v>80</v>
      </c>
      <c r="X1515" s="2">
        <v>5</v>
      </c>
      <c r="Y1515" s="2" t="s">
        <v>82</v>
      </c>
      <c r="Z1515" s="2">
        <v>1</v>
      </c>
      <c r="AA1515" s="2" t="s">
        <v>82</v>
      </c>
      <c r="AB1515" s="2">
        <v>9</v>
      </c>
      <c r="AC1515" s="2" t="s">
        <v>124</v>
      </c>
      <c r="AD1515" s="3">
        <v>40281</v>
      </c>
      <c r="AE1515" s="4">
        <v>0.52430555555555558</v>
      </c>
      <c r="AF1515" s="2"/>
      <c r="AG1515" s="2"/>
      <c r="AH1515" s="2">
        <v>3</v>
      </c>
      <c r="AI1515" s="2" t="s">
        <v>214</v>
      </c>
      <c r="AJ1515" s="2">
        <v>23</v>
      </c>
      <c r="AK1515" s="2" t="s">
        <v>851</v>
      </c>
      <c r="AL1515" s="2">
        <v>10</v>
      </c>
      <c r="AM1515" s="2" t="s">
        <v>200</v>
      </c>
      <c r="AN1515" s="2" t="s">
        <v>230</v>
      </c>
      <c r="AO1515" s="2" t="s">
        <v>82</v>
      </c>
      <c r="AP1515" s="2">
        <v>11</v>
      </c>
      <c r="AQ1515" s="2" t="s">
        <v>82</v>
      </c>
      <c r="AR1515" s="2"/>
      <c r="AS1515" s="2"/>
      <c r="AT1515" s="2" t="s">
        <v>5560</v>
      </c>
      <c r="AU1515" s="2"/>
      <c r="AV1515" s="2"/>
      <c r="AW1515" s="2"/>
      <c r="AX1515" s="2"/>
      <c r="AY1515" s="2">
        <v>41</v>
      </c>
      <c r="AZ1515" s="2" t="s">
        <v>82</v>
      </c>
      <c r="BA1515" s="2">
        <v>41</v>
      </c>
      <c r="BB1515" s="2" t="s">
        <v>82</v>
      </c>
      <c r="BC1515" s="2">
        <v>41</v>
      </c>
      <c r="BD1515" s="2" t="s">
        <v>82</v>
      </c>
      <c r="BE1515" s="2">
        <v>42</v>
      </c>
      <c r="BF1515" s="2" t="s">
        <v>182</v>
      </c>
      <c r="BG1515" s="2" t="s">
        <v>5561</v>
      </c>
      <c r="BH1515" s="4">
        <v>0.52430555555555558</v>
      </c>
      <c r="BI1515" s="4">
        <v>0.54861111111111105</v>
      </c>
      <c r="BJ1515" s="2">
        <v>13</v>
      </c>
      <c r="BK1515" s="2" t="s">
        <v>91</v>
      </c>
      <c r="BL1515" s="2" t="s">
        <v>169</v>
      </c>
      <c r="BM1515" s="2">
        <v>241</v>
      </c>
      <c r="BN1515" s="2" t="s">
        <v>82</v>
      </c>
      <c r="BO1515" s="2" t="s">
        <v>107</v>
      </c>
      <c r="BP1515" s="2">
        <v>13</v>
      </c>
      <c r="BQ1515" s="2" t="s">
        <v>91</v>
      </c>
      <c r="BR1515" s="2" t="s">
        <v>854</v>
      </c>
      <c r="BS1515" s="3">
        <v>40282</v>
      </c>
      <c r="BT1515" s="4">
        <v>0.56089120370370371</v>
      </c>
    </row>
    <row r="1516" spans="1:72" x14ac:dyDescent="0.25">
      <c r="A1516" s="2">
        <v>2227</v>
      </c>
      <c r="B1516" s="2">
        <v>2010</v>
      </c>
      <c r="C1516" s="2" t="s">
        <v>642</v>
      </c>
      <c r="D1516" s="2" t="s">
        <v>122</v>
      </c>
      <c r="E1516" s="2" t="s">
        <v>5562</v>
      </c>
      <c r="F1516" s="2">
        <v>52</v>
      </c>
      <c r="G1516" s="2" t="s">
        <v>2963</v>
      </c>
      <c r="H1516" s="2">
        <v>57</v>
      </c>
      <c r="I1516" s="2" t="s">
        <v>3043</v>
      </c>
      <c r="J1516" s="2">
        <v>87</v>
      </c>
      <c r="K1516" s="2" t="s">
        <v>2964</v>
      </c>
      <c r="L1516" s="2" t="s">
        <v>2534</v>
      </c>
      <c r="M1516" s="3">
        <v>40282</v>
      </c>
      <c r="N1516" s="2" t="s">
        <v>3630</v>
      </c>
      <c r="O1516" s="2" t="s">
        <v>3631</v>
      </c>
      <c r="P1516" s="2" t="s">
        <v>3632</v>
      </c>
      <c r="Q1516" s="2" t="str">
        <f>""</f>
        <v/>
      </c>
      <c r="R1516" s="2"/>
      <c r="S1516" s="2"/>
      <c r="T1516" s="2">
        <v>1</v>
      </c>
      <c r="U1516" s="2" t="s">
        <v>79</v>
      </c>
      <c r="V1516" s="2">
        <v>3</v>
      </c>
      <c r="W1516" s="2" t="s">
        <v>225</v>
      </c>
      <c r="X1516" s="2">
        <v>5</v>
      </c>
      <c r="Y1516" s="2" t="s">
        <v>82</v>
      </c>
      <c r="Z1516" s="2">
        <v>1</v>
      </c>
      <c r="AA1516" s="2" t="s">
        <v>82</v>
      </c>
      <c r="AB1516" s="2">
        <v>9</v>
      </c>
      <c r="AC1516" s="2" t="s">
        <v>124</v>
      </c>
      <c r="AD1516" s="3">
        <v>40282</v>
      </c>
      <c r="AE1516" s="4">
        <v>0.38541666666666669</v>
      </c>
      <c r="AF1516" s="2"/>
      <c r="AG1516" s="2"/>
      <c r="AH1516" s="2">
        <v>4</v>
      </c>
      <c r="AI1516" s="2" t="s">
        <v>125</v>
      </c>
      <c r="AJ1516" s="2">
        <v>26</v>
      </c>
      <c r="AK1516" s="2" t="s">
        <v>293</v>
      </c>
      <c r="AL1516" s="2">
        <v>18</v>
      </c>
      <c r="AM1516" s="2" t="s">
        <v>82</v>
      </c>
      <c r="AN1516" s="2" t="s">
        <v>5563</v>
      </c>
      <c r="AO1516" s="2" t="s">
        <v>5564</v>
      </c>
      <c r="AP1516" s="2">
        <v>11</v>
      </c>
      <c r="AQ1516" s="2" t="s">
        <v>82</v>
      </c>
      <c r="AR1516" s="2"/>
      <c r="AS1516" s="2"/>
      <c r="AT1516" s="2" t="s">
        <v>5565</v>
      </c>
      <c r="AU1516" s="2">
        <v>3</v>
      </c>
      <c r="AV1516" s="2"/>
      <c r="AW1516" s="2"/>
      <c r="AX1516" s="2"/>
      <c r="AY1516" s="2">
        <v>1</v>
      </c>
      <c r="AZ1516" s="2" t="s">
        <v>107</v>
      </c>
      <c r="BA1516" s="2">
        <v>1</v>
      </c>
      <c r="BB1516" s="2" t="s">
        <v>107</v>
      </c>
      <c r="BC1516" s="2">
        <v>1</v>
      </c>
      <c r="BD1516" s="2" t="s">
        <v>107</v>
      </c>
      <c r="BE1516" s="2">
        <v>1</v>
      </c>
      <c r="BF1516" s="2" t="s">
        <v>107</v>
      </c>
      <c r="BG1516" s="2"/>
      <c r="BH1516" s="2"/>
      <c r="BI1516" s="2"/>
      <c r="BJ1516" s="2">
        <v>242</v>
      </c>
      <c r="BK1516" s="2" t="s">
        <v>107</v>
      </c>
      <c r="BL1516" s="2"/>
      <c r="BM1516" s="2">
        <v>242</v>
      </c>
      <c r="BN1516" s="2" t="s">
        <v>107</v>
      </c>
      <c r="BO1516" s="2"/>
      <c r="BP1516" s="2">
        <v>242</v>
      </c>
      <c r="BQ1516" s="2" t="s">
        <v>107</v>
      </c>
      <c r="BR1516" s="2"/>
      <c r="BS1516" s="3">
        <v>40282</v>
      </c>
      <c r="BT1516" s="4">
        <v>0.61075231481481485</v>
      </c>
    </row>
    <row r="1517" spans="1:72" x14ac:dyDescent="0.25">
      <c r="A1517" s="2">
        <v>2229</v>
      </c>
      <c r="B1517" s="2">
        <v>2010</v>
      </c>
      <c r="C1517" s="2" t="s">
        <v>121</v>
      </c>
      <c r="D1517" s="2" t="s">
        <v>122</v>
      </c>
      <c r="E1517" s="2"/>
      <c r="F1517" s="2">
        <v>1</v>
      </c>
      <c r="G1517" s="2" t="s">
        <v>82</v>
      </c>
      <c r="H1517" s="2">
        <v>1</v>
      </c>
      <c r="I1517" s="2" t="s">
        <v>82</v>
      </c>
      <c r="J1517" s="2">
        <v>1</v>
      </c>
      <c r="K1517" s="2" t="s">
        <v>107</v>
      </c>
      <c r="L1517" s="2" t="s">
        <v>107</v>
      </c>
      <c r="M1517" s="3">
        <v>40282</v>
      </c>
      <c r="N1517" s="2" t="s">
        <v>82</v>
      </c>
      <c r="O1517" s="2" t="s">
        <v>82</v>
      </c>
      <c r="P1517" s="2" t="s">
        <v>82</v>
      </c>
      <c r="Q1517" s="2" t="str">
        <f>"N/C"</f>
        <v>N/C</v>
      </c>
      <c r="R1517" s="2" t="s">
        <v>82</v>
      </c>
      <c r="S1517" s="2" t="s">
        <v>82</v>
      </c>
      <c r="T1517" s="2">
        <v>2</v>
      </c>
      <c r="U1517" s="2" t="s">
        <v>123</v>
      </c>
      <c r="V1517" s="2">
        <v>1</v>
      </c>
      <c r="W1517" s="2" t="s">
        <v>80</v>
      </c>
      <c r="X1517" s="2">
        <v>5</v>
      </c>
      <c r="Y1517" s="2" t="s">
        <v>82</v>
      </c>
      <c r="Z1517" s="2">
        <v>1</v>
      </c>
      <c r="AA1517" s="2" t="s">
        <v>82</v>
      </c>
      <c r="AB1517" s="2">
        <v>9</v>
      </c>
      <c r="AC1517" s="2" t="s">
        <v>124</v>
      </c>
      <c r="AD1517" s="3">
        <v>40282</v>
      </c>
      <c r="AE1517" s="4">
        <v>0.5083333333333333</v>
      </c>
      <c r="AF1517" s="2"/>
      <c r="AG1517" s="2"/>
      <c r="AH1517" s="2">
        <v>2</v>
      </c>
      <c r="AI1517" s="2" t="s">
        <v>84</v>
      </c>
      <c r="AJ1517" s="2">
        <v>9</v>
      </c>
      <c r="AK1517" s="2" t="s">
        <v>103</v>
      </c>
      <c r="AL1517" s="2">
        <v>18</v>
      </c>
      <c r="AM1517" s="2" t="s">
        <v>82</v>
      </c>
      <c r="AN1517" s="2" t="s">
        <v>5566</v>
      </c>
      <c r="AO1517" s="2" t="s">
        <v>230</v>
      </c>
      <c r="AP1517" s="2">
        <v>11</v>
      </c>
      <c r="AQ1517" s="2" t="s">
        <v>82</v>
      </c>
      <c r="AR1517" s="2" t="s">
        <v>82</v>
      </c>
      <c r="AS1517" s="2" t="s">
        <v>82</v>
      </c>
      <c r="AT1517" s="2" t="s">
        <v>5567</v>
      </c>
      <c r="AU1517" s="2"/>
      <c r="AV1517" s="2"/>
      <c r="AW1517" s="2"/>
      <c r="AX1517" s="2"/>
      <c r="AY1517" s="2">
        <v>1</v>
      </c>
      <c r="AZ1517" s="2" t="s">
        <v>107</v>
      </c>
      <c r="BA1517" s="2">
        <v>1</v>
      </c>
      <c r="BB1517" s="2" t="s">
        <v>107</v>
      </c>
      <c r="BC1517" s="2">
        <v>1</v>
      </c>
      <c r="BD1517" s="2" t="s">
        <v>107</v>
      </c>
      <c r="BE1517" s="2">
        <v>1</v>
      </c>
      <c r="BF1517" s="2" t="s">
        <v>107</v>
      </c>
      <c r="BG1517" s="2"/>
      <c r="BH1517" s="4">
        <v>0.5</v>
      </c>
      <c r="BI1517" s="2"/>
      <c r="BJ1517" s="2">
        <v>242</v>
      </c>
      <c r="BK1517" s="2" t="s">
        <v>107</v>
      </c>
      <c r="BL1517" s="2"/>
      <c r="BM1517" s="2">
        <v>242</v>
      </c>
      <c r="BN1517" s="2" t="s">
        <v>107</v>
      </c>
      <c r="BO1517" s="2"/>
      <c r="BP1517" s="2">
        <v>242</v>
      </c>
      <c r="BQ1517" s="2" t="s">
        <v>107</v>
      </c>
      <c r="BR1517" s="2"/>
      <c r="BS1517" s="3">
        <v>40282</v>
      </c>
      <c r="BT1517" s="4">
        <v>0.70035879629629638</v>
      </c>
    </row>
    <row r="1518" spans="1:72" x14ac:dyDescent="0.25">
      <c r="A1518" s="2">
        <v>2231</v>
      </c>
      <c r="B1518" s="2">
        <v>2010</v>
      </c>
      <c r="C1518" s="2" t="s">
        <v>457</v>
      </c>
      <c r="D1518" s="2" t="s">
        <v>122</v>
      </c>
      <c r="E1518" s="2"/>
      <c r="F1518" s="2">
        <v>1</v>
      </c>
      <c r="G1518" s="2" t="s">
        <v>82</v>
      </c>
      <c r="H1518" s="2">
        <v>1</v>
      </c>
      <c r="I1518" s="2" t="s">
        <v>82</v>
      </c>
      <c r="J1518" s="2">
        <v>1</v>
      </c>
      <c r="K1518" s="2" t="s">
        <v>107</v>
      </c>
      <c r="L1518" s="2" t="s">
        <v>107</v>
      </c>
      <c r="M1518" s="3">
        <v>40282</v>
      </c>
      <c r="N1518" s="2"/>
      <c r="O1518" s="2"/>
      <c r="P1518" s="2"/>
      <c r="Q1518" s="2" t="str">
        <f>""</f>
        <v/>
      </c>
      <c r="R1518" s="2"/>
      <c r="S1518" s="2"/>
      <c r="T1518" s="2">
        <v>1</v>
      </c>
      <c r="U1518" s="2" t="s">
        <v>79</v>
      </c>
      <c r="V1518" s="2">
        <v>1</v>
      </c>
      <c r="W1518" s="2" t="s">
        <v>80</v>
      </c>
      <c r="X1518" s="2">
        <v>1</v>
      </c>
      <c r="Y1518" s="2" t="s">
        <v>81</v>
      </c>
      <c r="Z1518" s="2">
        <v>1</v>
      </c>
      <c r="AA1518" s="2" t="s">
        <v>82</v>
      </c>
      <c r="AB1518" s="2">
        <v>9</v>
      </c>
      <c r="AC1518" s="2" t="s">
        <v>124</v>
      </c>
      <c r="AD1518" s="3">
        <v>40282</v>
      </c>
      <c r="AE1518" s="4">
        <v>0.54861111111111105</v>
      </c>
      <c r="AF1518" s="2"/>
      <c r="AG1518" s="2"/>
      <c r="AH1518" s="2">
        <v>2</v>
      </c>
      <c r="AI1518" s="2" t="s">
        <v>84</v>
      </c>
      <c r="AJ1518" s="2">
        <v>12</v>
      </c>
      <c r="AK1518" s="2" t="s">
        <v>85</v>
      </c>
      <c r="AL1518" s="2">
        <v>2</v>
      </c>
      <c r="AM1518" s="2" t="s">
        <v>163</v>
      </c>
      <c r="AN1518" s="2" t="s">
        <v>5568</v>
      </c>
      <c r="AO1518" s="2"/>
      <c r="AP1518" s="2">
        <v>11</v>
      </c>
      <c r="AQ1518" s="2" t="s">
        <v>82</v>
      </c>
      <c r="AR1518" s="2"/>
      <c r="AS1518" s="2"/>
      <c r="AT1518" s="2" t="s">
        <v>5569</v>
      </c>
      <c r="AU1518" s="2">
        <v>1</v>
      </c>
      <c r="AV1518" s="2"/>
      <c r="AW1518" s="2"/>
      <c r="AX1518" s="2"/>
      <c r="AY1518" s="2">
        <v>41</v>
      </c>
      <c r="AZ1518" s="2" t="s">
        <v>82</v>
      </c>
      <c r="BA1518" s="2">
        <v>41</v>
      </c>
      <c r="BB1518" s="2" t="s">
        <v>82</v>
      </c>
      <c r="BC1518" s="2">
        <v>41</v>
      </c>
      <c r="BD1518" s="2" t="s">
        <v>82</v>
      </c>
      <c r="BE1518" s="2">
        <v>13</v>
      </c>
      <c r="BF1518" s="2" t="s">
        <v>108</v>
      </c>
      <c r="BG1518" s="2" t="s">
        <v>4530</v>
      </c>
      <c r="BH1518" s="4">
        <v>0.54861111111111105</v>
      </c>
      <c r="BI1518" s="4">
        <v>0.58680555555555558</v>
      </c>
      <c r="BJ1518" s="2">
        <v>13</v>
      </c>
      <c r="BK1518" s="2" t="s">
        <v>91</v>
      </c>
      <c r="BL1518" s="2" t="s">
        <v>185</v>
      </c>
      <c r="BM1518" s="2">
        <v>241</v>
      </c>
      <c r="BN1518" s="2" t="s">
        <v>82</v>
      </c>
      <c r="BO1518" s="2" t="s">
        <v>82</v>
      </c>
      <c r="BP1518" s="2">
        <v>172</v>
      </c>
      <c r="BQ1518" s="2" t="s">
        <v>843</v>
      </c>
      <c r="BR1518" s="2" t="s">
        <v>844</v>
      </c>
      <c r="BS1518" s="3">
        <v>40282</v>
      </c>
      <c r="BT1518" s="4">
        <v>0.72797453703703707</v>
      </c>
    </row>
    <row r="1519" spans="1:72" x14ac:dyDescent="0.25">
      <c r="A1519" s="2">
        <v>2232</v>
      </c>
      <c r="B1519" s="2">
        <v>2010</v>
      </c>
      <c r="C1519" s="2" t="s">
        <v>72</v>
      </c>
      <c r="D1519" s="2" t="s">
        <v>73</v>
      </c>
      <c r="E1519" s="2"/>
      <c r="F1519" s="2">
        <v>389</v>
      </c>
      <c r="G1519" s="2" t="s">
        <v>1819</v>
      </c>
      <c r="H1519" s="2">
        <v>3</v>
      </c>
      <c r="I1519" s="2" t="s">
        <v>315</v>
      </c>
      <c r="J1519" s="2">
        <v>399</v>
      </c>
      <c r="K1519" s="2" t="s">
        <v>1820</v>
      </c>
      <c r="L1519" s="2" t="s">
        <v>1821</v>
      </c>
      <c r="M1519" s="3">
        <v>40282</v>
      </c>
      <c r="N1519" s="2" t="s">
        <v>2319</v>
      </c>
      <c r="O1519" s="2"/>
      <c r="P1519" s="2" t="s">
        <v>1654</v>
      </c>
      <c r="Q1519" s="2" t="str">
        <f>"203-E/10"</f>
        <v>203-E/10</v>
      </c>
      <c r="R1519" s="2" t="s">
        <v>601</v>
      </c>
      <c r="S1519" s="2" t="s">
        <v>601</v>
      </c>
      <c r="T1519" s="2">
        <v>1</v>
      </c>
      <c r="U1519" s="2" t="s">
        <v>79</v>
      </c>
      <c r="V1519" s="2">
        <v>1</v>
      </c>
      <c r="W1519" s="2" t="s">
        <v>80</v>
      </c>
      <c r="X1519" s="2">
        <v>12</v>
      </c>
      <c r="Y1519" s="2" t="s">
        <v>148</v>
      </c>
      <c r="Z1519" s="2">
        <v>1</v>
      </c>
      <c r="AA1519" s="2" t="s">
        <v>82</v>
      </c>
      <c r="AB1519" s="2">
        <v>6</v>
      </c>
      <c r="AC1519" s="2" t="s">
        <v>83</v>
      </c>
      <c r="AD1519" s="3">
        <v>40282</v>
      </c>
      <c r="AE1519" s="2"/>
      <c r="AF1519" s="2"/>
      <c r="AG1519" s="4">
        <v>0.3888888888888889</v>
      </c>
      <c r="AH1519" s="2">
        <v>2</v>
      </c>
      <c r="AI1519" s="2" t="s">
        <v>84</v>
      </c>
      <c r="AJ1519" s="2">
        <v>9</v>
      </c>
      <c r="AK1519" s="2" t="s">
        <v>103</v>
      </c>
      <c r="AL1519" s="2">
        <v>10</v>
      </c>
      <c r="AM1519" s="2" t="s">
        <v>200</v>
      </c>
      <c r="AN1519" s="2"/>
      <c r="AO1519" s="2" t="s">
        <v>5570</v>
      </c>
      <c r="AP1519" s="2">
        <v>5</v>
      </c>
      <c r="AQ1519" s="2" t="s">
        <v>827</v>
      </c>
      <c r="AR1519" s="2" t="s">
        <v>1654</v>
      </c>
      <c r="AS1519" s="2" t="s">
        <v>107</v>
      </c>
      <c r="AT1519" s="2" t="s">
        <v>5571</v>
      </c>
      <c r="AU1519" s="2"/>
      <c r="AV1519" s="2"/>
      <c r="AW1519" s="2"/>
      <c r="AX1519" s="2"/>
      <c r="AY1519" s="2">
        <v>22</v>
      </c>
      <c r="AZ1519" s="2" t="s">
        <v>1262</v>
      </c>
      <c r="BA1519" s="2">
        <v>1</v>
      </c>
      <c r="BB1519" s="2" t="s">
        <v>107</v>
      </c>
      <c r="BC1519" s="2">
        <v>41</v>
      </c>
      <c r="BD1519" s="2" t="s">
        <v>82</v>
      </c>
      <c r="BE1519" s="2">
        <v>22</v>
      </c>
      <c r="BF1519" s="2" t="s">
        <v>1262</v>
      </c>
      <c r="BG1519" s="2" t="s">
        <v>5290</v>
      </c>
      <c r="BH1519" s="4">
        <v>0.3125</v>
      </c>
      <c r="BI1519" s="2"/>
      <c r="BJ1519" s="2">
        <v>75</v>
      </c>
      <c r="BK1519" s="2" t="s">
        <v>1264</v>
      </c>
      <c r="BL1519" s="2" t="s">
        <v>5572</v>
      </c>
      <c r="BM1519" s="2">
        <v>241</v>
      </c>
      <c r="BN1519" s="2" t="s">
        <v>82</v>
      </c>
      <c r="BO1519" s="2" t="s">
        <v>3197</v>
      </c>
      <c r="BP1519" s="2">
        <v>13</v>
      </c>
      <c r="BQ1519" s="2" t="s">
        <v>91</v>
      </c>
      <c r="BR1519" s="2" t="s">
        <v>5573</v>
      </c>
      <c r="BS1519" s="3">
        <v>40282</v>
      </c>
      <c r="BT1519" s="4">
        <v>0.77401620370370372</v>
      </c>
    </row>
    <row r="1520" spans="1:72" x14ac:dyDescent="0.25">
      <c r="A1520" s="2">
        <v>2236</v>
      </c>
      <c r="B1520" s="2">
        <v>2010</v>
      </c>
      <c r="C1520" s="2" t="s">
        <v>625</v>
      </c>
      <c r="D1520" s="2" t="s">
        <v>73</v>
      </c>
      <c r="E1520" s="2"/>
      <c r="F1520" s="2">
        <v>400</v>
      </c>
      <c r="G1520" s="2" t="s">
        <v>3601</v>
      </c>
      <c r="H1520" s="2">
        <v>16</v>
      </c>
      <c r="I1520" s="2" t="s">
        <v>3027</v>
      </c>
      <c r="J1520" s="2">
        <v>316</v>
      </c>
      <c r="K1520" s="2" t="s">
        <v>574</v>
      </c>
      <c r="L1520" s="2" t="s">
        <v>575</v>
      </c>
      <c r="M1520" s="3">
        <v>40282</v>
      </c>
      <c r="N1520" s="2" t="s">
        <v>5574</v>
      </c>
      <c r="O1520" s="2" t="s">
        <v>5575</v>
      </c>
      <c r="P1520" s="2">
        <v>5028</v>
      </c>
      <c r="Q1520" s="2" t="str">
        <f>""</f>
        <v/>
      </c>
      <c r="R1520" s="2"/>
      <c r="S1520" s="2"/>
      <c r="T1520" s="2">
        <v>1</v>
      </c>
      <c r="U1520" s="2" t="s">
        <v>79</v>
      </c>
      <c r="V1520" s="2">
        <v>1</v>
      </c>
      <c r="W1520" s="2" t="s">
        <v>80</v>
      </c>
      <c r="X1520" s="2">
        <v>2</v>
      </c>
      <c r="Y1520" s="2" t="s">
        <v>136</v>
      </c>
      <c r="Z1520" s="2">
        <v>10</v>
      </c>
      <c r="AA1520" s="2" t="s">
        <v>236</v>
      </c>
      <c r="AB1520" s="2">
        <v>9</v>
      </c>
      <c r="AC1520" s="2" t="s">
        <v>124</v>
      </c>
      <c r="AD1520" s="3">
        <v>40282</v>
      </c>
      <c r="AE1520" s="4">
        <v>0.5625</v>
      </c>
      <c r="AF1520" s="2"/>
      <c r="AG1520" s="2"/>
      <c r="AH1520" s="2">
        <v>2</v>
      </c>
      <c r="AI1520" s="2" t="s">
        <v>84</v>
      </c>
      <c r="AJ1520" s="2">
        <v>6</v>
      </c>
      <c r="AK1520" s="2" t="s">
        <v>453</v>
      </c>
      <c r="AL1520" s="2">
        <v>18</v>
      </c>
      <c r="AM1520" s="2" t="s">
        <v>82</v>
      </c>
      <c r="AN1520" s="2" t="s">
        <v>5576</v>
      </c>
      <c r="AO1520" s="2"/>
      <c r="AP1520" s="2">
        <v>11</v>
      </c>
      <c r="AQ1520" s="2" t="s">
        <v>82</v>
      </c>
      <c r="AR1520" s="2"/>
      <c r="AS1520" s="2"/>
      <c r="AT1520" s="2" t="s">
        <v>5577</v>
      </c>
      <c r="AU1520" s="2"/>
      <c r="AV1520" s="2">
        <v>1</v>
      </c>
      <c r="AW1520" s="2"/>
      <c r="AX1520" s="2"/>
      <c r="AY1520" s="2">
        <v>42</v>
      </c>
      <c r="AZ1520" s="2" t="s">
        <v>182</v>
      </c>
      <c r="BA1520" s="2">
        <v>70</v>
      </c>
      <c r="BB1520" s="2" t="s">
        <v>236</v>
      </c>
      <c r="BC1520" s="2">
        <v>70</v>
      </c>
      <c r="BD1520" s="2" t="s">
        <v>236</v>
      </c>
      <c r="BE1520" s="2">
        <v>41</v>
      </c>
      <c r="BF1520" s="2" t="s">
        <v>82</v>
      </c>
      <c r="BG1520" s="2"/>
      <c r="BH1520" s="2"/>
      <c r="BI1520" s="2"/>
      <c r="BJ1520" s="2">
        <v>241</v>
      </c>
      <c r="BK1520" s="2" t="s">
        <v>82</v>
      </c>
      <c r="BL1520" s="2"/>
      <c r="BM1520" s="2">
        <v>241</v>
      </c>
      <c r="BN1520" s="2" t="s">
        <v>82</v>
      </c>
      <c r="BO1520" s="2"/>
      <c r="BP1520" s="2">
        <v>241</v>
      </c>
      <c r="BQ1520" s="2" t="s">
        <v>82</v>
      </c>
      <c r="BR1520" s="2"/>
      <c r="BS1520" s="3">
        <v>40282</v>
      </c>
      <c r="BT1520" s="4">
        <v>0.92519675925925926</v>
      </c>
    </row>
    <row r="1521" spans="1:72" x14ac:dyDescent="0.25">
      <c r="A1521" s="2">
        <v>2236</v>
      </c>
      <c r="B1521" s="2">
        <v>2010</v>
      </c>
      <c r="C1521" s="2" t="s">
        <v>171</v>
      </c>
      <c r="D1521" s="2" t="s">
        <v>73</v>
      </c>
      <c r="E1521" s="2"/>
      <c r="F1521" s="2">
        <v>400</v>
      </c>
      <c r="G1521" s="2" t="s">
        <v>3601</v>
      </c>
      <c r="H1521" s="2">
        <v>16</v>
      </c>
      <c r="I1521" s="2" t="s">
        <v>3027</v>
      </c>
      <c r="J1521" s="2">
        <v>316</v>
      </c>
      <c r="K1521" s="2" t="s">
        <v>574</v>
      </c>
      <c r="L1521" s="2" t="s">
        <v>575</v>
      </c>
      <c r="M1521" s="3">
        <v>40282</v>
      </c>
      <c r="N1521" s="2" t="s">
        <v>5574</v>
      </c>
      <c r="O1521" s="2" t="s">
        <v>5575</v>
      </c>
      <c r="P1521" s="2">
        <v>5028</v>
      </c>
      <c r="Q1521" s="2" t="str">
        <f>""</f>
        <v/>
      </c>
      <c r="R1521" s="2"/>
      <c r="S1521" s="2"/>
      <c r="T1521" s="2">
        <v>1</v>
      </c>
      <c r="U1521" s="2" t="s">
        <v>79</v>
      </c>
      <c r="V1521" s="2">
        <v>1</v>
      </c>
      <c r="W1521" s="2" t="s">
        <v>80</v>
      </c>
      <c r="X1521" s="2">
        <v>2</v>
      </c>
      <c r="Y1521" s="2" t="s">
        <v>136</v>
      </c>
      <c r="Z1521" s="2">
        <v>10</v>
      </c>
      <c r="AA1521" s="2" t="s">
        <v>236</v>
      </c>
      <c r="AB1521" s="2">
        <v>1</v>
      </c>
      <c r="AC1521" s="2" t="s">
        <v>178</v>
      </c>
      <c r="AD1521" s="3">
        <v>40282</v>
      </c>
      <c r="AE1521" s="4">
        <v>0.5625</v>
      </c>
      <c r="AF1521" s="2"/>
      <c r="AG1521" s="2"/>
      <c r="AH1521" s="2">
        <v>2</v>
      </c>
      <c r="AI1521" s="2" t="s">
        <v>84</v>
      </c>
      <c r="AJ1521" s="2">
        <v>6</v>
      </c>
      <c r="AK1521" s="2" t="s">
        <v>453</v>
      </c>
      <c r="AL1521" s="2">
        <v>18</v>
      </c>
      <c r="AM1521" s="2" t="s">
        <v>82</v>
      </c>
      <c r="AN1521" s="2" t="s">
        <v>5576</v>
      </c>
      <c r="AO1521" s="2"/>
      <c r="AP1521" s="2">
        <v>11</v>
      </c>
      <c r="AQ1521" s="2" t="s">
        <v>82</v>
      </c>
      <c r="AR1521" s="2"/>
      <c r="AS1521" s="2"/>
      <c r="AT1521" s="2" t="s">
        <v>5577</v>
      </c>
      <c r="AU1521" s="2"/>
      <c r="AV1521" s="2">
        <v>1</v>
      </c>
      <c r="AW1521" s="2"/>
      <c r="AX1521" s="2"/>
      <c r="AY1521" s="2">
        <v>42</v>
      </c>
      <c r="AZ1521" s="2" t="s">
        <v>182</v>
      </c>
      <c r="BA1521" s="2">
        <v>70</v>
      </c>
      <c r="BB1521" s="2" t="s">
        <v>236</v>
      </c>
      <c r="BC1521" s="2">
        <v>70</v>
      </c>
      <c r="BD1521" s="2" t="s">
        <v>236</v>
      </c>
      <c r="BE1521" s="2">
        <v>41</v>
      </c>
      <c r="BF1521" s="2" t="s">
        <v>82</v>
      </c>
      <c r="BG1521" s="2"/>
      <c r="BH1521" s="2"/>
      <c r="BI1521" s="2"/>
      <c r="BJ1521" s="2">
        <v>241</v>
      </c>
      <c r="BK1521" s="2" t="s">
        <v>82</v>
      </c>
      <c r="BL1521" s="2"/>
      <c r="BM1521" s="2">
        <v>241</v>
      </c>
      <c r="BN1521" s="2" t="s">
        <v>82</v>
      </c>
      <c r="BO1521" s="2"/>
      <c r="BP1521" s="2">
        <v>241</v>
      </c>
      <c r="BQ1521" s="2" t="s">
        <v>82</v>
      </c>
      <c r="BR1521" s="2"/>
      <c r="BS1521" s="3">
        <v>40282</v>
      </c>
      <c r="BT1521" s="4">
        <v>0.92519675925925926</v>
      </c>
    </row>
    <row r="1522" spans="1:72" x14ac:dyDescent="0.25">
      <c r="A1522" s="2">
        <v>2237</v>
      </c>
      <c r="B1522" s="2">
        <v>2010</v>
      </c>
      <c r="C1522" s="2" t="s">
        <v>171</v>
      </c>
      <c r="D1522" s="2" t="s">
        <v>122</v>
      </c>
      <c r="E1522" s="2" t="s">
        <v>5578</v>
      </c>
      <c r="F1522" s="2">
        <v>400</v>
      </c>
      <c r="G1522" s="2" t="s">
        <v>3601</v>
      </c>
      <c r="H1522" s="2">
        <v>17</v>
      </c>
      <c r="I1522" s="2" t="s">
        <v>3602</v>
      </c>
      <c r="J1522" s="2">
        <v>316</v>
      </c>
      <c r="K1522" s="2" t="s">
        <v>574</v>
      </c>
      <c r="L1522" s="2" t="s">
        <v>575</v>
      </c>
      <c r="M1522" s="3">
        <v>40282</v>
      </c>
      <c r="N1522" s="2" t="s">
        <v>3826</v>
      </c>
      <c r="O1522" s="2"/>
      <c r="P1522" s="2"/>
      <c r="Q1522" s="2" t="str">
        <f>"199-E/10"</f>
        <v>199-E/10</v>
      </c>
      <c r="R1522" s="2"/>
      <c r="S1522" s="2" t="s">
        <v>5500</v>
      </c>
      <c r="T1522" s="2">
        <v>1</v>
      </c>
      <c r="U1522" s="2" t="s">
        <v>79</v>
      </c>
      <c r="V1522" s="2">
        <v>1</v>
      </c>
      <c r="W1522" s="2" t="s">
        <v>80</v>
      </c>
      <c r="X1522" s="2">
        <v>1</v>
      </c>
      <c r="Y1522" s="2" t="s">
        <v>81</v>
      </c>
      <c r="Z1522" s="2">
        <v>10</v>
      </c>
      <c r="AA1522" s="2" t="s">
        <v>236</v>
      </c>
      <c r="AB1522" s="2">
        <v>1</v>
      </c>
      <c r="AC1522" s="2" t="s">
        <v>178</v>
      </c>
      <c r="AD1522" s="3">
        <v>40280</v>
      </c>
      <c r="AE1522" s="4">
        <v>0.79166666666666663</v>
      </c>
      <c r="AF1522" s="2"/>
      <c r="AG1522" s="2"/>
      <c r="AH1522" s="2">
        <v>2</v>
      </c>
      <c r="AI1522" s="2" t="s">
        <v>84</v>
      </c>
      <c r="AJ1522" s="2">
        <v>9</v>
      </c>
      <c r="AK1522" s="2" t="s">
        <v>103</v>
      </c>
      <c r="AL1522" s="2">
        <v>15</v>
      </c>
      <c r="AM1522" s="2" t="s">
        <v>104</v>
      </c>
      <c r="AN1522" s="2" t="s">
        <v>5501</v>
      </c>
      <c r="AO1522" s="2"/>
      <c r="AP1522" s="2">
        <v>11</v>
      </c>
      <c r="AQ1522" s="2" t="s">
        <v>82</v>
      </c>
      <c r="AR1522" s="2"/>
      <c r="AS1522" s="2"/>
      <c r="AT1522" s="2" t="s">
        <v>5579</v>
      </c>
      <c r="AU1522" s="2"/>
      <c r="AV1522" s="2">
        <v>2</v>
      </c>
      <c r="AW1522" s="2"/>
      <c r="AX1522" s="2"/>
      <c r="AY1522" s="2">
        <v>41</v>
      </c>
      <c r="AZ1522" s="2" t="s">
        <v>82</v>
      </c>
      <c r="BA1522" s="2">
        <v>41</v>
      </c>
      <c r="BB1522" s="2" t="s">
        <v>82</v>
      </c>
      <c r="BC1522" s="2">
        <v>41</v>
      </c>
      <c r="BD1522" s="2" t="s">
        <v>82</v>
      </c>
      <c r="BE1522" s="2">
        <v>13</v>
      </c>
      <c r="BF1522" s="2" t="s">
        <v>108</v>
      </c>
      <c r="BG1522" s="2" t="s">
        <v>1769</v>
      </c>
      <c r="BH1522" s="2"/>
      <c r="BI1522" s="4">
        <v>0.875</v>
      </c>
      <c r="BJ1522" s="2">
        <v>13</v>
      </c>
      <c r="BK1522" s="2" t="s">
        <v>91</v>
      </c>
      <c r="BL1522" s="2" t="s">
        <v>5300</v>
      </c>
      <c r="BM1522" s="2">
        <v>242</v>
      </c>
      <c r="BN1522" s="2" t="s">
        <v>107</v>
      </c>
      <c r="BO1522" s="2"/>
      <c r="BP1522" s="2">
        <v>73</v>
      </c>
      <c r="BQ1522" s="2" t="s">
        <v>186</v>
      </c>
      <c r="BR1522" s="2" t="s">
        <v>187</v>
      </c>
      <c r="BS1522" s="3">
        <v>40282</v>
      </c>
      <c r="BT1522" s="4">
        <v>0.9302083333333333</v>
      </c>
    </row>
    <row r="1523" spans="1:72" x14ac:dyDescent="0.25">
      <c r="A1523" s="2">
        <v>2238</v>
      </c>
      <c r="B1523" s="2">
        <v>2010</v>
      </c>
      <c r="C1523" s="2" t="s">
        <v>549</v>
      </c>
      <c r="D1523" s="2" t="s">
        <v>73</v>
      </c>
      <c r="E1523" s="2"/>
      <c r="F1523" s="2">
        <v>389</v>
      </c>
      <c r="G1523" s="2" t="s">
        <v>1819</v>
      </c>
      <c r="H1523" s="2">
        <v>3</v>
      </c>
      <c r="I1523" s="2" t="s">
        <v>315</v>
      </c>
      <c r="J1523" s="2">
        <v>399</v>
      </c>
      <c r="K1523" s="2" t="s">
        <v>1820</v>
      </c>
      <c r="L1523" s="2" t="s">
        <v>1821</v>
      </c>
      <c r="M1523" s="3">
        <v>40283</v>
      </c>
      <c r="N1523" s="2" t="s">
        <v>2319</v>
      </c>
      <c r="O1523" s="2"/>
      <c r="P1523" s="2"/>
      <c r="Q1523" s="2" t="str">
        <f>"204-E/10"</f>
        <v>204-E/10</v>
      </c>
      <c r="R1523" s="2"/>
      <c r="S1523" s="2" t="s">
        <v>480</v>
      </c>
      <c r="T1523" s="2">
        <v>1</v>
      </c>
      <c r="U1523" s="2" t="s">
        <v>79</v>
      </c>
      <c r="V1523" s="2">
        <v>1</v>
      </c>
      <c r="W1523" s="2" t="s">
        <v>80</v>
      </c>
      <c r="X1523" s="2">
        <v>1</v>
      </c>
      <c r="Y1523" s="2" t="s">
        <v>81</v>
      </c>
      <c r="Z1523" s="2">
        <v>6</v>
      </c>
      <c r="AA1523" s="2" t="s">
        <v>101</v>
      </c>
      <c r="AB1523" s="2">
        <v>9</v>
      </c>
      <c r="AC1523" s="2" t="s">
        <v>124</v>
      </c>
      <c r="AD1523" s="3">
        <v>40282</v>
      </c>
      <c r="AE1523" s="4">
        <v>0.8125</v>
      </c>
      <c r="AF1523" s="3">
        <v>40282</v>
      </c>
      <c r="AG1523" s="4">
        <v>0.92708333333333337</v>
      </c>
      <c r="AH1523" s="2">
        <v>2</v>
      </c>
      <c r="AI1523" s="2" t="s">
        <v>84</v>
      </c>
      <c r="AJ1523" s="2">
        <v>9</v>
      </c>
      <c r="AK1523" s="2" t="s">
        <v>103</v>
      </c>
      <c r="AL1523" s="2">
        <v>14</v>
      </c>
      <c r="AM1523" s="2" t="s">
        <v>216</v>
      </c>
      <c r="AN1523" s="2" t="s">
        <v>5580</v>
      </c>
      <c r="AO1523" s="2"/>
      <c r="AP1523" s="2">
        <v>11</v>
      </c>
      <c r="AQ1523" s="2" t="s">
        <v>82</v>
      </c>
      <c r="AR1523" s="2"/>
      <c r="AS1523" s="2"/>
      <c r="AT1523" s="2" t="s">
        <v>5581</v>
      </c>
      <c r="AU1523" s="2"/>
      <c r="AV1523" s="2">
        <v>1</v>
      </c>
      <c r="AW1523" s="2"/>
      <c r="AX1523" s="2"/>
      <c r="AY1523" s="2">
        <v>41</v>
      </c>
      <c r="AZ1523" s="2" t="s">
        <v>82</v>
      </c>
      <c r="BA1523" s="2">
        <v>42</v>
      </c>
      <c r="BB1523" s="2" t="s">
        <v>182</v>
      </c>
      <c r="BC1523" s="2">
        <v>70</v>
      </c>
      <c r="BD1523" s="2" t="s">
        <v>236</v>
      </c>
      <c r="BE1523" s="2">
        <v>18</v>
      </c>
      <c r="BF1523" s="2" t="s">
        <v>1091</v>
      </c>
      <c r="BG1523" s="2" t="s">
        <v>5582</v>
      </c>
      <c r="BH1523" s="4">
        <v>0.625</v>
      </c>
      <c r="BI1523" s="4">
        <v>0.83333333333333337</v>
      </c>
      <c r="BJ1523" s="2">
        <v>133</v>
      </c>
      <c r="BK1523" s="2" t="s">
        <v>2860</v>
      </c>
      <c r="BL1523" s="2" t="s">
        <v>5583</v>
      </c>
      <c r="BM1523" s="2">
        <v>241</v>
      </c>
      <c r="BN1523" s="2" t="s">
        <v>82</v>
      </c>
      <c r="BO1523" s="2"/>
      <c r="BP1523" s="2">
        <v>13</v>
      </c>
      <c r="BQ1523" s="2" t="s">
        <v>91</v>
      </c>
      <c r="BR1523" s="2" t="s">
        <v>360</v>
      </c>
      <c r="BS1523" s="3">
        <v>40283</v>
      </c>
      <c r="BT1523" s="4">
        <v>0.2646296296296296</v>
      </c>
    </row>
    <row r="1524" spans="1:72" x14ac:dyDescent="0.25">
      <c r="A1524" s="2">
        <v>2240</v>
      </c>
      <c r="B1524" s="2">
        <v>2010</v>
      </c>
      <c r="C1524" s="2" t="s">
        <v>2808</v>
      </c>
      <c r="D1524" s="2" t="s">
        <v>122</v>
      </c>
      <c r="E1524" s="2" t="s">
        <v>5584</v>
      </c>
      <c r="F1524" s="2">
        <v>52</v>
      </c>
      <c r="G1524" s="2" t="s">
        <v>2963</v>
      </c>
      <c r="H1524" s="2">
        <v>57</v>
      </c>
      <c r="I1524" s="2" t="s">
        <v>3043</v>
      </c>
      <c r="J1524" s="2">
        <v>87</v>
      </c>
      <c r="K1524" s="2" t="s">
        <v>2964</v>
      </c>
      <c r="L1524" s="2" t="s">
        <v>2534</v>
      </c>
      <c r="M1524" s="3">
        <v>40283</v>
      </c>
      <c r="N1524" s="2" t="s">
        <v>3630</v>
      </c>
      <c r="O1524" s="2" t="s">
        <v>3631</v>
      </c>
      <c r="P1524" s="2" t="s">
        <v>3632</v>
      </c>
      <c r="Q1524" s="2" t="str">
        <f>""</f>
        <v/>
      </c>
      <c r="R1524" s="2"/>
      <c r="S1524" s="2"/>
      <c r="T1524" s="2">
        <v>1</v>
      </c>
      <c r="U1524" s="2" t="s">
        <v>79</v>
      </c>
      <c r="V1524" s="2">
        <v>3</v>
      </c>
      <c r="W1524" s="2" t="s">
        <v>225</v>
      </c>
      <c r="X1524" s="2">
        <v>5</v>
      </c>
      <c r="Y1524" s="2" t="s">
        <v>82</v>
      </c>
      <c r="Z1524" s="2">
        <v>1</v>
      </c>
      <c r="AA1524" s="2" t="s">
        <v>82</v>
      </c>
      <c r="AB1524" s="2">
        <v>9</v>
      </c>
      <c r="AC1524" s="2" t="s">
        <v>124</v>
      </c>
      <c r="AD1524" s="3">
        <v>40283</v>
      </c>
      <c r="AE1524" s="4">
        <v>0.3263888888888889</v>
      </c>
      <c r="AF1524" s="2"/>
      <c r="AG1524" s="2"/>
      <c r="AH1524" s="2">
        <v>4</v>
      </c>
      <c r="AI1524" s="2" t="s">
        <v>125</v>
      </c>
      <c r="AJ1524" s="2">
        <v>26</v>
      </c>
      <c r="AK1524" s="2" t="s">
        <v>293</v>
      </c>
      <c r="AL1524" s="2">
        <v>18</v>
      </c>
      <c r="AM1524" s="2" t="s">
        <v>82</v>
      </c>
      <c r="AN1524" s="2" t="s">
        <v>5585</v>
      </c>
      <c r="AO1524" s="2" t="s">
        <v>5564</v>
      </c>
      <c r="AP1524" s="2">
        <v>11</v>
      </c>
      <c r="AQ1524" s="2" t="s">
        <v>82</v>
      </c>
      <c r="AR1524" s="2"/>
      <c r="AS1524" s="2"/>
      <c r="AT1524" s="2" t="s">
        <v>5586</v>
      </c>
      <c r="AU1524" s="2">
        <v>1</v>
      </c>
      <c r="AV1524" s="2"/>
      <c r="AW1524" s="2"/>
      <c r="AX1524" s="2"/>
      <c r="AY1524" s="2">
        <v>1</v>
      </c>
      <c r="AZ1524" s="2" t="s">
        <v>107</v>
      </c>
      <c r="BA1524" s="2">
        <v>1</v>
      </c>
      <c r="BB1524" s="2" t="s">
        <v>107</v>
      </c>
      <c r="BC1524" s="2">
        <v>1</v>
      </c>
      <c r="BD1524" s="2" t="s">
        <v>107</v>
      </c>
      <c r="BE1524" s="2">
        <v>1</v>
      </c>
      <c r="BF1524" s="2" t="s">
        <v>107</v>
      </c>
      <c r="BG1524" s="2"/>
      <c r="BH1524" s="2"/>
      <c r="BI1524" s="2"/>
      <c r="BJ1524" s="2">
        <v>242</v>
      </c>
      <c r="BK1524" s="2" t="s">
        <v>107</v>
      </c>
      <c r="BL1524" s="2"/>
      <c r="BM1524" s="2">
        <v>242</v>
      </c>
      <c r="BN1524" s="2" t="s">
        <v>107</v>
      </c>
      <c r="BO1524" s="2"/>
      <c r="BP1524" s="2">
        <v>242</v>
      </c>
      <c r="BQ1524" s="2" t="s">
        <v>107</v>
      </c>
      <c r="BR1524" s="2"/>
      <c r="BS1524" s="3">
        <v>40283</v>
      </c>
      <c r="BT1524" s="4">
        <v>0.40917824074074072</v>
      </c>
    </row>
    <row r="1525" spans="1:72" x14ac:dyDescent="0.25">
      <c r="A1525" s="2">
        <v>2244</v>
      </c>
      <c r="B1525" s="2">
        <v>2010</v>
      </c>
      <c r="C1525" s="2" t="s">
        <v>72</v>
      </c>
      <c r="D1525" s="2" t="s">
        <v>73</v>
      </c>
      <c r="E1525" s="2"/>
      <c r="F1525" s="2">
        <v>389</v>
      </c>
      <c r="G1525" s="2" t="s">
        <v>1819</v>
      </c>
      <c r="H1525" s="2">
        <v>3</v>
      </c>
      <c r="I1525" s="2" t="s">
        <v>315</v>
      </c>
      <c r="J1525" s="2">
        <v>399</v>
      </c>
      <c r="K1525" s="2" t="s">
        <v>1820</v>
      </c>
      <c r="L1525" s="2" t="s">
        <v>1821</v>
      </c>
      <c r="M1525" s="3">
        <v>40283</v>
      </c>
      <c r="N1525" s="2" t="s">
        <v>4976</v>
      </c>
      <c r="O1525" s="2" t="s">
        <v>107</v>
      </c>
      <c r="P1525" s="2" t="s">
        <v>107</v>
      </c>
      <c r="Q1525" s="2" t="str">
        <f>"205-E/10"</f>
        <v>205-E/10</v>
      </c>
      <c r="R1525" s="2" t="s">
        <v>116</v>
      </c>
      <c r="S1525" s="2" t="s">
        <v>116</v>
      </c>
      <c r="T1525" s="2">
        <v>1</v>
      </c>
      <c r="U1525" s="2" t="s">
        <v>79</v>
      </c>
      <c r="V1525" s="2">
        <v>1</v>
      </c>
      <c r="W1525" s="2" t="s">
        <v>80</v>
      </c>
      <c r="X1525" s="2">
        <v>12</v>
      </c>
      <c r="Y1525" s="2" t="s">
        <v>148</v>
      </c>
      <c r="Z1525" s="2">
        <v>1</v>
      </c>
      <c r="AA1525" s="2" t="s">
        <v>82</v>
      </c>
      <c r="AB1525" s="2">
        <v>6</v>
      </c>
      <c r="AC1525" s="2" t="s">
        <v>83</v>
      </c>
      <c r="AD1525" s="3">
        <v>40263</v>
      </c>
      <c r="AE1525" s="4">
        <v>0</v>
      </c>
      <c r="AF1525" s="3">
        <v>40283</v>
      </c>
      <c r="AG1525" s="4">
        <v>0.33333333333333331</v>
      </c>
      <c r="AH1525" s="2">
        <v>2</v>
      </c>
      <c r="AI1525" s="2" t="s">
        <v>84</v>
      </c>
      <c r="AJ1525" s="2">
        <v>9</v>
      </c>
      <c r="AK1525" s="2" t="s">
        <v>103</v>
      </c>
      <c r="AL1525" s="2">
        <v>10</v>
      </c>
      <c r="AM1525" s="2" t="s">
        <v>200</v>
      </c>
      <c r="AN1525" s="2"/>
      <c r="AO1525" s="2" t="s">
        <v>5587</v>
      </c>
      <c r="AP1525" s="2">
        <v>11</v>
      </c>
      <c r="AQ1525" s="2" t="s">
        <v>82</v>
      </c>
      <c r="AR1525" s="2"/>
      <c r="AS1525" s="2"/>
      <c r="AT1525" s="2" t="s">
        <v>5588</v>
      </c>
      <c r="AU1525" s="2"/>
      <c r="AV1525" s="2"/>
      <c r="AW1525" s="2"/>
      <c r="AX1525" s="2"/>
      <c r="AY1525" s="2">
        <v>41</v>
      </c>
      <c r="AZ1525" s="2" t="s">
        <v>82</v>
      </c>
      <c r="BA1525" s="2">
        <v>41</v>
      </c>
      <c r="BB1525" s="2" t="s">
        <v>82</v>
      </c>
      <c r="BC1525" s="2">
        <v>41</v>
      </c>
      <c r="BD1525" s="2" t="s">
        <v>82</v>
      </c>
      <c r="BE1525" s="2">
        <v>13</v>
      </c>
      <c r="BF1525" s="2" t="s">
        <v>108</v>
      </c>
      <c r="BG1525" s="2" t="s">
        <v>842</v>
      </c>
      <c r="BH1525" s="4">
        <v>0</v>
      </c>
      <c r="BI1525" s="4">
        <v>0.86458333333333337</v>
      </c>
      <c r="BJ1525" s="2">
        <v>13</v>
      </c>
      <c r="BK1525" s="2" t="s">
        <v>91</v>
      </c>
      <c r="BL1525" s="2" t="s">
        <v>1084</v>
      </c>
      <c r="BM1525" s="2">
        <v>241</v>
      </c>
      <c r="BN1525" s="2" t="s">
        <v>82</v>
      </c>
      <c r="BO1525" s="2"/>
      <c r="BP1525" s="2">
        <v>73</v>
      </c>
      <c r="BQ1525" s="2" t="s">
        <v>186</v>
      </c>
      <c r="BR1525" s="2" t="s">
        <v>187</v>
      </c>
      <c r="BS1525" s="3">
        <v>40283</v>
      </c>
      <c r="BT1525" s="4">
        <v>0.45658564814814812</v>
      </c>
    </row>
    <row r="1526" spans="1:72" x14ac:dyDescent="0.25">
      <c r="A1526" s="2">
        <v>2246</v>
      </c>
      <c r="B1526" s="2">
        <v>2010</v>
      </c>
      <c r="C1526" s="2" t="s">
        <v>2808</v>
      </c>
      <c r="D1526" s="2" t="s">
        <v>122</v>
      </c>
      <c r="E1526" s="2" t="s">
        <v>5584</v>
      </c>
      <c r="F1526" s="2">
        <v>52</v>
      </c>
      <c r="G1526" s="2" t="s">
        <v>2963</v>
      </c>
      <c r="H1526" s="2">
        <v>57</v>
      </c>
      <c r="I1526" s="2" t="s">
        <v>3043</v>
      </c>
      <c r="J1526" s="2">
        <v>87</v>
      </c>
      <c r="K1526" s="2" t="s">
        <v>2964</v>
      </c>
      <c r="L1526" s="2" t="s">
        <v>2534</v>
      </c>
      <c r="M1526" s="3">
        <v>40283</v>
      </c>
      <c r="N1526" s="2" t="s">
        <v>3630</v>
      </c>
      <c r="O1526" s="2" t="s">
        <v>3631</v>
      </c>
      <c r="P1526" s="2" t="s">
        <v>3632</v>
      </c>
      <c r="Q1526" s="2" t="str">
        <f>""</f>
        <v/>
      </c>
      <c r="R1526" s="2"/>
      <c r="S1526" s="2"/>
      <c r="T1526" s="2">
        <v>1</v>
      </c>
      <c r="U1526" s="2" t="s">
        <v>79</v>
      </c>
      <c r="V1526" s="2">
        <v>3</v>
      </c>
      <c r="W1526" s="2" t="s">
        <v>225</v>
      </c>
      <c r="X1526" s="2">
        <v>5</v>
      </c>
      <c r="Y1526" s="2" t="s">
        <v>82</v>
      </c>
      <c r="Z1526" s="2">
        <v>1</v>
      </c>
      <c r="AA1526" s="2" t="s">
        <v>82</v>
      </c>
      <c r="AB1526" s="2">
        <v>9</v>
      </c>
      <c r="AC1526" s="2" t="s">
        <v>124</v>
      </c>
      <c r="AD1526" s="3">
        <v>40283</v>
      </c>
      <c r="AE1526" s="4">
        <v>0.38541666666666669</v>
      </c>
      <c r="AF1526" s="2"/>
      <c r="AG1526" s="2"/>
      <c r="AH1526" s="2">
        <v>4</v>
      </c>
      <c r="AI1526" s="2" t="s">
        <v>125</v>
      </c>
      <c r="AJ1526" s="2">
        <v>26</v>
      </c>
      <c r="AK1526" s="2" t="s">
        <v>293</v>
      </c>
      <c r="AL1526" s="2">
        <v>18</v>
      </c>
      <c r="AM1526" s="2" t="s">
        <v>82</v>
      </c>
      <c r="AN1526" s="2" t="s">
        <v>5589</v>
      </c>
      <c r="AO1526" s="2" t="s">
        <v>5590</v>
      </c>
      <c r="AP1526" s="2">
        <v>11</v>
      </c>
      <c r="AQ1526" s="2" t="s">
        <v>82</v>
      </c>
      <c r="AR1526" s="2"/>
      <c r="AS1526" s="2"/>
      <c r="AT1526" s="2" t="s">
        <v>5591</v>
      </c>
      <c r="AU1526" s="2">
        <v>1</v>
      </c>
      <c r="AV1526" s="2"/>
      <c r="AW1526" s="2"/>
      <c r="AX1526" s="2"/>
      <c r="AY1526" s="2">
        <v>1</v>
      </c>
      <c r="AZ1526" s="2" t="s">
        <v>107</v>
      </c>
      <c r="BA1526" s="2">
        <v>1</v>
      </c>
      <c r="BB1526" s="2" t="s">
        <v>107</v>
      </c>
      <c r="BC1526" s="2">
        <v>1</v>
      </c>
      <c r="BD1526" s="2" t="s">
        <v>107</v>
      </c>
      <c r="BE1526" s="2">
        <v>1</v>
      </c>
      <c r="BF1526" s="2" t="s">
        <v>107</v>
      </c>
      <c r="BG1526" s="2"/>
      <c r="BH1526" s="2"/>
      <c r="BI1526" s="2"/>
      <c r="BJ1526" s="2">
        <v>242</v>
      </c>
      <c r="BK1526" s="2" t="s">
        <v>107</v>
      </c>
      <c r="BL1526" s="2"/>
      <c r="BM1526" s="2">
        <v>242</v>
      </c>
      <c r="BN1526" s="2" t="s">
        <v>107</v>
      </c>
      <c r="BO1526" s="2"/>
      <c r="BP1526" s="2">
        <v>242</v>
      </c>
      <c r="BQ1526" s="2" t="s">
        <v>107</v>
      </c>
      <c r="BR1526" s="2"/>
      <c r="BS1526" s="3">
        <v>40283</v>
      </c>
      <c r="BT1526" s="4">
        <v>0.49090277777777774</v>
      </c>
    </row>
    <row r="1527" spans="1:72" x14ac:dyDescent="0.25">
      <c r="A1527" s="2">
        <v>2248</v>
      </c>
      <c r="B1527" s="2">
        <v>2010</v>
      </c>
      <c r="C1527" s="2" t="s">
        <v>128</v>
      </c>
      <c r="D1527" s="2" t="s">
        <v>122</v>
      </c>
      <c r="E1527" s="2" t="s">
        <v>5592</v>
      </c>
      <c r="F1527" s="2">
        <v>389</v>
      </c>
      <c r="G1527" s="2" t="s">
        <v>1819</v>
      </c>
      <c r="H1527" s="2">
        <v>3</v>
      </c>
      <c r="I1527" s="2" t="s">
        <v>315</v>
      </c>
      <c r="J1527" s="2">
        <v>399</v>
      </c>
      <c r="K1527" s="2" t="s">
        <v>1820</v>
      </c>
      <c r="L1527" s="2" t="s">
        <v>1821</v>
      </c>
      <c r="M1527" s="3">
        <v>40283</v>
      </c>
      <c r="N1527" s="2" t="s">
        <v>2319</v>
      </c>
      <c r="O1527" s="2"/>
      <c r="P1527" s="2"/>
      <c r="Q1527" s="2" t="str">
        <f>"204-E/10"</f>
        <v>204-E/10</v>
      </c>
      <c r="R1527" s="2" t="s">
        <v>480</v>
      </c>
      <c r="S1527" s="2"/>
      <c r="T1527" s="2">
        <v>1</v>
      </c>
      <c r="U1527" s="2" t="s">
        <v>79</v>
      </c>
      <c r="V1527" s="2">
        <v>1</v>
      </c>
      <c r="W1527" s="2" t="s">
        <v>80</v>
      </c>
      <c r="X1527" s="2">
        <v>1</v>
      </c>
      <c r="Y1527" s="2" t="s">
        <v>81</v>
      </c>
      <c r="Z1527" s="2">
        <v>6</v>
      </c>
      <c r="AA1527" s="2" t="s">
        <v>101</v>
      </c>
      <c r="AB1527" s="2">
        <v>9</v>
      </c>
      <c r="AC1527" s="2" t="s">
        <v>124</v>
      </c>
      <c r="AD1527" s="3">
        <v>40282</v>
      </c>
      <c r="AE1527" s="4">
        <v>0.8125</v>
      </c>
      <c r="AF1527" s="3">
        <v>40282</v>
      </c>
      <c r="AG1527" s="4">
        <v>0.92708333333333337</v>
      </c>
      <c r="AH1527" s="2">
        <v>2</v>
      </c>
      <c r="AI1527" s="2" t="s">
        <v>84</v>
      </c>
      <c r="AJ1527" s="2">
        <v>9</v>
      </c>
      <c r="AK1527" s="2" t="s">
        <v>103</v>
      </c>
      <c r="AL1527" s="2">
        <v>14</v>
      </c>
      <c r="AM1527" s="2" t="s">
        <v>216</v>
      </c>
      <c r="AN1527" s="2" t="s">
        <v>5580</v>
      </c>
      <c r="AO1527" s="2"/>
      <c r="AP1527" s="2">
        <v>11</v>
      </c>
      <c r="AQ1527" s="2" t="s">
        <v>82</v>
      </c>
      <c r="AR1527" s="2"/>
      <c r="AS1527" s="2"/>
      <c r="AT1527" s="2" t="s">
        <v>5593</v>
      </c>
      <c r="AU1527" s="2"/>
      <c r="AV1527" s="2">
        <v>1</v>
      </c>
      <c r="AW1527" s="2"/>
      <c r="AX1527" s="2"/>
      <c r="AY1527" s="2">
        <v>41</v>
      </c>
      <c r="AZ1527" s="2" t="s">
        <v>82</v>
      </c>
      <c r="BA1527" s="2">
        <v>42</v>
      </c>
      <c r="BB1527" s="2" t="s">
        <v>182</v>
      </c>
      <c r="BC1527" s="2">
        <v>70</v>
      </c>
      <c r="BD1527" s="2" t="s">
        <v>236</v>
      </c>
      <c r="BE1527" s="2">
        <v>18</v>
      </c>
      <c r="BF1527" s="2" t="s">
        <v>1091</v>
      </c>
      <c r="BG1527" s="2" t="s">
        <v>5582</v>
      </c>
      <c r="BH1527" s="4">
        <v>0.625</v>
      </c>
      <c r="BI1527" s="4">
        <v>0.83333333333333337</v>
      </c>
      <c r="BJ1527" s="2">
        <v>133</v>
      </c>
      <c r="BK1527" s="2" t="s">
        <v>2860</v>
      </c>
      <c r="BL1527" s="2" t="s">
        <v>5583</v>
      </c>
      <c r="BM1527" s="2">
        <v>241</v>
      </c>
      <c r="BN1527" s="2" t="s">
        <v>82</v>
      </c>
      <c r="BO1527" s="2"/>
      <c r="BP1527" s="2">
        <v>13</v>
      </c>
      <c r="BQ1527" s="2" t="s">
        <v>91</v>
      </c>
      <c r="BR1527" s="2" t="s">
        <v>360</v>
      </c>
      <c r="BS1527" s="3">
        <v>40283</v>
      </c>
      <c r="BT1527" s="4">
        <v>0.5304861111111111</v>
      </c>
    </row>
    <row r="1528" spans="1:72" x14ac:dyDescent="0.25">
      <c r="A1528" s="2">
        <v>2252</v>
      </c>
      <c r="B1528" s="2">
        <v>2010</v>
      </c>
      <c r="C1528" s="2" t="s">
        <v>171</v>
      </c>
      <c r="D1528" s="2" t="s">
        <v>73</v>
      </c>
      <c r="E1528" s="2"/>
      <c r="F1528" s="2">
        <v>340</v>
      </c>
      <c r="G1528" s="2" t="s">
        <v>5594</v>
      </c>
      <c r="H1528" s="2">
        <v>1</v>
      </c>
      <c r="I1528" s="2" t="s">
        <v>82</v>
      </c>
      <c r="J1528" s="2">
        <v>436</v>
      </c>
      <c r="K1528" s="2" t="s">
        <v>4665</v>
      </c>
      <c r="L1528" s="2" t="s">
        <v>4666</v>
      </c>
      <c r="M1528" s="3">
        <v>40283</v>
      </c>
      <c r="N1528" s="2" t="s">
        <v>5595</v>
      </c>
      <c r="O1528" s="2" t="s">
        <v>5596</v>
      </c>
      <c r="P1528" s="2" t="s">
        <v>5597</v>
      </c>
      <c r="Q1528" s="2" t="str">
        <f>"007/2010"</f>
        <v>007/2010</v>
      </c>
      <c r="R1528" s="2"/>
      <c r="S1528" s="2" t="s">
        <v>5598</v>
      </c>
      <c r="T1528" s="2">
        <v>1</v>
      </c>
      <c r="U1528" s="2" t="s">
        <v>79</v>
      </c>
      <c r="V1528" s="2">
        <v>3</v>
      </c>
      <c r="W1528" s="2" t="s">
        <v>225</v>
      </c>
      <c r="X1528" s="2">
        <v>6</v>
      </c>
      <c r="Y1528" s="2" t="s">
        <v>249</v>
      </c>
      <c r="Z1528" s="2">
        <v>1</v>
      </c>
      <c r="AA1528" s="2" t="s">
        <v>82</v>
      </c>
      <c r="AB1528" s="2">
        <v>9</v>
      </c>
      <c r="AC1528" s="2" t="s">
        <v>124</v>
      </c>
      <c r="AD1528" s="3">
        <v>40283</v>
      </c>
      <c r="AE1528" s="4">
        <v>0.58333333333333337</v>
      </c>
      <c r="AF1528" s="2"/>
      <c r="AG1528" s="2"/>
      <c r="AH1528" s="2">
        <v>5</v>
      </c>
      <c r="AI1528" s="2" t="s">
        <v>274</v>
      </c>
      <c r="AJ1528" s="2">
        <v>35</v>
      </c>
      <c r="AK1528" s="2" t="s">
        <v>275</v>
      </c>
      <c r="AL1528" s="2">
        <v>23</v>
      </c>
      <c r="AM1528" s="2" t="s">
        <v>251</v>
      </c>
      <c r="AN1528" s="2" t="s">
        <v>2497</v>
      </c>
      <c r="AO1528" s="2" t="s">
        <v>5599</v>
      </c>
      <c r="AP1528" s="2">
        <v>11</v>
      </c>
      <c r="AQ1528" s="2" t="s">
        <v>82</v>
      </c>
      <c r="AR1528" s="2"/>
      <c r="AS1528" s="2"/>
      <c r="AT1528" s="2" t="s">
        <v>5600</v>
      </c>
      <c r="AU1528" s="2"/>
      <c r="AV1528" s="2"/>
      <c r="AW1528" s="2"/>
      <c r="AX1528" s="2"/>
      <c r="AY1528" s="2">
        <v>1</v>
      </c>
      <c r="AZ1528" s="2" t="s">
        <v>107</v>
      </c>
      <c r="BA1528" s="2">
        <v>1</v>
      </c>
      <c r="BB1528" s="2" t="s">
        <v>107</v>
      </c>
      <c r="BC1528" s="2">
        <v>1</v>
      </c>
      <c r="BD1528" s="2" t="s">
        <v>107</v>
      </c>
      <c r="BE1528" s="2">
        <v>1</v>
      </c>
      <c r="BF1528" s="2" t="s">
        <v>107</v>
      </c>
      <c r="BG1528" s="2"/>
      <c r="BH1528" s="2"/>
      <c r="BI1528" s="2"/>
      <c r="BJ1528" s="2">
        <v>242</v>
      </c>
      <c r="BK1528" s="2" t="s">
        <v>107</v>
      </c>
      <c r="BL1528" s="2"/>
      <c r="BM1528" s="2">
        <v>242</v>
      </c>
      <c r="BN1528" s="2" t="s">
        <v>107</v>
      </c>
      <c r="BO1528" s="2"/>
      <c r="BP1528" s="2">
        <v>242</v>
      </c>
      <c r="BQ1528" s="2" t="s">
        <v>107</v>
      </c>
      <c r="BR1528" s="2"/>
      <c r="BS1528" s="3">
        <v>40283</v>
      </c>
      <c r="BT1528" s="4">
        <v>0.61997685185185192</v>
      </c>
    </row>
    <row r="1529" spans="1:72" x14ac:dyDescent="0.25">
      <c r="A1529" s="2">
        <v>2253</v>
      </c>
      <c r="B1529" s="2">
        <v>2010</v>
      </c>
      <c r="C1529" s="2" t="s">
        <v>196</v>
      </c>
      <c r="D1529" s="2" t="s">
        <v>122</v>
      </c>
      <c r="E1529" s="2"/>
      <c r="F1529" s="2">
        <v>1</v>
      </c>
      <c r="G1529" s="2" t="s">
        <v>82</v>
      </c>
      <c r="H1529" s="2">
        <v>1</v>
      </c>
      <c r="I1529" s="2" t="s">
        <v>82</v>
      </c>
      <c r="J1529" s="2">
        <v>1</v>
      </c>
      <c r="K1529" s="2" t="s">
        <v>107</v>
      </c>
      <c r="L1529" s="2" t="s">
        <v>107</v>
      </c>
      <c r="M1529" s="3">
        <v>40283</v>
      </c>
      <c r="N1529" s="2"/>
      <c r="O1529" s="2"/>
      <c r="P1529" s="2"/>
      <c r="Q1529" s="2" t="str">
        <f>""</f>
        <v/>
      </c>
      <c r="R1529" s="2"/>
      <c r="S1529" s="2"/>
      <c r="T1529" s="2">
        <v>2</v>
      </c>
      <c r="U1529" s="2" t="s">
        <v>123</v>
      </c>
      <c r="V1529" s="2">
        <v>1</v>
      </c>
      <c r="W1529" s="2" t="s">
        <v>80</v>
      </c>
      <c r="X1529" s="2">
        <v>5</v>
      </c>
      <c r="Y1529" s="2" t="s">
        <v>82</v>
      </c>
      <c r="Z1529" s="2">
        <v>1</v>
      </c>
      <c r="AA1529" s="2" t="s">
        <v>82</v>
      </c>
      <c r="AB1529" s="2">
        <v>9</v>
      </c>
      <c r="AC1529" s="2" t="s">
        <v>124</v>
      </c>
      <c r="AD1529" s="3">
        <v>40283</v>
      </c>
      <c r="AE1529" s="4">
        <v>0.45833333333333331</v>
      </c>
      <c r="AF1529" s="2"/>
      <c r="AG1529" s="2"/>
      <c r="AH1529" s="2">
        <v>2</v>
      </c>
      <c r="AI1529" s="2" t="s">
        <v>84</v>
      </c>
      <c r="AJ1529" s="2">
        <v>9</v>
      </c>
      <c r="AK1529" s="2" t="s">
        <v>103</v>
      </c>
      <c r="AL1529" s="2">
        <v>16</v>
      </c>
      <c r="AM1529" s="2" t="s">
        <v>392</v>
      </c>
      <c r="AN1529" s="2"/>
      <c r="AO1529" s="2" t="s">
        <v>5601</v>
      </c>
      <c r="AP1529" s="2">
        <v>11</v>
      </c>
      <c r="AQ1529" s="2" t="s">
        <v>82</v>
      </c>
      <c r="AR1529" s="2"/>
      <c r="AS1529" s="2"/>
      <c r="AT1529" s="2" t="s">
        <v>5602</v>
      </c>
      <c r="AU1529" s="2"/>
      <c r="AV1529" s="2"/>
      <c r="AW1529" s="2"/>
      <c r="AX1529" s="2"/>
      <c r="AY1529" s="2">
        <v>1</v>
      </c>
      <c r="AZ1529" s="2" t="s">
        <v>107</v>
      </c>
      <c r="BA1529" s="2">
        <v>1</v>
      </c>
      <c r="BB1529" s="2" t="s">
        <v>107</v>
      </c>
      <c r="BC1529" s="2">
        <v>1</v>
      </c>
      <c r="BD1529" s="2" t="s">
        <v>107</v>
      </c>
      <c r="BE1529" s="2">
        <v>41</v>
      </c>
      <c r="BF1529" s="2" t="s">
        <v>82</v>
      </c>
      <c r="BG1529" s="2"/>
      <c r="BH1529" s="2"/>
      <c r="BI1529" s="4">
        <v>0.54166666666666663</v>
      </c>
      <c r="BJ1529" s="2">
        <v>13</v>
      </c>
      <c r="BK1529" s="2" t="s">
        <v>91</v>
      </c>
      <c r="BL1529" s="2" t="s">
        <v>360</v>
      </c>
      <c r="BM1529" s="2">
        <v>242</v>
      </c>
      <c r="BN1529" s="2" t="s">
        <v>107</v>
      </c>
      <c r="BO1529" s="2"/>
      <c r="BP1529" s="2">
        <v>242</v>
      </c>
      <c r="BQ1529" s="2" t="s">
        <v>107</v>
      </c>
      <c r="BR1529" s="2"/>
      <c r="BS1529" s="3">
        <v>40283</v>
      </c>
      <c r="BT1529" s="4">
        <v>0.64483796296296292</v>
      </c>
    </row>
    <row r="1530" spans="1:72" x14ac:dyDescent="0.25">
      <c r="A1530" s="2">
        <v>2256</v>
      </c>
      <c r="B1530" s="2">
        <v>2010</v>
      </c>
      <c r="C1530" s="2" t="s">
        <v>385</v>
      </c>
      <c r="D1530" s="2" t="s">
        <v>122</v>
      </c>
      <c r="E1530" s="2"/>
      <c r="F1530" s="2">
        <v>499</v>
      </c>
      <c r="G1530" s="2" t="s">
        <v>2177</v>
      </c>
      <c r="H1530" s="2">
        <v>9</v>
      </c>
      <c r="I1530" s="2" t="s">
        <v>794</v>
      </c>
      <c r="J1530" s="2">
        <v>33</v>
      </c>
      <c r="K1530" s="2" t="s">
        <v>2178</v>
      </c>
      <c r="L1530" s="2" t="s">
        <v>1877</v>
      </c>
      <c r="M1530" s="3">
        <v>40283</v>
      </c>
      <c r="N1530" s="2" t="s">
        <v>5603</v>
      </c>
      <c r="O1530" s="2" t="s">
        <v>5604</v>
      </c>
      <c r="P1530" s="2">
        <v>5385</v>
      </c>
      <c r="Q1530" s="2" t="str">
        <f>""</f>
        <v/>
      </c>
      <c r="R1530" s="2"/>
      <c r="S1530" s="2"/>
      <c r="T1530" s="2">
        <v>1</v>
      </c>
      <c r="U1530" s="2" t="s">
        <v>79</v>
      </c>
      <c r="V1530" s="2">
        <v>1</v>
      </c>
      <c r="W1530" s="2" t="s">
        <v>80</v>
      </c>
      <c r="X1530" s="2">
        <v>5</v>
      </c>
      <c r="Y1530" s="2" t="s">
        <v>82</v>
      </c>
      <c r="Z1530" s="2">
        <v>1</v>
      </c>
      <c r="AA1530" s="2" t="s">
        <v>82</v>
      </c>
      <c r="AB1530" s="2">
        <v>9</v>
      </c>
      <c r="AC1530" s="2" t="s">
        <v>124</v>
      </c>
      <c r="AD1530" s="3">
        <v>40283</v>
      </c>
      <c r="AE1530" s="4">
        <v>0.61249999999999993</v>
      </c>
      <c r="AF1530" s="2"/>
      <c r="AG1530" s="2"/>
      <c r="AH1530" s="2">
        <v>2</v>
      </c>
      <c r="AI1530" s="2" t="s">
        <v>84</v>
      </c>
      <c r="AJ1530" s="2">
        <v>8</v>
      </c>
      <c r="AK1530" s="2" t="s">
        <v>436</v>
      </c>
      <c r="AL1530" s="2">
        <v>18</v>
      </c>
      <c r="AM1530" s="2" t="s">
        <v>82</v>
      </c>
      <c r="AN1530" s="2"/>
      <c r="AO1530" s="2" t="s">
        <v>5605</v>
      </c>
      <c r="AP1530" s="2">
        <v>11</v>
      </c>
      <c r="AQ1530" s="2" t="s">
        <v>82</v>
      </c>
      <c r="AR1530" s="2"/>
      <c r="AS1530" s="2"/>
      <c r="AT1530" s="2" t="s">
        <v>5606</v>
      </c>
      <c r="AU1530" s="2">
        <v>1</v>
      </c>
      <c r="AV1530" s="2"/>
      <c r="AW1530" s="2"/>
      <c r="AX1530" s="2"/>
      <c r="AY1530" s="2">
        <v>41</v>
      </c>
      <c r="AZ1530" s="2" t="s">
        <v>82</v>
      </c>
      <c r="BA1530" s="2">
        <v>41</v>
      </c>
      <c r="BB1530" s="2" t="s">
        <v>82</v>
      </c>
      <c r="BC1530" s="2">
        <v>41</v>
      </c>
      <c r="BD1530" s="2" t="s">
        <v>82</v>
      </c>
      <c r="BE1530" s="2">
        <v>41</v>
      </c>
      <c r="BF1530" s="2" t="s">
        <v>82</v>
      </c>
      <c r="BG1530" s="2"/>
      <c r="BH1530" s="2"/>
      <c r="BI1530" s="2"/>
      <c r="BJ1530" s="2">
        <v>241</v>
      </c>
      <c r="BK1530" s="2" t="s">
        <v>82</v>
      </c>
      <c r="BL1530" s="2"/>
      <c r="BM1530" s="2">
        <v>241</v>
      </c>
      <c r="BN1530" s="2" t="s">
        <v>82</v>
      </c>
      <c r="BO1530" s="2"/>
      <c r="BP1530" s="2">
        <v>241</v>
      </c>
      <c r="BQ1530" s="2" t="s">
        <v>82</v>
      </c>
      <c r="BR1530" s="2"/>
      <c r="BS1530" s="3">
        <v>40283</v>
      </c>
      <c r="BT1530" s="4">
        <v>0.77582175925925922</v>
      </c>
    </row>
    <row r="1531" spans="1:72" x14ac:dyDescent="0.25">
      <c r="A1531" s="2">
        <v>2258</v>
      </c>
      <c r="B1531" s="2">
        <v>2010</v>
      </c>
      <c r="C1531" s="2" t="s">
        <v>72</v>
      </c>
      <c r="D1531" s="2" t="s">
        <v>73</v>
      </c>
      <c r="E1531" s="2"/>
      <c r="F1531" s="2">
        <v>9</v>
      </c>
      <c r="G1531" s="2" t="s">
        <v>364</v>
      </c>
      <c r="H1531" s="2">
        <v>2</v>
      </c>
      <c r="I1531" s="2" t="s">
        <v>267</v>
      </c>
      <c r="J1531" s="2">
        <v>18</v>
      </c>
      <c r="K1531" s="2" t="s">
        <v>365</v>
      </c>
      <c r="L1531" s="2" t="s">
        <v>115</v>
      </c>
      <c r="M1531" s="3">
        <v>40283</v>
      </c>
      <c r="N1531" s="2" t="s">
        <v>5465</v>
      </c>
      <c r="O1531" s="2" t="s">
        <v>107</v>
      </c>
      <c r="P1531" s="2" t="s">
        <v>107</v>
      </c>
      <c r="Q1531" s="2" t="str">
        <f>"19/2010"</f>
        <v>19/2010</v>
      </c>
      <c r="R1531" s="2" t="s">
        <v>116</v>
      </c>
      <c r="S1531" s="2" t="s">
        <v>116</v>
      </c>
      <c r="T1531" s="2">
        <v>1</v>
      </c>
      <c r="U1531" s="2" t="s">
        <v>79</v>
      </c>
      <c r="V1531" s="2">
        <v>1</v>
      </c>
      <c r="W1531" s="2" t="s">
        <v>80</v>
      </c>
      <c r="X1531" s="2">
        <v>1</v>
      </c>
      <c r="Y1531" s="2" t="s">
        <v>81</v>
      </c>
      <c r="Z1531" s="2">
        <v>1</v>
      </c>
      <c r="AA1531" s="2" t="s">
        <v>82</v>
      </c>
      <c r="AB1531" s="2">
        <v>6</v>
      </c>
      <c r="AC1531" s="2" t="s">
        <v>83</v>
      </c>
      <c r="AD1531" s="3">
        <v>40283</v>
      </c>
      <c r="AE1531" s="4">
        <v>0.68055555555555547</v>
      </c>
      <c r="AF1531" s="3">
        <v>40283</v>
      </c>
      <c r="AG1531" s="4">
        <v>0.79166666666666663</v>
      </c>
      <c r="AH1531" s="2">
        <v>3</v>
      </c>
      <c r="AI1531" s="2" t="s">
        <v>214</v>
      </c>
      <c r="AJ1531" s="2">
        <v>24</v>
      </c>
      <c r="AK1531" s="2" t="s">
        <v>215</v>
      </c>
      <c r="AL1531" s="2">
        <v>2</v>
      </c>
      <c r="AM1531" s="2" t="s">
        <v>163</v>
      </c>
      <c r="AN1531" s="2"/>
      <c r="AO1531" s="2" t="s">
        <v>5607</v>
      </c>
      <c r="AP1531" s="2">
        <v>11</v>
      </c>
      <c r="AQ1531" s="2" t="s">
        <v>82</v>
      </c>
      <c r="AR1531" s="2" t="s">
        <v>82</v>
      </c>
      <c r="AS1531" s="2" t="s">
        <v>82</v>
      </c>
      <c r="AT1531" s="2" t="s">
        <v>5608</v>
      </c>
      <c r="AU1531" s="2"/>
      <c r="AV1531" s="2"/>
      <c r="AW1531" s="2"/>
      <c r="AX1531" s="2"/>
      <c r="AY1531" s="2">
        <v>1</v>
      </c>
      <c r="AZ1531" s="2" t="s">
        <v>107</v>
      </c>
      <c r="BA1531" s="2">
        <v>1</v>
      </c>
      <c r="BB1531" s="2" t="s">
        <v>107</v>
      </c>
      <c r="BC1531" s="2">
        <v>1</v>
      </c>
      <c r="BD1531" s="2" t="s">
        <v>107</v>
      </c>
      <c r="BE1531" s="2">
        <v>4</v>
      </c>
      <c r="BF1531" s="2" t="s">
        <v>90</v>
      </c>
      <c r="BG1531" s="2">
        <v>4214</v>
      </c>
      <c r="BH1531" s="4">
        <v>0.76388888888888884</v>
      </c>
      <c r="BI1531" s="4">
        <v>0.71527777777777779</v>
      </c>
      <c r="BJ1531" s="2">
        <v>13</v>
      </c>
      <c r="BK1531" s="2" t="s">
        <v>91</v>
      </c>
      <c r="BL1531" s="2" t="s">
        <v>170</v>
      </c>
      <c r="BM1531" s="2">
        <v>242</v>
      </c>
      <c r="BN1531" s="2" t="s">
        <v>107</v>
      </c>
      <c r="BO1531" s="2" t="s">
        <v>107</v>
      </c>
      <c r="BP1531" s="2">
        <v>13</v>
      </c>
      <c r="BQ1531" s="2" t="s">
        <v>91</v>
      </c>
      <c r="BR1531" s="2" t="s">
        <v>5609</v>
      </c>
      <c r="BS1531" s="3">
        <v>40283</v>
      </c>
      <c r="BT1531" s="4">
        <v>0.88407407407407401</v>
      </c>
    </row>
    <row r="1532" spans="1:72" x14ac:dyDescent="0.25">
      <c r="A1532" s="2">
        <v>2263</v>
      </c>
      <c r="B1532" s="2">
        <v>2010</v>
      </c>
      <c r="C1532" s="2" t="s">
        <v>128</v>
      </c>
      <c r="D1532" s="2" t="s">
        <v>122</v>
      </c>
      <c r="E1532" s="2" t="s">
        <v>5610</v>
      </c>
      <c r="F1532" s="2">
        <v>389</v>
      </c>
      <c r="G1532" s="2" t="s">
        <v>1819</v>
      </c>
      <c r="H1532" s="2">
        <v>3</v>
      </c>
      <c r="I1532" s="2" t="s">
        <v>315</v>
      </c>
      <c r="J1532" s="2">
        <v>399</v>
      </c>
      <c r="K1532" s="2" t="s">
        <v>1820</v>
      </c>
      <c r="L1532" s="2" t="s">
        <v>1821</v>
      </c>
      <c r="M1532" s="3">
        <v>40283</v>
      </c>
      <c r="N1532" s="2" t="s">
        <v>2319</v>
      </c>
      <c r="O1532" s="2"/>
      <c r="P1532" s="2"/>
      <c r="Q1532" s="2" t="str">
        <f>"204-E/10"</f>
        <v>204-E/10</v>
      </c>
      <c r="R1532" s="2"/>
      <c r="S1532" s="2" t="s">
        <v>480</v>
      </c>
      <c r="T1532" s="2">
        <v>1</v>
      </c>
      <c r="U1532" s="2" t="s">
        <v>79</v>
      </c>
      <c r="V1532" s="2">
        <v>1</v>
      </c>
      <c r="W1532" s="2" t="s">
        <v>80</v>
      </c>
      <c r="X1532" s="2">
        <v>1</v>
      </c>
      <c r="Y1532" s="2" t="s">
        <v>81</v>
      </c>
      <c r="Z1532" s="2">
        <v>6</v>
      </c>
      <c r="AA1532" s="2" t="s">
        <v>101</v>
      </c>
      <c r="AB1532" s="2">
        <v>9</v>
      </c>
      <c r="AC1532" s="2" t="s">
        <v>124</v>
      </c>
      <c r="AD1532" s="3">
        <v>40282</v>
      </c>
      <c r="AE1532" s="4">
        <v>0.8125</v>
      </c>
      <c r="AF1532" s="3">
        <v>40282</v>
      </c>
      <c r="AG1532" s="4">
        <v>0.92708333333333337</v>
      </c>
      <c r="AH1532" s="2">
        <v>2</v>
      </c>
      <c r="AI1532" s="2" t="s">
        <v>84</v>
      </c>
      <c r="AJ1532" s="2">
        <v>9</v>
      </c>
      <c r="AK1532" s="2" t="s">
        <v>103</v>
      </c>
      <c r="AL1532" s="2">
        <v>14</v>
      </c>
      <c r="AM1532" s="2" t="s">
        <v>216</v>
      </c>
      <c r="AN1532" s="2" t="s">
        <v>5580</v>
      </c>
      <c r="AO1532" s="2"/>
      <c r="AP1532" s="2">
        <v>11</v>
      </c>
      <c r="AQ1532" s="2" t="s">
        <v>82</v>
      </c>
      <c r="AR1532" s="2"/>
      <c r="AS1532" s="2"/>
      <c r="AT1532" s="2" t="s">
        <v>5611</v>
      </c>
      <c r="AU1532" s="2"/>
      <c r="AV1532" s="2">
        <v>1</v>
      </c>
      <c r="AW1532" s="2"/>
      <c r="AX1532" s="2"/>
      <c r="AY1532" s="2">
        <v>41</v>
      </c>
      <c r="AZ1532" s="2" t="s">
        <v>82</v>
      </c>
      <c r="BA1532" s="2">
        <v>42</v>
      </c>
      <c r="BB1532" s="2" t="s">
        <v>182</v>
      </c>
      <c r="BC1532" s="2">
        <v>70</v>
      </c>
      <c r="BD1532" s="2" t="s">
        <v>236</v>
      </c>
      <c r="BE1532" s="2">
        <v>18</v>
      </c>
      <c r="BF1532" s="2" t="s">
        <v>1091</v>
      </c>
      <c r="BG1532" s="2" t="s">
        <v>5582</v>
      </c>
      <c r="BH1532" s="4">
        <v>0.625</v>
      </c>
      <c r="BI1532" s="4">
        <v>0.83333333333333337</v>
      </c>
      <c r="BJ1532" s="2">
        <v>133</v>
      </c>
      <c r="BK1532" s="2" t="s">
        <v>2860</v>
      </c>
      <c r="BL1532" s="2" t="s">
        <v>5583</v>
      </c>
      <c r="BM1532" s="2">
        <v>241</v>
      </c>
      <c r="BN1532" s="2" t="s">
        <v>82</v>
      </c>
      <c r="BO1532" s="2"/>
      <c r="BP1532" s="2">
        <v>13</v>
      </c>
      <c r="BQ1532" s="2" t="s">
        <v>91</v>
      </c>
      <c r="BR1532" s="2" t="s">
        <v>360</v>
      </c>
      <c r="BS1532" s="3">
        <v>40283</v>
      </c>
      <c r="BT1532" s="4">
        <v>0.96572916666666664</v>
      </c>
    </row>
    <row r="1533" spans="1:72" x14ac:dyDescent="0.25">
      <c r="A1533" s="2">
        <v>2264</v>
      </c>
      <c r="B1533" s="2">
        <v>2010</v>
      </c>
      <c r="C1533" s="2" t="s">
        <v>72</v>
      </c>
      <c r="D1533" s="2" t="s">
        <v>73</v>
      </c>
      <c r="E1533" s="2"/>
      <c r="F1533" s="2">
        <v>92</v>
      </c>
      <c r="G1533" s="2" t="s">
        <v>1432</v>
      </c>
      <c r="H1533" s="2">
        <v>42</v>
      </c>
      <c r="I1533" s="2" t="s">
        <v>1096</v>
      </c>
      <c r="J1533" s="2">
        <v>119</v>
      </c>
      <c r="K1533" s="2" t="s">
        <v>325</v>
      </c>
      <c r="L1533" s="2" t="s">
        <v>326</v>
      </c>
      <c r="M1533" s="3">
        <v>40284</v>
      </c>
      <c r="N1533" s="2" t="s">
        <v>1433</v>
      </c>
      <c r="O1533" s="2" t="s">
        <v>82</v>
      </c>
      <c r="P1533" s="2" t="s">
        <v>82</v>
      </c>
      <c r="Q1533" s="2" t="str">
        <f>"0008/2010"</f>
        <v>0008/2010</v>
      </c>
      <c r="R1533" s="2" t="s">
        <v>601</v>
      </c>
      <c r="S1533" s="2" t="s">
        <v>601</v>
      </c>
      <c r="T1533" s="2">
        <v>1</v>
      </c>
      <c r="U1533" s="2" t="s">
        <v>79</v>
      </c>
      <c r="V1533" s="2">
        <v>1</v>
      </c>
      <c r="W1533" s="2" t="s">
        <v>80</v>
      </c>
      <c r="X1533" s="2">
        <v>1</v>
      </c>
      <c r="Y1533" s="2" t="s">
        <v>81</v>
      </c>
      <c r="Z1533" s="2">
        <v>10</v>
      </c>
      <c r="AA1533" s="2" t="s">
        <v>236</v>
      </c>
      <c r="AB1533" s="2">
        <v>6</v>
      </c>
      <c r="AC1533" s="2" t="s">
        <v>83</v>
      </c>
      <c r="AD1533" s="3">
        <v>40283</v>
      </c>
      <c r="AE1533" s="4">
        <v>0.92361111111111116</v>
      </c>
      <c r="AF1533" s="3">
        <v>40283</v>
      </c>
      <c r="AG1533" s="4">
        <v>0.92361111111111116</v>
      </c>
      <c r="AH1533" s="2">
        <v>6</v>
      </c>
      <c r="AI1533" s="2" t="s">
        <v>197</v>
      </c>
      <c r="AJ1533" s="2">
        <v>50</v>
      </c>
      <c r="AK1533" s="2" t="s">
        <v>330</v>
      </c>
      <c r="AL1533" s="2">
        <v>21</v>
      </c>
      <c r="AM1533" s="2" t="s">
        <v>1311</v>
      </c>
      <c r="AN1533" s="2" t="s">
        <v>5612</v>
      </c>
      <c r="AO1533" s="2" t="s">
        <v>82</v>
      </c>
      <c r="AP1533" s="2">
        <v>11</v>
      </c>
      <c r="AQ1533" s="2" t="s">
        <v>82</v>
      </c>
      <c r="AR1533" s="2"/>
      <c r="AS1533" s="2"/>
      <c r="AT1533" s="2" t="s">
        <v>5613</v>
      </c>
      <c r="AU1533" s="2"/>
      <c r="AV1533" s="2"/>
      <c r="AW1533" s="2"/>
      <c r="AX1533" s="2"/>
      <c r="AY1533" s="2">
        <v>41</v>
      </c>
      <c r="AZ1533" s="2" t="s">
        <v>82</v>
      </c>
      <c r="BA1533" s="2">
        <v>41</v>
      </c>
      <c r="BB1533" s="2" t="s">
        <v>82</v>
      </c>
      <c r="BC1533" s="2">
        <v>41</v>
      </c>
      <c r="BD1533" s="2" t="s">
        <v>82</v>
      </c>
      <c r="BE1533" s="2">
        <v>41</v>
      </c>
      <c r="BF1533" s="2" t="s">
        <v>82</v>
      </c>
      <c r="BG1533" s="2" t="s">
        <v>82</v>
      </c>
      <c r="BH1533" s="2"/>
      <c r="BI1533" s="2"/>
      <c r="BJ1533" s="2">
        <v>241</v>
      </c>
      <c r="BK1533" s="2" t="s">
        <v>82</v>
      </c>
      <c r="BL1533" s="2"/>
      <c r="BM1533" s="2">
        <v>241</v>
      </c>
      <c r="BN1533" s="2" t="s">
        <v>82</v>
      </c>
      <c r="BO1533" s="2"/>
      <c r="BP1533" s="2">
        <v>241</v>
      </c>
      <c r="BQ1533" s="2" t="s">
        <v>82</v>
      </c>
      <c r="BR1533" s="2"/>
      <c r="BS1533" s="3">
        <v>40284</v>
      </c>
      <c r="BT1533" s="4">
        <v>1.699074074074074E-2</v>
      </c>
    </row>
    <row r="1534" spans="1:72" x14ac:dyDescent="0.25">
      <c r="A1534" s="2">
        <v>2265</v>
      </c>
      <c r="B1534" s="2">
        <v>2010</v>
      </c>
      <c r="C1534" s="2" t="s">
        <v>385</v>
      </c>
      <c r="D1534" s="2" t="s">
        <v>122</v>
      </c>
      <c r="E1534" s="2" t="s">
        <v>5614</v>
      </c>
      <c r="F1534" s="2">
        <v>389</v>
      </c>
      <c r="G1534" s="2" t="s">
        <v>1819</v>
      </c>
      <c r="H1534" s="2">
        <v>3</v>
      </c>
      <c r="I1534" s="2" t="s">
        <v>315</v>
      </c>
      <c r="J1534" s="2">
        <v>399</v>
      </c>
      <c r="K1534" s="2" t="s">
        <v>1820</v>
      </c>
      <c r="L1534" s="2" t="s">
        <v>1821</v>
      </c>
      <c r="M1534" s="3">
        <v>40284</v>
      </c>
      <c r="N1534" s="2" t="s">
        <v>2319</v>
      </c>
      <c r="O1534" s="2"/>
      <c r="P1534" s="2"/>
      <c r="Q1534" s="2" t="str">
        <f>"204-E/10"</f>
        <v>204-E/10</v>
      </c>
      <c r="R1534" s="2" t="s">
        <v>480</v>
      </c>
      <c r="S1534" s="2"/>
      <c r="T1534" s="2">
        <v>1</v>
      </c>
      <c r="U1534" s="2" t="s">
        <v>79</v>
      </c>
      <c r="V1534" s="2">
        <v>1</v>
      </c>
      <c r="W1534" s="2" t="s">
        <v>80</v>
      </c>
      <c r="X1534" s="2">
        <v>1</v>
      </c>
      <c r="Y1534" s="2" t="s">
        <v>81</v>
      </c>
      <c r="Z1534" s="2">
        <v>6</v>
      </c>
      <c r="AA1534" s="2" t="s">
        <v>101</v>
      </c>
      <c r="AB1534" s="2">
        <v>9</v>
      </c>
      <c r="AC1534" s="2" t="s">
        <v>124</v>
      </c>
      <c r="AD1534" s="3">
        <v>40282</v>
      </c>
      <c r="AE1534" s="4">
        <v>0.8125</v>
      </c>
      <c r="AF1534" s="3">
        <v>40282</v>
      </c>
      <c r="AG1534" s="4">
        <v>0.92708333333333337</v>
      </c>
      <c r="AH1534" s="2">
        <v>2</v>
      </c>
      <c r="AI1534" s="2" t="s">
        <v>84</v>
      </c>
      <c r="AJ1534" s="2">
        <v>9</v>
      </c>
      <c r="AK1534" s="2" t="s">
        <v>103</v>
      </c>
      <c r="AL1534" s="2">
        <v>14</v>
      </c>
      <c r="AM1534" s="2" t="s">
        <v>216</v>
      </c>
      <c r="AN1534" s="2" t="s">
        <v>5580</v>
      </c>
      <c r="AO1534" s="2"/>
      <c r="AP1534" s="2">
        <v>11</v>
      </c>
      <c r="AQ1534" s="2" t="s">
        <v>82</v>
      </c>
      <c r="AR1534" s="2"/>
      <c r="AS1534" s="2"/>
      <c r="AT1534" s="2" t="s">
        <v>5615</v>
      </c>
      <c r="AU1534" s="2"/>
      <c r="AV1534" s="2">
        <v>1</v>
      </c>
      <c r="AW1534" s="2"/>
      <c r="AX1534" s="2"/>
      <c r="AY1534" s="2">
        <v>41</v>
      </c>
      <c r="AZ1534" s="2" t="s">
        <v>82</v>
      </c>
      <c r="BA1534" s="2">
        <v>42</v>
      </c>
      <c r="BB1534" s="2" t="s">
        <v>182</v>
      </c>
      <c r="BC1534" s="2">
        <v>70</v>
      </c>
      <c r="BD1534" s="2" t="s">
        <v>236</v>
      </c>
      <c r="BE1534" s="2">
        <v>18</v>
      </c>
      <c r="BF1534" s="2" t="s">
        <v>1091</v>
      </c>
      <c r="BG1534" s="2" t="s">
        <v>5582</v>
      </c>
      <c r="BH1534" s="4">
        <v>0.625</v>
      </c>
      <c r="BI1534" s="4">
        <v>0.83333333333333337</v>
      </c>
      <c r="BJ1534" s="2">
        <v>133</v>
      </c>
      <c r="BK1534" s="2" t="s">
        <v>2860</v>
      </c>
      <c r="BL1534" s="2" t="s">
        <v>5583</v>
      </c>
      <c r="BM1534" s="2">
        <v>241</v>
      </c>
      <c r="BN1534" s="2" t="s">
        <v>82</v>
      </c>
      <c r="BO1534" s="2"/>
      <c r="BP1534" s="2">
        <v>13</v>
      </c>
      <c r="BQ1534" s="2" t="s">
        <v>91</v>
      </c>
      <c r="BR1534" s="2" t="s">
        <v>360</v>
      </c>
      <c r="BS1534" s="3">
        <v>40284</v>
      </c>
      <c r="BT1534" s="4">
        <v>0.33770833333333333</v>
      </c>
    </row>
    <row r="1535" spans="1:72" x14ac:dyDescent="0.25">
      <c r="A1535" s="2">
        <v>2266</v>
      </c>
      <c r="B1535" s="2">
        <v>2010</v>
      </c>
      <c r="C1535" s="2" t="s">
        <v>171</v>
      </c>
      <c r="D1535" s="2" t="s">
        <v>122</v>
      </c>
      <c r="E1535" s="2" t="s">
        <v>5616</v>
      </c>
      <c r="F1535" s="2">
        <v>400</v>
      </c>
      <c r="G1535" s="2" t="s">
        <v>3601</v>
      </c>
      <c r="H1535" s="2">
        <v>17</v>
      </c>
      <c r="I1535" s="2" t="s">
        <v>3602</v>
      </c>
      <c r="J1535" s="2">
        <v>316</v>
      </c>
      <c r="K1535" s="2" t="s">
        <v>574</v>
      </c>
      <c r="L1535" s="2" t="s">
        <v>575</v>
      </c>
      <c r="M1535" s="3">
        <v>40284</v>
      </c>
      <c r="N1535" s="2" t="s">
        <v>3826</v>
      </c>
      <c r="O1535" s="2"/>
      <c r="P1535" s="2"/>
      <c r="Q1535" s="2" t="str">
        <f>"199-E/10"</f>
        <v>199-E/10</v>
      </c>
      <c r="R1535" s="2" t="s">
        <v>5500</v>
      </c>
      <c r="S1535" s="2"/>
      <c r="T1535" s="2">
        <v>1</v>
      </c>
      <c r="U1535" s="2" t="s">
        <v>79</v>
      </c>
      <c r="V1535" s="2">
        <v>1</v>
      </c>
      <c r="W1535" s="2" t="s">
        <v>80</v>
      </c>
      <c r="X1535" s="2">
        <v>1</v>
      </c>
      <c r="Y1535" s="2" t="s">
        <v>81</v>
      </c>
      <c r="Z1535" s="2">
        <v>10</v>
      </c>
      <c r="AA1535" s="2" t="s">
        <v>236</v>
      </c>
      <c r="AB1535" s="2">
        <v>1</v>
      </c>
      <c r="AC1535" s="2" t="s">
        <v>178</v>
      </c>
      <c r="AD1535" s="3">
        <v>40280</v>
      </c>
      <c r="AE1535" s="4">
        <v>0.79166666666666663</v>
      </c>
      <c r="AF1535" s="2"/>
      <c r="AG1535" s="2"/>
      <c r="AH1535" s="2">
        <v>2</v>
      </c>
      <c r="AI1535" s="2" t="s">
        <v>84</v>
      </c>
      <c r="AJ1535" s="2">
        <v>9</v>
      </c>
      <c r="AK1535" s="2" t="s">
        <v>103</v>
      </c>
      <c r="AL1535" s="2">
        <v>15</v>
      </c>
      <c r="AM1535" s="2" t="s">
        <v>104</v>
      </c>
      <c r="AN1535" s="2" t="s">
        <v>5501</v>
      </c>
      <c r="AO1535" s="2"/>
      <c r="AP1535" s="2">
        <v>11</v>
      </c>
      <c r="AQ1535" s="2" t="s">
        <v>82</v>
      </c>
      <c r="AR1535" s="2"/>
      <c r="AS1535" s="2"/>
      <c r="AT1535" s="2" t="s">
        <v>5617</v>
      </c>
      <c r="AU1535" s="2"/>
      <c r="AV1535" s="2">
        <v>2</v>
      </c>
      <c r="AW1535" s="2"/>
      <c r="AX1535" s="2"/>
      <c r="AY1535" s="2">
        <v>41</v>
      </c>
      <c r="AZ1535" s="2" t="s">
        <v>82</v>
      </c>
      <c r="BA1535" s="2">
        <v>41</v>
      </c>
      <c r="BB1535" s="2" t="s">
        <v>82</v>
      </c>
      <c r="BC1535" s="2">
        <v>41</v>
      </c>
      <c r="BD1535" s="2" t="s">
        <v>82</v>
      </c>
      <c r="BE1535" s="2">
        <v>13</v>
      </c>
      <c r="BF1535" s="2" t="s">
        <v>108</v>
      </c>
      <c r="BG1535" s="2" t="s">
        <v>1769</v>
      </c>
      <c r="BH1535" s="2"/>
      <c r="BI1535" s="4">
        <v>0.875</v>
      </c>
      <c r="BJ1535" s="2">
        <v>13</v>
      </c>
      <c r="BK1535" s="2" t="s">
        <v>91</v>
      </c>
      <c r="BL1535" s="2" t="s">
        <v>5300</v>
      </c>
      <c r="BM1535" s="2">
        <v>242</v>
      </c>
      <c r="BN1535" s="2" t="s">
        <v>107</v>
      </c>
      <c r="BO1535" s="2"/>
      <c r="BP1535" s="2">
        <v>73</v>
      </c>
      <c r="BQ1535" s="2" t="s">
        <v>186</v>
      </c>
      <c r="BR1535" s="2" t="s">
        <v>187</v>
      </c>
      <c r="BS1535" s="3">
        <v>40284</v>
      </c>
      <c r="BT1535" s="4">
        <v>0.34164351851851849</v>
      </c>
    </row>
    <row r="1536" spans="1:72" x14ac:dyDescent="0.25">
      <c r="A1536" s="2">
        <v>2267</v>
      </c>
      <c r="B1536" s="2">
        <v>2010</v>
      </c>
      <c r="C1536" s="2" t="s">
        <v>594</v>
      </c>
      <c r="D1536" s="2" t="s">
        <v>122</v>
      </c>
      <c r="E1536" s="2"/>
      <c r="F1536" s="2">
        <v>1</v>
      </c>
      <c r="G1536" s="2" t="s">
        <v>82</v>
      </c>
      <c r="H1536" s="2">
        <v>1</v>
      </c>
      <c r="I1536" s="2" t="s">
        <v>82</v>
      </c>
      <c r="J1536" s="2">
        <v>1</v>
      </c>
      <c r="K1536" s="2" t="s">
        <v>107</v>
      </c>
      <c r="L1536" s="2" t="s">
        <v>107</v>
      </c>
      <c r="M1536" s="3">
        <v>40284</v>
      </c>
      <c r="N1536" s="2"/>
      <c r="O1536" s="2"/>
      <c r="P1536" s="2"/>
      <c r="Q1536" s="2" t="str">
        <f>""</f>
        <v/>
      </c>
      <c r="R1536" s="2"/>
      <c r="S1536" s="2"/>
      <c r="T1536" s="2">
        <v>1</v>
      </c>
      <c r="U1536" s="2" t="s">
        <v>79</v>
      </c>
      <c r="V1536" s="2">
        <v>1</v>
      </c>
      <c r="W1536" s="2" t="s">
        <v>80</v>
      </c>
      <c r="X1536" s="2">
        <v>1</v>
      </c>
      <c r="Y1536" s="2" t="s">
        <v>81</v>
      </c>
      <c r="Z1536" s="2">
        <v>1</v>
      </c>
      <c r="AA1536" s="2" t="s">
        <v>82</v>
      </c>
      <c r="AB1536" s="2">
        <v>9</v>
      </c>
      <c r="AC1536" s="2" t="s">
        <v>124</v>
      </c>
      <c r="AD1536" s="3">
        <v>40284</v>
      </c>
      <c r="AE1536" s="4">
        <v>0.37152777777777773</v>
      </c>
      <c r="AF1536" s="2"/>
      <c r="AG1536" s="2"/>
      <c r="AH1536" s="2">
        <v>6</v>
      </c>
      <c r="AI1536" s="2" t="s">
        <v>197</v>
      </c>
      <c r="AJ1536" s="2">
        <v>54</v>
      </c>
      <c r="AK1536" s="2" t="s">
        <v>348</v>
      </c>
      <c r="AL1536" s="2">
        <v>18</v>
      </c>
      <c r="AM1536" s="2" t="s">
        <v>82</v>
      </c>
      <c r="AN1536" s="2" t="s">
        <v>595</v>
      </c>
      <c r="AO1536" s="2" t="s">
        <v>200</v>
      </c>
      <c r="AP1536" s="2">
        <v>14</v>
      </c>
      <c r="AQ1536" s="2" t="s">
        <v>3301</v>
      </c>
      <c r="AR1536" s="2" t="s">
        <v>596</v>
      </c>
      <c r="AS1536" s="2" t="s">
        <v>596</v>
      </c>
      <c r="AT1536" s="2" t="s">
        <v>5618</v>
      </c>
      <c r="AU1536" s="2"/>
      <c r="AV1536" s="2"/>
      <c r="AW1536" s="2"/>
      <c r="AX1536" s="2"/>
      <c r="AY1536" s="2">
        <v>1</v>
      </c>
      <c r="AZ1536" s="2" t="s">
        <v>107</v>
      </c>
      <c r="BA1536" s="2">
        <v>1</v>
      </c>
      <c r="BB1536" s="2" t="s">
        <v>107</v>
      </c>
      <c r="BC1536" s="2">
        <v>1</v>
      </c>
      <c r="BD1536" s="2" t="s">
        <v>107</v>
      </c>
      <c r="BE1536" s="2">
        <v>4</v>
      </c>
      <c r="BF1536" s="2" t="s">
        <v>90</v>
      </c>
      <c r="BG1536" s="2" t="s">
        <v>5619</v>
      </c>
      <c r="BH1536" s="4">
        <v>0.3298611111111111</v>
      </c>
      <c r="BI1536" s="4">
        <v>0.37152777777777773</v>
      </c>
      <c r="BJ1536" s="2">
        <v>13</v>
      </c>
      <c r="BK1536" s="2" t="s">
        <v>91</v>
      </c>
      <c r="BL1536" s="2" t="s">
        <v>904</v>
      </c>
      <c r="BM1536" s="2">
        <v>242</v>
      </c>
      <c r="BN1536" s="2" t="s">
        <v>107</v>
      </c>
      <c r="BO1536" s="2" t="s">
        <v>107</v>
      </c>
      <c r="BP1536" s="2">
        <v>13</v>
      </c>
      <c r="BQ1536" s="2" t="s">
        <v>91</v>
      </c>
      <c r="BR1536" s="2" t="s">
        <v>905</v>
      </c>
      <c r="BS1536" s="3">
        <v>40284</v>
      </c>
      <c r="BT1536" s="4">
        <v>0.36737268518518523</v>
      </c>
    </row>
    <row r="1537" spans="1:72" x14ac:dyDescent="0.25">
      <c r="A1537" s="2">
        <v>2269</v>
      </c>
      <c r="B1537" s="2">
        <v>2010</v>
      </c>
      <c r="C1537" s="2" t="s">
        <v>4543</v>
      </c>
      <c r="D1537" s="2" t="s">
        <v>122</v>
      </c>
      <c r="E1537" s="2"/>
      <c r="F1537" s="2">
        <v>1</v>
      </c>
      <c r="G1537" s="2" t="s">
        <v>82</v>
      </c>
      <c r="H1537" s="2">
        <v>1</v>
      </c>
      <c r="I1537" s="2" t="s">
        <v>82</v>
      </c>
      <c r="J1537" s="2">
        <v>1</v>
      </c>
      <c r="K1537" s="2" t="s">
        <v>107</v>
      </c>
      <c r="L1537" s="2" t="s">
        <v>107</v>
      </c>
      <c r="M1537" s="3">
        <v>40284</v>
      </c>
      <c r="N1537" s="2"/>
      <c r="O1537" s="2"/>
      <c r="P1537" s="2"/>
      <c r="Q1537" s="2" t="str">
        <f>""</f>
        <v/>
      </c>
      <c r="R1537" s="2"/>
      <c r="S1537" s="2"/>
      <c r="T1537" s="2">
        <v>2</v>
      </c>
      <c r="U1537" s="2" t="s">
        <v>123</v>
      </c>
      <c r="V1537" s="2">
        <v>1</v>
      </c>
      <c r="W1537" s="2" t="s">
        <v>80</v>
      </c>
      <c r="X1537" s="2">
        <v>5</v>
      </c>
      <c r="Y1537" s="2" t="s">
        <v>82</v>
      </c>
      <c r="Z1537" s="2">
        <v>1</v>
      </c>
      <c r="AA1537" s="2" t="s">
        <v>82</v>
      </c>
      <c r="AB1537" s="2">
        <v>9</v>
      </c>
      <c r="AC1537" s="2" t="s">
        <v>124</v>
      </c>
      <c r="AD1537" s="2"/>
      <c r="AE1537" s="2"/>
      <c r="AF1537" s="2"/>
      <c r="AG1537" s="2"/>
      <c r="AH1537" s="2">
        <v>3</v>
      </c>
      <c r="AI1537" s="2" t="s">
        <v>214</v>
      </c>
      <c r="AJ1537" s="2">
        <v>19</v>
      </c>
      <c r="AK1537" s="2" t="s">
        <v>4901</v>
      </c>
      <c r="AL1537" s="2">
        <v>18</v>
      </c>
      <c r="AM1537" s="2" t="s">
        <v>82</v>
      </c>
      <c r="AN1537" s="2"/>
      <c r="AO1537" s="2"/>
      <c r="AP1537" s="2">
        <v>11</v>
      </c>
      <c r="AQ1537" s="2" t="s">
        <v>82</v>
      </c>
      <c r="AR1537" s="2"/>
      <c r="AS1537" s="2"/>
      <c r="AT1537" s="2" t="s">
        <v>5620</v>
      </c>
      <c r="AU1537" s="2"/>
      <c r="AV1537" s="2"/>
      <c r="AW1537" s="2"/>
      <c r="AX1537" s="2"/>
      <c r="AY1537" s="2">
        <v>1</v>
      </c>
      <c r="AZ1537" s="2" t="s">
        <v>107</v>
      </c>
      <c r="BA1537" s="2">
        <v>1</v>
      </c>
      <c r="BB1537" s="2" t="s">
        <v>107</v>
      </c>
      <c r="BC1537" s="2">
        <v>1</v>
      </c>
      <c r="BD1537" s="2" t="s">
        <v>107</v>
      </c>
      <c r="BE1537" s="2">
        <v>1</v>
      </c>
      <c r="BF1537" s="2" t="s">
        <v>107</v>
      </c>
      <c r="BG1537" s="2"/>
      <c r="BH1537" s="2"/>
      <c r="BI1537" s="2"/>
      <c r="BJ1537" s="2">
        <v>242</v>
      </c>
      <c r="BK1537" s="2" t="s">
        <v>107</v>
      </c>
      <c r="BL1537" s="2"/>
      <c r="BM1537" s="2">
        <v>242</v>
      </c>
      <c r="BN1537" s="2" t="s">
        <v>107</v>
      </c>
      <c r="BO1537" s="2"/>
      <c r="BP1537" s="2">
        <v>242</v>
      </c>
      <c r="BQ1537" s="2" t="s">
        <v>107</v>
      </c>
      <c r="BR1537" s="2"/>
      <c r="BS1537" s="3">
        <v>40284</v>
      </c>
      <c r="BT1537" s="4">
        <v>0.47295138888888894</v>
      </c>
    </row>
    <row r="1538" spans="1:72" x14ac:dyDescent="0.25">
      <c r="A1538" s="2">
        <v>2270</v>
      </c>
      <c r="B1538" s="2">
        <v>2010</v>
      </c>
      <c r="C1538" s="2" t="s">
        <v>5621</v>
      </c>
      <c r="D1538" s="2" t="s">
        <v>73</v>
      </c>
      <c r="E1538" s="2"/>
      <c r="F1538" s="2">
        <v>1</v>
      </c>
      <c r="G1538" s="2" t="s">
        <v>82</v>
      </c>
      <c r="H1538" s="2">
        <v>1</v>
      </c>
      <c r="I1538" s="2" t="s">
        <v>82</v>
      </c>
      <c r="J1538" s="2">
        <v>1</v>
      </c>
      <c r="K1538" s="2" t="s">
        <v>107</v>
      </c>
      <c r="L1538" s="2" t="s">
        <v>107</v>
      </c>
      <c r="M1538" s="3">
        <v>40284</v>
      </c>
      <c r="N1538" s="2"/>
      <c r="O1538" s="2"/>
      <c r="P1538" s="2"/>
      <c r="Q1538" s="2" t="str">
        <f>""</f>
        <v/>
      </c>
      <c r="R1538" s="2"/>
      <c r="S1538" s="2"/>
      <c r="T1538" s="2">
        <v>2</v>
      </c>
      <c r="U1538" s="2" t="s">
        <v>123</v>
      </c>
      <c r="V1538" s="2">
        <v>1</v>
      </c>
      <c r="W1538" s="2" t="s">
        <v>80</v>
      </c>
      <c r="X1538" s="2">
        <v>5</v>
      </c>
      <c r="Y1538" s="2" t="s">
        <v>82</v>
      </c>
      <c r="Z1538" s="2">
        <v>1</v>
      </c>
      <c r="AA1538" s="2" t="s">
        <v>82</v>
      </c>
      <c r="AB1538" s="2">
        <v>9</v>
      </c>
      <c r="AC1538" s="2" t="s">
        <v>124</v>
      </c>
      <c r="AD1538" s="3">
        <v>40284</v>
      </c>
      <c r="AE1538" s="4">
        <v>0.4236111111111111</v>
      </c>
      <c r="AF1538" s="2"/>
      <c r="AG1538" s="2"/>
      <c r="AH1538" s="2">
        <v>5</v>
      </c>
      <c r="AI1538" s="2" t="s">
        <v>274</v>
      </c>
      <c r="AJ1538" s="2">
        <v>40</v>
      </c>
      <c r="AK1538" s="2" t="s">
        <v>935</v>
      </c>
      <c r="AL1538" s="2">
        <v>2</v>
      </c>
      <c r="AM1538" s="2" t="s">
        <v>163</v>
      </c>
      <c r="AN1538" s="2"/>
      <c r="AO1538" s="2" t="s">
        <v>5433</v>
      </c>
      <c r="AP1538" s="2">
        <v>11</v>
      </c>
      <c r="AQ1538" s="2" t="s">
        <v>82</v>
      </c>
      <c r="AR1538" s="2"/>
      <c r="AS1538" s="2"/>
      <c r="AT1538" s="2" t="s">
        <v>5622</v>
      </c>
      <c r="AU1538" s="2"/>
      <c r="AV1538" s="2"/>
      <c r="AW1538" s="2"/>
      <c r="AX1538" s="2"/>
      <c r="AY1538" s="2">
        <v>41</v>
      </c>
      <c r="AZ1538" s="2" t="s">
        <v>82</v>
      </c>
      <c r="BA1538" s="2">
        <v>41</v>
      </c>
      <c r="BB1538" s="2" t="s">
        <v>82</v>
      </c>
      <c r="BC1538" s="2">
        <v>41</v>
      </c>
      <c r="BD1538" s="2" t="s">
        <v>82</v>
      </c>
      <c r="BE1538" s="2">
        <v>42</v>
      </c>
      <c r="BF1538" s="2" t="s">
        <v>182</v>
      </c>
      <c r="BG1538" s="2"/>
      <c r="BH1538" s="4">
        <v>0.4236111111111111</v>
      </c>
      <c r="BI1538" s="4">
        <v>0.4055555555555555</v>
      </c>
      <c r="BJ1538" s="2">
        <v>13</v>
      </c>
      <c r="BK1538" s="2" t="s">
        <v>91</v>
      </c>
      <c r="BL1538" s="2" t="s">
        <v>5623</v>
      </c>
      <c r="BM1538" s="2">
        <v>241</v>
      </c>
      <c r="BN1538" s="2" t="s">
        <v>82</v>
      </c>
      <c r="BO1538" s="2"/>
      <c r="BP1538" s="2">
        <v>13</v>
      </c>
      <c r="BQ1538" s="2" t="s">
        <v>91</v>
      </c>
      <c r="BR1538" s="2" t="s">
        <v>5623</v>
      </c>
      <c r="BS1538" s="3">
        <v>40284</v>
      </c>
      <c r="BT1538" s="4">
        <v>0.55103009259259261</v>
      </c>
    </row>
    <row r="1539" spans="1:72" x14ac:dyDescent="0.25">
      <c r="A1539" s="2">
        <v>2271</v>
      </c>
      <c r="B1539" s="2">
        <v>2010</v>
      </c>
      <c r="C1539" s="2" t="s">
        <v>385</v>
      </c>
      <c r="D1539" s="2" t="s">
        <v>122</v>
      </c>
      <c r="E1539" s="2"/>
      <c r="F1539" s="2">
        <v>499</v>
      </c>
      <c r="G1539" s="2" t="s">
        <v>2177</v>
      </c>
      <c r="H1539" s="2">
        <v>9</v>
      </c>
      <c r="I1539" s="2" t="s">
        <v>794</v>
      </c>
      <c r="J1539" s="2">
        <v>33</v>
      </c>
      <c r="K1539" s="2" t="s">
        <v>2178</v>
      </c>
      <c r="L1539" s="2" t="s">
        <v>1877</v>
      </c>
      <c r="M1539" s="3">
        <v>40284</v>
      </c>
      <c r="N1539" s="2" t="s">
        <v>5603</v>
      </c>
      <c r="O1539" s="2" t="s">
        <v>5624</v>
      </c>
      <c r="P1539" s="2">
        <v>5385</v>
      </c>
      <c r="Q1539" s="2" t="str">
        <f>""</f>
        <v/>
      </c>
      <c r="R1539" s="2"/>
      <c r="S1539" s="2"/>
      <c r="T1539" s="2">
        <v>1</v>
      </c>
      <c r="U1539" s="2" t="s">
        <v>79</v>
      </c>
      <c r="V1539" s="2">
        <v>1</v>
      </c>
      <c r="W1539" s="2" t="s">
        <v>80</v>
      </c>
      <c r="X1539" s="2">
        <v>5</v>
      </c>
      <c r="Y1539" s="2" t="s">
        <v>82</v>
      </c>
      <c r="Z1539" s="2">
        <v>1</v>
      </c>
      <c r="AA1539" s="2" t="s">
        <v>82</v>
      </c>
      <c r="AB1539" s="2">
        <v>9</v>
      </c>
      <c r="AC1539" s="2" t="s">
        <v>124</v>
      </c>
      <c r="AD1539" s="3">
        <v>40284</v>
      </c>
      <c r="AE1539" s="4">
        <v>0.47916666666666669</v>
      </c>
      <c r="AF1539" s="2"/>
      <c r="AG1539" s="2"/>
      <c r="AH1539" s="2">
        <v>2</v>
      </c>
      <c r="AI1539" s="2" t="s">
        <v>84</v>
      </c>
      <c r="AJ1539" s="2">
        <v>8</v>
      </c>
      <c r="AK1539" s="2" t="s">
        <v>436</v>
      </c>
      <c r="AL1539" s="2">
        <v>18</v>
      </c>
      <c r="AM1539" s="2" t="s">
        <v>82</v>
      </c>
      <c r="AN1539" s="2"/>
      <c r="AO1539" s="2" t="s">
        <v>5625</v>
      </c>
      <c r="AP1539" s="2">
        <v>11</v>
      </c>
      <c r="AQ1539" s="2" t="s">
        <v>82</v>
      </c>
      <c r="AR1539" s="2"/>
      <c r="AS1539" s="2"/>
      <c r="AT1539" s="2" t="s">
        <v>5626</v>
      </c>
      <c r="AU1539" s="2">
        <v>2</v>
      </c>
      <c r="AV1539" s="2"/>
      <c r="AW1539" s="2"/>
      <c r="AX1539" s="2"/>
      <c r="AY1539" s="2">
        <v>41</v>
      </c>
      <c r="AZ1539" s="2" t="s">
        <v>82</v>
      </c>
      <c r="BA1539" s="2">
        <v>41</v>
      </c>
      <c r="BB1539" s="2" t="s">
        <v>82</v>
      </c>
      <c r="BC1539" s="2">
        <v>41</v>
      </c>
      <c r="BD1539" s="2" t="s">
        <v>82</v>
      </c>
      <c r="BE1539" s="2">
        <v>41</v>
      </c>
      <c r="BF1539" s="2" t="s">
        <v>82</v>
      </c>
      <c r="BG1539" s="2"/>
      <c r="BH1539" s="2"/>
      <c r="BI1539" s="2"/>
      <c r="BJ1539" s="2">
        <v>241</v>
      </c>
      <c r="BK1539" s="2" t="s">
        <v>82</v>
      </c>
      <c r="BL1539" s="2"/>
      <c r="BM1539" s="2">
        <v>241</v>
      </c>
      <c r="BN1539" s="2" t="s">
        <v>82</v>
      </c>
      <c r="BO1539" s="2"/>
      <c r="BP1539" s="2">
        <v>241</v>
      </c>
      <c r="BQ1539" s="2" t="s">
        <v>82</v>
      </c>
      <c r="BR1539" s="2"/>
      <c r="BS1539" s="3">
        <v>40284</v>
      </c>
      <c r="BT1539" s="4">
        <v>0.58740740740740738</v>
      </c>
    </row>
    <row r="1540" spans="1:72" x14ac:dyDescent="0.25">
      <c r="A1540" s="2">
        <v>2271</v>
      </c>
      <c r="B1540" s="2">
        <v>2010</v>
      </c>
      <c r="C1540" s="2" t="s">
        <v>1559</v>
      </c>
      <c r="D1540" s="2" t="s">
        <v>122</v>
      </c>
      <c r="E1540" s="2"/>
      <c r="F1540" s="2">
        <v>499</v>
      </c>
      <c r="G1540" s="2" t="s">
        <v>2177</v>
      </c>
      <c r="H1540" s="2">
        <v>9</v>
      </c>
      <c r="I1540" s="2" t="s">
        <v>794</v>
      </c>
      <c r="J1540" s="2">
        <v>33</v>
      </c>
      <c r="K1540" s="2" t="s">
        <v>2178</v>
      </c>
      <c r="L1540" s="2" t="s">
        <v>1877</v>
      </c>
      <c r="M1540" s="3">
        <v>40284</v>
      </c>
      <c r="N1540" s="2" t="s">
        <v>5603</v>
      </c>
      <c r="O1540" s="2" t="s">
        <v>5624</v>
      </c>
      <c r="P1540" s="2">
        <v>5385</v>
      </c>
      <c r="Q1540" s="2" t="str">
        <f>""</f>
        <v/>
      </c>
      <c r="R1540" s="2"/>
      <c r="S1540" s="2"/>
      <c r="T1540" s="2">
        <v>1</v>
      </c>
      <c r="U1540" s="2" t="s">
        <v>79</v>
      </c>
      <c r="V1540" s="2">
        <v>1</v>
      </c>
      <c r="W1540" s="2" t="s">
        <v>80</v>
      </c>
      <c r="X1540" s="2">
        <v>5</v>
      </c>
      <c r="Y1540" s="2" t="s">
        <v>82</v>
      </c>
      <c r="Z1540" s="2">
        <v>1</v>
      </c>
      <c r="AA1540" s="2" t="s">
        <v>82</v>
      </c>
      <c r="AB1540" s="2">
        <v>9</v>
      </c>
      <c r="AC1540" s="2" t="s">
        <v>124</v>
      </c>
      <c r="AD1540" s="3">
        <v>40284</v>
      </c>
      <c r="AE1540" s="4">
        <v>0.47916666666666669</v>
      </c>
      <c r="AF1540" s="2"/>
      <c r="AG1540" s="2"/>
      <c r="AH1540" s="2">
        <v>2</v>
      </c>
      <c r="AI1540" s="2" t="s">
        <v>84</v>
      </c>
      <c r="AJ1540" s="2">
        <v>8</v>
      </c>
      <c r="AK1540" s="2" t="s">
        <v>436</v>
      </c>
      <c r="AL1540" s="2">
        <v>18</v>
      </c>
      <c r="AM1540" s="2" t="s">
        <v>82</v>
      </c>
      <c r="AN1540" s="2"/>
      <c r="AO1540" s="2" t="s">
        <v>5625</v>
      </c>
      <c r="AP1540" s="2">
        <v>11</v>
      </c>
      <c r="AQ1540" s="2" t="s">
        <v>82</v>
      </c>
      <c r="AR1540" s="2"/>
      <c r="AS1540" s="2"/>
      <c r="AT1540" s="2" t="s">
        <v>5626</v>
      </c>
      <c r="AU1540" s="2">
        <v>2</v>
      </c>
      <c r="AV1540" s="2"/>
      <c r="AW1540" s="2"/>
      <c r="AX1540" s="2"/>
      <c r="AY1540" s="2">
        <v>41</v>
      </c>
      <c r="AZ1540" s="2" t="s">
        <v>82</v>
      </c>
      <c r="BA1540" s="2">
        <v>41</v>
      </c>
      <c r="BB1540" s="2" t="s">
        <v>82</v>
      </c>
      <c r="BC1540" s="2">
        <v>41</v>
      </c>
      <c r="BD1540" s="2" t="s">
        <v>82</v>
      </c>
      <c r="BE1540" s="2">
        <v>41</v>
      </c>
      <c r="BF1540" s="2" t="s">
        <v>82</v>
      </c>
      <c r="BG1540" s="2"/>
      <c r="BH1540" s="2"/>
      <c r="BI1540" s="2"/>
      <c r="BJ1540" s="2">
        <v>241</v>
      </c>
      <c r="BK1540" s="2" t="s">
        <v>82</v>
      </c>
      <c r="BL1540" s="2"/>
      <c r="BM1540" s="2">
        <v>241</v>
      </c>
      <c r="BN1540" s="2" t="s">
        <v>82</v>
      </c>
      <c r="BO1540" s="2"/>
      <c r="BP1540" s="2">
        <v>241</v>
      </c>
      <c r="BQ1540" s="2" t="s">
        <v>82</v>
      </c>
      <c r="BR1540" s="2"/>
      <c r="BS1540" s="3">
        <v>40284</v>
      </c>
      <c r="BT1540" s="4">
        <v>0.58740740740740738</v>
      </c>
    </row>
    <row r="1541" spans="1:72" x14ac:dyDescent="0.25">
      <c r="A1541" s="2">
        <v>2272</v>
      </c>
      <c r="B1541" s="2">
        <v>2010</v>
      </c>
      <c r="C1541" s="2" t="s">
        <v>819</v>
      </c>
      <c r="D1541" s="2" t="s">
        <v>73</v>
      </c>
      <c r="E1541" s="2"/>
      <c r="F1541" s="2">
        <v>310</v>
      </c>
      <c r="G1541" s="2" t="s">
        <v>3186</v>
      </c>
      <c r="H1541" s="2">
        <v>3</v>
      </c>
      <c r="I1541" s="2" t="s">
        <v>315</v>
      </c>
      <c r="J1541" s="2">
        <v>371</v>
      </c>
      <c r="K1541" s="2" t="s">
        <v>1138</v>
      </c>
      <c r="L1541" s="2" t="s">
        <v>1139</v>
      </c>
      <c r="M1541" s="3">
        <v>40284</v>
      </c>
      <c r="N1541" s="2" t="s">
        <v>5627</v>
      </c>
      <c r="O1541" s="2"/>
      <c r="P1541" s="2"/>
      <c r="Q1541" s="2" t="str">
        <f>"047/10"</f>
        <v>047/10</v>
      </c>
      <c r="R1541" s="2"/>
      <c r="S1541" s="2" t="s">
        <v>2003</v>
      </c>
      <c r="T1541" s="2">
        <v>1</v>
      </c>
      <c r="U1541" s="2" t="s">
        <v>79</v>
      </c>
      <c r="V1541" s="2">
        <v>1</v>
      </c>
      <c r="W1541" s="2" t="s">
        <v>80</v>
      </c>
      <c r="X1541" s="2">
        <v>1</v>
      </c>
      <c r="Y1541" s="2" t="s">
        <v>81</v>
      </c>
      <c r="Z1541" s="2">
        <v>1</v>
      </c>
      <c r="AA1541" s="2" t="s">
        <v>82</v>
      </c>
      <c r="AB1541" s="2">
        <v>9</v>
      </c>
      <c r="AC1541" s="2" t="s">
        <v>124</v>
      </c>
      <c r="AD1541" s="3">
        <v>40284</v>
      </c>
      <c r="AE1541" s="4">
        <v>0.57291666666666663</v>
      </c>
      <c r="AF1541" s="2"/>
      <c r="AG1541" s="2"/>
      <c r="AH1541" s="2">
        <v>5</v>
      </c>
      <c r="AI1541" s="2" t="s">
        <v>274</v>
      </c>
      <c r="AJ1541" s="2">
        <v>38</v>
      </c>
      <c r="AK1541" s="2" t="s">
        <v>1120</v>
      </c>
      <c r="AL1541" s="2">
        <v>8</v>
      </c>
      <c r="AM1541" s="2" t="s">
        <v>179</v>
      </c>
      <c r="AN1541" s="2"/>
      <c r="AO1541" s="2"/>
      <c r="AP1541" s="2">
        <v>11</v>
      </c>
      <c r="AQ1541" s="2" t="s">
        <v>82</v>
      </c>
      <c r="AR1541" s="2"/>
      <c r="AS1541" s="2"/>
      <c r="AT1541" s="2" t="s">
        <v>5628</v>
      </c>
      <c r="AU1541" s="2"/>
      <c r="AV1541" s="2"/>
      <c r="AW1541" s="2"/>
      <c r="AX1541" s="2"/>
      <c r="AY1541" s="2">
        <v>41</v>
      </c>
      <c r="AZ1541" s="2" t="s">
        <v>82</v>
      </c>
      <c r="BA1541" s="2">
        <v>41</v>
      </c>
      <c r="BB1541" s="2" t="s">
        <v>82</v>
      </c>
      <c r="BC1541" s="2">
        <v>41</v>
      </c>
      <c r="BD1541" s="2" t="s">
        <v>82</v>
      </c>
      <c r="BE1541" s="2">
        <v>4</v>
      </c>
      <c r="BF1541" s="2" t="s">
        <v>90</v>
      </c>
      <c r="BG1541" s="2">
        <v>4025</v>
      </c>
      <c r="BH1541" s="4">
        <v>0.56944444444444442</v>
      </c>
      <c r="BI1541" s="4">
        <v>0.59722222222222221</v>
      </c>
      <c r="BJ1541" s="2">
        <v>13</v>
      </c>
      <c r="BK1541" s="2" t="s">
        <v>91</v>
      </c>
      <c r="BL1541" s="2" t="s">
        <v>1697</v>
      </c>
      <c r="BM1541" s="2">
        <v>241</v>
      </c>
      <c r="BN1541" s="2" t="s">
        <v>82</v>
      </c>
      <c r="BO1541" s="2"/>
      <c r="BP1541" s="2">
        <v>13</v>
      </c>
      <c r="BQ1541" s="2" t="s">
        <v>91</v>
      </c>
      <c r="BR1541" s="2" t="s">
        <v>170</v>
      </c>
      <c r="BS1541" s="3">
        <v>40284</v>
      </c>
      <c r="BT1541" s="4">
        <v>0.64450231481481479</v>
      </c>
    </row>
    <row r="1542" spans="1:72" x14ac:dyDescent="0.25">
      <c r="A1542" s="2">
        <v>2273</v>
      </c>
      <c r="B1542" s="2">
        <v>2010</v>
      </c>
      <c r="C1542" s="2" t="s">
        <v>819</v>
      </c>
      <c r="D1542" s="2" t="s">
        <v>73</v>
      </c>
      <c r="E1542" s="2"/>
      <c r="F1542" s="2">
        <v>310</v>
      </c>
      <c r="G1542" s="2" t="s">
        <v>3186</v>
      </c>
      <c r="H1542" s="2">
        <v>3</v>
      </c>
      <c r="I1542" s="2" t="s">
        <v>315</v>
      </c>
      <c r="J1542" s="2">
        <v>371</v>
      </c>
      <c r="K1542" s="2" t="s">
        <v>1138</v>
      </c>
      <c r="L1542" s="2" t="s">
        <v>1139</v>
      </c>
      <c r="M1542" s="3">
        <v>40284</v>
      </c>
      <c r="N1542" s="2" t="s">
        <v>5629</v>
      </c>
      <c r="O1542" s="2"/>
      <c r="P1542" s="2"/>
      <c r="Q1542" s="2" t="str">
        <f>"048/10"</f>
        <v>048/10</v>
      </c>
      <c r="R1542" s="2"/>
      <c r="S1542" s="2" t="s">
        <v>2003</v>
      </c>
      <c r="T1542" s="2">
        <v>1</v>
      </c>
      <c r="U1542" s="2" t="s">
        <v>79</v>
      </c>
      <c r="V1542" s="2">
        <v>1</v>
      </c>
      <c r="W1542" s="2" t="s">
        <v>80</v>
      </c>
      <c r="X1542" s="2">
        <v>1</v>
      </c>
      <c r="Y1542" s="2" t="s">
        <v>81</v>
      </c>
      <c r="Z1542" s="2">
        <v>1</v>
      </c>
      <c r="AA1542" s="2" t="s">
        <v>82</v>
      </c>
      <c r="AB1542" s="2">
        <v>9</v>
      </c>
      <c r="AC1542" s="2" t="s">
        <v>124</v>
      </c>
      <c r="AD1542" s="3">
        <v>40284</v>
      </c>
      <c r="AE1542" s="4">
        <v>0.61805555555555558</v>
      </c>
      <c r="AF1542" s="2"/>
      <c r="AG1542" s="2"/>
      <c r="AH1542" s="2">
        <v>5</v>
      </c>
      <c r="AI1542" s="2" t="s">
        <v>274</v>
      </c>
      <c r="AJ1542" s="2">
        <v>38</v>
      </c>
      <c r="AK1542" s="2" t="s">
        <v>1120</v>
      </c>
      <c r="AL1542" s="2">
        <v>8</v>
      </c>
      <c r="AM1542" s="2" t="s">
        <v>179</v>
      </c>
      <c r="AN1542" s="2"/>
      <c r="AO1542" s="2"/>
      <c r="AP1542" s="2">
        <v>11</v>
      </c>
      <c r="AQ1542" s="2" t="s">
        <v>82</v>
      </c>
      <c r="AR1542" s="2"/>
      <c r="AS1542" s="2"/>
      <c r="AT1542" s="2" t="s">
        <v>5630</v>
      </c>
      <c r="AU1542" s="2"/>
      <c r="AV1542" s="2"/>
      <c r="AW1542" s="2"/>
      <c r="AX1542" s="2"/>
      <c r="AY1542" s="2">
        <v>41</v>
      </c>
      <c r="AZ1542" s="2" t="s">
        <v>82</v>
      </c>
      <c r="BA1542" s="2">
        <v>41</v>
      </c>
      <c r="BB1542" s="2" t="s">
        <v>82</v>
      </c>
      <c r="BC1542" s="2">
        <v>41</v>
      </c>
      <c r="BD1542" s="2" t="s">
        <v>82</v>
      </c>
      <c r="BE1542" s="2">
        <v>4</v>
      </c>
      <c r="BF1542" s="2" t="s">
        <v>90</v>
      </c>
      <c r="BG1542" s="2">
        <v>4025</v>
      </c>
      <c r="BH1542" s="4">
        <v>0.56944444444444442</v>
      </c>
      <c r="BI1542" s="4">
        <v>0.59722222222222221</v>
      </c>
      <c r="BJ1542" s="2">
        <v>13</v>
      </c>
      <c r="BK1542" s="2" t="s">
        <v>91</v>
      </c>
      <c r="BL1542" s="2" t="s">
        <v>1697</v>
      </c>
      <c r="BM1542" s="2">
        <v>241</v>
      </c>
      <c r="BN1542" s="2" t="s">
        <v>82</v>
      </c>
      <c r="BO1542" s="2"/>
      <c r="BP1542" s="2">
        <v>13</v>
      </c>
      <c r="BQ1542" s="2" t="s">
        <v>91</v>
      </c>
      <c r="BR1542" s="2" t="s">
        <v>170</v>
      </c>
      <c r="BS1542" s="3">
        <v>40284</v>
      </c>
      <c r="BT1542" s="4">
        <v>0.65884259259259259</v>
      </c>
    </row>
    <row r="1543" spans="1:72" x14ac:dyDescent="0.25">
      <c r="A1543" s="2">
        <v>2274</v>
      </c>
      <c r="B1543" s="2">
        <v>2010</v>
      </c>
      <c r="C1543" s="2" t="s">
        <v>121</v>
      </c>
      <c r="D1543" s="2" t="s">
        <v>122</v>
      </c>
      <c r="E1543" s="2"/>
      <c r="F1543" s="2">
        <v>1</v>
      </c>
      <c r="G1543" s="2" t="s">
        <v>82</v>
      </c>
      <c r="H1543" s="2">
        <v>1</v>
      </c>
      <c r="I1543" s="2" t="s">
        <v>82</v>
      </c>
      <c r="J1543" s="2">
        <v>1</v>
      </c>
      <c r="K1543" s="2" t="s">
        <v>107</v>
      </c>
      <c r="L1543" s="2" t="s">
        <v>107</v>
      </c>
      <c r="M1543" s="3">
        <v>40284</v>
      </c>
      <c r="N1543" s="2" t="s">
        <v>82</v>
      </c>
      <c r="O1543" s="2" t="s">
        <v>82</v>
      </c>
      <c r="P1543" s="2" t="s">
        <v>82</v>
      </c>
      <c r="Q1543" s="2" t="str">
        <f>"N/C"</f>
        <v>N/C</v>
      </c>
      <c r="R1543" s="2" t="s">
        <v>82</v>
      </c>
      <c r="S1543" s="2" t="s">
        <v>82</v>
      </c>
      <c r="T1543" s="2">
        <v>2</v>
      </c>
      <c r="U1543" s="2" t="s">
        <v>123</v>
      </c>
      <c r="V1543" s="2">
        <v>1</v>
      </c>
      <c r="W1543" s="2" t="s">
        <v>80</v>
      </c>
      <c r="X1543" s="2">
        <v>5</v>
      </c>
      <c r="Y1543" s="2" t="s">
        <v>82</v>
      </c>
      <c r="Z1543" s="2">
        <v>1</v>
      </c>
      <c r="AA1543" s="2" t="s">
        <v>82</v>
      </c>
      <c r="AB1543" s="2">
        <v>9</v>
      </c>
      <c r="AC1543" s="2" t="s">
        <v>124</v>
      </c>
      <c r="AD1543" s="3">
        <v>40283</v>
      </c>
      <c r="AE1543" s="4">
        <v>0.83333333333333337</v>
      </c>
      <c r="AF1543" s="2"/>
      <c r="AG1543" s="2"/>
      <c r="AH1543" s="2">
        <v>2</v>
      </c>
      <c r="AI1543" s="2" t="s">
        <v>84</v>
      </c>
      <c r="AJ1543" s="2">
        <v>9</v>
      </c>
      <c r="AK1543" s="2" t="s">
        <v>103</v>
      </c>
      <c r="AL1543" s="2">
        <v>14</v>
      </c>
      <c r="AM1543" s="2" t="s">
        <v>216</v>
      </c>
      <c r="AN1543" s="2" t="s">
        <v>5631</v>
      </c>
      <c r="AO1543" s="2" t="s">
        <v>200</v>
      </c>
      <c r="AP1543" s="2">
        <v>11</v>
      </c>
      <c r="AQ1543" s="2" t="s">
        <v>82</v>
      </c>
      <c r="AR1543" s="2" t="s">
        <v>82</v>
      </c>
      <c r="AS1543" s="2" t="s">
        <v>82</v>
      </c>
      <c r="AT1543" s="2" t="s">
        <v>5632</v>
      </c>
      <c r="AU1543" s="2"/>
      <c r="AV1543" s="2"/>
      <c r="AW1543" s="2"/>
      <c r="AX1543" s="2"/>
      <c r="AY1543" s="2">
        <v>41</v>
      </c>
      <c r="AZ1543" s="2" t="s">
        <v>82</v>
      </c>
      <c r="BA1543" s="2">
        <v>41</v>
      </c>
      <c r="BB1543" s="2" t="s">
        <v>82</v>
      </c>
      <c r="BC1543" s="2">
        <v>41</v>
      </c>
      <c r="BD1543" s="2" t="s">
        <v>82</v>
      </c>
      <c r="BE1543" s="2">
        <v>41</v>
      </c>
      <c r="BF1543" s="2" t="s">
        <v>82</v>
      </c>
      <c r="BG1543" s="2" t="s">
        <v>82</v>
      </c>
      <c r="BH1543" s="4">
        <v>0.83333333333333337</v>
      </c>
      <c r="BI1543" s="2"/>
      <c r="BJ1543" s="2">
        <v>242</v>
      </c>
      <c r="BK1543" s="2" t="s">
        <v>107</v>
      </c>
      <c r="BL1543" s="2" t="s">
        <v>107</v>
      </c>
      <c r="BM1543" s="2">
        <v>241</v>
      </c>
      <c r="BN1543" s="2" t="s">
        <v>82</v>
      </c>
      <c r="BO1543" s="2" t="s">
        <v>82</v>
      </c>
      <c r="BP1543" s="2">
        <v>13</v>
      </c>
      <c r="BQ1543" s="2" t="s">
        <v>91</v>
      </c>
      <c r="BR1543" s="2" t="s">
        <v>2592</v>
      </c>
      <c r="BS1543" s="3">
        <v>40284</v>
      </c>
      <c r="BT1543" s="4">
        <v>0.6759722222222222</v>
      </c>
    </row>
    <row r="1544" spans="1:72" x14ac:dyDescent="0.25">
      <c r="A1544" s="2">
        <v>2278</v>
      </c>
      <c r="B1544" s="2">
        <v>2010</v>
      </c>
      <c r="C1544" s="2" t="s">
        <v>72</v>
      </c>
      <c r="D1544" s="2" t="s">
        <v>73</v>
      </c>
      <c r="E1544" s="2"/>
      <c r="F1544" s="2">
        <v>581</v>
      </c>
      <c r="G1544" s="2" t="s">
        <v>5320</v>
      </c>
      <c r="H1544" s="2">
        <v>42</v>
      </c>
      <c r="I1544" s="2" t="s">
        <v>1096</v>
      </c>
      <c r="J1544" s="2">
        <v>513</v>
      </c>
      <c r="K1544" s="2" t="s">
        <v>5633</v>
      </c>
      <c r="L1544" s="2" t="s">
        <v>5634</v>
      </c>
      <c r="M1544" s="3">
        <v>40284</v>
      </c>
      <c r="N1544" s="2" t="s">
        <v>5635</v>
      </c>
      <c r="O1544" s="2" t="s">
        <v>107</v>
      </c>
      <c r="P1544" s="2" t="s">
        <v>107</v>
      </c>
      <c r="Q1544" s="2" t="str">
        <f>"154-A/10"</f>
        <v>154-A/10</v>
      </c>
      <c r="R1544" s="2" t="s">
        <v>107</v>
      </c>
      <c r="S1544" s="2" t="s">
        <v>78</v>
      </c>
      <c r="T1544" s="2">
        <v>1</v>
      </c>
      <c r="U1544" s="2" t="s">
        <v>79</v>
      </c>
      <c r="V1544" s="2">
        <v>1</v>
      </c>
      <c r="W1544" s="2" t="s">
        <v>80</v>
      </c>
      <c r="X1544" s="2">
        <v>12</v>
      </c>
      <c r="Y1544" s="2" t="s">
        <v>148</v>
      </c>
      <c r="Z1544" s="2">
        <v>1</v>
      </c>
      <c r="AA1544" s="2" t="s">
        <v>82</v>
      </c>
      <c r="AB1544" s="2">
        <v>6</v>
      </c>
      <c r="AC1544" s="2" t="s">
        <v>83</v>
      </c>
      <c r="AD1544" s="3">
        <v>40284</v>
      </c>
      <c r="AE1544" s="4">
        <v>0.66666666666666663</v>
      </c>
      <c r="AF1544" s="3">
        <v>40284</v>
      </c>
      <c r="AG1544" s="4">
        <v>0.71875</v>
      </c>
      <c r="AH1544" s="2">
        <v>2</v>
      </c>
      <c r="AI1544" s="2" t="s">
        <v>84</v>
      </c>
      <c r="AJ1544" s="2">
        <v>12</v>
      </c>
      <c r="AK1544" s="2" t="s">
        <v>85</v>
      </c>
      <c r="AL1544" s="2">
        <v>12</v>
      </c>
      <c r="AM1544" s="2" t="s">
        <v>86</v>
      </c>
      <c r="AN1544" s="2" t="s">
        <v>5636</v>
      </c>
      <c r="AO1544" s="2" t="s">
        <v>1212</v>
      </c>
      <c r="AP1544" s="2">
        <v>11</v>
      </c>
      <c r="AQ1544" s="2" t="s">
        <v>82</v>
      </c>
      <c r="AR1544" s="2"/>
      <c r="AS1544" s="2"/>
      <c r="AT1544" s="2" t="s">
        <v>5637</v>
      </c>
      <c r="AU1544" s="2"/>
      <c r="AV1544" s="2"/>
      <c r="AW1544" s="2"/>
      <c r="AX1544" s="2"/>
      <c r="AY1544" s="2">
        <v>41</v>
      </c>
      <c r="AZ1544" s="2" t="s">
        <v>82</v>
      </c>
      <c r="BA1544" s="2">
        <v>41</v>
      </c>
      <c r="BB1544" s="2" t="s">
        <v>82</v>
      </c>
      <c r="BC1544" s="2">
        <v>41</v>
      </c>
      <c r="BD1544" s="2" t="s">
        <v>82</v>
      </c>
      <c r="BE1544" s="2">
        <v>41</v>
      </c>
      <c r="BF1544" s="2" t="s">
        <v>82</v>
      </c>
      <c r="BG1544" s="2"/>
      <c r="BH1544" s="2"/>
      <c r="BI1544" s="2"/>
      <c r="BJ1544" s="2">
        <v>241</v>
      </c>
      <c r="BK1544" s="2" t="s">
        <v>82</v>
      </c>
      <c r="BL1544" s="2"/>
      <c r="BM1544" s="2">
        <v>241</v>
      </c>
      <c r="BN1544" s="2" t="s">
        <v>82</v>
      </c>
      <c r="BO1544" s="2"/>
      <c r="BP1544" s="2">
        <v>241</v>
      </c>
      <c r="BQ1544" s="2" t="s">
        <v>82</v>
      </c>
      <c r="BR1544" s="2"/>
      <c r="BS1544" s="3">
        <v>40284</v>
      </c>
      <c r="BT1544" s="4">
        <v>0.79976851851851849</v>
      </c>
    </row>
    <row r="1545" spans="1:72" x14ac:dyDescent="0.25">
      <c r="A1545" s="2">
        <v>2279</v>
      </c>
      <c r="B1545" s="2">
        <v>2010</v>
      </c>
      <c r="C1545" s="2" t="s">
        <v>93</v>
      </c>
      <c r="D1545" s="2" t="s">
        <v>73</v>
      </c>
      <c r="E1545" s="2"/>
      <c r="F1545" s="2">
        <v>590</v>
      </c>
      <c r="G1545" s="2" t="s">
        <v>5638</v>
      </c>
      <c r="H1545" s="2">
        <v>42</v>
      </c>
      <c r="I1545" s="2" t="s">
        <v>1096</v>
      </c>
      <c r="J1545" s="2">
        <v>525</v>
      </c>
      <c r="K1545" s="2" t="s">
        <v>5639</v>
      </c>
      <c r="L1545" s="2" t="s">
        <v>5640</v>
      </c>
      <c r="M1545" s="3">
        <v>40284</v>
      </c>
      <c r="N1545" s="2" t="s">
        <v>5641</v>
      </c>
      <c r="O1545" s="2" t="s">
        <v>5642</v>
      </c>
      <c r="P1545" s="2" t="s">
        <v>5643</v>
      </c>
      <c r="Q1545" s="2" t="str">
        <f>"N/C"</f>
        <v>N/C</v>
      </c>
      <c r="R1545" s="2" t="s">
        <v>107</v>
      </c>
      <c r="S1545" s="2" t="s">
        <v>602</v>
      </c>
      <c r="T1545" s="2">
        <v>1</v>
      </c>
      <c r="U1545" s="2" t="s">
        <v>79</v>
      </c>
      <c r="V1545" s="2">
        <v>1</v>
      </c>
      <c r="W1545" s="2" t="s">
        <v>80</v>
      </c>
      <c r="X1545" s="2">
        <v>4</v>
      </c>
      <c r="Y1545" s="2" t="s">
        <v>463</v>
      </c>
      <c r="Z1545" s="2">
        <v>9</v>
      </c>
      <c r="AA1545" s="2" t="s">
        <v>1119</v>
      </c>
      <c r="AB1545" s="2">
        <v>2</v>
      </c>
      <c r="AC1545" s="2" t="s">
        <v>102</v>
      </c>
      <c r="AD1545" s="3">
        <v>40284</v>
      </c>
      <c r="AE1545" s="4">
        <v>0.5625</v>
      </c>
      <c r="AF1545" s="2"/>
      <c r="AG1545" s="2"/>
      <c r="AH1545" s="2">
        <v>2</v>
      </c>
      <c r="AI1545" s="2" t="s">
        <v>84</v>
      </c>
      <c r="AJ1545" s="2">
        <v>12</v>
      </c>
      <c r="AK1545" s="2" t="s">
        <v>85</v>
      </c>
      <c r="AL1545" s="2">
        <v>18</v>
      </c>
      <c r="AM1545" s="2" t="s">
        <v>82</v>
      </c>
      <c r="AN1545" s="2" t="s">
        <v>5644</v>
      </c>
      <c r="AO1545" s="2" t="s">
        <v>230</v>
      </c>
      <c r="AP1545" s="2">
        <v>11</v>
      </c>
      <c r="AQ1545" s="2" t="s">
        <v>82</v>
      </c>
      <c r="AR1545" s="2"/>
      <c r="AS1545" s="2"/>
      <c r="AT1545" s="2" t="s">
        <v>5645</v>
      </c>
      <c r="AU1545" s="2">
        <v>1</v>
      </c>
      <c r="AV1545" s="2"/>
      <c r="AW1545" s="2"/>
      <c r="AX1545" s="2"/>
      <c r="AY1545" s="2">
        <v>41</v>
      </c>
      <c r="AZ1545" s="2" t="s">
        <v>82</v>
      </c>
      <c r="BA1545" s="2">
        <v>41</v>
      </c>
      <c r="BB1545" s="2" t="s">
        <v>82</v>
      </c>
      <c r="BC1545" s="2">
        <v>41</v>
      </c>
      <c r="BD1545" s="2" t="s">
        <v>82</v>
      </c>
      <c r="BE1545" s="2">
        <v>13</v>
      </c>
      <c r="BF1545" s="2" t="s">
        <v>108</v>
      </c>
      <c r="BG1545" s="2" t="s">
        <v>5646</v>
      </c>
      <c r="BH1545" s="4">
        <v>0.66666666666666663</v>
      </c>
      <c r="BI1545" s="4">
        <v>0.56597222222222221</v>
      </c>
      <c r="BJ1545" s="2">
        <v>13</v>
      </c>
      <c r="BK1545" s="2" t="s">
        <v>91</v>
      </c>
      <c r="BL1545" s="2" t="s">
        <v>1394</v>
      </c>
      <c r="BM1545" s="2">
        <v>241</v>
      </c>
      <c r="BN1545" s="2" t="s">
        <v>82</v>
      </c>
      <c r="BO1545" s="2"/>
      <c r="BP1545" s="2">
        <v>13</v>
      </c>
      <c r="BQ1545" s="2" t="s">
        <v>91</v>
      </c>
      <c r="BR1545" s="2" t="s">
        <v>5647</v>
      </c>
      <c r="BS1545" s="3">
        <v>40284</v>
      </c>
      <c r="BT1545" s="4">
        <v>0.82174768518518526</v>
      </c>
    </row>
    <row r="1546" spans="1:72" x14ac:dyDescent="0.25">
      <c r="A1546" s="2">
        <v>2280</v>
      </c>
      <c r="B1546" s="2">
        <v>2010</v>
      </c>
      <c r="C1546" s="2" t="s">
        <v>418</v>
      </c>
      <c r="D1546" s="2" t="s">
        <v>122</v>
      </c>
      <c r="E1546" s="2"/>
      <c r="F1546" s="2">
        <v>1</v>
      </c>
      <c r="G1546" s="2" t="s">
        <v>82</v>
      </c>
      <c r="H1546" s="2">
        <v>1</v>
      </c>
      <c r="I1546" s="2" t="s">
        <v>82</v>
      </c>
      <c r="J1546" s="2">
        <v>1</v>
      </c>
      <c r="K1546" s="2" t="s">
        <v>107</v>
      </c>
      <c r="L1546" s="2" t="s">
        <v>107</v>
      </c>
      <c r="M1546" s="3">
        <v>40284</v>
      </c>
      <c r="N1546" s="2"/>
      <c r="O1546" s="2"/>
      <c r="P1546" s="2"/>
      <c r="Q1546" s="2" t="str">
        <f>""</f>
        <v/>
      </c>
      <c r="R1546" s="2"/>
      <c r="S1546" s="2"/>
      <c r="T1546" s="2">
        <v>2</v>
      </c>
      <c r="U1546" s="2" t="s">
        <v>123</v>
      </c>
      <c r="V1546" s="2">
        <v>1</v>
      </c>
      <c r="W1546" s="2" t="s">
        <v>80</v>
      </c>
      <c r="X1546" s="2">
        <v>5</v>
      </c>
      <c r="Y1546" s="2" t="s">
        <v>82</v>
      </c>
      <c r="Z1546" s="2">
        <v>1</v>
      </c>
      <c r="AA1546" s="2" t="s">
        <v>82</v>
      </c>
      <c r="AB1546" s="2">
        <v>9</v>
      </c>
      <c r="AC1546" s="2" t="s">
        <v>124</v>
      </c>
      <c r="AD1546" s="3">
        <v>40284</v>
      </c>
      <c r="AE1546" s="4">
        <v>0.8125</v>
      </c>
      <c r="AF1546" s="2"/>
      <c r="AG1546" s="2"/>
      <c r="AH1546" s="2">
        <v>6</v>
      </c>
      <c r="AI1546" s="2" t="s">
        <v>197</v>
      </c>
      <c r="AJ1546" s="2">
        <v>50</v>
      </c>
      <c r="AK1546" s="2" t="s">
        <v>330</v>
      </c>
      <c r="AL1546" s="2">
        <v>18</v>
      </c>
      <c r="AM1546" s="2" t="s">
        <v>82</v>
      </c>
      <c r="AN1546" s="2"/>
      <c r="AO1546" s="2"/>
      <c r="AP1546" s="2">
        <v>11</v>
      </c>
      <c r="AQ1546" s="2" t="s">
        <v>82</v>
      </c>
      <c r="AR1546" s="2"/>
      <c r="AS1546" s="2"/>
      <c r="AT1546" s="2" t="s">
        <v>5648</v>
      </c>
      <c r="AU1546" s="2"/>
      <c r="AV1546" s="2"/>
      <c r="AW1546" s="2"/>
      <c r="AX1546" s="2"/>
      <c r="AY1546" s="2">
        <v>1</v>
      </c>
      <c r="AZ1546" s="2" t="s">
        <v>107</v>
      </c>
      <c r="BA1546" s="2">
        <v>1</v>
      </c>
      <c r="BB1546" s="2" t="s">
        <v>107</v>
      </c>
      <c r="BC1546" s="2">
        <v>1</v>
      </c>
      <c r="BD1546" s="2" t="s">
        <v>107</v>
      </c>
      <c r="BE1546" s="2">
        <v>1</v>
      </c>
      <c r="BF1546" s="2" t="s">
        <v>107</v>
      </c>
      <c r="BG1546" s="2"/>
      <c r="BH1546" s="2"/>
      <c r="BI1546" s="2"/>
      <c r="BJ1546" s="2">
        <v>242</v>
      </c>
      <c r="BK1546" s="2" t="s">
        <v>107</v>
      </c>
      <c r="BL1546" s="2"/>
      <c r="BM1546" s="2">
        <v>242</v>
      </c>
      <c r="BN1546" s="2" t="s">
        <v>107</v>
      </c>
      <c r="BO1546" s="2"/>
      <c r="BP1546" s="2">
        <v>242</v>
      </c>
      <c r="BQ1546" s="2" t="s">
        <v>107</v>
      </c>
      <c r="BR1546" s="2"/>
      <c r="BS1546" s="3">
        <v>40284</v>
      </c>
      <c r="BT1546" s="4">
        <v>0.85365740740740748</v>
      </c>
    </row>
    <row r="1547" spans="1:72" x14ac:dyDescent="0.25">
      <c r="A1547" s="2">
        <v>2281</v>
      </c>
      <c r="B1547" s="2">
        <v>2010</v>
      </c>
      <c r="C1547" s="2" t="s">
        <v>72</v>
      </c>
      <c r="D1547" s="2" t="s">
        <v>73</v>
      </c>
      <c r="E1547" s="2"/>
      <c r="F1547" s="2">
        <v>2</v>
      </c>
      <c r="G1547" s="2" t="s">
        <v>113</v>
      </c>
      <c r="H1547" s="2">
        <v>42</v>
      </c>
      <c r="I1547" s="2" t="s">
        <v>1096</v>
      </c>
      <c r="J1547" s="2">
        <v>300</v>
      </c>
      <c r="K1547" s="2" t="s">
        <v>114</v>
      </c>
      <c r="L1547" s="2" t="s">
        <v>115</v>
      </c>
      <c r="M1547" s="3">
        <v>40285</v>
      </c>
      <c r="N1547" s="2" t="s">
        <v>5649</v>
      </c>
      <c r="O1547" s="2"/>
      <c r="P1547" s="2"/>
      <c r="Q1547" s="2" t="str">
        <f>"206-E/10"</f>
        <v>206-E/10</v>
      </c>
      <c r="R1547" s="2"/>
      <c r="S1547" s="2" t="s">
        <v>5650</v>
      </c>
      <c r="T1547" s="2">
        <v>1</v>
      </c>
      <c r="U1547" s="2" t="s">
        <v>79</v>
      </c>
      <c r="V1547" s="2">
        <v>1</v>
      </c>
      <c r="W1547" s="2" t="s">
        <v>80</v>
      </c>
      <c r="X1547" s="2">
        <v>5</v>
      </c>
      <c r="Y1547" s="2" t="s">
        <v>82</v>
      </c>
      <c r="Z1547" s="2">
        <v>1</v>
      </c>
      <c r="AA1547" s="2" t="s">
        <v>82</v>
      </c>
      <c r="AB1547" s="2">
        <v>6</v>
      </c>
      <c r="AC1547" s="2" t="s">
        <v>83</v>
      </c>
      <c r="AD1547" s="3">
        <v>40284</v>
      </c>
      <c r="AE1547" s="4">
        <v>0.74652777777777779</v>
      </c>
      <c r="AF1547" s="3">
        <v>40284</v>
      </c>
      <c r="AG1547" s="4">
        <v>0.90625</v>
      </c>
      <c r="AH1547" s="2">
        <v>2</v>
      </c>
      <c r="AI1547" s="2" t="s">
        <v>84</v>
      </c>
      <c r="AJ1547" s="2">
        <v>9</v>
      </c>
      <c r="AK1547" s="2" t="s">
        <v>103</v>
      </c>
      <c r="AL1547" s="2">
        <v>18</v>
      </c>
      <c r="AM1547" s="2" t="s">
        <v>82</v>
      </c>
      <c r="AN1547" s="2"/>
      <c r="AO1547" s="2" t="s">
        <v>5651</v>
      </c>
      <c r="AP1547" s="2">
        <v>11</v>
      </c>
      <c r="AQ1547" s="2" t="s">
        <v>82</v>
      </c>
      <c r="AR1547" s="2"/>
      <c r="AS1547" s="2"/>
      <c r="AT1547" s="2" t="s">
        <v>5652</v>
      </c>
      <c r="AU1547" s="2"/>
      <c r="AV1547" s="2"/>
      <c r="AW1547" s="2"/>
      <c r="AX1547" s="2"/>
      <c r="AY1547" s="2">
        <v>41</v>
      </c>
      <c r="AZ1547" s="2" t="s">
        <v>82</v>
      </c>
      <c r="BA1547" s="2">
        <v>41</v>
      </c>
      <c r="BB1547" s="2" t="s">
        <v>82</v>
      </c>
      <c r="BC1547" s="2">
        <v>41</v>
      </c>
      <c r="BD1547" s="2" t="s">
        <v>82</v>
      </c>
      <c r="BE1547" s="2">
        <v>41</v>
      </c>
      <c r="BF1547" s="2" t="s">
        <v>82</v>
      </c>
      <c r="BG1547" s="2"/>
      <c r="BH1547" s="2"/>
      <c r="BI1547" s="2"/>
      <c r="BJ1547" s="2">
        <v>241</v>
      </c>
      <c r="BK1547" s="2" t="s">
        <v>82</v>
      </c>
      <c r="BL1547" s="2"/>
      <c r="BM1547" s="2">
        <v>241</v>
      </c>
      <c r="BN1547" s="2" t="s">
        <v>82</v>
      </c>
      <c r="BO1547" s="2"/>
      <c r="BP1547" s="2">
        <v>241</v>
      </c>
      <c r="BQ1547" s="2" t="s">
        <v>82</v>
      </c>
      <c r="BR1547" s="2"/>
      <c r="BS1547" s="3">
        <v>40285</v>
      </c>
      <c r="BT1547" s="4">
        <v>0.11873842592592593</v>
      </c>
    </row>
    <row r="1548" spans="1:72" x14ac:dyDescent="0.25">
      <c r="A1548" s="2">
        <v>2282</v>
      </c>
      <c r="B1548" s="2">
        <v>2010</v>
      </c>
      <c r="C1548" s="2" t="s">
        <v>72</v>
      </c>
      <c r="D1548" s="2" t="s">
        <v>73</v>
      </c>
      <c r="E1548" s="2"/>
      <c r="F1548" s="2">
        <v>389</v>
      </c>
      <c r="G1548" s="2" t="s">
        <v>1819</v>
      </c>
      <c r="H1548" s="2">
        <v>2</v>
      </c>
      <c r="I1548" s="2" t="s">
        <v>267</v>
      </c>
      <c r="J1548" s="2">
        <v>399</v>
      </c>
      <c r="K1548" s="2" t="s">
        <v>1820</v>
      </c>
      <c r="L1548" s="2" t="s">
        <v>1821</v>
      </c>
      <c r="M1548" s="3">
        <v>40285</v>
      </c>
      <c r="N1548" s="2" t="s">
        <v>5653</v>
      </c>
      <c r="O1548" s="2"/>
      <c r="P1548" s="2"/>
      <c r="Q1548" s="2" t="str">
        <f>"207-E/10"</f>
        <v>207-E/10</v>
      </c>
      <c r="R1548" s="2"/>
      <c r="S1548" s="2" t="s">
        <v>116</v>
      </c>
      <c r="T1548" s="2">
        <v>1</v>
      </c>
      <c r="U1548" s="2" t="s">
        <v>79</v>
      </c>
      <c r="V1548" s="2">
        <v>1</v>
      </c>
      <c r="W1548" s="2" t="s">
        <v>80</v>
      </c>
      <c r="X1548" s="2">
        <v>12</v>
      </c>
      <c r="Y1548" s="2" t="s">
        <v>148</v>
      </c>
      <c r="Z1548" s="2">
        <v>1</v>
      </c>
      <c r="AA1548" s="2" t="s">
        <v>82</v>
      </c>
      <c r="AB1548" s="2">
        <v>6</v>
      </c>
      <c r="AC1548" s="2" t="s">
        <v>83</v>
      </c>
      <c r="AD1548" s="3">
        <v>40284</v>
      </c>
      <c r="AE1548" s="4">
        <v>0.875</v>
      </c>
      <c r="AF1548" s="3">
        <v>40284</v>
      </c>
      <c r="AG1548" s="4">
        <v>0.97916666666666663</v>
      </c>
      <c r="AH1548" s="2">
        <v>2</v>
      </c>
      <c r="AI1548" s="2" t="s">
        <v>84</v>
      </c>
      <c r="AJ1548" s="2">
        <v>9</v>
      </c>
      <c r="AK1548" s="2" t="s">
        <v>103</v>
      </c>
      <c r="AL1548" s="2">
        <v>15</v>
      </c>
      <c r="AM1548" s="2" t="s">
        <v>104</v>
      </c>
      <c r="AN1548" s="2" t="s">
        <v>5654</v>
      </c>
      <c r="AO1548" s="2"/>
      <c r="AP1548" s="2">
        <v>11</v>
      </c>
      <c r="AQ1548" s="2" t="s">
        <v>82</v>
      </c>
      <c r="AR1548" s="2"/>
      <c r="AS1548" s="2"/>
      <c r="AT1548" s="2" t="s">
        <v>5655</v>
      </c>
      <c r="AU1548" s="2"/>
      <c r="AV1548" s="2"/>
      <c r="AW1548" s="2"/>
      <c r="AX1548" s="2"/>
      <c r="AY1548" s="2">
        <v>41</v>
      </c>
      <c r="AZ1548" s="2" t="s">
        <v>82</v>
      </c>
      <c r="BA1548" s="2">
        <v>41</v>
      </c>
      <c r="BB1548" s="2" t="s">
        <v>82</v>
      </c>
      <c r="BC1548" s="2">
        <v>41</v>
      </c>
      <c r="BD1548" s="2" t="s">
        <v>82</v>
      </c>
      <c r="BE1548" s="2">
        <v>17</v>
      </c>
      <c r="BF1548" s="2" t="s">
        <v>508</v>
      </c>
      <c r="BG1548" s="2" t="s">
        <v>5656</v>
      </c>
      <c r="BH1548" s="4">
        <v>0.875</v>
      </c>
      <c r="BI1548" s="2"/>
      <c r="BJ1548" s="2">
        <v>46</v>
      </c>
      <c r="BK1548" s="2" t="s">
        <v>307</v>
      </c>
      <c r="BL1548" s="2" t="s">
        <v>308</v>
      </c>
      <c r="BM1548" s="2">
        <v>241</v>
      </c>
      <c r="BN1548" s="2" t="s">
        <v>82</v>
      </c>
      <c r="BO1548" s="2"/>
      <c r="BP1548" s="2">
        <v>13</v>
      </c>
      <c r="BQ1548" s="2" t="s">
        <v>91</v>
      </c>
      <c r="BR1548" s="2" t="s">
        <v>2655</v>
      </c>
      <c r="BS1548" s="3">
        <v>40285</v>
      </c>
      <c r="BT1548" s="4">
        <v>0.13663194444444446</v>
      </c>
    </row>
    <row r="1549" spans="1:72" x14ac:dyDescent="0.25">
      <c r="A1549" s="2">
        <v>2283</v>
      </c>
      <c r="B1549" s="2">
        <v>2010</v>
      </c>
      <c r="C1549" s="2" t="s">
        <v>171</v>
      </c>
      <c r="D1549" s="2" t="s">
        <v>122</v>
      </c>
      <c r="E1549" s="2" t="s">
        <v>5518</v>
      </c>
      <c r="F1549" s="2">
        <v>400</v>
      </c>
      <c r="G1549" s="2" t="s">
        <v>3601</v>
      </c>
      <c r="H1549" s="2">
        <v>17</v>
      </c>
      <c r="I1549" s="2" t="s">
        <v>3602</v>
      </c>
      <c r="J1549" s="2">
        <v>316</v>
      </c>
      <c r="K1549" s="2" t="s">
        <v>574</v>
      </c>
      <c r="L1549" s="2" t="s">
        <v>575</v>
      </c>
      <c r="M1549" s="3">
        <v>40285</v>
      </c>
      <c r="N1549" s="2" t="s">
        <v>3826</v>
      </c>
      <c r="O1549" s="2"/>
      <c r="P1549" s="2"/>
      <c r="Q1549" s="2" t="str">
        <f>"199-E/10"</f>
        <v>199-E/10</v>
      </c>
      <c r="R1549" s="2" t="s">
        <v>5500</v>
      </c>
      <c r="S1549" s="2"/>
      <c r="T1549" s="2">
        <v>1</v>
      </c>
      <c r="U1549" s="2" t="s">
        <v>79</v>
      </c>
      <c r="V1549" s="2">
        <v>1</v>
      </c>
      <c r="W1549" s="2" t="s">
        <v>80</v>
      </c>
      <c r="X1549" s="2">
        <v>1</v>
      </c>
      <c r="Y1549" s="2" t="s">
        <v>81</v>
      </c>
      <c r="Z1549" s="2">
        <v>10</v>
      </c>
      <c r="AA1549" s="2" t="s">
        <v>236</v>
      </c>
      <c r="AB1549" s="2">
        <v>1</v>
      </c>
      <c r="AC1549" s="2" t="s">
        <v>178</v>
      </c>
      <c r="AD1549" s="3">
        <v>40280</v>
      </c>
      <c r="AE1549" s="4">
        <v>0.79166666666666663</v>
      </c>
      <c r="AF1549" s="2"/>
      <c r="AG1549" s="2"/>
      <c r="AH1549" s="2">
        <v>2</v>
      </c>
      <c r="AI1549" s="2" t="s">
        <v>84</v>
      </c>
      <c r="AJ1549" s="2">
        <v>9</v>
      </c>
      <c r="AK1549" s="2" t="s">
        <v>103</v>
      </c>
      <c r="AL1549" s="2">
        <v>15</v>
      </c>
      <c r="AM1549" s="2" t="s">
        <v>104</v>
      </c>
      <c r="AN1549" s="2" t="s">
        <v>5501</v>
      </c>
      <c r="AO1549" s="2"/>
      <c r="AP1549" s="2">
        <v>11</v>
      </c>
      <c r="AQ1549" s="2" t="s">
        <v>82</v>
      </c>
      <c r="AR1549" s="2"/>
      <c r="AS1549" s="2"/>
      <c r="AT1549" s="2" t="s">
        <v>5657</v>
      </c>
      <c r="AU1549" s="2"/>
      <c r="AV1549" s="2">
        <v>2</v>
      </c>
      <c r="AW1549" s="2"/>
      <c r="AX1549" s="2"/>
      <c r="AY1549" s="2">
        <v>41</v>
      </c>
      <c r="AZ1549" s="2" t="s">
        <v>82</v>
      </c>
      <c r="BA1549" s="2">
        <v>41</v>
      </c>
      <c r="BB1549" s="2" t="s">
        <v>82</v>
      </c>
      <c r="BC1549" s="2">
        <v>41</v>
      </c>
      <c r="BD1549" s="2" t="s">
        <v>82</v>
      </c>
      <c r="BE1549" s="2">
        <v>13</v>
      </c>
      <c r="BF1549" s="2" t="s">
        <v>108</v>
      </c>
      <c r="BG1549" s="2" t="s">
        <v>1769</v>
      </c>
      <c r="BH1549" s="2"/>
      <c r="BI1549" s="4">
        <v>0.875</v>
      </c>
      <c r="BJ1549" s="2">
        <v>13</v>
      </c>
      <c r="BK1549" s="2" t="s">
        <v>91</v>
      </c>
      <c r="BL1549" s="2" t="s">
        <v>5300</v>
      </c>
      <c r="BM1549" s="2">
        <v>242</v>
      </c>
      <c r="BN1549" s="2" t="s">
        <v>107</v>
      </c>
      <c r="BO1549" s="2"/>
      <c r="BP1549" s="2">
        <v>73</v>
      </c>
      <c r="BQ1549" s="2" t="s">
        <v>186</v>
      </c>
      <c r="BR1549" s="2" t="s">
        <v>187</v>
      </c>
      <c r="BS1549" s="3">
        <v>40285</v>
      </c>
      <c r="BT1549" s="4">
        <v>0.14472222222222222</v>
      </c>
    </row>
    <row r="1550" spans="1:72" x14ac:dyDescent="0.25">
      <c r="A1550" s="2">
        <v>2284</v>
      </c>
      <c r="B1550" s="2">
        <v>2010</v>
      </c>
      <c r="C1550" s="2" t="s">
        <v>457</v>
      </c>
      <c r="D1550" s="2" t="s">
        <v>73</v>
      </c>
      <c r="E1550" s="2"/>
      <c r="F1550" s="2">
        <v>591</v>
      </c>
      <c r="G1550" s="2" t="s">
        <v>5658</v>
      </c>
      <c r="H1550" s="2">
        <v>93</v>
      </c>
      <c r="I1550" s="2" t="s">
        <v>5659</v>
      </c>
      <c r="J1550" s="2">
        <v>33</v>
      </c>
      <c r="K1550" s="2" t="s">
        <v>2178</v>
      </c>
      <c r="L1550" s="2" t="s">
        <v>1877</v>
      </c>
      <c r="M1550" s="3">
        <v>40285</v>
      </c>
      <c r="N1550" s="2" t="s">
        <v>5660</v>
      </c>
      <c r="O1550" s="2" t="s">
        <v>5661</v>
      </c>
      <c r="P1550" s="2">
        <v>5246</v>
      </c>
      <c r="Q1550" s="2" t="str">
        <f>"N/C"</f>
        <v>N/C</v>
      </c>
      <c r="R1550" s="2" t="s">
        <v>107</v>
      </c>
      <c r="S1550" s="2" t="s">
        <v>82</v>
      </c>
      <c r="T1550" s="2">
        <v>1</v>
      </c>
      <c r="U1550" s="2" t="s">
        <v>79</v>
      </c>
      <c r="V1550" s="2">
        <v>1</v>
      </c>
      <c r="W1550" s="2" t="s">
        <v>80</v>
      </c>
      <c r="X1550" s="2">
        <v>4</v>
      </c>
      <c r="Y1550" s="2" t="s">
        <v>463</v>
      </c>
      <c r="Z1550" s="2">
        <v>9</v>
      </c>
      <c r="AA1550" s="2" t="s">
        <v>1119</v>
      </c>
      <c r="AB1550" s="2">
        <v>9</v>
      </c>
      <c r="AC1550" s="2" t="s">
        <v>124</v>
      </c>
      <c r="AD1550" s="3">
        <v>40285</v>
      </c>
      <c r="AE1550" s="4">
        <v>3.472222222222222E-3</v>
      </c>
      <c r="AF1550" s="2"/>
      <c r="AG1550" s="2"/>
      <c r="AH1550" s="2">
        <v>2</v>
      </c>
      <c r="AI1550" s="2" t="s">
        <v>84</v>
      </c>
      <c r="AJ1550" s="2">
        <v>12</v>
      </c>
      <c r="AK1550" s="2" t="s">
        <v>85</v>
      </c>
      <c r="AL1550" s="2">
        <v>2</v>
      </c>
      <c r="AM1550" s="2" t="s">
        <v>163</v>
      </c>
      <c r="AN1550" s="2" t="s">
        <v>5662</v>
      </c>
      <c r="AO1550" s="2" t="s">
        <v>5663</v>
      </c>
      <c r="AP1550" s="2">
        <v>11</v>
      </c>
      <c r="AQ1550" s="2" t="s">
        <v>82</v>
      </c>
      <c r="AR1550" s="2"/>
      <c r="AS1550" s="2"/>
      <c r="AT1550" s="2" t="s">
        <v>5664</v>
      </c>
      <c r="AU1550" s="2"/>
      <c r="AV1550" s="2">
        <v>1</v>
      </c>
      <c r="AW1550" s="2"/>
      <c r="AX1550" s="2"/>
      <c r="AY1550" s="2">
        <v>41</v>
      </c>
      <c r="AZ1550" s="2" t="s">
        <v>82</v>
      </c>
      <c r="BA1550" s="2">
        <v>41</v>
      </c>
      <c r="BB1550" s="2" t="s">
        <v>82</v>
      </c>
      <c r="BC1550" s="2">
        <v>41</v>
      </c>
      <c r="BD1550" s="2" t="s">
        <v>82</v>
      </c>
      <c r="BE1550" s="2">
        <v>13</v>
      </c>
      <c r="BF1550" s="2" t="s">
        <v>108</v>
      </c>
      <c r="BG1550" s="2">
        <v>2611</v>
      </c>
      <c r="BH1550" s="4">
        <v>3.472222222222222E-3</v>
      </c>
      <c r="BI1550" s="4">
        <v>0.95833333333333337</v>
      </c>
      <c r="BJ1550" s="2">
        <v>13</v>
      </c>
      <c r="BK1550" s="2" t="s">
        <v>91</v>
      </c>
      <c r="BL1550" s="2" t="s">
        <v>647</v>
      </c>
      <c r="BM1550" s="2">
        <v>241</v>
      </c>
      <c r="BN1550" s="2" t="s">
        <v>82</v>
      </c>
      <c r="BO1550" s="2" t="s">
        <v>82</v>
      </c>
      <c r="BP1550" s="2">
        <v>13</v>
      </c>
      <c r="BQ1550" s="2" t="s">
        <v>91</v>
      </c>
      <c r="BR1550" s="2" t="s">
        <v>185</v>
      </c>
      <c r="BS1550" s="3">
        <v>40285</v>
      </c>
      <c r="BT1550" s="4">
        <v>0.14996527777777777</v>
      </c>
    </row>
    <row r="1551" spans="1:72" x14ac:dyDescent="0.25">
      <c r="A1551" s="2">
        <v>2285</v>
      </c>
      <c r="B1551" s="2">
        <v>2010</v>
      </c>
      <c r="C1551" s="2" t="s">
        <v>93</v>
      </c>
      <c r="D1551" s="2" t="s">
        <v>122</v>
      </c>
      <c r="E1551" s="2"/>
      <c r="F1551" s="2">
        <v>456</v>
      </c>
      <c r="G1551" s="2" t="s">
        <v>1949</v>
      </c>
      <c r="H1551" s="2">
        <v>3</v>
      </c>
      <c r="I1551" s="2" t="s">
        <v>315</v>
      </c>
      <c r="J1551" s="2">
        <v>137</v>
      </c>
      <c r="K1551" s="2" t="s">
        <v>3052</v>
      </c>
      <c r="L1551" s="2" t="s">
        <v>317</v>
      </c>
      <c r="M1551" s="3">
        <v>40285</v>
      </c>
      <c r="N1551" s="2" t="s">
        <v>5665</v>
      </c>
      <c r="O1551" s="2" t="s">
        <v>107</v>
      </c>
      <c r="P1551" s="2" t="s">
        <v>107</v>
      </c>
      <c r="Q1551" s="2" t="str">
        <f>"031/10"</f>
        <v>031/10</v>
      </c>
      <c r="R1551" s="2" t="s">
        <v>107</v>
      </c>
      <c r="S1551" s="2" t="s">
        <v>5666</v>
      </c>
      <c r="T1551" s="2">
        <v>1</v>
      </c>
      <c r="U1551" s="2" t="s">
        <v>79</v>
      </c>
      <c r="V1551" s="2">
        <v>1</v>
      </c>
      <c r="W1551" s="2" t="s">
        <v>80</v>
      </c>
      <c r="X1551" s="2">
        <v>1</v>
      </c>
      <c r="Y1551" s="2" t="s">
        <v>81</v>
      </c>
      <c r="Z1551" s="2">
        <v>10</v>
      </c>
      <c r="AA1551" s="2" t="s">
        <v>236</v>
      </c>
      <c r="AB1551" s="2">
        <v>2</v>
      </c>
      <c r="AC1551" s="2" t="s">
        <v>102</v>
      </c>
      <c r="AD1551" s="3">
        <v>40285</v>
      </c>
      <c r="AE1551" s="4">
        <v>0.17361111111111113</v>
      </c>
      <c r="AF1551" s="2"/>
      <c r="AG1551" s="2"/>
      <c r="AH1551" s="2">
        <v>6</v>
      </c>
      <c r="AI1551" s="2" t="s">
        <v>197</v>
      </c>
      <c r="AJ1551" s="2">
        <v>58</v>
      </c>
      <c r="AK1551" s="2" t="s">
        <v>406</v>
      </c>
      <c r="AL1551" s="2">
        <v>11</v>
      </c>
      <c r="AM1551" s="2" t="s">
        <v>137</v>
      </c>
      <c r="AN1551" s="2" t="s">
        <v>5667</v>
      </c>
      <c r="AO1551" s="2" t="s">
        <v>5668</v>
      </c>
      <c r="AP1551" s="2">
        <v>11</v>
      </c>
      <c r="AQ1551" s="2" t="s">
        <v>82</v>
      </c>
      <c r="AR1551" s="2" t="s">
        <v>82</v>
      </c>
      <c r="AS1551" s="2" t="s">
        <v>82</v>
      </c>
      <c r="AT1551" s="2" t="s">
        <v>5669</v>
      </c>
      <c r="AU1551" s="2"/>
      <c r="AV1551" s="2"/>
      <c r="AW1551" s="2"/>
      <c r="AX1551" s="2"/>
      <c r="AY1551" s="2">
        <v>41</v>
      </c>
      <c r="AZ1551" s="2" t="s">
        <v>82</v>
      </c>
      <c r="BA1551" s="2">
        <v>41</v>
      </c>
      <c r="BB1551" s="2" t="s">
        <v>82</v>
      </c>
      <c r="BC1551" s="2">
        <v>41</v>
      </c>
      <c r="BD1551" s="2" t="s">
        <v>82</v>
      </c>
      <c r="BE1551" s="2">
        <v>47</v>
      </c>
      <c r="BF1551" s="2" t="s">
        <v>167</v>
      </c>
      <c r="BG1551" s="2">
        <v>2883</v>
      </c>
      <c r="BH1551" s="2"/>
      <c r="BI1551" s="4">
        <v>0.1875</v>
      </c>
      <c r="BJ1551" s="2">
        <v>13</v>
      </c>
      <c r="BK1551" s="2" t="s">
        <v>91</v>
      </c>
      <c r="BL1551" s="2" t="s">
        <v>82</v>
      </c>
      <c r="BM1551" s="2">
        <v>241</v>
      </c>
      <c r="BN1551" s="2" t="s">
        <v>82</v>
      </c>
      <c r="BO1551" s="2" t="s">
        <v>82</v>
      </c>
      <c r="BP1551" s="2">
        <v>13</v>
      </c>
      <c r="BQ1551" s="2" t="s">
        <v>91</v>
      </c>
      <c r="BR1551" s="2" t="s">
        <v>5670</v>
      </c>
      <c r="BS1551" s="3">
        <v>40285</v>
      </c>
      <c r="BT1551" s="4">
        <v>0.26127314814814812</v>
      </c>
    </row>
    <row r="1552" spans="1:72" x14ac:dyDescent="0.25">
      <c r="A1552" s="2">
        <v>2286</v>
      </c>
      <c r="B1552" s="2">
        <v>2010</v>
      </c>
      <c r="C1552" s="2" t="s">
        <v>764</v>
      </c>
      <c r="D1552" s="2" t="s">
        <v>73</v>
      </c>
      <c r="E1552" s="2"/>
      <c r="F1552" s="2">
        <v>161</v>
      </c>
      <c r="G1552" s="2" t="s">
        <v>5671</v>
      </c>
      <c r="H1552" s="2">
        <v>94</v>
      </c>
      <c r="I1552" s="2" t="s">
        <v>5672</v>
      </c>
      <c r="J1552" s="2">
        <v>171</v>
      </c>
      <c r="K1552" s="2" t="s">
        <v>5673</v>
      </c>
      <c r="L1552" s="2" t="s">
        <v>5674</v>
      </c>
      <c r="M1552" s="3">
        <v>40285</v>
      </c>
      <c r="N1552" s="2" t="s">
        <v>5675</v>
      </c>
      <c r="O1552" s="2" t="s">
        <v>107</v>
      </c>
      <c r="P1552" s="2" t="s">
        <v>107</v>
      </c>
      <c r="Q1552" s="2" t="str">
        <f>"155-A/10"</f>
        <v>155-A/10</v>
      </c>
      <c r="R1552" s="2" t="s">
        <v>107</v>
      </c>
      <c r="S1552" s="2" t="s">
        <v>5676</v>
      </c>
      <c r="T1552" s="2">
        <v>1</v>
      </c>
      <c r="U1552" s="2" t="s">
        <v>79</v>
      </c>
      <c r="V1552" s="2">
        <v>1</v>
      </c>
      <c r="W1552" s="2" t="s">
        <v>80</v>
      </c>
      <c r="X1552" s="2">
        <v>5</v>
      </c>
      <c r="Y1552" s="2" t="s">
        <v>82</v>
      </c>
      <c r="Z1552" s="2">
        <v>1</v>
      </c>
      <c r="AA1552" s="2" t="s">
        <v>82</v>
      </c>
      <c r="AB1552" s="2">
        <v>9</v>
      </c>
      <c r="AC1552" s="2" t="s">
        <v>124</v>
      </c>
      <c r="AD1552" s="3">
        <v>40285</v>
      </c>
      <c r="AE1552" s="4">
        <v>0.21875</v>
      </c>
      <c r="AF1552" s="2"/>
      <c r="AG1552" s="2"/>
      <c r="AH1552" s="2">
        <v>2</v>
      </c>
      <c r="AI1552" s="2" t="s">
        <v>84</v>
      </c>
      <c r="AJ1552" s="2">
        <v>12</v>
      </c>
      <c r="AK1552" s="2" t="s">
        <v>85</v>
      </c>
      <c r="AL1552" s="2">
        <v>9</v>
      </c>
      <c r="AM1552" s="2" t="s">
        <v>259</v>
      </c>
      <c r="AN1552" s="2" t="s">
        <v>5677</v>
      </c>
      <c r="AO1552" s="2" t="s">
        <v>5678</v>
      </c>
      <c r="AP1552" s="2">
        <v>11</v>
      </c>
      <c r="AQ1552" s="2" t="s">
        <v>82</v>
      </c>
      <c r="AR1552" s="2"/>
      <c r="AS1552" s="2"/>
      <c r="AT1552" s="2" t="s">
        <v>5679</v>
      </c>
      <c r="AU1552" s="2">
        <v>1</v>
      </c>
      <c r="AV1552" s="2"/>
      <c r="AW1552" s="2"/>
      <c r="AX1552" s="2"/>
      <c r="AY1552" s="2">
        <v>41</v>
      </c>
      <c r="AZ1552" s="2" t="s">
        <v>82</v>
      </c>
      <c r="BA1552" s="2">
        <v>41</v>
      </c>
      <c r="BB1552" s="2" t="s">
        <v>82</v>
      </c>
      <c r="BC1552" s="2">
        <v>41</v>
      </c>
      <c r="BD1552" s="2" t="s">
        <v>82</v>
      </c>
      <c r="BE1552" s="2">
        <v>41</v>
      </c>
      <c r="BF1552" s="2" t="s">
        <v>82</v>
      </c>
      <c r="BG1552" s="2"/>
      <c r="BH1552" s="2"/>
      <c r="BI1552" s="2"/>
      <c r="BJ1552" s="2">
        <v>241</v>
      </c>
      <c r="BK1552" s="2" t="s">
        <v>82</v>
      </c>
      <c r="BL1552" s="2"/>
      <c r="BM1552" s="2">
        <v>241</v>
      </c>
      <c r="BN1552" s="2" t="s">
        <v>82</v>
      </c>
      <c r="BO1552" s="2"/>
      <c r="BP1552" s="2">
        <v>241</v>
      </c>
      <c r="BQ1552" s="2" t="s">
        <v>82</v>
      </c>
      <c r="BR1552" s="2"/>
      <c r="BS1552" s="3">
        <v>40285</v>
      </c>
      <c r="BT1552" s="4">
        <v>0.35620370370370374</v>
      </c>
    </row>
    <row r="1553" spans="1:72" x14ac:dyDescent="0.25">
      <c r="A1553" s="2">
        <v>2287</v>
      </c>
      <c r="B1553" s="2">
        <v>2010</v>
      </c>
      <c r="C1553" s="2" t="s">
        <v>93</v>
      </c>
      <c r="D1553" s="2" t="s">
        <v>73</v>
      </c>
      <c r="E1553" s="2"/>
      <c r="F1553" s="2">
        <v>396</v>
      </c>
      <c r="G1553" s="2" t="s">
        <v>2159</v>
      </c>
      <c r="H1553" s="2">
        <v>9</v>
      </c>
      <c r="I1553" s="2" t="s">
        <v>794</v>
      </c>
      <c r="J1553" s="2">
        <v>243</v>
      </c>
      <c r="K1553" s="2" t="s">
        <v>2160</v>
      </c>
      <c r="L1553" s="2" t="s">
        <v>2145</v>
      </c>
      <c r="M1553" s="3">
        <v>40285</v>
      </c>
      <c r="N1553" s="2" t="s">
        <v>2161</v>
      </c>
      <c r="O1553" s="2" t="s">
        <v>5680</v>
      </c>
      <c r="P1553" s="2">
        <v>11391</v>
      </c>
      <c r="Q1553" s="2" t="str">
        <f>"004/10"</f>
        <v>004/10</v>
      </c>
      <c r="R1553" s="2" t="s">
        <v>82</v>
      </c>
      <c r="S1553" s="2" t="s">
        <v>5681</v>
      </c>
      <c r="T1553" s="2">
        <v>1</v>
      </c>
      <c r="U1553" s="2" t="s">
        <v>79</v>
      </c>
      <c r="V1553" s="2">
        <v>1</v>
      </c>
      <c r="W1553" s="2" t="s">
        <v>80</v>
      </c>
      <c r="X1553" s="2">
        <v>1</v>
      </c>
      <c r="Y1553" s="2" t="s">
        <v>81</v>
      </c>
      <c r="Z1553" s="2">
        <v>1</v>
      </c>
      <c r="AA1553" s="2" t="s">
        <v>82</v>
      </c>
      <c r="AB1553" s="2">
        <v>2</v>
      </c>
      <c r="AC1553" s="2" t="s">
        <v>102</v>
      </c>
      <c r="AD1553" s="3">
        <v>40285</v>
      </c>
      <c r="AE1553" s="4">
        <v>0.28125</v>
      </c>
      <c r="AF1553" s="3">
        <v>40285</v>
      </c>
      <c r="AG1553" s="4">
        <v>0.4236111111111111</v>
      </c>
      <c r="AH1553" s="2">
        <v>5</v>
      </c>
      <c r="AI1553" s="2" t="s">
        <v>274</v>
      </c>
      <c r="AJ1553" s="2">
        <v>45</v>
      </c>
      <c r="AK1553" s="2" t="s">
        <v>834</v>
      </c>
      <c r="AL1553" s="2">
        <v>11</v>
      </c>
      <c r="AM1553" s="2" t="s">
        <v>137</v>
      </c>
      <c r="AN1553" s="2" t="s">
        <v>5682</v>
      </c>
      <c r="AO1553" s="2" t="s">
        <v>2761</v>
      </c>
      <c r="AP1553" s="2">
        <v>11</v>
      </c>
      <c r="AQ1553" s="2" t="s">
        <v>82</v>
      </c>
      <c r="AR1553" s="2" t="s">
        <v>82</v>
      </c>
      <c r="AS1553" s="2" t="s">
        <v>82</v>
      </c>
      <c r="AT1553" s="2" t="s">
        <v>5683</v>
      </c>
      <c r="AU1553" s="2">
        <v>1</v>
      </c>
      <c r="AV1553" s="2"/>
      <c r="AW1553" s="2"/>
      <c r="AX1553" s="2"/>
      <c r="AY1553" s="2">
        <v>41</v>
      </c>
      <c r="AZ1553" s="2" t="s">
        <v>82</v>
      </c>
      <c r="BA1553" s="2">
        <v>41</v>
      </c>
      <c r="BB1553" s="2" t="s">
        <v>82</v>
      </c>
      <c r="BC1553" s="2">
        <v>41</v>
      </c>
      <c r="BD1553" s="2" t="s">
        <v>82</v>
      </c>
      <c r="BE1553" s="2">
        <v>13</v>
      </c>
      <c r="BF1553" s="2" t="s">
        <v>108</v>
      </c>
      <c r="BG1553" s="2">
        <v>1701</v>
      </c>
      <c r="BH1553" s="2"/>
      <c r="BI1553" s="4">
        <v>0.28125</v>
      </c>
      <c r="BJ1553" s="2">
        <v>13</v>
      </c>
      <c r="BK1553" s="2" t="s">
        <v>91</v>
      </c>
      <c r="BL1553" s="2" t="s">
        <v>1705</v>
      </c>
      <c r="BM1553" s="2">
        <v>241</v>
      </c>
      <c r="BN1553" s="2" t="s">
        <v>82</v>
      </c>
      <c r="BO1553" s="2" t="s">
        <v>82</v>
      </c>
      <c r="BP1553" s="2">
        <v>13</v>
      </c>
      <c r="BQ1553" s="2" t="s">
        <v>91</v>
      </c>
      <c r="BR1553" s="2" t="s">
        <v>170</v>
      </c>
      <c r="BS1553" s="3">
        <v>40285</v>
      </c>
      <c r="BT1553" s="4">
        <v>0.35840277777777779</v>
      </c>
    </row>
    <row r="1554" spans="1:72" x14ac:dyDescent="0.25">
      <c r="A1554" s="2">
        <v>2289</v>
      </c>
      <c r="B1554" s="2">
        <v>2010</v>
      </c>
      <c r="C1554" s="2" t="s">
        <v>121</v>
      </c>
      <c r="D1554" s="2" t="s">
        <v>122</v>
      </c>
      <c r="E1554" s="2"/>
      <c r="F1554" s="2">
        <v>1</v>
      </c>
      <c r="G1554" s="2" t="s">
        <v>82</v>
      </c>
      <c r="H1554" s="2">
        <v>1</v>
      </c>
      <c r="I1554" s="2" t="s">
        <v>82</v>
      </c>
      <c r="J1554" s="2">
        <v>1</v>
      </c>
      <c r="K1554" s="2" t="s">
        <v>107</v>
      </c>
      <c r="L1554" s="2" t="s">
        <v>107</v>
      </c>
      <c r="M1554" s="3">
        <v>40285</v>
      </c>
      <c r="N1554" s="2"/>
      <c r="O1554" s="2"/>
      <c r="P1554" s="2"/>
      <c r="Q1554" s="2" t="str">
        <f>""</f>
        <v/>
      </c>
      <c r="R1554" s="2"/>
      <c r="S1554" s="2"/>
      <c r="T1554" s="2">
        <v>2</v>
      </c>
      <c r="U1554" s="2" t="s">
        <v>123</v>
      </c>
      <c r="V1554" s="2">
        <v>1</v>
      </c>
      <c r="W1554" s="2" t="s">
        <v>80</v>
      </c>
      <c r="X1554" s="2">
        <v>1</v>
      </c>
      <c r="Y1554" s="2" t="s">
        <v>81</v>
      </c>
      <c r="Z1554" s="2">
        <v>10</v>
      </c>
      <c r="AA1554" s="2" t="s">
        <v>236</v>
      </c>
      <c r="AB1554" s="2">
        <v>9</v>
      </c>
      <c r="AC1554" s="2" t="s">
        <v>124</v>
      </c>
      <c r="AD1554" s="3">
        <v>40285</v>
      </c>
      <c r="AE1554" s="4">
        <v>0.37361111111111112</v>
      </c>
      <c r="AF1554" s="2"/>
      <c r="AG1554" s="2"/>
      <c r="AH1554" s="2">
        <v>2</v>
      </c>
      <c r="AI1554" s="2" t="s">
        <v>84</v>
      </c>
      <c r="AJ1554" s="2">
        <v>9</v>
      </c>
      <c r="AK1554" s="2" t="s">
        <v>103</v>
      </c>
      <c r="AL1554" s="2">
        <v>10</v>
      </c>
      <c r="AM1554" s="2" t="s">
        <v>200</v>
      </c>
      <c r="AN1554" s="2"/>
      <c r="AO1554" s="2"/>
      <c r="AP1554" s="2">
        <v>11</v>
      </c>
      <c r="AQ1554" s="2" t="s">
        <v>82</v>
      </c>
      <c r="AR1554" s="2"/>
      <c r="AS1554" s="2"/>
      <c r="AT1554" s="2" t="s">
        <v>5684</v>
      </c>
      <c r="AU1554" s="2"/>
      <c r="AV1554" s="2"/>
      <c r="AW1554" s="2"/>
      <c r="AX1554" s="2"/>
      <c r="AY1554" s="2">
        <v>41</v>
      </c>
      <c r="AZ1554" s="2" t="s">
        <v>82</v>
      </c>
      <c r="BA1554" s="2">
        <v>41</v>
      </c>
      <c r="BB1554" s="2" t="s">
        <v>82</v>
      </c>
      <c r="BC1554" s="2">
        <v>41</v>
      </c>
      <c r="BD1554" s="2" t="s">
        <v>82</v>
      </c>
      <c r="BE1554" s="2">
        <v>41</v>
      </c>
      <c r="BF1554" s="2" t="s">
        <v>82</v>
      </c>
      <c r="BG1554" s="2"/>
      <c r="BH1554" s="2"/>
      <c r="BI1554" s="4">
        <v>0.37361111111111112</v>
      </c>
      <c r="BJ1554" s="2">
        <v>13</v>
      </c>
      <c r="BK1554" s="2" t="s">
        <v>91</v>
      </c>
      <c r="BL1554" s="2" t="s">
        <v>185</v>
      </c>
      <c r="BM1554" s="2">
        <v>241</v>
      </c>
      <c r="BN1554" s="2" t="s">
        <v>82</v>
      </c>
      <c r="BO1554" s="2"/>
      <c r="BP1554" s="2">
        <v>233</v>
      </c>
      <c r="BQ1554" s="2" t="s">
        <v>5685</v>
      </c>
      <c r="BR1554" s="2"/>
      <c r="BS1554" s="3">
        <v>40285</v>
      </c>
      <c r="BT1554" s="4">
        <v>0.4422106481481482</v>
      </c>
    </row>
    <row r="1555" spans="1:72" x14ac:dyDescent="0.25">
      <c r="A1555" s="2">
        <v>2290</v>
      </c>
      <c r="B1555" s="2">
        <v>2010</v>
      </c>
      <c r="C1555" s="2" t="s">
        <v>819</v>
      </c>
      <c r="D1555" s="2" t="s">
        <v>73</v>
      </c>
      <c r="E1555" s="2"/>
      <c r="F1555" s="2">
        <v>310</v>
      </c>
      <c r="G1555" s="2" t="s">
        <v>3186</v>
      </c>
      <c r="H1555" s="2">
        <v>3</v>
      </c>
      <c r="I1555" s="2" t="s">
        <v>315</v>
      </c>
      <c r="J1555" s="2">
        <v>371</v>
      </c>
      <c r="K1555" s="2" t="s">
        <v>1138</v>
      </c>
      <c r="L1555" s="2" t="s">
        <v>1139</v>
      </c>
      <c r="M1555" s="3">
        <v>40285</v>
      </c>
      <c r="N1555" s="2" t="s">
        <v>5686</v>
      </c>
      <c r="O1555" s="2"/>
      <c r="P1555" s="2"/>
      <c r="Q1555" s="2" t="str">
        <f>"049/10"</f>
        <v>049/10</v>
      </c>
      <c r="R1555" s="2"/>
      <c r="S1555" s="2" t="s">
        <v>2003</v>
      </c>
      <c r="T1555" s="2">
        <v>1</v>
      </c>
      <c r="U1555" s="2" t="s">
        <v>79</v>
      </c>
      <c r="V1555" s="2">
        <v>1</v>
      </c>
      <c r="W1555" s="2" t="s">
        <v>80</v>
      </c>
      <c r="X1555" s="2">
        <v>1</v>
      </c>
      <c r="Y1555" s="2" t="s">
        <v>81</v>
      </c>
      <c r="Z1555" s="2">
        <v>1</v>
      </c>
      <c r="AA1555" s="2" t="s">
        <v>82</v>
      </c>
      <c r="AB1555" s="2">
        <v>9</v>
      </c>
      <c r="AC1555" s="2" t="s">
        <v>124</v>
      </c>
      <c r="AD1555" s="3">
        <v>40285</v>
      </c>
      <c r="AE1555" s="4">
        <v>0.40625</v>
      </c>
      <c r="AF1555" s="2"/>
      <c r="AG1555" s="2"/>
      <c r="AH1555" s="2">
        <v>5</v>
      </c>
      <c r="AI1555" s="2" t="s">
        <v>274</v>
      </c>
      <c r="AJ1555" s="2">
        <v>38</v>
      </c>
      <c r="AK1555" s="2" t="s">
        <v>1120</v>
      </c>
      <c r="AL1555" s="2">
        <v>8</v>
      </c>
      <c r="AM1555" s="2" t="s">
        <v>179</v>
      </c>
      <c r="AN1555" s="2"/>
      <c r="AO1555" s="2"/>
      <c r="AP1555" s="2">
        <v>11</v>
      </c>
      <c r="AQ1555" s="2" t="s">
        <v>82</v>
      </c>
      <c r="AR1555" s="2"/>
      <c r="AS1555" s="2"/>
      <c r="AT1555" s="2" t="s">
        <v>5687</v>
      </c>
      <c r="AU1555" s="2"/>
      <c r="AV1555" s="2"/>
      <c r="AW1555" s="2"/>
      <c r="AX1555" s="2"/>
      <c r="AY1555" s="2">
        <v>41</v>
      </c>
      <c r="AZ1555" s="2" t="s">
        <v>82</v>
      </c>
      <c r="BA1555" s="2">
        <v>41</v>
      </c>
      <c r="BB1555" s="2" t="s">
        <v>82</v>
      </c>
      <c r="BC1555" s="2">
        <v>41</v>
      </c>
      <c r="BD1555" s="2" t="s">
        <v>82</v>
      </c>
      <c r="BE1555" s="2">
        <v>4</v>
      </c>
      <c r="BF1555" s="2" t="s">
        <v>90</v>
      </c>
      <c r="BG1555" s="2">
        <v>4021</v>
      </c>
      <c r="BH1555" s="4">
        <v>0.40972222222222227</v>
      </c>
      <c r="BI1555" s="4">
        <v>0.4375</v>
      </c>
      <c r="BJ1555" s="2">
        <v>13</v>
      </c>
      <c r="BK1555" s="2" t="s">
        <v>91</v>
      </c>
      <c r="BL1555" s="2" t="s">
        <v>5688</v>
      </c>
      <c r="BM1555" s="2">
        <v>241</v>
      </c>
      <c r="BN1555" s="2" t="s">
        <v>82</v>
      </c>
      <c r="BO1555" s="2"/>
      <c r="BP1555" s="2">
        <v>13</v>
      </c>
      <c r="BQ1555" s="2" t="s">
        <v>91</v>
      </c>
      <c r="BR1555" s="2" t="s">
        <v>185</v>
      </c>
      <c r="BS1555" s="3">
        <v>40285</v>
      </c>
      <c r="BT1555" s="4">
        <v>0.49114583333333334</v>
      </c>
    </row>
    <row r="1556" spans="1:72" x14ac:dyDescent="0.25">
      <c r="A1556" s="2">
        <v>2292</v>
      </c>
      <c r="B1556" s="2">
        <v>2010</v>
      </c>
      <c r="C1556" s="2" t="s">
        <v>93</v>
      </c>
      <c r="D1556" s="2" t="s">
        <v>122</v>
      </c>
      <c r="E1556" s="2" t="s">
        <v>5689</v>
      </c>
      <c r="F1556" s="2">
        <v>396</v>
      </c>
      <c r="G1556" s="2" t="s">
        <v>2159</v>
      </c>
      <c r="H1556" s="2">
        <v>9</v>
      </c>
      <c r="I1556" s="2" t="s">
        <v>794</v>
      </c>
      <c r="J1556" s="2">
        <v>243</v>
      </c>
      <c r="K1556" s="2" t="s">
        <v>2160</v>
      </c>
      <c r="L1556" s="2" t="s">
        <v>2145</v>
      </c>
      <c r="M1556" s="3">
        <v>40285</v>
      </c>
      <c r="N1556" s="2" t="s">
        <v>2161</v>
      </c>
      <c r="O1556" s="2" t="s">
        <v>5680</v>
      </c>
      <c r="P1556" s="2">
        <v>11391</v>
      </c>
      <c r="Q1556" s="2" t="str">
        <f>"004/10"</f>
        <v>004/10</v>
      </c>
      <c r="R1556" s="2" t="s">
        <v>5681</v>
      </c>
      <c r="S1556" s="2" t="s">
        <v>82</v>
      </c>
      <c r="T1556" s="2">
        <v>1</v>
      </c>
      <c r="U1556" s="2" t="s">
        <v>79</v>
      </c>
      <c r="V1556" s="2">
        <v>1</v>
      </c>
      <c r="W1556" s="2" t="s">
        <v>80</v>
      </c>
      <c r="X1556" s="2">
        <v>1</v>
      </c>
      <c r="Y1556" s="2" t="s">
        <v>81</v>
      </c>
      <c r="Z1556" s="2">
        <v>1</v>
      </c>
      <c r="AA1556" s="2" t="s">
        <v>82</v>
      </c>
      <c r="AB1556" s="2">
        <v>2</v>
      </c>
      <c r="AC1556" s="2" t="s">
        <v>102</v>
      </c>
      <c r="AD1556" s="3">
        <v>40285</v>
      </c>
      <c r="AE1556" s="4">
        <v>0.28125</v>
      </c>
      <c r="AF1556" s="3">
        <v>39730</v>
      </c>
      <c r="AG1556" s="4">
        <v>0.4236111111111111</v>
      </c>
      <c r="AH1556" s="2">
        <v>5</v>
      </c>
      <c r="AI1556" s="2" t="s">
        <v>274</v>
      </c>
      <c r="AJ1556" s="2">
        <v>45</v>
      </c>
      <c r="AK1556" s="2" t="s">
        <v>834</v>
      </c>
      <c r="AL1556" s="2">
        <v>11</v>
      </c>
      <c r="AM1556" s="2" t="s">
        <v>137</v>
      </c>
      <c r="AN1556" s="2" t="s">
        <v>5682</v>
      </c>
      <c r="AO1556" s="2" t="s">
        <v>2761</v>
      </c>
      <c r="AP1556" s="2">
        <v>11</v>
      </c>
      <c r="AQ1556" s="2" t="s">
        <v>82</v>
      </c>
      <c r="AR1556" s="2" t="s">
        <v>82</v>
      </c>
      <c r="AS1556" s="2" t="s">
        <v>82</v>
      </c>
      <c r="AT1556" s="2" t="s">
        <v>5690</v>
      </c>
      <c r="AU1556" s="2">
        <v>1</v>
      </c>
      <c r="AV1556" s="2"/>
      <c r="AW1556" s="2"/>
      <c r="AX1556" s="2"/>
      <c r="AY1556" s="2">
        <v>41</v>
      </c>
      <c r="AZ1556" s="2" t="s">
        <v>82</v>
      </c>
      <c r="BA1556" s="2">
        <v>41</v>
      </c>
      <c r="BB1556" s="2" t="s">
        <v>82</v>
      </c>
      <c r="BC1556" s="2">
        <v>41</v>
      </c>
      <c r="BD1556" s="2" t="s">
        <v>82</v>
      </c>
      <c r="BE1556" s="2">
        <v>13</v>
      </c>
      <c r="BF1556" s="2" t="s">
        <v>108</v>
      </c>
      <c r="BG1556" s="2">
        <v>1701</v>
      </c>
      <c r="BH1556" s="2"/>
      <c r="BI1556" s="4">
        <v>0.28125</v>
      </c>
      <c r="BJ1556" s="2">
        <v>13</v>
      </c>
      <c r="BK1556" s="2" t="s">
        <v>91</v>
      </c>
      <c r="BL1556" s="2" t="s">
        <v>1705</v>
      </c>
      <c r="BM1556" s="2">
        <v>241</v>
      </c>
      <c r="BN1556" s="2" t="s">
        <v>82</v>
      </c>
      <c r="BO1556" s="2" t="s">
        <v>82</v>
      </c>
      <c r="BP1556" s="2">
        <v>13</v>
      </c>
      <c r="BQ1556" s="2" t="s">
        <v>91</v>
      </c>
      <c r="BR1556" s="2" t="s">
        <v>170</v>
      </c>
      <c r="BS1556" s="3">
        <v>40285</v>
      </c>
      <c r="BT1556" s="4">
        <v>0.56577546296296299</v>
      </c>
    </row>
    <row r="1557" spans="1:72" x14ac:dyDescent="0.25">
      <c r="A1557" s="2">
        <v>2295</v>
      </c>
      <c r="B1557" s="2">
        <v>2010</v>
      </c>
      <c r="C1557" s="2" t="s">
        <v>128</v>
      </c>
      <c r="D1557" s="2" t="s">
        <v>122</v>
      </c>
      <c r="E1557" s="2" t="s">
        <v>5691</v>
      </c>
      <c r="F1557" s="2">
        <v>161</v>
      </c>
      <c r="G1557" s="2" t="s">
        <v>5671</v>
      </c>
      <c r="H1557" s="2">
        <v>94</v>
      </c>
      <c r="I1557" s="2" t="s">
        <v>5672</v>
      </c>
      <c r="J1557" s="2">
        <v>171</v>
      </c>
      <c r="K1557" s="2" t="s">
        <v>5673</v>
      </c>
      <c r="L1557" s="2" t="s">
        <v>5674</v>
      </c>
      <c r="M1557" s="3">
        <v>40285</v>
      </c>
      <c r="N1557" s="2" t="s">
        <v>5675</v>
      </c>
      <c r="O1557" s="2" t="s">
        <v>107</v>
      </c>
      <c r="P1557" s="2" t="s">
        <v>107</v>
      </c>
      <c r="Q1557" s="2" t="str">
        <f>"155-A/10"</f>
        <v>155-A/10</v>
      </c>
      <c r="R1557" s="2" t="s">
        <v>5676</v>
      </c>
      <c r="S1557" s="2" t="s">
        <v>107</v>
      </c>
      <c r="T1557" s="2">
        <v>1</v>
      </c>
      <c r="U1557" s="2" t="s">
        <v>79</v>
      </c>
      <c r="V1557" s="2">
        <v>1</v>
      </c>
      <c r="W1557" s="2" t="s">
        <v>80</v>
      </c>
      <c r="X1557" s="2">
        <v>5</v>
      </c>
      <c r="Y1557" s="2" t="s">
        <v>82</v>
      </c>
      <c r="Z1557" s="2">
        <v>1</v>
      </c>
      <c r="AA1557" s="2" t="s">
        <v>82</v>
      </c>
      <c r="AB1557" s="2">
        <v>9</v>
      </c>
      <c r="AC1557" s="2" t="s">
        <v>124</v>
      </c>
      <c r="AD1557" s="3">
        <v>40285</v>
      </c>
      <c r="AE1557" s="4">
        <v>0.59375</v>
      </c>
      <c r="AF1557" s="2"/>
      <c r="AG1557" s="2"/>
      <c r="AH1557" s="2">
        <v>2</v>
      </c>
      <c r="AI1557" s="2" t="s">
        <v>84</v>
      </c>
      <c r="AJ1557" s="2">
        <v>12</v>
      </c>
      <c r="AK1557" s="2" t="s">
        <v>85</v>
      </c>
      <c r="AL1557" s="2">
        <v>9</v>
      </c>
      <c r="AM1557" s="2" t="s">
        <v>259</v>
      </c>
      <c r="AN1557" s="2" t="s">
        <v>5677</v>
      </c>
      <c r="AO1557" s="2" t="s">
        <v>5678</v>
      </c>
      <c r="AP1557" s="2">
        <v>11</v>
      </c>
      <c r="AQ1557" s="2" t="s">
        <v>82</v>
      </c>
      <c r="AR1557" s="2"/>
      <c r="AS1557" s="2"/>
      <c r="AT1557" s="2" t="s">
        <v>5692</v>
      </c>
      <c r="AU1557" s="2">
        <v>1</v>
      </c>
      <c r="AV1557" s="2"/>
      <c r="AW1557" s="2"/>
      <c r="AX1557" s="2"/>
      <c r="AY1557" s="2">
        <v>41</v>
      </c>
      <c r="AZ1557" s="2" t="s">
        <v>82</v>
      </c>
      <c r="BA1557" s="2">
        <v>41</v>
      </c>
      <c r="BB1557" s="2" t="s">
        <v>82</v>
      </c>
      <c r="BC1557" s="2">
        <v>41</v>
      </c>
      <c r="BD1557" s="2" t="s">
        <v>82</v>
      </c>
      <c r="BE1557" s="2">
        <v>41</v>
      </c>
      <c r="BF1557" s="2" t="s">
        <v>82</v>
      </c>
      <c r="BG1557" s="2"/>
      <c r="BH1557" s="2"/>
      <c r="BI1557" s="2"/>
      <c r="BJ1557" s="2">
        <v>241</v>
      </c>
      <c r="BK1557" s="2" t="s">
        <v>82</v>
      </c>
      <c r="BL1557" s="2"/>
      <c r="BM1557" s="2">
        <v>241</v>
      </c>
      <c r="BN1557" s="2" t="s">
        <v>82</v>
      </c>
      <c r="BO1557" s="2"/>
      <c r="BP1557" s="2">
        <v>241</v>
      </c>
      <c r="BQ1557" s="2" t="s">
        <v>82</v>
      </c>
      <c r="BR1557" s="2"/>
      <c r="BS1557" s="3">
        <v>40285</v>
      </c>
      <c r="BT1557" s="4">
        <v>0.58685185185185185</v>
      </c>
    </row>
    <row r="1558" spans="1:72" x14ac:dyDescent="0.25">
      <c r="A1558" s="2">
        <v>2296</v>
      </c>
      <c r="B1558" s="2">
        <v>2010</v>
      </c>
      <c r="C1558" s="2" t="s">
        <v>4543</v>
      </c>
      <c r="D1558" s="2" t="s">
        <v>122</v>
      </c>
      <c r="E1558" s="2"/>
      <c r="F1558" s="2">
        <v>1</v>
      </c>
      <c r="G1558" s="2" t="s">
        <v>82</v>
      </c>
      <c r="H1558" s="2">
        <v>1</v>
      </c>
      <c r="I1558" s="2" t="s">
        <v>82</v>
      </c>
      <c r="J1558" s="2">
        <v>1</v>
      </c>
      <c r="K1558" s="2" t="s">
        <v>107</v>
      </c>
      <c r="L1558" s="2" t="s">
        <v>107</v>
      </c>
      <c r="M1558" s="3">
        <v>40285</v>
      </c>
      <c r="N1558" s="2" t="s">
        <v>82</v>
      </c>
      <c r="O1558" s="2" t="s">
        <v>82</v>
      </c>
      <c r="P1558" s="2" t="s">
        <v>82</v>
      </c>
      <c r="Q1558" s="2" t="str">
        <f>"N/C"</f>
        <v>N/C</v>
      </c>
      <c r="R1558" s="2" t="s">
        <v>82</v>
      </c>
      <c r="S1558" s="2" t="s">
        <v>82</v>
      </c>
      <c r="T1558" s="2">
        <v>2</v>
      </c>
      <c r="U1558" s="2" t="s">
        <v>123</v>
      </c>
      <c r="V1558" s="2">
        <v>1</v>
      </c>
      <c r="W1558" s="2" t="s">
        <v>80</v>
      </c>
      <c r="X1558" s="2">
        <v>1</v>
      </c>
      <c r="Y1558" s="2" t="s">
        <v>81</v>
      </c>
      <c r="Z1558" s="2">
        <v>10</v>
      </c>
      <c r="AA1558" s="2" t="s">
        <v>236</v>
      </c>
      <c r="AB1558" s="2">
        <v>9</v>
      </c>
      <c r="AC1558" s="2" t="s">
        <v>124</v>
      </c>
      <c r="AD1558" s="3">
        <v>40284</v>
      </c>
      <c r="AE1558" s="4">
        <v>0.66666666666666663</v>
      </c>
      <c r="AF1558" s="2"/>
      <c r="AG1558" s="2"/>
      <c r="AH1558" s="2">
        <v>3</v>
      </c>
      <c r="AI1558" s="2" t="s">
        <v>214</v>
      </c>
      <c r="AJ1558" s="2">
        <v>17</v>
      </c>
      <c r="AK1558" s="2" t="s">
        <v>309</v>
      </c>
      <c r="AL1558" s="2">
        <v>20</v>
      </c>
      <c r="AM1558" s="2" t="s">
        <v>992</v>
      </c>
      <c r="AN1558" s="2" t="s">
        <v>992</v>
      </c>
      <c r="AO1558" s="2" t="s">
        <v>5693</v>
      </c>
      <c r="AP1558" s="2">
        <v>11</v>
      </c>
      <c r="AQ1558" s="2" t="s">
        <v>82</v>
      </c>
      <c r="AR1558" s="2" t="s">
        <v>82</v>
      </c>
      <c r="AS1558" s="2" t="s">
        <v>82</v>
      </c>
      <c r="AT1558" s="2" t="s">
        <v>5694</v>
      </c>
      <c r="AU1558" s="2"/>
      <c r="AV1558" s="2"/>
      <c r="AW1558" s="2"/>
      <c r="AX1558" s="2"/>
      <c r="AY1558" s="2">
        <v>41</v>
      </c>
      <c r="AZ1558" s="2" t="s">
        <v>82</v>
      </c>
      <c r="BA1558" s="2">
        <v>41</v>
      </c>
      <c r="BB1558" s="2" t="s">
        <v>82</v>
      </c>
      <c r="BC1558" s="2">
        <v>70</v>
      </c>
      <c r="BD1558" s="2" t="s">
        <v>236</v>
      </c>
      <c r="BE1558" s="2">
        <v>1</v>
      </c>
      <c r="BF1558" s="2" t="s">
        <v>107</v>
      </c>
      <c r="BG1558" s="2" t="s">
        <v>5695</v>
      </c>
      <c r="BH1558" s="4">
        <v>0.44791666666666669</v>
      </c>
      <c r="BI1558" s="4">
        <v>0.67013888888888884</v>
      </c>
      <c r="BJ1558" s="2">
        <v>13</v>
      </c>
      <c r="BK1558" s="2" t="s">
        <v>91</v>
      </c>
      <c r="BL1558" s="2" t="s">
        <v>5696</v>
      </c>
      <c r="BM1558" s="2">
        <v>13</v>
      </c>
      <c r="BN1558" s="2" t="s">
        <v>91</v>
      </c>
      <c r="BO1558" s="2" t="s">
        <v>445</v>
      </c>
      <c r="BP1558" s="2">
        <v>75</v>
      </c>
      <c r="BQ1558" s="2" t="s">
        <v>1264</v>
      </c>
      <c r="BR1558" s="2" t="s">
        <v>5697</v>
      </c>
      <c r="BS1558" s="3">
        <v>40285</v>
      </c>
      <c r="BT1558" s="4">
        <v>0.69508101851851845</v>
      </c>
    </row>
    <row r="1559" spans="1:72" x14ac:dyDescent="0.25">
      <c r="A1559" s="2">
        <v>2297</v>
      </c>
      <c r="B1559" s="2">
        <v>2010</v>
      </c>
      <c r="C1559" s="2" t="s">
        <v>418</v>
      </c>
      <c r="D1559" s="2" t="s">
        <v>122</v>
      </c>
      <c r="E1559" s="2"/>
      <c r="F1559" s="2">
        <v>1</v>
      </c>
      <c r="G1559" s="2" t="s">
        <v>82</v>
      </c>
      <c r="H1559" s="2">
        <v>1</v>
      </c>
      <c r="I1559" s="2" t="s">
        <v>82</v>
      </c>
      <c r="J1559" s="2">
        <v>1</v>
      </c>
      <c r="K1559" s="2" t="s">
        <v>107</v>
      </c>
      <c r="L1559" s="2" t="s">
        <v>107</v>
      </c>
      <c r="M1559" s="3">
        <v>40285</v>
      </c>
      <c r="N1559" s="2"/>
      <c r="O1559" s="2"/>
      <c r="P1559" s="2"/>
      <c r="Q1559" s="2" t="str">
        <f>""</f>
        <v/>
      </c>
      <c r="R1559" s="2"/>
      <c r="S1559" s="2"/>
      <c r="T1559" s="2">
        <v>2</v>
      </c>
      <c r="U1559" s="2" t="s">
        <v>123</v>
      </c>
      <c r="V1559" s="2">
        <v>1</v>
      </c>
      <c r="W1559" s="2" t="s">
        <v>80</v>
      </c>
      <c r="X1559" s="2">
        <v>5</v>
      </c>
      <c r="Y1559" s="2" t="s">
        <v>82</v>
      </c>
      <c r="Z1559" s="2">
        <v>10</v>
      </c>
      <c r="AA1559" s="2" t="s">
        <v>236</v>
      </c>
      <c r="AB1559" s="2">
        <v>9</v>
      </c>
      <c r="AC1559" s="2" t="s">
        <v>124</v>
      </c>
      <c r="AD1559" s="3">
        <v>40285</v>
      </c>
      <c r="AE1559" s="4">
        <v>0.8125</v>
      </c>
      <c r="AF1559" s="2"/>
      <c r="AG1559" s="2"/>
      <c r="AH1559" s="2">
        <v>3</v>
      </c>
      <c r="AI1559" s="2" t="s">
        <v>214</v>
      </c>
      <c r="AJ1559" s="2">
        <v>17</v>
      </c>
      <c r="AK1559" s="2" t="s">
        <v>309</v>
      </c>
      <c r="AL1559" s="2">
        <v>18</v>
      </c>
      <c r="AM1559" s="2" t="s">
        <v>82</v>
      </c>
      <c r="AN1559" s="2"/>
      <c r="AO1559" s="2" t="s">
        <v>5698</v>
      </c>
      <c r="AP1559" s="2">
        <v>11</v>
      </c>
      <c r="AQ1559" s="2" t="s">
        <v>82</v>
      </c>
      <c r="AR1559" s="2"/>
      <c r="AS1559" s="2"/>
      <c r="AT1559" s="2" t="s">
        <v>5699</v>
      </c>
      <c r="AU1559" s="2"/>
      <c r="AV1559" s="2"/>
      <c r="AW1559" s="2"/>
      <c r="AX1559" s="2"/>
      <c r="AY1559" s="2">
        <v>41</v>
      </c>
      <c r="AZ1559" s="2" t="s">
        <v>82</v>
      </c>
      <c r="BA1559" s="2">
        <v>41</v>
      </c>
      <c r="BB1559" s="2" t="s">
        <v>82</v>
      </c>
      <c r="BC1559" s="2">
        <v>41</v>
      </c>
      <c r="BD1559" s="2" t="s">
        <v>82</v>
      </c>
      <c r="BE1559" s="2">
        <v>41</v>
      </c>
      <c r="BF1559" s="2" t="s">
        <v>82</v>
      </c>
      <c r="BG1559" s="2"/>
      <c r="BH1559" s="2"/>
      <c r="BI1559" s="2"/>
      <c r="BJ1559" s="2">
        <v>241</v>
      </c>
      <c r="BK1559" s="2" t="s">
        <v>82</v>
      </c>
      <c r="BL1559" s="2"/>
      <c r="BM1559" s="2">
        <v>241</v>
      </c>
      <c r="BN1559" s="2" t="s">
        <v>82</v>
      </c>
      <c r="BO1559" s="2"/>
      <c r="BP1559" s="2">
        <v>241</v>
      </c>
      <c r="BQ1559" s="2" t="s">
        <v>82</v>
      </c>
      <c r="BR1559" s="2"/>
      <c r="BS1559" s="3">
        <v>40285</v>
      </c>
      <c r="BT1559" s="4">
        <v>0.91864583333333327</v>
      </c>
    </row>
    <row r="1560" spans="1:72" x14ac:dyDescent="0.25">
      <c r="A1560" s="2">
        <v>2298</v>
      </c>
      <c r="B1560" s="2">
        <v>2010</v>
      </c>
      <c r="C1560" s="2" t="s">
        <v>255</v>
      </c>
      <c r="D1560" s="2" t="s">
        <v>122</v>
      </c>
      <c r="E1560" s="2"/>
      <c r="F1560" s="2">
        <v>45</v>
      </c>
      <c r="G1560" s="2" t="s">
        <v>1408</v>
      </c>
      <c r="H1560" s="2">
        <v>47</v>
      </c>
      <c r="I1560" s="2" t="s">
        <v>1409</v>
      </c>
      <c r="J1560" s="2">
        <v>77</v>
      </c>
      <c r="K1560" s="2" t="s">
        <v>2517</v>
      </c>
      <c r="L1560" s="2" t="s">
        <v>2518</v>
      </c>
      <c r="M1560" s="3">
        <v>40285</v>
      </c>
      <c r="N1560" s="2" t="s">
        <v>5700</v>
      </c>
      <c r="O1560" s="2"/>
      <c r="P1560" s="2"/>
      <c r="Q1560" s="2" t="str">
        <f>"0013 / 2010"</f>
        <v>0013 / 2010</v>
      </c>
      <c r="R1560" s="2"/>
      <c r="S1560" s="2" t="s">
        <v>5701</v>
      </c>
      <c r="T1560" s="2">
        <v>1</v>
      </c>
      <c r="U1560" s="2" t="s">
        <v>79</v>
      </c>
      <c r="V1560" s="2">
        <v>1</v>
      </c>
      <c r="W1560" s="2" t="s">
        <v>80</v>
      </c>
      <c r="X1560" s="2">
        <v>1</v>
      </c>
      <c r="Y1560" s="2" t="s">
        <v>81</v>
      </c>
      <c r="Z1560" s="2">
        <v>3</v>
      </c>
      <c r="AA1560" s="2" t="s">
        <v>257</v>
      </c>
      <c r="AB1560" s="2">
        <v>9</v>
      </c>
      <c r="AC1560" s="2" t="s">
        <v>124</v>
      </c>
      <c r="AD1560" s="3">
        <v>40285</v>
      </c>
      <c r="AE1560" s="2"/>
      <c r="AF1560" s="3">
        <v>40285</v>
      </c>
      <c r="AG1560" s="4">
        <v>0.83333333333333337</v>
      </c>
      <c r="AH1560" s="2">
        <v>4</v>
      </c>
      <c r="AI1560" s="2" t="s">
        <v>125</v>
      </c>
      <c r="AJ1560" s="2">
        <v>31</v>
      </c>
      <c r="AK1560" s="2" t="s">
        <v>1413</v>
      </c>
      <c r="AL1560" s="2">
        <v>10</v>
      </c>
      <c r="AM1560" s="2" t="s">
        <v>200</v>
      </c>
      <c r="AN1560" s="2" t="s">
        <v>5702</v>
      </c>
      <c r="AO1560" s="2"/>
      <c r="AP1560" s="2">
        <v>11</v>
      </c>
      <c r="AQ1560" s="2" t="s">
        <v>82</v>
      </c>
      <c r="AR1560" s="2"/>
      <c r="AS1560" s="2"/>
      <c r="AT1560" s="2" t="s">
        <v>5703</v>
      </c>
      <c r="AU1560" s="2"/>
      <c r="AV1560" s="2"/>
      <c r="AW1560" s="2"/>
      <c r="AX1560" s="2"/>
      <c r="AY1560" s="2">
        <v>44</v>
      </c>
      <c r="AZ1560" s="2" t="s">
        <v>262</v>
      </c>
      <c r="BA1560" s="2">
        <v>44</v>
      </c>
      <c r="BB1560" s="2" t="s">
        <v>262</v>
      </c>
      <c r="BC1560" s="2">
        <v>44</v>
      </c>
      <c r="BD1560" s="2" t="s">
        <v>262</v>
      </c>
      <c r="BE1560" s="2">
        <v>41</v>
      </c>
      <c r="BF1560" s="2" t="s">
        <v>82</v>
      </c>
      <c r="BG1560" s="2"/>
      <c r="BH1560" s="2"/>
      <c r="BI1560" s="2"/>
      <c r="BJ1560" s="2">
        <v>241</v>
      </c>
      <c r="BK1560" s="2" t="s">
        <v>82</v>
      </c>
      <c r="BL1560" s="2"/>
      <c r="BM1560" s="2">
        <v>241</v>
      </c>
      <c r="BN1560" s="2" t="s">
        <v>82</v>
      </c>
      <c r="BO1560" s="2"/>
      <c r="BP1560" s="2">
        <v>241</v>
      </c>
      <c r="BQ1560" s="2" t="s">
        <v>82</v>
      </c>
      <c r="BR1560" s="2"/>
      <c r="BS1560" s="3">
        <v>40285</v>
      </c>
      <c r="BT1560" s="4">
        <v>0.93638888888888883</v>
      </c>
    </row>
    <row r="1561" spans="1:72" x14ac:dyDescent="0.25">
      <c r="A1561" s="2">
        <v>2299</v>
      </c>
      <c r="B1561" s="2">
        <v>2010</v>
      </c>
      <c r="C1561" s="2" t="s">
        <v>72</v>
      </c>
      <c r="D1561" s="2" t="s">
        <v>73</v>
      </c>
      <c r="E1561" s="2"/>
      <c r="F1561" s="2">
        <v>2</v>
      </c>
      <c r="G1561" s="2" t="s">
        <v>113</v>
      </c>
      <c r="H1561" s="2">
        <v>1</v>
      </c>
      <c r="I1561" s="2" t="s">
        <v>82</v>
      </c>
      <c r="J1561" s="2">
        <v>300</v>
      </c>
      <c r="K1561" s="2" t="s">
        <v>114</v>
      </c>
      <c r="L1561" s="2" t="s">
        <v>115</v>
      </c>
      <c r="M1561" s="3">
        <v>40285</v>
      </c>
      <c r="N1561" s="2"/>
      <c r="O1561" s="2"/>
      <c r="P1561" s="2"/>
      <c r="Q1561" s="2" t="str">
        <f>"208-E/10"</f>
        <v>208-E/10</v>
      </c>
      <c r="R1561" s="2" t="s">
        <v>116</v>
      </c>
      <c r="S1561" s="2" t="s">
        <v>116</v>
      </c>
      <c r="T1561" s="2">
        <v>1</v>
      </c>
      <c r="U1561" s="2" t="s">
        <v>79</v>
      </c>
      <c r="V1561" s="2">
        <v>1</v>
      </c>
      <c r="W1561" s="2" t="s">
        <v>80</v>
      </c>
      <c r="X1561" s="2">
        <v>1</v>
      </c>
      <c r="Y1561" s="2" t="s">
        <v>81</v>
      </c>
      <c r="Z1561" s="2">
        <v>1</v>
      </c>
      <c r="AA1561" s="2" t="s">
        <v>82</v>
      </c>
      <c r="AB1561" s="2">
        <v>6</v>
      </c>
      <c r="AC1561" s="2" t="s">
        <v>83</v>
      </c>
      <c r="AD1561" s="3">
        <v>40285</v>
      </c>
      <c r="AE1561" s="4">
        <v>0.45833333333333331</v>
      </c>
      <c r="AF1561" s="3">
        <v>40285</v>
      </c>
      <c r="AG1561" s="4">
        <v>0.46180555555555558</v>
      </c>
      <c r="AH1561" s="2">
        <v>2</v>
      </c>
      <c r="AI1561" s="2" t="s">
        <v>84</v>
      </c>
      <c r="AJ1561" s="2">
        <v>9</v>
      </c>
      <c r="AK1561" s="2" t="s">
        <v>103</v>
      </c>
      <c r="AL1561" s="2">
        <v>24</v>
      </c>
      <c r="AM1561" s="2" t="s">
        <v>1540</v>
      </c>
      <c r="AN1561" s="2" t="s">
        <v>5704</v>
      </c>
      <c r="AO1561" s="2" t="s">
        <v>5705</v>
      </c>
      <c r="AP1561" s="2">
        <v>11</v>
      </c>
      <c r="AQ1561" s="2" t="s">
        <v>82</v>
      </c>
      <c r="AR1561" s="2"/>
      <c r="AS1561" s="2"/>
      <c r="AT1561" s="2" t="s">
        <v>5706</v>
      </c>
      <c r="AU1561" s="2">
        <v>3</v>
      </c>
      <c r="AV1561" s="2"/>
      <c r="AW1561" s="2"/>
      <c r="AX1561" s="2"/>
      <c r="AY1561" s="2">
        <v>41</v>
      </c>
      <c r="AZ1561" s="2" t="s">
        <v>82</v>
      </c>
      <c r="BA1561" s="2">
        <v>70</v>
      </c>
      <c r="BB1561" s="2" t="s">
        <v>236</v>
      </c>
      <c r="BC1561" s="2">
        <v>41</v>
      </c>
      <c r="BD1561" s="2" t="s">
        <v>82</v>
      </c>
      <c r="BE1561" s="2">
        <v>41</v>
      </c>
      <c r="BF1561" s="2" t="s">
        <v>82</v>
      </c>
      <c r="BG1561" s="2"/>
      <c r="BH1561" s="2"/>
      <c r="BI1561" s="2"/>
      <c r="BJ1561" s="2">
        <v>241</v>
      </c>
      <c r="BK1561" s="2" t="s">
        <v>82</v>
      </c>
      <c r="BL1561" s="2"/>
      <c r="BM1561" s="2">
        <v>241</v>
      </c>
      <c r="BN1561" s="2" t="s">
        <v>82</v>
      </c>
      <c r="BO1561" s="2"/>
      <c r="BP1561" s="2">
        <v>241</v>
      </c>
      <c r="BQ1561" s="2" t="s">
        <v>82</v>
      </c>
      <c r="BR1561" s="2"/>
      <c r="BS1561" s="3">
        <v>40285</v>
      </c>
      <c r="BT1561" s="4">
        <v>0.96697916666666661</v>
      </c>
    </row>
    <row r="1562" spans="1:72" x14ac:dyDescent="0.25">
      <c r="A1562" s="2">
        <v>2300</v>
      </c>
      <c r="B1562" s="2">
        <v>2010</v>
      </c>
      <c r="C1562" s="2" t="s">
        <v>4543</v>
      </c>
      <c r="D1562" s="2" t="s">
        <v>122</v>
      </c>
      <c r="E1562" s="2"/>
      <c r="F1562" s="2">
        <v>1</v>
      </c>
      <c r="G1562" s="2" t="s">
        <v>82</v>
      </c>
      <c r="H1562" s="2">
        <v>1</v>
      </c>
      <c r="I1562" s="2" t="s">
        <v>82</v>
      </c>
      <c r="J1562" s="2">
        <v>1</v>
      </c>
      <c r="K1562" s="2" t="s">
        <v>107</v>
      </c>
      <c r="L1562" s="2" t="s">
        <v>107</v>
      </c>
      <c r="M1562" s="3">
        <v>40286</v>
      </c>
      <c r="N1562" s="2"/>
      <c r="O1562" s="2"/>
      <c r="P1562" s="2"/>
      <c r="Q1562" s="2" t="str">
        <f>""</f>
        <v/>
      </c>
      <c r="R1562" s="2"/>
      <c r="S1562" s="2"/>
      <c r="T1562" s="2">
        <v>2</v>
      </c>
      <c r="U1562" s="2" t="s">
        <v>123</v>
      </c>
      <c r="V1562" s="2">
        <v>1</v>
      </c>
      <c r="W1562" s="2" t="s">
        <v>80</v>
      </c>
      <c r="X1562" s="2">
        <v>5</v>
      </c>
      <c r="Y1562" s="2" t="s">
        <v>82</v>
      </c>
      <c r="Z1562" s="2">
        <v>1</v>
      </c>
      <c r="AA1562" s="2" t="s">
        <v>82</v>
      </c>
      <c r="AB1562" s="2">
        <v>9</v>
      </c>
      <c r="AC1562" s="2" t="s">
        <v>124</v>
      </c>
      <c r="AD1562" s="3">
        <v>40286</v>
      </c>
      <c r="AE1562" s="4">
        <v>1.3888888888888888E-2</v>
      </c>
      <c r="AF1562" s="2"/>
      <c r="AG1562" s="2"/>
      <c r="AH1562" s="2">
        <v>3</v>
      </c>
      <c r="AI1562" s="2" t="s">
        <v>214</v>
      </c>
      <c r="AJ1562" s="2">
        <v>23</v>
      </c>
      <c r="AK1562" s="2" t="s">
        <v>851</v>
      </c>
      <c r="AL1562" s="2">
        <v>18</v>
      </c>
      <c r="AM1562" s="2" t="s">
        <v>82</v>
      </c>
      <c r="AN1562" s="2"/>
      <c r="AO1562" s="2" t="s">
        <v>3006</v>
      </c>
      <c r="AP1562" s="2">
        <v>11</v>
      </c>
      <c r="AQ1562" s="2" t="s">
        <v>82</v>
      </c>
      <c r="AR1562" s="2"/>
      <c r="AS1562" s="2"/>
      <c r="AT1562" s="2" t="s">
        <v>5707</v>
      </c>
      <c r="AU1562" s="2"/>
      <c r="AV1562" s="2"/>
      <c r="AW1562" s="2"/>
      <c r="AX1562" s="2"/>
      <c r="AY1562" s="2">
        <v>41</v>
      </c>
      <c r="AZ1562" s="2" t="s">
        <v>82</v>
      </c>
      <c r="BA1562" s="2">
        <v>41</v>
      </c>
      <c r="BB1562" s="2" t="s">
        <v>82</v>
      </c>
      <c r="BC1562" s="2">
        <v>41</v>
      </c>
      <c r="BD1562" s="2" t="s">
        <v>82</v>
      </c>
      <c r="BE1562" s="2">
        <v>41</v>
      </c>
      <c r="BF1562" s="2" t="s">
        <v>82</v>
      </c>
      <c r="BG1562" s="2"/>
      <c r="BH1562" s="2"/>
      <c r="BI1562" s="2"/>
      <c r="BJ1562" s="2">
        <v>241</v>
      </c>
      <c r="BK1562" s="2" t="s">
        <v>82</v>
      </c>
      <c r="BL1562" s="2"/>
      <c r="BM1562" s="2">
        <v>241</v>
      </c>
      <c r="BN1562" s="2" t="s">
        <v>82</v>
      </c>
      <c r="BO1562" s="2"/>
      <c r="BP1562" s="2">
        <v>241</v>
      </c>
      <c r="BQ1562" s="2" t="s">
        <v>82</v>
      </c>
      <c r="BR1562" s="2"/>
      <c r="BS1562" s="3">
        <v>40286</v>
      </c>
      <c r="BT1562" s="4">
        <v>8.1249999999999985E-3</v>
      </c>
    </row>
    <row r="1563" spans="1:72" x14ac:dyDescent="0.25">
      <c r="A1563" s="2">
        <v>2301</v>
      </c>
      <c r="B1563" s="2">
        <v>2010</v>
      </c>
      <c r="C1563" s="2" t="s">
        <v>4543</v>
      </c>
      <c r="D1563" s="2" t="s">
        <v>122</v>
      </c>
      <c r="E1563" s="2"/>
      <c r="F1563" s="2">
        <v>1</v>
      </c>
      <c r="G1563" s="2" t="s">
        <v>82</v>
      </c>
      <c r="H1563" s="2">
        <v>1</v>
      </c>
      <c r="I1563" s="2" t="s">
        <v>82</v>
      </c>
      <c r="J1563" s="2">
        <v>1</v>
      </c>
      <c r="K1563" s="2" t="s">
        <v>107</v>
      </c>
      <c r="L1563" s="2" t="s">
        <v>107</v>
      </c>
      <c r="M1563" s="3">
        <v>40286</v>
      </c>
      <c r="N1563" s="2"/>
      <c r="O1563" s="2" t="s">
        <v>107</v>
      </c>
      <c r="P1563" s="2" t="s">
        <v>107</v>
      </c>
      <c r="Q1563" s="2" t="str">
        <f>""</f>
        <v/>
      </c>
      <c r="R1563" s="2"/>
      <c r="S1563" s="2"/>
      <c r="T1563" s="2">
        <v>2</v>
      </c>
      <c r="U1563" s="2" t="s">
        <v>123</v>
      </c>
      <c r="V1563" s="2">
        <v>1</v>
      </c>
      <c r="W1563" s="2" t="s">
        <v>80</v>
      </c>
      <c r="X1563" s="2">
        <v>5</v>
      </c>
      <c r="Y1563" s="2" t="s">
        <v>82</v>
      </c>
      <c r="Z1563" s="2">
        <v>1</v>
      </c>
      <c r="AA1563" s="2" t="s">
        <v>82</v>
      </c>
      <c r="AB1563" s="2">
        <v>9</v>
      </c>
      <c r="AC1563" s="2" t="s">
        <v>124</v>
      </c>
      <c r="AD1563" s="3">
        <v>40285</v>
      </c>
      <c r="AE1563" s="4">
        <v>0.97916666666666663</v>
      </c>
      <c r="AF1563" s="2"/>
      <c r="AG1563" s="2"/>
      <c r="AH1563" s="2">
        <v>3</v>
      </c>
      <c r="AI1563" s="2" t="s">
        <v>214</v>
      </c>
      <c r="AJ1563" s="2">
        <v>17</v>
      </c>
      <c r="AK1563" s="2" t="s">
        <v>309</v>
      </c>
      <c r="AL1563" s="2">
        <v>18</v>
      </c>
      <c r="AM1563" s="2" t="s">
        <v>82</v>
      </c>
      <c r="AN1563" s="2"/>
      <c r="AO1563" s="2"/>
      <c r="AP1563" s="2">
        <v>11</v>
      </c>
      <c r="AQ1563" s="2" t="s">
        <v>82</v>
      </c>
      <c r="AR1563" s="2"/>
      <c r="AS1563" s="2"/>
      <c r="AT1563" s="2" t="s">
        <v>5708</v>
      </c>
      <c r="AU1563" s="2"/>
      <c r="AV1563" s="2"/>
      <c r="AW1563" s="2"/>
      <c r="AX1563" s="2"/>
      <c r="AY1563" s="2">
        <v>41</v>
      </c>
      <c r="AZ1563" s="2" t="s">
        <v>82</v>
      </c>
      <c r="BA1563" s="2">
        <v>41</v>
      </c>
      <c r="BB1563" s="2" t="s">
        <v>82</v>
      </c>
      <c r="BC1563" s="2">
        <v>41</v>
      </c>
      <c r="BD1563" s="2" t="s">
        <v>82</v>
      </c>
      <c r="BE1563" s="2">
        <v>41</v>
      </c>
      <c r="BF1563" s="2" t="s">
        <v>82</v>
      </c>
      <c r="BG1563" s="2"/>
      <c r="BH1563" s="2"/>
      <c r="BI1563" s="2"/>
      <c r="BJ1563" s="2">
        <v>241</v>
      </c>
      <c r="BK1563" s="2" t="s">
        <v>82</v>
      </c>
      <c r="BL1563" s="2"/>
      <c r="BM1563" s="2">
        <v>241</v>
      </c>
      <c r="BN1563" s="2" t="s">
        <v>82</v>
      </c>
      <c r="BO1563" s="2"/>
      <c r="BP1563" s="2">
        <v>241</v>
      </c>
      <c r="BQ1563" s="2" t="s">
        <v>82</v>
      </c>
      <c r="BR1563" s="2"/>
      <c r="BS1563" s="3">
        <v>40286</v>
      </c>
      <c r="BT1563" s="4">
        <v>1.7731481481481483E-2</v>
      </c>
    </row>
    <row r="1564" spans="1:72" x14ac:dyDescent="0.25">
      <c r="A1564" s="2">
        <v>2302</v>
      </c>
      <c r="B1564" s="2">
        <v>2010</v>
      </c>
      <c r="C1564" s="2" t="s">
        <v>171</v>
      </c>
      <c r="D1564" s="2" t="s">
        <v>73</v>
      </c>
      <c r="E1564" s="2"/>
      <c r="F1564" s="2">
        <v>393</v>
      </c>
      <c r="G1564" s="2" t="s">
        <v>3660</v>
      </c>
      <c r="H1564" s="2">
        <v>2</v>
      </c>
      <c r="I1564" s="2" t="s">
        <v>267</v>
      </c>
      <c r="J1564" s="2">
        <v>2</v>
      </c>
      <c r="K1564" s="2" t="s">
        <v>3661</v>
      </c>
      <c r="L1564" s="2" t="s">
        <v>3662</v>
      </c>
      <c r="M1564" s="3">
        <v>40286</v>
      </c>
      <c r="N1564" s="2" t="s">
        <v>5709</v>
      </c>
      <c r="O1564" s="2"/>
      <c r="P1564" s="2"/>
      <c r="Q1564" s="2" t="str">
        <f>"209-E/10"</f>
        <v>209-E/10</v>
      </c>
      <c r="R1564" s="2"/>
      <c r="S1564" s="2" t="s">
        <v>5710</v>
      </c>
      <c r="T1564" s="2">
        <v>1</v>
      </c>
      <c r="U1564" s="2" t="s">
        <v>79</v>
      </c>
      <c r="V1564" s="2">
        <v>1</v>
      </c>
      <c r="W1564" s="2" t="s">
        <v>80</v>
      </c>
      <c r="X1564" s="2">
        <v>1</v>
      </c>
      <c r="Y1564" s="2" t="s">
        <v>81</v>
      </c>
      <c r="Z1564" s="2">
        <v>1</v>
      </c>
      <c r="AA1564" s="2" t="s">
        <v>82</v>
      </c>
      <c r="AB1564" s="2">
        <v>1</v>
      </c>
      <c r="AC1564" s="2" t="s">
        <v>178</v>
      </c>
      <c r="AD1564" s="3">
        <v>40285</v>
      </c>
      <c r="AE1564" s="4">
        <v>0.80208333333333337</v>
      </c>
      <c r="AF1564" s="2"/>
      <c r="AG1564" s="2"/>
      <c r="AH1564" s="2">
        <v>2</v>
      </c>
      <c r="AI1564" s="2" t="s">
        <v>84</v>
      </c>
      <c r="AJ1564" s="2">
        <v>9</v>
      </c>
      <c r="AK1564" s="2" t="s">
        <v>103</v>
      </c>
      <c r="AL1564" s="2">
        <v>15</v>
      </c>
      <c r="AM1564" s="2" t="s">
        <v>104</v>
      </c>
      <c r="AN1564" s="2" t="s">
        <v>5711</v>
      </c>
      <c r="AO1564" s="2"/>
      <c r="AP1564" s="2">
        <v>11</v>
      </c>
      <c r="AQ1564" s="2" t="s">
        <v>82</v>
      </c>
      <c r="AR1564" s="2"/>
      <c r="AS1564" s="2"/>
      <c r="AT1564" s="2" t="s">
        <v>5712</v>
      </c>
      <c r="AU1564" s="2"/>
      <c r="AV1564" s="2">
        <v>1</v>
      </c>
      <c r="AW1564" s="2"/>
      <c r="AX1564" s="2"/>
      <c r="AY1564" s="2">
        <v>41</v>
      </c>
      <c r="AZ1564" s="2" t="s">
        <v>82</v>
      </c>
      <c r="BA1564" s="2">
        <v>41</v>
      </c>
      <c r="BB1564" s="2" t="s">
        <v>82</v>
      </c>
      <c r="BC1564" s="2">
        <v>41</v>
      </c>
      <c r="BD1564" s="2" t="s">
        <v>82</v>
      </c>
      <c r="BE1564" s="2">
        <v>13</v>
      </c>
      <c r="BF1564" s="2" t="s">
        <v>108</v>
      </c>
      <c r="BG1564" s="2" t="s">
        <v>5713</v>
      </c>
      <c r="BH1564" s="2"/>
      <c r="BI1564" s="4">
        <v>0.91666666666666663</v>
      </c>
      <c r="BJ1564" s="2">
        <v>13</v>
      </c>
      <c r="BK1564" s="2" t="s">
        <v>91</v>
      </c>
      <c r="BL1564" s="2" t="s">
        <v>185</v>
      </c>
      <c r="BM1564" s="2">
        <v>241</v>
      </c>
      <c r="BN1564" s="2" t="s">
        <v>82</v>
      </c>
      <c r="BO1564" s="2"/>
      <c r="BP1564" s="2">
        <v>73</v>
      </c>
      <c r="BQ1564" s="2" t="s">
        <v>186</v>
      </c>
      <c r="BR1564" s="2" t="s">
        <v>187</v>
      </c>
      <c r="BS1564" s="3">
        <v>40286</v>
      </c>
      <c r="BT1564" s="4">
        <v>8.6446759259259265E-2</v>
      </c>
    </row>
    <row r="1565" spans="1:72" x14ac:dyDescent="0.25">
      <c r="A1565" s="2">
        <v>2303</v>
      </c>
      <c r="B1565" s="2">
        <v>2010</v>
      </c>
      <c r="C1565" s="2" t="s">
        <v>385</v>
      </c>
      <c r="D1565" s="2" t="s">
        <v>122</v>
      </c>
      <c r="E1565" s="2"/>
      <c r="F1565" s="2">
        <v>592</v>
      </c>
      <c r="G1565" s="2" t="s">
        <v>5714</v>
      </c>
      <c r="H1565" s="2">
        <v>50</v>
      </c>
      <c r="I1565" s="2" t="s">
        <v>107</v>
      </c>
      <c r="J1565" s="2">
        <v>496</v>
      </c>
      <c r="K1565" s="2" t="s">
        <v>4312</v>
      </c>
      <c r="L1565" s="2" t="s">
        <v>4313</v>
      </c>
      <c r="M1565" s="3">
        <v>40286</v>
      </c>
      <c r="N1565" s="2" t="s">
        <v>4314</v>
      </c>
      <c r="O1565" s="2" t="s">
        <v>5715</v>
      </c>
      <c r="P1565" s="2" t="s">
        <v>5716</v>
      </c>
      <c r="Q1565" s="2" t="str">
        <f>"N/C"</f>
        <v>N/C</v>
      </c>
      <c r="R1565" s="2" t="s">
        <v>82</v>
      </c>
      <c r="S1565" s="2" t="s">
        <v>82</v>
      </c>
      <c r="T1565" s="2">
        <v>1</v>
      </c>
      <c r="U1565" s="2" t="s">
        <v>79</v>
      </c>
      <c r="V1565" s="2">
        <v>1</v>
      </c>
      <c r="W1565" s="2" t="s">
        <v>80</v>
      </c>
      <c r="X1565" s="2">
        <v>4</v>
      </c>
      <c r="Y1565" s="2" t="s">
        <v>463</v>
      </c>
      <c r="Z1565" s="2">
        <v>1</v>
      </c>
      <c r="AA1565" s="2" t="s">
        <v>82</v>
      </c>
      <c r="AB1565" s="2">
        <v>9</v>
      </c>
      <c r="AC1565" s="2" t="s">
        <v>124</v>
      </c>
      <c r="AD1565" s="3">
        <v>40286</v>
      </c>
      <c r="AE1565" s="4">
        <v>0.4375</v>
      </c>
      <c r="AF1565" s="2"/>
      <c r="AG1565" s="2"/>
      <c r="AH1565" s="2">
        <v>6</v>
      </c>
      <c r="AI1565" s="2" t="s">
        <v>197</v>
      </c>
      <c r="AJ1565" s="2">
        <v>58</v>
      </c>
      <c r="AK1565" s="2" t="s">
        <v>406</v>
      </c>
      <c r="AL1565" s="2">
        <v>12</v>
      </c>
      <c r="AM1565" s="2" t="s">
        <v>86</v>
      </c>
      <c r="AN1565" s="2"/>
      <c r="AO1565" s="2" t="s">
        <v>1971</v>
      </c>
      <c r="AP1565" s="2">
        <v>11</v>
      </c>
      <c r="AQ1565" s="2" t="s">
        <v>82</v>
      </c>
      <c r="AR1565" s="2"/>
      <c r="AS1565" s="2"/>
      <c r="AT1565" s="2" t="s">
        <v>5717</v>
      </c>
      <c r="AU1565" s="2">
        <v>1</v>
      </c>
      <c r="AV1565" s="2"/>
      <c r="AW1565" s="2"/>
      <c r="AX1565" s="2"/>
      <c r="AY1565" s="2">
        <v>41</v>
      </c>
      <c r="AZ1565" s="2" t="s">
        <v>82</v>
      </c>
      <c r="BA1565" s="2">
        <v>41</v>
      </c>
      <c r="BB1565" s="2" t="s">
        <v>82</v>
      </c>
      <c r="BC1565" s="2">
        <v>41</v>
      </c>
      <c r="BD1565" s="2" t="s">
        <v>82</v>
      </c>
      <c r="BE1565" s="2">
        <v>13</v>
      </c>
      <c r="BF1565" s="2" t="s">
        <v>108</v>
      </c>
      <c r="BG1565" s="2">
        <v>2851</v>
      </c>
      <c r="BH1565" s="4">
        <v>0.41666666666666669</v>
      </c>
      <c r="BI1565" s="4">
        <v>0.4513888888888889</v>
      </c>
      <c r="BJ1565" s="2">
        <v>13</v>
      </c>
      <c r="BK1565" s="2" t="s">
        <v>91</v>
      </c>
      <c r="BL1565" s="2" t="s">
        <v>492</v>
      </c>
      <c r="BM1565" s="2">
        <v>241</v>
      </c>
      <c r="BN1565" s="2" t="s">
        <v>82</v>
      </c>
      <c r="BO1565" s="2" t="s">
        <v>82</v>
      </c>
      <c r="BP1565" s="2">
        <v>13</v>
      </c>
      <c r="BQ1565" s="2" t="s">
        <v>91</v>
      </c>
      <c r="BR1565" s="2" t="s">
        <v>185</v>
      </c>
      <c r="BS1565" s="3">
        <v>40286</v>
      </c>
      <c r="BT1565" s="4">
        <v>0.54054398148148153</v>
      </c>
    </row>
    <row r="1566" spans="1:72" x14ac:dyDescent="0.25">
      <c r="A1566" s="2">
        <v>2304</v>
      </c>
      <c r="B1566" s="2">
        <v>2010</v>
      </c>
      <c r="C1566" s="2" t="s">
        <v>72</v>
      </c>
      <c r="D1566" s="2" t="s">
        <v>73</v>
      </c>
      <c r="E1566" s="2"/>
      <c r="F1566" s="2">
        <v>2</v>
      </c>
      <c r="G1566" s="2" t="s">
        <v>113</v>
      </c>
      <c r="H1566" s="2">
        <v>1</v>
      </c>
      <c r="I1566" s="2" t="s">
        <v>82</v>
      </c>
      <c r="J1566" s="2">
        <v>300</v>
      </c>
      <c r="K1566" s="2" t="s">
        <v>114</v>
      </c>
      <c r="L1566" s="2" t="s">
        <v>115</v>
      </c>
      <c r="M1566" s="3">
        <v>40286</v>
      </c>
      <c r="N1566" s="2"/>
      <c r="O1566" s="2"/>
      <c r="P1566" s="2"/>
      <c r="Q1566" s="2" t="str">
        <f>"210-E/10"</f>
        <v>210-E/10</v>
      </c>
      <c r="R1566" s="2"/>
      <c r="S1566" s="2" t="s">
        <v>116</v>
      </c>
      <c r="T1566" s="2">
        <v>1</v>
      </c>
      <c r="U1566" s="2" t="s">
        <v>79</v>
      </c>
      <c r="V1566" s="2">
        <v>1</v>
      </c>
      <c r="W1566" s="2" t="s">
        <v>80</v>
      </c>
      <c r="X1566" s="2">
        <v>1</v>
      </c>
      <c r="Y1566" s="2" t="s">
        <v>81</v>
      </c>
      <c r="Z1566" s="2">
        <v>10</v>
      </c>
      <c r="AA1566" s="2" t="s">
        <v>236</v>
      </c>
      <c r="AB1566" s="2">
        <v>6</v>
      </c>
      <c r="AC1566" s="2" t="s">
        <v>83</v>
      </c>
      <c r="AD1566" s="3">
        <v>40286</v>
      </c>
      <c r="AE1566" s="4">
        <v>0.54166666666666663</v>
      </c>
      <c r="AF1566" s="3">
        <v>40286</v>
      </c>
      <c r="AG1566" s="4">
        <v>0.625</v>
      </c>
      <c r="AH1566" s="2">
        <v>2</v>
      </c>
      <c r="AI1566" s="2" t="s">
        <v>84</v>
      </c>
      <c r="AJ1566" s="2">
        <v>9</v>
      </c>
      <c r="AK1566" s="2" t="s">
        <v>103</v>
      </c>
      <c r="AL1566" s="2">
        <v>12</v>
      </c>
      <c r="AM1566" s="2" t="s">
        <v>86</v>
      </c>
      <c r="AN1566" s="2" t="s">
        <v>1081</v>
      </c>
      <c r="AO1566" s="2" t="s">
        <v>5718</v>
      </c>
      <c r="AP1566" s="2">
        <v>11</v>
      </c>
      <c r="AQ1566" s="2" t="s">
        <v>82</v>
      </c>
      <c r="AR1566" s="2"/>
      <c r="AS1566" s="2"/>
      <c r="AT1566" s="2" t="s">
        <v>5719</v>
      </c>
      <c r="AU1566" s="2"/>
      <c r="AV1566" s="2"/>
      <c r="AW1566" s="2"/>
      <c r="AX1566" s="2"/>
      <c r="AY1566" s="2">
        <v>41</v>
      </c>
      <c r="AZ1566" s="2" t="s">
        <v>82</v>
      </c>
      <c r="BA1566" s="2">
        <v>41</v>
      </c>
      <c r="BB1566" s="2" t="s">
        <v>82</v>
      </c>
      <c r="BC1566" s="2">
        <v>41</v>
      </c>
      <c r="BD1566" s="2" t="s">
        <v>82</v>
      </c>
      <c r="BE1566" s="2">
        <v>41</v>
      </c>
      <c r="BF1566" s="2" t="s">
        <v>82</v>
      </c>
      <c r="BG1566" s="2"/>
      <c r="BH1566" s="2"/>
      <c r="BI1566" s="2"/>
      <c r="BJ1566" s="2">
        <v>241</v>
      </c>
      <c r="BK1566" s="2" t="s">
        <v>82</v>
      </c>
      <c r="BL1566" s="2"/>
      <c r="BM1566" s="2">
        <v>241</v>
      </c>
      <c r="BN1566" s="2" t="s">
        <v>82</v>
      </c>
      <c r="BO1566" s="2"/>
      <c r="BP1566" s="2">
        <v>241</v>
      </c>
      <c r="BQ1566" s="2" t="s">
        <v>82</v>
      </c>
      <c r="BR1566" s="2"/>
      <c r="BS1566" s="3">
        <v>40286</v>
      </c>
      <c r="BT1566" s="4">
        <v>0.68967592592592597</v>
      </c>
    </row>
    <row r="1567" spans="1:72" x14ac:dyDescent="0.25">
      <c r="A1567" s="2">
        <v>2305</v>
      </c>
      <c r="B1567" s="2">
        <v>2010</v>
      </c>
      <c r="C1567" s="2" t="s">
        <v>196</v>
      </c>
      <c r="D1567" s="2" t="s">
        <v>122</v>
      </c>
      <c r="E1567" s="2"/>
      <c r="F1567" s="2">
        <v>1</v>
      </c>
      <c r="G1567" s="2" t="s">
        <v>82</v>
      </c>
      <c r="H1567" s="2">
        <v>1</v>
      </c>
      <c r="I1567" s="2" t="s">
        <v>82</v>
      </c>
      <c r="J1567" s="2">
        <v>1</v>
      </c>
      <c r="K1567" s="2" t="s">
        <v>107</v>
      </c>
      <c r="L1567" s="2" t="s">
        <v>107</v>
      </c>
      <c r="M1567" s="3">
        <v>40286</v>
      </c>
      <c r="N1567" s="2"/>
      <c r="O1567" s="2"/>
      <c r="P1567" s="2"/>
      <c r="Q1567" s="2" t="str">
        <f>""</f>
        <v/>
      </c>
      <c r="R1567" s="2"/>
      <c r="S1567" s="2"/>
      <c r="T1567" s="2">
        <v>2</v>
      </c>
      <c r="U1567" s="2" t="s">
        <v>123</v>
      </c>
      <c r="V1567" s="2">
        <v>1</v>
      </c>
      <c r="W1567" s="2" t="s">
        <v>80</v>
      </c>
      <c r="X1567" s="2">
        <v>1</v>
      </c>
      <c r="Y1567" s="2" t="s">
        <v>81</v>
      </c>
      <c r="Z1567" s="2">
        <v>1</v>
      </c>
      <c r="AA1567" s="2" t="s">
        <v>82</v>
      </c>
      <c r="AB1567" s="2">
        <v>9</v>
      </c>
      <c r="AC1567" s="2" t="s">
        <v>124</v>
      </c>
      <c r="AD1567" s="3">
        <v>40286</v>
      </c>
      <c r="AE1567" s="4">
        <v>0.58333333333333337</v>
      </c>
      <c r="AF1567" s="2"/>
      <c r="AG1567" s="2"/>
      <c r="AH1567" s="2">
        <v>2</v>
      </c>
      <c r="AI1567" s="2" t="s">
        <v>84</v>
      </c>
      <c r="AJ1567" s="2">
        <v>12</v>
      </c>
      <c r="AK1567" s="2" t="s">
        <v>85</v>
      </c>
      <c r="AL1567" s="2">
        <v>18</v>
      </c>
      <c r="AM1567" s="2" t="s">
        <v>82</v>
      </c>
      <c r="AN1567" s="2" t="s">
        <v>5720</v>
      </c>
      <c r="AO1567" s="2"/>
      <c r="AP1567" s="2">
        <v>11</v>
      </c>
      <c r="AQ1567" s="2" t="s">
        <v>82</v>
      </c>
      <c r="AR1567" s="2"/>
      <c r="AS1567" s="2"/>
      <c r="AT1567" s="2" t="s">
        <v>5721</v>
      </c>
      <c r="AU1567" s="2"/>
      <c r="AV1567" s="2"/>
      <c r="AW1567" s="2"/>
      <c r="AX1567" s="2"/>
      <c r="AY1567" s="2">
        <v>41</v>
      </c>
      <c r="AZ1567" s="2" t="s">
        <v>82</v>
      </c>
      <c r="BA1567" s="2">
        <v>41</v>
      </c>
      <c r="BB1567" s="2" t="s">
        <v>82</v>
      </c>
      <c r="BC1567" s="2">
        <v>41</v>
      </c>
      <c r="BD1567" s="2" t="s">
        <v>82</v>
      </c>
      <c r="BE1567" s="2">
        <v>41</v>
      </c>
      <c r="BF1567" s="2" t="s">
        <v>82</v>
      </c>
      <c r="BG1567" s="2"/>
      <c r="BH1567" s="4">
        <v>0.97916666666666663</v>
      </c>
      <c r="BI1567" s="4">
        <v>0.70138888888888884</v>
      </c>
      <c r="BJ1567" s="2">
        <v>13</v>
      </c>
      <c r="BK1567" s="2" t="s">
        <v>91</v>
      </c>
      <c r="BL1567" s="2" t="s">
        <v>185</v>
      </c>
      <c r="BM1567" s="2">
        <v>241</v>
      </c>
      <c r="BN1567" s="2" t="s">
        <v>82</v>
      </c>
      <c r="BO1567" s="2"/>
      <c r="BP1567" s="2">
        <v>232</v>
      </c>
      <c r="BQ1567" s="2" t="s">
        <v>4351</v>
      </c>
      <c r="BR1567" s="2" t="s">
        <v>4411</v>
      </c>
      <c r="BS1567" s="3">
        <v>40286</v>
      </c>
      <c r="BT1567" s="4">
        <v>0.69489583333333327</v>
      </c>
    </row>
    <row r="1568" spans="1:72" x14ac:dyDescent="0.25">
      <c r="A1568" s="2">
        <v>2306</v>
      </c>
      <c r="B1568" s="2">
        <v>2010</v>
      </c>
      <c r="C1568" s="2" t="s">
        <v>764</v>
      </c>
      <c r="D1568" s="2" t="s">
        <v>73</v>
      </c>
      <c r="E1568" s="2"/>
      <c r="F1568" s="2">
        <v>125</v>
      </c>
      <c r="G1568" s="2" t="s">
        <v>1483</v>
      </c>
      <c r="H1568" s="2">
        <v>47</v>
      </c>
      <c r="I1568" s="2" t="s">
        <v>1409</v>
      </c>
      <c r="J1568" s="2">
        <v>139</v>
      </c>
      <c r="K1568" s="2" t="s">
        <v>1485</v>
      </c>
      <c r="L1568" s="2" t="s">
        <v>1486</v>
      </c>
      <c r="M1568" s="3">
        <v>40286</v>
      </c>
      <c r="N1568" s="2" t="s">
        <v>5722</v>
      </c>
      <c r="O1568" s="2" t="s">
        <v>82</v>
      </c>
      <c r="P1568" s="2" t="s">
        <v>82</v>
      </c>
      <c r="Q1568" s="2" t="str">
        <f>"N/C"</f>
        <v>N/C</v>
      </c>
      <c r="R1568" s="2" t="s">
        <v>82</v>
      </c>
      <c r="S1568" s="2" t="s">
        <v>82</v>
      </c>
      <c r="T1568" s="2">
        <v>1</v>
      </c>
      <c r="U1568" s="2" t="s">
        <v>79</v>
      </c>
      <c r="V1568" s="2">
        <v>1</v>
      </c>
      <c r="W1568" s="2" t="s">
        <v>80</v>
      </c>
      <c r="X1568" s="2">
        <v>12</v>
      </c>
      <c r="Y1568" s="2" t="s">
        <v>148</v>
      </c>
      <c r="Z1568" s="2">
        <v>10</v>
      </c>
      <c r="AA1568" s="2" t="s">
        <v>236</v>
      </c>
      <c r="AB1568" s="2">
        <v>9</v>
      </c>
      <c r="AC1568" s="2" t="s">
        <v>124</v>
      </c>
      <c r="AD1568" s="3">
        <v>40286</v>
      </c>
      <c r="AE1568" s="4">
        <v>0.77777777777777779</v>
      </c>
      <c r="AF1568" s="2"/>
      <c r="AG1568" s="2"/>
      <c r="AH1568" s="2">
        <v>6</v>
      </c>
      <c r="AI1568" s="2" t="s">
        <v>197</v>
      </c>
      <c r="AJ1568" s="2">
        <v>61</v>
      </c>
      <c r="AK1568" s="2" t="s">
        <v>686</v>
      </c>
      <c r="AL1568" s="2">
        <v>9</v>
      </c>
      <c r="AM1568" s="2" t="s">
        <v>259</v>
      </c>
      <c r="AN1568" s="2"/>
      <c r="AO1568" s="2" t="s">
        <v>5723</v>
      </c>
      <c r="AP1568" s="2">
        <v>11</v>
      </c>
      <c r="AQ1568" s="2" t="s">
        <v>82</v>
      </c>
      <c r="AR1568" s="2"/>
      <c r="AS1568" s="2"/>
      <c r="AT1568" s="2" t="s">
        <v>5724</v>
      </c>
      <c r="AU1568" s="2"/>
      <c r="AV1568" s="2"/>
      <c r="AW1568" s="2"/>
      <c r="AX1568" s="2"/>
      <c r="AY1568" s="2">
        <v>41</v>
      </c>
      <c r="AZ1568" s="2" t="s">
        <v>82</v>
      </c>
      <c r="BA1568" s="2">
        <v>41</v>
      </c>
      <c r="BB1568" s="2" t="s">
        <v>82</v>
      </c>
      <c r="BC1568" s="2">
        <v>41</v>
      </c>
      <c r="BD1568" s="2" t="s">
        <v>82</v>
      </c>
      <c r="BE1568" s="2">
        <v>41</v>
      </c>
      <c r="BF1568" s="2" t="s">
        <v>82</v>
      </c>
      <c r="BG1568" s="2"/>
      <c r="BH1568" s="2"/>
      <c r="BI1568" s="2"/>
      <c r="BJ1568" s="2">
        <v>241</v>
      </c>
      <c r="BK1568" s="2" t="s">
        <v>82</v>
      </c>
      <c r="BL1568" s="2" t="s">
        <v>82</v>
      </c>
      <c r="BM1568" s="2">
        <v>241</v>
      </c>
      <c r="BN1568" s="2" t="s">
        <v>82</v>
      </c>
      <c r="BO1568" s="2" t="s">
        <v>82</v>
      </c>
      <c r="BP1568" s="2">
        <v>241</v>
      </c>
      <c r="BQ1568" s="2" t="s">
        <v>82</v>
      </c>
      <c r="BR1568" s="2" t="s">
        <v>82</v>
      </c>
      <c r="BS1568" s="3">
        <v>40286</v>
      </c>
      <c r="BT1568" s="4">
        <v>0.8833333333333333</v>
      </c>
    </row>
    <row r="1569" spans="1:72" x14ac:dyDescent="0.25">
      <c r="A1569" s="2">
        <v>2307</v>
      </c>
      <c r="B1569" s="2">
        <v>2010</v>
      </c>
      <c r="C1569" s="2" t="s">
        <v>72</v>
      </c>
      <c r="D1569" s="2" t="s">
        <v>73</v>
      </c>
      <c r="E1569" s="2"/>
      <c r="F1569" s="2">
        <v>595</v>
      </c>
      <c r="G1569" s="2" t="s">
        <v>5725</v>
      </c>
      <c r="H1569" s="2">
        <v>42</v>
      </c>
      <c r="I1569" s="2" t="s">
        <v>1096</v>
      </c>
      <c r="J1569" s="2">
        <v>526</v>
      </c>
      <c r="K1569" s="2" t="s">
        <v>5726</v>
      </c>
      <c r="L1569" s="2" t="s">
        <v>5727</v>
      </c>
      <c r="M1569" s="3">
        <v>40287</v>
      </c>
      <c r="N1569" s="2" t="s">
        <v>5728</v>
      </c>
      <c r="O1569" s="2" t="s">
        <v>82</v>
      </c>
      <c r="P1569" s="2" t="s">
        <v>82</v>
      </c>
      <c r="Q1569" s="2" t="str">
        <f>"156-A/10"</f>
        <v>156-A/10</v>
      </c>
      <c r="R1569" s="2" t="s">
        <v>82</v>
      </c>
      <c r="S1569" s="2" t="s">
        <v>206</v>
      </c>
      <c r="T1569" s="2">
        <v>1</v>
      </c>
      <c r="U1569" s="2" t="s">
        <v>79</v>
      </c>
      <c r="V1569" s="2">
        <v>1</v>
      </c>
      <c r="W1569" s="2" t="s">
        <v>80</v>
      </c>
      <c r="X1569" s="2">
        <v>12</v>
      </c>
      <c r="Y1569" s="2" t="s">
        <v>148</v>
      </c>
      <c r="Z1569" s="2">
        <v>1</v>
      </c>
      <c r="AA1569" s="2" t="s">
        <v>82</v>
      </c>
      <c r="AB1569" s="2">
        <v>6</v>
      </c>
      <c r="AC1569" s="2" t="s">
        <v>83</v>
      </c>
      <c r="AD1569" s="3">
        <v>40286</v>
      </c>
      <c r="AE1569" s="4">
        <v>0.89097222222222217</v>
      </c>
      <c r="AF1569" s="3">
        <v>40287</v>
      </c>
      <c r="AG1569" s="4">
        <v>3.472222222222222E-3</v>
      </c>
      <c r="AH1569" s="2">
        <v>2</v>
      </c>
      <c r="AI1569" s="2" t="s">
        <v>84</v>
      </c>
      <c r="AJ1569" s="2">
        <v>12</v>
      </c>
      <c r="AK1569" s="2" t="s">
        <v>85</v>
      </c>
      <c r="AL1569" s="2">
        <v>22</v>
      </c>
      <c r="AM1569" s="2" t="s">
        <v>1853</v>
      </c>
      <c r="AN1569" s="2" t="s">
        <v>107</v>
      </c>
      <c r="AO1569" s="2" t="s">
        <v>5587</v>
      </c>
      <c r="AP1569" s="2">
        <v>11</v>
      </c>
      <c r="AQ1569" s="2" t="s">
        <v>82</v>
      </c>
      <c r="AR1569" s="2" t="s">
        <v>82</v>
      </c>
      <c r="AS1569" s="2" t="s">
        <v>82</v>
      </c>
      <c r="AT1569" s="2" t="s">
        <v>5729</v>
      </c>
      <c r="AU1569" s="2"/>
      <c r="AV1569" s="2"/>
      <c r="AW1569" s="2"/>
      <c r="AX1569" s="2"/>
      <c r="AY1569" s="2">
        <v>41</v>
      </c>
      <c r="AZ1569" s="2" t="s">
        <v>82</v>
      </c>
      <c r="BA1569" s="2">
        <v>41</v>
      </c>
      <c r="BB1569" s="2" t="s">
        <v>82</v>
      </c>
      <c r="BC1569" s="2">
        <v>41</v>
      </c>
      <c r="BD1569" s="2" t="s">
        <v>82</v>
      </c>
      <c r="BE1569" s="2">
        <v>13</v>
      </c>
      <c r="BF1569" s="2" t="s">
        <v>108</v>
      </c>
      <c r="BG1569" s="2" t="s">
        <v>5730</v>
      </c>
      <c r="BH1569" s="4">
        <v>0.97222222222222221</v>
      </c>
      <c r="BI1569" s="4">
        <v>0.9375</v>
      </c>
      <c r="BJ1569" s="2">
        <v>229</v>
      </c>
      <c r="BK1569" s="2" t="s">
        <v>300</v>
      </c>
      <c r="BL1569" s="2" t="s">
        <v>573</v>
      </c>
      <c r="BM1569" s="2">
        <v>241</v>
      </c>
      <c r="BN1569" s="2" t="s">
        <v>82</v>
      </c>
      <c r="BO1569" s="2" t="s">
        <v>82</v>
      </c>
      <c r="BP1569" s="2">
        <v>13</v>
      </c>
      <c r="BQ1569" s="2" t="s">
        <v>91</v>
      </c>
      <c r="BR1569" s="2" t="s">
        <v>185</v>
      </c>
      <c r="BS1569" s="3">
        <v>40287</v>
      </c>
      <c r="BT1569" s="4">
        <v>8.5844907407407411E-2</v>
      </c>
    </row>
    <row r="1570" spans="1:72" x14ac:dyDescent="0.25">
      <c r="A1570" s="2">
        <v>2308</v>
      </c>
      <c r="B1570" s="2">
        <v>2010</v>
      </c>
      <c r="C1570" s="2" t="s">
        <v>72</v>
      </c>
      <c r="D1570" s="2" t="s">
        <v>73</v>
      </c>
      <c r="E1570" s="2"/>
      <c r="F1570" s="2">
        <v>2</v>
      </c>
      <c r="G1570" s="2" t="s">
        <v>113</v>
      </c>
      <c r="H1570" s="2">
        <v>1</v>
      </c>
      <c r="I1570" s="2" t="s">
        <v>82</v>
      </c>
      <c r="J1570" s="2">
        <v>300</v>
      </c>
      <c r="K1570" s="2" t="s">
        <v>114</v>
      </c>
      <c r="L1570" s="2" t="s">
        <v>115</v>
      </c>
      <c r="M1570" s="3">
        <v>40287</v>
      </c>
      <c r="N1570" s="2"/>
      <c r="O1570" s="2"/>
      <c r="P1570" s="2"/>
      <c r="Q1570" s="2" t="str">
        <f>"211-E/10"</f>
        <v>211-E/10</v>
      </c>
      <c r="R1570" s="2" t="s">
        <v>480</v>
      </c>
      <c r="S1570" s="2" t="s">
        <v>480</v>
      </c>
      <c r="T1570" s="2">
        <v>1</v>
      </c>
      <c r="U1570" s="2" t="s">
        <v>79</v>
      </c>
      <c r="V1570" s="2">
        <v>1</v>
      </c>
      <c r="W1570" s="2" t="s">
        <v>80</v>
      </c>
      <c r="X1570" s="2">
        <v>12</v>
      </c>
      <c r="Y1570" s="2" t="s">
        <v>148</v>
      </c>
      <c r="Z1570" s="2">
        <v>10</v>
      </c>
      <c r="AA1570" s="2" t="s">
        <v>236</v>
      </c>
      <c r="AB1570" s="2">
        <v>6</v>
      </c>
      <c r="AC1570" s="2" t="s">
        <v>83</v>
      </c>
      <c r="AD1570" s="3">
        <v>40286</v>
      </c>
      <c r="AE1570" s="4">
        <v>0.79861111111111116</v>
      </c>
      <c r="AF1570" s="3">
        <v>40286</v>
      </c>
      <c r="AG1570" s="4">
        <v>0.91666666666666663</v>
      </c>
      <c r="AH1570" s="2">
        <v>2</v>
      </c>
      <c r="AI1570" s="2" t="s">
        <v>84</v>
      </c>
      <c r="AJ1570" s="2">
        <v>9</v>
      </c>
      <c r="AK1570" s="2" t="s">
        <v>103</v>
      </c>
      <c r="AL1570" s="2">
        <v>12</v>
      </c>
      <c r="AM1570" s="2" t="s">
        <v>86</v>
      </c>
      <c r="AN1570" s="2" t="s">
        <v>5731</v>
      </c>
      <c r="AO1570" s="2"/>
      <c r="AP1570" s="2">
        <v>11</v>
      </c>
      <c r="AQ1570" s="2" t="s">
        <v>82</v>
      </c>
      <c r="AR1570" s="2"/>
      <c r="AS1570" s="2"/>
      <c r="AT1570" s="2" t="s">
        <v>5732</v>
      </c>
      <c r="AU1570" s="2"/>
      <c r="AV1570" s="2"/>
      <c r="AW1570" s="2"/>
      <c r="AX1570" s="2"/>
      <c r="AY1570" s="2">
        <v>41</v>
      </c>
      <c r="AZ1570" s="2" t="s">
        <v>82</v>
      </c>
      <c r="BA1570" s="2">
        <v>41</v>
      </c>
      <c r="BB1570" s="2" t="s">
        <v>82</v>
      </c>
      <c r="BC1570" s="2">
        <v>41</v>
      </c>
      <c r="BD1570" s="2" t="s">
        <v>82</v>
      </c>
      <c r="BE1570" s="2">
        <v>41</v>
      </c>
      <c r="BF1570" s="2" t="s">
        <v>82</v>
      </c>
      <c r="BG1570" s="2"/>
      <c r="BH1570" s="2"/>
      <c r="BI1570" s="2"/>
      <c r="BJ1570" s="2">
        <v>241</v>
      </c>
      <c r="BK1570" s="2" t="s">
        <v>82</v>
      </c>
      <c r="BL1570" s="2"/>
      <c r="BM1570" s="2">
        <v>241</v>
      </c>
      <c r="BN1570" s="2" t="s">
        <v>82</v>
      </c>
      <c r="BO1570" s="2"/>
      <c r="BP1570" s="2">
        <v>241</v>
      </c>
      <c r="BQ1570" s="2" t="s">
        <v>82</v>
      </c>
      <c r="BR1570" s="2"/>
      <c r="BS1570" s="3">
        <v>40287</v>
      </c>
      <c r="BT1570" s="4">
        <v>0.12228009259259259</v>
      </c>
    </row>
    <row r="1571" spans="1:72" x14ac:dyDescent="0.25">
      <c r="A1571" s="2">
        <v>2309</v>
      </c>
      <c r="B1571" s="2">
        <v>2010</v>
      </c>
      <c r="C1571" s="2" t="s">
        <v>171</v>
      </c>
      <c r="D1571" s="2" t="s">
        <v>122</v>
      </c>
      <c r="E1571" s="2" t="s">
        <v>5733</v>
      </c>
      <c r="F1571" s="2">
        <v>393</v>
      </c>
      <c r="G1571" s="2" t="s">
        <v>3660</v>
      </c>
      <c r="H1571" s="2">
        <v>2</v>
      </c>
      <c r="I1571" s="2" t="s">
        <v>267</v>
      </c>
      <c r="J1571" s="2">
        <v>2</v>
      </c>
      <c r="K1571" s="2" t="s">
        <v>3661</v>
      </c>
      <c r="L1571" s="2" t="s">
        <v>3662</v>
      </c>
      <c r="M1571" s="3">
        <v>40287</v>
      </c>
      <c r="N1571" s="2" t="s">
        <v>5709</v>
      </c>
      <c r="O1571" s="2"/>
      <c r="P1571" s="2"/>
      <c r="Q1571" s="2" t="str">
        <f>"209-E/10"</f>
        <v>209-E/10</v>
      </c>
      <c r="R1571" s="2" t="s">
        <v>5710</v>
      </c>
      <c r="S1571" s="2"/>
      <c r="T1571" s="2">
        <v>1</v>
      </c>
      <c r="U1571" s="2" t="s">
        <v>79</v>
      </c>
      <c r="V1571" s="2">
        <v>1</v>
      </c>
      <c r="W1571" s="2" t="s">
        <v>80</v>
      </c>
      <c r="X1571" s="2">
        <v>1</v>
      </c>
      <c r="Y1571" s="2" t="s">
        <v>81</v>
      </c>
      <c r="Z1571" s="2">
        <v>1</v>
      </c>
      <c r="AA1571" s="2" t="s">
        <v>82</v>
      </c>
      <c r="AB1571" s="2">
        <v>1</v>
      </c>
      <c r="AC1571" s="2" t="s">
        <v>178</v>
      </c>
      <c r="AD1571" s="3">
        <v>40285</v>
      </c>
      <c r="AE1571" s="4">
        <v>0.80208333333333337</v>
      </c>
      <c r="AF1571" s="2"/>
      <c r="AG1571" s="2"/>
      <c r="AH1571" s="2">
        <v>2</v>
      </c>
      <c r="AI1571" s="2" t="s">
        <v>84</v>
      </c>
      <c r="AJ1571" s="2">
        <v>9</v>
      </c>
      <c r="AK1571" s="2" t="s">
        <v>103</v>
      </c>
      <c r="AL1571" s="2">
        <v>15</v>
      </c>
      <c r="AM1571" s="2" t="s">
        <v>104</v>
      </c>
      <c r="AN1571" s="2" t="s">
        <v>5711</v>
      </c>
      <c r="AO1571" s="2"/>
      <c r="AP1571" s="2">
        <v>11</v>
      </c>
      <c r="AQ1571" s="2" t="s">
        <v>82</v>
      </c>
      <c r="AR1571" s="2"/>
      <c r="AS1571" s="2"/>
      <c r="AT1571" s="2" t="s">
        <v>5734</v>
      </c>
      <c r="AU1571" s="2"/>
      <c r="AV1571" s="2">
        <v>1</v>
      </c>
      <c r="AW1571" s="2"/>
      <c r="AX1571" s="2"/>
      <c r="AY1571" s="2">
        <v>41</v>
      </c>
      <c r="AZ1571" s="2" t="s">
        <v>82</v>
      </c>
      <c r="BA1571" s="2">
        <v>41</v>
      </c>
      <c r="BB1571" s="2" t="s">
        <v>82</v>
      </c>
      <c r="BC1571" s="2">
        <v>41</v>
      </c>
      <c r="BD1571" s="2" t="s">
        <v>82</v>
      </c>
      <c r="BE1571" s="2">
        <v>13</v>
      </c>
      <c r="BF1571" s="2" t="s">
        <v>108</v>
      </c>
      <c r="BG1571" s="2" t="s">
        <v>5713</v>
      </c>
      <c r="BH1571" s="2"/>
      <c r="BI1571" s="4">
        <v>0.91666666666666663</v>
      </c>
      <c r="BJ1571" s="2">
        <v>13</v>
      </c>
      <c r="BK1571" s="2" t="s">
        <v>91</v>
      </c>
      <c r="BL1571" s="2" t="s">
        <v>185</v>
      </c>
      <c r="BM1571" s="2">
        <v>241</v>
      </c>
      <c r="BN1571" s="2" t="s">
        <v>82</v>
      </c>
      <c r="BO1571" s="2"/>
      <c r="BP1571" s="2">
        <v>73</v>
      </c>
      <c r="BQ1571" s="2" t="s">
        <v>186</v>
      </c>
      <c r="BR1571" s="2" t="s">
        <v>187</v>
      </c>
      <c r="BS1571" s="3">
        <v>40287</v>
      </c>
      <c r="BT1571" s="4">
        <v>0.34415509259259264</v>
      </c>
    </row>
    <row r="1572" spans="1:72" x14ac:dyDescent="0.25">
      <c r="A1572" s="2">
        <v>2310</v>
      </c>
      <c r="B1572" s="2">
        <v>2010</v>
      </c>
      <c r="C1572" s="2" t="s">
        <v>72</v>
      </c>
      <c r="D1572" s="2" t="s">
        <v>122</v>
      </c>
      <c r="E1572" s="2" t="s">
        <v>5735</v>
      </c>
      <c r="F1572" s="2">
        <v>2</v>
      </c>
      <c r="G1572" s="2" t="s">
        <v>113</v>
      </c>
      <c r="H1572" s="2">
        <v>1</v>
      </c>
      <c r="I1572" s="2" t="s">
        <v>82</v>
      </c>
      <c r="J1572" s="2">
        <v>300</v>
      </c>
      <c r="K1572" s="2" t="s">
        <v>114</v>
      </c>
      <c r="L1572" s="2" t="s">
        <v>115</v>
      </c>
      <c r="M1572" s="3">
        <v>40287</v>
      </c>
      <c r="N1572" s="2"/>
      <c r="O1572" s="2"/>
      <c r="P1572" s="2"/>
      <c r="Q1572" s="2" t="str">
        <f>"208-E/10"</f>
        <v>208-E/10</v>
      </c>
      <c r="R1572" s="2" t="s">
        <v>116</v>
      </c>
      <c r="S1572" s="2" t="s">
        <v>116</v>
      </c>
      <c r="T1572" s="2">
        <v>1</v>
      </c>
      <c r="U1572" s="2" t="s">
        <v>79</v>
      </c>
      <c r="V1572" s="2">
        <v>1</v>
      </c>
      <c r="W1572" s="2" t="s">
        <v>80</v>
      </c>
      <c r="X1572" s="2">
        <v>1</v>
      </c>
      <c r="Y1572" s="2" t="s">
        <v>81</v>
      </c>
      <c r="Z1572" s="2">
        <v>1</v>
      </c>
      <c r="AA1572" s="2" t="s">
        <v>82</v>
      </c>
      <c r="AB1572" s="2">
        <v>6</v>
      </c>
      <c r="AC1572" s="2" t="s">
        <v>83</v>
      </c>
      <c r="AD1572" s="3">
        <v>40285</v>
      </c>
      <c r="AE1572" s="4">
        <v>0.45833333333333331</v>
      </c>
      <c r="AF1572" s="3">
        <v>40285</v>
      </c>
      <c r="AG1572" s="4">
        <v>0.46180555555555558</v>
      </c>
      <c r="AH1572" s="2">
        <v>2</v>
      </c>
      <c r="AI1572" s="2" t="s">
        <v>84</v>
      </c>
      <c r="AJ1572" s="2">
        <v>9</v>
      </c>
      <c r="AK1572" s="2" t="s">
        <v>103</v>
      </c>
      <c r="AL1572" s="2">
        <v>9</v>
      </c>
      <c r="AM1572" s="2" t="s">
        <v>259</v>
      </c>
      <c r="AN1572" s="2" t="s">
        <v>5704</v>
      </c>
      <c r="AO1572" s="2" t="s">
        <v>5705</v>
      </c>
      <c r="AP1572" s="2">
        <v>11</v>
      </c>
      <c r="AQ1572" s="2" t="s">
        <v>82</v>
      </c>
      <c r="AR1572" s="2"/>
      <c r="AS1572" s="2"/>
      <c r="AT1572" s="2" t="s">
        <v>5736</v>
      </c>
      <c r="AU1572" s="2"/>
      <c r="AV1572" s="2"/>
      <c r="AW1572" s="2">
        <v>3</v>
      </c>
      <c r="AX1572" s="2"/>
      <c r="AY1572" s="2">
        <v>41</v>
      </c>
      <c r="AZ1572" s="2" t="s">
        <v>82</v>
      </c>
      <c r="BA1572" s="2">
        <v>70</v>
      </c>
      <c r="BB1572" s="2" t="s">
        <v>236</v>
      </c>
      <c r="BC1572" s="2">
        <v>41</v>
      </c>
      <c r="BD1572" s="2" t="s">
        <v>82</v>
      </c>
      <c r="BE1572" s="2">
        <v>41</v>
      </c>
      <c r="BF1572" s="2" t="s">
        <v>82</v>
      </c>
      <c r="BG1572" s="2"/>
      <c r="BH1572" s="2"/>
      <c r="BI1572" s="2"/>
      <c r="BJ1572" s="2">
        <v>241</v>
      </c>
      <c r="BK1572" s="2" t="s">
        <v>82</v>
      </c>
      <c r="BL1572" s="2"/>
      <c r="BM1572" s="2">
        <v>241</v>
      </c>
      <c r="BN1572" s="2" t="s">
        <v>82</v>
      </c>
      <c r="BO1572" s="2"/>
      <c r="BP1572" s="2">
        <v>241</v>
      </c>
      <c r="BQ1572" s="2" t="s">
        <v>82</v>
      </c>
      <c r="BR1572" s="2"/>
      <c r="BS1572" s="3">
        <v>40287</v>
      </c>
      <c r="BT1572" s="4">
        <v>0.34885416666666669</v>
      </c>
    </row>
    <row r="1573" spans="1:72" x14ac:dyDescent="0.25">
      <c r="A1573" s="2">
        <v>2311</v>
      </c>
      <c r="B1573" s="2">
        <v>2010</v>
      </c>
      <c r="C1573" s="2" t="s">
        <v>93</v>
      </c>
      <c r="D1573" s="2" t="s">
        <v>73</v>
      </c>
      <c r="E1573" s="2"/>
      <c r="F1573" s="2">
        <v>178</v>
      </c>
      <c r="G1573" s="2" t="s">
        <v>555</v>
      </c>
      <c r="H1573" s="2">
        <v>95</v>
      </c>
      <c r="I1573" s="2" t="s">
        <v>5737</v>
      </c>
      <c r="J1573" s="2">
        <v>174</v>
      </c>
      <c r="K1573" s="2" t="s">
        <v>4965</v>
      </c>
      <c r="L1573" s="2" t="s">
        <v>2631</v>
      </c>
      <c r="M1573" s="3">
        <v>40287</v>
      </c>
      <c r="N1573" s="2" t="s">
        <v>5738</v>
      </c>
      <c r="O1573" s="2" t="s">
        <v>5739</v>
      </c>
      <c r="P1573" s="2" t="s">
        <v>5740</v>
      </c>
      <c r="Q1573" s="2" t="str">
        <f>"050/10"</f>
        <v>050/10</v>
      </c>
      <c r="R1573" s="2"/>
      <c r="S1573" s="2" t="s">
        <v>3812</v>
      </c>
      <c r="T1573" s="2">
        <v>1</v>
      </c>
      <c r="U1573" s="2" t="s">
        <v>79</v>
      </c>
      <c r="V1573" s="2">
        <v>1</v>
      </c>
      <c r="W1573" s="2" t="s">
        <v>80</v>
      </c>
      <c r="X1573" s="2">
        <v>3</v>
      </c>
      <c r="Y1573" s="2" t="s">
        <v>698</v>
      </c>
      <c r="Z1573" s="2">
        <v>1</v>
      </c>
      <c r="AA1573" s="2" t="s">
        <v>82</v>
      </c>
      <c r="AB1573" s="2">
        <v>2</v>
      </c>
      <c r="AC1573" s="2" t="s">
        <v>102</v>
      </c>
      <c r="AD1573" s="3">
        <v>40286</v>
      </c>
      <c r="AE1573" s="4">
        <v>0.80208333333333337</v>
      </c>
      <c r="AF1573" s="2"/>
      <c r="AG1573" s="2"/>
      <c r="AH1573" s="2">
        <v>5</v>
      </c>
      <c r="AI1573" s="2" t="s">
        <v>274</v>
      </c>
      <c r="AJ1573" s="2">
        <v>38</v>
      </c>
      <c r="AK1573" s="2" t="s">
        <v>1120</v>
      </c>
      <c r="AL1573" s="2">
        <v>14</v>
      </c>
      <c r="AM1573" s="2" t="s">
        <v>216</v>
      </c>
      <c r="AN1573" s="2"/>
      <c r="AO1573" s="2" t="s">
        <v>5741</v>
      </c>
      <c r="AP1573" s="2">
        <v>11</v>
      </c>
      <c r="AQ1573" s="2" t="s">
        <v>82</v>
      </c>
      <c r="AR1573" s="2"/>
      <c r="AS1573" s="2"/>
      <c r="AT1573" s="2" t="s">
        <v>5742</v>
      </c>
      <c r="AU1573" s="2"/>
      <c r="AV1573" s="2"/>
      <c r="AW1573" s="2"/>
      <c r="AX1573" s="2"/>
      <c r="AY1573" s="2">
        <v>41</v>
      </c>
      <c r="AZ1573" s="2" t="s">
        <v>82</v>
      </c>
      <c r="BA1573" s="2">
        <v>41</v>
      </c>
      <c r="BB1573" s="2" t="s">
        <v>82</v>
      </c>
      <c r="BC1573" s="2">
        <v>41</v>
      </c>
      <c r="BD1573" s="2" t="s">
        <v>82</v>
      </c>
      <c r="BE1573" s="2">
        <v>4</v>
      </c>
      <c r="BF1573" s="2" t="s">
        <v>90</v>
      </c>
      <c r="BG1573" s="2">
        <v>4031</v>
      </c>
      <c r="BH1573" s="4">
        <v>0.73958333333333337</v>
      </c>
      <c r="BI1573" s="4">
        <v>0.76736111111111116</v>
      </c>
      <c r="BJ1573" s="2">
        <v>13</v>
      </c>
      <c r="BK1573" s="2" t="s">
        <v>91</v>
      </c>
      <c r="BL1573" s="2" t="s">
        <v>170</v>
      </c>
      <c r="BM1573" s="2">
        <v>13</v>
      </c>
      <c r="BN1573" s="2" t="s">
        <v>91</v>
      </c>
      <c r="BO1573" s="2" t="s">
        <v>1697</v>
      </c>
      <c r="BP1573" s="2">
        <v>13</v>
      </c>
      <c r="BQ1573" s="2" t="s">
        <v>91</v>
      </c>
      <c r="BR1573" s="2" t="s">
        <v>170</v>
      </c>
      <c r="BS1573" s="3">
        <v>40287</v>
      </c>
      <c r="BT1573" s="4">
        <v>0.37734953703703705</v>
      </c>
    </row>
    <row r="1574" spans="1:72" x14ac:dyDescent="0.25">
      <c r="A1574" s="2">
        <v>2313</v>
      </c>
      <c r="B1574" s="2">
        <v>2010</v>
      </c>
      <c r="C1574" s="2" t="s">
        <v>1559</v>
      </c>
      <c r="D1574" s="2" t="s">
        <v>73</v>
      </c>
      <c r="E1574" s="2"/>
      <c r="F1574" s="2">
        <v>125</v>
      </c>
      <c r="G1574" s="2" t="s">
        <v>1483</v>
      </c>
      <c r="H1574" s="2">
        <v>47</v>
      </c>
      <c r="I1574" s="2" t="s">
        <v>1409</v>
      </c>
      <c r="J1574" s="2">
        <v>139</v>
      </c>
      <c r="K1574" s="2" t="s">
        <v>1485</v>
      </c>
      <c r="L1574" s="2" t="s">
        <v>1486</v>
      </c>
      <c r="M1574" s="3">
        <v>40287</v>
      </c>
      <c r="N1574" s="2"/>
      <c r="O1574" s="2" t="s">
        <v>5743</v>
      </c>
      <c r="P1574" s="2" t="s">
        <v>2174</v>
      </c>
      <c r="Q1574" s="2" t="str">
        <f>""</f>
        <v/>
      </c>
      <c r="R1574" s="2"/>
      <c r="S1574" s="2"/>
      <c r="T1574" s="2">
        <v>1</v>
      </c>
      <c r="U1574" s="2" t="s">
        <v>79</v>
      </c>
      <c r="V1574" s="2">
        <v>3</v>
      </c>
      <c r="W1574" s="2" t="s">
        <v>225</v>
      </c>
      <c r="X1574" s="2">
        <v>6</v>
      </c>
      <c r="Y1574" s="2" t="s">
        <v>249</v>
      </c>
      <c r="Z1574" s="2">
        <v>1</v>
      </c>
      <c r="AA1574" s="2" t="s">
        <v>82</v>
      </c>
      <c r="AB1574" s="2">
        <v>9</v>
      </c>
      <c r="AC1574" s="2" t="s">
        <v>124</v>
      </c>
      <c r="AD1574" s="3">
        <v>40284</v>
      </c>
      <c r="AE1574" s="4">
        <v>0.74652777777777779</v>
      </c>
      <c r="AF1574" s="2"/>
      <c r="AG1574" s="2"/>
      <c r="AH1574" s="2">
        <v>6</v>
      </c>
      <c r="AI1574" s="2" t="s">
        <v>197</v>
      </c>
      <c r="AJ1574" s="2">
        <v>47</v>
      </c>
      <c r="AK1574" s="2" t="s">
        <v>250</v>
      </c>
      <c r="AL1574" s="2">
        <v>19</v>
      </c>
      <c r="AM1574" s="2" t="s">
        <v>107</v>
      </c>
      <c r="AN1574" s="2"/>
      <c r="AO1574" s="2" t="s">
        <v>5744</v>
      </c>
      <c r="AP1574" s="2">
        <v>11</v>
      </c>
      <c r="AQ1574" s="2" t="s">
        <v>82</v>
      </c>
      <c r="AR1574" s="2"/>
      <c r="AS1574" s="2"/>
      <c r="AT1574" s="2" t="s">
        <v>5745</v>
      </c>
      <c r="AU1574" s="2"/>
      <c r="AV1574" s="2"/>
      <c r="AW1574" s="2"/>
      <c r="AX1574" s="2"/>
      <c r="AY1574" s="2">
        <v>41</v>
      </c>
      <c r="AZ1574" s="2" t="s">
        <v>82</v>
      </c>
      <c r="BA1574" s="2">
        <v>41</v>
      </c>
      <c r="BB1574" s="2" t="s">
        <v>82</v>
      </c>
      <c r="BC1574" s="2">
        <v>41</v>
      </c>
      <c r="BD1574" s="2" t="s">
        <v>82</v>
      </c>
      <c r="BE1574" s="2">
        <v>41</v>
      </c>
      <c r="BF1574" s="2" t="s">
        <v>82</v>
      </c>
      <c r="BG1574" s="2"/>
      <c r="BH1574" s="2"/>
      <c r="BI1574" s="2"/>
      <c r="BJ1574" s="2">
        <v>241</v>
      </c>
      <c r="BK1574" s="2" t="s">
        <v>82</v>
      </c>
      <c r="BL1574" s="2"/>
      <c r="BM1574" s="2">
        <v>241</v>
      </c>
      <c r="BN1574" s="2" t="s">
        <v>82</v>
      </c>
      <c r="BO1574" s="2"/>
      <c r="BP1574" s="2">
        <v>241</v>
      </c>
      <c r="BQ1574" s="2" t="s">
        <v>82</v>
      </c>
      <c r="BR1574" s="2"/>
      <c r="BS1574" s="3">
        <v>40287</v>
      </c>
      <c r="BT1574" s="4">
        <v>0.4866550925925926</v>
      </c>
    </row>
    <row r="1575" spans="1:72" x14ac:dyDescent="0.25">
      <c r="A1575" s="2">
        <v>2314</v>
      </c>
      <c r="B1575" s="2">
        <v>2010</v>
      </c>
      <c r="C1575" s="2" t="s">
        <v>171</v>
      </c>
      <c r="D1575" s="2" t="s">
        <v>122</v>
      </c>
      <c r="E1575" s="2" t="s">
        <v>5746</v>
      </c>
      <c r="F1575" s="2">
        <v>400</v>
      </c>
      <c r="G1575" s="2" t="s">
        <v>3601</v>
      </c>
      <c r="H1575" s="2">
        <v>17</v>
      </c>
      <c r="I1575" s="2" t="s">
        <v>3602</v>
      </c>
      <c r="J1575" s="2">
        <v>316</v>
      </c>
      <c r="K1575" s="2" t="s">
        <v>574</v>
      </c>
      <c r="L1575" s="2" t="s">
        <v>575</v>
      </c>
      <c r="M1575" s="3">
        <v>40287</v>
      </c>
      <c r="N1575" s="2" t="s">
        <v>3826</v>
      </c>
      <c r="O1575" s="2"/>
      <c r="P1575" s="2"/>
      <c r="Q1575" s="2" t="str">
        <f>"199-E/10"</f>
        <v>199-E/10</v>
      </c>
      <c r="R1575" s="2"/>
      <c r="S1575" s="2" t="s">
        <v>5500</v>
      </c>
      <c r="T1575" s="2">
        <v>1</v>
      </c>
      <c r="U1575" s="2" t="s">
        <v>79</v>
      </c>
      <c r="V1575" s="2">
        <v>1</v>
      </c>
      <c r="W1575" s="2" t="s">
        <v>80</v>
      </c>
      <c r="X1575" s="2">
        <v>1</v>
      </c>
      <c r="Y1575" s="2" t="s">
        <v>81</v>
      </c>
      <c r="Z1575" s="2">
        <v>10</v>
      </c>
      <c r="AA1575" s="2" t="s">
        <v>236</v>
      </c>
      <c r="AB1575" s="2">
        <v>1</v>
      </c>
      <c r="AC1575" s="2" t="s">
        <v>178</v>
      </c>
      <c r="AD1575" s="3">
        <v>40280</v>
      </c>
      <c r="AE1575" s="4">
        <v>0.79166666666666663</v>
      </c>
      <c r="AF1575" s="2"/>
      <c r="AG1575" s="2"/>
      <c r="AH1575" s="2">
        <v>2</v>
      </c>
      <c r="AI1575" s="2" t="s">
        <v>84</v>
      </c>
      <c r="AJ1575" s="2">
        <v>9</v>
      </c>
      <c r="AK1575" s="2" t="s">
        <v>103</v>
      </c>
      <c r="AL1575" s="2">
        <v>15</v>
      </c>
      <c r="AM1575" s="2" t="s">
        <v>104</v>
      </c>
      <c r="AN1575" s="2" t="s">
        <v>5501</v>
      </c>
      <c r="AO1575" s="2"/>
      <c r="AP1575" s="2">
        <v>11</v>
      </c>
      <c r="AQ1575" s="2" t="s">
        <v>82</v>
      </c>
      <c r="AR1575" s="2"/>
      <c r="AS1575" s="2"/>
      <c r="AT1575" s="2" t="s">
        <v>5747</v>
      </c>
      <c r="AU1575" s="2"/>
      <c r="AV1575" s="2"/>
      <c r="AW1575" s="2"/>
      <c r="AX1575" s="2"/>
      <c r="AY1575" s="2">
        <v>41</v>
      </c>
      <c r="AZ1575" s="2" t="s">
        <v>82</v>
      </c>
      <c r="BA1575" s="2">
        <v>41</v>
      </c>
      <c r="BB1575" s="2" t="s">
        <v>82</v>
      </c>
      <c r="BC1575" s="2">
        <v>41</v>
      </c>
      <c r="BD1575" s="2" t="s">
        <v>82</v>
      </c>
      <c r="BE1575" s="2">
        <v>13</v>
      </c>
      <c r="BF1575" s="2" t="s">
        <v>108</v>
      </c>
      <c r="BG1575" s="2" t="s">
        <v>1769</v>
      </c>
      <c r="BH1575" s="2"/>
      <c r="BI1575" s="4">
        <v>0.875</v>
      </c>
      <c r="BJ1575" s="2">
        <v>13</v>
      </c>
      <c r="BK1575" s="2" t="s">
        <v>91</v>
      </c>
      <c r="BL1575" s="2" t="s">
        <v>5300</v>
      </c>
      <c r="BM1575" s="2">
        <v>242</v>
      </c>
      <c r="BN1575" s="2" t="s">
        <v>107</v>
      </c>
      <c r="BO1575" s="2"/>
      <c r="BP1575" s="2">
        <v>73</v>
      </c>
      <c r="BQ1575" s="2" t="s">
        <v>186</v>
      </c>
      <c r="BR1575" s="2" t="s">
        <v>187</v>
      </c>
      <c r="BS1575" s="3">
        <v>40287</v>
      </c>
      <c r="BT1575" s="4">
        <v>0.49364583333333334</v>
      </c>
    </row>
    <row r="1576" spans="1:72" x14ac:dyDescent="0.25">
      <c r="A1576" s="2">
        <v>2315</v>
      </c>
      <c r="B1576" s="2">
        <v>2010</v>
      </c>
      <c r="C1576" s="2" t="s">
        <v>72</v>
      </c>
      <c r="D1576" s="2" t="s">
        <v>5748</v>
      </c>
      <c r="E1576" s="2" t="s">
        <v>5749</v>
      </c>
      <c r="F1576" s="2">
        <v>550</v>
      </c>
      <c r="G1576" s="2" t="s">
        <v>4883</v>
      </c>
      <c r="H1576" s="2">
        <v>1</v>
      </c>
      <c r="I1576" s="2" t="s">
        <v>82</v>
      </c>
      <c r="J1576" s="2">
        <v>510</v>
      </c>
      <c r="K1576" s="2" t="s">
        <v>4884</v>
      </c>
      <c r="L1576" s="2" t="s">
        <v>4885</v>
      </c>
      <c r="M1576" s="3">
        <v>40287</v>
      </c>
      <c r="N1576" s="2" t="s">
        <v>5750</v>
      </c>
      <c r="O1576" s="2" t="s">
        <v>4887</v>
      </c>
      <c r="P1576" s="2" t="s">
        <v>5751</v>
      </c>
      <c r="Q1576" s="2" t="str">
        <f>"PREV.SUM 16/10"</f>
        <v>PREV.SUM 16/10</v>
      </c>
      <c r="R1576" s="2" t="s">
        <v>82</v>
      </c>
      <c r="S1576" s="2" t="s">
        <v>4887</v>
      </c>
      <c r="T1576" s="2">
        <v>1</v>
      </c>
      <c r="U1576" s="2" t="s">
        <v>79</v>
      </c>
      <c r="V1576" s="2">
        <v>1</v>
      </c>
      <c r="W1576" s="2" t="s">
        <v>80</v>
      </c>
      <c r="X1576" s="2">
        <v>5</v>
      </c>
      <c r="Y1576" s="2" t="s">
        <v>82</v>
      </c>
      <c r="Z1576" s="2">
        <v>22</v>
      </c>
      <c r="AA1576" s="2" t="s">
        <v>4417</v>
      </c>
      <c r="AB1576" s="2">
        <v>6</v>
      </c>
      <c r="AC1576" s="2" t="s">
        <v>83</v>
      </c>
      <c r="AD1576" s="3">
        <v>40287</v>
      </c>
      <c r="AE1576" s="4">
        <v>0.375</v>
      </c>
      <c r="AF1576" s="3">
        <v>40269</v>
      </c>
      <c r="AG1576" s="4">
        <v>0.85069444444444453</v>
      </c>
      <c r="AH1576" s="2">
        <v>5</v>
      </c>
      <c r="AI1576" s="2" t="s">
        <v>274</v>
      </c>
      <c r="AJ1576" s="2">
        <v>42</v>
      </c>
      <c r="AK1576" s="2" t="s">
        <v>660</v>
      </c>
      <c r="AL1576" s="2">
        <v>18</v>
      </c>
      <c r="AM1576" s="2" t="s">
        <v>82</v>
      </c>
      <c r="AN1576" s="2" t="s">
        <v>82</v>
      </c>
      <c r="AO1576" s="2" t="s">
        <v>82</v>
      </c>
      <c r="AP1576" s="2">
        <v>11</v>
      </c>
      <c r="AQ1576" s="2" t="s">
        <v>82</v>
      </c>
      <c r="AR1576" s="2" t="s">
        <v>82</v>
      </c>
      <c r="AS1576" s="2" t="s">
        <v>82</v>
      </c>
      <c r="AT1576" s="2" t="s">
        <v>5752</v>
      </c>
      <c r="AU1576" s="2"/>
      <c r="AV1576" s="2"/>
      <c r="AW1576" s="2"/>
      <c r="AX1576" s="2"/>
      <c r="AY1576" s="2">
        <v>41</v>
      </c>
      <c r="AZ1576" s="2" t="s">
        <v>82</v>
      </c>
      <c r="BA1576" s="2">
        <v>41</v>
      </c>
      <c r="BB1576" s="2" t="s">
        <v>82</v>
      </c>
      <c r="BC1576" s="2">
        <v>41</v>
      </c>
      <c r="BD1576" s="2" t="s">
        <v>82</v>
      </c>
      <c r="BE1576" s="2">
        <v>41</v>
      </c>
      <c r="BF1576" s="2" t="s">
        <v>82</v>
      </c>
      <c r="BG1576" s="2" t="s">
        <v>82</v>
      </c>
      <c r="BH1576" s="2"/>
      <c r="BI1576" s="2"/>
      <c r="BJ1576" s="2">
        <v>241</v>
      </c>
      <c r="BK1576" s="2" t="s">
        <v>82</v>
      </c>
      <c r="BL1576" s="2" t="s">
        <v>82</v>
      </c>
      <c r="BM1576" s="2">
        <v>241</v>
      </c>
      <c r="BN1576" s="2" t="s">
        <v>82</v>
      </c>
      <c r="BO1576" s="2" t="s">
        <v>82</v>
      </c>
      <c r="BP1576" s="2">
        <v>241</v>
      </c>
      <c r="BQ1576" s="2" t="s">
        <v>82</v>
      </c>
      <c r="BR1576" s="2" t="s">
        <v>82</v>
      </c>
      <c r="BS1576" s="3">
        <v>40287</v>
      </c>
      <c r="BT1576" s="4">
        <v>0.50964120370370369</v>
      </c>
    </row>
    <row r="1577" spans="1:72" x14ac:dyDescent="0.25">
      <c r="A1577" s="2">
        <v>2317</v>
      </c>
      <c r="B1577" s="2">
        <v>2010</v>
      </c>
      <c r="C1577" s="2" t="s">
        <v>4543</v>
      </c>
      <c r="D1577" s="2" t="s">
        <v>122</v>
      </c>
      <c r="E1577" s="2"/>
      <c r="F1577" s="2">
        <v>1</v>
      </c>
      <c r="G1577" s="2" t="s">
        <v>82</v>
      </c>
      <c r="H1577" s="2">
        <v>1</v>
      </c>
      <c r="I1577" s="2" t="s">
        <v>82</v>
      </c>
      <c r="J1577" s="2">
        <v>1</v>
      </c>
      <c r="K1577" s="2" t="s">
        <v>107</v>
      </c>
      <c r="L1577" s="2" t="s">
        <v>107</v>
      </c>
      <c r="M1577" s="3">
        <v>40287</v>
      </c>
      <c r="N1577" s="2" t="s">
        <v>82</v>
      </c>
      <c r="O1577" s="2" t="s">
        <v>82</v>
      </c>
      <c r="P1577" s="2" t="s">
        <v>82</v>
      </c>
      <c r="Q1577" s="2" t="str">
        <f>"N/C"</f>
        <v>N/C</v>
      </c>
      <c r="R1577" s="2" t="s">
        <v>82</v>
      </c>
      <c r="S1577" s="2" t="s">
        <v>82</v>
      </c>
      <c r="T1577" s="2">
        <v>2</v>
      </c>
      <c r="U1577" s="2" t="s">
        <v>123</v>
      </c>
      <c r="V1577" s="2">
        <v>1</v>
      </c>
      <c r="W1577" s="2" t="s">
        <v>80</v>
      </c>
      <c r="X1577" s="2">
        <v>5</v>
      </c>
      <c r="Y1577" s="2" t="s">
        <v>82</v>
      </c>
      <c r="Z1577" s="2">
        <v>1</v>
      </c>
      <c r="AA1577" s="2" t="s">
        <v>82</v>
      </c>
      <c r="AB1577" s="2">
        <v>9</v>
      </c>
      <c r="AC1577" s="2" t="s">
        <v>124</v>
      </c>
      <c r="AD1577" s="3">
        <v>40284</v>
      </c>
      <c r="AE1577" s="4">
        <v>0.91666666666666663</v>
      </c>
      <c r="AF1577" s="3">
        <v>40287</v>
      </c>
      <c r="AG1577" s="4">
        <v>0.50347222222222221</v>
      </c>
      <c r="AH1577" s="2">
        <v>6</v>
      </c>
      <c r="AI1577" s="2" t="s">
        <v>197</v>
      </c>
      <c r="AJ1577" s="2">
        <v>54</v>
      </c>
      <c r="AK1577" s="2" t="s">
        <v>348</v>
      </c>
      <c r="AL1577" s="2">
        <v>18</v>
      </c>
      <c r="AM1577" s="2" t="s">
        <v>82</v>
      </c>
      <c r="AN1577" s="2" t="s">
        <v>5753</v>
      </c>
      <c r="AO1577" s="2" t="s">
        <v>5754</v>
      </c>
      <c r="AP1577" s="2">
        <v>11</v>
      </c>
      <c r="AQ1577" s="2" t="s">
        <v>82</v>
      </c>
      <c r="AR1577" s="2" t="s">
        <v>82</v>
      </c>
      <c r="AS1577" s="2" t="s">
        <v>82</v>
      </c>
      <c r="AT1577" s="2" t="s">
        <v>5755</v>
      </c>
      <c r="AU1577" s="2"/>
      <c r="AV1577" s="2"/>
      <c r="AW1577" s="2"/>
      <c r="AX1577" s="2"/>
      <c r="AY1577" s="2">
        <v>1</v>
      </c>
      <c r="AZ1577" s="2" t="s">
        <v>107</v>
      </c>
      <c r="BA1577" s="2">
        <v>1</v>
      </c>
      <c r="BB1577" s="2" t="s">
        <v>107</v>
      </c>
      <c r="BC1577" s="2">
        <v>1</v>
      </c>
      <c r="BD1577" s="2" t="s">
        <v>107</v>
      </c>
      <c r="BE1577" s="2">
        <v>1</v>
      </c>
      <c r="BF1577" s="2" t="s">
        <v>107</v>
      </c>
      <c r="BG1577" s="2" t="s">
        <v>82</v>
      </c>
      <c r="BH1577" s="2"/>
      <c r="BI1577" s="2"/>
      <c r="BJ1577" s="2">
        <v>242</v>
      </c>
      <c r="BK1577" s="2" t="s">
        <v>107</v>
      </c>
      <c r="BL1577" s="2" t="s">
        <v>82</v>
      </c>
      <c r="BM1577" s="2">
        <v>242</v>
      </c>
      <c r="BN1577" s="2" t="s">
        <v>107</v>
      </c>
      <c r="BO1577" s="2" t="s">
        <v>82</v>
      </c>
      <c r="BP1577" s="2">
        <v>242</v>
      </c>
      <c r="BQ1577" s="2" t="s">
        <v>107</v>
      </c>
      <c r="BR1577" s="2" t="s">
        <v>82</v>
      </c>
      <c r="BS1577" s="3">
        <v>40287</v>
      </c>
      <c r="BT1577" s="4">
        <v>0.55774305555555559</v>
      </c>
    </row>
    <row r="1578" spans="1:72" x14ac:dyDescent="0.25">
      <c r="A1578" s="2">
        <v>2318</v>
      </c>
      <c r="B1578" s="2">
        <v>2010</v>
      </c>
      <c r="C1578" s="2" t="s">
        <v>385</v>
      </c>
      <c r="D1578" s="2" t="s">
        <v>122</v>
      </c>
      <c r="E1578" s="2"/>
      <c r="F1578" s="2">
        <v>499</v>
      </c>
      <c r="G1578" s="2" t="s">
        <v>2177</v>
      </c>
      <c r="H1578" s="2">
        <v>93</v>
      </c>
      <c r="I1578" s="2" t="s">
        <v>5659</v>
      </c>
      <c r="J1578" s="2">
        <v>33</v>
      </c>
      <c r="K1578" s="2" t="s">
        <v>2178</v>
      </c>
      <c r="L1578" s="2" t="s">
        <v>1877</v>
      </c>
      <c r="M1578" s="3">
        <v>40287</v>
      </c>
      <c r="N1578" s="2" t="s">
        <v>5603</v>
      </c>
      <c r="O1578" s="2" t="s">
        <v>5756</v>
      </c>
      <c r="P1578" s="2">
        <v>5385</v>
      </c>
      <c r="Q1578" s="2" t="str">
        <f>""</f>
        <v/>
      </c>
      <c r="R1578" s="2"/>
      <c r="S1578" s="2"/>
      <c r="T1578" s="2">
        <v>1</v>
      </c>
      <c r="U1578" s="2" t="s">
        <v>79</v>
      </c>
      <c r="V1578" s="2">
        <v>1</v>
      </c>
      <c r="W1578" s="2" t="s">
        <v>80</v>
      </c>
      <c r="X1578" s="2">
        <v>5</v>
      </c>
      <c r="Y1578" s="2" t="s">
        <v>82</v>
      </c>
      <c r="Z1578" s="2">
        <v>1</v>
      </c>
      <c r="AA1578" s="2" t="s">
        <v>82</v>
      </c>
      <c r="AB1578" s="2">
        <v>9</v>
      </c>
      <c r="AC1578" s="2" t="s">
        <v>124</v>
      </c>
      <c r="AD1578" s="3">
        <v>40287</v>
      </c>
      <c r="AE1578" s="4">
        <v>0.43055555555555558</v>
      </c>
      <c r="AF1578" s="2"/>
      <c r="AG1578" s="2"/>
      <c r="AH1578" s="2">
        <v>2</v>
      </c>
      <c r="AI1578" s="2" t="s">
        <v>84</v>
      </c>
      <c r="AJ1578" s="2">
        <v>8</v>
      </c>
      <c r="AK1578" s="2" t="s">
        <v>436</v>
      </c>
      <c r="AL1578" s="2">
        <v>18</v>
      </c>
      <c r="AM1578" s="2" t="s">
        <v>82</v>
      </c>
      <c r="AN1578" s="2"/>
      <c r="AO1578" s="2" t="s">
        <v>5757</v>
      </c>
      <c r="AP1578" s="2">
        <v>11</v>
      </c>
      <c r="AQ1578" s="2" t="s">
        <v>82</v>
      </c>
      <c r="AR1578" s="2"/>
      <c r="AS1578" s="2"/>
      <c r="AT1578" s="2" t="s">
        <v>5758</v>
      </c>
      <c r="AU1578" s="2">
        <v>1</v>
      </c>
      <c r="AV1578" s="2"/>
      <c r="AW1578" s="2"/>
      <c r="AX1578" s="2"/>
      <c r="AY1578" s="2">
        <v>41</v>
      </c>
      <c r="AZ1578" s="2" t="s">
        <v>82</v>
      </c>
      <c r="BA1578" s="2">
        <v>41</v>
      </c>
      <c r="BB1578" s="2" t="s">
        <v>82</v>
      </c>
      <c r="BC1578" s="2">
        <v>41</v>
      </c>
      <c r="BD1578" s="2" t="s">
        <v>82</v>
      </c>
      <c r="BE1578" s="2">
        <v>41</v>
      </c>
      <c r="BF1578" s="2" t="s">
        <v>82</v>
      </c>
      <c r="BG1578" s="2"/>
      <c r="BH1578" s="2"/>
      <c r="BI1578" s="2"/>
      <c r="BJ1578" s="2">
        <v>241</v>
      </c>
      <c r="BK1578" s="2" t="s">
        <v>82</v>
      </c>
      <c r="BL1578" s="2"/>
      <c r="BM1578" s="2">
        <v>241</v>
      </c>
      <c r="BN1578" s="2" t="s">
        <v>82</v>
      </c>
      <c r="BO1578" s="2"/>
      <c r="BP1578" s="2">
        <v>241</v>
      </c>
      <c r="BQ1578" s="2" t="s">
        <v>82</v>
      </c>
      <c r="BR1578" s="2"/>
      <c r="BS1578" s="3">
        <v>40287</v>
      </c>
      <c r="BT1578" s="4">
        <v>0.59759259259259256</v>
      </c>
    </row>
    <row r="1579" spans="1:72" x14ac:dyDescent="0.25">
      <c r="A1579" s="2">
        <v>2319</v>
      </c>
      <c r="B1579" s="2">
        <v>2010</v>
      </c>
      <c r="C1579" s="2" t="s">
        <v>3609</v>
      </c>
      <c r="D1579" s="2" t="s">
        <v>122</v>
      </c>
      <c r="E1579" s="2"/>
      <c r="F1579" s="2">
        <v>1</v>
      </c>
      <c r="G1579" s="2" t="s">
        <v>82</v>
      </c>
      <c r="H1579" s="2">
        <v>1</v>
      </c>
      <c r="I1579" s="2" t="s">
        <v>82</v>
      </c>
      <c r="J1579" s="2">
        <v>1</v>
      </c>
      <c r="K1579" s="2" t="s">
        <v>107</v>
      </c>
      <c r="L1579" s="2" t="s">
        <v>107</v>
      </c>
      <c r="M1579" s="3">
        <v>40287</v>
      </c>
      <c r="N1579" s="2" t="s">
        <v>82</v>
      </c>
      <c r="O1579" s="2" t="s">
        <v>82</v>
      </c>
      <c r="P1579" s="2" t="s">
        <v>82</v>
      </c>
      <c r="Q1579" s="2" t="str">
        <f>"N/C"</f>
        <v>N/C</v>
      </c>
      <c r="R1579" s="2" t="s">
        <v>82</v>
      </c>
      <c r="S1579" s="2" t="s">
        <v>82</v>
      </c>
      <c r="T1579" s="2">
        <v>1</v>
      </c>
      <c r="U1579" s="2" t="s">
        <v>79</v>
      </c>
      <c r="V1579" s="2">
        <v>1</v>
      </c>
      <c r="W1579" s="2" t="s">
        <v>80</v>
      </c>
      <c r="X1579" s="2">
        <v>5</v>
      </c>
      <c r="Y1579" s="2" t="s">
        <v>82</v>
      </c>
      <c r="Z1579" s="2">
        <v>1</v>
      </c>
      <c r="AA1579" s="2" t="s">
        <v>82</v>
      </c>
      <c r="AB1579" s="2">
        <v>9</v>
      </c>
      <c r="AC1579" s="2" t="s">
        <v>124</v>
      </c>
      <c r="AD1579" s="3">
        <v>40287</v>
      </c>
      <c r="AE1579" s="4">
        <v>0.52083333333333337</v>
      </c>
      <c r="AF1579" s="2"/>
      <c r="AG1579" s="2"/>
      <c r="AH1579" s="2">
        <v>2</v>
      </c>
      <c r="AI1579" s="2" t="s">
        <v>84</v>
      </c>
      <c r="AJ1579" s="2">
        <v>9</v>
      </c>
      <c r="AK1579" s="2" t="s">
        <v>103</v>
      </c>
      <c r="AL1579" s="2">
        <v>18</v>
      </c>
      <c r="AM1579" s="2" t="s">
        <v>82</v>
      </c>
      <c r="AN1579" s="2" t="s">
        <v>5705</v>
      </c>
      <c r="AO1579" s="2" t="s">
        <v>1540</v>
      </c>
      <c r="AP1579" s="2">
        <v>11</v>
      </c>
      <c r="AQ1579" s="2" t="s">
        <v>82</v>
      </c>
      <c r="AR1579" s="2" t="s">
        <v>82</v>
      </c>
      <c r="AS1579" s="2" t="s">
        <v>82</v>
      </c>
      <c r="AT1579" s="2" t="s">
        <v>5759</v>
      </c>
      <c r="AU1579" s="2"/>
      <c r="AV1579" s="2"/>
      <c r="AW1579" s="2"/>
      <c r="AX1579" s="2"/>
      <c r="AY1579" s="2">
        <v>1</v>
      </c>
      <c r="AZ1579" s="2" t="s">
        <v>107</v>
      </c>
      <c r="BA1579" s="2">
        <v>1</v>
      </c>
      <c r="BB1579" s="2" t="s">
        <v>107</v>
      </c>
      <c r="BC1579" s="2">
        <v>97</v>
      </c>
      <c r="BD1579" s="2" t="s">
        <v>3562</v>
      </c>
      <c r="BE1579" s="2">
        <v>41</v>
      </c>
      <c r="BF1579" s="2" t="s">
        <v>82</v>
      </c>
      <c r="BG1579" s="2" t="s">
        <v>82</v>
      </c>
      <c r="BH1579" s="2"/>
      <c r="BI1579" s="2"/>
      <c r="BJ1579" s="2">
        <v>242</v>
      </c>
      <c r="BK1579" s="2" t="s">
        <v>107</v>
      </c>
      <c r="BL1579" s="2" t="s">
        <v>82</v>
      </c>
      <c r="BM1579" s="2">
        <v>242</v>
      </c>
      <c r="BN1579" s="2" t="s">
        <v>107</v>
      </c>
      <c r="BO1579" s="2" t="s">
        <v>82</v>
      </c>
      <c r="BP1579" s="2">
        <v>242</v>
      </c>
      <c r="BQ1579" s="2" t="s">
        <v>107</v>
      </c>
      <c r="BR1579" s="2" t="s">
        <v>82</v>
      </c>
      <c r="BS1579" s="3">
        <v>40287</v>
      </c>
      <c r="BT1579" s="4">
        <v>0.63287037037037031</v>
      </c>
    </row>
    <row r="1580" spans="1:72" x14ac:dyDescent="0.25">
      <c r="A1580" s="2">
        <v>2320</v>
      </c>
      <c r="B1580" s="2">
        <v>2010</v>
      </c>
      <c r="C1580" s="2" t="s">
        <v>93</v>
      </c>
      <c r="D1580" s="2" t="s">
        <v>122</v>
      </c>
      <c r="E1580" s="2"/>
      <c r="F1580" s="2">
        <v>597</v>
      </c>
      <c r="G1580" s="2" t="s">
        <v>5760</v>
      </c>
      <c r="H1580" s="2">
        <v>96</v>
      </c>
      <c r="I1580" s="2" t="s">
        <v>5761</v>
      </c>
      <c r="J1580" s="2">
        <v>194</v>
      </c>
      <c r="K1580" s="2" t="s">
        <v>5762</v>
      </c>
      <c r="L1580" s="2" t="s">
        <v>5763</v>
      </c>
      <c r="M1580" s="3">
        <v>40287</v>
      </c>
      <c r="N1580" s="2" t="s">
        <v>5764</v>
      </c>
      <c r="O1580" s="2" t="s">
        <v>1130</v>
      </c>
      <c r="P1580" s="2" t="s">
        <v>5765</v>
      </c>
      <c r="Q1580" s="2" t="str">
        <f>"A.P. 0010/10"</f>
        <v>A.P. 0010/10</v>
      </c>
      <c r="R1580" s="2"/>
      <c r="S1580" s="2" t="s">
        <v>5766</v>
      </c>
      <c r="T1580" s="2">
        <v>1</v>
      </c>
      <c r="U1580" s="2" t="s">
        <v>79</v>
      </c>
      <c r="V1580" s="2">
        <v>1</v>
      </c>
      <c r="W1580" s="2" t="s">
        <v>80</v>
      </c>
      <c r="X1580" s="2">
        <v>3</v>
      </c>
      <c r="Y1580" s="2" t="s">
        <v>698</v>
      </c>
      <c r="Z1580" s="2">
        <v>1</v>
      </c>
      <c r="AA1580" s="2" t="s">
        <v>82</v>
      </c>
      <c r="AB1580" s="2">
        <v>2</v>
      </c>
      <c r="AC1580" s="2" t="s">
        <v>102</v>
      </c>
      <c r="AD1580" s="3">
        <v>40287</v>
      </c>
      <c r="AE1580" s="4">
        <v>0.52083333333333337</v>
      </c>
      <c r="AF1580" s="2"/>
      <c r="AG1580" s="2"/>
      <c r="AH1580" s="2">
        <v>5</v>
      </c>
      <c r="AI1580" s="2" t="s">
        <v>274</v>
      </c>
      <c r="AJ1580" s="2">
        <v>38</v>
      </c>
      <c r="AK1580" s="2" t="s">
        <v>1120</v>
      </c>
      <c r="AL1580" s="2">
        <v>14</v>
      </c>
      <c r="AM1580" s="2" t="s">
        <v>216</v>
      </c>
      <c r="AN1580" s="2"/>
      <c r="AO1580" s="2" t="s">
        <v>5741</v>
      </c>
      <c r="AP1580" s="2">
        <v>11</v>
      </c>
      <c r="AQ1580" s="2" t="s">
        <v>82</v>
      </c>
      <c r="AR1580" s="2"/>
      <c r="AS1580" s="2"/>
      <c r="AT1580" s="2" t="s">
        <v>5767</v>
      </c>
      <c r="AU1580" s="2"/>
      <c r="AV1580" s="2"/>
      <c r="AW1580" s="2"/>
      <c r="AX1580" s="2"/>
      <c r="AY1580" s="2">
        <v>41</v>
      </c>
      <c r="AZ1580" s="2" t="s">
        <v>82</v>
      </c>
      <c r="BA1580" s="2">
        <v>41</v>
      </c>
      <c r="BB1580" s="2" t="s">
        <v>82</v>
      </c>
      <c r="BC1580" s="2">
        <v>41</v>
      </c>
      <c r="BD1580" s="2" t="s">
        <v>82</v>
      </c>
      <c r="BE1580" s="2">
        <v>4</v>
      </c>
      <c r="BF1580" s="2" t="s">
        <v>90</v>
      </c>
      <c r="BG1580" s="2">
        <v>4023</v>
      </c>
      <c r="BH1580" s="4">
        <v>0.4513888888888889</v>
      </c>
      <c r="BI1580" s="4">
        <v>0.47916666666666669</v>
      </c>
      <c r="BJ1580" s="2">
        <v>13</v>
      </c>
      <c r="BK1580" s="2" t="s">
        <v>91</v>
      </c>
      <c r="BL1580" s="2" t="s">
        <v>170</v>
      </c>
      <c r="BM1580" s="2">
        <v>13</v>
      </c>
      <c r="BN1580" s="2" t="s">
        <v>91</v>
      </c>
      <c r="BO1580" s="2" t="s">
        <v>2005</v>
      </c>
      <c r="BP1580" s="2">
        <v>13</v>
      </c>
      <c r="BQ1580" s="2" t="s">
        <v>91</v>
      </c>
      <c r="BR1580" s="2" t="s">
        <v>170</v>
      </c>
      <c r="BS1580" s="3">
        <v>40287</v>
      </c>
      <c r="BT1580" s="4">
        <v>0.664525462962963</v>
      </c>
    </row>
    <row r="1581" spans="1:72" x14ac:dyDescent="0.25">
      <c r="A1581" s="2">
        <v>2321</v>
      </c>
      <c r="B1581" s="2">
        <v>2010</v>
      </c>
      <c r="C1581" s="2" t="s">
        <v>1559</v>
      </c>
      <c r="D1581" s="2" t="s">
        <v>73</v>
      </c>
      <c r="E1581" s="2"/>
      <c r="F1581" s="2">
        <v>591</v>
      </c>
      <c r="G1581" s="2" t="s">
        <v>5658</v>
      </c>
      <c r="H1581" s="2">
        <v>7</v>
      </c>
      <c r="I1581" s="2" t="s">
        <v>476</v>
      </c>
      <c r="J1581" s="2">
        <v>33</v>
      </c>
      <c r="K1581" s="2" t="s">
        <v>2178</v>
      </c>
      <c r="L1581" s="2" t="s">
        <v>1877</v>
      </c>
      <c r="M1581" s="3">
        <v>40287</v>
      </c>
      <c r="N1581" s="2" t="s">
        <v>5768</v>
      </c>
      <c r="O1581" s="2" t="s">
        <v>5769</v>
      </c>
      <c r="P1581" s="2">
        <v>14002</v>
      </c>
      <c r="Q1581" s="2" t="str">
        <f>"N/C"</f>
        <v>N/C</v>
      </c>
      <c r="R1581" s="2" t="s">
        <v>82</v>
      </c>
      <c r="S1581" s="2" t="s">
        <v>82</v>
      </c>
      <c r="T1581" s="2">
        <v>1</v>
      </c>
      <c r="U1581" s="2" t="s">
        <v>79</v>
      </c>
      <c r="V1581" s="2">
        <v>1</v>
      </c>
      <c r="W1581" s="2" t="s">
        <v>80</v>
      </c>
      <c r="X1581" s="2">
        <v>9</v>
      </c>
      <c r="Y1581" s="2" t="s">
        <v>3393</v>
      </c>
      <c r="Z1581" s="2">
        <v>1</v>
      </c>
      <c r="AA1581" s="2" t="s">
        <v>82</v>
      </c>
      <c r="AB1581" s="2">
        <v>9</v>
      </c>
      <c r="AC1581" s="2" t="s">
        <v>124</v>
      </c>
      <c r="AD1581" s="3">
        <v>40287</v>
      </c>
      <c r="AE1581" s="4">
        <v>0.33333333333333331</v>
      </c>
      <c r="AF1581" s="2"/>
      <c r="AG1581" s="2"/>
      <c r="AH1581" s="2">
        <v>2</v>
      </c>
      <c r="AI1581" s="2" t="s">
        <v>84</v>
      </c>
      <c r="AJ1581" s="2">
        <v>6</v>
      </c>
      <c r="AK1581" s="2" t="s">
        <v>453</v>
      </c>
      <c r="AL1581" s="2">
        <v>23</v>
      </c>
      <c r="AM1581" s="2" t="s">
        <v>251</v>
      </c>
      <c r="AN1581" s="2" t="s">
        <v>5770</v>
      </c>
      <c r="AO1581" s="2" t="s">
        <v>5771</v>
      </c>
      <c r="AP1581" s="2">
        <v>11</v>
      </c>
      <c r="AQ1581" s="2" t="s">
        <v>82</v>
      </c>
      <c r="AR1581" s="2"/>
      <c r="AS1581" s="2"/>
      <c r="AT1581" s="2" t="s">
        <v>5772</v>
      </c>
      <c r="AU1581" s="2">
        <v>1</v>
      </c>
      <c r="AV1581" s="2"/>
      <c r="AW1581" s="2"/>
      <c r="AX1581" s="2"/>
      <c r="AY1581" s="2">
        <v>42</v>
      </c>
      <c r="AZ1581" s="2" t="s">
        <v>182</v>
      </c>
      <c r="BA1581" s="2">
        <v>41</v>
      </c>
      <c r="BB1581" s="2" t="s">
        <v>82</v>
      </c>
      <c r="BC1581" s="2">
        <v>41</v>
      </c>
      <c r="BD1581" s="2" t="s">
        <v>82</v>
      </c>
      <c r="BE1581" s="2">
        <v>41</v>
      </c>
      <c r="BF1581" s="2" t="s">
        <v>82</v>
      </c>
      <c r="BG1581" s="2"/>
      <c r="BH1581" s="2"/>
      <c r="BI1581" s="2"/>
      <c r="BJ1581" s="2">
        <v>241</v>
      </c>
      <c r="BK1581" s="2" t="s">
        <v>82</v>
      </c>
      <c r="BL1581" s="2"/>
      <c r="BM1581" s="2">
        <v>241</v>
      </c>
      <c r="BN1581" s="2" t="s">
        <v>82</v>
      </c>
      <c r="BO1581" s="2"/>
      <c r="BP1581" s="2">
        <v>241</v>
      </c>
      <c r="BQ1581" s="2" t="s">
        <v>82</v>
      </c>
      <c r="BR1581" s="2"/>
      <c r="BS1581" s="3">
        <v>40287</v>
      </c>
      <c r="BT1581" s="4">
        <v>0.67260416666666656</v>
      </c>
    </row>
    <row r="1582" spans="1:72" x14ac:dyDescent="0.25">
      <c r="A1582" s="2">
        <v>2323</v>
      </c>
      <c r="B1582" s="2">
        <v>2010</v>
      </c>
      <c r="C1582" s="2" t="s">
        <v>377</v>
      </c>
      <c r="D1582" s="2" t="s">
        <v>73</v>
      </c>
      <c r="E1582" s="2"/>
      <c r="F1582" s="2">
        <v>426</v>
      </c>
      <c r="G1582" s="2" t="s">
        <v>378</v>
      </c>
      <c r="H1582" s="2">
        <v>22</v>
      </c>
      <c r="I1582" s="2" t="s">
        <v>75</v>
      </c>
      <c r="J1582" s="2">
        <v>311</v>
      </c>
      <c r="K1582" s="2" t="s">
        <v>379</v>
      </c>
      <c r="L1582" s="2" t="s">
        <v>380</v>
      </c>
      <c r="M1582" s="3">
        <v>40287</v>
      </c>
      <c r="N1582" s="2" t="s">
        <v>4427</v>
      </c>
      <c r="O1582" s="2"/>
      <c r="P1582" s="2"/>
      <c r="Q1582" s="2" t="str">
        <f>"049-C/10"</f>
        <v>049-C/10</v>
      </c>
      <c r="R1582" s="2" t="s">
        <v>5773</v>
      </c>
      <c r="S1582" s="2" t="s">
        <v>5773</v>
      </c>
      <c r="T1582" s="2">
        <v>1</v>
      </c>
      <c r="U1582" s="2" t="s">
        <v>79</v>
      </c>
      <c r="V1582" s="2">
        <v>1</v>
      </c>
      <c r="W1582" s="2" t="s">
        <v>80</v>
      </c>
      <c r="X1582" s="2">
        <v>1</v>
      </c>
      <c r="Y1582" s="2" t="s">
        <v>81</v>
      </c>
      <c r="Z1582" s="2">
        <v>1</v>
      </c>
      <c r="AA1582" s="2" t="s">
        <v>82</v>
      </c>
      <c r="AB1582" s="2">
        <v>9</v>
      </c>
      <c r="AC1582" s="2" t="s">
        <v>124</v>
      </c>
      <c r="AD1582" s="3">
        <v>40287</v>
      </c>
      <c r="AE1582" s="4">
        <v>0.31944444444444448</v>
      </c>
      <c r="AF1582" s="2"/>
      <c r="AG1582" s="2"/>
      <c r="AH1582" s="2">
        <v>2</v>
      </c>
      <c r="AI1582" s="2" t="s">
        <v>84</v>
      </c>
      <c r="AJ1582" s="2">
        <v>9</v>
      </c>
      <c r="AK1582" s="2" t="s">
        <v>103</v>
      </c>
      <c r="AL1582" s="2">
        <v>7</v>
      </c>
      <c r="AM1582" s="2" t="s">
        <v>1450</v>
      </c>
      <c r="AN1582" s="2"/>
      <c r="AO1582" s="2" t="s">
        <v>5774</v>
      </c>
      <c r="AP1582" s="2">
        <v>11</v>
      </c>
      <c r="AQ1582" s="2" t="s">
        <v>82</v>
      </c>
      <c r="AR1582" s="2"/>
      <c r="AS1582" s="2"/>
      <c r="AT1582" s="2" t="s">
        <v>5775</v>
      </c>
      <c r="AU1582" s="2"/>
      <c r="AV1582" s="2"/>
      <c r="AW1582" s="2"/>
      <c r="AX1582" s="2"/>
      <c r="AY1582" s="2">
        <v>41</v>
      </c>
      <c r="AZ1582" s="2" t="s">
        <v>82</v>
      </c>
      <c r="BA1582" s="2">
        <v>41</v>
      </c>
      <c r="BB1582" s="2" t="s">
        <v>82</v>
      </c>
      <c r="BC1582" s="2">
        <v>41</v>
      </c>
      <c r="BD1582" s="2" t="s">
        <v>82</v>
      </c>
      <c r="BE1582" s="2">
        <v>41</v>
      </c>
      <c r="BF1582" s="2" t="s">
        <v>82</v>
      </c>
      <c r="BG1582" s="2"/>
      <c r="BH1582" s="2"/>
      <c r="BI1582" s="2"/>
      <c r="BJ1582" s="2">
        <v>241</v>
      </c>
      <c r="BK1582" s="2" t="s">
        <v>82</v>
      </c>
      <c r="BL1582" s="2"/>
      <c r="BM1582" s="2">
        <v>241</v>
      </c>
      <c r="BN1582" s="2" t="s">
        <v>82</v>
      </c>
      <c r="BO1582" s="2"/>
      <c r="BP1582" s="2">
        <v>241</v>
      </c>
      <c r="BQ1582" s="2" t="s">
        <v>82</v>
      </c>
      <c r="BR1582" s="2"/>
      <c r="BS1582" s="3">
        <v>40287</v>
      </c>
      <c r="BT1582" s="4">
        <v>0.69721064814814815</v>
      </c>
    </row>
    <row r="1583" spans="1:72" x14ac:dyDescent="0.25">
      <c r="A1583" s="2">
        <v>2324</v>
      </c>
      <c r="B1583" s="2">
        <v>2010</v>
      </c>
      <c r="C1583" s="2" t="s">
        <v>93</v>
      </c>
      <c r="D1583" s="2" t="s">
        <v>73</v>
      </c>
      <c r="E1583" s="2"/>
      <c r="F1583" s="2">
        <v>598</v>
      </c>
      <c r="G1583" s="2" t="s">
        <v>5776</v>
      </c>
      <c r="H1583" s="2">
        <v>17</v>
      </c>
      <c r="I1583" s="2" t="s">
        <v>3602</v>
      </c>
      <c r="J1583" s="2">
        <v>451</v>
      </c>
      <c r="K1583" s="2" t="s">
        <v>3028</v>
      </c>
      <c r="L1583" s="2" t="s">
        <v>3029</v>
      </c>
      <c r="M1583" s="3">
        <v>40287</v>
      </c>
      <c r="N1583" s="2" t="s">
        <v>5777</v>
      </c>
      <c r="O1583" s="2" t="s">
        <v>5778</v>
      </c>
      <c r="P1583" s="2" t="s">
        <v>5779</v>
      </c>
      <c r="Q1583" s="2" t="str">
        <f>"0051/10"</f>
        <v>0051/10</v>
      </c>
      <c r="R1583" s="2"/>
      <c r="S1583" s="2" t="s">
        <v>1695</v>
      </c>
      <c r="T1583" s="2">
        <v>1</v>
      </c>
      <c r="U1583" s="2" t="s">
        <v>79</v>
      </c>
      <c r="V1583" s="2">
        <v>1</v>
      </c>
      <c r="W1583" s="2" t="s">
        <v>80</v>
      </c>
      <c r="X1583" s="2">
        <v>3</v>
      </c>
      <c r="Y1583" s="2" t="s">
        <v>698</v>
      </c>
      <c r="Z1583" s="2">
        <v>9</v>
      </c>
      <c r="AA1583" s="2" t="s">
        <v>1119</v>
      </c>
      <c r="AB1583" s="2">
        <v>2</v>
      </c>
      <c r="AC1583" s="2" t="s">
        <v>102</v>
      </c>
      <c r="AD1583" s="3">
        <v>40287</v>
      </c>
      <c r="AE1583" s="4">
        <v>0.54166666666666663</v>
      </c>
      <c r="AF1583" s="2"/>
      <c r="AG1583" s="2"/>
      <c r="AH1583" s="2">
        <v>5</v>
      </c>
      <c r="AI1583" s="2" t="s">
        <v>274</v>
      </c>
      <c r="AJ1583" s="2">
        <v>38</v>
      </c>
      <c r="AK1583" s="2" t="s">
        <v>1120</v>
      </c>
      <c r="AL1583" s="2">
        <v>14</v>
      </c>
      <c r="AM1583" s="2" t="s">
        <v>216</v>
      </c>
      <c r="AN1583" s="2"/>
      <c r="AO1583" s="2" t="s">
        <v>5741</v>
      </c>
      <c r="AP1583" s="2">
        <v>11</v>
      </c>
      <c r="AQ1583" s="2" t="s">
        <v>82</v>
      </c>
      <c r="AR1583" s="2"/>
      <c r="AS1583" s="2"/>
      <c r="AT1583" s="2" t="s">
        <v>5780</v>
      </c>
      <c r="AU1583" s="2"/>
      <c r="AV1583" s="2"/>
      <c r="AW1583" s="2"/>
      <c r="AX1583" s="2"/>
      <c r="AY1583" s="2">
        <v>41</v>
      </c>
      <c r="AZ1583" s="2" t="s">
        <v>82</v>
      </c>
      <c r="BA1583" s="2">
        <v>41</v>
      </c>
      <c r="BB1583" s="2" t="s">
        <v>82</v>
      </c>
      <c r="BC1583" s="2">
        <v>41</v>
      </c>
      <c r="BD1583" s="2" t="s">
        <v>82</v>
      </c>
      <c r="BE1583" s="2">
        <v>41</v>
      </c>
      <c r="BF1583" s="2" t="s">
        <v>82</v>
      </c>
      <c r="BG1583" s="2">
        <v>4023</v>
      </c>
      <c r="BH1583" s="4">
        <v>0.4513888888888889</v>
      </c>
      <c r="BI1583" s="4">
        <v>0.47916666666666669</v>
      </c>
      <c r="BJ1583" s="2">
        <v>13</v>
      </c>
      <c r="BK1583" s="2" t="s">
        <v>91</v>
      </c>
      <c r="BL1583" s="2" t="s">
        <v>92</v>
      </c>
      <c r="BM1583" s="2">
        <v>241</v>
      </c>
      <c r="BN1583" s="2" t="s">
        <v>82</v>
      </c>
      <c r="BO1583" s="2" t="s">
        <v>82</v>
      </c>
      <c r="BP1583" s="2">
        <v>13</v>
      </c>
      <c r="BQ1583" s="2" t="s">
        <v>91</v>
      </c>
      <c r="BR1583" s="2" t="s">
        <v>170</v>
      </c>
      <c r="BS1583" s="3">
        <v>40287</v>
      </c>
      <c r="BT1583" s="4">
        <v>0.72381944444444446</v>
      </c>
    </row>
    <row r="1584" spans="1:72" x14ac:dyDescent="0.25">
      <c r="A1584" s="2">
        <v>2326</v>
      </c>
      <c r="B1584" s="2">
        <v>2010</v>
      </c>
      <c r="C1584" s="2" t="s">
        <v>377</v>
      </c>
      <c r="D1584" s="2" t="s">
        <v>73</v>
      </c>
      <c r="E1584" s="2"/>
      <c r="F1584" s="2">
        <v>426</v>
      </c>
      <c r="G1584" s="2" t="s">
        <v>378</v>
      </c>
      <c r="H1584" s="2">
        <v>22</v>
      </c>
      <c r="I1584" s="2" t="s">
        <v>75</v>
      </c>
      <c r="J1584" s="2">
        <v>311</v>
      </c>
      <c r="K1584" s="2" t="s">
        <v>379</v>
      </c>
      <c r="L1584" s="2" t="s">
        <v>380</v>
      </c>
      <c r="M1584" s="3">
        <v>40287</v>
      </c>
      <c r="N1584" s="2" t="s">
        <v>4427</v>
      </c>
      <c r="O1584" s="2" t="s">
        <v>4428</v>
      </c>
      <c r="P1584" s="2"/>
      <c r="Q1584" s="2" t="str">
        <f>"048-C/10"</f>
        <v>048-C/10</v>
      </c>
      <c r="R1584" s="2"/>
      <c r="S1584" s="2" t="s">
        <v>4428</v>
      </c>
      <c r="T1584" s="2">
        <v>1</v>
      </c>
      <c r="U1584" s="2" t="s">
        <v>79</v>
      </c>
      <c r="V1584" s="2">
        <v>1</v>
      </c>
      <c r="W1584" s="2" t="s">
        <v>80</v>
      </c>
      <c r="X1584" s="2">
        <v>1</v>
      </c>
      <c r="Y1584" s="2" t="s">
        <v>81</v>
      </c>
      <c r="Z1584" s="2">
        <v>1</v>
      </c>
      <c r="AA1584" s="2" t="s">
        <v>82</v>
      </c>
      <c r="AB1584" s="2">
        <v>9</v>
      </c>
      <c r="AC1584" s="2" t="s">
        <v>124</v>
      </c>
      <c r="AD1584" s="3">
        <v>40277</v>
      </c>
      <c r="AE1584" s="4">
        <v>0.83680555555555547</v>
      </c>
      <c r="AF1584" s="2"/>
      <c r="AG1584" s="2"/>
      <c r="AH1584" s="2">
        <v>2</v>
      </c>
      <c r="AI1584" s="2" t="s">
        <v>84</v>
      </c>
      <c r="AJ1584" s="2">
        <v>9</v>
      </c>
      <c r="AK1584" s="2" t="s">
        <v>103</v>
      </c>
      <c r="AL1584" s="2">
        <v>12</v>
      </c>
      <c r="AM1584" s="2" t="s">
        <v>86</v>
      </c>
      <c r="AN1584" s="2"/>
      <c r="AO1584" s="2" t="s">
        <v>4561</v>
      </c>
      <c r="AP1584" s="2">
        <v>11</v>
      </c>
      <c r="AQ1584" s="2" t="s">
        <v>82</v>
      </c>
      <c r="AR1584" s="2"/>
      <c r="AS1584" s="2"/>
      <c r="AT1584" s="2" t="s">
        <v>5781</v>
      </c>
      <c r="AU1584" s="2"/>
      <c r="AV1584" s="2"/>
      <c r="AW1584" s="2"/>
      <c r="AX1584" s="2"/>
      <c r="AY1584" s="2">
        <v>41</v>
      </c>
      <c r="AZ1584" s="2" t="s">
        <v>82</v>
      </c>
      <c r="BA1584" s="2">
        <v>41</v>
      </c>
      <c r="BB1584" s="2" t="s">
        <v>82</v>
      </c>
      <c r="BC1584" s="2">
        <v>41</v>
      </c>
      <c r="BD1584" s="2" t="s">
        <v>82</v>
      </c>
      <c r="BE1584" s="2">
        <v>41</v>
      </c>
      <c r="BF1584" s="2" t="s">
        <v>82</v>
      </c>
      <c r="BG1584" s="2"/>
      <c r="BH1584" s="2"/>
      <c r="BI1584" s="2"/>
      <c r="BJ1584" s="2">
        <v>241</v>
      </c>
      <c r="BK1584" s="2" t="s">
        <v>82</v>
      </c>
      <c r="BL1584" s="2"/>
      <c r="BM1584" s="2">
        <v>241</v>
      </c>
      <c r="BN1584" s="2" t="s">
        <v>82</v>
      </c>
      <c r="BO1584" s="2"/>
      <c r="BP1584" s="2">
        <v>241</v>
      </c>
      <c r="BQ1584" s="2" t="s">
        <v>82</v>
      </c>
      <c r="BR1584" s="2"/>
      <c r="BS1584" s="3">
        <v>40287</v>
      </c>
      <c r="BT1584" s="4">
        <v>0.76346064814814818</v>
      </c>
    </row>
    <row r="1585" spans="1:72" x14ac:dyDescent="0.25">
      <c r="A1585" s="2">
        <v>2327</v>
      </c>
      <c r="B1585" s="2">
        <v>2010</v>
      </c>
      <c r="C1585" s="2" t="s">
        <v>385</v>
      </c>
      <c r="D1585" s="2" t="s">
        <v>122</v>
      </c>
      <c r="E1585" s="2" t="s">
        <v>5782</v>
      </c>
      <c r="F1585" s="2">
        <v>400</v>
      </c>
      <c r="G1585" s="2" t="s">
        <v>3601</v>
      </c>
      <c r="H1585" s="2">
        <v>17</v>
      </c>
      <c r="I1585" s="2" t="s">
        <v>3602</v>
      </c>
      <c r="J1585" s="2">
        <v>316</v>
      </c>
      <c r="K1585" s="2" t="s">
        <v>574</v>
      </c>
      <c r="L1585" s="2" t="s">
        <v>575</v>
      </c>
      <c r="M1585" s="3">
        <v>40287</v>
      </c>
      <c r="N1585" s="2" t="s">
        <v>3826</v>
      </c>
      <c r="O1585" s="2"/>
      <c r="P1585" s="2"/>
      <c r="Q1585" s="2" t="str">
        <f>"199-E/10"</f>
        <v>199-E/10</v>
      </c>
      <c r="R1585" s="2" t="s">
        <v>5500</v>
      </c>
      <c r="S1585" s="2"/>
      <c r="T1585" s="2">
        <v>1</v>
      </c>
      <c r="U1585" s="2" t="s">
        <v>79</v>
      </c>
      <c r="V1585" s="2">
        <v>1</v>
      </c>
      <c r="W1585" s="2" t="s">
        <v>80</v>
      </c>
      <c r="X1585" s="2">
        <v>1</v>
      </c>
      <c r="Y1585" s="2" t="s">
        <v>81</v>
      </c>
      <c r="Z1585" s="2">
        <v>10</v>
      </c>
      <c r="AA1585" s="2" t="s">
        <v>236</v>
      </c>
      <c r="AB1585" s="2">
        <v>9</v>
      </c>
      <c r="AC1585" s="2" t="s">
        <v>124</v>
      </c>
      <c r="AD1585" s="3">
        <v>40280</v>
      </c>
      <c r="AE1585" s="4">
        <v>0.79166666666666663</v>
      </c>
      <c r="AF1585" s="2"/>
      <c r="AG1585" s="2"/>
      <c r="AH1585" s="2">
        <v>2</v>
      </c>
      <c r="AI1585" s="2" t="s">
        <v>84</v>
      </c>
      <c r="AJ1585" s="2">
        <v>9</v>
      </c>
      <c r="AK1585" s="2" t="s">
        <v>103</v>
      </c>
      <c r="AL1585" s="2">
        <v>15</v>
      </c>
      <c r="AM1585" s="2" t="s">
        <v>104</v>
      </c>
      <c r="AN1585" s="2" t="s">
        <v>5501</v>
      </c>
      <c r="AO1585" s="2"/>
      <c r="AP1585" s="2">
        <v>11</v>
      </c>
      <c r="AQ1585" s="2" t="s">
        <v>82</v>
      </c>
      <c r="AR1585" s="2"/>
      <c r="AS1585" s="2"/>
      <c r="AT1585" s="2" t="s">
        <v>5783</v>
      </c>
      <c r="AU1585" s="2"/>
      <c r="AV1585" s="2">
        <v>1</v>
      </c>
      <c r="AW1585" s="2"/>
      <c r="AX1585" s="2"/>
      <c r="AY1585" s="2">
        <v>41</v>
      </c>
      <c r="AZ1585" s="2" t="s">
        <v>82</v>
      </c>
      <c r="BA1585" s="2">
        <v>41</v>
      </c>
      <c r="BB1585" s="2" t="s">
        <v>82</v>
      </c>
      <c r="BC1585" s="2">
        <v>41</v>
      </c>
      <c r="BD1585" s="2" t="s">
        <v>82</v>
      </c>
      <c r="BE1585" s="2">
        <v>13</v>
      </c>
      <c r="BF1585" s="2" t="s">
        <v>108</v>
      </c>
      <c r="BG1585" s="2" t="s">
        <v>1769</v>
      </c>
      <c r="BH1585" s="2"/>
      <c r="BI1585" s="4">
        <v>0.875</v>
      </c>
      <c r="BJ1585" s="2">
        <v>13</v>
      </c>
      <c r="BK1585" s="2" t="s">
        <v>91</v>
      </c>
      <c r="BL1585" s="2" t="s">
        <v>5300</v>
      </c>
      <c r="BM1585" s="2">
        <v>242</v>
      </c>
      <c r="BN1585" s="2" t="s">
        <v>107</v>
      </c>
      <c r="BO1585" s="2"/>
      <c r="BP1585" s="2">
        <v>73</v>
      </c>
      <c r="BQ1585" s="2" t="s">
        <v>186</v>
      </c>
      <c r="BR1585" s="2" t="s">
        <v>187</v>
      </c>
      <c r="BS1585" s="3">
        <v>40287</v>
      </c>
      <c r="BT1585" s="4">
        <v>0.89918981481481486</v>
      </c>
    </row>
    <row r="1586" spans="1:72" x14ac:dyDescent="0.25">
      <c r="A1586" s="2">
        <v>2328</v>
      </c>
      <c r="B1586" s="2">
        <v>2010</v>
      </c>
      <c r="C1586" s="2" t="s">
        <v>414</v>
      </c>
      <c r="D1586" s="2" t="s">
        <v>122</v>
      </c>
      <c r="E1586" s="2"/>
      <c r="F1586" s="2">
        <v>1</v>
      </c>
      <c r="G1586" s="2" t="s">
        <v>82</v>
      </c>
      <c r="H1586" s="2">
        <v>1</v>
      </c>
      <c r="I1586" s="2" t="s">
        <v>82</v>
      </c>
      <c r="J1586" s="2">
        <v>1</v>
      </c>
      <c r="K1586" s="2" t="s">
        <v>107</v>
      </c>
      <c r="L1586" s="2" t="s">
        <v>107</v>
      </c>
      <c r="M1586" s="3">
        <v>40287</v>
      </c>
      <c r="N1586" s="2"/>
      <c r="O1586" s="2"/>
      <c r="P1586" s="2"/>
      <c r="Q1586" s="2" t="str">
        <f>""</f>
        <v/>
      </c>
      <c r="R1586" s="2"/>
      <c r="S1586" s="2"/>
      <c r="T1586" s="2">
        <v>1</v>
      </c>
      <c r="U1586" s="2" t="s">
        <v>79</v>
      </c>
      <c r="V1586" s="2">
        <v>1</v>
      </c>
      <c r="W1586" s="2" t="s">
        <v>80</v>
      </c>
      <c r="X1586" s="2">
        <v>1</v>
      </c>
      <c r="Y1586" s="2" t="s">
        <v>81</v>
      </c>
      <c r="Z1586" s="2">
        <v>10</v>
      </c>
      <c r="AA1586" s="2" t="s">
        <v>236</v>
      </c>
      <c r="AB1586" s="2">
        <v>9</v>
      </c>
      <c r="AC1586" s="2" t="s">
        <v>124</v>
      </c>
      <c r="AD1586" s="3">
        <v>40287</v>
      </c>
      <c r="AE1586" s="4">
        <v>0.95833333333333337</v>
      </c>
      <c r="AF1586" s="2"/>
      <c r="AG1586" s="2"/>
      <c r="AH1586" s="2">
        <v>2</v>
      </c>
      <c r="AI1586" s="2" t="s">
        <v>84</v>
      </c>
      <c r="AJ1586" s="2">
        <v>12</v>
      </c>
      <c r="AK1586" s="2" t="s">
        <v>85</v>
      </c>
      <c r="AL1586" s="2">
        <v>12</v>
      </c>
      <c r="AM1586" s="2" t="s">
        <v>86</v>
      </c>
      <c r="AN1586" s="2" t="s">
        <v>5784</v>
      </c>
      <c r="AO1586" s="2" t="s">
        <v>2766</v>
      </c>
      <c r="AP1586" s="2">
        <v>11</v>
      </c>
      <c r="AQ1586" s="2" t="s">
        <v>82</v>
      </c>
      <c r="AR1586" s="2"/>
      <c r="AS1586" s="2"/>
      <c r="AT1586" s="2" t="s">
        <v>5785</v>
      </c>
      <c r="AU1586" s="2"/>
      <c r="AV1586" s="2"/>
      <c r="AW1586" s="2"/>
      <c r="AX1586" s="2"/>
      <c r="AY1586" s="2">
        <v>41</v>
      </c>
      <c r="AZ1586" s="2" t="s">
        <v>82</v>
      </c>
      <c r="BA1586" s="2">
        <v>41</v>
      </c>
      <c r="BB1586" s="2" t="s">
        <v>82</v>
      </c>
      <c r="BC1586" s="2">
        <v>41</v>
      </c>
      <c r="BD1586" s="2" t="s">
        <v>82</v>
      </c>
      <c r="BE1586" s="2">
        <v>41</v>
      </c>
      <c r="BF1586" s="2" t="s">
        <v>82</v>
      </c>
      <c r="BG1586" s="2"/>
      <c r="BH1586" s="2"/>
      <c r="BI1586" s="2"/>
      <c r="BJ1586" s="2">
        <v>241</v>
      </c>
      <c r="BK1586" s="2" t="s">
        <v>82</v>
      </c>
      <c r="BL1586" s="2"/>
      <c r="BM1586" s="2">
        <v>241</v>
      </c>
      <c r="BN1586" s="2" t="s">
        <v>82</v>
      </c>
      <c r="BO1586" s="2"/>
      <c r="BP1586" s="2">
        <v>241</v>
      </c>
      <c r="BQ1586" s="2" t="s">
        <v>82</v>
      </c>
      <c r="BR1586" s="2"/>
      <c r="BS1586" s="3">
        <v>40287</v>
      </c>
      <c r="BT1586" s="4">
        <v>0.99371527777777768</v>
      </c>
    </row>
    <row r="1587" spans="1:72" x14ac:dyDescent="0.25">
      <c r="A1587" s="2">
        <v>2329</v>
      </c>
      <c r="B1587" s="2">
        <v>2010</v>
      </c>
      <c r="C1587" s="2" t="s">
        <v>4543</v>
      </c>
      <c r="D1587" s="2" t="s">
        <v>122</v>
      </c>
      <c r="E1587" s="2"/>
      <c r="F1587" s="2">
        <v>24</v>
      </c>
      <c r="G1587" s="2" t="s">
        <v>532</v>
      </c>
      <c r="H1587" s="2">
        <v>22</v>
      </c>
      <c r="I1587" s="2" t="s">
        <v>75</v>
      </c>
      <c r="J1587" s="2">
        <v>300</v>
      </c>
      <c r="K1587" s="2" t="s">
        <v>114</v>
      </c>
      <c r="L1587" s="2" t="s">
        <v>115</v>
      </c>
      <c r="M1587" s="3">
        <v>40288</v>
      </c>
      <c r="N1587" s="2"/>
      <c r="O1587" s="2"/>
      <c r="P1587" s="2"/>
      <c r="Q1587" s="2" t="str">
        <f>""</f>
        <v/>
      </c>
      <c r="R1587" s="2"/>
      <c r="S1587" s="2"/>
      <c r="T1587" s="2">
        <v>2</v>
      </c>
      <c r="U1587" s="2" t="s">
        <v>123</v>
      </c>
      <c r="V1587" s="2">
        <v>1</v>
      </c>
      <c r="W1587" s="2" t="s">
        <v>80</v>
      </c>
      <c r="X1587" s="2">
        <v>5</v>
      </c>
      <c r="Y1587" s="2" t="s">
        <v>82</v>
      </c>
      <c r="Z1587" s="2">
        <v>1</v>
      </c>
      <c r="AA1587" s="2" t="s">
        <v>82</v>
      </c>
      <c r="AB1587" s="2">
        <v>9</v>
      </c>
      <c r="AC1587" s="2" t="s">
        <v>124</v>
      </c>
      <c r="AD1587" s="3">
        <v>40287</v>
      </c>
      <c r="AE1587" s="4">
        <v>0.6875</v>
      </c>
      <c r="AF1587" s="2"/>
      <c r="AG1587" s="2"/>
      <c r="AH1587" s="2">
        <v>2</v>
      </c>
      <c r="AI1587" s="2" t="s">
        <v>84</v>
      </c>
      <c r="AJ1587" s="2">
        <v>9</v>
      </c>
      <c r="AK1587" s="2" t="s">
        <v>103</v>
      </c>
      <c r="AL1587" s="2">
        <v>12</v>
      </c>
      <c r="AM1587" s="2" t="s">
        <v>86</v>
      </c>
      <c r="AN1587" s="2"/>
      <c r="AO1587" s="2" t="s">
        <v>5786</v>
      </c>
      <c r="AP1587" s="2">
        <v>11</v>
      </c>
      <c r="AQ1587" s="2" t="s">
        <v>82</v>
      </c>
      <c r="AR1587" s="2"/>
      <c r="AS1587" s="2"/>
      <c r="AT1587" s="2" t="s">
        <v>5787</v>
      </c>
      <c r="AU1587" s="2"/>
      <c r="AV1587" s="2"/>
      <c r="AW1587" s="2">
        <v>2</v>
      </c>
      <c r="AX1587" s="2"/>
      <c r="AY1587" s="2">
        <v>41</v>
      </c>
      <c r="AZ1587" s="2" t="s">
        <v>82</v>
      </c>
      <c r="BA1587" s="2">
        <v>41</v>
      </c>
      <c r="BB1587" s="2" t="s">
        <v>82</v>
      </c>
      <c r="BC1587" s="2">
        <v>41</v>
      </c>
      <c r="BD1587" s="2" t="s">
        <v>82</v>
      </c>
      <c r="BE1587" s="2">
        <v>41</v>
      </c>
      <c r="BF1587" s="2" t="s">
        <v>82</v>
      </c>
      <c r="BG1587" s="2"/>
      <c r="BH1587" s="2"/>
      <c r="BI1587" s="2"/>
      <c r="BJ1587" s="2">
        <v>241</v>
      </c>
      <c r="BK1587" s="2" t="s">
        <v>82</v>
      </c>
      <c r="BL1587" s="2"/>
      <c r="BM1587" s="2">
        <v>241</v>
      </c>
      <c r="BN1587" s="2" t="s">
        <v>82</v>
      </c>
      <c r="BO1587" s="2"/>
      <c r="BP1587" s="2">
        <v>241</v>
      </c>
      <c r="BQ1587" s="2" t="s">
        <v>82</v>
      </c>
      <c r="BR1587" s="2"/>
      <c r="BS1587" s="3">
        <v>40288</v>
      </c>
      <c r="BT1587" s="4">
        <v>0.28312500000000002</v>
      </c>
    </row>
    <row r="1588" spans="1:72" x14ac:dyDescent="0.25">
      <c r="A1588" s="2">
        <v>2330</v>
      </c>
      <c r="B1588" s="2">
        <v>2010</v>
      </c>
      <c r="C1588" s="2" t="s">
        <v>171</v>
      </c>
      <c r="D1588" s="2" t="s">
        <v>73</v>
      </c>
      <c r="E1588" s="2"/>
      <c r="F1588" s="2">
        <v>226</v>
      </c>
      <c r="G1588" s="2" t="s">
        <v>5788</v>
      </c>
      <c r="H1588" s="2">
        <v>2</v>
      </c>
      <c r="I1588" s="2" t="s">
        <v>267</v>
      </c>
      <c r="J1588" s="2">
        <v>2</v>
      </c>
      <c r="K1588" s="2" t="s">
        <v>3661</v>
      </c>
      <c r="L1588" s="2" t="s">
        <v>3662</v>
      </c>
      <c r="M1588" s="3">
        <v>40288</v>
      </c>
      <c r="N1588" s="2" t="s">
        <v>5789</v>
      </c>
      <c r="O1588" s="2"/>
      <c r="P1588" s="2"/>
      <c r="Q1588" s="2" t="str">
        <f>"212-E/10"</f>
        <v>212-E/10</v>
      </c>
      <c r="R1588" s="2" t="s">
        <v>391</v>
      </c>
      <c r="S1588" s="2" t="s">
        <v>391</v>
      </c>
      <c r="T1588" s="2">
        <v>1</v>
      </c>
      <c r="U1588" s="2" t="s">
        <v>79</v>
      </c>
      <c r="V1588" s="2">
        <v>1</v>
      </c>
      <c r="W1588" s="2" t="s">
        <v>80</v>
      </c>
      <c r="X1588" s="2">
        <v>1</v>
      </c>
      <c r="Y1588" s="2" t="s">
        <v>81</v>
      </c>
      <c r="Z1588" s="2">
        <v>1</v>
      </c>
      <c r="AA1588" s="2" t="s">
        <v>82</v>
      </c>
      <c r="AB1588" s="2">
        <v>1</v>
      </c>
      <c r="AC1588" s="2" t="s">
        <v>178</v>
      </c>
      <c r="AD1588" s="3">
        <v>40287</v>
      </c>
      <c r="AE1588" s="4">
        <v>0.83333333333333337</v>
      </c>
      <c r="AF1588" s="2"/>
      <c r="AG1588" s="2"/>
      <c r="AH1588" s="2">
        <v>2</v>
      </c>
      <c r="AI1588" s="2" t="s">
        <v>84</v>
      </c>
      <c r="AJ1588" s="2">
        <v>9</v>
      </c>
      <c r="AK1588" s="2" t="s">
        <v>103</v>
      </c>
      <c r="AL1588" s="2">
        <v>11</v>
      </c>
      <c r="AM1588" s="2" t="s">
        <v>137</v>
      </c>
      <c r="AN1588" s="2"/>
      <c r="AO1588" s="2" t="s">
        <v>590</v>
      </c>
      <c r="AP1588" s="2">
        <v>11</v>
      </c>
      <c r="AQ1588" s="2" t="s">
        <v>82</v>
      </c>
      <c r="AR1588" s="2"/>
      <c r="AS1588" s="2"/>
      <c r="AT1588" s="2" t="s">
        <v>5790</v>
      </c>
      <c r="AU1588" s="2"/>
      <c r="AV1588" s="2">
        <v>1</v>
      </c>
      <c r="AW1588" s="2"/>
      <c r="AX1588" s="2"/>
      <c r="AY1588" s="2">
        <v>41</v>
      </c>
      <c r="AZ1588" s="2" t="s">
        <v>82</v>
      </c>
      <c r="BA1588" s="2">
        <v>41</v>
      </c>
      <c r="BB1588" s="2" t="s">
        <v>82</v>
      </c>
      <c r="BC1588" s="2">
        <v>41</v>
      </c>
      <c r="BD1588" s="2" t="s">
        <v>82</v>
      </c>
      <c r="BE1588" s="2">
        <v>13</v>
      </c>
      <c r="BF1588" s="2" t="s">
        <v>108</v>
      </c>
      <c r="BG1588" s="2" t="s">
        <v>5791</v>
      </c>
      <c r="BH1588" s="2"/>
      <c r="BI1588" s="2"/>
      <c r="BJ1588" s="2">
        <v>13</v>
      </c>
      <c r="BK1588" s="2" t="s">
        <v>91</v>
      </c>
      <c r="BL1588" s="2" t="s">
        <v>92</v>
      </c>
      <c r="BM1588" s="2">
        <v>13</v>
      </c>
      <c r="BN1588" s="2" t="s">
        <v>91</v>
      </c>
      <c r="BO1588" s="2" t="s">
        <v>185</v>
      </c>
      <c r="BP1588" s="2">
        <v>112</v>
      </c>
      <c r="BQ1588" s="2" t="s">
        <v>110</v>
      </c>
      <c r="BR1588" s="2" t="s">
        <v>111</v>
      </c>
      <c r="BS1588" s="3">
        <v>40288</v>
      </c>
      <c r="BT1588" s="4">
        <v>0.35726851851851849</v>
      </c>
    </row>
    <row r="1589" spans="1:72" x14ac:dyDescent="0.25">
      <c r="A1589" s="2">
        <v>2331</v>
      </c>
      <c r="B1589" s="2">
        <v>2010</v>
      </c>
      <c r="C1589" s="2" t="s">
        <v>385</v>
      </c>
      <c r="D1589" s="2" t="s">
        <v>73</v>
      </c>
      <c r="E1589" s="2"/>
      <c r="F1589" s="2">
        <v>591</v>
      </c>
      <c r="G1589" s="2" t="s">
        <v>5658</v>
      </c>
      <c r="H1589" s="2">
        <v>7</v>
      </c>
      <c r="I1589" s="2" t="s">
        <v>476</v>
      </c>
      <c r="J1589" s="2">
        <v>33</v>
      </c>
      <c r="K1589" s="2" t="s">
        <v>2178</v>
      </c>
      <c r="L1589" s="2" t="s">
        <v>1877</v>
      </c>
      <c r="M1589" s="3">
        <v>40288</v>
      </c>
      <c r="N1589" s="2" t="s">
        <v>5792</v>
      </c>
      <c r="O1589" s="2" t="s">
        <v>5793</v>
      </c>
      <c r="P1589" s="7">
        <v>14002</v>
      </c>
      <c r="Q1589" s="2" t="str">
        <f>""</f>
        <v/>
      </c>
      <c r="R1589" s="2"/>
      <c r="S1589" s="2"/>
      <c r="T1589" s="2">
        <v>1</v>
      </c>
      <c r="U1589" s="2" t="s">
        <v>79</v>
      </c>
      <c r="V1589" s="2">
        <v>1</v>
      </c>
      <c r="W1589" s="2" t="s">
        <v>80</v>
      </c>
      <c r="X1589" s="2">
        <v>5</v>
      </c>
      <c r="Y1589" s="2" t="s">
        <v>82</v>
      </c>
      <c r="Z1589" s="2">
        <v>1</v>
      </c>
      <c r="AA1589" s="2" t="s">
        <v>82</v>
      </c>
      <c r="AB1589" s="2">
        <v>9</v>
      </c>
      <c r="AC1589" s="2" t="s">
        <v>124</v>
      </c>
      <c r="AD1589" s="3">
        <v>40288</v>
      </c>
      <c r="AE1589" s="4">
        <v>0.33333333333333331</v>
      </c>
      <c r="AF1589" s="2"/>
      <c r="AG1589" s="2"/>
      <c r="AH1589" s="2">
        <v>2</v>
      </c>
      <c r="AI1589" s="2" t="s">
        <v>84</v>
      </c>
      <c r="AJ1589" s="2">
        <v>8</v>
      </c>
      <c r="AK1589" s="2" t="s">
        <v>436</v>
      </c>
      <c r="AL1589" s="2">
        <v>23</v>
      </c>
      <c r="AM1589" s="2" t="s">
        <v>251</v>
      </c>
      <c r="AN1589" s="2"/>
      <c r="AO1589" s="2" t="s">
        <v>5794</v>
      </c>
      <c r="AP1589" s="2">
        <v>11</v>
      </c>
      <c r="AQ1589" s="2" t="s">
        <v>82</v>
      </c>
      <c r="AR1589" s="2"/>
      <c r="AS1589" s="2"/>
      <c r="AT1589" s="2" t="s">
        <v>5795</v>
      </c>
      <c r="AU1589" s="2"/>
      <c r="AV1589" s="2"/>
      <c r="AW1589" s="2"/>
      <c r="AX1589" s="2"/>
      <c r="AY1589" s="2">
        <v>41</v>
      </c>
      <c r="AZ1589" s="2" t="s">
        <v>82</v>
      </c>
      <c r="BA1589" s="2">
        <v>41</v>
      </c>
      <c r="BB1589" s="2" t="s">
        <v>82</v>
      </c>
      <c r="BC1589" s="2">
        <v>41</v>
      </c>
      <c r="BD1589" s="2" t="s">
        <v>82</v>
      </c>
      <c r="BE1589" s="2">
        <v>41</v>
      </c>
      <c r="BF1589" s="2" t="s">
        <v>82</v>
      </c>
      <c r="BG1589" s="2"/>
      <c r="BH1589" s="2"/>
      <c r="BI1589" s="2"/>
      <c r="BJ1589" s="2">
        <v>241</v>
      </c>
      <c r="BK1589" s="2" t="s">
        <v>82</v>
      </c>
      <c r="BL1589" s="2"/>
      <c r="BM1589" s="2">
        <v>241</v>
      </c>
      <c r="BN1589" s="2" t="s">
        <v>82</v>
      </c>
      <c r="BO1589" s="2"/>
      <c r="BP1589" s="2">
        <v>241</v>
      </c>
      <c r="BQ1589" s="2" t="s">
        <v>82</v>
      </c>
      <c r="BR1589" s="2"/>
      <c r="BS1589" s="3">
        <v>40288</v>
      </c>
      <c r="BT1589" s="4">
        <v>0.37972222222222224</v>
      </c>
    </row>
    <row r="1590" spans="1:72" x14ac:dyDescent="0.25">
      <c r="A1590" s="2">
        <v>2331</v>
      </c>
      <c r="B1590" s="2">
        <v>2010</v>
      </c>
      <c r="C1590" s="2" t="s">
        <v>1559</v>
      </c>
      <c r="D1590" s="2" t="s">
        <v>73</v>
      </c>
      <c r="E1590" s="2"/>
      <c r="F1590" s="2">
        <v>591</v>
      </c>
      <c r="G1590" s="2" t="s">
        <v>5658</v>
      </c>
      <c r="H1590" s="2">
        <v>7</v>
      </c>
      <c r="I1590" s="2" t="s">
        <v>476</v>
      </c>
      <c r="J1590" s="2">
        <v>33</v>
      </c>
      <c r="K1590" s="2" t="s">
        <v>2178</v>
      </c>
      <c r="L1590" s="2" t="s">
        <v>1877</v>
      </c>
      <c r="M1590" s="3">
        <v>40288</v>
      </c>
      <c r="N1590" s="2" t="s">
        <v>5792</v>
      </c>
      <c r="O1590" s="2" t="s">
        <v>5793</v>
      </c>
      <c r="P1590" s="7">
        <v>14002</v>
      </c>
      <c r="Q1590" s="2" t="str">
        <f>""</f>
        <v/>
      </c>
      <c r="R1590" s="2"/>
      <c r="S1590" s="2"/>
      <c r="T1590" s="2">
        <v>1</v>
      </c>
      <c r="U1590" s="2" t="s">
        <v>79</v>
      </c>
      <c r="V1590" s="2">
        <v>1</v>
      </c>
      <c r="W1590" s="2" t="s">
        <v>80</v>
      </c>
      <c r="X1590" s="2">
        <v>5</v>
      </c>
      <c r="Y1590" s="2" t="s">
        <v>82</v>
      </c>
      <c r="Z1590" s="2">
        <v>1</v>
      </c>
      <c r="AA1590" s="2" t="s">
        <v>82</v>
      </c>
      <c r="AB1590" s="2">
        <v>9</v>
      </c>
      <c r="AC1590" s="2" t="s">
        <v>124</v>
      </c>
      <c r="AD1590" s="3">
        <v>40288</v>
      </c>
      <c r="AE1590" s="4">
        <v>0.33333333333333331</v>
      </c>
      <c r="AF1590" s="2"/>
      <c r="AG1590" s="2"/>
      <c r="AH1590" s="2">
        <v>2</v>
      </c>
      <c r="AI1590" s="2" t="s">
        <v>84</v>
      </c>
      <c r="AJ1590" s="2">
        <v>8</v>
      </c>
      <c r="AK1590" s="2" t="s">
        <v>436</v>
      </c>
      <c r="AL1590" s="2">
        <v>23</v>
      </c>
      <c r="AM1590" s="2" t="s">
        <v>251</v>
      </c>
      <c r="AN1590" s="2"/>
      <c r="AO1590" s="2" t="s">
        <v>5794</v>
      </c>
      <c r="AP1590" s="2">
        <v>11</v>
      </c>
      <c r="AQ1590" s="2" t="s">
        <v>82</v>
      </c>
      <c r="AR1590" s="2"/>
      <c r="AS1590" s="2"/>
      <c r="AT1590" s="2" t="s">
        <v>5795</v>
      </c>
      <c r="AU1590" s="2"/>
      <c r="AV1590" s="2"/>
      <c r="AW1590" s="2"/>
      <c r="AX1590" s="2"/>
      <c r="AY1590" s="2">
        <v>41</v>
      </c>
      <c r="AZ1590" s="2" t="s">
        <v>82</v>
      </c>
      <c r="BA1590" s="2">
        <v>41</v>
      </c>
      <c r="BB1590" s="2" t="s">
        <v>82</v>
      </c>
      <c r="BC1590" s="2">
        <v>41</v>
      </c>
      <c r="BD1590" s="2" t="s">
        <v>82</v>
      </c>
      <c r="BE1590" s="2">
        <v>41</v>
      </c>
      <c r="BF1590" s="2" t="s">
        <v>82</v>
      </c>
      <c r="BG1590" s="2"/>
      <c r="BH1590" s="2"/>
      <c r="BI1590" s="2"/>
      <c r="BJ1590" s="2">
        <v>241</v>
      </c>
      <c r="BK1590" s="2" t="s">
        <v>82</v>
      </c>
      <c r="BL1590" s="2"/>
      <c r="BM1590" s="2">
        <v>241</v>
      </c>
      <c r="BN1590" s="2" t="s">
        <v>82</v>
      </c>
      <c r="BO1590" s="2"/>
      <c r="BP1590" s="2">
        <v>241</v>
      </c>
      <c r="BQ1590" s="2" t="s">
        <v>82</v>
      </c>
      <c r="BR1590" s="2"/>
      <c r="BS1590" s="3">
        <v>40288</v>
      </c>
      <c r="BT1590" s="4">
        <v>0.37972222222222224</v>
      </c>
    </row>
    <row r="1591" spans="1:72" x14ac:dyDescent="0.25">
      <c r="A1591" s="2">
        <v>2334</v>
      </c>
      <c r="B1591" s="2">
        <v>2010</v>
      </c>
      <c r="C1591" s="2" t="s">
        <v>72</v>
      </c>
      <c r="D1591" s="2" t="s">
        <v>73</v>
      </c>
      <c r="E1591" s="2"/>
      <c r="F1591" s="2">
        <v>389</v>
      </c>
      <c r="G1591" s="2" t="s">
        <v>1819</v>
      </c>
      <c r="H1591" s="2">
        <v>2</v>
      </c>
      <c r="I1591" s="2" t="s">
        <v>267</v>
      </c>
      <c r="J1591" s="2">
        <v>399</v>
      </c>
      <c r="K1591" s="2" t="s">
        <v>1820</v>
      </c>
      <c r="L1591" s="2" t="s">
        <v>1821</v>
      </c>
      <c r="M1591" s="3">
        <v>40288</v>
      </c>
      <c r="N1591" s="2" t="s">
        <v>5653</v>
      </c>
      <c r="O1591" s="2" t="s">
        <v>107</v>
      </c>
      <c r="P1591" s="2" t="s">
        <v>107</v>
      </c>
      <c r="Q1591" s="2" t="str">
        <f>"214-E/10"</f>
        <v>214-E/10</v>
      </c>
      <c r="R1591" s="2" t="s">
        <v>302</v>
      </c>
      <c r="S1591" s="2" t="s">
        <v>302</v>
      </c>
      <c r="T1591" s="2">
        <v>1</v>
      </c>
      <c r="U1591" s="2" t="s">
        <v>79</v>
      </c>
      <c r="V1591" s="2">
        <v>1</v>
      </c>
      <c r="W1591" s="2" t="s">
        <v>80</v>
      </c>
      <c r="X1591" s="2">
        <v>1</v>
      </c>
      <c r="Y1591" s="2" t="s">
        <v>81</v>
      </c>
      <c r="Z1591" s="2">
        <v>10</v>
      </c>
      <c r="AA1591" s="2" t="s">
        <v>236</v>
      </c>
      <c r="AB1591" s="2">
        <v>6</v>
      </c>
      <c r="AC1591" s="2" t="s">
        <v>83</v>
      </c>
      <c r="AD1591" s="3">
        <v>40287</v>
      </c>
      <c r="AE1591" s="4">
        <v>0.82291666666666663</v>
      </c>
      <c r="AF1591" s="2"/>
      <c r="AG1591" s="2"/>
      <c r="AH1591" s="2">
        <v>2</v>
      </c>
      <c r="AI1591" s="2" t="s">
        <v>84</v>
      </c>
      <c r="AJ1591" s="2">
        <v>9</v>
      </c>
      <c r="AK1591" s="2" t="s">
        <v>103</v>
      </c>
      <c r="AL1591" s="2">
        <v>21</v>
      </c>
      <c r="AM1591" s="2" t="s">
        <v>1311</v>
      </c>
      <c r="AN1591" s="2" t="s">
        <v>5796</v>
      </c>
      <c r="AO1591" s="2" t="s">
        <v>5797</v>
      </c>
      <c r="AP1591" s="2">
        <v>11</v>
      </c>
      <c r="AQ1591" s="2" t="s">
        <v>82</v>
      </c>
      <c r="AR1591" s="2" t="s">
        <v>82</v>
      </c>
      <c r="AS1591" s="2" t="s">
        <v>82</v>
      </c>
      <c r="AT1591" s="2" t="s">
        <v>5798</v>
      </c>
      <c r="AU1591" s="2"/>
      <c r="AV1591" s="2">
        <v>1</v>
      </c>
      <c r="AW1591" s="2"/>
      <c r="AX1591" s="2"/>
      <c r="AY1591" s="2">
        <v>41</v>
      </c>
      <c r="AZ1591" s="2" t="s">
        <v>82</v>
      </c>
      <c r="BA1591" s="2">
        <v>70</v>
      </c>
      <c r="BB1591" s="2" t="s">
        <v>236</v>
      </c>
      <c r="BC1591" s="2">
        <v>41</v>
      </c>
      <c r="BD1591" s="2" t="s">
        <v>82</v>
      </c>
      <c r="BE1591" s="2">
        <v>41</v>
      </c>
      <c r="BF1591" s="2" t="s">
        <v>82</v>
      </c>
      <c r="BG1591" s="2"/>
      <c r="BH1591" s="2"/>
      <c r="BI1591" s="2"/>
      <c r="BJ1591" s="2">
        <v>241</v>
      </c>
      <c r="BK1591" s="2" t="s">
        <v>82</v>
      </c>
      <c r="BL1591" s="2"/>
      <c r="BM1591" s="2">
        <v>241</v>
      </c>
      <c r="BN1591" s="2" t="s">
        <v>82</v>
      </c>
      <c r="BO1591" s="2"/>
      <c r="BP1591" s="2">
        <v>241</v>
      </c>
      <c r="BQ1591" s="2" t="s">
        <v>82</v>
      </c>
      <c r="BR1591" s="2"/>
      <c r="BS1591" s="3">
        <v>40288</v>
      </c>
      <c r="BT1591" s="4">
        <v>0.46739583333333329</v>
      </c>
    </row>
    <row r="1592" spans="1:72" x14ac:dyDescent="0.25">
      <c r="A1592" s="2">
        <v>2334</v>
      </c>
      <c r="B1592" s="2">
        <v>2010</v>
      </c>
      <c r="C1592" s="2" t="s">
        <v>171</v>
      </c>
      <c r="D1592" s="2" t="s">
        <v>73</v>
      </c>
      <c r="E1592" s="2"/>
      <c r="F1592" s="2">
        <v>389</v>
      </c>
      <c r="G1592" s="2" t="s">
        <v>1819</v>
      </c>
      <c r="H1592" s="2">
        <v>2</v>
      </c>
      <c r="I1592" s="2" t="s">
        <v>267</v>
      </c>
      <c r="J1592" s="2">
        <v>399</v>
      </c>
      <c r="K1592" s="2" t="s">
        <v>1820</v>
      </c>
      <c r="L1592" s="2" t="s">
        <v>1821</v>
      </c>
      <c r="M1592" s="3">
        <v>40288</v>
      </c>
      <c r="N1592" s="2" t="s">
        <v>5653</v>
      </c>
      <c r="O1592" s="2" t="s">
        <v>107</v>
      </c>
      <c r="P1592" s="2" t="s">
        <v>107</v>
      </c>
      <c r="Q1592" s="2" t="str">
        <f>"214-E/10"</f>
        <v>214-E/10</v>
      </c>
      <c r="R1592" s="2" t="s">
        <v>302</v>
      </c>
      <c r="S1592" s="2" t="s">
        <v>302</v>
      </c>
      <c r="T1592" s="2">
        <v>1</v>
      </c>
      <c r="U1592" s="2" t="s">
        <v>79</v>
      </c>
      <c r="V1592" s="2">
        <v>1</v>
      </c>
      <c r="W1592" s="2" t="s">
        <v>80</v>
      </c>
      <c r="X1592" s="2">
        <v>1</v>
      </c>
      <c r="Y1592" s="2" t="s">
        <v>81</v>
      </c>
      <c r="Z1592" s="2">
        <v>10</v>
      </c>
      <c r="AA1592" s="2" t="s">
        <v>236</v>
      </c>
      <c r="AB1592" s="2">
        <v>1</v>
      </c>
      <c r="AC1592" s="2" t="s">
        <v>178</v>
      </c>
      <c r="AD1592" s="3">
        <v>40287</v>
      </c>
      <c r="AE1592" s="4">
        <v>0.82291666666666663</v>
      </c>
      <c r="AF1592" s="2"/>
      <c r="AG1592" s="2"/>
      <c r="AH1592" s="2">
        <v>2</v>
      </c>
      <c r="AI1592" s="2" t="s">
        <v>84</v>
      </c>
      <c r="AJ1592" s="2">
        <v>9</v>
      </c>
      <c r="AK1592" s="2" t="s">
        <v>103</v>
      </c>
      <c r="AL1592" s="2">
        <v>21</v>
      </c>
      <c r="AM1592" s="2" t="s">
        <v>1311</v>
      </c>
      <c r="AN1592" s="2" t="s">
        <v>5796</v>
      </c>
      <c r="AO1592" s="2" t="s">
        <v>5797</v>
      </c>
      <c r="AP1592" s="2">
        <v>11</v>
      </c>
      <c r="AQ1592" s="2" t="s">
        <v>82</v>
      </c>
      <c r="AR1592" s="2" t="s">
        <v>82</v>
      </c>
      <c r="AS1592" s="2" t="s">
        <v>82</v>
      </c>
      <c r="AT1592" s="2" t="s">
        <v>5798</v>
      </c>
      <c r="AU1592" s="2"/>
      <c r="AV1592" s="2">
        <v>1</v>
      </c>
      <c r="AW1592" s="2"/>
      <c r="AX1592" s="2"/>
      <c r="AY1592" s="2">
        <v>41</v>
      </c>
      <c r="AZ1592" s="2" t="s">
        <v>82</v>
      </c>
      <c r="BA1592" s="2">
        <v>70</v>
      </c>
      <c r="BB1592" s="2" t="s">
        <v>236</v>
      </c>
      <c r="BC1592" s="2">
        <v>41</v>
      </c>
      <c r="BD1592" s="2" t="s">
        <v>82</v>
      </c>
      <c r="BE1592" s="2">
        <v>41</v>
      </c>
      <c r="BF1592" s="2" t="s">
        <v>82</v>
      </c>
      <c r="BG1592" s="2"/>
      <c r="BH1592" s="2"/>
      <c r="BI1592" s="2"/>
      <c r="BJ1592" s="2">
        <v>241</v>
      </c>
      <c r="BK1592" s="2" t="s">
        <v>82</v>
      </c>
      <c r="BL1592" s="2"/>
      <c r="BM1592" s="2">
        <v>241</v>
      </c>
      <c r="BN1592" s="2" t="s">
        <v>82</v>
      </c>
      <c r="BO1592" s="2"/>
      <c r="BP1592" s="2">
        <v>241</v>
      </c>
      <c r="BQ1592" s="2" t="s">
        <v>82</v>
      </c>
      <c r="BR1592" s="2"/>
      <c r="BS1592" s="3">
        <v>40288</v>
      </c>
      <c r="BT1592" s="4">
        <v>0.46739583333333329</v>
      </c>
    </row>
    <row r="1593" spans="1:72" x14ac:dyDescent="0.25">
      <c r="A1593" s="2">
        <v>2335</v>
      </c>
      <c r="B1593" s="2">
        <v>2010</v>
      </c>
      <c r="C1593" s="2" t="s">
        <v>72</v>
      </c>
      <c r="D1593" s="2" t="s">
        <v>122</v>
      </c>
      <c r="E1593" s="2" t="s">
        <v>5799</v>
      </c>
      <c r="F1593" s="2">
        <v>389</v>
      </c>
      <c r="G1593" s="2" t="s">
        <v>1819</v>
      </c>
      <c r="H1593" s="2">
        <v>2</v>
      </c>
      <c r="I1593" s="2" t="s">
        <v>267</v>
      </c>
      <c r="J1593" s="2">
        <v>399</v>
      </c>
      <c r="K1593" s="2" t="s">
        <v>1820</v>
      </c>
      <c r="L1593" s="2" t="s">
        <v>1821</v>
      </c>
      <c r="M1593" s="3">
        <v>40288</v>
      </c>
      <c r="N1593" s="2" t="s">
        <v>5653</v>
      </c>
      <c r="O1593" s="2" t="s">
        <v>107</v>
      </c>
      <c r="P1593" s="2" t="s">
        <v>107</v>
      </c>
      <c r="Q1593" s="2" t="str">
        <f>"214-E/10"</f>
        <v>214-E/10</v>
      </c>
      <c r="R1593" s="2" t="s">
        <v>302</v>
      </c>
      <c r="S1593" s="2" t="s">
        <v>302</v>
      </c>
      <c r="T1593" s="2">
        <v>1</v>
      </c>
      <c r="U1593" s="2" t="s">
        <v>79</v>
      </c>
      <c r="V1593" s="2">
        <v>1</v>
      </c>
      <c r="W1593" s="2" t="s">
        <v>80</v>
      </c>
      <c r="X1593" s="2">
        <v>1</v>
      </c>
      <c r="Y1593" s="2" t="s">
        <v>81</v>
      </c>
      <c r="Z1593" s="2">
        <v>10</v>
      </c>
      <c r="AA1593" s="2" t="s">
        <v>236</v>
      </c>
      <c r="AB1593" s="2">
        <v>6</v>
      </c>
      <c r="AC1593" s="2" t="s">
        <v>83</v>
      </c>
      <c r="AD1593" s="3">
        <v>40287</v>
      </c>
      <c r="AE1593" s="4">
        <v>0.82291666666666663</v>
      </c>
      <c r="AF1593" s="2"/>
      <c r="AG1593" s="2"/>
      <c r="AH1593" s="2">
        <v>2</v>
      </c>
      <c r="AI1593" s="2" t="s">
        <v>84</v>
      </c>
      <c r="AJ1593" s="2">
        <v>9</v>
      </c>
      <c r="AK1593" s="2" t="s">
        <v>103</v>
      </c>
      <c r="AL1593" s="2">
        <v>9</v>
      </c>
      <c r="AM1593" s="2" t="s">
        <v>259</v>
      </c>
      <c r="AN1593" s="2" t="s">
        <v>5796</v>
      </c>
      <c r="AO1593" s="2" t="s">
        <v>5800</v>
      </c>
      <c r="AP1593" s="2">
        <v>11</v>
      </c>
      <c r="AQ1593" s="2" t="s">
        <v>82</v>
      </c>
      <c r="AR1593" s="2" t="s">
        <v>82</v>
      </c>
      <c r="AS1593" s="2" t="s">
        <v>82</v>
      </c>
      <c r="AT1593" s="2" t="s">
        <v>5801</v>
      </c>
      <c r="AU1593" s="2"/>
      <c r="AV1593" s="2">
        <v>1</v>
      </c>
      <c r="AW1593" s="2"/>
      <c r="AX1593" s="2"/>
      <c r="AY1593" s="2">
        <v>41</v>
      </c>
      <c r="AZ1593" s="2" t="s">
        <v>82</v>
      </c>
      <c r="BA1593" s="2">
        <v>70</v>
      </c>
      <c r="BB1593" s="2" t="s">
        <v>236</v>
      </c>
      <c r="BC1593" s="2">
        <v>41</v>
      </c>
      <c r="BD1593" s="2" t="s">
        <v>82</v>
      </c>
      <c r="BE1593" s="2">
        <v>41</v>
      </c>
      <c r="BF1593" s="2" t="s">
        <v>82</v>
      </c>
      <c r="BG1593" s="2"/>
      <c r="BH1593" s="2"/>
      <c r="BI1593" s="2"/>
      <c r="BJ1593" s="2">
        <v>241</v>
      </c>
      <c r="BK1593" s="2" t="s">
        <v>82</v>
      </c>
      <c r="BL1593" s="2"/>
      <c r="BM1593" s="2">
        <v>241</v>
      </c>
      <c r="BN1593" s="2" t="s">
        <v>82</v>
      </c>
      <c r="BO1593" s="2"/>
      <c r="BP1593" s="2">
        <v>241</v>
      </c>
      <c r="BQ1593" s="2" t="s">
        <v>82</v>
      </c>
      <c r="BR1593" s="2"/>
      <c r="BS1593" s="3">
        <v>40288</v>
      </c>
      <c r="BT1593" s="4">
        <v>0.5081134259259259</v>
      </c>
    </row>
    <row r="1594" spans="1:72" x14ac:dyDescent="0.25">
      <c r="A1594" s="2">
        <v>2336</v>
      </c>
      <c r="B1594" s="2">
        <v>2010</v>
      </c>
      <c r="C1594" s="2" t="s">
        <v>255</v>
      </c>
      <c r="D1594" s="2" t="s">
        <v>73</v>
      </c>
      <c r="E1594" s="2"/>
      <c r="F1594" s="2">
        <v>389</v>
      </c>
      <c r="G1594" s="2" t="s">
        <v>1819</v>
      </c>
      <c r="H1594" s="2">
        <v>2</v>
      </c>
      <c r="I1594" s="2" t="s">
        <v>267</v>
      </c>
      <c r="J1594" s="2">
        <v>399</v>
      </c>
      <c r="K1594" s="2" t="s">
        <v>1820</v>
      </c>
      <c r="L1594" s="2" t="s">
        <v>1821</v>
      </c>
      <c r="M1594" s="3">
        <v>40288</v>
      </c>
      <c r="N1594" s="2" t="s">
        <v>5653</v>
      </c>
      <c r="O1594" s="2" t="s">
        <v>5802</v>
      </c>
      <c r="P1594" s="2">
        <v>9653</v>
      </c>
      <c r="Q1594" s="2" t="str">
        <f>"N/C"</f>
        <v>N/C</v>
      </c>
      <c r="R1594" s="2" t="s">
        <v>107</v>
      </c>
      <c r="S1594" s="2" t="s">
        <v>82</v>
      </c>
      <c r="T1594" s="2">
        <v>1</v>
      </c>
      <c r="U1594" s="2" t="s">
        <v>79</v>
      </c>
      <c r="V1594" s="2">
        <v>1</v>
      </c>
      <c r="W1594" s="2" t="s">
        <v>80</v>
      </c>
      <c r="X1594" s="2">
        <v>12</v>
      </c>
      <c r="Y1594" s="2" t="s">
        <v>148</v>
      </c>
      <c r="Z1594" s="2">
        <v>1</v>
      </c>
      <c r="AA1594" s="2" t="s">
        <v>82</v>
      </c>
      <c r="AB1594" s="2">
        <v>9</v>
      </c>
      <c r="AC1594" s="2" t="s">
        <v>124</v>
      </c>
      <c r="AD1594" s="3">
        <v>40287</v>
      </c>
      <c r="AE1594" s="4">
        <v>0.64583333333333337</v>
      </c>
      <c r="AF1594" s="3">
        <v>40287</v>
      </c>
      <c r="AG1594" s="4">
        <v>0.64583333333333337</v>
      </c>
      <c r="AH1594" s="2">
        <v>2</v>
      </c>
      <c r="AI1594" s="2" t="s">
        <v>84</v>
      </c>
      <c r="AJ1594" s="2">
        <v>9</v>
      </c>
      <c r="AK1594" s="2" t="s">
        <v>103</v>
      </c>
      <c r="AL1594" s="2">
        <v>21</v>
      </c>
      <c r="AM1594" s="2" t="s">
        <v>1311</v>
      </c>
      <c r="AN1594" s="2" t="s">
        <v>5803</v>
      </c>
      <c r="AO1594" s="2" t="s">
        <v>1311</v>
      </c>
      <c r="AP1594" s="2">
        <v>11</v>
      </c>
      <c r="AQ1594" s="2" t="s">
        <v>82</v>
      </c>
      <c r="AR1594" s="2" t="s">
        <v>82</v>
      </c>
      <c r="AS1594" s="2" t="s">
        <v>82</v>
      </c>
      <c r="AT1594" s="2" t="s">
        <v>5804</v>
      </c>
      <c r="AU1594" s="2"/>
      <c r="AV1594" s="2"/>
      <c r="AW1594" s="2"/>
      <c r="AX1594" s="2"/>
      <c r="AY1594" s="2">
        <v>41</v>
      </c>
      <c r="AZ1594" s="2" t="s">
        <v>82</v>
      </c>
      <c r="BA1594" s="2">
        <v>70</v>
      </c>
      <c r="BB1594" s="2" t="s">
        <v>236</v>
      </c>
      <c r="BC1594" s="2">
        <v>41</v>
      </c>
      <c r="BD1594" s="2" t="s">
        <v>82</v>
      </c>
      <c r="BE1594" s="2">
        <v>41</v>
      </c>
      <c r="BF1594" s="2" t="s">
        <v>82</v>
      </c>
      <c r="BG1594" s="2" t="s">
        <v>82</v>
      </c>
      <c r="BH1594" s="2"/>
      <c r="BI1594" s="2"/>
      <c r="BJ1594" s="2">
        <v>241</v>
      </c>
      <c r="BK1594" s="2" t="s">
        <v>82</v>
      </c>
      <c r="BL1594" s="2"/>
      <c r="BM1594" s="2">
        <v>241</v>
      </c>
      <c r="BN1594" s="2" t="s">
        <v>82</v>
      </c>
      <c r="BO1594" s="2"/>
      <c r="BP1594" s="2">
        <v>241</v>
      </c>
      <c r="BQ1594" s="2" t="s">
        <v>82</v>
      </c>
      <c r="BR1594" s="2"/>
      <c r="BS1594" s="3">
        <v>40288</v>
      </c>
      <c r="BT1594" s="4">
        <v>0.53087962962962965</v>
      </c>
    </row>
    <row r="1595" spans="1:72" x14ac:dyDescent="0.25">
      <c r="A1595" s="2">
        <v>2337</v>
      </c>
      <c r="B1595" s="2">
        <v>2010</v>
      </c>
      <c r="C1595" s="2" t="s">
        <v>72</v>
      </c>
      <c r="D1595" s="2" t="s">
        <v>122</v>
      </c>
      <c r="E1595" s="2" t="s">
        <v>5799</v>
      </c>
      <c r="F1595" s="2">
        <v>389</v>
      </c>
      <c r="G1595" s="2" t="s">
        <v>1819</v>
      </c>
      <c r="H1595" s="2">
        <v>2</v>
      </c>
      <c r="I1595" s="2" t="s">
        <v>267</v>
      </c>
      <c r="J1595" s="2">
        <v>399</v>
      </c>
      <c r="K1595" s="2" t="s">
        <v>1820</v>
      </c>
      <c r="L1595" s="2" t="s">
        <v>1821</v>
      </c>
      <c r="M1595" s="3">
        <v>40288</v>
      </c>
      <c r="N1595" s="2" t="s">
        <v>5653</v>
      </c>
      <c r="O1595" s="2" t="s">
        <v>107</v>
      </c>
      <c r="P1595" s="2" t="s">
        <v>107</v>
      </c>
      <c r="Q1595" s="2" t="str">
        <f>"214-E/10"</f>
        <v>214-E/10</v>
      </c>
      <c r="R1595" s="2" t="s">
        <v>302</v>
      </c>
      <c r="S1595" s="2" t="s">
        <v>302</v>
      </c>
      <c r="T1595" s="2">
        <v>1</v>
      </c>
      <c r="U1595" s="2" t="s">
        <v>79</v>
      </c>
      <c r="V1595" s="2">
        <v>1</v>
      </c>
      <c r="W1595" s="2" t="s">
        <v>80</v>
      </c>
      <c r="X1595" s="2">
        <v>1</v>
      </c>
      <c r="Y1595" s="2" t="s">
        <v>81</v>
      </c>
      <c r="Z1595" s="2">
        <v>10</v>
      </c>
      <c r="AA1595" s="2" t="s">
        <v>236</v>
      </c>
      <c r="AB1595" s="2">
        <v>6</v>
      </c>
      <c r="AC1595" s="2" t="s">
        <v>83</v>
      </c>
      <c r="AD1595" s="3">
        <v>40287</v>
      </c>
      <c r="AE1595" s="4">
        <v>0.82291666666666663</v>
      </c>
      <c r="AF1595" s="2"/>
      <c r="AG1595" s="2"/>
      <c r="AH1595" s="2">
        <v>2</v>
      </c>
      <c r="AI1595" s="2" t="s">
        <v>84</v>
      </c>
      <c r="AJ1595" s="2">
        <v>9</v>
      </c>
      <c r="AK1595" s="2" t="s">
        <v>103</v>
      </c>
      <c r="AL1595" s="2">
        <v>9</v>
      </c>
      <c r="AM1595" s="2" t="s">
        <v>259</v>
      </c>
      <c r="AN1595" s="2" t="s">
        <v>5796</v>
      </c>
      <c r="AO1595" s="2" t="s">
        <v>5800</v>
      </c>
      <c r="AP1595" s="2">
        <v>11</v>
      </c>
      <c r="AQ1595" s="2" t="s">
        <v>82</v>
      </c>
      <c r="AR1595" s="2" t="s">
        <v>82</v>
      </c>
      <c r="AS1595" s="2" t="s">
        <v>82</v>
      </c>
      <c r="AT1595" s="2" t="s">
        <v>5805</v>
      </c>
      <c r="AU1595" s="2"/>
      <c r="AV1595" s="2">
        <v>1</v>
      </c>
      <c r="AW1595" s="2"/>
      <c r="AX1595" s="2"/>
      <c r="AY1595" s="2">
        <v>41</v>
      </c>
      <c r="AZ1595" s="2" t="s">
        <v>82</v>
      </c>
      <c r="BA1595" s="2">
        <v>70</v>
      </c>
      <c r="BB1595" s="2" t="s">
        <v>236</v>
      </c>
      <c r="BC1595" s="2">
        <v>41</v>
      </c>
      <c r="BD1595" s="2" t="s">
        <v>82</v>
      </c>
      <c r="BE1595" s="2">
        <v>41</v>
      </c>
      <c r="BF1595" s="2" t="s">
        <v>82</v>
      </c>
      <c r="BG1595" s="2"/>
      <c r="BH1595" s="2"/>
      <c r="BI1595" s="2"/>
      <c r="BJ1595" s="2">
        <v>241</v>
      </c>
      <c r="BK1595" s="2" t="s">
        <v>82</v>
      </c>
      <c r="BL1595" s="2"/>
      <c r="BM1595" s="2">
        <v>241</v>
      </c>
      <c r="BN1595" s="2" t="s">
        <v>82</v>
      </c>
      <c r="BO1595" s="2"/>
      <c r="BP1595" s="2">
        <v>241</v>
      </c>
      <c r="BQ1595" s="2" t="s">
        <v>82</v>
      </c>
      <c r="BR1595" s="2"/>
      <c r="BS1595" s="3">
        <v>40288</v>
      </c>
      <c r="BT1595" s="4">
        <v>0.53839120370370364</v>
      </c>
    </row>
    <row r="1596" spans="1:72" x14ac:dyDescent="0.25">
      <c r="A1596" s="2">
        <v>2340</v>
      </c>
      <c r="B1596" s="2">
        <v>2010</v>
      </c>
      <c r="C1596" s="2" t="s">
        <v>93</v>
      </c>
      <c r="D1596" s="2" t="s">
        <v>73</v>
      </c>
      <c r="E1596" s="2"/>
      <c r="F1596" s="2">
        <v>599</v>
      </c>
      <c r="G1596" s="2" t="s">
        <v>5806</v>
      </c>
      <c r="H1596" s="2">
        <v>22</v>
      </c>
      <c r="I1596" s="2" t="s">
        <v>75</v>
      </c>
      <c r="J1596" s="2">
        <v>529</v>
      </c>
      <c r="K1596" s="2" t="s">
        <v>5807</v>
      </c>
      <c r="L1596" s="2" t="s">
        <v>5808</v>
      </c>
      <c r="M1596" s="3">
        <v>40288</v>
      </c>
      <c r="N1596" s="2" t="s">
        <v>5809</v>
      </c>
      <c r="O1596" s="2" t="s">
        <v>5810</v>
      </c>
      <c r="P1596" s="2" t="s">
        <v>5811</v>
      </c>
      <c r="Q1596" s="2" t="str">
        <f>"N/C"</f>
        <v>N/C</v>
      </c>
      <c r="R1596" s="2" t="s">
        <v>107</v>
      </c>
      <c r="S1596" s="2" t="s">
        <v>82</v>
      </c>
      <c r="T1596" s="2">
        <v>1</v>
      </c>
      <c r="U1596" s="2" t="s">
        <v>79</v>
      </c>
      <c r="V1596" s="2">
        <v>1</v>
      </c>
      <c r="W1596" s="2" t="s">
        <v>80</v>
      </c>
      <c r="X1596" s="2">
        <v>10</v>
      </c>
      <c r="Y1596" s="2" t="s">
        <v>226</v>
      </c>
      <c r="Z1596" s="2">
        <v>6</v>
      </c>
      <c r="AA1596" s="2" t="s">
        <v>101</v>
      </c>
      <c r="AB1596" s="2">
        <v>2</v>
      </c>
      <c r="AC1596" s="2" t="s">
        <v>102</v>
      </c>
      <c r="AD1596" s="3">
        <v>40287</v>
      </c>
      <c r="AE1596" s="4">
        <v>0.72916666666666663</v>
      </c>
      <c r="AF1596" s="2"/>
      <c r="AG1596" s="2"/>
      <c r="AH1596" s="2">
        <v>2</v>
      </c>
      <c r="AI1596" s="2" t="s">
        <v>84</v>
      </c>
      <c r="AJ1596" s="2">
        <v>9</v>
      </c>
      <c r="AK1596" s="2" t="s">
        <v>103</v>
      </c>
      <c r="AL1596" s="2">
        <v>14</v>
      </c>
      <c r="AM1596" s="2" t="s">
        <v>216</v>
      </c>
      <c r="AN1596" s="2" t="s">
        <v>5397</v>
      </c>
      <c r="AO1596" s="2" t="s">
        <v>5397</v>
      </c>
      <c r="AP1596" s="2">
        <v>11</v>
      </c>
      <c r="AQ1596" s="2" t="s">
        <v>82</v>
      </c>
      <c r="AR1596" s="2" t="s">
        <v>82</v>
      </c>
      <c r="AS1596" s="2" t="s">
        <v>82</v>
      </c>
      <c r="AT1596" s="2" t="s">
        <v>5812</v>
      </c>
      <c r="AU1596" s="2"/>
      <c r="AV1596" s="2"/>
      <c r="AW1596" s="2"/>
      <c r="AX1596" s="2"/>
      <c r="AY1596" s="2">
        <v>41</v>
      </c>
      <c r="AZ1596" s="2" t="s">
        <v>82</v>
      </c>
      <c r="BA1596" s="2">
        <v>41</v>
      </c>
      <c r="BB1596" s="2" t="s">
        <v>82</v>
      </c>
      <c r="BC1596" s="2">
        <v>41</v>
      </c>
      <c r="BD1596" s="2" t="s">
        <v>82</v>
      </c>
      <c r="BE1596" s="2">
        <v>17</v>
      </c>
      <c r="BF1596" s="2" t="s">
        <v>508</v>
      </c>
      <c r="BG1596" s="2" t="s">
        <v>5813</v>
      </c>
      <c r="BH1596" s="2"/>
      <c r="BI1596" s="2"/>
      <c r="BJ1596" s="2">
        <v>46</v>
      </c>
      <c r="BK1596" s="2" t="s">
        <v>307</v>
      </c>
      <c r="BL1596" s="2" t="s">
        <v>308</v>
      </c>
      <c r="BM1596" s="2">
        <v>241</v>
      </c>
      <c r="BN1596" s="2" t="s">
        <v>82</v>
      </c>
      <c r="BO1596" s="2" t="s">
        <v>82</v>
      </c>
      <c r="BP1596" s="2">
        <v>13</v>
      </c>
      <c r="BQ1596" s="2" t="s">
        <v>91</v>
      </c>
      <c r="BR1596" s="2" t="s">
        <v>2592</v>
      </c>
      <c r="BS1596" s="3">
        <v>40288</v>
      </c>
      <c r="BT1596" s="4">
        <v>0.5587847222222222</v>
      </c>
    </row>
    <row r="1597" spans="1:72" x14ac:dyDescent="0.25">
      <c r="A1597" s="2">
        <v>2342</v>
      </c>
      <c r="B1597" s="2">
        <v>2010</v>
      </c>
      <c r="C1597" s="2" t="s">
        <v>554</v>
      </c>
      <c r="D1597" s="2" t="s">
        <v>73</v>
      </c>
      <c r="E1597" s="2"/>
      <c r="F1597" s="2">
        <v>2</v>
      </c>
      <c r="G1597" s="2" t="s">
        <v>113</v>
      </c>
      <c r="H1597" s="2">
        <v>22</v>
      </c>
      <c r="I1597" s="2" t="s">
        <v>75</v>
      </c>
      <c r="J1597" s="2">
        <v>300</v>
      </c>
      <c r="K1597" s="2" t="s">
        <v>114</v>
      </c>
      <c r="L1597" s="2" t="s">
        <v>115</v>
      </c>
      <c r="M1597" s="3">
        <v>40288</v>
      </c>
      <c r="N1597" s="2" t="s">
        <v>5814</v>
      </c>
      <c r="O1597" s="2"/>
      <c r="P1597" s="2"/>
      <c r="Q1597" s="2" t="str">
        <f>"215-E/10"</f>
        <v>215-E/10</v>
      </c>
      <c r="R1597" s="2"/>
      <c r="S1597" s="2" t="s">
        <v>480</v>
      </c>
      <c r="T1597" s="2">
        <v>1</v>
      </c>
      <c r="U1597" s="2" t="s">
        <v>79</v>
      </c>
      <c r="V1597" s="2">
        <v>1</v>
      </c>
      <c r="W1597" s="2" t="s">
        <v>80</v>
      </c>
      <c r="X1597" s="2">
        <v>12</v>
      </c>
      <c r="Y1597" s="2" t="s">
        <v>148</v>
      </c>
      <c r="Z1597" s="2">
        <v>1</v>
      </c>
      <c r="AA1597" s="2" t="s">
        <v>82</v>
      </c>
      <c r="AB1597" s="2">
        <v>5</v>
      </c>
      <c r="AC1597" s="2" t="s">
        <v>559</v>
      </c>
      <c r="AD1597" s="3">
        <v>40284</v>
      </c>
      <c r="AE1597" s="2"/>
      <c r="AF1597" s="3">
        <v>40288</v>
      </c>
      <c r="AG1597" s="4">
        <v>0.39583333333333331</v>
      </c>
      <c r="AH1597" s="2">
        <v>2</v>
      </c>
      <c r="AI1597" s="2" t="s">
        <v>84</v>
      </c>
      <c r="AJ1597" s="2">
        <v>9</v>
      </c>
      <c r="AK1597" s="2" t="s">
        <v>103</v>
      </c>
      <c r="AL1597" s="2">
        <v>12</v>
      </c>
      <c r="AM1597" s="2" t="s">
        <v>86</v>
      </c>
      <c r="AN1597" s="2"/>
      <c r="AO1597" s="2"/>
      <c r="AP1597" s="2">
        <v>11</v>
      </c>
      <c r="AQ1597" s="2" t="s">
        <v>82</v>
      </c>
      <c r="AR1597" s="2"/>
      <c r="AS1597" s="2"/>
      <c r="AT1597" s="2" t="s">
        <v>5815</v>
      </c>
      <c r="AU1597" s="2"/>
      <c r="AV1597" s="2"/>
      <c r="AW1597" s="2"/>
      <c r="AX1597" s="2"/>
      <c r="AY1597" s="2">
        <v>41</v>
      </c>
      <c r="AZ1597" s="2" t="s">
        <v>82</v>
      </c>
      <c r="BA1597" s="2">
        <v>41</v>
      </c>
      <c r="BB1597" s="2" t="s">
        <v>82</v>
      </c>
      <c r="BC1597" s="2">
        <v>41</v>
      </c>
      <c r="BD1597" s="2" t="s">
        <v>82</v>
      </c>
      <c r="BE1597" s="2">
        <v>35</v>
      </c>
      <c r="BF1597" s="2" t="s">
        <v>5816</v>
      </c>
      <c r="BG1597" s="2" t="s">
        <v>5817</v>
      </c>
      <c r="BH1597" s="4">
        <v>0.40625</v>
      </c>
      <c r="BI1597" s="2"/>
      <c r="BJ1597" s="2">
        <v>33</v>
      </c>
      <c r="BK1597" s="2" t="s">
        <v>361</v>
      </c>
      <c r="BL1597" s="2" t="s">
        <v>1739</v>
      </c>
      <c r="BM1597" s="2">
        <v>241</v>
      </c>
      <c r="BN1597" s="2" t="s">
        <v>82</v>
      </c>
      <c r="BO1597" s="2"/>
      <c r="BP1597" s="2">
        <v>13</v>
      </c>
      <c r="BQ1597" s="2" t="s">
        <v>91</v>
      </c>
      <c r="BR1597" s="2" t="s">
        <v>5300</v>
      </c>
      <c r="BS1597" s="3">
        <v>40288</v>
      </c>
      <c r="BT1597" s="4">
        <v>0.59202546296296299</v>
      </c>
    </row>
    <row r="1598" spans="1:72" x14ac:dyDescent="0.25">
      <c r="A1598" s="2">
        <v>2344</v>
      </c>
      <c r="B1598" s="2">
        <v>2010</v>
      </c>
      <c r="C1598" s="2" t="s">
        <v>93</v>
      </c>
      <c r="D1598" s="2" t="s">
        <v>122</v>
      </c>
      <c r="E1598" s="2"/>
      <c r="F1598" s="2">
        <v>144</v>
      </c>
      <c r="G1598" s="2" t="s">
        <v>537</v>
      </c>
      <c r="H1598" s="2">
        <v>42</v>
      </c>
      <c r="I1598" s="2" t="s">
        <v>1096</v>
      </c>
      <c r="J1598" s="2">
        <v>160</v>
      </c>
      <c r="K1598" s="2" t="s">
        <v>538</v>
      </c>
      <c r="L1598" s="2" t="s">
        <v>539</v>
      </c>
      <c r="M1598" s="3">
        <v>40288</v>
      </c>
      <c r="N1598" s="2" t="s">
        <v>1813</v>
      </c>
      <c r="O1598" s="2" t="s">
        <v>5818</v>
      </c>
      <c r="P1598" s="2">
        <v>15667</v>
      </c>
      <c r="Q1598" s="2" t="str">
        <f>"N/C"</f>
        <v>N/C</v>
      </c>
      <c r="R1598" s="2" t="s">
        <v>82</v>
      </c>
      <c r="S1598" s="2" t="s">
        <v>82</v>
      </c>
      <c r="T1598" s="2">
        <v>1</v>
      </c>
      <c r="U1598" s="2" t="s">
        <v>79</v>
      </c>
      <c r="V1598" s="2">
        <v>1</v>
      </c>
      <c r="W1598" s="2" t="s">
        <v>80</v>
      </c>
      <c r="X1598" s="2">
        <v>1</v>
      </c>
      <c r="Y1598" s="2" t="s">
        <v>81</v>
      </c>
      <c r="Z1598" s="2">
        <v>1</v>
      </c>
      <c r="AA1598" s="2" t="s">
        <v>82</v>
      </c>
      <c r="AB1598" s="2">
        <v>2</v>
      </c>
      <c r="AC1598" s="2" t="s">
        <v>102</v>
      </c>
      <c r="AD1598" s="3">
        <v>40288</v>
      </c>
      <c r="AE1598" s="4">
        <v>0.55555555555555558</v>
      </c>
      <c r="AF1598" s="2"/>
      <c r="AG1598" s="2"/>
      <c r="AH1598" s="2">
        <v>6</v>
      </c>
      <c r="AI1598" s="2" t="s">
        <v>197</v>
      </c>
      <c r="AJ1598" s="2">
        <v>60</v>
      </c>
      <c r="AK1598" s="2" t="s">
        <v>543</v>
      </c>
      <c r="AL1598" s="2">
        <v>11</v>
      </c>
      <c r="AM1598" s="2" t="s">
        <v>137</v>
      </c>
      <c r="AN1598" s="2" t="s">
        <v>2249</v>
      </c>
      <c r="AO1598" s="2" t="s">
        <v>82</v>
      </c>
      <c r="AP1598" s="2">
        <v>11</v>
      </c>
      <c r="AQ1598" s="2" t="s">
        <v>82</v>
      </c>
      <c r="AR1598" s="2" t="s">
        <v>82</v>
      </c>
      <c r="AS1598" s="2" t="s">
        <v>82</v>
      </c>
      <c r="AT1598" s="2" t="s">
        <v>5819</v>
      </c>
      <c r="AU1598" s="2"/>
      <c r="AV1598" s="2"/>
      <c r="AW1598" s="2"/>
      <c r="AX1598" s="2"/>
      <c r="AY1598" s="2">
        <v>41</v>
      </c>
      <c r="AZ1598" s="2" t="s">
        <v>82</v>
      </c>
      <c r="BA1598" s="2">
        <v>41</v>
      </c>
      <c r="BB1598" s="2" t="s">
        <v>82</v>
      </c>
      <c r="BC1598" s="2">
        <v>41</v>
      </c>
      <c r="BD1598" s="2" t="s">
        <v>82</v>
      </c>
      <c r="BE1598" s="2">
        <v>47</v>
      </c>
      <c r="BF1598" s="2" t="s">
        <v>167</v>
      </c>
      <c r="BG1598" s="2" t="s">
        <v>5185</v>
      </c>
      <c r="BH1598" s="4">
        <v>0.61111111111111105</v>
      </c>
      <c r="BI1598" s="4">
        <v>0.63194444444444442</v>
      </c>
      <c r="BJ1598" s="2">
        <v>13</v>
      </c>
      <c r="BK1598" s="2" t="s">
        <v>91</v>
      </c>
      <c r="BL1598" s="2" t="s">
        <v>895</v>
      </c>
      <c r="BM1598" s="2">
        <v>13</v>
      </c>
      <c r="BN1598" s="2" t="s">
        <v>91</v>
      </c>
      <c r="BO1598" s="2" t="s">
        <v>82</v>
      </c>
      <c r="BP1598" s="2">
        <v>13</v>
      </c>
      <c r="BQ1598" s="2" t="s">
        <v>91</v>
      </c>
      <c r="BR1598" s="2" t="s">
        <v>5820</v>
      </c>
      <c r="BS1598" s="3">
        <v>40288</v>
      </c>
      <c r="BT1598" s="4">
        <v>0.61</v>
      </c>
    </row>
    <row r="1599" spans="1:72" x14ac:dyDescent="0.25">
      <c r="A1599" s="2">
        <v>2345</v>
      </c>
      <c r="B1599" s="2">
        <v>2010</v>
      </c>
      <c r="C1599" s="2" t="s">
        <v>385</v>
      </c>
      <c r="D1599" s="2" t="s">
        <v>122</v>
      </c>
      <c r="E1599" s="2" t="s">
        <v>5821</v>
      </c>
      <c r="F1599" s="2">
        <v>591</v>
      </c>
      <c r="G1599" s="2" t="s">
        <v>5658</v>
      </c>
      <c r="H1599" s="2">
        <v>7</v>
      </c>
      <c r="I1599" s="2" t="s">
        <v>476</v>
      </c>
      <c r="J1599" s="2">
        <v>33</v>
      </c>
      <c r="K1599" s="2" t="s">
        <v>2178</v>
      </c>
      <c r="L1599" s="2" t="s">
        <v>1877</v>
      </c>
      <c r="M1599" s="3">
        <v>40288</v>
      </c>
      <c r="N1599" s="2" t="s">
        <v>5792</v>
      </c>
      <c r="O1599" s="2" t="s">
        <v>5793</v>
      </c>
      <c r="P1599" s="7">
        <v>14002</v>
      </c>
      <c r="Q1599" s="2" t="str">
        <f>""</f>
        <v/>
      </c>
      <c r="R1599" s="2"/>
      <c r="S1599" s="2"/>
      <c r="T1599" s="2">
        <v>1</v>
      </c>
      <c r="U1599" s="2" t="s">
        <v>79</v>
      </c>
      <c r="V1599" s="2">
        <v>1</v>
      </c>
      <c r="W1599" s="2" t="s">
        <v>80</v>
      </c>
      <c r="X1599" s="2">
        <v>5</v>
      </c>
      <c r="Y1599" s="2" t="s">
        <v>82</v>
      </c>
      <c r="Z1599" s="2">
        <v>1</v>
      </c>
      <c r="AA1599" s="2" t="s">
        <v>82</v>
      </c>
      <c r="AB1599" s="2">
        <v>9</v>
      </c>
      <c r="AC1599" s="2" t="s">
        <v>124</v>
      </c>
      <c r="AD1599" s="3">
        <v>40288</v>
      </c>
      <c r="AE1599" s="4">
        <v>0.625</v>
      </c>
      <c r="AF1599" s="2"/>
      <c r="AG1599" s="2"/>
      <c r="AH1599" s="2">
        <v>2</v>
      </c>
      <c r="AI1599" s="2" t="s">
        <v>84</v>
      </c>
      <c r="AJ1599" s="2">
        <v>8</v>
      </c>
      <c r="AK1599" s="2" t="s">
        <v>436</v>
      </c>
      <c r="AL1599" s="2">
        <v>18</v>
      </c>
      <c r="AM1599" s="2" t="s">
        <v>82</v>
      </c>
      <c r="AN1599" s="2"/>
      <c r="AO1599" s="2" t="s">
        <v>5794</v>
      </c>
      <c r="AP1599" s="2">
        <v>11</v>
      </c>
      <c r="AQ1599" s="2" t="s">
        <v>82</v>
      </c>
      <c r="AR1599" s="2"/>
      <c r="AS1599" s="2"/>
      <c r="AT1599" s="2" t="s">
        <v>5822</v>
      </c>
      <c r="AU1599" s="2">
        <v>1</v>
      </c>
      <c r="AV1599" s="2"/>
      <c r="AW1599" s="2"/>
      <c r="AX1599" s="2"/>
      <c r="AY1599" s="2">
        <v>41</v>
      </c>
      <c r="AZ1599" s="2" t="s">
        <v>82</v>
      </c>
      <c r="BA1599" s="2">
        <v>41</v>
      </c>
      <c r="BB1599" s="2" t="s">
        <v>82</v>
      </c>
      <c r="BC1599" s="2">
        <v>41</v>
      </c>
      <c r="BD1599" s="2" t="s">
        <v>82</v>
      </c>
      <c r="BE1599" s="2">
        <v>41</v>
      </c>
      <c r="BF1599" s="2" t="s">
        <v>82</v>
      </c>
      <c r="BG1599" s="2"/>
      <c r="BH1599" s="2"/>
      <c r="BI1599" s="2"/>
      <c r="BJ1599" s="2">
        <v>241</v>
      </c>
      <c r="BK1599" s="2" t="s">
        <v>82</v>
      </c>
      <c r="BL1599" s="2"/>
      <c r="BM1599" s="2">
        <v>241</v>
      </c>
      <c r="BN1599" s="2" t="s">
        <v>82</v>
      </c>
      <c r="BO1599" s="2"/>
      <c r="BP1599" s="2">
        <v>241</v>
      </c>
      <c r="BQ1599" s="2" t="s">
        <v>82</v>
      </c>
      <c r="BR1599" s="2"/>
      <c r="BS1599" s="3">
        <v>40288</v>
      </c>
      <c r="BT1599" s="4">
        <v>0.62951388888888882</v>
      </c>
    </row>
    <row r="1600" spans="1:72" x14ac:dyDescent="0.25">
      <c r="A1600" s="2">
        <v>2346</v>
      </c>
      <c r="B1600" s="2">
        <v>2010</v>
      </c>
      <c r="C1600" s="2" t="s">
        <v>171</v>
      </c>
      <c r="D1600" s="2" t="s">
        <v>122</v>
      </c>
      <c r="E1600" s="2" t="s">
        <v>5823</v>
      </c>
      <c r="F1600" s="2">
        <v>226</v>
      </c>
      <c r="G1600" s="2" t="s">
        <v>5788</v>
      </c>
      <c r="H1600" s="2">
        <v>2</v>
      </c>
      <c r="I1600" s="2" t="s">
        <v>267</v>
      </c>
      <c r="J1600" s="2">
        <v>2</v>
      </c>
      <c r="K1600" s="2" t="s">
        <v>3661</v>
      </c>
      <c r="L1600" s="2" t="s">
        <v>3662</v>
      </c>
      <c r="M1600" s="3">
        <v>40288</v>
      </c>
      <c r="N1600" s="2" t="s">
        <v>5789</v>
      </c>
      <c r="O1600" s="2"/>
      <c r="P1600" s="2"/>
      <c r="Q1600" s="2" t="str">
        <f>"212-E/10"</f>
        <v>212-E/10</v>
      </c>
      <c r="R1600" s="2" t="s">
        <v>391</v>
      </c>
      <c r="S1600" s="2" t="s">
        <v>391</v>
      </c>
      <c r="T1600" s="2">
        <v>1</v>
      </c>
      <c r="U1600" s="2" t="s">
        <v>79</v>
      </c>
      <c r="V1600" s="2">
        <v>1</v>
      </c>
      <c r="W1600" s="2" t="s">
        <v>80</v>
      </c>
      <c r="X1600" s="2">
        <v>1</v>
      </c>
      <c r="Y1600" s="2" t="s">
        <v>81</v>
      </c>
      <c r="Z1600" s="2">
        <v>1</v>
      </c>
      <c r="AA1600" s="2" t="s">
        <v>82</v>
      </c>
      <c r="AB1600" s="2">
        <v>1</v>
      </c>
      <c r="AC1600" s="2" t="s">
        <v>178</v>
      </c>
      <c r="AD1600" s="3">
        <v>40287</v>
      </c>
      <c r="AE1600" s="4">
        <v>0.83333333333333337</v>
      </c>
      <c r="AF1600" s="2"/>
      <c r="AG1600" s="2"/>
      <c r="AH1600" s="2">
        <v>2</v>
      </c>
      <c r="AI1600" s="2" t="s">
        <v>84</v>
      </c>
      <c r="AJ1600" s="2">
        <v>9</v>
      </c>
      <c r="AK1600" s="2" t="s">
        <v>103</v>
      </c>
      <c r="AL1600" s="2">
        <v>11</v>
      </c>
      <c r="AM1600" s="2" t="s">
        <v>137</v>
      </c>
      <c r="AN1600" s="2"/>
      <c r="AO1600" s="2" t="s">
        <v>590</v>
      </c>
      <c r="AP1600" s="2">
        <v>11</v>
      </c>
      <c r="AQ1600" s="2" t="s">
        <v>82</v>
      </c>
      <c r="AR1600" s="2"/>
      <c r="AS1600" s="2"/>
      <c r="AT1600" s="2" t="s">
        <v>5824</v>
      </c>
      <c r="AU1600" s="2"/>
      <c r="AV1600" s="2">
        <v>1</v>
      </c>
      <c r="AW1600" s="2"/>
      <c r="AX1600" s="2"/>
      <c r="AY1600" s="2">
        <v>41</v>
      </c>
      <c r="AZ1600" s="2" t="s">
        <v>82</v>
      </c>
      <c r="BA1600" s="2">
        <v>41</v>
      </c>
      <c r="BB1600" s="2" t="s">
        <v>82</v>
      </c>
      <c r="BC1600" s="2">
        <v>41</v>
      </c>
      <c r="BD1600" s="2" t="s">
        <v>82</v>
      </c>
      <c r="BE1600" s="2">
        <v>13</v>
      </c>
      <c r="BF1600" s="2" t="s">
        <v>108</v>
      </c>
      <c r="BG1600" s="2">
        <v>1140</v>
      </c>
      <c r="BH1600" s="2"/>
      <c r="BI1600" s="2"/>
      <c r="BJ1600" s="2">
        <v>13</v>
      </c>
      <c r="BK1600" s="2" t="s">
        <v>91</v>
      </c>
      <c r="BL1600" s="2" t="s">
        <v>185</v>
      </c>
      <c r="BM1600" s="2">
        <v>241</v>
      </c>
      <c r="BN1600" s="2" t="s">
        <v>82</v>
      </c>
      <c r="BO1600" s="2"/>
      <c r="BP1600" s="2">
        <v>112</v>
      </c>
      <c r="BQ1600" s="2" t="s">
        <v>110</v>
      </c>
      <c r="BR1600" s="2" t="s">
        <v>111</v>
      </c>
      <c r="BS1600" s="3">
        <v>40288</v>
      </c>
      <c r="BT1600" s="4">
        <v>0.63548611111111108</v>
      </c>
    </row>
    <row r="1601" spans="1:72" x14ac:dyDescent="0.25">
      <c r="A1601" s="2">
        <v>2347</v>
      </c>
      <c r="B1601" s="2">
        <v>2010</v>
      </c>
      <c r="C1601" s="2" t="s">
        <v>377</v>
      </c>
      <c r="D1601" s="2" t="s">
        <v>73</v>
      </c>
      <c r="E1601" s="2"/>
      <c r="F1601" s="2">
        <v>426</v>
      </c>
      <c r="G1601" s="2" t="s">
        <v>378</v>
      </c>
      <c r="H1601" s="2">
        <v>22</v>
      </c>
      <c r="I1601" s="2" t="s">
        <v>75</v>
      </c>
      <c r="J1601" s="2">
        <v>311</v>
      </c>
      <c r="K1601" s="2" t="s">
        <v>379</v>
      </c>
      <c r="L1601" s="2" t="s">
        <v>380</v>
      </c>
      <c r="M1601" s="3">
        <v>40288</v>
      </c>
      <c r="N1601" s="2" t="s">
        <v>4427</v>
      </c>
      <c r="O1601" s="2" t="s">
        <v>4428</v>
      </c>
      <c r="P1601" s="2"/>
      <c r="Q1601" s="2" t="str">
        <f>"050-C/10"</f>
        <v>050-C/10</v>
      </c>
      <c r="R1601" s="2"/>
      <c r="S1601" s="2" t="s">
        <v>4428</v>
      </c>
      <c r="T1601" s="2">
        <v>1</v>
      </c>
      <c r="U1601" s="2" t="s">
        <v>79</v>
      </c>
      <c r="V1601" s="2">
        <v>1</v>
      </c>
      <c r="W1601" s="2" t="s">
        <v>80</v>
      </c>
      <c r="X1601" s="2">
        <v>1</v>
      </c>
      <c r="Y1601" s="2" t="s">
        <v>81</v>
      </c>
      <c r="Z1601" s="2">
        <v>1</v>
      </c>
      <c r="AA1601" s="2" t="s">
        <v>82</v>
      </c>
      <c r="AB1601" s="2">
        <v>9</v>
      </c>
      <c r="AC1601" s="2" t="s">
        <v>124</v>
      </c>
      <c r="AD1601" s="3">
        <v>40288</v>
      </c>
      <c r="AE1601" s="4">
        <v>0.41666666666666669</v>
      </c>
      <c r="AF1601" s="2"/>
      <c r="AG1601" s="2"/>
      <c r="AH1601" s="2">
        <v>2</v>
      </c>
      <c r="AI1601" s="2" t="s">
        <v>84</v>
      </c>
      <c r="AJ1601" s="2">
        <v>9</v>
      </c>
      <c r="AK1601" s="2" t="s">
        <v>103</v>
      </c>
      <c r="AL1601" s="2">
        <v>24</v>
      </c>
      <c r="AM1601" s="2" t="s">
        <v>1540</v>
      </c>
      <c r="AN1601" s="2"/>
      <c r="AO1601" s="2" t="s">
        <v>2887</v>
      </c>
      <c r="AP1601" s="2">
        <v>11</v>
      </c>
      <c r="AQ1601" s="2" t="s">
        <v>82</v>
      </c>
      <c r="AR1601" s="2"/>
      <c r="AS1601" s="2"/>
      <c r="AT1601" s="2" t="s">
        <v>5825</v>
      </c>
      <c r="AU1601" s="2"/>
      <c r="AV1601" s="2"/>
      <c r="AW1601" s="2"/>
      <c r="AX1601" s="2"/>
      <c r="AY1601" s="2">
        <v>41</v>
      </c>
      <c r="AZ1601" s="2" t="s">
        <v>82</v>
      </c>
      <c r="BA1601" s="2">
        <v>41</v>
      </c>
      <c r="BB1601" s="2" t="s">
        <v>82</v>
      </c>
      <c r="BC1601" s="2">
        <v>41</v>
      </c>
      <c r="BD1601" s="2" t="s">
        <v>82</v>
      </c>
      <c r="BE1601" s="2">
        <v>41</v>
      </c>
      <c r="BF1601" s="2" t="s">
        <v>82</v>
      </c>
      <c r="BG1601" s="2"/>
      <c r="BH1601" s="2"/>
      <c r="BI1601" s="2"/>
      <c r="BJ1601" s="2">
        <v>241</v>
      </c>
      <c r="BK1601" s="2" t="s">
        <v>82</v>
      </c>
      <c r="BL1601" s="2"/>
      <c r="BM1601" s="2">
        <v>241</v>
      </c>
      <c r="BN1601" s="2" t="s">
        <v>82</v>
      </c>
      <c r="BO1601" s="2"/>
      <c r="BP1601" s="2">
        <v>241</v>
      </c>
      <c r="BQ1601" s="2" t="s">
        <v>82</v>
      </c>
      <c r="BR1601" s="2"/>
      <c r="BS1601" s="3">
        <v>40288</v>
      </c>
      <c r="BT1601" s="4">
        <v>0.66196759259259264</v>
      </c>
    </row>
    <row r="1602" spans="1:72" x14ac:dyDescent="0.25">
      <c r="A1602" s="2">
        <v>2349</v>
      </c>
      <c r="B1602" s="2">
        <v>2010</v>
      </c>
      <c r="C1602" s="2" t="s">
        <v>377</v>
      </c>
      <c r="D1602" s="2" t="s">
        <v>73</v>
      </c>
      <c r="E1602" s="2"/>
      <c r="F1602" s="2">
        <v>426</v>
      </c>
      <c r="G1602" s="2" t="s">
        <v>378</v>
      </c>
      <c r="H1602" s="2">
        <v>22</v>
      </c>
      <c r="I1602" s="2" t="s">
        <v>75</v>
      </c>
      <c r="J1602" s="2">
        <v>311</v>
      </c>
      <c r="K1602" s="2" t="s">
        <v>379</v>
      </c>
      <c r="L1602" s="2" t="s">
        <v>380</v>
      </c>
      <c r="M1602" s="3">
        <v>40288</v>
      </c>
      <c r="N1602" s="2" t="s">
        <v>4427</v>
      </c>
      <c r="O1602" s="2" t="s">
        <v>4428</v>
      </c>
      <c r="P1602" s="2"/>
      <c r="Q1602" s="2" t="str">
        <f>"051-C/10"</f>
        <v>051-C/10</v>
      </c>
      <c r="R1602" s="2"/>
      <c r="S1602" s="2" t="s">
        <v>4428</v>
      </c>
      <c r="T1602" s="2">
        <v>1</v>
      </c>
      <c r="U1602" s="2" t="s">
        <v>79</v>
      </c>
      <c r="V1602" s="2">
        <v>1</v>
      </c>
      <c r="W1602" s="2" t="s">
        <v>80</v>
      </c>
      <c r="X1602" s="2">
        <v>1</v>
      </c>
      <c r="Y1602" s="2" t="s">
        <v>81</v>
      </c>
      <c r="Z1602" s="2">
        <v>1</v>
      </c>
      <c r="AA1602" s="2" t="s">
        <v>82</v>
      </c>
      <c r="AB1602" s="2">
        <v>9</v>
      </c>
      <c r="AC1602" s="2" t="s">
        <v>124</v>
      </c>
      <c r="AD1602" s="3">
        <v>40288</v>
      </c>
      <c r="AE1602" s="4">
        <v>0.43402777777777773</v>
      </c>
      <c r="AF1602" s="2"/>
      <c r="AG1602" s="2"/>
      <c r="AH1602" s="2">
        <v>2</v>
      </c>
      <c r="AI1602" s="2" t="s">
        <v>84</v>
      </c>
      <c r="AJ1602" s="2">
        <v>9</v>
      </c>
      <c r="AK1602" s="2" t="s">
        <v>103</v>
      </c>
      <c r="AL1602" s="2">
        <v>12</v>
      </c>
      <c r="AM1602" s="2" t="s">
        <v>86</v>
      </c>
      <c r="AN1602" s="2"/>
      <c r="AO1602" s="2" t="s">
        <v>2887</v>
      </c>
      <c r="AP1602" s="2">
        <v>11</v>
      </c>
      <c r="AQ1602" s="2" t="s">
        <v>82</v>
      </c>
      <c r="AR1602" s="2"/>
      <c r="AS1602" s="2"/>
      <c r="AT1602" s="2" t="s">
        <v>5826</v>
      </c>
      <c r="AU1602" s="2"/>
      <c r="AV1602" s="2"/>
      <c r="AW1602" s="2"/>
      <c r="AX1602" s="2"/>
      <c r="AY1602" s="2">
        <v>41</v>
      </c>
      <c r="AZ1602" s="2" t="s">
        <v>82</v>
      </c>
      <c r="BA1602" s="2">
        <v>41</v>
      </c>
      <c r="BB1602" s="2" t="s">
        <v>82</v>
      </c>
      <c r="BC1602" s="2">
        <v>41</v>
      </c>
      <c r="BD1602" s="2" t="s">
        <v>82</v>
      </c>
      <c r="BE1602" s="2">
        <v>41</v>
      </c>
      <c r="BF1602" s="2" t="s">
        <v>82</v>
      </c>
      <c r="BG1602" s="2"/>
      <c r="BH1602" s="2"/>
      <c r="BI1602" s="2"/>
      <c r="BJ1602" s="2">
        <v>241</v>
      </c>
      <c r="BK1602" s="2" t="s">
        <v>82</v>
      </c>
      <c r="BL1602" s="2"/>
      <c r="BM1602" s="2">
        <v>241</v>
      </c>
      <c r="BN1602" s="2" t="s">
        <v>82</v>
      </c>
      <c r="BO1602" s="2"/>
      <c r="BP1602" s="2">
        <v>241</v>
      </c>
      <c r="BQ1602" s="2" t="s">
        <v>82</v>
      </c>
      <c r="BR1602" s="2"/>
      <c r="BS1602" s="3">
        <v>40288</v>
      </c>
      <c r="BT1602" s="4">
        <v>0.6688425925925926</v>
      </c>
    </row>
    <row r="1603" spans="1:72" x14ac:dyDescent="0.25">
      <c r="A1603" s="2">
        <v>2350</v>
      </c>
      <c r="B1603" s="2">
        <v>2010</v>
      </c>
      <c r="C1603" s="2" t="s">
        <v>377</v>
      </c>
      <c r="D1603" s="2" t="s">
        <v>73</v>
      </c>
      <c r="E1603" s="2"/>
      <c r="F1603" s="2">
        <v>426</v>
      </c>
      <c r="G1603" s="2" t="s">
        <v>378</v>
      </c>
      <c r="H1603" s="2">
        <v>22</v>
      </c>
      <c r="I1603" s="2" t="s">
        <v>75</v>
      </c>
      <c r="J1603" s="2">
        <v>311</v>
      </c>
      <c r="K1603" s="2" t="s">
        <v>379</v>
      </c>
      <c r="L1603" s="2" t="s">
        <v>380</v>
      </c>
      <c r="M1603" s="3">
        <v>40288</v>
      </c>
      <c r="N1603" s="2" t="s">
        <v>4427</v>
      </c>
      <c r="O1603" s="2" t="s">
        <v>4428</v>
      </c>
      <c r="P1603" s="2"/>
      <c r="Q1603" s="2" t="str">
        <f>"052-C/10"</f>
        <v>052-C/10</v>
      </c>
      <c r="R1603" s="2"/>
      <c r="S1603" s="2" t="s">
        <v>4428</v>
      </c>
      <c r="T1603" s="2">
        <v>1</v>
      </c>
      <c r="U1603" s="2" t="s">
        <v>79</v>
      </c>
      <c r="V1603" s="2">
        <v>1</v>
      </c>
      <c r="W1603" s="2" t="s">
        <v>80</v>
      </c>
      <c r="X1603" s="2">
        <v>1</v>
      </c>
      <c r="Y1603" s="2" t="s">
        <v>81</v>
      </c>
      <c r="Z1603" s="2">
        <v>1</v>
      </c>
      <c r="AA1603" s="2" t="s">
        <v>82</v>
      </c>
      <c r="AB1603" s="2">
        <v>9</v>
      </c>
      <c r="AC1603" s="2" t="s">
        <v>124</v>
      </c>
      <c r="AD1603" s="3">
        <v>40288</v>
      </c>
      <c r="AE1603" s="4">
        <v>0.4375</v>
      </c>
      <c r="AF1603" s="2"/>
      <c r="AG1603" s="2"/>
      <c r="AH1603" s="2">
        <v>2</v>
      </c>
      <c r="AI1603" s="2" t="s">
        <v>84</v>
      </c>
      <c r="AJ1603" s="2">
        <v>9</v>
      </c>
      <c r="AK1603" s="2" t="s">
        <v>103</v>
      </c>
      <c r="AL1603" s="2">
        <v>24</v>
      </c>
      <c r="AM1603" s="2" t="s">
        <v>1540</v>
      </c>
      <c r="AN1603" s="2"/>
      <c r="AO1603" s="2" t="s">
        <v>5376</v>
      </c>
      <c r="AP1603" s="2">
        <v>11</v>
      </c>
      <c r="AQ1603" s="2" t="s">
        <v>82</v>
      </c>
      <c r="AR1603" s="2"/>
      <c r="AS1603" s="2"/>
      <c r="AT1603" s="2" t="s">
        <v>5827</v>
      </c>
      <c r="AU1603" s="2"/>
      <c r="AV1603" s="2"/>
      <c r="AW1603" s="2"/>
      <c r="AX1603" s="2"/>
      <c r="AY1603" s="2">
        <v>41</v>
      </c>
      <c r="AZ1603" s="2" t="s">
        <v>82</v>
      </c>
      <c r="BA1603" s="2">
        <v>41</v>
      </c>
      <c r="BB1603" s="2" t="s">
        <v>82</v>
      </c>
      <c r="BC1603" s="2">
        <v>41</v>
      </c>
      <c r="BD1603" s="2" t="s">
        <v>82</v>
      </c>
      <c r="BE1603" s="2">
        <v>41</v>
      </c>
      <c r="BF1603" s="2" t="s">
        <v>82</v>
      </c>
      <c r="BG1603" s="2"/>
      <c r="BH1603" s="2"/>
      <c r="BI1603" s="2"/>
      <c r="BJ1603" s="2">
        <v>241</v>
      </c>
      <c r="BK1603" s="2" t="s">
        <v>82</v>
      </c>
      <c r="BL1603" s="2"/>
      <c r="BM1603" s="2">
        <v>241</v>
      </c>
      <c r="BN1603" s="2" t="s">
        <v>82</v>
      </c>
      <c r="BO1603" s="2"/>
      <c r="BP1603" s="2">
        <v>241</v>
      </c>
      <c r="BQ1603" s="2" t="s">
        <v>82</v>
      </c>
      <c r="BR1603" s="2"/>
      <c r="BS1603" s="3">
        <v>40288</v>
      </c>
      <c r="BT1603" s="4">
        <v>0.67451388888888886</v>
      </c>
    </row>
    <row r="1604" spans="1:72" x14ac:dyDescent="0.25">
      <c r="A1604" s="2">
        <v>2351</v>
      </c>
      <c r="B1604" s="2">
        <v>2010</v>
      </c>
      <c r="C1604" s="2" t="s">
        <v>93</v>
      </c>
      <c r="D1604" s="2" t="s">
        <v>73</v>
      </c>
      <c r="E1604" s="2"/>
      <c r="F1604" s="2">
        <v>144</v>
      </c>
      <c r="G1604" s="2" t="s">
        <v>537</v>
      </c>
      <c r="H1604" s="2">
        <v>42</v>
      </c>
      <c r="I1604" s="2" t="s">
        <v>1096</v>
      </c>
      <c r="J1604" s="2">
        <v>160</v>
      </c>
      <c r="K1604" s="2" t="s">
        <v>538</v>
      </c>
      <c r="L1604" s="2" t="s">
        <v>539</v>
      </c>
      <c r="M1604" s="3">
        <v>40288</v>
      </c>
      <c r="N1604" s="2" t="s">
        <v>1813</v>
      </c>
      <c r="O1604" s="2" t="s">
        <v>5828</v>
      </c>
      <c r="P1604" s="2">
        <v>16339</v>
      </c>
      <c r="Q1604" s="2" t="str">
        <f>"AP-0018/10"</f>
        <v>AP-0018/10</v>
      </c>
      <c r="R1604" s="2" t="s">
        <v>82</v>
      </c>
      <c r="S1604" s="2" t="s">
        <v>5829</v>
      </c>
      <c r="T1604" s="2">
        <v>1</v>
      </c>
      <c r="U1604" s="2" t="s">
        <v>79</v>
      </c>
      <c r="V1604" s="2">
        <v>1</v>
      </c>
      <c r="W1604" s="2" t="s">
        <v>80</v>
      </c>
      <c r="X1604" s="2">
        <v>1</v>
      </c>
      <c r="Y1604" s="2" t="s">
        <v>81</v>
      </c>
      <c r="Z1604" s="2">
        <v>1</v>
      </c>
      <c r="AA1604" s="2" t="s">
        <v>82</v>
      </c>
      <c r="AB1604" s="2">
        <v>2</v>
      </c>
      <c r="AC1604" s="2" t="s">
        <v>102</v>
      </c>
      <c r="AD1604" s="3">
        <v>40288</v>
      </c>
      <c r="AE1604" s="4">
        <v>0.64583333333333337</v>
      </c>
      <c r="AF1604" s="2"/>
      <c r="AG1604" s="2"/>
      <c r="AH1604" s="2">
        <v>6</v>
      </c>
      <c r="AI1604" s="2" t="s">
        <v>197</v>
      </c>
      <c r="AJ1604" s="2">
        <v>60</v>
      </c>
      <c r="AK1604" s="2" t="s">
        <v>543</v>
      </c>
      <c r="AL1604" s="2">
        <v>11</v>
      </c>
      <c r="AM1604" s="2" t="s">
        <v>137</v>
      </c>
      <c r="AN1604" s="2" t="s">
        <v>2249</v>
      </c>
      <c r="AO1604" s="2" t="s">
        <v>82</v>
      </c>
      <c r="AP1604" s="2">
        <v>11</v>
      </c>
      <c r="AQ1604" s="2" t="s">
        <v>82</v>
      </c>
      <c r="AR1604" s="2" t="s">
        <v>82</v>
      </c>
      <c r="AS1604" s="2" t="s">
        <v>82</v>
      </c>
      <c r="AT1604" s="2" t="s">
        <v>5830</v>
      </c>
      <c r="AU1604" s="2"/>
      <c r="AV1604" s="2"/>
      <c r="AW1604" s="2"/>
      <c r="AX1604" s="2"/>
      <c r="AY1604" s="2">
        <v>41</v>
      </c>
      <c r="AZ1604" s="2" t="s">
        <v>82</v>
      </c>
      <c r="BA1604" s="2">
        <v>41</v>
      </c>
      <c r="BB1604" s="2" t="s">
        <v>82</v>
      </c>
      <c r="BC1604" s="2">
        <v>41</v>
      </c>
      <c r="BD1604" s="2" t="s">
        <v>82</v>
      </c>
      <c r="BE1604" s="2">
        <v>13</v>
      </c>
      <c r="BF1604" s="2" t="s">
        <v>108</v>
      </c>
      <c r="BG1604" s="2" t="s">
        <v>5831</v>
      </c>
      <c r="BH1604" s="4">
        <v>0.64583333333333337</v>
      </c>
      <c r="BI1604" s="4">
        <v>0.66666666666666663</v>
      </c>
      <c r="BJ1604" s="2">
        <v>13</v>
      </c>
      <c r="BK1604" s="2" t="s">
        <v>91</v>
      </c>
      <c r="BL1604" s="2" t="s">
        <v>895</v>
      </c>
      <c r="BM1604" s="2">
        <v>13</v>
      </c>
      <c r="BN1604" s="2" t="s">
        <v>91</v>
      </c>
      <c r="BO1604" s="2" t="s">
        <v>492</v>
      </c>
      <c r="BP1604" s="2">
        <v>13</v>
      </c>
      <c r="BQ1604" s="2" t="s">
        <v>91</v>
      </c>
      <c r="BR1604" s="2" t="s">
        <v>5820</v>
      </c>
      <c r="BS1604" s="3">
        <v>40288</v>
      </c>
      <c r="BT1604" s="4">
        <v>0.67699074074074073</v>
      </c>
    </row>
    <row r="1605" spans="1:72" x14ac:dyDescent="0.25">
      <c r="A1605" s="2">
        <v>2353</v>
      </c>
      <c r="B1605" s="2">
        <v>2010</v>
      </c>
      <c r="C1605" s="2" t="s">
        <v>171</v>
      </c>
      <c r="D1605" s="2" t="s">
        <v>73</v>
      </c>
      <c r="E1605" s="2"/>
      <c r="F1605" s="2">
        <v>150</v>
      </c>
      <c r="G1605" s="2" t="s">
        <v>4650</v>
      </c>
      <c r="H1605" s="2">
        <v>50</v>
      </c>
      <c r="I1605" s="2" t="s">
        <v>107</v>
      </c>
      <c r="J1605" s="2">
        <v>1</v>
      </c>
      <c r="K1605" s="2" t="s">
        <v>107</v>
      </c>
      <c r="L1605" s="2" t="s">
        <v>107</v>
      </c>
      <c r="M1605" s="3">
        <v>40288</v>
      </c>
      <c r="N1605" s="2" t="s">
        <v>5832</v>
      </c>
      <c r="O1605" s="2"/>
      <c r="P1605" s="2" t="s">
        <v>5833</v>
      </c>
      <c r="Q1605" s="2" t="str">
        <f>""</f>
        <v/>
      </c>
      <c r="R1605" s="2"/>
      <c r="S1605" s="2"/>
      <c r="T1605" s="2">
        <v>1</v>
      </c>
      <c r="U1605" s="2" t="s">
        <v>79</v>
      </c>
      <c r="V1605" s="2">
        <v>3</v>
      </c>
      <c r="W1605" s="2" t="s">
        <v>225</v>
      </c>
      <c r="X1605" s="2">
        <v>6</v>
      </c>
      <c r="Y1605" s="2" t="s">
        <v>249</v>
      </c>
      <c r="Z1605" s="2">
        <v>10</v>
      </c>
      <c r="AA1605" s="2" t="s">
        <v>236</v>
      </c>
      <c r="AB1605" s="2">
        <v>9</v>
      </c>
      <c r="AC1605" s="2" t="s">
        <v>124</v>
      </c>
      <c r="AD1605" s="3">
        <v>40287</v>
      </c>
      <c r="AE1605" s="4">
        <v>0.52708333333333335</v>
      </c>
      <c r="AF1605" s="2"/>
      <c r="AG1605" s="2"/>
      <c r="AH1605" s="2">
        <v>6</v>
      </c>
      <c r="AI1605" s="2" t="s">
        <v>197</v>
      </c>
      <c r="AJ1605" s="2">
        <v>47</v>
      </c>
      <c r="AK1605" s="2" t="s">
        <v>250</v>
      </c>
      <c r="AL1605" s="2">
        <v>23</v>
      </c>
      <c r="AM1605" s="2" t="s">
        <v>251</v>
      </c>
      <c r="AN1605" s="2"/>
      <c r="AO1605" s="2" t="s">
        <v>5834</v>
      </c>
      <c r="AP1605" s="2">
        <v>11</v>
      </c>
      <c r="AQ1605" s="2" t="s">
        <v>82</v>
      </c>
      <c r="AR1605" s="2"/>
      <c r="AS1605" s="2"/>
      <c r="AT1605" s="2" t="s">
        <v>5835</v>
      </c>
      <c r="AU1605" s="2"/>
      <c r="AV1605" s="2"/>
      <c r="AW1605" s="2"/>
      <c r="AX1605" s="2"/>
      <c r="AY1605" s="2">
        <v>41</v>
      </c>
      <c r="AZ1605" s="2" t="s">
        <v>82</v>
      </c>
      <c r="BA1605" s="2">
        <v>41</v>
      </c>
      <c r="BB1605" s="2" t="s">
        <v>82</v>
      </c>
      <c r="BC1605" s="2">
        <v>41</v>
      </c>
      <c r="BD1605" s="2" t="s">
        <v>82</v>
      </c>
      <c r="BE1605" s="2">
        <v>41</v>
      </c>
      <c r="BF1605" s="2" t="s">
        <v>82</v>
      </c>
      <c r="BG1605" s="2"/>
      <c r="BH1605" s="2"/>
      <c r="BI1605" s="2"/>
      <c r="BJ1605" s="2">
        <v>241</v>
      </c>
      <c r="BK1605" s="2" t="s">
        <v>82</v>
      </c>
      <c r="BL1605" s="2"/>
      <c r="BM1605" s="2">
        <v>241</v>
      </c>
      <c r="BN1605" s="2" t="s">
        <v>82</v>
      </c>
      <c r="BO1605" s="2"/>
      <c r="BP1605" s="2">
        <v>241</v>
      </c>
      <c r="BQ1605" s="2" t="s">
        <v>82</v>
      </c>
      <c r="BR1605" s="2"/>
      <c r="BS1605" s="3">
        <v>40288</v>
      </c>
      <c r="BT1605" s="4">
        <v>0.69743055555555555</v>
      </c>
    </row>
    <row r="1606" spans="1:72" x14ac:dyDescent="0.25">
      <c r="A1606" s="2">
        <v>2354</v>
      </c>
      <c r="B1606" s="2">
        <v>2010</v>
      </c>
      <c r="C1606" s="2" t="s">
        <v>1559</v>
      </c>
      <c r="D1606" s="2" t="s">
        <v>73</v>
      </c>
      <c r="E1606" s="2" t="s">
        <v>5836</v>
      </c>
      <c r="F1606" s="2">
        <v>125</v>
      </c>
      <c r="G1606" s="2" t="s">
        <v>1483</v>
      </c>
      <c r="H1606" s="2">
        <v>47</v>
      </c>
      <c r="I1606" s="2" t="s">
        <v>1409</v>
      </c>
      <c r="J1606" s="2">
        <v>139</v>
      </c>
      <c r="K1606" s="2" t="s">
        <v>1485</v>
      </c>
      <c r="L1606" s="2" t="s">
        <v>1486</v>
      </c>
      <c r="M1606" s="3">
        <v>40288</v>
      </c>
      <c r="N1606" s="2"/>
      <c r="O1606" s="2" t="s">
        <v>5743</v>
      </c>
      <c r="P1606" s="2" t="s">
        <v>2174</v>
      </c>
      <c r="Q1606" s="2" t="str">
        <f>""</f>
        <v/>
      </c>
      <c r="R1606" s="2"/>
      <c r="S1606" s="2"/>
      <c r="T1606" s="2">
        <v>1</v>
      </c>
      <c r="U1606" s="2" t="s">
        <v>79</v>
      </c>
      <c r="V1606" s="2">
        <v>3</v>
      </c>
      <c r="W1606" s="2" t="s">
        <v>225</v>
      </c>
      <c r="X1606" s="2">
        <v>6</v>
      </c>
      <c r="Y1606" s="2" t="s">
        <v>249</v>
      </c>
      <c r="Z1606" s="2">
        <v>1</v>
      </c>
      <c r="AA1606" s="2" t="s">
        <v>82</v>
      </c>
      <c r="AB1606" s="2">
        <v>9</v>
      </c>
      <c r="AC1606" s="2" t="s">
        <v>124</v>
      </c>
      <c r="AD1606" s="3">
        <v>40284</v>
      </c>
      <c r="AE1606" s="4">
        <v>0.74652777777777779</v>
      </c>
      <c r="AF1606" s="2"/>
      <c r="AG1606" s="2"/>
      <c r="AH1606" s="2">
        <v>6</v>
      </c>
      <c r="AI1606" s="2" t="s">
        <v>197</v>
      </c>
      <c r="AJ1606" s="2">
        <v>47</v>
      </c>
      <c r="AK1606" s="2" t="s">
        <v>250</v>
      </c>
      <c r="AL1606" s="2">
        <v>19</v>
      </c>
      <c r="AM1606" s="2" t="s">
        <v>107</v>
      </c>
      <c r="AN1606" s="2"/>
      <c r="AO1606" s="2" t="s">
        <v>5744</v>
      </c>
      <c r="AP1606" s="2">
        <v>11</v>
      </c>
      <c r="AQ1606" s="2" t="s">
        <v>82</v>
      </c>
      <c r="AR1606" s="2"/>
      <c r="AS1606" s="2"/>
      <c r="AT1606" s="2" t="s">
        <v>5745</v>
      </c>
      <c r="AU1606" s="2"/>
      <c r="AV1606" s="2"/>
      <c r="AW1606" s="2"/>
      <c r="AX1606" s="2"/>
      <c r="AY1606" s="2">
        <v>41</v>
      </c>
      <c r="AZ1606" s="2" t="s">
        <v>82</v>
      </c>
      <c r="BA1606" s="2">
        <v>41</v>
      </c>
      <c r="BB1606" s="2" t="s">
        <v>82</v>
      </c>
      <c r="BC1606" s="2">
        <v>41</v>
      </c>
      <c r="BD1606" s="2" t="s">
        <v>82</v>
      </c>
      <c r="BE1606" s="2">
        <v>41</v>
      </c>
      <c r="BF1606" s="2" t="s">
        <v>82</v>
      </c>
      <c r="BG1606" s="2"/>
      <c r="BH1606" s="2"/>
      <c r="BI1606" s="2"/>
      <c r="BJ1606" s="2">
        <v>241</v>
      </c>
      <c r="BK1606" s="2" t="s">
        <v>82</v>
      </c>
      <c r="BL1606" s="2"/>
      <c r="BM1606" s="2">
        <v>241</v>
      </c>
      <c r="BN1606" s="2" t="s">
        <v>82</v>
      </c>
      <c r="BO1606" s="2"/>
      <c r="BP1606" s="2">
        <v>241</v>
      </c>
      <c r="BQ1606" s="2" t="s">
        <v>82</v>
      </c>
      <c r="BR1606" s="2"/>
      <c r="BS1606" s="3">
        <v>40288</v>
      </c>
      <c r="BT1606" s="4">
        <v>0.70486111111111116</v>
      </c>
    </row>
    <row r="1607" spans="1:72" x14ac:dyDescent="0.25">
      <c r="A1607" s="2">
        <v>2355</v>
      </c>
      <c r="B1607" s="2">
        <v>2010</v>
      </c>
      <c r="C1607" s="2" t="s">
        <v>4543</v>
      </c>
      <c r="D1607" s="2" t="s">
        <v>122</v>
      </c>
      <c r="E1607" s="2"/>
      <c r="F1607" s="2">
        <v>117</v>
      </c>
      <c r="G1607" s="2" t="s">
        <v>3284</v>
      </c>
      <c r="H1607" s="2">
        <v>44</v>
      </c>
      <c r="I1607" s="2" t="s">
        <v>1272</v>
      </c>
      <c r="J1607" s="2">
        <v>134</v>
      </c>
      <c r="K1607" s="2" t="s">
        <v>3285</v>
      </c>
      <c r="L1607" s="2" t="s">
        <v>3286</v>
      </c>
      <c r="M1607" s="3">
        <v>40288</v>
      </c>
      <c r="N1607" s="2" t="s">
        <v>5837</v>
      </c>
      <c r="O1607" s="2" t="s">
        <v>107</v>
      </c>
      <c r="P1607" s="2" t="s">
        <v>107</v>
      </c>
      <c r="Q1607" s="2" t="str">
        <f>"0003"</f>
        <v>0003</v>
      </c>
      <c r="R1607" s="2" t="s">
        <v>5838</v>
      </c>
      <c r="S1607" s="2" t="s">
        <v>5838</v>
      </c>
      <c r="T1607" s="2">
        <v>2</v>
      </c>
      <c r="U1607" s="2" t="s">
        <v>123</v>
      </c>
      <c r="V1607" s="2">
        <v>1</v>
      </c>
      <c r="W1607" s="2" t="s">
        <v>80</v>
      </c>
      <c r="X1607" s="2">
        <v>1</v>
      </c>
      <c r="Y1607" s="2" t="s">
        <v>81</v>
      </c>
      <c r="Z1607" s="2">
        <v>21</v>
      </c>
      <c r="AA1607" s="2"/>
      <c r="AB1607" s="2">
        <v>9</v>
      </c>
      <c r="AC1607" s="2" t="s">
        <v>124</v>
      </c>
      <c r="AD1607" s="3">
        <v>40288</v>
      </c>
      <c r="AE1607" s="4">
        <v>0.66666666666666663</v>
      </c>
      <c r="AF1607" s="2"/>
      <c r="AG1607" s="2"/>
      <c r="AH1607" s="2">
        <v>6</v>
      </c>
      <c r="AI1607" s="2" t="s">
        <v>197</v>
      </c>
      <c r="AJ1607" s="2">
        <v>59</v>
      </c>
      <c r="AK1607" s="2" t="s">
        <v>198</v>
      </c>
      <c r="AL1607" s="2">
        <v>18</v>
      </c>
      <c r="AM1607" s="2" t="s">
        <v>82</v>
      </c>
      <c r="AN1607" s="2"/>
      <c r="AO1607" s="2" t="s">
        <v>5839</v>
      </c>
      <c r="AP1607" s="2">
        <v>11</v>
      </c>
      <c r="AQ1607" s="2" t="s">
        <v>82</v>
      </c>
      <c r="AR1607" s="2"/>
      <c r="AS1607" s="2"/>
      <c r="AT1607" s="2" t="s">
        <v>5840</v>
      </c>
      <c r="AU1607" s="2"/>
      <c r="AV1607" s="2"/>
      <c r="AW1607" s="2"/>
      <c r="AX1607" s="2"/>
      <c r="AY1607" s="2">
        <v>1</v>
      </c>
      <c r="AZ1607" s="2" t="s">
        <v>107</v>
      </c>
      <c r="BA1607" s="2">
        <v>1</v>
      </c>
      <c r="BB1607" s="2" t="s">
        <v>107</v>
      </c>
      <c r="BC1607" s="2">
        <v>1</v>
      </c>
      <c r="BD1607" s="2" t="s">
        <v>107</v>
      </c>
      <c r="BE1607" s="2">
        <v>1</v>
      </c>
      <c r="BF1607" s="2" t="s">
        <v>107</v>
      </c>
      <c r="BG1607" s="2"/>
      <c r="BH1607" s="2"/>
      <c r="BI1607" s="2"/>
      <c r="BJ1607" s="2">
        <v>242</v>
      </c>
      <c r="BK1607" s="2" t="s">
        <v>107</v>
      </c>
      <c r="BL1607" s="2"/>
      <c r="BM1607" s="2">
        <v>242</v>
      </c>
      <c r="BN1607" s="2" t="s">
        <v>107</v>
      </c>
      <c r="BO1607" s="2"/>
      <c r="BP1607" s="2">
        <v>242</v>
      </c>
      <c r="BQ1607" s="2" t="s">
        <v>107</v>
      </c>
      <c r="BR1607" s="2"/>
      <c r="BS1607" s="3">
        <v>40288</v>
      </c>
      <c r="BT1607" s="4">
        <v>0.71906250000000005</v>
      </c>
    </row>
    <row r="1608" spans="1:72" x14ac:dyDescent="0.25">
      <c r="A1608" s="2">
        <v>2356</v>
      </c>
      <c r="B1608" s="2">
        <v>2010</v>
      </c>
      <c r="C1608" s="2" t="s">
        <v>377</v>
      </c>
      <c r="D1608" s="2" t="s">
        <v>73</v>
      </c>
      <c r="E1608" s="2"/>
      <c r="F1608" s="2">
        <v>426</v>
      </c>
      <c r="G1608" s="2" t="s">
        <v>378</v>
      </c>
      <c r="H1608" s="2">
        <v>1</v>
      </c>
      <c r="I1608" s="2" t="s">
        <v>82</v>
      </c>
      <c r="J1608" s="2">
        <v>311</v>
      </c>
      <c r="K1608" s="2" t="s">
        <v>379</v>
      </c>
      <c r="L1608" s="2" t="s">
        <v>380</v>
      </c>
      <c r="M1608" s="3">
        <v>40288</v>
      </c>
      <c r="N1608" s="2" t="s">
        <v>5164</v>
      </c>
      <c r="O1608" s="2" t="s">
        <v>107</v>
      </c>
      <c r="P1608" s="2" t="s">
        <v>107</v>
      </c>
      <c r="Q1608" s="2" t="str">
        <f>"053-C/10"</f>
        <v>053-C/10</v>
      </c>
      <c r="R1608" s="2"/>
      <c r="S1608" s="2" t="s">
        <v>5841</v>
      </c>
      <c r="T1608" s="2">
        <v>1</v>
      </c>
      <c r="U1608" s="2" t="s">
        <v>79</v>
      </c>
      <c r="V1608" s="2">
        <v>1</v>
      </c>
      <c r="W1608" s="2" t="s">
        <v>80</v>
      </c>
      <c r="X1608" s="2">
        <v>1</v>
      </c>
      <c r="Y1608" s="2" t="s">
        <v>81</v>
      </c>
      <c r="Z1608" s="2">
        <v>1</v>
      </c>
      <c r="AA1608" s="2" t="s">
        <v>82</v>
      </c>
      <c r="AB1608" s="2">
        <v>9</v>
      </c>
      <c r="AC1608" s="2" t="s">
        <v>124</v>
      </c>
      <c r="AD1608" s="3">
        <v>40288</v>
      </c>
      <c r="AE1608" s="4">
        <v>0.60416666666666663</v>
      </c>
      <c r="AF1608" s="2"/>
      <c r="AG1608" s="2"/>
      <c r="AH1608" s="2">
        <v>2</v>
      </c>
      <c r="AI1608" s="2" t="s">
        <v>84</v>
      </c>
      <c r="AJ1608" s="2">
        <v>9</v>
      </c>
      <c r="AK1608" s="2" t="s">
        <v>103</v>
      </c>
      <c r="AL1608" s="2">
        <v>29</v>
      </c>
      <c r="AM1608" s="2" t="s">
        <v>5416</v>
      </c>
      <c r="AN1608" s="2"/>
      <c r="AO1608" s="2" t="s">
        <v>1345</v>
      </c>
      <c r="AP1608" s="2">
        <v>11</v>
      </c>
      <c r="AQ1608" s="2" t="s">
        <v>82</v>
      </c>
      <c r="AR1608" s="2"/>
      <c r="AS1608" s="2"/>
      <c r="AT1608" s="2" t="s">
        <v>5842</v>
      </c>
      <c r="AU1608" s="2"/>
      <c r="AV1608" s="2"/>
      <c r="AW1608" s="2"/>
      <c r="AX1608" s="2"/>
      <c r="AY1608" s="2">
        <v>41</v>
      </c>
      <c r="AZ1608" s="2" t="s">
        <v>82</v>
      </c>
      <c r="BA1608" s="2">
        <v>41</v>
      </c>
      <c r="BB1608" s="2" t="s">
        <v>82</v>
      </c>
      <c r="BC1608" s="2">
        <v>41</v>
      </c>
      <c r="BD1608" s="2" t="s">
        <v>82</v>
      </c>
      <c r="BE1608" s="2">
        <v>41</v>
      </c>
      <c r="BF1608" s="2" t="s">
        <v>82</v>
      </c>
      <c r="BG1608" s="2"/>
      <c r="BH1608" s="2"/>
      <c r="BI1608" s="2"/>
      <c r="BJ1608" s="2">
        <v>241</v>
      </c>
      <c r="BK1608" s="2" t="s">
        <v>82</v>
      </c>
      <c r="BL1608" s="2"/>
      <c r="BM1608" s="2">
        <v>241</v>
      </c>
      <c r="BN1608" s="2" t="s">
        <v>82</v>
      </c>
      <c r="BO1608" s="2"/>
      <c r="BP1608" s="2">
        <v>241</v>
      </c>
      <c r="BQ1608" s="2" t="s">
        <v>82</v>
      </c>
      <c r="BR1608" s="2"/>
      <c r="BS1608" s="3">
        <v>40288</v>
      </c>
      <c r="BT1608" s="4">
        <v>0.74530092592592589</v>
      </c>
    </row>
    <row r="1609" spans="1:72" x14ac:dyDescent="0.25">
      <c r="A1609" s="2">
        <v>2357</v>
      </c>
      <c r="B1609" s="2">
        <v>2010</v>
      </c>
      <c r="C1609" s="2" t="s">
        <v>93</v>
      </c>
      <c r="D1609" s="2" t="s">
        <v>73</v>
      </c>
      <c r="E1609" s="2"/>
      <c r="F1609" s="2">
        <v>284</v>
      </c>
      <c r="G1609" s="2" t="s">
        <v>5196</v>
      </c>
      <c r="H1609" s="2">
        <v>42</v>
      </c>
      <c r="I1609" s="2" t="s">
        <v>1096</v>
      </c>
      <c r="J1609" s="2">
        <v>518</v>
      </c>
      <c r="K1609" s="2" t="s">
        <v>5197</v>
      </c>
      <c r="L1609" s="2" t="s">
        <v>5198</v>
      </c>
      <c r="M1609" s="3">
        <v>40288</v>
      </c>
      <c r="N1609" s="2" t="s">
        <v>5843</v>
      </c>
      <c r="O1609" s="2" t="s">
        <v>5844</v>
      </c>
      <c r="P1609" s="2" t="s">
        <v>107</v>
      </c>
      <c r="Q1609" s="2" t="str">
        <f>"0015/2010"</f>
        <v>0015/2010</v>
      </c>
      <c r="R1609" s="2" t="s">
        <v>107</v>
      </c>
      <c r="S1609" s="2" t="s">
        <v>5844</v>
      </c>
      <c r="T1609" s="2">
        <v>1</v>
      </c>
      <c r="U1609" s="2" t="s">
        <v>79</v>
      </c>
      <c r="V1609" s="2">
        <v>1</v>
      </c>
      <c r="W1609" s="2" t="s">
        <v>80</v>
      </c>
      <c r="X1609" s="2">
        <v>1</v>
      </c>
      <c r="Y1609" s="2" t="s">
        <v>81</v>
      </c>
      <c r="Z1609" s="2">
        <v>1</v>
      </c>
      <c r="AA1609" s="2" t="s">
        <v>82</v>
      </c>
      <c r="AB1609" s="2">
        <v>2</v>
      </c>
      <c r="AC1609" s="2" t="s">
        <v>102</v>
      </c>
      <c r="AD1609" s="3">
        <v>40288</v>
      </c>
      <c r="AE1609" s="4">
        <v>0.68402777777777779</v>
      </c>
      <c r="AF1609" s="2"/>
      <c r="AG1609" s="2"/>
      <c r="AH1609" s="2">
        <v>6</v>
      </c>
      <c r="AI1609" s="2" t="s">
        <v>197</v>
      </c>
      <c r="AJ1609" s="2">
        <v>61</v>
      </c>
      <c r="AK1609" s="2" t="s">
        <v>686</v>
      </c>
      <c r="AL1609" s="2">
        <v>11</v>
      </c>
      <c r="AM1609" s="2" t="s">
        <v>137</v>
      </c>
      <c r="AN1609" s="2" t="s">
        <v>5845</v>
      </c>
      <c r="AO1609" s="2" t="s">
        <v>82</v>
      </c>
      <c r="AP1609" s="2">
        <v>11</v>
      </c>
      <c r="AQ1609" s="2" t="s">
        <v>82</v>
      </c>
      <c r="AR1609" s="2"/>
      <c r="AS1609" s="2"/>
      <c r="AT1609" s="2" t="s">
        <v>5846</v>
      </c>
      <c r="AU1609" s="2"/>
      <c r="AV1609" s="2"/>
      <c r="AW1609" s="2"/>
      <c r="AX1609" s="2"/>
      <c r="AY1609" s="2">
        <v>41</v>
      </c>
      <c r="AZ1609" s="2" t="s">
        <v>82</v>
      </c>
      <c r="BA1609" s="2">
        <v>41</v>
      </c>
      <c r="BB1609" s="2" t="s">
        <v>82</v>
      </c>
      <c r="BC1609" s="2">
        <v>41</v>
      </c>
      <c r="BD1609" s="2" t="s">
        <v>82</v>
      </c>
      <c r="BE1609" s="2">
        <v>49</v>
      </c>
      <c r="BF1609" s="2" t="s">
        <v>1254</v>
      </c>
      <c r="BG1609" s="2">
        <v>439</v>
      </c>
      <c r="BH1609" s="4">
        <v>0.65277777777777779</v>
      </c>
      <c r="BI1609" s="4">
        <v>0.6875</v>
      </c>
      <c r="BJ1609" s="2">
        <v>241</v>
      </c>
      <c r="BK1609" s="2" t="s">
        <v>82</v>
      </c>
      <c r="BL1609" s="2" t="s">
        <v>690</v>
      </c>
      <c r="BM1609" s="2">
        <v>241</v>
      </c>
      <c r="BN1609" s="2" t="s">
        <v>82</v>
      </c>
      <c r="BO1609" s="2" t="s">
        <v>82</v>
      </c>
      <c r="BP1609" s="2">
        <v>241</v>
      </c>
      <c r="BQ1609" s="2" t="s">
        <v>82</v>
      </c>
      <c r="BR1609" s="2" t="s">
        <v>492</v>
      </c>
      <c r="BS1609" s="3">
        <v>40288</v>
      </c>
      <c r="BT1609" s="4">
        <v>0.82240740740740748</v>
      </c>
    </row>
    <row r="1610" spans="1:72" x14ac:dyDescent="0.25">
      <c r="A1610" s="2">
        <v>2358</v>
      </c>
      <c r="B1610" s="2">
        <v>2010</v>
      </c>
      <c r="C1610" s="2" t="s">
        <v>72</v>
      </c>
      <c r="D1610" s="2" t="s">
        <v>73</v>
      </c>
      <c r="E1610" s="2"/>
      <c r="F1610" s="2">
        <v>601</v>
      </c>
      <c r="G1610" s="2" t="s">
        <v>5847</v>
      </c>
      <c r="H1610" s="2">
        <v>22</v>
      </c>
      <c r="I1610" s="2" t="s">
        <v>75</v>
      </c>
      <c r="J1610" s="2">
        <v>530</v>
      </c>
      <c r="K1610" s="2" t="s">
        <v>5848</v>
      </c>
      <c r="L1610" s="2" t="s">
        <v>5849</v>
      </c>
      <c r="M1610" s="3">
        <v>40288</v>
      </c>
      <c r="N1610" s="2" t="s">
        <v>5850</v>
      </c>
      <c r="O1610" s="2" t="s">
        <v>107</v>
      </c>
      <c r="P1610" s="2" t="s">
        <v>107</v>
      </c>
      <c r="Q1610" s="2" t="str">
        <f>"157-A10"</f>
        <v>157-A10</v>
      </c>
      <c r="R1610" s="2" t="s">
        <v>107</v>
      </c>
      <c r="S1610" s="2" t="s">
        <v>78</v>
      </c>
      <c r="T1610" s="2">
        <v>1</v>
      </c>
      <c r="U1610" s="2" t="s">
        <v>79</v>
      </c>
      <c r="V1610" s="2">
        <v>1</v>
      </c>
      <c r="W1610" s="2" t="s">
        <v>80</v>
      </c>
      <c r="X1610" s="2">
        <v>12</v>
      </c>
      <c r="Y1610" s="2" t="s">
        <v>148</v>
      </c>
      <c r="Z1610" s="2">
        <v>1</v>
      </c>
      <c r="AA1610" s="2" t="s">
        <v>82</v>
      </c>
      <c r="AB1610" s="2">
        <v>6</v>
      </c>
      <c r="AC1610" s="2" t="s">
        <v>83</v>
      </c>
      <c r="AD1610" s="3">
        <v>40288</v>
      </c>
      <c r="AE1610" s="4">
        <v>0.75</v>
      </c>
      <c r="AF1610" s="3">
        <v>40288</v>
      </c>
      <c r="AG1610" s="4">
        <v>0.78125</v>
      </c>
      <c r="AH1610" s="2">
        <v>2</v>
      </c>
      <c r="AI1610" s="2" t="s">
        <v>84</v>
      </c>
      <c r="AJ1610" s="2">
        <v>12</v>
      </c>
      <c r="AK1610" s="2" t="s">
        <v>85</v>
      </c>
      <c r="AL1610" s="2">
        <v>17</v>
      </c>
      <c r="AM1610" s="2" t="s">
        <v>232</v>
      </c>
      <c r="AN1610" s="2" t="s">
        <v>5851</v>
      </c>
      <c r="AO1610" s="2"/>
      <c r="AP1610" s="2">
        <v>11</v>
      </c>
      <c r="AQ1610" s="2" t="s">
        <v>82</v>
      </c>
      <c r="AR1610" s="2"/>
      <c r="AS1610" s="2"/>
      <c r="AT1610" s="2" t="s">
        <v>5852</v>
      </c>
      <c r="AU1610" s="2"/>
      <c r="AV1610" s="2"/>
      <c r="AW1610" s="2"/>
      <c r="AX1610" s="2"/>
      <c r="AY1610" s="2">
        <v>41</v>
      </c>
      <c r="AZ1610" s="2" t="s">
        <v>82</v>
      </c>
      <c r="BA1610" s="2">
        <v>41</v>
      </c>
      <c r="BB1610" s="2" t="s">
        <v>82</v>
      </c>
      <c r="BC1610" s="2">
        <v>41</v>
      </c>
      <c r="BD1610" s="2" t="s">
        <v>82</v>
      </c>
      <c r="BE1610" s="2">
        <v>13</v>
      </c>
      <c r="BF1610" s="2" t="s">
        <v>108</v>
      </c>
      <c r="BG1610" s="2" t="s">
        <v>5853</v>
      </c>
      <c r="BH1610" s="4">
        <v>0.90625</v>
      </c>
      <c r="BI1610" s="4">
        <v>0.84375</v>
      </c>
      <c r="BJ1610" s="2">
        <v>13</v>
      </c>
      <c r="BK1610" s="2" t="s">
        <v>91</v>
      </c>
      <c r="BL1610" s="2" t="s">
        <v>185</v>
      </c>
      <c r="BM1610" s="2">
        <v>241</v>
      </c>
      <c r="BN1610" s="2" t="s">
        <v>82</v>
      </c>
      <c r="BO1610" s="2"/>
      <c r="BP1610" s="2">
        <v>13</v>
      </c>
      <c r="BQ1610" s="2" t="s">
        <v>91</v>
      </c>
      <c r="BR1610" s="2" t="s">
        <v>744</v>
      </c>
      <c r="BS1610" s="3">
        <v>40288</v>
      </c>
      <c r="BT1610" s="4">
        <v>0.86481481481481481</v>
      </c>
    </row>
    <row r="1611" spans="1:72" x14ac:dyDescent="0.25">
      <c r="A1611" s="2">
        <v>2359</v>
      </c>
      <c r="B1611" s="2">
        <v>2010</v>
      </c>
      <c r="C1611" s="2" t="s">
        <v>171</v>
      </c>
      <c r="D1611" s="2" t="s">
        <v>122</v>
      </c>
      <c r="E1611" s="2" t="s">
        <v>5823</v>
      </c>
      <c r="F1611" s="2">
        <v>226</v>
      </c>
      <c r="G1611" s="2" t="s">
        <v>5788</v>
      </c>
      <c r="H1611" s="2">
        <v>2</v>
      </c>
      <c r="I1611" s="2" t="s">
        <v>267</v>
      </c>
      <c r="J1611" s="2">
        <v>2</v>
      </c>
      <c r="K1611" s="2" t="s">
        <v>3661</v>
      </c>
      <c r="L1611" s="2" t="s">
        <v>3662</v>
      </c>
      <c r="M1611" s="3">
        <v>40288</v>
      </c>
      <c r="N1611" s="2" t="s">
        <v>5789</v>
      </c>
      <c r="O1611" s="2"/>
      <c r="P1611" s="2"/>
      <c r="Q1611" s="2" t="str">
        <f>"212-E/10"</f>
        <v>212-E/10</v>
      </c>
      <c r="R1611" s="2" t="s">
        <v>391</v>
      </c>
      <c r="S1611" s="2" t="s">
        <v>391</v>
      </c>
      <c r="T1611" s="2">
        <v>1</v>
      </c>
      <c r="U1611" s="2" t="s">
        <v>79</v>
      </c>
      <c r="V1611" s="2">
        <v>1</v>
      </c>
      <c r="W1611" s="2" t="s">
        <v>80</v>
      </c>
      <c r="X1611" s="2">
        <v>1</v>
      </c>
      <c r="Y1611" s="2" t="s">
        <v>81</v>
      </c>
      <c r="Z1611" s="2">
        <v>1</v>
      </c>
      <c r="AA1611" s="2" t="s">
        <v>82</v>
      </c>
      <c r="AB1611" s="2">
        <v>1</v>
      </c>
      <c r="AC1611" s="2" t="s">
        <v>178</v>
      </c>
      <c r="AD1611" s="3">
        <v>40287</v>
      </c>
      <c r="AE1611" s="4">
        <v>0.83333333333333337</v>
      </c>
      <c r="AF1611" s="2"/>
      <c r="AG1611" s="2"/>
      <c r="AH1611" s="2">
        <v>2</v>
      </c>
      <c r="AI1611" s="2" t="s">
        <v>84</v>
      </c>
      <c r="AJ1611" s="2">
        <v>9</v>
      </c>
      <c r="AK1611" s="2" t="s">
        <v>103</v>
      </c>
      <c r="AL1611" s="2">
        <v>11</v>
      </c>
      <c r="AM1611" s="2" t="s">
        <v>137</v>
      </c>
      <c r="AN1611" s="2"/>
      <c r="AO1611" s="2" t="s">
        <v>590</v>
      </c>
      <c r="AP1611" s="2">
        <v>11</v>
      </c>
      <c r="AQ1611" s="2" t="s">
        <v>82</v>
      </c>
      <c r="AR1611" s="2"/>
      <c r="AS1611" s="2"/>
      <c r="AT1611" s="2" t="s">
        <v>5854</v>
      </c>
      <c r="AU1611" s="2"/>
      <c r="AV1611" s="2">
        <v>1</v>
      </c>
      <c r="AW1611" s="2"/>
      <c r="AX1611" s="2"/>
      <c r="AY1611" s="2">
        <v>41</v>
      </c>
      <c r="AZ1611" s="2" t="s">
        <v>82</v>
      </c>
      <c r="BA1611" s="2">
        <v>41</v>
      </c>
      <c r="BB1611" s="2" t="s">
        <v>82</v>
      </c>
      <c r="BC1611" s="2">
        <v>41</v>
      </c>
      <c r="BD1611" s="2" t="s">
        <v>82</v>
      </c>
      <c r="BE1611" s="2">
        <v>13</v>
      </c>
      <c r="BF1611" s="2" t="s">
        <v>108</v>
      </c>
      <c r="BG1611" s="2">
        <v>1140</v>
      </c>
      <c r="BH1611" s="2"/>
      <c r="BI1611" s="2"/>
      <c r="BJ1611" s="2">
        <v>13</v>
      </c>
      <c r="BK1611" s="2" t="s">
        <v>91</v>
      </c>
      <c r="BL1611" s="2" t="s">
        <v>185</v>
      </c>
      <c r="BM1611" s="2">
        <v>241</v>
      </c>
      <c r="BN1611" s="2" t="s">
        <v>82</v>
      </c>
      <c r="BO1611" s="2"/>
      <c r="BP1611" s="2">
        <v>112</v>
      </c>
      <c r="BQ1611" s="2" t="s">
        <v>110</v>
      </c>
      <c r="BR1611" s="2" t="s">
        <v>111</v>
      </c>
      <c r="BS1611" s="3">
        <v>40288</v>
      </c>
      <c r="BT1611" s="4">
        <v>0.91690972222222211</v>
      </c>
    </row>
    <row r="1612" spans="1:72" x14ac:dyDescent="0.25">
      <c r="A1612" s="2">
        <v>2360</v>
      </c>
      <c r="B1612" s="2">
        <v>2010</v>
      </c>
      <c r="C1612" s="2" t="s">
        <v>196</v>
      </c>
      <c r="D1612" s="2" t="s">
        <v>122</v>
      </c>
      <c r="E1612" s="2"/>
      <c r="F1612" s="2">
        <v>1</v>
      </c>
      <c r="G1612" s="2" t="s">
        <v>82</v>
      </c>
      <c r="H1612" s="2">
        <v>1</v>
      </c>
      <c r="I1612" s="2" t="s">
        <v>82</v>
      </c>
      <c r="J1612" s="2">
        <v>1</v>
      </c>
      <c r="K1612" s="2" t="s">
        <v>107</v>
      </c>
      <c r="L1612" s="2" t="s">
        <v>107</v>
      </c>
      <c r="M1612" s="3">
        <v>40289</v>
      </c>
      <c r="N1612" s="2"/>
      <c r="O1612" s="2"/>
      <c r="P1612" s="2"/>
      <c r="Q1612" s="2" t="str">
        <f>""</f>
        <v/>
      </c>
      <c r="R1612" s="2"/>
      <c r="S1612" s="2"/>
      <c r="T1612" s="2">
        <v>2</v>
      </c>
      <c r="U1612" s="2" t="s">
        <v>123</v>
      </c>
      <c r="V1612" s="2">
        <v>1</v>
      </c>
      <c r="W1612" s="2" t="s">
        <v>80</v>
      </c>
      <c r="X1612" s="2">
        <v>1</v>
      </c>
      <c r="Y1612" s="2" t="s">
        <v>81</v>
      </c>
      <c r="Z1612" s="2">
        <v>10</v>
      </c>
      <c r="AA1612" s="2" t="s">
        <v>236</v>
      </c>
      <c r="AB1612" s="2">
        <v>9</v>
      </c>
      <c r="AC1612" s="2" t="s">
        <v>124</v>
      </c>
      <c r="AD1612" s="3">
        <v>40288</v>
      </c>
      <c r="AE1612" s="4">
        <v>0.92708333333333337</v>
      </c>
      <c r="AF1612" s="2"/>
      <c r="AG1612" s="2"/>
      <c r="AH1612" s="2">
        <v>2</v>
      </c>
      <c r="AI1612" s="2" t="s">
        <v>84</v>
      </c>
      <c r="AJ1612" s="2">
        <v>12</v>
      </c>
      <c r="AK1612" s="2" t="s">
        <v>85</v>
      </c>
      <c r="AL1612" s="2">
        <v>20</v>
      </c>
      <c r="AM1612" s="2" t="s">
        <v>992</v>
      </c>
      <c r="AN1612" s="2"/>
      <c r="AO1612" s="2" t="s">
        <v>992</v>
      </c>
      <c r="AP1612" s="2">
        <v>11</v>
      </c>
      <c r="AQ1612" s="2" t="s">
        <v>82</v>
      </c>
      <c r="AR1612" s="2"/>
      <c r="AS1612" s="2"/>
      <c r="AT1612" s="2" t="s">
        <v>5855</v>
      </c>
      <c r="AU1612" s="2"/>
      <c r="AV1612" s="2"/>
      <c r="AW1612" s="2"/>
      <c r="AX1612" s="2"/>
      <c r="AY1612" s="2">
        <v>41</v>
      </c>
      <c r="AZ1612" s="2" t="s">
        <v>82</v>
      </c>
      <c r="BA1612" s="2">
        <v>41</v>
      </c>
      <c r="BB1612" s="2" t="s">
        <v>82</v>
      </c>
      <c r="BC1612" s="2">
        <v>41</v>
      </c>
      <c r="BD1612" s="2" t="s">
        <v>82</v>
      </c>
      <c r="BE1612" s="2">
        <v>41</v>
      </c>
      <c r="BF1612" s="2" t="s">
        <v>82</v>
      </c>
      <c r="BG1612" s="2"/>
      <c r="BH1612" s="4">
        <v>0.99652777777777779</v>
      </c>
      <c r="BI1612" s="2"/>
      <c r="BJ1612" s="2">
        <v>232</v>
      </c>
      <c r="BK1612" s="2" t="s">
        <v>4351</v>
      </c>
      <c r="BL1612" s="2"/>
      <c r="BM1612" s="2">
        <v>241</v>
      </c>
      <c r="BN1612" s="2" t="s">
        <v>82</v>
      </c>
      <c r="BO1612" s="2"/>
      <c r="BP1612" s="2">
        <v>13</v>
      </c>
      <c r="BQ1612" s="2" t="s">
        <v>91</v>
      </c>
      <c r="BR1612" s="2" t="s">
        <v>185</v>
      </c>
      <c r="BS1612" s="3">
        <v>40289</v>
      </c>
      <c r="BT1612" s="4">
        <v>2.6412037037037036E-2</v>
      </c>
    </row>
    <row r="1613" spans="1:72" x14ac:dyDescent="0.25">
      <c r="A1613" s="2">
        <v>2361</v>
      </c>
      <c r="B1613" s="2">
        <v>2010</v>
      </c>
      <c r="C1613" s="2" t="s">
        <v>819</v>
      </c>
      <c r="D1613" s="2" t="s">
        <v>122</v>
      </c>
      <c r="E1613" s="2"/>
      <c r="F1613" s="2">
        <v>425</v>
      </c>
      <c r="G1613" s="2" t="s">
        <v>286</v>
      </c>
      <c r="H1613" s="2">
        <v>39</v>
      </c>
      <c r="I1613" s="2" t="s">
        <v>1117</v>
      </c>
      <c r="J1613" s="2">
        <v>310</v>
      </c>
      <c r="K1613" s="2" t="s">
        <v>288</v>
      </c>
      <c r="L1613" s="2" t="s">
        <v>289</v>
      </c>
      <c r="M1613" s="3">
        <v>40289</v>
      </c>
      <c r="N1613" s="2" t="s">
        <v>2049</v>
      </c>
      <c r="O1613" s="2"/>
      <c r="P1613" s="2"/>
      <c r="Q1613" s="2" t="str">
        <f>"042/10"</f>
        <v>042/10</v>
      </c>
      <c r="R1613" s="2" t="s">
        <v>822</v>
      </c>
      <c r="S1613" s="2"/>
      <c r="T1613" s="2">
        <v>1</v>
      </c>
      <c r="U1613" s="2" t="s">
        <v>79</v>
      </c>
      <c r="V1613" s="2">
        <v>1</v>
      </c>
      <c r="W1613" s="2" t="s">
        <v>80</v>
      </c>
      <c r="X1613" s="2">
        <v>1</v>
      </c>
      <c r="Y1613" s="2" t="s">
        <v>81</v>
      </c>
      <c r="Z1613" s="2">
        <v>10</v>
      </c>
      <c r="AA1613" s="2" t="s">
        <v>236</v>
      </c>
      <c r="AB1613" s="2">
        <v>9</v>
      </c>
      <c r="AC1613" s="2" t="s">
        <v>124</v>
      </c>
      <c r="AD1613" s="3">
        <v>40288</v>
      </c>
      <c r="AE1613" s="4">
        <v>0.91666666666666663</v>
      </c>
      <c r="AF1613" s="2"/>
      <c r="AG1613" s="2"/>
      <c r="AH1613" s="2">
        <v>4</v>
      </c>
      <c r="AI1613" s="2" t="s">
        <v>125</v>
      </c>
      <c r="AJ1613" s="2">
        <v>29</v>
      </c>
      <c r="AK1613" s="2" t="s">
        <v>227</v>
      </c>
      <c r="AL1613" s="2">
        <v>10</v>
      </c>
      <c r="AM1613" s="2" t="s">
        <v>200</v>
      </c>
      <c r="AN1613" s="2" t="s">
        <v>1073</v>
      </c>
      <c r="AO1613" s="2" t="s">
        <v>200</v>
      </c>
      <c r="AP1613" s="2">
        <v>12</v>
      </c>
      <c r="AQ1613" s="2" t="s">
        <v>322</v>
      </c>
      <c r="AR1613" s="2" t="s">
        <v>824</v>
      </c>
      <c r="AS1613" s="2" t="s">
        <v>825</v>
      </c>
      <c r="AT1613" s="2" t="s">
        <v>5856</v>
      </c>
      <c r="AU1613" s="2"/>
      <c r="AV1613" s="2"/>
      <c r="AW1613" s="2"/>
      <c r="AX1613" s="2"/>
      <c r="AY1613" s="2">
        <v>41</v>
      </c>
      <c r="AZ1613" s="2" t="s">
        <v>82</v>
      </c>
      <c r="BA1613" s="2">
        <v>41</v>
      </c>
      <c r="BB1613" s="2" t="s">
        <v>82</v>
      </c>
      <c r="BC1613" s="2">
        <v>51</v>
      </c>
      <c r="BD1613" s="2" t="s">
        <v>827</v>
      </c>
      <c r="BE1613" s="2">
        <v>13</v>
      </c>
      <c r="BF1613" s="2" t="s">
        <v>108</v>
      </c>
      <c r="BG1613" s="2">
        <v>1459</v>
      </c>
      <c r="BH1613" s="4">
        <v>0.88888888888888884</v>
      </c>
      <c r="BI1613" s="4">
        <v>0.93055555555555547</v>
      </c>
      <c r="BJ1613" s="2">
        <v>13</v>
      </c>
      <c r="BK1613" s="2" t="s">
        <v>91</v>
      </c>
      <c r="BL1613" s="2" t="s">
        <v>828</v>
      </c>
      <c r="BM1613" s="2">
        <v>241</v>
      </c>
      <c r="BN1613" s="2" t="s">
        <v>82</v>
      </c>
      <c r="BO1613" s="2" t="s">
        <v>82</v>
      </c>
      <c r="BP1613" s="2">
        <v>13</v>
      </c>
      <c r="BQ1613" s="2" t="s">
        <v>91</v>
      </c>
      <c r="BR1613" s="2" t="s">
        <v>185</v>
      </c>
      <c r="BS1613" s="3">
        <v>40289</v>
      </c>
      <c r="BT1613" s="4">
        <v>2.9687500000000002E-2</v>
      </c>
    </row>
    <row r="1614" spans="1:72" x14ac:dyDescent="0.25">
      <c r="A1614" s="2">
        <v>2362</v>
      </c>
      <c r="B1614" s="2">
        <v>2010</v>
      </c>
      <c r="C1614" s="2" t="s">
        <v>72</v>
      </c>
      <c r="D1614" s="2" t="s">
        <v>73</v>
      </c>
      <c r="E1614" s="2"/>
      <c r="F1614" s="2">
        <v>389</v>
      </c>
      <c r="G1614" s="2" t="s">
        <v>1819</v>
      </c>
      <c r="H1614" s="2">
        <v>2</v>
      </c>
      <c r="I1614" s="2" t="s">
        <v>267</v>
      </c>
      <c r="J1614" s="2">
        <v>399</v>
      </c>
      <c r="K1614" s="2" t="s">
        <v>1820</v>
      </c>
      <c r="L1614" s="2" t="s">
        <v>1821</v>
      </c>
      <c r="M1614" s="3">
        <v>40289</v>
      </c>
      <c r="N1614" s="2" t="s">
        <v>5653</v>
      </c>
      <c r="O1614" s="2"/>
      <c r="P1614" s="2"/>
      <c r="Q1614" s="2" t="str">
        <f>"216-E/10"</f>
        <v>216-E/10</v>
      </c>
      <c r="R1614" s="2"/>
      <c r="S1614" s="2" t="s">
        <v>833</v>
      </c>
      <c r="T1614" s="2">
        <v>1</v>
      </c>
      <c r="U1614" s="2" t="s">
        <v>79</v>
      </c>
      <c r="V1614" s="2">
        <v>1</v>
      </c>
      <c r="W1614" s="2" t="s">
        <v>80</v>
      </c>
      <c r="X1614" s="2">
        <v>12</v>
      </c>
      <c r="Y1614" s="2" t="s">
        <v>148</v>
      </c>
      <c r="Z1614" s="2">
        <v>1</v>
      </c>
      <c r="AA1614" s="2" t="s">
        <v>82</v>
      </c>
      <c r="AB1614" s="2">
        <v>6</v>
      </c>
      <c r="AC1614" s="2" t="s">
        <v>83</v>
      </c>
      <c r="AD1614" s="3">
        <v>40288</v>
      </c>
      <c r="AE1614" s="4">
        <v>0.78472222222222221</v>
      </c>
      <c r="AF1614" s="3">
        <v>40288</v>
      </c>
      <c r="AG1614" s="4">
        <v>0.8125</v>
      </c>
      <c r="AH1614" s="2">
        <v>2</v>
      </c>
      <c r="AI1614" s="2" t="s">
        <v>84</v>
      </c>
      <c r="AJ1614" s="2">
        <v>9</v>
      </c>
      <c r="AK1614" s="2" t="s">
        <v>103</v>
      </c>
      <c r="AL1614" s="2">
        <v>11</v>
      </c>
      <c r="AM1614" s="2" t="s">
        <v>137</v>
      </c>
      <c r="AN1614" s="2" t="s">
        <v>1340</v>
      </c>
      <c r="AO1614" s="2"/>
      <c r="AP1614" s="2">
        <v>11</v>
      </c>
      <c r="AQ1614" s="2" t="s">
        <v>82</v>
      </c>
      <c r="AR1614" s="2"/>
      <c r="AS1614" s="2"/>
      <c r="AT1614" s="2" t="s">
        <v>5857</v>
      </c>
      <c r="AU1614" s="2"/>
      <c r="AV1614" s="2"/>
      <c r="AW1614" s="2"/>
      <c r="AX1614" s="2"/>
      <c r="AY1614" s="2">
        <v>41</v>
      </c>
      <c r="AZ1614" s="2" t="s">
        <v>82</v>
      </c>
      <c r="BA1614" s="2">
        <v>41</v>
      </c>
      <c r="BB1614" s="2" t="s">
        <v>82</v>
      </c>
      <c r="BC1614" s="2">
        <v>41</v>
      </c>
      <c r="BD1614" s="2" t="s">
        <v>82</v>
      </c>
      <c r="BE1614" s="2">
        <v>12</v>
      </c>
      <c r="BF1614" s="2" t="s">
        <v>5858</v>
      </c>
      <c r="BG1614" s="2" t="s">
        <v>5859</v>
      </c>
      <c r="BH1614" s="2"/>
      <c r="BI1614" s="4">
        <v>0.87777777777777777</v>
      </c>
      <c r="BJ1614" s="2">
        <v>13</v>
      </c>
      <c r="BK1614" s="2" t="s">
        <v>91</v>
      </c>
      <c r="BL1614" s="2" t="s">
        <v>5860</v>
      </c>
      <c r="BM1614" s="2">
        <v>241</v>
      </c>
      <c r="BN1614" s="2" t="s">
        <v>82</v>
      </c>
      <c r="BO1614" s="2" t="s">
        <v>82</v>
      </c>
      <c r="BP1614" s="2">
        <v>75</v>
      </c>
      <c r="BQ1614" s="2" t="s">
        <v>1264</v>
      </c>
      <c r="BR1614" s="2" t="s">
        <v>5861</v>
      </c>
      <c r="BS1614" s="3">
        <v>40289</v>
      </c>
      <c r="BT1614" s="4">
        <v>0.35199074074074077</v>
      </c>
    </row>
    <row r="1615" spans="1:72" x14ac:dyDescent="0.25">
      <c r="A1615" s="2">
        <v>2363</v>
      </c>
      <c r="B1615" s="2">
        <v>2010</v>
      </c>
      <c r="C1615" s="2" t="s">
        <v>594</v>
      </c>
      <c r="D1615" s="2" t="s">
        <v>122</v>
      </c>
      <c r="E1615" s="2"/>
      <c r="F1615" s="2">
        <v>1</v>
      </c>
      <c r="G1615" s="2" t="s">
        <v>82</v>
      </c>
      <c r="H1615" s="2">
        <v>1</v>
      </c>
      <c r="I1615" s="2" t="s">
        <v>82</v>
      </c>
      <c r="J1615" s="2">
        <v>1</v>
      </c>
      <c r="K1615" s="2" t="s">
        <v>107</v>
      </c>
      <c r="L1615" s="2" t="s">
        <v>107</v>
      </c>
      <c r="M1615" s="3">
        <v>40289</v>
      </c>
      <c r="N1615" s="2"/>
      <c r="O1615" s="2"/>
      <c r="P1615" s="2"/>
      <c r="Q1615" s="2" t="str">
        <f>""</f>
        <v/>
      </c>
      <c r="R1615" s="2"/>
      <c r="S1615" s="2"/>
      <c r="T1615" s="2">
        <v>1</v>
      </c>
      <c r="U1615" s="2" t="s">
        <v>79</v>
      </c>
      <c r="V1615" s="2">
        <v>1</v>
      </c>
      <c r="W1615" s="2" t="s">
        <v>80</v>
      </c>
      <c r="X1615" s="2">
        <v>1</v>
      </c>
      <c r="Y1615" s="2" t="s">
        <v>81</v>
      </c>
      <c r="Z1615" s="2">
        <v>1</v>
      </c>
      <c r="AA1615" s="2" t="s">
        <v>82</v>
      </c>
      <c r="AB1615" s="2">
        <v>9</v>
      </c>
      <c r="AC1615" s="2" t="s">
        <v>124</v>
      </c>
      <c r="AD1615" s="3">
        <v>40289</v>
      </c>
      <c r="AE1615" s="4">
        <v>0.38472222222222219</v>
      </c>
      <c r="AF1615" s="2"/>
      <c r="AG1615" s="2"/>
      <c r="AH1615" s="2">
        <v>6</v>
      </c>
      <c r="AI1615" s="2" t="s">
        <v>197</v>
      </c>
      <c r="AJ1615" s="2">
        <v>54</v>
      </c>
      <c r="AK1615" s="2" t="s">
        <v>348</v>
      </c>
      <c r="AL1615" s="2">
        <v>18</v>
      </c>
      <c r="AM1615" s="2" t="s">
        <v>82</v>
      </c>
      <c r="AN1615" s="2" t="s">
        <v>595</v>
      </c>
      <c r="AO1615" s="2" t="s">
        <v>200</v>
      </c>
      <c r="AP1615" s="2">
        <v>14</v>
      </c>
      <c r="AQ1615" s="2" t="s">
        <v>3301</v>
      </c>
      <c r="AR1615" s="2" t="s">
        <v>596</v>
      </c>
      <c r="AS1615" s="2" t="s">
        <v>596</v>
      </c>
      <c r="AT1615" s="2" t="s">
        <v>5862</v>
      </c>
      <c r="AU1615" s="2"/>
      <c r="AV1615" s="2"/>
      <c r="AW1615" s="2"/>
      <c r="AX1615" s="2"/>
      <c r="AY1615" s="2">
        <v>1</v>
      </c>
      <c r="AZ1615" s="2" t="s">
        <v>107</v>
      </c>
      <c r="BA1615" s="2">
        <v>1</v>
      </c>
      <c r="BB1615" s="2" t="s">
        <v>107</v>
      </c>
      <c r="BC1615" s="2">
        <v>1</v>
      </c>
      <c r="BD1615" s="2" t="s">
        <v>107</v>
      </c>
      <c r="BE1615" s="2">
        <v>4</v>
      </c>
      <c r="BF1615" s="2" t="s">
        <v>90</v>
      </c>
      <c r="BG1615" s="2" t="s">
        <v>5619</v>
      </c>
      <c r="BH1615" s="4">
        <v>0.3298611111111111</v>
      </c>
      <c r="BI1615" s="4">
        <v>0.37916666666666665</v>
      </c>
      <c r="BJ1615" s="2">
        <v>13</v>
      </c>
      <c r="BK1615" s="2" t="s">
        <v>91</v>
      </c>
      <c r="BL1615" s="2" t="s">
        <v>5863</v>
      </c>
      <c r="BM1615" s="2">
        <v>242</v>
      </c>
      <c r="BN1615" s="2" t="s">
        <v>107</v>
      </c>
      <c r="BO1615" s="2"/>
      <c r="BP1615" s="2">
        <v>13</v>
      </c>
      <c r="BQ1615" s="2" t="s">
        <v>91</v>
      </c>
      <c r="BR1615" s="2" t="s">
        <v>2168</v>
      </c>
      <c r="BS1615" s="3">
        <v>40289</v>
      </c>
      <c r="BT1615" s="4">
        <v>0.37432870370370369</v>
      </c>
    </row>
    <row r="1616" spans="1:72" x14ac:dyDescent="0.25">
      <c r="A1616" s="2">
        <v>2368</v>
      </c>
      <c r="B1616" s="2">
        <v>2010</v>
      </c>
      <c r="C1616" s="2" t="s">
        <v>377</v>
      </c>
      <c r="D1616" s="2" t="s">
        <v>73</v>
      </c>
      <c r="E1616" s="2"/>
      <c r="F1616" s="2">
        <v>426</v>
      </c>
      <c r="G1616" s="2" t="s">
        <v>378</v>
      </c>
      <c r="H1616" s="2">
        <v>22</v>
      </c>
      <c r="I1616" s="2" t="s">
        <v>75</v>
      </c>
      <c r="J1616" s="2">
        <v>311</v>
      </c>
      <c r="K1616" s="2" t="s">
        <v>379</v>
      </c>
      <c r="L1616" s="2" t="s">
        <v>380</v>
      </c>
      <c r="M1616" s="3">
        <v>40289</v>
      </c>
      <c r="N1616" s="2" t="s">
        <v>5164</v>
      </c>
      <c r="O1616" s="2"/>
      <c r="P1616" s="2"/>
      <c r="Q1616" s="2" t="str">
        <f>"054-C/10"</f>
        <v>054-C/10</v>
      </c>
      <c r="R1616" s="2"/>
      <c r="S1616" s="2" t="s">
        <v>5864</v>
      </c>
      <c r="T1616" s="2">
        <v>1</v>
      </c>
      <c r="U1616" s="2" t="s">
        <v>79</v>
      </c>
      <c r="V1616" s="2">
        <v>1</v>
      </c>
      <c r="W1616" s="2" t="s">
        <v>80</v>
      </c>
      <c r="X1616" s="2">
        <v>1</v>
      </c>
      <c r="Y1616" s="2" t="s">
        <v>81</v>
      </c>
      <c r="Z1616" s="2">
        <v>1</v>
      </c>
      <c r="AA1616" s="2" t="s">
        <v>82</v>
      </c>
      <c r="AB1616" s="2">
        <v>9</v>
      </c>
      <c r="AC1616" s="2" t="s">
        <v>124</v>
      </c>
      <c r="AD1616" s="3">
        <v>40288</v>
      </c>
      <c r="AE1616" s="4">
        <v>0.79861111111111116</v>
      </c>
      <c r="AF1616" s="2"/>
      <c r="AG1616" s="2"/>
      <c r="AH1616" s="2">
        <v>2</v>
      </c>
      <c r="AI1616" s="2" t="s">
        <v>84</v>
      </c>
      <c r="AJ1616" s="2">
        <v>9</v>
      </c>
      <c r="AK1616" s="2" t="s">
        <v>103</v>
      </c>
      <c r="AL1616" s="2">
        <v>29</v>
      </c>
      <c r="AM1616" s="2" t="s">
        <v>5416</v>
      </c>
      <c r="AN1616" s="2" t="s">
        <v>987</v>
      </c>
      <c r="AO1616" s="2" t="s">
        <v>5865</v>
      </c>
      <c r="AP1616" s="2">
        <v>11</v>
      </c>
      <c r="AQ1616" s="2" t="s">
        <v>82</v>
      </c>
      <c r="AR1616" s="2"/>
      <c r="AS1616" s="2"/>
      <c r="AT1616" s="2" t="s">
        <v>5866</v>
      </c>
      <c r="AU1616" s="2"/>
      <c r="AV1616" s="2"/>
      <c r="AW1616" s="2"/>
      <c r="AX1616" s="2"/>
      <c r="AY1616" s="2">
        <v>41</v>
      </c>
      <c r="AZ1616" s="2" t="s">
        <v>82</v>
      </c>
      <c r="BA1616" s="2">
        <v>41</v>
      </c>
      <c r="BB1616" s="2" t="s">
        <v>82</v>
      </c>
      <c r="BC1616" s="2">
        <v>41</v>
      </c>
      <c r="BD1616" s="2" t="s">
        <v>82</v>
      </c>
      <c r="BE1616" s="2">
        <v>41</v>
      </c>
      <c r="BF1616" s="2" t="s">
        <v>82</v>
      </c>
      <c r="BG1616" s="2"/>
      <c r="BH1616" s="2"/>
      <c r="BI1616" s="2"/>
      <c r="BJ1616" s="2">
        <v>241</v>
      </c>
      <c r="BK1616" s="2" t="s">
        <v>82</v>
      </c>
      <c r="BL1616" s="2"/>
      <c r="BM1616" s="2">
        <v>241</v>
      </c>
      <c r="BN1616" s="2" t="s">
        <v>82</v>
      </c>
      <c r="BO1616" s="2"/>
      <c r="BP1616" s="2">
        <v>241</v>
      </c>
      <c r="BQ1616" s="2" t="s">
        <v>82</v>
      </c>
      <c r="BR1616" s="2"/>
      <c r="BS1616" s="3">
        <v>40289</v>
      </c>
      <c r="BT1616" s="4">
        <v>0.51268518518518513</v>
      </c>
    </row>
    <row r="1617" spans="1:72" x14ac:dyDescent="0.25">
      <c r="A1617" s="2">
        <v>2369</v>
      </c>
      <c r="B1617" s="2">
        <v>2010</v>
      </c>
      <c r="C1617" s="2" t="s">
        <v>121</v>
      </c>
      <c r="D1617" s="2" t="s">
        <v>122</v>
      </c>
      <c r="E1617" s="2"/>
      <c r="F1617" s="2">
        <v>1</v>
      </c>
      <c r="G1617" s="2" t="s">
        <v>82</v>
      </c>
      <c r="H1617" s="2">
        <v>1</v>
      </c>
      <c r="I1617" s="2" t="s">
        <v>82</v>
      </c>
      <c r="J1617" s="2">
        <v>1</v>
      </c>
      <c r="K1617" s="2" t="s">
        <v>107</v>
      </c>
      <c r="L1617" s="2" t="s">
        <v>107</v>
      </c>
      <c r="M1617" s="3">
        <v>40289</v>
      </c>
      <c r="N1617" s="2"/>
      <c r="O1617" s="2"/>
      <c r="P1617" s="2"/>
      <c r="Q1617" s="2" t="str">
        <f>""</f>
        <v/>
      </c>
      <c r="R1617" s="2"/>
      <c r="S1617" s="2"/>
      <c r="T1617" s="2">
        <v>2</v>
      </c>
      <c r="U1617" s="2" t="s">
        <v>123</v>
      </c>
      <c r="V1617" s="2">
        <v>1</v>
      </c>
      <c r="W1617" s="2" t="s">
        <v>80</v>
      </c>
      <c r="X1617" s="2">
        <v>5</v>
      </c>
      <c r="Y1617" s="2" t="s">
        <v>82</v>
      </c>
      <c r="Z1617" s="2">
        <v>1</v>
      </c>
      <c r="AA1617" s="2" t="s">
        <v>82</v>
      </c>
      <c r="AB1617" s="2">
        <v>9</v>
      </c>
      <c r="AC1617" s="2" t="s">
        <v>124</v>
      </c>
      <c r="AD1617" s="3">
        <v>40289</v>
      </c>
      <c r="AE1617" s="4">
        <v>0.39583333333333331</v>
      </c>
      <c r="AF1617" s="2"/>
      <c r="AG1617" s="2"/>
      <c r="AH1617" s="2">
        <v>5</v>
      </c>
      <c r="AI1617" s="2" t="s">
        <v>274</v>
      </c>
      <c r="AJ1617" s="2">
        <v>44</v>
      </c>
      <c r="AK1617" s="2" t="s">
        <v>667</v>
      </c>
      <c r="AL1617" s="2">
        <v>18</v>
      </c>
      <c r="AM1617" s="2" t="s">
        <v>82</v>
      </c>
      <c r="AN1617" s="2" t="s">
        <v>82</v>
      </c>
      <c r="AO1617" s="2" t="s">
        <v>82</v>
      </c>
      <c r="AP1617" s="2">
        <v>11</v>
      </c>
      <c r="AQ1617" s="2" t="s">
        <v>82</v>
      </c>
      <c r="AR1617" s="2"/>
      <c r="AS1617" s="2"/>
      <c r="AT1617" s="2" t="s">
        <v>5867</v>
      </c>
      <c r="AU1617" s="2"/>
      <c r="AV1617" s="2"/>
      <c r="AW1617" s="2"/>
      <c r="AX1617" s="2"/>
      <c r="AY1617" s="2">
        <v>1</v>
      </c>
      <c r="AZ1617" s="2" t="s">
        <v>107</v>
      </c>
      <c r="BA1617" s="2">
        <v>1</v>
      </c>
      <c r="BB1617" s="2" t="s">
        <v>107</v>
      </c>
      <c r="BC1617" s="2">
        <v>1</v>
      </c>
      <c r="BD1617" s="2" t="s">
        <v>107</v>
      </c>
      <c r="BE1617" s="2">
        <v>42</v>
      </c>
      <c r="BF1617" s="2" t="s">
        <v>182</v>
      </c>
      <c r="BG1617" s="2" t="s">
        <v>5868</v>
      </c>
      <c r="BH1617" s="4">
        <v>0.47222222222222227</v>
      </c>
      <c r="BI1617" s="4">
        <v>0.51041666666666663</v>
      </c>
      <c r="BJ1617" s="2">
        <v>242</v>
      </c>
      <c r="BK1617" s="2" t="s">
        <v>107</v>
      </c>
      <c r="BL1617" s="2" t="s">
        <v>1026</v>
      </c>
      <c r="BM1617" s="2">
        <v>242</v>
      </c>
      <c r="BN1617" s="2" t="s">
        <v>107</v>
      </c>
      <c r="BO1617" s="2" t="s">
        <v>82</v>
      </c>
      <c r="BP1617" s="2">
        <v>242</v>
      </c>
      <c r="BQ1617" s="2" t="s">
        <v>107</v>
      </c>
      <c r="BR1617" s="2" t="s">
        <v>5869</v>
      </c>
      <c r="BS1617" s="3">
        <v>40289</v>
      </c>
      <c r="BT1617" s="4">
        <v>0.53587962962962965</v>
      </c>
    </row>
    <row r="1618" spans="1:72" x14ac:dyDescent="0.25">
      <c r="A1618" s="2">
        <v>2371</v>
      </c>
      <c r="B1618" s="2">
        <v>2010</v>
      </c>
      <c r="C1618" s="2" t="s">
        <v>819</v>
      </c>
      <c r="D1618" s="2" t="s">
        <v>122</v>
      </c>
      <c r="E1618" s="2" t="s">
        <v>5870</v>
      </c>
      <c r="F1618" s="2">
        <v>425</v>
      </c>
      <c r="G1618" s="2" t="s">
        <v>286</v>
      </c>
      <c r="H1618" s="2">
        <v>39</v>
      </c>
      <c r="I1618" s="2" t="s">
        <v>1117</v>
      </c>
      <c r="J1618" s="2">
        <v>310</v>
      </c>
      <c r="K1618" s="2" t="s">
        <v>288</v>
      </c>
      <c r="L1618" s="2" t="s">
        <v>289</v>
      </c>
      <c r="M1618" s="3">
        <v>40289</v>
      </c>
      <c r="N1618" s="2" t="s">
        <v>2049</v>
      </c>
      <c r="O1618" s="2"/>
      <c r="P1618" s="2"/>
      <c r="Q1618" s="2" t="str">
        <f>"042/10"</f>
        <v>042/10</v>
      </c>
      <c r="R1618" s="2"/>
      <c r="S1618" s="2" t="s">
        <v>822</v>
      </c>
      <c r="T1618" s="2">
        <v>1</v>
      </c>
      <c r="U1618" s="2" t="s">
        <v>79</v>
      </c>
      <c r="V1618" s="2">
        <v>1</v>
      </c>
      <c r="W1618" s="2" t="s">
        <v>80</v>
      </c>
      <c r="X1618" s="2">
        <v>1</v>
      </c>
      <c r="Y1618" s="2" t="s">
        <v>81</v>
      </c>
      <c r="Z1618" s="2">
        <v>10</v>
      </c>
      <c r="AA1618" s="2" t="s">
        <v>236</v>
      </c>
      <c r="AB1618" s="2">
        <v>9</v>
      </c>
      <c r="AC1618" s="2" t="s">
        <v>124</v>
      </c>
      <c r="AD1618" s="3">
        <v>40289</v>
      </c>
      <c r="AE1618" s="4">
        <v>0.58333333333333337</v>
      </c>
      <c r="AF1618" s="2"/>
      <c r="AG1618" s="2"/>
      <c r="AH1618" s="2">
        <v>4</v>
      </c>
      <c r="AI1618" s="2" t="s">
        <v>125</v>
      </c>
      <c r="AJ1618" s="2">
        <v>29</v>
      </c>
      <c r="AK1618" s="2" t="s">
        <v>227</v>
      </c>
      <c r="AL1618" s="2">
        <v>10</v>
      </c>
      <c r="AM1618" s="2" t="s">
        <v>200</v>
      </c>
      <c r="AN1618" s="2" t="s">
        <v>3040</v>
      </c>
      <c r="AO1618" s="2" t="s">
        <v>3176</v>
      </c>
      <c r="AP1618" s="2">
        <v>12</v>
      </c>
      <c r="AQ1618" s="2" t="s">
        <v>322</v>
      </c>
      <c r="AR1618" s="2" t="s">
        <v>824</v>
      </c>
      <c r="AS1618" s="2" t="s">
        <v>825</v>
      </c>
      <c r="AT1618" s="2" t="s">
        <v>5871</v>
      </c>
      <c r="AU1618" s="2"/>
      <c r="AV1618" s="2"/>
      <c r="AW1618" s="2"/>
      <c r="AX1618" s="2"/>
      <c r="AY1618" s="2">
        <v>41</v>
      </c>
      <c r="AZ1618" s="2" t="s">
        <v>82</v>
      </c>
      <c r="BA1618" s="2">
        <v>41</v>
      </c>
      <c r="BB1618" s="2" t="s">
        <v>82</v>
      </c>
      <c r="BC1618" s="2">
        <v>51</v>
      </c>
      <c r="BD1618" s="2" t="s">
        <v>827</v>
      </c>
      <c r="BE1618" s="2">
        <v>13</v>
      </c>
      <c r="BF1618" s="2" t="s">
        <v>108</v>
      </c>
      <c r="BG1618" s="2">
        <v>1459</v>
      </c>
      <c r="BH1618" s="4">
        <v>0.88888888888888884</v>
      </c>
      <c r="BI1618" s="4">
        <v>0.93055555555555547</v>
      </c>
      <c r="BJ1618" s="2">
        <v>13</v>
      </c>
      <c r="BK1618" s="2" t="s">
        <v>91</v>
      </c>
      <c r="BL1618" s="2" t="s">
        <v>828</v>
      </c>
      <c r="BM1618" s="2">
        <v>241</v>
      </c>
      <c r="BN1618" s="2" t="s">
        <v>82</v>
      </c>
      <c r="BO1618" s="2" t="s">
        <v>82</v>
      </c>
      <c r="BP1618" s="2">
        <v>13</v>
      </c>
      <c r="BQ1618" s="2" t="s">
        <v>91</v>
      </c>
      <c r="BR1618" s="2" t="s">
        <v>185</v>
      </c>
      <c r="BS1618" s="3">
        <v>40289</v>
      </c>
      <c r="BT1618" s="4">
        <v>0.58827546296296296</v>
      </c>
    </row>
    <row r="1619" spans="1:72" x14ac:dyDescent="0.25">
      <c r="A1619" s="2">
        <v>2372</v>
      </c>
      <c r="B1619" s="2">
        <v>2010</v>
      </c>
      <c r="C1619" s="2" t="s">
        <v>171</v>
      </c>
      <c r="D1619" s="2" t="s">
        <v>122</v>
      </c>
      <c r="E1619" s="2" t="s">
        <v>5872</v>
      </c>
      <c r="F1619" s="2">
        <v>226</v>
      </c>
      <c r="G1619" s="2" t="s">
        <v>5788</v>
      </c>
      <c r="H1619" s="2">
        <v>2</v>
      </c>
      <c r="I1619" s="2" t="s">
        <v>267</v>
      </c>
      <c r="J1619" s="2">
        <v>2</v>
      </c>
      <c r="K1619" s="2" t="s">
        <v>3661</v>
      </c>
      <c r="L1619" s="2" t="s">
        <v>3662</v>
      </c>
      <c r="M1619" s="3">
        <v>40289</v>
      </c>
      <c r="N1619" s="2" t="s">
        <v>5789</v>
      </c>
      <c r="O1619" s="2"/>
      <c r="P1619" s="2"/>
      <c r="Q1619" s="2" t="str">
        <f>"212-E/10"</f>
        <v>212-E/10</v>
      </c>
      <c r="R1619" s="2" t="s">
        <v>391</v>
      </c>
      <c r="S1619" s="2" t="s">
        <v>391</v>
      </c>
      <c r="T1619" s="2">
        <v>1</v>
      </c>
      <c r="U1619" s="2" t="s">
        <v>79</v>
      </c>
      <c r="V1619" s="2">
        <v>1</v>
      </c>
      <c r="W1619" s="2" t="s">
        <v>80</v>
      </c>
      <c r="X1619" s="2">
        <v>1</v>
      </c>
      <c r="Y1619" s="2" t="s">
        <v>81</v>
      </c>
      <c r="Z1619" s="2">
        <v>1</v>
      </c>
      <c r="AA1619" s="2" t="s">
        <v>82</v>
      </c>
      <c r="AB1619" s="2">
        <v>1</v>
      </c>
      <c r="AC1619" s="2" t="s">
        <v>178</v>
      </c>
      <c r="AD1619" s="3">
        <v>40287</v>
      </c>
      <c r="AE1619" s="4">
        <v>0.83333333333333337</v>
      </c>
      <c r="AF1619" s="2"/>
      <c r="AG1619" s="2"/>
      <c r="AH1619" s="2">
        <v>2</v>
      </c>
      <c r="AI1619" s="2" t="s">
        <v>84</v>
      </c>
      <c r="AJ1619" s="2">
        <v>9</v>
      </c>
      <c r="AK1619" s="2" t="s">
        <v>103</v>
      </c>
      <c r="AL1619" s="2">
        <v>11</v>
      </c>
      <c r="AM1619" s="2" t="s">
        <v>137</v>
      </c>
      <c r="AN1619" s="2"/>
      <c r="AO1619" s="2" t="s">
        <v>590</v>
      </c>
      <c r="AP1619" s="2">
        <v>11</v>
      </c>
      <c r="AQ1619" s="2" t="s">
        <v>82</v>
      </c>
      <c r="AR1619" s="2"/>
      <c r="AS1619" s="2"/>
      <c r="AT1619" s="2" t="s">
        <v>5873</v>
      </c>
      <c r="AU1619" s="2"/>
      <c r="AV1619" s="2">
        <v>1</v>
      </c>
      <c r="AW1619" s="2"/>
      <c r="AX1619" s="2"/>
      <c r="AY1619" s="2">
        <v>41</v>
      </c>
      <c r="AZ1619" s="2" t="s">
        <v>82</v>
      </c>
      <c r="BA1619" s="2">
        <v>41</v>
      </c>
      <c r="BB1619" s="2" t="s">
        <v>82</v>
      </c>
      <c r="BC1619" s="2">
        <v>41</v>
      </c>
      <c r="BD1619" s="2" t="s">
        <v>82</v>
      </c>
      <c r="BE1619" s="2">
        <v>13</v>
      </c>
      <c r="BF1619" s="2" t="s">
        <v>108</v>
      </c>
      <c r="BG1619" s="2">
        <v>1140</v>
      </c>
      <c r="BH1619" s="2"/>
      <c r="BI1619" s="2"/>
      <c r="BJ1619" s="2">
        <v>13</v>
      </c>
      <c r="BK1619" s="2" t="s">
        <v>91</v>
      </c>
      <c r="BL1619" s="2" t="s">
        <v>185</v>
      </c>
      <c r="BM1619" s="2">
        <v>241</v>
      </c>
      <c r="BN1619" s="2" t="s">
        <v>82</v>
      </c>
      <c r="BO1619" s="2"/>
      <c r="BP1619" s="2">
        <v>112</v>
      </c>
      <c r="BQ1619" s="2" t="s">
        <v>110</v>
      </c>
      <c r="BR1619" s="2" t="s">
        <v>111</v>
      </c>
      <c r="BS1619" s="3">
        <v>40289</v>
      </c>
      <c r="BT1619" s="4">
        <v>0.59879629629629627</v>
      </c>
    </row>
    <row r="1620" spans="1:72" x14ac:dyDescent="0.25">
      <c r="A1620" s="2">
        <v>2373</v>
      </c>
      <c r="B1620" s="2">
        <v>2010</v>
      </c>
      <c r="C1620" s="2" t="s">
        <v>72</v>
      </c>
      <c r="D1620" s="2" t="s">
        <v>73</v>
      </c>
      <c r="E1620" s="2"/>
      <c r="F1620" s="2">
        <v>389</v>
      </c>
      <c r="G1620" s="2" t="s">
        <v>1819</v>
      </c>
      <c r="H1620" s="2">
        <v>2</v>
      </c>
      <c r="I1620" s="2" t="s">
        <v>267</v>
      </c>
      <c r="J1620" s="2">
        <v>399</v>
      </c>
      <c r="K1620" s="2" t="s">
        <v>1820</v>
      </c>
      <c r="L1620" s="2" t="s">
        <v>1821</v>
      </c>
      <c r="M1620" s="3">
        <v>40289</v>
      </c>
      <c r="N1620" s="2" t="s">
        <v>5653</v>
      </c>
      <c r="O1620" s="2" t="s">
        <v>107</v>
      </c>
      <c r="P1620" s="2" t="s">
        <v>107</v>
      </c>
      <c r="Q1620" s="2" t="str">
        <f>"217-E/10"</f>
        <v>217-E/10</v>
      </c>
      <c r="R1620" s="2" t="s">
        <v>601</v>
      </c>
      <c r="S1620" s="2" t="s">
        <v>601</v>
      </c>
      <c r="T1620" s="2">
        <v>1</v>
      </c>
      <c r="U1620" s="2" t="s">
        <v>79</v>
      </c>
      <c r="V1620" s="2">
        <v>1</v>
      </c>
      <c r="W1620" s="2" t="s">
        <v>80</v>
      </c>
      <c r="X1620" s="2">
        <v>12</v>
      </c>
      <c r="Y1620" s="2" t="s">
        <v>148</v>
      </c>
      <c r="Z1620" s="2">
        <v>1</v>
      </c>
      <c r="AA1620" s="2" t="s">
        <v>82</v>
      </c>
      <c r="AB1620" s="2">
        <v>6</v>
      </c>
      <c r="AC1620" s="2" t="s">
        <v>83</v>
      </c>
      <c r="AD1620" s="3">
        <v>40287</v>
      </c>
      <c r="AE1620" s="4">
        <v>0.1875</v>
      </c>
      <c r="AF1620" s="3">
        <v>40289</v>
      </c>
      <c r="AG1620" s="4">
        <v>0.47916666666666669</v>
      </c>
      <c r="AH1620" s="2">
        <v>2</v>
      </c>
      <c r="AI1620" s="2" t="s">
        <v>84</v>
      </c>
      <c r="AJ1620" s="2">
        <v>9</v>
      </c>
      <c r="AK1620" s="2" t="s">
        <v>103</v>
      </c>
      <c r="AL1620" s="2">
        <v>22</v>
      </c>
      <c r="AM1620" s="2" t="s">
        <v>1853</v>
      </c>
      <c r="AN1620" s="2" t="s">
        <v>981</v>
      </c>
      <c r="AO1620" s="2" t="s">
        <v>2345</v>
      </c>
      <c r="AP1620" s="2">
        <v>11</v>
      </c>
      <c r="AQ1620" s="2" t="s">
        <v>82</v>
      </c>
      <c r="AR1620" s="2" t="s">
        <v>82</v>
      </c>
      <c r="AS1620" s="2" t="s">
        <v>82</v>
      </c>
      <c r="AT1620" s="2" t="s">
        <v>5874</v>
      </c>
      <c r="AU1620" s="2"/>
      <c r="AV1620" s="2"/>
      <c r="AW1620" s="2"/>
      <c r="AX1620" s="2"/>
      <c r="AY1620" s="2">
        <v>41</v>
      </c>
      <c r="AZ1620" s="2" t="s">
        <v>82</v>
      </c>
      <c r="BA1620" s="2">
        <v>41</v>
      </c>
      <c r="BB1620" s="2" t="s">
        <v>82</v>
      </c>
      <c r="BC1620" s="2">
        <v>41</v>
      </c>
      <c r="BD1620" s="2" t="s">
        <v>82</v>
      </c>
      <c r="BE1620" s="2">
        <v>13</v>
      </c>
      <c r="BF1620" s="2" t="s">
        <v>108</v>
      </c>
      <c r="BG1620" s="2" t="s">
        <v>4926</v>
      </c>
      <c r="BH1620" s="4">
        <v>0.1875</v>
      </c>
      <c r="BI1620" s="2"/>
      <c r="BJ1620" s="2">
        <v>112</v>
      </c>
      <c r="BK1620" s="2" t="s">
        <v>110</v>
      </c>
      <c r="BL1620" s="2" t="s">
        <v>111</v>
      </c>
      <c r="BM1620" s="2">
        <v>241</v>
      </c>
      <c r="BN1620" s="2" t="s">
        <v>82</v>
      </c>
      <c r="BO1620" s="2" t="s">
        <v>82</v>
      </c>
      <c r="BP1620" s="2">
        <v>13</v>
      </c>
      <c r="BQ1620" s="2" t="s">
        <v>91</v>
      </c>
      <c r="BR1620" s="2" t="s">
        <v>2592</v>
      </c>
      <c r="BS1620" s="3">
        <v>40289</v>
      </c>
      <c r="BT1620" s="4">
        <v>0.60783564814814817</v>
      </c>
    </row>
    <row r="1621" spans="1:72" x14ac:dyDescent="0.25">
      <c r="A1621" s="2">
        <v>2376</v>
      </c>
      <c r="B1621" s="2">
        <v>2010</v>
      </c>
      <c r="C1621" s="2" t="s">
        <v>72</v>
      </c>
      <c r="D1621" s="2" t="s">
        <v>73</v>
      </c>
      <c r="E1621" s="2"/>
      <c r="F1621" s="2">
        <v>24</v>
      </c>
      <c r="G1621" s="2" t="s">
        <v>532</v>
      </c>
      <c r="H1621" s="2">
        <v>50</v>
      </c>
      <c r="I1621" s="2" t="s">
        <v>107</v>
      </c>
      <c r="J1621" s="2">
        <v>300</v>
      </c>
      <c r="K1621" s="2" t="s">
        <v>114</v>
      </c>
      <c r="L1621" s="2" t="s">
        <v>115</v>
      </c>
      <c r="M1621" s="3">
        <v>40289</v>
      </c>
      <c r="N1621" s="2"/>
      <c r="O1621" s="2" t="s">
        <v>107</v>
      </c>
      <c r="P1621" s="2" t="s">
        <v>107</v>
      </c>
      <c r="Q1621" s="2" t="str">
        <f>"218-E/10"</f>
        <v>218-E/10</v>
      </c>
      <c r="R1621" s="2" t="s">
        <v>107</v>
      </c>
      <c r="S1621" s="2" t="s">
        <v>116</v>
      </c>
      <c r="T1621" s="2">
        <v>1</v>
      </c>
      <c r="U1621" s="2" t="s">
        <v>79</v>
      </c>
      <c r="V1621" s="2">
        <v>1</v>
      </c>
      <c r="W1621" s="2" t="s">
        <v>80</v>
      </c>
      <c r="X1621" s="2">
        <v>12</v>
      </c>
      <c r="Y1621" s="2" t="s">
        <v>148</v>
      </c>
      <c r="Z1621" s="2">
        <v>1</v>
      </c>
      <c r="AA1621" s="2" t="s">
        <v>82</v>
      </c>
      <c r="AB1621" s="2">
        <v>6</v>
      </c>
      <c r="AC1621" s="2" t="s">
        <v>83</v>
      </c>
      <c r="AD1621" s="3">
        <v>40289</v>
      </c>
      <c r="AE1621" s="4">
        <v>0.1388888888888889</v>
      </c>
      <c r="AF1621" s="3">
        <v>40289</v>
      </c>
      <c r="AG1621" s="4">
        <v>0.54861111111111105</v>
      </c>
      <c r="AH1621" s="2">
        <v>2</v>
      </c>
      <c r="AI1621" s="2" t="s">
        <v>84</v>
      </c>
      <c r="AJ1621" s="2">
        <v>9</v>
      </c>
      <c r="AK1621" s="2" t="s">
        <v>103</v>
      </c>
      <c r="AL1621" s="2">
        <v>12</v>
      </c>
      <c r="AM1621" s="2" t="s">
        <v>86</v>
      </c>
      <c r="AN1621" s="2" t="s">
        <v>5875</v>
      </c>
      <c r="AO1621" s="2" t="s">
        <v>5876</v>
      </c>
      <c r="AP1621" s="2">
        <v>11</v>
      </c>
      <c r="AQ1621" s="2" t="s">
        <v>82</v>
      </c>
      <c r="AR1621" s="2"/>
      <c r="AS1621" s="2"/>
      <c r="AT1621" s="2" t="s">
        <v>5877</v>
      </c>
      <c r="AU1621" s="2"/>
      <c r="AV1621" s="2"/>
      <c r="AW1621" s="2"/>
      <c r="AX1621" s="2"/>
      <c r="AY1621" s="2">
        <v>41</v>
      </c>
      <c r="AZ1621" s="2" t="s">
        <v>82</v>
      </c>
      <c r="BA1621" s="2">
        <v>41</v>
      </c>
      <c r="BB1621" s="2" t="s">
        <v>82</v>
      </c>
      <c r="BC1621" s="2">
        <v>41</v>
      </c>
      <c r="BD1621" s="2" t="s">
        <v>82</v>
      </c>
      <c r="BE1621" s="2">
        <v>20</v>
      </c>
      <c r="BF1621" s="2" t="s">
        <v>1681</v>
      </c>
      <c r="BG1621" s="2" t="s">
        <v>5878</v>
      </c>
      <c r="BH1621" s="2"/>
      <c r="BI1621" s="4">
        <v>0.25</v>
      </c>
      <c r="BJ1621" s="2">
        <v>13</v>
      </c>
      <c r="BK1621" s="2" t="s">
        <v>91</v>
      </c>
      <c r="BL1621" s="2" t="s">
        <v>185</v>
      </c>
      <c r="BM1621" s="2">
        <v>241</v>
      </c>
      <c r="BN1621" s="2" t="s">
        <v>82</v>
      </c>
      <c r="BO1621" s="2"/>
      <c r="BP1621" s="2">
        <v>173</v>
      </c>
      <c r="BQ1621" s="2" t="s">
        <v>223</v>
      </c>
      <c r="BR1621" s="2" t="s">
        <v>224</v>
      </c>
      <c r="BS1621" s="3">
        <v>40289</v>
      </c>
      <c r="BT1621" s="4">
        <v>0.74996527777777777</v>
      </c>
    </row>
    <row r="1622" spans="1:72" x14ac:dyDescent="0.25">
      <c r="A1622" s="2">
        <v>2377</v>
      </c>
      <c r="B1622" s="2">
        <v>2010</v>
      </c>
      <c r="C1622" s="2" t="s">
        <v>72</v>
      </c>
      <c r="D1622" s="2" t="s">
        <v>122</v>
      </c>
      <c r="E1622" s="2" t="s">
        <v>5735</v>
      </c>
      <c r="F1622" s="2">
        <v>2</v>
      </c>
      <c r="G1622" s="2" t="s">
        <v>113</v>
      </c>
      <c r="H1622" s="2">
        <v>1</v>
      </c>
      <c r="I1622" s="2" t="s">
        <v>82</v>
      </c>
      <c r="J1622" s="2">
        <v>300</v>
      </c>
      <c r="K1622" s="2" t="s">
        <v>114</v>
      </c>
      <c r="L1622" s="2" t="s">
        <v>115</v>
      </c>
      <c r="M1622" s="3">
        <v>40289</v>
      </c>
      <c r="N1622" s="2"/>
      <c r="O1622" s="2"/>
      <c r="P1622" s="2"/>
      <c r="Q1622" s="2" t="str">
        <f>"208-E/10"</f>
        <v>208-E/10</v>
      </c>
      <c r="R1622" s="2" t="s">
        <v>116</v>
      </c>
      <c r="S1622" s="2" t="s">
        <v>116</v>
      </c>
      <c r="T1622" s="2">
        <v>1</v>
      </c>
      <c r="U1622" s="2" t="s">
        <v>79</v>
      </c>
      <c r="V1622" s="2">
        <v>1</v>
      </c>
      <c r="W1622" s="2" t="s">
        <v>80</v>
      </c>
      <c r="X1622" s="2">
        <v>1</v>
      </c>
      <c r="Y1622" s="2" t="s">
        <v>81</v>
      </c>
      <c r="Z1622" s="2">
        <v>1</v>
      </c>
      <c r="AA1622" s="2" t="s">
        <v>82</v>
      </c>
      <c r="AB1622" s="2">
        <v>6</v>
      </c>
      <c r="AC1622" s="2" t="s">
        <v>83</v>
      </c>
      <c r="AD1622" s="3">
        <v>40285</v>
      </c>
      <c r="AE1622" s="4">
        <v>0.45833333333333331</v>
      </c>
      <c r="AF1622" s="3">
        <v>40285</v>
      </c>
      <c r="AG1622" s="4">
        <v>0.46180555555555558</v>
      </c>
      <c r="AH1622" s="2">
        <v>2</v>
      </c>
      <c r="AI1622" s="2" t="s">
        <v>84</v>
      </c>
      <c r="AJ1622" s="2">
        <v>9</v>
      </c>
      <c r="AK1622" s="2" t="s">
        <v>103</v>
      </c>
      <c r="AL1622" s="2">
        <v>9</v>
      </c>
      <c r="AM1622" s="2" t="s">
        <v>259</v>
      </c>
      <c r="AN1622" s="2" t="s">
        <v>5704</v>
      </c>
      <c r="AO1622" s="2" t="s">
        <v>5705</v>
      </c>
      <c r="AP1622" s="2">
        <v>11</v>
      </c>
      <c r="AQ1622" s="2" t="s">
        <v>82</v>
      </c>
      <c r="AR1622" s="2"/>
      <c r="AS1622" s="2"/>
      <c r="AT1622" s="2" t="s">
        <v>5879</v>
      </c>
      <c r="AU1622" s="2"/>
      <c r="AV1622" s="2"/>
      <c r="AW1622" s="2">
        <v>3</v>
      </c>
      <c r="AX1622" s="2"/>
      <c r="AY1622" s="2">
        <v>41</v>
      </c>
      <c r="AZ1622" s="2" t="s">
        <v>82</v>
      </c>
      <c r="BA1622" s="2">
        <v>70</v>
      </c>
      <c r="BB1622" s="2" t="s">
        <v>236</v>
      </c>
      <c r="BC1622" s="2">
        <v>41</v>
      </c>
      <c r="BD1622" s="2" t="s">
        <v>82</v>
      </c>
      <c r="BE1622" s="2">
        <v>41</v>
      </c>
      <c r="BF1622" s="2" t="s">
        <v>82</v>
      </c>
      <c r="BG1622" s="2"/>
      <c r="BH1622" s="2"/>
      <c r="BI1622" s="2"/>
      <c r="BJ1622" s="2">
        <v>241</v>
      </c>
      <c r="BK1622" s="2" t="s">
        <v>82</v>
      </c>
      <c r="BL1622" s="2"/>
      <c r="BM1622" s="2">
        <v>241</v>
      </c>
      <c r="BN1622" s="2" t="s">
        <v>82</v>
      </c>
      <c r="BO1622" s="2"/>
      <c r="BP1622" s="2">
        <v>241</v>
      </c>
      <c r="BQ1622" s="2" t="s">
        <v>82</v>
      </c>
      <c r="BR1622" s="2"/>
      <c r="BS1622" s="3">
        <v>40289</v>
      </c>
      <c r="BT1622" s="4">
        <v>0.75965277777777773</v>
      </c>
    </row>
    <row r="1623" spans="1:72" x14ac:dyDescent="0.25">
      <c r="A1623" s="2">
        <v>2378</v>
      </c>
      <c r="B1623" s="2">
        <v>2010</v>
      </c>
      <c r="C1623" s="2" t="s">
        <v>93</v>
      </c>
      <c r="D1623" s="2" t="s">
        <v>73</v>
      </c>
      <c r="E1623" s="2"/>
      <c r="F1623" s="2">
        <v>125</v>
      </c>
      <c r="G1623" s="2" t="s">
        <v>1483</v>
      </c>
      <c r="H1623" s="2">
        <v>47</v>
      </c>
      <c r="I1623" s="2" t="s">
        <v>1409</v>
      </c>
      <c r="J1623" s="2">
        <v>139</v>
      </c>
      <c r="K1623" s="2" t="s">
        <v>1485</v>
      </c>
      <c r="L1623" s="2" t="s">
        <v>1486</v>
      </c>
      <c r="M1623" s="3">
        <v>40289</v>
      </c>
      <c r="N1623" s="2" t="s">
        <v>5880</v>
      </c>
      <c r="O1623" s="2" t="s">
        <v>5881</v>
      </c>
      <c r="P1623" s="2" t="s">
        <v>5882</v>
      </c>
      <c r="Q1623" s="2" t="str">
        <f>"N/C"</f>
        <v>N/C</v>
      </c>
      <c r="R1623" s="2" t="s">
        <v>82</v>
      </c>
      <c r="S1623" s="2" t="s">
        <v>82</v>
      </c>
      <c r="T1623" s="2">
        <v>1</v>
      </c>
      <c r="U1623" s="2" t="s">
        <v>79</v>
      </c>
      <c r="V1623" s="2">
        <v>1</v>
      </c>
      <c r="W1623" s="2" t="s">
        <v>80</v>
      </c>
      <c r="X1623" s="2">
        <v>1</v>
      </c>
      <c r="Y1623" s="2" t="s">
        <v>81</v>
      </c>
      <c r="Z1623" s="2">
        <v>1</v>
      </c>
      <c r="AA1623" s="2" t="s">
        <v>82</v>
      </c>
      <c r="AB1623" s="2">
        <v>2</v>
      </c>
      <c r="AC1623" s="2" t="s">
        <v>102</v>
      </c>
      <c r="AD1623" s="3">
        <v>40289</v>
      </c>
      <c r="AE1623" s="4">
        <v>0.63888888888888895</v>
      </c>
      <c r="AF1623" s="2"/>
      <c r="AG1623" s="2"/>
      <c r="AH1623" s="2">
        <v>6</v>
      </c>
      <c r="AI1623" s="2" t="s">
        <v>197</v>
      </c>
      <c r="AJ1623" s="2">
        <v>61</v>
      </c>
      <c r="AK1623" s="2" t="s">
        <v>686</v>
      </c>
      <c r="AL1623" s="2">
        <v>11</v>
      </c>
      <c r="AM1623" s="2" t="s">
        <v>137</v>
      </c>
      <c r="AN1623" s="2" t="s">
        <v>82</v>
      </c>
      <c r="AO1623" s="2" t="s">
        <v>350</v>
      </c>
      <c r="AP1623" s="2">
        <v>11</v>
      </c>
      <c r="AQ1623" s="2" t="s">
        <v>82</v>
      </c>
      <c r="AR1623" s="2" t="s">
        <v>82</v>
      </c>
      <c r="AS1623" s="2" t="s">
        <v>82</v>
      </c>
      <c r="AT1623" s="2" t="s">
        <v>5883</v>
      </c>
      <c r="AU1623" s="2"/>
      <c r="AV1623" s="2"/>
      <c r="AW1623" s="2"/>
      <c r="AX1623" s="2"/>
      <c r="AY1623" s="2">
        <v>41</v>
      </c>
      <c r="AZ1623" s="2" t="s">
        <v>82</v>
      </c>
      <c r="BA1623" s="2">
        <v>41</v>
      </c>
      <c r="BB1623" s="2" t="s">
        <v>82</v>
      </c>
      <c r="BC1623" s="2">
        <v>41</v>
      </c>
      <c r="BD1623" s="2" t="s">
        <v>82</v>
      </c>
      <c r="BE1623" s="2">
        <v>42</v>
      </c>
      <c r="BF1623" s="2" t="s">
        <v>182</v>
      </c>
      <c r="BG1623" s="2">
        <v>447</v>
      </c>
      <c r="BH1623" s="4">
        <v>0.60486111111111118</v>
      </c>
      <c r="BI1623" s="4">
        <v>0.64722222222222225</v>
      </c>
      <c r="BJ1623" s="2">
        <v>13</v>
      </c>
      <c r="BK1623" s="2" t="s">
        <v>91</v>
      </c>
      <c r="BL1623" s="2" t="s">
        <v>690</v>
      </c>
      <c r="BM1623" s="2">
        <v>241</v>
      </c>
      <c r="BN1623" s="2" t="s">
        <v>82</v>
      </c>
      <c r="BO1623" s="2" t="s">
        <v>492</v>
      </c>
      <c r="BP1623" s="2">
        <v>13</v>
      </c>
      <c r="BQ1623" s="2" t="s">
        <v>91</v>
      </c>
      <c r="BR1623" s="2" t="s">
        <v>353</v>
      </c>
      <c r="BS1623" s="3">
        <v>40289</v>
      </c>
      <c r="BT1623" s="4">
        <v>0.78202546296296294</v>
      </c>
    </row>
    <row r="1624" spans="1:72" x14ac:dyDescent="0.25">
      <c r="A1624" s="2">
        <v>2379</v>
      </c>
      <c r="B1624" s="2">
        <v>2010</v>
      </c>
      <c r="C1624" s="2" t="s">
        <v>819</v>
      </c>
      <c r="D1624" s="2" t="s">
        <v>73</v>
      </c>
      <c r="E1624" s="2"/>
      <c r="F1624" s="2">
        <v>320</v>
      </c>
      <c r="G1624" s="2" t="s">
        <v>5884</v>
      </c>
      <c r="H1624" s="2">
        <v>22</v>
      </c>
      <c r="I1624" s="2" t="s">
        <v>75</v>
      </c>
      <c r="J1624" s="2">
        <v>367</v>
      </c>
      <c r="K1624" s="2" t="s">
        <v>1019</v>
      </c>
      <c r="L1624" s="2" t="s">
        <v>1020</v>
      </c>
      <c r="M1624" s="3">
        <v>40289</v>
      </c>
      <c r="N1624" s="2" t="s">
        <v>5885</v>
      </c>
      <c r="O1624" s="2" t="s">
        <v>82</v>
      </c>
      <c r="P1624" s="2" t="s">
        <v>82</v>
      </c>
      <c r="Q1624" s="2" t="str">
        <f>"0013"</f>
        <v>0013</v>
      </c>
      <c r="R1624" s="2" t="s">
        <v>82</v>
      </c>
      <c r="S1624" s="2" t="s">
        <v>2003</v>
      </c>
      <c r="T1624" s="2">
        <v>1</v>
      </c>
      <c r="U1624" s="2" t="s">
        <v>79</v>
      </c>
      <c r="V1624" s="2">
        <v>1</v>
      </c>
      <c r="W1624" s="2" t="s">
        <v>80</v>
      </c>
      <c r="X1624" s="2">
        <v>1</v>
      </c>
      <c r="Y1624" s="2" t="s">
        <v>81</v>
      </c>
      <c r="Z1624" s="2">
        <v>10</v>
      </c>
      <c r="AA1624" s="2" t="s">
        <v>236</v>
      </c>
      <c r="AB1624" s="2">
        <v>9</v>
      </c>
      <c r="AC1624" s="2" t="s">
        <v>124</v>
      </c>
      <c r="AD1624" s="3">
        <v>40289</v>
      </c>
      <c r="AE1624" s="4">
        <v>0.59027777777777779</v>
      </c>
      <c r="AF1624" s="2"/>
      <c r="AG1624" s="2"/>
      <c r="AH1624" s="2">
        <v>5</v>
      </c>
      <c r="AI1624" s="2" t="s">
        <v>274</v>
      </c>
      <c r="AJ1624" s="2">
        <v>44</v>
      </c>
      <c r="AK1624" s="2" t="s">
        <v>667</v>
      </c>
      <c r="AL1624" s="2">
        <v>11</v>
      </c>
      <c r="AM1624" s="2" t="s">
        <v>137</v>
      </c>
      <c r="AN1624" s="2" t="s">
        <v>5310</v>
      </c>
      <c r="AO1624" s="2" t="s">
        <v>5886</v>
      </c>
      <c r="AP1624" s="2">
        <v>11</v>
      </c>
      <c r="AQ1624" s="2" t="s">
        <v>82</v>
      </c>
      <c r="AR1624" s="2"/>
      <c r="AS1624" s="2"/>
      <c r="AT1624" s="2" t="s">
        <v>5887</v>
      </c>
      <c r="AU1624" s="2"/>
      <c r="AV1624" s="2"/>
      <c r="AW1624" s="2"/>
      <c r="AX1624" s="2"/>
      <c r="AY1624" s="2">
        <v>41</v>
      </c>
      <c r="AZ1624" s="2" t="s">
        <v>82</v>
      </c>
      <c r="BA1624" s="2">
        <v>41</v>
      </c>
      <c r="BB1624" s="2" t="s">
        <v>82</v>
      </c>
      <c r="BC1624" s="2">
        <v>41</v>
      </c>
      <c r="BD1624" s="2" t="s">
        <v>82</v>
      </c>
      <c r="BE1624" s="2">
        <v>13</v>
      </c>
      <c r="BF1624" s="2" t="s">
        <v>108</v>
      </c>
      <c r="BG1624" s="2">
        <v>1779</v>
      </c>
      <c r="BH1624" s="4">
        <v>0.59444444444444444</v>
      </c>
      <c r="BI1624" s="4">
        <v>0.625</v>
      </c>
      <c r="BJ1624" s="2">
        <v>13</v>
      </c>
      <c r="BK1624" s="2" t="s">
        <v>91</v>
      </c>
      <c r="BL1624" s="2" t="s">
        <v>1026</v>
      </c>
      <c r="BM1624" s="2">
        <v>241</v>
      </c>
      <c r="BN1624" s="2" t="s">
        <v>82</v>
      </c>
      <c r="BO1624" s="2" t="s">
        <v>82</v>
      </c>
      <c r="BP1624" s="2">
        <v>13</v>
      </c>
      <c r="BQ1624" s="2" t="s">
        <v>91</v>
      </c>
      <c r="BR1624" s="2" t="s">
        <v>170</v>
      </c>
      <c r="BS1624" s="3">
        <v>40289</v>
      </c>
      <c r="BT1624" s="4">
        <v>0.79076388888888882</v>
      </c>
    </row>
    <row r="1625" spans="1:72" x14ac:dyDescent="0.25">
      <c r="A1625" s="2">
        <v>2380</v>
      </c>
      <c r="B1625" s="2">
        <v>2010</v>
      </c>
      <c r="C1625" s="2" t="s">
        <v>121</v>
      </c>
      <c r="D1625" s="2" t="s">
        <v>122</v>
      </c>
      <c r="E1625" s="2"/>
      <c r="F1625" s="2">
        <v>1</v>
      </c>
      <c r="G1625" s="2" t="s">
        <v>82</v>
      </c>
      <c r="H1625" s="2">
        <v>1</v>
      </c>
      <c r="I1625" s="2" t="s">
        <v>82</v>
      </c>
      <c r="J1625" s="2">
        <v>1</v>
      </c>
      <c r="K1625" s="2" t="s">
        <v>107</v>
      </c>
      <c r="L1625" s="2" t="s">
        <v>107</v>
      </c>
      <c r="M1625" s="3">
        <v>40289</v>
      </c>
      <c r="N1625" s="2"/>
      <c r="O1625" s="2"/>
      <c r="P1625" s="2"/>
      <c r="Q1625" s="2" t="str">
        <f>""</f>
        <v/>
      </c>
      <c r="R1625" s="2"/>
      <c r="S1625" s="2"/>
      <c r="T1625" s="2">
        <v>2</v>
      </c>
      <c r="U1625" s="2" t="s">
        <v>123</v>
      </c>
      <c r="V1625" s="2">
        <v>1</v>
      </c>
      <c r="W1625" s="2" t="s">
        <v>80</v>
      </c>
      <c r="X1625" s="2">
        <v>1</v>
      </c>
      <c r="Y1625" s="2" t="s">
        <v>81</v>
      </c>
      <c r="Z1625" s="2">
        <v>1</v>
      </c>
      <c r="AA1625" s="2" t="s">
        <v>82</v>
      </c>
      <c r="AB1625" s="2">
        <v>9</v>
      </c>
      <c r="AC1625" s="2" t="s">
        <v>124</v>
      </c>
      <c r="AD1625" s="3">
        <v>40289</v>
      </c>
      <c r="AE1625" s="4">
        <v>0.8125</v>
      </c>
      <c r="AF1625" s="2"/>
      <c r="AG1625" s="2"/>
      <c r="AH1625" s="2">
        <v>2</v>
      </c>
      <c r="AI1625" s="2" t="s">
        <v>84</v>
      </c>
      <c r="AJ1625" s="2">
        <v>12</v>
      </c>
      <c r="AK1625" s="2" t="s">
        <v>85</v>
      </c>
      <c r="AL1625" s="2">
        <v>10</v>
      </c>
      <c r="AM1625" s="2" t="s">
        <v>200</v>
      </c>
      <c r="AN1625" s="2" t="s">
        <v>5888</v>
      </c>
      <c r="AO1625" s="2" t="s">
        <v>5889</v>
      </c>
      <c r="AP1625" s="2">
        <v>11</v>
      </c>
      <c r="AQ1625" s="2" t="s">
        <v>82</v>
      </c>
      <c r="AR1625" s="2"/>
      <c r="AS1625" s="2"/>
      <c r="AT1625" s="2" t="s">
        <v>5890</v>
      </c>
      <c r="AU1625" s="2"/>
      <c r="AV1625" s="2"/>
      <c r="AW1625" s="2"/>
      <c r="AX1625" s="2"/>
      <c r="AY1625" s="2">
        <v>41</v>
      </c>
      <c r="AZ1625" s="2" t="s">
        <v>82</v>
      </c>
      <c r="BA1625" s="2">
        <v>41</v>
      </c>
      <c r="BB1625" s="2" t="s">
        <v>82</v>
      </c>
      <c r="BC1625" s="2">
        <v>41</v>
      </c>
      <c r="BD1625" s="2" t="s">
        <v>82</v>
      </c>
      <c r="BE1625" s="2">
        <v>4</v>
      </c>
      <c r="BF1625" s="2" t="s">
        <v>90</v>
      </c>
      <c r="BG1625" s="2">
        <v>4276</v>
      </c>
      <c r="BH1625" s="2"/>
      <c r="BI1625" s="2"/>
      <c r="BJ1625" s="2">
        <v>13</v>
      </c>
      <c r="BK1625" s="2" t="s">
        <v>91</v>
      </c>
      <c r="BL1625" s="2" t="s">
        <v>185</v>
      </c>
      <c r="BM1625" s="2">
        <v>241</v>
      </c>
      <c r="BN1625" s="2" t="s">
        <v>82</v>
      </c>
      <c r="BO1625" s="2"/>
      <c r="BP1625" s="2">
        <v>13</v>
      </c>
      <c r="BQ1625" s="2" t="s">
        <v>91</v>
      </c>
      <c r="BR1625" s="2" t="s">
        <v>241</v>
      </c>
      <c r="BS1625" s="3">
        <v>40289</v>
      </c>
      <c r="BT1625" s="4">
        <v>0.82347222222222216</v>
      </c>
    </row>
    <row r="1626" spans="1:72" x14ac:dyDescent="0.25">
      <c r="A1626" s="2">
        <v>2382</v>
      </c>
      <c r="B1626" s="2">
        <v>2010</v>
      </c>
      <c r="C1626" s="2" t="s">
        <v>121</v>
      </c>
      <c r="D1626" s="2" t="s">
        <v>122</v>
      </c>
      <c r="E1626" s="2"/>
      <c r="F1626" s="2">
        <v>1</v>
      </c>
      <c r="G1626" s="2" t="s">
        <v>82</v>
      </c>
      <c r="H1626" s="2">
        <v>1</v>
      </c>
      <c r="I1626" s="2" t="s">
        <v>82</v>
      </c>
      <c r="J1626" s="2">
        <v>1</v>
      </c>
      <c r="K1626" s="2" t="s">
        <v>107</v>
      </c>
      <c r="L1626" s="2" t="s">
        <v>107</v>
      </c>
      <c r="M1626" s="3">
        <v>40289</v>
      </c>
      <c r="N1626" s="2"/>
      <c r="O1626" s="2"/>
      <c r="P1626" s="2"/>
      <c r="Q1626" s="2" t="str">
        <f>""</f>
        <v/>
      </c>
      <c r="R1626" s="2"/>
      <c r="S1626" s="2"/>
      <c r="T1626" s="2">
        <v>2</v>
      </c>
      <c r="U1626" s="2" t="s">
        <v>123</v>
      </c>
      <c r="V1626" s="2">
        <v>1</v>
      </c>
      <c r="W1626" s="2" t="s">
        <v>80</v>
      </c>
      <c r="X1626" s="2">
        <v>5</v>
      </c>
      <c r="Y1626" s="2" t="s">
        <v>82</v>
      </c>
      <c r="Z1626" s="2">
        <v>1</v>
      </c>
      <c r="AA1626" s="2" t="s">
        <v>82</v>
      </c>
      <c r="AB1626" s="2">
        <v>9</v>
      </c>
      <c r="AC1626" s="2" t="s">
        <v>124</v>
      </c>
      <c r="AD1626" s="3">
        <v>40289</v>
      </c>
      <c r="AE1626" s="4">
        <v>0.88888888888888884</v>
      </c>
      <c r="AF1626" s="2"/>
      <c r="AG1626" s="2"/>
      <c r="AH1626" s="2">
        <v>6</v>
      </c>
      <c r="AI1626" s="2" t="s">
        <v>197</v>
      </c>
      <c r="AJ1626" s="2">
        <v>51</v>
      </c>
      <c r="AK1626" s="2" t="s">
        <v>238</v>
      </c>
      <c r="AL1626" s="2">
        <v>18</v>
      </c>
      <c r="AM1626" s="2" t="s">
        <v>82</v>
      </c>
      <c r="AN1626" s="2"/>
      <c r="AO1626" s="2"/>
      <c r="AP1626" s="2">
        <v>11</v>
      </c>
      <c r="AQ1626" s="2" t="s">
        <v>82</v>
      </c>
      <c r="AR1626" s="2"/>
      <c r="AS1626" s="2"/>
      <c r="AT1626" s="2" t="s">
        <v>5891</v>
      </c>
      <c r="AU1626" s="2"/>
      <c r="AV1626" s="2"/>
      <c r="AW1626" s="2"/>
      <c r="AX1626" s="2"/>
      <c r="AY1626" s="2">
        <v>1</v>
      </c>
      <c r="AZ1626" s="2" t="s">
        <v>107</v>
      </c>
      <c r="BA1626" s="2">
        <v>1</v>
      </c>
      <c r="BB1626" s="2" t="s">
        <v>107</v>
      </c>
      <c r="BC1626" s="2">
        <v>1</v>
      </c>
      <c r="BD1626" s="2" t="s">
        <v>107</v>
      </c>
      <c r="BE1626" s="2">
        <v>4</v>
      </c>
      <c r="BF1626" s="2" t="s">
        <v>90</v>
      </c>
      <c r="BG1626" s="2">
        <v>4276</v>
      </c>
      <c r="BH1626" s="4">
        <v>0.88888888888888884</v>
      </c>
      <c r="BI1626" s="2"/>
      <c r="BJ1626" s="2">
        <v>13</v>
      </c>
      <c r="BK1626" s="2" t="s">
        <v>91</v>
      </c>
      <c r="BL1626" s="2" t="s">
        <v>3520</v>
      </c>
      <c r="BM1626" s="2">
        <v>242</v>
      </c>
      <c r="BN1626" s="2" t="s">
        <v>107</v>
      </c>
      <c r="BO1626" s="2"/>
      <c r="BP1626" s="2">
        <v>13</v>
      </c>
      <c r="BQ1626" s="2" t="s">
        <v>91</v>
      </c>
      <c r="BR1626" s="2" t="s">
        <v>241</v>
      </c>
      <c r="BS1626" s="3">
        <v>40289</v>
      </c>
      <c r="BT1626" s="4">
        <v>0.91706018518518517</v>
      </c>
    </row>
    <row r="1627" spans="1:72" x14ac:dyDescent="0.25">
      <c r="A1627" s="2">
        <v>2383</v>
      </c>
      <c r="B1627" s="2">
        <v>2010</v>
      </c>
      <c r="C1627" s="2" t="s">
        <v>171</v>
      </c>
      <c r="D1627" s="2" t="s">
        <v>122</v>
      </c>
      <c r="E1627" s="2"/>
      <c r="F1627" s="2">
        <v>425</v>
      </c>
      <c r="G1627" s="2" t="s">
        <v>286</v>
      </c>
      <c r="H1627" s="2">
        <v>39</v>
      </c>
      <c r="I1627" s="2" t="s">
        <v>1117</v>
      </c>
      <c r="J1627" s="2">
        <v>310</v>
      </c>
      <c r="K1627" s="2" t="s">
        <v>288</v>
      </c>
      <c r="L1627" s="2" t="s">
        <v>289</v>
      </c>
      <c r="M1627" s="3">
        <v>40289</v>
      </c>
      <c r="N1627" s="2" t="s">
        <v>2049</v>
      </c>
      <c r="O1627" s="2" t="s">
        <v>5892</v>
      </c>
      <c r="P1627" s="2" t="s">
        <v>5893</v>
      </c>
      <c r="Q1627" s="2" t="str">
        <f>"043/10"</f>
        <v>043/10</v>
      </c>
      <c r="R1627" s="2" t="s">
        <v>822</v>
      </c>
      <c r="S1627" s="2"/>
      <c r="T1627" s="2">
        <v>1</v>
      </c>
      <c r="U1627" s="2" t="s">
        <v>79</v>
      </c>
      <c r="V1627" s="2">
        <v>1</v>
      </c>
      <c r="W1627" s="2" t="s">
        <v>80</v>
      </c>
      <c r="X1627" s="2">
        <v>1</v>
      </c>
      <c r="Y1627" s="2" t="s">
        <v>81</v>
      </c>
      <c r="Z1627" s="2">
        <v>1</v>
      </c>
      <c r="AA1627" s="2" t="s">
        <v>82</v>
      </c>
      <c r="AB1627" s="2">
        <v>1</v>
      </c>
      <c r="AC1627" s="2" t="s">
        <v>178</v>
      </c>
      <c r="AD1627" s="3">
        <v>40289</v>
      </c>
      <c r="AE1627" s="4">
        <v>0.91666666666666663</v>
      </c>
      <c r="AF1627" s="2"/>
      <c r="AG1627" s="2"/>
      <c r="AH1627" s="2">
        <v>4</v>
      </c>
      <c r="AI1627" s="2" t="s">
        <v>125</v>
      </c>
      <c r="AJ1627" s="2">
        <v>29</v>
      </c>
      <c r="AK1627" s="2" t="s">
        <v>227</v>
      </c>
      <c r="AL1627" s="2">
        <v>16</v>
      </c>
      <c r="AM1627" s="2" t="s">
        <v>392</v>
      </c>
      <c r="AN1627" s="2" t="s">
        <v>1015</v>
      </c>
      <c r="AO1627" s="2"/>
      <c r="AP1627" s="2">
        <v>12</v>
      </c>
      <c r="AQ1627" s="2" t="s">
        <v>322</v>
      </c>
      <c r="AR1627" s="2" t="s">
        <v>824</v>
      </c>
      <c r="AS1627" s="2" t="s">
        <v>825</v>
      </c>
      <c r="AT1627" s="2" t="s">
        <v>5894</v>
      </c>
      <c r="AU1627" s="2"/>
      <c r="AV1627" s="2"/>
      <c r="AW1627" s="2"/>
      <c r="AX1627" s="2"/>
      <c r="AY1627" s="2">
        <v>41</v>
      </c>
      <c r="AZ1627" s="2" t="s">
        <v>82</v>
      </c>
      <c r="BA1627" s="2">
        <v>41</v>
      </c>
      <c r="BB1627" s="2" t="s">
        <v>82</v>
      </c>
      <c r="BC1627" s="2">
        <v>51</v>
      </c>
      <c r="BD1627" s="2" t="s">
        <v>827</v>
      </c>
      <c r="BE1627" s="2">
        <v>47</v>
      </c>
      <c r="BF1627" s="2" t="s">
        <v>167</v>
      </c>
      <c r="BG1627" s="2">
        <v>2476</v>
      </c>
      <c r="BH1627" s="4">
        <v>0.92013888888888884</v>
      </c>
      <c r="BI1627" s="4">
        <v>0.97222222222222221</v>
      </c>
      <c r="BJ1627" s="2">
        <v>13</v>
      </c>
      <c r="BK1627" s="2" t="s">
        <v>91</v>
      </c>
      <c r="BL1627" s="2" t="s">
        <v>828</v>
      </c>
      <c r="BM1627" s="2">
        <v>241</v>
      </c>
      <c r="BN1627" s="2" t="s">
        <v>82</v>
      </c>
      <c r="BO1627" s="2" t="s">
        <v>82</v>
      </c>
      <c r="BP1627" s="2">
        <v>13</v>
      </c>
      <c r="BQ1627" s="2" t="s">
        <v>91</v>
      </c>
      <c r="BR1627" s="2" t="s">
        <v>185</v>
      </c>
      <c r="BS1627" s="3">
        <v>40289</v>
      </c>
      <c r="BT1627" s="4">
        <v>0.97187499999999993</v>
      </c>
    </row>
    <row r="1628" spans="1:72" x14ac:dyDescent="0.25">
      <c r="A1628" s="2">
        <v>2384</v>
      </c>
      <c r="B1628" s="2">
        <v>2010</v>
      </c>
      <c r="C1628" s="2" t="s">
        <v>171</v>
      </c>
      <c r="D1628" s="2" t="s">
        <v>122</v>
      </c>
      <c r="E1628" s="2" t="s">
        <v>5895</v>
      </c>
      <c r="F1628" s="2">
        <v>226</v>
      </c>
      <c r="G1628" s="2" t="s">
        <v>5788</v>
      </c>
      <c r="H1628" s="2">
        <v>2</v>
      </c>
      <c r="I1628" s="2" t="s">
        <v>267</v>
      </c>
      <c r="J1628" s="2">
        <v>2</v>
      </c>
      <c r="K1628" s="2" t="s">
        <v>3661</v>
      </c>
      <c r="L1628" s="2" t="s">
        <v>3662</v>
      </c>
      <c r="M1628" s="3">
        <v>40290</v>
      </c>
      <c r="N1628" s="2" t="s">
        <v>5789</v>
      </c>
      <c r="O1628" s="2"/>
      <c r="P1628" s="2"/>
      <c r="Q1628" s="2" t="str">
        <f>"212-E/10"</f>
        <v>212-E/10</v>
      </c>
      <c r="R1628" s="2" t="s">
        <v>391</v>
      </c>
      <c r="S1628" s="2" t="s">
        <v>391</v>
      </c>
      <c r="T1628" s="2">
        <v>1</v>
      </c>
      <c r="U1628" s="2" t="s">
        <v>79</v>
      </c>
      <c r="V1628" s="2">
        <v>1</v>
      </c>
      <c r="W1628" s="2" t="s">
        <v>80</v>
      </c>
      <c r="X1628" s="2">
        <v>1</v>
      </c>
      <c r="Y1628" s="2" t="s">
        <v>81</v>
      </c>
      <c r="Z1628" s="2">
        <v>1</v>
      </c>
      <c r="AA1628" s="2" t="s">
        <v>82</v>
      </c>
      <c r="AB1628" s="2">
        <v>1</v>
      </c>
      <c r="AC1628" s="2" t="s">
        <v>178</v>
      </c>
      <c r="AD1628" s="3">
        <v>40287</v>
      </c>
      <c r="AE1628" s="4">
        <v>0.83333333333333337</v>
      </c>
      <c r="AF1628" s="2"/>
      <c r="AG1628" s="2"/>
      <c r="AH1628" s="2">
        <v>2</v>
      </c>
      <c r="AI1628" s="2" t="s">
        <v>84</v>
      </c>
      <c r="AJ1628" s="2">
        <v>9</v>
      </c>
      <c r="AK1628" s="2" t="s">
        <v>103</v>
      </c>
      <c r="AL1628" s="2">
        <v>11</v>
      </c>
      <c r="AM1628" s="2" t="s">
        <v>137</v>
      </c>
      <c r="AN1628" s="2"/>
      <c r="AO1628" s="2" t="s">
        <v>590</v>
      </c>
      <c r="AP1628" s="2">
        <v>11</v>
      </c>
      <c r="AQ1628" s="2" t="s">
        <v>82</v>
      </c>
      <c r="AR1628" s="2"/>
      <c r="AS1628" s="2"/>
      <c r="AT1628" s="2" t="s">
        <v>5896</v>
      </c>
      <c r="AU1628" s="2"/>
      <c r="AV1628" s="2">
        <v>1</v>
      </c>
      <c r="AW1628" s="2"/>
      <c r="AX1628" s="2"/>
      <c r="AY1628" s="2">
        <v>41</v>
      </c>
      <c r="AZ1628" s="2" t="s">
        <v>82</v>
      </c>
      <c r="BA1628" s="2">
        <v>41</v>
      </c>
      <c r="BB1628" s="2" t="s">
        <v>82</v>
      </c>
      <c r="BC1628" s="2">
        <v>41</v>
      </c>
      <c r="BD1628" s="2" t="s">
        <v>82</v>
      </c>
      <c r="BE1628" s="2">
        <v>13</v>
      </c>
      <c r="BF1628" s="2" t="s">
        <v>108</v>
      </c>
      <c r="BG1628" s="2">
        <v>1140</v>
      </c>
      <c r="BH1628" s="2"/>
      <c r="BI1628" s="2"/>
      <c r="BJ1628" s="2">
        <v>13</v>
      </c>
      <c r="BK1628" s="2" t="s">
        <v>91</v>
      </c>
      <c r="BL1628" s="2" t="s">
        <v>185</v>
      </c>
      <c r="BM1628" s="2">
        <v>241</v>
      </c>
      <c r="BN1628" s="2" t="s">
        <v>82</v>
      </c>
      <c r="BO1628" s="2"/>
      <c r="BP1628" s="2">
        <v>112</v>
      </c>
      <c r="BQ1628" s="2" t="s">
        <v>110</v>
      </c>
      <c r="BR1628" s="2" t="s">
        <v>111</v>
      </c>
      <c r="BS1628" s="3">
        <v>40290</v>
      </c>
      <c r="BT1628" s="4">
        <v>0.15265046296296295</v>
      </c>
    </row>
    <row r="1629" spans="1:72" x14ac:dyDescent="0.25">
      <c r="A1629" s="2">
        <v>2385</v>
      </c>
      <c r="B1629" s="2">
        <v>2010</v>
      </c>
      <c r="C1629" s="2" t="s">
        <v>72</v>
      </c>
      <c r="D1629" s="2" t="s">
        <v>73</v>
      </c>
      <c r="E1629" s="2"/>
      <c r="F1629" s="2">
        <v>2</v>
      </c>
      <c r="G1629" s="2" t="s">
        <v>113</v>
      </c>
      <c r="H1629" s="2">
        <v>1</v>
      </c>
      <c r="I1629" s="2" t="s">
        <v>82</v>
      </c>
      <c r="J1629" s="2">
        <v>300</v>
      </c>
      <c r="K1629" s="2" t="s">
        <v>114</v>
      </c>
      <c r="L1629" s="2" t="s">
        <v>115</v>
      </c>
      <c r="M1629" s="3">
        <v>40290</v>
      </c>
      <c r="N1629" s="2"/>
      <c r="O1629" s="2"/>
      <c r="P1629" s="2"/>
      <c r="Q1629" s="2" t="str">
        <f>"220-E/10"</f>
        <v>220-E/10</v>
      </c>
      <c r="R1629" s="2" t="s">
        <v>601</v>
      </c>
      <c r="S1629" s="2" t="s">
        <v>601</v>
      </c>
      <c r="T1629" s="2">
        <v>1</v>
      </c>
      <c r="U1629" s="2" t="s">
        <v>79</v>
      </c>
      <c r="V1629" s="2">
        <v>1</v>
      </c>
      <c r="W1629" s="2" t="s">
        <v>80</v>
      </c>
      <c r="X1629" s="2">
        <v>12</v>
      </c>
      <c r="Y1629" s="2" t="s">
        <v>148</v>
      </c>
      <c r="Z1629" s="2">
        <v>1</v>
      </c>
      <c r="AA1629" s="2" t="s">
        <v>82</v>
      </c>
      <c r="AB1629" s="2">
        <v>6</v>
      </c>
      <c r="AC1629" s="2" t="s">
        <v>83</v>
      </c>
      <c r="AD1629" s="3">
        <v>40289</v>
      </c>
      <c r="AE1629" s="4">
        <v>0.90972222222222221</v>
      </c>
      <c r="AF1629" s="3">
        <v>40290</v>
      </c>
      <c r="AG1629" s="4">
        <v>3.4722222222222224E-2</v>
      </c>
      <c r="AH1629" s="2">
        <v>2</v>
      </c>
      <c r="AI1629" s="2" t="s">
        <v>84</v>
      </c>
      <c r="AJ1629" s="2">
        <v>9</v>
      </c>
      <c r="AK1629" s="2" t="s">
        <v>103</v>
      </c>
      <c r="AL1629" s="2">
        <v>17</v>
      </c>
      <c r="AM1629" s="2" t="s">
        <v>232</v>
      </c>
      <c r="AN1629" s="2" t="s">
        <v>5897</v>
      </c>
      <c r="AO1629" s="2" t="s">
        <v>5898</v>
      </c>
      <c r="AP1629" s="2">
        <v>11</v>
      </c>
      <c r="AQ1629" s="2" t="s">
        <v>82</v>
      </c>
      <c r="AR1629" s="2"/>
      <c r="AS1629" s="2"/>
      <c r="AT1629" s="2" t="s">
        <v>5899</v>
      </c>
      <c r="AU1629" s="2"/>
      <c r="AV1629" s="2"/>
      <c r="AW1629" s="2"/>
      <c r="AX1629" s="2"/>
      <c r="AY1629" s="2">
        <v>41</v>
      </c>
      <c r="AZ1629" s="2" t="s">
        <v>82</v>
      </c>
      <c r="BA1629" s="2">
        <v>41</v>
      </c>
      <c r="BB1629" s="2" t="s">
        <v>82</v>
      </c>
      <c r="BC1629" s="2">
        <v>41</v>
      </c>
      <c r="BD1629" s="2" t="s">
        <v>82</v>
      </c>
      <c r="BE1629" s="2">
        <v>1</v>
      </c>
      <c r="BF1629" s="2" t="s">
        <v>107</v>
      </c>
      <c r="BG1629" s="2"/>
      <c r="BH1629" s="2"/>
      <c r="BI1629" s="2"/>
      <c r="BJ1629" s="2">
        <v>241</v>
      </c>
      <c r="BK1629" s="2" t="s">
        <v>82</v>
      </c>
      <c r="BL1629" s="2"/>
      <c r="BM1629" s="2">
        <v>241</v>
      </c>
      <c r="BN1629" s="2" t="s">
        <v>82</v>
      </c>
      <c r="BO1629" s="2"/>
      <c r="BP1629" s="2">
        <v>241</v>
      </c>
      <c r="BQ1629" s="2" t="s">
        <v>82</v>
      </c>
      <c r="BR1629" s="2"/>
      <c r="BS1629" s="3">
        <v>40290</v>
      </c>
      <c r="BT1629" s="4">
        <v>0.17097222222222222</v>
      </c>
    </row>
    <row r="1630" spans="1:72" x14ac:dyDescent="0.25">
      <c r="A1630" s="2">
        <v>2386</v>
      </c>
      <c r="B1630" s="2">
        <v>2010</v>
      </c>
      <c r="C1630" s="2" t="s">
        <v>171</v>
      </c>
      <c r="D1630" s="2" t="s">
        <v>73</v>
      </c>
      <c r="E1630" s="2"/>
      <c r="F1630" s="2">
        <v>393</v>
      </c>
      <c r="G1630" s="2" t="s">
        <v>3660</v>
      </c>
      <c r="H1630" s="2">
        <v>2</v>
      </c>
      <c r="I1630" s="2" t="s">
        <v>267</v>
      </c>
      <c r="J1630" s="2">
        <v>2</v>
      </c>
      <c r="K1630" s="2" t="s">
        <v>3661</v>
      </c>
      <c r="L1630" s="2" t="s">
        <v>3662</v>
      </c>
      <c r="M1630" s="3">
        <v>40290</v>
      </c>
      <c r="N1630" s="2" t="s">
        <v>5709</v>
      </c>
      <c r="O1630" s="2"/>
      <c r="P1630" s="2"/>
      <c r="Q1630" s="2" t="str">
        <f>"219-E/10"</f>
        <v>219-E/10</v>
      </c>
      <c r="R1630" s="2"/>
      <c r="S1630" s="2" t="s">
        <v>5361</v>
      </c>
      <c r="T1630" s="2">
        <v>1</v>
      </c>
      <c r="U1630" s="2" t="s">
        <v>79</v>
      </c>
      <c r="V1630" s="2">
        <v>1</v>
      </c>
      <c r="W1630" s="2" t="s">
        <v>80</v>
      </c>
      <c r="X1630" s="2">
        <v>1</v>
      </c>
      <c r="Y1630" s="2" t="s">
        <v>81</v>
      </c>
      <c r="Z1630" s="2">
        <v>1</v>
      </c>
      <c r="AA1630" s="2" t="s">
        <v>82</v>
      </c>
      <c r="AB1630" s="2">
        <v>1</v>
      </c>
      <c r="AC1630" s="2" t="s">
        <v>178</v>
      </c>
      <c r="AD1630" s="3">
        <v>40289</v>
      </c>
      <c r="AE1630" s="4">
        <v>0.84375</v>
      </c>
      <c r="AF1630" s="2"/>
      <c r="AG1630" s="2"/>
      <c r="AH1630" s="2">
        <v>2</v>
      </c>
      <c r="AI1630" s="2" t="s">
        <v>84</v>
      </c>
      <c r="AJ1630" s="2">
        <v>9</v>
      </c>
      <c r="AK1630" s="2" t="s">
        <v>103</v>
      </c>
      <c r="AL1630" s="2">
        <v>15</v>
      </c>
      <c r="AM1630" s="2" t="s">
        <v>104</v>
      </c>
      <c r="AN1630" s="2" t="s">
        <v>179</v>
      </c>
      <c r="AO1630" s="2"/>
      <c r="AP1630" s="2">
        <v>11</v>
      </c>
      <c r="AQ1630" s="2" t="s">
        <v>82</v>
      </c>
      <c r="AR1630" s="2"/>
      <c r="AS1630" s="2"/>
      <c r="AT1630" s="2" t="s">
        <v>5900</v>
      </c>
      <c r="AU1630" s="2"/>
      <c r="AV1630" s="2">
        <v>1</v>
      </c>
      <c r="AW1630" s="2"/>
      <c r="AX1630" s="2"/>
      <c r="AY1630" s="2">
        <v>41</v>
      </c>
      <c r="AZ1630" s="2" t="s">
        <v>82</v>
      </c>
      <c r="BA1630" s="2">
        <v>41</v>
      </c>
      <c r="BB1630" s="2" t="s">
        <v>82</v>
      </c>
      <c r="BC1630" s="2">
        <v>41</v>
      </c>
      <c r="BD1630" s="2" t="s">
        <v>82</v>
      </c>
      <c r="BE1630" s="2">
        <v>13</v>
      </c>
      <c r="BF1630" s="2" t="s">
        <v>108</v>
      </c>
      <c r="BG1630" s="2" t="s">
        <v>5713</v>
      </c>
      <c r="BH1630" s="2"/>
      <c r="BI1630" s="4">
        <v>0.90277777777777779</v>
      </c>
      <c r="BJ1630" s="2">
        <v>13</v>
      </c>
      <c r="BK1630" s="2" t="s">
        <v>91</v>
      </c>
      <c r="BL1630" s="2" t="s">
        <v>185</v>
      </c>
      <c r="BM1630" s="2">
        <v>241</v>
      </c>
      <c r="BN1630" s="2" t="s">
        <v>82</v>
      </c>
      <c r="BO1630" s="2"/>
      <c r="BP1630" s="2">
        <v>73</v>
      </c>
      <c r="BQ1630" s="2" t="s">
        <v>186</v>
      </c>
      <c r="BR1630" s="2" t="s">
        <v>187</v>
      </c>
      <c r="BS1630" s="3">
        <v>40290</v>
      </c>
      <c r="BT1630" s="4">
        <v>0.2399537037037037</v>
      </c>
    </row>
    <row r="1631" spans="1:72" x14ac:dyDescent="0.25">
      <c r="A1631" s="2">
        <v>2387</v>
      </c>
      <c r="B1631" s="2">
        <v>2010</v>
      </c>
      <c r="C1631" s="2" t="s">
        <v>171</v>
      </c>
      <c r="D1631" s="2" t="s">
        <v>122</v>
      </c>
      <c r="E1631" s="2" t="s">
        <v>5901</v>
      </c>
      <c r="F1631" s="2">
        <v>393</v>
      </c>
      <c r="G1631" s="2" t="s">
        <v>3660</v>
      </c>
      <c r="H1631" s="2">
        <v>2</v>
      </c>
      <c r="I1631" s="2" t="s">
        <v>267</v>
      </c>
      <c r="J1631" s="2">
        <v>2</v>
      </c>
      <c r="K1631" s="2" t="s">
        <v>3661</v>
      </c>
      <c r="L1631" s="2" t="s">
        <v>3662</v>
      </c>
      <c r="M1631" s="3">
        <v>40290</v>
      </c>
      <c r="N1631" s="2" t="s">
        <v>5709</v>
      </c>
      <c r="O1631" s="2"/>
      <c r="P1631" s="2"/>
      <c r="Q1631" s="2" t="str">
        <f>"219-E/10"</f>
        <v>219-E/10</v>
      </c>
      <c r="R1631" s="2" t="s">
        <v>5361</v>
      </c>
      <c r="S1631" s="2"/>
      <c r="T1631" s="2">
        <v>1</v>
      </c>
      <c r="U1631" s="2" t="s">
        <v>79</v>
      </c>
      <c r="V1631" s="2">
        <v>1</v>
      </c>
      <c r="W1631" s="2" t="s">
        <v>80</v>
      </c>
      <c r="X1631" s="2">
        <v>1</v>
      </c>
      <c r="Y1631" s="2" t="s">
        <v>81</v>
      </c>
      <c r="Z1631" s="2">
        <v>1</v>
      </c>
      <c r="AA1631" s="2" t="s">
        <v>82</v>
      </c>
      <c r="AB1631" s="2">
        <v>1</v>
      </c>
      <c r="AC1631" s="2" t="s">
        <v>178</v>
      </c>
      <c r="AD1631" s="3">
        <v>40289</v>
      </c>
      <c r="AE1631" s="4">
        <v>0.84375</v>
      </c>
      <c r="AF1631" s="2"/>
      <c r="AG1631" s="2"/>
      <c r="AH1631" s="2">
        <v>2</v>
      </c>
      <c r="AI1631" s="2" t="s">
        <v>84</v>
      </c>
      <c r="AJ1631" s="2">
        <v>9</v>
      </c>
      <c r="AK1631" s="2" t="s">
        <v>103</v>
      </c>
      <c r="AL1631" s="2">
        <v>15</v>
      </c>
      <c r="AM1631" s="2" t="s">
        <v>104</v>
      </c>
      <c r="AN1631" s="2" t="s">
        <v>179</v>
      </c>
      <c r="AO1631" s="2"/>
      <c r="AP1631" s="2">
        <v>11</v>
      </c>
      <c r="AQ1631" s="2" t="s">
        <v>82</v>
      </c>
      <c r="AR1631" s="2"/>
      <c r="AS1631" s="2"/>
      <c r="AT1631" s="2" t="s">
        <v>5902</v>
      </c>
      <c r="AU1631" s="2"/>
      <c r="AV1631" s="2">
        <v>1</v>
      </c>
      <c r="AW1631" s="2"/>
      <c r="AX1631" s="2"/>
      <c r="AY1631" s="2">
        <v>41</v>
      </c>
      <c r="AZ1631" s="2" t="s">
        <v>82</v>
      </c>
      <c r="BA1631" s="2">
        <v>41</v>
      </c>
      <c r="BB1631" s="2" t="s">
        <v>82</v>
      </c>
      <c r="BC1631" s="2">
        <v>41</v>
      </c>
      <c r="BD1631" s="2" t="s">
        <v>82</v>
      </c>
      <c r="BE1631" s="2">
        <v>13</v>
      </c>
      <c r="BF1631" s="2" t="s">
        <v>108</v>
      </c>
      <c r="BG1631" s="2" t="s">
        <v>5713</v>
      </c>
      <c r="BH1631" s="2"/>
      <c r="BI1631" s="4">
        <v>0.90277777777777779</v>
      </c>
      <c r="BJ1631" s="2">
        <v>13</v>
      </c>
      <c r="BK1631" s="2" t="s">
        <v>91</v>
      </c>
      <c r="BL1631" s="2" t="s">
        <v>185</v>
      </c>
      <c r="BM1631" s="2">
        <v>241</v>
      </c>
      <c r="BN1631" s="2" t="s">
        <v>82</v>
      </c>
      <c r="BO1631" s="2"/>
      <c r="BP1631" s="2">
        <v>73</v>
      </c>
      <c r="BQ1631" s="2" t="s">
        <v>186</v>
      </c>
      <c r="BR1631" s="2" t="s">
        <v>187</v>
      </c>
      <c r="BS1631" s="3">
        <v>40290</v>
      </c>
      <c r="BT1631" s="4">
        <v>0.34863425925925928</v>
      </c>
    </row>
    <row r="1632" spans="1:72" x14ac:dyDescent="0.25">
      <c r="A1632" s="2">
        <v>2388</v>
      </c>
      <c r="B1632" s="2">
        <v>2010</v>
      </c>
      <c r="C1632" s="2" t="s">
        <v>171</v>
      </c>
      <c r="D1632" s="2" t="s">
        <v>122</v>
      </c>
      <c r="E1632" s="2" t="s">
        <v>5895</v>
      </c>
      <c r="F1632" s="2">
        <v>226</v>
      </c>
      <c r="G1632" s="2" t="s">
        <v>5788</v>
      </c>
      <c r="H1632" s="2">
        <v>2</v>
      </c>
      <c r="I1632" s="2" t="s">
        <v>267</v>
      </c>
      <c r="J1632" s="2">
        <v>2</v>
      </c>
      <c r="K1632" s="2" t="s">
        <v>3661</v>
      </c>
      <c r="L1632" s="2" t="s">
        <v>3662</v>
      </c>
      <c r="M1632" s="3">
        <v>40290</v>
      </c>
      <c r="N1632" s="2" t="s">
        <v>5789</v>
      </c>
      <c r="O1632" s="2"/>
      <c r="P1632" s="2"/>
      <c r="Q1632" s="2" t="str">
        <f>"212-E/10"</f>
        <v>212-E/10</v>
      </c>
      <c r="R1632" s="2" t="s">
        <v>391</v>
      </c>
      <c r="S1632" s="2" t="s">
        <v>391</v>
      </c>
      <c r="T1632" s="2">
        <v>1</v>
      </c>
      <c r="U1632" s="2" t="s">
        <v>79</v>
      </c>
      <c r="V1632" s="2">
        <v>1</v>
      </c>
      <c r="W1632" s="2" t="s">
        <v>80</v>
      </c>
      <c r="X1632" s="2">
        <v>1</v>
      </c>
      <c r="Y1632" s="2" t="s">
        <v>81</v>
      </c>
      <c r="Z1632" s="2">
        <v>1</v>
      </c>
      <c r="AA1632" s="2" t="s">
        <v>82</v>
      </c>
      <c r="AB1632" s="2">
        <v>1</v>
      </c>
      <c r="AC1632" s="2" t="s">
        <v>178</v>
      </c>
      <c r="AD1632" s="3">
        <v>40287</v>
      </c>
      <c r="AE1632" s="4">
        <v>0.83333333333333337</v>
      </c>
      <c r="AF1632" s="2"/>
      <c r="AG1632" s="2"/>
      <c r="AH1632" s="2">
        <v>2</v>
      </c>
      <c r="AI1632" s="2" t="s">
        <v>84</v>
      </c>
      <c r="AJ1632" s="2">
        <v>9</v>
      </c>
      <c r="AK1632" s="2" t="s">
        <v>103</v>
      </c>
      <c r="AL1632" s="2">
        <v>11</v>
      </c>
      <c r="AM1632" s="2" t="s">
        <v>137</v>
      </c>
      <c r="AN1632" s="2"/>
      <c r="AO1632" s="2" t="s">
        <v>590</v>
      </c>
      <c r="AP1632" s="2">
        <v>11</v>
      </c>
      <c r="AQ1632" s="2" t="s">
        <v>82</v>
      </c>
      <c r="AR1632" s="2"/>
      <c r="AS1632" s="2"/>
      <c r="AT1632" s="2" t="s">
        <v>5903</v>
      </c>
      <c r="AU1632" s="2"/>
      <c r="AV1632" s="2">
        <v>1</v>
      </c>
      <c r="AW1632" s="2"/>
      <c r="AX1632" s="2"/>
      <c r="AY1632" s="2">
        <v>41</v>
      </c>
      <c r="AZ1632" s="2" t="s">
        <v>82</v>
      </c>
      <c r="BA1632" s="2">
        <v>41</v>
      </c>
      <c r="BB1632" s="2" t="s">
        <v>82</v>
      </c>
      <c r="BC1632" s="2">
        <v>41</v>
      </c>
      <c r="BD1632" s="2" t="s">
        <v>82</v>
      </c>
      <c r="BE1632" s="2">
        <v>13</v>
      </c>
      <c r="BF1632" s="2" t="s">
        <v>108</v>
      </c>
      <c r="BG1632" s="2">
        <v>1140</v>
      </c>
      <c r="BH1632" s="2"/>
      <c r="BI1632" s="2"/>
      <c r="BJ1632" s="2">
        <v>13</v>
      </c>
      <c r="BK1632" s="2" t="s">
        <v>91</v>
      </c>
      <c r="BL1632" s="2" t="s">
        <v>185</v>
      </c>
      <c r="BM1632" s="2">
        <v>241</v>
      </c>
      <c r="BN1632" s="2" t="s">
        <v>82</v>
      </c>
      <c r="BO1632" s="2"/>
      <c r="BP1632" s="2">
        <v>112</v>
      </c>
      <c r="BQ1632" s="2" t="s">
        <v>110</v>
      </c>
      <c r="BR1632" s="2" t="s">
        <v>111</v>
      </c>
      <c r="BS1632" s="3">
        <v>40290</v>
      </c>
      <c r="BT1632" s="4">
        <v>0.38203703703703701</v>
      </c>
    </row>
    <row r="1633" spans="1:72" x14ac:dyDescent="0.25">
      <c r="A1633" s="2">
        <v>2389</v>
      </c>
      <c r="B1633" s="2">
        <v>2010</v>
      </c>
      <c r="C1633" s="2" t="s">
        <v>642</v>
      </c>
      <c r="D1633" s="2" t="s">
        <v>122</v>
      </c>
      <c r="E1633" s="2" t="s">
        <v>5904</v>
      </c>
      <c r="F1633" s="2">
        <v>425</v>
      </c>
      <c r="G1633" s="2" t="s">
        <v>286</v>
      </c>
      <c r="H1633" s="2">
        <v>30</v>
      </c>
      <c r="I1633" s="2" t="s">
        <v>912</v>
      </c>
      <c r="J1633" s="2">
        <v>326</v>
      </c>
      <c r="K1633" s="2" t="s">
        <v>881</v>
      </c>
      <c r="L1633" s="2" t="s">
        <v>882</v>
      </c>
      <c r="M1633" s="3">
        <v>40290</v>
      </c>
      <c r="N1633" s="2" t="s">
        <v>1203</v>
      </c>
      <c r="O1633" s="2" t="s">
        <v>1204</v>
      </c>
      <c r="P1633" s="2" t="s">
        <v>1205</v>
      </c>
      <c r="Q1633" s="2" t="str">
        <f>"001/09"</f>
        <v>001/09</v>
      </c>
      <c r="R1633" s="2" t="s">
        <v>1206</v>
      </c>
      <c r="S1633" s="2"/>
      <c r="T1633" s="2">
        <v>1</v>
      </c>
      <c r="U1633" s="2" t="s">
        <v>79</v>
      </c>
      <c r="V1633" s="2">
        <v>3</v>
      </c>
      <c r="W1633" s="2" t="s">
        <v>225</v>
      </c>
      <c r="X1633" s="2">
        <v>5</v>
      </c>
      <c r="Y1633" s="2" t="s">
        <v>82</v>
      </c>
      <c r="Z1633" s="2">
        <v>1</v>
      </c>
      <c r="AA1633" s="2" t="s">
        <v>82</v>
      </c>
      <c r="AB1633" s="2">
        <v>9</v>
      </c>
      <c r="AC1633" s="2" t="s">
        <v>124</v>
      </c>
      <c r="AD1633" s="2"/>
      <c r="AE1633" s="2"/>
      <c r="AF1633" s="2"/>
      <c r="AG1633" s="2"/>
      <c r="AH1633" s="2">
        <v>4</v>
      </c>
      <c r="AI1633" s="2" t="s">
        <v>125</v>
      </c>
      <c r="AJ1633" s="2">
        <v>26</v>
      </c>
      <c r="AK1633" s="2" t="s">
        <v>293</v>
      </c>
      <c r="AL1633" s="2">
        <v>18</v>
      </c>
      <c r="AM1633" s="2" t="s">
        <v>82</v>
      </c>
      <c r="AN1633" s="2"/>
      <c r="AO1633" s="2" t="s">
        <v>1207</v>
      </c>
      <c r="AP1633" s="2">
        <v>11</v>
      </c>
      <c r="AQ1633" s="2" t="s">
        <v>82</v>
      </c>
      <c r="AR1633" s="2"/>
      <c r="AS1633" s="2"/>
      <c r="AT1633" s="2" t="s">
        <v>5905</v>
      </c>
      <c r="AU1633" s="2"/>
      <c r="AV1633" s="2"/>
      <c r="AW1633" s="2"/>
      <c r="AX1633" s="2"/>
      <c r="AY1633" s="2">
        <v>1</v>
      </c>
      <c r="AZ1633" s="2" t="s">
        <v>107</v>
      </c>
      <c r="BA1633" s="2">
        <v>1</v>
      </c>
      <c r="BB1633" s="2" t="s">
        <v>107</v>
      </c>
      <c r="BC1633" s="2">
        <v>1</v>
      </c>
      <c r="BD1633" s="2" t="s">
        <v>107</v>
      </c>
      <c r="BE1633" s="2">
        <v>1</v>
      </c>
      <c r="BF1633" s="2" t="s">
        <v>107</v>
      </c>
      <c r="BG1633" s="2"/>
      <c r="BH1633" s="2"/>
      <c r="BI1633" s="2"/>
      <c r="BJ1633" s="2">
        <v>242</v>
      </c>
      <c r="BK1633" s="2" t="s">
        <v>107</v>
      </c>
      <c r="BL1633" s="2"/>
      <c r="BM1633" s="2">
        <v>242</v>
      </c>
      <c r="BN1633" s="2" t="s">
        <v>107</v>
      </c>
      <c r="BO1633" s="2"/>
      <c r="BP1633" s="2">
        <v>242</v>
      </c>
      <c r="BQ1633" s="2" t="s">
        <v>107</v>
      </c>
      <c r="BR1633" s="2"/>
      <c r="BS1633" s="3">
        <v>40290</v>
      </c>
      <c r="BT1633" s="4">
        <v>0.43405092592592592</v>
      </c>
    </row>
    <row r="1634" spans="1:72" x14ac:dyDescent="0.25">
      <c r="A1634" s="2">
        <v>2390</v>
      </c>
      <c r="B1634" s="2">
        <v>2010</v>
      </c>
      <c r="C1634" s="2" t="s">
        <v>642</v>
      </c>
      <c r="D1634" s="2" t="s">
        <v>122</v>
      </c>
      <c r="E1634" s="2" t="s">
        <v>5266</v>
      </c>
      <c r="F1634" s="2">
        <v>425</v>
      </c>
      <c r="G1634" s="2" t="s">
        <v>286</v>
      </c>
      <c r="H1634" s="2">
        <v>30</v>
      </c>
      <c r="I1634" s="2" t="s">
        <v>912</v>
      </c>
      <c r="J1634" s="2">
        <v>310</v>
      </c>
      <c r="K1634" s="2" t="s">
        <v>288</v>
      </c>
      <c r="L1634" s="2" t="s">
        <v>289</v>
      </c>
      <c r="M1634" s="3">
        <v>40290</v>
      </c>
      <c r="N1634" s="2" t="s">
        <v>1917</v>
      </c>
      <c r="O1634" s="2" t="s">
        <v>4718</v>
      </c>
      <c r="P1634" s="2" t="s">
        <v>4719</v>
      </c>
      <c r="Q1634" s="2" t="str">
        <f>"84"</f>
        <v>84</v>
      </c>
      <c r="R1634" s="2"/>
      <c r="S1634" s="2"/>
      <c r="T1634" s="2">
        <v>1</v>
      </c>
      <c r="U1634" s="2" t="s">
        <v>79</v>
      </c>
      <c r="V1634" s="2">
        <v>3</v>
      </c>
      <c r="W1634" s="2" t="s">
        <v>225</v>
      </c>
      <c r="X1634" s="2">
        <v>5</v>
      </c>
      <c r="Y1634" s="2" t="s">
        <v>82</v>
      </c>
      <c r="Z1634" s="2">
        <v>1</v>
      </c>
      <c r="AA1634" s="2" t="s">
        <v>82</v>
      </c>
      <c r="AB1634" s="2">
        <v>9</v>
      </c>
      <c r="AC1634" s="2" t="s">
        <v>124</v>
      </c>
      <c r="AD1634" s="2"/>
      <c r="AE1634" s="2"/>
      <c r="AF1634" s="2"/>
      <c r="AG1634" s="2"/>
      <c r="AH1634" s="2">
        <v>4</v>
      </c>
      <c r="AI1634" s="2" t="s">
        <v>125</v>
      </c>
      <c r="AJ1634" s="2">
        <v>26</v>
      </c>
      <c r="AK1634" s="2" t="s">
        <v>293</v>
      </c>
      <c r="AL1634" s="2">
        <v>18</v>
      </c>
      <c r="AM1634" s="2" t="s">
        <v>82</v>
      </c>
      <c r="AN1634" s="2"/>
      <c r="AO1634" s="2"/>
      <c r="AP1634" s="2">
        <v>11</v>
      </c>
      <c r="AQ1634" s="2" t="s">
        <v>82</v>
      </c>
      <c r="AR1634" s="2"/>
      <c r="AS1634" s="2"/>
      <c r="AT1634" s="2" t="s">
        <v>5906</v>
      </c>
      <c r="AU1634" s="2"/>
      <c r="AV1634" s="2"/>
      <c r="AW1634" s="2"/>
      <c r="AX1634" s="2"/>
      <c r="AY1634" s="2">
        <v>1</v>
      </c>
      <c r="AZ1634" s="2" t="s">
        <v>107</v>
      </c>
      <c r="BA1634" s="2">
        <v>1</v>
      </c>
      <c r="BB1634" s="2" t="s">
        <v>107</v>
      </c>
      <c r="BC1634" s="2">
        <v>1</v>
      </c>
      <c r="BD1634" s="2" t="s">
        <v>107</v>
      </c>
      <c r="BE1634" s="2">
        <v>1</v>
      </c>
      <c r="BF1634" s="2" t="s">
        <v>107</v>
      </c>
      <c r="BG1634" s="2"/>
      <c r="BH1634" s="2"/>
      <c r="BI1634" s="2"/>
      <c r="BJ1634" s="2">
        <v>242</v>
      </c>
      <c r="BK1634" s="2" t="s">
        <v>107</v>
      </c>
      <c r="BL1634" s="2"/>
      <c r="BM1634" s="2">
        <v>242</v>
      </c>
      <c r="BN1634" s="2" t="s">
        <v>107</v>
      </c>
      <c r="BO1634" s="2"/>
      <c r="BP1634" s="2">
        <v>242</v>
      </c>
      <c r="BQ1634" s="2" t="s">
        <v>107</v>
      </c>
      <c r="BR1634" s="2"/>
      <c r="BS1634" s="3">
        <v>40290</v>
      </c>
      <c r="BT1634" s="4">
        <v>0.45192129629629635</v>
      </c>
    </row>
    <row r="1635" spans="1:72" x14ac:dyDescent="0.25">
      <c r="A1635" s="2">
        <v>2393</v>
      </c>
      <c r="B1635" s="2">
        <v>2010</v>
      </c>
      <c r="C1635" s="2" t="s">
        <v>121</v>
      </c>
      <c r="D1635" s="2" t="s">
        <v>122</v>
      </c>
      <c r="E1635" s="2"/>
      <c r="F1635" s="2">
        <v>1</v>
      </c>
      <c r="G1635" s="2" t="s">
        <v>82</v>
      </c>
      <c r="H1635" s="2">
        <v>1</v>
      </c>
      <c r="I1635" s="2" t="s">
        <v>82</v>
      </c>
      <c r="J1635" s="2">
        <v>1</v>
      </c>
      <c r="K1635" s="2" t="s">
        <v>107</v>
      </c>
      <c r="L1635" s="2" t="s">
        <v>107</v>
      </c>
      <c r="M1635" s="3">
        <v>40290</v>
      </c>
      <c r="N1635" s="2"/>
      <c r="O1635" s="2"/>
      <c r="P1635" s="2"/>
      <c r="Q1635" s="2" t="str">
        <f>""</f>
        <v/>
      </c>
      <c r="R1635" s="2"/>
      <c r="S1635" s="2"/>
      <c r="T1635" s="2">
        <v>2</v>
      </c>
      <c r="U1635" s="2" t="s">
        <v>123</v>
      </c>
      <c r="V1635" s="2">
        <v>1</v>
      </c>
      <c r="W1635" s="2" t="s">
        <v>80</v>
      </c>
      <c r="X1635" s="2">
        <v>5</v>
      </c>
      <c r="Y1635" s="2" t="s">
        <v>82</v>
      </c>
      <c r="Z1635" s="2">
        <v>1</v>
      </c>
      <c r="AA1635" s="2" t="s">
        <v>82</v>
      </c>
      <c r="AB1635" s="2">
        <v>9</v>
      </c>
      <c r="AC1635" s="2" t="s">
        <v>124</v>
      </c>
      <c r="AD1635" s="3">
        <v>40290</v>
      </c>
      <c r="AE1635" s="4">
        <v>0.52777777777777779</v>
      </c>
      <c r="AF1635" s="2"/>
      <c r="AG1635" s="2"/>
      <c r="AH1635" s="2">
        <v>4</v>
      </c>
      <c r="AI1635" s="2" t="s">
        <v>125</v>
      </c>
      <c r="AJ1635" s="2">
        <v>31</v>
      </c>
      <c r="AK1635" s="2" t="s">
        <v>1413</v>
      </c>
      <c r="AL1635" s="2">
        <v>18</v>
      </c>
      <c r="AM1635" s="2" t="s">
        <v>82</v>
      </c>
      <c r="AN1635" s="2"/>
      <c r="AO1635" s="2" t="s">
        <v>5907</v>
      </c>
      <c r="AP1635" s="2">
        <v>11</v>
      </c>
      <c r="AQ1635" s="2" t="s">
        <v>82</v>
      </c>
      <c r="AR1635" s="2"/>
      <c r="AS1635" s="2"/>
      <c r="AT1635" s="2" t="s">
        <v>5908</v>
      </c>
      <c r="AU1635" s="2"/>
      <c r="AV1635" s="2"/>
      <c r="AW1635" s="2"/>
      <c r="AX1635" s="2"/>
      <c r="AY1635" s="2">
        <v>1</v>
      </c>
      <c r="AZ1635" s="2" t="s">
        <v>107</v>
      </c>
      <c r="BA1635" s="2">
        <v>1</v>
      </c>
      <c r="BB1635" s="2" t="s">
        <v>107</v>
      </c>
      <c r="BC1635" s="2">
        <v>1</v>
      </c>
      <c r="BD1635" s="2" t="s">
        <v>107</v>
      </c>
      <c r="BE1635" s="2">
        <v>1</v>
      </c>
      <c r="BF1635" s="2" t="s">
        <v>107</v>
      </c>
      <c r="BG1635" s="2"/>
      <c r="BH1635" s="2"/>
      <c r="BI1635" s="4">
        <v>0.52777777777777779</v>
      </c>
      <c r="BJ1635" s="2">
        <v>13</v>
      </c>
      <c r="BK1635" s="2" t="s">
        <v>91</v>
      </c>
      <c r="BL1635" s="2" t="s">
        <v>4725</v>
      </c>
      <c r="BM1635" s="2">
        <v>242</v>
      </c>
      <c r="BN1635" s="2" t="s">
        <v>107</v>
      </c>
      <c r="BO1635" s="2"/>
      <c r="BP1635" s="2">
        <v>13</v>
      </c>
      <c r="BQ1635" s="2" t="s">
        <v>91</v>
      </c>
      <c r="BR1635" s="2" t="s">
        <v>185</v>
      </c>
      <c r="BS1635" s="3">
        <v>40290</v>
      </c>
      <c r="BT1635" s="4">
        <v>0.53019675925925924</v>
      </c>
    </row>
    <row r="1636" spans="1:72" x14ac:dyDescent="0.25">
      <c r="A1636" s="2">
        <v>2394</v>
      </c>
      <c r="B1636" s="2">
        <v>2010</v>
      </c>
      <c r="C1636" s="2" t="s">
        <v>171</v>
      </c>
      <c r="D1636" s="2" t="s">
        <v>73</v>
      </c>
      <c r="E1636" s="2" t="s">
        <v>5909</v>
      </c>
      <c r="F1636" s="2">
        <v>389</v>
      </c>
      <c r="G1636" s="2" t="s">
        <v>1819</v>
      </c>
      <c r="H1636" s="2">
        <v>2</v>
      </c>
      <c r="I1636" s="2" t="s">
        <v>267</v>
      </c>
      <c r="J1636" s="2">
        <v>399</v>
      </c>
      <c r="K1636" s="2" t="s">
        <v>1820</v>
      </c>
      <c r="L1636" s="2" t="s">
        <v>1821</v>
      </c>
      <c r="M1636" s="3">
        <v>40290</v>
      </c>
      <c r="N1636" s="2" t="s">
        <v>5653</v>
      </c>
      <c r="O1636" s="2" t="s">
        <v>107</v>
      </c>
      <c r="P1636" s="2" t="s">
        <v>107</v>
      </c>
      <c r="Q1636" s="2" t="str">
        <f>"214-E/10"</f>
        <v>214-E/10</v>
      </c>
      <c r="R1636" s="2" t="s">
        <v>302</v>
      </c>
      <c r="S1636" s="2" t="s">
        <v>302</v>
      </c>
      <c r="T1636" s="2">
        <v>1</v>
      </c>
      <c r="U1636" s="2" t="s">
        <v>79</v>
      </c>
      <c r="V1636" s="2">
        <v>1</v>
      </c>
      <c r="W1636" s="2" t="s">
        <v>80</v>
      </c>
      <c r="X1636" s="2">
        <v>8</v>
      </c>
      <c r="Y1636" s="2" t="s">
        <v>375</v>
      </c>
      <c r="Z1636" s="2">
        <v>1</v>
      </c>
      <c r="AA1636" s="2" t="s">
        <v>82</v>
      </c>
      <c r="AB1636" s="2">
        <v>1</v>
      </c>
      <c r="AC1636" s="2" t="s">
        <v>178</v>
      </c>
      <c r="AD1636" s="3">
        <v>40288</v>
      </c>
      <c r="AE1636" s="4">
        <v>0.77083333333333337</v>
      </c>
      <c r="AF1636" s="2"/>
      <c r="AG1636" s="2"/>
      <c r="AH1636" s="2">
        <v>2</v>
      </c>
      <c r="AI1636" s="2" t="s">
        <v>84</v>
      </c>
      <c r="AJ1636" s="2">
        <v>9</v>
      </c>
      <c r="AK1636" s="2" t="s">
        <v>103</v>
      </c>
      <c r="AL1636" s="2">
        <v>23</v>
      </c>
      <c r="AM1636" s="2" t="s">
        <v>251</v>
      </c>
      <c r="AN1636" s="2" t="s">
        <v>82</v>
      </c>
      <c r="AO1636" s="2" t="s">
        <v>5910</v>
      </c>
      <c r="AP1636" s="2">
        <v>11</v>
      </c>
      <c r="AQ1636" s="2" t="s">
        <v>82</v>
      </c>
      <c r="AR1636" s="2"/>
      <c r="AS1636" s="2"/>
      <c r="AT1636" s="2" t="s">
        <v>5911</v>
      </c>
      <c r="AU1636" s="2"/>
      <c r="AV1636" s="2"/>
      <c r="AW1636" s="2"/>
      <c r="AX1636" s="2"/>
      <c r="AY1636" s="2">
        <v>41</v>
      </c>
      <c r="AZ1636" s="2" t="s">
        <v>82</v>
      </c>
      <c r="BA1636" s="2">
        <v>41</v>
      </c>
      <c r="BB1636" s="2" t="s">
        <v>82</v>
      </c>
      <c r="BC1636" s="2">
        <v>41</v>
      </c>
      <c r="BD1636" s="2" t="s">
        <v>82</v>
      </c>
      <c r="BE1636" s="2">
        <v>41</v>
      </c>
      <c r="BF1636" s="2" t="s">
        <v>82</v>
      </c>
      <c r="BG1636" s="2"/>
      <c r="BH1636" s="2"/>
      <c r="BI1636" s="2"/>
      <c r="BJ1636" s="2">
        <v>241</v>
      </c>
      <c r="BK1636" s="2" t="s">
        <v>82</v>
      </c>
      <c r="BL1636" s="2"/>
      <c r="BM1636" s="2">
        <v>241</v>
      </c>
      <c r="BN1636" s="2" t="s">
        <v>82</v>
      </c>
      <c r="BO1636" s="2"/>
      <c r="BP1636" s="2">
        <v>241</v>
      </c>
      <c r="BQ1636" s="2" t="s">
        <v>82</v>
      </c>
      <c r="BR1636" s="2"/>
      <c r="BS1636" s="3">
        <v>40290</v>
      </c>
      <c r="BT1636" s="4">
        <v>0.53348379629629628</v>
      </c>
    </row>
    <row r="1637" spans="1:72" x14ac:dyDescent="0.25">
      <c r="A1637" s="2">
        <v>2394</v>
      </c>
      <c r="B1637" s="2">
        <v>2010</v>
      </c>
      <c r="C1637" s="2" t="s">
        <v>72</v>
      </c>
      <c r="D1637" s="2" t="s">
        <v>73</v>
      </c>
      <c r="E1637" s="2" t="s">
        <v>5909</v>
      </c>
      <c r="F1637" s="2">
        <v>389</v>
      </c>
      <c r="G1637" s="2" t="s">
        <v>1819</v>
      </c>
      <c r="H1637" s="2">
        <v>2</v>
      </c>
      <c r="I1637" s="2" t="s">
        <v>267</v>
      </c>
      <c r="J1637" s="2">
        <v>399</v>
      </c>
      <c r="K1637" s="2" t="s">
        <v>1820</v>
      </c>
      <c r="L1637" s="2" t="s">
        <v>1821</v>
      </c>
      <c r="M1637" s="3">
        <v>40290</v>
      </c>
      <c r="N1637" s="2" t="s">
        <v>5653</v>
      </c>
      <c r="O1637" s="2" t="s">
        <v>107</v>
      </c>
      <c r="P1637" s="2" t="s">
        <v>107</v>
      </c>
      <c r="Q1637" s="2" t="str">
        <f>"214-E/10"</f>
        <v>214-E/10</v>
      </c>
      <c r="R1637" s="2" t="s">
        <v>302</v>
      </c>
      <c r="S1637" s="2" t="s">
        <v>302</v>
      </c>
      <c r="T1637" s="2">
        <v>1</v>
      </c>
      <c r="U1637" s="2" t="s">
        <v>79</v>
      </c>
      <c r="V1637" s="2">
        <v>1</v>
      </c>
      <c r="W1637" s="2" t="s">
        <v>80</v>
      </c>
      <c r="X1637" s="2">
        <v>8</v>
      </c>
      <c r="Y1637" s="2" t="s">
        <v>375</v>
      </c>
      <c r="Z1637" s="2">
        <v>1</v>
      </c>
      <c r="AA1637" s="2" t="s">
        <v>82</v>
      </c>
      <c r="AB1637" s="2">
        <v>6</v>
      </c>
      <c r="AC1637" s="2" t="s">
        <v>83</v>
      </c>
      <c r="AD1637" s="3">
        <v>40288</v>
      </c>
      <c r="AE1637" s="4">
        <v>0.77083333333333337</v>
      </c>
      <c r="AF1637" s="2"/>
      <c r="AG1637" s="2"/>
      <c r="AH1637" s="2">
        <v>2</v>
      </c>
      <c r="AI1637" s="2" t="s">
        <v>84</v>
      </c>
      <c r="AJ1637" s="2">
        <v>9</v>
      </c>
      <c r="AK1637" s="2" t="s">
        <v>103</v>
      </c>
      <c r="AL1637" s="2">
        <v>23</v>
      </c>
      <c r="AM1637" s="2" t="s">
        <v>251</v>
      </c>
      <c r="AN1637" s="2" t="s">
        <v>82</v>
      </c>
      <c r="AO1637" s="2" t="s">
        <v>5910</v>
      </c>
      <c r="AP1637" s="2">
        <v>11</v>
      </c>
      <c r="AQ1637" s="2" t="s">
        <v>82</v>
      </c>
      <c r="AR1637" s="2"/>
      <c r="AS1637" s="2"/>
      <c r="AT1637" s="2" t="s">
        <v>5911</v>
      </c>
      <c r="AU1637" s="2"/>
      <c r="AV1637" s="2"/>
      <c r="AW1637" s="2"/>
      <c r="AX1637" s="2"/>
      <c r="AY1637" s="2">
        <v>41</v>
      </c>
      <c r="AZ1637" s="2" t="s">
        <v>82</v>
      </c>
      <c r="BA1637" s="2">
        <v>41</v>
      </c>
      <c r="BB1637" s="2" t="s">
        <v>82</v>
      </c>
      <c r="BC1637" s="2">
        <v>41</v>
      </c>
      <c r="BD1637" s="2" t="s">
        <v>82</v>
      </c>
      <c r="BE1637" s="2">
        <v>41</v>
      </c>
      <c r="BF1637" s="2" t="s">
        <v>82</v>
      </c>
      <c r="BG1637" s="2"/>
      <c r="BH1637" s="2"/>
      <c r="BI1637" s="2"/>
      <c r="BJ1637" s="2">
        <v>241</v>
      </c>
      <c r="BK1637" s="2" t="s">
        <v>82</v>
      </c>
      <c r="BL1637" s="2"/>
      <c r="BM1637" s="2">
        <v>241</v>
      </c>
      <c r="BN1637" s="2" t="s">
        <v>82</v>
      </c>
      <c r="BO1637" s="2"/>
      <c r="BP1637" s="2">
        <v>241</v>
      </c>
      <c r="BQ1637" s="2" t="s">
        <v>82</v>
      </c>
      <c r="BR1637" s="2"/>
      <c r="BS1637" s="3">
        <v>40290</v>
      </c>
      <c r="BT1637" s="4">
        <v>0.53348379629629628</v>
      </c>
    </row>
    <row r="1638" spans="1:72" x14ac:dyDescent="0.25">
      <c r="A1638" s="2">
        <v>2398</v>
      </c>
      <c r="B1638" s="2">
        <v>2010</v>
      </c>
      <c r="C1638" s="2" t="s">
        <v>72</v>
      </c>
      <c r="D1638" s="2" t="s">
        <v>73</v>
      </c>
      <c r="E1638" s="2"/>
      <c r="F1638" s="2">
        <v>45</v>
      </c>
      <c r="G1638" s="2" t="s">
        <v>1408</v>
      </c>
      <c r="H1638" s="2">
        <v>47</v>
      </c>
      <c r="I1638" s="2" t="s">
        <v>1409</v>
      </c>
      <c r="J1638" s="2">
        <v>77</v>
      </c>
      <c r="K1638" s="2" t="s">
        <v>2517</v>
      </c>
      <c r="L1638" s="2" t="s">
        <v>2518</v>
      </c>
      <c r="M1638" s="3">
        <v>40290</v>
      </c>
      <c r="N1638" s="2" t="s">
        <v>5700</v>
      </c>
      <c r="O1638" s="2"/>
      <c r="P1638" s="2"/>
      <c r="Q1638" s="2" t="str">
        <f>"0014/2010"</f>
        <v>0014/2010</v>
      </c>
      <c r="R1638" s="2" t="s">
        <v>5912</v>
      </c>
      <c r="S1638" s="2" t="s">
        <v>5912</v>
      </c>
      <c r="T1638" s="2">
        <v>1</v>
      </c>
      <c r="U1638" s="2" t="s">
        <v>79</v>
      </c>
      <c r="V1638" s="2">
        <v>1</v>
      </c>
      <c r="W1638" s="2" t="s">
        <v>80</v>
      </c>
      <c r="X1638" s="2">
        <v>12</v>
      </c>
      <c r="Y1638" s="2" t="s">
        <v>148</v>
      </c>
      <c r="Z1638" s="2">
        <v>3</v>
      </c>
      <c r="AA1638" s="2" t="s">
        <v>257</v>
      </c>
      <c r="AB1638" s="2">
        <v>6</v>
      </c>
      <c r="AC1638" s="2" t="s">
        <v>83</v>
      </c>
      <c r="AD1638" s="3">
        <v>40290</v>
      </c>
      <c r="AE1638" s="4">
        <v>0.33333333333333331</v>
      </c>
      <c r="AF1638" s="3">
        <v>40290</v>
      </c>
      <c r="AG1638" s="4">
        <v>0.46319444444444446</v>
      </c>
      <c r="AH1638" s="2">
        <v>4</v>
      </c>
      <c r="AI1638" s="2" t="s">
        <v>125</v>
      </c>
      <c r="AJ1638" s="2">
        <v>31</v>
      </c>
      <c r="AK1638" s="2" t="s">
        <v>1413</v>
      </c>
      <c r="AL1638" s="2">
        <v>9</v>
      </c>
      <c r="AM1638" s="2" t="s">
        <v>259</v>
      </c>
      <c r="AN1638" s="2" t="s">
        <v>5913</v>
      </c>
      <c r="AO1638" s="2"/>
      <c r="AP1638" s="2">
        <v>11</v>
      </c>
      <c r="AQ1638" s="2" t="s">
        <v>82</v>
      </c>
      <c r="AR1638" s="2"/>
      <c r="AS1638" s="2"/>
      <c r="AT1638" s="2" t="s">
        <v>5914</v>
      </c>
      <c r="AU1638" s="2"/>
      <c r="AV1638" s="2"/>
      <c r="AW1638" s="2"/>
      <c r="AX1638" s="2"/>
      <c r="AY1638" s="2">
        <v>44</v>
      </c>
      <c r="AZ1638" s="2" t="s">
        <v>262</v>
      </c>
      <c r="BA1638" s="2">
        <v>44</v>
      </c>
      <c r="BB1638" s="2" t="s">
        <v>262</v>
      </c>
      <c r="BC1638" s="2">
        <v>44</v>
      </c>
      <c r="BD1638" s="2" t="s">
        <v>262</v>
      </c>
      <c r="BE1638" s="2">
        <v>41</v>
      </c>
      <c r="BF1638" s="2" t="s">
        <v>82</v>
      </c>
      <c r="BG1638" s="2"/>
      <c r="BH1638" s="2"/>
      <c r="BI1638" s="2"/>
      <c r="BJ1638" s="2">
        <v>241</v>
      </c>
      <c r="BK1638" s="2" t="s">
        <v>82</v>
      </c>
      <c r="BL1638" s="2"/>
      <c r="BM1638" s="2">
        <v>241</v>
      </c>
      <c r="BN1638" s="2" t="s">
        <v>82</v>
      </c>
      <c r="BO1638" s="2"/>
      <c r="BP1638" s="2">
        <v>241</v>
      </c>
      <c r="BQ1638" s="2" t="s">
        <v>82</v>
      </c>
      <c r="BR1638" s="2"/>
      <c r="BS1638" s="3">
        <v>40290</v>
      </c>
      <c r="BT1638" s="4">
        <v>0.59258101851851852</v>
      </c>
    </row>
    <row r="1639" spans="1:72" x14ac:dyDescent="0.25">
      <c r="A1639" s="2">
        <v>2399</v>
      </c>
      <c r="B1639" s="2">
        <v>2010</v>
      </c>
      <c r="C1639" s="2" t="s">
        <v>819</v>
      </c>
      <c r="D1639" s="2" t="s">
        <v>122</v>
      </c>
      <c r="E1639" s="2" t="s">
        <v>5915</v>
      </c>
      <c r="F1639" s="2">
        <v>320</v>
      </c>
      <c r="G1639" s="2" t="s">
        <v>5884</v>
      </c>
      <c r="H1639" s="2">
        <v>22</v>
      </c>
      <c r="I1639" s="2" t="s">
        <v>75</v>
      </c>
      <c r="J1639" s="2">
        <v>367</v>
      </c>
      <c r="K1639" s="2" t="s">
        <v>1019</v>
      </c>
      <c r="L1639" s="2" t="s">
        <v>1020</v>
      </c>
      <c r="M1639" s="3">
        <v>40290</v>
      </c>
      <c r="N1639" s="2" t="s">
        <v>5885</v>
      </c>
      <c r="O1639" s="2" t="s">
        <v>82</v>
      </c>
      <c r="P1639" s="2" t="s">
        <v>82</v>
      </c>
      <c r="Q1639" s="2" t="str">
        <f>"0013"</f>
        <v>0013</v>
      </c>
      <c r="R1639" s="2" t="s">
        <v>2003</v>
      </c>
      <c r="S1639" s="2" t="s">
        <v>82</v>
      </c>
      <c r="T1639" s="2">
        <v>1</v>
      </c>
      <c r="U1639" s="2" t="s">
        <v>79</v>
      </c>
      <c r="V1639" s="2">
        <v>1</v>
      </c>
      <c r="W1639" s="2" t="s">
        <v>80</v>
      </c>
      <c r="X1639" s="2">
        <v>1</v>
      </c>
      <c r="Y1639" s="2" t="s">
        <v>81</v>
      </c>
      <c r="Z1639" s="2">
        <v>10</v>
      </c>
      <c r="AA1639" s="2" t="s">
        <v>236</v>
      </c>
      <c r="AB1639" s="2">
        <v>9</v>
      </c>
      <c r="AC1639" s="2" t="s">
        <v>124</v>
      </c>
      <c r="AD1639" s="3">
        <v>40289</v>
      </c>
      <c r="AE1639" s="4">
        <v>0.59027777777777779</v>
      </c>
      <c r="AF1639" s="2"/>
      <c r="AG1639" s="2"/>
      <c r="AH1639" s="2">
        <v>5</v>
      </c>
      <c r="AI1639" s="2" t="s">
        <v>274</v>
      </c>
      <c r="AJ1639" s="2">
        <v>44</v>
      </c>
      <c r="AK1639" s="2" t="s">
        <v>667</v>
      </c>
      <c r="AL1639" s="2">
        <v>11</v>
      </c>
      <c r="AM1639" s="2" t="s">
        <v>137</v>
      </c>
      <c r="AN1639" s="2" t="s">
        <v>5310</v>
      </c>
      <c r="AO1639" s="2" t="s">
        <v>5886</v>
      </c>
      <c r="AP1639" s="2">
        <v>11</v>
      </c>
      <c r="AQ1639" s="2" t="s">
        <v>82</v>
      </c>
      <c r="AR1639" s="2"/>
      <c r="AS1639" s="2"/>
      <c r="AT1639" s="2" t="s">
        <v>5916</v>
      </c>
      <c r="AU1639" s="2"/>
      <c r="AV1639" s="2"/>
      <c r="AW1639" s="2"/>
      <c r="AX1639" s="2"/>
      <c r="AY1639" s="2">
        <v>41</v>
      </c>
      <c r="AZ1639" s="2" t="s">
        <v>82</v>
      </c>
      <c r="BA1639" s="2">
        <v>41</v>
      </c>
      <c r="BB1639" s="2" t="s">
        <v>82</v>
      </c>
      <c r="BC1639" s="2">
        <v>41</v>
      </c>
      <c r="BD1639" s="2" t="s">
        <v>82</v>
      </c>
      <c r="BE1639" s="2">
        <v>13</v>
      </c>
      <c r="BF1639" s="2" t="s">
        <v>108</v>
      </c>
      <c r="BG1639" s="2">
        <v>1779</v>
      </c>
      <c r="BH1639" s="4">
        <v>0.59444444444444444</v>
      </c>
      <c r="BI1639" s="4">
        <v>0.625</v>
      </c>
      <c r="BJ1639" s="2">
        <v>13</v>
      </c>
      <c r="BK1639" s="2" t="s">
        <v>91</v>
      </c>
      <c r="BL1639" s="2" t="s">
        <v>1026</v>
      </c>
      <c r="BM1639" s="2">
        <v>241</v>
      </c>
      <c r="BN1639" s="2" t="s">
        <v>82</v>
      </c>
      <c r="BO1639" s="2" t="s">
        <v>82</v>
      </c>
      <c r="BP1639" s="2">
        <v>13</v>
      </c>
      <c r="BQ1639" s="2" t="s">
        <v>91</v>
      </c>
      <c r="BR1639" s="2" t="s">
        <v>170</v>
      </c>
      <c r="BS1639" s="3">
        <v>40290</v>
      </c>
      <c r="BT1639" s="4">
        <v>0.59790509259259261</v>
      </c>
    </row>
    <row r="1640" spans="1:72" x14ac:dyDescent="0.25">
      <c r="A1640" s="2">
        <v>2400</v>
      </c>
      <c r="B1640" s="2">
        <v>2010</v>
      </c>
      <c r="C1640" s="2" t="s">
        <v>72</v>
      </c>
      <c r="D1640" s="2" t="s">
        <v>73</v>
      </c>
      <c r="E1640" s="2"/>
      <c r="F1640" s="2">
        <v>24</v>
      </c>
      <c r="G1640" s="2" t="s">
        <v>532</v>
      </c>
      <c r="H1640" s="2">
        <v>1</v>
      </c>
      <c r="I1640" s="2" t="s">
        <v>82</v>
      </c>
      <c r="J1640" s="2">
        <v>300</v>
      </c>
      <c r="K1640" s="2" t="s">
        <v>114</v>
      </c>
      <c r="L1640" s="2" t="s">
        <v>115</v>
      </c>
      <c r="M1640" s="3">
        <v>40290</v>
      </c>
      <c r="N1640" s="2"/>
      <c r="O1640" s="2"/>
      <c r="P1640" s="2"/>
      <c r="Q1640" s="2" t="str">
        <f>"221-E/10"</f>
        <v>221-E/10</v>
      </c>
      <c r="R1640" s="2" t="s">
        <v>116</v>
      </c>
      <c r="S1640" s="2" t="s">
        <v>116</v>
      </c>
      <c r="T1640" s="2">
        <v>1</v>
      </c>
      <c r="U1640" s="2" t="s">
        <v>79</v>
      </c>
      <c r="V1640" s="2">
        <v>1</v>
      </c>
      <c r="W1640" s="2" t="s">
        <v>80</v>
      </c>
      <c r="X1640" s="2">
        <v>12</v>
      </c>
      <c r="Y1640" s="2" t="s">
        <v>148</v>
      </c>
      <c r="Z1640" s="2">
        <v>1</v>
      </c>
      <c r="AA1640" s="2" t="s">
        <v>82</v>
      </c>
      <c r="AB1640" s="2">
        <v>6</v>
      </c>
      <c r="AC1640" s="2" t="s">
        <v>83</v>
      </c>
      <c r="AD1640" s="3">
        <v>40290</v>
      </c>
      <c r="AE1640" s="4">
        <v>0.33333333333333331</v>
      </c>
      <c r="AF1640" s="3">
        <v>40290</v>
      </c>
      <c r="AG1640" s="4">
        <v>0.4861111111111111</v>
      </c>
      <c r="AH1640" s="2">
        <v>2</v>
      </c>
      <c r="AI1640" s="2" t="s">
        <v>84</v>
      </c>
      <c r="AJ1640" s="2">
        <v>9</v>
      </c>
      <c r="AK1640" s="2" t="s">
        <v>103</v>
      </c>
      <c r="AL1640" s="2">
        <v>29</v>
      </c>
      <c r="AM1640" s="2" t="s">
        <v>5416</v>
      </c>
      <c r="AN1640" s="2"/>
      <c r="AO1640" s="2" t="s">
        <v>2874</v>
      </c>
      <c r="AP1640" s="2">
        <v>11</v>
      </c>
      <c r="AQ1640" s="2" t="s">
        <v>82</v>
      </c>
      <c r="AR1640" s="2"/>
      <c r="AS1640" s="2"/>
      <c r="AT1640" s="2" t="s">
        <v>5917</v>
      </c>
      <c r="AU1640" s="2"/>
      <c r="AV1640" s="2"/>
      <c r="AW1640" s="2"/>
      <c r="AX1640" s="2"/>
      <c r="AY1640" s="2">
        <v>41</v>
      </c>
      <c r="AZ1640" s="2" t="s">
        <v>82</v>
      </c>
      <c r="BA1640" s="2">
        <v>41</v>
      </c>
      <c r="BB1640" s="2" t="s">
        <v>82</v>
      </c>
      <c r="BC1640" s="2">
        <v>41</v>
      </c>
      <c r="BD1640" s="2" t="s">
        <v>82</v>
      </c>
      <c r="BE1640" s="2">
        <v>31</v>
      </c>
      <c r="BF1640" s="2" t="s">
        <v>398</v>
      </c>
      <c r="BG1640" s="2" t="s">
        <v>1430</v>
      </c>
      <c r="BH1640" s="4">
        <v>0.33333333333333331</v>
      </c>
      <c r="BI1640" s="2"/>
      <c r="BJ1640" s="2">
        <v>73</v>
      </c>
      <c r="BK1640" s="2" t="s">
        <v>186</v>
      </c>
      <c r="BL1640" s="2" t="s">
        <v>187</v>
      </c>
      <c r="BM1640" s="2">
        <v>241</v>
      </c>
      <c r="BN1640" s="2" t="s">
        <v>82</v>
      </c>
      <c r="BO1640" s="2"/>
      <c r="BP1640" s="2">
        <v>13</v>
      </c>
      <c r="BQ1640" s="2" t="s">
        <v>91</v>
      </c>
      <c r="BR1640" s="2" t="s">
        <v>185</v>
      </c>
      <c r="BS1640" s="3">
        <v>40290</v>
      </c>
      <c r="BT1640" s="4">
        <v>0.6004976851851852</v>
      </c>
    </row>
    <row r="1641" spans="1:72" x14ac:dyDescent="0.25">
      <c r="A1641" s="2">
        <v>2402</v>
      </c>
      <c r="B1641" s="2">
        <v>2010</v>
      </c>
      <c r="C1641" s="2" t="s">
        <v>171</v>
      </c>
      <c r="D1641" s="2" t="s">
        <v>73</v>
      </c>
      <c r="E1641" s="2"/>
      <c r="F1641" s="2">
        <v>401</v>
      </c>
      <c r="G1641" s="2" t="s">
        <v>5918</v>
      </c>
      <c r="H1641" s="2">
        <v>40</v>
      </c>
      <c r="I1641" s="2" t="s">
        <v>2101</v>
      </c>
      <c r="J1641" s="2">
        <v>2</v>
      </c>
      <c r="K1641" s="2" t="s">
        <v>3661</v>
      </c>
      <c r="L1641" s="2" t="s">
        <v>3662</v>
      </c>
      <c r="M1641" s="3">
        <v>40290</v>
      </c>
      <c r="N1641" s="2" t="s">
        <v>5919</v>
      </c>
      <c r="O1641" s="2" t="s">
        <v>5920</v>
      </c>
      <c r="P1641" s="2">
        <v>5787</v>
      </c>
      <c r="Q1641" s="2" t="str">
        <f>""</f>
        <v/>
      </c>
      <c r="R1641" s="2"/>
      <c r="S1641" s="2"/>
      <c r="T1641" s="2">
        <v>1</v>
      </c>
      <c r="U1641" s="2" t="s">
        <v>79</v>
      </c>
      <c r="V1641" s="2">
        <v>3</v>
      </c>
      <c r="W1641" s="2" t="s">
        <v>225</v>
      </c>
      <c r="X1641" s="2">
        <v>6</v>
      </c>
      <c r="Y1641" s="2" t="s">
        <v>249</v>
      </c>
      <c r="Z1641" s="2">
        <v>1</v>
      </c>
      <c r="AA1641" s="2" t="s">
        <v>82</v>
      </c>
      <c r="AB1641" s="2">
        <v>9</v>
      </c>
      <c r="AC1641" s="2" t="s">
        <v>124</v>
      </c>
      <c r="AD1641" s="3">
        <v>40290</v>
      </c>
      <c r="AE1641" s="4">
        <v>0.625</v>
      </c>
      <c r="AF1641" s="2"/>
      <c r="AG1641" s="2"/>
      <c r="AH1641" s="2">
        <v>2</v>
      </c>
      <c r="AI1641" s="2" t="s">
        <v>84</v>
      </c>
      <c r="AJ1641" s="2">
        <v>6</v>
      </c>
      <c r="AK1641" s="2" t="s">
        <v>453</v>
      </c>
      <c r="AL1641" s="2">
        <v>23</v>
      </c>
      <c r="AM1641" s="2" t="s">
        <v>251</v>
      </c>
      <c r="AN1641" s="2"/>
      <c r="AO1641" s="2"/>
      <c r="AP1641" s="2">
        <v>11</v>
      </c>
      <c r="AQ1641" s="2" t="s">
        <v>82</v>
      </c>
      <c r="AR1641" s="2"/>
      <c r="AS1641" s="2"/>
      <c r="AT1641" s="2" t="s">
        <v>5921</v>
      </c>
      <c r="AU1641" s="2"/>
      <c r="AV1641" s="2"/>
      <c r="AW1641" s="2"/>
      <c r="AX1641" s="2"/>
      <c r="AY1641" s="2">
        <v>41</v>
      </c>
      <c r="AZ1641" s="2" t="s">
        <v>82</v>
      </c>
      <c r="BA1641" s="2">
        <v>41</v>
      </c>
      <c r="BB1641" s="2" t="s">
        <v>82</v>
      </c>
      <c r="BC1641" s="2">
        <v>41</v>
      </c>
      <c r="BD1641" s="2" t="s">
        <v>82</v>
      </c>
      <c r="BE1641" s="2">
        <v>41</v>
      </c>
      <c r="BF1641" s="2" t="s">
        <v>82</v>
      </c>
      <c r="BG1641" s="2"/>
      <c r="BH1641" s="2"/>
      <c r="BI1641" s="2"/>
      <c r="BJ1641" s="2">
        <v>242</v>
      </c>
      <c r="BK1641" s="2" t="s">
        <v>107</v>
      </c>
      <c r="BL1641" s="2"/>
      <c r="BM1641" s="2">
        <v>242</v>
      </c>
      <c r="BN1641" s="2" t="s">
        <v>107</v>
      </c>
      <c r="BO1641" s="2"/>
      <c r="BP1641" s="2">
        <v>242</v>
      </c>
      <c r="BQ1641" s="2" t="s">
        <v>107</v>
      </c>
      <c r="BR1641" s="2"/>
      <c r="BS1641" s="3">
        <v>40290</v>
      </c>
      <c r="BT1641" s="4">
        <v>0.63752314814814814</v>
      </c>
    </row>
    <row r="1642" spans="1:72" x14ac:dyDescent="0.25">
      <c r="A1642" s="2">
        <v>2403</v>
      </c>
      <c r="B1642" s="2">
        <v>2010</v>
      </c>
      <c r="C1642" s="2" t="s">
        <v>171</v>
      </c>
      <c r="D1642" s="2" t="s">
        <v>122</v>
      </c>
      <c r="E1642" s="2"/>
      <c r="F1642" s="2">
        <v>425</v>
      </c>
      <c r="G1642" s="2" t="s">
        <v>286</v>
      </c>
      <c r="H1642" s="2">
        <v>30</v>
      </c>
      <c r="I1642" s="2" t="s">
        <v>912</v>
      </c>
      <c r="J1642" s="2">
        <v>310</v>
      </c>
      <c r="K1642" s="2" t="s">
        <v>288</v>
      </c>
      <c r="L1642" s="2" t="s">
        <v>289</v>
      </c>
      <c r="M1642" s="3">
        <v>40290</v>
      </c>
      <c r="N1642" s="2" t="s">
        <v>2049</v>
      </c>
      <c r="O1642" s="2" t="s">
        <v>5922</v>
      </c>
      <c r="P1642" s="2" t="s">
        <v>5923</v>
      </c>
      <c r="Q1642" s="2" t="str">
        <f>"044/10"</f>
        <v>044/10</v>
      </c>
      <c r="R1642" s="2" t="s">
        <v>822</v>
      </c>
      <c r="S1642" s="2" t="s">
        <v>5454</v>
      </c>
      <c r="T1642" s="2">
        <v>1</v>
      </c>
      <c r="U1642" s="2" t="s">
        <v>79</v>
      </c>
      <c r="V1642" s="2">
        <v>1</v>
      </c>
      <c r="W1642" s="2" t="s">
        <v>80</v>
      </c>
      <c r="X1642" s="2">
        <v>1</v>
      </c>
      <c r="Y1642" s="2" t="s">
        <v>81</v>
      </c>
      <c r="Z1642" s="2">
        <v>1</v>
      </c>
      <c r="AA1642" s="2" t="s">
        <v>82</v>
      </c>
      <c r="AB1642" s="2">
        <v>1</v>
      </c>
      <c r="AC1642" s="2" t="s">
        <v>178</v>
      </c>
      <c r="AD1642" s="3">
        <v>40290</v>
      </c>
      <c r="AE1642" s="4">
        <v>0.55208333333333337</v>
      </c>
      <c r="AF1642" s="2"/>
      <c r="AG1642" s="2"/>
      <c r="AH1642" s="2">
        <v>4</v>
      </c>
      <c r="AI1642" s="2" t="s">
        <v>125</v>
      </c>
      <c r="AJ1642" s="2">
        <v>29</v>
      </c>
      <c r="AK1642" s="2" t="s">
        <v>227</v>
      </c>
      <c r="AL1642" s="2">
        <v>16</v>
      </c>
      <c r="AM1642" s="2" t="s">
        <v>392</v>
      </c>
      <c r="AN1642" s="2" t="s">
        <v>1073</v>
      </c>
      <c r="AO1642" s="2"/>
      <c r="AP1642" s="2">
        <v>12</v>
      </c>
      <c r="AQ1642" s="2" t="s">
        <v>322</v>
      </c>
      <c r="AR1642" s="2"/>
      <c r="AS1642" s="2"/>
      <c r="AT1642" s="2" t="s">
        <v>5924</v>
      </c>
      <c r="AU1642" s="2"/>
      <c r="AV1642" s="2"/>
      <c r="AW1642" s="2"/>
      <c r="AX1642" s="2"/>
      <c r="AY1642" s="2">
        <v>41</v>
      </c>
      <c r="AZ1642" s="2" t="s">
        <v>82</v>
      </c>
      <c r="BA1642" s="2">
        <v>41</v>
      </c>
      <c r="BB1642" s="2" t="s">
        <v>82</v>
      </c>
      <c r="BC1642" s="2">
        <v>41</v>
      </c>
      <c r="BD1642" s="2" t="s">
        <v>82</v>
      </c>
      <c r="BE1642" s="2">
        <v>13</v>
      </c>
      <c r="BF1642" s="2" t="s">
        <v>108</v>
      </c>
      <c r="BG1642" s="2">
        <v>1455</v>
      </c>
      <c r="BH1642" s="4">
        <v>0.57291666666666663</v>
      </c>
      <c r="BI1642" s="4">
        <v>0.60416666666666663</v>
      </c>
      <c r="BJ1642" s="2">
        <v>13</v>
      </c>
      <c r="BK1642" s="2" t="s">
        <v>91</v>
      </c>
      <c r="BL1642" s="2" t="s">
        <v>828</v>
      </c>
      <c r="BM1642" s="2">
        <v>241</v>
      </c>
      <c r="BN1642" s="2" t="s">
        <v>82</v>
      </c>
      <c r="BO1642" s="2" t="s">
        <v>82</v>
      </c>
      <c r="BP1642" s="2">
        <v>13</v>
      </c>
      <c r="BQ1642" s="2" t="s">
        <v>91</v>
      </c>
      <c r="BR1642" s="2" t="s">
        <v>185</v>
      </c>
      <c r="BS1642" s="3">
        <v>40290</v>
      </c>
      <c r="BT1642" s="4">
        <v>0.64328703703703705</v>
      </c>
    </row>
    <row r="1643" spans="1:72" x14ac:dyDescent="0.25">
      <c r="A1643" s="2">
        <v>2404</v>
      </c>
      <c r="B1643" s="2">
        <v>2010</v>
      </c>
      <c r="C1643" s="2" t="s">
        <v>2650</v>
      </c>
      <c r="D1643" s="2" t="s">
        <v>122</v>
      </c>
      <c r="E1643" s="2" t="s">
        <v>5925</v>
      </c>
      <c r="F1643" s="2">
        <v>226</v>
      </c>
      <c r="G1643" s="2" t="s">
        <v>5788</v>
      </c>
      <c r="H1643" s="2">
        <v>2</v>
      </c>
      <c r="I1643" s="2" t="s">
        <v>267</v>
      </c>
      <c r="J1643" s="2">
        <v>2</v>
      </c>
      <c r="K1643" s="2" t="s">
        <v>3661</v>
      </c>
      <c r="L1643" s="2" t="s">
        <v>3662</v>
      </c>
      <c r="M1643" s="3">
        <v>40290</v>
      </c>
      <c r="N1643" s="2" t="s">
        <v>5789</v>
      </c>
      <c r="O1643" s="2"/>
      <c r="P1643" s="2"/>
      <c r="Q1643" s="2" t="str">
        <f>"212-E/10"</f>
        <v>212-E/10</v>
      </c>
      <c r="R1643" s="2" t="s">
        <v>391</v>
      </c>
      <c r="S1643" s="2" t="s">
        <v>391</v>
      </c>
      <c r="T1643" s="2">
        <v>1</v>
      </c>
      <c r="U1643" s="2" t="s">
        <v>79</v>
      </c>
      <c r="V1643" s="2">
        <v>1</v>
      </c>
      <c r="W1643" s="2" t="s">
        <v>80</v>
      </c>
      <c r="X1643" s="2">
        <v>1</v>
      </c>
      <c r="Y1643" s="2" t="s">
        <v>81</v>
      </c>
      <c r="Z1643" s="2">
        <v>1</v>
      </c>
      <c r="AA1643" s="2" t="s">
        <v>82</v>
      </c>
      <c r="AB1643" s="2">
        <v>9</v>
      </c>
      <c r="AC1643" s="2" t="s">
        <v>124</v>
      </c>
      <c r="AD1643" s="3">
        <v>40287</v>
      </c>
      <c r="AE1643" s="4">
        <v>0.83333333333333337</v>
      </c>
      <c r="AF1643" s="2"/>
      <c r="AG1643" s="2"/>
      <c r="AH1643" s="2">
        <v>2</v>
      </c>
      <c r="AI1643" s="2" t="s">
        <v>84</v>
      </c>
      <c r="AJ1643" s="2">
        <v>9</v>
      </c>
      <c r="AK1643" s="2" t="s">
        <v>103</v>
      </c>
      <c r="AL1643" s="2">
        <v>11</v>
      </c>
      <c r="AM1643" s="2" t="s">
        <v>137</v>
      </c>
      <c r="AN1643" s="2"/>
      <c r="AO1643" s="2" t="s">
        <v>590</v>
      </c>
      <c r="AP1643" s="2">
        <v>11</v>
      </c>
      <c r="AQ1643" s="2" t="s">
        <v>82</v>
      </c>
      <c r="AR1643" s="2"/>
      <c r="AS1643" s="2"/>
      <c r="AT1643" s="2" t="s">
        <v>5926</v>
      </c>
      <c r="AU1643" s="2"/>
      <c r="AV1643" s="2">
        <v>1</v>
      </c>
      <c r="AW1643" s="2"/>
      <c r="AX1643" s="2"/>
      <c r="AY1643" s="2">
        <v>41</v>
      </c>
      <c r="AZ1643" s="2" t="s">
        <v>82</v>
      </c>
      <c r="BA1643" s="2">
        <v>41</v>
      </c>
      <c r="BB1643" s="2" t="s">
        <v>82</v>
      </c>
      <c r="BC1643" s="2">
        <v>41</v>
      </c>
      <c r="BD1643" s="2" t="s">
        <v>82</v>
      </c>
      <c r="BE1643" s="2">
        <v>13</v>
      </c>
      <c r="BF1643" s="2" t="s">
        <v>108</v>
      </c>
      <c r="BG1643" s="2">
        <v>1140</v>
      </c>
      <c r="BH1643" s="2"/>
      <c r="BI1643" s="2"/>
      <c r="BJ1643" s="2">
        <v>13</v>
      </c>
      <c r="BK1643" s="2" t="s">
        <v>91</v>
      </c>
      <c r="BL1643" s="2" t="s">
        <v>185</v>
      </c>
      <c r="BM1643" s="2">
        <v>241</v>
      </c>
      <c r="BN1643" s="2" t="s">
        <v>82</v>
      </c>
      <c r="BO1643" s="2"/>
      <c r="BP1643" s="2">
        <v>112</v>
      </c>
      <c r="BQ1643" s="2" t="s">
        <v>110</v>
      </c>
      <c r="BR1643" s="2" t="s">
        <v>111</v>
      </c>
      <c r="BS1643" s="3">
        <v>40290</v>
      </c>
      <c r="BT1643" s="4">
        <v>0.65843750000000001</v>
      </c>
    </row>
    <row r="1644" spans="1:72" x14ac:dyDescent="0.25">
      <c r="A1644" s="2">
        <v>2406</v>
      </c>
      <c r="B1644" s="2">
        <v>2010</v>
      </c>
      <c r="C1644" s="2" t="s">
        <v>171</v>
      </c>
      <c r="D1644" s="2" t="s">
        <v>73</v>
      </c>
      <c r="E1644" s="2" t="s">
        <v>5927</v>
      </c>
      <c r="F1644" s="2">
        <v>451</v>
      </c>
      <c r="G1644" s="2" t="s">
        <v>879</v>
      </c>
      <c r="H1644" s="2">
        <v>31</v>
      </c>
      <c r="I1644" s="2" t="s">
        <v>880</v>
      </c>
      <c r="J1644" s="2">
        <v>326</v>
      </c>
      <c r="K1644" s="2" t="s">
        <v>881</v>
      </c>
      <c r="L1644" s="2" t="s">
        <v>882</v>
      </c>
      <c r="M1644" s="3">
        <v>40290</v>
      </c>
      <c r="N1644" s="2" t="s">
        <v>1072</v>
      </c>
      <c r="O1644" s="2" t="s">
        <v>5928</v>
      </c>
      <c r="P1644" s="2" t="s">
        <v>5929</v>
      </c>
      <c r="Q1644" s="2" t="str">
        <f>"027/10"</f>
        <v>027/10</v>
      </c>
      <c r="R1644" s="2"/>
      <c r="S1644" s="2" t="s">
        <v>822</v>
      </c>
      <c r="T1644" s="2">
        <v>1</v>
      </c>
      <c r="U1644" s="2" t="s">
        <v>79</v>
      </c>
      <c r="V1644" s="2">
        <v>1</v>
      </c>
      <c r="W1644" s="2" t="s">
        <v>80</v>
      </c>
      <c r="X1644" s="2">
        <v>1</v>
      </c>
      <c r="Y1644" s="2" t="s">
        <v>81</v>
      </c>
      <c r="Z1644" s="2">
        <v>10</v>
      </c>
      <c r="AA1644" s="2" t="s">
        <v>236</v>
      </c>
      <c r="AB1644" s="2">
        <v>1</v>
      </c>
      <c r="AC1644" s="2" t="s">
        <v>178</v>
      </c>
      <c r="AD1644" s="3">
        <v>40290</v>
      </c>
      <c r="AE1644" s="4">
        <v>0.56597222222222221</v>
      </c>
      <c r="AF1644" s="2"/>
      <c r="AG1644" s="2"/>
      <c r="AH1644" s="2">
        <v>4</v>
      </c>
      <c r="AI1644" s="2" t="s">
        <v>125</v>
      </c>
      <c r="AJ1644" s="2">
        <v>29</v>
      </c>
      <c r="AK1644" s="2" t="s">
        <v>227</v>
      </c>
      <c r="AL1644" s="2">
        <v>10</v>
      </c>
      <c r="AM1644" s="2" t="s">
        <v>200</v>
      </c>
      <c r="AN1644" s="2" t="s">
        <v>5930</v>
      </c>
      <c r="AO1644" s="2"/>
      <c r="AP1644" s="2">
        <v>12</v>
      </c>
      <c r="AQ1644" s="2" t="s">
        <v>322</v>
      </c>
      <c r="AR1644" s="2" t="s">
        <v>824</v>
      </c>
      <c r="AS1644" s="2" t="s">
        <v>825</v>
      </c>
      <c r="AT1644" s="2" t="s">
        <v>5931</v>
      </c>
      <c r="AU1644" s="2"/>
      <c r="AV1644" s="2"/>
      <c r="AW1644" s="2"/>
      <c r="AX1644" s="2"/>
      <c r="AY1644" s="2">
        <v>41</v>
      </c>
      <c r="AZ1644" s="2" t="s">
        <v>82</v>
      </c>
      <c r="BA1644" s="2">
        <v>41</v>
      </c>
      <c r="BB1644" s="2" t="s">
        <v>82</v>
      </c>
      <c r="BC1644" s="2">
        <v>51</v>
      </c>
      <c r="BD1644" s="2" t="s">
        <v>827</v>
      </c>
      <c r="BE1644" s="2">
        <v>13</v>
      </c>
      <c r="BF1644" s="2" t="s">
        <v>108</v>
      </c>
      <c r="BG1644" s="2">
        <v>1459</v>
      </c>
      <c r="BH1644" s="4">
        <v>0.84375</v>
      </c>
      <c r="BI1644" s="4">
        <v>0.88541666666666663</v>
      </c>
      <c r="BJ1644" s="2">
        <v>13</v>
      </c>
      <c r="BK1644" s="2" t="s">
        <v>91</v>
      </c>
      <c r="BL1644" s="2" t="s">
        <v>828</v>
      </c>
      <c r="BM1644" s="2">
        <v>241</v>
      </c>
      <c r="BN1644" s="2" t="s">
        <v>82</v>
      </c>
      <c r="BO1644" s="2" t="s">
        <v>82</v>
      </c>
      <c r="BP1644" s="2">
        <v>13</v>
      </c>
      <c r="BQ1644" s="2" t="s">
        <v>91</v>
      </c>
      <c r="BR1644" s="2" t="s">
        <v>185</v>
      </c>
      <c r="BS1644" s="3">
        <v>40290</v>
      </c>
      <c r="BT1644" s="4">
        <v>0.67369212962962965</v>
      </c>
    </row>
    <row r="1645" spans="1:72" x14ac:dyDescent="0.25">
      <c r="A1645" s="2">
        <v>2407</v>
      </c>
      <c r="B1645" s="2">
        <v>2010</v>
      </c>
      <c r="C1645" s="2" t="s">
        <v>385</v>
      </c>
      <c r="D1645" s="2" t="s">
        <v>122</v>
      </c>
      <c r="E1645" s="2"/>
      <c r="F1645" s="2">
        <v>591</v>
      </c>
      <c r="G1645" s="2" t="s">
        <v>5658</v>
      </c>
      <c r="H1645" s="2">
        <v>7</v>
      </c>
      <c r="I1645" s="2" t="s">
        <v>476</v>
      </c>
      <c r="J1645" s="2">
        <v>33</v>
      </c>
      <c r="K1645" s="2" t="s">
        <v>2178</v>
      </c>
      <c r="L1645" s="2" t="s">
        <v>1877</v>
      </c>
      <c r="M1645" s="3">
        <v>40290</v>
      </c>
      <c r="N1645" s="2" t="s">
        <v>5792</v>
      </c>
      <c r="O1645" s="2" t="s">
        <v>5932</v>
      </c>
      <c r="P1645" s="2" t="s">
        <v>5933</v>
      </c>
      <c r="Q1645" s="2" t="str">
        <f>""</f>
        <v/>
      </c>
      <c r="R1645" s="2"/>
      <c r="S1645" s="2"/>
      <c r="T1645" s="2">
        <v>1</v>
      </c>
      <c r="U1645" s="2" t="s">
        <v>79</v>
      </c>
      <c r="V1645" s="2">
        <v>1</v>
      </c>
      <c r="W1645" s="2" t="s">
        <v>80</v>
      </c>
      <c r="X1645" s="2">
        <v>5</v>
      </c>
      <c r="Y1645" s="2" t="s">
        <v>82</v>
      </c>
      <c r="Z1645" s="2">
        <v>1</v>
      </c>
      <c r="AA1645" s="2" t="s">
        <v>82</v>
      </c>
      <c r="AB1645" s="2">
        <v>9</v>
      </c>
      <c r="AC1645" s="2" t="s">
        <v>124</v>
      </c>
      <c r="AD1645" s="3">
        <v>40290</v>
      </c>
      <c r="AE1645" s="4">
        <v>0.44791666666666669</v>
      </c>
      <c r="AF1645" s="2"/>
      <c r="AG1645" s="2"/>
      <c r="AH1645" s="2">
        <v>2</v>
      </c>
      <c r="AI1645" s="2" t="s">
        <v>84</v>
      </c>
      <c r="AJ1645" s="2">
        <v>8</v>
      </c>
      <c r="AK1645" s="2" t="s">
        <v>436</v>
      </c>
      <c r="AL1645" s="2">
        <v>23</v>
      </c>
      <c r="AM1645" s="2" t="s">
        <v>251</v>
      </c>
      <c r="AN1645" s="2"/>
      <c r="AO1645" s="2" t="s">
        <v>5658</v>
      </c>
      <c r="AP1645" s="2">
        <v>11</v>
      </c>
      <c r="AQ1645" s="2" t="s">
        <v>82</v>
      </c>
      <c r="AR1645" s="2"/>
      <c r="AS1645" s="2"/>
      <c r="AT1645" s="2" t="s">
        <v>5934</v>
      </c>
      <c r="AU1645" s="2"/>
      <c r="AV1645" s="2"/>
      <c r="AW1645" s="2"/>
      <c r="AX1645" s="2"/>
      <c r="AY1645" s="2">
        <v>41</v>
      </c>
      <c r="AZ1645" s="2" t="s">
        <v>82</v>
      </c>
      <c r="BA1645" s="2">
        <v>41</v>
      </c>
      <c r="BB1645" s="2" t="s">
        <v>82</v>
      </c>
      <c r="BC1645" s="2">
        <v>41</v>
      </c>
      <c r="BD1645" s="2" t="s">
        <v>82</v>
      </c>
      <c r="BE1645" s="2">
        <v>41</v>
      </c>
      <c r="BF1645" s="2" t="s">
        <v>82</v>
      </c>
      <c r="BG1645" s="2"/>
      <c r="BH1645" s="2"/>
      <c r="BI1645" s="2"/>
      <c r="BJ1645" s="2">
        <v>241</v>
      </c>
      <c r="BK1645" s="2" t="s">
        <v>82</v>
      </c>
      <c r="BL1645" s="2"/>
      <c r="BM1645" s="2">
        <v>241</v>
      </c>
      <c r="BN1645" s="2" t="s">
        <v>82</v>
      </c>
      <c r="BO1645" s="2"/>
      <c r="BP1645" s="2">
        <v>241</v>
      </c>
      <c r="BQ1645" s="2" t="s">
        <v>82</v>
      </c>
      <c r="BR1645" s="2"/>
      <c r="BS1645" s="3">
        <v>40290</v>
      </c>
      <c r="BT1645" s="4">
        <v>0.68488425925925922</v>
      </c>
    </row>
    <row r="1646" spans="1:72" x14ac:dyDescent="0.25">
      <c r="A1646" s="2">
        <v>2408</v>
      </c>
      <c r="B1646" s="2">
        <v>2010</v>
      </c>
      <c r="C1646" s="2" t="s">
        <v>2567</v>
      </c>
      <c r="D1646" s="2" t="s">
        <v>122</v>
      </c>
      <c r="E1646" s="2"/>
      <c r="F1646" s="2">
        <v>1</v>
      </c>
      <c r="G1646" s="2" t="s">
        <v>82</v>
      </c>
      <c r="H1646" s="2">
        <v>1</v>
      </c>
      <c r="I1646" s="2" t="s">
        <v>82</v>
      </c>
      <c r="J1646" s="2">
        <v>1</v>
      </c>
      <c r="K1646" s="2" t="s">
        <v>107</v>
      </c>
      <c r="L1646" s="2" t="s">
        <v>107</v>
      </c>
      <c r="M1646" s="3">
        <v>40290</v>
      </c>
      <c r="N1646" s="2"/>
      <c r="O1646" s="2"/>
      <c r="P1646" s="2"/>
      <c r="Q1646" s="2" t="str">
        <f>""</f>
        <v/>
      </c>
      <c r="R1646" s="2"/>
      <c r="S1646" s="2"/>
      <c r="T1646" s="2">
        <v>1</v>
      </c>
      <c r="U1646" s="2" t="s">
        <v>79</v>
      </c>
      <c r="V1646" s="2">
        <v>1</v>
      </c>
      <c r="W1646" s="2" t="s">
        <v>80</v>
      </c>
      <c r="X1646" s="2">
        <v>1</v>
      </c>
      <c r="Y1646" s="2" t="s">
        <v>81</v>
      </c>
      <c r="Z1646" s="2">
        <v>1</v>
      </c>
      <c r="AA1646" s="2" t="s">
        <v>82</v>
      </c>
      <c r="AB1646" s="2">
        <v>9</v>
      </c>
      <c r="AC1646" s="2" t="s">
        <v>124</v>
      </c>
      <c r="AD1646" s="3">
        <v>40290</v>
      </c>
      <c r="AE1646" s="4">
        <v>0.61111111111111105</v>
      </c>
      <c r="AF1646" s="2"/>
      <c r="AG1646" s="2"/>
      <c r="AH1646" s="2">
        <v>6</v>
      </c>
      <c r="AI1646" s="2" t="s">
        <v>197</v>
      </c>
      <c r="AJ1646" s="2">
        <v>58</v>
      </c>
      <c r="AK1646" s="2" t="s">
        <v>406</v>
      </c>
      <c r="AL1646" s="2">
        <v>2</v>
      </c>
      <c r="AM1646" s="2" t="s">
        <v>163</v>
      </c>
      <c r="AN1646" s="2" t="s">
        <v>5935</v>
      </c>
      <c r="AO1646" s="2"/>
      <c r="AP1646" s="2">
        <v>11</v>
      </c>
      <c r="AQ1646" s="2" t="s">
        <v>82</v>
      </c>
      <c r="AR1646" s="2" t="s">
        <v>5936</v>
      </c>
      <c r="AS1646" s="2" t="s">
        <v>5936</v>
      </c>
      <c r="AT1646" s="2" t="s">
        <v>5937</v>
      </c>
      <c r="AU1646" s="2"/>
      <c r="AV1646" s="2"/>
      <c r="AW1646" s="2"/>
      <c r="AX1646" s="2"/>
      <c r="AY1646" s="2">
        <v>41</v>
      </c>
      <c r="AZ1646" s="2" t="s">
        <v>82</v>
      </c>
      <c r="BA1646" s="2">
        <v>41</v>
      </c>
      <c r="BB1646" s="2" t="s">
        <v>82</v>
      </c>
      <c r="BC1646" s="2">
        <v>41</v>
      </c>
      <c r="BD1646" s="2" t="s">
        <v>82</v>
      </c>
      <c r="BE1646" s="2">
        <v>1</v>
      </c>
      <c r="BF1646" s="2" t="s">
        <v>107</v>
      </c>
      <c r="BG1646" s="2"/>
      <c r="BH1646" s="4">
        <v>0.60069444444444442</v>
      </c>
      <c r="BI1646" s="4">
        <v>0.61111111111111105</v>
      </c>
      <c r="BJ1646" s="2">
        <v>13</v>
      </c>
      <c r="BK1646" s="2" t="s">
        <v>91</v>
      </c>
      <c r="BL1646" s="2" t="s">
        <v>690</v>
      </c>
      <c r="BM1646" s="2">
        <v>13</v>
      </c>
      <c r="BN1646" s="2" t="s">
        <v>91</v>
      </c>
      <c r="BO1646" s="2" t="s">
        <v>82</v>
      </c>
      <c r="BP1646" s="2">
        <v>13</v>
      </c>
      <c r="BQ1646" s="2" t="s">
        <v>91</v>
      </c>
      <c r="BR1646" s="2" t="s">
        <v>690</v>
      </c>
      <c r="BS1646" s="3">
        <v>40290</v>
      </c>
      <c r="BT1646" s="4">
        <v>0.69650462962962967</v>
      </c>
    </row>
    <row r="1647" spans="1:72" x14ac:dyDescent="0.25">
      <c r="A1647" s="2">
        <v>2409</v>
      </c>
      <c r="B1647" s="2">
        <v>2010</v>
      </c>
      <c r="C1647" s="2" t="s">
        <v>171</v>
      </c>
      <c r="D1647" s="2" t="s">
        <v>73</v>
      </c>
      <c r="E1647" s="2" t="s">
        <v>5938</v>
      </c>
      <c r="F1647" s="2">
        <v>451</v>
      </c>
      <c r="G1647" s="2" t="s">
        <v>879</v>
      </c>
      <c r="H1647" s="2">
        <v>31</v>
      </c>
      <c r="I1647" s="2" t="s">
        <v>880</v>
      </c>
      <c r="J1647" s="2">
        <v>326</v>
      </c>
      <c r="K1647" s="2" t="s">
        <v>881</v>
      </c>
      <c r="L1647" s="2" t="s">
        <v>882</v>
      </c>
      <c r="M1647" s="3">
        <v>40290</v>
      </c>
      <c r="N1647" s="2" t="s">
        <v>1072</v>
      </c>
      <c r="O1647" s="2" t="s">
        <v>5928</v>
      </c>
      <c r="P1647" s="2" t="s">
        <v>5939</v>
      </c>
      <c r="Q1647" s="2" t="str">
        <f>"022/10"</f>
        <v>022/10</v>
      </c>
      <c r="R1647" s="2"/>
      <c r="S1647" s="2" t="s">
        <v>822</v>
      </c>
      <c r="T1647" s="2">
        <v>1</v>
      </c>
      <c r="U1647" s="2" t="s">
        <v>79</v>
      </c>
      <c r="V1647" s="2">
        <v>1</v>
      </c>
      <c r="W1647" s="2" t="s">
        <v>80</v>
      </c>
      <c r="X1647" s="2">
        <v>1</v>
      </c>
      <c r="Y1647" s="2" t="s">
        <v>81</v>
      </c>
      <c r="Z1647" s="2">
        <v>10</v>
      </c>
      <c r="AA1647" s="2" t="s">
        <v>236</v>
      </c>
      <c r="AB1647" s="2">
        <v>1</v>
      </c>
      <c r="AC1647" s="2" t="s">
        <v>178</v>
      </c>
      <c r="AD1647" s="3">
        <v>40290</v>
      </c>
      <c r="AE1647" s="4">
        <v>0.54513888888888895</v>
      </c>
      <c r="AF1647" s="2"/>
      <c r="AG1647" s="2"/>
      <c r="AH1647" s="2">
        <v>4</v>
      </c>
      <c r="AI1647" s="2" t="s">
        <v>125</v>
      </c>
      <c r="AJ1647" s="2">
        <v>29</v>
      </c>
      <c r="AK1647" s="2" t="s">
        <v>227</v>
      </c>
      <c r="AL1647" s="2">
        <v>10</v>
      </c>
      <c r="AM1647" s="2" t="s">
        <v>200</v>
      </c>
      <c r="AN1647" s="2" t="s">
        <v>5930</v>
      </c>
      <c r="AO1647" s="2"/>
      <c r="AP1647" s="2">
        <v>12</v>
      </c>
      <c r="AQ1647" s="2" t="s">
        <v>322</v>
      </c>
      <c r="AR1647" s="2" t="s">
        <v>824</v>
      </c>
      <c r="AS1647" s="2" t="s">
        <v>825</v>
      </c>
      <c r="AT1647" s="2" t="s">
        <v>5940</v>
      </c>
      <c r="AU1647" s="2"/>
      <c r="AV1647" s="2"/>
      <c r="AW1647" s="2"/>
      <c r="AX1647" s="2"/>
      <c r="AY1647" s="2">
        <v>41</v>
      </c>
      <c r="AZ1647" s="2" t="s">
        <v>82</v>
      </c>
      <c r="BA1647" s="2">
        <v>41</v>
      </c>
      <c r="BB1647" s="2" t="s">
        <v>82</v>
      </c>
      <c r="BC1647" s="2">
        <v>51</v>
      </c>
      <c r="BD1647" s="2" t="s">
        <v>827</v>
      </c>
      <c r="BE1647" s="2">
        <v>13</v>
      </c>
      <c r="BF1647" s="2" t="s">
        <v>108</v>
      </c>
      <c r="BG1647" s="2">
        <v>1459</v>
      </c>
      <c r="BH1647" s="4">
        <v>0.82291666666666663</v>
      </c>
      <c r="BI1647" s="4">
        <v>0.86805555555555547</v>
      </c>
      <c r="BJ1647" s="2">
        <v>13</v>
      </c>
      <c r="BK1647" s="2" t="s">
        <v>91</v>
      </c>
      <c r="BL1647" s="2" t="s">
        <v>828</v>
      </c>
      <c r="BM1647" s="2">
        <v>241</v>
      </c>
      <c r="BN1647" s="2" t="s">
        <v>82</v>
      </c>
      <c r="BO1647" s="2" t="s">
        <v>82</v>
      </c>
      <c r="BP1647" s="2">
        <v>13</v>
      </c>
      <c r="BQ1647" s="2" t="s">
        <v>91</v>
      </c>
      <c r="BR1647" s="2" t="s">
        <v>185</v>
      </c>
      <c r="BS1647" s="3">
        <v>40290</v>
      </c>
      <c r="BT1647" s="4">
        <v>0.70173611111111101</v>
      </c>
    </row>
    <row r="1648" spans="1:72" x14ac:dyDescent="0.25">
      <c r="A1648" s="2">
        <v>2410</v>
      </c>
      <c r="B1648" s="2">
        <v>2010</v>
      </c>
      <c r="C1648" s="2" t="s">
        <v>2567</v>
      </c>
      <c r="D1648" s="2" t="s">
        <v>122</v>
      </c>
      <c r="E1648" s="2"/>
      <c r="F1648" s="2">
        <v>1</v>
      </c>
      <c r="G1648" s="2" t="s">
        <v>82</v>
      </c>
      <c r="H1648" s="2">
        <v>1</v>
      </c>
      <c r="I1648" s="2" t="s">
        <v>82</v>
      </c>
      <c r="J1648" s="2">
        <v>1</v>
      </c>
      <c r="K1648" s="2" t="s">
        <v>107</v>
      </c>
      <c r="L1648" s="2" t="s">
        <v>107</v>
      </c>
      <c r="M1648" s="3">
        <v>40290</v>
      </c>
      <c r="N1648" s="2"/>
      <c r="O1648" s="2"/>
      <c r="P1648" s="2"/>
      <c r="Q1648" s="2" t="str">
        <f>""</f>
        <v/>
      </c>
      <c r="R1648" s="2"/>
      <c r="S1648" s="2"/>
      <c r="T1648" s="2">
        <v>1</v>
      </c>
      <c r="U1648" s="2" t="s">
        <v>79</v>
      </c>
      <c r="V1648" s="2">
        <v>1</v>
      </c>
      <c r="W1648" s="2" t="s">
        <v>80</v>
      </c>
      <c r="X1648" s="2">
        <v>1</v>
      </c>
      <c r="Y1648" s="2" t="s">
        <v>81</v>
      </c>
      <c r="Z1648" s="2">
        <v>1</v>
      </c>
      <c r="AA1648" s="2" t="s">
        <v>82</v>
      </c>
      <c r="AB1648" s="2">
        <v>9</v>
      </c>
      <c r="AC1648" s="2" t="s">
        <v>124</v>
      </c>
      <c r="AD1648" s="3">
        <v>40290</v>
      </c>
      <c r="AE1648" s="4">
        <v>0.65277777777777779</v>
      </c>
      <c r="AF1648" s="2"/>
      <c r="AG1648" s="2"/>
      <c r="AH1648" s="2">
        <v>6</v>
      </c>
      <c r="AI1648" s="2" t="s">
        <v>197</v>
      </c>
      <c r="AJ1648" s="2">
        <v>61</v>
      </c>
      <c r="AK1648" s="2" t="s">
        <v>686</v>
      </c>
      <c r="AL1648" s="2">
        <v>2</v>
      </c>
      <c r="AM1648" s="2" t="s">
        <v>163</v>
      </c>
      <c r="AN1648" s="2" t="s">
        <v>5941</v>
      </c>
      <c r="AO1648" s="2" t="s">
        <v>5942</v>
      </c>
      <c r="AP1648" s="2">
        <v>11</v>
      </c>
      <c r="AQ1648" s="2" t="s">
        <v>82</v>
      </c>
      <c r="AR1648" s="2" t="s">
        <v>5936</v>
      </c>
      <c r="AS1648" s="2" t="s">
        <v>5936</v>
      </c>
      <c r="AT1648" s="2" t="s">
        <v>5943</v>
      </c>
      <c r="AU1648" s="2"/>
      <c r="AV1648" s="2"/>
      <c r="AW1648" s="2"/>
      <c r="AX1648" s="2"/>
      <c r="AY1648" s="2">
        <v>41</v>
      </c>
      <c r="AZ1648" s="2" t="s">
        <v>82</v>
      </c>
      <c r="BA1648" s="2">
        <v>41</v>
      </c>
      <c r="BB1648" s="2" t="s">
        <v>82</v>
      </c>
      <c r="BC1648" s="2">
        <v>41</v>
      </c>
      <c r="BD1648" s="2" t="s">
        <v>82</v>
      </c>
      <c r="BE1648" s="2">
        <v>41</v>
      </c>
      <c r="BF1648" s="2" t="s">
        <v>82</v>
      </c>
      <c r="BG1648" s="2"/>
      <c r="BH1648" s="4">
        <v>0.65277777777777779</v>
      </c>
      <c r="BI1648" s="4">
        <v>0</v>
      </c>
      <c r="BJ1648" s="2">
        <v>13</v>
      </c>
      <c r="BK1648" s="2" t="s">
        <v>91</v>
      </c>
      <c r="BL1648" s="2" t="s">
        <v>492</v>
      </c>
      <c r="BM1648" s="2">
        <v>241</v>
      </c>
      <c r="BN1648" s="2" t="s">
        <v>82</v>
      </c>
      <c r="BO1648" s="2"/>
      <c r="BP1648" s="2">
        <v>13</v>
      </c>
      <c r="BQ1648" s="2" t="s">
        <v>91</v>
      </c>
      <c r="BR1648" s="2" t="s">
        <v>690</v>
      </c>
      <c r="BS1648" s="3">
        <v>40290</v>
      </c>
      <c r="BT1648" s="4">
        <v>0.72366898148148151</v>
      </c>
    </row>
    <row r="1649" spans="1:72" x14ac:dyDescent="0.25">
      <c r="A1649" s="2">
        <v>2411</v>
      </c>
      <c r="B1649" s="2">
        <v>2010</v>
      </c>
      <c r="C1649" s="2" t="s">
        <v>72</v>
      </c>
      <c r="D1649" s="2" t="s">
        <v>73</v>
      </c>
      <c r="E1649" s="2"/>
      <c r="F1649" s="2">
        <v>33</v>
      </c>
      <c r="G1649" s="2" t="s">
        <v>654</v>
      </c>
      <c r="H1649" s="2">
        <v>1</v>
      </c>
      <c r="I1649" s="2" t="s">
        <v>82</v>
      </c>
      <c r="J1649" s="2">
        <v>42</v>
      </c>
      <c r="K1649" s="2" t="s">
        <v>655</v>
      </c>
      <c r="L1649" s="2" t="s">
        <v>656</v>
      </c>
      <c r="M1649" s="3">
        <v>40290</v>
      </c>
      <c r="N1649" s="2" t="s">
        <v>82</v>
      </c>
      <c r="O1649" s="2" t="s">
        <v>82</v>
      </c>
      <c r="P1649" s="2" t="s">
        <v>82</v>
      </c>
      <c r="Q1649" s="2" t="str">
        <f>"009-M10"</f>
        <v>009-M10</v>
      </c>
      <c r="R1649" s="2" t="s">
        <v>78</v>
      </c>
      <c r="S1649" s="2" t="s">
        <v>78</v>
      </c>
      <c r="T1649" s="2">
        <v>1</v>
      </c>
      <c r="U1649" s="2" t="s">
        <v>79</v>
      </c>
      <c r="V1649" s="2">
        <v>1</v>
      </c>
      <c r="W1649" s="2" t="s">
        <v>80</v>
      </c>
      <c r="X1649" s="2">
        <v>12</v>
      </c>
      <c r="Y1649" s="2" t="s">
        <v>148</v>
      </c>
      <c r="Z1649" s="2">
        <v>3</v>
      </c>
      <c r="AA1649" s="2" t="s">
        <v>257</v>
      </c>
      <c r="AB1649" s="2">
        <v>6</v>
      </c>
      <c r="AC1649" s="2" t="s">
        <v>83</v>
      </c>
      <c r="AD1649" s="3">
        <v>40290</v>
      </c>
      <c r="AE1649" s="2"/>
      <c r="AF1649" s="3">
        <v>40290</v>
      </c>
      <c r="AG1649" s="4">
        <v>0.47222222222222227</v>
      </c>
      <c r="AH1649" s="2">
        <v>2</v>
      </c>
      <c r="AI1649" s="2" t="s">
        <v>84</v>
      </c>
      <c r="AJ1649" s="2">
        <v>8</v>
      </c>
      <c r="AK1649" s="2" t="s">
        <v>436</v>
      </c>
      <c r="AL1649" s="2">
        <v>9</v>
      </c>
      <c r="AM1649" s="2" t="s">
        <v>259</v>
      </c>
      <c r="AN1649" s="2"/>
      <c r="AO1649" s="2"/>
      <c r="AP1649" s="2">
        <v>11</v>
      </c>
      <c r="AQ1649" s="2" t="s">
        <v>82</v>
      </c>
      <c r="AR1649" s="2"/>
      <c r="AS1649" s="2"/>
      <c r="AT1649" s="2" t="s">
        <v>5944</v>
      </c>
      <c r="AU1649" s="2"/>
      <c r="AV1649" s="2"/>
      <c r="AW1649" s="2"/>
      <c r="AX1649" s="2"/>
      <c r="AY1649" s="2">
        <v>44</v>
      </c>
      <c r="AZ1649" s="2" t="s">
        <v>262</v>
      </c>
      <c r="BA1649" s="2">
        <v>44</v>
      </c>
      <c r="BB1649" s="2" t="s">
        <v>262</v>
      </c>
      <c r="BC1649" s="2">
        <v>1</v>
      </c>
      <c r="BD1649" s="2" t="s">
        <v>107</v>
      </c>
      <c r="BE1649" s="2">
        <v>41</v>
      </c>
      <c r="BF1649" s="2" t="s">
        <v>82</v>
      </c>
      <c r="BG1649" s="2"/>
      <c r="BH1649" s="2"/>
      <c r="BI1649" s="2"/>
      <c r="BJ1649" s="2">
        <v>241</v>
      </c>
      <c r="BK1649" s="2" t="s">
        <v>82</v>
      </c>
      <c r="BL1649" s="2"/>
      <c r="BM1649" s="2">
        <v>241</v>
      </c>
      <c r="BN1649" s="2" t="s">
        <v>82</v>
      </c>
      <c r="BO1649" s="2"/>
      <c r="BP1649" s="2">
        <v>241</v>
      </c>
      <c r="BQ1649" s="2" t="s">
        <v>82</v>
      </c>
      <c r="BR1649" s="2"/>
      <c r="BS1649" s="3">
        <v>40290</v>
      </c>
      <c r="BT1649" s="4">
        <v>0.77384259259259258</v>
      </c>
    </row>
    <row r="1650" spans="1:72" x14ac:dyDescent="0.25">
      <c r="A1650" s="2">
        <v>2412</v>
      </c>
      <c r="B1650" s="2">
        <v>2010</v>
      </c>
      <c r="C1650" s="2" t="s">
        <v>418</v>
      </c>
      <c r="D1650" s="2" t="s">
        <v>122</v>
      </c>
      <c r="E1650" s="2"/>
      <c r="F1650" s="2">
        <v>1</v>
      </c>
      <c r="G1650" s="2" t="s">
        <v>82</v>
      </c>
      <c r="H1650" s="2">
        <v>1</v>
      </c>
      <c r="I1650" s="2" t="s">
        <v>82</v>
      </c>
      <c r="J1650" s="2">
        <v>1</v>
      </c>
      <c r="K1650" s="2" t="s">
        <v>107</v>
      </c>
      <c r="L1650" s="2" t="s">
        <v>107</v>
      </c>
      <c r="M1650" s="3">
        <v>40290</v>
      </c>
      <c r="N1650" s="2"/>
      <c r="O1650" s="2"/>
      <c r="P1650" s="2"/>
      <c r="Q1650" s="2" t="str">
        <f>""</f>
        <v/>
      </c>
      <c r="R1650" s="2"/>
      <c r="S1650" s="2"/>
      <c r="T1650" s="2">
        <v>2</v>
      </c>
      <c r="U1650" s="2" t="s">
        <v>123</v>
      </c>
      <c r="V1650" s="2">
        <v>1</v>
      </c>
      <c r="W1650" s="2" t="s">
        <v>80</v>
      </c>
      <c r="X1650" s="2">
        <v>5</v>
      </c>
      <c r="Y1650" s="2" t="s">
        <v>82</v>
      </c>
      <c r="Z1650" s="2">
        <v>1</v>
      </c>
      <c r="AA1650" s="2" t="s">
        <v>82</v>
      </c>
      <c r="AB1650" s="2">
        <v>9</v>
      </c>
      <c r="AC1650" s="2" t="s">
        <v>124</v>
      </c>
      <c r="AD1650" s="2"/>
      <c r="AE1650" s="2"/>
      <c r="AF1650" s="2"/>
      <c r="AG1650" s="2"/>
      <c r="AH1650" s="2">
        <v>6</v>
      </c>
      <c r="AI1650" s="2" t="s">
        <v>197</v>
      </c>
      <c r="AJ1650" s="2">
        <v>50</v>
      </c>
      <c r="AK1650" s="2" t="s">
        <v>330</v>
      </c>
      <c r="AL1650" s="2">
        <v>18</v>
      </c>
      <c r="AM1650" s="2" t="s">
        <v>82</v>
      </c>
      <c r="AN1650" s="2"/>
      <c r="AO1650" s="2"/>
      <c r="AP1650" s="2">
        <v>11</v>
      </c>
      <c r="AQ1650" s="2" t="s">
        <v>82</v>
      </c>
      <c r="AR1650" s="2"/>
      <c r="AS1650" s="2"/>
      <c r="AT1650" s="2" t="s">
        <v>5945</v>
      </c>
      <c r="AU1650" s="2"/>
      <c r="AV1650" s="2"/>
      <c r="AW1650" s="2"/>
      <c r="AX1650" s="2"/>
      <c r="AY1650" s="2">
        <v>1</v>
      </c>
      <c r="AZ1650" s="2" t="s">
        <v>107</v>
      </c>
      <c r="BA1650" s="2">
        <v>1</v>
      </c>
      <c r="BB1650" s="2" t="s">
        <v>107</v>
      </c>
      <c r="BC1650" s="2">
        <v>1</v>
      </c>
      <c r="BD1650" s="2" t="s">
        <v>107</v>
      </c>
      <c r="BE1650" s="2">
        <v>13</v>
      </c>
      <c r="BF1650" s="2" t="s">
        <v>108</v>
      </c>
      <c r="BG1650" s="2" t="s">
        <v>5946</v>
      </c>
      <c r="BH1650" s="4">
        <v>0.64583333333333337</v>
      </c>
      <c r="BI1650" s="2"/>
      <c r="BJ1650" s="2">
        <v>13</v>
      </c>
      <c r="BK1650" s="2" t="s">
        <v>91</v>
      </c>
      <c r="BL1650" s="2" t="s">
        <v>170</v>
      </c>
      <c r="BM1650" s="2">
        <v>13</v>
      </c>
      <c r="BN1650" s="2" t="s">
        <v>91</v>
      </c>
      <c r="BO1650" s="2"/>
      <c r="BP1650" s="2">
        <v>13</v>
      </c>
      <c r="BQ1650" s="2" t="s">
        <v>91</v>
      </c>
      <c r="BR1650" s="2"/>
      <c r="BS1650" s="3">
        <v>40290</v>
      </c>
      <c r="BT1650" s="4">
        <v>0.8534722222222223</v>
      </c>
    </row>
    <row r="1651" spans="1:72" x14ac:dyDescent="0.25">
      <c r="A1651" s="2">
        <v>2413</v>
      </c>
      <c r="B1651" s="2">
        <v>2010</v>
      </c>
      <c r="C1651" s="2" t="s">
        <v>72</v>
      </c>
      <c r="D1651" s="2" t="s">
        <v>73</v>
      </c>
      <c r="E1651" s="2"/>
      <c r="F1651" s="2">
        <v>389</v>
      </c>
      <c r="G1651" s="2" t="s">
        <v>1819</v>
      </c>
      <c r="H1651" s="2">
        <v>2</v>
      </c>
      <c r="I1651" s="2" t="s">
        <v>267</v>
      </c>
      <c r="J1651" s="2">
        <v>399</v>
      </c>
      <c r="K1651" s="2" t="s">
        <v>1820</v>
      </c>
      <c r="L1651" s="2" t="s">
        <v>1821</v>
      </c>
      <c r="M1651" s="3">
        <v>40291</v>
      </c>
      <c r="N1651" s="2" t="s">
        <v>5947</v>
      </c>
      <c r="O1651" s="2"/>
      <c r="P1651" s="2"/>
      <c r="Q1651" s="2" t="str">
        <f>"222-E/10"</f>
        <v>222-E/10</v>
      </c>
      <c r="R1651" s="2"/>
      <c r="S1651" s="2" t="s">
        <v>5948</v>
      </c>
      <c r="T1651" s="2">
        <v>1</v>
      </c>
      <c r="U1651" s="2" t="s">
        <v>79</v>
      </c>
      <c r="V1651" s="2">
        <v>1</v>
      </c>
      <c r="W1651" s="2" t="s">
        <v>80</v>
      </c>
      <c r="X1651" s="2">
        <v>12</v>
      </c>
      <c r="Y1651" s="2" t="s">
        <v>148</v>
      </c>
      <c r="Z1651" s="2">
        <v>10</v>
      </c>
      <c r="AA1651" s="2" t="s">
        <v>236</v>
      </c>
      <c r="AB1651" s="2">
        <v>6</v>
      </c>
      <c r="AC1651" s="2" t="s">
        <v>83</v>
      </c>
      <c r="AD1651" s="3">
        <v>40290</v>
      </c>
      <c r="AE1651" s="4">
        <v>0.54166666666666663</v>
      </c>
      <c r="AF1651" s="3">
        <v>40290</v>
      </c>
      <c r="AG1651" s="4">
        <v>0.65972222222222221</v>
      </c>
      <c r="AH1651" s="2">
        <v>2</v>
      </c>
      <c r="AI1651" s="2" t="s">
        <v>84</v>
      </c>
      <c r="AJ1651" s="2">
        <v>9</v>
      </c>
      <c r="AK1651" s="2" t="s">
        <v>103</v>
      </c>
      <c r="AL1651" s="2">
        <v>10</v>
      </c>
      <c r="AM1651" s="2" t="s">
        <v>200</v>
      </c>
      <c r="AN1651" s="2" t="s">
        <v>5949</v>
      </c>
      <c r="AO1651" s="2"/>
      <c r="AP1651" s="2">
        <v>11</v>
      </c>
      <c r="AQ1651" s="2" t="s">
        <v>82</v>
      </c>
      <c r="AR1651" s="2"/>
      <c r="AS1651" s="2"/>
      <c r="AT1651" s="2" t="s">
        <v>5950</v>
      </c>
      <c r="AU1651" s="2"/>
      <c r="AV1651" s="2"/>
      <c r="AW1651" s="2"/>
      <c r="AX1651" s="2"/>
      <c r="AY1651" s="2">
        <v>22</v>
      </c>
      <c r="AZ1651" s="2" t="s">
        <v>1262</v>
      </c>
      <c r="BA1651" s="2">
        <v>41</v>
      </c>
      <c r="BB1651" s="2" t="s">
        <v>82</v>
      </c>
      <c r="BC1651" s="2">
        <v>70</v>
      </c>
      <c r="BD1651" s="2" t="s">
        <v>236</v>
      </c>
      <c r="BE1651" s="2">
        <v>22</v>
      </c>
      <c r="BF1651" s="2" t="s">
        <v>1262</v>
      </c>
      <c r="BG1651" s="2"/>
      <c r="BH1651" s="2"/>
      <c r="BI1651" s="2"/>
      <c r="BJ1651" s="2">
        <v>241</v>
      </c>
      <c r="BK1651" s="2" t="s">
        <v>82</v>
      </c>
      <c r="BL1651" s="2"/>
      <c r="BM1651" s="2">
        <v>241</v>
      </c>
      <c r="BN1651" s="2" t="s">
        <v>82</v>
      </c>
      <c r="BO1651" s="2"/>
      <c r="BP1651" s="2">
        <v>241</v>
      </c>
      <c r="BQ1651" s="2" t="s">
        <v>82</v>
      </c>
      <c r="BR1651" s="2"/>
      <c r="BS1651" s="3">
        <v>40291</v>
      </c>
      <c r="BT1651" s="4">
        <v>8.1284722222222217E-2</v>
      </c>
    </row>
    <row r="1652" spans="1:72" x14ac:dyDescent="0.25">
      <c r="A1652" s="2">
        <v>2415</v>
      </c>
      <c r="B1652" s="2">
        <v>2010</v>
      </c>
      <c r="C1652" s="2" t="s">
        <v>171</v>
      </c>
      <c r="D1652" s="2" t="s">
        <v>122</v>
      </c>
      <c r="E1652" s="2" t="s">
        <v>5823</v>
      </c>
      <c r="F1652" s="2">
        <v>226</v>
      </c>
      <c r="G1652" s="2" t="s">
        <v>5788</v>
      </c>
      <c r="H1652" s="2">
        <v>2</v>
      </c>
      <c r="I1652" s="2" t="s">
        <v>267</v>
      </c>
      <c r="J1652" s="2">
        <v>2</v>
      </c>
      <c r="K1652" s="2" t="s">
        <v>3661</v>
      </c>
      <c r="L1652" s="2" t="s">
        <v>3662</v>
      </c>
      <c r="M1652" s="3">
        <v>40291</v>
      </c>
      <c r="N1652" s="2" t="s">
        <v>5789</v>
      </c>
      <c r="O1652" s="2"/>
      <c r="P1652" s="2"/>
      <c r="Q1652" s="2" t="str">
        <f>"212-E/10"</f>
        <v>212-E/10</v>
      </c>
      <c r="R1652" s="2" t="s">
        <v>391</v>
      </c>
      <c r="S1652" s="2" t="s">
        <v>391</v>
      </c>
      <c r="T1652" s="2">
        <v>1</v>
      </c>
      <c r="U1652" s="2" t="s">
        <v>79</v>
      </c>
      <c r="V1652" s="2">
        <v>1</v>
      </c>
      <c r="W1652" s="2" t="s">
        <v>80</v>
      </c>
      <c r="X1652" s="2">
        <v>1</v>
      </c>
      <c r="Y1652" s="2" t="s">
        <v>81</v>
      </c>
      <c r="Z1652" s="2">
        <v>1</v>
      </c>
      <c r="AA1652" s="2" t="s">
        <v>82</v>
      </c>
      <c r="AB1652" s="2">
        <v>1</v>
      </c>
      <c r="AC1652" s="2" t="s">
        <v>178</v>
      </c>
      <c r="AD1652" s="3">
        <v>40287</v>
      </c>
      <c r="AE1652" s="4">
        <v>0.83333333333333337</v>
      </c>
      <c r="AF1652" s="2"/>
      <c r="AG1652" s="2"/>
      <c r="AH1652" s="2">
        <v>2</v>
      </c>
      <c r="AI1652" s="2" t="s">
        <v>84</v>
      </c>
      <c r="AJ1652" s="2">
        <v>9</v>
      </c>
      <c r="AK1652" s="2" t="s">
        <v>103</v>
      </c>
      <c r="AL1652" s="2">
        <v>11</v>
      </c>
      <c r="AM1652" s="2" t="s">
        <v>137</v>
      </c>
      <c r="AN1652" s="2"/>
      <c r="AO1652" s="2" t="s">
        <v>590</v>
      </c>
      <c r="AP1652" s="2">
        <v>11</v>
      </c>
      <c r="AQ1652" s="2" t="s">
        <v>82</v>
      </c>
      <c r="AR1652" s="2"/>
      <c r="AS1652" s="2"/>
      <c r="AT1652" s="2" t="s">
        <v>5951</v>
      </c>
      <c r="AU1652" s="2"/>
      <c r="AV1652" s="2">
        <v>1</v>
      </c>
      <c r="AW1652" s="2"/>
      <c r="AX1652" s="2"/>
      <c r="AY1652" s="2">
        <v>41</v>
      </c>
      <c r="AZ1652" s="2" t="s">
        <v>82</v>
      </c>
      <c r="BA1652" s="2">
        <v>41</v>
      </c>
      <c r="BB1652" s="2" t="s">
        <v>82</v>
      </c>
      <c r="BC1652" s="2">
        <v>41</v>
      </c>
      <c r="BD1652" s="2" t="s">
        <v>82</v>
      </c>
      <c r="BE1652" s="2">
        <v>13</v>
      </c>
      <c r="BF1652" s="2" t="s">
        <v>108</v>
      </c>
      <c r="BG1652" s="2">
        <v>1140</v>
      </c>
      <c r="BH1652" s="2"/>
      <c r="BI1652" s="2"/>
      <c r="BJ1652" s="2">
        <v>13</v>
      </c>
      <c r="BK1652" s="2" t="s">
        <v>91</v>
      </c>
      <c r="BL1652" s="2" t="s">
        <v>185</v>
      </c>
      <c r="BM1652" s="2">
        <v>241</v>
      </c>
      <c r="BN1652" s="2" t="s">
        <v>82</v>
      </c>
      <c r="BO1652" s="2"/>
      <c r="BP1652" s="2">
        <v>112</v>
      </c>
      <c r="BQ1652" s="2" t="s">
        <v>110</v>
      </c>
      <c r="BR1652" s="2" t="s">
        <v>111</v>
      </c>
      <c r="BS1652" s="3">
        <v>40291</v>
      </c>
      <c r="BT1652" s="4">
        <v>0.32043981481481482</v>
      </c>
    </row>
    <row r="1653" spans="1:72" x14ac:dyDescent="0.25">
      <c r="A1653" s="2">
        <v>2416</v>
      </c>
      <c r="B1653" s="2">
        <v>2010</v>
      </c>
      <c r="C1653" s="2" t="s">
        <v>121</v>
      </c>
      <c r="D1653" s="2" t="s">
        <v>122</v>
      </c>
      <c r="E1653" s="2"/>
      <c r="F1653" s="2">
        <v>1</v>
      </c>
      <c r="G1653" s="2" t="s">
        <v>82</v>
      </c>
      <c r="H1653" s="2">
        <v>1</v>
      </c>
      <c r="I1653" s="2" t="s">
        <v>82</v>
      </c>
      <c r="J1653" s="2">
        <v>1</v>
      </c>
      <c r="K1653" s="2" t="s">
        <v>107</v>
      </c>
      <c r="L1653" s="2" t="s">
        <v>107</v>
      </c>
      <c r="M1653" s="3">
        <v>40291</v>
      </c>
      <c r="N1653" s="2"/>
      <c r="O1653" s="2"/>
      <c r="P1653" s="2"/>
      <c r="Q1653" s="2" t="str">
        <f>""</f>
        <v/>
      </c>
      <c r="R1653" s="2"/>
      <c r="S1653" s="2"/>
      <c r="T1653" s="2">
        <v>2</v>
      </c>
      <c r="U1653" s="2" t="s">
        <v>123</v>
      </c>
      <c r="V1653" s="2">
        <v>1</v>
      </c>
      <c r="W1653" s="2" t="s">
        <v>80</v>
      </c>
      <c r="X1653" s="2">
        <v>5</v>
      </c>
      <c r="Y1653" s="2" t="s">
        <v>82</v>
      </c>
      <c r="Z1653" s="2">
        <v>1</v>
      </c>
      <c r="AA1653" s="2" t="s">
        <v>82</v>
      </c>
      <c r="AB1653" s="2">
        <v>9</v>
      </c>
      <c r="AC1653" s="2" t="s">
        <v>124</v>
      </c>
      <c r="AD1653" s="3">
        <v>40291</v>
      </c>
      <c r="AE1653" s="4">
        <v>0.40972222222222227</v>
      </c>
      <c r="AF1653" s="2"/>
      <c r="AG1653" s="2"/>
      <c r="AH1653" s="2">
        <v>6</v>
      </c>
      <c r="AI1653" s="2" t="s">
        <v>197</v>
      </c>
      <c r="AJ1653" s="2">
        <v>51</v>
      </c>
      <c r="AK1653" s="2" t="s">
        <v>238</v>
      </c>
      <c r="AL1653" s="2">
        <v>18</v>
      </c>
      <c r="AM1653" s="2" t="s">
        <v>82</v>
      </c>
      <c r="AN1653" s="2"/>
      <c r="AO1653" s="2"/>
      <c r="AP1653" s="2">
        <v>11</v>
      </c>
      <c r="AQ1653" s="2" t="s">
        <v>82</v>
      </c>
      <c r="AR1653" s="2"/>
      <c r="AS1653" s="2"/>
      <c r="AT1653" s="2" t="s">
        <v>5952</v>
      </c>
      <c r="AU1653" s="2"/>
      <c r="AV1653" s="2"/>
      <c r="AW1653" s="2"/>
      <c r="AX1653" s="2"/>
      <c r="AY1653" s="2">
        <v>1</v>
      </c>
      <c r="AZ1653" s="2" t="s">
        <v>107</v>
      </c>
      <c r="BA1653" s="2">
        <v>1</v>
      </c>
      <c r="BB1653" s="2" t="s">
        <v>107</v>
      </c>
      <c r="BC1653" s="2">
        <v>1</v>
      </c>
      <c r="BD1653" s="2" t="s">
        <v>107</v>
      </c>
      <c r="BE1653" s="2">
        <v>1</v>
      </c>
      <c r="BF1653" s="2" t="s">
        <v>107</v>
      </c>
      <c r="BG1653" s="2"/>
      <c r="BH1653" s="2"/>
      <c r="BI1653" s="4">
        <v>0.40972222222222227</v>
      </c>
      <c r="BJ1653" s="2">
        <v>242</v>
      </c>
      <c r="BK1653" s="2" t="s">
        <v>107</v>
      </c>
      <c r="BL1653" s="2"/>
      <c r="BM1653" s="2">
        <v>242</v>
      </c>
      <c r="BN1653" s="2" t="s">
        <v>107</v>
      </c>
      <c r="BO1653" s="2"/>
      <c r="BP1653" s="2">
        <v>13</v>
      </c>
      <c r="BQ1653" s="2" t="s">
        <v>91</v>
      </c>
      <c r="BR1653" s="2" t="s">
        <v>5953</v>
      </c>
      <c r="BS1653" s="3">
        <v>40291</v>
      </c>
      <c r="BT1653" s="4">
        <v>0.432650462962963</v>
      </c>
    </row>
    <row r="1654" spans="1:72" x14ac:dyDescent="0.25">
      <c r="A1654" s="2">
        <v>2420</v>
      </c>
      <c r="B1654" s="2">
        <v>2010</v>
      </c>
      <c r="C1654" s="2" t="s">
        <v>819</v>
      </c>
      <c r="D1654" s="2" t="s">
        <v>122</v>
      </c>
      <c r="E1654" s="2" t="s">
        <v>5954</v>
      </c>
      <c r="F1654" s="2">
        <v>425</v>
      </c>
      <c r="G1654" s="2" t="s">
        <v>286</v>
      </c>
      <c r="H1654" s="2">
        <v>39</v>
      </c>
      <c r="I1654" s="2" t="s">
        <v>1117</v>
      </c>
      <c r="J1654" s="2">
        <v>310</v>
      </c>
      <c r="K1654" s="2" t="s">
        <v>288</v>
      </c>
      <c r="L1654" s="2" t="s">
        <v>289</v>
      </c>
      <c r="M1654" s="3">
        <v>40291</v>
      </c>
      <c r="N1654" s="2" t="s">
        <v>2049</v>
      </c>
      <c r="O1654" s="2"/>
      <c r="P1654" s="2"/>
      <c r="Q1654" s="2" t="str">
        <f>"043/10"</f>
        <v>043/10</v>
      </c>
      <c r="R1654" s="2" t="s">
        <v>822</v>
      </c>
      <c r="S1654" s="2"/>
      <c r="T1654" s="2">
        <v>1</v>
      </c>
      <c r="U1654" s="2" t="s">
        <v>79</v>
      </c>
      <c r="V1654" s="2">
        <v>1</v>
      </c>
      <c r="W1654" s="2" t="s">
        <v>80</v>
      </c>
      <c r="X1654" s="2">
        <v>1</v>
      </c>
      <c r="Y1654" s="2" t="s">
        <v>81</v>
      </c>
      <c r="Z1654" s="2">
        <v>10</v>
      </c>
      <c r="AA1654" s="2" t="s">
        <v>236</v>
      </c>
      <c r="AB1654" s="2">
        <v>9</v>
      </c>
      <c r="AC1654" s="2" t="s">
        <v>124</v>
      </c>
      <c r="AD1654" s="3">
        <v>40291</v>
      </c>
      <c r="AE1654" s="4">
        <v>0.41666666666666669</v>
      </c>
      <c r="AF1654" s="2"/>
      <c r="AG1654" s="2"/>
      <c r="AH1654" s="2">
        <v>4</v>
      </c>
      <c r="AI1654" s="2" t="s">
        <v>125</v>
      </c>
      <c r="AJ1654" s="2">
        <v>29</v>
      </c>
      <c r="AK1654" s="2" t="s">
        <v>227</v>
      </c>
      <c r="AL1654" s="2">
        <v>10</v>
      </c>
      <c r="AM1654" s="2" t="s">
        <v>200</v>
      </c>
      <c r="AN1654" s="2" t="s">
        <v>3040</v>
      </c>
      <c r="AO1654" s="2" t="s">
        <v>5955</v>
      </c>
      <c r="AP1654" s="2">
        <v>12</v>
      </c>
      <c r="AQ1654" s="2" t="s">
        <v>322</v>
      </c>
      <c r="AR1654" s="2" t="s">
        <v>824</v>
      </c>
      <c r="AS1654" s="2" t="s">
        <v>825</v>
      </c>
      <c r="AT1654" s="2" t="s">
        <v>5956</v>
      </c>
      <c r="AU1654" s="2"/>
      <c r="AV1654" s="2"/>
      <c r="AW1654" s="2"/>
      <c r="AX1654" s="2"/>
      <c r="AY1654" s="2">
        <v>41</v>
      </c>
      <c r="AZ1654" s="2" t="s">
        <v>82</v>
      </c>
      <c r="BA1654" s="2">
        <v>41</v>
      </c>
      <c r="BB1654" s="2" t="s">
        <v>82</v>
      </c>
      <c r="BC1654" s="2">
        <v>51</v>
      </c>
      <c r="BD1654" s="2" t="s">
        <v>827</v>
      </c>
      <c r="BE1654" s="2">
        <v>47</v>
      </c>
      <c r="BF1654" s="2" t="s">
        <v>167</v>
      </c>
      <c r="BG1654" s="2">
        <v>2476</v>
      </c>
      <c r="BH1654" s="4">
        <v>0.92013888888888884</v>
      </c>
      <c r="BI1654" s="4">
        <v>0.97222222222222221</v>
      </c>
      <c r="BJ1654" s="2">
        <v>13</v>
      </c>
      <c r="BK1654" s="2" t="s">
        <v>91</v>
      </c>
      <c r="BL1654" s="2" t="s">
        <v>828</v>
      </c>
      <c r="BM1654" s="2">
        <v>241</v>
      </c>
      <c r="BN1654" s="2" t="s">
        <v>82</v>
      </c>
      <c r="BO1654" s="2" t="s">
        <v>82</v>
      </c>
      <c r="BP1654" s="2">
        <v>13</v>
      </c>
      <c r="BQ1654" s="2" t="s">
        <v>91</v>
      </c>
      <c r="BR1654" s="2" t="s">
        <v>185</v>
      </c>
      <c r="BS1654" s="3">
        <v>40291</v>
      </c>
      <c r="BT1654" s="4">
        <v>0.52061342592592597</v>
      </c>
    </row>
    <row r="1655" spans="1:72" x14ac:dyDescent="0.25">
      <c r="A1655" s="2">
        <v>2421</v>
      </c>
      <c r="B1655" s="2">
        <v>2010</v>
      </c>
      <c r="C1655" s="2" t="s">
        <v>128</v>
      </c>
      <c r="D1655" s="2" t="s">
        <v>73</v>
      </c>
      <c r="E1655" s="2" t="s">
        <v>5957</v>
      </c>
      <c r="F1655" s="2">
        <v>146</v>
      </c>
      <c r="G1655" s="2" t="s">
        <v>753</v>
      </c>
      <c r="H1655" s="2">
        <v>44</v>
      </c>
      <c r="I1655" s="2" t="s">
        <v>1272</v>
      </c>
      <c r="J1655" s="2">
        <v>161</v>
      </c>
      <c r="K1655" s="2" t="s">
        <v>1900</v>
      </c>
      <c r="L1655" s="2" t="s">
        <v>1901</v>
      </c>
      <c r="M1655" s="3">
        <v>40291</v>
      </c>
      <c r="N1655" s="2" t="s">
        <v>2689</v>
      </c>
      <c r="O1655" s="2" t="s">
        <v>82</v>
      </c>
      <c r="P1655" s="2" t="s">
        <v>82</v>
      </c>
      <c r="Q1655" s="2" t="str">
        <f>"AP 0020-10"</f>
        <v>AP 0020-10</v>
      </c>
      <c r="R1655" s="2" t="s">
        <v>82</v>
      </c>
      <c r="S1655" s="2" t="s">
        <v>5958</v>
      </c>
      <c r="T1655" s="2">
        <v>1</v>
      </c>
      <c r="U1655" s="2" t="s">
        <v>79</v>
      </c>
      <c r="V1655" s="2">
        <v>1</v>
      </c>
      <c r="W1655" s="2" t="s">
        <v>80</v>
      </c>
      <c r="X1655" s="2">
        <v>1</v>
      </c>
      <c r="Y1655" s="2" t="s">
        <v>81</v>
      </c>
      <c r="Z1655" s="2">
        <v>1</v>
      </c>
      <c r="AA1655" s="2" t="s">
        <v>82</v>
      </c>
      <c r="AB1655" s="2">
        <v>9</v>
      </c>
      <c r="AC1655" s="2" t="s">
        <v>124</v>
      </c>
      <c r="AD1655" s="3">
        <v>40291</v>
      </c>
      <c r="AE1655" s="4">
        <v>0.375</v>
      </c>
      <c r="AF1655" s="2"/>
      <c r="AG1655" s="2"/>
      <c r="AH1655" s="2">
        <v>6</v>
      </c>
      <c r="AI1655" s="2" t="s">
        <v>197</v>
      </c>
      <c r="AJ1655" s="2">
        <v>60</v>
      </c>
      <c r="AK1655" s="2" t="s">
        <v>543</v>
      </c>
      <c r="AL1655" s="2">
        <v>12</v>
      </c>
      <c r="AM1655" s="2" t="s">
        <v>86</v>
      </c>
      <c r="AN1655" s="2" t="s">
        <v>82</v>
      </c>
      <c r="AO1655" s="2" t="s">
        <v>82</v>
      </c>
      <c r="AP1655" s="2">
        <v>11</v>
      </c>
      <c r="AQ1655" s="2" t="s">
        <v>82</v>
      </c>
      <c r="AR1655" s="2"/>
      <c r="AS1655" s="2"/>
      <c r="AT1655" s="2" t="s">
        <v>5959</v>
      </c>
      <c r="AU1655" s="2"/>
      <c r="AV1655" s="2"/>
      <c r="AW1655" s="2"/>
      <c r="AX1655" s="2"/>
      <c r="AY1655" s="2">
        <v>41</v>
      </c>
      <c r="AZ1655" s="2" t="s">
        <v>82</v>
      </c>
      <c r="BA1655" s="2">
        <v>41</v>
      </c>
      <c r="BB1655" s="2" t="s">
        <v>82</v>
      </c>
      <c r="BC1655" s="2">
        <v>41</v>
      </c>
      <c r="BD1655" s="2" t="s">
        <v>82</v>
      </c>
      <c r="BE1655" s="2">
        <v>41</v>
      </c>
      <c r="BF1655" s="2" t="s">
        <v>82</v>
      </c>
      <c r="BG1655" s="2"/>
      <c r="BH1655" s="2"/>
      <c r="BI1655" s="2"/>
      <c r="BJ1655" s="2">
        <v>13</v>
      </c>
      <c r="BK1655" s="2" t="s">
        <v>91</v>
      </c>
      <c r="BL1655" s="2"/>
      <c r="BM1655" s="2">
        <v>13</v>
      </c>
      <c r="BN1655" s="2" t="s">
        <v>91</v>
      </c>
      <c r="BO1655" s="2"/>
      <c r="BP1655" s="2">
        <v>13</v>
      </c>
      <c r="BQ1655" s="2" t="s">
        <v>91</v>
      </c>
      <c r="BR1655" s="2"/>
      <c r="BS1655" s="3">
        <v>40291</v>
      </c>
      <c r="BT1655" s="4">
        <v>0.52736111111111106</v>
      </c>
    </row>
    <row r="1656" spans="1:72" x14ac:dyDescent="0.25">
      <c r="A1656" s="2">
        <v>2422</v>
      </c>
      <c r="B1656" s="2">
        <v>2010</v>
      </c>
      <c r="C1656" s="2" t="s">
        <v>196</v>
      </c>
      <c r="D1656" s="2" t="s">
        <v>122</v>
      </c>
      <c r="E1656" s="2"/>
      <c r="F1656" s="2">
        <v>1</v>
      </c>
      <c r="G1656" s="2" t="s">
        <v>82</v>
      </c>
      <c r="H1656" s="2">
        <v>1</v>
      </c>
      <c r="I1656" s="2" t="s">
        <v>82</v>
      </c>
      <c r="J1656" s="2">
        <v>1</v>
      </c>
      <c r="K1656" s="2" t="s">
        <v>107</v>
      </c>
      <c r="L1656" s="2" t="s">
        <v>107</v>
      </c>
      <c r="M1656" s="3">
        <v>40291</v>
      </c>
      <c r="N1656" s="2"/>
      <c r="O1656" s="2"/>
      <c r="P1656" s="2"/>
      <c r="Q1656" s="2" t="str">
        <f>""</f>
        <v/>
      </c>
      <c r="R1656" s="2"/>
      <c r="S1656" s="2"/>
      <c r="T1656" s="2">
        <v>2</v>
      </c>
      <c r="U1656" s="2" t="s">
        <v>123</v>
      </c>
      <c r="V1656" s="2">
        <v>1</v>
      </c>
      <c r="W1656" s="2" t="s">
        <v>80</v>
      </c>
      <c r="X1656" s="2">
        <v>1</v>
      </c>
      <c r="Y1656" s="2" t="s">
        <v>81</v>
      </c>
      <c r="Z1656" s="2">
        <v>10</v>
      </c>
      <c r="AA1656" s="2" t="s">
        <v>236</v>
      </c>
      <c r="AB1656" s="2">
        <v>9</v>
      </c>
      <c r="AC1656" s="2" t="s">
        <v>124</v>
      </c>
      <c r="AD1656" s="3">
        <v>40291</v>
      </c>
      <c r="AE1656" s="4">
        <v>0.33333333333333331</v>
      </c>
      <c r="AF1656" s="2"/>
      <c r="AG1656" s="2"/>
      <c r="AH1656" s="2">
        <v>2</v>
      </c>
      <c r="AI1656" s="2" t="s">
        <v>84</v>
      </c>
      <c r="AJ1656" s="2">
        <v>12</v>
      </c>
      <c r="AK1656" s="2" t="s">
        <v>85</v>
      </c>
      <c r="AL1656" s="2">
        <v>20</v>
      </c>
      <c r="AM1656" s="2" t="s">
        <v>992</v>
      </c>
      <c r="AN1656" s="2" t="s">
        <v>107</v>
      </c>
      <c r="AO1656" s="2" t="s">
        <v>992</v>
      </c>
      <c r="AP1656" s="2">
        <v>11</v>
      </c>
      <c r="AQ1656" s="2" t="s">
        <v>82</v>
      </c>
      <c r="AR1656" s="2"/>
      <c r="AS1656" s="2"/>
      <c r="AT1656" s="2" t="s">
        <v>5960</v>
      </c>
      <c r="AU1656" s="2"/>
      <c r="AV1656" s="2"/>
      <c r="AW1656" s="2"/>
      <c r="AX1656" s="2"/>
      <c r="AY1656" s="2">
        <v>41</v>
      </c>
      <c r="AZ1656" s="2" t="s">
        <v>82</v>
      </c>
      <c r="BA1656" s="2">
        <v>41</v>
      </c>
      <c r="BB1656" s="2" t="s">
        <v>82</v>
      </c>
      <c r="BC1656" s="2">
        <v>41</v>
      </c>
      <c r="BD1656" s="2" t="s">
        <v>82</v>
      </c>
      <c r="BE1656" s="2">
        <v>41</v>
      </c>
      <c r="BF1656" s="2" t="s">
        <v>82</v>
      </c>
      <c r="BG1656" s="2"/>
      <c r="BH1656" s="2"/>
      <c r="BI1656" s="4">
        <v>0.50347222222222221</v>
      </c>
      <c r="BJ1656" s="2">
        <v>13</v>
      </c>
      <c r="BK1656" s="2" t="s">
        <v>91</v>
      </c>
      <c r="BL1656" s="2" t="s">
        <v>185</v>
      </c>
      <c r="BM1656" s="2">
        <v>241</v>
      </c>
      <c r="BN1656" s="2" t="s">
        <v>82</v>
      </c>
      <c r="BO1656" s="2"/>
      <c r="BP1656" s="2">
        <v>13</v>
      </c>
      <c r="BQ1656" s="2" t="s">
        <v>91</v>
      </c>
      <c r="BR1656" s="2" t="s">
        <v>5961</v>
      </c>
      <c r="BS1656" s="3">
        <v>40291</v>
      </c>
      <c r="BT1656" s="4">
        <v>0.57173611111111111</v>
      </c>
    </row>
    <row r="1657" spans="1:72" x14ac:dyDescent="0.25">
      <c r="A1657" s="2">
        <v>2423</v>
      </c>
      <c r="B1657" s="2">
        <v>2010</v>
      </c>
      <c r="C1657" s="2" t="s">
        <v>409</v>
      </c>
      <c r="D1657" s="2" t="s">
        <v>122</v>
      </c>
      <c r="E1657" s="2"/>
      <c r="F1657" s="2">
        <v>146</v>
      </c>
      <c r="G1657" s="2" t="s">
        <v>753</v>
      </c>
      <c r="H1657" s="2">
        <v>39</v>
      </c>
      <c r="I1657" s="2" t="s">
        <v>1117</v>
      </c>
      <c r="J1657" s="2">
        <v>161</v>
      </c>
      <c r="K1657" s="2" t="s">
        <v>1900</v>
      </c>
      <c r="L1657" s="2" t="s">
        <v>1901</v>
      </c>
      <c r="M1657" s="3">
        <v>40291</v>
      </c>
      <c r="N1657" s="2" t="s">
        <v>4862</v>
      </c>
      <c r="O1657" s="2" t="s">
        <v>5962</v>
      </c>
      <c r="P1657" s="2"/>
      <c r="Q1657" s="2" t="str">
        <f>""</f>
        <v/>
      </c>
      <c r="R1657" s="2"/>
      <c r="S1657" s="2"/>
      <c r="T1657" s="2">
        <v>1</v>
      </c>
      <c r="U1657" s="2" t="s">
        <v>79</v>
      </c>
      <c r="V1657" s="2">
        <v>1</v>
      </c>
      <c r="W1657" s="2" t="s">
        <v>80</v>
      </c>
      <c r="X1657" s="2">
        <v>4</v>
      </c>
      <c r="Y1657" s="2" t="s">
        <v>463</v>
      </c>
      <c r="Z1657" s="2">
        <v>1</v>
      </c>
      <c r="AA1657" s="2" t="s">
        <v>82</v>
      </c>
      <c r="AB1657" s="2">
        <v>9</v>
      </c>
      <c r="AC1657" s="2" t="s">
        <v>124</v>
      </c>
      <c r="AD1657" s="3">
        <v>40291</v>
      </c>
      <c r="AE1657" s="4">
        <v>0.59027777777777779</v>
      </c>
      <c r="AF1657" s="2"/>
      <c r="AG1657" s="2"/>
      <c r="AH1657" s="2">
        <v>6</v>
      </c>
      <c r="AI1657" s="2" t="s">
        <v>197</v>
      </c>
      <c r="AJ1657" s="2">
        <v>60</v>
      </c>
      <c r="AK1657" s="2" t="s">
        <v>543</v>
      </c>
      <c r="AL1657" s="2">
        <v>18</v>
      </c>
      <c r="AM1657" s="2" t="s">
        <v>82</v>
      </c>
      <c r="AN1657" s="2"/>
      <c r="AO1657" s="2" t="s">
        <v>2249</v>
      </c>
      <c r="AP1657" s="2">
        <v>11</v>
      </c>
      <c r="AQ1657" s="2" t="s">
        <v>82</v>
      </c>
      <c r="AR1657" s="2" t="s">
        <v>82</v>
      </c>
      <c r="AS1657" s="2" t="s">
        <v>82</v>
      </c>
      <c r="AT1657" s="2" t="s">
        <v>5963</v>
      </c>
      <c r="AU1657" s="2"/>
      <c r="AV1657" s="2"/>
      <c r="AW1657" s="2"/>
      <c r="AX1657" s="2"/>
      <c r="AY1657" s="2">
        <v>41</v>
      </c>
      <c r="AZ1657" s="2" t="s">
        <v>82</v>
      </c>
      <c r="BA1657" s="2">
        <v>41</v>
      </c>
      <c r="BB1657" s="2" t="s">
        <v>82</v>
      </c>
      <c r="BC1657" s="2">
        <v>41</v>
      </c>
      <c r="BD1657" s="2" t="s">
        <v>82</v>
      </c>
      <c r="BE1657" s="2">
        <v>42</v>
      </c>
      <c r="BF1657" s="2" t="s">
        <v>182</v>
      </c>
      <c r="BG1657" s="2" t="s">
        <v>5964</v>
      </c>
      <c r="BH1657" s="4">
        <v>0.69791666666666663</v>
      </c>
      <c r="BI1657" s="4">
        <v>0.59027777777777779</v>
      </c>
      <c r="BJ1657" s="2">
        <v>13</v>
      </c>
      <c r="BK1657" s="2" t="s">
        <v>91</v>
      </c>
      <c r="BL1657" s="2" t="s">
        <v>895</v>
      </c>
      <c r="BM1657" s="2">
        <v>13</v>
      </c>
      <c r="BN1657" s="2" t="s">
        <v>91</v>
      </c>
      <c r="BO1657" s="2" t="s">
        <v>5965</v>
      </c>
      <c r="BP1657" s="2">
        <v>13</v>
      </c>
      <c r="BQ1657" s="2" t="s">
        <v>91</v>
      </c>
      <c r="BR1657" s="2" t="s">
        <v>5966</v>
      </c>
      <c r="BS1657" s="3">
        <v>40291</v>
      </c>
      <c r="BT1657" s="4">
        <v>0.60086805555555556</v>
      </c>
    </row>
    <row r="1658" spans="1:72" x14ac:dyDescent="0.25">
      <c r="A1658" s="2">
        <v>2425</v>
      </c>
      <c r="B1658" s="2">
        <v>2010</v>
      </c>
      <c r="C1658" s="2" t="s">
        <v>128</v>
      </c>
      <c r="D1658" s="2" t="s">
        <v>122</v>
      </c>
      <c r="E1658" s="2" t="s">
        <v>5967</v>
      </c>
      <c r="F1658" s="2">
        <v>146</v>
      </c>
      <c r="G1658" s="2" t="s">
        <v>753</v>
      </c>
      <c r="H1658" s="2">
        <v>44</v>
      </c>
      <c r="I1658" s="2" t="s">
        <v>1272</v>
      </c>
      <c r="J1658" s="2">
        <v>161</v>
      </c>
      <c r="K1658" s="2" t="s">
        <v>1900</v>
      </c>
      <c r="L1658" s="2" t="s">
        <v>1901</v>
      </c>
      <c r="M1658" s="3">
        <v>40291</v>
      </c>
      <c r="N1658" s="2" t="s">
        <v>2689</v>
      </c>
      <c r="O1658" s="2" t="s">
        <v>82</v>
      </c>
      <c r="P1658" s="2" t="s">
        <v>82</v>
      </c>
      <c r="Q1658" s="2" t="str">
        <f>"AP 0020-10"</f>
        <v>AP 0020-10</v>
      </c>
      <c r="R1658" s="2" t="s">
        <v>5958</v>
      </c>
      <c r="S1658" s="2" t="s">
        <v>82</v>
      </c>
      <c r="T1658" s="2">
        <v>1</v>
      </c>
      <c r="U1658" s="2" t="s">
        <v>79</v>
      </c>
      <c r="V1658" s="2">
        <v>1</v>
      </c>
      <c r="W1658" s="2" t="s">
        <v>80</v>
      </c>
      <c r="X1658" s="2">
        <v>1</v>
      </c>
      <c r="Y1658" s="2" t="s">
        <v>81</v>
      </c>
      <c r="Z1658" s="2">
        <v>1</v>
      </c>
      <c r="AA1658" s="2" t="s">
        <v>82</v>
      </c>
      <c r="AB1658" s="2">
        <v>9</v>
      </c>
      <c r="AC1658" s="2" t="s">
        <v>124</v>
      </c>
      <c r="AD1658" s="3">
        <v>40291</v>
      </c>
      <c r="AE1658" s="4">
        <v>0.60416666666666663</v>
      </c>
      <c r="AF1658" s="2"/>
      <c r="AG1658" s="2"/>
      <c r="AH1658" s="2">
        <v>6</v>
      </c>
      <c r="AI1658" s="2" t="s">
        <v>197</v>
      </c>
      <c r="AJ1658" s="2">
        <v>60</v>
      </c>
      <c r="AK1658" s="2" t="s">
        <v>543</v>
      </c>
      <c r="AL1658" s="2">
        <v>18</v>
      </c>
      <c r="AM1658" s="2" t="s">
        <v>82</v>
      </c>
      <c r="AN1658" s="2" t="s">
        <v>82</v>
      </c>
      <c r="AO1658" s="2" t="s">
        <v>82</v>
      </c>
      <c r="AP1658" s="2">
        <v>11</v>
      </c>
      <c r="AQ1658" s="2" t="s">
        <v>82</v>
      </c>
      <c r="AR1658" s="2"/>
      <c r="AS1658" s="2"/>
      <c r="AT1658" s="2" t="s">
        <v>5968</v>
      </c>
      <c r="AU1658" s="2"/>
      <c r="AV1658" s="2"/>
      <c r="AW1658" s="2"/>
      <c r="AX1658" s="2"/>
      <c r="AY1658" s="2">
        <v>41</v>
      </c>
      <c r="AZ1658" s="2" t="s">
        <v>82</v>
      </c>
      <c r="BA1658" s="2">
        <v>41</v>
      </c>
      <c r="BB1658" s="2" t="s">
        <v>82</v>
      </c>
      <c r="BC1658" s="2">
        <v>41</v>
      </c>
      <c r="BD1658" s="2" t="s">
        <v>82</v>
      </c>
      <c r="BE1658" s="2">
        <v>41</v>
      </c>
      <c r="BF1658" s="2" t="s">
        <v>82</v>
      </c>
      <c r="BG1658" s="2" t="s">
        <v>82</v>
      </c>
      <c r="BH1658" s="2"/>
      <c r="BI1658" s="2"/>
      <c r="BJ1658" s="2">
        <v>13</v>
      </c>
      <c r="BK1658" s="2" t="s">
        <v>91</v>
      </c>
      <c r="BL1658" s="2"/>
      <c r="BM1658" s="2">
        <v>13</v>
      </c>
      <c r="BN1658" s="2" t="s">
        <v>91</v>
      </c>
      <c r="BO1658" s="2"/>
      <c r="BP1658" s="2">
        <v>13</v>
      </c>
      <c r="BQ1658" s="2" t="s">
        <v>91</v>
      </c>
      <c r="BR1658" s="2"/>
      <c r="BS1658" s="3">
        <v>40291</v>
      </c>
      <c r="BT1658" s="4">
        <v>0.62831018518518522</v>
      </c>
    </row>
    <row r="1659" spans="1:72" x14ac:dyDescent="0.25">
      <c r="A1659" s="2">
        <v>2426</v>
      </c>
      <c r="B1659" s="2">
        <v>2010</v>
      </c>
      <c r="C1659" s="2" t="s">
        <v>72</v>
      </c>
      <c r="D1659" s="2" t="s">
        <v>73</v>
      </c>
      <c r="E1659" s="2"/>
      <c r="F1659" s="2">
        <v>24</v>
      </c>
      <c r="G1659" s="2" t="s">
        <v>532</v>
      </c>
      <c r="H1659" s="2">
        <v>1</v>
      </c>
      <c r="I1659" s="2" t="s">
        <v>82</v>
      </c>
      <c r="J1659" s="2">
        <v>300</v>
      </c>
      <c r="K1659" s="2" t="s">
        <v>114</v>
      </c>
      <c r="L1659" s="2" t="s">
        <v>115</v>
      </c>
      <c r="M1659" s="3">
        <v>40291</v>
      </c>
      <c r="N1659" s="2"/>
      <c r="O1659" s="2"/>
      <c r="P1659" s="2"/>
      <c r="Q1659" s="2" t="str">
        <f>"223-E/10"</f>
        <v>223-E/10</v>
      </c>
      <c r="R1659" s="2" t="s">
        <v>480</v>
      </c>
      <c r="S1659" s="2" t="s">
        <v>480</v>
      </c>
      <c r="T1659" s="2">
        <v>1</v>
      </c>
      <c r="U1659" s="2" t="s">
        <v>79</v>
      </c>
      <c r="V1659" s="2">
        <v>1</v>
      </c>
      <c r="W1659" s="2" t="s">
        <v>80</v>
      </c>
      <c r="X1659" s="2">
        <v>12</v>
      </c>
      <c r="Y1659" s="2" t="s">
        <v>148</v>
      </c>
      <c r="Z1659" s="2">
        <v>1</v>
      </c>
      <c r="AA1659" s="2" t="s">
        <v>82</v>
      </c>
      <c r="AB1659" s="2">
        <v>6</v>
      </c>
      <c r="AC1659" s="2" t="s">
        <v>83</v>
      </c>
      <c r="AD1659" s="3">
        <v>40291</v>
      </c>
      <c r="AE1659" s="4">
        <v>0.29166666666666669</v>
      </c>
      <c r="AF1659" s="3">
        <v>40291</v>
      </c>
      <c r="AG1659" s="4">
        <v>0.52083333333333337</v>
      </c>
      <c r="AH1659" s="2">
        <v>2</v>
      </c>
      <c r="AI1659" s="2" t="s">
        <v>84</v>
      </c>
      <c r="AJ1659" s="2">
        <v>9</v>
      </c>
      <c r="AK1659" s="2" t="s">
        <v>103</v>
      </c>
      <c r="AL1659" s="2">
        <v>28</v>
      </c>
      <c r="AM1659" s="2" t="s">
        <v>5969</v>
      </c>
      <c r="AN1659" s="2" t="s">
        <v>5970</v>
      </c>
      <c r="AO1659" s="2" t="s">
        <v>1934</v>
      </c>
      <c r="AP1659" s="2">
        <v>11</v>
      </c>
      <c r="AQ1659" s="2" t="s">
        <v>82</v>
      </c>
      <c r="AR1659" s="2"/>
      <c r="AS1659" s="2"/>
      <c r="AT1659" s="2" t="s">
        <v>5971</v>
      </c>
      <c r="AU1659" s="2"/>
      <c r="AV1659" s="2"/>
      <c r="AW1659" s="2"/>
      <c r="AX1659" s="2"/>
      <c r="AY1659" s="2">
        <v>41</v>
      </c>
      <c r="AZ1659" s="2" t="s">
        <v>82</v>
      </c>
      <c r="BA1659" s="2">
        <v>41</v>
      </c>
      <c r="BB1659" s="2" t="s">
        <v>82</v>
      </c>
      <c r="BC1659" s="2">
        <v>41</v>
      </c>
      <c r="BD1659" s="2" t="s">
        <v>82</v>
      </c>
      <c r="BE1659" s="2">
        <v>41</v>
      </c>
      <c r="BF1659" s="2" t="s">
        <v>82</v>
      </c>
      <c r="BG1659" s="2"/>
      <c r="BH1659" s="4">
        <v>0</v>
      </c>
      <c r="BI1659" s="4">
        <v>0</v>
      </c>
      <c r="BJ1659" s="2">
        <v>241</v>
      </c>
      <c r="BK1659" s="2" t="s">
        <v>82</v>
      </c>
      <c r="BL1659" s="2"/>
      <c r="BM1659" s="2">
        <v>241</v>
      </c>
      <c r="BN1659" s="2" t="s">
        <v>82</v>
      </c>
      <c r="BO1659" s="2"/>
      <c r="BP1659" s="2">
        <v>241</v>
      </c>
      <c r="BQ1659" s="2" t="s">
        <v>82</v>
      </c>
      <c r="BR1659" s="2"/>
      <c r="BS1659" s="3">
        <v>40291</v>
      </c>
      <c r="BT1659" s="4">
        <v>0.65704861111111112</v>
      </c>
    </row>
    <row r="1660" spans="1:72" x14ac:dyDescent="0.25">
      <c r="A1660" s="2">
        <v>2427</v>
      </c>
      <c r="B1660" s="2">
        <v>2010</v>
      </c>
      <c r="C1660" s="2" t="s">
        <v>457</v>
      </c>
      <c r="D1660" s="2" t="s">
        <v>73</v>
      </c>
      <c r="E1660" s="2"/>
      <c r="F1660" s="2">
        <v>602</v>
      </c>
      <c r="G1660" s="2" t="s">
        <v>5972</v>
      </c>
      <c r="H1660" s="2">
        <v>50</v>
      </c>
      <c r="I1660" s="2" t="s">
        <v>107</v>
      </c>
      <c r="J1660" s="2">
        <v>1</v>
      </c>
      <c r="K1660" s="2" t="s">
        <v>107</v>
      </c>
      <c r="L1660" s="2" t="s">
        <v>107</v>
      </c>
      <c r="M1660" s="3">
        <v>40291</v>
      </c>
      <c r="N1660" s="2" t="s">
        <v>107</v>
      </c>
      <c r="O1660" s="2" t="s">
        <v>5973</v>
      </c>
      <c r="P1660" s="2" t="s">
        <v>107</v>
      </c>
      <c r="Q1660" s="2" t="str">
        <f>"N/C"</f>
        <v>N/C</v>
      </c>
      <c r="R1660" s="2" t="s">
        <v>5974</v>
      </c>
      <c r="S1660" s="2" t="s">
        <v>82</v>
      </c>
      <c r="T1660" s="2">
        <v>1</v>
      </c>
      <c r="U1660" s="2" t="s">
        <v>79</v>
      </c>
      <c r="V1660" s="2">
        <v>1</v>
      </c>
      <c r="W1660" s="2" t="s">
        <v>80</v>
      </c>
      <c r="X1660" s="2">
        <v>4</v>
      </c>
      <c r="Y1660" s="2" t="s">
        <v>463</v>
      </c>
      <c r="Z1660" s="2">
        <v>30</v>
      </c>
      <c r="AA1660" s="2" t="s">
        <v>5975</v>
      </c>
      <c r="AB1660" s="2">
        <v>9</v>
      </c>
      <c r="AC1660" s="2" t="s">
        <v>124</v>
      </c>
      <c r="AD1660" s="3">
        <v>40291</v>
      </c>
      <c r="AE1660" s="4">
        <v>0.45833333333333331</v>
      </c>
      <c r="AF1660" s="2"/>
      <c r="AG1660" s="2"/>
      <c r="AH1660" s="2">
        <v>6</v>
      </c>
      <c r="AI1660" s="2" t="s">
        <v>197</v>
      </c>
      <c r="AJ1660" s="2">
        <v>58</v>
      </c>
      <c r="AK1660" s="2" t="s">
        <v>406</v>
      </c>
      <c r="AL1660" s="2">
        <v>2</v>
      </c>
      <c r="AM1660" s="2" t="s">
        <v>163</v>
      </c>
      <c r="AN1660" s="2" t="s">
        <v>5976</v>
      </c>
      <c r="AO1660" s="2" t="s">
        <v>5977</v>
      </c>
      <c r="AP1660" s="2">
        <v>11</v>
      </c>
      <c r="AQ1660" s="2" t="s">
        <v>82</v>
      </c>
      <c r="AR1660" s="2" t="s">
        <v>82</v>
      </c>
      <c r="AS1660" s="2" t="s">
        <v>82</v>
      </c>
      <c r="AT1660" s="2" t="s">
        <v>5978</v>
      </c>
      <c r="AU1660" s="2"/>
      <c r="AV1660" s="2"/>
      <c r="AW1660" s="2"/>
      <c r="AX1660" s="2"/>
      <c r="AY1660" s="2">
        <v>41</v>
      </c>
      <c r="AZ1660" s="2" t="s">
        <v>82</v>
      </c>
      <c r="BA1660" s="2">
        <v>41</v>
      </c>
      <c r="BB1660" s="2" t="s">
        <v>82</v>
      </c>
      <c r="BC1660" s="2">
        <v>41</v>
      </c>
      <c r="BD1660" s="2" t="s">
        <v>82</v>
      </c>
      <c r="BE1660" s="2">
        <v>13</v>
      </c>
      <c r="BF1660" s="2" t="s">
        <v>108</v>
      </c>
      <c r="BG1660" s="2">
        <v>2881</v>
      </c>
      <c r="BH1660" s="4">
        <v>0.44444444444444442</v>
      </c>
      <c r="BI1660" s="4">
        <v>0.47916666666666669</v>
      </c>
      <c r="BJ1660" s="2">
        <v>13</v>
      </c>
      <c r="BK1660" s="2" t="s">
        <v>91</v>
      </c>
      <c r="BL1660" s="2" t="s">
        <v>895</v>
      </c>
      <c r="BM1660" s="2">
        <v>13</v>
      </c>
      <c r="BN1660" s="2" t="s">
        <v>91</v>
      </c>
      <c r="BO1660" s="2" t="s">
        <v>492</v>
      </c>
      <c r="BP1660" s="2">
        <v>13</v>
      </c>
      <c r="BQ1660" s="2" t="s">
        <v>91</v>
      </c>
      <c r="BR1660" s="2" t="s">
        <v>170</v>
      </c>
      <c r="BS1660" s="3">
        <v>40291</v>
      </c>
      <c r="BT1660" s="4">
        <v>0.65732638888888884</v>
      </c>
    </row>
    <row r="1661" spans="1:72" x14ac:dyDescent="0.25">
      <c r="A1661" s="2">
        <v>2428</v>
      </c>
      <c r="B1661" s="2">
        <v>2010</v>
      </c>
      <c r="C1661" s="2" t="s">
        <v>196</v>
      </c>
      <c r="D1661" s="2" t="s">
        <v>122</v>
      </c>
      <c r="E1661" s="2"/>
      <c r="F1661" s="2">
        <v>1</v>
      </c>
      <c r="G1661" s="2" t="s">
        <v>82</v>
      </c>
      <c r="H1661" s="2">
        <v>1</v>
      </c>
      <c r="I1661" s="2" t="s">
        <v>82</v>
      </c>
      <c r="J1661" s="2">
        <v>1</v>
      </c>
      <c r="K1661" s="2" t="s">
        <v>107</v>
      </c>
      <c r="L1661" s="2" t="s">
        <v>107</v>
      </c>
      <c r="M1661" s="3">
        <v>40291</v>
      </c>
      <c r="N1661" s="2"/>
      <c r="O1661" s="2"/>
      <c r="P1661" s="2"/>
      <c r="Q1661" s="2" t="str">
        <f>""</f>
        <v/>
      </c>
      <c r="R1661" s="2"/>
      <c r="S1661" s="2"/>
      <c r="T1661" s="2">
        <v>2</v>
      </c>
      <c r="U1661" s="2" t="s">
        <v>123</v>
      </c>
      <c r="V1661" s="2">
        <v>1</v>
      </c>
      <c r="W1661" s="2" t="s">
        <v>80</v>
      </c>
      <c r="X1661" s="2">
        <v>5</v>
      </c>
      <c r="Y1661" s="2" t="s">
        <v>82</v>
      </c>
      <c r="Z1661" s="2">
        <v>1</v>
      </c>
      <c r="AA1661" s="2" t="s">
        <v>82</v>
      </c>
      <c r="AB1661" s="2">
        <v>9</v>
      </c>
      <c r="AC1661" s="2" t="s">
        <v>124</v>
      </c>
      <c r="AD1661" s="3">
        <v>40291</v>
      </c>
      <c r="AE1661" s="4">
        <v>0.65625</v>
      </c>
      <c r="AF1661" s="2"/>
      <c r="AG1661" s="2"/>
      <c r="AH1661" s="2">
        <v>5</v>
      </c>
      <c r="AI1661" s="2" t="s">
        <v>274</v>
      </c>
      <c r="AJ1661" s="2">
        <v>41</v>
      </c>
      <c r="AK1661" s="2" t="s">
        <v>2751</v>
      </c>
      <c r="AL1661" s="2">
        <v>18</v>
      </c>
      <c r="AM1661" s="2" t="s">
        <v>82</v>
      </c>
      <c r="AN1661" s="2"/>
      <c r="AO1661" s="2"/>
      <c r="AP1661" s="2">
        <v>11</v>
      </c>
      <c r="AQ1661" s="2" t="s">
        <v>82</v>
      </c>
      <c r="AR1661" s="2"/>
      <c r="AS1661" s="2"/>
      <c r="AT1661" s="2" t="s">
        <v>5979</v>
      </c>
      <c r="AU1661" s="2"/>
      <c r="AV1661" s="2"/>
      <c r="AW1661" s="2"/>
      <c r="AX1661" s="2"/>
      <c r="AY1661" s="2">
        <v>1</v>
      </c>
      <c r="AZ1661" s="2" t="s">
        <v>107</v>
      </c>
      <c r="BA1661" s="2">
        <v>1</v>
      </c>
      <c r="BB1661" s="2" t="s">
        <v>107</v>
      </c>
      <c r="BC1661" s="2">
        <v>1</v>
      </c>
      <c r="BD1661" s="2" t="s">
        <v>107</v>
      </c>
      <c r="BE1661" s="2">
        <v>1</v>
      </c>
      <c r="BF1661" s="2" t="s">
        <v>107</v>
      </c>
      <c r="BG1661" s="2"/>
      <c r="BH1661" s="4">
        <v>0.65555555555555556</v>
      </c>
      <c r="BI1661" s="4">
        <v>0.65972222222222221</v>
      </c>
      <c r="BJ1661" s="2">
        <v>242</v>
      </c>
      <c r="BK1661" s="2" t="s">
        <v>107</v>
      </c>
      <c r="BL1661" s="2"/>
      <c r="BM1661" s="2">
        <v>242</v>
      </c>
      <c r="BN1661" s="2" t="s">
        <v>107</v>
      </c>
      <c r="BO1661" s="2"/>
      <c r="BP1661" s="2">
        <v>242</v>
      </c>
      <c r="BQ1661" s="2" t="s">
        <v>107</v>
      </c>
      <c r="BR1661" s="2"/>
      <c r="BS1661" s="3">
        <v>40291</v>
      </c>
      <c r="BT1661" s="4">
        <v>0.65815972222222219</v>
      </c>
    </row>
    <row r="1662" spans="1:72" x14ac:dyDescent="0.25">
      <c r="A1662" s="2">
        <v>2429</v>
      </c>
      <c r="B1662" s="2">
        <v>2010</v>
      </c>
      <c r="C1662" s="2" t="s">
        <v>1559</v>
      </c>
      <c r="D1662" s="2" t="s">
        <v>73</v>
      </c>
      <c r="E1662" s="2"/>
      <c r="F1662" s="2">
        <v>389</v>
      </c>
      <c r="G1662" s="2" t="s">
        <v>1819</v>
      </c>
      <c r="H1662" s="2">
        <v>44</v>
      </c>
      <c r="I1662" s="2" t="s">
        <v>1272</v>
      </c>
      <c r="J1662" s="2">
        <v>399</v>
      </c>
      <c r="K1662" s="2" t="s">
        <v>1820</v>
      </c>
      <c r="L1662" s="2" t="s">
        <v>1821</v>
      </c>
      <c r="M1662" s="3">
        <v>40291</v>
      </c>
      <c r="N1662" s="2" t="s">
        <v>5980</v>
      </c>
      <c r="O1662" s="2" t="s">
        <v>203</v>
      </c>
      <c r="P1662" s="2" t="s">
        <v>203</v>
      </c>
      <c r="Q1662" s="2" t="str">
        <f>"02/2010"</f>
        <v>02/2010</v>
      </c>
      <c r="R1662" s="2" t="s">
        <v>203</v>
      </c>
      <c r="S1662" s="2" t="s">
        <v>5981</v>
      </c>
      <c r="T1662" s="2">
        <v>1</v>
      </c>
      <c r="U1662" s="2" t="s">
        <v>79</v>
      </c>
      <c r="V1662" s="2">
        <v>1</v>
      </c>
      <c r="W1662" s="2" t="s">
        <v>80</v>
      </c>
      <c r="X1662" s="2">
        <v>6</v>
      </c>
      <c r="Y1662" s="2" t="s">
        <v>249</v>
      </c>
      <c r="Z1662" s="2">
        <v>1</v>
      </c>
      <c r="AA1662" s="2" t="s">
        <v>82</v>
      </c>
      <c r="AB1662" s="2">
        <v>9</v>
      </c>
      <c r="AC1662" s="2" t="s">
        <v>124</v>
      </c>
      <c r="AD1662" s="2"/>
      <c r="AE1662" s="2"/>
      <c r="AF1662" s="3">
        <v>40290</v>
      </c>
      <c r="AG1662" s="4">
        <v>0.39583333333333331</v>
      </c>
      <c r="AH1662" s="2">
        <v>7</v>
      </c>
      <c r="AI1662" s="2" t="s">
        <v>801</v>
      </c>
      <c r="AJ1662" s="2">
        <v>3</v>
      </c>
      <c r="AK1662" s="2" t="s">
        <v>802</v>
      </c>
      <c r="AL1662" s="2">
        <v>23</v>
      </c>
      <c r="AM1662" s="2" t="s">
        <v>251</v>
      </c>
      <c r="AN1662" s="2" t="s">
        <v>82</v>
      </c>
      <c r="AO1662" s="2" t="s">
        <v>82</v>
      </c>
      <c r="AP1662" s="2">
        <v>11</v>
      </c>
      <c r="AQ1662" s="2" t="s">
        <v>82</v>
      </c>
      <c r="AR1662" s="2" t="s">
        <v>82</v>
      </c>
      <c r="AS1662" s="2"/>
      <c r="AT1662" s="2" t="s">
        <v>5982</v>
      </c>
      <c r="AU1662" s="2"/>
      <c r="AV1662" s="2"/>
      <c r="AW1662" s="2"/>
      <c r="AX1662" s="2"/>
      <c r="AY1662" s="2">
        <v>41</v>
      </c>
      <c r="AZ1662" s="2" t="s">
        <v>82</v>
      </c>
      <c r="BA1662" s="2">
        <v>41</v>
      </c>
      <c r="BB1662" s="2" t="s">
        <v>82</v>
      </c>
      <c r="BC1662" s="2">
        <v>41</v>
      </c>
      <c r="BD1662" s="2" t="s">
        <v>82</v>
      </c>
      <c r="BE1662" s="2">
        <v>1</v>
      </c>
      <c r="BF1662" s="2" t="s">
        <v>107</v>
      </c>
      <c r="BG1662" s="2"/>
      <c r="BH1662" s="2"/>
      <c r="BI1662" s="2"/>
      <c r="BJ1662" s="2">
        <v>241</v>
      </c>
      <c r="BK1662" s="2" t="s">
        <v>82</v>
      </c>
      <c r="BL1662" s="2"/>
      <c r="BM1662" s="2">
        <v>241</v>
      </c>
      <c r="BN1662" s="2" t="s">
        <v>82</v>
      </c>
      <c r="BO1662" s="2"/>
      <c r="BP1662" s="2">
        <v>241</v>
      </c>
      <c r="BQ1662" s="2" t="s">
        <v>82</v>
      </c>
      <c r="BR1662" s="2"/>
      <c r="BS1662" s="3">
        <v>40291</v>
      </c>
      <c r="BT1662" s="4">
        <v>0.66334490740740748</v>
      </c>
    </row>
    <row r="1663" spans="1:72" x14ac:dyDescent="0.25">
      <c r="A1663" s="2">
        <v>2430</v>
      </c>
      <c r="B1663" s="2">
        <v>2010</v>
      </c>
      <c r="C1663" s="2" t="s">
        <v>385</v>
      </c>
      <c r="D1663" s="2" t="s">
        <v>73</v>
      </c>
      <c r="E1663" s="2"/>
      <c r="F1663" s="2">
        <v>616</v>
      </c>
      <c r="G1663" s="2" t="s">
        <v>5983</v>
      </c>
      <c r="H1663" s="2">
        <v>22</v>
      </c>
      <c r="I1663" s="2" t="s">
        <v>75</v>
      </c>
      <c r="J1663" s="2">
        <v>532</v>
      </c>
      <c r="K1663" s="2" t="s">
        <v>5984</v>
      </c>
      <c r="L1663" s="2" t="s">
        <v>5985</v>
      </c>
      <c r="M1663" s="3">
        <v>40291</v>
      </c>
      <c r="N1663" s="2" t="s">
        <v>5986</v>
      </c>
      <c r="O1663" s="2" t="s">
        <v>5987</v>
      </c>
      <c r="P1663" s="2" t="s">
        <v>5988</v>
      </c>
      <c r="Q1663" s="2" t="str">
        <f>"N/C"</f>
        <v>N/C</v>
      </c>
      <c r="R1663" s="2" t="s">
        <v>107</v>
      </c>
      <c r="S1663" s="2" t="s">
        <v>82</v>
      </c>
      <c r="T1663" s="2">
        <v>1</v>
      </c>
      <c r="U1663" s="2" t="s">
        <v>79</v>
      </c>
      <c r="V1663" s="2">
        <v>1</v>
      </c>
      <c r="W1663" s="2" t="s">
        <v>80</v>
      </c>
      <c r="X1663" s="2">
        <v>1</v>
      </c>
      <c r="Y1663" s="2" t="s">
        <v>81</v>
      </c>
      <c r="Z1663" s="2">
        <v>1</v>
      </c>
      <c r="AA1663" s="2" t="s">
        <v>82</v>
      </c>
      <c r="AB1663" s="2">
        <v>9</v>
      </c>
      <c r="AC1663" s="2" t="s">
        <v>124</v>
      </c>
      <c r="AD1663" s="3">
        <v>40291</v>
      </c>
      <c r="AE1663" s="4">
        <v>0.70486111111111116</v>
      </c>
      <c r="AF1663" s="2"/>
      <c r="AG1663" s="2"/>
      <c r="AH1663" s="2">
        <v>6</v>
      </c>
      <c r="AI1663" s="2" t="s">
        <v>197</v>
      </c>
      <c r="AJ1663" s="2">
        <v>51</v>
      </c>
      <c r="AK1663" s="2" t="s">
        <v>238</v>
      </c>
      <c r="AL1663" s="2">
        <v>10</v>
      </c>
      <c r="AM1663" s="2" t="s">
        <v>200</v>
      </c>
      <c r="AN1663" s="2" t="s">
        <v>5989</v>
      </c>
      <c r="AO1663" s="2" t="s">
        <v>5989</v>
      </c>
      <c r="AP1663" s="2">
        <v>11</v>
      </c>
      <c r="AQ1663" s="2" t="s">
        <v>82</v>
      </c>
      <c r="AR1663" s="2" t="s">
        <v>82</v>
      </c>
      <c r="AS1663" s="2" t="s">
        <v>82</v>
      </c>
      <c r="AT1663" s="2" t="s">
        <v>5990</v>
      </c>
      <c r="AU1663" s="2"/>
      <c r="AV1663" s="2"/>
      <c r="AW1663" s="2"/>
      <c r="AX1663" s="2"/>
      <c r="AY1663" s="2">
        <v>41</v>
      </c>
      <c r="AZ1663" s="2" t="s">
        <v>82</v>
      </c>
      <c r="BA1663" s="2">
        <v>41</v>
      </c>
      <c r="BB1663" s="2" t="s">
        <v>82</v>
      </c>
      <c r="BC1663" s="2">
        <v>41</v>
      </c>
      <c r="BD1663" s="2" t="s">
        <v>82</v>
      </c>
      <c r="BE1663" s="2">
        <v>47</v>
      </c>
      <c r="BF1663" s="2" t="s">
        <v>167</v>
      </c>
      <c r="BG1663" s="2">
        <v>2634</v>
      </c>
      <c r="BH1663" s="4">
        <v>0.6875</v>
      </c>
      <c r="BI1663" s="4">
        <v>0.70486111111111116</v>
      </c>
      <c r="BJ1663" s="2">
        <v>13</v>
      </c>
      <c r="BK1663" s="2" t="s">
        <v>91</v>
      </c>
      <c r="BL1663" s="2" t="s">
        <v>5991</v>
      </c>
      <c r="BM1663" s="2">
        <v>13</v>
      </c>
      <c r="BN1663" s="2" t="s">
        <v>91</v>
      </c>
      <c r="BO1663" s="2" t="s">
        <v>5992</v>
      </c>
      <c r="BP1663" s="2">
        <v>13</v>
      </c>
      <c r="BQ1663" s="2" t="s">
        <v>91</v>
      </c>
      <c r="BR1663" s="2" t="s">
        <v>5993</v>
      </c>
      <c r="BS1663" s="3">
        <v>40291</v>
      </c>
      <c r="BT1663" s="4">
        <v>0.72513888888888889</v>
      </c>
    </row>
    <row r="1664" spans="1:72" x14ac:dyDescent="0.25">
      <c r="A1664" s="2">
        <v>2431</v>
      </c>
      <c r="B1664" s="2">
        <v>2010</v>
      </c>
      <c r="C1664" s="2" t="s">
        <v>377</v>
      </c>
      <c r="D1664" s="2" t="s">
        <v>73</v>
      </c>
      <c r="E1664" s="2"/>
      <c r="F1664" s="2">
        <v>426</v>
      </c>
      <c r="G1664" s="2" t="s">
        <v>378</v>
      </c>
      <c r="H1664" s="2">
        <v>22</v>
      </c>
      <c r="I1664" s="2" t="s">
        <v>75</v>
      </c>
      <c r="J1664" s="2">
        <v>311</v>
      </c>
      <c r="K1664" s="2" t="s">
        <v>379</v>
      </c>
      <c r="L1664" s="2" t="s">
        <v>380</v>
      </c>
      <c r="M1664" s="3">
        <v>40291</v>
      </c>
      <c r="N1664" s="2" t="s">
        <v>4427</v>
      </c>
      <c r="O1664" s="2" t="s">
        <v>4428</v>
      </c>
      <c r="P1664" s="2" t="s">
        <v>5994</v>
      </c>
      <c r="Q1664" s="2" t="str">
        <f>"055-C/10"</f>
        <v>055-C/10</v>
      </c>
      <c r="R1664" s="2"/>
      <c r="S1664" s="2" t="s">
        <v>4428</v>
      </c>
      <c r="T1664" s="2">
        <v>1</v>
      </c>
      <c r="U1664" s="2" t="s">
        <v>79</v>
      </c>
      <c r="V1664" s="2">
        <v>1</v>
      </c>
      <c r="W1664" s="2" t="s">
        <v>80</v>
      </c>
      <c r="X1664" s="2">
        <v>1</v>
      </c>
      <c r="Y1664" s="2" t="s">
        <v>81</v>
      </c>
      <c r="Z1664" s="2">
        <v>1</v>
      </c>
      <c r="AA1664" s="2" t="s">
        <v>82</v>
      </c>
      <c r="AB1664" s="2">
        <v>9</v>
      </c>
      <c r="AC1664" s="2" t="s">
        <v>124</v>
      </c>
      <c r="AD1664" s="3">
        <v>40290</v>
      </c>
      <c r="AE1664" s="4">
        <v>0.6875</v>
      </c>
      <c r="AF1664" s="2"/>
      <c r="AG1664" s="2"/>
      <c r="AH1664" s="2">
        <v>2</v>
      </c>
      <c r="AI1664" s="2" t="s">
        <v>84</v>
      </c>
      <c r="AJ1664" s="2">
        <v>9</v>
      </c>
      <c r="AK1664" s="2" t="s">
        <v>103</v>
      </c>
      <c r="AL1664" s="2">
        <v>29</v>
      </c>
      <c r="AM1664" s="2" t="s">
        <v>5416</v>
      </c>
      <c r="AN1664" s="2"/>
      <c r="AO1664" s="2" t="s">
        <v>1936</v>
      </c>
      <c r="AP1664" s="2">
        <v>11</v>
      </c>
      <c r="AQ1664" s="2" t="s">
        <v>82</v>
      </c>
      <c r="AR1664" s="2"/>
      <c r="AS1664" s="2"/>
      <c r="AT1664" s="2" t="s">
        <v>5995</v>
      </c>
      <c r="AU1664" s="2">
        <v>1</v>
      </c>
      <c r="AV1664" s="2"/>
      <c r="AW1664" s="2"/>
      <c r="AX1664" s="2"/>
      <c r="AY1664" s="2">
        <v>41</v>
      </c>
      <c r="AZ1664" s="2" t="s">
        <v>82</v>
      </c>
      <c r="BA1664" s="2">
        <v>41</v>
      </c>
      <c r="BB1664" s="2" t="s">
        <v>82</v>
      </c>
      <c r="BC1664" s="2">
        <v>41</v>
      </c>
      <c r="BD1664" s="2" t="s">
        <v>82</v>
      </c>
      <c r="BE1664" s="2">
        <v>41</v>
      </c>
      <c r="BF1664" s="2" t="s">
        <v>82</v>
      </c>
      <c r="BG1664" s="2"/>
      <c r="BH1664" s="2"/>
      <c r="BI1664" s="2"/>
      <c r="BJ1664" s="2">
        <v>241</v>
      </c>
      <c r="BK1664" s="2" t="s">
        <v>82</v>
      </c>
      <c r="BL1664" s="2"/>
      <c r="BM1664" s="2">
        <v>241</v>
      </c>
      <c r="BN1664" s="2" t="s">
        <v>82</v>
      </c>
      <c r="BO1664" s="2"/>
      <c r="BP1664" s="2">
        <v>241</v>
      </c>
      <c r="BQ1664" s="2" t="s">
        <v>82</v>
      </c>
      <c r="BR1664" s="2"/>
      <c r="BS1664" s="3">
        <v>40291</v>
      </c>
      <c r="BT1664" s="4">
        <v>0.76253472222222218</v>
      </c>
    </row>
    <row r="1665" spans="1:72" x14ac:dyDescent="0.25">
      <c r="A1665" s="2">
        <v>2432</v>
      </c>
      <c r="B1665" s="2">
        <v>2010</v>
      </c>
      <c r="C1665" s="2" t="s">
        <v>377</v>
      </c>
      <c r="D1665" s="2" t="s">
        <v>73</v>
      </c>
      <c r="E1665" s="2"/>
      <c r="F1665" s="2">
        <v>426</v>
      </c>
      <c r="G1665" s="2" t="s">
        <v>378</v>
      </c>
      <c r="H1665" s="2">
        <v>22</v>
      </c>
      <c r="I1665" s="2" t="s">
        <v>75</v>
      </c>
      <c r="J1665" s="2">
        <v>311</v>
      </c>
      <c r="K1665" s="2" t="s">
        <v>379</v>
      </c>
      <c r="L1665" s="2" t="s">
        <v>380</v>
      </c>
      <c r="M1665" s="3">
        <v>40291</v>
      </c>
      <c r="N1665" s="2" t="s">
        <v>4427</v>
      </c>
      <c r="O1665" s="2"/>
      <c r="P1665" s="2" t="s">
        <v>5996</v>
      </c>
      <c r="Q1665" s="2" t="str">
        <f>"057-C/10"</f>
        <v>057-C/10</v>
      </c>
      <c r="R1665" s="2" t="s">
        <v>5997</v>
      </c>
      <c r="S1665" s="2" t="s">
        <v>4428</v>
      </c>
      <c r="T1665" s="2">
        <v>1</v>
      </c>
      <c r="U1665" s="2" t="s">
        <v>79</v>
      </c>
      <c r="V1665" s="2">
        <v>1</v>
      </c>
      <c r="W1665" s="2" t="s">
        <v>80</v>
      </c>
      <c r="X1665" s="2">
        <v>1</v>
      </c>
      <c r="Y1665" s="2" t="s">
        <v>81</v>
      </c>
      <c r="Z1665" s="2">
        <v>1</v>
      </c>
      <c r="AA1665" s="2" t="s">
        <v>82</v>
      </c>
      <c r="AB1665" s="2">
        <v>9</v>
      </c>
      <c r="AC1665" s="2" t="s">
        <v>124</v>
      </c>
      <c r="AD1665" s="3">
        <v>40290</v>
      </c>
      <c r="AE1665" s="4">
        <v>0.75</v>
      </c>
      <c r="AF1665" s="2"/>
      <c r="AG1665" s="2"/>
      <c r="AH1665" s="2">
        <v>2</v>
      </c>
      <c r="AI1665" s="2" t="s">
        <v>84</v>
      </c>
      <c r="AJ1665" s="2">
        <v>9</v>
      </c>
      <c r="AK1665" s="2" t="s">
        <v>103</v>
      </c>
      <c r="AL1665" s="2">
        <v>29</v>
      </c>
      <c r="AM1665" s="2" t="s">
        <v>5416</v>
      </c>
      <c r="AN1665" s="2"/>
      <c r="AO1665" s="2" t="s">
        <v>1936</v>
      </c>
      <c r="AP1665" s="2">
        <v>11</v>
      </c>
      <c r="AQ1665" s="2" t="s">
        <v>82</v>
      </c>
      <c r="AR1665" s="2"/>
      <c r="AS1665" s="2"/>
      <c r="AT1665" s="2" t="s">
        <v>5998</v>
      </c>
      <c r="AU1665" s="2">
        <v>1</v>
      </c>
      <c r="AV1665" s="2"/>
      <c r="AW1665" s="2"/>
      <c r="AX1665" s="2"/>
      <c r="AY1665" s="2">
        <v>41</v>
      </c>
      <c r="AZ1665" s="2" t="s">
        <v>82</v>
      </c>
      <c r="BA1665" s="2">
        <v>41</v>
      </c>
      <c r="BB1665" s="2" t="s">
        <v>82</v>
      </c>
      <c r="BC1665" s="2">
        <v>41</v>
      </c>
      <c r="BD1665" s="2" t="s">
        <v>82</v>
      </c>
      <c r="BE1665" s="2">
        <v>41</v>
      </c>
      <c r="BF1665" s="2" t="s">
        <v>82</v>
      </c>
      <c r="BG1665" s="2"/>
      <c r="BH1665" s="2"/>
      <c r="BI1665" s="2"/>
      <c r="BJ1665" s="2">
        <v>241</v>
      </c>
      <c r="BK1665" s="2" t="s">
        <v>82</v>
      </c>
      <c r="BL1665" s="2"/>
      <c r="BM1665" s="2">
        <v>241</v>
      </c>
      <c r="BN1665" s="2" t="s">
        <v>82</v>
      </c>
      <c r="BO1665" s="2"/>
      <c r="BP1665" s="2">
        <v>241</v>
      </c>
      <c r="BQ1665" s="2" t="s">
        <v>82</v>
      </c>
      <c r="BR1665" s="2"/>
      <c r="BS1665" s="3">
        <v>40291</v>
      </c>
      <c r="BT1665" s="4">
        <v>0.76987268518518526</v>
      </c>
    </row>
    <row r="1666" spans="1:72" x14ac:dyDescent="0.25">
      <c r="A1666" s="2">
        <v>2433</v>
      </c>
      <c r="B1666" s="2">
        <v>2010</v>
      </c>
      <c r="C1666" s="2" t="s">
        <v>385</v>
      </c>
      <c r="D1666" s="2" t="s">
        <v>122</v>
      </c>
      <c r="E1666" s="2"/>
      <c r="F1666" s="2">
        <v>151</v>
      </c>
      <c r="G1666" s="2" t="s">
        <v>314</v>
      </c>
      <c r="H1666" s="2">
        <v>2</v>
      </c>
      <c r="I1666" s="2" t="s">
        <v>267</v>
      </c>
      <c r="J1666" s="2">
        <v>163</v>
      </c>
      <c r="K1666" s="2" t="s">
        <v>316</v>
      </c>
      <c r="L1666" s="2" t="s">
        <v>317</v>
      </c>
      <c r="M1666" s="3">
        <v>40291</v>
      </c>
      <c r="N1666" s="2" t="s">
        <v>5999</v>
      </c>
      <c r="O1666" s="2" t="s">
        <v>6000</v>
      </c>
      <c r="P1666" s="2" t="s">
        <v>6001</v>
      </c>
      <c r="Q1666" s="2" t="str">
        <f>"N/C"</f>
        <v>N/C</v>
      </c>
      <c r="R1666" s="2" t="s">
        <v>107</v>
      </c>
      <c r="S1666" s="2" t="s">
        <v>82</v>
      </c>
      <c r="T1666" s="2">
        <v>1</v>
      </c>
      <c r="U1666" s="2" t="s">
        <v>79</v>
      </c>
      <c r="V1666" s="2">
        <v>1</v>
      </c>
      <c r="W1666" s="2" t="s">
        <v>80</v>
      </c>
      <c r="X1666" s="2">
        <v>4</v>
      </c>
      <c r="Y1666" s="2" t="s">
        <v>463</v>
      </c>
      <c r="Z1666" s="2">
        <v>9</v>
      </c>
      <c r="AA1666" s="2" t="s">
        <v>1119</v>
      </c>
      <c r="AB1666" s="2">
        <v>9</v>
      </c>
      <c r="AC1666" s="2" t="s">
        <v>124</v>
      </c>
      <c r="AD1666" s="3">
        <v>40291</v>
      </c>
      <c r="AE1666" s="4">
        <v>0.67708333333333337</v>
      </c>
      <c r="AF1666" s="2"/>
      <c r="AG1666" s="2"/>
      <c r="AH1666" s="2">
        <v>2</v>
      </c>
      <c r="AI1666" s="2" t="s">
        <v>84</v>
      </c>
      <c r="AJ1666" s="2">
        <v>12</v>
      </c>
      <c r="AK1666" s="2" t="s">
        <v>85</v>
      </c>
      <c r="AL1666" s="2">
        <v>2</v>
      </c>
      <c r="AM1666" s="2" t="s">
        <v>163</v>
      </c>
      <c r="AN1666" s="2" t="s">
        <v>107</v>
      </c>
      <c r="AO1666" s="2" t="s">
        <v>1971</v>
      </c>
      <c r="AP1666" s="2">
        <v>11</v>
      </c>
      <c r="AQ1666" s="2" t="s">
        <v>82</v>
      </c>
      <c r="AR1666" s="2"/>
      <c r="AS1666" s="2"/>
      <c r="AT1666" s="2" t="s">
        <v>6002</v>
      </c>
      <c r="AU1666" s="2"/>
      <c r="AV1666" s="2">
        <v>1</v>
      </c>
      <c r="AW1666" s="2"/>
      <c r="AX1666" s="2"/>
      <c r="AY1666" s="2">
        <v>41</v>
      </c>
      <c r="AZ1666" s="2" t="s">
        <v>82</v>
      </c>
      <c r="BA1666" s="2">
        <v>41</v>
      </c>
      <c r="BB1666" s="2" t="s">
        <v>82</v>
      </c>
      <c r="BC1666" s="2">
        <v>41</v>
      </c>
      <c r="BD1666" s="2" t="s">
        <v>82</v>
      </c>
      <c r="BE1666" s="2">
        <v>10</v>
      </c>
      <c r="BF1666" s="2" t="s">
        <v>901</v>
      </c>
      <c r="BG1666" s="2" t="s">
        <v>6003</v>
      </c>
      <c r="BH1666" s="2"/>
      <c r="BI1666" s="4">
        <v>0.76388888888888884</v>
      </c>
      <c r="BJ1666" s="2">
        <v>13</v>
      </c>
      <c r="BK1666" s="2" t="s">
        <v>91</v>
      </c>
      <c r="BL1666" s="2" t="s">
        <v>185</v>
      </c>
      <c r="BM1666" s="2">
        <v>241</v>
      </c>
      <c r="BN1666" s="2" t="s">
        <v>82</v>
      </c>
      <c r="BO1666" s="2" t="s">
        <v>82</v>
      </c>
      <c r="BP1666" s="2">
        <v>229</v>
      </c>
      <c r="BQ1666" s="2" t="s">
        <v>300</v>
      </c>
      <c r="BR1666" s="2" t="s">
        <v>573</v>
      </c>
      <c r="BS1666" s="3">
        <v>40291</v>
      </c>
      <c r="BT1666" s="4">
        <v>0.77238425925925924</v>
      </c>
    </row>
    <row r="1667" spans="1:72" x14ac:dyDescent="0.25">
      <c r="A1667" s="2">
        <v>2434</v>
      </c>
      <c r="B1667" s="2">
        <v>2010</v>
      </c>
      <c r="C1667" s="2" t="s">
        <v>377</v>
      </c>
      <c r="D1667" s="2" t="s">
        <v>73</v>
      </c>
      <c r="E1667" s="2"/>
      <c r="F1667" s="2">
        <v>426</v>
      </c>
      <c r="G1667" s="2" t="s">
        <v>378</v>
      </c>
      <c r="H1667" s="2">
        <v>22</v>
      </c>
      <c r="I1667" s="2" t="s">
        <v>75</v>
      </c>
      <c r="J1667" s="2">
        <v>311</v>
      </c>
      <c r="K1667" s="2" t="s">
        <v>379</v>
      </c>
      <c r="L1667" s="2" t="s">
        <v>380</v>
      </c>
      <c r="M1667" s="3">
        <v>40291</v>
      </c>
      <c r="N1667" s="2" t="s">
        <v>4427</v>
      </c>
      <c r="O1667" s="2"/>
      <c r="P1667" s="2" t="s">
        <v>6004</v>
      </c>
      <c r="Q1667" s="2" t="str">
        <f>"056-C/10"</f>
        <v>056-C/10</v>
      </c>
      <c r="R1667" s="2" t="s">
        <v>4428</v>
      </c>
      <c r="S1667" s="2" t="s">
        <v>4428</v>
      </c>
      <c r="T1667" s="2">
        <v>1</v>
      </c>
      <c r="U1667" s="2" t="s">
        <v>79</v>
      </c>
      <c r="V1667" s="2">
        <v>1</v>
      </c>
      <c r="W1667" s="2" t="s">
        <v>80</v>
      </c>
      <c r="X1667" s="2">
        <v>1</v>
      </c>
      <c r="Y1667" s="2" t="s">
        <v>81</v>
      </c>
      <c r="Z1667" s="2">
        <v>1</v>
      </c>
      <c r="AA1667" s="2" t="s">
        <v>82</v>
      </c>
      <c r="AB1667" s="2">
        <v>9</v>
      </c>
      <c r="AC1667" s="2" t="s">
        <v>124</v>
      </c>
      <c r="AD1667" s="3">
        <v>40290</v>
      </c>
      <c r="AE1667" s="4">
        <v>0.6875</v>
      </c>
      <c r="AF1667" s="2"/>
      <c r="AG1667" s="2"/>
      <c r="AH1667" s="2">
        <v>2</v>
      </c>
      <c r="AI1667" s="2" t="s">
        <v>84</v>
      </c>
      <c r="AJ1667" s="2">
        <v>9</v>
      </c>
      <c r="AK1667" s="2" t="s">
        <v>103</v>
      </c>
      <c r="AL1667" s="2">
        <v>29</v>
      </c>
      <c r="AM1667" s="2" t="s">
        <v>5416</v>
      </c>
      <c r="AN1667" s="2"/>
      <c r="AO1667" s="2" t="s">
        <v>1936</v>
      </c>
      <c r="AP1667" s="2">
        <v>11</v>
      </c>
      <c r="AQ1667" s="2" t="s">
        <v>82</v>
      </c>
      <c r="AR1667" s="2"/>
      <c r="AS1667" s="2"/>
      <c r="AT1667" s="2" t="s">
        <v>6005</v>
      </c>
      <c r="AU1667" s="2">
        <v>1</v>
      </c>
      <c r="AV1667" s="2"/>
      <c r="AW1667" s="2"/>
      <c r="AX1667" s="2"/>
      <c r="AY1667" s="2">
        <v>41</v>
      </c>
      <c r="AZ1667" s="2" t="s">
        <v>82</v>
      </c>
      <c r="BA1667" s="2">
        <v>41</v>
      </c>
      <c r="BB1667" s="2" t="s">
        <v>82</v>
      </c>
      <c r="BC1667" s="2">
        <v>41</v>
      </c>
      <c r="BD1667" s="2" t="s">
        <v>82</v>
      </c>
      <c r="BE1667" s="2">
        <v>41</v>
      </c>
      <c r="BF1667" s="2" t="s">
        <v>82</v>
      </c>
      <c r="BG1667" s="2"/>
      <c r="BH1667" s="2"/>
      <c r="BI1667" s="2"/>
      <c r="BJ1667" s="2">
        <v>241</v>
      </c>
      <c r="BK1667" s="2" t="s">
        <v>82</v>
      </c>
      <c r="BL1667" s="2"/>
      <c r="BM1667" s="2">
        <v>241</v>
      </c>
      <c r="BN1667" s="2" t="s">
        <v>82</v>
      </c>
      <c r="BO1667" s="2"/>
      <c r="BP1667" s="2">
        <v>241</v>
      </c>
      <c r="BQ1667" s="2" t="s">
        <v>82</v>
      </c>
      <c r="BR1667" s="2"/>
      <c r="BS1667" s="3">
        <v>40291</v>
      </c>
      <c r="BT1667" s="4">
        <v>0.77539351851851857</v>
      </c>
    </row>
    <row r="1668" spans="1:72" x14ac:dyDescent="0.25">
      <c r="A1668" s="2">
        <v>2435</v>
      </c>
      <c r="B1668" s="2">
        <v>2010</v>
      </c>
      <c r="C1668" s="2" t="s">
        <v>2219</v>
      </c>
      <c r="D1668" s="2" t="s">
        <v>73</v>
      </c>
      <c r="E1668" s="2"/>
      <c r="F1668" s="2">
        <v>9</v>
      </c>
      <c r="G1668" s="2" t="s">
        <v>364</v>
      </c>
      <c r="H1668" s="2">
        <v>44</v>
      </c>
      <c r="I1668" s="2" t="s">
        <v>1272</v>
      </c>
      <c r="J1668" s="2">
        <v>18</v>
      </c>
      <c r="K1668" s="2" t="s">
        <v>365</v>
      </c>
      <c r="L1668" s="2" t="s">
        <v>115</v>
      </c>
      <c r="M1668" s="3">
        <v>40291</v>
      </c>
      <c r="N1668" s="2" t="s">
        <v>423</v>
      </c>
      <c r="O1668" s="2" t="s">
        <v>3910</v>
      </c>
      <c r="P1668" s="2" t="s">
        <v>3911</v>
      </c>
      <c r="Q1668" s="2" t="str">
        <f>""</f>
        <v/>
      </c>
      <c r="R1668" s="2" t="s">
        <v>82</v>
      </c>
      <c r="S1668" s="2" t="s">
        <v>82</v>
      </c>
      <c r="T1668" s="2">
        <v>1</v>
      </c>
      <c r="U1668" s="2" t="s">
        <v>79</v>
      </c>
      <c r="V1668" s="2">
        <v>3</v>
      </c>
      <c r="W1668" s="2" t="s">
        <v>225</v>
      </c>
      <c r="X1668" s="2">
        <v>6</v>
      </c>
      <c r="Y1668" s="2" t="s">
        <v>249</v>
      </c>
      <c r="Z1668" s="2">
        <v>1</v>
      </c>
      <c r="AA1668" s="2" t="s">
        <v>82</v>
      </c>
      <c r="AB1668" s="2">
        <v>9</v>
      </c>
      <c r="AC1668" s="2" t="s">
        <v>124</v>
      </c>
      <c r="AD1668" s="3">
        <v>40291</v>
      </c>
      <c r="AE1668" s="4">
        <v>0.66666666666666663</v>
      </c>
      <c r="AF1668" s="2"/>
      <c r="AG1668" s="2"/>
      <c r="AH1668" s="2">
        <v>3</v>
      </c>
      <c r="AI1668" s="2" t="s">
        <v>214</v>
      </c>
      <c r="AJ1668" s="2">
        <v>13</v>
      </c>
      <c r="AK1668" s="2" t="s">
        <v>214</v>
      </c>
      <c r="AL1668" s="2">
        <v>23</v>
      </c>
      <c r="AM1668" s="2" t="s">
        <v>251</v>
      </c>
      <c r="AN1668" s="2" t="s">
        <v>82</v>
      </c>
      <c r="AO1668" s="2" t="s">
        <v>82</v>
      </c>
      <c r="AP1668" s="2">
        <v>11</v>
      </c>
      <c r="AQ1668" s="2" t="s">
        <v>82</v>
      </c>
      <c r="AR1668" s="2"/>
      <c r="AS1668" s="2"/>
      <c r="AT1668" s="2" t="s">
        <v>6006</v>
      </c>
      <c r="AU1668" s="2"/>
      <c r="AV1668" s="2"/>
      <c r="AW1668" s="2"/>
      <c r="AX1668" s="2"/>
      <c r="AY1668" s="2">
        <v>1</v>
      </c>
      <c r="AZ1668" s="2" t="s">
        <v>107</v>
      </c>
      <c r="BA1668" s="2">
        <v>1</v>
      </c>
      <c r="BB1668" s="2" t="s">
        <v>107</v>
      </c>
      <c r="BC1668" s="2">
        <v>1</v>
      </c>
      <c r="BD1668" s="2" t="s">
        <v>107</v>
      </c>
      <c r="BE1668" s="2">
        <v>1</v>
      </c>
      <c r="BF1668" s="2" t="s">
        <v>107</v>
      </c>
      <c r="BG1668" s="2"/>
      <c r="BH1668" s="2"/>
      <c r="BI1668" s="2"/>
      <c r="BJ1668" s="2">
        <v>242</v>
      </c>
      <c r="BK1668" s="2" t="s">
        <v>107</v>
      </c>
      <c r="BL1668" s="2"/>
      <c r="BM1668" s="2">
        <v>242</v>
      </c>
      <c r="BN1668" s="2" t="s">
        <v>107</v>
      </c>
      <c r="BO1668" s="2"/>
      <c r="BP1668" s="2">
        <v>242</v>
      </c>
      <c r="BQ1668" s="2" t="s">
        <v>107</v>
      </c>
      <c r="BR1668" s="2"/>
      <c r="BS1668" s="3">
        <v>40291</v>
      </c>
      <c r="BT1668" s="4">
        <v>0.77619212962962969</v>
      </c>
    </row>
    <row r="1669" spans="1:72" x14ac:dyDescent="0.25">
      <c r="A1669" s="2">
        <v>2436</v>
      </c>
      <c r="B1669" s="2">
        <v>2010</v>
      </c>
      <c r="C1669" s="2" t="s">
        <v>377</v>
      </c>
      <c r="D1669" s="2" t="s">
        <v>73</v>
      </c>
      <c r="E1669" s="2"/>
      <c r="F1669" s="2">
        <v>426</v>
      </c>
      <c r="G1669" s="2" t="s">
        <v>378</v>
      </c>
      <c r="H1669" s="2">
        <v>22</v>
      </c>
      <c r="I1669" s="2" t="s">
        <v>75</v>
      </c>
      <c r="J1669" s="2">
        <v>311</v>
      </c>
      <c r="K1669" s="2" t="s">
        <v>379</v>
      </c>
      <c r="L1669" s="2" t="s">
        <v>380</v>
      </c>
      <c r="M1669" s="3">
        <v>40291</v>
      </c>
      <c r="N1669" s="2" t="s">
        <v>4427</v>
      </c>
      <c r="O1669" s="2"/>
      <c r="P1669" s="2"/>
      <c r="Q1669" s="2" t="str">
        <f>"058-C/10"</f>
        <v>058-C/10</v>
      </c>
      <c r="R1669" s="2" t="s">
        <v>4428</v>
      </c>
      <c r="S1669" s="2" t="s">
        <v>4428</v>
      </c>
      <c r="T1669" s="2">
        <v>1</v>
      </c>
      <c r="U1669" s="2" t="s">
        <v>79</v>
      </c>
      <c r="V1669" s="2">
        <v>1</v>
      </c>
      <c r="W1669" s="2" t="s">
        <v>80</v>
      </c>
      <c r="X1669" s="2">
        <v>1</v>
      </c>
      <c r="Y1669" s="2" t="s">
        <v>81</v>
      </c>
      <c r="Z1669" s="2">
        <v>1</v>
      </c>
      <c r="AA1669" s="2" t="s">
        <v>82</v>
      </c>
      <c r="AB1669" s="2">
        <v>9</v>
      </c>
      <c r="AC1669" s="2" t="s">
        <v>124</v>
      </c>
      <c r="AD1669" s="3">
        <v>40291</v>
      </c>
      <c r="AE1669" s="4">
        <v>0.64583333333333337</v>
      </c>
      <c r="AF1669" s="2"/>
      <c r="AG1669" s="2"/>
      <c r="AH1669" s="2">
        <v>2</v>
      </c>
      <c r="AI1669" s="2" t="s">
        <v>84</v>
      </c>
      <c r="AJ1669" s="2">
        <v>9</v>
      </c>
      <c r="AK1669" s="2" t="s">
        <v>103</v>
      </c>
      <c r="AL1669" s="2">
        <v>29</v>
      </c>
      <c r="AM1669" s="2" t="s">
        <v>5416</v>
      </c>
      <c r="AN1669" s="2"/>
      <c r="AO1669" s="2" t="s">
        <v>6007</v>
      </c>
      <c r="AP1669" s="2">
        <v>11</v>
      </c>
      <c r="AQ1669" s="2" t="s">
        <v>82</v>
      </c>
      <c r="AR1669" s="2"/>
      <c r="AS1669" s="2"/>
      <c r="AT1669" s="2" t="s">
        <v>6008</v>
      </c>
      <c r="AU1669" s="2"/>
      <c r="AV1669" s="2"/>
      <c r="AW1669" s="2"/>
      <c r="AX1669" s="2"/>
      <c r="AY1669" s="2">
        <v>41</v>
      </c>
      <c r="AZ1669" s="2" t="s">
        <v>82</v>
      </c>
      <c r="BA1669" s="2">
        <v>41</v>
      </c>
      <c r="BB1669" s="2" t="s">
        <v>82</v>
      </c>
      <c r="BC1669" s="2">
        <v>41</v>
      </c>
      <c r="BD1669" s="2" t="s">
        <v>82</v>
      </c>
      <c r="BE1669" s="2">
        <v>41</v>
      </c>
      <c r="BF1669" s="2" t="s">
        <v>82</v>
      </c>
      <c r="BG1669" s="2"/>
      <c r="BH1669" s="2"/>
      <c r="BI1669" s="2"/>
      <c r="BJ1669" s="2">
        <v>241</v>
      </c>
      <c r="BK1669" s="2" t="s">
        <v>82</v>
      </c>
      <c r="BL1669" s="2"/>
      <c r="BM1669" s="2">
        <v>241</v>
      </c>
      <c r="BN1669" s="2" t="s">
        <v>82</v>
      </c>
      <c r="BO1669" s="2"/>
      <c r="BP1669" s="2">
        <v>241</v>
      </c>
      <c r="BQ1669" s="2" t="s">
        <v>82</v>
      </c>
      <c r="BR1669" s="2"/>
      <c r="BS1669" s="3">
        <v>40291</v>
      </c>
      <c r="BT1669" s="4">
        <v>0.780787037037037</v>
      </c>
    </row>
    <row r="1670" spans="1:72" x14ac:dyDescent="0.25">
      <c r="A1670" s="2">
        <v>2437</v>
      </c>
      <c r="B1670" s="2">
        <v>2010</v>
      </c>
      <c r="C1670" s="2" t="s">
        <v>196</v>
      </c>
      <c r="D1670" s="2" t="s">
        <v>122</v>
      </c>
      <c r="E1670" s="2"/>
      <c r="F1670" s="2">
        <v>1</v>
      </c>
      <c r="G1670" s="2" t="s">
        <v>82</v>
      </c>
      <c r="H1670" s="2">
        <v>1</v>
      </c>
      <c r="I1670" s="2" t="s">
        <v>82</v>
      </c>
      <c r="J1670" s="2">
        <v>1</v>
      </c>
      <c r="K1670" s="2" t="s">
        <v>107</v>
      </c>
      <c r="L1670" s="2" t="s">
        <v>107</v>
      </c>
      <c r="M1670" s="3">
        <v>40291</v>
      </c>
      <c r="N1670" s="2"/>
      <c r="O1670" s="2"/>
      <c r="P1670" s="2"/>
      <c r="Q1670" s="2" t="str">
        <f>""</f>
        <v/>
      </c>
      <c r="R1670" s="2"/>
      <c r="S1670" s="2"/>
      <c r="T1670" s="2">
        <v>2</v>
      </c>
      <c r="U1670" s="2" t="s">
        <v>123</v>
      </c>
      <c r="V1670" s="2">
        <v>1</v>
      </c>
      <c r="W1670" s="2" t="s">
        <v>80</v>
      </c>
      <c r="X1670" s="2">
        <v>5</v>
      </c>
      <c r="Y1670" s="2" t="s">
        <v>82</v>
      </c>
      <c r="Z1670" s="2">
        <v>1</v>
      </c>
      <c r="AA1670" s="2" t="s">
        <v>82</v>
      </c>
      <c r="AB1670" s="2">
        <v>9</v>
      </c>
      <c r="AC1670" s="2" t="s">
        <v>124</v>
      </c>
      <c r="AD1670" s="3">
        <v>40291</v>
      </c>
      <c r="AE1670" s="4">
        <v>0.78611111111111109</v>
      </c>
      <c r="AF1670" s="2"/>
      <c r="AG1670" s="2"/>
      <c r="AH1670" s="2">
        <v>6</v>
      </c>
      <c r="AI1670" s="2" t="s">
        <v>197</v>
      </c>
      <c r="AJ1670" s="2">
        <v>59</v>
      </c>
      <c r="AK1670" s="2" t="s">
        <v>198</v>
      </c>
      <c r="AL1670" s="2">
        <v>18</v>
      </c>
      <c r="AM1670" s="2" t="s">
        <v>82</v>
      </c>
      <c r="AN1670" s="2" t="s">
        <v>230</v>
      </c>
      <c r="AO1670" s="2" t="s">
        <v>259</v>
      </c>
      <c r="AP1670" s="2">
        <v>11</v>
      </c>
      <c r="AQ1670" s="2" t="s">
        <v>82</v>
      </c>
      <c r="AR1670" s="2"/>
      <c r="AS1670" s="2"/>
      <c r="AT1670" s="2" t="s">
        <v>6009</v>
      </c>
      <c r="AU1670" s="2"/>
      <c r="AV1670" s="2"/>
      <c r="AW1670" s="2"/>
      <c r="AX1670" s="2"/>
      <c r="AY1670" s="2">
        <v>1</v>
      </c>
      <c r="AZ1670" s="2" t="s">
        <v>107</v>
      </c>
      <c r="BA1670" s="2">
        <v>1</v>
      </c>
      <c r="BB1670" s="2" t="s">
        <v>107</v>
      </c>
      <c r="BC1670" s="2">
        <v>1</v>
      </c>
      <c r="BD1670" s="2" t="s">
        <v>107</v>
      </c>
      <c r="BE1670" s="2">
        <v>1</v>
      </c>
      <c r="BF1670" s="2" t="s">
        <v>107</v>
      </c>
      <c r="BG1670" s="2"/>
      <c r="BH1670" s="4">
        <v>0.78611111111111109</v>
      </c>
      <c r="BI1670" s="2"/>
      <c r="BJ1670" s="2">
        <v>242</v>
      </c>
      <c r="BK1670" s="2" t="s">
        <v>107</v>
      </c>
      <c r="BL1670" s="2" t="s">
        <v>4062</v>
      </c>
      <c r="BM1670" s="2">
        <v>242</v>
      </c>
      <c r="BN1670" s="2" t="s">
        <v>107</v>
      </c>
      <c r="BO1670" s="2" t="s">
        <v>82</v>
      </c>
      <c r="BP1670" s="2">
        <v>242</v>
      </c>
      <c r="BQ1670" s="2" t="s">
        <v>107</v>
      </c>
      <c r="BR1670" s="2" t="s">
        <v>204</v>
      </c>
      <c r="BS1670" s="3">
        <v>40291</v>
      </c>
      <c r="BT1670" s="4">
        <v>0.78229166666666661</v>
      </c>
    </row>
    <row r="1671" spans="1:72" x14ac:dyDescent="0.25">
      <c r="A1671" s="2">
        <v>2438</v>
      </c>
      <c r="B1671" s="2">
        <v>2010</v>
      </c>
      <c r="C1671" s="2" t="s">
        <v>377</v>
      </c>
      <c r="D1671" s="2" t="s">
        <v>73</v>
      </c>
      <c r="E1671" s="2"/>
      <c r="F1671" s="2">
        <v>426</v>
      </c>
      <c r="G1671" s="2" t="s">
        <v>378</v>
      </c>
      <c r="H1671" s="2">
        <v>22</v>
      </c>
      <c r="I1671" s="2" t="s">
        <v>75</v>
      </c>
      <c r="J1671" s="2">
        <v>311</v>
      </c>
      <c r="K1671" s="2" t="s">
        <v>379</v>
      </c>
      <c r="L1671" s="2" t="s">
        <v>380</v>
      </c>
      <c r="M1671" s="3">
        <v>40291</v>
      </c>
      <c r="N1671" s="2" t="s">
        <v>4427</v>
      </c>
      <c r="O1671" s="2"/>
      <c r="P1671" s="2"/>
      <c r="Q1671" s="2" t="str">
        <f>"059-C/10"</f>
        <v>059-C/10</v>
      </c>
      <c r="R1671" s="2" t="s">
        <v>4428</v>
      </c>
      <c r="S1671" s="2" t="s">
        <v>4428</v>
      </c>
      <c r="T1671" s="2">
        <v>1</v>
      </c>
      <c r="U1671" s="2" t="s">
        <v>79</v>
      </c>
      <c r="V1671" s="2">
        <v>1</v>
      </c>
      <c r="W1671" s="2" t="s">
        <v>80</v>
      </c>
      <c r="X1671" s="2">
        <v>1</v>
      </c>
      <c r="Y1671" s="2" t="s">
        <v>81</v>
      </c>
      <c r="Z1671" s="2">
        <v>1</v>
      </c>
      <c r="AA1671" s="2" t="s">
        <v>82</v>
      </c>
      <c r="AB1671" s="2">
        <v>9</v>
      </c>
      <c r="AC1671" s="2" t="s">
        <v>124</v>
      </c>
      <c r="AD1671" s="3">
        <v>40291</v>
      </c>
      <c r="AE1671" s="4">
        <v>0.63888888888888895</v>
      </c>
      <c r="AF1671" s="2"/>
      <c r="AG1671" s="2"/>
      <c r="AH1671" s="2">
        <v>2</v>
      </c>
      <c r="AI1671" s="2" t="s">
        <v>84</v>
      </c>
      <c r="AJ1671" s="2">
        <v>9</v>
      </c>
      <c r="AK1671" s="2" t="s">
        <v>103</v>
      </c>
      <c r="AL1671" s="2">
        <v>29</v>
      </c>
      <c r="AM1671" s="2" t="s">
        <v>5416</v>
      </c>
      <c r="AN1671" s="2"/>
      <c r="AO1671" s="2" t="s">
        <v>6007</v>
      </c>
      <c r="AP1671" s="2">
        <v>11</v>
      </c>
      <c r="AQ1671" s="2" t="s">
        <v>82</v>
      </c>
      <c r="AR1671" s="2"/>
      <c r="AS1671" s="2"/>
      <c r="AT1671" s="2" t="s">
        <v>6010</v>
      </c>
      <c r="AU1671" s="2"/>
      <c r="AV1671" s="2"/>
      <c r="AW1671" s="2"/>
      <c r="AX1671" s="2"/>
      <c r="AY1671" s="2">
        <v>41</v>
      </c>
      <c r="AZ1671" s="2" t="s">
        <v>82</v>
      </c>
      <c r="BA1671" s="2">
        <v>41</v>
      </c>
      <c r="BB1671" s="2" t="s">
        <v>82</v>
      </c>
      <c r="BC1671" s="2">
        <v>41</v>
      </c>
      <c r="BD1671" s="2" t="s">
        <v>82</v>
      </c>
      <c r="BE1671" s="2">
        <v>41</v>
      </c>
      <c r="BF1671" s="2" t="s">
        <v>82</v>
      </c>
      <c r="BG1671" s="2"/>
      <c r="BH1671" s="2"/>
      <c r="BI1671" s="2"/>
      <c r="BJ1671" s="2">
        <v>241</v>
      </c>
      <c r="BK1671" s="2" t="s">
        <v>82</v>
      </c>
      <c r="BL1671" s="2"/>
      <c r="BM1671" s="2">
        <v>241</v>
      </c>
      <c r="BN1671" s="2" t="s">
        <v>82</v>
      </c>
      <c r="BO1671" s="2"/>
      <c r="BP1671" s="2">
        <v>241</v>
      </c>
      <c r="BQ1671" s="2" t="s">
        <v>82</v>
      </c>
      <c r="BR1671" s="2"/>
      <c r="BS1671" s="3">
        <v>40291</v>
      </c>
      <c r="BT1671" s="4">
        <v>0.78554398148148152</v>
      </c>
    </row>
    <row r="1672" spans="1:72" x14ac:dyDescent="0.25">
      <c r="A1672" s="2">
        <v>2439</v>
      </c>
      <c r="B1672" s="2">
        <v>2010</v>
      </c>
      <c r="C1672" s="2" t="s">
        <v>377</v>
      </c>
      <c r="D1672" s="2" t="s">
        <v>73</v>
      </c>
      <c r="E1672" s="2"/>
      <c r="F1672" s="2">
        <v>426</v>
      </c>
      <c r="G1672" s="2" t="s">
        <v>378</v>
      </c>
      <c r="H1672" s="2">
        <v>22</v>
      </c>
      <c r="I1672" s="2" t="s">
        <v>75</v>
      </c>
      <c r="J1672" s="2">
        <v>311</v>
      </c>
      <c r="K1672" s="2" t="s">
        <v>379</v>
      </c>
      <c r="L1672" s="2" t="s">
        <v>380</v>
      </c>
      <c r="M1672" s="3">
        <v>40291</v>
      </c>
      <c r="N1672" s="2" t="s">
        <v>4427</v>
      </c>
      <c r="O1672" s="2"/>
      <c r="P1672" s="2"/>
      <c r="Q1672" s="2" t="str">
        <f>"060-C/10"</f>
        <v>060-C/10</v>
      </c>
      <c r="R1672" s="2" t="s">
        <v>4428</v>
      </c>
      <c r="S1672" s="2" t="s">
        <v>4428</v>
      </c>
      <c r="T1672" s="2">
        <v>1</v>
      </c>
      <c r="U1672" s="2" t="s">
        <v>79</v>
      </c>
      <c r="V1672" s="2">
        <v>1</v>
      </c>
      <c r="W1672" s="2" t="s">
        <v>80</v>
      </c>
      <c r="X1672" s="2">
        <v>1</v>
      </c>
      <c r="Y1672" s="2" t="s">
        <v>81</v>
      </c>
      <c r="Z1672" s="2">
        <v>1</v>
      </c>
      <c r="AA1672" s="2" t="s">
        <v>82</v>
      </c>
      <c r="AB1672" s="2">
        <v>9</v>
      </c>
      <c r="AC1672" s="2" t="s">
        <v>124</v>
      </c>
      <c r="AD1672" s="3">
        <v>40291</v>
      </c>
      <c r="AE1672" s="4">
        <v>0.64583333333333337</v>
      </c>
      <c r="AF1672" s="2"/>
      <c r="AG1672" s="2"/>
      <c r="AH1672" s="2">
        <v>2</v>
      </c>
      <c r="AI1672" s="2" t="s">
        <v>84</v>
      </c>
      <c r="AJ1672" s="2">
        <v>9</v>
      </c>
      <c r="AK1672" s="2" t="s">
        <v>103</v>
      </c>
      <c r="AL1672" s="2">
        <v>29</v>
      </c>
      <c r="AM1672" s="2" t="s">
        <v>5416</v>
      </c>
      <c r="AN1672" s="2"/>
      <c r="AO1672" s="2" t="s">
        <v>6007</v>
      </c>
      <c r="AP1672" s="2">
        <v>11</v>
      </c>
      <c r="AQ1672" s="2" t="s">
        <v>82</v>
      </c>
      <c r="AR1672" s="2"/>
      <c r="AS1672" s="2"/>
      <c r="AT1672" s="2" t="s">
        <v>6011</v>
      </c>
      <c r="AU1672" s="2"/>
      <c r="AV1672" s="2"/>
      <c r="AW1672" s="2"/>
      <c r="AX1672" s="2"/>
      <c r="AY1672" s="2">
        <v>41</v>
      </c>
      <c r="AZ1672" s="2" t="s">
        <v>82</v>
      </c>
      <c r="BA1672" s="2">
        <v>41</v>
      </c>
      <c r="BB1672" s="2" t="s">
        <v>82</v>
      </c>
      <c r="BC1672" s="2">
        <v>41</v>
      </c>
      <c r="BD1672" s="2" t="s">
        <v>82</v>
      </c>
      <c r="BE1672" s="2">
        <v>41</v>
      </c>
      <c r="BF1672" s="2" t="s">
        <v>82</v>
      </c>
      <c r="BG1672" s="2"/>
      <c r="BH1672" s="2"/>
      <c r="BI1672" s="2"/>
      <c r="BJ1672" s="2">
        <v>241</v>
      </c>
      <c r="BK1672" s="2" t="s">
        <v>82</v>
      </c>
      <c r="BL1672" s="2"/>
      <c r="BM1672" s="2">
        <v>241</v>
      </c>
      <c r="BN1672" s="2" t="s">
        <v>82</v>
      </c>
      <c r="BO1672" s="2"/>
      <c r="BP1672" s="2">
        <v>241</v>
      </c>
      <c r="BQ1672" s="2" t="s">
        <v>82</v>
      </c>
      <c r="BR1672" s="2"/>
      <c r="BS1672" s="3">
        <v>40291</v>
      </c>
      <c r="BT1672" s="4">
        <v>0.79015046296296287</v>
      </c>
    </row>
    <row r="1673" spans="1:72" x14ac:dyDescent="0.25">
      <c r="A1673" s="2">
        <v>2440</v>
      </c>
      <c r="B1673" s="2">
        <v>2010</v>
      </c>
      <c r="C1673" s="2" t="s">
        <v>72</v>
      </c>
      <c r="D1673" s="2" t="s">
        <v>73</v>
      </c>
      <c r="E1673" s="2"/>
      <c r="F1673" s="2">
        <v>178</v>
      </c>
      <c r="G1673" s="2" t="s">
        <v>555</v>
      </c>
      <c r="H1673" s="2">
        <v>22</v>
      </c>
      <c r="I1673" s="2" t="s">
        <v>75</v>
      </c>
      <c r="J1673" s="2">
        <v>534</v>
      </c>
      <c r="K1673" s="2" t="s">
        <v>6012</v>
      </c>
      <c r="L1673" s="2" t="s">
        <v>6013</v>
      </c>
      <c r="M1673" s="3">
        <v>40291</v>
      </c>
      <c r="N1673" s="2" t="s">
        <v>6014</v>
      </c>
      <c r="O1673" s="2" t="s">
        <v>107</v>
      </c>
      <c r="P1673" s="2" t="s">
        <v>107</v>
      </c>
      <c r="Q1673" s="2" t="str">
        <f>"158-A/10"</f>
        <v>158-A/10</v>
      </c>
      <c r="R1673" s="2" t="s">
        <v>107</v>
      </c>
      <c r="S1673" s="2" t="s">
        <v>206</v>
      </c>
      <c r="T1673" s="2">
        <v>1</v>
      </c>
      <c r="U1673" s="2" t="s">
        <v>79</v>
      </c>
      <c r="V1673" s="2">
        <v>1</v>
      </c>
      <c r="W1673" s="2" t="s">
        <v>80</v>
      </c>
      <c r="X1673" s="2">
        <v>12</v>
      </c>
      <c r="Y1673" s="2" t="s">
        <v>148</v>
      </c>
      <c r="Z1673" s="2">
        <v>1</v>
      </c>
      <c r="AA1673" s="2" t="s">
        <v>82</v>
      </c>
      <c r="AB1673" s="2">
        <v>6</v>
      </c>
      <c r="AC1673" s="2" t="s">
        <v>83</v>
      </c>
      <c r="AD1673" s="3">
        <v>40287</v>
      </c>
      <c r="AE1673" s="4">
        <v>0.99305555555555547</v>
      </c>
      <c r="AF1673" s="3">
        <v>40291</v>
      </c>
      <c r="AG1673" s="4">
        <v>0.71527777777777779</v>
      </c>
      <c r="AH1673" s="2">
        <v>2</v>
      </c>
      <c r="AI1673" s="2" t="s">
        <v>84</v>
      </c>
      <c r="AJ1673" s="2">
        <v>12</v>
      </c>
      <c r="AK1673" s="2" t="s">
        <v>85</v>
      </c>
      <c r="AL1673" s="2">
        <v>22</v>
      </c>
      <c r="AM1673" s="2" t="s">
        <v>1853</v>
      </c>
      <c r="AN1673" s="2" t="s">
        <v>6015</v>
      </c>
      <c r="AO1673" s="2" t="s">
        <v>3560</v>
      </c>
      <c r="AP1673" s="2">
        <v>11</v>
      </c>
      <c r="AQ1673" s="2" t="s">
        <v>82</v>
      </c>
      <c r="AR1673" s="2"/>
      <c r="AS1673" s="2"/>
      <c r="AT1673" s="2" t="s">
        <v>6016</v>
      </c>
      <c r="AU1673" s="2"/>
      <c r="AV1673" s="2"/>
      <c r="AW1673" s="2"/>
      <c r="AX1673" s="2"/>
      <c r="AY1673" s="2">
        <v>41</v>
      </c>
      <c r="AZ1673" s="2" t="s">
        <v>82</v>
      </c>
      <c r="BA1673" s="2">
        <v>41</v>
      </c>
      <c r="BB1673" s="2" t="s">
        <v>82</v>
      </c>
      <c r="BC1673" s="2">
        <v>41</v>
      </c>
      <c r="BD1673" s="2" t="s">
        <v>82</v>
      </c>
      <c r="BE1673" s="2">
        <v>13</v>
      </c>
      <c r="BF1673" s="2" t="s">
        <v>108</v>
      </c>
      <c r="BG1673" s="2" t="s">
        <v>6017</v>
      </c>
      <c r="BH1673" s="4">
        <v>0.99305555555555547</v>
      </c>
      <c r="BI1673" s="4">
        <v>0.92361111111111116</v>
      </c>
      <c r="BJ1673" s="2">
        <v>13</v>
      </c>
      <c r="BK1673" s="2" t="s">
        <v>91</v>
      </c>
      <c r="BL1673" s="2" t="s">
        <v>210</v>
      </c>
      <c r="BM1673" s="2">
        <v>241</v>
      </c>
      <c r="BN1673" s="2" t="s">
        <v>82</v>
      </c>
      <c r="BO1673" s="2" t="s">
        <v>82</v>
      </c>
      <c r="BP1673" s="2">
        <v>13</v>
      </c>
      <c r="BQ1673" s="2" t="s">
        <v>91</v>
      </c>
      <c r="BR1673" s="2" t="s">
        <v>185</v>
      </c>
      <c r="BS1673" s="3">
        <v>40291</v>
      </c>
      <c r="BT1673" s="4">
        <v>0.79181712962962969</v>
      </c>
    </row>
    <row r="1674" spans="1:72" x14ac:dyDescent="0.25">
      <c r="A1674" s="2">
        <v>2441</v>
      </c>
      <c r="B1674" s="2">
        <v>2010</v>
      </c>
      <c r="C1674" s="2" t="s">
        <v>385</v>
      </c>
      <c r="D1674" s="2" t="s">
        <v>73</v>
      </c>
      <c r="E1674" s="2"/>
      <c r="F1674" s="2">
        <v>451</v>
      </c>
      <c r="G1674" s="2" t="s">
        <v>879</v>
      </c>
      <c r="H1674" s="2">
        <v>31</v>
      </c>
      <c r="I1674" s="2" t="s">
        <v>880</v>
      </c>
      <c r="J1674" s="2">
        <v>326</v>
      </c>
      <c r="K1674" s="2" t="s">
        <v>881</v>
      </c>
      <c r="L1674" s="2" t="s">
        <v>882</v>
      </c>
      <c r="M1674" s="3">
        <v>40291</v>
      </c>
      <c r="N1674" s="2" t="s">
        <v>6018</v>
      </c>
      <c r="O1674" s="2" t="s">
        <v>6019</v>
      </c>
      <c r="P1674" s="2" t="s">
        <v>6020</v>
      </c>
      <c r="Q1674" s="2" t="str">
        <f>""</f>
        <v/>
      </c>
      <c r="R1674" s="2"/>
      <c r="S1674" s="2"/>
      <c r="T1674" s="2">
        <v>1</v>
      </c>
      <c r="U1674" s="2" t="s">
        <v>79</v>
      </c>
      <c r="V1674" s="2">
        <v>1</v>
      </c>
      <c r="W1674" s="2" t="s">
        <v>80</v>
      </c>
      <c r="X1674" s="2">
        <v>4</v>
      </c>
      <c r="Y1674" s="2" t="s">
        <v>463</v>
      </c>
      <c r="Z1674" s="2">
        <v>9</v>
      </c>
      <c r="AA1674" s="2" t="s">
        <v>1119</v>
      </c>
      <c r="AB1674" s="2">
        <v>9</v>
      </c>
      <c r="AC1674" s="2" t="s">
        <v>124</v>
      </c>
      <c r="AD1674" s="3">
        <v>40291</v>
      </c>
      <c r="AE1674" s="4">
        <v>0.67361111111111116</v>
      </c>
      <c r="AF1674" s="2"/>
      <c r="AG1674" s="2"/>
      <c r="AH1674" s="2">
        <v>4</v>
      </c>
      <c r="AI1674" s="2" t="s">
        <v>125</v>
      </c>
      <c r="AJ1674" s="2">
        <v>29</v>
      </c>
      <c r="AK1674" s="2" t="s">
        <v>227</v>
      </c>
      <c r="AL1674" s="2">
        <v>10</v>
      </c>
      <c r="AM1674" s="2" t="s">
        <v>200</v>
      </c>
      <c r="AN1674" s="2" t="s">
        <v>6021</v>
      </c>
      <c r="AO1674" s="2" t="s">
        <v>5930</v>
      </c>
      <c r="AP1674" s="2">
        <v>11</v>
      </c>
      <c r="AQ1674" s="2" t="s">
        <v>82</v>
      </c>
      <c r="AR1674" s="2"/>
      <c r="AS1674" s="2"/>
      <c r="AT1674" s="2" t="s">
        <v>6022</v>
      </c>
      <c r="AU1674" s="2">
        <v>2</v>
      </c>
      <c r="AV1674" s="2"/>
      <c r="AW1674" s="2"/>
      <c r="AX1674" s="2"/>
      <c r="AY1674" s="2">
        <v>41</v>
      </c>
      <c r="AZ1674" s="2" t="s">
        <v>82</v>
      </c>
      <c r="BA1674" s="2">
        <v>41</v>
      </c>
      <c r="BB1674" s="2" t="s">
        <v>82</v>
      </c>
      <c r="BC1674" s="2">
        <v>42</v>
      </c>
      <c r="BD1674" s="2" t="s">
        <v>182</v>
      </c>
      <c r="BE1674" s="2">
        <v>13</v>
      </c>
      <c r="BF1674" s="2" t="s">
        <v>108</v>
      </c>
      <c r="BG1674" s="2" t="s">
        <v>3061</v>
      </c>
      <c r="BH1674" s="4">
        <v>0.73263888888888884</v>
      </c>
      <c r="BI1674" s="4">
        <v>0.77777777777777779</v>
      </c>
      <c r="BJ1674" s="2">
        <v>13</v>
      </c>
      <c r="BK1674" s="2" t="s">
        <v>91</v>
      </c>
      <c r="BL1674" s="2" t="s">
        <v>828</v>
      </c>
      <c r="BM1674" s="2">
        <v>241</v>
      </c>
      <c r="BN1674" s="2" t="s">
        <v>82</v>
      </c>
      <c r="BO1674" s="2"/>
      <c r="BP1674" s="2">
        <v>13</v>
      </c>
      <c r="BQ1674" s="2" t="s">
        <v>91</v>
      </c>
      <c r="BR1674" s="2" t="s">
        <v>185</v>
      </c>
      <c r="BS1674" s="3">
        <v>40291</v>
      </c>
      <c r="BT1674" s="4">
        <v>0.83527777777777779</v>
      </c>
    </row>
    <row r="1675" spans="1:72" x14ac:dyDescent="0.25">
      <c r="A1675" s="2">
        <v>2442</v>
      </c>
      <c r="B1675" s="2">
        <v>2010</v>
      </c>
      <c r="C1675" s="2" t="s">
        <v>385</v>
      </c>
      <c r="D1675" s="2" t="s">
        <v>122</v>
      </c>
      <c r="E1675" s="2"/>
      <c r="F1675" s="2">
        <v>451</v>
      </c>
      <c r="G1675" s="2" t="s">
        <v>879</v>
      </c>
      <c r="H1675" s="2">
        <v>22</v>
      </c>
      <c r="I1675" s="2" t="s">
        <v>75</v>
      </c>
      <c r="J1675" s="2">
        <v>326</v>
      </c>
      <c r="K1675" s="2" t="s">
        <v>881</v>
      </c>
      <c r="L1675" s="2" t="s">
        <v>882</v>
      </c>
      <c r="M1675" s="3">
        <v>40291</v>
      </c>
      <c r="N1675" s="2" t="s">
        <v>6023</v>
      </c>
      <c r="O1675" s="2" t="s">
        <v>6024</v>
      </c>
      <c r="P1675" s="2" t="s">
        <v>6020</v>
      </c>
      <c r="Q1675" s="2" t="str">
        <f>""</f>
        <v/>
      </c>
      <c r="R1675" s="2"/>
      <c r="S1675" s="2"/>
      <c r="T1675" s="2">
        <v>1</v>
      </c>
      <c r="U1675" s="2" t="s">
        <v>79</v>
      </c>
      <c r="V1675" s="2">
        <v>1</v>
      </c>
      <c r="W1675" s="2" t="s">
        <v>80</v>
      </c>
      <c r="X1675" s="2">
        <v>1</v>
      </c>
      <c r="Y1675" s="2" t="s">
        <v>81</v>
      </c>
      <c r="Z1675" s="2">
        <v>9</v>
      </c>
      <c r="AA1675" s="2" t="s">
        <v>1119</v>
      </c>
      <c r="AB1675" s="2">
        <v>9</v>
      </c>
      <c r="AC1675" s="2" t="s">
        <v>124</v>
      </c>
      <c r="AD1675" s="3">
        <v>40291</v>
      </c>
      <c r="AE1675" s="4">
        <v>0.84722222222222221</v>
      </c>
      <c r="AF1675" s="2"/>
      <c r="AG1675" s="2"/>
      <c r="AH1675" s="2">
        <v>2</v>
      </c>
      <c r="AI1675" s="2" t="s">
        <v>84</v>
      </c>
      <c r="AJ1675" s="2">
        <v>12</v>
      </c>
      <c r="AK1675" s="2" t="s">
        <v>85</v>
      </c>
      <c r="AL1675" s="2">
        <v>2</v>
      </c>
      <c r="AM1675" s="2" t="s">
        <v>163</v>
      </c>
      <c r="AN1675" s="2"/>
      <c r="AO1675" s="2" t="s">
        <v>1807</v>
      </c>
      <c r="AP1675" s="2">
        <v>11</v>
      </c>
      <c r="AQ1675" s="2" t="s">
        <v>82</v>
      </c>
      <c r="AR1675" s="2"/>
      <c r="AS1675" s="2"/>
      <c r="AT1675" s="2" t="s">
        <v>6025</v>
      </c>
      <c r="AU1675" s="2">
        <v>1</v>
      </c>
      <c r="AV1675" s="2"/>
      <c r="AW1675" s="2"/>
      <c r="AX1675" s="2"/>
      <c r="AY1675" s="2">
        <v>41</v>
      </c>
      <c r="AZ1675" s="2" t="s">
        <v>82</v>
      </c>
      <c r="BA1675" s="2">
        <v>41</v>
      </c>
      <c r="BB1675" s="2" t="s">
        <v>82</v>
      </c>
      <c r="BC1675" s="2">
        <v>41</v>
      </c>
      <c r="BD1675" s="2" t="s">
        <v>82</v>
      </c>
      <c r="BE1675" s="2">
        <v>13</v>
      </c>
      <c r="BF1675" s="2" t="s">
        <v>108</v>
      </c>
      <c r="BG1675" s="2">
        <v>2496</v>
      </c>
      <c r="BH1675" s="4">
        <v>0.84722222222222221</v>
      </c>
      <c r="BI1675" s="4">
        <v>0.75069444444444444</v>
      </c>
      <c r="BJ1675" s="2">
        <v>13</v>
      </c>
      <c r="BK1675" s="2" t="s">
        <v>91</v>
      </c>
      <c r="BL1675" s="2" t="s">
        <v>828</v>
      </c>
      <c r="BM1675" s="2">
        <v>241</v>
      </c>
      <c r="BN1675" s="2" t="s">
        <v>82</v>
      </c>
      <c r="BO1675" s="2"/>
      <c r="BP1675" s="2">
        <v>13</v>
      </c>
      <c r="BQ1675" s="2" t="s">
        <v>91</v>
      </c>
      <c r="BR1675" s="2" t="s">
        <v>185</v>
      </c>
      <c r="BS1675" s="3">
        <v>40291</v>
      </c>
      <c r="BT1675" s="4">
        <v>0.85038194444444448</v>
      </c>
    </row>
    <row r="1676" spans="1:72" x14ac:dyDescent="0.25">
      <c r="A1676" s="2">
        <v>2443</v>
      </c>
      <c r="B1676" s="2">
        <v>2010</v>
      </c>
      <c r="C1676" s="2" t="s">
        <v>128</v>
      </c>
      <c r="D1676" s="2" t="s">
        <v>122</v>
      </c>
      <c r="E1676" s="2"/>
      <c r="F1676" s="2">
        <v>2</v>
      </c>
      <c r="G1676" s="2" t="s">
        <v>113</v>
      </c>
      <c r="H1676" s="2">
        <v>2</v>
      </c>
      <c r="I1676" s="2" t="s">
        <v>267</v>
      </c>
      <c r="J1676" s="2">
        <v>300</v>
      </c>
      <c r="K1676" s="2" t="s">
        <v>114</v>
      </c>
      <c r="L1676" s="2" t="s">
        <v>115</v>
      </c>
      <c r="M1676" s="3">
        <v>40292</v>
      </c>
      <c r="N1676" s="2" t="s">
        <v>107</v>
      </c>
      <c r="O1676" s="2" t="s">
        <v>6026</v>
      </c>
      <c r="P1676" s="2" t="s">
        <v>6027</v>
      </c>
      <c r="Q1676" s="2" t="str">
        <f>"N° 223-E/10"</f>
        <v>N° 223-E/10</v>
      </c>
      <c r="R1676" s="2"/>
      <c r="S1676" s="2" t="s">
        <v>6026</v>
      </c>
      <c r="T1676" s="2">
        <v>1</v>
      </c>
      <c r="U1676" s="2" t="s">
        <v>79</v>
      </c>
      <c r="V1676" s="2">
        <v>3</v>
      </c>
      <c r="W1676" s="2" t="s">
        <v>225</v>
      </c>
      <c r="X1676" s="2">
        <v>4</v>
      </c>
      <c r="Y1676" s="2" t="s">
        <v>463</v>
      </c>
      <c r="Z1676" s="2">
        <v>1</v>
      </c>
      <c r="AA1676" s="2" t="s">
        <v>82</v>
      </c>
      <c r="AB1676" s="2">
        <v>9</v>
      </c>
      <c r="AC1676" s="2" t="s">
        <v>124</v>
      </c>
      <c r="AD1676" s="3">
        <v>40291</v>
      </c>
      <c r="AE1676" s="4">
        <v>0.84375</v>
      </c>
      <c r="AF1676" s="2"/>
      <c r="AG1676" s="2"/>
      <c r="AH1676" s="2">
        <v>3</v>
      </c>
      <c r="AI1676" s="2" t="s">
        <v>214</v>
      </c>
      <c r="AJ1676" s="2">
        <v>24</v>
      </c>
      <c r="AK1676" s="2" t="s">
        <v>215</v>
      </c>
      <c r="AL1676" s="2">
        <v>19</v>
      </c>
      <c r="AM1676" s="2" t="s">
        <v>107</v>
      </c>
      <c r="AN1676" s="2" t="s">
        <v>107</v>
      </c>
      <c r="AO1676" s="2" t="s">
        <v>107</v>
      </c>
      <c r="AP1676" s="2">
        <v>11</v>
      </c>
      <c r="AQ1676" s="2" t="s">
        <v>82</v>
      </c>
      <c r="AR1676" s="2"/>
      <c r="AS1676" s="2"/>
      <c r="AT1676" s="2" t="s">
        <v>6028</v>
      </c>
      <c r="AU1676" s="2"/>
      <c r="AV1676" s="2"/>
      <c r="AW1676" s="2"/>
      <c r="AX1676" s="2"/>
      <c r="AY1676" s="2">
        <v>1</v>
      </c>
      <c r="AZ1676" s="2" t="s">
        <v>107</v>
      </c>
      <c r="BA1676" s="2">
        <v>1</v>
      </c>
      <c r="BB1676" s="2" t="s">
        <v>107</v>
      </c>
      <c r="BC1676" s="2">
        <v>1</v>
      </c>
      <c r="BD1676" s="2" t="s">
        <v>107</v>
      </c>
      <c r="BE1676" s="2">
        <v>1</v>
      </c>
      <c r="BF1676" s="2" t="s">
        <v>107</v>
      </c>
      <c r="BG1676" s="2"/>
      <c r="BH1676" s="2"/>
      <c r="BI1676" s="2"/>
      <c r="BJ1676" s="2">
        <v>242</v>
      </c>
      <c r="BK1676" s="2" t="s">
        <v>107</v>
      </c>
      <c r="BL1676" s="2"/>
      <c r="BM1676" s="2">
        <v>242</v>
      </c>
      <c r="BN1676" s="2" t="s">
        <v>107</v>
      </c>
      <c r="BO1676" s="2"/>
      <c r="BP1676" s="2">
        <v>242</v>
      </c>
      <c r="BQ1676" s="2" t="s">
        <v>107</v>
      </c>
      <c r="BR1676" s="2"/>
      <c r="BS1676" s="3">
        <v>40292</v>
      </c>
      <c r="BT1676" s="4">
        <v>0.45748842592592592</v>
      </c>
    </row>
    <row r="1677" spans="1:72" x14ac:dyDescent="0.25">
      <c r="A1677" s="2">
        <v>2444</v>
      </c>
      <c r="B1677" s="2">
        <v>2010</v>
      </c>
      <c r="C1677" s="2" t="s">
        <v>1172</v>
      </c>
      <c r="D1677" s="2" t="s">
        <v>73</v>
      </c>
      <c r="E1677" s="2"/>
      <c r="F1677" s="2">
        <v>92</v>
      </c>
      <c r="G1677" s="2" t="s">
        <v>1432</v>
      </c>
      <c r="H1677" s="2">
        <v>42</v>
      </c>
      <c r="I1677" s="2" t="s">
        <v>1096</v>
      </c>
      <c r="J1677" s="2">
        <v>119</v>
      </c>
      <c r="K1677" s="2" t="s">
        <v>325</v>
      </c>
      <c r="L1677" s="2" t="s">
        <v>326</v>
      </c>
      <c r="M1677" s="3">
        <v>40292</v>
      </c>
      <c r="N1677" s="2" t="s">
        <v>4106</v>
      </c>
      <c r="O1677" s="2" t="s">
        <v>6029</v>
      </c>
      <c r="P1677" s="2" t="s">
        <v>107</v>
      </c>
      <c r="Q1677" s="2" t="str">
        <f>"0009/2010"</f>
        <v>0009/2010</v>
      </c>
      <c r="R1677" s="2"/>
      <c r="S1677" s="2"/>
      <c r="T1677" s="2">
        <v>1</v>
      </c>
      <c r="U1677" s="2" t="s">
        <v>79</v>
      </c>
      <c r="V1677" s="2">
        <v>1</v>
      </c>
      <c r="W1677" s="2" t="s">
        <v>80</v>
      </c>
      <c r="X1677" s="2">
        <v>12</v>
      </c>
      <c r="Y1677" s="2" t="s">
        <v>148</v>
      </c>
      <c r="Z1677" s="2">
        <v>1</v>
      </c>
      <c r="AA1677" s="2" t="s">
        <v>82</v>
      </c>
      <c r="AB1677" s="2">
        <v>9</v>
      </c>
      <c r="AC1677" s="2" t="s">
        <v>124</v>
      </c>
      <c r="AD1677" s="3">
        <v>40291</v>
      </c>
      <c r="AE1677" s="4">
        <v>0.80902777777777779</v>
      </c>
      <c r="AF1677" s="2"/>
      <c r="AG1677" s="2"/>
      <c r="AH1677" s="2">
        <v>6</v>
      </c>
      <c r="AI1677" s="2" t="s">
        <v>197</v>
      </c>
      <c r="AJ1677" s="2">
        <v>50</v>
      </c>
      <c r="AK1677" s="2" t="s">
        <v>330</v>
      </c>
      <c r="AL1677" s="2">
        <v>23</v>
      </c>
      <c r="AM1677" s="2" t="s">
        <v>251</v>
      </c>
      <c r="AN1677" s="2"/>
      <c r="AO1677" s="2" t="s">
        <v>6030</v>
      </c>
      <c r="AP1677" s="2">
        <v>11</v>
      </c>
      <c r="AQ1677" s="2" t="s">
        <v>82</v>
      </c>
      <c r="AR1677" s="2"/>
      <c r="AS1677" s="2"/>
      <c r="AT1677" s="2" t="s">
        <v>6031</v>
      </c>
      <c r="AU1677" s="2"/>
      <c r="AV1677" s="2"/>
      <c r="AW1677" s="2"/>
      <c r="AX1677" s="2"/>
      <c r="AY1677" s="2">
        <v>1</v>
      </c>
      <c r="AZ1677" s="2" t="s">
        <v>107</v>
      </c>
      <c r="BA1677" s="2">
        <v>1</v>
      </c>
      <c r="BB1677" s="2" t="s">
        <v>107</v>
      </c>
      <c r="BC1677" s="2">
        <v>1</v>
      </c>
      <c r="BD1677" s="2" t="s">
        <v>107</v>
      </c>
      <c r="BE1677" s="2">
        <v>1</v>
      </c>
      <c r="BF1677" s="2" t="s">
        <v>107</v>
      </c>
      <c r="BG1677" s="2" t="s">
        <v>107</v>
      </c>
      <c r="BH1677" s="2"/>
      <c r="BI1677" s="4">
        <v>0.71875</v>
      </c>
      <c r="BJ1677" s="2">
        <v>13</v>
      </c>
      <c r="BK1677" s="2" t="s">
        <v>91</v>
      </c>
      <c r="BL1677" s="2" t="s">
        <v>1199</v>
      </c>
      <c r="BM1677" s="2">
        <v>13</v>
      </c>
      <c r="BN1677" s="2" t="s">
        <v>91</v>
      </c>
      <c r="BO1677" s="2" t="s">
        <v>1199</v>
      </c>
      <c r="BP1677" s="2">
        <v>13</v>
      </c>
      <c r="BQ1677" s="2" t="s">
        <v>91</v>
      </c>
      <c r="BR1677" s="2" t="s">
        <v>1199</v>
      </c>
      <c r="BS1677" s="3">
        <v>40292</v>
      </c>
      <c r="BT1677" s="4">
        <v>0.53320601851851845</v>
      </c>
    </row>
    <row r="1678" spans="1:72" x14ac:dyDescent="0.25">
      <c r="A1678" s="2">
        <v>2445</v>
      </c>
      <c r="B1678" s="2">
        <v>2010</v>
      </c>
      <c r="C1678" s="2" t="s">
        <v>171</v>
      </c>
      <c r="D1678" s="2" t="s">
        <v>122</v>
      </c>
      <c r="E1678" s="2"/>
      <c r="F1678" s="2">
        <v>425</v>
      </c>
      <c r="G1678" s="2" t="s">
        <v>286</v>
      </c>
      <c r="H1678" s="2">
        <v>39</v>
      </c>
      <c r="I1678" s="2" t="s">
        <v>1117</v>
      </c>
      <c r="J1678" s="2">
        <v>310</v>
      </c>
      <c r="K1678" s="2" t="s">
        <v>288</v>
      </c>
      <c r="L1678" s="2" t="s">
        <v>289</v>
      </c>
      <c r="M1678" s="3">
        <v>40292</v>
      </c>
      <c r="N1678" s="2" t="s">
        <v>2049</v>
      </c>
      <c r="O1678" s="2" t="s">
        <v>2490</v>
      </c>
      <c r="P1678" s="2" t="s">
        <v>6032</v>
      </c>
      <c r="Q1678" s="2" t="str">
        <f>"045/10"</f>
        <v>045/10</v>
      </c>
      <c r="R1678" s="2" t="s">
        <v>822</v>
      </c>
      <c r="S1678" s="2"/>
      <c r="T1678" s="2">
        <v>1</v>
      </c>
      <c r="U1678" s="2" t="s">
        <v>79</v>
      </c>
      <c r="V1678" s="2">
        <v>1</v>
      </c>
      <c r="W1678" s="2" t="s">
        <v>80</v>
      </c>
      <c r="X1678" s="2">
        <v>1</v>
      </c>
      <c r="Y1678" s="2" t="s">
        <v>81</v>
      </c>
      <c r="Z1678" s="2">
        <v>1</v>
      </c>
      <c r="AA1678" s="2" t="s">
        <v>82</v>
      </c>
      <c r="AB1678" s="2">
        <v>1</v>
      </c>
      <c r="AC1678" s="2" t="s">
        <v>178</v>
      </c>
      <c r="AD1678" s="3">
        <v>40291</v>
      </c>
      <c r="AE1678" s="4">
        <v>0.89583333333333337</v>
      </c>
      <c r="AF1678" s="2"/>
      <c r="AG1678" s="2"/>
      <c r="AH1678" s="2">
        <v>4</v>
      </c>
      <c r="AI1678" s="2" t="s">
        <v>125</v>
      </c>
      <c r="AJ1678" s="2">
        <v>29</v>
      </c>
      <c r="AK1678" s="2" t="s">
        <v>227</v>
      </c>
      <c r="AL1678" s="2">
        <v>16</v>
      </c>
      <c r="AM1678" s="2" t="s">
        <v>392</v>
      </c>
      <c r="AN1678" s="2" t="s">
        <v>1015</v>
      </c>
      <c r="AO1678" s="2"/>
      <c r="AP1678" s="2">
        <v>12</v>
      </c>
      <c r="AQ1678" s="2" t="s">
        <v>322</v>
      </c>
      <c r="AR1678" s="2" t="s">
        <v>824</v>
      </c>
      <c r="AS1678" s="2" t="s">
        <v>825</v>
      </c>
      <c r="AT1678" s="2" t="s">
        <v>6033</v>
      </c>
      <c r="AU1678" s="2"/>
      <c r="AV1678" s="2"/>
      <c r="AW1678" s="2"/>
      <c r="AX1678" s="2"/>
      <c r="AY1678" s="2">
        <v>41</v>
      </c>
      <c r="AZ1678" s="2" t="s">
        <v>82</v>
      </c>
      <c r="BA1678" s="2">
        <v>41</v>
      </c>
      <c r="BB1678" s="2" t="s">
        <v>82</v>
      </c>
      <c r="BC1678" s="2">
        <v>51</v>
      </c>
      <c r="BD1678" s="2" t="s">
        <v>827</v>
      </c>
      <c r="BE1678" s="2">
        <v>47</v>
      </c>
      <c r="BF1678" s="2" t="s">
        <v>167</v>
      </c>
      <c r="BG1678" s="2">
        <v>2459</v>
      </c>
      <c r="BH1678" s="4">
        <v>0.90277777777777779</v>
      </c>
      <c r="BI1678" s="4">
        <v>0.92361111111111116</v>
      </c>
      <c r="BJ1678" s="2">
        <v>13</v>
      </c>
      <c r="BK1678" s="2" t="s">
        <v>91</v>
      </c>
      <c r="BL1678" s="2" t="s">
        <v>828</v>
      </c>
      <c r="BM1678" s="2">
        <v>241</v>
      </c>
      <c r="BN1678" s="2" t="s">
        <v>82</v>
      </c>
      <c r="BO1678" s="2" t="s">
        <v>82</v>
      </c>
      <c r="BP1678" s="2">
        <v>13</v>
      </c>
      <c r="BQ1678" s="2" t="s">
        <v>91</v>
      </c>
      <c r="BR1678" s="2" t="s">
        <v>185</v>
      </c>
      <c r="BS1678" s="3">
        <v>40292</v>
      </c>
      <c r="BT1678" s="4">
        <v>0.68444444444444441</v>
      </c>
    </row>
    <row r="1679" spans="1:72" x14ac:dyDescent="0.25">
      <c r="A1679" s="2">
        <v>2446</v>
      </c>
      <c r="B1679" s="2">
        <v>2010</v>
      </c>
      <c r="C1679" s="2" t="s">
        <v>121</v>
      </c>
      <c r="D1679" s="2" t="s">
        <v>122</v>
      </c>
      <c r="E1679" s="2"/>
      <c r="F1679" s="2">
        <v>1</v>
      </c>
      <c r="G1679" s="2" t="s">
        <v>82</v>
      </c>
      <c r="H1679" s="2">
        <v>1</v>
      </c>
      <c r="I1679" s="2" t="s">
        <v>82</v>
      </c>
      <c r="J1679" s="2">
        <v>1</v>
      </c>
      <c r="K1679" s="2" t="s">
        <v>107</v>
      </c>
      <c r="L1679" s="2" t="s">
        <v>107</v>
      </c>
      <c r="M1679" s="3">
        <v>40292</v>
      </c>
      <c r="N1679" s="2"/>
      <c r="O1679" s="2"/>
      <c r="P1679" s="2"/>
      <c r="Q1679" s="2" t="str">
        <f>""</f>
        <v/>
      </c>
      <c r="R1679" s="2"/>
      <c r="S1679" s="2"/>
      <c r="T1679" s="2">
        <v>2</v>
      </c>
      <c r="U1679" s="2" t="s">
        <v>123</v>
      </c>
      <c r="V1679" s="2">
        <v>1</v>
      </c>
      <c r="W1679" s="2" t="s">
        <v>80</v>
      </c>
      <c r="X1679" s="2">
        <v>5</v>
      </c>
      <c r="Y1679" s="2" t="s">
        <v>82</v>
      </c>
      <c r="Z1679" s="2">
        <v>1</v>
      </c>
      <c r="AA1679" s="2" t="s">
        <v>82</v>
      </c>
      <c r="AB1679" s="2">
        <v>9</v>
      </c>
      <c r="AC1679" s="2" t="s">
        <v>124</v>
      </c>
      <c r="AD1679" s="3">
        <v>40292</v>
      </c>
      <c r="AE1679" s="4">
        <v>0.76041666666666663</v>
      </c>
      <c r="AF1679" s="2"/>
      <c r="AG1679" s="2"/>
      <c r="AH1679" s="2">
        <v>6</v>
      </c>
      <c r="AI1679" s="2" t="s">
        <v>197</v>
      </c>
      <c r="AJ1679" s="2">
        <v>60</v>
      </c>
      <c r="AK1679" s="2" t="s">
        <v>543</v>
      </c>
      <c r="AL1679" s="2">
        <v>18</v>
      </c>
      <c r="AM1679" s="2" t="s">
        <v>82</v>
      </c>
      <c r="AN1679" s="2"/>
      <c r="AO1679" s="2"/>
      <c r="AP1679" s="2">
        <v>11</v>
      </c>
      <c r="AQ1679" s="2" t="s">
        <v>82</v>
      </c>
      <c r="AR1679" s="2"/>
      <c r="AS1679" s="2"/>
      <c r="AT1679" s="2" t="s">
        <v>6034</v>
      </c>
      <c r="AU1679" s="2"/>
      <c r="AV1679" s="2"/>
      <c r="AW1679" s="2"/>
      <c r="AX1679" s="2"/>
      <c r="AY1679" s="2">
        <v>1</v>
      </c>
      <c r="AZ1679" s="2" t="s">
        <v>107</v>
      </c>
      <c r="BA1679" s="2">
        <v>1</v>
      </c>
      <c r="BB1679" s="2" t="s">
        <v>107</v>
      </c>
      <c r="BC1679" s="2">
        <v>1</v>
      </c>
      <c r="BD1679" s="2" t="s">
        <v>107</v>
      </c>
      <c r="BE1679" s="2">
        <v>1</v>
      </c>
      <c r="BF1679" s="2" t="s">
        <v>107</v>
      </c>
      <c r="BG1679" s="2" t="s">
        <v>6035</v>
      </c>
      <c r="BH1679" s="2"/>
      <c r="BI1679" s="4">
        <v>0.76041666666666663</v>
      </c>
      <c r="BJ1679" s="2">
        <v>242</v>
      </c>
      <c r="BK1679" s="2" t="s">
        <v>107</v>
      </c>
      <c r="BL1679" s="2"/>
      <c r="BM1679" s="2">
        <v>242</v>
      </c>
      <c r="BN1679" s="2" t="s">
        <v>107</v>
      </c>
      <c r="BO1679" s="2"/>
      <c r="BP1679" s="2">
        <v>242</v>
      </c>
      <c r="BQ1679" s="2" t="s">
        <v>107</v>
      </c>
      <c r="BR1679" s="2"/>
      <c r="BS1679" s="3">
        <v>40292</v>
      </c>
      <c r="BT1679" s="4">
        <v>0.82582175925925927</v>
      </c>
    </row>
    <row r="1680" spans="1:72" x14ac:dyDescent="0.25">
      <c r="A1680" s="2">
        <v>2447</v>
      </c>
      <c r="B1680" s="2">
        <v>2010</v>
      </c>
      <c r="C1680" s="2" t="s">
        <v>72</v>
      </c>
      <c r="D1680" s="2" t="s">
        <v>73</v>
      </c>
      <c r="E1680" s="2"/>
      <c r="F1680" s="2">
        <v>24</v>
      </c>
      <c r="G1680" s="2" t="s">
        <v>532</v>
      </c>
      <c r="H1680" s="2">
        <v>1</v>
      </c>
      <c r="I1680" s="2" t="s">
        <v>82</v>
      </c>
      <c r="J1680" s="2">
        <v>300</v>
      </c>
      <c r="K1680" s="2" t="s">
        <v>114</v>
      </c>
      <c r="L1680" s="2" t="s">
        <v>115</v>
      </c>
      <c r="M1680" s="3">
        <v>40292</v>
      </c>
      <c r="N1680" s="2"/>
      <c r="O1680" s="2"/>
      <c r="P1680" s="2"/>
      <c r="Q1680" s="2" t="str">
        <f>"224-E/10"</f>
        <v>224-E/10</v>
      </c>
      <c r="R1680" s="2" t="s">
        <v>480</v>
      </c>
      <c r="S1680" s="2" t="s">
        <v>480</v>
      </c>
      <c r="T1680" s="2">
        <v>1</v>
      </c>
      <c r="U1680" s="2" t="s">
        <v>79</v>
      </c>
      <c r="V1680" s="2">
        <v>1</v>
      </c>
      <c r="W1680" s="2" t="s">
        <v>80</v>
      </c>
      <c r="X1680" s="2">
        <v>12</v>
      </c>
      <c r="Y1680" s="2" t="s">
        <v>148</v>
      </c>
      <c r="Z1680" s="2">
        <v>1</v>
      </c>
      <c r="AA1680" s="2" t="s">
        <v>82</v>
      </c>
      <c r="AB1680" s="2">
        <v>6</v>
      </c>
      <c r="AC1680" s="2" t="s">
        <v>83</v>
      </c>
      <c r="AD1680" s="3">
        <v>40268</v>
      </c>
      <c r="AE1680" s="4">
        <v>0.6875</v>
      </c>
      <c r="AF1680" s="3">
        <v>40292</v>
      </c>
      <c r="AG1680" s="4">
        <v>0.47222222222222227</v>
      </c>
      <c r="AH1680" s="2">
        <v>2</v>
      </c>
      <c r="AI1680" s="2" t="s">
        <v>84</v>
      </c>
      <c r="AJ1680" s="2">
        <v>9</v>
      </c>
      <c r="AK1680" s="2" t="s">
        <v>103</v>
      </c>
      <c r="AL1680" s="2">
        <v>26</v>
      </c>
      <c r="AM1680" s="2" t="s">
        <v>6036</v>
      </c>
      <c r="AN1680" s="2" t="s">
        <v>6037</v>
      </c>
      <c r="AO1680" s="2"/>
      <c r="AP1680" s="2">
        <v>11</v>
      </c>
      <c r="AQ1680" s="2" t="s">
        <v>82</v>
      </c>
      <c r="AR1680" s="2"/>
      <c r="AS1680" s="2"/>
      <c r="AT1680" s="2" t="s">
        <v>6038</v>
      </c>
      <c r="AU1680" s="2"/>
      <c r="AV1680" s="2"/>
      <c r="AW1680" s="2"/>
      <c r="AX1680" s="2"/>
      <c r="AY1680" s="2">
        <v>41</v>
      </c>
      <c r="AZ1680" s="2" t="s">
        <v>82</v>
      </c>
      <c r="BA1680" s="2">
        <v>41</v>
      </c>
      <c r="BB1680" s="2" t="s">
        <v>82</v>
      </c>
      <c r="BC1680" s="2">
        <v>41</v>
      </c>
      <c r="BD1680" s="2" t="s">
        <v>82</v>
      </c>
      <c r="BE1680" s="2">
        <v>29</v>
      </c>
      <c r="BF1680" s="2" t="s">
        <v>2411</v>
      </c>
      <c r="BG1680" s="2" t="s">
        <v>6039</v>
      </c>
      <c r="BH1680" s="4">
        <v>0.45833333333333331</v>
      </c>
      <c r="BI1680" s="4">
        <v>0</v>
      </c>
      <c r="BJ1680" s="2">
        <v>16</v>
      </c>
      <c r="BK1680" s="2" t="s">
        <v>2130</v>
      </c>
      <c r="BL1680" s="2" t="s">
        <v>6040</v>
      </c>
      <c r="BM1680" s="2">
        <v>241</v>
      </c>
      <c r="BN1680" s="2" t="s">
        <v>82</v>
      </c>
      <c r="BO1680" s="2"/>
      <c r="BP1680" s="2">
        <v>13</v>
      </c>
      <c r="BQ1680" s="2" t="s">
        <v>91</v>
      </c>
      <c r="BR1680" s="2" t="s">
        <v>1084</v>
      </c>
      <c r="BS1680" s="3">
        <v>40292</v>
      </c>
      <c r="BT1680" s="4">
        <v>0.89718749999999992</v>
      </c>
    </row>
    <row r="1681" spans="1:72" x14ac:dyDescent="0.25">
      <c r="A1681" s="2">
        <v>2448</v>
      </c>
      <c r="B1681" s="2">
        <v>2010</v>
      </c>
      <c r="C1681" s="2" t="s">
        <v>418</v>
      </c>
      <c r="D1681" s="2" t="s">
        <v>122</v>
      </c>
      <c r="E1681" s="2"/>
      <c r="F1681" s="2">
        <v>1</v>
      </c>
      <c r="G1681" s="2" t="s">
        <v>82</v>
      </c>
      <c r="H1681" s="2">
        <v>1</v>
      </c>
      <c r="I1681" s="2" t="s">
        <v>82</v>
      </c>
      <c r="J1681" s="2">
        <v>1</v>
      </c>
      <c r="K1681" s="2" t="s">
        <v>107</v>
      </c>
      <c r="L1681" s="2" t="s">
        <v>107</v>
      </c>
      <c r="M1681" s="3">
        <v>40292</v>
      </c>
      <c r="N1681" s="2" t="s">
        <v>82</v>
      </c>
      <c r="O1681" s="2" t="s">
        <v>607</v>
      </c>
      <c r="P1681" s="2" t="s">
        <v>82</v>
      </c>
      <c r="Q1681" s="2" t="str">
        <f>""</f>
        <v/>
      </c>
      <c r="R1681" s="2" t="s">
        <v>607</v>
      </c>
      <c r="S1681" s="2" t="s">
        <v>607</v>
      </c>
      <c r="T1681" s="2">
        <v>2</v>
      </c>
      <c r="U1681" s="2" t="s">
        <v>123</v>
      </c>
      <c r="V1681" s="2">
        <v>1</v>
      </c>
      <c r="W1681" s="2" t="s">
        <v>80</v>
      </c>
      <c r="X1681" s="2">
        <v>5</v>
      </c>
      <c r="Y1681" s="2" t="s">
        <v>82</v>
      </c>
      <c r="Z1681" s="2">
        <v>10</v>
      </c>
      <c r="AA1681" s="2" t="s">
        <v>236</v>
      </c>
      <c r="AB1681" s="2">
        <v>9</v>
      </c>
      <c r="AC1681" s="2" t="s">
        <v>124</v>
      </c>
      <c r="AD1681" s="3">
        <v>40292</v>
      </c>
      <c r="AE1681" s="4">
        <v>0.88888888888888884</v>
      </c>
      <c r="AF1681" s="2"/>
      <c r="AG1681" s="2"/>
      <c r="AH1681" s="2">
        <v>4</v>
      </c>
      <c r="AI1681" s="2" t="s">
        <v>125</v>
      </c>
      <c r="AJ1681" s="2">
        <v>29</v>
      </c>
      <c r="AK1681" s="2" t="s">
        <v>227</v>
      </c>
      <c r="AL1681" s="2">
        <v>19</v>
      </c>
      <c r="AM1681" s="2" t="s">
        <v>107</v>
      </c>
      <c r="AN1681" s="2" t="s">
        <v>3620</v>
      </c>
      <c r="AO1681" s="2" t="s">
        <v>3620</v>
      </c>
      <c r="AP1681" s="2">
        <v>11</v>
      </c>
      <c r="AQ1681" s="2" t="s">
        <v>82</v>
      </c>
      <c r="AR1681" s="2" t="s">
        <v>82</v>
      </c>
      <c r="AS1681" s="2" t="s">
        <v>82</v>
      </c>
      <c r="AT1681" s="2" t="s">
        <v>6041</v>
      </c>
      <c r="AU1681" s="2"/>
      <c r="AV1681" s="2"/>
      <c r="AW1681" s="2"/>
      <c r="AX1681" s="2"/>
      <c r="AY1681" s="2">
        <v>41</v>
      </c>
      <c r="AZ1681" s="2" t="s">
        <v>82</v>
      </c>
      <c r="BA1681" s="2">
        <v>41</v>
      </c>
      <c r="BB1681" s="2" t="s">
        <v>82</v>
      </c>
      <c r="BC1681" s="2">
        <v>47</v>
      </c>
      <c r="BD1681" s="2" t="s">
        <v>167</v>
      </c>
      <c r="BE1681" s="2">
        <v>47</v>
      </c>
      <c r="BF1681" s="2" t="s">
        <v>167</v>
      </c>
      <c r="BG1681" s="2">
        <v>2458</v>
      </c>
      <c r="BH1681" s="4">
        <v>0.88888888888888884</v>
      </c>
      <c r="BI1681" s="4">
        <v>0.91666666666666663</v>
      </c>
      <c r="BJ1681" s="2">
        <v>13</v>
      </c>
      <c r="BK1681" s="2" t="s">
        <v>91</v>
      </c>
      <c r="BL1681" s="2" t="s">
        <v>828</v>
      </c>
      <c r="BM1681" s="2">
        <v>241</v>
      </c>
      <c r="BN1681" s="2" t="s">
        <v>82</v>
      </c>
      <c r="BO1681" s="2" t="s">
        <v>82</v>
      </c>
      <c r="BP1681" s="2">
        <v>241</v>
      </c>
      <c r="BQ1681" s="2" t="s">
        <v>82</v>
      </c>
      <c r="BR1681" s="2" t="s">
        <v>185</v>
      </c>
      <c r="BS1681" s="3">
        <v>40292</v>
      </c>
      <c r="BT1681" s="4">
        <v>0.90506944444444448</v>
      </c>
    </row>
    <row r="1682" spans="1:72" x14ac:dyDescent="0.25">
      <c r="A1682" s="2">
        <v>2449</v>
      </c>
      <c r="B1682" s="2">
        <v>2010</v>
      </c>
      <c r="C1682" s="2" t="s">
        <v>72</v>
      </c>
      <c r="D1682" s="2" t="s">
        <v>73</v>
      </c>
      <c r="E1682" s="2"/>
      <c r="F1682" s="2">
        <v>389</v>
      </c>
      <c r="G1682" s="2" t="s">
        <v>1819</v>
      </c>
      <c r="H1682" s="2">
        <v>2</v>
      </c>
      <c r="I1682" s="2" t="s">
        <v>267</v>
      </c>
      <c r="J1682" s="2">
        <v>399</v>
      </c>
      <c r="K1682" s="2" t="s">
        <v>1820</v>
      </c>
      <c r="L1682" s="2" t="s">
        <v>1821</v>
      </c>
      <c r="M1682" s="3">
        <v>40292</v>
      </c>
      <c r="N1682" s="2" t="s">
        <v>5653</v>
      </c>
      <c r="O1682" s="2" t="s">
        <v>480</v>
      </c>
      <c r="P1682" s="2"/>
      <c r="Q1682" s="2" t="str">
        <f>"225-E/10"</f>
        <v>225-E/10</v>
      </c>
      <c r="R1682" s="2" t="s">
        <v>480</v>
      </c>
      <c r="S1682" s="2" t="s">
        <v>480</v>
      </c>
      <c r="T1682" s="2">
        <v>1</v>
      </c>
      <c r="U1682" s="2" t="s">
        <v>79</v>
      </c>
      <c r="V1682" s="2">
        <v>1</v>
      </c>
      <c r="W1682" s="2" t="s">
        <v>80</v>
      </c>
      <c r="X1682" s="2">
        <v>12</v>
      </c>
      <c r="Y1682" s="2" t="s">
        <v>148</v>
      </c>
      <c r="Z1682" s="2">
        <v>1</v>
      </c>
      <c r="AA1682" s="2" t="s">
        <v>82</v>
      </c>
      <c r="AB1682" s="2">
        <v>6</v>
      </c>
      <c r="AC1682" s="2" t="s">
        <v>83</v>
      </c>
      <c r="AD1682" s="3">
        <v>40288</v>
      </c>
      <c r="AE1682" s="4">
        <v>0.25</v>
      </c>
      <c r="AF1682" s="3">
        <v>40292</v>
      </c>
      <c r="AG1682" s="4">
        <v>0.54166666666666663</v>
      </c>
      <c r="AH1682" s="2">
        <v>2</v>
      </c>
      <c r="AI1682" s="2" t="s">
        <v>84</v>
      </c>
      <c r="AJ1682" s="2">
        <v>9</v>
      </c>
      <c r="AK1682" s="2" t="s">
        <v>103</v>
      </c>
      <c r="AL1682" s="2">
        <v>22</v>
      </c>
      <c r="AM1682" s="2" t="s">
        <v>1853</v>
      </c>
      <c r="AN1682" s="2" t="s">
        <v>6042</v>
      </c>
      <c r="AO1682" s="2" t="s">
        <v>1064</v>
      </c>
      <c r="AP1682" s="2">
        <v>11</v>
      </c>
      <c r="AQ1682" s="2" t="s">
        <v>82</v>
      </c>
      <c r="AR1682" s="2"/>
      <c r="AS1682" s="2"/>
      <c r="AT1682" s="2" t="s">
        <v>6043</v>
      </c>
      <c r="AU1682" s="2"/>
      <c r="AV1682" s="2"/>
      <c r="AW1682" s="2"/>
      <c r="AX1682" s="2"/>
      <c r="AY1682" s="2">
        <v>41</v>
      </c>
      <c r="AZ1682" s="2" t="s">
        <v>82</v>
      </c>
      <c r="BA1682" s="2">
        <v>41</v>
      </c>
      <c r="BB1682" s="2" t="s">
        <v>82</v>
      </c>
      <c r="BC1682" s="2">
        <v>41</v>
      </c>
      <c r="BD1682" s="2" t="s">
        <v>82</v>
      </c>
      <c r="BE1682" s="2">
        <v>9</v>
      </c>
      <c r="BF1682" s="2" t="s">
        <v>966</v>
      </c>
      <c r="BG1682" s="2" t="s">
        <v>1387</v>
      </c>
      <c r="BH1682" s="4">
        <v>0.25</v>
      </c>
      <c r="BI1682" s="4">
        <v>0</v>
      </c>
      <c r="BJ1682" s="2">
        <v>170</v>
      </c>
      <c r="BK1682" s="2" t="s">
        <v>968</v>
      </c>
      <c r="BL1682" s="2" t="s">
        <v>969</v>
      </c>
      <c r="BM1682" s="2">
        <v>241</v>
      </c>
      <c r="BN1682" s="2" t="s">
        <v>82</v>
      </c>
      <c r="BO1682" s="2"/>
      <c r="BP1682" s="2">
        <v>13</v>
      </c>
      <c r="BQ1682" s="2" t="s">
        <v>91</v>
      </c>
      <c r="BR1682" s="2" t="s">
        <v>1084</v>
      </c>
      <c r="BS1682" s="3">
        <v>40292</v>
      </c>
      <c r="BT1682" s="4">
        <v>0.91987268518518517</v>
      </c>
    </row>
    <row r="1683" spans="1:72" x14ac:dyDescent="0.25">
      <c r="A1683" s="2">
        <v>2450</v>
      </c>
      <c r="B1683" s="2">
        <v>2010</v>
      </c>
      <c r="C1683" s="2" t="s">
        <v>5621</v>
      </c>
      <c r="D1683" s="2" t="s">
        <v>122</v>
      </c>
      <c r="E1683" s="2" t="s">
        <v>6044</v>
      </c>
      <c r="F1683" s="2">
        <v>92</v>
      </c>
      <c r="G1683" s="2" t="s">
        <v>1432</v>
      </c>
      <c r="H1683" s="2">
        <v>42</v>
      </c>
      <c r="I1683" s="2" t="s">
        <v>1096</v>
      </c>
      <c r="J1683" s="2">
        <v>119</v>
      </c>
      <c r="K1683" s="2" t="s">
        <v>325</v>
      </c>
      <c r="L1683" s="2" t="s">
        <v>326</v>
      </c>
      <c r="M1683" s="3">
        <v>40292</v>
      </c>
      <c r="N1683" s="2" t="s">
        <v>4106</v>
      </c>
      <c r="O1683" s="2" t="s">
        <v>6029</v>
      </c>
      <c r="P1683" s="2" t="s">
        <v>107</v>
      </c>
      <c r="Q1683" s="2" t="str">
        <f>"0009/2010"</f>
        <v>0009/2010</v>
      </c>
      <c r="R1683" s="2"/>
      <c r="S1683" s="2"/>
      <c r="T1683" s="2">
        <v>2</v>
      </c>
      <c r="U1683" s="2" t="s">
        <v>123</v>
      </c>
      <c r="V1683" s="2">
        <v>1</v>
      </c>
      <c r="W1683" s="2" t="s">
        <v>80</v>
      </c>
      <c r="X1683" s="2">
        <v>5</v>
      </c>
      <c r="Y1683" s="2" t="s">
        <v>82</v>
      </c>
      <c r="Z1683" s="2">
        <v>1</v>
      </c>
      <c r="AA1683" s="2" t="s">
        <v>82</v>
      </c>
      <c r="AB1683" s="2">
        <v>9</v>
      </c>
      <c r="AC1683" s="2" t="s">
        <v>124</v>
      </c>
      <c r="AD1683" s="3">
        <v>40291</v>
      </c>
      <c r="AE1683" s="4">
        <v>0.80902777777777779</v>
      </c>
      <c r="AF1683" s="2"/>
      <c r="AG1683" s="2"/>
      <c r="AH1683" s="2">
        <v>6</v>
      </c>
      <c r="AI1683" s="2" t="s">
        <v>197</v>
      </c>
      <c r="AJ1683" s="2">
        <v>50</v>
      </c>
      <c r="AK1683" s="2" t="s">
        <v>330</v>
      </c>
      <c r="AL1683" s="2">
        <v>19</v>
      </c>
      <c r="AM1683" s="2" t="s">
        <v>107</v>
      </c>
      <c r="AN1683" s="2"/>
      <c r="AO1683" s="2"/>
      <c r="AP1683" s="2">
        <v>11</v>
      </c>
      <c r="AQ1683" s="2" t="s">
        <v>82</v>
      </c>
      <c r="AR1683" s="2"/>
      <c r="AS1683" s="2"/>
      <c r="AT1683" s="2" t="s">
        <v>6045</v>
      </c>
      <c r="AU1683" s="2"/>
      <c r="AV1683" s="2"/>
      <c r="AW1683" s="2"/>
      <c r="AX1683" s="2"/>
      <c r="AY1683" s="2">
        <v>1</v>
      </c>
      <c r="AZ1683" s="2" t="s">
        <v>107</v>
      </c>
      <c r="BA1683" s="2">
        <v>1</v>
      </c>
      <c r="BB1683" s="2" t="s">
        <v>107</v>
      </c>
      <c r="BC1683" s="2">
        <v>1</v>
      </c>
      <c r="BD1683" s="2" t="s">
        <v>107</v>
      </c>
      <c r="BE1683" s="2">
        <v>1</v>
      </c>
      <c r="BF1683" s="2" t="s">
        <v>107</v>
      </c>
      <c r="BG1683" s="2" t="s">
        <v>107</v>
      </c>
      <c r="BH1683" s="2"/>
      <c r="BI1683" s="4">
        <v>0.71875</v>
      </c>
      <c r="BJ1683" s="2">
        <v>13</v>
      </c>
      <c r="BK1683" s="2" t="s">
        <v>91</v>
      </c>
      <c r="BL1683" s="2" t="s">
        <v>1199</v>
      </c>
      <c r="BM1683" s="2">
        <v>13</v>
      </c>
      <c r="BN1683" s="2" t="s">
        <v>91</v>
      </c>
      <c r="BO1683" s="2" t="s">
        <v>1199</v>
      </c>
      <c r="BP1683" s="2">
        <v>13</v>
      </c>
      <c r="BQ1683" s="2" t="s">
        <v>91</v>
      </c>
      <c r="BR1683" s="2" t="s">
        <v>1199</v>
      </c>
      <c r="BS1683" s="3">
        <v>40292</v>
      </c>
      <c r="BT1683" s="4">
        <v>0.93153935185185188</v>
      </c>
    </row>
    <row r="1684" spans="1:72" x14ac:dyDescent="0.25">
      <c r="A1684" s="2">
        <v>2451</v>
      </c>
      <c r="B1684" s="2">
        <v>2010</v>
      </c>
      <c r="C1684" s="2" t="s">
        <v>72</v>
      </c>
      <c r="D1684" s="2" t="s">
        <v>73</v>
      </c>
      <c r="E1684" s="2"/>
      <c r="F1684" s="2">
        <v>24</v>
      </c>
      <c r="G1684" s="2" t="s">
        <v>532</v>
      </c>
      <c r="H1684" s="2">
        <v>1</v>
      </c>
      <c r="I1684" s="2" t="s">
        <v>82</v>
      </c>
      <c r="J1684" s="2">
        <v>300</v>
      </c>
      <c r="K1684" s="2" t="s">
        <v>114</v>
      </c>
      <c r="L1684" s="2" t="s">
        <v>115</v>
      </c>
      <c r="M1684" s="3">
        <v>40292</v>
      </c>
      <c r="N1684" s="2"/>
      <c r="O1684" s="2"/>
      <c r="P1684" s="2"/>
      <c r="Q1684" s="2" t="str">
        <f>"226-E/10"</f>
        <v>226-E/10</v>
      </c>
      <c r="R1684" s="2" t="s">
        <v>116</v>
      </c>
      <c r="S1684" s="2" t="s">
        <v>116</v>
      </c>
      <c r="T1684" s="2">
        <v>1</v>
      </c>
      <c r="U1684" s="2" t="s">
        <v>79</v>
      </c>
      <c r="V1684" s="2">
        <v>1</v>
      </c>
      <c r="W1684" s="2" t="s">
        <v>80</v>
      </c>
      <c r="X1684" s="2">
        <v>12</v>
      </c>
      <c r="Y1684" s="2" t="s">
        <v>148</v>
      </c>
      <c r="Z1684" s="2">
        <v>1</v>
      </c>
      <c r="AA1684" s="2" t="s">
        <v>82</v>
      </c>
      <c r="AB1684" s="2">
        <v>6</v>
      </c>
      <c r="AC1684" s="2" t="s">
        <v>83</v>
      </c>
      <c r="AD1684" s="3">
        <v>40292</v>
      </c>
      <c r="AE1684" s="4">
        <v>0.73958333333333337</v>
      </c>
      <c r="AF1684" s="3">
        <v>40292</v>
      </c>
      <c r="AG1684" s="4">
        <v>0.80555555555555547</v>
      </c>
      <c r="AH1684" s="2">
        <v>2</v>
      </c>
      <c r="AI1684" s="2" t="s">
        <v>84</v>
      </c>
      <c r="AJ1684" s="2">
        <v>9</v>
      </c>
      <c r="AK1684" s="2" t="s">
        <v>103</v>
      </c>
      <c r="AL1684" s="2">
        <v>12</v>
      </c>
      <c r="AM1684" s="2" t="s">
        <v>86</v>
      </c>
      <c r="AN1684" s="2" t="s">
        <v>6046</v>
      </c>
      <c r="AO1684" s="2" t="s">
        <v>6047</v>
      </c>
      <c r="AP1684" s="2">
        <v>11</v>
      </c>
      <c r="AQ1684" s="2" t="s">
        <v>82</v>
      </c>
      <c r="AR1684" s="2"/>
      <c r="AS1684" s="2"/>
      <c r="AT1684" s="2" t="s">
        <v>6048</v>
      </c>
      <c r="AU1684" s="2"/>
      <c r="AV1684" s="2"/>
      <c r="AW1684" s="2"/>
      <c r="AX1684" s="2"/>
      <c r="AY1684" s="2">
        <v>41</v>
      </c>
      <c r="AZ1684" s="2" t="s">
        <v>82</v>
      </c>
      <c r="BA1684" s="2">
        <v>41</v>
      </c>
      <c r="BB1684" s="2" t="s">
        <v>82</v>
      </c>
      <c r="BC1684" s="2">
        <v>41</v>
      </c>
      <c r="BD1684" s="2" t="s">
        <v>82</v>
      </c>
      <c r="BE1684" s="2">
        <v>22</v>
      </c>
      <c r="BF1684" s="2" t="s">
        <v>1262</v>
      </c>
      <c r="BG1684" s="2" t="s">
        <v>5290</v>
      </c>
      <c r="BH1684" s="4">
        <v>0</v>
      </c>
      <c r="BI1684" s="4">
        <v>0.97916666666666663</v>
      </c>
      <c r="BJ1684" s="2">
        <v>13</v>
      </c>
      <c r="BK1684" s="2" t="s">
        <v>91</v>
      </c>
      <c r="BL1684" s="2" t="s">
        <v>1084</v>
      </c>
      <c r="BM1684" s="2">
        <v>241</v>
      </c>
      <c r="BN1684" s="2" t="s">
        <v>82</v>
      </c>
      <c r="BO1684" s="2"/>
      <c r="BP1684" s="2">
        <v>75</v>
      </c>
      <c r="BQ1684" s="2" t="s">
        <v>1264</v>
      </c>
      <c r="BR1684" s="2" t="s">
        <v>5292</v>
      </c>
      <c r="BS1684" s="3">
        <v>40292</v>
      </c>
      <c r="BT1684" s="4">
        <v>0.94672453703703707</v>
      </c>
    </row>
    <row r="1685" spans="1:72" x14ac:dyDescent="0.25">
      <c r="A1685" s="2">
        <v>2452</v>
      </c>
      <c r="B1685" s="2">
        <v>2010</v>
      </c>
      <c r="C1685" s="2" t="s">
        <v>72</v>
      </c>
      <c r="D1685" s="2" t="s">
        <v>73</v>
      </c>
      <c r="E1685" s="2"/>
      <c r="F1685" s="2">
        <v>33</v>
      </c>
      <c r="G1685" s="2" t="s">
        <v>654</v>
      </c>
      <c r="H1685" s="2">
        <v>1</v>
      </c>
      <c r="I1685" s="2" t="s">
        <v>82</v>
      </c>
      <c r="J1685" s="2">
        <v>42</v>
      </c>
      <c r="K1685" s="2" t="s">
        <v>655</v>
      </c>
      <c r="L1685" s="2" t="s">
        <v>656</v>
      </c>
      <c r="M1685" s="3">
        <v>40292</v>
      </c>
      <c r="N1685" s="2"/>
      <c r="O1685" s="2"/>
      <c r="P1685" s="2"/>
      <c r="Q1685" s="2" t="str">
        <f>"010-M/10"</f>
        <v>010-M/10</v>
      </c>
      <c r="R1685" s="2" t="s">
        <v>5009</v>
      </c>
      <c r="S1685" s="2" t="s">
        <v>5009</v>
      </c>
      <c r="T1685" s="2">
        <v>1</v>
      </c>
      <c r="U1685" s="2" t="s">
        <v>79</v>
      </c>
      <c r="V1685" s="2">
        <v>1</v>
      </c>
      <c r="W1685" s="2" t="s">
        <v>80</v>
      </c>
      <c r="X1685" s="2">
        <v>12</v>
      </c>
      <c r="Y1685" s="2" t="s">
        <v>148</v>
      </c>
      <c r="Z1685" s="2">
        <v>1</v>
      </c>
      <c r="AA1685" s="2" t="s">
        <v>82</v>
      </c>
      <c r="AB1685" s="2">
        <v>6</v>
      </c>
      <c r="AC1685" s="2" t="s">
        <v>83</v>
      </c>
      <c r="AD1685" s="3">
        <v>40290</v>
      </c>
      <c r="AE1685" s="2"/>
      <c r="AF1685" s="3">
        <v>40292</v>
      </c>
      <c r="AG1685" s="4">
        <v>0.83333333333333337</v>
      </c>
      <c r="AH1685" s="2">
        <v>2</v>
      </c>
      <c r="AI1685" s="2" t="s">
        <v>84</v>
      </c>
      <c r="AJ1685" s="2">
        <v>8</v>
      </c>
      <c r="AK1685" s="2" t="s">
        <v>436</v>
      </c>
      <c r="AL1685" s="2">
        <v>22</v>
      </c>
      <c r="AM1685" s="2" t="s">
        <v>1853</v>
      </c>
      <c r="AN1685" s="2"/>
      <c r="AO1685" s="2"/>
      <c r="AP1685" s="2">
        <v>11</v>
      </c>
      <c r="AQ1685" s="2" t="s">
        <v>82</v>
      </c>
      <c r="AR1685" s="2"/>
      <c r="AS1685" s="2"/>
      <c r="AT1685" s="2" t="s">
        <v>6049</v>
      </c>
      <c r="AU1685" s="2"/>
      <c r="AV1685" s="2"/>
      <c r="AW1685" s="2"/>
      <c r="AX1685" s="2"/>
      <c r="AY1685" s="2">
        <v>41</v>
      </c>
      <c r="AZ1685" s="2" t="s">
        <v>82</v>
      </c>
      <c r="BA1685" s="2">
        <v>41</v>
      </c>
      <c r="BB1685" s="2" t="s">
        <v>82</v>
      </c>
      <c r="BC1685" s="2">
        <v>41</v>
      </c>
      <c r="BD1685" s="2" t="s">
        <v>82</v>
      </c>
      <c r="BE1685" s="2">
        <v>47</v>
      </c>
      <c r="BF1685" s="2" t="s">
        <v>167</v>
      </c>
      <c r="BG1685" s="2" t="s">
        <v>6050</v>
      </c>
      <c r="BH1685" s="4">
        <v>0.875</v>
      </c>
      <c r="BI1685" s="2"/>
      <c r="BJ1685" s="2">
        <v>13</v>
      </c>
      <c r="BK1685" s="2" t="s">
        <v>91</v>
      </c>
      <c r="BL1685" s="2" t="s">
        <v>534</v>
      </c>
      <c r="BM1685" s="2">
        <v>241</v>
      </c>
      <c r="BN1685" s="2" t="s">
        <v>82</v>
      </c>
      <c r="BO1685" s="2"/>
      <c r="BP1685" s="2">
        <v>13</v>
      </c>
      <c r="BQ1685" s="2" t="s">
        <v>91</v>
      </c>
      <c r="BR1685" s="2" t="s">
        <v>647</v>
      </c>
      <c r="BS1685" s="3">
        <v>40292</v>
      </c>
      <c r="BT1685" s="4">
        <v>0.95869212962962969</v>
      </c>
    </row>
    <row r="1686" spans="1:72" x14ac:dyDescent="0.25">
      <c r="A1686" s="2">
        <v>2453</v>
      </c>
      <c r="B1686" s="2">
        <v>2010</v>
      </c>
      <c r="C1686" s="2" t="s">
        <v>72</v>
      </c>
      <c r="D1686" s="2" t="s">
        <v>73</v>
      </c>
      <c r="E1686" s="2"/>
      <c r="F1686" s="2">
        <v>24</v>
      </c>
      <c r="G1686" s="2" t="s">
        <v>532</v>
      </c>
      <c r="H1686" s="2">
        <v>1</v>
      </c>
      <c r="I1686" s="2" t="s">
        <v>82</v>
      </c>
      <c r="J1686" s="2">
        <v>300</v>
      </c>
      <c r="K1686" s="2" t="s">
        <v>114</v>
      </c>
      <c r="L1686" s="2" t="s">
        <v>115</v>
      </c>
      <c r="M1686" s="3">
        <v>40292</v>
      </c>
      <c r="N1686" s="2"/>
      <c r="O1686" s="2"/>
      <c r="P1686" s="2"/>
      <c r="Q1686" s="2" t="str">
        <f>"227-E/10"</f>
        <v>227-E/10</v>
      </c>
      <c r="R1686" s="2" t="s">
        <v>116</v>
      </c>
      <c r="S1686" s="2" t="s">
        <v>116</v>
      </c>
      <c r="T1686" s="2">
        <v>1</v>
      </c>
      <c r="U1686" s="2" t="s">
        <v>79</v>
      </c>
      <c r="V1686" s="2">
        <v>1</v>
      </c>
      <c r="W1686" s="2" t="s">
        <v>80</v>
      </c>
      <c r="X1686" s="2">
        <v>12</v>
      </c>
      <c r="Y1686" s="2" t="s">
        <v>148</v>
      </c>
      <c r="Z1686" s="2">
        <v>1</v>
      </c>
      <c r="AA1686" s="2" t="s">
        <v>82</v>
      </c>
      <c r="AB1686" s="2">
        <v>6</v>
      </c>
      <c r="AC1686" s="2" t="s">
        <v>83</v>
      </c>
      <c r="AD1686" s="3">
        <v>40239</v>
      </c>
      <c r="AE1686" s="4">
        <v>0.625</v>
      </c>
      <c r="AF1686" s="3">
        <v>40292</v>
      </c>
      <c r="AG1686" s="4">
        <v>0.79166666666666663</v>
      </c>
      <c r="AH1686" s="2">
        <v>2</v>
      </c>
      <c r="AI1686" s="2" t="s">
        <v>84</v>
      </c>
      <c r="AJ1686" s="2">
        <v>9</v>
      </c>
      <c r="AK1686" s="2" t="s">
        <v>103</v>
      </c>
      <c r="AL1686" s="2">
        <v>26</v>
      </c>
      <c r="AM1686" s="2" t="s">
        <v>6036</v>
      </c>
      <c r="AN1686" s="2" t="s">
        <v>6051</v>
      </c>
      <c r="AO1686" s="2" t="s">
        <v>6052</v>
      </c>
      <c r="AP1686" s="2">
        <v>11</v>
      </c>
      <c r="AQ1686" s="2" t="s">
        <v>82</v>
      </c>
      <c r="AR1686" s="2"/>
      <c r="AS1686" s="2"/>
      <c r="AT1686" s="2" t="s">
        <v>6053</v>
      </c>
      <c r="AU1686" s="2"/>
      <c r="AV1686" s="2"/>
      <c r="AW1686" s="2"/>
      <c r="AX1686" s="2"/>
      <c r="AY1686" s="2">
        <v>41</v>
      </c>
      <c r="AZ1686" s="2" t="s">
        <v>82</v>
      </c>
      <c r="BA1686" s="2">
        <v>41</v>
      </c>
      <c r="BB1686" s="2" t="s">
        <v>82</v>
      </c>
      <c r="BC1686" s="2">
        <v>41</v>
      </c>
      <c r="BD1686" s="2" t="s">
        <v>82</v>
      </c>
      <c r="BE1686" s="2">
        <v>25</v>
      </c>
      <c r="BF1686" s="2" t="s">
        <v>358</v>
      </c>
      <c r="BG1686" s="2" t="s">
        <v>6054</v>
      </c>
      <c r="BH1686" s="4">
        <v>2.0833333333333332E-2</v>
      </c>
      <c r="BI1686" s="4">
        <v>0</v>
      </c>
      <c r="BJ1686" s="2">
        <v>33</v>
      </c>
      <c r="BK1686" s="2" t="s">
        <v>361</v>
      </c>
      <c r="BL1686" s="2" t="s">
        <v>1739</v>
      </c>
      <c r="BM1686" s="2">
        <v>241</v>
      </c>
      <c r="BN1686" s="2" t="s">
        <v>82</v>
      </c>
      <c r="BO1686" s="2"/>
      <c r="BP1686" s="2">
        <v>241</v>
      </c>
      <c r="BQ1686" s="2" t="s">
        <v>82</v>
      </c>
      <c r="BR1686" s="2" t="s">
        <v>1084</v>
      </c>
      <c r="BS1686" s="3">
        <v>40292</v>
      </c>
      <c r="BT1686" s="4">
        <v>0.97222222222222221</v>
      </c>
    </row>
    <row r="1687" spans="1:72" x14ac:dyDescent="0.25">
      <c r="A1687" s="2">
        <v>2454</v>
      </c>
      <c r="B1687" s="2">
        <v>2010</v>
      </c>
      <c r="C1687" s="2" t="s">
        <v>72</v>
      </c>
      <c r="D1687" s="2" t="s">
        <v>73</v>
      </c>
      <c r="E1687" s="2"/>
      <c r="F1687" s="2">
        <v>595</v>
      </c>
      <c r="G1687" s="2" t="s">
        <v>5725</v>
      </c>
      <c r="H1687" s="2">
        <v>42</v>
      </c>
      <c r="I1687" s="2" t="s">
        <v>1096</v>
      </c>
      <c r="J1687" s="2">
        <v>534</v>
      </c>
      <c r="K1687" s="2" t="s">
        <v>6012</v>
      </c>
      <c r="L1687" s="2" t="s">
        <v>6013</v>
      </c>
      <c r="M1687" s="3">
        <v>40293</v>
      </c>
      <c r="N1687" s="2" t="s">
        <v>6055</v>
      </c>
      <c r="O1687" s="2" t="s">
        <v>107</v>
      </c>
      <c r="P1687" s="2" t="s">
        <v>107</v>
      </c>
      <c r="Q1687" s="2" t="str">
        <f>"160-A/10"</f>
        <v>160-A/10</v>
      </c>
      <c r="R1687" s="2" t="s">
        <v>107</v>
      </c>
      <c r="S1687" s="2" t="s">
        <v>206</v>
      </c>
      <c r="T1687" s="2">
        <v>1</v>
      </c>
      <c r="U1687" s="2" t="s">
        <v>79</v>
      </c>
      <c r="V1687" s="2">
        <v>1</v>
      </c>
      <c r="W1687" s="2" t="s">
        <v>80</v>
      </c>
      <c r="X1687" s="2">
        <v>12</v>
      </c>
      <c r="Y1687" s="2" t="s">
        <v>148</v>
      </c>
      <c r="Z1687" s="2">
        <v>1</v>
      </c>
      <c r="AA1687" s="2" t="s">
        <v>82</v>
      </c>
      <c r="AB1687" s="2">
        <v>6</v>
      </c>
      <c r="AC1687" s="2" t="s">
        <v>83</v>
      </c>
      <c r="AD1687" s="3">
        <v>40292</v>
      </c>
      <c r="AE1687" s="4">
        <v>0.82638888888888884</v>
      </c>
      <c r="AF1687" s="3">
        <v>40292</v>
      </c>
      <c r="AG1687" s="4">
        <v>0.875</v>
      </c>
      <c r="AH1687" s="2">
        <v>2</v>
      </c>
      <c r="AI1687" s="2" t="s">
        <v>84</v>
      </c>
      <c r="AJ1687" s="2">
        <v>12</v>
      </c>
      <c r="AK1687" s="2" t="s">
        <v>85</v>
      </c>
      <c r="AL1687" s="2">
        <v>22</v>
      </c>
      <c r="AM1687" s="2" t="s">
        <v>1853</v>
      </c>
      <c r="AN1687" s="2" t="s">
        <v>6015</v>
      </c>
      <c r="AO1687" s="2" t="s">
        <v>3560</v>
      </c>
      <c r="AP1687" s="2">
        <v>11</v>
      </c>
      <c r="AQ1687" s="2" t="s">
        <v>82</v>
      </c>
      <c r="AR1687" s="2"/>
      <c r="AS1687" s="2"/>
      <c r="AT1687" s="2" t="s">
        <v>6056</v>
      </c>
      <c r="AU1687" s="2"/>
      <c r="AV1687" s="2"/>
      <c r="AW1687" s="2"/>
      <c r="AX1687" s="2"/>
      <c r="AY1687" s="2">
        <v>41</v>
      </c>
      <c r="AZ1687" s="2" t="s">
        <v>82</v>
      </c>
      <c r="BA1687" s="2">
        <v>41</v>
      </c>
      <c r="BB1687" s="2" t="s">
        <v>82</v>
      </c>
      <c r="BC1687" s="2">
        <v>41</v>
      </c>
      <c r="BD1687" s="2" t="s">
        <v>82</v>
      </c>
      <c r="BE1687" s="2">
        <v>13</v>
      </c>
      <c r="BF1687" s="2" t="s">
        <v>108</v>
      </c>
      <c r="BG1687" s="2" t="s">
        <v>6057</v>
      </c>
      <c r="BH1687" s="4">
        <v>0.81944444444444453</v>
      </c>
      <c r="BI1687" s="4">
        <v>0.70833333333333337</v>
      </c>
      <c r="BJ1687" s="2">
        <v>13</v>
      </c>
      <c r="BK1687" s="2" t="s">
        <v>91</v>
      </c>
      <c r="BL1687" s="2" t="s">
        <v>353</v>
      </c>
      <c r="BM1687" s="2">
        <v>241</v>
      </c>
      <c r="BN1687" s="2" t="s">
        <v>82</v>
      </c>
      <c r="BO1687" s="2"/>
      <c r="BP1687" s="2">
        <v>13</v>
      </c>
      <c r="BQ1687" s="2" t="s">
        <v>91</v>
      </c>
      <c r="BR1687" s="2" t="s">
        <v>185</v>
      </c>
      <c r="BS1687" s="3">
        <v>40293</v>
      </c>
      <c r="BT1687" s="4">
        <v>3.7291666666666667E-2</v>
      </c>
    </row>
    <row r="1688" spans="1:72" x14ac:dyDescent="0.25">
      <c r="A1688" s="2">
        <v>2455</v>
      </c>
      <c r="B1688" s="2">
        <v>2010</v>
      </c>
      <c r="C1688" s="2" t="s">
        <v>1094</v>
      </c>
      <c r="D1688" s="2" t="s">
        <v>73</v>
      </c>
      <c r="E1688" s="2"/>
      <c r="F1688" s="2">
        <v>607</v>
      </c>
      <c r="G1688" s="2" t="s">
        <v>6058</v>
      </c>
      <c r="H1688" s="2">
        <v>1</v>
      </c>
      <c r="I1688" s="2" t="s">
        <v>82</v>
      </c>
      <c r="J1688" s="2">
        <v>540</v>
      </c>
      <c r="K1688" s="2" t="s">
        <v>6059</v>
      </c>
      <c r="L1688" s="2" t="s">
        <v>6060</v>
      </c>
      <c r="M1688" s="3">
        <v>40293</v>
      </c>
      <c r="N1688" s="2" t="s">
        <v>82</v>
      </c>
      <c r="O1688" s="2" t="s">
        <v>107</v>
      </c>
      <c r="P1688" s="2" t="s">
        <v>107</v>
      </c>
      <c r="Q1688" s="2" t="str">
        <f>"159-A/10"</f>
        <v>159-A/10</v>
      </c>
      <c r="R1688" s="2" t="s">
        <v>107</v>
      </c>
      <c r="S1688" s="2" t="s">
        <v>1100</v>
      </c>
      <c r="T1688" s="2">
        <v>1</v>
      </c>
      <c r="U1688" s="2" t="s">
        <v>79</v>
      </c>
      <c r="V1688" s="2">
        <v>1</v>
      </c>
      <c r="W1688" s="2" t="s">
        <v>80</v>
      </c>
      <c r="X1688" s="2">
        <v>12</v>
      </c>
      <c r="Y1688" s="2" t="s">
        <v>148</v>
      </c>
      <c r="Z1688" s="2">
        <v>1</v>
      </c>
      <c r="AA1688" s="2" t="s">
        <v>82</v>
      </c>
      <c r="AB1688" s="2">
        <v>9</v>
      </c>
      <c r="AC1688" s="2" t="s">
        <v>124</v>
      </c>
      <c r="AD1688" s="3">
        <v>40292</v>
      </c>
      <c r="AE1688" s="4">
        <v>0.65625</v>
      </c>
      <c r="AF1688" s="3">
        <v>40292</v>
      </c>
      <c r="AG1688" s="4">
        <v>0.67708333333333337</v>
      </c>
      <c r="AH1688" s="2">
        <v>2</v>
      </c>
      <c r="AI1688" s="2" t="s">
        <v>84</v>
      </c>
      <c r="AJ1688" s="2">
        <v>12</v>
      </c>
      <c r="AK1688" s="2" t="s">
        <v>85</v>
      </c>
      <c r="AL1688" s="2">
        <v>12</v>
      </c>
      <c r="AM1688" s="2" t="s">
        <v>86</v>
      </c>
      <c r="AN1688" s="2" t="s">
        <v>107</v>
      </c>
      <c r="AO1688" s="2" t="s">
        <v>6061</v>
      </c>
      <c r="AP1688" s="2">
        <v>11</v>
      </c>
      <c r="AQ1688" s="2" t="s">
        <v>82</v>
      </c>
      <c r="AR1688" s="2"/>
      <c r="AS1688" s="2"/>
      <c r="AT1688" s="2" t="s">
        <v>6062</v>
      </c>
      <c r="AU1688" s="2"/>
      <c r="AV1688" s="2"/>
      <c r="AW1688" s="2"/>
      <c r="AX1688" s="2"/>
      <c r="AY1688" s="2">
        <v>41</v>
      </c>
      <c r="AZ1688" s="2" t="s">
        <v>82</v>
      </c>
      <c r="BA1688" s="2">
        <v>41</v>
      </c>
      <c r="BB1688" s="2" t="s">
        <v>82</v>
      </c>
      <c r="BC1688" s="2">
        <v>41</v>
      </c>
      <c r="BD1688" s="2" t="s">
        <v>82</v>
      </c>
      <c r="BE1688" s="2">
        <v>41</v>
      </c>
      <c r="BF1688" s="2" t="s">
        <v>82</v>
      </c>
      <c r="BG1688" s="2"/>
      <c r="BH1688" s="2"/>
      <c r="BI1688" s="2"/>
      <c r="BJ1688" s="2">
        <v>241</v>
      </c>
      <c r="BK1688" s="2" t="s">
        <v>82</v>
      </c>
      <c r="BL1688" s="2"/>
      <c r="BM1688" s="2">
        <v>241</v>
      </c>
      <c r="BN1688" s="2" t="s">
        <v>82</v>
      </c>
      <c r="BO1688" s="2"/>
      <c r="BP1688" s="2">
        <v>241</v>
      </c>
      <c r="BQ1688" s="2" t="s">
        <v>82</v>
      </c>
      <c r="BR1688" s="2"/>
      <c r="BS1688" s="3">
        <v>40293</v>
      </c>
      <c r="BT1688" s="4">
        <v>9.0601851851851864E-2</v>
      </c>
    </row>
    <row r="1689" spans="1:72" x14ac:dyDescent="0.25">
      <c r="A1689" s="2">
        <v>2456</v>
      </c>
      <c r="B1689" s="2">
        <v>2010</v>
      </c>
      <c r="C1689" s="2" t="s">
        <v>72</v>
      </c>
      <c r="D1689" s="2" t="s">
        <v>73</v>
      </c>
      <c r="E1689" s="2"/>
      <c r="F1689" s="2">
        <v>481</v>
      </c>
      <c r="G1689" s="2" t="s">
        <v>1438</v>
      </c>
      <c r="H1689" s="2">
        <v>1</v>
      </c>
      <c r="I1689" s="2" t="s">
        <v>82</v>
      </c>
      <c r="J1689" s="2">
        <v>536</v>
      </c>
      <c r="K1689" s="2" t="s">
        <v>6063</v>
      </c>
      <c r="L1689" s="2" t="s">
        <v>6064</v>
      </c>
      <c r="M1689" s="3">
        <v>40293</v>
      </c>
      <c r="N1689" s="2" t="s">
        <v>82</v>
      </c>
      <c r="O1689" s="2" t="s">
        <v>116</v>
      </c>
      <c r="P1689" s="2" t="s">
        <v>107</v>
      </c>
      <c r="Q1689" s="2" t="str">
        <f>"N°19"</f>
        <v>N°19</v>
      </c>
      <c r="R1689" s="2" t="s">
        <v>657</v>
      </c>
      <c r="S1689" s="2" t="s">
        <v>657</v>
      </c>
      <c r="T1689" s="2">
        <v>1</v>
      </c>
      <c r="U1689" s="2" t="s">
        <v>79</v>
      </c>
      <c r="V1689" s="2">
        <v>1</v>
      </c>
      <c r="W1689" s="2" t="s">
        <v>80</v>
      </c>
      <c r="X1689" s="2">
        <v>12</v>
      </c>
      <c r="Y1689" s="2" t="s">
        <v>148</v>
      </c>
      <c r="Z1689" s="2">
        <v>10</v>
      </c>
      <c r="AA1689" s="2" t="s">
        <v>236</v>
      </c>
      <c r="AB1689" s="2">
        <v>6</v>
      </c>
      <c r="AC1689" s="2" t="s">
        <v>83</v>
      </c>
      <c r="AD1689" s="3">
        <v>40292</v>
      </c>
      <c r="AE1689" s="4">
        <v>0.70833333333333337</v>
      </c>
      <c r="AF1689" s="3">
        <v>40292</v>
      </c>
      <c r="AG1689" s="4">
        <v>0.85416666666666663</v>
      </c>
      <c r="AH1689" s="2">
        <v>3</v>
      </c>
      <c r="AI1689" s="2" t="s">
        <v>214</v>
      </c>
      <c r="AJ1689" s="2">
        <v>17</v>
      </c>
      <c r="AK1689" s="2" t="s">
        <v>309</v>
      </c>
      <c r="AL1689" s="2">
        <v>12</v>
      </c>
      <c r="AM1689" s="2" t="s">
        <v>86</v>
      </c>
      <c r="AN1689" s="2" t="s">
        <v>6065</v>
      </c>
      <c r="AO1689" s="2" t="s">
        <v>6065</v>
      </c>
      <c r="AP1689" s="2">
        <v>11</v>
      </c>
      <c r="AQ1689" s="2" t="s">
        <v>82</v>
      </c>
      <c r="AR1689" s="2" t="s">
        <v>82</v>
      </c>
      <c r="AS1689" s="2" t="s">
        <v>82</v>
      </c>
      <c r="AT1689" s="2" t="s">
        <v>6066</v>
      </c>
      <c r="AU1689" s="2"/>
      <c r="AV1689" s="2"/>
      <c r="AW1689" s="2"/>
      <c r="AX1689" s="2"/>
      <c r="AY1689" s="2">
        <v>41</v>
      </c>
      <c r="AZ1689" s="2" t="s">
        <v>82</v>
      </c>
      <c r="BA1689" s="2">
        <v>41</v>
      </c>
      <c r="BB1689" s="2" t="s">
        <v>82</v>
      </c>
      <c r="BC1689" s="2">
        <v>41</v>
      </c>
      <c r="BD1689" s="2" t="s">
        <v>82</v>
      </c>
      <c r="BE1689" s="2">
        <v>4</v>
      </c>
      <c r="BF1689" s="2" t="s">
        <v>90</v>
      </c>
      <c r="BG1689" s="2">
        <v>4248</v>
      </c>
      <c r="BH1689" s="4">
        <v>0.82638888888888884</v>
      </c>
      <c r="BI1689" s="4">
        <v>0.75</v>
      </c>
      <c r="BJ1689" s="2">
        <v>13</v>
      </c>
      <c r="BK1689" s="2" t="s">
        <v>91</v>
      </c>
      <c r="BL1689" s="2" t="s">
        <v>524</v>
      </c>
      <c r="BM1689" s="2">
        <v>241</v>
      </c>
      <c r="BN1689" s="2" t="s">
        <v>82</v>
      </c>
      <c r="BO1689" s="2" t="s">
        <v>82</v>
      </c>
      <c r="BP1689" s="2">
        <v>13</v>
      </c>
      <c r="BQ1689" s="2" t="s">
        <v>91</v>
      </c>
      <c r="BR1689" s="2" t="s">
        <v>445</v>
      </c>
      <c r="BS1689" s="3">
        <v>40293</v>
      </c>
      <c r="BT1689" s="4">
        <v>0.1203125</v>
      </c>
    </row>
    <row r="1690" spans="1:72" x14ac:dyDescent="0.25">
      <c r="A1690" s="2">
        <v>2457</v>
      </c>
      <c r="B1690" s="2">
        <v>2010</v>
      </c>
      <c r="C1690" s="2" t="s">
        <v>72</v>
      </c>
      <c r="D1690" s="2" t="s">
        <v>73</v>
      </c>
      <c r="E1690" s="2"/>
      <c r="F1690" s="2">
        <v>595</v>
      </c>
      <c r="G1690" s="2" t="s">
        <v>5725</v>
      </c>
      <c r="H1690" s="2">
        <v>42</v>
      </c>
      <c r="I1690" s="2" t="s">
        <v>1096</v>
      </c>
      <c r="J1690" s="2">
        <v>534</v>
      </c>
      <c r="K1690" s="2" t="s">
        <v>6012</v>
      </c>
      <c r="L1690" s="2" t="s">
        <v>6013</v>
      </c>
      <c r="M1690" s="3">
        <v>40293</v>
      </c>
      <c r="N1690" s="2" t="s">
        <v>6055</v>
      </c>
      <c r="O1690" s="2" t="s">
        <v>107</v>
      </c>
      <c r="P1690" s="2" t="s">
        <v>107</v>
      </c>
      <c r="Q1690" s="2" t="str">
        <f>"161-A/10"</f>
        <v>161-A/10</v>
      </c>
      <c r="R1690" s="2" t="s">
        <v>107</v>
      </c>
      <c r="S1690" s="2" t="s">
        <v>156</v>
      </c>
      <c r="T1690" s="2">
        <v>1</v>
      </c>
      <c r="U1690" s="2" t="s">
        <v>79</v>
      </c>
      <c r="V1690" s="2">
        <v>1</v>
      </c>
      <c r="W1690" s="2" t="s">
        <v>80</v>
      </c>
      <c r="X1690" s="2">
        <v>12</v>
      </c>
      <c r="Y1690" s="2" t="s">
        <v>148</v>
      </c>
      <c r="Z1690" s="2">
        <v>1</v>
      </c>
      <c r="AA1690" s="2" t="s">
        <v>82</v>
      </c>
      <c r="AB1690" s="2">
        <v>6</v>
      </c>
      <c r="AC1690" s="2" t="s">
        <v>83</v>
      </c>
      <c r="AD1690" s="3">
        <v>40291</v>
      </c>
      <c r="AE1690" s="2"/>
      <c r="AF1690" s="3">
        <v>40292</v>
      </c>
      <c r="AG1690" s="4">
        <v>0.95833333333333337</v>
      </c>
      <c r="AH1690" s="2">
        <v>2</v>
      </c>
      <c r="AI1690" s="2" t="s">
        <v>84</v>
      </c>
      <c r="AJ1690" s="2">
        <v>12</v>
      </c>
      <c r="AK1690" s="2" t="s">
        <v>85</v>
      </c>
      <c r="AL1690" s="2">
        <v>21</v>
      </c>
      <c r="AM1690" s="2" t="s">
        <v>1311</v>
      </c>
      <c r="AN1690" s="2" t="s">
        <v>6067</v>
      </c>
      <c r="AO1690" s="2" t="s">
        <v>6068</v>
      </c>
      <c r="AP1690" s="2">
        <v>11</v>
      </c>
      <c r="AQ1690" s="2" t="s">
        <v>82</v>
      </c>
      <c r="AR1690" s="2"/>
      <c r="AS1690" s="2"/>
      <c r="AT1690" s="2" t="s">
        <v>6069</v>
      </c>
      <c r="AU1690" s="2"/>
      <c r="AV1690" s="2"/>
      <c r="AW1690" s="2"/>
      <c r="AX1690" s="2"/>
      <c r="AY1690" s="2">
        <v>41</v>
      </c>
      <c r="AZ1690" s="2" t="s">
        <v>82</v>
      </c>
      <c r="BA1690" s="2">
        <v>41</v>
      </c>
      <c r="BB1690" s="2" t="s">
        <v>82</v>
      </c>
      <c r="BC1690" s="2">
        <v>41</v>
      </c>
      <c r="BD1690" s="2" t="s">
        <v>82</v>
      </c>
      <c r="BE1690" s="2">
        <v>4</v>
      </c>
      <c r="BF1690" s="2" t="s">
        <v>90</v>
      </c>
      <c r="BG1690" s="2" t="s">
        <v>6070</v>
      </c>
      <c r="BH1690" s="4">
        <v>0.87847222222222221</v>
      </c>
      <c r="BI1690" s="2"/>
      <c r="BJ1690" s="2">
        <v>13</v>
      </c>
      <c r="BK1690" s="2" t="s">
        <v>91</v>
      </c>
      <c r="BL1690" s="2" t="s">
        <v>1199</v>
      </c>
      <c r="BM1690" s="2">
        <v>241</v>
      </c>
      <c r="BN1690" s="2" t="s">
        <v>82</v>
      </c>
      <c r="BO1690" s="2"/>
      <c r="BP1690" s="2">
        <v>13</v>
      </c>
      <c r="BQ1690" s="2" t="s">
        <v>91</v>
      </c>
      <c r="BR1690" s="2" t="s">
        <v>185</v>
      </c>
      <c r="BS1690" s="3">
        <v>40293</v>
      </c>
      <c r="BT1690" s="4">
        <v>0.19166666666666665</v>
      </c>
    </row>
    <row r="1691" spans="1:72" x14ac:dyDescent="0.25">
      <c r="A1691" s="2">
        <v>2458</v>
      </c>
      <c r="B1691" s="2">
        <v>2010</v>
      </c>
      <c r="C1691" s="2" t="s">
        <v>764</v>
      </c>
      <c r="D1691" s="2" t="s">
        <v>73</v>
      </c>
      <c r="E1691" s="2"/>
      <c r="F1691" s="2">
        <v>9</v>
      </c>
      <c r="G1691" s="2" t="s">
        <v>364</v>
      </c>
      <c r="H1691" s="2">
        <v>44</v>
      </c>
      <c r="I1691" s="2" t="s">
        <v>1272</v>
      </c>
      <c r="J1691" s="2">
        <v>18</v>
      </c>
      <c r="K1691" s="2" t="s">
        <v>365</v>
      </c>
      <c r="L1691" s="2" t="s">
        <v>115</v>
      </c>
      <c r="M1691" s="3">
        <v>40293</v>
      </c>
      <c r="N1691" s="2" t="s">
        <v>5465</v>
      </c>
      <c r="O1691" s="2" t="s">
        <v>6071</v>
      </c>
      <c r="P1691" s="2"/>
      <c r="Q1691" s="2" t="str">
        <f>"20/2010"</f>
        <v>20/2010</v>
      </c>
      <c r="R1691" s="2"/>
      <c r="S1691" s="2" t="s">
        <v>6071</v>
      </c>
      <c r="T1691" s="2">
        <v>1</v>
      </c>
      <c r="U1691" s="2" t="s">
        <v>79</v>
      </c>
      <c r="V1691" s="2">
        <v>1</v>
      </c>
      <c r="W1691" s="2" t="s">
        <v>80</v>
      </c>
      <c r="X1691" s="2">
        <v>12</v>
      </c>
      <c r="Y1691" s="2" t="s">
        <v>148</v>
      </c>
      <c r="Z1691" s="2">
        <v>1</v>
      </c>
      <c r="AA1691" s="2" t="s">
        <v>82</v>
      </c>
      <c r="AB1691" s="2">
        <v>9</v>
      </c>
      <c r="AC1691" s="2" t="s">
        <v>124</v>
      </c>
      <c r="AD1691" s="3">
        <v>40292</v>
      </c>
      <c r="AE1691" s="4">
        <v>0.82638888888888884</v>
      </c>
      <c r="AF1691" s="3">
        <v>40293</v>
      </c>
      <c r="AG1691" s="4">
        <v>0.17708333333333334</v>
      </c>
      <c r="AH1691" s="2">
        <v>3</v>
      </c>
      <c r="AI1691" s="2" t="s">
        <v>214</v>
      </c>
      <c r="AJ1691" s="2">
        <v>24</v>
      </c>
      <c r="AK1691" s="2" t="s">
        <v>215</v>
      </c>
      <c r="AL1691" s="2">
        <v>2</v>
      </c>
      <c r="AM1691" s="2" t="s">
        <v>163</v>
      </c>
      <c r="AN1691" s="2"/>
      <c r="AO1691" s="2"/>
      <c r="AP1691" s="2">
        <v>11</v>
      </c>
      <c r="AQ1691" s="2" t="s">
        <v>82</v>
      </c>
      <c r="AR1691" s="2" t="s">
        <v>107</v>
      </c>
      <c r="AS1691" s="2" t="s">
        <v>107</v>
      </c>
      <c r="AT1691" s="2" t="s">
        <v>6072</v>
      </c>
      <c r="AU1691" s="2"/>
      <c r="AV1691" s="2"/>
      <c r="AW1691" s="2"/>
      <c r="AX1691" s="2"/>
      <c r="AY1691" s="2">
        <v>9</v>
      </c>
      <c r="AZ1691" s="2" t="s">
        <v>966</v>
      </c>
      <c r="BA1691" s="2">
        <v>9</v>
      </c>
      <c r="BB1691" s="2" t="s">
        <v>966</v>
      </c>
      <c r="BC1691" s="2">
        <v>9</v>
      </c>
      <c r="BD1691" s="2" t="s">
        <v>966</v>
      </c>
      <c r="BE1691" s="2">
        <v>9</v>
      </c>
      <c r="BF1691" s="2" t="s">
        <v>966</v>
      </c>
      <c r="BG1691" s="2">
        <v>463</v>
      </c>
      <c r="BH1691" s="4">
        <v>0.15277777777777776</v>
      </c>
      <c r="BI1691" s="4">
        <v>0.78472222222222221</v>
      </c>
      <c r="BJ1691" s="2">
        <v>170</v>
      </c>
      <c r="BK1691" s="2" t="s">
        <v>968</v>
      </c>
      <c r="BL1691" s="2" t="s">
        <v>1390</v>
      </c>
      <c r="BM1691" s="2">
        <v>242</v>
      </c>
      <c r="BN1691" s="2" t="s">
        <v>107</v>
      </c>
      <c r="BO1691" s="2" t="s">
        <v>107</v>
      </c>
      <c r="BP1691" s="2">
        <v>13</v>
      </c>
      <c r="BQ1691" s="2" t="s">
        <v>91</v>
      </c>
      <c r="BR1691" s="2" t="s">
        <v>169</v>
      </c>
      <c r="BS1691" s="3">
        <v>40293</v>
      </c>
      <c r="BT1691" s="4">
        <v>0.25354166666666667</v>
      </c>
    </row>
    <row r="1692" spans="1:72" x14ac:dyDescent="0.25">
      <c r="A1692" s="2">
        <v>2459</v>
      </c>
      <c r="B1692" s="2">
        <v>2010</v>
      </c>
      <c r="C1692" s="2" t="s">
        <v>819</v>
      </c>
      <c r="D1692" s="2" t="s">
        <v>73</v>
      </c>
      <c r="E1692" s="2"/>
      <c r="F1692" s="2">
        <v>470</v>
      </c>
      <c r="G1692" s="2" t="s">
        <v>2979</v>
      </c>
      <c r="H1692" s="2">
        <v>3</v>
      </c>
      <c r="I1692" s="2" t="s">
        <v>315</v>
      </c>
      <c r="J1692" s="2">
        <v>371</v>
      </c>
      <c r="K1692" s="2" t="s">
        <v>1138</v>
      </c>
      <c r="L1692" s="2" t="s">
        <v>1139</v>
      </c>
      <c r="M1692" s="3">
        <v>40293</v>
      </c>
      <c r="N1692" s="2" t="s">
        <v>6073</v>
      </c>
      <c r="O1692" s="2"/>
      <c r="P1692" s="2"/>
      <c r="Q1692" s="2" t="str">
        <f>"052/10"</f>
        <v>052/10</v>
      </c>
      <c r="R1692" s="2" t="s">
        <v>2003</v>
      </c>
      <c r="S1692" s="2"/>
      <c r="T1692" s="2">
        <v>1</v>
      </c>
      <c r="U1692" s="2" t="s">
        <v>79</v>
      </c>
      <c r="V1692" s="2">
        <v>1</v>
      </c>
      <c r="W1692" s="2" t="s">
        <v>80</v>
      </c>
      <c r="X1692" s="2">
        <v>1</v>
      </c>
      <c r="Y1692" s="2" t="s">
        <v>81</v>
      </c>
      <c r="Z1692" s="2">
        <v>1</v>
      </c>
      <c r="AA1692" s="2" t="s">
        <v>82</v>
      </c>
      <c r="AB1692" s="2">
        <v>9</v>
      </c>
      <c r="AC1692" s="2" t="s">
        <v>124</v>
      </c>
      <c r="AD1692" s="3">
        <v>40293</v>
      </c>
      <c r="AE1692" s="4">
        <v>0.54166666666666663</v>
      </c>
      <c r="AF1692" s="2"/>
      <c r="AG1692" s="2"/>
      <c r="AH1692" s="2">
        <v>5</v>
      </c>
      <c r="AI1692" s="2" t="s">
        <v>274</v>
      </c>
      <c r="AJ1692" s="2">
        <v>38</v>
      </c>
      <c r="AK1692" s="2" t="s">
        <v>1120</v>
      </c>
      <c r="AL1692" s="2">
        <v>14</v>
      </c>
      <c r="AM1692" s="2" t="s">
        <v>216</v>
      </c>
      <c r="AN1692" s="2"/>
      <c r="AO1692" s="2" t="s">
        <v>6074</v>
      </c>
      <c r="AP1692" s="2">
        <v>11</v>
      </c>
      <c r="AQ1692" s="2" t="s">
        <v>82</v>
      </c>
      <c r="AR1692" s="2"/>
      <c r="AS1692" s="2"/>
      <c r="AT1692" s="2" t="s">
        <v>6075</v>
      </c>
      <c r="AU1692" s="2"/>
      <c r="AV1692" s="2"/>
      <c r="AW1692" s="2"/>
      <c r="AX1692" s="2"/>
      <c r="AY1692" s="2">
        <v>41</v>
      </c>
      <c r="AZ1692" s="2" t="s">
        <v>82</v>
      </c>
      <c r="BA1692" s="2">
        <v>41</v>
      </c>
      <c r="BB1692" s="2" t="s">
        <v>82</v>
      </c>
      <c r="BC1692" s="2">
        <v>41</v>
      </c>
      <c r="BD1692" s="2" t="s">
        <v>82</v>
      </c>
      <c r="BE1692" s="2">
        <v>4</v>
      </c>
      <c r="BF1692" s="2" t="s">
        <v>90</v>
      </c>
      <c r="BG1692" s="2" t="s">
        <v>3436</v>
      </c>
      <c r="BH1692" s="4">
        <v>0.51736111111111105</v>
      </c>
      <c r="BI1692" s="4">
        <v>0.55555555555555558</v>
      </c>
      <c r="BJ1692" s="2">
        <v>13</v>
      </c>
      <c r="BK1692" s="2" t="s">
        <v>91</v>
      </c>
      <c r="BL1692" s="2" t="s">
        <v>5688</v>
      </c>
      <c r="BM1692" s="2">
        <v>241</v>
      </c>
      <c r="BN1692" s="2" t="s">
        <v>82</v>
      </c>
      <c r="BO1692" s="2"/>
      <c r="BP1692" s="2">
        <v>13</v>
      </c>
      <c r="BQ1692" s="2" t="s">
        <v>91</v>
      </c>
      <c r="BR1692" s="2" t="s">
        <v>185</v>
      </c>
      <c r="BS1692" s="3">
        <v>40293</v>
      </c>
      <c r="BT1692" s="4">
        <v>0.60180555555555559</v>
      </c>
    </row>
    <row r="1693" spans="1:72" x14ac:dyDescent="0.25">
      <c r="A1693" s="2">
        <v>2460</v>
      </c>
      <c r="B1693" s="2">
        <v>2010</v>
      </c>
      <c r="C1693" s="2" t="s">
        <v>196</v>
      </c>
      <c r="D1693" s="2" t="s">
        <v>122</v>
      </c>
      <c r="E1693" s="2"/>
      <c r="F1693" s="2">
        <v>1</v>
      </c>
      <c r="G1693" s="2" t="s">
        <v>82</v>
      </c>
      <c r="H1693" s="2">
        <v>1</v>
      </c>
      <c r="I1693" s="2" t="s">
        <v>82</v>
      </c>
      <c r="J1693" s="2">
        <v>1</v>
      </c>
      <c r="K1693" s="2" t="s">
        <v>107</v>
      </c>
      <c r="L1693" s="2" t="s">
        <v>107</v>
      </c>
      <c r="M1693" s="3">
        <v>40293</v>
      </c>
      <c r="N1693" s="2"/>
      <c r="O1693" s="2"/>
      <c r="P1693" s="2"/>
      <c r="Q1693" s="2" t="str">
        <f>""</f>
        <v/>
      </c>
      <c r="R1693" s="2"/>
      <c r="S1693" s="2"/>
      <c r="T1693" s="2">
        <v>2</v>
      </c>
      <c r="U1693" s="2" t="s">
        <v>123</v>
      </c>
      <c r="V1693" s="2">
        <v>1</v>
      </c>
      <c r="W1693" s="2" t="s">
        <v>80</v>
      </c>
      <c r="X1693" s="2">
        <v>5</v>
      </c>
      <c r="Y1693" s="2" t="s">
        <v>82</v>
      </c>
      <c r="Z1693" s="2">
        <v>1</v>
      </c>
      <c r="AA1693" s="2" t="s">
        <v>82</v>
      </c>
      <c r="AB1693" s="2">
        <v>9</v>
      </c>
      <c r="AC1693" s="2" t="s">
        <v>124</v>
      </c>
      <c r="AD1693" s="3">
        <v>40293</v>
      </c>
      <c r="AE1693" s="4">
        <v>0.61875000000000002</v>
      </c>
      <c r="AF1693" s="2"/>
      <c r="AG1693" s="2"/>
      <c r="AH1693" s="2">
        <v>6</v>
      </c>
      <c r="AI1693" s="2" t="s">
        <v>197</v>
      </c>
      <c r="AJ1693" s="2">
        <v>58</v>
      </c>
      <c r="AK1693" s="2" t="s">
        <v>406</v>
      </c>
      <c r="AL1693" s="2">
        <v>18</v>
      </c>
      <c r="AM1693" s="2" t="s">
        <v>82</v>
      </c>
      <c r="AN1693" s="2" t="s">
        <v>163</v>
      </c>
      <c r="AO1693" s="2" t="s">
        <v>230</v>
      </c>
      <c r="AP1693" s="2">
        <v>11</v>
      </c>
      <c r="AQ1693" s="2" t="s">
        <v>82</v>
      </c>
      <c r="AR1693" s="2" t="s">
        <v>82</v>
      </c>
      <c r="AS1693" s="2" t="s">
        <v>82</v>
      </c>
      <c r="AT1693" s="2" t="s">
        <v>6076</v>
      </c>
      <c r="AU1693" s="2"/>
      <c r="AV1693" s="2"/>
      <c r="AW1693" s="2"/>
      <c r="AX1693" s="2"/>
      <c r="AY1693" s="2">
        <v>1</v>
      </c>
      <c r="AZ1693" s="2" t="s">
        <v>107</v>
      </c>
      <c r="BA1693" s="2">
        <v>1</v>
      </c>
      <c r="BB1693" s="2" t="s">
        <v>107</v>
      </c>
      <c r="BC1693" s="2">
        <v>1</v>
      </c>
      <c r="BD1693" s="2" t="s">
        <v>107</v>
      </c>
      <c r="BE1693" s="2">
        <v>1</v>
      </c>
      <c r="BF1693" s="2" t="s">
        <v>107</v>
      </c>
      <c r="BG1693" s="2" t="s">
        <v>265</v>
      </c>
      <c r="BH1693" s="2"/>
      <c r="BI1693" s="2"/>
      <c r="BJ1693" s="2">
        <v>242</v>
      </c>
      <c r="BK1693" s="2" t="s">
        <v>107</v>
      </c>
      <c r="BL1693" s="2" t="s">
        <v>82</v>
      </c>
      <c r="BM1693" s="2">
        <v>242</v>
      </c>
      <c r="BN1693" s="2" t="s">
        <v>107</v>
      </c>
      <c r="BO1693" s="2" t="s">
        <v>82</v>
      </c>
      <c r="BP1693" s="2">
        <v>242</v>
      </c>
      <c r="BQ1693" s="2" t="s">
        <v>107</v>
      </c>
      <c r="BR1693" s="2" t="s">
        <v>204</v>
      </c>
      <c r="BS1693" s="3">
        <v>40293</v>
      </c>
      <c r="BT1693" s="4">
        <v>0.73517361111111112</v>
      </c>
    </row>
    <row r="1694" spans="1:72" x14ac:dyDescent="0.25">
      <c r="A1694" s="2">
        <v>2461</v>
      </c>
      <c r="B1694" s="2">
        <v>2010</v>
      </c>
      <c r="C1694" s="2" t="s">
        <v>121</v>
      </c>
      <c r="D1694" s="2" t="s">
        <v>122</v>
      </c>
      <c r="E1694" s="2"/>
      <c r="F1694" s="2">
        <v>1</v>
      </c>
      <c r="G1694" s="2" t="s">
        <v>82</v>
      </c>
      <c r="H1694" s="2">
        <v>1</v>
      </c>
      <c r="I1694" s="2" t="s">
        <v>82</v>
      </c>
      <c r="J1694" s="2">
        <v>1</v>
      </c>
      <c r="K1694" s="2" t="s">
        <v>107</v>
      </c>
      <c r="L1694" s="2" t="s">
        <v>107</v>
      </c>
      <c r="M1694" s="3">
        <v>40293</v>
      </c>
      <c r="N1694" s="2"/>
      <c r="O1694" s="2"/>
      <c r="P1694" s="2"/>
      <c r="Q1694" s="2" t="str">
        <f>""</f>
        <v/>
      </c>
      <c r="R1694" s="2"/>
      <c r="S1694" s="2"/>
      <c r="T1694" s="2">
        <v>2</v>
      </c>
      <c r="U1694" s="2" t="s">
        <v>123</v>
      </c>
      <c r="V1694" s="2">
        <v>1</v>
      </c>
      <c r="W1694" s="2" t="s">
        <v>80</v>
      </c>
      <c r="X1694" s="2">
        <v>11</v>
      </c>
      <c r="Y1694" s="2" t="s">
        <v>1920</v>
      </c>
      <c r="Z1694" s="2">
        <v>1</v>
      </c>
      <c r="AA1694" s="2" t="s">
        <v>82</v>
      </c>
      <c r="AB1694" s="2">
        <v>9</v>
      </c>
      <c r="AC1694" s="2" t="s">
        <v>124</v>
      </c>
      <c r="AD1694" s="3">
        <v>40293</v>
      </c>
      <c r="AE1694" s="4">
        <v>0.77083333333333337</v>
      </c>
      <c r="AF1694" s="2"/>
      <c r="AG1694" s="2"/>
      <c r="AH1694" s="2">
        <v>2</v>
      </c>
      <c r="AI1694" s="2" t="s">
        <v>84</v>
      </c>
      <c r="AJ1694" s="2">
        <v>12</v>
      </c>
      <c r="AK1694" s="2" t="s">
        <v>85</v>
      </c>
      <c r="AL1694" s="2">
        <v>10</v>
      </c>
      <c r="AM1694" s="2" t="s">
        <v>200</v>
      </c>
      <c r="AN1694" s="2" t="s">
        <v>6077</v>
      </c>
      <c r="AO1694" s="2" t="s">
        <v>6078</v>
      </c>
      <c r="AP1694" s="2">
        <v>11</v>
      </c>
      <c r="AQ1694" s="2" t="s">
        <v>82</v>
      </c>
      <c r="AR1694" s="2"/>
      <c r="AS1694" s="2"/>
      <c r="AT1694" s="2" t="s">
        <v>6079</v>
      </c>
      <c r="AU1694" s="2"/>
      <c r="AV1694" s="2"/>
      <c r="AW1694" s="2"/>
      <c r="AX1694" s="2"/>
      <c r="AY1694" s="2">
        <v>41</v>
      </c>
      <c r="AZ1694" s="2" t="s">
        <v>82</v>
      </c>
      <c r="BA1694" s="2">
        <v>41</v>
      </c>
      <c r="BB1694" s="2" t="s">
        <v>82</v>
      </c>
      <c r="BC1694" s="2">
        <v>41</v>
      </c>
      <c r="BD1694" s="2" t="s">
        <v>82</v>
      </c>
      <c r="BE1694" s="2">
        <v>4</v>
      </c>
      <c r="BF1694" s="2" t="s">
        <v>90</v>
      </c>
      <c r="BG1694" s="2">
        <v>4349</v>
      </c>
      <c r="BH1694" s="4">
        <v>0.78125</v>
      </c>
      <c r="BI1694" s="2"/>
      <c r="BJ1694" s="2">
        <v>13</v>
      </c>
      <c r="BK1694" s="2" t="s">
        <v>91</v>
      </c>
      <c r="BL1694" s="2" t="s">
        <v>332</v>
      </c>
      <c r="BM1694" s="2">
        <v>241</v>
      </c>
      <c r="BN1694" s="2" t="s">
        <v>82</v>
      </c>
      <c r="BO1694" s="2"/>
      <c r="BP1694" s="2">
        <v>13</v>
      </c>
      <c r="BQ1694" s="2" t="s">
        <v>91</v>
      </c>
      <c r="BR1694" s="2" t="s">
        <v>185</v>
      </c>
      <c r="BS1694" s="3">
        <v>40293</v>
      </c>
      <c r="BT1694" s="4">
        <v>0.78840277777777779</v>
      </c>
    </row>
    <row r="1695" spans="1:72" x14ac:dyDescent="0.25">
      <c r="A1695" s="2">
        <v>2463</v>
      </c>
      <c r="B1695" s="2">
        <v>2010</v>
      </c>
      <c r="C1695" s="2" t="s">
        <v>196</v>
      </c>
      <c r="D1695" s="2" t="s">
        <v>122</v>
      </c>
      <c r="E1695" s="2"/>
      <c r="F1695" s="2">
        <v>1</v>
      </c>
      <c r="G1695" s="2" t="s">
        <v>82</v>
      </c>
      <c r="H1695" s="2">
        <v>1</v>
      </c>
      <c r="I1695" s="2" t="s">
        <v>82</v>
      </c>
      <c r="J1695" s="2">
        <v>1</v>
      </c>
      <c r="K1695" s="2" t="s">
        <v>107</v>
      </c>
      <c r="L1695" s="2" t="s">
        <v>107</v>
      </c>
      <c r="M1695" s="3">
        <v>40293</v>
      </c>
      <c r="N1695" s="2"/>
      <c r="O1695" s="2"/>
      <c r="P1695" s="2"/>
      <c r="Q1695" s="2" t="str">
        <f>""</f>
        <v/>
      </c>
      <c r="R1695" s="2"/>
      <c r="S1695" s="2"/>
      <c r="T1695" s="2">
        <v>2</v>
      </c>
      <c r="U1695" s="2" t="s">
        <v>123</v>
      </c>
      <c r="V1695" s="2">
        <v>1</v>
      </c>
      <c r="W1695" s="2" t="s">
        <v>80</v>
      </c>
      <c r="X1695" s="2">
        <v>5</v>
      </c>
      <c r="Y1695" s="2" t="s">
        <v>82</v>
      </c>
      <c r="Z1695" s="2">
        <v>1</v>
      </c>
      <c r="AA1695" s="2" t="s">
        <v>82</v>
      </c>
      <c r="AB1695" s="2">
        <v>9</v>
      </c>
      <c r="AC1695" s="2" t="s">
        <v>124</v>
      </c>
      <c r="AD1695" s="3">
        <v>40293</v>
      </c>
      <c r="AE1695" s="4">
        <v>0.71180555555555547</v>
      </c>
      <c r="AF1695" s="2"/>
      <c r="AG1695" s="2"/>
      <c r="AH1695" s="2">
        <v>6</v>
      </c>
      <c r="AI1695" s="2" t="s">
        <v>197</v>
      </c>
      <c r="AJ1695" s="2">
        <v>59</v>
      </c>
      <c r="AK1695" s="2" t="s">
        <v>198</v>
      </c>
      <c r="AL1695" s="2">
        <v>18</v>
      </c>
      <c r="AM1695" s="2" t="s">
        <v>82</v>
      </c>
      <c r="AN1695" s="2" t="s">
        <v>6080</v>
      </c>
      <c r="AO1695" s="2" t="s">
        <v>230</v>
      </c>
      <c r="AP1695" s="2">
        <v>11</v>
      </c>
      <c r="AQ1695" s="2" t="s">
        <v>82</v>
      </c>
      <c r="AR1695" s="2" t="s">
        <v>82</v>
      </c>
      <c r="AS1695" s="2" t="s">
        <v>82</v>
      </c>
      <c r="AT1695" s="2" t="s">
        <v>6081</v>
      </c>
      <c r="AU1695" s="2"/>
      <c r="AV1695" s="2"/>
      <c r="AW1695" s="2"/>
      <c r="AX1695" s="2"/>
      <c r="AY1695" s="2">
        <v>1</v>
      </c>
      <c r="AZ1695" s="2" t="s">
        <v>107</v>
      </c>
      <c r="BA1695" s="2">
        <v>1</v>
      </c>
      <c r="BB1695" s="2" t="s">
        <v>107</v>
      </c>
      <c r="BC1695" s="2">
        <v>1</v>
      </c>
      <c r="BD1695" s="2" t="s">
        <v>107</v>
      </c>
      <c r="BE1695" s="2">
        <v>1</v>
      </c>
      <c r="BF1695" s="2" t="s">
        <v>107</v>
      </c>
      <c r="BG1695" s="2" t="s">
        <v>265</v>
      </c>
      <c r="BH1695" s="4">
        <v>0.63402777777777775</v>
      </c>
      <c r="BI1695" s="4">
        <v>0.71180555555555547</v>
      </c>
      <c r="BJ1695" s="2">
        <v>242</v>
      </c>
      <c r="BK1695" s="2" t="s">
        <v>107</v>
      </c>
      <c r="BL1695" s="2" t="s">
        <v>204</v>
      </c>
      <c r="BM1695" s="2">
        <v>242</v>
      </c>
      <c r="BN1695" s="2" t="s">
        <v>107</v>
      </c>
      <c r="BO1695" s="2" t="s">
        <v>82</v>
      </c>
      <c r="BP1695" s="2">
        <v>242</v>
      </c>
      <c r="BQ1695" s="2" t="s">
        <v>107</v>
      </c>
      <c r="BR1695" s="2" t="s">
        <v>170</v>
      </c>
      <c r="BS1695" s="3">
        <v>40293</v>
      </c>
      <c r="BT1695" s="4">
        <v>0.85</v>
      </c>
    </row>
    <row r="1696" spans="1:72" x14ac:dyDescent="0.25">
      <c r="A1696" s="2">
        <v>2464</v>
      </c>
      <c r="B1696" s="2">
        <v>2010</v>
      </c>
      <c r="C1696" s="2" t="s">
        <v>196</v>
      </c>
      <c r="D1696" s="2" t="s">
        <v>122</v>
      </c>
      <c r="E1696" s="2"/>
      <c r="F1696" s="2">
        <v>1</v>
      </c>
      <c r="G1696" s="2" t="s">
        <v>82</v>
      </c>
      <c r="H1696" s="2">
        <v>1</v>
      </c>
      <c r="I1696" s="2" t="s">
        <v>82</v>
      </c>
      <c r="J1696" s="2">
        <v>1</v>
      </c>
      <c r="K1696" s="2" t="s">
        <v>107</v>
      </c>
      <c r="L1696" s="2" t="s">
        <v>107</v>
      </c>
      <c r="M1696" s="3">
        <v>40293</v>
      </c>
      <c r="N1696" s="2"/>
      <c r="O1696" s="2"/>
      <c r="P1696" s="2"/>
      <c r="Q1696" s="2" t="str">
        <f>""</f>
        <v/>
      </c>
      <c r="R1696" s="2"/>
      <c r="S1696" s="2"/>
      <c r="T1696" s="2">
        <v>2</v>
      </c>
      <c r="U1696" s="2" t="s">
        <v>123</v>
      </c>
      <c r="V1696" s="2">
        <v>1</v>
      </c>
      <c r="W1696" s="2" t="s">
        <v>80</v>
      </c>
      <c r="X1696" s="2">
        <v>11</v>
      </c>
      <c r="Y1696" s="2" t="s">
        <v>1920</v>
      </c>
      <c r="Z1696" s="2">
        <v>4</v>
      </c>
      <c r="AA1696" s="2" t="s">
        <v>182</v>
      </c>
      <c r="AB1696" s="2">
        <v>9</v>
      </c>
      <c r="AC1696" s="2" t="s">
        <v>124</v>
      </c>
      <c r="AD1696" s="3">
        <v>40293</v>
      </c>
      <c r="AE1696" s="4">
        <v>0.77083333333333337</v>
      </c>
      <c r="AF1696" s="2"/>
      <c r="AG1696" s="2"/>
      <c r="AH1696" s="2">
        <v>2</v>
      </c>
      <c r="AI1696" s="2" t="s">
        <v>84</v>
      </c>
      <c r="AJ1696" s="2">
        <v>12</v>
      </c>
      <c r="AK1696" s="2" t="s">
        <v>85</v>
      </c>
      <c r="AL1696" s="2">
        <v>20</v>
      </c>
      <c r="AM1696" s="2" t="s">
        <v>992</v>
      </c>
      <c r="AN1696" s="2" t="s">
        <v>263</v>
      </c>
      <c r="AO1696" s="2" t="s">
        <v>993</v>
      </c>
      <c r="AP1696" s="2">
        <v>11</v>
      </c>
      <c r="AQ1696" s="2" t="s">
        <v>82</v>
      </c>
      <c r="AR1696" s="2"/>
      <c r="AS1696" s="2"/>
      <c r="AT1696" s="2" t="s">
        <v>6082</v>
      </c>
      <c r="AU1696" s="2"/>
      <c r="AV1696" s="2"/>
      <c r="AW1696" s="2"/>
      <c r="AX1696" s="2"/>
      <c r="AY1696" s="2">
        <v>41</v>
      </c>
      <c r="AZ1696" s="2" t="s">
        <v>82</v>
      </c>
      <c r="BA1696" s="2">
        <v>41</v>
      </c>
      <c r="BB1696" s="2" t="s">
        <v>82</v>
      </c>
      <c r="BC1696" s="2">
        <v>41</v>
      </c>
      <c r="BD1696" s="2" t="s">
        <v>82</v>
      </c>
      <c r="BE1696" s="2">
        <v>42</v>
      </c>
      <c r="BF1696" s="2" t="s">
        <v>182</v>
      </c>
      <c r="BG1696" s="2" t="s">
        <v>265</v>
      </c>
      <c r="BH1696" s="4">
        <v>0.81736111111111109</v>
      </c>
      <c r="BI1696" s="2"/>
      <c r="BJ1696" s="2">
        <v>13</v>
      </c>
      <c r="BK1696" s="2" t="s">
        <v>91</v>
      </c>
      <c r="BL1696" s="2" t="s">
        <v>6083</v>
      </c>
      <c r="BM1696" s="2">
        <v>241</v>
      </c>
      <c r="BN1696" s="2" t="s">
        <v>82</v>
      </c>
      <c r="BO1696" s="2"/>
      <c r="BP1696" s="2">
        <v>13</v>
      </c>
      <c r="BQ1696" s="2" t="s">
        <v>91</v>
      </c>
      <c r="BR1696" s="2" t="s">
        <v>170</v>
      </c>
      <c r="BS1696" s="3">
        <v>40293</v>
      </c>
      <c r="BT1696" s="4">
        <v>0.85020833333333334</v>
      </c>
    </row>
    <row r="1697" spans="1:72" x14ac:dyDescent="0.25">
      <c r="A1697" s="2">
        <v>2466</v>
      </c>
      <c r="B1697" s="2">
        <v>2010</v>
      </c>
      <c r="C1697" s="2" t="s">
        <v>4543</v>
      </c>
      <c r="D1697" s="2" t="s">
        <v>122</v>
      </c>
      <c r="E1697" s="2"/>
      <c r="F1697" s="2">
        <v>1</v>
      </c>
      <c r="G1697" s="2" t="s">
        <v>82</v>
      </c>
      <c r="H1697" s="2">
        <v>1</v>
      </c>
      <c r="I1697" s="2" t="s">
        <v>82</v>
      </c>
      <c r="J1697" s="2">
        <v>1</v>
      </c>
      <c r="K1697" s="2" t="s">
        <v>107</v>
      </c>
      <c r="L1697" s="2" t="s">
        <v>107</v>
      </c>
      <c r="M1697" s="3">
        <v>40294</v>
      </c>
      <c r="N1697" s="2"/>
      <c r="O1697" s="2"/>
      <c r="P1697" s="2"/>
      <c r="Q1697" s="2" t="str">
        <f>""</f>
        <v/>
      </c>
      <c r="R1697" s="2"/>
      <c r="S1697" s="2"/>
      <c r="T1697" s="2">
        <v>2</v>
      </c>
      <c r="U1697" s="2" t="s">
        <v>123</v>
      </c>
      <c r="V1697" s="2">
        <v>1</v>
      </c>
      <c r="W1697" s="2" t="s">
        <v>80</v>
      </c>
      <c r="X1697" s="2">
        <v>11</v>
      </c>
      <c r="Y1697" s="2" t="s">
        <v>1920</v>
      </c>
      <c r="Z1697" s="2">
        <v>1</v>
      </c>
      <c r="AA1697" s="2" t="s">
        <v>82</v>
      </c>
      <c r="AB1697" s="2">
        <v>9</v>
      </c>
      <c r="AC1697" s="2" t="s">
        <v>124</v>
      </c>
      <c r="AD1697" s="3">
        <v>40294</v>
      </c>
      <c r="AE1697" s="4">
        <v>0.39097222222222222</v>
      </c>
      <c r="AF1697" s="2"/>
      <c r="AG1697" s="2"/>
      <c r="AH1697" s="2">
        <v>6</v>
      </c>
      <c r="AI1697" s="2" t="s">
        <v>197</v>
      </c>
      <c r="AJ1697" s="2">
        <v>54</v>
      </c>
      <c r="AK1697" s="2" t="s">
        <v>348</v>
      </c>
      <c r="AL1697" s="2">
        <v>18</v>
      </c>
      <c r="AM1697" s="2" t="s">
        <v>82</v>
      </c>
      <c r="AN1697" s="2" t="s">
        <v>595</v>
      </c>
      <c r="AO1697" s="2" t="s">
        <v>200</v>
      </c>
      <c r="AP1697" s="2">
        <v>14</v>
      </c>
      <c r="AQ1697" s="2" t="s">
        <v>3301</v>
      </c>
      <c r="AR1697" s="2" t="s">
        <v>596</v>
      </c>
      <c r="AS1697" s="2" t="s">
        <v>596</v>
      </c>
      <c r="AT1697" s="2" t="s">
        <v>6084</v>
      </c>
      <c r="AU1697" s="2"/>
      <c r="AV1697" s="2"/>
      <c r="AW1697" s="2"/>
      <c r="AX1697" s="2"/>
      <c r="AY1697" s="2">
        <v>1</v>
      </c>
      <c r="AZ1697" s="2" t="s">
        <v>107</v>
      </c>
      <c r="BA1697" s="2">
        <v>1</v>
      </c>
      <c r="BB1697" s="2" t="s">
        <v>107</v>
      </c>
      <c r="BC1697" s="2">
        <v>1</v>
      </c>
      <c r="BD1697" s="2" t="s">
        <v>107</v>
      </c>
      <c r="BE1697" s="2">
        <v>4</v>
      </c>
      <c r="BF1697" s="2" t="s">
        <v>90</v>
      </c>
      <c r="BG1697" s="2" t="s">
        <v>5619</v>
      </c>
      <c r="BH1697" s="4">
        <v>0.3263888888888889</v>
      </c>
      <c r="BI1697" s="4">
        <v>0.3756944444444445</v>
      </c>
      <c r="BJ1697" s="2">
        <v>13</v>
      </c>
      <c r="BK1697" s="2" t="s">
        <v>91</v>
      </c>
      <c r="BL1697" s="2" t="s">
        <v>2167</v>
      </c>
      <c r="BM1697" s="2">
        <v>242</v>
      </c>
      <c r="BN1697" s="2" t="s">
        <v>107</v>
      </c>
      <c r="BO1697" s="2"/>
      <c r="BP1697" s="2">
        <v>13</v>
      </c>
      <c r="BQ1697" s="2" t="s">
        <v>91</v>
      </c>
      <c r="BR1697" s="2" t="s">
        <v>2168</v>
      </c>
      <c r="BS1697" s="3">
        <v>40294</v>
      </c>
      <c r="BT1697" s="4">
        <v>0.3856944444444444</v>
      </c>
    </row>
    <row r="1698" spans="1:72" x14ac:dyDescent="0.25">
      <c r="A1698" s="2">
        <v>2467</v>
      </c>
      <c r="B1698" s="2">
        <v>2010</v>
      </c>
      <c r="C1698" s="2" t="s">
        <v>4543</v>
      </c>
      <c r="D1698" s="2" t="s">
        <v>122</v>
      </c>
      <c r="E1698" s="2"/>
      <c r="F1698" s="2">
        <v>146</v>
      </c>
      <c r="G1698" s="2" t="s">
        <v>753</v>
      </c>
      <c r="H1698" s="2">
        <v>39</v>
      </c>
      <c r="I1698" s="2" t="s">
        <v>1117</v>
      </c>
      <c r="J1698" s="2">
        <v>161</v>
      </c>
      <c r="K1698" s="2" t="s">
        <v>1900</v>
      </c>
      <c r="L1698" s="2" t="s">
        <v>1901</v>
      </c>
      <c r="M1698" s="3">
        <v>40294</v>
      </c>
      <c r="N1698" s="2" t="s">
        <v>5044</v>
      </c>
      <c r="O1698" s="2" t="s">
        <v>107</v>
      </c>
      <c r="P1698" s="2">
        <v>2277</v>
      </c>
      <c r="Q1698" s="2" t="str">
        <f>"S/D"</f>
        <v>S/D</v>
      </c>
      <c r="R1698" s="2" t="s">
        <v>107</v>
      </c>
      <c r="S1698" s="2" t="s">
        <v>107</v>
      </c>
      <c r="T1698" s="2">
        <v>2</v>
      </c>
      <c r="U1698" s="2" t="s">
        <v>123</v>
      </c>
      <c r="V1698" s="2">
        <v>1</v>
      </c>
      <c r="W1698" s="2" t="s">
        <v>80</v>
      </c>
      <c r="X1698" s="2">
        <v>5</v>
      </c>
      <c r="Y1698" s="2" t="s">
        <v>82</v>
      </c>
      <c r="Z1698" s="2">
        <v>1</v>
      </c>
      <c r="AA1698" s="2" t="s">
        <v>82</v>
      </c>
      <c r="AB1698" s="2">
        <v>9</v>
      </c>
      <c r="AC1698" s="2" t="s">
        <v>124</v>
      </c>
      <c r="AD1698" s="3">
        <v>40294</v>
      </c>
      <c r="AE1698" s="4">
        <v>0.41666666666666669</v>
      </c>
      <c r="AF1698" s="2"/>
      <c r="AG1698" s="2"/>
      <c r="AH1698" s="2">
        <v>6</v>
      </c>
      <c r="AI1698" s="2" t="s">
        <v>197</v>
      </c>
      <c r="AJ1698" s="2">
        <v>54</v>
      </c>
      <c r="AK1698" s="2" t="s">
        <v>348</v>
      </c>
      <c r="AL1698" s="2">
        <v>18</v>
      </c>
      <c r="AM1698" s="2" t="s">
        <v>82</v>
      </c>
      <c r="AN1698" s="2" t="s">
        <v>107</v>
      </c>
      <c r="AO1698" s="2" t="s">
        <v>2691</v>
      </c>
      <c r="AP1698" s="2">
        <v>11</v>
      </c>
      <c r="AQ1698" s="2" t="s">
        <v>82</v>
      </c>
      <c r="AR1698" s="2" t="s">
        <v>107</v>
      </c>
      <c r="AS1698" s="2" t="s">
        <v>107</v>
      </c>
      <c r="AT1698" s="2" t="s">
        <v>6085</v>
      </c>
      <c r="AU1698" s="2"/>
      <c r="AV1698" s="2"/>
      <c r="AW1698" s="2"/>
      <c r="AX1698" s="2"/>
      <c r="AY1698" s="2">
        <v>1</v>
      </c>
      <c r="AZ1698" s="2" t="s">
        <v>107</v>
      </c>
      <c r="BA1698" s="2">
        <v>1</v>
      </c>
      <c r="BB1698" s="2" t="s">
        <v>107</v>
      </c>
      <c r="BC1698" s="2">
        <v>1</v>
      </c>
      <c r="BD1698" s="2" t="s">
        <v>107</v>
      </c>
      <c r="BE1698" s="2">
        <v>1</v>
      </c>
      <c r="BF1698" s="2" t="s">
        <v>107</v>
      </c>
      <c r="BG1698" s="2" t="s">
        <v>107</v>
      </c>
      <c r="BH1698" s="2"/>
      <c r="BI1698" s="2"/>
      <c r="BJ1698" s="2">
        <v>242</v>
      </c>
      <c r="BK1698" s="2" t="s">
        <v>107</v>
      </c>
      <c r="BL1698" s="2" t="s">
        <v>107</v>
      </c>
      <c r="BM1698" s="2">
        <v>242</v>
      </c>
      <c r="BN1698" s="2" t="s">
        <v>107</v>
      </c>
      <c r="BO1698" s="2" t="s">
        <v>107</v>
      </c>
      <c r="BP1698" s="2">
        <v>242</v>
      </c>
      <c r="BQ1698" s="2" t="s">
        <v>107</v>
      </c>
      <c r="BR1698" s="2" t="s">
        <v>107</v>
      </c>
      <c r="BS1698" s="3">
        <v>40294</v>
      </c>
      <c r="BT1698" s="4">
        <v>0.43281249999999999</v>
      </c>
    </row>
    <row r="1699" spans="1:72" x14ac:dyDescent="0.25">
      <c r="A1699" s="2">
        <v>2468</v>
      </c>
      <c r="B1699" s="2">
        <v>2010</v>
      </c>
      <c r="C1699" s="2" t="s">
        <v>72</v>
      </c>
      <c r="D1699" s="2" t="s">
        <v>73</v>
      </c>
      <c r="E1699" s="2"/>
      <c r="F1699" s="2">
        <v>164</v>
      </c>
      <c r="G1699" s="2" t="s">
        <v>4963</v>
      </c>
      <c r="H1699" s="2">
        <v>95</v>
      </c>
      <c r="I1699" s="2" t="s">
        <v>5737</v>
      </c>
      <c r="J1699" s="2">
        <v>174</v>
      </c>
      <c r="K1699" s="2" t="s">
        <v>4965</v>
      </c>
      <c r="L1699" s="2" t="s">
        <v>2631</v>
      </c>
      <c r="M1699" s="3">
        <v>40294</v>
      </c>
      <c r="N1699" s="2" t="s">
        <v>6086</v>
      </c>
      <c r="O1699" s="2"/>
      <c r="P1699" s="2"/>
      <c r="Q1699" s="2" t="str">
        <f>"162-A/10"</f>
        <v>162-A/10</v>
      </c>
      <c r="R1699" s="2"/>
      <c r="S1699" s="2" t="s">
        <v>116</v>
      </c>
      <c r="T1699" s="2">
        <v>1</v>
      </c>
      <c r="U1699" s="2" t="s">
        <v>79</v>
      </c>
      <c r="V1699" s="2">
        <v>1</v>
      </c>
      <c r="W1699" s="2" t="s">
        <v>80</v>
      </c>
      <c r="X1699" s="2">
        <v>12</v>
      </c>
      <c r="Y1699" s="2" t="s">
        <v>148</v>
      </c>
      <c r="Z1699" s="2">
        <v>1</v>
      </c>
      <c r="AA1699" s="2" t="s">
        <v>82</v>
      </c>
      <c r="AB1699" s="2">
        <v>6</v>
      </c>
      <c r="AC1699" s="2" t="s">
        <v>83</v>
      </c>
      <c r="AD1699" s="3">
        <v>40294</v>
      </c>
      <c r="AE1699" s="4">
        <v>0</v>
      </c>
      <c r="AF1699" s="3">
        <v>40294</v>
      </c>
      <c r="AG1699" s="4">
        <v>0</v>
      </c>
      <c r="AH1699" s="2">
        <v>2</v>
      </c>
      <c r="AI1699" s="2" t="s">
        <v>84</v>
      </c>
      <c r="AJ1699" s="2">
        <v>12</v>
      </c>
      <c r="AK1699" s="2" t="s">
        <v>85</v>
      </c>
      <c r="AL1699" s="2">
        <v>21</v>
      </c>
      <c r="AM1699" s="2" t="s">
        <v>1311</v>
      </c>
      <c r="AN1699" s="2" t="s">
        <v>6087</v>
      </c>
      <c r="AO1699" s="2"/>
      <c r="AP1699" s="2">
        <v>11</v>
      </c>
      <c r="AQ1699" s="2" t="s">
        <v>82</v>
      </c>
      <c r="AR1699" s="2"/>
      <c r="AS1699" s="2"/>
      <c r="AT1699" s="2" t="s">
        <v>6088</v>
      </c>
      <c r="AU1699" s="2">
        <v>1</v>
      </c>
      <c r="AV1699" s="2"/>
      <c r="AW1699" s="2"/>
      <c r="AX1699" s="2"/>
      <c r="AY1699" s="2">
        <v>41</v>
      </c>
      <c r="AZ1699" s="2" t="s">
        <v>82</v>
      </c>
      <c r="BA1699" s="2">
        <v>41</v>
      </c>
      <c r="BB1699" s="2" t="s">
        <v>82</v>
      </c>
      <c r="BC1699" s="2">
        <v>41</v>
      </c>
      <c r="BD1699" s="2" t="s">
        <v>82</v>
      </c>
      <c r="BE1699" s="2">
        <v>41</v>
      </c>
      <c r="BF1699" s="2" t="s">
        <v>82</v>
      </c>
      <c r="BG1699" s="2"/>
      <c r="BH1699" s="2"/>
      <c r="BI1699" s="2"/>
      <c r="BJ1699" s="2">
        <v>241</v>
      </c>
      <c r="BK1699" s="2" t="s">
        <v>82</v>
      </c>
      <c r="BL1699" s="2"/>
      <c r="BM1699" s="2">
        <v>241</v>
      </c>
      <c r="BN1699" s="2" t="s">
        <v>82</v>
      </c>
      <c r="BO1699" s="2"/>
      <c r="BP1699" s="2">
        <v>241</v>
      </c>
      <c r="BQ1699" s="2" t="s">
        <v>82</v>
      </c>
      <c r="BR1699" s="2"/>
      <c r="BS1699" s="3">
        <v>40294</v>
      </c>
      <c r="BT1699" s="4">
        <v>0.43636574074074069</v>
      </c>
    </row>
    <row r="1700" spans="1:72" x14ac:dyDescent="0.25">
      <c r="A1700" s="2">
        <v>2469</v>
      </c>
      <c r="B1700" s="2">
        <v>2010</v>
      </c>
      <c r="C1700" s="2" t="s">
        <v>414</v>
      </c>
      <c r="D1700" s="2" t="s">
        <v>122</v>
      </c>
      <c r="E1700" s="2"/>
      <c r="F1700" s="2">
        <v>1</v>
      </c>
      <c r="G1700" s="2" t="s">
        <v>82</v>
      </c>
      <c r="H1700" s="2">
        <v>1</v>
      </c>
      <c r="I1700" s="2" t="s">
        <v>82</v>
      </c>
      <c r="J1700" s="2">
        <v>1</v>
      </c>
      <c r="K1700" s="2" t="s">
        <v>107</v>
      </c>
      <c r="L1700" s="2" t="s">
        <v>107</v>
      </c>
      <c r="M1700" s="3">
        <v>40294</v>
      </c>
      <c r="N1700" s="2"/>
      <c r="O1700" s="2"/>
      <c r="P1700" s="2"/>
      <c r="Q1700" s="2" t="str">
        <f>""</f>
        <v/>
      </c>
      <c r="R1700" s="2"/>
      <c r="S1700" s="2"/>
      <c r="T1700" s="2">
        <v>1</v>
      </c>
      <c r="U1700" s="2" t="s">
        <v>79</v>
      </c>
      <c r="V1700" s="2">
        <v>1</v>
      </c>
      <c r="W1700" s="2" t="s">
        <v>80</v>
      </c>
      <c r="X1700" s="2">
        <v>1</v>
      </c>
      <c r="Y1700" s="2" t="s">
        <v>81</v>
      </c>
      <c r="Z1700" s="2">
        <v>1</v>
      </c>
      <c r="AA1700" s="2" t="s">
        <v>82</v>
      </c>
      <c r="AB1700" s="2">
        <v>9</v>
      </c>
      <c r="AC1700" s="2" t="s">
        <v>124</v>
      </c>
      <c r="AD1700" s="3">
        <v>40294</v>
      </c>
      <c r="AE1700" s="4">
        <v>0.44791666666666669</v>
      </c>
      <c r="AF1700" s="2"/>
      <c r="AG1700" s="2"/>
      <c r="AH1700" s="2">
        <v>2</v>
      </c>
      <c r="AI1700" s="2" t="s">
        <v>84</v>
      </c>
      <c r="AJ1700" s="2">
        <v>12</v>
      </c>
      <c r="AK1700" s="2" t="s">
        <v>85</v>
      </c>
      <c r="AL1700" s="2">
        <v>21</v>
      </c>
      <c r="AM1700" s="2" t="s">
        <v>1311</v>
      </c>
      <c r="AN1700" s="2" t="s">
        <v>4850</v>
      </c>
      <c r="AO1700" s="2" t="s">
        <v>6089</v>
      </c>
      <c r="AP1700" s="2">
        <v>11</v>
      </c>
      <c r="AQ1700" s="2" t="s">
        <v>82</v>
      </c>
      <c r="AR1700" s="2"/>
      <c r="AS1700" s="2"/>
      <c r="AT1700" s="2" t="s">
        <v>6090</v>
      </c>
      <c r="AU1700" s="2"/>
      <c r="AV1700" s="2"/>
      <c r="AW1700" s="2"/>
      <c r="AX1700" s="2"/>
      <c r="AY1700" s="2">
        <v>41</v>
      </c>
      <c r="AZ1700" s="2" t="s">
        <v>82</v>
      </c>
      <c r="BA1700" s="2">
        <v>41</v>
      </c>
      <c r="BB1700" s="2" t="s">
        <v>82</v>
      </c>
      <c r="BC1700" s="2">
        <v>41</v>
      </c>
      <c r="BD1700" s="2" t="s">
        <v>82</v>
      </c>
      <c r="BE1700" s="2">
        <v>41</v>
      </c>
      <c r="BF1700" s="2" t="s">
        <v>82</v>
      </c>
      <c r="BG1700" s="2"/>
      <c r="BH1700" s="2"/>
      <c r="BI1700" s="2"/>
      <c r="BJ1700" s="2">
        <v>241</v>
      </c>
      <c r="BK1700" s="2" t="s">
        <v>82</v>
      </c>
      <c r="BL1700" s="2"/>
      <c r="BM1700" s="2">
        <v>241</v>
      </c>
      <c r="BN1700" s="2" t="s">
        <v>82</v>
      </c>
      <c r="BO1700" s="2"/>
      <c r="BP1700" s="2">
        <v>241</v>
      </c>
      <c r="BQ1700" s="2" t="s">
        <v>82</v>
      </c>
      <c r="BR1700" s="2"/>
      <c r="BS1700" s="3">
        <v>40294</v>
      </c>
      <c r="BT1700" s="4">
        <v>0.49678240740740742</v>
      </c>
    </row>
    <row r="1701" spans="1:72" x14ac:dyDescent="0.25">
      <c r="A1701" s="2">
        <v>2471</v>
      </c>
      <c r="B1701" s="2">
        <v>2010</v>
      </c>
      <c r="C1701" s="2" t="s">
        <v>171</v>
      </c>
      <c r="D1701" s="2" t="s">
        <v>122</v>
      </c>
      <c r="E1701" s="2"/>
      <c r="F1701" s="2">
        <v>393</v>
      </c>
      <c r="G1701" s="2" t="s">
        <v>3660</v>
      </c>
      <c r="H1701" s="2">
        <v>2</v>
      </c>
      <c r="I1701" s="2" t="s">
        <v>267</v>
      </c>
      <c r="J1701" s="2">
        <v>2</v>
      </c>
      <c r="K1701" s="2" t="s">
        <v>3661</v>
      </c>
      <c r="L1701" s="2" t="s">
        <v>3662</v>
      </c>
      <c r="M1701" s="3">
        <v>40294</v>
      </c>
      <c r="N1701" s="2" t="s">
        <v>6091</v>
      </c>
      <c r="O1701" s="2"/>
      <c r="P1701" s="2"/>
      <c r="Q1701" s="2" t="str">
        <f>"P.S. 04-R/10"</f>
        <v>P.S. 04-R/10</v>
      </c>
      <c r="R1701" s="2" t="s">
        <v>6092</v>
      </c>
      <c r="S1701" s="2" t="s">
        <v>6092</v>
      </c>
      <c r="T1701" s="2">
        <v>1</v>
      </c>
      <c r="U1701" s="2" t="s">
        <v>79</v>
      </c>
      <c r="V1701" s="2">
        <v>1</v>
      </c>
      <c r="W1701" s="2" t="s">
        <v>80</v>
      </c>
      <c r="X1701" s="2">
        <v>3</v>
      </c>
      <c r="Y1701" s="2" t="s">
        <v>698</v>
      </c>
      <c r="Z1701" s="2">
        <v>22</v>
      </c>
      <c r="AA1701" s="2" t="s">
        <v>4417</v>
      </c>
      <c r="AB1701" s="2">
        <v>1</v>
      </c>
      <c r="AC1701" s="2" t="s">
        <v>178</v>
      </c>
      <c r="AD1701" s="3">
        <v>40293</v>
      </c>
      <c r="AE1701" s="4">
        <v>0.55555555555555558</v>
      </c>
      <c r="AF1701" s="3">
        <v>40293</v>
      </c>
      <c r="AG1701" s="4">
        <v>0.55555555555555558</v>
      </c>
      <c r="AH1701" s="2">
        <v>2</v>
      </c>
      <c r="AI1701" s="2" t="s">
        <v>84</v>
      </c>
      <c r="AJ1701" s="2">
        <v>6</v>
      </c>
      <c r="AK1701" s="2" t="s">
        <v>453</v>
      </c>
      <c r="AL1701" s="2">
        <v>15</v>
      </c>
      <c r="AM1701" s="2" t="s">
        <v>104</v>
      </c>
      <c r="AN1701" s="2"/>
      <c r="AO1701" s="2" t="s">
        <v>6093</v>
      </c>
      <c r="AP1701" s="2">
        <v>11</v>
      </c>
      <c r="AQ1701" s="2" t="s">
        <v>82</v>
      </c>
      <c r="AR1701" s="2"/>
      <c r="AS1701" s="2"/>
      <c r="AT1701" s="2" t="s">
        <v>6094</v>
      </c>
      <c r="AU1701" s="2"/>
      <c r="AV1701" s="2"/>
      <c r="AW1701" s="2"/>
      <c r="AX1701" s="2"/>
      <c r="AY1701" s="2">
        <v>42</v>
      </c>
      <c r="AZ1701" s="2" t="s">
        <v>182</v>
      </c>
      <c r="BA1701" s="2">
        <v>1</v>
      </c>
      <c r="BB1701" s="2" t="s">
        <v>107</v>
      </c>
      <c r="BC1701" s="2">
        <v>70</v>
      </c>
      <c r="BD1701" s="2" t="s">
        <v>236</v>
      </c>
      <c r="BE1701" s="2">
        <v>13</v>
      </c>
      <c r="BF1701" s="2" t="s">
        <v>108</v>
      </c>
      <c r="BG1701" s="2" t="s">
        <v>5713</v>
      </c>
      <c r="BH1701" s="2"/>
      <c r="BI1701" s="4">
        <v>0.88194444444444453</v>
      </c>
      <c r="BJ1701" s="2">
        <v>13</v>
      </c>
      <c r="BK1701" s="2" t="s">
        <v>91</v>
      </c>
      <c r="BL1701" s="2" t="s">
        <v>1685</v>
      </c>
      <c r="BM1701" s="2">
        <v>241</v>
      </c>
      <c r="BN1701" s="2" t="s">
        <v>82</v>
      </c>
      <c r="BO1701" s="2"/>
      <c r="BP1701" s="2">
        <v>73</v>
      </c>
      <c r="BQ1701" s="2" t="s">
        <v>186</v>
      </c>
      <c r="BR1701" s="2" t="s">
        <v>187</v>
      </c>
      <c r="BS1701" s="3">
        <v>40294</v>
      </c>
      <c r="BT1701" s="4">
        <v>0.53385416666666663</v>
      </c>
    </row>
    <row r="1702" spans="1:72" x14ac:dyDescent="0.25">
      <c r="A1702" s="2">
        <v>2472</v>
      </c>
      <c r="B1702" s="2">
        <v>2010</v>
      </c>
      <c r="C1702" s="2" t="s">
        <v>147</v>
      </c>
      <c r="D1702" s="2" t="s">
        <v>73</v>
      </c>
      <c r="E1702" s="2"/>
      <c r="F1702" s="2">
        <v>1</v>
      </c>
      <c r="G1702" s="2" t="s">
        <v>82</v>
      </c>
      <c r="H1702" s="2">
        <v>1</v>
      </c>
      <c r="I1702" s="2" t="s">
        <v>82</v>
      </c>
      <c r="J1702" s="2">
        <v>1</v>
      </c>
      <c r="K1702" s="2" t="s">
        <v>107</v>
      </c>
      <c r="L1702" s="2" t="s">
        <v>107</v>
      </c>
      <c r="M1702" s="3">
        <v>40294</v>
      </c>
      <c r="N1702" s="2"/>
      <c r="O1702" s="2"/>
      <c r="P1702" s="2"/>
      <c r="Q1702" s="2" t="str">
        <f>""</f>
        <v/>
      </c>
      <c r="R1702" s="2"/>
      <c r="S1702" s="2"/>
      <c r="T1702" s="2">
        <v>2</v>
      </c>
      <c r="U1702" s="2" t="s">
        <v>123</v>
      </c>
      <c r="V1702" s="2">
        <v>1</v>
      </c>
      <c r="W1702" s="2" t="s">
        <v>80</v>
      </c>
      <c r="X1702" s="2">
        <v>12</v>
      </c>
      <c r="Y1702" s="2" t="s">
        <v>148</v>
      </c>
      <c r="Z1702" s="2">
        <v>1</v>
      </c>
      <c r="AA1702" s="2" t="s">
        <v>82</v>
      </c>
      <c r="AB1702" s="2">
        <v>9</v>
      </c>
      <c r="AC1702" s="2" t="s">
        <v>124</v>
      </c>
      <c r="AD1702" s="2"/>
      <c r="AE1702" s="2"/>
      <c r="AF1702" s="3">
        <v>40294</v>
      </c>
      <c r="AG1702" s="4">
        <v>0.5</v>
      </c>
      <c r="AH1702" s="2">
        <v>3</v>
      </c>
      <c r="AI1702" s="2" t="s">
        <v>214</v>
      </c>
      <c r="AJ1702" s="2">
        <v>24</v>
      </c>
      <c r="AK1702" s="2" t="s">
        <v>215</v>
      </c>
      <c r="AL1702" s="2">
        <v>19</v>
      </c>
      <c r="AM1702" s="2" t="s">
        <v>107</v>
      </c>
      <c r="AN1702" s="2"/>
      <c r="AO1702" s="2"/>
      <c r="AP1702" s="2">
        <v>11</v>
      </c>
      <c r="AQ1702" s="2" t="s">
        <v>82</v>
      </c>
      <c r="AR1702" s="2"/>
      <c r="AS1702" s="2"/>
      <c r="AT1702" s="2" t="s">
        <v>6095</v>
      </c>
      <c r="AU1702" s="2"/>
      <c r="AV1702" s="2"/>
      <c r="AW1702" s="2"/>
      <c r="AX1702" s="2"/>
      <c r="AY1702" s="2">
        <v>41</v>
      </c>
      <c r="AZ1702" s="2" t="s">
        <v>82</v>
      </c>
      <c r="BA1702" s="2">
        <v>41</v>
      </c>
      <c r="BB1702" s="2" t="s">
        <v>82</v>
      </c>
      <c r="BC1702" s="2">
        <v>41</v>
      </c>
      <c r="BD1702" s="2" t="s">
        <v>82</v>
      </c>
      <c r="BE1702" s="2">
        <v>41</v>
      </c>
      <c r="BF1702" s="2" t="s">
        <v>82</v>
      </c>
      <c r="BG1702" s="2"/>
      <c r="BH1702" s="2"/>
      <c r="BI1702" s="2"/>
      <c r="BJ1702" s="2">
        <v>241</v>
      </c>
      <c r="BK1702" s="2" t="s">
        <v>82</v>
      </c>
      <c r="BL1702" s="2"/>
      <c r="BM1702" s="2">
        <v>241</v>
      </c>
      <c r="BN1702" s="2" t="s">
        <v>82</v>
      </c>
      <c r="BO1702" s="2"/>
      <c r="BP1702" s="2">
        <v>241</v>
      </c>
      <c r="BQ1702" s="2" t="s">
        <v>82</v>
      </c>
      <c r="BR1702" s="2"/>
      <c r="BS1702" s="3">
        <v>40294</v>
      </c>
      <c r="BT1702" s="4">
        <v>0.54458333333333331</v>
      </c>
    </row>
    <row r="1703" spans="1:72" x14ac:dyDescent="0.25">
      <c r="A1703" s="2">
        <v>2473</v>
      </c>
      <c r="B1703" s="2">
        <v>2010</v>
      </c>
      <c r="C1703" s="2" t="s">
        <v>147</v>
      </c>
      <c r="D1703" s="2" t="s">
        <v>73</v>
      </c>
      <c r="E1703" s="2"/>
      <c r="F1703" s="2">
        <v>1</v>
      </c>
      <c r="G1703" s="2" t="s">
        <v>82</v>
      </c>
      <c r="H1703" s="2">
        <v>1</v>
      </c>
      <c r="I1703" s="2" t="s">
        <v>82</v>
      </c>
      <c r="J1703" s="2">
        <v>1</v>
      </c>
      <c r="K1703" s="2" t="s">
        <v>107</v>
      </c>
      <c r="L1703" s="2" t="s">
        <v>107</v>
      </c>
      <c r="M1703" s="3">
        <v>40294</v>
      </c>
      <c r="N1703" s="2"/>
      <c r="O1703" s="2"/>
      <c r="P1703" s="2"/>
      <c r="Q1703" s="2" t="str">
        <f>""</f>
        <v/>
      </c>
      <c r="R1703" s="2"/>
      <c r="S1703" s="2"/>
      <c r="T1703" s="2">
        <v>2</v>
      </c>
      <c r="U1703" s="2" t="s">
        <v>123</v>
      </c>
      <c r="V1703" s="2">
        <v>1</v>
      </c>
      <c r="W1703" s="2" t="s">
        <v>80</v>
      </c>
      <c r="X1703" s="2">
        <v>12</v>
      </c>
      <c r="Y1703" s="2" t="s">
        <v>148</v>
      </c>
      <c r="Z1703" s="2">
        <v>1</v>
      </c>
      <c r="AA1703" s="2" t="s">
        <v>82</v>
      </c>
      <c r="AB1703" s="2">
        <v>9</v>
      </c>
      <c r="AC1703" s="2" t="s">
        <v>124</v>
      </c>
      <c r="AD1703" s="2"/>
      <c r="AE1703" s="2"/>
      <c r="AF1703" s="3">
        <v>40294</v>
      </c>
      <c r="AG1703" s="4">
        <v>0.50694444444444442</v>
      </c>
      <c r="AH1703" s="2">
        <v>3</v>
      </c>
      <c r="AI1703" s="2" t="s">
        <v>214</v>
      </c>
      <c r="AJ1703" s="2">
        <v>24</v>
      </c>
      <c r="AK1703" s="2" t="s">
        <v>215</v>
      </c>
      <c r="AL1703" s="2">
        <v>19</v>
      </c>
      <c r="AM1703" s="2" t="s">
        <v>107</v>
      </c>
      <c r="AN1703" s="2"/>
      <c r="AO1703" s="2"/>
      <c r="AP1703" s="2">
        <v>11</v>
      </c>
      <c r="AQ1703" s="2" t="s">
        <v>82</v>
      </c>
      <c r="AR1703" s="2"/>
      <c r="AS1703" s="2"/>
      <c r="AT1703" s="2" t="s">
        <v>6096</v>
      </c>
      <c r="AU1703" s="2"/>
      <c r="AV1703" s="2"/>
      <c r="AW1703" s="2"/>
      <c r="AX1703" s="2"/>
      <c r="AY1703" s="2">
        <v>41</v>
      </c>
      <c r="AZ1703" s="2" t="s">
        <v>82</v>
      </c>
      <c r="BA1703" s="2">
        <v>41</v>
      </c>
      <c r="BB1703" s="2" t="s">
        <v>82</v>
      </c>
      <c r="BC1703" s="2">
        <v>41</v>
      </c>
      <c r="BD1703" s="2" t="s">
        <v>82</v>
      </c>
      <c r="BE1703" s="2">
        <v>41</v>
      </c>
      <c r="BF1703" s="2" t="s">
        <v>82</v>
      </c>
      <c r="BG1703" s="2"/>
      <c r="BH1703" s="2"/>
      <c r="BI1703" s="2"/>
      <c r="BJ1703" s="2">
        <v>241</v>
      </c>
      <c r="BK1703" s="2" t="s">
        <v>82</v>
      </c>
      <c r="BL1703" s="2"/>
      <c r="BM1703" s="2">
        <v>241</v>
      </c>
      <c r="BN1703" s="2" t="s">
        <v>82</v>
      </c>
      <c r="BO1703" s="2"/>
      <c r="BP1703" s="2">
        <v>241</v>
      </c>
      <c r="BQ1703" s="2" t="s">
        <v>82</v>
      </c>
      <c r="BR1703" s="2"/>
      <c r="BS1703" s="3">
        <v>40294</v>
      </c>
      <c r="BT1703" s="4">
        <v>0.55206018518518518</v>
      </c>
    </row>
    <row r="1704" spans="1:72" x14ac:dyDescent="0.25">
      <c r="A1704" s="2">
        <v>2474</v>
      </c>
      <c r="B1704" s="2">
        <v>2010</v>
      </c>
      <c r="C1704" s="2" t="s">
        <v>72</v>
      </c>
      <c r="D1704" s="2" t="s">
        <v>73</v>
      </c>
      <c r="E1704" s="2"/>
      <c r="F1704" s="2">
        <v>24</v>
      </c>
      <c r="G1704" s="2" t="s">
        <v>532</v>
      </c>
      <c r="H1704" s="2">
        <v>1</v>
      </c>
      <c r="I1704" s="2" t="s">
        <v>82</v>
      </c>
      <c r="J1704" s="2">
        <v>300</v>
      </c>
      <c r="K1704" s="2" t="s">
        <v>114</v>
      </c>
      <c r="L1704" s="2" t="s">
        <v>115</v>
      </c>
      <c r="M1704" s="3">
        <v>40294</v>
      </c>
      <c r="N1704" s="2"/>
      <c r="O1704" s="2"/>
      <c r="P1704" s="2"/>
      <c r="Q1704" s="2" t="str">
        <f>"228-E/10"</f>
        <v>228-E/10</v>
      </c>
      <c r="R1704" s="2" t="s">
        <v>601</v>
      </c>
      <c r="S1704" s="2" t="s">
        <v>601</v>
      </c>
      <c r="T1704" s="2">
        <v>1</v>
      </c>
      <c r="U1704" s="2" t="s">
        <v>79</v>
      </c>
      <c r="V1704" s="2">
        <v>1</v>
      </c>
      <c r="W1704" s="2" t="s">
        <v>80</v>
      </c>
      <c r="X1704" s="2">
        <v>12</v>
      </c>
      <c r="Y1704" s="2" t="s">
        <v>148</v>
      </c>
      <c r="Z1704" s="2">
        <v>1</v>
      </c>
      <c r="AA1704" s="2" t="s">
        <v>82</v>
      </c>
      <c r="AB1704" s="2">
        <v>6</v>
      </c>
      <c r="AC1704" s="2" t="s">
        <v>83</v>
      </c>
      <c r="AD1704" s="3">
        <v>40292</v>
      </c>
      <c r="AE1704" s="2"/>
      <c r="AF1704" s="3">
        <v>40293</v>
      </c>
      <c r="AG1704" s="4">
        <v>0.59722222222222221</v>
      </c>
      <c r="AH1704" s="2">
        <v>2</v>
      </c>
      <c r="AI1704" s="2" t="s">
        <v>84</v>
      </c>
      <c r="AJ1704" s="2">
        <v>9</v>
      </c>
      <c r="AK1704" s="2" t="s">
        <v>103</v>
      </c>
      <c r="AL1704" s="2">
        <v>26</v>
      </c>
      <c r="AM1704" s="2" t="s">
        <v>6036</v>
      </c>
      <c r="AN1704" s="2"/>
      <c r="AO1704" s="2" t="s">
        <v>981</v>
      </c>
      <c r="AP1704" s="2">
        <v>11</v>
      </c>
      <c r="AQ1704" s="2" t="s">
        <v>82</v>
      </c>
      <c r="AR1704" s="2" t="s">
        <v>82</v>
      </c>
      <c r="AS1704" s="2" t="s">
        <v>82</v>
      </c>
      <c r="AT1704" s="2" t="s">
        <v>6097</v>
      </c>
      <c r="AU1704" s="2"/>
      <c r="AV1704" s="2"/>
      <c r="AW1704" s="2"/>
      <c r="AX1704" s="2"/>
      <c r="AY1704" s="2">
        <v>41</v>
      </c>
      <c r="AZ1704" s="2" t="s">
        <v>82</v>
      </c>
      <c r="BA1704" s="2">
        <v>41</v>
      </c>
      <c r="BB1704" s="2" t="s">
        <v>82</v>
      </c>
      <c r="BC1704" s="2">
        <v>41</v>
      </c>
      <c r="BD1704" s="2" t="s">
        <v>82</v>
      </c>
      <c r="BE1704" s="2">
        <v>26</v>
      </c>
      <c r="BF1704" s="2" t="s">
        <v>1999</v>
      </c>
      <c r="BG1704" s="2">
        <v>997</v>
      </c>
      <c r="BH1704" s="4">
        <v>0.31597222222222221</v>
      </c>
      <c r="BI1704" s="2"/>
      <c r="BJ1704" s="2">
        <v>75</v>
      </c>
      <c r="BK1704" s="2" t="s">
        <v>1264</v>
      </c>
      <c r="BL1704" s="2" t="s">
        <v>6098</v>
      </c>
      <c r="BM1704" s="2">
        <v>75</v>
      </c>
      <c r="BN1704" s="2" t="s">
        <v>1264</v>
      </c>
      <c r="BO1704" s="2" t="s">
        <v>2001</v>
      </c>
      <c r="BP1704" s="2">
        <v>13</v>
      </c>
      <c r="BQ1704" s="2" t="s">
        <v>91</v>
      </c>
      <c r="BR1704" s="2" t="s">
        <v>2592</v>
      </c>
      <c r="BS1704" s="3">
        <v>40294</v>
      </c>
      <c r="BT1704" s="4">
        <v>0.55322916666666666</v>
      </c>
    </row>
    <row r="1705" spans="1:72" x14ac:dyDescent="0.25">
      <c r="A1705" s="2">
        <v>2475</v>
      </c>
      <c r="B1705" s="2">
        <v>2010</v>
      </c>
      <c r="C1705" s="2" t="s">
        <v>819</v>
      </c>
      <c r="D1705" s="2" t="s">
        <v>122</v>
      </c>
      <c r="E1705" s="2" t="s">
        <v>6099</v>
      </c>
      <c r="F1705" s="2">
        <v>425</v>
      </c>
      <c r="G1705" s="2" t="s">
        <v>286</v>
      </c>
      <c r="H1705" s="2">
        <v>39</v>
      </c>
      <c r="I1705" s="2" t="s">
        <v>1117</v>
      </c>
      <c r="J1705" s="2">
        <v>310</v>
      </c>
      <c r="K1705" s="2" t="s">
        <v>288</v>
      </c>
      <c r="L1705" s="2" t="s">
        <v>289</v>
      </c>
      <c r="M1705" s="3">
        <v>40294</v>
      </c>
      <c r="N1705" s="2" t="s">
        <v>2049</v>
      </c>
      <c r="O1705" s="2" t="s">
        <v>5454</v>
      </c>
      <c r="P1705" s="2" t="s">
        <v>5454</v>
      </c>
      <c r="Q1705" s="2" t="str">
        <f>"045/10"</f>
        <v>045/10</v>
      </c>
      <c r="R1705" s="2" t="s">
        <v>5454</v>
      </c>
      <c r="S1705" s="2" t="s">
        <v>822</v>
      </c>
      <c r="T1705" s="2">
        <v>1</v>
      </c>
      <c r="U1705" s="2" t="s">
        <v>79</v>
      </c>
      <c r="V1705" s="2">
        <v>1</v>
      </c>
      <c r="W1705" s="2" t="s">
        <v>80</v>
      </c>
      <c r="X1705" s="2">
        <v>1</v>
      </c>
      <c r="Y1705" s="2" t="s">
        <v>81</v>
      </c>
      <c r="Z1705" s="2">
        <v>10</v>
      </c>
      <c r="AA1705" s="2" t="s">
        <v>236</v>
      </c>
      <c r="AB1705" s="2">
        <v>9</v>
      </c>
      <c r="AC1705" s="2" t="s">
        <v>124</v>
      </c>
      <c r="AD1705" s="3">
        <v>40294</v>
      </c>
      <c r="AE1705" s="4">
        <v>0.4513888888888889</v>
      </c>
      <c r="AF1705" s="2"/>
      <c r="AG1705" s="2"/>
      <c r="AH1705" s="2">
        <v>4</v>
      </c>
      <c r="AI1705" s="2" t="s">
        <v>125</v>
      </c>
      <c r="AJ1705" s="2">
        <v>29</v>
      </c>
      <c r="AK1705" s="2" t="s">
        <v>227</v>
      </c>
      <c r="AL1705" s="2">
        <v>16</v>
      </c>
      <c r="AM1705" s="2" t="s">
        <v>392</v>
      </c>
      <c r="AN1705" s="2" t="s">
        <v>6100</v>
      </c>
      <c r="AO1705" s="2" t="s">
        <v>5383</v>
      </c>
      <c r="AP1705" s="2">
        <v>12</v>
      </c>
      <c r="AQ1705" s="2" t="s">
        <v>322</v>
      </c>
      <c r="AR1705" s="2" t="s">
        <v>824</v>
      </c>
      <c r="AS1705" s="2" t="s">
        <v>825</v>
      </c>
      <c r="AT1705" s="2" t="s">
        <v>6101</v>
      </c>
      <c r="AU1705" s="2"/>
      <c r="AV1705" s="2"/>
      <c r="AW1705" s="2"/>
      <c r="AX1705" s="2"/>
      <c r="AY1705" s="2">
        <v>41</v>
      </c>
      <c r="AZ1705" s="2" t="s">
        <v>82</v>
      </c>
      <c r="BA1705" s="2">
        <v>41</v>
      </c>
      <c r="BB1705" s="2" t="s">
        <v>82</v>
      </c>
      <c r="BC1705" s="2">
        <v>51</v>
      </c>
      <c r="BD1705" s="2" t="s">
        <v>827</v>
      </c>
      <c r="BE1705" s="2">
        <v>47</v>
      </c>
      <c r="BF1705" s="2" t="s">
        <v>167</v>
      </c>
      <c r="BG1705" s="2">
        <v>2459</v>
      </c>
      <c r="BH1705" s="4">
        <v>0.90277777777777779</v>
      </c>
      <c r="BI1705" s="4">
        <v>0.92361111111111116</v>
      </c>
      <c r="BJ1705" s="2">
        <v>13</v>
      </c>
      <c r="BK1705" s="2" t="s">
        <v>91</v>
      </c>
      <c r="BL1705" s="2" t="s">
        <v>828</v>
      </c>
      <c r="BM1705" s="2">
        <v>241</v>
      </c>
      <c r="BN1705" s="2" t="s">
        <v>82</v>
      </c>
      <c r="BO1705" s="2" t="s">
        <v>82</v>
      </c>
      <c r="BP1705" s="2">
        <v>13</v>
      </c>
      <c r="BQ1705" s="2" t="s">
        <v>91</v>
      </c>
      <c r="BR1705" s="2" t="s">
        <v>1108</v>
      </c>
      <c r="BS1705" s="3">
        <v>40294</v>
      </c>
      <c r="BT1705" s="4">
        <v>0.55909722222222225</v>
      </c>
    </row>
    <row r="1706" spans="1:72" x14ac:dyDescent="0.25">
      <c r="A1706" s="2">
        <v>2476</v>
      </c>
      <c r="B1706" s="2">
        <v>2010</v>
      </c>
      <c r="C1706" s="2" t="s">
        <v>72</v>
      </c>
      <c r="D1706" s="2" t="s">
        <v>122</v>
      </c>
      <c r="E1706" s="2" t="s">
        <v>6102</v>
      </c>
      <c r="F1706" s="2">
        <v>164</v>
      </c>
      <c r="G1706" s="2" t="s">
        <v>4963</v>
      </c>
      <c r="H1706" s="2">
        <v>95</v>
      </c>
      <c r="I1706" s="2" t="s">
        <v>5737</v>
      </c>
      <c r="J1706" s="2">
        <v>174</v>
      </c>
      <c r="K1706" s="2" t="s">
        <v>4965</v>
      </c>
      <c r="L1706" s="2" t="s">
        <v>2631</v>
      </c>
      <c r="M1706" s="3">
        <v>40294</v>
      </c>
      <c r="N1706" s="2" t="s">
        <v>6103</v>
      </c>
      <c r="O1706" s="2"/>
      <c r="P1706" s="2"/>
      <c r="Q1706" s="2" t="str">
        <f>"162-A/10"</f>
        <v>162-A/10</v>
      </c>
      <c r="R1706" s="2" t="s">
        <v>116</v>
      </c>
      <c r="S1706" s="2"/>
      <c r="T1706" s="2">
        <v>1</v>
      </c>
      <c r="U1706" s="2" t="s">
        <v>79</v>
      </c>
      <c r="V1706" s="2">
        <v>1</v>
      </c>
      <c r="W1706" s="2" t="s">
        <v>80</v>
      </c>
      <c r="X1706" s="2">
        <v>1</v>
      </c>
      <c r="Y1706" s="2" t="s">
        <v>81</v>
      </c>
      <c r="Z1706" s="2">
        <v>1</v>
      </c>
      <c r="AA1706" s="2" t="s">
        <v>82</v>
      </c>
      <c r="AB1706" s="2">
        <v>6</v>
      </c>
      <c r="AC1706" s="2" t="s">
        <v>83</v>
      </c>
      <c r="AD1706" s="3">
        <v>40294</v>
      </c>
      <c r="AE1706" s="4">
        <v>0.57638888888888895</v>
      </c>
      <c r="AF1706" s="2"/>
      <c r="AG1706" s="2"/>
      <c r="AH1706" s="2">
        <v>2</v>
      </c>
      <c r="AI1706" s="2" t="s">
        <v>84</v>
      </c>
      <c r="AJ1706" s="2">
        <v>12</v>
      </c>
      <c r="AK1706" s="2" t="s">
        <v>85</v>
      </c>
      <c r="AL1706" s="2">
        <v>21</v>
      </c>
      <c r="AM1706" s="2" t="s">
        <v>1311</v>
      </c>
      <c r="AN1706" s="2" t="s">
        <v>1807</v>
      </c>
      <c r="AO1706" s="2" t="s">
        <v>1971</v>
      </c>
      <c r="AP1706" s="2">
        <v>11</v>
      </c>
      <c r="AQ1706" s="2" t="s">
        <v>82</v>
      </c>
      <c r="AR1706" s="2"/>
      <c r="AS1706" s="2"/>
      <c r="AT1706" s="2" t="s">
        <v>6104</v>
      </c>
      <c r="AU1706" s="2">
        <v>1</v>
      </c>
      <c r="AV1706" s="2"/>
      <c r="AW1706" s="2"/>
      <c r="AX1706" s="2"/>
      <c r="AY1706" s="2">
        <v>41</v>
      </c>
      <c r="AZ1706" s="2" t="s">
        <v>82</v>
      </c>
      <c r="BA1706" s="2">
        <v>41</v>
      </c>
      <c r="BB1706" s="2" t="s">
        <v>82</v>
      </c>
      <c r="BC1706" s="2">
        <v>41</v>
      </c>
      <c r="BD1706" s="2" t="s">
        <v>82</v>
      </c>
      <c r="BE1706" s="2">
        <v>41</v>
      </c>
      <c r="BF1706" s="2" t="s">
        <v>82</v>
      </c>
      <c r="BG1706" s="2"/>
      <c r="BH1706" s="2"/>
      <c r="BI1706" s="2"/>
      <c r="BJ1706" s="2">
        <v>241</v>
      </c>
      <c r="BK1706" s="2" t="s">
        <v>82</v>
      </c>
      <c r="BL1706" s="2"/>
      <c r="BM1706" s="2">
        <v>241</v>
      </c>
      <c r="BN1706" s="2" t="s">
        <v>82</v>
      </c>
      <c r="BO1706" s="2"/>
      <c r="BP1706" s="2">
        <v>241</v>
      </c>
      <c r="BQ1706" s="2" t="s">
        <v>82</v>
      </c>
      <c r="BR1706" s="2"/>
      <c r="BS1706" s="3">
        <v>40294</v>
      </c>
      <c r="BT1706" s="4">
        <v>0.57546296296296295</v>
      </c>
    </row>
    <row r="1707" spans="1:72" x14ac:dyDescent="0.25">
      <c r="A1707" s="2">
        <v>2477</v>
      </c>
      <c r="B1707" s="2">
        <v>2010</v>
      </c>
      <c r="C1707" s="2" t="s">
        <v>147</v>
      </c>
      <c r="D1707" s="2" t="s">
        <v>73</v>
      </c>
      <c r="E1707" s="2"/>
      <c r="F1707" s="2">
        <v>1</v>
      </c>
      <c r="G1707" s="2" t="s">
        <v>82</v>
      </c>
      <c r="H1707" s="2">
        <v>1</v>
      </c>
      <c r="I1707" s="2" t="s">
        <v>82</v>
      </c>
      <c r="J1707" s="2">
        <v>1</v>
      </c>
      <c r="K1707" s="2" t="s">
        <v>107</v>
      </c>
      <c r="L1707" s="2" t="s">
        <v>107</v>
      </c>
      <c r="M1707" s="3">
        <v>40294</v>
      </c>
      <c r="N1707" s="2"/>
      <c r="O1707" s="2"/>
      <c r="P1707" s="2"/>
      <c r="Q1707" s="2" t="str">
        <f>""</f>
        <v/>
      </c>
      <c r="R1707" s="2"/>
      <c r="S1707" s="2"/>
      <c r="T1707" s="2">
        <v>2</v>
      </c>
      <c r="U1707" s="2" t="s">
        <v>123</v>
      </c>
      <c r="V1707" s="2">
        <v>1</v>
      </c>
      <c r="W1707" s="2" t="s">
        <v>80</v>
      </c>
      <c r="X1707" s="2">
        <v>12</v>
      </c>
      <c r="Y1707" s="2" t="s">
        <v>148</v>
      </c>
      <c r="Z1707" s="2">
        <v>1</v>
      </c>
      <c r="AA1707" s="2" t="s">
        <v>82</v>
      </c>
      <c r="AB1707" s="2">
        <v>9</v>
      </c>
      <c r="AC1707" s="2" t="s">
        <v>124</v>
      </c>
      <c r="AD1707" s="2"/>
      <c r="AE1707" s="2"/>
      <c r="AF1707" s="3">
        <v>40294</v>
      </c>
      <c r="AG1707" s="4">
        <v>0.45833333333333331</v>
      </c>
      <c r="AH1707" s="2">
        <v>2</v>
      </c>
      <c r="AI1707" s="2" t="s">
        <v>84</v>
      </c>
      <c r="AJ1707" s="2">
        <v>11</v>
      </c>
      <c r="AK1707" s="2" t="s">
        <v>751</v>
      </c>
      <c r="AL1707" s="2">
        <v>19</v>
      </c>
      <c r="AM1707" s="2" t="s">
        <v>107</v>
      </c>
      <c r="AN1707" s="2"/>
      <c r="AO1707" s="2" t="s">
        <v>6105</v>
      </c>
      <c r="AP1707" s="2">
        <v>11</v>
      </c>
      <c r="AQ1707" s="2" t="s">
        <v>82</v>
      </c>
      <c r="AR1707" s="2"/>
      <c r="AS1707" s="2"/>
      <c r="AT1707" s="2" t="s">
        <v>6106</v>
      </c>
      <c r="AU1707" s="2"/>
      <c r="AV1707" s="2"/>
      <c r="AW1707" s="2"/>
      <c r="AX1707" s="2"/>
      <c r="AY1707" s="2">
        <v>1</v>
      </c>
      <c r="AZ1707" s="2" t="s">
        <v>107</v>
      </c>
      <c r="BA1707" s="2">
        <v>113</v>
      </c>
      <c r="BB1707" s="2" t="s">
        <v>6107</v>
      </c>
      <c r="BC1707" s="2">
        <v>1</v>
      </c>
      <c r="BD1707" s="2" t="s">
        <v>107</v>
      </c>
      <c r="BE1707" s="2">
        <v>1</v>
      </c>
      <c r="BF1707" s="2" t="s">
        <v>107</v>
      </c>
      <c r="BG1707" s="2"/>
      <c r="BH1707" s="2"/>
      <c r="BI1707" s="2"/>
      <c r="BJ1707" s="2">
        <v>242</v>
      </c>
      <c r="BK1707" s="2" t="s">
        <v>107</v>
      </c>
      <c r="BL1707" s="2"/>
      <c r="BM1707" s="2">
        <v>242</v>
      </c>
      <c r="BN1707" s="2" t="s">
        <v>107</v>
      </c>
      <c r="BO1707" s="2"/>
      <c r="BP1707" s="2">
        <v>242</v>
      </c>
      <c r="BQ1707" s="2" t="s">
        <v>107</v>
      </c>
      <c r="BR1707" s="2"/>
      <c r="BS1707" s="3">
        <v>40294</v>
      </c>
      <c r="BT1707" s="4">
        <v>0.58653935185185191</v>
      </c>
    </row>
    <row r="1708" spans="1:72" x14ac:dyDescent="0.25">
      <c r="A1708" s="2">
        <v>2479</v>
      </c>
      <c r="B1708" s="2">
        <v>2010</v>
      </c>
      <c r="C1708" s="2" t="s">
        <v>121</v>
      </c>
      <c r="D1708" s="2" t="s">
        <v>122</v>
      </c>
      <c r="E1708" s="2"/>
      <c r="F1708" s="2">
        <v>1</v>
      </c>
      <c r="G1708" s="2" t="s">
        <v>82</v>
      </c>
      <c r="H1708" s="2">
        <v>1</v>
      </c>
      <c r="I1708" s="2" t="s">
        <v>82</v>
      </c>
      <c r="J1708" s="2">
        <v>1</v>
      </c>
      <c r="K1708" s="2" t="s">
        <v>107</v>
      </c>
      <c r="L1708" s="2" t="s">
        <v>107</v>
      </c>
      <c r="M1708" s="3">
        <v>40294</v>
      </c>
      <c r="N1708" s="2"/>
      <c r="O1708" s="2"/>
      <c r="P1708" s="2"/>
      <c r="Q1708" s="2" t="str">
        <f>""</f>
        <v/>
      </c>
      <c r="R1708" s="2"/>
      <c r="S1708" s="2"/>
      <c r="T1708" s="2">
        <v>2</v>
      </c>
      <c r="U1708" s="2" t="s">
        <v>123</v>
      </c>
      <c r="V1708" s="2">
        <v>1</v>
      </c>
      <c r="W1708" s="2" t="s">
        <v>80</v>
      </c>
      <c r="X1708" s="2">
        <v>5</v>
      </c>
      <c r="Y1708" s="2" t="s">
        <v>82</v>
      </c>
      <c r="Z1708" s="2">
        <v>1</v>
      </c>
      <c r="AA1708" s="2" t="s">
        <v>82</v>
      </c>
      <c r="AB1708" s="2">
        <v>9</v>
      </c>
      <c r="AC1708" s="2" t="s">
        <v>124</v>
      </c>
      <c r="AD1708" s="3">
        <v>40294</v>
      </c>
      <c r="AE1708" s="4">
        <v>0.58333333333333337</v>
      </c>
      <c r="AF1708" s="2"/>
      <c r="AG1708" s="2"/>
      <c r="AH1708" s="2">
        <v>5</v>
      </c>
      <c r="AI1708" s="2" t="s">
        <v>274</v>
      </c>
      <c r="AJ1708" s="2">
        <v>43</v>
      </c>
      <c r="AK1708" s="2" t="s">
        <v>918</v>
      </c>
      <c r="AL1708" s="2">
        <v>10</v>
      </c>
      <c r="AM1708" s="2" t="s">
        <v>200</v>
      </c>
      <c r="AN1708" s="2"/>
      <c r="AO1708" s="2"/>
      <c r="AP1708" s="2">
        <v>11</v>
      </c>
      <c r="AQ1708" s="2" t="s">
        <v>82</v>
      </c>
      <c r="AR1708" s="2"/>
      <c r="AS1708" s="2"/>
      <c r="AT1708" s="2" t="s">
        <v>6108</v>
      </c>
      <c r="AU1708" s="2"/>
      <c r="AV1708" s="2"/>
      <c r="AW1708" s="2"/>
      <c r="AX1708" s="2"/>
      <c r="AY1708" s="2">
        <v>1</v>
      </c>
      <c r="AZ1708" s="2" t="s">
        <v>107</v>
      </c>
      <c r="BA1708" s="2">
        <v>1</v>
      </c>
      <c r="BB1708" s="2" t="s">
        <v>107</v>
      </c>
      <c r="BC1708" s="2">
        <v>1</v>
      </c>
      <c r="BD1708" s="2" t="s">
        <v>107</v>
      </c>
      <c r="BE1708" s="2">
        <v>42</v>
      </c>
      <c r="BF1708" s="2" t="s">
        <v>182</v>
      </c>
      <c r="BG1708" s="2"/>
      <c r="BH1708" s="4">
        <v>0.58333333333333337</v>
      </c>
      <c r="BI1708" s="4">
        <v>0.61458333333333337</v>
      </c>
      <c r="BJ1708" s="2">
        <v>13</v>
      </c>
      <c r="BK1708" s="2" t="s">
        <v>91</v>
      </c>
      <c r="BL1708" s="2" t="s">
        <v>6109</v>
      </c>
      <c r="BM1708" s="2">
        <v>242</v>
      </c>
      <c r="BN1708" s="2" t="s">
        <v>107</v>
      </c>
      <c r="BO1708" s="2"/>
      <c r="BP1708" s="2">
        <v>13</v>
      </c>
      <c r="BQ1708" s="2" t="s">
        <v>91</v>
      </c>
      <c r="BR1708" s="2" t="s">
        <v>3387</v>
      </c>
      <c r="BS1708" s="3">
        <v>40294</v>
      </c>
      <c r="BT1708" s="4">
        <v>0.64048611111111109</v>
      </c>
    </row>
    <row r="1709" spans="1:72" x14ac:dyDescent="0.25">
      <c r="A1709" s="2">
        <v>2480</v>
      </c>
      <c r="B1709" s="2">
        <v>2010</v>
      </c>
      <c r="C1709" s="2" t="s">
        <v>171</v>
      </c>
      <c r="D1709" s="2" t="s">
        <v>73</v>
      </c>
      <c r="E1709" s="2"/>
      <c r="F1709" s="2">
        <v>396</v>
      </c>
      <c r="G1709" s="2" t="s">
        <v>2159</v>
      </c>
      <c r="H1709" s="2">
        <v>8</v>
      </c>
      <c r="I1709" s="2" t="s">
        <v>3451</v>
      </c>
      <c r="J1709" s="2">
        <v>243</v>
      </c>
      <c r="K1709" s="2" t="s">
        <v>2160</v>
      </c>
      <c r="L1709" s="2" t="s">
        <v>2145</v>
      </c>
      <c r="M1709" s="3">
        <v>40294</v>
      </c>
      <c r="N1709" s="2" t="s">
        <v>6110</v>
      </c>
      <c r="O1709" s="2" t="s">
        <v>107</v>
      </c>
      <c r="P1709" s="2" t="s">
        <v>107</v>
      </c>
      <c r="Q1709" s="2" t="str">
        <f>"229-E/10"</f>
        <v>229-E/10</v>
      </c>
      <c r="R1709" s="2" t="s">
        <v>6111</v>
      </c>
      <c r="S1709" s="2" t="s">
        <v>6111</v>
      </c>
      <c r="T1709" s="2">
        <v>1</v>
      </c>
      <c r="U1709" s="2" t="s">
        <v>79</v>
      </c>
      <c r="V1709" s="2">
        <v>1</v>
      </c>
      <c r="W1709" s="2" t="s">
        <v>80</v>
      </c>
      <c r="X1709" s="2">
        <v>1</v>
      </c>
      <c r="Y1709" s="2" t="s">
        <v>81</v>
      </c>
      <c r="Z1709" s="2">
        <v>1</v>
      </c>
      <c r="AA1709" s="2" t="s">
        <v>82</v>
      </c>
      <c r="AB1709" s="2">
        <v>1</v>
      </c>
      <c r="AC1709" s="2" t="s">
        <v>178</v>
      </c>
      <c r="AD1709" s="3">
        <v>40293</v>
      </c>
      <c r="AE1709" s="4">
        <v>0.875</v>
      </c>
      <c r="AF1709" s="2"/>
      <c r="AG1709" s="2"/>
      <c r="AH1709" s="2">
        <v>2</v>
      </c>
      <c r="AI1709" s="2" t="s">
        <v>84</v>
      </c>
      <c r="AJ1709" s="2">
        <v>9</v>
      </c>
      <c r="AK1709" s="2" t="s">
        <v>103</v>
      </c>
      <c r="AL1709" s="2">
        <v>14</v>
      </c>
      <c r="AM1709" s="2" t="s">
        <v>216</v>
      </c>
      <c r="AN1709" s="2" t="s">
        <v>105</v>
      </c>
      <c r="AO1709" s="2" t="s">
        <v>6112</v>
      </c>
      <c r="AP1709" s="2">
        <v>11</v>
      </c>
      <c r="AQ1709" s="2" t="s">
        <v>82</v>
      </c>
      <c r="AR1709" s="2" t="s">
        <v>82</v>
      </c>
      <c r="AS1709" s="2" t="s">
        <v>82</v>
      </c>
      <c r="AT1709" s="2" t="s">
        <v>6113</v>
      </c>
      <c r="AU1709" s="2"/>
      <c r="AV1709" s="2">
        <v>2</v>
      </c>
      <c r="AW1709" s="2"/>
      <c r="AX1709" s="2"/>
      <c r="AY1709" s="2">
        <v>42</v>
      </c>
      <c r="AZ1709" s="2" t="s">
        <v>182</v>
      </c>
      <c r="BA1709" s="2">
        <v>41</v>
      </c>
      <c r="BB1709" s="2" t="s">
        <v>82</v>
      </c>
      <c r="BC1709" s="2">
        <v>41</v>
      </c>
      <c r="BD1709" s="2" t="s">
        <v>82</v>
      </c>
      <c r="BE1709" s="2">
        <v>31</v>
      </c>
      <c r="BF1709" s="2" t="s">
        <v>398</v>
      </c>
      <c r="BG1709" s="2" t="s">
        <v>722</v>
      </c>
      <c r="BH1709" s="2"/>
      <c r="BI1709" s="4">
        <v>0.89930555555555547</v>
      </c>
      <c r="BJ1709" s="2">
        <v>13</v>
      </c>
      <c r="BK1709" s="2" t="s">
        <v>91</v>
      </c>
      <c r="BL1709" s="2" t="s">
        <v>2592</v>
      </c>
      <c r="BM1709" s="2">
        <v>73</v>
      </c>
      <c r="BN1709" s="2" t="s">
        <v>186</v>
      </c>
      <c r="BO1709" s="2" t="s">
        <v>187</v>
      </c>
      <c r="BP1709" s="2">
        <v>73</v>
      </c>
      <c r="BQ1709" s="2" t="s">
        <v>186</v>
      </c>
      <c r="BR1709" s="2" t="s">
        <v>675</v>
      </c>
      <c r="BS1709" s="3">
        <v>40294</v>
      </c>
      <c r="BT1709" s="4">
        <v>0.64954861111111117</v>
      </c>
    </row>
    <row r="1710" spans="1:72" x14ac:dyDescent="0.25">
      <c r="A1710" s="2">
        <v>2481</v>
      </c>
      <c r="B1710" s="2">
        <v>2010</v>
      </c>
      <c r="C1710" s="2" t="s">
        <v>171</v>
      </c>
      <c r="D1710" s="2" t="s">
        <v>73</v>
      </c>
      <c r="E1710" s="2" t="s">
        <v>6114</v>
      </c>
      <c r="F1710" s="2">
        <v>451</v>
      </c>
      <c r="G1710" s="2" t="s">
        <v>879</v>
      </c>
      <c r="H1710" s="2">
        <v>31</v>
      </c>
      <c r="I1710" s="2" t="s">
        <v>880</v>
      </c>
      <c r="J1710" s="2">
        <v>326</v>
      </c>
      <c r="K1710" s="2" t="s">
        <v>881</v>
      </c>
      <c r="L1710" s="2" t="s">
        <v>882</v>
      </c>
      <c r="M1710" s="3">
        <v>40294</v>
      </c>
      <c r="N1710" s="2" t="s">
        <v>1072</v>
      </c>
      <c r="O1710" s="2" t="s">
        <v>6115</v>
      </c>
      <c r="P1710" s="2" t="s">
        <v>6116</v>
      </c>
      <c r="Q1710" s="2" t="str">
        <f>"033/10"</f>
        <v>033/10</v>
      </c>
      <c r="R1710" s="2"/>
      <c r="S1710" s="2" t="s">
        <v>822</v>
      </c>
      <c r="T1710" s="2">
        <v>1</v>
      </c>
      <c r="U1710" s="2" t="s">
        <v>79</v>
      </c>
      <c r="V1710" s="2">
        <v>1</v>
      </c>
      <c r="W1710" s="2" t="s">
        <v>80</v>
      </c>
      <c r="X1710" s="2">
        <v>1</v>
      </c>
      <c r="Y1710" s="2" t="s">
        <v>81</v>
      </c>
      <c r="Z1710" s="2">
        <v>10</v>
      </c>
      <c r="AA1710" s="2" t="s">
        <v>236</v>
      </c>
      <c r="AB1710" s="2">
        <v>1</v>
      </c>
      <c r="AC1710" s="2" t="s">
        <v>178</v>
      </c>
      <c r="AD1710" s="3">
        <v>40294</v>
      </c>
      <c r="AE1710" s="4">
        <v>0.64930555555555558</v>
      </c>
      <c r="AF1710" s="2"/>
      <c r="AG1710" s="2"/>
      <c r="AH1710" s="2">
        <v>4</v>
      </c>
      <c r="AI1710" s="2" t="s">
        <v>125</v>
      </c>
      <c r="AJ1710" s="2">
        <v>29</v>
      </c>
      <c r="AK1710" s="2" t="s">
        <v>227</v>
      </c>
      <c r="AL1710" s="2">
        <v>16</v>
      </c>
      <c r="AM1710" s="2" t="s">
        <v>392</v>
      </c>
      <c r="AN1710" s="2" t="s">
        <v>5930</v>
      </c>
      <c r="AO1710" s="2"/>
      <c r="AP1710" s="2">
        <v>12</v>
      </c>
      <c r="AQ1710" s="2" t="s">
        <v>322</v>
      </c>
      <c r="AR1710" s="2" t="s">
        <v>824</v>
      </c>
      <c r="AS1710" s="2" t="s">
        <v>825</v>
      </c>
      <c r="AT1710" s="2" t="s">
        <v>6117</v>
      </c>
      <c r="AU1710" s="2"/>
      <c r="AV1710" s="2"/>
      <c r="AW1710" s="2"/>
      <c r="AX1710" s="2"/>
      <c r="AY1710" s="2">
        <v>41</v>
      </c>
      <c r="AZ1710" s="2" t="s">
        <v>82</v>
      </c>
      <c r="BA1710" s="2">
        <v>41</v>
      </c>
      <c r="BB1710" s="2" t="s">
        <v>82</v>
      </c>
      <c r="BC1710" s="2">
        <v>51</v>
      </c>
      <c r="BD1710" s="2" t="s">
        <v>827</v>
      </c>
      <c r="BE1710" s="2">
        <v>47</v>
      </c>
      <c r="BF1710" s="2" t="s">
        <v>167</v>
      </c>
      <c r="BG1710" s="2">
        <v>2459</v>
      </c>
      <c r="BH1710" s="4">
        <v>0.88888888888888884</v>
      </c>
      <c r="BI1710" s="4">
        <v>0.92361111111111116</v>
      </c>
      <c r="BJ1710" s="2">
        <v>13</v>
      </c>
      <c r="BK1710" s="2" t="s">
        <v>91</v>
      </c>
      <c r="BL1710" s="2" t="s">
        <v>828</v>
      </c>
      <c r="BM1710" s="2">
        <v>241</v>
      </c>
      <c r="BN1710" s="2" t="s">
        <v>82</v>
      </c>
      <c r="BO1710" s="2" t="s">
        <v>82</v>
      </c>
      <c r="BP1710" s="2">
        <v>13</v>
      </c>
      <c r="BQ1710" s="2" t="s">
        <v>91</v>
      </c>
      <c r="BR1710" s="2" t="s">
        <v>185</v>
      </c>
      <c r="BS1710" s="3">
        <v>40294</v>
      </c>
      <c r="BT1710" s="4">
        <v>0.6567708333333333</v>
      </c>
    </row>
    <row r="1711" spans="1:72" x14ac:dyDescent="0.25">
      <c r="A1711" s="2">
        <v>2483</v>
      </c>
      <c r="B1711" s="2">
        <v>2010</v>
      </c>
      <c r="C1711" s="2" t="s">
        <v>72</v>
      </c>
      <c r="D1711" s="2" t="s">
        <v>122</v>
      </c>
      <c r="E1711" s="2" t="s">
        <v>6118</v>
      </c>
      <c r="F1711" s="2">
        <v>164</v>
      </c>
      <c r="G1711" s="2" t="s">
        <v>4963</v>
      </c>
      <c r="H1711" s="2">
        <v>95</v>
      </c>
      <c r="I1711" s="2" t="s">
        <v>5737</v>
      </c>
      <c r="J1711" s="2">
        <v>174</v>
      </c>
      <c r="K1711" s="2" t="s">
        <v>4965</v>
      </c>
      <c r="L1711" s="2" t="s">
        <v>2631</v>
      </c>
      <c r="M1711" s="3">
        <v>40294</v>
      </c>
      <c r="N1711" s="2" t="s">
        <v>6103</v>
      </c>
      <c r="O1711" s="2"/>
      <c r="P1711" s="2"/>
      <c r="Q1711" s="2" t="str">
        <f>"162-A/10"</f>
        <v>162-A/10</v>
      </c>
      <c r="R1711" s="2"/>
      <c r="S1711" s="2" t="s">
        <v>116</v>
      </c>
      <c r="T1711" s="2">
        <v>1</v>
      </c>
      <c r="U1711" s="2" t="s">
        <v>79</v>
      </c>
      <c r="V1711" s="2">
        <v>1</v>
      </c>
      <c r="W1711" s="2" t="s">
        <v>80</v>
      </c>
      <c r="X1711" s="2">
        <v>1</v>
      </c>
      <c r="Y1711" s="2" t="s">
        <v>81</v>
      </c>
      <c r="Z1711" s="2">
        <v>1</v>
      </c>
      <c r="AA1711" s="2" t="s">
        <v>82</v>
      </c>
      <c r="AB1711" s="2">
        <v>6</v>
      </c>
      <c r="AC1711" s="2" t="s">
        <v>83</v>
      </c>
      <c r="AD1711" s="3">
        <v>40294</v>
      </c>
      <c r="AE1711" s="4">
        <v>0.57638888888888895</v>
      </c>
      <c r="AF1711" s="2"/>
      <c r="AG1711" s="2"/>
      <c r="AH1711" s="2">
        <v>2</v>
      </c>
      <c r="AI1711" s="2" t="s">
        <v>84</v>
      </c>
      <c r="AJ1711" s="2">
        <v>12</v>
      </c>
      <c r="AK1711" s="2" t="s">
        <v>85</v>
      </c>
      <c r="AL1711" s="2">
        <v>21</v>
      </c>
      <c r="AM1711" s="2" t="s">
        <v>1311</v>
      </c>
      <c r="AN1711" s="2" t="s">
        <v>1807</v>
      </c>
      <c r="AO1711" s="2" t="s">
        <v>1971</v>
      </c>
      <c r="AP1711" s="2">
        <v>11</v>
      </c>
      <c r="AQ1711" s="2" t="s">
        <v>82</v>
      </c>
      <c r="AR1711" s="2"/>
      <c r="AS1711" s="2"/>
      <c r="AT1711" s="2" t="s">
        <v>6119</v>
      </c>
      <c r="AU1711" s="2">
        <v>1</v>
      </c>
      <c r="AV1711" s="2"/>
      <c r="AW1711" s="2"/>
      <c r="AX1711" s="2"/>
      <c r="AY1711" s="2">
        <v>41</v>
      </c>
      <c r="AZ1711" s="2" t="s">
        <v>82</v>
      </c>
      <c r="BA1711" s="2">
        <v>41</v>
      </c>
      <c r="BB1711" s="2" t="s">
        <v>82</v>
      </c>
      <c r="BC1711" s="2">
        <v>41</v>
      </c>
      <c r="BD1711" s="2" t="s">
        <v>82</v>
      </c>
      <c r="BE1711" s="2">
        <v>41</v>
      </c>
      <c r="BF1711" s="2" t="s">
        <v>82</v>
      </c>
      <c r="BG1711" s="2"/>
      <c r="BH1711" s="2"/>
      <c r="BI1711" s="2"/>
      <c r="BJ1711" s="2">
        <v>241</v>
      </c>
      <c r="BK1711" s="2" t="s">
        <v>82</v>
      </c>
      <c r="BL1711" s="2"/>
      <c r="BM1711" s="2">
        <v>241</v>
      </c>
      <c r="BN1711" s="2" t="s">
        <v>82</v>
      </c>
      <c r="BO1711" s="2"/>
      <c r="BP1711" s="2">
        <v>241</v>
      </c>
      <c r="BQ1711" s="2" t="s">
        <v>82</v>
      </c>
      <c r="BR1711" s="2"/>
      <c r="BS1711" s="3">
        <v>40294</v>
      </c>
      <c r="BT1711" s="4">
        <v>0.69819444444444445</v>
      </c>
    </row>
    <row r="1712" spans="1:72" x14ac:dyDescent="0.25">
      <c r="A1712" s="2">
        <v>2484</v>
      </c>
      <c r="B1712" s="2">
        <v>2010</v>
      </c>
      <c r="C1712" s="2" t="s">
        <v>171</v>
      </c>
      <c r="D1712" s="2" t="s">
        <v>73</v>
      </c>
      <c r="E1712" s="2" t="s">
        <v>6120</v>
      </c>
      <c r="F1712" s="2">
        <v>451</v>
      </c>
      <c r="G1712" s="2" t="s">
        <v>879</v>
      </c>
      <c r="H1712" s="2">
        <v>31</v>
      </c>
      <c r="I1712" s="2" t="s">
        <v>880</v>
      </c>
      <c r="J1712" s="2">
        <v>326</v>
      </c>
      <c r="K1712" s="2" t="s">
        <v>881</v>
      </c>
      <c r="L1712" s="2" t="s">
        <v>882</v>
      </c>
      <c r="M1712" s="3">
        <v>40294</v>
      </c>
      <c r="N1712" s="2" t="s">
        <v>6121</v>
      </c>
      <c r="O1712" s="2" t="s">
        <v>3243</v>
      </c>
      <c r="P1712" s="2" t="s">
        <v>6122</v>
      </c>
      <c r="Q1712" s="2" t="str">
        <f>"032/10"</f>
        <v>032/10</v>
      </c>
      <c r="R1712" s="2"/>
      <c r="S1712" s="2" t="s">
        <v>822</v>
      </c>
      <c r="T1712" s="2">
        <v>1</v>
      </c>
      <c r="U1712" s="2" t="s">
        <v>79</v>
      </c>
      <c r="V1712" s="2">
        <v>1</v>
      </c>
      <c r="W1712" s="2" t="s">
        <v>80</v>
      </c>
      <c r="X1712" s="2">
        <v>1</v>
      </c>
      <c r="Y1712" s="2" t="s">
        <v>81</v>
      </c>
      <c r="Z1712" s="2">
        <v>10</v>
      </c>
      <c r="AA1712" s="2" t="s">
        <v>236</v>
      </c>
      <c r="AB1712" s="2">
        <v>1</v>
      </c>
      <c r="AC1712" s="2" t="s">
        <v>178</v>
      </c>
      <c r="AD1712" s="3">
        <v>40294</v>
      </c>
      <c r="AE1712" s="4">
        <v>0.71875</v>
      </c>
      <c r="AF1712" s="2"/>
      <c r="AG1712" s="2"/>
      <c r="AH1712" s="2">
        <v>4</v>
      </c>
      <c r="AI1712" s="2" t="s">
        <v>125</v>
      </c>
      <c r="AJ1712" s="2">
        <v>29</v>
      </c>
      <c r="AK1712" s="2" t="s">
        <v>227</v>
      </c>
      <c r="AL1712" s="2">
        <v>16</v>
      </c>
      <c r="AM1712" s="2" t="s">
        <v>392</v>
      </c>
      <c r="AN1712" s="2" t="s">
        <v>5930</v>
      </c>
      <c r="AO1712" s="2"/>
      <c r="AP1712" s="2">
        <v>12</v>
      </c>
      <c r="AQ1712" s="2" t="s">
        <v>322</v>
      </c>
      <c r="AR1712" s="2" t="s">
        <v>824</v>
      </c>
      <c r="AS1712" s="2" t="s">
        <v>825</v>
      </c>
      <c r="AT1712" s="2" t="s">
        <v>6123</v>
      </c>
      <c r="AU1712" s="2"/>
      <c r="AV1712" s="2"/>
      <c r="AW1712" s="2"/>
      <c r="AX1712" s="2"/>
      <c r="AY1712" s="2">
        <v>41</v>
      </c>
      <c r="AZ1712" s="2" t="s">
        <v>82</v>
      </c>
      <c r="BA1712" s="2">
        <v>41</v>
      </c>
      <c r="BB1712" s="2" t="s">
        <v>82</v>
      </c>
      <c r="BC1712" s="2">
        <v>51</v>
      </c>
      <c r="BD1712" s="2" t="s">
        <v>827</v>
      </c>
      <c r="BE1712" s="2">
        <v>47</v>
      </c>
      <c r="BF1712" s="2" t="s">
        <v>167</v>
      </c>
      <c r="BG1712" s="2">
        <v>2459</v>
      </c>
      <c r="BH1712" s="4">
        <v>0.89583333333333337</v>
      </c>
      <c r="BI1712" s="4">
        <v>0.93055555555555547</v>
      </c>
      <c r="BJ1712" s="2">
        <v>13</v>
      </c>
      <c r="BK1712" s="2" t="s">
        <v>91</v>
      </c>
      <c r="BL1712" s="2" t="s">
        <v>828</v>
      </c>
      <c r="BM1712" s="2">
        <v>241</v>
      </c>
      <c r="BN1712" s="2" t="s">
        <v>82</v>
      </c>
      <c r="BO1712" s="2" t="s">
        <v>82</v>
      </c>
      <c r="BP1712" s="2">
        <v>13</v>
      </c>
      <c r="BQ1712" s="2" t="s">
        <v>91</v>
      </c>
      <c r="BR1712" s="2" t="s">
        <v>185</v>
      </c>
      <c r="BS1712" s="3">
        <v>40294</v>
      </c>
      <c r="BT1712" s="4">
        <v>0.727025462962963</v>
      </c>
    </row>
    <row r="1713" spans="1:72" x14ac:dyDescent="0.25">
      <c r="A1713" s="2">
        <v>2485</v>
      </c>
      <c r="B1713" s="2">
        <v>2010</v>
      </c>
      <c r="C1713" s="2" t="s">
        <v>414</v>
      </c>
      <c r="D1713" s="2" t="s">
        <v>122</v>
      </c>
      <c r="E1713" s="2"/>
      <c r="F1713" s="2">
        <v>34</v>
      </c>
      <c r="G1713" s="2" t="s">
        <v>334</v>
      </c>
      <c r="H1713" s="2">
        <v>66</v>
      </c>
      <c r="I1713" s="2" t="s">
        <v>3190</v>
      </c>
      <c r="J1713" s="2">
        <v>43</v>
      </c>
      <c r="K1713" s="2" t="s">
        <v>2059</v>
      </c>
      <c r="L1713" s="2" t="s">
        <v>2060</v>
      </c>
      <c r="M1713" s="3">
        <v>40294</v>
      </c>
      <c r="N1713" s="2" t="s">
        <v>6124</v>
      </c>
      <c r="O1713" s="2" t="s">
        <v>82</v>
      </c>
      <c r="P1713" s="2" t="s">
        <v>82</v>
      </c>
      <c r="Q1713" s="2" t="str">
        <f>"N/C"</f>
        <v>N/C</v>
      </c>
      <c r="R1713" s="2" t="s">
        <v>82</v>
      </c>
      <c r="S1713" s="2" t="s">
        <v>82</v>
      </c>
      <c r="T1713" s="2">
        <v>1</v>
      </c>
      <c r="U1713" s="2" t="s">
        <v>79</v>
      </c>
      <c r="V1713" s="2">
        <v>1</v>
      </c>
      <c r="W1713" s="2" t="s">
        <v>80</v>
      </c>
      <c r="X1713" s="2">
        <v>1</v>
      </c>
      <c r="Y1713" s="2" t="s">
        <v>81</v>
      </c>
      <c r="Z1713" s="2">
        <v>10</v>
      </c>
      <c r="AA1713" s="2" t="s">
        <v>236</v>
      </c>
      <c r="AB1713" s="2">
        <v>9</v>
      </c>
      <c r="AC1713" s="2" t="s">
        <v>124</v>
      </c>
      <c r="AD1713" s="3">
        <v>40294</v>
      </c>
      <c r="AE1713" s="4">
        <v>0.65972222222222221</v>
      </c>
      <c r="AF1713" s="2"/>
      <c r="AG1713" s="2"/>
      <c r="AH1713" s="2">
        <v>3</v>
      </c>
      <c r="AI1713" s="2" t="s">
        <v>214</v>
      </c>
      <c r="AJ1713" s="2">
        <v>17</v>
      </c>
      <c r="AK1713" s="2" t="s">
        <v>309</v>
      </c>
      <c r="AL1713" s="2">
        <v>29</v>
      </c>
      <c r="AM1713" s="2" t="s">
        <v>5416</v>
      </c>
      <c r="AN1713" s="2" t="s">
        <v>82</v>
      </c>
      <c r="AO1713" s="2" t="s">
        <v>6125</v>
      </c>
      <c r="AP1713" s="2">
        <v>11</v>
      </c>
      <c r="AQ1713" s="2" t="s">
        <v>82</v>
      </c>
      <c r="AR1713" s="2" t="s">
        <v>82</v>
      </c>
      <c r="AS1713" s="2" t="s">
        <v>82</v>
      </c>
      <c r="AT1713" s="2" t="s">
        <v>6126</v>
      </c>
      <c r="AU1713" s="2"/>
      <c r="AV1713" s="2"/>
      <c r="AW1713" s="2"/>
      <c r="AX1713" s="2"/>
      <c r="AY1713" s="2">
        <v>41</v>
      </c>
      <c r="AZ1713" s="2" t="s">
        <v>82</v>
      </c>
      <c r="BA1713" s="2">
        <v>41</v>
      </c>
      <c r="BB1713" s="2" t="s">
        <v>82</v>
      </c>
      <c r="BC1713" s="2">
        <v>41</v>
      </c>
      <c r="BD1713" s="2" t="s">
        <v>82</v>
      </c>
      <c r="BE1713" s="2">
        <v>41</v>
      </c>
      <c r="BF1713" s="2" t="s">
        <v>82</v>
      </c>
      <c r="BG1713" s="2" t="s">
        <v>82</v>
      </c>
      <c r="BH1713" s="2"/>
      <c r="BI1713" s="2"/>
      <c r="BJ1713" s="2">
        <v>242</v>
      </c>
      <c r="BK1713" s="2" t="s">
        <v>107</v>
      </c>
      <c r="BL1713" s="2" t="s">
        <v>107</v>
      </c>
      <c r="BM1713" s="2">
        <v>241</v>
      </c>
      <c r="BN1713" s="2" t="s">
        <v>82</v>
      </c>
      <c r="BO1713" s="2" t="s">
        <v>82</v>
      </c>
      <c r="BP1713" s="2">
        <v>241</v>
      </c>
      <c r="BQ1713" s="2" t="s">
        <v>82</v>
      </c>
      <c r="BR1713" s="2" t="s">
        <v>82</v>
      </c>
      <c r="BS1713" s="3">
        <v>40294</v>
      </c>
      <c r="BT1713" s="4">
        <v>0.78083333333333327</v>
      </c>
    </row>
    <row r="1714" spans="1:72" x14ac:dyDescent="0.25">
      <c r="A1714" s="2">
        <v>2486</v>
      </c>
      <c r="B1714" s="2">
        <v>2010</v>
      </c>
      <c r="C1714" s="2" t="s">
        <v>121</v>
      </c>
      <c r="D1714" s="2" t="s">
        <v>122</v>
      </c>
      <c r="E1714" s="2"/>
      <c r="F1714" s="2">
        <v>1</v>
      </c>
      <c r="G1714" s="2" t="s">
        <v>82</v>
      </c>
      <c r="H1714" s="2">
        <v>1</v>
      </c>
      <c r="I1714" s="2" t="s">
        <v>82</v>
      </c>
      <c r="J1714" s="2">
        <v>1</v>
      </c>
      <c r="K1714" s="2" t="s">
        <v>107</v>
      </c>
      <c r="L1714" s="2" t="s">
        <v>107</v>
      </c>
      <c r="M1714" s="3">
        <v>40294</v>
      </c>
      <c r="N1714" s="2"/>
      <c r="O1714" s="2"/>
      <c r="P1714" s="2"/>
      <c r="Q1714" s="2" t="str">
        <f>""</f>
        <v/>
      </c>
      <c r="R1714" s="2"/>
      <c r="S1714" s="2"/>
      <c r="T1714" s="2">
        <v>2</v>
      </c>
      <c r="U1714" s="2" t="s">
        <v>123</v>
      </c>
      <c r="V1714" s="2">
        <v>1</v>
      </c>
      <c r="W1714" s="2" t="s">
        <v>80</v>
      </c>
      <c r="X1714" s="2">
        <v>5</v>
      </c>
      <c r="Y1714" s="2" t="s">
        <v>82</v>
      </c>
      <c r="Z1714" s="2">
        <v>1</v>
      </c>
      <c r="AA1714" s="2" t="s">
        <v>82</v>
      </c>
      <c r="AB1714" s="2">
        <v>9</v>
      </c>
      <c r="AC1714" s="2" t="s">
        <v>124</v>
      </c>
      <c r="AD1714" s="3">
        <v>40294</v>
      </c>
      <c r="AE1714" s="4">
        <v>0.64583333333333337</v>
      </c>
      <c r="AF1714" s="2"/>
      <c r="AG1714" s="2"/>
      <c r="AH1714" s="2">
        <v>5</v>
      </c>
      <c r="AI1714" s="2" t="s">
        <v>274</v>
      </c>
      <c r="AJ1714" s="2">
        <v>37</v>
      </c>
      <c r="AK1714" s="2" t="s">
        <v>497</v>
      </c>
      <c r="AL1714" s="2">
        <v>10</v>
      </c>
      <c r="AM1714" s="2" t="s">
        <v>200</v>
      </c>
      <c r="AN1714" s="2"/>
      <c r="AO1714" s="2" t="s">
        <v>6127</v>
      </c>
      <c r="AP1714" s="2">
        <v>11</v>
      </c>
      <c r="AQ1714" s="2" t="s">
        <v>82</v>
      </c>
      <c r="AR1714" s="2"/>
      <c r="AS1714" s="2"/>
      <c r="AT1714" s="2" t="s">
        <v>6128</v>
      </c>
      <c r="AU1714" s="2"/>
      <c r="AV1714" s="2"/>
      <c r="AW1714" s="2"/>
      <c r="AX1714" s="2"/>
      <c r="AY1714" s="2">
        <v>41</v>
      </c>
      <c r="AZ1714" s="2" t="s">
        <v>82</v>
      </c>
      <c r="BA1714" s="2">
        <v>41</v>
      </c>
      <c r="BB1714" s="2" t="s">
        <v>82</v>
      </c>
      <c r="BC1714" s="2">
        <v>41</v>
      </c>
      <c r="BD1714" s="2" t="s">
        <v>82</v>
      </c>
      <c r="BE1714" s="2">
        <v>42</v>
      </c>
      <c r="BF1714" s="2" t="s">
        <v>182</v>
      </c>
      <c r="BG1714" s="2" t="s">
        <v>6129</v>
      </c>
      <c r="BH1714" s="4">
        <v>0.64236111111111105</v>
      </c>
      <c r="BI1714" s="4">
        <v>0.47916666666666669</v>
      </c>
      <c r="BJ1714" s="2">
        <v>13</v>
      </c>
      <c r="BK1714" s="2" t="s">
        <v>91</v>
      </c>
      <c r="BL1714" s="2" t="s">
        <v>170</v>
      </c>
      <c r="BM1714" s="2">
        <v>13</v>
      </c>
      <c r="BN1714" s="2" t="s">
        <v>91</v>
      </c>
      <c r="BO1714" s="2" t="s">
        <v>6130</v>
      </c>
      <c r="BP1714" s="2">
        <v>13</v>
      </c>
      <c r="BQ1714" s="2" t="s">
        <v>91</v>
      </c>
      <c r="BR1714" s="2" t="s">
        <v>1552</v>
      </c>
      <c r="BS1714" s="3">
        <v>40294</v>
      </c>
      <c r="BT1714" s="4">
        <v>0.80206018518518529</v>
      </c>
    </row>
    <row r="1715" spans="1:72" x14ac:dyDescent="0.25">
      <c r="A1715" s="2">
        <v>2487</v>
      </c>
      <c r="B1715" s="2">
        <v>2010</v>
      </c>
      <c r="C1715" s="2" t="s">
        <v>171</v>
      </c>
      <c r="D1715" s="2" t="s">
        <v>122</v>
      </c>
      <c r="E1715" s="2" t="s">
        <v>6131</v>
      </c>
      <c r="F1715" s="2">
        <v>396</v>
      </c>
      <c r="G1715" s="2" t="s">
        <v>2159</v>
      </c>
      <c r="H1715" s="2">
        <v>8</v>
      </c>
      <c r="I1715" s="2" t="s">
        <v>3451</v>
      </c>
      <c r="J1715" s="2">
        <v>243</v>
      </c>
      <c r="K1715" s="2" t="s">
        <v>2160</v>
      </c>
      <c r="L1715" s="2" t="s">
        <v>2145</v>
      </c>
      <c r="M1715" s="3">
        <v>40294</v>
      </c>
      <c r="N1715" s="2" t="s">
        <v>6110</v>
      </c>
      <c r="O1715" s="2" t="s">
        <v>107</v>
      </c>
      <c r="P1715" s="2" t="s">
        <v>107</v>
      </c>
      <c r="Q1715" s="2" t="str">
        <f>"229-E/10"</f>
        <v>229-E/10</v>
      </c>
      <c r="R1715" s="2" t="s">
        <v>6111</v>
      </c>
      <c r="S1715" s="2" t="s">
        <v>6111</v>
      </c>
      <c r="T1715" s="2">
        <v>1</v>
      </c>
      <c r="U1715" s="2" t="s">
        <v>79</v>
      </c>
      <c r="V1715" s="2">
        <v>1</v>
      </c>
      <c r="W1715" s="2" t="s">
        <v>80</v>
      </c>
      <c r="X1715" s="2">
        <v>1</v>
      </c>
      <c r="Y1715" s="2" t="s">
        <v>81</v>
      </c>
      <c r="Z1715" s="2">
        <v>1</v>
      </c>
      <c r="AA1715" s="2" t="s">
        <v>82</v>
      </c>
      <c r="AB1715" s="2">
        <v>1</v>
      </c>
      <c r="AC1715" s="2" t="s">
        <v>178</v>
      </c>
      <c r="AD1715" s="3">
        <v>40293</v>
      </c>
      <c r="AE1715" s="4">
        <v>0.875</v>
      </c>
      <c r="AF1715" s="2"/>
      <c r="AG1715" s="2"/>
      <c r="AH1715" s="2">
        <v>2</v>
      </c>
      <c r="AI1715" s="2" t="s">
        <v>84</v>
      </c>
      <c r="AJ1715" s="2">
        <v>9</v>
      </c>
      <c r="AK1715" s="2" t="s">
        <v>103</v>
      </c>
      <c r="AL1715" s="2">
        <v>14</v>
      </c>
      <c r="AM1715" s="2" t="s">
        <v>216</v>
      </c>
      <c r="AN1715" s="2" t="s">
        <v>105</v>
      </c>
      <c r="AO1715" s="2" t="s">
        <v>6132</v>
      </c>
      <c r="AP1715" s="2">
        <v>11</v>
      </c>
      <c r="AQ1715" s="2" t="s">
        <v>82</v>
      </c>
      <c r="AR1715" s="2" t="s">
        <v>82</v>
      </c>
      <c r="AS1715" s="2" t="s">
        <v>82</v>
      </c>
      <c r="AT1715" s="2" t="s">
        <v>6133</v>
      </c>
      <c r="AU1715" s="2"/>
      <c r="AV1715" s="2">
        <v>2</v>
      </c>
      <c r="AW1715" s="2"/>
      <c r="AX1715" s="2"/>
      <c r="AY1715" s="2">
        <v>42</v>
      </c>
      <c r="AZ1715" s="2" t="s">
        <v>182</v>
      </c>
      <c r="BA1715" s="2">
        <v>41</v>
      </c>
      <c r="BB1715" s="2" t="s">
        <v>82</v>
      </c>
      <c r="BC1715" s="2">
        <v>41</v>
      </c>
      <c r="BD1715" s="2" t="s">
        <v>82</v>
      </c>
      <c r="BE1715" s="2">
        <v>31</v>
      </c>
      <c r="BF1715" s="2" t="s">
        <v>398</v>
      </c>
      <c r="BG1715" s="2" t="s">
        <v>722</v>
      </c>
      <c r="BH1715" s="2"/>
      <c r="BI1715" s="4">
        <v>0.89930555555555547</v>
      </c>
      <c r="BJ1715" s="2">
        <v>13</v>
      </c>
      <c r="BK1715" s="2" t="s">
        <v>91</v>
      </c>
      <c r="BL1715" s="2" t="s">
        <v>2592</v>
      </c>
      <c r="BM1715" s="2">
        <v>241</v>
      </c>
      <c r="BN1715" s="2" t="s">
        <v>82</v>
      </c>
      <c r="BO1715" s="2" t="s">
        <v>82</v>
      </c>
      <c r="BP1715" s="2">
        <v>73</v>
      </c>
      <c r="BQ1715" s="2" t="s">
        <v>186</v>
      </c>
      <c r="BR1715" s="2" t="s">
        <v>187</v>
      </c>
      <c r="BS1715" s="3">
        <v>40294</v>
      </c>
      <c r="BT1715" s="4">
        <v>0.81513888888888886</v>
      </c>
    </row>
    <row r="1716" spans="1:72" x14ac:dyDescent="0.25">
      <c r="A1716" s="2">
        <v>2488</v>
      </c>
      <c r="B1716" s="2">
        <v>2010</v>
      </c>
      <c r="C1716" s="2" t="s">
        <v>72</v>
      </c>
      <c r="D1716" s="2" t="s">
        <v>73</v>
      </c>
      <c r="E1716" s="2"/>
      <c r="F1716" s="2">
        <v>61</v>
      </c>
      <c r="G1716" s="2" t="s">
        <v>738</v>
      </c>
      <c r="H1716" s="2">
        <v>42</v>
      </c>
      <c r="I1716" s="2" t="s">
        <v>1096</v>
      </c>
      <c r="J1716" s="2">
        <v>93</v>
      </c>
      <c r="K1716" s="2" t="s">
        <v>739</v>
      </c>
      <c r="L1716" s="2" t="s">
        <v>132</v>
      </c>
      <c r="M1716" s="3">
        <v>40294</v>
      </c>
      <c r="N1716" s="2" t="s">
        <v>6134</v>
      </c>
      <c r="O1716" s="2"/>
      <c r="P1716" s="2"/>
      <c r="Q1716" s="2" t="str">
        <f>"015/10"</f>
        <v>015/10</v>
      </c>
      <c r="R1716" s="2" t="s">
        <v>116</v>
      </c>
      <c r="S1716" s="2"/>
      <c r="T1716" s="2">
        <v>1</v>
      </c>
      <c r="U1716" s="2" t="s">
        <v>79</v>
      </c>
      <c r="V1716" s="2">
        <v>1</v>
      </c>
      <c r="W1716" s="2" t="s">
        <v>80</v>
      </c>
      <c r="X1716" s="2">
        <v>12</v>
      </c>
      <c r="Y1716" s="2" t="s">
        <v>148</v>
      </c>
      <c r="Z1716" s="2">
        <v>3</v>
      </c>
      <c r="AA1716" s="2" t="s">
        <v>257</v>
      </c>
      <c r="AB1716" s="2">
        <v>6</v>
      </c>
      <c r="AC1716" s="2" t="s">
        <v>83</v>
      </c>
      <c r="AD1716" s="3">
        <v>40294</v>
      </c>
      <c r="AE1716" s="4">
        <v>0.79861111111111116</v>
      </c>
      <c r="AF1716" s="3">
        <v>40294</v>
      </c>
      <c r="AG1716" s="4">
        <v>0.89583333333333337</v>
      </c>
      <c r="AH1716" s="2">
        <v>4</v>
      </c>
      <c r="AI1716" s="2" t="s">
        <v>125</v>
      </c>
      <c r="AJ1716" s="2">
        <v>28</v>
      </c>
      <c r="AK1716" s="2" t="s">
        <v>741</v>
      </c>
      <c r="AL1716" s="2">
        <v>10</v>
      </c>
      <c r="AM1716" s="2" t="s">
        <v>200</v>
      </c>
      <c r="AN1716" s="2" t="s">
        <v>6135</v>
      </c>
      <c r="AO1716" s="2"/>
      <c r="AP1716" s="2">
        <v>11</v>
      </c>
      <c r="AQ1716" s="2" t="s">
        <v>82</v>
      </c>
      <c r="AR1716" s="2"/>
      <c r="AS1716" s="2"/>
      <c r="AT1716" s="2" t="s">
        <v>6136</v>
      </c>
      <c r="AU1716" s="2"/>
      <c r="AV1716" s="2"/>
      <c r="AW1716" s="2"/>
      <c r="AX1716" s="2"/>
      <c r="AY1716" s="2">
        <v>44</v>
      </c>
      <c r="AZ1716" s="2" t="s">
        <v>262</v>
      </c>
      <c r="BA1716" s="2">
        <v>44</v>
      </c>
      <c r="BB1716" s="2" t="s">
        <v>262</v>
      </c>
      <c r="BC1716" s="2">
        <v>44</v>
      </c>
      <c r="BD1716" s="2" t="s">
        <v>262</v>
      </c>
      <c r="BE1716" s="2">
        <v>41</v>
      </c>
      <c r="BF1716" s="2" t="s">
        <v>82</v>
      </c>
      <c r="BG1716" s="2"/>
      <c r="BH1716" s="2"/>
      <c r="BI1716" s="2"/>
      <c r="BJ1716" s="2">
        <v>241</v>
      </c>
      <c r="BK1716" s="2" t="s">
        <v>82</v>
      </c>
      <c r="BL1716" s="2"/>
      <c r="BM1716" s="2">
        <v>241</v>
      </c>
      <c r="BN1716" s="2" t="s">
        <v>82</v>
      </c>
      <c r="BO1716" s="2"/>
      <c r="BP1716" s="2">
        <v>241</v>
      </c>
      <c r="BQ1716" s="2" t="s">
        <v>82</v>
      </c>
      <c r="BR1716" s="2"/>
      <c r="BS1716" s="3">
        <v>40294</v>
      </c>
      <c r="BT1716" s="4">
        <v>0.95836805555555549</v>
      </c>
    </row>
    <row r="1717" spans="1:72" x14ac:dyDescent="0.25">
      <c r="A1717" s="2">
        <v>2489</v>
      </c>
      <c r="B1717" s="2">
        <v>2010</v>
      </c>
      <c r="C1717" s="2" t="s">
        <v>414</v>
      </c>
      <c r="D1717" s="2" t="s">
        <v>122</v>
      </c>
      <c r="E1717" s="2"/>
      <c r="F1717" s="2">
        <v>1</v>
      </c>
      <c r="G1717" s="2" t="s">
        <v>82</v>
      </c>
      <c r="H1717" s="2">
        <v>1</v>
      </c>
      <c r="I1717" s="2" t="s">
        <v>82</v>
      </c>
      <c r="J1717" s="2">
        <v>1</v>
      </c>
      <c r="K1717" s="2" t="s">
        <v>107</v>
      </c>
      <c r="L1717" s="2" t="s">
        <v>107</v>
      </c>
      <c r="M1717" s="3">
        <v>40295</v>
      </c>
      <c r="N1717" s="2" t="s">
        <v>82</v>
      </c>
      <c r="O1717" s="2" t="s">
        <v>6137</v>
      </c>
      <c r="P1717" s="2" t="s">
        <v>82</v>
      </c>
      <c r="Q1717" s="2" t="str">
        <f>"-----------"</f>
        <v>-----------</v>
      </c>
      <c r="R1717" s="2" t="s">
        <v>6137</v>
      </c>
      <c r="S1717" s="2" t="s">
        <v>3695</v>
      </c>
      <c r="T1717" s="2">
        <v>1</v>
      </c>
      <c r="U1717" s="2" t="s">
        <v>79</v>
      </c>
      <c r="V1717" s="2">
        <v>1</v>
      </c>
      <c r="W1717" s="2" t="s">
        <v>80</v>
      </c>
      <c r="X1717" s="2">
        <v>5</v>
      </c>
      <c r="Y1717" s="2" t="s">
        <v>82</v>
      </c>
      <c r="Z1717" s="2">
        <v>10</v>
      </c>
      <c r="AA1717" s="2" t="s">
        <v>236</v>
      </c>
      <c r="AB1717" s="2">
        <v>9</v>
      </c>
      <c r="AC1717" s="2" t="s">
        <v>124</v>
      </c>
      <c r="AD1717" s="3">
        <v>40295</v>
      </c>
      <c r="AE1717" s="4">
        <v>0.28472222222222221</v>
      </c>
      <c r="AF1717" s="2"/>
      <c r="AG1717" s="2"/>
      <c r="AH1717" s="2">
        <v>4</v>
      </c>
      <c r="AI1717" s="2" t="s">
        <v>125</v>
      </c>
      <c r="AJ1717" s="2">
        <v>29</v>
      </c>
      <c r="AK1717" s="2" t="s">
        <v>227</v>
      </c>
      <c r="AL1717" s="2">
        <v>29</v>
      </c>
      <c r="AM1717" s="2" t="s">
        <v>5416</v>
      </c>
      <c r="AN1717" s="2" t="s">
        <v>2874</v>
      </c>
      <c r="AO1717" s="2" t="s">
        <v>6138</v>
      </c>
      <c r="AP1717" s="2">
        <v>11</v>
      </c>
      <c r="AQ1717" s="2" t="s">
        <v>82</v>
      </c>
      <c r="AR1717" s="2" t="s">
        <v>3719</v>
      </c>
      <c r="AS1717" s="2" t="s">
        <v>4553</v>
      </c>
      <c r="AT1717" s="2" t="s">
        <v>6139</v>
      </c>
      <c r="AU1717" s="2"/>
      <c r="AV1717" s="2"/>
      <c r="AW1717" s="2"/>
      <c r="AX1717" s="2"/>
      <c r="AY1717" s="2">
        <v>41</v>
      </c>
      <c r="AZ1717" s="2" t="s">
        <v>82</v>
      </c>
      <c r="BA1717" s="2">
        <v>41</v>
      </c>
      <c r="BB1717" s="2" t="s">
        <v>82</v>
      </c>
      <c r="BC1717" s="2">
        <v>41</v>
      </c>
      <c r="BD1717" s="2" t="s">
        <v>82</v>
      </c>
      <c r="BE1717" s="2">
        <v>41</v>
      </c>
      <c r="BF1717" s="2" t="s">
        <v>82</v>
      </c>
      <c r="BG1717" s="2" t="s">
        <v>2104</v>
      </c>
      <c r="BH1717" s="2"/>
      <c r="BI1717" s="2"/>
      <c r="BJ1717" s="2">
        <v>241</v>
      </c>
      <c r="BK1717" s="2" t="s">
        <v>82</v>
      </c>
      <c r="BL1717" s="2" t="s">
        <v>82</v>
      </c>
      <c r="BM1717" s="2">
        <v>241</v>
      </c>
      <c r="BN1717" s="2" t="s">
        <v>82</v>
      </c>
      <c r="BO1717" s="2" t="s">
        <v>82</v>
      </c>
      <c r="BP1717" s="2">
        <v>241</v>
      </c>
      <c r="BQ1717" s="2" t="s">
        <v>82</v>
      </c>
      <c r="BR1717" s="2" t="s">
        <v>82</v>
      </c>
      <c r="BS1717" s="3">
        <v>40295</v>
      </c>
      <c r="BT1717" s="4">
        <v>0.2875462962962963</v>
      </c>
    </row>
    <row r="1718" spans="1:72" x14ac:dyDescent="0.25">
      <c r="A1718" s="2">
        <v>2491</v>
      </c>
      <c r="B1718" s="2">
        <v>2010</v>
      </c>
      <c r="C1718" s="2" t="s">
        <v>819</v>
      </c>
      <c r="D1718" s="2" t="s">
        <v>73</v>
      </c>
      <c r="E1718" s="2"/>
      <c r="F1718" s="2">
        <v>425</v>
      </c>
      <c r="G1718" s="2" t="s">
        <v>286</v>
      </c>
      <c r="H1718" s="2">
        <v>3</v>
      </c>
      <c r="I1718" s="2" t="s">
        <v>315</v>
      </c>
      <c r="J1718" s="2">
        <v>310</v>
      </c>
      <c r="K1718" s="2" t="s">
        <v>288</v>
      </c>
      <c r="L1718" s="2" t="s">
        <v>289</v>
      </c>
      <c r="M1718" s="3">
        <v>40295</v>
      </c>
      <c r="N1718" s="2" t="s">
        <v>2049</v>
      </c>
      <c r="O1718" s="2" t="s">
        <v>473</v>
      </c>
      <c r="P1718" s="2" t="s">
        <v>473</v>
      </c>
      <c r="Q1718" s="2" t="str">
        <f>"046/10"</f>
        <v>046/10</v>
      </c>
      <c r="R1718" s="2" t="s">
        <v>473</v>
      </c>
      <c r="S1718" s="2" t="s">
        <v>822</v>
      </c>
      <c r="T1718" s="2">
        <v>1</v>
      </c>
      <c r="U1718" s="2" t="s">
        <v>79</v>
      </c>
      <c r="V1718" s="2">
        <v>1</v>
      </c>
      <c r="W1718" s="2" t="s">
        <v>80</v>
      </c>
      <c r="X1718" s="2">
        <v>1</v>
      </c>
      <c r="Y1718" s="2" t="s">
        <v>81</v>
      </c>
      <c r="Z1718" s="2">
        <v>10</v>
      </c>
      <c r="AA1718" s="2" t="s">
        <v>236</v>
      </c>
      <c r="AB1718" s="2">
        <v>9</v>
      </c>
      <c r="AC1718" s="2" t="s">
        <v>124</v>
      </c>
      <c r="AD1718" s="3">
        <v>40295</v>
      </c>
      <c r="AE1718" s="4">
        <v>0.58333333333333337</v>
      </c>
      <c r="AF1718" s="2"/>
      <c r="AG1718" s="2"/>
      <c r="AH1718" s="2">
        <v>4</v>
      </c>
      <c r="AI1718" s="2" t="s">
        <v>125</v>
      </c>
      <c r="AJ1718" s="2">
        <v>29</v>
      </c>
      <c r="AK1718" s="2" t="s">
        <v>227</v>
      </c>
      <c r="AL1718" s="2">
        <v>16</v>
      </c>
      <c r="AM1718" s="2" t="s">
        <v>392</v>
      </c>
      <c r="AN1718" s="2" t="s">
        <v>1015</v>
      </c>
      <c r="AO1718" s="2" t="s">
        <v>6140</v>
      </c>
      <c r="AP1718" s="2">
        <v>11</v>
      </c>
      <c r="AQ1718" s="2" t="s">
        <v>82</v>
      </c>
      <c r="AR1718" s="2" t="s">
        <v>82</v>
      </c>
      <c r="AS1718" s="2" t="s">
        <v>82</v>
      </c>
      <c r="AT1718" s="2" t="s">
        <v>6141</v>
      </c>
      <c r="AU1718" s="2"/>
      <c r="AV1718" s="2"/>
      <c r="AW1718" s="2"/>
      <c r="AX1718" s="2"/>
      <c r="AY1718" s="2">
        <v>41</v>
      </c>
      <c r="AZ1718" s="2" t="s">
        <v>82</v>
      </c>
      <c r="BA1718" s="2">
        <v>41</v>
      </c>
      <c r="BB1718" s="2" t="s">
        <v>82</v>
      </c>
      <c r="BC1718" s="2">
        <v>41</v>
      </c>
      <c r="BD1718" s="2" t="s">
        <v>82</v>
      </c>
      <c r="BE1718" s="2">
        <v>47</v>
      </c>
      <c r="BF1718" s="2" t="s">
        <v>167</v>
      </c>
      <c r="BG1718" s="2">
        <v>2472</v>
      </c>
      <c r="BH1718" s="4">
        <v>0.51041666666666663</v>
      </c>
      <c r="BI1718" s="4">
        <v>0.54166666666666663</v>
      </c>
      <c r="BJ1718" s="2">
        <v>13</v>
      </c>
      <c r="BK1718" s="2" t="s">
        <v>91</v>
      </c>
      <c r="BL1718" s="2" t="s">
        <v>828</v>
      </c>
      <c r="BM1718" s="2">
        <v>241</v>
      </c>
      <c r="BN1718" s="2" t="s">
        <v>82</v>
      </c>
      <c r="BO1718" s="2" t="s">
        <v>82</v>
      </c>
      <c r="BP1718" s="2">
        <v>13</v>
      </c>
      <c r="BQ1718" s="2" t="s">
        <v>91</v>
      </c>
      <c r="BR1718" s="2" t="s">
        <v>185</v>
      </c>
      <c r="BS1718" s="3">
        <v>40295</v>
      </c>
      <c r="BT1718" s="4">
        <v>0.43214120370370374</v>
      </c>
    </row>
    <row r="1719" spans="1:72" x14ac:dyDescent="0.25">
      <c r="A1719" s="2">
        <v>2493</v>
      </c>
      <c r="B1719" s="2">
        <v>2010</v>
      </c>
      <c r="C1719" s="2" t="s">
        <v>93</v>
      </c>
      <c r="D1719" s="2" t="s">
        <v>73</v>
      </c>
      <c r="E1719" s="2"/>
      <c r="F1719" s="2">
        <v>146</v>
      </c>
      <c r="G1719" s="2" t="s">
        <v>753</v>
      </c>
      <c r="H1719" s="2">
        <v>30</v>
      </c>
      <c r="I1719" s="2" t="s">
        <v>912</v>
      </c>
      <c r="J1719" s="2">
        <v>161</v>
      </c>
      <c r="K1719" s="2" t="s">
        <v>1900</v>
      </c>
      <c r="L1719" s="2" t="s">
        <v>1901</v>
      </c>
      <c r="M1719" s="3">
        <v>40295</v>
      </c>
      <c r="N1719" s="2" t="s">
        <v>756</v>
      </c>
      <c r="O1719" s="2" t="s">
        <v>6142</v>
      </c>
      <c r="P1719" s="2">
        <v>19017</v>
      </c>
      <c r="Q1719" s="2" t="str">
        <f>"N/C"</f>
        <v>N/C</v>
      </c>
      <c r="R1719" s="2" t="s">
        <v>82</v>
      </c>
      <c r="S1719" s="2" t="s">
        <v>82</v>
      </c>
      <c r="T1719" s="2">
        <v>1</v>
      </c>
      <c r="U1719" s="2" t="s">
        <v>79</v>
      </c>
      <c r="V1719" s="2">
        <v>1</v>
      </c>
      <c r="W1719" s="2" t="s">
        <v>80</v>
      </c>
      <c r="X1719" s="2">
        <v>1</v>
      </c>
      <c r="Y1719" s="2" t="s">
        <v>81</v>
      </c>
      <c r="Z1719" s="2">
        <v>1</v>
      </c>
      <c r="AA1719" s="2" t="s">
        <v>82</v>
      </c>
      <c r="AB1719" s="2">
        <v>2</v>
      </c>
      <c r="AC1719" s="2" t="s">
        <v>102</v>
      </c>
      <c r="AD1719" s="3">
        <v>40295</v>
      </c>
      <c r="AE1719" s="4">
        <v>0.46527777777777773</v>
      </c>
      <c r="AF1719" s="2"/>
      <c r="AG1719" s="2"/>
      <c r="AH1719" s="2">
        <v>6</v>
      </c>
      <c r="AI1719" s="2" t="s">
        <v>197</v>
      </c>
      <c r="AJ1719" s="2">
        <v>60</v>
      </c>
      <c r="AK1719" s="2" t="s">
        <v>543</v>
      </c>
      <c r="AL1719" s="2">
        <v>11</v>
      </c>
      <c r="AM1719" s="2" t="s">
        <v>137</v>
      </c>
      <c r="AN1719" s="2" t="s">
        <v>2249</v>
      </c>
      <c r="AO1719" s="2" t="s">
        <v>6143</v>
      </c>
      <c r="AP1719" s="2">
        <v>11</v>
      </c>
      <c r="AQ1719" s="2" t="s">
        <v>82</v>
      </c>
      <c r="AR1719" s="2" t="s">
        <v>82</v>
      </c>
      <c r="AS1719" s="2" t="s">
        <v>82</v>
      </c>
      <c r="AT1719" s="2" t="s">
        <v>6144</v>
      </c>
      <c r="AU1719" s="2"/>
      <c r="AV1719" s="2"/>
      <c r="AW1719" s="2"/>
      <c r="AX1719" s="2"/>
      <c r="AY1719" s="2">
        <v>41</v>
      </c>
      <c r="AZ1719" s="2" t="s">
        <v>82</v>
      </c>
      <c r="BA1719" s="2">
        <v>41</v>
      </c>
      <c r="BB1719" s="2" t="s">
        <v>82</v>
      </c>
      <c r="BC1719" s="2">
        <v>41</v>
      </c>
      <c r="BD1719" s="2" t="s">
        <v>82</v>
      </c>
      <c r="BE1719" s="2">
        <v>13</v>
      </c>
      <c r="BF1719" s="2" t="s">
        <v>108</v>
      </c>
      <c r="BG1719" s="2" t="s">
        <v>6145</v>
      </c>
      <c r="BH1719" s="4">
        <v>0.47569444444444442</v>
      </c>
      <c r="BI1719" s="4">
        <v>0.51041666666666663</v>
      </c>
      <c r="BJ1719" s="2">
        <v>13</v>
      </c>
      <c r="BK1719" s="2" t="s">
        <v>91</v>
      </c>
      <c r="BL1719" s="2" t="s">
        <v>895</v>
      </c>
      <c r="BM1719" s="2">
        <v>13</v>
      </c>
      <c r="BN1719" s="2" t="s">
        <v>91</v>
      </c>
      <c r="BO1719" s="2" t="s">
        <v>6146</v>
      </c>
      <c r="BP1719" s="2">
        <v>13</v>
      </c>
      <c r="BQ1719" s="2" t="s">
        <v>91</v>
      </c>
      <c r="BR1719" s="2" t="s">
        <v>5820</v>
      </c>
      <c r="BS1719" s="3">
        <v>40295</v>
      </c>
      <c r="BT1719" s="4">
        <v>0.48650462962962965</v>
      </c>
    </row>
    <row r="1720" spans="1:72" x14ac:dyDescent="0.25">
      <c r="A1720" s="2">
        <v>2494</v>
      </c>
      <c r="B1720" s="2">
        <v>2010</v>
      </c>
      <c r="C1720" s="2" t="s">
        <v>196</v>
      </c>
      <c r="D1720" s="2" t="s">
        <v>122</v>
      </c>
      <c r="E1720" s="2"/>
      <c r="F1720" s="2">
        <v>1</v>
      </c>
      <c r="G1720" s="2" t="s">
        <v>82</v>
      </c>
      <c r="H1720" s="2">
        <v>1</v>
      </c>
      <c r="I1720" s="2" t="s">
        <v>82</v>
      </c>
      <c r="J1720" s="2">
        <v>1</v>
      </c>
      <c r="K1720" s="2" t="s">
        <v>107</v>
      </c>
      <c r="L1720" s="2" t="s">
        <v>107</v>
      </c>
      <c r="M1720" s="3">
        <v>40295</v>
      </c>
      <c r="N1720" s="2"/>
      <c r="O1720" s="2"/>
      <c r="P1720" s="2"/>
      <c r="Q1720" s="2" t="str">
        <f>""</f>
        <v/>
      </c>
      <c r="R1720" s="2"/>
      <c r="S1720" s="2"/>
      <c r="T1720" s="2">
        <v>2</v>
      </c>
      <c r="U1720" s="2" t="s">
        <v>123</v>
      </c>
      <c r="V1720" s="2">
        <v>1</v>
      </c>
      <c r="W1720" s="2" t="s">
        <v>80</v>
      </c>
      <c r="X1720" s="2">
        <v>11</v>
      </c>
      <c r="Y1720" s="2" t="s">
        <v>1920</v>
      </c>
      <c r="Z1720" s="2">
        <v>1</v>
      </c>
      <c r="AA1720" s="2" t="s">
        <v>82</v>
      </c>
      <c r="AB1720" s="2">
        <v>9</v>
      </c>
      <c r="AC1720" s="2" t="s">
        <v>124</v>
      </c>
      <c r="AD1720" s="3">
        <v>40291</v>
      </c>
      <c r="AE1720" s="4">
        <v>0.82638888888888884</v>
      </c>
      <c r="AF1720" s="2"/>
      <c r="AG1720" s="2"/>
      <c r="AH1720" s="2">
        <v>6</v>
      </c>
      <c r="AI1720" s="2" t="s">
        <v>197</v>
      </c>
      <c r="AJ1720" s="2">
        <v>58</v>
      </c>
      <c r="AK1720" s="2" t="s">
        <v>406</v>
      </c>
      <c r="AL1720" s="2">
        <v>10</v>
      </c>
      <c r="AM1720" s="2" t="s">
        <v>200</v>
      </c>
      <c r="AN1720" s="2"/>
      <c r="AO1720" s="2" t="s">
        <v>259</v>
      </c>
      <c r="AP1720" s="2">
        <v>11</v>
      </c>
      <c r="AQ1720" s="2" t="s">
        <v>82</v>
      </c>
      <c r="AR1720" s="2"/>
      <c r="AS1720" s="2"/>
      <c r="AT1720" s="2" t="s">
        <v>6147</v>
      </c>
      <c r="AU1720" s="2"/>
      <c r="AV1720" s="2"/>
      <c r="AW1720" s="2"/>
      <c r="AX1720" s="2"/>
      <c r="AY1720" s="2">
        <v>1</v>
      </c>
      <c r="AZ1720" s="2" t="s">
        <v>107</v>
      </c>
      <c r="BA1720" s="2">
        <v>1</v>
      </c>
      <c r="BB1720" s="2" t="s">
        <v>107</v>
      </c>
      <c r="BC1720" s="2">
        <v>1</v>
      </c>
      <c r="BD1720" s="2" t="s">
        <v>107</v>
      </c>
      <c r="BE1720" s="2">
        <v>1</v>
      </c>
      <c r="BF1720" s="2" t="s">
        <v>107</v>
      </c>
      <c r="BG1720" s="2" t="s">
        <v>265</v>
      </c>
      <c r="BH1720" s="4">
        <v>0.82638888888888884</v>
      </c>
      <c r="BI1720" s="2"/>
      <c r="BJ1720" s="2">
        <v>13</v>
      </c>
      <c r="BK1720" s="2" t="s">
        <v>91</v>
      </c>
      <c r="BL1720" s="2" t="s">
        <v>204</v>
      </c>
      <c r="BM1720" s="2">
        <v>242</v>
      </c>
      <c r="BN1720" s="2" t="s">
        <v>107</v>
      </c>
      <c r="BO1720" s="2"/>
      <c r="BP1720" s="2">
        <v>13</v>
      </c>
      <c r="BQ1720" s="2" t="s">
        <v>91</v>
      </c>
      <c r="BR1720" s="2" t="s">
        <v>492</v>
      </c>
      <c r="BS1720" s="3">
        <v>40295</v>
      </c>
      <c r="BT1720" s="4">
        <v>0.49115740740740743</v>
      </c>
    </row>
    <row r="1721" spans="1:72" x14ac:dyDescent="0.25">
      <c r="A1721" s="2">
        <v>2495</v>
      </c>
      <c r="B1721" s="2">
        <v>2010</v>
      </c>
      <c r="C1721" s="2" t="s">
        <v>806</v>
      </c>
      <c r="D1721" s="2" t="s">
        <v>122</v>
      </c>
      <c r="E1721" s="2"/>
      <c r="F1721" s="2">
        <v>483</v>
      </c>
      <c r="G1721" s="2" t="s">
        <v>1477</v>
      </c>
      <c r="H1721" s="2">
        <v>11</v>
      </c>
      <c r="I1721" s="2" t="s">
        <v>1397</v>
      </c>
      <c r="J1721" s="2">
        <v>167</v>
      </c>
      <c r="K1721" s="2" t="s">
        <v>1032</v>
      </c>
      <c r="L1721" s="2" t="s">
        <v>1033</v>
      </c>
      <c r="M1721" s="3">
        <v>40295</v>
      </c>
      <c r="N1721" s="2" t="s">
        <v>6148</v>
      </c>
      <c r="O1721" s="2" t="s">
        <v>6149</v>
      </c>
      <c r="P1721" s="2" t="s">
        <v>6150</v>
      </c>
      <c r="Q1721" s="2" t="str">
        <f>"795/04"</f>
        <v>795/04</v>
      </c>
      <c r="R1721" s="2" t="s">
        <v>107</v>
      </c>
      <c r="S1721" s="2" t="s">
        <v>107</v>
      </c>
      <c r="T1721" s="2">
        <v>1</v>
      </c>
      <c r="U1721" s="2" t="s">
        <v>79</v>
      </c>
      <c r="V1721" s="2">
        <v>1</v>
      </c>
      <c r="W1721" s="2" t="s">
        <v>80</v>
      </c>
      <c r="X1721" s="2">
        <v>9</v>
      </c>
      <c r="Y1721" s="2" t="s">
        <v>3393</v>
      </c>
      <c r="Z1721" s="2">
        <v>1</v>
      </c>
      <c r="AA1721" s="2" t="s">
        <v>82</v>
      </c>
      <c r="AB1721" s="2">
        <v>9</v>
      </c>
      <c r="AC1721" s="2" t="s">
        <v>124</v>
      </c>
      <c r="AD1721" s="3">
        <v>40295</v>
      </c>
      <c r="AE1721" s="4">
        <v>0.38194444444444442</v>
      </c>
      <c r="AF1721" s="3">
        <v>40295</v>
      </c>
      <c r="AG1721" s="2"/>
      <c r="AH1721" s="2">
        <v>7</v>
      </c>
      <c r="AI1721" s="2" t="s">
        <v>801</v>
      </c>
      <c r="AJ1721" s="2">
        <v>3</v>
      </c>
      <c r="AK1721" s="2" t="s">
        <v>802</v>
      </c>
      <c r="AL1721" s="2">
        <v>23</v>
      </c>
      <c r="AM1721" s="2" t="s">
        <v>251</v>
      </c>
      <c r="AN1721" s="2" t="s">
        <v>107</v>
      </c>
      <c r="AO1721" s="2" t="s">
        <v>6151</v>
      </c>
      <c r="AP1721" s="2">
        <v>11</v>
      </c>
      <c r="AQ1721" s="2" t="s">
        <v>82</v>
      </c>
      <c r="AR1721" s="2" t="s">
        <v>107</v>
      </c>
      <c r="AS1721" s="2" t="s">
        <v>107</v>
      </c>
      <c r="AT1721" s="2" t="s">
        <v>6152</v>
      </c>
      <c r="AU1721" s="2"/>
      <c r="AV1721" s="2"/>
      <c r="AW1721" s="2"/>
      <c r="AX1721" s="2"/>
      <c r="AY1721" s="2">
        <v>1</v>
      </c>
      <c r="AZ1721" s="2" t="s">
        <v>107</v>
      </c>
      <c r="BA1721" s="2">
        <v>1</v>
      </c>
      <c r="BB1721" s="2" t="s">
        <v>107</v>
      </c>
      <c r="BC1721" s="2">
        <v>1</v>
      </c>
      <c r="BD1721" s="2" t="s">
        <v>107</v>
      </c>
      <c r="BE1721" s="2">
        <v>1</v>
      </c>
      <c r="BF1721" s="2" t="s">
        <v>107</v>
      </c>
      <c r="BG1721" s="2" t="s">
        <v>107</v>
      </c>
      <c r="BH1721" s="2"/>
      <c r="BI1721" s="2"/>
      <c r="BJ1721" s="2">
        <v>242</v>
      </c>
      <c r="BK1721" s="2" t="s">
        <v>107</v>
      </c>
      <c r="BL1721" s="2" t="s">
        <v>107</v>
      </c>
      <c r="BM1721" s="2">
        <v>242</v>
      </c>
      <c r="BN1721" s="2" t="s">
        <v>107</v>
      </c>
      <c r="BO1721" s="2" t="s">
        <v>107</v>
      </c>
      <c r="BP1721" s="2">
        <v>242</v>
      </c>
      <c r="BQ1721" s="2" t="s">
        <v>107</v>
      </c>
      <c r="BR1721" s="2" t="s">
        <v>107</v>
      </c>
      <c r="BS1721" s="3">
        <v>40295</v>
      </c>
      <c r="BT1721" s="4">
        <v>0.53260416666666666</v>
      </c>
    </row>
    <row r="1722" spans="1:72" x14ac:dyDescent="0.25">
      <c r="A1722" s="2">
        <v>2496</v>
      </c>
      <c r="B1722" s="2">
        <v>2010</v>
      </c>
      <c r="C1722" s="2" t="s">
        <v>806</v>
      </c>
      <c r="D1722" s="2" t="s">
        <v>73</v>
      </c>
      <c r="E1722" s="2"/>
      <c r="F1722" s="2">
        <v>483</v>
      </c>
      <c r="G1722" s="2" t="s">
        <v>1477</v>
      </c>
      <c r="H1722" s="2">
        <v>11</v>
      </c>
      <c r="I1722" s="2" t="s">
        <v>1397</v>
      </c>
      <c r="J1722" s="2">
        <v>167</v>
      </c>
      <c r="K1722" s="2" t="s">
        <v>1032</v>
      </c>
      <c r="L1722" s="2" t="s">
        <v>1033</v>
      </c>
      <c r="M1722" s="3">
        <v>40295</v>
      </c>
      <c r="N1722" s="2" t="s">
        <v>6148</v>
      </c>
      <c r="O1722" s="2" t="s">
        <v>6153</v>
      </c>
      <c r="P1722" s="2" t="s">
        <v>6150</v>
      </c>
      <c r="Q1722" s="2" t="str">
        <f>"795/04"</f>
        <v>795/04</v>
      </c>
      <c r="R1722" s="2" t="s">
        <v>107</v>
      </c>
      <c r="S1722" s="2" t="s">
        <v>107</v>
      </c>
      <c r="T1722" s="2">
        <v>1</v>
      </c>
      <c r="U1722" s="2" t="s">
        <v>79</v>
      </c>
      <c r="V1722" s="2">
        <v>1</v>
      </c>
      <c r="W1722" s="2" t="s">
        <v>80</v>
      </c>
      <c r="X1722" s="2">
        <v>9</v>
      </c>
      <c r="Y1722" s="2" t="s">
        <v>3393</v>
      </c>
      <c r="Z1722" s="2">
        <v>1</v>
      </c>
      <c r="AA1722" s="2" t="s">
        <v>82</v>
      </c>
      <c r="AB1722" s="2">
        <v>9</v>
      </c>
      <c r="AC1722" s="2" t="s">
        <v>124</v>
      </c>
      <c r="AD1722" s="3">
        <v>40295</v>
      </c>
      <c r="AE1722" s="4">
        <v>0.38541666666666669</v>
      </c>
      <c r="AF1722" s="2"/>
      <c r="AG1722" s="2"/>
      <c r="AH1722" s="2">
        <v>7</v>
      </c>
      <c r="AI1722" s="2" t="s">
        <v>801</v>
      </c>
      <c r="AJ1722" s="2">
        <v>3</v>
      </c>
      <c r="AK1722" s="2" t="s">
        <v>802</v>
      </c>
      <c r="AL1722" s="2">
        <v>23</v>
      </c>
      <c r="AM1722" s="2" t="s">
        <v>251</v>
      </c>
      <c r="AN1722" s="2" t="s">
        <v>107</v>
      </c>
      <c r="AO1722" s="2" t="s">
        <v>6154</v>
      </c>
      <c r="AP1722" s="2">
        <v>11</v>
      </c>
      <c r="AQ1722" s="2" t="s">
        <v>82</v>
      </c>
      <c r="AR1722" s="2" t="s">
        <v>107</v>
      </c>
      <c r="AS1722" s="2" t="s">
        <v>107</v>
      </c>
      <c r="AT1722" s="2" t="s">
        <v>6155</v>
      </c>
      <c r="AU1722" s="2"/>
      <c r="AV1722" s="2"/>
      <c r="AW1722" s="2"/>
      <c r="AX1722" s="2"/>
      <c r="AY1722" s="2">
        <v>1</v>
      </c>
      <c r="AZ1722" s="2" t="s">
        <v>107</v>
      </c>
      <c r="BA1722" s="2">
        <v>1</v>
      </c>
      <c r="BB1722" s="2" t="s">
        <v>107</v>
      </c>
      <c r="BC1722" s="2">
        <v>1</v>
      </c>
      <c r="BD1722" s="2" t="s">
        <v>107</v>
      </c>
      <c r="BE1722" s="2">
        <v>1</v>
      </c>
      <c r="BF1722" s="2" t="s">
        <v>107</v>
      </c>
      <c r="BG1722" s="2" t="s">
        <v>107</v>
      </c>
      <c r="BH1722" s="2"/>
      <c r="BI1722" s="2"/>
      <c r="BJ1722" s="2">
        <v>242</v>
      </c>
      <c r="BK1722" s="2" t="s">
        <v>107</v>
      </c>
      <c r="BL1722" s="2" t="s">
        <v>107</v>
      </c>
      <c r="BM1722" s="2">
        <v>242</v>
      </c>
      <c r="BN1722" s="2" t="s">
        <v>107</v>
      </c>
      <c r="BO1722" s="2" t="s">
        <v>107</v>
      </c>
      <c r="BP1722" s="2">
        <v>242</v>
      </c>
      <c r="BQ1722" s="2" t="s">
        <v>107</v>
      </c>
      <c r="BR1722" s="2" t="s">
        <v>107</v>
      </c>
      <c r="BS1722" s="3">
        <v>40295</v>
      </c>
      <c r="BT1722" s="4">
        <v>0.56174768518518514</v>
      </c>
    </row>
    <row r="1723" spans="1:72" x14ac:dyDescent="0.25">
      <c r="A1723" s="2">
        <v>2497</v>
      </c>
      <c r="B1723" s="2">
        <v>2010</v>
      </c>
      <c r="C1723" s="2" t="s">
        <v>72</v>
      </c>
      <c r="D1723" s="2" t="s">
        <v>73</v>
      </c>
      <c r="E1723" s="2"/>
      <c r="F1723" s="2">
        <v>24</v>
      </c>
      <c r="G1723" s="2" t="s">
        <v>532</v>
      </c>
      <c r="H1723" s="2">
        <v>42</v>
      </c>
      <c r="I1723" s="2" t="s">
        <v>1096</v>
      </c>
      <c r="J1723" s="2">
        <v>300</v>
      </c>
      <c r="K1723" s="2" t="s">
        <v>114</v>
      </c>
      <c r="L1723" s="2" t="s">
        <v>115</v>
      </c>
      <c r="M1723" s="3">
        <v>40295</v>
      </c>
      <c r="N1723" s="2"/>
      <c r="O1723" s="2"/>
      <c r="P1723" s="2"/>
      <c r="Q1723" s="2" t="str">
        <f>"230-E/10"</f>
        <v>230-E/10</v>
      </c>
      <c r="R1723" s="2" t="s">
        <v>116</v>
      </c>
      <c r="S1723" s="2" t="s">
        <v>116</v>
      </c>
      <c r="T1723" s="2">
        <v>1</v>
      </c>
      <c r="U1723" s="2" t="s">
        <v>79</v>
      </c>
      <c r="V1723" s="2">
        <v>1</v>
      </c>
      <c r="W1723" s="2" t="s">
        <v>80</v>
      </c>
      <c r="X1723" s="2">
        <v>12</v>
      </c>
      <c r="Y1723" s="2" t="s">
        <v>148</v>
      </c>
      <c r="Z1723" s="2">
        <v>1</v>
      </c>
      <c r="AA1723" s="2" t="s">
        <v>82</v>
      </c>
      <c r="AB1723" s="2">
        <v>6</v>
      </c>
      <c r="AC1723" s="2" t="s">
        <v>83</v>
      </c>
      <c r="AD1723" s="3">
        <v>40292</v>
      </c>
      <c r="AE1723" s="4">
        <v>0.72916666666666663</v>
      </c>
      <c r="AF1723" s="3">
        <v>40295</v>
      </c>
      <c r="AG1723" s="4">
        <v>0.49305555555555558</v>
      </c>
      <c r="AH1723" s="2">
        <v>2</v>
      </c>
      <c r="AI1723" s="2" t="s">
        <v>84</v>
      </c>
      <c r="AJ1723" s="2">
        <v>9</v>
      </c>
      <c r="AK1723" s="2" t="s">
        <v>103</v>
      </c>
      <c r="AL1723" s="2">
        <v>26</v>
      </c>
      <c r="AM1723" s="2" t="s">
        <v>6036</v>
      </c>
      <c r="AN1723" s="2" t="s">
        <v>170</v>
      </c>
      <c r="AO1723" s="2" t="s">
        <v>6156</v>
      </c>
      <c r="AP1723" s="2">
        <v>11</v>
      </c>
      <c r="AQ1723" s="2" t="s">
        <v>82</v>
      </c>
      <c r="AR1723" s="2"/>
      <c r="AS1723" s="2"/>
      <c r="AT1723" s="2" t="s">
        <v>6157</v>
      </c>
      <c r="AU1723" s="2"/>
      <c r="AV1723" s="2"/>
      <c r="AW1723" s="2"/>
      <c r="AX1723" s="2"/>
      <c r="AY1723" s="2">
        <v>41</v>
      </c>
      <c r="AZ1723" s="2" t="s">
        <v>82</v>
      </c>
      <c r="BA1723" s="2">
        <v>41</v>
      </c>
      <c r="BB1723" s="2" t="s">
        <v>82</v>
      </c>
      <c r="BC1723" s="2">
        <v>41</v>
      </c>
      <c r="BD1723" s="2" t="s">
        <v>82</v>
      </c>
      <c r="BE1723" s="2">
        <v>14</v>
      </c>
      <c r="BF1723" s="2" t="s">
        <v>484</v>
      </c>
      <c r="BG1723" s="2" t="s">
        <v>6158</v>
      </c>
      <c r="BH1723" s="4">
        <v>0.39583333333333331</v>
      </c>
      <c r="BI1723" s="4">
        <v>0</v>
      </c>
      <c r="BJ1723" s="2">
        <v>166</v>
      </c>
      <c r="BK1723" s="2" t="s">
        <v>401</v>
      </c>
      <c r="BL1723" s="2" t="s">
        <v>5028</v>
      </c>
      <c r="BM1723" s="2">
        <v>82</v>
      </c>
      <c r="BN1723" s="2" t="s">
        <v>487</v>
      </c>
      <c r="BO1723" s="2" t="s">
        <v>488</v>
      </c>
      <c r="BP1723" s="2">
        <v>13</v>
      </c>
      <c r="BQ1723" s="2" t="s">
        <v>91</v>
      </c>
      <c r="BR1723" s="2" t="s">
        <v>1084</v>
      </c>
      <c r="BS1723" s="3">
        <v>40295</v>
      </c>
      <c r="BT1723" s="4">
        <v>0.59811342592592587</v>
      </c>
    </row>
    <row r="1724" spans="1:72" x14ac:dyDescent="0.25">
      <c r="A1724" s="2">
        <v>2498</v>
      </c>
      <c r="B1724" s="2">
        <v>2010</v>
      </c>
      <c r="C1724" s="2" t="s">
        <v>806</v>
      </c>
      <c r="D1724" s="2" t="s">
        <v>73</v>
      </c>
      <c r="E1724" s="2"/>
      <c r="F1724" s="2">
        <v>389</v>
      </c>
      <c r="G1724" s="2" t="s">
        <v>1819</v>
      </c>
      <c r="H1724" s="2">
        <v>2</v>
      </c>
      <c r="I1724" s="2" t="s">
        <v>267</v>
      </c>
      <c r="J1724" s="2">
        <v>399</v>
      </c>
      <c r="K1724" s="2" t="s">
        <v>1820</v>
      </c>
      <c r="L1724" s="2" t="s">
        <v>1821</v>
      </c>
      <c r="M1724" s="3">
        <v>40295</v>
      </c>
      <c r="N1724" s="2" t="s">
        <v>5980</v>
      </c>
      <c r="O1724" s="2" t="s">
        <v>6159</v>
      </c>
      <c r="P1724" s="2">
        <v>1616</v>
      </c>
      <c r="Q1724" s="2" t="str">
        <f>"795/04"</f>
        <v>795/04</v>
      </c>
      <c r="R1724" s="2" t="s">
        <v>107</v>
      </c>
      <c r="S1724" s="2" t="s">
        <v>107</v>
      </c>
      <c r="T1724" s="2">
        <v>1</v>
      </c>
      <c r="U1724" s="2" t="s">
        <v>79</v>
      </c>
      <c r="V1724" s="2">
        <v>1</v>
      </c>
      <c r="W1724" s="2" t="s">
        <v>80</v>
      </c>
      <c r="X1724" s="2">
        <v>7</v>
      </c>
      <c r="Y1724" s="2" t="s">
        <v>1964</v>
      </c>
      <c r="Z1724" s="2">
        <v>1</v>
      </c>
      <c r="AA1724" s="2" t="s">
        <v>82</v>
      </c>
      <c r="AB1724" s="2">
        <v>9</v>
      </c>
      <c r="AC1724" s="2" t="s">
        <v>124</v>
      </c>
      <c r="AD1724" s="3">
        <v>40295</v>
      </c>
      <c r="AE1724" s="4">
        <v>0.38541666666666669</v>
      </c>
      <c r="AF1724" s="2"/>
      <c r="AG1724" s="2"/>
      <c r="AH1724" s="2">
        <v>7</v>
      </c>
      <c r="AI1724" s="2" t="s">
        <v>801</v>
      </c>
      <c r="AJ1724" s="2">
        <v>3</v>
      </c>
      <c r="AK1724" s="2" t="s">
        <v>802</v>
      </c>
      <c r="AL1724" s="2">
        <v>23</v>
      </c>
      <c r="AM1724" s="2" t="s">
        <v>251</v>
      </c>
      <c r="AN1724" s="2" t="s">
        <v>107</v>
      </c>
      <c r="AO1724" s="2" t="s">
        <v>6160</v>
      </c>
      <c r="AP1724" s="2">
        <v>11</v>
      </c>
      <c r="AQ1724" s="2" t="s">
        <v>82</v>
      </c>
      <c r="AR1724" s="2" t="s">
        <v>107</v>
      </c>
      <c r="AS1724" s="2" t="s">
        <v>107</v>
      </c>
      <c r="AT1724" s="2" t="s">
        <v>6161</v>
      </c>
      <c r="AU1724" s="2"/>
      <c r="AV1724" s="2"/>
      <c r="AW1724" s="2"/>
      <c r="AX1724" s="2"/>
      <c r="AY1724" s="2">
        <v>1</v>
      </c>
      <c r="AZ1724" s="2" t="s">
        <v>107</v>
      </c>
      <c r="BA1724" s="2">
        <v>1</v>
      </c>
      <c r="BB1724" s="2" t="s">
        <v>107</v>
      </c>
      <c r="BC1724" s="2">
        <v>1</v>
      </c>
      <c r="BD1724" s="2" t="s">
        <v>107</v>
      </c>
      <c r="BE1724" s="2">
        <v>1</v>
      </c>
      <c r="BF1724" s="2" t="s">
        <v>107</v>
      </c>
      <c r="BG1724" s="2" t="s">
        <v>107</v>
      </c>
      <c r="BH1724" s="2"/>
      <c r="BI1724" s="2"/>
      <c r="BJ1724" s="2">
        <v>242</v>
      </c>
      <c r="BK1724" s="2" t="s">
        <v>107</v>
      </c>
      <c r="BL1724" s="2" t="s">
        <v>107</v>
      </c>
      <c r="BM1724" s="2">
        <v>242</v>
      </c>
      <c r="BN1724" s="2" t="s">
        <v>107</v>
      </c>
      <c r="BO1724" s="2" t="s">
        <v>107</v>
      </c>
      <c r="BP1724" s="2">
        <v>242</v>
      </c>
      <c r="BQ1724" s="2" t="s">
        <v>107</v>
      </c>
      <c r="BR1724" s="2" t="s">
        <v>107</v>
      </c>
      <c r="BS1724" s="3">
        <v>40295</v>
      </c>
      <c r="BT1724" s="4">
        <v>0.59916666666666674</v>
      </c>
    </row>
    <row r="1725" spans="1:72" x14ac:dyDescent="0.25">
      <c r="A1725" s="2">
        <v>2500</v>
      </c>
      <c r="B1725" s="2">
        <v>2010</v>
      </c>
      <c r="C1725" s="2" t="s">
        <v>806</v>
      </c>
      <c r="D1725" s="2" t="s">
        <v>73</v>
      </c>
      <c r="E1725" s="2"/>
      <c r="F1725" s="2">
        <v>389</v>
      </c>
      <c r="G1725" s="2" t="s">
        <v>1819</v>
      </c>
      <c r="H1725" s="2">
        <v>2</v>
      </c>
      <c r="I1725" s="2" t="s">
        <v>267</v>
      </c>
      <c r="J1725" s="2">
        <v>399</v>
      </c>
      <c r="K1725" s="2" t="s">
        <v>1820</v>
      </c>
      <c r="L1725" s="2" t="s">
        <v>1821</v>
      </c>
      <c r="M1725" s="3">
        <v>40295</v>
      </c>
      <c r="N1725" s="2" t="s">
        <v>5980</v>
      </c>
      <c r="O1725" s="2" t="s">
        <v>6162</v>
      </c>
      <c r="P1725" s="2" t="s">
        <v>6163</v>
      </c>
      <c r="Q1725" s="2" t="str">
        <f>"795/04"</f>
        <v>795/04</v>
      </c>
      <c r="R1725" s="2" t="s">
        <v>107</v>
      </c>
      <c r="S1725" s="2" t="s">
        <v>107</v>
      </c>
      <c r="T1725" s="2">
        <v>1</v>
      </c>
      <c r="U1725" s="2" t="s">
        <v>79</v>
      </c>
      <c r="V1725" s="2">
        <v>1</v>
      </c>
      <c r="W1725" s="2" t="s">
        <v>80</v>
      </c>
      <c r="X1725" s="2">
        <v>7</v>
      </c>
      <c r="Y1725" s="2" t="s">
        <v>1964</v>
      </c>
      <c r="Z1725" s="2">
        <v>1</v>
      </c>
      <c r="AA1725" s="2" t="s">
        <v>82</v>
      </c>
      <c r="AB1725" s="2">
        <v>9</v>
      </c>
      <c r="AC1725" s="2" t="s">
        <v>124</v>
      </c>
      <c r="AD1725" s="3">
        <v>40295</v>
      </c>
      <c r="AE1725" s="2"/>
      <c r="AF1725" s="2"/>
      <c r="AG1725" s="2"/>
      <c r="AH1725" s="2">
        <v>7</v>
      </c>
      <c r="AI1725" s="2" t="s">
        <v>801</v>
      </c>
      <c r="AJ1725" s="2">
        <v>3</v>
      </c>
      <c r="AK1725" s="2" t="s">
        <v>802</v>
      </c>
      <c r="AL1725" s="2">
        <v>23</v>
      </c>
      <c r="AM1725" s="2" t="s">
        <v>251</v>
      </c>
      <c r="AN1725" s="2" t="s">
        <v>107</v>
      </c>
      <c r="AO1725" s="2" t="s">
        <v>6164</v>
      </c>
      <c r="AP1725" s="2">
        <v>11</v>
      </c>
      <c r="AQ1725" s="2" t="s">
        <v>82</v>
      </c>
      <c r="AR1725" s="2"/>
      <c r="AS1725" s="2"/>
      <c r="AT1725" s="2" t="s">
        <v>6165</v>
      </c>
      <c r="AU1725" s="2"/>
      <c r="AV1725" s="2"/>
      <c r="AW1725" s="2"/>
      <c r="AX1725" s="2"/>
      <c r="AY1725" s="2">
        <v>1</v>
      </c>
      <c r="AZ1725" s="2" t="s">
        <v>107</v>
      </c>
      <c r="BA1725" s="2">
        <v>1</v>
      </c>
      <c r="BB1725" s="2" t="s">
        <v>107</v>
      </c>
      <c r="BC1725" s="2">
        <v>1</v>
      </c>
      <c r="BD1725" s="2" t="s">
        <v>107</v>
      </c>
      <c r="BE1725" s="2">
        <v>1</v>
      </c>
      <c r="BF1725" s="2" t="s">
        <v>107</v>
      </c>
      <c r="BG1725" s="2"/>
      <c r="BH1725" s="2"/>
      <c r="BI1725" s="2"/>
      <c r="BJ1725" s="2">
        <v>242</v>
      </c>
      <c r="BK1725" s="2" t="s">
        <v>107</v>
      </c>
      <c r="BL1725" s="2"/>
      <c r="BM1725" s="2">
        <v>242</v>
      </c>
      <c r="BN1725" s="2" t="s">
        <v>107</v>
      </c>
      <c r="BO1725" s="2"/>
      <c r="BP1725" s="2">
        <v>242</v>
      </c>
      <c r="BQ1725" s="2" t="s">
        <v>107</v>
      </c>
      <c r="BR1725" s="2"/>
      <c r="BS1725" s="3">
        <v>40295</v>
      </c>
      <c r="BT1725" s="4">
        <v>0.66523148148148148</v>
      </c>
    </row>
    <row r="1726" spans="1:72" x14ac:dyDescent="0.25">
      <c r="A1726" s="2">
        <v>2501</v>
      </c>
      <c r="B1726" s="2">
        <v>2010</v>
      </c>
      <c r="C1726" s="2" t="s">
        <v>171</v>
      </c>
      <c r="D1726" s="2" t="s">
        <v>73</v>
      </c>
      <c r="E1726" s="2"/>
      <c r="F1726" s="2">
        <v>100</v>
      </c>
      <c r="G1726" s="2" t="s">
        <v>517</v>
      </c>
      <c r="H1726" s="2">
        <v>47</v>
      </c>
      <c r="I1726" s="2" t="s">
        <v>1409</v>
      </c>
      <c r="J1726" s="2">
        <v>119</v>
      </c>
      <c r="K1726" s="2" t="s">
        <v>325</v>
      </c>
      <c r="L1726" s="2" t="s">
        <v>326</v>
      </c>
      <c r="M1726" s="3">
        <v>40295</v>
      </c>
      <c r="N1726" s="2" t="s">
        <v>4106</v>
      </c>
      <c r="O1726" s="2" t="s">
        <v>6166</v>
      </c>
      <c r="P1726" s="2" t="s">
        <v>4499</v>
      </c>
      <c r="Q1726" s="2" t="str">
        <f>""</f>
        <v/>
      </c>
      <c r="R1726" s="2"/>
      <c r="S1726" s="2"/>
      <c r="T1726" s="2">
        <v>1</v>
      </c>
      <c r="U1726" s="2" t="s">
        <v>79</v>
      </c>
      <c r="V1726" s="2">
        <v>3</v>
      </c>
      <c r="W1726" s="2" t="s">
        <v>225</v>
      </c>
      <c r="X1726" s="2">
        <v>2</v>
      </c>
      <c r="Y1726" s="2" t="s">
        <v>136</v>
      </c>
      <c r="Z1726" s="2">
        <v>1</v>
      </c>
      <c r="AA1726" s="2" t="s">
        <v>82</v>
      </c>
      <c r="AB1726" s="2">
        <v>9</v>
      </c>
      <c r="AC1726" s="2" t="s">
        <v>124</v>
      </c>
      <c r="AD1726" s="3">
        <v>40295</v>
      </c>
      <c r="AE1726" s="4">
        <v>0.55555555555555558</v>
      </c>
      <c r="AF1726" s="2"/>
      <c r="AG1726" s="2"/>
      <c r="AH1726" s="2">
        <v>6</v>
      </c>
      <c r="AI1726" s="2" t="s">
        <v>197</v>
      </c>
      <c r="AJ1726" s="2">
        <v>47</v>
      </c>
      <c r="AK1726" s="2" t="s">
        <v>250</v>
      </c>
      <c r="AL1726" s="2">
        <v>23</v>
      </c>
      <c r="AM1726" s="2" t="s">
        <v>251</v>
      </c>
      <c r="AN1726" s="2"/>
      <c r="AO1726" s="2" t="s">
        <v>6167</v>
      </c>
      <c r="AP1726" s="2">
        <v>11</v>
      </c>
      <c r="AQ1726" s="2" t="s">
        <v>82</v>
      </c>
      <c r="AR1726" s="2"/>
      <c r="AS1726" s="2"/>
      <c r="AT1726" s="2" t="s">
        <v>6168</v>
      </c>
      <c r="AU1726" s="2"/>
      <c r="AV1726" s="2"/>
      <c r="AW1726" s="2"/>
      <c r="AX1726" s="2"/>
      <c r="AY1726" s="2">
        <v>41</v>
      </c>
      <c r="AZ1726" s="2" t="s">
        <v>82</v>
      </c>
      <c r="BA1726" s="2">
        <v>41</v>
      </c>
      <c r="BB1726" s="2" t="s">
        <v>82</v>
      </c>
      <c r="BC1726" s="2">
        <v>41</v>
      </c>
      <c r="BD1726" s="2" t="s">
        <v>82</v>
      </c>
      <c r="BE1726" s="2">
        <v>41</v>
      </c>
      <c r="BF1726" s="2" t="s">
        <v>82</v>
      </c>
      <c r="BG1726" s="2"/>
      <c r="BH1726" s="2"/>
      <c r="BI1726" s="2"/>
      <c r="BJ1726" s="2">
        <v>241</v>
      </c>
      <c r="BK1726" s="2" t="s">
        <v>82</v>
      </c>
      <c r="BL1726" s="2"/>
      <c r="BM1726" s="2">
        <v>241</v>
      </c>
      <c r="BN1726" s="2" t="s">
        <v>82</v>
      </c>
      <c r="BO1726" s="2"/>
      <c r="BP1726" s="2">
        <v>241</v>
      </c>
      <c r="BQ1726" s="2" t="s">
        <v>82</v>
      </c>
      <c r="BR1726" s="2"/>
      <c r="BS1726" s="3">
        <v>40295</v>
      </c>
      <c r="BT1726" s="4">
        <v>0.67700231481481488</v>
      </c>
    </row>
    <row r="1727" spans="1:72" x14ac:dyDescent="0.25">
      <c r="A1727" s="2">
        <v>2502</v>
      </c>
      <c r="B1727" s="2">
        <v>2010</v>
      </c>
      <c r="C1727" s="2" t="s">
        <v>147</v>
      </c>
      <c r="D1727" s="2" t="s">
        <v>73</v>
      </c>
      <c r="E1727" s="2"/>
      <c r="F1727" s="2">
        <v>1</v>
      </c>
      <c r="G1727" s="2" t="s">
        <v>82</v>
      </c>
      <c r="H1727" s="2">
        <v>1</v>
      </c>
      <c r="I1727" s="2" t="s">
        <v>82</v>
      </c>
      <c r="J1727" s="2">
        <v>1</v>
      </c>
      <c r="K1727" s="2" t="s">
        <v>107</v>
      </c>
      <c r="L1727" s="2" t="s">
        <v>107</v>
      </c>
      <c r="M1727" s="3">
        <v>40295</v>
      </c>
      <c r="N1727" s="2"/>
      <c r="O1727" s="2"/>
      <c r="P1727" s="2"/>
      <c r="Q1727" s="2" t="str">
        <f>""</f>
        <v/>
      </c>
      <c r="R1727" s="2"/>
      <c r="S1727" s="2"/>
      <c r="T1727" s="2">
        <v>2</v>
      </c>
      <c r="U1727" s="2" t="s">
        <v>123</v>
      </c>
      <c r="V1727" s="2">
        <v>1</v>
      </c>
      <c r="W1727" s="2" t="s">
        <v>80</v>
      </c>
      <c r="X1727" s="2">
        <v>12</v>
      </c>
      <c r="Y1727" s="2" t="s">
        <v>148</v>
      </c>
      <c r="Z1727" s="2">
        <v>11</v>
      </c>
      <c r="AA1727" s="2" t="s">
        <v>859</v>
      </c>
      <c r="AB1727" s="2">
        <v>9</v>
      </c>
      <c r="AC1727" s="2" t="s">
        <v>124</v>
      </c>
      <c r="AD1727" s="3">
        <v>40285</v>
      </c>
      <c r="AE1727" s="4">
        <v>0.89583333333333337</v>
      </c>
      <c r="AF1727" s="3">
        <v>40289</v>
      </c>
      <c r="AG1727" s="4">
        <v>0.58333333333333337</v>
      </c>
      <c r="AH1727" s="2">
        <v>4</v>
      </c>
      <c r="AI1727" s="2" t="s">
        <v>125</v>
      </c>
      <c r="AJ1727" s="2">
        <v>28</v>
      </c>
      <c r="AK1727" s="2" t="s">
        <v>741</v>
      </c>
      <c r="AL1727" s="2">
        <v>19</v>
      </c>
      <c r="AM1727" s="2" t="s">
        <v>107</v>
      </c>
      <c r="AN1727" s="2"/>
      <c r="AO1727" s="2" t="s">
        <v>6169</v>
      </c>
      <c r="AP1727" s="2">
        <v>11</v>
      </c>
      <c r="AQ1727" s="2" t="s">
        <v>82</v>
      </c>
      <c r="AR1727" s="2"/>
      <c r="AS1727" s="2"/>
      <c r="AT1727" s="2" t="s">
        <v>6170</v>
      </c>
      <c r="AU1727" s="2"/>
      <c r="AV1727" s="2"/>
      <c r="AW1727" s="2"/>
      <c r="AX1727" s="2"/>
      <c r="AY1727" s="2">
        <v>41</v>
      </c>
      <c r="AZ1727" s="2" t="s">
        <v>82</v>
      </c>
      <c r="BA1727" s="2">
        <v>41</v>
      </c>
      <c r="BB1727" s="2" t="s">
        <v>82</v>
      </c>
      <c r="BC1727" s="2">
        <v>41</v>
      </c>
      <c r="BD1727" s="2" t="s">
        <v>82</v>
      </c>
      <c r="BE1727" s="2">
        <v>41</v>
      </c>
      <c r="BF1727" s="2" t="s">
        <v>82</v>
      </c>
      <c r="BG1727" s="2"/>
      <c r="BH1727" s="2"/>
      <c r="BI1727" s="2"/>
      <c r="BJ1727" s="2">
        <v>241</v>
      </c>
      <c r="BK1727" s="2" t="s">
        <v>82</v>
      </c>
      <c r="BL1727" s="2"/>
      <c r="BM1727" s="2">
        <v>241</v>
      </c>
      <c r="BN1727" s="2" t="s">
        <v>82</v>
      </c>
      <c r="BO1727" s="2"/>
      <c r="BP1727" s="2">
        <v>241</v>
      </c>
      <c r="BQ1727" s="2" t="s">
        <v>82</v>
      </c>
      <c r="BR1727" s="2"/>
      <c r="BS1727" s="3">
        <v>40295</v>
      </c>
      <c r="BT1727" s="4">
        <v>0.68466435185185182</v>
      </c>
    </row>
    <row r="1728" spans="1:72" x14ac:dyDescent="0.25">
      <c r="A1728" s="2">
        <v>2503</v>
      </c>
      <c r="B1728" s="2">
        <v>2010</v>
      </c>
      <c r="C1728" s="2" t="s">
        <v>72</v>
      </c>
      <c r="D1728" s="2" t="s">
        <v>73</v>
      </c>
      <c r="E1728" s="2"/>
      <c r="F1728" s="2">
        <v>573</v>
      </c>
      <c r="G1728" s="2" t="s">
        <v>4703</v>
      </c>
      <c r="H1728" s="2">
        <v>86</v>
      </c>
      <c r="I1728" s="2" t="s">
        <v>4704</v>
      </c>
      <c r="J1728" s="2">
        <v>221</v>
      </c>
      <c r="K1728" s="2" t="s">
        <v>4705</v>
      </c>
      <c r="L1728" s="2" t="s">
        <v>4706</v>
      </c>
      <c r="M1728" s="3">
        <v>40295</v>
      </c>
      <c r="N1728" s="2" t="s">
        <v>4707</v>
      </c>
      <c r="O1728" s="2" t="s">
        <v>6171</v>
      </c>
      <c r="P1728" s="2" t="s">
        <v>4709</v>
      </c>
      <c r="Q1728" s="2" t="str">
        <f>""</f>
        <v/>
      </c>
      <c r="R1728" s="2"/>
      <c r="S1728" s="2"/>
      <c r="T1728" s="2">
        <v>1</v>
      </c>
      <c r="U1728" s="2" t="s">
        <v>79</v>
      </c>
      <c r="V1728" s="2">
        <v>1</v>
      </c>
      <c r="W1728" s="2" t="s">
        <v>80</v>
      </c>
      <c r="X1728" s="2">
        <v>8</v>
      </c>
      <c r="Y1728" s="2" t="s">
        <v>375</v>
      </c>
      <c r="Z1728" s="2">
        <v>10</v>
      </c>
      <c r="AA1728" s="2" t="s">
        <v>236</v>
      </c>
      <c r="AB1728" s="2">
        <v>6</v>
      </c>
      <c r="AC1728" s="2" t="s">
        <v>83</v>
      </c>
      <c r="AD1728" s="3">
        <v>40295</v>
      </c>
      <c r="AE1728" s="2"/>
      <c r="AF1728" s="2"/>
      <c r="AG1728" s="2"/>
      <c r="AH1728" s="2">
        <v>2</v>
      </c>
      <c r="AI1728" s="2" t="s">
        <v>84</v>
      </c>
      <c r="AJ1728" s="2">
        <v>6</v>
      </c>
      <c r="AK1728" s="2" t="s">
        <v>453</v>
      </c>
      <c r="AL1728" s="2">
        <v>23</v>
      </c>
      <c r="AM1728" s="2" t="s">
        <v>251</v>
      </c>
      <c r="AN1728" s="2" t="s">
        <v>6172</v>
      </c>
      <c r="AO1728" s="2" t="s">
        <v>6173</v>
      </c>
      <c r="AP1728" s="2">
        <v>11</v>
      </c>
      <c r="AQ1728" s="2" t="s">
        <v>82</v>
      </c>
      <c r="AR1728" s="2"/>
      <c r="AS1728" s="2"/>
      <c r="AT1728" s="2" t="s">
        <v>6174</v>
      </c>
      <c r="AU1728" s="2"/>
      <c r="AV1728" s="2"/>
      <c r="AW1728" s="2"/>
      <c r="AX1728" s="2"/>
      <c r="AY1728" s="2">
        <v>41</v>
      </c>
      <c r="AZ1728" s="2" t="s">
        <v>82</v>
      </c>
      <c r="BA1728" s="2">
        <v>41</v>
      </c>
      <c r="BB1728" s="2" t="s">
        <v>82</v>
      </c>
      <c r="BC1728" s="2">
        <v>41</v>
      </c>
      <c r="BD1728" s="2" t="s">
        <v>82</v>
      </c>
      <c r="BE1728" s="2">
        <v>41</v>
      </c>
      <c r="BF1728" s="2" t="s">
        <v>82</v>
      </c>
      <c r="BG1728" s="2"/>
      <c r="BH1728" s="2"/>
      <c r="BI1728" s="2"/>
      <c r="BJ1728" s="2">
        <v>241</v>
      </c>
      <c r="BK1728" s="2" t="s">
        <v>82</v>
      </c>
      <c r="BL1728" s="2"/>
      <c r="BM1728" s="2">
        <v>241</v>
      </c>
      <c r="BN1728" s="2" t="s">
        <v>82</v>
      </c>
      <c r="BO1728" s="2"/>
      <c r="BP1728" s="2">
        <v>241</v>
      </c>
      <c r="BQ1728" s="2" t="s">
        <v>82</v>
      </c>
      <c r="BR1728" s="2"/>
      <c r="BS1728" s="3">
        <v>40295</v>
      </c>
      <c r="BT1728" s="4">
        <v>0.69017361111111108</v>
      </c>
    </row>
    <row r="1729" spans="1:72" x14ac:dyDescent="0.25">
      <c r="A1729" s="2">
        <v>2504</v>
      </c>
      <c r="B1729" s="2">
        <v>2010</v>
      </c>
      <c r="C1729" s="2" t="s">
        <v>806</v>
      </c>
      <c r="D1729" s="2" t="s">
        <v>73</v>
      </c>
      <c r="E1729" s="2"/>
      <c r="F1729" s="2">
        <v>155</v>
      </c>
      <c r="G1729" s="2" t="s">
        <v>1030</v>
      </c>
      <c r="H1729" s="2">
        <v>11</v>
      </c>
      <c r="I1729" s="2" t="s">
        <v>1397</v>
      </c>
      <c r="J1729" s="2">
        <v>167</v>
      </c>
      <c r="K1729" s="2" t="s">
        <v>1032</v>
      </c>
      <c r="L1729" s="2" t="s">
        <v>1033</v>
      </c>
      <c r="M1729" s="3">
        <v>40295</v>
      </c>
      <c r="N1729" s="2" t="s">
        <v>6148</v>
      </c>
      <c r="O1729" s="2" t="s">
        <v>6175</v>
      </c>
      <c r="P1729" s="2" t="s">
        <v>6176</v>
      </c>
      <c r="Q1729" s="2" t="str">
        <f>"795/04"</f>
        <v>795/04</v>
      </c>
      <c r="R1729" s="2" t="s">
        <v>107</v>
      </c>
      <c r="S1729" s="2" t="s">
        <v>107</v>
      </c>
      <c r="T1729" s="2">
        <v>1</v>
      </c>
      <c r="U1729" s="2" t="s">
        <v>79</v>
      </c>
      <c r="V1729" s="2">
        <v>1</v>
      </c>
      <c r="W1729" s="2" t="s">
        <v>80</v>
      </c>
      <c r="X1729" s="2">
        <v>7</v>
      </c>
      <c r="Y1729" s="2" t="s">
        <v>1964</v>
      </c>
      <c r="Z1729" s="2">
        <v>1</v>
      </c>
      <c r="AA1729" s="2" t="s">
        <v>82</v>
      </c>
      <c r="AB1729" s="2">
        <v>9</v>
      </c>
      <c r="AC1729" s="2" t="s">
        <v>124</v>
      </c>
      <c r="AD1729" s="3">
        <v>40295</v>
      </c>
      <c r="AE1729" s="2"/>
      <c r="AF1729" s="2"/>
      <c r="AG1729" s="2"/>
      <c r="AH1729" s="2">
        <v>7</v>
      </c>
      <c r="AI1729" s="2" t="s">
        <v>801</v>
      </c>
      <c r="AJ1729" s="2">
        <v>3</v>
      </c>
      <c r="AK1729" s="2" t="s">
        <v>802</v>
      </c>
      <c r="AL1729" s="2">
        <v>23</v>
      </c>
      <c r="AM1729" s="2" t="s">
        <v>251</v>
      </c>
      <c r="AN1729" s="2" t="s">
        <v>107</v>
      </c>
      <c r="AO1729" s="2" t="s">
        <v>6177</v>
      </c>
      <c r="AP1729" s="2">
        <v>11</v>
      </c>
      <c r="AQ1729" s="2" t="s">
        <v>82</v>
      </c>
      <c r="AR1729" s="2"/>
      <c r="AS1729" s="2"/>
      <c r="AT1729" s="2" t="s">
        <v>6178</v>
      </c>
      <c r="AU1729" s="2">
        <v>1</v>
      </c>
      <c r="AV1729" s="2"/>
      <c r="AW1729" s="2"/>
      <c r="AX1729" s="2"/>
      <c r="AY1729" s="2">
        <v>1</v>
      </c>
      <c r="AZ1729" s="2" t="s">
        <v>107</v>
      </c>
      <c r="BA1729" s="2">
        <v>1</v>
      </c>
      <c r="BB1729" s="2" t="s">
        <v>107</v>
      </c>
      <c r="BC1729" s="2">
        <v>1</v>
      </c>
      <c r="BD1729" s="2" t="s">
        <v>107</v>
      </c>
      <c r="BE1729" s="2">
        <v>1</v>
      </c>
      <c r="BF1729" s="2" t="s">
        <v>107</v>
      </c>
      <c r="BG1729" s="2"/>
      <c r="BH1729" s="2"/>
      <c r="BI1729" s="2"/>
      <c r="BJ1729" s="2">
        <v>242</v>
      </c>
      <c r="BK1729" s="2" t="s">
        <v>107</v>
      </c>
      <c r="BL1729" s="2"/>
      <c r="BM1729" s="2">
        <v>242</v>
      </c>
      <c r="BN1729" s="2" t="s">
        <v>107</v>
      </c>
      <c r="BO1729" s="2"/>
      <c r="BP1729" s="2">
        <v>242</v>
      </c>
      <c r="BQ1729" s="2" t="s">
        <v>107</v>
      </c>
      <c r="BR1729" s="2"/>
      <c r="BS1729" s="3">
        <v>40295</v>
      </c>
      <c r="BT1729" s="4">
        <v>0.69590277777777787</v>
      </c>
    </row>
    <row r="1730" spans="1:72" x14ac:dyDescent="0.25">
      <c r="A1730" s="2">
        <v>2505</v>
      </c>
      <c r="B1730" s="2">
        <v>2010</v>
      </c>
      <c r="C1730" s="2" t="s">
        <v>171</v>
      </c>
      <c r="D1730" s="2" t="s">
        <v>73</v>
      </c>
      <c r="E1730" s="2"/>
      <c r="F1730" s="2">
        <v>150</v>
      </c>
      <c r="G1730" s="2" t="s">
        <v>4650</v>
      </c>
      <c r="H1730" s="2">
        <v>50</v>
      </c>
      <c r="I1730" s="2" t="s">
        <v>107</v>
      </c>
      <c r="J1730" s="2">
        <v>1</v>
      </c>
      <c r="K1730" s="2" t="s">
        <v>107</v>
      </c>
      <c r="L1730" s="2" t="s">
        <v>107</v>
      </c>
      <c r="M1730" s="3">
        <v>40295</v>
      </c>
      <c r="N1730" s="2" t="s">
        <v>6179</v>
      </c>
      <c r="O1730" s="2" t="s">
        <v>6180</v>
      </c>
      <c r="P1730" s="2"/>
      <c r="Q1730" s="2" t="str">
        <f>""</f>
        <v/>
      </c>
      <c r="R1730" s="2"/>
      <c r="S1730" s="2"/>
      <c r="T1730" s="2">
        <v>1</v>
      </c>
      <c r="U1730" s="2" t="s">
        <v>79</v>
      </c>
      <c r="V1730" s="2">
        <v>3</v>
      </c>
      <c r="W1730" s="2" t="s">
        <v>225</v>
      </c>
      <c r="X1730" s="2">
        <v>2</v>
      </c>
      <c r="Y1730" s="2" t="s">
        <v>136</v>
      </c>
      <c r="Z1730" s="2">
        <v>1</v>
      </c>
      <c r="AA1730" s="2" t="s">
        <v>82</v>
      </c>
      <c r="AB1730" s="2">
        <v>9</v>
      </c>
      <c r="AC1730" s="2" t="s">
        <v>124</v>
      </c>
      <c r="AD1730" s="3">
        <v>40287</v>
      </c>
      <c r="AE1730" s="4">
        <v>0.56874999999999998</v>
      </c>
      <c r="AF1730" s="2"/>
      <c r="AG1730" s="2"/>
      <c r="AH1730" s="2">
        <v>6</v>
      </c>
      <c r="AI1730" s="2" t="s">
        <v>197</v>
      </c>
      <c r="AJ1730" s="2">
        <v>47</v>
      </c>
      <c r="AK1730" s="2" t="s">
        <v>250</v>
      </c>
      <c r="AL1730" s="2">
        <v>19</v>
      </c>
      <c r="AM1730" s="2" t="s">
        <v>107</v>
      </c>
      <c r="AN1730" s="2"/>
      <c r="AO1730" s="2" t="s">
        <v>6181</v>
      </c>
      <c r="AP1730" s="2">
        <v>11</v>
      </c>
      <c r="AQ1730" s="2" t="s">
        <v>82</v>
      </c>
      <c r="AR1730" s="2"/>
      <c r="AS1730" s="2"/>
      <c r="AT1730" s="2" t="s">
        <v>6182</v>
      </c>
      <c r="AU1730" s="2"/>
      <c r="AV1730" s="2"/>
      <c r="AW1730" s="2"/>
      <c r="AX1730" s="2"/>
      <c r="AY1730" s="2">
        <v>41</v>
      </c>
      <c r="AZ1730" s="2" t="s">
        <v>82</v>
      </c>
      <c r="BA1730" s="2">
        <v>41</v>
      </c>
      <c r="BB1730" s="2" t="s">
        <v>82</v>
      </c>
      <c r="BC1730" s="2">
        <v>41</v>
      </c>
      <c r="BD1730" s="2" t="s">
        <v>82</v>
      </c>
      <c r="BE1730" s="2">
        <v>41</v>
      </c>
      <c r="BF1730" s="2" t="s">
        <v>82</v>
      </c>
      <c r="BG1730" s="2"/>
      <c r="BH1730" s="2"/>
      <c r="BI1730" s="2"/>
      <c r="BJ1730" s="2">
        <v>241</v>
      </c>
      <c r="BK1730" s="2" t="s">
        <v>82</v>
      </c>
      <c r="BL1730" s="2"/>
      <c r="BM1730" s="2">
        <v>241</v>
      </c>
      <c r="BN1730" s="2" t="s">
        <v>82</v>
      </c>
      <c r="BO1730" s="2"/>
      <c r="BP1730" s="2">
        <v>241</v>
      </c>
      <c r="BQ1730" s="2" t="s">
        <v>82</v>
      </c>
      <c r="BR1730" s="2"/>
      <c r="BS1730" s="3">
        <v>40295</v>
      </c>
      <c r="BT1730" s="4">
        <v>0.70464120370370376</v>
      </c>
    </row>
    <row r="1731" spans="1:72" x14ac:dyDescent="0.25">
      <c r="A1731" s="2">
        <v>2506</v>
      </c>
      <c r="B1731" s="2">
        <v>2010</v>
      </c>
      <c r="C1731" s="2" t="s">
        <v>806</v>
      </c>
      <c r="D1731" s="2" t="s">
        <v>73</v>
      </c>
      <c r="E1731" s="2"/>
      <c r="F1731" s="2">
        <v>507</v>
      </c>
      <c r="G1731" s="2" t="s">
        <v>2475</v>
      </c>
      <c r="H1731" s="2">
        <v>2</v>
      </c>
      <c r="I1731" s="2" t="s">
        <v>267</v>
      </c>
      <c r="J1731" s="2">
        <v>537</v>
      </c>
      <c r="K1731" s="2" t="s">
        <v>6183</v>
      </c>
      <c r="L1731" s="2" t="s">
        <v>6184</v>
      </c>
      <c r="M1731" s="3">
        <v>40295</v>
      </c>
      <c r="N1731" s="2" t="s">
        <v>6185</v>
      </c>
      <c r="O1731" s="2" t="s">
        <v>6186</v>
      </c>
      <c r="P1731" s="2" t="s">
        <v>6187</v>
      </c>
      <c r="Q1731" s="2" t="str">
        <f>"795/04"</f>
        <v>795/04</v>
      </c>
      <c r="R1731" s="2" t="s">
        <v>107</v>
      </c>
      <c r="S1731" s="2" t="s">
        <v>107</v>
      </c>
      <c r="T1731" s="2">
        <v>1</v>
      </c>
      <c r="U1731" s="2" t="s">
        <v>79</v>
      </c>
      <c r="V1731" s="2">
        <v>1</v>
      </c>
      <c r="W1731" s="2" t="s">
        <v>80</v>
      </c>
      <c r="X1731" s="2">
        <v>7</v>
      </c>
      <c r="Y1731" s="2" t="s">
        <v>1964</v>
      </c>
      <c r="Z1731" s="2">
        <v>1</v>
      </c>
      <c r="AA1731" s="2" t="s">
        <v>82</v>
      </c>
      <c r="AB1731" s="2">
        <v>9</v>
      </c>
      <c r="AC1731" s="2" t="s">
        <v>124</v>
      </c>
      <c r="AD1731" s="3">
        <v>40295</v>
      </c>
      <c r="AE1731" s="4">
        <v>0.38194444444444442</v>
      </c>
      <c r="AF1731" s="2"/>
      <c r="AG1731" s="2"/>
      <c r="AH1731" s="2">
        <v>7</v>
      </c>
      <c r="AI1731" s="2" t="s">
        <v>801</v>
      </c>
      <c r="AJ1731" s="2">
        <v>3</v>
      </c>
      <c r="AK1731" s="2" t="s">
        <v>802</v>
      </c>
      <c r="AL1731" s="2">
        <v>23</v>
      </c>
      <c r="AM1731" s="2" t="s">
        <v>251</v>
      </c>
      <c r="AN1731" s="2" t="s">
        <v>107</v>
      </c>
      <c r="AO1731" s="2" t="s">
        <v>6188</v>
      </c>
      <c r="AP1731" s="2">
        <v>11</v>
      </c>
      <c r="AQ1731" s="2" t="s">
        <v>82</v>
      </c>
      <c r="AR1731" s="2"/>
      <c r="AS1731" s="2"/>
      <c r="AT1731" s="2" t="s">
        <v>6189</v>
      </c>
      <c r="AU1731" s="2">
        <v>1</v>
      </c>
      <c r="AV1731" s="2"/>
      <c r="AW1731" s="2"/>
      <c r="AX1731" s="2"/>
      <c r="AY1731" s="2">
        <v>1</v>
      </c>
      <c r="AZ1731" s="2" t="s">
        <v>107</v>
      </c>
      <c r="BA1731" s="2">
        <v>1</v>
      </c>
      <c r="BB1731" s="2" t="s">
        <v>107</v>
      </c>
      <c r="BC1731" s="2">
        <v>1</v>
      </c>
      <c r="BD1731" s="2" t="s">
        <v>107</v>
      </c>
      <c r="BE1731" s="2">
        <v>1</v>
      </c>
      <c r="BF1731" s="2" t="s">
        <v>107</v>
      </c>
      <c r="BG1731" s="2"/>
      <c r="BH1731" s="2"/>
      <c r="BI1731" s="2"/>
      <c r="BJ1731" s="2">
        <v>242</v>
      </c>
      <c r="BK1731" s="2" t="s">
        <v>107</v>
      </c>
      <c r="BL1731" s="2"/>
      <c r="BM1731" s="2">
        <v>242</v>
      </c>
      <c r="BN1731" s="2" t="s">
        <v>107</v>
      </c>
      <c r="BO1731" s="2"/>
      <c r="BP1731" s="2">
        <v>242</v>
      </c>
      <c r="BQ1731" s="2" t="s">
        <v>107</v>
      </c>
      <c r="BR1731" s="2"/>
      <c r="BS1731" s="3">
        <v>40295</v>
      </c>
      <c r="BT1731" s="4">
        <v>0.71993055555555552</v>
      </c>
    </row>
    <row r="1732" spans="1:72" x14ac:dyDescent="0.25">
      <c r="A1732" s="2">
        <v>2508</v>
      </c>
      <c r="B1732" s="2">
        <v>2010</v>
      </c>
      <c r="C1732" s="2" t="s">
        <v>806</v>
      </c>
      <c r="D1732" s="2" t="s">
        <v>73</v>
      </c>
      <c r="E1732" s="2" t="s">
        <v>6190</v>
      </c>
      <c r="F1732" s="2">
        <v>483</v>
      </c>
      <c r="G1732" s="2" t="s">
        <v>1477</v>
      </c>
      <c r="H1732" s="2">
        <v>11</v>
      </c>
      <c r="I1732" s="2" t="s">
        <v>1397</v>
      </c>
      <c r="J1732" s="2">
        <v>167</v>
      </c>
      <c r="K1732" s="2" t="s">
        <v>1032</v>
      </c>
      <c r="L1732" s="2" t="s">
        <v>1033</v>
      </c>
      <c r="M1732" s="3">
        <v>40295</v>
      </c>
      <c r="N1732" s="2" t="s">
        <v>6148</v>
      </c>
      <c r="O1732" s="2" t="s">
        <v>6149</v>
      </c>
      <c r="P1732" s="2" t="s">
        <v>6150</v>
      </c>
      <c r="Q1732" s="2" t="str">
        <f>"795/04"</f>
        <v>795/04</v>
      </c>
      <c r="R1732" s="2" t="s">
        <v>107</v>
      </c>
      <c r="S1732" s="2" t="s">
        <v>107</v>
      </c>
      <c r="T1732" s="2">
        <v>1</v>
      </c>
      <c r="U1732" s="2" t="s">
        <v>79</v>
      </c>
      <c r="V1732" s="2">
        <v>1</v>
      </c>
      <c r="W1732" s="2" t="s">
        <v>80</v>
      </c>
      <c r="X1732" s="2">
        <v>9</v>
      </c>
      <c r="Y1732" s="2" t="s">
        <v>3393</v>
      </c>
      <c r="Z1732" s="2">
        <v>1</v>
      </c>
      <c r="AA1732" s="2" t="s">
        <v>82</v>
      </c>
      <c r="AB1732" s="2">
        <v>9</v>
      </c>
      <c r="AC1732" s="2" t="s">
        <v>124</v>
      </c>
      <c r="AD1732" s="3">
        <v>40295</v>
      </c>
      <c r="AE1732" s="4">
        <v>0.38194444444444442</v>
      </c>
      <c r="AF1732" s="3">
        <v>40295</v>
      </c>
      <c r="AG1732" s="2"/>
      <c r="AH1732" s="2">
        <v>7</v>
      </c>
      <c r="AI1732" s="2" t="s">
        <v>801</v>
      </c>
      <c r="AJ1732" s="2">
        <v>3</v>
      </c>
      <c r="AK1732" s="2" t="s">
        <v>802</v>
      </c>
      <c r="AL1732" s="2">
        <v>23</v>
      </c>
      <c r="AM1732" s="2" t="s">
        <v>251</v>
      </c>
      <c r="AN1732" s="2" t="s">
        <v>107</v>
      </c>
      <c r="AO1732" s="2" t="s">
        <v>6151</v>
      </c>
      <c r="AP1732" s="2">
        <v>11</v>
      </c>
      <c r="AQ1732" s="2" t="s">
        <v>82</v>
      </c>
      <c r="AR1732" s="2" t="s">
        <v>107</v>
      </c>
      <c r="AS1732" s="2" t="s">
        <v>107</v>
      </c>
      <c r="AT1732" s="2" t="s">
        <v>6191</v>
      </c>
      <c r="AU1732" s="2"/>
      <c r="AV1732" s="2"/>
      <c r="AW1732" s="2"/>
      <c r="AX1732" s="2"/>
      <c r="AY1732" s="2">
        <v>1</v>
      </c>
      <c r="AZ1732" s="2" t="s">
        <v>107</v>
      </c>
      <c r="BA1732" s="2">
        <v>1</v>
      </c>
      <c r="BB1732" s="2" t="s">
        <v>107</v>
      </c>
      <c r="BC1732" s="2">
        <v>1</v>
      </c>
      <c r="BD1732" s="2" t="s">
        <v>107</v>
      </c>
      <c r="BE1732" s="2">
        <v>1</v>
      </c>
      <c r="BF1732" s="2" t="s">
        <v>107</v>
      </c>
      <c r="BG1732" s="2" t="s">
        <v>107</v>
      </c>
      <c r="BH1732" s="2"/>
      <c r="BI1732" s="2"/>
      <c r="BJ1732" s="2">
        <v>242</v>
      </c>
      <c r="BK1732" s="2" t="s">
        <v>107</v>
      </c>
      <c r="BL1732" s="2" t="s">
        <v>107</v>
      </c>
      <c r="BM1732" s="2">
        <v>242</v>
      </c>
      <c r="BN1732" s="2" t="s">
        <v>107</v>
      </c>
      <c r="BO1732" s="2" t="s">
        <v>107</v>
      </c>
      <c r="BP1732" s="2">
        <v>242</v>
      </c>
      <c r="BQ1732" s="2" t="s">
        <v>107</v>
      </c>
      <c r="BR1732" s="2" t="s">
        <v>107</v>
      </c>
      <c r="BS1732" s="3">
        <v>40295</v>
      </c>
      <c r="BT1732" s="4">
        <v>0.73953703703703699</v>
      </c>
    </row>
    <row r="1733" spans="1:72" x14ac:dyDescent="0.25">
      <c r="A1733" s="2">
        <v>2509</v>
      </c>
      <c r="B1733" s="2">
        <v>2010</v>
      </c>
      <c r="C1733" s="2" t="s">
        <v>806</v>
      </c>
      <c r="D1733" s="2" t="s">
        <v>73</v>
      </c>
      <c r="E1733" s="2" t="s">
        <v>6192</v>
      </c>
      <c r="F1733" s="2">
        <v>483</v>
      </c>
      <c r="G1733" s="2" t="s">
        <v>1477</v>
      </c>
      <c r="H1733" s="2">
        <v>11</v>
      </c>
      <c r="I1733" s="2" t="s">
        <v>1397</v>
      </c>
      <c r="J1733" s="2">
        <v>167</v>
      </c>
      <c r="K1733" s="2" t="s">
        <v>1032</v>
      </c>
      <c r="L1733" s="2" t="s">
        <v>1033</v>
      </c>
      <c r="M1733" s="3">
        <v>40295</v>
      </c>
      <c r="N1733" s="2" t="s">
        <v>6148</v>
      </c>
      <c r="O1733" s="2" t="s">
        <v>6153</v>
      </c>
      <c r="P1733" s="2" t="s">
        <v>6150</v>
      </c>
      <c r="Q1733" s="2" t="str">
        <f>"795/04"</f>
        <v>795/04</v>
      </c>
      <c r="R1733" s="2" t="s">
        <v>107</v>
      </c>
      <c r="S1733" s="2" t="s">
        <v>107</v>
      </c>
      <c r="T1733" s="2">
        <v>1</v>
      </c>
      <c r="U1733" s="2" t="s">
        <v>79</v>
      </c>
      <c r="V1733" s="2">
        <v>1</v>
      </c>
      <c r="W1733" s="2" t="s">
        <v>80</v>
      </c>
      <c r="X1733" s="2">
        <v>9</v>
      </c>
      <c r="Y1733" s="2" t="s">
        <v>3393</v>
      </c>
      <c r="Z1733" s="2">
        <v>1</v>
      </c>
      <c r="AA1733" s="2" t="s">
        <v>82</v>
      </c>
      <c r="AB1733" s="2">
        <v>9</v>
      </c>
      <c r="AC1733" s="2" t="s">
        <v>124</v>
      </c>
      <c r="AD1733" s="3">
        <v>40295</v>
      </c>
      <c r="AE1733" s="4">
        <v>0.38541666666666669</v>
      </c>
      <c r="AF1733" s="2"/>
      <c r="AG1733" s="2"/>
      <c r="AH1733" s="2">
        <v>7</v>
      </c>
      <c r="AI1733" s="2" t="s">
        <v>801</v>
      </c>
      <c r="AJ1733" s="2">
        <v>3</v>
      </c>
      <c r="AK1733" s="2" t="s">
        <v>802</v>
      </c>
      <c r="AL1733" s="2">
        <v>23</v>
      </c>
      <c r="AM1733" s="2" t="s">
        <v>251</v>
      </c>
      <c r="AN1733" s="2" t="s">
        <v>107</v>
      </c>
      <c r="AO1733" s="2" t="s">
        <v>6154</v>
      </c>
      <c r="AP1733" s="2">
        <v>11</v>
      </c>
      <c r="AQ1733" s="2" t="s">
        <v>82</v>
      </c>
      <c r="AR1733" s="2" t="s">
        <v>107</v>
      </c>
      <c r="AS1733" s="2" t="s">
        <v>107</v>
      </c>
      <c r="AT1733" s="2" t="s">
        <v>6193</v>
      </c>
      <c r="AU1733" s="2"/>
      <c r="AV1733" s="2"/>
      <c r="AW1733" s="2"/>
      <c r="AX1733" s="2"/>
      <c r="AY1733" s="2">
        <v>1</v>
      </c>
      <c r="AZ1733" s="2" t="s">
        <v>107</v>
      </c>
      <c r="BA1733" s="2">
        <v>1</v>
      </c>
      <c r="BB1733" s="2" t="s">
        <v>107</v>
      </c>
      <c r="BC1733" s="2">
        <v>1</v>
      </c>
      <c r="BD1733" s="2" t="s">
        <v>107</v>
      </c>
      <c r="BE1733" s="2">
        <v>1</v>
      </c>
      <c r="BF1733" s="2" t="s">
        <v>107</v>
      </c>
      <c r="BG1733" s="2" t="s">
        <v>107</v>
      </c>
      <c r="BH1733" s="2"/>
      <c r="BI1733" s="2"/>
      <c r="BJ1733" s="2">
        <v>242</v>
      </c>
      <c r="BK1733" s="2" t="s">
        <v>107</v>
      </c>
      <c r="BL1733" s="2" t="s">
        <v>107</v>
      </c>
      <c r="BM1733" s="2">
        <v>242</v>
      </c>
      <c r="BN1733" s="2" t="s">
        <v>107</v>
      </c>
      <c r="BO1733" s="2" t="s">
        <v>107</v>
      </c>
      <c r="BP1733" s="2">
        <v>242</v>
      </c>
      <c r="BQ1733" s="2" t="s">
        <v>107</v>
      </c>
      <c r="BR1733" s="2" t="s">
        <v>107</v>
      </c>
      <c r="BS1733" s="3">
        <v>40295</v>
      </c>
      <c r="BT1733" s="4">
        <v>0.75739583333333327</v>
      </c>
    </row>
    <row r="1734" spans="1:72" x14ac:dyDescent="0.25">
      <c r="A1734" s="2">
        <v>2510</v>
      </c>
      <c r="B1734" s="2">
        <v>2010</v>
      </c>
      <c r="C1734" s="2" t="s">
        <v>171</v>
      </c>
      <c r="D1734" s="2" t="s">
        <v>73</v>
      </c>
      <c r="E1734" s="2"/>
      <c r="F1734" s="2">
        <v>161</v>
      </c>
      <c r="G1734" s="2" t="s">
        <v>5671</v>
      </c>
      <c r="H1734" s="2">
        <v>98</v>
      </c>
      <c r="I1734" s="2" t="s">
        <v>6194</v>
      </c>
      <c r="J1734" s="2">
        <v>171</v>
      </c>
      <c r="K1734" s="2" t="s">
        <v>5673</v>
      </c>
      <c r="L1734" s="2" t="s">
        <v>5674</v>
      </c>
      <c r="M1734" s="3">
        <v>40295</v>
      </c>
      <c r="N1734" s="2" t="s">
        <v>6195</v>
      </c>
      <c r="O1734" s="2" t="s">
        <v>107</v>
      </c>
      <c r="P1734" s="2" t="s">
        <v>107</v>
      </c>
      <c r="Q1734" s="2" t="str">
        <f>"163-A/10"</f>
        <v>163-A/10</v>
      </c>
      <c r="R1734" s="2" t="s">
        <v>107</v>
      </c>
      <c r="S1734" s="2" t="s">
        <v>489</v>
      </c>
      <c r="T1734" s="2">
        <v>1</v>
      </c>
      <c r="U1734" s="2" t="s">
        <v>79</v>
      </c>
      <c r="V1734" s="2">
        <v>1</v>
      </c>
      <c r="W1734" s="2" t="s">
        <v>80</v>
      </c>
      <c r="X1734" s="2">
        <v>1</v>
      </c>
      <c r="Y1734" s="2" t="s">
        <v>81</v>
      </c>
      <c r="Z1734" s="2">
        <v>10</v>
      </c>
      <c r="AA1734" s="2" t="s">
        <v>236</v>
      </c>
      <c r="AB1734" s="2">
        <v>1</v>
      </c>
      <c r="AC1734" s="2" t="s">
        <v>178</v>
      </c>
      <c r="AD1734" s="3">
        <v>40295</v>
      </c>
      <c r="AE1734" s="4">
        <v>0.60416666666666663</v>
      </c>
      <c r="AF1734" s="2"/>
      <c r="AG1734" s="2"/>
      <c r="AH1734" s="2">
        <v>2</v>
      </c>
      <c r="AI1734" s="2" t="s">
        <v>84</v>
      </c>
      <c r="AJ1734" s="2">
        <v>12</v>
      </c>
      <c r="AK1734" s="2" t="s">
        <v>85</v>
      </c>
      <c r="AL1734" s="2">
        <v>28</v>
      </c>
      <c r="AM1734" s="2" t="s">
        <v>5969</v>
      </c>
      <c r="AN1734" s="2" t="s">
        <v>6196</v>
      </c>
      <c r="AO1734" s="2" t="s">
        <v>6197</v>
      </c>
      <c r="AP1734" s="2">
        <v>11</v>
      </c>
      <c r="AQ1734" s="2" t="s">
        <v>82</v>
      </c>
      <c r="AR1734" s="2"/>
      <c r="AS1734" s="2"/>
      <c r="AT1734" s="2" t="s">
        <v>6198</v>
      </c>
      <c r="AU1734" s="2">
        <v>1</v>
      </c>
      <c r="AV1734" s="2"/>
      <c r="AW1734" s="2"/>
      <c r="AX1734" s="2"/>
      <c r="AY1734" s="2">
        <v>41</v>
      </c>
      <c r="AZ1734" s="2" t="s">
        <v>82</v>
      </c>
      <c r="BA1734" s="2">
        <v>41</v>
      </c>
      <c r="BB1734" s="2" t="s">
        <v>82</v>
      </c>
      <c r="BC1734" s="2">
        <v>41</v>
      </c>
      <c r="BD1734" s="2" t="s">
        <v>82</v>
      </c>
      <c r="BE1734" s="2">
        <v>41</v>
      </c>
      <c r="BF1734" s="2" t="s">
        <v>82</v>
      </c>
      <c r="BG1734" s="2"/>
      <c r="BH1734" s="2"/>
      <c r="BI1734" s="2"/>
      <c r="BJ1734" s="2">
        <v>241</v>
      </c>
      <c r="BK1734" s="2" t="s">
        <v>82</v>
      </c>
      <c r="BL1734" s="2"/>
      <c r="BM1734" s="2">
        <v>241</v>
      </c>
      <c r="BN1734" s="2" t="s">
        <v>82</v>
      </c>
      <c r="BO1734" s="2"/>
      <c r="BP1734" s="2">
        <v>241</v>
      </c>
      <c r="BQ1734" s="2" t="s">
        <v>82</v>
      </c>
      <c r="BR1734" s="2"/>
      <c r="BS1734" s="3">
        <v>40295</v>
      </c>
      <c r="BT1734" s="4">
        <v>0.77361111111111114</v>
      </c>
    </row>
    <row r="1735" spans="1:72" x14ac:dyDescent="0.25">
      <c r="A1735" s="2">
        <v>2511</v>
      </c>
      <c r="B1735" s="2">
        <v>2010</v>
      </c>
      <c r="C1735" s="2" t="s">
        <v>72</v>
      </c>
      <c r="D1735" s="2" t="s">
        <v>73</v>
      </c>
      <c r="E1735" s="2" t="s">
        <v>6199</v>
      </c>
      <c r="F1735" s="2">
        <v>2</v>
      </c>
      <c r="G1735" s="2" t="s">
        <v>113</v>
      </c>
      <c r="H1735" s="2">
        <v>2</v>
      </c>
      <c r="I1735" s="2" t="s">
        <v>267</v>
      </c>
      <c r="J1735" s="2">
        <v>300</v>
      </c>
      <c r="K1735" s="2" t="s">
        <v>114</v>
      </c>
      <c r="L1735" s="2" t="s">
        <v>115</v>
      </c>
      <c r="M1735" s="3">
        <v>40295</v>
      </c>
      <c r="N1735" s="2" t="s">
        <v>107</v>
      </c>
      <c r="O1735" s="2" t="s">
        <v>6026</v>
      </c>
      <c r="P1735" s="2" t="s">
        <v>6027</v>
      </c>
      <c r="Q1735" s="2" t="str">
        <f>"N° 223-E/10"</f>
        <v>N° 223-E/10</v>
      </c>
      <c r="R1735" s="2" t="s">
        <v>6026</v>
      </c>
      <c r="S1735" s="2"/>
      <c r="T1735" s="2">
        <v>1</v>
      </c>
      <c r="U1735" s="2" t="s">
        <v>79</v>
      </c>
      <c r="V1735" s="2">
        <v>3</v>
      </c>
      <c r="W1735" s="2" t="s">
        <v>225</v>
      </c>
      <c r="X1735" s="2">
        <v>2</v>
      </c>
      <c r="Y1735" s="2" t="s">
        <v>136</v>
      </c>
      <c r="Z1735" s="2">
        <v>1</v>
      </c>
      <c r="AA1735" s="2" t="s">
        <v>82</v>
      </c>
      <c r="AB1735" s="2">
        <v>9</v>
      </c>
      <c r="AC1735" s="2" t="s">
        <v>124</v>
      </c>
      <c r="AD1735" s="3">
        <v>40291</v>
      </c>
      <c r="AE1735" s="4">
        <v>0.84375</v>
      </c>
      <c r="AF1735" s="2"/>
      <c r="AG1735" s="2"/>
      <c r="AH1735" s="2">
        <v>3</v>
      </c>
      <c r="AI1735" s="2" t="s">
        <v>214</v>
      </c>
      <c r="AJ1735" s="2">
        <v>24</v>
      </c>
      <c r="AK1735" s="2" t="s">
        <v>215</v>
      </c>
      <c r="AL1735" s="2">
        <v>19</v>
      </c>
      <c r="AM1735" s="2" t="s">
        <v>107</v>
      </c>
      <c r="AN1735" s="2" t="s">
        <v>107</v>
      </c>
      <c r="AO1735" s="2" t="s">
        <v>107</v>
      </c>
      <c r="AP1735" s="2">
        <v>11</v>
      </c>
      <c r="AQ1735" s="2" t="s">
        <v>82</v>
      </c>
      <c r="AR1735" s="2"/>
      <c r="AS1735" s="2"/>
      <c r="AT1735" s="2" t="s">
        <v>6200</v>
      </c>
      <c r="AU1735" s="2"/>
      <c r="AV1735" s="2"/>
      <c r="AW1735" s="2"/>
      <c r="AX1735" s="2"/>
      <c r="AY1735" s="2">
        <v>1</v>
      </c>
      <c r="AZ1735" s="2" t="s">
        <v>107</v>
      </c>
      <c r="BA1735" s="2">
        <v>1</v>
      </c>
      <c r="BB1735" s="2" t="s">
        <v>107</v>
      </c>
      <c r="BC1735" s="2">
        <v>1</v>
      </c>
      <c r="BD1735" s="2" t="s">
        <v>107</v>
      </c>
      <c r="BE1735" s="2">
        <v>1</v>
      </c>
      <c r="BF1735" s="2" t="s">
        <v>107</v>
      </c>
      <c r="BG1735" s="2"/>
      <c r="BH1735" s="2"/>
      <c r="BI1735" s="2"/>
      <c r="BJ1735" s="2">
        <v>242</v>
      </c>
      <c r="BK1735" s="2" t="s">
        <v>107</v>
      </c>
      <c r="BL1735" s="2"/>
      <c r="BM1735" s="2">
        <v>242</v>
      </c>
      <c r="BN1735" s="2" t="s">
        <v>107</v>
      </c>
      <c r="BO1735" s="2"/>
      <c r="BP1735" s="2">
        <v>242</v>
      </c>
      <c r="BQ1735" s="2" t="s">
        <v>107</v>
      </c>
      <c r="BR1735" s="2"/>
      <c r="BS1735" s="3">
        <v>40295</v>
      </c>
      <c r="BT1735" s="4">
        <v>0.78954861111111108</v>
      </c>
    </row>
    <row r="1736" spans="1:72" x14ac:dyDescent="0.25">
      <c r="A1736" s="2">
        <v>2513</v>
      </c>
      <c r="B1736" s="2">
        <v>2010</v>
      </c>
      <c r="C1736" s="2" t="s">
        <v>171</v>
      </c>
      <c r="D1736" s="2" t="s">
        <v>73</v>
      </c>
      <c r="E1736" s="2"/>
      <c r="F1736" s="2">
        <v>471</v>
      </c>
      <c r="G1736" s="2" t="s">
        <v>6201</v>
      </c>
      <c r="H1736" s="2">
        <v>60</v>
      </c>
      <c r="I1736" s="2" t="s">
        <v>2704</v>
      </c>
      <c r="J1736" s="2">
        <v>374</v>
      </c>
      <c r="K1736" s="2" t="s">
        <v>1191</v>
      </c>
      <c r="L1736" s="2" t="s">
        <v>132</v>
      </c>
      <c r="M1736" s="3">
        <v>40295</v>
      </c>
      <c r="N1736" s="2" t="s">
        <v>6202</v>
      </c>
      <c r="O1736" s="2" t="s">
        <v>6203</v>
      </c>
      <c r="P1736" s="2" t="s">
        <v>6204</v>
      </c>
      <c r="Q1736" s="2" t="str">
        <f>"542/2008"</f>
        <v>542/2008</v>
      </c>
      <c r="R1736" s="2"/>
      <c r="S1736" s="2" t="s">
        <v>6205</v>
      </c>
      <c r="T1736" s="2">
        <v>1</v>
      </c>
      <c r="U1736" s="2" t="s">
        <v>79</v>
      </c>
      <c r="V1736" s="2">
        <v>3</v>
      </c>
      <c r="W1736" s="2" t="s">
        <v>225</v>
      </c>
      <c r="X1736" s="2">
        <v>6</v>
      </c>
      <c r="Y1736" s="2" t="s">
        <v>249</v>
      </c>
      <c r="Z1736" s="2">
        <v>1</v>
      </c>
      <c r="AA1736" s="2" t="s">
        <v>82</v>
      </c>
      <c r="AB1736" s="2">
        <v>9</v>
      </c>
      <c r="AC1736" s="2" t="s">
        <v>124</v>
      </c>
      <c r="AD1736" s="2"/>
      <c r="AE1736" s="2"/>
      <c r="AF1736" s="2"/>
      <c r="AG1736" s="2"/>
      <c r="AH1736" s="2">
        <v>5</v>
      </c>
      <c r="AI1736" s="2" t="s">
        <v>274</v>
      </c>
      <c r="AJ1736" s="2">
        <v>35</v>
      </c>
      <c r="AK1736" s="2" t="s">
        <v>275</v>
      </c>
      <c r="AL1736" s="2">
        <v>23</v>
      </c>
      <c r="AM1736" s="2" t="s">
        <v>251</v>
      </c>
      <c r="AN1736" s="2"/>
      <c r="AO1736" s="2"/>
      <c r="AP1736" s="2">
        <v>11</v>
      </c>
      <c r="AQ1736" s="2" t="s">
        <v>82</v>
      </c>
      <c r="AR1736" s="2"/>
      <c r="AS1736" s="2"/>
      <c r="AT1736" s="2" t="s">
        <v>6206</v>
      </c>
      <c r="AU1736" s="2"/>
      <c r="AV1736" s="2"/>
      <c r="AW1736" s="2"/>
      <c r="AX1736" s="2"/>
      <c r="AY1736" s="2">
        <v>1</v>
      </c>
      <c r="AZ1736" s="2" t="s">
        <v>107</v>
      </c>
      <c r="BA1736" s="2">
        <v>1</v>
      </c>
      <c r="BB1736" s="2" t="s">
        <v>107</v>
      </c>
      <c r="BC1736" s="2">
        <v>1</v>
      </c>
      <c r="BD1736" s="2" t="s">
        <v>107</v>
      </c>
      <c r="BE1736" s="2">
        <v>1</v>
      </c>
      <c r="BF1736" s="2" t="s">
        <v>107</v>
      </c>
      <c r="BG1736" s="2"/>
      <c r="BH1736" s="2"/>
      <c r="BI1736" s="2"/>
      <c r="BJ1736" s="2">
        <v>242</v>
      </c>
      <c r="BK1736" s="2" t="s">
        <v>107</v>
      </c>
      <c r="BL1736" s="2"/>
      <c r="BM1736" s="2">
        <v>242</v>
      </c>
      <c r="BN1736" s="2" t="s">
        <v>107</v>
      </c>
      <c r="BO1736" s="2"/>
      <c r="BP1736" s="2">
        <v>242</v>
      </c>
      <c r="BQ1736" s="2" t="s">
        <v>107</v>
      </c>
      <c r="BR1736" s="2"/>
      <c r="BS1736" s="3">
        <v>40295</v>
      </c>
      <c r="BT1736" s="4">
        <v>0.81108796296296293</v>
      </c>
    </row>
    <row r="1737" spans="1:72" x14ac:dyDescent="0.25">
      <c r="A1737" s="2">
        <v>2514</v>
      </c>
      <c r="B1737" s="2">
        <v>2010</v>
      </c>
      <c r="C1737" s="2" t="s">
        <v>819</v>
      </c>
      <c r="D1737" s="2" t="s">
        <v>122</v>
      </c>
      <c r="E1737" s="2"/>
      <c r="F1737" s="2">
        <v>425</v>
      </c>
      <c r="G1737" s="2" t="s">
        <v>286</v>
      </c>
      <c r="H1737" s="2">
        <v>30</v>
      </c>
      <c r="I1737" s="2" t="s">
        <v>912</v>
      </c>
      <c r="J1737" s="2">
        <v>310</v>
      </c>
      <c r="K1737" s="2" t="s">
        <v>288</v>
      </c>
      <c r="L1737" s="2" t="s">
        <v>289</v>
      </c>
      <c r="M1737" s="3">
        <v>40295</v>
      </c>
      <c r="N1737" s="2" t="s">
        <v>2049</v>
      </c>
      <c r="O1737" s="2" t="s">
        <v>5454</v>
      </c>
      <c r="P1737" s="2" t="s">
        <v>5454</v>
      </c>
      <c r="Q1737" s="2" t="str">
        <f>"047/10"</f>
        <v>047/10</v>
      </c>
      <c r="R1737" s="2" t="s">
        <v>5454</v>
      </c>
      <c r="S1737" s="2" t="s">
        <v>822</v>
      </c>
      <c r="T1737" s="2">
        <v>1</v>
      </c>
      <c r="U1737" s="2" t="s">
        <v>79</v>
      </c>
      <c r="V1737" s="2">
        <v>1</v>
      </c>
      <c r="W1737" s="2" t="s">
        <v>80</v>
      </c>
      <c r="X1737" s="2">
        <v>1</v>
      </c>
      <c r="Y1737" s="2" t="s">
        <v>81</v>
      </c>
      <c r="Z1737" s="2">
        <v>10</v>
      </c>
      <c r="AA1737" s="2" t="s">
        <v>236</v>
      </c>
      <c r="AB1737" s="2">
        <v>9</v>
      </c>
      <c r="AC1737" s="2" t="s">
        <v>124</v>
      </c>
      <c r="AD1737" s="3">
        <v>40295</v>
      </c>
      <c r="AE1737" s="4">
        <v>0.82291666666666663</v>
      </c>
      <c r="AF1737" s="2"/>
      <c r="AG1737" s="2"/>
      <c r="AH1737" s="2">
        <v>4</v>
      </c>
      <c r="AI1737" s="2" t="s">
        <v>125</v>
      </c>
      <c r="AJ1737" s="2">
        <v>29</v>
      </c>
      <c r="AK1737" s="2" t="s">
        <v>227</v>
      </c>
      <c r="AL1737" s="2">
        <v>10</v>
      </c>
      <c r="AM1737" s="2" t="s">
        <v>200</v>
      </c>
      <c r="AN1737" s="2" t="s">
        <v>6207</v>
      </c>
      <c r="AO1737" s="2" t="s">
        <v>6208</v>
      </c>
      <c r="AP1737" s="2">
        <v>14</v>
      </c>
      <c r="AQ1737" s="2" t="s">
        <v>3301</v>
      </c>
      <c r="AR1737" s="2" t="s">
        <v>824</v>
      </c>
      <c r="AS1737" s="2" t="s">
        <v>884</v>
      </c>
      <c r="AT1737" s="2" t="s">
        <v>6209</v>
      </c>
      <c r="AU1737" s="2"/>
      <c r="AV1737" s="2"/>
      <c r="AW1737" s="2"/>
      <c r="AX1737" s="2"/>
      <c r="AY1737" s="2">
        <v>41</v>
      </c>
      <c r="AZ1737" s="2" t="s">
        <v>82</v>
      </c>
      <c r="BA1737" s="2">
        <v>41</v>
      </c>
      <c r="BB1737" s="2" t="s">
        <v>82</v>
      </c>
      <c r="BC1737" s="2">
        <v>41</v>
      </c>
      <c r="BD1737" s="2" t="s">
        <v>82</v>
      </c>
      <c r="BE1737" s="2">
        <v>4</v>
      </c>
      <c r="BF1737" s="2" t="s">
        <v>90</v>
      </c>
      <c r="BG1737" s="2">
        <v>4139</v>
      </c>
      <c r="BH1737" s="4">
        <v>0.81597222222222221</v>
      </c>
      <c r="BI1737" s="4">
        <v>0.84722222222222221</v>
      </c>
      <c r="BJ1737" s="2">
        <v>13</v>
      </c>
      <c r="BK1737" s="2" t="s">
        <v>91</v>
      </c>
      <c r="BL1737" s="2" t="s">
        <v>828</v>
      </c>
      <c r="BM1737" s="2">
        <v>241</v>
      </c>
      <c r="BN1737" s="2" t="s">
        <v>82</v>
      </c>
      <c r="BO1737" s="2" t="s">
        <v>82</v>
      </c>
      <c r="BP1737" s="2">
        <v>13</v>
      </c>
      <c r="BQ1737" s="2" t="s">
        <v>91</v>
      </c>
      <c r="BR1737" s="2" t="s">
        <v>1108</v>
      </c>
      <c r="BS1737" s="3">
        <v>40295</v>
      </c>
      <c r="BT1737" s="4">
        <v>0.86496527777777776</v>
      </c>
    </row>
    <row r="1738" spans="1:72" x14ac:dyDescent="0.25">
      <c r="A1738" s="2">
        <v>2515</v>
      </c>
      <c r="B1738" s="2">
        <v>2010</v>
      </c>
      <c r="C1738" s="2" t="s">
        <v>72</v>
      </c>
      <c r="D1738" s="2" t="s">
        <v>73</v>
      </c>
      <c r="E1738" s="2"/>
      <c r="F1738" s="2">
        <v>24</v>
      </c>
      <c r="G1738" s="2" t="s">
        <v>532</v>
      </c>
      <c r="H1738" s="2">
        <v>22</v>
      </c>
      <c r="I1738" s="2" t="s">
        <v>75</v>
      </c>
      <c r="J1738" s="2">
        <v>300</v>
      </c>
      <c r="K1738" s="2" t="s">
        <v>114</v>
      </c>
      <c r="L1738" s="2" t="s">
        <v>115</v>
      </c>
      <c r="M1738" s="3">
        <v>40295</v>
      </c>
      <c r="N1738" s="2"/>
      <c r="O1738" s="2"/>
      <c r="P1738" s="2"/>
      <c r="Q1738" s="2" t="str">
        <f>"231-E/10"</f>
        <v>231-E/10</v>
      </c>
      <c r="R1738" s="2" t="s">
        <v>601</v>
      </c>
      <c r="S1738" s="2" t="s">
        <v>601</v>
      </c>
      <c r="T1738" s="2">
        <v>1</v>
      </c>
      <c r="U1738" s="2" t="s">
        <v>79</v>
      </c>
      <c r="V1738" s="2">
        <v>1</v>
      </c>
      <c r="W1738" s="2" t="s">
        <v>80</v>
      </c>
      <c r="X1738" s="2">
        <v>12</v>
      </c>
      <c r="Y1738" s="2" t="s">
        <v>148</v>
      </c>
      <c r="Z1738" s="2">
        <v>1</v>
      </c>
      <c r="AA1738" s="2" t="s">
        <v>82</v>
      </c>
      <c r="AB1738" s="2">
        <v>6</v>
      </c>
      <c r="AC1738" s="2" t="s">
        <v>83</v>
      </c>
      <c r="AD1738" s="3">
        <v>40220</v>
      </c>
      <c r="AE1738" s="4">
        <v>6.25E-2</v>
      </c>
      <c r="AF1738" s="3">
        <v>40295</v>
      </c>
      <c r="AG1738" s="4">
        <v>0.45833333333333331</v>
      </c>
      <c r="AH1738" s="2">
        <v>2</v>
      </c>
      <c r="AI1738" s="2" t="s">
        <v>84</v>
      </c>
      <c r="AJ1738" s="2">
        <v>9</v>
      </c>
      <c r="AK1738" s="2" t="s">
        <v>103</v>
      </c>
      <c r="AL1738" s="2">
        <v>22</v>
      </c>
      <c r="AM1738" s="2" t="s">
        <v>1853</v>
      </c>
      <c r="AN1738" s="2"/>
      <c r="AO1738" s="2" t="s">
        <v>6210</v>
      </c>
      <c r="AP1738" s="2">
        <v>11</v>
      </c>
      <c r="AQ1738" s="2" t="s">
        <v>82</v>
      </c>
      <c r="AR1738" s="2"/>
      <c r="AS1738" s="2"/>
      <c r="AT1738" s="2" t="s">
        <v>6211</v>
      </c>
      <c r="AU1738" s="2"/>
      <c r="AV1738" s="2"/>
      <c r="AW1738" s="2"/>
      <c r="AX1738" s="2"/>
      <c r="AY1738" s="2">
        <v>1</v>
      </c>
      <c r="AZ1738" s="2" t="s">
        <v>107</v>
      </c>
      <c r="BA1738" s="2">
        <v>1</v>
      </c>
      <c r="BB1738" s="2" t="s">
        <v>107</v>
      </c>
      <c r="BC1738" s="2">
        <v>1</v>
      </c>
      <c r="BD1738" s="2" t="s">
        <v>107</v>
      </c>
      <c r="BE1738" s="2">
        <v>31</v>
      </c>
      <c r="BF1738" s="2" t="s">
        <v>398</v>
      </c>
      <c r="BG1738" s="2">
        <v>6845</v>
      </c>
      <c r="BH1738" s="4">
        <v>4.1666666666666664E-2</v>
      </c>
      <c r="BI1738" s="2"/>
      <c r="BJ1738" s="2">
        <v>73</v>
      </c>
      <c r="BK1738" s="2" t="s">
        <v>186</v>
      </c>
      <c r="BL1738" s="2" t="s">
        <v>187</v>
      </c>
      <c r="BM1738" s="2">
        <v>242</v>
      </c>
      <c r="BN1738" s="2" t="s">
        <v>107</v>
      </c>
      <c r="BO1738" s="2" t="s">
        <v>107</v>
      </c>
      <c r="BP1738" s="2">
        <v>13</v>
      </c>
      <c r="BQ1738" s="2" t="s">
        <v>91</v>
      </c>
      <c r="BR1738" s="2" t="s">
        <v>185</v>
      </c>
      <c r="BS1738" s="3">
        <v>40295</v>
      </c>
      <c r="BT1738" s="4">
        <v>0.89883101851851854</v>
      </c>
    </row>
    <row r="1739" spans="1:72" x14ac:dyDescent="0.25">
      <c r="A1739" s="2">
        <v>2516</v>
      </c>
      <c r="B1739" s="2">
        <v>2010</v>
      </c>
      <c r="C1739" s="2" t="s">
        <v>4543</v>
      </c>
      <c r="D1739" s="2" t="s">
        <v>122</v>
      </c>
      <c r="E1739" s="2"/>
      <c r="F1739" s="2">
        <v>1</v>
      </c>
      <c r="G1739" s="2" t="s">
        <v>82</v>
      </c>
      <c r="H1739" s="2">
        <v>1</v>
      </c>
      <c r="I1739" s="2" t="s">
        <v>82</v>
      </c>
      <c r="J1739" s="2">
        <v>1</v>
      </c>
      <c r="K1739" s="2" t="s">
        <v>107</v>
      </c>
      <c r="L1739" s="2" t="s">
        <v>107</v>
      </c>
      <c r="M1739" s="3">
        <v>40295</v>
      </c>
      <c r="N1739" s="2"/>
      <c r="O1739" s="2"/>
      <c r="P1739" s="2"/>
      <c r="Q1739" s="2" t="str">
        <f>""</f>
        <v/>
      </c>
      <c r="R1739" s="2"/>
      <c r="S1739" s="2"/>
      <c r="T1739" s="2">
        <v>2</v>
      </c>
      <c r="U1739" s="2" t="s">
        <v>123</v>
      </c>
      <c r="V1739" s="2">
        <v>1</v>
      </c>
      <c r="W1739" s="2" t="s">
        <v>80</v>
      </c>
      <c r="X1739" s="2">
        <v>11</v>
      </c>
      <c r="Y1739" s="2" t="s">
        <v>1920</v>
      </c>
      <c r="Z1739" s="2">
        <v>1</v>
      </c>
      <c r="AA1739" s="2" t="s">
        <v>82</v>
      </c>
      <c r="AB1739" s="2">
        <v>9</v>
      </c>
      <c r="AC1739" s="2" t="s">
        <v>124</v>
      </c>
      <c r="AD1739" s="3">
        <v>40295</v>
      </c>
      <c r="AE1739" s="4">
        <v>0.96527777777777779</v>
      </c>
      <c r="AF1739" s="2"/>
      <c r="AG1739" s="2"/>
      <c r="AH1739" s="2">
        <v>6</v>
      </c>
      <c r="AI1739" s="2" t="s">
        <v>197</v>
      </c>
      <c r="AJ1739" s="2">
        <v>54</v>
      </c>
      <c r="AK1739" s="2" t="s">
        <v>348</v>
      </c>
      <c r="AL1739" s="2">
        <v>18</v>
      </c>
      <c r="AM1739" s="2" t="s">
        <v>82</v>
      </c>
      <c r="AN1739" s="2" t="s">
        <v>595</v>
      </c>
      <c r="AO1739" s="2" t="s">
        <v>200</v>
      </c>
      <c r="AP1739" s="2">
        <v>12</v>
      </c>
      <c r="AQ1739" s="2" t="s">
        <v>322</v>
      </c>
      <c r="AR1739" s="2" t="s">
        <v>596</v>
      </c>
      <c r="AS1739" s="2" t="s">
        <v>596</v>
      </c>
      <c r="AT1739" s="2" t="s">
        <v>6212</v>
      </c>
      <c r="AU1739" s="2"/>
      <c r="AV1739" s="2"/>
      <c r="AW1739" s="2"/>
      <c r="AX1739" s="2"/>
      <c r="AY1739" s="2">
        <v>1</v>
      </c>
      <c r="AZ1739" s="2" t="s">
        <v>107</v>
      </c>
      <c r="BA1739" s="2">
        <v>1</v>
      </c>
      <c r="BB1739" s="2" t="s">
        <v>107</v>
      </c>
      <c r="BC1739" s="2">
        <v>1</v>
      </c>
      <c r="BD1739" s="2" t="s">
        <v>107</v>
      </c>
      <c r="BE1739" s="2">
        <v>47</v>
      </c>
      <c r="BF1739" s="2" t="s">
        <v>167</v>
      </c>
      <c r="BG1739" s="2" t="s">
        <v>848</v>
      </c>
      <c r="BH1739" s="4">
        <v>0.92708333333333337</v>
      </c>
      <c r="BI1739" s="4">
        <v>0.96527777777777779</v>
      </c>
      <c r="BJ1739" s="2">
        <v>13</v>
      </c>
      <c r="BK1739" s="2" t="s">
        <v>91</v>
      </c>
      <c r="BL1739" s="2" t="s">
        <v>2764</v>
      </c>
      <c r="BM1739" s="2">
        <v>242</v>
      </c>
      <c r="BN1739" s="2" t="s">
        <v>107</v>
      </c>
      <c r="BO1739" s="2"/>
      <c r="BP1739" s="2">
        <v>13</v>
      </c>
      <c r="BQ1739" s="2" t="s">
        <v>91</v>
      </c>
      <c r="BR1739" s="2" t="s">
        <v>2168</v>
      </c>
      <c r="BS1739" s="3">
        <v>40295</v>
      </c>
      <c r="BT1739" s="4">
        <v>0.95331018518518518</v>
      </c>
    </row>
    <row r="1740" spans="1:72" x14ac:dyDescent="0.25">
      <c r="A1740" s="2">
        <v>2517</v>
      </c>
      <c r="B1740" s="2">
        <v>2010</v>
      </c>
      <c r="C1740" s="2" t="s">
        <v>128</v>
      </c>
      <c r="D1740" s="2" t="s">
        <v>122</v>
      </c>
      <c r="E1740" s="2"/>
      <c r="F1740" s="2">
        <v>21</v>
      </c>
      <c r="G1740" s="2" t="s">
        <v>6213</v>
      </c>
      <c r="H1740" s="2">
        <v>38</v>
      </c>
      <c r="I1740" s="2" t="s">
        <v>1272</v>
      </c>
      <c r="J1740" s="2">
        <v>29</v>
      </c>
      <c r="K1740" s="2" t="s">
        <v>2533</v>
      </c>
      <c r="L1740" s="2" t="s">
        <v>2534</v>
      </c>
      <c r="M1740" s="3">
        <v>40295</v>
      </c>
      <c r="N1740" s="2" t="s">
        <v>6214</v>
      </c>
      <c r="O1740" s="2"/>
      <c r="P1740" s="2"/>
      <c r="Q1740" s="2" t="str">
        <f>"002/10"</f>
        <v>002/10</v>
      </c>
      <c r="R1740" s="2"/>
      <c r="S1740" s="2" t="s">
        <v>6215</v>
      </c>
      <c r="T1740" s="2">
        <v>1</v>
      </c>
      <c r="U1740" s="2" t="s">
        <v>79</v>
      </c>
      <c r="V1740" s="2">
        <v>1</v>
      </c>
      <c r="W1740" s="2" t="s">
        <v>80</v>
      </c>
      <c r="X1740" s="2">
        <v>12</v>
      </c>
      <c r="Y1740" s="2" t="s">
        <v>148</v>
      </c>
      <c r="Z1740" s="2">
        <v>3</v>
      </c>
      <c r="AA1740" s="2" t="s">
        <v>257</v>
      </c>
      <c r="AB1740" s="2">
        <v>9</v>
      </c>
      <c r="AC1740" s="2" t="s">
        <v>124</v>
      </c>
      <c r="AD1740" s="3">
        <v>40295</v>
      </c>
      <c r="AE1740" s="4">
        <v>0.83333333333333337</v>
      </c>
      <c r="AF1740" s="3">
        <v>40295</v>
      </c>
      <c r="AG1740" s="4">
        <v>0.87847222222222221</v>
      </c>
      <c r="AH1740" s="2">
        <v>4</v>
      </c>
      <c r="AI1740" s="2" t="s">
        <v>125</v>
      </c>
      <c r="AJ1740" s="2">
        <v>33</v>
      </c>
      <c r="AK1740" s="2" t="s">
        <v>126</v>
      </c>
      <c r="AL1740" s="2">
        <v>9</v>
      </c>
      <c r="AM1740" s="2" t="s">
        <v>259</v>
      </c>
      <c r="AN1740" s="2" t="s">
        <v>6216</v>
      </c>
      <c r="AO1740" s="2" t="s">
        <v>5433</v>
      </c>
      <c r="AP1740" s="2">
        <v>11</v>
      </c>
      <c r="AQ1740" s="2" t="s">
        <v>82</v>
      </c>
      <c r="AR1740" s="2"/>
      <c r="AS1740" s="2"/>
      <c r="AT1740" s="2" t="s">
        <v>6217</v>
      </c>
      <c r="AU1740" s="2"/>
      <c r="AV1740" s="2"/>
      <c r="AW1740" s="2"/>
      <c r="AX1740" s="2"/>
      <c r="AY1740" s="2">
        <v>42</v>
      </c>
      <c r="AZ1740" s="2" t="s">
        <v>182</v>
      </c>
      <c r="BA1740" s="2">
        <v>44</v>
      </c>
      <c r="BB1740" s="2" t="s">
        <v>262</v>
      </c>
      <c r="BC1740" s="2">
        <v>44</v>
      </c>
      <c r="BD1740" s="2" t="s">
        <v>262</v>
      </c>
      <c r="BE1740" s="2">
        <v>41</v>
      </c>
      <c r="BF1740" s="2" t="s">
        <v>82</v>
      </c>
      <c r="BG1740" s="2"/>
      <c r="BH1740" s="2"/>
      <c r="BI1740" s="2"/>
      <c r="BJ1740" s="2">
        <v>241</v>
      </c>
      <c r="BK1740" s="2" t="s">
        <v>82</v>
      </c>
      <c r="BL1740" s="2"/>
      <c r="BM1740" s="2">
        <v>241</v>
      </c>
      <c r="BN1740" s="2" t="s">
        <v>82</v>
      </c>
      <c r="BO1740" s="2"/>
      <c r="BP1740" s="2">
        <v>241</v>
      </c>
      <c r="BQ1740" s="2" t="s">
        <v>82</v>
      </c>
      <c r="BR1740" s="2"/>
      <c r="BS1740" s="3">
        <v>40295</v>
      </c>
      <c r="BT1740" s="4">
        <v>0.97481481481481491</v>
      </c>
    </row>
    <row r="1741" spans="1:72" x14ac:dyDescent="0.25">
      <c r="A1741" s="2">
        <v>2518</v>
      </c>
      <c r="B1741" s="2">
        <v>2010</v>
      </c>
      <c r="C1741" s="2" t="s">
        <v>806</v>
      </c>
      <c r="D1741" s="2" t="s">
        <v>73</v>
      </c>
      <c r="E1741" s="2"/>
      <c r="F1741" s="2">
        <v>90</v>
      </c>
      <c r="G1741" s="2" t="s">
        <v>4741</v>
      </c>
      <c r="H1741" s="2">
        <v>47</v>
      </c>
      <c r="I1741" s="2" t="s">
        <v>1409</v>
      </c>
      <c r="J1741" s="2">
        <v>118</v>
      </c>
      <c r="K1741" s="2" t="s">
        <v>4742</v>
      </c>
      <c r="L1741" s="2" t="s">
        <v>4743</v>
      </c>
      <c r="M1741" s="3">
        <v>40296</v>
      </c>
      <c r="N1741" s="2" t="s">
        <v>6218</v>
      </c>
      <c r="O1741" s="2" t="s">
        <v>6219</v>
      </c>
      <c r="P1741" s="2" t="s">
        <v>6220</v>
      </c>
      <c r="Q1741" s="2" t="str">
        <f>"N/C"</f>
        <v>N/C</v>
      </c>
      <c r="R1741" s="2" t="s">
        <v>82</v>
      </c>
      <c r="S1741" s="2" t="s">
        <v>82</v>
      </c>
      <c r="T1741" s="2">
        <v>1</v>
      </c>
      <c r="U1741" s="2" t="s">
        <v>79</v>
      </c>
      <c r="V1741" s="2">
        <v>1</v>
      </c>
      <c r="W1741" s="2" t="s">
        <v>80</v>
      </c>
      <c r="X1741" s="2">
        <v>7</v>
      </c>
      <c r="Y1741" s="2" t="s">
        <v>1964</v>
      </c>
      <c r="Z1741" s="2">
        <v>1</v>
      </c>
      <c r="AA1741" s="2" t="s">
        <v>82</v>
      </c>
      <c r="AB1741" s="2">
        <v>9</v>
      </c>
      <c r="AC1741" s="2" t="s">
        <v>124</v>
      </c>
      <c r="AD1741" s="3">
        <v>40295</v>
      </c>
      <c r="AE1741" s="4">
        <v>0.86111111111111116</v>
      </c>
      <c r="AF1741" s="2"/>
      <c r="AG1741" s="2"/>
      <c r="AH1741" s="2">
        <v>6</v>
      </c>
      <c r="AI1741" s="2" t="s">
        <v>197</v>
      </c>
      <c r="AJ1741" s="2">
        <v>46</v>
      </c>
      <c r="AK1741" s="2" t="s">
        <v>197</v>
      </c>
      <c r="AL1741" s="2">
        <v>23</v>
      </c>
      <c r="AM1741" s="2" t="s">
        <v>251</v>
      </c>
      <c r="AN1741" s="2" t="s">
        <v>6221</v>
      </c>
      <c r="AO1741" s="2" t="s">
        <v>6222</v>
      </c>
      <c r="AP1741" s="2">
        <v>11</v>
      </c>
      <c r="AQ1741" s="2" t="s">
        <v>82</v>
      </c>
      <c r="AR1741" s="2"/>
      <c r="AS1741" s="2"/>
      <c r="AT1741" s="2" t="s">
        <v>6223</v>
      </c>
      <c r="AU1741" s="2"/>
      <c r="AV1741" s="2"/>
      <c r="AW1741" s="2"/>
      <c r="AX1741" s="2"/>
      <c r="AY1741" s="2">
        <v>41</v>
      </c>
      <c r="AZ1741" s="2" t="s">
        <v>82</v>
      </c>
      <c r="BA1741" s="2">
        <v>41</v>
      </c>
      <c r="BB1741" s="2" t="s">
        <v>82</v>
      </c>
      <c r="BC1741" s="2">
        <v>41</v>
      </c>
      <c r="BD1741" s="2" t="s">
        <v>82</v>
      </c>
      <c r="BE1741" s="2">
        <v>41</v>
      </c>
      <c r="BF1741" s="2" t="s">
        <v>82</v>
      </c>
      <c r="BG1741" s="2"/>
      <c r="BH1741" s="2"/>
      <c r="BI1741" s="2"/>
      <c r="BJ1741" s="2">
        <v>241</v>
      </c>
      <c r="BK1741" s="2" t="s">
        <v>82</v>
      </c>
      <c r="BL1741" s="2"/>
      <c r="BM1741" s="2">
        <v>241</v>
      </c>
      <c r="BN1741" s="2" t="s">
        <v>82</v>
      </c>
      <c r="BO1741" s="2"/>
      <c r="BP1741" s="2">
        <v>241</v>
      </c>
      <c r="BQ1741" s="2" t="s">
        <v>82</v>
      </c>
      <c r="BR1741" s="2"/>
      <c r="BS1741" s="3">
        <v>40296</v>
      </c>
      <c r="BT1741" s="4">
        <v>6.8055555555555569E-3</v>
      </c>
    </row>
    <row r="1742" spans="1:72" x14ac:dyDescent="0.25">
      <c r="A1742" s="2">
        <v>2519</v>
      </c>
      <c r="B1742" s="2">
        <v>2010</v>
      </c>
      <c r="C1742" s="2" t="s">
        <v>171</v>
      </c>
      <c r="D1742" s="2" t="s">
        <v>122</v>
      </c>
      <c r="E1742" s="2" t="s">
        <v>6224</v>
      </c>
      <c r="F1742" s="2">
        <v>161</v>
      </c>
      <c r="G1742" s="2" t="s">
        <v>5671</v>
      </c>
      <c r="H1742" s="2">
        <v>98</v>
      </c>
      <c r="I1742" s="2" t="s">
        <v>6194</v>
      </c>
      <c r="J1742" s="2">
        <v>171</v>
      </c>
      <c r="K1742" s="2" t="s">
        <v>5673</v>
      </c>
      <c r="L1742" s="2" t="s">
        <v>5674</v>
      </c>
      <c r="M1742" s="3">
        <v>40296</v>
      </c>
      <c r="N1742" s="2" t="s">
        <v>6195</v>
      </c>
      <c r="O1742" s="2" t="s">
        <v>107</v>
      </c>
      <c r="P1742" s="2" t="s">
        <v>107</v>
      </c>
      <c r="Q1742" s="2" t="str">
        <f>"163-A/10"</f>
        <v>163-A/10</v>
      </c>
      <c r="R1742" s="2" t="s">
        <v>489</v>
      </c>
      <c r="S1742" s="2" t="s">
        <v>107</v>
      </c>
      <c r="T1742" s="2">
        <v>1</v>
      </c>
      <c r="U1742" s="2" t="s">
        <v>79</v>
      </c>
      <c r="V1742" s="2">
        <v>1</v>
      </c>
      <c r="W1742" s="2" t="s">
        <v>80</v>
      </c>
      <c r="X1742" s="2">
        <v>1</v>
      </c>
      <c r="Y1742" s="2" t="s">
        <v>81</v>
      </c>
      <c r="Z1742" s="2">
        <v>10</v>
      </c>
      <c r="AA1742" s="2" t="s">
        <v>236</v>
      </c>
      <c r="AB1742" s="2">
        <v>1</v>
      </c>
      <c r="AC1742" s="2" t="s">
        <v>178</v>
      </c>
      <c r="AD1742" s="3">
        <v>40295</v>
      </c>
      <c r="AE1742" s="4">
        <v>0.99236111111111114</v>
      </c>
      <c r="AF1742" s="2"/>
      <c r="AG1742" s="2"/>
      <c r="AH1742" s="2">
        <v>2</v>
      </c>
      <c r="AI1742" s="2" t="s">
        <v>84</v>
      </c>
      <c r="AJ1742" s="2">
        <v>12</v>
      </c>
      <c r="AK1742" s="2" t="s">
        <v>85</v>
      </c>
      <c r="AL1742" s="2">
        <v>27</v>
      </c>
      <c r="AM1742" s="2" t="s">
        <v>6225</v>
      </c>
      <c r="AN1742" s="2" t="s">
        <v>1971</v>
      </c>
      <c r="AO1742" s="2"/>
      <c r="AP1742" s="2">
        <v>11</v>
      </c>
      <c r="AQ1742" s="2" t="s">
        <v>82</v>
      </c>
      <c r="AR1742" s="2"/>
      <c r="AS1742" s="2"/>
      <c r="AT1742" s="2" t="s">
        <v>6226</v>
      </c>
      <c r="AU1742" s="2">
        <v>1</v>
      </c>
      <c r="AV1742" s="2"/>
      <c r="AW1742" s="2"/>
      <c r="AX1742" s="2"/>
      <c r="AY1742" s="2">
        <v>41</v>
      </c>
      <c r="AZ1742" s="2" t="s">
        <v>82</v>
      </c>
      <c r="BA1742" s="2">
        <v>41</v>
      </c>
      <c r="BB1742" s="2" t="s">
        <v>82</v>
      </c>
      <c r="BC1742" s="2">
        <v>41</v>
      </c>
      <c r="BD1742" s="2" t="s">
        <v>82</v>
      </c>
      <c r="BE1742" s="2">
        <v>41</v>
      </c>
      <c r="BF1742" s="2" t="s">
        <v>82</v>
      </c>
      <c r="BG1742" s="2"/>
      <c r="BH1742" s="2"/>
      <c r="BI1742" s="2"/>
      <c r="BJ1742" s="2">
        <v>241</v>
      </c>
      <c r="BK1742" s="2" t="s">
        <v>82</v>
      </c>
      <c r="BL1742" s="2"/>
      <c r="BM1742" s="2">
        <v>241</v>
      </c>
      <c r="BN1742" s="2" t="s">
        <v>82</v>
      </c>
      <c r="BO1742" s="2"/>
      <c r="BP1742" s="2">
        <v>241</v>
      </c>
      <c r="BQ1742" s="2" t="s">
        <v>82</v>
      </c>
      <c r="BR1742" s="2"/>
      <c r="BS1742" s="3">
        <v>40296</v>
      </c>
      <c r="BT1742" s="4">
        <v>9.0624999999999994E-3</v>
      </c>
    </row>
    <row r="1743" spans="1:72" x14ac:dyDescent="0.25">
      <c r="A1743" s="2">
        <v>2520</v>
      </c>
      <c r="B1743" s="2">
        <v>2010</v>
      </c>
      <c r="C1743" s="2" t="s">
        <v>4543</v>
      </c>
      <c r="D1743" s="2" t="s">
        <v>122</v>
      </c>
      <c r="E1743" s="2"/>
      <c r="F1743" s="2">
        <v>1</v>
      </c>
      <c r="G1743" s="2" t="s">
        <v>82</v>
      </c>
      <c r="H1743" s="2">
        <v>1</v>
      </c>
      <c r="I1743" s="2" t="s">
        <v>82</v>
      </c>
      <c r="J1743" s="2">
        <v>1</v>
      </c>
      <c r="K1743" s="2" t="s">
        <v>107</v>
      </c>
      <c r="L1743" s="2" t="s">
        <v>107</v>
      </c>
      <c r="M1743" s="3">
        <v>40296</v>
      </c>
      <c r="N1743" s="2"/>
      <c r="O1743" s="2"/>
      <c r="P1743" s="2"/>
      <c r="Q1743" s="2" t="str">
        <f>""</f>
        <v/>
      </c>
      <c r="R1743" s="2"/>
      <c r="S1743" s="2"/>
      <c r="T1743" s="2">
        <v>2</v>
      </c>
      <c r="U1743" s="2" t="s">
        <v>123</v>
      </c>
      <c r="V1743" s="2">
        <v>1</v>
      </c>
      <c r="W1743" s="2" t="s">
        <v>80</v>
      </c>
      <c r="X1743" s="2">
        <v>11</v>
      </c>
      <c r="Y1743" s="2" t="s">
        <v>1920</v>
      </c>
      <c r="Z1743" s="2">
        <v>1</v>
      </c>
      <c r="AA1743" s="2" t="s">
        <v>82</v>
      </c>
      <c r="AB1743" s="2">
        <v>9</v>
      </c>
      <c r="AC1743" s="2" t="s">
        <v>124</v>
      </c>
      <c r="AD1743" s="3">
        <v>40296</v>
      </c>
      <c r="AE1743" s="4">
        <v>0.13333333333333333</v>
      </c>
      <c r="AF1743" s="2"/>
      <c r="AG1743" s="2"/>
      <c r="AH1743" s="2">
        <v>6</v>
      </c>
      <c r="AI1743" s="2" t="s">
        <v>197</v>
      </c>
      <c r="AJ1743" s="2">
        <v>54</v>
      </c>
      <c r="AK1743" s="2" t="s">
        <v>348</v>
      </c>
      <c r="AL1743" s="2">
        <v>18</v>
      </c>
      <c r="AM1743" s="2" t="s">
        <v>82</v>
      </c>
      <c r="AN1743" s="2" t="s">
        <v>595</v>
      </c>
      <c r="AO1743" s="2" t="s">
        <v>200</v>
      </c>
      <c r="AP1743" s="2">
        <v>14</v>
      </c>
      <c r="AQ1743" s="2" t="s">
        <v>3301</v>
      </c>
      <c r="AR1743" s="2" t="s">
        <v>596</v>
      </c>
      <c r="AS1743" s="2" t="s">
        <v>596</v>
      </c>
      <c r="AT1743" s="2" t="s">
        <v>6227</v>
      </c>
      <c r="AU1743" s="2"/>
      <c r="AV1743" s="2"/>
      <c r="AW1743" s="2"/>
      <c r="AX1743" s="2"/>
      <c r="AY1743" s="2">
        <v>1</v>
      </c>
      <c r="AZ1743" s="2" t="s">
        <v>107</v>
      </c>
      <c r="BA1743" s="2">
        <v>1</v>
      </c>
      <c r="BB1743" s="2" t="s">
        <v>107</v>
      </c>
      <c r="BC1743" s="2">
        <v>1</v>
      </c>
      <c r="BD1743" s="2" t="s">
        <v>107</v>
      </c>
      <c r="BE1743" s="2">
        <v>4</v>
      </c>
      <c r="BF1743" s="2" t="s">
        <v>90</v>
      </c>
      <c r="BG1743" s="2" t="s">
        <v>598</v>
      </c>
      <c r="BH1743" s="4">
        <v>5.2083333333333336E-2</v>
      </c>
      <c r="BI1743" s="4">
        <v>0.13333333333333333</v>
      </c>
      <c r="BJ1743" s="2">
        <v>13</v>
      </c>
      <c r="BK1743" s="2" t="s">
        <v>91</v>
      </c>
      <c r="BL1743" s="2" t="s">
        <v>2764</v>
      </c>
      <c r="BM1743" s="2">
        <v>242</v>
      </c>
      <c r="BN1743" s="2" t="s">
        <v>107</v>
      </c>
      <c r="BO1743" s="2"/>
      <c r="BP1743" s="2">
        <v>13</v>
      </c>
      <c r="BQ1743" s="2" t="s">
        <v>91</v>
      </c>
      <c r="BR1743" s="2" t="s">
        <v>2168</v>
      </c>
      <c r="BS1743" s="3">
        <v>40296</v>
      </c>
      <c r="BT1743" s="4">
        <v>0.12462962962962963</v>
      </c>
    </row>
    <row r="1744" spans="1:72" x14ac:dyDescent="0.25">
      <c r="A1744" s="2">
        <v>2524</v>
      </c>
      <c r="B1744" s="2">
        <v>2010</v>
      </c>
      <c r="C1744" s="2" t="s">
        <v>128</v>
      </c>
      <c r="D1744" s="2" t="s">
        <v>122</v>
      </c>
      <c r="E1744" s="2"/>
      <c r="F1744" s="2">
        <v>11</v>
      </c>
      <c r="G1744" s="2" t="s">
        <v>2454</v>
      </c>
      <c r="H1744" s="2">
        <v>56</v>
      </c>
      <c r="I1744" s="2" t="s">
        <v>3372</v>
      </c>
      <c r="J1744" s="2">
        <v>19</v>
      </c>
      <c r="K1744" s="2" t="s">
        <v>2144</v>
      </c>
      <c r="L1744" s="2" t="s">
        <v>2145</v>
      </c>
      <c r="M1744" s="3">
        <v>40296</v>
      </c>
      <c r="N1744" s="2" t="s">
        <v>2455</v>
      </c>
      <c r="O1744" s="2" t="s">
        <v>6228</v>
      </c>
      <c r="P1744" s="2" t="s">
        <v>6229</v>
      </c>
      <c r="Q1744" s="2" t="str">
        <f>"130-A-09"</f>
        <v>130-A-09</v>
      </c>
      <c r="R1744" s="2"/>
      <c r="S1744" s="2"/>
      <c r="T1744" s="2">
        <v>1</v>
      </c>
      <c r="U1744" s="2" t="s">
        <v>79</v>
      </c>
      <c r="V1744" s="2">
        <v>3</v>
      </c>
      <c r="W1744" s="2" t="s">
        <v>225</v>
      </c>
      <c r="X1744" s="2">
        <v>5</v>
      </c>
      <c r="Y1744" s="2" t="s">
        <v>82</v>
      </c>
      <c r="Z1744" s="2">
        <v>1</v>
      </c>
      <c r="AA1744" s="2" t="s">
        <v>82</v>
      </c>
      <c r="AB1744" s="2">
        <v>9</v>
      </c>
      <c r="AC1744" s="2" t="s">
        <v>124</v>
      </c>
      <c r="AD1744" s="3">
        <v>40296</v>
      </c>
      <c r="AE1744" s="4">
        <v>0.48958333333333331</v>
      </c>
      <c r="AF1744" s="2"/>
      <c r="AG1744" s="2"/>
      <c r="AH1744" s="2">
        <v>3</v>
      </c>
      <c r="AI1744" s="2" t="s">
        <v>214</v>
      </c>
      <c r="AJ1744" s="2">
        <v>13</v>
      </c>
      <c r="AK1744" s="2" t="s">
        <v>214</v>
      </c>
      <c r="AL1744" s="2">
        <v>19</v>
      </c>
      <c r="AM1744" s="2" t="s">
        <v>107</v>
      </c>
      <c r="AN1744" s="2"/>
      <c r="AO1744" s="2"/>
      <c r="AP1744" s="2">
        <v>11</v>
      </c>
      <c r="AQ1744" s="2" t="s">
        <v>82</v>
      </c>
      <c r="AR1744" s="2"/>
      <c r="AS1744" s="2"/>
      <c r="AT1744" s="2" t="s">
        <v>6230</v>
      </c>
      <c r="AU1744" s="2"/>
      <c r="AV1744" s="2"/>
      <c r="AW1744" s="2"/>
      <c r="AX1744" s="2"/>
      <c r="AY1744" s="2">
        <v>41</v>
      </c>
      <c r="AZ1744" s="2" t="s">
        <v>82</v>
      </c>
      <c r="BA1744" s="2">
        <v>41</v>
      </c>
      <c r="BB1744" s="2" t="s">
        <v>82</v>
      </c>
      <c r="BC1744" s="2">
        <v>41</v>
      </c>
      <c r="BD1744" s="2" t="s">
        <v>82</v>
      </c>
      <c r="BE1744" s="2">
        <v>41</v>
      </c>
      <c r="BF1744" s="2" t="s">
        <v>82</v>
      </c>
      <c r="BG1744" s="2"/>
      <c r="BH1744" s="2"/>
      <c r="BI1744" s="2"/>
      <c r="BJ1744" s="2">
        <v>241</v>
      </c>
      <c r="BK1744" s="2" t="s">
        <v>82</v>
      </c>
      <c r="BL1744" s="2"/>
      <c r="BM1744" s="2">
        <v>241</v>
      </c>
      <c r="BN1744" s="2" t="s">
        <v>82</v>
      </c>
      <c r="BO1744" s="2"/>
      <c r="BP1744" s="2">
        <v>241</v>
      </c>
      <c r="BQ1744" s="2" t="s">
        <v>82</v>
      </c>
      <c r="BR1744" s="2"/>
      <c r="BS1744" s="3">
        <v>40296</v>
      </c>
      <c r="BT1744" s="4">
        <v>0.49730324074074073</v>
      </c>
    </row>
    <row r="1745" spans="1:72" x14ac:dyDescent="0.25">
      <c r="A1745" s="2">
        <v>2525</v>
      </c>
      <c r="B1745" s="2">
        <v>2010</v>
      </c>
      <c r="C1745" s="2" t="s">
        <v>1568</v>
      </c>
      <c r="D1745" s="2" t="s">
        <v>122</v>
      </c>
      <c r="E1745" s="2" t="s">
        <v>6231</v>
      </c>
      <c r="F1745" s="2">
        <v>425</v>
      </c>
      <c r="G1745" s="2" t="s">
        <v>286</v>
      </c>
      <c r="H1745" s="2">
        <v>39</v>
      </c>
      <c r="I1745" s="2" t="s">
        <v>1117</v>
      </c>
      <c r="J1745" s="2">
        <v>310</v>
      </c>
      <c r="K1745" s="2" t="s">
        <v>288</v>
      </c>
      <c r="L1745" s="2" t="s">
        <v>289</v>
      </c>
      <c r="M1745" s="3">
        <v>40296</v>
      </c>
      <c r="N1745" s="2" t="s">
        <v>1882</v>
      </c>
      <c r="O1745" s="2"/>
      <c r="P1745" s="2"/>
      <c r="Q1745" s="2" t="str">
        <f>"008/10"</f>
        <v>008/10</v>
      </c>
      <c r="R1745" s="2" t="s">
        <v>822</v>
      </c>
      <c r="S1745" s="2"/>
      <c r="T1745" s="2">
        <v>1</v>
      </c>
      <c r="U1745" s="2" t="s">
        <v>79</v>
      </c>
      <c r="V1745" s="2">
        <v>1</v>
      </c>
      <c r="W1745" s="2" t="s">
        <v>80</v>
      </c>
      <c r="X1745" s="2">
        <v>10</v>
      </c>
      <c r="Y1745" s="2" t="s">
        <v>226</v>
      </c>
      <c r="Z1745" s="2">
        <v>22</v>
      </c>
      <c r="AA1745" s="2" t="s">
        <v>4417</v>
      </c>
      <c r="AB1745" s="2">
        <v>4</v>
      </c>
      <c r="AC1745" s="2" t="s">
        <v>1569</v>
      </c>
      <c r="AD1745" s="3">
        <v>40296</v>
      </c>
      <c r="AE1745" s="4">
        <v>0.40625</v>
      </c>
      <c r="AF1745" s="2"/>
      <c r="AG1745" s="2"/>
      <c r="AH1745" s="2">
        <v>4</v>
      </c>
      <c r="AI1745" s="2" t="s">
        <v>125</v>
      </c>
      <c r="AJ1745" s="2">
        <v>29</v>
      </c>
      <c r="AK1745" s="2" t="s">
        <v>227</v>
      </c>
      <c r="AL1745" s="2">
        <v>19</v>
      </c>
      <c r="AM1745" s="2" t="s">
        <v>107</v>
      </c>
      <c r="AN1745" s="2" t="s">
        <v>5930</v>
      </c>
      <c r="AO1745" s="2"/>
      <c r="AP1745" s="2">
        <v>11</v>
      </c>
      <c r="AQ1745" s="2" t="s">
        <v>82</v>
      </c>
      <c r="AR1745" s="2"/>
      <c r="AS1745" s="2"/>
      <c r="AT1745" s="2" t="s">
        <v>6232</v>
      </c>
      <c r="AU1745" s="2"/>
      <c r="AV1745" s="2"/>
      <c r="AW1745" s="2"/>
      <c r="AX1745" s="2"/>
      <c r="AY1745" s="2">
        <v>41</v>
      </c>
      <c r="AZ1745" s="2" t="s">
        <v>82</v>
      </c>
      <c r="BA1745" s="2">
        <v>41</v>
      </c>
      <c r="BB1745" s="2" t="s">
        <v>82</v>
      </c>
      <c r="BC1745" s="2">
        <v>41</v>
      </c>
      <c r="BD1745" s="2" t="s">
        <v>82</v>
      </c>
      <c r="BE1745" s="2">
        <v>4</v>
      </c>
      <c r="BF1745" s="2" t="s">
        <v>90</v>
      </c>
      <c r="BG1745" s="2">
        <v>4113</v>
      </c>
      <c r="BH1745" s="4">
        <v>0.65625</v>
      </c>
      <c r="BI1745" s="4">
        <v>0.68055555555555547</v>
      </c>
      <c r="BJ1745" s="2">
        <v>13</v>
      </c>
      <c r="BK1745" s="2" t="s">
        <v>91</v>
      </c>
      <c r="BL1745" s="2" t="s">
        <v>185</v>
      </c>
      <c r="BM1745" s="2">
        <v>13</v>
      </c>
      <c r="BN1745" s="2" t="s">
        <v>91</v>
      </c>
      <c r="BO1745" s="2" t="s">
        <v>828</v>
      </c>
      <c r="BP1745" s="2">
        <v>13</v>
      </c>
      <c r="BQ1745" s="2" t="s">
        <v>91</v>
      </c>
      <c r="BR1745" s="2" t="s">
        <v>185</v>
      </c>
      <c r="BS1745" s="3">
        <v>40296</v>
      </c>
      <c r="BT1745" s="4">
        <v>0.51020833333333326</v>
      </c>
    </row>
    <row r="1746" spans="1:72" x14ac:dyDescent="0.25">
      <c r="A1746" s="2">
        <v>2526</v>
      </c>
      <c r="B1746" s="2">
        <v>2010</v>
      </c>
      <c r="C1746" s="2" t="s">
        <v>457</v>
      </c>
      <c r="D1746" s="2" t="s">
        <v>73</v>
      </c>
      <c r="E1746" s="2"/>
      <c r="F1746" s="2">
        <v>467</v>
      </c>
      <c r="G1746" s="2" t="s">
        <v>1053</v>
      </c>
      <c r="H1746" s="2">
        <v>22</v>
      </c>
      <c r="I1746" s="2" t="s">
        <v>75</v>
      </c>
      <c r="J1746" s="2">
        <v>369</v>
      </c>
      <c r="K1746" s="2" t="s">
        <v>1054</v>
      </c>
      <c r="L1746" s="2" t="s">
        <v>1055</v>
      </c>
      <c r="M1746" s="3">
        <v>40296</v>
      </c>
      <c r="N1746" s="2" t="s">
        <v>3617</v>
      </c>
      <c r="O1746" s="2" t="s">
        <v>6233</v>
      </c>
      <c r="P1746" s="2" t="s">
        <v>6234</v>
      </c>
      <c r="Q1746" s="2" t="str">
        <f>""</f>
        <v/>
      </c>
      <c r="R1746" s="2"/>
      <c r="S1746" s="2"/>
      <c r="T1746" s="2">
        <v>1</v>
      </c>
      <c r="U1746" s="2" t="s">
        <v>79</v>
      </c>
      <c r="V1746" s="2">
        <v>1</v>
      </c>
      <c r="W1746" s="2" t="s">
        <v>80</v>
      </c>
      <c r="X1746" s="2">
        <v>10</v>
      </c>
      <c r="Y1746" s="2" t="s">
        <v>226</v>
      </c>
      <c r="Z1746" s="2">
        <v>6</v>
      </c>
      <c r="AA1746" s="2" t="s">
        <v>101</v>
      </c>
      <c r="AB1746" s="2">
        <v>9</v>
      </c>
      <c r="AC1746" s="2" t="s">
        <v>124</v>
      </c>
      <c r="AD1746" s="3">
        <v>40296</v>
      </c>
      <c r="AE1746" s="4">
        <v>0.53819444444444442</v>
      </c>
      <c r="AF1746" s="2"/>
      <c r="AG1746" s="2"/>
      <c r="AH1746" s="2">
        <v>4</v>
      </c>
      <c r="AI1746" s="2" t="s">
        <v>125</v>
      </c>
      <c r="AJ1746" s="2">
        <v>29</v>
      </c>
      <c r="AK1746" s="2" t="s">
        <v>227</v>
      </c>
      <c r="AL1746" s="2">
        <v>11</v>
      </c>
      <c r="AM1746" s="2" t="s">
        <v>137</v>
      </c>
      <c r="AN1746" s="2" t="s">
        <v>6235</v>
      </c>
      <c r="AO1746" s="2"/>
      <c r="AP1746" s="2">
        <v>11</v>
      </c>
      <c r="AQ1746" s="2" t="s">
        <v>82</v>
      </c>
      <c r="AR1746" s="2" t="s">
        <v>82</v>
      </c>
      <c r="AS1746" s="2" t="s">
        <v>82</v>
      </c>
      <c r="AT1746" s="2" t="s">
        <v>6236</v>
      </c>
      <c r="AU1746" s="2"/>
      <c r="AV1746" s="2"/>
      <c r="AW1746" s="2"/>
      <c r="AX1746" s="2"/>
      <c r="AY1746" s="2">
        <v>41</v>
      </c>
      <c r="AZ1746" s="2" t="s">
        <v>82</v>
      </c>
      <c r="BA1746" s="2">
        <v>41</v>
      </c>
      <c r="BB1746" s="2" t="s">
        <v>82</v>
      </c>
      <c r="BC1746" s="2">
        <v>41</v>
      </c>
      <c r="BD1746" s="2" t="s">
        <v>82</v>
      </c>
      <c r="BE1746" s="2">
        <v>19</v>
      </c>
      <c r="BF1746" s="2" t="s">
        <v>1061</v>
      </c>
      <c r="BG1746" s="2" t="s">
        <v>3623</v>
      </c>
      <c r="BH1746" s="4">
        <v>0.50694444444444442</v>
      </c>
      <c r="BI1746" s="4">
        <v>0.53819444444444442</v>
      </c>
      <c r="BJ1746" s="2">
        <v>13</v>
      </c>
      <c r="BK1746" s="2" t="s">
        <v>91</v>
      </c>
      <c r="BL1746" s="2" t="s">
        <v>828</v>
      </c>
      <c r="BM1746" s="2">
        <v>241</v>
      </c>
      <c r="BN1746" s="2" t="s">
        <v>82</v>
      </c>
      <c r="BO1746" s="2" t="s">
        <v>82</v>
      </c>
      <c r="BP1746" s="2">
        <v>29</v>
      </c>
      <c r="BQ1746" s="2" t="s">
        <v>962</v>
      </c>
      <c r="BR1746" s="2" t="s">
        <v>963</v>
      </c>
      <c r="BS1746" s="3">
        <v>40296</v>
      </c>
      <c r="BT1746" s="4">
        <v>0.59682870370370367</v>
      </c>
    </row>
    <row r="1747" spans="1:72" x14ac:dyDescent="0.25">
      <c r="A1747" s="2">
        <v>2527</v>
      </c>
      <c r="B1747" s="2">
        <v>2010</v>
      </c>
      <c r="C1747" s="2" t="s">
        <v>121</v>
      </c>
      <c r="D1747" s="2" t="s">
        <v>122</v>
      </c>
      <c r="E1747" s="2"/>
      <c r="F1747" s="2">
        <v>1</v>
      </c>
      <c r="G1747" s="2" t="s">
        <v>82</v>
      </c>
      <c r="H1747" s="2">
        <v>1</v>
      </c>
      <c r="I1747" s="2" t="s">
        <v>82</v>
      </c>
      <c r="J1747" s="2">
        <v>1</v>
      </c>
      <c r="K1747" s="2" t="s">
        <v>107</v>
      </c>
      <c r="L1747" s="2" t="s">
        <v>107</v>
      </c>
      <c r="M1747" s="3">
        <v>40296</v>
      </c>
      <c r="N1747" s="2"/>
      <c r="O1747" s="2"/>
      <c r="P1747" s="2"/>
      <c r="Q1747" s="2" t="str">
        <f>""</f>
        <v/>
      </c>
      <c r="R1747" s="2"/>
      <c r="S1747" s="2"/>
      <c r="T1747" s="2">
        <v>2</v>
      </c>
      <c r="U1747" s="2" t="s">
        <v>123</v>
      </c>
      <c r="V1747" s="2">
        <v>1</v>
      </c>
      <c r="W1747" s="2" t="s">
        <v>80</v>
      </c>
      <c r="X1747" s="2">
        <v>1</v>
      </c>
      <c r="Y1747" s="2" t="s">
        <v>81</v>
      </c>
      <c r="Z1747" s="2">
        <v>1</v>
      </c>
      <c r="AA1747" s="2" t="s">
        <v>82</v>
      </c>
      <c r="AB1747" s="2">
        <v>9</v>
      </c>
      <c r="AC1747" s="2" t="s">
        <v>124</v>
      </c>
      <c r="AD1747" s="3">
        <v>40296</v>
      </c>
      <c r="AE1747" s="4">
        <v>0.55555555555555558</v>
      </c>
      <c r="AF1747" s="2"/>
      <c r="AG1747" s="2"/>
      <c r="AH1747" s="2">
        <v>3</v>
      </c>
      <c r="AI1747" s="2" t="s">
        <v>214</v>
      </c>
      <c r="AJ1747" s="2">
        <v>24</v>
      </c>
      <c r="AK1747" s="2" t="s">
        <v>215</v>
      </c>
      <c r="AL1747" s="2">
        <v>10</v>
      </c>
      <c r="AM1747" s="2" t="s">
        <v>200</v>
      </c>
      <c r="AN1747" s="2"/>
      <c r="AO1747" s="2" t="s">
        <v>6237</v>
      </c>
      <c r="AP1747" s="2">
        <v>11</v>
      </c>
      <c r="AQ1747" s="2" t="s">
        <v>82</v>
      </c>
      <c r="AR1747" s="2"/>
      <c r="AS1747" s="2"/>
      <c r="AT1747" s="2" t="s">
        <v>6238</v>
      </c>
      <c r="AU1747" s="2"/>
      <c r="AV1747" s="2"/>
      <c r="AW1747" s="2"/>
      <c r="AX1747" s="2"/>
      <c r="AY1747" s="2">
        <v>41</v>
      </c>
      <c r="AZ1747" s="2" t="s">
        <v>82</v>
      </c>
      <c r="BA1747" s="2">
        <v>41</v>
      </c>
      <c r="BB1747" s="2" t="s">
        <v>82</v>
      </c>
      <c r="BC1747" s="2">
        <v>41</v>
      </c>
      <c r="BD1747" s="2" t="s">
        <v>82</v>
      </c>
      <c r="BE1747" s="2">
        <v>41</v>
      </c>
      <c r="BF1747" s="2" t="s">
        <v>82</v>
      </c>
      <c r="BG1747" s="2">
        <v>190</v>
      </c>
      <c r="BH1747" s="4">
        <v>0.55555555555555558</v>
      </c>
      <c r="BI1747" s="4">
        <v>0.61111111111111105</v>
      </c>
      <c r="BJ1747" s="2">
        <v>13</v>
      </c>
      <c r="BK1747" s="2" t="s">
        <v>91</v>
      </c>
      <c r="BL1747" s="2" t="s">
        <v>1705</v>
      </c>
      <c r="BM1747" s="2">
        <v>13</v>
      </c>
      <c r="BN1747" s="2" t="s">
        <v>91</v>
      </c>
      <c r="BO1747" s="2" t="s">
        <v>169</v>
      </c>
      <c r="BP1747" s="2">
        <v>13</v>
      </c>
      <c r="BQ1747" s="2" t="s">
        <v>91</v>
      </c>
      <c r="BR1747" s="2" t="s">
        <v>5180</v>
      </c>
      <c r="BS1747" s="3">
        <v>40296</v>
      </c>
      <c r="BT1747" s="4">
        <v>0.65152777777777782</v>
      </c>
    </row>
    <row r="1748" spans="1:72" x14ac:dyDescent="0.25">
      <c r="A1748" s="2">
        <v>2528</v>
      </c>
      <c r="B1748" s="2">
        <v>2010</v>
      </c>
      <c r="C1748" s="2" t="s">
        <v>4543</v>
      </c>
      <c r="D1748" s="2" t="s">
        <v>122</v>
      </c>
      <c r="E1748" s="2"/>
      <c r="F1748" s="2">
        <v>1</v>
      </c>
      <c r="G1748" s="2" t="s">
        <v>82</v>
      </c>
      <c r="H1748" s="2">
        <v>1</v>
      </c>
      <c r="I1748" s="2" t="s">
        <v>82</v>
      </c>
      <c r="J1748" s="2">
        <v>1</v>
      </c>
      <c r="K1748" s="2" t="s">
        <v>107</v>
      </c>
      <c r="L1748" s="2" t="s">
        <v>107</v>
      </c>
      <c r="M1748" s="3">
        <v>40296</v>
      </c>
      <c r="N1748" s="2"/>
      <c r="O1748" s="2"/>
      <c r="P1748" s="2"/>
      <c r="Q1748" s="2" t="str">
        <f>""</f>
        <v/>
      </c>
      <c r="R1748" s="2"/>
      <c r="S1748" s="2"/>
      <c r="T1748" s="2">
        <v>2</v>
      </c>
      <c r="U1748" s="2" t="s">
        <v>123</v>
      </c>
      <c r="V1748" s="2">
        <v>1</v>
      </c>
      <c r="W1748" s="2" t="s">
        <v>80</v>
      </c>
      <c r="X1748" s="2">
        <v>5</v>
      </c>
      <c r="Y1748" s="2" t="s">
        <v>82</v>
      </c>
      <c r="Z1748" s="2">
        <v>1</v>
      </c>
      <c r="AA1748" s="2" t="s">
        <v>82</v>
      </c>
      <c r="AB1748" s="2">
        <v>9</v>
      </c>
      <c r="AC1748" s="2" t="s">
        <v>124</v>
      </c>
      <c r="AD1748" s="2"/>
      <c r="AE1748" s="2"/>
      <c r="AF1748" s="2"/>
      <c r="AG1748" s="2"/>
      <c r="AH1748" s="2">
        <v>3</v>
      </c>
      <c r="AI1748" s="2" t="s">
        <v>214</v>
      </c>
      <c r="AJ1748" s="2">
        <v>18</v>
      </c>
      <c r="AK1748" s="2" t="s">
        <v>4469</v>
      </c>
      <c r="AL1748" s="2">
        <v>19</v>
      </c>
      <c r="AM1748" s="2" t="s">
        <v>107</v>
      </c>
      <c r="AN1748" s="2"/>
      <c r="AO1748" s="2"/>
      <c r="AP1748" s="2">
        <v>11</v>
      </c>
      <c r="AQ1748" s="2" t="s">
        <v>82</v>
      </c>
      <c r="AR1748" s="2"/>
      <c r="AS1748" s="2"/>
      <c r="AT1748" s="2" t="s">
        <v>6239</v>
      </c>
      <c r="AU1748" s="2"/>
      <c r="AV1748" s="2"/>
      <c r="AW1748" s="2"/>
      <c r="AX1748" s="2"/>
      <c r="AY1748" s="2">
        <v>41</v>
      </c>
      <c r="AZ1748" s="2" t="s">
        <v>82</v>
      </c>
      <c r="BA1748" s="2">
        <v>1</v>
      </c>
      <c r="BB1748" s="2" t="s">
        <v>107</v>
      </c>
      <c r="BC1748" s="2">
        <v>1</v>
      </c>
      <c r="BD1748" s="2" t="s">
        <v>107</v>
      </c>
      <c r="BE1748" s="2">
        <v>13</v>
      </c>
      <c r="BF1748" s="2" t="s">
        <v>108</v>
      </c>
      <c r="BG1748" s="2">
        <v>1482</v>
      </c>
      <c r="BH1748" s="4">
        <v>0.61805555555555558</v>
      </c>
      <c r="BI1748" s="4">
        <v>0.64583333333333337</v>
      </c>
      <c r="BJ1748" s="2">
        <v>242</v>
      </c>
      <c r="BK1748" s="2" t="s">
        <v>107</v>
      </c>
      <c r="BL1748" s="2"/>
      <c r="BM1748" s="2">
        <v>242</v>
      </c>
      <c r="BN1748" s="2" t="s">
        <v>107</v>
      </c>
      <c r="BO1748" s="2"/>
      <c r="BP1748" s="2">
        <v>242</v>
      </c>
      <c r="BQ1748" s="2" t="s">
        <v>107</v>
      </c>
      <c r="BR1748" s="2"/>
      <c r="BS1748" s="3">
        <v>40296</v>
      </c>
      <c r="BT1748" s="4">
        <v>0.65303240740740742</v>
      </c>
    </row>
    <row r="1749" spans="1:72" x14ac:dyDescent="0.25">
      <c r="A1749" s="2">
        <v>2529</v>
      </c>
      <c r="B1749" s="2">
        <v>2010</v>
      </c>
      <c r="C1749" s="2" t="s">
        <v>5621</v>
      </c>
      <c r="D1749" s="2" t="s">
        <v>122</v>
      </c>
      <c r="E1749" s="2" t="s">
        <v>6240</v>
      </c>
      <c r="F1749" s="2">
        <v>92</v>
      </c>
      <c r="G1749" s="2" t="s">
        <v>1432</v>
      </c>
      <c r="H1749" s="2">
        <v>42</v>
      </c>
      <c r="I1749" s="2" t="s">
        <v>1096</v>
      </c>
      <c r="J1749" s="2">
        <v>119</v>
      </c>
      <c r="K1749" s="2" t="s">
        <v>325</v>
      </c>
      <c r="L1749" s="2" t="s">
        <v>326</v>
      </c>
      <c r="M1749" s="3">
        <v>40296</v>
      </c>
      <c r="N1749" s="2" t="s">
        <v>4106</v>
      </c>
      <c r="O1749" s="2" t="s">
        <v>6029</v>
      </c>
      <c r="P1749" s="2" t="s">
        <v>107</v>
      </c>
      <c r="Q1749" s="2" t="str">
        <f>"0009/2010"</f>
        <v>0009/2010</v>
      </c>
      <c r="R1749" s="2"/>
      <c r="S1749" s="2"/>
      <c r="T1749" s="2">
        <v>2</v>
      </c>
      <c r="U1749" s="2" t="s">
        <v>123</v>
      </c>
      <c r="V1749" s="2">
        <v>1</v>
      </c>
      <c r="W1749" s="2" t="s">
        <v>80</v>
      </c>
      <c r="X1749" s="2">
        <v>5</v>
      </c>
      <c r="Y1749" s="2" t="s">
        <v>82</v>
      </c>
      <c r="Z1749" s="2">
        <v>1</v>
      </c>
      <c r="AA1749" s="2" t="s">
        <v>82</v>
      </c>
      <c r="AB1749" s="2">
        <v>9</v>
      </c>
      <c r="AC1749" s="2" t="s">
        <v>124</v>
      </c>
      <c r="AD1749" s="3">
        <v>40291</v>
      </c>
      <c r="AE1749" s="4">
        <v>0.80902777777777779</v>
      </c>
      <c r="AF1749" s="2"/>
      <c r="AG1749" s="2"/>
      <c r="AH1749" s="2">
        <v>6</v>
      </c>
      <c r="AI1749" s="2" t="s">
        <v>197</v>
      </c>
      <c r="AJ1749" s="2">
        <v>50</v>
      </c>
      <c r="AK1749" s="2" t="s">
        <v>330</v>
      </c>
      <c r="AL1749" s="2">
        <v>18</v>
      </c>
      <c r="AM1749" s="2" t="s">
        <v>82</v>
      </c>
      <c r="AN1749" s="2"/>
      <c r="AO1749" s="2"/>
      <c r="AP1749" s="2">
        <v>11</v>
      </c>
      <c r="AQ1749" s="2" t="s">
        <v>82</v>
      </c>
      <c r="AR1749" s="2"/>
      <c r="AS1749" s="2"/>
      <c r="AT1749" s="2" t="s">
        <v>6241</v>
      </c>
      <c r="AU1749" s="2"/>
      <c r="AV1749" s="2"/>
      <c r="AW1749" s="2"/>
      <c r="AX1749" s="2"/>
      <c r="AY1749" s="2">
        <v>1</v>
      </c>
      <c r="AZ1749" s="2" t="s">
        <v>107</v>
      </c>
      <c r="BA1749" s="2">
        <v>1</v>
      </c>
      <c r="BB1749" s="2" t="s">
        <v>107</v>
      </c>
      <c r="BC1749" s="2">
        <v>1</v>
      </c>
      <c r="BD1749" s="2" t="s">
        <v>107</v>
      </c>
      <c r="BE1749" s="2">
        <v>1</v>
      </c>
      <c r="BF1749" s="2" t="s">
        <v>107</v>
      </c>
      <c r="BG1749" s="2" t="s">
        <v>107</v>
      </c>
      <c r="BH1749" s="2"/>
      <c r="BI1749" s="4">
        <v>0.71875</v>
      </c>
      <c r="BJ1749" s="2">
        <v>242</v>
      </c>
      <c r="BK1749" s="2" t="s">
        <v>107</v>
      </c>
      <c r="BL1749" s="2" t="s">
        <v>1199</v>
      </c>
      <c r="BM1749" s="2">
        <v>13</v>
      </c>
      <c r="BN1749" s="2" t="s">
        <v>91</v>
      </c>
      <c r="BO1749" s="2" t="s">
        <v>1199</v>
      </c>
      <c r="BP1749" s="2">
        <v>242</v>
      </c>
      <c r="BQ1749" s="2" t="s">
        <v>107</v>
      </c>
      <c r="BR1749" s="2" t="s">
        <v>1199</v>
      </c>
      <c r="BS1749" s="3">
        <v>40296</v>
      </c>
      <c r="BT1749" s="4">
        <v>0.69327546296296294</v>
      </c>
    </row>
    <row r="1750" spans="1:72" x14ac:dyDescent="0.25">
      <c r="A1750" s="2">
        <v>2530</v>
      </c>
      <c r="B1750" s="2">
        <v>2010</v>
      </c>
      <c r="C1750" s="2" t="s">
        <v>128</v>
      </c>
      <c r="D1750" s="2" t="s">
        <v>122</v>
      </c>
      <c r="E1750" s="2"/>
      <c r="F1750" s="2">
        <v>2</v>
      </c>
      <c r="G1750" s="2" t="s">
        <v>113</v>
      </c>
      <c r="H1750" s="2">
        <v>2</v>
      </c>
      <c r="I1750" s="2" t="s">
        <v>267</v>
      </c>
      <c r="J1750" s="2">
        <v>300</v>
      </c>
      <c r="K1750" s="2" t="s">
        <v>114</v>
      </c>
      <c r="L1750" s="2" t="s">
        <v>115</v>
      </c>
      <c r="M1750" s="3">
        <v>40296</v>
      </c>
      <c r="N1750" s="2" t="s">
        <v>6242</v>
      </c>
      <c r="O1750" s="2" t="s">
        <v>6026</v>
      </c>
      <c r="P1750" s="2" t="s">
        <v>6243</v>
      </c>
      <c r="Q1750" s="2" t="str">
        <f>"N 223-E/10"</f>
        <v>N 223-E/10</v>
      </c>
      <c r="R1750" s="2"/>
      <c r="S1750" s="2" t="s">
        <v>6026</v>
      </c>
      <c r="T1750" s="2">
        <v>1</v>
      </c>
      <c r="U1750" s="2" t="s">
        <v>79</v>
      </c>
      <c r="V1750" s="2">
        <v>1</v>
      </c>
      <c r="W1750" s="2" t="s">
        <v>80</v>
      </c>
      <c r="X1750" s="2">
        <v>5</v>
      </c>
      <c r="Y1750" s="2" t="s">
        <v>82</v>
      </c>
      <c r="Z1750" s="2">
        <v>10</v>
      </c>
      <c r="AA1750" s="2" t="s">
        <v>236</v>
      </c>
      <c r="AB1750" s="2">
        <v>9</v>
      </c>
      <c r="AC1750" s="2" t="s">
        <v>124</v>
      </c>
      <c r="AD1750" s="3">
        <v>40296</v>
      </c>
      <c r="AE1750" s="4">
        <v>0.41666666666666669</v>
      </c>
      <c r="AF1750" s="2"/>
      <c r="AG1750" s="2"/>
      <c r="AH1750" s="2">
        <v>3</v>
      </c>
      <c r="AI1750" s="2" t="s">
        <v>214</v>
      </c>
      <c r="AJ1750" s="2">
        <v>24</v>
      </c>
      <c r="AK1750" s="2" t="s">
        <v>215</v>
      </c>
      <c r="AL1750" s="2">
        <v>19</v>
      </c>
      <c r="AM1750" s="2" t="s">
        <v>107</v>
      </c>
      <c r="AN1750" s="2"/>
      <c r="AO1750" s="2"/>
      <c r="AP1750" s="2">
        <v>11</v>
      </c>
      <c r="AQ1750" s="2" t="s">
        <v>82</v>
      </c>
      <c r="AR1750" s="2" t="s">
        <v>82</v>
      </c>
      <c r="AS1750" s="2" t="s">
        <v>82</v>
      </c>
      <c r="AT1750" s="2" t="s">
        <v>6244</v>
      </c>
      <c r="AU1750" s="2"/>
      <c r="AV1750" s="2"/>
      <c r="AW1750" s="2"/>
      <c r="AX1750" s="2"/>
      <c r="AY1750" s="2">
        <v>41</v>
      </c>
      <c r="AZ1750" s="2" t="s">
        <v>82</v>
      </c>
      <c r="BA1750" s="2">
        <v>41</v>
      </c>
      <c r="BB1750" s="2" t="s">
        <v>82</v>
      </c>
      <c r="BC1750" s="2">
        <v>41</v>
      </c>
      <c r="BD1750" s="2" t="s">
        <v>82</v>
      </c>
      <c r="BE1750" s="2">
        <v>1</v>
      </c>
      <c r="BF1750" s="2" t="s">
        <v>107</v>
      </c>
      <c r="BG1750" s="2" t="s">
        <v>82</v>
      </c>
      <c r="BH1750" s="2"/>
      <c r="BI1750" s="2"/>
      <c r="BJ1750" s="2">
        <v>241</v>
      </c>
      <c r="BK1750" s="2" t="s">
        <v>82</v>
      </c>
      <c r="BL1750" s="2" t="s">
        <v>82</v>
      </c>
      <c r="BM1750" s="2">
        <v>241</v>
      </c>
      <c r="BN1750" s="2" t="s">
        <v>82</v>
      </c>
      <c r="BO1750" s="2" t="s">
        <v>82</v>
      </c>
      <c r="BP1750" s="2">
        <v>241</v>
      </c>
      <c r="BQ1750" s="2" t="s">
        <v>82</v>
      </c>
      <c r="BR1750" s="2" t="s">
        <v>82</v>
      </c>
      <c r="BS1750" s="3">
        <v>40296</v>
      </c>
      <c r="BT1750" s="4">
        <v>0.70150462962962967</v>
      </c>
    </row>
    <row r="1751" spans="1:72" x14ac:dyDescent="0.25">
      <c r="A1751" s="2">
        <v>2531</v>
      </c>
      <c r="B1751" s="2">
        <v>2010</v>
      </c>
      <c r="C1751" s="2" t="s">
        <v>72</v>
      </c>
      <c r="D1751" s="2" t="s">
        <v>73</v>
      </c>
      <c r="E1751" s="2"/>
      <c r="F1751" s="2">
        <v>595</v>
      </c>
      <c r="G1751" s="2" t="s">
        <v>5725</v>
      </c>
      <c r="H1751" s="2">
        <v>22</v>
      </c>
      <c r="I1751" s="2" t="s">
        <v>75</v>
      </c>
      <c r="J1751" s="2">
        <v>526</v>
      </c>
      <c r="K1751" s="2" t="s">
        <v>5726</v>
      </c>
      <c r="L1751" s="2" t="s">
        <v>5727</v>
      </c>
      <c r="M1751" s="3">
        <v>40296</v>
      </c>
      <c r="N1751" s="2" t="s">
        <v>6245</v>
      </c>
      <c r="O1751" s="2" t="s">
        <v>107</v>
      </c>
      <c r="P1751" s="2" t="s">
        <v>107</v>
      </c>
      <c r="Q1751" s="2" t="str">
        <f>"164A/10"</f>
        <v>164A/10</v>
      </c>
      <c r="R1751" s="2" t="s">
        <v>156</v>
      </c>
      <c r="S1751" s="2" t="s">
        <v>156</v>
      </c>
      <c r="T1751" s="2">
        <v>1</v>
      </c>
      <c r="U1751" s="2" t="s">
        <v>79</v>
      </c>
      <c r="V1751" s="2">
        <v>1</v>
      </c>
      <c r="W1751" s="2" t="s">
        <v>80</v>
      </c>
      <c r="X1751" s="2">
        <v>12</v>
      </c>
      <c r="Y1751" s="2" t="s">
        <v>148</v>
      </c>
      <c r="Z1751" s="2">
        <v>1</v>
      </c>
      <c r="AA1751" s="2" t="s">
        <v>82</v>
      </c>
      <c r="AB1751" s="2">
        <v>6</v>
      </c>
      <c r="AC1751" s="2" t="s">
        <v>83</v>
      </c>
      <c r="AD1751" s="3">
        <v>40293</v>
      </c>
      <c r="AE1751" s="4">
        <v>0.75</v>
      </c>
      <c r="AF1751" s="3">
        <v>40296</v>
      </c>
      <c r="AG1751" s="4">
        <v>0.63541666666666663</v>
      </c>
      <c r="AH1751" s="2">
        <v>2</v>
      </c>
      <c r="AI1751" s="2" t="s">
        <v>84</v>
      </c>
      <c r="AJ1751" s="2">
        <v>12</v>
      </c>
      <c r="AK1751" s="2" t="s">
        <v>85</v>
      </c>
      <c r="AL1751" s="2">
        <v>22</v>
      </c>
      <c r="AM1751" s="2" t="s">
        <v>1853</v>
      </c>
      <c r="AN1751" s="2"/>
      <c r="AO1751" s="2"/>
      <c r="AP1751" s="2">
        <v>11</v>
      </c>
      <c r="AQ1751" s="2" t="s">
        <v>82</v>
      </c>
      <c r="AR1751" s="2"/>
      <c r="AS1751" s="2"/>
      <c r="AT1751" s="2" t="s">
        <v>6246</v>
      </c>
      <c r="AU1751" s="2"/>
      <c r="AV1751" s="2"/>
      <c r="AW1751" s="2"/>
      <c r="AX1751" s="2"/>
      <c r="AY1751" s="2">
        <v>41</v>
      </c>
      <c r="AZ1751" s="2" t="s">
        <v>82</v>
      </c>
      <c r="BA1751" s="2">
        <v>41</v>
      </c>
      <c r="BB1751" s="2" t="s">
        <v>82</v>
      </c>
      <c r="BC1751" s="2">
        <v>41</v>
      </c>
      <c r="BD1751" s="2" t="s">
        <v>82</v>
      </c>
      <c r="BE1751" s="2">
        <v>13</v>
      </c>
      <c r="BF1751" s="2" t="s">
        <v>108</v>
      </c>
      <c r="BG1751" s="2" t="s">
        <v>6247</v>
      </c>
      <c r="BH1751" s="4">
        <v>0.875</v>
      </c>
      <c r="BI1751" s="4">
        <v>0.84027777777777779</v>
      </c>
      <c r="BJ1751" s="2">
        <v>229</v>
      </c>
      <c r="BK1751" s="2" t="s">
        <v>300</v>
      </c>
      <c r="BL1751" s="2" t="s">
        <v>301</v>
      </c>
      <c r="BM1751" s="2">
        <v>241</v>
      </c>
      <c r="BN1751" s="2" t="s">
        <v>82</v>
      </c>
      <c r="BO1751" s="2"/>
      <c r="BP1751" s="2">
        <v>13</v>
      </c>
      <c r="BQ1751" s="2" t="s">
        <v>91</v>
      </c>
      <c r="BR1751" s="2" t="s">
        <v>185</v>
      </c>
      <c r="BS1751" s="3">
        <v>40296</v>
      </c>
      <c r="BT1751" s="4">
        <v>0.73533564814814811</v>
      </c>
    </row>
    <row r="1752" spans="1:72" x14ac:dyDescent="0.25">
      <c r="A1752" s="2">
        <v>2532</v>
      </c>
      <c r="B1752" s="2">
        <v>2010</v>
      </c>
      <c r="C1752" s="2" t="s">
        <v>806</v>
      </c>
      <c r="D1752" s="2" t="s">
        <v>122</v>
      </c>
      <c r="E1752" s="2"/>
      <c r="F1752" s="2">
        <v>90</v>
      </c>
      <c r="G1752" s="2" t="s">
        <v>4741</v>
      </c>
      <c r="H1752" s="2">
        <v>47</v>
      </c>
      <c r="I1752" s="2" t="s">
        <v>1409</v>
      </c>
      <c r="J1752" s="2">
        <v>118</v>
      </c>
      <c r="K1752" s="2" t="s">
        <v>4742</v>
      </c>
      <c r="L1752" s="2" t="s">
        <v>4743</v>
      </c>
      <c r="M1752" s="3">
        <v>40296</v>
      </c>
      <c r="N1752" s="2" t="s">
        <v>6218</v>
      </c>
      <c r="O1752" s="2" t="s">
        <v>6248</v>
      </c>
      <c r="P1752" s="2" t="s">
        <v>6249</v>
      </c>
      <c r="Q1752" s="2" t="str">
        <f>"N/C"</f>
        <v>N/C</v>
      </c>
      <c r="R1752" s="2" t="s">
        <v>82</v>
      </c>
      <c r="S1752" s="2" t="s">
        <v>82</v>
      </c>
      <c r="T1752" s="2">
        <v>1</v>
      </c>
      <c r="U1752" s="2" t="s">
        <v>79</v>
      </c>
      <c r="V1752" s="2">
        <v>1</v>
      </c>
      <c r="W1752" s="2" t="s">
        <v>80</v>
      </c>
      <c r="X1752" s="2">
        <v>7</v>
      </c>
      <c r="Y1752" s="2" t="s">
        <v>1964</v>
      </c>
      <c r="Z1752" s="2">
        <v>1</v>
      </c>
      <c r="AA1752" s="2" t="s">
        <v>82</v>
      </c>
      <c r="AB1752" s="2">
        <v>9</v>
      </c>
      <c r="AC1752" s="2" t="s">
        <v>124</v>
      </c>
      <c r="AD1752" s="3">
        <v>40296</v>
      </c>
      <c r="AE1752" s="4">
        <v>0.5</v>
      </c>
      <c r="AF1752" s="2"/>
      <c r="AG1752" s="2"/>
      <c r="AH1752" s="2">
        <v>6</v>
      </c>
      <c r="AI1752" s="2" t="s">
        <v>197</v>
      </c>
      <c r="AJ1752" s="2">
        <v>46</v>
      </c>
      <c r="AK1752" s="2" t="s">
        <v>197</v>
      </c>
      <c r="AL1752" s="2">
        <v>23</v>
      </c>
      <c r="AM1752" s="2" t="s">
        <v>251</v>
      </c>
      <c r="AN1752" s="2" t="s">
        <v>6250</v>
      </c>
      <c r="AO1752" s="2" t="s">
        <v>6251</v>
      </c>
      <c r="AP1752" s="2">
        <v>11</v>
      </c>
      <c r="AQ1752" s="2" t="s">
        <v>82</v>
      </c>
      <c r="AR1752" s="2"/>
      <c r="AS1752" s="2"/>
      <c r="AT1752" s="2" t="s">
        <v>6252</v>
      </c>
      <c r="AU1752" s="2"/>
      <c r="AV1752" s="2"/>
      <c r="AW1752" s="2"/>
      <c r="AX1752" s="2"/>
      <c r="AY1752" s="2">
        <v>41</v>
      </c>
      <c r="AZ1752" s="2" t="s">
        <v>82</v>
      </c>
      <c r="BA1752" s="2">
        <v>41</v>
      </c>
      <c r="BB1752" s="2" t="s">
        <v>82</v>
      </c>
      <c r="BC1752" s="2">
        <v>41</v>
      </c>
      <c r="BD1752" s="2" t="s">
        <v>82</v>
      </c>
      <c r="BE1752" s="2">
        <v>41</v>
      </c>
      <c r="BF1752" s="2" t="s">
        <v>82</v>
      </c>
      <c r="BG1752" s="2"/>
      <c r="BH1752" s="2"/>
      <c r="BI1752" s="2"/>
      <c r="BJ1752" s="2">
        <v>241</v>
      </c>
      <c r="BK1752" s="2" t="s">
        <v>82</v>
      </c>
      <c r="BL1752" s="2"/>
      <c r="BM1752" s="2">
        <v>241</v>
      </c>
      <c r="BN1752" s="2" t="s">
        <v>82</v>
      </c>
      <c r="BO1752" s="2"/>
      <c r="BP1752" s="2">
        <v>241</v>
      </c>
      <c r="BQ1752" s="2" t="s">
        <v>82</v>
      </c>
      <c r="BR1752" s="2"/>
      <c r="BS1752" s="3">
        <v>40296</v>
      </c>
      <c r="BT1752" s="4">
        <v>0.78326388888888887</v>
      </c>
    </row>
    <row r="1753" spans="1:72" x14ac:dyDescent="0.25">
      <c r="A1753" s="2">
        <v>2534</v>
      </c>
      <c r="B1753" s="2">
        <v>2010</v>
      </c>
      <c r="C1753" s="2" t="s">
        <v>4543</v>
      </c>
      <c r="D1753" s="2" t="s">
        <v>122</v>
      </c>
      <c r="E1753" s="2"/>
      <c r="F1753" s="2">
        <v>9</v>
      </c>
      <c r="G1753" s="2" t="s">
        <v>364</v>
      </c>
      <c r="H1753" s="2">
        <v>38</v>
      </c>
      <c r="I1753" s="2" t="s">
        <v>1272</v>
      </c>
      <c r="J1753" s="2">
        <v>18</v>
      </c>
      <c r="K1753" s="2" t="s">
        <v>365</v>
      </c>
      <c r="L1753" s="2" t="s">
        <v>115</v>
      </c>
      <c r="M1753" s="3">
        <v>40296</v>
      </c>
      <c r="N1753" s="2" t="s">
        <v>6253</v>
      </c>
      <c r="O1753" s="2" t="s">
        <v>107</v>
      </c>
      <c r="P1753" s="2"/>
      <c r="Q1753" s="2" t="str">
        <f>""</f>
        <v/>
      </c>
      <c r="R1753" s="2" t="s">
        <v>107</v>
      </c>
      <c r="S1753" s="2" t="s">
        <v>107</v>
      </c>
      <c r="T1753" s="2">
        <v>2</v>
      </c>
      <c r="U1753" s="2" t="s">
        <v>123</v>
      </c>
      <c r="V1753" s="2">
        <v>1</v>
      </c>
      <c r="W1753" s="2" t="s">
        <v>80</v>
      </c>
      <c r="X1753" s="2">
        <v>1</v>
      </c>
      <c r="Y1753" s="2" t="s">
        <v>81</v>
      </c>
      <c r="Z1753" s="2">
        <v>10</v>
      </c>
      <c r="AA1753" s="2" t="s">
        <v>236</v>
      </c>
      <c r="AB1753" s="2">
        <v>9</v>
      </c>
      <c r="AC1753" s="2" t="s">
        <v>124</v>
      </c>
      <c r="AD1753" s="3">
        <v>40296</v>
      </c>
      <c r="AE1753" s="4">
        <v>0.8125</v>
      </c>
      <c r="AF1753" s="2"/>
      <c r="AG1753" s="2"/>
      <c r="AH1753" s="2">
        <v>3</v>
      </c>
      <c r="AI1753" s="2" t="s">
        <v>214</v>
      </c>
      <c r="AJ1753" s="2">
        <v>24</v>
      </c>
      <c r="AK1753" s="2" t="s">
        <v>215</v>
      </c>
      <c r="AL1753" s="2">
        <v>25</v>
      </c>
      <c r="AM1753" s="2" t="s">
        <v>3073</v>
      </c>
      <c r="AN1753" s="2"/>
      <c r="AO1753" s="2" t="s">
        <v>6254</v>
      </c>
      <c r="AP1753" s="2">
        <v>11</v>
      </c>
      <c r="AQ1753" s="2" t="s">
        <v>82</v>
      </c>
      <c r="AR1753" s="2" t="s">
        <v>107</v>
      </c>
      <c r="AS1753" s="2" t="s">
        <v>107</v>
      </c>
      <c r="AT1753" s="2" t="s">
        <v>6255</v>
      </c>
      <c r="AU1753" s="2"/>
      <c r="AV1753" s="2"/>
      <c r="AW1753" s="2"/>
      <c r="AX1753" s="2"/>
      <c r="AY1753" s="2">
        <v>41</v>
      </c>
      <c r="AZ1753" s="2" t="s">
        <v>82</v>
      </c>
      <c r="BA1753" s="2">
        <v>41</v>
      </c>
      <c r="BB1753" s="2" t="s">
        <v>82</v>
      </c>
      <c r="BC1753" s="2">
        <v>41</v>
      </c>
      <c r="BD1753" s="2" t="s">
        <v>82</v>
      </c>
      <c r="BE1753" s="2">
        <v>17</v>
      </c>
      <c r="BF1753" s="2" t="s">
        <v>508</v>
      </c>
      <c r="BG1753" s="2" t="s">
        <v>6256</v>
      </c>
      <c r="BH1753" s="4">
        <v>0.69791666666666663</v>
      </c>
      <c r="BI1753" s="4">
        <v>0.72222222222222221</v>
      </c>
      <c r="BJ1753" s="2">
        <v>46</v>
      </c>
      <c r="BK1753" s="2" t="s">
        <v>307</v>
      </c>
      <c r="BL1753" s="2" t="s">
        <v>308</v>
      </c>
      <c r="BM1753" s="2">
        <v>13</v>
      </c>
      <c r="BN1753" s="2" t="s">
        <v>91</v>
      </c>
      <c r="BO1753" s="2" t="s">
        <v>169</v>
      </c>
      <c r="BP1753" s="2">
        <v>112</v>
      </c>
      <c r="BQ1753" s="2" t="s">
        <v>110</v>
      </c>
      <c r="BR1753" s="2" t="s">
        <v>6257</v>
      </c>
      <c r="BS1753" s="3">
        <v>40296</v>
      </c>
      <c r="BT1753" s="4">
        <v>0.87344907407407402</v>
      </c>
    </row>
    <row r="1754" spans="1:72" x14ac:dyDescent="0.25">
      <c r="A1754" s="2">
        <v>2535</v>
      </c>
      <c r="B1754" s="2">
        <v>2010</v>
      </c>
      <c r="C1754" s="2" t="s">
        <v>549</v>
      </c>
      <c r="D1754" s="2" t="s">
        <v>73</v>
      </c>
      <c r="E1754" s="2"/>
      <c r="F1754" s="2">
        <v>24</v>
      </c>
      <c r="G1754" s="2" t="s">
        <v>532</v>
      </c>
      <c r="H1754" s="2">
        <v>22</v>
      </c>
      <c r="I1754" s="2" t="s">
        <v>75</v>
      </c>
      <c r="J1754" s="2">
        <v>300</v>
      </c>
      <c r="K1754" s="2" t="s">
        <v>114</v>
      </c>
      <c r="L1754" s="2" t="s">
        <v>115</v>
      </c>
      <c r="M1754" s="3">
        <v>40296</v>
      </c>
      <c r="N1754" s="2"/>
      <c r="O1754" s="2"/>
      <c r="P1754" s="2"/>
      <c r="Q1754" s="2" t="str">
        <f>"232-E/10"</f>
        <v>232-E/10</v>
      </c>
      <c r="R1754" s="2" t="s">
        <v>6258</v>
      </c>
      <c r="S1754" s="2" t="s">
        <v>6258</v>
      </c>
      <c r="T1754" s="2">
        <v>1</v>
      </c>
      <c r="U1754" s="2" t="s">
        <v>79</v>
      </c>
      <c r="V1754" s="2">
        <v>1</v>
      </c>
      <c r="W1754" s="2" t="s">
        <v>80</v>
      </c>
      <c r="X1754" s="2">
        <v>12</v>
      </c>
      <c r="Y1754" s="2" t="s">
        <v>148</v>
      </c>
      <c r="Z1754" s="2">
        <v>1</v>
      </c>
      <c r="AA1754" s="2" t="s">
        <v>82</v>
      </c>
      <c r="AB1754" s="2">
        <v>9</v>
      </c>
      <c r="AC1754" s="2" t="s">
        <v>124</v>
      </c>
      <c r="AD1754" s="3">
        <v>40296</v>
      </c>
      <c r="AE1754" s="4">
        <v>0.65625</v>
      </c>
      <c r="AF1754" s="3">
        <v>40296</v>
      </c>
      <c r="AG1754" s="4">
        <v>0.6875</v>
      </c>
      <c r="AH1754" s="2">
        <v>2</v>
      </c>
      <c r="AI1754" s="2" t="s">
        <v>84</v>
      </c>
      <c r="AJ1754" s="2">
        <v>9</v>
      </c>
      <c r="AK1754" s="2" t="s">
        <v>103</v>
      </c>
      <c r="AL1754" s="2">
        <v>12</v>
      </c>
      <c r="AM1754" s="2" t="s">
        <v>86</v>
      </c>
      <c r="AN1754" s="2" t="s">
        <v>6259</v>
      </c>
      <c r="AO1754" s="2" t="s">
        <v>6260</v>
      </c>
      <c r="AP1754" s="2">
        <v>11</v>
      </c>
      <c r="AQ1754" s="2" t="s">
        <v>82</v>
      </c>
      <c r="AR1754" s="2"/>
      <c r="AS1754" s="2"/>
      <c r="AT1754" s="2" t="s">
        <v>6261</v>
      </c>
      <c r="AU1754" s="2"/>
      <c r="AV1754" s="2"/>
      <c r="AW1754" s="2">
        <v>1</v>
      </c>
      <c r="AX1754" s="2"/>
      <c r="AY1754" s="2">
        <v>41</v>
      </c>
      <c r="AZ1754" s="2" t="s">
        <v>82</v>
      </c>
      <c r="BA1754" s="2">
        <v>41</v>
      </c>
      <c r="BB1754" s="2" t="s">
        <v>82</v>
      </c>
      <c r="BC1754" s="2">
        <v>41</v>
      </c>
      <c r="BD1754" s="2" t="s">
        <v>82</v>
      </c>
      <c r="BE1754" s="2">
        <v>41</v>
      </c>
      <c r="BF1754" s="2" t="s">
        <v>82</v>
      </c>
      <c r="BG1754" s="2"/>
      <c r="BH1754" s="4">
        <v>0</v>
      </c>
      <c r="BI1754" s="4">
        <v>0</v>
      </c>
      <c r="BJ1754" s="2">
        <v>241</v>
      </c>
      <c r="BK1754" s="2" t="s">
        <v>82</v>
      </c>
      <c r="BL1754" s="2"/>
      <c r="BM1754" s="2">
        <v>241</v>
      </c>
      <c r="BN1754" s="2" t="s">
        <v>82</v>
      </c>
      <c r="BO1754" s="2"/>
      <c r="BP1754" s="2">
        <v>241</v>
      </c>
      <c r="BQ1754" s="2" t="s">
        <v>82</v>
      </c>
      <c r="BR1754" s="2"/>
      <c r="BS1754" s="3">
        <v>40296</v>
      </c>
      <c r="BT1754" s="4">
        <v>0.93252314814814818</v>
      </c>
    </row>
    <row r="1755" spans="1:72" x14ac:dyDescent="0.25">
      <c r="A1755" s="2">
        <v>2536</v>
      </c>
      <c r="B1755" s="2">
        <v>2010</v>
      </c>
      <c r="C1755" s="2" t="s">
        <v>171</v>
      </c>
      <c r="D1755" s="2" t="s">
        <v>122</v>
      </c>
      <c r="E1755" s="2"/>
      <c r="F1755" s="2">
        <v>425</v>
      </c>
      <c r="G1755" s="2" t="s">
        <v>286</v>
      </c>
      <c r="H1755" s="2">
        <v>39</v>
      </c>
      <c r="I1755" s="2" t="s">
        <v>1117</v>
      </c>
      <c r="J1755" s="2">
        <v>310</v>
      </c>
      <c r="K1755" s="2" t="s">
        <v>288</v>
      </c>
      <c r="L1755" s="2" t="s">
        <v>289</v>
      </c>
      <c r="M1755" s="3">
        <v>40296</v>
      </c>
      <c r="N1755" s="2" t="s">
        <v>1917</v>
      </c>
      <c r="O1755" s="2" t="s">
        <v>2490</v>
      </c>
      <c r="P1755" s="2" t="s">
        <v>6262</v>
      </c>
      <c r="Q1755" s="2" t="str">
        <f>"048/2010"</f>
        <v>048/2010</v>
      </c>
      <c r="R1755" s="2" t="s">
        <v>822</v>
      </c>
      <c r="S1755" s="2" t="s">
        <v>473</v>
      </c>
      <c r="T1755" s="2">
        <v>1</v>
      </c>
      <c r="U1755" s="2" t="s">
        <v>79</v>
      </c>
      <c r="V1755" s="2">
        <v>1</v>
      </c>
      <c r="W1755" s="2" t="s">
        <v>80</v>
      </c>
      <c r="X1755" s="2">
        <v>1</v>
      </c>
      <c r="Y1755" s="2" t="s">
        <v>81</v>
      </c>
      <c r="Z1755" s="2">
        <v>1</v>
      </c>
      <c r="AA1755" s="2" t="s">
        <v>82</v>
      </c>
      <c r="AB1755" s="2">
        <v>1</v>
      </c>
      <c r="AC1755" s="2" t="s">
        <v>178</v>
      </c>
      <c r="AD1755" s="3">
        <v>40296</v>
      </c>
      <c r="AE1755" s="4">
        <v>0.91666666666666663</v>
      </c>
      <c r="AF1755" s="2"/>
      <c r="AG1755" s="2"/>
      <c r="AH1755" s="2">
        <v>4</v>
      </c>
      <c r="AI1755" s="2" t="s">
        <v>125</v>
      </c>
      <c r="AJ1755" s="2">
        <v>29</v>
      </c>
      <c r="AK1755" s="2" t="s">
        <v>227</v>
      </c>
      <c r="AL1755" s="2">
        <v>16</v>
      </c>
      <c r="AM1755" s="2" t="s">
        <v>392</v>
      </c>
      <c r="AN1755" s="2" t="s">
        <v>3497</v>
      </c>
      <c r="AO1755" s="2" t="s">
        <v>473</v>
      </c>
      <c r="AP1755" s="2">
        <v>12</v>
      </c>
      <c r="AQ1755" s="2" t="s">
        <v>322</v>
      </c>
      <c r="AR1755" s="2" t="s">
        <v>824</v>
      </c>
      <c r="AS1755" s="2" t="s">
        <v>825</v>
      </c>
      <c r="AT1755" s="2" t="s">
        <v>6263</v>
      </c>
      <c r="AU1755" s="2"/>
      <c r="AV1755" s="2"/>
      <c r="AW1755" s="2"/>
      <c r="AX1755" s="2"/>
      <c r="AY1755" s="2">
        <v>41</v>
      </c>
      <c r="AZ1755" s="2" t="s">
        <v>82</v>
      </c>
      <c r="BA1755" s="2">
        <v>41</v>
      </c>
      <c r="BB1755" s="2" t="s">
        <v>82</v>
      </c>
      <c r="BC1755" s="2">
        <v>51</v>
      </c>
      <c r="BD1755" s="2" t="s">
        <v>827</v>
      </c>
      <c r="BE1755" s="2">
        <v>47</v>
      </c>
      <c r="BF1755" s="2" t="s">
        <v>167</v>
      </c>
      <c r="BG1755" s="2">
        <v>2459</v>
      </c>
      <c r="BH1755" s="4">
        <v>0.95138888888888884</v>
      </c>
      <c r="BI1755" s="4">
        <v>0.98611111111111116</v>
      </c>
      <c r="BJ1755" s="2">
        <v>13</v>
      </c>
      <c r="BK1755" s="2" t="s">
        <v>91</v>
      </c>
      <c r="BL1755" s="2" t="s">
        <v>828</v>
      </c>
      <c r="BM1755" s="2">
        <v>241</v>
      </c>
      <c r="BN1755" s="2" t="s">
        <v>82</v>
      </c>
      <c r="BO1755" s="2" t="s">
        <v>82</v>
      </c>
      <c r="BP1755" s="2">
        <v>13</v>
      </c>
      <c r="BQ1755" s="2" t="s">
        <v>91</v>
      </c>
      <c r="BR1755" s="2" t="s">
        <v>185</v>
      </c>
      <c r="BS1755" s="3">
        <v>40296</v>
      </c>
      <c r="BT1755" s="4">
        <v>0.96199074074074076</v>
      </c>
    </row>
    <row r="1756" spans="1:72" x14ac:dyDescent="0.25">
      <c r="A1756" s="2">
        <v>2537</v>
      </c>
      <c r="B1756" s="2">
        <v>2010</v>
      </c>
      <c r="C1756" s="2" t="s">
        <v>72</v>
      </c>
      <c r="D1756" s="2" t="s">
        <v>73</v>
      </c>
      <c r="E1756" s="2"/>
      <c r="F1756" s="2">
        <v>581</v>
      </c>
      <c r="G1756" s="2" t="s">
        <v>5320</v>
      </c>
      <c r="H1756" s="2">
        <v>22</v>
      </c>
      <c r="I1756" s="2" t="s">
        <v>75</v>
      </c>
      <c r="J1756" s="2">
        <v>513</v>
      </c>
      <c r="K1756" s="2" t="s">
        <v>5633</v>
      </c>
      <c r="L1756" s="2" t="s">
        <v>5634</v>
      </c>
      <c r="M1756" s="3">
        <v>40297</v>
      </c>
      <c r="N1756" s="2" t="s">
        <v>6264</v>
      </c>
      <c r="O1756" s="2" t="s">
        <v>107</v>
      </c>
      <c r="P1756" s="2" t="s">
        <v>107</v>
      </c>
      <c r="Q1756" s="2" t="str">
        <f>"165-A/10"</f>
        <v>165-A/10</v>
      </c>
      <c r="R1756" s="2" t="s">
        <v>107</v>
      </c>
      <c r="S1756" s="2" t="s">
        <v>78</v>
      </c>
      <c r="T1756" s="2">
        <v>1</v>
      </c>
      <c r="U1756" s="2" t="s">
        <v>79</v>
      </c>
      <c r="V1756" s="2">
        <v>1</v>
      </c>
      <c r="W1756" s="2" t="s">
        <v>80</v>
      </c>
      <c r="X1756" s="2">
        <v>12</v>
      </c>
      <c r="Y1756" s="2" t="s">
        <v>148</v>
      </c>
      <c r="Z1756" s="2">
        <v>1</v>
      </c>
      <c r="AA1756" s="2" t="s">
        <v>82</v>
      </c>
      <c r="AB1756" s="2">
        <v>6</v>
      </c>
      <c r="AC1756" s="2" t="s">
        <v>83</v>
      </c>
      <c r="AD1756" s="3">
        <v>40296</v>
      </c>
      <c r="AE1756" s="4">
        <v>0.96527777777777779</v>
      </c>
      <c r="AF1756" s="3">
        <v>40296</v>
      </c>
      <c r="AG1756" s="4">
        <v>0.99305555555555547</v>
      </c>
      <c r="AH1756" s="2">
        <v>2</v>
      </c>
      <c r="AI1756" s="2" t="s">
        <v>84</v>
      </c>
      <c r="AJ1756" s="2">
        <v>12</v>
      </c>
      <c r="AK1756" s="2" t="s">
        <v>85</v>
      </c>
      <c r="AL1756" s="2">
        <v>21</v>
      </c>
      <c r="AM1756" s="2" t="s">
        <v>1311</v>
      </c>
      <c r="AN1756" s="2" t="s">
        <v>6265</v>
      </c>
      <c r="AO1756" s="2" t="s">
        <v>6266</v>
      </c>
      <c r="AP1756" s="2">
        <v>11</v>
      </c>
      <c r="AQ1756" s="2" t="s">
        <v>82</v>
      </c>
      <c r="AR1756" s="2"/>
      <c r="AS1756" s="2"/>
      <c r="AT1756" s="2" t="s">
        <v>6267</v>
      </c>
      <c r="AU1756" s="2"/>
      <c r="AV1756" s="2"/>
      <c r="AW1756" s="2"/>
      <c r="AX1756" s="2"/>
      <c r="AY1756" s="2">
        <v>41</v>
      </c>
      <c r="AZ1756" s="2" t="s">
        <v>82</v>
      </c>
      <c r="BA1756" s="2">
        <v>41</v>
      </c>
      <c r="BB1756" s="2" t="s">
        <v>82</v>
      </c>
      <c r="BC1756" s="2">
        <v>41</v>
      </c>
      <c r="BD1756" s="2" t="s">
        <v>82</v>
      </c>
      <c r="BE1756" s="2">
        <v>1</v>
      </c>
      <c r="BF1756" s="2" t="s">
        <v>107</v>
      </c>
      <c r="BG1756" s="2"/>
      <c r="BH1756" s="2"/>
      <c r="BI1756" s="2"/>
      <c r="BJ1756" s="2">
        <v>13</v>
      </c>
      <c r="BK1756" s="2" t="s">
        <v>91</v>
      </c>
      <c r="BL1756" s="2" t="s">
        <v>241</v>
      </c>
      <c r="BM1756" s="2">
        <v>241</v>
      </c>
      <c r="BN1756" s="2" t="s">
        <v>82</v>
      </c>
      <c r="BO1756" s="2"/>
      <c r="BP1756" s="2">
        <v>13</v>
      </c>
      <c r="BQ1756" s="2" t="s">
        <v>91</v>
      </c>
      <c r="BR1756" s="2" t="s">
        <v>185</v>
      </c>
      <c r="BS1756" s="3">
        <v>40297</v>
      </c>
      <c r="BT1756" s="4">
        <v>0.11758101851851853</v>
      </c>
    </row>
    <row r="1757" spans="1:72" x14ac:dyDescent="0.25">
      <c r="A1757" s="2">
        <v>2538</v>
      </c>
      <c r="B1757" s="2">
        <v>2010</v>
      </c>
      <c r="C1757" s="2" t="s">
        <v>549</v>
      </c>
      <c r="D1757" s="2" t="s">
        <v>122</v>
      </c>
      <c r="E1757" s="2" t="s">
        <v>6268</v>
      </c>
      <c r="F1757" s="2">
        <v>24</v>
      </c>
      <c r="G1757" s="2" t="s">
        <v>532</v>
      </c>
      <c r="H1757" s="2">
        <v>22</v>
      </c>
      <c r="I1757" s="2" t="s">
        <v>75</v>
      </c>
      <c r="J1757" s="2">
        <v>300</v>
      </c>
      <c r="K1757" s="2" t="s">
        <v>114</v>
      </c>
      <c r="L1757" s="2" t="s">
        <v>115</v>
      </c>
      <c r="M1757" s="3">
        <v>40297</v>
      </c>
      <c r="N1757" s="2"/>
      <c r="O1757" s="2"/>
      <c r="P1757" s="2"/>
      <c r="Q1757" s="2" t="str">
        <f>"232-E/10"</f>
        <v>232-E/10</v>
      </c>
      <c r="R1757" s="2" t="s">
        <v>6258</v>
      </c>
      <c r="S1757" s="2" t="s">
        <v>6258</v>
      </c>
      <c r="T1757" s="2">
        <v>1</v>
      </c>
      <c r="U1757" s="2" t="s">
        <v>79</v>
      </c>
      <c r="V1757" s="2">
        <v>1</v>
      </c>
      <c r="W1757" s="2" t="s">
        <v>80</v>
      </c>
      <c r="X1757" s="2">
        <v>12</v>
      </c>
      <c r="Y1757" s="2" t="s">
        <v>148</v>
      </c>
      <c r="Z1757" s="2">
        <v>1</v>
      </c>
      <c r="AA1757" s="2" t="s">
        <v>82</v>
      </c>
      <c r="AB1757" s="2">
        <v>9</v>
      </c>
      <c r="AC1757" s="2" t="s">
        <v>124</v>
      </c>
      <c r="AD1757" s="3">
        <v>40296</v>
      </c>
      <c r="AE1757" s="4">
        <v>0.65625</v>
      </c>
      <c r="AF1757" s="3">
        <v>40296</v>
      </c>
      <c r="AG1757" s="4">
        <v>0.6875</v>
      </c>
      <c r="AH1757" s="2">
        <v>2</v>
      </c>
      <c r="AI1757" s="2" t="s">
        <v>84</v>
      </c>
      <c r="AJ1757" s="2">
        <v>9</v>
      </c>
      <c r="AK1757" s="2" t="s">
        <v>103</v>
      </c>
      <c r="AL1757" s="2">
        <v>12</v>
      </c>
      <c r="AM1757" s="2" t="s">
        <v>86</v>
      </c>
      <c r="AN1757" s="2" t="s">
        <v>6259</v>
      </c>
      <c r="AO1757" s="2" t="s">
        <v>6260</v>
      </c>
      <c r="AP1757" s="2">
        <v>11</v>
      </c>
      <c r="AQ1757" s="2" t="s">
        <v>82</v>
      </c>
      <c r="AR1757" s="2"/>
      <c r="AS1757" s="2"/>
      <c r="AT1757" s="2" t="s">
        <v>6269</v>
      </c>
      <c r="AU1757" s="2"/>
      <c r="AV1757" s="2"/>
      <c r="AW1757" s="2">
        <v>1</v>
      </c>
      <c r="AX1757" s="2"/>
      <c r="AY1757" s="2">
        <v>41</v>
      </c>
      <c r="AZ1757" s="2" t="s">
        <v>82</v>
      </c>
      <c r="BA1757" s="2">
        <v>41</v>
      </c>
      <c r="BB1757" s="2" t="s">
        <v>82</v>
      </c>
      <c r="BC1757" s="2">
        <v>41</v>
      </c>
      <c r="BD1757" s="2" t="s">
        <v>82</v>
      </c>
      <c r="BE1757" s="2">
        <v>41</v>
      </c>
      <c r="BF1757" s="2" t="s">
        <v>82</v>
      </c>
      <c r="BG1757" s="2"/>
      <c r="BH1757" s="4">
        <v>0</v>
      </c>
      <c r="BI1757" s="4">
        <v>0</v>
      </c>
      <c r="BJ1757" s="2">
        <v>241</v>
      </c>
      <c r="BK1757" s="2" t="s">
        <v>82</v>
      </c>
      <c r="BL1757" s="2"/>
      <c r="BM1757" s="2">
        <v>241</v>
      </c>
      <c r="BN1757" s="2" t="s">
        <v>82</v>
      </c>
      <c r="BO1757" s="2"/>
      <c r="BP1757" s="2">
        <v>241</v>
      </c>
      <c r="BQ1757" s="2" t="s">
        <v>82</v>
      </c>
      <c r="BR1757" s="2"/>
      <c r="BS1757" s="3">
        <v>40297</v>
      </c>
      <c r="BT1757" s="4">
        <v>0.17572916666666669</v>
      </c>
    </row>
    <row r="1758" spans="1:72" x14ac:dyDescent="0.25">
      <c r="A1758" s="2">
        <v>2539</v>
      </c>
      <c r="B1758" s="2">
        <v>2010</v>
      </c>
      <c r="C1758" s="2" t="s">
        <v>171</v>
      </c>
      <c r="D1758" s="2" t="s">
        <v>122</v>
      </c>
      <c r="E1758" s="2" t="s">
        <v>6270</v>
      </c>
      <c r="F1758" s="2">
        <v>396</v>
      </c>
      <c r="G1758" s="2" t="s">
        <v>2159</v>
      </c>
      <c r="H1758" s="2">
        <v>8</v>
      </c>
      <c r="I1758" s="2" t="s">
        <v>3451</v>
      </c>
      <c r="J1758" s="2">
        <v>243</v>
      </c>
      <c r="K1758" s="2" t="s">
        <v>2160</v>
      </c>
      <c r="L1758" s="2" t="s">
        <v>2145</v>
      </c>
      <c r="M1758" s="3">
        <v>40297</v>
      </c>
      <c r="N1758" s="2" t="s">
        <v>6110</v>
      </c>
      <c r="O1758" s="2" t="s">
        <v>107</v>
      </c>
      <c r="P1758" s="2" t="s">
        <v>107</v>
      </c>
      <c r="Q1758" s="2" t="str">
        <f>"229-E/10"</f>
        <v>229-E/10</v>
      </c>
      <c r="R1758" s="2" t="s">
        <v>6111</v>
      </c>
      <c r="S1758" s="2" t="s">
        <v>6111</v>
      </c>
      <c r="T1758" s="2">
        <v>1</v>
      </c>
      <c r="U1758" s="2" t="s">
        <v>79</v>
      </c>
      <c r="V1758" s="2">
        <v>1</v>
      </c>
      <c r="W1758" s="2" t="s">
        <v>80</v>
      </c>
      <c r="X1758" s="2">
        <v>1</v>
      </c>
      <c r="Y1758" s="2" t="s">
        <v>81</v>
      </c>
      <c r="Z1758" s="2">
        <v>1</v>
      </c>
      <c r="AA1758" s="2" t="s">
        <v>82</v>
      </c>
      <c r="AB1758" s="2">
        <v>1</v>
      </c>
      <c r="AC1758" s="2" t="s">
        <v>178</v>
      </c>
      <c r="AD1758" s="3">
        <v>40293</v>
      </c>
      <c r="AE1758" s="4">
        <v>0.875</v>
      </c>
      <c r="AF1758" s="2"/>
      <c r="AG1758" s="2"/>
      <c r="AH1758" s="2">
        <v>2</v>
      </c>
      <c r="AI1758" s="2" t="s">
        <v>84</v>
      </c>
      <c r="AJ1758" s="2">
        <v>9</v>
      </c>
      <c r="AK1758" s="2" t="s">
        <v>103</v>
      </c>
      <c r="AL1758" s="2">
        <v>14</v>
      </c>
      <c r="AM1758" s="2" t="s">
        <v>216</v>
      </c>
      <c r="AN1758" s="2" t="s">
        <v>105</v>
      </c>
      <c r="AO1758" s="2" t="s">
        <v>6132</v>
      </c>
      <c r="AP1758" s="2">
        <v>11</v>
      </c>
      <c r="AQ1758" s="2" t="s">
        <v>82</v>
      </c>
      <c r="AR1758" s="2" t="s">
        <v>82</v>
      </c>
      <c r="AS1758" s="2" t="s">
        <v>82</v>
      </c>
      <c r="AT1758" s="2" t="s">
        <v>6271</v>
      </c>
      <c r="AU1758" s="2"/>
      <c r="AV1758" s="2">
        <v>2</v>
      </c>
      <c r="AW1758" s="2"/>
      <c r="AX1758" s="2"/>
      <c r="AY1758" s="2">
        <v>42</v>
      </c>
      <c r="AZ1758" s="2" t="s">
        <v>182</v>
      </c>
      <c r="BA1758" s="2">
        <v>41</v>
      </c>
      <c r="BB1758" s="2" t="s">
        <v>82</v>
      </c>
      <c r="BC1758" s="2">
        <v>41</v>
      </c>
      <c r="BD1758" s="2" t="s">
        <v>82</v>
      </c>
      <c r="BE1758" s="2">
        <v>31</v>
      </c>
      <c r="BF1758" s="2" t="s">
        <v>398</v>
      </c>
      <c r="BG1758" s="2" t="s">
        <v>722</v>
      </c>
      <c r="BH1758" s="2"/>
      <c r="BI1758" s="4">
        <v>0.89930555555555547</v>
      </c>
      <c r="BJ1758" s="2">
        <v>13</v>
      </c>
      <c r="BK1758" s="2" t="s">
        <v>91</v>
      </c>
      <c r="BL1758" s="2" t="s">
        <v>2592</v>
      </c>
      <c r="BM1758" s="2">
        <v>241</v>
      </c>
      <c r="BN1758" s="2" t="s">
        <v>82</v>
      </c>
      <c r="BO1758" s="2" t="s">
        <v>82</v>
      </c>
      <c r="BP1758" s="2">
        <v>73</v>
      </c>
      <c r="BQ1758" s="2" t="s">
        <v>186</v>
      </c>
      <c r="BR1758" s="2" t="s">
        <v>187</v>
      </c>
      <c r="BS1758" s="3">
        <v>40297</v>
      </c>
      <c r="BT1758" s="4">
        <v>0.33348379629629626</v>
      </c>
    </row>
    <row r="1759" spans="1:72" x14ac:dyDescent="0.25">
      <c r="A1759" s="2">
        <v>2540</v>
      </c>
      <c r="B1759" s="2">
        <v>2010</v>
      </c>
      <c r="C1759" s="2" t="s">
        <v>171</v>
      </c>
      <c r="D1759" s="2" t="s">
        <v>73</v>
      </c>
      <c r="E1759" s="2"/>
      <c r="F1759" s="2">
        <v>400</v>
      </c>
      <c r="G1759" s="2" t="s">
        <v>3601</v>
      </c>
      <c r="H1759" s="2">
        <v>17</v>
      </c>
      <c r="I1759" s="2" t="s">
        <v>3602</v>
      </c>
      <c r="J1759" s="2">
        <v>316</v>
      </c>
      <c r="K1759" s="2" t="s">
        <v>574</v>
      </c>
      <c r="L1759" s="2" t="s">
        <v>575</v>
      </c>
      <c r="M1759" s="3">
        <v>40297</v>
      </c>
      <c r="N1759" s="2" t="s">
        <v>5242</v>
      </c>
      <c r="O1759" s="2" t="s">
        <v>6272</v>
      </c>
      <c r="P1759" s="2">
        <v>9975</v>
      </c>
      <c r="Q1759" s="2" t="str">
        <f>"199E/10"</f>
        <v>199E/10</v>
      </c>
      <c r="R1759" s="2"/>
      <c r="S1759" s="2" t="s">
        <v>2448</v>
      </c>
      <c r="T1759" s="2">
        <v>1</v>
      </c>
      <c r="U1759" s="2" t="s">
        <v>79</v>
      </c>
      <c r="V1759" s="2">
        <v>3</v>
      </c>
      <c r="W1759" s="2" t="s">
        <v>225</v>
      </c>
      <c r="X1759" s="2">
        <v>6</v>
      </c>
      <c r="Y1759" s="2" t="s">
        <v>249</v>
      </c>
      <c r="Z1759" s="2">
        <v>10</v>
      </c>
      <c r="AA1759" s="2" t="s">
        <v>236</v>
      </c>
      <c r="AB1759" s="2">
        <v>9</v>
      </c>
      <c r="AC1759" s="2" t="s">
        <v>124</v>
      </c>
      <c r="AD1759" s="3">
        <v>40296</v>
      </c>
      <c r="AE1759" s="4">
        <v>0.41666666666666669</v>
      </c>
      <c r="AF1759" s="2"/>
      <c r="AG1759" s="2"/>
      <c r="AH1759" s="2">
        <v>2</v>
      </c>
      <c r="AI1759" s="2" t="s">
        <v>84</v>
      </c>
      <c r="AJ1759" s="2">
        <v>6</v>
      </c>
      <c r="AK1759" s="2" t="s">
        <v>453</v>
      </c>
      <c r="AL1759" s="2">
        <v>19</v>
      </c>
      <c r="AM1759" s="2" t="s">
        <v>107</v>
      </c>
      <c r="AN1759" s="2"/>
      <c r="AO1759" s="2"/>
      <c r="AP1759" s="2">
        <v>11</v>
      </c>
      <c r="AQ1759" s="2" t="s">
        <v>82</v>
      </c>
      <c r="AR1759" s="2"/>
      <c r="AS1759" s="2"/>
      <c r="AT1759" s="2" t="s">
        <v>6273</v>
      </c>
      <c r="AU1759" s="2"/>
      <c r="AV1759" s="2"/>
      <c r="AW1759" s="2"/>
      <c r="AX1759" s="2"/>
      <c r="AY1759" s="2">
        <v>42</v>
      </c>
      <c r="AZ1759" s="2" t="s">
        <v>182</v>
      </c>
      <c r="BA1759" s="2">
        <v>41</v>
      </c>
      <c r="BB1759" s="2" t="s">
        <v>82</v>
      </c>
      <c r="BC1759" s="2">
        <v>41</v>
      </c>
      <c r="BD1759" s="2" t="s">
        <v>82</v>
      </c>
      <c r="BE1759" s="2">
        <v>41</v>
      </c>
      <c r="BF1759" s="2" t="s">
        <v>82</v>
      </c>
      <c r="BG1759" s="2"/>
      <c r="BH1759" s="2"/>
      <c r="BI1759" s="2"/>
      <c r="BJ1759" s="2">
        <v>241</v>
      </c>
      <c r="BK1759" s="2" t="s">
        <v>82</v>
      </c>
      <c r="BL1759" s="2"/>
      <c r="BM1759" s="2">
        <v>241</v>
      </c>
      <c r="BN1759" s="2" t="s">
        <v>82</v>
      </c>
      <c r="BO1759" s="2"/>
      <c r="BP1759" s="2">
        <v>241</v>
      </c>
      <c r="BQ1759" s="2" t="s">
        <v>82</v>
      </c>
      <c r="BR1759" s="2"/>
      <c r="BS1759" s="3">
        <v>40297</v>
      </c>
      <c r="BT1759" s="4">
        <v>0.44055555555555559</v>
      </c>
    </row>
    <row r="1760" spans="1:72" x14ac:dyDescent="0.25">
      <c r="A1760" s="2">
        <v>2542</v>
      </c>
      <c r="B1760" s="2">
        <v>2010</v>
      </c>
      <c r="C1760" s="2" t="s">
        <v>819</v>
      </c>
      <c r="D1760" s="2" t="s">
        <v>122</v>
      </c>
      <c r="E1760" s="2" t="s">
        <v>6274</v>
      </c>
      <c r="F1760" s="2">
        <v>425</v>
      </c>
      <c r="G1760" s="2" t="s">
        <v>286</v>
      </c>
      <c r="H1760" s="2">
        <v>30</v>
      </c>
      <c r="I1760" s="2" t="s">
        <v>912</v>
      </c>
      <c r="J1760" s="2">
        <v>310</v>
      </c>
      <c r="K1760" s="2" t="s">
        <v>288</v>
      </c>
      <c r="L1760" s="2" t="s">
        <v>289</v>
      </c>
      <c r="M1760" s="3">
        <v>40297</v>
      </c>
      <c r="N1760" s="2" t="s">
        <v>2049</v>
      </c>
      <c r="O1760" s="2" t="s">
        <v>5454</v>
      </c>
      <c r="P1760" s="2" t="s">
        <v>5454</v>
      </c>
      <c r="Q1760" s="2" t="str">
        <f>"047/10"</f>
        <v>047/10</v>
      </c>
      <c r="R1760" s="2" t="s">
        <v>822</v>
      </c>
      <c r="S1760" s="2" t="s">
        <v>5454</v>
      </c>
      <c r="T1760" s="2">
        <v>1</v>
      </c>
      <c r="U1760" s="2" t="s">
        <v>79</v>
      </c>
      <c r="V1760" s="2">
        <v>1</v>
      </c>
      <c r="W1760" s="2" t="s">
        <v>80</v>
      </c>
      <c r="X1760" s="2">
        <v>1</v>
      </c>
      <c r="Y1760" s="2" t="s">
        <v>81</v>
      </c>
      <c r="Z1760" s="2">
        <v>10</v>
      </c>
      <c r="AA1760" s="2" t="s">
        <v>236</v>
      </c>
      <c r="AB1760" s="2">
        <v>9</v>
      </c>
      <c r="AC1760" s="2" t="s">
        <v>124</v>
      </c>
      <c r="AD1760" s="3">
        <v>40297</v>
      </c>
      <c r="AE1760" s="4">
        <v>0.45833333333333331</v>
      </c>
      <c r="AF1760" s="2"/>
      <c r="AG1760" s="2"/>
      <c r="AH1760" s="2">
        <v>4</v>
      </c>
      <c r="AI1760" s="2" t="s">
        <v>125</v>
      </c>
      <c r="AJ1760" s="2">
        <v>29</v>
      </c>
      <c r="AK1760" s="2" t="s">
        <v>227</v>
      </c>
      <c r="AL1760" s="2">
        <v>16</v>
      </c>
      <c r="AM1760" s="2" t="s">
        <v>392</v>
      </c>
      <c r="AN1760" s="2" t="s">
        <v>3040</v>
      </c>
      <c r="AO1760" s="2" t="s">
        <v>3176</v>
      </c>
      <c r="AP1760" s="2">
        <v>14</v>
      </c>
      <c r="AQ1760" s="2" t="s">
        <v>3301</v>
      </c>
      <c r="AR1760" s="2" t="s">
        <v>824</v>
      </c>
      <c r="AS1760" s="2" t="s">
        <v>884</v>
      </c>
      <c r="AT1760" s="2" t="s">
        <v>6275</v>
      </c>
      <c r="AU1760" s="2"/>
      <c r="AV1760" s="2"/>
      <c r="AW1760" s="2"/>
      <c r="AX1760" s="2"/>
      <c r="AY1760" s="2">
        <v>41</v>
      </c>
      <c r="AZ1760" s="2" t="s">
        <v>82</v>
      </c>
      <c r="BA1760" s="2">
        <v>41</v>
      </c>
      <c r="BB1760" s="2" t="s">
        <v>82</v>
      </c>
      <c r="BC1760" s="2">
        <v>41</v>
      </c>
      <c r="BD1760" s="2" t="s">
        <v>82</v>
      </c>
      <c r="BE1760" s="2">
        <v>4</v>
      </c>
      <c r="BF1760" s="2" t="s">
        <v>90</v>
      </c>
      <c r="BG1760" s="2">
        <v>4139</v>
      </c>
      <c r="BH1760" s="4">
        <v>0.81597222222222221</v>
      </c>
      <c r="BI1760" s="4">
        <v>0.84722222222222221</v>
      </c>
      <c r="BJ1760" s="2">
        <v>13</v>
      </c>
      <c r="BK1760" s="2" t="s">
        <v>91</v>
      </c>
      <c r="BL1760" s="2" t="s">
        <v>828</v>
      </c>
      <c r="BM1760" s="2">
        <v>241</v>
      </c>
      <c r="BN1760" s="2" t="s">
        <v>82</v>
      </c>
      <c r="BO1760" s="2" t="s">
        <v>82</v>
      </c>
      <c r="BP1760" s="2">
        <v>13</v>
      </c>
      <c r="BQ1760" s="2" t="s">
        <v>91</v>
      </c>
      <c r="BR1760" s="2" t="s">
        <v>1108</v>
      </c>
      <c r="BS1760" s="3">
        <v>40297</v>
      </c>
      <c r="BT1760" s="4">
        <v>0.46252314814814816</v>
      </c>
    </row>
    <row r="1761" spans="1:72" x14ac:dyDescent="0.25">
      <c r="A1761" s="2">
        <v>2543</v>
      </c>
      <c r="B1761" s="2">
        <v>2010</v>
      </c>
      <c r="C1761" s="2" t="s">
        <v>6276</v>
      </c>
      <c r="D1761" s="2" t="s">
        <v>73</v>
      </c>
      <c r="E1761" s="2"/>
      <c r="F1761" s="2">
        <v>114</v>
      </c>
      <c r="G1761" s="2" t="s">
        <v>2817</v>
      </c>
      <c r="H1761" s="2">
        <v>22</v>
      </c>
      <c r="I1761" s="2" t="s">
        <v>75</v>
      </c>
      <c r="J1761" s="2">
        <v>133</v>
      </c>
      <c r="K1761" s="2" t="s">
        <v>3844</v>
      </c>
      <c r="L1761" s="2" t="s">
        <v>3845</v>
      </c>
      <c r="M1761" s="3">
        <v>40297</v>
      </c>
      <c r="N1761" s="2" t="s">
        <v>6277</v>
      </c>
      <c r="O1761" s="2" t="s">
        <v>6278</v>
      </c>
      <c r="P1761" s="2" t="s">
        <v>107</v>
      </c>
      <c r="Q1761" s="2" t="str">
        <f>"0008/10"</f>
        <v>0008/10</v>
      </c>
      <c r="R1761" s="2" t="s">
        <v>6279</v>
      </c>
      <c r="S1761" s="2" t="s">
        <v>6280</v>
      </c>
      <c r="T1761" s="2">
        <v>1</v>
      </c>
      <c r="U1761" s="2" t="s">
        <v>79</v>
      </c>
      <c r="V1761" s="2">
        <v>1</v>
      </c>
      <c r="W1761" s="2" t="s">
        <v>80</v>
      </c>
      <c r="X1761" s="2">
        <v>1</v>
      </c>
      <c r="Y1761" s="2" t="s">
        <v>81</v>
      </c>
      <c r="Z1761" s="2">
        <v>1</v>
      </c>
      <c r="AA1761" s="2" t="s">
        <v>82</v>
      </c>
      <c r="AB1761" s="2">
        <v>9</v>
      </c>
      <c r="AC1761" s="2" t="s">
        <v>124</v>
      </c>
      <c r="AD1761" s="3">
        <v>40297</v>
      </c>
      <c r="AE1761" s="4">
        <v>0.35416666666666669</v>
      </c>
      <c r="AF1761" s="2"/>
      <c r="AG1761" s="2"/>
      <c r="AH1761" s="2">
        <v>6</v>
      </c>
      <c r="AI1761" s="2" t="s">
        <v>197</v>
      </c>
      <c r="AJ1761" s="2">
        <v>54</v>
      </c>
      <c r="AK1761" s="2" t="s">
        <v>348</v>
      </c>
      <c r="AL1761" s="2">
        <v>25</v>
      </c>
      <c r="AM1761" s="2" t="s">
        <v>3073</v>
      </c>
      <c r="AN1761" s="2" t="s">
        <v>6281</v>
      </c>
      <c r="AO1761" s="2" t="s">
        <v>4116</v>
      </c>
      <c r="AP1761" s="2">
        <v>11</v>
      </c>
      <c r="AQ1761" s="2" t="s">
        <v>82</v>
      </c>
      <c r="AR1761" s="2"/>
      <c r="AS1761" s="2"/>
      <c r="AT1761" s="2" t="s">
        <v>6282</v>
      </c>
      <c r="AU1761" s="2"/>
      <c r="AV1761" s="2"/>
      <c r="AW1761" s="2"/>
      <c r="AX1761" s="2"/>
      <c r="AY1761" s="2">
        <v>41</v>
      </c>
      <c r="AZ1761" s="2" t="s">
        <v>82</v>
      </c>
      <c r="BA1761" s="2">
        <v>41</v>
      </c>
      <c r="BB1761" s="2" t="s">
        <v>82</v>
      </c>
      <c r="BC1761" s="2">
        <v>41</v>
      </c>
      <c r="BD1761" s="2" t="s">
        <v>82</v>
      </c>
      <c r="BE1761" s="2">
        <v>4</v>
      </c>
      <c r="BF1761" s="2" t="s">
        <v>90</v>
      </c>
      <c r="BG1761" s="2" t="s">
        <v>6283</v>
      </c>
      <c r="BH1761" s="4">
        <v>0.34375</v>
      </c>
      <c r="BI1761" s="4">
        <v>0.38541666666666669</v>
      </c>
      <c r="BJ1761" s="2">
        <v>13</v>
      </c>
      <c r="BK1761" s="2" t="s">
        <v>91</v>
      </c>
      <c r="BL1761" s="2" t="s">
        <v>2764</v>
      </c>
      <c r="BM1761" s="2">
        <v>241</v>
      </c>
      <c r="BN1761" s="2" t="s">
        <v>82</v>
      </c>
      <c r="BO1761" s="2" t="s">
        <v>82</v>
      </c>
      <c r="BP1761" s="2">
        <v>13</v>
      </c>
      <c r="BQ1761" s="2" t="s">
        <v>91</v>
      </c>
      <c r="BR1761" s="2" t="s">
        <v>2168</v>
      </c>
      <c r="BS1761" s="3">
        <v>40297</v>
      </c>
      <c r="BT1761" s="4">
        <v>0.50093750000000004</v>
      </c>
    </row>
    <row r="1762" spans="1:72" x14ac:dyDescent="0.25">
      <c r="A1762" s="2">
        <v>2544</v>
      </c>
      <c r="B1762" s="2">
        <v>2010</v>
      </c>
      <c r="C1762" s="2" t="s">
        <v>147</v>
      </c>
      <c r="D1762" s="2" t="s">
        <v>73</v>
      </c>
      <c r="E1762" s="2"/>
      <c r="F1762" s="2">
        <v>1</v>
      </c>
      <c r="G1762" s="2" t="s">
        <v>82</v>
      </c>
      <c r="H1762" s="2">
        <v>1</v>
      </c>
      <c r="I1762" s="2" t="s">
        <v>82</v>
      </c>
      <c r="J1762" s="2">
        <v>1</v>
      </c>
      <c r="K1762" s="2" t="s">
        <v>107</v>
      </c>
      <c r="L1762" s="2" t="s">
        <v>107</v>
      </c>
      <c r="M1762" s="3">
        <v>40297</v>
      </c>
      <c r="N1762" s="2"/>
      <c r="O1762" s="2"/>
      <c r="P1762" s="2"/>
      <c r="Q1762" s="2" t="str">
        <f>""</f>
        <v/>
      </c>
      <c r="R1762" s="2"/>
      <c r="S1762" s="2"/>
      <c r="T1762" s="2">
        <v>2</v>
      </c>
      <c r="U1762" s="2" t="s">
        <v>123</v>
      </c>
      <c r="V1762" s="2">
        <v>1</v>
      </c>
      <c r="W1762" s="2" t="s">
        <v>80</v>
      </c>
      <c r="X1762" s="2">
        <v>12</v>
      </c>
      <c r="Y1762" s="2" t="s">
        <v>148</v>
      </c>
      <c r="Z1762" s="2">
        <v>1</v>
      </c>
      <c r="AA1762" s="2" t="s">
        <v>82</v>
      </c>
      <c r="AB1762" s="2">
        <v>9</v>
      </c>
      <c r="AC1762" s="2" t="s">
        <v>124</v>
      </c>
      <c r="AD1762" s="2"/>
      <c r="AE1762" s="2"/>
      <c r="AF1762" s="3">
        <v>40297</v>
      </c>
      <c r="AG1762" s="4">
        <v>0.4375</v>
      </c>
      <c r="AH1762" s="2">
        <v>2</v>
      </c>
      <c r="AI1762" s="2" t="s">
        <v>84</v>
      </c>
      <c r="AJ1762" s="2">
        <v>11</v>
      </c>
      <c r="AK1762" s="2" t="s">
        <v>751</v>
      </c>
      <c r="AL1762" s="2">
        <v>19</v>
      </c>
      <c r="AM1762" s="2" t="s">
        <v>107</v>
      </c>
      <c r="AN1762" s="2" t="s">
        <v>1648</v>
      </c>
      <c r="AO1762" s="2"/>
      <c r="AP1762" s="2">
        <v>11</v>
      </c>
      <c r="AQ1762" s="2" t="s">
        <v>82</v>
      </c>
      <c r="AR1762" s="2"/>
      <c r="AS1762" s="2"/>
      <c r="AT1762" s="2" t="s">
        <v>6284</v>
      </c>
      <c r="AU1762" s="2"/>
      <c r="AV1762" s="2"/>
      <c r="AW1762" s="2"/>
      <c r="AX1762" s="2"/>
      <c r="AY1762" s="2">
        <v>41</v>
      </c>
      <c r="AZ1762" s="2" t="s">
        <v>82</v>
      </c>
      <c r="BA1762" s="2">
        <v>41</v>
      </c>
      <c r="BB1762" s="2" t="s">
        <v>82</v>
      </c>
      <c r="BC1762" s="2">
        <v>41</v>
      </c>
      <c r="BD1762" s="2" t="s">
        <v>82</v>
      </c>
      <c r="BE1762" s="2">
        <v>41</v>
      </c>
      <c r="BF1762" s="2" t="s">
        <v>82</v>
      </c>
      <c r="BG1762" s="2"/>
      <c r="BH1762" s="2"/>
      <c r="BI1762" s="2"/>
      <c r="BJ1762" s="2">
        <v>241</v>
      </c>
      <c r="BK1762" s="2" t="s">
        <v>82</v>
      </c>
      <c r="BL1762" s="2"/>
      <c r="BM1762" s="2">
        <v>241</v>
      </c>
      <c r="BN1762" s="2" t="s">
        <v>82</v>
      </c>
      <c r="BO1762" s="2"/>
      <c r="BP1762" s="2">
        <v>241</v>
      </c>
      <c r="BQ1762" s="2" t="s">
        <v>82</v>
      </c>
      <c r="BR1762" s="2"/>
      <c r="BS1762" s="3">
        <v>40297</v>
      </c>
      <c r="BT1762" s="4">
        <v>0.50535879629629632</v>
      </c>
    </row>
    <row r="1763" spans="1:72" x14ac:dyDescent="0.25">
      <c r="A1763" s="2">
        <v>2546</v>
      </c>
      <c r="B1763" s="2">
        <v>2010</v>
      </c>
      <c r="C1763" s="2" t="s">
        <v>819</v>
      </c>
      <c r="D1763" s="2" t="s">
        <v>122</v>
      </c>
      <c r="E1763" s="2"/>
      <c r="F1763" s="2">
        <v>11</v>
      </c>
      <c r="G1763" s="2" t="s">
        <v>2454</v>
      </c>
      <c r="H1763" s="2">
        <v>99</v>
      </c>
      <c r="I1763" s="2" t="s">
        <v>6285</v>
      </c>
      <c r="J1763" s="2">
        <v>19</v>
      </c>
      <c r="K1763" s="2" t="s">
        <v>2144</v>
      </c>
      <c r="L1763" s="2" t="s">
        <v>2145</v>
      </c>
      <c r="M1763" s="3">
        <v>40297</v>
      </c>
      <c r="N1763" s="2" t="s">
        <v>2455</v>
      </c>
      <c r="O1763" s="2" t="s">
        <v>6228</v>
      </c>
      <c r="P1763" s="7">
        <v>20478</v>
      </c>
      <c r="Q1763" s="2" t="str">
        <f>"130-A/10"</f>
        <v>130-A/10</v>
      </c>
      <c r="R1763" s="2"/>
      <c r="S1763" s="2" t="s">
        <v>2162</v>
      </c>
      <c r="T1763" s="2">
        <v>1</v>
      </c>
      <c r="U1763" s="2" t="s">
        <v>79</v>
      </c>
      <c r="V1763" s="2">
        <v>1</v>
      </c>
      <c r="W1763" s="2" t="s">
        <v>80</v>
      </c>
      <c r="X1763" s="2">
        <v>5</v>
      </c>
      <c r="Y1763" s="2" t="s">
        <v>82</v>
      </c>
      <c r="Z1763" s="2">
        <v>1</v>
      </c>
      <c r="AA1763" s="2" t="s">
        <v>82</v>
      </c>
      <c r="AB1763" s="2">
        <v>9</v>
      </c>
      <c r="AC1763" s="2" t="s">
        <v>124</v>
      </c>
      <c r="AD1763" s="3">
        <v>40297</v>
      </c>
      <c r="AE1763" s="4">
        <v>0.54166666666666663</v>
      </c>
      <c r="AF1763" s="2"/>
      <c r="AG1763" s="2"/>
      <c r="AH1763" s="2">
        <v>2</v>
      </c>
      <c r="AI1763" s="2" t="s">
        <v>84</v>
      </c>
      <c r="AJ1763" s="2">
        <v>12</v>
      </c>
      <c r="AK1763" s="2" t="s">
        <v>85</v>
      </c>
      <c r="AL1763" s="2">
        <v>16</v>
      </c>
      <c r="AM1763" s="2" t="s">
        <v>392</v>
      </c>
      <c r="AN1763" s="2"/>
      <c r="AO1763" s="2" t="s">
        <v>4691</v>
      </c>
      <c r="AP1763" s="2">
        <v>11</v>
      </c>
      <c r="AQ1763" s="2" t="s">
        <v>82</v>
      </c>
      <c r="AR1763" s="2"/>
      <c r="AS1763" s="2"/>
      <c r="AT1763" s="2" t="s">
        <v>6286</v>
      </c>
      <c r="AU1763" s="2"/>
      <c r="AV1763" s="2"/>
      <c r="AW1763" s="2"/>
      <c r="AX1763" s="2"/>
      <c r="AY1763" s="2">
        <v>41</v>
      </c>
      <c r="AZ1763" s="2" t="s">
        <v>82</v>
      </c>
      <c r="BA1763" s="2">
        <v>41</v>
      </c>
      <c r="BB1763" s="2" t="s">
        <v>82</v>
      </c>
      <c r="BC1763" s="2">
        <v>41</v>
      </c>
      <c r="BD1763" s="2" t="s">
        <v>82</v>
      </c>
      <c r="BE1763" s="2">
        <v>41</v>
      </c>
      <c r="BF1763" s="2" t="s">
        <v>82</v>
      </c>
      <c r="BG1763" s="2"/>
      <c r="BH1763" s="2"/>
      <c r="BI1763" s="2"/>
      <c r="BJ1763" s="2">
        <v>241</v>
      </c>
      <c r="BK1763" s="2" t="s">
        <v>82</v>
      </c>
      <c r="BL1763" s="2"/>
      <c r="BM1763" s="2">
        <v>241</v>
      </c>
      <c r="BN1763" s="2" t="s">
        <v>82</v>
      </c>
      <c r="BO1763" s="2"/>
      <c r="BP1763" s="2">
        <v>241</v>
      </c>
      <c r="BQ1763" s="2" t="s">
        <v>82</v>
      </c>
      <c r="BR1763" s="2"/>
      <c r="BS1763" s="3">
        <v>40297</v>
      </c>
      <c r="BT1763" s="4">
        <v>0.58442129629629636</v>
      </c>
    </row>
    <row r="1764" spans="1:72" x14ac:dyDescent="0.25">
      <c r="A1764" s="2">
        <v>2547</v>
      </c>
      <c r="B1764" s="2">
        <v>2010</v>
      </c>
      <c r="C1764" s="2" t="s">
        <v>377</v>
      </c>
      <c r="D1764" s="2" t="s">
        <v>73</v>
      </c>
      <c r="E1764" s="2"/>
      <c r="F1764" s="2">
        <v>426</v>
      </c>
      <c r="G1764" s="2" t="s">
        <v>378</v>
      </c>
      <c r="H1764" s="2">
        <v>22</v>
      </c>
      <c r="I1764" s="2" t="s">
        <v>75</v>
      </c>
      <c r="J1764" s="2">
        <v>311</v>
      </c>
      <c r="K1764" s="2" t="s">
        <v>379</v>
      </c>
      <c r="L1764" s="2" t="s">
        <v>380</v>
      </c>
      <c r="M1764" s="3">
        <v>40297</v>
      </c>
      <c r="N1764" s="2" t="s">
        <v>4427</v>
      </c>
      <c r="O1764" s="2" t="s">
        <v>4428</v>
      </c>
      <c r="P1764" s="2"/>
      <c r="Q1764" s="2" t="str">
        <f>"061-C/10"</f>
        <v>061-C/10</v>
      </c>
      <c r="R1764" s="2"/>
      <c r="S1764" s="2" t="s">
        <v>4428</v>
      </c>
      <c r="T1764" s="2">
        <v>1</v>
      </c>
      <c r="U1764" s="2" t="s">
        <v>79</v>
      </c>
      <c r="V1764" s="2">
        <v>1</v>
      </c>
      <c r="W1764" s="2" t="s">
        <v>80</v>
      </c>
      <c r="X1764" s="2">
        <v>1</v>
      </c>
      <c r="Y1764" s="2" t="s">
        <v>81</v>
      </c>
      <c r="Z1764" s="2">
        <v>1</v>
      </c>
      <c r="AA1764" s="2" t="s">
        <v>82</v>
      </c>
      <c r="AB1764" s="2">
        <v>9</v>
      </c>
      <c r="AC1764" s="2" t="s">
        <v>124</v>
      </c>
      <c r="AD1764" s="3">
        <v>40297</v>
      </c>
      <c r="AE1764" s="4">
        <v>0.4513888888888889</v>
      </c>
      <c r="AF1764" s="2"/>
      <c r="AG1764" s="2"/>
      <c r="AH1764" s="2">
        <v>2</v>
      </c>
      <c r="AI1764" s="2" t="s">
        <v>84</v>
      </c>
      <c r="AJ1764" s="2">
        <v>9</v>
      </c>
      <c r="AK1764" s="2" t="s">
        <v>103</v>
      </c>
      <c r="AL1764" s="2">
        <v>29</v>
      </c>
      <c r="AM1764" s="2" t="s">
        <v>5416</v>
      </c>
      <c r="AN1764" s="2"/>
      <c r="AO1764" s="2" t="s">
        <v>6287</v>
      </c>
      <c r="AP1764" s="2">
        <v>11</v>
      </c>
      <c r="AQ1764" s="2" t="s">
        <v>82</v>
      </c>
      <c r="AR1764" s="2"/>
      <c r="AS1764" s="2"/>
      <c r="AT1764" s="2" t="s">
        <v>6288</v>
      </c>
      <c r="AU1764" s="2"/>
      <c r="AV1764" s="2"/>
      <c r="AW1764" s="2"/>
      <c r="AX1764" s="2"/>
      <c r="AY1764" s="2">
        <v>41</v>
      </c>
      <c r="AZ1764" s="2" t="s">
        <v>82</v>
      </c>
      <c r="BA1764" s="2">
        <v>41</v>
      </c>
      <c r="BB1764" s="2" t="s">
        <v>82</v>
      </c>
      <c r="BC1764" s="2">
        <v>41</v>
      </c>
      <c r="BD1764" s="2" t="s">
        <v>82</v>
      </c>
      <c r="BE1764" s="2">
        <v>41</v>
      </c>
      <c r="BF1764" s="2" t="s">
        <v>82</v>
      </c>
      <c r="BG1764" s="2"/>
      <c r="BH1764" s="2"/>
      <c r="BI1764" s="2"/>
      <c r="BJ1764" s="2">
        <v>241</v>
      </c>
      <c r="BK1764" s="2" t="s">
        <v>82</v>
      </c>
      <c r="BL1764" s="2"/>
      <c r="BM1764" s="2">
        <v>241</v>
      </c>
      <c r="BN1764" s="2" t="s">
        <v>82</v>
      </c>
      <c r="BO1764" s="2"/>
      <c r="BP1764" s="2">
        <v>241</v>
      </c>
      <c r="BQ1764" s="2" t="s">
        <v>82</v>
      </c>
      <c r="BR1764" s="2"/>
      <c r="BS1764" s="3">
        <v>40297</v>
      </c>
      <c r="BT1764" s="4">
        <v>0.5930671296296296</v>
      </c>
    </row>
    <row r="1765" spans="1:72" x14ac:dyDescent="0.25">
      <c r="A1765" s="2">
        <v>2548</v>
      </c>
      <c r="B1765" s="2">
        <v>2010</v>
      </c>
      <c r="C1765" s="2" t="s">
        <v>1172</v>
      </c>
      <c r="D1765" s="2" t="s">
        <v>73</v>
      </c>
      <c r="E1765" s="2"/>
      <c r="F1765" s="2">
        <v>92</v>
      </c>
      <c r="G1765" s="2" t="s">
        <v>1432</v>
      </c>
      <c r="H1765" s="2">
        <v>47</v>
      </c>
      <c r="I1765" s="2" t="s">
        <v>1409</v>
      </c>
      <c r="J1765" s="2">
        <v>119</v>
      </c>
      <c r="K1765" s="2" t="s">
        <v>325</v>
      </c>
      <c r="L1765" s="2" t="s">
        <v>326</v>
      </c>
      <c r="M1765" s="3">
        <v>40297</v>
      </c>
      <c r="N1765" s="2" t="s">
        <v>3905</v>
      </c>
      <c r="O1765" s="2" t="s">
        <v>6289</v>
      </c>
      <c r="P1765" s="2" t="s">
        <v>6290</v>
      </c>
      <c r="Q1765" s="2" t="str">
        <f>""</f>
        <v/>
      </c>
      <c r="R1765" s="2"/>
      <c r="S1765" s="2"/>
      <c r="T1765" s="2">
        <v>1</v>
      </c>
      <c r="U1765" s="2" t="s">
        <v>79</v>
      </c>
      <c r="V1765" s="2">
        <v>3</v>
      </c>
      <c r="W1765" s="2" t="s">
        <v>225</v>
      </c>
      <c r="X1765" s="2">
        <v>6</v>
      </c>
      <c r="Y1765" s="2" t="s">
        <v>249</v>
      </c>
      <c r="Z1765" s="2">
        <v>10</v>
      </c>
      <c r="AA1765" s="2" t="s">
        <v>236</v>
      </c>
      <c r="AB1765" s="2">
        <v>9</v>
      </c>
      <c r="AC1765" s="2" t="s">
        <v>124</v>
      </c>
      <c r="AD1765" s="3">
        <v>40291</v>
      </c>
      <c r="AE1765" s="4">
        <v>0.77083333333333337</v>
      </c>
      <c r="AF1765" s="3">
        <v>40266</v>
      </c>
      <c r="AG1765" s="4">
        <v>0.48958333333333331</v>
      </c>
      <c r="AH1765" s="2">
        <v>6</v>
      </c>
      <c r="AI1765" s="2" t="s">
        <v>197</v>
      </c>
      <c r="AJ1765" s="2">
        <v>47</v>
      </c>
      <c r="AK1765" s="2" t="s">
        <v>250</v>
      </c>
      <c r="AL1765" s="2">
        <v>9</v>
      </c>
      <c r="AM1765" s="2" t="s">
        <v>259</v>
      </c>
      <c r="AN1765" s="2" t="s">
        <v>1197</v>
      </c>
      <c r="AO1765" s="2" t="s">
        <v>1197</v>
      </c>
      <c r="AP1765" s="2">
        <v>11</v>
      </c>
      <c r="AQ1765" s="2" t="s">
        <v>82</v>
      </c>
      <c r="AR1765" s="2"/>
      <c r="AS1765" s="2"/>
      <c r="AT1765" s="2" t="s">
        <v>6291</v>
      </c>
      <c r="AU1765" s="2"/>
      <c r="AV1765" s="2"/>
      <c r="AW1765" s="2"/>
      <c r="AX1765" s="2"/>
      <c r="AY1765" s="2">
        <v>41</v>
      </c>
      <c r="AZ1765" s="2" t="s">
        <v>82</v>
      </c>
      <c r="BA1765" s="2">
        <v>41</v>
      </c>
      <c r="BB1765" s="2" t="s">
        <v>82</v>
      </c>
      <c r="BC1765" s="2">
        <v>41</v>
      </c>
      <c r="BD1765" s="2" t="s">
        <v>82</v>
      </c>
      <c r="BE1765" s="2">
        <v>41</v>
      </c>
      <c r="BF1765" s="2" t="s">
        <v>82</v>
      </c>
      <c r="BG1765" s="2"/>
      <c r="BH1765" s="2"/>
      <c r="BI1765" s="2"/>
      <c r="BJ1765" s="2">
        <v>241</v>
      </c>
      <c r="BK1765" s="2" t="s">
        <v>82</v>
      </c>
      <c r="BL1765" s="2"/>
      <c r="BM1765" s="2">
        <v>241</v>
      </c>
      <c r="BN1765" s="2" t="s">
        <v>82</v>
      </c>
      <c r="BO1765" s="2"/>
      <c r="BP1765" s="2">
        <v>241</v>
      </c>
      <c r="BQ1765" s="2" t="s">
        <v>82</v>
      </c>
      <c r="BR1765" s="2"/>
      <c r="BS1765" s="3">
        <v>40297</v>
      </c>
      <c r="BT1765" s="4">
        <v>0.61327546296296298</v>
      </c>
    </row>
    <row r="1766" spans="1:72" x14ac:dyDescent="0.25">
      <c r="A1766" s="2">
        <v>2549</v>
      </c>
      <c r="B1766" s="2">
        <v>2010</v>
      </c>
      <c r="C1766" s="2" t="s">
        <v>171</v>
      </c>
      <c r="D1766" s="2" t="s">
        <v>122</v>
      </c>
      <c r="E1766" s="2" t="s">
        <v>6270</v>
      </c>
      <c r="F1766" s="2">
        <v>396</v>
      </c>
      <c r="G1766" s="2" t="s">
        <v>2159</v>
      </c>
      <c r="H1766" s="2">
        <v>8</v>
      </c>
      <c r="I1766" s="2" t="s">
        <v>3451</v>
      </c>
      <c r="J1766" s="2">
        <v>243</v>
      </c>
      <c r="K1766" s="2" t="s">
        <v>2160</v>
      </c>
      <c r="L1766" s="2" t="s">
        <v>2145</v>
      </c>
      <c r="M1766" s="3">
        <v>40297</v>
      </c>
      <c r="N1766" s="2" t="s">
        <v>6110</v>
      </c>
      <c r="O1766" s="2" t="s">
        <v>107</v>
      </c>
      <c r="P1766" s="2" t="s">
        <v>107</v>
      </c>
      <c r="Q1766" s="2" t="str">
        <f>"229-E/10"</f>
        <v>229-E/10</v>
      </c>
      <c r="R1766" s="2" t="s">
        <v>6111</v>
      </c>
      <c r="S1766" s="2" t="s">
        <v>6111</v>
      </c>
      <c r="T1766" s="2">
        <v>1</v>
      </c>
      <c r="U1766" s="2" t="s">
        <v>79</v>
      </c>
      <c r="V1766" s="2">
        <v>1</v>
      </c>
      <c r="W1766" s="2" t="s">
        <v>80</v>
      </c>
      <c r="X1766" s="2">
        <v>1</v>
      </c>
      <c r="Y1766" s="2" t="s">
        <v>81</v>
      </c>
      <c r="Z1766" s="2">
        <v>1</v>
      </c>
      <c r="AA1766" s="2" t="s">
        <v>82</v>
      </c>
      <c r="AB1766" s="2">
        <v>1</v>
      </c>
      <c r="AC1766" s="2" t="s">
        <v>178</v>
      </c>
      <c r="AD1766" s="3">
        <v>40293</v>
      </c>
      <c r="AE1766" s="4">
        <v>0.875</v>
      </c>
      <c r="AF1766" s="2"/>
      <c r="AG1766" s="2"/>
      <c r="AH1766" s="2">
        <v>2</v>
      </c>
      <c r="AI1766" s="2" t="s">
        <v>84</v>
      </c>
      <c r="AJ1766" s="2">
        <v>9</v>
      </c>
      <c r="AK1766" s="2" t="s">
        <v>103</v>
      </c>
      <c r="AL1766" s="2">
        <v>14</v>
      </c>
      <c r="AM1766" s="2" t="s">
        <v>216</v>
      </c>
      <c r="AN1766" s="2" t="s">
        <v>105</v>
      </c>
      <c r="AO1766" s="2" t="s">
        <v>6132</v>
      </c>
      <c r="AP1766" s="2">
        <v>11</v>
      </c>
      <c r="AQ1766" s="2" t="s">
        <v>82</v>
      </c>
      <c r="AR1766" s="2" t="s">
        <v>82</v>
      </c>
      <c r="AS1766" s="2" t="s">
        <v>82</v>
      </c>
      <c r="AT1766" s="2" t="s">
        <v>6292</v>
      </c>
      <c r="AU1766" s="2"/>
      <c r="AV1766" s="2">
        <v>2</v>
      </c>
      <c r="AW1766" s="2"/>
      <c r="AX1766" s="2"/>
      <c r="AY1766" s="2">
        <v>42</v>
      </c>
      <c r="AZ1766" s="2" t="s">
        <v>182</v>
      </c>
      <c r="BA1766" s="2">
        <v>41</v>
      </c>
      <c r="BB1766" s="2" t="s">
        <v>82</v>
      </c>
      <c r="BC1766" s="2">
        <v>41</v>
      </c>
      <c r="BD1766" s="2" t="s">
        <v>82</v>
      </c>
      <c r="BE1766" s="2">
        <v>31</v>
      </c>
      <c r="BF1766" s="2" t="s">
        <v>398</v>
      </c>
      <c r="BG1766" s="2" t="s">
        <v>722</v>
      </c>
      <c r="BH1766" s="2"/>
      <c r="BI1766" s="4">
        <v>0.89930555555555547</v>
      </c>
      <c r="BJ1766" s="2">
        <v>13</v>
      </c>
      <c r="BK1766" s="2" t="s">
        <v>91</v>
      </c>
      <c r="BL1766" s="2" t="s">
        <v>2592</v>
      </c>
      <c r="BM1766" s="2">
        <v>241</v>
      </c>
      <c r="BN1766" s="2" t="s">
        <v>82</v>
      </c>
      <c r="BO1766" s="2" t="s">
        <v>82</v>
      </c>
      <c r="BP1766" s="2">
        <v>73</v>
      </c>
      <c r="BQ1766" s="2" t="s">
        <v>186</v>
      </c>
      <c r="BR1766" s="2" t="s">
        <v>187</v>
      </c>
      <c r="BS1766" s="3">
        <v>40297</v>
      </c>
      <c r="BT1766" s="4">
        <v>0.65270833333333333</v>
      </c>
    </row>
    <row r="1767" spans="1:72" x14ac:dyDescent="0.25">
      <c r="A1767" s="2">
        <v>2550</v>
      </c>
      <c r="B1767" s="2">
        <v>2010</v>
      </c>
      <c r="C1767" s="2" t="s">
        <v>171</v>
      </c>
      <c r="D1767" s="2" t="s">
        <v>73</v>
      </c>
      <c r="E1767" s="2"/>
      <c r="F1767" s="2">
        <v>100</v>
      </c>
      <c r="G1767" s="2" t="s">
        <v>517</v>
      </c>
      <c r="H1767" s="2">
        <v>47</v>
      </c>
      <c r="I1767" s="2" t="s">
        <v>1409</v>
      </c>
      <c r="J1767" s="2">
        <v>119</v>
      </c>
      <c r="K1767" s="2" t="s">
        <v>325</v>
      </c>
      <c r="L1767" s="2" t="s">
        <v>326</v>
      </c>
      <c r="M1767" s="3">
        <v>40297</v>
      </c>
      <c r="N1767" s="2" t="s">
        <v>3905</v>
      </c>
      <c r="O1767" s="2" t="s">
        <v>5520</v>
      </c>
      <c r="P1767" s="2" t="s">
        <v>6293</v>
      </c>
      <c r="Q1767" s="2" t="str">
        <f>""</f>
        <v/>
      </c>
      <c r="R1767" s="2"/>
      <c r="S1767" s="2"/>
      <c r="T1767" s="2">
        <v>1</v>
      </c>
      <c r="U1767" s="2" t="s">
        <v>79</v>
      </c>
      <c r="V1767" s="2">
        <v>3</v>
      </c>
      <c r="W1767" s="2" t="s">
        <v>225</v>
      </c>
      <c r="X1767" s="2">
        <v>6</v>
      </c>
      <c r="Y1767" s="2" t="s">
        <v>249</v>
      </c>
      <c r="Z1767" s="2">
        <v>1</v>
      </c>
      <c r="AA1767" s="2" t="s">
        <v>82</v>
      </c>
      <c r="AB1767" s="2">
        <v>9</v>
      </c>
      <c r="AC1767" s="2" t="s">
        <v>124</v>
      </c>
      <c r="AD1767" s="3">
        <v>40297</v>
      </c>
      <c r="AE1767" s="2"/>
      <c r="AF1767" s="2"/>
      <c r="AG1767" s="2"/>
      <c r="AH1767" s="2">
        <v>6</v>
      </c>
      <c r="AI1767" s="2" t="s">
        <v>197</v>
      </c>
      <c r="AJ1767" s="2">
        <v>47</v>
      </c>
      <c r="AK1767" s="2" t="s">
        <v>250</v>
      </c>
      <c r="AL1767" s="2">
        <v>23</v>
      </c>
      <c r="AM1767" s="2" t="s">
        <v>251</v>
      </c>
      <c r="AN1767" s="2"/>
      <c r="AO1767" s="2"/>
      <c r="AP1767" s="2">
        <v>11</v>
      </c>
      <c r="AQ1767" s="2" t="s">
        <v>82</v>
      </c>
      <c r="AR1767" s="2"/>
      <c r="AS1767" s="2"/>
      <c r="AT1767" s="2" t="s">
        <v>6294</v>
      </c>
      <c r="AU1767" s="2"/>
      <c r="AV1767" s="2"/>
      <c r="AW1767" s="2"/>
      <c r="AX1767" s="2"/>
      <c r="AY1767" s="2">
        <v>41</v>
      </c>
      <c r="AZ1767" s="2" t="s">
        <v>82</v>
      </c>
      <c r="BA1767" s="2">
        <v>41</v>
      </c>
      <c r="BB1767" s="2" t="s">
        <v>82</v>
      </c>
      <c r="BC1767" s="2">
        <v>41</v>
      </c>
      <c r="BD1767" s="2" t="s">
        <v>82</v>
      </c>
      <c r="BE1767" s="2">
        <v>41</v>
      </c>
      <c r="BF1767" s="2" t="s">
        <v>82</v>
      </c>
      <c r="BG1767" s="2"/>
      <c r="BH1767" s="2"/>
      <c r="BI1767" s="2"/>
      <c r="BJ1767" s="2">
        <v>241</v>
      </c>
      <c r="BK1767" s="2" t="s">
        <v>82</v>
      </c>
      <c r="BL1767" s="2"/>
      <c r="BM1767" s="2">
        <v>241</v>
      </c>
      <c r="BN1767" s="2" t="s">
        <v>82</v>
      </c>
      <c r="BO1767" s="2"/>
      <c r="BP1767" s="2">
        <v>241</v>
      </c>
      <c r="BQ1767" s="2" t="s">
        <v>82</v>
      </c>
      <c r="BR1767" s="2"/>
      <c r="BS1767" s="3">
        <v>40297</v>
      </c>
      <c r="BT1767" s="4">
        <v>0.65357638888888892</v>
      </c>
    </row>
    <row r="1768" spans="1:72" x14ac:dyDescent="0.25">
      <c r="A1768" s="2">
        <v>2551</v>
      </c>
      <c r="B1768" s="2">
        <v>2010</v>
      </c>
      <c r="C1768" s="2" t="s">
        <v>121</v>
      </c>
      <c r="D1768" s="2" t="s">
        <v>122</v>
      </c>
      <c r="E1768" s="2"/>
      <c r="F1768" s="2">
        <v>1</v>
      </c>
      <c r="G1768" s="2" t="s">
        <v>82</v>
      </c>
      <c r="H1768" s="2">
        <v>1</v>
      </c>
      <c r="I1768" s="2" t="s">
        <v>82</v>
      </c>
      <c r="J1768" s="2">
        <v>1</v>
      </c>
      <c r="K1768" s="2" t="s">
        <v>107</v>
      </c>
      <c r="L1768" s="2" t="s">
        <v>107</v>
      </c>
      <c r="M1768" s="3">
        <v>40297</v>
      </c>
      <c r="N1768" s="2"/>
      <c r="O1768" s="2"/>
      <c r="P1768" s="2"/>
      <c r="Q1768" s="2" t="str">
        <f>""</f>
        <v/>
      </c>
      <c r="R1768" s="2"/>
      <c r="S1768" s="2"/>
      <c r="T1768" s="2">
        <v>2</v>
      </c>
      <c r="U1768" s="2" t="s">
        <v>123</v>
      </c>
      <c r="V1768" s="2">
        <v>1</v>
      </c>
      <c r="W1768" s="2" t="s">
        <v>80</v>
      </c>
      <c r="X1768" s="2">
        <v>1</v>
      </c>
      <c r="Y1768" s="2" t="s">
        <v>81</v>
      </c>
      <c r="Z1768" s="2">
        <v>1</v>
      </c>
      <c r="AA1768" s="2" t="s">
        <v>82</v>
      </c>
      <c r="AB1768" s="2">
        <v>9</v>
      </c>
      <c r="AC1768" s="2" t="s">
        <v>124</v>
      </c>
      <c r="AD1768" s="3">
        <v>40297</v>
      </c>
      <c r="AE1768" s="4">
        <v>0.63194444444444442</v>
      </c>
      <c r="AF1768" s="2"/>
      <c r="AG1768" s="2"/>
      <c r="AH1768" s="2">
        <v>6</v>
      </c>
      <c r="AI1768" s="2" t="s">
        <v>197</v>
      </c>
      <c r="AJ1768" s="2">
        <v>61</v>
      </c>
      <c r="AK1768" s="2" t="s">
        <v>686</v>
      </c>
      <c r="AL1768" s="2">
        <v>10</v>
      </c>
      <c r="AM1768" s="2" t="s">
        <v>200</v>
      </c>
      <c r="AN1768" s="2" t="s">
        <v>82</v>
      </c>
      <c r="AO1768" s="2" t="s">
        <v>6295</v>
      </c>
      <c r="AP1768" s="2">
        <v>11</v>
      </c>
      <c r="AQ1768" s="2" t="s">
        <v>82</v>
      </c>
      <c r="AR1768" s="2"/>
      <c r="AS1768" s="2"/>
      <c r="AT1768" s="2" t="s">
        <v>6296</v>
      </c>
      <c r="AU1768" s="2"/>
      <c r="AV1768" s="2"/>
      <c r="AW1768" s="2"/>
      <c r="AX1768" s="2"/>
      <c r="AY1768" s="2">
        <v>41</v>
      </c>
      <c r="AZ1768" s="2" t="s">
        <v>82</v>
      </c>
      <c r="BA1768" s="2">
        <v>41</v>
      </c>
      <c r="BB1768" s="2" t="s">
        <v>82</v>
      </c>
      <c r="BC1768" s="2">
        <v>41</v>
      </c>
      <c r="BD1768" s="2" t="s">
        <v>82</v>
      </c>
      <c r="BE1768" s="2">
        <v>41</v>
      </c>
      <c r="BF1768" s="2" t="s">
        <v>82</v>
      </c>
      <c r="BG1768" s="2" t="s">
        <v>3200</v>
      </c>
      <c r="BH1768" s="4">
        <v>0.63194444444444442</v>
      </c>
      <c r="BI1768" s="2"/>
      <c r="BJ1768" s="2">
        <v>13</v>
      </c>
      <c r="BK1768" s="2" t="s">
        <v>91</v>
      </c>
      <c r="BL1768" s="2" t="s">
        <v>492</v>
      </c>
      <c r="BM1768" s="2">
        <v>241</v>
      </c>
      <c r="BN1768" s="2" t="s">
        <v>82</v>
      </c>
      <c r="BO1768" s="2" t="s">
        <v>82</v>
      </c>
      <c r="BP1768" s="2">
        <v>241</v>
      </c>
      <c r="BQ1768" s="2" t="s">
        <v>82</v>
      </c>
      <c r="BR1768" s="2" t="s">
        <v>82</v>
      </c>
      <c r="BS1768" s="3">
        <v>40297</v>
      </c>
      <c r="BT1768" s="4">
        <v>0.66324074074074069</v>
      </c>
    </row>
    <row r="1769" spans="1:72" x14ac:dyDescent="0.25">
      <c r="A1769" s="2">
        <v>2553</v>
      </c>
      <c r="B1769" s="2">
        <v>2010</v>
      </c>
      <c r="C1769" s="2" t="s">
        <v>171</v>
      </c>
      <c r="D1769" s="2" t="s">
        <v>73</v>
      </c>
      <c r="E1769" s="2"/>
      <c r="F1769" s="2">
        <v>400</v>
      </c>
      <c r="G1769" s="2" t="s">
        <v>3601</v>
      </c>
      <c r="H1769" s="2">
        <v>82</v>
      </c>
      <c r="I1769" s="2" t="s">
        <v>6297</v>
      </c>
      <c r="J1769" s="2">
        <v>316</v>
      </c>
      <c r="K1769" s="2" t="s">
        <v>574</v>
      </c>
      <c r="L1769" s="2" t="s">
        <v>575</v>
      </c>
      <c r="M1769" s="3">
        <v>40297</v>
      </c>
      <c r="N1769" s="2" t="s">
        <v>6298</v>
      </c>
      <c r="O1769" s="2" t="s">
        <v>6299</v>
      </c>
      <c r="P1769" s="2">
        <v>9974</v>
      </c>
      <c r="Q1769" s="2" t="str">
        <f>"196-E/10"</f>
        <v>196-E/10</v>
      </c>
      <c r="R1769" s="2"/>
      <c r="S1769" s="2" t="s">
        <v>6300</v>
      </c>
      <c r="T1769" s="2">
        <v>1</v>
      </c>
      <c r="U1769" s="2" t="s">
        <v>79</v>
      </c>
      <c r="V1769" s="2">
        <v>3</v>
      </c>
      <c r="W1769" s="2" t="s">
        <v>225</v>
      </c>
      <c r="X1769" s="2">
        <v>6</v>
      </c>
      <c r="Y1769" s="2" t="s">
        <v>249</v>
      </c>
      <c r="Z1769" s="2">
        <v>10</v>
      </c>
      <c r="AA1769" s="2" t="s">
        <v>236</v>
      </c>
      <c r="AB1769" s="2">
        <v>9</v>
      </c>
      <c r="AC1769" s="2" t="s">
        <v>124</v>
      </c>
      <c r="AD1769" s="3">
        <v>40297</v>
      </c>
      <c r="AE1769" s="4">
        <v>0.71875</v>
      </c>
      <c r="AF1769" s="2"/>
      <c r="AG1769" s="2"/>
      <c r="AH1769" s="2">
        <v>2</v>
      </c>
      <c r="AI1769" s="2" t="s">
        <v>84</v>
      </c>
      <c r="AJ1769" s="2">
        <v>6</v>
      </c>
      <c r="AK1769" s="2" t="s">
        <v>453</v>
      </c>
      <c r="AL1769" s="2">
        <v>19</v>
      </c>
      <c r="AM1769" s="2" t="s">
        <v>107</v>
      </c>
      <c r="AN1769" s="2"/>
      <c r="AO1769" s="2"/>
      <c r="AP1769" s="2">
        <v>11</v>
      </c>
      <c r="AQ1769" s="2" t="s">
        <v>82</v>
      </c>
      <c r="AR1769" s="2"/>
      <c r="AS1769" s="2"/>
      <c r="AT1769" s="2" t="s">
        <v>6301</v>
      </c>
      <c r="AU1769" s="2"/>
      <c r="AV1769" s="2"/>
      <c r="AW1769" s="2"/>
      <c r="AX1769" s="2"/>
      <c r="AY1769" s="2">
        <v>42</v>
      </c>
      <c r="AZ1769" s="2" t="s">
        <v>182</v>
      </c>
      <c r="BA1769" s="2">
        <v>70</v>
      </c>
      <c r="BB1769" s="2" t="s">
        <v>236</v>
      </c>
      <c r="BC1769" s="2">
        <v>70</v>
      </c>
      <c r="BD1769" s="2" t="s">
        <v>236</v>
      </c>
      <c r="BE1769" s="2">
        <v>41</v>
      </c>
      <c r="BF1769" s="2" t="s">
        <v>82</v>
      </c>
      <c r="BG1769" s="2"/>
      <c r="BH1769" s="2"/>
      <c r="BI1769" s="2"/>
      <c r="BJ1769" s="2">
        <v>241</v>
      </c>
      <c r="BK1769" s="2" t="s">
        <v>82</v>
      </c>
      <c r="BL1769" s="2"/>
      <c r="BM1769" s="2">
        <v>241</v>
      </c>
      <c r="BN1769" s="2" t="s">
        <v>82</v>
      </c>
      <c r="BO1769" s="2"/>
      <c r="BP1769" s="2">
        <v>241</v>
      </c>
      <c r="BQ1769" s="2" t="s">
        <v>82</v>
      </c>
      <c r="BR1769" s="2"/>
      <c r="BS1769" s="3">
        <v>40297</v>
      </c>
      <c r="BT1769" s="4">
        <v>0.71070601851851845</v>
      </c>
    </row>
    <row r="1770" spans="1:72" x14ac:dyDescent="0.25">
      <c r="A1770" s="2">
        <v>2554</v>
      </c>
      <c r="B1770" s="2">
        <v>2010</v>
      </c>
      <c r="C1770" s="2" t="s">
        <v>171</v>
      </c>
      <c r="D1770" s="2" t="s">
        <v>73</v>
      </c>
      <c r="E1770" s="2" t="s">
        <v>4029</v>
      </c>
      <c r="F1770" s="2">
        <v>451</v>
      </c>
      <c r="G1770" s="2" t="s">
        <v>879</v>
      </c>
      <c r="H1770" s="2">
        <v>31</v>
      </c>
      <c r="I1770" s="2" t="s">
        <v>880</v>
      </c>
      <c r="J1770" s="2">
        <v>326</v>
      </c>
      <c r="K1770" s="2" t="s">
        <v>881</v>
      </c>
      <c r="L1770" s="2" t="s">
        <v>882</v>
      </c>
      <c r="M1770" s="3">
        <v>40297</v>
      </c>
      <c r="N1770" s="2" t="s">
        <v>821</v>
      </c>
      <c r="O1770" s="2" t="s">
        <v>6302</v>
      </c>
      <c r="P1770" s="2" t="s">
        <v>6303</v>
      </c>
      <c r="Q1770" s="2" t="str">
        <f>"031/10"</f>
        <v>031/10</v>
      </c>
      <c r="R1770" s="2" t="s">
        <v>822</v>
      </c>
      <c r="S1770" s="2" t="s">
        <v>2104</v>
      </c>
      <c r="T1770" s="2">
        <v>1</v>
      </c>
      <c r="U1770" s="2" t="s">
        <v>79</v>
      </c>
      <c r="V1770" s="2">
        <v>1</v>
      </c>
      <c r="W1770" s="2" t="s">
        <v>80</v>
      </c>
      <c r="X1770" s="2">
        <v>1</v>
      </c>
      <c r="Y1770" s="2" t="s">
        <v>81</v>
      </c>
      <c r="Z1770" s="2">
        <v>10</v>
      </c>
      <c r="AA1770" s="2" t="s">
        <v>236</v>
      </c>
      <c r="AB1770" s="2">
        <v>1</v>
      </c>
      <c r="AC1770" s="2" t="s">
        <v>178</v>
      </c>
      <c r="AD1770" s="3">
        <v>40297</v>
      </c>
      <c r="AE1770" s="4">
        <v>0.71180555555555547</v>
      </c>
      <c r="AF1770" s="2"/>
      <c r="AG1770" s="2"/>
      <c r="AH1770" s="2">
        <v>4</v>
      </c>
      <c r="AI1770" s="2" t="s">
        <v>125</v>
      </c>
      <c r="AJ1770" s="2">
        <v>29</v>
      </c>
      <c r="AK1770" s="2" t="s">
        <v>227</v>
      </c>
      <c r="AL1770" s="2">
        <v>16</v>
      </c>
      <c r="AM1770" s="2" t="s">
        <v>392</v>
      </c>
      <c r="AN1770" s="2" t="s">
        <v>3040</v>
      </c>
      <c r="AO1770" s="2" t="s">
        <v>3176</v>
      </c>
      <c r="AP1770" s="2">
        <v>12</v>
      </c>
      <c r="AQ1770" s="2" t="s">
        <v>322</v>
      </c>
      <c r="AR1770" s="2" t="s">
        <v>824</v>
      </c>
      <c r="AS1770" s="2" t="s">
        <v>825</v>
      </c>
      <c r="AT1770" s="2" t="s">
        <v>6304</v>
      </c>
      <c r="AU1770" s="2"/>
      <c r="AV1770" s="2"/>
      <c r="AW1770" s="2"/>
      <c r="AX1770" s="2"/>
      <c r="AY1770" s="2">
        <v>41</v>
      </c>
      <c r="AZ1770" s="2" t="s">
        <v>82</v>
      </c>
      <c r="BA1770" s="2">
        <v>41</v>
      </c>
      <c r="BB1770" s="2" t="s">
        <v>82</v>
      </c>
      <c r="BC1770" s="2">
        <v>51</v>
      </c>
      <c r="BD1770" s="2" t="s">
        <v>827</v>
      </c>
      <c r="BE1770" s="2">
        <v>47</v>
      </c>
      <c r="BF1770" s="2" t="s">
        <v>167</v>
      </c>
      <c r="BG1770" s="2">
        <v>2459</v>
      </c>
      <c r="BH1770" s="4">
        <v>0.90277777777777779</v>
      </c>
      <c r="BI1770" s="4">
        <v>0.92708333333333337</v>
      </c>
      <c r="BJ1770" s="2">
        <v>13</v>
      </c>
      <c r="BK1770" s="2" t="s">
        <v>91</v>
      </c>
      <c r="BL1770" s="2" t="s">
        <v>828</v>
      </c>
      <c r="BM1770" s="2">
        <v>241</v>
      </c>
      <c r="BN1770" s="2" t="s">
        <v>82</v>
      </c>
      <c r="BO1770" s="2" t="s">
        <v>82</v>
      </c>
      <c r="BP1770" s="2">
        <v>13</v>
      </c>
      <c r="BQ1770" s="2" t="s">
        <v>91</v>
      </c>
      <c r="BR1770" s="2" t="s">
        <v>2592</v>
      </c>
      <c r="BS1770" s="3">
        <v>40297</v>
      </c>
      <c r="BT1770" s="4">
        <v>0.73170138888888892</v>
      </c>
    </row>
    <row r="1771" spans="1:72" x14ac:dyDescent="0.25">
      <c r="A1771" s="2">
        <v>2555</v>
      </c>
      <c r="B1771" s="2">
        <v>2010</v>
      </c>
      <c r="C1771" s="2" t="s">
        <v>171</v>
      </c>
      <c r="D1771" s="2" t="s">
        <v>73</v>
      </c>
      <c r="E1771" s="2"/>
      <c r="F1771" s="2">
        <v>393</v>
      </c>
      <c r="G1771" s="2" t="s">
        <v>3660</v>
      </c>
      <c r="H1771" s="2">
        <v>2</v>
      </c>
      <c r="I1771" s="2" t="s">
        <v>267</v>
      </c>
      <c r="J1771" s="2">
        <v>2</v>
      </c>
      <c r="K1771" s="2" t="s">
        <v>3661</v>
      </c>
      <c r="L1771" s="2" t="s">
        <v>3662</v>
      </c>
      <c r="M1771" s="3">
        <v>40297</v>
      </c>
      <c r="N1771" s="2" t="s">
        <v>6305</v>
      </c>
      <c r="O1771" s="2" t="s">
        <v>6306</v>
      </c>
      <c r="P1771" s="2">
        <v>5799</v>
      </c>
      <c r="Q1771" s="2" t="str">
        <f>""</f>
        <v/>
      </c>
      <c r="R1771" s="2"/>
      <c r="S1771" s="2"/>
      <c r="T1771" s="2">
        <v>1</v>
      </c>
      <c r="U1771" s="2" t="s">
        <v>79</v>
      </c>
      <c r="V1771" s="2">
        <v>3</v>
      </c>
      <c r="W1771" s="2" t="s">
        <v>225</v>
      </c>
      <c r="X1771" s="2">
        <v>6</v>
      </c>
      <c r="Y1771" s="2" t="s">
        <v>249</v>
      </c>
      <c r="Z1771" s="2">
        <v>10</v>
      </c>
      <c r="AA1771" s="2" t="s">
        <v>236</v>
      </c>
      <c r="AB1771" s="2">
        <v>9</v>
      </c>
      <c r="AC1771" s="2" t="s">
        <v>124</v>
      </c>
      <c r="AD1771" s="3">
        <v>40297</v>
      </c>
      <c r="AE1771" s="4">
        <v>0.73541666666666661</v>
      </c>
      <c r="AF1771" s="2"/>
      <c r="AG1771" s="2"/>
      <c r="AH1771" s="2">
        <v>2</v>
      </c>
      <c r="AI1771" s="2" t="s">
        <v>84</v>
      </c>
      <c r="AJ1771" s="2">
        <v>6</v>
      </c>
      <c r="AK1771" s="2" t="s">
        <v>453</v>
      </c>
      <c r="AL1771" s="2">
        <v>23</v>
      </c>
      <c r="AM1771" s="2" t="s">
        <v>251</v>
      </c>
      <c r="AN1771" s="2"/>
      <c r="AO1771" s="2" t="s">
        <v>6307</v>
      </c>
      <c r="AP1771" s="2">
        <v>11</v>
      </c>
      <c r="AQ1771" s="2" t="s">
        <v>82</v>
      </c>
      <c r="AR1771" s="2"/>
      <c r="AS1771" s="2"/>
      <c r="AT1771" s="2" t="s">
        <v>6308</v>
      </c>
      <c r="AU1771" s="2"/>
      <c r="AV1771" s="2"/>
      <c r="AW1771" s="2"/>
      <c r="AX1771" s="2"/>
      <c r="AY1771" s="2">
        <v>42</v>
      </c>
      <c r="AZ1771" s="2" t="s">
        <v>182</v>
      </c>
      <c r="BA1771" s="2">
        <v>99</v>
      </c>
      <c r="BB1771" s="2" t="s">
        <v>2148</v>
      </c>
      <c r="BC1771" s="2">
        <v>70</v>
      </c>
      <c r="BD1771" s="2" t="s">
        <v>236</v>
      </c>
      <c r="BE1771" s="2">
        <v>1</v>
      </c>
      <c r="BF1771" s="2" t="s">
        <v>107</v>
      </c>
      <c r="BG1771" s="2"/>
      <c r="BH1771" s="2"/>
      <c r="BI1771" s="2"/>
      <c r="BJ1771" s="2">
        <v>242</v>
      </c>
      <c r="BK1771" s="2" t="s">
        <v>107</v>
      </c>
      <c r="BL1771" s="2"/>
      <c r="BM1771" s="2">
        <v>242</v>
      </c>
      <c r="BN1771" s="2" t="s">
        <v>107</v>
      </c>
      <c r="BO1771" s="2"/>
      <c r="BP1771" s="2">
        <v>242</v>
      </c>
      <c r="BQ1771" s="2" t="s">
        <v>107</v>
      </c>
      <c r="BR1771" s="2"/>
      <c r="BS1771" s="3">
        <v>40297</v>
      </c>
      <c r="BT1771" s="4">
        <v>0.73267361111111118</v>
      </c>
    </row>
    <row r="1772" spans="1:72" x14ac:dyDescent="0.25">
      <c r="A1772" s="2">
        <v>2556</v>
      </c>
      <c r="B1772" s="2">
        <v>2010</v>
      </c>
      <c r="C1772" s="2" t="s">
        <v>121</v>
      </c>
      <c r="D1772" s="2" t="s">
        <v>122</v>
      </c>
      <c r="E1772" s="2"/>
      <c r="F1772" s="2">
        <v>1</v>
      </c>
      <c r="G1772" s="2" t="s">
        <v>82</v>
      </c>
      <c r="H1772" s="2">
        <v>1</v>
      </c>
      <c r="I1772" s="2" t="s">
        <v>82</v>
      </c>
      <c r="J1772" s="2">
        <v>1</v>
      </c>
      <c r="K1772" s="2" t="s">
        <v>107</v>
      </c>
      <c r="L1772" s="2" t="s">
        <v>107</v>
      </c>
      <c r="M1772" s="3">
        <v>40297</v>
      </c>
      <c r="N1772" s="2"/>
      <c r="O1772" s="2"/>
      <c r="P1772" s="2"/>
      <c r="Q1772" s="2" t="str">
        <f>""</f>
        <v/>
      </c>
      <c r="R1772" s="2"/>
      <c r="S1772" s="2"/>
      <c r="T1772" s="2">
        <v>2</v>
      </c>
      <c r="U1772" s="2" t="s">
        <v>123</v>
      </c>
      <c r="V1772" s="2">
        <v>1</v>
      </c>
      <c r="W1772" s="2" t="s">
        <v>80</v>
      </c>
      <c r="X1772" s="2">
        <v>5</v>
      </c>
      <c r="Y1772" s="2" t="s">
        <v>82</v>
      </c>
      <c r="Z1772" s="2">
        <v>1</v>
      </c>
      <c r="AA1772" s="2" t="s">
        <v>82</v>
      </c>
      <c r="AB1772" s="2">
        <v>9</v>
      </c>
      <c r="AC1772" s="2" t="s">
        <v>124</v>
      </c>
      <c r="AD1772" s="3">
        <v>40297</v>
      </c>
      <c r="AE1772" s="4">
        <v>0.58333333333333337</v>
      </c>
      <c r="AF1772" s="2"/>
      <c r="AG1772" s="2"/>
      <c r="AH1772" s="2">
        <v>6</v>
      </c>
      <c r="AI1772" s="2" t="s">
        <v>197</v>
      </c>
      <c r="AJ1772" s="2">
        <v>58</v>
      </c>
      <c r="AK1772" s="2" t="s">
        <v>406</v>
      </c>
      <c r="AL1772" s="2">
        <v>18</v>
      </c>
      <c r="AM1772" s="2" t="s">
        <v>82</v>
      </c>
      <c r="AN1772" s="2" t="s">
        <v>6309</v>
      </c>
      <c r="AO1772" s="2"/>
      <c r="AP1772" s="2">
        <v>11</v>
      </c>
      <c r="AQ1772" s="2" t="s">
        <v>82</v>
      </c>
      <c r="AR1772" s="2" t="s">
        <v>5936</v>
      </c>
      <c r="AS1772" s="2" t="s">
        <v>5936</v>
      </c>
      <c r="AT1772" s="2" t="s">
        <v>6310</v>
      </c>
      <c r="AU1772" s="2"/>
      <c r="AV1772" s="2"/>
      <c r="AW1772" s="2"/>
      <c r="AX1772" s="2"/>
      <c r="AY1772" s="2">
        <v>1</v>
      </c>
      <c r="AZ1772" s="2" t="s">
        <v>107</v>
      </c>
      <c r="BA1772" s="2">
        <v>1</v>
      </c>
      <c r="BB1772" s="2" t="s">
        <v>107</v>
      </c>
      <c r="BC1772" s="2">
        <v>1</v>
      </c>
      <c r="BD1772" s="2" t="s">
        <v>107</v>
      </c>
      <c r="BE1772" s="2">
        <v>1</v>
      </c>
      <c r="BF1772" s="2" t="s">
        <v>107</v>
      </c>
      <c r="BG1772" s="2"/>
      <c r="BH1772" s="4">
        <v>0.53125</v>
      </c>
      <c r="BI1772" s="4">
        <v>0.58333333333333337</v>
      </c>
      <c r="BJ1772" s="2">
        <v>242</v>
      </c>
      <c r="BK1772" s="2" t="s">
        <v>107</v>
      </c>
      <c r="BL1772" s="2" t="s">
        <v>690</v>
      </c>
      <c r="BM1772" s="2">
        <v>242</v>
      </c>
      <c r="BN1772" s="2" t="s">
        <v>107</v>
      </c>
      <c r="BO1772" s="2" t="s">
        <v>82</v>
      </c>
      <c r="BP1772" s="2">
        <v>242</v>
      </c>
      <c r="BQ1772" s="2" t="s">
        <v>107</v>
      </c>
      <c r="BR1772" s="2" t="s">
        <v>690</v>
      </c>
      <c r="BS1772" s="3">
        <v>40297</v>
      </c>
      <c r="BT1772" s="4">
        <v>0.73491898148148149</v>
      </c>
    </row>
    <row r="1773" spans="1:72" x14ac:dyDescent="0.25">
      <c r="A1773" s="2">
        <v>2557</v>
      </c>
      <c r="B1773" s="2">
        <v>2010</v>
      </c>
      <c r="C1773" s="2" t="s">
        <v>377</v>
      </c>
      <c r="D1773" s="2" t="s">
        <v>73</v>
      </c>
      <c r="E1773" s="2"/>
      <c r="F1773" s="2">
        <v>560</v>
      </c>
      <c r="G1773" s="2" t="s">
        <v>4082</v>
      </c>
      <c r="H1773" s="2">
        <v>1</v>
      </c>
      <c r="I1773" s="2" t="s">
        <v>82</v>
      </c>
      <c r="J1773" s="2">
        <v>535</v>
      </c>
      <c r="K1773" s="2" t="s">
        <v>6311</v>
      </c>
      <c r="L1773" s="2" t="s">
        <v>5984</v>
      </c>
      <c r="M1773" s="3">
        <v>40297</v>
      </c>
      <c r="N1773" s="2"/>
      <c r="O1773" s="2"/>
      <c r="P1773" s="2"/>
      <c r="Q1773" s="2" t="str">
        <f>"02-A/10"</f>
        <v>02-A/10</v>
      </c>
      <c r="R1773" s="2"/>
      <c r="S1773" s="2" t="s">
        <v>6312</v>
      </c>
      <c r="T1773" s="2">
        <v>1</v>
      </c>
      <c r="U1773" s="2" t="s">
        <v>79</v>
      </c>
      <c r="V1773" s="2">
        <v>1</v>
      </c>
      <c r="W1773" s="2" t="s">
        <v>80</v>
      </c>
      <c r="X1773" s="2">
        <v>1</v>
      </c>
      <c r="Y1773" s="2" t="s">
        <v>81</v>
      </c>
      <c r="Z1773" s="2">
        <v>1</v>
      </c>
      <c r="AA1773" s="2" t="s">
        <v>82</v>
      </c>
      <c r="AB1773" s="2">
        <v>9</v>
      </c>
      <c r="AC1773" s="2" t="s">
        <v>124</v>
      </c>
      <c r="AD1773" s="3">
        <v>40297</v>
      </c>
      <c r="AE1773" s="4">
        <v>0.54166666666666663</v>
      </c>
      <c r="AF1773" s="2"/>
      <c r="AG1773" s="2"/>
      <c r="AH1773" s="2">
        <v>2</v>
      </c>
      <c r="AI1773" s="2" t="s">
        <v>84</v>
      </c>
      <c r="AJ1773" s="2">
        <v>12</v>
      </c>
      <c r="AK1773" s="2" t="s">
        <v>85</v>
      </c>
      <c r="AL1773" s="2">
        <v>16</v>
      </c>
      <c r="AM1773" s="2" t="s">
        <v>392</v>
      </c>
      <c r="AN1773" s="2"/>
      <c r="AO1773" s="2" t="s">
        <v>6313</v>
      </c>
      <c r="AP1773" s="2">
        <v>11</v>
      </c>
      <c r="AQ1773" s="2" t="s">
        <v>82</v>
      </c>
      <c r="AR1773" s="2"/>
      <c r="AS1773" s="2"/>
      <c r="AT1773" s="2" t="s">
        <v>6314</v>
      </c>
      <c r="AU1773" s="2"/>
      <c r="AV1773" s="2"/>
      <c r="AW1773" s="2"/>
      <c r="AX1773" s="2"/>
      <c r="AY1773" s="2">
        <v>41</v>
      </c>
      <c r="AZ1773" s="2" t="s">
        <v>82</v>
      </c>
      <c r="BA1773" s="2">
        <v>41</v>
      </c>
      <c r="BB1773" s="2" t="s">
        <v>82</v>
      </c>
      <c r="BC1773" s="2">
        <v>41</v>
      </c>
      <c r="BD1773" s="2" t="s">
        <v>82</v>
      </c>
      <c r="BE1773" s="2">
        <v>41</v>
      </c>
      <c r="BF1773" s="2" t="s">
        <v>82</v>
      </c>
      <c r="BG1773" s="2"/>
      <c r="BH1773" s="2"/>
      <c r="BI1773" s="2"/>
      <c r="BJ1773" s="2">
        <v>241</v>
      </c>
      <c r="BK1773" s="2" t="s">
        <v>82</v>
      </c>
      <c r="BL1773" s="2"/>
      <c r="BM1773" s="2">
        <v>241</v>
      </c>
      <c r="BN1773" s="2" t="s">
        <v>82</v>
      </c>
      <c r="BO1773" s="2"/>
      <c r="BP1773" s="2">
        <v>241</v>
      </c>
      <c r="BQ1773" s="2" t="s">
        <v>82</v>
      </c>
      <c r="BR1773" s="2"/>
      <c r="BS1773" s="3">
        <v>40297</v>
      </c>
      <c r="BT1773" s="4">
        <v>0.74046296296296299</v>
      </c>
    </row>
    <row r="1774" spans="1:72" x14ac:dyDescent="0.25">
      <c r="A1774" s="2">
        <v>2558</v>
      </c>
      <c r="B1774" s="2">
        <v>2010</v>
      </c>
      <c r="C1774" s="2" t="s">
        <v>171</v>
      </c>
      <c r="D1774" s="2" t="s">
        <v>73</v>
      </c>
      <c r="E1774" s="2" t="s">
        <v>6315</v>
      </c>
      <c r="F1774" s="2">
        <v>425</v>
      </c>
      <c r="G1774" s="2" t="s">
        <v>286</v>
      </c>
      <c r="H1774" s="2">
        <v>39</v>
      </c>
      <c r="I1774" s="2" t="s">
        <v>1117</v>
      </c>
      <c r="J1774" s="2">
        <v>310</v>
      </c>
      <c r="K1774" s="2" t="s">
        <v>288</v>
      </c>
      <c r="L1774" s="2" t="s">
        <v>289</v>
      </c>
      <c r="M1774" s="3">
        <v>40297</v>
      </c>
      <c r="N1774" s="2" t="s">
        <v>4894</v>
      </c>
      <c r="O1774" s="2" t="s">
        <v>2824</v>
      </c>
      <c r="P1774" s="2" t="s">
        <v>6316</v>
      </c>
      <c r="Q1774" s="2" t="str">
        <f>"N° 037/10"</f>
        <v>N° 037/10</v>
      </c>
      <c r="R1774" s="2" t="s">
        <v>6137</v>
      </c>
      <c r="S1774" s="2" t="s">
        <v>822</v>
      </c>
      <c r="T1774" s="2">
        <v>1</v>
      </c>
      <c r="U1774" s="2" t="s">
        <v>79</v>
      </c>
      <c r="V1774" s="2">
        <v>1</v>
      </c>
      <c r="W1774" s="2" t="s">
        <v>80</v>
      </c>
      <c r="X1774" s="2">
        <v>1</v>
      </c>
      <c r="Y1774" s="2" t="s">
        <v>81</v>
      </c>
      <c r="Z1774" s="2">
        <v>10</v>
      </c>
      <c r="AA1774" s="2" t="s">
        <v>236</v>
      </c>
      <c r="AB1774" s="2">
        <v>1</v>
      </c>
      <c r="AC1774" s="2" t="s">
        <v>178</v>
      </c>
      <c r="AD1774" s="3">
        <v>40297</v>
      </c>
      <c r="AE1774" s="4">
        <v>0.76388888888888884</v>
      </c>
      <c r="AF1774" s="2"/>
      <c r="AG1774" s="2"/>
      <c r="AH1774" s="2">
        <v>4</v>
      </c>
      <c r="AI1774" s="2" t="s">
        <v>125</v>
      </c>
      <c r="AJ1774" s="2">
        <v>29</v>
      </c>
      <c r="AK1774" s="2" t="s">
        <v>227</v>
      </c>
      <c r="AL1774" s="2">
        <v>16</v>
      </c>
      <c r="AM1774" s="2" t="s">
        <v>392</v>
      </c>
      <c r="AN1774" s="2" t="s">
        <v>3040</v>
      </c>
      <c r="AO1774" s="2" t="s">
        <v>3176</v>
      </c>
      <c r="AP1774" s="2">
        <v>12</v>
      </c>
      <c r="AQ1774" s="2" t="s">
        <v>322</v>
      </c>
      <c r="AR1774" s="2" t="s">
        <v>824</v>
      </c>
      <c r="AS1774" s="2" t="s">
        <v>825</v>
      </c>
      <c r="AT1774" s="2" t="s">
        <v>6317</v>
      </c>
      <c r="AU1774" s="2"/>
      <c r="AV1774" s="2"/>
      <c r="AW1774" s="2"/>
      <c r="AX1774" s="2"/>
      <c r="AY1774" s="2">
        <v>41</v>
      </c>
      <c r="AZ1774" s="2" t="s">
        <v>82</v>
      </c>
      <c r="BA1774" s="2">
        <v>41</v>
      </c>
      <c r="BB1774" s="2" t="s">
        <v>82</v>
      </c>
      <c r="BC1774" s="2">
        <v>51</v>
      </c>
      <c r="BD1774" s="2" t="s">
        <v>827</v>
      </c>
      <c r="BE1774" s="2">
        <v>47</v>
      </c>
      <c r="BF1774" s="2" t="s">
        <v>167</v>
      </c>
      <c r="BG1774" s="2">
        <v>2459</v>
      </c>
      <c r="BH1774" s="4">
        <v>0.90277777777777779</v>
      </c>
      <c r="BI1774" s="4">
        <v>0.9375</v>
      </c>
      <c r="BJ1774" s="2">
        <v>13</v>
      </c>
      <c r="BK1774" s="2" t="s">
        <v>91</v>
      </c>
      <c r="BL1774" s="2" t="s">
        <v>828</v>
      </c>
      <c r="BM1774" s="2">
        <v>241</v>
      </c>
      <c r="BN1774" s="2" t="s">
        <v>82</v>
      </c>
      <c r="BO1774" s="2" t="s">
        <v>82</v>
      </c>
      <c r="BP1774" s="2">
        <v>13</v>
      </c>
      <c r="BQ1774" s="2" t="s">
        <v>91</v>
      </c>
      <c r="BR1774" s="2" t="s">
        <v>185</v>
      </c>
      <c r="BS1774" s="3">
        <v>40297</v>
      </c>
      <c r="BT1774" s="4">
        <v>0.79192129629629626</v>
      </c>
    </row>
    <row r="1775" spans="1:72" x14ac:dyDescent="0.25">
      <c r="A1775" s="2">
        <v>2560</v>
      </c>
      <c r="B1775" s="2">
        <v>2010</v>
      </c>
      <c r="C1775" s="2" t="s">
        <v>72</v>
      </c>
      <c r="D1775" s="2" t="s">
        <v>73</v>
      </c>
      <c r="E1775" s="2"/>
      <c r="F1775" s="2">
        <v>34</v>
      </c>
      <c r="G1775" s="2" t="s">
        <v>334</v>
      </c>
      <c r="H1775" s="2">
        <v>66</v>
      </c>
      <c r="I1775" s="2" t="s">
        <v>3190</v>
      </c>
      <c r="J1775" s="2">
        <v>43</v>
      </c>
      <c r="K1775" s="2" t="s">
        <v>2059</v>
      </c>
      <c r="L1775" s="2" t="s">
        <v>2060</v>
      </c>
      <c r="M1775" s="3">
        <v>40297</v>
      </c>
      <c r="N1775" s="2" t="s">
        <v>6124</v>
      </c>
      <c r="O1775" s="2" t="s">
        <v>107</v>
      </c>
      <c r="P1775" s="2" t="s">
        <v>107</v>
      </c>
      <c r="Q1775" s="2" t="str">
        <f>"14/10"</f>
        <v>14/10</v>
      </c>
      <c r="R1775" s="2" t="s">
        <v>480</v>
      </c>
      <c r="S1775" s="2" t="s">
        <v>480</v>
      </c>
      <c r="T1775" s="2">
        <v>1</v>
      </c>
      <c r="U1775" s="2" t="s">
        <v>79</v>
      </c>
      <c r="V1775" s="2">
        <v>1</v>
      </c>
      <c r="W1775" s="2" t="s">
        <v>80</v>
      </c>
      <c r="X1775" s="2">
        <v>12</v>
      </c>
      <c r="Y1775" s="2" t="s">
        <v>148</v>
      </c>
      <c r="Z1775" s="2">
        <v>1</v>
      </c>
      <c r="AA1775" s="2" t="s">
        <v>82</v>
      </c>
      <c r="AB1775" s="2">
        <v>6</v>
      </c>
      <c r="AC1775" s="2" t="s">
        <v>83</v>
      </c>
      <c r="AD1775" s="2"/>
      <c r="AE1775" s="2"/>
      <c r="AF1775" s="3">
        <v>40297</v>
      </c>
      <c r="AG1775" s="4">
        <v>0.78472222222222221</v>
      </c>
      <c r="AH1775" s="2">
        <v>3</v>
      </c>
      <c r="AI1775" s="2" t="s">
        <v>214</v>
      </c>
      <c r="AJ1775" s="2">
        <v>17</v>
      </c>
      <c r="AK1775" s="2" t="s">
        <v>309</v>
      </c>
      <c r="AL1775" s="2">
        <v>10</v>
      </c>
      <c r="AM1775" s="2" t="s">
        <v>200</v>
      </c>
      <c r="AN1775" s="2"/>
      <c r="AO1775" s="2" t="s">
        <v>6318</v>
      </c>
      <c r="AP1775" s="2">
        <v>11</v>
      </c>
      <c r="AQ1775" s="2" t="s">
        <v>82</v>
      </c>
      <c r="AR1775" s="2"/>
      <c r="AS1775" s="2"/>
      <c r="AT1775" s="2" t="s">
        <v>6319</v>
      </c>
      <c r="AU1775" s="2"/>
      <c r="AV1775" s="2"/>
      <c r="AW1775" s="2"/>
      <c r="AX1775" s="2"/>
      <c r="AY1775" s="2">
        <v>103</v>
      </c>
      <c r="AZ1775" s="2" t="s">
        <v>6320</v>
      </c>
      <c r="BA1775" s="2">
        <v>41</v>
      </c>
      <c r="BB1775" s="2" t="s">
        <v>82</v>
      </c>
      <c r="BC1775" s="2">
        <v>41</v>
      </c>
      <c r="BD1775" s="2" t="s">
        <v>82</v>
      </c>
      <c r="BE1775" s="2">
        <v>41</v>
      </c>
      <c r="BF1775" s="2" t="s">
        <v>82</v>
      </c>
      <c r="BG1775" s="2"/>
      <c r="BH1775" s="2"/>
      <c r="BI1775" s="2"/>
      <c r="BJ1775" s="2">
        <v>241</v>
      </c>
      <c r="BK1775" s="2" t="s">
        <v>82</v>
      </c>
      <c r="BL1775" s="2"/>
      <c r="BM1775" s="2">
        <v>241</v>
      </c>
      <c r="BN1775" s="2" t="s">
        <v>82</v>
      </c>
      <c r="BO1775" s="2"/>
      <c r="BP1775" s="2">
        <v>241</v>
      </c>
      <c r="BQ1775" s="2" t="s">
        <v>82</v>
      </c>
      <c r="BR1775" s="2"/>
      <c r="BS1775" s="3">
        <v>40297</v>
      </c>
      <c r="BT1775" s="4">
        <v>0.85458333333333336</v>
      </c>
    </row>
    <row r="1776" spans="1:72" x14ac:dyDescent="0.25">
      <c r="A1776" s="2">
        <v>2561</v>
      </c>
      <c r="B1776" s="2">
        <v>2010</v>
      </c>
      <c r="C1776" s="2" t="s">
        <v>128</v>
      </c>
      <c r="D1776" s="2" t="s">
        <v>122</v>
      </c>
      <c r="E1776" s="2"/>
      <c r="F1776" s="2">
        <v>146</v>
      </c>
      <c r="G1776" s="2" t="s">
        <v>753</v>
      </c>
      <c r="H1776" s="2">
        <v>30</v>
      </c>
      <c r="I1776" s="2" t="s">
        <v>912</v>
      </c>
      <c r="J1776" s="2">
        <v>161</v>
      </c>
      <c r="K1776" s="2" t="s">
        <v>1900</v>
      </c>
      <c r="L1776" s="2" t="s">
        <v>1901</v>
      </c>
      <c r="M1776" s="3">
        <v>40297</v>
      </c>
      <c r="N1776" s="2" t="s">
        <v>1902</v>
      </c>
      <c r="O1776" s="2" t="s">
        <v>6321</v>
      </c>
      <c r="P1776" s="2">
        <v>2600</v>
      </c>
      <c r="Q1776" s="2" t="str">
        <f>"AP 0022/10"</f>
        <v>AP 0022/10</v>
      </c>
      <c r="R1776" s="2" t="s">
        <v>82</v>
      </c>
      <c r="S1776" s="2" t="s">
        <v>6322</v>
      </c>
      <c r="T1776" s="2">
        <v>1</v>
      </c>
      <c r="U1776" s="2" t="s">
        <v>79</v>
      </c>
      <c r="V1776" s="2">
        <v>1</v>
      </c>
      <c r="W1776" s="2" t="s">
        <v>80</v>
      </c>
      <c r="X1776" s="2">
        <v>3</v>
      </c>
      <c r="Y1776" s="2" t="s">
        <v>698</v>
      </c>
      <c r="Z1776" s="2">
        <v>2</v>
      </c>
      <c r="AA1776" s="2" t="s">
        <v>2148</v>
      </c>
      <c r="AB1776" s="2">
        <v>9</v>
      </c>
      <c r="AC1776" s="2" t="s">
        <v>124</v>
      </c>
      <c r="AD1776" s="3">
        <v>40297</v>
      </c>
      <c r="AE1776" s="4">
        <v>0.83333333333333337</v>
      </c>
      <c r="AF1776" s="2"/>
      <c r="AG1776" s="2"/>
      <c r="AH1776" s="2">
        <v>6</v>
      </c>
      <c r="AI1776" s="2" t="s">
        <v>197</v>
      </c>
      <c r="AJ1776" s="2">
        <v>60</v>
      </c>
      <c r="AK1776" s="2" t="s">
        <v>543</v>
      </c>
      <c r="AL1776" s="2">
        <v>25</v>
      </c>
      <c r="AM1776" s="2" t="s">
        <v>3073</v>
      </c>
      <c r="AN1776" s="2"/>
      <c r="AO1776" s="2" t="s">
        <v>6323</v>
      </c>
      <c r="AP1776" s="2">
        <v>11</v>
      </c>
      <c r="AQ1776" s="2" t="s">
        <v>82</v>
      </c>
      <c r="AR1776" s="2" t="s">
        <v>82</v>
      </c>
      <c r="AS1776" s="2" t="s">
        <v>82</v>
      </c>
      <c r="AT1776" s="2" t="s">
        <v>6324</v>
      </c>
      <c r="AU1776" s="2"/>
      <c r="AV1776" s="2"/>
      <c r="AW1776" s="2"/>
      <c r="AX1776" s="2"/>
      <c r="AY1776" s="2">
        <v>41</v>
      </c>
      <c r="AZ1776" s="2" t="s">
        <v>82</v>
      </c>
      <c r="BA1776" s="2">
        <v>41</v>
      </c>
      <c r="BB1776" s="2" t="s">
        <v>82</v>
      </c>
      <c r="BC1776" s="2">
        <v>41</v>
      </c>
      <c r="BD1776" s="2" t="s">
        <v>82</v>
      </c>
      <c r="BE1776" s="2">
        <v>13</v>
      </c>
      <c r="BF1776" s="2" t="s">
        <v>108</v>
      </c>
      <c r="BG1776" s="2" t="s">
        <v>6325</v>
      </c>
      <c r="BH1776" s="4">
        <v>0.83333333333333337</v>
      </c>
      <c r="BI1776" s="4">
        <v>0.86805555555555547</v>
      </c>
      <c r="BJ1776" s="2">
        <v>13</v>
      </c>
      <c r="BK1776" s="2" t="s">
        <v>91</v>
      </c>
      <c r="BL1776" s="2" t="s">
        <v>2348</v>
      </c>
      <c r="BM1776" s="2">
        <v>241</v>
      </c>
      <c r="BN1776" s="2" t="s">
        <v>82</v>
      </c>
      <c r="BO1776" s="2" t="s">
        <v>82</v>
      </c>
      <c r="BP1776" s="2">
        <v>13</v>
      </c>
      <c r="BQ1776" s="2" t="s">
        <v>91</v>
      </c>
      <c r="BR1776" s="2" t="s">
        <v>895</v>
      </c>
      <c r="BS1776" s="3">
        <v>40297</v>
      </c>
      <c r="BT1776" s="4">
        <v>0.88509259259259254</v>
      </c>
    </row>
    <row r="1777" spans="1:72" x14ac:dyDescent="0.25">
      <c r="A1777" s="2">
        <v>2562</v>
      </c>
      <c r="B1777" s="2">
        <v>2010</v>
      </c>
      <c r="C1777" s="2" t="s">
        <v>171</v>
      </c>
      <c r="D1777" s="2" t="s">
        <v>73</v>
      </c>
      <c r="E1777" s="2"/>
      <c r="F1777" s="2">
        <v>161</v>
      </c>
      <c r="G1777" s="2" t="s">
        <v>5671</v>
      </c>
      <c r="H1777" s="2">
        <v>98</v>
      </c>
      <c r="I1777" s="2" t="s">
        <v>6194</v>
      </c>
      <c r="J1777" s="2">
        <v>171</v>
      </c>
      <c r="K1777" s="2" t="s">
        <v>5673</v>
      </c>
      <c r="L1777" s="2" t="s">
        <v>5674</v>
      </c>
      <c r="M1777" s="3">
        <v>40297</v>
      </c>
      <c r="N1777" s="2" t="s">
        <v>6195</v>
      </c>
      <c r="O1777" s="2" t="s">
        <v>107</v>
      </c>
      <c r="P1777" s="2" t="s">
        <v>107</v>
      </c>
      <c r="Q1777" s="2" t="str">
        <f>"166-A/10"</f>
        <v>166-A/10</v>
      </c>
      <c r="R1777" s="2" t="s">
        <v>107</v>
      </c>
      <c r="S1777" s="2" t="s">
        <v>1035</v>
      </c>
      <c r="T1777" s="2">
        <v>1</v>
      </c>
      <c r="U1777" s="2" t="s">
        <v>79</v>
      </c>
      <c r="V1777" s="2">
        <v>1</v>
      </c>
      <c r="W1777" s="2" t="s">
        <v>80</v>
      </c>
      <c r="X1777" s="2">
        <v>1</v>
      </c>
      <c r="Y1777" s="2" t="s">
        <v>81</v>
      </c>
      <c r="Z1777" s="2">
        <v>1</v>
      </c>
      <c r="AA1777" s="2" t="s">
        <v>82</v>
      </c>
      <c r="AB1777" s="2">
        <v>1</v>
      </c>
      <c r="AC1777" s="2" t="s">
        <v>178</v>
      </c>
      <c r="AD1777" s="3">
        <v>40297</v>
      </c>
      <c r="AE1777" s="4">
        <v>0.60416666666666663</v>
      </c>
      <c r="AF1777" s="2"/>
      <c r="AG1777" s="2"/>
      <c r="AH1777" s="2">
        <v>2</v>
      </c>
      <c r="AI1777" s="2" t="s">
        <v>84</v>
      </c>
      <c r="AJ1777" s="2">
        <v>12</v>
      </c>
      <c r="AK1777" s="2" t="s">
        <v>85</v>
      </c>
      <c r="AL1777" s="2">
        <v>11</v>
      </c>
      <c r="AM1777" s="2" t="s">
        <v>137</v>
      </c>
      <c r="AN1777" s="2" t="s">
        <v>1424</v>
      </c>
      <c r="AO1777" s="2" t="s">
        <v>788</v>
      </c>
      <c r="AP1777" s="2">
        <v>11</v>
      </c>
      <c r="AQ1777" s="2" t="s">
        <v>82</v>
      </c>
      <c r="AR1777" s="2"/>
      <c r="AS1777" s="2"/>
      <c r="AT1777" s="2" t="s">
        <v>6326</v>
      </c>
      <c r="AU1777" s="2">
        <v>1</v>
      </c>
      <c r="AV1777" s="2"/>
      <c r="AW1777" s="2"/>
      <c r="AX1777" s="2"/>
      <c r="AY1777" s="2">
        <v>41</v>
      </c>
      <c r="AZ1777" s="2" t="s">
        <v>82</v>
      </c>
      <c r="BA1777" s="2">
        <v>41</v>
      </c>
      <c r="BB1777" s="2" t="s">
        <v>82</v>
      </c>
      <c r="BC1777" s="2">
        <v>41</v>
      </c>
      <c r="BD1777" s="2" t="s">
        <v>82</v>
      </c>
      <c r="BE1777" s="2">
        <v>4</v>
      </c>
      <c r="BF1777" s="2" t="s">
        <v>90</v>
      </c>
      <c r="BG1777" s="2" t="s">
        <v>6327</v>
      </c>
      <c r="BH1777" s="2"/>
      <c r="BI1777" s="4">
        <v>0.55902777777777779</v>
      </c>
      <c r="BJ1777" s="2">
        <v>13</v>
      </c>
      <c r="BK1777" s="2" t="s">
        <v>91</v>
      </c>
      <c r="BL1777" s="2" t="s">
        <v>170</v>
      </c>
      <c r="BM1777" s="2">
        <v>241</v>
      </c>
      <c r="BN1777" s="2" t="s">
        <v>82</v>
      </c>
      <c r="BO1777" s="2"/>
      <c r="BP1777" s="2">
        <v>13</v>
      </c>
      <c r="BQ1777" s="2" t="s">
        <v>91</v>
      </c>
      <c r="BR1777" s="2" t="s">
        <v>1199</v>
      </c>
      <c r="BS1777" s="3">
        <v>40297</v>
      </c>
      <c r="BT1777" s="4">
        <v>0.88718750000000002</v>
      </c>
    </row>
    <row r="1778" spans="1:72" x14ac:dyDescent="0.25">
      <c r="A1778" s="2">
        <v>2563</v>
      </c>
      <c r="B1778" s="2">
        <v>2010</v>
      </c>
      <c r="C1778" s="2" t="s">
        <v>4543</v>
      </c>
      <c r="D1778" s="2" t="s">
        <v>122</v>
      </c>
      <c r="E1778" s="2"/>
      <c r="F1778" s="2">
        <v>1</v>
      </c>
      <c r="G1778" s="2" t="s">
        <v>82</v>
      </c>
      <c r="H1778" s="2">
        <v>1</v>
      </c>
      <c r="I1778" s="2" t="s">
        <v>82</v>
      </c>
      <c r="J1778" s="2">
        <v>1</v>
      </c>
      <c r="K1778" s="2" t="s">
        <v>107</v>
      </c>
      <c r="L1778" s="2" t="s">
        <v>107</v>
      </c>
      <c r="M1778" s="3">
        <v>40297</v>
      </c>
      <c r="N1778" s="2"/>
      <c r="O1778" s="2" t="s">
        <v>107</v>
      </c>
      <c r="P1778" s="2" t="s">
        <v>107</v>
      </c>
      <c r="Q1778" s="2" t="str">
        <f>""</f>
        <v/>
      </c>
      <c r="R1778" s="2"/>
      <c r="S1778" s="2"/>
      <c r="T1778" s="2">
        <v>2</v>
      </c>
      <c r="U1778" s="2" t="s">
        <v>123</v>
      </c>
      <c r="V1778" s="2">
        <v>1</v>
      </c>
      <c r="W1778" s="2" t="s">
        <v>80</v>
      </c>
      <c r="X1778" s="2">
        <v>5</v>
      </c>
      <c r="Y1778" s="2" t="s">
        <v>82</v>
      </c>
      <c r="Z1778" s="2">
        <v>1</v>
      </c>
      <c r="AA1778" s="2" t="s">
        <v>82</v>
      </c>
      <c r="AB1778" s="2">
        <v>9</v>
      </c>
      <c r="AC1778" s="2" t="s">
        <v>124</v>
      </c>
      <c r="AD1778" s="3">
        <v>40297</v>
      </c>
      <c r="AE1778" s="4">
        <v>0.66666666666666663</v>
      </c>
      <c r="AF1778" s="2"/>
      <c r="AG1778" s="2"/>
      <c r="AH1778" s="2">
        <v>3</v>
      </c>
      <c r="AI1778" s="2" t="s">
        <v>214</v>
      </c>
      <c r="AJ1778" s="2">
        <v>19</v>
      </c>
      <c r="AK1778" s="2" t="s">
        <v>4901</v>
      </c>
      <c r="AL1778" s="2">
        <v>25</v>
      </c>
      <c r="AM1778" s="2" t="s">
        <v>3073</v>
      </c>
      <c r="AN1778" s="2"/>
      <c r="AO1778" s="2"/>
      <c r="AP1778" s="2">
        <v>11</v>
      </c>
      <c r="AQ1778" s="2" t="s">
        <v>82</v>
      </c>
      <c r="AR1778" s="2"/>
      <c r="AS1778" s="2"/>
      <c r="AT1778" s="2" t="s">
        <v>6328</v>
      </c>
      <c r="AU1778" s="2"/>
      <c r="AV1778" s="2"/>
      <c r="AW1778" s="2"/>
      <c r="AX1778" s="2"/>
      <c r="AY1778" s="2">
        <v>1</v>
      </c>
      <c r="AZ1778" s="2" t="s">
        <v>107</v>
      </c>
      <c r="BA1778" s="2">
        <v>1</v>
      </c>
      <c r="BB1778" s="2" t="s">
        <v>107</v>
      </c>
      <c r="BC1778" s="2">
        <v>1</v>
      </c>
      <c r="BD1778" s="2" t="s">
        <v>107</v>
      </c>
      <c r="BE1778" s="2">
        <v>1</v>
      </c>
      <c r="BF1778" s="2" t="s">
        <v>107</v>
      </c>
      <c r="BG1778" s="2"/>
      <c r="BH1778" s="2"/>
      <c r="BI1778" s="2"/>
      <c r="BJ1778" s="2">
        <v>242</v>
      </c>
      <c r="BK1778" s="2" t="s">
        <v>107</v>
      </c>
      <c r="BL1778" s="2"/>
      <c r="BM1778" s="2">
        <v>242</v>
      </c>
      <c r="BN1778" s="2" t="s">
        <v>107</v>
      </c>
      <c r="BO1778" s="2"/>
      <c r="BP1778" s="2">
        <v>242</v>
      </c>
      <c r="BQ1778" s="2" t="s">
        <v>107</v>
      </c>
      <c r="BR1778" s="2"/>
      <c r="BS1778" s="3">
        <v>40297</v>
      </c>
      <c r="BT1778" s="4">
        <v>0.88747685185185177</v>
      </c>
    </row>
    <row r="1779" spans="1:72" x14ac:dyDescent="0.25">
      <c r="A1779" s="2">
        <v>2564</v>
      </c>
      <c r="B1779" s="2">
        <v>2010</v>
      </c>
      <c r="C1779" s="2" t="s">
        <v>171</v>
      </c>
      <c r="D1779" s="2" t="s">
        <v>73</v>
      </c>
      <c r="E1779" s="2"/>
      <c r="F1779" s="2">
        <v>161</v>
      </c>
      <c r="G1779" s="2" t="s">
        <v>5671</v>
      </c>
      <c r="H1779" s="2">
        <v>98</v>
      </c>
      <c r="I1779" s="2" t="s">
        <v>6194</v>
      </c>
      <c r="J1779" s="2">
        <v>171</v>
      </c>
      <c r="K1779" s="2" t="s">
        <v>5673</v>
      </c>
      <c r="L1779" s="2" t="s">
        <v>5674</v>
      </c>
      <c r="M1779" s="3">
        <v>40297</v>
      </c>
      <c r="N1779" s="2" t="s">
        <v>6195</v>
      </c>
      <c r="O1779" s="2" t="s">
        <v>107</v>
      </c>
      <c r="P1779" s="2" t="s">
        <v>107</v>
      </c>
      <c r="Q1779" s="2" t="str">
        <f>"167-A/10"</f>
        <v>167-A/10</v>
      </c>
      <c r="R1779" s="2" t="s">
        <v>107</v>
      </c>
      <c r="S1779" s="2" t="s">
        <v>1035</v>
      </c>
      <c r="T1779" s="2">
        <v>1</v>
      </c>
      <c r="U1779" s="2" t="s">
        <v>79</v>
      </c>
      <c r="V1779" s="2">
        <v>1</v>
      </c>
      <c r="W1779" s="2" t="s">
        <v>80</v>
      </c>
      <c r="X1779" s="2">
        <v>1</v>
      </c>
      <c r="Y1779" s="2" t="s">
        <v>81</v>
      </c>
      <c r="Z1779" s="2">
        <v>1</v>
      </c>
      <c r="AA1779" s="2" t="s">
        <v>82</v>
      </c>
      <c r="AB1779" s="2">
        <v>1</v>
      </c>
      <c r="AC1779" s="2" t="s">
        <v>178</v>
      </c>
      <c r="AD1779" s="3">
        <v>40297</v>
      </c>
      <c r="AE1779" s="4">
        <v>0.77777777777777779</v>
      </c>
      <c r="AF1779" s="2"/>
      <c r="AG1779" s="2"/>
      <c r="AH1779" s="2">
        <v>2</v>
      </c>
      <c r="AI1779" s="2" t="s">
        <v>84</v>
      </c>
      <c r="AJ1779" s="2">
        <v>12</v>
      </c>
      <c r="AK1779" s="2" t="s">
        <v>85</v>
      </c>
      <c r="AL1779" s="2">
        <v>11</v>
      </c>
      <c r="AM1779" s="2" t="s">
        <v>137</v>
      </c>
      <c r="AN1779" s="2" t="s">
        <v>1424</v>
      </c>
      <c r="AO1779" s="2" t="s">
        <v>788</v>
      </c>
      <c r="AP1779" s="2">
        <v>11</v>
      </c>
      <c r="AQ1779" s="2" t="s">
        <v>82</v>
      </c>
      <c r="AR1779" s="2"/>
      <c r="AS1779" s="2"/>
      <c r="AT1779" s="2" t="s">
        <v>6329</v>
      </c>
      <c r="AU1779" s="2">
        <v>1</v>
      </c>
      <c r="AV1779" s="2"/>
      <c r="AW1779" s="2"/>
      <c r="AX1779" s="2"/>
      <c r="AY1779" s="2">
        <v>41</v>
      </c>
      <c r="AZ1779" s="2" t="s">
        <v>82</v>
      </c>
      <c r="BA1779" s="2">
        <v>41</v>
      </c>
      <c r="BB1779" s="2" t="s">
        <v>82</v>
      </c>
      <c r="BC1779" s="2">
        <v>41</v>
      </c>
      <c r="BD1779" s="2" t="s">
        <v>82</v>
      </c>
      <c r="BE1779" s="2">
        <v>13</v>
      </c>
      <c r="BF1779" s="2" t="s">
        <v>108</v>
      </c>
      <c r="BG1779" s="2" t="s">
        <v>6330</v>
      </c>
      <c r="BH1779" s="2"/>
      <c r="BI1779" s="4">
        <v>0.77083333333333337</v>
      </c>
      <c r="BJ1779" s="2">
        <v>13</v>
      </c>
      <c r="BK1779" s="2" t="s">
        <v>91</v>
      </c>
      <c r="BL1779" s="2" t="s">
        <v>170</v>
      </c>
      <c r="BM1779" s="2">
        <v>241</v>
      </c>
      <c r="BN1779" s="2" t="s">
        <v>82</v>
      </c>
      <c r="BO1779" s="2" t="s">
        <v>82</v>
      </c>
      <c r="BP1779" s="2">
        <v>13</v>
      </c>
      <c r="BQ1779" s="2" t="s">
        <v>91</v>
      </c>
      <c r="BR1779" s="2" t="s">
        <v>5117</v>
      </c>
      <c r="BS1779" s="3">
        <v>40297</v>
      </c>
      <c r="BT1779" s="4">
        <v>0.90953703703703714</v>
      </c>
    </row>
    <row r="1780" spans="1:72" x14ac:dyDescent="0.25">
      <c r="A1780" s="2">
        <v>2565</v>
      </c>
      <c r="B1780" s="2">
        <v>2010</v>
      </c>
      <c r="C1780" s="2" t="s">
        <v>72</v>
      </c>
      <c r="D1780" s="2" t="s">
        <v>73</v>
      </c>
      <c r="E1780" s="2"/>
      <c r="F1780" s="2">
        <v>31</v>
      </c>
      <c r="G1780" s="2" t="s">
        <v>1857</v>
      </c>
      <c r="H1780" s="2">
        <v>1</v>
      </c>
      <c r="I1780" s="2" t="s">
        <v>82</v>
      </c>
      <c r="J1780" s="2">
        <v>40</v>
      </c>
      <c r="K1780" s="2" t="s">
        <v>1858</v>
      </c>
      <c r="L1780" s="2" t="s">
        <v>1859</v>
      </c>
      <c r="M1780" s="3">
        <v>40298</v>
      </c>
      <c r="N1780" s="2"/>
      <c r="O1780" s="2"/>
      <c r="P1780" s="2"/>
      <c r="Q1780" s="2" t="str">
        <f>"011-M/10"</f>
        <v>011-M/10</v>
      </c>
      <c r="R1780" s="2" t="s">
        <v>5009</v>
      </c>
      <c r="S1780" s="2" t="s">
        <v>5009</v>
      </c>
      <c r="T1780" s="2">
        <v>1</v>
      </c>
      <c r="U1780" s="2" t="s">
        <v>79</v>
      </c>
      <c r="V1780" s="2">
        <v>1</v>
      </c>
      <c r="W1780" s="2" t="s">
        <v>80</v>
      </c>
      <c r="X1780" s="2">
        <v>12</v>
      </c>
      <c r="Y1780" s="2" t="s">
        <v>148</v>
      </c>
      <c r="Z1780" s="2">
        <v>1</v>
      </c>
      <c r="AA1780" s="2" t="s">
        <v>82</v>
      </c>
      <c r="AB1780" s="2">
        <v>6</v>
      </c>
      <c r="AC1780" s="2" t="s">
        <v>83</v>
      </c>
      <c r="AD1780" s="3">
        <v>40297</v>
      </c>
      <c r="AE1780" s="2"/>
      <c r="AF1780" s="3">
        <v>40297</v>
      </c>
      <c r="AG1780" s="4">
        <v>0.89583333333333337</v>
      </c>
      <c r="AH1780" s="2">
        <v>2</v>
      </c>
      <c r="AI1780" s="2" t="s">
        <v>84</v>
      </c>
      <c r="AJ1780" s="2">
        <v>8</v>
      </c>
      <c r="AK1780" s="2" t="s">
        <v>436</v>
      </c>
      <c r="AL1780" s="2">
        <v>22</v>
      </c>
      <c r="AM1780" s="2" t="s">
        <v>1853</v>
      </c>
      <c r="AN1780" s="2"/>
      <c r="AO1780" s="2"/>
      <c r="AP1780" s="2">
        <v>11</v>
      </c>
      <c r="AQ1780" s="2" t="s">
        <v>82</v>
      </c>
      <c r="AR1780" s="2"/>
      <c r="AS1780" s="2"/>
      <c r="AT1780" s="2" t="s">
        <v>6331</v>
      </c>
      <c r="AU1780" s="2"/>
      <c r="AV1780" s="2"/>
      <c r="AW1780" s="2"/>
      <c r="AX1780" s="2"/>
      <c r="AY1780" s="2">
        <v>41</v>
      </c>
      <c r="AZ1780" s="2" t="s">
        <v>82</v>
      </c>
      <c r="BA1780" s="2">
        <v>41</v>
      </c>
      <c r="BB1780" s="2" t="s">
        <v>82</v>
      </c>
      <c r="BC1780" s="2">
        <v>41</v>
      </c>
      <c r="BD1780" s="2" t="s">
        <v>82</v>
      </c>
      <c r="BE1780" s="2">
        <v>13</v>
      </c>
      <c r="BF1780" s="2" t="s">
        <v>108</v>
      </c>
      <c r="BG1780" s="2" t="s">
        <v>6332</v>
      </c>
      <c r="BH1780" s="4">
        <v>8.3333333333333329E-2</v>
      </c>
      <c r="BI1780" s="2"/>
      <c r="BJ1780" s="2">
        <v>13</v>
      </c>
      <c r="BK1780" s="2" t="s">
        <v>91</v>
      </c>
      <c r="BL1780" s="2" t="s">
        <v>92</v>
      </c>
      <c r="BM1780" s="2">
        <v>241</v>
      </c>
      <c r="BN1780" s="2" t="s">
        <v>82</v>
      </c>
      <c r="BO1780" s="2"/>
      <c r="BP1780" s="2">
        <v>13</v>
      </c>
      <c r="BQ1780" s="2" t="s">
        <v>91</v>
      </c>
      <c r="BR1780" s="2" t="s">
        <v>185</v>
      </c>
      <c r="BS1780" s="3">
        <v>40298</v>
      </c>
      <c r="BT1780" s="4">
        <v>2.5000000000000001E-3</v>
      </c>
    </row>
    <row r="1781" spans="1:72" x14ac:dyDescent="0.25">
      <c r="A1781" s="2">
        <v>2566</v>
      </c>
      <c r="B1781" s="2">
        <v>2010</v>
      </c>
      <c r="C1781" s="2" t="s">
        <v>171</v>
      </c>
      <c r="D1781" s="2" t="s">
        <v>122</v>
      </c>
      <c r="E1781" s="2"/>
      <c r="F1781" s="2">
        <v>425</v>
      </c>
      <c r="G1781" s="2" t="s">
        <v>286</v>
      </c>
      <c r="H1781" s="2">
        <v>39</v>
      </c>
      <c r="I1781" s="2" t="s">
        <v>1117</v>
      </c>
      <c r="J1781" s="2">
        <v>310</v>
      </c>
      <c r="K1781" s="2" t="s">
        <v>288</v>
      </c>
      <c r="L1781" s="2" t="s">
        <v>289</v>
      </c>
      <c r="M1781" s="3">
        <v>40298</v>
      </c>
      <c r="N1781" s="2" t="s">
        <v>2049</v>
      </c>
      <c r="O1781" s="2"/>
      <c r="P1781" s="2"/>
      <c r="Q1781" s="2" t="str">
        <f>"049/10"</f>
        <v>049/10</v>
      </c>
      <c r="R1781" s="2"/>
      <c r="S1781" s="2" t="s">
        <v>822</v>
      </c>
      <c r="T1781" s="2">
        <v>1</v>
      </c>
      <c r="U1781" s="2" t="s">
        <v>79</v>
      </c>
      <c r="V1781" s="2">
        <v>1</v>
      </c>
      <c r="W1781" s="2" t="s">
        <v>80</v>
      </c>
      <c r="X1781" s="2">
        <v>1</v>
      </c>
      <c r="Y1781" s="2" t="s">
        <v>81</v>
      </c>
      <c r="Z1781" s="2">
        <v>1</v>
      </c>
      <c r="AA1781" s="2" t="s">
        <v>82</v>
      </c>
      <c r="AB1781" s="2">
        <v>1</v>
      </c>
      <c r="AC1781" s="2" t="s">
        <v>178</v>
      </c>
      <c r="AD1781" s="3">
        <v>40297</v>
      </c>
      <c r="AE1781" s="4">
        <v>0.91666666666666663</v>
      </c>
      <c r="AF1781" s="2"/>
      <c r="AG1781" s="2"/>
      <c r="AH1781" s="2">
        <v>4</v>
      </c>
      <c r="AI1781" s="2" t="s">
        <v>125</v>
      </c>
      <c r="AJ1781" s="2">
        <v>29</v>
      </c>
      <c r="AK1781" s="2" t="s">
        <v>227</v>
      </c>
      <c r="AL1781" s="2">
        <v>16</v>
      </c>
      <c r="AM1781" s="2" t="s">
        <v>392</v>
      </c>
      <c r="AN1781" s="2" t="s">
        <v>1015</v>
      </c>
      <c r="AO1781" s="2"/>
      <c r="AP1781" s="2">
        <v>12</v>
      </c>
      <c r="AQ1781" s="2" t="s">
        <v>322</v>
      </c>
      <c r="AR1781" s="2" t="s">
        <v>824</v>
      </c>
      <c r="AS1781" s="2" t="s">
        <v>825</v>
      </c>
      <c r="AT1781" s="2" t="s">
        <v>6333</v>
      </c>
      <c r="AU1781" s="2"/>
      <c r="AV1781" s="2"/>
      <c r="AW1781" s="2"/>
      <c r="AX1781" s="2"/>
      <c r="AY1781" s="2">
        <v>41</v>
      </c>
      <c r="AZ1781" s="2" t="s">
        <v>82</v>
      </c>
      <c r="BA1781" s="2">
        <v>41</v>
      </c>
      <c r="BB1781" s="2" t="s">
        <v>82</v>
      </c>
      <c r="BC1781" s="2">
        <v>51</v>
      </c>
      <c r="BD1781" s="2" t="s">
        <v>827</v>
      </c>
      <c r="BE1781" s="2">
        <v>47</v>
      </c>
      <c r="BF1781" s="2" t="s">
        <v>167</v>
      </c>
      <c r="BG1781" s="2">
        <v>2459</v>
      </c>
      <c r="BH1781" s="4">
        <v>0.92361111111111116</v>
      </c>
      <c r="BI1781" s="4">
        <v>0.94791666666666663</v>
      </c>
      <c r="BJ1781" s="2">
        <v>13</v>
      </c>
      <c r="BK1781" s="2" t="s">
        <v>91</v>
      </c>
      <c r="BL1781" s="2" t="s">
        <v>828</v>
      </c>
      <c r="BM1781" s="2">
        <v>241</v>
      </c>
      <c r="BN1781" s="2" t="s">
        <v>82</v>
      </c>
      <c r="BO1781" s="2" t="s">
        <v>82</v>
      </c>
      <c r="BP1781" s="2">
        <v>13</v>
      </c>
      <c r="BQ1781" s="2" t="s">
        <v>91</v>
      </c>
      <c r="BR1781" s="2" t="s">
        <v>185</v>
      </c>
      <c r="BS1781" s="3">
        <v>40298</v>
      </c>
      <c r="BT1781" s="4">
        <v>7.9861111111111105E-2</v>
      </c>
    </row>
    <row r="1782" spans="1:72" x14ac:dyDescent="0.25">
      <c r="A1782" s="2">
        <v>2567</v>
      </c>
      <c r="B1782" s="2">
        <v>2010</v>
      </c>
      <c r="C1782" s="2" t="s">
        <v>171</v>
      </c>
      <c r="D1782" s="2" t="s">
        <v>122</v>
      </c>
      <c r="E1782" s="2" t="s">
        <v>6334</v>
      </c>
      <c r="F1782" s="2">
        <v>161</v>
      </c>
      <c r="G1782" s="2" t="s">
        <v>5671</v>
      </c>
      <c r="H1782" s="2">
        <v>98</v>
      </c>
      <c r="I1782" s="2" t="s">
        <v>6194</v>
      </c>
      <c r="J1782" s="2">
        <v>171</v>
      </c>
      <c r="K1782" s="2" t="s">
        <v>5673</v>
      </c>
      <c r="L1782" s="2" t="s">
        <v>5674</v>
      </c>
      <c r="M1782" s="3">
        <v>40298</v>
      </c>
      <c r="N1782" s="2" t="s">
        <v>6195</v>
      </c>
      <c r="O1782" s="2" t="s">
        <v>107</v>
      </c>
      <c r="P1782" s="2" t="s">
        <v>107</v>
      </c>
      <c r="Q1782" s="2" t="str">
        <f>"166-A/10"</f>
        <v>166-A/10</v>
      </c>
      <c r="R1782" s="2" t="s">
        <v>1035</v>
      </c>
      <c r="S1782" s="2" t="s">
        <v>107</v>
      </c>
      <c r="T1782" s="2">
        <v>1</v>
      </c>
      <c r="U1782" s="2" t="s">
        <v>79</v>
      </c>
      <c r="V1782" s="2">
        <v>1</v>
      </c>
      <c r="W1782" s="2" t="s">
        <v>80</v>
      </c>
      <c r="X1782" s="2">
        <v>1</v>
      </c>
      <c r="Y1782" s="2" t="s">
        <v>81</v>
      </c>
      <c r="Z1782" s="2">
        <v>1</v>
      </c>
      <c r="AA1782" s="2" t="s">
        <v>82</v>
      </c>
      <c r="AB1782" s="2">
        <v>1</v>
      </c>
      <c r="AC1782" s="2" t="s">
        <v>178</v>
      </c>
      <c r="AD1782" s="3">
        <v>40297</v>
      </c>
      <c r="AE1782" s="4">
        <v>0.60416666666666663</v>
      </c>
      <c r="AF1782" s="2"/>
      <c r="AG1782" s="2"/>
      <c r="AH1782" s="2">
        <v>2</v>
      </c>
      <c r="AI1782" s="2" t="s">
        <v>84</v>
      </c>
      <c r="AJ1782" s="2">
        <v>12</v>
      </c>
      <c r="AK1782" s="2" t="s">
        <v>85</v>
      </c>
      <c r="AL1782" s="2">
        <v>11</v>
      </c>
      <c r="AM1782" s="2" t="s">
        <v>137</v>
      </c>
      <c r="AN1782" s="2" t="s">
        <v>1424</v>
      </c>
      <c r="AO1782" s="2" t="s">
        <v>788</v>
      </c>
      <c r="AP1782" s="2">
        <v>11</v>
      </c>
      <c r="AQ1782" s="2" t="s">
        <v>82</v>
      </c>
      <c r="AR1782" s="2"/>
      <c r="AS1782" s="2"/>
      <c r="AT1782" s="2" t="s">
        <v>6335</v>
      </c>
      <c r="AU1782" s="2">
        <v>1</v>
      </c>
      <c r="AV1782" s="2"/>
      <c r="AW1782" s="2"/>
      <c r="AX1782" s="2"/>
      <c r="AY1782" s="2">
        <v>41</v>
      </c>
      <c r="AZ1782" s="2" t="s">
        <v>82</v>
      </c>
      <c r="BA1782" s="2">
        <v>41</v>
      </c>
      <c r="BB1782" s="2" t="s">
        <v>82</v>
      </c>
      <c r="BC1782" s="2">
        <v>41</v>
      </c>
      <c r="BD1782" s="2" t="s">
        <v>82</v>
      </c>
      <c r="BE1782" s="2">
        <v>4</v>
      </c>
      <c r="BF1782" s="2" t="s">
        <v>90</v>
      </c>
      <c r="BG1782" s="2" t="s">
        <v>6327</v>
      </c>
      <c r="BH1782" s="2"/>
      <c r="BI1782" s="4">
        <v>0.55902777777777779</v>
      </c>
      <c r="BJ1782" s="2">
        <v>13</v>
      </c>
      <c r="BK1782" s="2" t="s">
        <v>91</v>
      </c>
      <c r="BL1782" s="2" t="s">
        <v>170</v>
      </c>
      <c r="BM1782" s="2">
        <v>241</v>
      </c>
      <c r="BN1782" s="2" t="s">
        <v>82</v>
      </c>
      <c r="BO1782" s="2"/>
      <c r="BP1782" s="2">
        <v>13</v>
      </c>
      <c r="BQ1782" s="2" t="s">
        <v>91</v>
      </c>
      <c r="BR1782" s="2" t="s">
        <v>1199</v>
      </c>
      <c r="BS1782" s="3">
        <v>40298</v>
      </c>
      <c r="BT1782" s="4">
        <v>8.4745370370370374E-2</v>
      </c>
    </row>
    <row r="1783" spans="1:72" x14ac:dyDescent="0.25">
      <c r="A1783" s="2">
        <v>2568</v>
      </c>
      <c r="B1783" s="2">
        <v>2010</v>
      </c>
      <c r="C1783" s="2" t="s">
        <v>171</v>
      </c>
      <c r="D1783" s="2" t="s">
        <v>122</v>
      </c>
      <c r="E1783" s="2" t="s">
        <v>6336</v>
      </c>
      <c r="F1783" s="2">
        <v>161</v>
      </c>
      <c r="G1783" s="2" t="s">
        <v>5671</v>
      </c>
      <c r="H1783" s="2">
        <v>98</v>
      </c>
      <c r="I1783" s="2" t="s">
        <v>6194</v>
      </c>
      <c r="J1783" s="2">
        <v>171</v>
      </c>
      <c r="K1783" s="2" t="s">
        <v>5673</v>
      </c>
      <c r="L1783" s="2" t="s">
        <v>5674</v>
      </c>
      <c r="M1783" s="3">
        <v>40298</v>
      </c>
      <c r="N1783" s="2" t="s">
        <v>6195</v>
      </c>
      <c r="O1783" s="2" t="s">
        <v>107</v>
      </c>
      <c r="P1783" s="2" t="s">
        <v>107</v>
      </c>
      <c r="Q1783" s="2" t="str">
        <f>"167-A/10"</f>
        <v>167-A/10</v>
      </c>
      <c r="R1783" s="2" t="s">
        <v>1035</v>
      </c>
      <c r="S1783" s="2" t="s">
        <v>107</v>
      </c>
      <c r="T1783" s="2">
        <v>1</v>
      </c>
      <c r="U1783" s="2" t="s">
        <v>79</v>
      </c>
      <c r="V1783" s="2">
        <v>1</v>
      </c>
      <c r="W1783" s="2" t="s">
        <v>80</v>
      </c>
      <c r="X1783" s="2">
        <v>1</v>
      </c>
      <c r="Y1783" s="2" t="s">
        <v>81</v>
      </c>
      <c r="Z1783" s="2">
        <v>1</v>
      </c>
      <c r="AA1783" s="2" t="s">
        <v>82</v>
      </c>
      <c r="AB1783" s="2">
        <v>1</v>
      </c>
      <c r="AC1783" s="2" t="s">
        <v>178</v>
      </c>
      <c r="AD1783" s="3">
        <v>40297</v>
      </c>
      <c r="AE1783" s="4">
        <v>0.77777777777777779</v>
      </c>
      <c r="AF1783" s="2"/>
      <c r="AG1783" s="2"/>
      <c r="AH1783" s="2">
        <v>2</v>
      </c>
      <c r="AI1783" s="2" t="s">
        <v>84</v>
      </c>
      <c r="AJ1783" s="2">
        <v>12</v>
      </c>
      <c r="AK1783" s="2" t="s">
        <v>85</v>
      </c>
      <c r="AL1783" s="2">
        <v>11</v>
      </c>
      <c r="AM1783" s="2" t="s">
        <v>137</v>
      </c>
      <c r="AN1783" s="2" t="s">
        <v>1424</v>
      </c>
      <c r="AO1783" s="2" t="s">
        <v>788</v>
      </c>
      <c r="AP1783" s="2">
        <v>11</v>
      </c>
      <c r="AQ1783" s="2" t="s">
        <v>82</v>
      </c>
      <c r="AR1783" s="2"/>
      <c r="AS1783" s="2"/>
      <c r="AT1783" s="2" t="s">
        <v>6337</v>
      </c>
      <c r="AU1783" s="2">
        <v>1</v>
      </c>
      <c r="AV1783" s="2"/>
      <c r="AW1783" s="2"/>
      <c r="AX1783" s="2"/>
      <c r="AY1783" s="2">
        <v>41</v>
      </c>
      <c r="AZ1783" s="2" t="s">
        <v>82</v>
      </c>
      <c r="BA1783" s="2">
        <v>41</v>
      </c>
      <c r="BB1783" s="2" t="s">
        <v>82</v>
      </c>
      <c r="BC1783" s="2">
        <v>41</v>
      </c>
      <c r="BD1783" s="2" t="s">
        <v>82</v>
      </c>
      <c r="BE1783" s="2">
        <v>13</v>
      </c>
      <c r="BF1783" s="2" t="s">
        <v>108</v>
      </c>
      <c r="BG1783" s="2" t="s">
        <v>6330</v>
      </c>
      <c r="BH1783" s="2"/>
      <c r="BI1783" s="4">
        <v>0.77083333333333337</v>
      </c>
      <c r="BJ1783" s="2">
        <v>13</v>
      </c>
      <c r="BK1783" s="2" t="s">
        <v>91</v>
      </c>
      <c r="BL1783" s="2" t="s">
        <v>170</v>
      </c>
      <c r="BM1783" s="2">
        <v>241</v>
      </c>
      <c r="BN1783" s="2" t="s">
        <v>82</v>
      </c>
      <c r="BO1783" s="2" t="s">
        <v>82</v>
      </c>
      <c r="BP1783" s="2">
        <v>13</v>
      </c>
      <c r="BQ1783" s="2" t="s">
        <v>91</v>
      </c>
      <c r="BR1783" s="2" t="s">
        <v>5117</v>
      </c>
      <c r="BS1783" s="3">
        <v>40298</v>
      </c>
      <c r="BT1783" s="4">
        <v>0.31221064814814814</v>
      </c>
    </row>
    <row r="1784" spans="1:72" x14ac:dyDescent="0.25">
      <c r="A1784" s="2">
        <v>2571</v>
      </c>
      <c r="B1784" s="2">
        <v>2010</v>
      </c>
      <c r="C1784" s="2" t="s">
        <v>72</v>
      </c>
      <c r="D1784" s="2" t="s">
        <v>73</v>
      </c>
      <c r="E1784" s="2"/>
      <c r="F1784" s="2">
        <v>34</v>
      </c>
      <c r="G1784" s="2" t="s">
        <v>334</v>
      </c>
      <c r="H1784" s="2">
        <v>66</v>
      </c>
      <c r="I1784" s="2" t="s">
        <v>3190</v>
      </c>
      <c r="J1784" s="2">
        <v>43</v>
      </c>
      <c r="K1784" s="2" t="s">
        <v>2059</v>
      </c>
      <c r="L1784" s="2" t="s">
        <v>2060</v>
      </c>
      <c r="M1784" s="3">
        <v>40298</v>
      </c>
      <c r="N1784" s="2" t="s">
        <v>6124</v>
      </c>
      <c r="O1784" s="2" t="s">
        <v>6338</v>
      </c>
      <c r="P1784" s="2"/>
      <c r="Q1784" s="2" t="str">
        <f>"20/10"</f>
        <v>20/10</v>
      </c>
      <c r="R1784" s="2" t="s">
        <v>6338</v>
      </c>
      <c r="S1784" s="2" t="s">
        <v>6338</v>
      </c>
      <c r="T1784" s="2">
        <v>1</v>
      </c>
      <c r="U1784" s="2" t="s">
        <v>79</v>
      </c>
      <c r="V1784" s="2">
        <v>1</v>
      </c>
      <c r="W1784" s="2" t="s">
        <v>80</v>
      </c>
      <c r="X1784" s="2">
        <v>11</v>
      </c>
      <c r="Y1784" s="2" t="s">
        <v>1920</v>
      </c>
      <c r="Z1784" s="2">
        <v>21</v>
      </c>
      <c r="AA1784" s="2"/>
      <c r="AB1784" s="2">
        <v>6</v>
      </c>
      <c r="AC1784" s="2" t="s">
        <v>83</v>
      </c>
      <c r="AD1784" s="3">
        <v>40298</v>
      </c>
      <c r="AE1784" s="4">
        <v>0.27083333333333331</v>
      </c>
      <c r="AF1784" s="2"/>
      <c r="AG1784" s="2"/>
      <c r="AH1784" s="2">
        <v>3</v>
      </c>
      <c r="AI1784" s="2" t="s">
        <v>214</v>
      </c>
      <c r="AJ1784" s="2">
        <v>17</v>
      </c>
      <c r="AK1784" s="2" t="s">
        <v>309</v>
      </c>
      <c r="AL1784" s="2">
        <v>25</v>
      </c>
      <c r="AM1784" s="2" t="s">
        <v>3073</v>
      </c>
      <c r="AN1784" s="2" t="s">
        <v>6339</v>
      </c>
      <c r="AO1784" s="2" t="s">
        <v>6340</v>
      </c>
      <c r="AP1784" s="2">
        <v>11</v>
      </c>
      <c r="AQ1784" s="2" t="s">
        <v>82</v>
      </c>
      <c r="AR1784" s="2"/>
      <c r="AS1784" s="2"/>
      <c r="AT1784" s="2" t="s">
        <v>6341</v>
      </c>
      <c r="AU1784" s="2">
        <v>1</v>
      </c>
      <c r="AV1784" s="2"/>
      <c r="AW1784" s="2"/>
      <c r="AX1784" s="2"/>
      <c r="AY1784" s="2">
        <v>103</v>
      </c>
      <c r="AZ1784" s="2" t="s">
        <v>6320</v>
      </c>
      <c r="BA1784" s="2">
        <v>41</v>
      </c>
      <c r="BB1784" s="2" t="s">
        <v>82</v>
      </c>
      <c r="BC1784" s="2">
        <v>41</v>
      </c>
      <c r="BD1784" s="2" t="s">
        <v>82</v>
      </c>
      <c r="BE1784" s="2">
        <v>41</v>
      </c>
      <c r="BF1784" s="2" t="s">
        <v>82</v>
      </c>
      <c r="BG1784" s="2"/>
      <c r="BH1784" s="2"/>
      <c r="BI1784" s="2"/>
      <c r="BJ1784" s="2">
        <v>241</v>
      </c>
      <c r="BK1784" s="2" t="s">
        <v>82</v>
      </c>
      <c r="BL1784" s="2"/>
      <c r="BM1784" s="2">
        <v>241</v>
      </c>
      <c r="BN1784" s="2" t="s">
        <v>82</v>
      </c>
      <c r="BO1784" s="2"/>
      <c r="BP1784" s="2">
        <v>241</v>
      </c>
      <c r="BQ1784" s="2" t="s">
        <v>82</v>
      </c>
      <c r="BR1784" s="2"/>
      <c r="BS1784" s="3">
        <v>40298</v>
      </c>
      <c r="BT1784" s="4">
        <v>0.4617708333333333</v>
      </c>
    </row>
    <row r="1785" spans="1:72" x14ac:dyDescent="0.25">
      <c r="A1785" s="2">
        <v>2573</v>
      </c>
      <c r="B1785" s="2">
        <v>2010</v>
      </c>
      <c r="C1785" s="2" t="s">
        <v>1559</v>
      </c>
      <c r="D1785" s="2" t="s">
        <v>73</v>
      </c>
      <c r="E1785" s="2"/>
      <c r="F1785" s="2">
        <v>591</v>
      </c>
      <c r="G1785" s="2" t="s">
        <v>5658</v>
      </c>
      <c r="H1785" s="2">
        <v>93</v>
      </c>
      <c r="I1785" s="2" t="s">
        <v>5659</v>
      </c>
      <c r="J1785" s="2">
        <v>33</v>
      </c>
      <c r="K1785" s="2" t="s">
        <v>2178</v>
      </c>
      <c r="L1785" s="2" t="s">
        <v>1877</v>
      </c>
      <c r="M1785" s="3">
        <v>40298</v>
      </c>
      <c r="N1785" s="2" t="s">
        <v>5603</v>
      </c>
      <c r="O1785" s="2" t="s">
        <v>6342</v>
      </c>
      <c r="P1785" s="2">
        <v>5385</v>
      </c>
      <c r="Q1785" s="2" t="str">
        <f>""</f>
        <v/>
      </c>
      <c r="R1785" s="2"/>
      <c r="S1785" s="2"/>
      <c r="T1785" s="2">
        <v>1</v>
      </c>
      <c r="U1785" s="2" t="s">
        <v>79</v>
      </c>
      <c r="V1785" s="2">
        <v>1</v>
      </c>
      <c r="W1785" s="2" t="s">
        <v>80</v>
      </c>
      <c r="X1785" s="2">
        <v>5</v>
      </c>
      <c r="Y1785" s="2" t="s">
        <v>82</v>
      </c>
      <c r="Z1785" s="2">
        <v>1</v>
      </c>
      <c r="AA1785" s="2" t="s">
        <v>82</v>
      </c>
      <c r="AB1785" s="2">
        <v>9</v>
      </c>
      <c r="AC1785" s="2" t="s">
        <v>124</v>
      </c>
      <c r="AD1785" s="3">
        <v>40298</v>
      </c>
      <c r="AE1785" s="4">
        <v>0.3125</v>
      </c>
      <c r="AF1785" s="2"/>
      <c r="AG1785" s="2"/>
      <c r="AH1785" s="2">
        <v>2</v>
      </c>
      <c r="AI1785" s="2" t="s">
        <v>84</v>
      </c>
      <c r="AJ1785" s="2">
        <v>8</v>
      </c>
      <c r="AK1785" s="2" t="s">
        <v>436</v>
      </c>
      <c r="AL1785" s="2">
        <v>24</v>
      </c>
      <c r="AM1785" s="2" t="s">
        <v>1540</v>
      </c>
      <c r="AN1785" s="2"/>
      <c r="AO1785" s="2"/>
      <c r="AP1785" s="2">
        <v>11</v>
      </c>
      <c r="AQ1785" s="2" t="s">
        <v>82</v>
      </c>
      <c r="AR1785" s="2"/>
      <c r="AS1785" s="2"/>
      <c r="AT1785" s="2" t="s">
        <v>6343</v>
      </c>
      <c r="AU1785" s="2">
        <v>1</v>
      </c>
      <c r="AV1785" s="2"/>
      <c r="AW1785" s="2"/>
      <c r="AX1785" s="2"/>
      <c r="AY1785" s="2">
        <v>1</v>
      </c>
      <c r="AZ1785" s="2" t="s">
        <v>107</v>
      </c>
      <c r="BA1785" s="2">
        <v>1</v>
      </c>
      <c r="BB1785" s="2" t="s">
        <v>107</v>
      </c>
      <c r="BC1785" s="2">
        <v>1</v>
      </c>
      <c r="BD1785" s="2" t="s">
        <v>107</v>
      </c>
      <c r="BE1785" s="2">
        <v>1</v>
      </c>
      <c r="BF1785" s="2" t="s">
        <v>107</v>
      </c>
      <c r="BG1785" s="2"/>
      <c r="BH1785" s="2"/>
      <c r="BI1785" s="2"/>
      <c r="BJ1785" s="2">
        <v>242</v>
      </c>
      <c r="BK1785" s="2" t="s">
        <v>107</v>
      </c>
      <c r="BL1785" s="2"/>
      <c r="BM1785" s="2">
        <v>242</v>
      </c>
      <c r="BN1785" s="2" t="s">
        <v>107</v>
      </c>
      <c r="BO1785" s="2"/>
      <c r="BP1785" s="2">
        <v>242</v>
      </c>
      <c r="BQ1785" s="2" t="s">
        <v>107</v>
      </c>
      <c r="BR1785" s="2"/>
      <c r="BS1785" s="3">
        <v>40298</v>
      </c>
      <c r="BT1785" s="4">
        <v>0.47202546296296299</v>
      </c>
    </row>
    <row r="1786" spans="1:72" x14ac:dyDescent="0.25">
      <c r="A1786" s="2">
        <v>2575</v>
      </c>
      <c r="B1786" s="2">
        <v>2010</v>
      </c>
      <c r="C1786" s="2" t="s">
        <v>819</v>
      </c>
      <c r="D1786" s="2" t="s">
        <v>122</v>
      </c>
      <c r="E1786" s="2" t="s">
        <v>6344</v>
      </c>
      <c r="F1786" s="2">
        <v>425</v>
      </c>
      <c r="G1786" s="2" t="s">
        <v>286</v>
      </c>
      <c r="H1786" s="2">
        <v>39</v>
      </c>
      <c r="I1786" s="2" t="s">
        <v>1117</v>
      </c>
      <c r="J1786" s="2">
        <v>310</v>
      </c>
      <c r="K1786" s="2" t="s">
        <v>288</v>
      </c>
      <c r="L1786" s="2" t="s">
        <v>289</v>
      </c>
      <c r="M1786" s="3">
        <v>40298</v>
      </c>
      <c r="N1786" s="2" t="s">
        <v>1917</v>
      </c>
      <c r="O1786" s="2" t="s">
        <v>2529</v>
      </c>
      <c r="P1786" s="2" t="s">
        <v>473</v>
      </c>
      <c r="Q1786" s="2" t="str">
        <f>"048/2010"</f>
        <v>048/2010</v>
      </c>
      <c r="R1786" s="2" t="s">
        <v>473</v>
      </c>
      <c r="S1786" s="2" t="s">
        <v>822</v>
      </c>
      <c r="T1786" s="2">
        <v>1</v>
      </c>
      <c r="U1786" s="2" t="s">
        <v>79</v>
      </c>
      <c r="V1786" s="2">
        <v>1</v>
      </c>
      <c r="W1786" s="2" t="s">
        <v>80</v>
      </c>
      <c r="X1786" s="2">
        <v>1</v>
      </c>
      <c r="Y1786" s="2" t="s">
        <v>81</v>
      </c>
      <c r="Z1786" s="2">
        <v>10</v>
      </c>
      <c r="AA1786" s="2" t="s">
        <v>236</v>
      </c>
      <c r="AB1786" s="2">
        <v>9</v>
      </c>
      <c r="AC1786" s="2" t="s">
        <v>124</v>
      </c>
      <c r="AD1786" s="3">
        <v>40298</v>
      </c>
      <c r="AE1786" s="4">
        <v>0.41666666666666669</v>
      </c>
      <c r="AF1786" s="2"/>
      <c r="AG1786" s="2"/>
      <c r="AH1786" s="2">
        <v>4</v>
      </c>
      <c r="AI1786" s="2" t="s">
        <v>125</v>
      </c>
      <c r="AJ1786" s="2">
        <v>29</v>
      </c>
      <c r="AK1786" s="2" t="s">
        <v>227</v>
      </c>
      <c r="AL1786" s="2">
        <v>16</v>
      </c>
      <c r="AM1786" s="2" t="s">
        <v>392</v>
      </c>
      <c r="AN1786" s="2" t="s">
        <v>3040</v>
      </c>
      <c r="AO1786" s="2" t="s">
        <v>5383</v>
      </c>
      <c r="AP1786" s="2">
        <v>12</v>
      </c>
      <c r="AQ1786" s="2" t="s">
        <v>322</v>
      </c>
      <c r="AR1786" s="2" t="s">
        <v>824</v>
      </c>
      <c r="AS1786" s="2" t="s">
        <v>825</v>
      </c>
      <c r="AT1786" s="2" t="s">
        <v>6345</v>
      </c>
      <c r="AU1786" s="2"/>
      <c r="AV1786" s="2"/>
      <c r="AW1786" s="2"/>
      <c r="AX1786" s="2"/>
      <c r="AY1786" s="2">
        <v>41</v>
      </c>
      <c r="AZ1786" s="2" t="s">
        <v>82</v>
      </c>
      <c r="BA1786" s="2">
        <v>41</v>
      </c>
      <c r="BB1786" s="2" t="s">
        <v>82</v>
      </c>
      <c r="BC1786" s="2">
        <v>41</v>
      </c>
      <c r="BD1786" s="2" t="s">
        <v>82</v>
      </c>
      <c r="BE1786" s="2">
        <v>47</v>
      </c>
      <c r="BF1786" s="2" t="s">
        <v>167</v>
      </c>
      <c r="BG1786" s="2">
        <v>2459</v>
      </c>
      <c r="BH1786" s="4">
        <v>0.95138888888888884</v>
      </c>
      <c r="BI1786" s="4">
        <v>0.98611111111111116</v>
      </c>
      <c r="BJ1786" s="2">
        <v>13</v>
      </c>
      <c r="BK1786" s="2" t="s">
        <v>91</v>
      </c>
      <c r="BL1786" s="2" t="s">
        <v>828</v>
      </c>
      <c r="BM1786" s="2">
        <v>241</v>
      </c>
      <c r="BN1786" s="2" t="s">
        <v>82</v>
      </c>
      <c r="BO1786" s="2" t="s">
        <v>82</v>
      </c>
      <c r="BP1786" s="2">
        <v>13</v>
      </c>
      <c r="BQ1786" s="2" t="s">
        <v>91</v>
      </c>
      <c r="BR1786" s="2" t="s">
        <v>185</v>
      </c>
      <c r="BS1786" s="3">
        <v>40298</v>
      </c>
      <c r="BT1786" s="4">
        <v>0.4848263888888889</v>
      </c>
    </row>
    <row r="1787" spans="1:72" x14ac:dyDescent="0.25">
      <c r="A1787" s="2">
        <v>2576</v>
      </c>
      <c r="B1787" s="2">
        <v>2010</v>
      </c>
      <c r="C1787" s="2" t="s">
        <v>819</v>
      </c>
      <c r="D1787" s="2" t="s">
        <v>122</v>
      </c>
      <c r="E1787" s="2" t="s">
        <v>6346</v>
      </c>
      <c r="F1787" s="2">
        <v>425</v>
      </c>
      <c r="G1787" s="2" t="s">
        <v>286</v>
      </c>
      <c r="H1787" s="2">
        <v>39</v>
      </c>
      <c r="I1787" s="2" t="s">
        <v>1117</v>
      </c>
      <c r="J1787" s="2">
        <v>310</v>
      </c>
      <c r="K1787" s="2" t="s">
        <v>288</v>
      </c>
      <c r="L1787" s="2" t="s">
        <v>289</v>
      </c>
      <c r="M1787" s="3">
        <v>40298</v>
      </c>
      <c r="N1787" s="2" t="s">
        <v>2049</v>
      </c>
      <c r="O1787" s="2" t="s">
        <v>5454</v>
      </c>
      <c r="P1787" s="2" t="s">
        <v>5454</v>
      </c>
      <c r="Q1787" s="2" t="str">
        <f>"045/10"</f>
        <v>045/10</v>
      </c>
      <c r="R1787" s="2" t="s">
        <v>822</v>
      </c>
      <c r="S1787" s="2" t="s">
        <v>5454</v>
      </c>
      <c r="T1787" s="2">
        <v>1</v>
      </c>
      <c r="U1787" s="2" t="s">
        <v>79</v>
      </c>
      <c r="V1787" s="2">
        <v>1</v>
      </c>
      <c r="W1787" s="2" t="s">
        <v>80</v>
      </c>
      <c r="X1787" s="2">
        <v>1</v>
      </c>
      <c r="Y1787" s="2" t="s">
        <v>81</v>
      </c>
      <c r="Z1787" s="2">
        <v>10</v>
      </c>
      <c r="AA1787" s="2" t="s">
        <v>236</v>
      </c>
      <c r="AB1787" s="2">
        <v>9</v>
      </c>
      <c r="AC1787" s="2" t="s">
        <v>124</v>
      </c>
      <c r="AD1787" s="3">
        <v>40298</v>
      </c>
      <c r="AE1787" s="4">
        <v>0.44791666666666669</v>
      </c>
      <c r="AF1787" s="2"/>
      <c r="AG1787" s="2"/>
      <c r="AH1787" s="2">
        <v>4</v>
      </c>
      <c r="AI1787" s="2" t="s">
        <v>125</v>
      </c>
      <c r="AJ1787" s="2">
        <v>29</v>
      </c>
      <c r="AK1787" s="2" t="s">
        <v>227</v>
      </c>
      <c r="AL1787" s="2">
        <v>16</v>
      </c>
      <c r="AM1787" s="2" t="s">
        <v>392</v>
      </c>
      <c r="AN1787" s="2" t="s">
        <v>5930</v>
      </c>
      <c r="AO1787" s="2"/>
      <c r="AP1787" s="2">
        <v>12</v>
      </c>
      <c r="AQ1787" s="2" t="s">
        <v>322</v>
      </c>
      <c r="AR1787" s="2" t="s">
        <v>824</v>
      </c>
      <c r="AS1787" s="2" t="s">
        <v>825</v>
      </c>
      <c r="AT1787" s="2" t="s">
        <v>6347</v>
      </c>
      <c r="AU1787" s="2"/>
      <c r="AV1787" s="2"/>
      <c r="AW1787" s="2"/>
      <c r="AX1787" s="2"/>
      <c r="AY1787" s="2">
        <v>41</v>
      </c>
      <c r="AZ1787" s="2" t="s">
        <v>82</v>
      </c>
      <c r="BA1787" s="2">
        <v>41</v>
      </c>
      <c r="BB1787" s="2" t="s">
        <v>82</v>
      </c>
      <c r="BC1787" s="2">
        <v>51</v>
      </c>
      <c r="BD1787" s="2" t="s">
        <v>827</v>
      </c>
      <c r="BE1787" s="2">
        <v>47</v>
      </c>
      <c r="BF1787" s="2" t="s">
        <v>167</v>
      </c>
      <c r="BG1787" s="2">
        <v>2459</v>
      </c>
      <c r="BH1787" s="4">
        <v>0.90277777777777779</v>
      </c>
      <c r="BI1787" s="4">
        <v>0.92361111111111116</v>
      </c>
      <c r="BJ1787" s="2">
        <v>13</v>
      </c>
      <c r="BK1787" s="2" t="s">
        <v>91</v>
      </c>
      <c r="BL1787" s="2" t="s">
        <v>828</v>
      </c>
      <c r="BM1787" s="2">
        <v>241</v>
      </c>
      <c r="BN1787" s="2" t="s">
        <v>82</v>
      </c>
      <c r="BO1787" s="2" t="s">
        <v>82</v>
      </c>
      <c r="BP1787" s="2">
        <v>13</v>
      </c>
      <c r="BQ1787" s="2" t="s">
        <v>91</v>
      </c>
      <c r="BR1787" s="2" t="s">
        <v>1108</v>
      </c>
      <c r="BS1787" s="3">
        <v>40298</v>
      </c>
      <c r="BT1787" s="4">
        <v>0.48500000000000004</v>
      </c>
    </row>
    <row r="1788" spans="1:72" x14ac:dyDescent="0.25">
      <c r="A1788" s="2">
        <v>2578</v>
      </c>
      <c r="B1788" s="2">
        <v>2010</v>
      </c>
      <c r="C1788" s="2" t="s">
        <v>414</v>
      </c>
      <c r="D1788" s="2" t="s">
        <v>122</v>
      </c>
      <c r="E1788" s="2"/>
      <c r="F1788" s="2">
        <v>1</v>
      </c>
      <c r="G1788" s="2" t="s">
        <v>82</v>
      </c>
      <c r="H1788" s="2">
        <v>1</v>
      </c>
      <c r="I1788" s="2" t="s">
        <v>82</v>
      </c>
      <c r="J1788" s="2">
        <v>1</v>
      </c>
      <c r="K1788" s="2" t="s">
        <v>107</v>
      </c>
      <c r="L1788" s="2" t="s">
        <v>107</v>
      </c>
      <c r="M1788" s="3">
        <v>40298</v>
      </c>
      <c r="N1788" s="2"/>
      <c r="O1788" s="2"/>
      <c r="P1788" s="2"/>
      <c r="Q1788" s="2" t="str">
        <f>""</f>
        <v/>
      </c>
      <c r="R1788" s="2"/>
      <c r="S1788" s="2"/>
      <c r="T1788" s="2">
        <v>1</v>
      </c>
      <c r="U1788" s="2" t="s">
        <v>79</v>
      </c>
      <c r="V1788" s="2">
        <v>1</v>
      </c>
      <c r="W1788" s="2" t="s">
        <v>80</v>
      </c>
      <c r="X1788" s="2">
        <v>1</v>
      </c>
      <c r="Y1788" s="2" t="s">
        <v>81</v>
      </c>
      <c r="Z1788" s="2">
        <v>10</v>
      </c>
      <c r="AA1788" s="2" t="s">
        <v>236</v>
      </c>
      <c r="AB1788" s="2">
        <v>9</v>
      </c>
      <c r="AC1788" s="2" t="s">
        <v>124</v>
      </c>
      <c r="AD1788" s="3">
        <v>40298</v>
      </c>
      <c r="AE1788" s="4">
        <v>0.46527777777777773</v>
      </c>
      <c r="AF1788" s="2"/>
      <c r="AG1788" s="2"/>
      <c r="AH1788" s="2">
        <v>2</v>
      </c>
      <c r="AI1788" s="2" t="s">
        <v>84</v>
      </c>
      <c r="AJ1788" s="2">
        <v>12</v>
      </c>
      <c r="AK1788" s="2" t="s">
        <v>85</v>
      </c>
      <c r="AL1788" s="2">
        <v>12</v>
      </c>
      <c r="AM1788" s="2" t="s">
        <v>86</v>
      </c>
      <c r="AN1788" s="2"/>
      <c r="AO1788" s="2" t="s">
        <v>6348</v>
      </c>
      <c r="AP1788" s="2">
        <v>11</v>
      </c>
      <c r="AQ1788" s="2" t="s">
        <v>82</v>
      </c>
      <c r="AR1788" s="2"/>
      <c r="AS1788" s="2"/>
      <c r="AT1788" s="2" t="s">
        <v>6349</v>
      </c>
      <c r="AU1788" s="2"/>
      <c r="AV1788" s="2"/>
      <c r="AW1788" s="2"/>
      <c r="AX1788" s="2"/>
      <c r="AY1788" s="2">
        <v>41</v>
      </c>
      <c r="AZ1788" s="2" t="s">
        <v>82</v>
      </c>
      <c r="BA1788" s="2">
        <v>41</v>
      </c>
      <c r="BB1788" s="2" t="s">
        <v>82</v>
      </c>
      <c r="BC1788" s="2">
        <v>41</v>
      </c>
      <c r="BD1788" s="2" t="s">
        <v>82</v>
      </c>
      <c r="BE1788" s="2">
        <v>41</v>
      </c>
      <c r="BF1788" s="2" t="s">
        <v>82</v>
      </c>
      <c r="BG1788" s="2"/>
      <c r="BH1788" s="2"/>
      <c r="BI1788" s="2"/>
      <c r="BJ1788" s="2">
        <v>241</v>
      </c>
      <c r="BK1788" s="2" t="s">
        <v>82</v>
      </c>
      <c r="BL1788" s="2"/>
      <c r="BM1788" s="2">
        <v>241</v>
      </c>
      <c r="BN1788" s="2" t="s">
        <v>82</v>
      </c>
      <c r="BO1788" s="2"/>
      <c r="BP1788" s="2">
        <v>241</v>
      </c>
      <c r="BQ1788" s="2" t="s">
        <v>82</v>
      </c>
      <c r="BR1788" s="2"/>
      <c r="BS1788" s="3">
        <v>40298</v>
      </c>
      <c r="BT1788" s="4">
        <v>0.50506944444444446</v>
      </c>
    </row>
    <row r="1789" spans="1:72" x14ac:dyDescent="0.25">
      <c r="A1789" s="2">
        <v>2579</v>
      </c>
      <c r="B1789" s="2">
        <v>2010</v>
      </c>
      <c r="C1789" s="2" t="s">
        <v>1559</v>
      </c>
      <c r="D1789" s="2" t="s">
        <v>73</v>
      </c>
      <c r="E1789" s="2"/>
      <c r="F1789" s="2">
        <v>605</v>
      </c>
      <c r="G1789" s="2" t="s">
        <v>6350</v>
      </c>
      <c r="H1789" s="2">
        <v>50</v>
      </c>
      <c r="I1789" s="2" t="s">
        <v>107</v>
      </c>
      <c r="J1789" s="2">
        <v>539</v>
      </c>
      <c r="K1789" s="2" t="s">
        <v>6351</v>
      </c>
      <c r="L1789" s="2" t="s">
        <v>6352</v>
      </c>
      <c r="M1789" s="3">
        <v>40298</v>
      </c>
      <c r="N1789" s="2" t="s">
        <v>6353</v>
      </c>
      <c r="O1789" s="2" t="s">
        <v>480</v>
      </c>
      <c r="P1789" s="2" t="s">
        <v>6354</v>
      </c>
      <c r="Q1789" s="2" t="str">
        <f>""</f>
        <v/>
      </c>
      <c r="R1789" s="2"/>
      <c r="S1789" s="2"/>
      <c r="T1789" s="2">
        <v>1</v>
      </c>
      <c r="U1789" s="2" t="s">
        <v>79</v>
      </c>
      <c r="V1789" s="2">
        <v>3</v>
      </c>
      <c r="W1789" s="2" t="s">
        <v>225</v>
      </c>
      <c r="X1789" s="2">
        <v>6</v>
      </c>
      <c r="Y1789" s="2" t="s">
        <v>249</v>
      </c>
      <c r="Z1789" s="2">
        <v>1</v>
      </c>
      <c r="AA1789" s="2" t="s">
        <v>82</v>
      </c>
      <c r="AB1789" s="2">
        <v>9</v>
      </c>
      <c r="AC1789" s="2" t="s">
        <v>124</v>
      </c>
      <c r="AD1789" s="3">
        <v>40298</v>
      </c>
      <c r="AE1789" s="4">
        <v>0.5</v>
      </c>
      <c r="AF1789" s="2"/>
      <c r="AG1789" s="2"/>
      <c r="AH1789" s="2">
        <v>2</v>
      </c>
      <c r="AI1789" s="2" t="s">
        <v>84</v>
      </c>
      <c r="AJ1789" s="2">
        <v>6</v>
      </c>
      <c r="AK1789" s="2" t="s">
        <v>453</v>
      </c>
      <c r="AL1789" s="2">
        <v>23</v>
      </c>
      <c r="AM1789" s="2" t="s">
        <v>251</v>
      </c>
      <c r="AN1789" s="2" t="s">
        <v>6355</v>
      </c>
      <c r="AO1789" s="2" t="s">
        <v>1226</v>
      </c>
      <c r="AP1789" s="2">
        <v>11</v>
      </c>
      <c r="AQ1789" s="2" t="s">
        <v>82</v>
      </c>
      <c r="AR1789" s="2"/>
      <c r="AS1789" s="2"/>
      <c r="AT1789" s="2" t="s">
        <v>6356</v>
      </c>
      <c r="AU1789" s="2"/>
      <c r="AV1789" s="2"/>
      <c r="AW1789" s="2"/>
      <c r="AX1789" s="2"/>
      <c r="AY1789" s="2">
        <v>1</v>
      </c>
      <c r="AZ1789" s="2" t="s">
        <v>107</v>
      </c>
      <c r="BA1789" s="2">
        <v>42</v>
      </c>
      <c r="BB1789" s="2" t="s">
        <v>182</v>
      </c>
      <c r="BC1789" s="2">
        <v>70</v>
      </c>
      <c r="BD1789" s="2" t="s">
        <v>236</v>
      </c>
      <c r="BE1789" s="2">
        <v>41</v>
      </c>
      <c r="BF1789" s="2" t="s">
        <v>82</v>
      </c>
      <c r="BG1789" s="2"/>
      <c r="BH1789" s="2"/>
      <c r="BI1789" s="2"/>
      <c r="BJ1789" s="2">
        <v>241</v>
      </c>
      <c r="BK1789" s="2" t="s">
        <v>82</v>
      </c>
      <c r="BL1789" s="2"/>
      <c r="BM1789" s="2">
        <v>241</v>
      </c>
      <c r="BN1789" s="2" t="s">
        <v>82</v>
      </c>
      <c r="BO1789" s="2"/>
      <c r="BP1789" s="2">
        <v>241</v>
      </c>
      <c r="BQ1789" s="2" t="s">
        <v>82</v>
      </c>
      <c r="BR1789" s="2"/>
      <c r="BS1789" s="3">
        <v>40298</v>
      </c>
      <c r="BT1789" s="4">
        <v>0.51571759259259264</v>
      </c>
    </row>
    <row r="1790" spans="1:72" x14ac:dyDescent="0.25">
      <c r="A1790" s="2">
        <v>2581</v>
      </c>
      <c r="B1790" s="2">
        <v>2010</v>
      </c>
      <c r="C1790" s="2" t="s">
        <v>457</v>
      </c>
      <c r="D1790" s="2" t="s">
        <v>73</v>
      </c>
      <c r="E1790" s="2"/>
      <c r="F1790" s="2">
        <v>467</v>
      </c>
      <c r="G1790" s="2" t="s">
        <v>1053</v>
      </c>
      <c r="H1790" s="2">
        <v>22</v>
      </c>
      <c r="I1790" s="2" t="s">
        <v>75</v>
      </c>
      <c r="J1790" s="2">
        <v>369</v>
      </c>
      <c r="K1790" s="2" t="s">
        <v>1054</v>
      </c>
      <c r="L1790" s="2" t="s">
        <v>1055</v>
      </c>
      <c r="M1790" s="3">
        <v>40298</v>
      </c>
      <c r="N1790" s="2" t="s">
        <v>6357</v>
      </c>
      <c r="O1790" s="2" t="s">
        <v>6358</v>
      </c>
      <c r="P1790" s="2" t="s">
        <v>6359</v>
      </c>
      <c r="Q1790" s="2" t="str">
        <f>"...."</f>
        <v>....</v>
      </c>
      <c r="R1790" s="2" t="s">
        <v>5454</v>
      </c>
      <c r="S1790" s="2" t="s">
        <v>5454</v>
      </c>
      <c r="T1790" s="2">
        <v>1</v>
      </c>
      <c r="U1790" s="2" t="s">
        <v>79</v>
      </c>
      <c r="V1790" s="2">
        <v>1</v>
      </c>
      <c r="W1790" s="2" t="s">
        <v>80</v>
      </c>
      <c r="X1790" s="2">
        <v>10</v>
      </c>
      <c r="Y1790" s="2" t="s">
        <v>226</v>
      </c>
      <c r="Z1790" s="2">
        <v>6</v>
      </c>
      <c r="AA1790" s="2" t="s">
        <v>101</v>
      </c>
      <c r="AB1790" s="2">
        <v>9</v>
      </c>
      <c r="AC1790" s="2" t="s">
        <v>124</v>
      </c>
      <c r="AD1790" s="3">
        <v>40298</v>
      </c>
      <c r="AE1790" s="4">
        <v>0.52083333333333337</v>
      </c>
      <c r="AF1790" s="2"/>
      <c r="AG1790" s="2"/>
      <c r="AH1790" s="2">
        <v>4</v>
      </c>
      <c r="AI1790" s="2" t="s">
        <v>125</v>
      </c>
      <c r="AJ1790" s="2">
        <v>29</v>
      </c>
      <c r="AK1790" s="2" t="s">
        <v>227</v>
      </c>
      <c r="AL1790" s="2">
        <v>11</v>
      </c>
      <c r="AM1790" s="2" t="s">
        <v>137</v>
      </c>
      <c r="AN1790" s="2" t="s">
        <v>2701</v>
      </c>
      <c r="AO1790" s="2" t="s">
        <v>5454</v>
      </c>
      <c r="AP1790" s="2">
        <v>11</v>
      </c>
      <c r="AQ1790" s="2" t="s">
        <v>82</v>
      </c>
      <c r="AR1790" s="2" t="s">
        <v>82</v>
      </c>
      <c r="AS1790" s="2" t="s">
        <v>82</v>
      </c>
      <c r="AT1790" s="2" t="s">
        <v>6360</v>
      </c>
      <c r="AU1790" s="2"/>
      <c r="AV1790" s="2"/>
      <c r="AW1790" s="2"/>
      <c r="AX1790" s="2"/>
      <c r="AY1790" s="2">
        <v>41</v>
      </c>
      <c r="AZ1790" s="2" t="s">
        <v>82</v>
      </c>
      <c r="BA1790" s="2">
        <v>41</v>
      </c>
      <c r="BB1790" s="2" t="s">
        <v>82</v>
      </c>
      <c r="BC1790" s="2">
        <v>19</v>
      </c>
      <c r="BD1790" s="2" t="s">
        <v>1061</v>
      </c>
      <c r="BE1790" s="2">
        <v>19</v>
      </c>
      <c r="BF1790" s="2" t="s">
        <v>1061</v>
      </c>
      <c r="BG1790" s="2">
        <v>250</v>
      </c>
      <c r="BH1790" s="4">
        <v>0.51388888888888895</v>
      </c>
      <c r="BI1790" s="4">
        <v>0.54166666666666663</v>
      </c>
      <c r="BJ1790" s="2">
        <v>29</v>
      </c>
      <c r="BK1790" s="2" t="s">
        <v>962</v>
      </c>
      <c r="BL1790" s="2" t="s">
        <v>963</v>
      </c>
      <c r="BM1790" s="2">
        <v>13</v>
      </c>
      <c r="BN1790" s="2" t="s">
        <v>91</v>
      </c>
      <c r="BO1790" s="2" t="s">
        <v>828</v>
      </c>
      <c r="BP1790" s="2">
        <v>29</v>
      </c>
      <c r="BQ1790" s="2" t="s">
        <v>962</v>
      </c>
      <c r="BR1790" s="2" t="s">
        <v>963</v>
      </c>
      <c r="BS1790" s="3">
        <v>40298</v>
      </c>
      <c r="BT1790" s="4">
        <v>0.53690972222222222</v>
      </c>
    </row>
    <row r="1791" spans="1:72" x14ac:dyDescent="0.25">
      <c r="A1791" s="2">
        <v>2582</v>
      </c>
      <c r="B1791" s="2">
        <v>2010</v>
      </c>
      <c r="C1791" s="2" t="s">
        <v>147</v>
      </c>
      <c r="D1791" s="2" t="s">
        <v>73</v>
      </c>
      <c r="E1791" s="2"/>
      <c r="F1791" s="2">
        <v>1</v>
      </c>
      <c r="G1791" s="2" t="s">
        <v>82</v>
      </c>
      <c r="H1791" s="2">
        <v>1</v>
      </c>
      <c r="I1791" s="2" t="s">
        <v>82</v>
      </c>
      <c r="J1791" s="2">
        <v>1</v>
      </c>
      <c r="K1791" s="2" t="s">
        <v>107</v>
      </c>
      <c r="L1791" s="2" t="s">
        <v>107</v>
      </c>
      <c r="M1791" s="3">
        <v>40298</v>
      </c>
      <c r="N1791" s="2"/>
      <c r="O1791" s="2"/>
      <c r="P1791" s="2"/>
      <c r="Q1791" s="2" t="str">
        <f>""</f>
        <v/>
      </c>
      <c r="R1791" s="2"/>
      <c r="S1791" s="2"/>
      <c r="T1791" s="2">
        <v>2</v>
      </c>
      <c r="U1791" s="2" t="s">
        <v>123</v>
      </c>
      <c r="V1791" s="2">
        <v>1</v>
      </c>
      <c r="W1791" s="2" t="s">
        <v>80</v>
      </c>
      <c r="X1791" s="2">
        <v>12</v>
      </c>
      <c r="Y1791" s="2" t="s">
        <v>148</v>
      </c>
      <c r="Z1791" s="2">
        <v>1</v>
      </c>
      <c r="AA1791" s="2" t="s">
        <v>82</v>
      </c>
      <c r="AB1791" s="2">
        <v>9</v>
      </c>
      <c r="AC1791" s="2" t="s">
        <v>124</v>
      </c>
      <c r="AD1791" s="3">
        <v>40298</v>
      </c>
      <c r="AE1791" s="4">
        <v>0.55902777777777779</v>
      </c>
      <c r="AF1791" s="2"/>
      <c r="AG1791" s="2"/>
      <c r="AH1791" s="2">
        <v>3</v>
      </c>
      <c r="AI1791" s="2" t="s">
        <v>214</v>
      </c>
      <c r="AJ1791" s="2">
        <v>24</v>
      </c>
      <c r="AK1791" s="2" t="s">
        <v>215</v>
      </c>
      <c r="AL1791" s="2">
        <v>19</v>
      </c>
      <c r="AM1791" s="2" t="s">
        <v>107</v>
      </c>
      <c r="AN1791" s="2" t="s">
        <v>107</v>
      </c>
      <c r="AO1791" s="2" t="s">
        <v>107</v>
      </c>
      <c r="AP1791" s="2">
        <v>11</v>
      </c>
      <c r="AQ1791" s="2" t="s">
        <v>82</v>
      </c>
      <c r="AR1791" s="2" t="s">
        <v>82</v>
      </c>
      <c r="AS1791" s="2" t="s">
        <v>82</v>
      </c>
      <c r="AT1791" s="2" t="s">
        <v>6361</v>
      </c>
      <c r="AU1791" s="2"/>
      <c r="AV1791" s="2"/>
      <c r="AW1791" s="2"/>
      <c r="AX1791" s="2"/>
      <c r="AY1791" s="2">
        <v>41</v>
      </c>
      <c r="AZ1791" s="2" t="s">
        <v>82</v>
      </c>
      <c r="BA1791" s="2">
        <v>41</v>
      </c>
      <c r="BB1791" s="2" t="s">
        <v>82</v>
      </c>
      <c r="BC1791" s="2">
        <v>41</v>
      </c>
      <c r="BD1791" s="2" t="s">
        <v>82</v>
      </c>
      <c r="BE1791" s="2">
        <v>41</v>
      </c>
      <c r="BF1791" s="2" t="s">
        <v>82</v>
      </c>
      <c r="BG1791" s="2"/>
      <c r="BH1791" s="2"/>
      <c r="BI1791" s="2"/>
      <c r="BJ1791" s="2">
        <v>241</v>
      </c>
      <c r="BK1791" s="2" t="s">
        <v>82</v>
      </c>
      <c r="BL1791" s="2" t="s">
        <v>82</v>
      </c>
      <c r="BM1791" s="2">
        <v>241</v>
      </c>
      <c r="BN1791" s="2" t="s">
        <v>82</v>
      </c>
      <c r="BO1791" s="2" t="s">
        <v>82</v>
      </c>
      <c r="BP1791" s="2">
        <v>241</v>
      </c>
      <c r="BQ1791" s="2" t="s">
        <v>82</v>
      </c>
      <c r="BR1791" s="2" t="s">
        <v>82</v>
      </c>
      <c r="BS1791" s="3">
        <v>40298</v>
      </c>
      <c r="BT1791" s="4">
        <v>0.56843750000000004</v>
      </c>
    </row>
    <row r="1792" spans="1:72" x14ac:dyDescent="0.25">
      <c r="A1792" s="2">
        <v>2584</v>
      </c>
      <c r="B1792" s="2">
        <v>2010</v>
      </c>
      <c r="C1792" s="2" t="s">
        <v>72</v>
      </c>
      <c r="D1792" s="2" t="s">
        <v>122</v>
      </c>
      <c r="E1792" s="2" t="s">
        <v>6362</v>
      </c>
      <c r="F1792" s="2">
        <v>34</v>
      </c>
      <c r="G1792" s="2" t="s">
        <v>334</v>
      </c>
      <c r="H1792" s="2">
        <v>66</v>
      </c>
      <c r="I1792" s="2" t="s">
        <v>3190</v>
      </c>
      <c r="J1792" s="2">
        <v>43</v>
      </c>
      <c r="K1792" s="2" t="s">
        <v>2059</v>
      </c>
      <c r="L1792" s="2" t="s">
        <v>2060</v>
      </c>
      <c r="M1792" s="3">
        <v>40298</v>
      </c>
      <c r="N1792" s="2" t="s">
        <v>6124</v>
      </c>
      <c r="O1792" s="2" t="s">
        <v>6338</v>
      </c>
      <c r="P1792" s="2"/>
      <c r="Q1792" s="2" t="str">
        <f>"20/10"</f>
        <v>20/10</v>
      </c>
      <c r="R1792" s="2" t="s">
        <v>6338</v>
      </c>
      <c r="S1792" s="2" t="s">
        <v>6338</v>
      </c>
      <c r="T1792" s="2">
        <v>1</v>
      </c>
      <c r="U1792" s="2" t="s">
        <v>79</v>
      </c>
      <c r="V1792" s="2">
        <v>1</v>
      </c>
      <c r="W1792" s="2" t="s">
        <v>80</v>
      </c>
      <c r="X1792" s="2">
        <v>11</v>
      </c>
      <c r="Y1792" s="2" t="s">
        <v>1920</v>
      </c>
      <c r="Z1792" s="2">
        <v>21</v>
      </c>
      <c r="AA1792" s="2"/>
      <c r="AB1792" s="2">
        <v>6</v>
      </c>
      <c r="AC1792" s="2" t="s">
        <v>83</v>
      </c>
      <c r="AD1792" s="3">
        <v>40298</v>
      </c>
      <c r="AE1792" s="4">
        <v>0.27083333333333331</v>
      </c>
      <c r="AF1792" s="2"/>
      <c r="AG1792" s="2"/>
      <c r="AH1792" s="2">
        <v>3</v>
      </c>
      <c r="AI1792" s="2" t="s">
        <v>214</v>
      </c>
      <c r="AJ1792" s="2">
        <v>17</v>
      </c>
      <c r="AK1792" s="2" t="s">
        <v>309</v>
      </c>
      <c r="AL1792" s="2">
        <v>25</v>
      </c>
      <c r="AM1792" s="2" t="s">
        <v>3073</v>
      </c>
      <c r="AN1792" s="2" t="s">
        <v>6339</v>
      </c>
      <c r="AO1792" s="2" t="s">
        <v>6340</v>
      </c>
      <c r="AP1792" s="2">
        <v>11</v>
      </c>
      <c r="AQ1792" s="2" t="s">
        <v>82</v>
      </c>
      <c r="AR1792" s="2"/>
      <c r="AS1792" s="2"/>
      <c r="AT1792" s="2" t="s">
        <v>6363</v>
      </c>
      <c r="AU1792" s="2">
        <v>1</v>
      </c>
      <c r="AV1792" s="2"/>
      <c r="AW1792" s="2"/>
      <c r="AX1792" s="2"/>
      <c r="AY1792" s="2">
        <v>103</v>
      </c>
      <c r="AZ1792" s="2" t="s">
        <v>6320</v>
      </c>
      <c r="BA1792" s="2">
        <v>41</v>
      </c>
      <c r="BB1792" s="2" t="s">
        <v>82</v>
      </c>
      <c r="BC1792" s="2">
        <v>41</v>
      </c>
      <c r="BD1792" s="2" t="s">
        <v>82</v>
      </c>
      <c r="BE1792" s="2">
        <v>41</v>
      </c>
      <c r="BF1792" s="2" t="s">
        <v>82</v>
      </c>
      <c r="BG1792" s="2"/>
      <c r="BH1792" s="2"/>
      <c r="BI1792" s="2"/>
      <c r="BJ1792" s="2">
        <v>241</v>
      </c>
      <c r="BK1792" s="2" t="s">
        <v>82</v>
      </c>
      <c r="BL1792" s="2"/>
      <c r="BM1792" s="2">
        <v>241</v>
      </c>
      <c r="BN1792" s="2" t="s">
        <v>82</v>
      </c>
      <c r="BO1792" s="2"/>
      <c r="BP1792" s="2">
        <v>241</v>
      </c>
      <c r="BQ1792" s="2" t="s">
        <v>82</v>
      </c>
      <c r="BR1792" s="2"/>
      <c r="BS1792" s="3">
        <v>40298</v>
      </c>
      <c r="BT1792" s="4">
        <v>0.59700231481481481</v>
      </c>
    </row>
    <row r="1793" spans="1:72" x14ac:dyDescent="0.25">
      <c r="A1793" s="2">
        <v>2585</v>
      </c>
      <c r="B1793" s="2">
        <v>2010</v>
      </c>
      <c r="C1793" s="2" t="s">
        <v>2754</v>
      </c>
      <c r="D1793" s="2" t="s">
        <v>73</v>
      </c>
      <c r="E1793" s="2"/>
      <c r="F1793" s="2">
        <v>90</v>
      </c>
      <c r="G1793" s="2" t="s">
        <v>4741</v>
      </c>
      <c r="H1793" s="2">
        <v>99</v>
      </c>
      <c r="I1793" s="2" t="s">
        <v>6285</v>
      </c>
      <c r="J1793" s="2">
        <v>118</v>
      </c>
      <c r="K1793" s="2" t="s">
        <v>4742</v>
      </c>
      <c r="L1793" s="2" t="s">
        <v>4743</v>
      </c>
      <c r="M1793" s="3">
        <v>40298</v>
      </c>
      <c r="N1793" s="2" t="s">
        <v>5034</v>
      </c>
      <c r="O1793" s="2" t="s">
        <v>6364</v>
      </c>
      <c r="P1793" s="2" t="s">
        <v>6365</v>
      </c>
      <c r="Q1793" s="2" t="str">
        <f>""</f>
        <v/>
      </c>
      <c r="R1793" s="2"/>
      <c r="S1793" s="2"/>
      <c r="T1793" s="2">
        <v>1</v>
      </c>
      <c r="U1793" s="2" t="s">
        <v>79</v>
      </c>
      <c r="V1793" s="2">
        <v>3</v>
      </c>
      <c r="W1793" s="2" t="s">
        <v>225</v>
      </c>
      <c r="X1793" s="2">
        <v>9</v>
      </c>
      <c r="Y1793" s="2" t="s">
        <v>3393</v>
      </c>
      <c r="Z1793" s="2">
        <v>1</v>
      </c>
      <c r="AA1793" s="2" t="s">
        <v>82</v>
      </c>
      <c r="AB1793" s="2">
        <v>9</v>
      </c>
      <c r="AC1793" s="2" t="s">
        <v>124</v>
      </c>
      <c r="AD1793" s="3">
        <v>40301</v>
      </c>
      <c r="AE1793" s="4">
        <v>0.375</v>
      </c>
      <c r="AF1793" s="2"/>
      <c r="AG1793" s="2"/>
      <c r="AH1793" s="2">
        <v>6</v>
      </c>
      <c r="AI1793" s="2" t="s">
        <v>197</v>
      </c>
      <c r="AJ1793" s="2">
        <v>47</v>
      </c>
      <c r="AK1793" s="2" t="s">
        <v>250</v>
      </c>
      <c r="AL1793" s="2">
        <v>23</v>
      </c>
      <c r="AM1793" s="2" t="s">
        <v>251</v>
      </c>
      <c r="AN1793" s="2"/>
      <c r="AO1793" s="2" t="s">
        <v>6366</v>
      </c>
      <c r="AP1793" s="2">
        <v>11</v>
      </c>
      <c r="AQ1793" s="2" t="s">
        <v>82</v>
      </c>
      <c r="AR1793" s="2"/>
      <c r="AS1793" s="2"/>
      <c r="AT1793" s="2" t="s">
        <v>6367</v>
      </c>
      <c r="AU1793" s="2"/>
      <c r="AV1793" s="2"/>
      <c r="AW1793" s="2"/>
      <c r="AX1793" s="2"/>
      <c r="AY1793" s="2">
        <v>41</v>
      </c>
      <c r="AZ1793" s="2" t="s">
        <v>82</v>
      </c>
      <c r="BA1793" s="2">
        <v>41</v>
      </c>
      <c r="BB1793" s="2" t="s">
        <v>82</v>
      </c>
      <c r="BC1793" s="2">
        <v>41</v>
      </c>
      <c r="BD1793" s="2" t="s">
        <v>82</v>
      </c>
      <c r="BE1793" s="2">
        <v>41</v>
      </c>
      <c r="BF1793" s="2" t="s">
        <v>82</v>
      </c>
      <c r="BG1793" s="2"/>
      <c r="BH1793" s="2"/>
      <c r="BI1793" s="2"/>
      <c r="BJ1793" s="2">
        <v>241</v>
      </c>
      <c r="BK1793" s="2" t="s">
        <v>82</v>
      </c>
      <c r="BL1793" s="2"/>
      <c r="BM1793" s="2">
        <v>241</v>
      </c>
      <c r="BN1793" s="2" t="s">
        <v>82</v>
      </c>
      <c r="BO1793" s="2"/>
      <c r="BP1793" s="2">
        <v>241</v>
      </c>
      <c r="BQ1793" s="2" t="s">
        <v>82</v>
      </c>
      <c r="BR1793" s="2"/>
      <c r="BS1793" s="3">
        <v>40298</v>
      </c>
      <c r="BT1793" s="4">
        <v>0.61057870370370371</v>
      </c>
    </row>
    <row r="1794" spans="1:72" x14ac:dyDescent="0.25">
      <c r="A1794" s="2">
        <v>2586</v>
      </c>
      <c r="B1794" s="2">
        <v>2010</v>
      </c>
      <c r="C1794" s="2" t="s">
        <v>457</v>
      </c>
      <c r="D1794" s="2" t="s">
        <v>73</v>
      </c>
      <c r="E1794" s="2"/>
      <c r="F1794" s="2">
        <v>606</v>
      </c>
      <c r="G1794" s="2" t="s">
        <v>6368</v>
      </c>
      <c r="H1794" s="2">
        <v>22</v>
      </c>
      <c r="I1794" s="2" t="s">
        <v>75</v>
      </c>
      <c r="J1794" s="2">
        <v>1</v>
      </c>
      <c r="K1794" s="2" t="s">
        <v>107</v>
      </c>
      <c r="L1794" s="2" t="s">
        <v>107</v>
      </c>
      <c r="M1794" s="3">
        <v>40298</v>
      </c>
      <c r="N1794" s="2"/>
      <c r="O1794" s="2" t="s">
        <v>6369</v>
      </c>
      <c r="P1794" s="2" t="s">
        <v>6370</v>
      </c>
      <c r="Q1794" s="2" t="str">
        <f>""</f>
        <v/>
      </c>
      <c r="R1794" s="2"/>
      <c r="S1794" s="2"/>
      <c r="T1794" s="2">
        <v>1</v>
      </c>
      <c r="U1794" s="2" t="s">
        <v>79</v>
      </c>
      <c r="V1794" s="2">
        <v>1</v>
      </c>
      <c r="W1794" s="2" t="s">
        <v>80</v>
      </c>
      <c r="X1794" s="2">
        <v>11</v>
      </c>
      <c r="Y1794" s="2" t="s">
        <v>1920</v>
      </c>
      <c r="Z1794" s="2">
        <v>7</v>
      </c>
      <c r="AA1794" s="2" t="s">
        <v>1462</v>
      </c>
      <c r="AB1794" s="2">
        <v>9</v>
      </c>
      <c r="AC1794" s="2" t="s">
        <v>124</v>
      </c>
      <c r="AD1794" s="3">
        <v>40298</v>
      </c>
      <c r="AE1794" s="4">
        <v>0.5625</v>
      </c>
      <c r="AF1794" s="2"/>
      <c r="AG1794" s="2"/>
      <c r="AH1794" s="2">
        <v>2</v>
      </c>
      <c r="AI1794" s="2" t="s">
        <v>84</v>
      </c>
      <c r="AJ1794" s="2">
        <v>12</v>
      </c>
      <c r="AK1794" s="2" t="s">
        <v>85</v>
      </c>
      <c r="AL1794" s="2">
        <v>10</v>
      </c>
      <c r="AM1794" s="2" t="s">
        <v>200</v>
      </c>
      <c r="AN1794" s="2"/>
      <c r="AO1794" s="2" t="s">
        <v>5568</v>
      </c>
      <c r="AP1794" s="2">
        <v>11</v>
      </c>
      <c r="AQ1794" s="2" t="s">
        <v>82</v>
      </c>
      <c r="AR1794" s="2"/>
      <c r="AS1794" s="2"/>
      <c r="AT1794" s="2" t="s">
        <v>6371</v>
      </c>
      <c r="AU1794" s="2">
        <v>1</v>
      </c>
      <c r="AV1794" s="2"/>
      <c r="AW1794" s="2"/>
      <c r="AX1794" s="2"/>
      <c r="AY1794" s="2">
        <v>41</v>
      </c>
      <c r="AZ1794" s="2" t="s">
        <v>82</v>
      </c>
      <c r="BA1794" s="2">
        <v>41</v>
      </c>
      <c r="BB1794" s="2" t="s">
        <v>82</v>
      </c>
      <c r="BC1794" s="2">
        <v>41</v>
      </c>
      <c r="BD1794" s="2" t="s">
        <v>82</v>
      </c>
      <c r="BE1794" s="2">
        <v>13</v>
      </c>
      <c r="BF1794" s="2" t="s">
        <v>108</v>
      </c>
      <c r="BG1794" s="2" t="s">
        <v>6372</v>
      </c>
      <c r="BH1794" s="4">
        <v>0.57986111111111105</v>
      </c>
      <c r="BI1794" s="4">
        <v>0.5625</v>
      </c>
      <c r="BJ1794" s="2">
        <v>13</v>
      </c>
      <c r="BK1794" s="2" t="s">
        <v>91</v>
      </c>
      <c r="BL1794" s="2" t="s">
        <v>185</v>
      </c>
      <c r="BM1794" s="2">
        <v>241</v>
      </c>
      <c r="BN1794" s="2" t="s">
        <v>82</v>
      </c>
      <c r="BO1794" s="2"/>
      <c r="BP1794" s="2">
        <v>229</v>
      </c>
      <c r="BQ1794" s="2" t="s">
        <v>300</v>
      </c>
      <c r="BR1794" s="2" t="s">
        <v>573</v>
      </c>
      <c r="BS1794" s="3">
        <v>40298</v>
      </c>
      <c r="BT1794" s="4">
        <v>0.62995370370370374</v>
      </c>
    </row>
    <row r="1795" spans="1:72" x14ac:dyDescent="0.25">
      <c r="A1795" s="2">
        <v>2590</v>
      </c>
      <c r="B1795" s="2">
        <v>2010</v>
      </c>
      <c r="C1795" s="2" t="s">
        <v>4543</v>
      </c>
      <c r="D1795" s="2" t="s">
        <v>122</v>
      </c>
      <c r="E1795" s="2" t="s">
        <v>6373</v>
      </c>
      <c r="F1795" s="2">
        <v>1</v>
      </c>
      <c r="G1795" s="2" t="s">
        <v>82</v>
      </c>
      <c r="H1795" s="2">
        <v>1</v>
      </c>
      <c r="I1795" s="2" t="s">
        <v>82</v>
      </c>
      <c r="J1795" s="2">
        <v>1</v>
      </c>
      <c r="K1795" s="2" t="s">
        <v>107</v>
      </c>
      <c r="L1795" s="2" t="s">
        <v>107</v>
      </c>
      <c r="M1795" s="3">
        <v>40298</v>
      </c>
      <c r="N1795" s="2"/>
      <c r="O1795" s="2"/>
      <c r="P1795" s="2"/>
      <c r="Q1795" s="2" t="str">
        <f>""</f>
        <v/>
      </c>
      <c r="R1795" s="2"/>
      <c r="S1795" s="2"/>
      <c r="T1795" s="2">
        <v>2</v>
      </c>
      <c r="U1795" s="2" t="s">
        <v>123</v>
      </c>
      <c r="V1795" s="2">
        <v>1</v>
      </c>
      <c r="W1795" s="2" t="s">
        <v>80</v>
      </c>
      <c r="X1795" s="2">
        <v>1</v>
      </c>
      <c r="Y1795" s="2" t="s">
        <v>81</v>
      </c>
      <c r="Z1795" s="2">
        <v>1</v>
      </c>
      <c r="AA1795" s="2" t="s">
        <v>82</v>
      </c>
      <c r="AB1795" s="2">
        <v>9</v>
      </c>
      <c r="AC1795" s="2" t="s">
        <v>124</v>
      </c>
      <c r="AD1795" s="3">
        <v>40298</v>
      </c>
      <c r="AE1795" s="4">
        <v>0.65972222222222221</v>
      </c>
      <c r="AF1795" s="2"/>
      <c r="AG1795" s="2"/>
      <c r="AH1795" s="2">
        <v>3</v>
      </c>
      <c r="AI1795" s="2" t="s">
        <v>214</v>
      </c>
      <c r="AJ1795" s="2">
        <v>18</v>
      </c>
      <c r="AK1795" s="2" t="s">
        <v>4469</v>
      </c>
      <c r="AL1795" s="2">
        <v>18</v>
      </c>
      <c r="AM1795" s="2" t="s">
        <v>82</v>
      </c>
      <c r="AN1795" s="2"/>
      <c r="AO1795" s="2"/>
      <c r="AP1795" s="2">
        <v>11</v>
      </c>
      <c r="AQ1795" s="2" t="s">
        <v>82</v>
      </c>
      <c r="AR1795" s="2"/>
      <c r="AS1795" s="2"/>
      <c r="AT1795" s="2" t="s">
        <v>6374</v>
      </c>
      <c r="AU1795" s="2"/>
      <c r="AV1795" s="2"/>
      <c r="AW1795" s="2"/>
      <c r="AX1795" s="2"/>
      <c r="AY1795" s="2">
        <v>1</v>
      </c>
      <c r="AZ1795" s="2" t="s">
        <v>107</v>
      </c>
      <c r="BA1795" s="2">
        <v>1</v>
      </c>
      <c r="BB1795" s="2" t="s">
        <v>107</v>
      </c>
      <c r="BC1795" s="2">
        <v>1</v>
      </c>
      <c r="BD1795" s="2" t="s">
        <v>107</v>
      </c>
      <c r="BE1795" s="2">
        <v>1</v>
      </c>
      <c r="BF1795" s="2" t="s">
        <v>107</v>
      </c>
      <c r="BG1795" s="2">
        <v>1483</v>
      </c>
      <c r="BH1795" s="4">
        <v>0.70833333333333337</v>
      </c>
      <c r="BI1795" s="4">
        <v>0.65972222222222221</v>
      </c>
      <c r="BJ1795" s="2">
        <v>242</v>
      </c>
      <c r="BK1795" s="2" t="s">
        <v>107</v>
      </c>
      <c r="BL1795" s="2" t="s">
        <v>6375</v>
      </c>
      <c r="BM1795" s="2">
        <v>242</v>
      </c>
      <c r="BN1795" s="2" t="s">
        <v>107</v>
      </c>
      <c r="BO1795" s="2"/>
      <c r="BP1795" s="2">
        <v>242</v>
      </c>
      <c r="BQ1795" s="2" t="s">
        <v>107</v>
      </c>
      <c r="BR1795" s="2" t="s">
        <v>524</v>
      </c>
      <c r="BS1795" s="3">
        <v>40298</v>
      </c>
      <c r="BT1795" s="4">
        <v>0.66314814814814815</v>
      </c>
    </row>
    <row r="1796" spans="1:72" x14ac:dyDescent="0.25">
      <c r="A1796" s="2">
        <v>2591</v>
      </c>
      <c r="B1796" s="2">
        <v>2010</v>
      </c>
      <c r="C1796" s="2" t="s">
        <v>377</v>
      </c>
      <c r="D1796" s="2" t="s">
        <v>73</v>
      </c>
      <c r="E1796" s="2"/>
      <c r="F1796" s="2">
        <v>426</v>
      </c>
      <c r="G1796" s="2" t="s">
        <v>378</v>
      </c>
      <c r="H1796" s="2">
        <v>22</v>
      </c>
      <c r="I1796" s="2" t="s">
        <v>75</v>
      </c>
      <c r="J1796" s="2">
        <v>311</v>
      </c>
      <c r="K1796" s="2" t="s">
        <v>379</v>
      </c>
      <c r="L1796" s="2" t="s">
        <v>380</v>
      </c>
      <c r="M1796" s="3">
        <v>40298</v>
      </c>
      <c r="N1796" s="2" t="s">
        <v>4427</v>
      </c>
      <c r="O1796" s="2" t="s">
        <v>4428</v>
      </c>
      <c r="P1796" s="2"/>
      <c r="Q1796" s="2" t="str">
        <f>"062-C/10"</f>
        <v>062-C/10</v>
      </c>
      <c r="R1796" s="2"/>
      <c r="S1796" s="2" t="s">
        <v>4428</v>
      </c>
      <c r="T1796" s="2">
        <v>1</v>
      </c>
      <c r="U1796" s="2" t="s">
        <v>79</v>
      </c>
      <c r="V1796" s="2">
        <v>1</v>
      </c>
      <c r="W1796" s="2" t="s">
        <v>80</v>
      </c>
      <c r="X1796" s="2">
        <v>1</v>
      </c>
      <c r="Y1796" s="2" t="s">
        <v>81</v>
      </c>
      <c r="Z1796" s="2">
        <v>1</v>
      </c>
      <c r="AA1796" s="2" t="s">
        <v>82</v>
      </c>
      <c r="AB1796" s="2">
        <v>9</v>
      </c>
      <c r="AC1796" s="2" t="s">
        <v>124</v>
      </c>
      <c r="AD1796" s="3">
        <v>40298</v>
      </c>
      <c r="AE1796" s="4">
        <v>0.60416666666666663</v>
      </c>
      <c r="AF1796" s="2"/>
      <c r="AG1796" s="2"/>
      <c r="AH1796" s="2">
        <v>2</v>
      </c>
      <c r="AI1796" s="2" t="s">
        <v>84</v>
      </c>
      <c r="AJ1796" s="2">
        <v>9</v>
      </c>
      <c r="AK1796" s="2" t="s">
        <v>103</v>
      </c>
      <c r="AL1796" s="2">
        <v>29</v>
      </c>
      <c r="AM1796" s="2" t="s">
        <v>5416</v>
      </c>
      <c r="AN1796" s="2"/>
      <c r="AO1796" s="2" t="s">
        <v>6376</v>
      </c>
      <c r="AP1796" s="2">
        <v>11</v>
      </c>
      <c r="AQ1796" s="2" t="s">
        <v>82</v>
      </c>
      <c r="AR1796" s="2"/>
      <c r="AS1796" s="2"/>
      <c r="AT1796" s="2" t="s">
        <v>6377</v>
      </c>
      <c r="AU1796" s="2"/>
      <c r="AV1796" s="2"/>
      <c r="AW1796" s="2"/>
      <c r="AX1796" s="2"/>
      <c r="AY1796" s="2">
        <v>41</v>
      </c>
      <c r="AZ1796" s="2" t="s">
        <v>82</v>
      </c>
      <c r="BA1796" s="2">
        <v>41</v>
      </c>
      <c r="BB1796" s="2" t="s">
        <v>82</v>
      </c>
      <c r="BC1796" s="2">
        <v>41</v>
      </c>
      <c r="BD1796" s="2" t="s">
        <v>82</v>
      </c>
      <c r="BE1796" s="2">
        <v>41</v>
      </c>
      <c r="BF1796" s="2" t="s">
        <v>82</v>
      </c>
      <c r="BG1796" s="2"/>
      <c r="BH1796" s="2"/>
      <c r="BI1796" s="2"/>
      <c r="BJ1796" s="2">
        <v>241</v>
      </c>
      <c r="BK1796" s="2" t="s">
        <v>82</v>
      </c>
      <c r="BL1796" s="2"/>
      <c r="BM1796" s="2">
        <v>241</v>
      </c>
      <c r="BN1796" s="2" t="s">
        <v>82</v>
      </c>
      <c r="BO1796" s="2"/>
      <c r="BP1796" s="2">
        <v>241</v>
      </c>
      <c r="BQ1796" s="2" t="s">
        <v>82</v>
      </c>
      <c r="BR1796" s="2"/>
      <c r="BS1796" s="3">
        <v>40298</v>
      </c>
      <c r="BT1796" s="4">
        <v>0.70019675925925917</v>
      </c>
    </row>
    <row r="1797" spans="1:72" x14ac:dyDescent="0.25">
      <c r="A1797" s="2">
        <v>2592</v>
      </c>
      <c r="B1797" s="2">
        <v>2010</v>
      </c>
      <c r="C1797" s="2" t="s">
        <v>414</v>
      </c>
      <c r="D1797" s="2" t="s">
        <v>122</v>
      </c>
      <c r="E1797" s="2"/>
      <c r="F1797" s="2">
        <v>533</v>
      </c>
      <c r="G1797" s="2" t="s">
        <v>3397</v>
      </c>
      <c r="H1797" s="2">
        <v>2</v>
      </c>
      <c r="I1797" s="2" t="s">
        <v>267</v>
      </c>
      <c r="J1797" s="2">
        <v>462</v>
      </c>
      <c r="K1797" s="2" t="s">
        <v>3398</v>
      </c>
      <c r="L1797" s="2" t="s">
        <v>3399</v>
      </c>
      <c r="M1797" s="3">
        <v>40298</v>
      </c>
      <c r="N1797" s="2" t="s">
        <v>3400</v>
      </c>
      <c r="O1797" s="2" t="s">
        <v>1454</v>
      </c>
      <c r="P1797" s="2" t="s">
        <v>107</v>
      </c>
      <c r="Q1797" s="2" t="str">
        <f>"0026/10"</f>
        <v>0026/10</v>
      </c>
      <c r="R1797" s="2"/>
      <c r="S1797" s="2"/>
      <c r="T1797" s="2">
        <v>1</v>
      </c>
      <c r="U1797" s="2" t="s">
        <v>79</v>
      </c>
      <c r="V1797" s="2">
        <v>1</v>
      </c>
      <c r="W1797" s="2" t="s">
        <v>80</v>
      </c>
      <c r="X1797" s="2">
        <v>5</v>
      </c>
      <c r="Y1797" s="2" t="s">
        <v>82</v>
      </c>
      <c r="Z1797" s="2">
        <v>1</v>
      </c>
      <c r="AA1797" s="2" t="s">
        <v>82</v>
      </c>
      <c r="AB1797" s="2">
        <v>9</v>
      </c>
      <c r="AC1797" s="2" t="s">
        <v>124</v>
      </c>
      <c r="AD1797" s="3">
        <v>40245</v>
      </c>
      <c r="AE1797" s="2"/>
      <c r="AF1797" s="3">
        <v>40246</v>
      </c>
      <c r="AG1797" s="4">
        <v>0.47916666666666669</v>
      </c>
      <c r="AH1797" s="2">
        <v>5</v>
      </c>
      <c r="AI1797" s="2" t="s">
        <v>274</v>
      </c>
      <c r="AJ1797" s="2">
        <v>38</v>
      </c>
      <c r="AK1797" s="2" t="s">
        <v>1120</v>
      </c>
      <c r="AL1797" s="2">
        <v>9</v>
      </c>
      <c r="AM1797" s="2" t="s">
        <v>259</v>
      </c>
      <c r="AN1797" s="2" t="s">
        <v>6378</v>
      </c>
      <c r="AO1797" s="2" t="s">
        <v>6379</v>
      </c>
      <c r="AP1797" s="2">
        <v>11</v>
      </c>
      <c r="AQ1797" s="2" t="s">
        <v>82</v>
      </c>
      <c r="AR1797" s="2"/>
      <c r="AS1797" s="2"/>
      <c r="AT1797" s="2" t="s">
        <v>6380</v>
      </c>
      <c r="AU1797" s="2"/>
      <c r="AV1797" s="2"/>
      <c r="AW1797" s="2"/>
      <c r="AX1797" s="2"/>
      <c r="AY1797" s="2">
        <v>95</v>
      </c>
      <c r="AZ1797" s="2" t="s">
        <v>6381</v>
      </c>
      <c r="BA1797" s="2">
        <v>95</v>
      </c>
      <c r="BB1797" s="2" t="s">
        <v>6381</v>
      </c>
      <c r="BC1797" s="2">
        <v>95</v>
      </c>
      <c r="BD1797" s="2" t="s">
        <v>6381</v>
      </c>
      <c r="BE1797" s="2">
        <v>41</v>
      </c>
      <c r="BF1797" s="2" t="s">
        <v>82</v>
      </c>
      <c r="BG1797" s="2"/>
      <c r="BH1797" s="2"/>
      <c r="BI1797" s="2"/>
      <c r="BJ1797" s="2">
        <v>241</v>
      </c>
      <c r="BK1797" s="2" t="s">
        <v>82</v>
      </c>
      <c r="BL1797" s="2"/>
      <c r="BM1797" s="2">
        <v>241</v>
      </c>
      <c r="BN1797" s="2" t="s">
        <v>82</v>
      </c>
      <c r="BO1797" s="2"/>
      <c r="BP1797" s="2">
        <v>241</v>
      </c>
      <c r="BQ1797" s="2" t="s">
        <v>82</v>
      </c>
      <c r="BR1797" s="2"/>
      <c r="BS1797" s="3">
        <v>40298</v>
      </c>
      <c r="BT1797" s="4">
        <v>0.71888888888888891</v>
      </c>
    </row>
    <row r="1798" spans="1:72" x14ac:dyDescent="0.25">
      <c r="A1798" s="2">
        <v>2594</v>
      </c>
      <c r="B1798" s="2">
        <v>2010</v>
      </c>
      <c r="C1798" s="2" t="s">
        <v>171</v>
      </c>
      <c r="D1798" s="2" t="s">
        <v>73</v>
      </c>
      <c r="E1798" s="2"/>
      <c r="F1798" s="2">
        <v>393</v>
      </c>
      <c r="G1798" s="2" t="s">
        <v>3660</v>
      </c>
      <c r="H1798" s="2">
        <v>3</v>
      </c>
      <c r="I1798" s="2" t="s">
        <v>315</v>
      </c>
      <c r="J1798" s="2">
        <v>2</v>
      </c>
      <c r="K1798" s="2" t="s">
        <v>3661</v>
      </c>
      <c r="L1798" s="2" t="s">
        <v>3662</v>
      </c>
      <c r="M1798" s="3">
        <v>40298</v>
      </c>
      <c r="N1798" s="2" t="s">
        <v>3663</v>
      </c>
      <c r="O1798" s="2" t="s">
        <v>107</v>
      </c>
      <c r="P1798" s="2" t="s">
        <v>107</v>
      </c>
      <c r="Q1798" s="2" t="str">
        <f>"233-E/10"</f>
        <v>233-E/10</v>
      </c>
      <c r="R1798" s="2" t="s">
        <v>107</v>
      </c>
      <c r="S1798" s="2" t="s">
        <v>391</v>
      </c>
      <c r="T1798" s="2">
        <v>1</v>
      </c>
      <c r="U1798" s="2" t="s">
        <v>79</v>
      </c>
      <c r="V1798" s="2">
        <v>1</v>
      </c>
      <c r="W1798" s="2" t="s">
        <v>80</v>
      </c>
      <c r="X1798" s="2">
        <v>1</v>
      </c>
      <c r="Y1798" s="2" t="s">
        <v>81</v>
      </c>
      <c r="Z1798" s="2">
        <v>1</v>
      </c>
      <c r="AA1798" s="2" t="s">
        <v>82</v>
      </c>
      <c r="AB1798" s="2">
        <v>1</v>
      </c>
      <c r="AC1798" s="2" t="s">
        <v>178</v>
      </c>
      <c r="AD1798" s="3">
        <v>40298</v>
      </c>
      <c r="AE1798" s="4">
        <v>0.50694444444444442</v>
      </c>
      <c r="AF1798" s="2"/>
      <c r="AG1798" s="2"/>
      <c r="AH1798" s="2">
        <v>2</v>
      </c>
      <c r="AI1798" s="2" t="s">
        <v>84</v>
      </c>
      <c r="AJ1798" s="2">
        <v>9</v>
      </c>
      <c r="AK1798" s="2" t="s">
        <v>103</v>
      </c>
      <c r="AL1798" s="2">
        <v>22</v>
      </c>
      <c r="AM1798" s="2" t="s">
        <v>1853</v>
      </c>
      <c r="AN1798" s="2" t="s">
        <v>987</v>
      </c>
      <c r="AO1798" s="2" t="s">
        <v>179</v>
      </c>
      <c r="AP1798" s="2">
        <v>11</v>
      </c>
      <c r="AQ1798" s="2" t="s">
        <v>82</v>
      </c>
      <c r="AR1798" s="2"/>
      <c r="AS1798" s="2"/>
      <c r="AT1798" s="2" t="s">
        <v>6382</v>
      </c>
      <c r="AU1798" s="2"/>
      <c r="AV1798" s="2">
        <v>1</v>
      </c>
      <c r="AW1798" s="2"/>
      <c r="AX1798" s="2"/>
      <c r="AY1798" s="2">
        <v>41</v>
      </c>
      <c r="AZ1798" s="2" t="s">
        <v>82</v>
      </c>
      <c r="BA1798" s="2">
        <v>41</v>
      </c>
      <c r="BB1798" s="2" t="s">
        <v>82</v>
      </c>
      <c r="BC1798" s="2">
        <v>41</v>
      </c>
      <c r="BD1798" s="2" t="s">
        <v>82</v>
      </c>
      <c r="BE1798" s="2">
        <v>23</v>
      </c>
      <c r="BF1798" s="2" t="s">
        <v>183</v>
      </c>
      <c r="BG1798" s="2" t="s">
        <v>184</v>
      </c>
      <c r="BH1798" s="2"/>
      <c r="BI1798" s="4">
        <v>0.54166666666666663</v>
      </c>
      <c r="BJ1798" s="2">
        <v>13</v>
      </c>
      <c r="BK1798" s="2" t="s">
        <v>91</v>
      </c>
      <c r="BL1798" s="2" t="s">
        <v>4251</v>
      </c>
      <c r="BM1798" s="2">
        <v>241</v>
      </c>
      <c r="BN1798" s="2" t="s">
        <v>82</v>
      </c>
      <c r="BO1798" s="2"/>
      <c r="BP1798" s="2">
        <v>73</v>
      </c>
      <c r="BQ1798" s="2" t="s">
        <v>186</v>
      </c>
      <c r="BR1798" s="2" t="s">
        <v>187</v>
      </c>
      <c r="BS1798" s="3">
        <v>40298</v>
      </c>
      <c r="BT1798" s="4">
        <v>0.75254629629629621</v>
      </c>
    </row>
    <row r="1799" spans="1:72" x14ac:dyDescent="0.25">
      <c r="A1799" s="2">
        <v>2596</v>
      </c>
      <c r="B1799" s="2">
        <v>2010</v>
      </c>
      <c r="C1799" s="2" t="s">
        <v>93</v>
      </c>
      <c r="D1799" s="2" t="s">
        <v>73</v>
      </c>
      <c r="E1799" s="2"/>
      <c r="F1799" s="2">
        <v>533</v>
      </c>
      <c r="G1799" s="2" t="s">
        <v>3397</v>
      </c>
      <c r="H1799" s="2">
        <v>2</v>
      </c>
      <c r="I1799" s="2" t="s">
        <v>267</v>
      </c>
      <c r="J1799" s="2">
        <v>462</v>
      </c>
      <c r="K1799" s="2" t="s">
        <v>3398</v>
      </c>
      <c r="L1799" s="2" t="s">
        <v>3399</v>
      </c>
      <c r="M1799" s="3">
        <v>40298</v>
      </c>
      <c r="N1799" s="2" t="s">
        <v>6383</v>
      </c>
      <c r="O1799" s="2" t="s">
        <v>6384</v>
      </c>
      <c r="P1799" s="2" t="s">
        <v>6385</v>
      </c>
      <c r="Q1799" s="2" t="str">
        <f>"054/10"</f>
        <v>054/10</v>
      </c>
      <c r="R1799" s="2"/>
      <c r="S1799" s="2" t="s">
        <v>3812</v>
      </c>
      <c r="T1799" s="2">
        <v>1</v>
      </c>
      <c r="U1799" s="2" t="s">
        <v>79</v>
      </c>
      <c r="V1799" s="2">
        <v>1</v>
      </c>
      <c r="W1799" s="2" t="s">
        <v>80</v>
      </c>
      <c r="X1799" s="2">
        <v>3</v>
      </c>
      <c r="Y1799" s="2" t="s">
        <v>698</v>
      </c>
      <c r="Z1799" s="2">
        <v>9</v>
      </c>
      <c r="AA1799" s="2" t="s">
        <v>1119</v>
      </c>
      <c r="AB1799" s="2">
        <v>2</v>
      </c>
      <c r="AC1799" s="2" t="s">
        <v>102</v>
      </c>
      <c r="AD1799" s="3">
        <v>40298</v>
      </c>
      <c r="AE1799" s="4">
        <v>0.47569444444444442</v>
      </c>
      <c r="AF1799" s="2"/>
      <c r="AG1799" s="2"/>
      <c r="AH1799" s="2">
        <v>5</v>
      </c>
      <c r="AI1799" s="2" t="s">
        <v>274</v>
      </c>
      <c r="AJ1799" s="2">
        <v>38</v>
      </c>
      <c r="AK1799" s="2" t="s">
        <v>1120</v>
      </c>
      <c r="AL1799" s="2">
        <v>14</v>
      </c>
      <c r="AM1799" s="2" t="s">
        <v>216</v>
      </c>
      <c r="AN1799" s="2"/>
      <c r="AO1799" s="2" t="s">
        <v>6386</v>
      </c>
      <c r="AP1799" s="2">
        <v>11</v>
      </c>
      <c r="AQ1799" s="2" t="s">
        <v>82</v>
      </c>
      <c r="AR1799" s="2"/>
      <c r="AS1799" s="2"/>
      <c r="AT1799" s="2" t="s">
        <v>6387</v>
      </c>
      <c r="AU1799" s="2"/>
      <c r="AV1799" s="2"/>
      <c r="AW1799" s="2"/>
      <c r="AX1799" s="2"/>
      <c r="AY1799" s="2">
        <v>41</v>
      </c>
      <c r="AZ1799" s="2" t="s">
        <v>82</v>
      </c>
      <c r="BA1799" s="2">
        <v>41</v>
      </c>
      <c r="BB1799" s="2" t="s">
        <v>82</v>
      </c>
      <c r="BC1799" s="2">
        <v>41</v>
      </c>
      <c r="BD1799" s="2" t="s">
        <v>82</v>
      </c>
      <c r="BE1799" s="2">
        <v>4</v>
      </c>
      <c r="BF1799" s="2" t="s">
        <v>90</v>
      </c>
      <c r="BG1799" s="2">
        <v>4023</v>
      </c>
      <c r="BH1799" s="4">
        <v>0.4513888888888889</v>
      </c>
      <c r="BI1799" s="4">
        <v>0.47916666666666669</v>
      </c>
      <c r="BJ1799" s="2">
        <v>13</v>
      </c>
      <c r="BK1799" s="2" t="s">
        <v>91</v>
      </c>
      <c r="BL1799" s="2" t="s">
        <v>3140</v>
      </c>
      <c r="BM1799" s="2">
        <v>241</v>
      </c>
      <c r="BN1799" s="2" t="s">
        <v>82</v>
      </c>
      <c r="BO1799" s="2" t="s">
        <v>82</v>
      </c>
      <c r="BP1799" s="2">
        <v>13</v>
      </c>
      <c r="BQ1799" s="2" t="s">
        <v>91</v>
      </c>
      <c r="BR1799" s="2" t="s">
        <v>170</v>
      </c>
      <c r="BS1799" s="3">
        <v>40298</v>
      </c>
      <c r="BT1799" s="4">
        <v>0.78967592592592595</v>
      </c>
    </row>
    <row r="1800" spans="1:72" x14ac:dyDescent="0.25">
      <c r="A1800" s="2">
        <v>2598</v>
      </c>
      <c r="B1800" s="2">
        <v>2010</v>
      </c>
      <c r="C1800" s="2" t="s">
        <v>377</v>
      </c>
      <c r="D1800" s="2" t="s">
        <v>73</v>
      </c>
      <c r="E1800" s="2"/>
      <c r="F1800" s="2">
        <v>426</v>
      </c>
      <c r="G1800" s="2" t="s">
        <v>378</v>
      </c>
      <c r="H1800" s="2">
        <v>22</v>
      </c>
      <c r="I1800" s="2" t="s">
        <v>75</v>
      </c>
      <c r="J1800" s="2">
        <v>311</v>
      </c>
      <c r="K1800" s="2" t="s">
        <v>379</v>
      </c>
      <c r="L1800" s="2" t="s">
        <v>380</v>
      </c>
      <c r="M1800" s="3">
        <v>40298</v>
      </c>
      <c r="N1800" s="2" t="s">
        <v>6388</v>
      </c>
      <c r="O1800" s="2" t="s">
        <v>4428</v>
      </c>
      <c r="P1800" s="2"/>
      <c r="Q1800" s="2" t="str">
        <f>"063-C/10"</f>
        <v>063-C/10</v>
      </c>
      <c r="R1800" s="2"/>
      <c r="S1800" s="2" t="s">
        <v>6389</v>
      </c>
      <c r="T1800" s="2">
        <v>1</v>
      </c>
      <c r="U1800" s="2" t="s">
        <v>79</v>
      </c>
      <c r="V1800" s="2">
        <v>1</v>
      </c>
      <c r="W1800" s="2" t="s">
        <v>80</v>
      </c>
      <c r="X1800" s="2">
        <v>1</v>
      </c>
      <c r="Y1800" s="2" t="s">
        <v>81</v>
      </c>
      <c r="Z1800" s="2">
        <v>1</v>
      </c>
      <c r="AA1800" s="2" t="s">
        <v>82</v>
      </c>
      <c r="AB1800" s="2">
        <v>9</v>
      </c>
      <c r="AC1800" s="2" t="s">
        <v>124</v>
      </c>
      <c r="AD1800" s="3">
        <v>40298</v>
      </c>
      <c r="AE1800" s="4">
        <v>0.72916666666666663</v>
      </c>
      <c r="AF1800" s="2"/>
      <c r="AG1800" s="2"/>
      <c r="AH1800" s="2">
        <v>2</v>
      </c>
      <c r="AI1800" s="2" t="s">
        <v>84</v>
      </c>
      <c r="AJ1800" s="2">
        <v>9</v>
      </c>
      <c r="AK1800" s="2" t="s">
        <v>103</v>
      </c>
      <c r="AL1800" s="2">
        <v>12</v>
      </c>
      <c r="AM1800" s="2" t="s">
        <v>86</v>
      </c>
      <c r="AN1800" s="2"/>
      <c r="AO1800" s="2" t="s">
        <v>6390</v>
      </c>
      <c r="AP1800" s="2">
        <v>11</v>
      </c>
      <c r="AQ1800" s="2" t="s">
        <v>82</v>
      </c>
      <c r="AR1800" s="2"/>
      <c r="AS1800" s="2"/>
      <c r="AT1800" s="2" t="s">
        <v>6391</v>
      </c>
      <c r="AU1800" s="2"/>
      <c r="AV1800" s="2"/>
      <c r="AW1800" s="2"/>
      <c r="AX1800" s="2"/>
      <c r="AY1800" s="2">
        <v>41</v>
      </c>
      <c r="AZ1800" s="2" t="s">
        <v>82</v>
      </c>
      <c r="BA1800" s="2">
        <v>41</v>
      </c>
      <c r="BB1800" s="2" t="s">
        <v>82</v>
      </c>
      <c r="BC1800" s="2">
        <v>41</v>
      </c>
      <c r="BD1800" s="2" t="s">
        <v>82</v>
      </c>
      <c r="BE1800" s="2">
        <v>41</v>
      </c>
      <c r="BF1800" s="2" t="s">
        <v>82</v>
      </c>
      <c r="BG1800" s="2"/>
      <c r="BH1800" s="2"/>
      <c r="BI1800" s="2"/>
      <c r="BJ1800" s="2">
        <v>241</v>
      </c>
      <c r="BK1800" s="2" t="s">
        <v>82</v>
      </c>
      <c r="BL1800" s="2"/>
      <c r="BM1800" s="2">
        <v>241</v>
      </c>
      <c r="BN1800" s="2" t="s">
        <v>82</v>
      </c>
      <c r="BO1800" s="2"/>
      <c r="BP1800" s="2">
        <v>241</v>
      </c>
      <c r="BQ1800" s="2" t="s">
        <v>82</v>
      </c>
      <c r="BR1800" s="2"/>
      <c r="BS1800" s="3">
        <v>40298</v>
      </c>
      <c r="BT1800" s="4">
        <v>0.80423611111111104</v>
      </c>
    </row>
    <row r="1801" spans="1:72" x14ac:dyDescent="0.25">
      <c r="A1801" s="2">
        <v>2599</v>
      </c>
      <c r="B1801" s="2">
        <v>2010</v>
      </c>
      <c r="C1801" s="2" t="s">
        <v>549</v>
      </c>
      <c r="D1801" s="2" t="s">
        <v>73</v>
      </c>
      <c r="E1801" s="2"/>
      <c r="F1801" s="2">
        <v>24</v>
      </c>
      <c r="G1801" s="2" t="s">
        <v>532</v>
      </c>
      <c r="H1801" s="2">
        <v>1</v>
      </c>
      <c r="I1801" s="2" t="s">
        <v>82</v>
      </c>
      <c r="J1801" s="2">
        <v>300</v>
      </c>
      <c r="K1801" s="2" t="s">
        <v>114</v>
      </c>
      <c r="L1801" s="2" t="s">
        <v>115</v>
      </c>
      <c r="M1801" s="3">
        <v>40298</v>
      </c>
      <c r="N1801" s="2"/>
      <c r="O1801" s="2"/>
      <c r="P1801" s="2"/>
      <c r="Q1801" s="2" t="str">
        <f>"234-E/10"</f>
        <v>234-E/10</v>
      </c>
      <c r="R1801" s="2" t="s">
        <v>550</v>
      </c>
      <c r="S1801" s="2" t="s">
        <v>550</v>
      </c>
      <c r="T1801" s="2">
        <v>1</v>
      </c>
      <c r="U1801" s="2" t="s">
        <v>79</v>
      </c>
      <c r="V1801" s="2">
        <v>1</v>
      </c>
      <c r="W1801" s="2" t="s">
        <v>80</v>
      </c>
      <c r="X1801" s="2">
        <v>1</v>
      </c>
      <c r="Y1801" s="2" t="s">
        <v>81</v>
      </c>
      <c r="Z1801" s="2">
        <v>1</v>
      </c>
      <c r="AA1801" s="2" t="s">
        <v>82</v>
      </c>
      <c r="AB1801" s="2">
        <v>9</v>
      </c>
      <c r="AC1801" s="2" t="s">
        <v>124</v>
      </c>
      <c r="AD1801" s="3">
        <v>40298</v>
      </c>
      <c r="AE1801" s="4">
        <v>0.60763888888888895</v>
      </c>
      <c r="AF1801" s="2"/>
      <c r="AG1801" s="2"/>
      <c r="AH1801" s="2">
        <v>2</v>
      </c>
      <c r="AI1801" s="2" t="s">
        <v>84</v>
      </c>
      <c r="AJ1801" s="2">
        <v>9</v>
      </c>
      <c r="AK1801" s="2" t="s">
        <v>103</v>
      </c>
      <c r="AL1801" s="2">
        <v>28</v>
      </c>
      <c r="AM1801" s="2" t="s">
        <v>5969</v>
      </c>
      <c r="AN1801" s="2"/>
      <c r="AO1801" s="2" t="s">
        <v>6392</v>
      </c>
      <c r="AP1801" s="2">
        <v>11</v>
      </c>
      <c r="AQ1801" s="2" t="s">
        <v>82</v>
      </c>
      <c r="AR1801" s="2"/>
      <c r="AS1801" s="2"/>
      <c r="AT1801" s="2" t="s">
        <v>6393</v>
      </c>
      <c r="AU1801" s="2"/>
      <c r="AV1801" s="2"/>
      <c r="AW1801" s="2"/>
      <c r="AX1801" s="2"/>
      <c r="AY1801" s="2">
        <v>1</v>
      </c>
      <c r="AZ1801" s="2" t="s">
        <v>107</v>
      </c>
      <c r="BA1801" s="2">
        <v>1</v>
      </c>
      <c r="BB1801" s="2" t="s">
        <v>107</v>
      </c>
      <c r="BC1801" s="2">
        <v>1</v>
      </c>
      <c r="BD1801" s="2" t="s">
        <v>107</v>
      </c>
      <c r="BE1801" s="2">
        <v>41</v>
      </c>
      <c r="BF1801" s="2" t="s">
        <v>82</v>
      </c>
      <c r="BG1801" s="2"/>
      <c r="BH1801" s="2"/>
      <c r="BI1801" s="2"/>
      <c r="BJ1801" s="2">
        <v>242</v>
      </c>
      <c r="BK1801" s="2" t="s">
        <v>107</v>
      </c>
      <c r="BL1801" s="2"/>
      <c r="BM1801" s="2">
        <v>242</v>
      </c>
      <c r="BN1801" s="2" t="s">
        <v>107</v>
      </c>
      <c r="BO1801" s="2"/>
      <c r="BP1801" s="2">
        <v>242</v>
      </c>
      <c r="BQ1801" s="2" t="s">
        <v>107</v>
      </c>
      <c r="BR1801" s="2"/>
      <c r="BS1801" s="3">
        <v>40298</v>
      </c>
      <c r="BT1801" s="4">
        <v>0.81856481481481491</v>
      </c>
    </row>
    <row r="1802" spans="1:72" x14ac:dyDescent="0.25">
      <c r="A1802" s="2">
        <v>2601</v>
      </c>
      <c r="B1802" s="2">
        <v>2010</v>
      </c>
      <c r="C1802" s="2" t="s">
        <v>4543</v>
      </c>
      <c r="D1802" s="2" t="s">
        <v>122</v>
      </c>
      <c r="E1802" s="2"/>
      <c r="F1802" s="2">
        <v>1</v>
      </c>
      <c r="G1802" s="2" t="s">
        <v>82</v>
      </c>
      <c r="H1802" s="2">
        <v>1</v>
      </c>
      <c r="I1802" s="2" t="s">
        <v>82</v>
      </c>
      <c r="J1802" s="2">
        <v>1</v>
      </c>
      <c r="K1802" s="2" t="s">
        <v>107</v>
      </c>
      <c r="L1802" s="2" t="s">
        <v>107</v>
      </c>
      <c r="M1802" s="3">
        <v>40299</v>
      </c>
      <c r="N1802" s="2"/>
      <c r="O1802" s="2" t="s">
        <v>107</v>
      </c>
      <c r="P1802" s="2" t="s">
        <v>107</v>
      </c>
      <c r="Q1802" s="2" t="str">
        <f>""</f>
        <v/>
      </c>
      <c r="R1802" s="2"/>
      <c r="S1802" s="2"/>
      <c r="T1802" s="2">
        <v>2</v>
      </c>
      <c r="U1802" s="2" t="s">
        <v>123</v>
      </c>
      <c r="V1802" s="2">
        <v>1</v>
      </c>
      <c r="W1802" s="2" t="s">
        <v>80</v>
      </c>
      <c r="X1802" s="2">
        <v>1</v>
      </c>
      <c r="Y1802" s="2" t="s">
        <v>81</v>
      </c>
      <c r="Z1802" s="2">
        <v>2</v>
      </c>
      <c r="AA1802" s="2" t="s">
        <v>2148</v>
      </c>
      <c r="AB1802" s="2">
        <v>9</v>
      </c>
      <c r="AC1802" s="2" t="s">
        <v>124</v>
      </c>
      <c r="AD1802" s="3">
        <v>40298</v>
      </c>
      <c r="AE1802" s="4">
        <v>0.875</v>
      </c>
      <c r="AF1802" s="2"/>
      <c r="AG1802" s="2"/>
      <c r="AH1802" s="2">
        <v>6</v>
      </c>
      <c r="AI1802" s="2" t="s">
        <v>197</v>
      </c>
      <c r="AJ1802" s="2">
        <v>60</v>
      </c>
      <c r="AK1802" s="2" t="s">
        <v>543</v>
      </c>
      <c r="AL1802" s="2">
        <v>19</v>
      </c>
      <c r="AM1802" s="2" t="s">
        <v>107</v>
      </c>
      <c r="AN1802" s="2" t="s">
        <v>6394</v>
      </c>
      <c r="AO1802" s="2" t="s">
        <v>6395</v>
      </c>
      <c r="AP1802" s="2">
        <v>11</v>
      </c>
      <c r="AQ1802" s="2" t="s">
        <v>82</v>
      </c>
      <c r="AR1802" s="2" t="s">
        <v>82</v>
      </c>
      <c r="AS1802" s="2" t="s">
        <v>82</v>
      </c>
      <c r="AT1802" s="2" t="s">
        <v>6396</v>
      </c>
      <c r="AU1802" s="2"/>
      <c r="AV1802" s="2"/>
      <c r="AW1802" s="2"/>
      <c r="AX1802" s="2"/>
      <c r="AY1802" s="2">
        <v>57</v>
      </c>
      <c r="AZ1802" s="2"/>
      <c r="BA1802" s="2">
        <v>41</v>
      </c>
      <c r="BB1802" s="2" t="s">
        <v>82</v>
      </c>
      <c r="BC1802" s="2">
        <v>57</v>
      </c>
      <c r="BD1802" s="2"/>
      <c r="BE1802" s="2">
        <v>13</v>
      </c>
      <c r="BF1802" s="2" t="s">
        <v>108</v>
      </c>
      <c r="BG1802" s="2" t="s">
        <v>6397</v>
      </c>
      <c r="BH1802" s="4">
        <v>0.86111111111111116</v>
      </c>
      <c r="BI1802" s="4">
        <v>0.89583333333333337</v>
      </c>
      <c r="BJ1802" s="2">
        <v>13</v>
      </c>
      <c r="BK1802" s="2" t="s">
        <v>91</v>
      </c>
      <c r="BL1802" s="2" t="s">
        <v>185</v>
      </c>
      <c r="BM1802" s="2">
        <v>13</v>
      </c>
      <c r="BN1802" s="2" t="s">
        <v>91</v>
      </c>
      <c r="BO1802" s="2" t="s">
        <v>492</v>
      </c>
      <c r="BP1802" s="2">
        <v>13</v>
      </c>
      <c r="BQ1802" s="2" t="s">
        <v>91</v>
      </c>
      <c r="BR1802" s="2" t="s">
        <v>895</v>
      </c>
      <c r="BS1802" s="3">
        <v>40299</v>
      </c>
      <c r="BT1802" s="4">
        <v>6.3530092592592582E-2</v>
      </c>
    </row>
    <row r="1803" spans="1:72" x14ac:dyDescent="0.25">
      <c r="A1803" s="2">
        <v>2603</v>
      </c>
      <c r="B1803" s="2">
        <v>2010</v>
      </c>
      <c r="C1803" s="2" t="s">
        <v>93</v>
      </c>
      <c r="D1803" s="2" t="s">
        <v>73</v>
      </c>
      <c r="E1803" s="2"/>
      <c r="F1803" s="2">
        <v>608</v>
      </c>
      <c r="G1803" s="2" t="s">
        <v>6398</v>
      </c>
      <c r="H1803" s="2">
        <v>22</v>
      </c>
      <c r="I1803" s="2" t="s">
        <v>75</v>
      </c>
      <c r="J1803" s="2">
        <v>545</v>
      </c>
      <c r="K1803" s="2" t="s">
        <v>6399</v>
      </c>
      <c r="L1803" s="2" t="s">
        <v>6400</v>
      </c>
      <c r="M1803" s="3">
        <v>40299</v>
      </c>
      <c r="N1803" s="2" t="s">
        <v>6401</v>
      </c>
      <c r="O1803" s="2" t="s">
        <v>6402</v>
      </c>
      <c r="P1803" s="7">
        <v>30699</v>
      </c>
      <c r="Q1803" s="2" t="str">
        <f>""</f>
        <v/>
      </c>
      <c r="R1803" s="2"/>
      <c r="S1803" s="2" t="s">
        <v>100</v>
      </c>
      <c r="T1803" s="2">
        <v>1</v>
      </c>
      <c r="U1803" s="2" t="s">
        <v>79</v>
      </c>
      <c r="V1803" s="2">
        <v>1</v>
      </c>
      <c r="W1803" s="2" t="s">
        <v>80</v>
      </c>
      <c r="X1803" s="2">
        <v>10</v>
      </c>
      <c r="Y1803" s="2" t="s">
        <v>226</v>
      </c>
      <c r="Z1803" s="2">
        <v>6</v>
      </c>
      <c r="AA1803" s="2" t="s">
        <v>101</v>
      </c>
      <c r="AB1803" s="2">
        <v>2</v>
      </c>
      <c r="AC1803" s="2" t="s">
        <v>102</v>
      </c>
      <c r="AD1803" s="3">
        <v>40298</v>
      </c>
      <c r="AE1803" s="4">
        <v>0.89583333333333337</v>
      </c>
      <c r="AF1803" s="2"/>
      <c r="AG1803" s="2"/>
      <c r="AH1803" s="2">
        <v>2</v>
      </c>
      <c r="AI1803" s="2" t="s">
        <v>84</v>
      </c>
      <c r="AJ1803" s="2">
        <v>9</v>
      </c>
      <c r="AK1803" s="2" t="s">
        <v>103</v>
      </c>
      <c r="AL1803" s="2">
        <v>11</v>
      </c>
      <c r="AM1803" s="2" t="s">
        <v>137</v>
      </c>
      <c r="AN1803" s="2" t="s">
        <v>6403</v>
      </c>
      <c r="AO1803" s="2" t="s">
        <v>6404</v>
      </c>
      <c r="AP1803" s="2">
        <v>11</v>
      </c>
      <c r="AQ1803" s="2" t="s">
        <v>82</v>
      </c>
      <c r="AR1803" s="2"/>
      <c r="AS1803" s="2"/>
      <c r="AT1803" s="2" t="s">
        <v>6405</v>
      </c>
      <c r="AU1803" s="2">
        <v>1</v>
      </c>
      <c r="AV1803" s="2"/>
      <c r="AW1803" s="2"/>
      <c r="AX1803" s="2"/>
      <c r="AY1803" s="2">
        <v>41</v>
      </c>
      <c r="AZ1803" s="2" t="s">
        <v>82</v>
      </c>
      <c r="BA1803" s="2">
        <v>41</v>
      </c>
      <c r="BB1803" s="2" t="s">
        <v>82</v>
      </c>
      <c r="BC1803" s="2">
        <v>70</v>
      </c>
      <c r="BD1803" s="2" t="s">
        <v>236</v>
      </c>
      <c r="BE1803" s="2">
        <v>13</v>
      </c>
      <c r="BF1803" s="2" t="s">
        <v>108</v>
      </c>
      <c r="BG1803" s="2" t="s">
        <v>1769</v>
      </c>
      <c r="BH1803" s="2"/>
      <c r="BI1803" s="4">
        <v>0.875</v>
      </c>
      <c r="BJ1803" s="2">
        <v>13</v>
      </c>
      <c r="BK1803" s="2" t="s">
        <v>91</v>
      </c>
      <c r="BL1803" s="2" t="s">
        <v>360</v>
      </c>
      <c r="BM1803" s="2">
        <v>241</v>
      </c>
      <c r="BN1803" s="2" t="s">
        <v>82</v>
      </c>
      <c r="BO1803" s="2"/>
      <c r="BP1803" s="2">
        <v>73</v>
      </c>
      <c r="BQ1803" s="2" t="s">
        <v>186</v>
      </c>
      <c r="BR1803" s="2" t="s">
        <v>187</v>
      </c>
      <c r="BS1803" s="3">
        <v>40299</v>
      </c>
      <c r="BT1803" s="4">
        <v>0.36000000000000004</v>
      </c>
    </row>
    <row r="1804" spans="1:72" x14ac:dyDescent="0.25">
      <c r="A1804" s="2">
        <v>2604</v>
      </c>
      <c r="B1804" s="2">
        <v>2010</v>
      </c>
      <c r="C1804" s="2" t="s">
        <v>93</v>
      </c>
      <c r="D1804" s="2" t="s">
        <v>73</v>
      </c>
      <c r="E1804" s="2"/>
      <c r="F1804" s="2">
        <v>189</v>
      </c>
      <c r="G1804" s="2" t="s">
        <v>4603</v>
      </c>
      <c r="H1804" s="2">
        <v>50</v>
      </c>
      <c r="I1804" s="2" t="s">
        <v>107</v>
      </c>
      <c r="J1804" s="2">
        <v>237</v>
      </c>
      <c r="K1804" s="2" t="s">
        <v>6406</v>
      </c>
      <c r="L1804" s="2" t="s">
        <v>6407</v>
      </c>
      <c r="M1804" s="3">
        <v>40299</v>
      </c>
      <c r="N1804" s="2" t="s">
        <v>5984</v>
      </c>
      <c r="O1804" s="2" t="s">
        <v>6408</v>
      </c>
      <c r="P1804" s="2">
        <v>29040</v>
      </c>
      <c r="Q1804" s="2" t="str">
        <f>""</f>
        <v/>
      </c>
      <c r="R1804" s="2" t="s">
        <v>100</v>
      </c>
      <c r="S1804" s="2" t="s">
        <v>100</v>
      </c>
      <c r="T1804" s="2">
        <v>1</v>
      </c>
      <c r="U1804" s="2" t="s">
        <v>79</v>
      </c>
      <c r="V1804" s="2">
        <v>1</v>
      </c>
      <c r="W1804" s="2" t="s">
        <v>80</v>
      </c>
      <c r="X1804" s="2">
        <v>10</v>
      </c>
      <c r="Y1804" s="2" t="s">
        <v>226</v>
      </c>
      <c r="Z1804" s="2">
        <v>6</v>
      </c>
      <c r="AA1804" s="2" t="s">
        <v>101</v>
      </c>
      <c r="AB1804" s="2">
        <v>2</v>
      </c>
      <c r="AC1804" s="2" t="s">
        <v>102</v>
      </c>
      <c r="AD1804" s="3">
        <v>40299</v>
      </c>
      <c r="AE1804" s="4">
        <v>9.0277777777777776E-2</v>
      </c>
      <c r="AF1804" s="3">
        <v>40299</v>
      </c>
      <c r="AG1804" s="4">
        <v>0.375</v>
      </c>
      <c r="AH1804" s="2">
        <v>2</v>
      </c>
      <c r="AI1804" s="2" t="s">
        <v>84</v>
      </c>
      <c r="AJ1804" s="2">
        <v>9</v>
      </c>
      <c r="AK1804" s="2" t="s">
        <v>103</v>
      </c>
      <c r="AL1804" s="2">
        <v>14</v>
      </c>
      <c r="AM1804" s="2" t="s">
        <v>216</v>
      </c>
      <c r="AN1804" s="2" t="s">
        <v>987</v>
      </c>
      <c r="AO1804" s="2" t="s">
        <v>6409</v>
      </c>
      <c r="AP1804" s="2">
        <v>11</v>
      </c>
      <c r="AQ1804" s="2" t="s">
        <v>82</v>
      </c>
      <c r="AR1804" s="2"/>
      <c r="AS1804" s="2"/>
      <c r="AT1804" s="2" t="s">
        <v>6410</v>
      </c>
      <c r="AU1804" s="2"/>
      <c r="AV1804" s="2"/>
      <c r="AW1804" s="2"/>
      <c r="AX1804" s="2"/>
      <c r="AY1804" s="2">
        <v>41</v>
      </c>
      <c r="AZ1804" s="2" t="s">
        <v>82</v>
      </c>
      <c r="BA1804" s="2">
        <v>41</v>
      </c>
      <c r="BB1804" s="2" t="s">
        <v>82</v>
      </c>
      <c r="BC1804" s="2">
        <v>41</v>
      </c>
      <c r="BD1804" s="2" t="s">
        <v>82</v>
      </c>
      <c r="BE1804" s="2">
        <v>39</v>
      </c>
      <c r="BF1804" s="2" t="s">
        <v>440</v>
      </c>
      <c r="BG1804" s="2" t="s">
        <v>6411</v>
      </c>
      <c r="BH1804" s="4">
        <v>0</v>
      </c>
      <c r="BI1804" s="4">
        <v>0</v>
      </c>
      <c r="BJ1804" s="2">
        <v>33</v>
      </c>
      <c r="BK1804" s="2" t="s">
        <v>361</v>
      </c>
      <c r="BL1804" s="2" t="s">
        <v>6412</v>
      </c>
      <c r="BM1804" s="2">
        <v>241</v>
      </c>
      <c r="BN1804" s="2" t="s">
        <v>82</v>
      </c>
      <c r="BO1804" s="2"/>
      <c r="BP1804" s="2">
        <v>13</v>
      </c>
      <c r="BQ1804" s="2" t="s">
        <v>91</v>
      </c>
      <c r="BR1804" s="2" t="s">
        <v>1084</v>
      </c>
      <c r="BS1804" s="3">
        <v>40299</v>
      </c>
      <c r="BT1804" s="4">
        <v>0.43456018518518519</v>
      </c>
    </row>
    <row r="1805" spans="1:72" x14ac:dyDescent="0.25">
      <c r="A1805" s="2">
        <v>2608</v>
      </c>
      <c r="B1805" s="2">
        <v>2010</v>
      </c>
      <c r="C1805" s="2" t="s">
        <v>121</v>
      </c>
      <c r="D1805" s="2" t="s">
        <v>122</v>
      </c>
      <c r="E1805" s="2"/>
      <c r="F1805" s="2">
        <v>1</v>
      </c>
      <c r="G1805" s="2" t="s">
        <v>82</v>
      </c>
      <c r="H1805" s="2">
        <v>1</v>
      </c>
      <c r="I1805" s="2" t="s">
        <v>82</v>
      </c>
      <c r="J1805" s="2">
        <v>1</v>
      </c>
      <c r="K1805" s="2" t="s">
        <v>107</v>
      </c>
      <c r="L1805" s="2" t="s">
        <v>107</v>
      </c>
      <c r="M1805" s="3">
        <v>40299</v>
      </c>
      <c r="N1805" s="2"/>
      <c r="O1805" s="2"/>
      <c r="P1805" s="2"/>
      <c r="Q1805" s="2" t="str">
        <f>""</f>
        <v/>
      </c>
      <c r="R1805" s="2"/>
      <c r="S1805" s="2"/>
      <c r="T1805" s="2">
        <v>2</v>
      </c>
      <c r="U1805" s="2" t="s">
        <v>123</v>
      </c>
      <c r="V1805" s="2">
        <v>1</v>
      </c>
      <c r="W1805" s="2" t="s">
        <v>80</v>
      </c>
      <c r="X1805" s="2">
        <v>5</v>
      </c>
      <c r="Y1805" s="2" t="s">
        <v>82</v>
      </c>
      <c r="Z1805" s="2">
        <v>1</v>
      </c>
      <c r="AA1805" s="2" t="s">
        <v>82</v>
      </c>
      <c r="AB1805" s="2">
        <v>9</v>
      </c>
      <c r="AC1805" s="2" t="s">
        <v>124</v>
      </c>
      <c r="AD1805" s="3">
        <v>40299</v>
      </c>
      <c r="AE1805" s="4">
        <v>0.50694444444444442</v>
      </c>
      <c r="AF1805" s="2"/>
      <c r="AG1805" s="2"/>
      <c r="AH1805" s="2">
        <v>5</v>
      </c>
      <c r="AI1805" s="2" t="s">
        <v>274</v>
      </c>
      <c r="AJ1805" s="2">
        <v>40</v>
      </c>
      <c r="AK1805" s="2" t="s">
        <v>935</v>
      </c>
      <c r="AL1805" s="2">
        <v>10</v>
      </c>
      <c r="AM1805" s="2" t="s">
        <v>200</v>
      </c>
      <c r="AN1805" s="2"/>
      <c r="AO1805" s="2"/>
      <c r="AP1805" s="2">
        <v>11</v>
      </c>
      <c r="AQ1805" s="2" t="s">
        <v>82</v>
      </c>
      <c r="AR1805" s="2"/>
      <c r="AS1805" s="2"/>
      <c r="AT1805" s="2" t="s">
        <v>6413</v>
      </c>
      <c r="AU1805" s="2"/>
      <c r="AV1805" s="2"/>
      <c r="AW1805" s="2"/>
      <c r="AX1805" s="2"/>
      <c r="AY1805" s="2">
        <v>41</v>
      </c>
      <c r="AZ1805" s="2" t="s">
        <v>82</v>
      </c>
      <c r="BA1805" s="2">
        <v>41</v>
      </c>
      <c r="BB1805" s="2" t="s">
        <v>82</v>
      </c>
      <c r="BC1805" s="2">
        <v>41</v>
      </c>
      <c r="BD1805" s="2" t="s">
        <v>82</v>
      </c>
      <c r="BE1805" s="2">
        <v>42</v>
      </c>
      <c r="BF1805" s="2" t="s">
        <v>182</v>
      </c>
      <c r="BG1805" s="2"/>
      <c r="BH1805" s="4">
        <v>0.50694444444444442</v>
      </c>
      <c r="BI1805" s="2"/>
      <c r="BJ1805" s="2">
        <v>13</v>
      </c>
      <c r="BK1805" s="2" t="s">
        <v>91</v>
      </c>
      <c r="BL1805" s="2" t="s">
        <v>6414</v>
      </c>
      <c r="BM1805" s="2">
        <v>241</v>
      </c>
      <c r="BN1805" s="2" t="s">
        <v>82</v>
      </c>
      <c r="BO1805" s="2"/>
      <c r="BP1805" s="2">
        <v>13</v>
      </c>
      <c r="BQ1805" s="2" t="s">
        <v>91</v>
      </c>
      <c r="BR1805" s="2" t="s">
        <v>6415</v>
      </c>
      <c r="BS1805" s="3">
        <v>40299</v>
      </c>
      <c r="BT1805" s="4">
        <v>0.59115740740740741</v>
      </c>
    </row>
    <row r="1806" spans="1:72" x14ac:dyDescent="0.25">
      <c r="A1806" s="2">
        <v>2609</v>
      </c>
      <c r="B1806" s="2">
        <v>2010</v>
      </c>
      <c r="C1806" s="2" t="s">
        <v>93</v>
      </c>
      <c r="D1806" s="2" t="s">
        <v>122</v>
      </c>
      <c r="E1806" s="2" t="s">
        <v>6416</v>
      </c>
      <c r="F1806" s="2">
        <v>608</v>
      </c>
      <c r="G1806" s="2" t="s">
        <v>6398</v>
      </c>
      <c r="H1806" s="2">
        <v>22</v>
      </c>
      <c r="I1806" s="2" t="s">
        <v>75</v>
      </c>
      <c r="J1806" s="2">
        <v>545</v>
      </c>
      <c r="K1806" s="2" t="s">
        <v>6399</v>
      </c>
      <c r="L1806" s="2" t="s">
        <v>6400</v>
      </c>
      <c r="M1806" s="3">
        <v>40299</v>
      </c>
      <c r="N1806" s="2" t="s">
        <v>6401</v>
      </c>
      <c r="O1806" s="2" t="s">
        <v>6402</v>
      </c>
      <c r="P1806" s="7">
        <v>30699</v>
      </c>
      <c r="Q1806" s="2" t="str">
        <f>""</f>
        <v/>
      </c>
      <c r="R1806" s="2" t="s">
        <v>100</v>
      </c>
      <c r="S1806" s="2"/>
      <c r="T1806" s="2">
        <v>1</v>
      </c>
      <c r="U1806" s="2" t="s">
        <v>79</v>
      </c>
      <c r="V1806" s="2">
        <v>1</v>
      </c>
      <c r="W1806" s="2" t="s">
        <v>80</v>
      </c>
      <c r="X1806" s="2">
        <v>10</v>
      </c>
      <c r="Y1806" s="2" t="s">
        <v>226</v>
      </c>
      <c r="Z1806" s="2">
        <v>6</v>
      </c>
      <c r="AA1806" s="2" t="s">
        <v>101</v>
      </c>
      <c r="AB1806" s="2">
        <v>2</v>
      </c>
      <c r="AC1806" s="2" t="s">
        <v>102</v>
      </c>
      <c r="AD1806" s="3">
        <v>40298</v>
      </c>
      <c r="AE1806" s="4">
        <v>0.89583333333333337</v>
      </c>
      <c r="AF1806" s="2"/>
      <c r="AG1806" s="2"/>
      <c r="AH1806" s="2">
        <v>2</v>
      </c>
      <c r="AI1806" s="2" t="s">
        <v>84</v>
      </c>
      <c r="AJ1806" s="2">
        <v>9</v>
      </c>
      <c r="AK1806" s="2" t="s">
        <v>103</v>
      </c>
      <c r="AL1806" s="2">
        <v>14</v>
      </c>
      <c r="AM1806" s="2" t="s">
        <v>216</v>
      </c>
      <c r="AN1806" s="2" t="s">
        <v>6403</v>
      </c>
      <c r="AO1806" s="2"/>
      <c r="AP1806" s="2">
        <v>11</v>
      </c>
      <c r="AQ1806" s="2" t="s">
        <v>82</v>
      </c>
      <c r="AR1806" s="2"/>
      <c r="AS1806" s="2"/>
      <c r="AT1806" s="2" t="s">
        <v>6417</v>
      </c>
      <c r="AU1806" s="2">
        <v>1</v>
      </c>
      <c r="AV1806" s="2"/>
      <c r="AW1806" s="2"/>
      <c r="AX1806" s="2"/>
      <c r="AY1806" s="2">
        <v>41</v>
      </c>
      <c r="AZ1806" s="2" t="s">
        <v>82</v>
      </c>
      <c r="BA1806" s="2">
        <v>41</v>
      </c>
      <c r="BB1806" s="2" t="s">
        <v>82</v>
      </c>
      <c r="BC1806" s="2">
        <v>70</v>
      </c>
      <c r="BD1806" s="2" t="s">
        <v>236</v>
      </c>
      <c r="BE1806" s="2">
        <v>13</v>
      </c>
      <c r="BF1806" s="2" t="s">
        <v>108</v>
      </c>
      <c r="BG1806" s="2" t="s">
        <v>1769</v>
      </c>
      <c r="BH1806" s="2"/>
      <c r="BI1806" s="4">
        <v>0.875</v>
      </c>
      <c r="BJ1806" s="2">
        <v>13</v>
      </c>
      <c r="BK1806" s="2" t="s">
        <v>91</v>
      </c>
      <c r="BL1806" s="2" t="s">
        <v>360</v>
      </c>
      <c r="BM1806" s="2">
        <v>241</v>
      </c>
      <c r="BN1806" s="2" t="s">
        <v>82</v>
      </c>
      <c r="BO1806" s="2"/>
      <c r="BP1806" s="2">
        <v>73</v>
      </c>
      <c r="BQ1806" s="2" t="s">
        <v>186</v>
      </c>
      <c r="BR1806" s="2" t="s">
        <v>187</v>
      </c>
      <c r="BS1806" s="3">
        <v>40299</v>
      </c>
      <c r="BT1806" s="4">
        <v>0.6522337962962963</v>
      </c>
    </row>
    <row r="1807" spans="1:72" x14ac:dyDescent="0.25">
      <c r="A1807" s="2">
        <v>2610</v>
      </c>
      <c r="B1807" s="2">
        <v>2010</v>
      </c>
      <c r="C1807" s="2" t="s">
        <v>121</v>
      </c>
      <c r="D1807" s="2" t="s">
        <v>122</v>
      </c>
      <c r="E1807" s="2" t="s">
        <v>6418</v>
      </c>
      <c r="F1807" s="2">
        <v>1</v>
      </c>
      <c r="G1807" s="2" t="s">
        <v>82</v>
      </c>
      <c r="H1807" s="2">
        <v>1</v>
      </c>
      <c r="I1807" s="2" t="s">
        <v>82</v>
      </c>
      <c r="J1807" s="2">
        <v>1</v>
      </c>
      <c r="K1807" s="2" t="s">
        <v>107</v>
      </c>
      <c r="L1807" s="2" t="s">
        <v>107</v>
      </c>
      <c r="M1807" s="3">
        <v>40299</v>
      </c>
      <c r="N1807" s="2"/>
      <c r="O1807" s="2"/>
      <c r="P1807" s="2"/>
      <c r="Q1807" s="2" t="str">
        <f>""</f>
        <v/>
      </c>
      <c r="R1807" s="2"/>
      <c r="S1807" s="2"/>
      <c r="T1807" s="2">
        <v>2</v>
      </c>
      <c r="U1807" s="2" t="s">
        <v>123</v>
      </c>
      <c r="V1807" s="2">
        <v>1</v>
      </c>
      <c r="W1807" s="2" t="s">
        <v>80</v>
      </c>
      <c r="X1807" s="2">
        <v>5</v>
      </c>
      <c r="Y1807" s="2" t="s">
        <v>82</v>
      </c>
      <c r="Z1807" s="2">
        <v>1</v>
      </c>
      <c r="AA1807" s="2" t="s">
        <v>82</v>
      </c>
      <c r="AB1807" s="2">
        <v>9</v>
      </c>
      <c r="AC1807" s="2" t="s">
        <v>124</v>
      </c>
      <c r="AD1807" s="3">
        <v>40299</v>
      </c>
      <c r="AE1807" s="4">
        <v>0.71527777777777779</v>
      </c>
      <c r="AF1807" s="2"/>
      <c r="AG1807" s="2"/>
      <c r="AH1807" s="2">
        <v>5</v>
      </c>
      <c r="AI1807" s="2" t="s">
        <v>274</v>
      </c>
      <c r="AJ1807" s="2">
        <v>40</v>
      </c>
      <c r="AK1807" s="2" t="s">
        <v>935</v>
      </c>
      <c r="AL1807" s="2">
        <v>10</v>
      </c>
      <c r="AM1807" s="2" t="s">
        <v>200</v>
      </c>
      <c r="AN1807" s="2"/>
      <c r="AO1807" s="2"/>
      <c r="AP1807" s="2">
        <v>11</v>
      </c>
      <c r="AQ1807" s="2" t="s">
        <v>82</v>
      </c>
      <c r="AR1807" s="2"/>
      <c r="AS1807" s="2"/>
      <c r="AT1807" s="2" t="s">
        <v>6419</v>
      </c>
      <c r="AU1807" s="2"/>
      <c r="AV1807" s="2"/>
      <c r="AW1807" s="2"/>
      <c r="AX1807" s="2"/>
      <c r="AY1807" s="2">
        <v>41</v>
      </c>
      <c r="AZ1807" s="2" t="s">
        <v>82</v>
      </c>
      <c r="BA1807" s="2">
        <v>41</v>
      </c>
      <c r="BB1807" s="2" t="s">
        <v>82</v>
      </c>
      <c r="BC1807" s="2">
        <v>41</v>
      </c>
      <c r="BD1807" s="2" t="s">
        <v>82</v>
      </c>
      <c r="BE1807" s="2">
        <v>42</v>
      </c>
      <c r="BF1807" s="2" t="s">
        <v>182</v>
      </c>
      <c r="BG1807" s="2"/>
      <c r="BH1807" s="4">
        <v>0.50694444444444442</v>
      </c>
      <c r="BI1807" s="2"/>
      <c r="BJ1807" s="2">
        <v>13</v>
      </c>
      <c r="BK1807" s="2" t="s">
        <v>91</v>
      </c>
      <c r="BL1807" s="2" t="s">
        <v>6414</v>
      </c>
      <c r="BM1807" s="2">
        <v>241</v>
      </c>
      <c r="BN1807" s="2" t="s">
        <v>82</v>
      </c>
      <c r="BO1807" s="2"/>
      <c r="BP1807" s="2">
        <v>13</v>
      </c>
      <c r="BQ1807" s="2" t="s">
        <v>91</v>
      </c>
      <c r="BR1807" s="2" t="s">
        <v>6415</v>
      </c>
      <c r="BS1807" s="3">
        <v>40299</v>
      </c>
      <c r="BT1807" s="4">
        <v>0.74986111111111109</v>
      </c>
    </row>
    <row r="1808" spans="1:72" x14ac:dyDescent="0.25">
      <c r="A1808" s="2">
        <v>2611</v>
      </c>
      <c r="B1808" s="2">
        <v>2010</v>
      </c>
      <c r="C1808" s="2" t="s">
        <v>377</v>
      </c>
      <c r="D1808" s="2" t="s">
        <v>73</v>
      </c>
      <c r="E1808" s="2"/>
      <c r="F1808" s="2">
        <v>426</v>
      </c>
      <c r="G1808" s="2" t="s">
        <v>378</v>
      </c>
      <c r="H1808" s="2">
        <v>22</v>
      </c>
      <c r="I1808" s="2" t="s">
        <v>75</v>
      </c>
      <c r="J1808" s="2">
        <v>311</v>
      </c>
      <c r="K1808" s="2" t="s">
        <v>379</v>
      </c>
      <c r="L1808" s="2" t="s">
        <v>380</v>
      </c>
      <c r="M1808" s="3">
        <v>40299</v>
      </c>
      <c r="N1808" s="2"/>
      <c r="O1808" s="2"/>
      <c r="P1808" s="2"/>
      <c r="Q1808" s="2" t="str">
        <f>"064-C/10"</f>
        <v>064-C/10</v>
      </c>
      <c r="R1808" s="2" t="s">
        <v>6420</v>
      </c>
      <c r="S1808" s="2" t="s">
        <v>6420</v>
      </c>
      <c r="T1808" s="2">
        <v>1</v>
      </c>
      <c r="U1808" s="2" t="s">
        <v>79</v>
      </c>
      <c r="V1808" s="2">
        <v>1</v>
      </c>
      <c r="W1808" s="2" t="s">
        <v>80</v>
      </c>
      <c r="X1808" s="2">
        <v>1</v>
      </c>
      <c r="Y1808" s="2" t="s">
        <v>81</v>
      </c>
      <c r="Z1808" s="2">
        <v>1</v>
      </c>
      <c r="AA1808" s="2" t="s">
        <v>82</v>
      </c>
      <c r="AB1808" s="2">
        <v>9</v>
      </c>
      <c r="AC1808" s="2" t="s">
        <v>124</v>
      </c>
      <c r="AD1808" s="3">
        <v>40299</v>
      </c>
      <c r="AE1808" s="4">
        <v>0.67708333333333337</v>
      </c>
      <c r="AF1808" s="2"/>
      <c r="AG1808" s="2"/>
      <c r="AH1808" s="2">
        <v>2</v>
      </c>
      <c r="AI1808" s="2" t="s">
        <v>84</v>
      </c>
      <c r="AJ1808" s="2">
        <v>9</v>
      </c>
      <c r="AK1808" s="2" t="s">
        <v>103</v>
      </c>
      <c r="AL1808" s="2">
        <v>29</v>
      </c>
      <c r="AM1808" s="2" t="s">
        <v>5416</v>
      </c>
      <c r="AN1808" s="2"/>
      <c r="AO1808" s="2" t="s">
        <v>2585</v>
      </c>
      <c r="AP1808" s="2">
        <v>11</v>
      </c>
      <c r="AQ1808" s="2" t="s">
        <v>82</v>
      </c>
      <c r="AR1808" s="2"/>
      <c r="AS1808" s="2"/>
      <c r="AT1808" s="2" t="s">
        <v>6421</v>
      </c>
      <c r="AU1808" s="2"/>
      <c r="AV1808" s="2"/>
      <c r="AW1808" s="2"/>
      <c r="AX1808" s="2"/>
      <c r="AY1808" s="2">
        <v>41</v>
      </c>
      <c r="AZ1808" s="2" t="s">
        <v>82</v>
      </c>
      <c r="BA1808" s="2">
        <v>41</v>
      </c>
      <c r="BB1808" s="2" t="s">
        <v>82</v>
      </c>
      <c r="BC1808" s="2">
        <v>41</v>
      </c>
      <c r="BD1808" s="2" t="s">
        <v>82</v>
      </c>
      <c r="BE1808" s="2">
        <v>1</v>
      </c>
      <c r="BF1808" s="2" t="s">
        <v>107</v>
      </c>
      <c r="BG1808" s="2"/>
      <c r="BH1808" s="2"/>
      <c r="BI1808" s="2"/>
      <c r="BJ1808" s="2">
        <v>242</v>
      </c>
      <c r="BK1808" s="2" t="s">
        <v>107</v>
      </c>
      <c r="BL1808" s="2"/>
      <c r="BM1808" s="2">
        <v>242</v>
      </c>
      <c r="BN1808" s="2" t="s">
        <v>107</v>
      </c>
      <c r="BO1808" s="2"/>
      <c r="BP1808" s="2">
        <v>242</v>
      </c>
      <c r="BQ1808" s="2" t="s">
        <v>107</v>
      </c>
      <c r="BR1808" s="2"/>
      <c r="BS1808" s="3">
        <v>40299</v>
      </c>
      <c r="BT1808" s="4">
        <v>0.85473379629629631</v>
      </c>
    </row>
    <row r="1809" spans="1:72" x14ac:dyDescent="0.25">
      <c r="A1809" s="2">
        <v>2612</v>
      </c>
      <c r="B1809" s="2">
        <v>2010</v>
      </c>
      <c r="C1809" s="2" t="s">
        <v>377</v>
      </c>
      <c r="D1809" s="2" t="s">
        <v>73</v>
      </c>
      <c r="E1809" s="2"/>
      <c r="F1809" s="2">
        <v>426</v>
      </c>
      <c r="G1809" s="2" t="s">
        <v>378</v>
      </c>
      <c r="H1809" s="2">
        <v>22</v>
      </c>
      <c r="I1809" s="2" t="s">
        <v>75</v>
      </c>
      <c r="J1809" s="2">
        <v>311</v>
      </c>
      <c r="K1809" s="2" t="s">
        <v>379</v>
      </c>
      <c r="L1809" s="2" t="s">
        <v>380</v>
      </c>
      <c r="M1809" s="3">
        <v>40299</v>
      </c>
      <c r="N1809" s="2"/>
      <c r="O1809" s="2"/>
      <c r="P1809" s="2"/>
      <c r="Q1809" s="2" t="str">
        <f>"065-C/10"</f>
        <v>065-C/10</v>
      </c>
      <c r="R1809" s="2" t="s">
        <v>6422</v>
      </c>
      <c r="S1809" s="2" t="s">
        <v>6422</v>
      </c>
      <c r="T1809" s="2">
        <v>1</v>
      </c>
      <c r="U1809" s="2" t="s">
        <v>79</v>
      </c>
      <c r="V1809" s="2">
        <v>1</v>
      </c>
      <c r="W1809" s="2" t="s">
        <v>80</v>
      </c>
      <c r="X1809" s="2">
        <v>1</v>
      </c>
      <c r="Y1809" s="2" t="s">
        <v>81</v>
      </c>
      <c r="Z1809" s="2">
        <v>1</v>
      </c>
      <c r="AA1809" s="2" t="s">
        <v>82</v>
      </c>
      <c r="AB1809" s="2">
        <v>9</v>
      </c>
      <c r="AC1809" s="2" t="s">
        <v>124</v>
      </c>
      <c r="AD1809" s="3">
        <v>40299</v>
      </c>
      <c r="AE1809" s="4">
        <v>0.68055555555555547</v>
      </c>
      <c r="AF1809" s="2"/>
      <c r="AG1809" s="2"/>
      <c r="AH1809" s="2">
        <v>2</v>
      </c>
      <c r="AI1809" s="2" t="s">
        <v>84</v>
      </c>
      <c r="AJ1809" s="2">
        <v>9</v>
      </c>
      <c r="AK1809" s="2" t="s">
        <v>103</v>
      </c>
      <c r="AL1809" s="2">
        <v>21</v>
      </c>
      <c r="AM1809" s="2" t="s">
        <v>1311</v>
      </c>
      <c r="AN1809" s="2"/>
      <c r="AO1809" s="2" t="s">
        <v>6423</v>
      </c>
      <c r="AP1809" s="2">
        <v>11</v>
      </c>
      <c r="AQ1809" s="2" t="s">
        <v>82</v>
      </c>
      <c r="AR1809" s="2"/>
      <c r="AS1809" s="2"/>
      <c r="AT1809" s="2" t="s">
        <v>6424</v>
      </c>
      <c r="AU1809" s="2"/>
      <c r="AV1809" s="2"/>
      <c r="AW1809" s="2">
        <v>2</v>
      </c>
      <c r="AX1809" s="2"/>
      <c r="AY1809" s="2">
        <v>41</v>
      </c>
      <c r="AZ1809" s="2" t="s">
        <v>82</v>
      </c>
      <c r="BA1809" s="2">
        <v>41</v>
      </c>
      <c r="BB1809" s="2" t="s">
        <v>82</v>
      </c>
      <c r="BC1809" s="2">
        <v>41</v>
      </c>
      <c r="BD1809" s="2" t="s">
        <v>82</v>
      </c>
      <c r="BE1809" s="2">
        <v>41</v>
      </c>
      <c r="BF1809" s="2" t="s">
        <v>82</v>
      </c>
      <c r="BG1809" s="2"/>
      <c r="BH1809" s="2"/>
      <c r="BI1809" s="2"/>
      <c r="BJ1809" s="2">
        <v>241</v>
      </c>
      <c r="BK1809" s="2" t="s">
        <v>82</v>
      </c>
      <c r="BL1809" s="2"/>
      <c r="BM1809" s="2">
        <v>241</v>
      </c>
      <c r="BN1809" s="2" t="s">
        <v>82</v>
      </c>
      <c r="BO1809" s="2"/>
      <c r="BP1809" s="2">
        <v>241</v>
      </c>
      <c r="BQ1809" s="2" t="s">
        <v>82</v>
      </c>
      <c r="BR1809" s="2"/>
      <c r="BS1809" s="3">
        <v>40299</v>
      </c>
      <c r="BT1809" s="4">
        <v>0.86843750000000008</v>
      </c>
    </row>
    <row r="1810" spans="1:72" x14ac:dyDescent="0.25">
      <c r="A1810" s="2">
        <v>2613</v>
      </c>
      <c r="B1810" s="2">
        <v>2010</v>
      </c>
      <c r="C1810" s="2" t="s">
        <v>1094</v>
      </c>
      <c r="D1810" s="2" t="s">
        <v>73</v>
      </c>
      <c r="E1810" s="2"/>
      <c r="F1810" s="2">
        <v>617</v>
      </c>
      <c r="G1810" s="2" t="s">
        <v>6425</v>
      </c>
      <c r="H1810" s="2">
        <v>3</v>
      </c>
      <c r="I1810" s="2" t="s">
        <v>315</v>
      </c>
      <c r="J1810" s="2">
        <v>551</v>
      </c>
      <c r="K1810" s="2" t="s">
        <v>6426</v>
      </c>
      <c r="L1810" s="2" t="s">
        <v>1224</v>
      </c>
      <c r="M1810" s="3">
        <v>40299</v>
      </c>
      <c r="N1810" s="2" t="s">
        <v>6427</v>
      </c>
      <c r="O1810" s="2" t="s">
        <v>6428</v>
      </c>
      <c r="P1810" s="2"/>
      <c r="Q1810" s="2" t="str">
        <f>"005/10"</f>
        <v>005/10</v>
      </c>
      <c r="R1810" s="2" t="s">
        <v>1694</v>
      </c>
      <c r="S1810" s="2"/>
      <c r="T1810" s="2">
        <v>1</v>
      </c>
      <c r="U1810" s="2" t="s">
        <v>79</v>
      </c>
      <c r="V1810" s="2">
        <v>1</v>
      </c>
      <c r="W1810" s="2" t="s">
        <v>80</v>
      </c>
      <c r="X1810" s="2">
        <v>12</v>
      </c>
      <c r="Y1810" s="2" t="s">
        <v>148</v>
      </c>
      <c r="Z1810" s="2">
        <v>1</v>
      </c>
      <c r="AA1810" s="2" t="s">
        <v>82</v>
      </c>
      <c r="AB1810" s="2">
        <v>9</v>
      </c>
      <c r="AC1810" s="2" t="s">
        <v>124</v>
      </c>
      <c r="AD1810" s="3">
        <v>40299</v>
      </c>
      <c r="AE1810" s="4">
        <v>0.72430555555555554</v>
      </c>
      <c r="AF1810" s="3">
        <v>40299</v>
      </c>
      <c r="AG1810" s="4">
        <v>0.77083333333333337</v>
      </c>
      <c r="AH1810" s="2">
        <v>4</v>
      </c>
      <c r="AI1810" s="2" t="s">
        <v>125</v>
      </c>
      <c r="AJ1810" s="2">
        <v>30</v>
      </c>
      <c r="AK1810" s="2" t="s">
        <v>258</v>
      </c>
      <c r="AL1810" s="2">
        <v>19</v>
      </c>
      <c r="AM1810" s="2" t="s">
        <v>107</v>
      </c>
      <c r="AN1810" s="2"/>
      <c r="AO1810" s="2"/>
      <c r="AP1810" s="2">
        <v>11</v>
      </c>
      <c r="AQ1810" s="2" t="s">
        <v>82</v>
      </c>
      <c r="AR1810" s="2"/>
      <c r="AS1810" s="2"/>
      <c r="AT1810" s="2" t="s">
        <v>6429</v>
      </c>
      <c r="AU1810" s="2"/>
      <c r="AV1810" s="2"/>
      <c r="AW1810" s="2"/>
      <c r="AX1810" s="2"/>
      <c r="AY1810" s="2">
        <v>1</v>
      </c>
      <c r="AZ1810" s="2" t="s">
        <v>107</v>
      </c>
      <c r="BA1810" s="2">
        <v>41</v>
      </c>
      <c r="BB1810" s="2" t="s">
        <v>82</v>
      </c>
      <c r="BC1810" s="2">
        <v>41</v>
      </c>
      <c r="BD1810" s="2" t="s">
        <v>82</v>
      </c>
      <c r="BE1810" s="2">
        <v>41</v>
      </c>
      <c r="BF1810" s="2" t="s">
        <v>82</v>
      </c>
      <c r="BG1810" s="2"/>
      <c r="BH1810" s="2"/>
      <c r="BI1810" s="2"/>
      <c r="BJ1810" s="2">
        <v>242</v>
      </c>
      <c r="BK1810" s="2" t="s">
        <v>107</v>
      </c>
      <c r="BL1810" s="2"/>
      <c r="BM1810" s="2">
        <v>242</v>
      </c>
      <c r="BN1810" s="2" t="s">
        <v>107</v>
      </c>
      <c r="BO1810" s="2"/>
      <c r="BP1810" s="2">
        <v>242</v>
      </c>
      <c r="BQ1810" s="2" t="s">
        <v>107</v>
      </c>
      <c r="BR1810" s="2"/>
      <c r="BS1810" s="3">
        <v>40299</v>
      </c>
      <c r="BT1810" s="4">
        <v>0.87475694444444441</v>
      </c>
    </row>
    <row r="1811" spans="1:72" x14ac:dyDescent="0.25">
      <c r="A1811" s="2">
        <v>2614</v>
      </c>
      <c r="B1811" s="2">
        <v>2010</v>
      </c>
      <c r="C1811" s="2" t="s">
        <v>171</v>
      </c>
      <c r="D1811" s="2" t="s">
        <v>122</v>
      </c>
      <c r="E1811" s="2" t="s">
        <v>6430</v>
      </c>
      <c r="F1811" s="2">
        <v>393</v>
      </c>
      <c r="G1811" s="2" t="s">
        <v>3660</v>
      </c>
      <c r="H1811" s="2">
        <v>3</v>
      </c>
      <c r="I1811" s="2" t="s">
        <v>315</v>
      </c>
      <c r="J1811" s="2">
        <v>2</v>
      </c>
      <c r="K1811" s="2" t="s">
        <v>3661</v>
      </c>
      <c r="L1811" s="2" t="s">
        <v>3662</v>
      </c>
      <c r="M1811" s="3">
        <v>40299</v>
      </c>
      <c r="N1811" s="2" t="s">
        <v>3663</v>
      </c>
      <c r="O1811" s="2" t="s">
        <v>107</v>
      </c>
      <c r="P1811" s="2" t="s">
        <v>107</v>
      </c>
      <c r="Q1811" s="2" t="str">
        <f>"233-E/10"</f>
        <v>233-E/10</v>
      </c>
      <c r="R1811" s="2" t="s">
        <v>391</v>
      </c>
      <c r="S1811" s="2" t="s">
        <v>107</v>
      </c>
      <c r="T1811" s="2">
        <v>1</v>
      </c>
      <c r="U1811" s="2" t="s">
        <v>79</v>
      </c>
      <c r="V1811" s="2">
        <v>1</v>
      </c>
      <c r="W1811" s="2" t="s">
        <v>80</v>
      </c>
      <c r="X1811" s="2">
        <v>1</v>
      </c>
      <c r="Y1811" s="2" t="s">
        <v>81</v>
      </c>
      <c r="Z1811" s="2">
        <v>1</v>
      </c>
      <c r="AA1811" s="2" t="s">
        <v>82</v>
      </c>
      <c r="AB1811" s="2">
        <v>1</v>
      </c>
      <c r="AC1811" s="2" t="s">
        <v>178</v>
      </c>
      <c r="AD1811" s="3">
        <v>40298</v>
      </c>
      <c r="AE1811" s="4">
        <v>0.50694444444444442</v>
      </c>
      <c r="AF1811" s="2"/>
      <c r="AG1811" s="2"/>
      <c r="AH1811" s="2">
        <v>2</v>
      </c>
      <c r="AI1811" s="2" t="s">
        <v>84</v>
      </c>
      <c r="AJ1811" s="2">
        <v>9</v>
      </c>
      <c r="AK1811" s="2" t="s">
        <v>103</v>
      </c>
      <c r="AL1811" s="2">
        <v>14</v>
      </c>
      <c r="AM1811" s="2" t="s">
        <v>216</v>
      </c>
      <c r="AN1811" s="2" t="s">
        <v>107</v>
      </c>
      <c r="AO1811" s="2" t="s">
        <v>179</v>
      </c>
      <c r="AP1811" s="2">
        <v>11</v>
      </c>
      <c r="AQ1811" s="2" t="s">
        <v>82</v>
      </c>
      <c r="AR1811" s="2"/>
      <c r="AS1811" s="2"/>
      <c r="AT1811" s="2" t="s">
        <v>6431</v>
      </c>
      <c r="AU1811" s="2"/>
      <c r="AV1811" s="2">
        <v>1</v>
      </c>
      <c r="AW1811" s="2"/>
      <c r="AX1811" s="2"/>
      <c r="AY1811" s="2">
        <v>41</v>
      </c>
      <c r="AZ1811" s="2" t="s">
        <v>82</v>
      </c>
      <c r="BA1811" s="2">
        <v>41</v>
      </c>
      <c r="BB1811" s="2" t="s">
        <v>82</v>
      </c>
      <c r="BC1811" s="2">
        <v>41</v>
      </c>
      <c r="BD1811" s="2" t="s">
        <v>82</v>
      </c>
      <c r="BE1811" s="2">
        <v>23</v>
      </c>
      <c r="BF1811" s="2" t="s">
        <v>183</v>
      </c>
      <c r="BG1811" s="2" t="s">
        <v>184</v>
      </c>
      <c r="BH1811" s="2"/>
      <c r="BI1811" s="4">
        <v>0.54166666666666663</v>
      </c>
      <c r="BJ1811" s="2">
        <v>13</v>
      </c>
      <c r="BK1811" s="2" t="s">
        <v>91</v>
      </c>
      <c r="BL1811" s="2" t="s">
        <v>4251</v>
      </c>
      <c r="BM1811" s="2">
        <v>241</v>
      </c>
      <c r="BN1811" s="2" t="s">
        <v>82</v>
      </c>
      <c r="BO1811" s="2"/>
      <c r="BP1811" s="2">
        <v>73</v>
      </c>
      <c r="BQ1811" s="2" t="s">
        <v>186</v>
      </c>
      <c r="BR1811" s="2" t="s">
        <v>187</v>
      </c>
      <c r="BS1811" s="3">
        <v>40299</v>
      </c>
      <c r="BT1811" s="4">
        <v>0.90912037037037041</v>
      </c>
    </row>
    <row r="1812" spans="1:72" x14ac:dyDescent="0.25">
      <c r="A1812" s="2">
        <v>2615</v>
      </c>
      <c r="B1812" s="2">
        <v>2010</v>
      </c>
      <c r="C1812" s="2" t="s">
        <v>93</v>
      </c>
      <c r="D1812" s="2" t="s">
        <v>73</v>
      </c>
      <c r="E1812" s="2"/>
      <c r="F1812" s="2">
        <v>394</v>
      </c>
      <c r="G1812" s="2" t="s">
        <v>172</v>
      </c>
      <c r="H1812" s="2">
        <v>4</v>
      </c>
      <c r="I1812" s="2" t="s">
        <v>173</v>
      </c>
      <c r="J1812" s="2">
        <v>241</v>
      </c>
      <c r="K1812" s="2" t="s">
        <v>174</v>
      </c>
      <c r="L1812" s="2" t="s">
        <v>175</v>
      </c>
      <c r="M1812" s="3">
        <v>40299</v>
      </c>
      <c r="N1812" s="2" t="s">
        <v>176</v>
      </c>
      <c r="O1812" s="2" t="s">
        <v>6432</v>
      </c>
      <c r="P1812" s="2" t="s">
        <v>203</v>
      </c>
      <c r="Q1812" s="2" t="str">
        <f>"N/C"</f>
        <v>N/C</v>
      </c>
      <c r="R1812" s="2" t="s">
        <v>100</v>
      </c>
      <c r="S1812" s="2" t="s">
        <v>100</v>
      </c>
      <c r="T1812" s="2">
        <v>1</v>
      </c>
      <c r="U1812" s="2" t="s">
        <v>79</v>
      </c>
      <c r="V1812" s="2">
        <v>1</v>
      </c>
      <c r="W1812" s="2" t="s">
        <v>80</v>
      </c>
      <c r="X1812" s="2">
        <v>10</v>
      </c>
      <c r="Y1812" s="2" t="s">
        <v>226</v>
      </c>
      <c r="Z1812" s="2">
        <v>6</v>
      </c>
      <c r="AA1812" s="2" t="s">
        <v>101</v>
      </c>
      <c r="AB1812" s="2">
        <v>2</v>
      </c>
      <c r="AC1812" s="2" t="s">
        <v>102</v>
      </c>
      <c r="AD1812" s="3">
        <v>40299</v>
      </c>
      <c r="AE1812" s="4">
        <v>0.79166666666666663</v>
      </c>
      <c r="AF1812" s="2"/>
      <c r="AG1812" s="2"/>
      <c r="AH1812" s="2">
        <v>2</v>
      </c>
      <c r="AI1812" s="2" t="s">
        <v>84</v>
      </c>
      <c r="AJ1812" s="2">
        <v>9</v>
      </c>
      <c r="AK1812" s="2" t="s">
        <v>103</v>
      </c>
      <c r="AL1812" s="2">
        <v>14</v>
      </c>
      <c r="AM1812" s="2" t="s">
        <v>216</v>
      </c>
      <c r="AN1812" s="2"/>
      <c r="AO1812" s="2" t="s">
        <v>105</v>
      </c>
      <c r="AP1812" s="2">
        <v>11</v>
      </c>
      <c r="AQ1812" s="2" t="s">
        <v>82</v>
      </c>
      <c r="AR1812" s="2"/>
      <c r="AS1812" s="2"/>
      <c r="AT1812" s="2" t="s">
        <v>6433</v>
      </c>
      <c r="AU1812" s="2"/>
      <c r="AV1812" s="2">
        <v>1</v>
      </c>
      <c r="AW1812" s="2"/>
      <c r="AX1812" s="2"/>
      <c r="AY1812" s="2">
        <v>41</v>
      </c>
      <c r="AZ1812" s="2" t="s">
        <v>82</v>
      </c>
      <c r="BA1812" s="2">
        <v>41</v>
      </c>
      <c r="BB1812" s="2" t="s">
        <v>82</v>
      </c>
      <c r="BC1812" s="2">
        <v>41</v>
      </c>
      <c r="BD1812" s="2" t="s">
        <v>82</v>
      </c>
      <c r="BE1812" s="2">
        <v>6</v>
      </c>
      <c r="BF1812" s="2" t="s">
        <v>616</v>
      </c>
      <c r="BG1812" s="2" t="s">
        <v>1599</v>
      </c>
      <c r="BH1812" s="2"/>
      <c r="BI1812" s="2"/>
      <c r="BJ1812" s="2">
        <v>13</v>
      </c>
      <c r="BK1812" s="2" t="s">
        <v>91</v>
      </c>
      <c r="BL1812" s="2" t="s">
        <v>185</v>
      </c>
      <c r="BM1812" s="2">
        <v>241</v>
      </c>
      <c r="BN1812" s="2" t="s">
        <v>82</v>
      </c>
      <c r="BO1812" s="2"/>
      <c r="BP1812" s="2">
        <v>4</v>
      </c>
      <c r="BQ1812" s="2" t="s">
        <v>618</v>
      </c>
      <c r="BR1812" s="2" t="s">
        <v>619</v>
      </c>
      <c r="BS1812" s="3">
        <v>40299</v>
      </c>
      <c r="BT1812" s="4">
        <v>0.93133101851851852</v>
      </c>
    </row>
    <row r="1813" spans="1:72" x14ac:dyDescent="0.25">
      <c r="A1813" s="2">
        <v>2616</v>
      </c>
      <c r="B1813" s="2">
        <v>2010</v>
      </c>
      <c r="C1813" s="2" t="s">
        <v>549</v>
      </c>
      <c r="D1813" s="2" t="s">
        <v>73</v>
      </c>
      <c r="E1813" s="2"/>
      <c r="F1813" s="2">
        <v>553</v>
      </c>
      <c r="G1813" s="2" t="s">
        <v>6434</v>
      </c>
      <c r="H1813" s="2">
        <v>5</v>
      </c>
      <c r="I1813" s="2" t="s">
        <v>634</v>
      </c>
      <c r="J1813" s="2">
        <v>412</v>
      </c>
      <c r="K1813" s="2" t="s">
        <v>6435</v>
      </c>
      <c r="L1813" s="2" t="s">
        <v>2188</v>
      </c>
      <c r="M1813" s="3">
        <v>40299</v>
      </c>
      <c r="N1813" s="2" t="s">
        <v>6436</v>
      </c>
      <c r="O1813" s="2" t="s">
        <v>82</v>
      </c>
      <c r="P1813" s="2" t="s">
        <v>82</v>
      </c>
      <c r="Q1813" s="2" t="str">
        <f>"018/2010"</f>
        <v>018/2010</v>
      </c>
      <c r="R1813" s="2" t="s">
        <v>6437</v>
      </c>
      <c r="S1813" s="2" t="s">
        <v>6437</v>
      </c>
      <c r="T1813" s="2">
        <v>1</v>
      </c>
      <c r="U1813" s="2" t="s">
        <v>79</v>
      </c>
      <c r="V1813" s="2">
        <v>1</v>
      </c>
      <c r="W1813" s="2" t="s">
        <v>80</v>
      </c>
      <c r="X1813" s="2">
        <v>5</v>
      </c>
      <c r="Y1813" s="2" t="s">
        <v>82</v>
      </c>
      <c r="Z1813" s="2">
        <v>1</v>
      </c>
      <c r="AA1813" s="2" t="s">
        <v>82</v>
      </c>
      <c r="AB1813" s="2">
        <v>9</v>
      </c>
      <c r="AC1813" s="2" t="s">
        <v>124</v>
      </c>
      <c r="AD1813" s="3">
        <v>40299</v>
      </c>
      <c r="AE1813" s="4">
        <v>0.83333333333333337</v>
      </c>
      <c r="AF1813" s="2"/>
      <c r="AG1813" s="2"/>
      <c r="AH1813" s="2">
        <v>5</v>
      </c>
      <c r="AI1813" s="2" t="s">
        <v>274</v>
      </c>
      <c r="AJ1813" s="2">
        <v>42</v>
      </c>
      <c r="AK1813" s="2" t="s">
        <v>660</v>
      </c>
      <c r="AL1813" s="2">
        <v>28</v>
      </c>
      <c r="AM1813" s="2" t="s">
        <v>5969</v>
      </c>
      <c r="AN1813" s="2" t="s">
        <v>6438</v>
      </c>
      <c r="AO1813" s="2" t="s">
        <v>3960</v>
      </c>
      <c r="AP1813" s="2">
        <v>11</v>
      </c>
      <c r="AQ1813" s="2" t="s">
        <v>82</v>
      </c>
      <c r="AR1813" s="2"/>
      <c r="AS1813" s="2"/>
      <c r="AT1813" s="2" t="s">
        <v>6439</v>
      </c>
      <c r="AU1813" s="2"/>
      <c r="AV1813" s="2"/>
      <c r="AW1813" s="2"/>
      <c r="AX1813" s="2"/>
      <c r="AY1813" s="2">
        <v>41</v>
      </c>
      <c r="AZ1813" s="2" t="s">
        <v>82</v>
      </c>
      <c r="BA1813" s="2">
        <v>41</v>
      </c>
      <c r="BB1813" s="2" t="s">
        <v>82</v>
      </c>
      <c r="BC1813" s="2">
        <v>41</v>
      </c>
      <c r="BD1813" s="2" t="s">
        <v>82</v>
      </c>
      <c r="BE1813" s="2">
        <v>41</v>
      </c>
      <c r="BF1813" s="2" t="s">
        <v>82</v>
      </c>
      <c r="BG1813" s="2"/>
      <c r="BH1813" s="2"/>
      <c r="BI1813" s="2"/>
      <c r="BJ1813" s="2">
        <v>241</v>
      </c>
      <c r="BK1813" s="2" t="s">
        <v>82</v>
      </c>
      <c r="BL1813" s="2"/>
      <c r="BM1813" s="2">
        <v>241</v>
      </c>
      <c r="BN1813" s="2" t="s">
        <v>82</v>
      </c>
      <c r="BO1813" s="2"/>
      <c r="BP1813" s="2">
        <v>241</v>
      </c>
      <c r="BQ1813" s="2" t="s">
        <v>82</v>
      </c>
      <c r="BR1813" s="2"/>
      <c r="BS1813" s="3">
        <v>40299</v>
      </c>
      <c r="BT1813" s="4">
        <v>0.96599537037037031</v>
      </c>
    </row>
    <row r="1814" spans="1:72" x14ac:dyDescent="0.25">
      <c r="A1814" s="2">
        <v>2617</v>
      </c>
      <c r="B1814" s="2">
        <v>2010</v>
      </c>
      <c r="C1814" s="2" t="s">
        <v>171</v>
      </c>
      <c r="D1814" s="2" t="s">
        <v>73</v>
      </c>
      <c r="E1814" s="2"/>
      <c r="F1814" s="2">
        <v>162</v>
      </c>
      <c r="G1814" s="2" t="s">
        <v>6440</v>
      </c>
      <c r="H1814" s="2">
        <v>101</v>
      </c>
      <c r="I1814" s="2" t="s">
        <v>6441</v>
      </c>
      <c r="J1814" s="2">
        <v>172</v>
      </c>
      <c r="K1814" s="2" t="s">
        <v>3885</v>
      </c>
      <c r="L1814" s="2" t="s">
        <v>3886</v>
      </c>
      <c r="M1814" s="3">
        <v>40299</v>
      </c>
      <c r="N1814" s="2" t="s">
        <v>6442</v>
      </c>
      <c r="O1814" s="2"/>
      <c r="P1814" s="2"/>
      <c r="Q1814" s="2" t="str">
        <f>"169-A/10"</f>
        <v>169-A/10</v>
      </c>
      <c r="R1814" s="2"/>
      <c r="S1814" s="2" t="s">
        <v>2334</v>
      </c>
      <c r="T1814" s="2">
        <v>1</v>
      </c>
      <c r="U1814" s="2" t="s">
        <v>79</v>
      </c>
      <c r="V1814" s="2">
        <v>1</v>
      </c>
      <c r="W1814" s="2" t="s">
        <v>80</v>
      </c>
      <c r="X1814" s="2">
        <v>1</v>
      </c>
      <c r="Y1814" s="2" t="s">
        <v>81</v>
      </c>
      <c r="Z1814" s="2">
        <v>10</v>
      </c>
      <c r="AA1814" s="2" t="s">
        <v>236</v>
      </c>
      <c r="AB1814" s="2">
        <v>1</v>
      </c>
      <c r="AC1814" s="2" t="s">
        <v>178</v>
      </c>
      <c r="AD1814" s="3">
        <v>40299</v>
      </c>
      <c r="AE1814" s="4">
        <v>0.78472222222222221</v>
      </c>
      <c r="AF1814" s="2"/>
      <c r="AG1814" s="2"/>
      <c r="AH1814" s="2">
        <v>2</v>
      </c>
      <c r="AI1814" s="2" t="s">
        <v>84</v>
      </c>
      <c r="AJ1814" s="2">
        <v>12</v>
      </c>
      <c r="AK1814" s="2" t="s">
        <v>85</v>
      </c>
      <c r="AL1814" s="2">
        <v>11</v>
      </c>
      <c r="AM1814" s="2" t="s">
        <v>137</v>
      </c>
      <c r="AN1814" s="2" t="s">
        <v>1869</v>
      </c>
      <c r="AO1814" s="2" t="s">
        <v>788</v>
      </c>
      <c r="AP1814" s="2">
        <v>11</v>
      </c>
      <c r="AQ1814" s="2" t="s">
        <v>82</v>
      </c>
      <c r="AR1814" s="2"/>
      <c r="AS1814" s="2"/>
      <c r="AT1814" s="2" t="s">
        <v>6443</v>
      </c>
      <c r="AU1814" s="2">
        <v>1</v>
      </c>
      <c r="AV1814" s="2"/>
      <c r="AW1814" s="2"/>
      <c r="AX1814" s="2"/>
      <c r="AY1814" s="2">
        <v>41</v>
      </c>
      <c r="AZ1814" s="2" t="s">
        <v>82</v>
      </c>
      <c r="BA1814" s="2">
        <v>41</v>
      </c>
      <c r="BB1814" s="2" t="s">
        <v>82</v>
      </c>
      <c r="BC1814" s="2">
        <v>41</v>
      </c>
      <c r="BD1814" s="2" t="s">
        <v>82</v>
      </c>
      <c r="BE1814" s="2">
        <v>13</v>
      </c>
      <c r="BF1814" s="2" t="s">
        <v>108</v>
      </c>
      <c r="BG1814" s="2" t="s">
        <v>6444</v>
      </c>
      <c r="BH1814" s="4">
        <v>0.88194444444444453</v>
      </c>
      <c r="BI1814" s="4">
        <v>0.79861111111111116</v>
      </c>
      <c r="BJ1814" s="2">
        <v>13</v>
      </c>
      <c r="BK1814" s="2" t="s">
        <v>91</v>
      </c>
      <c r="BL1814" s="2" t="s">
        <v>185</v>
      </c>
      <c r="BM1814" s="2">
        <v>241</v>
      </c>
      <c r="BN1814" s="2" t="s">
        <v>82</v>
      </c>
      <c r="BO1814" s="2"/>
      <c r="BP1814" s="2">
        <v>13</v>
      </c>
      <c r="BQ1814" s="2" t="s">
        <v>91</v>
      </c>
      <c r="BR1814" s="2" t="s">
        <v>445</v>
      </c>
      <c r="BS1814" s="3">
        <v>40299</v>
      </c>
      <c r="BT1814" s="4">
        <v>0.9856597222222222</v>
      </c>
    </row>
    <row r="1815" spans="1:72" x14ac:dyDescent="0.25">
      <c r="A1815" s="2">
        <v>2618</v>
      </c>
      <c r="B1815" s="2">
        <v>2010</v>
      </c>
      <c r="C1815" s="2" t="s">
        <v>72</v>
      </c>
      <c r="D1815" s="2" t="s">
        <v>73</v>
      </c>
      <c r="E1815" s="2"/>
      <c r="F1815" s="2">
        <v>610</v>
      </c>
      <c r="G1815" s="2" t="s">
        <v>6445</v>
      </c>
      <c r="H1815" s="2">
        <v>102</v>
      </c>
      <c r="I1815" s="2" t="s">
        <v>6446</v>
      </c>
      <c r="J1815" s="2">
        <v>176</v>
      </c>
      <c r="K1815" s="2" t="s">
        <v>6447</v>
      </c>
      <c r="L1815" s="2" t="s">
        <v>6448</v>
      </c>
      <c r="M1815" s="3">
        <v>40299</v>
      </c>
      <c r="N1815" s="2" t="s">
        <v>6449</v>
      </c>
      <c r="O1815" s="2"/>
      <c r="P1815" s="2"/>
      <c r="Q1815" s="2" t="str">
        <f>"168-A/10"</f>
        <v>168-A/10</v>
      </c>
      <c r="R1815" s="2"/>
      <c r="S1815" s="2" t="s">
        <v>78</v>
      </c>
      <c r="T1815" s="2">
        <v>1</v>
      </c>
      <c r="U1815" s="2" t="s">
        <v>79</v>
      </c>
      <c r="V1815" s="2">
        <v>1</v>
      </c>
      <c r="W1815" s="2" t="s">
        <v>80</v>
      </c>
      <c r="X1815" s="2">
        <v>12</v>
      </c>
      <c r="Y1815" s="2" t="s">
        <v>148</v>
      </c>
      <c r="Z1815" s="2">
        <v>1</v>
      </c>
      <c r="AA1815" s="2" t="s">
        <v>82</v>
      </c>
      <c r="AB1815" s="2">
        <v>6</v>
      </c>
      <c r="AC1815" s="2" t="s">
        <v>83</v>
      </c>
      <c r="AD1815" s="3">
        <v>40299</v>
      </c>
      <c r="AE1815" s="4">
        <v>0.73611111111111116</v>
      </c>
      <c r="AF1815" s="3">
        <v>40299</v>
      </c>
      <c r="AG1815" s="4">
        <v>0.75694444444444453</v>
      </c>
      <c r="AH1815" s="2">
        <v>2</v>
      </c>
      <c r="AI1815" s="2" t="s">
        <v>84</v>
      </c>
      <c r="AJ1815" s="2">
        <v>12</v>
      </c>
      <c r="AK1815" s="2" t="s">
        <v>85</v>
      </c>
      <c r="AL1815" s="2">
        <v>29</v>
      </c>
      <c r="AM1815" s="2" t="s">
        <v>5416</v>
      </c>
      <c r="AN1815" s="2" t="s">
        <v>6450</v>
      </c>
      <c r="AO1815" s="2"/>
      <c r="AP1815" s="2">
        <v>11</v>
      </c>
      <c r="AQ1815" s="2" t="s">
        <v>82</v>
      </c>
      <c r="AR1815" s="2"/>
      <c r="AS1815" s="2"/>
      <c r="AT1815" s="2" t="s">
        <v>6451</v>
      </c>
      <c r="AU1815" s="2"/>
      <c r="AV1815" s="2"/>
      <c r="AW1815" s="2"/>
      <c r="AX1815" s="2"/>
      <c r="AY1815" s="2">
        <v>41</v>
      </c>
      <c r="AZ1815" s="2" t="s">
        <v>82</v>
      </c>
      <c r="BA1815" s="2">
        <v>41</v>
      </c>
      <c r="BB1815" s="2" t="s">
        <v>82</v>
      </c>
      <c r="BC1815" s="2">
        <v>41</v>
      </c>
      <c r="BD1815" s="2" t="s">
        <v>82</v>
      </c>
      <c r="BE1815" s="2">
        <v>4</v>
      </c>
      <c r="BF1815" s="2" t="s">
        <v>90</v>
      </c>
      <c r="BG1815" s="2" t="s">
        <v>6452</v>
      </c>
      <c r="BH1815" s="4">
        <v>0.64583333333333337</v>
      </c>
      <c r="BI1815" s="4">
        <v>0.70833333333333337</v>
      </c>
      <c r="BJ1815" s="2">
        <v>13</v>
      </c>
      <c r="BK1815" s="2" t="s">
        <v>91</v>
      </c>
      <c r="BL1815" s="2" t="s">
        <v>445</v>
      </c>
      <c r="BM1815" s="2">
        <v>241</v>
      </c>
      <c r="BN1815" s="2" t="s">
        <v>82</v>
      </c>
      <c r="BO1815" s="2"/>
      <c r="BP1815" s="2">
        <v>13</v>
      </c>
      <c r="BQ1815" s="2" t="s">
        <v>91</v>
      </c>
      <c r="BR1815" s="2" t="s">
        <v>185</v>
      </c>
      <c r="BS1815" s="3">
        <v>40299</v>
      </c>
      <c r="BT1815" s="4">
        <v>0.99785879629629637</v>
      </c>
    </row>
    <row r="1816" spans="1:72" x14ac:dyDescent="0.25">
      <c r="A1816" s="2">
        <v>2619</v>
      </c>
      <c r="B1816" s="2">
        <v>2010</v>
      </c>
      <c r="C1816" s="2" t="s">
        <v>171</v>
      </c>
      <c r="D1816" s="2" t="s">
        <v>122</v>
      </c>
      <c r="E1816" s="2" t="s">
        <v>6453</v>
      </c>
      <c r="F1816" s="2">
        <v>162</v>
      </c>
      <c r="G1816" s="2" t="s">
        <v>6440</v>
      </c>
      <c r="H1816" s="2">
        <v>101</v>
      </c>
      <c r="I1816" s="2" t="s">
        <v>6441</v>
      </c>
      <c r="J1816" s="2">
        <v>172</v>
      </c>
      <c r="K1816" s="2" t="s">
        <v>3885</v>
      </c>
      <c r="L1816" s="2" t="s">
        <v>3886</v>
      </c>
      <c r="M1816" s="3">
        <v>40300</v>
      </c>
      <c r="N1816" s="2" t="s">
        <v>6442</v>
      </c>
      <c r="O1816" s="2"/>
      <c r="P1816" s="2"/>
      <c r="Q1816" s="2" t="str">
        <f>"169-A/10"</f>
        <v>169-A/10</v>
      </c>
      <c r="R1816" s="2" t="s">
        <v>2334</v>
      </c>
      <c r="S1816" s="2"/>
      <c r="T1816" s="2">
        <v>1</v>
      </c>
      <c r="U1816" s="2" t="s">
        <v>79</v>
      </c>
      <c r="V1816" s="2">
        <v>1</v>
      </c>
      <c r="W1816" s="2" t="s">
        <v>80</v>
      </c>
      <c r="X1816" s="2">
        <v>1</v>
      </c>
      <c r="Y1816" s="2" t="s">
        <v>81</v>
      </c>
      <c r="Z1816" s="2">
        <v>10</v>
      </c>
      <c r="AA1816" s="2" t="s">
        <v>236</v>
      </c>
      <c r="AB1816" s="2">
        <v>1</v>
      </c>
      <c r="AC1816" s="2" t="s">
        <v>178</v>
      </c>
      <c r="AD1816" s="3">
        <v>40299</v>
      </c>
      <c r="AE1816" s="4">
        <v>0.78472222222222221</v>
      </c>
      <c r="AF1816" s="2"/>
      <c r="AG1816" s="2"/>
      <c r="AH1816" s="2">
        <v>2</v>
      </c>
      <c r="AI1816" s="2" t="s">
        <v>84</v>
      </c>
      <c r="AJ1816" s="2">
        <v>12</v>
      </c>
      <c r="AK1816" s="2" t="s">
        <v>85</v>
      </c>
      <c r="AL1816" s="2">
        <v>27</v>
      </c>
      <c r="AM1816" s="2" t="s">
        <v>6225</v>
      </c>
      <c r="AN1816" s="2" t="s">
        <v>1971</v>
      </c>
      <c r="AO1816" s="2"/>
      <c r="AP1816" s="2">
        <v>11</v>
      </c>
      <c r="AQ1816" s="2" t="s">
        <v>82</v>
      </c>
      <c r="AR1816" s="2"/>
      <c r="AS1816" s="2"/>
      <c r="AT1816" s="2" t="s">
        <v>6454</v>
      </c>
      <c r="AU1816" s="2">
        <v>1</v>
      </c>
      <c r="AV1816" s="2"/>
      <c r="AW1816" s="2"/>
      <c r="AX1816" s="2"/>
      <c r="AY1816" s="2">
        <v>41</v>
      </c>
      <c r="AZ1816" s="2" t="s">
        <v>82</v>
      </c>
      <c r="BA1816" s="2">
        <v>41</v>
      </c>
      <c r="BB1816" s="2" t="s">
        <v>82</v>
      </c>
      <c r="BC1816" s="2">
        <v>41</v>
      </c>
      <c r="BD1816" s="2" t="s">
        <v>82</v>
      </c>
      <c r="BE1816" s="2">
        <v>13</v>
      </c>
      <c r="BF1816" s="2" t="s">
        <v>108</v>
      </c>
      <c r="BG1816" s="2" t="s">
        <v>6444</v>
      </c>
      <c r="BH1816" s="4">
        <v>0.88194444444444453</v>
      </c>
      <c r="BI1816" s="4">
        <v>0.79861111111111116</v>
      </c>
      <c r="BJ1816" s="2">
        <v>13</v>
      </c>
      <c r="BK1816" s="2" t="s">
        <v>91</v>
      </c>
      <c r="BL1816" s="2" t="s">
        <v>185</v>
      </c>
      <c r="BM1816" s="2">
        <v>241</v>
      </c>
      <c r="BN1816" s="2" t="s">
        <v>82</v>
      </c>
      <c r="BO1816" s="2"/>
      <c r="BP1816" s="2">
        <v>13</v>
      </c>
      <c r="BQ1816" s="2" t="s">
        <v>91</v>
      </c>
      <c r="BR1816" s="2" t="s">
        <v>445</v>
      </c>
      <c r="BS1816" s="3">
        <v>40300</v>
      </c>
      <c r="BT1816" s="4">
        <v>0.12616898148148148</v>
      </c>
    </row>
    <row r="1817" spans="1:72" x14ac:dyDescent="0.25">
      <c r="A1817" s="2">
        <v>2620</v>
      </c>
      <c r="B1817" s="2">
        <v>2010</v>
      </c>
      <c r="C1817" s="2" t="s">
        <v>171</v>
      </c>
      <c r="D1817" s="2" t="s">
        <v>73</v>
      </c>
      <c r="E1817" s="2"/>
      <c r="F1817" s="2">
        <v>227</v>
      </c>
      <c r="G1817" s="2" t="s">
        <v>6455</v>
      </c>
      <c r="H1817" s="2">
        <v>4</v>
      </c>
      <c r="I1817" s="2" t="s">
        <v>173</v>
      </c>
      <c r="J1817" s="2">
        <v>241</v>
      </c>
      <c r="K1817" s="2" t="s">
        <v>174</v>
      </c>
      <c r="L1817" s="2" t="s">
        <v>175</v>
      </c>
      <c r="M1817" s="3">
        <v>40300</v>
      </c>
      <c r="N1817" s="2" t="s">
        <v>176</v>
      </c>
      <c r="O1817" s="2" t="s">
        <v>107</v>
      </c>
      <c r="P1817" s="2" t="s">
        <v>107</v>
      </c>
      <c r="Q1817" s="2" t="str">
        <f>"236-E/10"</f>
        <v>236-E/10</v>
      </c>
      <c r="R1817" s="2" t="s">
        <v>391</v>
      </c>
      <c r="S1817" s="2" t="s">
        <v>391</v>
      </c>
      <c r="T1817" s="2">
        <v>1</v>
      </c>
      <c r="U1817" s="2" t="s">
        <v>79</v>
      </c>
      <c r="V1817" s="2">
        <v>1</v>
      </c>
      <c r="W1817" s="2" t="s">
        <v>80</v>
      </c>
      <c r="X1817" s="2">
        <v>1</v>
      </c>
      <c r="Y1817" s="2" t="s">
        <v>81</v>
      </c>
      <c r="Z1817" s="2">
        <v>1</v>
      </c>
      <c r="AA1817" s="2" t="s">
        <v>82</v>
      </c>
      <c r="AB1817" s="2">
        <v>1</v>
      </c>
      <c r="AC1817" s="2" t="s">
        <v>178</v>
      </c>
      <c r="AD1817" s="3">
        <v>40299</v>
      </c>
      <c r="AE1817" s="4">
        <v>0.88541666666666663</v>
      </c>
      <c r="AF1817" s="2"/>
      <c r="AG1817" s="2"/>
      <c r="AH1817" s="2">
        <v>2</v>
      </c>
      <c r="AI1817" s="2" t="s">
        <v>84</v>
      </c>
      <c r="AJ1817" s="2">
        <v>9</v>
      </c>
      <c r="AK1817" s="2" t="s">
        <v>103</v>
      </c>
      <c r="AL1817" s="2">
        <v>25</v>
      </c>
      <c r="AM1817" s="2" t="s">
        <v>3073</v>
      </c>
      <c r="AN1817" s="2" t="s">
        <v>179</v>
      </c>
      <c r="AO1817" s="2" t="s">
        <v>590</v>
      </c>
      <c r="AP1817" s="2">
        <v>11</v>
      </c>
      <c r="AQ1817" s="2" t="s">
        <v>82</v>
      </c>
      <c r="AR1817" s="2"/>
      <c r="AS1817" s="2"/>
      <c r="AT1817" s="2" t="s">
        <v>6456</v>
      </c>
      <c r="AU1817" s="2"/>
      <c r="AV1817" s="2">
        <v>1</v>
      </c>
      <c r="AW1817" s="2"/>
      <c r="AX1817" s="2"/>
      <c r="AY1817" s="2">
        <v>41</v>
      </c>
      <c r="AZ1817" s="2" t="s">
        <v>82</v>
      </c>
      <c r="BA1817" s="2">
        <v>41</v>
      </c>
      <c r="BB1817" s="2" t="s">
        <v>82</v>
      </c>
      <c r="BC1817" s="2">
        <v>41</v>
      </c>
      <c r="BD1817" s="2" t="s">
        <v>82</v>
      </c>
      <c r="BE1817" s="2">
        <v>13</v>
      </c>
      <c r="BF1817" s="2" t="s">
        <v>108</v>
      </c>
      <c r="BG1817" s="2" t="s">
        <v>592</v>
      </c>
      <c r="BH1817" s="2"/>
      <c r="BI1817" s="4">
        <v>0.94791666666666663</v>
      </c>
      <c r="BJ1817" s="2">
        <v>13</v>
      </c>
      <c r="BK1817" s="2" t="s">
        <v>91</v>
      </c>
      <c r="BL1817" s="2" t="s">
        <v>185</v>
      </c>
      <c r="BM1817" s="2">
        <v>112</v>
      </c>
      <c r="BN1817" s="2" t="s">
        <v>110</v>
      </c>
      <c r="BO1817" s="2" t="s">
        <v>111</v>
      </c>
      <c r="BP1817" s="2">
        <v>73</v>
      </c>
      <c r="BQ1817" s="2" t="s">
        <v>186</v>
      </c>
      <c r="BR1817" s="2" t="s">
        <v>6457</v>
      </c>
      <c r="BS1817" s="3">
        <v>40300</v>
      </c>
      <c r="BT1817" s="4">
        <v>0.28415509259259258</v>
      </c>
    </row>
    <row r="1818" spans="1:72" x14ac:dyDescent="0.25">
      <c r="A1818" s="2">
        <v>2621</v>
      </c>
      <c r="B1818" s="2">
        <v>2010</v>
      </c>
      <c r="C1818" s="2" t="s">
        <v>171</v>
      </c>
      <c r="D1818" s="2" t="s">
        <v>73</v>
      </c>
      <c r="E1818" s="2"/>
      <c r="F1818" s="2">
        <v>227</v>
      </c>
      <c r="G1818" s="2" t="s">
        <v>6455</v>
      </c>
      <c r="H1818" s="2">
        <v>4</v>
      </c>
      <c r="I1818" s="2" t="s">
        <v>173</v>
      </c>
      <c r="J1818" s="2">
        <v>241</v>
      </c>
      <c r="K1818" s="2" t="s">
        <v>174</v>
      </c>
      <c r="L1818" s="2" t="s">
        <v>175</v>
      </c>
      <c r="M1818" s="3">
        <v>40300</v>
      </c>
      <c r="N1818" s="2" t="s">
        <v>176</v>
      </c>
      <c r="O1818" s="2" t="s">
        <v>107</v>
      </c>
      <c r="P1818" s="2" t="s">
        <v>107</v>
      </c>
      <c r="Q1818" s="2" t="str">
        <f>"235-E/10"</f>
        <v>235-E/10</v>
      </c>
      <c r="R1818" s="2" t="s">
        <v>391</v>
      </c>
      <c r="S1818" s="2" t="s">
        <v>391</v>
      </c>
      <c r="T1818" s="2">
        <v>1</v>
      </c>
      <c r="U1818" s="2" t="s">
        <v>79</v>
      </c>
      <c r="V1818" s="2">
        <v>1</v>
      </c>
      <c r="W1818" s="2" t="s">
        <v>80</v>
      </c>
      <c r="X1818" s="2">
        <v>1</v>
      </c>
      <c r="Y1818" s="2" t="s">
        <v>81</v>
      </c>
      <c r="Z1818" s="2">
        <v>1</v>
      </c>
      <c r="AA1818" s="2" t="s">
        <v>82</v>
      </c>
      <c r="AB1818" s="2">
        <v>1</v>
      </c>
      <c r="AC1818" s="2" t="s">
        <v>178</v>
      </c>
      <c r="AD1818" s="3">
        <v>40299</v>
      </c>
      <c r="AE1818" s="4">
        <v>0.84375</v>
      </c>
      <c r="AF1818" s="2"/>
      <c r="AG1818" s="2"/>
      <c r="AH1818" s="2">
        <v>2</v>
      </c>
      <c r="AI1818" s="2" t="s">
        <v>84</v>
      </c>
      <c r="AJ1818" s="2">
        <v>9</v>
      </c>
      <c r="AK1818" s="2" t="s">
        <v>103</v>
      </c>
      <c r="AL1818" s="2">
        <v>25</v>
      </c>
      <c r="AM1818" s="2" t="s">
        <v>3073</v>
      </c>
      <c r="AN1818" s="2" t="s">
        <v>179</v>
      </c>
      <c r="AO1818" s="2"/>
      <c r="AP1818" s="2">
        <v>11</v>
      </c>
      <c r="AQ1818" s="2" t="s">
        <v>82</v>
      </c>
      <c r="AR1818" s="2"/>
      <c r="AS1818" s="2"/>
      <c r="AT1818" s="2" t="s">
        <v>6458</v>
      </c>
      <c r="AU1818" s="2"/>
      <c r="AV1818" s="2">
        <v>1</v>
      </c>
      <c r="AW1818" s="2"/>
      <c r="AX1818" s="2"/>
      <c r="AY1818" s="2">
        <v>41</v>
      </c>
      <c r="AZ1818" s="2" t="s">
        <v>82</v>
      </c>
      <c r="BA1818" s="2">
        <v>41</v>
      </c>
      <c r="BB1818" s="2" t="s">
        <v>82</v>
      </c>
      <c r="BC1818" s="2">
        <v>41</v>
      </c>
      <c r="BD1818" s="2" t="s">
        <v>82</v>
      </c>
      <c r="BE1818" s="2">
        <v>13</v>
      </c>
      <c r="BF1818" s="2" t="s">
        <v>108</v>
      </c>
      <c r="BG1818" s="2" t="s">
        <v>592</v>
      </c>
      <c r="BH1818" s="2"/>
      <c r="BI1818" s="4">
        <v>0.94791666666666663</v>
      </c>
      <c r="BJ1818" s="2">
        <v>13</v>
      </c>
      <c r="BK1818" s="2" t="s">
        <v>91</v>
      </c>
      <c r="BL1818" s="2" t="s">
        <v>185</v>
      </c>
      <c r="BM1818" s="2">
        <v>241</v>
      </c>
      <c r="BN1818" s="2" t="s">
        <v>82</v>
      </c>
      <c r="BO1818" s="2"/>
      <c r="BP1818" s="2">
        <v>112</v>
      </c>
      <c r="BQ1818" s="2" t="s">
        <v>110</v>
      </c>
      <c r="BR1818" s="2" t="s">
        <v>111</v>
      </c>
      <c r="BS1818" s="3">
        <v>40300</v>
      </c>
      <c r="BT1818" s="4">
        <v>0.30575231481481485</v>
      </c>
    </row>
    <row r="1819" spans="1:72" x14ac:dyDescent="0.25">
      <c r="A1819" s="2">
        <v>2622</v>
      </c>
      <c r="B1819" s="2">
        <v>2010</v>
      </c>
      <c r="C1819" s="2" t="s">
        <v>171</v>
      </c>
      <c r="D1819" s="2" t="s">
        <v>122</v>
      </c>
      <c r="E1819" s="2" t="s">
        <v>6453</v>
      </c>
      <c r="F1819" s="2">
        <v>162</v>
      </c>
      <c r="G1819" s="2" t="s">
        <v>6440</v>
      </c>
      <c r="H1819" s="2">
        <v>101</v>
      </c>
      <c r="I1819" s="2" t="s">
        <v>6441</v>
      </c>
      <c r="J1819" s="2">
        <v>172</v>
      </c>
      <c r="K1819" s="2" t="s">
        <v>3885</v>
      </c>
      <c r="L1819" s="2" t="s">
        <v>3886</v>
      </c>
      <c r="M1819" s="3">
        <v>40300</v>
      </c>
      <c r="N1819" s="2" t="s">
        <v>6442</v>
      </c>
      <c r="O1819" s="2"/>
      <c r="P1819" s="2"/>
      <c r="Q1819" s="2" t="str">
        <f>"169-A/10"</f>
        <v>169-A/10</v>
      </c>
      <c r="R1819" s="2" t="s">
        <v>2334</v>
      </c>
      <c r="S1819" s="2"/>
      <c r="T1819" s="2">
        <v>1</v>
      </c>
      <c r="U1819" s="2" t="s">
        <v>79</v>
      </c>
      <c r="V1819" s="2">
        <v>1</v>
      </c>
      <c r="W1819" s="2" t="s">
        <v>80</v>
      </c>
      <c r="X1819" s="2">
        <v>1</v>
      </c>
      <c r="Y1819" s="2" t="s">
        <v>81</v>
      </c>
      <c r="Z1819" s="2">
        <v>10</v>
      </c>
      <c r="AA1819" s="2" t="s">
        <v>236</v>
      </c>
      <c r="AB1819" s="2">
        <v>1</v>
      </c>
      <c r="AC1819" s="2" t="s">
        <v>178</v>
      </c>
      <c r="AD1819" s="3">
        <v>40299</v>
      </c>
      <c r="AE1819" s="4">
        <v>0.78472222222222221</v>
      </c>
      <c r="AF1819" s="2"/>
      <c r="AG1819" s="2"/>
      <c r="AH1819" s="2">
        <v>2</v>
      </c>
      <c r="AI1819" s="2" t="s">
        <v>84</v>
      </c>
      <c r="AJ1819" s="2">
        <v>12</v>
      </c>
      <c r="AK1819" s="2" t="s">
        <v>85</v>
      </c>
      <c r="AL1819" s="2">
        <v>11</v>
      </c>
      <c r="AM1819" s="2" t="s">
        <v>137</v>
      </c>
      <c r="AN1819" s="2" t="s">
        <v>1869</v>
      </c>
      <c r="AO1819" s="2" t="s">
        <v>788</v>
      </c>
      <c r="AP1819" s="2">
        <v>11</v>
      </c>
      <c r="AQ1819" s="2" t="s">
        <v>82</v>
      </c>
      <c r="AR1819" s="2"/>
      <c r="AS1819" s="2"/>
      <c r="AT1819" s="2" t="s">
        <v>6459</v>
      </c>
      <c r="AU1819" s="2">
        <v>1</v>
      </c>
      <c r="AV1819" s="2"/>
      <c r="AW1819" s="2"/>
      <c r="AX1819" s="2"/>
      <c r="AY1819" s="2">
        <v>41</v>
      </c>
      <c r="AZ1819" s="2" t="s">
        <v>82</v>
      </c>
      <c r="BA1819" s="2">
        <v>41</v>
      </c>
      <c r="BB1819" s="2" t="s">
        <v>82</v>
      </c>
      <c r="BC1819" s="2">
        <v>41</v>
      </c>
      <c r="BD1819" s="2" t="s">
        <v>82</v>
      </c>
      <c r="BE1819" s="2">
        <v>13</v>
      </c>
      <c r="BF1819" s="2" t="s">
        <v>108</v>
      </c>
      <c r="BG1819" s="2" t="s">
        <v>6444</v>
      </c>
      <c r="BH1819" s="4">
        <v>0.88194444444444453</v>
      </c>
      <c r="BI1819" s="4">
        <v>0.79861111111111116</v>
      </c>
      <c r="BJ1819" s="2">
        <v>13</v>
      </c>
      <c r="BK1819" s="2" t="s">
        <v>91</v>
      </c>
      <c r="BL1819" s="2" t="s">
        <v>6460</v>
      </c>
      <c r="BM1819" s="2">
        <v>241</v>
      </c>
      <c r="BN1819" s="2" t="s">
        <v>82</v>
      </c>
      <c r="BO1819" s="2"/>
      <c r="BP1819" s="2">
        <v>13</v>
      </c>
      <c r="BQ1819" s="2" t="s">
        <v>91</v>
      </c>
      <c r="BR1819" s="2" t="s">
        <v>445</v>
      </c>
      <c r="BS1819" s="3">
        <v>40300</v>
      </c>
      <c r="BT1819" s="4">
        <v>0.31745370370370368</v>
      </c>
    </row>
    <row r="1820" spans="1:72" x14ac:dyDescent="0.25">
      <c r="A1820" s="2">
        <v>2623</v>
      </c>
      <c r="B1820" s="2">
        <v>2010</v>
      </c>
      <c r="C1820" s="2" t="s">
        <v>72</v>
      </c>
      <c r="D1820" s="2" t="s">
        <v>73</v>
      </c>
      <c r="E1820" s="2"/>
      <c r="F1820" s="2">
        <v>2</v>
      </c>
      <c r="G1820" s="2" t="s">
        <v>113</v>
      </c>
      <c r="H1820" s="2">
        <v>1</v>
      </c>
      <c r="I1820" s="2" t="s">
        <v>82</v>
      </c>
      <c r="J1820" s="2">
        <v>300</v>
      </c>
      <c r="K1820" s="2" t="s">
        <v>114</v>
      </c>
      <c r="L1820" s="2" t="s">
        <v>115</v>
      </c>
      <c r="M1820" s="3">
        <v>40300</v>
      </c>
      <c r="N1820" s="2"/>
      <c r="O1820" s="2"/>
      <c r="P1820" s="2"/>
      <c r="Q1820" s="2" t="str">
        <f>"237-E/10"</f>
        <v>237-E/10</v>
      </c>
      <c r="R1820" s="2"/>
      <c r="S1820" s="2" t="s">
        <v>480</v>
      </c>
      <c r="T1820" s="2">
        <v>1</v>
      </c>
      <c r="U1820" s="2" t="s">
        <v>79</v>
      </c>
      <c r="V1820" s="2">
        <v>1</v>
      </c>
      <c r="W1820" s="2" t="s">
        <v>80</v>
      </c>
      <c r="X1820" s="2">
        <v>5</v>
      </c>
      <c r="Y1820" s="2" t="s">
        <v>82</v>
      </c>
      <c r="Z1820" s="2">
        <v>1</v>
      </c>
      <c r="AA1820" s="2" t="s">
        <v>82</v>
      </c>
      <c r="AB1820" s="2">
        <v>6</v>
      </c>
      <c r="AC1820" s="2" t="s">
        <v>83</v>
      </c>
      <c r="AD1820" s="3">
        <v>40300</v>
      </c>
      <c r="AE1820" s="4">
        <v>0.34722222222222227</v>
      </c>
      <c r="AF1820" s="3">
        <v>40300</v>
      </c>
      <c r="AG1820" s="4">
        <v>0.40277777777777773</v>
      </c>
      <c r="AH1820" s="2">
        <v>2</v>
      </c>
      <c r="AI1820" s="2" t="s">
        <v>84</v>
      </c>
      <c r="AJ1820" s="2">
        <v>9</v>
      </c>
      <c r="AK1820" s="2" t="s">
        <v>103</v>
      </c>
      <c r="AL1820" s="2">
        <v>21</v>
      </c>
      <c r="AM1820" s="2" t="s">
        <v>1311</v>
      </c>
      <c r="AN1820" s="2" t="s">
        <v>6461</v>
      </c>
      <c r="AO1820" s="2"/>
      <c r="AP1820" s="2">
        <v>11</v>
      </c>
      <c r="AQ1820" s="2" t="s">
        <v>82</v>
      </c>
      <c r="AR1820" s="2"/>
      <c r="AS1820" s="2"/>
      <c r="AT1820" s="2" t="s">
        <v>6462</v>
      </c>
      <c r="AU1820" s="2"/>
      <c r="AV1820" s="2"/>
      <c r="AW1820" s="2"/>
      <c r="AX1820" s="2"/>
      <c r="AY1820" s="2">
        <v>41</v>
      </c>
      <c r="AZ1820" s="2" t="s">
        <v>82</v>
      </c>
      <c r="BA1820" s="2">
        <v>41</v>
      </c>
      <c r="BB1820" s="2" t="s">
        <v>82</v>
      </c>
      <c r="BC1820" s="2">
        <v>41</v>
      </c>
      <c r="BD1820" s="2" t="s">
        <v>82</v>
      </c>
      <c r="BE1820" s="2">
        <v>26</v>
      </c>
      <c r="BF1820" s="2" t="s">
        <v>1999</v>
      </c>
      <c r="BG1820" s="2" t="s">
        <v>6463</v>
      </c>
      <c r="BH1820" s="4">
        <v>0.25694444444444448</v>
      </c>
      <c r="BI1820" s="2"/>
      <c r="BJ1820" s="2">
        <v>75</v>
      </c>
      <c r="BK1820" s="2" t="s">
        <v>1264</v>
      </c>
      <c r="BL1820" s="2" t="s">
        <v>1361</v>
      </c>
      <c r="BM1820" s="2">
        <v>241</v>
      </c>
      <c r="BN1820" s="2" t="s">
        <v>82</v>
      </c>
      <c r="BO1820" s="2"/>
      <c r="BP1820" s="2">
        <v>13</v>
      </c>
      <c r="BQ1820" s="2" t="s">
        <v>91</v>
      </c>
      <c r="BR1820" s="2" t="s">
        <v>5300</v>
      </c>
      <c r="BS1820" s="3">
        <v>40300</v>
      </c>
      <c r="BT1820" s="4">
        <v>0.51293981481481488</v>
      </c>
    </row>
    <row r="1821" spans="1:72" x14ac:dyDescent="0.25">
      <c r="A1821" s="2">
        <v>2624</v>
      </c>
      <c r="B1821" s="2">
        <v>2010</v>
      </c>
      <c r="C1821" s="2" t="s">
        <v>171</v>
      </c>
      <c r="D1821" s="2" t="s">
        <v>122</v>
      </c>
      <c r="E1821" s="2" t="s">
        <v>6430</v>
      </c>
      <c r="F1821" s="2">
        <v>393</v>
      </c>
      <c r="G1821" s="2" t="s">
        <v>3660</v>
      </c>
      <c r="H1821" s="2">
        <v>3</v>
      </c>
      <c r="I1821" s="2" t="s">
        <v>315</v>
      </c>
      <c r="J1821" s="2">
        <v>2</v>
      </c>
      <c r="K1821" s="2" t="s">
        <v>3661</v>
      </c>
      <c r="L1821" s="2" t="s">
        <v>3662</v>
      </c>
      <c r="M1821" s="3">
        <v>40300</v>
      </c>
      <c r="N1821" s="2" t="s">
        <v>3663</v>
      </c>
      <c r="O1821" s="2" t="s">
        <v>107</v>
      </c>
      <c r="P1821" s="2" t="s">
        <v>107</v>
      </c>
      <c r="Q1821" s="2" t="str">
        <f>"233-E/10"</f>
        <v>233-E/10</v>
      </c>
      <c r="R1821" s="2" t="s">
        <v>391</v>
      </c>
      <c r="S1821" s="2" t="s">
        <v>107</v>
      </c>
      <c r="T1821" s="2">
        <v>1</v>
      </c>
      <c r="U1821" s="2" t="s">
        <v>79</v>
      </c>
      <c r="V1821" s="2">
        <v>1</v>
      </c>
      <c r="W1821" s="2" t="s">
        <v>80</v>
      </c>
      <c r="X1821" s="2">
        <v>1</v>
      </c>
      <c r="Y1821" s="2" t="s">
        <v>81</v>
      </c>
      <c r="Z1821" s="2">
        <v>1</v>
      </c>
      <c r="AA1821" s="2" t="s">
        <v>82</v>
      </c>
      <c r="AB1821" s="2">
        <v>1</v>
      </c>
      <c r="AC1821" s="2" t="s">
        <v>178</v>
      </c>
      <c r="AD1821" s="3">
        <v>40298</v>
      </c>
      <c r="AE1821" s="4">
        <v>0.50694444444444442</v>
      </c>
      <c r="AF1821" s="2"/>
      <c r="AG1821" s="2"/>
      <c r="AH1821" s="2">
        <v>2</v>
      </c>
      <c r="AI1821" s="2" t="s">
        <v>84</v>
      </c>
      <c r="AJ1821" s="2">
        <v>9</v>
      </c>
      <c r="AK1821" s="2" t="s">
        <v>103</v>
      </c>
      <c r="AL1821" s="2">
        <v>14</v>
      </c>
      <c r="AM1821" s="2" t="s">
        <v>216</v>
      </c>
      <c r="AN1821" s="2" t="s">
        <v>107</v>
      </c>
      <c r="AO1821" s="2" t="s">
        <v>179</v>
      </c>
      <c r="AP1821" s="2">
        <v>11</v>
      </c>
      <c r="AQ1821" s="2" t="s">
        <v>82</v>
      </c>
      <c r="AR1821" s="2"/>
      <c r="AS1821" s="2"/>
      <c r="AT1821" s="2" t="s">
        <v>6464</v>
      </c>
      <c r="AU1821" s="2"/>
      <c r="AV1821" s="2">
        <v>1</v>
      </c>
      <c r="AW1821" s="2"/>
      <c r="AX1821" s="2"/>
      <c r="AY1821" s="2">
        <v>41</v>
      </c>
      <c r="AZ1821" s="2" t="s">
        <v>82</v>
      </c>
      <c r="BA1821" s="2">
        <v>41</v>
      </c>
      <c r="BB1821" s="2" t="s">
        <v>82</v>
      </c>
      <c r="BC1821" s="2">
        <v>41</v>
      </c>
      <c r="BD1821" s="2" t="s">
        <v>82</v>
      </c>
      <c r="BE1821" s="2">
        <v>23</v>
      </c>
      <c r="BF1821" s="2" t="s">
        <v>183</v>
      </c>
      <c r="BG1821" s="2" t="s">
        <v>184</v>
      </c>
      <c r="BH1821" s="2"/>
      <c r="BI1821" s="4">
        <v>0.54166666666666663</v>
      </c>
      <c r="BJ1821" s="2">
        <v>13</v>
      </c>
      <c r="BK1821" s="2" t="s">
        <v>91</v>
      </c>
      <c r="BL1821" s="2" t="s">
        <v>4251</v>
      </c>
      <c r="BM1821" s="2">
        <v>241</v>
      </c>
      <c r="BN1821" s="2" t="s">
        <v>82</v>
      </c>
      <c r="BO1821" s="2"/>
      <c r="BP1821" s="2">
        <v>73</v>
      </c>
      <c r="BQ1821" s="2" t="s">
        <v>186</v>
      </c>
      <c r="BR1821" s="2" t="s">
        <v>187</v>
      </c>
      <c r="BS1821" s="3">
        <v>40300</v>
      </c>
      <c r="BT1821" s="4">
        <v>0.7525115740740741</v>
      </c>
    </row>
    <row r="1822" spans="1:72" x14ac:dyDescent="0.25">
      <c r="A1822" s="2">
        <v>2625</v>
      </c>
      <c r="B1822" s="2">
        <v>2010</v>
      </c>
      <c r="C1822" s="2" t="s">
        <v>659</v>
      </c>
      <c r="D1822" s="2" t="s">
        <v>73</v>
      </c>
      <c r="E1822" s="2"/>
      <c r="F1822" s="2">
        <v>553</v>
      </c>
      <c r="G1822" s="2" t="s">
        <v>6434</v>
      </c>
      <c r="H1822" s="2">
        <v>5</v>
      </c>
      <c r="I1822" s="2" t="s">
        <v>634</v>
      </c>
      <c r="J1822" s="2">
        <v>412</v>
      </c>
      <c r="K1822" s="2" t="s">
        <v>6435</v>
      </c>
      <c r="L1822" s="2" t="s">
        <v>2188</v>
      </c>
      <c r="M1822" s="3">
        <v>40300</v>
      </c>
      <c r="N1822" s="2" t="s">
        <v>6465</v>
      </c>
      <c r="O1822" s="2" t="s">
        <v>6466</v>
      </c>
      <c r="P1822" s="2" t="s">
        <v>82</v>
      </c>
      <c r="Q1822" s="2" t="str">
        <f>"PS Nº 19/2010"</f>
        <v>PS Nº 19/2010</v>
      </c>
      <c r="R1822" s="2" t="s">
        <v>82</v>
      </c>
      <c r="S1822" s="2" t="s">
        <v>6467</v>
      </c>
      <c r="T1822" s="2">
        <v>1</v>
      </c>
      <c r="U1822" s="2" t="s">
        <v>79</v>
      </c>
      <c r="V1822" s="2">
        <v>1</v>
      </c>
      <c r="W1822" s="2" t="s">
        <v>80</v>
      </c>
      <c r="X1822" s="2">
        <v>1</v>
      </c>
      <c r="Y1822" s="2" t="s">
        <v>81</v>
      </c>
      <c r="Z1822" s="2">
        <v>1</v>
      </c>
      <c r="AA1822" s="2" t="s">
        <v>82</v>
      </c>
      <c r="AB1822" s="2">
        <v>9</v>
      </c>
      <c r="AC1822" s="2" t="s">
        <v>124</v>
      </c>
      <c r="AD1822" s="3">
        <v>40300</v>
      </c>
      <c r="AE1822" s="4">
        <v>0.71875</v>
      </c>
      <c r="AF1822" s="2"/>
      <c r="AG1822" s="2"/>
      <c r="AH1822" s="2">
        <v>5</v>
      </c>
      <c r="AI1822" s="2" t="s">
        <v>274</v>
      </c>
      <c r="AJ1822" s="2">
        <v>42</v>
      </c>
      <c r="AK1822" s="2" t="s">
        <v>660</v>
      </c>
      <c r="AL1822" s="2">
        <v>28</v>
      </c>
      <c r="AM1822" s="2" t="s">
        <v>5969</v>
      </c>
      <c r="AN1822" s="2" t="s">
        <v>6468</v>
      </c>
      <c r="AO1822" s="2" t="s">
        <v>661</v>
      </c>
      <c r="AP1822" s="2">
        <v>11</v>
      </c>
      <c r="AQ1822" s="2" t="s">
        <v>82</v>
      </c>
      <c r="AR1822" s="2" t="s">
        <v>82</v>
      </c>
      <c r="AS1822" s="2" t="s">
        <v>82</v>
      </c>
      <c r="AT1822" s="2" t="s">
        <v>6469</v>
      </c>
      <c r="AU1822" s="2"/>
      <c r="AV1822" s="2"/>
      <c r="AW1822" s="2"/>
      <c r="AX1822" s="2"/>
      <c r="AY1822" s="2">
        <v>41</v>
      </c>
      <c r="AZ1822" s="2" t="s">
        <v>82</v>
      </c>
      <c r="BA1822" s="2">
        <v>41</v>
      </c>
      <c r="BB1822" s="2" t="s">
        <v>82</v>
      </c>
      <c r="BC1822" s="2">
        <v>41</v>
      </c>
      <c r="BD1822" s="2" t="s">
        <v>82</v>
      </c>
      <c r="BE1822" s="2">
        <v>41</v>
      </c>
      <c r="BF1822" s="2" t="s">
        <v>82</v>
      </c>
      <c r="BG1822" s="2" t="s">
        <v>82</v>
      </c>
      <c r="BH1822" s="2"/>
      <c r="BI1822" s="2"/>
      <c r="BJ1822" s="2">
        <v>241</v>
      </c>
      <c r="BK1822" s="2" t="s">
        <v>82</v>
      </c>
      <c r="BL1822" s="2" t="s">
        <v>82</v>
      </c>
      <c r="BM1822" s="2">
        <v>241</v>
      </c>
      <c r="BN1822" s="2" t="s">
        <v>82</v>
      </c>
      <c r="BO1822" s="2" t="s">
        <v>82</v>
      </c>
      <c r="BP1822" s="2">
        <v>241</v>
      </c>
      <c r="BQ1822" s="2" t="s">
        <v>82</v>
      </c>
      <c r="BR1822" s="2" t="s">
        <v>82</v>
      </c>
      <c r="BS1822" s="3">
        <v>40300</v>
      </c>
      <c r="BT1822" s="4">
        <v>0.80339120370370365</v>
      </c>
    </row>
    <row r="1823" spans="1:72" x14ac:dyDescent="0.25">
      <c r="A1823" s="2">
        <v>2626</v>
      </c>
      <c r="B1823" s="2">
        <v>2010</v>
      </c>
      <c r="C1823" s="2" t="s">
        <v>72</v>
      </c>
      <c r="D1823" s="2" t="s">
        <v>73</v>
      </c>
      <c r="E1823" s="2"/>
      <c r="F1823" s="2">
        <v>390</v>
      </c>
      <c r="G1823" s="2" t="s">
        <v>475</v>
      </c>
      <c r="H1823" s="2">
        <v>6</v>
      </c>
      <c r="I1823" s="2" t="s">
        <v>1088</v>
      </c>
      <c r="J1823" s="2">
        <v>314</v>
      </c>
      <c r="K1823" s="2" t="s">
        <v>477</v>
      </c>
      <c r="L1823" s="2" t="s">
        <v>478</v>
      </c>
      <c r="M1823" s="3">
        <v>40300</v>
      </c>
      <c r="N1823" s="2" t="s">
        <v>6470</v>
      </c>
      <c r="O1823" s="2"/>
      <c r="P1823" s="2"/>
      <c r="Q1823" s="2" t="str">
        <f>"238-E/10"</f>
        <v>238-E/10</v>
      </c>
      <c r="R1823" s="2"/>
      <c r="S1823" s="2" t="s">
        <v>480</v>
      </c>
      <c r="T1823" s="2">
        <v>1</v>
      </c>
      <c r="U1823" s="2" t="s">
        <v>79</v>
      </c>
      <c r="V1823" s="2">
        <v>1</v>
      </c>
      <c r="W1823" s="2" t="s">
        <v>80</v>
      </c>
      <c r="X1823" s="2">
        <v>12</v>
      </c>
      <c r="Y1823" s="2" t="s">
        <v>148</v>
      </c>
      <c r="Z1823" s="2">
        <v>1</v>
      </c>
      <c r="AA1823" s="2" t="s">
        <v>82</v>
      </c>
      <c r="AB1823" s="2">
        <v>6</v>
      </c>
      <c r="AC1823" s="2" t="s">
        <v>83</v>
      </c>
      <c r="AD1823" s="3">
        <v>40297</v>
      </c>
      <c r="AE1823" s="4">
        <v>0.33333333333333331</v>
      </c>
      <c r="AF1823" s="3">
        <v>40300</v>
      </c>
      <c r="AG1823" s="4">
        <v>0.79166666666666663</v>
      </c>
      <c r="AH1823" s="2">
        <v>2</v>
      </c>
      <c r="AI1823" s="2" t="s">
        <v>84</v>
      </c>
      <c r="AJ1823" s="2">
        <v>9</v>
      </c>
      <c r="AK1823" s="2" t="s">
        <v>103</v>
      </c>
      <c r="AL1823" s="2">
        <v>22</v>
      </c>
      <c r="AM1823" s="2" t="s">
        <v>1853</v>
      </c>
      <c r="AN1823" s="2" t="s">
        <v>6471</v>
      </c>
      <c r="AO1823" s="2"/>
      <c r="AP1823" s="2">
        <v>11</v>
      </c>
      <c r="AQ1823" s="2" t="s">
        <v>82</v>
      </c>
      <c r="AR1823" s="2"/>
      <c r="AS1823" s="2"/>
      <c r="AT1823" s="2" t="s">
        <v>6472</v>
      </c>
      <c r="AU1823" s="2"/>
      <c r="AV1823" s="2"/>
      <c r="AW1823" s="2"/>
      <c r="AX1823" s="2"/>
      <c r="AY1823" s="2">
        <v>41</v>
      </c>
      <c r="AZ1823" s="2" t="s">
        <v>82</v>
      </c>
      <c r="BA1823" s="2">
        <v>41</v>
      </c>
      <c r="BB1823" s="2" t="s">
        <v>82</v>
      </c>
      <c r="BC1823" s="2">
        <v>41</v>
      </c>
      <c r="BD1823" s="2" t="s">
        <v>82</v>
      </c>
      <c r="BE1823" s="2">
        <v>23</v>
      </c>
      <c r="BF1823" s="2" t="s">
        <v>183</v>
      </c>
      <c r="BG1823" s="2" t="s">
        <v>1375</v>
      </c>
      <c r="BH1823" s="4">
        <v>0.32291666666666669</v>
      </c>
      <c r="BI1823" s="2"/>
      <c r="BJ1823" s="2">
        <v>73</v>
      </c>
      <c r="BK1823" s="2" t="s">
        <v>186</v>
      </c>
      <c r="BL1823" s="2" t="s">
        <v>187</v>
      </c>
      <c r="BM1823" s="2">
        <v>241</v>
      </c>
      <c r="BN1823" s="2" t="s">
        <v>82</v>
      </c>
      <c r="BO1823" s="2"/>
      <c r="BP1823" s="2">
        <v>13</v>
      </c>
      <c r="BQ1823" s="2" t="s">
        <v>91</v>
      </c>
      <c r="BR1823" s="2" t="s">
        <v>5306</v>
      </c>
      <c r="BS1823" s="3">
        <v>40300</v>
      </c>
      <c r="BT1823" s="4">
        <v>0.92483796296296295</v>
      </c>
    </row>
    <row r="1824" spans="1:72" x14ac:dyDescent="0.25">
      <c r="A1824" s="2">
        <v>2627</v>
      </c>
      <c r="B1824" s="2">
        <v>2010</v>
      </c>
      <c r="C1824" s="2" t="s">
        <v>72</v>
      </c>
      <c r="D1824" s="2" t="s">
        <v>73</v>
      </c>
      <c r="E1824" s="2"/>
      <c r="F1824" s="2">
        <v>390</v>
      </c>
      <c r="G1824" s="2" t="s">
        <v>475</v>
      </c>
      <c r="H1824" s="2">
        <v>6</v>
      </c>
      <c r="I1824" s="2" t="s">
        <v>1088</v>
      </c>
      <c r="J1824" s="2">
        <v>314</v>
      </c>
      <c r="K1824" s="2" t="s">
        <v>477</v>
      </c>
      <c r="L1824" s="2" t="s">
        <v>478</v>
      </c>
      <c r="M1824" s="3">
        <v>40301</v>
      </c>
      <c r="N1824" s="2" t="s">
        <v>6470</v>
      </c>
      <c r="O1824" s="2"/>
      <c r="P1824" s="2"/>
      <c r="Q1824" s="2" t="str">
        <f>"239-E/10"</f>
        <v>239-E/10</v>
      </c>
      <c r="R1824" s="2"/>
      <c r="S1824" s="2" t="s">
        <v>601</v>
      </c>
      <c r="T1824" s="2">
        <v>1</v>
      </c>
      <c r="U1824" s="2" t="s">
        <v>79</v>
      </c>
      <c r="V1824" s="2">
        <v>1</v>
      </c>
      <c r="W1824" s="2" t="s">
        <v>80</v>
      </c>
      <c r="X1824" s="2">
        <v>12</v>
      </c>
      <c r="Y1824" s="2" t="s">
        <v>148</v>
      </c>
      <c r="Z1824" s="2">
        <v>1</v>
      </c>
      <c r="AA1824" s="2" t="s">
        <v>82</v>
      </c>
      <c r="AB1824" s="2">
        <v>6</v>
      </c>
      <c r="AC1824" s="2" t="s">
        <v>83</v>
      </c>
      <c r="AD1824" s="3">
        <v>40300</v>
      </c>
      <c r="AE1824" s="4">
        <v>0.81944444444444453</v>
      </c>
      <c r="AF1824" s="3">
        <v>40300</v>
      </c>
      <c r="AG1824" s="4">
        <v>0.88194444444444453</v>
      </c>
      <c r="AH1824" s="2">
        <v>2</v>
      </c>
      <c r="AI1824" s="2" t="s">
        <v>84</v>
      </c>
      <c r="AJ1824" s="2">
        <v>9</v>
      </c>
      <c r="AK1824" s="2" t="s">
        <v>103</v>
      </c>
      <c r="AL1824" s="2">
        <v>22</v>
      </c>
      <c r="AM1824" s="2" t="s">
        <v>1853</v>
      </c>
      <c r="AN1824" s="2" t="s">
        <v>6473</v>
      </c>
      <c r="AO1824" s="2"/>
      <c r="AP1824" s="2">
        <v>11</v>
      </c>
      <c r="AQ1824" s="2" t="s">
        <v>82</v>
      </c>
      <c r="AR1824" s="2"/>
      <c r="AS1824" s="2"/>
      <c r="AT1824" s="2" t="s">
        <v>6474</v>
      </c>
      <c r="AU1824" s="2"/>
      <c r="AV1824" s="2"/>
      <c r="AW1824" s="2"/>
      <c r="AX1824" s="2"/>
      <c r="AY1824" s="2">
        <v>41</v>
      </c>
      <c r="AZ1824" s="2" t="s">
        <v>82</v>
      </c>
      <c r="BA1824" s="2">
        <v>41</v>
      </c>
      <c r="BB1824" s="2" t="s">
        <v>82</v>
      </c>
      <c r="BC1824" s="2">
        <v>41</v>
      </c>
      <c r="BD1824" s="2" t="s">
        <v>82</v>
      </c>
      <c r="BE1824" s="2">
        <v>13</v>
      </c>
      <c r="BF1824" s="2" t="s">
        <v>108</v>
      </c>
      <c r="BG1824" s="2" t="s">
        <v>2962</v>
      </c>
      <c r="BH1824" s="4">
        <v>0.80555555555555547</v>
      </c>
      <c r="BI1824" s="2"/>
      <c r="BJ1824" s="2">
        <v>75</v>
      </c>
      <c r="BK1824" s="2" t="s">
        <v>1264</v>
      </c>
      <c r="BL1824" s="2" t="s">
        <v>1361</v>
      </c>
      <c r="BM1824" s="2">
        <v>241</v>
      </c>
      <c r="BN1824" s="2" t="s">
        <v>82</v>
      </c>
      <c r="BO1824" s="2"/>
      <c r="BP1824" s="2">
        <v>13</v>
      </c>
      <c r="BQ1824" s="2" t="s">
        <v>91</v>
      </c>
      <c r="BR1824" s="2" t="s">
        <v>5306</v>
      </c>
      <c r="BS1824" s="3">
        <v>40301</v>
      </c>
      <c r="BT1824" s="4">
        <v>0.11890046296296297</v>
      </c>
    </row>
    <row r="1825" spans="1:72" x14ac:dyDescent="0.25">
      <c r="A1825" s="2">
        <v>2628</v>
      </c>
      <c r="B1825" s="2">
        <v>2010</v>
      </c>
      <c r="C1825" s="2" t="s">
        <v>72</v>
      </c>
      <c r="D1825" s="2" t="s">
        <v>73</v>
      </c>
      <c r="E1825" s="2"/>
      <c r="F1825" s="2">
        <v>2</v>
      </c>
      <c r="G1825" s="2" t="s">
        <v>113</v>
      </c>
      <c r="H1825" s="2">
        <v>1</v>
      </c>
      <c r="I1825" s="2" t="s">
        <v>82</v>
      </c>
      <c r="J1825" s="2">
        <v>300</v>
      </c>
      <c r="K1825" s="2" t="s">
        <v>114</v>
      </c>
      <c r="L1825" s="2" t="s">
        <v>115</v>
      </c>
      <c r="M1825" s="3">
        <v>40301</v>
      </c>
      <c r="N1825" s="2" t="s">
        <v>5649</v>
      </c>
      <c r="O1825" s="2"/>
      <c r="P1825" s="2"/>
      <c r="Q1825" s="2" t="str">
        <f>"240-E/10"</f>
        <v>240-E/10</v>
      </c>
      <c r="R1825" s="2"/>
      <c r="S1825" s="2" t="s">
        <v>116</v>
      </c>
      <c r="T1825" s="2">
        <v>1</v>
      </c>
      <c r="U1825" s="2" t="s">
        <v>79</v>
      </c>
      <c r="V1825" s="2">
        <v>1</v>
      </c>
      <c r="W1825" s="2" t="s">
        <v>80</v>
      </c>
      <c r="X1825" s="2">
        <v>12</v>
      </c>
      <c r="Y1825" s="2" t="s">
        <v>148</v>
      </c>
      <c r="Z1825" s="2">
        <v>1</v>
      </c>
      <c r="AA1825" s="2" t="s">
        <v>82</v>
      </c>
      <c r="AB1825" s="2">
        <v>6</v>
      </c>
      <c r="AC1825" s="2" t="s">
        <v>83</v>
      </c>
      <c r="AD1825" s="3">
        <v>40300</v>
      </c>
      <c r="AE1825" s="4">
        <v>0.875</v>
      </c>
      <c r="AF1825" s="3">
        <v>40300</v>
      </c>
      <c r="AG1825" s="4">
        <v>0.9375</v>
      </c>
      <c r="AH1825" s="2">
        <v>2</v>
      </c>
      <c r="AI1825" s="2" t="s">
        <v>84</v>
      </c>
      <c r="AJ1825" s="2">
        <v>9</v>
      </c>
      <c r="AK1825" s="2" t="s">
        <v>103</v>
      </c>
      <c r="AL1825" s="2">
        <v>17</v>
      </c>
      <c r="AM1825" s="2" t="s">
        <v>232</v>
      </c>
      <c r="AN1825" s="2" t="s">
        <v>6475</v>
      </c>
      <c r="AO1825" s="2"/>
      <c r="AP1825" s="2">
        <v>11</v>
      </c>
      <c r="AQ1825" s="2" t="s">
        <v>82</v>
      </c>
      <c r="AR1825" s="2"/>
      <c r="AS1825" s="2"/>
      <c r="AT1825" s="2" t="s">
        <v>6476</v>
      </c>
      <c r="AU1825" s="2"/>
      <c r="AV1825" s="2"/>
      <c r="AW1825" s="2"/>
      <c r="AX1825" s="2"/>
      <c r="AY1825" s="2">
        <v>41</v>
      </c>
      <c r="AZ1825" s="2" t="s">
        <v>82</v>
      </c>
      <c r="BA1825" s="2">
        <v>41</v>
      </c>
      <c r="BB1825" s="2" t="s">
        <v>82</v>
      </c>
      <c r="BC1825" s="2">
        <v>41</v>
      </c>
      <c r="BD1825" s="2" t="s">
        <v>82</v>
      </c>
      <c r="BE1825" s="2">
        <v>13</v>
      </c>
      <c r="BF1825" s="2" t="s">
        <v>108</v>
      </c>
      <c r="BG1825" s="2" t="s">
        <v>6477</v>
      </c>
      <c r="BH1825" s="2"/>
      <c r="BI1825" s="4">
        <v>0.95277777777777783</v>
      </c>
      <c r="BJ1825" s="2">
        <v>13</v>
      </c>
      <c r="BK1825" s="2" t="s">
        <v>91</v>
      </c>
      <c r="BL1825" s="2" t="s">
        <v>6478</v>
      </c>
      <c r="BM1825" s="2">
        <v>241</v>
      </c>
      <c r="BN1825" s="2" t="s">
        <v>82</v>
      </c>
      <c r="BO1825" s="2"/>
      <c r="BP1825" s="2">
        <v>75</v>
      </c>
      <c r="BQ1825" s="2" t="s">
        <v>1264</v>
      </c>
      <c r="BR1825" s="2" t="s">
        <v>1361</v>
      </c>
      <c r="BS1825" s="3">
        <v>40301</v>
      </c>
      <c r="BT1825" s="4">
        <v>0.15104166666666666</v>
      </c>
    </row>
    <row r="1826" spans="1:72" x14ac:dyDescent="0.25">
      <c r="A1826" s="2">
        <v>2629</v>
      </c>
      <c r="B1826" s="2">
        <v>2010</v>
      </c>
      <c r="C1826" s="2" t="s">
        <v>171</v>
      </c>
      <c r="D1826" s="2" t="s">
        <v>122</v>
      </c>
      <c r="E1826" s="2" t="s">
        <v>6479</v>
      </c>
      <c r="F1826" s="2">
        <v>393</v>
      </c>
      <c r="G1826" s="2" t="s">
        <v>3660</v>
      </c>
      <c r="H1826" s="2">
        <v>3</v>
      </c>
      <c r="I1826" s="2" t="s">
        <v>315</v>
      </c>
      <c r="J1826" s="2">
        <v>2</v>
      </c>
      <c r="K1826" s="2" t="s">
        <v>3661</v>
      </c>
      <c r="L1826" s="2" t="s">
        <v>3662</v>
      </c>
      <c r="M1826" s="3">
        <v>40301</v>
      </c>
      <c r="N1826" s="2" t="s">
        <v>3663</v>
      </c>
      <c r="O1826" s="2" t="s">
        <v>107</v>
      </c>
      <c r="P1826" s="2" t="s">
        <v>107</v>
      </c>
      <c r="Q1826" s="2" t="str">
        <f>"233-E/10"</f>
        <v>233-E/10</v>
      </c>
      <c r="R1826" s="2" t="s">
        <v>107</v>
      </c>
      <c r="S1826" s="2" t="s">
        <v>391</v>
      </c>
      <c r="T1826" s="2">
        <v>1</v>
      </c>
      <c r="U1826" s="2" t="s">
        <v>79</v>
      </c>
      <c r="V1826" s="2">
        <v>1</v>
      </c>
      <c r="W1826" s="2" t="s">
        <v>80</v>
      </c>
      <c r="X1826" s="2">
        <v>1</v>
      </c>
      <c r="Y1826" s="2" t="s">
        <v>81</v>
      </c>
      <c r="Z1826" s="2">
        <v>1</v>
      </c>
      <c r="AA1826" s="2" t="s">
        <v>82</v>
      </c>
      <c r="AB1826" s="2">
        <v>1</v>
      </c>
      <c r="AC1826" s="2" t="s">
        <v>178</v>
      </c>
      <c r="AD1826" s="3">
        <v>40298</v>
      </c>
      <c r="AE1826" s="4">
        <v>0.50694444444444442</v>
      </c>
      <c r="AF1826" s="2"/>
      <c r="AG1826" s="2"/>
      <c r="AH1826" s="2">
        <v>2</v>
      </c>
      <c r="AI1826" s="2" t="s">
        <v>84</v>
      </c>
      <c r="AJ1826" s="2">
        <v>9</v>
      </c>
      <c r="AK1826" s="2" t="s">
        <v>103</v>
      </c>
      <c r="AL1826" s="2">
        <v>14</v>
      </c>
      <c r="AM1826" s="2" t="s">
        <v>216</v>
      </c>
      <c r="AN1826" s="2" t="s">
        <v>107</v>
      </c>
      <c r="AO1826" s="2" t="s">
        <v>179</v>
      </c>
      <c r="AP1826" s="2">
        <v>11</v>
      </c>
      <c r="AQ1826" s="2" t="s">
        <v>82</v>
      </c>
      <c r="AR1826" s="2"/>
      <c r="AS1826" s="2"/>
      <c r="AT1826" s="2" t="s">
        <v>6480</v>
      </c>
      <c r="AU1826" s="2"/>
      <c r="AV1826" s="2">
        <v>1</v>
      </c>
      <c r="AW1826" s="2"/>
      <c r="AX1826" s="2"/>
      <c r="AY1826" s="2">
        <v>41</v>
      </c>
      <c r="AZ1826" s="2" t="s">
        <v>82</v>
      </c>
      <c r="BA1826" s="2">
        <v>41</v>
      </c>
      <c r="BB1826" s="2" t="s">
        <v>82</v>
      </c>
      <c r="BC1826" s="2">
        <v>41</v>
      </c>
      <c r="BD1826" s="2" t="s">
        <v>82</v>
      </c>
      <c r="BE1826" s="2">
        <v>23</v>
      </c>
      <c r="BF1826" s="2" t="s">
        <v>183</v>
      </c>
      <c r="BG1826" s="2" t="s">
        <v>184</v>
      </c>
      <c r="BH1826" s="2"/>
      <c r="BI1826" s="4">
        <v>0.54166666666666663</v>
      </c>
      <c r="BJ1826" s="2">
        <v>13</v>
      </c>
      <c r="BK1826" s="2" t="s">
        <v>91</v>
      </c>
      <c r="BL1826" s="2" t="s">
        <v>4251</v>
      </c>
      <c r="BM1826" s="2">
        <v>241</v>
      </c>
      <c r="BN1826" s="2" t="s">
        <v>82</v>
      </c>
      <c r="BO1826" s="2"/>
      <c r="BP1826" s="2">
        <v>73</v>
      </c>
      <c r="BQ1826" s="2" t="s">
        <v>186</v>
      </c>
      <c r="BR1826" s="2" t="s">
        <v>187</v>
      </c>
      <c r="BS1826" s="3">
        <v>40301</v>
      </c>
      <c r="BT1826" s="4">
        <v>0.33164351851851853</v>
      </c>
    </row>
    <row r="1827" spans="1:72" x14ac:dyDescent="0.25">
      <c r="A1827" s="2">
        <v>2630</v>
      </c>
      <c r="B1827" s="2">
        <v>2010</v>
      </c>
      <c r="C1827" s="2" t="s">
        <v>93</v>
      </c>
      <c r="D1827" s="2" t="s">
        <v>122</v>
      </c>
      <c r="E1827" s="2" t="s">
        <v>6481</v>
      </c>
      <c r="F1827" s="2">
        <v>394</v>
      </c>
      <c r="G1827" s="2" t="s">
        <v>172</v>
      </c>
      <c r="H1827" s="2">
        <v>4</v>
      </c>
      <c r="I1827" s="2" t="s">
        <v>173</v>
      </c>
      <c r="J1827" s="2">
        <v>241</v>
      </c>
      <c r="K1827" s="2" t="s">
        <v>174</v>
      </c>
      <c r="L1827" s="2" t="s">
        <v>175</v>
      </c>
      <c r="M1827" s="3">
        <v>40301</v>
      </c>
      <c r="N1827" s="2" t="s">
        <v>176</v>
      </c>
      <c r="O1827" s="2" t="s">
        <v>6432</v>
      </c>
      <c r="P1827" s="2" t="s">
        <v>203</v>
      </c>
      <c r="Q1827" s="2" t="str">
        <f>"N/C"</f>
        <v>N/C</v>
      </c>
      <c r="R1827" s="2" t="s">
        <v>100</v>
      </c>
      <c r="S1827" s="2" t="s">
        <v>100</v>
      </c>
      <c r="T1827" s="2">
        <v>1</v>
      </c>
      <c r="U1827" s="2" t="s">
        <v>79</v>
      </c>
      <c r="V1827" s="2">
        <v>1</v>
      </c>
      <c r="W1827" s="2" t="s">
        <v>80</v>
      </c>
      <c r="X1827" s="2">
        <v>5</v>
      </c>
      <c r="Y1827" s="2" t="s">
        <v>82</v>
      </c>
      <c r="Z1827" s="2">
        <v>1</v>
      </c>
      <c r="AA1827" s="2" t="s">
        <v>82</v>
      </c>
      <c r="AB1827" s="2">
        <v>2</v>
      </c>
      <c r="AC1827" s="2" t="s">
        <v>102</v>
      </c>
      <c r="AD1827" s="3">
        <v>40299</v>
      </c>
      <c r="AE1827" s="4">
        <v>0.79166666666666663</v>
      </c>
      <c r="AF1827" s="2"/>
      <c r="AG1827" s="2"/>
      <c r="AH1827" s="2">
        <v>2</v>
      </c>
      <c r="AI1827" s="2" t="s">
        <v>84</v>
      </c>
      <c r="AJ1827" s="2">
        <v>9</v>
      </c>
      <c r="AK1827" s="2" t="s">
        <v>103</v>
      </c>
      <c r="AL1827" s="2">
        <v>14</v>
      </c>
      <c r="AM1827" s="2" t="s">
        <v>216</v>
      </c>
      <c r="AN1827" s="2"/>
      <c r="AO1827" s="2" t="s">
        <v>105</v>
      </c>
      <c r="AP1827" s="2">
        <v>11</v>
      </c>
      <c r="AQ1827" s="2" t="s">
        <v>82</v>
      </c>
      <c r="AR1827" s="2"/>
      <c r="AS1827" s="2"/>
      <c r="AT1827" s="2" t="s">
        <v>6482</v>
      </c>
      <c r="AU1827" s="2"/>
      <c r="AV1827" s="2">
        <v>1</v>
      </c>
      <c r="AW1827" s="2"/>
      <c r="AX1827" s="2"/>
      <c r="AY1827" s="2">
        <v>41</v>
      </c>
      <c r="AZ1827" s="2" t="s">
        <v>82</v>
      </c>
      <c r="BA1827" s="2">
        <v>41</v>
      </c>
      <c r="BB1827" s="2" t="s">
        <v>82</v>
      </c>
      <c r="BC1827" s="2">
        <v>41</v>
      </c>
      <c r="BD1827" s="2" t="s">
        <v>82</v>
      </c>
      <c r="BE1827" s="2">
        <v>6</v>
      </c>
      <c r="BF1827" s="2" t="s">
        <v>616</v>
      </c>
      <c r="BG1827" s="2" t="s">
        <v>1599</v>
      </c>
      <c r="BH1827" s="2"/>
      <c r="BI1827" s="2"/>
      <c r="BJ1827" s="2">
        <v>13</v>
      </c>
      <c r="BK1827" s="2" t="s">
        <v>91</v>
      </c>
      <c r="BL1827" s="2" t="s">
        <v>185</v>
      </c>
      <c r="BM1827" s="2">
        <v>241</v>
      </c>
      <c r="BN1827" s="2" t="s">
        <v>82</v>
      </c>
      <c r="BO1827" s="2"/>
      <c r="BP1827" s="2">
        <v>4</v>
      </c>
      <c r="BQ1827" s="2" t="s">
        <v>618</v>
      </c>
      <c r="BR1827" s="2" t="s">
        <v>619</v>
      </c>
      <c r="BS1827" s="3">
        <v>40301</v>
      </c>
      <c r="BT1827" s="4">
        <v>0.33574074074074073</v>
      </c>
    </row>
    <row r="1828" spans="1:72" x14ac:dyDescent="0.25">
      <c r="A1828" s="2">
        <v>2631</v>
      </c>
      <c r="B1828" s="2">
        <v>2010</v>
      </c>
      <c r="C1828" s="2" t="s">
        <v>171</v>
      </c>
      <c r="D1828" s="2" t="s">
        <v>122</v>
      </c>
      <c r="E1828" s="2" t="s">
        <v>6483</v>
      </c>
      <c r="F1828" s="2">
        <v>227</v>
      </c>
      <c r="G1828" s="2" t="s">
        <v>6455</v>
      </c>
      <c r="H1828" s="2">
        <v>4</v>
      </c>
      <c r="I1828" s="2" t="s">
        <v>173</v>
      </c>
      <c r="J1828" s="2">
        <v>241</v>
      </c>
      <c r="K1828" s="2" t="s">
        <v>174</v>
      </c>
      <c r="L1828" s="2" t="s">
        <v>175</v>
      </c>
      <c r="M1828" s="3">
        <v>40301</v>
      </c>
      <c r="N1828" s="2" t="s">
        <v>176</v>
      </c>
      <c r="O1828" s="2" t="s">
        <v>107</v>
      </c>
      <c r="P1828" s="2" t="s">
        <v>107</v>
      </c>
      <c r="Q1828" s="2" t="str">
        <f>"235-E/10"</f>
        <v>235-E/10</v>
      </c>
      <c r="R1828" s="2" t="s">
        <v>391</v>
      </c>
      <c r="S1828" s="2" t="s">
        <v>391</v>
      </c>
      <c r="T1828" s="2">
        <v>1</v>
      </c>
      <c r="U1828" s="2" t="s">
        <v>79</v>
      </c>
      <c r="V1828" s="2">
        <v>1</v>
      </c>
      <c r="W1828" s="2" t="s">
        <v>80</v>
      </c>
      <c r="X1828" s="2">
        <v>1</v>
      </c>
      <c r="Y1828" s="2" t="s">
        <v>81</v>
      </c>
      <c r="Z1828" s="2">
        <v>1</v>
      </c>
      <c r="AA1828" s="2" t="s">
        <v>82</v>
      </c>
      <c r="AB1828" s="2">
        <v>1</v>
      </c>
      <c r="AC1828" s="2" t="s">
        <v>178</v>
      </c>
      <c r="AD1828" s="3">
        <v>40299</v>
      </c>
      <c r="AE1828" s="4">
        <v>0.84375</v>
      </c>
      <c r="AF1828" s="2"/>
      <c r="AG1828" s="2"/>
      <c r="AH1828" s="2">
        <v>2</v>
      </c>
      <c r="AI1828" s="2" t="s">
        <v>84</v>
      </c>
      <c r="AJ1828" s="2">
        <v>9</v>
      </c>
      <c r="AK1828" s="2" t="s">
        <v>103</v>
      </c>
      <c r="AL1828" s="2">
        <v>15</v>
      </c>
      <c r="AM1828" s="2" t="s">
        <v>104</v>
      </c>
      <c r="AN1828" s="2" t="s">
        <v>179</v>
      </c>
      <c r="AO1828" s="2"/>
      <c r="AP1828" s="2">
        <v>11</v>
      </c>
      <c r="AQ1828" s="2" t="s">
        <v>82</v>
      </c>
      <c r="AR1828" s="2"/>
      <c r="AS1828" s="2"/>
      <c r="AT1828" s="2" t="s">
        <v>6484</v>
      </c>
      <c r="AU1828" s="2"/>
      <c r="AV1828" s="2">
        <v>1</v>
      </c>
      <c r="AW1828" s="2"/>
      <c r="AX1828" s="2"/>
      <c r="AY1828" s="2">
        <v>41</v>
      </c>
      <c r="AZ1828" s="2" t="s">
        <v>82</v>
      </c>
      <c r="BA1828" s="2">
        <v>41</v>
      </c>
      <c r="BB1828" s="2" t="s">
        <v>82</v>
      </c>
      <c r="BC1828" s="2">
        <v>41</v>
      </c>
      <c r="BD1828" s="2" t="s">
        <v>82</v>
      </c>
      <c r="BE1828" s="2">
        <v>13</v>
      </c>
      <c r="BF1828" s="2" t="s">
        <v>108</v>
      </c>
      <c r="BG1828" s="2" t="s">
        <v>592</v>
      </c>
      <c r="BH1828" s="2"/>
      <c r="BI1828" s="4">
        <v>0.94791666666666663</v>
      </c>
      <c r="BJ1828" s="2">
        <v>13</v>
      </c>
      <c r="BK1828" s="2" t="s">
        <v>91</v>
      </c>
      <c r="BL1828" s="2" t="s">
        <v>185</v>
      </c>
      <c r="BM1828" s="2">
        <v>241</v>
      </c>
      <c r="BN1828" s="2" t="s">
        <v>82</v>
      </c>
      <c r="BO1828" s="2"/>
      <c r="BP1828" s="2">
        <v>112</v>
      </c>
      <c r="BQ1828" s="2" t="s">
        <v>110</v>
      </c>
      <c r="BR1828" s="2" t="s">
        <v>111</v>
      </c>
      <c r="BS1828" s="3">
        <v>40301</v>
      </c>
      <c r="BT1828" s="4">
        <v>0.35399305555555555</v>
      </c>
    </row>
    <row r="1829" spans="1:72" x14ac:dyDescent="0.25">
      <c r="A1829" s="2">
        <v>2632</v>
      </c>
      <c r="B1829" s="2">
        <v>2010</v>
      </c>
      <c r="C1829" s="2" t="s">
        <v>171</v>
      </c>
      <c r="D1829" s="2" t="s">
        <v>122</v>
      </c>
      <c r="E1829" s="2" t="s">
        <v>6485</v>
      </c>
      <c r="F1829" s="2">
        <v>227</v>
      </c>
      <c r="G1829" s="2" t="s">
        <v>6455</v>
      </c>
      <c r="H1829" s="2">
        <v>4</v>
      </c>
      <c r="I1829" s="2" t="s">
        <v>173</v>
      </c>
      <c r="J1829" s="2">
        <v>241</v>
      </c>
      <c r="K1829" s="2" t="s">
        <v>174</v>
      </c>
      <c r="L1829" s="2" t="s">
        <v>175</v>
      </c>
      <c r="M1829" s="3">
        <v>40301</v>
      </c>
      <c r="N1829" s="2" t="s">
        <v>176</v>
      </c>
      <c r="O1829" s="2" t="s">
        <v>107</v>
      </c>
      <c r="P1829" s="2" t="s">
        <v>107</v>
      </c>
      <c r="Q1829" s="2" t="str">
        <f>"236-E/10"</f>
        <v>236-E/10</v>
      </c>
      <c r="R1829" s="2" t="s">
        <v>391</v>
      </c>
      <c r="S1829" s="2" t="s">
        <v>391</v>
      </c>
      <c r="T1829" s="2">
        <v>1</v>
      </c>
      <c r="U1829" s="2" t="s">
        <v>79</v>
      </c>
      <c r="V1829" s="2">
        <v>1</v>
      </c>
      <c r="W1829" s="2" t="s">
        <v>80</v>
      </c>
      <c r="X1829" s="2">
        <v>1</v>
      </c>
      <c r="Y1829" s="2" t="s">
        <v>81</v>
      </c>
      <c r="Z1829" s="2">
        <v>1</v>
      </c>
      <c r="AA1829" s="2" t="s">
        <v>82</v>
      </c>
      <c r="AB1829" s="2">
        <v>1</v>
      </c>
      <c r="AC1829" s="2" t="s">
        <v>178</v>
      </c>
      <c r="AD1829" s="3">
        <v>40299</v>
      </c>
      <c r="AE1829" s="4">
        <v>0.88541666666666663</v>
      </c>
      <c r="AF1829" s="2"/>
      <c r="AG1829" s="2"/>
      <c r="AH1829" s="2">
        <v>2</v>
      </c>
      <c r="AI1829" s="2" t="s">
        <v>84</v>
      </c>
      <c r="AJ1829" s="2">
        <v>9</v>
      </c>
      <c r="AK1829" s="2" t="s">
        <v>103</v>
      </c>
      <c r="AL1829" s="2">
        <v>15</v>
      </c>
      <c r="AM1829" s="2" t="s">
        <v>104</v>
      </c>
      <c r="AN1829" s="2" t="s">
        <v>179</v>
      </c>
      <c r="AO1829" s="2"/>
      <c r="AP1829" s="2">
        <v>11</v>
      </c>
      <c r="AQ1829" s="2" t="s">
        <v>82</v>
      </c>
      <c r="AR1829" s="2"/>
      <c r="AS1829" s="2"/>
      <c r="AT1829" s="2" t="s">
        <v>6486</v>
      </c>
      <c r="AU1829" s="2"/>
      <c r="AV1829" s="2">
        <v>1</v>
      </c>
      <c r="AW1829" s="2"/>
      <c r="AX1829" s="2"/>
      <c r="AY1829" s="2">
        <v>41</v>
      </c>
      <c r="AZ1829" s="2" t="s">
        <v>82</v>
      </c>
      <c r="BA1829" s="2">
        <v>41</v>
      </c>
      <c r="BB1829" s="2" t="s">
        <v>82</v>
      </c>
      <c r="BC1829" s="2">
        <v>41</v>
      </c>
      <c r="BD1829" s="2" t="s">
        <v>82</v>
      </c>
      <c r="BE1829" s="2">
        <v>13</v>
      </c>
      <c r="BF1829" s="2" t="s">
        <v>108</v>
      </c>
      <c r="BG1829" s="2" t="s">
        <v>592</v>
      </c>
      <c r="BH1829" s="2"/>
      <c r="BI1829" s="4">
        <v>0.94791666666666663</v>
      </c>
      <c r="BJ1829" s="2">
        <v>13</v>
      </c>
      <c r="BK1829" s="2" t="s">
        <v>91</v>
      </c>
      <c r="BL1829" s="2" t="s">
        <v>185</v>
      </c>
      <c r="BM1829" s="2">
        <v>241</v>
      </c>
      <c r="BN1829" s="2" t="s">
        <v>82</v>
      </c>
      <c r="BO1829" s="2"/>
      <c r="BP1829" s="2">
        <v>112</v>
      </c>
      <c r="BQ1829" s="2" t="s">
        <v>110</v>
      </c>
      <c r="BR1829" s="2" t="s">
        <v>111</v>
      </c>
      <c r="BS1829" s="3">
        <v>40301</v>
      </c>
      <c r="BT1829" s="4">
        <v>0.35760416666666667</v>
      </c>
    </row>
    <row r="1830" spans="1:72" x14ac:dyDescent="0.25">
      <c r="A1830" s="2">
        <v>2633</v>
      </c>
      <c r="B1830" s="2">
        <v>2010</v>
      </c>
      <c r="C1830" s="2" t="s">
        <v>4543</v>
      </c>
      <c r="D1830" s="2" t="s">
        <v>122</v>
      </c>
      <c r="E1830" s="2"/>
      <c r="F1830" s="2">
        <v>1</v>
      </c>
      <c r="G1830" s="2" t="s">
        <v>82</v>
      </c>
      <c r="H1830" s="2">
        <v>1</v>
      </c>
      <c r="I1830" s="2" t="s">
        <v>82</v>
      </c>
      <c r="J1830" s="2">
        <v>1</v>
      </c>
      <c r="K1830" s="2" t="s">
        <v>107</v>
      </c>
      <c r="L1830" s="2" t="s">
        <v>107</v>
      </c>
      <c r="M1830" s="3">
        <v>40301</v>
      </c>
      <c r="N1830" s="2"/>
      <c r="O1830" s="2"/>
      <c r="P1830" s="2"/>
      <c r="Q1830" s="2" t="str">
        <f>""</f>
        <v/>
      </c>
      <c r="R1830" s="2"/>
      <c r="S1830" s="2"/>
      <c r="T1830" s="2">
        <v>2</v>
      </c>
      <c r="U1830" s="2" t="s">
        <v>123</v>
      </c>
      <c r="V1830" s="2">
        <v>1</v>
      </c>
      <c r="W1830" s="2" t="s">
        <v>80</v>
      </c>
      <c r="X1830" s="2">
        <v>11</v>
      </c>
      <c r="Y1830" s="2" t="s">
        <v>1920</v>
      </c>
      <c r="Z1830" s="2">
        <v>1</v>
      </c>
      <c r="AA1830" s="2" t="s">
        <v>82</v>
      </c>
      <c r="AB1830" s="2">
        <v>9</v>
      </c>
      <c r="AC1830" s="2" t="s">
        <v>124</v>
      </c>
      <c r="AD1830" s="3">
        <v>40301</v>
      </c>
      <c r="AE1830" s="4">
        <v>0.37361111111111112</v>
      </c>
      <c r="AF1830" s="2"/>
      <c r="AG1830" s="2"/>
      <c r="AH1830" s="2">
        <v>6</v>
      </c>
      <c r="AI1830" s="2" t="s">
        <v>197</v>
      </c>
      <c r="AJ1830" s="2">
        <v>54</v>
      </c>
      <c r="AK1830" s="2" t="s">
        <v>348</v>
      </c>
      <c r="AL1830" s="2">
        <v>18</v>
      </c>
      <c r="AM1830" s="2" t="s">
        <v>82</v>
      </c>
      <c r="AN1830" s="2" t="s">
        <v>595</v>
      </c>
      <c r="AO1830" s="2" t="s">
        <v>200</v>
      </c>
      <c r="AP1830" s="2">
        <v>14</v>
      </c>
      <c r="AQ1830" s="2" t="s">
        <v>3301</v>
      </c>
      <c r="AR1830" s="2" t="s">
        <v>596</v>
      </c>
      <c r="AS1830" s="2" t="s">
        <v>596</v>
      </c>
      <c r="AT1830" s="2" t="s">
        <v>6487</v>
      </c>
      <c r="AU1830" s="2"/>
      <c r="AV1830" s="2"/>
      <c r="AW1830" s="2"/>
      <c r="AX1830" s="2"/>
      <c r="AY1830" s="2">
        <v>1</v>
      </c>
      <c r="AZ1830" s="2" t="s">
        <v>107</v>
      </c>
      <c r="BA1830" s="2">
        <v>1</v>
      </c>
      <c r="BB1830" s="2" t="s">
        <v>107</v>
      </c>
      <c r="BC1830" s="2">
        <v>1</v>
      </c>
      <c r="BD1830" s="2" t="s">
        <v>107</v>
      </c>
      <c r="BE1830" s="2">
        <v>4</v>
      </c>
      <c r="BF1830" s="2" t="s">
        <v>90</v>
      </c>
      <c r="BG1830" s="2" t="s">
        <v>5619</v>
      </c>
      <c r="BH1830" s="4">
        <v>0.33055555555555555</v>
      </c>
      <c r="BI1830" s="4">
        <v>0.37361111111111112</v>
      </c>
      <c r="BJ1830" s="2">
        <v>13</v>
      </c>
      <c r="BK1830" s="2" t="s">
        <v>91</v>
      </c>
      <c r="BL1830" s="2" t="s">
        <v>904</v>
      </c>
      <c r="BM1830" s="2">
        <v>242</v>
      </c>
      <c r="BN1830" s="2" t="s">
        <v>107</v>
      </c>
      <c r="BO1830" s="2" t="s">
        <v>107</v>
      </c>
      <c r="BP1830" s="2">
        <v>242</v>
      </c>
      <c r="BQ1830" s="2" t="s">
        <v>107</v>
      </c>
      <c r="BR1830" s="2" t="s">
        <v>905</v>
      </c>
      <c r="BS1830" s="3">
        <v>40301</v>
      </c>
      <c r="BT1830" s="4">
        <v>0.36878472222222225</v>
      </c>
    </row>
    <row r="1831" spans="1:72" x14ac:dyDescent="0.25">
      <c r="A1831" s="2">
        <v>2636</v>
      </c>
      <c r="B1831" s="2">
        <v>2010</v>
      </c>
      <c r="C1831" s="2" t="s">
        <v>414</v>
      </c>
      <c r="D1831" s="2" t="s">
        <v>122</v>
      </c>
      <c r="E1831" s="2"/>
      <c r="F1831" s="2">
        <v>1</v>
      </c>
      <c r="G1831" s="2" t="s">
        <v>82</v>
      </c>
      <c r="H1831" s="2">
        <v>1</v>
      </c>
      <c r="I1831" s="2" t="s">
        <v>82</v>
      </c>
      <c r="J1831" s="2">
        <v>1</v>
      </c>
      <c r="K1831" s="2" t="s">
        <v>107</v>
      </c>
      <c r="L1831" s="2" t="s">
        <v>107</v>
      </c>
      <c r="M1831" s="3">
        <v>40301</v>
      </c>
      <c r="N1831" s="2"/>
      <c r="O1831" s="2"/>
      <c r="P1831" s="2"/>
      <c r="Q1831" s="2" t="str">
        <f>""</f>
        <v/>
      </c>
      <c r="R1831" s="2"/>
      <c r="S1831" s="2"/>
      <c r="T1831" s="2">
        <v>1</v>
      </c>
      <c r="U1831" s="2" t="s">
        <v>79</v>
      </c>
      <c r="V1831" s="2">
        <v>1</v>
      </c>
      <c r="W1831" s="2" t="s">
        <v>80</v>
      </c>
      <c r="X1831" s="2">
        <v>5</v>
      </c>
      <c r="Y1831" s="2" t="s">
        <v>82</v>
      </c>
      <c r="Z1831" s="2">
        <v>1</v>
      </c>
      <c r="AA1831" s="2" t="s">
        <v>82</v>
      </c>
      <c r="AB1831" s="2">
        <v>9</v>
      </c>
      <c r="AC1831" s="2" t="s">
        <v>124</v>
      </c>
      <c r="AD1831" s="3">
        <v>40301</v>
      </c>
      <c r="AE1831" s="4">
        <v>0.36458333333333331</v>
      </c>
      <c r="AF1831" s="2"/>
      <c r="AG1831" s="2"/>
      <c r="AH1831" s="2">
        <v>2</v>
      </c>
      <c r="AI1831" s="2" t="s">
        <v>84</v>
      </c>
      <c r="AJ1831" s="2">
        <v>12</v>
      </c>
      <c r="AK1831" s="2" t="s">
        <v>85</v>
      </c>
      <c r="AL1831" s="2">
        <v>18</v>
      </c>
      <c r="AM1831" s="2" t="s">
        <v>82</v>
      </c>
      <c r="AN1831" s="2"/>
      <c r="AO1831" s="2"/>
      <c r="AP1831" s="2">
        <v>11</v>
      </c>
      <c r="AQ1831" s="2" t="s">
        <v>82</v>
      </c>
      <c r="AR1831" s="2"/>
      <c r="AS1831" s="2"/>
      <c r="AT1831" s="2" t="s">
        <v>6488</v>
      </c>
      <c r="AU1831" s="2"/>
      <c r="AV1831" s="2"/>
      <c r="AW1831" s="2"/>
      <c r="AX1831" s="2"/>
      <c r="AY1831" s="2">
        <v>1</v>
      </c>
      <c r="AZ1831" s="2" t="s">
        <v>107</v>
      </c>
      <c r="BA1831" s="2">
        <v>1</v>
      </c>
      <c r="BB1831" s="2" t="s">
        <v>107</v>
      </c>
      <c r="BC1831" s="2">
        <v>1</v>
      </c>
      <c r="BD1831" s="2" t="s">
        <v>107</v>
      </c>
      <c r="BE1831" s="2">
        <v>1</v>
      </c>
      <c r="BF1831" s="2" t="s">
        <v>107</v>
      </c>
      <c r="BG1831" s="2"/>
      <c r="BH1831" s="2"/>
      <c r="BI1831" s="2"/>
      <c r="BJ1831" s="2">
        <v>242</v>
      </c>
      <c r="BK1831" s="2" t="s">
        <v>107</v>
      </c>
      <c r="BL1831" s="2"/>
      <c r="BM1831" s="2">
        <v>242</v>
      </c>
      <c r="BN1831" s="2" t="s">
        <v>107</v>
      </c>
      <c r="BO1831" s="2"/>
      <c r="BP1831" s="2">
        <v>242</v>
      </c>
      <c r="BQ1831" s="2" t="s">
        <v>107</v>
      </c>
      <c r="BR1831" s="2"/>
      <c r="BS1831" s="3">
        <v>40301</v>
      </c>
      <c r="BT1831" s="4">
        <v>0.42862268518518515</v>
      </c>
    </row>
    <row r="1832" spans="1:72" x14ac:dyDescent="0.25">
      <c r="A1832" s="2">
        <v>2637</v>
      </c>
      <c r="B1832" s="2">
        <v>2010</v>
      </c>
      <c r="C1832" s="2" t="s">
        <v>128</v>
      </c>
      <c r="D1832" s="2" t="s">
        <v>73</v>
      </c>
      <c r="E1832" s="2"/>
      <c r="F1832" s="2">
        <v>611</v>
      </c>
      <c r="G1832" s="2" t="s">
        <v>6489</v>
      </c>
      <c r="H1832" s="2">
        <v>2</v>
      </c>
      <c r="I1832" s="2" t="s">
        <v>267</v>
      </c>
      <c r="J1832" s="2">
        <v>546</v>
      </c>
      <c r="K1832" s="2" t="s">
        <v>441</v>
      </c>
      <c r="L1832" s="2" t="s">
        <v>6490</v>
      </c>
      <c r="M1832" s="3">
        <v>40301</v>
      </c>
      <c r="N1832" s="2" t="s">
        <v>6491</v>
      </c>
      <c r="O1832" s="2" t="s">
        <v>6492</v>
      </c>
      <c r="P1832" s="2">
        <v>3971</v>
      </c>
      <c r="Q1832" s="2" t="str">
        <f>"N/C"</f>
        <v>N/C</v>
      </c>
      <c r="R1832" s="2" t="s">
        <v>107</v>
      </c>
      <c r="S1832" s="2" t="s">
        <v>107</v>
      </c>
      <c r="T1832" s="2">
        <v>1</v>
      </c>
      <c r="U1832" s="2" t="s">
        <v>79</v>
      </c>
      <c r="V1832" s="2">
        <v>3</v>
      </c>
      <c r="W1832" s="2" t="s">
        <v>225</v>
      </c>
      <c r="X1832" s="2">
        <v>8</v>
      </c>
      <c r="Y1832" s="2" t="s">
        <v>375</v>
      </c>
      <c r="Z1832" s="2">
        <v>1</v>
      </c>
      <c r="AA1832" s="2" t="s">
        <v>82</v>
      </c>
      <c r="AB1832" s="2">
        <v>9</v>
      </c>
      <c r="AC1832" s="2" t="s">
        <v>124</v>
      </c>
      <c r="AD1832" s="3">
        <v>40298</v>
      </c>
      <c r="AE1832" s="4">
        <v>0.64583333333333337</v>
      </c>
      <c r="AF1832" s="2"/>
      <c r="AG1832" s="2"/>
      <c r="AH1832" s="2">
        <v>7</v>
      </c>
      <c r="AI1832" s="2" t="s">
        <v>801</v>
      </c>
      <c r="AJ1832" s="2">
        <v>3</v>
      </c>
      <c r="AK1832" s="2" t="s">
        <v>802</v>
      </c>
      <c r="AL1832" s="2">
        <v>23</v>
      </c>
      <c r="AM1832" s="2" t="s">
        <v>251</v>
      </c>
      <c r="AN1832" s="2" t="s">
        <v>107</v>
      </c>
      <c r="AO1832" s="2" t="s">
        <v>6493</v>
      </c>
      <c r="AP1832" s="2">
        <v>11</v>
      </c>
      <c r="AQ1832" s="2" t="s">
        <v>82</v>
      </c>
      <c r="AR1832" s="2"/>
      <c r="AS1832" s="2"/>
      <c r="AT1832" s="2" t="s">
        <v>6494</v>
      </c>
      <c r="AU1832" s="2"/>
      <c r="AV1832" s="2"/>
      <c r="AW1832" s="2"/>
      <c r="AX1832" s="2"/>
      <c r="AY1832" s="2">
        <v>41</v>
      </c>
      <c r="AZ1832" s="2" t="s">
        <v>82</v>
      </c>
      <c r="BA1832" s="2">
        <v>41</v>
      </c>
      <c r="BB1832" s="2" t="s">
        <v>82</v>
      </c>
      <c r="BC1832" s="2">
        <v>41</v>
      </c>
      <c r="BD1832" s="2" t="s">
        <v>82</v>
      </c>
      <c r="BE1832" s="2">
        <v>41</v>
      </c>
      <c r="BF1832" s="2" t="s">
        <v>82</v>
      </c>
      <c r="BG1832" s="2"/>
      <c r="BH1832" s="2"/>
      <c r="BI1832" s="2"/>
      <c r="BJ1832" s="2">
        <v>241</v>
      </c>
      <c r="BK1832" s="2" t="s">
        <v>82</v>
      </c>
      <c r="BL1832" s="2"/>
      <c r="BM1832" s="2">
        <v>241</v>
      </c>
      <c r="BN1832" s="2" t="s">
        <v>82</v>
      </c>
      <c r="BO1832" s="2"/>
      <c r="BP1832" s="2">
        <v>241</v>
      </c>
      <c r="BQ1832" s="2" t="s">
        <v>82</v>
      </c>
      <c r="BR1832" s="2"/>
      <c r="BS1832" s="3">
        <v>40301</v>
      </c>
      <c r="BT1832" s="4">
        <v>0.44997685185185188</v>
      </c>
    </row>
    <row r="1833" spans="1:72" x14ac:dyDescent="0.25">
      <c r="A1833" s="2">
        <v>2638</v>
      </c>
      <c r="B1833" s="2">
        <v>2010</v>
      </c>
      <c r="C1833" s="2" t="s">
        <v>4543</v>
      </c>
      <c r="D1833" s="2" t="s">
        <v>122</v>
      </c>
      <c r="E1833" s="2" t="s">
        <v>6495</v>
      </c>
      <c r="F1833" s="2">
        <v>146</v>
      </c>
      <c r="G1833" s="2" t="s">
        <v>753</v>
      </c>
      <c r="H1833" s="2">
        <v>30</v>
      </c>
      <c r="I1833" s="2" t="s">
        <v>912</v>
      </c>
      <c r="J1833" s="2">
        <v>161</v>
      </c>
      <c r="K1833" s="2" t="s">
        <v>1900</v>
      </c>
      <c r="L1833" s="2" t="s">
        <v>1901</v>
      </c>
      <c r="M1833" s="3">
        <v>40301</v>
      </c>
      <c r="N1833" s="2" t="s">
        <v>756</v>
      </c>
      <c r="O1833" s="2" t="s">
        <v>107</v>
      </c>
      <c r="P1833" s="2" t="s">
        <v>107</v>
      </c>
      <c r="Q1833" s="2" t="str">
        <f>"AP-0023/10"</f>
        <v>AP-0023/10</v>
      </c>
      <c r="R1833" s="2" t="s">
        <v>107</v>
      </c>
      <c r="S1833" s="2" t="s">
        <v>6496</v>
      </c>
      <c r="T1833" s="2">
        <v>2</v>
      </c>
      <c r="U1833" s="2" t="s">
        <v>123</v>
      </c>
      <c r="V1833" s="2">
        <v>1</v>
      </c>
      <c r="W1833" s="2" t="s">
        <v>80</v>
      </c>
      <c r="X1833" s="2">
        <v>1</v>
      </c>
      <c r="Y1833" s="2" t="s">
        <v>81</v>
      </c>
      <c r="Z1833" s="2">
        <v>2</v>
      </c>
      <c r="AA1833" s="2" t="s">
        <v>2148</v>
      </c>
      <c r="AB1833" s="2">
        <v>9</v>
      </c>
      <c r="AC1833" s="2" t="s">
        <v>124</v>
      </c>
      <c r="AD1833" s="3">
        <v>40298</v>
      </c>
      <c r="AE1833" s="4">
        <v>0.875</v>
      </c>
      <c r="AF1833" s="2"/>
      <c r="AG1833" s="2"/>
      <c r="AH1833" s="2">
        <v>6</v>
      </c>
      <c r="AI1833" s="2" t="s">
        <v>197</v>
      </c>
      <c r="AJ1833" s="2">
        <v>60</v>
      </c>
      <c r="AK1833" s="2" t="s">
        <v>543</v>
      </c>
      <c r="AL1833" s="2">
        <v>19</v>
      </c>
      <c r="AM1833" s="2" t="s">
        <v>107</v>
      </c>
      <c r="AN1833" s="2" t="s">
        <v>6394</v>
      </c>
      <c r="AO1833" s="2" t="s">
        <v>6395</v>
      </c>
      <c r="AP1833" s="2">
        <v>11</v>
      </c>
      <c r="AQ1833" s="2" t="s">
        <v>82</v>
      </c>
      <c r="AR1833" s="2" t="s">
        <v>82</v>
      </c>
      <c r="AS1833" s="2" t="s">
        <v>82</v>
      </c>
      <c r="AT1833" s="2" t="s">
        <v>6497</v>
      </c>
      <c r="AU1833" s="2"/>
      <c r="AV1833" s="2"/>
      <c r="AW1833" s="2"/>
      <c r="AX1833" s="2"/>
      <c r="AY1833" s="2">
        <v>57</v>
      </c>
      <c r="AZ1833" s="2"/>
      <c r="BA1833" s="2">
        <v>41</v>
      </c>
      <c r="BB1833" s="2" t="s">
        <v>82</v>
      </c>
      <c r="BC1833" s="2">
        <v>57</v>
      </c>
      <c r="BD1833" s="2"/>
      <c r="BE1833" s="2">
        <v>13</v>
      </c>
      <c r="BF1833" s="2" t="s">
        <v>108</v>
      </c>
      <c r="BG1833" s="2" t="s">
        <v>6397</v>
      </c>
      <c r="BH1833" s="4">
        <v>0.86111111111111116</v>
      </c>
      <c r="BI1833" s="4">
        <v>0.89583333333333337</v>
      </c>
      <c r="BJ1833" s="2">
        <v>13</v>
      </c>
      <c r="BK1833" s="2" t="s">
        <v>91</v>
      </c>
      <c r="BL1833" s="2" t="s">
        <v>185</v>
      </c>
      <c r="BM1833" s="2">
        <v>13</v>
      </c>
      <c r="BN1833" s="2" t="s">
        <v>91</v>
      </c>
      <c r="BO1833" s="2" t="s">
        <v>492</v>
      </c>
      <c r="BP1833" s="2">
        <v>13</v>
      </c>
      <c r="BQ1833" s="2" t="s">
        <v>91</v>
      </c>
      <c r="BR1833" s="2" t="s">
        <v>895</v>
      </c>
      <c r="BS1833" s="3">
        <v>40301</v>
      </c>
      <c r="BT1833" s="4">
        <v>0.49967592592592597</v>
      </c>
    </row>
    <row r="1834" spans="1:72" x14ac:dyDescent="0.25">
      <c r="A1834" s="2">
        <v>2640</v>
      </c>
      <c r="B1834" s="2">
        <v>2010</v>
      </c>
      <c r="C1834" s="2" t="s">
        <v>2754</v>
      </c>
      <c r="D1834" s="2" t="s">
        <v>73</v>
      </c>
      <c r="E1834" s="2" t="s">
        <v>6498</v>
      </c>
      <c r="F1834" s="2">
        <v>90</v>
      </c>
      <c r="G1834" s="2" t="s">
        <v>4741</v>
      </c>
      <c r="H1834" s="2">
        <v>47</v>
      </c>
      <c r="I1834" s="2" t="s">
        <v>1409</v>
      </c>
      <c r="J1834" s="2">
        <v>118</v>
      </c>
      <c r="K1834" s="2" t="s">
        <v>4742</v>
      </c>
      <c r="L1834" s="2" t="s">
        <v>4743</v>
      </c>
      <c r="M1834" s="3">
        <v>40301</v>
      </c>
      <c r="N1834" s="2" t="s">
        <v>6499</v>
      </c>
      <c r="O1834" s="2" t="s">
        <v>6500</v>
      </c>
      <c r="P1834" s="2" t="s">
        <v>6501</v>
      </c>
      <c r="Q1834" s="2" t="str">
        <f>"S/D"</f>
        <v>S/D</v>
      </c>
      <c r="R1834" s="2" t="s">
        <v>107</v>
      </c>
      <c r="S1834" s="2" t="s">
        <v>107</v>
      </c>
      <c r="T1834" s="2">
        <v>1</v>
      </c>
      <c r="U1834" s="2" t="s">
        <v>79</v>
      </c>
      <c r="V1834" s="2">
        <v>1</v>
      </c>
      <c r="W1834" s="2" t="s">
        <v>80</v>
      </c>
      <c r="X1834" s="2">
        <v>8</v>
      </c>
      <c r="Y1834" s="2" t="s">
        <v>375</v>
      </c>
      <c r="Z1834" s="2">
        <v>1</v>
      </c>
      <c r="AA1834" s="2" t="s">
        <v>82</v>
      </c>
      <c r="AB1834" s="2">
        <v>8</v>
      </c>
      <c r="AC1834" s="2" t="s">
        <v>2760</v>
      </c>
      <c r="AD1834" s="3">
        <v>40301</v>
      </c>
      <c r="AE1834" s="4">
        <v>0.38541666666666669</v>
      </c>
      <c r="AF1834" s="2"/>
      <c r="AG1834" s="2"/>
      <c r="AH1834" s="2">
        <v>6</v>
      </c>
      <c r="AI1834" s="2" t="s">
        <v>197</v>
      </c>
      <c r="AJ1834" s="2">
        <v>52</v>
      </c>
      <c r="AK1834" s="2" t="s">
        <v>4746</v>
      </c>
      <c r="AL1834" s="2">
        <v>23</v>
      </c>
      <c r="AM1834" s="2" t="s">
        <v>251</v>
      </c>
      <c r="AN1834" s="2" t="s">
        <v>6502</v>
      </c>
      <c r="AO1834" s="2" t="s">
        <v>6503</v>
      </c>
      <c r="AP1834" s="2">
        <v>11</v>
      </c>
      <c r="AQ1834" s="2" t="s">
        <v>82</v>
      </c>
      <c r="AR1834" s="2" t="s">
        <v>82</v>
      </c>
      <c r="AS1834" s="2" t="s">
        <v>82</v>
      </c>
      <c r="AT1834" s="2" t="s">
        <v>6504</v>
      </c>
      <c r="AU1834" s="2"/>
      <c r="AV1834" s="2"/>
      <c r="AW1834" s="2"/>
      <c r="AX1834" s="2"/>
      <c r="AY1834" s="2">
        <v>42</v>
      </c>
      <c r="AZ1834" s="2" t="s">
        <v>182</v>
      </c>
      <c r="BA1834" s="2">
        <v>41</v>
      </c>
      <c r="BB1834" s="2" t="s">
        <v>82</v>
      </c>
      <c r="BC1834" s="2">
        <v>41</v>
      </c>
      <c r="BD1834" s="2" t="s">
        <v>82</v>
      </c>
      <c r="BE1834" s="2">
        <v>1</v>
      </c>
      <c r="BF1834" s="2" t="s">
        <v>107</v>
      </c>
      <c r="BG1834" s="2"/>
      <c r="BH1834" s="2"/>
      <c r="BI1834" s="2"/>
      <c r="BJ1834" s="2">
        <v>241</v>
      </c>
      <c r="BK1834" s="2" t="s">
        <v>82</v>
      </c>
      <c r="BL1834" s="2" t="s">
        <v>82</v>
      </c>
      <c r="BM1834" s="2">
        <v>241</v>
      </c>
      <c r="BN1834" s="2" t="s">
        <v>82</v>
      </c>
      <c r="BO1834" s="2" t="s">
        <v>82</v>
      </c>
      <c r="BP1834" s="2">
        <v>241</v>
      </c>
      <c r="BQ1834" s="2" t="s">
        <v>82</v>
      </c>
      <c r="BR1834" s="2" t="s">
        <v>82</v>
      </c>
      <c r="BS1834" s="3">
        <v>40301</v>
      </c>
      <c r="BT1834" s="4">
        <v>0.58186342592592599</v>
      </c>
    </row>
    <row r="1835" spans="1:72" x14ac:dyDescent="0.25">
      <c r="A1835" s="2">
        <v>2642</v>
      </c>
      <c r="B1835" s="2">
        <v>2010</v>
      </c>
      <c r="C1835" s="2" t="s">
        <v>171</v>
      </c>
      <c r="D1835" s="2" t="s">
        <v>73</v>
      </c>
      <c r="E1835" s="2"/>
      <c r="F1835" s="2">
        <v>394</v>
      </c>
      <c r="G1835" s="2" t="s">
        <v>172</v>
      </c>
      <c r="H1835" s="2">
        <v>4</v>
      </c>
      <c r="I1835" s="2" t="s">
        <v>173</v>
      </c>
      <c r="J1835" s="2">
        <v>241</v>
      </c>
      <c r="K1835" s="2" t="s">
        <v>174</v>
      </c>
      <c r="L1835" s="2" t="s">
        <v>175</v>
      </c>
      <c r="M1835" s="3">
        <v>40301</v>
      </c>
      <c r="N1835" s="2" t="s">
        <v>390</v>
      </c>
      <c r="O1835" s="2" t="s">
        <v>6432</v>
      </c>
      <c r="P1835" s="2">
        <v>22223</v>
      </c>
      <c r="Q1835" s="2" t="str">
        <f>""</f>
        <v/>
      </c>
      <c r="R1835" s="2"/>
      <c r="S1835" s="2"/>
      <c r="T1835" s="2">
        <v>1</v>
      </c>
      <c r="U1835" s="2" t="s">
        <v>79</v>
      </c>
      <c r="V1835" s="2">
        <v>1</v>
      </c>
      <c r="W1835" s="2" t="s">
        <v>80</v>
      </c>
      <c r="X1835" s="2">
        <v>8</v>
      </c>
      <c r="Y1835" s="2" t="s">
        <v>375</v>
      </c>
      <c r="Z1835" s="2">
        <v>1</v>
      </c>
      <c r="AA1835" s="2" t="s">
        <v>82</v>
      </c>
      <c r="AB1835" s="2">
        <v>1</v>
      </c>
      <c r="AC1835" s="2" t="s">
        <v>178</v>
      </c>
      <c r="AD1835" s="3">
        <v>40301</v>
      </c>
      <c r="AE1835" s="4">
        <v>0.52083333333333337</v>
      </c>
      <c r="AF1835" s="2"/>
      <c r="AG1835" s="2"/>
      <c r="AH1835" s="2">
        <v>2</v>
      </c>
      <c r="AI1835" s="2" t="s">
        <v>84</v>
      </c>
      <c r="AJ1835" s="2">
        <v>6</v>
      </c>
      <c r="AK1835" s="2" t="s">
        <v>453</v>
      </c>
      <c r="AL1835" s="2">
        <v>23</v>
      </c>
      <c r="AM1835" s="2" t="s">
        <v>251</v>
      </c>
      <c r="AN1835" s="2" t="s">
        <v>6505</v>
      </c>
      <c r="AO1835" s="2" t="s">
        <v>6506</v>
      </c>
      <c r="AP1835" s="2">
        <v>11</v>
      </c>
      <c r="AQ1835" s="2" t="s">
        <v>82</v>
      </c>
      <c r="AR1835" s="2"/>
      <c r="AS1835" s="2"/>
      <c r="AT1835" s="2" t="s">
        <v>6507</v>
      </c>
      <c r="AU1835" s="2"/>
      <c r="AV1835" s="2"/>
      <c r="AW1835" s="2"/>
      <c r="AX1835" s="2"/>
      <c r="AY1835" s="2">
        <v>42</v>
      </c>
      <c r="AZ1835" s="2" t="s">
        <v>182</v>
      </c>
      <c r="BA1835" s="2">
        <v>41</v>
      </c>
      <c r="BB1835" s="2" t="s">
        <v>82</v>
      </c>
      <c r="BC1835" s="2">
        <v>41</v>
      </c>
      <c r="BD1835" s="2" t="s">
        <v>82</v>
      </c>
      <c r="BE1835" s="2">
        <v>41</v>
      </c>
      <c r="BF1835" s="2" t="s">
        <v>82</v>
      </c>
      <c r="BG1835" s="2"/>
      <c r="BH1835" s="2"/>
      <c r="BI1835" s="2"/>
      <c r="BJ1835" s="2">
        <v>241</v>
      </c>
      <c r="BK1835" s="2" t="s">
        <v>82</v>
      </c>
      <c r="BL1835" s="2"/>
      <c r="BM1835" s="2">
        <v>241</v>
      </c>
      <c r="BN1835" s="2" t="s">
        <v>82</v>
      </c>
      <c r="BO1835" s="2"/>
      <c r="BP1835" s="2">
        <v>241</v>
      </c>
      <c r="BQ1835" s="2" t="s">
        <v>82</v>
      </c>
      <c r="BR1835" s="2"/>
      <c r="BS1835" s="3">
        <v>40301</v>
      </c>
      <c r="BT1835" s="4">
        <v>0.61623842592592593</v>
      </c>
    </row>
    <row r="1836" spans="1:72" x14ac:dyDescent="0.25">
      <c r="A1836" s="2">
        <v>2645</v>
      </c>
      <c r="B1836" s="2">
        <v>2010</v>
      </c>
      <c r="C1836" s="2" t="s">
        <v>819</v>
      </c>
      <c r="D1836" s="2" t="s">
        <v>122</v>
      </c>
      <c r="E1836" s="2" t="s">
        <v>6508</v>
      </c>
      <c r="F1836" s="2">
        <v>425</v>
      </c>
      <c r="G1836" s="2" t="s">
        <v>286</v>
      </c>
      <c r="H1836" s="2">
        <v>39</v>
      </c>
      <c r="I1836" s="2" t="s">
        <v>1117</v>
      </c>
      <c r="J1836" s="2">
        <v>310</v>
      </c>
      <c r="K1836" s="2" t="s">
        <v>288</v>
      </c>
      <c r="L1836" s="2" t="s">
        <v>289</v>
      </c>
      <c r="M1836" s="3">
        <v>40301</v>
      </c>
      <c r="N1836" s="2" t="s">
        <v>2049</v>
      </c>
      <c r="O1836" s="2"/>
      <c r="P1836" s="2"/>
      <c r="Q1836" s="2" t="str">
        <f>"049/10"</f>
        <v>049/10</v>
      </c>
      <c r="R1836" s="2" t="s">
        <v>822</v>
      </c>
      <c r="S1836" s="2"/>
      <c r="T1836" s="2">
        <v>1</v>
      </c>
      <c r="U1836" s="2" t="s">
        <v>79</v>
      </c>
      <c r="V1836" s="2">
        <v>1</v>
      </c>
      <c r="W1836" s="2" t="s">
        <v>80</v>
      </c>
      <c r="X1836" s="2">
        <v>1</v>
      </c>
      <c r="Y1836" s="2" t="s">
        <v>81</v>
      </c>
      <c r="Z1836" s="2">
        <v>10</v>
      </c>
      <c r="AA1836" s="2" t="s">
        <v>236</v>
      </c>
      <c r="AB1836" s="2">
        <v>9</v>
      </c>
      <c r="AC1836" s="2" t="s">
        <v>124</v>
      </c>
      <c r="AD1836" s="3">
        <v>40301</v>
      </c>
      <c r="AE1836" s="4">
        <v>0.625</v>
      </c>
      <c r="AF1836" s="2"/>
      <c r="AG1836" s="2"/>
      <c r="AH1836" s="2">
        <v>4</v>
      </c>
      <c r="AI1836" s="2" t="s">
        <v>125</v>
      </c>
      <c r="AJ1836" s="2">
        <v>29</v>
      </c>
      <c r="AK1836" s="2" t="s">
        <v>227</v>
      </c>
      <c r="AL1836" s="2">
        <v>16</v>
      </c>
      <c r="AM1836" s="2" t="s">
        <v>392</v>
      </c>
      <c r="AN1836" s="2" t="s">
        <v>3040</v>
      </c>
      <c r="AO1836" s="2" t="s">
        <v>3176</v>
      </c>
      <c r="AP1836" s="2">
        <v>12</v>
      </c>
      <c r="AQ1836" s="2" t="s">
        <v>322</v>
      </c>
      <c r="AR1836" s="2" t="s">
        <v>824</v>
      </c>
      <c r="AS1836" s="2" t="s">
        <v>825</v>
      </c>
      <c r="AT1836" s="2" t="s">
        <v>6509</v>
      </c>
      <c r="AU1836" s="2"/>
      <c r="AV1836" s="2"/>
      <c r="AW1836" s="2"/>
      <c r="AX1836" s="2"/>
      <c r="AY1836" s="2">
        <v>41</v>
      </c>
      <c r="AZ1836" s="2" t="s">
        <v>82</v>
      </c>
      <c r="BA1836" s="2">
        <v>41</v>
      </c>
      <c r="BB1836" s="2" t="s">
        <v>82</v>
      </c>
      <c r="BC1836" s="2">
        <v>51</v>
      </c>
      <c r="BD1836" s="2" t="s">
        <v>827</v>
      </c>
      <c r="BE1836" s="2">
        <v>47</v>
      </c>
      <c r="BF1836" s="2" t="s">
        <v>167</v>
      </c>
      <c r="BG1836" s="2">
        <v>2459</v>
      </c>
      <c r="BH1836" s="4">
        <v>0.92361111111111116</v>
      </c>
      <c r="BI1836" s="4">
        <v>0.94791666666666663</v>
      </c>
      <c r="BJ1836" s="2">
        <v>13</v>
      </c>
      <c r="BK1836" s="2" t="s">
        <v>91</v>
      </c>
      <c r="BL1836" s="2" t="s">
        <v>828</v>
      </c>
      <c r="BM1836" s="2">
        <v>241</v>
      </c>
      <c r="BN1836" s="2" t="s">
        <v>82</v>
      </c>
      <c r="BO1836" s="2" t="s">
        <v>82</v>
      </c>
      <c r="BP1836" s="2">
        <v>13</v>
      </c>
      <c r="BQ1836" s="2" t="s">
        <v>91</v>
      </c>
      <c r="BR1836" s="2" t="s">
        <v>185</v>
      </c>
      <c r="BS1836" s="3">
        <v>40301</v>
      </c>
      <c r="BT1836" s="4">
        <v>0.63627314814814817</v>
      </c>
    </row>
    <row r="1837" spans="1:72" x14ac:dyDescent="0.25">
      <c r="A1837" s="2">
        <v>2648</v>
      </c>
      <c r="B1837" s="2">
        <v>2010</v>
      </c>
      <c r="C1837" s="2" t="s">
        <v>171</v>
      </c>
      <c r="D1837" s="2" t="s">
        <v>122</v>
      </c>
      <c r="E1837" s="2" t="s">
        <v>6430</v>
      </c>
      <c r="F1837" s="2">
        <v>393</v>
      </c>
      <c r="G1837" s="2" t="s">
        <v>3660</v>
      </c>
      <c r="H1837" s="2">
        <v>3</v>
      </c>
      <c r="I1837" s="2" t="s">
        <v>315</v>
      </c>
      <c r="J1837" s="2">
        <v>2</v>
      </c>
      <c r="K1837" s="2" t="s">
        <v>3661</v>
      </c>
      <c r="L1837" s="2" t="s">
        <v>3662</v>
      </c>
      <c r="M1837" s="3">
        <v>40301</v>
      </c>
      <c r="N1837" s="2" t="s">
        <v>3663</v>
      </c>
      <c r="O1837" s="2" t="s">
        <v>107</v>
      </c>
      <c r="P1837" s="2" t="s">
        <v>107</v>
      </c>
      <c r="Q1837" s="2" t="str">
        <f>"233-E/10"</f>
        <v>233-E/10</v>
      </c>
      <c r="R1837" s="2" t="s">
        <v>391</v>
      </c>
      <c r="S1837" s="2" t="s">
        <v>107</v>
      </c>
      <c r="T1837" s="2">
        <v>1</v>
      </c>
      <c r="U1837" s="2" t="s">
        <v>79</v>
      </c>
      <c r="V1837" s="2">
        <v>1</v>
      </c>
      <c r="W1837" s="2" t="s">
        <v>80</v>
      </c>
      <c r="X1837" s="2">
        <v>1</v>
      </c>
      <c r="Y1837" s="2" t="s">
        <v>81</v>
      </c>
      <c r="Z1837" s="2">
        <v>1</v>
      </c>
      <c r="AA1837" s="2" t="s">
        <v>82</v>
      </c>
      <c r="AB1837" s="2">
        <v>1</v>
      </c>
      <c r="AC1837" s="2" t="s">
        <v>178</v>
      </c>
      <c r="AD1837" s="3">
        <v>40298</v>
      </c>
      <c r="AE1837" s="4">
        <v>0.50694444444444442</v>
      </c>
      <c r="AF1837" s="2"/>
      <c r="AG1837" s="2"/>
      <c r="AH1837" s="2">
        <v>2</v>
      </c>
      <c r="AI1837" s="2" t="s">
        <v>84</v>
      </c>
      <c r="AJ1837" s="2">
        <v>9</v>
      </c>
      <c r="AK1837" s="2" t="s">
        <v>103</v>
      </c>
      <c r="AL1837" s="2">
        <v>14</v>
      </c>
      <c r="AM1837" s="2" t="s">
        <v>216</v>
      </c>
      <c r="AN1837" s="2" t="s">
        <v>107</v>
      </c>
      <c r="AO1837" s="2" t="s">
        <v>179</v>
      </c>
      <c r="AP1837" s="2">
        <v>11</v>
      </c>
      <c r="AQ1837" s="2" t="s">
        <v>82</v>
      </c>
      <c r="AR1837" s="2"/>
      <c r="AS1837" s="2"/>
      <c r="AT1837" s="2" t="s">
        <v>6510</v>
      </c>
      <c r="AU1837" s="2"/>
      <c r="AV1837" s="2">
        <v>1</v>
      </c>
      <c r="AW1837" s="2"/>
      <c r="AX1837" s="2"/>
      <c r="AY1837" s="2">
        <v>41</v>
      </c>
      <c r="AZ1837" s="2" t="s">
        <v>82</v>
      </c>
      <c r="BA1837" s="2">
        <v>41</v>
      </c>
      <c r="BB1837" s="2" t="s">
        <v>82</v>
      </c>
      <c r="BC1837" s="2">
        <v>41</v>
      </c>
      <c r="BD1837" s="2" t="s">
        <v>82</v>
      </c>
      <c r="BE1837" s="2">
        <v>23</v>
      </c>
      <c r="BF1837" s="2" t="s">
        <v>183</v>
      </c>
      <c r="BG1837" s="2" t="s">
        <v>184</v>
      </c>
      <c r="BH1837" s="2"/>
      <c r="BI1837" s="4">
        <v>0.54166666666666663</v>
      </c>
      <c r="BJ1837" s="2">
        <v>13</v>
      </c>
      <c r="BK1837" s="2" t="s">
        <v>91</v>
      </c>
      <c r="BL1837" s="2" t="s">
        <v>4251</v>
      </c>
      <c r="BM1837" s="2">
        <v>241</v>
      </c>
      <c r="BN1837" s="2" t="s">
        <v>82</v>
      </c>
      <c r="BO1837" s="2"/>
      <c r="BP1837" s="2">
        <v>73</v>
      </c>
      <c r="BQ1837" s="2" t="s">
        <v>186</v>
      </c>
      <c r="BR1837" s="2" t="s">
        <v>187</v>
      </c>
      <c r="BS1837" s="3">
        <v>40301</v>
      </c>
      <c r="BT1837" s="4">
        <v>0.69803240740740735</v>
      </c>
    </row>
    <row r="1838" spans="1:72" x14ac:dyDescent="0.25">
      <c r="A1838" s="2">
        <v>2649</v>
      </c>
      <c r="B1838" s="2">
        <v>2010</v>
      </c>
      <c r="C1838" s="2" t="s">
        <v>72</v>
      </c>
      <c r="D1838" s="2" t="s">
        <v>73</v>
      </c>
      <c r="E1838" s="2"/>
      <c r="F1838" s="2">
        <v>392</v>
      </c>
      <c r="G1838" s="2" t="s">
        <v>4629</v>
      </c>
      <c r="H1838" s="2">
        <v>6</v>
      </c>
      <c r="I1838" s="2" t="s">
        <v>1088</v>
      </c>
      <c r="J1838" s="2">
        <v>533</v>
      </c>
      <c r="K1838" s="2" t="s">
        <v>6511</v>
      </c>
      <c r="L1838" s="2" t="s">
        <v>478</v>
      </c>
      <c r="M1838" s="3">
        <v>40301</v>
      </c>
      <c r="N1838" s="2" t="s">
        <v>6512</v>
      </c>
      <c r="O1838" s="2" t="s">
        <v>107</v>
      </c>
      <c r="P1838" s="2" t="s">
        <v>107</v>
      </c>
      <c r="Q1838" s="2" t="str">
        <f>"241-E/10"</f>
        <v>241-E/10</v>
      </c>
      <c r="R1838" s="2" t="s">
        <v>107</v>
      </c>
      <c r="S1838" s="2" t="s">
        <v>480</v>
      </c>
      <c r="T1838" s="2">
        <v>1</v>
      </c>
      <c r="U1838" s="2" t="s">
        <v>79</v>
      </c>
      <c r="V1838" s="2">
        <v>1</v>
      </c>
      <c r="W1838" s="2" t="s">
        <v>80</v>
      </c>
      <c r="X1838" s="2">
        <v>12</v>
      </c>
      <c r="Y1838" s="2" t="s">
        <v>148</v>
      </c>
      <c r="Z1838" s="2">
        <v>1</v>
      </c>
      <c r="AA1838" s="2" t="s">
        <v>82</v>
      </c>
      <c r="AB1838" s="2">
        <v>6</v>
      </c>
      <c r="AC1838" s="2" t="s">
        <v>83</v>
      </c>
      <c r="AD1838" s="3">
        <v>40298</v>
      </c>
      <c r="AE1838" s="2"/>
      <c r="AF1838" s="3">
        <v>40301</v>
      </c>
      <c r="AG1838" s="4">
        <v>0.4861111111111111</v>
      </c>
      <c r="AH1838" s="2">
        <v>2</v>
      </c>
      <c r="AI1838" s="2" t="s">
        <v>84</v>
      </c>
      <c r="AJ1838" s="2">
        <v>9</v>
      </c>
      <c r="AK1838" s="2" t="s">
        <v>103</v>
      </c>
      <c r="AL1838" s="2">
        <v>25</v>
      </c>
      <c r="AM1838" s="2" t="s">
        <v>3073</v>
      </c>
      <c r="AN1838" s="2" t="s">
        <v>82</v>
      </c>
      <c r="AO1838" s="2" t="s">
        <v>6513</v>
      </c>
      <c r="AP1838" s="2">
        <v>11</v>
      </c>
      <c r="AQ1838" s="2" t="s">
        <v>82</v>
      </c>
      <c r="AR1838" s="2"/>
      <c r="AS1838" s="2"/>
      <c r="AT1838" s="2" t="s">
        <v>6514</v>
      </c>
      <c r="AU1838" s="2"/>
      <c r="AV1838" s="2"/>
      <c r="AW1838" s="2"/>
      <c r="AX1838" s="2"/>
      <c r="AY1838" s="2">
        <v>41</v>
      </c>
      <c r="AZ1838" s="2" t="s">
        <v>82</v>
      </c>
      <c r="BA1838" s="2">
        <v>41</v>
      </c>
      <c r="BB1838" s="2" t="s">
        <v>82</v>
      </c>
      <c r="BC1838" s="2">
        <v>41</v>
      </c>
      <c r="BD1838" s="2" t="s">
        <v>82</v>
      </c>
      <c r="BE1838" s="2">
        <v>41</v>
      </c>
      <c r="BF1838" s="2" t="s">
        <v>82</v>
      </c>
      <c r="BG1838" s="2"/>
      <c r="BH1838" s="2"/>
      <c r="BI1838" s="2"/>
      <c r="BJ1838" s="2">
        <v>241</v>
      </c>
      <c r="BK1838" s="2" t="s">
        <v>82</v>
      </c>
      <c r="BL1838" s="2"/>
      <c r="BM1838" s="2">
        <v>241</v>
      </c>
      <c r="BN1838" s="2" t="s">
        <v>82</v>
      </c>
      <c r="BO1838" s="2"/>
      <c r="BP1838" s="2">
        <v>241</v>
      </c>
      <c r="BQ1838" s="2" t="s">
        <v>82</v>
      </c>
      <c r="BR1838" s="2"/>
      <c r="BS1838" s="3">
        <v>40301</v>
      </c>
      <c r="BT1838" s="4">
        <v>0.71633101851851855</v>
      </c>
    </row>
    <row r="1839" spans="1:72" x14ac:dyDescent="0.25">
      <c r="A1839" s="2">
        <v>2650</v>
      </c>
      <c r="B1839" s="2">
        <v>2010</v>
      </c>
      <c r="C1839" s="2" t="s">
        <v>4543</v>
      </c>
      <c r="D1839" s="2" t="s">
        <v>122</v>
      </c>
      <c r="E1839" s="2" t="s">
        <v>6515</v>
      </c>
      <c r="F1839" s="2">
        <v>319</v>
      </c>
      <c r="G1839" s="2" t="s">
        <v>6516</v>
      </c>
      <c r="H1839" s="2">
        <v>22</v>
      </c>
      <c r="I1839" s="2" t="s">
        <v>75</v>
      </c>
      <c r="J1839" s="2">
        <v>385</v>
      </c>
      <c r="K1839" s="2" t="s">
        <v>1314</v>
      </c>
      <c r="L1839" s="2" t="s">
        <v>1315</v>
      </c>
      <c r="M1839" s="3">
        <v>40301</v>
      </c>
      <c r="N1839" s="2" t="s">
        <v>6517</v>
      </c>
      <c r="O1839" s="2" t="s">
        <v>82</v>
      </c>
      <c r="P1839" s="2" t="s">
        <v>82</v>
      </c>
      <c r="Q1839" s="2" t="str">
        <f>"0015/10"</f>
        <v>0015/10</v>
      </c>
      <c r="R1839" s="2" t="s">
        <v>82</v>
      </c>
      <c r="S1839" s="2" t="s">
        <v>6518</v>
      </c>
      <c r="T1839" s="2">
        <v>2</v>
      </c>
      <c r="U1839" s="2" t="s">
        <v>123</v>
      </c>
      <c r="V1839" s="2">
        <v>1</v>
      </c>
      <c r="W1839" s="2" t="s">
        <v>80</v>
      </c>
      <c r="X1839" s="2">
        <v>1</v>
      </c>
      <c r="Y1839" s="2" t="s">
        <v>81</v>
      </c>
      <c r="Z1839" s="2">
        <v>10</v>
      </c>
      <c r="AA1839" s="2" t="s">
        <v>236</v>
      </c>
      <c r="AB1839" s="2">
        <v>9</v>
      </c>
      <c r="AC1839" s="2" t="s">
        <v>124</v>
      </c>
      <c r="AD1839" s="3">
        <v>40301</v>
      </c>
      <c r="AE1839" s="4">
        <v>0.60416666666666663</v>
      </c>
      <c r="AF1839" s="2"/>
      <c r="AG1839" s="2"/>
      <c r="AH1839" s="2">
        <v>5</v>
      </c>
      <c r="AI1839" s="2" t="s">
        <v>274</v>
      </c>
      <c r="AJ1839" s="2">
        <v>44</v>
      </c>
      <c r="AK1839" s="2" t="s">
        <v>667</v>
      </c>
      <c r="AL1839" s="2">
        <v>14</v>
      </c>
      <c r="AM1839" s="2" t="s">
        <v>216</v>
      </c>
      <c r="AN1839" s="2" t="s">
        <v>6519</v>
      </c>
      <c r="AO1839" s="2" t="s">
        <v>137</v>
      </c>
      <c r="AP1839" s="2">
        <v>4</v>
      </c>
      <c r="AQ1839" s="2" t="s">
        <v>6520</v>
      </c>
      <c r="AR1839" s="2" t="s">
        <v>6521</v>
      </c>
      <c r="AS1839" s="2" t="s">
        <v>6521</v>
      </c>
      <c r="AT1839" s="2" t="s">
        <v>6522</v>
      </c>
      <c r="AU1839" s="2"/>
      <c r="AV1839" s="2"/>
      <c r="AW1839" s="2"/>
      <c r="AX1839" s="2"/>
      <c r="AY1839" s="2">
        <v>41</v>
      </c>
      <c r="AZ1839" s="2" t="s">
        <v>82</v>
      </c>
      <c r="BA1839" s="2">
        <v>41</v>
      </c>
      <c r="BB1839" s="2" t="s">
        <v>82</v>
      </c>
      <c r="BC1839" s="2">
        <v>57</v>
      </c>
      <c r="BD1839" s="2"/>
      <c r="BE1839" s="2">
        <v>13</v>
      </c>
      <c r="BF1839" s="2" t="s">
        <v>108</v>
      </c>
      <c r="BG1839" s="2">
        <v>1779</v>
      </c>
      <c r="BH1839" s="4">
        <v>0.58680555555555558</v>
      </c>
      <c r="BI1839" s="4">
        <v>0.62152777777777779</v>
      </c>
      <c r="BJ1839" s="2">
        <v>13</v>
      </c>
      <c r="BK1839" s="2" t="s">
        <v>91</v>
      </c>
      <c r="BL1839" s="2" t="s">
        <v>1026</v>
      </c>
      <c r="BM1839" s="2">
        <v>241</v>
      </c>
      <c r="BN1839" s="2" t="s">
        <v>82</v>
      </c>
      <c r="BO1839" s="2" t="s">
        <v>82</v>
      </c>
      <c r="BP1839" s="2">
        <v>13</v>
      </c>
      <c r="BQ1839" s="2" t="s">
        <v>91</v>
      </c>
      <c r="BR1839" s="2" t="s">
        <v>170</v>
      </c>
      <c r="BS1839" s="3">
        <v>40301</v>
      </c>
      <c r="BT1839" s="4">
        <v>0.72528935185185184</v>
      </c>
    </row>
    <row r="1840" spans="1:72" x14ac:dyDescent="0.25">
      <c r="A1840" s="2">
        <v>2651</v>
      </c>
      <c r="B1840" s="2">
        <v>2010</v>
      </c>
      <c r="C1840" s="2" t="s">
        <v>2754</v>
      </c>
      <c r="D1840" s="2" t="s">
        <v>122</v>
      </c>
      <c r="E1840" s="2" t="s">
        <v>6523</v>
      </c>
      <c r="F1840" s="2">
        <v>90</v>
      </c>
      <c r="G1840" s="2" t="s">
        <v>4741</v>
      </c>
      <c r="H1840" s="2">
        <v>47</v>
      </c>
      <c r="I1840" s="2" t="s">
        <v>1409</v>
      </c>
      <c r="J1840" s="2">
        <v>118</v>
      </c>
      <c r="K1840" s="2" t="s">
        <v>4742</v>
      </c>
      <c r="L1840" s="2" t="s">
        <v>4743</v>
      </c>
      <c r="M1840" s="3">
        <v>40301</v>
      </c>
      <c r="N1840" s="2" t="s">
        <v>6499</v>
      </c>
      <c r="O1840" s="2" t="s">
        <v>6500</v>
      </c>
      <c r="P1840" s="2" t="s">
        <v>6501</v>
      </c>
      <c r="Q1840" s="2" t="str">
        <f>"S/D"</f>
        <v>S/D</v>
      </c>
      <c r="R1840" s="2" t="s">
        <v>107</v>
      </c>
      <c r="S1840" s="2" t="s">
        <v>107</v>
      </c>
      <c r="T1840" s="2">
        <v>1</v>
      </c>
      <c r="U1840" s="2" t="s">
        <v>79</v>
      </c>
      <c r="V1840" s="2">
        <v>1</v>
      </c>
      <c r="W1840" s="2" t="s">
        <v>80</v>
      </c>
      <c r="X1840" s="2">
        <v>8</v>
      </c>
      <c r="Y1840" s="2" t="s">
        <v>375</v>
      </c>
      <c r="Z1840" s="2">
        <v>1</v>
      </c>
      <c r="AA1840" s="2" t="s">
        <v>82</v>
      </c>
      <c r="AB1840" s="2">
        <v>8</v>
      </c>
      <c r="AC1840" s="2" t="s">
        <v>2760</v>
      </c>
      <c r="AD1840" s="3">
        <v>40301</v>
      </c>
      <c r="AE1840" s="4">
        <v>0.57638888888888895</v>
      </c>
      <c r="AF1840" s="2"/>
      <c r="AG1840" s="2"/>
      <c r="AH1840" s="2">
        <v>6</v>
      </c>
      <c r="AI1840" s="2" t="s">
        <v>197</v>
      </c>
      <c r="AJ1840" s="2">
        <v>52</v>
      </c>
      <c r="AK1840" s="2" t="s">
        <v>4746</v>
      </c>
      <c r="AL1840" s="2">
        <v>12</v>
      </c>
      <c r="AM1840" s="2" t="s">
        <v>86</v>
      </c>
      <c r="AN1840" s="2" t="s">
        <v>6524</v>
      </c>
      <c r="AO1840" s="2" t="s">
        <v>6525</v>
      </c>
      <c r="AP1840" s="2">
        <v>11</v>
      </c>
      <c r="AQ1840" s="2" t="s">
        <v>82</v>
      </c>
      <c r="AR1840" s="2" t="s">
        <v>82</v>
      </c>
      <c r="AS1840" s="2" t="s">
        <v>82</v>
      </c>
      <c r="AT1840" s="2" t="s">
        <v>6526</v>
      </c>
      <c r="AU1840" s="2"/>
      <c r="AV1840" s="2"/>
      <c r="AW1840" s="2"/>
      <c r="AX1840" s="2"/>
      <c r="AY1840" s="2">
        <v>42</v>
      </c>
      <c r="AZ1840" s="2" t="s">
        <v>182</v>
      </c>
      <c r="BA1840" s="2">
        <v>70</v>
      </c>
      <c r="BB1840" s="2" t="s">
        <v>236</v>
      </c>
      <c r="BC1840" s="2">
        <v>70</v>
      </c>
      <c r="BD1840" s="2" t="s">
        <v>236</v>
      </c>
      <c r="BE1840" s="2">
        <v>1</v>
      </c>
      <c r="BF1840" s="2" t="s">
        <v>107</v>
      </c>
      <c r="BG1840" s="2"/>
      <c r="BH1840" s="2"/>
      <c r="BI1840" s="2"/>
      <c r="BJ1840" s="2">
        <v>241</v>
      </c>
      <c r="BK1840" s="2" t="s">
        <v>82</v>
      </c>
      <c r="BL1840" s="2" t="s">
        <v>82</v>
      </c>
      <c r="BM1840" s="2">
        <v>241</v>
      </c>
      <c r="BN1840" s="2" t="s">
        <v>82</v>
      </c>
      <c r="BO1840" s="2" t="s">
        <v>82</v>
      </c>
      <c r="BP1840" s="2">
        <v>241</v>
      </c>
      <c r="BQ1840" s="2" t="s">
        <v>82</v>
      </c>
      <c r="BR1840" s="2" t="s">
        <v>82</v>
      </c>
      <c r="BS1840" s="3">
        <v>40301</v>
      </c>
      <c r="BT1840" s="4">
        <v>0.73585648148148142</v>
      </c>
    </row>
    <row r="1841" spans="1:72" x14ac:dyDescent="0.25">
      <c r="A1841" s="2">
        <v>2652</v>
      </c>
      <c r="B1841" s="2">
        <v>2010</v>
      </c>
      <c r="C1841" s="2" t="s">
        <v>2011</v>
      </c>
      <c r="D1841" s="2" t="s">
        <v>73</v>
      </c>
      <c r="E1841" s="2"/>
      <c r="F1841" s="2">
        <v>279</v>
      </c>
      <c r="G1841" s="2" t="s">
        <v>4464</v>
      </c>
      <c r="H1841" s="2">
        <v>42</v>
      </c>
      <c r="I1841" s="2" t="s">
        <v>1096</v>
      </c>
      <c r="J1841" s="2">
        <v>284</v>
      </c>
      <c r="K1841" s="2" t="s">
        <v>4465</v>
      </c>
      <c r="L1841" s="2" t="s">
        <v>4466</v>
      </c>
      <c r="M1841" s="3">
        <v>40301</v>
      </c>
      <c r="N1841" s="2" t="s">
        <v>5340</v>
      </c>
      <c r="O1841" s="2" t="s">
        <v>947</v>
      </c>
      <c r="P1841" s="2" t="s">
        <v>6527</v>
      </c>
      <c r="Q1841" s="2" t="str">
        <f>"004/2010"</f>
        <v>004/2010</v>
      </c>
      <c r="R1841" s="2" t="s">
        <v>947</v>
      </c>
      <c r="S1841" s="2"/>
      <c r="T1841" s="2">
        <v>1</v>
      </c>
      <c r="U1841" s="2" t="s">
        <v>79</v>
      </c>
      <c r="V1841" s="2">
        <v>1</v>
      </c>
      <c r="W1841" s="2" t="s">
        <v>80</v>
      </c>
      <c r="X1841" s="2">
        <v>12</v>
      </c>
      <c r="Y1841" s="2" t="s">
        <v>148</v>
      </c>
      <c r="Z1841" s="2">
        <v>1</v>
      </c>
      <c r="AA1841" s="2" t="s">
        <v>82</v>
      </c>
      <c r="AB1841" s="2">
        <v>9</v>
      </c>
      <c r="AC1841" s="2" t="s">
        <v>124</v>
      </c>
      <c r="AD1841" s="3">
        <v>40301</v>
      </c>
      <c r="AE1841" s="4">
        <v>0.72916666666666663</v>
      </c>
      <c r="AF1841" s="2"/>
      <c r="AG1841" s="2"/>
      <c r="AH1841" s="2">
        <v>3</v>
      </c>
      <c r="AI1841" s="2" t="s">
        <v>214</v>
      </c>
      <c r="AJ1841" s="2">
        <v>18</v>
      </c>
      <c r="AK1841" s="2" t="s">
        <v>4469</v>
      </c>
      <c r="AL1841" s="2">
        <v>9</v>
      </c>
      <c r="AM1841" s="2" t="s">
        <v>259</v>
      </c>
      <c r="AN1841" s="2"/>
      <c r="AO1841" s="2"/>
      <c r="AP1841" s="2">
        <v>11</v>
      </c>
      <c r="AQ1841" s="2" t="s">
        <v>82</v>
      </c>
      <c r="AR1841" s="2"/>
      <c r="AS1841" s="2"/>
      <c r="AT1841" s="2" t="s">
        <v>6528</v>
      </c>
      <c r="AU1841" s="2"/>
      <c r="AV1841" s="2"/>
      <c r="AW1841" s="2"/>
      <c r="AX1841" s="2"/>
      <c r="AY1841" s="2">
        <v>44</v>
      </c>
      <c r="AZ1841" s="2" t="s">
        <v>262</v>
      </c>
      <c r="BA1841" s="2">
        <v>41</v>
      </c>
      <c r="BB1841" s="2" t="s">
        <v>82</v>
      </c>
      <c r="BC1841" s="2">
        <v>41</v>
      </c>
      <c r="BD1841" s="2" t="s">
        <v>82</v>
      </c>
      <c r="BE1841" s="2">
        <v>41</v>
      </c>
      <c r="BF1841" s="2" t="s">
        <v>82</v>
      </c>
      <c r="BG1841" s="2"/>
      <c r="BH1841" s="2"/>
      <c r="BI1841" s="2"/>
      <c r="BJ1841" s="2">
        <v>241</v>
      </c>
      <c r="BK1841" s="2" t="s">
        <v>82</v>
      </c>
      <c r="BL1841" s="2"/>
      <c r="BM1841" s="2">
        <v>241</v>
      </c>
      <c r="BN1841" s="2" t="s">
        <v>82</v>
      </c>
      <c r="BO1841" s="2"/>
      <c r="BP1841" s="2">
        <v>241</v>
      </c>
      <c r="BQ1841" s="2" t="s">
        <v>82</v>
      </c>
      <c r="BR1841" s="2"/>
      <c r="BS1841" s="3">
        <v>40301</v>
      </c>
      <c r="BT1841" s="4">
        <v>0.79391203703703705</v>
      </c>
    </row>
    <row r="1842" spans="1:72" x14ac:dyDescent="0.25">
      <c r="A1842" s="2">
        <v>2653</v>
      </c>
      <c r="B1842" s="2">
        <v>2010</v>
      </c>
      <c r="C1842" s="2" t="s">
        <v>549</v>
      </c>
      <c r="D1842" s="2" t="s">
        <v>122</v>
      </c>
      <c r="E1842" s="2"/>
      <c r="F1842" s="2">
        <v>1</v>
      </c>
      <c r="G1842" s="2" t="s">
        <v>82</v>
      </c>
      <c r="H1842" s="2">
        <v>1</v>
      </c>
      <c r="I1842" s="2" t="s">
        <v>82</v>
      </c>
      <c r="J1842" s="2">
        <v>1</v>
      </c>
      <c r="K1842" s="2" t="s">
        <v>107</v>
      </c>
      <c r="L1842" s="2" t="s">
        <v>107</v>
      </c>
      <c r="M1842" s="3">
        <v>40301</v>
      </c>
      <c r="N1842" s="2"/>
      <c r="O1842" s="2"/>
      <c r="P1842" s="2"/>
      <c r="Q1842" s="2" t="str">
        <f>""</f>
        <v/>
      </c>
      <c r="R1842" s="2"/>
      <c r="S1842" s="2"/>
      <c r="T1842" s="2">
        <v>1</v>
      </c>
      <c r="U1842" s="2" t="s">
        <v>79</v>
      </c>
      <c r="V1842" s="2">
        <v>1</v>
      </c>
      <c r="W1842" s="2" t="s">
        <v>80</v>
      </c>
      <c r="X1842" s="2">
        <v>5</v>
      </c>
      <c r="Y1842" s="2" t="s">
        <v>82</v>
      </c>
      <c r="Z1842" s="2">
        <v>1</v>
      </c>
      <c r="AA1842" s="2" t="s">
        <v>82</v>
      </c>
      <c r="AB1842" s="2">
        <v>9</v>
      </c>
      <c r="AC1842" s="2" t="s">
        <v>124</v>
      </c>
      <c r="AD1842" s="3">
        <v>40301</v>
      </c>
      <c r="AE1842" s="4">
        <v>0.47916666666666669</v>
      </c>
      <c r="AF1842" s="2"/>
      <c r="AG1842" s="2"/>
      <c r="AH1842" s="2">
        <v>5</v>
      </c>
      <c r="AI1842" s="2" t="s">
        <v>274</v>
      </c>
      <c r="AJ1842" s="2">
        <v>37</v>
      </c>
      <c r="AK1842" s="2" t="s">
        <v>497</v>
      </c>
      <c r="AL1842" s="2">
        <v>18</v>
      </c>
      <c r="AM1842" s="2" t="s">
        <v>82</v>
      </c>
      <c r="AN1842" s="2" t="s">
        <v>6529</v>
      </c>
      <c r="AO1842" s="2"/>
      <c r="AP1842" s="2">
        <v>11</v>
      </c>
      <c r="AQ1842" s="2" t="s">
        <v>82</v>
      </c>
      <c r="AR1842" s="2"/>
      <c r="AS1842" s="2"/>
      <c r="AT1842" s="2" t="s">
        <v>6530</v>
      </c>
      <c r="AU1842" s="2"/>
      <c r="AV1842" s="2"/>
      <c r="AW1842" s="2"/>
      <c r="AX1842" s="2"/>
      <c r="AY1842" s="2">
        <v>1</v>
      </c>
      <c r="AZ1842" s="2" t="s">
        <v>107</v>
      </c>
      <c r="BA1842" s="2">
        <v>1</v>
      </c>
      <c r="BB1842" s="2" t="s">
        <v>107</v>
      </c>
      <c r="BC1842" s="2">
        <v>1</v>
      </c>
      <c r="BD1842" s="2" t="s">
        <v>107</v>
      </c>
      <c r="BE1842" s="2">
        <v>1</v>
      </c>
      <c r="BF1842" s="2" t="s">
        <v>107</v>
      </c>
      <c r="BG1842" s="2"/>
      <c r="BH1842" s="2"/>
      <c r="BI1842" s="2"/>
      <c r="BJ1842" s="2">
        <v>242</v>
      </c>
      <c r="BK1842" s="2" t="s">
        <v>107</v>
      </c>
      <c r="BL1842" s="2"/>
      <c r="BM1842" s="2">
        <v>242</v>
      </c>
      <c r="BN1842" s="2" t="s">
        <v>107</v>
      </c>
      <c r="BO1842" s="2"/>
      <c r="BP1842" s="2">
        <v>242</v>
      </c>
      <c r="BQ1842" s="2" t="s">
        <v>107</v>
      </c>
      <c r="BR1842" s="2"/>
      <c r="BS1842" s="3">
        <v>40301</v>
      </c>
      <c r="BT1842" s="4">
        <v>0.7966550925925926</v>
      </c>
    </row>
    <row r="1843" spans="1:72" x14ac:dyDescent="0.25">
      <c r="A1843" s="2">
        <v>2655</v>
      </c>
      <c r="B1843" s="2">
        <v>2010</v>
      </c>
      <c r="C1843" s="2" t="s">
        <v>1094</v>
      </c>
      <c r="D1843" s="2" t="s">
        <v>73</v>
      </c>
      <c r="E1843" s="2"/>
      <c r="F1843" s="2">
        <v>2</v>
      </c>
      <c r="G1843" s="2" t="s">
        <v>113</v>
      </c>
      <c r="H1843" s="2">
        <v>1</v>
      </c>
      <c r="I1843" s="2" t="s">
        <v>82</v>
      </c>
      <c r="J1843" s="2">
        <v>300</v>
      </c>
      <c r="K1843" s="2" t="s">
        <v>114</v>
      </c>
      <c r="L1843" s="2" t="s">
        <v>115</v>
      </c>
      <c r="M1843" s="3">
        <v>40301</v>
      </c>
      <c r="N1843" s="2"/>
      <c r="O1843" s="2"/>
      <c r="P1843" s="2"/>
      <c r="Q1843" s="2" t="str">
        <f>"242-E/10"</f>
        <v>242-E/10</v>
      </c>
      <c r="R1843" s="2" t="s">
        <v>1100</v>
      </c>
      <c r="S1843" s="2" t="s">
        <v>1100</v>
      </c>
      <c r="T1843" s="2">
        <v>1</v>
      </c>
      <c r="U1843" s="2" t="s">
        <v>79</v>
      </c>
      <c r="V1843" s="2">
        <v>1</v>
      </c>
      <c r="W1843" s="2" t="s">
        <v>80</v>
      </c>
      <c r="X1843" s="2">
        <v>12</v>
      </c>
      <c r="Y1843" s="2" t="s">
        <v>148</v>
      </c>
      <c r="Z1843" s="2">
        <v>1</v>
      </c>
      <c r="AA1843" s="2" t="s">
        <v>82</v>
      </c>
      <c r="AB1843" s="2">
        <v>9</v>
      </c>
      <c r="AC1843" s="2" t="s">
        <v>124</v>
      </c>
      <c r="AD1843" s="3">
        <v>40301</v>
      </c>
      <c r="AE1843" s="4">
        <v>0.625</v>
      </c>
      <c r="AF1843" s="3">
        <v>40301</v>
      </c>
      <c r="AG1843" s="4">
        <v>0.70833333333333337</v>
      </c>
      <c r="AH1843" s="2">
        <v>2</v>
      </c>
      <c r="AI1843" s="2" t="s">
        <v>84</v>
      </c>
      <c r="AJ1843" s="2">
        <v>9</v>
      </c>
      <c r="AK1843" s="2" t="s">
        <v>103</v>
      </c>
      <c r="AL1843" s="2">
        <v>25</v>
      </c>
      <c r="AM1843" s="2" t="s">
        <v>3073</v>
      </c>
      <c r="AN1843" s="2" t="s">
        <v>6531</v>
      </c>
      <c r="AO1843" s="2" t="s">
        <v>6532</v>
      </c>
      <c r="AP1843" s="2">
        <v>11</v>
      </c>
      <c r="AQ1843" s="2" t="s">
        <v>82</v>
      </c>
      <c r="AR1843" s="2"/>
      <c r="AS1843" s="2"/>
      <c r="AT1843" s="2" t="s">
        <v>6533</v>
      </c>
      <c r="AU1843" s="2"/>
      <c r="AV1843" s="2"/>
      <c r="AW1843" s="2"/>
      <c r="AX1843" s="2"/>
      <c r="AY1843" s="2">
        <v>41</v>
      </c>
      <c r="AZ1843" s="2" t="s">
        <v>82</v>
      </c>
      <c r="BA1843" s="2">
        <v>41</v>
      </c>
      <c r="BB1843" s="2" t="s">
        <v>82</v>
      </c>
      <c r="BC1843" s="2">
        <v>41</v>
      </c>
      <c r="BD1843" s="2" t="s">
        <v>82</v>
      </c>
      <c r="BE1843" s="2">
        <v>41</v>
      </c>
      <c r="BF1843" s="2" t="s">
        <v>82</v>
      </c>
      <c r="BG1843" s="2"/>
      <c r="BH1843" s="2"/>
      <c r="BI1843" s="2"/>
      <c r="BJ1843" s="2">
        <v>241</v>
      </c>
      <c r="BK1843" s="2" t="s">
        <v>82</v>
      </c>
      <c r="BL1843" s="2"/>
      <c r="BM1843" s="2">
        <v>241</v>
      </c>
      <c r="BN1843" s="2" t="s">
        <v>82</v>
      </c>
      <c r="BO1843" s="2"/>
      <c r="BP1843" s="2">
        <v>241</v>
      </c>
      <c r="BQ1843" s="2" t="s">
        <v>82</v>
      </c>
      <c r="BR1843" s="2"/>
      <c r="BS1843" s="3">
        <v>40301</v>
      </c>
      <c r="BT1843" s="4">
        <v>0.89753472222222219</v>
      </c>
    </row>
    <row r="1844" spans="1:72" x14ac:dyDescent="0.25">
      <c r="A1844" s="2">
        <v>2656</v>
      </c>
      <c r="B1844" s="2">
        <v>2010</v>
      </c>
      <c r="C1844" s="2" t="s">
        <v>121</v>
      </c>
      <c r="D1844" s="2" t="s">
        <v>122</v>
      </c>
      <c r="E1844" s="2"/>
      <c r="F1844" s="2">
        <v>1</v>
      </c>
      <c r="G1844" s="2" t="s">
        <v>82</v>
      </c>
      <c r="H1844" s="2">
        <v>1</v>
      </c>
      <c r="I1844" s="2" t="s">
        <v>82</v>
      </c>
      <c r="J1844" s="2">
        <v>1</v>
      </c>
      <c r="K1844" s="2" t="s">
        <v>107</v>
      </c>
      <c r="L1844" s="2" t="s">
        <v>107</v>
      </c>
      <c r="M1844" s="3">
        <v>40301</v>
      </c>
      <c r="N1844" s="2"/>
      <c r="O1844" s="2"/>
      <c r="P1844" s="2"/>
      <c r="Q1844" s="2" t="str">
        <f>""</f>
        <v/>
      </c>
      <c r="R1844" s="2"/>
      <c r="S1844" s="2"/>
      <c r="T1844" s="2">
        <v>2</v>
      </c>
      <c r="U1844" s="2" t="s">
        <v>123</v>
      </c>
      <c r="V1844" s="2">
        <v>1</v>
      </c>
      <c r="W1844" s="2" t="s">
        <v>80</v>
      </c>
      <c r="X1844" s="2">
        <v>11</v>
      </c>
      <c r="Y1844" s="2" t="s">
        <v>1920</v>
      </c>
      <c r="Z1844" s="2">
        <v>1</v>
      </c>
      <c r="AA1844" s="2" t="s">
        <v>82</v>
      </c>
      <c r="AB1844" s="2">
        <v>9</v>
      </c>
      <c r="AC1844" s="2" t="s">
        <v>124</v>
      </c>
      <c r="AD1844" s="3">
        <v>40301</v>
      </c>
      <c r="AE1844" s="4">
        <v>0.75</v>
      </c>
      <c r="AF1844" s="2"/>
      <c r="AG1844" s="2"/>
      <c r="AH1844" s="2">
        <v>2</v>
      </c>
      <c r="AI1844" s="2" t="s">
        <v>84</v>
      </c>
      <c r="AJ1844" s="2">
        <v>12</v>
      </c>
      <c r="AK1844" s="2" t="s">
        <v>85</v>
      </c>
      <c r="AL1844" s="2">
        <v>20</v>
      </c>
      <c r="AM1844" s="2" t="s">
        <v>992</v>
      </c>
      <c r="AN1844" s="2"/>
      <c r="AO1844" s="2" t="s">
        <v>993</v>
      </c>
      <c r="AP1844" s="2">
        <v>11</v>
      </c>
      <c r="AQ1844" s="2" t="s">
        <v>82</v>
      </c>
      <c r="AR1844" s="2"/>
      <c r="AS1844" s="2"/>
      <c r="AT1844" s="2" t="s">
        <v>6534</v>
      </c>
      <c r="AU1844" s="2"/>
      <c r="AV1844" s="2"/>
      <c r="AW1844" s="2"/>
      <c r="AX1844" s="2"/>
      <c r="AY1844" s="2">
        <v>41</v>
      </c>
      <c r="AZ1844" s="2" t="s">
        <v>82</v>
      </c>
      <c r="BA1844" s="2">
        <v>41</v>
      </c>
      <c r="BB1844" s="2" t="s">
        <v>82</v>
      </c>
      <c r="BC1844" s="2">
        <v>41</v>
      </c>
      <c r="BD1844" s="2" t="s">
        <v>82</v>
      </c>
      <c r="BE1844" s="2">
        <v>1</v>
      </c>
      <c r="BF1844" s="2" t="s">
        <v>107</v>
      </c>
      <c r="BG1844" s="2" t="s">
        <v>107</v>
      </c>
      <c r="BH1844" s="4">
        <v>0.89930555555555547</v>
      </c>
      <c r="BI1844" s="2"/>
      <c r="BJ1844" s="2">
        <v>66</v>
      </c>
      <c r="BK1844" s="2" t="s">
        <v>2681</v>
      </c>
      <c r="BL1844" s="2" t="s">
        <v>107</v>
      </c>
      <c r="BM1844" s="2">
        <v>242</v>
      </c>
      <c r="BN1844" s="2" t="s">
        <v>107</v>
      </c>
      <c r="BO1844" s="2"/>
      <c r="BP1844" s="2">
        <v>13</v>
      </c>
      <c r="BQ1844" s="2" t="s">
        <v>91</v>
      </c>
      <c r="BR1844" s="2" t="s">
        <v>170</v>
      </c>
      <c r="BS1844" s="3">
        <v>40301</v>
      </c>
      <c r="BT1844" s="4">
        <v>0.90722222222222226</v>
      </c>
    </row>
    <row r="1845" spans="1:72" x14ac:dyDescent="0.25">
      <c r="A1845" s="2">
        <v>2657</v>
      </c>
      <c r="B1845" s="2">
        <v>2010</v>
      </c>
      <c r="C1845" s="2" t="s">
        <v>819</v>
      </c>
      <c r="D1845" s="2" t="s">
        <v>122</v>
      </c>
      <c r="E1845" s="2"/>
      <c r="F1845" s="2">
        <v>451</v>
      </c>
      <c r="G1845" s="2" t="s">
        <v>879</v>
      </c>
      <c r="H1845" s="2">
        <v>31</v>
      </c>
      <c r="I1845" s="2" t="s">
        <v>880</v>
      </c>
      <c r="J1845" s="2">
        <v>326</v>
      </c>
      <c r="K1845" s="2" t="s">
        <v>881</v>
      </c>
      <c r="L1845" s="2" t="s">
        <v>882</v>
      </c>
      <c r="M1845" s="3">
        <v>40301</v>
      </c>
      <c r="N1845" s="2" t="s">
        <v>1072</v>
      </c>
      <c r="O1845" s="2" t="s">
        <v>5928</v>
      </c>
      <c r="P1845" s="2" t="s">
        <v>6535</v>
      </c>
      <c r="Q1845" s="2" t="str">
        <f>"Nº 050/10"</f>
        <v>Nº 050/10</v>
      </c>
      <c r="R1845" s="2" t="s">
        <v>822</v>
      </c>
      <c r="S1845" s="2"/>
      <c r="T1845" s="2">
        <v>1</v>
      </c>
      <c r="U1845" s="2" t="s">
        <v>79</v>
      </c>
      <c r="V1845" s="2">
        <v>1</v>
      </c>
      <c r="W1845" s="2" t="s">
        <v>80</v>
      </c>
      <c r="X1845" s="2">
        <v>1</v>
      </c>
      <c r="Y1845" s="2" t="s">
        <v>81</v>
      </c>
      <c r="Z1845" s="2">
        <v>1</v>
      </c>
      <c r="AA1845" s="2" t="s">
        <v>82</v>
      </c>
      <c r="AB1845" s="2">
        <v>9</v>
      </c>
      <c r="AC1845" s="2" t="s">
        <v>124</v>
      </c>
      <c r="AD1845" s="3">
        <v>40301</v>
      </c>
      <c r="AE1845" s="4">
        <v>0.91666666666666663</v>
      </c>
      <c r="AF1845" s="2"/>
      <c r="AG1845" s="2"/>
      <c r="AH1845" s="2">
        <v>4</v>
      </c>
      <c r="AI1845" s="2" t="s">
        <v>125</v>
      </c>
      <c r="AJ1845" s="2">
        <v>29</v>
      </c>
      <c r="AK1845" s="2" t="s">
        <v>227</v>
      </c>
      <c r="AL1845" s="2">
        <v>16</v>
      </c>
      <c r="AM1845" s="2" t="s">
        <v>392</v>
      </c>
      <c r="AN1845" s="2" t="s">
        <v>1015</v>
      </c>
      <c r="AO1845" s="2"/>
      <c r="AP1845" s="2">
        <v>12</v>
      </c>
      <c r="AQ1845" s="2" t="s">
        <v>322</v>
      </c>
      <c r="AR1845" s="2" t="s">
        <v>824</v>
      </c>
      <c r="AS1845" s="2" t="s">
        <v>825</v>
      </c>
      <c r="AT1845" s="2" t="s">
        <v>6536</v>
      </c>
      <c r="AU1845" s="2"/>
      <c r="AV1845" s="2"/>
      <c r="AW1845" s="2"/>
      <c r="AX1845" s="2"/>
      <c r="AY1845" s="2">
        <v>41</v>
      </c>
      <c r="AZ1845" s="2" t="s">
        <v>82</v>
      </c>
      <c r="BA1845" s="2">
        <v>41</v>
      </c>
      <c r="BB1845" s="2" t="s">
        <v>82</v>
      </c>
      <c r="BC1845" s="2">
        <v>51</v>
      </c>
      <c r="BD1845" s="2" t="s">
        <v>827</v>
      </c>
      <c r="BE1845" s="2">
        <v>47</v>
      </c>
      <c r="BF1845" s="2" t="s">
        <v>167</v>
      </c>
      <c r="BG1845" s="2">
        <v>2459</v>
      </c>
      <c r="BH1845" s="4">
        <v>0.89236111111111116</v>
      </c>
      <c r="BI1845" s="4">
        <v>0.9375</v>
      </c>
      <c r="BJ1845" s="2">
        <v>13</v>
      </c>
      <c r="BK1845" s="2" t="s">
        <v>91</v>
      </c>
      <c r="BL1845" s="2" t="s">
        <v>828</v>
      </c>
      <c r="BM1845" s="2">
        <v>241</v>
      </c>
      <c r="BN1845" s="2" t="s">
        <v>82</v>
      </c>
      <c r="BO1845" s="2" t="s">
        <v>82</v>
      </c>
      <c r="BP1845" s="2">
        <v>13</v>
      </c>
      <c r="BQ1845" s="2" t="s">
        <v>91</v>
      </c>
      <c r="BR1845" s="2" t="s">
        <v>185</v>
      </c>
      <c r="BS1845" s="3">
        <v>40301</v>
      </c>
      <c r="BT1845" s="4">
        <v>0.97043981481481489</v>
      </c>
    </row>
    <row r="1846" spans="1:72" x14ac:dyDescent="0.25">
      <c r="A1846" s="2">
        <v>2657</v>
      </c>
      <c r="B1846" s="2">
        <v>2010</v>
      </c>
      <c r="C1846" s="2" t="s">
        <v>171</v>
      </c>
      <c r="D1846" s="2" t="s">
        <v>122</v>
      </c>
      <c r="E1846" s="2"/>
      <c r="F1846" s="2">
        <v>451</v>
      </c>
      <c r="G1846" s="2" t="s">
        <v>879</v>
      </c>
      <c r="H1846" s="2">
        <v>31</v>
      </c>
      <c r="I1846" s="2" t="s">
        <v>880</v>
      </c>
      <c r="J1846" s="2">
        <v>326</v>
      </c>
      <c r="K1846" s="2" t="s">
        <v>881</v>
      </c>
      <c r="L1846" s="2" t="s">
        <v>882</v>
      </c>
      <c r="M1846" s="3">
        <v>40301</v>
      </c>
      <c r="N1846" s="2" t="s">
        <v>1072</v>
      </c>
      <c r="O1846" s="2" t="s">
        <v>5928</v>
      </c>
      <c r="P1846" s="2" t="s">
        <v>6535</v>
      </c>
      <c r="Q1846" s="2" t="str">
        <f>"Nº 050/10"</f>
        <v>Nº 050/10</v>
      </c>
      <c r="R1846" s="2" t="s">
        <v>822</v>
      </c>
      <c r="S1846" s="2"/>
      <c r="T1846" s="2">
        <v>1</v>
      </c>
      <c r="U1846" s="2" t="s">
        <v>79</v>
      </c>
      <c r="V1846" s="2">
        <v>1</v>
      </c>
      <c r="W1846" s="2" t="s">
        <v>80</v>
      </c>
      <c r="X1846" s="2">
        <v>1</v>
      </c>
      <c r="Y1846" s="2" t="s">
        <v>81</v>
      </c>
      <c r="Z1846" s="2">
        <v>1</v>
      </c>
      <c r="AA1846" s="2" t="s">
        <v>82</v>
      </c>
      <c r="AB1846" s="2">
        <v>1</v>
      </c>
      <c r="AC1846" s="2" t="s">
        <v>178</v>
      </c>
      <c r="AD1846" s="3">
        <v>40301</v>
      </c>
      <c r="AE1846" s="4">
        <v>0.91666666666666663</v>
      </c>
      <c r="AF1846" s="2"/>
      <c r="AG1846" s="2"/>
      <c r="AH1846" s="2">
        <v>4</v>
      </c>
      <c r="AI1846" s="2" t="s">
        <v>125</v>
      </c>
      <c r="AJ1846" s="2">
        <v>29</v>
      </c>
      <c r="AK1846" s="2" t="s">
        <v>227</v>
      </c>
      <c r="AL1846" s="2">
        <v>16</v>
      </c>
      <c r="AM1846" s="2" t="s">
        <v>392</v>
      </c>
      <c r="AN1846" s="2" t="s">
        <v>1015</v>
      </c>
      <c r="AO1846" s="2"/>
      <c r="AP1846" s="2">
        <v>12</v>
      </c>
      <c r="AQ1846" s="2" t="s">
        <v>322</v>
      </c>
      <c r="AR1846" s="2" t="s">
        <v>824</v>
      </c>
      <c r="AS1846" s="2" t="s">
        <v>825</v>
      </c>
      <c r="AT1846" s="2" t="s">
        <v>6536</v>
      </c>
      <c r="AU1846" s="2"/>
      <c r="AV1846" s="2"/>
      <c r="AW1846" s="2"/>
      <c r="AX1846" s="2"/>
      <c r="AY1846" s="2">
        <v>41</v>
      </c>
      <c r="AZ1846" s="2" t="s">
        <v>82</v>
      </c>
      <c r="BA1846" s="2">
        <v>41</v>
      </c>
      <c r="BB1846" s="2" t="s">
        <v>82</v>
      </c>
      <c r="BC1846" s="2">
        <v>51</v>
      </c>
      <c r="BD1846" s="2" t="s">
        <v>827</v>
      </c>
      <c r="BE1846" s="2">
        <v>47</v>
      </c>
      <c r="BF1846" s="2" t="s">
        <v>167</v>
      </c>
      <c r="BG1846" s="2">
        <v>2459</v>
      </c>
      <c r="BH1846" s="4">
        <v>0.89236111111111116</v>
      </c>
      <c r="BI1846" s="4">
        <v>0.9375</v>
      </c>
      <c r="BJ1846" s="2">
        <v>13</v>
      </c>
      <c r="BK1846" s="2" t="s">
        <v>91</v>
      </c>
      <c r="BL1846" s="2" t="s">
        <v>828</v>
      </c>
      <c r="BM1846" s="2">
        <v>241</v>
      </c>
      <c r="BN1846" s="2" t="s">
        <v>82</v>
      </c>
      <c r="BO1846" s="2" t="s">
        <v>82</v>
      </c>
      <c r="BP1846" s="2">
        <v>13</v>
      </c>
      <c r="BQ1846" s="2" t="s">
        <v>91</v>
      </c>
      <c r="BR1846" s="2" t="s">
        <v>185</v>
      </c>
      <c r="BS1846" s="3">
        <v>40301</v>
      </c>
      <c r="BT1846" s="4">
        <v>0.97043981481481489</v>
      </c>
    </row>
    <row r="1847" spans="1:72" x14ac:dyDescent="0.25">
      <c r="A1847" s="2">
        <v>2658</v>
      </c>
      <c r="B1847" s="2">
        <v>2010</v>
      </c>
      <c r="C1847" s="2" t="s">
        <v>4543</v>
      </c>
      <c r="D1847" s="2" t="s">
        <v>122</v>
      </c>
      <c r="E1847" s="2"/>
      <c r="F1847" s="2">
        <v>1</v>
      </c>
      <c r="G1847" s="2" t="s">
        <v>82</v>
      </c>
      <c r="H1847" s="2">
        <v>1</v>
      </c>
      <c r="I1847" s="2" t="s">
        <v>82</v>
      </c>
      <c r="J1847" s="2">
        <v>1</v>
      </c>
      <c r="K1847" s="2" t="s">
        <v>107</v>
      </c>
      <c r="L1847" s="2" t="s">
        <v>107</v>
      </c>
      <c r="M1847" s="3">
        <v>40301</v>
      </c>
      <c r="N1847" s="2"/>
      <c r="O1847" s="2"/>
      <c r="P1847" s="2"/>
      <c r="Q1847" s="2" t="str">
        <f>""</f>
        <v/>
      </c>
      <c r="R1847" s="2"/>
      <c r="S1847" s="2"/>
      <c r="T1847" s="2">
        <v>2</v>
      </c>
      <c r="U1847" s="2" t="s">
        <v>123</v>
      </c>
      <c r="V1847" s="2">
        <v>1</v>
      </c>
      <c r="W1847" s="2" t="s">
        <v>80</v>
      </c>
      <c r="X1847" s="2">
        <v>11</v>
      </c>
      <c r="Y1847" s="2" t="s">
        <v>1920</v>
      </c>
      <c r="Z1847" s="2">
        <v>1</v>
      </c>
      <c r="AA1847" s="2" t="s">
        <v>82</v>
      </c>
      <c r="AB1847" s="2">
        <v>9</v>
      </c>
      <c r="AC1847" s="2" t="s">
        <v>124</v>
      </c>
      <c r="AD1847" s="3">
        <v>40302</v>
      </c>
      <c r="AE1847" s="4">
        <v>1.3888888888888888E-2</v>
      </c>
      <c r="AF1847" s="2"/>
      <c r="AG1847" s="2"/>
      <c r="AH1847" s="2">
        <v>6</v>
      </c>
      <c r="AI1847" s="2" t="s">
        <v>197</v>
      </c>
      <c r="AJ1847" s="2">
        <v>54</v>
      </c>
      <c r="AK1847" s="2" t="s">
        <v>348</v>
      </c>
      <c r="AL1847" s="2">
        <v>18</v>
      </c>
      <c r="AM1847" s="2" t="s">
        <v>82</v>
      </c>
      <c r="AN1847" s="2" t="s">
        <v>2282</v>
      </c>
      <c r="AO1847" s="2" t="s">
        <v>200</v>
      </c>
      <c r="AP1847" s="2">
        <v>14</v>
      </c>
      <c r="AQ1847" s="2" t="s">
        <v>3301</v>
      </c>
      <c r="AR1847" s="2" t="s">
        <v>596</v>
      </c>
      <c r="AS1847" s="2" t="s">
        <v>596</v>
      </c>
      <c r="AT1847" s="2" t="s">
        <v>6537</v>
      </c>
      <c r="AU1847" s="2"/>
      <c r="AV1847" s="2"/>
      <c r="AW1847" s="2"/>
      <c r="AX1847" s="2"/>
      <c r="AY1847" s="2">
        <v>1</v>
      </c>
      <c r="AZ1847" s="2" t="s">
        <v>107</v>
      </c>
      <c r="BA1847" s="2">
        <v>1</v>
      </c>
      <c r="BB1847" s="2" t="s">
        <v>107</v>
      </c>
      <c r="BC1847" s="2">
        <v>1</v>
      </c>
      <c r="BD1847" s="2" t="s">
        <v>107</v>
      </c>
      <c r="BE1847" s="2">
        <v>4</v>
      </c>
      <c r="BF1847" s="2" t="s">
        <v>90</v>
      </c>
      <c r="BG1847" s="2" t="s">
        <v>598</v>
      </c>
      <c r="BH1847" s="4">
        <v>0.97222222222222221</v>
      </c>
      <c r="BI1847" s="4">
        <v>1.3888888888888888E-2</v>
      </c>
      <c r="BJ1847" s="2">
        <v>13</v>
      </c>
      <c r="BK1847" s="2" t="s">
        <v>91</v>
      </c>
      <c r="BL1847" s="2" t="s">
        <v>904</v>
      </c>
      <c r="BM1847" s="2">
        <v>242</v>
      </c>
      <c r="BN1847" s="2" t="s">
        <v>107</v>
      </c>
      <c r="BO1847" s="2" t="s">
        <v>107</v>
      </c>
      <c r="BP1847" s="2">
        <v>242</v>
      </c>
      <c r="BQ1847" s="2" t="s">
        <v>107</v>
      </c>
      <c r="BR1847" s="2" t="s">
        <v>905</v>
      </c>
      <c r="BS1847" s="3">
        <v>40301</v>
      </c>
      <c r="BT1847" s="4">
        <v>0.99289351851851848</v>
      </c>
    </row>
    <row r="1848" spans="1:72" x14ac:dyDescent="0.25">
      <c r="A1848" s="2">
        <v>2659</v>
      </c>
      <c r="B1848" s="2">
        <v>2010</v>
      </c>
      <c r="C1848" s="2" t="s">
        <v>121</v>
      </c>
      <c r="D1848" s="2" t="s">
        <v>122</v>
      </c>
      <c r="E1848" s="2" t="s">
        <v>6538</v>
      </c>
      <c r="F1848" s="2">
        <v>1</v>
      </c>
      <c r="G1848" s="2" t="s">
        <v>82</v>
      </c>
      <c r="H1848" s="2">
        <v>1</v>
      </c>
      <c r="I1848" s="2" t="s">
        <v>82</v>
      </c>
      <c r="J1848" s="2">
        <v>1</v>
      </c>
      <c r="K1848" s="2" t="s">
        <v>107</v>
      </c>
      <c r="L1848" s="2" t="s">
        <v>107</v>
      </c>
      <c r="M1848" s="3">
        <v>40302</v>
      </c>
      <c r="N1848" s="2"/>
      <c r="O1848" s="2"/>
      <c r="P1848" s="2"/>
      <c r="Q1848" s="2" t="str">
        <f>""</f>
        <v/>
      </c>
      <c r="R1848" s="2"/>
      <c r="S1848" s="2"/>
      <c r="T1848" s="2">
        <v>2</v>
      </c>
      <c r="U1848" s="2" t="s">
        <v>123</v>
      </c>
      <c r="V1848" s="2">
        <v>1</v>
      </c>
      <c r="W1848" s="2" t="s">
        <v>80</v>
      </c>
      <c r="X1848" s="2">
        <v>11</v>
      </c>
      <c r="Y1848" s="2" t="s">
        <v>1920</v>
      </c>
      <c r="Z1848" s="2">
        <v>1</v>
      </c>
      <c r="AA1848" s="2" t="s">
        <v>82</v>
      </c>
      <c r="AB1848" s="2">
        <v>9</v>
      </c>
      <c r="AC1848" s="2" t="s">
        <v>124</v>
      </c>
      <c r="AD1848" s="3">
        <v>40301</v>
      </c>
      <c r="AE1848" s="4">
        <v>0.98263888888888884</v>
      </c>
      <c r="AF1848" s="2"/>
      <c r="AG1848" s="2"/>
      <c r="AH1848" s="2">
        <v>2</v>
      </c>
      <c r="AI1848" s="2" t="s">
        <v>84</v>
      </c>
      <c r="AJ1848" s="2">
        <v>12</v>
      </c>
      <c r="AK1848" s="2" t="s">
        <v>85</v>
      </c>
      <c r="AL1848" s="2">
        <v>20</v>
      </c>
      <c r="AM1848" s="2" t="s">
        <v>992</v>
      </c>
      <c r="AN1848" s="2"/>
      <c r="AO1848" s="2" t="s">
        <v>993</v>
      </c>
      <c r="AP1848" s="2">
        <v>11</v>
      </c>
      <c r="AQ1848" s="2" t="s">
        <v>82</v>
      </c>
      <c r="AR1848" s="2"/>
      <c r="AS1848" s="2"/>
      <c r="AT1848" s="2" t="s">
        <v>6539</v>
      </c>
      <c r="AU1848" s="2"/>
      <c r="AV1848" s="2"/>
      <c r="AW1848" s="2"/>
      <c r="AX1848" s="2"/>
      <c r="AY1848" s="2">
        <v>41</v>
      </c>
      <c r="AZ1848" s="2" t="s">
        <v>82</v>
      </c>
      <c r="BA1848" s="2">
        <v>41</v>
      </c>
      <c r="BB1848" s="2" t="s">
        <v>82</v>
      </c>
      <c r="BC1848" s="2">
        <v>41</v>
      </c>
      <c r="BD1848" s="2" t="s">
        <v>82</v>
      </c>
      <c r="BE1848" s="2">
        <v>1</v>
      </c>
      <c r="BF1848" s="2" t="s">
        <v>107</v>
      </c>
      <c r="BG1848" s="2" t="s">
        <v>107</v>
      </c>
      <c r="BH1848" s="4">
        <v>0.98263888888888884</v>
      </c>
      <c r="BI1848" s="2"/>
      <c r="BJ1848" s="2">
        <v>46</v>
      </c>
      <c r="BK1848" s="2" t="s">
        <v>307</v>
      </c>
      <c r="BL1848" s="2" t="s">
        <v>107</v>
      </c>
      <c r="BM1848" s="2">
        <v>242</v>
      </c>
      <c r="BN1848" s="2" t="s">
        <v>107</v>
      </c>
      <c r="BO1848" s="2"/>
      <c r="BP1848" s="2">
        <v>13</v>
      </c>
      <c r="BQ1848" s="2" t="s">
        <v>91</v>
      </c>
      <c r="BR1848" s="2" t="s">
        <v>170</v>
      </c>
      <c r="BS1848" s="3">
        <v>40302</v>
      </c>
      <c r="BT1848" s="4">
        <v>3.0810185185185187E-2</v>
      </c>
    </row>
    <row r="1849" spans="1:72" x14ac:dyDescent="0.25">
      <c r="A1849" s="2">
        <v>2660</v>
      </c>
      <c r="B1849" s="2">
        <v>2010</v>
      </c>
      <c r="C1849" s="2" t="s">
        <v>121</v>
      </c>
      <c r="D1849" s="2" t="s">
        <v>122</v>
      </c>
      <c r="E1849" s="2" t="s">
        <v>6540</v>
      </c>
      <c r="F1849" s="2">
        <v>1</v>
      </c>
      <c r="G1849" s="2" t="s">
        <v>82</v>
      </c>
      <c r="H1849" s="2">
        <v>1</v>
      </c>
      <c r="I1849" s="2" t="s">
        <v>82</v>
      </c>
      <c r="J1849" s="2">
        <v>1</v>
      </c>
      <c r="K1849" s="2" t="s">
        <v>107</v>
      </c>
      <c r="L1849" s="2" t="s">
        <v>107</v>
      </c>
      <c r="M1849" s="3">
        <v>40302</v>
      </c>
      <c r="N1849" s="2"/>
      <c r="O1849" s="2"/>
      <c r="P1849" s="2"/>
      <c r="Q1849" s="2" t="str">
        <f>""</f>
        <v/>
      </c>
      <c r="R1849" s="2"/>
      <c r="S1849" s="2"/>
      <c r="T1849" s="2">
        <v>2</v>
      </c>
      <c r="U1849" s="2" t="s">
        <v>123</v>
      </c>
      <c r="V1849" s="2">
        <v>1</v>
      </c>
      <c r="W1849" s="2" t="s">
        <v>80</v>
      </c>
      <c r="X1849" s="2">
        <v>11</v>
      </c>
      <c r="Y1849" s="2" t="s">
        <v>1920</v>
      </c>
      <c r="Z1849" s="2">
        <v>1</v>
      </c>
      <c r="AA1849" s="2" t="s">
        <v>82</v>
      </c>
      <c r="AB1849" s="2">
        <v>9</v>
      </c>
      <c r="AC1849" s="2" t="s">
        <v>124</v>
      </c>
      <c r="AD1849" s="3">
        <v>40302</v>
      </c>
      <c r="AE1849" s="4">
        <v>3.472222222222222E-3</v>
      </c>
      <c r="AF1849" s="2"/>
      <c r="AG1849" s="2"/>
      <c r="AH1849" s="2">
        <v>2</v>
      </c>
      <c r="AI1849" s="2" t="s">
        <v>84</v>
      </c>
      <c r="AJ1849" s="2">
        <v>12</v>
      </c>
      <c r="AK1849" s="2" t="s">
        <v>85</v>
      </c>
      <c r="AL1849" s="2">
        <v>20</v>
      </c>
      <c r="AM1849" s="2" t="s">
        <v>992</v>
      </c>
      <c r="AN1849" s="2"/>
      <c r="AO1849" s="2" t="s">
        <v>993</v>
      </c>
      <c r="AP1849" s="2">
        <v>11</v>
      </c>
      <c r="AQ1849" s="2" t="s">
        <v>82</v>
      </c>
      <c r="AR1849" s="2"/>
      <c r="AS1849" s="2"/>
      <c r="AT1849" s="2" t="s">
        <v>6541</v>
      </c>
      <c r="AU1849" s="2"/>
      <c r="AV1849" s="2"/>
      <c r="AW1849" s="2"/>
      <c r="AX1849" s="2"/>
      <c r="AY1849" s="2">
        <v>41</v>
      </c>
      <c r="AZ1849" s="2" t="s">
        <v>82</v>
      </c>
      <c r="BA1849" s="2">
        <v>41</v>
      </c>
      <c r="BB1849" s="2" t="s">
        <v>82</v>
      </c>
      <c r="BC1849" s="2">
        <v>41</v>
      </c>
      <c r="BD1849" s="2" t="s">
        <v>82</v>
      </c>
      <c r="BE1849" s="2">
        <v>1</v>
      </c>
      <c r="BF1849" s="2" t="s">
        <v>107</v>
      </c>
      <c r="BG1849" s="2" t="s">
        <v>107</v>
      </c>
      <c r="BH1849" s="4">
        <v>3.472222222222222E-3</v>
      </c>
      <c r="BI1849" s="2"/>
      <c r="BJ1849" s="2">
        <v>33</v>
      </c>
      <c r="BK1849" s="2" t="s">
        <v>361</v>
      </c>
      <c r="BL1849" s="2" t="s">
        <v>107</v>
      </c>
      <c r="BM1849" s="2">
        <v>242</v>
      </c>
      <c r="BN1849" s="2" t="s">
        <v>107</v>
      </c>
      <c r="BO1849" s="2"/>
      <c r="BP1849" s="2">
        <v>13</v>
      </c>
      <c r="BQ1849" s="2" t="s">
        <v>91</v>
      </c>
      <c r="BR1849" s="2" t="s">
        <v>170</v>
      </c>
      <c r="BS1849" s="3">
        <v>40302</v>
      </c>
      <c r="BT1849" s="4">
        <v>8.222222222222221E-2</v>
      </c>
    </row>
    <row r="1850" spans="1:72" x14ac:dyDescent="0.25">
      <c r="A1850" s="2">
        <v>2661</v>
      </c>
      <c r="B1850" s="2">
        <v>2010</v>
      </c>
      <c r="C1850" s="2" t="s">
        <v>121</v>
      </c>
      <c r="D1850" s="2" t="s">
        <v>122</v>
      </c>
      <c r="E1850" s="2" t="s">
        <v>6542</v>
      </c>
      <c r="F1850" s="2">
        <v>1</v>
      </c>
      <c r="G1850" s="2" t="s">
        <v>82</v>
      </c>
      <c r="H1850" s="2">
        <v>1</v>
      </c>
      <c r="I1850" s="2" t="s">
        <v>82</v>
      </c>
      <c r="J1850" s="2">
        <v>1</v>
      </c>
      <c r="K1850" s="2" t="s">
        <v>107</v>
      </c>
      <c r="L1850" s="2" t="s">
        <v>107</v>
      </c>
      <c r="M1850" s="3">
        <v>40302</v>
      </c>
      <c r="N1850" s="2"/>
      <c r="O1850" s="2"/>
      <c r="P1850" s="2"/>
      <c r="Q1850" s="2" t="str">
        <f>""</f>
        <v/>
      </c>
      <c r="R1850" s="2"/>
      <c r="S1850" s="2"/>
      <c r="T1850" s="2">
        <v>2</v>
      </c>
      <c r="U1850" s="2" t="s">
        <v>123</v>
      </c>
      <c r="V1850" s="2">
        <v>1</v>
      </c>
      <c r="W1850" s="2" t="s">
        <v>80</v>
      </c>
      <c r="X1850" s="2">
        <v>11</v>
      </c>
      <c r="Y1850" s="2" t="s">
        <v>1920</v>
      </c>
      <c r="Z1850" s="2">
        <v>1</v>
      </c>
      <c r="AA1850" s="2" t="s">
        <v>82</v>
      </c>
      <c r="AB1850" s="2">
        <v>9</v>
      </c>
      <c r="AC1850" s="2" t="s">
        <v>124</v>
      </c>
      <c r="AD1850" s="3">
        <v>40302</v>
      </c>
      <c r="AE1850" s="4">
        <v>3.4722222222222224E-2</v>
      </c>
      <c r="AF1850" s="2"/>
      <c r="AG1850" s="2"/>
      <c r="AH1850" s="2">
        <v>2</v>
      </c>
      <c r="AI1850" s="2" t="s">
        <v>84</v>
      </c>
      <c r="AJ1850" s="2">
        <v>12</v>
      </c>
      <c r="AK1850" s="2" t="s">
        <v>85</v>
      </c>
      <c r="AL1850" s="2">
        <v>20</v>
      </c>
      <c r="AM1850" s="2" t="s">
        <v>992</v>
      </c>
      <c r="AN1850" s="2"/>
      <c r="AO1850" s="2" t="s">
        <v>993</v>
      </c>
      <c r="AP1850" s="2">
        <v>11</v>
      </c>
      <c r="AQ1850" s="2" t="s">
        <v>82</v>
      </c>
      <c r="AR1850" s="2"/>
      <c r="AS1850" s="2"/>
      <c r="AT1850" s="2" t="s">
        <v>6543</v>
      </c>
      <c r="AU1850" s="2"/>
      <c r="AV1850" s="2"/>
      <c r="AW1850" s="2"/>
      <c r="AX1850" s="2"/>
      <c r="AY1850" s="2">
        <v>41</v>
      </c>
      <c r="AZ1850" s="2" t="s">
        <v>82</v>
      </c>
      <c r="BA1850" s="2">
        <v>41</v>
      </c>
      <c r="BB1850" s="2" t="s">
        <v>82</v>
      </c>
      <c r="BC1850" s="2">
        <v>41</v>
      </c>
      <c r="BD1850" s="2" t="s">
        <v>82</v>
      </c>
      <c r="BE1850" s="2">
        <v>1</v>
      </c>
      <c r="BF1850" s="2" t="s">
        <v>107</v>
      </c>
      <c r="BG1850" s="2" t="s">
        <v>107</v>
      </c>
      <c r="BH1850" s="4">
        <v>3.4722222222222224E-2</v>
      </c>
      <c r="BI1850" s="2"/>
      <c r="BJ1850" s="2">
        <v>29</v>
      </c>
      <c r="BK1850" s="2" t="s">
        <v>962</v>
      </c>
      <c r="BL1850" s="2" t="s">
        <v>107</v>
      </c>
      <c r="BM1850" s="2">
        <v>242</v>
      </c>
      <c r="BN1850" s="2" t="s">
        <v>107</v>
      </c>
      <c r="BO1850" s="2"/>
      <c r="BP1850" s="2">
        <v>13</v>
      </c>
      <c r="BQ1850" s="2" t="s">
        <v>91</v>
      </c>
      <c r="BR1850" s="2" t="s">
        <v>170</v>
      </c>
      <c r="BS1850" s="3">
        <v>40302</v>
      </c>
      <c r="BT1850" s="4">
        <v>0.30422453703703706</v>
      </c>
    </row>
    <row r="1851" spans="1:72" x14ac:dyDescent="0.25">
      <c r="A1851" s="2">
        <v>2663</v>
      </c>
      <c r="B1851" s="2">
        <v>2010</v>
      </c>
      <c r="C1851" s="2" t="s">
        <v>121</v>
      </c>
      <c r="D1851" s="2" t="s">
        <v>122</v>
      </c>
      <c r="E1851" s="2" t="s">
        <v>6544</v>
      </c>
      <c r="F1851" s="2">
        <v>1</v>
      </c>
      <c r="G1851" s="2" t="s">
        <v>82</v>
      </c>
      <c r="H1851" s="2">
        <v>1</v>
      </c>
      <c r="I1851" s="2" t="s">
        <v>82</v>
      </c>
      <c r="J1851" s="2">
        <v>1</v>
      </c>
      <c r="K1851" s="2" t="s">
        <v>107</v>
      </c>
      <c r="L1851" s="2" t="s">
        <v>107</v>
      </c>
      <c r="M1851" s="3">
        <v>40302</v>
      </c>
      <c r="N1851" s="2"/>
      <c r="O1851" s="2"/>
      <c r="P1851" s="2"/>
      <c r="Q1851" s="2" t="str">
        <f>""</f>
        <v/>
      </c>
      <c r="R1851" s="2"/>
      <c r="S1851" s="2"/>
      <c r="T1851" s="2">
        <v>2</v>
      </c>
      <c r="U1851" s="2" t="s">
        <v>123</v>
      </c>
      <c r="V1851" s="2">
        <v>1</v>
      </c>
      <c r="W1851" s="2" t="s">
        <v>80</v>
      </c>
      <c r="X1851" s="2">
        <v>11</v>
      </c>
      <c r="Y1851" s="2" t="s">
        <v>1920</v>
      </c>
      <c r="Z1851" s="2">
        <v>1</v>
      </c>
      <c r="AA1851" s="2" t="s">
        <v>82</v>
      </c>
      <c r="AB1851" s="2">
        <v>9</v>
      </c>
      <c r="AC1851" s="2" t="s">
        <v>124</v>
      </c>
      <c r="AD1851" s="3">
        <v>40302</v>
      </c>
      <c r="AE1851" s="4">
        <v>0.28125</v>
      </c>
      <c r="AF1851" s="2"/>
      <c r="AG1851" s="2"/>
      <c r="AH1851" s="2">
        <v>2</v>
      </c>
      <c r="AI1851" s="2" t="s">
        <v>84</v>
      </c>
      <c r="AJ1851" s="2">
        <v>12</v>
      </c>
      <c r="AK1851" s="2" t="s">
        <v>85</v>
      </c>
      <c r="AL1851" s="2">
        <v>20</v>
      </c>
      <c r="AM1851" s="2" t="s">
        <v>992</v>
      </c>
      <c r="AN1851" s="2"/>
      <c r="AO1851" s="2" t="s">
        <v>993</v>
      </c>
      <c r="AP1851" s="2">
        <v>11</v>
      </c>
      <c r="AQ1851" s="2" t="s">
        <v>82</v>
      </c>
      <c r="AR1851" s="2"/>
      <c r="AS1851" s="2"/>
      <c r="AT1851" s="2" t="s">
        <v>6545</v>
      </c>
      <c r="AU1851" s="2"/>
      <c r="AV1851" s="2"/>
      <c r="AW1851" s="2"/>
      <c r="AX1851" s="2"/>
      <c r="AY1851" s="2">
        <v>41</v>
      </c>
      <c r="AZ1851" s="2" t="s">
        <v>82</v>
      </c>
      <c r="BA1851" s="2">
        <v>41</v>
      </c>
      <c r="BB1851" s="2" t="s">
        <v>82</v>
      </c>
      <c r="BC1851" s="2">
        <v>41</v>
      </c>
      <c r="BD1851" s="2" t="s">
        <v>82</v>
      </c>
      <c r="BE1851" s="2">
        <v>1</v>
      </c>
      <c r="BF1851" s="2" t="s">
        <v>107</v>
      </c>
      <c r="BG1851" s="2" t="s">
        <v>107</v>
      </c>
      <c r="BH1851" s="4">
        <v>0.28125</v>
      </c>
      <c r="BI1851" s="2"/>
      <c r="BJ1851" s="2">
        <v>232</v>
      </c>
      <c r="BK1851" s="2" t="s">
        <v>4351</v>
      </c>
      <c r="BL1851" s="2" t="s">
        <v>107</v>
      </c>
      <c r="BM1851" s="2">
        <v>242</v>
      </c>
      <c r="BN1851" s="2" t="s">
        <v>107</v>
      </c>
      <c r="BO1851" s="2"/>
      <c r="BP1851" s="2">
        <v>13</v>
      </c>
      <c r="BQ1851" s="2" t="s">
        <v>91</v>
      </c>
      <c r="BR1851" s="2" t="s">
        <v>170</v>
      </c>
      <c r="BS1851" s="3">
        <v>40302</v>
      </c>
      <c r="BT1851" s="4">
        <v>0.35820601851851852</v>
      </c>
    </row>
    <row r="1852" spans="1:72" x14ac:dyDescent="0.25">
      <c r="A1852" s="2">
        <v>2664</v>
      </c>
      <c r="B1852" s="2">
        <v>2010</v>
      </c>
      <c r="C1852" s="2" t="s">
        <v>819</v>
      </c>
      <c r="D1852" s="2" t="s">
        <v>122</v>
      </c>
      <c r="E1852" s="2" t="s">
        <v>6546</v>
      </c>
      <c r="F1852" s="2">
        <v>451</v>
      </c>
      <c r="G1852" s="2" t="s">
        <v>879</v>
      </c>
      <c r="H1852" s="2">
        <v>31</v>
      </c>
      <c r="I1852" s="2" t="s">
        <v>880</v>
      </c>
      <c r="J1852" s="2">
        <v>326</v>
      </c>
      <c r="K1852" s="2" t="s">
        <v>881</v>
      </c>
      <c r="L1852" s="2" t="s">
        <v>882</v>
      </c>
      <c r="M1852" s="3">
        <v>40302</v>
      </c>
      <c r="N1852" s="2" t="s">
        <v>1072</v>
      </c>
      <c r="O1852" s="2"/>
      <c r="P1852" s="2"/>
      <c r="Q1852" s="2" t="str">
        <f>"Nº 050/10"</f>
        <v>Nº 050/10</v>
      </c>
      <c r="R1852" s="2" t="s">
        <v>822</v>
      </c>
      <c r="S1852" s="2"/>
      <c r="T1852" s="2">
        <v>1</v>
      </c>
      <c r="U1852" s="2" t="s">
        <v>79</v>
      </c>
      <c r="V1852" s="2">
        <v>1</v>
      </c>
      <c r="W1852" s="2" t="s">
        <v>80</v>
      </c>
      <c r="X1852" s="2">
        <v>1</v>
      </c>
      <c r="Y1852" s="2" t="s">
        <v>81</v>
      </c>
      <c r="Z1852" s="2">
        <v>10</v>
      </c>
      <c r="AA1852" s="2" t="s">
        <v>236</v>
      </c>
      <c r="AB1852" s="2">
        <v>9</v>
      </c>
      <c r="AC1852" s="2" t="s">
        <v>124</v>
      </c>
      <c r="AD1852" s="3">
        <v>40301</v>
      </c>
      <c r="AE1852" s="4">
        <v>0.91666666666666663</v>
      </c>
      <c r="AF1852" s="2"/>
      <c r="AG1852" s="2"/>
      <c r="AH1852" s="2">
        <v>4</v>
      </c>
      <c r="AI1852" s="2" t="s">
        <v>125</v>
      </c>
      <c r="AJ1852" s="2">
        <v>29</v>
      </c>
      <c r="AK1852" s="2" t="s">
        <v>227</v>
      </c>
      <c r="AL1852" s="2">
        <v>16</v>
      </c>
      <c r="AM1852" s="2" t="s">
        <v>392</v>
      </c>
      <c r="AN1852" s="2" t="s">
        <v>3040</v>
      </c>
      <c r="AO1852" s="2" t="s">
        <v>5383</v>
      </c>
      <c r="AP1852" s="2">
        <v>12</v>
      </c>
      <c r="AQ1852" s="2" t="s">
        <v>322</v>
      </c>
      <c r="AR1852" s="2" t="s">
        <v>824</v>
      </c>
      <c r="AS1852" s="2" t="s">
        <v>825</v>
      </c>
      <c r="AT1852" s="2" t="s">
        <v>6547</v>
      </c>
      <c r="AU1852" s="2"/>
      <c r="AV1852" s="2"/>
      <c r="AW1852" s="2"/>
      <c r="AX1852" s="2"/>
      <c r="AY1852" s="2">
        <v>41</v>
      </c>
      <c r="AZ1852" s="2" t="s">
        <v>82</v>
      </c>
      <c r="BA1852" s="2">
        <v>41</v>
      </c>
      <c r="BB1852" s="2" t="s">
        <v>82</v>
      </c>
      <c r="BC1852" s="2">
        <v>51</v>
      </c>
      <c r="BD1852" s="2" t="s">
        <v>827</v>
      </c>
      <c r="BE1852" s="2">
        <v>47</v>
      </c>
      <c r="BF1852" s="2" t="s">
        <v>167</v>
      </c>
      <c r="BG1852" s="2">
        <v>2459</v>
      </c>
      <c r="BH1852" s="4">
        <v>0.89236111111111116</v>
      </c>
      <c r="BI1852" s="4">
        <v>0.9375</v>
      </c>
      <c r="BJ1852" s="2">
        <v>13</v>
      </c>
      <c r="BK1852" s="2" t="s">
        <v>91</v>
      </c>
      <c r="BL1852" s="2" t="s">
        <v>828</v>
      </c>
      <c r="BM1852" s="2">
        <v>241</v>
      </c>
      <c r="BN1852" s="2" t="s">
        <v>82</v>
      </c>
      <c r="BO1852" s="2" t="s">
        <v>82</v>
      </c>
      <c r="BP1852" s="2">
        <v>13</v>
      </c>
      <c r="BQ1852" s="2" t="s">
        <v>91</v>
      </c>
      <c r="BR1852" s="2" t="s">
        <v>185</v>
      </c>
      <c r="BS1852" s="3">
        <v>40302</v>
      </c>
      <c r="BT1852" s="4">
        <v>0.4352199074074074</v>
      </c>
    </row>
    <row r="1853" spans="1:72" x14ac:dyDescent="0.25">
      <c r="A1853" s="2">
        <v>2665</v>
      </c>
      <c r="B1853" s="2">
        <v>2010</v>
      </c>
      <c r="C1853" s="2" t="s">
        <v>121</v>
      </c>
      <c r="D1853" s="2" t="s">
        <v>122</v>
      </c>
      <c r="E1853" s="2" t="s">
        <v>6548</v>
      </c>
      <c r="F1853" s="2">
        <v>1</v>
      </c>
      <c r="G1853" s="2" t="s">
        <v>82</v>
      </c>
      <c r="H1853" s="2">
        <v>1</v>
      </c>
      <c r="I1853" s="2" t="s">
        <v>82</v>
      </c>
      <c r="J1853" s="2">
        <v>1</v>
      </c>
      <c r="K1853" s="2" t="s">
        <v>107</v>
      </c>
      <c r="L1853" s="2" t="s">
        <v>107</v>
      </c>
      <c r="M1853" s="3">
        <v>40302</v>
      </c>
      <c r="N1853" s="2"/>
      <c r="O1853" s="2"/>
      <c r="P1853" s="2"/>
      <c r="Q1853" s="2" t="str">
        <f>""</f>
        <v/>
      </c>
      <c r="R1853" s="2"/>
      <c r="S1853" s="2"/>
      <c r="T1853" s="2">
        <v>2</v>
      </c>
      <c r="U1853" s="2" t="s">
        <v>123</v>
      </c>
      <c r="V1853" s="2">
        <v>1</v>
      </c>
      <c r="W1853" s="2" t="s">
        <v>80</v>
      </c>
      <c r="X1853" s="2">
        <v>11</v>
      </c>
      <c r="Y1853" s="2" t="s">
        <v>1920</v>
      </c>
      <c r="Z1853" s="2">
        <v>1</v>
      </c>
      <c r="AA1853" s="2" t="s">
        <v>82</v>
      </c>
      <c r="AB1853" s="2">
        <v>9</v>
      </c>
      <c r="AC1853" s="2" t="s">
        <v>124</v>
      </c>
      <c r="AD1853" s="3">
        <v>40302</v>
      </c>
      <c r="AE1853" s="4">
        <v>0.36458333333333331</v>
      </c>
      <c r="AF1853" s="2"/>
      <c r="AG1853" s="2"/>
      <c r="AH1853" s="2">
        <v>2</v>
      </c>
      <c r="AI1853" s="2" t="s">
        <v>84</v>
      </c>
      <c r="AJ1853" s="2">
        <v>12</v>
      </c>
      <c r="AK1853" s="2" t="s">
        <v>85</v>
      </c>
      <c r="AL1853" s="2">
        <v>20</v>
      </c>
      <c r="AM1853" s="2" t="s">
        <v>992</v>
      </c>
      <c r="AN1853" s="2"/>
      <c r="AO1853" s="2" t="s">
        <v>993</v>
      </c>
      <c r="AP1853" s="2">
        <v>11</v>
      </c>
      <c r="AQ1853" s="2" t="s">
        <v>82</v>
      </c>
      <c r="AR1853" s="2"/>
      <c r="AS1853" s="2"/>
      <c r="AT1853" s="2" t="s">
        <v>6549</v>
      </c>
      <c r="AU1853" s="2"/>
      <c r="AV1853" s="2"/>
      <c r="AW1853" s="2"/>
      <c r="AX1853" s="2"/>
      <c r="AY1853" s="2">
        <v>41</v>
      </c>
      <c r="AZ1853" s="2" t="s">
        <v>82</v>
      </c>
      <c r="BA1853" s="2">
        <v>41</v>
      </c>
      <c r="BB1853" s="2" t="s">
        <v>82</v>
      </c>
      <c r="BC1853" s="2">
        <v>41</v>
      </c>
      <c r="BD1853" s="2" t="s">
        <v>82</v>
      </c>
      <c r="BE1853" s="2">
        <v>1</v>
      </c>
      <c r="BF1853" s="2" t="s">
        <v>107</v>
      </c>
      <c r="BG1853" s="2" t="s">
        <v>107</v>
      </c>
      <c r="BH1853" s="4">
        <v>0.36458333333333331</v>
      </c>
      <c r="BI1853" s="2"/>
      <c r="BJ1853" s="2">
        <v>241</v>
      </c>
      <c r="BK1853" s="2" t="s">
        <v>82</v>
      </c>
      <c r="BL1853" s="2" t="s">
        <v>107</v>
      </c>
      <c r="BM1853" s="2">
        <v>242</v>
      </c>
      <c r="BN1853" s="2" t="s">
        <v>107</v>
      </c>
      <c r="BO1853" s="2"/>
      <c r="BP1853" s="2">
        <v>13</v>
      </c>
      <c r="BQ1853" s="2" t="s">
        <v>91</v>
      </c>
      <c r="BR1853" s="2" t="s">
        <v>170</v>
      </c>
      <c r="BS1853" s="3">
        <v>40302</v>
      </c>
      <c r="BT1853" s="4">
        <v>0.46746527777777774</v>
      </c>
    </row>
    <row r="1854" spans="1:72" x14ac:dyDescent="0.25">
      <c r="A1854" s="2">
        <v>2674</v>
      </c>
      <c r="B1854" s="2">
        <v>2010</v>
      </c>
      <c r="C1854" s="2" t="s">
        <v>377</v>
      </c>
      <c r="D1854" s="2" t="s">
        <v>73</v>
      </c>
      <c r="E1854" s="2"/>
      <c r="F1854" s="2">
        <v>426</v>
      </c>
      <c r="G1854" s="2" t="s">
        <v>378</v>
      </c>
      <c r="H1854" s="2">
        <v>42</v>
      </c>
      <c r="I1854" s="2" t="s">
        <v>1096</v>
      </c>
      <c r="J1854" s="2">
        <v>311</v>
      </c>
      <c r="K1854" s="2" t="s">
        <v>379</v>
      </c>
      <c r="L1854" s="2" t="s">
        <v>380</v>
      </c>
      <c r="M1854" s="3">
        <v>40302</v>
      </c>
      <c r="N1854" s="2" t="s">
        <v>4427</v>
      </c>
      <c r="O1854" s="2" t="s">
        <v>5773</v>
      </c>
      <c r="P1854" s="2"/>
      <c r="Q1854" s="2" t="str">
        <f>"066-C/10"</f>
        <v>066-C/10</v>
      </c>
      <c r="R1854" s="2"/>
      <c r="S1854" s="2" t="s">
        <v>5773</v>
      </c>
      <c r="T1854" s="2">
        <v>1</v>
      </c>
      <c r="U1854" s="2" t="s">
        <v>79</v>
      </c>
      <c r="V1854" s="2">
        <v>1</v>
      </c>
      <c r="W1854" s="2" t="s">
        <v>80</v>
      </c>
      <c r="X1854" s="2">
        <v>1</v>
      </c>
      <c r="Y1854" s="2" t="s">
        <v>81</v>
      </c>
      <c r="Z1854" s="2">
        <v>1</v>
      </c>
      <c r="AA1854" s="2" t="s">
        <v>82</v>
      </c>
      <c r="AB1854" s="2">
        <v>9</v>
      </c>
      <c r="AC1854" s="2" t="s">
        <v>124</v>
      </c>
      <c r="AD1854" s="3">
        <v>40302</v>
      </c>
      <c r="AE1854" s="4">
        <v>0.46875</v>
      </c>
      <c r="AF1854" s="2"/>
      <c r="AG1854" s="2"/>
      <c r="AH1854" s="2">
        <v>2</v>
      </c>
      <c r="AI1854" s="2" t="s">
        <v>84</v>
      </c>
      <c r="AJ1854" s="2">
        <v>9</v>
      </c>
      <c r="AK1854" s="2" t="s">
        <v>103</v>
      </c>
      <c r="AL1854" s="2">
        <v>29</v>
      </c>
      <c r="AM1854" s="2" t="s">
        <v>5416</v>
      </c>
      <c r="AN1854" s="2"/>
      <c r="AO1854" s="2" t="s">
        <v>6550</v>
      </c>
      <c r="AP1854" s="2">
        <v>11</v>
      </c>
      <c r="AQ1854" s="2" t="s">
        <v>82</v>
      </c>
      <c r="AR1854" s="2"/>
      <c r="AS1854" s="2"/>
      <c r="AT1854" s="2" t="s">
        <v>6551</v>
      </c>
      <c r="AU1854" s="2"/>
      <c r="AV1854" s="2"/>
      <c r="AW1854" s="2"/>
      <c r="AX1854" s="2"/>
      <c r="AY1854" s="2">
        <v>41</v>
      </c>
      <c r="AZ1854" s="2" t="s">
        <v>82</v>
      </c>
      <c r="BA1854" s="2">
        <v>41</v>
      </c>
      <c r="BB1854" s="2" t="s">
        <v>82</v>
      </c>
      <c r="BC1854" s="2">
        <v>41</v>
      </c>
      <c r="BD1854" s="2" t="s">
        <v>82</v>
      </c>
      <c r="BE1854" s="2">
        <v>41</v>
      </c>
      <c r="BF1854" s="2" t="s">
        <v>82</v>
      </c>
      <c r="BG1854" s="2"/>
      <c r="BH1854" s="2"/>
      <c r="BI1854" s="2"/>
      <c r="BJ1854" s="2">
        <v>241</v>
      </c>
      <c r="BK1854" s="2" t="s">
        <v>82</v>
      </c>
      <c r="BL1854" s="2"/>
      <c r="BM1854" s="2">
        <v>241</v>
      </c>
      <c r="BN1854" s="2" t="s">
        <v>82</v>
      </c>
      <c r="BO1854" s="2"/>
      <c r="BP1854" s="2">
        <v>241</v>
      </c>
      <c r="BQ1854" s="2" t="s">
        <v>82</v>
      </c>
      <c r="BR1854" s="2"/>
      <c r="BS1854" s="3">
        <v>40302</v>
      </c>
      <c r="BT1854" s="4">
        <v>0.57195601851851852</v>
      </c>
    </row>
    <row r="1855" spans="1:72" x14ac:dyDescent="0.25">
      <c r="A1855" s="2">
        <v>2678</v>
      </c>
      <c r="B1855" s="2">
        <v>2010</v>
      </c>
      <c r="C1855" s="2" t="s">
        <v>171</v>
      </c>
      <c r="D1855" s="2" t="s">
        <v>73</v>
      </c>
      <c r="E1855" s="2" t="s">
        <v>6552</v>
      </c>
      <c r="F1855" s="2">
        <v>425</v>
      </c>
      <c r="G1855" s="2" t="s">
        <v>286</v>
      </c>
      <c r="H1855" s="2">
        <v>39</v>
      </c>
      <c r="I1855" s="2" t="s">
        <v>1117</v>
      </c>
      <c r="J1855" s="2">
        <v>310</v>
      </c>
      <c r="K1855" s="2" t="s">
        <v>288</v>
      </c>
      <c r="L1855" s="2" t="s">
        <v>289</v>
      </c>
      <c r="M1855" s="3">
        <v>40302</v>
      </c>
      <c r="N1855" s="2" t="s">
        <v>2049</v>
      </c>
      <c r="O1855" s="2" t="s">
        <v>2490</v>
      </c>
      <c r="P1855" s="2" t="s">
        <v>6553</v>
      </c>
      <c r="Q1855" s="2" t="str">
        <f>"038/10"</f>
        <v>038/10</v>
      </c>
      <c r="R1855" s="2" t="s">
        <v>822</v>
      </c>
      <c r="S1855" s="2"/>
      <c r="T1855" s="2">
        <v>1</v>
      </c>
      <c r="U1855" s="2" t="s">
        <v>79</v>
      </c>
      <c r="V1855" s="2">
        <v>1</v>
      </c>
      <c r="W1855" s="2" t="s">
        <v>80</v>
      </c>
      <c r="X1855" s="2">
        <v>1</v>
      </c>
      <c r="Y1855" s="2" t="s">
        <v>81</v>
      </c>
      <c r="Z1855" s="2">
        <v>10</v>
      </c>
      <c r="AA1855" s="2" t="s">
        <v>236</v>
      </c>
      <c r="AB1855" s="2">
        <v>1</v>
      </c>
      <c r="AC1855" s="2" t="s">
        <v>178</v>
      </c>
      <c r="AD1855" s="3">
        <v>40302</v>
      </c>
      <c r="AE1855" s="4">
        <v>0.64236111111111105</v>
      </c>
      <c r="AF1855" s="2"/>
      <c r="AG1855" s="2"/>
      <c r="AH1855" s="2">
        <v>4</v>
      </c>
      <c r="AI1855" s="2" t="s">
        <v>125</v>
      </c>
      <c r="AJ1855" s="2">
        <v>29</v>
      </c>
      <c r="AK1855" s="2" t="s">
        <v>227</v>
      </c>
      <c r="AL1855" s="2">
        <v>16</v>
      </c>
      <c r="AM1855" s="2" t="s">
        <v>392</v>
      </c>
      <c r="AN1855" s="2" t="s">
        <v>5930</v>
      </c>
      <c r="AO1855" s="2"/>
      <c r="AP1855" s="2">
        <v>12</v>
      </c>
      <c r="AQ1855" s="2" t="s">
        <v>322</v>
      </c>
      <c r="AR1855" s="2" t="s">
        <v>824</v>
      </c>
      <c r="AS1855" s="2" t="s">
        <v>825</v>
      </c>
      <c r="AT1855" s="2" t="s">
        <v>6554</v>
      </c>
      <c r="AU1855" s="2"/>
      <c r="AV1855" s="2"/>
      <c r="AW1855" s="2"/>
      <c r="AX1855" s="2"/>
      <c r="AY1855" s="2">
        <v>41</v>
      </c>
      <c r="AZ1855" s="2" t="s">
        <v>82</v>
      </c>
      <c r="BA1855" s="2">
        <v>41</v>
      </c>
      <c r="BB1855" s="2" t="s">
        <v>82</v>
      </c>
      <c r="BC1855" s="2">
        <v>51</v>
      </c>
      <c r="BD1855" s="2" t="s">
        <v>827</v>
      </c>
      <c r="BE1855" s="2">
        <v>47</v>
      </c>
      <c r="BF1855" s="2" t="s">
        <v>167</v>
      </c>
      <c r="BG1855" s="2">
        <v>2459</v>
      </c>
      <c r="BH1855" s="4">
        <v>0.90277777777777779</v>
      </c>
      <c r="BI1855" s="4">
        <v>0.92708333333333337</v>
      </c>
      <c r="BJ1855" s="2">
        <v>13</v>
      </c>
      <c r="BK1855" s="2" t="s">
        <v>91</v>
      </c>
      <c r="BL1855" s="2" t="s">
        <v>828</v>
      </c>
      <c r="BM1855" s="2">
        <v>241</v>
      </c>
      <c r="BN1855" s="2" t="s">
        <v>82</v>
      </c>
      <c r="BO1855" s="2" t="s">
        <v>82</v>
      </c>
      <c r="BP1855" s="2">
        <v>13</v>
      </c>
      <c r="BQ1855" s="2" t="s">
        <v>91</v>
      </c>
      <c r="BR1855" s="2" t="s">
        <v>185</v>
      </c>
      <c r="BS1855" s="3">
        <v>40302</v>
      </c>
      <c r="BT1855" s="4">
        <v>0.66745370370370372</v>
      </c>
    </row>
    <row r="1856" spans="1:72" x14ac:dyDescent="0.25">
      <c r="A1856" s="2">
        <v>2679</v>
      </c>
      <c r="B1856" s="2">
        <v>2010</v>
      </c>
      <c r="C1856" s="2" t="s">
        <v>4543</v>
      </c>
      <c r="D1856" s="2" t="s">
        <v>122</v>
      </c>
      <c r="E1856" s="2" t="s">
        <v>6555</v>
      </c>
      <c r="F1856" s="2">
        <v>319</v>
      </c>
      <c r="G1856" s="2" t="s">
        <v>6516</v>
      </c>
      <c r="H1856" s="2">
        <v>22</v>
      </c>
      <c r="I1856" s="2" t="s">
        <v>75</v>
      </c>
      <c r="J1856" s="2">
        <v>385</v>
      </c>
      <c r="K1856" s="2" t="s">
        <v>1314</v>
      </c>
      <c r="L1856" s="2" t="s">
        <v>1315</v>
      </c>
      <c r="M1856" s="3">
        <v>40302</v>
      </c>
      <c r="N1856" s="2" t="s">
        <v>6517</v>
      </c>
      <c r="O1856" s="2" t="s">
        <v>82</v>
      </c>
      <c r="P1856" s="2" t="s">
        <v>82</v>
      </c>
      <c r="Q1856" s="2" t="str">
        <f>"0015/10"</f>
        <v>0015/10</v>
      </c>
      <c r="R1856" s="2" t="s">
        <v>6518</v>
      </c>
      <c r="S1856" s="2" t="s">
        <v>82</v>
      </c>
      <c r="T1856" s="2">
        <v>2</v>
      </c>
      <c r="U1856" s="2" t="s">
        <v>123</v>
      </c>
      <c r="V1856" s="2">
        <v>1</v>
      </c>
      <c r="W1856" s="2" t="s">
        <v>80</v>
      </c>
      <c r="X1856" s="2">
        <v>1</v>
      </c>
      <c r="Y1856" s="2" t="s">
        <v>81</v>
      </c>
      <c r="Z1856" s="2">
        <v>10</v>
      </c>
      <c r="AA1856" s="2" t="s">
        <v>236</v>
      </c>
      <c r="AB1856" s="2">
        <v>9</v>
      </c>
      <c r="AC1856" s="2" t="s">
        <v>124</v>
      </c>
      <c r="AD1856" s="3">
        <v>40301</v>
      </c>
      <c r="AE1856" s="4">
        <v>0.60416666666666663</v>
      </c>
      <c r="AF1856" s="2"/>
      <c r="AG1856" s="2"/>
      <c r="AH1856" s="2">
        <v>5</v>
      </c>
      <c r="AI1856" s="2" t="s">
        <v>274</v>
      </c>
      <c r="AJ1856" s="2">
        <v>44</v>
      </c>
      <c r="AK1856" s="2" t="s">
        <v>667</v>
      </c>
      <c r="AL1856" s="2">
        <v>14</v>
      </c>
      <c r="AM1856" s="2" t="s">
        <v>216</v>
      </c>
      <c r="AN1856" s="2" t="s">
        <v>6519</v>
      </c>
      <c r="AO1856" s="2" t="s">
        <v>137</v>
      </c>
      <c r="AP1856" s="2">
        <v>4</v>
      </c>
      <c r="AQ1856" s="2" t="s">
        <v>6520</v>
      </c>
      <c r="AR1856" s="2" t="s">
        <v>6521</v>
      </c>
      <c r="AS1856" s="2" t="s">
        <v>6521</v>
      </c>
      <c r="AT1856" s="2" t="s">
        <v>6556</v>
      </c>
      <c r="AU1856" s="2"/>
      <c r="AV1856" s="2"/>
      <c r="AW1856" s="2"/>
      <c r="AX1856" s="2"/>
      <c r="AY1856" s="2">
        <v>41</v>
      </c>
      <c r="AZ1856" s="2" t="s">
        <v>82</v>
      </c>
      <c r="BA1856" s="2">
        <v>41</v>
      </c>
      <c r="BB1856" s="2" t="s">
        <v>82</v>
      </c>
      <c r="BC1856" s="2">
        <v>57</v>
      </c>
      <c r="BD1856" s="2"/>
      <c r="BE1856" s="2">
        <v>13</v>
      </c>
      <c r="BF1856" s="2" t="s">
        <v>108</v>
      </c>
      <c r="BG1856" s="2">
        <v>1779</v>
      </c>
      <c r="BH1856" s="4">
        <v>0.58680555555555558</v>
      </c>
      <c r="BI1856" s="4">
        <v>0.62152777777777779</v>
      </c>
      <c r="BJ1856" s="2">
        <v>13</v>
      </c>
      <c r="BK1856" s="2" t="s">
        <v>91</v>
      </c>
      <c r="BL1856" s="2" t="s">
        <v>1026</v>
      </c>
      <c r="BM1856" s="2">
        <v>241</v>
      </c>
      <c r="BN1856" s="2" t="s">
        <v>82</v>
      </c>
      <c r="BO1856" s="2" t="s">
        <v>82</v>
      </c>
      <c r="BP1856" s="2">
        <v>13</v>
      </c>
      <c r="BQ1856" s="2" t="s">
        <v>91</v>
      </c>
      <c r="BR1856" s="2" t="s">
        <v>170</v>
      </c>
      <c r="BS1856" s="3">
        <v>40302</v>
      </c>
      <c r="BT1856" s="4">
        <v>0.67958333333333332</v>
      </c>
    </row>
    <row r="1857" spans="1:72" x14ac:dyDescent="0.25">
      <c r="A1857" s="2">
        <v>2683</v>
      </c>
      <c r="B1857" s="2">
        <v>2010</v>
      </c>
      <c r="C1857" s="2" t="s">
        <v>171</v>
      </c>
      <c r="D1857" s="2" t="s">
        <v>73</v>
      </c>
      <c r="E1857" s="2"/>
      <c r="F1857" s="2">
        <v>227</v>
      </c>
      <c r="G1857" s="2" t="s">
        <v>6455</v>
      </c>
      <c r="H1857" s="2">
        <v>4</v>
      </c>
      <c r="I1857" s="2" t="s">
        <v>173</v>
      </c>
      <c r="J1857" s="2">
        <v>241</v>
      </c>
      <c r="K1857" s="2" t="s">
        <v>174</v>
      </c>
      <c r="L1857" s="2" t="s">
        <v>175</v>
      </c>
      <c r="M1857" s="3">
        <v>40302</v>
      </c>
      <c r="N1857" s="2" t="s">
        <v>176</v>
      </c>
      <c r="O1857" s="2"/>
      <c r="P1857" s="2"/>
      <c r="Q1857" s="2" t="str">
        <f>"243-E/10"</f>
        <v>243-E/10</v>
      </c>
      <c r="R1857" s="2" t="s">
        <v>391</v>
      </c>
      <c r="S1857" s="2" t="s">
        <v>391</v>
      </c>
      <c r="T1857" s="2">
        <v>1</v>
      </c>
      <c r="U1857" s="2" t="s">
        <v>79</v>
      </c>
      <c r="V1857" s="2">
        <v>1</v>
      </c>
      <c r="W1857" s="2" t="s">
        <v>80</v>
      </c>
      <c r="X1857" s="2">
        <v>1</v>
      </c>
      <c r="Y1857" s="2" t="s">
        <v>81</v>
      </c>
      <c r="Z1857" s="2">
        <v>1</v>
      </c>
      <c r="AA1857" s="2" t="s">
        <v>82</v>
      </c>
      <c r="AB1857" s="2">
        <v>1</v>
      </c>
      <c r="AC1857" s="2" t="s">
        <v>178</v>
      </c>
      <c r="AD1857" s="3">
        <v>40302</v>
      </c>
      <c r="AE1857" s="4">
        <v>0.47569444444444442</v>
      </c>
      <c r="AF1857" s="2"/>
      <c r="AG1857" s="2"/>
      <c r="AH1857" s="2">
        <v>2</v>
      </c>
      <c r="AI1857" s="2" t="s">
        <v>84</v>
      </c>
      <c r="AJ1857" s="2">
        <v>9</v>
      </c>
      <c r="AK1857" s="2" t="s">
        <v>103</v>
      </c>
      <c r="AL1857" s="2">
        <v>25</v>
      </c>
      <c r="AM1857" s="2" t="s">
        <v>3073</v>
      </c>
      <c r="AN1857" s="2"/>
      <c r="AO1857" s="2" t="s">
        <v>179</v>
      </c>
      <c r="AP1857" s="2">
        <v>11</v>
      </c>
      <c r="AQ1857" s="2" t="s">
        <v>82</v>
      </c>
      <c r="AR1857" s="2"/>
      <c r="AS1857" s="2"/>
      <c r="AT1857" s="2" t="s">
        <v>6557</v>
      </c>
      <c r="AU1857" s="2"/>
      <c r="AV1857" s="2">
        <v>1</v>
      </c>
      <c r="AW1857" s="2"/>
      <c r="AX1857" s="2"/>
      <c r="AY1857" s="2">
        <v>41</v>
      </c>
      <c r="AZ1857" s="2" t="s">
        <v>82</v>
      </c>
      <c r="BA1857" s="2">
        <v>41</v>
      </c>
      <c r="BB1857" s="2" t="s">
        <v>82</v>
      </c>
      <c r="BC1857" s="2">
        <v>41</v>
      </c>
      <c r="BD1857" s="2" t="s">
        <v>82</v>
      </c>
      <c r="BE1857" s="2">
        <v>23</v>
      </c>
      <c r="BF1857" s="2" t="s">
        <v>183</v>
      </c>
      <c r="BG1857" s="2" t="s">
        <v>184</v>
      </c>
      <c r="BH1857" s="2"/>
      <c r="BI1857" s="4">
        <v>0.53125</v>
      </c>
      <c r="BJ1857" s="2">
        <v>13</v>
      </c>
      <c r="BK1857" s="2" t="s">
        <v>91</v>
      </c>
      <c r="BL1857" s="2" t="s">
        <v>185</v>
      </c>
      <c r="BM1857" s="2">
        <v>241</v>
      </c>
      <c r="BN1857" s="2" t="s">
        <v>82</v>
      </c>
      <c r="BO1857" s="2"/>
      <c r="BP1857" s="2">
        <v>73</v>
      </c>
      <c r="BQ1857" s="2" t="s">
        <v>186</v>
      </c>
      <c r="BR1857" s="2" t="s">
        <v>187</v>
      </c>
      <c r="BS1857" s="3">
        <v>40302</v>
      </c>
      <c r="BT1857" s="4">
        <v>0.78133101851851849</v>
      </c>
    </row>
    <row r="1858" spans="1:72" x14ac:dyDescent="0.25">
      <c r="A1858" s="2">
        <v>2685</v>
      </c>
      <c r="B1858" s="2">
        <v>2010</v>
      </c>
      <c r="C1858" s="2" t="s">
        <v>121</v>
      </c>
      <c r="D1858" s="2" t="s">
        <v>122</v>
      </c>
      <c r="E1858" s="2"/>
      <c r="F1858" s="2">
        <v>1</v>
      </c>
      <c r="G1858" s="2" t="s">
        <v>82</v>
      </c>
      <c r="H1858" s="2">
        <v>1</v>
      </c>
      <c r="I1858" s="2" t="s">
        <v>82</v>
      </c>
      <c r="J1858" s="2">
        <v>1</v>
      </c>
      <c r="K1858" s="2" t="s">
        <v>107</v>
      </c>
      <c r="L1858" s="2" t="s">
        <v>107</v>
      </c>
      <c r="M1858" s="3">
        <v>40302</v>
      </c>
      <c r="N1858" s="2" t="s">
        <v>82</v>
      </c>
      <c r="O1858" s="2"/>
      <c r="P1858" s="2" t="s">
        <v>82</v>
      </c>
      <c r="Q1858" s="2" t="str">
        <f>""</f>
        <v/>
      </c>
      <c r="R1858" s="2"/>
      <c r="S1858" s="2"/>
      <c r="T1858" s="2">
        <v>2</v>
      </c>
      <c r="U1858" s="2" t="s">
        <v>123</v>
      </c>
      <c r="V1858" s="2">
        <v>1</v>
      </c>
      <c r="W1858" s="2" t="s">
        <v>80</v>
      </c>
      <c r="X1858" s="2">
        <v>5</v>
      </c>
      <c r="Y1858" s="2" t="s">
        <v>82</v>
      </c>
      <c r="Z1858" s="2">
        <v>1</v>
      </c>
      <c r="AA1858" s="2" t="s">
        <v>82</v>
      </c>
      <c r="AB1858" s="2">
        <v>9</v>
      </c>
      <c r="AC1858" s="2" t="s">
        <v>124</v>
      </c>
      <c r="AD1858" s="3">
        <v>40302</v>
      </c>
      <c r="AE1858" s="4">
        <v>0.625</v>
      </c>
      <c r="AF1858" s="2"/>
      <c r="AG1858" s="2"/>
      <c r="AH1858" s="2">
        <v>2</v>
      </c>
      <c r="AI1858" s="2" t="s">
        <v>84</v>
      </c>
      <c r="AJ1858" s="2">
        <v>12</v>
      </c>
      <c r="AK1858" s="2" t="s">
        <v>85</v>
      </c>
      <c r="AL1858" s="2">
        <v>20</v>
      </c>
      <c r="AM1858" s="2" t="s">
        <v>992</v>
      </c>
      <c r="AN1858" s="2"/>
      <c r="AO1858" s="2" t="s">
        <v>993</v>
      </c>
      <c r="AP1858" s="2">
        <v>11</v>
      </c>
      <c r="AQ1858" s="2" t="s">
        <v>82</v>
      </c>
      <c r="AR1858" s="2"/>
      <c r="AS1858" s="2"/>
      <c r="AT1858" s="2" t="s">
        <v>6558</v>
      </c>
      <c r="AU1858" s="2"/>
      <c r="AV1858" s="2"/>
      <c r="AW1858" s="2"/>
      <c r="AX1858" s="2"/>
      <c r="AY1858" s="2">
        <v>41</v>
      </c>
      <c r="AZ1858" s="2" t="s">
        <v>82</v>
      </c>
      <c r="BA1858" s="2">
        <v>41</v>
      </c>
      <c r="BB1858" s="2" t="s">
        <v>82</v>
      </c>
      <c r="BC1858" s="2">
        <v>41</v>
      </c>
      <c r="BD1858" s="2" t="s">
        <v>82</v>
      </c>
      <c r="BE1858" s="2">
        <v>41</v>
      </c>
      <c r="BF1858" s="2" t="s">
        <v>82</v>
      </c>
      <c r="BG1858" s="2"/>
      <c r="BH1858" s="4">
        <v>0.72499999999999998</v>
      </c>
      <c r="BI1858" s="4">
        <v>0.73611111111111116</v>
      </c>
      <c r="BJ1858" s="2">
        <v>13</v>
      </c>
      <c r="BK1858" s="2" t="s">
        <v>91</v>
      </c>
      <c r="BL1858" s="2" t="s">
        <v>170</v>
      </c>
      <c r="BM1858" s="2">
        <v>242</v>
      </c>
      <c r="BN1858" s="2" t="s">
        <v>107</v>
      </c>
      <c r="BO1858" s="2"/>
      <c r="BP1858" s="2">
        <v>46</v>
      </c>
      <c r="BQ1858" s="2" t="s">
        <v>307</v>
      </c>
      <c r="BR1858" s="2"/>
      <c r="BS1858" s="3">
        <v>40302</v>
      </c>
      <c r="BT1858" s="4">
        <v>0.86390046296296286</v>
      </c>
    </row>
    <row r="1859" spans="1:72" x14ac:dyDescent="0.25">
      <c r="A1859" s="2">
        <v>2686</v>
      </c>
      <c r="B1859" s="2">
        <v>2010</v>
      </c>
      <c r="C1859" s="2" t="s">
        <v>121</v>
      </c>
      <c r="D1859" s="2" t="s">
        <v>122</v>
      </c>
      <c r="E1859" s="2"/>
      <c r="F1859" s="2">
        <v>1</v>
      </c>
      <c r="G1859" s="2" t="s">
        <v>82</v>
      </c>
      <c r="H1859" s="2">
        <v>1</v>
      </c>
      <c r="I1859" s="2" t="s">
        <v>82</v>
      </c>
      <c r="J1859" s="2">
        <v>1</v>
      </c>
      <c r="K1859" s="2" t="s">
        <v>107</v>
      </c>
      <c r="L1859" s="2" t="s">
        <v>107</v>
      </c>
      <c r="M1859" s="3">
        <v>40302</v>
      </c>
      <c r="N1859" s="2"/>
      <c r="O1859" s="2"/>
      <c r="P1859" s="2"/>
      <c r="Q1859" s="2" t="str">
        <f>""</f>
        <v/>
      </c>
      <c r="R1859" s="2"/>
      <c r="S1859" s="2"/>
      <c r="T1859" s="2">
        <v>2</v>
      </c>
      <c r="U1859" s="2" t="s">
        <v>123</v>
      </c>
      <c r="V1859" s="2">
        <v>1</v>
      </c>
      <c r="W1859" s="2" t="s">
        <v>80</v>
      </c>
      <c r="X1859" s="2">
        <v>5</v>
      </c>
      <c r="Y1859" s="2" t="s">
        <v>82</v>
      </c>
      <c r="Z1859" s="2">
        <v>1</v>
      </c>
      <c r="AA1859" s="2" t="s">
        <v>82</v>
      </c>
      <c r="AB1859" s="2">
        <v>9</v>
      </c>
      <c r="AC1859" s="2" t="s">
        <v>124</v>
      </c>
      <c r="AD1859" s="3">
        <v>40302</v>
      </c>
      <c r="AE1859" s="4">
        <v>0.625</v>
      </c>
      <c r="AF1859" s="2"/>
      <c r="AG1859" s="2"/>
      <c r="AH1859" s="2">
        <v>2</v>
      </c>
      <c r="AI1859" s="2" t="s">
        <v>84</v>
      </c>
      <c r="AJ1859" s="2">
        <v>12</v>
      </c>
      <c r="AK1859" s="2" t="s">
        <v>85</v>
      </c>
      <c r="AL1859" s="2">
        <v>20</v>
      </c>
      <c r="AM1859" s="2" t="s">
        <v>992</v>
      </c>
      <c r="AN1859" s="2"/>
      <c r="AO1859" s="2" t="s">
        <v>993</v>
      </c>
      <c r="AP1859" s="2">
        <v>11</v>
      </c>
      <c r="AQ1859" s="2" t="s">
        <v>82</v>
      </c>
      <c r="AR1859" s="2"/>
      <c r="AS1859" s="2"/>
      <c r="AT1859" s="2" t="s">
        <v>6559</v>
      </c>
      <c r="AU1859" s="2"/>
      <c r="AV1859" s="2"/>
      <c r="AW1859" s="2"/>
      <c r="AX1859" s="2"/>
      <c r="AY1859" s="2">
        <v>41</v>
      </c>
      <c r="AZ1859" s="2" t="s">
        <v>82</v>
      </c>
      <c r="BA1859" s="2">
        <v>41</v>
      </c>
      <c r="BB1859" s="2" t="s">
        <v>82</v>
      </c>
      <c r="BC1859" s="2">
        <v>41</v>
      </c>
      <c r="BD1859" s="2" t="s">
        <v>82</v>
      </c>
      <c r="BE1859" s="2">
        <v>41</v>
      </c>
      <c r="BF1859" s="2" t="s">
        <v>82</v>
      </c>
      <c r="BG1859" s="2"/>
      <c r="BH1859" s="4">
        <v>0.73541666666666661</v>
      </c>
      <c r="BI1859" s="4">
        <v>0.75</v>
      </c>
      <c r="BJ1859" s="2">
        <v>13</v>
      </c>
      <c r="BK1859" s="2" t="s">
        <v>91</v>
      </c>
      <c r="BL1859" s="2" t="s">
        <v>170</v>
      </c>
      <c r="BM1859" s="2">
        <v>242</v>
      </c>
      <c r="BN1859" s="2" t="s">
        <v>107</v>
      </c>
      <c r="BO1859" s="2"/>
      <c r="BP1859" s="2">
        <v>229</v>
      </c>
      <c r="BQ1859" s="2" t="s">
        <v>300</v>
      </c>
      <c r="BR1859" s="2"/>
      <c r="BS1859" s="3">
        <v>40302</v>
      </c>
      <c r="BT1859" s="4">
        <v>0.94597222222222221</v>
      </c>
    </row>
    <row r="1860" spans="1:72" x14ac:dyDescent="0.25">
      <c r="A1860" s="2">
        <v>2687</v>
      </c>
      <c r="B1860" s="2">
        <v>2010</v>
      </c>
      <c r="C1860" s="2" t="s">
        <v>121</v>
      </c>
      <c r="D1860" s="2" t="s">
        <v>122</v>
      </c>
      <c r="E1860" s="2"/>
      <c r="F1860" s="2">
        <v>1</v>
      </c>
      <c r="G1860" s="2" t="s">
        <v>82</v>
      </c>
      <c r="H1860" s="2">
        <v>1</v>
      </c>
      <c r="I1860" s="2" t="s">
        <v>82</v>
      </c>
      <c r="J1860" s="2">
        <v>1</v>
      </c>
      <c r="K1860" s="2" t="s">
        <v>107</v>
      </c>
      <c r="L1860" s="2" t="s">
        <v>107</v>
      </c>
      <c r="M1860" s="3">
        <v>40302</v>
      </c>
      <c r="N1860" s="2"/>
      <c r="O1860" s="2"/>
      <c r="P1860" s="2"/>
      <c r="Q1860" s="2" t="str">
        <f>""</f>
        <v/>
      </c>
      <c r="R1860" s="2"/>
      <c r="S1860" s="2"/>
      <c r="T1860" s="2">
        <v>2</v>
      </c>
      <c r="U1860" s="2" t="s">
        <v>123</v>
      </c>
      <c r="V1860" s="2">
        <v>1</v>
      </c>
      <c r="W1860" s="2" t="s">
        <v>80</v>
      </c>
      <c r="X1860" s="2">
        <v>5</v>
      </c>
      <c r="Y1860" s="2" t="s">
        <v>82</v>
      </c>
      <c r="Z1860" s="2">
        <v>1</v>
      </c>
      <c r="AA1860" s="2" t="s">
        <v>82</v>
      </c>
      <c r="AB1860" s="2">
        <v>9</v>
      </c>
      <c r="AC1860" s="2" t="s">
        <v>124</v>
      </c>
      <c r="AD1860" s="3">
        <v>40302</v>
      </c>
      <c r="AE1860" s="4">
        <v>0.625</v>
      </c>
      <c r="AF1860" s="2"/>
      <c r="AG1860" s="2"/>
      <c r="AH1860" s="2">
        <v>2</v>
      </c>
      <c r="AI1860" s="2" t="s">
        <v>84</v>
      </c>
      <c r="AJ1860" s="2">
        <v>12</v>
      </c>
      <c r="AK1860" s="2" t="s">
        <v>85</v>
      </c>
      <c r="AL1860" s="2">
        <v>20</v>
      </c>
      <c r="AM1860" s="2" t="s">
        <v>992</v>
      </c>
      <c r="AN1860" s="2"/>
      <c r="AO1860" s="2" t="s">
        <v>993</v>
      </c>
      <c r="AP1860" s="2">
        <v>11</v>
      </c>
      <c r="AQ1860" s="2" t="s">
        <v>82</v>
      </c>
      <c r="AR1860" s="2"/>
      <c r="AS1860" s="2"/>
      <c r="AT1860" s="2" t="s">
        <v>6560</v>
      </c>
      <c r="AU1860" s="2"/>
      <c r="AV1860" s="2"/>
      <c r="AW1860" s="2"/>
      <c r="AX1860" s="2"/>
      <c r="AY1860" s="2">
        <v>41</v>
      </c>
      <c r="AZ1860" s="2" t="s">
        <v>82</v>
      </c>
      <c r="BA1860" s="2">
        <v>41</v>
      </c>
      <c r="BB1860" s="2" t="s">
        <v>82</v>
      </c>
      <c r="BC1860" s="2">
        <v>41</v>
      </c>
      <c r="BD1860" s="2" t="s">
        <v>82</v>
      </c>
      <c r="BE1860" s="2">
        <v>41</v>
      </c>
      <c r="BF1860" s="2" t="s">
        <v>82</v>
      </c>
      <c r="BG1860" s="2"/>
      <c r="BH1860" s="4">
        <v>0.75347222222222221</v>
      </c>
      <c r="BI1860" s="4">
        <v>0.76944444444444438</v>
      </c>
      <c r="BJ1860" s="2">
        <v>13</v>
      </c>
      <c r="BK1860" s="2" t="s">
        <v>91</v>
      </c>
      <c r="BL1860" s="2" t="s">
        <v>170</v>
      </c>
      <c r="BM1860" s="2">
        <v>242</v>
      </c>
      <c r="BN1860" s="2" t="s">
        <v>107</v>
      </c>
      <c r="BO1860" s="2"/>
      <c r="BP1860" s="2">
        <v>172</v>
      </c>
      <c r="BQ1860" s="2" t="s">
        <v>843</v>
      </c>
      <c r="BR1860" s="2"/>
      <c r="BS1860" s="3">
        <v>40302</v>
      </c>
      <c r="BT1860" s="4">
        <v>0.95600694444444445</v>
      </c>
    </row>
    <row r="1861" spans="1:72" x14ac:dyDescent="0.25">
      <c r="A1861" s="2">
        <v>2688</v>
      </c>
      <c r="B1861" s="2">
        <v>2010</v>
      </c>
      <c r="C1861" s="2" t="s">
        <v>121</v>
      </c>
      <c r="D1861" s="2" t="s">
        <v>122</v>
      </c>
      <c r="E1861" s="2"/>
      <c r="F1861" s="2">
        <v>1</v>
      </c>
      <c r="G1861" s="2" t="s">
        <v>82</v>
      </c>
      <c r="H1861" s="2">
        <v>1</v>
      </c>
      <c r="I1861" s="2" t="s">
        <v>82</v>
      </c>
      <c r="J1861" s="2">
        <v>1</v>
      </c>
      <c r="K1861" s="2" t="s">
        <v>107</v>
      </c>
      <c r="L1861" s="2" t="s">
        <v>107</v>
      </c>
      <c r="M1861" s="3">
        <v>40302</v>
      </c>
      <c r="N1861" s="2"/>
      <c r="O1861" s="2"/>
      <c r="P1861" s="2"/>
      <c r="Q1861" s="2" t="str">
        <f>""</f>
        <v/>
      </c>
      <c r="R1861" s="2"/>
      <c r="S1861" s="2"/>
      <c r="T1861" s="2">
        <v>2</v>
      </c>
      <c r="U1861" s="2" t="s">
        <v>123</v>
      </c>
      <c r="V1861" s="2">
        <v>1</v>
      </c>
      <c r="W1861" s="2" t="s">
        <v>80</v>
      </c>
      <c r="X1861" s="2">
        <v>5</v>
      </c>
      <c r="Y1861" s="2" t="s">
        <v>82</v>
      </c>
      <c r="Z1861" s="2">
        <v>1</v>
      </c>
      <c r="AA1861" s="2" t="s">
        <v>82</v>
      </c>
      <c r="AB1861" s="2">
        <v>9</v>
      </c>
      <c r="AC1861" s="2" t="s">
        <v>124</v>
      </c>
      <c r="AD1861" s="3">
        <v>40302</v>
      </c>
      <c r="AE1861" s="4">
        <v>0.625</v>
      </c>
      <c r="AF1861" s="2"/>
      <c r="AG1861" s="2"/>
      <c r="AH1861" s="2">
        <v>2</v>
      </c>
      <c r="AI1861" s="2" t="s">
        <v>84</v>
      </c>
      <c r="AJ1861" s="2">
        <v>12</v>
      </c>
      <c r="AK1861" s="2" t="s">
        <v>85</v>
      </c>
      <c r="AL1861" s="2">
        <v>20</v>
      </c>
      <c r="AM1861" s="2" t="s">
        <v>992</v>
      </c>
      <c r="AN1861" s="2"/>
      <c r="AO1861" s="2" t="s">
        <v>993</v>
      </c>
      <c r="AP1861" s="2">
        <v>11</v>
      </c>
      <c r="AQ1861" s="2" t="s">
        <v>82</v>
      </c>
      <c r="AR1861" s="2"/>
      <c r="AS1861" s="2"/>
      <c r="AT1861" s="2" t="s">
        <v>6561</v>
      </c>
      <c r="AU1861" s="2"/>
      <c r="AV1861" s="2"/>
      <c r="AW1861" s="2"/>
      <c r="AX1861" s="2"/>
      <c r="AY1861" s="2">
        <v>41</v>
      </c>
      <c r="AZ1861" s="2" t="s">
        <v>82</v>
      </c>
      <c r="BA1861" s="2">
        <v>41</v>
      </c>
      <c r="BB1861" s="2" t="s">
        <v>82</v>
      </c>
      <c r="BC1861" s="2">
        <v>41</v>
      </c>
      <c r="BD1861" s="2" t="s">
        <v>82</v>
      </c>
      <c r="BE1861" s="2">
        <v>41</v>
      </c>
      <c r="BF1861" s="2" t="s">
        <v>82</v>
      </c>
      <c r="BG1861" s="2"/>
      <c r="BH1861" s="4">
        <v>0.75138888888888899</v>
      </c>
      <c r="BI1861" s="4">
        <v>0.77430555555555547</v>
      </c>
      <c r="BJ1861" s="2">
        <v>13</v>
      </c>
      <c r="BK1861" s="2" t="s">
        <v>91</v>
      </c>
      <c r="BL1861" s="2" t="s">
        <v>170</v>
      </c>
      <c r="BM1861" s="2">
        <v>242</v>
      </c>
      <c r="BN1861" s="2" t="s">
        <v>107</v>
      </c>
      <c r="BO1861" s="2"/>
      <c r="BP1861" s="2">
        <v>232</v>
      </c>
      <c r="BQ1861" s="2" t="s">
        <v>4351</v>
      </c>
      <c r="BR1861" s="2"/>
      <c r="BS1861" s="3">
        <v>40302</v>
      </c>
      <c r="BT1861" s="4">
        <v>0.96399305555555559</v>
      </c>
    </row>
    <row r="1862" spans="1:72" x14ac:dyDescent="0.25">
      <c r="A1862" s="2">
        <v>2689</v>
      </c>
      <c r="B1862" s="2">
        <v>2010</v>
      </c>
      <c r="C1862" s="2" t="s">
        <v>121</v>
      </c>
      <c r="D1862" s="2" t="s">
        <v>122</v>
      </c>
      <c r="E1862" s="2"/>
      <c r="F1862" s="2">
        <v>1</v>
      </c>
      <c r="G1862" s="2" t="s">
        <v>82</v>
      </c>
      <c r="H1862" s="2">
        <v>1</v>
      </c>
      <c r="I1862" s="2" t="s">
        <v>82</v>
      </c>
      <c r="J1862" s="2">
        <v>1</v>
      </c>
      <c r="K1862" s="2" t="s">
        <v>107</v>
      </c>
      <c r="L1862" s="2" t="s">
        <v>107</v>
      </c>
      <c r="M1862" s="3">
        <v>40302</v>
      </c>
      <c r="N1862" s="2"/>
      <c r="O1862" s="2"/>
      <c r="P1862" s="2"/>
      <c r="Q1862" s="2" t="str">
        <f>""</f>
        <v/>
      </c>
      <c r="R1862" s="2"/>
      <c r="S1862" s="2"/>
      <c r="T1862" s="2">
        <v>2</v>
      </c>
      <c r="U1862" s="2" t="s">
        <v>123</v>
      </c>
      <c r="V1862" s="2">
        <v>1</v>
      </c>
      <c r="W1862" s="2" t="s">
        <v>80</v>
      </c>
      <c r="X1862" s="2">
        <v>5</v>
      </c>
      <c r="Y1862" s="2" t="s">
        <v>82</v>
      </c>
      <c r="Z1862" s="2">
        <v>1</v>
      </c>
      <c r="AA1862" s="2" t="s">
        <v>82</v>
      </c>
      <c r="AB1862" s="2">
        <v>9</v>
      </c>
      <c r="AC1862" s="2" t="s">
        <v>124</v>
      </c>
      <c r="AD1862" s="3">
        <v>40302</v>
      </c>
      <c r="AE1862" s="4">
        <v>0.625</v>
      </c>
      <c r="AF1862" s="2"/>
      <c r="AG1862" s="2"/>
      <c r="AH1862" s="2">
        <v>2</v>
      </c>
      <c r="AI1862" s="2" t="s">
        <v>84</v>
      </c>
      <c r="AJ1862" s="2">
        <v>12</v>
      </c>
      <c r="AK1862" s="2" t="s">
        <v>85</v>
      </c>
      <c r="AL1862" s="2">
        <v>20</v>
      </c>
      <c r="AM1862" s="2" t="s">
        <v>992</v>
      </c>
      <c r="AN1862" s="2"/>
      <c r="AO1862" s="2" t="s">
        <v>993</v>
      </c>
      <c r="AP1862" s="2">
        <v>11</v>
      </c>
      <c r="AQ1862" s="2" t="s">
        <v>82</v>
      </c>
      <c r="AR1862" s="2"/>
      <c r="AS1862" s="2"/>
      <c r="AT1862" s="2" t="s">
        <v>6562</v>
      </c>
      <c r="AU1862" s="2"/>
      <c r="AV1862" s="2"/>
      <c r="AW1862" s="2"/>
      <c r="AX1862" s="2"/>
      <c r="AY1862" s="2">
        <v>41</v>
      </c>
      <c r="AZ1862" s="2" t="s">
        <v>82</v>
      </c>
      <c r="BA1862" s="2">
        <v>41</v>
      </c>
      <c r="BB1862" s="2" t="s">
        <v>82</v>
      </c>
      <c r="BC1862" s="2">
        <v>41</v>
      </c>
      <c r="BD1862" s="2" t="s">
        <v>82</v>
      </c>
      <c r="BE1862" s="2">
        <v>41</v>
      </c>
      <c r="BF1862" s="2" t="s">
        <v>82</v>
      </c>
      <c r="BG1862" s="2"/>
      <c r="BH1862" s="4">
        <v>0.7368055555555556</v>
      </c>
      <c r="BI1862" s="4">
        <v>0.78749999999999998</v>
      </c>
      <c r="BJ1862" s="2">
        <v>13</v>
      </c>
      <c r="BK1862" s="2" t="s">
        <v>91</v>
      </c>
      <c r="BL1862" s="2" t="s">
        <v>170</v>
      </c>
      <c r="BM1862" s="2">
        <v>242</v>
      </c>
      <c r="BN1862" s="2" t="s">
        <v>107</v>
      </c>
      <c r="BO1862" s="2"/>
      <c r="BP1862" s="2">
        <v>29</v>
      </c>
      <c r="BQ1862" s="2" t="s">
        <v>962</v>
      </c>
      <c r="BR1862" s="2"/>
      <c r="BS1862" s="3">
        <v>40302</v>
      </c>
      <c r="BT1862" s="4">
        <v>0.98289351851851858</v>
      </c>
    </row>
    <row r="1863" spans="1:72" x14ac:dyDescent="0.25">
      <c r="A1863" s="2">
        <v>2690</v>
      </c>
      <c r="B1863" s="2">
        <v>2010</v>
      </c>
      <c r="C1863" s="2" t="s">
        <v>121</v>
      </c>
      <c r="D1863" s="2" t="s">
        <v>122</v>
      </c>
      <c r="E1863" s="2"/>
      <c r="F1863" s="2">
        <v>1</v>
      </c>
      <c r="G1863" s="2" t="s">
        <v>82</v>
      </c>
      <c r="H1863" s="2">
        <v>1</v>
      </c>
      <c r="I1863" s="2" t="s">
        <v>82</v>
      </c>
      <c r="J1863" s="2">
        <v>1</v>
      </c>
      <c r="K1863" s="2" t="s">
        <v>107</v>
      </c>
      <c r="L1863" s="2" t="s">
        <v>107</v>
      </c>
      <c r="M1863" s="3">
        <v>40303</v>
      </c>
      <c r="N1863" s="2"/>
      <c r="O1863" s="2"/>
      <c r="P1863" s="2"/>
      <c r="Q1863" s="2" t="str">
        <f>""</f>
        <v/>
      </c>
      <c r="R1863" s="2"/>
      <c r="S1863" s="2"/>
      <c r="T1863" s="2">
        <v>2</v>
      </c>
      <c r="U1863" s="2" t="s">
        <v>123</v>
      </c>
      <c r="V1863" s="2">
        <v>1</v>
      </c>
      <c r="W1863" s="2" t="s">
        <v>80</v>
      </c>
      <c r="X1863" s="2">
        <v>5</v>
      </c>
      <c r="Y1863" s="2" t="s">
        <v>82</v>
      </c>
      <c r="Z1863" s="2">
        <v>1</v>
      </c>
      <c r="AA1863" s="2" t="s">
        <v>82</v>
      </c>
      <c r="AB1863" s="2">
        <v>9</v>
      </c>
      <c r="AC1863" s="2" t="s">
        <v>124</v>
      </c>
      <c r="AD1863" s="3">
        <v>40302</v>
      </c>
      <c r="AE1863" s="4">
        <v>0.625</v>
      </c>
      <c r="AF1863" s="2"/>
      <c r="AG1863" s="2"/>
      <c r="AH1863" s="2">
        <v>2</v>
      </c>
      <c r="AI1863" s="2" t="s">
        <v>84</v>
      </c>
      <c r="AJ1863" s="2">
        <v>12</v>
      </c>
      <c r="AK1863" s="2" t="s">
        <v>85</v>
      </c>
      <c r="AL1863" s="2">
        <v>20</v>
      </c>
      <c r="AM1863" s="2" t="s">
        <v>992</v>
      </c>
      <c r="AN1863" s="2"/>
      <c r="AO1863" s="2" t="s">
        <v>993</v>
      </c>
      <c r="AP1863" s="2">
        <v>11</v>
      </c>
      <c r="AQ1863" s="2" t="s">
        <v>82</v>
      </c>
      <c r="AR1863" s="2"/>
      <c r="AS1863" s="2"/>
      <c r="AT1863" s="2" t="s">
        <v>6563</v>
      </c>
      <c r="AU1863" s="2"/>
      <c r="AV1863" s="2"/>
      <c r="AW1863" s="2"/>
      <c r="AX1863" s="2"/>
      <c r="AY1863" s="2">
        <v>41</v>
      </c>
      <c r="AZ1863" s="2" t="s">
        <v>82</v>
      </c>
      <c r="BA1863" s="2">
        <v>41</v>
      </c>
      <c r="BB1863" s="2" t="s">
        <v>82</v>
      </c>
      <c r="BC1863" s="2">
        <v>41</v>
      </c>
      <c r="BD1863" s="2" t="s">
        <v>82</v>
      </c>
      <c r="BE1863" s="2">
        <v>41</v>
      </c>
      <c r="BF1863" s="2" t="s">
        <v>82</v>
      </c>
      <c r="BG1863" s="2"/>
      <c r="BH1863" s="4">
        <v>0.77916666666666667</v>
      </c>
      <c r="BI1863" s="4">
        <v>0.79513888888888884</v>
      </c>
      <c r="BJ1863" s="2">
        <v>13</v>
      </c>
      <c r="BK1863" s="2" t="s">
        <v>91</v>
      </c>
      <c r="BL1863" s="2" t="s">
        <v>170</v>
      </c>
      <c r="BM1863" s="2">
        <v>242</v>
      </c>
      <c r="BN1863" s="2" t="s">
        <v>107</v>
      </c>
      <c r="BO1863" s="2"/>
      <c r="BP1863" s="2">
        <v>66</v>
      </c>
      <c r="BQ1863" s="2" t="s">
        <v>2681</v>
      </c>
      <c r="BR1863" s="2"/>
      <c r="BS1863" s="3">
        <v>40303</v>
      </c>
      <c r="BT1863" s="4">
        <v>3.8425925925925923E-3</v>
      </c>
    </row>
    <row r="1864" spans="1:72" x14ac:dyDescent="0.25">
      <c r="A1864" s="2">
        <v>2691</v>
      </c>
      <c r="B1864" s="2">
        <v>2010</v>
      </c>
      <c r="C1864" s="2" t="s">
        <v>171</v>
      </c>
      <c r="D1864" s="2" t="s">
        <v>73</v>
      </c>
      <c r="E1864" s="2"/>
      <c r="F1864" s="2">
        <v>402</v>
      </c>
      <c r="G1864" s="2" t="s">
        <v>6564</v>
      </c>
      <c r="H1864" s="2">
        <v>4</v>
      </c>
      <c r="I1864" s="2" t="s">
        <v>173</v>
      </c>
      <c r="J1864" s="2">
        <v>241</v>
      </c>
      <c r="K1864" s="2" t="s">
        <v>174</v>
      </c>
      <c r="L1864" s="2" t="s">
        <v>175</v>
      </c>
      <c r="M1864" s="3">
        <v>40303</v>
      </c>
      <c r="N1864" s="2" t="s">
        <v>176</v>
      </c>
      <c r="O1864" s="2"/>
      <c r="P1864" s="2"/>
      <c r="Q1864" s="2" t="str">
        <f>"245-E/10"</f>
        <v>245-E/10</v>
      </c>
      <c r="R1864" s="2"/>
      <c r="S1864" s="2" t="s">
        <v>391</v>
      </c>
      <c r="T1864" s="2">
        <v>1</v>
      </c>
      <c r="U1864" s="2" t="s">
        <v>79</v>
      </c>
      <c r="V1864" s="2">
        <v>1</v>
      </c>
      <c r="W1864" s="2" t="s">
        <v>80</v>
      </c>
      <c r="X1864" s="2">
        <v>1</v>
      </c>
      <c r="Y1864" s="2" t="s">
        <v>81</v>
      </c>
      <c r="Z1864" s="2">
        <v>1</v>
      </c>
      <c r="AA1864" s="2" t="s">
        <v>82</v>
      </c>
      <c r="AB1864" s="2">
        <v>1</v>
      </c>
      <c r="AC1864" s="2" t="s">
        <v>178</v>
      </c>
      <c r="AD1864" s="3">
        <v>40302</v>
      </c>
      <c r="AE1864" s="4">
        <v>0.8125</v>
      </c>
      <c r="AF1864" s="2"/>
      <c r="AG1864" s="2"/>
      <c r="AH1864" s="2">
        <v>2</v>
      </c>
      <c r="AI1864" s="2" t="s">
        <v>84</v>
      </c>
      <c r="AJ1864" s="2">
        <v>9</v>
      </c>
      <c r="AK1864" s="2" t="s">
        <v>103</v>
      </c>
      <c r="AL1864" s="2">
        <v>11</v>
      </c>
      <c r="AM1864" s="2" t="s">
        <v>137</v>
      </c>
      <c r="AN1864" s="2" t="s">
        <v>2369</v>
      </c>
      <c r="AO1864" s="2"/>
      <c r="AP1864" s="2">
        <v>11</v>
      </c>
      <c r="AQ1864" s="2" t="s">
        <v>82</v>
      </c>
      <c r="AR1864" s="2"/>
      <c r="AS1864" s="2"/>
      <c r="AT1864" s="2" t="s">
        <v>6565</v>
      </c>
      <c r="AU1864" s="2"/>
      <c r="AV1864" s="2">
        <v>1</v>
      </c>
      <c r="AW1864" s="2"/>
      <c r="AX1864" s="2"/>
      <c r="AY1864" s="2">
        <v>42</v>
      </c>
      <c r="AZ1864" s="2" t="s">
        <v>182</v>
      </c>
      <c r="BA1864" s="2">
        <v>41</v>
      </c>
      <c r="BB1864" s="2" t="s">
        <v>82</v>
      </c>
      <c r="BC1864" s="2">
        <v>41</v>
      </c>
      <c r="BD1864" s="2" t="s">
        <v>82</v>
      </c>
      <c r="BE1864" s="2">
        <v>13</v>
      </c>
      <c r="BF1864" s="2" t="s">
        <v>108</v>
      </c>
      <c r="BG1864" s="2" t="s">
        <v>1769</v>
      </c>
      <c r="BH1864" s="2"/>
      <c r="BI1864" s="4">
        <v>0.875</v>
      </c>
      <c r="BJ1864" s="2">
        <v>13</v>
      </c>
      <c r="BK1864" s="2" t="s">
        <v>91</v>
      </c>
      <c r="BL1864" s="2" t="s">
        <v>360</v>
      </c>
      <c r="BM1864" s="2">
        <v>241</v>
      </c>
      <c r="BN1864" s="2" t="s">
        <v>82</v>
      </c>
      <c r="BO1864" s="2"/>
      <c r="BP1864" s="2">
        <v>73</v>
      </c>
      <c r="BQ1864" s="2" t="s">
        <v>186</v>
      </c>
      <c r="BR1864" s="2" t="s">
        <v>187</v>
      </c>
      <c r="BS1864" s="3">
        <v>40303</v>
      </c>
      <c r="BT1864" s="4">
        <v>0.15533564814814815</v>
      </c>
    </row>
    <row r="1865" spans="1:72" x14ac:dyDescent="0.25">
      <c r="A1865" s="2">
        <v>2692</v>
      </c>
      <c r="B1865" s="2">
        <v>2010</v>
      </c>
      <c r="C1865" s="2" t="s">
        <v>171</v>
      </c>
      <c r="D1865" s="2" t="s">
        <v>122</v>
      </c>
      <c r="E1865" s="2" t="s">
        <v>6566</v>
      </c>
      <c r="F1865" s="2">
        <v>227</v>
      </c>
      <c r="G1865" s="2" t="s">
        <v>6455</v>
      </c>
      <c r="H1865" s="2">
        <v>4</v>
      </c>
      <c r="I1865" s="2" t="s">
        <v>173</v>
      </c>
      <c r="J1865" s="2">
        <v>241</v>
      </c>
      <c r="K1865" s="2" t="s">
        <v>174</v>
      </c>
      <c r="L1865" s="2" t="s">
        <v>175</v>
      </c>
      <c r="M1865" s="3">
        <v>40303</v>
      </c>
      <c r="N1865" s="2" t="s">
        <v>176</v>
      </c>
      <c r="O1865" s="2"/>
      <c r="P1865" s="2"/>
      <c r="Q1865" s="2" t="str">
        <f>"243-E/10"</f>
        <v>243-E/10</v>
      </c>
      <c r="R1865" s="2" t="s">
        <v>391</v>
      </c>
      <c r="S1865" s="2" t="s">
        <v>391</v>
      </c>
      <c r="T1865" s="2">
        <v>1</v>
      </c>
      <c r="U1865" s="2" t="s">
        <v>79</v>
      </c>
      <c r="V1865" s="2">
        <v>1</v>
      </c>
      <c r="W1865" s="2" t="s">
        <v>80</v>
      </c>
      <c r="X1865" s="2">
        <v>1</v>
      </c>
      <c r="Y1865" s="2" t="s">
        <v>81</v>
      </c>
      <c r="Z1865" s="2">
        <v>1</v>
      </c>
      <c r="AA1865" s="2" t="s">
        <v>82</v>
      </c>
      <c r="AB1865" s="2">
        <v>1</v>
      </c>
      <c r="AC1865" s="2" t="s">
        <v>178</v>
      </c>
      <c r="AD1865" s="3">
        <v>40302</v>
      </c>
      <c r="AE1865" s="4">
        <v>0.47569444444444442</v>
      </c>
      <c r="AF1865" s="2"/>
      <c r="AG1865" s="2"/>
      <c r="AH1865" s="2">
        <v>2</v>
      </c>
      <c r="AI1865" s="2" t="s">
        <v>84</v>
      </c>
      <c r="AJ1865" s="2">
        <v>9</v>
      </c>
      <c r="AK1865" s="2" t="s">
        <v>103</v>
      </c>
      <c r="AL1865" s="2">
        <v>14</v>
      </c>
      <c r="AM1865" s="2" t="s">
        <v>216</v>
      </c>
      <c r="AN1865" s="2"/>
      <c r="AO1865" s="2" t="s">
        <v>179</v>
      </c>
      <c r="AP1865" s="2">
        <v>11</v>
      </c>
      <c r="AQ1865" s="2" t="s">
        <v>82</v>
      </c>
      <c r="AR1865" s="2"/>
      <c r="AS1865" s="2"/>
      <c r="AT1865" s="2" t="s">
        <v>6567</v>
      </c>
      <c r="AU1865" s="2"/>
      <c r="AV1865" s="2">
        <v>1</v>
      </c>
      <c r="AW1865" s="2"/>
      <c r="AX1865" s="2"/>
      <c r="AY1865" s="2">
        <v>41</v>
      </c>
      <c r="AZ1865" s="2" t="s">
        <v>82</v>
      </c>
      <c r="BA1865" s="2">
        <v>41</v>
      </c>
      <c r="BB1865" s="2" t="s">
        <v>82</v>
      </c>
      <c r="BC1865" s="2">
        <v>41</v>
      </c>
      <c r="BD1865" s="2" t="s">
        <v>82</v>
      </c>
      <c r="BE1865" s="2">
        <v>23</v>
      </c>
      <c r="BF1865" s="2" t="s">
        <v>183</v>
      </c>
      <c r="BG1865" s="2" t="s">
        <v>184</v>
      </c>
      <c r="BH1865" s="2"/>
      <c r="BI1865" s="4">
        <v>0.53125</v>
      </c>
      <c r="BJ1865" s="2">
        <v>13</v>
      </c>
      <c r="BK1865" s="2" t="s">
        <v>91</v>
      </c>
      <c r="BL1865" s="2" t="s">
        <v>185</v>
      </c>
      <c r="BM1865" s="2">
        <v>241</v>
      </c>
      <c r="BN1865" s="2" t="s">
        <v>82</v>
      </c>
      <c r="BO1865" s="2"/>
      <c r="BP1865" s="2">
        <v>73</v>
      </c>
      <c r="BQ1865" s="2" t="s">
        <v>186</v>
      </c>
      <c r="BR1865" s="2" t="s">
        <v>187</v>
      </c>
      <c r="BS1865" s="3">
        <v>40303</v>
      </c>
      <c r="BT1865" s="4">
        <v>0.15725694444444446</v>
      </c>
    </row>
    <row r="1866" spans="1:72" x14ac:dyDescent="0.25">
      <c r="A1866" s="2">
        <v>2693</v>
      </c>
      <c r="B1866" s="2">
        <v>2010</v>
      </c>
      <c r="C1866" s="2" t="s">
        <v>171</v>
      </c>
      <c r="D1866" s="2" t="s">
        <v>122</v>
      </c>
      <c r="E1866" s="2" t="s">
        <v>6568</v>
      </c>
      <c r="F1866" s="2">
        <v>402</v>
      </c>
      <c r="G1866" s="2" t="s">
        <v>6564</v>
      </c>
      <c r="H1866" s="2">
        <v>4</v>
      </c>
      <c r="I1866" s="2" t="s">
        <v>173</v>
      </c>
      <c r="J1866" s="2">
        <v>241</v>
      </c>
      <c r="K1866" s="2" t="s">
        <v>174</v>
      </c>
      <c r="L1866" s="2" t="s">
        <v>175</v>
      </c>
      <c r="M1866" s="3">
        <v>40303</v>
      </c>
      <c r="N1866" s="2" t="s">
        <v>176</v>
      </c>
      <c r="O1866" s="2"/>
      <c r="P1866" s="2"/>
      <c r="Q1866" s="2" t="str">
        <f>"245-E/10"</f>
        <v>245-E/10</v>
      </c>
      <c r="R1866" s="2" t="s">
        <v>391</v>
      </c>
      <c r="S1866" s="2"/>
      <c r="T1866" s="2">
        <v>1</v>
      </c>
      <c r="U1866" s="2" t="s">
        <v>79</v>
      </c>
      <c r="V1866" s="2">
        <v>1</v>
      </c>
      <c r="W1866" s="2" t="s">
        <v>80</v>
      </c>
      <c r="X1866" s="2">
        <v>1</v>
      </c>
      <c r="Y1866" s="2" t="s">
        <v>81</v>
      </c>
      <c r="Z1866" s="2">
        <v>10</v>
      </c>
      <c r="AA1866" s="2" t="s">
        <v>236</v>
      </c>
      <c r="AB1866" s="2">
        <v>1</v>
      </c>
      <c r="AC1866" s="2" t="s">
        <v>178</v>
      </c>
      <c r="AD1866" s="3">
        <v>40302</v>
      </c>
      <c r="AE1866" s="4">
        <v>0.8125</v>
      </c>
      <c r="AF1866" s="2"/>
      <c r="AG1866" s="2"/>
      <c r="AH1866" s="2">
        <v>2</v>
      </c>
      <c r="AI1866" s="2" t="s">
        <v>84</v>
      </c>
      <c r="AJ1866" s="2">
        <v>9</v>
      </c>
      <c r="AK1866" s="2" t="s">
        <v>103</v>
      </c>
      <c r="AL1866" s="2">
        <v>15</v>
      </c>
      <c r="AM1866" s="2" t="s">
        <v>104</v>
      </c>
      <c r="AN1866" s="2" t="s">
        <v>2369</v>
      </c>
      <c r="AO1866" s="2"/>
      <c r="AP1866" s="2">
        <v>11</v>
      </c>
      <c r="AQ1866" s="2" t="s">
        <v>82</v>
      </c>
      <c r="AR1866" s="2"/>
      <c r="AS1866" s="2"/>
      <c r="AT1866" s="2" t="s">
        <v>6569</v>
      </c>
      <c r="AU1866" s="2"/>
      <c r="AV1866" s="2">
        <v>1</v>
      </c>
      <c r="AW1866" s="2"/>
      <c r="AX1866" s="2"/>
      <c r="AY1866" s="2">
        <v>42</v>
      </c>
      <c r="AZ1866" s="2" t="s">
        <v>182</v>
      </c>
      <c r="BA1866" s="2">
        <v>41</v>
      </c>
      <c r="BB1866" s="2" t="s">
        <v>82</v>
      </c>
      <c r="BC1866" s="2">
        <v>70</v>
      </c>
      <c r="BD1866" s="2" t="s">
        <v>236</v>
      </c>
      <c r="BE1866" s="2">
        <v>13</v>
      </c>
      <c r="BF1866" s="2" t="s">
        <v>108</v>
      </c>
      <c r="BG1866" s="2" t="s">
        <v>1769</v>
      </c>
      <c r="BH1866" s="2"/>
      <c r="BI1866" s="4">
        <v>0.875</v>
      </c>
      <c r="BJ1866" s="2">
        <v>13</v>
      </c>
      <c r="BK1866" s="2" t="s">
        <v>91</v>
      </c>
      <c r="BL1866" s="2" t="s">
        <v>360</v>
      </c>
      <c r="BM1866" s="2">
        <v>241</v>
      </c>
      <c r="BN1866" s="2" t="s">
        <v>82</v>
      </c>
      <c r="BO1866" s="2"/>
      <c r="BP1866" s="2">
        <v>73</v>
      </c>
      <c r="BQ1866" s="2" t="s">
        <v>186</v>
      </c>
      <c r="BR1866" s="2" t="s">
        <v>187</v>
      </c>
      <c r="BS1866" s="3">
        <v>40303</v>
      </c>
      <c r="BT1866" s="4">
        <v>0.33680555555555558</v>
      </c>
    </row>
    <row r="1867" spans="1:72" x14ac:dyDescent="0.25">
      <c r="A1867" s="2">
        <v>2695</v>
      </c>
      <c r="B1867" s="2">
        <v>2010</v>
      </c>
      <c r="C1867" s="2" t="s">
        <v>171</v>
      </c>
      <c r="D1867" s="2" t="s">
        <v>73</v>
      </c>
      <c r="E1867" s="2"/>
      <c r="F1867" s="2">
        <v>393</v>
      </c>
      <c r="G1867" s="2" t="s">
        <v>3660</v>
      </c>
      <c r="H1867" s="2">
        <v>41</v>
      </c>
      <c r="I1867" s="2" t="s">
        <v>1906</v>
      </c>
      <c r="J1867" s="2">
        <v>2</v>
      </c>
      <c r="K1867" s="2" t="s">
        <v>3661</v>
      </c>
      <c r="L1867" s="2" t="s">
        <v>3662</v>
      </c>
      <c r="M1867" s="3">
        <v>40303</v>
      </c>
      <c r="N1867" s="2" t="s">
        <v>6570</v>
      </c>
      <c r="O1867" s="2" t="s">
        <v>6571</v>
      </c>
      <c r="P1867" s="2">
        <v>5844</v>
      </c>
      <c r="Q1867" s="2" t="str">
        <f>"233E/10"</f>
        <v>233E/10</v>
      </c>
      <c r="R1867" s="2"/>
      <c r="S1867" s="2"/>
      <c r="T1867" s="2">
        <v>1</v>
      </c>
      <c r="U1867" s="2" t="s">
        <v>79</v>
      </c>
      <c r="V1867" s="2">
        <v>3</v>
      </c>
      <c r="W1867" s="2" t="s">
        <v>225</v>
      </c>
      <c r="X1867" s="2">
        <v>6</v>
      </c>
      <c r="Y1867" s="2" t="s">
        <v>249</v>
      </c>
      <c r="Z1867" s="2">
        <v>1</v>
      </c>
      <c r="AA1867" s="2" t="s">
        <v>82</v>
      </c>
      <c r="AB1867" s="2">
        <v>9</v>
      </c>
      <c r="AC1867" s="2" t="s">
        <v>124</v>
      </c>
      <c r="AD1867" s="3">
        <v>40303</v>
      </c>
      <c r="AE1867" s="4">
        <v>0.5625</v>
      </c>
      <c r="AF1867" s="2"/>
      <c r="AG1867" s="2"/>
      <c r="AH1867" s="2">
        <v>2</v>
      </c>
      <c r="AI1867" s="2" t="s">
        <v>84</v>
      </c>
      <c r="AJ1867" s="2">
        <v>6</v>
      </c>
      <c r="AK1867" s="2" t="s">
        <v>453</v>
      </c>
      <c r="AL1867" s="2">
        <v>23</v>
      </c>
      <c r="AM1867" s="2" t="s">
        <v>251</v>
      </c>
      <c r="AN1867" s="2" t="s">
        <v>6572</v>
      </c>
      <c r="AO1867" s="2" t="s">
        <v>1226</v>
      </c>
      <c r="AP1867" s="2">
        <v>11</v>
      </c>
      <c r="AQ1867" s="2" t="s">
        <v>82</v>
      </c>
      <c r="AR1867" s="2"/>
      <c r="AS1867" s="2"/>
      <c r="AT1867" s="2" t="s">
        <v>6573</v>
      </c>
      <c r="AU1867" s="2"/>
      <c r="AV1867" s="2"/>
      <c r="AW1867" s="2"/>
      <c r="AX1867" s="2"/>
      <c r="AY1867" s="2">
        <v>42</v>
      </c>
      <c r="AZ1867" s="2" t="s">
        <v>182</v>
      </c>
      <c r="BA1867" s="2">
        <v>41</v>
      </c>
      <c r="BB1867" s="2" t="s">
        <v>82</v>
      </c>
      <c r="BC1867" s="2">
        <v>41</v>
      </c>
      <c r="BD1867" s="2" t="s">
        <v>82</v>
      </c>
      <c r="BE1867" s="2">
        <v>41</v>
      </c>
      <c r="BF1867" s="2" t="s">
        <v>82</v>
      </c>
      <c r="BG1867" s="2"/>
      <c r="BH1867" s="2"/>
      <c r="BI1867" s="2"/>
      <c r="BJ1867" s="2">
        <v>241</v>
      </c>
      <c r="BK1867" s="2" t="s">
        <v>82</v>
      </c>
      <c r="BL1867" s="2"/>
      <c r="BM1867" s="2">
        <v>241</v>
      </c>
      <c r="BN1867" s="2" t="s">
        <v>82</v>
      </c>
      <c r="BO1867" s="2"/>
      <c r="BP1867" s="2">
        <v>241</v>
      </c>
      <c r="BQ1867" s="2" t="s">
        <v>82</v>
      </c>
      <c r="BR1867" s="2"/>
      <c r="BS1867" s="3">
        <v>40303</v>
      </c>
      <c r="BT1867" s="4">
        <v>0.58092592592592596</v>
      </c>
    </row>
    <row r="1868" spans="1:72" x14ac:dyDescent="0.25">
      <c r="A1868" s="2">
        <v>2696</v>
      </c>
      <c r="B1868" s="2">
        <v>2010</v>
      </c>
      <c r="C1868" s="2" t="s">
        <v>147</v>
      </c>
      <c r="D1868" s="2" t="s">
        <v>73</v>
      </c>
      <c r="E1868" s="2"/>
      <c r="F1868" s="2">
        <v>1</v>
      </c>
      <c r="G1868" s="2" t="s">
        <v>82</v>
      </c>
      <c r="H1868" s="2">
        <v>1</v>
      </c>
      <c r="I1868" s="2" t="s">
        <v>82</v>
      </c>
      <c r="J1868" s="2">
        <v>1</v>
      </c>
      <c r="K1868" s="2" t="s">
        <v>107</v>
      </c>
      <c r="L1868" s="2" t="s">
        <v>107</v>
      </c>
      <c r="M1868" s="3">
        <v>40303</v>
      </c>
      <c r="N1868" s="2"/>
      <c r="O1868" s="2" t="s">
        <v>107</v>
      </c>
      <c r="P1868" s="2" t="s">
        <v>107</v>
      </c>
      <c r="Q1868" s="2" t="str">
        <f>"S/D"</f>
        <v>S/D</v>
      </c>
      <c r="R1868" s="2" t="s">
        <v>107</v>
      </c>
      <c r="S1868" s="2" t="s">
        <v>107</v>
      </c>
      <c r="T1868" s="2">
        <v>2</v>
      </c>
      <c r="U1868" s="2" t="s">
        <v>123</v>
      </c>
      <c r="V1868" s="2">
        <v>1</v>
      </c>
      <c r="W1868" s="2" t="s">
        <v>80</v>
      </c>
      <c r="X1868" s="2">
        <v>12</v>
      </c>
      <c r="Y1868" s="2" t="s">
        <v>148</v>
      </c>
      <c r="Z1868" s="2">
        <v>1</v>
      </c>
      <c r="AA1868" s="2" t="s">
        <v>82</v>
      </c>
      <c r="AB1868" s="2">
        <v>9</v>
      </c>
      <c r="AC1868" s="2" t="s">
        <v>124</v>
      </c>
      <c r="AD1868" s="3">
        <v>40302</v>
      </c>
      <c r="AE1868" s="2"/>
      <c r="AF1868" s="3">
        <v>40303</v>
      </c>
      <c r="AG1868" s="4">
        <v>0.56944444444444442</v>
      </c>
      <c r="AH1868" s="2">
        <v>3</v>
      </c>
      <c r="AI1868" s="2" t="s">
        <v>214</v>
      </c>
      <c r="AJ1868" s="2">
        <v>24</v>
      </c>
      <c r="AK1868" s="2" t="s">
        <v>215</v>
      </c>
      <c r="AL1868" s="2">
        <v>19</v>
      </c>
      <c r="AM1868" s="2" t="s">
        <v>107</v>
      </c>
      <c r="AN1868" s="2" t="s">
        <v>107</v>
      </c>
      <c r="AO1868" s="2" t="s">
        <v>107</v>
      </c>
      <c r="AP1868" s="2">
        <v>11</v>
      </c>
      <c r="AQ1868" s="2" t="s">
        <v>82</v>
      </c>
      <c r="AR1868" s="2" t="s">
        <v>82</v>
      </c>
      <c r="AS1868" s="2" t="s">
        <v>82</v>
      </c>
      <c r="AT1868" s="2" t="s">
        <v>6574</v>
      </c>
      <c r="AU1868" s="2"/>
      <c r="AV1868" s="2"/>
      <c r="AW1868" s="2"/>
      <c r="AX1868" s="2"/>
      <c r="AY1868" s="2">
        <v>41</v>
      </c>
      <c r="AZ1868" s="2" t="s">
        <v>82</v>
      </c>
      <c r="BA1868" s="2">
        <v>41</v>
      </c>
      <c r="BB1868" s="2" t="s">
        <v>82</v>
      </c>
      <c r="BC1868" s="2">
        <v>41</v>
      </c>
      <c r="BD1868" s="2" t="s">
        <v>82</v>
      </c>
      <c r="BE1868" s="2">
        <v>41</v>
      </c>
      <c r="BF1868" s="2" t="s">
        <v>82</v>
      </c>
      <c r="BG1868" s="2" t="s">
        <v>82</v>
      </c>
      <c r="BH1868" s="2"/>
      <c r="BI1868" s="2"/>
      <c r="BJ1868" s="2">
        <v>241</v>
      </c>
      <c r="BK1868" s="2" t="s">
        <v>82</v>
      </c>
      <c r="BL1868" s="2" t="s">
        <v>82</v>
      </c>
      <c r="BM1868" s="2">
        <v>241</v>
      </c>
      <c r="BN1868" s="2" t="s">
        <v>82</v>
      </c>
      <c r="BO1868" s="2" t="s">
        <v>82</v>
      </c>
      <c r="BP1868" s="2">
        <v>241</v>
      </c>
      <c r="BQ1868" s="2" t="s">
        <v>82</v>
      </c>
      <c r="BR1868" s="2"/>
      <c r="BS1868" s="3">
        <v>40303</v>
      </c>
      <c r="BT1868" s="4">
        <v>0.59097222222222223</v>
      </c>
    </row>
    <row r="1869" spans="1:72" x14ac:dyDescent="0.25">
      <c r="A1869" s="2">
        <v>2700</v>
      </c>
      <c r="B1869" s="2">
        <v>2010</v>
      </c>
      <c r="C1869" s="2" t="s">
        <v>4543</v>
      </c>
      <c r="D1869" s="2" t="s">
        <v>122</v>
      </c>
      <c r="E1869" s="2"/>
      <c r="F1869" s="2">
        <v>1</v>
      </c>
      <c r="G1869" s="2" t="s">
        <v>82</v>
      </c>
      <c r="H1869" s="2">
        <v>1</v>
      </c>
      <c r="I1869" s="2" t="s">
        <v>82</v>
      </c>
      <c r="J1869" s="2">
        <v>1</v>
      </c>
      <c r="K1869" s="2" t="s">
        <v>107</v>
      </c>
      <c r="L1869" s="2" t="s">
        <v>107</v>
      </c>
      <c r="M1869" s="3">
        <v>40303</v>
      </c>
      <c r="N1869" s="2"/>
      <c r="O1869" s="2"/>
      <c r="P1869" s="2"/>
      <c r="Q1869" s="2" t="str">
        <f>""</f>
        <v/>
      </c>
      <c r="R1869" s="2"/>
      <c r="S1869" s="2"/>
      <c r="T1869" s="2">
        <v>2</v>
      </c>
      <c r="U1869" s="2" t="s">
        <v>123</v>
      </c>
      <c r="V1869" s="2">
        <v>1</v>
      </c>
      <c r="W1869" s="2" t="s">
        <v>80</v>
      </c>
      <c r="X1869" s="2">
        <v>4</v>
      </c>
      <c r="Y1869" s="2" t="s">
        <v>463</v>
      </c>
      <c r="Z1869" s="2">
        <v>1</v>
      </c>
      <c r="AA1869" s="2" t="s">
        <v>82</v>
      </c>
      <c r="AB1869" s="2">
        <v>9</v>
      </c>
      <c r="AC1869" s="2" t="s">
        <v>124</v>
      </c>
      <c r="AD1869" s="3">
        <v>40302</v>
      </c>
      <c r="AE1869" s="4">
        <v>5.2083333333333336E-2</v>
      </c>
      <c r="AF1869" s="2"/>
      <c r="AG1869" s="2"/>
      <c r="AH1869" s="2">
        <v>6</v>
      </c>
      <c r="AI1869" s="2" t="s">
        <v>197</v>
      </c>
      <c r="AJ1869" s="2">
        <v>58</v>
      </c>
      <c r="AK1869" s="2" t="s">
        <v>406</v>
      </c>
      <c r="AL1869" s="2">
        <v>19</v>
      </c>
      <c r="AM1869" s="2" t="s">
        <v>107</v>
      </c>
      <c r="AN1869" s="2" t="s">
        <v>6575</v>
      </c>
      <c r="AO1869" s="2" t="s">
        <v>515</v>
      </c>
      <c r="AP1869" s="2">
        <v>11</v>
      </c>
      <c r="AQ1869" s="2" t="s">
        <v>82</v>
      </c>
      <c r="AR1869" s="2"/>
      <c r="AS1869" s="2"/>
      <c r="AT1869" s="2" t="s">
        <v>6576</v>
      </c>
      <c r="AU1869" s="2"/>
      <c r="AV1869" s="2"/>
      <c r="AW1869" s="2"/>
      <c r="AX1869" s="2"/>
      <c r="AY1869" s="2">
        <v>41</v>
      </c>
      <c r="AZ1869" s="2" t="s">
        <v>82</v>
      </c>
      <c r="BA1869" s="2">
        <v>41</v>
      </c>
      <c r="BB1869" s="2" t="s">
        <v>82</v>
      </c>
      <c r="BC1869" s="2">
        <v>41</v>
      </c>
      <c r="BD1869" s="2" t="s">
        <v>82</v>
      </c>
      <c r="BE1869" s="2">
        <v>41</v>
      </c>
      <c r="BF1869" s="2" t="s">
        <v>82</v>
      </c>
      <c r="BG1869" s="2"/>
      <c r="BH1869" s="2"/>
      <c r="BI1869" s="2"/>
      <c r="BJ1869" s="2">
        <v>241</v>
      </c>
      <c r="BK1869" s="2" t="s">
        <v>82</v>
      </c>
      <c r="BL1869" s="2"/>
      <c r="BM1869" s="2">
        <v>241</v>
      </c>
      <c r="BN1869" s="2" t="s">
        <v>82</v>
      </c>
      <c r="BO1869" s="2"/>
      <c r="BP1869" s="2">
        <v>241</v>
      </c>
      <c r="BQ1869" s="2" t="s">
        <v>82</v>
      </c>
      <c r="BR1869" s="2"/>
      <c r="BS1869" s="3">
        <v>40303</v>
      </c>
      <c r="BT1869" s="4">
        <v>0.61380787037037032</v>
      </c>
    </row>
    <row r="1870" spans="1:72" x14ac:dyDescent="0.25">
      <c r="A1870" s="2">
        <v>2701</v>
      </c>
      <c r="B1870" s="2">
        <v>2010</v>
      </c>
      <c r="C1870" s="2" t="s">
        <v>4543</v>
      </c>
      <c r="D1870" s="2" t="s">
        <v>122</v>
      </c>
      <c r="E1870" s="2"/>
      <c r="F1870" s="2">
        <v>1</v>
      </c>
      <c r="G1870" s="2" t="s">
        <v>82</v>
      </c>
      <c r="H1870" s="2">
        <v>1</v>
      </c>
      <c r="I1870" s="2" t="s">
        <v>82</v>
      </c>
      <c r="J1870" s="2">
        <v>1</v>
      </c>
      <c r="K1870" s="2" t="s">
        <v>107</v>
      </c>
      <c r="L1870" s="2" t="s">
        <v>107</v>
      </c>
      <c r="M1870" s="3">
        <v>40303</v>
      </c>
      <c r="N1870" s="2"/>
      <c r="O1870" s="2"/>
      <c r="P1870" s="2"/>
      <c r="Q1870" s="2" t="str">
        <f>""</f>
        <v/>
      </c>
      <c r="R1870" s="2"/>
      <c r="S1870" s="2"/>
      <c r="T1870" s="2">
        <v>2</v>
      </c>
      <c r="U1870" s="2" t="s">
        <v>123</v>
      </c>
      <c r="V1870" s="2">
        <v>1</v>
      </c>
      <c r="W1870" s="2" t="s">
        <v>80</v>
      </c>
      <c r="X1870" s="2">
        <v>1</v>
      </c>
      <c r="Y1870" s="2" t="s">
        <v>81</v>
      </c>
      <c r="Z1870" s="2">
        <v>10</v>
      </c>
      <c r="AA1870" s="2" t="s">
        <v>236</v>
      </c>
      <c r="AB1870" s="2">
        <v>9</v>
      </c>
      <c r="AC1870" s="2" t="s">
        <v>124</v>
      </c>
      <c r="AD1870" s="3">
        <v>40303</v>
      </c>
      <c r="AE1870" s="4">
        <v>0.53125</v>
      </c>
      <c r="AF1870" s="2"/>
      <c r="AG1870" s="2"/>
      <c r="AH1870" s="2">
        <v>2</v>
      </c>
      <c r="AI1870" s="2" t="s">
        <v>84</v>
      </c>
      <c r="AJ1870" s="2">
        <v>12</v>
      </c>
      <c r="AK1870" s="2" t="s">
        <v>85</v>
      </c>
      <c r="AL1870" s="2">
        <v>24</v>
      </c>
      <c r="AM1870" s="2" t="s">
        <v>1540</v>
      </c>
      <c r="AN1870" s="2" t="s">
        <v>6577</v>
      </c>
      <c r="AO1870" s="2" t="s">
        <v>6578</v>
      </c>
      <c r="AP1870" s="2">
        <v>11</v>
      </c>
      <c r="AQ1870" s="2" t="s">
        <v>82</v>
      </c>
      <c r="AR1870" s="2"/>
      <c r="AS1870" s="2"/>
      <c r="AT1870" s="2" t="s">
        <v>6579</v>
      </c>
      <c r="AU1870" s="2"/>
      <c r="AV1870" s="2"/>
      <c r="AW1870" s="2"/>
      <c r="AX1870" s="2"/>
      <c r="AY1870" s="2">
        <v>41</v>
      </c>
      <c r="AZ1870" s="2" t="s">
        <v>82</v>
      </c>
      <c r="BA1870" s="2">
        <v>41</v>
      </c>
      <c r="BB1870" s="2" t="s">
        <v>82</v>
      </c>
      <c r="BC1870" s="2">
        <v>70</v>
      </c>
      <c r="BD1870" s="2" t="s">
        <v>236</v>
      </c>
      <c r="BE1870" s="2">
        <v>41</v>
      </c>
      <c r="BF1870" s="2" t="s">
        <v>82</v>
      </c>
      <c r="BG1870" s="2"/>
      <c r="BH1870" s="2"/>
      <c r="BI1870" s="2"/>
      <c r="BJ1870" s="2">
        <v>241</v>
      </c>
      <c r="BK1870" s="2" t="s">
        <v>82</v>
      </c>
      <c r="BL1870" s="2"/>
      <c r="BM1870" s="2">
        <v>241</v>
      </c>
      <c r="BN1870" s="2" t="s">
        <v>82</v>
      </c>
      <c r="BO1870" s="2"/>
      <c r="BP1870" s="2">
        <v>241</v>
      </c>
      <c r="BQ1870" s="2" t="s">
        <v>82</v>
      </c>
      <c r="BR1870" s="2"/>
      <c r="BS1870" s="3">
        <v>40303</v>
      </c>
      <c r="BT1870" s="4">
        <v>0.64059027777777777</v>
      </c>
    </row>
    <row r="1871" spans="1:72" x14ac:dyDescent="0.25">
      <c r="A1871" s="2">
        <v>2703</v>
      </c>
      <c r="B1871" s="2">
        <v>2010</v>
      </c>
      <c r="C1871" s="2" t="s">
        <v>121</v>
      </c>
      <c r="D1871" s="2" t="s">
        <v>122</v>
      </c>
      <c r="E1871" s="2"/>
      <c r="F1871" s="2">
        <v>1</v>
      </c>
      <c r="G1871" s="2" t="s">
        <v>82</v>
      </c>
      <c r="H1871" s="2">
        <v>1</v>
      </c>
      <c r="I1871" s="2" t="s">
        <v>82</v>
      </c>
      <c r="J1871" s="2">
        <v>1</v>
      </c>
      <c r="K1871" s="2" t="s">
        <v>107</v>
      </c>
      <c r="L1871" s="2" t="s">
        <v>107</v>
      </c>
      <c r="M1871" s="3">
        <v>40303</v>
      </c>
      <c r="N1871" s="2"/>
      <c r="O1871" s="2"/>
      <c r="P1871" s="2"/>
      <c r="Q1871" s="2" t="str">
        <f>""</f>
        <v/>
      </c>
      <c r="R1871" s="2"/>
      <c r="S1871" s="2"/>
      <c r="T1871" s="2">
        <v>2</v>
      </c>
      <c r="U1871" s="2" t="s">
        <v>123</v>
      </c>
      <c r="V1871" s="2">
        <v>1</v>
      </c>
      <c r="W1871" s="2" t="s">
        <v>80</v>
      </c>
      <c r="X1871" s="2">
        <v>5</v>
      </c>
      <c r="Y1871" s="2" t="s">
        <v>82</v>
      </c>
      <c r="Z1871" s="2">
        <v>1</v>
      </c>
      <c r="AA1871" s="2" t="s">
        <v>82</v>
      </c>
      <c r="AB1871" s="2">
        <v>9</v>
      </c>
      <c r="AC1871" s="2" t="s">
        <v>124</v>
      </c>
      <c r="AD1871" s="3">
        <v>40303</v>
      </c>
      <c r="AE1871" s="4">
        <v>0.6020833333333333</v>
      </c>
      <c r="AF1871" s="2"/>
      <c r="AG1871" s="2"/>
      <c r="AH1871" s="2">
        <v>3</v>
      </c>
      <c r="AI1871" s="2" t="s">
        <v>214</v>
      </c>
      <c r="AJ1871" s="2">
        <v>23</v>
      </c>
      <c r="AK1871" s="2" t="s">
        <v>851</v>
      </c>
      <c r="AL1871" s="2">
        <v>10</v>
      </c>
      <c r="AM1871" s="2" t="s">
        <v>200</v>
      </c>
      <c r="AN1871" s="2" t="s">
        <v>230</v>
      </c>
      <c r="AO1871" s="2" t="s">
        <v>82</v>
      </c>
      <c r="AP1871" s="2">
        <v>11</v>
      </c>
      <c r="AQ1871" s="2" t="s">
        <v>82</v>
      </c>
      <c r="AR1871" s="2"/>
      <c r="AS1871" s="2"/>
      <c r="AT1871" s="2" t="s">
        <v>6580</v>
      </c>
      <c r="AU1871" s="2"/>
      <c r="AV1871" s="2"/>
      <c r="AW1871" s="2"/>
      <c r="AX1871" s="2"/>
      <c r="AY1871" s="2">
        <v>1</v>
      </c>
      <c r="AZ1871" s="2" t="s">
        <v>107</v>
      </c>
      <c r="BA1871" s="2">
        <v>1</v>
      </c>
      <c r="BB1871" s="2" t="s">
        <v>107</v>
      </c>
      <c r="BC1871" s="2">
        <v>1</v>
      </c>
      <c r="BD1871" s="2" t="s">
        <v>107</v>
      </c>
      <c r="BE1871" s="2">
        <v>42</v>
      </c>
      <c r="BF1871" s="2" t="s">
        <v>182</v>
      </c>
      <c r="BG1871" s="2" t="s">
        <v>6581</v>
      </c>
      <c r="BH1871" s="4">
        <v>0.6020833333333333</v>
      </c>
      <c r="BI1871" s="4">
        <v>0.63888888888888895</v>
      </c>
      <c r="BJ1871" s="2">
        <v>13</v>
      </c>
      <c r="BK1871" s="2" t="s">
        <v>91</v>
      </c>
      <c r="BL1871" s="2" t="s">
        <v>6582</v>
      </c>
      <c r="BM1871" s="2">
        <v>242</v>
      </c>
      <c r="BN1871" s="2" t="s">
        <v>107</v>
      </c>
      <c r="BO1871" s="2" t="s">
        <v>82</v>
      </c>
      <c r="BP1871" s="2">
        <v>13</v>
      </c>
      <c r="BQ1871" s="2" t="s">
        <v>91</v>
      </c>
      <c r="BR1871" s="2" t="s">
        <v>445</v>
      </c>
      <c r="BS1871" s="3">
        <v>40303</v>
      </c>
      <c r="BT1871" s="4">
        <v>0.64332175925925927</v>
      </c>
    </row>
    <row r="1872" spans="1:72" x14ac:dyDescent="0.25">
      <c r="A1872" s="2">
        <v>2704</v>
      </c>
      <c r="B1872" s="2">
        <v>2010</v>
      </c>
      <c r="C1872" s="2" t="s">
        <v>255</v>
      </c>
      <c r="D1872" s="2" t="s">
        <v>73</v>
      </c>
      <c r="E1872" s="2"/>
      <c r="F1872" s="2">
        <v>2</v>
      </c>
      <c r="G1872" s="2" t="s">
        <v>113</v>
      </c>
      <c r="H1872" s="2">
        <v>1</v>
      </c>
      <c r="I1872" s="2" t="s">
        <v>82</v>
      </c>
      <c r="J1872" s="2">
        <v>300</v>
      </c>
      <c r="K1872" s="2" t="s">
        <v>114</v>
      </c>
      <c r="L1872" s="2" t="s">
        <v>115</v>
      </c>
      <c r="M1872" s="3">
        <v>40303</v>
      </c>
      <c r="N1872" s="2" t="s">
        <v>107</v>
      </c>
      <c r="O1872" s="2" t="s">
        <v>107</v>
      </c>
      <c r="P1872" s="2" t="s">
        <v>107</v>
      </c>
      <c r="Q1872" s="2" t="str">
        <f>"244-E/10"</f>
        <v>244-E/10</v>
      </c>
      <c r="R1872" s="2" t="s">
        <v>107</v>
      </c>
      <c r="S1872" s="2" t="s">
        <v>6583</v>
      </c>
      <c r="T1872" s="2">
        <v>1</v>
      </c>
      <c r="U1872" s="2" t="s">
        <v>79</v>
      </c>
      <c r="V1872" s="2">
        <v>1</v>
      </c>
      <c r="W1872" s="2" t="s">
        <v>80</v>
      </c>
      <c r="X1872" s="2">
        <v>12</v>
      </c>
      <c r="Y1872" s="2" t="s">
        <v>148</v>
      </c>
      <c r="Z1872" s="2">
        <v>3</v>
      </c>
      <c r="AA1872" s="2" t="s">
        <v>257</v>
      </c>
      <c r="AB1872" s="2">
        <v>9</v>
      </c>
      <c r="AC1872" s="2" t="s">
        <v>124</v>
      </c>
      <c r="AD1872" s="3">
        <v>40302</v>
      </c>
      <c r="AE1872" s="4">
        <v>0.59722222222222221</v>
      </c>
      <c r="AF1872" s="2"/>
      <c r="AG1872" s="2"/>
      <c r="AH1872" s="2">
        <v>2</v>
      </c>
      <c r="AI1872" s="2" t="s">
        <v>84</v>
      </c>
      <c r="AJ1872" s="2">
        <v>9</v>
      </c>
      <c r="AK1872" s="2" t="s">
        <v>103</v>
      </c>
      <c r="AL1872" s="2">
        <v>21</v>
      </c>
      <c r="AM1872" s="2" t="s">
        <v>1311</v>
      </c>
      <c r="AN1872" s="2" t="s">
        <v>6584</v>
      </c>
      <c r="AO1872" s="2" t="s">
        <v>6585</v>
      </c>
      <c r="AP1872" s="2">
        <v>11</v>
      </c>
      <c r="AQ1872" s="2" t="s">
        <v>82</v>
      </c>
      <c r="AR1872" s="2"/>
      <c r="AS1872" s="2"/>
      <c r="AT1872" s="2" t="s">
        <v>6586</v>
      </c>
      <c r="AU1872" s="2"/>
      <c r="AV1872" s="2"/>
      <c r="AW1872" s="2"/>
      <c r="AX1872" s="2"/>
      <c r="AY1872" s="2">
        <v>41</v>
      </c>
      <c r="AZ1872" s="2" t="s">
        <v>82</v>
      </c>
      <c r="BA1872" s="2">
        <v>41</v>
      </c>
      <c r="BB1872" s="2" t="s">
        <v>82</v>
      </c>
      <c r="BC1872" s="2">
        <v>41</v>
      </c>
      <c r="BD1872" s="2" t="s">
        <v>82</v>
      </c>
      <c r="BE1872" s="2">
        <v>41</v>
      </c>
      <c r="BF1872" s="2" t="s">
        <v>82</v>
      </c>
      <c r="BG1872" s="2"/>
      <c r="BH1872" s="2"/>
      <c r="BI1872" s="2"/>
      <c r="BJ1872" s="2">
        <v>241</v>
      </c>
      <c r="BK1872" s="2" t="s">
        <v>82</v>
      </c>
      <c r="BL1872" s="2"/>
      <c r="BM1872" s="2">
        <v>241</v>
      </c>
      <c r="BN1872" s="2" t="s">
        <v>82</v>
      </c>
      <c r="BO1872" s="2"/>
      <c r="BP1872" s="2">
        <v>241</v>
      </c>
      <c r="BQ1872" s="2" t="s">
        <v>82</v>
      </c>
      <c r="BR1872" s="2"/>
      <c r="BS1872" s="3">
        <v>40303</v>
      </c>
      <c r="BT1872" s="4">
        <v>0.64678240740740744</v>
      </c>
    </row>
    <row r="1873" spans="1:72" x14ac:dyDescent="0.25">
      <c r="A1873" s="2">
        <v>2706</v>
      </c>
      <c r="B1873" s="2">
        <v>2010</v>
      </c>
      <c r="C1873" s="2" t="s">
        <v>377</v>
      </c>
      <c r="D1873" s="2" t="s">
        <v>73</v>
      </c>
      <c r="E1873" s="2"/>
      <c r="F1873" s="2">
        <v>426</v>
      </c>
      <c r="G1873" s="2" t="s">
        <v>378</v>
      </c>
      <c r="H1873" s="2">
        <v>22</v>
      </c>
      <c r="I1873" s="2" t="s">
        <v>75</v>
      </c>
      <c r="J1873" s="2">
        <v>311</v>
      </c>
      <c r="K1873" s="2" t="s">
        <v>379</v>
      </c>
      <c r="L1873" s="2" t="s">
        <v>380</v>
      </c>
      <c r="M1873" s="3">
        <v>40303</v>
      </c>
      <c r="N1873" s="2"/>
      <c r="O1873" s="2"/>
      <c r="P1873" s="2"/>
      <c r="Q1873" s="2" t="str">
        <f>"067-C/10"</f>
        <v>067-C/10</v>
      </c>
      <c r="R1873" s="2"/>
      <c r="S1873" s="2" t="s">
        <v>3458</v>
      </c>
      <c r="T1873" s="2">
        <v>1</v>
      </c>
      <c r="U1873" s="2" t="s">
        <v>79</v>
      </c>
      <c r="V1873" s="2">
        <v>1</v>
      </c>
      <c r="W1873" s="2" t="s">
        <v>80</v>
      </c>
      <c r="X1873" s="2">
        <v>1</v>
      </c>
      <c r="Y1873" s="2" t="s">
        <v>81</v>
      </c>
      <c r="Z1873" s="2">
        <v>1</v>
      </c>
      <c r="AA1873" s="2" t="s">
        <v>82</v>
      </c>
      <c r="AB1873" s="2">
        <v>9</v>
      </c>
      <c r="AC1873" s="2" t="s">
        <v>124</v>
      </c>
      <c r="AD1873" s="3">
        <v>40303</v>
      </c>
      <c r="AE1873" s="4">
        <v>0.66319444444444442</v>
      </c>
      <c r="AF1873" s="2"/>
      <c r="AG1873" s="2"/>
      <c r="AH1873" s="2">
        <v>2</v>
      </c>
      <c r="AI1873" s="2" t="s">
        <v>84</v>
      </c>
      <c r="AJ1873" s="2">
        <v>9</v>
      </c>
      <c r="AK1873" s="2" t="s">
        <v>103</v>
      </c>
      <c r="AL1873" s="2">
        <v>29</v>
      </c>
      <c r="AM1873" s="2" t="s">
        <v>5416</v>
      </c>
      <c r="AN1873" s="2"/>
      <c r="AO1873" s="2" t="s">
        <v>6587</v>
      </c>
      <c r="AP1873" s="2">
        <v>11</v>
      </c>
      <c r="AQ1873" s="2" t="s">
        <v>82</v>
      </c>
      <c r="AR1873" s="2"/>
      <c r="AS1873" s="2"/>
      <c r="AT1873" s="2" t="s">
        <v>6588</v>
      </c>
      <c r="AU1873" s="2"/>
      <c r="AV1873" s="2"/>
      <c r="AW1873" s="2"/>
      <c r="AX1873" s="2"/>
      <c r="AY1873" s="2">
        <v>41</v>
      </c>
      <c r="AZ1873" s="2" t="s">
        <v>82</v>
      </c>
      <c r="BA1873" s="2">
        <v>41</v>
      </c>
      <c r="BB1873" s="2" t="s">
        <v>82</v>
      </c>
      <c r="BC1873" s="2">
        <v>41</v>
      </c>
      <c r="BD1873" s="2" t="s">
        <v>82</v>
      </c>
      <c r="BE1873" s="2">
        <v>41</v>
      </c>
      <c r="BF1873" s="2" t="s">
        <v>82</v>
      </c>
      <c r="BG1873" s="2"/>
      <c r="BH1873" s="2"/>
      <c r="BI1873" s="2"/>
      <c r="BJ1873" s="2">
        <v>241</v>
      </c>
      <c r="BK1873" s="2" t="s">
        <v>82</v>
      </c>
      <c r="BL1873" s="2"/>
      <c r="BM1873" s="2">
        <v>241</v>
      </c>
      <c r="BN1873" s="2" t="s">
        <v>82</v>
      </c>
      <c r="BO1873" s="2"/>
      <c r="BP1873" s="2">
        <v>241</v>
      </c>
      <c r="BQ1873" s="2" t="s">
        <v>82</v>
      </c>
      <c r="BR1873" s="2"/>
      <c r="BS1873" s="3">
        <v>40303</v>
      </c>
      <c r="BT1873" s="4">
        <v>0.88989583333333344</v>
      </c>
    </row>
    <row r="1874" spans="1:72" x14ac:dyDescent="0.25">
      <c r="A1874" s="2">
        <v>2707</v>
      </c>
      <c r="B1874" s="2">
        <v>2010</v>
      </c>
      <c r="C1874" s="2" t="s">
        <v>121</v>
      </c>
      <c r="D1874" s="2" t="s">
        <v>122</v>
      </c>
      <c r="E1874" s="2"/>
      <c r="F1874" s="2">
        <v>1</v>
      </c>
      <c r="G1874" s="2" t="s">
        <v>82</v>
      </c>
      <c r="H1874" s="2">
        <v>1</v>
      </c>
      <c r="I1874" s="2" t="s">
        <v>82</v>
      </c>
      <c r="J1874" s="2">
        <v>1</v>
      </c>
      <c r="K1874" s="2" t="s">
        <v>107</v>
      </c>
      <c r="L1874" s="2" t="s">
        <v>107</v>
      </c>
      <c r="M1874" s="3">
        <v>40303</v>
      </c>
      <c r="N1874" s="2"/>
      <c r="O1874" s="2"/>
      <c r="P1874" s="2"/>
      <c r="Q1874" s="2" t="str">
        <f>""</f>
        <v/>
      </c>
      <c r="R1874" s="2"/>
      <c r="S1874" s="2"/>
      <c r="T1874" s="2">
        <v>2</v>
      </c>
      <c r="U1874" s="2" t="s">
        <v>123</v>
      </c>
      <c r="V1874" s="2">
        <v>1</v>
      </c>
      <c r="W1874" s="2" t="s">
        <v>80</v>
      </c>
      <c r="X1874" s="2">
        <v>1</v>
      </c>
      <c r="Y1874" s="2" t="s">
        <v>81</v>
      </c>
      <c r="Z1874" s="2">
        <v>4</v>
      </c>
      <c r="AA1874" s="2" t="s">
        <v>182</v>
      </c>
      <c r="AB1874" s="2">
        <v>9</v>
      </c>
      <c r="AC1874" s="2" t="s">
        <v>124</v>
      </c>
      <c r="AD1874" s="3">
        <v>40303</v>
      </c>
      <c r="AE1874" s="4">
        <v>0.58333333333333337</v>
      </c>
      <c r="AF1874" s="2"/>
      <c r="AG1874" s="2"/>
      <c r="AH1874" s="2">
        <v>4</v>
      </c>
      <c r="AI1874" s="2" t="s">
        <v>125</v>
      </c>
      <c r="AJ1874" s="2">
        <v>33</v>
      </c>
      <c r="AK1874" s="2" t="s">
        <v>126</v>
      </c>
      <c r="AL1874" s="2">
        <v>10</v>
      </c>
      <c r="AM1874" s="2" t="s">
        <v>200</v>
      </c>
      <c r="AN1874" s="2"/>
      <c r="AO1874" s="2"/>
      <c r="AP1874" s="2">
        <v>11</v>
      </c>
      <c r="AQ1874" s="2" t="s">
        <v>82</v>
      </c>
      <c r="AR1874" s="2"/>
      <c r="AS1874" s="2"/>
      <c r="AT1874" s="2" t="s">
        <v>6589</v>
      </c>
      <c r="AU1874" s="2"/>
      <c r="AV1874" s="2"/>
      <c r="AW1874" s="2"/>
      <c r="AX1874" s="2"/>
      <c r="AY1874" s="2">
        <v>1</v>
      </c>
      <c r="AZ1874" s="2" t="s">
        <v>107</v>
      </c>
      <c r="BA1874" s="2">
        <v>1</v>
      </c>
      <c r="BB1874" s="2" t="s">
        <v>107</v>
      </c>
      <c r="BC1874" s="2">
        <v>1</v>
      </c>
      <c r="BD1874" s="2" t="s">
        <v>107</v>
      </c>
      <c r="BE1874" s="2">
        <v>42</v>
      </c>
      <c r="BF1874" s="2" t="s">
        <v>182</v>
      </c>
      <c r="BG1874" s="2"/>
      <c r="BH1874" s="4">
        <v>0.53125</v>
      </c>
      <c r="BI1874" s="4">
        <v>0.56944444444444442</v>
      </c>
      <c r="BJ1874" s="2">
        <v>13</v>
      </c>
      <c r="BK1874" s="2" t="s">
        <v>91</v>
      </c>
      <c r="BL1874" s="2" t="s">
        <v>185</v>
      </c>
      <c r="BM1874" s="2">
        <v>242</v>
      </c>
      <c r="BN1874" s="2" t="s">
        <v>107</v>
      </c>
      <c r="BO1874" s="2"/>
      <c r="BP1874" s="2">
        <v>13</v>
      </c>
      <c r="BQ1874" s="2" t="s">
        <v>91</v>
      </c>
      <c r="BR1874" s="2" t="s">
        <v>185</v>
      </c>
      <c r="BS1874" s="3">
        <v>40303</v>
      </c>
      <c r="BT1874" s="4">
        <v>0.94140046296296298</v>
      </c>
    </row>
    <row r="1875" spans="1:72" x14ac:dyDescent="0.25">
      <c r="A1875" s="2">
        <v>2708</v>
      </c>
      <c r="B1875" s="2">
        <v>2010</v>
      </c>
      <c r="C1875" s="2" t="s">
        <v>4543</v>
      </c>
      <c r="D1875" s="2" t="s">
        <v>122</v>
      </c>
      <c r="E1875" s="2"/>
      <c r="F1875" s="2">
        <v>1</v>
      </c>
      <c r="G1875" s="2" t="s">
        <v>82</v>
      </c>
      <c r="H1875" s="2">
        <v>1</v>
      </c>
      <c r="I1875" s="2" t="s">
        <v>82</v>
      </c>
      <c r="J1875" s="2">
        <v>1</v>
      </c>
      <c r="K1875" s="2" t="s">
        <v>107</v>
      </c>
      <c r="L1875" s="2" t="s">
        <v>107</v>
      </c>
      <c r="M1875" s="3">
        <v>40304</v>
      </c>
      <c r="N1875" s="2"/>
      <c r="O1875" s="2"/>
      <c r="P1875" s="2"/>
      <c r="Q1875" s="2" t="str">
        <f>""</f>
        <v/>
      </c>
      <c r="R1875" s="2"/>
      <c r="S1875" s="2"/>
      <c r="T1875" s="2">
        <v>2</v>
      </c>
      <c r="U1875" s="2" t="s">
        <v>123</v>
      </c>
      <c r="V1875" s="2">
        <v>1</v>
      </c>
      <c r="W1875" s="2" t="s">
        <v>80</v>
      </c>
      <c r="X1875" s="2">
        <v>11</v>
      </c>
      <c r="Y1875" s="2" t="s">
        <v>1920</v>
      </c>
      <c r="Z1875" s="2">
        <v>1</v>
      </c>
      <c r="AA1875" s="2" t="s">
        <v>82</v>
      </c>
      <c r="AB1875" s="2">
        <v>9</v>
      </c>
      <c r="AC1875" s="2" t="s">
        <v>124</v>
      </c>
      <c r="AD1875" s="3">
        <v>40304</v>
      </c>
      <c r="AE1875" s="4">
        <v>0.12083333333333333</v>
      </c>
      <c r="AF1875" s="2"/>
      <c r="AG1875" s="2"/>
      <c r="AH1875" s="2">
        <v>6</v>
      </c>
      <c r="AI1875" s="2" t="s">
        <v>197</v>
      </c>
      <c r="AJ1875" s="2">
        <v>54</v>
      </c>
      <c r="AK1875" s="2" t="s">
        <v>348</v>
      </c>
      <c r="AL1875" s="2">
        <v>18</v>
      </c>
      <c r="AM1875" s="2" t="s">
        <v>82</v>
      </c>
      <c r="AN1875" s="2" t="s">
        <v>2282</v>
      </c>
      <c r="AO1875" s="2" t="s">
        <v>200</v>
      </c>
      <c r="AP1875" s="2">
        <v>14</v>
      </c>
      <c r="AQ1875" s="2" t="s">
        <v>3301</v>
      </c>
      <c r="AR1875" s="2" t="s">
        <v>596</v>
      </c>
      <c r="AS1875" s="2" t="s">
        <v>596</v>
      </c>
      <c r="AT1875" s="2" t="s">
        <v>6590</v>
      </c>
      <c r="AU1875" s="2"/>
      <c r="AV1875" s="2"/>
      <c r="AW1875" s="2"/>
      <c r="AX1875" s="2"/>
      <c r="AY1875" s="2">
        <v>1</v>
      </c>
      <c r="AZ1875" s="2" t="s">
        <v>107</v>
      </c>
      <c r="BA1875" s="2">
        <v>1</v>
      </c>
      <c r="BB1875" s="2" t="s">
        <v>107</v>
      </c>
      <c r="BC1875" s="2">
        <v>1</v>
      </c>
      <c r="BD1875" s="2" t="s">
        <v>107</v>
      </c>
      <c r="BE1875" s="2">
        <v>4</v>
      </c>
      <c r="BF1875" s="2" t="s">
        <v>90</v>
      </c>
      <c r="BG1875" s="2" t="s">
        <v>598</v>
      </c>
      <c r="BH1875" s="4">
        <v>6.9444444444444434E-2</v>
      </c>
      <c r="BI1875" s="4">
        <v>0.12083333333333333</v>
      </c>
      <c r="BJ1875" s="2">
        <v>13</v>
      </c>
      <c r="BK1875" s="2" t="s">
        <v>91</v>
      </c>
      <c r="BL1875" s="2" t="s">
        <v>904</v>
      </c>
      <c r="BM1875" s="2">
        <v>242</v>
      </c>
      <c r="BN1875" s="2" t="s">
        <v>107</v>
      </c>
      <c r="BO1875" s="2" t="s">
        <v>107</v>
      </c>
      <c r="BP1875" s="2">
        <v>13</v>
      </c>
      <c r="BQ1875" s="2" t="s">
        <v>91</v>
      </c>
      <c r="BR1875" s="2" t="s">
        <v>905</v>
      </c>
      <c r="BS1875" s="3">
        <v>40304</v>
      </c>
      <c r="BT1875" s="4">
        <v>0.12344907407407407</v>
      </c>
    </row>
    <row r="1876" spans="1:72" x14ac:dyDescent="0.25">
      <c r="A1876" s="2">
        <v>2709</v>
      </c>
      <c r="B1876" s="2">
        <v>2010</v>
      </c>
      <c r="C1876" s="2" t="s">
        <v>385</v>
      </c>
      <c r="D1876" s="2" t="s">
        <v>122</v>
      </c>
      <c r="E1876" s="2"/>
      <c r="F1876" s="2">
        <v>162</v>
      </c>
      <c r="G1876" s="2" t="s">
        <v>6440</v>
      </c>
      <c r="H1876" s="2">
        <v>50</v>
      </c>
      <c r="I1876" s="2" t="s">
        <v>107</v>
      </c>
      <c r="J1876" s="2">
        <v>171</v>
      </c>
      <c r="K1876" s="2" t="s">
        <v>5673</v>
      </c>
      <c r="L1876" s="2" t="s">
        <v>5674</v>
      </c>
      <c r="M1876" s="3">
        <v>40304</v>
      </c>
      <c r="N1876" s="2"/>
      <c r="O1876" s="2" t="s">
        <v>6591</v>
      </c>
      <c r="P1876" s="2" t="s">
        <v>107</v>
      </c>
      <c r="Q1876" s="2" t="str">
        <f>""</f>
        <v/>
      </c>
      <c r="R1876" s="2"/>
      <c r="S1876" s="2"/>
      <c r="T1876" s="2">
        <v>1</v>
      </c>
      <c r="U1876" s="2" t="s">
        <v>79</v>
      </c>
      <c r="V1876" s="2">
        <v>1</v>
      </c>
      <c r="W1876" s="2" t="s">
        <v>80</v>
      </c>
      <c r="X1876" s="2">
        <v>11</v>
      </c>
      <c r="Y1876" s="2" t="s">
        <v>1920</v>
      </c>
      <c r="Z1876" s="2">
        <v>1</v>
      </c>
      <c r="AA1876" s="2" t="s">
        <v>82</v>
      </c>
      <c r="AB1876" s="2">
        <v>9</v>
      </c>
      <c r="AC1876" s="2" t="s">
        <v>124</v>
      </c>
      <c r="AD1876" s="3">
        <v>40304</v>
      </c>
      <c r="AE1876" s="4">
        <v>0.20833333333333334</v>
      </c>
      <c r="AF1876" s="2"/>
      <c r="AG1876" s="2"/>
      <c r="AH1876" s="2">
        <v>2</v>
      </c>
      <c r="AI1876" s="2" t="s">
        <v>84</v>
      </c>
      <c r="AJ1876" s="2">
        <v>9</v>
      </c>
      <c r="AK1876" s="2" t="s">
        <v>103</v>
      </c>
      <c r="AL1876" s="2">
        <v>15</v>
      </c>
      <c r="AM1876" s="2" t="s">
        <v>104</v>
      </c>
      <c r="AN1876" s="2"/>
      <c r="AO1876" s="2" t="s">
        <v>6592</v>
      </c>
      <c r="AP1876" s="2">
        <v>11</v>
      </c>
      <c r="AQ1876" s="2" t="s">
        <v>82</v>
      </c>
      <c r="AR1876" s="2"/>
      <c r="AS1876" s="2"/>
      <c r="AT1876" s="2" t="s">
        <v>6593</v>
      </c>
      <c r="AU1876" s="2"/>
      <c r="AV1876" s="2"/>
      <c r="AW1876" s="2"/>
      <c r="AX1876" s="2"/>
      <c r="AY1876" s="2">
        <v>1</v>
      </c>
      <c r="AZ1876" s="2" t="s">
        <v>107</v>
      </c>
      <c r="BA1876" s="2">
        <v>1</v>
      </c>
      <c r="BB1876" s="2" t="s">
        <v>107</v>
      </c>
      <c r="BC1876" s="2">
        <v>1</v>
      </c>
      <c r="BD1876" s="2" t="s">
        <v>107</v>
      </c>
      <c r="BE1876" s="2">
        <v>13</v>
      </c>
      <c r="BF1876" s="2" t="s">
        <v>108</v>
      </c>
      <c r="BG1876" s="2" t="s">
        <v>5262</v>
      </c>
      <c r="BH1876" s="4">
        <v>0.22916666666666666</v>
      </c>
      <c r="BI1876" s="2"/>
      <c r="BJ1876" s="2">
        <v>73</v>
      </c>
      <c r="BK1876" s="2" t="s">
        <v>186</v>
      </c>
      <c r="BL1876" s="2" t="s">
        <v>187</v>
      </c>
      <c r="BM1876" s="2">
        <v>242</v>
      </c>
      <c r="BN1876" s="2" t="s">
        <v>107</v>
      </c>
      <c r="BO1876" s="2"/>
      <c r="BP1876" s="2">
        <v>13</v>
      </c>
      <c r="BQ1876" s="2" t="s">
        <v>91</v>
      </c>
      <c r="BR1876" s="2" t="s">
        <v>360</v>
      </c>
      <c r="BS1876" s="3">
        <v>40304</v>
      </c>
      <c r="BT1876" s="4">
        <v>0.33126157407407408</v>
      </c>
    </row>
    <row r="1877" spans="1:72" x14ac:dyDescent="0.25">
      <c r="A1877" s="2">
        <v>2710</v>
      </c>
      <c r="B1877" s="2">
        <v>2010</v>
      </c>
      <c r="C1877" s="2" t="s">
        <v>4543</v>
      </c>
      <c r="D1877" s="2" t="s">
        <v>122</v>
      </c>
      <c r="E1877" s="2"/>
      <c r="F1877" s="2">
        <v>1</v>
      </c>
      <c r="G1877" s="2" t="s">
        <v>82</v>
      </c>
      <c r="H1877" s="2">
        <v>1</v>
      </c>
      <c r="I1877" s="2" t="s">
        <v>82</v>
      </c>
      <c r="J1877" s="2">
        <v>1</v>
      </c>
      <c r="K1877" s="2" t="s">
        <v>107</v>
      </c>
      <c r="L1877" s="2" t="s">
        <v>107</v>
      </c>
      <c r="M1877" s="3">
        <v>40304</v>
      </c>
      <c r="N1877" s="2"/>
      <c r="O1877" s="2"/>
      <c r="P1877" s="2"/>
      <c r="Q1877" s="2" t="str">
        <f>""</f>
        <v/>
      </c>
      <c r="R1877" s="2"/>
      <c r="S1877" s="2"/>
      <c r="T1877" s="2">
        <v>2</v>
      </c>
      <c r="U1877" s="2" t="s">
        <v>123</v>
      </c>
      <c r="V1877" s="2">
        <v>1</v>
      </c>
      <c r="W1877" s="2" t="s">
        <v>80</v>
      </c>
      <c r="X1877" s="2">
        <v>11</v>
      </c>
      <c r="Y1877" s="2" t="s">
        <v>1920</v>
      </c>
      <c r="Z1877" s="2">
        <v>1</v>
      </c>
      <c r="AA1877" s="2" t="s">
        <v>82</v>
      </c>
      <c r="AB1877" s="2">
        <v>9</v>
      </c>
      <c r="AC1877" s="2" t="s">
        <v>124</v>
      </c>
      <c r="AD1877" s="3">
        <v>40304</v>
      </c>
      <c r="AE1877" s="4">
        <v>0.38194444444444442</v>
      </c>
      <c r="AF1877" s="2"/>
      <c r="AG1877" s="2"/>
      <c r="AH1877" s="2">
        <v>6</v>
      </c>
      <c r="AI1877" s="2" t="s">
        <v>197</v>
      </c>
      <c r="AJ1877" s="2">
        <v>54</v>
      </c>
      <c r="AK1877" s="2" t="s">
        <v>348</v>
      </c>
      <c r="AL1877" s="2">
        <v>18</v>
      </c>
      <c r="AM1877" s="2" t="s">
        <v>82</v>
      </c>
      <c r="AN1877" s="2" t="s">
        <v>595</v>
      </c>
      <c r="AO1877" s="2" t="s">
        <v>200</v>
      </c>
      <c r="AP1877" s="2">
        <v>14</v>
      </c>
      <c r="AQ1877" s="2" t="s">
        <v>3301</v>
      </c>
      <c r="AR1877" s="2" t="s">
        <v>596</v>
      </c>
      <c r="AS1877" s="2" t="s">
        <v>596</v>
      </c>
      <c r="AT1877" s="2" t="s">
        <v>6594</v>
      </c>
      <c r="AU1877" s="2"/>
      <c r="AV1877" s="2"/>
      <c r="AW1877" s="2"/>
      <c r="AX1877" s="2"/>
      <c r="AY1877" s="2">
        <v>1</v>
      </c>
      <c r="AZ1877" s="2" t="s">
        <v>107</v>
      </c>
      <c r="BA1877" s="2">
        <v>1</v>
      </c>
      <c r="BB1877" s="2" t="s">
        <v>107</v>
      </c>
      <c r="BC1877" s="2">
        <v>1</v>
      </c>
      <c r="BD1877" s="2" t="s">
        <v>107</v>
      </c>
      <c r="BE1877" s="2">
        <v>4</v>
      </c>
      <c r="BF1877" s="2" t="s">
        <v>90</v>
      </c>
      <c r="BG1877" s="2" t="s">
        <v>5619</v>
      </c>
      <c r="BH1877" s="4">
        <v>0.3298611111111111</v>
      </c>
      <c r="BI1877" s="4">
        <v>0.38194444444444442</v>
      </c>
      <c r="BJ1877" s="2">
        <v>13</v>
      </c>
      <c r="BK1877" s="2" t="s">
        <v>91</v>
      </c>
      <c r="BL1877" s="2" t="s">
        <v>904</v>
      </c>
      <c r="BM1877" s="2">
        <v>242</v>
      </c>
      <c r="BN1877" s="2" t="s">
        <v>107</v>
      </c>
      <c r="BO1877" s="2" t="s">
        <v>107</v>
      </c>
      <c r="BP1877" s="2">
        <v>13</v>
      </c>
      <c r="BQ1877" s="2" t="s">
        <v>91</v>
      </c>
      <c r="BR1877" s="2" t="s">
        <v>905</v>
      </c>
      <c r="BS1877" s="3">
        <v>40304</v>
      </c>
      <c r="BT1877" s="4">
        <v>0.39972222222222226</v>
      </c>
    </row>
    <row r="1878" spans="1:72" x14ac:dyDescent="0.25">
      <c r="A1878" s="2">
        <v>2716</v>
      </c>
      <c r="B1878" s="2">
        <v>2010</v>
      </c>
      <c r="C1878" s="2" t="s">
        <v>4543</v>
      </c>
      <c r="D1878" s="2" t="s">
        <v>122</v>
      </c>
      <c r="E1878" s="2"/>
      <c r="F1878" s="2">
        <v>481</v>
      </c>
      <c r="G1878" s="2" t="s">
        <v>1438</v>
      </c>
      <c r="H1878" s="2">
        <v>1</v>
      </c>
      <c r="I1878" s="2" t="s">
        <v>82</v>
      </c>
      <c r="J1878" s="2">
        <v>57</v>
      </c>
      <c r="K1878" s="2" t="s">
        <v>431</v>
      </c>
      <c r="L1878" s="2" t="s">
        <v>432</v>
      </c>
      <c r="M1878" s="3">
        <v>40304</v>
      </c>
      <c r="N1878" s="2" t="s">
        <v>82</v>
      </c>
      <c r="O1878" s="2" t="s">
        <v>82</v>
      </c>
      <c r="P1878" s="2" t="s">
        <v>82</v>
      </c>
      <c r="Q1878" s="2" t="str">
        <f>"21/10"</f>
        <v>21/10</v>
      </c>
      <c r="R1878" s="2" t="s">
        <v>82</v>
      </c>
      <c r="S1878" s="2" t="s">
        <v>480</v>
      </c>
      <c r="T1878" s="2">
        <v>2</v>
      </c>
      <c r="U1878" s="2" t="s">
        <v>123</v>
      </c>
      <c r="V1878" s="2">
        <v>1</v>
      </c>
      <c r="W1878" s="2" t="s">
        <v>80</v>
      </c>
      <c r="X1878" s="2">
        <v>1</v>
      </c>
      <c r="Y1878" s="2" t="s">
        <v>81</v>
      </c>
      <c r="Z1878" s="2">
        <v>10</v>
      </c>
      <c r="AA1878" s="2" t="s">
        <v>236</v>
      </c>
      <c r="AB1878" s="2">
        <v>9</v>
      </c>
      <c r="AC1878" s="2" t="s">
        <v>124</v>
      </c>
      <c r="AD1878" s="3">
        <v>40304</v>
      </c>
      <c r="AE1878" s="4">
        <v>0.28472222222222221</v>
      </c>
      <c r="AF1878" s="2"/>
      <c r="AG1878" s="2"/>
      <c r="AH1878" s="2">
        <v>3</v>
      </c>
      <c r="AI1878" s="2" t="s">
        <v>214</v>
      </c>
      <c r="AJ1878" s="2">
        <v>17</v>
      </c>
      <c r="AK1878" s="2" t="s">
        <v>309</v>
      </c>
      <c r="AL1878" s="2">
        <v>24</v>
      </c>
      <c r="AM1878" s="2" t="s">
        <v>1540</v>
      </c>
      <c r="AN1878" s="2" t="s">
        <v>6595</v>
      </c>
      <c r="AO1878" s="2" t="s">
        <v>2047</v>
      </c>
      <c r="AP1878" s="2">
        <v>11</v>
      </c>
      <c r="AQ1878" s="2" t="s">
        <v>82</v>
      </c>
      <c r="AR1878" s="2" t="s">
        <v>82</v>
      </c>
      <c r="AS1878" s="2" t="s">
        <v>82</v>
      </c>
      <c r="AT1878" s="2" t="s">
        <v>6596</v>
      </c>
      <c r="AU1878" s="2"/>
      <c r="AV1878" s="2"/>
      <c r="AW1878" s="2"/>
      <c r="AX1878" s="2"/>
      <c r="AY1878" s="2">
        <v>41</v>
      </c>
      <c r="AZ1878" s="2" t="s">
        <v>82</v>
      </c>
      <c r="BA1878" s="2">
        <v>41</v>
      </c>
      <c r="BB1878" s="2" t="s">
        <v>82</v>
      </c>
      <c r="BC1878" s="2">
        <v>41</v>
      </c>
      <c r="BD1878" s="2" t="s">
        <v>82</v>
      </c>
      <c r="BE1878" s="2">
        <v>41</v>
      </c>
      <c r="BF1878" s="2" t="s">
        <v>82</v>
      </c>
      <c r="BG1878" s="2" t="s">
        <v>82</v>
      </c>
      <c r="BH1878" s="2"/>
      <c r="BI1878" s="2"/>
      <c r="BJ1878" s="2">
        <v>241</v>
      </c>
      <c r="BK1878" s="2" t="s">
        <v>82</v>
      </c>
      <c r="BL1878" s="2" t="s">
        <v>82</v>
      </c>
      <c r="BM1878" s="2">
        <v>241</v>
      </c>
      <c r="BN1878" s="2" t="s">
        <v>82</v>
      </c>
      <c r="BO1878" s="2" t="s">
        <v>82</v>
      </c>
      <c r="BP1878" s="2">
        <v>241</v>
      </c>
      <c r="BQ1878" s="2" t="s">
        <v>82</v>
      </c>
      <c r="BR1878" s="2" t="s">
        <v>82</v>
      </c>
      <c r="BS1878" s="3">
        <v>40304</v>
      </c>
      <c r="BT1878" s="4">
        <v>0.44766203703703705</v>
      </c>
    </row>
    <row r="1879" spans="1:72" x14ac:dyDescent="0.25">
      <c r="A1879" s="2">
        <v>2718</v>
      </c>
      <c r="B1879" s="2">
        <v>2010</v>
      </c>
      <c r="C1879" s="2" t="s">
        <v>147</v>
      </c>
      <c r="D1879" s="2" t="s">
        <v>73</v>
      </c>
      <c r="E1879" s="2"/>
      <c r="F1879" s="2">
        <v>1</v>
      </c>
      <c r="G1879" s="2" t="s">
        <v>82</v>
      </c>
      <c r="H1879" s="2">
        <v>1</v>
      </c>
      <c r="I1879" s="2" t="s">
        <v>82</v>
      </c>
      <c r="J1879" s="2">
        <v>1</v>
      </c>
      <c r="K1879" s="2" t="s">
        <v>107</v>
      </c>
      <c r="L1879" s="2" t="s">
        <v>107</v>
      </c>
      <c r="M1879" s="3">
        <v>40304</v>
      </c>
      <c r="N1879" s="2"/>
      <c r="O1879" s="2"/>
      <c r="P1879" s="2"/>
      <c r="Q1879" s="2" t="str">
        <f>""</f>
        <v/>
      </c>
      <c r="R1879" s="2"/>
      <c r="S1879" s="2"/>
      <c r="T1879" s="2">
        <v>2</v>
      </c>
      <c r="U1879" s="2" t="s">
        <v>123</v>
      </c>
      <c r="V1879" s="2">
        <v>1</v>
      </c>
      <c r="W1879" s="2" t="s">
        <v>80</v>
      </c>
      <c r="X1879" s="2">
        <v>5</v>
      </c>
      <c r="Y1879" s="2" t="s">
        <v>82</v>
      </c>
      <c r="Z1879" s="2">
        <v>1</v>
      </c>
      <c r="AA1879" s="2" t="s">
        <v>82</v>
      </c>
      <c r="AB1879" s="2">
        <v>9</v>
      </c>
      <c r="AC1879" s="2" t="s">
        <v>124</v>
      </c>
      <c r="AD1879" s="3">
        <v>40304</v>
      </c>
      <c r="AE1879" s="2"/>
      <c r="AF1879" s="3">
        <v>40304</v>
      </c>
      <c r="AG1879" s="4">
        <v>0.41666666666666669</v>
      </c>
      <c r="AH1879" s="2">
        <v>2</v>
      </c>
      <c r="AI1879" s="2" t="s">
        <v>84</v>
      </c>
      <c r="AJ1879" s="2">
        <v>11</v>
      </c>
      <c r="AK1879" s="2" t="s">
        <v>751</v>
      </c>
      <c r="AL1879" s="2">
        <v>19</v>
      </c>
      <c r="AM1879" s="2" t="s">
        <v>107</v>
      </c>
      <c r="AN1879" s="2"/>
      <c r="AO1879" s="2" t="s">
        <v>6597</v>
      </c>
      <c r="AP1879" s="2">
        <v>11</v>
      </c>
      <c r="AQ1879" s="2" t="s">
        <v>82</v>
      </c>
      <c r="AR1879" s="2"/>
      <c r="AS1879" s="2"/>
      <c r="AT1879" s="2" t="s">
        <v>6598</v>
      </c>
      <c r="AU1879" s="2"/>
      <c r="AV1879" s="2"/>
      <c r="AW1879" s="2"/>
      <c r="AX1879" s="2"/>
      <c r="AY1879" s="2">
        <v>41</v>
      </c>
      <c r="AZ1879" s="2" t="s">
        <v>82</v>
      </c>
      <c r="BA1879" s="2">
        <v>41</v>
      </c>
      <c r="BB1879" s="2" t="s">
        <v>82</v>
      </c>
      <c r="BC1879" s="2">
        <v>41</v>
      </c>
      <c r="BD1879" s="2" t="s">
        <v>82</v>
      </c>
      <c r="BE1879" s="2">
        <v>41</v>
      </c>
      <c r="BF1879" s="2" t="s">
        <v>82</v>
      </c>
      <c r="BG1879" s="2"/>
      <c r="BH1879" s="2"/>
      <c r="BI1879" s="2"/>
      <c r="BJ1879" s="2">
        <v>241</v>
      </c>
      <c r="BK1879" s="2" t="s">
        <v>82</v>
      </c>
      <c r="BL1879" s="2"/>
      <c r="BM1879" s="2">
        <v>241</v>
      </c>
      <c r="BN1879" s="2" t="s">
        <v>82</v>
      </c>
      <c r="BO1879" s="2"/>
      <c r="BP1879" s="2">
        <v>241</v>
      </c>
      <c r="BQ1879" s="2" t="s">
        <v>82</v>
      </c>
      <c r="BR1879" s="2"/>
      <c r="BS1879" s="3">
        <v>40304</v>
      </c>
      <c r="BT1879" s="4">
        <v>0.51966435185185189</v>
      </c>
    </row>
    <row r="1880" spans="1:72" x14ac:dyDescent="0.25">
      <c r="A1880" s="2">
        <v>2720</v>
      </c>
      <c r="B1880" s="2">
        <v>2010</v>
      </c>
      <c r="C1880" s="2" t="s">
        <v>819</v>
      </c>
      <c r="D1880" s="2" t="s">
        <v>73</v>
      </c>
      <c r="E1880" s="2"/>
      <c r="F1880" s="2">
        <v>310</v>
      </c>
      <c r="G1880" s="2" t="s">
        <v>3186</v>
      </c>
      <c r="H1880" s="2">
        <v>2</v>
      </c>
      <c r="I1880" s="2" t="s">
        <v>267</v>
      </c>
      <c r="J1880" s="2">
        <v>371</v>
      </c>
      <c r="K1880" s="2" t="s">
        <v>1138</v>
      </c>
      <c r="L1880" s="2" t="s">
        <v>1139</v>
      </c>
      <c r="M1880" s="3">
        <v>40304</v>
      </c>
      <c r="N1880" s="2" t="s">
        <v>3280</v>
      </c>
      <c r="O1880" s="2"/>
      <c r="P1880" s="2"/>
      <c r="Q1880" s="2" t="str">
        <f>"055/10"</f>
        <v>055/10</v>
      </c>
      <c r="R1880" s="2"/>
      <c r="S1880" s="2" t="s">
        <v>2003</v>
      </c>
      <c r="T1880" s="2">
        <v>1</v>
      </c>
      <c r="U1880" s="2" t="s">
        <v>79</v>
      </c>
      <c r="V1880" s="2">
        <v>1</v>
      </c>
      <c r="W1880" s="2" t="s">
        <v>80</v>
      </c>
      <c r="X1880" s="2">
        <v>1</v>
      </c>
      <c r="Y1880" s="2" t="s">
        <v>81</v>
      </c>
      <c r="Z1880" s="2">
        <v>1</v>
      </c>
      <c r="AA1880" s="2" t="s">
        <v>82</v>
      </c>
      <c r="AB1880" s="2">
        <v>9</v>
      </c>
      <c r="AC1880" s="2" t="s">
        <v>124</v>
      </c>
      <c r="AD1880" s="3">
        <v>40304</v>
      </c>
      <c r="AE1880" s="4">
        <v>0.58333333333333337</v>
      </c>
      <c r="AF1880" s="2"/>
      <c r="AG1880" s="2"/>
      <c r="AH1880" s="2">
        <v>5</v>
      </c>
      <c r="AI1880" s="2" t="s">
        <v>274</v>
      </c>
      <c r="AJ1880" s="2">
        <v>38</v>
      </c>
      <c r="AK1880" s="2" t="s">
        <v>1120</v>
      </c>
      <c r="AL1880" s="2">
        <v>25</v>
      </c>
      <c r="AM1880" s="2" t="s">
        <v>3073</v>
      </c>
      <c r="AN1880" s="2" t="s">
        <v>230</v>
      </c>
      <c r="AO1880" s="2" t="s">
        <v>6599</v>
      </c>
      <c r="AP1880" s="2">
        <v>11</v>
      </c>
      <c r="AQ1880" s="2" t="s">
        <v>82</v>
      </c>
      <c r="AR1880" s="2"/>
      <c r="AS1880" s="2"/>
      <c r="AT1880" s="2" t="s">
        <v>6600</v>
      </c>
      <c r="AU1880" s="2"/>
      <c r="AV1880" s="2"/>
      <c r="AW1880" s="2"/>
      <c r="AX1880" s="2"/>
      <c r="AY1880" s="2">
        <v>41</v>
      </c>
      <c r="AZ1880" s="2" t="s">
        <v>82</v>
      </c>
      <c r="BA1880" s="2">
        <v>41</v>
      </c>
      <c r="BB1880" s="2" t="s">
        <v>82</v>
      </c>
      <c r="BC1880" s="2">
        <v>41</v>
      </c>
      <c r="BD1880" s="2" t="s">
        <v>82</v>
      </c>
      <c r="BE1880" s="2">
        <v>4</v>
      </c>
      <c r="BF1880" s="2" t="s">
        <v>90</v>
      </c>
      <c r="BG1880" s="2">
        <v>4025</v>
      </c>
      <c r="BH1880" s="4">
        <v>0.56944444444444442</v>
      </c>
      <c r="BI1880" s="4">
        <v>0.59027777777777779</v>
      </c>
      <c r="BJ1880" s="2">
        <v>13</v>
      </c>
      <c r="BK1880" s="2" t="s">
        <v>91</v>
      </c>
      <c r="BL1880" s="2" t="s">
        <v>6601</v>
      </c>
      <c r="BM1880" s="2">
        <v>241</v>
      </c>
      <c r="BN1880" s="2" t="s">
        <v>82</v>
      </c>
      <c r="BO1880" s="2" t="s">
        <v>82</v>
      </c>
      <c r="BP1880" s="2">
        <v>13</v>
      </c>
      <c r="BQ1880" s="2" t="s">
        <v>91</v>
      </c>
      <c r="BR1880" s="2" t="s">
        <v>185</v>
      </c>
      <c r="BS1880" s="3">
        <v>40304</v>
      </c>
      <c r="BT1880" s="4">
        <v>0.68190972222222224</v>
      </c>
    </row>
    <row r="1881" spans="1:72" x14ac:dyDescent="0.25">
      <c r="A1881" s="2">
        <v>2721</v>
      </c>
      <c r="B1881" s="2">
        <v>2010</v>
      </c>
      <c r="C1881" s="2" t="s">
        <v>121</v>
      </c>
      <c r="D1881" s="2" t="s">
        <v>122</v>
      </c>
      <c r="E1881" s="2"/>
      <c r="F1881" s="2">
        <v>1</v>
      </c>
      <c r="G1881" s="2" t="s">
        <v>82</v>
      </c>
      <c r="H1881" s="2">
        <v>1</v>
      </c>
      <c r="I1881" s="2" t="s">
        <v>82</v>
      </c>
      <c r="J1881" s="2">
        <v>1</v>
      </c>
      <c r="K1881" s="2" t="s">
        <v>107</v>
      </c>
      <c r="L1881" s="2" t="s">
        <v>107</v>
      </c>
      <c r="M1881" s="3">
        <v>40304</v>
      </c>
      <c r="N1881" s="2"/>
      <c r="O1881" s="2"/>
      <c r="P1881" s="2"/>
      <c r="Q1881" s="2" t="str">
        <f>""</f>
        <v/>
      </c>
      <c r="R1881" s="2"/>
      <c r="S1881" s="2"/>
      <c r="T1881" s="2">
        <v>2</v>
      </c>
      <c r="U1881" s="2" t="s">
        <v>123</v>
      </c>
      <c r="V1881" s="2">
        <v>1</v>
      </c>
      <c r="W1881" s="2" t="s">
        <v>80</v>
      </c>
      <c r="X1881" s="2">
        <v>11</v>
      </c>
      <c r="Y1881" s="2" t="s">
        <v>1920</v>
      </c>
      <c r="Z1881" s="2">
        <v>1</v>
      </c>
      <c r="AA1881" s="2" t="s">
        <v>82</v>
      </c>
      <c r="AB1881" s="2">
        <v>9</v>
      </c>
      <c r="AC1881" s="2" t="s">
        <v>124</v>
      </c>
      <c r="AD1881" s="2"/>
      <c r="AE1881" s="2"/>
      <c r="AF1881" s="2"/>
      <c r="AG1881" s="2"/>
      <c r="AH1881" s="2">
        <v>4</v>
      </c>
      <c r="AI1881" s="2" t="s">
        <v>125</v>
      </c>
      <c r="AJ1881" s="2">
        <v>28</v>
      </c>
      <c r="AK1881" s="2" t="s">
        <v>741</v>
      </c>
      <c r="AL1881" s="2">
        <v>10</v>
      </c>
      <c r="AM1881" s="2" t="s">
        <v>200</v>
      </c>
      <c r="AN1881" s="2"/>
      <c r="AO1881" s="2"/>
      <c r="AP1881" s="2">
        <v>11</v>
      </c>
      <c r="AQ1881" s="2" t="s">
        <v>82</v>
      </c>
      <c r="AR1881" s="2"/>
      <c r="AS1881" s="2"/>
      <c r="AT1881" s="2" t="s">
        <v>6602</v>
      </c>
      <c r="AU1881" s="2"/>
      <c r="AV1881" s="2"/>
      <c r="AW1881" s="2"/>
      <c r="AX1881" s="2"/>
      <c r="AY1881" s="2">
        <v>1</v>
      </c>
      <c r="AZ1881" s="2" t="s">
        <v>107</v>
      </c>
      <c r="BA1881" s="2">
        <v>1</v>
      </c>
      <c r="BB1881" s="2" t="s">
        <v>107</v>
      </c>
      <c r="BC1881" s="2">
        <v>1</v>
      </c>
      <c r="BD1881" s="2" t="s">
        <v>107</v>
      </c>
      <c r="BE1881" s="2">
        <v>49</v>
      </c>
      <c r="BF1881" s="2" t="s">
        <v>1254</v>
      </c>
      <c r="BG1881" s="2"/>
      <c r="BH1881" s="4">
        <v>0.63194444444444442</v>
      </c>
      <c r="BI1881" s="4">
        <v>0.68402777777777779</v>
      </c>
      <c r="BJ1881" s="2">
        <v>13</v>
      </c>
      <c r="BK1881" s="2" t="s">
        <v>91</v>
      </c>
      <c r="BL1881" s="2" t="s">
        <v>185</v>
      </c>
      <c r="BM1881" s="2">
        <v>13</v>
      </c>
      <c r="BN1881" s="2" t="s">
        <v>91</v>
      </c>
      <c r="BO1881" s="2" t="s">
        <v>744</v>
      </c>
      <c r="BP1881" s="2">
        <v>13</v>
      </c>
      <c r="BQ1881" s="2" t="s">
        <v>91</v>
      </c>
      <c r="BR1881" s="2" t="s">
        <v>828</v>
      </c>
      <c r="BS1881" s="3">
        <v>40304</v>
      </c>
      <c r="BT1881" s="4">
        <v>0.70285879629629633</v>
      </c>
    </row>
    <row r="1882" spans="1:72" x14ac:dyDescent="0.25">
      <c r="A1882" s="2">
        <v>2722</v>
      </c>
      <c r="B1882" s="2">
        <v>2010</v>
      </c>
      <c r="C1882" s="2" t="s">
        <v>1094</v>
      </c>
      <c r="D1882" s="2" t="s">
        <v>73</v>
      </c>
      <c r="E1882" s="2"/>
      <c r="F1882" s="2">
        <v>24</v>
      </c>
      <c r="G1882" s="2" t="s">
        <v>532</v>
      </c>
      <c r="H1882" s="2">
        <v>1</v>
      </c>
      <c r="I1882" s="2" t="s">
        <v>82</v>
      </c>
      <c r="J1882" s="2">
        <v>300</v>
      </c>
      <c r="K1882" s="2" t="s">
        <v>114</v>
      </c>
      <c r="L1882" s="2" t="s">
        <v>115</v>
      </c>
      <c r="M1882" s="3">
        <v>40304</v>
      </c>
      <c r="N1882" s="2"/>
      <c r="O1882" s="2"/>
      <c r="P1882" s="2"/>
      <c r="Q1882" s="2" t="str">
        <f>"246-E/10"</f>
        <v>246-E/10</v>
      </c>
      <c r="R1882" s="2"/>
      <c r="S1882" s="2" t="s">
        <v>6603</v>
      </c>
      <c r="T1882" s="2">
        <v>1</v>
      </c>
      <c r="U1882" s="2" t="s">
        <v>79</v>
      </c>
      <c r="V1882" s="2">
        <v>1</v>
      </c>
      <c r="W1882" s="2" t="s">
        <v>80</v>
      </c>
      <c r="X1882" s="2">
        <v>12</v>
      </c>
      <c r="Y1882" s="2" t="s">
        <v>148</v>
      </c>
      <c r="Z1882" s="2">
        <v>1</v>
      </c>
      <c r="AA1882" s="2" t="s">
        <v>82</v>
      </c>
      <c r="AB1882" s="2">
        <v>9</v>
      </c>
      <c r="AC1882" s="2" t="s">
        <v>124</v>
      </c>
      <c r="AD1882" s="3">
        <v>40303</v>
      </c>
      <c r="AE1882" s="4">
        <v>0.875</v>
      </c>
      <c r="AF1882" s="3">
        <v>40304</v>
      </c>
      <c r="AG1882" s="4">
        <v>0.63194444444444442</v>
      </c>
      <c r="AH1882" s="2">
        <v>2</v>
      </c>
      <c r="AI1882" s="2" t="s">
        <v>84</v>
      </c>
      <c r="AJ1882" s="2">
        <v>9</v>
      </c>
      <c r="AK1882" s="2" t="s">
        <v>103</v>
      </c>
      <c r="AL1882" s="2">
        <v>23</v>
      </c>
      <c r="AM1882" s="2" t="s">
        <v>251</v>
      </c>
      <c r="AN1882" s="2"/>
      <c r="AO1882" s="2" t="s">
        <v>1101</v>
      </c>
      <c r="AP1882" s="2">
        <v>11</v>
      </c>
      <c r="AQ1882" s="2" t="s">
        <v>82</v>
      </c>
      <c r="AR1882" s="2"/>
      <c r="AS1882" s="2"/>
      <c r="AT1882" s="2" t="s">
        <v>6604</v>
      </c>
      <c r="AU1882" s="2"/>
      <c r="AV1882" s="2"/>
      <c r="AW1882" s="2"/>
      <c r="AX1882" s="2"/>
      <c r="AY1882" s="2">
        <v>41</v>
      </c>
      <c r="AZ1882" s="2" t="s">
        <v>82</v>
      </c>
      <c r="BA1882" s="2">
        <v>41</v>
      </c>
      <c r="BB1882" s="2" t="s">
        <v>82</v>
      </c>
      <c r="BC1882" s="2">
        <v>41</v>
      </c>
      <c r="BD1882" s="2" t="s">
        <v>82</v>
      </c>
      <c r="BE1882" s="2">
        <v>41</v>
      </c>
      <c r="BF1882" s="2" t="s">
        <v>82</v>
      </c>
      <c r="BG1882" s="2"/>
      <c r="BH1882" s="2"/>
      <c r="BI1882" s="2"/>
      <c r="BJ1882" s="2">
        <v>241</v>
      </c>
      <c r="BK1882" s="2" t="s">
        <v>82</v>
      </c>
      <c r="BL1882" s="2"/>
      <c r="BM1882" s="2">
        <v>241</v>
      </c>
      <c r="BN1882" s="2" t="s">
        <v>82</v>
      </c>
      <c r="BO1882" s="2"/>
      <c r="BP1882" s="2">
        <v>241</v>
      </c>
      <c r="BQ1882" s="2" t="s">
        <v>82</v>
      </c>
      <c r="BR1882" s="2"/>
      <c r="BS1882" s="3">
        <v>40304</v>
      </c>
      <c r="BT1882" s="4">
        <v>0.78568287037037043</v>
      </c>
    </row>
    <row r="1883" spans="1:72" x14ac:dyDescent="0.25">
      <c r="A1883" s="2">
        <v>2723</v>
      </c>
      <c r="B1883" s="2">
        <v>2010</v>
      </c>
      <c r="C1883" s="2" t="s">
        <v>196</v>
      </c>
      <c r="D1883" s="2" t="s">
        <v>122</v>
      </c>
      <c r="E1883" s="2"/>
      <c r="F1883" s="2">
        <v>1</v>
      </c>
      <c r="G1883" s="2" t="s">
        <v>82</v>
      </c>
      <c r="H1883" s="2">
        <v>1</v>
      </c>
      <c r="I1883" s="2" t="s">
        <v>82</v>
      </c>
      <c r="J1883" s="2">
        <v>1</v>
      </c>
      <c r="K1883" s="2" t="s">
        <v>107</v>
      </c>
      <c r="L1883" s="2" t="s">
        <v>107</v>
      </c>
      <c r="M1883" s="3">
        <v>40304</v>
      </c>
      <c r="N1883" s="2"/>
      <c r="O1883" s="2"/>
      <c r="P1883" s="2"/>
      <c r="Q1883" s="2" t="str">
        <f>""</f>
        <v/>
      </c>
      <c r="R1883" s="2"/>
      <c r="S1883" s="2"/>
      <c r="T1883" s="2">
        <v>2</v>
      </c>
      <c r="U1883" s="2" t="s">
        <v>123</v>
      </c>
      <c r="V1883" s="2">
        <v>1</v>
      </c>
      <c r="W1883" s="2" t="s">
        <v>80</v>
      </c>
      <c r="X1883" s="2">
        <v>11</v>
      </c>
      <c r="Y1883" s="2" t="s">
        <v>1920</v>
      </c>
      <c r="Z1883" s="2">
        <v>1</v>
      </c>
      <c r="AA1883" s="2" t="s">
        <v>82</v>
      </c>
      <c r="AB1883" s="2">
        <v>9</v>
      </c>
      <c r="AC1883" s="2" t="s">
        <v>124</v>
      </c>
      <c r="AD1883" s="3">
        <v>40304</v>
      </c>
      <c r="AE1883" s="4">
        <v>0.54166666666666663</v>
      </c>
      <c r="AF1883" s="2"/>
      <c r="AG1883" s="2"/>
      <c r="AH1883" s="2">
        <v>2</v>
      </c>
      <c r="AI1883" s="2" t="s">
        <v>84</v>
      </c>
      <c r="AJ1883" s="2">
        <v>12</v>
      </c>
      <c r="AK1883" s="2" t="s">
        <v>85</v>
      </c>
      <c r="AL1883" s="2">
        <v>20</v>
      </c>
      <c r="AM1883" s="2" t="s">
        <v>992</v>
      </c>
      <c r="AN1883" s="2"/>
      <c r="AO1883" s="2"/>
      <c r="AP1883" s="2">
        <v>11</v>
      </c>
      <c r="AQ1883" s="2" t="s">
        <v>82</v>
      </c>
      <c r="AR1883" s="2"/>
      <c r="AS1883" s="2"/>
      <c r="AT1883" s="2" t="s">
        <v>6605</v>
      </c>
      <c r="AU1883" s="2"/>
      <c r="AV1883" s="2"/>
      <c r="AW1883" s="2"/>
      <c r="AX1883" s="2"/>
      <c r="AY1883" s="2">
        <v>41</v>
      </c>
      <c r="AZ1883" s="2" t="s">
        <v>82</v>
      </c>
      <c r="BA1883" s="2">
        <v>41</v>
      </c>
      <c r="BB1883" s="2" t="s">
        <v>82</v>
      </c>
      <c r="BC1883" s="2">
        <v>41</v>
      </c>
      <c r="BD1883" s="2" t="s">
        <v>82</v>
      </c>
      <c r="BE1883" s="2">
        <v>41</v>
      </c>
      <c r="BF1883" s="2" t="s">
        <v>82</v>
      </c>
      <c r="BG1883" s="2" t="s">
        <v>3783</v>
      </c>
      <c r="BH1883" s="2"/>
      <c r="BI1883" s="4">
        <v>0.76388888888888884</v>
      </c>
      <c r="BJ1883" s="2">
        <v>13</v>
      </c>
      <c r="BK1883" s="2" t="s">
        <v>91</v>
      </c>
      <c r="BL1883" s="2" t="s">
        <v>185</v>
      </c>
      <c r="BM1883" s="2">
        <v>241</v>
      </c>
      <c r="BN1883" s="2" t="s">
        <v>82</v>
      </c>
      <c r="BO1883" s="2"/>
      <c r="BP1883" s="2">
        <v>13</v>
      </c>
      <c r="BQ1883" s="2" t="s">
        <v>91</v>
      </c>
      <c r="BR1883" s="2" t="s">
        <v>6083</v>
      </c>
      <c r="BS1883" s="3">
        <v>40304</v>
      </c>
      <c r="BT1883" s="4">
        <v>0.79380787037037026</v>
      </c>
    </row>
    <row r="1884" spans="1:72" x14ac:dyDescent="0.25">
      <c r="A1884" s="2">
        <v>2724</v>
      </c>
      <c r="B1884" s="2">
        <v>2010</v>
      </c>
      <c r="C1884" s="2" t="s">
        <v>121</v>
      </c>
      <c r="D1884" s="2" t="s">
        <v>122</v>
      </c>
      <c r="E1884" s="2"/>
      <c r="F1884" s="2">
        <v>1</v>
      </c>
      <c r="G1884" s="2" t="s">
        <v>82</v>
      </c>
      <c r="H1884" s="2">
        <v>1</v>
      </c>
      <c r="I1884" s="2" t="s">
        <v>82</v>
      </c>
      <c r="J1884" s="2">
        <v>1</v>
      </c>
      <c r="K1884" s="2" t="s">
        <v>107</v>
      </c>
      <c r="L1884" s="2" t="s">
        <v>107</v>
      </c>
      <c r="M1884" s="3">
        <v>40304</v>
      </c>
      <c r="N1884" s="2"/>
      <c r="O1884" s="2"/>
      <c r="P1884" s="2"/>
      <c r="Q1884" s="2" t="str">
        <f>""</f>
        <v/>
      </c>
      <c r="R1884" s="2"/>
      <c r="S1884" s="2"/>
      <c r="T1884" s="2">
        <v>2</v>
      </c>
      <c r="U1884" s="2" t="s">
        <v>123</v>
      </c>
      <c r="V1884" s="2">
        <v>1</v>
      </c>
      <c r="W1884" s="2" t="s">
        <v>80</v>
      </c>
      <c r="X1884" s="2">
        <v>11</v>
      </c>
      <c r="Y1884" s="2" t="s">
        <v>1920</v>
      </c>
      <c r="Z1884" s="2">
        <v>10</v>
      </c>
      <c r="AA1884" s="2" t="s">
        <v>236</v>
      </c>
      <c r="AB1884" s="2">
        <v>9</v>
      </c>
      <c r="AC1884" s="2" t="s">
        <v>124</v>
      </c>
      <c r="AD1884" s="3">
        <v>40304</v>
      </c>
      <c r="AE1884" s="4">
        <v>0.74305555555555547</v>
      </c>
      <c r="AF1884" s="2"/>
      <c r="AG1884" s="2"/>
      <c r="AH1884" s="2">
        <v>4</v>
      </c>
      <c r="AI1884" s="2" t="s">
        <v>125</v>
      </c>
      <c r="AJ1884" s="2">
        <v>29</v>
      </c>
      <c r="AK1884" s="2" t="s">
        <v>227</v>
      </c>
      <c r="AL1884" s="2">
        <v>10</v>
      </c>
      <c r="AM1884" s="2" t="s">
        <v>200</v>
      </c>
      <c r="AN1884" s="2" t="s">
        <v>6606</v>
      </c>
      <c r="AO1884" s="2"/>
      <c r="AP1884" s="2">
        <v>11</v>
      </c>
      <c r="AQ1884" s="2" t="s">
        <v>82</v>
      </c>
      <c r="AR1884" s="2"/>
      <c r="AS1884" s="2"/>
      <c r="AT1884" s="2" t="s">
        <v>6607</v>
      </c>
      <c r="AU1884" s="2"/>
      <c r="AV1884" s="2"/>
      <c r="AW1884" s="2"/>
      <c r="AX1884" s="2"/>
      <c r="AY1884" s="2">
        <v>41</v>
      </c>
      <c r="AZ1884" s="2" t="s">
        <v>82</v>
      </c>
      <c r="BA1884" s="2">
        <v>41</v>
      </c>
      <c r="BB1884" s="2" t="s">
        <v>82</v>
      </c>
      <c r="BC1884" s="2">
        <v>41</v>
      </c>
      <c r="BD1884" s="2" t="s">
        <v>82</v>
      </c>
      <c r="BE1884" s="2">
        <v>42</v>
      </c>
      <c r="BF1884" s="2" t="s">
        <v>182</v>
      </c>
      <c r="BG1884" s="2" t="s">
        <v>6608</v>
      </c>
      <c r="BH1884" s="4">
        <v>0.70347222222222217</v>
      </c>
      <c r="BI1884" s="4">
        <v>0.74305555555555547</v>
      </c>
      <c r="BJ1884" s="2">
        <v>13</v>
      </c>
      <c r="BK1884" s="2" t="s">
        <v>91</v>
      </c>
      <c r="BL1884" s="2" t="s">
        <v>828</v>
      </c>
      <c r="BM1884" s="2">
        <v>241</v>
      </c>
      <c r="BN1884" s="2" t="s">
        <v>82</v>
      </c>
      <c r="BO1884" s="2" t="s">
        <v>82</v>
      </c>
      <c r="BP1884" s="2">
        <v>13</v>
      </c>
      <c r="BQ1884" s="2" t="s">
        <v>91</v>
      </c>
      <c r="BR1884" s="2" t="s">
        <v>2865</v>
      </c>
      <c r="BS1884" s="3">
        <v>40304</v>
      </c>
      <c r="BT1884" s="4">
        <v>0.79744212962962957</v>
      </c>
    </row>
    <row r="1885" spans="1:72" x14ac:dyDescent="0.25">
      <c r="A1885" s="2">
        <v>2725</v>
      </c>
      <c r="B1885" s="2">
        <v>2010</v>
      </c>
      <c r="C1885" s="2" t="s">
        <v>377</v>
      </c>
      <c r="D1885" s="2" t="s">
        <v>73</v>
      </c>
      <c r="E1885" s="2"/>
      <c r="F1885" s="2">
        <v>426</v>
      </c>
      <c r="G1885" s="2" t="s">
        <v>378</v>
      </c>
      <c r="H1885" s="2">
        <v>42</v>
      </c>
      <c r="I1885" s="2" t="s">
        <v>1096</v>
      </c>
      <c r="J1885" s="2">
        <v>311</v>
      </c>
      <c r="K1885" s="2" t="s">
        <v>379</v>
      </c>
      <c r="L1885" s="2" t="s">
        <v>380</v>
      </c>
      <c r="M1885" s="3">
        <v>40304</v>
      </c>
      <c r="N1885" s="2" t="s">
        <v>4427</v>
      </c>
      <c r="O1885" s="2" t="s">
        <v>5773</v>
      </c>
      <c r="P1885" s="2"/>
      <c r="Q1885" s="2" t="str">
        <f>"068-C/10"</f>
        <v>068-C/10</v>
      </c>
      <c r="R1885" s="2"/>
      <c r="S1885" s="2" t="s">
        <v>6609</v>
      </c>
      <c r="T1885" s="2">
        <v>1</v>
      </c>
      <c r="U1885" s="2" t="s">
        <v>79</v>
      </c>
      <c r="V1885" s="2">
        <v>1</v>
      </c>
      <c r="W1885" s="2" t="s">
        <v>80</v>
      </c>
      <c r="X1885" s="2">
        <v>1</v>
      </c>
      <c r="Y1885" s="2" t="s">
        <v>81</v>
      </c>
      <c r="Z1885" s="2">
        <v>1</v>
      </c>
      <c r="AA1885" s="2" t="s">
        <v>82</v>
      </c>
      <c r="AB1885" s="2">
        <v>9</v>
      </c>
      <c r="AC1885" s="2" t="s">
        <v>124</v>
      </c>
      <c r="AD1885" s="3">
        <v>40304</v>
      </c>
      <c r="AE1885" s="4">
        <v>0.60416666666666663</v>
      </c>
      <c r="AF1885" s="2"/>
      <c r="AG1885" s="2"/>
      <c r="AH1885" s="2">
        <v>2</v>
      </c>
      <c r="AI1885" s="2" t="s">
        <v>84</v>
      </c>
      <c r="AJ1885" s="2">
        <v>9</v>
      </c>
      <c r="AK1885" s="2" t="s">
        <v>103</v>
      </c>
      <c r="AL1885" s="2">
        <v>21</v>
      </c>
      <c r="AM1885" s="2" t="s">
        <v>1311</v>
      </c>
      <c r="AN1885" s="2"/>
      <c r="AO1885" s="2" t="s">
        <v>6610</v>
      </c>
      <c r="AP1885" s="2">
        <v>11</v>
      </c>
      <c r="AQ1885" s="2" t="s">
        <v>82</v>
      </c>
      <c r="AR1885" s="2"/>
      <c r="AS1885" s="2"/>
      <c r="AT1885" s="2" t="s">
        <v>6611</v>
      </c>
      <c r="AU1885" s="2"/>
      <c r="AV1885" s="2"/>
      <c r="AW1885" s="2"/>
      <c r="AX1885" s="2"/>
      <c r="AY1885" s="2">
        <v>41</v>
      </c>
      <c r="AZ1885" s="2" t="s">
        <v>82</v>
      </c>
      <c r="BA1885" s="2">
        <v>41</v>
      </c>
      <c r="BB1885" s="2" t="s">
        <v>82</v>
      </c>
      <c r="BC1885" s="2">
        <v>41</v>
      </c>
      <c r="BD1885" s="2" t="s">
        <v>82</v>
      </c>
      <c r="BE1885" s="2">
        <v>41</v>
      </c>
      <c r="BF1885" s="2" t="s">
        <v>82</v>
      </c>
      <c r="BG1885" s="2"/>
      <c r="BH1885" s="2"/>
      <c r="BI1885" s="2"/>
      <c r="BJ1885" s="2">
        <v>241</v>
      </c>
      <c r="BK1885" s="2" t="s">
        <v>82</v>
      </c>
      <c r="BL1885" s="2"/>
      <c r="BM1885" s="2">
        <v>241</v>
      </c>
      <c r="BN1885" s="2" t="s">
        <v>82</v>
      </c>
      <c r="BO1885" s="2"/>
      <c r="BP1885" s="2">
        <v>241</v>
      </c>
      <c r="BQ1885" s="2" t="s">
        <v>82</v>
      </c>
      <c r="BR1885" s="2"/>
      <c r="BS1885" s="3">
        <v>40304</v>
      </c>
      <c r="BT1885" s="4">
        <v>0.80625000000000002</v>
      </c>
    </row>
    <row r="1886" spans="1:72" x14ac:dyDescent="0.25">
      <c r="A1886" s="2">
        <v>2726</v>
      </c>
      <c r="B1886" s="2">
        <v>2010</v>
      </c>
      <c r="C1886" s="2" t="s">
        <v>196</v>
      </c>
      <c r="D1886" s="2" t="s">
        <v>122</v>
      </c>
      <c r="E1886" s="2"/>
      <c r="F1886" s="2">
        <v>1</v>
      </c>
      <c r="G1886" s="2" t="s">
        <v>82</v>
      </c>
      <c r="H1886" s="2">
        <v>1</v>
      </c>
      <c r="I1886" s="2" t="s">
        <v>82</v>
      </c>
      <c r="J1886" s="2">
        <v>1</v>
      </c>
      <c r="K1886" s="2" t="s">
        <v>107</v>
      </c>
      <c r="L1886" s="2" t="s">
        <v>107</v>
      </c>
      <c r="M1886" s="3">
        <v>40304</v>
      </c>
      <c r="N1886" s="2"/>
      <c r="O1886" s="2"/>
      <c r="P1886" s="2"/>
      <c r="Q1886" s="2" t="str">
        <f>""</f>
        <v/>
      </c>
      <c r="R1886" s="2"/>
      <c r="S1886" s="2"/>
      <c r="T1886" s="2">
        <v>2</v>
      </c>
      <c r="U1886" s="2" t="s">
        <v>123</v>
      </c>
      <c r="V1886" s="2">
        <v>1</v>
      </c>
      <c r="W1886" s="2" t="s">
        <v>80</v>
      </c>
      <c r="X1886" s="2">
        <v>5</v>
      </c>
      <c r="Y1886" s="2" t="s">
        <v>82</v>
      </c>
      <c r="Z1886" s="2">
        <v>1</v>
      </c>
      <c r="AA1886" s="2" t="s">
        <v>82</v>
      </c>
      <c r="AB1886" s="2">
        <v>9</v>
      </c>
      <c r="AC1886" s="2" t="s">
        <v>124</v>
      </c>
      <c r="AD1886" s="3">
        <v>40304</v>
      </c>
      <c r="AE1886" s="4">
        <v>0.88680555555555562</v>
      </c>
      <c r="AF1886" s="2"/>
      <c r="AG1886" s="2"/>
      <c r="AH1886" s="2">
        <v>6</v>
      </c>
      <c r="AI1886" s="2" t="s">
        <v>197</v>
      </c>
      <c r="AJ1886" s="2">
        <v>59</v>
      </c>
      <c r="AK1886" s="2" t="s">
        <v>198</v>
      </c>
      <c r="AL1886" s="2">
        <v>18</v>
      </c>
      <c r="AM1886" s="2" t="s">
        <v>82</v>
      </c>
      <c r="AN1886" s="2" t="s">
        <v>259</v>
      </c>
      <c r="AO1886" s="2" t="s">
        <v>230</v>
      </c>
      <c r="AP1886" s="2">
        <v>11</v>
      </c>
      <c r="AQ1886" s="2" t="s">
        <v>82</v>
      </c>
      <c r="AR1886" s="2"/>
      <c r="AS1886" s="2"/>
      <c r="AT1886" s="2" t="s">
        <v>6612</v>
      </c>
      <c r="AU1886" s="2"/>
      <c r="AV1886" s="2"/>
      <c r="AW1886" s="2"/>
      <c r="AX1886" s="2"/>
      <c r="AY1886" s="2">
        <v>1</v>
      </c>
      <c r="AZ1886" s="2" t="s">
        <v>107</v>
      </c>
      <c r="BA1886" s="2">
        <v>1</v>
      </c>
      <c r="BB1886" s="2" t="s">
        <v>107</v>
      </c>
      <c r="BC1886" s="2">
        <v>1</v>
      </c>
      <c r="BD1886" s="2" t="s">
        <v>107</v>
      </c>
      <c r="BE1886" s="2">
        <v>1</v>
      </c>
      <c r="BF1886" s="2" t="s">
        <v>107</v>
      </c>
      <c r="BG1886" s="2"/>
      <c r="BH1886" s="4">
        <v>0.88680555555555562</v>
      </c>
      <c r="BI1886" s="4">
        <v>0.77083333333333337</v>
      </c>
      <c r="BJ1886" s="2">
        <v>13</v>
      </c>
      <c r="BK1886" s="2" t="s">
        <v>91</v>
      </c>
      <c r="BL1886" s="2" t="s">
        <v>170</v>
      </c>
      <c r="BM1886" s="2">
        <v>242</v>
      </c>
      <c r="BN1886" s="2" t="s">
        <v>107</v>
      </c>
      <c r="BO1886" s="2"/>
      <c r="BP1886" s="2">
        <v>13</v>
      </c>
      <c r="BQ1886" s="2" t="s">
        <v>91</v>
      </c>
      <c r="BR1886" s="2" t="s">
        <v>204</v>
      </c>
      <c r="BS1886" s="3">
        <v>40304</v>
      </c>
      <c r="BT1886" s="4">
        <v>0.89148148148148154</v>
      </c>
    </row>
    <row r="1887" spans="1:72" x14ac:dyDescent="0.25">
      <c r="A1887" s="2">
        <v>2727</v>
      </c>
      <c r="B1887" s="2">
        <v>2010</v>
      </c>
      <c r="C1887" s="2" t="s">
        <v>196</v>
      </c>
      <c r="D1887" s="2" t="s">
        <v>122</v>
      </c>
      <c r="E1887" s="2"/>
      <c r="F1887" s="2">
        <v>1</v>
      </c>
      <c r="G1887" s="2" t="s">
        <v>82</v>
      </c>
      <c r="H1887" s="2">
        <v>1</v>
      </c>
      <c r="I1887" s="2" t="s">
        <v>82</v>
      </c>
      <c r="J1887" s="2">
        <v>1</v>
      </c>
      <c r="K1887" s="2" t="s">
        <v>107</v>
      </c>
      <c r="L1887" s="2" t="s">
        <v>107</v>
      </c>
      <c r="M1887" s="3">
        <v>40304</v>
      </c>
      <c r="N1887" s="2"/>
      <c r="O1887" s="2"/>
      <c r="P1887" s="2"/>
      <c r="Q1887" s="2" t="str">
        <f>""</f>
        <v/>
      </c>
      <c r="R1887" s="2"/>
      <c r="S1887" s="2"/>
      <c r="T1887" s="2">
        <v>2</v>
      </c>
      <c r="U1887" s="2" t="s">
        <v>123</v>
      </c>
      <c r="V1887" s="2">
        <v>1</v>
      </c>
      <c r="W1887" s="2" t="s">
        <v>80</v>
      </c>
      <c r="X1887" s="2">
        <v>11</v>
      </c>
      <c r="Y1887" s="2" t="s">
        <v>1920</v>
      </c>
      <c r="Z1887" s="2">
        <v>1</v>
      </c>
      <c r="AA1887" s="2" t="s">
        <v>82</v>
      </c>
      <c r="AB1887" s="2">
        <v>9</v>
      </c>
      <c r="AC1887" s="2" t="s">
        <v>124</v>
      </c>
      <c r="AD1887" s="3">
        <v>40304</v>
      </c>
      <c r="AE1887" s="4">
        <v>0.93402777777777779</v>
      </c>
      <c r="AF1887" s="2"/>
      <c r="AG1887" s="2"/>
      <c r="AH1887" s="2">
        <v>6</v>
      </c>
      <c r="AI1887" s="2" t="s">
        <v>197</v>
      </c>
      <c r="AJ1887" s="2">
        <v>58</v>
      </c>
      <c r="AK1887" s="2" t="s">
        <v>406</v>
      </c>
      <c r="AL1887" s="2">
        <v>10</v>
      </c>
      <c r="AM1887" s="2" t="s">
        <v>200</v>
      </c>
      <c r="AN1887" s="2"/>
      <c r="AO1887" s="2" t="s">
        <v>259</v>
      </c>
      <c r="AP1887" s="2">
        <v>11</v>
      </c>
      <c r="AQ1887" s="2" t="s">
        <v>82</v>
      </c>
      <c r="AR1887" s="2"/>
      <c r="AS1887" s="2"/>
      <c r="AT1887" s="2" t="s">
        <v>6613</v>
      </c>
      <c r="AU1887" s="2"/>
      <c r="AV1887" s="2"/>
      <c r="AW1887" s="2"/>
      <c r="AX1887" s="2"/>
      <c r="AY1887" s="2">
        <v>41</v>
      </c>
      <c r="AZ1887" s="2" t="s">
        <v>82</v>
      </c>
      <c r="BA1887" s="2">
        <v>41</v>
      </c>
      <c r="BB1887" s="2" t="s">
        <v>82</v>
      </c>
      <c r="BC1887" s="2">
        <v>41</v>
      </c>
      <c r="BD1887" s="2" t="s">
        <v>82</v>
      </c>
      <c r="BE1887" s="2">
        <v>41</v>
      </c>
      <c r="BF1887" s="2" t="s">
        <v>82</v>
      </c>
      <c r="BG1887" s="2"/>
      <c r="BH1887" s="4">
        <v>0.92847222222222225</v>
      </c>
      <c r="BI1887" s="2"/>
      <c r="BJ1887" s="2">
        <v>13</v>
      </c>
      <c r="BK1887" s="2" t="s">
        <v>91</v>
      </c>
      <c r="BL1887" s="2" t="s">
        <v>524</v>
      </c>
      <c r="BM1887" s="2">
        <v>13</v>
      </c>
      <c r="BN1887" s="2" t="s">
        <v>91</v>
      </c>
      <c r="BO1887" s="2" t="s">
        <v>204</v>
      </c>
      <c r="BP1887" s="2">
        <v>13</v>
      </c>
      <c r="BQ1887" s="2" t="s">
        <v>91</v>
      </c>
      <c r="BR1887" s="2" t="s">
        <v>492</v>
      </c>
      <c r="BS1887" s="3">
        <v>40304</v>
      </c>
      <c r="BT1887" s="4">
        <v>0.93491898148148145</v>
      </c>
    </row>
    <row r="1888" spans="1:72" x14ac:dyDescent="0.25">
      <c r="A1888" s="2">
        <v>2728</v>
      </c>
      <c r="B1888" s="2">
        <v>2010</v>
      </c>
      <c r="C1888" s="2" t="s">
        <v>171</v>
      </c>
      <c r="D1888" s="2" t="s">
        <v>73</v>
      </c>
      <c r="E1888" s="2"/>
      <c r="F1888" s="2">
        <v>394</v>
      </c>
      <c r="G1888" s="2" t="s">
        <v>172</v>
      </c>
      <c r="H1888" s="2">
        <v>4</v>
      </c>
      <c r="I1888" s="2" t="s">
        <v>173</v>
      </c>
      <c r="J1888" s="2">
        <v>241</v>
      </c>
      <c r="K1888" s="2" t="s">
        <v>174</v>
      </c>
      <c r="L1888" s="2" t="s">
        <v>175</v>
      </c>
      <c r="M1888" s="3">
        <v>40305</v>
      </c>
      <c r="N1888" s="2" t="s">
        <v>176</v>
      </c>
      <c r="O1888" s="2"/>
      <c r="P1888" s="2"/>
      <c r="Q1888" s="2" t="str">
        <f>"247-E/10"</f>
        <v>247-E/10</v>
      </c>
      <c r="R1888" s="2" t="s">
        <v>6614</v>
      </c>
      <c r="S1888" s="2" t="s">
        <v>2364</v>
      </c>
      <c r="T1888" s="2">
        <v>1</v>
      </c>
      <c r="U1888" s="2" t="s">
        <v>79</v>
      </c>
      <c r="V1888" s="2">
        <v>1</v>
      </c>
      <c r="W1888" s="2" t="s">
        <v>80</v>
      </c>
      <c r="X1888" s="2">
        <v>1</v>
      </c>
      <c r="Y1888" s="2" t="s">
        <v>81</v>
      </c>
      <c r="Z1888" s="2">
        <v>1</v>
      </c>
      <c r="AA1888" s="2" t="s">
        <v>82</v>
      </c>
      <c r="AB1888" s="2">
        <v>1</v>
      </c>
      <c r="AC1888" s="2" t="s">
        <v>178</v>
      </c>
      <c r="AD1888" s="3">
        <v>40304</v>
      </c>
      <c r="AE1888" s="4">
        <v>0.72916666666666663</v>
      </c>
      <c r="AF1888" s="2"/>
      <c r="AG1888" s="2"/>
      <c r="AH1888" s="2">
        <v>2</v>
      </c>
      <c r="AI1888" s="2" t="s">
        <v>84</v>
      </c>
      <c r="AJ1888" s="2">
        <v>9</v>
      </c>
      <c r="AK1888" s="2" t="s">
        <v>103</v>
      </c>
      <c r="AL1888" s="2">
        <v>25</v>
      </c>
      <c r="AM1888" s="2" t="s">
        <v>3073</v>
      </c>
      <c r="AN1888" s="2"/>
      <c r="AO1888" s="2" t="s">
        <v>1230</v>
      </c>
      <c r="AP1888" s="2">
        <v>11</v>
      </c>
      <c r="AQ1888" s="2" t="s">
        <v>82</v>
      </c>
      <c r="AR1888" s="2"/>
      <c r="AS1888" s="2"/>
      <c r="AT1888" s="2" t="s">
        <v>6615</v>
      </c>
      <c r="AU1888" s="2"/>
      <c r="AV1888" s="2">
        <v>1</v>
      </c>
      <c r="AW1888" s="2"/>
      <c r="AX1888" s="2"/>
      <c r="AY1888" s="2">
        <v>41</v>
      </c>
      <c r="AZ1888" s="2" t="s">
        <v>82</v>
      </c>
      <c r="BA1888" s="2">
        <v>41</v>
      </c>
      <c r="BB1888" s="2" t="s">
        <v>82</v>
      </c>
      <c r="BC1888" s="2">
        <v>41</v>
      </c>
      <c r="BD1888" s="2" t="s">
        <v>82</v>
      </c>
      <c r="BE1888" s="2">
        <v>25</v>
      </c>
      <c r="BF1888" s="2" t="s">
        <v>358</v>
      </c>
      <c r="BG1888" s="2" t="s">
        <v>6616</v>
      </c>
      <c r="BH1888" s="4">
        <v>0.52083333333333337</v>
      </c>
      <c r="BI1888" s="4">
        <v>0.67708333333333337</v>
      </c>
      <c r="BJ1888" s="2">
        <v>172</v>
      </c>
      <c r="BK1888" s="2" t="s">
        <v>843</v>
      </c>
      <c r="BL1888" s="2" t="s">
        <v>844</v>
      </c>
      <c r="BM1888" s="2">
        <v>13</v>
      </c>
      <c r="BN1888" s="2" t="s">
        <v>91</v>
      </c>
      <c r="BO1888" s="2" t="s">
        <v>1084</v>
      </c>
      <c r="BP1888" s="2">
        <v>82</v>
      </c>
      <c r="BQ1888" s="2" t="s">
        <v>487</v>
      </c>
      <c r="BR1888" s="2" t="s">
        <v>6617</v>
      </c>
      <c r="BS1888" s="3">
        <v>40305</v>
      </c>
      <c r="BT1888" s="4">
        <v>6.0787037037037035E-2</v>
      </c>
    </row>
    <row r="1889" spans="1:72" x14ac:dyDescent="0.25">
      <c r="A1889" s="2">
        <v>2729</v>
      </c>
      <c r="B1889" s="2">
        <v>2010</v>
      </c>
      <c r="C1889" s="2" t="s">
        <v>72</v>
      </c>
      <c r="D1889" s="2" t="s">
        <v>73</v>
      </c>
      <c r="E1889" s="2"/>
      <c r="F1889" s="2">
        <v>390</v>
      </c>
      <c r="G1889" s="2" t="s">
        <v>475</v>
      </c>
      <c r="H1889" s="2">
        <v>6</v>
      </c>
      <c r="I1889" s="2" t="s">
        <v>1088</v>
      </c>
      <c r="J1889" s="2">
        <v>533</v>
      </c>
      <c r="K1889" s="2" t="s">
        <v>6511</v>
      </c>
      <c r="L1889" s="2" t="s">
        <v>478</v>
      </c>
      <c r="M1889" s="3">
        <v>40305</v>
      </c>
      <c r="N1889" s="2" t="s">
        <v>6470</v>
      </c>
      <c r="O1889" s="2"/>
      <c r="P1889" s="2"/>
      <c r="Q1889" s="2" t="str">
        <f>"248-E/10"</f>
        <v>248-E/10</v>
      </c>
      <c r="R1889" s="2" t="s">
        <v>601</v>
      </c>
      <c r="S1889" s="2" t="s">
        <v>601</v>
      </c>
      <c r="T1889" s="2">
        <v>1</v>
      </c>
      <c r="U1889" s="2" t="s">
        <v>79</v>
      </c>
      <c r="V1889" s="2">
        <v>1</v>
      </c>
      <c r="W1889" s="2" t="s">
        <v>80</v>
      </c>
      <c r="X1889" s="2">
        <v>12</v>
      </c>
      <c r="Y1889" s="2" t="s">
        <v>148</v>
      </c>
      <c r="Z1889" s="2">
        <v>1</v>
      </c>
      <c r="AA1889" s="2" t="s">
        <v>82</v>
      </c>
      <c r="AB1889" s="2">
        <v>6</v>
      </c>
      <c r="AC1889" s="2" t="s">
        <v>83</v>
      </c>
      <c r="AD1889" s="3">
        <v>40304</v>
      </c>
      <c r="AE1889" s="4">
        <v>0.83333333333333337</v>
      </c>
      <c r="AF1889" s="3">
        <v>40304</v>
      </c>
      <c r="AG1889" s="4">
        <v>0.88194444444444453</v>
      </c>
      <c r="AH1889" s="2">
        <v>2</v>
      </c>
      <c r="AI1889" s="2" t="s">
        <v>84</v>
      </c>
      <c r="AJ1889" s="2">
        <v>9</v>
      </c>
      <c r="AK1889" s="2" t="s">
        <v>103</v>
      </c>
      <c r="AL1889" s="2">
        <v>22</v>
      </c>
      <c r="AM1889" s="2" t="s">
        <v>1853</v>
      </c>
      <c r="AN1889" s="2" t="s">
        <v>6618</v>
      </c>
      <c r="AO1889" s="2" t="s">
        <v>6619</v>
      </c>
      <c r="AP1889" s="2">
        <v>11</v>
      </c>
      <c r="AQ1889" s="2" t="s">
        <v>82</v>
      </c>
      <c r="AR1889" s="2"/>
      <c r="AS1889" s="2"/>
      <c r="AT1889" s="2" t="s">
        <v>6620</v>
      </c>
      <c r="AU1889" s="2"/>
      <c r="AV1889" s="2"/>
      <c r="AW1889" s="2"/>
      <c r="AX1889" s="2"/>
      <c r="AY1889" s="2">
        <v>41</v>
      </c>
      <c r="AZ1889" s="2" t="s">
        <v>82</v>
      </c>
      <c r="BA1889" s="2">
        <v>41</v>
      </c>
      <c r="BB1889" s="2" t="s">
        <v>82</v>
      </c>
      <c r="BC1889" s="2">
        <v>41</v>
      </c>
      <c r="BD1889" s="2" t="s">
        <v>82</v>
      </c>
      <c r="BE1889" s="2">
        <v>13</v>
      </c>
      <c r="BF1889" s="2" t="s">
        <v>108</v>
      </c>
      <c r="BG1889" s="2" t="s">
        <v>2962</v>
      </c>
      <c r="BH1889" s="4">
        <v>0.82638888888888884</v>
      </c>
      <c r="BI1889" s="4">
        <v>0</v>
      </c>
      <c r="BJ1889" s="2">
        <v>75</v>
      </c>
      <c r="BK1889" s="2" t="s">
        <v>1264</v>
      </c>
      <c r="BL1889" s="2" t="s">
        <v>1361</v>
      </c>
      <c r="BM1889" s="2">
        <v>241</v>
      </c>
      <c r="BN1889" s="2" t="s">
        <v>82</v>
      </c>
      <c r="BO1889" s="2"/>
      <c r="BP1889" s="2">
        <v>13</v>
      </c>
      <c r="BQ1889" s="2" t="s">
        <v>91</v>
      </c>
      <c r="BR1889" s="2" t="s">
        <v>1084</v>
      </c>
      <c r="BS1889" s="3">
        <v>40305</v>
      </c>
      <c r="BT1889" s="4">
        <v>9.7256944444444438E-2</v>
      </c>
    </row>
    <row r="1890" spans="1:72" x14ac:dyDescent="0.25">
      <c r="A1890" s="2">
        <v>2730</v>
      </c>
      <c r="B1890" s="2">
        <v>2010</v>
      </c>
      <c r="C1890" s="2" t="s">
        <v>72</v>
      </c>
      <c r="D1890" s="2" t="s">
        <v>73</v>
      </c>
      <c r="E1890" s="2"/>
      <c r="F1890" s="2">
        <v>390</v>
      </c>
      <c r="G1890" s="2" t="s">
        <v>475</v>
      </c>
      <c r="H1890" s="2">
        <v>6</v>
      </c>
      <c r="I1890" s="2" t="s">
        <v>1088</v>
      </c>
      <c r="J1890" s="2">
        <v>533</v>
      </c>
      <c r="K1890" s="2" t="s">
        <v>6511</v>
      </c>
      <c r="L1890" s="2" t="s">
        <v>478</v>
      </c>
      <c r="M1890" s="3">
        <v>40305</v>
      </c>
      <c r="N1890" s="2" t="s">
        <v>6470</v>
      </c>
      <c r="O1890" s="2"/>
      <c r="P1890" s="2"/>
      <c r="Q1890" s="2" t="str">
        <f>"249-E/10"</f>
        <v>249-E/10</v>
      </c>
      <c r="R1890" s="2" t="s">
        <v>601</v>
      </c>
      <c r="S1890" s="2" t="s">
        <v>601</v>
      </c>
      <c r="T1890" s="2">
        <v>1</v>
      </c>
      <c r="U1890" s="2" t="s">
        <v>79</v>
      </c>
      <c r="V1890" s="2">
        <v>1</v>
      </c>
      <c r="W1890" s="2" t="s">
        <v>80</v>
      </c>
      <c r="X1890" s="2">
        <v>12</v>
      </c>
      <c r="Y1890" s="2" t="s">
        <v>148</v>
      </c>
      <c r="Z1890" s="2">
        <v>1</v>
      </c>
      <c r="AA1890" s="2" t="s">
        <v>82</v>
      </c>
      <c r="AB1890" s="2">
        <v>6</v>
      </c>
      <c r="AC1890" s="2" t="s">
        <v>83</v>
      </c>
      <c r="AD1890" s="3">
        <v>40304</v>
      </c>
      <c r="AE1890" s="4">
        <v>0.83333333333333337</v>
      </c>
      <c r="AF1890" s="3">
        <v>40304</v>
      </c>
      <c r="AG1890" s="4">
        <v>0.91666666666666663</v>
      </c>
      <c r="AH1890" s="2">
        <v>2</v>
      </c>
      <c r="AI1890" s="2" t="s">
        <v>84</v>
      </c>
      <c r="AJ1890" s="2">
        <v>9</v>
      </c>
      <c r="AK1890" s="2" t="s">
        <v>103</v>
      </c>
      <c r="AL1890" s="2">
        <v>22</v>
      </c>
      <c r="AM1890" s="2" t="s">
        <v>1853</v>
      </c>
      <c r="AN1890" s="2" t="s">
        <v>6621</v>
      </c>
      <c r="AO1890" s="2" t="s">
        <v>6622</v>
      </c>
      <c r="AP1890" s="2">
        <v>11</v>
      </c>
      <c r="AQ1890" s="2" t="s">
        <v>82</v>
      </c>
      <c r="AR1890" s="2"/>
      <c r="AS1890" s="2"/>
      <c r="AT1890" s="2" t="s">
        <v>6623</v>
      </c>
      <c r="AU1890" s="2"/>
      <c r="AV1890" s="2"/>
      <c r="AW1890" s="2"/>
      <c r="AX1890" s="2"/>
      <c r="AY1890" s="2">
        <v>41</v>
      </c>
      <c r="AZ1890" s="2" t="s">
        <v>82</v>
      </c>
      <c r="BA1890" s="2">
        <v>41</v>
      </c>
      <c r="BB1890" s="2" t="s">
        <v>82</v>
      </c>
      <c r="BC1890" s="2">
        <v>41</v>
      </c>
      <c r="BD1890" s="2" t="s">
        <v>82</v>
      </c>
      <c r="BE1890" s="2">
        <v>13</v>
      </c>
      <c r="BF1890" s="2" t="s">
        <v>108</v>
      </c>
      <c r="BG1890" s="2" t="s">
        <v>2962</v>
      </c>
      <c r="BH1890" s="4">
        <v>0.82638888888888884</v>
      </c>
      <c r="BI1890" s="4">
        <v>0</v>
      </c>
      <c r="BJ1890" s="2">
        <v>75</v>
      </c>
      <c r="BK1890" s="2" t="s">
        <v>1264</v>
      </c>
      <c r="BL1890" s="2" t="s">
        <v>1361</v>
      </c>
      <c r="BM1890" s="2">
        <v>241</v>
      </c>
      <c r="BN1890" s="2" t="s">
        <v>82</v>
      </c>
      <c r="BO1890" s="2"/>
      <c r="BP1890" s="2">
        <v>13</v>
      </c>
      <c r="BQ1890" s="2" t="s">
        <v>91</v>
      </c>
      <c r="BR1890" s="2" t="s">
        <v>1084</v>
      </c>
      <c r="BS1890" s="3">
        <v>40305</v>
      </c>
      <c r="BT1890" s="4">
        <v>0.11321759259259261</v>
      </c>
    </row>
    <row r="1891" spans="1:72" x14ac:dyDescent="0.25">
      <c r="A1891" s="2">
        <v>2731</v>
      </c>
      <c r="B1891" s="2">
        <v>2010</v>
      </c>
      <c r="C1891" s="2" t="s">
        <v>171</v>
      </c>
      <c r="D1891" s="2" t="s">
        <v>122</v>
      </c>
      <c r="E1891" s="2" t="s">
        <v>6624</v>
      </c>
      <c r="F1891" s="2">
        <v>394</v>
      </c>
      <c r="G1891" s="2" t="s">
        <v>172</v>
      </c>
      <c r="H1891" s="2">
        <v>4</v>
      </c>
      <c r="I1891" s="2" t="s">
        <v>173</v>
      </c>
      <c r="J1891" s="2">
        <v>241</v>
      </c>
      <c r="K1891" s="2" t="s">
        <v>174</v>
      </c>
      <c r="L1891" s="2" t="s">
        <v>175</v>
      </c>
      <c r="M1891" s="3">
        <v>40305</v>
      </c>
      <c r="N1891" s="2" t="s">
        <v>176</v>
      </c>
      <c r="O1891" s="2"/>
      <c r="P1891" s="2"/>
      <c r="Q1891" s="2" t="str">
        <f>"247-E/10"</f>
        <v>247-E/10</v>
      </c>
      <c r="R1891" s="2" t="s">
        <v>2364</v>
      </c>
      <c r="S1891" s="2" t="s">
        <v>6614</v>
      </c>
      <c r="T1891" s="2">
        <v>1</v>
      </c>
      <c r="U1891" s="2" t="s">
        <v>79</v>
      </c>
      <c r="V1891" s="2">
        <v>1</v>
      </c>
      <c r="W1891" s="2" t="s">
        <v>80</v>
      </c>
      <c r="X1891" s="2">
        <v>1</v>
      </c>
      <c r="Y1891" s="2" t="s">
        <v>81</v>
      </c>
      <c r="Z1891" s="2">
        <v>1</v>
      </c>
      <c r="AA1891" s="2" t="s">
        <v>82</v>
      </c>
      <c r="AB1891" s="2">
        <v>1</v>
      </c>
      <c r="AC1891" s="2" t="s">
        <v>178</v>
      </c>
      <c r="AD1891" s="3">
        <v>40304</v>
      </c>
      <c r="AE1891" s="4">
        <v>0.72916666666666663</v>
      </c>
      <c r="AF1891" s="2"/>
      <c r="AG1891" s="2"/>
      <c r="AH1891" s="2">
        <v>2</v>
      </c>
      <c r="AI1891" s="2" t="s">
        <v>84</v>
      </c>
      <c r="AJ1891" s="2">
        <v>9</v>
      </c>
      <c r="AK1891" s="2" t="s">
        <v>103</v>
      </c>
      <c r="AL1891" s="2">
        <v>14</v>
      </c>
      <c r="AM1891" s="2" t="s">
        <v>216</v>
      </c>
      <c r="AN1891" s="2" t="s">
        <v>179</v>
      </c>
      <c r="AO1891" s="2" t="s">
        <v>179</v>
      </c>
      <c r="AP1891" s="2">
        <v>11</v>
      </c>
      <c r="AQ1891" s="2" t="s">
        <v>82</v>
      </c>
      <c r="AR1891" s="2"/>
      <c r="AS1891" s="2"/>
      <c r="AT1891" s="2" t="s">
        <v>6625</v>
      </c>
      <c r="AU1891" s="2"/>
      <c r="AV1891" s="2">
        <v>1</v>
      </c>
      <c r="AW1891" s="2"/>
      <c r="AX1891" s="2"/>
      <c r="AY1891" s="2">
        <v>41</v>
      </c>
      <c r="AZ1891" s="2" t="s">
        <v>82</v>
      </c>
      <c r="BA1891" s="2">
        <v>41</v>
      </c>
      <c r="BB1891" s="2" t="s">
        <v>82</v>
      </c>
      <c r="BC1891" s="2">
        <v>41</v>
      </c>
      <c r="BD1891" s="2" t="s">
        <v>82</v>
      </c>
      <c r="BE1891" s="2">
        <v>25</v>
      </c>
      <c r="BF1891" s="2" t="s">
        <v>358</v>
      </c>
      <c r="BG1891" s="2" t="s">
        <v>6616</v>
      </c>
      <c r="BH1891" s="4">
        <v>0.52083333333333337</v>
      </c>
      <c r="BI1891" s="4">
        <v>0.67708333333333337</v>
      </c>
      <c r="BJ1891" s="2">
        <v>172</v>
      </c>
      <c r="BK1891" s="2" t="s">
        <v>843</v>
      </c>
      <c r="BL1891" s="2" t="s">
        <v>844</v>
      </c>
      <c r="BM1891" s="2">
        <v>13</v>
      </c>
      <c r="BN1891" s="2" t="s">
        <v>91</v>
      </c>
      <c r="BO1891" s="2" t="s">
        <v>1084</v>
      </c>
      <c r="BP1891" s="2">
        <v>82</v>
      </c>
      <c r="BQ1891" s="2" t="s">
        <v>487</v>
      </c>
      <c r="BR1891" s="2" t="s">
        <v>6617</v>
      </c>
      <c r="BS1891" s="3">
        <v>40305</v>
      </c>
      <c r="BT1891" s="4">
        <v>0.15252314814814816</v>
      </c>
    </row>
    <row r="1892" spans="1:72" x14ac:dyDescent="0.25">
      <c r="A1892" s="2">
        <v>2733</v>
      </c>
      <c r="B1892" s="2">
        <v>2010</v>
      </c>
      <c r="C1892" s="2" t="s">
        <v>764</v>
      </c>
      <c r="D1892" s="2" t="s">
        <v>73</v>
      </c>
      <c r="E1892" s="2"/>
      <c r="F1892" s="2">
        <v>390</v>
      </c>
      <c r="G1892" s="2" t="s">
        <v>475</v>
      </c>
      <c r="H1892" s="2">
        <v>6</v>
      </c>
      <c r="I1892" s="2" t="s">
        <v>1088</v>
      </c>
      <c r="J1892" s="2">
        <v>533</v>
      </c>
      <c r="K1892" s="2" t="s">
        <v>6511</v>
      </c>
      <c r="L1892" s="2" t="s">
        <v>478</v>
      </c>
      <c r="M1892" s="3">
        <v>40305</v>
      </c>
      <c r="N1892" s="2" t="s">
        <v>6626</v>
      </c>
      <c r="O1892" s="2"/>
      <c r="P1892" s="2"/>
      <c r="Q1892" s="2" t="str">
        <f>"250-E/10"</f>
        <v>250-E/10</v>
      </c>
      <c r="R1892" s="2" t="s">
        <v>480</v>
      </c>
      <c r="S1892" s="2" t="s">
        <v>480</v>
      </c>
      <c r="T1892" s="2">
        <v>1</v>
      </c>
      <c r="U1892" s="2" t="s">
        <v>79</v>
      </c>
      <c r="V1892" s="2">
        <v>1</v>
      </c>
      <c r="W1892" s="2" t="s">
        <v>80</v>
      </c>
      <c r="X1892" s="2">
        <v>12</v>
      </c>
      <c r="Y1892" s="2" t="s">
        <v>148</v>
      </c>
      <c r="Z1892" s="2">
        <v>1</v>
      </c>
      <c r="AA1892" s="2" t="s">
        <v>82</v>
      </c>
      <c r="AB1892" s="2">
        <v>9</v>
      </c>
      <c r="AC1892" s="2" t="s">
        <v>124</v>
      </c>
      <c r="AD1892" s="3">
        <v>40304</v>
      </c>
      <c r="AE1892" s="2"/>
      <c r="AF1892" s="3">
        <v>40304</v>
      </c>
      <c r="AG1892" s="4">
        <v>0.88194444444444453</v>
      </c>
      <c r="AH1892" s="2">
        <v>2</v>
      </c>
      <c r="AI1892" s="2" t="s">
        <v>84</v>
      </c>
      <c r="AJ1892" s="2">
        <v>9</v>
      </c>
      <c r="AK1892" s="2" t="s">
        <v>103</v>
      </c>
      <c r="AL1892" s="2">
        <v>9</v>
      </c>
      <c r="AM1892" s="2" t="s">
        <v>259</v>
      </c>
      <c r="AN1892" s="2" t="s">
        <v>6627</v>
      </c>
      <c r="AO1892" s="2" t="s">
        <v>6628</v>
      </c>
      <c r="AP1892" s="2">
        <v>11</v>
      </c>
      <c r="AQ1892" s="2" t="s">
        <v>82</v>
      </c>
      <c r="AR1892" s="2"/>
      <c r="AS1892" s="2"/>
      <c r="AT1892" s="2" t="s">
        <v>6629</v>
      </c>
      <c r="AU1892" s="2"/>
      <c r="AV1892" s="2"/>
      <c r="AW1892" s="2"/>
      <c r="AX1892" s="2"/>
      <c r="AY1892" s="2">
        <v>41</v>
      </c>
      <c r="AZ1892" s="2" t="s">
        <v>82</v>
      </c>
      <c r="BA1892" s="2">
        <v>41</v>
      </c>
      <c r="BB1892" s="2" t="s">
        <v>82</v>
      </c>
      <c r="BC1892" s="2">
        <v>41</v>
      </c>
      <c r="BD1892" s="2" t="s">
        <v>82</v>
      </c>
      <c r="BE1892" s="2">
        <v>41</v>
      </c>
      <c r="BF1892" s="2" t="s">
        <v>82</v>
      </c>
      <c r="BG1892" s="2"/>
      <c r="BH1892" s="4">
        <v>0</v>
      </c>
      <c r="BI1892" s="4">
        <v>0</v>
      </c>
      <c r="BJ1892" s="2">
        <v>241</v>
      </c>
      <c r="BK1892" s="2" t="s">
        <v>82</v>
      </c>
      <c r="BL1892" s="2"/>
      <c r="BM1892" s="2">
        <v>241</v>
      </c>
      <c r="BN1892" s="2" t="s">
        <v>82</v>
      </c>
      <c r="BO1892" s="2"/>
      <c r="BP1892" s="2">
        <v>241</v>
      </c>
      <c r="BQ1892" s="2" t="s">
        <v>82</v>
      </c>
      <c r="BR1892" s="2"/>
      <c r="BS1892" s="3">
        <v>40305</v>
      </c>
      <c r="BT1892" s="4">
        <v>0.4484143518518518</v>
      </c>
    </row>
    <row r="1893" spans="1:72" x14ac:dyDescent="0.25">
      <c r="A1893" s="2">
        <v>2737</v>
      </c>
      <c r="B1893" s="2">
        <v>2010</v>
      </c>
      <c r="C1893" s="2" t="s">
        <v>819</v>
      </c>
      <c r="D1893" s="2" t="s">
        <v>122</v>
      </c>
      <c r="E1893" s="2" t="s">
        <v>6630</v>
      </c>
      <c r="F1893" s="2">
        <v>425</v>
      </c>
      <c r="G1893" s="2" t="s">
        <v>286</v>
      </c>
      <c r="H1893" s="2">
        <v>30</v>
      </c>
      <c r="I1893" s="2" t="s">
        <v>912</v>
      </c>
      <c r="J1893" s="2">
        <v>310</v>
      </c>
      <c r="K1893" s="2" t="s">
        <v>288</v>
      </c>
      <c r="L1893" s="2" t="s">
        <v>289</v>
      </c>
      <c r="M1893" s="3">
        <v>40305</v>
      </c>
      <c r="N1893" s="2" t="s">
        <v>2049</v>
      </c>
      <c r="O1893" s="2" t="s">
        <v>5454</v>
      </c>
      <c r="P1893" s="2" t="s">
        <v>5454</v>
      </c>
      <c r="Q1893" s="2" t="str">
        <f>"047/10"</f>
        <v>047/10</v>
      </c>
      <c r="R1893" s="2" t="s">
        <v>5454</v>
      </c>
      <c r="S1893" s="2" t="s">
        <v>822</v>
      </c>
      <c r="T1893" s="2">
        <v>1</v>
      </c>
      <c r="U1893" s="2" t="s">
        <v>79</v>
      </c>
      <c r="V1893" s="2">
        <v>1</v>
      </c>
      <c r="W1893" s="2" t="s">
        <v>80</v>
      </c>
      <c r="X1893" s="2">
        <v>1</v>
      </c>
      <c r="Y1893" s="2" t="s">
        <v>81</v>
      </c>
      <c r="Z1893" s="2">
        <v>10</v>
      </c>
      <c r="AA1893" s="2" t="s">
        <v>236</v>
      </c>
      <c r="AB1893" s="2">
        <v>9</v>
      </c>
      <c r="AC1893" s="2" t="s">
        <v>124</v>
      </c>
      <c r="AD1893" s="3">
        <v>40305</v>
      </c>
      <c r="AE1893" s="4">
        <v>0.48958333333333331</v>
      </c>
      <c r="AF1893" s="2"/>
      <c r="AG1893" s="2"/>
      <c r="AH1893" s="2">
        <v>4</v>
      </c>
      <c r="AI1893" s="2" t="s">
        <v>125</v>
      </c>
      <c r="AJ1893" s="2">
        <v>29</v>
      </c>
      <c r="AK1893" s="2" t="s">
        <v>227</v>
      </c>
      <c r="AL1893" s="2">
        <v>16</v>
      </c>
      <c r="AM1893" s="2" t="s">
        <v>392</v>
      </c>
      <c r="AN1893" s="2" t="s">
        <v>883</v>
      </c>
      <c r="AO1893" s="2" t="s">
        <v>3719</v>
      </c>
      <c r="AP1893" s="2">
        <v>14</v>
      </c>
      <c r="AQ1893" s="2" t="s">
        <v>3301</v>
      </c>
      <c r="AR1893" s="2" t="s">
        <v>824</v>
      </c>
      <c r="AS1893" s="2" t="s">
        <v>884</v>
      </c>
      <c r="AT1893" s="2" t="s">
        <v>6631</v>
      </c>
      <c r="AU1893" s="2"/>
      <c r="AV1893" s="2"/>
      <c r="AW1893" s="2"/>
      <c r="AX1893" s="2"/>
      <c r="AY1893" s="2">
        <v>41</v>
      </c>
      <c r="AZ1893" s="2" t="s">
        <v>82</v>
      </c>
      <c r="BA1893" s="2">
        <v>41</v>
      </c>
      <c r="BB1893" s="2" t="s">
        <v>82</v>
      </c>
      <c r="BC1893" s="2">
        <v>41</v>
      </c>
      <c r="BD1893" s="2" t="s">
        <v>82</v>
      </c>
      <c r="BE1893" s="2">
        <v>4</v>
      </c>
      <c r="BF1893" s="2" t="s">
        <v>90</v>
      </c>
      <c r="BG1893" s="2">
        <v>4139</v>
      </c>
      <c r="BH1893" s="4">
        <v>0.81597222222222221</v>
      </c>
      <c r="BI1893" s="4">
        <v>0.84722222222222221</v>
      </c>
      <c r="BJ1893" s="2">
        <v>13</v>
      </c>
      <c r="BK1893" s="2" t="s">
        <v>91</v>
      </c>
      <c r="BL1893" s="2" t="s">
        <v>828</v>
      </c>
      <c r="BM1893" s="2">
        <v>241</v>
      </c>
      <c r="BN1893" s="2" t="s">
        <v>82</v>
      </c>
      <c r="BO1893" s="2" t="s">
        <v>82</v>
      </c>
      <c r="BP1893" s="2">
        <v>13</v>
      </c>
      <c r="BQ1893" s="2" t="s">
        <v>91</v>
      </c>
      <c r="BR1893" s="2" t="s">
        <v>1108</v>
      </c>
      <c r="BS1893" s="3">
        <v>40305</v>
      </c>
      <c r="BT1893" s="4">
        <v>0.52208333333333334</v>
      </c>
    </row>
    <row r="1894" spans="1:72" x14ac:dyDescent="0.25">
      <c r="A1894" s="2">
        <v>2739</v>
      </c>
      <c r="B1894" s="2">
        <v>2010</v>
      </c>
      <c r="C1894" s="2" t="s">
        <v>764</v>
      </c>
      <c r="D1894" s="2" t="s">
        <v>73</v>
      </c>
      <c r="E1894" s="2"/>
      <c r="F1894" s="2">
        <v>367</v>
      </c>
      <c r="G1894" s="2" t="s">
        <v>6632</v>
      </c>
      <c r="H1894" s="2">
        <v>42</v>
      </c>
      <c r="I1894" s="2" t="s">
        <v>1096</v>
      </c>
      <c r="J1894" s="2">
        <v>547</v>
      </c>
      <c r="K1894" s="2" t="s">
        <v>881</v>
      </c>
      <c r="L1894" s="2" t="s">
        <v>6633</v>
      </c>
      <c r="M1894" s="3">
        <v>40305</v>
      </c>
      <c r="N1894" s="2" t="s">
        <v>6634</v>
      </c>
      <c r="O1894" s="2"/>
      <c r="P1894" s="2"/>
      <c r="Q1894" s="2" t="str">
        <f>"N/C"</f>
        <v>N/C</v>
      </c>
      <c r="R1894" s="2" t="s">
        <v>82</v>
      </c>
      <c r="S1894" s="2"/>
      <c r="T1894" s="2">
        <v>1</v>
      </c>
      <c r="U1894" s="2" t="s">
        <v>79</v>
      </c>
      <c r="V1894" s="2">
        <v>1</v>
      </c>
      <c r="W1894" s="2" t="s">
        <v>80</v>
      </c>
      <c r="X1894" s="2">
        <v>1</v>
      </c>
      <c r="Y1894" s="2" t="s">
        <v>81</v>
      </c>
      <c r="Z1894" s="2">
        <v>1</v>
      </c>
      <c r="AA1894" s="2" t="s">
        <v>82</v>
      </c>
      <c r="AB1894" s="2">
        <v>9</v>
      </c>
      <c r="AC1894" s="2" t="s">
        <v>124</v>
      </c>
      <c r="AD1894" s="3">
        <v>40304</v>
      </c>
      <c r="AE1894" s="4">
        <v>0.57291666666666663</v>
      </c>
      <c r="AF1894" s="2"/>
      <c r="AG1894" s="2"/>
      <c r="AH1894" s="2">
        <v>4</v>
      </c>
      <c r="AI1894" s="2" t="s">
        <v>125</v>
      </c>
      <c r="AJ1894" s="2">
        <v>30</v>
      </c>
      <c r="AK1894" s="2" t="s">
        <v>258</v>
      </c>
      <c r="AL1894" s="2">
        <v>25</v>
      </c>
      <c r="AM1894" s="2" t="s">
        <v>3073</v>
      </c>
      <c r="AN1894" s="2" t="s">
        <v>6635</v>
      </c>
      <c r="AO1894" s="2" t="s">
        <v>6636</v>
      </c>
      <c r="AP1894" s="2">
        <v>11</v>
      </c>
      <c r="AQ1894" s="2" t="s">
        <v>82</v>
      </c>
      <c r="AR1894" s="2"/>
      <c r="AS1894" s="2"/>
      <c r="AT1894" s="2" t="s">
        <v>6637</v>
      </c>
      <c r="AU1894" s="2"/>
      <c r="AV1894" s="2"/>
      <c r="AW1894" s="2"/>
      <c r="AX1894" s="2"/>
      <c r="AY1894" s="2">
        <v>1</v>
      </c>
      <c r="AZ1894" s="2" t="s">
        <v>107</v>
      </c>
      <c r="BA1894" s="2">
        <v>1</v>
      </c>
      <c r="BB1894" s="2" t="s">
        <v>107</v>
      </c>
      <c r="BC1894" s="2">
        <v>1</v>
      </c>
      <c r="BD1894" s="2" t="s">
        <v>107</v>
      </c>
      <c r="BE1894" s="2">
        <v>1</v>
      </c>
      <c r="BF1894" s="2" t="s">
        <v>107</v>
      </c>
      <c r="BG1894" s="2"/>
      <c r="BH1894" s="2"/>
      <c r="BI1894" s="2"/>
      <c r="BJ1894" s="2">
        <v>242</v>
      </c>
      <c r="BK1894" s="2" t="s">
        <v>107</v>
      </c>
      <c r="BL1894" s="2"/>
      <c r="BM1894" s="2">
        <v>242</v>
      </c>
      <c r="BN1894" s="2" t="s">
        <v>107</v>
      </c>
      <c r="BO1894" s="2"/>
      <c r="BP1894" s="2">
        <v>242</v>
      </c>
      <c r="BQ1894" s="2" t="s">
        <v>107</v>
      </c>
      <c r="BR1894" s="2"/>
      <c r="BS1894" s="3">
        <v>40305</v>
      </c>
      <c r="BT1894" s="4">
        <v>0.53656249999999994</v>
      </c>
    </row>
    <row r="1895" spans="1:72" x14ac:dyDescent="0.25">
      <c r="A1895" s="2">
        <v>2742</v>
      </c>
      <c r="B1895" s="2">
        <v>2010</v>
      </c>
      <c r="C1895" s="2" t="s">
        <v>121</v>
      </c>
      <c r="D1895" s="2" t="s">
        <v>122</v>
      </c>
      <c r="E1895" s="2"/>
      <c r="F1895" s="2">
        <v>1</v>
      </c>
      <c r="G1895" s="2" t="s">
        <v>82</v>
      </c>
      <c r="H1895" s="2">
        <v>1</v>
      </c>
      <c r="I1895" s="2" t="s">
        <v>82</v>
      </c>
      <c r="J1895" s="2">
        <v>1</v>
      </c>
      <c r="K1895" s="2" t="s">
        <v>107</v>
      </c>
      <c r="L1895" s="2" t="s">
        <v>107</v>
      </c>
      <c r="M1895" s="3">
        <v>40305</v>
      </c>
      <c r="N1895" s="2"/>
      <c r="O1895" s="2"/>
      <c r="P1895" s="2"/>
      <c r="Q1895" s="2" t="str">
        <f>""</f>
        <v/>
      </c>
      <c r="R1895" s="2"/>
      <c r="S1895" s="2"/>
      <c r="T1895" s="2">
        <v>2</v>
      </c>
      <c r="U1895" s="2" t="s">
        <v>123</v>
      </c>
      <c r="V1895" s="2">
        <v>1</v>
      </c>
      <c r="W1895" s="2" t="s">
        <v>80</v>
      </c>
      <c r="X1895" s="2">
        <v>5</v>
      </c>
      <c r="Y1895" s="2" t="s">
        <v>82</v>
      </c>
      <c r="Z1895" s="2">
        <v>1</v>
      </c>
      <c r="AA1895" s="2" t="s">
        <v>82</v>
      </c>
      <c r="AB1895" s="2">
        <v>9</v>
      </c>
      <c r="AC1895" s="2" t="s">
        <v>124</v>
      </c>
      <c r="AD1895" s="2"/>
      <c r="AE1895" s="2"/>
      <c r="AF1895" s="2"/>
      <c r="AG1895" s="2"/>
      <c r="AH1895" s="2">
        <v>4</v>
      </c>
      <c r="AI1895" s="2" t="s">
        <v>125</v>
      </c>
      <c r="AJ1895" s="2">
        <v>30</v>
      </c>
      <c r="AK1895" s="2" t="s">
        <v>258</v>
      </c>
      <c r="AL1895" s="2">
        <v>18</v>
      </c>
      <c r="AM1895" s="2" t="s">
        <v>82</v>
      </c>
      <c r="AN1895" s="2" t="s">
        <v>6638</v>
      </c>
      <c r="AO1895" s="2" t="s">
        <v>230</v>
      </c>
      <c r="AP1895" s="2">
        <v>11</v>
      </c>
      <c r="AQ1895" s="2" t="s">
        <v>82</v>
      </c>
      <c r="AR1895" s="2"/>
      <c r="AS1895" s="2"/>
      <c r="AT1895" s="2" t="s">
        <v>6639</v>
      </c>
      <c r="AU1895" s="2"/>
      <c r="AV1895" s="2"/>
      <c r="AW1895" s="2"/>
      <c r="AX1895" s="2"/>
      <c r="AY1895" s="2">
        <v>1</v>
      </c>
      <c r="AZ1895" s="2" t="s">
        <v>107</v>
      </c>
      <c r="BA1895" s="2">
        <v>1</v>
      </c>
      <c r="BB1895" s="2" t="s">
        <v>107</v>
      </c>
      <c r="BC1895" s="2">
        <v>1</v>
      </c>
      <c r="BD1895" s="2" t="s">
        <v>107</v>
      </c>
      <c r="BE1895" s="2">
        <v>1</v>
      </c>
      <c r="BF1895" s="2" t="s">
        <v>107</v>
      </c>
      <c r="BG1895" s="2" t="s">
        <v>6640</v>
      </c>
      <c r="BH1895" s="4">
        <v>0.75347222222222221</v>
      </c>
      <c r="BI1895" s="4">
        <v>0.79861111111111116</v>
      </c>
      <c r="BJ1895" s="2">
        <v>242</v>
      </c>
      <c r="BK1895" s="2" t="s">
        <v>107</v>
      </c>
      <c r="BL1895" s="2" t="s">
        <v>828</v>
      </c>
      <c r="BM1895" s="2">
        <v>13</v>
      </c>
      <c r="BN1895" s="2" t="s">
        <v>91</v>
      </c>
      <c r="BO1895" s="2" t="s">
        <v>2865</v>
      </c>
      <c r="BP1895" s="2">
        <v>13</v>
      </c>
      <c r="BQ1895" s="2" t="s">
        <v>91</v>
      </c>
      <c r="BR1895" s="2" t="s">
        <v>185</v>
      </c>
      <c r="BS1895" s="3">
        <v>40305</v>
      </c>
      <c r="BT1895" s="4">
        <v>0.58537037037037043</v>
      </c>
    </row>
    <row r="1896" spans="1:72" x14ac:dyDescent="0.25">
      <c r="A1896" s="2">
        <v>2743</v>
      </c>
      <c r="B1896" s="2">
        <v>2010</v>
      </c>
      <c r="C1896" s="2" t="s">
        <v>457</v>
      </c>
      <c r="D1896" s="2" t="s">
        <v>73</v>
      </c>
      <c r="E1896" s="2"/>
      <c r="F1896" s="2">
        <v>467</v>
      </c>
      <c r="G1896" s="2" t="s">
        <v>1053</v>
      </c>
      <c r="H1896" s="2">
        <v>42</v>
      </c>
      <c r="I1896" s="2" t="s">
        <v>1096</v>
      </c>
      <c r="J1896" s="2">
        <v>369</v>
      </c>
      <c r="K1896" s="2" t="s">
        <v>1054</v>
      </c>
      <c r="L1896" s="2" t="s">
        <v>1055</v>
      </c>
      <c r="M1896" s="3">
        <v>40305</v>
      </c>
      <c r="N1896" s="2" t="s">
        <v>3617</v>
      </c>
      <c r="O1896" s="2" t="s">
        <v>6641</v>
      </c>
      <c r="P1896" s="2" t="s">
        <v>6642</v>
      </c>
      <c r="Q1896" s="2" t="str">
        <f>""</f>
        <v/>
      </c>
      <c r="R1896" s="2"/>
      <c r="S1896" s="2"/>
      <c r="T1896" s="2">
        <v>1</v>
      </c>
      <c r="U1896" s="2" t="s">
        <v>79</v>
      </c>
      <c r="V1896" s="2">
        <v>1</v>
      </c>
      <c r="W1896" s="2" t="s">
        <v>80</v>
      </c>
      <c r="X1896" s="2">
        <v>4</v>
      </c>
      <c r="Y1896" s="2" t="s">
        <v>463</v>
      </c>
      <c r="Z1896" s="2">
        <v>6</v>
      </c>
      <c r="AA1896" s="2" t="s">
        <v>101</v>
      </c>
      <c r="AB1896" s="2">
        <v>9</v>
      </c>
      <c r="AC1896" s="2" t="s">
        <v>124</v>
      </c>
      <c r="AD1896" s="3">
        <v>40305</v>
      </c>
      <c r="AE1896" s="4">
        <v>0.54166666666666663</v>
      </c>
      <c r="AF1896" s="2"/>
      <c r="AG1896" s="2"/>
      <c r="AH1896" s="2">
        <v>4</v>
      </c>
      <c r="AI1896" s="2" t="s">
        <v>125</v>
      </c>
      <c r="AJ1896" s="2">
        <v>29</v>
      </c>
      <c r="AK1896" s="2" t="s">
        <v>227</v>
      </c>
      <c r="AL1896" s="2">
        <v>11</v>
      </c>
      <c r="AM1896" s="2" t="s">
        <v>137</v>
      </c>
      <c r="AN1896" s="2" t="s">
        <v>3299</v>
      </c>
      <c r="AO1896" s="2" t="s">
        <v>6643</v>
      </c>
      <c r="AP1896" s="2">
        <v>11</v>
      </c>
      <c r="AQ1896" s="2" t="s">
        <v>82</v>
      </c>
      <c r="AR1896" s="2" t="s">
        <v>2529</v>
      </c>
      <c r="AS1896" s="2" t="s">
        <v>3620</v>
      </c>
      <c r="AT1896" s="2" t="s">
        <v>6644</v>
      </c>
      <c r="AU1896" s="2"/>
      <c r="AV1896" s="2"/>
      <c r="AW1896" s="2"/>
      <c r="AX1896" s="2"/>
      <c r="AY1896" s="2">
        <v>41</v>
      </c>
      <c r="AZ1896" s="2" t="s">
        <v>82</v>
      </c>
      <c r="BA1896" s="2">
        <v>41</v>
      </c>
      <c r="BB1896" s="2" t="s">
        <v>82</v>
      </c>
      <c r="BC1896" s="2">
        <v>41</v>
      </c>
      <c r="BD1896" s="2" t="s">
        <v>82</v>
      </c>
      <c r="BE1896" s="2">
        <v>41</v>
      </c>
      <c r="BF1896" s="2" t="s">
        <v>82</v>
      </c>
      <c r="BG1896" s="2" t="s">
        <v>6645</v>
      </c>
      <c r="BH1896" s="4">
        <v>0.51041666666666663</v>
      </c>
      <c r="BI1896" s="4">
        <v>0.54166666666666663</v>
      </c>
      <c r="BJ1896" s="2">
        <v>13</v>
      </c>
      <c r="BK1896" s="2" t="s">
        <v>91</v>
      </c>
      <c r="BL1896" s="2" t="s">
        <v>828</v>
      </c>
      <c r="BM1896" s="2">
        <v>241</v>
      </c>
      <c r="BN1896" s="2" t="s">
        <v>82</v>
      </c>
      <c r="BO1896" s="2" t="s">
        <v>82</v>
      </c>
      <c r="BP1896" s="2">
        <v>29</v>
      </c>
      <c r="BQ1896" s="2" t="s">
        <v>962</v>
      </c>
      <c r="BR1896" s="2" t="s">
        <v>963</v>
      </c>
      <c r="BS1896" s="3">
        <v>40305</v>
      </c>
      <c r="BT1896" s="4">
        <v>0.58729166666666666</v>
      </c>
    </row>
    <row r="1897" spans="1:72" x14ac:dyDescent="0.25">
      <c r="A1897" s="2">
        <v>2746</v>
      </c>
      <c r="B1897" s="2">
        <v>2010</v>
      </c>
      <c r="C1897" s="2" t="s">
        <v>171</v>
      </c>
      <c r="D1897" s="2" t="s">
        <v>122</v>
      </c>
      <c r="E1897" s="2"/>
      <c r="F1897" s="2">
        <v>400</v>
      </c>
      <c r="G1897" s="2" t="s">
        <v>3601</v>
      </c>
      <c r="H1897" s="2">
        <v>17</v>
      </c>
      <c r="I1897" s="2" t="s">
        <v>3602</v>
      </c>
      <c r="J1897" s="2">
        <v>316</v>
      </c>
      <c r="K1897" s="2" t="s">
        <v>574</v>
      </c>
      <c r="L1897" s="2" t="s">
        <v>575</v>
      </c>
      <c r="M1897" s="3">
        <v>40305</v>
      </c>
      <c r="N1897" s="2" t="s">
        <v>3603</v>
      </c>
      <c r="O1897" s="2" t="s">
        <v>6646</v>
      </c>
      <c r="P1897" s="2">
        <v>9934</v>
      </c>
      <c r="Q1897" s="2" t="str">
        <f>"347E/09"</f>
        <v>347E/09</v>
      </c>
      <c r="R1897" s="2"/>
      <c r="S1897" s="2" t="s">
        <v>6647</v>
      </c>
      <c r="T1897" s="2">
        <v>1</v>
      </c>
      <c r="U1897" s="2" t="s">
        <v>79</v>
      </c>
      <c r="V1897" s="2">
        <v>1</v>
      </c>
      <c r="W1897" s="2" t="s">
        <v>80</v>
      </c>
      <c r="X1897" s="2">
        <v>8</v>
      </c>
      <c r="Y1897" s="2" t="s">
        <v>375</v>
      </c>
      <c r="Z1897" s="2">
        <v>10</v>
      </c>
      <c r="AA1897" s="2" t="s">
        <v>236</v>
      </c>
      <c r="AB1897" s="2">
        <v>1</v>
      </c>
      <c r="AC1897" s="2" t="s">
        <v>178</v>
      </c>
      <c r="AD1897" s="3">
        <v>40305</v>
      </c>
      <c r="AE1897" s="4">
        <v>0.5</v>
      </c>
      <c r="AF1897" s="2"/>
      <c r="AG1897" s="2"/>
      <c r="AH1897" s="2">
        <v>2</v>
      </c>
      <c r="AI1897" s="2" t="s">
        <v>84</v>
      </c>
      <c r="AJ1897" s="2">
        <v>6</v>
      </c>
      <c r="AK1897" s="2" t="s">
        <v>453</v>
      </c>
      <c r="AL1897" s="2">
        <v>23</v>
      </c>
      <c r="AM1897" s="2" t="s">
        <v>251</v>
      </c>
      <c r="AN1897" s="2" t="s">
        <v>6648</v>
      </c>
      <c r="AO1897" s="2" t="s">
        <v>1394</v>
      </c>
      <c r="AP1897" s="2">
        <v>11</v>
      </c>
      <c r="AQ1897" s="2" t="s">
        <v>82</v>
      </c>
      <c r="AR1897" s="2"/>
      <c r="AS1897" s="2"/>
      <c r="AT1897" s="2" t="s">
        <v>6649</v>
      </c>
      <c r="AU1897" s="2"/>
      <c r="AV1897" s="2"/>
      <c r="AW1897" s="2"/>
      <c r="AX1897" s="2"/>
      <c r="AY1897" s="2">
        <v>42</v>
      </c>
      <c r="AZ1897" s="2" t="s">
        <v>182</v>
      </c>
      <c r="BA1897" s="2">
        <v>70</v>
      </c>
      <c r="BB1897" s="2" t="s">
        <v>236</v>
      </c>
      <c r="BC1897" s="2">
        <v>70</v>
      </c>
      <c r="BD1897" s="2" t="s">
        <v>236</v>
      </c>
      <c r="BE1897" s="2">
        <v>41</v>
      </c>
      <c r="BF1897" s="2" t="s">
        <v>82</v>
      </c>
      <c r="BG1897" s="2"/>
      <c r="BH1897" s="2"/>
      <c r="BI1897" s="2"/>
      <c r="BJ1897" s="2">
        <v>241</v>
      </c>
      <c r="BK1897" s="2" t="s">
        <v>82</v>
      </c>
      <c r="BL1897" s="2"/>
      <c r="BM1897" s="2">
        <v>241</v>
      </c>
      <c r="BN1897" s="2" t="s">
        <v>82</v>
      </c>
      <c r="BO1897" s="2"/>
      <c r="BP1897" s="2">
        <v>241</v>
      </c>
      <c r="BQ1897" s="2" t="s">
        <v>82</v>
      </c>
      <c r="BR1897" s="2"/>
      <c r="BS1897" s="3">
        <v>40305</v>
      </c>
      <c r="BT1897" s="4">
        <v>0.6893287037037038</v>
      </c>
    </row>
    <row r="1898" spans="1:72" x14ac:dyDescent="0.25">
      <c r="A1898" s="2">
        <v>2747</v>
      </c>
      <c r="B1898" s="2">
        <v>2010</v>
      </c>
      <c r="C1898" s="2" t="s">
        <v>377</v>
      </c>
      <c r="D1898" s="2" t="s">
        <v>73</v>
      </c>
      <c r="E1898" s="2"/>
      <c r="F1898" s="2">
        <v>426</v>
      </c>
      <c r="G1898" s="2" t="s">
        <v>378</v>
      </c>
      <c r="H1898" s="2">
        <v>42</v>
      </c>
      <c r="I1898" s="2" t="s">
        <v>1096</v>
      </c>
      <c r="J1898" s="2">
        <v>311</v>
      </c>
      <c r="K1898" s="2" t="s">
        <v>379</v>
      </c>
      <c r="L1898" s="2" t="s">
        <v>380</v>
      </c>
      <c r="M1898" s="3">
        <v>40305</v>
      </c>
      <c r="N1898" s="2" t="s">
        <v>4427</v>
      </c>
      <c r="O1898" s="2" t="s">
        <v>6650</v>
      </c>
      <c r="P1898" s="2"/>
      <c r="Q1898" s="2" t="str">
        <f>"069-C/10"</f>
        <v>069-C/10</v>
      </c>
      <c r="R1898" s="2"/>
      <c r="S1898" s="2" t="s">
        <v>5773</v>
      </c>
      <c r="T1898" s="2">
        <v>1</v>
      </c>
      <c r="U1898" s="2" t="s">
        <v>79</v>
      </c>
      <c r="V1898" s="2">
        <v>1</v>
      </c>
      <c r="W1898" s="2" t="s">
        <v>80</v>
      </c>
      <c r="X1898" s="2">
        <v>1</v>
      </c>
      <c r="Y1898" s="2" t="s">
        <v>81</v>
      </c>
      <c r="Z1898" s="2">
        <v>1</v>
      </c>
      <c r="AA1898" s="2" t="s">
        <v>82</v>
      </c>
      <c r="AB1898" s="2">
        <v>9</v>
      </c>
      <c r="AC1898" s="2" t="s">
        <v>124</v>
      </c>
      <c r="AD1898" s="3">
        <v>40305</v>
      </c>
      <c r="AE1898" s="4">
        <v>0.625</v>
      </c>
      <c r="AF1898" s="2"/>
      <c r="AG1898" s="2"/>
      <c r="AH1898" s="2">
        <v>2</v>
      </c>
      <c r="AI1898" s="2" t="s">
        <v>84</v>
      </c>
      <c r="AJ1898" s="2">
        <v>9</v>
      </c>
      <c r="AK1898" s="2" t="s">
        <v>103</v>
      </c>
      <c r="AL1898" s="2">
        <v>12</v>
      </c>
      <c r="AM1898" s="2" t="s">
        <v>86</v>
      </c>
      <c r="AN1898" s="2"/>
      <c r="AO1898" s="2" t="s">
        <v>2887</v>
      </c>
      <c r="AP1898" s="2">
        <v>11</v>
      </c>
      <c r="AQ1898" s="2" t="s">
        <v>82</v>
      </c>
      <c r="AR1898" s="2"/>
      <c r="AS1898" s="2"/>
      <c r="AT1898" s="2" t="s">
        <v>6651</v>
      </c>
      <c r="AU1898" s="2"/>
      <c r="AV1898" s="2"/>
      <c r="AW1898" s="2"/>
      <c r="AX1898" s="2"/>
      <c r="AY1898" s="2">
        <v>41</v>
      </c>
      <c r="AZ1898" s="2" t="s">
        <v>82</v>
      </c>
      <c r="BA1898" s="2">
        <v>41</v>
      </c>
      <c r="BB1898" s="2" t="s">
        <v>82</v>
      </c>
      <c r="BC1898" s="2">
        <v>41</v>
      </c>
      <c r="BD1898" s="2" t="s">
        <v>82</v>
      </c>
      <c r="BE1898" s="2">
        <v>41</v>
      </c>
      <c r="BF1898" s="2" t="s">
        <v>82</v>
      </c>
      <c r="BG1898" s="2"/>
      <c r="BH1898" s="2"/>
      <c r="BI1898" s="2"/>
      <c r="BJ1898" s="2">
        <v>241</v>
      </c>
      <c r="BK1898" s="2" t="s">
        <v>82</v>
      </c>
      <c r="BL1898" s="2"/>
      <c r="BM1898" s="2">
        <v>241</v>
      </c>
      <c r="BN1898" s="2" t="s">
        <v>82</v>
      </c>
      <c r="BO1898" s="2"/>
      <c r="BP1898" s="2">
        <v>241</v>
      </c>
      <c r="BQ1898" s="2" t="s">
        <v>82</v>
      </c>
      <c r="BR1898" s="2"/>
      <c r="BS1898" s="3">
        <v>40305</v>
      </c>
      <c r="BT1898" s="4">
        <v>0.71275462962962965</v>
      </c>
    </row>
    <row r="1899" spans="1:72" x14ac:dyDescent="0.25">
      <c r="A1899" s="2">
        <v>2748</v>
      </c>
      <c r="B1899" s="2">
        <v>2010</v>
      </c>
      <c r="C1899" s="2" t="s">
        <v>121</v>
      </c>
      <c r="D1899" s="2" t="s">
        <v>122</v>
      </c>
      <c r="E1899" s="2"/>
      <c r="F1899" s="2">
        <v>1</v>
      </c>
      <c r="G1899" s="2" t="s">
        <v>82</v>
      </c>
      <c r="H1899" s="2">
        <v>1</v>
      </c>
      <c r="I1899" s="2" t="s">
        <v>82</v>
      </c>
      <c r="J1899" s="2">
        <v>1</v>
      </c>
      <c r="K1899" s="2" t="s">
        <v>107</v>
      </c>
      <c r="L1899" s="2" t="s">
        <v>107</v>
      </c>
      <c r="M1899" s="3">
        <v>40305</v>
      </c>
      <c r="N1899" s="2"/>
      <c r="O1899" s="2"/>
      <c r="P1899" s="2"/>
      <c r="Q1899" s="2" t="str">
        <f>""</f>
        <v/>
      </c>
      <c r="R1899" s="2"/>
      <c r="S1899" s="2"/>
      <c r="T1899" s="2">
        <v>2</v>
      </c>
      <c r="U1899" s="2" t="s">
        <v>123</v>
      </c>
      <c r="V1899" s="2">
        <v>1</v>
      </c>
      <c r="W1899" s="2" t="s">
        <v>80</v>
      </c>
      <c r="X1899" s="2">
        <v>5</v>
      </c>
      <c r="Y1899" s="2" t="s">
        <v>82</v>
      </c>
      <c r="Z1899" s="2">
        <v>1</v>
      </c>
      <c r="AA1899" s="2" t="s">
        <v>82</v>
      </c>
      <c r="AB1899" s="2">
        <v>9</v>
      </c>
      <c r="AC1899" s="2" t="s">
        <v>124</v>
      </c>
      <c r="AD1899" s="3">
        <v>40305</v>
      </c>
      <c r="AE1899" s="4">
        <v>0.6875</v>
      </c>
      <c r="AF1899" s="2"/>
      <c r="AG1899" s="2"/>
      <c r="AH1899" s="2">
        <v>4</v>
      </c>
      <c r="AI1899" s="2" t="s">
        <v>125</v>
      </c>
      <c r="AJ1899" s="2">
        <v>31</v>
      </c>
      <c r="AK1899" s="2" t="s">
        <v>1413</v>
      </c>
      <c r="AL1899" s="2">
        <v>18</v>
      </c>
      <c r="AM1899" s="2" t="s">
        <v>82</v>
      </c>
      <c r="AN1899" s="2"/>
      <c r="AO1899" s="2" t="s">
        <v>6652</v>
      </c>
      <c r="AP1899" s="2">
        <v>11</v>
      </c>
      <c r="AQ1899" s="2" t="s">
        <v>82</v>
      </c>
      <c r="AR1899" s="2"/>
      <c r="AS1899" s="2"/>
      <c r="AT1899" s="2" t="s">
        <v>6653</v>
      </c>
      <c r="AU1899" s="2"/>
      <c r="AV1899" s="2"/>
      <c r="AW1899" s="2"/>
      <c r="AX1899" s="2"/>
      <c r="AY1899" s="2">
        <v>1</v>
      </c>
      <c r="AZ1899" s="2" t="s">
        <v>107</v>
      </c>
      <c r="BA1899" s="2">
        <v>1</v>
      </c>
      <c r="BB1899" s="2" t="s">
        <v>107</v>
      </c>
      <c r="BC1899" s="2">
        <v>1</v>
      </c>
      <c r="BD1899" s="2" t="s">
        <v>107</v>
      </c>
      <c r="BE1899" s="2">
        <v>1</v>
      </c>
      <c r="BF1899" s="2" t="s">
        <v>107</v>
      </c>
      <c r="BG1899" s="2"/>
      <c r="BH1899" s="2"/>
      <c r="BI1899" s="4">
        <v>0.6875</v>
      </c>
      <c r="BJ1899" s="2">
        <v>13</v>
      </c>
      <c r="BK1899" s="2" t="s">
        <v>91</v>
      </c>
      <c r="BL1899" s="2" t="s">
        <v>4725</v>
      </c>
      <c r="BM1899" s="2">
        <v>242</v>
      </c>
      <c r="BN1899" s="2" t="s">
        <v>107</v>
      </c>
      <c r="BO1899" s="2"/>
      <c r="BP1899" s="2">
        <v>13</v>
      </c>
      <c r="BQ1899" s="2" t="s">
        <v>91</v>
      </c>
      <c r="BR1899" s="2" t="s">
        <v>185</v>
      </c>
      <c r="BS1899" s="3">
        <v>40305</v>
      </c>
      <c r="BT1899" s="4">
        <v>0.71563657407407411</v>
      </c>
    </row>
    <row r="1900" spans="1:72" x14ac:dyDescent="0.25">
      <c r="A1900" s="2">
        <v>2749</v>
      </c>
      <c r="B1900" s="2">
        <v>2010</v>
      </c>
      <c r="C1900" s="2" t="s">
        <v>72</v>
      </c>
      <c r="D1900" s="2" t="s">
        <v>73</v>
      </c>
      <c r="E1900" s="2"/>
      <c r="F1900" s="2">
        <v>390</v>
      </c>
      <c r="G1900" s="2" t="s">
        <v>475</v>
      </c>
      <c r="H1900" s="2">
        <v>6</v>
      </c>
      <c r="I1900" s="2" t="s">
        <v>1088</v>
      </c>
      <c r="J1900" s="2">
        <v>533</v>
      </c>
      <c r="K1900" s="2" t="s">
        <v>6511</v>
      </c>
      <c r="L1900" s="2" t="s">
        <v>478</v>
      </c>
      <c r="M1900" s="3">
        <v>40305</v>
      </c>
      <c r="N1900" s="2" t="s">
        <v>6470</v>
      </c>
      <c r="O1900" s="2"/>
      <c r="P1900" s="2"/>
      <c r="Q1900" s="2" t="str">
        <f>"251-E/10"</f>
        <v>251-E/10</v>
      </c>
      <c r="R1900" s="2" t="s">
        <v>116</v>
      </c>
      <c r="S1900" s="2" t="s">
        <v>116</v>
      </c>
      <c r="T1900" s="2">
        <v>1</v>
      </c>
      <c r="U1900" s="2" t="s">
        <v>79</v>
      </c>
      <c r="V1900" s="2">
        <v>1</v>
      </c>
      <c r="W1900" s="2" t="s">
        <v>80</v>
      </c>
      <c r="X1900" s="2">
        <v>12</v>
      </c>
      <c r="Y1900" s="2" t="s">
        <v>148</v>
      </c>
      <c r="Z1900" s="2">
        <v>1</v>
      </c>
      <c r="AA1900" s="2" t="s">
        <v>82</v>
      </c>
      <c r="AB1900" s="2">
        <v>6</v>
      </c>
      <c r="AC1900" s="2" t="s">
        <v>83</v>
      </c>
      <c r="AD1900" s="3">
        <v>40305</v>
      </c>
      <c r="AE1900" s="4">
        <v>0.40625</v>
      </c>
      <c r="AF1900" s="3">
        <v>40305</v>
      </c>
      <c r="AG1900" s="4">
        <v>0.41666666666666669</v>
      </c>
      <c r="AH1900" s="2">
        <v>2</v>
      </c>
      <c r="AI1900" s="2" t="s">
        <v>84</v>
      </c>
      <c r="AJ1900" s="2">
        <v>9</v>
      </c>
      <c r="AK1900" s="2" t="s">
        <v>103</v>
      </c>
      <c r="AL1900" s="2">
        <v>14</v>
      </c>
      <c r="AM1900" s="2" t="s">
        <v>216</v>
      </c>
      <c r="AN1900" s="2" t="s">
        <v>6654</v>
      </c>
      <c r="AO1900" s="2" t="s">
        <v>6655</v>
      </c>
      <c r="AP1900" s="2">
        <v>11</v>
      </c>
      <c r="AQ1900" s="2" t="s">
        <v>82</v>
      </c>
      <c r="AR1900" s="2"/>
      <c r="AS1900" s="2"/>
      <c r="AT1900" s="2" t="s">
        <v>6656</v>
      </c>
      <c r="AU1900" s="2"/>
      <c r="AV1900" s="2">
        <v>1</v>
      </c>
      <c r="AW1900" s="2"/>
      <c r="AX1900" s="2"/>
      <c r="AY1900" s="2">
        <v>69</v>
      </c>
      <c r="AZ1900" s="2" t="s">
        <v>483</v>
      </c>
      <c r="BA1900" s="2">
        <v>69</v>
      </c>
      <c r="BB1900" s="2" t="s">
        <v>483</v>
      </c>
      <c r="BC1900" s="2">
        <v>41</v>
      </c>
      <c r="BD1900" s="2" t="s">
        <v>82</v>
      </c>
      <c r="BE1900" s="2">
        <v>39</v>
      </c>
      <c r="BF1900" s="2" t="s">
        <v>440</v>
      </c>
      <c r="BG1900" s="2" t="s">
        <v>6657</v>
      </c>
      <c r="BH1900" s="2"/>
      <c r="BI1900" s="4">
        <v>0.44444444444444442</v>
      </c>
      <c r="BJ1900" s="2">
        <v>13</v>
      </c>
      <c r="BK1900" s="2" t="s">
        <v>91</v>
      </c>
      <c r="BL1900" s="2" t="s">
        <v>6658</v>
      </c>
      <c r="BM1900" s="2">
        <v>241</v>
      </c>
      <c r="BN1900" s="2" t="s">
        <v>82</v>
      </c>
      <c r="BO1900" s="2"/>
      <c r="BP1900" s="2">
        <v>33</v>
      </c>
      <c r="BQ1900" s="2" t="s">
        <v>361</v>
      </c>
      <c r="BR1900" s="2" t="s">
        <v>6659</v>
      </c>
      <c r="BS1900" s="3">
        <v>40305</v>
      </c>
      <c r="BT1900" s="4">
        <v>0.71754629629629629</v>
      </c>
    </row>
    <row r="1901" spans="1:72" x14ac:dyDescent="0.25">
      <c r="A1901" s="2">
        <v>2750</v>
      </c>
      <c r="B1901" s="2">
        <v>2010</v>
      </c>
      <c r="C1901" s="2" t="s">
        <v>819</v>
      </c>
      <c r="D1901" s="2" t="s">
        <v>73</v>
      </c>
      <c r="E1901" s="2"/>
      <c r="F1901" s="2">
        <v>146</v>
      </c>
      <c r="G1901" s="2" t="s">
        <v>753</v>
      </c>
      <c r="H1901" s="2">
        <v>39</v>
      </c>
      <c r="I1901" s="2" t="s">
        <v>1117</v>
      </c>
      <c r="J1901" s="2">
        <v>161</v>
      </c>
      <c r="K1901" s="2" t="s">
        <v>1900</v>
      </c>
      <c r="L1901" s="2" t="s">
        <v>1901</v>
      </c>
      <c r="M1901" s="3">
        <v>40305</v>
      </c>
      <c r="N1901" s="2" t="s">
        <v>756</v>
      </c>
      <c r="O1901" s="2" t="s">
        <v>107</v>
      </c>
      <c r="P1901" s="2" t="s">
        <v>107</v>
      </c>
      <c r="Q1901" s="2" t="str">
        <f>"S/D"</f>
        <v>S/D</v>
      </c>
      <c r="R1901" s="2" t="s">
        <v>107</v>
      </c>
      <c r="S1901" s="2" t="s">
        <v>6660</v>
      </c>
      <c r="T1901" s="2">
        <v>1</v>
      </c>
      <c r="U1901" s="2" t="s">
        <v>79</v>
      </c>
      <c r="V1901" s="2">
        <v>1</v>
      </c>
      <c r="W1901" s="2" t="s">
        <v>80</v>
      </c>
      <c r="X1901" s="2">
        <v>1</v>
      </c>
      <c r="Y1901" s="2" t="s">
        <v>81</v>
      </c>
      <c r="Z1901" s="2">
        <v>1</v>
      </c>
      <c r="AA1901" s="2" t="s">
        <v>82</v>
      </c>
      <c r="AB1901" s="2">
        <v>9</v>
      </c>
      <c r="AC1901" s="2" t="s">
        <v>124</v>
      </c>
      <c r="AD1901" s="3">
        <v>40305</v>
      </c>
      <c r="AE1901" s="4">
        <v>0.59722222222222221</v>
      </c>
      <c r="AF1901" s="2"/>
      <c r="AG1901" s="2"/>
      <c r="AH1901" s="2">
        <v>6</v>
      </c>
      <c r="AI1901" s="2" t="s">
        <v>197</v>
      </c>
      <c r="AJ1901" s="2">
        <v>60</v>
      </c>
      <c r="AK1901" s="2" t="s">
        <v>543</v>
      </c>
      <c r="AL1901" s="2">
        <v>11</v>
      </c>
      <c r="AM1901" s="2" t="s">
        <v>137</v>
      </c>
      <c r="AN1901" s="2" t="s">
        <v>6661</v>
      </c>
      <c r="AO1901" s="2" t="s">
        <v>6662</v>
      </c>
      <c r="AP1901" s="2">
        <v>11</v>
      </c>
      <c r="AQ1901" s="2" t="s">
        <v>82</v>
      </c>
      <c r="AR1901" s="2" t="s">
        <v>82</v>
      </c>
      <c r="AS1901" s="2" t="s">
        <v>82</v>
      </c>
      <c r="AT1901" s="2" t="s">
        <v>6663</v>
      </c>
      <c r="AU1901" s="2"/>
      <c r="AV1901" s="2"/>
      <c r="AW1901" s="2"/>
      <c r="AX1901" s="2"/>
      <c r="AY1901" s="2">
        <v>41</v>
      </c>
      <c r="AZ1901" s="2" t="s">
        <v>82</v>
      </c>
      <c r="BA1901" s="2">
        <v>41</v>
      </c>
      <c r="BB1901" s="2" t="s">
        <v>82</v>
      </c>
      <c r="BC1901" s="2">
        <v>41</v>
      </c>
      <c r="BD1901" s="2" t="s">
        <v>82</v>
      </c>
      <c r="BE1901" s="2">
        <v>13</v>
      </c>
      <c r="BF1901" s="2" t="s">
        <v>108</v>
      </c>
      <c r="BG1901" s="2" t="s">
        <v>5185</v>
      </c>
      <c r="BH1901" s="4">
        <v>0.59027777777777779</v>
      </c>
      <c r="BI1901" s="4">
        <v>0.61805555555555558</v>
      </c>
      <c r="BJ1901" s="2">
        <v>13</v>
      </c>
      <c r="BK1901" s="2" t="s">
        <v>91</v>
      </c>
      <c r="BL1901" s="2" t="s">
        <v>185</v>
      </c>
      <c r="BM1901" s="2">
        <v>13</v>
      </c>
      <c r="BN1901" s="2" t="s">
        <v>91</v>
      </c>
      <c r="BO1901" s="2" t="s">
        <v>895</v>
      </c>
      <c r="BP1901" s="2">
        <v>13</v>
      </c>
      <c r="BQ1901" s="2" t="s">
        <v>91</v>
      </c>
      <c r="BR1901" s="2" t="s">
        <v>185</v>
      </c>
      <c r="BS1901" s="3">
        <v>40305</v>
      </c>
      <c r="BT1901" s="4">
        <v>0.74128472222222219</v>
      </c>
    </row>
    <row r="1902" spans="1:72" x14ac:dyDescent="0.25">
      <c r="A1902" s="2">
        <v>2754</v>
      </c>
      <c r="B1902" s="2">
        <v>2010</v>
      </c>
      <c r="C1902" s="2" t="s">
        <v>72</v>
      </c>
      <c r="D1902" s="2" t="s">
        <v>73</v>
      </c>
      <c r="E1902" s="2"/>
      <c r="F1902" s="2">
        <v>612</v>
      </c>
      <c r="G1902" s="2" t="s">
        <v>6664</v>
      </c>
      <c r="H1902" s="2">
        <v>42</v>
      </c>
      <c r="I1902" s="2" t="s">
        <v>1096</v>
      </c>
      <c r="J1902" s="2">
        <v>176</v>
      </c>
      <c r="K1902" s="2" t="s">
        <v>6447</v>
      </c>
      <c r="L1902" s="2" t="s">
        <v>6448</v>
      </c>
      <c r="M1902" s="3">
        <v>40305</v>
      </c>
      <c r="N1902" s="2" t="s">
        <v>6665</v>
      </c>
      <c r="O1902" s="2" t="s">
        <v>82</v>
      </c>
      <c r="P1902" s="2" t="s">
        <v>82</v>
      </c>
      <c r="Q1902" s="2" t="str">
        <f>"170-A/10"</f>
        <v>170-A/10</v>
      </c>
      <c r="R1902" s="2" t="s">
        <v>82</v>
      </c>
      <c r="S1902" s="2" t="s">
        <v>78</v>
      </c>
      <c r="T1902" s="2">
        <v>1</v>
      </c>
      <c r="U1902" s="2" t="s">
        <v>79</v>
      </c>
      <c r="V1902" s="2">
        <v>1</v>
      </c>
      <c r="W1902" s="2" t="s">
        <v>80</v>
      </c>
      <c r="X1902" s="2">
        <v>12</v>
      </c>
      <c r="Y1902" s="2" t="s">
        <v>148</v>
      </c>
      <c r="Z1902" s="2">
        <v>1</v>
      </c>
      <c r="AA1902" s="2" t="s">
        <v>82</v>
      </c>
      <c r="AB1902" s="2">
        <v>6</v>
      </c>
      <c r="AC1902" s="2" t="s">
        <v>83</v>
      </c>
      <c r="AD1902" s="3">
        <v>40305</v>
      </c>
      <c r="AE1902" s="4">
        <v>0.51388888888888895</v>
      </c>
      <c r="AF1902" s="3">
        <v>40305</v>
      </c>
      <c r="AG1902" s="4">
        <v>0.63888888888888895</v>
      </c>
      <c r="AH1902" s="2">
        <v>2</v>
      </c>
      <c r="AI1902" s="2" t="s">
        <v>84</v>
      </c>
      <c r="AJ1902" s="2">
        <v>12</v>
      </c>
      <c r="AK1902" s="2" t="s">
        <v>85</v>
      </c>
      <c r="AL1902" s="2">
        <v>2</v>
      </c>
      <c r="AM1902" s="2" t="s">
        <v>163</v>
      </c>
      <c r="AN1902" s="2" t="s">
        <v>6666</v>
      </c>
      <c r="AO1902" s="2" t="s">
        <v>6667</v>
      </c>
      <c r="AP1902" s="2">
        <v>11</v>
      </c>
      <c r="AQ1902" s="2" t="s">
        <v>82</v>
      </c>
      <c r="AR1902" s="2" t="s">
        <v>82</v>
      </c>
      <c r="AS1902" s="2" t="s">
        <v>82</v>
      </c>
      <c r="AT1902" s="2" t="s">
        <v>6668</v>
      </c>
      <c r="AU1902" s="2"/>
      <c r="AV1902" s="2"/>
      <c r="AW1902" s="2"/>
      <c r="AX1902" s="2"/>
      <c r="AY1902" s="2">
        <v>41</v>
      </c>
      <c r="AZ1902" s="2" t="s">
        <v>82</v>
      </c>
      <c r="BA1902" s="2">
        <v>41</v>
      </c>
      <c r="BB1902" s="2" t="s">
        <v>82</v>
      </c>
      <c r="BC1902" s="2">
        <v>41</v>
      </c>
      <c r="BD1902" s="2" t="s">
        <v>82</v>
      </c>
      <c r="BE1902" s="2">
        <v>41</v>
      </c>
      <c r="BF1902" s="2" t="s">
        <v>82</v>
      </c>
      <c r="BG1902" s="2" t="s">
        <v>82</v>
      </c>
      <c r="BH1902" s="2"/>
      <c r="BI1902" s="2"/>
      <c r="BJ1902" s="2">
        <v>241</v>
      </c>
      <c r="BK1902" s="2" t="s">
        <v>82</v>
      </c>
      <c r="BL1902" s="2" t="s">
        <v>82</v>
      </c>
      <c r="BM1902" s="2">
        <v>241</v>
      </c>
      <c r="BN1902" s="2" t="s">
        <v>82</v>
      </c>
      <c r="BO1902" s="2" t="s">
        <v>82</v>
      </c>
      <c r="BP1902" s="2">
        <v>241</v>
      </c>
      <c r="BQ1902" s="2" t="s">
        <v>82</v>
      </c>
      <c r="BR1902" s="2" t="s">
        <v>82</v>
      </c>
      <c r="BS1902" s="3">
        <v>40305</v>
      </c>
      <c r="BT1902" s="4">
        <v>0.7791203703703703</v>
      </c>
    </row>
    <row r="1903" spans="1:72" x14ac:dyDescent="0.25">
      <c r="A1903" s="2">
        <v>2756</v>
      </c>
      <c r="B1903" s="2">
        <v>2010</v>
      </c>
      <c r="C1903" s="2" t="s">
        <v>414</v>
      </c>
      <c r="D1903" s="2" t="s">
        <v>122</v>
      </c>
      <c r="E1903" s="2"/>
      <c r="F1903" s="2">
        <v>1</v>
      </c>
      <c r="G1903" s="2" t="s">
        <v>82</v>
      </c>
      <c r="H1903" s="2">
        <v>1</v>
      </c>
      <c r="I1903" s="2" t="s">
        <v>82</v>
      </c>
      <c r="J1903" s="2">
        <v>1</v>
      </c>
      <c r="K1903" s="2" t="s">
        <v>107</v>
      </c>
      <c r="L1903" s="2" t="s">
        <v>107</v>
      </c>
      <c r="M1903" s="3">
        <v>40305</v>
      </c>
      <c r="N1903" s="2"/>
      <c r="O1903" s="2"/>
      <c r="P1903" s="2"/>
      <c r="Q1903" s="2" t="str">
        <f>""</f>
        <v/>
      </c>
      <c r="R1903" s="2"/>
      <c r="S1903" s="2"/>
      <c r="T1903" s="2">
        <v>1</v>
      </c>
      <c r="U1903" s="2" t="s">
        <v>79</v>
      </c>
      <c r="V1903" s="2">
        <v>1</v>
      </c>
      <c r="W1903" s="2" t="s">
        <v>80</v>
      </c>
      <c r="X1903" s="2">
        <v>5</v>
      </c>
      <c r="Y1903" s="2" t="s">
        <v>82</v>
      </c>
      <c r="Z1903" s="2">
        <v>1</v>
      </c>
      <c r="AA1903" s="2" t="s">
        <v>82</v>
      </c>
      <c r="AB1903" s="2">
        <v>9</v>
      </c>
      <c r="AC1903" s="2" t="s">
        <v>124</v>
      </c>
      <c r="AD1903" s="3">
        <v>40304</v>
      </c>
      <c r="AE1903" s="4">
        <v>0.41666666666666669</v>
      </c>
      <c r="AF1903" s="2"/>
      <c r="AG1903" s="2"/>
      <c r="AH1903" s="2">
        <v>5</v>
      </c>
      <c r="AI1903" s="2" t="s">
        <v>274</v>
      </c>
      <c r="AJ1903" s="2">
        <v>40</v>
      </c>
      <c r="AK1903" s="2" t="s">
        <v>935</v>
      </c>
      <c r="AL1903" s="2">
        <v>12</v>
      </c>
      <c r="AM1903" s="2" t="s">
        <v>86</v>
      </c>
      <c r="AN1903" s="2" t="s">
        <v>6669</v>
      </c>
      <c r="AO1903" s="2" t="s">
        <v>6670</v>
      </c>
      <c r="AP1903" s="2">
        <v>11</v>
      </c>
      <c r="AQ1903" s="2" t="s">
        <v>82</v>
      </c>
      <c r="AR1903" s="2"/>
      <c r="AS1903" s="2"/>
      <c r="AT1903" s="2" t="s">
        <v>6671</v>
      </c>
      <c r="AU1903" s="2"/>
      <c r="AV1903" s="2"/>
      <c r="AW1903" s="2"/>
      <c r="AX1903" s="2"/>
      <c r="AY1903" s="2">
        <v>41</v>
      </c>
      <c r="AZ1903" s="2" t="s">
        <v>82</v>
      </c>
      <c r="BA1903" s="2">
        <v>41</v>
      </c>
      <c r="BB1903" s="2" t="s">
        <v>82</v>
      </c>
      <c r="BC1903" s="2">
        <v>41</v>
      </c>
      <c r="BD1903" s="2" t="s">
        <v>82</v>
      </c>
      <c r="BE1903" s="2">
        <v>41</v>
      </c>
      <c r="BF1903" s="2" t="s">
        <v>82</v>
      </c>
      <c r="BG1903" s="2"/>
      <c r="BH1903" s="2"/>
      <c r="BI1903" s="2"/>
      <c r="BJ1903" s="2">
        <v>241</v>
      </c>
      <c r="BK1903" s="2" t="s">
        <v>82</v>
      </c>
      <c r="BL1903" s="2"/>
      <c r="BM1903" s="2">
        <v>241</v>
      </c>
      <c r="BN1903" s="2" t="s">
        <v>82</v>
      </c>
      <c r="BO1903" s="2"/>
      <c r="BP1903" s="2">
        <v>241</v>
      </c>
      <c r="BQ1903" s="2" t="s">
        <v>82</v>
      </c>
      <c r="BR1903" s="2"/>
      <c r="BS1903" s="3">
        <v>40305</v>
      </c>
      <c r="BT1903" s="4">
        <v>0.86767361111111108</v>
      </c>
    </row>
    <row r="1904" spans="1:72" x14ac:dyDescent="0.25">
      <c r="A1904" s="2">
        <v>2757</v>
      </c>
      <c r="B1904" s="2">
        <v>2010</v>
      </c>
      <c r="C1904" s="2" t="s">
        <v>72</v>
      </c>
      <c r="D1904" s="2" t="s">
        <v>73</v>
      </c>
      <c r="E1904" s="2"/>
      <c r="F1904" s="2">
        <v>392</v>
      </c>
      <c r="G1904" s="2" t="s">
        <v>4629</v>
      </c>
      <c r="H1904" s="2">
        <v>6</v>
      </c>
      <c r="I1904" s="2" t="s">
        <v>1088</v>
      </c>
      <c r="J1904" s="2">
        <v>533</v>
      </c>
      <c r="K1904" s="2" t="s">
        <v>6511</v>
      </c>
      <c r="L1904" s="2" t="s">
        <v>478</v>
      </c>
      <c r="M1904" s="3">
        <v>40305</v>
      </c>
      <c r="N1904" s="2" t="s">
        <v>6470</v>
      </c>
      <c r="O1904" s="2"/>
      <c r="P1904" s="2"/>
      <c r="Q1904" s="2" t="str">
        <f>"252-E/10"</f>
        <v>252-E/10</v>
      </c>
      <c r="R1904" s="2"/>
      <c r="S1904" s="2" t="s">
        <v>116</v>
      </c>
      <c r="T1904" s="2">
        <v>1</v>
      </c>
      <c r="U1904" s="2" t="s">
        <v>79</v>
      </c>
      <c r="V1904" s="2">
        <v>1</v>
      </c>
      <c r="W1904" s="2" t="s">
        <v>80</v>
      </c>
      <c r="X1904" s="2">
        <v>12</v>
      </c>
      <c r="Y1904" s="2" t="s">
        <v>148</v>
      </c>
      <c r="Z1904" s="2">
        <v>1</v>
      </c>
      <c r="AA1904" s="2" t="s">
        <v>82</v>
      </c>
      <c r="AB1904" s="2">
        <v>6</v>
      </c>
      <c r="AC1904" s="2" t="s">
        <v>83</v>
      </c>
      <c r="AD1904" s="3">
        <v>40305</v>
      </c>
      <c r="AE1904" s="2"/>
      <c r="AF1904" s="3">
        <v>40305</v>
      </c>
      <c r="AG1904" s="4">
        <v>0.8125</v>
      </c>
      <c r="AH1904" s="2">
        <v>2</v>
      </c>
      <c r="AI1904" s="2" t="s">
        <v>84</v>
      </c>
      <c r="AJ1904" s="2">
        <v>9</v>
      </c>
      <c r="AK1904" s="2" t="s">
        <v>103</v>
      </c>
      <c r="AL1904" s="2">
        <v>24</v>
      </c>
      <c r="AM1904" s="2" t="s">
        <v>1540</v>
      </c>
      <c r="AN1904" s="2" t="s">
        <v>6672</v>
      </c>
      <c r="AO1904" s="2"/>
      <c r="AP1904" s="2">
        <v>11</v>
      </c>
      <c r="AQ1904" s="2" t="s">
        <v>82</v>
      </c>
      <c r="AR1904" s="2"/>
      <c r="AS1904" s="2"/>
      <c r="AT1904" s="2" t="s">
        <v>6673</v>
      </c>
      <c r="AU1904" s="2"/>
      <c r="AV1904" s="2"/>
      <c r="AW1904" s="2"/>
      <c r="AX1904" s="2"/>
      <c r="AY1904" s="2">
        <v>41</v>
      </c>
      <c r="AZ1904" s="2" t="s">
        <v>82</v>
      </c>
      <c r="BA1904" s="2">
        <v>41</v>
      </c>
      <c r="BB1904" s="2" t="s">
        <v>82</v>
      </c>
      <c r="BC1904" s="2">
        <v>41</v>
      </c>
      <c r="BD1904" s="2" t="s">
        <v>82</v>
      </c>
      <c r="BE1904" s="2">
        <v>41</v>
      </c>
      <c r="BF1904" s="2" t="s">
        <v>82</v>
      </c>
      <c r="BG1904" s="2"/>
      <c r="BH1904" s="2"/>
      <c r="BI1904" s="2"/>
      <c r="BJ1904" s="2">
        <v>241</v>
      </c>
      <c r="BK1904" s="2" t="s">
        <v>82</v>
      </c>
      <c r="BL1904" s="2"/>
      <c r="BM1904" s="2">
        <v>241</v>
      </c>
      <c r="BN1904" s="2" t="s">
        <v>82</v>
      </c>
      <c r="BO1904" s="2"/>
      <c r="BP1904" s="2">
        <v>241</v>
      </c>
      <c r="BQ1904" s="2" t="s">
        <v>82</v>
      </c>
      <c r="BR1904" s="2"/>
      <c r="BS1904" s="3">
        <v>40305</v>
      </c>
      <c r="BT1904" s="4">
        <v>0.88173611111111105</v>
      </c>
    </row>
    <row r="1905" spans="1:72" x14ac:dyDescent="0.25">
      <c r="A1905" s="2">
        <v>2758</v>
      </c>
      <c r="B1905" s="2">
        <v>2010</v>
      </c>
      <c r="C1905" s="2" t="s">
        <v>819</v>
      </c>
      <c r="D1905" s="2" t="s">
        <v>122</v>
      </c>
      <c r="E1905" s="2"/>
      <c r="F1905" s="2">
        <v>451</v>
      </c>
      <c r="G1905" s="2" t="s">
        <v>879</v>
      </c>
      <c r="H1905" s="2">
        <v>31</v>
      </c>
      <c r="I1905" s="2" t="s">
        <v>880</v>
      </c>
      <c r="J1905" s="2">
        <v>326</v>
      </c>
      <c r="K1905" s="2" t="s">
        <v>881</v>
      </c>
      <c r="L1905" s="2" t="s">
        <v>882</v>
      </c>
      <c r="M1905" s="3">
        <v>40306</v>
      </c>
      <c r="N1905" s="2" t="s">
        <v>1072</v>
      </c>
      <c r="O1905" s="2"/>
      <c r="P1905" s="2"/>
      <c r="Q1905" s="2" t="str">
        <f>"051/10"</f>
        <v>051/10</v>
      </c>
      <c r="R1905" s="2"/>
      <c r="S1905" s="2" t="s">
        <v>822</v>
      </c>
      <c r="T1905" s="2">
        <v>1</v>
      </c>
      <c r="U1905" s="2" t="s">
        <v>79</v>
      </c>
      <c r="V1905" s="2">
        <v>1</v>
      </c>
      <c r="W1905" s="2" t="s">
        <v>80</v>
      </c>
      <c r="X1905" s="2">
        <v>1</v>
      </c>
      <c r="Y1905" s="2" t="s">
        <v>81</v>
      </c>
      <c r="Z1905" s="2">
        <v>10</v>
      </c>
      <c r="AA1905" s="2" t="s">
        <v>236</v>
      </c>
      <c r="AB1905" s="2">
        <v>9</v>
      </c>
      <c r="AC1905" s="2" t="s">
        <v>124</v>
      </c>
      <c r="AD1905" s="3">
        <v>40305</v>
      </c>
      <c r="AE1905" s="4">
        <v>0.94166666666666676</v>
      </c>
      <c r="AF1905" s="2"/>
      <c r="AG1905" s="2"/>
      <c r="AH1905" s="2">
        <v>4</v>
      </c>
      <c r="AI1905" s="2" t="s">
        <v>125</v>
      </c>
      <c r="AJ1905" s="2">
        <v>29</v>
      </c>
      <c r="AK1905" s="2" t="s">
        <v>227</v>
      </c>
      <c r="AL1905" s="2">
        <v>16</v>
      </c>
      <c r="AM1905" s="2" t="s">
        <v>392</v>
      </c>
      <c r="AN1905" s="2" t="s">
        <v>1015</v>
      </c>
      <c r="AO1905" s="2"/>
      <c r="AP1905" s="2">
        <v>12</v>
      </c>
      <c r="AQ1905" s="2" t="s">
        <v>322</v>
      </c>
      <c r="AR1905" s="2" t="s">
        <v>824</v>
      </c>
      <c r="AS1905" s="2" t="s">
        <v>825</v>
      </c>
      <c r="AT1905" s="2" t="s">
        <v>6674</v>
      </c>
      <c r="AU1905" s="2"/>
      <c r="AV1905" s="2"/>
      <c r="AW1905" s="2"/>
      <c r="AX1905" s="2"/>
      <c r="AY1905" s="2">
        <v>41</v>
      </c>
      <c r="AZ1905" s="2" t="s">
        <v>82</v>
      </c>
      <c r="BA1905" s="2">
        <v>41</v>
      </c>
      <c r="BB1905" s="2" t="s">
        <v>82</v>
      </c>
      <c r="BC1905" s="2">
        <v>51</v>
      </c>
      <c r="BD1905" s="2" t="s">
        <v>827</v>
      </c>
      <c r="BE1905" s="2">
        <v>47</v>
      </c>
      <c r="BF1905" s="2" t="s">
        <v>167</v>
      </c>
      <c r="BG1905" s="2">
        <v>2459</v>
      </c>
      <c r="BH1905" s="4">
        <v>0.89930555555555547</v>
      </c>
      <c r="BI1905" s="4">
        <v>0.92708333333333337</v>
      </c>
      <c r="BJ1905" s="2">
        <v>13</v>
      </c>
      <c r="BK1905" s="2" t="s">
        <v>91</v>
      </c>
      <c r="BL1905" s="2" t="s">
        <v>828</v>
      </c>
      <c r="BM1905" s="2">
        <v>241</v>
      </c>
      <c r="BN1905" s="2" t="s">
        <v>82</v>
      </c>
      <c r="BO1905" s="2" t="s">
        <v>82</v>
      </c>
      <c r="BP1905" s="2">
        <v>13</v>
      </c>
      <c r="BQ1905" s="2" t="s">
        <v>91</v>
      </c>
      <c r="BR1905" s="2" t="s">
        <v>185</v>
      </c>
      <c r="BS1905" s="3">
        <v>40306</v>
      </c>
      <c r="BT1905" s="4">
        <v>7.0949074074074074E-3</v>
      </c>
    </row>
    <row r="1906" spans="1:72" x14ac:dyDescent="0.25">
      <c r="A1906" s="2">
        <v>2759</v>
      </c>
      <c r="B1906" s="2">
        <v>2010</v>
      </c>
      <c r="C1906" s="2" t="s">
        <v>72</v>
      </c>
      <c r="D1906" s="2" t="s">
        <v>122</v>
      </c>
      <c r="E1906" s="2" t="s">
        <v>6675</v>
      </c>
      <c r="F1906" s="2">
        <v>390</v>
      </c>
      <c r="G1906" s="2" t="s">
        <v>475</v>
      </c>
      <c r="H1906" s="2">
        <v>6</v>
      </c>
      <c r="I1906" s="2" t="s">
        <v>1088</v>
      </c>
      <c r="J1906" s="2">
        <v>533</v>
      </c>
      <c r="K1906" s="2" t="s">
        <v>6511</v>
      </c>
      <c r="L1906" s="2" t="s">
        <v>478</v>
      </c>
      <c r="M1906" s="3">
        <v>40306</v>
      </c>
      <c r="N1906" s="2" t="s">
        <v>6470</v>
      </c>
      <c r="O1906" s="2"/>
      <c r="P1906" s="2"/>
      <c r="Q1906" s="2" t="str">
        <f>"251-E/10"</f>
        <v>251-E/10</v>
      </c>
      <c r="R1906" s="2" t="s">
        <v>116</v>
      </c>
      <c r="S1906" s="2" t="s">
        <v>116</v>
      </c>
      <c r="T1906" s="2">
        <v>1</v>
      </c>
      <c r="U1906" s="2" t="s">
        <v>79</v>
      </c>
      <c r="V1906" s="2">
        <v>1</v>
      </c>
      <c r="W1906" s="2" t="s">
        <v>80</v>
      </c>
      <c r="X1906" s="2">
        <v>12</v>
      </c>
      <c r="Y1906" s="2" t="s">
        <v>148</v>
      </c>
      <c r="Z1906" s="2">
        <v>1</v>
      </c>
      <c r="AA1906" s="2" t="s">
        <v>82</v>
      </c>
      <c r="AB1906" s="2">
        <v>6</v>
      </c>
      <c r="AC1906" s="2" t="s">
        <v>83</v>
      </c>
      <c r="AD1906" s="3">
        <v>40305</v>
      </c>
      <c r="AE1906" s="4">
        <v>0.40625</v>
      </c>
      <c r="AF1906" s="3">
        <v>40305</v>
      </c>
      <c r="AG1906" s="4">
        <v>0.41666666666666669</v>
      </c>
      <c r="AH1906" s="2">
        <v>2</v>
      </c>
      <c r="AI1906" s="2" t="s">
        <v>84</v>
      </c>
      <c r="AJ1906" s="2">
        <v>9</v>
      </c>
      <c r="AK1906" s="2" t="s">
        <v>103</v>
      </c>
      <c r="AL1906" s="2">
        <v>14</v>
      </c>
      <c r="AM1906" s="2" t="s">
        <v>216</v>
      </c>
      <c r="AN1906" s="2" t="s">
        <v>6654</v>
      </c>
      <c r="AO1906" s="2" t="s">
        <v>6655</v>
      </c>
      <c r="AP1906" s="2">
        <v>11</v>
      </c>
      <c r="AQ1906" s="2" t="s">
        <v>82</v>
      </c>
      <c r="AR1906" s="2"/>
      <c r="AS1906" s="2"/>
      <c r="AT1906" s="2" t="s">
        <v>6676</v>
      </c>
      <c r="AU1906" s="2"/>
      <c r="AV1906" s="2">
        <v>1</v>
      </c>
      <c r="AW1906" s="2"/>
      <c r="AX1906" s="2"/>
      <c r="AY1906" s="2">
        <v>69</v>
      </c>
      <c r="AZ1906" s="2" t="s">
        <v>483</v>
      </c>
      <c r="BA1906" s="2">
        <v>69</v>
      </c>
      <c r="BB1906" s="2" t="s">
        <v>483</v>
      </c>
      <c r="BC1906" s="2">
        <v>41</v>
      </c>
      <c r="BD1906" s="2" t="s">
        <v>82</v>
      </c>
      <c r="BE1906" s="2">
        <v>39</v>
      </c>
      <c r="BF1906" s="2" t="s">
        <v>440</v>
      </c>
      <c r="BG1906" s="2" t="s">
        <v>6657</v>
      </c>
      <c r="BH1906" s="2"/>
      <c r="BI1906" s="4">
        <v>0.44444444444444442</v>
      </c>
      <c r="BJ1906" s="2">
        <v>13</v>
      </c>
      <c r="BK1906" s="2" t="s">
        <v>91</v>
      </c>
      <c r="BL1906" s="2" t="s">
        <v>6658</v>
      </c>
      <c r="BM1906" s="2">
        <v>241</v>
      </c>
      <c r="BN1906" s="2" t="s">
        <v>82</v>
      </c>
      <c r="BO1906" s="2"/>
      <c r="BP1906" s="2">
        <v>33</v>
      </c>
      <c r="BQ1906" s="2" t="s">
        <v>361</v>
      </c>
      <c r="BR1906" s="2" t="s">
        <v>6659</v>
      </c>
      <c r="BS1906" s="3">
        <v>40306</v>
      </c>
      <c r="BT1906" s="4">
        <v>0.36556712962962962</v>
      </c>
    </row>
    <row r="1907" spans="1:72" x14ac:dyDescent="0.25">
      <c r="A1907" s="2">
        <v>2760</v>
      </c>
      <c r="B1907" s="2">
        <v>2010</v>
      </c>
      <c r="C1907" s="2" t="s">
        <v>72</v>
      </c>
      <c r="D1907" s="2" t="s">
        <v>73</v>
      </c>
      <c r="E1907" s="2"/>
      <c r="F1907" s="2">
        <v>288</v>
      </c>
      <c r="G1907" s="2" t="s">
        <v>5233</v>
      </c>
      <c r="H1907" s="2">
        <v>42</v>
      </c>
      <c r="I1907" s="2" t="s">
        <v>1096</v>
      </c>
      <c r="J1907" s="2">
        <v>549</v>
      </c>
      <c r="K1907" s="2" t="s">
        <v>6677</v>
      </c>
      <c r="L1907" s="2" t="s">
        <v>6678</v>
      </c>
      <c r="M1907" s="3">
        <v>40306</v>
      </c>
      <c r="N1907" s="2" t="s">
        <v>6679</v>
      </c>
      <c r="O1907" s="2"/>
      <c r="P1907" s="2"/>
      <c r="Q1907" s="2" t="str">
        <f>"171-A/10"</f>
        <v>171-A/10</v>
      </c>
      <c r="R1907" s="2"/>
      <c r="S1907" s="2" t="s">
        <v>1547</v>
      </c>
      <c r="T1907" s="2">
        <v>1</v>
      </c>
      <c r="U1907" s="2" t="s">
        <v>79</v>
      </c>
      <c r="V1907" s="2">
        <v>1</v>
      </c>
      <c r="W1907" s="2" t="s">
        <v>80</v>
      </c>
      <c r="X1907" s="2">
        <v>12</v>
      </c>
      <c r="Y1907" s="2" t="s">
        <v>148</v>
      </c>
      <c r="Z1907" s="2">
        <v>1</v>
      </c>
      <c r="AA1907" s="2" t="s">
        <v>82</v>
      </c>
      <c r="AB1907" s="2">
        <v>6</v>
      </c>
      <c r="AC1907" s="2" t="s">
        <v>83</v>
      </c>
      <c r="AD1907" s="3">
        <v>40306</v>
      </c>
      <c r="AE1907" s="4">
        <v>0.32291666666666669</v>
      </c>
      <c r="AF1907" s="3">
        <v>40306</v>
      </c>
      <c r="AG1907" s="4">
        <v>0.40625</v>
      </c>
      <c r="AH1907" s="2">
        <v>2</v>
      </c>
      <c r="AI1907" s="2" t="s">
        <v>84</v>
      </c>
      <c r="AJ1907" s="2">
        <v>12</v>
      </c>
      <c r="AK1907" s="2" t="s">
        <v>85</v>
      </c>
      <c r="AL1907" s="2">
        <v>17</v>
      </c>
      <c r="AM1907" s="2" t="s">
        <v>232</v>
      </c>
      <c r="AN1907" s="2"/>
      <c r="AO1907" s="2" t="s">
        <v>6680</v>
      </c>
      <c r="AP1907" s="2">
        <v>11</v>
      </c>
      <c r="AQ1907" s="2" t="s">
        <v>82</v>
      </c>
      <c r="AR1907" s="2"/>
      <c r="AS1907" s="2"/>
      <c r="AT1907" s="2" t="s">
        <v>6681</v>
      </c>
      <c r="AU1907" s="2"/>
      <c r="AV1907" s="2"/>
      <c r="AW1907" s="2"/>
      <c r="AX1907" s="2"/>
      <c r="AY1907" s="2">
        <v>41</v>
      </c>
      <c r="AZ1907" s="2" t="s">
        <v>82</v>
      </c>
      <c r="BA1907" s="2">
        <v>41</v>
      </c>
      <c r="BB1907" s="2" t="s">
        <v>82</v>
      </c>
      <c r="BC1907" s="2">
        <v>41</v>
      </c>
      <c r="BD1907" s="2" t="s">
        <v>82</v>
      </c>
      <c r="BE1907" s="2">
        <v>41</v>
      </c>
      <c r="BF1907" s="2" t="s">
        <v>82</v>
      </c>
      <c r="BG1907" s="2"/>
      <c r="BH1907" s="2"/>
      <c r="BI1907" s="2"/>
      <c r="BJ1907" s="2">
        <v>241</v>
      </c>
      <c r="BK1907" s="2" t="s">
        <v>82</v>
      </c>
      <c r="BL1907" s="2"/>
      <c r="BM1907" s="2">
        <v>241</v>
      </c>
      <c r="BN1907" s="2" t="s">
        <v>82</v>
      </c>
      <c r="BO1907" s="2"/>
      <c r="BP1907" s="2">
        <v>241</v>
      </c>
      <c r="BQ1907" s="2" t="s">
        <v>82</v>
      </c>
      <c r="BR1907" s="2"/>
      <c r="BS1907" s="3">
        <v>40306</v>
      </c>
      <c r="BT1907" s="4">
        <v>0.46912037037037035</v>
      </c>
    </row>
    <row r="1908" spans="1:72" x14ac:dyDescent="0.25">
      <c r="A1908" s="2">
        <v>2761</v>
      </c>
      <c r="B1908" s="2">
        <v>2010</v>
      </c>
      <c r="C1908" s="2" t="s">
        <v>72</v>
      </c>
      <c r="D1908" s="2" t="s">
        <v>73</v>
      </c>
      <c r="E1908" s="2"/>
      <c r="F1908" s="2">
        <v>614</v>
      </c>
      <c r="G1908" s="2" t="s">
        <v>6682</v>
      </c>
      <c r="H1908" s="2">
        <v>72</v>
      </c>
      <c r="I1908" s="2" t="s">
        <v>3988</v>
      </c>
      <c r="J1908" s="2">
        <v>548</v>
      </c>
      <c r="K1908" s="2" t="s">
        <v>3989</v>
      </c>
      <c r="L1908" s="2" t="s">
        <v>6683</v>
      </c>
      <c r="M1908" s="3">
        <v>40306</v>
      </c>
      <c r="N1908" s="2" t="s">
        <v>6684</v>
      </c>
      <c r="O1908" s="2"/>
      <c r="P1908" s="2"/>
      <c r="Q1908" s="2" t="str">
        <f>"172-A/10"</f>
        <v>172-A/10</v>
      </c>
      <c r="R1908" s="2"/>
      <c r="S1908" s="2" t="s">
        <v>156</v>
      </c>
      <c r="T1908" s="2">
        <v>1</v>
      </c>
      <c r="U1908" s="2" t="s">
        <v>79</v>
      </c>
      <c r="V1908" s="2">
        <v>1</v>
      </c>
      <c r="W1908" s="2" t="s">
        <v>80</v>
      </c>
      <c r="X1908" s="2">
        <v>12</v>
      </c>
      <c r="Y1908" s="2" t="s">
        <v>148</v>
      </c>
      <c r="Z1908" s="2">
        <v>1</v>
      </c>
      <c r="AA1908" s="2" t="s">
        <v>82</v>
      </c>
      <c r="AB1908" s="2">
        <v>6</v>
      </c>
      <c r="AC1908" s="2" t="s">
        <v>83</v>
      </c>
      <c r="AD1908" s="3">
        <v>40306</v>
      </c>
      <c r="AE1908" s="4">
        <v>0.48958333333333331</v>
      </c>
      <c r="AF1908" s="3">
        <v>40306</v>
      </c>
      <c r="AG1908" s="4">
        <v>0.5625</v>
      </c>
      <c r="AH1908" s="2">
        <v>2</v>
      </c>
      <c r="AI1908" s="2" t="s">
        <v>84</v>
      </c>
      <c r="AJ1908" s="2">
        <v>12</v>
      </c>
      <c r="AK1908" s="2" t="s">
        <v>85</v>
      </c>
      <c r="AL1908" s="2">
        <v>22</v>
      </c>
      <c r="AM1908" s="2" t="s">
        <v>1853</v>
      </c>
      <c r="AN1908" s="2"/>
      <c r="AO1908" s="2" t="s">
        <v>6685</v>
      </c>
      <c r="AP1908" s="2">
        <v>11</v>
      </c>
      <c r="AQ1908" s="2" t="s">
        <v>82</v>
      </c>
      <c r="AR1908" s="2"/>
      <c r="AS1908" s="2"/>
      <c r="AT1908" s="2" t="s">
        <v>6686</v>
      </c>
      <c r="AU1908" s="2"/>
      <c r="AV1908" s="2"/>
      <c r="AW1908" s="2"/>
      <c r="AX1908" s="2"/>
      <c r="AY1908" s="2">
        <v>41</v>
      </c>
      <c r="AZ1908" s="2" t="s">
        <v>82</v>
      </c>
      <c r="BA1908" s="2">
        <v>41</v>
      </c>
      <c r="BB1908" s="2" t="s">
        <v>82</v>
      </c>
      <c r="BC1908" s="2">
        <v>41</v>
      </c>
      <c r="BD1908" s="2" t="s">
        <v>82</v>
      </c>
      <c r="BE1908" s="2">
        <v>4</v>
      </c>
      <c r="BF1908" s="2" t="s">
        <v>90</v>
      </c>
      <c r="BG1908" s="2" t="s">
        <v>6687</v>
      </c>
      <c r="BH1908" s="4">
        <v>0.48958333333333331</v>
      </c>
      <c r="BI1908" s="4">
        <v>0.43402777777777773</v>
      </c>
      <c r="BJ1908" s="2">
        <v>13</v>
      </c>
      <c r="BK1908" s="2" t="s">
        <v>91</v>
      </c>
      <c r="BL1908" s="2" t="s">
        <v>92</v>
      </c>
      <c r="BM1908" s="2">
        <v>241</v>
      </c>
      <c r="BN1908" s="2" t="s">
        <v>82</v>
      </c>
      <c r="BO1908" s="2" t="s">
        <v>82</v>
      </c>
      <c r="BP1908" s="2">
        <v>13</v>
      </c>
      <c r="BQ1908" s="2" t="s">
        <v>91</v>
      </c>
      <c r="BR1908" s="2" t="s">
        <v>185</v>
      </c>
      <c r="BS1908" s="3">
        <v>40306</v>
      </c>
      <c r="BT1908" s="4">
        <v>0.65055555555555555</v>
      </c>
    </row>
    <row r="1909" spans="1:72" x14ac:dyDescent="0.25">
      <c r="A1909" s="2">
        <v>2762</v>
      </c>
      <c r="B1909" s="2">
        <v>2010</v>
      </c>
      <c r="C1909" s="2" t="s">
        <v>72</v>
      </c>
      <c r="D1909" s="2" t="s">
        <v>122</v>
      </c>
      <c r="E1909" s="2" t="s">
        <v>6688</v>
      </c>
      <c r="F1909" s="2">
        <v>459</v>
      </c>
      <c r="G1909" s="2" t="s">
        <v>5233</v>
      </c>
      <c r="H1909" s="2">
        <v>42</v>
      </c>
      <c r="I1909" s="2" t="s">
        <v>1096</v>
      </c>
      <c r="J1909" s="2">
        <v>549</v>
      </c>
      <c r="K1909" s="2" t="s">
        <v>6677</v>
      </c>
      <c r="L1909" s="2" t="s">
        <v>6678</v>
      </c>
      <c r="M1909" s="3">
        <v>40306</v>
      </c>
      <c r="N1909" s="2" t="s">
        <v>6679</v>
      </c>
      <c r="O1909" s="2"/>
      <c r="P1909" s="2"/>
      <c r="Q1909" s="2" t="str">
        <f>"171-A/10"</f>
        <v>171-A/10</v>
      </c>
      <c r="R1909" s="2" t="s">
        <v>1547</v>
      </c>
      <c r="S1909" s="2"/>
      <c r="T1909" s="2">
        <v>1</v>
      </c>
      <c r="U1909" s="2" t="s">
        <v>79</v>
      </c>
      <c r="V1909" s="2">
        <v>1</v>
      </c>
      <c r="W1909" s="2" t="s">
        <v>80</v>
      </c>
      <c r="X1909" s="2">
        <v>12</v>
      </c>
      <c r="Y1909" s="2" t="s">
        <v>148</v>
      </c>
      <c r="Z1909" s="2">
        <v>1</v>
      </c>
      <c r="AA1909" s="2" t="s">
        <v>82</v>
      </c>
      <c r="AB1909" s="2">
        <v>6</v>
      </c>
      <c r="AC1909" s="2" t="s">
        <v>83</v>
      </c>
      <c r="AD1909" s="3">
        <v>40306</v>
      </c>
      <c r="AE1909" s="4">
        <v>0.32291666666666669</v>
      </c>
      <c r="AF1909" s="3">
        <v>40306</v>
      </c>
      <c r="AG1909" s="4">
        <v>0.40625</v>
      </c>
      <c r="AH1909" s="2">
        <v>2</v>
      </c>
      <c r="AI1909" s="2" t="s">
        <v>84</v>
      </c>
      <c r="AJ1909" s="2">
        <v>12</v>
      </c>
      <c r="AK1909" s="2" t="s">
        <v>85</v>
      </c>
      <c r="AL1909" s="2">
        <v>23</v>
      </c>
      <c r="AM1909" s="2" t="s">
        <v>251</v>
      </c>
      <c r="AN1909" s="2"/>
      <c r="AO1909" s="2" t="s">
        <v>6689</v>
      </c>
      <c r="AP1909" s="2">
        <v>11</v>
      </c>
      <c r="AQ1909" s="2" t="s">
        <v>82</v>
      </c>
      <c r="AR1909" s="2"/>
      <c r="AS1909" s="2"/>
      <c r="AT1909" s="2" t="s">
        <v>6690</v>
      </c>
      <c r="AU1909" s="2"/>
      <c r="AV1909" s="2"/>
      <c r="AW1909" s="2"/>
      <c r="AX1909" s="2"/>
      <c r="AY1909" s="2">
        <v>41</v>
      </c>
      <c r="AZ1909" s="2" t="s">
        <v>82</v>
      </c>
      <c r="BA1909" s="2">
        <v>41</v>
      </c>
      <c r="BB1909" s="2" t="s">
        <v>82</v>
      </c>
      <c r="BC1909" s="2">
        <v>41</v>
      </c>
      <c r="BD1909" s="2" t="s">
        <v>82</v>
      </c>
      <c r="BE1909" s="2">
        <v>41</v>
      </c>
      <c r="BF1909" s="2" t="s">
        <v>82</v>
      </c>
      <c r="BG1909" s="2"/>
      <c r="BH1909" s="2"/>
      <c r="BI1909" s="2"/>
      <c r="BJ1909" s="2">
        <v>241</v>
      </c>
      <c r="BK1909" s="2" t="s">
        <v>82</v>
      </c>
      <c r="BL1909" s="2"/>
      <c r="BM1909" s="2">
        <v>241</v>
      </c>
      <c r="BN1909" s="2" t="s">
        <v>82</v>
      </c>
      <c r="BO1909" s="2"/>
      <c r="BP1909" s="2">
        <v>241</v>
      </c>
      <c r="BQ1909" s="2" t="s">
        <v>82</v>
      </c>
      <c r="BR1909" s="2"/>
      <c r="BS1909" s="3">
        <v>40306</v>
      </c>
      <c r="BT1909" s="4">
        <v>0.70277777777777783</v>
      </c>
    </row>
    <row r="1910" spans="1:72" x14ac:dyDescent="0.25">
      <c r="A1910" s="2">
        <v>2763</v>
      </c>
      <c r="B1910" s="2">
        <v>2010</v>
      </c>
      <c r="C1910" s="2" t="s">
        <v>121</v>
      </c>
      <c r="D1910" s="2" t="s">
        <v>122</v>
      </c>
      <c r="E1910" s="2"/>
      <c r="F1910" s="2">
        <v>1</v>
      </c>
      <c r="G1910" s="2" t="s">
        <v>82</v>
      </c>
      <c r="H1910" s="2">
        <v>1</v>
      </c>
      <c r="I1910" s="2" t="s">
        <v>82</v>
      </c>
      <c r="J1910" s="2">
        <v>1</v>
      </c>
      <c r="K1910" s="2" t="s">
        <v>107</v>
      </c>
      <c r="L1910" s="2" t="s">
        <v>107</v>
      </c>
      <c r="M1910" s="3">
        <v>40306</v>
      </c>
      <c r="N1910" s="2"/>
      <c r="O1910" s="2"/>
      <c r="P1910" s="2"/>
      <c r="Q1910" s="2" t="str">
        <f>""</f>
        <v/>
      </c>
      <c r="R1910" s="2"/>
      <c r="S1910" s="2"/>
      <c r="T1910" s="2">
        <v>2</v>
      </c>
      <c r="U1910" s="2" t="s">
        <v>123</v>
      </c>
      <c r="V1910" s="2">
        <v>1</v>
      </c>
      <c r="W1910" s="2" t="s">
        <v>80</v>
      </c>
      <c r="X1910" s="2">
        <v>5</v>
      </c>
      <c r="Y1910" s="2" t="s">
        <v>82</v>
      </c>
      <c r="Z1910" s="2">
        <v>1</v>
      </c>
      <c r="AA1910" s="2" t="s">
        <v>82</v>
      </c>
      <c r="AB1910" s="2">
        <v>9</v>
      </c>
      <c r="AC1910" s="2" t="s">
        <v>124</v>
      </c>
      <c r="AD1910" s="3">
        <v>40306</v>
      </c>
      <c r="AE1910" s="4">
        <v>0.69444444444444453</v>
      </c>
      <c r="AF1910" s="2"/>
      <c r="AG1910" s="2"/>
      <c r="AH1910" s="2">
        <v>4</v>
      </c>
      <c r="AI1910" s="2" t="s">
        <v>125</v>
      </c>
      <c r="AJ1910" s="2">
        <v>31</v>
      </c>
      <c r="AK1910" s="2" t="s">
        <v>1413</v>
      </c>
      <c r="AL1910" s="2">
        <v>18</v>
      </c>
      <c r="AM1910" s="2" t="s">
        <v>82</v>
      </c>
      <c r="AN1910" s="2"/>
      <c r="AO1910" s="2" t="s">
        <v>6691</v>
      </c>
      <c r="AP1910" s="2">
        <v>11</v>
      </c>
      <c r="AQ1910" s="2" t="s">
        <v>82</v>
      </c>
      <c r="AR1910" s="2"/>
      <c r="AS1910" s="2"/>
      <c r="AT1910" s="2" t="s">
        <v>6692</v>
      </c>
      <c r="AU1910" s="2"/>
      <c r="AV1910" s="2"/>
      <c r="AW1910" s="2"/>
      <c r="AX1910" s="2"/>
      <c r="AY1910" s="2">
        <v>1</v>
      </c>
      <c r="AZ1910" s="2" t="s">
        <v>107</v>
      </c>
      <c r="BA1910" s="2">
        <v>1</v>
      </c>
      <c r="BB1910" s="2" t="s">
        <v>107</v>
      </c>
      <c r="BC1910" s="2">
        <v>1</v>
      </c>
      <c r="BD1910" s="2" t="s">
        <v>107</v>
      </c>
      <c r="BE1910" s="2">
        <v>1</v>
      </c>
      <c r="BF1910" s="2" t="s">
        <v>107</v>
      </c>
      <c r="BG1910" s="2"/>
      <c r="BH1910" s="4">
        <v>0.69444444444444453</v>
      </c>
      <c r="BI1910" s="4">
        <v>0.70138888888888884</v>
      </c>
      <c r="BJ1910" s="2">
        <v>13</v>
      </c>
      <c r="BK1910" s="2" t="s">
        <v>91</v>
      </c>
      <c r="BL1910" s="2" t="s">
        <v>185</v>
      </c>
      <c r="BM1910" s="2">
        <v>242</v>
      </c>
      <c r="BN1910" s="2" t="s">
        <v>107</v>
      </c>
      <c r="BO1910" s="2"/>
      <c r="BP1910" s="2">
        <v>13</v>
      </c>
      <c r="BQ1910" s="2" t="s">
        <v>91</v>
      </c>
      <c r="BR1910" s="2" t="s">
        <v>4725</v>
      </c>
      <c r="BS1910" s="3">
        <v>40306</v>
      </c>
      <c r="BT1910" s="4">
        <v>0.72179398148148144</v>
      </c>
    </row>
    <row r="1911" spans="1:72" x14ac:dyDescent="0.25">
      <c r="A1911" s="2">
        <v>2764</v>
      </c>
      <c r="B1911" s="2">
        <v>2010</v>
      </c>
      <c r="C1911" s="2" t="s">
        <v>121</v>
      </c>
      <c r="D1911" s="2" t="s">
        <v>122</v>
      </c>
      <c r="E1911" s="2"/>
      <c r="F1911" s="2">
        <v>1</v>
      </c>
      <c r="G1911" s="2" t="s">
        <v>82</v>
      </c>
      <c r="H1911" s="2">
        <v>1</v>
      </c>
      <c r="I1911" s="2" t="s">
        <v>82</v>
      </c>
      <c r="J1911" s="2">
        <v>1</v>
      </c>
      <c r="K1911" s="2" t="s">
        <v>107</v>
      </c>
      <c r="L1911" s="2" t="s">
        <v>107</v>
      </c>
      <c r="M1911" s="3">
        <v>40306</v>
      </c>
      <c r="N1911" s="2"/>
      <c r="O1911" s="2"/>
      <c r="P1911" s="2"/>
      <c r="Q1911" s="2" t="str">
        <f>""</f>
        <v/>
      </c>
      <c r="R1911" s="2"/>
      <c r="S1911" s="2"/>
      <c r="T1911" s="2">
        <v>2</v>
      </c>
      <c r="U1911" s="2" t="s">
        <v>123</v>
      </c>
      <c r="V1911" s="2">
        <v>1</v>
      </c>
      <c r="W1911" s="2" t="s">
        <v>80</v>
      </c>
      <c r="X1911" s="2">
        <v>5</v>
      </c>
      <c r="Y1911" s="2" t="s">
        <v>82</v>
      </c>
      <c r="Z1911" s="2">
        <v>1</v>
      </c>
      <c r="AA1911" s="2" t="s">
        <v>82</v>
      </c>
      <c r="AB1911" s="2">
        <v>9</v>
      </c>
      <c r="AC1911" s="2" t="s">
        <v>124</v>
      </c>
      <c r="AD1911" s="3">
        <v>40306</v>
      </c>
      <c r="AE1911" s="4">
        <v>0.76388888888888884</v>
      </c>
      <c r="AF1911" s="2"/>
      <c r="AG1911" s="2"/>
      <c r="AH1911" s="2">
        <v>4</v>
      </c>
      <c r="AI1911" s="2" t="s">
        <v>125</v>
      </c>
      <c r="AJ1911" s="2">
        <v>31</v>
      </c>
      <c r="AK1911" s="2" t="s">
        <v>1413</v>
      </c>
      <c r="AL1911" s="2">
        <v>18</v>
      </c>
      <c r="AM1911" s="2" t="s">
        <v>82</v>
      </c>
      <c r="AN1911" s="2"/>
      <c r="AO1911" s="2" t="s">
        <v>6691</v>
      </c>
      <c r="AP1911" s="2">
        <v>11</v>
      </c>
      <c r="AQ1911" s="2" t="s">
        <v>82</v>
      </c>
      <c r="AR1911" s="2"/>
      <c r="AS1911" s="2"/>
      <c r="AT1911" s="2" t="s">
        <v>6693</v>
      </c>
      <c r="AU1911" s="2"/>
      <c r="AV1911" s="2"/>
      <c r="AW1911" s="2"/>
      <c r="AX1911" s="2"/>
      <c r="AY1911" s="2">
        <v>1</v>
      </c>
      <c r="AZ1911" s="2" t="s">
        <v>107</v>
      </c>
      <c r="BA1911" s="2">
        <v>1</v>
      </c>
      <c r="BB1911" s="2" t="s">
        <v>107</v>
      </c>
      <c r="BC1911" s="2">
        <v>1</v>
      </c>
      <c r="BD1911" s="2" t="s">
        <v>107</v>
      </c>
      <c r="BE1911" s="2">
        <v>1</v>
      </c>
      <c r="BF1911" s="2" t="s">
        <v>107</v>
      </c>
      <c r="BG1911" s="2"/>
      <c r="BH1911" s="4">
        <v>0.76388888888888884</v>
      </c>
      <c r="BI1911" s="2"/>
      <c r="BJ1911" s="2">
        <v>13</v>
      </c>
      <c r="BK1911" s="2" t="s">
        <v>91</v>
      </c>
      <c r="BL1911" s="2" t="s">
        <v>185</v>
      </c>
      <c r="BM1911" s="2">
        <v>242</v>
      </c>
      <c r="BN1911" s="2" t="s">
        <v>107</v>
      </c>
      <c r="BO1911" s="2"/>
      <c r="BP1911" s="2">
        <v>13</v>
      </c>
      <c r="BQ1911" s="2" t="s">
        <v>91</v>
      </c>
      <c r="BR1911" s="2" t="s">
        <v>4725</v>
      </c>
      <c r="BS1911" s="3">
        <v>40306</v>
      </c>
      <c r="BT1911" s="4">
        <v>0.78020833333333339</v>
      </c>
    </row>
    <row r="1912" spans="1:72" x14ac:dyDescent="0.25">
      <c r="A1912" s="2">
        <v>2765</v>
      </c>
      <c r="B1912" s="2">
        <v>2010</v>
      </c>
      <c r="C1912" s="2" t="s">
        <v>121</v>
      </c>
      <c r="D1912" s="2" t="s">
        <v>122</v>
      </c>
      <c r="E1912" s="2"/>
      <c r="F1912" s="2">
        <v>1</v>
      </c>
      <c r="G1912" s="2" t="s">
        <v>82</v>
      </c>
      <c r="H1912" s="2">
        <v>1</v>
      </c>
      <c r="I1912" s="2" t="s">
        <v>82</v>
      </c>
      <c r="J1912" s="2">
        <v>1</v>
      </c>
      <c r="K1912" s="2" t="s">
        <v>107</v>
      </c>
      <c r="L1912" s="2" t="s">
        <v>107</v>
      </c>
      <c r="M1912" s="3">
        <v>40306</v>
      </c>
      <c r="N1912" s="2" t="s">
        <v>82</v>
      </c>
      <c r="O1912" s="2" t="s">
        <v>82</v>
      </c>
      <c r="P1912" s="2" t="s">
        <v>82</v>
      </c>
      <c r="Q1912" s="2" t="str">
        <f>"N/C"</f>
        <v>N/C</v>
      </c>
      <c r="R1912" s="2" t="s">
        <v>82</v>
      </c>
      <c r="S1912" s="2" t="s">
        <v>82</v>
      </c>
      <c r="T1912" s="2">
        <v>2</v>
      </c>
      <c r="U1912" s="2" t="s">
        <v>123</v>
      </c>
      <c r="V1912" s="2">
        <v>1</v>
      </c>
      <c r="W1912" s="2" t="s">
        <v>80</v>
      </c>
      <c r="X1912" s="2">
        <v>11</v>
      </c>
      <c r="Y1912" s="2" t="s">
        <v>1920</v>
      </c>
      <c r="Z1912" s="2">
        <v>10</v>
      </c>
      <c r="AA1912" s="2" t="s">
        <v>236</v>
      </c>
      <c r="AB1912" s="2">
        <v>9</v>
      </c>
      <c r="AC1912" s="2" t="s">
        <v>124</v>
      </c>
      <c r="AD1912" s="3">
        <v>40306</v>
      </c>
      <c r="AE1912" s="4">
        <v>0.76041666666666663</v>
      </c>
      <c r="AF1912" s="2"/>
      <c r="AG1912" s="2"/>
      <c r="AH1912" s="2">
        <v>5</v>
      </c>
      <c r="AI1912" s="2" t="s">
        <v>274</v>
      </c>
      <c r="AJ1912" s="2">
        <v>42</v>
      </c>
      <c r="AK1912" s="2" t="s">
        <v>660</v>
      </c>
      <c r="AL1912" s="2">
        <v>10</v>
      </c>
      <c r="AM1912" s="2" t="s">
        <v>200</v>
      </c>
      <c r="AN1912" s="2" t="s">
        <v>82</v>
      </c>
      <c r="AO1912" s="2" t="s">
        <v>82</v>
      </c>
      <c r="AP1912" s="2">
        <v>11</v>
      </c>
      <c r="AQ1912" s="2" t="s">
        <v>82</v>
      </c>
      <c r="AR1912" s="2" t="s">
        <v>82</v>
      </c>
      <c r="AS1912" s="2" t="s">
        <v>82</v>
      </c>
      <c r="AT1912" s="2" t="s">
        <v>6694</v>
      </c>
      <c r="AU1912" s="2"/>
      <c r="AV1912" s="2"/>
      <c r="AW1912" s="2"/>
      <c r="AX1912" s="2"/>
      <c r="AY1912" s="2">
        <v>41</v>
      </c>
      <c r="AZ1912" s="2" t="s">
        <v>82</v>
      </c>
      <c r="BA1912" s="2">
        <v>41</v>
      </c>
      <c r="BB1912" s="2" t="s">
        <v>82</v>
      </c>
      <c r="BC1912" s="2">
        <v>41</v>
      </c>
      <c r="BD1912" s="2" t="s">
        <v>82</v>
      </c>
      <c r="BE1912" s="2">
        <v>42</v>
      </c>
      <c r="BF1912" s="2" t="s">
        <v>182</v>
      </c>
      <c r="BG1912" s="2" t="s">
        <v>6035</v>
      </c>
      <c r="BH1912" s="4">
        <v>0.4861111111111111</v>
      </c>
      <c r="BI1912" s="4">
        <v>0.76041666666666663</v>
      </c>
      <c r="BJ1912" s="2">
        <v>13</v>
      </c>
      <c r="BK1912" s="2" t="s">
        <v>91</v>
      </c>
      <c r="BL1912" s="2" t="s">
        <v>185</v>
      </c>
      <c r="BM1912" s="2">
        <v>241</v>
      </c>
      <c r="BN1912" s="2" t="s">
        <v>82</v>
      </c>
      <c r="BO1912" s="2" t="s">
        <v>82</v>
      </c>
      <c r="BP1912" s="2">
        <v>13</v>
      </c>
      <c r="BQ1912" s="2" t="s">
        <v>91</v>
      </c>
      <c r="BR1912" s="2" t="s">
        <v>185</v>
      </c>
      <c r="BS1912" s="3">
        <v>40306</v>
      </c>
      <c r="BT1912" s="4">
        <v>0.85031249999999992</v>
      </c>
    </row>
    <row r="1913" spans="1:72" x14ac:dyDescent="0.25">
      <c r="A1913" s="2">
        <v>2766</v>
      </c>
      <c r="B1913" s="2">
        <v>2010</v>
      </c>
      <c r="C1913" s="2" t="s">
        <v>385</v>
      </c>
      <c r="D1913" s="2" t="s">
        <v>122</v>
      </c>
      <c r="E1913" s="2"/>
      <c r="F1913" s="2">
        <v>144</v>
      </c>
      <c r="G1913" s="2" t="s">
        <v>537</v>
      </c>
      <c r="H1913" s="2">
        <v>42</v>
      </c>
      <c r="I1913" s="2" t="s">
        <v>1096</v>
      </c>
      <c r="J1913" s="2">
        <v>160</v>
      </c>
      <c r="K1913" s="2" t="s">
        <v>538</v>
      </c>
      <c r="L1913" s="2" t="s">
        <v>539</v>
      </c>
      <c r="M1913" s="3">
        <v>40306</v>
      </c>
      <c r="N1913" s="2" t="s">
        <v>1813</v>
      </c>
      <c r="O1913" s="2" t="s">
        <v>6695</v>
      </c>
      <c r="P1913" s="2" t="s">
        <v>6696</v>
      </c>
      <c r="Q1913" s="2" t="str">
        <f>"N/C"</f>
        <v>N/C</v>
      </c>
      <c r="R1913" s="2" t="s">
        <v>82</v>
      </c>
      <c r="S1913" s="2" t="s">
        <v>82</v>
      </c>
      <c r="T1913" s="2">
        <v>1</v>
      </c>
      <c r="U1913" s="2" t="s">
        <v>79</v>
      </c>
      <c r="V1913" s="2">
        <v>1</v>
      </c>
      <c r="W1913" s="2" t="s">
        <v>80</v>
      </c>
      <c r="X1913" s="2">
        <v>4</v>
      </c>
      <c r="Y1913" s="2" t="s">
        <v>463</v>
      </c>
      <c r="Z1913" s="2">
        <v>22</v>
      </c>
      <c r="AA1913" s="2" t="s">
        <v>4417</v>
      </c>
      <c r="AB1913" s="2">
        <v>9</v>
      </c>
      <c r="AC1913" s="2" t="s">
        <v>124</v>
      </c>
      <c r="AD1913" s="3">
        <v>40306</v>
      </c>
      <c r="AE1913" s="4">
        <v>0.83333333333333337</v>
      </c>
      <c r="AF1913" s="2"/>
      <c r="AG1913" s="2"/>
      <c r="AH1913" s="2">
        <v>6</v>
      </c>
      <c r="AI1913" s="2" t="s">
        <v>197</v>
      </c>
      <c r="AJ1913" s="2">
        <v>60</v>
      </c>
      <c r="AK1913" s="2" t="s">
        <v>543</v>
      </c>
      <c r="AL1913" s="2">
        <v>19</v>
      </c>
      <c r="AM1913" s="2" t="s">
        <v>107</v>
      </c>
      <c r="AN1913" s="2" t="s">
        <v>82</v>
      </c>
      <c r="AO1913" s="2" t="s">
        <v>107</v>
      </c>
      <c r="AP1913" s="2">
        <v>11</v>
      </c>
      <c r="AQ1913" s="2" t="s">
        <v>82</v>
      </c>
      <c r="AR1913" s="2" t="s">
        <v>82</v>
      </c>
      <c r="AS1913" s="2" t="s">
        <v>82</v>
      </c>
      <c r="AT1913" s="2" t="s">
        <v>6697</v>
      </c>
      <c r="AU1913" s="2">
        <v>1</v>
      </c>
      <c r="AV1913" s="2"/>
      <c r="AW1913" s="2"/>
      <c r="AX1913" s="2"/>
      <c r="AY1913" s="2">
        <v>1</v>
      </c>
      <c r="AZ1913" s="2" t="s">
        <v>107</v>
      </c>
      <c r="BA1913" s="2">
        <v>1</v>
      </c>
      <c r="BB1913" s="2" t="s">
        <v>107</v>
      </c>
      <c r="BC1913" s="2">
        <v>1</v>
      </c>
      <c r="BD1913" s="2" t="s">
        <v>107</v>
      </c>
      <c r="BE1913" s="2">
        <v>13</v>
      </c>
      <c r="BF1913" s="2" t="s">
        <v>108</v>
      </c>
      <c r="BG1913" s="2" t="s">
        <v>6698</v>
      </c>
      <c r="BH1913" s="4">
        <v>0.83333333333333337</v>
      </c>
      <c r="BI1913" s="4">
        <v>0.67708333333333337</v>
      </c>
      <c r="BJ1913" s="2">
        <v>13</v>
      </c>
      <c r="BK1913" s="2" t="s">
        <v>91</v>
      </c>
      <c r="BL1913" s="2" t="s">
        <v>3520</v>
      </c>
      <c r="BM1913" s="2">
        <v>13</v>
      </c>
      <c r="BN1913" s="2" t="s">
        <v>91</v>
      </c>
      <c r="BO1913" s="2" t="s">
        <v>492</v>
      </c>
      <c r="BP1913" s="2">
        <v>13</v>
      </c>
      <c r="BQ1913" s="2" t="s">
        <v>91</v>
      </c>
      <c r="BR1913" s="2" t="s">
        <v>895</v>
      </c>
      <c r="BS1913" s="3">
        <v>40306</v>
      </c>
      <c r="BT1913" s="4">
        <v>0.88412037037037028</v>
      </c>
    </row>
    <row r="1914" spans="1:72" x14ac:dyDescent="0.25">
      <c r="A1914" s="2">
        <v>2767</v>
      </c>
      <c r="B1914" s="2">
        <v>2010</v>
      </c>
      <c r="C1914" s="2" t="s">
        <v>93</v>
      </c>
      <c r="D1914" s="2" t="s">
        <v>73</v>
      </c>
      <c r="E1914" s="2"/>
      <c r="F1914" s="2">
        <v>421</v>
      </c>
      <c r="G1914" s="2" t="s">
        <v>6699</v>
      </c>
      <c r="H1914" s="2">
        <v>26</v>
      </c>
      <c r="I1914" s="2" t="s">
        <v>556</v>
      </c>
      <c r="J1914" s="2">
        <v>186</v>
      </c>
      <c r="K1914" s="2" t="s">
        <v>6700</v>
      </c>
      <c r="L1914" s="2" t="s">
        <v>1752</v>
      </c>
      <c r="M1914" s="3">
        <v>40306</v>
      </c>
      <c r="N1914" s="2" t="s">
        <v>6701</v>
      </c>
      <c r="O1914" s="2" t="s">
        <v>6702</v>
      </c>
      <c r="P1914" s="2"/>
      <c r="Q1914" s="2" t="str">
        <f>"056/10"</f>
        <v>056/10</v>
      </c>
      <c r="R1914" s="2"/>
      <c r="S1914" s="2" t="s">
        <v>5542</v>
      </c>
      <c r="T1914" s="2">
        <v>1</v>
      </c>
      <c r="U1914" s="2" t="s">
        <v>79</v>
      </c>
      <c r="V1914" s="2">
        <v>1</v>
      </c>
      <c r="W1914" s="2" t="s">
        <v>80</v>
      </c>
      <c r="X1914" s="2">
        <v>3</v>
      </c>
      <c r="Y1914" s="2" t="s">
        <v>698</v>
      </c>
      <c r="Z1914" s="2">
        <v>9</v>
      </c>
      <c r="AA1914" s="2" t="s">
        <v>1119</v>
      </c>
      <c r="AB1914" s="2">
        <v>2</v>
      </c>
      <c r="AC1914" s="2" t="s">
        <v>102</v>
      </c>
      <c r="AD1914" s="3">
        <v>40306</v>
      </c>
      <c r="AE1914" s="4">
        <v>0.73263888888888884</v>
      </c>
      <c r="AF1914" s="2"/>
      <c r="AG1914" s="2"/>
      <c r="AH1914" s="2">
        <v>5</v>
      </c>
      <c r="AI1914" s="2" t="s">
        <v>274</v>
      </c>
      <c r="AJ1914" s="2">
        <v>38</v>
      </c>
      <c r="AK1914" s="2" t="s">
        <v>1120</v>
      </c>
      <c r="AL1914" s="2">
        <v>14</v>
      </c>
      <c r="AM1914" s="2" t="s">
        <v>216</v>
      </c>
      <c r="AN1914" s="2"/>
      <c r="AO1914" s="2" t="s">
        <v>6074</v>
      </c>
      <c r="AP1914" s="2">
        <v>11</v>
      </c>
      <c r="AQ1914" s="2" t="s">
        <v>82</v>
      </c>
      <c r="AR1914" s="2"/>
      <c r="AS1914" s="2"/>
      <c r="AT1914" s="2" t="s">
        <v>6703</v>
      </c>
      <c r="AU1914" s="2"/>
      <c r="AV1914" s="2"/>
      <c r="AW1914" s="2"/>
      <c r="AX1914" s="2"/>
      <c r="AY1914" s="2">
        <v>41</v>
      </c>
      <c r="AZ1914" s="2" t="s">
        <v>82</v>
      </c>
      <c r="BA1914" s="2">
        <v>41</v>
      </c>
      <c r="BB1914" s="2" t="s">
        <v>82</v>
      </c>
      <c r="BC1914" s="2">
        <v>41</v>
      </c>
      <c r="BD1914" s="2" t="s">
        <v>82</v>
      </c>
      <c r="BE1914" s="2">
        <v>47</v>
      </c>
      <c r="BF1914" s="2" t="s">
        <v>167</v>
      </c>
      <c r="BG1914" s="2" t="s">
        <v>6704</v>
      </c>
      <c r="BH1914" s="4">
        <v>0.72222222222222221</v>
      </c>
      <c r="BI1914" s="4">
        <v>0.75</v>
      </c>
      <c r="BJ1914" s="2">
        <v>13</v>
      </c>
      <c r="BK1914" s="2" t="s">
        <v>91</v>
      </c>
      <c r="BL1914" s="2" t="s">
        <v>3140</v>
      </c>
      <c r="BM1914" s="2">
        <v>241</v>
      </c>
      <c r="BN1914" s="2" t="s">
        <v>82</v>
      </c>
      <c r="BO1914" s="2"/>
      <c r="BP1914" s="2">
        <v>13</v>
      </c>
      <c r="BQ1914" s="2" t="s">
        <v>91</v>
      </c>
      <c r="BR1914" s="2" t="s">
        <v>185</v>
      </c>
      <c r="BS1914" s="3">
        <v>40306</v>
      </c>
      <c r="BT1914" s="4">
        <v>0.90591435185185187</v>
      </c>
    </row>
    <row r="1915" spans="1:72" x14ac:dyDescent="0.25">
      <c r="A1915" s="2">
        <v>2768</v>
      </c>
      <c r="B1915" s="2">
        <v>2010</v>
      </c>
      <c r="C1915" s="2" t="s">
        <v>171</v>
      </c>
      <c r="D1915" s="2" t="s">
        <v>73</v>
      </c>
      <c r="E1915" s="2"/>
      <c r="F1915" s="2">
        <v>92</v>
      </c>
      <c r="G1915" s="2" t="s">
        <v>1432</v>
      </c>
      <c r="H1915" s="2">
        <v>42</v>
      </c>
      <c r="I1915" s="2" t="s">
        <v>1096</v>
      </c>
      <c r="J1915" s="2">
        <v>119</v>
      </c>
      <c r="K1915" s="2" t="s">
        <v>325</v>
      </c>
      <c r="L1915" s="2" t="s">
        <v>326</v>
      </c>
      <c r="M1915" s="3">
        <v>40306</v>
      </c>
      <c r="N1915" s="2" t="s">
        <v>3905</v>
      </c>
      <c r="O1915" s="2" t="s">
        <v>82</v>
      </c>
      <c r="P1915" s="2"/>
      <c r="Q1915" s="2" t="str">
        <f>"0010/10"</f>
        <v>0010/10</v>
      </c>
      <c r="R1915" s="2" t="s">
        <v>6705</v>
      </c>
      <c r="S1915" s="2" t="s">
        <v>6706</v>
      </c>
      <c r="T1915" s="2">
        <v>1</v>
      </c>
      <c r="U1915" s="2" t="s">
        <v>79</v>
      </c>
      <c r="V1915" s="2">
        <v>1</v>
      </c>
      <c r="W1915" s="2" t="s">
        <v>80</v>
      </c>
      <c r="X1915" s="2">
        <v>1</v>
      </c>
      <c r="Y1915" s="2" t="s">
        <v>81</v>
      </c>
      <c r="Z1915" s="2">
        <v>1</v>
      </c>
      <c r="AA1915" s="2" t="s">
        <v>82</v>
      </c>
      <c r="AB1915" s="2">
        <v>1</v>
      </c>
      <c r="AC1915" s="2" t="s">
        <v>178</v>
      </c>
      <c r="AD1915" s="3">
        <v>40305</v>
      </c>
      <c r="AE1915" s="4">
        <v>0.77083333333333337</v>
      </c>
      <c r="AF1915" s="2"/>
      <c r="AG1915" s="2"/>
      <c r="AH1915" s="2">
        <v>6</v>
      </c>
      <c r="AI1915" s="2" t="s">
        <v>197</v>
      </c>
      <c r="AJ1915" s="2">
        <v>50</v>
      </c>
      <c r="AK1915" s="2" t="s">
        <v>330</v>
      </c>
      <c r="AL1915" s="2">
        <v>11</v>
      </c>
      <c r="AM1915" s="2" t="s">
        <v>137</v>
      </c>
      <c r="AN1915" s="2" t="s">
        <v>6707</v>
      </c>
      <c r="AO1915" s="2" t="s">
        <v>82</v>
      </c>
      <c r="AP1915" s="2">
        <v>11</v>
      </c>
      <c r="AQ1915" s="2" t="s">
        <v>82</v>
      </c>
      <c r="AR1915" s="2" t="s">
        <v>82</v>
      </c>
      <c r="AS1915" s="2" t="s">
        <v>82</v>
      </c>
      <c r="AT1915" s="2" t="s">
        <v>6708</v>
      </c>
      <c r="AU1915" s="2"/>
      <c r="AV1915" s="2"/>
      <c r="AW1915" s="2"/>
      <c r="AX1915" s="2"/>
      <c r="AY1915" s="2">
        <v>41</v>
      </c>
      <c r="AZ1915" s="2" t="s">
        <v>82</v>
      </c>
      <c r="BA1915" s="2">
        <v>41</v>
      </c>
      <c r="BB1915" s="2" t="s">
        <v>82</v>
      </c>
      <c r="BC1915" s="2">
        <v>41</v>
      </c>
      <c r="BD1915" s="2" t="s">
        <v>82</v>
      </c>
      <c r="BE1915" s="2">
        <v>47</v>
      </c>
      <c r="BF1915" s="2" t="s">
        <v>167</v>
      </c>
      <c r="BG1915" s="2">
        <v>2687</v>
      </c>
      <c r="BH1915" s="4">
        <v>0.75</v>
      </c>
      <c r="BI1915" s="4">
        <v>0.77083333333333337</v>
      </c>
      <c r="BJ1915" s="2">
        <v>13</v>
      </c>
      <c r="BK1915" s="2" t="s">
        <v>91</v>
      </c>
      <c r="BL1915" s="2" t="s">
        <v>185</v>
      </c>
      <c r="BM1915" s="2">
        <v>241</v>
      </c>
      <c r="BN1915" s="2" t="s">
        <v>82</v>
      </c>
      <c r="BO1915" s="2" t="s">
        <v>82</v>
      </c>
      <c r="BP1915" s="2">
        <v>13</v>
      </c>
      <c r="BQ1915" s="2" t="s">
        <v>91</v>
      </c>
      <c r="BR1915" s="2" t="s">
        <v>332</v>
      </c>
      <c r="BS1915" s="3">
        <v>40306</v>
      </c>
      <c r="BT1915" s="4">
        <v>0.92667824074074068</v>
      </c>
    </row>
    <row r="1916" spans="1:72" x14ac:dyDescent="0.25">
      <c r="A1916" s="2">
        <v>2769</v>
      </c>
      <c r="B1916" s="2">
        <v>2010</v>
      </c>
      <c r="C1916" s="2" t="s">
        <v>819</v>
      </c>
      <c r="D1916" s="2" t="s">
        <v>73</v>
      </c>
      <c r="E1916" s="2"/>
      <c r="F1916" s="2">
        <v>394</v>
      </c>
      <c r="G1916" s="2" t="s">
        <v>172</v>
      </c>
      <c r="H1916" s="2">
        <v>4</v>
      </c>
      <c r="I1916" s="2" t="s">
        <v>173</v>
      </c>
      <c r="J1916" s="2">
        <v>241</v>
      </c>
      <c r="K1916" s="2" t="s">
        <v>174</v>
      </c>
      <c r="L1916" s="2" t="s">
        <v>175</v>
      </c>
      <c r="M1916" s="3">
        <v>40307</v>
      </c>
      <c r="N1916" s="2" t="s">
        <v>176</v>
      </c>
      <c r="O1916" s="2" t="s">
        <v>107</v>
      </c>
      <c r="P1916" s="2" t="s">
        <v>107</v>
      </c>
      <c r="Q1916" s="2" t="str">
        <f>"253-E/10"</f>
        <v>253-E/10</v>
      </c>
      <c r="R1916" s="2" t="s">
        <v>107</v>
      </c>
      <c r="S1916" s="2" t="s">
        <v>6660</v>
      </c>
      <c r="T1916" s="2">
        <v>1</v>
      </c>
      <c r="U1916" s="2" t="s">
        <v>79</v>
      </c>
      <c r="V1916" s="2">
        <v>1</v>
      </c>
      <c r="W1916" s="2" t="s">
        <v>80</v>
      </c>
      <c r="X1916" s="2">
        <v>1</v>
      </c>
      <c r="Y1916" s="2" t="s">
        <v>81</v>
      </c>
      <c r="Z1916" s="2">
        <v>1</v>
      </c>
      <c r="AA1916" s="2" t="s">
        <v>82</v>
      </c>
      <c r="AB1916" s="2">
        <v>9</v>
      </c>
      <c r="AC1916" s="2" t="s">
        <v>124</v>
      </c>
      <c r="AD1916" s="3">
        <v>40306</v>
      </c>
      <c r="AE1916" s="4">
        <v>0.625</v>
      </c>
      <c r="AF1916" s="2"/>
      <c r="AG1916" s="2"/>
      <c r="AH1916" s="2">
        <v>2</v>
      </c>
      <c r="AI1916" s="2" t="s">
        <v>84</v>
      </c>
      <c r="AJ1916" s="2">
        <v>9</v>
      </c>
      <c r="AK1916" s="2" t="s">
        <v>103</v>
      </c>
      <c r="AL1916" s="2">
        <v>25</v>
      </c>
      <c r="AM1916" s="2" t="s">
        <v>3073</v>
      </c>
      <c r="AN1916" s="2" t="s">
        <v>107</v>
      </c>
      <c r="AO1916" s="2" t="s">
        <v>179</v>
      </c>
      <c r="AP1916" s="2">
        <v>11</v>
      </c>
      <c r="AQ1916" s="2" t="s">
        <v>82</v>
      </c>
      <c r="AR1916" s="2"/>
      <c r="AS1916" s="2"/>
      <c r="AT1916" s="2" t="s">
        <v>6709</v>
      </c>
      <c r="AU1916" s="2"/>
      <c r="AV1916" s="2">
        <v>1</v>
      </c>
      <c r="AW1916" s="2"/>
      <c r="AX1916" s="2"/>
      <c r="AY1916" s="2">
        <v>41</v>
      </c>
      <c r="AZ1916" s="2" t="s">
        <v>82</v>
      </c>
      <c r="BA1916" s="2">
        <v>41</v>
      </c>
      <c r="BB1916" s="2" t="s">
        <v>82</v>
      </c>
      <c r="BC1916" s="2">
        <v>41</v>
      </c>
      <c r="BD1916" s="2" t="s">
        <v>82</v>
      </c>
      <c r="BE1916" s="2">
        <v>19</v>
      </c>
      <c r="BF1916" s="2" t="s">
        <v>1061</v>
      </c>
      <c r="BG1916" s="2" t="s">
        <v>6710</v>
      </c>
      <c r="BH1916" s="2"/>
      <c r="BI1916" s="4">
        <v>0.64583333333333337</v>
      </c>
      <c r="BJ1916" s="2">
        <v>13</v>
      </c>
      <c r="BK1916" s="2" t="s">
        <v>91</v>
      </c>
      <c r="BL1916" s="2" t="s">
        <v>4251</v>
      </c>
      <c r="BM1916" s="2">
        <v>241</v>
      </c>
      <c r="BN1916" s="2" t="s">
        <v>82</v>
      </c>
      <c r="BO1916" s="2" t="s">
        <v>82</v>
      </c>
      <c r="BP1916" s="2">
        <v>29</v>
      </c>
      <c r="BQ1916" s="2" t="s">
        <v>962</v>
      </c>
      <c r="BR1916" s="2" t="s">
        <v>963</v>
      </c>
      <c r="BS1916" s="3">
        <v>40307</v>
      </c>
      <c r="BT1916" s="4">
        <v>2.6608796296296297E-2</v>
      </c>
    </row>
    <row r="1917" spans="1:72" x14ac:dyDescent="0.25">
      <c r="A1917" s="2">
        <v>2771</v>
      </c>
      <c r="B1917" s="2">
        <v>2010</v>
      </c>
      <c r="C1917" s="2" t="s">
        <v>72</v>
      </c>
      <c r="D1917" s="2" t="s">
        <v>73</v>
      </c>
      <c r="E1917" s="2"/>
      <c r="F1917" s="2">
        <v>2</v>
      </c>
      <c r="G1917" s="2" t="s">
        <v>113</v>
      </c>
      <c r="H1917" s="2">
        <v>1</v>
      </c>
      <c r="I1917" s="2" t="s">
        <v>82</v>
      </c>
      <c r="J1917" s="2">
        <v>300</v>
      </c>
      <c r="K1917" s="2" t="s">
        <v>114</v>
      </c>
      <c r="L1917" s="2" t="s">
        <v>115</v>
      </c>
      <c r="M1917" s="3">
        <v>40307</v>
      </c>
      <c r="N1917" s="2"/>
      <c r="O1917" s="2"/>
      <c r="P1917" s="2"/>
      <c r="Q1917" s="2" t="str">
        <f>"254-E/10"</f>
        <v>254-E/10</v>
      </c>
      <c r="R1917" s="2"/>
      <c r="S1917" s="2" t="s">
        <v>116</v>
      </c>
      <c r="T1917" s="2">
        <v>1</v>
      </c>
      <c r="U1917" s="2" t="s">
        <v>79</v>
      </c>
      <c r="V1917" s="2">
        <v>1</v>
      </c>
      <c r="W1917" s="2" t="s">
        <v>80</v>
      </c>
      <c r="X1917" s="2">
        <v>12</v>
      </c>
      <c r="Y1917" s="2" t="s">
        <v>148</v>
      </c>
      <c r="Z1917" s="2">
        <v>1</v>
      </c>
      <c r="AA1917" s="2" t="s">
        <v>82</v>
      </c>
      <c r="AB1917" s="2">
        <v>6</v>
      </c>
      <c r="AC1917" s="2" t="s">
        <v>83</v>
      </c>
      <c r="AD1917" s="3">
        <v>40306</v>
      </c>
      <c r="AE1917" s="4">
        <v>0.59027777777777779</v>
      </c>
      <c r="AF1917" s="3">
        <v>40306</v>
      </c>
      <c r="AG1917" s="4">
        <v>0.75</v>
      </c>
      <c r="AH1917" s="2">
        <v>2</v>
      </c>
      <c r="AI1917" s="2" t="s">
        <v>84</v>
      </c>
      <c r="AJ1917" s="2">
        <v>9</v>
      </c>
      <c r="AK1917" s="2" t="s">
        <v>103</v>
      </c>
      <c r="AL1917" s="2">
        <v>26</v>
      </c>
      <c r="AM1917" s="2" t="s">
        <v>6036</v>
      </c>
      <c r="AN1917" s="2"/>
      <c r="AO1917" s="2"/>
      <c r="AP1917" s="2">
        <v>11</v>
      </c>
      <c r="AQ1917" s="2" t="s">
        <v>82</v>
      </c>
      <c r="AR1917" s="2"/>
      <c r="AS1917" s="2"/>
      <c r="AT1917" s="2" t="s">
        <v>6711</v>
      </c>
      <c r="AU1917" s="2"/>
      <c r="AV1917" s="2"/>
      <c r="AW1917" s="2"/>
      <c r="AX1917" s="2"/>
      <c r="AY1917" s="2">
        <v>41</v>
      </c>
      <c r="AZ1917" s="2" t="s">
        <v>82</v>
      </c>
      <c r="BA1917" s="2">
        <v>41</v>
      </c>
      <c r="BB1917" s="2" t="s">
        <v>82</v>
      </c>
      <c r="BC1917" s="2">
        <v>41</v>
      </c>
      <c r="BD1917" s="2" t="s">
        <v>82</v>
      </c>
      <c r="BE1917" s="2">
        <v>26</v>
      </c>
      <c r="BF1917" s="2" t="s">
        <v>1999</v>
      </c>
      <c r="BG1917" s="2" t="s">
        <v>6712</v>
      </c>
      <c r="BH1917" s="4">
        <v>0.32291666666666669</v>
      </c>
      <c r="BI1917" s="2"/>
      <c r="BJ1917" s="2">
        <v>75</v>
      </c>
      <c r="BK1917" s="2" t="s">
        <v>1264</v>
      </c>
      <c r="BL1917" s="2" t="s">
        <v>6713</v>
      </c>
      <c r="BM1917" s="2">
        <v>75</v>
      </c>
      <c r="BN1917" s="2" t="s">
        <v>1264</v>
      </c>
      <c r="BO1917" s="2" t="s">
        <v>2001</v>
      </c>
      <c r="BP1917" s="2">
        <v>13</v>
      </c>
      <c r="BQ1917" s="2" t="s">
        <v>91</v>
      </c>
      <c r="BR1917" s="2" t="s">
        <v>360</v>
      </c>
      <c r="BS1917" s="3">
        <v>40307</v>
      </c>
      <c r="BT1917" s="4">
        <v>0.13702546296296295</v>
      </c>
    </row>
    <row r="1918" spans="1:72" x14ac:dyDescent="0.25">
      <c r="A1918" s="2">
        <v>2772</v>
      </c>
      <c r="B1918" s="2">
        <v>2010</v>
      </c>
      <c r="C1918" s="2" t="s">
        <v>2219</v>
      </c>
      <c r="D1918" s="2" t="s">
        <v>73</v>
      </c>
      <c r="E1918" s="2"/>
      <c r="F1918" s="2">
        <v>610</v>
      </c>
      <c r="G1918" s="2" t="s">
        <v>6445</v>
      </c>
      <c r="H1918" s="2">
        <v>102</v>
      </c>
      <c r="I1918" s="2" t="s">
        <v>6446</v>
      </c>
      <c r="J1918" s="2">
        <v>176</v>
      </c>
      <c r="K1918" s="2" t="s">
        <v>6447</v>
      </c>
      <c r="L1918" s="2" t="s">
        <v>6448</v>
      </c>
      <c r="M1918" s="3">
        <v>40307</v>
      </c>
      <c r="N1918" s="2" t="s">
        <v>6449</v>
      </c>
      <c r="O1918" s="2" t="s">
        <v>82</v>
      </c>
      <c r="P1918" s="2" t="s">
        <v>82</v>
      </c>
      <c r="Q1918" s="2" t="str">
        <f>"173-A/10"</f>
        <v>173-A/10</v>
      </c>
      <c r="R1918" s="2" t="s">
        <v>82</v>
      </c>
      <c r="S1918" s="2" t="s">
        <v>4173</v>
      </c>
      <c r="T1918" s="2">
        <v>1</v>
      </c>
      <c r="U1918" s="2" t="s">
        <v>79</v>
      </c>
      <c r="V1918" s="2">
        <v>1</v>
      </c>
      <c r="W1918" s="2" t="s">
        <v>80</v>
      </c>
      <c r="X1918" s="2">
        <v>1</v>
      </c>
      <c r="Y1918" s="2" t="s">
        <v>81</v>
      </c>
      <c r="Z1918" s="2">
        <v>1</v>
      </c>
      <c r="AA1918" s="2" t="s">
        <v>82</v>
      </c>
      <c r="AB1918" s="2">
        <v>9</v>
      </c>
      <c r="AC1918" s="2" t="s">
        <v>124</v>
      </c>
      <c r="AD1918" s="3">
        <v>40306</v>
      </c>
      <c r="AE1918" s="4">
        <v>0.88888888888888884</v>
      </c>
      <c r="AF1918" s="2"/>
      <c r="AG1918" s="2"/>
      <c r="AH1918" s="2">
        <v>2</v>
      </c>
      <c r="AI1918" s="2" t="s">
        <v>84</v>
      </c>
      <c r="AJ1918" s="2">
        <v>12</v>
      </c>
      <c r="AK1918" s="2" t="s">
        <v>85</v>
      </c>
      <c r="AL1918" s="2">
        <v>29</v>
      </c>
      <c r="AM1918" s="2" t="s">
        <v>5416</v>
      </c>
      <c r="AN1918" s="2" t="s">
        <v>1945</v>
      </c>
      <c r="AO1918" s="2" t="s">
        <v>4831</v>
      </c>
      <c r="AP1918" s="2">
        <v>11</v>
      </c>
      <c r="AQ1918" s="2" t="s">
        <v>82</v>
      </c>
      <c r="AR1918" s="2" t="s">
        <v>82</v>
      </c>
      <c r="AS1918" s="2" t="s">
        <v>82</v>
      </c>
      <c r="AT1918" s="2" t="s">
        <v>6714</v>
      </c>
      <c r="AU1918" s="2"/>
      <c r="AV1918" s="2"/>
      <c r="AW1918" s="2"/>
      <c r="AX1918" s="2"/>
      <c r="AY1918" s="2">
        <v>41</v>
      </c>
      <c r="AZ1918" s="2" t="s">
        <v>82</v>
      </c>
      <c r="BA1918" s="2">
        <v>41</v>
      </c>
      <c r="BB1918" s="2" t="s">
        <v>82</v>
      </c>
      <c r="BC1918" s="2">
        <v>41</v>
      </c>
      <c r="BD1918" s="2" t="s">
        <v>82</v>
      </c>
      <c r="BE1918" s="2">
        <v>41</v>
      </c>
      <c r="BF1918" s="2" t="s">
        <v>82</v>
      </c>
      <c r="BG1918" s="2" t="s">
        <v>82</v>
      </c>
      <c r="BH1918" s="2"/>
      <c r="BI1918" s="2"/>
      <c r="BJ1918" s="2">
        <v>241</v>
      </c>
      <c r="BK1918" s="2" t="s">
        <v>82</v>
      </c>
      <c r="BL1918" s="2" t="s">
        <v>82</v>
      </c>
      <c r="BM1918" s="2">
        <v>241</v>
      </c>
      <c r="BN1918" s="2" t="s">
        <v>82</v>
      </c>
      <c r="BO1918" s="2" t="s">
        <v>82</v>
      </c>
      <c r="BP1918" s="2">
        <v>241</v>
      </c>
      <c r="BQ1918" s="2" t="s">
        <v>82</v>
      </c>
      <c r="BR1918" s="2" t="s">
        <v>82</v>
      </c>
      <c r="BS1918" s="3">
        <v>40307</v>
      </c>
      <c r="BT1918" s="4">
        <v>0.40394675925925921</v>
      </c>
    </row>
    <row r="1919" spans="1:72" x14ac:dyDescent="0.25">
      <c r="A1919" s="2">
        <v>2773</v>
      </c>
      <c r="B1919" s="2">
        <v>2010</v>
      </c>
      <c r="C1919" s="2" t="s">
        <v>4543</v>
      </c>
      <c r="D1919" s="2" t="s">
        <v>122</v>
      </c>
      <c r="E1919" s="2"/>
      <c r="F1919" s="2">
        <v>146</v>
      </c>
      <c r="G1919" s="2" t="s">
        <v>753</v>
      </c>
      <c r="H1919" s="2">
        <v>39</v>
      </c>
      <c r="I1919" s="2" t="s">
        <v>1117</v>
      </c>
      <c r="J1919" s="2">
        <v>161</v>
      </c>
      <c r="K1919" s="2" t="s">
        <v>1900</v>
      </c>
      <c r="L1919" s="2" t="s">
        <v>1901</v>
      </c>
      <c r="M1919" s="3">
        <v>40307</v>
      </c>
      <c r="N1919" s="2" t="s">
        <v>1902</v>
      </c>
      <c r="O1919" s="2" t="s">
        <v>6715</v>
      </c>
      <c r="P1919" s="7">
        <v>18730</v>
      </c>
      <c r="Q1919" s="2" t="str">
        <f>"N/C"</f>
        <v>N/C</v>
      </c>
      <c r="R1919" s="2" t="s">
        <v>82</v>
      </c>
      <c r="S1919" s="2" t="s">
        <v>6716</v>
      </c>
      <c r="T1919" s="2">
        <v>2</v>
      </c>
      <c r="U1919" s="2" t="s">
        <v>123</v>
      </c>
      <c r="V1919" s="2">
        <v>1</v>
      </c>
      <c r="W1919" s="2" t="s">
        <v>80</v>
      </c>
      <c r="X1919" s="2">
        <v>4</v>
      </c>
      <c r="Y1919" s="2" t="s">
        <v>463</v>
      </c>
      <c r="Z1919" s="2">
        <v>1</v>
      </c>
      <c r="AA1919" s="2" t="s">
        <v>82</v>
      </c>
      <c r="AB1919" s="2">
        <v>9</v>
      </c>
      <c r="AC1919" s="2" t="s">
        <v>124</v>
      </c>
      <c r="AD1919" s="3">
        <v>40307</v>
      </c>
      <c r="AE1919" s="4">
        <v>0.47569444444444442</v>
      </c>
      <c r="AF1919" s="2"/>
      <c r="AG1919" s="2"/>
      <c r="AH1919" s="2">
        <v>6</v>
      </c>
      <c r="AI1919" s="2" t="s">
        <v>197</v>
      </c>
      <c r="AJ1919" s="2">
        <v>60</v>
      </c>
      <c r="AK1919" s="2" t="s">
        <v>543</v>
      </c>
      <c r="AL1919" s="2">
        <v>19</v>
      </c>
      <c r="AM1919" s="2" t="s">
        <v>107</v>
      </c>
      <c r="AN1919" s="2" t="s">
        <v>82</v>
      </c>
      <c r="AO1919" s="2" t="s">
        <v>2249</v>
      </c>
      <c r="AP1919" s="2">
        <v>11</v>
      </c>
      <c r="AQ1919" s="2" t="s">
        <v>82</v>
      </c>
      <c r="AR1919" s="2" t="s">
        <v>82</v>
      </c>
      <c r="AS1919" s="2" t="s">
        <v>82</v>
      </c>
      <c r="AT1919" s="2" t="s">
        <v>6717</v>
      </c>
      <c r="AU1919" s="2"/>
      <c r="AV1919" s="2"/>
      <c r="AW1919" s="2"/>
      <c r="AX1919" s="2"/>
      <c r="AY1919" s="2">
        <v>1</v>
      </c>
      <c r="AZ1919" s="2" t="s">
        <v>107</v>
      </c>
      <c r="BA1919" s="2">
        <v>1</v>
      </c>
      <c r="BB1919" s="2" t="s">
        <v>107</v>
      </c>
      <c r="BC1919" s="2">
        <v>1</v>
      </c>
      <c r="BD1919" s="2" t="s">
        <v>107</v>
      </c>
      <c r="BE1919" s="2">
        <v>49</v>
      </c>
      <c r="BF1919" s="2" t="s">
        <v>1254</v>
      </c>
      <c r="BG1919" s="2" t="s">
        <v>6718</v>
      </c>
      <c r="BH1919" s="4">
        <v>0.43055555555555558</v>
      </c>
      <c r="BI1919" s="4">
        <v>0.47569444444444442</v>
      </c>
      <c r="BJ1919" s="2">
        <v>13</v>
      </c>
      <c r="BK1919" s="2" t="s">
        <v>91</v>
      </c>
      <c r="BL1919" s="2" t="s">
        <v>895</v>
      </c>
      <c r="BM1919" s="2">
        <v>13</v>
      </c>
      <c r="BN1919" s="2" t="s">
        <v>91</v>
      </c>
      <c r="BO1919" s="2" t="s">
        <v>204</v>
      </c>
      <c r="BP1919" s="2">
        <v>13</v>
      </c>
      <c r="BQ1919" s="2" t="s">
        <v>91</v>
      </c>
      <c r="BR1919" s="2" t="s">
        <v>353</v>
      </c>
      <c r="BS1919" s="3">
        <v>40307</v>
      </c>
      <c r="BT1919" s="4">
        <v>0.47555555555555556</v>
      </c>
    </row>
    <row r="1920" spans="1:72" x14ac:dyDescent="0.25">
      <c r="A1920" s="2">
        <v>2774</v>
      </c>
      <c r="B1920" s="2">
        <v>2010</v>
      </c>
      <c r="C1920" s="2" t="s">
        <v>2754</v>
      </c>
      <c r="D1920" s="2" t="s">
        <v>73</v>
      </c>
      <c r="E1920" s="2"/>
      <c r="F1920" s="2">
        <v>20</v>
      </c>
      <c r="G1920" s="2" t="s">
        <v>2532</v>
      </c>
      <c r="H1920" s="2">
        <v>44</v>
      </c>
      <c r="I1920" s="2" t="s">
        <v>1272</v>
      </c>
      <c r="J1920" s="2">
        <v>29</v>
      </c>
      <c r="K1920" s="2" t="s">
        <v>2533</v>
      </c>
      <c r="L1920" s="2" t="s">
        <v>2534</v>
      </c>
      <c r="M1920" s="3">
        <v>40307</v>
      </c>
      <c r="N1920" s="2" t="s">
        <v>6719</v>
      </c>
      <c r="O1920" s="2"/>
      <c r="P1920" s="2"/>
      <c r="Q1920" s="2" t="str">
        <f>"0003/10"</f>
        <v>0003/10</v>
      </c>
      <c r="R1920" s="2"/>
      <c r="S1920" s="2" t="s">
        <v>6720</v>
      </c>
      <c r="T1920" s="2">
        <v>1</v>
      </c>
      <c r="U1920" s="2" t="s">
        <v>79</v>
      </c>
      <c r="V1920" s="2">
        <v>1</v>
      </c>
      <c r="W1920" s="2" t="s">
        <v>80</v>
      </c>
      <c r="X1920" s="2">
        <v>1</v>
      </c>
      <c r="Y1920" s="2" t="s">
        <v>81</v>
      </c>
      <c r="Z1920" s="2">
        <v>1</v>
      </c>
      <c r="AA1920" s="2" t="s">
        <v>82</v>
      </c>
      <c r="AB1920" s="2">
        <v>8</v>
      </c>
      <c r="AC1920" s="2" t="s">
        <v>2760</v>
      </c>
      <c r="AD1920" s="3">
        <v>40305</v>
      </c>
      <c r="AE1920" s="4">
        <v>0.58333333333333337</v>
      </c>
      <c r="AF1920" s="2"/>
      <c r="AG1920" s="2"/>
      <c r="AH1920" s="2">
        <v>4</v>
      </c>
      <c r="AI1920" s="2" t="s">
        <v>125</v>
      </c>
      <c r="AJ1920" s="2">
        <v>33</v>
      </c>
      <c r="AK1920" s="2" t="s">
        <v>126</v>
      </c>
      <c r="AL1920" s="2">
        <v>11</v>
      </c>
      <c r="AM1920" s="2" t="s">
        <v>137</v>
      </c>
      <c r="AN1920" s="2"/>
      <c r="AO1920" s="2"/>
      <c r="AP1920" s="2">
        <v>11</v>
      </c>
      <c r="AQ1920" s="2" t="s">
        <v>82</v>
      </c>
      <c r="AR1920" s="2"/>
      <c r="AS1920" s="2"/>
      <c r="AT1920" s="2" t="s">
        <v>6721</v>
      </c>
      <c r="AU1920" s="2"/>
      <c r="AV1920" s="2"/>
      <c r="AW1920" s="2"/>
      <c r="AX1920" s="2"/>
      <c r="AY1920" s="2">
        <v>41</v>
      </c>
      <c r="AZ1920" s="2" t="s">
        <v>82</v>
      </c>
      <c r="BA1920" s="2">
        <v>41</v>
      </c>
      <c r="BB1920" s="2" t="s">
        <v>82</v>
      </c>
      <c r="BC1920" s="2">
        <v>41</v>
      </c>
      <c r="BD1920" s="2" t="s">
        <v>82</v>
      </c>
      <c r="BE1920" s="2">
        <v>13</v>
      </c>
      <c r="BF1920" s="2" t="s">
        <v>108</v>
      </c>
      <c r="BG1920" s="2">
        <v>1443</v>
      </c>
      <c r="BH1920" s="4">
        <v>0.60833333333333328</v>
      </c>
      <c r="BI1920" s="4">
        <v>0.64583333333333337</v>
      </c>
      <c r="BJ1920" s="2">
        <v>13</v>
      </c>
      <c r="BK1920" s="2" t="s">
        <v>91</v>
      </c>
      <c r="BL1920" s="2" t="s">
        <v>6582</v>
      </c>
      <c r="BM1920" s="2">
        <v>241</v>
      </c>
      <c r="BN1920" s="2" t="s">
        <v>82</v>
      </c>
      <c r="BO1920" s="2"/>
      <c r="BP1920" s="2">
        <v>13</v>
      </c>
      <c r="BQ1920" s="2" t="s">
        <v>91</v>
      </c>
      <c r="BR1920" s="2" t="s">
        <v>1108</v>
      </c>
      <c r="BS1920" s="3">
        <v>40307</v>
      </c>
      <c r="BT1920" s="4">
        <v>0.54978009259259253</v>
      </c>
    </row>
    <row r="1921" spans="1:72" x14ac:dyDescent="0.25">
      <c r="A1921" s="2">
        <v>2775</v>
      </c>
      <c r="B1921" s="2">
        <v>2010</v>
      </c>
      <c r="C1921" s="2" t="s">
        <v>121</v>
      </c>
      <c r="D1921" s="2" t="s">
        <v>122</v>
      </c>
      <c r="E1921" s="2" t="s">
        <v>6722</v>
      </c>
      <c r="F1921" s="2">
        <v>1</v>
      </c>
      <c r="G1921" s="2" t="s">
        <v>82</v>
      </c>
      <c r="H1921" s="2">
        <v>1</v>
      </c>
      <c r="I1921" s="2" t="s">
        <v>82</v>
      </c>
      <c r="J1921" s="2">
        <v>1</v>
      </c>
      <c r="K1921" s="2" t="s">
        <v>107</v>
      </c>
      <c r="L1921" s="2" t="s">
        <v>107</v>
      </c>
      <c r="M1921" s="3">
        <v>40307</v>
      </c>
      <c r="N1921" s="2"/>
      <c r="O1921" s="2"/>
      <c r="P1921" s="2"/>
      <c r="Q1921" s="2" t="str">
        <f>""</f>
        <v/>
      </c>
      <c r="R1921" s="2"/>
      <c r="S1921" s="2"/>
      <c r="T1921" s="2">
        <v>2</v>
      </c>
      <c r="U1921" s="2" t="s">
        <v>123</v>
      </c>
      <c r="V1921" s="2">
        <v>1</v>
      </c>
      <c r="W1921" s="2" t="s">
        <v>80</v>
      </c>
      <c r="X1921" s="2">
        <v>5</v>
      </c>
      <c r="Y1921" s="2" t="s">
        <v>82</v>
      </c>
      <c r="Z1921" s="2">
        <v>1</v>
      </c>
      <c r="AA1921" s="2" t="s">
        <v>82</v>
      </c>
      <c r="AB1921" s="2">
        <v>9</v>
      </c>
      <c r="AC1921" s="2" t="s">
        <v>124</v>
      </c>
      <c r="AD1921" s="3">
        <v>40307</v>
      </c>
      <c r="AE1921" s="4">
        <v>0.57152777777777775</v>
      </c>
      <c r="AF1921" s="2"/>
      <c r="AG1921" s="2"/>
      <c r="AH1921" s="2">
        <v>4</v>
      </c>
      <c r="AI1921" s="2" t="s">
        <v>125</v>
      </c>
      <c r="AJ1921" s="2">
        <v>31</v>
      </c>
      <c r="AK1921" s="2" t="s">
        <v>1413</v>
      </c>
      <c r="AL1921" s="2">
        <v>18</v>
      </c>
      <c r="AM1921" s="2" t="s">
        <v>82</v>
      </c>
      <c r="AN1921" s="2"/>
      <c r="AO1921" s="2" t="s">
        <v>6691</v>
      </c>
      <c r="AP1921" s="2">
        <v>11</v>
      </c>
      <c r="AQ1921" s="2" t="s">
        <v>82</v>
      </c>
      <c r="AR1921" s="2"/>
      <c r="AS1921" s="2"/>
      <c r="AT1921" s="2" t="s">
        <v>6723</v>
      </c>
      <c r="AU1921" s="2"/>
      <c r="AV1921" s="2"/>
      <c r="AW1921" s="2"/>
      <c r="AX1921" s="2"/>
      <c r="AY1921" s="2">
        <v>1</v>
      </c>
      <c r="AZ1921" s="2" t="s">
        <v>107</v>
      </c>
      <c r="BA1921" s="2">
        <v>1</v>
      </c>
      <c r="BB1921" s="2" t="s">
        <v>107</v>
      </c>
      <c r="BC1921" s="2">
        <v>1</v>
      </c>
      <c r="BD1921" s="2" t="s">
        <v>107</v>
      </c>
      <c r="BE1921" s="2">
        <v>1</v>
      </c>
      <c r="BF1921" s="2" t="s">
        <v>107</v>
      </c>
      <c r="BG1921" s="2"/>
      <c r="BH1921" s="2"/>
      <c r="BI1921" s="4">
        <v>0.57152777777777775</v>
      </c>
      <c r="BJ1921" s="2">
        <v>242</v>
      </c>
      <c r="BK1921" s="2" t="s">
        <v>107</v>
      </c>
      <c r="BL1921" s="2" t="s">
        <v>4725</v>
      </c>
      <c r="BM1921" s="2">
        <v>242</v>
      </c>
      <c r="BN1921" s="2" t="s">
        <v>107</v>
      </c>
      <c r="BO1921" s="2"/>
      <c r="BP1921" s="2">
        <v>242</v>
      </c>
      <c r="BQ1921" s="2" t="s">
        <v>107</v>
      </c>
      <c r="BR1921" s="2" t="s">
        <v>534</v>
      </c>
      <c r="BS1921" s="3">
        <v>40307</v>
      </c>
      <c r="BT1921" s="4">
        <v>0.58828703703703711</v>
      </c>
    </row>
    <row r="1922" spans="1:72" x14ac:dyDescent="0.25">
      <c r="A1922" s="2">
        <v>2776</v>
      </c>
      <c r="B1922" s="2">
        <v>2010</v>
      </c>
      <c r="C1922" s="2" t="s">
        <v>385</v>
      </c>
      <c r="D1922" s="2" t="s">
        <v>122</v>
      </c>
      <c r="E1922" s="2"/>
      <c r="F1922" s="2">
        <v>136</v>
      </c>
      <c r="G1922" s="2" t="s">
        <v>6724</v>
      </c>
      <c r="H1922" s="2">
        <v>50</v>
      </c>
      <c r="I1922" s="2" t="s">
        <v>107</v>
      </c>
      <c r="J1922" s="2">
        <v>153</v>
      </c>
      <c r="K1922" s="2" t="s">
        <v>6725</v>
      </c>
      <c r="L1922" s="2" t="s">
        <v>2145</v>
      </c>
      <c r="M1922" s="3">
        <v>40307</v>
      </c>
      <c r="N1922" s="2" t="s">
        <v>6726</v>
      </c>
      <c r="O1922" s="2" t="s">
        <v>6727</v>
      </c>
      <c r="P1922" s="2" t="s">
        <v>6728</v>
      </c>
      <c r="Q1922" s="2" t="str">
        <f>"N/C"</f>
        <v>N/C</v>
      </c>
      <c r="R1922" s="2" t="s">
        <v>82</v>
      </c>
      <c r="S1922" s="2" t="s">
        <v>82</v>
      </c>
      <c r="T1922" s="2">
        <v>1</v>
      </c>
      <c r="U1922" s="2" t="s">
        <v>79</v>
      </c>
      <c r="V1922" s="2">
        <v>1</v>
      </c>
      <c r="W1922" s="2" t="s">
        <v>80</v>
      </c>
      <c r="X1922" s="2">
        <v>4</v>
      </c>
      <c r="Y1922" s="2" t="s">
        <v>463</v>
      </c>
      <c r="Z1922" s="2">
        <v>22</v>
      </c>
      <c r="AA1922" s="2" t="s">
        <v>4417</v>
      </c>
      <c r="AB1922" s="2">
        <v>9</v>
      </c>
      <c r="AC1922" s="2" t="s">
        <v>124</v>
      </c>
      <c r="AD1922" s="3">
        <v>40307</v>
      </c>
      <c r="AE1922" s="4">
        <v>0.56944444444444442</v>
      </c>
      <c r="AF1922" s="2"/>
      <c r="AG1922" s="2"/>
      <c r="AH1922" s="2">
        <v>6</v>
      </c>
      <c r="AI1922" s="2" t="s">
        <v>197</v>
      </c>
      <c r="AJ1922" s="2">
        <v>60</v>
      </c>
      <c r="AK1922" s="2" t="s">
        <v>543</v>
      </c>
      <c r="AL1922" s="2">
        <v>11</v>
      </c>
      <c r="AM1922" s="2" t="s">
        <v>137</v>
      </c>
      <c r="AN1922" s="2" t="s">
        <v>82</v>
      </c>
      <c r="AO1922" s="2" t="s">
        <v>82</v>
      </c>
      <c r="AP1922" s="2">
        <v>11</v>
      </c>
      <c r="AQ1922" s="2" t="s">
        <v>82</v>
      </c>
      <c r="AR1922" s="2"/>
      <c r="AS1922" s="2"/>
      <c r="AT1922" s="2" t="s">
        <v>6729</v>
      </c>
      <c r="AU1922" s="2">
        <v>1</v>
      </c>
      <c r="AV1922" s="2"/>
      <c r="AW1922" s="2"/>
      <c r="AX1922" s="2"/>
      <c r="AY1922" s="2">
        <v>1</v>
      </c>
      <c r="AZ1922" s="2" t="s">
        <v>107</v>
      </c>
      <c r="BA1922" s="2">
        <v>1</v>
      </c>
      <c r="BB1922" s="2" t="s">
        <v>107</v>
      </c>
      <c r="BC1922" s="2">
        <v>1</v>
      </c>
      <c r="BD1922" s="2" t="s">
        <v>107</v>
      </c>
      <c r="BE1922" s="2">
        <v>47</v>
      </c>
      <c r="BF1922" s="2" t="s">
        <v>167</v>
      </c>
      <c r="BG1922" s="2">
        <v>2898</v>
      </c>
      <c r="BH1922" s="4">
        <v>0.5625</v>
      </c>
      <c r="BI1922" s="4">
        <v>0.59027777777777779</v>
      </c>
      <c r="BJ1922" s="2">
        <v>13</v>
      </c>
      <c r="BK1922" s="2" t="s">
        <v>91</v>
      </c>
      <c r="BL1922" s="2" t="s">
        <v>5820</v>
      </c>
      <c r="BM1922" s="2">
        <v>242</v>
      </c>
      <c r="BN1922" s="2" t="s">
        <v>107</v>
      </c>
      <c r="BO1922" s="2" t="s">
        <v>82</v>
      </c>
      <c r="BP1922" s="2">
        <v>13</v>
      </c>
      <c r="BQ1922" s="2" t="s">
        <v>91</v>
      </c>
      <c r="BR1922" s="2" t="s">
        <v>895</v>
      </c>
      <c r="BS1922" s="3">
        <v>40307</v>
      </c>
      <c r="BT1922" s="4">
        <v>0.60532407407407407</v>
      </c>
    </row>
    <row r="1923" spans="1:72" x14ac:dyDescent="0.25">
      <c r="A1923" s="2">
        <v>2777</v>
      </c>
      <c r="B1923" s="2">
        <v>2010</v>
      </c>
      <c r="C1923" s="2" t="s">
        <v>72</v>
      </c>
      <c r="D1923" s="2" t="s">
        <v>73</v>
      </c>
      <c r="E1923" s="2"/>
      <c r="F1923" s="2">
        <v>288</v>
      </c>
      <c r="G1923" s="2" t="s">
        <v>5233</v>
      </c>
      <c r="H1923" s="2">
        <v>42</v>
      </c>
      <c r="I1923" s="2" t="s">
        <v>1096</v>
      </c>
      <c r="J1923" s="2">
        <v>549</v>
      </c>
      <c r="K1923" s="2" t="s">
        <v>6677</v>
      </c>
      <c r="L1923" s="2" t="s">
        <v>6678</v>
      </c>
      <c r="M1923" s="3">
        <v>40307</v>
      </c>
      <c r="N1923" s="2" t="s">
        <v>6730</v>
      </c>
      <c r="O1923" s="2" t="s">
        <v>107</v>
      </c>
      <c r="P1923" s="2" t="s">
        <v>107</v>
      </c>
      <c r="Q1923" s="2" t="str">
        <f>"174-A/10"</f>
        <v>174-A/10</v>
      </c>
      <c r="R1923" s="2" t="s">
        <v>107</v>
      </c>
      <c r="S1923" s="2" t="s">
        <v>206</v>
      </c>
      <c r="T1923" s="2">
        <v>1</v>
      </c>
      <c r="U1923" s="2" t="s">
        <v>79</v>
      </c>
      <c r="V1923" s="2">
        <v>1</v>
      </c>
      <c r="W1923" s="2" t="s">
        <v>80</v>
      </c>
      <c r="X1923" s="2">
        <v>12</v>
      </c>
      <c r="Y1923" s="2" t="s">
        <v>148</v>
      </c>
      <c r="Z1923" s="2">
        <v>1</v>
      </c>
      <c r="AA1923" s="2" t="s">
        <v>82</v>
      </c>
      <c r="AB1923" s="2">
        <v>6</v>
      </c>
      <c r="AC1923" s="2" t="s">
        <v>83</v>
      </c>
      <c r="AD1923" s="3">
        <v>40307</v>
      </c>
      <c r="AE1923" s="2"/>
      <c r="AF1923" s="3">
        <v>40307</v>
      </c>
      <c r="AG1923" s="4">
        <v>0.39583333333333331</v>
      </c>
      <c r="AH1923" s="2">
        <v>2</v>
      </c>
      <c r="AI1923" s="2" t="s">
        <v>84</v>
      </c>
      <c r="AJ1923" s="2">
        <v>12</v>
      </c>
      <c r="AK1923" s="2" t="s">
        <v>85</v>
      </c>
      <c r="AL1923" s="2">
        <v>22</v>
      </c>
      <c r="AM1923" s="2" t="s">
        <v>1853</v>
      </c>
      <c r="AN1923" s="2" t="s">
        <v>107</v>
      </c>
      <c r="AO1923" s="2" t="s">
        <v>107</v>
      </c>
      <c r="AP1923" s="2">
        <v>11</v>
      </c>
      <c r="AQ1923" s="2" t="s">
        <v>82</v>
      </c>
      <c r="AR1923" s="2"/>
      <c r="AS1923" s="2"/>
      <c r="AT1923" s="2" t="s">
        <v>6731</v>
      </c>
      <c r="AU1923" s="2"/>
      <c r="AV1923" s="2"/>
      <c r="AW1923" s="2"/>
      <c r="AX1923" s="2"/>
      <c r="AY1923" s="2">
        <v>41</v>
      </c>
      <c r="AZ1923" s="2" t="s">
        <v>82</v>
      </c>
      <c r="BA1923" s="2">
        <v>41</v>
      </c>
      <c r="BB1923" s="2" t="s">
        <v>82</v>
      </c>
      <c r="BC1923" s="2">
        <v>41</v>
      </c>
      <c r="BD1923" s="2" t="s">
        <v>82</v>
      </c>
      <c r="BE1923" s="2">
        <v>13</v>
      </c>
      <c r="BF1923" s="2" t="s">
        <v>108</v>
      </c>
      <c r="BG1923" s="2" t="s">
        <v>6732</v>
      </c>
      <c r="BH1923" s="4">
        <v>0.35416666666666669</v>
      </c>
      <c r="BI1923" s="4">
        <v>0.27083333333333331</v>
      </c>
      <c r="BJ1923" s="2">
        <v>13</v>
      </c>
      <c r="BK1923" s="2" t="s">
        <v>91</v>
      </c>
      <c r="BL1923" s="2" t="s">
        <v>828</v>
      </c>
      <c r="BM1923" s="2">
        <v>241</v>
      </c>
      <c r="BN1923" s="2" t="s">
        <v>82</v>
      </c>
      <c r="BO1923" s="2"/>
      <c r="BP1923" s="2">
        <v>13</v>
      </c>
      <c r="BQ1923" s="2" t="s">
        <v>91</v>
      </c>
      <c r="BR1923" s="2" t="s">
        <v>185</v>
      </c>
      <c r="BS1923" s="3">
        <v>40307</v>
      </c>
      <c r="BT1923" s="4">
        <v>0.61429398148148151</v>
      </c>
    </row>
    <row r="1924" spans="1:72" x14ac:dyDescent="0.25">
      <c r="A1924" s="2">
        <v>2779</v>
      </c>
      <c r="B1924" s="2">
        <v>2010</v>
      </c>
      <c r="C1924" s="2" t="s">
        <v>196</v>
      </c>
      <c r="D1924" s="2" t="s">
        <v>122</v>
      </c>
      <c r="E1924" s="2"/>
      <c r="F1924" s="2">
        <v>1</v>
      </c>
      <c r="G1924" s="2" t="s">
        <v>82</v>
      </c>
      <c r="H1924" s="2">
        <v>1</v>
      </c>
      <c r="I1924" s="2" t="s">
        <v>82</v>
      </c>
      <c r="J1924" s="2">
        <v>1</v>
      </c>
      <c r="K1924" s="2" t="s">
        <v>107</v>
      </c>
      <c r="L1924" s="2" t="s">
        <v>107</v>
      </c>
      <c r="M1924" s="3">
        <v>40307</v>
      </c>
      <c r="N1924" s="2"/>
      <c r="O1924" s="2"/>
      <c r="P1924" s="2"/>
      <c r="Q1924" s="2" t="str">
        <f>""</f>
        <v/>
      </c>
      <c r="R1924" s="2"/>
      <c r="S1924" s="2"/>
      <c r="T1924" s="2">
        <v>2</v>
      </c>
      <c r="U1924" s="2" t="s">
        <v>123</v>
      </c>
      <c r="V1924" s="2">
        <v>1</v>
      </c>
      <c r="W1924" s="2" t="s">
        <v>80</v>
      </c>
      <c r="X1924" s="2">
        <v>1</v>
      </c>
      <c r="Y1924" s="2" t="s">
        <v>81</v>
      </c>
      <c r="Z1924" s="2">
        <v>1</v>
      </c>
      <c r="AA1924" s="2" t="s">
        <v>82</v>
      </c>
      <c r="AB1924" s="2">
        <v>9</v>
      </c>
      <c r="AC1924" s="2" t="s">
        <v>124</v>
      </c>
      <c r="AD1924" s="3">
        <v>40307</v>
      </c>
      <c r="AE1924" s="4">
        <v>0.58333333333333337</v>
      </c>
      <c r="AF1924" s="2"/>
      <c r="AG1924" s="2"/>
      <c r="AH1924" s="2">
        <v>6</v>
      </c>
      <c r="AI1924" s="2" t="s">
        <v>197</v>
      </c>
      <c r="AJ1924" s="2">
        <v>58</v>
      </c>
      <c r="AK1924" s="2" t="s">
        <v>406</v>
      </c>
      <c r="AL1924" s="2">
        <v>9</v>
      </c>
      <c r="AM1924" s="2" t="s">
        <v>259</v>
      </c>
      <c r="AN1924" s="2" t="s">
        <v>1004</v>
      </c>
      <c r="AO1924" s="2" t="s">
        <v>82</v>
      </c>
      <c r="AP1924" s="2">
        <v>11</v>
      </c>
      <c r="AQ1924" s="2" t="s">
        <v>82</v>
      </c>
      <c r="AR1924" s="2"/>
      <c r="AS1924" s="2"/>
      <c r="AT1924" s="2" t="s">
        <v>6733</v>
      </c>
      <c r="AU1924" s="2"/>
      <c r="AV1924" s="2"/>
      <c r="AW1924" s="2"/>
      <c r="AX1924" s="2"/>
      <c r="AY1924" s="2">
        <v>41</v>
      </c>
      <c r="AZ1924" s="2" t="s">
        <v>82</v>
      </c>
      <c r="BA1924" s="2">
        <v>41</v>
      </c>
      <c r="BB1924" s="2" t="s">
        <v>82</v>
      </c>
      <c r="BC1924" s="2">
        <v>41</v>
      </c>
      <c r="BD1924" s="2" t="s">
        <v>82</v>
      </c>
      <c r="BE1924" s="2">
        <v>41</v>
      </c>
      <c r="BF1924" s="2" t="s">
        <v>82</v>
      </c>
      <c r="BG1924" s="2" t="s">
        <v>6734</v>
      </c>
      <c r="BH1924" s="2"/>
      <c r="BI1924" s="4">
        <v>0.58333333333333337</v>
      </c>
      <c r="BJ1924" s="2">
        <v>13</v>
      </c>
      <c r="BK1924" s="2" t="s">
        <v>91</v>
      </c>
      <c r="BL1924" s="2" t="s">
        <v>492</v>
      </c>
      <c r="BM1924" s="2">
        <v>13</v>
      </c>
      <c r="BN1924" s="2" t="s">
        <v>91</v>
      </c>
      <c r="BO1924" s="2" t="s">
        <v>204</v>
      </c>
      <c r="BP1924" s="2">
        <v>13</v>
      </c>
      <c r="BQ1924" s="2" t="s">
        <v>91</v>
      </c>
      <c r="BR1924" s="2" t="s">
        <v>185</v>
      </c>
      <c r="BS1924" s="3">
        <v>40307</v>
      </c>
      <c r="BT1924" s="4">
        <v>0.66569444444444448</v>
      </c>
    </row>
    <row r="1925" spans="1:72" x14ac:dyDescent="0.25">
      <c r="A1925" s="2">
        <v>2780</v>
      </c>
      <c r="B1925" s="2">
        <v>2010</v>
      </c>
      <c r="C1925" s="2" t="s">
        <v>171</v>
      </c>
      <c r="D1925" s="2" t="s">
        <v>73</v>
      </c>
      <c r="E1925" s="2"/>
      <c r="F1925" s="2">
        <v>394</v>
      </c>
      <c r="G1925" s="2" t="s">
        <v>172</v>
      </c>
      <c r="H1925" s="2">
        <v>5</v>
      </c>
      <c r="I1925" s="2" t="s">
        <v>634</v>
      </c>
      <c r="J1925" s="2">
        <v>241</v>
      </c>
      <c r="K1925" s="2" t="s">
        <v>174</v>
      </c>
      <c r="L1925" s="2" t="s">
        <v>175</v>
      </c>
      <c r="M1925" s="3">
        <v>40307</v>
      </c>
      <c r="N1925" s="2" t="s">
        <v>6735</v>
      </c>
      <c r="O1925" s="2" t="s">
        <v>107</v>
      </c>
      <c r="P1925" s="2" t="s">
        <v>107</v>
      </c>
      <c r="Q1925" s="2" t="str">
        <f>"255-E/10"</f>
        <v>255-E/10</v>
      </c>
      <c r="R1925" s="2" t="s">
        <v>391</v>
      </c>
      <c r="S1925" s="2" t="s">
        <v>391</v>
      </c>
      <c r="T1925" s="2">
        <v>1</v>
      </c>
      <c r="U1925" s="2" t="s">
        <v>79</v>
      </c>
      <c r="V1925" s="2">
        <v>1</v>
      </c>
      <c r="W1925" s="2" t="s">
        <v>80</v>
      </c>
      <c r="X1925" s="2">
        <v>1</v>
      </c>
      <c r="Y1925" s="2" t="s">
        <v>81</v>
      </c>
      <c r="Z1925" s="2">
        <v>1</v>
      </c>
      <c r="AA1925" s="2" t="s">
        <v>82</v>
      </c>
      <c r="AB1925" s="2">
        <v>1</v>
      </c>
      <c r="AC1925" s="2" t="s">
        <v>178</v>
      </c>
      <c r="AD1925" s="3">
        <v>40307</v>
      </c>
      <c r="AE1925" s="4">
        <v>0.5</v>
      </c>
      <c r="AF1925" s="2"/>
      <c r="AG1925" s="2"/>
      <c r="AH1925" s="2">
        <v>2</v>
      </c>
      <c r="AI1925" s="2" t="s">
        <v>84</v>
      </c>
      <c r="AJ1925" s="2">
        <v>9</v>
      </c>
      <c r="AK1925" s="2" t="s">
        <v>103</v>
      </c>
      <c r="AL1925" s="2">
        <v>25</v>
      </c>
      <c r="AM1925" s="2" t="s">
        <v>3073</v>
      </c>
      <c r="AN1925" s="2"/>
      <c r="AO1925" s="2" t="s">
        <v>180</v>
      </c>
      <c r="AP1925" s="2">
        <v>11</v>
      </c>
      <c r="AQ1925" s="2" t="s">
        <v>82</v>
      </c>
      <c r="AR1925" s="2"/>
      <c r="AS1925" s="2"/>
      <c r="AT1925" s="2" t="s">
        <v>6736</v>
      </c>
      <c r="AU1925" s="2"/>
      <c r="AV1925" s="2">
        <v>1</v>
      </c>
      <c r="AW1925" s="2"/>
      <c r="AX1925" s="2"/>
      <c r="AY1925" s="2">
        <v>41</v>
      </c>
      <c r="AZ1925" s="2" t="s">
        <v>82</v>
      </c>
      <c r="BA1925" s="2">
        <v>41</v>
      </c>
      <c r="BB1925" s="2" t="s">
        <v>82</v>
      </c>
      <c r="BC1925" s="2">
        <v>41</v>
      </c>
      <c r="BD1925" s="2" t="s">
        <v>82</v>
      </c>
      <c r="BE1925" s="2">
        <v>27</v>
      </c>
      <c r="BF1925" s="2" t="s">
        <v>2197</v>
      </c>
      <c r="BG1925" s="2" t="s">
        <v>2198</v>
      </c>
      <c r="BH1925" s="4">
        <v>2.7777777777777776E-2</v>
      </c>
      <c r="BI1925" s="4">
        <v>0.53125</v>
      </c>
      <c r="BJ1925" s="2">
        <v>13</v>
      </c>
      <c r="BK1925" s="2" t="s">
        <v>91</v>
      </c>
      <c r="BL1925" s="2" t="s">
        <v>360</v>
      </c>
      <c r="BM1925" s="2">
        <v>112</v>
      </c>
      <c r="BN1925" s="2" t="s">
        <v>110</v>
      </c>
      <c r="BO1925" s="2" t="s">
        <v>6737</v>
      </c>
      <c r="BP1925" s="2">
        <v>24</v>
      </c>
      <c r="BQ1925" s="2" t="s">
        <v>6738</v>
      </c>
      <c r="BR1925" s="2" t="s">
        <v>6739</v>
      </c>
      <c r="BS1925" s="3">
        <v>40307</v>
      </c>
      <c r="BT1925" s="4">
        <v>0.69881944444444455</v>
      </c>
    </row>
    <row r="1926" spans="1:72" x14ac:dyDescent="0.25">
      <c r="A1926" s="2">
        <v>2781</v>
      </c>
      <c r="B1926" s="2">
        <v>2010</v>
      </c>
      <c r="C1926" s="2" t="s">
        <v>196</v>
      </c>
      <c r="D1926" s="2" t="s">
        <v>122</v>
      </c>
      <c r="E1926" s="2"/>
      <c r="F1926" s="2">
        <v>1</v>
      </c>
      <c r="G1926" s="2" t="s">
        <v>82</v>
      </c>
      <c r="H1926" s="2">
        <v>1</v>
      </c>
      <c r="I1926" s="2" t="s">
        <v>82</v>
      </c>
      <c r="J1926" s="2">
        <v>1</v>
      </c>
      <c r="K1926" s="2" t="s">
        <v>107</v>
      </c>
      <c r="L1926" s="2" t="s">
        <v>107</v>
      </c>
      <c r="M1926" s="3">
        <v>40307</v>
      </c>
      <c r="N1926" s="2"/>
      <c r="O1926" s="2"/>
      <c r="P1926" s="2"/>
      <c r="Q1926" s="2" t="str">
        <f>""</f>
        <v/>
      </c>
      <c r="R1926" s="2"/>
      <c r="S1926" s="2"/>
      <c r="T1926" s="2">
        <v>2</v>
      </c>
      <c r="U1926" s="2" t="s">
        <v>123</v>
      </c>
      <c r="V1926" s="2">
        <v>1</v>
      </c>
      <c r="W1926" s="2" t="s">
        <v>80</v>
      </c>
      <c r="X1926" s="2">
        <v>11</v>
      </c>
      <c r="Y1926" s="2" t="s">
        <v>1920</v>
      </c>
      <c r="Z1926" s="2">
        <v>10</v>
      </c>
      <c r="AA1926" s="2" t="s">
        <v>236</v>
      </c>
      <c r="AB1926" s="2">
        <v>9</v>
      </c>
      <c r="AC1926" s="2" t="s">
        <v>124</v>
      </c>
      <c r="AD1926" s="3">
        <v>40307</v>
      </c>
      <c r="AE1926" s="4">
        <v>0.66319444444444442</v>
      </c>
      <c r="AF1926" s="2"/>
      <c r="AG1926" s="2"/>
      <c r="AH1926" s="2">
        <v>6</v>
      </c>
      <c r="AI1926" s="2" t="s">
        <v>197</v>
      </c>
      <c r="AJ1926" s="2">
        <v>59</v>
      </c>
      <c r="AK1926" s="2" t="s">
        <v>198</v>
      </c>
      <c r="AL1926" s="2">
        <v>9</v>
      </c>
      <c r="AM1926" s="2" t="s">
        <v>259</v>
      </c>
      <c r="AN1926" s="2" t="s">
        <v>259</v>
      </c>
      <c r="AO1926" s="2" t="s">
        <v>230</v>
      </c>
      <c r="AP1926" s="2">
        <v>11</v>
      </c>
      <c r="AQ1926" s="2" t="s">
        <v>82</v>
      </c>
      <c r="AR1926" s="2"/>
      <c r="AS1926" s="2"/>
      <c r="AT1926" s="2" t="s">
        <v>6740</v>
      </c>
      <c r="AU1926" s="2"/>
      <c r="AV1926" s="2"/>
      <c r="AW1926" s="2"/>
      <c r="AX1926" s="2"/>
      <c r="AY1926" s="2">
        <v>41</v>
      </c>
      <c r="AZ1926" s="2" t="s">
        <v>82</v>
      </c>
      <c r="BA1926" s="2">
        <v>41</v>
      </c>
      <c r="BB1926" s="2" t="s">
        <v>82</v>
      </c>
      <c r="BC1926" s="2">
        <v>41</v>
      </c>
      <c r="BD1926" s="2" t="s">
        <v>82</v>
      </c>
      <c r="BE1926" s="2">
        <v>41</v>
      </c>
      <c r="BF1926" s="2" t="s">
        <v>82</v>
      </c>
      <c r="BG1926" s="2" t="s">
        <v>6734</v>
      </c>
      <c r="BH1926" s="2"/>
      <c r="BI1926" s="4">
        <v>0.66319444444444442</v>
      </c>
      <c r="BJ1926" s="2">
        <v>13</v>
      </c>
      <c r="BK1926" s="2" t="s">
        <v>91</v>
      </c>
      <c r="BL1926" s="2" t="s">
        <v>492</v>
      </c>
      <c r="BM1926" s="2">
        <v>13</v>
      </c>
      <c r="BN1926" s="2" t="s">
        <v>91</v>
      </c>
      <c r="BO1926" s="2" t="s">
        <v>204</v>
      </c>
      <c r="BP1926" s="2">
        <v>13</v>
      </c>
      <c r="BQ1926" s="2" t="s">
        <v>91</v>
      </c>
      <c r="BR1926" s="2" t="s">
        <v>185</v>
      </c>
      <c r="BS1926" s="3">
        <v>40307</v>
      </c>
      <c r="BT1926" s="4">
        <v>0.72307870370370375</v>
      </c>
    </row>
    <row r="1927" spans="1:72" x14ac:dyDescent="0.25">
      <c r="A1927" s="2">
        <v>2782</v>
      </c>
      <c r="B1927" s="2">
        <v>2010</v>
      </c>
      <c r="C1927" s="2" t="s">
        <v>121</v>
      </c>
      <c r="D1927" s="2" t="s">
        <v>122</v>
      </c>
      <c r="E1927" s="2" t="s">
        <v>6741</v>
      </c>
      <c r="F1927" s="2">
        <v>1</v>
      </c>
      <c r="G1927" s="2" t="s">
        <v>82</v>
      </c>
      <c r="H1927" s="2">
        <v>1</v>
      </c>
      <c r="I1927" s="2" t="s">
        <v>82</v>
      </c>
      <c r="J1927" s="2">
        <v>1</v>
      </c>
      <c r="K1927" s="2" t="s">
        <v>107</v>
      </c>
      <c r="L1927" s="2" t="s">
        <v>107</v>
      </c>
      <c r="M1927" s="3">
        <v>40307</v>
      </c>
      <c r="N1927" s="2"/>
      <c r="O1927" s="2"/>
      <c r="P1927" s="2"/>
      <c r="Q1927" s="2" t="str">
        <f>""</f>
        <v/>
      </c>
      <c r="R1927" s="2"/>
      <c r="S1927" s="2"/>
      <c r="T1927" s="2">
        <v>2</v>
      </c>
      <c r="U1927" s="2" t="s">
        <v>123</v>
      </c>
      <c r="V1927" s="2">
        <v>1</v>
      </c>
      <c r="W1927" s="2" t="s">
        <v>80</v>
      </c>
      <c r="X1927" s="2">
        <v>5</v>
      </c>
      <c r="Y1927" s="2" t="s">
        <v>82</v>
      </c>
      <c r="Z1927" s="2">
        <v>1</v>
      </c>
      <c r="AA1927" s="2" t="s">
        <v>82</v>
      </c>
      <c r="AB1927" s="2">
        <v>9</v>
      </c>
      <c r="AC1927" s="2" t="s">
        <v>124</v>
      </c>
      <c r="AD1927" s="3">
        <v>40307</v>
      </c>
      <c r="AE1927" s="4">
        <v>0.70833333333333337</v>
      </c>
      <c r="AF1927" s="2"/>
      <c r="AG1927" s="2"/>
      <c r="AH1927" s="2">
        <v>4</v>
      </c>
      <c r="AI1927" s="2" t="s">
        <v>125</v>
      </c>
      <c r="AJ1927" s="2">
        <v>31</v>
      </c>
      <c r="AK1927" s="2" t="s">
        <v>1413</v>
      </c>
      <c r="AL1927" s="2">
        <v>18</v>
      </c>
      <c r="AM1927" s="2" t="s">
        <v>82</v>
      </c>
      <c r="AN1927" s="2"/>
      <c r="AO1927" s="2" t="s">
        <v>6691</v>
      </c>
      <c r="AP1927" s="2">
        <v>11</v>
      </c>
      <c r="AQ1927" s="2" t="s">
        <v>82</v>
      </c>
      <c r="AR1927" s="2"/>
      <c r="AS1927" s="2"/>
      <c r="AT1927" s="2" t="s">
        <v>6742</v>
      </c>
      <c r="AU1927" s="2"/>
      <c r="AV1927" s="2"/>
      <c r="AW1927" s="2"/>
      <c r="AX1927" s="2"/>
      <c r="AY1927" s="2">
        <v>1</v>
      </c>
      <c r="AZ1927" s="2" t="s">
        <v>107</v>
      </c>
      <c r="BA1927" s="2">
        <v>1</v>
      </c>
      <c r="BB1927" s="2" t="s">
        <v>107</v>
      </c>
      <c r="BC1927" s="2">
        <v>1</v>
      </c>
      <c r="BD1927" s="2" t="s">
        <v>107</v>
      </c>
      <c r="BE1927" s="2">
        <v>1</v>
      </c>
      <c r="BF1927" s="2" t="s">
        <v>107</v>
      </c>
      <c r="BG1927" s="2" t="s">
        <v>6743</v>
      </c>
      <c r="BH1927" s="4">
        <v>0.5395833333333333</v>
      </c>
      <c r="BI1927" s="4">
        <v>0.70833333333333337</v>
      </c>
      <c r="BJ1927" s="2">
        <v>13</v>
      </c>
      <c r="BK1927" s="2" t="s">
        <v>91</v>
      </c>
      <c r="BL1927" s="2" t="s">
        <v>534</v>
      </c>
      <c r="BM1927" s="2">
        <v>13</v>
      </c>
      <c r="BN1927" s="2" t="s">
        <v>91</v>
      </c>
      <c r="BO1927" s="2" t="s">
        <v>4725</v>
      </c>
      <c r="BP1927" s="2">
        <v>13</v>
      </c>
      <c r="BQ1927" s="2" t="s">
        <v>91</v>
      </c>
      <c r="BR1927" s="2" t="s">
        <v>534</v>
      </c>
      <c r="BS1927" s="3">
        <v>40307</v>
      </c>
      <c r="BT1927" s="4">
        <v>0.72439814814814818</v>
      </c>
    </row>
    <row r="1928" spans="1:72" x14ac:dyDescent="0.25">
      <c r="A1928" s="2">
        <v>2783</v>
      </c>
      <c r="B1928" s="2">
        <v>2010</v>
      </c>
      <c r="C1928" s="2" t="s">
        <v>72</v>
      </c>
      <c r="D1928" s="2" t="s">
        <v>73</v>
      </c>
      <c r="E1928" s="2"/>
      <c r="F1928" s="2">
        <v>612</v>
      </c>
      <c r="G1928" s="2" t="s">
        <v>6664</v>
      </c>
      <c r="H1928" s="2">
        <v>42</v>
      </c>
      <c r="I1928" s="2" t="s">
        <v>1096</v>
      </c>
      <c r="J1928" s="2">
        <v>550</v>
      </c>
      <c r="K1928" s="2" t="s">
        <v>6744</v>
      </c>
      <c r="L1928" s="2" t="s">
        <v>6745</v>
      </c>
      <c r="M1928" s="3">
        <v>40307</v>
      </c>
      <c r="N1928" s="2" t="s">
        <v>6665</v>
      </c>
      <c r="O1928" s="2" t="s">
        <v>107</v>
      </c>
      <c r="P1928" s="2" t="s">
        <v>107</v>
      </c>
      <c r="Q1928" s="2" t="str">
        <f>"175-A/10"</f>
        <v>175-A/10</v>
      </c>
      <c r="R1928" s="2" t="s">
        <v>107</v>
      </c>
      <c r="S1928" s="2" t="s">
        <v>78</v>
      </c>
      <c r="T1928" s="2">
        <v>1</v>
      </c>
      <c r="U1928" s="2" t="s">
        <v>79</v>
      </c>
      <c r="V1928" s="2">
        <v>1</v>
      </c>
      <c r="W1928" s="2" t="s">
        <v>80</v>
      </c>
      <c r="X1928" s="2">
        <v>5</v>
      </c>
      <c r="Y1928" s="2" t="s">
        <v>82</v>
      </c>
      <c r="Z1928" s="2">
        <v>1</v>
      </c>
      <c r="AA1928" s="2" t="s">
        <v>82</v>
      </c>
      <c r="AB1928" s="2">
        <v>6</v>
      </c>
      <c r="AC1928" s="2" t="s">
        <v>83</v>
      </c>
      <c r="AD1928" s="3">
        <v>40307</v>
      </c>
      <c r="AE1928" s="4">
        <v>0.51041666666666663</v>
      </c>
      <c r="AF1928" s="3">
        <v>40307</v>
      </c>
      <c r="AG1928" s="4">
        <v>0.56944444444444442</v>
      </c>
      <c r="AH1928" s="2">
        <v>2</v>
      </c>
      <c r="AI1928" s="2" t="s">
        <v>84</v>
      </c>
      <c r="AJ1928" s="2">
        <v>12</v>
      </c>
      <c r="AK1928" s="2" t="s">
        <v>85</v>
      </c>
      <c r="AL1928" s="2">
        <v>29</v>
      </c>
      <c r="AM1928" s="2" t="s">
        <v>5416</v>
      </c>
      <c r="AN1928" s="2" t="s">
        <v>6746</v>
      </c>
      <c r="AO1928" s="2" t="s">
        <v>6747</v>
      </c>
      <c r="AP1928" s="2">
        <v>11</v>
      </c>
      <c r="AQ1928" s="2" t="s">
        <v>82</v>
      </c>
      <c r="AR1928" s="2"/>
      <c r="AS1928" s="2"/>
      <c r="AT1928" s="2" t="s">
        <v>6748</v>
      </c>
      <c r="AU1928" s="2"/>
      <c r="AV1928" s="2"/>
      <c r="AW1928" s="2"/>
      <c r="AX1928" s="2"/>
      <c r="AY1928" s="2">
        <v>41</v>
      </c>
      <c r="AZ1928" s="2" t="s">
        <v>82</v>
      </c>
      <c r="BA1928" s="2">
        <v>41</v>
      </c>
      <c r="BB1928" s="2" t="s">
        <v>82</v>
      </c>
      <c r="BC1928" s="2">
        <v>41</v>
      </c>
      <c r="BD1928" s="2" t="s">
        <v>82</v>
      </c>
      <c r="BE1928" s="2">
        <v>41</v>
      </c>
      <c r="BF1928" s="2" t="s">
        <v>82</v>
      </c>
      <c r="BG1928" s="2"/>
      <c r="BH1928" s="2"/>
      <c r="BI1928" s="2"/>
      <c r="BJ1928" s="2">
        <v>241</v>
      </c>
      <c r="BK1928" s="2" t="s">
        <v>82</v>
      </c>
      <c r="BL1928" s="2"/>
      <c r="BM1928" s="2">
        <v>241</v>
      </c>
      <c r="BN1928" s="2" t="s">
        <v>82</v>
      </c>
      <c r="BO1928" s="2"/>
      <c r="BP1928" s="2">
        <v>241</v>
      </c>
      <c r="BQ1928" s="2" t="s">
        <v>82</v>
      </c>
      <c r="BR1928" s="2"/>
      <c r="BS1928" s="3">
        <v>40307</v>
      </c>
      <c r="BT1928" s="4">
        <v>0.7497800925925926</v>
      </c>
    </row>
    <row r="1929" spans="1:72" x14ac:dyDescent="0.25">
      <c r="A1929" s="2">
        <v>2784</v>
      </c>
      <c r="B1929" s="2">
        <v>2010</v>
      </c>
      <c r="C1929" s="2" t="s">
        <v>196</v>
      </c>
      <c r="D1929" s="2" t="s">
        <v>122</v>
      </c>
      <c r="E1929" s="2"/>
      <c r="F1929" s="2">
        <v>1</v>
      </c>
      <c r="G1929" s="2" t="s">
        <v>82</v>
      </c>
      <c r="H1929" s="2">
        <v>1</v>
      </c>
      <c r="I1929" s="2" t="s">
        <v>82</v>
      </c>
      <c r="J1929" s="2">
        <v>1</v>
      </c>
      <c r="K1929" s="2" t="s">
        <v>107</v>
      </c>
      <c r="L1929" s="2" t="s">
        <v>107</v>
      </c>
      <c r="M1929" s="3">
        <v>40307</v>
      </c>
      <c r="N1929" s="2"/>
      <c r="O1929" s="2"/>
      <c r="P1929" s="2"/>
      <c r="Q1929" s="2" t="str">
        <f>""</f>
        <v/>
      </c>
      <c r="R1929" s="2"/>
      <c r="S1929" s="2"/>
      <c r="T1929" s="2">
        <v>2</v>
      </c>
      <c r="U1929" s="2" t="s">
        <v>123</v>
      </c>
      <c r="V1929" s="2">
        <v>1</v>
      </c>
      <c r="W1929" s="2" t="s">
        <v>80</v>
      </c>
      <c r="X1929" s="2">
        <v>1</v>
      </c>
      <c r="Y1929" s="2" t="s">
        <v>81</v>
      </c>
      <c r="Z1929" s="2">
        <v>10</v>
      </c>
      <c r="AA1929" s="2" t="s">
        <v>236</v>
      </c>
      <c r="AB1929" s="2">
        <v>9</v>
      </c>
      <c r="AC1929" s="2" t="s">
        <v>124</v>
      </c>
      <c r="AD1929" s="3">
        <v>40307</v>
      </c>
      <c r="AE1929" s="4">
        <v>0.66666666666666663</v>
      </c>
      <c r="AF1929" s="2"/>
      <c r="AG1929" s="2"/>
      <c r="AH1929" s="2">
        <v>2</v>
      </c>
      <c r="AI1929" s="2" t="s">
        <v>84</v>
      </c>
      <c r="AJ1929" s="2">
        <v>12</v>
      </c>
      <c r="AK1929" s="2" t="s">
        <v>85</v>
      </c>
      <c r="AL1929" s="2">
        <v>20</v>
      </c>
      <c r="AM1929" s="2" t="s">
        <v>992</v>
      </c>
      <c r="AN1929" s="2" t="s">
        <v>107</v>
      </c>
      <c r="AO1929" s="2" t="s">
        <v>6749</v>
      </c>
      <c r="AP1929" s="2">
        <v>11</v>
      </c>
      <c r="AQ1929" s="2" t="s">
        <v>82</v>
      </c>
      <c r="AR1929" s="2"/>
      <c r="AS1929" s="2"/>
      <c r="AT1929" s="2" t="s">
        <v>6750</v>
      </c>
      <c r="AU1929" s="2"/>
      <c r="AV1929" s="2"/>
      <c r="AW1929" s="2"/>
      <c r="AX1929" s="2"/>
      <c r="AY1929" s="2">
        <v>41</v>
      </c>
      <c r="AZ1929" s="2" t="s">
        <v>82</v>
      </c>
      <c r="BA1929" s="2">
        <v>41</v>
      </c>
      <c r="BB1929" s="2" t="s">
        <v>82</v>
      </c>
      <c r="BC1929" s="2">
        <v>41</v>
      </c>
      <c r="BD1929" s="2" t="s">
        <v>82</v>
      </c>
      <c r="BE1929" s="2">
        <v>41</v>
      </c>
      <c r="BF1929" s="2" t="s">
        <v>82</v>
      </c>
      <c r="BG1929" s="2"/>
      <c r="BH1929" s="4">
        <v>0.76597222222222217</v>
      </c>
      <c r="BI1929" s="2"/>
      <c r="BJ1929" s="2">
        <v>13</v>
      </c>
      <c r="BK1929" s="2" t="s">
        <v>91</v>
      </c>
      <c r="BL1929" s="2" t="s">
        <v>6083</v>
      </c>
      <c r="BM1929" s="2">
        <v>241</v>
      </c>
      <c r="BN1929" s="2" t="s">
        <v>82</v>
      </c>
      <c r="BO1929" s="2"/>
      <c r="BP1929" s="2">
        <v>13</v>
      </c>
      <c r="BQ1929" s="2" t="s">
        <v>91</v>
      </c>
      <c r="BR1929" s="2" t="s">
        <v>185</v>
      </c>
      <c r="BS1929" s="3">
        <v>40307</v>
      </c>
      <c r="BT1929" s="4">
        <v>0.81303240740740745</v>
      </c>
    </row>
    <row r="1930" spans="1:72" x14ac:dyDescent="0.25">
      <c r="A1930" s="2">
        <v>2785</v>
      </c>
      <c r="B1930" s="2">
        <v>2010</v>
      </c>
      <c r="C1930" s="2" t="s">
        <v>171</v>
      </c>
      <c r="D1930" s="2" t="s">
        <v>73</v>
      </c>
      <c r="E1930" s="2"/>
      <c r="F1930" s="2">
        <v>100</v>
      </c>
      <c r="G1930" s="2" t="s">
        <v>517</v>
      </c>
      <c r="H1930" s="2">
        <v>22</v>
      </c>
      <c r="I1930" s="2" t="s">
        <v>75</v>
      </c>
      <c r="J1930" s="2">
        <v>119</v>
      </c>
      <c r="K1930" s="2" t="s">
        <v>325</v>
      </c>
      <c r="L1930" s="2" t="s">
        <v>326</v>
      </c>
      <c r="M1930" s="3">
        <v>40307</v>
      </c>
      <c r="N1930" s="2" t="s">
        <v>6751</v>
      </c>
      <c r="O1930" s="2"/>
      <c r="P1930" s="2"/>
      <c r="Q1930" s="2" t="str">
        <f>"0011/2010"</f>
        <v>0011/2010</v>
      </c>
      <c r="R1930" s="2"/>
      <c r="S1930" s="2" t="s">
        <v>6752</v>
      </c>
      <c r="T1930" s="2">
        <v>1</v>
      </c>
      <c r="U1930" s="2" t="s">
        <v>79</v>
      </c>
      <c r="V1930" s="2">
        <v>1</v>
      </c>
      <c r="W1930" s="2" t="s">
        <v>80</v>
      </c>
      <c r="X1930" s="2">
        <v>12</v>
      </c>
      <c r="Y1930" s="2" t="s">
        <v>148</v>
      </c>
      <c r="Z1930" s="2">
        <v>1</v>
      </c>
      <c r="AA1930" s="2" t="s">
        <v>82</v>
      </c>
      <c r="AB1930" s="2">
        <v>1</v>
      </c>
      <c r="AC1930" s="2" t="s">
        <v>178</v>
      </c>
      <c r="AD1930" s="3">
        <v>40307</v>
      </c>
      <c r="AE1930" s="4">
        <v>0.70833333333333337</v>
      </c>
      <c r="AF1930" s="2"/>
      <c r="AG1930" s="2"/>
      <c r="AH1930" s="2">
        <v>6</v>
      </c>
      <c r="AI1930" s="2" t="s">
        <v>197</v>
      </c>
      <c r="AJ1930" s="2">
        <v>50</v>
      </c>
      <c r="AK1930" s="2" t="s">
        <v>330</v>
      </c>
      <c r="AL1930" s="2">
        <v>24</v>
      </c>
      <c r="AM1930" s="2" t="s">
        <v>1540</v>
      </c>
      <c r="AN1930" s="2" t="s">
        <v>6753</v>
      </c>
      <c r="AO1930" s="2" t="s">
        <v>416</v>
      </c>
      <c r="AP1930" s="2">
        <v>11</v>
      </c>
      <c r="AQ1930" s="2" t="s">
        <v>82</v>
      </c>
      <c r="AR1930" s="2"/>
      <c r="AS1930" s="2"/>
      <c r="AT1930" s="2" t="s">
        <v>6754</v>
      </c>
      <c r="AU1930" s="2"/>
      <c r="AV1930" s="2"/>
      <c r="AW1930" s="2"/>
      <c r="AX1930" s="2"/>
      <c r="AY1930" s="2">
        <v>41</v>
      </c>
      <c r="AZ1930" s="2" t="s">
        <v>82</v>
      </c>
      <c r="BA1930" s="2">
        <v>41</v>
      </c>
      <c r="BB1930" s="2" t="s">
        <v>82</v>
      </c>
      <c r="BC1930" s="2">
        <v>41</v>
      </c>
      <c r="BD1930" s="2" t="s">
        <v>82</v>
      </c>
      <c r="BE1930" s="2">
        <v>41</v>
      </c>
      <c r="BF1930" s="2" t="s">
        <v>82</v>
      </c>
      <c r="BG1930" s="2"/>
      <c r="BH1930" s="2"/>
      <c r="BI1930" s="2"/>
      <c r="BJ1930" s="2">
        <v>241</v>
      </c>
      <c r="BK1930" s="2" t="s">
        <v>82</v>
      </c>
      <c r="BL1930" s="2"/>
      <c r="BM1930" s="2">
        <v>241</v>
      </c>
      <c r="BN1930" s="2" t="s">
        <v>82</v>
      </c>
      <c r="BO1930" s="2"/>
      <c r="BP1930" s="2">
        <v>241</v>
      </c>
      <c r="BQ1930" s="2" t="s">
        <v>82</v>
      </c>
      <c r="BR1930" s="2"/>
      <c r="BS1930" s="3">
        <v>40307</v>
      </c>
      <c r="BT1930" s="4">
        <v>0.87555555555555553</v>
      </c>
    </row>
    <row r="1931" spans="1:72" x14ac:dyDescent="0.25">
      <c r="A1931" s="2">
        <v>2786</v>
      </c>
      <c r="B1931" s="2">
        <v>2010</v>
      </c>
      <c r="C1931" s="2" t="s">
        <v>128</v>
      </c>
      <c r="D1931" s="2" t="s">
        <v>122</v>
      </c>
      <c r="E1931" s="2"/>
      <c r="F1931" s="2">
        <v>38</v>
      </c>
      <c r="G1931" s="2" t="s">
        <v>430</v>
      </c>
      <c r="H1931" s="2">
        <v>1</v>
      </c>
      <c r="I1931" s="2" t="s">
        <v>82</v>
      </c>
      <c r="J1931" s="2">
        <v>536</v>
      </c>
      <c r="K1931" s="2" t="s">
        <v>6063</v>
      </c>
      <c r="L1931" s="2" t="s">
        <v>6064</v>
      </c>
      <c r="M1931" s="3">
        <v>40308</v>
      </c>
      <c r="N1931" s="2" t="s">
        <v>6755</v>
      </c>
      <c r="O1931" s="2" t="s">
        <v>82</v>
      </c>
      <c r="P1931" s="2" t="s">
        <v>82</v>
      </c>
      <c r="Q1931" s="2" t="str">
        <f>"N/C"</f>
        <v>N/C</v>
      </c>
      <c r="R1931" s="2" t="s">
        <v>82</v>
      </c>
      <c r="S1931" s="2" t="s">
        <v>82</v>
      </c>
      <c r="T1931" s="2">
        <v>1</v>
      </c>
      <c r="U1931" s="2" t="s">
        <v>79</v>
      </c>
      <c r="V1931" s="2">
        <v>1</v>
      </c>
      <c r="W1931" s="2" t="s">
        <v>80</v>
      </c>
      <c r="X1931" s="2">
        <v>1</v>
      </c>
      <c r="Y1931" s="2" t="s">
        <v>81</v>
      </c>
      <c r="Z1931" s="2">
        <v>10</v>
      </c>
      <c r="AA1931" s="2" t="s">
        <v>236</v>
      </c>
      <c r="AB1931" s="2">
        <v>9</v>
      </c>
      <c r="AC1931" s="2" t="s">
        <v>124</v>
      </c>
      <c r="AD1931" s="3">
        <v>40307</v>
      </c>
      <c r="AE1931" s="4">
        <v>0.91666666666666663</v>
      </c>
      <c r="AF1931" s="2"/>
      <c r="AG1931" s="2"/>
      <c r="AH1931" s="2">
        <v>3</v>
      </c>
      <c r="AI1931" s="2" t="s">
        <v>214</v>
      </c>
      <c r="AJ1931" s="2">
        <v>17</v>
      </c>
      <c r="AK1931" s="2" t="s">
        <v>309</v>
      </c>
      <c r="AL1931" s="2">
        <v>24</v>
      </c>
      <c r="AM1931" s="2" t="s">
        <v>1540</v>
      </c>
      <c r="AN1931" s="2" t="s">
        <v>6756</v>
      </c>
      <c r="AO1931" s="2" t="s">
        <v>6757</v>
      </c>
      <c r="AP1931" s="2">
        <v>11</v>
      </c>
      <c r="AQ1931" s="2" t="s">
        <v>82</v>
      </c>
      <c r="AR1931" s="2" t="s">
        <v>82</v>
      </c>
      <c r="AS1931" s="2" t="s">
        <v>82</v>
      </c>
      <c r="AT1931" s="2" t="s">
        <v>6758</v>
      </c>
      <c r="AU1931" s="2"/>
      <c r="AV1931" s="2"/>
      <c r="AW1931" s="2"/>
      <c r="AX1931" s="2"/>
      <c r="AY1931" s="2">
        <v>41</v>
      </c>
      <c r="AZ1931" s="2" t="s">
        <v>82</v>
      </c>
      <c r="BA1931" s="2">
        <v>41</v>
      </c>
      <c r="BB1931" s="2" t="s">
        <v>82</v>
      </c>
      <c r="BC1931" s="2">
        <v>41</v>
      </c>
      <c r="BD1931" s="2" t="s">
        <v>82</v>
      </c>
      <c r="BE1931" s="2">
        <v>13</v>
      </c>
      <c r="BF1931" s="2" t="s">
        <v>108</v>
      </c>
      <c r="BG1931" s="2">
        <v>2424</v>
      </c>
      <c r="BH1931" s="4">
        <v>0.89583333333333337</v>
      </c>
      <c r="BI1931" s="4">
        <v>0.92361111111111116</v>
      </c>
      <c r="BJ1931" s="2">
        <v>13</v>
      </c>
      <c r="BK1931" s="2" t="s">
        <v>91</v>
      </c>
      <c r="BL1931" s="2" t="s">
        <v>6759</v>
      </c>
      <c r="BM1931" s="2">
        <v>241</v>
      </c>
      <c r="BN1931" s="2" t="s">
        <v>82</v>
      </c>
      <c r="BO1931" s="2" t="s">
        <v>82</v>
      </c>
      <c r="BP1931" s="2">
        <v>241</v>
      </c>
      <c r="BQ1931" s="2" t="s">
        <v>82</v>
      </c>
      <c r="BR1931" s="2" t="s">
        <v>6760</v>
      </c>
      <c r="BS1931" s="3">
        <v>40308</v>
      </c>
      <c r="BT1931" s="4">
        <v>5.9143518518518519E-2</v>
      </c>
    </row>
    <row r="1932" spans="1:72" x14ac:dyDescent="0.25">
      <c r="A1932" s="2">
        <v>2787</v>
      </c>
      <c r="B1932" s="2">
        <v>2010</v>
      </c>
      <c r="C1932" s="2" t="s">
        <v>171</v>
      </c>
      <c r="D1932" s="2" t="s">
        <v>122</v>
      </c>
      <c r="E1932" s="2" t="s">
        <v>6761</v>
      </c>
      <c r="F1932" s="2">
        <v>394</v>
      </c>
      <c r="G1932" s="2" t="s">
        <v>172</v>
      </c>
      <c r="H1932" s="2">
        <v>5</v>
      </c>
      <c r="I1932" s="2" t="s">
        <v>634</v>
      </c>
      <c r="J1932" s="2">
        <v>241</v>
      </c>
      <c r="K1932" s="2" t="s">
        <v>174</v>
      </c>
      <c r="L1932" s="2" t="s">
        <v>175</v>
      </c>
      <c r="M1932" s="3">
        <v>40308</v>
      </c>
      <c r="N1932" s="2" t="s">
        <v>6735</v>
      </c>
      <c r="O1932" s="2" t="s">
        <v>107</v>
      </c>
      <c r="P1932" s="2" t="s">
        <v>107</v>
      </c>
      <c r="Q1932" s="2" t="str">
        <f>"255-E/10"</f>
        <v>255-E/10</v>
      </c>
      <c r="R1932" s="2" t="s">
        <v>391</v>
      </c>
      <c r="S1932" s="2" t="s">
        <v>391</v>
      </c>
      <c r="T1932" s="2">
        <v>1</v>
      </c>
      <c r="U1932" s="2" t="s">
        <v>79</v>
      </c>
      <c r="V1932" s="2">
        <v>1</v>
      </c>
      <c r="W1932" s="2" t="s">
        <v>80</v>
      </c>
      <c r="X1932" s="2">
        <v>1</v>
      </c>
      <c r="Y1932" s="2" t="s">
        <v>81</v>
      </c>
      <c r="Z1932" s="2">
        <v>1</v>
      </c>
      <c r="AA1932" s="2" t="s">
        <v>82</v>
      </c>
      <c r="AB1932" s="2">
        <v>1</v>
      </c>
      <c r="AC1932" s="2" t="s">
        <v>178</v>
      </c>
      <c r="AD1932" s="3">
        <v>40307</v>
      </c>
      <c r="AE1932" s="4">
        <v>0.5</v>
      </c>
      <c r="AF1932" s="2"/>
      <c r="AG1932" s="2"/>
      <c r="AH1932" s="2">
        <v>2</v>
      </c>
      <c r="AI1932" s="2" t="s">
        <v>84</v>
      </c>
      <c r="AJ1932" s="2">
        <v>9</v>
      </c>
      <c r="AK1932" s="2" t="s">
        <v>103</v>
      </c>
      <c r="AL1932" s="2">
        <v>14</v>
      </c>
      <c r="AM1932" s="2" t="s">
        <v>216</v>
      </c>
      <c r="AN1932" s="2"/>
      <c r="AO1932" s="2" t="s">
        <v>180</v>
      </c>
      <c r="AP1932" s="2">
        <v>11</v>
      </c>
      <c r="AQ1932" s="2" t="s">
        <v>82</v>
      </c>
      <c r="AR1932" s="2"/>
      <c r="AS1932" s="2"/>
      <c r="AT1932" s="2" t="s">
        <v>6762</v>
      </c>
      <c r="AU1932" s="2"/>
      <c r="AV1932" s="2">
        <v>1</v>
      </c>
      <c r="AW1932" s="2"/>
      <c r="AX1932" s="2"/>
      <c r="AY1932" s="2">
        <v>41</v>
      </c>
      <c r="AZ1932" s="2" t="s">
        <v>82</v>
      </c>
      <c r="BA1932" s="2">
        <v>41</v>
      </c>
      <c r="BB1932" s="2" t="s">
        <v>82</v>
      </c>
      <c r="BC1932" s="2">
        <v>41</v>
      </c>
      <c r="BD1932" s="2" t="s">
        <v>82</v>
      </c>
      <c r="BE1932" s="2">
        <v>27</v>
      </c>
      <c r="BF1932" s="2" t="s">
        <v>2197</v>
      </c>
      <c r="BG1932" s="2" t="s">
        <v>2198</v>
      </c>
      <c r="BH1932" s="4">
        <v>2.7777777777777776E-2</v>
      </c>
      <c r="BI1932" s="4">
        <v>0.53125</v>
      </c>
      <c r="BJ1932" s="2">
        <v>13</v>
      </c>
      <c r="BK1932" s="2" t="s">
        <v>91</v>
      </c>
      <c r="BL1932" s="2" t="s">
        <v>360</v>
      </c>
      <c r="BM1932" s="2">
        <v>112</v>
      </c>
      <c r="BN1932" s="2" t="s">
        <v>110</v>
      </c>
      <c r="BO1932" s="2" t="s">
        <v>111</v>
      </c>
      <c r="BP1932" s="2">
        <v>24</v>
      </c>
      <c r="BQ1932" s="2" t="s">
        <v>6738</v>
      </c>
      <c r="BR1932" s="2" t="s">
        <v>6739</v>
      </c>
      <c r="BS1932" s="3">
        <v>40308</v>
      </c>
      <c r="BT1932" s="4">
        <v>0.10622685185185186</v>
      </c>
    </row>
    <row r="1933" spans="1:72" x14ac:dyDescent="0.25">
      <c r="A1933" s="2">
        <v>2787</v>
      </c>
      <c r="B1933" s="2">
        <v>2010</v>
      </c>
      <c r="C1933" s="2" t="s">
        <v>385</v>
      </c>
      <c r="D1933" s="2" t="s">
        <v>122</v>
      </c>
      <c r="E1933" s="2" t="s">
        <v>6761</v>
      </c>
      <c r="F1933" s="2">
        <v>394</v>
      </c>
      <c r="G1933" s="2" t="s">
        <v>172</v>
      </c>
      <c r="H1933" s="2">
        <v>5</v>
      </c>
      <c r="I1933" s="2" t="s">
        <v>634</v>
      </c>
      <c r="J1933" s="2">
        <v>241</v>
      </c>
      <c r="K1933" s="2" t="s">
        <v>174</v>
      </c>
      <c r="L1933" s="2" t="s">
        <v>175</v>
      </c>
      <c r="M1933" s="3">
        <v>40308</v>
      </c>
      <c r="N1933" s="2" t="s">
        <v>6735</v>
      </c>
      <c r="O1933" s="2" t="s">
        <v>107</v>
      </c>
      <c r="P1933" s="2" t="s">
        <v>107</v>
      </c>
      <c r="Q1933" s="2" t="str">
        <f>"255-E/10"</f>
        <v>255-E/10</v>
      </c>
      <c r="R1933" s="2" t="s">
        <v>391</v>
      </c>
      <c r="S1933" s="2" t="s">
        <v>391</v>
      </c>
      <c r="T1933" s="2">
        <v>1</v>
      </c>
      <c r="U1933" s="2" t="s">
        <v>79</v>
      </c>
      <c r="V1933" s="2">
        <v>1</v>
      </c>
      <c r="W1933" s="2" t="s">
        <v>80</v>
      </c>
      <c r="X1933" s="2">
        <v>1</v>
      </c>
      <c r="Y1933" s="2" t="s">
        <v>81</v>
      </c>
      <c r="Z1933" s="2">
        <v>1</v>
      </c>
      <c r="AA1933" s="2" t="s">
        <v>82</v>
      </c>
      <c r="AB1933" s="2">
        <v>9</v>
      </c>
      <c r="AC1933" s="2" t="s">
        <v>124</v>
      </c>
      <c r="AD1933" s="3">
        <v>40307</v>
      </c>
      <c r="AE1933" s="4">
        <v>0.5</v>
      </c>
      <c r="AF1933" s="2"/>
      <c r="AG1933" s="2"/>
      <c r="AH1933" s="2">
        <v>2</v>
      </c>
      <c r="AI1933" s="2" t="s">
        <v>84</v>
      </c>
      <c r="AJ1933" s="2">
        <v>9</v>
      </c>
      <c r="AK1933" s="2" t="s">
        <v>103</v>
      </c>
      <c r="AL1933" s="2">
        <v>14</v>
      </c>
      <c r="AM1933" s="2" t="s">
        <v>216</v>
      </c>
      <c r="AN1933" s="2"/>
      <c r="AO1933" s="2" t="s">
        <v>180</v>
      </c>
      <c r="AP1933" s="2">
        <v>11</v>
      </c>
      <c r="AQ1933" s="2" t="s">
        <v>82</v>
      </c>
      <c r="AR1933" s="2"/>
      <c r="AS1933" s="2"/>
      <c r="AT1933" s="2" t="s">
        <v>6762</v>
      </c>
      <c r="AU1933" s="2"/>
      <c r="AV1933" s="2">
        <v>1</v>
      </c>
      <c r="AW1933" s="2"/>
      <c r="AX1933" s="2"/>
      <c r="AY1933" s="2">
        <v>41</v>
      </c>
      <c r="AZ1933" s="2" t="s">
        <v>82</v>
      </c>
      <c r="BA1933" s="2">
        <v>41</v>
      </c>
      <c r="BB1933" s="2" t="s">
        <v>82</v>
      </c>
      <c r="BC1933" s="2">
        <v>41</v>
      </c>
      <c r="BD1933" s="2" t="s">
        <v>82</v>
      </c>
      <c r="BE1933" s="2">
        <v>27</v>
      </c>
      <c r="BF1933" s="2" t="s">
        <v>2197</v>
      </c>
      <c r="BG1933" s="2" t="s">
        <v>2198</v>
      </c>
      <c r="BH1933" s="4">
        <v>2.7777777777777776E-2</v>
      </c>
      <c r="BI1933" s="4">
        <v>0.53125</v>
      </c>
      <c r="BJ1933" s="2">
        <v>13</v>
      </c>
      <c r="BK1933" s="2" t="s">
        <v>91</v>
      </c>
      <c r="BL1933" s="2" t="s">
        <v>360</v>
      </c>
      <c r="BM1933" s="2">
        <v>112</v>
      </c>
      <c r="BN1933" s="2" t="s">
        <v>110</v>
      </c>
      <c r="BO1933" s="2" t="s">
        <v>111</v>
      </c>
      <c r="BP1933" s="2">
        <v>24</v>
      </c>
      <c r="BQ1933" s="2" t="s">
        <v>6738</v>
      </c>
      <c r="BR1933" s="2" t="s">
        <v>6739</v>
      </c>
      <c r="BS1933" s="3">
        <v>40308</v>
      </c>
      <c r="BT1933" s="4">
        <v>0.10622685185185186</v>
      </c>
    </row>
    <row r="1934" spans="1:72" x14ac:dyDescent="0.25">
      <c r="A1934" s="2">
        <v>2788</v>
      </c>
      <c r="B1934" s="2">
        <v>2010</v>
      </c>
      <c r="C1934" s="2" t="s">
        <v>819</v>
      </c>
      <c r="D1934" s="2" t="s">
        <v>122</v>
      </c>
      <c r="E1934" s="2" t="s">
        <v>6763</v>
      </c>
      <c r="F1934" s="2">
        <v>394</v>
      </c>
      <c r="G1934" s="2" t="s">
        <v>172</v>
      </c>
      <c r="H1934" s="2">
        <v>4</v>
      </c>
      <c r="I1934" s="2" t="s">
        <v>173</v>
      </c>
      <c r="J1934" s="2">
        <v>241</v>
      </c>
      <c r="K1934" s="2" t="s">
        <v>174</v>
      </c>
      <c r="L1934" s="2" t="s">
        <v>175</v>
      </c>
      <c r="M1934" s="3">
        <v>40308</v>
      </c>
      <c r="N1934" s="2" t="s">
        <v>176</v>
      </c>
      <c r="O1934" s="2" t="s">
        <v>107</v>
      </c>
      <c r="P1934" s="2" t="s">
        <v>107</v>
      </c>
      <c r="Q1934" s="2" t="str">
        <f>"253-E/10"</f>
        <v>253-E/10</v>
      </c>
      <c r="R1934" s="2" t="s">
        <v>6660</v>
      </c>
      <c r="S1934" s="2" t="s">
        <v>107</v>
      </c>
      <c r="T1934" s="2">
        <v>1</v>
      </c>
      <c r="U1934" s="2" t="s">
        <v>79</v>
      </c>
      <c r="V1934" s="2">
        <v>1</v>
      </c>
      <c r="W1934" s="2" t="s">
        <v>80</v>
      </c>
      <c r="X1934" s="2">
        <v>1</v>
      </c>
      <c r="Y1934" s="2" t="s">
        <v>81</v>
      </c>
      <c r="Z1934" s="2">
        <v>1</v>
      </c>
      <c r="AA1934" s="2" t="s">
        <v>82</v>
      </c>
      <c r="AB1934" s="2">
        <v>9</v>
      </c>
      <c r="AC1934" s="2" t="s">
        <v>124</v>
      </c>
      <c r="AD1934" s="3">
        <v>40306</v>
      </c>
      <c r="AE1934" s="4">
        <v>0.625</v>
      </c>
      <c r="AF1934" s="2"/>
      <c r="AG1934" s="2"/>
      <c r="AH1934" s="2">
        <v>2</v>
      </c>
      <c r="AI1934" s="2" t="s">
        <v>84</v>
      </c>
      <c r="AJ1934" s="2">
        <v>9</v>
      </c>
      <c r="AK1934" s="2" t="s">
        <v>103</v>
      </c>
      <c r="AL1934" s="2">
        <v>14</v>
      </c>
      <c r="AM1934" s="2" t="s">
        <v>216</v>
      </c>
      <c r="AN1934" s="2" t="s">
        <v>107</v>
      </c>
      <c r="AO1934" s="2" t="s">
        <v>179</v>
      </c>
      <c r="AP1934" s="2">
        <v>11</v>
      </c>
      <c r="AQ1934" s="2" t="s">
        <v>82</v>
      </c>
      <c r="AR1934" s="2"/>
      <c r="AS1934" s="2"/>
      <c r="AT1934" s="2" t="s">
        <v>6764</v>
      </c>
      <c r="AU1934" s="2"/>
      <c r="AV1934" s="2">
        <v>1</v>
      </c>
      <c r="AW1934" s="2"/>
      <c r="AX1934" s="2"/>
      <c r="AY1934" s="2">
        <v>41</v>
      </c>
      <c r="AZ1934" s="2" t="s">
        <v>82</v>
      </c>
      <c r="BA1934" s="2">
        <v>41</v>
      </c>
      <c r="BB1934" s="2" t="s">
        <v>82</v>
      </c>
      <c r="BC1934" s="2">
        <v>41</v>
      </c>
      <c r="BD1934" s="2" t="s">
        <v>82</v>
      </c>
      <c r="BE1934" s="2">
        <v>19</v>
      </c>
      <c r="BF1934" s="2" t="s">
        <v>1061</v>
      </c>
      <c r="BG1934" s="2" t="s">
        <v>6710</v>
      </c>
      <c r="BH1934" s="2"/>
      <c r="BI1934" s="4">
        <v>0.64583333333333337</v>
      </c>
      <c r="BJ1934" s="2">
        <v>13</v>
      </c>
      <c r="BK1934" s="2" t="s">
        <v>91</v>
      </c>
      <c r="BL1934" s="2" t="s">
        <v>4251</v>
      </c>
      <c r="BM1934" s="2">
        <v>241</v>
      </c>
      <c r="BN1934" s="2" t="s">
        <v>82</v>
      </c>
      <c r="BO1934" s="2" t="s">
        <v>82</v>
      </c>
      <c r="BP1934" s="2">
        <v>29</v>
      </c>
      <c r="BQ1934" s="2" t="s">
        <v>962</v>
      </c>
      <c r="BR1934" s="2" t="s">
        <v>963</v>
      </c>
      <c r="BS1934" s="3">
        <v>40308</v>
      </c>
      <c r="BT1934" s="4">
        <v>0.4645023148148148</v>
      </c>
    </row>
    <row r="1935" spans="1:72" x14ac:dyDescent="0.25">
      <c r="A1935" s="2">
        <v>2789</v>
      </c>
      <c r="B1935" s="2">
        <v>2010</v>
      </c>
      <c r="C1935" s="2" t="s">
        <v>4543</v>
      </c>
      <c r="D1935" s="2" t="s">
        <v>122</v>
      </c>
      <c r="E1935" s="2"/>
      <c r="F1935" s="2">
        <v>146</v>
      </c>
      <c r="G1935" s="2" t="s">
        <v>753</v>
      </c>
      <c r="H1935" s="2">
        <v>44</v>
      </c>
      <c r="I1935" s="2" t="s">
        <v>1272</v>
      </c>
      <c r="J1935" s="2">
        <v>161</v>
      </c>
      <c r="K1935" s="2" t="s">
        <v>1900</v>
      </c>
      <c r="L1935" s="2" t="s">
        <v>1901</v>
      </c>
      <c r="M1935" s="3">
        <v>40308</v>
      </c>
      <c r="N1935" s="2" t="s">
        <v>6765</v>
      </c>
      <c r="O1935" s="2" t="s">
        <v>6766</v>
      </c>
      <c r="P1935" s="2">
        <v>18730</v>
      </c>
      <c r="Q1935" s="2" t="str">
        <f>"S/D"</f>
        <v>S/D</v>
      </c>
      <c r="R1935" s="2" t="s">
        <v>107</v>
      </c>
      <c r="S1935" s="2" t="s">
        <v>107</v>
      </c>
      <c r="T1935" s="2">
        <v>2</v>
      </c>
      <c r="U1935" s="2" t="s">
        <v>123</v>
      </c>
      <c r="V1935" s="2">
        <v>1</v>
      </c>
      <c r="W1935" s="2" t="s">
        <v>80</v>
      </c>
      <c r="X1935" s="2">
        <v>5</v>
      </c>
      <c r="Y1935" s="2" t="s">
        <v>82</v>
      </c>
      <c r="Z1935" s="2">
        <v>1</v>
      </c>
      <c r="AA1935" s="2" t="s">
        <v>82</v>
      </c>
      <c r="AB1935" s="2">
        <v>9</v>
      </c>
      <c r="AC1935" s="2" t="s">
        <v>124</v>
      </c>
      <c r="AD1935" s="3">
        <v>40308</v>
      </c>
      <c r="AE1935" s="4">
        <v>0.4375</v>
      </c>
      <c r="AF1935" s="2"/>
      <c r="AG1935" s="2"/>
      <c r="AH1935" s="2">
        <v>6</v>
      </c>
      <c r="AI1935" s="2" t="s">
        <v>197</v>
      </c>
      <c r="AJ1935" s="2">
        <v>54</v>
      </c>
      <c r="AK1935" s="2" t="s">
        <v>348</v>
      </c>
      <c r="AL1935" s="2">
        <v>18</v>
      </c>
      <c r="AM1935" s="2" t="s">
        <v>82</v>
      </c>
      <c r="AN1935" s="2" t="s">
        <v>107</v>
      </c>
      <c r="AO1935" s="2" t="s">
        <v>2691</v>
      </c>
      <c r="AP1935" s="2">
        <v>11</v>
      </c>
      <c r="AQ1935" s="2" t="s">
        <v>82</v>
      </c>
      <c r="AR1935" s="2" t="s">
        <v>107</v>
      </c>
      <c r="AS1935" s="2" t="s">
        <v>107</v>
      </c>
      <c r="AT1935" s="2" t="s">
        <v>6767</v>
      </c>
      <c r="AU1935" s="2"/>
      <c r="AV1935" s="2"/>
      <c r="AW1935" s="2"/>
      <c r="AX1935" s="2"/>
      <c r="AY1935" s="2">
        <v>1</v>
      </c>
      <c r="AZ1935" s="2" t="s">
        <v>107</v>
      </c>
      <c r="BA1935" s="2">
        <v>1</v>
      </c>
      <c r="BB1935" s="2" t="s">
        <v>107</v>
      </c>
      <c r="BC1935" s="2">
        <v>1</v>
      </c>
      <c r="BD1935" s="2" t="s">
        <v>107</v>
      </c>
      <c r="BE1935" s="2">
        <v>1</v>
      </c>
      <c r="BF1935" s="2" t="s">
        <v>107</v>
      </c>
      <c r="BG1935" s="2" t="s">
        <v>107</v>
      </c>
      <c r="BH1935" s="2"/>
      <c r="BI1935" s="2"/>
      <c r="BJ1935" s="2">
        <v>242</v>
      </c>
      <c r="BK1935" s="2" t="s">
        <v>107</v>
      </c>
      <c r="BL1935" s="2" t="s">
        <v>107</v>
      </c>
      <c r="BM1935" s="2">
        <v>242</v>
      </c>
      <c r="BN1935" s="2" t="s">
        <v>107</v>
      </c>
      <c r="BO1935" s="2" t="s">
        <v>107</v>
      </c>
      <c r="BP1935" s="2">
        <v>242</v>
      </c>
      <c r="BQ1935" s="2" t="s">
        <v>107</v>
      </c>
      <c r="BR1935" s="2" t="s">
        <v>107</v>
      </c>
      <c r="BS1935" s="3">
        <v>40308</v>
      </c>
      <c r="BT1935" s="4">
        <v>0.46876157407407404</v>
      </c>
    </row>
    <row r="1936" spans="1:72" x14ac:dyDescent="0.25">
      <c r="A1936" s="2">
        <v>2794</v>
      </c>
      <c r="B1936" s="2">
        <v>2010</v>
      </c>
      <c r="C1936" s="2" t="s">
        <v>171</v>
      </c>
      <c r="D1936" s="2" t="s">
        <v>73</v>
      </c>
      <c r="E1936" s="2"/>
      <c r="F1936" s="2">
        <v>53</v>
      </c>
      <c r="G1936" s="2" t="s">
        <v>2755</v>
      </c>
      <c r="H1936" s="2">
        <v>103</v>
      </c>
      <c r="I1936" s="2" t="s">
        <v>6768</v>
      </c>
      <c r="J1936" s="2">
        <v>88</v>
      </c>
      <c r="K1936" s="2" t="s">
        <v>2756</v>
      </c>
      <c r="L1936" s="2" t="s">
        <v>2757</v>
      </c>
      <c r="M1936" s="3">
        <v>40308</v>
      </c>
      <c r="N1936" s="2" t="s">
        <v>6769</v>
      </c>
      <c r="O1936" s="2" t="s">
        <v>2456</v>
      </c>
      <c r="P1936" s="2" t="s">
        <v>6770</v>
      </c>
      <c r="Q1936" s="2" t="str">
        <f>"01/07"</f>
        <v>01/07</v>
      </c>
      <c r="R1936" s="2"/>
      <c r="S1936" s="2" t="s">
        <v>6771</v>
      </c>
      <c r="T1936" s="2">
        <v>1</v>
      </c>
      <c r="U1936" s="2" t="s">
        <v>79</v>
      </c>
      <c r="V1936" s="2">
        <v>3</v>
      </c>
      <c r="W1936" s="2" t="s">
        <v>225</v>
      </c>
      <c r="X1936" s="2">
        <v>6</v>
      </c>
      <c r="Y1936" s="2" t="s">
        <v>249</v>
      </c>
      <c r="Z1936" s="2">
        <v>1</v>
      </c>
      <c r="AA1936" s="2" t="s">
        <v>82</v>
      </c>
      <c r="AB1936" s="2">
        <v>9</v>
      </c>
      <c r="AC1936" s="2" t="s">
        <v>124</v>
      </c>
      <c r="AD1936" s="2"/>
      <c r="AE1936" s="2"/>
      <c r="AF1936" s="3">
        <v>39380</v>
      </c>
      <c r="AG1936" s="4">
        <v>0.48958333333333331</v>
      </c>
      <c r="AH1936" s="2">
        <v>4</v>
      </c>
      <c r="AI1936" s="2" t="s">
        <v>125</v>
      </c>
      <c r="AJ1936" s="2">
        <v>26</v>
      </c>
      <c r="AK1936" s="2" t="s">
        <v>293</v>
      </c>
      <c r="AL1936" s="2">
        <v>23</v>
      </c>
      <c r="AM1936" s="2" t="s">
        <v>251</v>
      </c>
      <c r="AN1936" s="2" t="s">
        <v>6772</v>
      </c>
      <c r="AO1936" s="2" t="s">
        <v>2422</v>
      </c>
      <c r="AP1936" s="2">
        <v>11</v>
      </c>
      <c r="AQ1936" s="2" t="s">
        <v>82</v>
      </c>
      <c r="AR1936" s="2"/>
      <c r="AS1936" s="2"/>
      <c r="AT1936" s="2" t="s">
        <v>6773</v>
      </c>
      <c r="AU1936" s="2"/>
      <c r="AV1936" s="2"/>
      <c r="AW1936" s="2"/>
      <c r="AX1936" s="2"/>
      <c r="AY1936" s="2">
        <v>1</v>
      </c>
      <c r="AZ1936" s="2" t="s">
        <v>107</v>
      </c>
      <c r="BA1936" s="2">
        <v>1</v>
      </c>
      <c r="BB1936" s="2" t="s">
        <v>107</v>
      </c>
      <c r="BC1936" s="2">
        <v>1</v>
      </c>
      <c r="BD1936" s="2" t="s">
        <v>107</v>
      </c>
      <c r="BE1936" s="2">
        <v>1</v>
      </c>
      <c r="BF1936" s="2" t="s">
        <v>107</v>
      </c>
      <c r="BG1936" s="2"/>
      <c r="BH1936" s="2"/>
      <c r="BI1936" s="2"/>
      <c r="BJ1936" s="2">
        <v>242</v>
      </c>
      <c r="BK1936" s="2" t="s">
        <v>107</v>
      </c>
      <c r="BL1936" s="2"/>
      <c r="BM1936" s="2">
        <v>242</v>
      </c>
      <c r="BN1936" s="2" t="s">
        <v>107</v>
      </c>
      <c r="BO1936" s="2"/>
      <c r="BP1936" s="2">
        <v>242</v>
      </c>
      <c r="BQ1936" s="2" t="s">
        <v>107</v>
      </c>
      <c r="BR1936" s="2"/>
      <c r="BS1936" s="3">
        <v>40308</v>
      </c>
      <c r="BT1936" s="4">
        <v>0.55442129629629633</v>
      </c>
    </row>
    <row r="1937" spans="1:72" x14ac:dyDescent="0.25">
      <c r="A1937" s="2">
        <v>2795</v>
      </c>
      <c r="B1937" s="2">
        <v>2010</v>
      </c>
      <c r="C1937" s="2" t="s">
        <v>819</v>
      </c>
      <c r="D1937" s="2" t="s">
        <v>122</v>
      </c>
      <c r="E1937" s="2" t="s">
        <v>6774</v>
      </c>
      <c r="F1937" s="2">
        <v>451</v>
      </c>
      <c r="G1937" s="2" t="s">
        <v>879</v>
      </c>
      <c r="H1937" s="2">
        <v>31</v>
      </c>
      <c r="I1937" s="2" t="s">
        <v>880</v>
      </c>
      <c r="J1937" s="2">
        <v>326</v>
      </c>
      <c r="K1937" s="2" t="s">
        <v>881</v>
      </c>
      <c r="L1937" s="2" t="s">
        <v>882</v>
      </c>
      <c r="M1937" s="3">
        <v>40308</v>
      </c>
      <c r="N1937" s="2" t="s">
        <v>1072</v>
      </c>
      <c r="O1937" s="2"/>
      <c r="P1937" s="2"/>
      <c r="Q1937" s="2" t="str">
        <f>"051/10"</f>
        <v>051/10</v>
      </c>
      <c r="R1937" s="2" t="s">
        <v>822</v>
      </c>
      <c r="S1937" s="2"/>
      <c r="T1937" s="2">
        <v>1</v>
      </c>
      <c r="U1937" s="2" t="s">
        <v>79</v>
      </c>
      <c r="V1937" s="2">
        <v>1</v>
      </c>
      <c r="W1937" s="2" t="s">
        <v>80</v>
      </c>
      <c r="X1937" s="2">
        <v>1</v>
      </c>
      <c r="Y1937" s="2" t="s">
        <v>81</v>
      </c>
      <c r="Z1937" s="2">
        <v>10</v>
      </c>
      <c r="AA1937" s="2" t="s">
        <v>236</v>
      </c>
      <c r="AB1937" s="2">
        <v>9</v>
      </c>
      <c r="AC1937" s="2" t="s">
        <v>124</v>
      </c>
      <c r="AD1937" s="3">
        <v>40308</v>
      </c>
      <c r="AE1937" s="4">
        <v>0.4236111111111111</v>
      </c>
      <c r="AF1937" s="2"/>
      <c r="AG1937" s="2"/>
      <c r="AH1937" s="2">
        <v>4</v>
      </c>
      <c r="AI1937" s="2" t="s">
        <v>125</v>
      </c>
      <c r="AJ1937" s="2">
        <v>29</v>
      </c>
      <c r="AK1937" s="2" t="s">
        <v>227</v>
      </c>
      <c r="AL1937" s="2">
        <v>16</v>
      </c>
      <c r="AM1937" s="2" t="s">
        <v>392</v>
      </c>
      <c r="AN1937" s="2" t="s">
        <v>3040</v>
      </c>
      <c r="AO1937" s="2" t="s">
        <v>5383</v>
      </c>
      <c r="AP1937" s="2">
        <v>12</v>
      </c>
      <c r="AQ1937" s="2" t="s">
        <v>322</v>
      </c>
      <c r="AR1937" s="2" t="s">
        <v>824</v>
      </c>
      <c r="AS1937" s="2" t="s">
        <v>825</v>
      </c>
      <c r="AT1937" s="2" t="s">
        <v>6775</v>
      </c>
      <c r="AU1937" s="2"/>
      <c r="AV1937" s="2"/>
      <c r="AW1937" s="2"/>
      <c r="AX1937" s="2"/>
      <c r="AY1937" s="2">
        <v>41</v>
      </c>
      <c r="AZ1937" s="2" t="s">
        <v>82</v>
      </c>
      <c r="BA1937" s="2">
        <v>41</v>
      </c>
      <c r="BB1937" s="2" t="s">
        <v>82</v>
      </c>
      <c r="BC1937" s="2">
        <v>51</v>
      </c>
      <c r="BD1937" s="2" t="s">
        <v>827</v>
      </c>
      <c r="BE1937" s="2">
        <v>47</v>
      </c>
      <c r="BF1937" s="2" t="s">
        <v>167</v>
      </c>
      <c r="BG1937" s="2">
        <v>2459</v>
      </c>
      <c r="BH1937" s="4">
        <v>0.89930555555555547</v>
      </c>
      <c r="BI1937" s="4">
        <v>0.92708333333333337</v>
      </c>
      <c r="BJ1937" s="2">
        <v>13</v>
      </c>
      <c r="BK1937" s="2" t="s">
        <v>91</v>
      </c>
      <c r="BL1937" s="2" t="s">
        <v>828</v>
      </c>
      <c r="BM1937" s="2">
        <v>241</v>
      </c>
      <c r="BN1937" s="2" t="s">
        <v>82</v>
      </c>
      <c r="BO1937" s="2" t="s">
        <v>82</v>
      </c>
      <c r="BP1937" s="2">
        <v>13</v>
      </c>
      <c r="BQ1937" s="2" t="s">
        <v>91</v>
      </c>
      <c r="BR1937" s="2" t="s">
        <v>185</v>
      </c>
      <c r="BS1937" s="3">
        <v>40308</v>
      </c>
      <c r="BT1937" s="4">
        <v>0.57710648148148147</v>
      </c>
    </row>
    <row r="1938" spans="1:72" x14ac:dyDescent="0.25">
      <c r="A1938" s="2">
        <v>2797</v>
      </c>
      <c r="B1938" s="2">
        <v>2010</v>
      </c>
      <c r="C1938" s="2" t="s">
        <v>147</v>
      </c>
      <c r="D1938" s="2" t="s">
        <v>73</v>
      </c>
      <c r="E1938" s="2"/>
      <c r="F1938" s="2">
        <v>1</v>
      </c>
      <c r="G1938" s="2" t="s">
        <v>82</v>
      </c>
      <c r="H1938" s="2">
        <v>1</v>
      </c>
      <c r="I1938" s="2" t="s">
        <v>82</v>
      </c>
      <c r="J1938" s="2">
        <v>1</v>
      </c>
      <c r="K1938" s="2" t="s">
        <v>107</v>
      </c>
      <c r="L1938" s="2" t="s">
        <v>107</v>
      </c>
      <c r="M1938" s="3">
        <v>40308</v>
      </c>
      <c r="N1938" s="2" t="s">
        <v>82</v>
      </c>
      <c r="O1938" s="2" t="s">
        <v>82</v>
      </c>
      <c r="P1938" s="2"/>
      <c r="Q1938" s="2" t="str">
        <f>"N/C"</f>
        <v>N/C</v>
      </c>
      <c r="R1938" s="2" t="s">
        <v>82</v>
      </c>
      <c r="S1938" s="2" t="s">
        <v>82</v>
      </c>
      <c r="T1938" s="2">
        <v>2</v>
      </c>
      <c r="U1938" s="2" t="s">
        <v>123</v>
      </c>
      <c r="V1938" s="2">
        <v>1</v>
      </c>
      <c r="W1938" s="2" t="s">
        <v>80</v>
      </c>
      <c r="X1938" s="2">
        <v>12</v>
      </c>
      <c r="Y1938" s="2" t="s">
        <v>148</v>
      </c>
      <c r="Z1938" s="2">
        <v>1</v>
      </c>
      <c r="AA1938" s="2" t="s">
        <v>82</v>
      </c>
      <c r="AB1938" s="2">
        <v>9</v>
      </c>
      <c r="AC1938" s="2" t="s">
        <v>124</v>
      </c>
      <c r="AD1938" s="3">
        <v>40308</v>
      </c>
      <c r="AE1938" s="2"/>
      <c r="AF1938" s="3">
        <v>40308</v>
      </c>
      <c r="AG1938" s="4">
        <v>0.52777777777777779</v>
      </c>
      <c r="AH1938" s="2">
        <v>3</v>
      </c>
      <c r="AI1938" s="2" t="s">
        <v>214</v>
      </c>
      <c r="AJ1938" s="2">
        <v>17</v>
      </c>
      <c r="AK1938" s="2" t="s">
        <v>309</v>
      </c>
      <c r="AL1938" s="2">
        <v>19</v>
      </c>
      <c r="AM1938" s="2" t="s">
        <v>107</v>
      </c>
      <c r="AN1938" s="2" t="s">
        <v>107</v>
      </c>
      <c r="AO1938" s="2" t="s">
        <v>6776</v>
      </c>
      <c r="AP1938" s="2">
        <v>11</v>
      </c>
      <c r="AQ1938" s="2" t="s">
        <v>82</v>
      </c>
      <c r="AR1938" s="2"/>
      <c r="AS1938" s="2"/>
      <c r="AT1938" s="2" t="s">
        <v>6777</v>
      </c>
      <c r="AU1938" s="2"/>
      <c r="AV1938" s="2"/>
      <c r="AW1938" s="2"/>
      <c r="AX1938" s="2"/>
      <c r="AY1938" s="2">
        <v>41</v>
      </c>
      <c r="AZ1938" s="2" t="s">
        <v>82</v>
      </c>
      <c r="BA1938" s="2">
        <v>41</v>
      </c>
      <c r="BB1938" s="2" t="s">
        <v>82</v>
      </c>
      <c r="BC1938" s="2">
        <v>41</v>
      </c>
      <c r="BD1938" s="2" t="s">
        <v>82</v>
      </c>
      <c r="BE1938" s="2">
        <v>41</v>
      </c>
      <c r="BF1938" s="2" t="s">
        <v>82</v>
      </c>
      <c r="BG1938" s="2"/>
      <c r="BH1938" s="2"/>
      <c r="BI1938" s="2"/>
      <c r="BJ1938" s="2">
        <v>241</v>
      </c>
      <c r="BK1938" s="2" t="s">
        <v>82</v>
      </c>
      <c r="BL1938" s="2"/>
      <c r="BM1938" s="2">
        <v>241</v>
      </c>
      <c r="BN1938" s="2" t="s">
        <v>82</v>
      </c>
      <c r="BO1938" s="2"/>
      <c r="BP1938" s="2">
        <v>241</v>
      </c>
      <c r="BQ1938" s="2" t="s">
        <v>82</v>
      </c>
      <c r="BR1938" s="2"/>
      <c r="BS1938" s="3">
        <v>40308</v>
      </c>
      <c r="BT1938" s="4">
        <v>0.58754629629629629</v>
      </c>
    </row>
    <row r="1939" spans="1:72" x14ac:dyDescent="0.25">
      <c r="A1939" s="2">
        <v>2799</v>
      </c>
      <c r="B1939" s="2">
        <v>2010</v>
      </c>
      <c r="C1939" s="2" t="s">
        <v>121</v>
      </c>
      <c r="D1939" s="2" t="s">
        <v>122</v>
      </c>
      <c r="E1939" s="2"/>
      <c r="F1939" s="2">
        <v>1</v>
      </c>
      <c r="G1939" s="2" t="s">
        <v>82</v>
      </c>
      <c r="H1939" s="2">
        <v>1</v>
      </c>
      <c r="I1939" s="2" t="s">
        <v>82</v>
      </c>
      <c r="J1939" s="2">
        <v>1</v>
      </c>
      <c r="K1939" s="2" t="s">
        <v>107</v>
      </c>
      <c r="L1939" s="2" t="s">
        <v>107</v>
      </c>
      <c r="M1939" s="3">
        <v>40308</v>
      </c>
      <c r="N1939" s="2"/>
      <c r="O1939" s="2"/>
      <c r="P1939" s="2"/>
      <c r="Q1939" s="2" t="str">
        <f>""</f>
        <v/>
      </c>
      <c r="R1939" s="2"/>
      <c r="S1939" s="2"/>
      <c r="T1939" s="2">
        <v>2</v>
      </c>
      <c r="U1939" s="2" t="s">
        <v>123</v>
      </c>
      <c r="V1939" s="2">
        <v>1</v>
      </c>
      <c r="W1939" s="2" t="s">
        <v>80</v>
      </c>
      <c r="X1939" s="2">
        <v>1</v>
      </c>
      <c r="Y1939" s="2" t="s">
        <v>81</v>
      </c>
      <c r="Z1939" s="2">
        <v>1</v>
      </c>
      <c r="AA1939" s="2" t="s">
        <v>82</v>
      </c>
      <c r="AB1939" s="2">
        <v>9</v>
      </c>
      <c r="AC1939" s="2" t="s">
        <v>124</v>
      </c>
      <c r="AD1939" s="3">
        <v>40308</v>
      </c>
      <c r="AE1939" s="4">
        <v>0.5</v>
      </c>
      <c r="AF1939" s="2"/>
      <c r="AG1939" s="2"/>
      <c r="AH1939" s="2">
        <v>6</v>
      </c>
      <c r="AI1939" s="2" t="s">
        <v>197</v>
      </c>
      <c r="AJ1939" s="2">
        <v>51</v>
      </c>
      <c r="AK1939" s="2" t="s">
        <v>238</v>
      </c>
      <c r="AL1939" s="2">
        <v>10</v>
      </c>
      <c r="AM1939" s="2" t="s">
        <v>200</v>
      </c>
      <c r="AN1939" s="2"/>
      <c r="AO1939" s="2"/>
      <c r="AP1939" s="2">
        <v>11</v>
      </c>
      <c r="AQ1939" s="2" t="s">
        <v>82</v>
      </c>
      <c r="AR1939" s="2" t="s">
        <v>3122</v>
      </c>
      <c r="AS1939" s="2" t="s">
        <v>3123</v>
      </c>
      <c r="AT1939" s="2" t="s">
        <v>6778</v>
      </c>
      <c r="AU1939" s="2"/>
      <c r="AV1939" s="2"/>
      <c r="AW1939" s="2"/>
      <c r="AX1939" s="2"/>
      <c r="AY1939" s="2">
        <v>1</v>
      </c>
      <c r="AZ1939" s="2" t="s">
        <v>107</v>
      </c>
      <c r="BA1939" s="2">
        <v>1</v>
      </c>
      <c r="BB1939" s="2" t="s">
        <v>107</v>
      </c>
      <c r="BC1939" s="2">
        <v>1</v>
      </c>
      <c r="BD1939" s="2" t="s">
        <v>107</v>
      </c>
      <c r="BE1939" s="2">
        <v>1</v>
      </c>
      <c r="BF1939" s="2" t="s">
        <v>107</v>
      </c>
      <c r="BG1939" s="2" t="s">
        <v>6779</v>
      </c>
      <c r="BH1939" s="4">
        <v>0.5625</v>
      </c>
      <c r="BI1939" s="4">
        <v>0.61111111111111105</v>
      </c>
      <c r="BJ1939" s="2">
        <v>13</v>
      </c>
      <c r="BK1939" s="2" t="s">
        <v>91</v>
      </c>
      <c r="BL1939" s="2" t="s">
        <v>6780</v>
      </c>
      <c r="BM1939" s="2">
        <v>13</v>
      </c>
      <c r="BN1939" s="2" t="s">
        <v>91</v>
      </c>
      <c r="BO1939" s="2" t="s">
        <v>6781</v>
      </c>
      <c r="BP1939" s="2">
        <v>13</v>
      </c>
      <c r="BQ1939" s="2" t="s">
        <v>91</v>
      </c>
      <c r="BR1939" s="2" t="s">
        <v>6782</v>
      </c>
      <c r="BS1939" s="3">
        <v>40308</v>
      </c>
      <c r="BT1939" s="4">
        <v>0.6466898148148148</v>
      </c>
    </row>
    <row r="1940" spans="1:72" x14ac:dyDescent="0.25">
      <c r="A1940" s="2">
        <v>2801</v>
      </c>
      <c r="B1940" s="2">
        <v>2010</v>
      </c>
      <c r="C1940" s="2" t="s">
        <v>457</v>
      </c>
      <c r="D1940" s="2" t="s">
        <v>73</v>
      </c>
      <c r="E1940" s="2"/>
      <c r="F1940" s="2">
        <v>1</v>
      </c>
      <c r="G1940" s="2" t="s">
        <v>82</v>
      </c>
      <c r="H1940" s="2">
        <v>1</v>
      </c>
      <c r="I1940" s="2" t="s">
        <v>82</v>
      </c>
      <c r="J1940" s="2">
        <v>1</v>
      </c>
      <c r="K1940" s="2" t="s">
        <v>107</v>
      </c>
      <c r="L1940" s="2" t="s">
        <v>107</v>
      </c>
      <c r="M1940" s="3">
        <v>40308</v>
      </c>
      <c r="N1940" s="2"/>
      <c r="O1940" s="2"/>
      <c r="P1940" s="2"/>
      <c r="Q1940" s="2" t="str">
        <f>""</f>
        <v/>
      </c>
      <c r="R1940" s="2"/>
      <c r="S1940" s="2"/>
      <c r="T1940" s="2">
        <v>1</v>
      </c>
      <c r="U1940" s="2" t="s">
        <v>79</v>
      </c>
      <c r="V1940" s="2">
        <v>1</v>
      </c>
      <c r="W1940" s="2" t="s">
        <v>80</v>
      </c>
      <c r="X1940" s="2">
        <v>11</v>
      </c>
      <c r="Y1940" s="2" t="s">
        <v>1920</v>
      </c>
      <c r="Z1940" s="2">
        <v>6</v>
      </c>
      <c r="AA1940" s="2" t="s">
        <v>101</v>
      </c>
      <c r="AB1940" s="2">
        <v>9</v>
      </c>
      <c r="AC1940" s="2" t="s">
        <v>124</v>
      </c>
      <c r="AD1940" s="3">
        <v>40308</v>
      </c>
      <c r="AE1940" s="4">
        <v>0.5</v>
      </c>
      <c r="AF1940" s="2"/>
      <c r="AG1940" s="2"/>
      <c r="AH1940" s="2">
        <v>2</v>
      </c>
      <c r="AI1940" s="2" t="s">
        <v>84</v>
      </c>
      <c r="AJ1940" s="2">
        <v>12</v>
      </c>
      <c r="AK1940" s="2" t="s">
        <v>85</v>
      </c>
      <c r="AL1940" s="2">
        <v>2</v>
      </c>
      <c r="AM1940" s="2" t="s">
        <v>163</v>
      </c>
      <c r="AN1940" s="2" t="s">
        <v>6783</v>
      </c>
      <c r="AO1940" s="2" t="s">
        <v>6784</v>
      </c>
      <c r="AP1940" s="2">
        <v>11</v>
      </c>
      <c r="AQ1940" s="2" t="s">
        <v>82</v>
      </c>
      <c r="AR1940" s="2"/>
      <c r="AS1940" s="2"/>
      <c r="AT1940" s="2" t="s">
        <v>6785</v>
      </c>
      <c r="AU1940" s="2"/>
      <c r="AV1940" s="2"/>
      <c r="AW1940" s="2"/>
      <c r="AX1940" s="2"/>
      <c r="AY1940" s="2">
        <v>41</v>
      </c>
      <c r="AZ1940" s="2" t="s">
        <v>82</v>
      </c>
      <c r="BA1940" s="2">
        <v>41</v>
      </c>
      <c r="BB1940" s="2" t="s">
        <v>82</v>
      </c>
      <c r="BC1940" s="2">
        <v>41</v>
      </c>
      <c r="BD1940" s="2" t="s">
        <v>82</v>
      </c>
      <c r="BE1940" s="2">
        <v>13</v>
      </c>
      <c r="BF1940" s="2" t="s">
        <v>108</v>
      </c>
      <c r="BG1940" s="2">
        <v>1262</v>
      </c>
      <c r="BH1940" s="2"/>
      <c r="BI1940" s="4">
        <v>0.59027777777777779</v>
      </c>
      <c r="BJ1940" s="2">
        <v>13</v>
      </c>
      <c r="BK1940" s="2" t="s">
        <v>91</v>
      </c>
      <c r="BL1940" s="2" t="s">
        <v>185</v>
      </c>
      <c r="BM1940" s="2">
        <v>241</v>
      </c>
      <c r="BN1940" s="2" t="s">
        <v>82</v>
      </c>
      <c r="BO1940" s="2"/>
      <c r="BP1940" s="2">
        <v>172</v>
      </c>
      <c r="BQ1940" s="2" t="s">
        <v>843</v>
      </c>
      <c r="BR1940" s="2" t="s">
        <v>844</v>
      </c>
      <c r="BS1940" s="3">
        <v>40308</v>
      </c>
      <c r="BT1940" s="4">
        <v>0.66438657407407409</v>
      </c>
    </row>
    <row r="1941" spans="1:72" x14ac:dyDescent="0.25">
      <c r="A1941" s="2">
        <v>2803</v>
      </c>
      <c r="B1941" s="2">
        <v>2010</v>
      </c>
      <c r="C1941" s="2" t="s">
        <v>1559</v>
      </c>
      <c r="D1941" s="2" t="s">
        <v>73</v>
      </c>
      <c r="E1941" s="2"/>
      <c r="F1941" s="2">
        <v>125</v>
      </c>
      <c r="G1941" s="2" t="s">
        <v>1483</v>
      </c>
      <c r="H1941" s="2">
        <v>22</v>
      </c>
      <c r="I1941" s="2" t="s">
        <v>75</v>
      </c>
      <c r="J1941" s="2">
        <v>139</v>
      </c>
      <c r="K1941" s="2" t="s">
        <v>1485</v>
      </c>
      <c r="L1941" s="2" t="s">
        <v>1486</v>
      </c>
      <c r="M1941" s="3">
        <v>40308</v>
      </c>
      <c r="N1941" s="2" t="s">
        <v>6786</v>
      </c>
      <c r="O1941" s="2" t="s">
        <v>6787</v>
      </c>
      <c r="P1941" s="2" t="s">
        <v>6788</v>
      </c>
      <c r="Q1941" s="2" t="str">
        <f>"N/C"</f>
        <v>N/C</v>
      </c>
      <c r="R1941" s="2" t="s">
        <v>82</v>
      </c>
      <c r="S1941" s="2" t="s">
        <v>82</v>
      </c>
      <c r="T1941" s="2">
        <v>1</v>
      </c>
      <c r="U1941" s="2" t="s">
        <v>79</v>
      </c>
      <c r="V1941" s="2">
        <v>3</v>
      </c>
      <c r="W1941" s="2" t="s">
        <v>225</v>
      </c>
      <c r="X1941" s="2">
        <v>6</v>
      </c>
      <c r="Y1941" s="2" t="s">
        <v>249</v>
      </c>
      <c r="Z1941" s="2">
        <v>1</v>
      </c>
      <c r="AA1941" s="2" t="s">
        <v>82</v>
      </c>
      <c r="AB1941" s="2">
        <v>9</v>
      </c>
      <c r="AC1941" s="2" t="s">
        <v>124</v>
      </c>
      <c r="AD1941" s="3">
        <v>40308</v>
      </c>
      <c r="AE1941" s="4">
        <v>0.63541666666666663</v>
      </c>
      <c r="AF1941" s="2"/>
      <c r="AG1941" s="2"/>
      <c r="AH1941" s="2">
        <v>6</v>
      </c>
      <c r="AI1941" s="2" t="s">
        <v>197</v>
      </c>
      <c r="AJ1941" s="2">
        <v>61</v>
      </c>
      <c r="AK1941" s="2" t="s">
        <v>686</v>
      </c>
      <c r="AL1941" s="2">
        <v>23</v>
      </c>
      <c r="AM1941" s="2" t="s">
        <v>251</v>
      </c>
      <c r="AN1941" s="2" t="s">
        <v>6789</v>
      </c>
      <c r="AO1941" s="2" t="s">
        <v>107</v>
      </c>
      <c r="AP1941" s="2">
        <v>11</v>
      </c>
      <c r="AQ1941" s="2" t="s">
        <v>82</v>
      </c>
      <c r="AR1941" s="2" t="s">
        <v>82</v>
      </c>
      <c r="AS1941" s="2" t="s">
        <v>82</v>
      </c>
      <c r="AT1941" s="2" t="s">
        <v>6790</v>
      </c>
      <c r="AU1941" s="2"/>
      <c r="AV1941" s="2"/>
      <c r="AW1941" s="2"/>
      <c r="AX1941" s="2"/>
      <c r="AY1941" s="2">
        <v>41</v>
      </c>
      <c r="AZ1941" s="2" t="s">
        <v>82</v>
      </c>
      <c r="BA1941" s="2">
        <v>41</v>
      </c>
      <c r="BB1941" s="2" t="s">
        <v>82</v>
      </c>
      <c r="BC1941" s="2">
        <v>41</v>
      </c>
      <c r="BD1941" s="2" t="s">
        <v>82</v>
      </c>
      <c r="BE1941" s="2">
        <v>41</v>
      </c>
      <c r="BF1941" s="2" t="s">
        <v>82</v>
      </c>
      <c r="BG1941" s="2" t="s">
        <v>82</v>
      </c>
      <c r="BH1941" s="2"/>
      <c r="BI1941" s="2"/>
      <c r="BJ1941" s="2">
        <v>241</v>
      </c>
      <c r="BK1941" s="2" t="s">
        <v>82</v>
      </c>
      <c r="BL1941" s="2" t="s">
        <v>82</v>
      </c>
      <c r="BM1941" s="2">
        <v>241</v>
      </c>
      <c r="BN1941" s="2" t="s">
        <v>82</v>
      </c>
      <c r="BO1941" s="2" t="s">
        <v>82</v>
      </c>
      <c r="BP1941" s="2">
        <v>241</v>
      </c>
      <c r="BQ1941" s="2" t="s">
        <v>82</v>
      </c>
      <c r="BR1941" s="2" t="s">
        <v>82</v>
      </c>
      <c r="BS1941" s="3">
        <v>40308</v>
      </c>
      <c r="BT1941" s="4">
        <v>0.69431712962962966</v>
      </c>
    </row>
    <row r="1942" spans="1:72" x14ac:dyDescent="0.25">
      <c r="A1942" s="2">
        <v>2805</v>
      </c>
      <c r="B1942" s="2">
        <v>2010</v>
      </c>
      <c r="C1942" s="2" t="s">
        <v>4543</v>
      </c>
      <c r="D1942" s="2" t="s">
        <v>122</v>
      </c>
      <c r="E1942" s="2"/>
      <c r="F1942" s="2">
        <v>1</v>
      </c>
      <c r="G1942" s="2" t="s">
        <v>82</v>
      </c>
      <c r="H1942" s="2">
        <v>1</v>
      </c>
      <c r="I1942" s="2" t="s">
        <v>82</v>
      </c>
      <c r="J1942" s="2">
        <v>1</v>
      </c>
      <c r="K1942" s="2" t="s">
        <v>107</v>
      </c>
      <c r="L1942" s="2" t="s">
        <v>107</v>
      </c>
      <c r="M1942" s="3">
        <v>40308</v>
      </c>
      <c r="N1942" s="2"/>
      <c r="O1942" s="2"/>
      <c r="P1942" s="2"/>
      <c r="Q1942" s="2" t="str">
        <f>""</f>
        <v/>
      </c>
      <c r="R1942" s="2"/>
      <c r="S1942" s="2"/>
      <c r="T1942" s="2">
        <v>2</v>
      </c>
      <c r="U1942" s="2" t="s">
        <v>123</v>
      </c>
      <c r="V1942" s="2">
        <v>1</v>
      </c>
      <c r="W1942" s="2" t="s">
        <v>80</v>
      </c>
      <c r="X1942" s="2">
        <v>1</v>
      </c>
      <c r="Y1942" s="2" t="s">
        <v>81</v>
      </c>
      <c r="Z1942" s="2">
        <v>10</v>
      </c>
      <c r="AA1942" s="2" t="s">
        <v>236</v>
      </c>
      <c r="AB1942" s="2">
        <v>9</v>
      </c>
      <c r="AC1942" s="2" t="s">
        <v>124</v>
      </c>
      <c r="AD1942" s="3">
        <v>40308</v>
      </c>
      <c r="AE1942" s="4">
        <v>0.44444444444444442</v>
      </c>
      <c r="AF1942" s="2"/>
      <c r="AG1942" s="2"/>
      <c r="AH1942" s="2">
        <v>2</v>
      </c>
      <c r="AI1942" s="2" t="s">
        <v>84</v>
      </c>
      <c r="AJ1942" s="2">
        <v>12</v>
      </c>
      <c r="AK1942" s="2" t="s">
        <v>85</v>
      </c>
      <c r="AL1942" s="2">
        <v>24</v>
      </c>
      <c r="AM1942" s="2" t="s">
        <v>1540</v>
      </c>
      <c r="AN1942" s="2" t="s">
        <v>6791</v>
      </c>
      <c r="AO1942" s="2" t="s">
        <v>6792</v>
      </c>
      <c r="AP1942" s="2">
        <v>11</v>
      </c>
      <c r="AQ1942" s="2" t="s">
        <v>82</v>
      </c>
      <c r="AR1942" s="2"/>
      <c r="AS1942" s="2"/>
      <c r="AT1942" s="2" t="s">
        <v>6793</v>
      </c>
      <c r="AU1942" s="2"/>
      <c r="AV1942" s="2"/>
      <c r="AW1942" s="2"/>
      <c r="AX1942" s="2"/>
      <c r="AY1942" s="2">
        <v>41</v>
      </c>
      <c r="AZ1942" s="2" t="s">
        <v>82</v>
      </c>
      <c r="BA1942" s="2">
        <v>41</v>
      </c>
      <c r="BB1942" s="2" t="s">
        <v>82</v>
      </c>
      <c r="BC1942" s="2">
        <v>70</v>
      </c>
      <c r="BD1942" s="2" t="s">
        <v>236</v>
      </c>
      <c r="BE1942" s="2">
        <v>41</v>
      </c>
      <c r="BF1942" s="2" t="s">
        <v>82</v>
      </c>
      <c r="BG1942" s="2"/>
      <c r="BH1942" s="2"/>
      <c r="BI1942" s="2"/>
      <c r="BJ1942" s="2">
        <v>241</v>
      </c>
      <c r="BK1942" s="2" t="s">
        <v>82</v>
      </c>
      <c r="BL1942" s="2"/>
      <c r="BM1942" s="2">
        <v>241</v>
      </c>
      <c r="BN1942" s="2" t="s">
        <v>82</v>
      </c>
      <c r="BO1942" s="2"/>
      <c r="BP1942" s="2">
        <v>241</v>
      </c>
      <c r="BQ1942" s="2" t="s">
        <v>82</v>
      </c>
      <c r="BR1942" s="2"/>
      <c r="BS1942" s="3">
        <v>40308</v>
      </c>
      <c r="BT1942" s="4">
        <v>0.77494212962962961</v>
      </c>
    </row>
    <row r="1943" spans="1:72" x14ac:dyDescent="0.25">
      <c r="A1943" s="2">
        <v>2807</v>
      </c>
      <c r="B1943" s="2">
        <v>2010</v>
      </c>
      <c r="C1943" s="2" t="s">
        <v>1568</v>
      </c>
      <c r="D1943" s="2" t="s">
        <v>73</v>
      </c>
      <c r="E1943" s="2"/>
      <c r="F1943" s="2">
        <v>451</v>
      </c>
      <c r="G1943" s="2" t="s">
        <v>879</v>
      </c>
      <c r="H1943" s="2">
        <v>31</v>
      </c>
      <c r="I1943" s="2" t="s">
        <v>880</v>
      </c>
      <c r="J1943" s="2">
        <v>326</v>
      </c>
      <c r="K1943" s="2" t="s">
        <v>881</v>
      </c>
      <c r="L1943" s="2" t="s">
        <v>882</v>
      </c>
      <c r="M1943" s="3">
        <v>40308</v>
      </c>
      <c r="N1943" s="2" t="s">
        <v>6794</v>
      </c>
      <c r="O1943" s="2"/>
      <c r="P1943" s="2"/>
      <c r="Q1943" s="2" t="str">
        <f>"0246/08"</f>
        <v>0246/08</v>
      </c>
      <c r="R1943" s="2"/>
      <c r="S1943" s="2" t="s">
        <v>6795</v>
      </c>
      <c r="T1943" s="2">
        <v>1</v>
      </c>
      <c r="U1943" s="2" t="s">
        <v>79</v>
      </c>
      <c r="V1943" s="2">
        <v>1</v>
      </c>
      <c r="W1943" s="2" t="s">
        <v>80</v>
      </c>
      <c r="X1943" s="2">
        <v>1</v>
      </c>
      <c r="Y1943" s="2" t="s">
        <v>81</v>
      </c>
      <c r="Z1943" s="2">
        <v>10</v>
      </c>
      <c r="AA1943" s="2" t="s">
        <v>236</v>
      </c>
      <c r="AB1943" s="2">
        <v>4</v>
      </c>
      <c r="AC1943" s="2" t="s">
        <v>1569</v>
      </c>
      <c r="AD1943" s="3">
        <v>40308</v>
      </c>
      <c r="AE1943" s="4">
        <v>0.66666666666666663</v>
      </c>
      <c r="AF1943" s="2"/>
      <c r="AG1943" s="2"/>
      <c r="AH1943" s="2">
        <v>4</v>
      </c>
      <c r="AI1943" s="2" t="s">
        <v>125</v>
      </c>
      <c r="AJ1943" s="2">
        <v>29</v>
      </c>
      <c r="AK1943" s="2" t="s">
        <v>227</v>
      </c>
      <c r="AL1943" s="2">
        <v>16</v>
      </c>
      <c r="AM1943" s="2" t="s">
        <v>392</v>
      </c>
      <c r="AN1943" s="2" t="s">
        <v>1015</v>
      </c>
      <c r="AO1943" s="2"/>
      <c r="AP1943" s="2">
        <v>11</v>
      </c>
      <c r="AQ1943" s="2" t="s">
        <v>82</v>
      </c>
      <c r="AR1943" s="2" t="s">
        <v>473</v>
      </c>
      <c r="AS1943" s="2" t="s">
        <v>473</v>
      </c>
      <c r="AT1943" s="2" t="s">
        <v>6796</v>
      </c>
      <c r="AU1943" s="2"/>
      <c r="AV1943" s="2"/>
      <c r="AW1943" s="2"/>
      <c r="AX1943" s="2"/>
      <c r="AY1943" s="2">
        <v>41</v>
      </c>
      <c r="AZ1943" s="2" t="s">
        <v>82</v>
      </c>
      <c r="BA1943" s="2">
        <v>41</v>
      </c>
      <c r="BB1943" s="2" t="s">
        <v>82</v>
      </c>
      <c r="BC1943" s="2">
        <v>41</v>
      </c>
      <c r="BD1943" s="2" t="s">
        <v>82</v>
      </c>
      <c r="BE1943" s="2">
        <v>13</v>
      </c>
      <c r="BF1943" s="2" t="s">
        <v>108</v>
      </c>
      <c r="BG1943" s="2">
        <v>2459</v>
      </c>
      <c r="BH1943" s="4">
        <v>0.95833333333333337</v>
      </c>
      <c r="BI1943" s="4">
        <v>0.98611111111111116</v>
      </c>
      <c r="BJ1943" s="2">
        <v>13</v>
      </c>
      <c r="BK1943" s="2" t="s">
        <v>91</v>
      </c>
      <c r="BL1943" s="2" t="s">
        <v>828</v>
      </c>
      <c r="BM1943" s="2">
        <v>241</v>
      </c>
      <c r="BN1943" s="2" t="s">
        <v>82</v>
      </c>
      <c r="BO1943" s="2" t="s">
        <v>82</v>
      </c>
      <c r="BP1943" s="2">
        <v>13</v>
      </c>
      <c r="BQ1943" s="2" t="s">
        <v>91</v>
      </c>
      <c r="BR1943" s="2" t="s">
        <v>185</v>
      </c>
      <c r="BS1943" s="3">
        <v>40308</v>
      </c>
      <c r="BT1943" s="4">
        <v>0.79865740740740743</v>
      </c>
    </row>
    <row r="1944" spans="1:72" x14ac:dyDescent="0.25">
      <c r="A1944" s="2">
        <v>2809</v>
      </c>
      <c r="B1944" s="2">
        <v>2010</v>
      </c>
      <c r="C1944" s="2" t="s">
        <v>171</v>
      </c>
      <c r="D1944" s="2" t="s">
        <v>73</v>
      </c>
      <c r="E1944" s="2"/>
      <c r="F1944" s="2">
        <v>394</v>
      </c>
      <c r="G1944" s="2" t="s">
        <v>172</v>
      </c>
      <c r="H1944" s="2">
        <v>5</v>
      </c>
      <c r="I1944" s="2" t="s">
        <v>634</v>
      </c>
      <c r="J1944" s="2">
        <v>241</v>
      </c>
      <c r="K1944" s="2" t="s">
        <v>174</v>
      </c>
      <c r="L1944" s="2" t="s">
        <v>175</v>
      </c>
      <c r="M1944" s="3">
        <v>40308</v>
      </c>
      <c r="N1944" s="2" t="s">
        <v>719</v>
      </c>
      <c r="O1944" s="2"/>
      <c r="P1944" s="2"/>
      <c r="Q1944" s="2" t="str">
        <f>"256-E/10"</f>
        <v>256-E/10</v>
      </c>
      <c r="R1944" s="2"/>
      <c r="S1944" s="2" t="s">
        <v>6797</v>
      </c>
      <c r="T1944" s="2">
        <v>1</v>
      </c>
      <c r="U1944" s="2" t="s">
        <v>79</v>
      </c>
      <c r="V1944" s="2">
        <v>1</v>
      </c>
      <c r="W1944" s="2" t="s">
        <v>80</v>
      </c>
      <c r="X1944" s="2">
        <v>12</v>
      </c>
      <c r="Y1944" s="2" t="s">
        <v>148</v>
      </c>
      <c r="Z1944" s="2">
        <v>9</v>
      </c>
      <c r="AA1944" s="2" t="s">
        <v>1119</v>
      </c>
      <c r="AB1944" s="2">
        <v>1</v>
      </c>
      <c r="AC1944" s="2" t="s">
        <v>178</v>
      </c>
      <c r="AD1944" s="3">
        <v>40308</v>
      </c>
      <c r="AE1944" s="4">
        <v>0.59722222222222221</v>
      </c>
      <c r="AF1944" s="3">
        <v>40308</v>
      </c>
      <c r="AG1944" s="4">
        <v>0.6875</v>
      </c>
      <c r="AH1944" s="2">
        <v>2</v>
      </c>
      <c r="AI1944" s="2" t="s">
        <v>84</v>
      </c>
      <c r="AJ1944" s="2">
        <v>9</v>
      </c>
      <c r="AK1944" s="2" t="s">
        <v>103</v>
      </c>
      <c r="AL1944" s="2">
        <v>15</v>
      </c>
      <c r="AM1944" s="2" t="s">
        <v>104</v>
      </c>
      <c r="AN1944" s="2" t="s">
        <v>6798</v>
      </c>
      <c r="AO1944" s="2" t="s">
        <v>6799</v>
      </c>
      <c r="AP1944" s="2">
        <v>11</v>
      </c>
      <c r="AQ1944" s="2" t="s">
        <v>82</v>
      </c>
      <c r="AR1944" s="2"/>
      <c r="AS1944" s="2"/>
      <c r="AT1944" s="2" t="s">
        <v>6800</v>
      </c>
      <c r="AU1944" s="2"/>
      <c r="AV1944" s="2"/>
      <c r="AW1944" s="2"/>
      <c r="AX1944" s="2"/>
      <c r="AY1944" s="2">
        <v>41</v>
      </c>
      <c r="AZ1944" s="2" t="s">
        <v>82</v>
      </c>
      <c r="BA1944" s="2">
        <v>41</v>
      </c>
      <c r="BB1944" s="2" t="s">
        <v>82</v>
      </c>
      <c r="BC1944" s="2">
        <v>41</v>
      </c>
      <c r="BD1944" s="2" t="s">
        <v>82</v>
      </c>
      <c r="BE1944" s="2">
        <v>41</v>
      </c>
      <c r="BF1944" s="2" t="s">
        <v>82</v>
      </c>
      <c r="BG1944" s="2"/>
      <c r="BH1944" s="2"/>
      <c r="BI1944" s="2"/>
      <c r="BJ1944" s="2">
        <v>241</v>
      </c>
      <c r="BK1944" s="2" t="s">
        <v>82</v>
      </c>
      <c r="BL1944" s="2"/>
      <c r="BM1944" s="2">
        <v>241</v>
      </c>
      <c r="BN1944" s="2" t="s">
        <v>82</v>
      </c>
      <c r="BO1944" s="2"/>
      <c r="BP1944" s="2">
        <v>241</v>
      </c>
      <c r="BQ1944" s="2" t="s">
        <v>82</v>
      </c>
      <c r="BR1944" s="2"/>
      <c r="BS1944" s="3">
        <v>40308</v>
      </c>
      <c r="BT1944" s="4">
        <v>0.82547453703703699</v>
      </c>
    </row>
    <row r="1945" spans="1:72" x14ac:dyDescent="0.25">
      <c r="A1945" s="2">
        <v>2811</v>
      </c>
      <c r="B1945" s="2">
        <v>2010</v>
      </c>
      <c r="C1945" s="2" t="s">
        <v>414</v>
      </c>
      <c r="D1945" s="2" t="s">
        <v>122</v>
      </c>
      <c r="E1945" s="2" t="s">
        <v>6801</v>
      </c>
      <c r="F1945" s="2">
        <v>1</v>
      </c>
      <c r="G1945" s="2" t="s">
        <v>82</v>
      </c>
      <c r="H1945" s="2">
        <v>1</v>
      </c>
      <c r="I1945" s="2" t="s">
        <v>82</v>
      </c>
      <c r="J1945" s="2">
        <v>1</v>
      </c>
      <c r="K1945" s="2" t="s">
        <v>107</v>
      </c>
      <c r="L1945" s="2" t="s">
        <v>107</v>
      </c>
      <c r="M1945" s="3">
        <v>40308</v>
      </c>
      <c r="N1945" s="2"/>
      <c r="O1945" s="2"/>
      <c r="P1945" s="2"/>
      <c r="Q1945" s="2" t="str">
        <f>""</f>
        <v/>
      </c>
      <c r="R1945" s="2"/>
      <c r="S1945" s="2"/>
      <c r="T1945" s="2">
        <v>1</v>
      </c>
      <c r="U1945" s="2" t="s">
        <v>79</v>
      </c>
      <c r="V1945" s="2">
        <v>1</v>
      </c>
      <c r="W1945" s="2" t="s">
        <v>80</v>
      </c>
      <c r="X1945" s="2">
        <v>5</v>
      </c>
      <c r="Y1945" s="2" t="s">
        <v>82</v>
      </c>
      <c r="Z1945" s="2">
        <v>1</v>
      </c>
      <c r="AA1945" s="2" t="s">
        <v>82</v>
      </c>
      <c r="AB1945" s="2">
        <v>9</v>
      </c>
      <c r="AC1945" s="2" t="s">
        <v>124</v>
      </c>
      <c r="AD1945" s="3">
        <v>40304</v>
      </c>
      <c r="AE1945" s="4">
        <v>0.41666666666666669</v>
      </c>
      <c r="AF1945" s="2"/>
      <c r="AG1945" s="2"/>
      <c r="AH1945" s="2">
        <v>5</v>
      </c>
      <c r="AI1945" s="2" t="s">
        <v>274</v>
      </c>
      <c r="AJ1945" s="2">
        <v>40</v>
      </c>
      <c r="AK1945" s="2" t="s">
        <v>935</v>
      </c>
      <c r="AL1945" s="2">
        <v>12</v>
      </c>
      <c r="AM1945" s="2" t="s">
        <v>86</v>
      </c>
      <c r="AN1945" s="2" t="s">
        <v>6802</v>
      </c>
      <c r="AO1945" s="2" t="s">
        <v>6803</v>
      </c>
      <c r="AP1945" s="2">
        <v>11</v>
      </c>
      <c r="AQ1945" s="2" t="s">
        <v>82</v>
      </c>
      <c r="AR1945" s="2"/>
      <c r="AS1945" s="2"/>
      <c r="AT1945" s="2" t="s">
        <v>6804</v>
      </c>
      <c r="AU1945" s="2"/>
      <c r="AV1945" s="2"/>
      <c r="AW1945" s="2"/>
      <c r="AX1945" s="2"/>
      <c r="AY1945" s="2">
        <v>41</v>
      </c>
      <c r="AZ1945" s="2" t="s">
        <v>82</v>
      </c>
      <c r="BA1945" s="2">
        <v>41</v>
      </c>
      <c r="BB1945" s="2" t="s">
        <v>82</v>
      </c>
      <c r="BC1945" s="2">
        <v>41</v>
      </c>
      <c r="BD1945" s="2" t="s">
        <v>82</v>
      </c>
      <c r="BE1945" s="2">
        <v>41</v>
      </c>
      <c r="BF1945" s="2" t="s">
        <v>82</v>
      </c>
      <c r="BG1945" s="2"/>
      <c r="BH1945" s="2"/>
      <c r="BI1945" s="2"/>
      <c r="BJ1945" s="2">
        <v>241</v>
      </c>
      <c r="BK1945" s="2" t="s">
        <v>82</v>
      </c>
      <c r="BL1945" s="2"/>
      <c r="BM1945" s="2">
        <v>241</v>
      </c>
      <c r="BN1945" s="2" t="s">
        <v>82</v>
      </c>
      <c r="BO1945" s="2"/>
      <c r="BP1945" s="2">
        <v>241</v>
      </c>
      <c r="BQ1945" s="2" t="s">
        <v>82</v>
      </c>
      <c r="BR1945" s="2"/>
      <c r="BS1945" s="3">
        <v>40308</v>
      </c>
      <c r="BT1945" s="4">
        <v>0.91261574074074081</v>
      </c>
    </row>
    <row r="1946" spans="1:72" x14ac:dyDescent="0.25">
      <c r="A1946" s="2">
        <v>2811</v>
      </c>
      <c r="B1946" s="2">
        <v>2010</v>
      </c>
      <c r="C1946" s="2" t="s">
        <v>4543</v>
      </c>
      <c r="D1946" s="2" t="s">
        <v>122</v>
      </c>
      <c r="E1946" s="2" t="s">
        <v>6801</v>
      </c>
      <c r="F1946" s="2">
        <v>1</v>
      </c>
      <c r="G1946" s="2" t="s">
        <v>82</v>
      </c>
      <c r="H1946" s="2">
        <v>1</v>
      </c>
      <c r="I1946" s="2" t="s">
        <v>82</v>
      </c>
      <c r="J1946" s="2">
        <v>1</v>
      </c>
      <c r="K1946" s="2" t="s">
        <v>107</v>
      </c>
      <c r="L1946" s="2" t="s">
        <v>107</v>
      </c>
      <c r="M1946" s="3">
        <v>40308</v>
      </c>
      <c r="N1946" s="2"/>
      <c r="O1946" s="2"/>
      <c r="P1946" s="2"/>
      <c r="Q1946" s="2" t="str">
        <f>""</f>
        <v/>
      </c>
      <c r="R1946" s="2"/>
      <c r="S1946" s="2"/>
      <c r="T1946" s="2">
        <v>2</v>
      </c>
      <c r="U1946" s="2" t="s">
        <v>123</v>
      </c>
      <c r="V1946" s="2">
        <v>1</v>
      </c>
      <c r="W1946" s="2" t="s">
        <v>80</v>
      </c>
      <c r="X1946" s="2">
        <v>5</v>
      </c>
      <c r="Y1946" s="2" t="s">
        <v>82</v>
      </c>
      <c r="Z1946" s="2">
        <v>1</v>
      </c>
      <c r="AA1946" s="2" t="s">
        <v>82</v>
      </c>
      <c r="AB1946" s="2">
        <v>9</v>
      </c>
      <c r="AC1946" s="2" t="s">
        <v>124</v>
      </c>
      <c r="AD1946" s="3">
        <v>40304</v>
      </c>
      <c r="AE1946" s="4">
        <v>0.41666666666666669</v>
      </c>
      <c r="AF1946" s="2"/>
      <c r="AG1946" s="2"/>
      <c r="AH1946" s="2">
        <v>5</v>
      </c>
      <c r="AI1946" s="2" t="s">
        <v>274</v>
      </c>
      <c r="AJ1946" s="2">
        <v>40</v>
      </c>
      <c r="AK1946" s="2" t="s">
        <v>935</v>
      </c>
      <c r="AL1946" s="2">
        <v>12</v>
      </c>
      <c r="AM1946" s="2" t="s">
        <v>86</v>
      </c>
      <c r="AN1946" s="2" t="s">
        <v>6802</v>
      </c>
      <c r="AO1946" s="2" t="s">
        <v>6803</v>
      </c>
      <c r="AP1946" s="2">
        <v>11</v>
      </c>
      <c r="AQ1946" s="2" t="s">
        <v>82</v>
      </c>
      <c r="AR1946" s="2"/>
      <c r="AS1946" s="2"/>
      <c r="AT1946" s="2" t="s">
        <v>6804</v>
      </c>
      <c r="AU1946" s="2"/>
      <c r="AV1946" s="2"/>
      <c r="AW1946" s="2"/>
      <c r="AX1946" s="2"/>
      <c r="AY1946" s="2">
        <v>41</v>
      </c>
      <c r="AZ1946" s="2" t="s">
        <v>82</v>
      </c>
      <c r="BA1946" s="2">
        <v>41</v>
      </c>
      <c r="BB1946" s="2" t="s">
        <v>82</v>
      </c>
      <c r="BC1946" s="2">
        <v>41</v>
      </c>
      <c r="BD1946" s="2" t="s">
        <v>82</v>
      </c>
      <c r="BE1946" s="2">
        <v>41</v>
      </c>
      <c r="BF1946" s="2" t="s">
        <v>82</v>
      </c>
      <c r="BG1946" s="2"/>
      <c r="BH1946" s="2"/>
      <c r="BI1946" s="2"/>
      <c r="BJ1946" s="2">
        <v>241</v>
      </c>
      <c r="BK1946" s="2" t="s">
        <v>82</v>
      </c>
      <c r="BL1946" s="2"/>
      <c r="BM1946" s="2">
        <v>241</v>
      </c>
      <c r="BN1946" s="2" t="s">
        <v>82</v>
      </c>
      <c r="BO1946" s="2"/>
      <c r="BP1946" s="2">
        <v>241</v>
      </c>
      <c r="BQ1946" s="2" t="s">
        <v>82</v>
      </c>
      <c r="BR1946" s="2"/>
      <c r="BS1946" s="3">
        <v>40308</v>
      </c>
      <c r="BT1946" s="4">
        <v>0.91261574074074081</v>
      </c>
    </row>
    <row r="1947" spans="1:72" x14ac:dyDescent="0.25">
      <c r="A1947" s="2">
        <v>2812</v>
      </c>
      <c r="B1947" s="2">
        <v>2010</v>
      </c>
      <c r="C1947" s="2" t="s">
        <v>819</v>
      </c>
      <c r="D1947" s="2" t="s">
        <v>122</v>
      </c>
      <c r="E1947" s="2"/>
      <c r="F1947" s="2">
        <v>451</v>
      </c>
      <c r="G1947" s="2" t="s">
        <v>879</v>
      </c>
      <c r="H1947" s="2">
        <v>31</v>
      </c>
      <c r="I1947" s="2" t="s">
        <v>880</v>
      </c>
      <c r="J1947" s="2">
        <v>326</v>
      </c>
      <c r="K1947" s="2" t="s">
        <v>881</v>
      </c>
      <c r="L1947" s="2" t="s">
        <v>882</v>
      </c>
      <c r="M1947" s="3">
        <v>40308</v>
      </c>
      <c r="N1947" s="2" t="s">
        <v>1072</v>
      </c>
      <c r="O1947" s="2"/>
      <c r="P1947" s="2"/>
      <c r="Q1947" s="2" t="str">
        <f>"052/10"</f>
        <v>052/10</v>
      </c>
      <c r="R1947" s="2"/>
      <c r="S1947" s="2"/>
      <c r="T1947" s="2">
        <v>1</v>
      </c>
      <c r="U1947" s="2" t="s">
        <v>79</v>
      </c>
      <c r="V1947" s="2">
        <v>1</v>
      </c>
      <c r="W1947" s="2" t="s">
        <v>80</v>
      </c>
      <c r="X1947" s="2">
        <v>1</v>
      </c>
      <c r="Y1947" s="2" t="s">
        <v>81</v>
      </c>
      <c r="Z1947" s="2">
        <v>10</v>
      </c>
      <c r="AA1947" s="2" t="s">
        <v>236</v>
      </c>
      <c r="AB1947" s="2">
        <v>9</v>
      </c>
      <c r="AC1947" s="2" t="s">
        <v>124</v>
      </c>
      <c r="AD1947" s="3">
        <v>40308</v>
      </c>
      <c r="AE1947" s="4">
        <v>0.89583333333333337</v>
      </c>
      <c r="AF1947" s="2"/>
      <c r="AG1947" s="2"/>
      <c r="AH1947" s="2">
        <v>4</v>
      </c>
      <c r="AI1947" s="2" t="s">
        <v>125</v>
      </c>
      <c r="AJ1947" s="2">
        <v>29</v>
      </c>
      <c r="AK1947" s="2" t="s">
        <v>227</v>
      </c>
      <c r="AL1947" s="2">
        <v>16</v>
      </c>
      <c r="AM1947" s="2" t="s">
        <v>392</v>
      </c>
      <c r="AN1947" s="2" t="s">
        <v>1015</v>
      </c>
      <c r="AO1947" s="2"/>
      <c r="AP1947" s="2">
        <v>12</v>
      </c>
      <c r="AQ1947" s="2" t="s">
        <v>322</v>
      </c>
      <c r="AR1947" s="2" t="s">
        <v>824</v>
      </c>
      <c r="AS1947" s="2" t="s">
        <v>825</v>
      </c>
      <c r="AT1947" s="2" t="s">
        <v>6805</v>
      </c>
      <c r="AU1947" s="2"/>
      <c r="AV1947" s="2"/>
      <c r="AW1947" s="2"/>
      <c r="AX1947" s="2"/>
      <c r="AY1947" s="2">
        <v>41</v>
      </c>
      <c r="AZ1947" s="2" t="s">
        <v>82</v>
      </c>
      <c r="BA1947" s="2">
        <v>41</v>
      </c>
      <c r="BB1947" s="2" t="s">
        <v>82</v>
      </c>
      <c r="BC1947" s="2">
        <v>51</v>
      </c>
      <c r="BD1947" s="2" t="s">
        <v>827</v>
      </c>
      <c r="BE1947" s="2">
        <v>47</v>
      </c>
      <c r="BF1947" s="2" t="s">
        <v>167</v>
      </c>
      <c r="BG1947" s="2">
        <v>2459</v>
      </c>
      <c r="BH1947" s="4">
        <v>0.88194444444444453</v>
      </c>
      <c r="BI1947" s="4">
        <v>0.92361111111111116</v>
      </c>
      <c r="BJ1947" s="2">
        <v>13</v>
      </c>
      <c r="BK1947" s="2" t="s">
        <v>91</v>
      </c>
      <c r="BL1947" s="2" t="s">
        <v>828</v>
      </c>
      <c r="BM1947" s="2">
        <v>241</v>
      </c>
      <c r="BN1947" s="2" t="s">
        <v>82</v>
      </c>
      <c r="BO1947" s="2" t="s">
        <v>82</v>
      </c>
      <c r="BP1947" s="2">
        <v>13</v>
      </c>
      <c r="BQ1947" s="2" t="s">
        <v>91</v>
      </c>
      <c r="BR1947" s="2" t="s">
        <v>185</v>
      </c>
      <c r="BS1947" s="3">
        <v>40308</v>
      </c>
      <c r="BT1947" s="4">
        <v>0.99133101851851846</v>
      </c>
    </row>
    <row r="1948" spans="1:72" x14ac:dyDescent="0.25">
      <c r="A1948" s="2">
        <v>2814</v>
      </c>
      <c r="B1948" s="2">
        <v>2010</v>
      </c>
      <c r="C1948" s="2" t="s">
        <v>255</v>
      </c>
      <c r="D1948" s="2" t="s">
        <v>73</v>
      </c>
      <c r="E1948" s="2"/>
      <c r="F1948" s="2">
        <v>560</v>
      </c>
      <c r="G1948" s="2" t="s">
        <v>4082</v>
      </c>
      <c r="H1948" s="2">
        <v>22</v>
      </c>
      <c r="I1948" s="2" t="s">
        <v>75</v>
      </c>
      <c r="J1948" s="2">
        <v>253</v>
      </c>
      <c r="K1948" s="2" t="s">
        <v>2991</v>
      </c>
      <c r="L1948" s="2" t="s">
        <v>478</v>
      </c>
      <c r="M1948" s="3">
        <v>40309</v>
      </c>
      <c r="N1948" s="2" t="s">
        <v>6806</v>
      </c>
      <c r="O1948" s="2" t="s">
        <v>947</v>
      </c>
      <c r="P1948" s="2"/>
      <c r="Q1948" s="2" t="str">
        <f>"074-A/10"</f>
        <v>074-A/10</v>
      </c>
      <c r="R1948" s="2" t="s">
        <v>947</v>
      </c>
      <c r="S1948" s="2" t="s">
        <v>947</v>
      </c>
      <c r="T1948" s="2">
        <v>1</v>
      </c>
      <c r="U1948" s="2" t="s">
        <v>79</v>
      </c>
      <c r="V1948" s="2">
        <v>1</v>
      </c>
      <c r="W1948" s="2" t="s">
        <v>80</v>
      </c>
      <c r="X1948" s="2">
        <v>11</v>
      </c>
      <c r="Y1948" s="2" t="s">
        <v>1920</v>
      </c>
      <c r="Z1948" s="2">
        <v>1</v>
      </c>
      <c r="AA1948" s="2" t="s">
        <v>82</v>
      </c>
      <c r="AB1948" s="2">
        <v>9</v>
      </c>
      <c r="AC1948" s="2" t="s">
        <v>124</v>
      </c>
      <c r="AD1948" s="3">
        <v>40308</v>
      </c>
      <c r="AE1948" s="4">
        <v>0.64583333333333337</v>
      </c>
      <c r="AF1948" s="2"/>
      <c r="AG1948" s="2"/>
      <c r="AH1948" s="2">
        <v>2</v>
      </c>
      <c r="AI1948" s="2" t="s">
        <v>84</v>
      </c>
      <c r="AJ1948" s="2">
        <v>9</v>
      </c>
      <c r="AK1948" s="2" t="s">
        <v>103</v>
      </c>
      <c r="AL1948" s="2">
        <v>28</v>
      </c>
      <c r="AM1948" s="2" t="s">
        <v>5969</v>
      </c>
      <c r="AN1948" s="2"/>
      <c r="AO1948" s="2" t="s">
        <v>5705</v>
      </c>
      <c r="AP1948" s="2">
        <v>11</v>
      </c>
      <c r="AQ1948" s="2" t="s">
        <v>82</v>
      </c>
      <c r="AR1948" s="2"/>
      <c r="AS1948" s="2"/>
      <c r="AT1948" s="2" t="s">
        <v>6807</v>
      </c>
      <c r="AU1948" s="2"/>
      <c r="AV1948" s="2"/>
      <c r="AW1948" s="2"/>
      <c r="AX1948" s="2"/>
      <c r="AY1948" s="2">
        <v>1</v>
      </c>
      <c r="AZ1948" s="2" t="s">
        <v>107</v>
      </c>
      <c r="BA1948" s="2">
        <v>1</v>
      </c>
      <c r="BB1948" s="2" t="s">
        <v>107</v>
      </c>
      <c r="BC1948" s="2">
        <v>1</v>
      </c>
      <c r="BD1948" s="2" t="s">
        <v>107</v>
      </c>
      <c r="BE1948" s="2">
        <v>1</v>
      </c>
      <c r="BF1948" s="2" t="s">
        <v>107</v>
      </c>
      <c r="BG1948" s="2"/>
      <c r="BH1948" s="2"/>
      <c r="BI1948" s="2"/>
      <c r="BJ1948" s="2">
        <v>242</v>
      </c>
      <c r="BK1948" s="2" t="s">
        <v>107</v>
      </c>
      <c r="BL1948" s="2"/>
      <c r="BM1948" s="2">
        <v>242</v>
      </c>
      <c r="BN1948" s="2" t="s">
        <v>107</v>
      </c>
      <c r="BO1948" s="2"/>
      <c r="BP1948" s="2">
        <v>242</v>
      </c>
      <c r="BQ1948" s="2" t="s">
        <v>107</v>
      </c>
      <c r="BR1948" s="2"/>
      <c r="BS1948" s="3">
        <v>40309</v>
      </c>
      <c r="BT1948" s="4">
        <v>0.46363425925925927</v>
      </c>
    </row>
    <row r="1949" spans="1:72" x14ac:dyDescent="0.25">
      <c r="A1949" s="2">
        <v>2816</v>
      </c>
      <c r="B1949" s="2">
        <v>2010</v>
      </c>
      <c r="C1949" s="2" t="s">
        <v>4543</v>
      </c>
      <c r="D1949" s="2" t="s">
        <v>73</v>
      </c>
      <c r="E1949" s="2"/>
      <c r="F1949" s="2">
        <v>1</v>
      </c>
      <c r="G1949" s="2" t="s">
        <v>82</v>
      </c>
      <c r="H1949" s="2">
        <v>1</v>
      </c>
      <c r="I1949" s="2" t="s">
        <v>82</v>
      </c>
      <c r="J1949" s="2">
        <v>1</v>
      </c>
      <c r="K1949" s="2" t="s">
        <v>107</v>
      </c>
      <c r="L1949" s="2" t="s">
        <v>107</v>
      </c>
      <c r="M1949" s="3">
        <v>40309</v>
      </c>
      <c r="N1949" s="2"/>
      <c r="O1949" s="2"/>
      <c r="P1949" s="2"/>
      <c r="Q1949" s="2" t="str">
        <f>""</f>
        <v/>
      </c>
      <c r="R1949" s="2"/>
      <c r="S1949" s="2"/>
      <c r="T1949" s="2">
        <v>2</v>
      </c>
      <c r="U1949" s="2" t="s">
        <v>123</v>
      </c>
      <c r="V1949" s="2">
        <v>1</v>
      </c>
      <c r="W1949" s="2" t="s">
        <v>80</v>
      </c>
      <c r="X1949" s="2">
        <v>5</v>
      </c>
      <c r="Y1949" s="2" t="s">
        <v>82</v>
      </c>
      <c r="Z1949" s="2">
        <v>1</v>
      </c>
      <c r="AA1949" s="2" t="s">
        <v>82</v>
      </c>
      <c r="AB1949" s="2">
        <v>9</v>
      </c>
      <c r="AC1949" s="2" t="s">
        <v>124</v>
      </c>
      <c r="AD1949" s="2"/>
      <c r="AE1949" s="2"/>
      <c r="AF1949" s="3">
        <v>40309</v>
      </c>
      <c r="AG1949" s="4">
        <v>0.4861111111111111</v>
      </c>
      <c r="AH1949" s="2">
        <v>2</v>
      </c>
      <c r="AI1949" s="2" t="s">
        <v>84</v>
      </c>
      <c r="AJ1949" s="2">
        <v>11</v>
      </c>
      <c r="AK1949" s="2" t="s">
        <v>751</v>
      </c>
      <c r="AL1949" s="2">
        <v>18</v>
      </c>
      <c r="AM1949" s="2" t="s">
        <v>82</v>
      </c>
      <c r="AN1949" s="2" t="s">
        <v>6808</v>
      </c>
      <c r="AO1949" s="2"/>
      <c r="AP1949" s="2">
        <v>11</v>
      </c>
      <c r="AQ1949" s="2" t="s">
        <v>82</v>
      </c>
      <c r="AR1949" s="2"/>
      <c r="AS1949" s="2"/>
      <c r="AT1949" s="2" t="s">
        <v>6809</v>
      </c>
      <c r="AU1949" s="2"/>
      <c r="AV1949" s="2"/>
      <c r="AW1949" s="2"/>
      <c r="AX1949" s="2"/>
      <c r="AY1949" s="2">
        <v>1</v>
      </c>
      <c r="AZ1949" s="2" t="s">
        <v>107</v>
      </c>
      <c r="BA1949" s="2">
        <v>1</v>
      </c>
      <c r="BB1949" s="2" t="s">
        <v>107</v>
      </c>
      <c r="BC1949" s="2">
        <v>1</v>
      </c>
      <c r="BD1949" s="2" t="s">
        <v>107</v>
      </c>
      <c r="BE1949" s="2">
        <v>1</v>
      </c>
      <c r="BF1949" s="2" t="s">
        <v>107</v>
      </c>
      <c r="BG1949" s="2"/>
      <c r="BH1949" s="2"/>
      <c r="BI1949" s="2"/>
      <c r="BJ1949" s="2">
        <v>242</v>
      </c>
      <c r="BK1949" s="2" t="s">
        <v>107</v>
      </c>
      <c r="BL1949" s="2"/>
      <c r="BM1949" s="2">
        <v>242</v>
      </c>
      <c r="BN1949" s="2" t="s">
        <v>107</v>
      </c>
      <c r="BO1949" s="2"/>
      <c r="BP1949" s="2">
        <v>242</v>
      </c>
      <c r="BQ1949" s="2" t="s">
        <v>107</v>
      </c>
      <c r="BR1949" s="2"/>
      <c r="BS1949" s="3">
        <v>40309</v>
      </c>
      <c r="BT1949" s="4">
        <v>0.54021990740740744</v>
      </c>
    </row>
    <row r="1950" spans="1:72" x14ac:dyDescent="0.25">
      <c r="A1950" s="2">
        <v>2818</v>
      </c>
      <c r="B1950" s="2">
        <v>2010</v>
      </c>
      <c r="C1950" s="2" t="s">
        <v>72</v>
      </c>
      <c r="D1950" s="2" t="s">
        <v>73</v>
      </c>
      <c r="E1950" s="2" t="s">
        <v>6810</v>
      </c>
      <c r="F1950" s="2">
        <v>24</v>
      </c>
      <c r="G1950" s="2" t="s">
        <v>532</v>
      </c>
      <c r="H1950" s="2">
        <v>22</v>
      </c>
      <c r="I1950" s="2" t="s">
        <v>75</v>
      </c>
      <c r="J1950" s="2">
        <v>300</v>
      </c>
      <c r="K1950" s="2" t="s">
        <v>114</v>
      </c>
      <c r="L1950" s="2" t="s">
        <v>115</v>
      </c>
      <c r="M1950" s="3">
        <v>40309</v>
      </c>
      <c r="N1950" s="2"/>
      <c r="O1950" s="2"/>
      <c r="P1950" s="2"/>
      <c r="Q1950" s="2" t="str">
        <f>""</f>
        <v/>
      </c>
      <c r="R1950" s="2" t="s">
        <v>6811</v>
      </c>
      <c r="S1950" s="2"/>
      <c r="T1950" s="2">
        <v>1</v>
      </c>
      <c r="U1950" s="2" t="s">
        <v>79</v>
      </c>
      <c r="V1950" s="2">
        <v>1</v>
      </c>
      <c r="W1950" s="2" t="s">
        <v>80</v>
      </c>
      <c r="X1950" s="2">
        <v>1</v>
      </c>
      <c r="Y1950" s="2" t="s">
        <v>81</v>
      </c>
      <c r="Z1950" s="2">
        <v>1</v>
      </c>
      <c r="AA1950" s="2" t="s">
        <v>82</v>
      </c>
      <c r="AB1950" s="2">
        <v>6</v>
      </c>
      <c r="AC1950" s="2" t="s">
        <v>83</v>
      </c>
      <c r="AD1950" s="3">
        <v>40308</v>
      </c>
      <c r="AE1950" s="4">
        <v>0.69444444444444453</v>
      </c>
      <c r="AF1950" s="3">
        <v>40292</v>
      </c>
      <c r="AG1950" s="4">
        <v>0.80555555555555547</v>
      </c>
      <c r="AH1950" s="2">
        <v>2</v>
      </c>
      <c r="AI1950" s="2" t="s">
        <v>84</v>
      </c>
      <c r="AJ1950" s="2">
        <v>9</v>
      </c>
      <c r="AK1950" s="2" t="s">
        <v>103</v>
      </c>
      <c r="AL1950" s="2">
        <v>28</v>
      </c>
      <c r="AM1950" s="2" t="s">
        <v>5969</v>
      </c>
      <c r="AN1950" s="2"/>
      <c r="AO1950" s="2" t="s">
        <v>5705</v>
      </c>
      <c r="AP1950" s="2">
        <v>11</v>
      </c>
      <c r="AQ1950" s="2" t="s">
        <v>82</v>
      </c>
      <c r="AR1950" s="2"/>
      <c r="AS1950" s="2"/>
      <c r="AT1950" s="2" t="s">
        <v>6812</v>
      </c>
      <c r="AU1950" s="2">
        <v>3</v>
      </c>
      <c r="AV1950" s="2"/>
      <c r="AW1950" s="2"/>
      <c r="AX1950" s="2"/>
      <c r="AY1950" s="2">
        <v>41</v>
      </c>
      <c r="AZ1950" s="2" t="s">
        <v>82</v>
      </c>
      <c r="BA1950" s="2">
        <v>41</v>
      </c>
      <c r="BB1950" s="2" t="s">
        <v>82</v>
      </c>
      <c r="BC1950" s="2">
        <v>41</v>
      </c>
      <c r="BD1950" s="2" t="s">
        <v>82</v>
      </c>
      <c r="BE1950" s="2">
        <v>41</v>
      </c>
      <c r="BF1950" s="2" t="s">
        <v>82</v>
      </c>
      <c r="BG1950" s="2"/>
      <c r="BH1950" s="2"/>
      <c r="BI1950" s="2"/>
      <c r="BJ1950" s="2">
        <v>241</v>
      </c>
      <c r="BK1950" s="2" t="s">
        <v>82</v>
      </c>
      <c r="BL1950" s="2"/>
      <c r="BM1950" s="2">
        <v>241</v>
      </c>
      <c r="BN1950" s="2" t="s">
        <v>82</v>
      </c>
      <c r="BO1950" s="2"/>
      <c r="BP1950" s="2">
        <v>241</v>
      </c>
      <c r="BQ1950" s="2" t="s">
        <v>82</v>
      </c>
      <c r="BR1950" s="2"/>
      <c r="BS1950" s="3">
        <v>40309</v>
      </c>
      <c r="BT1950" s="4">
        <v>0.58744212962962961</v>
      </c>
    </row>
    <row r="1951" spans="1:72" x14ac:dyDescent="0.25">
      <c r="A1951" s="2">
        <v>2819</v>
      </c>
      <c r="B1951" s="2">
        <v>2010</v>
      </c>
      <c r="C1951" s="2" t="s">
        <v>171</v>
      </c>
      <c r="D1951" s="2" t="s">
        <v>73</v>
      </c>
      <c r="E1951" s="2"/>
      <c r="F1951" s="2">
        <v>96</v>
      </c>
      <c r="G1951" s="2" t="s">
        <v>324</v>
      </c>
      <c r="H1951" s="2">
        <v>22</v>
      </c>
      <c r="I1951" s="2" t="s">
        <v>75</v>
      </c>
      <c r="J1951" s="2">
        <v>119</v>
      </c>
      <c r="K1951" s="2" t="s">
        <v>325</v>
      </c>
      <c r="L1951" s="2" t="s">
        <v>326</v>
      </c>
      <c r="M1951" s="3">
        <v>40309</v>
      </c>
      <c r="N1951" s="2" t="s">
        <v>811</v>
      </c>
      <c r="O1951" s="2" t="s">
        <v>6813</v>
      </c>
      <c r="P1951" s="2" t="s">
        <v>203</v>
      </c>
      <c r="Q1951" s="2" t="str">
        <f>"CAUSA N 12"</f>
        <v>CAUSA N 12</v>
      </c>
      <c r="R1951" s="2" t="s">
        <v>6814</v>
      </c>
      <c r="S1951" s="2" t="s">
        <v>6815</v>
      </c>
      <c r="T1951" s="2">
        <v>1</v>
      </c>
      <c r="U1951" s="2" t="s">
        <v>79</v>
      </c>
      <c r="V1951" s="2">
        <v>1</v>
      </c>
      <c r="W1951" s="2" t="s">
        <v>80</v>
      </c>
      <c r="X1951" s="2">
        <v>1</v>
      </c>
      <c r="Y1951" s="2" t="s">
        <v>81</v>
      </c>
      <c r="Z1951" s="2">
        <v>1</v>
      </c>
      <c r="AA1951" s="2" t="s">
        <v>82</v>
      </c>
      <c r="AB1951" s="2">
        <v>1</v>
      </c>
      <c r="AC1951" s="2" t="s">
        <v>178</v>
      </c>
      <c r="AD1951" s="3">
        <v>40309</v>
      </c>
      <c r="AE1951" s="4">
        <v>0.4375</v>
      </c>
      <c r="AF1951" s="2"/>
      <c r="AG1951" s="2"/>
      <c r="AH1951" s="2">
        <v>6</v>
      </c>
      <c r="AI1951" s="2" t="s">
        <v>197</v>
      </c>
      <c r="AJ1951" s="2">
        <v>50</v>
      </c>
      <c r="AK1951" s="2" t="s">
        <v>330</v>
      </c>
      <c r="AL1951" s="2">
        <v>11</v>
      </c>
      <c r="AM1951" s="2" t="s">
        <v>137</v>
      </c>
      <c r="AN1951" s="2" t="s">
        <v>2761</v>
      </c>
      <c r="AO1951" s="2" t="s">
        <v>82</v>
      </c>
      <c r="AP1951" s="2">
        <v>11</v>
      </c>
      <c r="AQ1951" s="2" t="s">
        <v>82</v>
      </c>
      <c r="AR1951" s="2" t="s">
        <v>82</v>
      </c>
      <c r="AS1951" s="2" t="s">
        <v>82</v>
      </c>
      <c r="AT1951" s="2" t="s">
        <v>6816</v>
      </c>
      <c r="AU1951" s="2"/>
      <c r="AV1951" s="2"/>
      <c r="AW1951" s="2"/>
      <c r="AX1951" s="2"/>
      <c r="AY1951" s="2">
        <v>41</v>
      </c>
      <c r="AZ1951" s="2" t="s">
        <v>82</v>
      </c>
      <c r="BA1951" s="2">
        <v>41</v>
      </c>
      <c r="BB1951" s="2" t="s">
        <v>82</v>
      </c>
      <c r="BC1951" s="2">
        <v>41</v>
      </c>
      <c r="BD1951" s="2" t="s">
        <v>82</v>
      </c>
      <c r="BE1951" s="2">
        <v>13</v>
      </c>
      <c r="BF1951" s="2" t="s">
        <v>108</v>
      </c>
      <c r="BG1951" s="2">
        <v>2692</v>
      </c>
      <c r="BH1951" s="4">
        <v>0.43055555555555558</v>
      </c>
      <c r="BI1951" s="4">
        <v>0.46527777777777773</v>
      </c>
      <c r="BJ1951" s="2">
        <v>13</v>
      </c>
      <c r="BK1951" s="2" t="s">
        <v>91</v>
      </c>
      <c r="BL1951" s="2" t="s">
        <v>6817</v>
      </c>
      <c r="BM1951" s="2">
        <v>241</v>
      </c>
      <c r="BN1951" s="2" t="s">
        <v>82</v>
      </c>
      <c r="BO1951" s="2" t="s">
        <v>332</v>
      </c>
      <c r="BP1951" s="2">
        <v>13</v>
      </c>
      <c r="BQ1951" s="2" t="s">
        <v>91</v>
      </c>
      <c r="BR1951" s="2" t="s">
        <v>204</v>
      </c>
      <c r="BS1951" s="3">
        <v>40309</v>
      </c>
      <c r="BT1951" s="4">
        <v>0.62289351851851849</v>
      </c>
    </row>
    <row r="1952" spans="1:72" x14ac:dyDescent="0.25">
      <c r="A1952" s="2">
        <v>2820</v>
      </c>
      <c r="B1952" s="2">
        <v>2010</v>
      </c>
      <c r="C1952" s="2" t="s">
        <v>806</v>
      </c>
      <c r="D1952" s="2" t="s">
        <v>73</v>
      </c>
      <c r="E1952" s="2"/>
      <c r="F1952" s="2">
        <v>615</v>
      </c>
      <c r="G1952" s="2" t="s">
        <v>6818</v>
      </c>
      <c r="H1952" s="2">
        <v>104</v>
      </c>
      <c r="I1952" s="2" t="s">
        <v>6819</v>
      </c>
      <c r="J1952" s="2">
        <v>537</v>
      </c>
      <c r="K1952" s="2" t="s">
        <v>6183</v>
      </c>
      <c r="L1952" s="2" t="s">
        <v>6184</v>
      </c>
      <c r="M1952" s="3">
        <v>40309</v>
      </c>
      <c r="N1952" s="2" t="s">
        <v>6820</v>
      </c>
      <c r="O1952" s="2" t="s">
        <v>6821</v>
      </c>
      <c r="P1952" s="2" t="s">
        <v>6822</v>
      </c>
      <c r="Q1952" s="2" t="str">
        <f>"S/D"</f>
        <v>S/D</v>
      </c>
      <c r="R1952" s="2" t="s">
        <v>107</v>
      </c>
      <c r="S1952" s="2" t="s">
        <v>107</v>
      </c>
      <c r="T1952" s="2">
        <v>1</v>
      </c>
      <c r="U1952" s="2" t="s">
        <v>79</v>
      </c>
      <c r="V1952" s="2">
        <v>1</v>
      </c>
      <c r="W1952" s="2" t="s">
        <v>80</v>
      </c>
      <c r="X1952" s="2">
        <v>9</v>
      </c>
      <c r="Y1952" s="2" t="s">
        <v>3393</v>
      </c>
      <c r="Z1952" s="2">
        <v>1</v>
      </c>
      <c r="AA1952" s="2" t="s">
        <v>82</v>
      </c>
      <c r="AB1952" s="2">
        <v>9</v>
      </c>
      <c r="AC1952" s="2" t="s">
        <v>124</v>
      </c>
      <c r="AD1952" s="3">
        <v>40309</v>
      </c>
      <c r="AE1952" s="4">
        <v>0.4236111111111111</v>
      </c>
      <c r="AF1952" s="2"/>
      <c r="AG1952" s="2"/>
      <c r="AH1952" s="2">
        <v>7</v>
      </c>
      <c r="AI1952" s="2" t="s">
        <v>801</v>
      </c>
      <c r="AJ1952" s="2">
        <v>3</v>
      </c>
      <c r="AK1952" s="2" t="s">
        <v>802</v>
      </c>
      <c r="AL1952" s="2">
        <v>23</v>
      </c>
      <c r="AM1952" s="2" t="s">
        <v>251</v>
      </c>
      <c r="AN1952" s="2" t="s">
        <v>107</v>
      </c>
      <c r="AO1952" s="2" t="s">
        <v>6823</v>
      </c>
      <c r="AP1952" s="2">
        <v>11</v>
      </c>
      <c r="AQ1952" s="2" t="s">
        <v>82</v>
      </c>
      <c r="AR1952" s="2" t="s">
        <v>107</v>
      </c>
      <c r="AS1952" s="2" t="s">
        <v>107</v>
      </c>
      <c r="AT1952" s="2" t="s">
        <v>6824</v>
      </c>
      <c r="AU1952" s="2">
        <v>1</v>
      </c>
      <c r="AV1952" s="2"/>
      <c r="AW1952" s="2"/>
      <c r="AX1952" s="2"/>
      <c r="AY1952" s="2">
        <v>1</v>
      </c>
      <c r="AZ1952" s="2" t="s">
        <v>107</v>
      </c>
      <c r="BA1952" s="2">
        <v>1</v>
      </c>
      <c r="BB1952" s="2" t="s">
        <v>107</v>
      </c>
      <c r="BC1952" s="2">
        <v>1</v>
      </c>
      <c r="BD1952" s="2" t="s">
        <v>107</v>
      </c>
      <c r="BE1952" s="2">
        <v>1</v>
      </c>
      <c r="BF1952" s="2" t="s">
        <v>107</v>
      </c>
      <c r="BG1952" s="2" t="s">
        <v>107</v>
      </c>
      <c r="BH1952" s="2"/>
      <c r="BI1952" s="2"/>
      <c r="BJ1952" s="2">
        <v>242</v>
      </c>
      <c r="BK1952" s="2" t="s">
        <v>107</v>
      </c>
      <c r="BL1952" s="2" t="s">
        <v>107</v>
      </c>
      <c r="BM1952" s="2">
        <v>242</v>
      </c>
      <c r="BN1952" s="2" t="s">
        <v>107</v>
      </c>
      <c r="BO1952" s="2" t="s">
        <v>107</v>
      </c>
      <c r="BP1952" s="2">
        <v>242</v>
      </c>
      <c r="BQ1952" s="2" t="s">
        <v>107</v>
      </c>
      <c r="BR1952" s="2" t="s">
        <v>107</v>
      </c>
      <c r="BS1952" s="3">
        <v>40309</v>
      </c>
      <c r="BT1952" s="4">
        <v>0.64678240740740744</v>
      </c>
    </row>
    <row r="1953" spans="1:72" x14ac:dyDescent="0.25">
      <c r="A1953" s="2">
        <v>2822</v>
      </c>
      <c r="B1953" s="2">
        <v>2010</v>
      </c>
      <c r="C1953" s="2" t="s">
        <v>764</v>
      </c>
      <c r="D1953" s="2" t="s">
        <v>73</v>
      </c>
      <c r="E1953" s="2"/>
      <c r="F1953" s="2">
        <v>444</v>
      </c>
      <c r="G1953" s="2" t="s">
        <v>3595</v>
      </c>
      <c r="H1953" s="2">
        <v>31</v>
      </c>
      <c r="I1953" s="2" t="s">
        <v>880</v>
      </c>
      <c r="J1953" s="2">
        <v>318</v>
      </c>
      <c r="K1953" s="2" t="s">
        <v>635</v>
      </c>
      <c r="L1953" s="2" t="s">
        <v>636</v>
      </c>
      <c r="M1953" s="3">
        <v>40309</v>
      </c>
      <c r="N1953" s="2" t="s">
        <v>3596</v>
      </c>
      <c r="O1953" s="2"/>
      <c r="P1953" s="2"/>
      <c r="Q1953" s="2" t="str">
        <f>"0007/10 PSA"</f>
        <v>0007/10 PSA</v>
      </c>
      <c r="R1953" s="2" t="s">
        <v>6825</v>
      </c>
      <c r="S1953" s="2"/>
      <c r="T1953" s="2">
        <v>1</v>
      </c>
      <c r="U1953" s="2" t="s">
        <v>79</v>
      </c>
      <c r="V1953" s="2">
        <v>1</v>
      </c>
      <c r="W1953" s="2" t="s">
        <v>80</v>
      </c>
      <c r="X1953" s="2">
        <v>1</v>
      </c>
      <c r="Y1953" s="2" t="s">
        <v>81</v>
      </c>
      <c r="Z1953" s="2">
        <v>1</v>
      </c>
      <c r="AA1953" s="2" t="s">
        <v>82</v>
      </c>
      <c r="AB1953" s="2">
        <v>9</v>
      </c>
      <c r="AC1953" s="2" t="s">
        <v>124</v>
      </c>
      <c r="AD1953" s="3">
        <v>40309</v>
      </c>
      <c r="AE1953" s="4">
        <v>0.44444444444444442</v>
      </c>
      <c r="AF1953" s="2"/>
      <c r="AG1953" s="2"/>
      <c r="AH1953" s="2">
        <v>4</v>
      </c>
      <c r="AI1953" s="2" t="s">
        <v>125</v>
      </c>
      <c r="AJ1953" s="2">
        <v>30</v>
      </c>
      <c r="AK1953" s="2" t="s">
        <v>258</v>
      </c>
      <c r="AL1953" s="2">
        <v>9</v>
      </c>
      <c r="AM1953" s="2" t="s">
        <v>259</v>
      </c>
      <c r="AN1953" s="2" t="s">
        <v>6826</v>
      </c>
      <c r="AO1953" s="2" t="s">
        <v>6827</v>
      </c>
      <c r="AP1953" s="2">
        <v>11</v>
      </c>
      <c r="AQ1953" s="2" t="s">
        <v>82</v>
      </c>
      <c r="AR1953" s="2"/>
      <c r="AS1953" s="2"/>
      <c r="AT1953" s="2" t="s">
        <v>6828</v>
      </c>
      <c r="AU1953" s="2"/>
      <c r="AV1953" s="2"/>
      <c r="AW1953" s="2"/>
      <c r="AX1953" s="2"/>
      <c r="AY1953" s="2">
        <v>41</v>
      </c>
      <c r="AZ1953" s="2" t="s">
        <v>82</v>
      </c>
      <c r="BA1953" s="2">
        <v>41</v>
      </c>
      <c r="BB1953" s="2" t="s">
        <v>82</v>
      </c>
      <c r="BC1953" s="2">
        <v>41</v>
      </c>
      <c r="BD1953" s="2" t="s">
        <v>82</v>
      </c>
      <c r="BE1953" s="2">
        <v>1</v>
      </c>
      <c r="BF1953" s="2" t="s">
        <v>107</v>
      </c>
      <c r="BG1953" s="2"/>
      <c r="BH1953" s="2"/>
      <c r="BI1953" s="2"/>
      <c r="BJ1953" s="2">
        <v>242</v>
      </c>
      <c r="BK1953" s="2" t="s">
        <v>107</v>
      </c>
      <c r="BL1953" s="2"/>
      <c r="BM1953" s="2">
        <v>242</v>
      </c>
      <c r="BN1953" s="2" t="s">
        <v>107</v>
      </c>
      <c r="BO1953" s="2"/>
      <c r="BP1953" s="2">
        <v>242</v>
      </c>
      <c r="BQ1953" s="2" t="s">
        <v>107</v>
      </c>
      <c r="BR1953" s="2"/>
      <c r="BS1953" s="3">
        <v>40309</v>
      </c>
      <c r="BT1953" s="4">
        <v>0.68317129629629625</v>
      </c>
    </row>
    <row r="1954" spans="1:72" x14ac:dyDescent="0.25">
      <c r="A1954" s="2">
        <v>2823</v>
      </c>
      <c r="B1954" s="2">
        <v>2010</v>
      </c>
      <c r="C1954" s="2" t="s">
        <v>2219</v>
      </c>
      <c r="D1954" s="2" t="s">
        <v>73</v>
      </c>
      <c r="E1954" s="2"/>
      <c r="F1954" s="2">
        <v>9</v>
      </c>
      <c r="G1954" s="2" t="s">
        <v>364</v>
      </c>
      <c r="H1954" s="2">
        <v>44</v>
      </c>
      <c r="I1954" s="2" t="s">
        <v>1272</v>
      </c>
      <c r="J1954" s="2">
        <v>18</v>
      </c>
      <c r="K1954" s="2" t="s">
        <v>365</v>
      </c>
      <c r="L1954" s="2" t="s">
        <v>115</v>
      </c>
      <c r="M1954" s="3">
        <v>40309</v>
      </c>
      <c r="N1954" s="2" t="s">
        <v>423</v>
      </c>
      <c r="O1954" s="2" t="s">
        <v>3910</v>
      </c>
      <c r="P1954" s="2" t="s">
        <v>3911</v>
      </c>
      <c r="Q1954" s="2" t="str">
        <f>""</f>
        <v/>
      </c>
      <c r="R1954" s="2"/>
      <c r="S1954" s="2"/>
      <c r="T1954" s="2">
        <v>1</v>
      </c>
      <c r="U1954" s="2" t="s">
        <v>79</v>
      </c>
      <c r="V1954" s="2">
        <v>3</v>
      </c>
      <c r="W1954" s="2" t="s">
        <v>225</v>
      </c>
      <c r="X1954" s="2">
        <v>5</v>
      </c>
      <c r="Y1954" s="2" t="s">
        <v>82</v>
      </c>
      <c r="Z1954" s="2">
        <v>1</v>
      </c>
      <c r="AA1954" s="2" t="s">
        <v>82</v>
      </c>
      <c r="AB1954" s="2">
        <v>9</v>
      </c>
      <c r="AC1954" s="2" t="s">
        <v>124</v>
      </c>
      <c r="AD1954" s="3">
        <v>40309</v>
      </c>
      <c r="AE1954" s="4">
        <v>0.625</v>
      </c>
      <c r="AF1954" s="2"/>
      <c r="AG1954" s="2"/>
      <c r="AH1954" s="2">
        <v>3</v>
      </c>
      <c r="AI1954" s="2" t="s">
        <v>214</v>
      </c>
      <c r="AJ1954" s="2">
        <v>13</v>
      </c>
      <c r="AK1954" s="2" t="s">
        <v>214</v>
      </c>
      <c r="AL1954" s="2">
        <v>19</v>
      </c>
      <c r="AM1954" s="2" t="s">
        <v>107</v>
      </c>
      <c r="AN1954" s="2"/>
      <c r="AO1954" s="2"/>
      <c r="AP1954" s="2">
        <v>11</v>
      </c>
      <c r="AQ1954" s="2" t="s">
        <v>82</v>
      </c>
      <c r="AR1954" s="2"/>
      <c r="AS1954" s="2"/>
      <c r="AT1954" s="2" t="s">
        <v>6829</v>
      </c>
      <c r="AU1954" s="2"/>
      <c r="AV1954" s="2"/>
      <c r="AW1954" s="2"/>
      <c r="AX1954" s="2"/>
      <c r="AY1954" s="2">
        <v>1</v>
      </c>
      <c r="AZ1954" s="2" t="s">
        <v>107</v>
      </c>
      <c r="BA1954" s="2">
        <v>1</v>
      </c>
      <c r="BB1954" s="2" t="s">
        <v>107</v>
      </c>
      <c r="BC1954" s="2">
        <v>1</v>
      </c>
      <c r="BD1954" s="2" t="s">
        <v>107</v>
      </c>
      <c r="BE1954" s="2">
        <v>1</v>
      </c>
      <c r="BF1954" s="2" t="s">
        <v>107</v>
      </c>
      <c r="BG1954" s="2"/>
      <c r="BH1954" s="2"/>
      <c r="BI1954" s="2"/>
      <c r="BJ1954" s="2">
        <v>242</v>
      </c>
      <c r="BK1954" s="2" t="s">
        <v>107</v>
      </c>
      <c r="BL1954" s="2"/>
      <c r="BM1954" s="2">
        <v>242</v>
      </c>
      <c r="BN1954" s="2" t="s">
        <v>107</v>
      </c>
      <c r="BO1954" s="2"/>
      <c r="BP1954" s="2">
        <v>242</v>
      </c>
      <c r="BQ1954" s="2" t="s">
        <v>107</v>
      </c>
      <c r="BR1954" s="2"/>
      <c r="BS1954" s="3">
        <v>40309</v>
      </c>
      <c r="BT1954" s="4">
        <v>0.7063194444444445</v>
      </c>
    </row>
    <row r="1955" spans="1:72" x14ac:dyDescent="0.25">
      <c r="A1955" s="2">
        <v>2824</v>
      </c>
      <c r="B1955" s="2">
        <v>2010</v>
      </c>
      <c r="C1955" s="2" t="s">
        <v>93</v>
      </c>
      <c r="D1955" s="2" t="s">
        <v>73</v>
      </c>
      <c r="E1955" s="2"/>
      <c r="F1955" s="2">
        <v>144</v>
      </c>
      <c r="G1955" s="2" t="s">
        <v>537</v>
      </c>
      <c r="H1955" s="2">
        <v>22</v>
      </c>
      <c r="I1955" s="2" t="s">
        <v>75</v>
      </c>
      <c r="J1955" s="2">
        <v>160</v>
      </c>
      <c r="K1955" s="2" t="s">
        <v>538</v>
      </c>
      <c r="L1955" s="2" t="s">
        <v>539</v>
      </c>
      <c r="M1955" s="3">
        <v>40309</v>
      </c>
      <c r="N1955" s="2" t="s">
        <v>6830</v>
      </c>
      <c r="O1955" s="2" t="s">
        <v>6831</v>
      </c>
      <c r="P1955" s="2">
        <v>9343</v>
      </c>
      <c r="Q1955" s="2" t="str">
        <f>"0003/2010"</f>
        <v>0003/2010</v>
      </c>
      <c r="R1955" s="2" t="s">
        <v>82</v>
      </c>
      <c r="S1955" s="2" t="s">
        <v>6832</v>
      </c>
      <c r="T1955" s="2">
        <v>1</v>
      </c>
      <c r="U1955" s="2" t="s">
        <v>79</v>
      </c>
      <c r="V1955" s="2">
        <v>1</v>
      </c>
      <c r="W1955" s="2" t="s">
        <v>80</v>
      </c>
      <c r="X1955" s="2">
        <v>1</v>
      </c>
      <c r="Y1955" s="2" t="s">
        <v>81</v>
      </c>
      <c r="Z1955" s="2">
        <v>1</v>
      </c>
      <c r="AA1955" s="2" t="s">
        <v>82</v>
      </c>
      <c r="AB1955" s="2">
        <v>2</v>
      </c>
      <c r="AC1955" s="2" t="s">
        <v>102</v>
      </c>
      <c r="AD1955" s="3">
        <v>40309</v>
      </c>
      <c r="AE1955" s="4">
        <v>0.57291666666666663</v>
      </c>
      <c r="AF1955" s="2"/>
      <c r="AG1955" s="2"/>
      <c r="AH1955" s="2">
        <v>6</v>
      </c>
      <c r="AI1955" s="2" t="s">
        <v>197</v>
      </c>
      <c r="AJ1955" s="2">
        <v>58</v>
      </c>
      <c r="AK1955" s="2" t="s">
        <v>406</v>
      </c>
      <c r="AL1955" s="2">
        <v>11</v>
      </c>
      <c r="AM1955" s="2" t="s">
        <v>137</v>
      </c>
      <c r="AN1955" s="2"/>
      <c r="AO1955" s="2" t="s">
        <v>1971</v>
      </c>
      <c r="AP1955" s="2">
        <v>11</v>
      </c>
      <c r="AQ1955" s="2" t="s">
        <v>82</v>
      </c>
      <c r="AR1955" s="2" t="s">
        <v>82</v>
      </c>
      <c r="AS1955" s="2" t="s">
        <v>82</v>
      </c>
      <c r="AT1955" s="2" t="s">
        <v>6833</v>
      </c>
      <c r="AU1955" s="2"/>
      <c r="AV1955" s="2"/>
      <c r="AW1955" s="2"/>
      <c r="AX1955" s="2"/>
      <c r="AY1955" s="2">
        <v>41</v>
      </c>
      <c r="AZ1955" s="2" t="s">
        <v>82</v>
      </c>
      <c r="BA1955" s="2">
        <v>41</v>
      </c>
      <c r="BB1955" s="2" t="s">
        <v>82</v>
      </c>
      <c r="BC1955" s="2">
        <v>41</v>
      </c>
      <c r="BD1955" s="2" t="s">
        <v>82</v>
      </c>
      <c r="BE1955" s="2">
        <v>13</v>
      </c>
      <c r="BF1955" s="2" t="s">
        <v>108</v>
      </c>
      <c r="BG1955" s="2">
        <v>1880</v>
      </c>
      <c r="BH1955" s="4">
        <v>0.55208333333333337</v>
      </c>
      <c r="BI1955" s="4">
        <v>0.58333333333333337</v>
      </c>
      <c r="BJ1955" s="2">
        <v>13</v>
      </c>
      <c r="BK1955" s="2" t="s">
        <v>91</v>
      </c>
      <c r="BL1955" s="2" t="s">
        <v>185</v>
      </c>
      <c r="BM1955" s="2">
        <v>13</v>
      </c>
      <c r="BN1955" s="2" t="s">
        <v>91</v>
      </c>
      <c r="BO1955" s="2" t="s">
        <v>492</v>
      </c>
      <c r="BP1955" s="2">
        <v>13</v>
      </c>
      <c r="BQ1955" s="2" t="s">
        <v>91</v>
      </c>
      <c r="BR1955" s="2" t="s">
        <v>895</v>
      </c>
      <c r="BS1955" s="3">
        <v>40309</v>
      </c>
      <c r="BT1955" s="4">
        <v>0.71787037037037038</v>
      </c>
    </row>
    <row r="1956" spans="1:72" x14ac:dyDescent="0.25">
      <c r="A1956" s="2">
        <v>2825</v>
      </c>
      <c r="B1956" s="2">
        <v>2010</v>
      </c>
      <c r="C1956" s="2" t="s">
        <v>4543</v>
      </c>
      <c r="D1956" s="2" t="s">
        <v>122</v>
      </c>
      <c r="E1956" s="2"/>
      <c r="F1956" s="2">
        <v>385</v>
      </c>
      <c r="G1956" s="2" t="s">
        <v>990</v>
      </c>
      <c r="H1956" s="2">
        <v>3</v>
      </c>
      <c r="I1956" s="2" t="s">
        <v>315</v>
      </c>
      <c r="J1956" s="2">
        <v>332</v>
      </c>
      <c r="K1956" s="2" t="s">
        <v>913</v>
      </c>
      <c r="L1956" s="2" t="s">
        <v>914</v>
      </c>
      <c r="M1956" s="3">
        <v>40309</v>
      </c>
      <c r="N1956" s="2"/>
      <c r="O1956" s="2" t="s">
        <v>6834</v>
      </c>
      <c r="P1956" s="2"/>
      <c r="Q1956" s="2" t="str">
        <f>"0002"</f>
        <v>0002</v>
      </c>
      <c r="R1956" s="2"/>
      <c r="S1956" s="2"/>
      <c r="T1956" s="2">
        <v>2</v>
      </c>
      <c r="U1956" s="2" t="s">
        <v>123</v>
      </c>
      <c r="V1956" s="2">
        <v>1</v>
      </c>
      <c r="W1956" s="2" t="s">
        <v>80</v>
      </c>
      <c r="X1956" s="2">
        <v>5</v>
      </c>
      <c r="Y1956" s="2" t="s">
        <v>82</v>
      </c>
      <c r="Z1956" s="2">
        <v>1</v>
      </c>
      <c r="AA1956" s="2" t="s">
        <v>82</v>
      </c>
      <c r="AB1956" s="2">
        <v>9</v>
      </c>
      <c r="AC1956" s="2" t="s">
        <v>124</v>
      </c>
      <c r="AD1956" s="2"/>
      <c r="AE1956" s="2"/>
      <c r="AF1956" s="2"/>
      <c r="AG1956" s="2"/>
      <c r="AH1956" s="2">
        <v>5</v>
      </c>
      <c r="AI1956" s="2" t="s">
        <v>274</v>
      </c>
      <c r="AJ1956" s="2">
        <v>43</v>
      </c>
      <c r="AK1956" s="2" t="s">
        <v>918</v>
      </c>
      <c r="AL1956" s="2">
        <v>18</v>
      </c>
      <c r="AM1956" s="2" t="s">
        <v>82</v>
      </c>
      <c r="AN1956" s="2"/>
      <c r="AO1956" s="2"/>
      <c r="AP1956" s="2">
        <v>11</v>
      </c>
      <c r="AQ1956" s="2" t="s">
        <v>82</v>
      </c>
      <c r="AR1956" s="2"/>
      <c r="AS1956" s="2"/>
      <c r="AT1956" s="2" t="s">
        <v>6835</v>
      </c>
      <c r="AU1956" s="2"/>
      <c r="AV1956" s="2"/>
      <c r="AW1956" s="2"/>
      <c r="AX1956" s="2"/>
      <c r="AY1956" s="2">
        <v>1</v>
      </c>
      <c r="AZ1956" s="2" t="s">
        <v>107</v>
      </c>
      <c r="BA1956" s="2">
        <v>1</v>
      </c>
      <c r="BB1956" s="2" t="s">
        <v>107</v>
      </c>
      <c r="BC1956" s="2">
        <v>1</v>
      </c>
      <c r="BD1956" s="2" t="s">
        <v>107</v>
      </c>
      <c r="BE1956" s="2">
        <v>1</v>
      </c>
      <c r="BF1956" s="2" t="s">
        <v>107</v>
      </c>
      <c r="BG1956" s="2"/>
      <c r="BH1956" s="2"/>
      <c r="BI1956" s="2"/>
      <c r="BJ1956" s="2">
        <v>242</v>
      </c>
      <c r="BK1956" s="2" t="s">
        <v>107</v>
      </c>
      <c r="BL1956" s="2"/>
      <c r="BM1956" s="2">
        <v>242</v>
      </c>
      <c r="BN1956" s="2" t="s">
        <v>107</v>
      </c>
      <c r="BO1956" s="2"/>
      <c r="BP1956" s="2">
        <v>242</v>
      </c>
      <c r="BQ1956" s="2" t="s">
        <v>107</v>
      </c>
      <c r="BR1956" s="2"/>
      <c r="BS1956" s="3">
        <v>40309</v>
      </c>
      <c r="BT1956" s="4">
        <v>0.72076388888888887</v>
      </c>
    </row>
    <row r="1957" spans="1:72" x14ac:dyDescent="0.25">
      <c r="A1957" s="2">
        <v>2827</v>
      </c>
      <c r="B1957" s="2">
        <v>2010</v>
      </c>
      <c r="C1957" s="2" t="s">
        <v>2754</v>
      </c>
      <c r="D1957" s="2" t="s">
        <v>122</v>
      </c>
      <c r="E1957" s="2" t="s">
        <v>6836</v>
      </c>
      <c r="F1957" s="2">
        <v>20</v>
      </c>
      <c r="G1957" s="2" t="s">
        <v>2532</v>
      </c>
      <c r="H1957" s="2">
        <v>44</v>
      </c>
      <c r="I1957" s="2" t="s">
        <v>1272</v>
      </c>
      <c r="J1957" s="2">
        <v>29</v>
      </c>
      <c r="K1957" s="2" t="s">
        <v>2533</v>
      </c>
      <c r="L1957" s="2" t="s">
        <v>2534</v>
      </c>
      <c r="M1957" s="3">
        <v>40309</v>
      </c>
      <c r="N1957" s="2" t="s">
        <v>6719</v>
      </c>
      <c r="O1957" s="2"/>
      <c r="P1957" s="2"/>
      <c r="Q1957" s="2" t="str">
        <f>"0003/10"</f>
        <v>0003/10</v>
      </c>
      <c r="R1957" s="2"/>
      <c r="S1957" s="2"/>
      <c r="T1957" s="2">
        <v>1</v>
      </c>
      <c r="U1957" s="2" t="s">
        <v>79</v>
      </c>
      <c r="V1957" s="2">
        <v>1</v>
      </c>
      <c r="W1957" s="2" t="s">
        <v>80</v>
      </c>
      <c r="X1957" s="2">
        <v>1</v>
      </c>
      <c r="Y1957" s="2" t="s">
        <v>81</v>
      </c>
      <c r="Z1957" s="2">
        <v>1</v>
      </c>
      <c r="AA1957" s="2" t="s">
        <v>82</v>
      </c>
      <c r="AB1957" s="2">
        <v>8</v>
      </c>
      <c r="AC1957" s="2" t="s">
        <v>2760</v>
      </c>
      <c r="AD1957" s="3">
        <v>40305</v>
      </c>
      <c r="AE1957" s="4">
        <v>0.58333333333333337</v>
      </c>
      <c r="AF1957" s="2"/>
      <c r="AG1957" s="2"/>
      <c r="AH1957" s="2">
        <v>4</v>
      </c>
      <c r="AI1957" s="2" t="s">
        <v>125</v>
      </c>
      <c r="AJ1957" s="2">
        <v>33</v>
      </c>
      <c r="AK1957" s="2" t="s">
        <v>126</v>
      </c>
      <c r="AL1957" s="2">
        <v>11</v>
      </c>
      <c r="AM1957" s="2" t="s">
        <v>137</v>
      </c>
      <c r="AN1957" s="2"/>
      <c r="AO1957" s="2"/>
      <c r="AP1957" s="2">
        <v>11</v>
      </c>
      <c r="AQ1957" s="2" t="s">
        <v>82</v>
      </c>
      <c r="AR1957" s="2"/>
      <c r="AS1957" s="2"/>
      <c r="AT1957" s="2" t="s">
        <v>6837</v>
      </c>
      <c r="AU1957" s="2"/>
      <c r="AV1957" s="2"/>
      <c r="AW1957" s="2"/>
      <c r="AX1957" s="2"/>
      <c r="AY1957" s="2">
        <v>41</v>
      </c>
      <c r="AZ1957" s="2" t="s">
        <v>82</v>
      </c>
      <c r="BA1957" s="2">
        <v>41</v>
      </c>
      <c r="BB1957" s="2" t="s">
        <v>82</v>
      </c>
      <c r="BC1957" s="2">
        <v>41</v>
      </c>
      <c r="BD1957" s="2" t="s">
        <v>82</v>
      </c>
      <c r="BE1957" s="2">
        <v>13</v>
      </c>
      <c r="BF1957" s="2" t="s">
        <v>108</v>
      </c>
      <c r="BG1957" s="2">
        <v>1443</v>
      </c>
      <c r="BH1957" s="4">
        <v>0.60833333333333328</v>
      </c>
      <c r="BI1957" s="4">
        <v>0.64583333333333337</v>
      </c>
      <c r="BJ1957" s="2">
        <v>13</v>
      </c>
      <c r="BK1957" s="2" t="s">
        <v>91</v>
      </c>
      <c r="BL1957" s="2" t="s">
        <v>6582</v>
      </c>
      <c r="BM1957" s="2">
        <v>241</v>
      </c>
      <c r="BN1957" s="2" t="s">
        <v>82</v>
      </c>
      <c r="BO1957" s="2"/>
      <c r="BP1957" s="2">
        <v>13</v>
      </c>
      <c r="BQ1957" s="2" t="s">
        <v>91</v>
      </c>
      <c r="BR1957" s="2" t="s">
        <v>1108</v>
      </c>
      <c r="BS1957" s="3">
        <v>40309</v>
      </c>
      <c r="BT1957" s="4">
        <v>0.75004629629629627</v>
      </c>
    </row>
    <row r="1958" spans="1:72" x14ac:dyDescent="0.25">
      <c r="A1958" s="2">
        <v>2828</v>
      </c>
      <c r="B1958" s="2">
        <v>2010</v>
      </c>
      <c r="C1958" s="2" t="s">
        <v>72</v>
      </c>
      <c r="D1958" s="2" t="s">
        <v>73</v>
      </c>
      <c r="E1958" s="2"/>
      <c r="F1958" s="2">
        <v>533</v>
      </c>
      <c r="G1958" s="2" t="s">
        <v>3397</v>
      </c>
      <c r="H1958" s="2">
        <v>2</v>
      </c>
      <c r="I1958" s="2" t="s">
        <v>267</v>
      </c>
      <c r="J1958" s="2">
        <v>462</v>
      </c>
      <c r="K1958" s="2" t="s">
        <v>3398</v>
      </c>
      <c r="L1958" s="2" t="s">
        <v>3399</v>
      </c>
      <c r="M1958" s="3">
        <v>40309</v>
      </c>
      <c r="N1958" s="2" t="s">
        <v>6838</v>
      </c>
      <c r="O1958" s="2" t="s">
        <v>999</v>
      </c>
      <c r="P1958" s="2" t="s">
        <v>82</v>
      </c>
      <c r="Q1958" s="2" t="str">
        <f>"0057/10"</f>
        <v>0057/10</v>
      </c>
      <c r="R1958" s="2"/>
      <c r="S1958" s="2" t="s">
        <v>82</v>
      </c>
      <c r="T1958" s="2">
        <v>1</v>
      </c>
      <c r="U1958" s="2" t="s">
        <v>79</v>
      </c>
      <c r="V1958" s="2">
        <v>1</v>
      </c>
      <c r="W1958" s="2" t="s">
        <v>80</v>
      </c>
      <c r="X1958" s="2">
        <v>12</v>
      </c>
      <c r="Y1958" s="2" t="s">
        <v>148</v>
      </c>
      <c r="Z1958" s="2">
        <v>1</v>
      </c>
      <c r="AA1958" s="2" t="s">
        <v>82</v>
      </c>
      <c r="AB1958" s="2">
        <v>6</v>
      </c>
      <c r="AC1958" s="2" t="s">
        <v>83</v>
      </c>
      <c r="AD1958" s="2"/>
      <c r="AE1958" s="2"/>
      <c r="AF1958" s="3">
        <v>40309</v>
      </c>
      <c r="AG1958" s="4">
        <v>0.73611111111111116</v>
      </c>
      <c r="AH1958" s="2">
        <v>5</v>
      </c>
      <c r="AI1958" s="2" t="s">
        <v>274</v>
      </c>
      <c r="AJ1958" s="2">
        <v>38</v>
      </c>
      <c r="AK1958" s="2" t="s">
        <v>1120</v>
      </c>
      <c r="AL1958" s="2">
        <v>14</v>
      </c>
      <c r="AM1958" s="2" t="s">
        <v>216</v>
      </c>
      <c r="AN1958" s="2" t="s">
        <v>82</v>
      </c>
      <c r="AO1958" s="2" t="s">
        <v>6839</v>
      </c>
      <c r="AP1958" s="2">
        <v>11</v>
      </c>
      <c r="AQ1958" s="2" t="s">
        <v>82</v>
      </c>
      <c r="AR1958" s="2" t="s">
        <v>82</v>
      </c>
      <c r="AS1958" s="2" t="s">
        <v>82</v>
      </c>
      <c r="AT1958" s="2" t="s">
        <v>6840</v>
      </c>
      <c r="AU1958" s="2"/>
      <c r="AV1958" s="2"/>
      <c r="AW1958" s="2"/>
      <c r="AX1958" s="2"/>
      <c r="AY1958" s="2">
        <v>41</v>
      </c>
      <c r="AZ1958" s="2" t="s">
        <v>82</v>
      </c>
      <c r="BA1958" s="2">
        <v>41</v>
      </c>
      <c r="BB1958" s="2" t="s">
        <v>82</v>
      </c>
      <c r="BC1958" s="2">
        <v>41</v>
      </c>
      <c r="BD1958" s="2" t="s">
        <v>82</v>
      </c>
      <c r="BE1958" s="2">
        <v>41</v>
      </c>
      <c r="BF1958" s="2" t="s">
        <v>82</v>
      </c>
      <c r="BG1958" s="2" t="s">
        <v>82</v>
      </c>
      <c r="BH1958" s="2"/>
      <c r="BI1958" s="2"/>
      <c r="BJ1958" s="2">
        <v>241</v>
      </c>
      <c r="BK1958" s="2" t="s">
        <v>82</v>
      </c>
      <c r="BL1958" s="2" t="s">
        <v>82</v>
      </c>
      <c r="BM1958" s="2">
        <v>241</v>
      </c>
      <c r="BN1958" s="2" t="s">
        <v>82</v>
      </c>
      <c r="BO1958" s="2" t="s">
        <v>82</v>
      </c>
      <c r="BP1958" s="2">
        <v>241</v>
      </c>
      <c r="BQ1958" s="2" t="s">
        <v>82</v>
      </c>
      <c r="BR1958" s="2" t="s">
        <v>82</v>
      </c>
      <c r="BS1958" s="3">
        <v>40309</v>
      </c>
      <c r="BT1958" s="4">
        <v>0.78374999999999995</v>
      </c>
    </row>
    <row r="1959" spans="1:72" x14ac:dyDescent="0.25">
      <c r="A1959" s="2">
        <v>2829</v>
      </c>
      <c r="B1959" s="2">
        <v>2010</v>
      </c>
      <c r="C1959" s="2" t="s">
        <v>72</v>
      </c>
      <c r="D1959" s="2" t="s">
        <v>73</v>
      </c>
      <c r="E1959" s="2"/>
      <c r="F1959" s="2">
        <v>166</v>
      </c>
      <c r="G1959" s="2" t="s">
        <v>6841</v>
      </c>
      <c r="H1959" s="2">
        <v>102</v>
      </c>
      <c r="I1959" s="2" t="s">
        <v>6446</v>
      </c>
      <c r="J1959" s="2">
        <v>176</v>
      </c>
      <c r="K1959" s="2" t="s">
        <v>6447</v>
      </c>
      <c r="L1959" s="2" t="s">
        <v>6448</v>
      </c>
      <c r="M1959" s="3">
        <v>40309</v>
      </c>
      <c r="N1959" s="2" t="s">
        <v>6842</v>
      </c>
      <c r="O1959" s="2" t="s">
        <v>82</v>
      </c>
      <c r="P1959" s="2" t="s">
        <v>82</v>
      </c>
      <c r="Q1959" s="2" t="str">
        <f>"176-A/10"</f>
        <v>176-A/10</v>
      </c>
      <c r="R1959" s="2" t="s">
        <v>82</v>
      </c>
      <c r="S1959" s="2" t="s">
        <v>116</v>
      </c>
      <c r="T1959" s="2">
        <v>1</v>
      </c>
      <c r="U1959" s="2" t="s">
        <v>79</v>
      </c>
      <c r="V1959" s="2">
        <v>1</v>
      </c>
      <c r="W1959" s="2" t="s">
        <v>80</v>
      </c>
      <c r="X1959" s="2">
        <v>12</v>
      </c>
      <c r="Y1959" s="2" t="s">
        <v>148</v>
      </c>
      <c r="Z1959" s="2">
        <v>1</v>
      </c>
      <c r="AA1959" s="2" t="s">
        <v>82</v>
      </c>
      <c r="AB1959" s="2">
        <v>6</v>
      </c>
      <c r="AC1959" s="2" t="s">
        <v>83</v>
      </c>
      <c r="AD1959" s="3">
        <v>40309</v>
      </c>
      <c r="AE1959" s="4">
        <v>0.51736111111111105</v>
      </c>
      <c r="AF1959" s="3">
        <v>40309</v>
      </c>
      <c r="AG1959" s="4">
        <v>0.52777777777777779</v>
      </c>
      <c r="AH1959" s="2">
        <v>2</v>
      </c>
      <c r="AI1959" s="2" t="s">
        <v>84</v>
      </c>
      <c r="AJ1959" s="2">
        <v>12</v>
      </c>
      <c r="AK1959" s="2" t="s">
        <v>85</v>
      </c>
      <c r="AL1959" s="2">
        <v>12</v>
      </c>
      <c r="AM1959" s="2" t="s">
        <v>86</v>
      </c>
      <c r="AN1959" s="2" t="s">
        <v>5322</v>
      </c>
      <c r="AO1959" s="2" t="s">
        <v>1212</v>
      </c>
      <c r="AP1959" s="2">
        <v>11</v>
      </c>
      <c r="AQ1959" s="2" t="s">
        <v>82</v>
      </c>
      <c r="AR1959" s="2" t="s">
        <v>82</v>
      </c>
      <c r="AS1959" s="2" t="s">
        <v>82</v>
      </c>
      <c r="AT1959" s="2" t="s">
        <v>6843</v>
      </c>
      <c r="AU1959" s="2">
        <v>2</v>
      </c>
      <c r="AV1959" s="2"/>
      <c r="AW1959" s="2"/>
      <c r="AX1959" s="2"/>
      <c r="AY1959" s="2">
        <v>41</v>
      </c>
      <c r="AZ1959" s="2" t="s">
        <v>82</v>
      </c>
      <c r="BA1959" s="2">
        <v>41</v>
      </c>
      <c r="BB1959" s="2" t="s">
        <v>82</v>
      </c>
      <c r="BC1959" s="2">
        <v>41</v>
      </c>
      <c r="BD1959" s="2" t="s">
        <v>82</v>
      </c>
      <c r="BE1959" s="2">
        <v>13</v>
      </c>
      <c r="BF1959" s="2" t="s">
        <v>108</v>
      </c>
      <c r="BG1959" s="2" t="s">
        <v>6844</v>
      </c>
      <c r="BH1959" s="4">
        <v>0.59722222222222221</v>
      </c>
      <c r="BI1959" s="4">
        <v>0.52430555555555558</v>
      </c>
      <c r="BJ1959" s="2">
        <v>13</v>
      </c>
      <c r="BK1959" s="2" t="s">
        <v>91</v>
      </c>
      <c r="BL1959" s="2" t="s">
        <v>185</v>
      </c>
      <c r="BM1959" s="2">
        <v>241</v>
      </c>
      <c r="BN1959" s="2" t="s">
        <v>82</v>
      </c>
      <c r="BO1959" s="2" t="s">
        <v>82</v>
      </c>
      <c r="BP1959" s="2">
        <v>13</v>
      </c>
      <c r="BQ1959" s="2" t="s">
        <v>91</v>
      </c>
      <c r="BR1959" s="2" t="s">
        <v>1026</v>
      </c>
      <c r="BS1959" s="3">
        <v>40309</v>
      </c>
      <c r="BT1959" s="4">
        <v>0.8525462962962963</v>
      </c>
    </row>
    <row r="1960" spans="1:72" x14ac:dyDescent="0.25">
      <c r="A1960" s="2">
        <v>2830</v>
      </c>
      <c r="B1960" s="2">
        <v>2010</v>
      </c>
      <c r="C1960" s="2" t="s">
        <v>72</v>
      </c>
      <c r="D1960" s="2" t="s">
        <v>122</v>
      </c>
      <c r="E1960" s="2" t="s">
        <v>6845</v>
      </c>
      <c r="F1960" s="2">
        <v>24</v>
      </c>
      <c r="G1960" s="2" t="s">
        <v>532</v>
      </c>
      <c r="H1960" s="2">
        <v>22</v>
      </c>
      <c r="I1960" s="2" t="s">
        <v>75</v>
      </c>
      <c r="J1960" s="2">
        <v>300</v>
      </c>
      <c r="K1960" s="2" t="s">
        <v>114</v>
      </c>
      <c r="L1960" s="2" t="s">
        <v>115</v>
      </c>
      <c r="M1960" s="3">
        <v>40309</v>
      </c>
      <c r="N1960" s="2"/>
      <c r="O1960" s="2"/>
      <c r="P1960" s="2"/>
      <c r="Q1960" s="2" t="str">
        <f>""</f>
        <v/>
      </c>
      <c r="R1960" s="2"/>
      <c r="S1960" s="2" t="s">
        <v>6811</v>
      </c>
      <c r="T1960" s="2">
        <v>1</v>
      </c>
      <c r="U1960" s="2" t="s">
        <v>79</v>
      </c>
      <c r="V1960" s="2">
        <v>1</v>
      </c>
      <c r="W1960" s="2" t="s">
        <v>80</v>
      </c>
      <c r="X1960" s="2">
        <v>12</v>
      </c>
      <c r="Y1960" s="2" t="s">
        <v>148</v>
      </c>
      <c r="Z1960" s="2">
        <v>1</v>
      </c>
      <c r="AA1960" s="2" t="s">
        <v>82</v>
      </c>
      <c r="AB1960" s="2">
        <v>6</v>
      </c>
      <c r="AC1960" s="2" t="s">
        <v>83</v>
      </c>
      <c r="AD1960" s="3">
        <v>40308</v>
      </c>
      <c r="AE1960" s="4">
        <v>0.69444444444444453</v>
      </c>
      <c r="AF1960" s="3">
        <v>40292</v>
      </c>
      <c r="AG1960" s="4">
        <v>0.80555555555555547</v>
      </c>
      <c r="AH1960" s="2">
        <v>2</v>
      </c>
      <c r="AI1960" s="2" t="s">
        <v>84</v>
      </c>
      <c r="AJ1960" s="2">
        <v>9</v>
      </c>
      <c r="AK1960" s="2" t="s">
        <v>103</v>
      </c>
      <c r="AL1960" s="2">
        <v>19</v>
      </c>
      <c r="AM1960" s="2" t="s">
        <v>107</v>
      </c>
      <c r="AN1960" s="2"/>
      <c r="AO1960" s="2" t="s">
        <v>5705</v>
      </c>
      <c r="AP1960" s="2">
        <v>11</v>
      </c>
      <c r="AQ1960" s="2" t="s">
        <v>82</v>
      </c>
      <c r="AR1960" s="2"/>
      <c r="AS1960" s="2"/>
      <c r="AT1960" s="2" t="s">
        <v>6846</v>
      </c>
      <c r="AU1960" s="2"/>
      <c r="AV1960" s="2"/>
      <c r="AW1960" s="2">
        <v>3</v>
      </c>
      <c r="AX1960" s="2"/>
      <c r="AY1960" s="2">
        <v>41</v>
      </c>
      <c r="AZ1960" s="2" t="s">
        <v>82</v>
      </c>
      <c r="BA1960" s="2">
        <v>41</v>
      </c>
      <c r="BB1960" s="2" t="s">
        <v>82</v>
      </c>
      <c r="BC1960" s="2">
        <v>41</v>
      </c>
      <c r="BD1960" s="2" t="s">
        <v>82</v>
      </c>
      <c r="BE1960" s="2">
        <v>41</v>
      </c>
      <c r="BF1960" s="2" t="s">
        <v>82</v>
      </c>
      <c r="BG1960" s="2" t="s">
        <v>5290</v>
      </c>
      <c r="BH1960" s="2"/>
      <c r="BI1960" s="2"/>
      <c r="BJ1960" s="2">
        <v>241</v>
      </c>
      <c r="BK1960" s="2" t="s">
        <v>82</v>
      </c>
      <c r="BL1960" s="2"/>
      <c r="BM1960" s="2">
        <v>241</v>
      </c>
      <c r="BN1960" s="2" t="s">
        <v>82</v>
      </c>
      <c r="BO1960" s="2"/>
      <c r="BP1960" s="2">
        <v>241</v>
      </c>
      <c r="BQ1960" s="2" t="s">
        <v>82</v>
      </c>
      <c r="BR1960" s="2"/>
      <c r="BS1960" s="3">
        <v>40309</v>
      </c>
      <c r="BT1960" s="4">
        <v>0.91938657407407398</v>
      </c>
    </row>
    <row r="1961" spans="1:72" x14ac:dyDescent="0.25">
      <c r="A1961" s="2">
        <v>2832</v>
      </c>
      <c r="B1961" s="2">
        <v>2010</v>
      </c>
      <c r="C1961" s="2" t="s">
        <v>171</v>
      </c>
      <c r="D1961" s="2" t="s">
        <v>73</v>
      </c>
      <c r="E1961" s="2"/>
      <c r="F1961" s="2">
        <v>394</v>
      </c>
      <c r="G1961" s="2" t="s">
        <v>172</v>
      </c>
      <c r="H1961" s="2">
        <v>5</v>
      </c>
      <c r="I1961" s="2" t="s">
        <v>634</v>
      </c>
      <c r="J1961" s="2">
        <v>241</v>
      </c>
      <c r="K1961" s="2" t="s">
        <v>174</v>
      </c>
      <c r="L1961" s="2" t="s">
        <v>175</v>
      </c>
      <c r="M1961" s="3">
        <v>40310</v>
      </c>
      <c r="N1961" s="2" t="s">
        <v>719</v>
      </c>
      <c r="O1961" s="2" t="s">
        <v>107</v>
      </c>
      <c r="P1961" s="2" t="s">
        <v>107</v>
      </c>
      <c r="Q1961" s="2" t="str">
        <f>"257-E-10"</f>
        <v>257-E-10</v>
      </c>
      <c r="R1961" s="2" t="s">
        <v>107</v>
      </c>
      <c r="S1961" s="2" t="s">
        <v>391</v>
      </c>
      <c r="T1961" s="2">
        <v>1</v>
      </c>
      <c r="U1961" s="2" t="s">
        <v>79</v>
      </c>
      <c r="V1961" s="2">
        <v>1</v>
      </c>
      <c r="W1961" s="2" t="s">
        <v>80</v>
      </c>
      <c r="X1961" s="2">
        <v>1</v>
      </c>
      <c r="Y1961" s="2" t="s">
        <v>81</v>
      </c>
      <c r="Z1961" s="2">
        <v>1</v>
      </c>
      <c r="AA1961" s="2" t="s">
        <v>82</v>
      </c>
      <c r="AB1961" s="2">
        <v>1</v>
      </c>
      <c r="AC1961" s="2" t="s">
        <v>178</v>
      </c>
      <c r="AD1961" s="3">
        <v>40309</v>
      </c>
      <c r="AE1961" s="4">
        <v>0.80208333333333337</v>
      </c>
      <c r="AF1961" s="2"/>
      <c r="AG1961" s="2"/>
      <c r="AH1961" s="2">
        <v>2</v>
      </c>
      <c r="AI1961" s="2" t="s">
        <v>84</v>
      </c>
      <c r="AJ1961" s="2">
        <v>9</v>
      </c>
      <c r="AK1961" s="2" t="s">
        <v>103</v>
      </c>
      <c r="AL1961" s="2">
        <v>25</v>
      </c>
      <c r="AM1961" s="2" t="s">
        <v>3073</v>
      </c>
      <c r="AN1961" s="2" t="s">
        <v>82</v>
      </c>
      <c r="AO1961" s="2" t="s">
        <v>179</v>
      </c>
      <c r="AP1961" s="2">
        <v>11</v>
      </c>
      <c r="AQ1961" s="2" t="s">
        <v>82</v>
      </c>
      <c r="AR1961" s="2"/>
      <c r="AS1961" s="2"/>
      <c r="AT1961" s="2" t="s">
        <v>6847</v>
      </c>
      <c r="AU1961" s="2"/>
      <c r="AV1961" s="2">
        <v>1</v>
      </c>
      <c r="AW1961" s="2"/>
      <c r="AX1961" s="2"/>
      <c r="AY1961" s="2">
        <v>42</v>
      </c>
      <c r="AZ1961" s="2" t="s">
        <v>182</v>
      </c>
      <c r="BA1961" s="2">
        <v>41</v>
      </c>
      <c r="BB1961" s="2" t="s">
        <v>82</v>
      </c>
      <c r="BC1961" s="2">
        <v>41</v>
      </c>
      <c r="BD1961" s="2" t="s">
        <v>82</v>
      </c>
      <c r="BE1961" s="2">
        <v>13</v>
      </c>
      <c r="BF1961" s="2" t="s">
        <v>108</v>
      </c>
      <c r="BG1961" s="2" t="s">
        <v>107</v>
      </c>
      <c r="BH1961" s="2"/>
      <c r="BI1961" s="4">
        <v>0.84375</v>
      </c>
      <c r="BJ1961" s="2">
        <v>13</v>
      </c>
      <c r="BK1961" s="2" t="s">
        <v>91</v>
      </c>
      <c r="BL1961" s="2" t="s">
        <v>185</v>
      </c>
      <c r="BM1961" s="2">
        <v>73</v>
      </c>
      <c r="BN1961" s="2" t="s">
        <v>186</v>
      </c>
      <c r="BO1961" s="2" t="s">
        <v>187</v>
      </c>
      <c r="BP1961" s="2">
        <v>73</v>
      </c>
      <c r="BQ1961" s="2" t="s">
        <v>186</v>
      </c>
      <c r="BR1961" s="2" t="s">
        <v>675</v>
      </c>
      <c r="BS1961" s="3">
        <v>40310</v>
      </c>
      <c r="BT1961" s="4">
        <v>0.35594907407407406</v>
      </c>
    </row>
    <row r="1962" spans="1:72" x14ac:dyDescent="0.25">
      <c r="A1962" s="2">
        <v>2833</v>
      </c>
      <c r="B1962" s="2">
        <v>2010</v>
      </c>
      <c r="C1962" s="2" t="s">
        <v>414</v>
      </c>
      <c r="D1962" s="2" t="s">
        <v>122</v>
      </c>
      <c r="E1962" s="2"/>
      <c r="F1962" s="2">
        <v>1</v>
      </c>
      <c r="G1962" s="2" t="s">
        <v>82</v>
      </c>
      <c r="H1962" s="2">
        <v>1</v>
      </c>
      <c r="I1962" s="2" t="s">
        <v>82</v>
      </c>
      <c r="J1962" s="2">
        <v>1</v>
      </c>
      <c r="K1962" s="2" t="s">
        <v>107</v>
      </c>
      <c r="L1962" s="2" t="s">
        <v>107</v>
      </c>
      <c r="M1962" s="3">
        <v>40310</v>
      </c>
      <c r="N1962" s="2"/>
      <c r="O1962" s="2"/>
      <c r="P1962" s="2"/>
      <c r="Q1962" s="2" t="str">
        <f>""</f>
        <v/>
      </c>
      <c r="R1962" s="2"/>
      <c r="S1962" s="2"/>
      <c r="T1962" s="2">
        <v>1</v>
      </c>
      <c r="U1962" s="2" t="s">
        <v>79</v>
      </c>
      <c r="V1962" s="2">
        <v>1</v>
      </c>
      <c r="W1962" s="2" t="s">
        <v>80</v>
      </c>
      <c r="X1962" s="2">
        <v>1</v>
      </c>
      <c r="Y1962" s="2" t="s">
        <v>81</v>
      </c>
      <c r="Z1962" s="2">
        <v>1</v>
      </c>
      <c r="AA1962" s="2" t="s">
        <v>82</v>
      </c>
      <c r="AB1962" s="2">
        <v>9</v>
      </c>
      <c r="AC1962" s="2" t="s">
        <v>124</v>
      </c>
      <c r="AD1962" s="3">
        <v>40310</v>
      </c>
      <c r="AE1962" s="4">
        <v>0.35069444444444442</v>
      </c>
      <c r="AF1962" s="2"/>
      <c r="AG1962" s="2"/>
      <c r="AH1962" s="2">
        <v>2</v>
      </c>
      <c r="AI1962" s="2" t="s">
        <v>84</v>
      </c>
      <c r="AJ1962" s="2">
        <v>12</v>
      </c>
      <c r="AK1962" s="2" t="s">
        <v>85</v>
      </c>
      <c r="AL1962" s="2">
        <v>12</v>
      </c>
      <c r="AM1962" s="2" t="s">
        <v>86</v>
      </c>
      <c r="AN1962" s="2" t="s">
        <v>6848</v>
      </c>
      <c r="AO1962" s="2"/>
      <c r="AP1962" s="2">
        <v>11</v>
      </c>
      <c r="AQ1962" s="2" t="s">
        <v>82</v>
      </c>
      <c r="AR1962" s="2"/>
      <c r="AS1962" s="2"/>
      <c r="AT1962" s="2" t="s">
        <v>6849</v>
      </c>
      <c r="AU1962" s="2"/>
      <c r="AV1962" s="2"/>
      <c r="AW1962" s="2"/>
      <c r="AX1962" s="2"/>
      <c r="AY1962" s="2">
        <v>41</v>
      </c>
      <c r="AZ1962" s="2" t="s">
        <v>82</v>
      </c>
      <c r="BA1962" s="2">
        <v>41</v>
      </c>
      <c r="BB1962" s="2" t="s">
        <v>82</v>
      </c>
      <c r="BC1962" s="2">
        <v>41</v>
      </c>
      <c r="BD1962" s="2" t="s">
        <v>82</v>
      </c>
      <c r="BE1962" s="2">
        <v>41</v>
      </c>
      <c r="BF1962" s="2" t="s">
        <v>82</v>
      </c>
      <c r="BG1962" s="2"/>
      <c r="BH1962" s="2"/>
      <c r="BI1962" s="2"/>
      <c r="BJ1962" s="2">
        <v>241</v>
      </c>
      <c r="BK1962" s="2" t="s">
        <v>82</v>
      </c>
      <c r="BL1962" s="2"/>
      <c r="BM1962" s="2">
        <v>241</v>
      </c>
      <c r="BN1962" s="2" t="s">
        <v>82</v>
      </c>
      <c r="BO1962" s="2"/>
      <c r="BP1962" s="2">
        <v>241</v>
      </c>
      <c r="BQ1962" s="2" t="s">
        <v>82</v>
      </c>
      <c r="BR1962" s="2"/>
      <c r="BS1962" s="3">
        <v>40310</v>
      </c>
      <c r="BT1962" s="4">
        <v>0.38015046296296301</v>
      </c>
    </row>
    <row r="1963" spans="1:72" x14ac:dyDescent="0.25">
      <c r="A1963" s="2">
        <v>2836</v>
      </c>
      <c r="B1963" s="2">
        <v>2010</v>
      </c>
      <c r="C1963" s="2" t="s">
        <v>1559</v>
      </c>
      <c r="D1963" s="2" t="s">
        <v>73</v>
      </c>
      <c r="E1963" s="2"/>
      <c r="F1963" s="2">
        <v>548</v>
      </c>
      <c r="G1963" s="2" t="s">
        <v>4038</v>
      </c>
      <c r="H1963" s="2">
        <v>22</v>
      </c>
      <c r="I1963" s="2" t="s">
        <v>75</v>
      </c>
      <c r="J1963" s="2">
        <v>1</v>
      </c>
      <c r="K1963" s="2" t="s">
        <v>107</v>
      </c>
      <c r="L1963" s="2" t="s">
        <v>107</v>
      </c>
      <c r="M1963" s="3">
        <v>40310</v>
      </c>
      <c r="N1963" s="2" t="s">
        <v>82</v>
      </c>
      <c r="O1963" s="2" t="s">
        <v>6850</v>
      </c>
      <c r="P1963" s="2" t="s">
        <v>6851</v>
      </c>
      <c r="Q1963" s="2" t="str">
        <f>"N/C"</f>
        <v>N/C</v>
      </c>
      <c r="R1963" s="6">
        <v>44844</v>
      </c>
      <c r="S1963" s="2" t="s">
        <v>82</v>
      </c>
      <c r="T1963" s="2">
        <v>1</v>
      </c>
      <c r="U1963" s="2" t="s">
        <v>79</v>
      </c>
      <c r="V1963" s="2">
        <v>1</v>
      </c>
      <c r="W1963" s="2" t="s">
        <v>80</v>
      </c>
      <c r="X1963" s="2">
        <v>6</v>
      </c>
      <c r="Y1963" s="2" t="s">
        <v>249</v>
      </c>
      <c r="Z1963" s="2">
        <v>1</v>
      </c>
      <c r="AA1963" s="2" t="s">
        <v>82</v>
      </c>
      <c r="AB1963" s="2">
        <v>9</v>
      </c>
      <c r="AC1963" s="2" t="s">
        <v>124</v>
      </c>
      <c r="AD1963" s="3">
        <v>40310</v>
      </c>
      <c r="AE1963" s="4">
        <v>0.375</v>
      </c>
      <c r="AF1963" s="2"/>
      <c r="AG1963" s="2"/>
      <c r="AH1963" s="2">
        <v>3</v>
      </c>
      <c r="AI1963" s="2" t="s">
        <v>214</v>
      </c>
      <c r="AJ1963" s="2">
        <v>13</v>
      </c>
      <c r="AK1963" s="2" t="s">
        <v>214</v>
      </c>
      <c r="AL1963" s="2">
        <v>19</v>
      </c>
      <c r="AM1963" s="2" t="s">
        <v>107</v>
      </c>
      <c r="AN1963" s="2" t="s">
        <v>6852</v>
      </c>
      <c r="AO1963" s="2" t="s">
        <v>82</v>
      </c>
      <c r="AP1963" s="2">
        <v>11</v>
      </c>
      <c r="AQ1963" s="2" t="s">
        <v>82</v>
      </c>
      <c r="AR1963" s="2"/>
      <c r="AS1963" s="2"/>
      <c r="AT1963" s="2" t="s">
        <v>6853</v>
      </c>
      <c r="AU1963" s="2"/>
      <c r="AV1963" s="2"/>
      <c r="AW1963" s="2"/>
      <c r="AX1963" s="2"/>
      <c r="AY1963" s="2">
        <v>41</v>
      </c>
      <c r="AZ1963" s="2" t="s">
        <v>82</v>
      </c>
      <c r="BA1963" s="2">
        <v>41</v>
      </c>
      <c r="BB1963" s="2" t="s">
        <v>82</v>
      </c>
      <c r="BC1963" s="2">
        <v>41</v>
      </c>
      <c r="BD1963" s="2" t="s">
        <v>82</v>
      </c>
      <c r="BE1963" s="2">
        <v>41</v>
      </c>
      <c r="BF1963" s="2" t="s">
        <v>82</v>
      </c>
      <c r="BG1963" s="2"/>
      <c r="BH1963" s="2"/>
      <c r="BI1963" s="2"/>
      <c r="BJ1963" s="2">
        <v>241</v>
      </c>
      <c r="BK1963" s="2" t="s">
        <v>82</v>
      </c>
      <c r="BL1963" s="2"/>
      <c r="BM1963" s="2">
        <v>241</v>
      </c>
      <c r="BN1963" s="2" t="s">
        <v>82</v>
      </c>
      <c r="BO1963" s="2"/>
      <c r="BP1963" s="2">
        <v>241</v>
      </c>
      <c r="BQ1963" s="2" t="s">
        <v>82</v>
      </c>
      <c r="BR1963" s="2"/>
      <c r="BS1963" s="3">
        <v>40310</v>
      </c>
      <c r="BT1963" s="4">
        <v>0.4357638888888889</v>
      </c>
    </row>
    <row r="1964" spans="1:72" x14ac:dyDescent="0.25">
      <c r="A1964" s="2">
        <v>2841</v>
      </c>
      <c r="B1964" s="2">
        <v>2010</v>
      </c>
      <c r="C1964" s="2" t="s">
        <v>2011</v>
      </c>
      <c r="D1964" s="2" t="s">
        <v>122</v>
      </c>
      <c r="E1964" s="2" t="s">
        <v>6854</v>
      </c>
      <c r="F1964" s="2">
        <v>279</v>
      </c>
      <c r="G1964" s="2" t="s">
        <v>4464</v>
      </c>
      <c r="H1964" s="2">
        <v>42</v>
      </c>
      <c r="I1964" s="2" t="s">
        <v>1096</v>
      </c>
      <c r="J1964" s="2">
        <v>284</v>
      </c>
      <c r="K1964" s="2" t="s">
        <v>4465</v>
      </c>
      <c r="L1964" s="2" t="s">
        <v>4466</v>
      </c>
      <c r="M1964" s="3">
        <v>40310</v>
      </c>
      <c r="N1964" s="2" t="s">
        <v>5340</v>
      </c>
      <c r="O1964" s="2" t="s">
        <v>947</v>
      </c>
      <c r="P1964" s="2" t="s">
        <v>6527</v>
      </c>
      <c r="Q1964" s="2" t="str">
        <f>"004/2010"</f>
        <v>004/2010</v>
      </c>
      <c r="R1964" s="2"/>
      <c r="S1964" s="2" t="s">
        <v>947</v>
      </c>
      <c r="T1964" s="2">
        <v>1</v>
      </c>
      <c r="U1964" s="2" t="s">
        <v>79</v>
      </c>
      <c r="V1964" s="2">
        <v>1</v>
      </c>
      <c r="W1964" s="2" t="s">
        <v>80</v>
      </c>
      <c r="X1964" s="2">
        <v>5</v>
      </c>
      <c r="Y1964" s="2" t="s">
        <v>82</v>
      </c>
      <c r="Z1964" s="2">
        <v>1</v>
      </c>
      <c r="AA1964" s="2" t="s">
        <v>82</v>
      </c>
      <c r="AB1964" s="2">
        <v>9</v>
      </c>
      <c r="AC1964" s="2" t="s">
        <v>124</v>
      </c>
      <c r="AD1964" s="3">
        <v>40310</v>
      </c>
      <c r="AE1964" s="4">
        <v>0.58333333333333337</v>
      </c>
      <c r="AF1964" s="3">
        <v>40301</v>
      </c>
      <c r="AG1964" s="4">
        <v>0.72916666666666663</v>
      </c>
      <c r="AH1964" s="2">
        <v>3</v>
      </c>
      <c r="AI1964" s="2" t="s">
        <v>214</v>
      </c>
      <c r="AJ1964" s="2">
        <v>18</v>
      </c>
      <c r="AK1964" s="2" t="s">
        <v>4469</v>
      </c>
      <c r="AL1964" s="2">
        <v>9</v>
      </c>
      <c r="AM1964" s="2" t="s">
        <v>259</v>
      </c>
      <c r="AN1964" s="2"/>
      <c r="AO1964" s="2"/>
      <c r="AP1964" s="2">
        <v>11</v>
      </c>
      <c r="AQ1964" s="2" t="s">
        <v>82</v>
      </c>
      <c r="AR1964" s="2"/>
      <c r="AS1964" s="2"/>
      <c r="AT1964" s="2" t="s">
        <v>6855</v>
      </c>
      <c r="AU1964" s="2"/>
      <c r="AV1964" s="2"/>
      <c r="AW1964" s="2"/>
      <c r="AX1964" s="2"/>
      <c r="AY1964" s="2">
        <v>44</v>
      </c>
      <c r="AZ1964" s="2" t="s">
        <v>262</v>
      </c>
      <c r="BA1964" s="2">
        <v>41</v>
      </c>
      <c r="BB1964" s="2" t="s">
        <v>82</v>
      </c>
      <c r="BC1964" s="2">
        <v>41</v>
      </c>
      <c r="BD1964" s="2" t="s">
        <v>82</v>
      </c>
      <c r="BE1964" s="2">
        <v>41</v>
      </c>
      <c r="BF1964" s="2" t="s">
        <v>82</v>
      </c>
      <c r="BG1964" s="2"/>
      <c r="BH1964" s="2"/>
      <c r="BI1964" s="2"/>
      <c r="BJ1964" s="2">
        <v>241</v>
      </c>
      <c r="BK1964" s="2" t="s">
        <v>82</v>
      </c>
      <c r="BL1964" s="2"/>
      <c r="BM1964" s="2">
        <v>241</v>
      </c>
      <c r="BN1964" s="2" t="s">
        <v>82</v>
      </c>
      <c r="BO1964" s="2"/>
      <c r="BP1964" s="2">
        <v>241</v>
      </c>
      <c r="BQ1964" s="2" t="s">
        <v>82</v>
      </c>
      <c r="BR1964" s="2"/>
      <c r="BS1964" s="3">
        <v>40310</v>
      </c>
      <c r="BT1964" s="4">
        <v>0.56457175925925929</v>
      </c>
    </row>
    <row r="1965" spans="1:72" x14ac:dyDescent="0.25">
      <c r="A1965" s="2">
        <v>2842</v>
      </c>
      <c r="B1965" s="2">
        <v>2010</v>
      </c>
      <c r="C1965" s="2" t="s">
        <v>819</v>
      </c>
      <c r="D1965" s="2" t="s">
        <v>122</v>
      </c>
      <c r="E1965" s="2" t="s">
        <v>6856</v>
      </c>
      <c r="F1965" s="2">
        <v>451</v>
      </c>
      <c r="G1965" s="2" t="s">
        <v>879</v>
      </c>
      <c r="H1965" s="2">
        <v>31</v>
      </c>
      <c r="I1965" s="2" t="s">
        <v>880</v>
      </c>
      <c r="J1965" s="2">
        <v>326</v>
      </c>
      <c r="K1965" s="2" t="s">
        <v>881</v>
      </c>
      <c r="L1965" s="2" t="s">
        <v>882</v>
      </c>
      <c r="M1965" s="3">
        <v>40310</v>
      </c>
      <c r="N1965" s="2" t="s">
        <v>1072</v>
      </c>
      <c r="O1965" s="2" t="s">
        <v>2529</v>
      </c>
      <c r="P1965" s="2" t="s">
        <v>2529</v>
      </c>
      <c r="Q1965" s="2" t="str">
        <f>"052/10"</f>
        <v>052/10</v>
      </c>
      <c r="R1965" s="2" t="s">
        <v>822</v>
      </c>
      <c r="S1965" s="2" t="s">
        <v>2529</v>
      </c>
      <c r="T1965" s="2">
        <v>1</v>
      </c>
      <c r="U1965" s="2" t="s">
        <v>79</v>
      </c>
      <c r="V1965" s="2">
        <v>1</v>
      </c>
      <c r="W1965" s="2" t="s">
        <v>80</v>
      </c>
      <c r="X1965" s="2">
        <v>1</v>
      </c>
      <c r="Y1965" s="2" t="s">
        <v>81</v>
      </c>
      <c r="Z1965" s="2">
        <v>10</v>
      </c>
      <c r="AA1965" s="2" t="s">
        <v>236</v>
      </c>
      <c r="AB1965" s="2">
        <v>9</v>
      </c>
      <c r="AC1965" s="2" t="s">
        <v>124</v>
      </c>
      <c r="AD1965" s="3">
        <v>40309</v>
      </c>
      <c r="AE1965" s="4">
        <v>0.625</v>
      </c>
      <c r="AF1965" s="2"/>
      <c r="AG1965" s="2"/>
      <c r="AH1965" s="2">
        <v>4</v>
      </c>
      <c r="AI1965" s="2" t="s">
        <v>125</v>
      </c>
      <c r="AJ1965" s="2">
        <v>29</v>
      </c>
      <c r="AK1965" s="2" t="s">
        <v>227</v>
      </c>
      <c r="AL1965" s="2">
        <v>16</v>
      </c>
      <c r="AM1965" s="2" t="s">
        <v>392</v>
      </c>
      <c r="AN1965" s="2" t="s">
        <v>6857</v>
      </c>
      <c r="AO1965" s="2" t="s">
        <v>6858</v>
      </c>
      <c r="AP1965" s="2">
        <v>12</v>
      </c>
      <c r="AQ1965" s="2" t="s">
        <v>322</v>
      </c>
      <c r="AR1965" s="2" t="s">
        <v>824</v>
      </c>
      <c r="AS1965" s="2" t="s">
        <v>825</v>
      </c>
      <c r="AT1965" s="2" t="s">
        <v>6859</v>
      </c>
      <c r="AU1965" s="2"/>
      <c r="AV1965" s="2"/>
      <c r="AW1965" s="2"/>
      <c r="AX1965" s="2"/>
      <c r="AY1965" s="2">
        <v>41</v>
      </c>
      <c r="AZ1965" s="2" t="s">
        <v>82</v>
      </c>
      <c r="BA1965" s="2">
        <v>41</v>
      </c>
      <c r="BB1965" s="2" t="s">
        <v>82</v>
      </c>
      <c r="BC1965" s="2">
        <v>51</v>
      </c>
      <c r="BD1965" s="2" t="s">
        <v>827</v>
      </c>
      <c r="BE1965" s="2">
        <v>47</v>
      </c>
      <c r="BF1965" s="2" t="s">
        <v>167</v>
      </c>
      <c r="BG1965" s="2">
        <v>2459</v>
      </c>
      <c r="BH1965" s="4">
        <v>0.88194444444444453</v>
      </c>
      <c r="BI1965" s="4">
        <v>0.92361111111111116</v>
      </c>
      <c r="BJ1965" s="2">
        <v>13</v>
      </c>
      <c r="BK1965" s="2" t="s">
        <v>91</v>
      </c>
      <c r="BL1965" s="2" t="s">
        <v>828</v>
      </c>
      <c r="BM1965" s="2">
        <v>241</v>
      </c>
      <c r="BN1965" s="2" t="s">
        <v>82</v>
      </c>
      <c r="BO1965" s="2" t="s">
        <v>82</v>
      </c>
      <c r="BP1965" s="2">
        <v>13</v>
      </c>
      <c r="BQ1965" s="2" t="s">
        <v>91</v>
      </c>
      <c r="BR1965" s="2" t="s">
        <v>185</v>
      </c>
      <c r="BS1965" s="3">
        <v>40310</v>
      </c>
      <c r="BT1965" s="4">
        <v>0.59171296296296294</v>
      </c>
    </row>
    <row r="1966" spans="1:72" x14ac:dyDescent="0.25">
      <c r="A1966" s="2">
        <v>2847</v>
      </c>
      <c r="B1966" s="2">
        <v>2010</v>
      </c>
      <c r="C1966" s="2" t="s">
        <v>819</v>
      </c>
      <c r="D1966" s="2" t="s">
        <v>122</v>
      </c>
      <c r="E1966" s="2" t="s">
        <v>6860</v>
      </c>
      <c r="F1966" s="2">
        <v>451</v>
      </c>
      <c r="G1966" s="2" t="s">
        <v>879</v>
      </c>
      <c r="H1966" s="2">
        <v>31</v>
      </c>
      <c r="I1966" s="2" t="s">
        <v>880</v>
      </c>
      <c r="J1966" s="2">
        <v>326</v>
      </c>
      <c r="K1966" s="2" t="s">
        <v>881</v>
      </c>
      <c r="L1966" s="2" t="s">
        <v>882</v>
      </c>
      <c r="M1966" s="3">
        <v>40310</v>
      </c>
      <c r="N1966" s="2" t="s">
        <v>1072</v>
      </c>
      <c r="O1966" s="2"/>
      <c r="P1966" s="2"/>
      <c r="Q1966" s="2" t="str">
        <f>"051/10"</f>
        <v>051/10</v>
      </c>
      <c r="R1966" s="2"/>
      <c r="S1966" s="2" t="s">
        <v>822</v>
      </c>
      <c r="T1966" s="2">
        <v>1</v>
      </c>
      <c r="U1966" s="2" t="s">
        <v>79</v>
      </c>
      <c r="V1966" s="2">
        <v>1</v>
      </c>
      <c r="W1966" s="2" t="s">
        <v>80</v>
      </c>
      <c r="X1966" s="2">
        <v>1</v>
      </c>
      <c r="Y1966" s="2" t="s">
        <v>81</v>
      </c>
      <c r="Z1966" s="2">
        <v>10</v>
      </c>
      <c r="AA1966" s="2" t="s">
        <v>236</v>
      </c>
      <c r="AB1966" s="2">
        <v>9</v>
      </c>
      <c r="AC1966" s="2" t="s">
        <v>124</v>
      </c>
      <c r="AD1966" s="3">
        <v>40341</v>
      </c>
      <c r="AE1966" s="4">
        <v>0.45833333333333331</v>
      </c>
      <c r="AF1966" s="2"/>
      <c r="AG1966" s="2"/>
      <c r="AH1966" s="2">
        <v>4</v>
      </c>
      <c r="AI1966" s="2" t="s">
        <v>125</v>
      </c>
      <c r="AJ1966" s="2">
        <v>29</v>
      </c>
      <c r="AK1966" s="2" t="s">
        <v>227</v>
      </c>
      <c r="AL1966" s="2">
        <v>16</v>
      </c>
      <c r="AM1966" s="2" t="s">
        <v>392</v>
      </c>
      <c r="AN1966" s="2"/>
      <c r="AO1966" s="2"/>
      <c r="AP1966" s="2">
        <v>12</v>
      </c>
      <c r="AQ1966" s="2" t="s">
        <v>322</v>
      </c>
      <c r="AR1966" s="2" t="s">
        <v>824</v>
      </c>
      <c r="AS1966" s="2" t="s">
        <v>825</v>
      </c>
      <c r="AT1966" s="2" t="s">
        <v>6861</v>
      </c>
      <c r="AU1966" s="2"/>
      <c r="AV1966" s="2"/>
      <c r="AW1966" s="2"/>
      <c r="AX1966" s="2"/>
      <c r="AY1966" s="2">
        <v>41</v>
      </c>
      <c r="AZ1966" s="2" t="s">
        <v>82</v>
      </c>
      <c r="BA1966" s="2">
        <v>41</v>
      </c>
      <c r="BB1966" s="2" t="s">
        <v>82</v>
      </c>
      <c r="BC1966" s="2">
        <v>51</v>
      </c>
      <c r="BD1966" s="2" t="s">
        <v>827</v>
      </c>
      <c r="BE1966" s="2">
        <v>47</v>
      </c>
      <c r="BF1966" s="2" t="s">
        <v>167</v>
      </c>
      <c r="BG1966" s="2">
        <v>2459</v>
      </c>
      <c r="BH1966" s="4">
        <v>0.89930555555555547</v>
      </c>
      <c r="BI1966" s="4">
        <v>0.92708333333333337</v>
      </c>
      <c r="BJ1966" s="2">
        <v>13</v>
      </c>
      <c r="BK1966" s="2" t="s">
        <v>91</v>
      </c>
      <c r="BL1966" s="2" t="s">
        <v>828</v>
      </c>
      <c r="BM1966" s="2">
        <v>241</v>
      </c>
      <c r="BN1966" s="2" t="s">
        <v>82</v>
      </c>
      <c r="BO1966" s="2" t="s">
        <v>82</v>
      </c>
      <c r="BP1966" s="2">
        <v>13</v>
      </c>
      <c r="BQ1966" s="2" t="s">
        <v>91</v>
      </c>
      <c r="BR1966" s="2" t="s">
        <v>185</v>
      </c>
      <c r="BS1966" s="3">
        <v>40310</v>
      </c>
      <c r="BT1966" s="4">
        <v>0.68603009259259251</v>
      </c>
    </row>
    <row r="1967" spans="1:72" x14ac:dyDescent="0.25">
      <c r="A1967" s="2">
        <v>2848</v>
      </c>
      <c r="B1967" s="2">
        <v>2010</v>
      </c>
      <c r="C1967" s="2" t="s">
        <v>819</v>
      </c>
      <c r="D1967" s="2" t="s">
        <v>122</v>
      </c>
      <c r="E1967" s="2"/>
      <c r="F1967" s="2">
        <v>451</v>
      </c>
      <c r="G1967" s="2" t="s">
        <v>879</v>
      </c>
      <c r="H1967" s="2">
        <v>31</v>
      </c>
      <c r="I1967" s="2" t="s">
        <v>880</v>
      </c>
      <c r="J1967" s="2">
        <v>326</v>
      </c>
      <c r="K1967" s="2" t="s">
        <v>881</v>
      </c>
      <c r="L1967" s="2" t="s">
        <v>882</v>
      </c>
      <c r="M1967" s="3">
        <v>40310</v>
      </c>
      <c r="N1967" s="2" t="s">
        <v>6862</v>
      </c>
      <c r="O1967" s="2" t="s">
        <v>5454</v>
      </c>
      <c r="P1967" s="2" t="s">
        <v>5454</v>
      </c>
      <c r="Q1967" s="2" t="str">
        <f>"053/10"</f>
        <v>053/10</v>
      </c>
      <c r="R1967" s="2" t="s">
        <v>822</v>
      </c>
      <c r="S1967" s="2"/>
      <c r="T1967" s="2">
        <v>1</v>
      </c>
      <c r="U1967" s="2" t="s">
        <v>79</v>
      </c>
      <c r="V1967" s="2">
        <v>1</v>
      </c>
      <c r="W1967" s="2" t="s">
        <v>80</v>
      </c>
      <c r="X1967" s="2">
        <v>1</v>
      </c>
      <c r="Y1967" s="2" t="s">
        <v>81</v>
      </c>
      <c r="Z1967" s="2">
        <v>10</v>
      </c>
      <c r="AA1967" s="2" t="s">
        <v>236</v>
      </c>
      <c r="AB1967" s="2">
        <v>9</v>
      </c>
      <c r="AC1967" s="2" t="s">
        <v>124</v>
      </c>
      <c r="AD1967" s="3">
        <v>40309</v>
      </c>
      <c r="AE1967" s="4">
        <v>0.91666666666666663</v>
      </c>
      <c r="AF1967" s="2"/>
      <c r="AG1967" s="2"/>
      <c r="AH1967" s="2">
        <v>4</v>
      </c>
      <c r="AI1967" s="2" t="s">
        <v>125</v>
      </c>
      <c r="AJ1967" s="2">
        <v>29</v>
      </c>
      <c r="AK1967" s="2" t="s">
        <v>227</v>
      </c>
      <c r="AL1967" s="2">
        <v>10</v>
      </c>
      <c r="AM1967" s="2" t="s">
        <v>200</v>
      </c>
      <c r="AN1967" s="2" t="s">
        <v>6207</v>
      </c>
      <c r="AO1967" s="2" t="s">
        <v>6863</v>
      </c>
      <c r="AP1967" s="2">
        <v>12</v>
      </c>
      <c r="AQ1967" s="2" t="s">
        <v>322</v>
      </c>
      <c r="AR1967" s="2" t="s">
        <v>824</v>
      </c>
      <c r="AS1967" s="2" t="s">
        <v>884</v>
      </c>
      <c r="AT1967" s="2" t="s">
        <v>6864</v>
      </c>
      <c r="AU1967" s="2"/>
      <c r="AV1967" s="2"/>
      <c r="AW1967" s="2"/>
      <c r="AX1967" s="2"/>
      <c r="AY1967" s="2">
        <v>41</v>
      </c>
      <c r="AZ1967" s="2" t="s">
        <v>82</v>
      </c>
      <c r="BA1967" s="2">
        <v>41</v>
      </c>
      <c r="BB1967" s="2" t="s">
        <v>82</v>
      </c>
      <c r="BC1967" s="2">
        <v>41</v>
      </c>
      <c r="BD1967" s="2" t="s">
        <v>82</v>
      </c>
      <c r="BE1967" s="2">
        <v>13</v>
      </c>
      <c r="BF1967" s="2" t="s">
        <v>108</v>
      </c>
      <c r="BG1967" s="2">
        <v>1459</v>
      </c>
      <c r="BH1967" s="4">
        <v>0.89583333333333337</v>
      </c>
      <c r="BI1967" s="4">
        <v>0.92361111111111116</v>
      </c>
      <c r="BJ1967" s="2">
        <v>13</v>
      </c>
      <c r="BK1967" s="2" t="s">
        <v>91</v>
      </c>
      <c r="BL1967" s="2" t="s">
        <v>828</v>
      </c>
      <c r="BM1967" s="2">
        <v>241</v>
      </c>
      <c r="BN1967" s="2" t="s">
        <v>82</v>
      </c>
      <c r="BO1967" s="2" t="s">
        <v>82</v>
      </c>
      <c r="BP1967" s="2">
        <v>13</v>
      </c>
      <c r="BQ1967" s="2" t="s">
        <v>91</v>
      </c>
      <c r="BR1967" s="2" t="s">
        <v>1108</v>
      </c>
      <c r="BS1967" s="3">
        <v>40310</v>
      </c>
      <c r="BT1967" s="4">
        <v>0.70550925925925922</v>
      </c>
    </row>
    <row r="1968" spans="1:72" x14ac:dyDescent="0.25">
      <c r="A1968" s="2">
        <v>2849</v>
      </c>
      <c r="B1968" s="2">
        <v>2010</v>
      </c>
      <c r="C1968" s="2" t="s">
        <v>121</v>
      </c>
      <c r="D1968" s="2" t="s">
        <v>122</v>
      </c>
      <c r="E1968" s="2"/>
      <c r="F1968" s="2">
        <v>1</v>
      </c>
      <c r="G1968" s="2" t="s">
        <v>82</v>
      </c>
      <c r="H1968" s="2">
        <v>1</v>
      </c>
      <c r="I1968" s="2" t="s">
        <v>82</v>
      </c>
      <c r="J1968" s="2">
        <v>1</v>
      </c>
      <c r="K1968" s="2" t="s">
        <v>107</v>
      </c>
      <c r="L1968" s="2" t="s">
        <v>107</v>
      </c>
      <c r="M1968" s="3">
        <v>40310</v>
      </c>
      <c r="N1968" s="2"/>
      <c r="O1968" s="2"/>
      <c r="P1968" s="2"/>
      <c r="Q1968" s="2" t="str">
        <f>""</f>
        <v/>
      </c>
      <c r="R1968" s="2"/>
      <c r="S1968" s="2"/>
      <c r="T1968" s="2">
        <v>2</v>
      </c>
      <c r="U1968" s="2" t="s">
        <v>123</v>
      </c>
      <c r="V1968" s="2">
        <v>1</v>
      </c>
      <c r="W1968" s="2" t="s">
        <v>80</v>
      </c>
      <c r="X1968" s="2">
        <v>1</v>
      </c>
      <c r="Y1968" s="2" t="s">
        <v>81</v>
      </c>
      <c r="Z1968" s="2">
        <v>1</v>
      </c>
      <c r="AA1968" s="2" t="s">
        <v>82</v>
      </c>
      <c r="AB1968" s="2">
        <v>9</v>
      </c>
      <c r="AC1968" s="2" t="s">
        <v>124</v>
      </c>
      <c r="AD1968" s="3">
        <v>40310</v>
      </c>
      <c r="AE1968" s="4">
        <v>0.61111111111111105</v>
      </c>
      <c r="AF1968" s="2"/>
      <c r="AG1968" s="2"/>
      <c r="AH1968" s="2">
        <v>6</v>
      </c>
      <c r="AI1968" s="2" t="s">
        <v>197</v>
      </c>
      <c r="AJ1968" s="2">
        <v>58</v>
      </c>
      <c r="AK1968" s="2" t="s">
        <v>406</v>
      </c>
      <c r="AL1968" s="2">
        <v>9</v>
      </c>
      <c r="AM1968" s="2" t="s">
        <v>259</v>
      </c>
      <c r="AN1968" s="2"/>
      <c r="AO1968" s="2" t="s">
        <v>6865</v>
      </c>
      <c r="AP1968" s="2">
        <v>11</v>
      </c>
      <c r="AQ1968" s="2" t="s">
        <v>82</v>
      </c>
      <c r="AR1968" s="2"/>
      <c r="AS1968" s="2"/>
      <c r="AT1968" s="2" t="s">
        <v>6866</v>
      </c>
      <c r="AU1968" s="2"/>
      <c r="AV1968" s="2"/>
      <c r="AW1968" s="2"/>
      <c r="AX1968" s="2"/>
      <c r="AY1968" s="2">
        <v>41</v>
      </c>
      <c r="AZ1968" s="2" t="s">
        <v>82</v>
      </c>
      <c r="BA1968" s="2">
        <v>41</v>
      </c>
      <c r="BB1968" s="2" t="s">
        <v>82</v>
      </c>
      <c r="BC1968" s="2">
        <v>41</v>
      </c>
      <c r="BD1968" s="2" t="s">
        <v>82</v>
      </c>
      <c r="BE1968" s="2">
        <v>41</v>
      </c>
      <c r="BF1968" s="2" t="s">
        <v>82</v>
      </c>
      <c r="BG1968" s="2" t="s">
        <v>6867</v>
      </c>
      <c r="BH1968" s="4">
        <v>0.61111111111111105</v>
      </c>
      <c r="BI1968" s="4">
        <v>0.64583333333333337</v>
      </c>
      <c r="BJ1968" s="2">
        <v>13</v>
      </c>
      <c r="BK1968" s="2" t="s">
        <v>91</v>
      </c>
      <c r="BL1968" s="2" t="s">
        <v>185</v>
      </c>
      <c r="BM1968" s="2">
        <v>241</v>
      </c>
      <c r="BN1968" s="2" t="s">
        <v>82</v>
      </c>
      <c r="BO1968" s="2" t="s">
        <v>82</v>
      </c>
      <c r="BP1968" s="2">
        <v>13</v>
      </c>
      <c r="BQ1968" s="2" t="s">
        <v>91</v>
      </c>
      <c r="BR1968" s="2" t="s">
        <v>492</v>
      </c>
      <c r="BS1968" s="3">
        <v>40310</v>
      </c>
      <c r="BT1968" s="4">
        <v>0.71811342592592586</v>
      </c>
    </row>
    <row r="1969" spans="1:72" x14ac:dyDescent="0.25">
      <c r="A1969" s="2">
        <v>2850</v>
      </c>
      <c r="B1969" s="2">
        <v>2010</v>
      </c>
      <c r="C1969" s="2" t="s">
        <v>819</v>
      </c>
      <c r="D1969" s="2" t="s">
        <v>122</v>
      </c>
      <c r="E1969" s="2"/>
      <c r="F1969" s="2">
        <v>451</v>
      </c>
      <c r="G1969" s="2" t="s">
        <v>879</v>
      </c>
      <c r="H1969" s="2">
        <v>31</v>
      </c>
      <c r="I1969" s="2" t="s">
        <v>880</v>
      </c>
      <c r="J1969" s="2">
        <v>326</v>
      </c>
      <c r="K1969" s="2" t="s">
        <v>881</v>
      </c>
      <c r="L1969" s="2" t="s">
        <v>882</v>
      </c>
      <c r="M1969" s="3">
        <v>40310</v>
      </c>
      <c r="N1969" s="2" t="s">
        <v>1072</v>
      </c>
      <c r="O1969" s="2" t="s">
        <v>5454</v>
      </c>
      <c r="P1969" s="2" t="s">
        <v>5454</v>
      </c>
      <c r="Q1969" s="2" t="str">
        <f>"054/10"</f>
        <v>054/10</v>
      </c>
      <c r="R1969" s="2" t="s">
        <v>5454</v>
      </c>
      <c r="S1969" s="2" t="s">
        <v>822</v>
      </c>
      <c r="T1969" s="2">
        <v>1</v>
      </c>
      <c r="U1969" s="2" t="s">
        <v>79</v>
      </c>
      <c r="V1969" s="2">
        <v>1</v>
      </c>
      <c r="W1969" s="2" t="s">
        <v>80</v>
      </c>
      <c r="X1969" s="2">
        <v>1</v>
      </c>
      <c r="Y1969" s="2" t="s">
        <v>81</v>
      </c>
      <c r="Z1969" s="2">
        <v>10</v>
      </c>
      <c r="AA1969" s="2" t="s">
        <v>236</v>
      </c>
      <c r="AB1969" s="2">
        <v>9</v>
      </c>
      <c r="AC1969" s="2" t="s">
        <v>124</v>
      </c>
      <c r="AD1969" s="3">
        <v>40309</v>
      </c>
      <c r="AE1969" s="4">
        <v>0.92013888888888884</v>
      </c>
      <c r="AF1969" s="2"/>
      <c r="AG1969" s="2"/>
      <c r="AH1969" s="2">
        <v>4</v>
      </c>
      <c r="AI1969" s="2" t="s">
        <v>125</v>
      </c>
      <c r="AJ1969" s="2">
        <v>29</v>
      </c>
      <c r="AK1969" s="2" t="s">
        <v>227</v>
      </c>
      <c r="AL1969" s="2">
        <v>10</v>
      </c>
      <c r="AM1969" s="2" t="s">
        <v>200</v>
      </c>
      <c r="AN1969" s="2" t="s">
        <v>6207</v>
      </c>
      <c r="AO1969" s="2" t="s">
        <v>6208</v>
      </c>
      <c r="AP1969" s="2">
        <v>12</v>
      </c>
      <c r="AQ1969" s="2" t="s">
        <v>322</v>
      </c>
      <c r="AR1969" s="2" t="s">
        <v>6868</v>
      </c>
      <c r="AS1969" s="2" t="s">
        <v>6868</v>
      </c>
      <c r="AT1969" s="2" t="s">
        <v>6869</v>
      </c>
      <c r="AU1969" s="2"/>
      <c r="AV1969" s="2"/>
      <c r="AW1969" s="2"/>
      <c r="AX1969" s="2"/>
      <c r="AY1969" s="2">
        <v>41</v>
      </c>
      <c r="AZ1969" s="2" t="s">
        <v>82</v>
      </c>
      <c r="BA1969" s="2">
        <v>41</v>
      </c>
      <c r="BB1969" s="2" t="s">
        <v>82</v>
      </c>
      <c r="BC1969" s="2">
        <v>54</v>
      </c>
      <c r="BD1969" s="2" t="s">
        <v>369</v>
      </c>
      <c r="BE1969" s="2">
        <v>13</v>
      </c>
      <c r="BF1969" s="2" t="s">
        <v>108</v>
      </c>
      <c r="BG1969" s="2">
        <v>1459</v>
      </c>
      <c r="BH1969" s="4">
        <v>0.88194444444444453</v>
      </c>
      <c r="BI1969" s="4">
        <v>0.91666666666666663</v>
      </c>
      <c r="BJ1969" s="2">
        <v>13</v>
      </c>
      <c r="BK1969" s="2" t="s">
        <v>91</v>
      </c>
      <c r="BL1969" s="2" t="s">
        <v>828</v>
      </c>
      <c r="BM1969" s="2">
        <v>241</v>
      </c>
      <c r="BN1969" s="2" t="s">
        <v>82</v>
      </c>
      <c r="BO1969" s="2" t="s">
        <v>82</v>
      </c>
      <c r="BP1969" s="2">
        <v>13</v>
      </c>
      <c r="BQ1969" s="2" t="s">
        <v>91</v>
      </c>
      <c r="BR1969" s="2" t="s">
        <v>1108</v>
      </c>
      <c r="BS1969" s="3">
        <v>40310</v>
      </c>
      <c r="BT1969" s="4">
        <v>0.72908564814814814</v>
      </c>
    </row>
    <row r="1970" spans="1:72" x14ac:dyDescent="0.25">
      <c r="A1970" s="2">
        <v>2851</v>
      </c>
      <c r="B1970" s="2">
        <v>2010</v>
      </c>
      <c r="C1970" s="2" t="s">
        <v>72</v>
      </c>
      <c r="D1970" s="2" t="s">
        <v>73</v>
      </c>
      <c r="E1970" s="2"/>
      <c r="F1970" s="2">
        <v>24</v>
      </c>
      <c r="G1970" s="2" t="s">
        <v>532</v>
      </c>
      <c r="H1970" s="2">
        <v>22</v>
      </c>
      <c r="I1970" s="2" t="s">
        <v>75</v>
      </c>
      <c r="J1970" s="2">
        <v>300</v>
      </c>
      <c r="K1970" s="2" t="s">
        <v>114</v>
      </c>
      <c r="L1970" s="2" t="s">
        <v>115</v>
      </c>
      <c r="M1970" s="3">
        <v>40310</v>
      </c>
      <c r="N1970" s="2"/>
      <c r="O1970" s="2"/>
      <c r="P1970" s="2"/>
      <c r="Q1970" s="2" t="str">
        <f>"258-E/10"</f>
        <v>258-E/10</v>
      </c>
      <c r="R1970" s="2" t="s">
        <v>116</v>
      </c>
      <c r="S1970" s="2" t="s">
        <v>116</v>
      </c>
      <c r="T1970" s="2">
        <v>1</v>
      </c>
      <c r="U1970" s="2" t="s">
        <v>79</v>
      </c>
      <c r="V1970" s="2">
        <v>1</v>
      </c>
      <c r="W1970" s="2" t="s">
        <v>80</v>
      </c>
      <c r="X1970" s="2">
        <v>12</v>
      </c>
      <c r="Y1970" s="2" t="s">
        <v>148</v>
      </c>
      <c r="Z1970" s="2">
        <v>1</v>
      </c>
      <c r="AA1970" s="2" t="s">
        <v>82</v>
      </c>
      <c r="AB1970" s="2">
        <v>6</v>
      </c>
      <c r="AC1970" s="2" t="s">
        <v>83</v>
      </c>
      <c r="AD1970" s="3">
        <v>40310</v>
      </c>
      <c r="AE1970" s="4">
        <v>0.6875</v>
      </c>
      <c r="AF1970" s="3">
        <v>40310</v>
      </c>
      <c r="AG1970" s="4">
        <v>0.70833333333333337</v>
      </c>
      <c r="AH1970" s="2">
        <v>2</v>
      </c>
      <c r="AI1970" s="2" t="s">
        <v>84</v>
      </c>
      <c r="AJ1970" s="2">
        <v>9</v>
      </c>
      <c r="AK1970" s="2" t="s">
        <v>103</v>
      </c>
      <c r="AL1970" s="2">
        <v>17</v>
      </c>
      <c r="AM1970" s="2" t="s">
        <v>232</v>
      </c>
      <c r="AN1970" s="2"/>
      <c r="AO1970" s="2" t="s">
        <v>6870</v>
      </c>
      <c r="AP1970" s="2">
        <v>11</v>
      </c>
      <c r="AQ1970" s="2" t="s">
        <v>82</v>
      </c>
      <c r="AR1970" s="2"/>
      <c r="AS1970" s="2"/>
      <c r="AT1970" s="2" t="s">
        <v>6871</v>
      </c>
      <c r="AU1970" s="2"/>
      <c r="AV1970" s="2"/>
      <c r="AW1970" s="2"/>
      <c r="AX1970" s="2"/>
      <c r="AY1970" s="2">
        <v>41</v>
      </c>
      <c r="AZ1970" s="2" t="s">
        <v>82</v>
      </c>
      <c r="BA1970" s="2">
        <v>41</v>
      </c>
      <c r="BB1970" s="2" t="s">
        <v>82</v>
      </c>
      <c r="BC1970" s="2">
        <v>41</v>
      </c>
      <c r="BD1970" s="2" t="s">
        <v>82</v>
      </c>
      <c r="BE1970" s="2">
        <v>41</v>
      </c>
      <c r="BF1970" s="2" t="s">
        <v>82</v>
      </c>
      <c r="BG1970" s="2"/>
      <c r="BH1970" s="2"/>
      <c r="BI1970" s="2"/>
      <c r="BJ1970" s="2">
        <v>241</v>
      </c>
      <c r="BK1970" s="2" t="s">
        <v>82</v>
      </c>
      <c r="BL1970" s="2"/>
      <c r="BM1970" s="2">
        <v>241</v>
      </c>
      <c r="BN1970" s="2" t="s">
        <v>82</v>
      </c>
      <c r="BO1970" s="2"/>
      <c r="BP1970" s="2">
        <v>241</v>
      </c>
      <c r="BQ1970" s="2" t="s">
        <v>82</v>
      </c>
      <c r="BR1970" s="2"/>
      <c r="BS1970" s="3">
        <v>40310</v>
      </c>
      <c r="BT1970" s="4">
        <v>0.7446180555555556</v>
      </c>
    </row>
    <row r="1971" spans="1:72" x14ac:dyDescent="0.25">
      <c r="A1971" s="2">
        <v>2852</v>
      </c>
      <c r="B1971" s="2">
        <v>2010</v>
      </c>
      <c r="C1971" s="2" t="s">
        <v>121</v>
      </c>
      <c r="D1971" s="2" t="s">
        <v>122</v>
      </c>
      <c r="E1971" s="2"/>
      <c r="F1971" s="2">
        <v>1</v>
      </c>
      <c r="G1971" s="2" t="s">
        <v>82</v>
      </c>
      <c r="H1971" s="2">
        <v>1</v>
      </c>
      <c r="I1971" s="2" t="s">
        <v>82</v>
      </c>
      <c r="J1971" s="2">
        <v>1</v>
      </c>
      <c r="K1971" s="2" t="s">
        <v>107</v>
      </c>
      <c r="L1971" s="2" t="s">
        <v>107</v>
      </c>
      <c r="M1971" s="3">
        <v>40310</v>
      </c>
      <c r="N1971" s="2"/>
      <c r="O1971" s="2"/>
      <c r="P1971" s="2"/>
      <c r="Q1971" s="2" t="str">
        <f>""</f>
        <v/>
      </c>
      <c r="R1971" s="2"/>
      <c r="S1971" s="2"/>
      <c r="T1971" s="2">
        <v>2</v>
      </c>
      <c r="U1971" s="2" t="s">
        <v>123</v>
      </c>
      <c r="V1971" s="2">
        <v>1</v>
      </c>
      <c r="W1971" s="2" t="s">
        <v>80</v>
      </c>
      <c r="X1971" s="2">
        <v>1</v>
      </c>
      <c r="Y1971" s="2" t="s">
        <v>81</v>
      </c>
      <c r="Z1971" s="2">
        <v>10</v>
      </c>
      <c r="AA1971" s="2" t="s">
        <v>236</v>
      </c>
      <c r="AB1971" s="2">
        <v>9</v>
      </c>
      <c r="AC1971" s="2" t="s">
        <v>124</v>
      </c>
      <c r="AD1971" s="3">
        <v>40310</v>
      </c>
      <c r="AE1971" s="4">
        <v>0.40972222222222227</v>
      </c>
      <c r="AF1971" s="2"/>
      <c r="AG1971" s="2"/>
      <c r="AH1971" s="2">
        <v>5</v>
      </c>
      <c r="AI1971" s="2" t="s">
        <v>274</v>
      </c>
      <c r="AJ1971" s="2">
        <v>43</v>
      </c>
      <c r="AK1971" s="2" t="s">
        <v>918</v>
      </c>
      <c r="AL1971" s="2">
        <v>25</v>
      </c>
      <c r="AM1971" s="2" t="s">
        <v>3073</v>
      </c>
      <c r="AN1971" s="2"/>
      <c r="AO1971" s="2" t="s">
        <v>1540</v>
      </c>
      <c r="AP1971" s="2">
        <v>11</v>
      </c>
      <c r="AQ1971" s="2" t="s">
        <v>82</v>
      </c>
      <c r="AR1971" s="2"/>
      <c r="AS1971" s="2"/>
      <c r="AT1971" s="2" t="s">
        <v>6872</v>
      </c>
      <c r="AU1971" s="2"/>
      <c r="AV1971" s="2"/>
      <c r="AW1971" s="2"/>
      <c r="AX1971" s="2"/>
      <c r="AY1971" s="2">
        <v>41</v>
      </c>
      <c r="AZ1971" s="2" t="s">
        <v>82</v>
      </c>
      <c r="BA1971" s="2">
        <v>41</v>
      </c>
      <c r="BB1971" s="2" t="s">
        <v>82</v>
      </c>
      <c r="BC1971" s="2">
        <v>41</v>
      </c>
      <c r="BD1971" s="2" t="s">
        <v>82</v>
      </c>
      <c r="BE1971" s="2">
        <v>13</v>
      </c>
      <c r="BF1971" s="2" t="s">
        <v>108</v>
      </c>
      <c r="BG1971" s="2">
        <v>1782</v>
      </c>
      <c r="BH1971" s="4">
        <v>0.40972222222222227</v>
      </c>
      <c r="BI1971" s="4">
        <v>0.44305555555555554</v>
      </c>
      <c r="BJ1971" s="2">
        <v>13</v>
      </c>
      <c r="BK1971" s="2" t="s">
        <v>91</v>
      </c>
      <c r="BL1971" s="2" t="s">
        <v>170</v>
      </c>
      <c r="BM1971" s="2">
        <v>241</v>
      </c>
      <c r="BN1971" s="2" t="s">
        <v>82</v>
      </c>
      <c r="BO1971" s="2"/>
      <c r="BP1971" s="2">
        <v>13</v>
      </c>
      <c r="BQ1971" s="2" t="s">
        <v>91</v>
      </c>
      <c r="BR1971" s="2" t="s">
        <v>3387</v>
      </c>
      <c r="BS1971" s="3">
        <v>40310</v>
      </c>
      <c r="BT1971" s="4">
        <v>0.77056712962962959</v>
      </c>
    </row>
    <row r="1972" spans="1:72" x14ac:dyDescent="0.25">
      <c r="A1972" s="2">
        <v>2853</v>
      </c>
      <c r="B1972" s="2">
        <v>2010</v>
      </c>
      <c r="C1972" s="2" t="s">
        <v>385</v>
      </c>
      <c r="D1972" s="2" t="s">
        <v>122</v>
      </c>
      <c r="E1972" s="2"/>
      <c r="F1972" s="2">
        <v>530</v>
      </c>
      <c r="G1972" s="2" t="s">
        <v>3315</v>
      </c>
      <c r="H1972" s="2">
        <v>61</v>
      </c>
      <c r="I1972" s="2" t="s">
        <v>3043</v>
      </c>
      <c r="J1972" s="2">
        <v>4</v>
      </c>
      <c r="K1972" s="2" t="s">
        <v>6873</v>
      </c>
      <c r="L1972" s="2" t="s">
        <v>6874</v>
      </c>
      <c r="M1972" s="3">
        <v>40310</v>
      </c>
      <c r="N1972" s="2" t="s">
        <v>107</v>
      </c>
      <c r="O1972" s="2" t="s">
        <v>107</v>
      </c>
      <c r="P1972" s="2" t="s">
        <v>107</v>
      </c>
      <c r="Q1972" s="2" t="str">
        <f>"N/C"</f>
        <v>N/C</v>
      </c>
      <c r="R1972" s="2" t="s">
        <v>82</v>
      </c>
      <c r="S1972" s="2" t="s">
        <v>107</v>
      </c>
      <c r="T1972" s="2">
        <v>1</v>
      </c>
      <c r="U1972" s="2" t="s">
        <v>79</v>
      </c>
      <c r="V1972" s="2">
        <v>1</v>
      </c>
      <c r="W1972" s="2" t="s">
        <v>80</v>
      </c>
      <c r="X1972" s="2">
        <v>11</v>
      </c>
      <c r="Y1972" s="2" t="s">
        <v>1920</v>
      </c>
      <c r="Z1972" s="2">
        <v>1</v>
      </c>
      <c r="AA1972" s="2" t="s">
        <v>82</v>
      </c>
      <c r="AB1972" s="2">
        <v>9</v>
      </c>
      <c r="AC1972" s="2" t="s">
        <v>124</v>
      </c>
      <c r="AD1972" s="3">
        <v>40310</v>
      </c>
      <c r="AE1972" s="4">
        <v>0.70833333333333337</v>
      </c>
      <c r="AF1972" s="2"/>
      <c r="AG1972" s="2"/>
      <c r="AH1972" s="2">
        <v>2</v>
      </c>
      <c r="AI1972" s="2" t="s">
        <v>84</v>
      </c>
      <c r="AJ1972" s="2">
        <v>9</v>
      </c>
      <c r="AK1972" s="2" t="s">
        <v>103</v>
      </c>
      <c r="AL1972" s="2">
        <v>23</v>
      </c>
      <c r="AM1972" s="2" t="s">
        <v>251</v>
      </c>
      <c r="AN1972" s="2" t="s">
        <v>360</v>
      </c>
      <c r="AO1972" s="2" t="s">
        <v>3325</v>
      </c>
      <c r="AP1972" s="2">
        <v>11</v>
      </c>
      <c r="AQ1972" s="2" t="s">
        <v>82</v>
      </c>
      <c r="AR1972" s="2"/>
      <c r="AS1972" s="2"/>
      <c r="AT1972" s="2" t="s">
        <v>6875</v>
      </c>
      <c r="AU1972" s="2"/>
      <c r="AV1972" s="2">
        <v>1</v>
      </c>
      <c r="AW1972" s="2"/>
      <c r="AX1972" s="2"/>
      <c r="AY1972" s="2">
        <v>41</v>
      </c>
      <c r="AZ1972" s="2" t="s">
        <v>82</v>
      </c>
      <c r="BA1972" s="2">
        <v>41</v>
      </c>
      <c r="BB1972" s="2" t="s">
        <v>82</v>
      </c>
      <c r="BC1972" s="2">
        <v>41</v>
      </c>
      <c r="BD1972" s="2" t="s">
        <v>82</v>
      </c>
      <c r="BE1972" s="2">
        <v>41</v>
      </c>
      <c r="BF1972" s="2" t="s">
        <v>82</v>
      </c>
      <c r="BG1972" s="2"/>
      <c r="BH1972" s="2"/>
      <c r="BI1972" s="2"/>
      <c r="BJ1972" s="2">
        <v>241</v>
      </c>
      <c r="BK1972" s="2" t="s">
        <v>82</v>
      </c>
      <c r="BL1972" s="2"/>
      <c r="BM1972" s="2">
        <v>241</v>
      </c>
      <c r="BN1972" s="2" t="s">
        <v>82</v>
      </c>
      <c r="BO1972" s="2"/>
      <c r="BP1972" s="2">
        <v>241</v>
      </c>
      <c r="BQ1972" s="2" t="s">
        <v>82</v>
      </c>
      <c r="BR1972" s="2"/>
      <c r="BS1972" s="3">
        <v>40310</v>
      </c>
      <c r="BT1972" s="4">
        <v>0.77738425925925936</v>
      </c>
    </row>
    <row r="1973" spans="1:72" x14ac:dyDescent="0.25">
      <c r="A1973" s="2">
        <v>2854</v>
      </c>
      <c r="B1973" s="2">
        <v>2010</v>
      </c>
      <c r="C1973" s="2" t="s">
        <v>171</v>
      </c>
      <c r="D1973" s="2" t="s">
        <v>73</v>
      </c>
      <c r="E1973" s="2" t="s">
        <v>6876</v>
      </c>
      <c r="F1973" s="2">
        <v>425</v>
      </c>
      <c r="G1973" s="2" t="s">
        <v>286</v>
      </c>
      <c r="H1973" s="2">
        <v>39</v>
      </c>
      <c r="I1973" s="2" t="s">
        <v>1117</v>
      </c>
      <c r="J1973" s="2">
        <v>310</v>
      </c>
      <c r="K1973" s="2" t="s">
        <v>288</v>
      </c>
      <c r="L1973" s="2" t="s">
        <v>289</v>
      </c>
      <c r="M1973" s="3">
        <v>40310</v>
      </c>
      <c r="N1973" s="2" t="s">
        <v>2049</v>
      </c>
      <c r="O1973" s="2" t="s">
        <v>2490</v>
      </c>
      <c r="P1973" s="2" t="s">
        <v>5352</v>
      </c>
      <c r="Q1973" s="2" t="str">
        <f>"039/10"</f>
        <v>039/10</v>
      </c>
      <c r="R1973" s="2"/>
      <c r="S1973" s="2" t="s">
        <v>822</v>
      </c>
      <c r="T1973" s="2">
        <v>1</v>
      </c>
      <c r="U1973" s="2" t="s">
        <v>79</v>
      </c>
      <c r="V1973" s="2">
        <v>1</v>
      </c>
      <c r="W1973" s="2" t="s">
        <v>80</v>
      </c>
      <c r="X1973" s="2">
        <v>1</v>
      </c>
      <c r="Y1973" s="2" t="s">
        <v>81</v>
      </c>
      <c r="Z1973" s="2">
        <v>1</v>
      </c>
      <c r="AA1973" s="2" t="s">
        <v>82</v>
      </c>
      <c r="AB1973" s="2">
        <v>1</v>
      </c>
      <c r="AC1973" s="2" t="s">
        <v>178</v>
      </c>
      <c r="AD1973" s="3">
        <v>40310</v>
      </c>
      <c r="AE1973" s="4">
        <v>0.58333333333333337</v>
      </c>
      <c r="AF1973" s="2"/>
      <c r="AG1973" s="2"/>
      <c r="AH1973" s="2">
        <v>4</v>
      </c>
      <c r="AI1973" s="2" t="s">
        <v>125</v>
      </c>
      <c r="AJ1973" s="2">
        <v>29</v>
      </c>
      <c r="AK1973" s="2" t="s">
        <v>227</v>
      </c>
      <c r="AL1973" s="2">
        <v>16</v>
      </c>
      <c r="AM1973" s="2" t="s">
        <v>392</v>
      </c>
      <c r="AN1973" s="2" t="s">
        <v>6877</v>
      </c>
      <c r="AO1973" s="2"/>
      <c r="AP1973" s="2">
        <v>12</v>
      </c>
      <c r="AQ1973" s="2" t="s">
        <v>322</v>
      </c>
      <c r="AR1973" s="2" t="s">
        <v>824</v>
      </c>
      <c r="AS1973" s="2" t="s">
        <v>825</v>
      </c>
      <c r="AT1973" s="2" t="s">
        <v>6878</v>
      </c>
      <c r="AU1973" s="2"/>
      <c r="AV1973" s="2"/>
      <c r="AW1973" s="2"/>
      <c r="AX1973" s="2"/>
      <c r="AY1973" s="2">
        <v>41</v>
      </c>
      <c r="AZ1973" s="2" t="s">
        <v>82</v>
      </c>
      <c r="BA1973" s="2">
        <v>41</v>
      </c>
      <c r="BB1973" s="2" t="s">
        <v>82</v>
      </c>
      <c r="BC1973" s="2">
        <v>51</v>
      </c>
      <c r="BD1973" s="2" t="s">
        <v>827</v>
      </c>
      <c r="BE1973" s="2">
        <v>47</v>
      </c>
      <c r="BF1973" s="2" t="s">
        <v>167</v>
      </c>
      <c r="BG1973" s="2">
        <v>2459</v>
      </c>
      <c r="BH1973" s="4">
        <v>0.91666666666666663</v>
      </c>
      <c r="BI1973" s="4">
        <v>0.94791666666666663</v>
      </c>
      <c r="BJ1973" s="2">
        <v>13</v>
      </c>
      <c r="BK1973" s="2" t="s">
        <v>91</v>
      </c>
      <c r="BL1973" s="2" t="s">
        <v>828</v>
      </c>
      <c r="BM1973" s="2">
        <v>241</v>
      </c>
      <c r="BN1973" s="2" t="s">
        <v>82</v>
      </c>
      <c r="BO1973" s="2" t="s">
        <v>82</v>
      </c>
      <c r="BP1973" s="2">
        <v>13</v>
      </c>
      <c r="BQ1973" s="2" t="s">
        <v>91</v>
      </c>
      <c r="BR1973" s="2" t="s">
        <v>185</v>
      </c>
      <c r="BS1973" s="3">
        <v>40310</v>
      </c>
      <c r="BT1973" s="4">
        <v>0.78688657407407403</v>
      </c>
    </row>
    <row r="1974" spans="1:72" x14ac:dyDescent="0.25">
      <c r="A1974" s="2">
        <v>2855</v>
      </c>
      <c r="B1974" s="2">
        <v>2010</v>
      </c>
      <c r="C1974" s="2" t="s">
        <v>171</v>
      </c>
      <c r="D1974" s="2" t="s">
        <v>73</v>
      </c>
      <c r="E1974" s="2"/>
      <c r="F1974" s="2">
        <v>92</v>
      </c>
      <c r="G1974" s="2" t="s">
        <v>1432</v>
      </c>
      <c r="H1974" s="2">
        <v>22</v>
      </c>
      <c r="I1974" s="2" t="s">
        <v>75</v>
      </c>
      <c r="J1974" s="2">
        <v>119</v>
      </c>
      <c r="K1974" s="2" t="s">
        <v>325</v>
      </c>
      <c r="L1974" s="2" t="s">
        <v>326</v>
      </c>
      <c r="M1974" s="3">
        <v>40310</v>
      </c>
      <c r="N1974" s="2" t="s">
        <v>6879</v>
      </c>
      <c r="O1974" s="2"/>
      <c r="P1974" s="2"/>
      <c r="Q1974" s="2" t="str">
        <f>"0013/2010"</f>
        <v>0013/2010</v>
      </c>
      <c r="R1974" s="2"/>
      <c r="S1974" s="2" t="s">
        <v>6880</v>
      </c>
      <c r="T1974" s="2">
        <v>1</v>
      </c>
      <c r="U1974" s="2" t="s">
        <v>79</v>
      </c>
      <c r="V1974" s="2">
        <v>1</v>
      </c>
      <c r="W1974" s="2" t="s">
        <v>80</v>
      </c>
      <c r="X1974" s="2">
        <v>1</v>
      </c>
      <c r="Y1974" s="2" t="s">
        <v>81</v>
      </c>
      <c r="Z1974" s="2">
        <v>1</v>
      </c>
      <c r="AA1974" s="2" t="s">
        <v>82</v>
      </c>
      <c r="AB1974" s="2">
        <v>1</v>
      </c>
      <c r="AC1974" s="2" t="s">
        <v>178</v>
      </c>
      <c r="AD1974" s="3">
        <v>40310</v>
      </c>
      <c r="AE1974" s="4">
        <v>0.625</v>
      </c>
      <c r="AF1974" s="2"/>
      <c r="AG1974" s="2"/>
      <c r="AH1974" s="2">
        <v>6</v>
      </c>
      <c r="AI1974" s="2" t="s">
        <v>197</v>
      </c>
      <c r="AJ1974" s="2">
        <v>50</v>
      </c>
      <c r="AK1974" s="2" t="s">
        <v>330</v>
      </c>
      <c r="AL1974" s="2">
        <v>11</v>
      </c>
      <c r="AM1974" s="2" t="s">
        <v>137</v>
      </c>
      <c r="AN1974" s="2" t="s">
        <v>416</v>
      </c>
      <c r="AO1974" s="2" t="s">
        <v>6881</v>
      </c>
      <c r="AP1974" s="2">
        <v>11</v>
      </c>
      <c r="AQ1974" s="2" t="s">
        <v>82</v>
      </c>
      <c r="AR1974" s="2"/>
      <c r="AS1974" s="2"/>
      <c r="AT1974" s="2" t="s">
        <v>6882</v>
      </c>
      <c r="AU1974" s="2"/>
      <c r="AV1974" s="2"/>
      <c r="AW1974" s="2"/>
      <c r="AX1974" s="2"/>
      <c r="AY1974" s="2">
        <v>42</v>
      </c>
      <c r="AZ1974" s="2" t="s">
        <v>182</v>
      </c>
      <c r="BA1974" s="2">
        <v>41</v>
      </c>
      <c r="BB1974" s="2" t="s">
        <v>82</v>
      </c>
      <c r="BC1974" s="2">
        <v>41</v>
      </c>
      <c r="BD1974" s="2" t="s">
        <v>82</v>
      </c>
      <c r="BE1974" s="2">
        <v>13</v>
      </c>
      <c r="BF1974" s="2" t="s">
        <v>108</v>
      </c>
      <c r="BG1974" s="2">
        <v>1685</v>
      </c>
      <c r="BH1974" s="4">
        <v>0.61111111111111105</v>
      </c>
      <c r="BI1974" s="4">
        <v>0.63750000000000007</v>
      </c>
      <c r="BJ1974" s="2">
        <v>13</v>
      </c>
      <c r="BK1974" s="2" t="s">
        <v>91</v>
      </c>
      <c r="BL1974" s="2" t="s">
        <v>1199</v>
      </c>
      <c r="BM1974" s="2">
        <v>241</v>
      </c>
      <c r="BN1974" s="2" t="s">
        <v>82</v>
      </c>
      <c r="BO1974" s="2"/>
      <c r="BP1974" s="2">
        <v>13</v>
      </c>
      <c r="BQ1974" s="2" t="s">
        <v>91</v>
      </c>
      <c r="BR1974" s="2" t="s">
        <v>6883</v>
      </c>
      <c r="BS1974" s="3">
        <v>40310</v>
      </c>
      <c r="BT1974" s="4">
        <v>0.81537037037037041</v>
      </c>
    </row>
    <row r="1975" spans="1:72" x14ac:dyDescent="0.25">
      <c r="A1975" s="2">
        <v>2856</v>
      </c>
      <c r="B1975" s="2">
        <v>2010</v>
      </c>
      <c r="C1975" s="2" t="s">
        <v>4543</v>
      </c>
      <c r="D1975" s="2" t="s">
        <v>122</v>
      </c>
      <c r="E1975" s="2"/>
      <c r="F1975" s="2">
        <v>1</v>
      </c>
      <c r="G1975" s="2" t="s">
        <v>82</v>
      </c>
      <c r="H1975" s="2">
        <v>1</v>
      </c>
      <c r="I1975" s="2" t="s">
        <v>82</v>
      </c>
      <c r="J1975" s="2">
        <v>1</v>
      </c>
      <c r="K1975" s="2" t="s">
        <v>107</v>
      </c>
      <c r="L1975" s="2" t="s">
        <v>107</v>
      </c>
      <c r="M1975" s="3">
        <v>40310</v>
      </c>
      <c r="N1975" s="2" t="s">
        <v>82</v>
      </c>
      <c r="O1975" s="2" t="s">
        <v>82</v>
      </c>
      <c r="P1975" s="2" t="s">
        <v>82</v>
      </c>
      <c r="Q1975" s="2" t="str">
        <f>"N/C"</f>
        <v>N/C</v>
      </c>
      <c r="R1975" s="2" t="s">
        <v>82</v>
      </c>
      <c r="S1975" s="2" t="s">
        <v>6884</v>
      </c>
      <c r="T1975" s="2">
        <v>2</v>
      </c>
      <c r="U1975" s="2" t="s">
        <v>123</v>
      </c>
      <c r="V1975" s="2">
        <v>1</v>
      </c>
      <c r="W1975" s="2" t="s">
        <v>80</v>
      </c>
      <c r="X1975" s="2">
        <v>5</v>
      </c>
      <c r="Y1975" s="2" t="s">
        <v>82</v>
      </c>
      <c r="Z1975" s="2">
        <v>1</v>
      </c>
      <c r="AA1975" s="2" t="s">
        <v>82</v>
      </c>
      <c r="AB1975" s="2">
        <v>9</v>
      </c>
      <c r="AC1975" s="2" t="s">
        <v>124</v>
      </c>
      <c r="AD1975" s="3">
        <v>40310</v>
      </c>
      <c r="AE1975" s="4">
        <v>0.80208333333333337</v>
      </c>
      <c r="AF1975" s="2"/>
      <c r="AG1975" s="2"/>
      <c r="AH1975" s="2">
        <v>6</v>
      </c>
      <c r="AI1975" s="2" t="s">
        <v>197</v>
      </c>
      <c r="AJ1975" s="2">
        <v>61</v>
      </c>
      <c r="AK1975" s="2" t="s">
        <v>686</v>
      </c>
      <c r="AL1975" s="2">
        <v>18</v>
      </c>
      <c r="AM1975" s="2" t="s">
        <v>82</v>
      </c>
      <c r="AN1975" s="2" t="s">
        <v>6885</v>
      </c>
      <c r="AO1975" s="2" t="s">
        <v>6886</v>
      </c>
      <c r="AP1975" s="2">
        <v>11</v>
      </c>
      <c r="AQ1975" s="2" t="s">
        <v>82</v>
      </c>
      <c r="AR1975" s="2" t="s">
        <v>82</v>
      </c>
      <c r="AS1975" s="2" t="s">
        <v>82</v>
      </c>
      <c r="AT1975" s="2" t="s">
        <v>6887</v>
      </c>
      <c r="AU1975" s="2"/>
      <c r="AV1975" s="2"/>
      <c r="AW1975" s="2"/>
      <c r="AX1975" s="2"/>
      <c r="AY1975" s="2">
        <v>41</v>
      </c>
      <c r="AZ1975" s="2" t="s">
        <v>82</v>
      </c>
      <c r="BA1975" s="2">
        <v>41</v>
      </c>
      <c r="BB1975" s="2" t="s">
        <v>82</v>
      </c>
      <c r="BC1975" s="2">
        <v>70</v>
      </c>
      <c r="BD1975" s="2" t="s">
        <v>236</v>
      </c>
      <c r="BE1975" s="2">
        <v>13</v>
      </c>
      <c r="BF1975" s="2" t="s">
        <v>108</v>
      </c>
      <c r="BG1975" s="2">
        <v>2849</v>
      </c>
      <c r="BH1975" s="4">
        <v>0.77361111111111114</v>
      </c>
      <c r="BI1975" s="4">
        <v>0.81180555555555556</v>
      </c>
      <c r="BJ1975" s="2">
        <v>13</v>
      </c>
      <c r="BK1975" s="2" t="s">
        <v>91</v>
      </c>
      <c r="BL1975" s="2" t="s">
        <v>690</v>
      </c>
      <c r="BM1975" s="2">
        <v>241</v>
      </c>
      <c r="BN1975" s="2" t="s">
        <v>82</v>
      </c>
      <c r="BO1975" s="2" t="s">
        <v>82</v>
      </c>
      <c r="BP1975" s="2">
        <v>13</v>
      </c>
      <c r="BQ1975" s="2" t="s">
        <v>91</v>
      </c>
      <c r="BR1975" s="2" t="s">
        <v>564</v>
      </c>
      <c r="BS1975" s="3">
        <v>40310</v>
      </c>
      <c r="BT1975" s="4">
        <v>0.87091435185185195</v>
      </c>
    </row>
    <row r="1976" spans="1:72" x14ac:dyDescent="0.25">
      <c r="A1976" s="2">
        <v>2857</v>
      </c>
      <c r="B1976" s="2">
        <v>2010</v>
      </c>
      <c r="C1976" s="2" t="s">
        <v>243</v>
      </c>
      <c r="D1976" s="2" t="s">
        <v>73</v>
      </c>
      <c r="E1976" s="2"/>
      <c r="F1976" s="2">
        <v>390</v>
      </c>
      <c r="G1976" s="2" t="s">
        <v>475</v>
      </c>
      <c r="H1976" s="2">
        <v>6</v>
      </c>
      <c r="I1976" s="2" t="s">
        <v>1088</v>
      </c>
      <c r="J1976" s="2">
        <v>533</v>
      </c>
      <c r="K1976" s="2" t="s">
        <v>6511</v>
      </c>
      <c r="L1976" s="2" t="s">
        <v>478</v>
      </c>
      <c r="M1976" s="3">
        <v>40310</v>
      </c>
      <c r="N1976" s="2" t="s">
        <v>6470</v>
      </c>
      <c r="O1976" s="2"/>
      <c r="P1976" s="2"/>
      <c r="Q1976" s="2" t="str">
        <f>"259-E/10"</f>
        <v>259-E/10</v>
      </c>
      <c r="R1976" s="2" t="s">
        <v>480</v>
      </c>
      <c r="S1976" s="2" t="s">
        <v>480</v>
      </c>
      <c r="T1976" s="2">
        <v>1</v>
      </c>
      <c r="U1976" s="2" t="s">
        <v>79</v>
      </c>
      <c r="V1976" s="2">
        <v>1</v>
      </c>
      <c r="W1976" s="2" t="s">
        <v>80</v>
      </c>
      <c r="X1976" s="2">
        <v>12</v>
      </c>
      <c r="Y1976" s="2" t="s">
        <v>148</v>
      </c>
      <c r="Z1976" s="2">
        <v>1</v>
      </c>
      <c r="AA1976" s="2" t="s">
        <v>82</v>
      </c>
      <c r="AB1976" s="2">
        <v>9</v>
      </c>
      <c r="AC1976" s="2" t="s">
        <v>124</v>
      </c>
      <c r="AD1976" s="3">
        <v>40306</v>
      </c>
      <c r="AE1976" s="4">
        <v>0.875</v>
      </c>
      <c r="AF1976" s="3">
        <v>40310</v>
      </c>
      <c r="AG1976" s="4">
        <v>0.875</v>
      </c>
      <c r="AH1976" s="2">
        <v>2</v>
      </c>
      <c r="AI1976" s="2" t="s">
        <v>84</v>
      </c>
      <c r="AJ1976" s="2">
        <v>9</v>
      </c>
      <c r="AK1976" s="2" t="s">
        <v>103</v>
      </c>
      <c r="AL1976" s="2">
        <v>13</v>
      </c>
      <c r="AM1976" s="2" t="s">
        <v>117</v>
      </c>
      <c r="AN1976" s="2"/>
      <c r="AO1976" s="2" t="s">
        <v>6888</v>
      </c>
      <c r="AP1976" s="2">
        <v>11</v>
      </c>
      <c r="AQ1976" s="2" t="s">
        <v>82</v>
      </c>
      <c r="AR1976" s="2"/>
      <c r="AS1976" s="2"/>
      <c r="AT1976" s="2" t="s">
        <v>6889</v>
      </c>
      <c r="AU1976" s="2"/>
      <c r="AV1976" s="2"/>
      <c r="AW1976" s="2"/>
      <c r="AX1976" s="2"/>
      <c r="AY1976" s="2">
        <v>41</v>
      </c>
      <c r="AZ1976" s="2" t="s">
        <v>82</v>
      </c>
      <c r="BA1976" s="2">
        <v>41</v>
      </c>
      <c r="BB1976" s="2" t="s">
        <v>82</v>
      </c>
      <c r="BC1976" s="2">
        <v>41</v>
      </c>
      <c r="BD1976" s="2" t="s">
        <v>82</v>
      </c>
      <c r="BE1976" s="2">
        <v>41</v>
      </c>
      <c r="BF1976" s="2" t="s">
        <v>82</v>
      </c>
      <c r="BG1976" s="2"/>
      <c r="BH1976" s="2"/>
      <c r="BI1976" s="2"/>
      <c r="BJ1976" s="2">
        <v>241</v>
      </c>
      <c r="BK1976" s="2" t="s">
        <v>82</v>
      </c>
      <c r="BL1976" s="2"/>
      <c r="BM1976" s="2">
        <v>241</v>
      </c>
      <c r="BN1976" s="2" t="s">
        <v>82</v>
      </c>
      <c r="BO1976" s="2"/>
      <c r="BP1976" s="2">
        <v>241</v>
      </c>
      <c r="BQ1976" s="2" t="s">
        <v>82</v>
      </c>
      <c r="BR1976" s="2"/>
      <c r="BS1976" s="3">
        <v>40310</v>
      </c>
      <c r="BT1976" s="4">
        <v>0.91445601851851854</v>
      </c>
    </row>
    <row r="1977" spans="1:72" x14ac:dyDescent="0.25">
      <c r="A1977" s="2">
        <v>2858</v>
      </c>
      <c r="B1977" s="2">
        <v>2010</v>
      </c>
      <c r="C1977" s="2" t="s">
        <v>819</v>
      </c>
      <c r="D1977" s="2" t="s">
        <v>122</v>
      </c>
      <c r="E1977" s="2" t="s">
        <v>6890</v>
      </c>
      <c r="F1977" s="2">
        <v>451</v>
      </c>
      <c r="G1977" s="2" t="s">
        <v>879</v>
      </c>
      <c r="H1977" s="2">
        <v>31</v>
      </c>
      <c r="I1977" s="2" t="s">
        <v>880</v>
      </c>
      <c r="J1977" s="2">
        <v>326</v>
      </c>
      <c r="K1977" s="2" t="s">
        <v>881</v>
      </c>
      <c r="L1977" s="2" t="s">
        <v>882</v>
      </c>
      <c r="M1977" s="3">
        <v>40310</v>
      </c>
      <c r="N1977" s="2" t="s">
        <v>6862</v>
      </c>
      <c r="O1977" s="2" t="s">
        <v>5454</v>
      </c>
      <c r="P1977" s="2" t="s">
        <v>5454</v>
      </c>
      <c r="Q1977" s="2" t="str">
        <f>"053/10"</f>
        <v>053/10</v>
      </c>
      <c r="R1977" s="2"/>
      <c r="S1977" s="2" t="s">
        <v>822</v>
      </c>
      <c r="T1977" s="2">
        <v>1</v>
      </c>
      <c r="U1977" s="2" t="s">
        <v>79</v>
      </c>
      <c r="V1977" s="2">
        <v>1</v>
      </c>
      <c r="W1977" s="2" t="s">
        <v>80</v>
      </c>
      <c r="X1977" s="2">
        <v>1</v>
      </c>
      <c r="Y1977" s="2" t="s">
        <v>81</v>
      </c>
      <c r="Z1977" s="2">
        <v>10</v>
      </c>
      <c r="AA1977" s="2" t="s">
        <v>236</v>
      </c>
      <c r="AB1977" s="2">
        <v>9</v>
      </c>
      <c r="AC1977" s="2" t="s">
        <v>124</v>
      </c>
      <c r="AD1977" s="3">
        <v>40310</v>
      </c>
      <c r="AE1977" s="4">
        <v>0.90625</v>
      </c>
      <c r="AF1977" s="2"/>
      <c r="AG1977" s="2"/>
      <c r="AH1977" s="2">
        <v>4</v>
      </c>
      <c r="AI1977" s="2" t="s">
        <v>125</v>
      </c>
      <c r="AJ1977" s="2">
        <v>29</v>
      </c>
      <c r="AK1977" s="2" t="s">
        <v>227</v>
      </c>
      <c r="AL1977" s="2">
        <v>16</v>
      </c>
      <c r="AM1977" s="2" t="s">
        <v>392</v>
      </c>
      <c r="AN1977" s="2" t="s">
        <v>3040</v>
      </c>
      <c r="AO1977" s="2" t="s">
        <v>3176</v>
      </c>
      <c r="AP1977" s="2">
        <v>12</v>
      </c>
      <c r="AQ1977" s="2" t="s">
        <v>322</v>
      </c>
      <c r="AR1977" s="2" t="s">
        <v>824</v>
      </c>
      <c r="AS1977" s="2" t="s">
        <v>884</v>
      </c>
      <c r="AT1977" s="2" t="s">
        <v>6891</v>
      </c>
      <c r="AU1977" s="2"/>
      <c r="AV1977" s="2"/>
      <c r="AW1977" s="2"/>
      <c r="AX1977" s="2"/>
      <c r="AY1977" s="2">
        <v>41</v>
      </c>
      <c r="AZ1977" s="2" t="s">
        <v>82</v>
      </c>
      <c r="BA1977" s="2">
        <v>41</v>
      </c>
      <c r="BB1977" s="2" t="s">
        <v>82</v>
      </c>
      <c r="BC1977" s="2">
        <v>41</v>
      </c>
      <c r="BD1977" s="2" t="s">
        <v>82</v>
      </c>
      <c r="BE1977" s="2">
        <v>13</v>
      </c>
      <c r="BF1977" s="2" t="s">
        <v>108</v>
      </c>
      <c r="BG1977" s="2">
        <v>1459</v>
      </c>
      <c r="BH1977" s="4">
        <v>0.89583333333333337</v>
      </c>
      <c r="BI1977" s="4">
        <v>0.92361111111111116</v>
      </c>
      <c r="BJ1977" s="2">
        <v>13</v>
      </c>
      <c r="BK1977" s="2" t="s">
        <v>91</v>
      </c>
      <c r="BL1977" s="2" t="s">
        <v>828</v>
      </c>
      <c r="BM1977" s="2">
        <v>241</v>
      </c>
      <c r="BN1977" s="2" t="s">
        <v>82</v>
      </c>
      <c r="BO1977" s="2" t="s">
        <v>82</v>
      </c>
      <c r="BP1977" s="2">
        <v>13</v>
      </c>
      <c r="BQ1977" s="2" t="s">
        <v>91</v>
      </c>
      <c r="BR1977" s="2" t="s">
        <v>1108</v>
      </c>
      <c r="BS1977" s="3">
        <v>40310</v>
      </c>
      <c r="BT1977" s="4">
        <v>0.92577546296296298</v>
      </c>
    </row>
    <row r="1978" spans="1:72" x14ac:dyDescent="0.25">
      <c r="A1978" s="2">
        <v>2859</v>
      </c>
      <c r="B1978" s="2">
        <v>2010</v>
      </c>
      <c r="C1978" s="2" t="s">
        <v>171</v>
      </c>
      <c r="D1978" s="2" t="s">
        <v>73</v>
      </c>
      <c r="E1978" s="2" t="s">
        <v>6892</v>
      </c>
      <c r="F1978" s="2">
        <v>451</v>
      </c>
      <c r="G1978" s="2" t="s">
        <v>879</v>
      </c>
      <c r="H1978" s="2">
        <v>31</v>
      </c>
      <c r="I1978" s="2" t="s">
        <v>880</v>
      </c>
      <c r="J1978" s="2">
        <v>326</v>
      </c>
      <c r="K1978" s="2" t="s">
        <v>881</v>
      </c>
      <c r="L1978" s="2" t="s">
        <v>882</v>
      </c>
      <c r="M1978" s="3">
        <v>40310</v>
      </c>
      <c r="N1978" s="2" t="s">
        <v>1072</v>
      </c>
      <c r="O1978" s="2" t="s">
        <v>6893</v>
      </c>
      <c r="P1978" s="2" t="s">
        <v>4295</v>
      </c>
      <c r="Q1978" s="2" t="str">
        <f>"034/10"</f>
        <v>034/10</v>
      </c>
      <c r="R1978" s="2"/>
      <c r="S1978" s="2" t="s">
        <v>822</v>
      </c>
      <c r="T1978" s="2">
        <v>1</v>
      </c>
      <c r="U1978" s="2" t="s">
        <v>79</v>
      </c>
      <c r="V1978" s="2">
        <v>1</v>
      </c>
      <c r="W1978" s="2" t="s">
        <v>80</v>
      </c>
      <c r="X1978" s="2">
        <v>1</v>
      </c>
      <c r="Y1978" s="2" t="s">
        <v>81</v>
      </c>
      <c r="Z1978" s="2">
        <v>1</v>
      </c>
      <c r="AA1978" s="2" t="s">
        <v>82</v>
      </c>
      <c r="AB1978" s="2">
        <v>1</v>
      </c>
      <c r="AC1978" s="2" t="s">
        <v>178</v>
      </c>
      <c r="AD1978" s="3">
        <v>40310</v>
      </c>
      <c r="AE1978" s="4">
        <v>0.63888888888888895</v>
      </c>
      <c r="AF1978" s="2"/>
      <c r="AG1978" s="2"/>
      <c r="AH1978" s="2">
        <v>4</v>
      </c>
      <c r="AI1978" s="2" t="s">
        <v>125</v>
      </c>
      <c r="AJ1978" s="2">
        <v>29</v>
      </c>
      <c r="AK1978" s="2" t="s">
        <v>227</v>
      </c>
      <c r="AL1978" s="2">
        <v>16</v>
      </c>
      <c r="AM1978" s="2" t="s">
        <v>392</v>
      </c>
      <c r="AN1978" s="2" t="s">
        <v>6877</v>
      </c>
      <c r="AO1978" s="2"/>
      <c r="AP1978" s="2">
        <v>12</v>
      </c>
      <c r="AQ1978" s="2" t="s">
        <v>322</v>
      </c>
      <c r="AR1978" s="2" t="s">
        <v>824</v>
      </c>
      <c r="AS1978" s="2" t="s">
        <v>884</v>
      </c>
      <c r="AT1978" s="2" t="s">
        <v>6894</v>
      </c>
      <c r="AU1978" s="2"/>
      <c r="AV1978" s="2"/>
      <c r="AW1978" s="2"/>
      <c r="AX1978" s="2"/>
      <c r="AY1978" s="2">
        <v>41</v>
      </c>
      <c r="AZ1978" s="2" t="s">
        <v>82</v>
      </c>
      <c r="BA1978" s="2">
        <v>41</v>
      </c>
      <c r="BB1978" s="2" t="s">
        <v>82</v>
      </c>
      <c r="BC1978" s="2">
        <v>51</v>
      </c>
      <c r="BD1978" s="2" t="s">
        <v>827</v>
      </c>
      <c r="BE1978" s="2">
        <v>47</v>
      </c>
      <c r="BF1978" s="2" t="s">
        <v>167</v>
      </c>
      <c r="BG1978" s="2">
        <v>2459</v>
      </c>
      <c r="BH1978" s="4">
        <v>0.91666666666666663</v>
      </c>
      <c r="BI1978" s="4">
        <v>0.95138888888888884</v>
      </c>
      <c r="BJ1978" s="2">
        <v>13</v>
      </c>
      <c r="BK1978" s="2" t="s">
        <v>91</v>
      </c>
      <c r="BL1978" s="2" t="s">
        <v>828</v>
      </c>
      <c r="BM1978" s="2">
        <v>241</v>
      </c>
      <c r="BN1978" s="2" t="s">
        <v>82</v>
      </c>
      <c r="BO1978" s="2" t="s">
        <v>82</v>
      </c>
      <c r="BP1978" s="2">
        <v>13</v>
      </c>
      <c r="BQ1978" s="2" t="s">
        <v>91</v>
      </c>
      <c r="BR1978" s="2" t="s">
        <v>1108</v>
      </c>
      <c r="BS1978" s="3">
        <v>40310</v>
      </c>
      <c r="BT1978" s="4">
        <v>0.94784722222222229</v>
      </c>
    </row>
    <row r="1979" spans="1:72" x14ac:dyDescent="0.25">
      <c r="A1979" s="2">
        <v>2861</v>
      </c>
      <c r="B1979" s="2">
        <v>2010</v>
      </c>
      <c r="C1979" s="2" t="s">
        <v>4543</v>
      </c>
      <c r="D1979" s="2" t="s">
        <v>122</v>
      </c>
      <c r="E1979" s="2"/>
      <c r="F1979" s="2">
        <v>1</v>
      </c>
      <c r="G1979" s="2" t="s">
        <v>82</v>
      </c>
      <c r="H1979" s="2">
        <v>1</v>
      </c>
      <c r="I1979" s="2" t="s">
        <v>82</v>
      </c>
      <c r="J1979" s="2">
        <v>1</v>
      </c>
      <c r="K1979" s="2" t="s">
        <v>107</v>
      </c>
      <c r="L1979" s="2" t="s">
        <v>107</v>
      </c>
      <c r="M1979" s="3">
        <v>40311</v>
      </c>
      <c r="N1979" s="2"/>
      <c r="O1979" s="2"/>
      <c r="P1979" s="2"/>
      <c r="Q1979" s="2" t="str">
        <f>""</f>
        <v/>
      </c>
      <c r="R1979" s="2"/>
      <c r="S1979" s="2"/>
      <c r="T1979" s="2">
        <v>2</v>
      </c>
      <c r="U1979" s="2" t="s">
        <v>123</v>
      </c>
      <c r="V1979" s="2">
        <v>1</v>
      </c>
      <c r="W1979" s="2" t="s">
        <v>80</v>
      </c>
      <c r="X1979" s="2">
        <v>11</v>
      </c>
      <c r="Y1979" s="2" t="s">
        <v>1920</v>
      </c>
      <c r="Z1979" s="2">
        <v>1</v>
      </c>
      <c r="AA1979" s="2" t="s">
        <v>82</v>
      </c>
      <c r="AB1979" s="2">
        <v>9</v>
      </c>
      <c r="AC1979" s="2" t="s">
        <v>124</v>
      </c>
      <c r="AD1979" s="3">
        <v>40311</v>
      </c>
      <c r="AE1979" s="4">
        <v>0.27430555555555552</v>
      </c>
      <c r="AF1979" s="2"/>
      <c r="AG1979" s="2"/>
      <c r="AH1979" s="2">
        <v>6</v>
      </c>
      <c r="AI1979" s="2" t="s">
        <v>197</v>
      </c>
      <c r="AJ1979" s="2">
        <v>54</v>
      </c>
      <c r="AK1979" s="2" t="s">
        <v>348</v>
      </c>
      <c r="AL1979" s="2">
        <v>18</v>
      </c>
      <c r="AM1979" s="2" t="s">
        <v>82</v>
      </c>
      <c r="AN1979" s="2" t="s">
        <v>6895</v>
      </c>
      <c r="AO1979" s="2" t="s">
        <v>200</v>
      </c>
      <c r="AP1979" s="2">
        <v>12</v>
      </c>
      <c r="AQ1979" s="2" t="s">
        <v>322</v>
      </c>
      <c r="AR1979" s="2" t="s">
        <v>596</v>
      </c>
      <c r="AS1979" s="2" t="s">
        <v>596</v>
      </c>
      <c r="AT1979" s="2" t="s">
        <v>6896</v>
      </c>
      <c r="AU1979" s="2"/>
      <c r="AV1979" s="2"/>
      <c r="AW1979" s="2"/>
      <c r="AX1979" s="2"/>
      <c r="AY1979" s="2">
        <v>1</v>
      </c>
      <c r="AZ1979" s="2" t="s">
        <v>107</v>
      </c>
      <c r="BA1979" s="2">
        <v>1</v>
      </c>
      <c r="BB1979" s="2" t="s">
        <v>107</v>
      </c>
      <c r="BC1979" s="2">
        <v>1</v>
      </c>
      <c r="BD1979" s="2" t="s">
        <v>107</v>
      </c>
      <c r="BE1979" s="2">
        <v>47</v>
      </c>
      <c r="BF1979" s="2" t="s">
        <v>167</v>
      </c>
      <c r="BG1979" s="2" t="s">
        <v>1165</v>
      </c>
      <c r="BH1979" s="2"/>
      <c r="BI1979" s="4">
        <v>0.26041666666666669</v>
      </c>
      <c r="BJ1979" s="2">
        <v>13</v>
      </c>
      <c r="BK1979" s="2" t="s">
        <v>91</v>
      </c>
      <c r="BL1979" s="2" t="s">
        <v>2764</v>
      </c>
      <c r="BM1979" s="2">
        <v>242</v>
      </c>
      <c r="BN1979" s="2" t="s">
        <v>107</v>
      </c>
      <c r="BO1979" s="2"/>
      <c r="BP1979" s="2">
        <v>13</v>
      </c>
      <c r="BQ1979" s="2" t="s">
        <v>91</v>
      </c>
      <c r="BR1979" s="2" t="s">
        <v>2168</v>
      </c>
      <c r="BS1979" s="3">
        <v>40311</v>
      </c>
      <c r="BT1979" s="4">
        <v>0.28092592592592591</v>
      </c>
    </row>
    <row r="1980" spans="1:72" x14ac:dyDescent="0.25">
      <c r="A1980" s="2">
        <v>2862</v>
      </c>
      <c r="B1980" s="2">
        <v>2010</v>
      </c>
      <c r="C1980" s="2" t="s">
        <v>171</v>
      </c>
      <c r="D1980" s="2" t="s">
        <v>73</v>
      </c>
      <c r="E1980" s="2"/>
      <c r="F1980" s="2">
        <v>394</v>
      </c>
      <c r="G1980" s="2" t="s">
        <v>172</v>
      </c>
      <c r="H1980" s="2">
        <v>5</v>
      </c>
      <c r="I1980" s="2" t="s">
        <v>634</v>
      </c>
      <c r="J1980" s="2">
        <v>241</v>
      </c>
      <c r="K1980" s="2" t="s">
        <v>174</v>
      </c>
      <c r="L1980" s="2" t="s">
        <v>175</v>
      </c>
      <c r="M1980" s="3">
        <v>40311</v>
      </c>
      <c r="N1980" s="2" t="s">
        <v>719</v>
      </c>
      <c r="O1980" s="2"/>
      <c r="P1980" s="2"/>
      <c r="Q1980" s="2" t="str">
        <f>"260-E/10"</f>
        <v>260-E/10</v>
      </c>
      <c r="R1980" s="2"/>
      <c r="S1980" s="2" t="s">
        <v>391</v>
      </c>
      <c r="T1980" s="2">
        <v>1</v>
      </c>
      <c r="U1980" s="2" t="s">
        <v>79</v>
      </c>
      <c r="V1980" s="2">
        <v>1</v>
      </c>
      <c r="W1980" s="2" t="s">
        <v>80</v>
      </c>
      <c r="X1980" s="2">
        <v>1</v>
      </c>
      <c r="Y1980" s="2" t="s">
        <v>81</v>
      </c>
      <c r="Z1980" s="2">
        <v>1</v>
      </c>
      <c r="AA1980" s="2" t="s">
        <v>82</v>
      </c>
      <c r="AB1980" s="2">
        <v>1</v>
      </c>
      <c r="AC1980" s="2" t="s">
        <v>178</v>
      </c>
      <c r="AD1980" s="3">
        <v>40310</v>
      </c>
      <c r="AE1980" s="4">
        <v>0.85416666666666663</v>
      </c>
      <c r="AF1980" s="2"/>
      <c r="AG1980" s="2"/>
      <c r="AH1980" s="2">
        <v>2</v>
      </c>
      <c r="AI1980" s="2" t="s">
        <v>84</v>
      </c>
      <c r="AJ1980" s="2">
        <v>9</v>
      </c>
      <c r="AK1980" s="2" t="s">
        <v>103</v>
      </c>
      <c r="AL1980" s="2">
        <v>25</v>
      </c>
      <c r="AM1980" s="2" t="s">
        <v>3073</v>
      </c>
      <c r="AN1980" s="2" t="s">
        <v>179</v>
      </c>
      <c r="AO1980" s="2"/>
      <c r="AP1980" s="2">
        <v>11</v>
      </c>
      <c r="AQ1980" s="2" t="s">
        <v>82</v>
      </c>
      <c r="AR1980" s="2"/>
      <c r="AS1980" s="2"/>
      <c r="AT1980" s="2" t="s">
        <v>6897</v>
      </c>
      <c r="AU1980" s="2"/>
      <c r="AV1980" s="2">
        <v>1</v>
      </c>
      <c r="AW1980" s="2"/>
      <c r="AX1980" s="2"/>
      <c r="AY1980" s="2">
        <v>42</v>
      </c>
      <c r="AZ1980" s="2" t="s">
        <v>182</v>
      </c>
      <c r="BA1980" s="2">
        <v>41</v>
      </c>
      <c r="BB1980" s="2" t="s">
        <v>82</v>
      </c>
      <c r="BC1980" s="2">
        <v>41</v>
      </c>
      <c r="BD1980" s="2" t="s">
        <v>82</v>
      </c>
      <c r="BE1980" s="2">
        <v>6</v>
      </c>
      <c r="BF1980" s="2" t="s">
        <v>616</v>
      </c>
      <c r="BG1980" s="2" t="s">
        <v>6898</v>
      </c>
      <c r="BH1980" s="2"/>
      <c r="BI1980" s="4">
        <v>0.89583333333333337</v>
      </c>
      <c r="BJ1980" s="2">
        <v>13</v>
      </c>
      <c r="BK1980" s="2" t="s">
        <v>91</v>
      </c>
      <c r="BL1980" s="2" t="s">
        <v>360</v>
      </c>
      <c r="BM1980" s="2">
        <v>4</v>
      </c>
      <c r="BN1980" s="2" t="s">
        <v>618</v>
      </c>
      <c r="BO1980" s="2" t="s">
        <v>619</v>
      </c>
      <c r="BP1980" s="2">
        <v>109</v>
      </c>
      <c r="BQ1980" s="2" t="s">
        <v>6899</v>
      </c>
      <c r="BR1980" s="2" t="s">
        <v>6900</v>
      </c>
      <c r="BS1980" s="3">
        <v>40311</v>
      </c>
      <c r="BT1980" s="4">
        <v>0.33803240740740742</v>
      </c>
    </row>
    <row r="1981" spans="1:72" x14ac:dyDescent="0.25">
      <c r="A1981" s="2">
        <v>2863</v>
      </c>
      <c r="B1981" s="2">
        <v>2010</v>
      </c>
      <c r="C1981" s="2" t="s">
        <v>121</v>
      </c>
      <c r="D1981" s="2" t="s">
        <v>122</v>
      </c>
      <c r="E1981" s="2"/>
      <c r="F1981" s="2">
        <v>1</v>
      </c>
      <c r="G1981" s="2" t="s">
        <v>82</v>
      </c>
      <c r="H1981" s="2">
        <v>1</v>
      </c>
      <c r="I1981" s="2" t="s">
        <v>82</v>
      </c>
      <c r="J1981" s="2">
        <v>1</v>
      </c>
      <c r="K1981" s="2" t="s">
        <v>107</v>
      </c>
      <c r="L1981" s="2" t="s">
        <v>107</v>
      </c>
      <c r="M1981" s="3">
        <v>40311</v>
      </c>
      <c r="N1981" s="2"/>
      <c r="O1981" s="2"/>
      <c r="P1981" s="2"/>
      <c r="Q1981" s="2" t="str">
        <f>""</f>
        <v/>
      </c>
      <c r="R1981" s="2"/>
      <c r="S1981" s="2"/>
      <c r="T1981" s="2">
        <v>2</v>
      </c>
      <c r="U1981" s="2" t="s">
        <v>123</v>
      </c>
      <c r="V1981" s="2">
        <v>1</v>
      </c>
      <c r="W1981" s="2" t="s">
        <v>80</v>
      </c>
      <c r="X1981" s="2">
        <v>11</v>
      </c>
      <c r="Y1981" s="2" t="s">
        <v>1920</v>
      </c>
      <c r="Z1981" s="2">
        <v>10</v>
      </c>
      <c r="AA1981" s="2" t="s">
        <v>236</v>
      </c>
      <c r="AB1981" s="2">
        <v>9</v>
      </c>
      <c r="AC1981" s="2" t="s">
        <v>124</v>
      </c>
      <c r="AD1981" s="3">
        <v>40281</v>
      </c>
      <c r="AE1981" s="4">
        <v>2.0833333333333332E-2</v>
      </c>
      <c r="AF1981" s="2"/>
      <c r="AG1981" s="2"/>
      <c r="AH1981" s="2">
        <v>2</v>
      </c>
      <c r="AI1981" s="2" t="s">
        <v>84</v>
      </c>
      <c r="AJ1981" s="2">
        <v>9</v>
      </c>
      <c r="AK1981" s="2" t="s">
        <v>103</v>
      </c>
      <c r="AL1981" s="2">
        <v>10</v>
      </c>
      <c r="AM1981" s="2" t="s">
        <v>200</v>
      </c>
      <c r="AN1981" s="2" t="s">
        <v>6901</v>
      </c>
      <c r="AO1981" s="2"/>
      <c r="AP1981" s="2">
        <v>11</v>
      </c>
      <c r="AQ1981" s="2" t="s">
        <v>82</v>
      </c>
      <c r="AR1981" s="2"/>
      <c r="AS1981" s="2"/>
      <c r="AT1981" s="2" t="s">
        <v>6902</v>
      </c>
      <c r="AU1981" s="2"/>
      <c r="AV1981" s="2"/>
      <c r="AW1981" s="2"/>
      <c r="AX1981" s="2"/>
      <c r="AY1981" s="2">
        <v>1</v>
      </c>
      <c r="AZ1981" s="2" t="s">
        <v>107</v>
      </c>
      <c r="BA1981" s="2">
        <v>1</v>
      </c>
      <c r="BB1981" s="2" t="s">
        <v>107</v>
      </c>
      <c r="BC1981" s="2">
        <v>70</v>
      </c>
      <c r="BD1981" s="2" t="s">
        <v>236</v>
      </c>
      <c r="BE1981" s="2">
        <v>41</v>
      </c>
      <c r="BF1981" s="2" t="s">
        <v>82</v>
      </c>
      <c r="BG1981" s="2"/>
      <c r="BH1981" s="2"/>
      <c r="BI1981" s="4">
        <v>2.0833333333333332E-2</v>
      </c>
      <c r="BJ1981" s="2">
        <v>242</v>
      </c>
      <c r="BK1981" s="2" t="s">
        <v>107</v>
      </c>
      <c r="BL1981" s="2"/>
      <c r="BM1981" s="2">
        <v>242</v>
      </c>
      <c r="BN1981" s="2" t="s">
        <v>107</v>
      </c>
      <c r="BO1981" s="2"/>
      <c r="BP1981" s="2">
        <v>13</v>
      </c>
      <c r="BQ1981" s="2" t="s">
        <v>91</v>
      </c>
      <c r="BR1981" s="2" t="s">
        <v>360</v>
      </c>
      <c r="BS1981" s="3">
        <v>40311</v>
      </c>
      <c r="BT1981" s="4">
        <v>0.36937500000000001</v>
      </c>
    </row>
    <row r="1982" spans="1:72" x14ac:dyDescent="0.25">
      <c r="A1982" s="2">
        <v>2864</v>
      </c>
      <c r="B1982" s="2">
        <v>2010</v>
      </c>
      <c r="C1982" s="2" t="s">
        <v>4543</v>
      </c>
      <c r="D1982" s="2" t="s">
        <v>122</v>
      </c>
      <c r="E1982" s="2"/>
      <c r="F1982" s="2">
        <v>1</v>
      </c>
      <c r="G1982" s="2" t="s">
        <v>82</v>
      </c>
      <c r="H1982" s="2">
        <v>1</v>
      </c>
      <c r="I1982" s="2" t="s">
        <v>82</v>
      </c>
      <c r="J1982" s="2">
        <v>1</v>
      </c>
      <c r="K1982" s="2" t="s">
        <v>107</v>
      </c>
      <c r="L1982" s="2" t="s">
        <v>107</v>
      </c>
      <c r="M1982" s="3">
        <v>40311</v>
      </c>
      <c r="N1982" s="2"/>
      <c r="O1982" s="2"/>
      <c r="P1982" s="2"/>
      <c r="Q1982" s="2" t="str">
        <f>""</f>
        <v/>
      </c>
      <c r="R1982" s="2"/>
      <c r="S1982" s="2"/>
      <c r="T1982" s="2">
        <v>2</v>
      </c>
      <c r="U1982" s="2" t="s">
        <v>123</v>
      </c>
      <c r="V1982" s="2">
        <v>1</v>
      </c>
      <c r="W1982" s="2" t="s">
        <v>80</v>
      </c>
      <c r="X1982" s="2">
        <v>11</v>
      </c>
      <c r="Y1982" s="2" t="s">
        <v>1920</v>
      </c>
      <c r="Z1982" s="2">
        <v>1</v>
      </c>
      <c r="AA1982" s="2" t="s">
        <v>82</v>
      </c>
      <c r="AB1982" s="2">
        <v>9</v>
      </c>
      <c r="AC1982" s="2" t="s">
        <v>124</v>
      </c>
      <c r="AD1982" s="3">
        <v>40311</v>
      </c>
      <c r="AE1982" s="4">
        <v>0.36458333333333331</v>
      </c>
      <c r="AF1982" s="2"/>
      <c r="AG1982" s="2"/>
      <c r="AH1982" s="2">
        <v>6</v>
      </c>
      <c r="AI1982" s="2" t="s">
        <v>197</v>
      </c>
      <c r="AJ1982" s="2">
        <v>54</v>
      </c>
      <c r="AK1982" s="2" t="s">
        <v>348</v>
      </c>
      <c r="AL1982" s="2">
        <v>18</v>
      </c>
      <c r="AM1982" s="2" t="s">
        <v>82</v>
      </c>
      <c r="AN1982" s="2" t="s">
        <v>2282</v>
      </c>
      <c r="AO1982" s="2" t="s">
        <v>200</v>
      </c>
      <c r="AP1982" s="2">
        <v>14</v>
      </c>
      <c r="AQ1982" s="2" t="s">
        <v>3301</v>
      </c>
      <c r="AR1982" s="2" t="s">
        <v>596</v>
      </c>
      <c r="AS1982" s="2" t="s">
        <v>596</v>
      </c>
      <c r="AT1982" s="2" t="s">
        <v>6903</v>
      </c>
      <c r="AU1982" s="2"/>
      <c r="AV1982" s="2"/>
      <c r="AW1982" s="2"/>
      <c r="AX1982" s="2"/>
      <c r="AY1982" s="2">
        <v>1</v>
      </c>
      <c r="AZ1982" s="2" t="s">
        <v>107</v>
      </c>
      <c r="BA1982" s="2">
        <v>1</v>
      </c>
      <c r="BB1982" s="2" t="s">
        <v>107</v>
      </c>
      <c r="BC1982" s="2">
        <v>1</v>
      </c>
      <c r="BD1982" s="2" t="s">
        <v>107</v>
      </c>
      <c r="BE1982" s="2">
        <v>4</v>
      </c>
      <c r="BF1982" s="2" t="s">
        <v>90</v>
      </c>
      <c r="BG1982" s="2" t="s">
        <v>5619</v>
      </c>
      <c r="BH1982" s="4">
        <v>0.30763888888888891</v>
      </c>
      <c r="BI1982" s="4">
        <v>0.3576388888888889</v>
      </c>
      <c r="BJ1982" s="2">
        <v>13</v>
      </c>
      <c r="BK1982" s="2" t="s">
        <v>91</v>
      </c>
      <c r="BL1982" s="2" t="s">
        <v>2764</v>
      </c>
      <c r="BM1982" s="2">
        <v>242</v>
      </c>
      <c r="BN1982" s="2" t="s">
        <v>107</v>
      </c>
      <c r="BO1982" s="2"/>
      <c r="BP1982" s="2">
        <v>13</v>
      </c>
      <c r="BQ1982" s="2" t="s">
        <v>91</v>
      </c>
      <c r="BR1982" s="2" t="s">
        <v>6904</v>
      </c>
      <c r="BS1982" s="3">
        <v>40311</v>
      </c>
      <c r="BT1982" s="4">
        <v>0.37612268518518516</v>
      </c>
    </row>
    <row r="1983" spans="1:72" x14ac:dyDescent="0.25">
      <c r="A1983" s="2">
        <v>2865</v>
      </c>
      <c r="B1983" s="2">
        <v>2010</v>
      </c>
      <c r="C1983" s="2" t="s">
        <v>377</v>
      </c>
      <c r="D1983" s="2" t="s">
        <v>73</v>
      </c>
      <c r="E1983" s="2"/>
      <c r="F1983" s="2">
        <v>426</v>
      </c>
      <c r="G1983" s="2" t="s">
        <v>378</v>
      </c>
      <c r="H1983" s="2">
        <v>42</v>
      </c>
      <c r="I1983" s="2" t="s">
        <v>1096</v>
      </c>
      <c r="J1983" s="2">
        <v>311</v>
      </c>
      <c r="K1983" s="2" t="s">
        <v>379</v>
      </c>
      <c r="L1983" s="2" t="s">
        <v>380</v>
      </c>
      <c r="M1983" s="3">
        <v>40311</v>
      </c>
      <c r="N1983" s="2" t="s">
        <v>4427</v>
      </c>
      <c r="O1983" s="2" t="s">
        <v>4428</v>
      </c>
      <c r="P1983" s="2"/>
      <c r="Q1983" s="2" t="str">
        <f>"070-C/10"</f>
        <v>070-C/10</v>
      </c>
      <c r="R1983" s="2"/>
      <c r="S1983" s="2" t="s">
        <v>4428</v>
      </c>
      <c r="T1983" s="2">
        <v>1</v>
      </c>
      <c r="U1983" s="2" t="s">
        <v>79</v>
      </c>
      <c r="V1983" s="2">
        <v>1</v>
      </c>
      <c r="W1983" s="2" t="s">
        <v>80</v>
      </c>
      <c r="X1983" s="2">
        <v>1</v>
      </c>
      <c r="Y1983" s="2" t="s">
        <v>81</v>
      </c>
      <c r="Z1983" s="2">
        <v>1</v>
      </c>
      <c r="AA1983" s="2" t="s">
        <v>82</v>
      </c>
      <c r="AB1983" s="2">
        <v>9</v>
      </c>
      <c r="AC1983" s="2" t="s">
        <v>124</v>
      </c>
      <c r="AD1983" s="3">
        <v>40310</v>
      </c>
      <c r="AE1983" s="4">
        <v>0.56944444444444442</v>
      </c>
      <c r="AF1983" s="2"/>
      <c r="AG1983" s="2"/>
      <c r="AH1983" s="2">
        <v>2</v>
      </c>
      <c r="AI1983" s="2" t="s">
        <v>84</v>
      </c>
      <c r="AJ1983" s="2">
        <v>9</v>
      </c>
      <c r="AK1983" s="2" t="s">
        <v>103</v>
      </c>
      <c r="AL1983" s="2">
        <v>29</v>
      </c>
      <c r="AM1983" s="2" t="s">
        <v>5416</v>
      </c>
      <c r="AN1983" s="2"/>
      <c r="AO1983" s="2" t="s">
        <v>6905</v>
      </c>
      <c r="AP1983" s="2">
        <v>11</v>
      </c>
      <c r="AQ1983" s="2" t="s">
        <v>82</v>
      </c>
      <c r="AR1983" s="2"/>
      <c r="AS1983" s="2"/>
      <c r="AT1983" s="2" t="s">
        <v>6906</v>
      </c>
      <c r="AU1983" s="2"/>
      <c r="AV1983" s="2"/>
      <c r="AW1983" s="2"/>
      <c r="AX1983" s="2"/>
      <c r="AY1983" s="2">
        <v>41</v>
      </c>
      <c r="AZ1983" s="2" t="s">
        <v>82</v>
      </c>
      <c r="BA1983" s="2">
        <v>41</v>
      </c>
      <c r="BB1983" s="2" t="s">
        <v>82</v>
      </c>
      <c r="BC1983" s="2">
        <v>41</v>
      </c>
      <c r="BD1983" s="2" t="s">
        <v>82</v>
      </c>
      <c r="BE1983" s="2">
        <v>41</v>
      </c>
      <c r="BF1983" s="2" t="s">
        <v>82</v>
      </c>
      <c r="BG1983" s="2"/>
      <c r="BH1983" s="2"/>
      <c r="BI1983" s="2"/>
      <c r="BJ1983" s="2">
        <v>241</v>
      </c>
      <c r="BK1983" s="2" t="s">
        <v>82</v>
      </c>
      <c r="BL1983" s="2"/>
      <c r="BM1983" s="2">
        <v>241</v>
      </c>
      <c r="BN1983" s="2" t="s">
        <v>82</v>
      </c>
      <c r="BO1983" s="2"/>
      <c r="BP1983" s="2">
        <v>241</v>
      </c>
      <c r="BQ1983" s="2" t="s">
        <v>82</v>
      </c>
      <c r="BR1983" s="2"/>
      <c r="BS1983" s="3">
        <v>40311</v>
      </c>
      <c r="BT1983" s="4">
        <v>0.3863078703703704</v>
      </c>
    </row>
    <row r="1984" spans="1:72" x14ac:dyDescent="0.25">
      <c r="A1984" s="2">
        <v>2867</v>
      </c>
      <c r="B1984" s="2">
        <v>2010</v>
      </c>
      <c r="C1984" s="2" t="s">
        <v>196</v>
      </c>
      <c r="D1984" s="2" t="s">
        <v>122</v>
      </c>
      <c r="E1984" s="2"/>
      <c r="F1984" s="2">
        <v>1</v>
      </c>
      <c r="G1984" s="2" t="s">
        <v>82</v>
      </c>
      <c r="H1984" s="2">
        <v>1</v>
      </c>
      <c r="I1984" s="2" t="s">
        <v>82</v>
      </c>
      <c r="J1984" s="2">
        <v>1</v>
      </c>
      <c r="K1984" s="2" t="s">
        <v>107</v>
      </c>
      <c r="L1984" s="2" t="s">
        <v>107</v>
      </c>
      <c r="M1984" s="3">
        <v>40311</v>
      </c>
      <c r="N1984" s="2"/>
      <c r="O1984" s="2"/>
      <c r="P1984" s="2"/>
      <c r="Q1984" s="2" t="str">
        <f>""</f>
        <v/>
      </c>
      <c r="R1984" s="2"/>
      <c r="S1984" s="2"/>
      <c r="T1984" s="2">
        <v>2</v>
      </c>
      <c r="U1984" s="2" t="s">
        <v>123</v>
      </c>
      <c r="V1984" s="2">
        <v>1</v>
      </c>
      <c r="W1984" s="2" t="s">
        <v>80</v>
      </c>
      <c r="X1984" s="2">
        <v>1</v>
      </c>
      <c r="Y1984" s="2" t="s">
        <v>81</v>
      </c>
      <c r="Z1984" s="2">
        <v>10</v>
      </c>
      <c r="AA1984" s="2" t="s">
        <v>236</v>
      </c>
      <c r="AB1984" s="2">
        <v>9</v>
      </c>
      <c r="AC1984" s="2" t="s">
        <v>124</v>
      </c>
      <c r="AD1984" s="3">
        <v>40311</v>
      </c>
      <c r="AE1984" s="4">
        <v>0.35416666666666669</v>
      </c>
      <c r="AF1984" s="2"/>
      <c r="AG1984" s="2"/>
      <c r="AH1984" s="2">
        <v>2</v>
      </c>
      <c r="AI1984" s="2" t="s">
        <v>84</v>
      </c>
      <c r="AJ1984" s="2">
        <v>12</v>
      </c>
      <c r="AK1984" s="2" t="s">
        <v>85</v>
      </c>
      <c r="AL1984" s="2">
        <v>20</v>
      </c>
      <c r="AM1984" s="2" t="s">
        <v>992</v>
      </c>
      <c r="AN1984" s="2" t="s">
        <v>107</v>
      </c>
      <c r="AO1984" s="2" t="s">
        <v>6749</v>
      </c>
      <c r="AP1984" s="2">
        <v>11</v>
      </c>
      <c r="AQ1984" s="2" t="s">
        <v>82</v>
      </c>
      <c r="AR1984" s="2"/>
      <c r="AS1984" s="2"/>
      <c r="AT1984" s="2" t="s">
        <v>6907</v>
      </c>
      <c r="AU1984" s="2"/>
      <c r="AV1984" s="2"/>
      <c r="AW1984" s="2"/>
      <c r="AX1984" s="2"/>
      <c r="AY1984" s="2">
        <v>1</v>
      </c>
      <c r="AZ1984" s="2" t="s">
        <v>107</v>
      </c>
      <c r="BA1984" s="2">
        <v>1</v>
      </c>
      <c r="BB1984" s="2" t="s">
        <v>107</v>
      </c>
      <c r="BC1984" s="2">
        <v>1</v>
      </c>
      <c r="BD1984" s="2" t="s">
        <v>107</v>
      </c>
      <c r="BE1984" s="2">
        <v>1</v>
      </c>
      <c r="BF1984" s="2" t="s">
        <v>107</v>
      </c>
      <c r="BG1984" s="2"/>
      <c r="BH1984" s="4">
        <v>0.46180555555555558</v>
      </c>
      <c r="BI1984" s="4">
        <v>0.46875</v>
      </c>
      <c r="BJ1984" s="2">
        <v>13</v>
      </c>
      <c r="BK1984" s="2" t="s">
        <v>91</v>
      </c>
      <c r="BL1984" s="2"/>
      <c r="BM1984" s="2">
        <v>241</v>
      </c>
      <c r="BN1984" s="2" t="s">
        <v>82</v>
      </c>
      <c r="BO1984" s="2"/>
      <c r="BP1984" s="2">
        <v>13</v>
      </c>
      <c r="BQ1984" s="2" t="s">
        <v>91</v>
      </c>
      <c r="BR1984" s="2" t="s">
        <v>1705</v>
      </c>
      <c r="BS1984" s="3">
        <v>40311</v>
      </c>
      <c r="BT1984" s="4">
        <v>0.49158564814814815</v>
      </c>
    </row>
    <row r="1985" spans="1:72" x14ac:dyDescent="0.25">
      <c r="A1985" s="2">
        <v>2868</v>
      </c>
      <c r="B1985" s="2">
        <v>2010</v>
      </c>
      <c r="C1985" s="2" t="s">
        <v>196</v>
      </c>
      <c r="D1985" s="2" t="s">
        <v>122</v>
      </c>
      <c r="E1985" s="2"/>
      <c r="F1985" s="2">
        <v>1</v>
      </c>
      <c r="G1985" s="2" t="s">
        <v>82</v>
      </c>
      <c r="H1985" s="2">
        <v>1</v>
      </c>
      <c r="I1985" s="2" t="s">
        <v>82</v>
      </c>
      <c r="J1985" s="2">
        <v>1</v>
      </c>
      <c r="K1985" s="2" t="s">
        <v>107</v>
      </c>
      <c r="L1985" s="2" t="s">
        <v>107</v>
      </c>
      <c r="M1985" s="3">
        <v>40311</v>
      </c>
      <c r="N1985" s="2" t="s">
        <v>82</v>
      </c>
      <c r="O1985" s="2" t="s">
        <v>82</v>
      </c>
      <c r="P1985" s="2" t="s">
        <v>82</v>
      </c>
      <c r="Q1985" s="2" t="str">
        <f>"N/C"</f>
        <v>N/C</v>
      </c>
      <c r="R1985" s="2" t="s">
        <v>82</v>
      </c>
      <c r="S1985" s="2" t="s">
        <v>82</v>
      </c>
      <c r="T1985" s="2">
        <v>2</v>
      </c>
      <c r="U1985" s="2" t="s">
        <v>123</v>
      </c>
      <c r="V1985" s="2">
        <v>1</v>
      </c>
      <c r="W1985" s="2" t="s">
        <v>80</v>
      </c>
      <c r="X1985" s="2">
        <v>5</v>
      </c>
      <c r="Y1985" s="2" t="s">
        <v>82</v>
      </c>
      <c r="Z1985" s="2">
        <v>4</v>
      </c>
      <c r="AA1985" s="2" t="s">
        <v>182</v>
      </c>
      <c r="AB1985" s="2">
        <v>9</v>
      </c>
      <c r="AC1985" s="2" t="s">
        <v>124</v>
      </c>
      <c r="AD1985" s="3">
        <v>40311</v>
      </c>
      <c r="AE1985" s="4">
        <v>0.33333333333333331</v>
      </c>
      <c r="AF1985" s="3">
        <v>40311</v>
      </c>
      <c r="AG1985" s="4">
        <v>0.33333333333333331</v>
      </c>
      <c r="AH1985" s="2">
        <v>5</v>
      </c>
      <c r="AI1985" s="2" t="s">
        <v>274</v>
      </c>
      <c r="AJ1985" s="2">
        <v>45</v>
      </c>
      <c r="AK1985" s="2" t="s">
        <v>834</v>
      </c>
      <c r="AL1985" s="2">
        <v>10</v>
      </c>
      <c r="AM1985" s="2" t="s">
        <v>200</v>
      </c>
      <c r="AN1985" s="2" t="s">
        <v>82</v>
      </c>
      <c r="AO1985" s="2" t="s">
        <v>82</v>
      </c>
      <c r="AP1985" s="2">
        <v>11</v>
      </c>
      <c r="AQ1985" s="2" t="s">
        <v>82</v>
      </c>
      <c r="AR1985" s="2" t="s">
        <v>82</v>
      </c>
      <c r="AS1985" s="2" t="s">
        <v>82</v>
      </c>
      <c r="AT1985" s="2" t="s">
        <v>6908</v>
      </c>
      <c r="AU1985" s="2"/>
      <c r="AV1985" s="2"/>
      <c r="AW1985" s="2"/>
      <c r="AX1985" s="2"/>
      <c r="AY1985" s="2">
        <v>41</v>
      </c>
      <c r="AZ1985" s="2" t="s">
        <v>82</v>
      </c>
      <c r="BA1985" s="2">
        <v>41</v>
      </c>
      <c r="BB1985" s="2" t="s">
        <v>82</v>
      </c>
      <c r="BC1985" s="2">
        <v>41</v>
      </c>
      <c r="BD1985" s="2" t="s">
        <v>82</v>
      </c>
      <c r="BE1985" s="2">
        <v>42</v>
      </c>
      <c r="BF1985" s="2" t="s">
        <v>182</v>
      </c>
      <c r="BG1985" s="2" t="s">
        <v>265</v>
      </c>
      <c r="BH1985" s="4">
        <v>0.48958333333333331</v>
      </c>
      <c r="BI1985" s="2"/>
      <c r="BJ1985" s="2">
        <v>242</v>
      </c>
      <c r="BK1985" s="2" t="s">
        <v>107</v>
      </c>
      <c r="BL1985" s="2" t="s">
        <v>6909</v>
      </c>
      <c r="BM1985" s="2">
        <v>13</v>
      </c>
      <c r="BN1985" s="2" t="s">
        <v>91</v>
      </c>
      <c r="BO1985" s="2" t="s">
        <v>1705</v>
      </c>
      <c r="BP1985" s="2">
        <v>13</v>
      </c>
      <c r="BQ1985" s="2" t="s">
        <v>91</v>
      </c>
      <c r="BR1985" s="2" t="s">
        <v>6910</v>
      </c>
      <c r="BS1985" s="3">
        <v>40311</v>
      </c>
      <c r="BT1985" s="4">
        <v>0.52493055555555557</v>
      </c>
    </row>
    <row r="1986" spans="1:72" x14ac:dyDescent="0.25">
      <c r="A1986" s="2">
        <v>2869</v>
      </c>
      <c r="B1986" s="2">
        <v>2010</v>
      </c>
      <c r="C1986" s="2" t="s">
        <v>72</v>
      </c>
      <c r="D1986" s="2" t="s">
        <v>73</v>
      </c>
      <c r="E1986" s="2"/>
      <c r="F1986" s="2">
        <v>24</v>
      </c>
      <c r="G1986" s="2" t="s">
        <v>532</v>
      </c>
      <c r="H1986" s="2">
        <v>1</v>
      </c>
      <c r="I1986" s="2" t="s">
        <v>82</v>
      </c>
      <c r="J1986" s="2">
        <v>300</v>
      </c>
      <c r="K1986" s="2" t="s">
        <v>114</v>
      </c>
      <c r="L1986" s="2" t="s">
        <v>115</v>
      </c>
      <c r="M1986" s="3">
        <v>40311</v>
      </c>
      <c r="N1986" s="2"/>
      <c r="O1986" s="2"/>
      <c r="P1986" s="2"/>
      <c r="Q1986" s="2" t="str">
        <f>"261-E10"</f>
        <v>261-E10</v>
      </c>
      <c r="R1986" s="2" t="s">
        <v>116</v>
      </c>
      <c r="S1986" s="2" t="s">
        <v>116</v>
      </c>
      <c r="T1986" s="2">
        <v>1</v>
      </c>
      <c r="U1986" s="2" t="s">
        <v>79</v>
      </c>
      <c r="V1986" s="2">
        <v>1</v>
      </c>
      <c r="W1986" s="2" t="s">
        <v>80</v>
      </c>
      <c r="X1986" s="2">
        <v>12</v>
      </c>
      <c r="Y1986" s="2" t="s">
        <v>148</v>
      </c>
      <c r="Z1986" s="2">
        <v>1</v>
      </c>
      <c r="AA1986" s="2" t="s">
        <v>82</v>
      </c>
      <c r="AB1986" s="2">
        <v>6</v>
      </c>
      <c r="AC1986" s="2" t="s">
        <v>83</v>
      </c>
      <c r="AD1986" s="3">
        <v>40311</v>
      </c>
      <c r="AE1986" s="4">
        <v>0.3125</v>
      </c>
      <c r="AF1986" s="3">
        <v>40311</v>
      </c>
      <c r="AG1986" s="4">
        <v>0.41666666666666669</v>
      </c>
      <c r="AH1986" s="2">
        <v>2</v>
      </c>
      <c r="AI1986" s="2" t="s">
        <v>84</v>
      </c>
      <c r="AJ1986" s="2">
        <v>9</v>
      </c>
      <c r="AK1986" s="2" t="s">
        <v>103</v>
      </c>
      <c r="AL1986" s="2">
        <v>21</v>
      </c>
      <c r="AM1986" s="2" t="s">
        <v>1311</v>
      </c>
      <c r="AN1986" s="2" t="s">
        <v>6911</v>
      </c>
      <c r="AO1986" s="2" t="s">
        <v>6912</v>
      </c>
      <c r="AP1986" s="2">
        <v>11</v>
      </c>
      <c r="AQ1986" s="2" t="s">
        <v>82</v>
      </c>
      <c r="AR1986" s="2"/>
      <c r="AS1986" s="2"/>
      <c r="AT1986" s="2" t="s">
        <v>6913</v>
      </c>
      <c r="AU1986" s="2"/>
      <c r="AV1986" s="2"/>
      <c r="AW1986" s="2"/>
      <c r="AX1986" s="2"/>
      <c r="AY1986" s="2">
        <v>41</v>
      </c>
      <c r="AZ1986" s="2" t="s">
        <v>82</v>
      </c>
      <c r="BA1986" s="2">
        <v>41</v>
      </c>
      <c r="BB1986" s="2" t="s">
        <v>82</v>
      </c>
      <c r="BC1986" s="2">
        <v>41</v>
      </c>
      <c r="BD1986" s="2" t="s">
        <v>82</v>
      </c>
      <c r="BE1986" s="2">
        <v>17</v>
      </c>
      <c r="BF1986" s="2" t="s">
        <v>508</v>
      </c>
      <c r="BG1986" s="2" t="s">
        <v>6914</v>
      </c>
      <c r="BH1986" s="4">
        <v>0.29166666666666669</v>
      </c>
      <c r="BI1986" s="4">
        <v>0</v>
      </c>
      <c r="BJ1986" s="2">
        <v>75</v>
      </c>
      <c r="BK1986" s="2" t="s">
        <v>1264</v>
      </c>
      <c r="BL1986" s="2" t="s">
        <v>1361</v>
      </c>
      <c r="BM1986" s="2">
        <v>241</v>
      </c>
      <c r="BN1986" s="2" t="s">
        <v>82</v>
      </c>
      <c r="BO1986" s="2"/>
      <c r="BP1986" s="2">
        <v>13</v>
      </c>
      <c r="BQ1986" s="2" t="s">
        <v>91</v>
      </c>
      <c r="BR1986" s="2" t="s">
        <v>6915</v>
      </c>
      <c r="BS1986" s="3">
        <v>40311</v>
      </c>
      <c r="BT1986" s="4">
        <v>0.5516550925925926</v>
      </c>
    </row>
    <row r="1987" spans="1:72" x14ac:dyDescent="0.25">
      <c r="A1987" s="2">
        <v>2870</v>
      </c>
      <c r="B1987" s="2">
        <v>2010</v>
      </c>
      <c r="C1987" s="2" t="s">
        <v>196</v>
      </c>
      <c r="D1987" s="2" t="s">
        <v>122</v>
      </c>
      <c r="E1987" s="2" t="s">
        <v>6916</v>
      </c>
      <c r="F1987" s="2">
        <v>1</v>
      </c>
      <c r="G1987" s="2" t="s">
        <v>82</v>
      </c>
      <c r="H1987" s="2">
        <v>1</v>
      </c>
      <c r="I1987" s="2" t="s">
        <v>82</v>
      </c>
      <c r="J1987" s="2">
        <v>1</v>
      </c>
      <c r="K1987" s="2" t="s">
        <v>107</v>
      </c>
      <c r="L1987" s="2" t="s">
        <v>107</v>
      </c>
      <c r="M1987" s="3">
        <v>40311</v>
      </c>
      <c r="N1987" s="2" t="s">
        <v>82</v>
      </c>
      <c r="O1987" s="2" t="s">
        <v>82</v>
      </c>
      <c r="P1987" s="2" t="s">
        <v>82</v>
      </c>
      <c r="Q1987" s="2" t="str">
        <f>"N/C"</f>
        <v>N/C</v>
      </c>
      <c r="R1987" s="2" t="s">
        <v>82</v>
      </c>
      <c r="S1987" s="2" t="s">
        <v>82</v>
      </c>
      <c r="T1987" s="2">
        <v>2</v>
      </c>
      <c r="U1987" s="2" t="s">
        <v>123</v>
      </c>
      <c r="V1987" s="2">
        <v>1</v>
      </c>
      <c r="W1987" s="2" t="s">
        <v>80</v>
      </c>
      <c r="X1987" s="2">
        <v>11</v>
      </c>
      <c r="Y1987" s="2" t="s">
        <v>1920</v>
      </c>
      <c r="Z1987" s="2">
        <v>4</v>
      </c>
      <c r="AA1987" s="2" t="s">
        <v>182</v>
      </c>
      <c r="AB1987" s="2">
        <v>9</v>
      </c>
      <c r="AC1987" s="2" t="s">
        <v>124</v>
      </c>
      <c r="AD1987" s="3">
        <v>40311</v>
      </c>
      <c r="AE1987" s="4">
        <v>0.33333333333333331</v>
      </c>
      <c r="AF1987" s="3">
        <v>40311</v>
      </c>
      <c r="AG1987" s="4">
        <v>0.33333333333333331</v>
      </c>
      <c r="AH1987" s="2">
        <v>5</v>
      </c>
      <c r="AI1987" s="2" t="s">
        <v>274</v>
      </c>
      <c r="AJ1987" s="2">
        <v>45</v>
      </c>
      <c r="AK1987" s="2" t="s">
        <v>834</v>
      </c>
      <c r="AL1987" s="2">
        <v>10</v>
      </c>
      <c r="AM1987" s="2" t="s">
        <v>200</v>
      </c>
      <c r="AN1987" s="2" t="s">
        <v>82</v>
      </c>
      <c r="AO1987" s="2" t="s">
        <v>82</v>
      </c>
      <c r="AP1987" s="2">
        <v>11</v>
      </c>
      <c r="AQ1987" s="2" t="s">
        <v>82</v>
      </c>
      <c r="AR1987" s="2" t="s">
        <v>82</v>
      </c>
      <c r="AS1987" s="2" t="s">
        <v>82</v>
      </c>
      <c r="AT1987" s="2" t="s">
        <v>6917</v>
      </c>
      <c r="AU1987" s="2"/>
      <c r="AV1987" s="2"/>
      <c r="AW1987" s="2"/>
      <c r="AX1987" s="2"/>
      <c r="AY1987" s="2">
        <v>41</v>
      </c>
      <c r="AZ1987" s="2" t="s">
        <v>82</v>
      </c>
      <c r="BA1987" s="2">
        <v>41</v>
      </c>
      <c r="BB1987" s="2" t="s">
        <v>82</v>
      </c>
      <c r="BC1987" s="2">
        <v>41</v>
      </c>
      <c r="BD1987" s="2" t="s">
        <v>82</v>
      </c>
      <c r="BE1987" s="2">
        <v>42</v>
      </c>
      <c r="BF1987" s="2" t="s">
        <v>182</v>
      </c>
      <c r="BG1987" s="2" t="s">
        <v>265</v>
      </c>
      <c r="BH1987" s="4">
        <v>0.48958333333333331</v>
      </c>
      <c r="BI1987" s="4">
        <v>0.61111111111111105</v>
      </c>
      <c r="BJ1987" s="2">
        <v>13</v>
      </c>
      <c r="BK1987" s="2" t="s">
        <v>91</v>
      </c>
      <c r="BL1987" s="2" t="s">
        <v>534</v>
      </c>
      <c r="BM1987" s="2">
        <v>13</v>
      </c>
      <c r="BN1987" s="2" t="s">
        <v>91</v>
      </c>
      <c r="BO1987" s="2" t="s">
        <v>1705</v>
      </c>
      <c r="BP1987" s="2">
        <v>13</v>
      </c>
      <c r="BQ1987" s="2" t="s">
        <v>91</v>
      </c>
      <c r="BR1987" s="2" t="s">
        <v>534</v>
      </c>
      <c r="BS1987" s="3">
        <v>40311</v>
      </c>
      <c r="BT1987" s="4">
        <v>0.63118055555555552</v>
      </c>
    </row>
    <row r="1988" spans="1:72" x14ac:dyDescent="0.25">
      <c r="A1988" s="2">
        <v>2872</v>
      </c>
      <c r="B1988" s="2">
        <v>2010</v>
      </c>
      <c r="C1988" s="2" t="s">
        <v>377</v>
      </c>
      <c r="D1988" s="2" t="s">
        <v>73</v>
      </c>
      <c r="E1988" s="2"/>
      <c r="F1988" s="2">
        <v>426</v>
      </c>
      <c r="G1988" s="2" t="s">
        <v>378</v>
      </c>
      <c r="H1988" s="2">
        <v>42</v>
      </c>
      <c r="I1988" s="2" t="s">
        <v>1096</v>
      </c>
      <c r="J1988" s="2">
        <v>311</v>
      </c>
      <c r="K1988" s="2" t="s">
        <v>379</v>
      </c>
      <c r="L1988" s="2" t="s">
        <v>380</v>
      </c>
      <c r="M1988" s="3">
        <v>40311</v>
      </c>
      <c r="N1988" s="2" t="s">
        <v>4427</v>
      </c>
      <c r="O1988" s="2" t="s">
        <v>4428</v>
      </c>
      <c r="P1988" s="2"/>
      <c r="Q1988" s="2" t="str">
        <f>"071-C/10"</f>
        <v>071-C/10</v>
      </c>
      <c r="R1988" s="2"/>
      <c r="S1988" s="2" t="s">
        <v>6389</v>
      </c>
      <c r="T1988" s="2">
        <v>1</v>
      </c>
      <c r="U1988" s="2" t="s">
        <v>79</v>
      </c>
      <c r="V1988" s="2">
        <v>1</v>
      </c>
      <c r="W1988" s="2" t="s">
        <v>80</v>
      </c>
      <c r="X1988" s="2">
        <v>1</v>
      </c>
      <c r="Y1988" s="2" t="s">
        <v>81</v>
      </c>
      <c r="Z1988" s="2">
        <v>1</v>
      </c>
      <c r="AA1988" s="2" t="s">
        <v>82</v>
      </c>
      <c r="AB1988" s="2">
        <v>9</v>
      </c>
      <c r="AC1988" s="2" t="s">
        <v>124</v>
      </c>
      <c r="AD1988" s="3">
        <v>40311</v>
      </c>
      <c r="AE1988" s="4">
        <v>0.44444444444444442</v>
      </c>
      <c r="AF1988" s="2"/>
      <c r="AG1988" s="2"/>
      <c r="AH1988" s="2">
        <v>2</v>
      </c>
      <c r="AI1988" s="2" t="s">
        <v>84</v>
      </c>
      <c r="AJ1988" s="2">
        <v>9</v>
      </c>
      <c r="AK1988" s="2" t="s">
        <v>103</v>
      </c>
      <c r="AL1988" s="2">
        <v>29</v>
      </c>
      <c r="AM1988" s="2" t="s">
        <v>5416</v>
      </c>
      <c r="AN1988" s="2"/>
      <c r="AO1988" s="2" t="s">
        <v>6550</v>
      </c>
      <c r="AP1988" s="2">
        <v>11</v>
      </c>
      <c r="AQ1988" s="2" t="s">
        <v>82</v>
      </c>
      <c r="AR1988" s="2"/>
      <c r="AS1988" s="2"/>
      <c r="AT1988" s="2" t="s">
        <v>6918</v>
      </c>
      <c r="AU1988" s="2"/>
      <c r="AV1988" s="2"/>
      <c r="AW1988" s="2"/>
      <c r="AX1988" s="2"/>
      <c r="AY1988" s="2">
        <v>41</v>
      </c>
      <c r="AZ1988" s="2" t="s">
        <v>82</v>
      </c>
      <c r="BA1988" s="2">
        <v>41</v>
      </c>
      <c r="BB1988" s="2" t="s">
        <v>82</v>
      </c>
      <c r="BC1988" s="2">
        <v>41</v>
      </c>
      <c r="BD1988" s="2" t="s">
        <v>82</v>
      </c>
      <c r="BE1988" s="2">
        <v>41</v>
      </c>
      <c r="BF1988" s="2" t="s">
        <v>82</v>
      </c>
      <c r="BG1988" s="2"/>
      <c r="BH1988" s="2"/>
      <c r="BI1988" s="2"/>
      <c r="BJ1988" s="2">
        <v>241</v>
      </c>
      <c r="BK1988" s="2" t="s">
        <v>82</v>
      </c>
      <c r="BL1988" s="2"/>
      <c r="BM1988" s="2">
        <v>241</v>
      </c>
      <c r="BN1988" s="2" t="s">
        <v>82</v>
      </c>
      <c r="BO1988" s="2"/>
      <c r="BP1988" s="2">
        <v>241</v>
      </c>
      <c r="BQ1988" s="2" t="s">
        <v>82</v>
      </c>
      <c r="BR1988" s="2"/>
      <c r="BS1988" s="3">
        <v>40311</v>
      </c>
      <c r="BT1988" s="4">
        <v>0.67086805555555562</v>
      </c>
    </row>
    <row r="1989" spans="1:72" x14ac:dyDescent="0.25">
      <c r="A1989" s="2">
        <v>2873</v>
      </c>
      <c r="B1989" s="2">
        <v>2010</v>
      </c>
      <c r="C1989" s="2" t="s">
        <v>377</v>
      </c>
      <c r="D1989" s="2" t="s">
        <v>73</v>
      </c>
      <c r="E1989" s="2"/>
      <c r="F1989" s="2">
        <v>426</v>
      </c>
      <c r="G1989" s="2" t="s">
        <v>378</v>
      </c>
      <c r="H1989" s="2">
        <v>42</v>
      </c>
      <c r="I1989" s="2" t="s">
        <v>1096</v>
      </c>
      <c r="J1989" s="2">
        <v>311</v>
      </c>
      <c r="K1989" s="2" t="s">
        <v>379</v>
      </c>
      <c r="L1989" s="2" t="s">
        <v>380</v>
      </c>
      <c r="M1989" s="3">
        <v>40311</v>
      </c>
      <c r="N1989" s="2" t="s">
        <v>4427</v>
      </c>
      <c r="O1989" s="2" t="s">
        <v>4428</v>
      </c>
      <c r="P1989" s="2"/>
      <c r="Q1989" s="2" t="str">
        <f>"073-C/10"</f>
        <v>073-C/10</v>
      </c>
      <c r="R1989" s="2"/>
      <c r="S1989" s="2" t="s">
        <v>4428</v>
      </c>
      <c r="T1989" s="2">
        <v>1</v>
      </c>
      <c r="U1989" s="2" t="s">
        <v>79</v>
      </c>
      <c r="V1989" s="2">
        <v>1</v>
      </c>
      <c r="W1989" s="2" t="s">
        <v>80</v>
      </c>
      <c r="X1989" s="2">
        <v>1</v>
      </c>
      <c r="Y1989" s="2" t="s">
        <v>81</v>
      </c>
      <c r="Z1989" s="2">
        <v>1</v>
      </c>
      <c r="AA1989" s="2" t="s">
        <v>82</v>
      </c>
      <c r="AB1989" s="2">
        <v>9</v>
      </c>
      <c r="AC1989" s="2" t="s">
        <v>124</v>
      </c>
      <c r="AD1989" s="3">
        <v>40311</v>
      </c>
      <c r="AE1989" s="4">
        <v>0.64583333333333337</v>
      </c>
      <c r="AF1989" s="3">
        <v>40311</v>
      </c>
      <c r="AG1989" s="4">
        <v>0.72222222222222221</v>
      </c>
      <c r="AH1989" s="2">
        <v>2</v>
      </c>
      <c r="AI1989" s="2" t="s">
        <v>84</v>
      </c>
      <c r="AJ1989" s="2">
        <v>9</v>
      </c>
      <c r="AK1989" s="2" t="s">
        <v>103</v>
      </c>
      <c r="AL1989" s="2">
        <v>29</v>
      </c>
      <c r="AM1989" s="2" t="s">
        <v>5416</v>
      </c>
      <c r="AN1989" s="2" t="s">
        <v>2585</v>
      </c>
      <c r="AO1989" s="2"/>
      <c r="AP1989" s="2">
        <v>11</v>
      </c>
      <c r="AQ1989" s="2" t="s">
        <v>82</v>
      </c>
      <c r="AR1989" s="2"/>
      <c r="AS1989" s="2"/>
      <c r="AT1989" s="2" t="s">
        <v>6919</v>
      </c>
      <c r="AU1989" s="2"/>
      <c r="AV1989" s="2"/>
      <c r="AW1989" s="2"/>
      <c r="AX1989" s="2"/>
      <c r="AY1989" s="2">
        <v>41</v>
      </c>
      <c r="AZ1989" s="2" t="s">
        <v>82</v>
      </c>
      <c r="BA1989" s="2">
        <v>41</v>
      </c>
      <c r="BB1989" s="2" t="s">
        <v>82</v>
      </c>
      <c r="BC1989" s="2">
        <v>41</v>
      </c>
      <c r="BD1989" s="2" t="s">
        <v>82</v>
      </c>
      <c r="BE1989" s="2">
        <v>41</v>
      </c>
      <c r="BF1989" s="2" t="s">
        <v>82</v>
      </c>
      <c r="BG1989" s="2"/>
      <c r="BH1989" s="2"/>
      <c r="BI1989" s="2"/>
      <c r="BJ1989" s="2">
        <v>241</v>
      </c>
      <c r="BK1989" s="2" t="s">
        <v>82</v>
      </c>
      <c r="BL1989" s="2"/>
      <c r="BM1989" s="2">
        <v>241</v>
      </c>
      <c r="BN1989" s="2" t="s">
        <v>82</v>
      </c>
      <c r="BO1989" s="2"/>
      <c r="BP1989" s="2">
        <v>241</v>
      </c>
      <c r="BQ1989" s="2" t="s">
        <v>82</v>
      </c>
      <c r="BR1989" s="2"/>
      <c r="BS1989" s="3">
        <v>40311</v>
      </c>
      <c r="BT1989" s="4">
        <v>0.72644675925925928</v>
      </c>
    </row>
    <row r="1990" spans="1:72" x14ac:dyDescent="0.25">
      <c r="A1990" s="2">
        <v>2875</v>
      </c>
      <c r="B1990" s="2">
        <v>2010</v>
      </c>
      <c r="C1990" s="2" t="s">
        <v>121</v>
      </c>
      <c r="D1990" s="2" t="s">
        <v>122</v>
      </c>
      <c r="E1990" s="2"/>
      <c r="F1990" s="2">
        <v>1</v>
      </c>
      <c r="G1990" s="2" t="s">
        <v>82</v>
      </c>
      <c r="H1990" s="2">
        <v>1</v>
      </c>
      <c r="I1990" s="2" t="s">
        <v>82</v>
      </c>
      <c r="J1990" s="2">
        <v>1</v>
      </c>
      <c r="K1990" s="2" t="s">
        <v>107</v>
      </c>
      <c r="L1990" s="2" t="s">
        <v>107</v>
      </c>
      <c r="M1990" s="3">
        <v>40311</v>
      </c>
      <c r="N1990" s="2"/>
      <c r="O1990" s="2"/>
      <c r="P1990" s="2"/>
      <c r="Q1990" s="2" t="str">
        <f>""</f>
        <v/>
      </c>
      <c r="R1990" s="2"/>
      <c r="S1990" s="2"/>
      <c r="T1990" s="2">
        <v>2</v>
      </c>
      <c r="U1990" s="2" t="s">
        <v>123</v>
      </c>
      <c r="V1990" s="2">
        <v>1</v>
      </c>
      <c r="W1990" s="2" t="s">
        <v>80</v>
      </c>
      <c r="X1990" s="2">
        <v>11</v>
      </c>
      <c r="Y1990" s="2" t="s">
        <v>1920</v>
      </c>
      <c r="Z1990" s="2">
        <v>1</v>
      </c>
      <c r="AA1990" s="2" t="s">
        <v>82</v>
      </c>
      <c r="AB1990" s="2">
        <v>9</v>
      </c>
      <c r="AC1990" s="2" t="s">
        <v>124</v>
      </c>
      <c r="AD1990" s="3">
        <v>40311</v>
      </c>
      <c r="AE1990" s="4">
        <v>0.71180555555555547</v>
      </c>
      <c r="AF1990" s="2"/>
      <c r="AG1990" s="2"/>
      <c r="AH1990" s="2">
        <v>5</v>
      </c>
      <c r="AI1990" s="2" t="s">
        <v>274</v>
      </c>
      <c r="AJ1990" s="2">
        <v>44</v>
      </c>
      <c r="AK1990" s="2" t="s">
        <v>667</v>
      </c>
      <c r="AL1990" s="2">
        <v>19</v>
      </c>
      <c r="AM1990" s="2" t="s">
        <v>107</v>
      </c>
      <c r="AN1990" s="2"/>
      <c r="AO1990" s="2"/>
      <c r="AP1990" s="2">
        <v>11</v>
      </c>
      <c r="AQ1990" s="2" t="s">
        <v>82</v>
      </c>
      <c r="AR1990" s="2"/>
      <c r="AS1990" s="2"/>
      <c r="AT1990" s="2" t="s">
        <v>6920</v>
      </c>
      <c r="AU1990" s="2"/>
      <c r="AV1990" s="2"/>
      <c r="AW1990" s="2"/>
      <c r="AX1990" s="2"/>
      <c r="AY1990" s="2">
        <v>41</v>
      </c>
      <c r="AZ1990" s="2" t="s">
        <v>82</v>
      </c>
      <c r="BA1990" s="2">
        <v>41</v>
      </c>
      <c r="BB1990" s="2" t="s">
        <v>82</v>
      </c>
      <c r="BC1990" s="2">
        <v>41</v>
      </c>
      <c r="BD1990" s="2" t="s">
        <v>82</v>
      </c>
      <c r="BE1990" s="2">
        <v>41</v>
      </c>
      <c r="BF1990" s="2" t="s">
        <v>82</v>
      </c>
      <c r="BG1990" s="2" t="s">
        <v>6921</v>
      </c>
      <c r="BH1990" s="4">
        <v>0.45833333333333331</v>
      </c>
      <c r="BI1990" s="4">
        <v>0.71180555555555547</v>
      </c>
      <c r="BJ1990" s="2">
        <v>241</v>
      </c>
      <c r="BK1990" s="2" t="s">
        <v>82</v>
      </c>
      <c r="BL1990" s="2" t="s">
        <v>185</v>
      </c>
      <c r="BM1990" s="2">
        <v>241</v>
      </c>
      <c r="BN1990" s="2" t="s">
        <v>82</v>
      </c>
      <c r="BO1990" s="2" t="s">
        <v>1026</v>
      </c>
      <c r="BP1990" s="2">
        <v>241</v>
      </c>
      <c r="BQ1990" s="2" t="s">
        <v>82</v>
      </c>
      <c r="BR1990" s="2" t="s">
        <v>185</v>
      </c>
      <c r="BS1990" s="3">
        <v>40311</v>
      </c>
      <c r="BT1990" s="4">
        <v>0.7287499999999999</v>
      </c>
    </row>
    <row r="1991" spans="1:72" x14ac:dyDescent="0.25">
      <c r="A1991" s="2">
        <v>2876</v>
      </c>
      <c r="B1991" s="2">
        <v>2010</v>
      </c>
      <c r="C1991" s="2" t="s">
        <v>171</v>
      </c>
      <c r="D1991" s="2" t="s">
        <v>73</v>
      </c>
      <c r="E1991" s="2"/>
      <c r="F1991" s="2">
        <v>385</v>
      </c>
      <c r="G1991" s="2" t="s">
        <v>990</v>
      </c>
      <c r="H1991" s="2">
        <v>2</v>
      </c>
      <c r="I1991" s="2" t="s">
        <v>267</v>
      </c>
      <c r="J1991" s="2">
        <v>332</v>
      </c>
      <c r="K1991" s="2" t="s">
        <v>913</v>
      </c>
      <c r="L1991" s="2" t="s">
        <v>914</v>
      </c>
      <c r="M1991" s="3">
        <v>40311</v>
      </c>
      <c r="N1991" s="2" t="s">
        <v>6922</v>
      </c>
      <c r="O1991" s="2" t="s">
        <v>6923</v>
      </c>
      <c r="P1991" s="2" t="s">
        <v>6924</v>
      </c>
      <c r="Q1991" s="2" t="str">
        <f>"S/D"</f>
        <v>S/D</v>
      </c>
      <c r="R1991" s="2" t="s">
        <v>82</v>
      </c>
      <c r="S1991" s="2" t="s">
        <v>107</v>
      </c>
      <c r="T1991" s="2">
        <v>1</v>
      </c>
      <c r="U1991" s="2" t="s">
        <v>79</v>
      </c>
      <c r="V1991" s="2">
        <v>1</v>
      </c>
      <c r="W1991" s="2" t="s">
        <v>80</v>
      </c>
      <c r="X1991" s="2">
        <v>4</v>
      </c>
      <c r="Y1991" s="2" t="s">
        <v>463</v>
      </c>
      <c r="Z1991" s="2">
        <v>5</v>
      </c>
      <c r="AA1991" s="2" t="s">
        <v>1124</v>
      </c>
      <c r="AB1991" s="2">
        <v>1</v>
      </c>
      <c r="AC1991" s="2" t="s">
        <v>178</v>
      </c>
      <c r="AD1991" s="3">
        <v>40311</v>
      </c>
      <c r="AE1991" s="4">
        <v>0.52083333333333337</v>
      </c>
      <c r="AF1991" s="2"/>
      <c r="AG1991" s="2"/>
      <c r="AH1991" s="2">
        <v>5</v>
      </c>
      <c r="AI1991" s="2" t="s">
        <v>274</v>
      </c>
      <c r="AJ1991" s="2">
        <v>42</v>
      </c>
      <c r="AK1991" s="2" t="s">
        <v>660</v>
      </c>
      <c r="AL1991" s="2">
        <v>11</v>
      </c>
      <c r="AM1991" s="2" t="s">
        <v>137</v>
      </c>
      <c r="AN1991" s="2" t="s">
        <v>82</v>
      </c>
      <c r="AO1991" s="2" t="s">
        <v>82</v>
      </c>
      <c r="AP1991" s="2">
        <v>11</v>
      </c>
      <c r="AQ1991" s="2" t="s">
        <v>82</v>
      </c>
      <c r="AR1991" s="2" t="s">
        <v>82</v>
      </c>
      <c r="AS1991" s="2" t="s">
        <v>82</v>
      </c>
      <c r="AT1991" s="2" t="s">
        <v>6925</v>
      </c>
      <c r="AU1991" s="2"/>
      <c r="AV1991" s="2"/>
      <c r="AW1991" s="2"/>
      <c r="AX1991" s="2"/>
      <c r="AY1991" s="2">
        <v>41</v>
      </c>
      <c r="AZ1991" s="2" t="s">
        <v>82</v>
      </c>
      <c r="BA1991" s="2">
        <v>41</v>
      </c>
      <c r="BB1991" s="2" t="s">
        <v>82</v>
      </c>
      <c r="BC1991" s="2">
        <v>41</v>
      </c>
      <c r="BD1991" s="2" t="s">
        <v>82</v>
      </c>
      <c r="BE1991" s="2">
        <v>41</v>
      </c>
      <c r="BF1991" s="2" t="s">
        <v>82</v>
      </c>
      <c r="BG1991" s="2" t="s">
        <v>82</v>
      </c>
      <c r="BH1991" s="2"/>
      <c r="BI1991" s="2"/>
      <c r="BJ1991" s="2">
        <v>241</v>
      </c>
      <c r="BK1991" s="2" t="s">
        <v>82</v>
      </c>
      <c r="BL1991" s="2" t="s">
        <v>82</v>
      </c>
      <c r="BM1991" s="2">
        <v>241</v>
      </c>
      <c r="BN1991" s="2" t="s">
        <v>82</v>
      </c>
      <c r="BO1991" s="2" t="s">
        <v>82</v>
      </c>
      <c r="BP1991" s="2">
        <v>241</v>
      </c>
      <c r="BQ1991" s="2" t="s">
        <v>82</v>
      </c>
      <c r="BR1991" s="2" t="s">
        <v>82</v>
      </c>
      <c r="BS1991" s="3">
        <v>40311</v>
      </c>
      <c r="BT1991" s="4">
        <v>0.73686342592592602</v>
      </c>
    </row>
    <row r="1992" spans="1:72" x14ac:dyDescent="0.25">
      <c r="A1992" s="2">
        <v>2877</v>
      </c>
      <c r="B1992" s="2">
        <v>2010</v>
      </c>
      <c r="C1992" s="2" t="s">
        <v>196</v>
      </c>
      <c r="D1992" s="2" t="s">
        <v>122</v>
      </c>
      <c r="E1992" s="2"/>
      <c r="F1992" s="2">
        <v>1</v>
      </c>
      <c r="G1992" s="2" t="s">
        <v>82</v>
      </c>
      <c r="H1992" s="2">
        <v>1</v>
      </c>
      <c r="I1992" s="2" t="s">
        <v>82</v>
      </c>
      <c r="J1992" s="2">
        <v>1</v>
      </c>
      <c r="K1992" s="2" t="s">
        <v>107</v>
      </c>
      <c r="L1992" s="2" t="s">
        <v>107</v>
      </c>
      <c r="M1992" s="3">
        <v>40311</v>
      </c>
      <c r="N1992" s="2"/>
      <c r="O1992" s="2"/>
      <c r="P1992" s="2"/>
      <c r="Q1992" s="2" t="str">
        <f>""</f>
        <v/>
      </c>
      <c r="R1992" s="2"/>
      <c r="S1992" s="2"/>
      <c r="T1992" s="2">
        <v>2</v>
      </c>
      <c r="U1992" s="2" t="s">
        <v>123</v>
      </c>
      <c r="V1992" s="2">
        <v>1</v>
      </c>
      <c r="W1992" s="2" t="s">
        <v>80</v>
      </c>
      <c r="X1992" s="2">
        <v>1</v>
      </c>
      <c r="Y1992" s="2" t="s">
        <v>81</v>
      </c>
      <c r="Z1992" s="2">
        <v>1</v>
      </c>
      <c r="AA1992" s="2" t="s">
        <v>82</v>
      </c>
      <c r="AB1992" s="2">
        <v>9</v>
      </c>
      <c r="AC1992" s="2" t="s">
        <v>124</v>
      </c>
      <c r="AD1992" s="3">
        <v>40311</v>
      </c>
      <c r="AE1992" s="4">
        <v>0.61111111111111105</v>
      </c>
      <c r="AF1992" s="2"/>
      <c r="AG1992" s="2"/>
      <c r="AH1992" s="2">
        <v>2</v>
      </c>
      <c r="AI1992" s="2" t="s">
        <v>84</v>
      </c>
      <c r="AJ1992" s="2">
        <v>12</v>
      </c>
      <c r="AK1992" s="2" t="s">
        <v>85</v>
      </c>
      <c r="AL1992" s="2">
        <v>18</v>
      </c>
      <c r="AM1992" s="2" t="s">
        <v>82</v>
      </c>
      <c r="AN1992" s="2"/>
      <c r="AO1992" s="2" t="s">
        <v>993</v>
      </c>
      <c r="AP1992" s="2">
        <v>11</v>
      </c>
      <c r="AQ1992" s="2" t="s">
        <v>82</v>
      </c>
      <c r="AR1992" s="2"/>
      <c r="AS1992" s="2"/>
      <c r="AT1992" s="2" t="s">
        <v>6926</v>
      </c>
      <c r="AU1992" s="2"/>
      <c r="AV1992" s="2"/>
      <c r="AW1992" s="2"/>
      <c r="AX1992" s="2"/>
      <c r="AY1992" s="2">
        <v>1</v>
      </c>
      <c r="AZ1992" s="2" t="s">
        <v>107</v>
      </c>
      <c r="BA1992" s="2">
        <v>1</v>
      </c>
      <c r="BB1992" s="2" t="s">
        <v>107</v>
      </c>
      <c r="BC1992" s="2">
        <v>1</v>
      </c>
      <c r="BD1992" s="2" t="s">
        <v>107</v>
      </c>
      <c r="BE1992" s="2">
        <v>1</v>
      </c>
      <c r="BF1992" s="2" t="s">
        <v>107</v>
      </c>
      <c r="BG1992" s="2"/>
      <c r="BH1992" s="4">
        <v>0.62986111111111109</v>
      </c>
      <c r="BI1992" s="2"/>
      <c r="BJ1992" s="2">
        <v>13</v>
      </c>
      <c r="BK1992" s="2" t="s">
        <v>91</v>
      </c>
      <c r="BL1992" s="2" t="s">
        <v>1705</v>
      </c>
      <c r="BM1992" s="2">
        <v>242</v>
      </c>
      <c r="BN1992" s="2" t="s">
        <v>107</v>
      </c>
      <c r="BO1992" s="2"/>
      <c r="BP1992" s="2">
        <v>13</v>
      </c>
      <c r="BQ1992" s="2" t="s">
        <v>91</v>
      </c>
      <c r="BR1992" s="2" t="s">
        <v>185</v>
      </c>
      <c r="BS1992" s="3">
        <v>40311</v>
      </c>
      <c r="BT1992" s="4">
        <v>0.78224537037037034</v>
      </c>
    </row>
    <row r="1993" spans="1:72" x14ac:dyDescent="0.25">
      <c r="A1993" s="2">
        <v>2878</v>
      </c>
      <c r="B1993" s="2">
        <v>2010</v>
      </c>
      <c r="C1993" s="2" t="s">
        <v>171</v>
      </c>
      <c r="D1993" s="2" t="s">
        <v>73</v>
      </c>
      <c r="E1993" s="2"/>
      <c r="F1993" s="2">
        <v>162</v>
      </c>
      <c r="G1993" s="2" t="s">
        <v>6440</v>
      </c>
      <c r="H1993" s="2">
        <v>106</v>
      </c>
      <c r="I1993" s="2" t="s">
        <v>6927</v>
      </c>
      <c r="J1993" s="2">
        <v>172</v>
      </c>
      <c r="K1993" s="2" t="s">
        <v>3885</v>
      </c>
      <c r="L1993" s="2" t="s">
        <v>3886</v>
      </c>
      <c r="M1993" s="3">
        <v>40311</v>
      </c>
      <c r="N1993" s="2" t="s">
        <v>6928</v>
      </c>
      <c r="O1993" s="2" t="s">
        <v>107</v>
      </c>
      <c r="P1993" s="2" t="s">
        <v>107</v>
      </c>
      <c r="Q1993" s="2" t="str">
        <f>"177-A/10"</f>
        <v>177-A/10</v>
      </c>
      <c r="R1993" s="2" t="s">
        <v>107</v>
      </c>
      <c r="S1993" s="2" t="s">
        <v>6929</v>
      </c>
      <c r="T1993" s="2">
        <v>1</v>
      </c>
      <c r="U1993" s="2" t="s">
        <v>79</v>
      </c>
      <c r="V1993" s="2">
        <v>1</v>
      </c>
      <c r="W1993" s="2" t="s">
        <v>80</v>
      </c>
      <c r="X1993" s="2">
        <v>1</v>
      </c>
      <c r="Y1993" s="2" t="s">
        <v>81</v>
      </c>
      <c r="Z1993" s="2">
        <v>1</v>
      </c>
      <c r="AA1993" s="2" t="s">
        <v>82</v>
      </c>
      <c r="AB1993" s="2">
        <v>1</v>
      </c>
      <c r="AC1993" s="2" t="s">
        <v>178</v>
      </c>
      <c r="AD1993" s="3">
        <v>40311</v>
      </c>
      <c r="AE1993" s="4">
        <v>0.60416666666666663</v>
      </c>
      <c r="AF1993" s="2"/>
      <c r="AG1993" s="2"/>
      <c r="AH1993" s="2">
        <v>2</v>
      </c>
      <c r="AI1993" s="2" t="s">
        <v>84</v>
      </c>
      <c r="AJ1993" s="2">
        <v>12</v>
      </c>
      <c r="AK1993" s="2" t="s">
        <v>85</v>
      </c>
      <c r="AL1993" s="2">
        <v>25</v>
      </c>
      <c r="AM1993" s="2" t="s">
        <v>3073</v>
      </c>
      <c r="AN1993" s="2" t="s">
        <v>6930</v>
      </c>
      <c r="AO1993" s="2" t="s">
        <v>6931</v>
      </c>
      <c r="AP1993" s="2">
        <v>11</v>
      </c>
      <c r="AQ1993" s="2" t="s">
        <v>82</v>
      </c>
      <c r="AR1993" s="2"/>
      <c r="AS1993" s="2"/>
      <c r="AT1993" s="2" t="s">
        <v>6932</v>
      </c>
      <c r="AU1993" s="2">
        <v>1</v>
      </c>
      <c r="AV1993" s="2"/>
      <c r="AW1993" s="2"/>
      <c r="AX1993" s="2"/>
      <c r="AY1993" s="2">
        <v>41</v>
      </c>
      <c r="AZ1993" s="2" t="s">
        <v>82</v>
      </c>
      <c r="BA1993" s="2">
        <v>41</v>
      </c>
      <c r="BB1993" s="2" t="s">
        <v>82</v>
      </c>
      <c r="BC1993" s="2">
        <v>41</v>
      </c>
      <c r="BD1993" s="2" t="s">
        <v>82</v>
      </c>
      <c r="BE1993" s="2">
        <v>41</v>
      </c>
      <c r="BF1993" s="2" t="s">
        <v>82</v>
      </c>
      <c r="BG1993" s="2"/>
      <c r="BH1993" s="2"/>
      <c r="BI1993" s="2"/>
      <c r="BJ1993" s="2">
        <v>241</v>
      </c>
      <c r="BK1993" s="2" t="s">
        <v>82</v>
      </c>
      <c r="BL1993" s="2"/>
      <c r="BM1993" s="2">
        <v>241</v>
      </c>
      <c r="BN1993" s="2" t="s">
        <v>82</v>
      </c>
      <c r="BO1993" s="2"/>
      <c r="BP1993" s="2">
        <v>241</v>
      </c>
      <c r="BQ1993" s="2" t="s">
        <v>82</v>
      </c>
      <c r="BR1993" s="2"/>
      <c r="BS1993" s="3">
        <v>40311</v>
      </c>
      <c r="BT1993" s="4">
        <v>0.85942129629629627</v>
      </c>
    </row>
    <row r="1994" spans="1:72" x14ac:dyDescent="0.25">
      <c r="A1994" s="2">
        <v>2879</v>
      </c>
      <c r="B1994" s="2">
        <v>2010</v>
      </c>
      <c r="C1994" s="2" t="s">
        <v>147</v>
      </c>
      <c r="D1994" s="2" t="s">
        <v>73</v>
      </c>
      <c r="E1994" s="2"/>
      <c r="F1994" s="2">
        <v>1</v>
      </c>
      <c r="G1994" s="2" t="s">
        <v>82</v>
      </c>
      <c r="H1994" s="2">
        <v>1</v>
      </c>
      <c r="I1994" s="2" t="s">
        <v>82</v>
      </c>
      <c r="J1994" s="2">
        <v>1</v>
      </c>
      <c r="K1994" s="2" t="s">
        <v>107</v>
      </c>
      <c r="L1994" s="2" t="s">
        <v>107</v>
      </c>
      <c r="M1994" s="3">
        <v>40311</v>
      </c>
      <c r="N1994" s="2"/>
      <c r="O1994" s="2"/>
      <c r="P1994" s="2"/>
      <c r="Q1994" s="2" t="str">
        <f>""</f>
        <v/>
      </c>
      <c r="R1994" s="2"/>
      <c r="S1994" s="2"/>
      <c r="T1994" s="2">
        <v>2</v>
      </c>
      <c r="U1994" s="2" t="s">
        <v>123</v>
      </c>
      <c r="V1994" s="2">
        <v>1</v>
      </c>
      <c r="W1994" s="2" t="s">
        <v>80</v>
      </c>
      <c r="X1994" s="2">
        <v>12</v>
      </c>
      <c r="Y1994" s="2" t="s">
        <v>148</v>
      </c>
      <c r="Z1994" s="2">
        <v>1</v>
      </c>
      <c r="AA1994" s="2" t="s">
        <v>82</v>
      </c>
      <c r="AB1994" s="2">
        <v>9</v>
      </c>
      <c r="AC1994" s="2" t="s">
        <v>124</v>
      </c>
      <c r="AD1994" s="3">
        <v>40309</v>
      </c>
      <c r="AE1994" s="4">
        <v>0.79166666666666663</v>
      </c>
      <c r="AF1994" s="3">
        <v>40311</v>
      </c>
      <c r="AG1994" s="4">
        <v>0.79861111111111116</v>
      </c>
      <c r="AH1994" s="2">
        <v>3</v>
      </c>
      <c r="AI1994" s="2" t="s">
        <v>214</v>
      </c>
      <c r="AJ1994" s="2">
        <v>17</v>
      </c>
      <c r="AK1994" s="2" t="s">
        <v>309</v>
      </c>
      <c r="AL1994" s="2">
        <v>14</v>
      </c>
      <c r="AM1994" s="2" t="s">
        <v>216</v>
      </c>
      <c r="AN1994" s="2" t="s">
        <v>6933</v>
      </c>
      <c r="AO1994" s="2"/>
      <c r="AP1994" s="2">
        <v>11</v>
      </c>
      <c r="AQ1994" s="2" t="s">
        <v>82</v>
      </c>
      <c r="AR1994" s="2" t="s">
        <v>82</v>
      </c>
      <c r="AS1994" s="2"/>
      <c r="AT1994" s="2" t="s">
        <v>6934</v>
      </c>
      <c r="AU1994" s="2"/>
      <c r="AV1994" s="2"/>
      <c r="AW1994" s="2"/>
      <c r="AX1994" s="2"/>
      <c r="AY1994" s="2">
        <v>41</v>
      </c>
      <c r="AZ1994" s="2" t="s">
        <v>82</v>
      </c>
      <c r="BA1994" s="2">
        <v>41</v>
      </c>
      <c r="BB1994" s="2" t="s">
        <v>82</v>
      </c>
      <c r="BC1994" s="2">
        <v>41</v>
      </c>
      <c r="BD1994" s="2" t="s">
        <v>82</v>
      </c>
      <c r="BE1994" s="2">
        <v>41</v>
      </c>
      <c r="BF1994" s="2" t="s">
        <v>82</v>
      </c>
      <c r="BG1994" s="2" t="s">
        <v>82</v>
      </c>
      <c r="BH1994" s="2"/>
      <c r="BI1994" s="2"/>
      <c r="BJ1994" s="2">
        <v>241</v>
      </c>
      <c r="BK1994" s="2" t="s">
        <v>82</v>
      </c>
      <c r="BL1994" s="2"/>
      <c r="BM1994" s="2">
        <v>241</v>
      </c>
      <c r="BN1994" s="2" t="s">
        <v>82</v>
      </c>
      <c r="BO1994" s="2"/>
      <c r="BP1994" s="2">
        <v>241</v>
      </c>
      <c r="BQ1994" s="2" t="s">
        <v>82</v>
      </c>
      <c r="BR1994" s="2"/>
      <c r="BS1994" s="3">
        <v>40311</v>
      </c>
      <c r="BT1994" s="4">
        <v>0.880925925925926</v>
      </c>
    </row>
    <row r="1995" spans="1:72" x14ac:dyDescent="0.25">
      <c r="A1995" s="2">
        <v>2880</v>
      </c>
      <c r="B1995" s="2">
        <v>2010</v>
      </c>
      <c r="C1995" s="2" t="s">
        <v>72</v>
      </c>
      <c r="D1995" s="2" t="s">
        <v>73</v>
      </c>
      <c r="E1995" s="2"/>
      <c r="F1995" s="2">
        <v>481</v>
      </c>
      <c r="G1995" s="2" t="s">
        <v>1438</v>
      </c>
      <c r="H1995" s="2">
        <v>1</v>
      </c>
      <c r="I1995" s="2" t="s">
        <v>82</v>
      </c>
      <c r="J1995" s="2">
        <v>58</v>
      </c>
      <c r="K1995" s="2" t="s">
        <v>3405</v>
      </c>
      <c r="L1995" s="2" t="s">
        <v>1692</v>
      </c>
      <c r="M1995" s="3">
        <v>40311</v>
      </c>
      <c r="N1995" s="2" t="s">
        <v>6935</v>
      </c>
      <c r="O1995" s="2" t="s">
        <v>116</v>
      </c>
      <c r="P1995" s="2" t="s">
        <v>82</v>
      </c>
      <c r="Q1995" s="2" t="str">
        <f>"22/10"</f>
        <v>22/10</v>
      </c>
      <c r="R1995" s="2" t="s">
        <v>82</v>
      </c>
      <c r="S1995" s="2" t="s">
        <v>82</v>
      </c>
      <c r="T1995" s="2">
        <v>1</v>
      </c>
      <c r="U1995" s="2" t="s">
        <v>79</v>
      </c>
      <c r="V1995" s="2">
        <v>1</v>
      </c>
      <c r="W1995" s="2" t="s">
        <v>80</v>
      </c>
      <c r="X1995" s="2">
        <v>12</v>
      </c>
      <c r="Y1995" s="2" t="s">
        <v>148</v>
      </c>
      <c r="Z1995" s="2">
        <v>1</v>
      </c>
      <c r="AA1995" s="2" t="s">
        <v>82</v>
      </c>
      <c r="AB1995" s="2">
        <v>6</v>
      </c>
      <c r="AC1995" s="2" t="s">
        <v>83</v>
      </c>
      <c r="AD1995" s="3">
        <v>40311</v>
      </c>
      <c r="AE1995" s="4">
        <v>0.8125</v>
      </c>
      <c r="AF1995" s="3">
        <v>40311</v>
      </c>
      <c r="AG1995" s="4">
        <v>0.85416666666666663</v>
      </c>
      <c r="AH1995" s="2">
        <v>3</v>
      </c>
      <c r="AI1995" s="2" t="s">
        <v>214</v>
      </c>
      <c r="AJ1995" s="2">
        <v>17</v>
      </c>
      <c r="AK1995" s="2" t="s">
        <v>309</v>
      </c>
      <c r="AL1995" s="2">
        <v>24</v>
      </c>
      <c r="AM1995" s="2" t="s">
        <v>1540</v>
      </c>
      <c r="AN1995" s="2" t="s">
        <v>6936</v>
      </c>
      <c r="AO1995" s="2" t="s">
        <v>6937</v>
      </c>
      <c r="AP1995" s="2">
        <v>11</v>
      </c>
      <c r="AQ1995" s="2" t="s">
        <v>82</v>
      </c>
      <c r="AR1995" s="2" t="s">
        <v>82</v>
      </c>
      <c r="AS1995" s="2" t="s">
        <v>82</v>
      </c>
      <c r="AT1995" s="2" t="s">
        <v>6938</v>
      </c>
      <c r="AU1995" s="2"/>
      <c r="AV1995" s="2"/>
      <c r="AW1995" s="2"/>
      <c r="AX1995" s="2"/>
      <c r="AY1995" s="2">
        <v>41</v>
      </c>
      <c r="AZ1995" s="2" t="s">
        <v>82</v>
      </c>
      <c r="BA1995" s="2">
        <v>41</v>
      </c>
      <c r="BB1995" s="2" t="s">
        <v>82</v>
      </c>
      <c r="BC1995" s="2">
        <v>41</v>
      </c>
      <c r="BD1995" s="2" t="s">
        <v>82</v>
      </c>
      <c r="BE1995" s="2">
        <v>13</v>
      </c>
      <c r="BF1995" s="2" t="s">
        <v>108</v>
      </c>
      <c r="BG1995" s="2" t="s">
        <v>6939</v>
      </c>
      <c r="BH1995" s="4">
        <v>0.88194444444444453</v>
      </c>
      <c r="BI1995" s="4">
        <v>0.81597222222222221</v>
      </c>
      <c r="BJ1995" s="2">
        <v>13</v>
      </c>
      <c r="BK1995" s="2" t="s">
        <v>91</v>
      </c>
      <c r="BL1995" s="2" t="s">
        <v>445</v>
      </c>
      <c r="BM1995" s="2">
        <v>241</v>
      </c>
      <c r="BN1995" s="2" t="s">
        <v>82</v>
      </c>
      <c r="BO1995" s="2" t="s">
        <v>82</v>
      </c>
      <c r="BP1995" s="2">
        <v>13</v>
      </c>
      <c r="BQ1995" s="2" t="s">
        <v>91</v>
      </c>
      <c r="BR1995" s="2" t="s">
        <v>185</v>
      </c>
      <c r="BS1995" s="3">
        <v>40311</v>
      </c>
      <c r="BT1995" s="4">
        <v>0.91012731481481479</v>
      </c>
    </row>
    <row r="1996" spans="1:72" x14ac:dyDescent="0.25">
      <c r="A1996" s="2">
        <v>2881</v>
      </c>
      <c r="B1996" s="2">
        <v>2010</v>
      </c>
      <c r="C1996" s="2" t="s">
        <v>819</v>
      </c>
      <c r="D1996" s="2" t="s">
        <v>122</v>
      </c>
      <c r="E1996" s="2"/>
      <c r="F1996" s="2">
        <v>451</v>
      </c>
      <c r="G1996" s="2" t="s">
        <v>879</v>
      </c>
      <c r="H1996" s="2">
        <v>31</v>
      </c>
      <c r="I1996" s="2" t="s">
        <v>880</v>
      </c>
      <c r="J1996" s="2">
        <v>326</v>
      </c>
      <c r="K1996" s="2" t="s">
        <v>881</v>
      </c>
      <c r="L1996" s="2" t="s">
        <v>882</v>
      </c>
      <c r="M1996" s="3">
        <v>40311</v>
      </c>
      <c r="N1996" s="2" t="s">
        <v>3096</v>
      </c>
      <c r="O1996" s="2"/>
      <c r="P1996" s="2"/>
      <c r="Q1996" s="2" t="str">
        <f>"056/10"</f>
        <v>056/10</v>
      </c>
      <c r="R1996" s="2"/>
      <c r="S1996" s="2" t="s">
        <v>822</v>
      </c>
      <c r="T1996" s="2">
        <v>1</v>
      </c>
      <c r="U1996" s="2" t="s">
        <v>79</v>
      </c>
      <c r="V1996" s="2">
        <v>1</v>
      </c>
      <c r="W1996" s="2" t="s">
        <v>80</v>
      </c>
      <c r="X1996" s="2">
        <v>1</v>
      </c>
      <c r="Y1996" s="2" t="s">
        <v>81</v>
      </c>
      <c r="Z1996" s="2">
        <v>10</v>
      </c>
      <c r="AA1996" s="2" t="s">
        <v>236</v>
      </c>
      <c r="AB1996" s="2">
        <v>9</v>
      </c>
      <c r="AC1996" s="2" t="s">
        <v>124</v>
      </c>
      <c r="AD1996" s="3">
        <v>40311</v>
      </c>
      <c r="AE1996" s="4">
        <v>0.90625</v>
      </c>
      <c r="AF1996" s="2"/>
      <c r="AG1996" s="2"/>
      <c r="AH1996" s="2">
        <v>4</v>
      </c>
      <c r="AI1996" s="2" t="s">
        <v>125</v>
      </c>
      <c r="AJ1996" s="2">
        <v>29</v>
      </c>
      <c r="AK1996" s="2" t="s">
        <v>227</v>
      </c>
      <c r="AL1996" s="2">
        <v>10</v>
      </c>
      <c r="AM1996" s="2" t="s">
        <v>200</v>
      </c>
      <c r="AN1996" s="2" t="s">
        <v>1015</v>
      </c>
      <c r="AO1996" s="2" t="s">
        <v>6940</v>
      </c>
      <c r="AP1996" s="2">
        <v>12</v>
      </c>
      <c r="AQ1996" s="2" t="s">
        <v>322</v>
      </c>
      <c r="AR1996" s="2" t="s">
        <v>6941</v>
      </c>
      <c r="AS1996" s="2" t="s">
        <v>6942</v>
      </c>
      <c r="AT1996" s="2" t="s">
        <v>6943</v>
      </c>
      <c r="AU1996" s="2"/>
      <c r="AV1996" s="2"/>
      <c r="AW1996" s="2"/>
      <c r="AX1996" s="2"/>
      <c r="AY1996" s="2">
        <v>41</v>
      </c>
      <c r="AZ1996" s="2" t="s">
        <v>82</v>
      </c>
      <c r="BA1996" s="2">
        <v>41</v>
      </c>
      <c r="BB1996" s="2" t="s">
        <v>82</v>
      </c>
      <c r="BC1996" s="2">
        <v>41</v>
      </c>
      <c r="BD1996" s="2" t="s">
        <v>82</v>
      </c>
      <c r="BE1996" s="2">
        <v>13</v>
      </c>
      <c r="BF1996" s="2" t="s">
        <v>108</v>
      </c>
      <c r="BG1996" s="2">
        <v>2459</v>
      </c>
      <c r="BH1996" s="4">
        <v>0.90277777777777779</v>
      </c>
      <c r="BI1996" s="4">
        <v>0.9375</v>
      </c>
      <c r="BJ1996" s="2">
        <v>13</v>
      </c>
      <c r="BK1996" s="2" t="s">
        <v>91</v>
      </c>
      <c r="BL1996" s="2" t="s">
        <v>828</v>
      </c>
      <c r="BM1996" s="2">
        <v>241</v>
      </c>
      <c r="BN1996" s="2" t="s">
        <v>82</v>
      </c>
      <c r="BO1996" s="2" t="s">
        <v>82</v>
      </c>
      <c r="BP1996" s="2">
        <v>13</v>
      </c>
      <c r="BQ1996" s="2" t="s">
        <v>91</v>
      </c>
      <c r="BR1996" s="2" t="s">
        <v>6944</v>
      </c>
      <c r="BS1996" s="3">
        <v>40311</v>
      </c>
      <c r="BT1996" s="4">
        <v>0.96599537037037031</v>
      </c>
    </row>
    <row r="1997" spans="1:72" x14ac:dyDescent="0.25">
      <c r="A1997" s="2">
        <v>2882</v>
      </c>
      <c r="B1997" s="2">
        <v>2010</v>
      </c>
      <c r="C1997" s="2" t="s">
        <v>171</v>
      </c>
      <c r="D1997" s="2" t="s">
        <v>122</v>
      </c>
      <c r="E1997" s="2" t="s">
        <v>6945</v>
      </c>
      <c r="F1997" s="2">
        <v>162</v>
      </c>
      <c r="G1997" s="2" t="s">
        <v>6440</v>
      </c>
      <c r="H1997" s="2">
        <v>106</v>
      </c>
      <c r="I1997" s="2" t="s">
        <v>6927</v>
      </c>
      <c r="J1997" s="2">
        <v>172</v>
      </c>
      <c r="K1997" s="2" t="s">
        <v>3885</v>
      </c>
      <c r="L1997" s="2" t="s">
        <v>3886</v>
      </c>
      <c r="M1997" s="3">
        <v>40312</v>
      </c>
      <c r="N1997" s="2" t="s">
        <v>6928</v>
      </c>
      <c r="O1997" s="2" t="s">
        <v>107</v>
      </c>
      <c r="P1997" s="2" t="s">
        <v>107</v>
      </c>
      <c r="Q1997" s="2" t="str">
        <f>"177-A/10"</f>
        <v>177-A/10</v>
      </c>
      <c r="R1997" s="2" t="s">
        <v>6929</v>
      </c>
      <c r="S1997" s="2" t="s">
        <v>107</v>
      </c>
      <c r="T1997" s="2">
        <v>1</v>
      </c>
      <c r="U1997" s="2" t="s">
        <v>79</v>
      </c>
      <c r="V1997" s="2">
        <v>1</v>
      </c>
      <c r="W1997" s="2" t="s">
        <v>80</v>
      </c>
      <c r="X1997" s="2">
        <v>5</v>
      </c>
      <c r="Y1997" s="2" t="s">
        <v>82</v>
      </c>
      <c r="Z1997" s="2">
        <v>10</v>
      </c>
      <c r="AA1997" s="2" t="s">
        <v>236</v>
      </c>
      <c r="AB1997" s="2">
        <v>1</v>
      </c>
      <c r="AC1997" s="2" t="s">
        <v>178</v>
      </c>
      <c r="AD1997" s="3">
        <v>40311</v>
      </c>
      <c r="AE1997" s="4">
        <v>0.99305555555555547</v>
      </c>
      <c r="AF1997" s="2"/>
      <c r="AG1997" s="2"/>
      <c r="AH1997" s="2">
        <v>2</v>
      </c>
      <c r="AI1997" s="2" t="s">
        <v>84</v>
      </c>
      <c r="AJ1997" s="2">
        <v>12</v>
      </c>
      <c r="AK1997" s="2" t="s">
        <v>85</v>
      </c>
      <c r="AL1997" s="2">
        <v>27</v>
      </c>
      <c r="AM1997" s="2" t="s">
        <v>6225</v>
      </c>
      <c r="AN1997" s="2" t="s">
        <v>1971</v>
      </c>
      <c r="AO1997" s="2"/>
      <c r="AP1997" s="2">
        <v>11</v>
      </c>
      <c r="AQ1997" s="2" t="s">
        <v>82</v>
      </c>
      <c r="AR1997" s="2"/>
      <c r="AS1997" s="2"/>
      <c r="AT1997" s="2" t="s">
        <v>6946</v>
      </c>
      <c r="AU1997" s="2">
        <v>1</v>
      </c>
      <c r="AV1997" s="2"/>
      <c r="AW1997" s="2"/>
      <c r="AX1997" s="2"/>
      <c r="AY1997" s="2">
        <v>41</v>
      </c>
      <c r="AZ1997" s="2" t="s">
        <v>82</v>
      </c>
      <c r="BA1997" s="2">
        <v>41</v>
      </c>
      <c r="BB1997" s="2" t="s">
        <v>82</v>
      </c>
      <c r="BC1997" s="2">
        <v>41</v>
      </c>
      <c r="BD1997" s="2" t="s">
        <v>82</v>
      </c>
      <c r="BE1997" s="2">
        <v>41</v>
      </c>
      <c r="BF1997" s="2" t="s">
        <v>82</v>
      </c>
      <c r="BG1997" s="2"/>
      <c r="BH1997" s="2"/>
      <c r="BI1997" s="2"/>
      <c r="BJ1997" s="2">
        <v>241</v>
      </c>
      <c r="BK1997" s="2" t="s">
        <v>82</v>
      </c>
      <c r="BL1997" s="2"/>
      <c r="BM1997" s="2">
        <v>241</v>
      </c>
      <c r="BN1997" s="2" t="s">
        <v>82</v>
      </c>
      <c r="BO1997" s="2"/>
      <c r="BP1997" s="2">
        <v>241</v>
      </c>
      <c r="BQ1997" s="2" t="s">
        <v>82</v>
      </c>
      <c r="BR1997" s="2"/>
      <c r="BS1997" s="3">
        <v>40312</v>
      </c>
      <c r="BT1997" s="4">
        <v>1.3472222222222221E-2</v>
      </c>
    </row>
    <row r="1998" spans="1:72" x14ac:dyDescent="0.25">
      <c r="A1998" s="2">
        <v>2883</v>
      </c>
      <c r="B1998" s="2">
        <v>2010</v>
      </c>
      <c r="C1998" s="2" t="s">
        <v>121</v>
      </c>
      <c r="D1998" s="2" t="s">
        <v>122</v>
      </c>
      <c r="E1998" s="2"/>
      <c r="F1998" s="2">
        <v>1</v>
      </c>
      <c r="G1998" s="2" t="s">
        <v>82</v>
      </c>
      <c r="H1998" s="2">
        <v>1</v>
      </c>
      <c r="I1998" s="2" t="s">
        <v>82</v>
      </c>
      <c r="J1998" s="2">
        <v>1</v>
      </c>
      <c r="K1998" s="2" t="s">
        <v>107</v>
      </c>
      <c r="L1998" s="2" t="s">
        <v>107</v>
      </c>
      <c r="M1998" s="3">
        <v>40312</v>
      </c>
      <c r="N1998" s="2"/>
      <c r="O1998" s="2"/>
      <c r="P1998" s="2"/>
      <c r="Q1998" s="2" t="str">
        <f>""</f>
        <v/>
      </c>
      <c r="R1998" s="2"/>
      <c r="S1998" s="2"/>
      <c r="T1998" s="2">
        <v>2</v>
      </c>
      <c r="U1998" s="2" t="s">
        <v>123</v>
      </c>
      <c r="V1998" s="2">
        <v>1</v>
      </c>
      <c r="W1998" s="2" t="s">
        <v>80</v>
      </c>
      <c r="X1998" s="2">
        <v>1</v>
      </c>
      <c r="Y1998" s="2" t="s">
        <v>81</v>
      </c>
      <c r="Z1998" s="2">
        <v>1</v>
      </c>
      <c r="AA1998" s="2" t="s">
        <v>82</v>
      </c>
      <c r="AB1998" s="2">
        <v>9</v>
      </c>
      <c r="AC1998" s="2" t="s">
        <v>124</v>
      </c>
      <c r="AD1998" s="3">
        <v>40311</v>
      </c>
      <c r="AE1998" s="4">
        <v>0.80555555555555547</v>
      </c>
      <c r="AF1998" s="2"/>
      <c r="AG1998" s="2"/>
      <c r="AH1998" s="2">
        <v>3</v>
      </c>
      <c r="AI1998" s="2" t="s">
        <v>214</v>
      </c>
      <c r="AJ1998" s="2">
        <v>24</v>
      </c>
      <c r="AK1998" s="2" t="s">
        <v>215</v>
      </c>
      <c r="AL1998" s="2">
        <v>10</v>
      </c>
      <c r="AM1998" s="2" t="s">
        <v>200</v>
      </c>
      <c r="AN1998" s="2"/>
      <c r="AO1998" s="2" t="s">
        <v>6947</v>
      </c>
      <c r="AP1998" s="2">
        <v>11</v>
      </c>
      <c r="AQ1998" s="2" t="s">
        <v>82</v>
      </c>
      <c r="AR1998" s="2"/>
      <c r="AS1998" s="2"/>
      <c r="AT1998" s="2" t="s">
        <v>6948</v>
      </c>
      <c r="AU1998" s="2"/>
      <c r="AV1998" s="2"/>
      <c r="AW1998" s="2"/>
      <c r="AX1998" s="2"/>
      <c r="AY1998" s="2">
        <v>41</v>
      </c>
      <c r="AZ1998" s="2" t="s">
        <v>82</v>
      </c>
      <c r="BA1998" s="2">
        <v>41</v>
      </c>
      <c r="BB1998" s="2" t="s">
        <v>82</v>
      </c>
      <c r="BC1998" s="2">
        <v>41</v>
      </c>
      <c r="BD1998" s="2" t="s">
        <v>82</v>
      </c>
      <c r="BE1998" s="2">
        <v>42</v>
      </c>
      <c r="BF1998" s="2" t="s">
        <v>182</v>
      </c>
      <c r="BG1998" s="2" t="s">
        <v>6949</v>
      </c>
      <c r="BH1998" s="4">
        <v>0.80555555555555547</v>
      </c>
      <c r="BI1998" s="4">
        <v>1.7361111111111112E-2</v>
      </c>
      <c r="BJ1998" s="2">
        <v>13</v>
      </c>
      <c r="BK1998" s="2" t="s">
        <v>91</v>
      </c>
      <c r="BL1998" s="2" t="s">
        <v>185</v>
      </c>
      <c r="BM1998" s="2">
        <v>13</v>
      </c>
      <c r="BN1998" s="2" t="s">
        <v>91</v>
      </c>
      <c r="BO1998" s="2" t="s">
        <v>169</v>
      </c>
      <c r="BP1998" s="2">
        <v>13</v>
      </c>
      <c r="BQ1998" s="2" t="s">
        <v>91</v>
      </c>
      <c r="BR1998" s="2" t="s">
        <v>492</v>
      </c>
      <c r="BS1998" s="3">
        <v>40312</v>
      </c>
      <c r="BT1998" s="4">
        <v>2.9282407407407406E-2</v>
      </c>
    </row>
    <row r="1999" spans="1:72" x14ac:dyDescent="0.25">
      <c r="A1999" s="2">
        <v>2884</v>
      </c>
      <c r="B1999" s="2">
        <v>2010</v>
      </c>
      <c r="C1999" s="2" t="s">
        <v>1402</v>
      </c>
      <c r="D1999" s="2" t="s">
        <v>73</v>
      </c>
      <c r="E1999" s="2"/>
      <c r="F1999" s="2">
        <v>390</v>
      </c>
      <c r="G1999" s="2" t="s">
        <v>475</v>
      </c>
      <c r="H1999" s="2">
        <v>6</v>
      </c>
      <c r="I1999" s="2" t="s">
        <v>1088</v>
      </c>
      <c r="J1999" s="2">
        <v>314</v>
      </c>
      <c r="K1999" s="2" t="s">
        <v>477</v>
      </c>
      <c r="L1999" s="2" t="s">
        <v>478</v>
      </c>
      <c r="M1999" s="3">
        <v>40312</v>
      </c>
      <c r="N1999" s="2" t="s">
        <v>6470</v>
      </c>
      <c r="O1999" s="2" t="s">
        <v>107</v>
      </c>
      <c r="P1999" s="2" t="s">
        <v>107</v>
      </c>
      <c r="Q1999" s="2" t="str">
        <f>"N/C"</f>
        <v>N/C</v>
      </c>
      <c r="R1999" s="2" t="s">
        <v>82</v>
      </c>
      <c r="S1999" s="2"/>
      <c r="T1999" s="2">
        <v>1</v>
      </c>
      <c r="U1999" s="2" t="s">
        <v>79</v>
      </c>
      <c r="V1999" s="2">
        <v>1</v>
      </c>
      <c r="W1999" s="2" t="s">
        <v>80</v>
      </c>
      <c r="X1999" s="2">
        <v>5</v>
      </c>
      <c r="Y1999" s="2" t="s">
        <v>82</v>
      </c>
      <c r="Z1999" s="2">
        <v>1</v>
      </c>
      <c r="AA1999" s="2" t="s">
        <v>82</v>
      </c>
      <c r="AB1999" s="2">
        <v>9</v>
      </c>
      <c r="AC1999" s="2" t="s">
        <v>124</v>
      </c>
      <c r="AD1999" s="3">
        <v>40311</v>
      </c>
      <c r="AE1999" s="4">
        <v>0.82291666666666663</v>
      </c>
      <c r="AF1999" s="2"/>
      <c r="AG1999" s="2"/>
      <c r="AH1999" s="2">
        <v>2</v>
      </c>
      <c r="AI1999" s="2" t="s">
        <v>84</v>
      </c>
      <c r="AJ1999" s="2">
        <v>9</v>
      </c>
      <c r="AK1999" s="2" t="s">
        <v>103</v>
      </c>
      <c r="AL1999" s="2">
        <v>7</v>
      </c>
      <c r="AM1999" s="2" t="s">
        <v>1450</v>
      </c>
      <c r="AN1999" s="2" t="s">
        <v>6950</v>
      </c>
      <c r="AO1999" s="2" t="s">
        <v>6951</v>
      </c>
      <c r="AP1999" s="2">
        <v>11</v>
      </c>
      <c r="AQ1999" s="2" t="s">
        <v>82</v>
      </c>
      <c r="AR1999" s="2"/>
      <c r="AS1999" s="2"/>
      <c r="AT1999" s="2" t="s">
        <v>6952</v>
      </c>
      <c r="AU1999" s="2"/>
      <c r="AV1999" s="2"/>
      <c r="AW1999" s="2"/>
      <c r="AX1999" s="2"/>
      <c r="AY1999" s="2">
        <v>1</v>
      </c>
      <c r="AZ1999" s="2" t="s">
        <v>107</v>
      </c>
      <c r="BA1999" s="2">
        <v>1</v>
      </c>
      <c r="BB1999" s="2" t="s">
        <v>107</v>
      </c>
      <c r="BC1999" s="2">
        <v>1</v>
      </c>
      <c r="BD1999" s="2" t="s">
        <v>107</v>
      </c>
      <c r="BE1999" s="2">
        <v>13</v>
      </c>
      <c r="BF1999" s="2" t="s">
        <v>108</v>
      </c>
      <c r="BG1999" s="2"/>
      <c r="BH1999" s="2"/>
      <c r="BI1999" s="2"/>
      <c r="BJ1999" s="2">
        <v>242</v>
      </c>
      <c r="BK1999" s="2" t="s">
        <v>107</v>
      </c>
      <c r="BL1999" s="2"/>
      <c r="BM1999" s="2">
        <v>242</v>
      </c>
      <c r="BN1999" s="2" t="s">
        <v>107</v>
      </c>
      <c r="BO1999" s="2"/>
      <c r="BP1999" s="2">
        <v>242</v>
      </c>
      <c r="BQ1999" s="2" t="s">
        <v>107</v>
      </c>
      <c r="BR1999" s="2"/>
      <c r="BS1999" s="3">
        <v>40312</v>
      </c>
      <c r="BT1999" s="4">
        <v>0.15418981481481481</v>
      </c>
    </row>
    <row r="2000" spans="1:72" x14ac:dyDescent="0.25">
      <c r="A2000" s="2">
        <v>2885</v>
      </c>
      <c r="B2000" s="2">
        <v>2010</v>
      </c>
      <c r="C2000" s="2" t="s">
        <v>121</v>
      </c>
      <c r="D2000" s="2" t="s">
        <v>122</v>
      </c>
      <c r="E2000" s="2"/>
      <c r="F2000" s="2">
        <v>1</v>
      </c>
      <c r="G2000" s="2" t="s">
        <v>82</v>
      </c>
      <c r="H2000" s="2">
        <v>1</v>
      </c>
      <c r="I2000" s="2" t="s">
        <v>82</v>
      </c>
      <c r="J2000" s="2">
        <v>1</v>
      </c>
      <c r="K2000" s="2" t="s">
        <v>107</v>
      </c>
      <c r="L2000" s="2" t="s">
        <v>107</v>
      </c>
      <c r="M2000" s="3">
        <v>40312</v>
      </c>
      <c r="N2000" s="2"/>
      <c r="O2000" s="2"/>
      <c r="P2000" s="2"/>
      <c r="Q2000" s="2" t="str">
        <f>""</f>
        <v/>
      </c>
      <c r="R2000" s="2"/>
      <c r="S2000" s="2"/>
      <c r="T2000" s="2">
        <v>2</v>
      </c>
      <c r="U2000" s="2" t="s">
        <v>123</v>
      </c>
      <c r="V2000" s="2">
        <v>1</v>
      </c>
      <c r="W2000" s="2" t="s">
        <v>80</v>
      </c>
      <c r="X2000" s="2">
        <v>5</v>
      </c>
      <c r="Y2000" s="2" t="s">
        <v>82</v>
      </c>
      <c r="Z2000" s="2">
        <v>1</v>
      </c>
      <c r="AA2000" s="2" t="s">
        <v>82</v>
      </c>
      <c r="AB2000" s="2">
        <v>9</v>
      </c>
      <c r="AC2000" s="2" t="s">
        <v>124</v>
      </c>
      <c r="AD2000" s="3">
        <v>40312</v>
      </c>
      <c r="AE2000" s="4">
        <v>0.10416666666666667</v>
      </c>
      <c r="AF2000" s="2"/>
      <c r="AG2000" s="2"/>
      <c r="AH2000" s="2">
        <v>5</v>
      </c>
      <c r="AI2000" s="2" t="s">
        <v>274</v>
      </c>
      <c r="AJ2000" s="2">
        <v>41</v>
      </c>
      <c r="AK2000" s="2" t="s">
        <v>2751</v>
      </c>
      <c r="AL2000" s="2">
        <v>18</v>
      </c>
      <c r="AM2000" s="2" t="s">
        <v>82</v>
      </c>
      <c r="AN2000" s="2"/>
      <c r="AO2000" s="2"/>
      <c r="AP2000" s="2">
        <v>11</v>
      </c>
      <c r="AQ2000" s="2" t="s">
        <v>82</v>
      </c>
      <c r="AR2000" s="2"/>
      <c r="AS2000" s="2"/>
      <c r="AT2000" s="2" t="s">
        <v>6953</v>
      </c>
      <c r="AU2000" s="2"/>
      <c r="AV2000" s="2"/>
      <c r="AW2000" s="2"/>
      <c r="AX2000" s="2"/>
      <c r="AY2000" s="2">
        <v>1</v>
      </c>
      <c r="AZ2000" s="2" t="s">
        <v>107</v>
      </c>
      <c r="BA2000" s="2">
        <v>1</v>
      </c>
      <c r="BB2000" s="2" t="s">
        <v>107</v>
      </c>
      <c r="BC2000" s="2">
        <v>1</v>
      </c>
      <c r="BD2000" s="2" t="s">
        <v>107</v>
      </c>
      <c r="BE2000" s="2">
        <v>1</v>
      </c>
      <c r="BF2000" s="2" t="s">
        <v>107</v>
      </c>
      <c r="BG2000" s="2" t="s">
        <v>6954</v>
      </c>
      <c r="BH2000" s="4">
        <v>0.1076388888888889</v>
      </c>
      <c r="BI2000" s="4">
        <v>0.14583333333333334</v>
      </c>
      <c r="BJ2000" s="2">
        <v>242</v>
      </c>
      <c r="BK2000" s="2" t="s">
        <v>107</v>
      </c>
      <c r="BL2000" s="2" t="s">
        <v>6955</v>
      </c>
      <c r="BM2000" s="2">
        <v>242</v>
      </c>
      <c r="BN2000" s="2" t="s">
        <v>107</v>
      </c>
      <c r="BO2000" s="2"/>
      <c r="BP2000" s="2">
        <v>242</v>
      </c>
      <c r="BQ2000" s="2" t="s">
        <v>107</v>
      </c>
      <c r="BR2000" s="2" t="s">
        <v>6956</v>
      </c>
      <c r="BS2000" s="3">
        <v>40312</v>
      </c>
      <c r="BT2000" s="4">
        <v>0.15946759259259261</v>
      </c>
    </row>
    <row r="2001" spans="1:72" x14ac:dyDescent="0.25">
      <c r="A2001" s="2">
        <v>2890</v>
      </c>
      <c r="B2001" s="2">
        <v>2010</v>
      </c>
      <c r="C2001" s="2" t="s">
        <v>764</v>
      </c>
      <c r="D2001" s="2" t="s">
        <v>73</v>
      </c>
      <c r="E2001" s="2" t="s">
        <v>6957</v>
      </c>
      <c r="F2001" s="2">
        <v>425</v>
      </c>
      <c r="G2001" s="2" t="s">
        <v>286</v>
      </c>
      <c r="H2001" s="2">
        <v>39</v>
      </c>
      <c r="I2001" s="2" t="s">
        <v>1117</v>
      </c>
      <c r="J2001" s="2">
        <v>310</v>
      </c>
      <c r="K2001" s="2" t="s">
        <v>288</v>
      </c>
      <c r="L2001" s="2" t="s">
        <v>289</v>
      </c>
      <c r="M2001" s="3">
        <v>40312</v>
      </c>
      <c r="N2001" s="2" t="s">
        <v>2049</v>
      </c>
      <c r="O2001" s="2" t="s">
        <v>1918</v>
      </c>
      <c r="P2001" s="2" t="s">
        <v>1919</v>
      </c>
      <c r="Q2001" s="2" t="str">
        <f>"04/09"</f>
        <v>04/09</v>
      </c>
      <c r="R2001" s="2" t="s">
        <v>480</v>
      </c>
      <c r="S2001" s="2" t="s">
        <v>480</v>
      </c>
      <c r="T2001" s="2">
        <v>1</v>
      </c>
      <c r="U2001" s="2" t="s">
        <v>79</v>
      </c>
      <c r="V2001" s="2">
        <v>3</v>
      </c>
      <c r="W2001" s="2" t="s">
        <v>225</v>
      </c>
      <c r="X2001" s="2">
        <v>6</v>
      </c>
      <c r="Y2001" s="2" t="s">
        <v>249</v>
      </c>
      <c r="Z2001" s="2">
        <v>1</v>
      </c>
      <c r="AA2001" s="2" t="s">
        <v>82</v>
      </c>
      <c r="AB2001" s="2">
        <v>9</v>
      </c>
      <c r="AC2001" s="2" t="s">
        <v>124</v>
      </c>
      <c r="AD2001" s="2"/>
      <c r="AE2001" s="2"/>
      <c r="AF2001" s="2"/>
      <c r="AG2001" s="2"/>
      <c r="AH2001" s="2">
        <v>4</v>
      </c>
      <c r="AI2001" s="2" t="s">
        <v>125</v>
      </c>
      <c r="AJ2001" s="2">
        <v>26</v>
      </c>
      <c r="AK2001" s="2" t="s">
        <v>293</v>
      </c>
      <c r="AL2001" s="2">
        <v>23</v>
      </c>
      <c r="AM2001" s="2" t="s">
        <v>251</v>
      </c>
      <c r="AN2001" s="2" t="s">
        <v>2108</v>
      </c>
      <c r="AO2001" s="2" t="s">
        <v>2109</v>
      </c>
      <c r="AP2001" s="2">
        <v>11</v>
      </c>
      <c r="AQ2001" s="2" t="s">
        <v>82</v>
      </c>
      <c r="AR2001" s="2"/>
      <c r="AS2001" s="2"/>
      <c r="AT2001" s="2" t="s">
        <v>6958</v>
      </c>
      <c r="AU2001" s="2"/>
      <c r="AV2001" s="2"/>
      <c r="AW2001" s="2"/>
      <c r="AX2001" s="2"/>
      <c r="AY2001" s="2">
        <v>1</v>
      </c>
      <c r="AZ2001" s="2" t="s">
        <v>107</v>
      </c>
      <c r="BA2001" s="2">
        <v>1</v>
      </c>
      <c r="BB2001" s="2" t="s">
        <v>107</v>
      </c>
      <c r="BC2001" s="2">
        <v>1</v>
      </c>
      <c r="BD2001" s="2" t="s">
        <v>107</v>
      </c>
      <c r="BE2001" s="2">
        <v>1</v>
      </c>
      <c r="BF2001" s="2" t="s">
        <v>107</v>
      </c>
      <c r="BG2001" s="2"/>
      <c r="BH2001" s="2"/>
      <c r="BI2001" s="2"/>
      <c r="BJ2001" s="2">
        <v>242</v>
      </c>
      <c r="BK2001" s="2" t="s">
        <v>107</v>
      </c>
      <c r="BL2001" s="2"/>
      <c r="BM2001" s="2">
        <v>242</v>
      </c>
      <c r="BN2001" s="2" t="s">
        <v>107</v>
      </c>
      <c r="BO2001" s="2"/>
      <c r="BP2001" s="2">
        <v>242</v>
      </c>
      <c r="BQ2001" s="2" t="s">
        <v>107</v>
      </c>
      <c r="BR2001" s="2"/>
      <c r="BS2001" s="3">
        <v>40312</v>
      </c>
      <c r="BT2001" s="4">
        <v>0.47962962962962963</v>
      </c>
    </row>
    <row r="2002" spans="1:72" x14ac:dyDescent="0.25">
      <c r="A2002" s="2">
        <v>2894</v>
      </c>
      <c r="B2002" s="2">
        <v>2010</v>
      </c>
      <c r="C2002" s="2" t="s">
        <v>819</v>
      </c>
      <c r="D2002" s="2" t="s">
        <v>122</v>
      </c>
      <c r="E2002" s="2" t="s">
        <v>6959</v>
      </c>
      <c r="F2002" s="2">
        <v>451</v>
      </c>
      <c r="G2002" s="2" t="s">
        <v>879</v>
      </c>
      <c r="H2002" s="2">
        <v>31</v>
      </c>
      <c r="I2002" s="2" t="s">
        <v>880</v>
      </c>
      <c r="J2002" s="2">
        <v>326</v>
      </c>
      <c r="K2002" s="2" t="s">
        <v>881</v>
      </c>
      <c r="L2002" s="2" t="s">
        <v>882</v>
      </c>
      <c r="M2002" s="3">
        <v>40312</v>
      </c>
      <c r="N2002" s="2" t="s">
        <v>3096</v>
      </c>
      <c r="O2002" s="2"/>
      <c r="P2002" s="2"/>
      <c r="Q2002" s="2" t="str">
        <f>"056/10"</f>
        <v>056/10</v>
      </c>
      <c r="R2002" s="2"/>
      <c r="S2002" s="2" t="s">
        <v>822</v>
      </c>
      <c r="T2002" s="2">
        <v>1</v>
      </c>
      <c r="U2002" s="2" t="s">
        <v>79</v>
      </c>
      <c r="V2002" s="2">
        <v>1</v>
      </c>
      <c r="W2002" s="2" t="s">
        <v>80</v>
      </c>
      <c r="X2002" s="2">
        <v>1</v>
      </c>
      <c r="Y2002" s="2" t="s">
        <v>81</v>
      </c>
      <c r="Z2002" s="2">
        <v>10</v>
      </c>
      <c r="AA2002" s="2" t="s">
        <v>236</v>
      </c>
      <c r="AB2002" s="2">
        <v>9</v>
      </c>
      <c r="AC2002" s="2" t="s">
        <v>124</v>
      </c>
      <c r="AD2002" s="3">
        <v>40312</v>
      </c>
      <c r="AE2002" s="4">
        <v>0.40625</v>
      </c>
      <c r="AF2002" s="2"/>
      <c r="AG2002" s="2"/>
      <c r="AH2002" s="2">
        <v>4</v>
      </c>
      <c r="AI2002" s="2" t="s">
        <v>125</v>
      </c>
      <c r="AJ2002" s="2">
        <v>29</v>
      </c>
      <c r="AK2002" s="2" t="s">
        <v>227</v>
      </c>
      <c r="AL2002" s="2">
        <v>16</v>
      </c>
      <c r="AM2002" s="2" t="s">
        <v>392</v>
      </c>
      <c r="AN2002" s="2" t="s">
        <v>3040</v>
      </c>
      <c r="AO2002" s="2" t="s">
        <v>3176</v>
      </c>
      <c r="AP2002" s="2">
        <v>12</v>
      </c>
      <c r="AQ2002" s="2" t="s">
        <v>322</v>
      </c>
      <c r="AR2002" s="2" t="s">
        <v>6941</v>
      </c>
      <c r="AS2002" s="2" t="s">
        <v>6942</v>
      </c>
      <c r="AT2002" s="2" t="s">
        <v>6960</v>
      </c>
      <c r="AU2002" s="2"/>
      <c r="AV2002" s="2"/>
      <c r="AW2002" s="2"/>
      <c r="AX2002" s="2"/>
      <c r="AY2002" s="2">
        <v>41</v>
      </c>
      <c r="AZ2002" s="2" t="s">
        <v>82</v>
      </c>
      <c r="BA2002" s="2">
        <v>41</v>
      </c>
      <c r="BB2002" s="2" t="s">
        <v>82</v>
      </c>
      <c r="BC2002" s="2">
        <v>41</v>
      </c>
      <c r="BD2002" s="2" t="s">
        <v>82</v>
      </c>
      <c r="BE2002" s="2">
        <v>13</v>
      </c>
      <c r="BF2002" s="2" t="s">
        <v>108</v>
      </c>
      <c r="BG2002" s="2">
        <v>2459</v>
      </c>
      <c r="BH2002" s="4">
        <v>0.90277777777777779</v>
      </c>
      <c r="BI2002" s="4">
        <v>0.9375</v>
      </c>
      <c r="BJ2002" s="2">
        <v>13</v>
      </c>
      <c r="BK2002" s="2" t="s">
        <v>91</v>
      </c>
      <c r="BL2002" s="2" t="s">
        <v>828</v>
      </c>
      <c r="BM2002" s="2">
        <v>241</v>
      </c>
      <c r="BN2002" s="2" t="s">
        <v>82</v>
      </c>
      <c r="BO2002" s="2" t="s">
        <v>82</v>
      </c>
      <c r="BP2002" s="2">
        <v>13</v>
      </c>
      <c r="BQ2002" s="2" t="s">
        <v>91</v>
      </c>
      <c r="BR2002" s="2" t="s">
        <v>6944</v>
      </c>
      <c r="BS2002" s="3">
        <v>40312</v>
      </c>
      <c r="BT2002" s="4">
        <v>0.54487268518518517</v>
      </c>
    </row>
    <row r="2003" spans="1:72" x14ac:dyDescent="0.25">
      <c r="A2003" s="2">
        <v>2895</v>
      </c>
      <c r="B2003" s="2">
        <v>2010</v>
      </c>
      <c r="C2003" s="2" t="s">
        <v>72</v>
      </c>
      <c r="D2003" s="2" t="s">
        <v>73</v>
      </c>
      <c r="E2003" s="2"/>
      <c r="F2003" s="2">
        <v>10</v>
      </c>
      <c r="G2003" s="2" t="s">
        <v>2143</v>
      </c>
      <c r="H2003" s="2">
        <v>39</v>
      </c>
      <c r="I2003" s="2" t="s">
        <v>1117</v>
      </c>
      <c r="J2003" s="2">
        <v>19</v>
      </c>
      <c r="K2003" s="2" t="s">
        <v>2144</v>
      </c>
      <c r="L2003" s="2" t="s">
        <v>2145</v>
      </c>
      <c r="M2003" s="3">
        <v>40312</v>
      </c>
      <c r="N2003" s="2" t="s">
        <v>423</v>
      </c>
      <c r="O2003" s="2" t="s">
        <v>6961</v>
      </c>
      <c r="P2003" s="2"/>
      <c r="Q2003" s="2" t="str">
        <f>"22-10"</f>
        <v>22-10</v>
      </c>
      <c r="R2003" s="2" t="s">
        <v>6961</v>
      </c>
      <c r="S2003" s="2" t="s">
        <v>6961</v>
      </c>
      <c r="T2003" s="2">
        <v>1</v>
      </c>
      <c r="U2003" s="2" t="s">
        <v>79</v>
      </c>
      <c r="V2003" s="2">
        <v>1</v>
      </c>
      <c r="W2003" s="2" t="s">
        <v>80</v>
      </c>
      <c r="X2003" s="2">
        <v>12</v>
      </c>
      <c r="Y2003" s="2" t="s">
        <v>148</v>
      </c>
      <c r="Z2003" s="2">
        <v>1</v>
      </c>
      <c r="AA2003" s="2" t="s">
        <v>82</v>
      </c>
      <c r="AB2003" s="2">
        <v>6</v>
      </c>
      <c r="AC2003" s="2" t="s">
        <v>83</v>
      </c>
      <c r="AD2003" s="3">
        <v>40312</v>
      </c>
      <c r="AE2003" s="4">
        <v>0.375</v>
      </c>
      <c r="AF2003" s="3">
        <v>40312</v>
      </c>
      <c r="AG2003" s="4">
        <v>0.47916666666666669</v>
      </c>
      <c r="AH2003" s="2">
        <v>3</v>
      </c>
      <c r="AI2003" s="2" t="s">
        <v>214</v>
      </c>
      <c r="AJ2003" s="2">
        <v>24</v>
      </c>
      <c r="AK2003" s="2" t="s">
        <v>215</v>
      </c>
      <c r="AL2003" s="2">
        <v>22</v>
      </c>
      <c r="AM2003" s="2" t="s">
        <v>1853</v>
      </c>
      <c r="AN2003" s="2" t="s">
        <v>6962</v>
      </c>
      <c r="AO2003" s="2"/>
      <c r="AP2003" s="2">
        <v>14</v>
      </c>
      <c r="AQ2003" s="2" t="s">
        <v>3301</v>
      </c>
      <c r="AR2003" s="2"/>
      <c r="AS2003" s="2"/>
      <c r="AT2003" s="2" t="s">
        <v>6963</v>
      </c>
      <c r="AU2003" s="2"/>
      <c r="AV2003" s="2"/>
      <c r="AW2003" s="2"/>
      <c r="AX2003" s="2"/>
      <c r="AY2003" s="2">
        <v>54</v>
      </c>
      <c r="AZ2003" s="2" t="s">
        <v>369</v>
      </c>
      <c r="BA2003" s="2">
        <v>54</v>
      </c>
      <c r="BB2003" s="2" t="s">
        <v>369</v>
      </c>
      <c r="BC2003" s="2">
        <v>41</v>
      </c>
      <c r="BD2003" s="2" t="s">
        <v>82</v>
      </c>
      <c r="BE2003" s="2">
        <v>4</v>
      </c>
      <c r="BF2003" s="2" t="s">
        <v>90</v>
      </c>
      <c r="BG2003" s="2">
        <v>4200</v>
      </c>
      <c r="BH2003" s="4">
        <v>0.35069444444444442</v>
      </c>
      <c r="BI2003" s="2"/>
      <c r="BJ2003" s="2">
        <v>13</v>
      </c>
      <c r="BK2003" s="2" t="s">
        <v>91</v>
      </c>
      <c r="BL2003" s="2" t="s">
        <v>185</v>
      </c>
      <c r="BM2003" s="2">
        <v>241</v>
      </c>
      <c r="BN2003" s="2" t="s">
        <v>82</v>
      </c>
      <c r="BO2003" s="2"/>
      <c r="BP2003" s="2">
        <v>13</v>
      </c>
      <c r="BQ2003" s="2" t="s">
        <v>91</v>
      </c>
      <c r="BR2003" s="2" t="s">
        <v>169</v>
      </c>
      <c r="BS2003" s="3">
        <v>40312</v>
      </c>
      <c r="BT2003" s="4">
        <v>0.54526620370370371</v>
      </c>
    </row>
    <row r="2004" spans="1:72" x14ac:dyDescent="0.25">
      <c r="A2004" s="2">
        <v>2897</v>
      </c>
      <c r="B2004" s="2">
        <v>2010</v>
      </c>
      <c r="C2004" s="2" t="s">
        <v>457</v>
      </c>
      <c r="D2004" s="2" t="s">
        <v>73</v>
      </c>
      <c r="E2004" s="2"/>
      <c r="F2004" s="2">
        <v>1</v>
      </c>
      <c r="G2004" s="2" t="s">
        <v>82</v>
      </c>
      <c r="H2004" s="2">
        <v>1</v>
      </c>
      <c r="I2004" s="2" t="s">
        <v>82</v>
      </c>
      <c r="J2004" s="2">
        <v>1</v>
      </c>
      <c r="K2004" s="2" t="s">
        <v>107</v>
      </c>
      <c r="L2004" s="2" t="s">
        <v>107</v>
      </c>
      <c r="M2004" s="3">
        <v>40312</v>
      </c>
      <c r="N2004" s="2"/>
      <c r="O2004" s="2"/>
      <c r="P2004" s="2"/>
      <c r="Q2004" s="2" t="str">
        <f>""</f>
        <v/>
      </c>
      <c r="R2004" s="2"/>
      <c r="S2004" s="2"/>
      <c r="T2004" s="2">
        <v>1</v>
      </c>
      <c r="U2004" s="2" t="s">
        <v>79</v>
      </c>
      <c r="V2004" s="2">
        <v>1</v>
      </c>
      <c r="W2004" s="2" t="s">
        <v>80</v>
      </c>
      <c r="X2004" s="2">
        <v>11</v>
      </c>
      <c r="Y2004" s="2" t="s">
        <v>1920</v>
      </c>
      <c r="Z2004" s="2">
        <v>6</v>
      </c>
      <c r="AA2004" s="2" t="s">
        <v>101</v>
      </c>
      <c r="AB2004" s="2">
        <v>9</v>
      </c>
      <c r="AC2004" s="2" t="s">
        <v>124</v>
      </c>
      <c r="AD2004" s="3">
        <v>40312</v>
      </c>
      <c r="AE2004" s="4">
        <v>0.4236111111111111</v>
      </c>
      <c r="AF2004" s="2"/>
      <c r="AG2004" s="2"/>
      <c r="AH2004" s="2">
        <v>2</v>
      </c>
      <c r="AI2004" s="2" t="s">
        <v>84</v>
      </c>
      <c r="AJ2004" s="2">
        <v>12</v>
      </c>
      <c r="AK2004" s="2" t="s">
        <v>85</v>
      </c>
      <c r="AL2004" s="2">
        <v>2</v>
      </c>
      <c r="AM2004" s="2" t="s">
        <v>163</v>
      </c>
      <c r="AN2004" s="2" t="s">
        <v>6964</v>
      </c>
      <c r="AO2004" s="2" t="s">
        <v>6965</v>
      </c>
      <c r="AP2004" s="2">
        <v>11</v>
      </c>
      <c r="AQ2004" s="2" t="s">
        <v>82</v>
      </c>
      <c r="AR2004" s="2"/>
      <c r="AS2004" s="2"/>
      <c r="AT2004" s="2" t="s">
        <v>6966</v>
      </c>
      <c r="AU2004" s="2"/>
      <c r="AV2004" s="2"/>
      <c r="AW2004" s="2"/>
      <c r="AX2004" s="2"/>
      <c r="AY2004" s="2">
        <v>41</v>
      </c>
      <c r="AZ2004" s="2" t="s">
        <v>82</v>
      </c>
      <c r="BA2004" s="2">
        <v>41</v>
      </c>
      <c r="BB2004" s="2" t="s">
        <v>82</v>
      </c>
      <c r="BC2004" s="2">
        <v>41</v>
      </c>
      <c r="BD2004" s="2" t="s">
        <v>82</v>
      </c>
      <c r="BE2004" s="2">
        <v>13</v>
      </c>
      <c r="BF2004" s="2" t="s">
        <v>108</v>
      </c>
      <c r="BG2004" s="2" t="s">
        <v>5048</v>
      </c>
      <c r="BH2004" s="2"/>
      <c r="BI2004" s="4">
        <v>0.54861111111111105</v>
      </c>
      <c r="BJ2004" s="2">
        <v>13</v>
      </c>
      <c r="BK2004" s="2" t="s">
        <v>91</v>
      </c>
      <c r="BL2004" s="2" t="s">
        <v>185</v>
      </c>
      <c r="BM2004" s="2">
        <v>241</v>
      </c>
      <c r="BN2004" s="2" t="s">
        <v>82</v>
      </c>
      <c r="BO2004" s="2"/>
      <c r="BP2004" s="2">
        <v>172</v>
      </c>
      <c r="BQ2004" s="2" t="s">
        <v>843</v>
      </c>
      <c r="BR2004" s="2" t="s">
        <v>844</v>
      </c>
      <c r="BS2004" s="3">
        <v>40312</v>
      </c>
      <c r="BT2004" s="4">
        <v>0.57964120370370364</v>
      </c>
    </row>
    <row r="2005" spans="1:72" x14ac:dyDescent="0.25">
      <c r="A2005" s="2">
        <v>2899</v>
      </c>
      <c r="B2005" s="2">
        <v>2010</v>
      </c>
      <c r="C2005" s="2" t="s">
        <v>171</v>
      </c>
      <c r="D2005" s="2" t="s">
        <v>73</v>
      </c>
      <c r="E2005" s="2" t="s">
        <v>6967</v>
      </c>
      <c r="F2005" s="2">
        <v>53</v>
      </c>
      <c r="G2005" s="2" t="s">
        <v>2755</v>
      </c>
      <c r="H2005" s="2">
        <v>103</v>
      </c>
      <c r="I2005" s="2" t="s">
        <v>6768</v>
      </c>
      <c r="J2005" s="2">
        <v>88</v>
      </c>
      <c r="K2005" s="2" t="s">
        <v>2756</v>
      </c>
      <c r="L2005" s="2" t="s">
        <v>2757</v>
      </c>
      <c r="M2005" s="3">
        <v>40312</v>
      </c>
      <c r="N2005" s="2" t="s">
        <v>6769</v>
      </c>
      <c r="O2005" s="2" t="s">
        <v>2456</v>
      </c>
      <c r="P2005" s="2" t="s">
        <v>6770</v>
      </c>
      <c r="Q2005" s="2" t="str">
        <f>"01/07"</f>
        <v>01/07</v>
      </c>
      <c r="R2005" s="2" t="s">
        <v>6771</v>
      </c>
      <c r="S2005" s="2"/>
      <c r="T2005" s="2">
        <v>1</v>
      </c>
      <c r="U2005" s="2" t="s">
        <v>79</v>
      </c>
      <c r="V2005" s="2">
        <v>3</v>
      </c>
      <c r="W2005" s="2" t="s">
        <v>225</v>
      </c>
      <c r="X2005" s="2">
        <v>6</v>
      </c>
      <c r="Y2005" s="2" t="s">
        <v>249</v>
      </c>
      <c r="Z2005" s="2">
        <v>1</v>
      </c>
      <c r="AA2005" s="2" t="s">
        <v>82</v>
      </c>
      <c r="AB2005" s="2">
        <v>9</v>
      </c>
      <c r="AC2005" s="2" t="s">
        <v>124</v>
      </c>
      <c r="AD2005" s="2"/>
      <c r="AE2005" s="2"/>
      <c r="AF2005" s="3">
        <v>39380</v>
      </c>
      <c r="AG2005" s="4">
        <v>0.48958333333333331</v>
      </c>
      <c r="AH2005" s="2">
        <v>4</v>
      </c>
      <c r="AI2005" s="2" t="s">
        <v>125</v>
      </c>
      <c r="AJ2005" s="2">
        <v>26</v>
      </c>
      <c r="AK2005" s="2" t="s">
        <v>293</v>
      </c>
      <c r="AL2005" s="2">
        <v>23</v>
      </c>
      <c r="AM2005" s="2" t="s">
        <v>251</v>
      </c>
      <c r="AN2005" s="2" t="s">
        <v>6772</v>
      </c>
      <c r="AO2005" s="2" t="s">
        <v>2422</v>
      </c>
      <c r="AP2005" s="2">
        <v>11</v>
      </c>
      <c r="AQ2005" s="2" t="s">
        <v>82</v>
      </c>
      <c r="AR2005" s="2"/>
      <c r="AS2005" s="2"/>
      <c r="AT2005" s="2" t="s">
        <v>6968</v>
      </c>
      <c r="AU2005" s="2"/>
      <c r="AV2005" s="2"/>
      <c r="AW2005" s="2"/>
      <c r="AX2005" s="2"/>
      <c r="AY2005" s="2">
        <v>1</v>
      </c>
      <c r="AZ2005" s="2" t="s">
        <v>107</v>
      </c>
      <c r="BA2005" s="2">
        <v>1</v>
      </c>
      <c r="BB2005" s="2" t="s">
        <v>107</v>
      </c>
      <c r="BC2005" s="2">
        <v>1</v>
      </c>
      <c r="BD2005" s="2" t="s">
        <v>107</v>
      </c>
      <c r="BE2005" s="2">
        <v>1</v>
      </c>
      <c r="BF2005" s="2" t="s">
        <v>107</v>
      </c>
      <c r="BG2005" s="2"/>
      <c r="BH2005" s="2"/>
      <c r="BI2005" s="2"/>
      <c r="BJ2005" s="2">
        <v>242</v>
      </c>
      <c r="BK2005" s="2" t="s">
        <v>107</v>
      </c>
      <c r="BL2005" s="2"/>
      <c r="BM2005" s="2">
        <v>242</v>
      </c>
      <c r="BN2005" s="2" t="s">
        <v>107</v>
      </c>
      <c r="BO2005" s="2"/>
      <c r="BP2005" s="2">
        <v>242</v>
      </c>
      <c r="BQ2005" s="2" t="s">
        <v>107</v>
      </c>
      <c r="BR2005" s="2"/>
      <c r="BS2005" s="3">
        <v>40312</v>
      </c>
      <c r="BT2005" s="4">
        <v>0.617650462962963</v>
      </c>
    </row>
    <row r="2006" spans="1:72" x14ac:dyDescent="0.25">
      <c r="A2006" s="2">
        <v>2900</v>
      </c>
      <c r="B2006" s="2">
        <v>2010</v>
      </c>
      <c r="C2006" s="2" t="s">
        <v>457</v>
      </c>
      <c r="D2006" s="2" t="s">
        <v>73</v>
      </c>
      <c r="E2006" s="2"/>
      <c r="F2006" s="2">
        <v>618</v>
      </c>
      <c r="G2006" s="2" t="s">
        <v>6969</v>
      </c>
      <c r="H2006" s="2">
        <v>42</v>
      </c>
      <c r="I2006" s="2" t="s">
        <v>1096</v>
      </c>
      <c r="J2006" s="2">
        <v>552</v>
      </c>
      <c r="K2006" s="2" t="s">
        <v>6970</v>
      </c>
      <c r="L2006" s="2" t="s">
        <v>3921</v>
      </c>
      <c r="M2006" s="3">
        <v>40312</v>
      </c>
      <c r="N2006" s="2" t="s">
        <v>6971</v>
      </c>
      <c r="O2006" s="2" t="s">
        <v>6972</v>
      </c>
      <c r="P2006" s="2" t="s">
        <v>6973</v>
      </c>
      <c r="Q2006" s="2" t="str">
        <f>""</f>
        <v/>
      </c>
      <c r="R2006" s="2"/>
      <c r="S2006" s="2"/>
      <c r="T2006" s="2">
        <v>1</v>
      </c>
      <c r="U2006" s="2" t="s">
        <v>79</v>
      </c>
      <c r="V2006" s="2">
        <v>1</v>
      </c>
      <c r="W2006" s="2" t="s">
        <v>80</v>
      </c>
      <c r="X2006" s="2">
        <v>10</v>
      </c>
      <c r="Y2006" s="2" t="s">
        <v>226</v>
      </c>
      <c r="Z2006" s="2">
        <v>6</v>
      </c>
      <c r="AA2006" s="2" t="s">
        <v>101</v>
      </c>
      <c r="AB2006" s="2">
        <v>9</v>
      </c>
      <c r="AC2006" s="2" t="s">
        <v>124</v>
      </c>
      <c r="AD2006" s="3">
        <v>40312</v>
      </c>
      <c r="AE2006" s="4">
        <v>0.60069444444444442</v>
      </c>
      <c r="AF2006" s="2"/>
      <c r="AG2006" s="2"/>
      <c r="AH2006" s="2">
        <v>4</v>
      </c>
      <c r="AI2006" s="2" t="s">
        <v>125</v>
      </c>
      <c r="AJ2006" s="2">
        <v>29</v>
      </c>
      <c r="AK2006" s="2" t="s">
        <v>227</v>
      </c>
      <c r="AL2006" s="2">
        <v>11</v>
      </c>
      <c r="AM2006" s="2" t="s">
        <v>137</v>
      </c>
      <c r="AN2006" s="2" t="s">
        <v>6235</v>
      </c>
      <c r="AO2006" s="2"/>
      <c r="AP2006" s="2">
        <v>11</v>
      </c>
      <c r="AQ2006" s="2" t="s">
        <v>82</v>
      </c>
      <c r="AR2006" s="2"/>
      <c r="AS2006" s="2"/>
      <c r="AT2006" s="2" t="s">
        <v>6974</v>
      </c>
      <c r="AU2006" s="2"/>
      <c r="AV2006" s="2"/>
      <c r="AW2006" s="2"/>
      <c r="AX2006" s="2"/>
      <c r="AY2006" s="2">
        <v>41</v>
      </c>
      <c r="AZ2006" s="2" t="s">
        <v>82</v>
      </c>
      <c r="BA2006" s="2">
        <v>41</v>
      </c>
      <c r="BB2006" s="2" t="s">
        <v>82</v>
      </c>
      <c r="BC2006" s="2">
        <v>41</v>
      </c>
      <c r="BD2006" s="2" t="s">
        <v>82</v>
      </c>
      <c r="BE2006" s="2">
        <v>19</v>
      </c>
      <c r="BF2006" s="2" t="s">
        <v>1061</v>
      </c>
      <c r="BG2006" s="2" t="s">
        <v>6975</v>
      </c>
      <c r="BH2006" s="4">
        <v>0.56597222222222221</v>
      </c>
      <c r="BI2006" s="4">
        <v>0.60069444444444442</v>
      </c>
      <c r="BJ2006" s="2">
        <v>13</v>
      </c>
      <c r="BK2006" s="2" t="s">
        <v>91</v>
      </c>
      <c r="BL2006" s="2" t="s">
        <v>828</v>
      </c>
      <c r="BM2006" s="2">
        <v>241</v>
      </c>
      <c r="BN2006" s="2" t="s">
        <v>82</v>
      </c>
      <c r="BO2006" s="2" t="s">
        <v>82</v>
      </c>
      <c r="BP2006" s="2">
        <v>29</v>
      </c>
      <c r="BQ2006" s="2" t="s">
        <v>962</v>
      </c>
      <c r="BR2006" s="2" t="s">
        <v>963</v>
      </c>
      <c r="BS2006" s="3">
        <v>40312</v>
      </c>
      <c r="BT2006" s="4">
        <v>0.63418981481481485</v>
      </c>
    </row>
    <row r="2007" spans="1:72" x14ac:dyDescent="0.25">
      <c r="A2007" s="2">
        <v>2901</v>
      </c>
      <c r="B2007" s="2">
        <v>2010</v>
      </c>
      <c r="C2007" s="2" t="s">
        <v>171</v>
      </c>
      <c r="D2007" s="2" t="s">
        <v>73</v>
      </c>
      <c r="E2007" s="2"/>
      <c r="F2007" s="2">
        <v>471</v>
      </c>
      <c r="G2007" s="2" t="s">
        <v>6201</v>
      </c>
      <c r="H2007" s="2">
        <v>60</v>
      </c>
      <c r="I2007" s="2" t="s">
        <v>2704</v>
      </c>
      <c r="J2007" s="2">
        <v>374</v>
      </c>
      <c r="K2007" s="2" t="s">
        <v>1191</v>
      </c>
      <c r="L2007" s="2" t="s">
        <v>132</v>
      </c>
      <c r="M2007" s="3">
        <v>40312</v>
      </c>
      <c r="N2007" s="2" t="s">
        <v>6976</v>
      </c>
      <c r="O2007" s="2" t="s">
        <v>6977</v>
      </c>
      <c r="P2007" s="2" t="s">
        <v>6978</v>
      </c>
      <c r="Q2007" s="2" t="str">
        <f>"734/08 A"</f>
        <v>734/08 A</v>
      </c>
      <c r="R2007" s="2"/>
      <c r="S2007" s="2"/>
      <c r="T2007" s="2">
        <v>1</v>
      </c>
      <c r="U2007" s="2" t="s">
        <v>79</v>
      </c>
      <c r="V2007" s="2">
        <v>3</v>
      </c>
      <c r="W2007" s="2" t="s">
        <v>225</v>
      </c>
      <c r="X2007" s="2">
        <v>11</v>
      </c>
      <c r="Y2007" s="2" t="s">
        <v>1920</v>
      </c>
      <c r="Z2007" s="2">
        <v>1</v>
      </c>
      <c r="AA2007" s="2" t="s">
        <v>82</v>
      </c>
      <c r="AB2007" s="2">
        <v>9</v>
      </c>
      <c r="AC2007" s="2" t="s">
        <v>124</v>
      </c>
      <c r="AD2007" s="3">
        <v>40312</v>
      </c>
      <c r="AE2007" s="4">
        <v>0.45833333333333331</v>
      </c>
      <c r="AF2007" s="2"/>
      <c r="AG2007" s="2"/>
      <c r="AH2007" s="2">
        <v>5</v>
      </c>
      <c r="AI2007" s="2" t="s">
        <v>274</v>
      </c>
      <c r="AJ2007" s="2">
        <v>35</v>
      </c>
      <c r="AK2007" s="2" t="s">
        <v>275</v>
      </c>
      <c r="AL2007" s="2">
        <v>23</v>
      </c>
      <c r="AM2007" s="2" t="s">
        <v>251</v>
      </c>
      <c r="AN2007" s="2"/>
      <c r="AO2007" s="2"/>
      <c r="AP2007" s="2">
        <v>11</v>
      </c>
      <c r="AQ2007" s="2" t="s">
        <v>82</v>
      </c>
      <c r="AR2007" s="2"/>
      <c r="AS2007" s="2"/>
      <c r="AT2007" s="2" t="s">
        <v>6979</v>
      </c>
      <c r="AU2007" s="2"/>
      <c r="AV2007" s="2"/>
      <c r="AW2007" s="2"/>
      <c r="AX2007" s="2"/>
      <c r="AY2007" s="2">
        <v>1</v>
      </c>
      <c r="AZ2007" s="2" t="s">
        <v>107</v>
      </c>
      <c r="BA2007" s="2">
        <v>1</v>
      </c>
      <c r="BB2007" s="2" t="s">
        <v>107</v>
      </c>
      <c r="BC2007" s="2">
        <v>1</v>
      </c>
      <c r="BD2007" s="2" t="s">
        <v>107</v>
      </c>
      <c r="BE2007" s="2">
        <v>1</v>
      </c>
      <c r="BF2007" s="2" t="s">
        <v>107</v>
      </c>
      <c r="BG2007" s="2"/>
      <c r="BH2007" s="2"/>
      <c r="BI2007" s="2"/>
      <c r="BJ2007" s="2">
        <v>242</v>
      </c>
      <c r="BK2007" s="2" t="s">
        <v>107</v>
      </c>
      <c r="BL2007" s="2"/>
      <c r="BM2007" s="2">
        <v>242</v>
      </c>
      <c r="BN2007" s="2" t="s">
        <v>107</v>
      </c>
      <c r="BO2007" s="2"/>
      <c r="BP2007" s="2">
        <v>242</v>
      </c>
      <c r="BQ2007" s="2" t="s">
        <v>107</v>
      </c>
      <c r="BR2007" s="2"/>
      <c r="BS2007" s="3">
        <v>40312</v>
      </c>
      <c r="BT2007" s="4">
        <v>0.656712962962963</v>
      </c>
    </row>
    <row r="2008" spans="1:72" x14ac:dyDescent="0.25">
      <c r="A2008" s="2">
        <v>2903</v>
      </c>
      <c r="B2008" s="2">
        <v>2010</v>
      </c>
      <c r="C2008" s="2" t="s">
        <v>147</v>
      </c>
      <c r="D2008" s="2" t="s">
        <v>73</v>
      </c>
      <c r="E2008" s="2"/>
      <c r="F2008" s="2">
        <v>1</v>
      </c>
      <c r="G2008" s="2" t="s">
        <v>82</v>
      </c>
      <c r="H2008" s="2">
        <v>1</v>
      </c>
      <c r="I2008" s="2" t="s">
        <v>82</v>
      </c>
      <c r="J2008" s="2">
        <v>1</v>
      </c>
      <c r="K2008" s="2" t="s">
        <v>107</v>
      </c>
      <c r="L2008" s="2" t="s">
        <v>107</v>
      </c>
      <c r="M2008" s="3">
        <v>40312</v>
      </c>
      <c r="N2008" s="2"/>
      <c r="O2008" s="2"/>
      <c r="P2008" s="2"/>
      <c r="Q2008" s="2" t="str">
        <f>""</f>
        <v/>
      </c>
      <c r="R2008" s="2"/>
      <c r="S2008" s="2"/>
      <c r="T2008" s="2">
        <v>2</v>
      </c>
      <c r="U2008" s="2" t="s">
        <v>123</v>
      </c>
      <c r="V2008" s="2">
        <v>1</v>
      </c>
      <c r="W2008" s="2" t="s">
        <v>80</v>
      </c>
      <c r="X2008" s="2">
        <v>12</v>
      </c>
      <c r="Y2008" s="2" t="s">
        <v>148</v>
      </c>
      <c r="Z2008" s="2">
        <v>1</v>
      </c>
      <c r="AA2008" s="2" t="s">
        <v>82</v>
      </c>
      <c r="AB2008" s="2">
        <v>9</v>
      </c>
      <c r="AC2008" s="2" t="s">
        <v>124</v>
      </c>
      <c r="AD2008" s="3">
        <v>40312</v>
      </c>
      <c r="AE2008" s="4">
        <v>0.375</v>
      </c>
      <c r="AF2008" s="3">
        <v>40312</v>
      </c>
      <c r="AG2008" s="4">
        <v>0.4548611111111111</v>
      </c>
      <c r="AH2008" s="2">
        <v>6</v>
      </c>
      <c r="AI2008" s="2" t="s">
        <v>197</v>
      </c>
      <c r="AJ2008" s="2">
        <v>59</v>
      </c>
      <c r="AK2008" s="2" t="s">
        <v>198</v>
      </c>
      <c r="AL2008" s="2">
        <v>19</v>
      </c>
      <c r="AM2008" s="2" t="s">
        <v>107</v>
      </c>
      <c r="AN2008" s="2" t="s">
        <v>6318</v>
      </c>
      <c r="AO2008" s="2" t="s">
        <v>82</v>
      </c>
      <c r="AP2008" s="2">
        <v>11</v>
      </c>
      <c r="AQ2008" s="2" t="s">
        <v>82</v>
      </c>
      <c r="AR2008" s="2"/>
      <c r="AS2008" s="2"/>
      <c r="AT2008" s="2" t="s">
        <v>6980</v>
      </c>
      <c r="AU2008" s="2"/>
      <c r="AV2008" s="2"/>
      <c r="AW2008" s="2"/>
      <c r="AX2008" s="2"/>
      <c r="AY2008" s="2">
        <v>1</v>
      </c>
      <c r="AZ2008" s="2" t="s">
        <v>107</v>
      </c>
      <c r="BA2008" s="2">
        <v>1</v>
      </c>
      <c r="BB2008" s="2" t="s">
        <v>107</v>
      </c>
      <c r="BC2008" s="2">
        <v>1</v>
      </c>
      <c r="BD2008" s="2" t="s">
        <v>107</v>
      </c>
      <c r="BE2008" s="2">
        <v>1</v>
      </c>
      <c r="BF2008" s="2" t="s">
        <v>107</v>
      </c>
      <c r="BG2008" s="2"/>
      <c r="BH2008" s="2"/>
      <c r="BI2008" s="2"/>
      <c r="BJ2008" s="2">
        <v>242</v>
      </c>
      <c r="BK2008" s="2" t="s">
        <v>107</v>
      </c>
      <c r="BL2008" s="2"/>
      <c r="BM2008" s="2">
        <v>242</v>
      </c>
      <c r="BN2008" s="2" t="s">
        <v>107</v>
      </c>
      <c r="BO2008" s="2"/>
      <c r="BP2008" s="2">
        <v>242</v>
      </c>
      <c r="BQ2008" s="2" t="s">
        <v>107</v>
      </c>
      <c r="BR2008" s="2"/>
      <c r="BS2008" s="3">
        <v>40312</v>
      </c>
      <c r="BT2008" s="4">
        <v>0.66258101851851847</v>
      </c>
    </row>
    <row r="2009" spans="1:72" x14ac:dyDescent="0.25">
      <c r="A2009" s="2">
        <v>2904</v>
      </c>
      <c r="B2009" s="2">
        <v>2010</v>
      </c>
      <c r="C2009" s="2" t="s">
        <v>171</v>
      </c>
      <c r="D2009" s="2" t="s">
        <v>73</v>
      </c>
      <c r="E2009" s="2"/>
      <c r="F2009" s="2">
        <v>471</v>
      </c>
      <c r="G2009" s="2" t="s">
        <v>6201</v>
      </c>
      <c r="H2009" s="2">
        <v>60</v>
      </c>
      <c r="I2009" s="2" t="s">
        <v>2704</v>
      </c>
      <c r="J2009" s="2">
        <v>374</v>
      </c>
      <c r="K2009" s="2" t="s">
        <v>1191</v>
      </c>
      <c r="L2009" s="2" t="s">
        <v>132</v>
      </c>
      <c r="M2009" s="3">
        <v>40312</v>
      </c>
      <c r="N2009" s="2" t="s">
        <v>6981</v>
      </c>
      <c r="O2009" s="2" t="s">
        <v>6982</v>
      </c>
      <c r="P2009" s="2" t="s">
        <v>6983</v>
      </c>
      <c r="Q2009" s="2" t="str">
        <f>"246/09"</f>
        <v>246/09</v>
      </c>
      <c r="R2009" s="2"/>
      <c r="S2009" s="2" t="s">
        <v>6984</v>
      </c>
      <c r="T2009" s="2">
        <v>1</v>
      </c>
      <c r="U2009" s="2" t="s">
        <v>79</v>
      </c>
      <c r="V2009" s="2">
        <v>3</v>
      </c>
      <c r="W2009" s="2" t="s">
        <v>225</v>
      </c>
      <c r="X2009" s="2">
        <v>2</v>
      </c>
      <c r="Y2009" s="2" t="s">
        <v>136</v>
      </c>
      <c r="Z2009" s="2">
        <v>1</v>
      </c>
      <c r="AA2009" s="2" t="s">
        <v>82</v>
      </c>
      <c r="AB2009" s="2">
        <v>9</v>
      </c>
      <c r="AC2009" s="2" t="s">
        <v>124</v>
      </c>
      <c r="AD2009" s="3">
        <v>40312</v>
      </c>
      <c r="AE2009" s="4">
        <v>0.46527777777777773</v>
      </c>
      <c r="AF2009" s="2"/>
      <c r="AG2009" s="2"/>
      <c r="AH2009" s="2">
        <v>5</v>
      </c>
      <c r="AI2009" s="2" t="s">
        <v>274</v>
      </c>
      <c r="AJ2009" s="2">
        <v>35</v>
      </c>
      <c r="AK2009" s="2" t="s">
        <v>275</v>
      </c>
      <c r="AL2009" s="2">
        <v>23</v>
      </c>
      <c r="AM2009" s="2" t="s">
        <v>251</v>
      </c>
      <c r="AN2009" s="2"/>
      <c r="AO2009" s="2"/>
      <c r="AP2009" s="2">
        <v>11</v>
      </c>
      <c r="AQ2009" s="2" t="s">
        <v>82</v>
      </c>
      <c r="AR2009" s="2"/>
      <c r="AS2009" s="2"/>
      <c r="AT2009" s="2" t="s">
        <v>6985</v>
      </c>
      <c r="AU2009" s="2"/>
      <c r="AV2009" s="2"/>
      <c r="AW2009" s="2"/>
      <c r="AX2009" s="2"/>
      <c r="AY2009" s="2">
        <v>1</v>
      </c>
      <c r="AZ2009" s="2" t="s">
        <v>107</v>
      </c>
      <c r="BA2009" s="2">
        <v>1</v>
      </c>
      <c r="BB2009" s="2" t="s">
        <v>107</v>
      </c>
      <c r="BC2009" s="2">
        <v>1</v>
      </c>
      <c r="BD2009" s="2" t="s">
        <v>107</v>
      </c>
      <c r="BE2009" s="2">
        <v>1</v>
      </c>
      <c r="BF2009" s="2" t="s">
        <v>107</v>
      </c>
      <c r="BG2009" s="2"/>
      <c r="BH2009" s="2"/>
      <c r="BI2009" s="2"/>
      <c r="BJ2009" s="2">
        <v>242</v>
      </c>
      <c r="BK2009" s="2" t="s">
        <v>107</v>
      </c>
      <c r="BL2009" s="2"/>
      <c r="BM2009" s="2">
        <v>242</v>
      </c>
      <c r="BN2009" s="2" t="s">
        <v>107</v>
      </c>
      <c r="BO2009" s="2"/>
      <c r="BP2009" s="2">
        <v>242</v>
      </c>
      <c r="BQ2009" s="2" t="s">
        <v>107</v>
      </c>
      <c r="BR2009" s="2"/>
      <c r="BS2009" s="3">
        <v>40312</v>
      </c>
      <c r="BT2009" s="4">
        <v>0.67895833333333344</v>
      </c>
    </row>
    <row r="2010" spans="1:72" x14ac:dyDescent="0.25">
      <c r="A2010" s="2">
        <v>2905</v>
      </c>
      <c r="B2010" s="2">
        <v>2010</v>
      </c>
      <c r="C2010" s="2" t="s">
        <v>93</v>
      </c>
      <c r="D2010" s="2" t="s">
        <v>73</v>
      </c>
      <c r="E2010" s="2"/>
      <c r="F2010" s="2">
        <v>610</v>
      </c>
      <c r="G2010" s="2" t="s">
        <v>6445</v>
      </c>
      <c r="H2010" s="2">
        <v>102</v>
      </c>
      <c r="I2010" s="2" t="s">
        <v>6446</v>
      </c>
      <c r="J2010" s="2">
        <v>176</v>
      </c>
      <c r="K2010" s="2" t="s">
        <v>6447</v>
      </c>
      <c r="L2010" s="2" t="s">
        <v>6448</v>
      </c>
      <c r="M2010" s="3">
        <v>40312</v>
      </c>
      <c r="N2010" s="2" t="s">
        <v>6986</v>
      </c>
      <c r="O2010" s="2" t="s">
        <v>6987</v>
      </c>
      <c r="P2010" s="2">
        <v>47876</v>
      </c>
      <c r="Q2010" s="2" t="str">
        <f>"058/10"</f>
        <v>058/10</v>
      </c>
      <c r="R2010" s="2" t="s">
        <v>3812</v>
      </c>
      <c r="S2010" s="2"/>
      <c r="T2010" s="2">
        <v>1</v>
      </c>
      <c r="U2010" s="2" t="s">
        <v>79</v>
      </c>
      <c r="V2010" s="2">
        <v>1</v>
      </c>
      <c r="W2010" s="2" t="s">
        <v>80</v>
      </c>
      <c r="X2010" s="2">
        <v>3</v>
      </c>
      <c r="Y2010" s="2" t="s">
        <v>698</v>
      </c>
      <c r="Z2010" s="2">
        <v>9</v>
      </c>
      <c r="AA2010" s="2" t="s">
        <v>1119</v>
      </c>
      <c r="AB2010" s="2">
        <v>2</v>
      </c>
      <c r="AC2010" s="2" t="s">
        <v>102</v>
      </c>
      <c r="AD2010" s="3">
        <v>40312</v>
      </c>
      <c r="AE2010" s="4">
        <v>0.56944444444444442</v>
      </c>
      <c r="AF2010" s="2"/>
      <c r="AG2010" s="2"/>
      <c r="AH2010" s="2">
        <v>5</v>
      </c>
      <c r="AI2010" s="2" t="s">
        <v>274</v>
      </c>
      <c r="AJ2010" s="2">
        <v>38</v>
      </c>
      <c r="AK2010" s="2" t="s">
        <v>1120</v>
      </c>
      <c r="AL2010" s="2">
        <v>14</v>
      </c>
      <c r="AM2010" s="2" t="s">
        <v>216</v>
      </c>
      <c r="AN2010" s="2"/>
      <c r="AO2010" s="2" t="s">
        <v>5741</v>
      </c>
      <c r="AP2010" s="2">
        <v>11</v>
      </c>
      <c r="AQ2010" s="2" t="s">
        <v>82</v>
      </c>
      <c r="AR2010" s="2"/>
      <c r="AS2010" s="2"/>
      <c r="AT2010" s="2" t="s">
        <v>6988</v>
      </c>
      <c r="AU2010" s="2"/>
      <c r="AV2010" s="2"/>
      <c r="AW2010" s="2"/>
      <c r="AX2010" s="2"/>
      <c r="AY2010" s="2">
        <v>41</v>
      </c>
      <c r="AZ2010" s="2" t="s">
        <v>82</v>
      </c>
      <c r="BA2010" s="2">
        <v>41</v>
      </c>
      <c r="BB2010" s="2" t="s">
        <v>82</v>
      </c>
      <c r="BC2010" s="2">
        <v>41</v>
      </c>
      <c r="BD2010" s="2" t="s">
        <v>82</v>
      </c>
      <c r="BE2010" s="2">
        <v>4</v>
      </c>
      <c r="BF2010" s="2" t="s">
        <v>90</v>
      </c>
      <c r="BG2010" s="2">
        <v>4025</v>
      </c>
      <c r="BH2010" s="4">
        <v>0.51736111111111105</v>
      </c>
      <c r="BI2010" s="4">
        <v>0.54513888888888895</v>
      </c>
      <c r="BJ2010" s="2">
        <v>13</v>
      </c>
      <c r="BK2010" s="2" t="s">
        <v>91</v>
      </c>
      <c r="BL2010" s="2" t="s">
        <v>2005</v>
      </c>
      <c r="BM2010" s="2">
        <v>241</v>
      </c>
      <c r="BN2010" s="2" t="s">
        <v>82</v>
      </c>
      <c r="BO2010" s="2"/>
      <c r="BP2010" s="2">
        <v>13</v>
      </c>
      <c r="BQ2010" s="2" t="s">
        <v>91</v>
      </c>
      <c r="BR2010" s="2" t="s">
        <v>170</v>
      </c>
      <c r="BS2010" s="3">
        <v>40312</v>
      </c>
      <c r="BT2010" s="4">
        <v>0.68153935185185188</v>
      </c>
    </row>
    <row r="2011" spans="1:72" x14ac:dyDescent="0.25">
      <c r="A2011" s="2">
        <v>2906</v>
      </c>
      <c r="B2011" s="2">
        <v>2010</v>
      </c>
      <c r="C2011" s="2" t="s">
        <v>72</v>
      </c>
      <c r="D2011" s="2" t="s">
        <v>122</v>
      </c>
      <c r="E2011" s="2" t="s">
        <v>6989</v>
      </c>
      <c r="F2011" s="2">
        <v>610</v>
      </c>
      <c r="G2011" s="2" t="s">
        <v>6445</v>
      </c>
      <c r="H2011" s="2">
        <v>102</v>
      </c>
      <c r="I2011" s="2" t="s">
        <v>6446</v>
      </c>
      <c r="J2011" s="2">
        <v>176</v>
      </c>
      <c r="K2011" s="2" t="s">
        <v>6447</v>
      </c>
      <c r="L2011" s="2" t="s">
        <v>6448</v>
      </c>
      <c r="M2011" s="3">
        <v>40312</v>
      </c>
      <c r="N2011" s="2" t="s">
        <v>6449</v>
      </c>
      <c r="O2011" s="2"/>
      <c r="P2011" s="2"/>
      <c r="Q2011" s="2" t="str">
        <f>"168-A/10"</f>
        <v>168-A/10</v>
      </c>
      <c r="R2011" s="2" t="s">
        <v>78</v>
      </c>
      <c r="S2011" s="2"/>
      <c r="T2011" s="2">
        <v>1</v>
      </c>
      <c r="U2011" s="2" t="s">
        <v>79</v>
      </c>
      <c r="V2011" s="2">
        <v>1</v>
      </c>
      <c r="W2011" s="2" t="s">
        <v>80</v>
      </c>
      <c r="X2011" s="2">
        <v>12</v>
      </c>
      <c r="Y2011" s="2" t="s">
        <v>148</v>
      </c>
      <c r="Z2011" s="2">
        <v>1</v>
      </c>
      <c r="AA2011" s="2" t="s">
        <v>82</v>
      </c>
      <c r="AB2011" s="2">
        <v>6</v>
      </c>
      <c r="AC2011" s="2" t="s">
        <v>83</v>
      </c>
      <c r="AD2011" s="3">
        <v>40299</v>
      </c>
      <c r="AE2011" s="4">
        <v>0.73611111111111116</v>
      </c>
      <c r="AF2011" s="3">
        <v>40299</v>
      </c>
      <c r="AG2011" s="4">
        <v>0.75694444444444453</v>
      </c>
      <c r="AH2011" s="2">
        <v>2</v>
      </c>
      <c r="AI2011" s="2" t="s">
        <v>84</v>
      </c>
      <c r="AJ2011" s="2">
        <v>12</v>
      </c>
      <c r="AK2011" s="2" t="s">
        <v>85</v>
      </c>
      <c r="AL2011" s="2">
        <v>29</v>
      </c>
      <c r="AM2011" s="2" t="s">
        <v>5416</v>
      </c>
      <c r="AN2011" s="2" t="s">
        <v>6450</v>
      </c>
      <c r="AO2011" s="2"/>
      <c r="AP2011" s="2">
        <v>11</v>
      </c>
      <c r="AQ2011" s="2" t="s">
        <v>82</v>
      </c>
      <c r="AR2011" s="2"/>
      <c r="AS2011" s="2"/>
      <c r="AT2011" s="2" t="s">
        <v>6990</v>
      </c>
      <c r="AU2011" s="2"/>
      <c r="AV2011" s="2"/>
      <c r="AW2011" s="2"/>
      <c r="AX2011" s="2"/>
      <c r="AY2011" s="2">
        <v>41</v>
      </c>
      <c r="AZ2011" s="2" t="s">
        <v>82</v>
      </c>
      <c r="BA2011" s="2">
        <v>41</v>
      </c>
      <c r="BB2011" s="2" t="s">
        <v>82</v>
      </c>
      <c r="BC2011" s="2">
        <v>41</v>
      </c>
      <c r="BD2011" s="2" t="s">
        <v>82</v>
      </c>
      <c r="BE2011" s="2">
        <v>4</v>
      </c>
      <c r="BF2011" s="2" t="s">
        <v>90</v>
      </c>
      <c r="BG2011" s="2" t="s">
        <v>6452</v>
      </c>
      <c r="BH2011" s="4">
        <v>0.64583333333333337</v>
      </c>
      <c r="BI2011" s="4">
        <v>0.70833333333333337</v>
      </c>
      <c r="BJ2011" s="2">
        <v>13</v>
      </c>
      <c r="BK2011" s="2" t="s">
        <v>91</v>
      </c>
      <c r="BL2011" s="2" t="s">
        <v>445</v>
      </c>
      <c r="BM2011" s="2">
        <v>241</v>
      </c>
      <c r="BN2011" s="2" t="s">
        <v>82</v>
      </c>
      <c r="BO2011" s="2"/>
      <c r="BP2011" s="2">
        <v>13</v>
      </c>
      <c r="BQ2011" s="2" t="s">
        <v>91</v>
      </c>
      <c r="BR2011" s="2" t="s">
        <v>185</v>
      </c>
      <c r="BS2011" s="3">
        <v>40312</v>
      </c>
      <c r="BT2011" s="4">
        <v>0.69604166666666656</v>
      </c>
    </row>
    <row r="2012" spans="1:72" x14ac:dyDescent="0.25">
      <c r="A2012" s="2">
        <v>2907</v>
      </c>
      <c r="B2012" s="2">
        <v>2010</v>
      </c>
      <c r="C2012" s="2" t="s">
        <v>171</v>
      </c>
      <c r="D2012" s="2" t="s">
        <v>73</v>
      </c>
      <c r="E2012" s="2" t="s">
        <v>5266</v>
      </c>
      <c r="F2012" s="2">
        <v>425</v>
      </c>
      <c r="G2012" s="2" t="s">
        <v>286</v>
      </c>
      <c r="H2012" s="2">
        <v>30</v>
      </c>
      <c r="I2012" s="2" t="s">
        <v>912</v>
      </c>
      <c r="J2012" s="2">
        <v>310</v>
      </c>
      <c r="K2012" s="2" t="s">
        <v>288</v>
      </c>
      <c r="L2012" s="2" t="s">
        <v>289</v>
      </c>
      <c r="M2012" s="3">
        <v>40312</v>
      </c>
      <c r="N2012" s="2" t="s">
        <v>1917</v>
      </c>
      <c r="O2012" s="2" t="s">
        <v>4718</v>
      </c>
      <c r="P2012" s="2" t="s">
        <v>4719</v>
      </c>
      <c r="Q2012" s="2" t="str">
        <f>"84"</f>
        <v>84</v>
      </c>
      <c r="R2012" s="2"/>
      <c r="S2012" s="2"/>
      <c r="T2012" s="2">
        <v>1</v>
      </c>
      <c r="U2012" s="2" t="s">
        <v>79</v>
      </c>
      <c r="V2012" s="2">
        <v>3</v>
      </c>
      <c r="W2012" s="2" t="s">
        <v>225</v>
      </c>
      <c r="X2012" s="2">
        <v>6</v>
      </c>
      <c r="Y2012" s="2" t="s">
        <v>249</v>
      </c>
      <c r="Z2012" s="2">
        <v>1</v>
      </c>
      <c r="AA2012" s="2" t="s">
        <v>82</v>
      </c>
      <c r="AB2012" s="2">
        <v>9</v>
      </c>
      <c r="AC2012" s="2" t="s">
        <v>124</v>
      </c>
      <c r="AD2012" s="2"/>
      <c r="AE2012" s="2"/>
      <c r="AF2012" s="2"/>
      <c r="AG2012" s="2"/>
      <c r="AH2012" s="2">
        <v>4</v>
      </c>
      <c r="AI2012" s="2" t="s">
        <v>125</v>
      </c>
      <c r="AJ2012" s="2">
        <v>26</v>
      </c>
      <c r="AK2012" s="2" t="s">
        <v>293</v>
      </c>
      <c r="AL2012" s="2">
        <v>23</v>
      </c>
      <c r="AM2012" s="2" t="s">
        <v>251</v>
      </c>
      <c r="AN2012" s="2"/>
      <c r="AO2012" s="2"/>
      <c r="AP2012" s="2">
        <v>11</v>
      </c>
      <c r="AQ2012" s="2" t="s">
        <v>82</v>
      </c>
      <c r="AR2012" s="2"/>
      <c r="AS2012" s="2"/>
      <c r="AT2012" s="2" t="s">
        <v>6991</v>
      </c>
      <c r="AU2012" s="2"/>
      <c r="AV2012" s="2"/>
      <c r="AW2012" s="2"/>
      <c r="AX2012" s="2"/>
      <c r="AY2012" s="2">
        <v>1</v>
      </c>
      <c r="AZ2012" s="2" t="s">
        <v>107</v>
      </c>
      <c r="BA2012" s="2">
        <v>1</v>
      </c>
      <c r="BB2012" s="2" t="s">
        <v>107</v>
      </c>
      <c r="BC2012" s="2">
        <v>1</v>
      </c>
      <c r="BD2012" s="2" t="s">
        <v>107</v>
      </c>
      <c r="BE2012" s="2">
        <v>1</v>
      </c>
      <c r="BF2012" s="2" t="s">
        <v>107</v>
      </c>
      <c r="BG2012" s="2"/>
      <c r="BH2012" s="2"/>
      <c r="BI2012" s="2"/>
      <c r="BJ2012" s="2">
        <v>242</v>
      </c>
      <c r="BK2012" s="2" t="s">
        <v>107</v>
      </c>
      <c r="BL2012" s="2"/>
      <c r="BM2012" s="2">
        <v>242</v>
      </c>
      <c r="BN2012" s="2" t="s">
        <v>107</v>
      </c>
      <c r="BO2012" s="2"/>
      <c r="BP2012" s="2">
        <v>242</v>
      </c>
      <c r="BQ2012" s="2" t="s">
        <v>107</v>
      </c>
      <c r="BR2012" s="2"/>
      <c r="BS2012" s="3">
        <v>40312</v>
      </c>
      <c r="BT2012" s="4">
        <v>0.70949074074074081</v>
      </c>
    </row>
    <row r="2013" spans="1:72" x14ac:dyDescent="0.25">
      <c r="A2013" s="2">
        <v>2908</v>
      </c>
      <c r="B2013" s="2">
        <v>2010</v>
      </c>
      <c r="C2013" s="2" t="s">
        <v>72</v>
      </c>
      <c r="D2013" s="2" t="s">
        <v>73</v>
      </c>
      <c r="E2013" s="2"/>
      <c r="F2013" s="2">
        <v>2</v>
      </c>
      <c r="G2013" s="2" t="s">
        <v>113</v>
      </c>
      <c r="H2013" s="2">
        <v>50</v>
      </c>
      <c r="I2013" s="2" t="s">
        <v>107</v>
      </c>
      <c r="J2013" s="2">
        <v>300</v>
      </c>
      <c r="K2013" s="2" t="s">
        <v>114</v>
      </c>
      <c r="L2013" s="2" t="s">
        <v>115</v>
      </c>
      <c r="M2013" s="3">
        <v>40312</v>
      </c>
      <c r="N2013" s="2"/>
      <c r="O2013" s="2"/>
      <c r="P2013" s="2"/>
      <c r="Q2013" s="2" t="str">
        <f>"262-E/10"</f>
        <v>262-E/10</v>
      </c>
      <c r="R2013" s="2"/>
      <c r="S2013" s="2" t="s">
        <v>116</v>
      </c>
      <c r="T2013" s="2">
        <v>1</v>
      </c>
      <c r="U2013" s="2" t="s">
        <v>79</v>
      </c>
      <c r="V2013" s="2">
        <v>1</v>
      </c>
      <c r="W2013" s="2" t="s">
        <v>80</v>
      </c>
      <c r="X2013" s="2">
        <v>12</v>
      </c>
      <c r="Y2013" s="2" t="s">
        <v>148</v>
      </c>
      <c r="Z2013" s="2">
        <v>1</v>
      </c>
      <c r="AA2013" s="2" t="s">
        <v>82</v>
      </c>
      <c r="AB2013" s="2">
        <v>6</v>
      </c>
      <c r="AC2013" s="2" t="s">
        <v>83</v>
      </c>
      <c r="AD2013" s="3">
        <v>40312</v>
      </c>
      <c r="AE2013" s="4">
        <v>0.375</v>
      </c>
      <c r="AF2013" s="3">
        <v>40312</v>
      </c>
      <c r="AG2013" s="4">
        <v>0.5</v>
      </c>
      <c r="AH2013" s="2">
        <v>2</v>
      </c>
      <c r="AI2013" s="2" t="s">
        <v>84</v>
      </c>
      <c r="AJ2013" s="2">
        <v>9</v>
      </c>
      <c r="AK2013" s="2" t="s">
        <v>103</v>
      </c>
      <c r="AL2013" s="2">
        <v>12</v>
      </c>
      <c r="AM2013" s="2" t="s">
        <v>86</v>
      </c>
      <c r="AN2013" s="2" t="s">
        <v>6992</v>
      </c>
      <c r="AO2013" s="2" t="s">
        <v>6993</v>
      </c>
      <c r="AP2013" s="2">
        <v>11</v>
      </c>
      <c r="AQ2013" s="2" t="s">
        <v>82</v>
      </c>
      <c r="AR2013" s="2"/>
      <c r="AS2013" s="2"/>
      <c r="AT2013" s="2" t="s">
        <v>6994</v>
      </c>
      <c r="AU2013" s="2"/>
      <c r="AV2013" s="2"/>
      <c r="AW2013" s="2"/>
      <c r="AX2013" s="2"/>
      <c r="AY2013" s="2">
        <v>41</v>
      </c>
      <c r="AZ2013" s="2" t="s">
        <v>82</v>
      </c>
      <c r="BA2013" s="2">
        <v>41</v>
      </c>
      <c r="BB2013" s="2" t="s">
        <v>82</v>
      </c>
      <c r="BC2013" s="2">
        <v>41</v>
      </c>
      <c r="BD2013" s="2" t="s">
        <v>82</v>
      </c>
      <c r="BE2013" s="2">
        <v>41</v>
      </c>
      <c r="BF2013" s="2" t="s">
        <v>82</v>
      </c>
      <c r="BG2013" s="2"/>
      <c r="BH2013" s="2"/>
      <c r="BI2013" s="2"/>
      <c r="BJ2013" s="2">
        <v>241</v>
      </c>
      <c r="BK2013" s="2" t="s">
        <v>82</v>
      </c>
      <c r="BL2013" s="2"/>
      <c r="BM2013" s="2">
        <v>241</v>
      </c>
      <c r="BN2013" s="2" t="s">
        <v>82</v>
      </c>
      <c r="BO2013" s="2"/>
      <c r="BP2013" s="2">
        <v>241</v>
      </c>
      <c r="BQ2013" s="2" t="s">
        <v>82</v>
      </c>
      <c r="BR2013" s="2"/>
      <c r="BS2013" s="3">
        <v>40312</v>
      </c>
      <c r="BT2013" s="4">
        <v>0.71848379629629633</v>
      </c>
    </row>
    <row r="2014" spans="1:72" x14ac:dyDescent="0.25">
      <c r="A2014" s="2">
        <v>2909</v>
      </c>
      <c r="B2014" s="2">
        <v>2010</v>
      </c>
      <c r="C2014" s="2" t="s">
        <v>171</v>
      </c>
      <c r="D2014" s="2" t="s">
        <v>73</v>
      </c>
      <c r="E2014" s="2"/>
      <c r="F2014" s="2">
        <v>471</v>
      </c>
      <c r="G2014" s="2" t="s">
        <v>6201</v>
      </c>
      <c r="H2014" s="2">
        <v>66</v>
      </c>
      <c r="I2014" s="2" t="s">
        <v>3190</v>
      </c>
      <c r="J2014" s="2">
        <v>374</v>
      </c>
      <c r="K2014" s="2" t="s">
        <v>1191</v>
      </c>
      <c r="L2014" s="2" t="s">
        <v>132</v>
      </c>
      <c r="M2014" s="3">
        <v>40312</v>
      </c>
      <c r="N2014" s="2" t="s">
        <v>6995</v>
      </c>
      <c r="O2014" s="2" t="s">
        <v>6996</v>
      </c>
      <c r="P2014" s="2" t="s">
        <v>6997</v>
      </c>
      <c r="Q2014" s="2" t="str">
        <f>"008/2010"</f>
        <v>008/2010</v>
      </c>
      <c r="R2014" s="2"/>
      <c r="S2014" s="2" t="s">
        <v>6996</v>
      </c>
      <c r="T2014" s="2">
        <v>1</v>
      </c>
      <c r="U2014" s="2" t="s">
        <v>79</v>
      </c>
      <c r="V2014" s="2">
        <v>3</v>
      </c>
      <c r="W2014" s="2" t="s">
        <v>225</v>
      </c>
      <c r="X2014" s="2">
        <v>2</v>
      </c>
      <c r="Y2014" s="2" t="s">
        <v>136</v>
      </c>
      <c r="Z2014" s="2">
        <v>1</v>
      </c>
      <c r="AA2014" s="2" t="s">
        <v>82</v>
      </c>
      <c r="AB2014" s="2">
        <v>9</v>
      </c>
      <c r="AC2014" s="2" t="s">
        <v>124</v>
      </c>
      <c r="AD2014" s="2"/>
      <c r="AE2014" s="2"/>
      <c r="AF2014" s="2"/>
      <c r="AG2014" s="2"/>
      <c r="AH2014" s="2">
        <v>5</v>
      </c>
      <c r="AI2014" s="2" t="s">
        <v>274</v>
      </c>
      <c r="AJ2014" s="2">
        <v>35</v>
      </c>
      <c r="AK2014" s="2" t="s">
        <v>275</v>
      </c>
      <c r="AL2014" s="2">
        <v>23</v>
      </c>
      <c r="AM2014" s="2" t="s">
        <v>251</v>
      </c>
      <c r="AN2014" s="2" t="s">
        <v>284</v>
      </c>
      <c r="AO2014" s="2" t="s">
        <v>6998</v>
      </c>
      <c r="AP2014" s="2">
        <v>11</v>
      </c>
      <c r="AQ2014" s="2" t="s">
        <v>82</v>
      </c>
      <c r="AR2014" s="2"/>
      <c r="AS2014" s="2"/>
      <c r="AT2014" s="2" t="s">
        <v>6999</v>
      </c>
      <c r="AU2014" s="2"/>
      <c r="AV2014" s="2"/>
      <c r="AW2014" s="2"/>
      <c r="AX2014" s="2"/>
      <c r="AY2014" s="2">
        <v>41</v>
      </c>
      <c r="AZ2014" s="2" t="s">
        <v>82</v>
      </c>
      <c r="BA2014" s="2">
        <v>41</v>
      </c>
      <c r="BB2014" s="2" t="s">
        <v>82</v>
      </c>
      <c r="BC2014" s="2">
        <v>41</v>
      </c>
      <c r="BD2014" s="2" t="s">
        <v>82</v>
      </c>
      <c r="BE2014" s="2">
        <v>41</v>
      </c>
      <c r="BF2014" s="2" t="s">
        <v>82</v>
      </c>
      <c r="BG2014" s="2"/>
      <c r="BH2014" s="2"/>
      <c r="BI2014" s="2"/>
      <c r="BJ2014" s="2">
        <v>241</v>
      </c>
      <c r="BK2014" s="2" t="s">
        <v>82</v>
      </c>
      <c r="BL2014" s="2"/>
      <c r="BM2014" s="2">
        <v>242</v>
      </c>
      <c r="BN2014" s="2" t="s">
        <v>107</v>
      </c>
      <c r="BO2014" s="2"/>
      <c r="BP2014" s="2">
        <v>242</v>
      </c>
      <c r="BQ2014" s="2" t="s">
        <v>107</v>
      </c>
      <c r="BR2014" s="2"/>
      <c r="BS2014" s="3">
        <v>40312</v>
      </c>
      <c r="BT2014" s="4">
        <v>0.73907407407407411</v>
      </c>
    </row>
    <row r="2015" spans="1:72" x14ac:dyDescent="0.25">
      <c r="A2015" s="2">
        <v>2910</v>
      </c>
      <c r="B2015" s="2">
        <v>2010</v>
      </c>
      <c r="C2015" s="2" t="s">
        <v>377</v>
      </c>
      <c r="D2015" s="2" t="s">
        <v>73</v>
      </c>
      <c r="E2015" s="2"/>
      <c r="F2015" s="2">
        <v>426</v>
      </c>
      <c r="G2015" s="2" t="s">
        <v>378</v>
      </c>
      <c r="H2015" s="2">
        <v>42</v>
      </c>
      <c r="I2015" s="2" t="s">
        <v>1096</v>
      </c>
      <c r="J2015" s="2">
        <v>311</v>
      </c>
      <c r="K2015" s="2" t="s">
        <v>379</v>
      </c>
      <c r="L2015" s="2" t="s">
        <v>380</v>
      </c>
      <c r="M2015" s="3">
        <v>40312</v>
      </c>
      <c r="N2015" s="2" t="s">
        <v>4427</v>
      </c>
      <c r="O2015" s="2" t="s">
        <v>4428</v>
      </c>
      <c r="P2015" s="2"/>
      <c r="Q2015" s="2" t="str">
        <f>"072-C/10"</f>
        <v>072-C/10</v>
      </c>
      <c r="R2015" s="2"/>
      <c r="S2015" s="2" t="s">
        <v>4428</v>
      </c>
      <c r="T2015" s="2">
        <v>1</v>
      </c>
      <c r="U2015" s="2" t="s">
        <v>79</v>
      </c>
      <c r="V2015" s="2">
        <v>1</v>
      </c>
      <c r="W2015" s="2" t="s">
        <v>80</v>
      </c>
      <c r="X2015" s="2">
        <v>1</v>
      </c>
      <c r="Y2015" s="2" t="s">
        <v>81</v>
      </c>
      <c r="Z2015" s="2">
        <v>1</v>
      </c>
      <c r="AA2015" s="2" t="s">
        <v>82</v>
      </c>
      <c r="AB2015" s="2">
        <v>9</v>
      </c>
      <c r="AC2015" s="2" t="s">
        <v>124</v>
      </c>
      <c r="AD2015" s="3">
        <v>40312</v>
      </c>
      <c r="AE2015" s="4">
        <v>0.59722222222222221</v>
      </c>
      <c r="AF2015" s="2"/>
      <c r="AG2015" s="2"/>
      <c r="AH2015" s="2">
        <v>2</v>
      </c>
      <c r="AI2015" s="2" t="s">
        <v>84</v>
      </c>
      <c r="AJ2015" s="2">
        <v>9</v>
      </c>
      <c r="AK2015" s="2" t="s">
        <v>103</v>
      </c>
      <c r="AL2015" s="2">
        <v>29</v>
      </c>
      <c r="AM2015" s="2" t="s">
        <v>5416</v>
      </c>
      <c r="AN2015" s="2"/>
      <c r="AO2015" s="2" t="s">
        <v>2585</v>
      </c>
      <c r="AP2015" s="2">
        <v>11</v>
      </c>
      <c r="AQ2015" s="2" t="s">
        <v>82</v>
      </c>
      <c r="AR2015" s="2"/>
      <c r="AS2015" s="2"/>
      <c r="AT2015" s="2" t="s">
        <v>7000</v>
      </c>
      <c r="AU2015" s="2"/>
      <c r="AV2015" s="2"/>
      <c r="AW2015" s="2"/>
      <c r="AX2015" s="2"/>
      <c r="AY2015" s="2">
        <v>41</v>
      </c>
      <c r="AZ2015" s="2" t="s">
        <v>82</v>
      </c>
      <c r="BA2015" s="2">
        <v>41</v>
      </c>
      <c r="BB2015" s="2" t="s">
        <v>82</v>
      </c>
      <c r="BC2015" s="2">
        <v>41</v>
      </c>
      <c r="BD2015" s="2" t="s">
        <v>82</v>
      </c>
      <c r="BE2015" s="2">
        <v>41</v>
      </c>
      <c r="BF2015" s="2" t="s">
        <v>82</v>
      </c>
      <c r="BG2015" s="2"/>
      <c r="BH2015" s="2"/>
      <c r="BI2015" s="2"/>
      <c r="BJ2015" s="2">
        <v>241</v>
      </c>
      <c r="BK2015" s="2" t="s">
        <v>82</v>
      </c>
      <c r="BL2015" s="2"/>
      <c r="BM2015" s="2">
        <v>241</v>
      </c>
      <c r="BN2015" s="2" t="s">
        <v>82</v>
      </c>
      <c r="BO2015" s="2"/>
      <c r="BP2015" s="2">
        <v>241</v>
      </c>
      <c r="BQ2015" s="2" t="s">
        <v>82</v>
      </c>
      <c r="BR2015" s="2"/>
      <c r="BS2015" s="3">
        <v>40312</v>
      </c>
      <c r="BT2015" s="4">
        <v>0.75934027777777768</v>
      </c>
    </row>
    <row r="2016" spans="1:72" x14ac:dyDescent="0.25">
      <c r="A2016" s="2">
        <v>2912</v>
      </c>
      <c r="B2016" s="2">
        <v>2010</v>
      </c>
      <c r="C2016" s="2" t="s">
        <v>377</v>
      </c>
      <c r="D2016" s="2" t="s">
        <v>73</v>
      </c>
      <c r="E2016" s="2"/>
      <c r="F2016" s="2">
        <v>426</v>
      </c>
      <c r="G2016" s="2" t="s">
        <v>378</v>
      </c>
      <c r="H2016" s="2">
        <v>42</v>
      </c>
      <c r="I2016" s="2" t="s">
        <v>1096</v>
      </c>
      <c r="J2016" s="2">
        <v>311</v>
      </c>
      <c r="K2016" s="2" t="s">
        <v>379</v>
      </c>
      <c r="L2016" s="2" t="s">
        <v>380</v>
      </c>
      <c r="M2016" s="3">
        <v>40312</v>
      </c>
      <c r="N2016" s="2" t="s">
        <v>4427</v>
      </c>
      <c r="O2016" s="2"/>
      <c r="P2016" s="2"/>
      <c r="Q2016" s="2" t="str">
        <f>"074-C/10"</f>
        <v>074-C/10</v>
      </c>
      <c r="R2016" s="2" t="s">
        <v>4428</v>
      </c>
      <c r="S2016" s="2"/>
      <c r="T2016" s="2">
        <v>1</v>
      </c>
      <c r="U2016" s="2" t="s">
        <v>79</v>
      </c>
      <c r="V2016" s="2">
        <v>1</v>
      </c>
      <c r="W2016" s="2" t="s">
        <v>80</v>
      </c>
      <c r="X2016" s="2">
        <v>1</v>
      </c>
      <c r="Y2016" s="2" t="s">
        <v>81</v>
      </c>
      <c r="Z2016" s="2">
        <v>1</v>
      </c>
      <c r="AA2016" s="2" t="s">
        <v>82</v>
      </c>
      <c r="AB2016" s="2">
        <v>9</v>
      </c>
      <c r="AC2016" s="2" t="s">
        <v>124</v>
      </c>
      <c r="AD2016" s="3">
        <v>40312</v>
      </c>
      <c r="AE2016" s="4">
        <v>0.63194444444444442</v>
      </c>
      <c r="AF2016" s="2"/>
      <c r="AG2016" s="2"/>
      <c r="AH2016" s="2">
        <v>2</v>
      </c>
      <c r="AI2016" s="2" t="s">
        <v>84</v>
      </c>
      <c r="AJ2016" s="2">
        <v>9</v>
      </c>
      <c r="AK2016" s="2" t="s">
        <v>103</v>
      </c>
      <c r="AL2016" s="2">
        <v>29</v>
      </c>
      <c r="AM2016" s="2" t="s">
        <v>5416</v>
      </c>
      <c r="AN2016" s="2" t="s">
        <v>107</v>
      </c>
      <c r="AO2016" s="2" t="s">
        <v>2585</v>
      </c>
      <c r="AP2016" s="2">
        <v>11</v>
      </c>
      <c r="AQ2016" s="2" t="s">
        <v>82</v>
      </c>
      <c r="AR2016" s="2"/>
      <c r="AS2016" s="2"/>
      <c r="AT2016" s="2" t="s">
        <v>7001</v>
      </c>
      <c r="AU2016" s="2"/>
      <c r="AV2016" s="2"/>
      <c r="AW2016" s="2"/>
      <c r="AX2016" s="2"/>
      <c r="AY2016" s="2">
        <v>41</v>
      </c>
      <c r="AZ2016" s="2" t="s">
        <v>82</v>
      </c>
      <c r="BA2016" s="2">
        <v>41</v>
      </c>
      <c r="BB2016" s="2" t="s">
        <v>82</v>
      </c>
      <c r="BC2016" s="2">
        <v>41</v>
      </c>
      <c r="BD2016" s="2" t="s">
        <v>82</v>
      </c>
      <c r="BE2016" s="2">
        <v>41</v>
      </c>
      <c r="BF2016" s="2" t="s">
        <v>82</v>
      </c>
      <c r="BG2016" s="2"/>
      <c r="BH2016" s="2"/>
      <c r="BI2016" s="2"/>
      <c r="BJ2016" s="2">
        <v>241</v>
      </c>
      <c r="BK2016" s="2" t="s">
        <v>82</v>
      </c>
      <c r="BL2016" s="2"/>
      <c r="BM2016" s="2">
        <v>241</v>
      </c>
      <c r="BN2016" s="2" t="s">
        <v>82</v>
      </c>
      <c r="BO2016" s="2"/>
      <c r="BP2016" s="2">
        <v>241</v>
      </c>
      <c r="BQ2016" s="2" t="s">
        <v>82</v>
      </c>
      <c r="BR2016" s="2"/>
      <c r="BS2016" s="3">
        <v>40312</v>
      </c>
      <c r="BT2016" s="4">
        <v>0.76931712962962961</v>
      </c>
    </row>
    <row r="2017" spans="1:72" x14ac:dyDescent="0.25">
      <c r="A2017" s="2">
        <v>2913</v>
      </c>
      <c r="B2017" s="2">
        <v>2010</v>
      </c>
      <c r="C2017" s="2" t="s">
        <v>819</v>
      </c>
      <c r="D2017" s="2" t="s">
        <v>73</v>
      </c>
      <c r="E2017" s="2"/>
      <c r="F2017" s="2">
        <v>444</v>
      </c>
      <c r="G2017" s="2" t="s">
        <v>3595</v>
      </c>
      <c r="H2017" s="2">
        <v>31</v>
      </c>
      <c r="I2017" s="2" t="s">
        <v>880</v>
      </c>
      <c r="J2017" s="2">
        <v>318</v>
      </c>
      <c r="K2017" s="2" t="s">
        <v>635</v>
      </c>
      <c r="L2017" s="2" t="s">
        <v>636</v>
      </c>
      <c r="M2017" s="3">
        <v>40312</v>
      </c>
      <c r="N2017" s="2" t="s">
        <v>3596</v>
      </c>
      <c r="O2017" s="2" t="s">
        <v>7002</v>
      </c>
      <c r="P2017" s="6">
        <v>44838</v>
      </c>
      <c r="Q2017" s="2" t="str">
        <f>"0008/10 PSA"</f>
        <v>0008/10 PSA</v>
      </c>
      <c r="R2017" s="2"/>
      <c r="S2017" s="2" t="s">
        <v>7003</v>
      </c>
      <c r="T2017" s="2">
        <v>1</v>
      </c>
      <c r="U2017" s="2" t="s">
        <v>79</v>
      </c>
      <c r="V2017" s="2">
        <v>1</v>
      </c>
      <c r="W2017" s="2" t="s">
        <v>80</v>
      </c>
      <c r="X2017" s="2">
        <v>1</v>
      </c>
      <c r="Y2017" s="2" t="s">
        <v>81</v>
      </c>
      <c r="Z2017" s="2">
        <v>1</v>
      </c>
      <c r="AA2017" s="2" t="s">
        <v>82</v>
      </c>
      <c r="AB2017" s="2">
        <v>9</v>
      </c>
      <c r="AC2017" s="2" t="s">
        <v>124</v>
      </c>
      <c r="AD2017" s="3">
        <v>40312</v>
      </c>
      <c r="AE2017" s="4">
        <v>0.65277777777777779</v>
      </c>
      <c r="AF2017" s="2"/>
      <c r="AG2017" s="2"/>
      <c r="AH2017" s="2">
        <v>4</v>
      </c>
      <c r="AI2017" s="2" t="s">
        <v>125</v>
      </c>
      <c r="AJ2017" s="2">
        <v>30</v>
      </c>
      <c r="AK2017" s="2" t="s">
        <v>258</v>
      </c>
      <c r="AL2017" s="2">
        <v>16</v>
      </c>
      <c r="AM2017" s="2" t="s">
        <v>392</v>
      </c>
      <c r="AN2017" s="2"/>
      <c r="AO2017" s="2"/>
      <c r="AP2017" s="2">
        <v>12</v>
      </c>
      <c r="AQ2017" s="2" t="s">
        <v>322</v>
      </c>
      <c r="AR2017" s="2" t="s">
        <v>7004</v>
      </c>
      <c r="AS2017" s="2" t="s">
        <v>7005</v>
      </c>
      <c r="AT2017" s="2" t="s">
        <v>7006</v>
      </c>
      <c r="AU2017" s="2"/>
      <c r="AV2017" s="2"/>
      <c r="AW2017" s="2"/>
      <c r="AX2017" s="2"/>
      <c r="AY2017" s="2">
        <v>41</v>
      </c>
      <c r="AZ2017" s="2" t="s">
        <v>82</v>
      </c>
      <c r="BA2017" s="2">
        <v>41</v>
      </c>
      <c r="BB2017" s="2" t="s">
        <v>82</v>
      </c>
      <c r="BC2017" s="2">
        <v>41</v>
      </c>
      <c r="BD2017" s="2" t="s">
        <v>82</v>
      </c>
      <c r="BE2017" s="2">
        <v>47</v>
      </c>
      <c r="BF2017" s="2" t="s">
        <v>167</v>
      </c>
      <c r="BG2017" s="2">
        <v>2499</v>
      </c>
      <c r="BH2017" s="4">
        <v>0.64930555555555558</v>
      </c>
      <c r="BI2017" s="4">
        <v>0.68402777777777779</v>
      </c>
      <c r="BJ2017" s="2">
        <v>13</v>
      </c>
      <c r="BK2017" s="2" t="s">
        <v>91</v>
      </c>
      <c r="BL2017" s="2" t="s">
        <v>2865</v>
      </c>
      <c r="BM2017" s="2">
        <v>241</v>
      </c>
      <c r="BN2017" s="2" t="s">
        <v>82</v>
      </c>
      <c r="BO2017" s="2"/>
      <c r="BP2017" s="2">
        <v>13</v>
      </c>
      <c r="BQ2017" s="2" t="s">
        <v>91</v>
      </c>
      <c r="BR2017" s="2" t="s">
        <v>185</v>
      </c>
      <c r="BS2017" s="3">
        <v>40312</v>
      </c>
      <c r="BT2017" s="4">
        <v>0.77210648148148142</v>
      </c>
    </row>
    <row r="2018" spans="1:72" x14ac:dyDescent="0.25">
      <c r="A2018" s="2">
        <v>2915</v>
      </c>
      <c r="B2018" s="2">
        <v>2010</v>
      </c>
      <c r="C2018" s="2" t="s">
        <v>4543</v>
      </c>
      <c r="D2018" s="2" t="s">
        <v>122</v>
      </c>
      <c r="E2018" s="2"/>
      <c r="F2018" s="2">
        <v>1</v>
      </c>
      <c r="G2018" s="2" t="s">
        <v>82</v>
      </c>
      <c r="H2018" s="2">
        <v>1</v>
      </c>
      <c r="I2018" s="2" t="s">
        <v>82</v>
      </c>
      <c r="J2018" s="2">
        <v>1</v>
      </c>
      <c r="K2018" s="2" t="s">
        <v>107</v>
      </c>
      <c r="L2018" s="2" t="s">
        <v>107</v>
      </c>
      <c r="M2018" s="3">
        <v>40312</v>
      </c>
      <c r="N2018" s="2"/>
      <c r="O2018" s="2" t="s">
        <v>107</v>
      </c>
      <c r="P2018" s="2" t="s">
        <v>107</v>
      </c>
      <c r="Q2018" s="2" t="str">
        <f>""</f>
        <v/>
      </c>
      <c r="R2018" s="2"/>
      <c r="S2018" s="2"/>
      <c r="T2018" s="2">
        <v>2</v>
      </c>
      <c r="U2018" s="2" t="s">
        <v>123</v>
      </c>
      <c r="V2018" s="2">
        <v>1</v>
      </c>
      <c r="W2018" s="2" t="s">
        <v>80</v>
      </c>
      <c r="X2018" s="2">
        <v>5</v>
      </c>
      <c r="Y2018" s="2" t="s">
        <v>82</v>
      </c>
      <c r="Z2018" s="2">
        <v>1</v>
      </c>
      <c r="AA2018" s="2" t="s">
        <v>82</v>
      </c>
      <c r="AB2018" s="2">
        <v>9</v>
      </c>
      <c r="AC2018" s="2" t="s">
        <v>124</v>
      </c>
      <c r="AD2018" s="3">
        <v>40312</v>
      </c>
      <c r="AE2018" s="4">
        <v>0.76041666666666663</v>
      </c>
      <c r="AF2018" s="2"/>
      <c r="AG2018" s="2"/>
      <c r="AH2018" s="2">
        <v>4</v>
      </c>
      <c r="AI2018" s="2" t="s">
        <v>125</v>
      </c>
      <c r="AJ2018" s="2">
        <v>30</v>
      </c>
      <c r="AK2018" s="2" t="s">
        <v>258</v>
      </c>
      <c r="AL2018" s="2">
        <v>9</v>
      </c>
      <c r="AM2018" s="2" t="s">
        <v>259</v>
      </c>
      <c r="AN2018" s="2"/>
      <c r="AO2018" s="2"/>
      <c r="AP2018" s="2">
        <v>11</v>
      </c>
      <c r="AQ2018" s="2" t="s">
        <v>82</v>
      </c>
      <c r="AR2018" s="2"/>
      <c r="AS2018" s="2"/>
      <c r="AT2018" s="2" t="s">
        <v>7007</v>
      </c>
      <c r="AU2018" s="2"/>
      <c r="AV2018" s="2"/>
      <c r="AW2018" s="2"/>
      <c r="AX2018" s="2"/>
      <c r="AY2018" s="2">
        <v>1</v>
      </c>
      <c r="AZ2018" s="2" t="s">
        <v>107</v>
      </c>
      <c r="BA2018" s="2">
        <v>1</v>
      </c>
      <c r="BB2018" s="2" t="s">
        <v>107</v>
      </c>
      <c r="BC2018" s="2">
        <v>1</v>
      </c>
      <c r="BD2018" s="2" t="s">
        <v>107</v>
      </c>
      <c r="BE2018" s="2">
        <v>1</v>
      </c>
      <c r="BF2018" s="2" t="s">
        <v>107</v>
      </c>
      <c r="BG2018" s="2"/>
      <c r="BH2018" s="2"/>
      <c r="BI2018" s="2"/>
      <c r="BJ2018" s="2">
        <v>242</v>
      </c>
      <c r="BK2018" s="2" t="s">
        <v>107</v>
      </c>
      <c r="BL2018" s="2"/>
      <c r="BM2018" s="2">
        <v>242</v>
      </c>
      <c r="BN2018" s="2" t="s">
        <v>107</v>
      </c>
      <c r="BO2018" s="2"/>
      <c r="BP2018" s="2">
        <v>242</v>
      </c>
      <c r="BQ2018" s="2" t="s">
        <v>107</v>
      </c>
      <c r="BR2018" s="2"/>
      <c r="BS2018" s="3">
        <v>40312</v>
      </c>
      <c r="BT2018" s="4">
        <v>0.79849537037037033</v>
      </c>
    </row>
    <row r="2019" spans="1:72" x14ac:dyDescent="0.25">
      <c r="A2019" s="2">
        <v>2916</v>
      </c>
      <c r="B2019" s="2">
        <v>2010</v>
      </c>
      <c r="C2019" s="2" t="s">
        <v>377</v>
      </c>
      <c r="D2019" s="2" t="s">
        <v>73</v>
      </c>
      <c r="E2019" s="2"/>
      <c r="F2019" s="2">
        <v>426</v>
      </c>
      <c r="G2019" s="2" t="s">
        <v>378</v>
      </c>
      <c r="H2019" s="2">
        <v>42</v>
      </c>
      <c r="I2019" s="2" t="s">
        <v>1096</v>
      </c>
      <c r="J2019" s="2">
        <v>311</v>
      </c>
      <c r="K2019" s="2" t="s">
        <v>379</v>
      </c>
      <c r="L2019" s="2" t="s">
        <v>380</v>
      </c>
      <c r="M2019" s="3">
        <v>40312</v>
      </c>
      <c r="N2019" s="2" t="s">
        <v>4427</v>
      </c>
      <c r="O2019" s="2"/>
      <c r="P2019" s="2"/>
      <c r="Q2019" s="2" t="str">
        <f>"075-C/10"</f>
        <v>075-C/10</v>
      </c>
      <c r="R2019" s="2" t="s">
        <v>4428</v>
      </c>
      <c r="S2019" s="2"/>
      <c r="T2019" s="2">
        <v>1</v>
      </c>
      <c r="U2019" s="2" t="s">
        <v>79</v>
      </c>
      <c r="V2019" s="2">
        <v>1</v>
      </c>
      <c r="W2019" s="2" t="s">
        <v>80</v>
      </c>
      <c r="X2019" s="2">
        <v>1</v>
      </c>
      <c r="Y2019" s="2" t="s">
        <v>81</v>
      </c>
      <c r="Z2019" s="2">
        <v>1</v>
      </c>
      <c r="AA2019" s="2" t="s">
        <v>82</v>
      </c>
      <c r="AB2019" s="2">
        <v>9</v>
      </c>
      <c r="AC2019" s="2" t="s">
        <v>124</v>
      </c>
      <c r="AD2019" s="3">
        <v>40312</v>
      </c>
      <c r="AE2019" s="4">
        <v>0.75</v>
      </c>
      <c r="AF2019" s="2"/>
      <c r="AG2019" s="2"/>
      <c r="AH2019" s="2">
        <v>2</v>
      </c>
      <c r="AI2019" s="2" t="s">
        <v>84</v>
      </c>
      <c r="AJ2019" s="2">
        <v>9</v>
      </c>
      <c r="AK2019" s="2" t="s">
        <v>103</v>
      </c>
      <c r="AL2019" s="2">
        <v>29</v>
      </c>
      <c r="AM2019" s="2" t="s">
        <v>5416</v>
      </c>
      <c r="AN2019" s="2" t="s">
        <v>107</v>
      </c>
      <c r="AO2019" s="2" t="s">
        <v>7008</v>
      </c>
      <c r="AP2019" s="2">
        <v>11</v>
      </c>
      <c r="AQ2019" s="2" t="s">
        <v>82</v>
      </c>
      <c r="AR2019" s="2"/>
      <c r="AS2019" s="2"/>
      <c r="AT2019" s="2" t="s">
        <v>7009</v>
      </c>
      <c r="AU2019" s="2"/>
      <c r="AV2019" s="2"/>
      <c r="AW2019" s="2"/>
      <c r="AX2019" s="2"/>
      <c r="AY2019" s="2">
        <v>41</v>
      </c>
      <c r="AZ2019" s="2" t="s">
        <v>82</v>
      </c>
      <c r="BA2019" s="2">
        <v>41</v>
      </c>
      <c r="BB2019" s="2" t="s">
        <v>82</v>
      </c>
      <c r="BC2019" s="2">
        <v>41</v>
      </c>
      <c r="BD2019" s="2" t="s">
        <v>82</v>
      </c>
      <c r="BE2019" s="2">
        <v>41</v>
      </c>
      <c r="BF2019" s="2" t="s">
        <v>82</v>
      </c>
      <c r="BG2019" s="2"/>
      <c r="BH2019" s="2"/>
      <c r="BI2019" s="2"/>
      <c r="BJ2019" s="2">
        <v>241</v>
      </c>
      <c r="BK2019" s="2" t="s">
        <v>82</v>
      </c>
      <c r="BL2019" s="2"/>
      <c r="BM2019" s="2">
        <v>241</v>
      </c>
      <c r="BN2019" s="2" t="s">
        <v>82</v>
      </c>
      <c r="BO2019" s="2"/>
      <c r="BP2019" s="2">
        <v>241</v>
      </c>
      <c r="BQ2019" s="2" t="s">
        <v>82</v>
      </c>
      <c r="BR2019" s="2"/>
      <c r="BS2019" s="3">
        <v>40312</v>
      </c>
      <c r="BT2019" s="4">
        <v>0.8340277777777777</v>
      </c>
    </row>
    <row r="2020" spans="1:72" x14ac:dyDescent="0.25">
      <c r="A2020" s="2">
        <v>2917</v>
      </c>
      <c r="B2020" s="2">
        <v>2010</v>
      </c>
      <c r="C2020" s="2" t="s">
        <v>171</v>
      </c>
      <c r="D2020" s="2" t="s">
        <v>73</v>
      </c>
      <c r="E2020" s="2"/>
      <c r="F2020" s="2">
        <v>125</v>
      </c>
      <c r="G2020" s="2" t="s">
        <v>1483</v>
      </c>
      <c r="H2020" s="2">
        <v>49</v>
      </c>
      <c r="I2020" s="2" t="s">
        <v>1484</v>
      </c>
      <c r="J2020" s="2">
        <v>139</v>
      </c>
      <c r="K2020" s="2" t="s">
        <v>1485</v>
      </c>
      <c r="L2020" s="2" t="s">
        <v>1486</v>
      </c>
      <c r="M2020" s="3">
        <v>40312</v>
      </c>
      <c r="N2020" s="2" t="s">
        <v>7010</v>
      </c>
      <c r="O2020" s="2" t="s">
        <v>5057</v>
      </c>
      <c r="P2020" s="2" t="s">
        <v>5054</v>
      </c>
      <c r="Q2020" s="2" t="str">
        <f>"PREV. SUM. 0013/10"</f>
        <v>PREV. SUM. 0013/10</v>
      </c>
      <c r="R2020" s="2" t="s">
        <v>82</v>
      </c>
      <c r="S2020" s="2" t="s">
        <v>5057</v>
      </c>
      <c r="T2020" s="2">
        <v>1</v>
      </c>
      <c r="U2020" s="2" t="s">
        <v>79</v>
      </c>
      <c r="V2020" s="2">
        <v>3</v>
      </c>
      <c r="W2020" s="2" t="s">
        <v>225</v>
      </c>
      <c r="X2020" s="2">
        <v>2</v>
      </c>
      <c r="Y2020" s="2" t="s">
        <v>136</v>
      </c>
      <c r="Z2020" s="2">
        <v>1</v>
      </c>
      <c r="AA2020" s="2" t="s">
        <v>82</v>
      </c>
      <c r="AB2020" s="2">
        <v>9</v>
      </c>
      <c r="AC2020" s="2" t="s">
        <v>124</v>
      </c>
      <c r="AD2020" s="3">
        <v>40312</v>
      </c>
      <c r="AE2020" s="4">
        <v>0.52430555555555558</v>
      </c>
      <c r="AF2020" s="2"/>
      <c r="AG2020" s="2"/>
      <c r="AH2020" s="2">
        <v>6</v>
      </c>
      <c r="AI2020" s="2" t="s">
        <v>197</v>
      </c>
      <c r="AJ2020" s="2">
        <v>61</v>
      </c>
      <c r="AK2020" s="2" t="s">
        <v>686</v>
      </c>
      <c r="AL2020" s="2">
        <v>23</v>
      </c>
      <c r="AM2020" s="2" t="s">
        <v>251</v>
      </c>
      <c r="AN2020" s="2" t="s">
        <v>82</v>
      </c>
      <c r="AO2020" s="2" t="s">
        <v>82</v>
      </c>
      <c r="AP2020" s="2">
        <v>11</v>
      </c>
      <c r="AQ2020" s="2" t="s">
        <v>82</v>
      </c>
      <c r="AR2020" s="2" t="s">
        <v>82</v>
      </c>
      <c r="AS2020" s="2" t="s">
        <v>82</v>
      </c>
      <c r="AT2020" s="2" t="s">
        <v>7011</v>
      </c>
      <c r="AU2020" s="2"/>
      <c r="AV2020" s="2"/>
      <c r="AW2020" s="2"/>
      <c r="AX2020" s="2"/>
      <c r="AY2020" s="2">
        <v>1</v>
      </c>
      <c r="AZ2020" s="2" t="s">
        <v>107</v>
      </c>
      <c r="BA2020" s="2">
        <v>1</v>
      </c>
      <c r="BB2020" s="2" t="s">
        <v>107</v>
      </c>
      <c r="BC2020" s="2">
        <v>1</v>
      </c>
      <c r="BD2020" s="2" t="s">
        <v>107</v>
      </c>
      <c r="BE2020" s="2">
        <v>1</v>
      </c>
      <c r="BF2020" s="2" t="s">
        <v>107</v>
      </c>
      <c r="BG2020" s="2" t="s">
        <v>82</v>
      </c>
      <c r="BH2020" s="2"/>
      <c r="BI2020" s="2"/>
      <c r="BJ2020" s="2">
        <v>242</v>
      </c>
      <c r="BK2020" s="2" t="s">
        <v>107</v>
      </c>
      <c r="BL2020" s="2" t="s">
        <v>82</v>
      </c>
      <c r="BM2020" s="2">
        <v>242</v>
      </c>
      <c r="BN2020" s="2" t="s">
        <v>107</v>
      </c>
      <c r="BO2020" s="2" t="s">
        <v>82</v>
      </c>
      <c r="BP2020" s="2">
        <v>242</v>
      </c>
      <c r="BQ2020" s="2" t="s">
        <v>107</v>
      </c>
      <c r="BR2020" s="2" t="s">
        <v>82</v>
      </c>
      <c r="BS2020" s="3">
        <v>40312</v>
      </c>
      <c r="BT2020" s="4">
        <v>0.84559027777777773</v>
      </c>
    </row>
    <row r="2021" spans="1:72" x14ac:dyDescent="0.25">
      <c r="A2021" s="2">
        <v>2918</v>
      </c>
      <c r="B2021" s="2">
        <v>2010</v>
      </c>
      <c r="C2021" s="2" t="s">
        <v>377</v>
      </c>
      <c r="D2021" s="2" t="s">
        <v>73</v>
      </c>
      <c r="E2021" s="2"/>
      <c r="F2021" s="2">
        <v>426</v>
      </c>
      <c r="G2021" s="2" t="s">
        <v>378</v>
      </c>
      <c r="H2021" s="2">
        <v>42</v>
      </c>
      <c r="I2021" s="2" t="s">
        <v>1096</v>
      </c>
      <c r="J2021" s="2">
        <v>311</v>
      </c>
      <c r="K2021" s="2" t="s">
        <v>379</v>
      </c>
      <c r="L2021" s="2" t="s">
        <v>380</v>
      </c>
      <c r="M2021" s="3">
        <v>40312</v>
      </c>
      <c r="N2021" s="2" t="s">
        <v>4427</v>
      </c>
      <c r="O2021" s="2"/>
      <c r="P2021" s="2"/>
      <c r="Q2021" s="2" t="str">
        <f>"076-C/10"</f>
        <v>076-C/10</v>
      </c>
      <c r="R2021" s="2" t="s">
        <v>7012</v>
      </c>
      <c r="S2021" s="2"/>
      <c r="T2021" s="2">
        <v>1</v>
      </c>
      <c r="U2021" s="2" t="s">
        <v>79</v>
      </c>
      <c r="V2021" s="2">
        <v>1</v>
      </c>
      <c r="W2021" s="2" t="s">
        <v>80</v>
      </c>
      <c r="X2021" s="2">
        <v>1</v>
      </c>
      <c r="Y2021" s="2" t="s">
        <v>81</v>
      </c>
      <c r="Z2021" s="2">
        <v>1</v>
      </c>
      <c r="AA2021" s="2" t="s">
        <v>82</v>
      </c>
      <c r="AB2021" s="2">
        <v>9</v>
      </c>
      <c r="AC2021" s="2" t="s">
        <v>124</v>
      </c>
      <c r="AD2021" s="3">
        <v>40312</v>
      </c>
      <c r="AE2021" s="4">
        <v>0.75</v>
      </c>
      <c r="AF2021" s="2"/>
      <c r="AG2021" s="2"/>
      <c r="AH2021" s="2">
        <v>2</v>
      </c>
      <c r="AI2021" s="2" t="s">
        <v>84</v>
      </c>
      <c r="AJ2021" s="2">
        <v>9</v>
      </c>
      <c r="AK2021" s="2" t="s">
        <v>103</v>
      </c>
      <c r="AL2021" s="2">
        <v>29</v>
      </c>
      <c r="AM2021" s="2" t="s">
        <v>5416</v>
      </c>
      <c r="AN2021" s="2" t="s">
        <v>7013</v>
      </c>
      <c r="AO2021" s="2" t="s">
        <v>7014</v>
      </c>
      <c r="AP2021" s="2">
        <v>11</v>
      </c>
      <c r="AQ2021" s="2" t="s">
        <v>82</v>
      </c>
      <c r="AR2021" s="2"/>
      <c r="AS2021" s="2"/>
      <c r="AT2021" s="2" t="s">
        <v>7015</v>
      </c>
      <c r="AU2021" s="2"/>
      <c r="AV2021" s="2"/>
      <c r="AW2021" s="2"/>
      <c r="AX2021" s="2"/>
      <c r="AY2021" s="2">
        <v>41</v>
      </c>
      <c r="AZ2021" s="2" t="s">
        <v>82</v>
      </c>
      <c r="BA2021" s="2">
        <v>41</v>
      </c>
      <c r="BB2021" s="2" t="s">
        <v>82</v>
      </c>
      <c r="BC2021" s="2">
        <v>41</v>
      </c>
      <c r="BD2021" s="2" t="s">
        <v>82</v>
      </c>
      <c r="BE2021" s="2">
        <v>41</v>
      </c>
      <c r="BF2021" s="2" t="s">
        <v>82</v>
      </c>
      <c r="BG2021" s="2"/>
      <c r="BH2021" s="2"/>
      <c r="BI2021" s="2"/>
      <c r="BJ2021" s="2">
        <v>241</v>
      </c>
      <c r="BK2021" s="2" t="s">
        <v>82</v>
      </c>
      <c r="BL2021" s="2"/>
      <c r="BM2021" s="2">
        <v>241</v>
      </c>
      <c r="BN2021" s="2" t="s">
        <v>82</v>
      </c>
      <c r="BO2021" s="2"/>
      <c r="BP2021" s="2">
        <v>241</v>
      </c>
      <c r="BQ2021" s="2" t="s">
        <v>82</v>
      </c>
      <c r="BR2021" s="2"/>
      <c r="BS2021" s="3">
        <v>40312</v>
      </c>
      <c r="BT2021" s="4">
        <v>0.8756828703703704</v>
      </c>
    </row>
    <row r="2022" spans="1:72" x14ac:dyDescent="0.25">
      <c r="A2022" s="2">
        <v>2919</v>
      </c>
      <c r="B2022" s="2">
        <v>2010</v>
      </c>
      <c r="C2022" s="2" t="s">
        <v>377</v>
      </c>
      <c r="D2022" s="2" t="s">
        <v>73</v>
      </c>
      <c r="E2022" s="2"/>
      <c r="F2022" s="2">
        <v>426</v>
      </c>
      <c r="G2022" s="2" t="s">
        <v>378</v>
      </c>
      <c r="H2022" s="2">
        <v>42</v>
      </c>
      <c r="I2022" s="2" t="s">
        <v>1096</v>
      </c>
      <c r="J2022" s="2">
        <v>311</v>
      </c>
      <c r="K2022" s="2" t="s">
        <v>379</v>
      </c>
      <c r="L2022" s="2" t="s">
        <v>380</v>
      </c>
      <c r="M2022" s="3">
        <v>40312</v>
      </c>
      <c r="N2022" s="2" t="s">
        <v>4427</v>
      </c>
      <c r="O2022" s="2"/>
      <c r="P2022" s="2"/>
      <c r="Q2022" s="2" t="str">
        <f>"077-C/10"</f>
        <v>077-C/10</v>
      </c>
      <c r="R2022" s="2" t="s">
        <v>4428</v>
      </c>
      <c r="S2022" s="2"/>
      <c r="T2022" s="2">
        <v>1</v>
      </c>
      <c r="U2022" s="2" t="s">
        <v>79</v>
      </c>
      <c r="V2022" s="2">
        <v>1</v>
      </c>
      <c r="W2022" s="2" t="s">
        <v>80</v>
      </c>
      <c r="X2022" s="2">
        <v>1</v>
      </c>
      <c r="Y2022" s="2" t="s">
        <v>81</v>
      </c>
      <c r="Z2022" s="2">
        <v>1</v>
      </c>
      <c r="AA2022" s="2" t="s">
        <v>82</v>
      </c>
      <c r="AB2022" s="2">
        <v>9</v>
      </c>
      <c r="AC2022" s="2" t="s">
        <v>124</v>
      </c>
      <c r="AD2022" s="3">
        <v>40312</v>
      </c>
      <c r="AE2022" s="4">
        <v>0.79166666666666663</v>
      </c>
      <c r="AF2022" s="2"/>
      <c r="AG2022" s="2"/>
      <c r="AH2022" s="2">
        <v>2</v>
      </c>
      <c r="AI2022" s="2" t="s">
        <v>84</v>
      </c>
      <c r="AJ2022" s="2">
        <v>9</v>
      </c>
      <c r="AK2022" s="2" t="s">
        <v>103</v>
      </c>
      <c r="AL2022" s="2">
        <v>29</v>
      </c>
      <c r="AM2022" s="2" t="s">
        <v>5416</v>
      </c>
      <c r="AN2022" s="2" t="s">
        <v>107</v>
      </c>
      <c r="AO2022" s="2" t="s">
        <v>7016</v>
      </c>
      <c r="AP2022" s="2">
        <v>11</v>
      </c>
      <c r="AQ2022" s="2" t="s">
        <v>82</v>
      </c>
      <c r="AR2022" s="2"/>
      <c r="AS2022" s="2"/>
      <c r="AT2022" s="2" t="s">
        <v>7017</v>
      </c>
      <c r="AU2022" s="2"/>
      <c r="AV2022" s="2"/>
      <c r="AW2022" s="2"/>
      <c r="AX2022" s="2"/>
      <c r="AY2022" s="2">
        <v>41</v>
      </c>
      <c r="AZ2022" s="2" t="s">
        <v>82</v>
      </c>
      <c r="BA2022" s="2">
        <v>41</v>
      </c>
      <c r="BB2022" s="2" t="s">
        <v>82</v>
      </c>
      <c r="BC2022" s="2">
        <v>41</v>
      </c>
      <c r="BD2022" s="2" t="s">
        <v>82</v>
      </c>
      <c r="BE2022" s="2">
        <v>41</v>
      </c>
      <c r="BF2022" s="2" t="s">
        <v>82</v>
      </c>
      <c r="BG2022" s="2"/>
      <c r="BH2022" s="2"/>
      <c r="BI2022" s="2"/>
      <c r="BJ2022" s="2">
        <v>241</v>
      </c>
      <c r="BK2022" s="2" t="s">
        <v>82</v>
      </c>
      <c r="BL2022" s="2"/>
      <c r="BM2022" s="2">
        <v>241</v>
      </c>
      <c r="BN2022" s="2" t="s">
        <v>82</v>
      </c>
      <c r="BO2022" s="2"/>
      <c r="BP2022" s="2">
        <v>241</v>
      </c>
      <c r="BQ2022" s="2" t="s">
        <v>82</v>
      </c>
      <c r="BR2022" s="2"/>
      <c r="BS2022" s="3">
        <v>40312</v>
      </c>
      <c r="BT2022" s="4">
        <v>0.88481481481481483</v>
      </c>
    </row>
    <row r="2023" spans="1:72" x14ac:dyDescent="0.25">
      <c r="A2023" s="2">
        <v>2921</v>
      </c>
      <c r="B2023" s="2">
        <v>2010</v>
      </c>
      <c r="C2023" s="2" t="s">
        <v>385</v>
      </c>
      <c r="D2023" s="2" t="s">
        <v>122</v>
      </c>
      <c r="E2023" s="2"/>
      <c r="F2023" s="2">
        <v>355</v>
      </c>
      <c r="G2023" s="2" t="s">
        <v>7018</v>
      </c>
      <c r="H2023" s="2">
        <v>62</v>
      </c>
      <c r="I2023" s="2" t="s">
        <v>2853</v>
      </c>
      <c r="J2023" s="2">
        <v>1</v>
      </c>
      <c r="K2023" s="2" t="s">
        <v>107</v>
      </c>
      <c r="L2023" s="2" t="s">
        <v>107</v>
      </c>
      <c r="M2023" s="3">
        <v>40312</v>
      </c>
      <c r="N2023" s="2"/>
      <c r="O2023" s="2"/>
      <c r="P2023" s="2">
        <v>140512010</v>
      </c>
      <c r="Q2023" s="2" t="str">
        <f>"N/C"</f>
        <v>N/C</v>
      </c>
      <c r="R2023" s="2"/>
      <c r="S2023" s="2"/>
      <c r="T2023" s="2">
        <v>1</v>
      </c>
      <c r="U2023" s="2" t="s">
        <v>79</v>
      </c>
      <c r="V2023" s="2">
        <v>1</v>
      </c>
      <c r="W2023" s="2" t="s">
        <v>80</v>
      </c>
      <c r="X2023" s="2">
        <v>4</v>
      </c>
      <c r="Y2023" s="2" t="s">
        <v>463</v>
      </c>
      <c r="Z2023" s="2">
        <v>7</v>
      </c>
      <c r="AA2023" s="2" t="s">
        <v>1462</v>
      </c>
      <c r="AB2023" s="2">
        <v>9</v>
      </c>
      <c r="AC2023" s="2" t="s">
        <v>124</v>
      </c>
      <c r="AD2023" s="2"/>
      <c r="AE2023" s="2"/>
      <c r="AF2023" s="2"/>
      <c r="AG2023" s="2"/>
      <c r="AH2023" s="2">
        <v>6</v>
      </c>
      <c r="AI2023" s="2" t="s">
        <v>197</v>
      </c>
      <c r="AJ2023" s="2">
        <v>50</v>
      </c>
      <c r="AK2023" s="2" t="s">
        <v>330</v>
      </c>
      <c r="AL2023" s="2">
        <v>10</v>
      </c>
      <c r="AM2023" s="2" t="s">
        <v>200</v>
      </c>
      <c r="AN2023" s="2"/>
      <c r="AO2023" s="2"/>
      <c r="AP2023" s="2">
        <v>11</v>
      </c>
      <c r="AQ2023" s="2" t="s">
        <v>82</v>
      </c>
      <c r="AR2023" s="2"/>
      <c r="AS2023" s="2"/>
      <c r="AT2023" s="2" t="s">
        <v>7019</v>
      </c>
      <c r="AU2023" s="2"/>
      <c r="AV2023" s="2">
        <v>1</v>
      </c>
      <c r="AW2023" s="2"/>
      <c r="AX2023" s="2"/>
      <c r="AY2023" s="2">
        <v>41</v>
      </c>
      <c r="AZ2023" s="2" t="s">
        <v>82</v>
      </c>
      <c r="BA2023" s="2">
        <v>41</v>
      </c>
      <c r="BB2023" s="2" t="s">
        <v>82</v>
      </c>
      <c r="BC2023" s="2">
        <v>41</v>
      </c>
      <c r="BD2023" s="2" t="s">
        <v>82</v>
      </c>
      <c r="BE2023" s="2">
        <v>13</v>
      </c>
      <c r="BF2023" s="2" t="s">
        <v>108</v>
      </c>
      <c r="BG2023" s="2">
        <v>1695</v>
      </c>
      <c r="BH2023" s="4">
        <v>0.84930555555555554</v>
      </c>
      <c r="BI2023" s="4">
        <v>0.89583333333333337</v>
      </c>
      <c r="BJ2023" s="2">
        <v>13</v>
      </c>
      <c r="BK2023" s="2" t="s">
        <v>91</v>
      </c>
      <c r="BL2023" s="2" t="s">
        <v>6083</v>
      </c>
      <c r="BM2023" s="2">
        <v>13</v>
      </c>
      <c r="BN2023" s="2" t="s">
        <v>91</v>
      </c>
      <c r="BO2023" s="2" t="s">
        <v>1199</v>
      </c>
      <c r="BP2023" s="2">
        <v>13</v>
      </c>
      <c r="BQ2023" s="2" t="s">
        <v>91</v>
      </c>
      <c r="BR2023" s="2" t="s">
        <v>185</v>
      </c>
      <c r="BS2023" s="3">
        <v>40312</v>
      </c>
      <c r="BT2023" s="4">
        <v>0.92237268518518523</v>
      </c>
    </row>
    <row r="2024" spans="1:72" x14ac:dyDescent="0.25">
      <c r="A2024" s="2">
        <v>2922</v>
      </c>
      <c r="B2024" s="2">
        <v>2010</v>
      </c>
      <c r="C2024" s="2" t="s">
        <v>93</v>
      </c>
      <c r="D2024" s="2" t="s">
        <v>73</v>
      </c>
      <c r="E2024" s="2"/>
      <c r="F2024" s="2">
        <v>619</v>
      </c>
      <c r="G2024" s="2" t="s">
        <v>7020</v>
      </c>
      <c r="H2024" s="2">
        <v>42</v>
      </c>
      <c r="I2024" s="2" t="s">
        <v>1096</v>
      </c>
      <c r="J2024" s="2">
        <v>553</v>
      </c>
      <c r="K2024" s="2" t="s">
        <v>7021</v>
      </c>
      <c r="L2024" s="2" t="s">
        <v>7022</v>
      </c>
      <c r="M2024" s="3">
        <v>40312</v>
      </c>
      <c r="N2024" s="2" t="s">
        <v>7023</v>
      </c>
      <c r="O2024" s="2" t="s">
        <v>7024</v>
      </c>
      <c r="P2024" s="2" t="s">
        <v>7025</v>
      </c>
      <c r="Q2024" s="2" t="str">
        <f>"S/N"</f>
        <v>S/N</v>
      </c>
      <c r="R2024" s="2" t="s">
        <v>602</v>
      </c>
      <c r="S2024" s="2" t="s">
        <v>602</v>
      </c>
      <c r="T2024" s="2">
        <v>1</v>
      </c>
      <c r="U2024" s="2" t="s">
        <v>79</v>
      </c>
      <c r="V2024" s="2">
        <v>1</v>
      </c>
      <c r="W2024" s="2" t="s">
        <v>80</v>
      </c>
      <c r="X2024" s="2">
        <v>10</v>
      </c>
      <c r="Y2024" s="2" t="s">
        <v>226</v>
      </c>
      <c r="Z2024" s="2">
        <v>6</v>
      </c>
      <c r="AA2024" s="2" t="s">
        <v>101</v>
      </c>
      <c r="AB2024" s="2">
        <v>2</v>
      </c>
      <c r="AC2024" s="2" t="s">
        <v>102</v>
      </c>
      <c r="AD2024" s="3">
        <v>40311</v>
      </c>
      <c r="AE2024" s="4">
        <v>0</v>
      </c>
      <c r="AF2024" s="3">
        <v>40312</v>
      </c>
      <c r="AG2024" s="4">
        <v>0.4861111111111111</v>
      </c>
      <c r="AH2024" s="2">
        <v>2</v>
      </c>
      <c r="AI2024" s="2" t="s">
        <v>84</v>
      </c>
      <c r="AJ2024" s="2">
        <v>9</v>
      </c>
      <c r="AK2024" s="2" t="s">
        <v>103</v>
      </c>
      <c r="AL2024" s="2">
        <v>14</v>
      </c>
      <c r="AM2024" s="2" t="s">
        <v>216</v>
      </c>
      <c r="AN2024" s="2" t="s">
        <v>5397</v>
      </c>
      <c r="AO2024" s="2" t="s">
        <v>7026</v>
      </c>
      <c r="AP2024" s="2">
        <v>11</v>
      </c>
      <c r="AQ2024" s="2" t="s">
        <v>82</v>
      </c>
      <c r="AR2024" s="2"/>
      <c r="AS2024" s="2"/>
      <c r="AT2024" s="2" t="s">
        <v>7027</v>
      </c>
      <c r="AU2024" s="2"/>
      <c r="AV2024" s="2">
        <v>1</v>
      </c>
      <c r="AW2024" s="2"/>
      <c r="AX2024" s="2"/>
      <c r="AY2024" s="2">
        <v>41</v>
      </c>
      <c r="AZ2024" s="2" t="s">
        <v>82</v>
      </c>
      <c r="BA2024" s="2">
        <v>41</v>
      </c>
      <c r="BB2024" s="2" t="s">
        <v>82</v>
      </c>
      <c r="BC2024" s="2">
        <v>41</v>
      </c>
      <c r="BD2024" s="2" t="s">
        <v>82</v>
      </c>
      <c r="BE2024" s="2">
        <v>9</v>
      </c>
      <c r="BF2024" s="2" t="s">
        <v>966</v>
      </c>
      <c r="BG2024" s="2" t="s">
        <v>7028</v>
      </c>
      <c r="BH2024" s="4">
        <v>0</v>
      </c>
      <c r="BI2024" s="4">
        <v>0</v>
      </c>
      <c r="BJ2024" s="2">
        <v>13</v>
      </c>
      <c r="BK2024" s="2" t="s">
        <v>91</v>
      </c>
      <c r="BL2024" s="2" t="s">
        <v>1084</v>
      </c>
      <c r="BM2024" s="2">
        <v>241</v>
      </c>
      <c r="BN2024" s="2" t="s">
        <v>82</v>
      </c>
      <c r="BO2024" s="2"/>
      <c r="BP2024" s="2">
        <v>170</v>
      </c>
      <c r="BQ2024" s="2" t="s">
        <v>968</v>
      </c>
      <c r="BR2024" s="2" t="s">
        <v>1390</v>
      </c>
      <c r="BS2024" s="3">
        <v>40312</v>
      </c>
      <c r="BT2024" s="4">
        <v>0.93937500000000007</v>
      </c>
    </row>
    <row r="2025" spans="1:72" x14ac:dyDescent="0.25">
      <c r="A2025" s="2">
        <v>2928</v>
      </c>
      <c r="B2025" s="2">
        <v>2010</v>
      </c>
      <c r="C2025" s="2" t="s">
        <v>121</v>
      </c>
      <c r="D2025" s="2" t="s">
        <v>122</v>
      </c>
      <c r="E2025" s="2"/>
      <c r="F2025" s="2">
        <v>1</v>
      </c>
      <c r="G2025" s="2" t="s">
        <v>82</v>
      </c>
      <c r="H2025" s="2">
        <v>1</v>
      </c>
      <c r="I2025" s="2" t="s">
        <v>82</v>
      </c>
      <c r="J2025" s="2">
        <v>1</v>
      </c>
      <c r="K2025" s="2" t="s">
        <v>107</v>
      </c>
      <c r="L2025" s="2" t="s">
        <v>107</v>
      </c>
      <c r="M2025" s="3">
        <v>40313</v>
      </c>
      <c r="N2025" s="2"/>
      <c r="O2025" s="2"/>
      <c r="P2025" s="2"/>
      <c r="Q2025" s="2" t="str">
        <f>""</f>
        <v/>
      </c>
      <c r="R2025" s="2"/>
      <c r="S2025" s="2"/>
      <c r="T2025" s="2">
        <v>2</v>
      </c>
      <c r="U2025" s="2" t="s">
        <v>123</v>
      </c>
      <c r="V2025" s="2">
        <v>1</v>
      </c>
      <c r="W2025" s="2" t="s">
        <v>80</v>
      </c>
      <c r="X2025" s="2">
        <v>1</v>
      </c>
      <c r="Y2025" s="2" t="s">
        <v>81</v>
      </c>
      <c r="Z2025" s="2">
        <v>10</v>
      </c>
      <c r="AA2025" s="2" t="s">
        <v>236</v>
      </c>
      <c r="AB2025" s="2">
        <v>9</v>
      </c>
      <c r="AC2025" s="2" t="s">
        <v>124</v>
      </c>
      <c r="AD2025" s="3">
        <v>40313</v>
      </c>
      <c r="AE2025" s="4">
        <v>0.73263888888888884</v>
      </c>
      <c r="AF2025" s="2"/>
      <c r="AG2025" s="2"/>
      <c r="AH2025" s="2">
        <v>5</v>
      </c>
      <c r="AI2025" s="2" t="s">
        <v>274</v>
      </c>
      <c r="AJ2025" s="2">
        <v>43</v>
      </c>
      <c r="AK2025" s="2" t="s">
        <v>918</v>
      </c>
      <c r="AL2025" s="2">
        <v>25</v>
      </c>
      <c r="AM2025" s="2" t="s">
        <v>3073</v>
      </c>
      <c r="AN2025" s="2"/>
      <c r="AO2025" s="2" t="s">
        <v>1540</v>
      </c>
      <c r="AP2025" s="2">
        <v>11</v>
      </c>
      <c r="AQ2025" s="2" t="s">
        <v>82</v>
      </c>
      <c r="AR2025" s="2"/>
      <c r="AS2025" s="2"/>
      <c r="AT2025" s="2" t="s">
        <v>7029</v>
      </c>
      <c r="AU2025" s="2"/>
      <c r="AV2025" s="2"/>
      <c r="AW2025" s="2"/>
      <c r="AX2025" s="2"/>
      <c r="AY2025" s="2">
        <v>41</v>
      </c>
      <c r="AZ2025" s="2" t="s">
        <v>82</v>
      </c>
      <c r="BA2025" s="2">
        <v>41</v>
      </c>
      <c r="BB2025" s="2" t="s">
        <v>82</v>
      </c>
      <c r="BC2025" s="2">
        <v>41</v>
      </c>
      <c r="BD2025" s="2" t="s">
        <v>82</v>
      </c>
      <c r="BE2025" s="2">
        <v>13</v>
      </c>
      <c r="BF2025" s="2" t="s">
        <v>108</v>
      </c>
      <c r="BG2025" s="2">
        <v>1787</v>
      </c>
      <c r="BH2025" s="4">
        <v>0.73611111111111116</v>
      </c>
      <c r="BI2025" s="4">
        <v>0.77083333333333337</v>
      </c>
      <c r="BJ2025" s="2">
        <v>13</v>
      </c>
      <c r="BK2025" s="2" t="s">
        <v>91</v>
      </c>
      <c r="BL2025" s="2" t="s">
        <v>3387</v>
      </c>
      <c r="BM2025" s="2">
        <v>241</v>
      </c>
      <c r="BN2025" s="2" t="s">
        <v>82</v>
      </c>
      <c r="BO2025" s="2"/>
      <c r="BP2025" s="2">
        <v>13</v>
      </c>
      <c r="BQ2025" s="2" t="s">
        <v>91</v>
      </c>
      <c r="BR2025" s="2" t="s">
        <v>170</v>
      </c>
      <c r="BS2025" s="3">
        <v>40313</v>
      </c>
      <c r="BT2025" s="4">
        <v>0.79371527777777784</v>
      </c>
    </row>
    <row r="2026" spans="1:72" x14ac:dyDescent="0.25">
      <c r="A2026" s="2">
        <v>2929</v>
      </c>
      <c r="B2026" s="2">
        <v>2010</v>
      </c>
      <c r="C2026" s="2" t="s">
        <v>93</v>
      </c>
      <c r="D2026" s="2" t="s">
        <v>73</v>
      </c>
      <c r="E2026" s="2"/>
      <c r="F2026" s="2">
        <v>343</v>
      </c>
      <c r="G2026" s="2" t="s">
        <v>7030</v>
      </c>
      <c r="H2026" s="2">
        <v>42</v>
      </c>
      <c r="I2026" s="2" t="s">
        <v>1096</v>
      </c>
      <c r="J2026" s="2">
        <v>395</v>
      </c>
      <c r="K2026" s="2" t="s">
        <v>1761</v>
      </c>
      <c r="L2026" s="2" t="s">
        <v>1762</v>
      </c>
      <c r="M2026" s="3">
        <v>40313</v>
      </c>
      <c r="N2026" s="2" t="s">
        <v>7031</v>
      </c>
      <c r="O2026" s="2" t="s">
        <v>7032</v>
      </c>
      <c r="P2026" s="2" t="s">
        <v>107</v>
      </c>
      <c r="Q2026" s="2" t="str">
        <f>"N/C"</f>
        <v>N/C</v>
      </c>
      <c r="R2026" s="2" t="s">
        <v>82</v>
      </c>
      <c r="S2026" s="2" t="s">
        <v>82</v>
      </c>
      <c r="T2026" s="2">
        <v>1</v>
      </c>
      <c r="U2026" s="2" t="s">
        <v>79</v>
      </c>
      <c r="V2026" s="2">
        <v>1</v>
      </c>
      <c r="W2026" s="2" t="s">
        <v>80</v>
      </c>
      <c r="X2026" s="2">
        <v>1</v>
      </c>
      <c r="Y2026" s="2" t="s">
        <v>81</v>
      </c>
      <c r="Z2026" s="2">
        <v>1</v>
      </c>
      <c r="AA2026" s="2" t="s">
        <v>82</v>
      </c>
      <c r="AB2026" s="2">
        <v>2</v>
      </c>
      <c r="AC2026" s="2" t="s">
        <v>102</v>
      </c>
      <c r="AD2026" s="3">
        <v>40313</v>
      </c>
      <c r="AE2026" s="4">
        <v>0.77430555555555547</v>
      </c>
      <c r="AF2026" s="2"/>
      <c r="AG2026" s="2"/>
      <c r="AH2026" s="2">
        <v>6</v>
      </c>
      <c r="AI2026" s="2" t="s">
        <v>197</v>
      </c>
      <c r="AJ2026" s="2">
        <v>61</v>
      </c>
      <c r="AK2026" s="2" t="s">
        <v>686</v>
      </c>
      <c r="AL2026" s="2">
        <v>11</v>
      </c>
      <c r="AM2026" s="2" t="s">
        <v>137</v>
      </c>
      <c r="AN2026" s="2" t="s">
        <v>82</v>
      </c>
      <c r="AO2026" s="2" t="s">
        <v>2949</v>
      </c>
      <c r="AP2026" s="2">
        <v>11</v>
      </c>
      <c r="AQ2026" s="2" t="s">
        <v>82</v>
      </c>
      <c r="AR2026" s="2" t="s">
        <v>82</v>
      </c>
      <c r="AS2026" s="2" t="s">
        <v>82</v>
      </c>
      <c r="AT2026" s="2" t="s">
        <v>7033</v>
      </c>
      <c r="AU2026" s="2"/>
      <c r="AV2026" s="2"/>
      <c r="AW2026" s="2"/>
      <c r="AX2026" s="2"/>
      <c r="AY2026" s="2">
        <v>41</v>
      </c>
      <c r="AZ2026" s="2" t="s">
        <v>82</v>
      </c>
      <c r="BA2026" s="2">
        <v>41</v>
      </c>
      <c r="BB2026" s="2" t="s">
        <v>82</v>
      </c>
      <c r="BC2026" s="2">
        <v>41</v>
      </c>
      <c r="BD2026" s="2" t="s">
        <v>82</v>
      </c>
      <c r="BE2026" s="2">
        <v>47</v>
      </c>
      <c r="BF2026" s="2" t="s">
        <v>167</v>
      </c>
      <c r="BG2026" s="2" t="s">
        <v>2951</v>
      </c>
      <c r="BH2026" s="2"/>
      <c r="BI2026" s="4">
        <v>0.80555555555555547</v>
      </c>
      <c r="BJ2026" s="2">
        <v>13</v>
      </c>
      <c r="BK2026" s="2" t="s">
        <v>91</v>
      </c>
      <c r="BL2026" s="2" t="s">
        <v>690</v>
      </c>
      <c r="BM2026" s="2">
        <v>241</v>
      </c>
      <c r="BN2026" s="2" t="s">
        <v>82</v>
      </c>
      <c r="BO2026" s="2" t="s">
        <v>82</v>
      </c>
      <c r="BP2026" s="2">
        <v>13</v>
      </c>
      <c r="BQ2026" s="2" t="s">
        <v>91</v>
      </c>
      <c r="BR2026" s="2" t="s">
        <v>185</v>
      </c>
      <c r="BS2026" s="3">
        <v>40313</v>
      </c>
      <c r="BT2026" s="4">
        <v>0.81019675925925927</v>
      </c>
    </row>
    <row r="2027" spans="1:72" x14ac:dyDescent="0.25">
      <c r="A2027" s="2">
        <v>2931</v>
      </c>
      <c r="B2027" s="2">
        <v>2010</v>
      </c>
      <c r="C2027" s="2" t="s">
        <v>196</v>
      </c>
      <c r="D2027" s="2" t="s">
        <v>122</v>
      </c>
      <c r="E2027" s="2"/>
      <c r="F2027" s="2">
        <v>1</v>
      </c>
      <c r="G2027" s="2" t="s">
        <v>82</v>
      </c>
      <c r="H2027" s="2">
        <v>1</v>
      </c>
      <c r="I2027" s="2" t="s">
        <v>82</v>
      </c>
      <c r="J2027" s="2">
        <v>1</v>
      </c>
      <c r="K2027" s="2" t="s">
        <v>107</v>
      </c>
      <c r="L2027" s="2" t="s">
        <v>107</v>
      </c>
      <c r="M2027" s="3">
        <v>40313</v>
      </c>
      <c r="N2027" s="2"/>
      <c r="O2027" s="2"/>
      <c r="P2027" s="2"/>
      <c r="Q2027" s="2" t="str">
        <f>""</f>
        <v/>
      </c>
      <c r="R2027" s="2"/>
      <c r="S2027" s="2"/>
      <c r="T2027" s="2">
        <v>2</v>
      </c>
      <c r="U2027" s="2" t="s">
        <v>123</v>
      </c>
      <c r="V2027" s="2">
        <v>1</v>
      </c>
      <c r="W2027" s="2" t="s">
        <v>80</v>
      </c>
      <c r="X2027" s="2">
        <v>11</v>
      </c>
      <c r="Y2027" s="2" t="s">
        <v>1920</v>
      </c>
      <c r="Z2027" s="2">
        <v>1</v>
      </c>
      <c r="AA2027" s="2" t="s">
        <v>82</v>
      </c>
      <c r="AB2027" s="2">
        <v>9</v>
      </c>
      <c r="AC2027" s="2" t="s">
        <v>124</v>
      </c>
      <c r="AD2027" s="3">
        <v>40313</v>
      </c>
      <c r="AE2027" s="4">
        <v>0.75</v>
      </c>
      <c r="AF2027" s="2"/>
      <c r="AG2027" s="2"/>
      <c r="AH2027" s="2">
        <v>2</v>
      </c>
      <c r="AI2027" s="2" t="s">
        <v>84</v>
      </c>
      <c r="AJ2027" s="2">
        <v>12</v>
      </c>
      <c r="AK2027" s="2" t="s">
        <v>85</v>
      </c>
      <c r="AL2027" s="2">
        <v>20</v>
      </c>
      <c r="AM2027" s="2" t="s">
        <v>992</v>
      </c>
      <c r="AN2027" s="2"/>
      <c r="AO2027" s="2"/>
      <c r="AP2027" s="2">
        <v>11</v>
      </c>
      <c r="AQ2027" s="2" t="s">
        <v>82</v>
      </c>
      <c r="AR2027" s="2"/>
      <c r="AS2027" s="2"/>
      <c r="AT2027" s="2" t="s">
        <v>7034</v>
      </c>
      <c r="AU2027" s="2"/>
      <c r="AV2027" s="2"/>
      <c r="AW2027" s="2"/>
      <c r="AX2027" s="2"/>
      <c r="AY2027" s="2">
        <v>41</v>
      </c>
      <c r="AZ2027" s="2" t="s">
        <v>82</v>
      </c>
      <c r="BA2027" s="2">
        <v>41</v>
      </c>
      <c r="BB2027" s="2" t="s">
        <v>82</v>
      </c>
      <c r="BC2027" s="2">
        <v>41</v>
      </c>
      <c r="BD2027" s="2" t="s">
        <v>82</v>
      </c>
      <c r="BE2027" s="2">
        <v>41</v>
      </c>
      <c r="BF2027" s="2" t="s">
        <v>82</v>
      </c>
      <c r="BG2027" s="2" t="s">
        <v>3783</v>
      </c>
      <c r="BH2027" s="2"/>
      <c r="BI2027" s="4">
        <v>0.85416666666666663</v>
      </c>
      <c r="BJ2027" s="2">
        <v>13</v>
      </c>
      <c r="BK2027" s="2" t="s">
        <v>91</v>
      </c>
      <c r="BL2027" s="2" t="s">
        <v>185</v>
      </c>
      <c r="BM2027" s="2">
        <v>241</v>
      </c>
      <c r="BN2027" s="2" t="s">
        <v>82</v>
      </c>
      <c r="BO2027" s="2"/>
      <c r="BP2027" s="2">
        <v>73</v>
      </c>
      <c r="BQ2027" s="2" t="s">
        <v>186</v>
      </c>
      <c r="BR2027" s="2"/>
      <c r="BS2027" s="3">
        <v>40313</v>
      </c>
      <c r="BT2027" s="4">
        <v>0.88295138888888891</v>
      </c>
    </row>
    <row r="2028" spans="1:72" x14ac:dyDescent="0.25">
      <c r="A2028" s="2">
        <v>2932</v>
      </c>
      <c r="B2028" s="2">
        <v>2010</v>
      </c>
      <c r="C2028" s="2" t="s">
        <v>171</v>
      </c>
      <c r="D2028" s="2" t="s">
        <v>73</v>
      </c>
      <c r="E2028" s="2"/>
      <c r="F2028" s="2">
        <v>394</v>
      </c>
      <c r="G2028" s="2" t="s">
        <v>172</v>
      </c>
      <c r="H2028" s="2">
        <v>5</v>
      </c>
      <c r="I2028" s="2" t="s">
        <v>634</v>
      </c>
      <c r="J2028" s="2">
        <v>241</v>
      </c>
      <c r="K2028" s="2" t="s">
        <v>174</v>
      </c>
      <c r="L2028" s="2" t="s">
        <v>175</v>
      </c>
      <c r="M2028" s="3">
        <v>40313</v>
      </c>
      <c r="N2028" s="2" t="s">
        <v>7035</v>
      </c>
      <c r="O2028" s="2"/>
      <c r="P2028" s="2" t="s">
        <v>7036</v>
      </c>
      <c r="Q2028" s="2" t="str">
        <f>"263-E/10"</f>
        <v>263-E/10</v>
      </c>
      <c r="R2028" s="2"/>
      <c r="S2028" s="2" t="s">
        <v>5710</v>
      </c>
      <c r="T2028" s="2">
        <v>1</v>
      </c>
      <c r="U2028" s="2" t="s">
        <v>79</v>
      </c>
      <c r="V2028" s="2">
        <v>1</v>
      </c>
      <c r="W2028" s="2" t="s">
        <v>80</v>
      </c>
      <c r="X2028" s="2">
        <v>1</v>
      </c>
      <c r="Y2028" s="2" t="s">
        <v>81</v>
      </c>
      <c r="Z2028" s="2">
        <v>1</v>
      </c>
      <c r="AA2028" s="2" t="s">
        <v>82</v>
      </c>
      <c r="AB2028" s="2">
        <v>1</v>
      </c>
      <c r="AC2028" s="2" t="s">
        <v>178</v>
      </c>
      <c r="AD2028" s="3">
        <v>40313</v>
      </c>
      <c r="AE2028" s="4">
        <v>0.47222222222222227</v>
      </c>
      <c r="AF2028" s="2"/>
      <c r="AG2028" s="2"/>
      <c r="AH2028" s="2">
        <v>2</v>
      </c>
      <c r="AI2028" s="2" t="s">
        <v>84</v>
      </c>
      <c r="AJ2028" s="2">
        <v>9</v>
      </c>
      <c r="AK2028" s="2" t="s">
        <v>103</v>
      </c>
      <c r="AL2028" s="2">
        <v>25</v>
      </c>
      <c r="AM2028" s="2" t="s">
        <v>3073</v>
      </c>
      <c r="AN2028" s="2"/>
      <c r="AO2028" s="2" t="s">
        <v>1230</v>
      </c>
      <c r="AP2028" s="2">
        <v>11</v>
      </c>
      <c r="AQ2028" s="2" t="s">
        <v>82</v>
      </c>
      <c r="AR2028" s="2"/>
      <c r="AS2028" s="2"/>
      <c r="AT2028" s="2" t="s">
        <v>7037</v>
      </c>
      <c r="AU2028" s="2"/>
      <c r="AV2028" s="2">
        <v>1</v>
      </c>
      <c r="AW2028" s="2"/>
      <c r="AX2028" s="2"/>
      <c r="AY2028" s="2">
        <v>42</v>
      </c>
      <c r="AZ2028" s="2" t="s">
        <v>182</v>
      </c>
      <c r="BA2028" s="2">
        <v>41</v>
      </c>
      <c r="BB2028" s="2" t="s">
        <v>82</v>
      </c>
      <c r="BC2028" s="2">
        <v>41</v>
      </c>
      <c r="BD2028" s="2" t="s">
        <v>82</v>
      </c>
      <c r="BE2028" s="2">
        <v>23</v>
      </c>
      <c r="BF2028" s="2" t="s">
        <v>183</v>
      </c>
      <c r="BG2028" s="2" t="s">
        <v>4595</v>
      </c>
      <c r="BH2028" s="2"/>
      <c r="BI2028" s="4">
        <v>0.53125</v>
      </c>
      <c r="BJ2028" s="2">
        <v>13</v>
      </c>
      <c r="BK2028" s="2" t="s">
        <v>91</v>
      </c>
      <c r="BL2028" s="2" t="s">
        <v>360</v>
      </c>
      <c r="BM2028" s="2">
        <v>241</v>
      </c>
      <c r="BN2028" s="2" t="s">
        <v>82</v>
      </c>
      <c r="BO2028" s="2"/>
      <c r="BP2028" s="2">
        <v>73</v>
      </c>
      <c r="BQ2028" s="2" t="s">
        <v>186</v>
      </c>
      <c r="BR2028" s="2" t="s">
        <v>187</v>
      </c>
      <c r="BS2028" s="3">
        <v>40313</v>
      </c>
      <c r="BT2028" s="4">
        <v>0.97237268518518516</v>
      </c>
    </row>
    <row r="2029" spans="1:72" x14ac:dyDescent="0.25">
      <c r="A2029" s="2">
        <v>2933</v>
      </c>
      <c r="B2029" s="2">
        <v>2010</v>
      </c>
      <c r="C2029" s="2" t="s">
        <v>4543</v>
      </c>
      <c r="D2029" s="2" t="s">
        <v>122</v>
      </c>
      <c r="E2029" s="2"/>
      <c r="F2029" s="2">
        <v>1</v>
      </c>
      <c r="G2029" s="2" t="s">
        <v>82</v>
      </c>
      <c r="H2029" s="2">
        <v>1</v>
      </c>
      <c r="I2029" s="2" t="s">
        <v>82</v>
      </c>
      <c r="J2029" s="2">
        <v>1</v>
      </c>
      <c r="K2029" s="2" t="s">
        <v>107</v>
      </c>
      <c r="L2029" s="2" t="s">
        <v>107</v>
      </c>
      <c r="M2029" s="3">
        <v>40314</v>
      </c>
      <c r="N2029" s="2"/>
      <c r="O2029" s="2"/>
      <c r="P2029" s="2"/>
      <c r="Q2029" s="2" t="str">
        <f>""</f>
        <v/>
      </c>
      <c r="R2029" s="2"/>
      <c r="S2029" s="2"/>
      <c r="T2029" s="2">
        <v>2</v>
      </c>
      <c r="U2029" s="2" t="s">
        <v>123</v>
      </c>
      <c r="V2029" s="2">
        <v>1</v>
      </c>
      <c r="W2029" s="2" t="s">
        <v>80</v>
      </c>
      <c r="X2029" s="2">
        <v>5</v>
      </c>
      <c r="Y2029" s="2" t="s">
        <v>82</v>
      </c>
      <c r="Z2029" s="2">
        <v>1</v>
      </c>
      <c r="AA2029" s="2" t="s">
        <v>82</v>
      </c>
      <c r="AB2029" s="2">
        <v>9</v>
      </c>
      <c r="AC2029" s="2" t="s">
        <v>124</v>
      </c>
      <c r="AD2029" s="3">
        <v>40313</v>
      </c>
      <c r="AE2029" s="4">
        <v>0.97222222222222221</v>
      </c>
      <c r="AF2029" s="2"/>
      <c r="AG2029" s="2"/>
      <c r="AH2029" s="2">
        <v>5</v>
      </c>
      <c r="AI2029" s="2" t="s">
        <v>274</v>
      </c>
      <c r="AJ2029" s="2">
        <v>44</v>
      </c>
      <c r="AK2029" s="2" t="s">
        <v>667</v>
      </c>
      <c r="AL2029" s="2">
        <v>19</v>
      </c>
      <c r="AM2029" s="2" t="s">
        <v>107</v>
      </c>
      <c r="AN2029" s="2"/>
      <c r="AO2029" s="2"/>
      <c r="AP2029" s="2">
        <v>11</v>
      </c>
      <c r="AQ2029" s="2" t="s">
        <v>82</v>
      </c>
      <c r="AR2029" s="2"/>
      <c r="AS2029" s="2"/>
      <c r="AT2029" s="2" t="s">
        <v>7038</v>
      </c>
      <c r="AU2029" s="2"/>
      <c r="AV2029" s="2"/>
      <c r="AW2029" s="2"/>
      <c r="AX2029" s="2"/>
      <c r="AY2029" s="2">
        <v>1</v>
      </c>
      <c r="AZ2029" s="2" t="s">
        <v>107</v>
      </c>
      <c r="BA2029" s="2">
        <v>1</v>
      </c>
      <c r="BB2029" s="2" t="s">
        <v>107</v>
      </c>
      <c r="BC2029" s="2">
        <v>1</v>
      </c>
      <c r="BD2029" s="2" t="s">
        <v>107</v>
      </c>
      <c r="BE2029" s="2">
        <v>1</v>
      </c>
      <c r="BF2029" s="2" t="s">
        <v>107</v>
      </c>
      <c r="BG2029" s="2"/>
      <c r="BH2029" s="2"/>
      <c r="BI2029" s="2"/>
      <c r="BJ2029" s="2">
        <v>242</v>
      </c>
      <c r="BK2029" s="2" t="s">
        <v>107</v>
      </c>
      <c r="BL2029" s="2"/>
      <c r="BM2029" s="2">
        <v>242</v>
      </c>
      <c r="BN2029" s="2" t="s">
        <v>107</v>
      </c>
      <c r="BO2029" s="2"/>
      <c r="BP2029" s="2">
        <v>242</v>
      </c>
      <c r="BQ2029" s="2" t="s">
        <v>107</v>
      </c>
      <c r="BR2029" s="2"/>
      <c r="BS2029" s="3">
        <v>40314</v>
      </c>
      <c r="BT2029" s="4">
        <v>0.12760416666666666</v>
      </c>
    </row>
    <row r="2030" spans="1:72" x14ac:dyDescent="0.25">
      <c r="A2030" s="2">
        <v>2935</v>
      </c>
      <c r="B2030" s="2">
        <v>2010</v>
      </c>
      <c r="C2030" s="2" t="s">
        <v>171</v>
      </c>
      <c r="D2030" s="2" t="s">
        <v>73</v>
      </c>
      <c r="E2030" s="2"/>
      <c r="F2030" s="2">
        <v>394</v>
      </c>
      <c r="G2030" s="2" t="s">
        <v>172</v>
      </c>
      <c r="H2030" s="2">
        <v>5</v>
      </c>
      <c r="I2030" s="2" t="s">
        <v>634</v>
      </c>
      <c r="J2030" s="2">
        <v>241</v>
      </c>
      <c r="K2030" s="2" t="s">
        <v>174</v>
      </c>
      <c r="L2030" s="2" t="s">
        <v>175</v>
      </c>
      <c r="M2030" s="3">
        <v>40314</v>
      </c>
      <c r="N2030" s="2" t="s">
        <v>7039</v>
      </c>
      <c r="O2030" s="2" t="s">
        <v>7040</v>
      </c>
      <c r="P2030" s="2">
        <v>21198</v>
      </c>
      <c r="Q2030" s="2" t="str">
        <f>"263-E/10"</f>
        <v>263-E/10</v>
      </c>
      <c r="R2030" s="2" t="s">
        <v>391</v>
      </c>
      <c r="S2030" s="2"/>
      <c r="T2030" s="2">
        <v>1</v>
      </c>
      <c r="U2030" s="2" t="s">
        <v>79</v>
      </c>
      <c r="V2030" s="2">
        <v>1</v>
      </c>
      <c r="W2030" s="2" t="s">
        <v>80</v>
      </c>
      <c r="X2030" s="2">
        <v>9</v>
      </c>
      <c r="Y2030" s="2" t="s">
        <v>3393</v>
      </c>
      <c r="Z2030" s="2">
        <v>1</v>
      </c>
      <c r="AA2030" s="2" t="s">
        <v>82</v>
      </c>
      <c r="AB2030" s="2">
        <v>1</v>
      </c>
      <c r="AC2030" s="2" t="s">
        <v>178</v>
      </c>
      <c r="AD2030" s="3">
        <v>40313</v>
      </c>
      <c r="AE2030" s="4">
        <v>0.66666666666666663</v>
      </c>
      <c r="AF2030" s="2"/>
      <c r="AG2030" s="2"/>
      <c r="AH2030" s="2">
        <v>2</v>
      </c>
      <c r="AI2030" s="2" t="s">
        <v>84</v>
      </c>
      <c r="AJ2030" s="2">
        <v>6</v>
      </c>
      <c r="AK2030" s="2" t="s">
        <v>453</v>
      </c>
      <c r="AL2030" s="2">
        <v>23</v>
      </c>
      <c r="AM2030" s="2" t="s">
        <v>251</v>
      </c>
      <c r="AN2030" s="2" t="s">
        <v>7041</v>
      </c>
      <c r="AO2030" s="2" t="s">
        <v>1226</v>
      </c>
      <c r="AP2030" s="2">
        <v>11</v>
      </c>
      <c r="AQ2030" s="2" t="s">
        <v>82</v>
      </c>
      <c r="AR2030" s="2"/>
      <c r="AS2030" s="2"/>
      <c r="AT2030" s="2" t="s">
        <v>7042</v>
      </c>
      <c r="AU2030" s="2"/>
      <c r="AV2030" s="2">
        <v>2</v>
      </c>
      <c r="AW2030" s="2"/>
      <c r="AX2030" s="2"/>
      <c r="AY2030" s="2">
        <v>42</v>
      </c>
      <c r="AZ2030" s="2" t="s">
        <v>182</v>
      </c>
      <c r="BA2030" s="2">
        <v>41</v>
      </c>
      <c r="BB2030" s="2" t="s">
        <v>82</v>
      </c>
      <c r="BC2030" s="2">
        <v>41</v>
      </c>
      <c r="BD2030" s="2" t="s">
        <v>82</v>
      </c>
      <c r="BE2030" s="2">
        <v>41</v>
      </c>
      <c r="BF2030" s="2" t="s">
        <v>82</v>
      </c>
      <c r="BG2030" s="2"/>
      <c r="BH2030" s="2"/>
      <c r="BI2030" s="2"/>
      <c r="BJ2030" s="2">
        <v>241</v>
      </c>
      <c r="BK2030" s="2" t="s">
        <v>82</v>
      </c>
      <c r="BL2030" s="2"/>
      <c r="BM2030" s="2">
        <v>241</v>
      </c>
      <c r="BN2030" s="2" t="s">
        <v>82</v>
      </c>
      <c r="BO2030" s="2"/>
      <c r="BP2030" s="2">
        <v>241</v>
      </c>
      <c r="BQ2030" s="2" t="s">
        <v>82</v>
      </c>
      <c r="BR2030" s="2"/>
      <c r="BS2030" s="3">
        <v>40314</v>
      </c>
      <c r="BT2030" s="4">
        <v>0.32839120370370373</v>
      </c>
    </row>
    <row r="2031" spans="1:72" x14ac:dyDescent="0.25">
      <c r="A2031" s="2">
        <v>2936</v>
      </c>
      <c r="B2031" s="2">
        <v>2010</v>
      </c>
      <c r="C2031" s="2" t="s">
        <v>171</v>
      </c>
      <c r="D2031" s="2" t="s">
        <v>122</v>
      </c>
      <c r="E2031" s="2" t="s">
        <v>7043</v>
      </c>
      <c r="F2031" s="2">
        <v>394</v>
      </c>
      <c r="G2031" s="2" t="s">
        <v>172</v>
      </c>
      <c r="H2031" s="2">
        <v>5</v>
      </c>
      <c r="I2031" s="2" t="s">
        <v>634</v>
      </c>
      <c r="J2031" s="2">
        <v>241</v>
      </c>
      <c r="K2031" s="2" t="s">
        <v>174</v>
      </c>
      <c r="L2031" s="2" t="s">
        <v>175</v>
      </c>
      <c r="M2031" s="3">
        <v>40314</v>
      </c>
      <c r="N2031" s="2" t="s">
        <v>7035</v>
      </c>
      <c r="O2031" s="2"/>
      <c r="P2031" s="2"/>
      <c r="Q2031" s="2" t="str">
        <f>"263-E/10"</f>
        <v>263-E/10</v>
      </c>
      <c r="R2031" s="2" t="s">
        <v>5710</v>
      </c>
      <c r="S2031" s="2"/>
      <c r="T2031" s="2">
        <v>1</v>
      </c>
      <c r="U2031" s="2" t="s">
        <v>79</v>
      </c>
      <c r="V2031" s="2">
        <v>1</v>
      </c>
      <c r="W2031" s="2" t="s">
        <v>80</v>
      </c>
      <c r="X2031" s="2">
        <v>1</v>
      </c>
      <c r="Y2031" s="2" t="s">
        <v>81</v>
      </c>
      <c r="Z2031" s="2">
        <v>1</v>
      </c>
      <c r="AA2031" s="2" t="s">
        <v>82</v>
      </c>
      <c r="AB2031" s="2">
        <v>1</v>
      </c>
      <c r="AC2031" s="2" t="s">
        <v>178</v>
      </c>
      <c r="AD2031" s="3">
        <v>40313</v>
      </c>
      <c r="AE2031" s="4">
        <v>0.47222222222222227</v>
      </c>
      <c r="AF2031" s="2"/>
      <c r="AG2031" s="2"/>
      <c r="AH2031" s="2">
        <v>2</v>
      </c>
      <c r="AI2031" s="2" t="s">
        <v>84</v>
      </c>
      <c r="AJ2031" s="2">
        <v>9</v>
      </c>
      <c r="AK2031" s="2" t="s">
        <v>103</v>
      </c>
      <c r="AL2031" s="2">
        <v>14</v>
      </c>
      <c r="AM2031" s="2" t="s">
        <v>216</v>
      </c>
      <c r="AN2031" s="2"/>
      <c r="AO2031" s="2" t="s">
        <v>1230</v>
      </c>
      <c r="AP2031" s="2">
        <v>11</v>
      </c>
      <c r="AQ2031" s="2" t="s">
        <v>82</v>
      </c>
      <c r="AR2031" s="2"/>
      <c r="AS2031" s="2"/>
      <c r="AT2031" s="2" t="s">
        <v>7044</v>
      </c>
      <c r="AU2031" s="2">
        <v>2</v>
      </c>
      <c r="AV2031" s="2">
        <v>1</v>
      </c>
      <c r="AW2031" s="2"/>
      <c r="AX2031" s="2"/>
      <c r="AY2031" s="2">
        <v>1</v>
      </c>
      <c r="AZ2031" s="2" t="s">
        <v>107</v>
      </c>
      <c r="BA2031" s="2">
        <v>1</v>
      </c>
      <c r="BB2031" s="2" t="s">
        <v>107</v>
      </c>
      <c r="BC2031" s="2">
        <v>1</v>
      </c>
      <c r="BD2031" s="2" t="s">
        <v>107</v>
      </c>
      <c r="BE2031" s="2">
        <v>23</v>
      </c>
      <c r="BF2031" s="2" t="s">
        <v>183</v>
      </c>
      <c r="BG2031" s="2" t="s">
        <v>4595</v>
      </c>
      <c r="BH2031" s="2"/>
      <c r="BI2031" s="4">
        <v>0.53125</v>
      </c>
      <c r="BJ2031" s="2">
        <v>13</v>
      </c>
      <c r="BK2031" s="2" t="s">
        <v>91</v>
      </c>
      <c r="BL2031" s="2" t="s">
        <v>185</v>
      </c>
      <c r="BM2031" s="2">
        <v>241</v>
      </c>
      <c r="BN2031" s="2" t="s">
        <v>82</v>
      </c>
      <c r="BO2031" s="2"/>
      <c r="BP2031" s="2">
        <v>73</v>
      </c>
      <c r="BQ2031" s="2" t="s">
        <v>186</v>
      </c>
      <c r="BR2031" s="2" t="s">
        <v>187</v>
      </c>
      <c r="BS2031" s="3">
        <v>40314</v>
      </c>
      <c r="BT2031" s="4">
        <v>0.41765046296296293</v>
      </c>
    </row>
    <row r="2032" spans="1:72" x14ac:dyDescent="0.25">
      <c r="A2032" s="2">
        <v>2937</v>
      </c>
      <c r="B2032" s="2">
        <v>2010</v>
      </c>
      <c r="C2032" s="2" t="s">
        <v>377</v>
      </c>
      <c r="D2032" s="2" t="s">
        <v>73</v>
      </c>
      <c r="E2032" s="2"/>
      <c r="F2032" s="2">
        <v>426</v>
      </c>
      <c r="G2032" s="2" t="s">
        <v>378</v>
      </c>
      <c r="H2032" s="2">
        <v>42</v>
      </c>
      <c r="I2032" s="2" t="s">
        <v>1096</v>
      </c>
      <c r="J2032" s="2">
        <v>311</v>
      </c>
      <c r="K2032" s="2" t="s">
        <v>379</v>
      </c>
      <c r="L2032" s="2" t="s">
        <v>380</v>
      </c>
      <c r="M2032" s="3">
        <v>40314</v>
      </c>
      <c r="N2032" s="2"/>
      <c r="O2032" s="2"/>
      <c r="P2032" s="2"/>
      <c r="Q2032" s="2" t="str">
        <f>"078-C/10"</f>
        <v>078-C/10</v>
      </c>
      <c r="R2032" s="2" t="s">
        <v>3458</v>
      </c>
      <c r="S2032" s="2"/>
      <c r="T2032" s="2">
        <v>1</v>
      </c>
      <c r="U2032" s="2" t="s">
        <v>79</v>
      </c>
      <c r="V2032" s="2">
        <v>1</v>
      </c>
      <c r="W2032" s="2" t="s">
        <v>80</v>
      </c>
      <c r="X2032" s="2">
        <v>1</v>
      </c>
      <c r="Y2032" s="2" t="s">
        <v>81</v>
      </c>
      <c r="Z2032" s="2">
        <v>1</v>
      </c>
      <c r="AA2032" s="2" t="s">
        <v>82</v>
      </c>
      <c r="AB2032" s="2">
        <v>9</v>
      </c>
      <c r="AC2032" s="2" t="s">
        <v>124</v>
      </c>
      <c r="AD2032" s="3">
        <v>40313</v>
      </c>
      <c r="AE2032" s="4">
        <v>0.86805555555555547</v>
      </c>
      <c r="AF2032" s="2"/>
      <c r="AG2032" s="2"/>
      <c r="AH2032" s="2">
        <v>2</v>
      </c>
      <c r="AI2032" s="2" t="s">
        <v>84</v>
      </c>
      <c r="AJ2032" s="2">
        <v>9</v>
      </c>
      <c r="AK2032" s="2" t="s">
        <v>103</v>
      </c>
      <c r="AL2032" s="2">
        <v>13</v>
      </c>
      <c r="AM2032" s="2" t="s">
        <v>117</v>
      </c>
      <c r="AN2032" s="2" t="s">
        <v>7045</v>
      </c>
      <c r="AO2032" s="2" t="s">
        <v>7046</v>
      </c>
      <c r="AP2032" s="2">
        <v>11</v>
      </c>
      <c r="AQ2032" s="2" t="s">
        <v>82</v>
      </c>
      <c r="AR2032" s="2"/>
      <c r="AS2032" s="2"/>
      <c r="AT2032" s="2" t="s">
        <v>7047</v>
      </c>
      <c r="AU2032" s="2"/>
      <c r="AV2032" s="2"/>
      <c r="AW2032" s="2"/>
      <c r="AX2032" s="2"/>
      <c r="AY2032" s="2">
        <v>41</v>
      </c>
      <c r="AZ2032" s="2" t="s">
        <v>82</v>
      </c>
      <c r="BA2032" s="2">
        <v>41</v>
      </c>
      <c r="BB2032" s="2" t="s">
        <v>82</v>
      </c>
      <c r="BC2032" s="2">
        <v>41</v>
      </c>
      <c r="BD2032" s="2" t="s">
        <v>82</v>
      </c>
      <c r="BE2032" s="2">
        <v>41</v>
      </c>
      <c r="BF2032" s="2" t="s">
        <v>82</v>
      </c>
      <c r="BG2032" s="2"/>
      <c r="BH2032" s="2"/>
      <c r="BI2032" s="2"/>
      <c r="BJ2032" s="2">
        <v>241</v>
      </c>
      <c r="BK2032" s="2" t="s">
        <v>82</v>
      </c>
      <c r="BL2032" s="2"/>
      <c r="BM2032" s="2">
        <v>241</v>
      </c>
      <c r="BN2032" s="2" t="s">
        <v>82</v>
      </c>
      <c r="BO2032" s="2"/>
      <c r="BP2032" s="2">
        <v>241</v>
      </c>
      <c r="BQ2032" s="2" t="s">
        <v>82</v>
      </c>
      <c r="BR2032" s="2"/>
      <c r="BS2032" s="3">
        <v>40314</v>
      </c>
      <c r="BT2032" s="4">
        <v>0.41850694444444447</v>
      </c>
    </row>
    <row r="2033" spans="1:72" x14ac:dyDescent="0.25">
      <c r="A2033" s="2">
        <v>2938</v>
      </c>
      <c r="B2033" s="2">
        <v>2010</v>
      </c>
      <c r="C2033" s="2" t="s">
        <v>72</v>
      </c>
      <c r="D2033" s="2" t="s">
        <v>73</v>
      </c>
      <c r="E2033" s="2"/>
      <c r="F2033" s="2">
        <v>451</v>
      </c>
      <c r="G2033" s="2" t="s">
        <v>879</v>
      </c>
      <c r="H2033" s="2">
        <v>31</v>
      </c>
      <c r="I2033" s="2" t="s">
        <v>880</v>
      </c>
      <c r="J2033" s="2">
        <v>326</v>
      </c>
      <c r="K2033" s="2" t="s">
        <v>881</v>
      </c>
      <c r="L2033" s="2" t="s">
        <v>882</v>
      </c>
      <c r="M2033" s="3">
        <v>40314</v>
      </c>
      <c r="N2033" s="2" t="s">
        <v>1072</v>
      </c>
      <c r="O2033" s="2"/>
      <c r="P2033" s="2"/>
      <c r="Q2033" s="2" t="str">
        <f>"057/10"</f>
        <v>057/10</v>
      </c>
      <c r="R2033" s="2" t="s">
        <v>657</v>
      </c>
      <c r="S2033" s="2"/>
      <c r="T2033" s="2">
        <v>1</v>
      </c>
      <c r="U2033" s="2" t="s">
        <v>79</v>
      </c>
      <c r="V2033" s="2">
        <v>1</v>
      </c>
      <c r="W2033" s="2" t="s">
        <v>80</v>
      </c>
      <c r="X2033" s="2">
        <v>12</v>
      </c>
      <c r="Y2033" s="2" t="s">
        <v>148</v>
      </c>
      <c r="Z2033" s="2">
        <v>1</v>
      </c>
      <c r="AA2033" s="2" t="s">
        <v>82</v>
      </c>
      <c r="AB2033" s="2">
        <v>6</v>
      </c>
      <c r="AC2033" s="2" t="s">
        <v>83</v>
      </c>
      <c r="AD2033" s="3">
        <v>40313</v>
      </c>
      <c r="AE2033" s="4">
        <v>0.89583333333333337</v>
      </c>
      <c r="AF2033" s="3">
        <v>40314</v>
      </c>
      <c r="AG2033" s="4">
        <v>0.65277777777777779</v>
      </c>
      <c r="AH2033" s="2">
        <v>4</v>
      </c>
      <c r="AI2033" s="2" t="s">
        <v>125</v>
      </c>
      <c r="AJ2033" s="2">
        <v>29</v>
      </c>
      <c r="AK2033" s="2" t="s">
        <v>227</v>
      </c>
      <c r="AL2033" s="2">
        <v>22</v>
      </c>
      <c r="AM2033" s="2" t="s">
        <v>1853</v>
      </c>
      <c r="AN2033" s="2"/>
      <c r="AO2033" s="2" t="s">
        <v>6863</v>
      </c>
      <c r="AP2033" s="2">
        <v>11</v>
      </c>
      <c r="AQ2033" s="2" t="s">
        <v>82</v>
      </c>
      <c r="AR2033" s="2" t="s">
        <v>82</v>
      </c>
      <c r="AS2033" s="2" t="s">
        <v>82</v>
      </c>
      <c r="AT2033" s="2" t="s">
        <v>7048</v>
      </c>
      <c r="AU2033" s="2"/>
      <c r="AV2033" s="2"/>
      <c r="AW2033" s="2"/>
      <c r="AX2033" s="2"/>
      <c r="AY2033" s="2">
        <v>41</v>
      </c>
      <c r="AZ2033" s="2" t="s">
        <v>82</v>
      </c>
      <c r="BA2033" s="2">
        <v>41</v>
      </c>
      <c r="BB2033" s="2" t="s">
        <v>82</v>
      </c>
      <c r="BC2033" s="2">
        <v>41</v>
      </c>
      <c r="BD2033" s="2" t="s">
        <v>82</v>
      </c>
      <c r="BE2033" s="2">
        <v>13</v>
      </c>
      <c r="BF2033" s="2" t="s">
        <v>108</v>
      </c>
      <c r="BG2033" s="2">
        <v>2458</v>
      </c>
      <c r="BH2033" s="4">
        <v>0.89583333333333337</v>
      </c>
      <c r="BI2033" s="4">
        <v>0.91666666666666663</v>
      </c>
      <c r="BJ2033" s="2">
        <v>13</v>
      </c>
      <c r="BK2033" s="2" t="s">
        <v>91</v>
      </c>
      <c r="BL2033" s="2" t="s">
        <v>1108</v>
      </c>
      <c r="BM2033" s="2">
        <v>241</v>
      </c>
      <c r="BN2033" s="2" t="s">
        <v>82</v>
      </c>
      <c r="BO2033" s="2" t="s">
        <v>82</v>
      </c>
      <c r="BP2033" s="2">
        <v>13</v>
      </c>
      <c r="BQ2033" s="2" t="s">
        <v>91</v>
      </c>
      <c r="BR2033" s="2" t="s">
        <v>828</v>
      </c>
      <c r="BS2033" s="3">
        <v>40314</v>
      </c>
      <c r="BT2033" s="4">
        <v>0.71370370370370362</v>
      </c>
    </row>
    <row r="2034" spans="1:72" x14ac:dyDescent="0.25">
      <c r="A2034" s="2">
        <v>2939</v>
      </c>
      <c r="B2034" s="2">
        <v>2010</v>
      </c>
      <c r="C2034" s="2" t="s">
        <v>93</v>
      </c>
      <c r="D2034" s="2" t="s">
        <v>73</v>
      </c>
      <c r="E2034" s="2"/>
      <c r="F2034" s="2">
        <v>200</v>
      </c>
      <c r="G2034" s="2" t="s">
        <v>7049</v>
      </c>
      <c r="H2034" s="2">
        <v>107</v>
      </c>
      <c r="I2034" s="2" t="s">
        <v>7050</v>
      </c>
      <c r="J2034" s="2">
        <v>208</v>
      </c>
      <c r="K2034" s="2" t="s">
        <v>7051</v>
      </c>
      <c r="L2034" s="2" t="s">
        <v>7052</v>
      </c>
      <c r="M2034" s="3">
        <v>40314</v>
      </c>
      <c r="N2034" s="2" t="s">
        <v>7053</v>
      </c>
      <c r="O2034" s="2" t="s">
        <v>1694</v>
      </c>
      <c r="P2034" s="2" t="s">
        <v>7054</v>
      </c>
      <c r="Q2034" s="2" t="str">
        <f>"059/10"</f>
        <v>059/10</v>
      </c>
      <c r="R2034" s="2" t="s">
        <v>1695</v>
      </c>
      <c r="S2034" s="2"/>
      <c r="T2034" s="2">
        <v>1</v>
      </c>
      <c r="U2034" s="2" t="s">
        <v>79</v>
      </c>
      <c r="V2034" s="2">
        <v>1</v>
      </c>
      <c r="W2034" s="2" t="s">
        <v>80</v>
      </c>
      <c r="X2034" s="2">
        <v>3</v>
      </c>
      <c r="Y2034" s="2" t="s">
        <v>698</v>
      </c>
      <c r="Z2034" s="2">
        <v>9</v>
      </c>
      <c r="AA2034" s="2" t="s">
        <v>1119</v>
      </c>
      <c r="AB2034" s="2">
        <v>2</v>
      </c>
      <c r="AC2034" s="2" t="s">
        <v>102</v>
      </c>
      <c r="AD2034" s="3">
        <v>40314</v>
      </c>
      <c r="AE2034" s="4">
        <v>0.63541666666666663</v>
      </c>
      <c r="AF2034" s="2"/>
      <c r="AG2034" s="2"/>
      <c r="AH2034" s="2">
        <v>5</v>
      </c>
      <c r="AI2034" s="2" t="s">
        <v>274</v>
      </c>
      <c r="AJ2034" s="2">
        <v>38</v>
      </c>
      <c r="AK2034" s="2" t="s">
        <v>1120</v>
      </c>
      <c r="AL2034" s="2">
        <v>14</v>
      </c>
      <c r="AM2034" s="2" t="s">
        <v>216</v>
      </c>
      <c r="AN2034" s="2"/>
      <c r="AO2034" s="2" t="s">
        <v>7055</v>
      </c>
      <c r="AP2034" s="2">
        <v>11</v>
      </c>
      <c r="AQ2034" s="2" t="s">
        <v>82</v>
      </c>
      <c r="AR2034" s="2"/>
      <c r="AS2034" s="2"/>
      <c r="AT2034" s="2" t="s">
        <v>7056</v>
      </c>
      <c r="AU2034" s="2"/>
      <c r="AV2034" s="2"/>
      <c r="AW2034" s="2"/>
      <c r="AX2034" s="2"/>
      <c r="AY2034" s="2">
        <v>41</v>
      </c>
      <c r="AZ2034" s="2" t="s">
        <v>82</v>
      </c>
      <c r="BA2034" s="2">
        <v>41</v>
      </c>
      <c r="BB2034" s="2" t="s">
        <v>82</v>
      </c>
      <c r="BC2034" s="2">
        <v>41</v>
      </c>
      <c r="BD2034" s="2" t="s">
        <v>82</v>
      </c>
      <c r="BE2034" s="2">
        <v>47</v>
      </c>
      <c r="BF2034" s="2" t="s">
        <v>167</v>
      </c>
      <c r="BG2034" s="2">
        <v>2729</v>
      </c>
      <c r="BH2034" s="4">
        <v>0.63888888888888895</v>
      </c>
      <c r="BI2034" s="4">
        <v>0.66666666666666663</v>
      </c>
      <c r="BJ2034" s="2">
        <v>13</v>
      </c>
      <c r="BK2034" s="2" t="s">
        <v>91</v>
      </c>
      <c r="BL2034" s="2" t="s">
        <v>170</v>
      </c>
      <c r="BM2034" s="2">
        <v>13</v>
      </c>
      <c r="BN2034" s="2" t="s">
        <v>91</v>
      </c>
      <c r="BO2034" s="2" t="s">
        <v>1697</v>
      </c>
      <c r="BP2034" s="2">
        <v>13</v>
      </c>
      <c r="BQ2034" s="2" t="s">
        <v>91</v>
      </c>
      <c r="BR2034" s="2" t="s">
        <v>170</v>
      </c>
      <c r="BS2034" s="3">
        <v>40314</v>
      </c>
      <c r="BT2034" s="4">
        <v>0.74009259259259252</v>
      </c>
    </row>
    <row r="2035" spans="1:72" x14ac:dyDescent="0.25">
      <c r="A2035" s="2">
        <v>2940</v>
      </c>
      <c r="B2035" s="2">
        <v>2010</v>
      </c>
      <c r="C2035" s="2" t="s">
        <v>1568</v>
      </c>
      <c r="D2035" s="2" t="s">
        <v>73</v>
      </c>
      <c r="E2035" s="2"/>
      <c r="F2035" s="2">
        <v>620</v>
      </c>
      <c r="G2035" s="2" t="s">
        <v>7057</v>
      </c>
      <c r="H2035" s="2">
        <v>87</v>
      </c>
      <c r="I2035" s="2" t="s">
        <v>4918</v>
      </c>
      <c r="J2035" s="2">
        <v>228</v>
      </c>
      <c r="K2035" s="2" t="s">
        <v>7058</v>
      </c>
      <c r="L2035" s="2" t="s">
        <v>7059</v>
      </c>
      <c r="M2035" s="3">
        <v>40314</v>
      </c>
      <c r="N2035" s="2" t="s">
        <v>7060</v>
      </c>
      <c r="O2035" s="2"/>
      <c r="P2035" s="2"/>
      <c r="Q2035" s="2" t="str">
        <f>"178-A/10"</f>
        <v>178-A/10</v>
      </c>
      <c r="R2035" s="2"/>
      <c r="S2035" s="2" t="s">
        <v>7061</v>
      </c>
      <c r="T2035" s="2">
        <v>1</v>
      </c>
      <c r="U2035" s="2" t="s">
        <v>79</v>
      </c>
      <c r="V2035" s="2">
        <v>1</v>
      </c>
      <c r="W2035" s="2" t="s">
        <v>80</v>
      </c>
      <c r="X2035" s="2">
        <v>1</v>
      </c>
      <c r="Y2035" s="2" t="s">
        <v>81</v>
      </c>
      <c r="Z2035" s="2">
        <v>1</v>
      </c>
      <c r="AA2035" s="2" t="s">
        <v>82</v>
      </c>
      <c r="AB2035" s="2">
        <v>4</v>
      </c>
      <c r="AC2035" s="2" t="s">
        <v>1569</v>
      </c>
      <c r="AD2035" s="3">
        <v>40314</v>
      </c>
      <c r="AE2035" s="4">
        <v>0.59722222222222221</v>
      </c>
      <c r="AF2035" s="2"/>
      <c r="AG2035" s="2"/>
      <c r="AH2035" s="2">
        <v>2</v>
      </c>
      <c r="AI2035" s="2" t="s">
        <v>84</v>
      </c>
      <c r="AJ2035" s="2">
        <v>12</v>
      </c>
      <c r="AK2035" s="2" t="s">
        <v>85</v>
      </c>
      <c r="AL2035" s="2">
        <v>25</v>
      </c>
      <c r="AM2035" s="2" t="s">
        <v>3073</v>
      </c>
      <c r="AN2035" s="2" t="s">
        <v>7062</v>
      </c>
      <c r="AO2035" s="2" t="s">
        <v>107</v>
      </c>
      <c r="AP2035" s="2">
        <v>11</v>
      </c>
      <c r="AQ2035" s="2" t="s">
        <v>82</v>
      </c>
      <c r="AR2035" s="2"/>
      <c r="AS2035" s="2"/>
      <c r="AT2035" s="2" t="s">
        <v>7063</v>
      </c>
      <c r="AU2035" s="2">
        <v>1</v>
      </c>
      <c r="AV2035" s="2"/>
      <c r="AW2035" s="2"/>
      <c r="AX2035" s="2"/>
      <c r="AY2035" s="2">
        <v>41</v>
      </c>
      <c r="AZ2035" s="2" t="s">
        <v>82</v>
      </c>
      <c r="BA2035" s="2">
        <v>41</v>
      </c>
      <c r="BB2035" s="2" t="s">
        <v>82</v>
      </c>
      <c r="BC2035" s="2">
        <v>41</v>
      </c>
      <c r="BD2035" s="2" t="s">
        <v>82</v>
      </c>
      <c r="BE2035" s="2">
        <v>4</v>
      </c>
      <c r="BF2035" s="2" t="s">
        <v>90</v>
      </c>
      <c r="BG2035" s="2" t="s">
        <v>743</v>
      </c>
      <c r="BH2035" s="4">
        <v>0.69791666666666663</v>
      </c>
      <c r="BI2035" s="4">
        <v>0.61111111111111105</v>
      </c>
      <c r="BJ2035" s="2">
        <v>13</v>
      </c>
      <c r="BK2035" s="2" t="s">
        <v>91</v>
      </c>
      <c r="BL2035" s="2" t="s">
        <v>185</v>
      </c>
      <c r="BM2035" s="2">
        <v>241</v>
      </c>
      <c r="BN2035" s="2" t="s">
        <v>82</v>
      </c>
      <c r="BO2035" s="2" t="s">
        <v>82</v>
      </c>
      <c r="BP2035" s="2">
        <v>13</v>
      </c>
      <c r="BQ2035" s="2" t="s">
        <v>91</v>
      </c>
      <c r="BR2035" s="2" t="s">
        <v>744</v>
      </c>
      <c r="BS2035" s="3">
        <v>40314</v>
      </c>
      <c r="BT2035" s="4">
        <v>0.79574074074074075</v>
      </c>
    </row>
    <row r="2036" spans="1:72" x14ac:dyDescent="0.25">
      <c r="A2036" s="2">
        <v>2942</v>
      </c>
      <c r="B2036" s="2">
        <v>2010</v>
      </c>
      <c r="C2036" s="2" t="s">
        <v>1568</v>
      </c>
      <c r="D2036" s="2" t="s">
        <v>122</v>
      </c>
      <c r="E2036" s="2" t="s">
        <v>7064</v>
      </c>
      <c r="F2036" s="2">
        <v>620</v>
      </c>
      <c r="G2036" s="2" t="s">
        <v>7057</v>
      </c>
      <c r="H2036" s="2">
        <v>87</v>
      </c>
      <c r="I2036" s="2" t="s">
        <v>4918</v>
      </c>
      <c r="J2036" s="2">
        <v>228</v>
      </c>
      <c r="K2036" s="2" t="s">
        <v>7058</v>
      </c>
      <c r="L2036" s="2" t="s">
        <v>7059</v>
      </c>
      <c r="M2036" s="3">
        <v>40315</v>
      </c>
      <c r="N2036" s="2" t="s">
        <v>7060</v>
      </c>
      <c r="O2036" s="2"/>
      <c r="P2036" s="2"/>
      <c r="Q2036" s="2" t="str">
        <f>"178-A/10"</f>
        <v>178-A/10</v>
      </c>
      <c r="R2036" s="2" t="s">
        <v>7061</v>
      </c>
      <c r="S2036" s="2"/>
      <c r="T2036" s="2">
        <v>1</v>
      </c>
      <c r="U2036" s="2" t="s">
        <v>79</v>
      </c>
      <c r="V2036" s="2">
        <v>1</v>
      </c>
      <c r="W2036" s="2" t="s">
        <v>80</v>
      </c>
      <c r="X2036" s="2">
        <v>1</v>
      </c>
      <c r="Y2036" s="2" t="s">
        <v>81</v>
      </c>
      <c r="Z2036" s="2">
        <v>10</v>
      </c>
      <c r="AA2036" s="2" t="s">
        <v>236</v>
      </c>
      <c r="AB2036" s="2">
        <v>4</v>
      </c>
      <c r="AC2036" s="2" t="s">
        <v>1569</v>
      </c>
      <c r="AD2036" s="3">
        <v>40314</v>
      </c>
      <c r="AE2036" s="4">
        <v>0.59722222222222221</v>
      </c>
      <c r="AF2036" s="2"/>
      <c r="AG2036" s="2"/>
      <c r="AH2036" s="2">
        <v>2</v>
      </c>
      <c r="AI2036" s="2" t="s">
        <v>84</v>
      </c>
      <c r="AJ2036" s="2">
        <v>12</v>
      </c>
      <c r="AK2036" s="2" t="s">
        <v>85</v>
      </c>
      <c r="AL2036" s="2">
        <v>22</v>
      </c>
      <c r="AM2036" s="2" t="s">
        <v>1853</v>
      </c>
      <c r="AN2036" s="2" t="s">
        <v>7062</v>
      </c>
      <c r="AO2036" s="2"/>
      <c r="AP2036" s="2">
        <v>11</v>
      </c>
      <c r="AQ2036" s="2" t="s">
        <v>82</v>
      </c>
      <c r="AR2036" s="2"/>
      <c r="AS2036" s="2"/>
      <c r="AT2036" s="2" t="s">
        <v>7065</v>
      </c>
      <c r="AU2036" s="2">
        <v>1</v>
      </c>
      <c r="AV2036" s="2"/>
      <c r="AW2036" s="2"/>
      <c r="AX2036" s="2"/>
      <c r="AY2036" s="2">
        <v>41</v>
      </c>
      <c r="AZ2036" s="2" t="s">
        <v>82</v>
      </c>
      <c r="BA2036" s="2">
        <v>41</v>
      </c>
      <c r="BB2036" s="2" t="s">
        <v>82</v>
      </c>
      <c r="BC2036" s="2">
        <v>41</v>
      </c>
      <c r="BD2036" s="2" t="s">
        <v>82</v>
      </c>
      <c r="BE2036" s="2">
        <v>4</v>
      </c>
      <c r="BF2036" s="2" t="s">
        <v>90</v>
      </c>
      <c r="BG2036" s="2" t="s">
        <v>743</v>
      </c>
      <c r="BH2036" s="4">
        <v>0.69791666666666663</v>
      </c>
      <c r="BI2036" s="4">
        <v>0.61111111111111105</v>
      </c>
      <c r="BJ2036" s="2">
        <v>13</v>
      </c>
      <c r="BK2036" s="2" t="s">
        <v>91</v>
      </c>
      <c r="BL2036" s="2" t="s">
        <v>185</v>
      </c>
      <c r="BM2036" s="2">
        <v>241</v>
      </c>
      <c r="BN2036" s="2" t="s">
        <v>82</v>
      </c>
      <c r="BO2036" s="2" t="s">
        <v>82</v>
      </c>
      <c r="BP2036" s="2">
        <v>13</v>
      </c>
      <c r="BQ2036" s="2" t="s">
        <v>91</v>
      </c>
      <c r="BR2036" s="2" t="s">
        <v>744</v>
      </c>
      <c r="BS2036" s="3">
        <v>40315</v>
      </c>
      <c r="BT2036" s="4">
        <v>5.9375000000000009E-3</v>
      </c>
    </row>
    <row r="2037" spans="1:72" x14ac:dyDescent="0.25">
      <c r="A2037" s="2">
        <v>2943</v>
      </c>
      <c r="B2037" s="2">
        <v>2010</v>
      </c>
      <c r="C2037" s="2" t="s">
        <v>72</v>
      </c>
      <c r="D2037" s="2" t="s">
        <v>73</v>
      </c>
      <c r="E2037" s="2"/>
      <c r="F2037" s="2">
        <v>390</v>
      </c>
      <c r="G2037" s="2" t="s">
        <v>475</v>
      </c>
      <c r="H2037" s="2">
        <v>6</v>
      </c>
      <c r="I2037" s="2" t="s">
        <v>1088</v>
      </c>
      <c r="J2037" s="2">
        <v>314</v>
      </c>
      <c r="K2037" s="2" t="s">
        <v>477</v>
      </c>
      <c r="L2037" s="2" t="s">
        <v>478</v>
      </c>
      <c r="M2037" s="3">
        <v>40315</v>
      </c>
      <c r="N2037" s="2" t="s">
        <v>6470</v>
      </c>
      <c r="O2037" s="2"/>
      <c r="P2037" s="2"/>
      <c r="Q2037" s="2" t="str">
        <f>"264-E/10"</f>
        <v>264-E/10</v>
      </c>
      <c r="R2037" s="2"/>
      <c r="S2037" s="2" t="s">
        <v>480</v>
      </c>
      <c r="T2037" s="2">
        <v>1</v>
      </c>
      <c r="U2037" s="2" t="s">
        <v>79</v>
      </c>
      <c r="V2037" s="2">
        <v>1</v>
      </c>
      <c r="W2037" s="2" t="s">
        <v>80</v>
      </c>
      <c r="X2037" s="2">
        <v>12</v>
      </c>
      <c r="Y2037" s="2" t="s">
        <v>148</v>
      </c>
      <c r="Z2037" s="2">
        <v>1</v>
      </c>
      <c r="AA2037" s="2" t="s">
        <v>82</v>
      </c>
      <c r="AB2037" s="2">
        <v>6</v>
      </c>
      <c r="AC2037" s="2" t="s">
        <v>83</v>
      </c>
      <c r="AD2037" s="3">
        <v>40313</v>
      </c>
      <c r="AE2037" s="4">
        <v>0.55208333333333337</v>
      </c>
      <c r="AF2037" s="3">
        <v>40314</v>
      </c>
      <c r="AG2037" s="4">
        <v>0.83333333333333337</v>
      </c>
      <c r="AH2037" s="2">
        <v>2</v>
      </c>
      <c r="AI2037" s="2" t="s">
        <v>84</v>
      </c>
      <c r="AJ2037" s="2">
        <v>9</v>
      </c>
      <c r="AK2037" s="2" t="s">
        <v>103</v>
      </c>
      <c r="AL2037" s="2">
        <v>22</v>
      </c>
      <c r="AM2037" s="2" t="s">
        <v>1853</v>
      </c>
      <c r="AN2037" s="2"/>
      <c r="AO2037" s="2" t="s">
        <v>7066</v>
      </c>
      <c r="AP2037" s="2">
        <v>11</v>
      </c>
      <c r="AQ2037" s="2" t="s">
        <v>82</v>
      </c>
      <c r="AR2037" s="2"/>
      <c r="AS2037" s="2"/>
      <c r="AT2037" s="2" t="s">
        <v>7067</v>
      </c>
      <c r="AU2037" s="2"/>
      <c r="AV2037" s="2"/>
      <c r="AW2037" s="2"/>
      <c r="AX2037" s="2"/>
      <c r="AY2037" s="2">
        <v>41</v>
      </c>
      <c r="AZ2037" s="2" t="s">
        <v>82</v>
      </c>
      <c r="BA2037" s="2">
        <v>41</v>
      </c>
      <c r="BB2037" s="2" t="s">
        <v>82</v>
      </c>
      <c r="BC2037" s="2">
        <v>41</v>
      </c>
      <c r="BD2037" s="2" t="s">
        <v>82</v>
      </c>
      <c r="BE2037" s="2">
        <v>17</v>
      </c>
      <c r="BF2037" s="2" t="s">
        <v>508</v>
      </c>
      <c r="BG2037" s="2" t="s">
        <v>7068</v>
      </c>
      <c r="BH2037" s="4">
        <v>0.55208333333333337</v>
      </c>
      <c r="BI2037" s="4">
        <v>0.51041666666666663</v>
      </c>
      <c r="BJ2037" s="2">
        <v>13</v>
      </c>
      <c r="BK2037" s="2" t="s">
        <v>91</v>
      </c>
      <c r="BL2037" s="2" t="s">
        <v>360</v>
      </c>
      <c r="BM2037" s="2">
        <v>241</v>
      </c>
      <c r="BN2037" s="2" t="s">
        <v>82</v>
      </c>
      <c r="BO2037" s="2"/>
      <c r="BP2037" s="2">
        <v>46</v>
      </c>
      <c r="BQ2037" s="2" t="s">
        <v>307</v>
      </c>
      <c r="BR2037" s="2" t="s">
        <v>4628</v>
      </c>
      <c r="BS2037" s="3">
        <v>40315</v>
      </c>
      <c r="BT2037" s="4">
        <v>0.13061342592592592</v>
      </c>
    </row>
    <row r="2038" spans="1:72" x14ac:dyDescent="0.25">
      <c r="A2038" s="2">
        <v>2945</v>
      </c>
      <c r="B2038" s="2">
        <v>2010</v>
      </c>
      <c r="C2038" s="2" t="s">
        <v>72</v>
      </c>
      <c r="D2038" s="2" t="s">
        <v>73</v>
      </c>
      <c r="E2038" s="2"/>
      <c r="F2038" s="2">
        <v>390</v>
      </c>
      <c r="G2038" s="2" t="s">
        <v>475</v>
      </c>
      <c r="H2038" s="2">
        <v>6</v>
      </c>
      <c r="I2038" s="2" t="s">
        <v>1088</v>
      </c>
      <c r="J2038" s="2">
        <v>314</v>
      </c>
      <c r="K2038" s="2" t="s">
        <v>477</v>
      </c>
      <c r="L2038" s="2" t="s">
        <v>478</v>
      </c>
      <c r="M2038" s="3">
        <v>40315</v>
      </c>
      <c r="N2038" s="2" t="s">
        <v>6470</v>
      </c>
      <c r="O2038" s="2"/>
      <c r="P2038" s="2"/>
      <c r="Q2038" s="2" t="str">
        <f>"265-E/10"</f>
        <v>265-E/10</v>
      </c>
      <c r="R2038" s="2"/>
      <c r="S2038" s="2" t="s">
        <v>601</v>
      </c>
      <c r="T2038" s="2">
        <v>1</v>
      </c>
      <c r="U2038" s="2" t="s">
        <v>79</v>
      </c>
      <c r="V2038" s="2">
        <v>1</v>
      </c>
      <c r="W2038" s="2" t="s">
        <v>80</v>
      </c>
      <c r="X2038" s="2">
        <v>12</v>
      </c>
      <c r="Y2038" s="2" t="s">
        <v>148</v>
      </c>
      <c r="Z2038" s="2">
        <v>1</v>
      </c>
      <c r="AA2038" s="2" t="s">
        <v>82</v>
      </c>
      <c r="AB2038" s="2">
        <v>6</v>
      </c>
      <c r="AC2038" s="2" t="s">
        <v>83</v>
      </c>
      <c r="AD2038" s="3">
        <v>40315</v>
      </c>
      <c r="AE2038" s="4">
        <v>0.22916666666666666</v>
      </c>
      <c r="AF2038" s="3">
        <v>40315</v>
      </c>
      <c r="AG2038" s="4">
        <v>0.30555555555555552</v>
      </c>
      <c r="AH2038" s="2">
        <v>2</v>
      </c>
      <c r="AI2038" s="2" t="s">
        <v>84</v>
      </c>
      <c r="AJ2038" s="2">
        <v>9</v>
      </c>
      <c r="AK2038" s="2" t="s">
        <v>103</v>
      </c>
      <c r="AL2038" s="2">
        <v>22</v>
      </c>
      <c r="AM2038" s="2" t="s">
        <v>1853</v>
      </c>
      <c r="AN2038" s="2"/>
      <c r="AO2038" s="2" t="s">
        <v>7069</v>
      </c>
      <c r="AP2038" s="2">
        <v>11</v>
      </c>
      <c r="AQ2038" s="2" t="s">
        <v>82</v>
      </c>
      <c r="AR2038" s="2"/>
      <c r="AS2038" s="2"/>
      <c r="AT2038" s="2" t="s">
        <v>7070</v>
      </c>
      <c r="AU2038" s="2"/>
      <c r="AV2038" s="2"/>
      <c r="AW2038" s="2"/>
      <c r="AX2038" s="2"/>
      <c r="AY2038" s="2">
        <v>41</v>
      </c>
      <c r="AZ2038" s="2" t="s">
        <v>82</v>
      </c>
      <c r="BA2038" s="2">
        <v>41</v>
      </c>
      <c r="BB2038" s="2" t="s">
        <v>82</v>
      </c>
      <c r="BC2038" s="2">
        <v>41</v>
      </c>
      <c r="BD2038" s="2" t="s">
        <v>82</v>
      </c>
      <c r="BE2038" s="2">
        <v>13</v>
      </c>
      <c r="BF2038" s="2" t="s">
        <v>108</v>
      </c>
      <c r="BG2038" s="2" t="s">
        <v>109</v>
      </c>
      <c r="BH2038" s="4">
        <v>0.22916666666666666</v>
      </c>
      <c r="BI2038" s="2"/>
      <c r="BJ2038" s="2">
        <v>112</v>
      </c>
      <c r="BK2038" s="2" t="s">
        <v>110</v>
      </c>
      <c r="BL2038" s="2" t="s">
        <v>7071</v>
      </c>
      <c r="BM2038" s="2">
        <v>112</v>
      </c>
      <c r="BN2038" s="2" t="s">
        <v>110</v>
      </c>
      <c r="BO2038" s="2" t="s">
        <v>7072</v>
      </c>
      <c r="BP2038" s="2">
        <v>13</v>
      </c>
      <c r="BQ2038" s="2" t="s">
        <v>91</v>
      </c>
      <c r="BR2038" s="2" t="s">
        <v>360</v>
      </c>
      <c r="BS2038" s="3">
        <v>40315</v>
      </c>
      <c r="BT2038" s="4">
        <v>0.36041666666666666</v>
      </c>
    </row>
    <row r="2039" spans="1:72" x14ac:dyDescent="0.25">
      <c r="A2039" s="2">
        <v>2947</v>
      </c>
      <c r="B2039" s="2">
        <v>2010</v>
      </c>
      <c r="C2039" s="2" t="s">
        <v>147</v>
      </c>
      <c r="D2039" s="2" t="s">
        <v>73</v>
      </c>
      <c r="E2039" s="2"/>
      <c r="F2039" s="2">
        <v>1</v>
      </c>
      <c r="G2039" s="2" t="s">
        <v>82</v>
      </c>
      <c r="H2039" s="2">
        <v>1</v>
      </c>
      <c r="I2039" s="2" t="s">
        <v>82</v>
      </c>
      <c r="J2039" s="2">
        <v>1</v>
      </c>
      <c r="K2039" s="2" t="s">
        <v>107</v>
      </c>
      <c r="L2039" s="2" t="s">
        <v>107</v>
      </c>
      <c r="M2039" s="3">
        <v>40315</v>
      </c>
      <c r="N2039" s="2"/>
      <c r="O2039" s="2"/>
      <c r="P2039" s="2"/>
      <c r="Q2039" s="2" t="str">
        <f>""</f>
        <v/>
      </c>
      <c r="R2039" s="2"/>
      <c r="S2039" s="2"/>
      <c r="T2039" s="2">
        <v>2</v>
      </c>
      <c r="U2039" s="2" t="s">
        <v>123</v>
      </c>
      <c r="V2039" s="2">
        <v>1</v>
      </c>
      <c r="W2039" s="2" t="s">
        <v>80</v>
      </c>
      <c r="X2039" s="2">
        <v>12</v>
      </c>
      <c r="Y2039" s="2" t="s">
        <v>148</v>
      </c>
      <c r="Z2039" s="2">
        <v>1</v>
      </c>
      <c r="AA2039" s="2" t="s">
        <v>82</v>
      </c>
      <c r="AB2039" s="2">
        <v>9</v>
      </c>
      <c r="AC2039" s="2" t="s">
        <v>124</v>
      </c>
      <c r="AD2039" s="3">
        <v>40315</v>
      </c>
      <c r="AE2039" s="4">
        <v>0.29166666666666669</v>
      </c>
      <c r="AF2039" s="3">
        <v>40315</v>
      </c>
      <c r="AG2039" s="4">
        <v>0.34722222222222227</v>
      </c>
      <c r="AH2039" s="2">
        <v>3</v>
      </c>
      <c r="AI2039" s="2" t="s">
        <v>214</v>
      </c>
      <c r="AJ2039" s="2">
        <v>17</v>
      </c>
      <c r="AK2039" s="2" t="s">
        <v>309</v>
      </c>
      <c r="AL2039" s="2">
        <v>23</v>
      </c>
      <c r="AM2039" s="2" t="s">
        <v>251</v>
      </c>
      <c r="AN2039" s="2"/>
      <c r="AO2039" s="2"/>
      <c r="AP2039" s="2">
        <v>11</v>
      </c>
      <c r="AQ2039" s="2" t="s">
        <v>82</v>
      </c>
      <c r="AR2039" s="2"/>
      <c r="AS2039" s="2"/>
      <c r="AT2039" s="2" t="s">
        <v>7073</v>
      </c>
      <c r="AU2039" s="2"/>
      <c r="AV2039" s="2"/>
      <c r="AW2039" s="2"/>
      <c r="AX2039" s="2"/>
      <c r="AY2039" s="2">
        <v>67</v>
      </c>
      <c r="AZ2039" s="2" t="s">
        <v>750</v>
      </c>
      <c r="BA2039" s="2">
        <v>67</v>
      </c>
      <c r="BB2039" s="2" t="s">
        <v>750</v>
      </c>
      <c r="BC2039" s="2">
        <v>41</v>
      </c>
      <c r="BD2039" s="2" t="s">
        <v>82</v>
      </c>
      <c r="BE2039" s="2">
        <v>41</v>
      </c>
      <c r="BF2039" s="2" t="s">
        <v>82</v>
      </c>
      <c r="BG2039" s="2"/>
      <c r="BH2039" s="2"/>
      <c r="BI2039" s="2"/>
      <c r="BJ2039" s="2">
        <v>241</v>
      </c>
      <c r="BK2039" s="2" t="s">
        <v>82</v>
      </c>
      <c r="BL2039" s="2"/>
      <c r="BM2039" s="2">
        <v>241</v>
      </c>
      <c r="BN2039" s="2" t="s">
        <v>82</v>
      </c>
      <c r="BO2039" s="2"/>
      <c r="BP2039" s="2">
        <v>241</v>
      </c>
      <c r="BQ2039" s="2" t="s">
        <v>82</v>
      </c>
      <c r="BR2039" s="2"/>
      <c r="BS2039" s="3">
        <v>40315</v>
      </c>
      <c r="BT2039" s="4">
        <v>0.40480324074074076</v>
      </c>
    </row>
    <row r="2040" spans="1:72" x14ac:dyDescent="0.25">
      <c r="A2040" s="2">
        <v>2951</v>
      </c>
      <c r="B2040" s="2">
        <v>2010</v>
      </c>
      <c r="C2040" s="2" t="s">
        <v>377</v>
      </c>
      <c r="D2040" s="2" t="s">
        <v>73</v>
      </c>
      <c r="E2040" s="2"/>
      <c r="F2040" s="2">
        <v>426</v>
      </c>
      <c r="G2040" s="2" t="s">
        <v>378</v>
      </c>
      <c r="H2040" s="2">
        <v>22</v>
      </c>
      <c r="I2040" s="2" t="s">
        <v>75</v>
      </c>
      <c r="J2040" s="2">
        <v>311</v>
      </c>
      <c r="K2040" s="2" t="s">
        <v>379</v>
      </c>
      <c r="L2040" s="2" t="s">
        <v>380</v>
      </c>
      <c r="M2040" s="3">
        <v>40315</v>
      </c>
      <c r="N2040" s="2" t="s">
        <v>4427</v>
      </c>
      <c r="O2040" s="2"/>
      <c r="P2040" s="2"/>
      <c r="Q2040" s="2" t="str">
        <f>"079-C/10"</f>
        <v>079-C/10</v>
      </c>
      <c r="R2040" s="2" t="s">
        <v>7074</v>
      </c>
      <c r="S2040" s="2"/>
      <c r="T2040" s="2">
        <v>1</v>
      </c>
      <c r="U2040" s="2" t="s">
        <v>79</v>
      </c>
      <c r="V2040" s="2">
        <v>1</v>
      </c>
      <c r="W2040" s="2" t="s">
        <v>80</v>
      </c>
      <c r="X2040" s="2">
        <v>1</v>
      </c>
      <c r="Y2040" s="2" t="s">
        <v>81</v>
      </c>
      <c r="Z2040" s="2">
        <v>1</v>
      </c>
      <c r="AA2040" s="2" t="s">
        <v>82</v>
      </c>
      <c r="AB2040" s="2">
        <v>9</v>
      </c>
      <c r="AC2040" s="2" t="s">
        <v>124</v>
      </c>
      <c r="AD2040" s="3">
        <v>40315</v>
      </c>
      <c r="AE2040" s="4">
        <v>0.36805555555555558</v>
      </c>
      <c r="AF2040" s="2"/>
      <c r="AG2040" s="2"/>
      <c r="AH2040" s="2">
        <v>2</v>
      </c>
      <c r="AI2040" s="2" t="s">
        <v>84</v>
      </c>
      <c r="AJ2040" s="2">
        <v>9</v>
      </c>
      <c r="AK2040" s="2" t="s">
        <v>103</v>
      </c>
      <c r="AL2040" s="2">
        <v>29</v>
      </c>
      <c r="AM2040" s="2" t="s">
        <v>5416</v>
      </c>
      <c r="AN2040" s="2" t="s">
        <v>7075</v>
      </c>
      <c r="AO2040" s="2" t="s">
        <v>987</v>
      </c>
      <c r="AP2040" s="2">
        <v>11</v>
      </c>
      <c r="AQ2040" s="2" t="s">
        <v>82</v>
      </c>
      <c r="AR2040" s="2"/>
      <c r="AS2040" s="2"/>
      <c r="AT2040" s="2" t="s">
        <v>7076</v>
      </c>
      <c r="AU2040" s="2"/>
      <c r="AV2040" s="2"/>
      <c r="AW2040" s="2"/>
      <c r="AX2040" s="2"/>
      <c r="AY2040" s="2">
        <v>41</v>
      </c>
      <c r="AZ2040" s="2" t="s">
        <v>82</v>
      </c>
      <c r="BA2040" s="2">
        <v>41</v>
      </c>
      <c r="BB2040" s="2" t="s">
        <v>82</v>
      </c>
      <c r="BC2040" s="2">
        <v>41</v>
      </c>
      <c r="BD2040" s="2" t="s">
        <v>82</v>
      </c>
      <c r="BE2040" s="2">
        <v>41</v>
      </c>
      <c r="BF2040" s="2" t="s">
        <v>82</v>
      </c>
      <c r="BG2040" s="2"/>
      <c r="BH2040" s="2"/>
      <c r="BI2040" s="2"/>
      <c r="BJ2040" s="2">
        <v>241</v>
      </c>
      <c r="BK2040" s="2" t="s">
        <v>82</v>
      </c>
      <c r="BL2040" s="2"/>
      <c r="BM2040" s="2">
        <v>241</v>
      </c>
      <c r="BN2040" s="2" t="s">
        <v>82</v>
      </c>
      <c r="BO2040" s="2"/>
      <c r="BP2040" s="2">
        <v>241</v>
      </c>
      <c r="BQ2040" s="2" t="s">
        <v>82</v>
      </c>
      <c r="BR2040" s="2"/>
      <c r="BS2040" s="3">
        <v>40315</v>
      </c>
      <c r="BT2040" s="4">
        <v>0.49356481481481485</v>
      </c>
    </row>
    <row r="2041" spans="1:72" x14ac:dyDescent="0.25">
      <c r="A2041" s="2">
        <v>2954</v>
      </c>
      <c r="B2041" s="2">
        <v>2010</v>
      </c>
      <c r="C2041" s="2" t="s">
        <v>72</v>
      </c>
      <c r="D2041" s="2" t="s">
        <v>73</v>
      </c>
      <c r="E2041" s="2"/>
      <c r="F2041" s="2">
        <v>481</v>
      </c>
      <c r="G2041" s="2" t="s">
        <v>1438</v>
      </c>
      <c r="H2041" s="2">
        <v>1</v>
      </c>
      <c r="I2041" s="2" t="s">
        <v>82</v>
      </c>
      <c r="J2041" s="2">
        <v>58</v>
      </c>
      <c r="K2041" s="2" t="s">
        <v>3405</v>
      </c>
      <c r="L2041" s="2" t="s">
        <v>1692</v>
      </c>
      <c r="M2041" s="3">
        <v>40315</v>
      </c>
      <c r="N2041" s="2" t="s">
        <v>7077</v>
      </c>
      <c r="O2041" s="2" t="s">
        <v>116</v>
      </c>
      <c r="P2041" s="2" t="s">
        <v>107</v>
      </c>
      <c r="Q2041" s="2" t="str">
        <f>"23/10"</f>
        <v>23/10</v>
      </c>
      <c r="R2041" s="2" t="s">
        <v>116</v>
      </c>
      <c r="S2041" s="2" t="s">
        <v>116</v>
      </c>
      <c r="T2041" s="2">
        <v>1</v>
      </c>
      <c r="U2041" s="2" t="s">
        <v>79</v>
      </c>
      <c r="V2041" s="2">
        <v>1</v>
      </c>
      <c r="W2041" s="2" t="s">
        <v>80</v>
      </c>
      <c r="X2041" s="2">
        <v>12</v>
      </c>
      <c r="Y2041" s="2" t="s">
        <v>148</v>
      </c>
      <c r="Z2041" s="2">
        <v>1</v>
      </c>
      <c r="AA2041" s="2" t="s">
        <v>82</v>
      </c>
      <c r="AB2041" s="2">
        <v>6</v>
      </c>
      <c r="AC2041" s="2" t="s">
        <v>83</v>
      </c>
      <c r="AD2041" s="3">
        <v>40313</v>
      </c>
      <c r="AE2041" s="4">
        <v>0.90972222222222221</v>
      </c>
      <c r="AF2041" s="3">
        <v>40315</v>
      </c>
      <c r="AG2041" s="4">
        <v>0.4375</v>
      </c>
      <c r="AH2041" s="2">
        <v>3</v>
      </c>
      <c r="AI2041" s="2" t="s">
        <v>214</v>
      </c>
      <c r="AJ2041" s="2">
        <v>17</v>
      </c>
      <c r="AK2041" s="2" t="s">
        <v>309</v>
      </c>
      <c r="AL2041" s="2">
        <v>22</v>
      </c>
      <c r="AM2041" s="2" t="s">
        <v>1853</v>
      </c>
      <c r="AN2041" s="2" t="s">
        <v>7078</v>
      </c>
      <c r="AO2041" s="2"/>
      <c r="AP2041" s="2">
        <v>11</v>
      </c>
      <c r="AQ2041" s="2" t="s">
        <v>82</v>
      </c>
      <c r="AR2041" s="2" t="s">
        <v>82</v>
      </c>
      <c r="AS2041" s="2" t="s">
        <v>82</v>
      </c>
      <c r="AT2041" s="2" t="s">
        <v>7079</v>
      </c>
      <c r="AU2041" s="2"/>
      <c r="AV2041" s="2"/>
      <c r="AW2041" s="2"/>
      <c r="AX2041" s="2"/>
      <c r="AY2041" s="2">
        <v>41</v>
      </c>
      <c r="AZ2041" s="2" t="s">
        <v>82</v>
      </c>
      <c r="BA2041" s="2">
        <v>41</v>
      </c>
      <c r="BB2041" s="2" t="s">
        <v>82</v>
      </c>
      <c r="BC2041" s="2">
        <v>13</v>
      </c>
      <c r="BD2041" s="2" t="s">
        <v>108</v>
      </c>
      <c r="BE2041" s="2">
        <v>13</v>
      </c>
      <c r="BF2041" s="2" t="s">
        <v>108</v>
      </c>
      <c r="BG2041" s="2">
        <v>1424</v>
      </c>
      <c r="BH2041" s="4">
        <v>0.88541666666666663</v>
      </c>
      <c r="BI2041" s="4">
        <v>0.82638888888888884</v>
      </c>
      <c r="BJ2041" s="2">
        <v>13</v>
      </c>
      <c r="BK2041" s="2" t="s">
        <v>91</v>
      </c>
      <c r="BL2041" s="2" t="s">
        <v>564</v>
      </c>
      <c r="BM2041" s="2">
        <v>241</v>
      </c>
      <c r="BN2041" s="2" t="s">
        <v>82</v>
      </c>
      <c r="BO2041" s="2" t="s">
        <v>82</v>
      </c>
      <c r="BP2041" s="2">
        <v>13</v>
      </c>
      <c r="BQ2041" s="2" t="s">
        <v>91</v>
      </c>
      <c r="BR2041" s="2" t="s">
        <v>445</v>
      </c>
      <c r="BS2041" s="3">
        <v>40315</v>
      </c>
      <c r="BT2041" s="4">
        <v>0.57872685185185191</v>
      </c>
    </row>
    <row r="2042" spans="1:72" x14ac:dyDescent="0.25">
      <c r="A2042" s="2">
        <v>2960</v>
      </c>
      <c r="B2042" s="2">
        <v>2010</v>
      </c>
      <c r="C2042" s="2" t="s">
        <v>121</v>
      </c>
      <c r="D2042" s="2" t="s">
        <v>122</v>
      </c>
      <c r="E2042" s="2"/>
      <c r="F2042" s="2">
        <v>1</v>
      </c>
      <c r="G2042" s="2" t="s">
        <v>82</v>
      </c>
      <c r="H2042" s="2">
        <v>1</v>
      </c>
      <c r="I2042" s="2" t="s">
        <v>82</v>
      </c>
      <c r="J2042" s="2">
        <v>1</v>
      </c>
      <c r="K2042" s="2" t="s">
        <v>107</v>
      </c>
      <c r="L2042" s="2" t="s">
        <v>107</v>
      </c>
      <c r="M2042" s="3">
        <v>40315</v>
      </c>
      <c r="N2042" s="2"/>
      <c r="O2042" s="2"/>
      <c r="P2042" s="2"/>
      <c r="Q2042" s="2" t="str">
        <f>""</f>
        <v/>
      </c>
      <c r="R2042" s="2"/>
      <c r="S2042" s="2"/>
      <c r="T2042" s="2">
        <v>2</v>
      </c>
      <c r="U2042" s="2" t="s">
        <v>123</v>
      </c>
      <c r="V2042" s="2">
        <v>1</v>
      </c>
      <c r="W2042" s="2" t="s">
        <v>80</v>
      </c>
      <c r="X2042" s="2">
        <v>11</v>
      </c>
      <c r="Y2042" s="2" t="s">
        <v>1920</v>
      </c>
      <c r="Z2042" s="2">
        <v>1</v>
      </c>
      <c r="AA2042" s="2" t="s">
        <v>82</v>
      </c>
      <c r="AB2042" s="2">
        <v>9</v>
      </c>
      <c r="AC2042" s="2" t="s">
        <v>124</v>
      </c>
      <c r="AD2042" s="3">
        <v>40315</v>
      </c>
      <c r="AE2042" s="4">
        <v>0.35416666666666669</v>
      </c>
      <c r="AF2042" s="2"/>
      <c r="AG2042" s="2"/>
      <c r="AH2042" s="2">
        <v>2</v>
      </c>
      <c r="AI2042" s="2" t="s">
        <v>84</v>
      </c>
      <c r="AJ2042" s="2">
        <v>9</v>
      </c>
      <c r="AK2042" s="2" t="s">
        <v>103</v>
      </c>
      <c r="AL2042" s="2">
        <v>14</v>
      </c>
      <c r="AM2042" s="2" t="s">
        <v>216</v>
      </c>
      <c r="AN2042" s="2"/>
      <c r="AO2042" s="2"/>
      <c r="AP2042" s="2">
        <v>11</v>
      </c>
      <c r="AQ2042" s="2" t="s">
        <v>82</v>
      </c>
      <c r="AR2042" s="2"/>
      <c r="AS2042" s="2"/>
      <c r="AT2042" s="2" t="s">
        <v>7080</v>
      </c>
      <c r="AU2042" s="2"/>
      <c r="AV2042" s="2"/>
      <c r="AW2042" s="2"/>
      <c r="AX2042" s="2"/>
      <c r="AY2042" s="2">
        <v>1</v>
      </c>
      <c r="AZ2042" s="2" t="s">
        <v>107</v>
      </c>
      <c r="BA2042" s="2">
        <v>1</v>
      </c>
      <c r="BB2042" s="2" t="s">
        <v>107</v>
      </c>
      <c r="BC2042" s="2">
        <v>1</v>
      </c>
      <c r="BD2042" s="2" t="s">
        <v>107</v>
      </c>
      <c r="BE2042" s="2">
        <v>39</v>
      </c>
      <c r="BF2042" s="2" t="s">
        <v>440</v>
      </c>
      <c r="BG2042" s="2" t="s">
        <v>7081</v>
      </c>
      <c r="BH2042" s="4">
        <v>0.35416666666666669</v>
      </c>
      <c r="BI2042" s="4">
        <v>0</v>
      </c>
      <c r="BJ2042" s="2">
        <v>172</v>
      </c>
      <c r="BK2042" s="2" t="s">
        <v>843</v>
      </c>
      <c r="BL2042" s="2" t="s">
        <v>844</v>
      </c>
      <c r="BM2042" s="2">
        <v>13</v>
      </c>
      <c r="BN2042" s="2" t="s">
        <v>91</v>
      </c>
      <c r="BO2042" s="2" t="s">
        <v>1084</v>
      </c>
      <c r="BP2042" s="2">
        <v>73</v>
      </c>
      <c r="BQ2042" s="2" t="s">
        <v>186</v>
      </c>
      <c r="BR2042" s="2" t="s">
        <v>7082</v>
      </c>
      <c r="BS2042" s="3">
        <v>40315</v>
      </c>
      <c r="BT2042" s="4">
        <v>0.65246527777777774</v>
      </c>
    </row>
    <row r="2043" spans="1:72" x14ac:dyDescent="0.25">
      <c r="A2043" s="2">
        <v>2961</v>
      </c>
      <c r="B2043" s="2">
        <v>2010</v>
      </c>
      <c r="C2043" s="2" t="s">
        <v>171</v>
      </c>
      <c r="D2043" s="2" t="s">
        <v>122</v>
      </c>
      <c r="E2043" s="2" t="s">
        <v>7083</v>
      </c>
      <c r="F2043" s="2">
        <v>394</v>
      </c>
      <c r="G2043" s="2" t="s">
        <v>172</v>
      </c>
      <c r="H2043" s="2">
        <v>5</v>
      </c>
      <c r="I2043" s="2" t="s">
        <v>634</v>
      </c>
      <c r="J2043" s="2">
        <v>241</v>
      </c>
      <c r="K2043" s="2" t="s">
        <v>174</v>
      </c>
      <c r="L2043" s="2" t="s">
        <v>175</v>
      </c>
      <c r="M2043" s="3">
        <v>40315</v>
      </c>
      <c r="N2043" s="2" t="s">
        <v>7035</v>
      </c>
      <c r="O2043" s="2"/>
      <c r="P2043" s="2"/>
      <c r="Q2043" s="2" t="str">
        <f>"263-E/10"</f>
        <v>263-E/10</v>
      </c>
      <c r="R2043" s="2"/>
      <c r="S2043" s="2" t="s">
        <v>5710</v>
      </c>
      <c r="T2043" s="2">
        <v>1</v>
      </c>
      <c r="U2043" s="2" t="s">
        <v>79</v>
      </c>
      <c r="V2043" s="2">
        <v>1</v>
      </c>
      <c r="W2043" s="2" t="s">
        <v>80</v>
      </c>
      <c r="X2043" s="2">
        <v>1</v>
      </c>
      <c r="Y2043" s="2" t="s">
        <v>81</v>
      </c>
      <c r="Z2043" s="2">
        <v>1</v>
      </c>
      <c r="AA2043" s="2" t="s">
        <v>82</v>
      </c>
      <c r="AB2043" s="2">
        <v>1</v>
      </c>
      <c r="AC2043" s="2" t="s">
        <v>178</v>
      </c>
      <c r="AD2043" s="3">
        <v>40313</v>
      </c>
      <c r="AE2043" s="4">
        <v>0.47222222222222227</v>
      </c>
      <c r="AF2043" s="2"/>
      <c r="AG2043" s="2"/>
      <c r="AH2043" s="2">
        <v>2</v>
      </c>
      <c r="AI2043" s="2" t="s">
        <v>84</v>
      </c>
      <c r="AJ2043" s="2">
        <v>9</v>
      </c>
      <c r="AK2043" s="2" t="s">
        <v>103</v>
      </c>
      <c r="AL2043" s="2">
        <v>14</v>
      </c>
      <c r="AM2043" s="2" t="s">
        <v>216</v>
      </c>
      <c r="AN2043" s="2"/>
      <c r="AO2043" s="2" t="s">
        <v>1230</v>
      </c>
      <c r="AP2043" s="2">
        <v>11</v>
      </c>
      <c r="AQ2043" s="2" t="s">
        <v>82</v>
      </c>
      <c r="AR2043" s="2"/>
      <c r="AS2043" s="2"/>
      <c r="AT2043" s="2" t="s">
        <v>7084</v>
      </c>
      <c r="AU2043" s="2">
        <v>1</v>
      </c>
      <c r="AV2043" s="2">
        <v>1</v>
      </c>
      <c r="AW2043" s="2"/>
      <c r="AX2043" s="2"/>
      <c r="AY2043" s="2">
        <v>1</v>
      </c>
      <c r="AZ2043" s="2" t="s">
        <v>107</v>
      </c>
      <c r="BA2043" s="2">
        <v>1</v>
      </c>
      <c r="BB2043" s="2" t="s">
        <v>107</v>
      </c>
      <c r="BC2043" s="2">
        <v>1</v>
      </c>
      <c r="BD2043" s="2" t="s">
        <v>107</v>
      </c>
      <c r="BE2043" s="2">
        <v>23</v>
      </c>
      <c r="BF2043" s="2" t="s">
        <v>183</v>
      </c>
      <c r="BG2043" s="2" t="s">
        <v>4595</v>
      </c>
      <c r="BH2043" s="2"/>
      <c r="BI2043" s="4">
        <v>0.53125</v>
      </c>
      <c r="BJ2043" s="2">
        <v>13</v>
      </c>
      <c r="BK2043" s="2" t="s">
        <v>91</v>
      </c>
      <c r="BL2043" s="2" t="s">
        <v>185</v>
      </c>
      <c r="BM2043" s="2">
        <v>241</v>
      </c>
      <c r="BN2043" s="2" t="s">
        <v>82</v>
      </c>
      <c r="BO2043" s="2"/>
      <c r="BP2043" s="2">
        <v>73</v>
      </c>
      <c r="BQ2043" s="2" t="s">
        <v>186</v>
      </c>
      <c r="BR2043" s="2" t="s">
        <v>187</v>
      </c>
      <c r="BS2043" s="3">
        <v>40315</v>
      </c>
      <c r="BT2043" s="4">
        <v>0.66084490740740742</v>
      </c>
    </row>
    <row r="2044" spans="1:72" x14ac:dyDescent="0.25">
      <c r="A2044" s="2">
        <v>2962</v>
      </c>
      <c r="B2044" s="2">
        <v>2010</v>
      </c>
      <c r="C2044" s="2" t="s">
        <v>72</v>
      </c>
      <c r="D2044" s="2" t="s">
        <v>73</v>
      </c>
      <c r="E2044" s="2"/>
      <c r="F2044" s="2">
        <v>284</v>
      </c>
      <c r="G2044" s="2" t="s">
        <v>5196</v>
      </c>
      <c r="H2044" s="2">
        <v>40</v>
      </c>
      <c r="I2044" s="2" t="s">
        <v>2101</v>
      </c>
      <c r="J2044" s="2">
        <v>518</v>
      </c>
      <c r="K2044" s="2" t="s">
        <v>5197</v>
      </c>
      <c r="L2044" s="2" t="s">
        <v>5198</v>
      </c>
      <c r="M2044" s="3">
        <v>40315</v>
      </c>
      <c r="N2044" s="2" t="s">
        <v>7085</v>
      </c>
      <c r="O2044" s="2" t="s">
        <v>82</v>
      </c>
      <c r="P2044" s="2" t="s">
        <v>107</v>
      </c>
      <c r="Q2044" s="2" t="str">
        <f>"0004/2010"</f>
        <v>0004/2010</v>
      </c>
      <c r="R2044" s="2" t="s">
        <v>7086</v>
      </c>
      <c r="S2044" s="2" t="s">
        <v>82</v>
      </c>
      <c r="T2044" s="2">
        <v>1</v>
      </c>
      <c r="U2044" s="2" t="s">
        <v>79</v>
      </c>
      <c r="V2044" s="2">
        <v>1</v>
      </c>
      <c r="W2044" s="2" t="s">
        <v>80</v>
      </c>
      <c r="X2044" s="2">
        <v>12</v>
      </c>
      <c r="Y2044" s="2" t="s">
        <v>148</v>
      </c>
      <c r="Z2044" s="2">
        <v>1</v>
      </c>
      <c r="AA2044" s="2" t="s">
        <v>82</v>
      </c>
      <c r="AB2044" s="2">
        <v>6</v>
      </c>
      <c r="AC2044" s="2" t="s">
        <v>83</v>
      </c>
      <c r="AD2044" s="3">
        <v>40313</v>
      </c>
      <c r="AE2044" s="4">
        <v>0.95833333333333337</v>
      </c>
      <c r="AF2044" s="3">
        <v>40315</v>
      </c>
      <c r="AG2044" s="4">
        <v>0.52083333333333337</v>
      </c>
      <c r="AH2044" s="2">
        <v>6</v>
      </c>
      <c r="AI2044" s="2" t="s">
        <v>197</v>
      </c>
      <c r="AJ2044" s="2">
        <v>58</v>
      </c>
      <c r="AK2044" s="2" t="s">
        <v>406</v>
      </c>
      <c r="AL2044" s="2">
        <v>22</v>
      </c>
      <c r="AM2044" s="2" t="s">
        <v>1853</v>
      </c>
      <c r="AN2044" s="2" t="s">
        <v>1971</v>
      </c>
      <c r="AO2044" s="2" t="s">
        <v>179</v>
      </c>
      <c r="AP2044" s="2">
        <v>11</v>
      </c>
      <c r="AQ2044" s="2" t="s">
        <v>82</v>
      </c>
      <c r="AR2044" s="2"/>
      <c r="AS2044" s="2"/>
      <c r="AT2044" s="2" t="s">
        <v>7087</v>
      </c>
      <c r="AU2044" s="2"/>
      <c r="AV2044" s="2"/>
      <c r="AW2044" s="2"/>
      <c r="AX2044" s="2"/>
      <c r="AY2044" s="2">
        <v>41</v>
      </c>
      <c r="AZ2044" s="2" t="s">
        <v>82</v>
      </c>
      <c r="BA2044" s="2">
        <v>41</v>
      </c>
      <c r="BB2044" s="2" t="s">
        <v>82</v>
      </c>
      <c r="BC2044" s="2">
        <v>41</v>
      </c>
      <c r="BD2044" s="2" t="s">
        <v>82</v>
      </c>
      <c r="BE2044" s="2">
        <v>13</v>
      </c>
      <c r="BF2044" s="2" t="s">
        <v>108</v>
      </c>
      <c r="BG2044" s="2">
        <v>2882</v>
      </c>
      <c r="BH2044" s="4">
        <v>0.1111111111111111</v>
      </c>
      <c r="BI2044" s="2"/>
      <c r="BJ2044" s="2">
        <v>13</v>
      </c>
      <c r="BK2044" s="2" t="s">
        <v>91</v>
      </c>
      <c r="BL2044" s="2" t="s">
        <v>170</v>
      </c>
      <c r="BM2044" s="2">
        <v>13</v>
      </c>
      <c r="BN2044" s="2" t="s">
        <v>91</v>
      </c>
      <c r="BO2044" s="2" t="s">
        <v>82</v>
      </c>
      <c r="BP2044" s="2">
        <v>13</v>
      </c>
      <c r="BQ2044" s="2" t="s">
        <v>91</v>
      </c>
      <c r="BR2044" s="2" t="s">
        <v>492</v>
      </c>
      <c r="BS2044" s="3">
        <v>40315</v>
      </c>
      <c r="BT2044" s="4">
        <v>0.67540509259259263</v>
      </c>
    </row>
    <row r="2045" spans="1:72" x14ac:dyDescent="0.25">
      <c r="A2045" s="2">
        <v>2963</v>
      </c>
      <c r="B2045" s="2">
        <v>2010</v>
      </c>
      <c r="C2045" s="2" t="s">
        <v>4543</v>
      </c>
      <c r="D2045" s="2" t="s">
        <v>122</v>
      </c>
      <c r="E2045" s="2" t="s">
        <v>7088</v>
      </c>
      <c r="F2045" s="2">
        <v>1</v>
      </c>
      <c r="G2045" s="2" t="s">
        <v>82</v>
      </c>
      <c r="H2045" s="2">
        <v>1</v>
      </c>
      <c r="I2045" s="2" t="s">
        <v>82</v>
      </c>
      <c r="J2045" s="2">
        <v>1</v>
      </c>
      <c r="K2045" s="2" t="s">
        <v>107</v>
      </c>
      <c r="L2045" s="2" t="s">
        <v>107</v>
      </c>
      <c r="M2045" s="3">
        <v>40315</v>
      </c>
      <c r="N2045" s="2"/>
      <c r="O2045" s="2"/>
      <c r="P2045" s="2"/>
      <c r="Q2045" s="2" t="str">
        <f>""</f>
        <v/>
      </c>
      <c r="R2045" s="2"/>
      <c r="S2045" s="2"/>
      <c r="T2045" s="2">
        <v>2</v>
      </c>
      <c r="U2045" s="2" t="s">
        <v>123</v>
      </c>
      <c r="V2045" s="2">
        <v>1</v>
      </c>
      <c r="W2045" s="2" t="s">
        <v>80</v>
      </c>
      <c r="X2045" s="2">
        <v>5</v>
      </c>
      <c r="Y2045" s="2" t="s">
        <v>82</v>
      </c>
      <c r="Z2045" s="2">
        <v>1</v>
      </c>
      <c r="AA2045" s="2" t="s">
        <v>82</v>
      </c>
      <c r="AB2045" s="2">
        <v>9</v>
      </c>
      <c r="AC2045" s="2" t="s">
        <v>124</v>
      </c>
      <c r="AD2045" s="3">
        <v>40315</v>
      </c>
      <c r="AE2045" s="4">
        <v>0.66666666666666663</v>
      </c>
      <c r="AF2045" s="2"/>
      <c r="AG2045" s="2"/>
      <c r="AH2045" s="2">
        <v>5</v>
      </c>
      <c r="AI2045" s="2" t="s">
        <v>274</v>
      </c>
      <c r="AJ2045" s="2">
        <v>44</v>
      </c>
      <c r="AK2045" s="2" t="s">
        <v>667</v>
      </c>
      <c r="AL2045" s="2">
        <v>19</v>
      </c>
      <c r="AM2045" s="2" t="s">
        <v>107</v>
      </c>
      <c r="AN2045" s="2"/>
      <c r="AO2045" s="2"/>
      <c r="AP2045" s="2">
        <v>11</v>
      </c>
      <c r="AQ2045" s="2" t="s">
        <v>82</v>
      </c>
      <c r="AR2045" s="2"/>
      <c r="AS2045" s="2"/>
      <c r="AT2045" s="2" t="s">
        <v>7089</v>
      </c>
      <c r="AU2045" s="2"/>
      <c r="AV2045" s="2"/>
      <c r="AW2045" s="2"/>
      <c r="AX2045" s="2"/>
      <c r="AY2045" s="2">
        <v>1</v>
      </c>
      <c r="AZ2045" s="2" t="s">
        <v>107</v>
      </c>
      <c r="BA2045" s="2">
        <v>1</v>
      </c>
      <c r="BB2045" s="2" t="s">
        <v>107</v>
      </c>
      <c r="BC2045" s="2">
        <v>1</v>
      </c>
      <c r="BD2045" s="2" t="s">
        <v>107</v>
      </c>
      <c r="BE2045" s="2">
        <v>1</v>
      </c>
      <c r="BF2045" s="2" t="s">
        <v>107</v>
      </c>
      <c r="BG2045" s="2"/>
      <c r="BH2045" s="2"/>
      <c r="BI2045" s="2"/>
      <c r="BJ2045" s="2">
        <v>242</v>
      </c>
      <c r="BK2045" s="2" t="s">
        <v>107</v>
      </c>
      <c r="BL2045" s="2"/>
      <c r="BM2045" s="2">
        <v>242</v>
      </c>
      <c r="BN2045" s="2" t="s">
        <v>107</v>
      </c>
      <c r="BO2045" s="2"/>
      <c r="BP2045" s="2">
        <v>242</v>
      </c>
      <c r="BQ2045" s="2" t="s">
        <v>107</v>
      </c>
      <c r="BR2045" s="2"/>
      <c r="BS2045" s="3">
        <v>40315</v>
      </c>
      <c r="BT2045" s="4">
        <v>0.72206018518518522</v>
      </c>
    </row>
    <row r="2046" spans="1:72" x14ac:dyDescent="0.25">
      <c r="A2046" s="2">
        <v>2966</v>
      </c>
      <c r="B2046" s="2">
        <v>2010</v>
      </c>
      <c r="C2046" s="2" t="s">
        <v>72</v>
      </c>
      <c r="D2046" s="2" t="s">
        <v>73</v>
      </c>
      <c r="E2046" s="2"/>
      <c r="F2046" s="2">
        <v>438</v>
      </c>
      <c r="G2046" s="2" t="s">
        <v>7090</v>
      </c>
      <c r="H2046" s="2">
        <v>22</v>
      </c>
      <c r="I2046" s="2" t="s">
        <v>75</v>
      </c>
      <c r="J2046" s="2">
        <v>327</v>
      </c>
      <c r="K2046" s="2" t="s">
        <v>7091</v>
      </c>
      <c r="L2046" s="2" t="s">
        <v>7092</v>
      </c>
      <c r="M2046" s="3">
        <v>40315</v>
      </c>
      <c r="N2046" s="2" t="s">
        <v>7093</v>
      </c>
      <c r="O2046" s="2"/>
      <c r="P2046" s="2"/>
      <c r="Q2046" s="2" t="str">
        <f>"055/10"</f>
        <v>055/10</v>
      </c>
      <c r="R2046" s="2"/>
      <c r="S2046" s="2" t="s">
        <v>657</v>
      </c>
      <c r="T2046" s="2">
        <v>1</v>
      </c>
      <c r="U2046" s="2" t="s">
        <v>79</v>
      </c>
      <c r="V2046" s="2">
        <v>1</v>
      </c>
      <c r="W2046" s="2" t="s">
        <v>80</v>
      </c>
      <c r="X2046" s="2">
        <v>12</v>
      </c>
      <c r="Y2046" s="2" t="s">
        <v>148</v>
      </c>
      <c r="Z2046" s="2">
        <v>1</v>
      </c>
      <c r="AA2046" s="2" t="s">
        <v>82</v>
      </c>
      <c r="AB2046" s="2">
        <v>6</v>
      </c>
      <c r="AC2046" s="2" t="s">
        <v>83</v>
      </c>
      <c r="AD2046" s="3">
        <v>40315</v>
      </c>
      <c r="AE2046" s="4">
        <v>0.35416666666666669</v>
      </c>
      <c r="AF2046" s="3">
        <v>40315</v>
      </c>
      <c r="AG2046" s="4">
        <v>0.61111111111111105</v>
      </c>
      <c r="AH2046" s="2">
        <v>4</v>
      </c>
      <c r="AI2046" s="2" t="s">
        <v>125</v>
      </c>
      <c r="AJ2046" s="2">
        <v>29</v>
      </c>
      <c r="AK2046" s="2" t="s">
        <v>227</v>
      </c>
      <c r="AL2046" s="2">
        <v>22</v>
      </c>
      <c r="AM2046" s="2" t="s">
        <v>1853</v>
      </c>
      <c r="AN2046" s="2"/>
      <c r="AO2046" s="2" t="s">
        <v>6863</v>
      </c>
      <c r="AP2046" s="2">
        <v>11</v>
      </c>
      <c r="AQ2046" s="2" t="s">
        <v>82</v>
      </c>
      <c r="AR2046" s="2"/>
      <c r="AS2046" s="2"/>
      <c r="AT2046" s="2" t="s">
        <v>7094</v>
      </c>
      <c r="AU2046" s="2"/>
      <c r="AV2046" s="2"/>
      <c r="AW2046" s="2"/>
      <c r="AX2046" s="2"/>
      <c r="AY2046" s="2">
        <v>41</v>
      </c>
      <c r="AZ2046" s="2" t="s">
        <v>82</v>
      </c>
      <c r="BA2046" s="2">
        <v>41</v>
      </c>
      <c r="BB2046" s="2" t="s">
        <v>82</v>
      </c>
      <c r="BC2046" s="2">
        <v>19</v>
      </c>
      <c r="BD2046" s="2" t="s">
        <v>1061</v>
      </c>
      <c r="BE2046" s="2">
        <v>19</v>
      </c>
      <c r="BF2046" s="2" t="s">
        <v>1061</v>
      </c>
      <c r="BG2046" s="2">
        <v>250</v>
      </c>
      <c r="BH2046" s="4">
        <v>0.53125</v>
      </c>
      <c r="BI2046" s="4">
        <v>0.57291666666666663</v>
      </c>
      <c r="BJ2046" s="2">
        <v>29</v>
      </c>
      <c r="BK2046" s="2" t="s">
        <v>962</v>
      </c>
      <c r="BL2046" s="2" t="s">
        <v>2027</v>
      </c>
      <c r="BM2046" s="2">
        <v>241</v>
      </c>
      <c r="BN2046" s="2" t="s">
        <v>82</v>
      </c>
      <c r="BO2046" s="2" t="s">
        <v>82</v>
      </c>
      <c r="BP2046" s="2">
        <v>13</v>
      </c>
      <c r="BQ2046" s="2" t="s">
        <v>91</v>
      </c>
      <c r="BR2046" s="2" t="s">
        <v>828</v>
      </c>
      <c r="BS2046" s="3">
        <v>40315</v>
      </c>
      <c r="BT2046" s="4">
        <v>0.77528935185185188</v>
      </c>
    </row>
    <row r="2047" spans="1:72" x14ac:dyDescent="0.25">
      <c r="A2047" s="2">
        <v>2968</v>
      </c>
      <c r="B2047" s="2">
        <v>2010</v>
      </c>
      <c r="C2047" s="2" t="s">
        <v>171</v>
      </c>
      <c r="D2047" s="2" t="s">
        <v>73</v>
      </c>
      <c r="E2047" s="2"/>
      <c r="F2047" s="2">
        <v>151</v>
      </c>
      <c r="G2047" s="2" t="s">
        <v>314</v>
      </c>
      <c r="H2047" s="2">
        <v>40</v>
      </c>
      <c r="I2047" s="2" t="s">
        <v>2101</v>
      </c>
      <c r="J2047" s="2">
        <v>163</v>
      </c>
      <c r="K2047" s="2" t="s">
        <v>316</v>
      </c>
      <c r="L2047" s="2" t="s">
        <v>317</v>
      </c>
      <c r="M2047" s="3">
        <v>40315</v>
      </c>
      <c r="N2047" s="2" t="s">
        <v>7095</v>
      </c>
      <c r="O2047" s="2" t="s">
        <v>107</v>
      </c>
      <c r="P2047" s="2" t="s">
        <v>107</v>
      </c>
      <c r="Q2047" s="2" t="str">
        <f>"179-A/10"</f>
        <v>179-A/10</v>
      </c>
      <c r="R2047" s="2" t="s">
        <v>107</v>
      </c>
      <c r="S2047" s="2" t="s">
        <v>489</v>
      </c>
      <c r="T2047" s="2">
        <v>1</v>
      </c>
      <c r="U2047" s="2" t="s">
        <v>79</v>
      </c>
      <c r="V2047" s="2">
        <v>1</v>
      </c>
      <c r="W2047" s="2" t="s">
        <v>80</v>
      </c>
      <c r="X2047" s="2">
        <v>1</v>
      </c>
      <c r="Y2047" s="2" t="s">
        <v>81</v>
      </c>
      <c r="Z2047" s="2">
        <v>1</v>
      </c>
      <c r="AA2047" s="2" t="s">
        <v>82</v>
      </c>
      <c r="AB2047" s="2">
        <v>1</v>
      </c>
      <c r="AC2047" s="2" t="s">
        <v>178</v>
      </c>
      <c r="AD2047" s="3">
        <v>40315</v>
      </c>
      <c r="AE2047" s="4">
        <v>0.5625</v>
      </c>
      <c r="AF2047" s="2"/>
      <c r="AG2047" s="2"/>
      <c r="AH2047" s="2">
        <v>2</v>
      </c>
      <c r="AI2047" s="2" t="s">
        <v>84</v>
      </c>
      <c r="AJ2047" s="2">
        <v>12</v>
      </c>
      <c r="AK2047" s="2" t="s">
        <v>85</v>
      </c>
      <c r="AL2047" s="2">
        <v>11</v>
      </c>
      <c r="AM2047" s="2" t="s">
        <v>137</v>
      </c>
      <c r="AN2047" s="2" t="s">
        <v>7096</v>
      </c>
      <c r="AO2047" s="2" t="s">
        <v>1059</v>
      </c>
      <c r="AP2047" s="2">
        <v>11</v>
      </c>
      <c r="AQ2047" s="2" t="s">
        <v>82</v>
      </c>
      <c r="AR2047" s="2"/>
      <c r="AS2047" s="2"/>
      <c r="AT2047" s="2" t="s">
        <v>7097</v>
      </c>
      <c r="AU2047" s="2">
        <v>1</v>
      </c>
      <c r="AV2047" s="2"/>
      <c r="AW2047" s="2"/>
      <c r="AX2047" s="2"/>
      <c r="AY2047" s="2">
        <v>41</v>
      </c>
      <c r="AZ2047" s="2" t="s">
        <v>82</v>
      </c>
      <c r="BA2047" s="2">
        <v>41</v>
      </c>
      <c r="BB2047" s="2" t="s">
        <v>82</v>
      </c>
      <c r="BC2047" s="2">
        <v>41</v>
      </c>
      <c r="BD2047" s="2" t="s">
        <v>82</v>
      </c>
      <c r="BE2047" s="2">
        <v>10</v>
      </c>
      <c r="BF2047" s="2" t="s">
        <v>901</v>
      </c>
      <c r="BG2047" s="2" t="s">
        <v>2584</v>
      </c>
      <c r="BH2047" s="4">
        <v>0.59722222222222221</v>
      </c>
      <c r="BI2047" s="4">
        <v>0.56944444444444442</v>
      </c>
      <c r="BJ2047" s="2">
        <v>13</v>
      </c>
      <c r="BK2047" s="2" t="s">
        <v>91</v>
      </c>
      <c r="BL2047" s="2" t="s">
        <v>185</v>
      </c>
      <c r="BM2047" s="2">
        <v>241</v>
      </c>
      <c r="BN2047" s="2" t="s">
        <v>82</v>
      </c>
      <c r="BO2047" s="2"/>
      <c r="BP2047" s="2">
        <v>229</v>
      </c>
      <c r="BQ2047" s="2" t="s">
        <v>300</v>
      </c>
      <c r="BR2047" s="2" t="s">
        <v>301</v>
      </c>
      <c r="BS2047" s="3">
        <v>40315</v>
      </c>
      <c r="BT2047" s="4">
        <v>0.81702546296296286</v>
      </c>
    </row>
    <row r="2048" spans="1:72" x14ac:dyDescent="0.25">
      <c r="A2048" s="2">
        <v>2969</v>
      </c>
      <c r="B2048" s="2">
        <v>2010</v>
      </c>
      <c r="C2048" s="2" t="s">
        <v>764</v>
      </c>
      <c r="D2048" s="2" t="s">
        <v>73</v>
      </c>
      <c r="E2048" s="2"/>
      <c r="F2048" s="2">
        <v>390</v>
      </c>
      <c r="G2048" s="2" t="s">
        <v>475</v>
      </c>
      <c r="H2048" s="2">
        <v>6</v>
      </c>
      <c r="I2048" s="2" t="s">
        <v>1088</v>
      </c>
      <c r="J2048" s="2">
        <v>314</v>
      </c>
      <c r="K2048" s="2" t="s">
        <v>477</v>
      </c>
      <c r="L2048" s="2" t="s">
        <v>478</v>
      </c>
      <c r="M2048" s="3">
        <v>40315</v>
      </c>
      <c r="N2048" s="2" t="s">
        <v>6470</v>
      </c>
      <c r="O2048" s="2" t="s">
        <v>107</v>
      </c>
      <c r="P2048" s="2" t="s">
        <v>107</v>
      </c>
      <c r="Q2048" s="2" t="str">
        <f>"266-E/10"</f>
        <v>266-E/10</v>
      </c>
      <c r="R2048" s="2" t="s">
        <v>7098</v>
      </c>
      <c r="S2048" s="2" t="s">
        <v>7098</v>
      </c>
      <c r="T2048" s="2">
        <v>1</v>
      </c>
      <c r="U2048" s="2" t="s">
        <v>79</v>
      </c>
      <c r="V2048" s="2">
        <v>1</v>
      </c>
      <c r="W2048" s="2" t="s">
        <v>80</v>
      </c>
      <c r="X2048" s="2">
        <v>1</v>
      </c>
      <c r="Y2048" s="2" t="s">
        <v>81</v>
      </c>
      <c r="Z2048" s="2">
        <v>1</v>
      </c>
      <c r="AA2048" s="2" t="s">
        <v>82</v>
      </c>
      <c r="AB2048" s="2">
        <v>9</v>
      </c>
      <c r="AC2048" s="2" t="s">
        <v>124</v>
      </c>
      <c r="AD2048" s="3">
        <v>40315</v>
      </c>
      <c r="AE2048" s="4">
        <v>0.29166666666666669</v>
      </c>
      <c r="AF2048" s="2"/>
      <c r="AG2048" s="2"/>
      <c r="AH2048" s="2">
        <v>2</v>
      </c>
      <c r="AI2048" s="2" t="s">
        <v>84</v>
      </c>
      <c r="AJ2048" s="2">
        <v>9</v>
      </c>
      <c r="AK2048" s="2" t="s">
        <v>103</v>
      </c>
      <c r="AL2048" s="2">
        <v>24</v>
      </c>
      <c r="AM2048" s="2" t="s">
        <v>1540</v>
      </c>
      <c r="AN2048" s="2" t="s">
        <v>7099</v>
      </c>
      <c r="AO2048" s="2" t="s">
        <v>7100</v>
      </c>
      <c r="AP2048" s="2">
        <v>11</v>
      </c>
      <c r="AQ2048" s="2" t="s">
        <v>82</v>
      </c>
      <c r="AR2048" s="2"/>
      <c r="AS2048" s="2"/>
      <c r="AT2048" s="2" t="s">
        <v>7101</v>
      </c>
      <c r="AU2048" s="2"/>
      <c r="AV2048" s="2"/>
      <c r="AW2048" s="2"/>
      <c r="AX2048" s="2"/>
      <c r="AY2048" s="2">
        <v>41</v>
      </c>
      <c r="AZ2048" s="2" t="s">
        <v>82</v>
      </c>
      <c r="BA2048" s="2">
        <v>41</v>
      </c>
      <c r="BB2048" s="2" t="s">
        <v>82</v>
      </c>
      <c r="BC2048" s="2">
        <v>41</v>
      </c>
      <c r="BD2048" s="2" t="s">
        <v>82</v>
      </c>
      <c r="BE2048" s="2">
        <v>41</v>
      </c>
      <c r="BF2048" s="2" t="s">
        <v>82</v>
      </c>
      <c r="BG2048" s="2"/>
      <c r="BH2048" s="2"/>
      <c r="BI2048" s="2"/>
      <c r="BJ2048" s="2">
        <v>241</v>
      </c>
      <c r="BK2048" s="2" t="s">
        <v>82</v>
      </c>
      <c r="BL2048" s="2"/>
      <c r="BM2048" s="2">
        <v>241</v>
      </c>
      <c r="BN2048" s="2" t="s">
        <v>82</v>
      </c>
      <c r="BO2048" s="2"/>
      <c r="BP2048" s="2">
        <v>241</v>
      </c>
      <c r="BQ2048" s="2" t="s">
        <v>82</v>
      </c>
      <c r="BR2048" s="2"/>
      <c r="BS2048" s="3">
        <v>40315</v>
      </c>
      <c r="BT2048" s="4">
        <v>0.82925925925925925</v>
      </c>
    </row>
    <row r="2049" spans="1:72" x14ac:dyDescent="0.25">
      <c r="A2049" s="2">
        <v>2970</v>
      </c>
      <c r="B2049" s="2">
        <v>2010</v>
      </c>
      <c r="C2049" s="2" t="s">
        <v>171</v>
      </c>
      <c r="D2049" s="2" t="s">
        <v>73</v>
      </c>
      <c r="E2049" s="2" t="s">
        <v>7102</v>
      </c>
      <c r="F2049" s="2">
        <v>425</v>
      </c>
      <c r="G2049" s="2" t="s">
        <v>286</v>
      </c>
      <c r="H2049" s="2">
        <v>39</v>
      </c>
      <c r="I2049" s="2" t="s">
        <v>1117</v>
      </c>
      <c r="J2049" s="2">
        <v>310</v>
      </c>
      <c r="K2049" s="2" t="s">
        <v>288</v>
      </c>
      <c r="L2049" s="2" t="s">
        <v>289</v>
      </c>
      <c r="M2049" s="3">
        <v>40315</v>
      </c>
      <c r="N2049" s="2" t="s">
        <v>2049</v>
      </c>
      <c r="O2049" s="2" t="s">
        <v>7103</v>
      </c>
      <c r="P2049" s="2" t="s">
        <v>1135</v>
      </c>
      <c r="Q2049" s="2" t="str">
        <f>"049/10"</f>
        <v>049/10</v>
      </c>
      <c r="R2049" s="2" t="s">
        <v>822</v>
      </c>
      <c r="S2049" s="2"/>
      <c r="T2049" s="2">
        <v>1</v>
      </c>
      <c r="U2049" s="2" t="s">
        <v>79</v>
      </c>
      <c r="V2049" s="2">
        <v>1</v>
      </c>
      <c r="W2049" s="2" t="s">
        <v>80</v>
      </c>
      <c r="X2049" s="2">
        <v>1</v>
      </c>
      <c r="Y2049" s="2" t="s">
        <v>81</v>
      </c>
      <c r="Z2049" s="2">
        <v>1</v>
      </c>
      <c r="AA2049" s="2" t="s">
        <v>82</v>
      </c>
      <c r="AB2049" s="2">
        <v>1</v>
      </c>
      <c r="AC2049" s="2" t="s">
        <v>178</v>
      </c>
      <c r="AD2049" s="3">
        <v>40315</v>
      </c>
      <c r="AE2049" s="4">
        <v>0.75</v>
      </c>
      <c r="AF2049" s="2"/>
      <c r="AG2049" s="2"/>
      <c r="AH2049" s="2">
        <v>4</v>
      </c>
      <c r="AI2049" s="2" t="s">
        <v>125</v>
      </c>
      <c r="AJ2049" s="2">
        <v>29</v>
      </c>
      <c r="AK2049" s="2" t="s">
        <v>227</v>
      </c>
      <c r="AL2049" s="2">
        <v>16</v>
      </c>
      <c r="AM2049" s="2" t="s">
        <v>392</v>
      </c>
      <c r="AN2049" s="2" t="s">
        <v>6877</v>
      </c>
      <c r="AO2049" s="2"/>
      <c r="AP2049" s="2">
        <v>12</v>
      </c>
      <c r="AQ2049" s="2" t="s">
        <v>322</v>
      </c>
      <c r="AR2049" s="2" t="s">
        <v>824</v>
      </c>
      <c r="AS2049" s="2" t="s">
        <v>825</v>
      </c>
      <c r="AT2049" s="2" t="s">
        <v>7104</v>
      </c>
      <c r="AU2049" s="2"/>
      <c r="AV2049" s="2"/>
      <c r="AW2049" s="2"/>
      <c r="AX2049" s="2"/>
      <c r="AY2049" s="2">
        <v>41</v>
      </c>
      <c r="AZ2049" s="2" t="s">
        <v>82</v>
      </c>
      <c r="BA2049" s="2">
        <v>41</v>
      </c>
      <c r="BB2049" s="2" t="s">
        <v>82</v>
      </c>
      <c r="BC2049" s="2">
        <v>51</v>
      </c>
      <c r="BD2049" s="2" t="s">
        <v>827</v>
      </c>
      <c r="BE2049" s="2">
        <v>47</v>
      </c>
      <c r="BF2049" s="2" t="s">
        <v>167</v>
      </c>
      <c r="BG2049" s="2">
        <v>2459</v>
      </c>
      <c r="BH2049" s="4">
        <v>0.92361111111111116</v>
      </c>
      <c r="BI2049" s="4">
        <v>0.94791666666666663</v>
      </c>
      <c r="BJ2049" s="2">
        <v>13</v>
      </c>
      <c r="BK2049" s="2" t="s">
        <v>91</v>
      </c>
      <c r="BL2049" s="2" t="s">
        <v>828</v>
      </c>
      <c r="BM2049" s="2">
        <v>241</v>
      </c>
      <c r="BN2049" s="2" t="s">
        <v>82</v>
      </c>
      <c r="BO2049" s="2" t="s">
        <v>82</v>
      </c>
      <c r="BP2049" s="2">
        <v>13</v>
      </c>
      <c r="BQ2049" s="2" t="s">
        <v>91</v>
      </c>
      <c r="BR2049" s="2" t="s">
        <v>185</v>
      </c>
      <c r="BS2049" s="3">
        <v>40315</v>
      </c>
      <c r="BT2049" s="4">
        <v>0.83690972222222226</v>
      </c>
    </row>
    <row r="2050" spans="1:72" x14ac:dyDescent="0.25">
      <c r="A2050" s="2">
        <v>2973</v>
      </c>
      <c r="B2050" s="2">
        <v>2010</v>
      </c>
      <c r="C2050" s="2" t="s">
        <v>1568</v>
      </c>
      <c r="D2050" s="2" t="s">
        <v>73</v>
      </c>
      <c r="E2050" s="2"/>
      <c r="F2050" s="2">
        <v>390</v>
      </c>
      <c r="G2050" s="2" t="s">
        <v>475</v>
      </c>
      <c r="H2050" s="2">
        <v>6</v>
      </c>
      <c r="I2050" s="2" t="s">
        <v>1088</v>
      </c>
      <c r="J2050" s="2">
        <v>533</v>
      </c>
      <c r="K2050" s="2" t="s">
        <v>6511</v>
      </c>
      <c r="L2050" s="2" t="s">
        <v>478</v>
      </c>
      <c r="M2050" s="3">
        <v>40316</v>
      </c>
      <c r="N2050" s="2" t="s">
        <v>6470</v>
      </c>
      <c r="O2050" s="2"/>
      <c r="P2050" s="2"/>
      <c r="Q2050" s="2" t="str">
        <f>"267-E/10"</f>
        <v>267-E/10</v>
      </c>
      <c r="R2050" s="2" t="s">
        <v>7105</v>
      </c>
      <c r="S2050" s="2"/>
      <c r="T2050" s="2">
        <v>1</v>
      </c>
      <c r="U2050" s="2" t="s">
        <v>79</v>
      </c>
      <c r="V2050" s="2">
        <v>1</v>
      </c>
      <c r="W2050" s="2" t="s">
        <v>80</v>
      </c>
      <c r="X2050" s="2">
        <v>1</v>
      </c>
      <c r="Y2050" s="2" t="s">
        <v>81</v>
      </c>
      <c r="Z2050" s="2">
        <v>1</v>
      </c>
      <c r="AA2050" s="2" t="s">
        <v>82</v>
      </c>
      <c r="AB2050" s="2">
        <v>4</v>
      </c>
      <c r="AC2050" s="2" t="s">
        <v>1569</v>
      </c>
      <c r="AD2050" s="3">
        <v>40315</v>
      </c>
      <c r="AE2050" s="4">
        <v>0.75</v>
      </c>
      <c r="AF2050" s="2"/>
      <c r="AG2050" s="2"/>
      <c r="AH2050" s="2">
        <v>2</v>
      </c>
      <c r="AI2050" s="2" t="s">
        <v>84</v>
      </c>
      <c r="AJ2050" s="2">
        <v>9</v>
      </c>
      <c r="AK2050" s="2" t="s">
        <v>103</v>
      </c>
      <c r="AL2050" s="2">
        <v>14</v>
      </c>
      <c r="AM2050" s="2" t="s">
        <v>216</v>
      </c>
      <c r="AN2050" s="2" t="s">
        <v>7106</v>
      </c>
      <c r="AO2050" s="2" t="s">
        <v>4974</v>
      </c>
      <c r="AP2050" s="2">
        <v>11</v>
      </c>
      <c r="AQ2050" s="2" t="s">
        <v>82</v>
      </c>
      <c r="AR2050" s="2"/>
      <c r="AS2050" s="2"/>
      <c r="AT2050" s="2" t="s">
        <v>7107</v>
      </c>
      <c r="AU2050" s="2"/>
      <c r="AV2050" s="2">
        <v>1</v>
      </c>
      <c r="AW2050" s="2"/>
      <c r="AX2050" s="2"/>
      <c r="AY2050" s="2">
        <v>41</v>
      </c>
      <c r="AZ2050" s="2" t="s">
        <v>82</v>
      </c>
      <c r="BA2050" s="2">
        <v>41</v>
      </c>
      <c r="BB2050" s="2" t="s">
        <v>82</v>
      </c>
      <c r="BC2050" s="2">
        <v>41</v>
      </c>
      <c r="BD2050" s="2" t="s">
        <v>82</v>
      </c>
      <c r="BE2050" s="2">
        <v>6</v>
      </c>
      <c r="BF2050" s="2" t="s">
        <v>616</v>
      </c>
      <c r="BG2050" s="2" t="s">
        <v>1599</v>
      </c>
      <c r="BH2050" s="2"/>
      <c r="BI2050" s="4">
        <v>0.85069444444444453</v>
      </c>
      <c r="BJ2050" s="2">
        <v>13</v>
      </c>
      <c r="BK2050" s="2" t="s">
        <v>91</v>
      </c>
      <c r="BL2050" s="2" t="s">
        <v>185</v>
      </c>
      <c r="BM2050" s="2">
        <v>242</v>
      </c>
      <c r="BN2050" s="2" t="s">
        <v>107</v>
      </c>
      <c r="BO2050" s="2" t="s">
        <v>107</v>
      </c>
      <c r="BP2050" s="2">
        <v>4</v>
      </c>
      <c r="BQ2050" s="2" t="s">
        <v>618</v>
      </c>
      <c r="BR2050" s="2" t="s">
        <v>619</v>
      </c>
      <c r="BS2050" s="3">
        <v>40316</v>
      </c>
      <c r="BT2050" s="4">
        <v>2.4421296296296296E-3</v>
      </c>
    </row>
    <row r="2051" spans="1:72" x14ac:dyDescent="0.25">
      <c r="A2051" s="2">
        <v>2974</v>
      </c>
      <c r="B2051" s="2">
        <v>2010</v>
      </c>
      <c r="C2051" s="2" t="s">
        <v>72</v>
      </c>
      <c r="D2051" s="2" t="s">
        <v>73</v>
      </c>
      <c r="E2051" s="2"/>
      <c r="F2051" s="2">
        <v>53</v>
      </c>
      <c r="G2051" s="2" t="s">
        <v>2755</v>
      </c>
      <c r="H2051" s="2">
        <v>31</v>
      </c>
      <c r="I2051" s="2" t="s">
        <v>880</v>
      </c>
      <c r="J2051" s="2">
        <v>88</v>
      </c>
      <c r="K2051" s="2" t="s">
        <v>2756</v>
      </c>
      <c r="L2051" s="2" t="s">
        <v>2757</v>
      </c>
      <c r="M2051" s="3">
        <v>40316</v>
      </c>
      <c r="N2051" s="2" t="s">
        <v>3235</v>
      </c>
      <c r="O2051" s="2"/>
      <c r="P2051" s="2"/>
      <c r="Q2051" s="2" t="str">
        <f>"016/2010"</f>
        <v>016/2010</v>
      </c>
      <c r="R2051" s="2"/>
      <c r="S2051" s="2" t="s">
        <v>657</v>
      </c>
      <c r="T2051" s="2">
        <v>1</v>
      </c>
      <c r="U2051" s="2" t="s">
        <v>79</v>
      </c>
      <c r="V2051" s="2">
        <v>1</v>
      </c>
      <c r="W2051" s="2" t="s">
        <v>80</v>
      </c>
      <c r="X2051" s="2">
        <v>1</v>
      </c>
      <c r="Y2051" s="2" t="s">
        <v>81</v>
      </c>
      <c r="Z2051" s="2">
        <v>1</v>
      </c>
      <c r="AA2051" s="2" t="s">
        <v>82</v>
      </c>
      <c r="AB2051" s="2">
        <v>6</v>
      </c>
      <c r="AC2051" s="2" t="s">
        <v>83</v>
      </c>
      <c r="AD2051" s="3">
        <v>40315</v>
      </c>
      <c r="AE2051" s="4">
        <v>0.89583333333333337</v>
      </c>
      <c r="AF2051" s="3">
        <v>40315</v>
      </c>
      <c r="AG2051" s="4">
        <v>0.91666666666666663</v>
      </c>
      <c r="AH2051" s="2">
        <v>4</v>
      </c>
      <c r="AI2051" s="2" t="s">
        <v>125</v>
      </c>
      <c r="AJ2051" s="2">
        <v>28</v>
      </c>
      <c r="AK2051" s="2" t="s">
        <v>741</v>
      </c>
      <c r="AL2051" s="2">
        <v>9</v>
      </c>
      <c r="AM2051" s="2" t="s">
        <v>259</v>
      </c>
      <c r="AN2051" s="2" t="s">
        <v>7108</v>
      </c>
      <c r="AO2051" s="2" t="s">
        <v>7109</v>
      </c>
      <c r="AP2051" s="2">
        <v>11</v>
      </c>
      <c r="AQ2051" s="2" t="s">
        <v>82</v>
      </c>
      <c r="AR2051" s="2"/>
      <c r="AS2051" s="2"/>
      <c r="AT2051" s="2" t="s">
        <v>7110</v>
      </c>
      <c r="AU2051" s="2"/>
      <c r="AV2051" s="2"/>
      <c r="AW2051" s="2"/>
      <c r="AX2051" s="2"/>
      <c r="AY2051" s="2">
        <v>44</v>
      </c>
      <c r="AZ2051" s="2" t="s">
        <v>262</v>
      </c>
      <c r="BA2051" s="2">
        <v>70</v>
      </c>
      <c r="BB2051" s="2" t="s">
        <v>236</v>
      </c>
      <c r="BC2051" s="2">
        <v>41</v>
      </c>
      <c r="BD2051" s="2" t="s">
        <v>82</v>
      </c>
      <c r="BE2051" s="2">
        <v>41</v>
      </c>
      <c r="BF2051" s="2" t="s">
        <v>82</v>
      </c>
      <c r="BG2051" s="2"/>
      <c r="BH2051" s="2"/>
      <c r="BI2051" s="2"/>
      <c r="BJ2051" s="2">
        <v>241</v>
      </c>
      <c r="BK2051" s="2" t="s">
        <v>82</v>
      </c>
      <c r="BL2051" s="2"/>
      <c r="BM2051" s="2">
        <v>241</v>
      </c>
      <c r="BN2051" s="2" t="s">
        <v>82</v>
      </c>
      <c r="BO2051" s="2"/>
      <c r="BP2051" s="2">
        <v>241</v>
      </c>
      <c r="BQ2051" s="2" t="s">
        <v>82</v>
      </c>
      <c r="BR2051" s="2"/>
      <c r="BS2051" s="3">
        <v>40316</v>
      </c>
      <c r="BT2051" s="4">
        <v>4.0972222222222226E-3</v>
      </c>
    </row>
    <row r="2052" spans="1:72" x14ac:dyDescent="0.25">
      <c r="A2052" s="2">
        <v>2975</v>
      </c>
      <c r="B2052" s="2">
        <v>2010</v>
      </c>
      <c r="C2052" s="2" t="s">
        <v>171</v>
      </c>
      <c r="D2052" s="2" t="s">
        <v>122</v>
      </c>
      <c r="E2052" s="2" t="s">
        <v>7111</v>
      </c>
      <c r="F2052" s="2">
        <v>151</v>
      </c>
      <c r="G2052" s="2" t="s">
        <v>314</v>
      </c>
      <c r="H2052" s="2">
        <v>40</v>
      </c>
      <c r="I2052" s="2" t="s">
        <v>2101</v>
      </c>
      <c r="J2052" s="2">
        <v>163</v>
      </c>
      <c r="K2052" s="2" t="s">
        <v>316</v>
      </c>
      <c r="L2052" s="2" t="s">
        <v>317</v>
      </c>
      <c r="M2052" s="3">
        <v>40316</v>
      </c>
      <c r="N2052" s="2" t="s">
        <v>7095</v>
      </c>
      <c r="O2052" s="2" t="s">
        <v>107</v>
      </c>
      <c r="P2052" s="2" t="s">
        <v>107</v>
      </c>
      <c r="Q2052" s="2" t="str">
        <f>"179-A/10"</f>
        <v>179-A/10</v>
      </c>
      <c r="R2052" s="2" t="s">
        <v>489</v>
      </c>
      <c r="S2052" s="2" t="s">
        <v>107</v>
      </c>
      <c r="T2052" s="2">
        <v>1</v>
      </c>
      <c r="U2052" s="2" t="s">
        <v>79</v>
      </c>
      <c r="V2052" s="2">
        <v>1</v>
      </c>
      <c r="W2052" s="2" t="s">
        <v>80</v>
      </c>
      <c r="X2052" s="2">
        <v>1</v>
      </c>
      <c r="Y2052" s="2" t="s">
        <v>81</v>
      </c>
      <c r="Z2052" s="2">
        <v>10</v>
      </c>
      <c r="AA2052" s="2" t="s">
        <v>236</v>
      </c>
      <c r="AB2052" s="2">
        <v>1</v>
      </c>
      <c r="AC2052" s="2" t="s">
        <v>178</v>
      </c>
      <c r="AD2052" s="3">
        <v>40316</v>
      </c>
      <c r="AE2052" s="4">
        <v>6.9444444444444441E-3</v>
      </c>
      <c r="AF2052" s="2"/>
      <c r="AG2052" s="2"/>
      <c r="AH2052" s="2">
        <v>2</v>
      </c>
      <c r="AI2052" s="2" t="s">
        <v>84</v>
      </c>
      <c r="AJ2052" s="2">
        <v>12</v>
      </c>
      <c r="AK2052" s="2" t="s">
        <v>85</v>
      </c>
      <c r="AL2052" s="2">
        <v>27</v>
      </c>
      <c r="AM2052" s="2" t="s">
        <v>6225</v>
      </c>
      <c r="AN2052" s="2" t="s">
        <v>1971</v>
      </c>
      <c r="AO2052" s="2"/>
      <c r="AP2052" s="2">
        <v>11</v>
      </c>
      <c r="AQ2052" s="2" t="s">
        <v>82</v>
      </c>
      <c r="AR2052" s="2"/>
      <c r="AS2052" s="2"/>
      <c r="AT2052" s="2" t="s">
        <v>7112</v>
      </c>
      <c r="AU2052" s="2">
        <v>1</v>
      </c>
      <c r="AV2052" s="2"/>
      <c r="AW2052" s="2"/>
      <c r="AX2052" s="2"/>
      <c r="AY2052" s="2">
        <v>41</v>
      </c>
      <c r="AZ2052" s="2" t="s">
        <v>82</v>
      </c>
      <c r="BA2052" s="2">
        <v>41</v>
      </c>
      <c r="BB2052" s="2" t="s">
        <v>82</v>
      </c>
      <c r="BC2052" s="2">
        <v>41</v>
      </c>
      <c r="BD2052" s="2" t="s">
        <v>82</v>
      </c>
      <c r="BE2052" s="2">
        <v>10</v>
      </c>
      <c r="BF2052" s="2" t="s">
        <v>901</v>
      </c>
      <c r="BG2052" s="2" t="s">
        <v>2584</v>
      </c>
      <c r="BH2052" s="4">
        <v>0.59722222222222221</v>
      </c>
      <c r="BI2052" s="4">
        <v>0.56944444444444442</v>
      </c>
      <c r="BJ2052" s="2">
        <v>13</v>
      </c>
      <c r="BK2052" s="2" t="s">
        <v>91</v>
      </c>
      <c r="BL2052" s="2" t="s">
        <v>185</v>
      </c>
      <c r="BM2052" s="2">
        <v>241</v>
      </c>
      <c r="BN2052" s="2" t="s">
        <v>82</v>
      </c>
      <c r="BO2052" s="2"/>
      <c r="BP2052" s="2">
        <v>229</v>
      </c>
      <c r="BQ2052" s="2" t="s">
        <v>300</v>
      </c>
      <c r="BR2052" s="2" t="s">
        <v>301</v>
      </c>
      <c r="BS2052" s="3">
        <v>40316</v>
      </c>
      <c r="BT2052" s="4">
        <v>3.3842592592592598E-2</v>
      </c>
    </row>
    <row r="2053" spans="1:72" x14ac:dyDescent="0.25">
      <c r="A2053" s="2">
        <v>2976</v>
      </c>
      <c r="B2053" s="2">
        <v>2010</v>
      </c>
      <c r="C2053" s="2" t="s">
        <v>1568</v>
      </c>
      <c r="D2053" s="2" t="s">
        <v>122</v>
      </c>
      <c r="E2053" s="2" t="s">
        <v>7113</v>
      </c>
      <c r="F2053" s="2">
        <v>390</v>
      </c>
      <c r="G2053" s="2" t="s">
        <v>475</v>
      </c>
      <c r="H2053" s="2">
        <v>6</v>
      </c>
      <c r="I2053" s="2" t="s">
        <v>1088</v>
      </c>
      <c r="J2053" s="2">
        <v>533</v>
      </c>
      <c r="K2053" s="2" t="s">
        <v>6511</v>
      </c>
      <c r="L2053" s="2" t="s">
        <v>478</v>
      </c>
      <c r="M2053" s="3">
        <v>40316</v>
      </c>
      <c r="N2053" s="2" t="s">
        <v>6470</v>
      </c>
      <c r="O2053" s="2"/>
      <c r="P2053" s="2"/>
      <c r="Q2053" s="2" t="str">
        <f>"267-E/10"</f>
        <v>267-E/10</v>
      </c>
      <c r="R2053" s="2" t="s">
        <v>7105</v>
      </c>
      <c r="S2053" s="2" t="s">
        <v>7105</v>
      </c>
      <c r="T2053" s="2">
        <v>1</v>
      </c>
      <c r="U2053" s="2" t="s">
        <v>79</v>
      </c>
      <c r="V2053" s="2">
        <v>1</v>
      </c>
      <c r="W2053" s="2" t="s">
        <v>80</v>
      </c>
      <c r="X2053" s="2">
        <v>1</v>
      </c>
      <c r="Y2053" s="2" t="s">
        <v>81</v>
      </c>
      <c r="Z2053" s="2">
        <v>1</v>
      </c>
      <c r="AA2053" s="2" t="s">
        <v>82</v>
      </c>
      <c r="AB2053" s="2">
        <v>4</v>
      </c>
      <c r="AC2053" s="2" t="s">
        <v>1569</v>
      </c>
      <c r="AD2053" s="3">
        <v>40315</v>
      </c>
      <c r="AE2053" s="4">
        <v>0.75</v>
      </c>
      <c r="AF2053" s="2"/>
      <c r="AG2053" s="2"/>
      <c r="AH2053" s="2">
        <v>2</v>
      </c>
      <c r="AI2053" s="2" t="s">
        <v>84</v>
      </c>
      <c r="AJ2053" s="2">
        <v>9</v>
      </c>
      <c r="AK2053" s="2" t="s">
        <v>103</v>
      </c>
      <c r="AL2053" s="2">
        <v>11</v>
      </c>
      <c r="AM2053" s="2" t="s">
        <v>137</v>
      </c>
      <c r="AN2053" s="2"/>
      <c r="AO2053" s="2" t="s">
        <v>7114</v>
      </c>
      <c r="AP2053" s="2">
        <v>11</v>
      </c>
      <c r="AQ2053" s="2" t="s">
        <v>82</v>
      </c>
      <c r="AR2053" s="2"/>
      <c r="AS2053" s="2"/>
      <c r="AT2053" s="2" t="s">
        <v>7115</v>
      </c>
      <c r="AU2053" s="2"/>
      <c r="AV2053" s="2">
        <v>1</v>
      </c>
      <c r="AW2053" s="2"/>
      <c r="AX2053" s="2"/>
      <c r="AY2053" s="2">
        <v>41</v>
      </c>
      <c r="AZ2053" s="2" t="s">
        <v>82</v>
      </c>
      <c r="BA2053" s="2">
        <v>41</v>
      </c>
      <c r="BB2053" s="2" t="s">
        <v>82</v>
      </c>
      <c r="BC2053" s="2">
        <v>41</v>
      </c>
      <c r="BD2053" s="2" t="s">
        <v>82</v>
      </c>
      <c r="BE2053" s="2">
        <v>6</v>
      </c>
      <c r="BF2053" s="2" t="s">
        <v>616</v>
      </c>
      <c r="BG2053" s="2" t="s">
        <v>1599</v>
      </c>
      <c r="BH2053" s="2"/>
      <c r="BI2053" s="4">
        <v>0.85069444444444453</v>
      </c>
      <c r="BJ2053" s="2">
        <v>13</v>
      </c>
      <c r="BK2053" s="2" t="s">
        <v>91</v>
      </c>
      <c r="BL2053" s="2" t="s">
        <v>185</v>
      </c>
      <c r="BM2053" s="2">
        <v>242</v>
      </c>
      <c r="BN2053" s="2" t="s">
        <v>107</v>
      </c>
      <c r="BO2053" s="2" t="s">
        <v>107</v>
      </c>
      <c r="BP2053" s="2">
        <v>4</v>
      </c>
      <c r="BQ2053" s="2" t="s">
        <v>618</v>
      </c>
      <c r="BR2053" s="2" t="s">
        <v>619</v>
      </c>
      <c r="BS2053" s="3">
        <v>40316</v>
      </c>
      <c r="BT2053" s="4">
        <v>0.14699074074074073</v>
      </c>
    </row>
    <row r="2054" spans="1:72" x14ac:dyDescent="0.25">
      <c r="A2054" s="2">
        <v>2980</v>
      </c>
      <c r="B2054" s="2">
        <v>2010</v>
      </c>
      <c r="C2054" s="2" t="s">
        <v>377</v>
      </c>
      <c r="D2054" s="2" t="s">
        <v>73</v>
      </c>
      <c r="E2054" s="2"/>
      <c r="F2054" s="2">
        <v>426</v>
      </c>
      <c r="G2054" s="2" t="s">
        <v>378</v>
      </c>
      <c r="H2054" s="2">
        <v>42</v>
      </c>
      <c r="I2054" s="2" t="s">
        <v>1096</v>
      </c>
      <c r="J2054" s="2">
        <v>311</v>
      </c>
      <c r="K2054" s="2" t="s">
        <v>379</v>
      </c>
      <c r="L2054" s="2" t="s">
        <v>380</v>
      </c>
      <c r="M2054" s="3">
        <v>40316</v>
      </c>
      <c r="N2054" s="2" t="s">
        <v>5164</v>
      </c>
      <c r="O2054" s="2" t="s">
        <v>107</v>
      </c>
      <c r="P2054" s="2" t="s">
        <v>107</v>
      </c>
      <c r="Q2054" s="2" t="str">
        <f>"080-C/10"</f>
        <v>080-C/10</v>
      </c>
      <c r="R2054" s="2" t="s">
        <v>7116</v>
      </c>
      <c r="S2054" s="2"/>
      <c r="T2054" s="2">
        <v>1</v>
      </c>
      <c r="U2054" s="2" t="s">
        <v>79</v>
      </c>
      <c r="V2054" s="2">
        <v>1</v>
      </c>
      <c r="W2054" s="2" t="s">
        <v>80</v>
      </c>
      <c r="X2054" s="2">
        <v>1</v>
      </c>
      <c r="Y2054" s="2" t="s">
        <v>81</v>
      </c>
      <c r="Z2054" s="2">
        <v>1</v>
      </c>
      <c r="AA2054" s="2" t="s">
        <v>82</v>
      </c>
      <c r="AB2054" s="2">
        <v>9</v>
      </c>
      <c r="AC2054" s="2" t="s">
        <v>124</v>
      </c>
      <c r="AD2054" s="3">
        <v>40315</v>
      </c>
      <c r="AE2054" s="4">
        <v>0.88888888888888884</v>
      </c>
      <c r="AF2054" s="2"/>
      <c r="AG2054" s="2"/>
      <c r="AH2054" s="2">
        <v>2</v>
      </c>
      <c r="AI2054" s="2" t="s">
        <v>84</v>
      </c>
      <c r="AJ2054" s="2">
        <v>9</v>
      </c>
      <c r="AK2054" s="2" t="s">
        <v>103</v>
      </c>
      <c r="AL2054" s="2">
        <v>29</v>
      </c>
      <c r="AM2054" s="2" t="s">
        <v>5416</v>
      </c>
      <c r="AN2054" s="2" t="s">
        <v>1936</v>
      </c>
      <c r="AO2054" s="2" t="s">
        <v>987</v>
      </c>
      <c r="AP2054" s="2">
        <v>11</v>
      </c>
      <c r="AQ2054" s="2" t="s">
        <v>82</v>
      </c>
      <c r="AR2054" s="2"/>
      <c r="AS2054" s="2"/>
      <c r="AT2054" s="2" t="s">
        <v>7117</v>
      </c>
      <c r="AU2054" s="2"/>
      <c r="AV2054" s="2"/>
      <c r="AW2054" s="2"/>
      <c r="AX2054" s="2"/>
      <c r="AY2054" s="2">
        <v>41</v>
      </c>
      <c r="AZ2054" s="2" t="s">
        <v>82</v>
      </c>
      <c r="BA2054" s="2">
        <v>41</v>
      </c>
      <c r="BB2054" s="2" t="s">
        <v>82</v>
      </c>
      <c r="BC2054" s="2">
        <v>41</v>
      </c>
      <c r="BD2054" s="2" t="s">
        <v>82</v>
      </c>
      <c r="BE2054" s="2">
        <v>41</v>
      </c>
      <c r="BF2054" s="2" t="s">
        <v>82</v>
      </c>
      <c r="BG2054" s="2"/>
      <c r="BH2054" s="2"/>
      <c r="BI2054" s="2"/>
      <c r="BJ2054" s="2">
        <v>241</v>
      </c>
      <c r="BK2054" s="2" t="s">
        <v>82</v>
      </c>
      <c r="BL2054" s="2"/>
      <c r="BM2054" s="2">
        <v>241</v>
      </c>
      <c r="BN2054" s="2" t="s">
        <v>82</v>
      </c>
      <c r="BO2054" s="2"/>
      <c r="BP2054" s="2">
        <v>241</v>
      </c>
      <c r="BQ2054" s="2" t="s">
        <v>82</v>
      </c>
      <c r="BR2054" s="2"/>
      <c r="BS2054" s="3">
        <v>40316</v>
      </c>
      <c r="BT2054" s="4">
        <v>0.51263888888888887</v>
      </c>
    </row>
    <row r="2055" spans="1:72" x14ac:dyDescent="0.25">
      <c r="A2055" s="2">
        <v>2981</v>
      </c>
      <c r="B2055" s="2">
        <v>2010</v>
      </c>
      <c r="C2055" s="2" t="s">
        <v>93</v>
      </c>
      <c r="D2055" s="2" t="s">
        <v>73</v>
      </c>
      <c r="E2055" s="2"/>
      <c r="F2055" s="2">
        <v>144</v>
      </c>
      <c r="G2055" s="2" t="s">
        <v>537</v>
      </c>
      <c r="H2055" s="2">
        <v>22</v>
      </c>
      <c r="I2055" s="2" t="s">
        <v>75</v>
      </c>
      <c r="J2055" s="2">
        <v>160</v>
      </c>
      <c r="K2055" s="2" t="s">
        <v>538</v>
      </c>
      <c r="L2055" s="2" t="s">
        <v>539</v>
      </c>
      <c r="M2055" s="3">
        <v>40316</v>
      </c>
      <c r="N2055" s="2" t="s">
        <v>1813</v>
      </c>
      <c r="O2055" s="2" t="s">
        <v>7118</v>
      </c>
      <c r="P2055" s="7">
        <v>10318</v>
      </c>
      <c r="Q2055" s="2" t="str">
        <f>"AP 0024/10"</f>
        <v>AP 0024/10</v>
      </c>
      <c r="R2055" s="2" t="s">
        <v>7119</v>
      </c>
      <c r="S2055" s="2" t="s">
        <v>82</v>
      </c>
      <c r="T2055" s="2">
        <v>1</v>
      </c>
      <c r="U2055" s="2" t="s">
        <v>79</v>
      </c>
      <c r="V2055" s="2">
        <v>1</v>
      </c>
      <c r="W2055" s="2" t="s">
        <v>80</v>
      </c>
      <c r="X2055" s="2">
        <v>1</v>
      </c>
      <c r="Y2055" s="2" t="s">
        <v>81</v>
      </c>
      <c r="Z2055" s="2">
        <v>1</v>
      </c>
      <c r="AA2055" s="2" t="s">
        <v>82</v>
      </c>
      <c r="AB2055" s="2">
        <v>2</v>
      </c>
      <c r="AC2055" s="2" t="s">
        <v>102</v>
      </c>
      <c r="AD2055" s="3">
        <v>40316</v>
      </c>
      <c r="AE2055" s="4">
        <v>0.45833333333333331</v>
      </c>
      <c r="AF2055" s="2"/>
      <c r="AG2055" s="2"/>
      <c r="AH2055" s="2">
        <v>6</v>
      </c>
      <c r="AI2055" s="2" t="s">
        <v>197</v>
      </c>
      <c r="AJ2055" s="2">
        <v>60</v>
      </c>
      <c r="AK2055" s="2" t="s">
        <v>543</v>
      </c>
      <c r="AL2055" s="2">
        <v>11</v>
      </c>
      <c r="AM2055" s="2" t="s">
        <v>137</v>
      </c>
      <c r="AN2055" s="2" t="s">
        <v>82</v>
      </c>
      <c r="AO2055" s="2" t="s">
        <v>2249</v>
      </c>
      <c r="AP2055" s="2">
        <v>11</v>
      </c>
      <c r="AQ2055" s="2" t="s">
        <v>82</v>
      </c>
      <c r="AR2055" s="2" t="s">
        <v>82</v>
      </c>
      <c r="AS2055" s="2" t="s">
        <v>82</v>
      </c>
      <c r="AT2055" s="2" t="s">
        <v>7120</v>
      </c>
      <c r="AU2055" s="2"/>
      <c r="AV2055" s="2"/>
      <c r="AW2055" s="2"/>
      <c r="AX2055" s="2"/>
      <c r="AY2055" s="2">
        <v>1</v>
      </c>
      <c r="AZ2055" s="2" t="s">
        <v>107</v>
      </c>
      <c r="BA2055" s="2">
        <v>1</v>
      </c>
      <c r="BB2055" s="2" t="s">
        <v>107</v>
      </c>
      <c r="BC2055" s="2">
        <v>1</v>
      </c>
      <c r="BD2055" s="2" t="s">
        <v>107</v>
      </c>
      <c r="BE2055" s="2">
        <v>47</v>
      </c>
      <c r="BF2055" s="2" t="s">
        <v>167</v>
      </c>
      <c r="BG2055" s="2" t="s">
        <v>7121</v>
      </c>
      <c r="BH2055" s="4">
        <v>0.4458333333333333</v>
      </c>
      <c r="BI2055" s="4">
        <v>0.48680555555555555</v>
      </c>
      <c r="BJ2055" s="2">
        <v>13</v>
      </c>
      <c r="BK2055" s="2" t="s">
        <v>91</v>
      </c>
      <c r="BL2055" s="2" t="s">
        <v>7122</v>
      </c>
      <c r="BM2055" s="2">
        <v>241</v>
      </c>
      <c r="BN2055" s="2" t="s">
        <v>82</v>
      </c>
      <c r="BO2055" s="2" t="s">
        <v>82</v>
      </c>
      <c r="BP2055" s="2">
        <v>13</v>
      </c>
      <c r="BQ2055" s="2" t="s">
        <v>91</v>
      </c>
      <c r="BR2055" s="2" t="s">
        <v>5820</v>
      </c>
      <c r="BS2055" s="3">
        <v>40316</v>
      </c>
      <c r="BT2055" s="4">
        <v>0.52519675925925924</v>
      </c>
    </row>
    <row r="2056" spans="1:72" x14ac:dyDescent="0.25">
      <c r="A2056" s="2">
        <v>2982</v>
      </c>
      <c r="B2056" s="2">
        <v>2010</v>
      </c>
      <c r="C2056" s="2" t="s">
        <v>377</v>
      </c>
      <c r="D2056" s="2" t="s">
        <v>73</v>
      </c>
      <c r="E2056" s="2"/>
      <c r="F2056" s="2">
        <v>426</v>
      </c>
      <c r="G2056" s="2" t="s">
        <v>378</v>
      </c>
      <c r="H2056" s="2">
        <v>42</v>
      </c>
      <c r="I2056" s="2" t="s">
        <v>1096</v>
      </c>
      <c r="J2056" s="2">
        <v>311</v>
      </c>
      <c r="K2056" s="2" t="s">
        <v>379</v>
      </c>
      <c r="L2056" s="2" t="s">
        <v>380</v>
      </c>
      <c r="M2056" s="3">
        <v>40316</v>
      </c>
      <c r="N2056" s="2" t="s">
        <v>5164</v>
      </c>
      <c r="O2056" s="2" t="s">
        <v>107</v>
      </c>
      <c r="P2056" s="2"/>
      <c r="Q2056" s="2" t="str">
        <f>"081-C/10"</f>
        <v>081-C/10</v>
      </c>
      <c r="R2056" s="2" t="s">
        <v>107</v>
      </c>
      <c r="S2056" s="2" t="s">
        <v>107</v>
      </c>
      <c r="T2056" s="2">
        <v>1</v>
      </c>
      <c r="U2056" s="2" t="s">
        <v>79</v>
      </c>
      <c r="V2056" s="2">
        <v>1</v>
      </c>
      <c r="W2056" s="2" t="s">
        <v>80</v>
      </c>
      <c r="X2056" s="2">
        <v>1</v>
      </c>
      <c r="Y2056" s="2" t="s">
        <v>81</v>
      </c>
      <c r="Z2056" s="2">
        <v>1</v>
      </c>
      <c r="AA2056" s="2" t="s">
        <v>82</v>
      </c>
      <c r="AB2056" s="2">
        <v>9</v>
      </c>
      <c r="AC2056" s="2" t="s">
        <v>124</v>
      </c>
      <c r="AD2056" s="3">
        <v>40315</v>
      </c>
      <c r="AE2056" s="4">
        <v>0.84722222222222221</v>
      </c>
      <c r="AF2056" s="2"/>
      <c r="AG2056" s="2"/>
      <c r="AH2056" s="2">
        <v>2</v>
      </c>
      <c r="AI2056" s="2" t="s">
        <v>84</v>
      </c>
      <c r="AJ2056" s="2">
        <v>9</v>
      </c>
      <c r="AK2056" s="2" t="s">
        <v>103</v>
      </c>
      <c r="AL2056" s="2">
        <v>29</v>
      </c>
      <c r="AM2056" s="2" t="s">
        <v>5416</v>
      </c>
      <c r="AN2056" s="2" t="s">
        <v>1936</v>
      </c>
      <c r="AO2056" s="2" t="s">
        <v>987</v>
      </c>
      <c r="AP2056" s="2">
        <v>11</v>
      </c>
      <c r="AQ2056" s="2" t="s">
        <v>82</v>
      </c>
      <c r="AR2056" s="2"/>
      <c r="AS2056" s="2"/>
      <c r="AT2056" s="2" t="s">
        <v>7123</v>
      </c>
      <c r="AU2056" s="2"/>
      <c r="AV2056" s="2"/>
      <c r="AW2056" s="2"/>
      <c r="AX2056" s="2"/>
      <c r="AY2056" s="2">
        <v>41</v>
      </c>
      <c r="AZ2056" s="2" t="s">
        <v>82</v>
      </c>
      <c r="BA2056" s="2">
        <v>41</v>
      </c>
      <c r="BB2056" s="2" t="s">
        <v>82</v>
      </c>
      <c r="BC2056" s="2">
        <v>41</v>
      </c>
      <c r="BD2056" s="2" t="s">
        <v>82</v>
      </c>
      <c r="BE2056" s="2">
        <v>41</v>
      </c>
      <c r="BF2056" s="2" t="s">
        <v>82</v>
      </c>
      <c r="BG2056" s="2"/>
      <c r="BH2056" s="2"/>
      <c r="BI2056" s="2"/>
      <c r="BJ2056" s="2">
        <v>241</v>
      </c>
      <c r="BK2056" s="2" t="s">
        <v>82</v>
      </c>
      <c r="BL2056" s="2"/>
      <c r="BM2056" s="2">
        <v>241</v>
      </c>
      <c r="BN2056" s="2" t="s">
        <v>82</v>
      </c>
      <c r="BO2056" s="2"/>
      <c r="BP2056" s="2">
        <v>241</v>
      </c>
      <c r="BQ2056" s="2" t="s">
        <v>82</v>
      </c>
      <c r="BR2056" s="2"/>
      <c r="BS2056" s="3">
        <v>40316</v>
      </c>
      <c r="BT2056" s="4">
        <v>0.52587962962962964</v>
      </c>
    </row>
    <row r="2057" spans="1:72" x14ac:dyDescent="0.25">
      <c r="A2057" s="2">
        <v>2983</v>
      </c>
      <c r="B2057" s="2">
        <v>2010</v>
      </c>
      <c r="C2057" s="2" t="s">
        <v>377</v>
      </c>
      <c r="D2057" s="2" t="s">
        <v>73</v>
      </c>
      <c r="E2057" s="2"/>
      <c r="F2057" s="2">
        <v>426</v>
      </c>
      <c r="G2057" s="2" t="s">
        <v>378</v>
      </c>
      <c r="H2057" s="2">
        <v>42</v>
      </c>
      <c r="I2057" s="2" t="s">
        <v>1096</v>
      </c>
      <c r="J2057" s="2">
        <v>311</v>
      </c>
      <c r="K2057" s="2" t="s">
        <v>379</v>
      </c>
      <c r="L2057" s="2" t="s">
        <v>380</v>
      </c>
      <c r="M2057" s="3">
        <v>40316</v>
      </c>
      <c r="N2057" s="2" t="s">
        <v>5164</v>
      </c>
      <c r="O2057" s="2" t="s">
        <v>107</v>
      </c>
      <c r="P2057" s="2"/>
      <c r="Q2057" s="2" t="str">
        <f>"082-C/10"</f>
        <v>082-C/10</v>
      </c>
      <c r="R2057" s="2" t="s">
        <v>7116</v>
      </c>
      <c r="S2057" s="2"/>
      <c r="T2057" s="2">
        <v>1</v>
      </c>
      <c r="U2057" s="2" t="s">
        <v>79</v>
      </c>
      <c r="V2057" s="2">
        <v>1</v>
      </c>
      <c r="W2057" s="2" t="s">
        <v>80</v>
      </c>
      <c r="X2057" s="2">
        <v>1</v>
      </c>
      <c r="Y2057" s="2" t="s">
        <v>81</v>
      </c>
      <c r="Z2057" s="2">
        <v>1</v>
      </c>
      <c r="AA2057" s="2" t="s">
        <v>82</v>
      </c>
      <c r="AB2057" s="2">
        <v>9</v>
      </c>
      <c r="AC2057" s="2" t="s">
        <v>124</v>
      </c>
      <c r="AD2057" s="3">
        <v>40316</v>
      </c>
      <c r="AE2057" s="4">
        <v>0.47916666666666669</v>
      </c>
      <c r="AF2057" s="2"/>
      <c r="AG2057" s="2"/>
      <c r="AH2057" s="2">
        <v>2</v>
      </c>
      <c r="AI2057" s="2" t="s">
        <v>84</v>
      </c>
      <c r="AJ2057" s="2">
        <v>9</v>
      </c>
      <c r="AK2057" s="2" t="s">
        <v>103</v>
      </c>
      <c r="AL2057" s="2">
        <v>29</v>
      </c>
      <c r="AM2057" s="2" t="s">
        <v>5416</v>
      </c>
      <c r="AN2057" s="2" t="s">
        <v>7124</v>
      </c>
      <c r="AO2057" s="2" t="s">
        <v>590</v>
      </c>
      <c r="AP2057" s="2">
        <v>11</v>
      </c>
      <c r="AQ2057" s="2" t="s">
        <v>82</v>
      </c>
      <c r="AR2057" s="2"/>
      <c r="AS2057" s="2"/>
      <c r="AT2057" s="2" t="s">
        <v>7125</v>
      </c>
      <c r="AU2057" s="2"/>
      <c r="AV2057" s="2"/>
      <c r="AW2057" s="2"/>
      <c r="AX2057" s="2"/>
      <c r="AY2057" s="2">
        <v>41</v>
      </c>
      <c r="AZ2057" s="2" t="s">
        <v>82</v>
      </c>
      <c r="BA2057" s="2">
        <v>41</v>
      </c>
      <c r="BB2057" s="2" t="s">
        <v>82</v>
      </c>
      <c r="BC2057" s="2">
        <v>41</v>
      </c>
      <c r="BD2057" s="2" t="s">
        <v>82</v>
      </c>
      <c r="BE2057" s="2">
        <v>41</v>
      </c>
      <c r="BF2057" s="2" t="s">
        <v>82</v>
      </c>
      <c r="BG2057" s="2"/>
      <c r="BH2057" s="2"/>
      <c r="BI2057" s="2"/>
      <c r="BJ2057" s="2">
        <v>241</v>
      </c>
      <c r="BK2057" s="2" t="s">
        <v>82</v>
      </c>
      <c r="BL2057" s="2"/>
      <c r="BM2057" s="2">
        <v>241</v>
      </c>
      <c r="BN2057" s="2" t="s">
        <v>82</v>
      </c>
      <c r="BO2057" s="2"/>
      <c r="BP2057" s="2">
        <v>241</v>
      </c>
      <c r="BQ2057" s="2" t="s">
        <v>82</v>
      </c>
      <c r="BR2057" s="2"/>
      <c r="BS2057" s="3">
        <v>40316</v>
      </c>
      <c r="BT2057" s="4">
        <v>0.54047453703703707</v>
      </c>
    </row>
    <row r="2058" spans="1:72" x14ac:dyDescent="0.25">
      <c r="A2058" s="2">
        <v>2984</v>
      </c>
      <c r="B2058" s="2">
        <v>2010</v>
      </c>
      <c r="C2058" s="2" t="s">
        <v>4543</v>
      </c>
      <c r="D2058" s="2" t="s">
        <v>122</v>
      </c>
      <c r="E2058" s="2"/>
      <c r="F2058" s="2">
        <v>1</v>
      </c>
      <c r="G2058" s="2" t="s">
        <v>82</v>
      </c>
      <c r="H2058" s="2">
        <v>1</v>
      </c>
      <c r="I2058" s="2" t="s">
        <v>82</v>
      </c>
      <c r="J2058" s="2">
        <v>1</v>
      </c>
      <c r="K2058" s="2" t="s">
        <v>107</v>
      </c>
      <c r="L2058" s="2" t="s">
        <v>107</v>
      </c>
      <c r="M2058" s="3">
        <v>40316</v>
      </c>
      <c r="N2058" s="2" t="s">
        <v>82</v>
      </c>
      <c r="O2058" s="2" t="s">
        <v>82</v>
      </c>
      <c r="P2058" s="2" t="s">
        <v>82</v>
      </c>
      <c r="Q2058" s="2" t="str">
        <f>"N/C"</f>
        <v>N/C</v>
      </c>
      <c r="R2058" s="2" t="s">
        <v>82</v>
      </c>
      <c r="S2058" s="2" t="s">
        <v>82</v>
      </c>
      <c r="T2058" s="2">
        <v>2</v>
      </c>
      <c r="U2058" s="2" t="s">
        <v>123</v>
      </c>
      <c r="V2058" s="2">
        <v>1</v>
      </c>
      <c r="W2058" s="2" t="s">
        <v>80</v>
      </c>
      <c r="X2058" s="2">
        <v>1</v>
      </c>
      <c r="Y2058" s="2" t="s">
        <v>81</v>
      </c>
      <c r="Z2058" s="2">
        <v>10</v>
      </c>
      <c r="AA2058" s="2" t="s">
        <v>236</v>
      </c>
      <c r="AB2058" s="2">
        <v>9</v>
      </c>
      <c r="AC2058" s="2" t="s">
        <v>124</v>
      </c>
      <c r="AD2058" s="3">
        <v>40316</v>
      </c>
      <c r="AE2058" s="4">
        <v>0.47916666666666669</v>
      </c>
      <c r="AF2058" s="2"/>
      <c r="AG2058" s="2"/>
      <c r="AH2058" s="2">
        <v>2</v>
      </c>
      <c r="AI2058" s="2" t="s">
        <v>84</v>
      </c>
      <c r="AJ2058" s="2">
        <v>12</v>
      </c>
      <c r="AK2058" s="2" t="s">
        <v>85</v>
      </c>
      <c r="AL2058" s="2">
        <v>12</v>
      </c>
      <c r="AM2058" s="2" t="s">
        <v>86</v>
      </c>
      <c r="AN2058" s="2" t="s">
        <v>107</v>
      </c>
      <c r="AO2058" s="2" t="s">
        <v>7126</v>
      </c>
      <c r="AP2058" s="2">
        <v>11</v>
      </c>
      <c r="AQ2058" s="2" t="s">
        <v>82</v>
      </c>
      <c r="AR2058" s="2" t="s">
        <v>82</v>
      </c>
      <c r="AS2058" s="2" t="s">
        <v>82</v>
      </c>
      <c r="AT2058" s="2" t="s">
        <v>7127</v>
      </c>
      <c r="AU2058" s="2"/>
      <c r="AV2058" s="2"/>
      <c r="AW2058" s="2"/>
      <c r="AX2058" s="2"/>
      <c r="AY2058" s="2">
        <v>41</v>
      </c>
      <c r="AZ2058" s="2" t="s">
        <v>82</v>
      </c>
      <c r="BA2058" s="2">
        <v>41</v>
      </c>
      <c r="BB2058" s="2" t="s">
        <v>82</v>
      </c>
      <c r="BC2058" s="2">
        <v>41</v>
      </c>
      <c r="BD2058" s="2" t="s">
        <v>82</v>
      </c>
      <c r="BE2058" s="2">
        <v>41</v>
      </c>
      <c r="BF2058" s="2" t="s">
        <v>82</v>
      </c>
      <c r="BG2058" s="2" t="s">
        <v>82</v>
      </c>
      <c r="BH2058" s="2"/>
      <c r="BI2058" s="2"/>
      <c r="BJ2058" s="2">
        <v>241</v>
      </c>
      <c r="BK2058" s="2" t="s">
        <v>82</v>
      </c>
      <c r="BL2058" s="2" t="s">
        <v>82</v>
      </c>
      <c r="BM2058" s="2">
        <v>241</v>
      </c>
      <c r="BN2058" s="2" t="s">
        <v>82</v>
      </c>
      <c r="BO2058" s="2" t="s">
        <v>82</v>
      </c>
      <c r="BP2058" s="2">
        <v>241</v>
      </c>
      <c r="BQ2058" s="2" t="s">
        <v>82</v>
      </c>
      <c r="BR2058" s="2" t="s">
        <v>82</v>
      </c>
      <c r="BS2058" s="3">
        <v>40316</v>
      </c>
      <c r="BT2058" s="4">
        <v>0.54518518518518522</v>
      </c>
    </row>
    <row r="2059" spans="1:72" x14ac:dyDescent="0.25">
      <c r="A2059" s="2">
        <v>2985</v>
      </c>
      <c r="B2059" s="2">
        <v>2010</v>
      </c>
      <c r="C2059" s="2" t="s">
        <v>377</v>
      </c>
      <c r="D2059" s="2" t="s">
        <v>73</v>
      </c>
      <c r="E2059" s="2"/>
      <c r="F2059" s="2">
        <v>426</v>
      </c>
      <c r="G2059" s="2" t="s">
        <v>378</v>
      </c>
      <c r="H2059" s="2">
        <v>42</v>
      </c>
      <c r="I2059" s="2" t="s">
        <v>1096</v>
      </c>
      <c r="J2059" s="2">
        <v>311</v>
      </c>
      <c r="K2059" s="2" t="s">
        <v>379</v>
      </c>
      <c r="L2059" s="2" t="s">
        <v>380</v>
      </c>
      <c r="M2059" s="3">
        <v>40316</v>
      </c>
      <c r="N2059" s="2" t="s">
        <v>5164</v>
      </c>
      <c r="O2059" s="2" t="s">
        <v>107</v>
      </c>
      <c r="P2059" s="2" t="s">
        <v>107</v>
      </c>
      <c r="Q2059" s="2" t="str">
        <f>"083-C/10"</f>
        <v>083-C/10</v>
      </c>
      <c r="R2059" s="2" t="s">
        <v>7128</v>
      </c>
      <c r="S2059" s="2"/>
      <c r="T2059" s="2">
        <v>1</v>
      </c>
      <c r="U2059" s="2" t="s">
        <v>79</v>
      </c>
      <c r="V2059" s="2">
        <v>1</v>
      </c>
      <c r="W2059" s="2" t="s">
        <v>80</v>
      </c>
      <c r="X2059" s="2">
        <v>1</v>
      </c>
      <c r="Y2059" s="2" t="s">
        <v>81</v>
      </c>
      <c r="Z2059" s="2">
        <v>1</v>
      </c>
      <c r="AA2059" s="2" t="s">
        <v>82</v>
      </c>
      <c r="AB2059" s="2">
        <v>9</v>
      </c>
      <c r="AC2059" s="2" t="s">
        <v>124</v>
      </c>
      <c r="AD2059" s="3">
        <v>40316</v>
      </c>
      <c r="AE2059" s="4">
        <v>0.35416666666666669</v>
      </c>
      <c r="AF2059" s="2"/>
      <c r="AG2059" s="2"/>
      <c r="AH2059" s="2">
        <v>2</v>
      </c>
      <c r="AI2059" s="2" t="s">
        <v>84</v>
      </c>
      <c r="AJ2059" s="2">
        <v>9</v>
      </c>
      <c r="AK2059" s="2" t="s">
        <v>103</v>
      </c>
      <c r="AL2059" s="2">
        <v>29</v>
      </c>
      <c r="AM2059" s="2" t="s">
        <v>5416</v>
      </c>
      <c r="AN2059" s="2" t="s">
        <v>1345</v>
      </c>
      <c r="AO2059" s="2" t="s">
        <v>987</v>
      </c>
      <c r="AP2059" s="2">
        <v>11</v>
      </c>
      <c r="AQ2059" s="2" t="s">
        <v>82</v>
      </c>
      <c r="AR2059" s="2"/>
      <c r="AS2059" s="2"/>
      <c r="AT2059" s="2" t="s">
        <v>7129</v>
      </c>
      <c r="AU2059" s="2"/>
      <c r="AV2059" s="2"/>
      <c r="AW2059" s="2"/>
      <c r="AX2059" s="2"/>
      <c r="AY2059" s="2">
        <v>41</v>
      </c>
      <c r="AZ2059" s="2" t="s">
        <v>82</v>
      </c>
      <c r="BA2059" s="2">
        <v>41</v>
      </c>
      <c r="BB2059" s="2" t="s">
        <v>82</v>
      </c>
      <c r="BC2059" s="2">
        <v>41</v>
      </c>
      <c r="BD2059" s="2" t="s">
        <v>82</v>
      </c>
      <c r="BE2059" s="2">
        <v>41</v>
      </c>
      <c r="BF2059" s="2" t="s">
        <v>82</v>
      </c>
      <c r="BG2059" s="2"/>
      <c r="BH2059" s="2"/>
      <c r="BI2059" s="2"/>
      <c r="BJ2059" s="2">
        <v>241</v>
      </c>
      <c r="BK2059" s="2" t="s">
        <v>82</v>
      </c>
      <c r="BL2059" s="2"/>
      <c r="BM2059" s="2">
        <v>241</v>
      </c>
      <c r="BN2059" s="2" t="s">
        <v>82</v>
      </c>
      <c r="BO2059" s="2"/>
      <c r="BP2059" s="2">
        <v>241</v>
      </c>
      <c r="BQ2059" s="2" t="s">
        <v>82</v>
      </c>
      <c r="BR2059" s="2"/>
      <c r="BS2059" s="3">
        <v>40316</v>
      </c>
      <c r="BT2059" s="4">
        <v>0.55660879629629634</v>
      </c>
    </row>
    <row r="2060" spans="1:72" x14ac:dyDescent="0.25">
      <c r="A2060" s="2">
        <v>2992</v>
      </c>
      <c r="B2060" s="2">
        <v>2010</v>
      </c>
      <c r="C2060" s="2" t="s">
        <v>72</v>
      </c>
      <c r="D2060" s="2" t="s">
        <v>73</v>
      </c>
      <c r="E2060" s="2"/>
      <c r="F2060" s="2">
        <v>10</v>
      </c>
      <c r="G2060" s="2" t="s">
        <v>2143</v>
      </c>
      <c r="H2060" s="2">
        <v>30</v>
      </c>
      <c r="I2060" s="2" t="s">
        <v>912</v>
      </c>
      <c r="J2060" s="2">
        <v>19</v>
      </c>
      <c r="K2060" s="2" t="s">
        <v>2144</v>
      </c>
      <c r="L2060" s="2" t="s">
        <v>2145</v>
      </c>
      <c r="M2060" s="3">
        <v>40316</v>
      </c>
      <c r="N2060" s="2" t="s">
        <v>7130</v>
      </c>
      <c r="O2060" s="2" t="s">
        <v>107</v>
      </c>
      <c r="P2060" s="2"/>
      <c r="Q2060" s="2" t="str">
        <f>"23 /2010"</f>
        <v>23 /2010</v>
      </c>
      <c r="R2060" s="2" t="s">
        <v>107</v>
      </c>
      <c r="S2060" s="2" t="s">
        <v>6961</v>
      </c>
      <c r="T2060" s="2">
        <v>1</v>
      </c>
      <c r="U2060" s="2" t="s">
        <v>79</v>
      </c>
      <c r="V2060" s="2">
        <v>1</v>
      </c>
      <c r="W2060" s="2" t="s">
        <v>80</v>
      </c>
      <c r="X2060" s="2">
        <v>12</v>
      </c>
      <c r="Y2060" s="2" t="s">
        <v>148</v>
      </c>
      <c r="Z2060" s="2">
        <v>1</v>
      </c>
      <c r="AA2060" s="2" t="s">
        <v>82</v>
      </c>
      <c r="AB2060" s="2">
        <v>6</v>
      </c>
      <c r="AC2060" s="2" t="s">
        <v>83</v>
      </c>
      <c r="AD2060" s="3">
        <v>40316</v>
      </c>
      <c r="AE2060" s="2"/>
      <c r="AF2060" s="3">
        <v>40316</v>
      </c>
      <c r="AG2060" s="4">
        <v>0.52430555555555558</v>
      </c>
      <c r="AH2060" s="2">
        <v>3</v>
      </c>
      <c r="AI2060" s="2" t="s">
        <v>214</v>
      </c>
      <c r="AJ2060" s="2">
        <v>24</v>
      </c>
      <c r="AK2060" s="2" t="s">
        <v>215</v>
      </c>
      <c r="AL2060" s="2">
        <v>22</v>
      </c>
      <c r="AM2060" s="2" t="s">
        <v>1853</v>
      </c>
      <c r="AN2060" s="2" t="s">
        <v>7131</v>
      </c>
      <c r="AO2060" s="2"/>
      <c r="AP2060" s="2">
        <v>11</v>
      </c>
      <c r="AQ2060" s="2" t="s">
        <v>82</v>
      </c>
      <c r="AR2060" s="2" t="s">
        <v>369</v>
      </c>
      <c r="AS2060" s="2" t="s">
        <v>369</v>
      </c>
      <c r="AT2060" s="2" t="s">
        <v>7132</v>
      </c>
      <c r="AU2060" s="2"/>
      <c r="AV2060" s="2"/>
      <c r="AW2060" s="2"/>
      <c r="AX2060" s="2"/>
      <c r="AY2060" s="2">
        <v>54</v>
      </c>
      <c r="AZ2060" s="2" t="s">
        <v>369</v>
      </c>
      <c r="BA2060" s="2">
        <v>54</v>
      </c>
      <c r="BB2060" s="2" t="s">
        <v>369</v>
      </c>
      <c r="BC2060" s="2">
        <v>41</v>
      </c>
      <c r="BD2060" s="2" t="s">
        <v>82</v>
      </c>
      <c r="BE2060" s="2">
        <v>4</v>
      </c>
      <c r="BF2060" s="2" t="s">
        <v>90</v>
      </c>
      <c r="BG2060" s="2">
        <v>4200</v>
      </c>
      <c r="BH2060" s="4">
        <v>0.34027777777777773</v>
      </c>
      <c r="BI2060" s="4">
        <v>0.2951388888888889</v>
      </c>
      <c r="BJ2060" s="2">
        <v>13</v>
      </c>
      <c r="BK2060" s="2" t="s">
        <v>91</v>
      </c>
      <c r="BL2060" s="2" t="s">
        <v>170</v>
      </c>
      <c r="BM2060" s="2">
        <v>241</v>
      </c>
      <c r="BN2060" s="2" t="s">
        <v>82</v>
      </c>
      <c r="BO2060" s="2"/>
      <c r="BP2060" s="2">
        <v>13</v>
      </c>
      <c r="BQ2060" s="2" t="s">
        <v>91</v>
      </c>
      <c r="BR2060" s="2" t="s">
        <v>169</v>
      </c>
      <c r="BS2060" s="3">
        <v>40316</v>
      </c>
      <c r="BT2060" s="4">
        <v>0.62825231481481481</v>
      </c>
    </row>
    <row r="2061" spans="1:72" x14ac:dyDescent="0.25">
      <c r="A2061" s="2">
        <v>2993</v>
      </c>
      <c r="B2061" s="2">
        <v>2010</v>
      </c>
      <c r="C2061" s="2" t="s">
        <v>171</v>
      </c>
      <c r="D2061" s="2" t="s">
        <v>122</v>
      </c>
      <c r="E2061" s="2" t="s">
        <v>7133</v>
      </c>
      <c r="F2061" s="2">
        <v>385</v>
      </c>
      <c r="G2061" s="2" t="s">
        <v>990</v>
      </c>
      <c r="H2061" s="2">
        <v>2</v>
      </c>
      <c r="I2061" s="2" t="s">
        <v>267</v>
      </c>
      <c r="J2061" s="2">
        <v>332</v>
      </c>
      <c r="K2061" s="2" t="s">
        <v>913</v>
      </c>
      <c r="L2061" s="2" t="s">
        <v>914</v>
      </c>
      <c r="M2061" s="3">
        <v>40316</v>
      </c>
      <c r="N2061" s="2" t="s">
        <v>6922</v>
      </c>
      <c r="O2061" s="2" t="s">
        <v>6923</v>
      </c>
      <c r="P2061" s="2" t="s">
        <v>6924</v>
      </c>
      <c r="Q2061" s="2" t="str">
        <f>"S/D"</f>
        <v>S/D</v>
      </c>
      <c r="R2061" s="2" t="s">
        <v>107</v>
      </c>
      <c r="S2061" s="2" t="s">
        <v>107</v>
      </c>
      <c r="T2061" s="2">
        <v>1</v>
      </c>
      <c r="U2061" s="2" t="s">
        <v>79</v>
      </c>
      <c r="V2061" s="2">
        <v>1</v>
      </c>
      <c r="W2061" s="2" t="s">
        <v>80</v>
      </c>
      <c r="X2061" s="2">
        <v>4</v>
      </c>
      <c r="Y2061" s="2" t="s">
        <v>463</v>
      </c>
      <c r="Z2061" s="2">
        <v>5</v>
      </c>
      <c r="AA2061" s="2" t="s">
        <v>1124</v>
      </c>
      <c r="AB2061" s="2">
        <v>1</v>
      </c>
      <c r="AC2061" s="2" t="s">
        <v>178</v>
      </c>
      <c r="AD2061" s="3">
        <v>40316</v>
      </c>
      <c r="AE2061" s="4">
        <v>0.625</v>
      </c>
      <c r="AF2061" s="2"/>
      <c r="AG2061" s="2"/>
      <c r="AH2061" s="2">
        <v>5</v>
      </c>
      <c r="AI2061" s="2" t="s">
        <v>274</v>
      </c>
      <c r="AJ2061" s="2">
        <v>42</v>
      </c>
      <c r="AK2061" s="2" t="s">
        <v>660</v>
      </c>
      <c r="AL2061" s="2">
        <v>11</v>
      </c>
      <c r="AM2061" s="2" t="s">
        <v>137</v>
      </c>
      <c r="AN2061" s="2" t="s">
        <v>82</v>
      </c>
      <c r="AO2061" s="2" t="s">
        <v>82</v>
      </c>
      <c r="AP2061" s="2">
        <v>11</v>
      </c>
      <c r="AQ2061" s="2" t="s">
        <v>82</v>
      </c>
      <c r="AR2061" s="2" t="s">
        <v>82</v>
      </c>
      <c r="AS2061" s="2" t="s">
        <v>82</v>
      </c>
      <c r="AT2061" s="2" t="s">
        <v>7134</v>
      </c>
      <c r="AU2061" s="2"/>
      <c r="AV2061" s="2"/>
      <c r="AW2061" s="2"/>
      <c r="AX2061" s="2"/>
      <c r="AY2061" s="2">
        <v>41</v>
      </c>
      <c r="AZ2061" s="2" t="s">
        <v>82</v>
      </c>
      <c r="BA2061" s="2">
        <v>41</v>
      </c>
      <c r="BB2061" s="2" t="s">
        <v>82</v>
      </c>
      <c r="BC2061" s="2">
        <v>41</v>
      </c>
      <c r="BD2061" s="2" t="s">
        <v>82</v>
      </c>
      <c r="BE2061" s="2">
        <v>41</v>
      </c>
      <c r="BF2061" s="2" t="s">
        <v>82</v>
      </c>
      <c r="BG2061" s="2" t="s">
        <v>82</v>
      </c>
      <c r="BH2061" s="2"/>
      <c r="BI2061" s="2"/>
      <c r="BJ2061" s="2">
        <v>241</v>
      </c>
      <c r="BK2061" s="2" t="s">
        <v>82</v>
      </c>
      <c r="BL2061" s="2" t="s">
        <v>82</v>
      </c>
      <c r="BM2061" s="2">
        <v>241</v>
      </c>
      <c r="BN2061" s="2" t="s">
        <v>82</v>
      </c>
      <c r="BO2061" s="2" t="s">
        <v>82</v>
      </c>
      <c r="BP2061" s="2">
        <v>241</v>
      </c>
      <c r="BQ2061" s="2" t="s">
        <v>82</v>
      </c>
      <c r="BR2061" s="2" t="s">
        <v>82</v>
      </c>
      <c r="BS2061" s="3">
        <v>40316</v>
      </c>
      <c r="BT2061" s="4">
        <v>0.6546643518518519</v>
      </c>
    </row>
    <row r="2062" spans="1:72" x14ac:dyDescent="0.25">
      <c r="A2062" s="2">
        <v>2995</v>
      </c>
      <c r="B2062" s="2">
        <v>2010</v>
      </c>
      <c r="C2062" s="2" t="s">
        <v>171</v>
      </c>
      <c r="D2062" s="2" t="s">
        <v>73</v>
      </c>
      <c r="E2062" s="2" t="s">
        <v>7135</v>
      </c>
      <c r="F2062" s="2">
        <v>451</v>
      </c>
      <c r="G2062" s="2" t="s">
        <v>879</v>
      </c>
      <c r="H2062" s="2">
        <v>31</v>
      </c>
      <c r="I2062" s="2" t="s">
        <v>880</v>
      </c>
      <c r="J2062" s="2">
        <v>326</v>
      </c>
      <c r="K2062" s="2" t="s">
        <v>881</v>
      </c>
      <c r="L2062" s="2" t="s">
        <v>882</v>
      </c>
      <c r="M2062" s="3">
        <v>40316</v>
      </c>
      <c r="N2062" s="2" t="s">
        <v>1072</v>
      </c>
      <c r="O2062" s="2" t="s">
        <v>4551</v>
      </c>
      <c r="P2062" s="2" t="s">
        <v>4759</v>
      </c>
      <c r="Q2062" s="2" t="str">
        <f>"035/10"</f>
        <v>035/10</v>
      </c>
      <c r="R2062" s="2" t="s">
        <v>822</v>
      </c>
      <c r="S2062" s="2"/>
      <c r="T2062" s="2">
        <v>1</v>
      </c>
      <c r="U2062" s="2" t="s">
        <v>79</v>
      </c>
      <c r="V2062" s="2">
        <v>1</v>
      </c>
      <c r="W2062" s="2" t="s">
        <v>80</v>
      </c>
      <c r="X2062" s="2">
        <v>1</v>
      </c>
      <c r="Y2062" s="2" t="s">
        <v>81</v>
      </c>
      <c r="Z2062" s="2">
        <v>1</v>
      </c>
      <c r="AA2062" s="2" t="s">
        <v>82</v>
      </c>
      <c r="AB2062" s="2">
        <v>1</v>
      </c>
      <c r="AC2062" s="2" t="s">
        <v>178</v>
      </c>
      <c r="AD2062" s="3">
        <v>40316</v>
      </c>
      <c r="AE2062" s="4">
        <v>0.66666666666666663</v>
      </c>
      <c r="AF2062" s="2"/>
      <c r="AG2062" s="2"/>
      <c r="AH2062" s="2">
        <v>4</v>
      </c>
      <c r="AI2062" s="2" t="s">
        <v>125</v>
      </c>
      <c r="AJ2062" s="2">
        <v>29</v>
      </c>
      <c r="AK2062" s="2" t="s">
        <v>227</v>
      </c>
      <c r="AL2062" s="2">
        <v>16</v>
      </c>
      <c r="AM2062" s="2" t="s">
        <v>392</v>
      </c>
      <c r="AN2062" s="2" t="s">
        <v>6877</v>
      </c>
      <c r="AO2062" s="2"/>
      <c r="AP2062" s="2">
        <v>12</v>
      </c>
      <c r="AQ2062" s="2" t="s">
        <v>322</v>
      </c>
      <c r="AR2062" s="2" t="s">
        <v>824</v>
      </c>
      <c r="AS2062" s="2" t="s">
        <v>884</v>
      </c>
      <c r="AT2062" s="2" t="s">
        <v>7136</v>
      </c>
      <c r="AU2062" s="2"/>
      <c r="AV2062" s="2"/>
      <c r="AW2062" s="2"/>
      <c r="AX2062" s="2"/>
      <c r="AY2062" s="2">
        <v>41</v>
      </c>
      <c r="AZ2062" s="2" t="s">
        <v>82</v>
      </c>
      <c r="BA2062" s="2">
        <v>41</v>
      </c>
      <c r="BB2062" s="2" t="s">
        <v>82</v>
      </c>
      <c r="BC2062" s="2">
        <v>51</v>
      </c>
      <c r="BD2062" s="2" t="s">
        <v>827</v>
      </c>
      <c r="BE2062" s="2">
        <v>13</v>
      </c>
      <c r="BF2062" s="2" t="s">
        <v>108</v>
      </c>
      <c r="BG2062" s="2">
        <v>1459</v>
      </c>
      <c r="BH2062" s="4">
        <v>0.88541666666666663</v>
      </c>
      <c r="BI2062" s="4">
        <v>0.91319444444444453</v>
      </c>
      <c r="BJ2062" s="2">
        <v>13</v>
      </c>
      <c r="BK2062" s="2" t="s">
        <v>91</v>
      </c>
      <c r="BL2062" s="2" t="s">
        <v>828</v>
      </c>
      <c r="BM2062" s="2">
        <v>241</v>
      </c>
      <c r="BN2062" s="2" t="s">
        <v>82</v>
      </c>
      <c r="BO2062" s="2" t="s">
        <v>82</v>
      </c>
      <c r="BP2062" s="2">
        <v>13</v>
      </c>
      <c r="BQ2062" s="2" t="s">
        <v>91</v>
      </c>
      <c r="BR2062" s="2" t="s">
        <v>1108</v>
      </c>
      <c r="BS2062" s="3">
        <v>40316</v>
      </c>
      <c r="BT2062" s="4">
        <v>0.69149305555555562</v>
      </c>
    </row>
    <row r="2063" spans="1:72" x14ac:dyDescent="0.25">
      <c r="A2063" s="2">
        <v>2996</v>
      </c>
      <c r="B2063" s="2">
        <v>2010</v>
      </c>
      <c r="C2063" s="2" t="s">
        <v>764</v>
      </c>
      <c r="D2063" s="2" t="s">
        <v>73</v>
      </c>
      <c r="E2063" s="2" t="s">
        <v>6957</v>
      </c>
      <c r="F2063" s="2">
        <v>425</v>
      </c>
      <c r="G2063" s="2" t="s">
        <v>286</v>
      </c>
      <c r="H2063" s="2">
        <v>39</v>
      </c>
      <c r="I2063" s="2" t="s">
        <v>1117</v>
      </c>
      <c r="J2063" s="2">
        <v>310</v>
      </c>
      <c r="K2063" s="2" t="s">
        <v>288</v>
      </c>
      <c r="L2063" s="2" t="s">
        <v>289</v>
      </c>
      <c r="M2063" s="3">
        <v>40316</v>
      </c>
      <c r="N2063" s="2" t="s">
        <v>2049</v>
      </c>
      <c r="O2063" s="2" t="s">
        <v>1918</v>
      </c>
      <c r="P2063" s="2" t="s">
        <v>1919</v>
      </c>
      <c r="Q2063" s="2" t="str">
        <f>"04/09"</f>
        <v>04/09</v>
      </c>
      <c r="R2063" s="2" t="s">
        <v>480</v>
      </c>
      <c r="S2063" s="2" t="s">
        <v>480</v>
      </c>
      <c r="T2063" s="2">
        <v>1</v>
      </c>
      <c r="U2063" s="2" t="s">
        <v>79</v>
      </c>
      <c r="V2063" s="2">
        <v>3</v>
      </c>
      <c r="W2063" s="2" t="s">
        <v>225</v>
      </c>
      <c r="X2063" s="2">
        <v>6</v>
      </c>
      <c r="Y2063" s="2" t="s">
        <v>249</v>
      </c>
      <c r="Z2063" s="2">
        <v>1</v>
      </c>
      <c r="AA2063" s="2" t="s">
        <v>82</v>
      </c>
      <c r="AB2063" s="2">
        <v>9</v>
      </c>
      <c r="AC2063" s="2" t="s">
        <v>124</v>
      </c>
      <c r="AD2063" s="2"/>
      <c r="AE2063" s="2"/>
      <c r="AF2063" s="2"/>
      <c r="AG2063" s="2"/>
      <c r="AH2063" s="2">
        <v>4</v>
      </c>
      <c r="AI2063" s="2" t="s">
        <v>125</v>
      </c>
      <c r="AJ2063" s="2">
        <v>26</v>
      </c>
      <c r="AK2063" s="2" t="s">
        <v>293</v>
      </c>
      <c r="AL2063" s="2">
        <v>23</v>
      </c>
      <c r="AM2063" s="2" t="s">
        <v>251</v>
      </c>
      <c r="AN2063" s="2"/>
      <c r="AO2063" s="2" t="s">
        <v>7137</v>
      </c>
      <c r="AP2063" s="2">
        <v>11</v>
      </c>
      <c r="AQ2063" s="2" t="s">
        <v>82</v>
      </c>
      <c r="AR2063" s="2"/>
      <c r="AS2063" s="2"/>
      <c r="AT2063" s="2" t="s">
        <v>7138</v>
      </c>
      <c r="AU2063" s="2"/>
      <c r="AV2063" s="2"/>
      <c r="AW2063" s="2"/>
      <c r="AX2063" s="2"/>
      <c r="AY2063" s="2">
        <v>1</v>
      </c>
      <c r="AZ2063" s="2" t="s">
        <v>107</v>
      </c>
      <c r="BA2063" s="2">
        <v>1</v>
      </c>
      <c r="BB2063" s="2" t="s">
        <v>107</v>
      </c>
      <c r="BC2063" s="2">
        <v>1</v>
      </c>
      <c r="BD2063" s="2" t="s">
        <v>107</v>
      </c>
      <c r="BE2063" s="2">
        <v>1</v>
      </c>
      <c r="BF2063" s="2" t="s">
        <v>107</v>
      </c>
      <c r="BG2063" s="2"/>
      <c r="BH2063" s="2"/>
      <c r="BI2063" s="2"/>
      <c r="BJ2063" s="2">
        <v>242</v>
      </c>
      <c r="BK2063" s="2" t="s">
        <v>107</v>
      </c>
      <c r="BL2063" s="2"/>
      <c r="BM2063" s="2">
        <v>242</v>
      </c>
      <c r="BN2063" s="2" t="s">
        <v>107</v>
      </c>
      <c r="BO2063" s="2"/>
      <c r="BP2063" s="2">
        <v>242</v>
      </c>
      <c r="BQ2063" s="2" t="s">
        <v>107</v>
      </c>
      <c r="BR2063" s="2"/>
      <c r="BS2063" s="3">
        <v>40316</v>
      </c>
      <c r="BT2063" s="4">
        <v>0.77496527777777768</v>
      </c>
    </row>
    <row r="2064" spans="1:72" x14ac:dyDescent="0.25">
      <c r="A2064" s="2">
        <v>2997</v>
      </c>
      <c r="B2064" s="2">
        <v>2010</v>
      </c>
      <c r="C2064" s="2" t="s">
        <v>121</v>
      </c>
      <c r="D2064" s="2" t="s">
        <v>122</v>
      </c>
      <c r="E2064" s="2"/>
      <c r="F2064" s="2">
        <v>1</v>
      </c>
      <c r="G2064" s="2" t="s">
        <v>82</v>
      </c>
      <c r="H2064" s="2">
        <v>1</v>
      </c>
      <c r="I2064" s="2" t="s">
        <v>82</v>
      </c>
      <c r="J2064" s="2">
        <v>1</v>
      </c>
      <c r="K2064" s="2" t="s">
        <v>107</v>
      </c>
      <c r="L2064" s="2" t="s">
        <v>107</v>
      </c>
      <c r="M2064" s="3">
        <v>40316</v>
      </c>
      <c r="N2064" s="2"/>
      <c r="O2064" s="2"/>
      <c r="P2064" s="2"/>
      <c r="Q2064" s="2" t="str">
        <f>"N/C"</f>
        <v>N/C</v>
      </c>
      <c r="R2064" s="2"/>
      <c r="S2064" s="2" t="s">
        <v>82</v>
      </c>
      <c r="T2064" s="2">
        <v>2</v>
      </c>
      <c r="U2064" s="2" t="s">
        <v>123</v>
      </c>
      <c r="V2064" s="2">
        <v>1</v>
      </c>
      <c r="W2064" s="2" t="s">
        <v>80</v>
      </c>
      <c r="X2064" s="2">
        <v>11</v>
      </c>
      <c r="Y2064" s="2" t="s">
        <v>1920</v>
      </c>
      <c r="Z2064" s="2">
        <v>10</v>
      </c>
      <c r="AA2064" s="2" t="s">
        <v>236</v>
      </c>
      <c r="AB2064" s="2">
        <v>9</v>
      </c>
      <c r="AC2064" s="2" t="s">
        <v>124</v>
      </c>
      <c r="AD2064" s="3">
        <v>40316</v>
      </c>
      <c r="AE2064" s="4">
        <v>0.65625</v>
      </c>
      <c r="AF2064" s="2"/>
      <c r="AG2064" s="2"/>
      <c r="AH2064" s="2">
        <v>2</v>
      </c>
      <c r="AI2064" s="2" t="s">
        <v>84</v>
      </c>
      <c r="AJ2064" s="2">
        <v>9</v>
      </c>
      <c r="AK2064" s="2" t="s">
        <v>103</v>
      </c>
      <c r="AL2064" s="2">
        <v>10</v>
      </c>
      <c r="AM2064" s="2" t="s">
        <v>200</v>
      </c>
      <c r="AN2064" s="2"/>
      <c r="AO2064" s="2" t="s">
        <v>7139</v>
      </c>
      <c r="AP2064" s="2">
        <v>11</v>
      </c>
      <c r="AQ2064" s="2" t="s">
        <v>82</v>
      </c>
      <c r="AR2064" s="2"/>
      <c r="AS2064" s="2"/>
      <c r="AT2064" s="2" t="s">
        <v>7140</v>
      </c>
      <c r="AU2064" s="2"/>
      <c r="AV2064" s="2"/>
      <c r="AW2064" s="2"/>
      <c r="AX2064" s="2"/>
      <c r="AY2064" s="2">
        <v>41</v>
      </c>
      <c r="AZ2064" s="2" t="s">
        <v>82</v>
      </c>
      <c r="BA2064" s="2">
        <v>41</v>
      </c>
      <c r="BB2064" s="2" t="s">
        <v>82</v>
      </c>
      <c r="BC2064" s="2">
        <v>41</v>
      </c>
      <c r="BD2064" s="2" t="s">
        <v>82</v>
      </c>
      <c r="BE2064" s="2">
        <v>1</v>
      </c>
      <c r="BF2064" s="2" t="s">
        <v>107</v>
      </c>
      <c r="BG2064" s="2"/>
      <c r="BH2064" s="2"/>
      <c r="BI2064" s="2"/>
      <c r="BJ2064" s="2">
        <v>13</v>
      </c>
      <c r="BK2064" s="2" t="s">
        <v>91</v>
      </c>
      <c r="BL2064" s="2"/>
      <c r="BM2064" s="2">
        <v>241</v>
      </c>
      <c r="BN2064" s="2" t="s">
        <v>82</v>
      </c>
      <c r="BO2064" s="2"/>
      <c r="BP2064" s="2">
        <v>69</v>
      </c>
      <c r="BQ2064" s="2" t="s">
        <v>7141</v>
      </c>
      <c r="BR2064" s="2"/>
      <c r="BS2064" s="3">
        <v>40316</v>
      </c>
      <c r="BT2064" s="4">
        <v>0.79204861111111102</v>
      </c>
    </row>
    <row r="2065" spans="1:72" x14ac:dyDescent="0.25">
      <c r="A2065" s="2">
        <v>3001</v>
      </c>
      <c r="B2065" s="2">
        <v>2010</v>
      </c>
      <c r="C2065" s="2" t="s">
        <v>171</v>
      </c>
      <c r="D2065" s="2" t="s">
        <v>73</v>
      </c>
      <c r="E2065" s="2" t="s">
        <v>6346</v>
      </c>
      <c r="F2065" s="2">
        <v>425</v>
      </c>
      <c r="G2065" s="2" t="s">
        <v>286</v>
      </c>
      <c r="H2065" s="2">
        <v>39</v>
      </c>
      <c r="I2065" s="2" t="s">
        <v>1117</v>
      </c>
      <c r="J2065" s="2">
        <v>310</v>
      </c>
      <c r="K2065" s="2" t="s">
        <v>288</v>
      </c>
      <c r="L2065" s="2" t="s">
        <v>289</v>
      </c>
      <c r="M2065" s="3">
        <v>40316</v>
      </c>
      <c r="N2065" s="2" t="s">
        <v>2049</v>
      </c>
      <c r="O2065" s="2" t="s">
        <v>2490</v>
      </c>
      <c r="P2065" s="2" t="s">
        <v>6032</v>
      </c>
      <c r="Q2065" s="2" t="str">
        <f>"045/10"</f>
        <v>045/10</v>
      </c>
      <c r="R2065" s="2" t="s">
        <v>822</v>
      </c>
      <c r="S2065" s="2"/>
      <c r="T2065" s="2">
        <v>1</v>
      </c>
      <c r="U2065" s="2" t="s">
        <v>79</v>
      </c>
      <c r="V2065" s="2">
        <v>1</v>
      </c>
      <c r="W2065" s="2" t="s">
        <v>80</v>
      </c>
      <c r="X2065" s="2">
        <v>1</v>
      </c>
      <c r="Y2065" s="2" t="s">
        <v>81</v>
      </c>
      <c r="Z2065" s="2">
        <v>1</v>
      </c>
      <c r="AA2065" s="2" t="s">
        <v>82</v>
      </c>
      <c r="AB2065" s="2">
        <v>1</v>
      </c>
      <c r="AC2065" s="2" t="s">
        <v>178</v>
      </c>
      <c r="AD2065" s="3">
        <v>40316</v>
      </c>
      <c r="AE2065" s="4">
        <v>0.77083333333333337</v>
      </c>
      <c r="AF2065" s="2"/>
      <c r="AG2065" s="2"/>
      <c r="AH2065" s="2">
        <v>4</v>
      </c>
      <c r="AI2065" s="2" t="s">
        <v>125</v>
      </c>
      <c r="AJ2065" s="2">
        <v>29</v>
      </c>
      <c r="AK2065" s="2" t="s">
        <v>227</v>
      </c>
      <c r="AL2065" s="2">
        <v>16</v>
      </c>
      <c r="AM2065" s="2" t="s">
        <v>392</v>
      </c>
      <c r="AN2065" s="2" t="s">
        <v>6877</v>
      </c>
      <c r="AO2065" s="2"/>
      <c r="AP2065" s="2">
        <v>12</v>
      </c>
      <c r="AQ2065" s="2" t="s">
        <v>322</v>
      </c>
      <c r="AR2065" s="2" t="s">
        <v>824</v>
      </c>
      <c r="AS2065" s="2" t="s">
        <v>825</v>
      </c>
      <c r="AT2065" s="2" t="s">
        <v>7142</v>
      </c>
      <c r="AU2065" s="2"/>
      <c r="AV2065" s="2"/>
      <c r="AW2065" s="2"/>
      <c r="AX2065" s="2"/>
      <c r="AY2065" s="2">
        <v>41</v>
      </c>
      <c r="AZ2065" s="2" t="s">
        <v>82</v>
      </c>
      <c r="BA2065" s="2">
        <v>41</v>
      </c>
      <c r="BB2065" s="2" t="s">
        <v>82</v>
      </c>
      <c r="BC2065" s="2">
        <v>51</v>
      </c>
      <c r="BD2065" s="2" t="s">
        <v>827</v>
      </c>
      <c r="BE2065" s="2">
        <v>47</v>
      </c>
      <c r="BF2065" s="2" t="s">
        <v>167</v>
      </c>
      <c r="BG2065" s="2">
        <v>2459</v>
      </c>
      <c r="BH2065" s="4">
        <v>0.90277777777777779</v>
      </c>
      <c r="BI2065" s="4">
        <v>0.92361111111111116</v>
      </c>
      <c r="BJ2065" s="2">
        <v>13</v>
      </c>
      <c r="BK2065" s="2" t="s">
        <v>91</v>
      </c>
      <c r="BL2065" s="2" t="s">
        <v>828</v>
      </c>
      <c r="BM2065" s="2">
        <v>241</v>
      </c>
      <c r="BN2065" s="2" t="s">
        <v>82</v>
      </c>
      <c r="BO2065" s="2" t="s">
        <v>82</v>
      </c>
      <c r="BP2065" s="2">
        <v>13</v>
      </c>
      <c r="BQ2065" s="2" t="s">
        <v>91</v>
      </c>
      <c r="BR2065" s="2" t="s">
        <v>1108</v>
      </c>
      <c r="BS2065" s="3">
        <v>40316</v>
      </c>
      <c r="BT2065" s="4">
        <v>0.81207175925925934</v>
      </c>
    </row>
    <row r="2066" spans="1:72" x14ac:dyDescent="0.25">
      <c r="A2066" s="2">
        <v>3003</v>
      </c>
      <c r="B2066" s="2">
        <v>2010</v>
      </c>
      <c r="C2066" s="2" t="s">
        <v>171</v>
      </c>
      <c r="D2066" s="2" t="s">
        <v>73</v>
      </c>
      <c r="E2066" s="2"/>
      <c r="F2066" s="2">
        <v>151</v>
      </c>
      <c r="G2066" s="2" t="s">
        <v>314</v>
      </c>
      <c r="H2066" s="2">
        <v>2</v>
      </c>
      <c r="I2066" s="2" t="s">
        <v>267</v>
      </c>
      <c r="J2066" s="2">
        <v>163</v>
      </c>
      <c r="K2066" s="2" t="s">
        <v>316</v>
      </c>
      <c r="L2066" s="2" t="s">
        <v>317</v>
      </c>
      <c r="M2066" s="3">
        <v>40317</v>
      </c>
      <c r="N2066" s="2" t="s">
        <v>7143</v>
      </c>
      <c r="O2066" s="2" t="s">
        <v>107</v>
      </c>
      <c r="P2066" s="2" t="s">
        <v>107</v>
      </c>
      <c r="Q2066" s="2" t="str">
        <f>"180-A/10"</f>
        <v>180-A/10</v>
      </c>
      <c r="R2066" s="2" t="s">
        <v>107</v>
      </c>
      <c r="S2066" s="2" t="s">
        <v>489</v>
      </c>
      <c r="T2066" s="2">
        <v>1</v>
      </c>
      <c r="U2066" s="2" t="s">
        <v>79</v>
      </c>
      <c r="V2066" s="2">
        <v>1</v>
      </c>
      <c r="W2066" s="2" t="s">
        <v>80</v>
      </c>
      <c r="X2066" s="2">
        <v>1</v>
      </c>
      <c r="Y2066" s="2" t="s">
        <v>81</v>
      </c>
      <c r="Z2066" s="2">
        <v>1</v>
      </c>
      <c r="AA2066" s="2" t="s">
        <v>82</v>
      </c>
      <c r="AB2066" s="2">
        <v>1</v>
      </c>
      <c r="AC2066" s="2" t="s">
        <v>178</v>
      </c>
      <c r="AD2066" s="3">
        <v>40316</v>
      </c>
      <c r="AE2066" s="4">
        <v>0.90972222222222221</v>
      </c>
      <c r="AF2066" s="2"/>
      <c r="AG2066" s="2"/>
      <c r="AH2066" s="2">
        <v>2</v>
      </c>
      <c r="AI2066" s="2" t="s">
        <v>84</v>
      </c>
      <c r="AJ2066" s="2">
        <v>12</v>
      </c>
      <c r="AK2066" s="2" t="s">
        <v>85</v>
      </c>
      <c r="AL2066" s="2">
        <v>25</v>
      </c>
      <c r="AM2066" s="2" t="s">
        <v>3073</v>
      </c>
      <c r="AN2066" s="2" t="s">
        <v>923</v>
      </c>
      <c r="AO2066" s="2" t="s">
        <v>7144</v>
      </c>
      <c r="AP2066" s="2">
        <v>11</v>
      </c>
      <c r="AQ2066" s="2" t="s">
        <v>82</v>
      </c>
      <c r="AR2066" s="2"/>
      <c r="AS2066" s="2"/>
      <c r="AT2066" s="2" t="s">
        <v>7145</v>
      </c>
      <c r="AU2066" s="2">
        <v>1</v>
      </c>
      <c r="AV2066" s="2"/>
      <c r="AW2066" s="2"/>
      <c r="AX2066" s="2"/>
      <c r="AY2066" s="2">
        <v>41</v>
      </c>
      <c r="AZ2066" s="2" t="s">
        <v>82</v>
      </c>
      <c r="BA2066" s="2">
        <v>41</v>
      </c>
      <c r="BB2066" s="2" t="s">
        <v>82</v>
      </c>
      <c r="BC2066" s="2">
        <v>41</v>
      </c>
      <c r="BD2066" s="2" t="s">
        <v>82</v>
      </c>
      <c r="BE2066" s="2">
        <v>41</v>
      </c>
      <c r="BF2066" s="2" t="s">
        <v>82</v>
      </c>
      <c r="BG2066" s="2"/>
      <c r="BH2066" s="2"/>
      <c r="BI2066" s="2"/>
      <c r="BJ2066" s="2">
        <v>241</v>
      </c>
      <c r="BK2066" s="2" t="s">
        <v>82</v>
      </c>
      <c r="BL2066" s="2"/>
      <c r="BM2066" s="2">
        <v>241</v>
      </c>
      <c r="BN2066" s="2" t="s">
        <v>82</v>
      </c>
      <c r="BO2066" s="2"/>
      <c r="BP2066" s="2">
        <v>241</v>
      </c>
      <c r="BQ2066" s="2" t="s">
        <v>82</v>
      </c>
      <c r="BR2066" s="2"/>
      <c r="BS2066" s="3">
        <v>40317</v>
      </c>
      <c r="BT2066" s="4">
        <v>0.13671296296296295</v>
      </c>
    </row>
    <row r="2067" spans="1:72" x14ac:dyDescent="0.25">
      <c r="A2067" s="2">
        <v>3004</v>
      </c>
      <c r="B2067" s="2">
        <v>2010</v>
      </c>
      <c r="C2067" s="2" t="s">
        <v>819</v>
      </c>
      <c r="D2067" s="2" t="s">
        <v>122</v>
      </c>
      <c r="E2067" s="2"/>
      <c r="F2067" s="2">
        <v>451</v>
      </c>
      <c r="G2067" s="2" t="s">
        <v>879</v>
      </c>
      <c r="H2067" s="2">
        <v>31</v>
      </c>
      <c r="I2067" s="2" t="s">
        <v>880</v>
      </c>
      <c r="J2067" s="2">
        <v>326</v>
      </c>
      <c r="K2067" s="2" t="s">
        <v>881</v>
      </c>
      <c r="L2067" s="2" t="s">
        <v>882</v>
      </c>
      <c r="M2067" s="3">
        <v>40317</v>
      </c>
      <c r="N2067" s="2" t="s">
        <v>1072</v>
      </c>
      <c r="O2067" s="2"/>
      <c r="P2067" s="2"/>
      <c r="Q2067" s="2" t="str">
        <f>"058/10"</f>
        <v>058/10</v>
      </c>
      <c r="R2067" s="2"/>
      <c r="S2067" s="2"/>
      <c r="T2067" s="2">
        <v>1</v>
      </c>
      <c r="U2067" s="2" t="s">
        <v>79</v>
      </c>
      <c r="V2067" s="2">
        <v>1</v>
      </c>
      <c r="W2067" s="2" t="s">
        <v>80</v>
      </c>
      <c r="X2067" s="2">
        <v>1</v>
      </c>
      <c r="Y2067" s="2" t="s">
        <v>81</v>
      </c>
      <c r="Z2067" s="2">
        <v>1</v>
      </c>
      <c r="AA2067" s="2" t="s">
        <v>82</v>
      </c>
      <c r="AB2067" s="2">
        <v>9</v>
      </c>
      <c r="AC2067" s="2" t="s">
        <v>124</v>
      </c>
      <c r="AD2067" s="3">
        <v>40316</v>
      </c>
      <c r="AE2067" s="4">
        <v>0.90277777777777779</v>
      </c>
      <c r="AF2067" s="2"/>
      <c r="AG2067" s="2"/>
      <c r="AH2067" s="2">
        <v>4</v>
      </c>
      <c r="AI2067" s="2" t="s">
        <v>125</v>
      </c>
      <c r="AJ2067" s="2">
        <v>29</v>
      </c>
      <c r="AK2067" s="2" t="s">
        <v>227</v>
      </c>
      <c r="AL2067" s="2">
        <v>16</v>
      </c>
      <c r="AM2067" s="2" t="s">
        <v>392</v>
      </c>
      <c r="AN2067" s="2" t="s">
        <v>1015</v>
      </c>
      <c r="AO2067" s="2"/>
      <c r="AP2067" s="2">
        <v>12</v>
      </c>
      <c r="AQ2067" s="2" t="s">
        <v>322</v>
      </c>
      <c r="AR2067" s="2" t="s">
        <v>824</v>
      </c>
      <c r="AS2067" s="2" t="s">
        <v>825</v>
      </c>
      <c r="AT2067" s="2" t="s">
        <v>7146</v>
      </c>
      <c r="AU2067" s="2"/>
      <c r="AV2067" s="2"/>
      <c r="AW2067" s="2"/>
      <c r="AX2067" s="2"/>
      <c r="AY2067" s="2">
        <v>41</v>
      </c>
      <c r="AZ2067" s="2" t="s">
        <v>82</v>
      </c>
      <c r="BA2067" s="2">
        <v>41</v>
      </c>
      <c r="BB2067" s="2" t="s">
        <v>82</v>
      </c>
      <c r="BC2067" s="2">
        <v>51</v>
      </c>
      <c r="BD2067" s="2" t="s">
        <v>827</v>
      </c>
      <c r="BE2067" s="2">
        <v>13</v>
      </c>
      <c r="BF2067" s="2" t="s">
        <v>108</v>
      </c>
      <c r="BG2067" s="2">
        <v>1459</v>
      </c>
      <c r="BH2067" s="4">
        <v>0.88888888888888884</v>
      </c>
      <c r="BI2067" s="4">
        <v>0.92361111111111116</v>
      </c>
      <c r="BJ2067" s="2">
        <v>13</v>
      </c>
      <c r="BK2067" s="2" t="s">
        <v>91</v>
      </c>
      <c r="BL2067" s="2" t="s">
        <v>828</v>
      </c>
      <c r="BM2067" s="2">
        <v>241</v>
      </c>
      <c r="BN2067" s="2" t="s">
        <v>82</v>
      </c>
      <c r="BO2067" s="2" t="s">
        <v>82</v>
      </c>
      <c r="BP2067" s="2">
        <v>13</v>
      </c>
      <c r="BQ2067" s="2" t="s">
        <v>91</v>
      </c>
      <c r="BR2067" s="2" t="s">
        <v>185</v>
      </c>
      <c r="BS2067" s="3">
        <v>40317</v>
      </c>
      <c r="BT2067" s="4">
        <v>0.25931712962962966</v>
      </c>
    </row>
    <row r="2068" spans="1:72" x14ac:dyDescent="0.25">
      <c r="A2068" s="2">
        <v>3005</v>
      </c>
      <c r="B2068" s="2">
        <v>2010</v>
      </c>
      <c r="C2068" s="2" t="s">
        <v>171</v>
      </c>
      <c r="D2068" s="2" t="s">
        <v>122</v>
      </c>
      <c r="E2068" s="2" t="s">
        <v>7147</v>
      </c>
      <c r="F2068" s="2">
        <v>151</v>
      </c>
      <c r="G2068" s="2" t="s">
        <v>314</v>
      </c>
      <c r="H2068" s="2">
        <v>2</v>
      </c>
      <c r="I2068" s="2" t="s">
        <v>267</v>
      </c>
      <c r="J2068" s="2">
        <v>163</v>
      </c>
      <c r="K2068" s="2" t="s">
        <v>316</v>
      </c>
      <c r="L2068" s="2" t="s">
        <v>317</v>
      </c>
      <c r="M2068" s="3">
        <v>40317</v>
      </c>
      <c r="N2068" s="2" t="s">
        <v>7143</v>
      </c>
      <c r="O2068" s="2" t="s">
        <v>107</v>
      </c>
      <c r="P2068" s="2" t="s">
        <v>107</v>
      </c>
      <c r="Q2068" s="2" t="str">
        <f>"180-A/10"</f>
        <v>180-A/10</v>
      </c>
      <c r="R2068" s="2" t="s">
        <v>489</v>
      </c>
      <c r="S2068" s="2" t="s">
        <v>107</v>
      </c>
      <c r="T2068" s="2">
        <v>1</v>
      </c>
      <c r="U2068" s="2" t="s">
        <v>79</v>
      </c>
      <c r="V2068" s="2">
        <v>1</v>
      </c>
      <c r="W2068" s="2" t="s">
        <v>80</v>
      </c>
      <c r="X2068" s="2">
        <v>1</v>
      </c>
      <c r="Y2068" s="2" t="s">
        <v>81</v>
      </c>
      <c r="Z2068" s="2">
        <v>10</v>
      </c>
      <c r="AA2068" s="2" t="s">
        <v>236</v>
      </c>
      <c r="AB2068" s="2">
        <v>1</v>
      </c>
      <c r="AC2068" s="2" t="s">
        <v>178</v>
      </c>
      <c r="AD2068" s="3">
        <v>40316</v>
      </c>
      <c r="AE2068" s="4">
        <v>0.90972222222222221</v>
      </c>
      <c r="AF2068" s="2"/>
      <c r="AG2068" s="2"/>
      <c r="AH2068" s="2">
        <v>2</v>
      </c>
      <c r="AI2068" s="2" t="s">
        <v>84</v>
      </c>
      <c r="AJ2068" s="2">
        <v>12</v>
      </c>
      <c r="AK2068" s="2" t="s">
        <v>85</v>
      </c>
      <c r="AL2068" s="2">
        <v>28</v>
      </c>
      <c r="AM2068" s="2" t="s">
        <v>5969</v>
      </c>
      <c r="AN2068" s="2" t="s">
        <v>923</v>
      </c>
      <c r="AO2068" s="2" t="s">
        <v>7148</v>
      </c>
      <c r="AP2068" s="2">
        <v>11</v>
      </c>
      <c r="AQ2068" s="2" t="s">
        <v>82</v>
      </c>
      <c r="AR2068" s="2"/>
      <c r="AS2068" s="2"/>
      <c r="AT2068" s="2" t="s">
        <v>7149</v>
      </c>
      <c r="AU2068" s="2">
        <v>1</v>
      </c>
      <c r="AV2068" s="2"/>
      <c r="AW2068" s="2"/>
      <c r="AX2068" s="2"/>
      <c r="AY2068" s="2">
        <v>41</v>
      </c>
      <c r="AZ2068" s="2" t="s">
        <v>82</v>
      </c>
      <c r="BA2068" s="2">
        <v>41</v>
      </c>
      <c r="BB2068" s="2" t="s">
        <v>82</v>
      </c>
      <c r="BC2068" s="2">
        <v>41</v>
      </c>
      <c r="BD2068" s="2" t="s">
        <v>82</v>
      </c>
      <c r="BE2068" s="2">
        <v>41</v>
      </c>
      <c r="BF2068" s="2" t="s">
        <v>82</v>
      </c>
      <c r="BG2068" s="2"/>
      <c r="BH2068" s="2"/>
      <c r="BI2068" s="2"/>
      <c r="BJ2068" s="2">
        <v>241</v>
      </c>
      <c r="BK2068" s="2" t="s">
        <v>82</v>
      </c>
      <c r="BL2068" s="2"/>
      <c r="BM2068" s="2">
        <v>241</v>
      </c>
      <c r="BN2068" s="2" t="s">
        <v>82</v>
      </c>
      <c r="BO2068" s="2"/>
      <c r="BP2068" s="2">
        <v>241</v>
      </c>
      <c r="BQ2068" s="2" t="s">
        <v>82</v>
      </c>
      <c r="BR2068" s="2"/>
      <c r="BS2068" s="3">
        <v>40317</v>
      </c>
      <c r="BT2068" s="4">
        <v>0.35950231481481482</v>
      </c>
    </row>
    <row r="2069" spans="1:72" x14ac:dyDescent="0.25">
      <c r="A2069" s="2">
        <v>3006</v>
      </c>
      <c r="B2069" s="2">
        <v>2010</v>
      </c>
      <c r="C2069" s="2" t="s">
        <v>418</v>
      </c>
      <c r="D2069" s="2" t="s">
        <v>122</v>
      </c>
      <c r="E2069" s="2"/>
      <c r="F2069" s="2">
        <v>1</v>
      </c>
      <c r="G2069" s="2" t="s">
        <v>82</v>
      </c>
      <c r="H2069" s="2">
        <v>1</v>
      </c>
      <c r="I2069" s="2" t="s">
        <v>82</v>
      </c>
      <c r="J2069" s="2">
        <v>1</v>
      </c>
      <c r="K2069" s="2" t="s">
        <v>107</v>
      </c>
      <c r="L2069" s="2" t="s">
        <v>107</v>
      </c>
      <c r="M2069" s="3">
        <v>40317</v>
      </c>
      <c r="N2069" s="2"/>
      <c r="O2069" s="2"/>
      <c r="P2069" s="2"/>
      <c r="Q2069" s="2" t="str">
        <f>""</f>
        <v/>
      </c>
      <c r="R2069" s="2"/>
      <c r="S2069" s="2"/>
      <c r="T2069" s="2">
        <v>2</v>
      </c>
      <c r="U2069" s="2" t="s">
        <v>123</v>
      </c>
      <c r="V2069" s="2">
        <v>1</v>
      </c>
      <c r="W2069" s="2" t="s">
        <v>80</v>
      </c>
      <c r="X2069" s="2">
        <v>11</v>
      </c>
      <c r="Y2069" s="2" t="s">
        <v>1920</v>
      </c>
      <c r="Z2069" s="2">
        <v>10</v>
      </c>
      <c r="AA2069" s="2" t="s">
        <v>236</v>
      </c>
      <c r="AB2069" s="2">
        <v>9</v>
      </c>
      <c r="AC2069" s="2" t="s">
        <v>124</v>
      </c>
      <c r="AD2069" s="3">
        <v>40317</v>
      </c>
      <c r="AE2069" s="4">
        <v>0.28125</v>
      </c>
      <c r="AF2069" s="2"/>
      <c r="AG2069" s="2"/>
      <c r="AH2069" s="2">
        <v>4</v>
      </c>
      <c r="AI2069" s="2" t="s">
        <v>125</v>
      </c>
      <c r="AJ2069" s="2">
        <v>29</v>
      </c>
      <c r="AK2069" s="2" t="s">
        <v>227</v>
      </c>
      <c r="AL2069" s="2">
        <v>24</v>
      </c>
      <c r="AM2069" s="2" t="s">
        <v>1540</v>
      </c>
      <c r="AN2069" s="2" t="s">
        <v>7150</v>
      </c>
      <c r="AO2069" s="2" t="s">
        <v>4548</v>
      </c>
      <c r="AP2069" s="2">
        <v>11</v>
      </c>
      <c r="AQ2069" s="2" t="s">
        <v>82</v>
      </c>
      <c r="AR2069" s="2"/>
      <c r="AS2069" s="2"/>
      <c r="AT2069" s="2" t="s">
        <v>7151</v>
      </c>
      <c r="AU2069" s="2"/>
      <c r="AV2069" s="2"/>
      <c r="AW2069" s="2"/>
      <c r="AX2069" s="2"/>
      <c r="AY2069" s="2">
        <v>48</v>
      </c>
      <c r="AZ2069" s="2" t="s">
        <v>1123</v>
      </c>
      <c r="BA2069" s="2">
        <v>41</v>
      </c>
      <c r="BB2069" s="2" t="s">
        <v>82</v>
      </c>
      <c r="BC2069" s="2">
        <v>41</v>
      </c>
      <c r="BD2069" s="2" t="s">
        <v>82</v>
      </c>
      <c r="BE2069" s="2">
        <v>48</v>
      </c>
      <c r="BF2069" s="2" t="s">
        <v>1123</v>
      </c>
      <c r="BG2069" s="2">
        <v>853</v>
      </c>
      <c r="BH2069" s="2"/>
      <c r="BI2069" s="2"/>
      <c r="BJ2069" s="2">
        <v>13</v>
      </c>
      <c r="BK2069" s="2" t="s">
        <v>91</v>
      </c>
      <c r="BL2069" s="2" t="s">
        <v>2865</v>
      </c>
      <c r="BM2069" s="2">
        <v>13</v>
      </c>
      <c r="BN2069" s="2" t="s">
        <v>91</v>
      </c>
      <c r="BO2069" s="2" t="s">
        <v>828</v>
      </c>
      <c r="BP2069" s="2">
        <v>13</v>
      </c>
      <c r="BQ2069" s="2" t="s">
        <v>91</v>
      </c>
      <c r="BR2069" s="2" t="s">
        <v>1108</v>
      </c>
      <c r="BS2069" s="3">
        <v>40317</v>
      </c>
      <c r="BT2069" s="4">
        <v>0.39366898148148149</v>
      </c>
    </row>
    <row r="2070" spans="1:72" x14ac:dyDescent="0.25">
      <c r="A2070" s="2">
        <v>3015</v>
      </c>
      <c r="B2070" s="2">
        <v>2010</v>
      </c>
      <c r="C2070" s="2" t="s">
        <v>1559</v>
      </c>
      <c r="D2070" s="2" t="s">
        <v>122</v>
      </c>
      <c r="E2070" s="2" t="s">
        <v>7152</v>
      </c>
      <c r="F2070" s="2">
        <v>499</v>
      </c>
      <c r="G2070" s="2" t="s">
        <v>2177</v>
      </c>
      <c r="H2070" s="2">
        <v>93</v>
      </c>
      <c r="I2070" s="2" t="s">
        <v>5659</v>
      </c>
      <c r="J2070" s="2">
        <v>33</v>
      </c>
      <c r="K2070" s="2" t="s">
        <v>2178</v>
      </c>
      <c r="L2070" s="2" t="s">
        <v>1877</v>
      </c>
      <c r="M2070" s="3">
        <v>40317</v>
      </c>
      <c r="N2070" s="2" t="s">
        <v>5603</v>
      </c>
      <c r="O2070" s="2" t="s">
        <v>5756</v>
      </c>
      <c r="P2070" s="2">
        <v>5385</v>
      </c>
      <c r="Q2070" s="2" t="str">
        <f>""</f>
        <v/>
      </c>
      <c r="R2070" s="2"/>
      <c r="S2070" s="2"/>
      <c r="T2070" s="2">
        <v>1</v>
      </c>
      <c r="U2070" s="2" t="s">
        <v>79</v>
      </c>
      <c r="V2070" s="2">
        <v>1</v>
      </c>
      <c r="W2070" s="2" t="s">
        <v>80</v>
      </c>
      <c r="X2070" s="2">
        <v>11</v>
      </c>
      <c r="Y2070" s="2" t="s">
        <v>1920</v>
      </c>
      <c r="Z2070" s="2">
        <v>1</v>
      </c>
      <c r="AA2070" s="2" t="s">
        <v>82</v>
      </c>
      <c r="AB2070" s="2">
        <v>9</v>
      </c>
      <c r="AC2070" s="2" t="s">
        <v>124</v>
      </c>
      <c r="AD2070" s="3">
        <v>40317</v>
      </c>
      <c r="AE2070" s="4">
        <v>0.4375</v>
      </c>
      <c r="AF2070" s="2"/>
      <c r="AG2070" s="2"/>
      <c r="AH2070" s="2">
        <v>2</v>
      </c>
      <c r="AI2070" s="2" t="s">
        <v>84</v>
      </c>
      <c r="AJ2070" s="2">
        <v>8</v>
      </c>
      <c r="AK2070" s="2" t="s">
        <v>436</v>
      </c>
      <c r="AL2070" s="2">
        <v>19</v>
      </c>
      <c r="AM2070" s="2" t="s">
        <v>107</v>
      </c>
      <c r="AN2070" s="2"/>
      <c r="AO2070" s="2" t="s">
        <v>7153</v>
      </c>
      <c r="AP2070" s="2">
        <v>11</v>
      </c>
      <c r="AQ2070" s="2" t="s">
        <v>82</v>
      </c>
      <c r="AR2070" s="2"/>
      <c r="AS2070" s="2"/>
      <c r="AT2070" s="2" t="s">
        <v>7154</v>
      </c>
      <c r="AU2070" s="2">
        <v>1</v>
      </c>
      <c r="AV2070" s="2"/>
      <c r="AW2070" s="2"/>
      <c r="AX2070" s="2"/>
      <c r="AY2070" s="2">
        <v>41</v>
      </c>
      <c r="AZ2070" s="2" t="s">
        <v>82</v>
      </c>
      <c r="BA2070" s="2">
        <v>41</v>
      </c>
      <c r="BB2070" s="2" t="s">
        <v>82</v>
      </c>
      <c r="BC2070" s="2">
        <v>41</v>
      </c>
      <c r="BD2070" s="2" t="s">
        <v>82</v>
      </c>
      <c r="BE2070" s="2">
        <v>41</v>
      </c>
      <c r="BF2070" s="2" t="s">
        <v>82</v>
      </c>
      <c r="BG2070" s="2"/>
      <c r="BH2070" s="2"/>
      <c r="BI2070" s="2"/>
      <c r="BJ2070" s="2">
        <v>241</v>
      </c>
      <c r="BK2070" s="2" t="s">
        <v>82</v>
      </c>
      <c r="BL2070" s="2"/>
      <c r="BM2070" s="2">
        <v>241</v>
      </c>
      <c r="BN2070" s="2" t="s">
        <v>82</v>
      </c>
      <c r="BO2070" s="2"/>
      <c r="BP2070" s="2">
        <v>241</v>
      </c>
      <c r="BQ2070" s="2" t="s">
        <v>82</v>
      </c>
      <c r="BR2070" s="2"/>
      <c r="BS2070" s="3">
        <v>40317</v>
      </c>
      <c r="BT2070" s="4">
        <v>0.60129629629629633</v>
      </c>
    </row>
    <row r="2071" spans="1:72" x14ac:dyDescent="0.25">
      <c r="A2071" s="2">
        <v>3016</v>
      </c>
      <c r="B2071" s="2">
        <v>2010</v>
      </c>
      <c r="C2071" s="2" t="s">
        <v>418</v>
      </c>
      <c r="D2071" s="2" t="s">
        <v>122</v>
      </c>
      <c r="E2071" s="2" t="s">
        <v>7155</v>
      </c>
      <c r="F2071" s="2">
        <v>1</v>
      </c>
      <c r="G2071" s="2" t="s">
        <v>82</v>
      </c>
      <c r="H2071" s="2">
        <v>1</v>
      </c>
      <c r="I2071" s="2" t="s">
        <v>82</v>
      </c>
      <c r="J2071" s="2">
        <v>1</v>
      </c>
      <c r="K2071" s="2" t="s">
        <v>107</v>
      </c>
      <c r="L2071" s="2" t="s">
        <v>107</v>
      </c>
      <c r="M2071" s="3">
        <v>40317</v>
      </c>
      <c r="N2071" s="2"/>
      <c r="O2071" s="2"/>
      <c r="P2071" s="2"/>
      <c r="Q2071" s="2" t="str">
        <f>""</f>
        <v/>
      </c>
      <c r="R2071" s="2"/>
      <c r="S2071" s="2"/>
      <c r="T2071" s="2">
        <v>2</v>
      </c>
      <c r="U2071" s="2" t="s">
        <v>123</v>
      </c>
      <c r="V2071" s="2">
        <v>1</v>
      </c>
      <c r="W2071" s="2" t="s">
        <v>80</v>
      </c>
      <c r="X2071" s="2">
        <v>11</v>
      </c>
      <c r="Y2071" s="2" t="s">
        <v>1920</v>
      </c>
      <c r="Z2071" s="2">
        <v>10</v>
      </c>
      <c r="AA2071" s="2" t="s">
        <v>236</v>
      </c>
      <c r="AB2071" s="2">
        <v>9</v>
      </c>
      <c r="AC2071" s="2" t="s">
        <v>124</v>
      </c>
      <c r="AD2071" s="3">
        <v>40317</v>
      </c>
      <c r="AE2071" s="4">
        <v>0.56944444444444442</v>
      </c>
      <c r="AF2071" s="2"/>
      <c r="AG2071" s="2"/>
      <c r="AH2071" s="2">
        <v>4</v>
      </c>
      <c r="AI2071" s="2" t="s">
        <v>125</v>
      </c>
      <c r="AJ2071" s="2">
        <v>29</v>
      </c>
      <c r="AK2071" s="2" t="s">
        <v>227</v>
      </c>
      <c r="AL2071" s="2">
        <v>24</v>
      </c>
      <c r="AM2071" s="2" t="s">
        <v>1540</v>
      </c>
      <c r="AN2071" s="2" t="s">
        <v>7150</v>
      </c>
      <c r="AO2071" s="2" t="s">
        <v>4548</v>
      </c>
      <c r="AP2071" s="2">
        <v>11</v>
      </c>
      <c r="AQ2071" s="2" t="s">
        <v>82</v>
      </c>
      <c r="AR2071" s="2"/>
      <c r="AS2071" s="2"/>
      <c r="AT2071" s="2" t="s">
        <v>7156</v>
      </c>
      <c r="AU2071" s="2"/>
      <c r="AV2071" s="2"/>
      <c r="AW2071" s="2"/>
      <c r="AX2071" s="2"/>
      <c r="AY2071" s="2">
        <v>48</v>
      </c>
      <c r="AZ2071" s="2" t="s">
        <v>1123</v>
      </c>
      <c r="BA2071" s="2">
        <v>41</v>
      </c>
      <c r="BB2071" s="2" t="s">
        <v>82</v>
      </c>
      <c r="BC2071" s="2">
        <v>41</v>
      </c>
      <c r="BD2071" s="2" t="s">
        <v>82</v>
      </c>
      <c r="BE2071" s="2">
        <v>48</v>
      </c>
      <c r="BF2071" s="2" t="s">
        <v>1123</v>
      </c>
      <c r="BG2071" s="2">
        <v>890</v>
      </c>
      <c r="BH2071" s="4">
        <v>0.54861111111111105</v>
      </c>
      <c r="BI2071" s="2"/>
      <c r="BJ2071" s="2">
        <v>13</v>
      </c>
      <c r="BK2071" s="2" t="s">
        <v>91</v>
      </c>
      <c r="BL2071" s="2" t="s">
        <v>169</v>
      </c>
      <c r="BM2071" s="2">
        <v>4</v>
      </c>
      <c r="BN2071" s="2" t="s">
        <v>618</v>
      </c>
      <c r="BO2071" s="2"/>
      <c r="BP2071" s="2">
        <v>13</v>
      </c>
      <c r="BQ2071" s="2" t="s">
        <v>91</v>
      </c>
      <c r="BR2071" s="2" t="s">
        <v>828</v>
      </c>
      <c r="BS2071" s="3">
        <v>40317</v>
      </c>
      <c r="BT2071" s="4">
        <v>0.61586805555555557</v>
      </c>
    </row>
    <row r="2072" spans="1:72" x14ac:dyDescent="0.25">
      <c r="A2072" s="2">
        <v>3017</v>
      </c>
      <c r="B2072" s="2">
        <v>2010</v>
      </c>
      <c r="C2072" s="2" t="s">
        <v>72</v>
      </c>
      <c r="D2072" s="2" t="s">
        <v>73</v>
      </c>
      <c r="E2072" s="2"/>
      <c r="F2072" s="2">
        <v>28</v>
      </c>
      <c r="G2072" s="2" t="s">
        <v>784</v>
      </c>
      <c r="H2072" s="2">
        <v>1</v>
      </c>
      <c r="I2072" s="2" t="s">
        <v>82</v>
      </c>
      <c r="J2072" s="2">
        <v>37</v>
      </c>
      <c r="K2072" s="2" t="s">
        <v>785</v>
      </c>
      <c r="L2072" s="2" t="s">
        <v>786</v>
      </c>
      <c r="M2072" s="3">
        <v>40317</v>
      </c>
      <c r="N2072" s="2"/>
      <c r="O2072" s="2"/>
      <c r="P2072" s="2"/>
      <c r="Q2072" s="2" t="str">
        <f>"012-M10"</f>
        <v>012-M10</v>
      </c>
      <c r="R2072" s="2" t="s">
        <v>78</v>
      </c>
      <c r="S2072" s="2" t="s">
        <v>78</v>
      </c>
      <c r="T2072" s="2">
        <v>1</v>
      </c>
      <c r="U2072" s="2" t="s">
        <v>79</v>
      </c>
      <c r="V2072" s="2">
        <v>1</v>
      </c>
      <c r="W2072" s="2" t="s">
        <v>80</v>
      </c>
      <c r="X2072" s="2">
        <v>12</v>
      </c>
      <c r="Y2072" s="2" t="s">
        <v>148</v>
      </c>
      <c r="Z2072" s="2">
        <v>1</v>
      </c>
      <c r="AA2072" s="2" t="s">
        <v>82</v>
      </c>
      <c r="AB2072" s="2">
        <v>6</v>
      </c>
      <c r="AC2072" s="2" t="s">
        <v>83</v>
      </c>
      <c r="AD2072" s="3">
        <v>40317</v>
      </c>
      <c r="AE2072" s="2"/>
      <c r="AF2072" s="3">
        <v>40317</v>
      </c>
      <c r="AG2072" s="4">
        <v>0.4861111111111111</v>
      </c>
      <c r="AH2072" s="2">
        <v>2</v>
      </c>
      <c r="AI2072" s="2" t="s">
        <v>84</v>
      </c>
      <c r="AJ2072" s="2">
        <v>8</v>
      </c>
      <c r="AK2072" s="2" t="s">
        <v>436</v>
      </c>
      <c r="AL2072" s="2">
        <v>9</v>
      </c>
      <c r="AM2072" s="2" t="s">
        <v>259</v>
      </c>
      <c r="AN2072" s="2" t="s">
        <v>7157</v>
      </c>
      <c r="AO2072" s="2" t="s">
        <v>7158</v>
      </c>
      <c r="AP2072" s="2">
        <v>11</v>
      </c>
      <c r="AQ2072" s="2" t="s">
        <v>82</v>
      </c>
      <c r="AR2072" s="2"/>
      <c r="AS2072" s="2"/>
      <c r="AT2072" s="2" t="s">
        <v>7159</v>
      </c>
      <c r="AU2072" s="2"/>
      <c r="AV2072" s="2"/>
      <c r="AW2072" s="2"/>
      <c r="AX2072" s="2"/>
      <c r="AY2072" s="2">
        <v>44</v>
      </c>
      <c r="AZ2072" s="2" t="s">
        <v>262</v>
      </c>
      <c r="BA2072" s="2">
        <v>44</v>
      </c>
      <c r="BB2072" s="2" t="s">
        <v>262</v>
      </c>
      <c r="BC2072" s="2">
        <v>41</v>
      </c>
      <c r="BD2072" s="2" t="s">
        <v>82</v>
      </c>
      <c r="BE2072" s="2">
        <v>41</v>
      </c>
      <c r="BF2072" s="2" t="s">
        <v>82</v>
      </c>
      <c r="BG2072" s="2"/>
      <c r="BH2072" s="2"/>
      <c r="BI2072" s="2"/>
      <c r="BJ2072" s="2">
        <v>241</v>
      </c>
      <c r="BK2072" s="2" t="s">
        <v>82</v>
      </c>
      <c r="BL2072" s="2"/>
      <c r="BM2072" s="2">
        <v>241</v>
      </c>
      <c r="BN2072" s="2" t="s">
        <v>82</v>
      </c>
      <c r="BO2072" s="2"/>
      <c r="BP2072" s="2">
        <v>241</v>
      </c>
      <c r="BQ2072" s="2" t="s">
        <v>82</v>
      </c>
      <c r="BR2072" s="2"/>
      <c r="BS2072" s="3">
        <v>40317</v>
      </c>
      <c r="BT2072" s="4">
        <v>0.6306828703703703</v>
      </c>
    </row>
    <row r="2073" spans="1:72" x14ac:dyDescent="0.25">
      <c r="A2073" s="2">
        <v>3019</v>
      </c>
      <c r="B2073" s="2">
        <v>2010</v>
      </c>
      <c r="C2073" s="2" t="s">
        <v>414</v>
      </c>
      <c r="D2073" s="2" t="s">
        <v>122</v>
      </c>
      <c r="E2073" s="2"/>
      <c r="F2073" s="2">
        <v>533</v>
      </c>
      <c r="G2073" s="2" t="s">
        <v>3397</v>
      </c>
      <c r="H2073" s="2">
        <v>2</v>
      </c>
      <c r="I2073" s="2" t="s">
        <v>267</v>
      </c>
      <c r="J2073" s="2">
        <v>462</v>
      </c>
      <c r="K2073" s="2" t="s">
        <v>3398</v>
      </c>
      <c r="L2073" s="2" t="s">
        <v>3399</v>
      </c>
      <c r="M2073" s="3">
        <v>40317</v>
      </c>
      <c r="N2073" s="2" t="s">
        <v>6383</v>
      </c>
      <c r="O2073" s="2" t="s">
        <v>999</v>
      </c>
      <c r="P2073" s="2" t="s">
        <v>82</v>
      </c>
      <c r="Q2073" s="2" t="str">
        <f>"0057/10"</f>
        <v>0057/10</v>
      </c>
      <c r="R2073" s="2" t="s">
        <v>82</v>
      </c>
      <c r="S2073" s="2" t="s">
        <v>7160</v>
      </c>
      <c r="T2073" s="2">
        <v>1</v>
      </c>
      <c r="U2073" s="2" t="s">
        <v>79</v>
      </c>
      <c r="V2073" s="2">
        <v>1</v>
      </c>
      <c r="W2073" s="2" t="s">
        <v>80</v>
      </c>
      <c r="X2073" s="2">
        <v>5</v>
      </c>
      <c r="Y2073" s="2" t="s">
        <v>82</v>
      </c>
      <c r="Z2073" s="2">
        <v>1</v>
      </c>
      <c r="AA2073" s="2" t="s">
        <v>82</v>
      </c>
      <c r="AB2073" s="2">
        <v>9</v>
      </c>
      <c r="AC2073" s="2" t="s">
        <v>124</v>
      </c>
      <c r="AD2073" s="3">
        <v>40317</v>
      </c>
      <c r="AE2073" s="4">
        <v>0.5625</v>
      </c>
      <c r="AF2073" s="3">
        <v>40309</v>
      </c>
      <c r="AG2073" s="4">
        <v>0.78333333333333333</v>
      </c>
      <c r="AH2073" s="2">
        <v>5</v>
      </c>
      <c r="AI2073" s="2" t="s">
        <v>274</v>
      </c>
      <c r="AJ2073" s="2">
        <v>38</v>
      </c>
      <c r="AK2073" s="2" t="s">
        <v>1120</v>
      </c>
      <c r="AL2073" s="2">
        <v>14</v>
      </c>
      <c r="AM2073" s="2" t="s">
        <v>216</v>
      </c>
      <c r="AN2073" s="2"/>
      <c r="AO2073" s="2" t="s">
        <v>7161</v>
      </c>
      <c r="AP2073" s="2">
        <v>11</v>
      </c>
      <c r="AQ2073" s="2" t="s">
        <v>82</v>
      </c>
      <c r="AR2073" s="2"/>
      <c r="AS2073" s="2"/>
      <c r="AT2073" s="2" t="s">
        <v>7162</v>
      </c>
      <c r="AU2073" s="2"/>
      <c r="AV2073" s="2"/>
      <c r="AW2073" s="2"/>
      <c r="AX2073" s="2"/>
      <c r="AY2073" s="2">
        <v>41</v>
      </c>
      <c r="AZ2073" s="2" t="s">
        <v>82</v>
      </c>
      <c r="BA2073" s="2">
        <v>44</v>
      </c>
      <c r="BB2073" s="2" t="s">
        <v>262</v>
      </c>
      <c r="BC2073" s="2">
        <v>41</v>
      </c>
      <c r="BD2073" s="2" t="s">
        <v>82</v>
      </c>
      <c r="BE2073" s="2">
        <v>41</v>
      </c>
      <c r="BF2073" s="2" t="s">
        <v>82</v>
      </c>
      <c r="BG2073" s="2"/>
      <c r="BH2073" s="2"/>
      <c r="BI2073" s="2"/>
      <c r="BJ2073" s="2">
        <v>241</v>
      </c>
      <c r="BK2073" s="2" t="s">
        <v>82</v>
      </c>
      <c r="BL2073" s="2"/>
      <c r="BM2073" s="2">
        <v>241</v>
      </c>
      <c r="BN2073" s="2" t="s">
        <v>82</v>
      </c>
      <c r="BO2073" s="2"/>
      <c r="BP2073" s="2">
        <v>241</v>
      </c>
      <c r="BQ2073" s="2" t="s">
        <v>82</v>
      </c>
      <c r="BR2073" s="2"/>
      <c r="BS2073" s="3">
        <v>40317</v>
      </c>
      <c r="BT2073" s="4">
        <v>0.65976851851851859</v>
      </c>
    </row>
    <row r="2074" spans="1:72" x14ac:dyDescent="0.25">
      <c r="A2074" s="2">
        <v>3020</v>
      </c>
      <c r="B2074" s="2">
        <v>2010</v>
      </c>
      <c r="C2074" s="2" t="s">
        <v>171</v>
      </c>
      <c r="D2074" s="2" t="s">
        <v>73</v>
      </c>
      <c r="E2074" s="2"/>
      <c r="F2074" s="2">
        <v>228</v>
      </c>
      <c r="G2074" s="2" t="s">
        <v>1087</v>
      </c>
      <c r="H2074" s="2">
        <v>6</v>
      </c>
      <c r="I2074" s="2" t="s">
        <v>1088</v>
      </c>
      <c r="J2074" s="2">
        <v>242</v>
      </c>
      <c r="K2074" s="2" t="s">
        <v>1077</v>
      </c>
      <c r="L2074" s="2" t="s">
        <v>1078</v>
      </c>
      <c r="M2074" s="3">
        <v>40317</v>
      </c>
      <c r="N2074" s="2" t="s">
        <v>7163</v>
      </c>
      <c r="O2074" s="2"/>
      <c r="P2074" s="2"/>
      <c r="Q2074" s="2" t="str">
        <f>"268-E/10"</f>
        <v>268-E/10</v>
      </c>
      <c r="R2074" s="2"/>
      <c r="S2074" s="2" t="s">
        <v>391</v>
      </c>
      <c r="T2074" s="2">
        <v>1</v>
      </c>
      <c r="U2074" s="2" t="s">
        <v>79</v>
      </c>
      <c r="V2074" s="2">
        <v>1</v>
      </c>
      <c r="W2074" s="2" t="s">
        <v>80</v>
      </c>
      <c r="X2074" s="2">
        <v>1</v>
      </c>
      <c r="Y2074" s="2" t="s">
        <v>81</v>
      </c>
      <c r="Z2074" s="2">
        <v>1</v>
      </c>
      <c r="AA2074" s="2" t="s">
        <v>82</v>
      </c>
      <c r="AB2074" s="2">
        <v>1</v>
      </c>
      <c r="AC2074" s="2" t="s">
        <v>178</v>
      </c>
      <c r="AD2074" s="3">
        <v>40317</v>
      </c>
      <c r="AE2074" s="4">
        <v>0.43055555555555558</v>
      </c>
      <c r="AF2074" s="2"/>
      <c r="AG2074" s="2"/>
      <c r="AH2074" s="2">
        <v>2</v>
      </c>
      <c r="AI2074" s="2" t="s">
        <v>84</v>
      </c>
      <c r="AJ2074" s="2">
        <v>9</v>
      </c>
      <c r="AK2074" s="2" t="s">
        <v>103</v>
      </c>
      <c r="AL2074" s="2">
        <v>25</v>
      </c>
      <c r="AM2074" s="2" t="s">
        <v>3073</v>
      </c>
      <c r="AN2074" s="2"/>
      <c r="AO2074" s="2" t="s">
        <v>1230</v>
      </c>
      <c r="AP2074" s="2">
        <v>11</v>
      </c>
      <c r="AQ2074" s="2" t="s">
        <v>82</v>
      </c>
      <c r="AR2074" s="2"/>
      <c r="AS2074" s="2"/>
      <c r="AT2074" s="2" t="s">
        <v>7164</v>
      </c>
      <c r="AU2074" s="2"/>
      <c r="AV2074" s="2">
        <v>1</v>
      </c>
      <c r="AW2074" s="2"/>
      <c r="AX2074" s="2"/>
      <c r="AY2074" s="2">
        <v>42</v>
      </c>
      <c r="AZ2074" s="2" t="s">
        <v>182</v>
      </c>
      <c r="BA2074" s="2">
        <v>41</v>
      </c>
      <c r="BB2074" s="2" t="s">
        <v>82</v>
      </c>
      <c r="BC2074" s="2">
        <v>41</v>
      </c>
      <c r="BD2074" s="2" t="s">
        <v>82</v>
      </c>
      <c r="BE2074" s="2">
        <v>23</v>
      </c>
      <c r="BF2074" s="2" t="s">
        <v>183</v>
      </c>
      <c r="BG2074" s="2" t="s">
        <v>5475</v>
      </c>
      <c r="BH2074" s="2"/>
      <c r="BI2074" s="4">
        <v>0.53125</v>
      </c>
      <c r="BJ2074" s="2">
        <v>13</v>
      </c>
      <c r="BK2074" s="2" t="s">
        <v>91</v>
      </c>
      <c r="BL2074" s="2" t="s">
        <v>360</v>
      </c>
      <c r="BM2074" s="2">
        <v>241</v>
      </c>
      <c r="BN2074" s="2" t="s">
        <v>82</v>
      </c>
      <c r="BO2074" s="2"/>
      <c r="BP2074" s="2">
        <v>73</v>
      </c>
      <c r="BQ2074" s="2" t="s">
        <v>186</v>
      </c>
      <c r="BR2074" s="2" t="s">
        <v>187</v>
      </c>
      <c r="BS2074" s="3">
        <v>40317</v>
      </c>
      <c r="BT2074" s="4">
        <v>0.68339120370370365</v>
      </c>
    </row>
    <row r="2075" spans="1:72" x14ac:dyDescent="0.25">
      <c r="A2075" s="2">
        <v>3021</v>
      </c>
      <c r="B2075" s="2">
        <v>2010</v>
      </c>
      <c r="C2075" s="2" t="s">
        <v>255</v>
      </c>
      <c r="D2075" s="2" t="s">
        <v>73</v>
      </c>
      <c r="E2075" s="2"/>
      <c r="F2075" s="2">
        <v>267</v>
      </c>
      <c r="G2075" s="2" t="s">
        <v>7165</v>
      </c>
      <c r="H2075" s="2">
        <v>22</v>
      </c>
      <c r="I2075" s="2" t="s">
        <v>75</v>
      </c>
      <c r="J2075" s="2">
        <v>281</v>
      </c>
      <c r="K2075" s="2" t="s">
        <v>6873</v>
      </c>
      <c r="L2075" s="2" t="s">
        <v>7166</v>
      </c>
      <c r="M2075" s="3">
        <v>40317</v>
      </c>
      <c r="N2075" s="2" t="s">
        <v>7167</v>
      </c>
      <c r="O2075" s="2" t="s">
        <v>107</v>
      </c>
      <c r="P2075" s="2" t="s">
        <v>107</v>
      </c>
      <c r="Q2075" s="2" t="str">
        <f>"181-A/10"</f>
        <v>181-A/10</v>
      </c>
      <c r="R2075" s="2" t="s">
        <v>947</v>
      </c>
      <c r="S2075" s="2" t="s">
        <v>947</v>
      </c>
      <c r="T2075" s="2">
        <v>1</v>
      </c>
      <c r="U2075" s="2" t="s">
        <v>79</v>
      </c>
      <c r="V2075" s="2">
        <v>1</v>
      </c>
      <c r="W2075" s="2" t="s">
        <v>80</v>
      </c>
      <c r="X2075" s="2">
        <v>12</v>
      </c>
      <c r="Y2075" s="2" t="s">
        <v>148</v>
      </c>
      <c r="Z2075" s="2">
        <v>1</v>
      </c>
      <c r="AA2075" s="2" t="s">
        <v>82</v>
      </c>
      <c r="AB2075" s="2">
        <v>9</v>
      </c>
      <c r="AC2075" s="2" t="s">
        <v>124</v>
      </c>
      <c r="AD2075" s="3">
        <v>40316</v>
      </c>
      <c r="AE2075" s="2"/>
      <c r="AF2075" s="3">
        <v>40317</v>
      </c>
      <c r="AG2075" s="4">
        <v>0.45833333333333331</v>
      </c>
      <c r="AH2075" s="2">
        <v>2</v>
      </c>
      <c r="AI2075" s="2" t="s">
        <v>84</v>
      </c>
      <c r="AJ2075" s="2">
        <v>12</v>
      </c>
      <c r="AK2075" s="2" t="s">
        <v>85</v>
      </c>
      <c r="AL2075" s="2">
        <v>21</v>
      </c>
      <c r="AM2075" s="2" t="s">
        <v>1311</v>
      </c>
      <c r="AN2075" s="2" t="s">
        <v>7168</v>
      </c>
      <c r="AO2075" s="2" t="s">
        <v>7169</v>
      </c>
      <c r="AP2075" s="2">
        <v>11</v>
      </c>
      <c r="AQ2075" s="2" t="s">
        <v>82</v>
      </c>
      <c r="AR2075" s="2" t="s">
        <v>82</v>
      </c>
      <c r="AS2075" s="2" t="s">
        <v>82</v>
      </c>
      <c r="AT2075" s="2" t="s">
        <v>7170</v>
      </c>
      <c r="AU2075" s="2"/>
      <c r="AV2075" s="2"/>
      <c r="AW2075" s="2"/>
      <c r="AX2075" s="2"/>
      <c r="AY2075" s="2">
        <v>41</v>
      </c>
      <c r="AZ2075" s="2" t="s">
        <v>82</v>
      </c>
      <c r="BA2075" s="2">
        <v>41</v>
      </c>
      <c r="BB2075" s="2" t="s">
        <v>82</v>
      </c>
      <c r="BC2075" s="2">
        <v>41</v>
      </c>
      <c r="BD2075" s="2" t="s">
        <v>82</v>
      </c>
      <c r="BE2075" s="2">
        <v>41</v>
      </c>
      <c r="BF2075" s="2" t="s">
        <v>82</v>
      </c>
      <c r="BG2075" s="2" t="s">
        <v>82</v>
      </c>
      <c r="BH2075" s="2"/>
      <c r="BI2075" s="2"/>
      <c r="BJ2075" s="2">
        <v>241</v>
      </c>
      <c r="BK2075" s="2" t="s">
        <v>82</v>
      </c>
      <c r="BL2075" s="2" t="s">
        <v>82</v>
      </c>
      <c r="BM2075" s="2">
        <v>241</v>
      </c>
      <c r="BN2075" s="2" t="s">
        <v>82</v>
      </c>
      <c r="BO2075" s="2" t="s">
        <v>82</v>
      </c>
      <c r="BP2075" s="2">
        <v>241</v>
      </c>
      <c r="BQ2075" s="2" t="s">
        <v>82</v>
      </c>
      <c r="BR2075" s="2" t="s">
        <v>82</v>
      </c>
      <c r="BS2075" s="3">
        <v>40317</v>
      </c>
      <c r="BT2075" s="4">
        <v>0.71233796296296292</v>
      </c>
    </row>
    <row r="2076" spans="1:72" x14ac:dyDescent="0.25">
      <c r="A2076" s="2">
        <v>3028</v>
      </c>
      <c r="B2076" s="2">
        <v>2010</v>
      </c>
      <c r="C2076" s="2" t="s">
        <v>377</v>
      </c>
      <c r="D2076" s="2" t="s">
        <v>73</v>
      </c>
      <c r="E2076" s="2"/>
      <c r="F2076" s="2">
        <v>426</v>
      </c>
      <c r="G2076" s="2" t="s">
        <v>378</v>
      </c>
      <c r="H2076" s="2">
        <v>42</v>
      </c>
      <c r="I2076" s="2" t="s">
        <v>1096</v>
      </c>
      <c r="J2076" s="2">
        <v>311</v>
      </c>
      <c r="K2076" s="2" t="s">
        <v>379</v>
      </c>
      <c r="L2076" s="2" t="s">
        <v>380</v>
      </c>
      <c r="M2076" s="3">
        <v>40317</v>
      </c>
      <c r="N2076" s="2" t="s">
        <v>7171</v>
      </c>
      <c r="O2076" s="2"/>
      <c r="P2076" s="2"/>
      <c r="Q2076" s="2" t="str">
        <f>"084-C/10"</f>
        <v>084-C/10</v>
      </c>
      <c r="R2076" s="2" t="s">
        <v>3458</v>
      </c>
      <c r="S2076" s="2"/>
      <c r="T2076" s="2">
        <v>1</v>
      </c>
      <c r="U2076" s="2" t="s">
        <v>79</v>
      </c>
      <c r="V2076" s="2">
        <v>1</v>
      </c>
      <c r="W2076" s="2" t="s">
        <v>80</v>
      </c>
      <c r="X2076" s="2">
        <v>1</v>
      </c>
      <c r="Y2076" s="2" t="s">
        <v>81</v>
      </c>
      <c r="Z2076" s="2">
        <v>1</v>
      </c>
      <c r="AA2076" s="2" t="s">
        <v>82</v>
      </c>
      <c r="AB2076" s="2">
        <v>9</v>
      </c>
      <c r="AC2076" s="2" t="s">
        <v>124</v>
      </c>
      <c r="AD2076" s="3">
        <v>40317</v>
      </c>
      <c r="AE2076" s="4">
        <v>0.77083333333333337</v>
      </c>
      <c r="AF2076" s="2"/>
      <c r="AG2076" s="2"/>
      <c r="AH2076" s="2">
        <v>2</v>
      </c>
      <c r="AI2076" s="2" t="s">
        <v>84</v>
      </c>
      <c r="AJ2076" s="2">
        <v>9</v>
      </c>
      <c r="AK2076" s="2" t="s">
        <v>103</v>
      </c>
      <c r="AL2076" s="2">
        <v>12</v>
      </c>
      <c r="AM2076" s="2" t="s">
        <v>86</v>
      </c>
      <c r="AN2076" s="2"/>
      <c r="AO2076" s="2" t="s">
        <v>3322</v>
      </c>
      <c r="AP2076" s="2">
        <v>11</v>
      </c>
      <c r="AQ2076" s="2" t="s">
        <v>82</v>
      </c>
      <c r="AR2076" s="2"/>
      <c r="AS2076" s="2"/>
      <c r="AT2076" s="2" t="s">
        <v>7172</v>
      </c>
      <c r="AU2076" s="2"/>
      <c r="AV2076" s="2"/>
      <c r="AW2076" s="2"/>
      <c r="AX2076" s="2"/>
      <c r="AY2076" s="2">
        <v>41</v>
      </c>
      <c r="AZ2076" s="2" t="s">
        <v>82</v>
      </c>
      <c r="BA2076" s="2">
        <v>41</v>
      </c>
      <c r="BB2076" s="2" t="s">
        <v>82</v>
      </c>
      <c r="BC2076" s="2">
        <v>41</v>
      </c>
      <c r="BD2076" s="2" t="s">
        <v>82</v>
      </c>
      <c r="BE2076" s="2">
        <v>41</v>
      </c>
      <c r="BF2076" s="2" t="s">
        <v>82</v>
      </c>
      <c r="BG2076" s="2"/>
      <c r="BH2076" s="2"/>
      <c r="BI2076" s="2"/>
      <c r="BJ2076" s="2">
        <v>241</v>
      </c>
      <c r="BK2076" s="2" t="s">
        <v>82</v>
      </c>
      <c r="BL2076" s="2"/>
      <c r="BM2076" s="2">
        <v>241</v>
      </c>
      <c r="BN2076" s="2" t="s">
        <v>82</v>
      </c>
      <c r="BO2076" s="2"/>
      <c r="BP2076" s="2">
        <v>241</v>
      </c>
      <c r="BQ2076" s="2" t="s">
        <v>82</v>
      </c>
      <c r="BR2076" s="2"/>
      <c r="BS2076" s="3">
        <v>40317</v>
      </c>
      <c r="BT2076" s="4">
        <v>0.83646990740740745</v>
      </c>
    </row>
    <row r="2077" spans="1:72" x14ac:dyDescent="0.25">
      <c r="A2077" s="2">
        <v>3030</v>
      </c>
      <c r="B2077" s="2">
        <v>2010</v>
      </c>
      <c r="C2077" s="2" t="s">
        <v>121</v>
      </c>
      <c r="D2077" s="2" t="s">
        <v>122</v>
      </c>
      <c r="E2077" s="2"/>
      <c r="F2077" s="2">
        <v>1</v>
      </c>
      <c r="G2077" s="2" t="s">
        <v>82</v>
      </c>
      <c r="H2077" s="2">
        <v>1</v>
      </c>
      <c r="I2077" s="2" t="s">
        <v>82</v>
      </c>
      <c r="J2077" s="2">
        <v>1</v>
      </c>
      <c r="K2077" s="2" t="s">
        <v>107</v>
      </c>
      <c r="L2077" s="2" t="s">
        <v>107</v>
      </c>
      <c r="M2077" s="3">
        <v>40317</v>
      </c>
      <c r="N2077" s="2"/>
      <c r="O2077" s="2"/>
      <c r="P2077" s="2"/>
      <c r="Q2077" s="2" t="str">
        <f>""</f>
        <v/>
      </c>
      <c r="R2077" s="2"/>
      <c r="S2077" s="2"/>
      <c r="T2077" s="2">
        <v>2</v>
      </c>
      <c r="U2077" s="2" t="s">
        <v>123</v>
      </c>
      <c r="V2077" s="2">
        <v>1</v>
      </c>
      <c r="W2077" s="2" t="s">
        <v>80</v>
      </c>
      <c r="X2077" s="2">
        <v>5</v>
      </c>
      <c r="Y2077" s="2" t="s">
        <v>82</v>
      </c>
      <c r="Z2077" s="2">
        <v>13</v>
      </c>
      <c r="AA2077" s="2" t="s">
        <v>3158</v>
      </c>
      <c r="AB2077" s="2">
        <v>9</v>
      </c>
      <c r="AC2077" s="2" t="s">
        <v>124</v>
      </c>
      <c r="AD2077" s="3">
        <v>40317</v>
      </c>
      <c r="AE2077" s="4">
        <v>0.91319444444444453</v>
      </c>
      <c r="AF2077" s="2"/>
      <c r="AG2077" s="2"/>
      <c r="AH2077" s="2">
        <v>4</v>
      </c>
      <c r="AI2077" s="2" t="s">
        <v>125</v>
      </c>
      <c r="AJ2077" s="2">
        <v>28</v>
      </c>
      <c r="AK2077" s="2" t="s">
        <v>741</v>
      </c>
      <c r="AL2077" s="2">
        <v>10</v>
      </c>
      <c r="AM2077" s="2" t="s">
        <v>200</v>
      </c>
      <c r="AN2077" s="2"/>
      <c r="AO2077" s="2" t="s">
        <v>7173</v>
      </c>
      <c r="AP2077" s="2">
        <v>11</v>
      </c>
      <c r="AQ2077" s="2" t="s">
        <v>82</v>
      </c>
      <c r="AR2077" s="2"/>
      <c r="AS2077" s="2"/>
      <c r="AT2077" s="2" t="s">
        <v>7174</v>
      </c>
      <c r="AU2077" s="2"/>
      <c r="AV2077" s="2"/>
      <c r="AW2077" s="2"/>
      <c r="AX2077" s="2"/>
      <c r="AY2077" s="2">
        <v>1</v>
      </c>
      <c r="AZ2077" s="2" t="s">
        <v>107</v>
      </c>
      <c r="BA2077" s="2">
        <v>1</v>
      </c>
      <c r="BB2077" s="2" t="s">
        <v>107</v>
      </c>
      <c r="BC2077" s="2">
        <v>1</v>
      </c>
      <c r="BD2077" s="2" t="s">
        <v>107</v>
      </c>
      <c r="BE2077" s="2">
        <v>42</v>
      </c>
      <c r="BF2077" s="2" t="s">
        <v>182</v>
      </c>
      <c r="BG2077" s="2" t="s">
        <v>7175</v>
      </c>
      <c r="BH2077" s="4">
        <v>0.91319444444444453</v>
      </c>
      <c r="BI2077" s="2"/>
      <c r="BJ2077" s="2">
        <v>13</v>
      </c>
      <c r="BK2077" s="2" t="s">
        <v>91</v>
      </c>
      <c r="BL2077" s="2" t="s">
        <v>185</v>
      </c>
      <c r="BM2077" s="2">
        <v>242</v>
      </c>
      <c r="BN2077" s="2" t="s">
        <v>107</v>
      </c>
      <c r="BO2077" s="2"/>
      <c r="BP2077" s="2">
        <v>13</v>
      </c>
      <c r="BQ2077" s="2" t="s">
        <v>91</v>
      </c>
      <c r="BR2077" s="2" t="s">
        <v>744</v>
      </c>
      <c r="BS2077" s="3">
        <v>40317</v>
      </c>
      <c r="BT2077" s="4">
        <v>0.97013888888888899</v>
      </c>
    </row>
    <row r="2078" spans="1:72" x14ac:dyDescent="0.25">
      <c r="A2078" s="2">
        <v>3031</v>
      </c>
      <c r="B2078" s="2">
        <v>2010</v>
      </c>
      <c r="C2078" s="2" t="s">
        <v>171</v>
      </c>
      <c r="D2078" s="2" t="s">
        <v>73</v>
      </c>
      <c r="E2078" s="2"/>
      <c r="F2078" s="2">
        <v>151</v>
      </c>
      <c r="G2078" s="2" t="s">
        <v>314</v>
      </c>
      <c r="H2078" s="2">
        <v>40</v>
      </c>
      <c r="I2078" s="2" t="s">
        <v>2101</v>
      </c>
      <c r="J2078" s="2">
        <v>163</v>
      </c>
      <c r="K2078" s="2" t="s">
        <v>316</v>
      </c>
      <c r="L2078" s="2" t="s">
        <v>317</v>
      </c>
      <c r="M2078" s="3">
        <v>40318</v>
      </c>
      <c r="N2078" s="2" t="s">
        <v>7095</v>
      </c>
      <c r="O2078" s="2"/>
      <c r="P2078" s="2"/>
      <c r="Q2078" s="2" t="str">
        <f>"182-A/10"</f>
        <v>182-A/10</v>
      </c>
      <c r="R2078" s="2"/>
      <c r="S2078" s="2" t="s">
        <v>489</v>
      </c>
      <c r="T2078" s="2">
        <v>1</v>
      </c>
      <c r="U2078" s="2" t="s">
        <v>79</v>
      </c>
      <c r="V2078" s="2">
        <v>1</v>
      </c>
      <c r="W2078" s="2" t="s">
        <v>80</v>
      </c>
      <c r="X2078" s="2">
        <v>1</v>
      </c>
      <c r="Y2078" s="2" t="s">
        <v>81</v>
      </c>
      <c r="Z2078" s="2">
        <v>1</v>
      </c>
      <c r="AA2078" s="2" t="s">
        <v>82</v>
      </c>
      <c r="AB2078" s="2">
        <v>1</v>
      </c>
      <c r="AC2078" s="2" t="s">
        <v>178</v>
      </c>
      <c r="AD2078" s="3">
        <v>40317</v>
      </c>
      <c r="AE2078" s="4">
        <v>0.86111111111111116</v>
      </c>
      <c r="AF2078" s="2"/>
      <c r="AG2078" s="2"/>
      <c r="AH2078" s="2">
        <v>2</v>
      </c>
      <c r="AI2078" s="2" t="s">
        <v>84</v>
      </c>
      <c r="AJ2078" s="2">
        <v>12</v>
      </c>
      <c r="AK2078" s="2" t="s">
        <v>85</v>
      </c>
      <c r="AL2078" s="2">
        <v>11</v>
      </c>
      <c r="AM2078" s="2" t="s">
        <v>137</v>
      </c>
      <c r="AN2078" s="2" t="s">
        <v>1869</v>
      </c>
      <c r="AO2078" s="2" t="s">
        <v>788</v>
      </c>
      <c r="AP2078" s="2">
        <v>11</v>
      </c>
      <c r="AQ2078" s="2" t="s">
        <v>82</v>
      </c>
      <c r="AR2078" s="2"/>
      <c r="AS2078" s="2"/>
      <c r="AT2078" s="2" t="s">
        <v>7176</v>
      </c>
      <c r="AU2078" s="2">
        <v>1</v>
      </c>
      <c r="AV2078" s="2"/>
      <c r="AW2078" s="2"/>
      <c r="AX2078" s="2"/>
      <c r="AY2078" s="2">
        <v>41</v>
      </c>
      <c r="AZ2078" s="2" t="s">
        <v>82</v>
      </c>
      <c r="BA2078" s="2">
        <v>41</v>
      </c>
      <c r="BB2078" s="2" t="s">
        <v>82</v>
      </c>
      <c r="BC2078" s="2">
        <v>41</v>
      </c>
      <c r="BD2078" s="2" t="s">
        <v>82</v>
      </c>
      <c r="BE2078" s="2">
        <v>13</v>
      </c>
      <c r="BF2078" s="2" t="s">
        <v>108</v>
      </c>
      <c r="BG2078" s="2" t="s">
        <v>7177</v>
      </c>
      <c r="BH2078" s="2"/>
      <c r="BI2078" s="4">
        <v>0.85416666666666663</v>
      </c>
      <c r="BJ2078" s="2">
        <v>13</v>
      </c>
      <c r="BK2078" s="2" t="s">
        <v>91</v>
      </c>
      <c r="BL2078" s="2" t="s">
        <v>185</v>
      </c>
      <c r="BM2078" s="2">
        <v>241</v>
      </c>
      <c r="BN2078" s="2" t="s">
        <v>82</v>
      </c>
      <c r="BO2078" s="2"/>
      <c r="BP2078" s="2">
        <v>13</v>
      </c>
      <c r="BQ2078" s="2" t="s">
        <v>91</v>
      </c>
      <c r="BR2078" s="2" t="s">
        <v>353</v>
      </c>
      <c r="BS2078" s="3">
        <v>40318</v>
      </c>
      <c r="BT2078" s="4">
        <v>4.3541666666666666E-2</v>
      </c>
    </row>
    <row r="2079" spans="1:72" x14ac:dyDescent="0.25">
      <c r="A2079" s="2">
        <v>3032</v>
      </c>
      <c r="B2079" s="2">
        <v>2010</v>
      </c>
      <c r="C2079" s="2" t="s">
        <v>171</v>
      </c>
      <c r="D2079" s="2" t="s">
        <v>73</v>
      </c>
      <c r="E2079" s="2"/>
      <c r="F2079" s="2">
        <v>540</v>
      </c>
      <c r="G2079" s="2" t="s">
        <v>7178</v>
      </c>
      <c r="H2079" s="2">
        <v>6</v>
      </c>
      <c r="I2079" s="2" t="s">
        <v>1088</v>
      </c>
      <c r="J2079" s="2">
        <v>533</v>
      </c>
      <c r="K2079" s="2" t="s">
        <v>6511</v>
      </c>
      <c r="L2079" s="2" t="s">
        <v>478</v>
      </c>
      <c r="M2079" s="3">
        <v>40318</v>
      </c>
      <c r="N2079" s="2" t="s">
        <v>6470</v>
      </c>
      <c r="O2079" s="2"/>
      <c r="P2079" s="2"/>
      <c r="Q2079" s="2" t="str">
        <f>"269-E/10"</f>
        <v>269-E/10</v>
      </c>
      <c r="R2079" s="2" t="s">
        <v>7179</v>
      </c>
      <c r="S2079" s="2" t="s">
        <v>7180</v>
      </c>
      <c r="T2079" s="2">
        <v>1</v>
      </c>
      <c r="U2079" s="2" t="s">
        <v>79</v>
      </c>
      <c r="V2079" s="2">
        <v>1</v>
      </c>
      <c r="W2079" s="2" t="s">
        <v>80</v>
      </c>
      <c r="X2079" s="2">
        <v>1</v>
      </c>
      <c r="Y2079" s="2" t="s">
        <v>81</v>
      </c>
      <c r="Z2079" s="2">
        <v>1</v>
      </c>
      <c r="AA2079" s="2" t="s">
        <v>82</v>
      </c>
      <c r="AB2079" s="2">
        <v>1</v>
      </c>
      <c r="AC2079" s="2" t="s">
        <v>178</v>
      </c>
      <c r="AD2079" s="3">
        <v>40317</v>
      </c>
      <c r="AE2079" s="4">
        <v>0.8125</v>
      </c>
      <c r="AF2079" s="2"/>
      <c r="AG2079" s="2"/>
      <c r="AH2079" s="2">
        <v>2</v>
      </c>
      <c r="AI2079" s="2" t="s">
        <v>84</v>
      </c>
      <c r="AJ2079" s="2">
        <v>9</v>
      </c>
      <c r="AK2079" s="2" t="s">
        <v>103</v>
      </c>
      <c r="AL2079" s="2">
        <v>25</v>
      </c>
      <c r="AM2079" s="2" t="s">
        <v>3073</v>
      </c>
      <c r="AN2079" s="2"/>
      <c r="AO2079" s="2" t="s">
        <v>5362</v>
      </c>
      <c r="AP2079" s="2">
        <v>11</v>
      </c>
      <c r="AQ2079" s="2" t="s">
        <v>82</v>
      </c>
      <c r="AR2079" s="2"/>
      <c r="AS2079" s="2"/>
      <c r="AT2079" s="2" t="s">
        <v>7181</v>
      </c>
      <c r="AU2079" s="2"/>
      <c r="AV2079" s="2">
        <v>1</v>
      </c>
      <c r="AW2079" s="2"/>
      <c r="AX2079" s="2"/>
      <c r="AY2079" s="2">
        <v>42</v>
      </c>
      <c r="AZ2079" s="2" t="s">
        <v>182</v>
      </c>
      <c r="BA2079" s="2">
        <v>41</v>
      </c>
      <c r="BB2079" s="2" t="s">
        <v>82</v>
      </c>
      <c r="BC2079" s="2">
        <v>41</v>
      </c>
      <c r="BD2079" s="2" t="s">
        <v>82</v>
      </c>
      <c r="BE2079" s="2">
        <v>13</v>
      </c>
      <c r="BF2079" s="2" t="s">
        <v>108</v>
      </c>
      <c r="BG2079" s="2" t="s">
        <v>842</v>
      </c>
      <c r="BH2079" s="4">
        <v>0.71875</v>
      </c>
      <c r="BI2079" s="4">
        <v>0.89583333333333337</v>
      </c>
      <c r="BJ2079" s="2">
        <v>29</v>
      </c>
      <c r="BK2079" s="2" t="s">
        <v>962</v>
      </c>
      <c r="BL2079" s="2" t="s">
        <v>7182</v>
      </c>
      <c r="BM2079" s="2">
        <v>13</v>
      </c>
      <c r="BN2079" s="2" t="s">
        <v>91</v>
      </c>
      <c r="BO2079" s="2" t="s">
        <v>360</v>
      </c>
      <c r="BP2079" s="2">
        <v>73</v>
      </c>
      <c r="BQ2079" s="2" t="s">
        <v>186</v>
      </c>
      <c r="BR2079" s="2" t="s">
        <v>187</v>
      </c>
      <c r="BS2079" s="3">
        <v>40318</v>
      </c>
      <c r="BT2079" s="4">
        <v>0.1464351851851852</v>
      </c>
    </row>
    <row r="2080" spans="1:72" x14ac:dyDescent="0.25">
      <c r="A2080" s="2">
        <v>3033</v>
      </c>
      <c r="B2080" s="2">
        <v>2010</v>
      </c>
      <c r="C2080" s="2" t="s">
        <v>72</v>
      </c>
      <c r="D2080" s="2" t="s">
        <v>73</v>
      </c>
      <c r="E2080" s="2"/>
      <c r="F2080" s="2">
        <v>215</v>
      </c>
      <c r="G2080" s="2" t="s">
        <v>7183</v>
      </c>
      <c r="H2080" s="2">
        <v>87</v>
      </c>
      <c r="I2080" s="2" t="s">
        <v>4918</v>
      </c>
      <c r="J2080" s="2">
        <v>228</v>
      </c>
      <c r="K2080" s="2" t="s">
        <v>7058</v>
      </c>
      <c r="L2080" s="2" t="s">
        <v>7059</v>
      </c>
      <c r="M2080" s="3">
        <v>40318</v>
      </c>
      <c r="N2080" s="2" t="s">
        <v>7184</v>
      </c>
      <c r="O2080" s="2"/>
      <c r="P2080" s="2"/>
      <c r="Q2080" s="2" t="str">
        <f>"183-A/10"</f>
        <v>183-A/10</v>
      </c>
      <c r="R2080" s="2" t="s">
        <v>5650</v>
      </c>
      <c r="S2080" s="2" t="s">
        <v>5650</v>
      </c>
      <c r="T2080" s="2">
        <v>1</v>
      </c>
      <c r="U2080" s="2" t="s">
        <v>79</v>
      </c>
      <c r="V2080" s="2">
        <v>1</v>
      </c>
      <c r="W2080" s="2" t="s">
        <v>80</v>
      </c>
      <c r="X2080" s="2">
        <v>12</v>
      </c>
      <c r="Y2080" s="2" t="s">
        <v>148</v>
      </c>
      <c r="Z2080" s="2">
        <v>1</v>
      </c>
      <c r="AA2080" s="2" t="s">
        <v>82</v>
      </c>
      <c r="AB2080" s="2">
        <v>6</v>
      </c>
      <c r="AC2080" s="2" t="s">
        <v>83</v>
      </c>
      <c r="AD2080" s="3">
        <v>40317</v>
      </c>
      <c r="AE2080" s="4">
        <v>0.97916666666666663</v>
      </c>
      <c r="AF2080" s="3">
        <v>40318</v>
      </c>
      <c r="AG2080" s="4">
        <v>3.125E-2</v>
      </c>
      <c r="AH2080" s="2">
        <v>2</v>
      </c>
      <c r="AI2080" s="2" t="s">
        <v>84</v>
      </c>
      <c r="AJ2080" s="2">
        <v>12</v>
      </c>
      <c r="AK2080" s="2" t="s">
        <v>85</v>
      </c>
      <c r="AL2080" s="2">
        <v>24</v>
      </c>
      <c r="AM2080" s="2" t="s">
        <v>1540</v>
      </c>
      <c r="AN2080" s="2" t="s">
        <v>7185</v>
      </c>
      <c r="AO2080" s="2" t="s">
        <v>7186</v>
      </c>
      <c r="AP2080" s="2">
        <v>11</v>
      </c>
      <c r="AQ2080" s="2" t="s">
        <v>82</v>
      </c>
      <c r="AR2080" s="2"/>
      <c r="AS2080" s="2"/>
      <c r="AT2080" s="2" t="s">
        <v>7187</v>
      </c>
      <c r="AU2080" s="2"/>
      <c r="AV2080" s="2"/>
      <c r="AW2080" s="2"/>
      <c r="AX2080" s="2"/>
      <c r="AY2080" s="2">
        <v>41</v>
      </c>
      <c r="AZ2080" s="2" t="s">
        <v>82</v>
      </c>
      <c r="BA2080" s="2">
        <v>41</v>
      </c>
      <c r="BB2080" s="2" t="s">
        <v>82</v>
      </c>
      <c r="BC2080" s="2">
        <v>41</v>
      </c>
      <c r="BD2080" s="2" t="s">
        <v>82</v>
      </c>
      <c r="BE2080" s="2">
        <v>41</v>
      </c>
      <c r="BF2080" s="2" t="s">
        <v>82</v>
      </c>
      <c r="BG2080" s="2"/>
      <c r="BH2080" s="2"/>
      <c r="BI2080" s="2"/>
      <c r="BJ2080" s="2">
        <v>241</v>
      </c>
      <c r="BK2080" s="2" t="s">
        <v>82</v>
      </c>
      <c r="BL2080" s="2"/>
      <c r="BM2080" s="2">
        <v>241</v>
      </c>
      <c r="BN2080" s="2" t="s">
        <v>82</v>
      </c>
      <c r="BO2080" s="2"/>
      <c r="BP2080" s="2">
        <v>241</v>
      </c>
      <c r="BQ2080" s="2" t="s">
        <v>82</v>
      </c>
      <c r="BR2080" s="2"/>
      <c r="BS2080" s="3">
        <v>40318</v>
      </c>
      <c r="BT2080" s="4">
        <v>0.2290972222222222</v>
      </c>
    </row>
    <row r="2081" spans="1:72" x14ac:dyDescent="0.25">
      <c r="A2081" s="2">
        <v>3034</v>
      </c>
      <c r="B2081" s="2">
        <v>2010</v>
      </c>
      <c r="C2081" s="2" t="s">
        <v>171</v>
      </c>
      <c r="D2081" s="2" t="s">
        <v>122</v>
      </c>
      <c r="E2081" s="2" t="s">
        <v>7188</v>
      </c>
      <c r="F2081" s="2">
        <v>151</v>
      </c>
      <c r="G2081" s="2" t="s">
        <v>314</v>
      </c>
      <c r="H2081" s="2">
        <v>40</v>
      </c>
      <c r="I2081" s="2" t="s">
        <v>2101</v>
      </c>
      <c r="J2081" s="2">
        <v>163</v>
      </c>
      <c r="K2081" s="2" t="s">
        <v>316</v>
      </c>
      <c r="L2081" s="2" t="s">
        <v>317</v>
      </c>
      <c r="M2081" s="3">
        <v>40318</v>
      </c>
      <c r="N2081" s="2" t="s">
        <v>7095</v>
      </c>
      <c r="O2081" s="2"/>
      <c r="P2081" s="2"/>
      <c r="Q2081" s="2" t="str">
        <f>"182-A/10"</f>
        <v>182-A/10</v>
      </c>
      <c r="R2081" s="2" t="s">
        <v>489</v>
      </c>
      <c r="S2081" s="2"/>
      <c r="T2081" s="2">
        <v>1</v>
      </c>
      <c r="U2081" s="2" t="s">
        <v>79</v>
      </c>
      <c r="V2081" s="2">
        <v>1</v>
      </c>
      <c r="W2081" s="2" t="s">
        <v>80</v>
      </c>
      <c r="X2081" s="2">
        <v>1</v>
      </c>
      <c r="Y2081" s="2" t="s">
        <v>81</v>
      </c>
      <c r="Z2081" s="2">
        <v>1</v>
      </c>
      <c r="AA2081" s="2" t="s">
        <v>82</v>
      </c>
      <c r="AB2081" s="2">
        <v>1</v>
      </c>
      <c r="AC2081" s="2" t="s">
        <v>178</v>
      </c>
      <c r="AD2081" s="3">
        <v>40317</v>
      </c>
      <c r="AE2081" s="4">
        <v>0.86111111111111116</v>
      </c>
      <c r="AF2081" s="2"/>
      <c r="AG2081" s="2"/>
      <c r="AH2081" s="2">
        <v>2</v>
      </c>
      <c r="AI2081" s="2" t="s">
        <v>84</v>
      </c>
      <c r="AJ2081" s="2">
        <v>12</v>
      </c>
      <c r="AK2081" s="2" t="s">
        <v>85</v>
      </c>
      <c r="AL2081" s="2">
        <v>11</v>
      </c>
      <c r="AM2081" s="2" t="s">
        <v>137</v>
      </c>
      <c r="AN2081" s="2" t="s">
        <v>1869</v>
      </c>
      <c r="AO2081" s="2" t="s">
        <v>788</v>
      </c>
      <c r="AP2081" s="2">
        <v>11</v>
      </c>
      <c r="AQ2081" s="2" t="s">
        <v>82</v>
      </c>
      <c r="AR2081" s="2"/>
      <c r="AS2081" s="2"/>
      <c r="AT2081" s="2" t="s">
        <v>7189</v>
      </c>
      <c r="AU2081" s="2">
        <v>1</v>
      </c>
      <c r="AV2081" s="2"/>
      <c r="AW2081" s="2"/>
      <c r="AX2081" s="2"/>
      <c r="AY2081" s="2">
        <v>41</v>
      </c>
      <c r="AZ2081" s="2" t="s">
        <v>82</v>
      </c>
      <c r="BA2081" s="2">
        <v>41</v>
      </c>
      <c r="BB2081" s="2" t="s">
        <v>82</v>
      </c>
      <c r="BC2081" s="2">
        <v>41</v>
      </c>
      <c r="BD2081" s="2" t="s">
        <v>82</v>
      </c>
      <c r="BE2081" s="2">
        <v>13</v>
      </c>
      <c r="BF2081" s="2" t="s">
        <v>108</v>
      </c>
      <c r="BG2081" s="2" t="s">
        <v>7177</v>
      </c>
      <c r="BH2081" s="2"/>
      <c r="BI2081" s="4">
        <v>0.85416666666666663</v>
      </c>
      <c r="BJ2081" s="2">
        <v>13</v>
      </c>
      <c r="BK2081" s="2" t="s">
        <v>91</v>
      </c>
      <c r="BL2081" s="2" t="s">
        <v>185</v>
      </c>
      <c r="BM2081" s="2">
        <v>241</v>
      </c>
      <c r="BN2081" s="2" t="s">
        <v>82</v>
      </c>
      <c r="BO2081" s="2"/>
      <c r="BP2081" s="2">
        <v>13</v>
      </c>
      <c r="BQ2081" s="2" t="s">
        <v>91</v>
      </c>
      <c r="BR2081" s="2" t="s">
        <v>353</v>
      </c>
      <c r="BS2081" s="3">
        <v>40318</v>
      </c>
      <c r="BT2081" s="4">
        <v>0.3133333333333333</v>
      </c>
    </row>
    <row r="2082" spans="1:72" x14ac:dyDescent="0.25">
      <c r="A2082" s="2">
        <v>3035</v>
      </c>
      <c r="B2082" s="2">
        <v>2010</v>
      </c>
      <c r="C2082" s="2" t="s">
        <v>171</v>
      </c>
      <c r="D2082" s="2" t="s">
        <v>122</v>
      </c>
      <c r="E2082" s="2" t="s">
        <v>7190</v>
      </c>
      <c r="F2082" s="2">
        <v>394</v>
      </c>
      <c r="G2082" s="2" t="s">
        <v>172</v>
      </c>
      <c r="H2082" s="2">
        <v>6</v>
      </c>
      <c r="I2082" s="2" t="s">
        <v>1088</v>
      </c>
      <c r="J2082" s="2">
        <v>242</v>
      </c>
      <c r="K2082" s="2" t="s">
        <v>1077</v>
      </c>
      <c r="L2082" s="2" t="s">
        <v>1078</v>
      </c>
      <c r="M2082" s="3">
        <v>40318</v>
      </c>
      <c r="N2082" s="2" t="s">
        <v>7163</v>
      </c>
      <c r="O2082" s="2"/>
      <c r="P2082" s="2"/>
      <c r="Q2082" s="2" t="str">
        <f>"268-E/10"</f>
        <v>268-E/10</v>
      </c>
      <c r="R2082" s="2" t="s">
        <v>391</v>
      </c>
      <c r="S2082" s="2"/>
      <c r="T2082" s="2">
        <v>1</v>
      </c>
      <c r="U2082" s="2" t="s">
        <v>79</v>
      </c>
      <c r="V2082" s="2">
        <v>1</v>
      </c>
      <c r="W2082" s="2" t="s">
        <v>80</v>
      </c>
      <c r="X2082" s="2">
        <v>1</v>
      </c>
      <c r="Y2082" s="2" t="s">
        <v>81</v>
      </c>
      <c r="Z2082" s="2">
        <v>10</v>
      </c>
      <c r="AA2082" s="2" t="s">
        <v>236</v>
      </c>
      <c r="AB2082" s="2">
        <v>1</v>
      </c>
      <c r="AC2082" s="2" t="s">
        <v>178</v>
      </c>
      <c r="AD2082" s="3">
        <v>40317</v>
      </c>
      <c r="AE2082" s="4">
        <v>0.47916666666666669</v>
      </c>
      <c r="AF2082" s="2"/>
      <c r="AG2082" s="2"/>
      <c r="AH2082" s="2">
        <v>2</v>
      </c>
      <c r="AI2082" s="2" t="s">
        <v>84</v>
      </c>
      <c r="AJ2082" s="2">
        <v>9</v>
      </c>
      <c r="AK2082" s="2" t="s">
        <v>103</v>
      </c>
      <c r="AL2082" s="2">
        <v>14</v>
      </c>
      <c r="AM2082" s="2" t="s">
        <v>216</v>
      </c>
      <c r="AN2082" s="2"/>
      <c r="AO2082" s="2" t="s">
        <v>7191</v>
      </c>
      <c r="AP2082" s="2">
        <v>11</v>
      </c>
      <c r="AQ2082" s="2" t="s">
        <v>82</v>
      </c>
      <c r="AR2082" s="2"/>
      <c r="AS2082" s="2"/>
      <c r="AT2082" s="2" t="s">
        <v>7192</v>
      </c>
      <c r="AU2082" s="2"/>
      <c r="AV2082" s="2">
        <v>1</v>
      </c>
      <c r="AW2082" s="2"/>
      <c r="AX2082" s="2"/>
      <c r="AY2082" s="2">
        <v>42</v>
      </c>
      <c r="AZ2082" s="2" t="s">
        <v>182</v>
      </c>
      <c r="BA2082" s="2">
        <v>41</v>
      </c>
      <c r="BB2082" s="2" t="s">
        <v>82</v>
      </c>
      <c r="BC2082" s="2">
        <v>41</v>
      </c>
      <c r="BD2082" s="2" t="s">
        <v>82</v>
      </c>
      <c r="BE2082" s="2">
        <v>23</v>
      </c>
      <c r="BF2082" s="2" t="s">
        <v>183</v>
      </c>
      <c r="BG2082" s="2" t="s">
        <v>5475</v>
      </c>
      <c r="BH2082" s="2"/>
      <c r="BI2082" s="4">
        <v>0.53125</v>
      </c>
      <c r="BJ2082" s="2">
        <v>13</v>
      </c>
      <c r="BK2082" s="2" t="s">
        <v>91</v>
      </c>
      <c r="BL2082" s="2" t="s">
        <v>1108</v>
      </c>
      <c r="BM2082" s="2">
        <v>241</v>
      </c>
      <c r="BN2082" s="2" t="s">
        <v>82</v>
      </c>
      <c r="BO2082" s="2"/>
      <c r="BP2082" s="2">
        <v>73</v>
      </c>
      <c r="BQ2082" s="2" t="s">
        <v>186</v>
      </c>
      <c r="BR2082" s="2"/>
      <c r="BS2082" s="3">
        <v>40318</v>
      </c>
      <c r="BT2082" s="4">
        <v>0.34974537037037035</v>
      </c>
    </row>
    <row r="2083" spans="1:72" x14ac:dyDescent="0.25">
      <c r="A2083" s="2">
        <v>3036</v>
      </c>
      <c r="B2083" s="2">
        <v>2010</v>
      </c>
      <c r="C2083" s="2" t="s">
        <v>4543</v>
      </c>
      <c r="D2083" s="2" t="s">
        <v>122</v>
      </c>
      <c r="E2083" s="2"/>
      <c r="F2083" s="2">
        <v>1</v>
      </c>
      <c r="G2083" s="2" t="s">
        <v>82</v>
      </c>
      <c r="H2083" s="2">
        <v>1</v>
      </c>
      <c r="I2083" s="2" t="s">
        <v>82</v>
      </c>
      <c r="J2083" s="2">
        <v>1</v>
      </c>
      <c r="K2083" s="2" t="s">
        <v>107</v>
      </c>
      <c r="L2083" s="2" t="s">
        <v>107</v>
      </c>
      <c r="M2083" s="3">
        <v>40318</v>
      </c>
      <c r="N2083" s="2"/>
      <c r="O2083" s="2"/>
      <c r="P2083" s="2"/>
      <c r="Q2083" s="2" t="str">
        <f>""</f>
        <v/>
      </c>
      <c r="R2083" s="2"/>
      <c r="S2083" s="2"/>
      <c r="T2083" s="2">
        <v>2</v>
      </c>
      <c r="U2083" s="2" t="s">
        <v>123</v>
      </c>
      <c r="V2083" s="2">
        <v>1</v>
      </c>
      <c r="W2083" s="2" t="s">
        <v>80</v>
      </c>
      <c r="X2083" s="2">
        <v>11</v>
      </c>
      <c r="Y2083" s="2" t="s">
        <v>1920</v>
      </c>
      <c r="Z2083" s="2">
        <v>1</v>
      </c>
      <c r="AA2083" s="2" t="s">
        <v>82</v>
      </c>
      <c r="AB2083" s="2">
        <v>9</v>
      </c>
      <c r="AC2083" s="2" t="s">
        <v>124</v>
      </c>
      <c r="AD2083" s="3">
        <v>40318</v>
      </c>
      <c r="AE2083" s="4">
        <v>0.36805555555555558</v>
      </c>
      <c r="AF2083" s="2"/>
      <c r="AG2083" s="2"/>
      <c r="AH2083" s="2">
        <v>6</v>
      </c>
      <c r="AI2083" s="2" t="s">
        <v>197</v>
      </c>
      <c r="AJ2083" s="2">
        <v>54</v>
      </c>
      <c r="AK2083" s="2" t="s">
        <v>348</v>
      </c>
      <c r="AL2083" s="2">
        <v>18</v>
      </c>
      <c r="AM2083" s="2" t="s">
        <v>82</v>
      </c>
      <c r="AN2083" s="2" t="s">
        <v>595</v>
      </c>
      <c r="AO2083" s="2" t="s">
        <v>200</v>
      </c>
      <c r="AP2083" s="2">
        <v>14</v>
      </c>
      <c r="AQ2083" s="2" t="s">
        <v>3301</v>
      </c>
      <c r="AR2083" s="2" t="s">
        <v>596</v>
      </c>
      <c r="AS2083" s="2" t="s">
        <v>596</v>
      </c>
      <c r="AT2083" s="2" t="s">
        <v>7193</v>
      </c>
      <c r="AU2083" s="2"/>
      <c r="AV2083" s="2"/>
      <c r="AW2083" s="2"/>
      <c r="AX2083" s="2"/>
      <c r="AY2083" s="2">
        <v>1</v>
      </c>
      <c r="AZ2083" s="2" t="s">
        <v>107</v>
      </c>
      <c r="BA2083" s="2">
        <v>1</v>
      </c>
      <c r="BB2083" s="2" t="s">
        <v>107</v>
      </c>
      <c r="BC2083" s="2">
        <v>1</v>
      </c>
      <c r="BD2083" s="2" t="s">
        <v>107</v>
      </c>
      <c r="BE2083" s="2">
        <v>4</v>
      </c>
      <c r="BF2083" s="2" t="s">
        <v>90</v>
      </c>
      <c r="BG2083" s="2" t="s">
        <v>5619</v>
      </c>
      <c r="BH2083" s="4">
        <v>0.32291666666666669</v>
      </c>
      <c r="BI2083" s="4">
        <v>0.3611111111111111</v>
      </c>
      <c r="BJ2083" s="2">
        <v>13</v>
      </c>
      <c r="BK2083" s="2" t="s">
        <v>91</v>
      </c>
      <c r="BL2083" s="2" t="s">
        <v>2764</v>
      </c>
      <c r="BM2083" s="2">
        <v>242</v>
      </c>
      <c r="BN2083" s="2" t="s">
        <v>107</v>
      </c>
      <c r="BO2083" s="2"/>
      <c r="BP2083" s="2">
        <v>13</v>
      </c>
      <c r="BQ2083" s="2" t="s">
        <v>91</v>
      </c>
      <c r="BR2083" s="2" t="s">
        <v>2168</v>
      </c>
      <c r="BS2083" s="3">
        <v>40318</v>
      </c>
      <c r="BT2083" s="4">
        <v>0.37616898148148148</v>
      </c>
    </row>
    <row r="2084" spans="1:72" x14ac:dyDescent="0.25">
      <c r="A2084" s="2">
        <v>3037</v>
      </c>
      <c r="B2084" s="2">
        <v>2010</v>
      </c>
      <c r="C2084" s="2" t="s">
        <v>4543</v>
      </c>
      <c r="D2084" s="2" t="s">
        <v>73</v>
      </c>
      <c r="E2084" s="2"/>
      <c r="F2084" s="2">
        <v>1</v>
      </c>
      <c r="G2084" s="2" t="s">
        <v>82</v>
      </c>
      <c r="H2084" s="2">
        <v>1</v>
      </c>
      <c r="I2084" s="2" t="s">
        <v>82</v>
      </c>
      <c r="J2084" s="2">
        <v>1</v>
      </c>
      <c r="K2084" s="2" t="s">
        <v>107</v>
      </c>
      <c r="L2084" s="2" t="s">
        <v>107</v>
      </c>
      <c r="M2084" s="3">
        <v>40318</v>
      </c>
      <c r="N2084" s="2"/>
      <c r="O2084" s="2"/>
      <c r="P2084" s="2"/>
      <c r="Q2084" s="2" t="str">
        <f>""</f>
        <v/>
      </c>
      <c r="R2084" s="2"/>
      <c r="S2084" s="2"/>
      <c r="T2084" s="2">
        <v>2</v>
      </c>
      <c r="U2084" s="2" t="s">
        <v>123</v>
      </c>
      <c r="V2084" s="2">
        <v>1</v>
      </c>
      <c r="W2084" s="2" t="s">
        <v>80</v>
      </c>
      <c r="X2084" s="2">
        <v>1</v>
      </c>
      <c r="Y2084" s="2" t="s">
        <v>81</v>
      </c>
      <c r="Z2084" s="2">
        <v>1</v>
      </c>
      <c r="AA2084" s="2" t="s">
        <v>82</v>
      </c>
      <c r="AB2084" s="2">
        <v>9</v>
      </c>
      <c r="AC2084" s="2" t="s">
        <v>124</v>
      </c>
      <c r="AD2084" s="3">
        <v>40318</v>
      </c>
      <c r="AE2084" s="4">
        <v>0.14583333333333334</v>
      </c>
      <c r="AF2084" s="2"/>
      <c r="AG2084" s="2"/>
      <c r="AH2084" s="2">
        <v>6</v>
      </c>
      <c r="AI2084" s="2" t="s">
        <v>197</v>
      </c>
      <c r="AJ2084" s="2">
        <v>46</v>
      </c>
      <c r="AK2084" s="2" t="s">
        <v>197</v>
      </c>
      <c r="AL2084" s="2">
        <v>10</v>
      </c>
      <c r="AM2084" s="2" t="s">
        <v>200</v>
      </c>
      <c r="AN2084" s="2" t="s">
        <v>3056</v>
      </c>
      <c r="AO2084" s="2"/>
      <c r="AP2084" s="2">
        <v>12</v>
      </c>
      <c r="AQ2084" s="2" t="s">
        <v>322</v>
      </c>
      <c r="AR2084" s="2" t="s">
        <v>82</v>
      </c>
      <c r="AS2084" s="2" t="s">
        <v>82</v>
      </c>
      <c r="AT2084" s="2" t="s">
        <v>7194</v>
      </c>
      <c r="AU2084" s="2"/>
      <c r="AV2084" s="2"/>
      <c r="AW2084" s="2"/>
      <c r="AX2084" s="2"/>
      <c r="AY2084" s="2">
        <v>1</v>
      </c>
      <c r="AZ2084" s="2" t="s">
        <v>107</v>
      </c>
      <c r="BA2084" s="2">
        <v>1</v>
      </c>
      <c r="BB2084" s="2" t="s">
        <v>107</v>
      </c>
      <c r="BC2084" s="2">
        <v>1</v>
      </c>
      <c r="BD2084" s="2" t="s">
        <v>107</v>
      </c>
      <c r="BE2084" s="2">
        <v>47</v>
      </c>
      <c r="BF2084" s="2" t="s">
        <v>167</v>
      </c>
      <c r="BG2084" s="2">
        <v>2883</v>
      </c>
      <c r="BH2084" s="4">
        <v>0.13194444444444445</v>
      </c>
      <c r="BI2084" s="4">
        <v>0.17083333333333331</v>
      </c>
      <c r="BJ2084" s="2">
        <v>13</v>
      </c>
      <c r="BK2084" s="2" t="s">
        <v>91</v>
      </c>
      <c r="BL2084" s="2" t="s">
        <v>492</v>
      </c>
      <c r="BM2084" s="2">
        <v>241</v>
      </c>
      <c r="BN2084" s="2" t="s">
        <v>82</v>
      </c>
      <c r="BO2084" s="2" t="s">
        <v>82</v>
      </c>
      <c r="BP2084" s="2">
        <v>13</v>
      </c>
      <c r="BQ2084" s="2" t="s">
        <v>91</v>
      </c>
      <c r="BR2084" s="2" t="s">
        <v>170</v>
      </c>
      <c r="BS2084" s="3">
        <v>40318</v>
      </c>
      <c r="BT2084" s="4">
        <v>0.39660879629629631</v>
      </c>
    </row>
    <row r="2085" spans="1:72" x14ac:dyDescent="0.25">
      <c r="A2085" s="2">
        <v>3038</v>
      </c>
      <c r="B2085" s="2">
        <v>2010</v>
      </c>
      <c r="C2085" s="2" t="s">
        <v>196</v>
      </c>
      <c r="D2085" s="2" t="s">
        <v>122</v>
      </c>
      <c r="E2085" s="2"/>
      <c r="F2085" s="2">
        <v>1</v>
      </c>
      <c r="G2085" s="2" t="s">
        <v>82</v>
      </c>
      <c r="H2085" s="2">
        <v>1</v>
      </c>
      <c r="I2085" s="2" t="s">
        <v>82</v>
      </c>
      <c r="J2085" s="2">
        <v>1</v>
      </c>
      <c r="K2085" s="2" t="s">
        <v>107</v>
      </c>
      <c r="L2085" s="2" t="s">
        <v>107</v>
      </c>
      <c r="M2085" s="3">
        <v>40318</v>
      </c>
      <c r="N2085" s="2"/>
      <c r="O2085" s="2"/>
      <c r="P2085" s="2"/>
      <c r="Q2085" s="2" t="str">
        <f>""</f>
        <v/>
      </c>
      <c r="R2085" s="2"/>
      <c r="S2085" s="2"/>
      <c r="T2085" s="2">
        <v>2</v>
      </c>
      <c r="U2085" s="2" t="s">
        <v>123</v>
      </c>
      <c r="V2085" s="2">
        <v>1</v>
      </c>
      <c r="W2085" s="2" t="s">
        <v>80</v>
      </c>
      <c r="X2085" s="2">
        <v>11</v>
      </c>
      <c r="Y2085" s="2" t="s">
        <v>1920</v>
      </c>
      <c r="Z2085" s="2">
        <v>10</v>
      </c>
      <c r="AA2085" s="2" t="s">
        <v>236</v>
      </c>
      <c r="AB2085" s="2">
        <v>9</v>
      </c>
      <c r="AC2085" s="2" t="s">
        <v>124</v>
      </c>
      <c r="AD2085" s="3">
        <v>40318</v>
      </c>
      <c r="AE2085" s="4">
        <v>0.25</v>
      </c>
      <c r="AF2085" s="2"/>
      <c r="AG2085" s="2"/>
      <c r="AH2085" s="2">
        <v>2</v>
      </c>
      <c r="AI2085" s="2" t="s">
        <v>84</v>
      </c>
      <c r="AJ2085" s="2">
        <v>12</v>
      </c>
      <c r="AK2085" s="2" t="s">
        <v>85</v>
      </c>
      <c r="AL2085" s="2">
        <v>20</v>
      </c>
      <c r="AM2085" s="2" t="s">
        <v>992</v>
      </c>
      <c r="AN2085" s="2"/>
      <c r="AO2085" s="2" t="s">
        <v>993</v>
      </c>
      <c r="AP2085" s="2">
        <v>11</v>
      </c>
      <c r="AQ2085" s="2" t="s">
        <v>82</v>
      </c>
      <c r="AR2085" s="2"/>
      <c r="AS2085" s="2"/>
      <c r="AT2085" s="2" t="s">
        <v>7195</v>
      </c>
      <c r="AU2085" s="2"/>
      <c r="AV2085" s="2"/>
      <c r="AW2085" s="2"/>
      <c r="AX2085" s="2"/>
      <c r="AY2085" s="2">
        <v>41</v>
      </c>
      <c r="AZ2085" s="2" t="s">
        <v>82</v>
      </c>
      <c r="BA2085" s="2">
        <v>41</v>
      </c>
      <c r="BB2085" s="2" t="s">
        <v>82</v>
      </c>
      <c r="BC2085" s="2">
        <v>41</v>
      </c>
      <c r="BD2085" s="2" t="s">
        <v>82</v>
      </c>
      <c r="BE2085" s="2">
        <v>41</v>
      </c>
      <c r="BF2085" s="2" t="s">
        <v>82</v>
      </c>
      <c r="BG2085" s="2"/>
      <c r="BH2085" s="2"/>
      <c r="BI2085" s="2"/>
      <c r="BJ2085" s="2">
        <v>241</v>
      </c>
      <c r="BK2085" s="2" t="s">
        <v>82</v>
      </c>
      <c r="BL2085" s="2"/>
      <c r="BM2085" s="2">
        <v>241</v>
      </c>
      <c r="BN2085" s="2" t="s">
        <v>82</v>
      </c>
      <c r="BO2085" s="2"/>
      <c r="BP2085" s="2">
        <v>241</v>
      </c>
      <c r="BQ2085" s="2" t="s">
        <v>82</v>
      </c>
      <c r="BR2085" s="2"/>
      <c r="BS2085" s="3">
        <v>40318</v>
      </c>
      <c r="BT2085" s="4">
        <v>0.42975694444444446</v>
      </c>
    </row>
    <row r="2086" spans="1:72" x14ac:dyDescent="0.25">
      <c r="A2086" s="2">
        <v>3039</v>
      </c>
      <c r="B2086" s="2">
        <v>2010</v>
      </c>
      <c r="C2086" s="2" t="s">
        <v>819</v>
      </c>
      <c r="D2086" s="2" t="s">
        <v>122</v>
      </c>
      <c r="E2086" s="2" t="s">
        <v>7196</v>
      </c>
      <c r="F2086" s="2">
        <v>451</v>
      </c>
      <c r="G2086" s="2" t="s">
        <v>879</v>
      </c>
      <c r="H2086" s="2">
        <v>31</v>
      </c>
      <c r="I2086" s="2" t="s">
        <v>880</v>
      </c>
      <c r="J2086" s="2">
        <v>326</v>
      </c>
      <c r="K2086" s="2" t="s">
        <v>881</v>
      </c>
      <c r="L2086" s="2" t="s">
        <v>882</v>
      </c>
      <c r="M2086" s="3">
        <v>40318</v>
      </c>
      <c r="N2086" s="2" t="s">
        <v>1072</v>
      </c>
      <c r="O2086" s="2"/>
      <c r="P2086" s="2"/>
      <c r="Q2086" s="2" t="str">
        <f>"058/10"</f>
        <v>058/10</v>
      </c>
      <c r="R2086" s="2"/>
      <c r="S2086" s="2" t="s">
        <v>822</v>
      </c>
      <c r="T2086" s="2">
        <v>1</v>
      </c>
      <c r="U2086" s="2" t="s">
        <v>79</v>
      </c>
      <c r="V2086" s="2">
        <v>1</v>
      </c>
      <c r="W2086" s="2" t="s">
        <v>80</v>
      </c>
      <c r="X2086" s="2">
        <v>1</v>
      </c>
      <c r="Y2086" s="2" t="s">
        <v>81</v>
      </c>
      <c r="Z2086" s="2">
        <v>10</v>
      </c>
      <c r="AA2086" s="2" t="s">
        <v>236</v>
      </c>
      <c r="AB2086" s="2">
        <v>9</v>
      </c>
      <c r="AC2086" s="2" t="s">
        <v>124</v>
      </c>
      <c r="AD2086" s="3">
        <v>40318</v>
      </c>
      <c r="AE2086" s="4">
        <v>0.43055555555555558</v>
      </c>
      <c r="AF2086" s="2"/>
      <c r="AG2086" s="2"/>
      <c r="AH2086" s="2">
        <v>4</v>
      </c>
      <c r="AI2086" s="2" t="s">
        <v>125</v>
      </c>
      <c r="AJ2086" s="2">
        <v>29</v>
      </c>
      <c r="AK2086" s="2" t="s">
        <v>227</v>
      </c>
      <c r="AL2086" s="2">
        <v>16</v>
      </c>
      <c r="AM2086" s="2" t="s">
        <v>392</v>
      </c>
      <c r="AN2086" s="2" t="s">
        <v>3040</v>
      </c>
      <c r="AO2086" s="2" t="s">
        <v>5383</v>
      </c>
      <c r="AP2086" s="2">
        <v>12</v>
      </c>
      <c r="AQ2086" s="2" t="s">
        <v>322</v>
      </c>
      <c r="AR2086" s="2" t="s">
        <v>824</v>
      </c>
      <c r="AS2086" s="2" t="s">
        <v>825</v>
      </c>
      <c r="AT2086" s="2" t="s">
        <v>7197</v>
      </c>
      <c r="AU2086" s="2"/>
      <c r="AV2086" s="2"/>
      <c r="AW2086" s="2"/>
      <c r="AX2086" s="2"/>
      <c r="AY2086" s="2">
        <v>41</v>
      </c>
      <c r="AZ2086" s="2" t="s">
        <v>82</v>
      </c>
      <c r="BA2086" s="2">
        <v>41</v>
      </c>
      <c r="BB2086" s="2" t="s">
        <v>82</v>
      </c>
      <c r="BC2086" s="2">
        <v>51</v>
      </c>
      <c r="BD2086" s="2" t="s">
        <v>827</v>
      </c>
      <c r="BE2086" s="2">
        <v>13</v>
      </c>
      <c r="BF2086" s="2" t="s">
        <v>108</v>
      </c>
      <c r="BG2086" s="2">
        <v>1459</v>
      </c>
      <c r="BH2086" s="4">
        <v>0.88888888888888884</v>
      </c>
      <c r="BI2086" s="4">
        <v>0.92361111111111116</v>
      </c>
      <c r="BJ2086" s="2">
        <v>13</v>
      </c>
      <c r="BK2086" s="2" t="s">
        <v>91</v>
      </c>
      <c r="BL2086" s="2" t="s">
        <v>828</v>
      </c>
      <c r="BM2086" s="2">
        <v>241</v>
      </c>
      <c r="BN2086" s="2" t="s">
        <v>82</v>
      </c>
      <c r="BO2086" s="2" t="s">
        <v>82</v>
      </c>
      <c r="BP2086" s="2">
        <v>13</v>
      </c>
      <c r="BQ2086" s="2" t="s">
        <v>91</v>
      </c>
      <c r="BR2086" s="2" t="s">
        <v>185</v>
      </c>
      <c r="BS2086" s="3">
        <v>40318</v>
      </c>
      <c r="BT2086" s="4">
        <v>0.44188657407407406</v>
      </c>
    </row>
    <row r="2087" spans="1:72" x14ac:dyDescent="0.25">
      <c r="A2087" s="2">
        <v>3040</v>
      </c>
      <c r="B2087" s="2">
        <v>2010</v>
      </c>
      <c r="C2087" s="2" t="s">
        <v>377</v>
      </c>
      <c r="D2087" s="2" t="s">
        <v>73</v>
      </c>
      <c r="E2087" s="2"/>
      <c r="F2087" s="2">
        <v>426</v>
      </c>
      <c r="G2087" s="2" t="s">
        <v>378</v>
      </c>
      <c r="H2087" s="2">
        <v>22</v>
      </c>
      <c r="I2087" s="2" t="s">
        <v>75</v>
      </c>
      <c r="J2087" s="2">
        <v>311</v>
      </c>
      <c r="K2087" s="2" t="s">
        <v>379</v>
      </c>
      <c r="L2087" s="2" t="s">
        <v>380</v>
      </c>
      <c r="M2087" s="3">
        <v>40318</v>
      </c>
      <c r="N2087" s="2" t="s">
        <v>4427</v>
      </c>
      <c r="O2087" s="2"/>
      <c r="P2087" s="2"/>
      <c r="Q2087" s="2" t="str">
        <f>"085-C/10"</f>
        <v>085-C/10</v>
      </c>
      <c r="R2087" s="2" t="s">
        <v>3160</v>
      </c>
      <c r="S2087" s="2"/>
      <c r="T2087" s="2">
        <v>1</v>
      </c>
      <c r="U2087" s="2" t="s">
        <v>79</v>
      </c>
      <c r="V2087" s="2">
        <v>1</v>
      </c>
      <c r="W2087" s="2" t="s">
        <v>80</v>
      </c>
      <c r="X2087" s="2">
        <v>1</v>
      </c>
      <c r="Y2087" s="2" t="s">
        <v>81</v>
      </c>
      <c r="Z2087" s="2">
        <v>1</v>
      </c>
      <c r="AA2087" s="2" t="s">
        <v>82</v>
      </c>
      <c r="AB2087" s="2">
        <v>9</v>
      </c>
      <c r="AC2087" s="2" t="s">
        <v>124</v>
      </c>
      <c r="AD2087" s="3">
        <v>40318</v>
      </c>
      <c r="AE2087" s="4">
        <v>0.36458333333333331</v>
      </c>
      <c r="AF2087" s="2"/>
      <c r="AG2087" s="2"/>
      <c r="AH2087" s="2">
        <v>2</v>
      </c>
      <c r="AI2087" s="2" t="s">
        <v>84</v>
      </c>
      <c r="AJ2087" s="2">
        <v>9</v>
      </c>
      <c r="AK2087" s="2" t="s">
        <v>103</v>
      </c>
      <c r="AL2087" s="2">
        <v>13</v>
      </c>
      <c r="AM2087" s="2" t="s">
        <v>117</v>
      </c>
      <c r="AN2087" s="2" t="s">
        <v>107</v>
      </c>
      <c r="AO2087" s="2" t="s">
        <v>2887</v>
      </c>
      <c r="AP2087" s="2">
        <v>11</v>
      </c>
      <c r="AQ2087" s="2" t="s">
        <v>82</v>
      </c>
      <c r="AR2087" s="2"/>
      <c r="AS2087" s="2"/>
      <c r="AT2087" s="2" t="s">
        <v>7198</v>
      </c>
      <c r="AU2087" s="2"/>
      <c r="AV2087" s="2"/>
      <c r="AW2087" s="2"/>
      <c r="AX2087" s="2"/>
      <c r="AY2087" s="2">
        <v>41</v>
      </c>
      <c r="AZ2087" s="2" t="s">
        <v>82</v>
      </c>
      <c r="BA2087" s="2">
        <v>41</v>
      </c>
      <c r="BB2087" s="2" t="s">
        <v>82</v>
      </c>
      <c r="BC2087" s="2">
        <v>41</v>
      </c>
      <c r="BD2087" s="2" t="s">
        <v>82</v>
      </c>
      <c r="BE2087" s="2">
        <v>41</v>
      </c>
      <c r="BF2087" s="2" t="s">
        <v>82</v>
      </c>
      <c r="BG2087" s="2"/>
      <c r="BH2087" s="2"/>
      <c r="BI2087" s="2"/>
      <c r="BJ2087" s="2">
        <v>241</v>
      </c>
      <c r="BK2087" s="2" t="s">
        <v>82</v>
      </c>
      <c r="BL2087" s="2"/>
      <c r="BM2087" s="2">
        <v>241</v>
      </c>
      <c r="BN2087" s="2" t="s">
        <v>82</v>
      </c>
      <c r="BO2087" s="2"/>
      <c r="BP2087" s="2">
        <v>241</v>
      </c>
      <c r="BQ2087" s="2" t="s">
        <v>82</v>
      </c>
      <c r="BR2087" s="2"/>
      <c r="BS2087" s="3">
        <v>40318</v>
      </c>
      <c r="BT2087" s="4">
        <v>0.49931712962962965</v>
      </c>
    </row>
    <row r="2088" spans="1:72" x14ac:dyDescent="0.25">
      <c r="A2088" s="2">
        <v>3041</v>
      </c>
      <c r="B2088" s="2">
        <v>2010</v>
      </c>
      <c r="C2088" s="2" t="s">
        <v>385</v>
      </c>
      <c r="D2088" s="2" t="s">
        <v>122</v>
      </c>
      <c r="E2088" s="2"/>
      <c r="F2088" s="2">
        <v>621</v>
      </c>
      <c r="G2088" s="2" t="s">
        <v>7199</v>
      </c>
      <c r="H2088" s="2">
        <v>22</v>
      </c>
      <c r="I2088" s="2" t="s">
        <v>75</v>
      </c>
      <c r="J2088" s="2">
        <v>158</v>
      </c>
      <c r="K2088" s="2" t="s">
        <v>7200</v>
      </c>
      <c r="L2088" s="2" t="s">
        <v>7201</v>
      </c>
      <c r="M2088" s="3">
        <v>40318</v>
      </c>
      <c r="N2088" s="2" t="s">
        <v>7202</v>
      </c>
      <c r="O2088" s="2" t="s">
        <v>7203</v>
      </c>
      <c r="P2088" s="2" t="s">
        <v>7204</v>
      </c>
      <c r="Q2088" s="2" t="str">
        <f>"N/C"</f>
        <v>N/C</v>
      </c>
      <c r="R2088" s="2" t="s">
        <v>82</v>
      </c>
      <c r="S2088" s="2" t="s">
        <v>82</v>
      </c>
      <c r="T2088" s="2">
        <v>1</v>
      </c>
      <c r="U2088" s="2" t="s">
        <v>79</v>
      </c>
      <c r="V2088" s="2">
        <v>1</v>
      </c>
      <c r="W2088" s="2" t="s">
        <v>80</v>
      </c>
      <c r="X2088" s="2">
        <v>4</v>
      </c>
      <c r="Y2088" s="2" t="s">
        <v>463</v>
      </c>
      <c r="Z2088" s="2">
        <v>1</v>
      </c>
      <c r="AA2088" s="2" t="s">
        <v>82</v>
      </c>
      <c r="AB2088" s="2">
        <v>9</v>
      </c>
      <c r="AC2088" s="2" t="s">
        <v>124</v>
      </c>
      <c r="AD2088" s="3">
        <v>40318</v>
      </c>
      <c r="AE2088" s="4">
        <v>0.48958333333333331</v>
      </c>
      <c r="AF2088" s="2"/>
      <c r="AG2088" s="2"/>
      <c r="AH2088" s="2">
        <v>6</v>
      </c>
      <c r="AI2088" s="2" t="s">
        <v>197</v>
      </c>
      <c r="AJ2088" s="2">
        <v>60</v>
      </c>
      <c r="AK2088" s="2" t="s">
        <v>543</v>
      </c>
      <c r="AL2088" s="2">
        <v>9</v>
      </c>
      <c r="AM2088" s="2" t="s">
        <v>259</v>
      </c>
      <c r="AN2088" s="2" t="s">
        <v>82</v>
      </c>
      <c r="AO2088" s="2" t="s">
        <v>2249</v>
      </c>
      <c r="AP2088" s="2">
        <v>11</v>
      </c>
      <c r="AQ2088" s="2" t="s">
        <v>82</v>
      </c>
      <c r="AR2088" s="2" t="s">
        <v>82</v>
      </c>
      <c r="AS2088" s="2" t="s">
        <v>82</v>
      </c>
      <c r="AT2088" s="2" t="s">
        <v>7205</v>
      </c>
      <c r="AU2088" s="2">
        <v>1</v>
      </c>
      <c r="AV2088" s="2"/>
      <c r="AW2088" s="2"/>
      <c r="AX2088" s="2"/>
      <c r="AY2088" s="2">
        <v>41</v>
      </c>
      <c r="AZ2088" s="2" t="s">
        <v>82</v>
      </c>
      <c r="BA2088" s="2">
        <v>41</v>
      </c>
      <c r="BB2088" s="2" t="s">
        <v>82</v>
      </c>
      <c r="BC2088" s="2">
        <v>41</v>
      </c>
      <c r="BD2088" s="2" t="s">
        <v>82</v>
      </c>
      <c r="BE2088" s="2">
        <v>13</v>
      </c>
      <c r="BF2088" s="2" t="s">
        <v>108</v>
      </c>
      <c r="BG2088" s="2" t="s">
        <v>7206</v>
      </c>
      <c r="BH2088" s="4">
        <v>0.45833333333333331</v>
      </c>
      <c r="BI2088" s="4">
        <v>0.49305555555555558</v>
      </c>
      <c r="BJ2088" s="2">
        <v>13</v>
      </c>
      <c r="BK2088" s="2" t="s">
        <v>91</v>
      </c>
      <c r="BL2088" s="2" t="s">
        <v>895</v>
      </c>
      <c r="BM2088" s="2">
        <v>241</v>
      </c>
      <c r="BN2088" s="2" t="s">
        <v>82</v>
      </c>
      <c r="BO2088" s="2" t="s">
        <v>82</v>
      </c>
      <c r="BP2088" s="2">
        <v>13</v>
      </c>
      <c r="BQ2088" s="2" t="s">
        <v>91</v>
      </c>
      <c r="BR2088" s="2" t="s">
        <v>3982</v>
      </c>
      <c r="BS2088" s="3">
        <v>40318</v>
      </c>
      <c r="BT2088" s="4">
        <v>0.5128935185185185</v>
      </c>
    </row>
    <row r="2089" spans="1:72" x14ac:dyDescent="0.25">
      <c r="A2089" s="2">
        <v>3043</v>
      </c>
      <c r="B2089" s="2">
        <v>2010</v>
      </c>
      <c r="C2089" s="2" t="s">
        <v>377</v>
      </c>
      <c r="D2089" s="2" t="s">
        <v>73</v>
      </c>
      <c r="E2089" s="2"/>
      <c r="F2089" s="2">
        <v>426</v>
      </c>
      <c r="G2089" s="2" t="s">
        <v>378</v>
      </c>
      <c r="H2089" s="2">
        <v>22</v>
      </c>
      <c r="I2089" s="2" t="s">
        <v>75</v>
      </c>
      <c r="J2089" s="2">
        <v>311</v>
      </c>
      <c r="K2089" s="2" t="s">
        <v>379</v>
      </c>
      <c r="L2089" s="2" t="s">
        <v>380</v>
      </c>
      <c r="M2089" s="3">
        <v>40318</v>
      </c>
      <c r="N2089" s="2" t="s">
        <v>4427</v>
      </c>
      <c r="O2089" s="2"/>
      <c r="P2089" s="2"/>
      <c r="Q2089" s="2" t="str">
        <f>"086-C/10"</f>
        <v>086-C/10</v>
      </c>
      <c r="R2089" s="2" t="s">
        <v>7207</v>
      </c>
      <c r="S2089" s="2"/>
      <c r="T2089" s="2">
        <v>1</v>
      </c>
      <c r="U2089" s="2" t="s">
        <v>79</v>
      </c>
      <c r="V2089" s="2">
        <v>1</v>
      </c>
      <c r="W2089" s="2" t="s">
        <v>80</v>
      </c>
      <c r="X2089" s="2">
        <v>1</v>
      </c>
      <c r="Y2089" s="2" t="s">
        <v>81</v>
      </c>
      <c r="Z2089" s="2">
        <v>1</v>
      </c>
      <c r="AA2089" s="2" t="s">
        <v>82</v>
      </c>
      <c r="AB2089" s="2">
        <v>9</v>
      </c>
      <c r="AC2089" s="2" t="s">
        <v>124</v>
      </c>
      <c r="AD2089" s="3">
        <v>40318</v>
      </c>
      <c r="AE2089" s="4">
        <v>0.4861111111111111</v>
      </c>
      <c r="AF2089" s="2"/>
      <c r="AG2089" s="2"/>
      <c r="AH2089" s="2">
        <v>2</v>
      </c>
      <c r="AI2089" s="2" t="s">
        <v>84</v>
      </c>
      <c r="AJ2089" s="2">
        <v>9</v>
      </c>
      <c r="AK2089" s="2" t="s">
        <v>103</v>
      </c>
      <c r="AL2089" s="2">
        <v>29</v>
      </c>
      <c r="AM2089" s="2" t="s">
        <v>5416</v>
      </c>
      <c r="AN2089" s="2"/>
      <c r="AO2089" s="2" t="s">
        <v>6287</v>
      </c>
      <c r="AP2089" s="2">
        <v>11</v>
      </c>
      <c r="AQ2089" s="2" t="s">
        <v>82</v>
      </c>
      <c r="AR2089" s="2"/>
      <c r="AS2089" s="2"/>
      <c r="AT2089" s="2" t="s">
        <v>7208</v>
      </c>
      <c r="AU2089" s="2"/>
      <c r="AV2089" s="2"/>
      <c r="AW2089" s="2"/>
      <c r="AX2089" s="2"/>
      <c r="AY2089" s="2">
        <v>41</v>
      </c>
      <c r="AZ2089" s="2" t="s">
        <v>82</v>
      </c>
      <c r="BA2089" s="2">
        <v>41</v>
      </c>
      <c r="BB2089" s="2" t="s">
        <v>82</v>
      </c>
      <c r="BC2089" s="2">
        <v>41</v>
      </c>
      <c r="BD2089" s="2" t="s">
        <v>82</v>
      </c>
      <c r="BE2089" s="2">
        <v>41</v>
      </c>
      <c r="BF2089" s="2" t="s">
        <v>82</v>
      </c>
      <c r="BG2089" s="2"/>
      <c r="BH2089" s="2"/>
      <c r="BI2089" s="2"/>
      <c r="BJ2089" s="2">
        <v>241</v>
      </c>
      <c r="BK2089" s="2" t="s">
        <v>82</v>
      </c>
      <c r="BL2089" s="2"/>
      <c r="BM2089" s="2">
        <v>241</v>
      </c>
      <c r="BN2089" s="2" t="s">
        <v>82</v>
      </c>
      <c r="BO2089" s="2"/>
      <c r="BP2089" s="2">
        <v>241</v>
      </c>
      <c r="BQ2089" s="2" t="s">
        <v>82</v>
      </c>
      <c r="BR2089" s="2"/>
      <c r="BS2089" s="3">
        <v>40318</v>
      </c>
      <c r="BT2089" s="4">
        <v>0.61592592592592588</v>
      </c>
    </row>
    <row r="2090" spans="1:72" x14ac:dyDescent="0.25">
      <c r="A2090" s="2">
        <v>3044</v>
      </c>
      <c r="B2090" s="2">
        <v>2010</v>
      </c>
      <c r="C2090" s="2" t="s">
        <v>171</v>
      </c>
      <c r="D2090" s="2" t="s">
        <v>73</v>
      </c>
      <c r="E2090" s="2" t="s">
        <v>7209</v>
      </c>
      <c r="F2090" s="2">
        <v>425</v>
      </c>
      <c r="G2090" s="2" t="s">
        <v>286</v>
      </c>
      <c r="H2090" s="2">
        <v>39</v>
      </c>
      <c r="I2090" s="2" t="s">
        <v>1117</v>
      </c>
      <c r="J2090" s="2">
        <v>310</v>
      </c>
      <c r="K2090" s="2" t="s">
        <v>288</v>
      </c>
      <c r="L2090" s="2" t="s">
        <v>289</v>
      </c>
      <c r="M2090" s="3">
        <v>40318</v>
      </c>
      <c r="N2090" s="2" t="s">
        <v>1917</v>
      </c>
      <c r="O2090" s="2" t="s">
        <v>7103</v>
      </c>
      <c r="P2090" s="2" t="s">
        <v>7210</v>
      </c>
      <c r="Q2090" s="2" t="str">
        <f>"048/2010"</f>
        <v>048/2010</v>
      </c>
      <c r="R2090" s="2" t="s">
        <v>822</v>
      </c>
      <c r="S2090" s="2"/>
      <c r="T2090" s="2">
        <v>1</v>
      </c>
      <c r="U2090" s="2" t="s">
        <v>79</v>
      </c>
      <c r="V2090" s="2">
        <v>1</v>
      </c>
      <c r="W2090" s="2" t="s">
        <v>80</v>
      </c>
      <c r="X2090" s="2">
        <v>1</v>
      </c>
      <c r="Y2090" s="2" t="s">
        <v>81</v>
      </c>
      <c r="Z2090" s="2">
        <v>1</v>
      </c>
      <c r="AA2090" s="2" t="s">
        <v>82</v>
      </c>
      <c r="AB2090" s="2">
        <v>1</v>
      </c>
      <c r="AC2090" s="2" t="s">
        <v>178</v>
      </c>
      <c r="AD2090" s="3">
        <v>40318</v>
      </c>
      <c r="AE2090" s="4">
        <v>0.60416666666666663</v>
      </c>
      <c r="AF2090" s="2"/>
      <c r="AG2090" s="2"/>
      <c r="AH2090" s="2">
        <v>4</v>
      </c>
      <c r="AI2090" s="2" t="s">
        <v>125</v>
      </c>
      <c r="AJ2090" s="2">
        <v>29</v>
      </c>
      <c r="AK2090" s="2" t="s">
        <v>227</v>
      </c>
      <c r="AL2090" s="2">
        <v>16</v>
      </c>
      <c r="AM2090" s="2" t="s">
        <v>392</v>
      </c>
      <c r="AN2090" s="2" t="s">
        <v>6877</v>
      </c>
      <c r="AO2090" s="2"/>
      <c r="AP2090" s="2">
        <v>12</v>
      </c>
      <c r="AQ2090" s="2" t="s">
        <v>322</v>
      </c>
      <c r="AR2090" s="2" t="s">
        <v>824</v>
      </c>
      <c r="AS2090" s="2" t="s">
        <v>825</v>
      </c>
      <c r="AT2090" s="2" t="s">
        <v>7211</v>
      </c>
      <c r="AU2090" s="2"/>
      <c r="AV2090" s="2"/>
      <c r="AW2090" s="2"/>
      <c r="AX2090" s="2"/>
      <c r="AY2090" s="2">
        <v>41</v>
      </c>
      <c r="AZ2090" s="2" t="s">
        <v>82</v>
      </c>
      <c r="BA2090" s="2">
        <v>41</v>
      </c>
      <c r="BB2090" s="2" t="s">
        <v>82</v>
      </c>
      <c r="BC2090" s="2">
        <v>51</v>
      </c>
      <c r="BD2090" s="2" t="s">
        <v>827</v>
      </c>
      <c r="BE2090" s="2">
        <v>47</v>
      </c>
      <c r="BF2090" s="2" t="s">
        <v>167</v>
      </c>
      <c r="BG2090" s="2">
        <v>2459</v>
      </c>
      <c r="BH2090" s="4">
        <v>0.95138888888888884</v>
      </c>
      <c r="BI2090" s="4">
        <v>0.98611111111111116</v>
      </c>
      <c r="BJ2090" s="2">
        <v>13</v>
      </c>
      <c r="BK2090" s="2" t="s">
        <v>91</v>
      </c>
      <c r="BL2090" s="2" t="s">
        <v>828</v>
      </c>
      <c r="BM2090" s="2">
        <v>241</v>
      </c>
      <c r="BN2090" s="2" t="s">
        <v>82</v>
      </c>
      <c r="BO2090" s="2" t="s">
        <v>82</v>
      </c>
      <c r="BP2090" s="2">
        <v>13</v>
      </c>
      <c r="BQ2090" s="2" t="s">
        <v>91</v>
      </c>
      <c r="BR2090" s="2" t="s">
        <v>185</v>
      </c>
      <c r="BS2090" s="3">
        <v>40318</v>
      </c>
      <c r="BT2090" s="4">
        <v>0.62718750000000001</v>
      </c>
    </row>
    <row r="2091" spans="1:72" x14ac:dyDescent="0.25">
      <c r="A2091" s="2">
        <v>3047</v>
      </c>
      <c r="B2091" s="2">
        <v>2010</v>
      </c>
      <c r="C2091" s="2" t="s">
        <v>147</v>
      </c>
      <c r="D2091" s="2" t="s">
        <v>73</v>
      </c>
      <c r="E2091" s="2"/>
      <c r="F2091" s="2">
        <v>1</v>
      </c>
      <c r="G2091" s="2" t="s">
        <v>82</v>
      </c>
      <c r="H2091" s="2">
        <v>1</v>
      </c>
      <c r="I2091" s="2" t="s">
        <v>82</v>
      </c>
      <c r="J2091" s="2">
        <v>1</v>
      </c>
      <c r="K2091" s="2" t="s">
        <v>107</v>
      </c>
      <c r="L2091" s="2" t="s">
        <v>107</v>
      </c>
      <c r="M2091" s="3">
        <v>40318</v>
      </c>
      <c r="N2091" s="2"/>
      <c r="O2091" s="2"/>
      <c r="P2091" s="2"/>
      <c r="Q2091" s="2" t="str">
        <f>""</f>
        <v/>
      </c>
      <c r="R2091" s="2"/>
      <c r="S2091" s="2"/>
      <c r="T2091" s="2">
        <v>2</v>
      </c>
      <c r="U2091" s="2" t="s">
        <v>123</v>
      </c>
      <c r="V2091" s="2">
        <v>1</v>
      </c>
      <c r="W2091" s="2" t="s">
        <v>80</v>
      </c>
      <c r="X2091" s="2">
        <v>12</v>
      </c>
      <c r="Y2091" s="2" t="s">
        <v>148</v>
      </c>
      <c r="Z2091" s="2">
        <v>1</v>
      </c>
      <c r="AA2091" s="2" t="s">
        <v>82</v>
      </c>
      <c r="AB2091" s="2">
        <v>9</v>
      </c>
      <c r="AC2091" s="2" t="s">
        <v>124</v>
      </c>
      <c r="AD2091" s="2"/>
      <c r="AE2091" s="2"/>
      <c r="AF2091" s="3">
        <v>40318</v>
      </c>
      <c r="AG2091" s="4">
        <v>0.66319444444444442</v>
      </c>
      <c r="AH2091" s="2">
        <v>3</v>
      </c>
      <c r="AI2091" s="2" t="s">
        <v>214</v>
      </c>
      <c r="AJ2091" s="2">
        <v>24</v>
      </c>
      <c r="AK2091" s="2" t="s">
        <v>215</v>
      </c>
      <c r="AL2091" s="2">
        <v>19</v>
      </c>
      <c r="AM2091" s="2" t="s">
        <v>107</v>
      </c>
      <c r="AN2091" s="2"/>
      <c r="AO2091" s="2"/>
      <c r="AP2091" s="2">
        <v>11</v>
      </c>
      <c r="AQ2091" s="2" t="s">
        <v>82</v>
      </c>
      <c r="AR2091" s="2"/>
      <c r="AS2091" s="2"/>
      <c r="AT2091" s="2" t="s">
        <v>7212</v>
      </c>
      <c r="AU2091" s="2"/>
      <c r="AV2091" s="2"/>
      <c r="AW2091" s="2"/>
      <c r="AX2091" s="2"/>
      <c r="AY2091" s="2">
        <v>70</v>
      </c>
      <c r="AZ2091" s="2" t="s">
        <v>236</v>
      </c>
      <c r="BA2091" s="2">
        <v>41</v>
      </c>
      <c r="BB2091" s="2" t="s">
        <v>82</v>
      </c>
      <c r="BC2091" s="2">
        <v>41</v>
      </c>
      <c r="BD2091" s="2" t="s">
        <v>82</v>
      </c>
      <c r="BE2091" s="2">
        <v>41</v>
      </c>
      <c r="BF2091" s="2" t="s">
        <v>82</v>
      </c>
      <c r="BG2091" s="2"/>
      <c r="BH2091" s="2"/>
      <c r="BI2091" s="2"/>
      <c r="BJ2091" s="2">
        <v>241</v>
      </c>
      <c r="BK2091" s="2" t="s">
        <v>82</v>
      </c>
      <c r="BL2091" s="2"/>
      <c r="BM2091" s="2">
        <v>241</v>
      </c>
      <c r="BN2091" s="2" t="s">
        <v>82</v>
      </c>
      <c r="BO2091" s="2"/>
      <c r="BP2091" s="2">
        <v>241</v>
      </c>
      <c r="BQ2091" s="2" t="s">
        <v>82</v>
      </c>
      <c r="BR2091" s="2"/>
      <c r="BS2091" s="3">
        <v>40318</v>
      </c>
      <c r="BT2091" s="4">
        <v>0.69440972222222219</v>
      </c>
    </row>
    <row r="2092" spans="1:72" x14ac:dyDescent="0.25">
      <c r="A2092" s="2">
        <v>3048</v>
      </c>
      <c r="B2092" s="2">
        <v>2010</v>
      </c>
      <c r="C2092" s="2" t="s">
        <v>377</v>
      </c>
      <c r="D2092" s="2" t="s">
        <v>73</v>
      </c>
      <c r="E2092" s="2"/>
      <c r="F2092" s="2">
        <v>426</v>
      </c>
      <c r="G2092" s="2" t="s">
        <v>378</v>
      </c>
      <c r="H2092" s="2">
        <v>42</v>
      </c>
      <c r="I2092" s="2" t="s">
        <v>1096</v>
      </c>
      <c r="J2092" s="2">
        <v>311</v>
      </c>
      <c r="K2092" s="2" t="s">
        <v>379</v>
      </c>
      <c r="L2092" s="2" t="s">
        <v>380</v>
      </c>
      <c r="M2092" s="3">
        <v>40318</v>
      </c>
      <c r="N2092" s="2" t="s">
        <v>4427</v>
      </c>
      <c r="O2092" s="2"/>
      <c r="P2092" s="2"/>
      <c r="Q2092" s="2" t="str">
        <f>"087-C/10"</f>
        <v>087-C/10</v>
      </c>
      <c r="R2092" s="2" t="s">
        <v>3160</v>
      </c>
      <c r="S2092" s="2"/>
      <c r="T2092" s="2">
        <v>1</v>
      </c>
      <c r="U2092" s="2" t="s">
        <v>79</v>
      </c>
      <c r="V2092" s="2">
        <v>1</v>
      </c>
      <c r="W2092" s="2" t="s">
        <v>80</v>
      </c>
      <c r="X2092" s="2">
        <v>1</v>
      </c>
      <c r="Y2092" s="2" t="s">
        <v>81</v>
      </c>
      <c r="Z2092" s="2">
        <v>1</v>
      </c>
      <c r="AA2092" s="2" t="s">
        <v>82</v>
      </c>
      <c r="AB2092" s="2">
        <v>9</v>
      </c>
      <c r="AC2092" s="2" t="s">
        <v>124</v>
      </c>
      <c r="AD2092" s="3">
        <v>40318</v>
      </c>
      <c r="AE2092" s="4">
        <v>0.61111111111111105</v>
      </c>
      <c r="AF2092" s="2"/>
      <c r="AG2092" s="2"/>
      <c r="AH2092" s="2">
        <v>2</v>
      </c>
      <c r="AI2092" s="2" t="s">
        <v>84</v>
      </c>
      <c r="AJ2092" s="2">
        <v>9</v>
      </c>
      <c r="AK2092" s="2" t="s">
        <v>103</v>
      </c>
      <c r="AL2092" s="2">
        <v>29</v>
      </c>
      <c r="AM2092" s="2" t="s">
        <v>5416</v>
      </c>
      <c r="AN2092" s="2" t="s">
        <v>7213</v>
      </c>
      <c r="AO2092" s="2" t="s">
        <v>7214</v>
      </c>
      <c r="AP2092" s="2">
        <v>11</v>
      </c>
      <c r="AQ2092" s="2" t="s">
        <v>82</v>
      </c>
      <c r="AR2092" s="2"/>
      <c r="AS2092" s="2"/>
      <c r="AT2092" s="2" t="s">
        <v>7215</v>
      </c>
      <c r="AU2092" s="2"/>
      <c r="AV2092" s="2"/>
      <c r="AW2092" s="2"/>
      <c r="AX2092" s="2"/>
      <c r="AY2092" s="2">
        <v>41</v>
      </c>
      <c r="AZ2092" s="2" t="s">
        <v>82</v>
      </c>
      <c r="BA2092" s="2">
        <v>41</v>
      </c>
      <c r="BB2092" s="2" t="s">
        <v>82</v>
      </c>
      <c r="BC2092" s="2">
        <v>41</v>
      </c>
      <c r="BD2092" s="2" t="s">
        <v>82</v>
      </c>
      <c r="BE2092" s="2">
        <v>41</v>
      </c>
      <c r="BF2092" s="2" t="s">
        <v>82</v>
      </c>
      <c r="BG2092" s="2"/>
      <c r="BH2092" s="2"/>
      <c r="BI2092" s="2"/>
      <c r="BJ2092" s="2">
        <v>241</v>
      </c>
      <c r="BK2092" s="2" t="s">
        <v>82</v>
      </c>
      <c r="BL2092" s="2"/>
      <c r="BM2092" s="2">
        <v>241</v>
      </c>
      <c r="BN2092" s="2" t="s">
        <v>82</v>
      </c>
      <c r="BO2092" s="2"/>
      <c r="BP2092" s="2">
        <v>241</v>
      </c>
      <c r="BQ2092" s="2" t="s">
        <v>82</v>
      </c>
      <c r="BR2092" s="2"/>
      <c r="BS2092" s="3">
        <v>40318</v>
      </c>
      <c r="BT2092" s="4">
        <v>0.70741898148148152</v>
      </c>
    </row>
    <row r="2093" spans="1:72" x14ac:dyDescent="0.25">
      <c r="A2093" s="2">
        <v>3049</v>
      </c>
      <c r="B2093" s="2">
        <v>2010</v>
      </c>
      <c r="C2093" s="2" t="s">
        <v>171</v>
      </c>
      <c r="D2093" s="2" t="s">
        <v>73</v>
      </c>
      <c r="E2093" s="2"/>
      <c r="F2093" s="2">
        <v>395</v>
      </c>
      <c r="G2093" s="2" t="s">
        <v>1076</v>
      </c>
      <c r="H2093" s="2">
        <v>7</v>
      </c>
      <c r="I2093" s="2" t="s">
        <v>476</v>
      </c>
      <c r="J2093" s="2">
        <v>242</v>
      </c>
      <c r="K2093" s="2" t="s">
        <v>1077</v>
      </c>
      <c r="L2093" s="2" t="s">
        <v>1078</v>
      </c>
      <c r="M2093" s="3">
        <v>40318</v>
      </c>
      <c r="N2093" s="2" t="s">
        <v>1079</v>
      </c>
      <c r="O2093" s="2"/>
      <c r="P2093" s="2"/>
      <c r="Q2093" s="2" t="str">
        <f>"270-E/10"</f>
        <v>270-E/10</v>
      </c>
      <c r="R2093" s="2" t="s">
        <v>391</v>
      </c>
      <c r="S2093" s="2" t="s">
        <v>391</v>
      </c>
      <c r="T2093" s="2">
        <v>1</v>
      </c>
      <c r="U2093" s="2" t="s">
        <v>79</v>
      </c>
      <c r="V2093" s="2">
        <v>1</v>
      </c>
      <c r="W2093" s="2" t="s">
        <v>80</v>
      </c>
      <c r="X2093" s="2">
        <v>1</v>
      </c>
      <c r="Y2093" s="2" t="s">
        <v>81</v>
      </c>
      <c r="Z2093" s="2">
        <v>1</v>
      </c>
      <c r="AA2093" s="2" t="s">
        <v>82</v>
      </c>
      <c r="AB2093" s="2">
        <v>1</v>
      </c>
      <c r="AC2093" s="2" t="s">
        <v>178</v>
      </c>
      <c r="AD2093" s="3">
        <v>40318</v>
      </c>
      <c r="AE2093" s="4">
        <v>0.46875</v>
      </c>
      <c r="AF2093" s="2"/>
      <c r="AG2093" s="2"/>
      <c r="AH2093" s="2">
        <v>2</v>
      </c>
      <c r="AI2093" s="2" t="s">
        <v>84</v>
      </c>
      <c r="AJ2093" s="2">
        <v>9</v>
      </c>
      <c r="AK2093" s="2" t="s">
        <v>103</v>
      </c>
      <c r="AL2093" s="2">
        <v>25</v>
      </c>
      <c r="AM2093" s="2" t="s">
        <v>3073</v>
      </c>
      <c r="AN2093" s="2"/>
      <c r="AO2093" s="2" t="s">
        <v>1230</v>
      </c>
      <c r="AP2093" s="2">
        <v>11</v>
      </c>
      <c r="AQ2093" s="2" t="s">
        <v>82</v>
      </c>
      <c r="AR2093" s="2"/>
      <c r="AS2093" s="2"/>
      <c r="AT2093" s="2" t="s">
        <v>7216</v>
      </c>
      <c r="AU2093" s="2"/>
      <c r="AV2093" s="2">
        <v>1</v>
      </c>
      <c r="AW2093" s="2"/>
      <c r="AX2093" s="2"/>
      <c r="AY2093" s="2">
        <v>41</v>
      </c>
      <c r="AZ2093" s="2" t="s">
        <v>82</v>
      </c>
      <c r="BA2093" s="2">
        <v>41</v>
      </c>
      <c r="BB2093" s="2" t="s">
        <v>82</v>
      </c>
      <c r="BC2093" s="2">
        <v>41</v>
      </c>
      <c r="BD2093" s="2" t="s">
        <v>82</v>
      </c>
      <c r="BE2093" s="2">
        <v>23</v>
      </c>
      <c r="BF2093" s="2" t="s">
        <v>183</v>
      </c>
      <c r="BG2093" s="2" t="s">
        <v>184</v>
      </c>
      <c r="BH2093" s="2"/>
      <c r="BI2093" s="4">
        <v>0.53125</v>
      </c>
      <c r="BJ2093" s="2">
        <v>13</v>
      </c>
      <c r="BK2093" s="2" t="s">
        <v>91</v>
      </c>
      <c r="BL2093" s="2" t="s">
        <v>360</v>
      </c>
      <c r="BM2093" s="2">
        <v>73</v>
      </c>
      <c r="BN2093" s="2" t="s">
        <v>186</v>
      </c>
      <c r="BO2093" s="2" t="s">
        <v>187</v>
      </c>
      <c r="BP2093" s="2">
        <v>244</v>
      </c>
      <c r="BQ2093" s="2" t="s">
        <v>1236</v>
      </c>
      <c r="BR2093" s="2" t="s">
        <v>1237</v>
      </c>
      <c r="BS2093" s="3">
        <v>40318</v>
      </c>
      <c r="BT2093" s="4">
        <v>0.73651620370370363</v>
      </c>
    </row>
    <row r="2094" spans="1:72" x14ac:dyDescent="0.25">
      <c r="A2094" s="2">
        <v>3050</v>
      </c>
      <c r="B2094" s="2">
        <v>2010</v>
      </c>
      <c r="C2094" s="2" t="s">
        <v>121</v>
      </c>
      <c r="D2094" s="2" t="s">
        <v>122</v>
      </c>
      <c r="E2094" s="2" t="s">
        <v>7217</v>
      </c>
      <c r="F2094" s="2">
        <v>1</v>
      </c>
      <c r="G2094" s="2" t="s">
        <v>82</v>
      </c>
      <c r="H2094" s="2">
        <v>1</v>
      </c>
      <c r="I2094" s="2" t="s">
        <v>82</v>
      </c>
      <c r="J2094" s="2">
        <v>1</v>
      </c>
      <c r="K2094" s="2" t="s">
        <v>107</v>
      </c>
      <c r="L2094" s="2" t="s">
        <v>107</v>
      </c>
      <c r="M2094" s="3">
        <v>40318</v>
      </c>
      <c r="N2094" s="2"/>
      <c r="O2094" s="2"/>
      <c r="P2094" s="2"/>
      <c r="Q2094" s="2" t="str">
        <f>""</f>
        <v/>
      </c>
      <c r="R2094" s="2"/>
      <c r="S2094" s="2"/>
      <c r="T2094" s="2">
        <v>2</v>
      </c>
      <c r="U2094" s="2" t="s">
        <v>123</v>
      </c>
      <c r="V2094" s="2">
        <v>1</v>
      </c>
      <c r="W2094" s="2" t="s">
        <v>80</v>
      </c>
      <c r="X2094" s="2">
        <v>5</v>
      </c>
      <c r="Y2094" s="2" t="s">
        <v>82</v>
      </c>
      <c r="Z2094" s="2">
        <v>13</v>
      </c>
      <c r="AA2094" s="2" t="s">
        <v>3158</v>
      </c>
      <c r="AB2094" s="2">
        <v>9</v>
      </c>
      <c r="AC2094" s="2" t="s">
        <v>124</v>
      </c>
      <c r="AD2094" s="3">
        <v>40318</v>
      </c>
      <c r="AE2094" s="4">
        <v>0.74305555555555547</v>
      </c>
      <c r="AF2094" s="2"/>
      <c r="AG2094" s="2"/>
      <c r="AH2094" s="2">
        <v>4</v>
      </c>
      <c r="AI2094" s="2" t="s">
        <v>125</v>
      </c>
      <c r="AJ2094" s="2">
        <v>28</v>
      </c>
      <c r="AK2094" s="2" t="s">
        <v>741</v>
      </c>
      <c r="AL2094" s="2">
        <v>10</v>
      </c>
      <c r="AM2094" s="2" t="s">
        <v>200</v>
      </c>
      <c r="AN2094" s="2"/>
      <c r="AO2094" s="2" t="s">
        <v>7173</v>
      </c>
      <c r="AP2094" s="2">
        <v>11</v>
      </c>
      <c r="AQ2094" s="2" t="s">
        <v>82</v>
      </c>
      <c r="AR2094" s="2"/>
      <c r="AS2094" s="2"/>
      <c r="AT2094" s="2" t="s">
        <v>7218</v>
      </c>
      <c r="AU2094" s="2"/>
      <c r="AV2094" s="2"/>
      <c r="AW2094" s="2"/>
      <c r="AX2094" s="2"/>
      <c r="AY2094" s="2">
        <v>1</v>
      </c>
      <c r="AZ2094" s="2" t="s">
        <v>107</v>
      </c>
      <c r="BA2094" s="2">
        <v>1</v>
      </c>
      <c r="BB2094" s="2" t="s">
        <v>107</v>
      </c>
      <c r="BC2094" s="2">
        <v>1</v>
      </c>
      <c r="BD2094" s="2" t="s">
        <v>107</v>
      </c>
      <c r="BE2094" s="2">
        <v>42</v>
      </c>
      <c r="BF2094" s="2" t="s">
        <v>182</v>
      </c>
      <c r="BG2094" s="2" t="s">
        <v>7175</v>
      </c>
      <c r="BH2094" s="4">
        <v>0.91319444444444453</v>
      </c>
      <c r="BI2094" s="4">
        <v>0.74305555555555547</v>
      </c>
      <c r="BJ2094" s="2">
        <v>13</v>
      </c>
      <c r="BK2094" s="2" t="s">
        <v>91</v>
      </c>
      <c r="BL2094" s="2" t="s">
        <v>185</v>
      </c>
      <c r="BM2094" s="2">
        <v>242</v>
      </c>
      <c r="BN2094" s="2" t="s">
        <v>107</v>
      </c>
      <c r="BO2094" s="2"/>
      <c r="BP2094" s="2">
        <v>13</v>
      </c>
      <c r="BQ2094" s="2" t="s">
        <v>91</v>
      </c>
      <c r="BR2094" s="2" t="s">
        <v>744</v>
      </c>
      <c r="BS2094" s="3">
        <v>40318</v>
      </c>
      <c r="BT2094" s="4">
        <v>0.75208333333333333</v>
      </c>
    </row>
    <row r="2095" spans="1:72" x14ac:dyDescent="0.25">
      <c r="A2095" s="2">
        <v>3051</v>
      </c>
      <c r="B2095" s="2">
        <v>2010</v>
      </c>
      <c r="C2095" s="2" t="s">
        <v>72</v>
      </c>
      <c r="D2095" s="2" t="s">
        <v>73</v>
      </c>
      <c r="E2095" s="2"/>
      <c r="F2095" s="2">
        <v>3</v>
      </c>
      <c r="G2095" s="2" t="s">
        <v>1041</v>
      </c>
      <c r="H2095" s="2">
        <v>42</v>
      </c>
      <c r="I2095" s="2" t="s">
        <v>1096</v>
      </c>
      <c r="J2095" s="2">
        <v>368</v>
      </c>
      <c r="K2095" s="2" t="s">
        <v>1042</v>
      </c>
      <c r="L2095" s="2" t="s">
        <v>1043</v>
      </c>
      <c r="M2095" s="3">
        <v>40318</v>
      </c>
      <c r="N2095" s="2"/>
      <c r="O2095" s="2"/>
      <c r="P2095" s="2"/>
      <c r="Q2095" s="2" t="str">
        <f>"271-E/10"</f>
        <v>271-E/10</v>
      </c>
      <c r="R2095" s="2" t="s">
        <v>116</v>
      </c>
      <c r="S2095" s="2" t="s">
        <v>116</v>
      </c>
      <c r="T2095" s="2">
        <v>1</v>
      </c>
      <c r="U2095" s="2" t="s">
        <v>79</v>
      </c>
      <c r="V2095" s="2">
        <v>1</v>
      </c>
      <c r="W2095" s="2" t="s">
        <v>80</v>
      </c>
      <c r="X2095" s="2">
        <v>12</v>
      </c>
      <c r="Y2095" s="2" t="s">
        <v>148</v>
      </c>
      <c r="Z2095" s="2">
        <v>1</v>
      </c>
      <c r="AA2095" s="2" t="s">
        <v>82</v>
      </c>
      <c r="AB2095" s="2">
        <v>6</v>
      </c>
      <c r="AC2095" s="2" t="s">
        <v>83</v>
      </c>
      <c r="AD2095" s="3">
        <v>40315</v>
      </c>
      <c r="AE2095" s="4">
        <v>0.47569444444444442</v>
      </c>
      <c r="AF2095" s="3">
        <v>40318</v>
      </c>
      <c r="AG2095" s="4">
        <v>0.59722222222222221</v>
      </c>
      <c r="AH2095" s="2">
        <v>2</v>
      </c>
      <c r="AI2095" s="2" t="s">
        <v>84</v>
      </c>
      <c r="AJ2095" s="2">
        <v>9</v>
      </c>
      <c r="AK2095" s="2" t="s">
        <v>103</v>
      </c>
      <c r="AL2095" s="2">
        <v>22</v>
      </c>
      <c r="AM2095" s="2" t="s">
        <v>1853</v>
      </c>
      <c r="AN2095" s="2"/>
      <c r="AO2095" s="2" t="s">
        <v>7219</v>
      </c>
      <c r="AP2095" s="2">
        <v>11</v>
      </c>
      <c r="AQ2095" s="2" t="s">
        <v>82</v>
      </c>
      <c r="AR2095" s="2"/>
      <c r="AS2095" s="2"/>
      <c r="AT2095" s="2" t="s">
        <v>7220</v>
      </c>
      <c r="AU2095" s="2"/>
      <c r="AV2095" s="2"/>
      <c r="AW2095" s="2"/>
      <c r="AX2095" s="2"/>
      <c r="AY2095" s="2">
        <v>41</v>
      </c>
      <c r="AZ2095" s="2" t="s">
        <v>82</v>
      </c>
      <c r="BA2095" s="2">
        <v>41</v>
      </c>
      <c r="BB2095" s="2" t="s">
        <v>82</v>
      </c>
      <c r="BC2095" s="2">
        <v>41</v>
      </c>
      <c r="BD2095" s="2" t="s">
        <v>82</v>
      </c>
      <c r="BE2095" s="2">
        <v>39</v>
      </c>
      <c r="BF2095" s="2" t="s">
        <v>440</v>
      </c>
      <c r="BG2095" s="2" t="s">
        <v>4250</v>
      </c>
      <c r="BH2095" s="4">
        <v>0.47569444444444442</v>
      </c>
      <c r="BI2095" s="2"/>
      <c r="BJ2095" s="2">
        <v>33</v>
      </c>
      <c r="BK2095" s="2" t="s">
        <v>361</v>
      </c>
      <c r="BL2095" s="2" t="s">
        <v>1739</v>
      </c>
      <c r="BM2095" s="2">
        <v>241</v>
      </c>
      <c r="BN2095" s="2" t="s">
        <v>82</v>
      </c>
      <c r="BO2095" s="2" t="s">
        <v>82</v>
      </c>
      <c r="BP2095" s="2">
        <v>13</v>
      </c>
      <c r="BQ2095" s="2" t="s">
        <v>91</v>
      </c>
      <c r="BR2095" s="2" t="s">
        <v>360</v>
      </c>
      <c r="BS2095" s="3">
        <v>40318</v>
      </c>
      <c r="BT2095" s="4">
        <v>0.77187499999999998</v>
      </c>
    </row>
    <row r="2096" spans="1:72" x14ac:dyDescent="0.25">
      <c r="A2096" s="2">
        <v>3055</v>
      </c>
      <c r="B2096" s="2">
        <v>2010</v>
      </c>
      <c r="C2096" s="2" t="s">
        <v>385</v>
      </c>
      <c r="D2096" s="2" t="s">
        <v>122</v>
      </c>
      <c r="E2096" s="2"/>
      <c r="F2096" s="2">
        <v>621</v>
      </c>
      <c r="G2096" s="2" t="s">
        <v>7199</v>
      </c>
      <c r="H2096" s="2">
        <v>22</v>
      </c>
      <c r="I2096" s="2" t="s">
        <v>75</v>
      </c>
      <c r="J2096" s="2">
        <v>158</v>
      </c>
      <c r="K2096" s="2" t="s">
        <v>7200</v>
      </c>
      <c r="L2096" s="2" t="s">
        <v>7201</v>
      </c>
      <c r="M2096" s="3">
        <v>40318</v>
      </c>
      <c r="N2096" s="2" t="s">
        <v>7221</v>
      </c>
      <c r="O2096" s="2" t="s">
        <v>7222</v>
      </c>
      <c r="P2096" s="2" t="s">
        <v>7223</v>
      </c>
      <c r="Q2096" s="2" t="str">
        <f>"N/C"</f>
        <v>N/C</v>
      </c>
      <c r="R2096" s="2"/>
      <c r="S2096" s="2"/>
      <c r="T2096" s="2">
        <v>1</v>
      </c>
      <c r="U2096" s="2" t="s">
        <v>79</v>
      </c>
      <c r="V2096" s="2">
        <v>1</v>
      </c>
      <c r="W2096" s="2" t="s">
        <v>80</v>
      </c>
      <c r="X2096" s="2">
        <v>4</v>
      </c>
      <c r="Y2096" s="2" t="s">
        <v>463</v>
      </c>
      <c r="Z2096" s="2">
        <v>1</v>
      </c>
      <c r="AA2096" s="2" t="s">
        <v>82</v>
      </c>
      <c r="AB2096" s="2">
        <v>9</v>
      </c>
      <c r="AC2096" s="2" t="s">
        <v>124</v>
      </c>
      <c r="AD2096" s="2"/>
      <c r="AE2096" s="2"/>
      <c r="AF2096" s="2"/>
      <c r="AG2096" s="2"/>
      <c r="AH2096" s="2">
        <v>3</v>
      </c>
      <c r="AI2096" s="2" t="s">
        <v>214</v>
      </c>
      <c r="AJ2096" s="2">
        <v>17</v>
      </c>
      <c r="AK2096" s="2" t="s">
        <v>309</v>
      </c>
      <c r="AL2096" s="2">
        <v>10</v>
      </c>
      <c r="AM2096" s="2" t="s">
        <v>200</v>
      </c>
      <c r="AN2096" s="2"/>
      <c r="AO2096" s="2" t="s">
        <v>7224</v>
      </c>
      <c r="AP2096" s="2">
        <v>11</v>
      </c>
      <c r="AQ2096" s="2" t="s">
        <v>82</v>
      </c>
      <c r="AR2096" s="2"/>
      <c r="AS2096" s="2"/>
      <c r="AT2096" s="2" t="s">
        <v>7225</v>
      </c>
      <c r="AU2096" s="2">
        <v>1</v>
      </c>
      <c r="AV2096" s="2"/>
      <c r="AW2096" s="2"/>
      <c r="AX2096" s="2"/>
      <c r="AY2096" s="2">
        <v>41</v>
      </c>
      <c r="AZ2096" s="2" t="s">
        <v>82</v>
      </c>
      <c r="BA2096" s="2">
        <v>41</v>
      </c>
      <c r="BB2096" s="2" t="s">
        <v>82</v>
      </c>
      <c r="BC2096" s="2">
        <v>41</v>
      </c>
      <c r="BD2096" s="2" t="s">
        <v>82</v>
      </c>
      <c r="BE2096" s="2">
        <v>13</v>
      </c>
      <c r="BF2096" s="2" t="s">
        <v>108</v>
      </c>
      <c r="BG2096" s="2">
        <v>1420</v>
      </c>
      <c r="BH2096" s="4">
        <v>0.82638888888888884</v>
      </c>
      <c r="BI2096" s="4">
        <v>0.76388888888888884</v>
      </c>
      <c r="BJ2096" s="2">
        <v>13</v>
      </c>
      <c r="BK2096" s="2" t="s">
        <v>91</v>
      </c>
      <c r="BL2096" s="2" t="s">
        <v>185</v>
      </c>
      <c r="BM2096" s="2">
        <v>241</v>
      </c>
      <c r="BN2096" s="2" t="s">
        <v>82</v>
      </c>
      <c r="BO2096" s="2"/>
      <c r="BP2096" s="2">
        <v>13</v>
      </c>
      <c r="BQ2096" s="2" t="s">
        <v>91</v>
      </c>
      <c r="BR2096" s="2" t="s">
        <v>445</v>
      </c>
      <c r="BS2096" s="3">
        <v>40318</v>
      </c>
      <c r="BT2096" s="4">
        <v>0.85612268518518519</v>
      </c>
    </row>
    <row r="2097" spans="1:72" x14ac:dyDescent="0.25">
      <c r="A2097" s="2">
        <v>3056</v>
      </c>
      <c r="B2097" s="2">
        <v>2010</v>
      </c>
      <c r="C2097" s="2" t="s">
        <v>819</v>
      </c>
      <c r="D2097" s="2" t="s">
        <v>122</v>
      </c>
      <c r="E2097" s="2"/>
      <c r="F2097" s="2">
        <v>451</v>
      </c>
      <c r="G2097" s="2" t="s">
        <v>879</v>
      </c>
      <c r="H2097" s="2">
        <v>31</v>
      </c>
      <c r="I2097" s="2" t="s">
        <v>880</v>
      </c>
      <c r="J2097" s="2">
        <v>326</v>
      </c>
      <c r="K2097" s="2" t="s">
        <v>881</v>
      </c>
      <c r="L2097" s="2" t="s">
        <v>882</v>
      </c>
      <c r="M2097" s="3">
        <v>40318</v>
      </c>
      <c r="N2097" s="2" t="s">
        <v>7226</v>
      </c>
      <c r="O2097" s="2"/>
      <c r="P2097" s="2"/>
      <c r="Q2097" s="2" t="str">
        <f>"059"</f>
        <v>059</v>
      </c>
      <c r="R2097" s="2"/>
      <c r="S2097" s="2" t="s">
        <v>822</v>
      </c>
      <c r="T2097" s="2">
        <v>1</v>
      </c>
      <c r="U2097" s="2" t="s">
        <v>79</v>
      </c>
      <c r="V2097" s="2">
        <v>1</v>
      </c>
      <c r="W2097" s="2" t="s">
        <v>80</v>
      </c>
      <c r="X2097" s="2">
        <v>1</v>
      </c>
      <c r="Y2097" s="2" t="s">
        <v>81</v>
      </c>
      <c r="Z2097" s="2">
        <v>1</v>
      </c>
      <c r="AA2097" s="2" t="s">
        <v>82</v>
      </c>
      <c r="AB2097" s="2">
        <v>9</v>
      </c>
      <c r="AC2097" s="2" t="s">
        <v>124</v>
      </c>
      <c r="AD2097" s="3">
        <v>40318</v>
      </c>
      <c r="AE2097" s="4">
        <v>0.90277777777777779</v>
      </c>
      <c r="AF2097" s="2"/>
      <c r="AG2097" s="2"/>
      <c r="AH2097" s="2">
        <v>4</v>
      </c>
      <c r="AI2097" s="2" t="s">
        <v>125</v>
      </c>
      <c r="AJ2097" s="2">
        <v>29</v>
      </c>
      <c r="AK2097" s="2" t="s">
        <v>227</v>
      </c>
      <c r="AL2097" s="2">
        <v>16</v>
      </c>
      <c r="AM2097" s="2" t="s">
        <v>392</v>
      </c>
      <c r="AN2097" s="2" t="s">
        <v>6207</v>
      </c>
      <c r="AO2097" s="2"/>
      <c r="AP2097" s="2">
        <v>12</v>
      </c>
      <c r="AQ2097" s="2" t="s">
        <v>322</v>
      </c>
      <c r="AR2097" s="2" t="s">
        <v>824</v>
      </c>
      <c r="AS2097" s="2" t="s">
        <v>884</v>
      </c>
      <c r="AT2097" s="2" t="s">
        <v>7227</v>
      </c>
      <c r="AU2097" s="2"/>
      <c r="AV2097" s="2"/>
      <c r="AW2097" s="2"/>
      <c r="AX2097" s="2"/>
      <c r="AY2097" s="2">
        <v>41</v>
      </c>
      <c r="AZ2097" s="2" t="s">
        <v>82</v>
      </c>
      <c r="BA2097" s="2">
        <v>41</v>
      </c>
      <c r="BB2097" s="2" t="s">
        <v>82</v>
      </c>
      <c r="BC2097" s="2">
        <v>51</v>
      </c>
      <c r="BD2097" s="2" t="s">
        <v>827</v>
      </c>
      <c r="BE2097" s="2">
        <v>47</v>
      </c>
      <c r="BF2097" s="2" t="s">
        <v>167</v>
      </c>
      <c r="BG2097" s="2">
        <v>2459</v>
      </c>
      <c r="BH2097" s="4">
        <v>0.90277777777777779</v>
      </c>
      <c r="BI2097" s="4">
        <v>0.93055555555555547</v>
      </c>
      <c r="BJ2097" s="2">
        <v>13</v>
      </c>
      <c r="BK2097" s="2" t="s">
        <v>91</v>
      </c>
      <c r="BL2097" s="2" t="s">
        <v>828</v>
      </c>
      <c r="BM2097" s="2">
        <v>241</v>
      </c>
      <c r="BN2097" s="2" t="s">
        <v>82</v>
      </c>
      <c r="BO2097" s="2" t="s">
        <v>82</v>
      </c>
      <c r="BP2097" s="2">
        <v>13</v>
      </c>
      <c r="BQ2097" s="2" t="s">
        <v>91</v>
      </c>
      <c r="BR2097" s="2" t="s">
        <v>1108</v>
      </c>
      <c r="BS2097" s="3">
        <v>40318</v>
      </c>
      <c r="BT2097" s="4">
        <v>0.92356481481481489</v>
      </c>
    </row>
    <row r="2098" spans="1:72" x14ac:dyDescent="0.25">
      <c r="A2098" s="2">
        <v>3057</v>
      </c>
      <c r="B2098" s="2">
        <v>2010</v>
      </c>
      <c r="C2098" s="2" t="s">
        <v>93</v>
      </c>
      <c r="D2098" s="2" t="s">
        <v>73</v>
      </c>
      <c r="E2098" s="2"/>
      <c r="F2098" s="2">
        <v>624</v>
      </c>
      <c r="G2098" s="2" t="s">
        <v>7228</v>
      </c>
      <c r="H2098" s="2">
        <v>11</v>
      </c>
      <c r="I2098" s="2" t="s">
        <v>1397</v>
      </c>
      <c r="J2098" s="2">
        <v>556</v>
      </c>
      <c r="K2098" s="2" t="s">
        <v>7229</v>
      </c>
      <c r="L2098" s="2" t="s">
        <v>7230</v>
      </c>
      <c r="M2098" s="3">
        <v>40318</v>
      </c>
      <c r="N2098" s="2" t="s">
        <v>7231</v>
      </c>
      <c r="O2098" s="2" t="s">
        <v>7232</v>
      </c>
      <c r="P2098" s="2" t="s">
        <v>7233</v>
      </c>
      <c r="Q2098" s="2" t="str">
        <f>"N/C"</f>
        <v>N/C</v>
      </c>
      <c r="R2098" s="2" t="s">
        <v>82</v>
      </c>
      <c r="S2098" s="2" t="s">
        <v>107</v>
      </c>
      <c r="T2098" s="2">
        <v>1</v>
      </c>
      <c r="U2098" s="2" t="s">
        <v>79</v>
      </c>
      <c r="V2098" s="2">
        <v>1</v>
      </c>
      <c r="W2098" s="2" t="s">
        <v>80</v>
      </c>
      <c r="X2098" s="2">
        <v>1</v>
      </c>
      <c r="Y2098" s="2" t="s">
        <v>81</v>
      </c>
      <c r="Z2098" s="2">
        <v>1</v>
      </c>
      <c r="AA2098" s="2" t="s">
        <v>82</v>
      </c>
      <c r="AB2098" s="2">
        <v>2</v>
      </c>
      <c r="AC2098" s="2" t="s">
        <v>102</v>
      </c>
      <c r="AD2098" s="3">
        <v>40318</v>
      </c>
      <c r="AE2098" s="4">
        <v>0.74305555555555547</v>
      </c>
      <c r="AF2098" s="2"/>
      <c r="AG2098" s="2"/>
      <c r="AH2098" s="2">
        <v>2</v>
      </c>
      <c r="AI2098" s="2" t="s">
        <v>84</v>
      </c>
      <c r="AJ2098" s="2">
        <v>10</v>
      </c>
      <c r="AK2098" s="2" t="s">
        <v>3321</v>
      </c>
      <c r="AL2098" s="2">
        <v>11</v>
      </c>
      <c r="AM2098" s="2" t="s">
        <v>137</v>
      </c>
      <c r="AN2098" s="2" t="s">
        <v>107</v>
      </c>
      <c r="AO2098" s="2" t="s">
        <v>107</v>
      </c>
      <c r="AP2098" s="2">
        <v>11</v>
      </c>
      <c r="AQ2098" s="2" t="s">
        <v>82</v>
      </c>
      <c r="AR2098" s="2" t="s">
        <v>82</v>
      </c>
      <c r="AS2098" s="2" t="s">
        <v>82</v>
      </c>
      <c r="AT2098" s="2" t="s">
        <v>7234</v>
      </c>
      <c r="AU2098" s="2"/>
      <c r="AV2098" s="2"/>
      <c r="AW2098" s="2"/>
      <c r="AX2098" s="2"/>
      <c r="AY2098" s="2">
        <v>41</v>
      </c>
      <c r="AZ2098" s="2" t="s">
        <v>82</v>
      </c>
      <c r="BA2098" s="2">
        <v>41</v>
      </c>
      <c r="BB2098" s="2" t="s">
        <v>82</v>
      </c>
      <c r="BC2098" s="2">
        <v>41</v>
      </c>
      <c r="BD2098" s="2" t="s">
        <v>82</v>
      </c>
      <c r="BE2098" s="2">
        <v>13</v>
      </c>
      <c r="BF2098" s="2" t="s">
        <v>108</v>
      </c>
      <c r="BG2098" s="2">
        <v>1647</v>
      </c>
      <c r="BH2098" s="4">
        <v>0.72222222222222221</v>
      </c>
      <c r="BI2098" s="4">
        <v>0.75</v>
      </c>
      <c r="BJ2098" s="2">
        <v>13</v>
      </c>
      <c r="BK2098" s="2" t="s">
        <v>91</v>
      </c>
      <c r="BL2098" s="2" t="s">
        <v>7235</v>
      </c>
      <c r="BM2098" s="2">
        <v>241</v>
      </c>
      <c r="BN2098" s="2" t="s">
        <v>82</v>
      </c>
      <c r="BO2098" s="2" t="s">
        <v>82</v>
      </c>
      <c r="BP2098" s="2">
        <v>13</v>
      </c>
      <c r="BQ2098" s="2" t="s">
        <v>91</v>
      </c>
      <c r="BR2098" s="2" t="s">
        <v>7236</v>
      </c>
      <c r="BS2098" s="3">
        <v>40318</v>
      </c>
      <c r="BT2098" s="4">
        <v>0.93401620370370375</v>
      </c>
    </row>
    <row r="2099" spans="1:72" x14ac:dyDescent="0.25">
      <c r="A2099" s="2">
        <v>3058</v>
      </c>
      <c r="B2099" s="2">
        <v>2010</v>
      </c>
      <c r="C2099" s="2" t="s">
        <v>385</v>
      </c>
      <c r="D2099" s="2" t="s">
        <v>122</v>
      </c>
      <c r="E2099" s="2"/>
      <c r="F2099" s="2">
        <v>35</v>
      </c>
      <c r="G2099" s="2" t="s">
        <v>2057</v>
      </c>
      <c r="H2099" s="2">
        <v>55</v>
      </c>
      <c r="I2099" s="2" t="s">
        <v>2058</v>
      </c>
      <c r="J2099" s="2">
        <v>43</v>
      </c>
      <c r="K2099" s="2" t="s">
        <v>2059</v>
      </c>
      <c r="L2099" s="2" t="s">
        <v>2060</v>
      </c>
      <c r="M2099" s="3">
        <v>40318</v>
      </c>
      <c r="N2099" s="2" t="s">
        <v>2482</v>
      </c>
      <c r="O2099" s="2" t="s">
        <v>7237</v>
      </c>
      <c r="P2099" s="2" t="s">
        <v>7238</v>
      </c>
      <c r="Q2099" s="2" t="str">
        <f>""</f>
        <v/>
      </c>
      <c r="R2099" s="2"/>
      <c r="S2099" s="2"/>
      <c r="T2099" s="2">
        <v>1</v>
      </c>
      <c r="U2099" s="2" t="s">
        <v>79</v>
      </c>
      <c r="V2099" s="2">
        <v>1</v>
      </c>
      <c r="W2099" s="2" t="s">
        <v>80</v>
      </c>
      <c r="X2099" s="2">
        <v>4</v>
      </c>
      <c r="Y2099" s="2" t="s">
        <v>463</v>
      </c>
      <c r="Z2099" s="2">
        <v>9</v>
      </c>
      <c r="AA2099" s="2" t="s">
        <v>1119</v>
      </c>
      <c r="AB2099" s="2">
        <v>9</v>
      </c>
      <c r="AC2099" s="2" t="s">
        <v>124</v>
      </c>
      <c r="AD2099" s="2"/>
      <c r="AE2099" s="2"/>
      <c r="AF2099" s="2"/>
      <c r="AG2099" s="2"/>
      <c r="AH2099" s="2">
        <v>3</v>
      </c>
      <c r="AI2099" s="2" t="s">
        <v>214</v>
      </c>
      <c r="AJ2099" s="2">
        <v>17</v>
      </c>
      <c r="AK2099" s="2" t="s">
        <v>309</v>
      </c>
      <c r="AL2099" s="2">
        <v>10</v>
      </c>
      <c r="AM2099" s="2" t="s">
        <v>200</v>
      </c>
      <c r="AN2099" s="2"/>
      <c r="AO2099" s="2" t="s">
        <v>7239</v>
      </c>
      <c r="AP2099" s="2">
        <v>11</v>
      </c>
      <c r="AQ2099" s="2" t="s">
        <v>82</v>
      </c>
      <c r="AR2099" s="2"/>
      <c r="AS2099" s="2"/>
      <c r="AT2099" s="2" t="s">
        <v>7240</v>
      </c>
      <c r="AU2099" s="2"/>
      <c r="AV2099" s="2">
        <v>1</v>
      </c>
      <c r="AW2099" s="2"/>
      <c r="AX2099" s="2"/>
      <c r="AY2099" s="2">
        <v>41</v>
      </c>
      <c r="AZ2099" s="2" t="s">
        <v>82</v>
      </c>
      <c r="BA2099" s="2">
        <v>41</v>
      </c>
      <c r="BB2099" s="2" t="s">
        <v>82</v>
      </c>
      <c r="BC2099" s="2">
        <v>41</v>
      </c>
      <c r="BD2099" s="2" t="s">
        <v>82</v>
      </c>
      <c r="BE2099" s="2">
        <v>13</v>
      </c>
      <c r="BF2099" s="2" t="s">
        <v>108</v>
      </c>
      <c r="BG2099" s="2">
        <v>1424</v>
      </c>
      <c r="BH2099" s="4">
        <v>0.91666666666666663</v>
      </c>
      <c r="BI2099" s="4">
        <v>0.85416666666666663</v>
      </c>
      <c r="BJ2099" s="2">
        <v>13</v>
      </c>
      <c r="BK2099" s="2" t="s">
        <v>91</v>
      </c>
      <c r="BL2099" s="2" t="s">
        <v>185</v>
      </c>
      <c r="BM2099" s="2">
        <v>241</v>
      </c>
      <c r="BN2099" s="2" t="s">
        <v>82</v>
      </c>
      <c r="BO2099" s="2"/>
      <c r="BP2099" s="2">
        <v>13</v>
      </c>
      <c r="BQ2099" s="2" t="s">
        <v>91</v>
      </c>
      <c r="BR2099" s="2" t="s">
        <v>445</v>
      </c>
      <c r="BS2099" s="3">
        <v>40318</v>
      </c>
      <c r="BT2099" s="4">
        <v>0.93892361111111111</v>
      </c>
    </row>
    <row r="2100" spans="1:72" x14ac:dyDescent="0.25">
      <c r="A2100" s="2">
        <v>3061</v>
      </c>
      <c r="B2100" s="2">
        <v>2010</v>
      </c>
      <c r="C2100" s="2" t="s">
        <v>4543</v>
      </c>
      <c r="D2100" s="2" t="s">
        <v>122</v>
      </c>
      <c r="E2100" s="2"/>
      <c r="F2100" s="2">
        <v>1</v>
      </c>
      <c r="G2100" s="2" t="s">
        <v>82</v>
      </c>
      <c r="H2100" s="2">
        <v>1</v>
      </c>
      <c r="I2100" s="2" t="s">
        <v>82</v>
      </c>
      <c r="J2100" s="2">
        <v>1</v>
      </c>
      <c r="K2100" s="2" t="s">
        <v>107</v>
      </c>
      <c r="L2100" s="2" t="s">
        <v>107</v>
      </c>
      <c r="M2100" s="3">
        <v>40319</v>
      </c>
      <c r="N2100" s="2" t="s">
        <v>82</v>
      </c>
      <c r="O2100" s="2" t="s">
        <v>82</v>
      </c>
      <c r="P2100" s="2" t="s">
        <v>82</v>
      </c>
      <c r="Q2100" s="2" t="str">
        <f>"N/C"</f>
        <v>N/C</v>
      </c>
      <c r="R2100" s="2" t="s">
        <v>82</v>
      </c>
      <c r="S2100" s="2" t="s">
        <v>82</v>
      </c>
      <c r="T2100" s="2">
        <v>2</v>
      </c>
      <c r="U2100" s="2" t="s">
        <v>123</v>
      </c>
      <c r="V2100" s="2">
        <v>1</v>
      </c>
      <c r="W2100" s="2" t="s">
        <v>80</v>
      </c>
      <c r="X2100" s="2">
        <v>11</v>
      </c>
      <c r="Y2100" s="2" t="s">
        <v>1920</v>
      </c>
      <c r="Z2100" s="2">
        <v>1</v>
      </c>
      <c r="AA2100" s="2" t="s">
        <v>82</v>
      </c>
      <c r="AB2100" s="2">
        <v>9</v>
      </c>
      <c r="AC2100" s="2" t="s">
        <v>124</v>
      </c>
      <c r="AD2100" s="3">
        <v>40319</v>
      </c>
      <c r="AE2100" s="4">
        <v>0.1388888888888889</v>
      </c>
      <c r="AF2100" s="2"/>
      <c r="AG2100" s="2"/>
      <c r="AH2100" s="2">
        <v>6</v>
      </c>
      <c r="AI2100" s="2" t="s">
        <v>197</v>
      </c>
      <c r="AJ2100" s="2">
        <v>54</v>
      </c>
      <c r="AK2100" s="2" t="s">
        <v>348</v>
      </c>
      <c r="AL2100" s="2">
        <v>19</v>
      </c>
      <c r="AM2100" s="2" t="s">
        <v>107</v>
      </c>
      <c r="AN2100" s="2" t="s">
        <v>595</v>
      </c>
      <c r="AO2100" s="2" t="s">
        <v>200</v>
      </c>
      <c r="AP2100" s="2">
        <v>14</v>
      </c>
      <c r="AQ2100" s="2" t="s">
        <v>3301</v>
      </c>
      <c r="AR2100" s="2" t="s">
        <v>596</v>
      </c>
      <c r="AS2100" s="2" t="s">
        <v>596</v>
      </c>
      <c r="AT2100" s="2" t="s">
        <v>7241</v>
      </c>
      <c r="AU2100" s="2"/>
      <c r="AV2100" s="2"/>
      <c r="AW2100" s="2"/>
      <c r="AX2100" s="2"/>
      <c r="AY2100" s="2">
        <v>1</v>
      </c>
      <c r="AZ2100" s="2" t="s">
        <v>107</v>
      </c>
      <c r="BA2100" s="2">
        <v>1</v>
      </c>
      <c r="BB2100" s="2" t="s">
        <v>107</v>
      </c>
      <c r="BC2100" s="2">
        <v>1</v>
      </c>
      <c r="BD2100" s="2" t="s">
        <v>107</v>
      </c>
      <c r="BE2100" s="2">
        <v>4</v>
      </c>
      <c r="BF2100" s="2" t="s">
        <v>90</v>
      </c>
      <c r="BG2100" s="2" t="s">
        <v>598</v>
      </c>
      <c r="BH2100" s="4">
        <v>7.2222222222222229E-2</v>
      </c>
      <c r="BI2100" s="4">
        <v>0.13333333333333333</v>
      </c>
      <c r="BJ2100" s="2">
        <v>242</v>
      </c>
      <c r="BK2100" s="2" t="s">
        <v>107</v>
      </c>
      <c r="BL2100" s="2" t="s">
        <v>7242</v>
      </c>
      <c r="BM2100" s="2">
        <v>242</v>
      </c>
      <c r="BN2100" s="2" t="s">
        <v>107</v>
      </c>
      <c r="BO2100" s="2" t="s">
        <v>2529</v>
      </c>
      <c r="BP2100" s="2">
        <v>242</v>
      </c>
      <c r="BQ2100" s="2" t="s">
        <v>107</v>
      </c>
      <c r="BR2100" s="2" t="s">
        <v>905</v>
      </c>
      <c r="BS2100" s="3">
        <v>40319</v>
      </c>
      <c r="BT2100" s="4">
        <v>0.14010416666666667</v>
      </c>
    </row>
    <row r="2101" spans="1:72" x14ac:dyDescent="0.25">
      <c r="A2101" s="2">
        <v>3062</v>
      </c>
      <c r="B2101" s="2">
        <v>2010</v>
      </c>
      <c r="C2101" s="2" t="s">
        <v>171</v>
      </c>
      <c r="D2101" s="2" t="s">
        <v>73</v>
      </c>
      <c r="E2101" s="2"/>
      <c r="F2101" s="2">
        <v>228</v>
      </c>
      <c r="G2101" s="2" t="s">
        <v>1087</v>
      </c>
      <c r="H2101" s="2">
        <v>7</v>
      </c>
      <c r="I2101" s="2" t="s">
        <v>476</v>
      </c>
      <c r="J2101" s="2">
        <v>242</v>
      </c>
      <c r="K2101" s="2" t="s">
        <v>1077</v>
      </c>
      <c r="L2101" s="2" t="s">
        <v>1078</v>
      </c>
      <c r="M2101" s="3">
        <v>40319</v>
      </c>
      <c r="N2101" s="2" t="s">
        <v>1079</v>
      </c>
      <c r="O2101" s="2" t="s">
        <v>7243</v>
      </c>
      <c r="P2101" s="2">
        <v>9703</v>
      </c>
      <c r="Q2101" s="2" t="str">
        <f>"270E/10"</f>
        <v>270E/10</v>
      </c>
      <c r="R2101" s="2"/>
      <c r="S2101" s="2" t="s">
        <v>391</v>
      </c>
      <c r="T2101" s="2">
        <v>1</v>
      </c>
      <c r="U2101" s="2" t="s">
        <v>79</v>
      </c>
      <c r="V2101" s="2">
        <v>1</v>
      </c>
      <c r="W2101" s="2" t="s">
        <v>80</v>
      </c>
      <c r="X2101" s="2">
        <v>8</v>
      </c>
      <c r="Y2101" s="2" t="s">
        <v>375</v>
      </c>
      <c r="Z2101" s="2">
        <v>1</v>
      </c>
      <c r="AA2101" s="2" t="s">
        <v>82</v>
      </c>
      <c r="AB2101" s="2">
        <v>1</v>
      </c>
      <c r="AC2101" s="2" t="s">
        <v>178</v>
      </c>
      <c r="AD2101" s="3">
        <v>40318</v>
      </c>
      <c r="AE2101" s="4">
        <v>0.92708333333333337</v>
      </c>
      <c r="AF2101" s="2"/>
      <c r="AG2101" s="2"/>
      <c r="AH2101" s="2">
        <v>2</v>
      </c>
      <c r="AI2101" s="2" t="s">
        <v>84</v>
      </c>
      <c r="AJ2101" s="2">
        <v>6</v>
      </c>
      <c r="AK2101" s="2" t="s">
        <v>453</v>
      </c>
      <c r="AL2101" s="2">
        <v>23</v>
      </c>
      <c r="AM2101" s="2" t="s">
        <v>251</v>
      </c>
      <c r="AN2101" s="2" t="s">
        <v>7244</v>
      </c>
      <c r="AO2101" s="2" t="s">
        <v>7245</v>
      </c>
      <c r="AP2101" s="2">
        <v>11</v>
      </c>
      <c r="AQ2101" s="2" t="s">
        <v>82</v>
      </c>
      <c r="AR2101" s="2"/>
      <c r="AS2101" s="2"/>
      <c r="AT2101" s="2" t="s">
        <v>7246</v>
      </c>
      <c r="AU2101" s="2"/>
      <c r="AV2101" s="2"/>
      <c r="AW2101" s="2"/>
      <c r="AX2101" s="2"/>
      <c r="AY2101" s="2">
        <v>42</v>
      </c>
      <c r="AZ2101" s="2" t="s">
        <v>182</v>
      </c>
      <c r="BA2101" s="2">
        <v>41</v>
      </c>
      <c r="BB2101" s="2" t="s">
        <v>82</v>
      </c>
      <c r="BC2101" s="2">
        <v>41</v>
      </c>
      <c r="BD2101" s="2" t="s">
        <v>82</v>
      </c>
      <c r="BE2101" s="2">
        <v>41</v>
      </c>
      <c r="BF2101" s="2" t="s">
        <v>82</v>
      </c>
      <c r="BG2101" s="2"/>
      <c r="BH2101" s="2"/>
      <c r="BI2101" s="2"/>
      <c r="BJ2101" s="2">
        <v>241</v>
      </c>
      <c r="BK2101" s="2" t="s">
        <v>82</v>
      </c>
      <c r="BL2101" s="2"/>
      <c r="BM2101" s="2">
        <v>241</v>
      </c>
      <c r="BN2101" s="2" t="s">
        <v>82</v>
      </c>
      <c r="BO2101" s="2"/>
      <c r="BP2101" s="2">
        <v>241</v>
      </c>
      <c r="BQ2101" s="2" t="s">
        <v>82</v>
      </c>
      <c r="BR2101" s="2"/>
      <c r="BS2101" s="3">
        <v>40319</v>
      </c>
      <c r="BT2101" s="4">
        <v>0.17921296296296296</v>
      </c>
    </row>
    <row r="2102" spans="1:72" x14ac:dyDescent="0.25">
      <c r="A2102" s="2">
        <v>3063</v>
      </c>
      <c r="B2102" s="2">
        <v>2010</v>
      </c>
      <c r="C2102" s="2" t="s">
        <v>171</v>
      </c>
      <c r="D2102" s="2" t="s">
        <v>73</v>
      </c>
      <c r="E2102" s="2"/>
      <c r="F2102" s="2">
        <v>228</v>
      </c>
      <c r="G2102" s="2" t="s">
        <v>1087</v>
      </c>
      <c r="H2102" s="2">
        <v>6</v>
      </c>
      <c r="I2102" s="2" t="s">
        <v>1088</v>
      </c>
      <c r="J2102" s="2">
        <v>242</v>
      </c>
      <c r="K2102" s="2" t="s">
        <v>1077</v>
      </c>
      <c r="L2102" s="2" t="s">
        <v>1078</v>
      </c>
      <c r="M2102" s="3">
        <v>40319</v>
      </c>
      <c r="N2102" s="2" t="s">
        <v>7163</v>
      </c>
      <c r="O2102" s="2"/>
      <c r="P2102" s="2"/>
      <c r="Q2102" s="2" t="str">
        <f>"272-E/10"</f>
        <v>272-E/10</v>
      </c>
      <c r="R2102" s="2"/>
      <c r="S2102" s="2" t="s">
        <v>391</v>
      </c>
      <c r="T2102" s="2">
        <v>1</v>
      </c>
      <c r="U2102" s="2" t="s">
        <v>79</v>
      </c>
      <c r="V2102" s="2">
        <v>1</v>
      </c>
      <c r="W2102" s="2" t="s">
        <v>80</v>
      </c>
      <c r="X2102" s="2">
        <v>3</v>
      </c>
      <c r="Y2102" s="2" t="s">
        <v>698</v>
      </c>
      <c r="Z2102" s="2">
        <v>2</v>
      </c>
      <c r="AA2102" s="2" t="s">
        <v>2148</v>
      </c>
      <c r="AB2102" s="2">
        <v>1</v>
      </c>
      <c r="AC2102" s="2" t="s">
        <v>178</v>
      </c>
      <c r="AD2102" s="3">
        <v>40319</v>
      </c>
      <c r="AE2102" s="4">
        <v>8.3333333333333329E-2</v>
      </c>
      <c r="AF2102" s="2"/>
      <c r="AG2102" s="2"/>
      <c r="AH2102" s="2">
        <v>2</v>
      </c>
      <c r="AI2102" s="2" t="s">
        <v>84</v>
      </c>
      <c r="AJ2102" s="2">
        <v>9</v>
      </c>
      <c r="AK2102" s="2" t="s">
        <v>103</v>
      </c>
      <c r="AL2102" s="2">
        <v>16</v>
      </c>
      <c r="AM2102" s="2" t="s">
        <v>392</v>
      </c>
      <c r="AN2102" s="2" t="s">
        <v>7247</v>
      </c>
      <c r="AO2102" s="2"/>
      <c r="AP2102" s="2">
        <v>6</v>
      </c>
      <c r="AQ2102" s="2" t="s">
        <v>394</v>
      </c>
      <c r="AR2102" s="2" t="s">
        <v>7248</v>
      </c>
      <c r="AS2102" s="2" t="s">
        <v>7249</v>
      </c>
      <c r="AT2102" s="2" t="s">
        <v>7250</v>
      </c>
      <c r="AU2102" s="2"/>
      <c r="AV2102" s="2"/>
      <c r="AW2102" s="2"/>
      <c r="AX2102" s="2"/>
      <c r="AY2102" s="2">
        <v>41</v>
      </c>
      <c r="AZ2102" s="2" t="s">
        <v>82</v>
      </c>
      <c r="BA2102" s="2">
        <v>41</v>
      </c>
      <c r="BB2102" s="2" t="s">
        <v>82</v>
      </c>
      <c r="BC2102" s="2">
        <v>41</v>
      </c>
      <c r="BD2102" s="2" t="s">
        <v>82</v>
      </c>
      <c r="BE2102" s="2">
        <v>31</v>
      </c>
      <c r="BF2102" s="2" t="s">
        <v>398</v>
      </c>
      <c r="BG2102" s="2" t="s">
        <v>7251</v>
      </c>
      <c r="BH2102" s="2"/>
      <c r="BI2102" s="4">
        <v>0.54166666666666663</v>
      </c>
      <c r="BJ2102" s="2">
        <v>13</v>
      </c>
      <c r="BK2102" s="2" t="s">
        <v>91</v>
      </c>
      <c r="BL2102" s="2" t="s">
        <v>360</v>
      </c>
      <c r="BM2102" s="2">
        <v>73</v>
      </c>
      <c r="BN2102" s="2" t="s">
        <v>186</v>
      </c>
      <c r="BO2102" s="2" t="s">
        <v>187</v>
      </c>
      <c r="BP2102" s="2">
        <v>128</v>
      </c>
      <c r="BQ2102" s="2" t="s">
        <v>7252</v>
      </c>
      <c r="BR2102" s="2" t="s">
        <v>7253</v>
      </c>
      <c r="BS2102" s="3">
        <v>40319</v>
      </c>
      <c r="BT2102" s="4">
        <v>0.30341435185185184</v>
      </c>
    </row>
    <row r="2103" spans="1:72" x14ac:dyDescent="0.25">
      <c r="A2103" s="2">
        <v>3064</v>
      </c>
      <c r="B2103" s="2">
        <v>2010</v>
      </c>
      <c r="C2103" s="2" t="s">
        <v>4543</v>
      </c>
      <c r="D2103" s="2" t="s">
        <v>122</v>
      </c>
      <c r="E2103" s="2"/>
      <c r="F2103" s="2">
        <v>1</v>
      </c>
      <c r="G2103" s="2" t="s">
        <v>82</v>
      </c>
      <c r="H2103" s="2">
        <v>1</v>
      </c>
      <c r="I2103" s="2" t="s">
        <v>82</v>
      </c>
      <c r="J2103" s="2">
        <v>1</v>
      </c>
      <c r="K2103" s="2" t="s">
        <v>107</v>
      </c>
      <c r="L2103" s="2" t="s">
        <v>107</v>
      </c>
      <c r="M2103" s="3">
        <v>40319</v>
      </c>
      <c r="N2103" s="2"/>
      <c r="O2103" s="2"/>
      <c r="P2103" s="2"/>
      <c r="Q2103" s="2" t="str">
        <f>""</f>
        <v/>
      </c>
      <c r="R2103" s="2"/>
      <c r="S2103" s="2"/>
      <c r="T2103" s="2">
        <v>2</v>
      </c>
      <c r="U2103" s="2" t="s">
        <v>123</v>
      </c>
      <c r="V2103" s="2">
        <v>1</v>
      </c>
      <c r="W2103" s="2" t="s">
        <v>80</v>
      </c>
      <c r="X2103" s="2">
        <v>11</v>
      </c>
      <c r="Y2103" s="2" t="s">
        <v>1920</v>
      </c>
      <c r="Z2103" s="2">
        <v>1</v>
      </c>
      <c r="AA2103" s="2" t="s">
        <v>82</v>
      </c>
      <c r="AB2103" s="2">
        <v>9</v>
      </c>
      <c r="AC2103" s="2" t="s">
        <v>124</v>
      </c>
      <c r="AD2103" s="3">
        <v>40319</v>
      </c>
      <c r="AE2103" s="4">
        <v>0.35625000000000001</v>
      </c>
      <c r="AF2103" s="2"/>
      <c r="AG2103" s="2"/>
      <c r="AH2103" s="2">
        <v>6</v>
      </c>
      <c r="AI2103" s="2" t="s">
        <v>197</v>
      </c>
      <c r="AJ2103" s="2">
        <v>54</v>
      </c>
      <c r="AK2103" s="2" t="s">
        <v>348</v>
      </c>
      <c r="AL2103" s="2">
        <v>18</v>
      </c>
      <c r="AM2103" s="2" t="s">
        <v>82</v>
      </c>
      <c r="AN2103" s="2" t="s">
        <v>595</v>
      </c>
      <c r="AO2103" s="2" t="s">
        <v>200</v>
      </c>
      <c r="AP2103" s="2">
        <v>14</v>
      </c>
      <c r="AQ2103" s="2" t="s">
        <v>3301</v>
      </c>
      <c r="AR2103" s="2" t="s">
        <v>596</v>
      </c>
      <c r="AS2103" s="2" t="s">
        <v>596</v>
      </c>
      <c r="AT2103" s="2" t="s">
        <v>7254</v>
      </c>
      <c r="AU2103" s="2"/>
      <c r="AV2103" s="2"/>
      <c r="AW2103" s="2"/>
      <c r="AX2103" s="2"/>
      <c r="AY2103" s="2">
        <v>1</v>
      </c>
      <c r="AZ2103" s="2" t="s">
        <v>107</v>
      </c>
      <c r="BA2103" s="2">
        <v>1</v>
      </c>
      <c r="BB2103" s="2" t="s">
        <v>107</v>
      </c>
      <c r="BC2103" s="2">
        <v>1</v>
      </c>
      <c r="BD2103" s="2" t="s">
        <v>107</v>
      </c>
      <c r="BE2103" s="2">
        <v>4</v>
      </c>
      <c r="BF2103" s="2" t="s">
        <v>90</v>
      </c>
      <c r="BG2103" s="2" t="s">
        <v>5619</v>
      </c>
      <c r="BH2103" s="4">
        <v>0.3125</v>
      </c>
      <c r="BI2103" s="4">
        <v>0.35486111111111113</v>
      </c>
      <c r="BJ2103" s="2">
        <v>13</v>
      </c>
      <c r="BK2103" s="2" t="s">
        <v>91</v>
      </c>
      <c r="BL2103" s="2" t="s">
        <v>7255</v>
      </c>
      <c r="BM2103" s="2">
        <v>242</v>
      </c>
      <c r="BN2103" s="2" t="s">
        <v>107</v>
      </c>
      <c r="BO2103" s="2"/>
      <c r="BP2103" s="2">
        <v>13</v>
      </c>
      <c r="BQ2103" s="2" t="s">
        <v>91</v>
      </c>
      <c r="BR2103" s="2" t="s">
        <v>2168</v>
      </c>
      <c r="BS2103" s="3">
        <v>40319</v>
      </c>
      <c r="BT2103" s="4">
        <v>0.36663194444444441</v>
      </c>
    </row>
    <row r="2104" spans="1:72" x14ac:dyDescent="0.25">
      <c r="A2104" s="2">
        <v>3066</v>
      </c>
      <c r="B2104" s="2">
        <v>2010</v>
      </c>
      <c r="C2104" s="2" t="s">
        <v>457</v>
      </c>
      <c r="D2104" s="2" t="s">
        <v>122</v>
      </c>
      <c r="E2104" s="2"/>
      <c r="F2104" s="2">
        <v>367</v>
      </c>
      <c r="G2104" s="2" t="s">
        <v>6632</v>
      </c>
      <c r="H2104" s="2">
        <v>2</v>
      </c>
      <c r="I2104" s="2" t="s">
        <v>267</v>
      </c>
      <c r="J2104" s="2">
        <v>559</v>
      </c>
      <c r="K2104" s="2" t="s">
        <v>7256</v>
      </c>
      <c r="L2104" s="2" t="s">
        <v>5235</v>
      </c>
      <c r="M2104" s="3">
        <v>40319</v>
      </c>
      <c r="N2104" s="2" t="s">
        <v>7257</v>
      </c>
      <c r="O2104" s="2" t="s">
        <v>7258</v>
      </c>
      <c r="P2104" s="2" t="s">
        <v>107</v>
      </c>
      <c r="Q2104" s="2" t="str">
        <f>"N/C"</f>
        <v>N/C</v>
      </c>
      <c r="R2104" s="2" t="s">
        <v>82</v>
      </c>
      <c r="S2104" s="2" t="s">
        <v>82</v>
      </c>
      <c r="T2104" s="2">
        <v>1</v>
      </c>
      <c r="U2104" s="2" t="s">
        <v>79</v>
      </c>
      <c r="V2104" s="2">
        <v>1</v>
      </c>
      <c r="W2104" s="2" t="s">
        <v>80</v>
      </c>
      <c r="X2104" s="2">
        <v>4</v>
      </c>
      <c r="Y2104" s="2" t="s">
        <v>463</v>
      </c>
      <c r="Z2104" s="2">
        <v>6</v>
      </c>
      <c r="AA2104" s="2" t="s">
        <v>101</v>
      </c>
      <c r="AB2104" s="2">
        <v>9</v>
      </c>
      <c r="AC2104" s="2" t="s">
        <v>124</v>
      </c>
      <c r="AD2104" s="3">
        <v>40319</v>
      </c>
      <c r="AE2104" s="4">
        <v>0.3923611111111111</v>
      </c>
      <c r="AF2104" s="2"/>
      <c r="AG2104" s="2"/>
      <c r="AH2104" s="2">
        <v>3</v>
      </c>
      <c r="AI2104" s="2" t="s">
        <v>214</v>
      </c>
      <c r="AJ2104" s="2">
        <v>24</v>
      </c>
      <c r="AK2104" s="2" t="s">
        <v>215</v>
      </c>
      <c r="AL2104" s="2">
        <v>19</v>
      </c>
      <c r="AM2104" s="2" t="s">
        <v>107</v>
      </c>
      <c r="AN2104" s="2"/>
      <c r="AO2104" s="2"/>
      <c r="AP2104" s="2">
        <v>11</v>
      </c>
      <c r="AQ2104" s="2" t="s">
        <v>82</v>
      </c>
      <c r="AR2104" s="2" t="s">
        <v>82</v>
      </c>
      <c r="AS2104" s="2" t="s">
        <v>82</v>
      </c>
      <c r="AT2104" s="2" t="s">
        <v>7259</v>
      </c>
      <c r="AU2104" s="2"/>
      <c r="AV2104" s="2"/>
      <c r="AW2104" s="2"/>
      <c r="AX2104" s="2"/>
      <c r="AY2104" s="2">
        <v>1</v>
      </c>
      <c r="AZ2104" s="2" t="s">
        <v>107</v>
      </c>
      <c r="BA2104" s="2">
        <v>1</v>
      </c>
      <c r="BB2104" s="2" t="s">
        <v>107</v>
      </c>
      <c r="BC2104" s="2">
        <v>1</v>
      </c>
      <c r="BD2104" s="2" t="s">
        <v>107</v>
      </c>
      <c r="BE2104" s="2">
        <v>38</v>
      </c>
      <c r="BF2104" s="2" t="s">
        <v>221</v>
      </c>
      <c r="BG2104" s="2">
        <v>2422</v>
      </c>
      <c r="BH2104" s="4">
        <v>0.26041666666666669</v>
      </c>
      <c r="BI2104" s="4">
        <v>0.3923611111111111</v>
      </c>
      <c r="BJ2104" s="2">
        <v>173</v>
      </c>
      <c r="BK2104" s="2" t="s">
        <v>223</v>
      </c>
      <c r="BL2104" s="2" t="s">
        <v>224</v>
      </c>
      <c r="BM2104" s="2">
        <v>242</v>
      </c>
      <c r="BN2104" s="2" t="s">
        <v>107</v>
      </c>
      <c r="BO2104" s="2"/>
      <c r="BP2104" s="2">
        <v>13</v>
      </c>
      <c r="BQ2104" s="2" t="s">
        <v>91</v>
      </c>
      <c r="BR2104" s="2" t="s">
        <v>169</v>
      </c>
      <c r="BS2104" s="3">
        <v>40319</v>
      </c>
      <c r="BT2104" s="4">
        <v>0.42812500000000003</v>
      </c>
    </row>
    <row r="2105" spans="1:72" x14ac:dyDescent="0.25">
      <c r="A2105" s="2">
        <v>3067</v>
      </c>
      <c r="B2105" s="2">
        <v>2010</v>
      </c>
      <c r="C2105" s="2" t="s">
        <v>171</v>
      </c>
      <c r="D2105" s="2" t="s">
        <v>122</v>
      </c>
      <c r="E2105" s="2"/>
      <c r="F2105" s="2">
        <v>424</v>
      </c>
      <c r="G2105" s="2" t="s">
        <v>266</v>
      </c>
      <c r="H2105" s="2">
        <v>2</v>
      </c>
      <c r="I2105" s="2" t="s">
        <v>267</v>
      </c>
      <c r="J2105" s="2">
        <v>309</v>
      </c>
      <c r="K2105" s="2" t="s">
        <v>268</v>
      </c>
      <c r="L2105" s="2" t="s">
        <v>269</v>
      </c>
      <c r="M2105" s="3">
        <v>40319</v>
      </c>
      <c r="N2105" s="2" t="s">
        <v>4732</v>
      </c>
      <c r="O2105" s="2" t="s">
        <v>7260</v>
      </c>
      <c r="P2105" s="2" t="s">
        <v>7261</v>
      </c>
      <c r="Q2105" s="2" t="str">
        <f>"003/2010"</f>
        <v>003/2010</v>
      </c>
      <c r="R2105" s="2"/>
      <c r="S2105" s="2" t="s">
        <v>7262</v>
      </c>
      <c r="T2105" s="2">
        <v>1</v>
      </c>
      <c r="U2105" s="2" t="s">
        <v>79</v>
      </c>
      <c r="V2105" s="2">
        <v>3</v>
      </c>
      <c r="W2105" s="2" t="s">
        <v>225</v>
      </c>
      <c r="X2105" s="2">
        <v>6</v>
      </c>
      <c r="Y2105" s="2" t="s">
        <v>249</v>
      </c>
      <c r="Z2105" s="2">
        <v>1</v>
      </c>
      <c r="AA2105" s="2" t="s">
        <v>82</v>
      </c>
      <c r="AB2105" s="2">
        <v>9</v>
      </c>
      <c r="AC2105" s="2" t="s">
        <v>124</v>
      </c>
      <c r="AD2105" s="3">
        <v>40319</v>
      </c>
      <c r="AE2105" s="4">
        <v>0.375</v>
      </c>
      <c r="AF2105" s="2"/>
      <c r="AG2105" s="2"/>
      <c r="AH2105" s="2">
        <v>5</v>
      </c>
      <c r="AI2105" s="2" t="s">
        <v>274</v>
      </c>
      <c r="AJ2105" s="2">
        <v>35</v>
      </c>
      <c r="AK2105" s="2" t="s">
        <v>275</v>
      </c>
      <c r="AL2105" s="2">
        <v>18</v>
      </c>
      <c r="AM2105" s="2" t="s">
        <v>82</v>
      </c>
      <c r="AN2105" s="2"/>
      <c r="AO2105" s="2"/>
      <c r="AP2105" s="2">
        <v>11</v>
      </c>
      <c r="AQ2105" s="2" t="s">
        <v>82</v>
      </c>
      <c r="AR2105" s="2"/>
      <c r="AS2105" s="2"/>
      <c r="AT2105" s="2" t="s">
        <v>7263</v>
      </c>
      <c r="AU2105" s="2"/>
      <c r="AV2105" s="2"/>
      <c r="AW2105" s="2"/>
      <c r="AX2105" s="2"/>
      <c r="AY2105" s="2">
        <v>1</v>
      </c>
      <c r="AZ2105" s="2" t="s">
        <v>107</v>
      </c>
      <c r="BA2105" s="2">
        <v>1</v>
      </c>
      <c r="BB2105" s="2" t="s">
        <v>107</v>
      </c>
      <c r="BC2105" s="2">
        <v>1</v>
      </c>
      <c r="BD2105" s="2" t="s">
        <v>107</v>
      </c>
      <c r="BE2105" s="2">
        <v>1</v>
      </c>
      <c r="BF2105" s="2" t="s">
        <v>107</v>
      </c>
      <c r="BG2105" s="2"/>
      <c r="BH2105" s="2"/>
      <c r="BI2105" s="2"/>
      <c r="BJ2105" s="2">
        <v>242</v>
      </c>
      <c r="BK2105" s="2" t="s">
        <v>107</v>
      </c>
      <c r="BL2105" s="2"/>
      <c r="BM2105" s="2">
        <v>242</v>
      </c>
      <c r="BN2105" s="2" t="s">
        <v>107</v>
      </c>
      <c r="BO2105" s="2"/>
      <c r="BP2105" s="2">
        <v>242</v>
      </c>
      <c r="BQ2105" s="2" t="s">
        <v>107</v>
      </c>
      <c r="BR2105" s="2"/>
      <c r="BS2105" s="3">
        <v>40319</v>
      </c>
      <c r="BT2105" s="4">
        <v>0.42984953703703704</v>
      </c>
    </row>
    <row r="2106" spans="1:72" x14ac:dyDescent="0.25">
      <c r="A2106" s="2">
        <v>3072</v>
      </c>
      <c r="B2106" s="2">
        <v>2010</v>
      </c>
      <c r="C2106" s="2" t="s">
        <v>72</v>
      </c>
      <c r="D2106" s="2" t="s">
        <v>73</v>
      </c>
      <c r="E2106" s="2"/>
      <c r="F2106" s="2">
        <v>10</v>
      </c>
      <c r="G2106" s="2" t="s">
        <v>2143</v>
      </c>
      <c r="H2106" s="2">
        <v>24</v>
      </c>
      <c r="I2106" s="2" t="s">
        <v>287</v>
      </c>
      <c r="J2106" s="2">
        <v>538</v>
      </c>
      <c r="K2106" s="2" t="s">
        <v>7264</v>
      </c>
      <c r="L2106" s="2" t="s">
        <v>7265</v>
      </c>
      <c r="M2106" s="3">
        <v>40319</v>
      </c>
      <c r="N2106" s="2" t="s">
        <v>7266</v>
      </c>
      <c r="O2106" s="2" t="s">
        <v>82</v>
      </c>
      <c r="P2106" s="2" t="s">
        <v>82</v>
      </c>
      <c r="Q2106" s="2" t="str">
        <f>"24/2010"</f>
        <v>24/2010</v>
      </c>
      <c r="R2106" s="2" t="s">
        <v>601</v>
      </c>
      <c r="S2106" s="2" t="s">
        <v>601</v>
      </c>
      <c r="T2106" s="2">
        <v>1</v>
      </c>
      <c r="U2106" s="2" t="s">
        <v>79</v>
      </c>
      <c r="V2106" s="2">
        <v>1</v>
      </c>
      <c r="W2106" s="2" t="s">
        <v>80</v>
      </c>
      <c r="X2106" s="2">
        <v>12</v>
      </c>
      <c r="Y2106" s="2" t="s">
        <v>148</v>
      </c>
      <c r="Z2106" s="2">
        <v>1</v>
      </c>
      <c r="AA2106" s="2" t="s">
        <v>82</v>
      </c>
      <c r="AB2106" s="2">
        <v>6</v>
      </c>
      <c r="AC2106" s="2" t="s">
        <v>83</v>
      </c>
      <c r="AD2106" s="3">
        <v>40318</v>
      </c>
      <c r="AE2106" s="4">
        <v>0.58333333333333337</v>
      </c>
      <c r="AF2106" s="3">
        <v>40319</v>
      </c>
      <c r="AG2106" s="4">
        <v>0.39583333333333331</v>
      </c>
      <c r="AH2106" s="2">
        <v>3</v>
      </c>
      <c r="AI2106" s="2" t="s">
        <v>214</v>
      </c>
      <c r="AJ2106" s="2">
        <v>24</v>
      </c>
      <c r="AK2106" s="2" t="s">
        <v>215</v>
      </c>
      <c r="AL2106" s="2">
        <v>22</v>
      </c>
      <c r="AM2106" s="2" t="s">
        <v>1853</v>
      </c>
      <c r="AN2106" s="2" t="s">
        <v>2568</v>
      </c>
      <c r="AO2106" s="2"/>
      <c r="AP2106" s="2">
        <v>11</v>
      </c>
      <c r="AQ2106" s="2" t="s">
        <v>82</v>
      </c>
      <c r="AR2106" s="2" t="s">
        <v>82</v>
      </c>
      <c r="AS2106" s="2" t="s">
        <v>82</v>
      </c>
      <c r="AT2106" s="2" t="s">
        <v>7267</v>
      </c>
      <c r="AU2106" s="2"/>
      <c r="AV2106" s="2"/>
      <c r="AW2106" s="2"/>
      <c r="AX2106" s="2"/>
      <c r="AY2106" s="2">
        <v>41</v>
      </c>
      <c r="AZ2106" s="2" t="s">
        <v>82</v>
      </c>
      <c r="BA2106" s="2">
        <v>41</v>
      </c>
      <c r="BB2106" s="2" t="s">
        <v>82</v>
      </c>
      <c r="BC2106" s="2">
        <v>41</v>
      </c>
      <c r="BD2106" s="2" t="s">
        <v>82</v>
      </c>
      <c r="BE2106" s="2">
        <v>4</v>
      </c>
      <c r="BF2106" s="2" t="s">
        <v>90</v>
      </c>
      <c r="BG2106" s="2">
        <v>4218</v>
      </c>
      <c r="BH2106" s="4">
        <v>0.875</v>
      </c>
      <c r="BI2106" s="4">
        <v>0.82986111111111116</v>
      </c>
      <c r="BJ2106" s="2">
        <v>13</v>
      </c>
      <c r="BK2106" s="2" t="s">
        <v>91</v>
      </c>
      <c r="BL2106" s="2" t="s">
        <v>170</v>
      </c>
      <c r="BM2106" s="2">
        <v>241</v>
      </c>
      <c r="BN2106" s="2" t="s">
        <v>82</v>
      </c>
      <c r="BO2106" s="2" t="s">
        <v>82</v>
      </c>
      <c r="BP2106" s="2">
        <v>13</v>
      </c>
      <c r="BQ2106" s="2" t="s">
        <v>91</v>
      </c>
      <c r="BR2106" s="2" t="s">
        <v>169</v>
      </c>
      <c r="BS2106" s="3">
        <v>40319</v>
      </c>
      <c r="BT2106" s="4">
        <v>0.4773148148148148</v>
      </c>
    </row>
    <row r="2107" spans="1:72" x14ac:dyDescent="0.25">
      <c r="A2107" s="2">
        <v>3073</v>
      </c>
      <c r="B2107" s="2">
        <v>2010</v>
      </c>
      <c r="C2107" s="2" t="s">
        <v>819</v>
      </c>
      <c r="D2107" s="2" t="s">
        <v>122</v>
      </c>
      <c r="E2107" s="2"/>
      <c r="F2107" s="2">
        <v>451</v>
      </c>
      <c r="G2107" s="2" t="s">
        <v>879</v>
      </c>
      <c r="H2107" s="2">
        <v>31</v>
      </c>
      <c r="I2107" s="2" t="s">
        <v>880</v>
      </c>
      <c r="J2107" s="2">
        <v>326</v>
      </c>
      <c r="K2107" s="2" t="s">
        <v>881</v>
      </c>
      <c r="L2107" s="2" t="s">
        <v>882</v>
      </c>
      <c r="M2107" s="3">
        <v>40319</v>
      </c>
      <c r="N2107" s="2" t="s">
        <v>1072</v>
      </c>
      <c r="O2107" s="2" t="s">
        <v>822</v>
      </c>
      <c r="P2107" s="2"/>
      <c r="Q2107" s="2" t="str">
        <f>"059/10"</f>
        <v>059/10</v>
      </c>
      <c r="R2107" s="2"/>
      <c r="S2107" s="2"/>
      <c r="T2107" s="2">
        <v>1</v>
      </c>
      <c r="U2107" s="2" t="s">
        <v>79</v>
      </c>
      <c r="V2107" s="2">
        <v>1</v>
      </c>
      <c r="W2107" s="2" t="s">
        <v>80</v>
      </c>
      <c r="X2107" s="2">
        <v>1</v>
      </c>
      <c r="Y2107" s="2" t="s">
        <v>81</v>
      </c>
      <c r="Z2107" s="2">
        <v>10</v>
      </c>
      <c r="AA2107" s="2" t="s">
        <v>236</v>
      </c>
      <c r="AB2107" s="2">
        <v>9</v>
      </c>
      <c r="AC2107" s="2" t="s">
        <v>124</v>
      </c>
      <c r="AD2107" s="3">
        <v>40319</v>
      </c>
      <c r="AE2107" s="4">
        <v>0.38541666666666669</v>
      </c>
      <c r="AF2107" s="2"/>
      <c r="AG2107" s="2"/>
      <c r="AH2107" s="2">
        <v>4</v>
      </c>
      <c r="AI2107" s="2" t="s">
        <v>125</v>
      </c>
      <c r="AJ2107" s="2">
        <v>29</v>
      </c>
      <c r="AK2107" s="2" t="s">
        <v>227</v>
      </c>
      <c r="AL2107" s="2">
        <v>16</v>
      </c>
      <c r="AM2107" s="2" t="s">
        <v>392</v>
      </c>
      <c r="AN2107" s="2" t="s">
        <v>3040</v>
      </c>
      <c r="AO2107" s="2" t="s">
        <v>7268</v>
      </c>
      <c r="AP2107" s="2">
        <v>12</v>
      </c>
      <c r="AQ2107" s="2" t="s">
        <v>322</v>
      </c>
      <c r="AR2107" s="2" t="s">
        <v>824</v>
      </c>
      <c r="AS2107" s="2" t="s">
        <v>825</v>
      </c>
      <c r="AT2107" s="2" t="s">
        <v>7269</v>
      </c>
      <c r="AU2107" s="2"/>
      <c r="AV2107" s="2"/>
      <c r="AW2107" s="2"/>
      <c r="AX2107" s="2"/>
      <c r="AY2107" s="2">
        <v>41</v>
      </c>
      <c r="AZ2107" s="2" t="s">
        <v>82</v>
      </c>
      <c r="BA2107" s="2">
        <v>41</v>
      </c>
      <c r="BB2107" s="2" t="s">
        <v>82</v>
      </c>
      <c r="BC2107" s="2">
        <v>41</v>
      </c>
      <c r="BD2107" s="2" t="s">
        <v>82</v>
      </c>
      <c r="BE2107" s="2">
        <v>47</v>
      </c>
      <c r="BF2107" s="2" t="s">
        <v>167</v>
      </c>
      <c r="BG2107" s="2">
        <v>2459</v>
      </c>
      <c r="BH2107" s="4">
        <v>0.90277777777777779</v>
      </c>
      <c r="BI2107" s="4">
        <v>0.93055555555555547</v>
      </c>
      <c r="BJ2107" s="2">
        <v>13</v>
      </c>
      <c r="BK2107" s="2" t="s">
        <v>91</v>
      </c>
      <c r="BL2107" s="2" t="s">
        <v>828</v>
      </c>
      <c r="BM2107" s="2">
        <v>241</v>
      </c>
      <c r="BN2107" s="2" t="s">
        <v>82</v>
      </c>
      <c r="BO2107" s="2" t="s">
        <v>82</v>
      </c>
      <c r="BP2107" s="2">
        <v>13</v>
      </c>
      <c r="BQ2107" s="2" t="s">
        <v>91</v>
      </c>
      <c r="BR2107" s="2" t="s">
        <v>185</v>
      </c>
      <c r="BS2107" s="3">
        <v>40319</v>
      </c>
      <c r="BT2107" s="4">
        <v>0.50665509259259256</v>
      </c>
    </row>
    <row r="2108" spans="1:72" x14ac:dyDescent="0.25">
      <c r="A2108" s="2">
        <v>3076</v>
      </c>
      <c r="B2108" s="2">
        <v>2010</v>
      </c>
      <c r="C2108" s="2" t="s">
        <v>171</v>
      </c>
      <c r="D2108" s="2" t="s">
        <v>73</v>
      </c>
      <c r="E2108" s="2"/>
      <c r="F2108" s="2">
        <v>146</v>
      </c>
      <c r="G2108" s="2" t="s">
        <v>753</v>
      </c>
      <c r="H2108" s="2">
        <v>44</v>
      </c>
      <c r="I2108" s="2" t="s">
        <v>1272</v>
      </c>
      <c r="J2108" s="2">
        <v>161</v>
      </c>
      <c r="K2108" s="2" t="s">
        <v>1900</v>
      </c>
      <c r="L2108" s="2" t="s">
        <v>1901</v>
      </c>
      <c r="M2108" s="3">
        <v>40319</v>
      </c>
      <c r="N2108" s="2" t="s">
        <v>7270</v>
      </c>
      <c r="O2108" s="2" t="s">
        <v>7271</v>
      </c>
      <c r="P2108" s="2">
        <v>19168</v>
      </c>
      <c r="Q2108" s="2" t="str">
        <f>"AP 0025/10 UO-USU"</f>
        <v>AP 0025/10 UO-USU</v>
      </c>
      <c r="R2108" s="2" t="s">
        <v>82</v>
      </c>
      <c r="S2108" s="2" t="s">
        <v>82</v>
      </c>
      <c r="T2108" s="2">
        <v>1</v>
      </c>
      <c r="U2108" s="2" t="s">
        <v>79</v>
      </c>
      <c r="V2108" s="2">
        <v>1</v>
      </c>
      <c r="W2108" s="2" t="s">
        <v>80</v>
      </c>
      <c r="X2108" s="2">
        <v>1</v>
      </c>
      <c r="Y2108" s="2" t="s">
        <v>81</v>
      </c>
      <c r="Z2108" s="2">
        <v>1</v>
      </c>
      <c r="AA2108" s="2" t="s">
        <v>82</v>
      </c>
      <c r="AB2108" s="2">
        <v>1</v>
      </c>
      <c r="AC2108" s="2" t="s">
        <v>178</v>
      </c>
      <c r="AD2108" s="3">
        <v>40319</v>
      </c>
      <c r="AE2108" s="4">
        <v>0.47916666666666669</v>
      </c>
      <c r="AF2108" s="2"/>
      <c r="AG2108" s="2"/>
      <c r="AH2108" s="2">
        <v>6</v>
      </c>
      <c r="AI2108" s="2" t="s">
        <v>197</v>
      </c>
      <c r="AJ2108" s="2">
        <v>60</v>
      </c>
      <c r="AK2108" s="2" t="s">
        <v>543</v>
      </c>
      <c r="AL2108" s="2">
        <v>11</v>
      </c>
      <c r="AM2108" s="2" t="s">
        <v>137</v>
      </c>
      <c r="AN2108" s="2" t="s">
        <v>7272</v>
      </c>
      <c r="AO2108" s="2" t="s">
        <v>7273</v>
      </c>
      <c r="AP2108" s="2">
        <v>11</v>
      </c>
      <c r="AQ2108" s="2" t="s">
        <v>82</v>
      </c>
      <c r="AR2108" s="2" t="s">
        <v>82</v>
      </c>
      <c r="AS2108" s="2" t="s">
        <v>82</v>
      </c>
      <c r="AT2108" s="2" t="s">
        <v>7274</v>
      </c>
      <c r="AU2108" s="2"/>
      <c r="AV2108" s="2"/>
      <c r="AW2108" s="2"/>
      <c r="AX2108" s="2"/>
      <c r="AY2108" s="2">
        <v>41</v>
      </c>
      <c r="AZ2108" s="2" t="s">
        <v>82</v>
      </c>
      <c r="BA2108" s="2">
        <v>41</v>
      </c>
      <c r="BB2108" s="2" t="s">
        <v>82</v>
      </c>
      <c r="BC2108" s="2">
        <v>41</v>
      </c>
      <c r="BD2108" s="2" t="s">
        <v>82</v>
      </c>
      <c r="BE2108" s="2">
        <v>13</v>
      </c>
      <c r="BF2108" s="2" t="s">
        <v>108</v>
      </c>
      <c r="BG2108" s="2" t="s">
        <v>7275</v>
      </c>
      <c r="BH2108" s="2"/>
      <c r="BI2108" s="4">
        <v>0.52083333333333337</v>
      </c>
      <c r="BJ2108" s="2">
        <v>13</v>
      </c>
      <c r="BK2108" s="2" t="s">
        <v>91</v>
      </c>
      <c r="BL2108" s="2" t="s">
        <v>895</v>
      </c>
      <c r="BM2108" s="2">
        <v>241</v>
      </c>
      <c r="BN2108" s="2" t="s">
        <v>82</v>
      </c>
      <c r="BO2108" s="2" t="s">
        <v>82</v>
      </c>
      <c r="BP2108" s="2">
        <v>13</v>
      </c>
      <c r="BQ2108" s="2" t="s">
        <v>91</v>
      </c>
      <c r="BR2108" s="2" t="s">
        <v>6759</v>
      </c>
      <c r="BS2108" s="3">
        <v>40319</v>
      </c>
      <c r="BT2108" s="4">
        <v>0.64069444444444446</v>
      </c>
    </row>
    <row r="2109" spans="1:72" x14ac:dyDescent="0.25">
      <c r="A2109" s="2">
        <v>3077</v>
      </c>
      <c r="B2109" s="2">
        <v>2010</v>
      </c>
      <c r="C2109" s="2" t="s">
        <v>196</v>
      </c>
      <c r="D2109" s="2" t="s">
        <v>122</v>
      </c>
      <c r="E2109" s="2"/>
      <c r="F2109" s="2">
        <v>1</v>
      </c>
      <c r="G2109" s="2" t="s">
        <v>82</v>
      </c>
      <c r="H2109" s="2">
        <v>1</v>
      </c>
      <c r="I2109" s="2" t="s">
        <v>82</v>
      </c>
      <c r="J2109" s="2">
        <v>1</v>
      </c>
      <c r="K2109" s="2" t="s">
        <v>107</v>
      </c>
      <c r="L2109" s="2" t="s">
        <v>107</v>
      </c>
      <c r="M2109" s="3">
        <v>40319</v>
      </c>
      <c r="N2109" s="2"/>
      <c r="O2109" s="2"/>
      <c r="P2109" s="2"/>
      <c r="Q2109" s="2" t="str">
        <f>""</f>
        <v/>
      </c>
      <c r="R2109" s="2"/>
      <c r="S2109" s="2"/>
      <c r="T2109" s="2">
        <v>2</v>
      </c>
      <c r="U2109" s="2" t="s">
        <v>123</v>
      </c>
      <c r="V2109" s="2">
        <v>1</v>
      </c>
      <c r="W2109" s="2" t="s">
        <v>80</v>
      </c>
      <c r="X2109" s="2">
        <v>11</v>
      </c>
      <c r="Y2109" s="2" t="s">
        <v>1920</v>
      </c>
      <c r="Z2109" s="2">
        <v>1</v>
      </c>
      <c r="AA2109" s="2" t="s">
        <v>82</v>
      </c>
      <c r="AB2109" s="2">
        <v>9</v>
      </c>
      <c r="AC2109" s="2" t="s">
        <v>124</v>
      </c>
      <c r="AD2109" s="3">
        <v>40289</v>
      </c>
      <c r="AE2109" s="4">
        <v>0.33333333333333331</v>
      </c>
      <c r="AF2109" s="2"/>
      <c r="AG2109" s="2"/>
      <c r="AH2109" s="2">
        <v>2</v>
      </c>
      <c r="AI2109" s="2" t="s">
        <v>84</v>
      </c>
      <c r="AJ2109" s="2">
        <v>12</v>
      </c>
      <c r="AK2109" s="2" t="s">
        <v>85</v>
      </c>
      <c r="AL2109" s="2">
        <v>18</v>
      </c>
      <c r="AM2109" s="2" t="s">
        <v>82</v>
      </c>
      <c r="AN2109" s="2" t="s">
        <v>992</v>
      </c>
      <c r="AO2109" s="2"/>
      <c r="AP2109" s="2">
        <v>11</v>
      </c>
      <c r="AQ2109" s="2" t="s">
        <v>82</v>
      </c>
      <c r="AR2109" s="2"/>
      <c r="AS2109" s="2"/>
      <c r="AT2109" s="2" t="s">
        <v>7276</v>
      </c>
      <c r="AU2109" s="2"/>
      <c r="AV2109" s="2"/>
      <c r="AW2109" s="2"/>
      <c r="AX2109" s="2"/>
      <c r="AY2109" s="2">
        <v>1</v>
      </c>
      <c r="AZ2109" s="2" t="s">
        <v>107</v>
      </c>
      <c r="BA2109" s="2">
        <v>1</v>
      </c>
      <c r="BB2109" s="2" t="s">
        <v>107</v>
      </c>
      <c r="BC2109" s="2">
        <v>1</v>
      </c>
      <c r="BD2109" s="2" t="s">
        <v>107</v>
      </c>
      <c r="BE2109" s="2">
        <v>1</v>
      </c>
      <c r="BF2109" s="2" t="s">
        <v>107</v>
      </c>
      <c r="BG2109" s="2" t="s">
        <v>265</v>
      </c>
      <c r="BH2109" s="2"/>
      <c r="BI2109" s="4">
        <v>0.49444444444444446</v>
      </c>
      <c r="BJ2109" s="2">
        <v>13</v>
      </c>
      <c r="BK2109" s="2" t="s">
        <v>91</v>
      </c>
      <c r="BL2109" s="2" t="s">
        <v>185</v>
      </c>
      <c r="BM2109" s="2">
        <v>242</v>
      </c>
      <c r="BN2109" s="2" t="s">
        <v>107</v>
      </c>
      <c r="BO2109" s="2"/>
      <c r="BP2109" s="2">
        <v>13</v>
      </c>
      <c r="BQ2109" s="2" t="s">
        <v>91</v>
      </c>
      <c r="BR2109" s="2" t="s">
        <v>169</v>
      </c>
      <c r="BS2109" s="3">
        <v>40319</v>
      </c>
      <c r="BT2109" s="4">
        <v>0.67302083333333329</v>
      </c>
    </row>
    <row r="2110" spans="1:72" x14ac:dyDescent="0.25">
      <c r="A2110" s="2">
        <v>3078</v>
      </c>
      <c r="B2110" s="2">
        <v>2010</v>
      </c>
      <c r="C2110" s="2" t="s">
        <v>93</v>
      </c>
      <c r="D2110" s="2" t="s">
        <v>73</v>
      </c>
      <c r="E2110" s="2"/>
      <c r="F2110" s="2">
        <v>545</v>
      </c>
      <c r="G2110" s="2" t="s">
        <v>3969</v>
      </c>
      <c r="H2110" s="2">
        <v>42</v>
      </c>
      <c r="I2110" s="2" t="s">
        <v>1096</v>
      </c>
      <c r="J2110" s="2">
        <v>472</v>
      </c>
      <c r="K2110" s="2" t="s">
        <v>7277</v>
      </c>
      <c r="L2110" s="2" t="s">
        <v>7278</v>
      </c>
      <c r="M2110" s="3">
        <v>40319</v>
      </c>
      <c r="N2110" s="2" t="s">
        <v>7279</v>
      </c>
      <c r="O2110" s="2" t="s">
        <v>7280</v>
      </c>
      <c r="P2110" s="2" t="s">
        <v>7281</v>
      </c>
      <c r="Q2110" s="2" t="str">
        <f>"USU AP 0026/10"</f>
        <v>USU AP 0026/10</v>
      </c>
      <c r="R2110" s="2" t="s">
        <v>82</v>
      </c>
      <c r="S2110" s="2" t="s">
        <v>82</v>
      </c>
      <c r="T2110" s="2">
        <v>1</v>
      </c>
      <c r="U2110" s="2" t="s">
        <v>79</v>
      </c>
      <c r="V2110" s="2">
        <v>1</v>
      </c>
      <c r="W2110" s="2" t="s">
        <v>80</v>
      </c>
      <c r="X2110" s="2">
        <v>1</v>
      </c>
      <c r="Y2110" s="2" t="s">
        <v>81</v>
      </c>
      <c r="Z2110" s="2">
        <v>1</v>
      </c>
      <c r="AA2110" s="2" t="s">
        <v>82</v>
      </c>
      <c r="AB2110" s="2">
        <v>2</v>
      </c>
      <c r="AC2110" s="2" t="s">
        <v>102</v>
      </c>
      <c r="AD2110" s="3">
        <v>40319</v>
      </c>
      <c r="AE2110" s="4">
        <v>0.59027777777777779</v>
      </c>
      <c r="AF2110" s="2"/>
      <c r="AG2110" s="2"/>
      <c r="AH2110" s="2">
        <v>6</v>
      </c>
      <c r="AI2110" s="2" t="s">
        <v>197</v>
      </c>
      <c r="AJ2110" s="2">
        <v>60</v>
      </c>
      <c r="AK2110" s="2" t="s">
        <v>543</v>
      </c>
      <c r="AL2110" s="2">
        <v>11</v>
      </c>
      <c r="AM2110" s="2" t="s">
        <v>137</v>
      </c>
      <c r="AN2110" s="2" t="s">
        <v>7282</v>
      </c>
      <c r="AO2110" s="2" t="s">
        <v>7283</v>
      </c>
      <c r="AP2110" s="2">
        <v>11</v>
      </c>
      <c r="AQ2110" s="2" t="s">
        <v>82</v>
      </c>
      <c r="AR2110" s="2" t="s">
        <v>82</v>
      </c>
      <c r="AS2110" s="2" t="s">
        <v>82</v>
      </c>
      <c r="AT2110" s="2" t="s">
        <v>7284</v>
      </c>
      <c r="AU2110" s="2"/>
      <c r="AV2110" s="2"/>
      <c r="AW2110" s="2"/>
      <c r="AX2110" s="2"/>
      <c r="AY2110" s="2">
        <v>41</v>
      </c>
      <c r="AZ2110" s="2" t="s">
        <v>82</v>
      </c>
      <c r="BA2110" s="2">
        <v>41</v>
      </c>
      <c r="BB2110" s="2" t="s">
        <v>82</v>
      </c>
      <c r="BC2110" s="2">
        <v>41</v>
      </c>
      <c r="BD2110" s="2" t="s">
        <v>82</v>
      </c>
      <c r="BE2110" s="2">
        <v>13</v>
      </c>
      <c r="BF2110" s="2" t="s">
        <v>108</v>
      </c>
      <c r="BG2110" s="2" t="s">
        <v>3968</v>
      </c>
      <c r="BH2110" s="4">
        <v>0.57291666666666663</v>
      </c>
      <c r="BI2110" s="4">
        <v>0.60416666666666663</v>
      </c>
      <c r="BJ2110" s="2">
        <v>13</v>
      </c>
      <c r="BK2110" s="2" t="s">
        <v>91</v>
      </c>
      <c r="BL2110" s="2" t="s">
        <v>895</v>
      </c>
      <c r="BM2110" s="2">
        <v>13</v>
      </c>
      <c r="BN2110" s="2" t="s">
        <v>91</v>
      </c>
      <c r="BO2110" s="2" t="s">
        <v>204</v>
      </c>
      <c r="BP2110" s="2">
        <v>13</v>
      </c>
      <c r="BQ2110" s="2" t="s">
        <v>91</v>
      </c>
      <c r="BR2110" s="2" t="s">
        <v>3520</v>
      </c>
      <c r="BS2110" s="3">
        <v>40319</v>
      </c>
      <c r="BT2110" s="4">
        <v>0.68062500000000004</v>
      </c>
    </row>
    <row r="2111" spans="1:72" x14ac:dyDescent="0.25">
      <c r="A2111" s="2">
        <v>3079</v>
      </c>
      <c r="B2111" s="2">
        <v>2010</v>
      </c>
      <c r="C2111" s="2" t="s">
        <v>196</v>
      </c>
      <c r="D2111" s="2" t="s">
        <v>122</v>
      </c>
      <c r="E2111" s="2"/>
      <c r="F2111" s="2">
        <v>1</v>
      </c>
      <c r="G2111" s="2" t="s">
        <v>82</v>
      </c>
      <c r="H2111" s="2">
        <v>1</v>
      </c>
      <c r="I2111" s="2" t="s">
        <v>82</v>
      </c>
      <c r="J2111" s="2">
        <v>1</v>
      </c>
      <c r="K2111" s="2" t="s">
        <v>107</v>
      </c>
      <c r="L2111" s="2" t="s">
        <v>107</v>
      </c>
      <c r="M2111" s="3">
        <v>40319</v>
      </c>
      <c r="N2111" s="2"/>
      <c r="O2111" s="2"/>
      <c r="P2111" s="2"/>
      <c r="Q2111" s="2" t="str">
        <f>""</f>
        <v/>
      </c>
      <c r="R2111" s="2"/>
      <c r="S2111" s="2"/>
      <c r="T2111" s="2">
        <v>2</v>
      </c>
      <c r="U2111" s="2" t="s">
        <v>123</v>
      </c>
      <c r="V2111" s="2">
        <v>1</v>
      </c>
      <c r="W2111" s="2" t="s">
        <v>80</v>
      </c>
      <c r="X2111" s="2">
        <v>1</v>
      </c>
      <c r="Y2111" s="2" t="s">
        <v>81</v>
      </c>
      <c r="Z2111" s="2">
        <v>1</v>
      </c>
      <c r="AA2111" s="2" t="s">
        <v>82</v>
      </c>
      <c r="AB2111" s="2">
        <v>9</v>
      </c>
      <c r="AC2111" s="2" t="s">
        <v>124</v>
      </c>
      <c r="AD2111" s="3">
        <v>40319</v>
      </c>
      <c r="AE2111" s="4">
        <v>0.53472222222222221</v>
      </c>
      <c r="AF2111" s="2"/>
      <c r="AG2111" s="2"/>
      <c r="AH2111" s="2">
        <v>3</v>
      </c>
      <c r="AI2111" s="2" t="s">
        <v>214</v>
      </c>
      <c r="AJ2111" s="2">
        <v>24</v>
      </c>
      <c r="AK2111" s="2" t="s">
        <v>215</v>
      </c>
      <c r="AL2111" s="2">
        <v>10</v>
      </c>
      <c r="AM2111" s="2" t="s">
        <v>200</v>
      </c>
      <c r="AN2111" s="2" t="s">
        <v>107</v>
      </c>
      <c r="AO2111" s="2"/>
      <c r="AP2111" s="2">
        <v>11</v>
      </c>
      <c r="AQ2111" s="2" t="s">
        <v>82</v>
      </c>
      <c r="AR2111" s="2" t="s">
        <v>82</v>
      </c>
      <c r="AS2111" s="2" t="s">
        <v>82</v>
      </c>
      <c r="AT2111" s="2" t="s">
        <v>7285</v>
      </c>
      <c r="AU2111" s="2"/>
      <c r="AV2111" s="2"/>
      <c r="AW2111" s="2"/>
      <c r="AX2111" s="2"/>
      <c r="AY2111" s="2">
        <v>41</v>
      </c>
      <c r="AZ2111" s="2" t="s">
        <v>82</v>
      </c>
      <c r="BA2111" s="2">
        <v>41</v>
      </c>
      <c r="BB2111" s="2" t="s">
        <v>82</v>
      </c>
      <c r="BC2111" s="2">
        <v>41</v>
      </c>
      <c r="BD2111" s="2" t="s">
        <v>82</v>
      </c>
      <c r="BE2111" s="2">
        <v>42</v>
      </c>
      <c r="BF2111" s="2" t="s">
        <v>182</v>
      </c>
      <c r="BG2111" s="2" t="s">
        <v>7286</v>
      </c>
      <c r="BH2111" s="4">
        <v>0.53472222222222221</v>
      </c>
      <c r="BI2111" s="4">
        <v>0.4916666666666667</v>
      </c>
      <c r="BJ2111" s="2">
        <v>13</v>
      </c>
      <c r="BK2111" s="2" t="s">
        <v>91</v>
      </c>
      <c r="BL2111" s="2" t="s">
        <v>170</v>
      </c>
      <c r="BM2111" s="2">
        <v>13</v>
      </c>
      <c r="BN2111" s="2" t="s">
        <v>91</v>
      </c>
      <c r="BO2111" s="2" t="s">
        <v>169</v>
      </c>
      <c r="BP2111" s="2">
        <v>13</v>
      </c>
      <c r="BQ2111" s="2" t="s">
        <v>91</v>
      </c>
      <c r="BR2111" s="2" t="s">
        <v>170</v>
      </c>
      <c r="BS2111" s="3">
        <v>40319</v>
      </c>
      <c r="BT2111" s="4">
        <v>0.69104166666666667</v>
      </c>
    </row>
    <row r="2112" spans="1:72" x14ac:dyDescent="0.25">
      <c r="A2112" s="2">
        <v>3081</v>
      </c>
      <c r="B2112" s="2">
        <v>2010</v>
      </c>
      <c r="C2112" s="2" t="s">
        <v>196</v>
      </c>
      <c r="D2112" s="2" t="s">
        <v>122</v>
      </c>
      <c r="E2112" s="2"/>
      <c r="F2112" s="2">
        <v>1</v>
      </c>
      <c r="G2112" s="2" t="s">
        <v>82</v>
      </c>
      <c r="H2112" s="2">
        <v>1</v>
      </c>
      <c r="I2112" s="2" t="s">
        <v>82</v>
      </c>
      <c r="J2112" s="2">
        <v>1</v>
      </c>
      <c r="K2112" s="2" t="s">
        <v>107</v>
      </c>
      <c r="L2112" s="2" t="s">
        <v>107</v>
      </c>
      <c r="M2112" s="3">
        <v>40319</v>
      </c>
      <c r="N2112" s="2"/>
      <c r="O2112" s="2"/>
      <c r="P2112" s="2"/>
      <c r="Q2112" s="2" t="str">
        <f>""</f>
        <v/>
      </c>
      <c r="R2112" s="2"/>
      <c r="S2112" s="2"/>
      <c r="T2112" s="2">
        <v>2</v>
      </c>
      <c r="U2112" s="2" t="s">
        <v>123</v>
      </c>
      <c r="V2112" s="2">
        <v>1</v>
      </c>
      <c r="W2112" s="2" t="s">
        <v>80</v>
      </c>
      <c r="X2112" s="2">
        <v>11</v>
      </c>
      <c r="Y2112" s="2" t="s">
        <v>1920</v>
      </c>
      <c r="Z2112" s="2">
        <v>1</v>
      </c>
      <c r="AA2112" s="2" t="s">
        <v>82</v>
      </c>
      <c r="AB2112" s="2">
        <v>9</v>
      </c>
      <c r="AC2112" s="2" t="s">
        <v>124</v>
      </c>
      <c r="AD2112" s="3">
        <v>40319</v>
      </c>
      <c r="AE2112" s="4">
        <v>0.65972222222222221</v>
      </c>
      <c r="AF2112" s="2"/>
      <c r="AG2112" s="2"/>
      <c r="AH2112" s="2">
        <v>2</v>
      </c>
      <c r="AI2112" s="2" t="s">
        <v>84</v>
      </c>
      <c r="AJ2112" s="2">
        <v>12</v>
      </c>
      <c r="AK2112" s="2" t="s">
        <v>85</v>
      </c>
      <c r="AL2112" s="2">
        <v>20</v>
      </c>
      <c r="AM2112" s="2" t="s">
        <v>992</v>
      </c>
      <c r="AN2112" s="2"/>
      <c r="AO2112" s="2"/>
      <c r="AP2112" s="2">
        <v>11</v>
      </c>
      <c r="AQ2112" s="2" t="s">
        <v>82</v>
      </c>
      <c r="AR2112" s="2" t="s">
        <v>82</v>
      </c>
      <c r="AS2112" s="2" t="s">
        <v>82</v>
      </c>
      <c r="AT2112" s="2" t="s">
        <v>7287</v>
      </c>
      <c r="AU2112" s="2"/>
      <c r="AV2112" s="2"/>
      <c r="AW2112" s="2"/>
      <c r="AX2112" s="2"/>
      <c r="AY2112" s="2">
        <v>41</v>
      </c>
      <c r="AZ2112" s="2" t="s">
        <v>82</v>
      </c>
      <c r="BA2112" s="2">
        <v>41</v>
      </c>
      <c r="BB2112" s="2" t="s">
        <v>82</v>
      </c>
      <c r="BC2112" s="2">
        <v>41</v>
      </c>
      <c r="BD2112" s="2" t="s">
        <v>82</v>
      </c>
      <c r="BE2112" s="2">
        <v>41</v>
      </c>
      <c r="BF2112" s="2" t="s">
        <v>82</v>
      </c>
      <c r="BG2112" s="2" t="s">
        <v>265</v>
      </c>
      <c r="BH2112" s="4">
        <v>0.69791666666666663</v>
      </c>
      <c r="BI2112" s="4">
        <v>0.70138888888888884</v>
      </c>
      <c r="BJ2112" s="2">
        <v>13</v>
      </c>
      <c r="BK2112" s="2" t="s">
        <v>91</v>
      </c>
      <c r="BL2112" s="2" t="s">
        <v>169</v>
      </c>
      <c r="BM2112" s="2">
        <v>241</v>
      </c>
      <c r="BN2112" s="2" t="s">
        <v>82</v>
      </c>
      <c r="BO2112" s="2"/>
      <c r="BP2112" s="2">
        <v>13</v>
      </c>
      <c r="BQ2112" s="2" t="s">
        <v>91</v>
      </c>
      <c r="BR2112" s="2" t="s">
        <v>170</v>
      </c>
      <c r="BS2112" s="3">
        <v>40319</v>
      </c>
      <c r="BT2112" s="4">
        <v>0.72629629629629633</v>
      </c>
    </row>
    <row r="2113" spans="1:72" x14ac:dyDescent="0.25">
      <c r="A2113" s="2">
        <v>3082</v>
      </c>
      <c r="B2113" s="2">
        <v>2010</v>
      </c>
      <c r="C2113" s="2" t="s">
        <v>171</v>
      </c>
      <c r="D2113" s="2" t="s">
        <v>73</v>
      </c>
      <c r="E2113" s="2"/>
      <c r="F2113" s="2">
        <v>151</v>
      </c>
      <c r="G2113" s="2" t="s">
        <v>314</v>
      </c>
      <c r="H2113" s="2">
        <v>40</v>
      </c>
      <c r="I2113" s="2" t="s">
        <v>2101</v>
      </c>
      <c r="J2113" s="2">
        <v>163</v>
      </c>
      <c r="K2113" s="2" t="s">
        <v>316</v>
      </c>
      <c r="L2113" s="2" t="s">
        <v>317</v>
      </c>
      <c r="M2113" s="3">
        <v>40319</v>
      </c>
      <c r="N2113" s="2" t="s">
        <v>7095</v>
      </c>
      <c r="O2113" s="2" t="s">
        <v>107</v>
      </c>
      <c r="P2113" s="2" t="s">
        <v>107</v>
      </c>
      <c r="Q2113" s="2" t="str">
        <f>"184-A/10"</f>
        <v>184-A/10</v>
      </c>
      <c r="R2113" s="2" t="s">
        <v>107</v>
      </c>
      <c r="S2113" s="2" t="s">
        <v>489</v>
      </c>
      <c r="T2113" s="2">
        <v>1</v>
      </c>
      <c r="U2113" s="2" t="s">
        <v>79</v>
      </c>
      <c r="V2113" s="2">
        <v>1</v>
      </c>
      <c r="W2113" s="2" t="s">
        <v>80</v>
      </c>
      <c r="X2113" s="2">
        <v>1</v>
      </c>
      <c r="Y2113" s="2" t="s">
        <v>81</v>
      </c>
      <c r="Z2113" s="2">
        <v>1</v>
      </c>
      <c r="AA2113" s="2" t="s">
        <v>82</v>
      </c>
      <c r="AB2113" s="2">
        <v>1</v>
      </c>
      <c r="AC2113" s="2" t="s">
        <v>178</v>
      </c>
      <c r="AD2113" s="3">
        <v>40319</v>
      </c>
      <c r="AE2113" s="4">
        <v>0.51736111111111105</v>
      </c>
      <c r="AF2113" s="2"/>
      <c r="AG2113" s="2"/>
      <c r="AH2113" s="2">
        <v>2</v>
      </c>
      <c r="AI2113" s="2" t="s">
        <v>84</v>
      </c>
      <c r="AJ2113" s="2">
        <v>12</v>
      </c>
      <c r="AK2113" s="2" t="s">
        <v>85</v>
      </c>
      <c r="AL2113" s="2">
        <v>11</v>
      </c>
      <c r="AM2113" s="2" t="s">
        <v>137</v>
      </c>
      <c r="AN2113" s="2" t="s">
        <v>1869</v>
      </c>
      <c r="AO2113" s="2" t="s">
        <v>788</v>
      </c>
      <c r="AP2113" s="2">
        <v>11</v>
      </c>
      <c r="AQ2113" s="2" t="s">
        <v>82</v>
      </c>
      <c r="AR2113" s="2"/>
      <c r="AS2113" s="2"/>
      <c r="AT2113" s="2" t="s">
        <v>7288</v>
      </c>
      <c r="AU2113" s="2">
        <v>1</v>
      </c>
      <c r="AV2113" s="2"/>
      <c r="AW2113" s="2"/>
      <c r="AX2113" s="2"/>
      <c r="AY2113" s="2">
        <v>41</v>
      </c>
      <c r="AZ2113" s="2" t="s">
        <v>82</v>
      </c>
      <c r="BA2113" s="2">
        <v>41</v>
      </c>
      <c r="BB2113" s="2" t="s">
        <v>82</v>
      </c>
      <c r="BC2113" s="2">
        <v>41</v>
      </c>
      <c r="BD2113" s="2" t="s">
        <v>82</v>
      </c>
      <c r="BE2113" s="2">
        <v>4</v>
      </c>
      <c r="BF2113" s="2" t="s">
        <v>90</v>
      </c>
      <c r="BG2113" s="2" t="s">
        <v>7289</v>
      </c>
      <c r="BH2113" s="4">
        <v>0.63888888888888895</v>
      </c>
      <c r="BI2113" s="4">
        <v>0.5625</v>
      </c>
      <c r="BJ2113" s="2">
        <v>13</v>
      </c>
      <c r="BK2113" s="2" t="s">
        <v>91</v>
      </c>
      <c r="BL2113" s="2" t="s">
        <v>185</v>
      </c>
      <c r="BM2113" s="2">
        <v>241</v>
      </c>
      <c r="BN2113" s="2" t="s">
        <v>82</v>
      </c>
      <c r="BO2113" s="2"/>
      <c r="BP2113" s="2">
        <v>13</v>
      </c>
      <c r="BQ2113" s="2" t="s">
        <v>91</v>
      </c>
      <c r="BR2113" s="2" t="s">
        <v>828</v>
      </c>
      <c r="BS2113" s="3">
        <v>40319</v>
      </c>
      <c r="BT2113" s="4">
        <v>0.72689814814814813</v>
      </c>
    </row>
    <row r="2114" spans="1:72" x14ac:dyDescent="0.25">
      <c r="A2114" s="2">
        <v>3087</v>
      </c>
      <c r="B2114" s="2">
        <v>2010</v>
      </c>
      <c r="C2114" s="2" t="s">
        <v>72</v>
      </c>
      <c r="D2114" s="2" t="s">
        <v>73</v>
      </c>
      <c r="E2114" s="2"/>
      <c r="F2114" s="2">
        <v>610</v>
      </c>
      <c r="G2114" s="2" t="s">
        <v>6445</v>
      </c>
      <c r="H2114" s="2">
        <v>102</v>
      </c>
      <c r="I2114" s="2" t="s">
        <v>6446</v>
      </c>
      <c r="J2114" s="2">
        <v>176</v>
      </c>
      <c r="K2114" s="2" t="s">
        <v>6447</v>
      </c>
      <c r="L2114" s="2" t="s">
        <v>6448</v>
      </c>
      <c r="M2114" s="3">
        <v>40319</v>
      </c>
      <c r="N2114" s="2" t="s">
        <v>6449</v>
      </c>
      <c r="O2114" s="2"/>
      <c r="P2114" s="2"/>
      <c r="Q2114" s="2" t="str">
        <f>"185-A/10"</f>
        <v>185-A/10</v>
      </c>
      <c r="R2114" s="2"/>
      <c r="S2114" s="2" t="s">
        <v>78</v>
      </c>
      <c r="T2114" s="2">
        <v>1</v>
      </c>
      <c r="U2114" s="2" t="s">
        <v>79</v>
      </c>
      <c r="V2114" s="2">
        <v>1</v>
      </c>
      <c r="W2114" s="2" t="s">
        <v>80</v>
      </c>
      <c r="X2114" s="2">
        <v>12</v>
      </c>
      <c r="Y2114" s="2" t="s">
        <v>148</v>
      </c>
      <c r="Z2114" s="2">
        <v>1</v>
      </c>
      <c r="AA2114" s="2" t="s">
        <v>82</v>
      </c>
      <c r="AB2114" s="2">
        <v>6</v>
      </c>
      <c r="AC2114" s="2" t="s">
        <v>83</v>
      </c>
      <c r="AD2114" s="3">
        <v>40319</v>
      </c>
      <c r="AE2114" s="4">
        <v>0.66666666666666663</v>
      </c>
      <c r="AF2114" s="2"/>
      <c r="AG2114" s="2"/>
      <c r="AH2114" s="2">
        <v>2</v>
      </c>
      <c r="AI2114" s="2" t="s">
        <v>84</v>
      </c>
      <c r="AJ2114" s="2">
        <v>12</v>
      </c>
      <c r="AK2114" s="2" t="s">
        <v>85</v>
      </c>
      <c r="AL2114" s="2">
        <v>14</v>
      </c>
      <c r="AM2114" s="2" t="s">
        <v>216</v>
      </c>
      <c r="AN2114" s="2" t="s">
        <v>7290</v>
      </c>
      <c r="AO2114" s="2"/>
      <c r="AP2114" s="2">
        <v>11</v>
      </c>
      <c r="AQ2114" s="2" t="s">
        <v>82</v>
      </c>
      <c r="AR2114" s="2"/>
      <c r="AS2114" s="2"/>
      <c r="AT2114" s="2" t="s">
        <v>7291</v>
      </c>
      <c r="AU2114" s="2"/>
      <c r="AV2114" s="2"/>
      <c r="AW2114" s="2"/>
      <c r="AX2114" s="2"/>
      <c r="AY2114" s="2">
        <v>41</v>
      </c>
      <c r="AZ2114" s="2" t="s">
        <v>82</v>
      </c>
      <c r="BA2114" s="2">
        <v>41</v>
      </c>
      <c r="BB2114" s="2" t="s">
        <v>82</v>
      </c>
      <c r="BC2114" s="2">
        <v>41</v>
      </c>
      <c r="BD2114" s="2" t="s">
        <v>82</v>
      </c>
      <c r="BE2114" s="2">
        <v>47</v>
      </c>
      <c r="BF2114" s="2" t="s">
        <v>167</v>
      </c>
      <c r="BG2114" s="2" t="s">
        <v>7292</v>
      </c>
      <c r="BH2114" s="4">
        <v>0.8125</v>
      </c>
      <c r="BI2114" s="4">
        <v>0.68402777777777779</v>
      </c>
      <c r="BJ2114" s="2">
        <v>13</v>
      </c>
      <c r="BK2114" s="2" t="s">
        <v>91</v>
      </c>
      <c r="BL2114" s="2" t="s">
        <v>185</v>
      </c>
      <c r="BM2114" s="2">
        <v>241</v>
      </c>
      <c r="BN2114" s="2" t="s">
        <v>82</v>
      </c>
      <c r="BO2114" s="2" t="s">
        <v>82</v>
      </c>
      <c r="BP2114" s="2">
        <v>13</v>
      </c>
      <c r="BQ2114" s="2" t="s">
        <v>91</v>
      </c>
      <c r="BR2114" s="2" t="s">
        <v>1199</v>
      </c>
      <c r="BS2114" s="3">
        <v>40319</v>
      </c>
      <c r="BT2114" s="4">
        <v>0.88582175925925932</v>
      </c>
    </row>
    <row r="2115" spans="1:72" x14ac:dyDescent="0.25">
      <c r="A2115" s="2">
        <v>3088</v>
      </c>
      <c r="B2115" s="2">
        <v>2010</v>
      </c>
      <c r="C2115" s="2" t="s">
        <v>93</v>
      </c>
      <c r="D2115" s="2" t="s">
        <v>73</v>
      </c>
      <c r="E2115" s="2"/>
      <c r="F2115" s="2">
        <v>540</v>
      </c>
      <c r="G2115" s="2" t="s">
        <v>7178</v>
      </c>
      <c r="H2115" s="2">
        <v>5</v>
      </c>
      <c r="I2115" s="2" t="s">
        <v>634</v>
      </c>
      <c r="J2115" s="2">
        <v>533</v>
      </c>
      <c r="K2115" s="2" t="s">
        <v>6511</v>
      </c>
      <c r="L2115" s="2" t="s">
        <v>478</v>
      </c>
      <c r="M2115" s="3">
        <v>40319</v>
      </c>
      <c r="N2115" s="2" t="s">
        <v>107</v>
      </c>
      <c r="O2115" s="2" t="s">
        <v>7293</v>
      </c>
      <c r="P2115" s="2">
        <v>5068</v>
      </c>
      <c r="Q2115" s="2" t="str">
        <f>""</f>
        <v/>
      </c>
      <c r="R2115" s="2"/>
      <c r="S2115" s="2"/>
      <c r="T2115" s="2">
        <v>1</v>
      </c>
      <c r="U2115" s="2" t="s">
        <v>79</v>
      </c>
      <c r="V2115" s="2">
        <v>1</v>
      </c>
      <c r="W2115" s="2" t="s">
        <v>80</v>
      </c>
      <c r="X2115" s="2">
        <v>4</v>
      </c>
      <c r="Y2115" s="2" t="s">
        <v>463</v>
      </c>
      <c r="Z2115" s="2">
        <v>6</v>
      </c>
      <c r="AA2115" s="2" t="s">
        <v>101</v>
      </c>
      <c r="AB2115" s="2">
        <v>2</v>
      </c>
      <c r="AC2115" s="2" t="s">
        <v>102</v>
      </c>
      <c r="AD2115" s="3">
        <v>40319</v>
      </c>
      <c r="AE2115" s="4">
        <v>0.81597222222222221</v>
      </c>
      <c r="AF2115" s="2"/>
      <c r="AG2115" s="2"/>
      <c r="AH2115" s="2">
        <v>2</v>
      </c>
      <c r="AI2115" s="2" t="s">
        <v>84</v>
      </c>
      <c r="AJ2115" s="2">
        <v>12</v>
      </c>
      <c r="AK2115" s="2" t="s">
        <v>85</v>
      </c>
      <c r="AL2115" s="2">
        <v>14</v>
      </c>
      <c r="AM2115" s="2" t="s">
        <v>216</v>
      </c>
      <c r="AN2115" s="2" t="s">
        <v>7294</v>
      </c>
      <c r="AO2115" s="2" t="s">
        <v>7295</v>
      </c>
      <c r="AP2115" s="2">
        <v>11</v>
      </c>
      <c r="AQ2115" s="2" t="s">
        <v>82</v>
      </c>
      <c r="AR2115" s="2"/>
      <c r="AS2115" s="2"/>
      <c r="AT2115" s="2" t="s">
        <v>7296</v>
      </c>
      <c r="AU2115" s="2"/>
      <c r="AV2115" s="2"/>
      <c r="AW2115" s="2"/>
      <c r="AX2115" s="2"/>
      <c r="AY2115" s="2">
        <v>41</v>
      </c>
      <c r="AZ2115" s="2" t="s">
        <v>82</v>
      </c>
      <c r="BA2115" s="2">
        <v>41</v>
      </c>
      <c r="BB2115" s="2" t="s">
        <v>82</v>
      </c>
      <c r="BC2115" s="2">
        <v>41</v>
      </c>
      <c r="BD2115" s="2" t="s">
        <v>82</v>
      </c>
      <c r="BE2115" s="2">
        <v>13</v>
      </c>
      <c r="BF2115" s="2" t="s">
        <v>108</v>
      </c>
      <c r="BG2115" s="2" t="s">
        <v>7297</v>
      </c>
      <c r="BH2115" s="4">
        <v>0.75347222222222221</v>
      </c>
      <c r="BI2115" s="4">
        <v>0.61805555555555558</v>
      </c>
      <c r="BJ2115" s="2">
        <v>172</v>
      </c>
      <c r="BK2115" s="2" t="s">
        <v>843</v>
      </c>
      <c r="BL2115" s="2" t="s">
        <v>844</v>
      </c>
      <c r="BM2115" s="2">
        <v>241</v>
      </c>
      <c r="BN2115" s="2" t="s">
        <v>82</v>
      </c>
      <c r="BO2115" s="2"/>
      <c r="BP2115" s="2">
        <v>13</v>
      </c>
      <c r="BQ2115" s="2" t="s">
        <v>91</v>
      </c>
      <c r="BR2115" s="2" t="s">
        <v>185</v>
      </c>
      <c r="BS2115" s="3">
        <v>40319</v>
      </c>
      <c r="BT2115" s="4">
        <v>0.93334490740740739</v>
      </c>
    </row>
    <row r="2116" spans="1:72" x14ac:dyDescent="0.25">
      <c r="A2116" s="2">
        <v>3089</v>
      </c>
      <c r="B2116" s="2">
        <v>2010</v>
      </c>
      <c r="C2116" s="2" t="s">
        <v>171</v>
      </c>
      <c r="D2116" s="2" t="s">
        <v>122</v>
      </c>
      <c r="E2116" s="2" t="s">
        <v>7298</v>
      </c>
      <c r="F2116" s="2">
        <v>151</v>
      </c>
      <c r="G2116" s="2" t="s">
        <v>314</v>
      </c>
      <c r="H2116" s="2">
        <v>40</v>
      </c>
      <c r="I2116" s="2" t="s">
        <v>2101</v>
      </c>
      <c r="J2116" s="2">
        <v>163</v>
      </c>
      <c r="K2116" s="2" t="s">
        <v>316</v>
      </c>
      <c r="L2116" s="2" t="s">
        <v>317</v>
      </c>
      <c r="M2116" s="3">
        <v>40319</v>
      </c>
      <c r="N2116" s="2" t="s">
        <v>7095</v>
      </c>
      <c r="O2116" s="2" t="s">
        <v>107</v>
      </c>
      <c r="P2116" s="2" t="s">
        <v>107</v>
      </c>
      <c r="Q2116" s="2" t="str">
        <f>"184-A/10"</f>
        <v>184-A/10</v>
      </c>
      <c r="R2116" s="2" t="s">
        <v>489</v>
      </c>
      <c r="S2116" s="2" t="s">
        <v>107</v>
      </c>
      <c r="T2116" s="2">
        <v>1</v>
      </c>
      <c r="U2116" s="2" t="s">
        <v>79</v>
      </c>
      <c r="V2116" s="2">
        <v>1</v>
      </c>
      <c r="W2116" s="2" t="s">
        <v>80</v>
      </c>
      <c r="X2116" s="2">
        <v>1</v>
      </c>
      <c r="Y2116" s="2" t="s">
        <v>81</v>
      </c>
      <c r="Z2116" s="2">
        <v>10</v>
      </c>
      <c r="AA2116" s="2" t="s">
        <v>236</v>
      </c>
      <c r="AB2116" s="2">
        <v>1</v>
      </c>
      <c r="AC2116" s="2" t="s">
        <v>178</v>
      </c>
      <c r="AD2116" s="3">
        <v>40319</v>
      </c>
      <c r="AE2116" s="4">
        <v>0.96875</v>
      </c>
      <c r="AF2116" s="2"/>
      <c r="AG2116" s="2"/>
      <c r="AH2116" s="2">
        <v>2</v>
      </c>
      <c r="AI2116" s="2" t="s">
        <v>84</v>
      </c>
      <c r="AJ2116" s="2">
        <v>12</v>
      </c>
      <c r="AK2116" s="2" t="s">
        <v>85</v>
      </c>
      <c r="AL2116" s="2">
        <v>27</v>
      </c>
      <c r="AM2116" s="2" t="s">
        <v>6225</v>
      </c>
      <c r="AN2116" s="2" t="s">
        <v>1971</v>
      </c>
      <c r="AO2116" s="2"/>
      <c r="AP2116" s="2">
        <v>11</v>
      </c>
      <c r="AQ2116" s="2" t="s">
        <v>82</v>
      </c>
      <c r="AR2116" s="2"/>
      <c r="AS2116" s="2"/>
      <c r="AT2116" s="2" t="s">
        <v>7299</v>
      </c>
      <c r="AU2116" s="2">
        <v>1</v>
      </c>
      <c r="AV2116" s="2"/>
      <c r="AW2116" s="2"/>
      <c r="AX2116" s="2"/>
      <c r="AY2116" s="2">
        <v>41</v>
      </c>
      <c r="AZ2116" s="2" t="s">
        <v>82</v>
      </c>
      <c r="BA2116" s="2">
        <v>41</v>
      </c>
      <c r="BB2116" s="2" t="s">
        <v>82</v>
      </c>
      <c r="BC2116" s="2">
        <v>41</v>
      </c>
      <c r="BD2116" s="2" t="s">
        <v>82</v>
      </c>
      <c r="BE2116" s="2">
        <v>4</v>
      </c>
      <c r="BF2116" s="2" t="s">
        <v>90</v>
      </c>
      <c r="BG2116" s="2" t="s">
        <v>7289</v>
      </c>
      <c r="BH2116" s="4">
        <v>0.63888888888888895</v>
      </c>
      <c r="BI2116" s="4">
        <v>0.5625</v>
      </c>
      <c r="BJ2116" s="2">
        <v>13</v>
      </c>
      <c r="BK2116" s="2" t="s">
        <v>91</v>
      </c>
      <c r="BL2116" s="2" t="s">
        <v>185</v>
      </c>
      <c r="BM2116" s="2">
        <v>241</v>
      </c>
      <c r="BN2116" s="2" t="s">
        <v>82</v>
      </c>
      <c r="BO2116" s="2"/>
      <c r="BP2116" s="2">
        <v>13</v>
      </c>
      <c r="BQ2116" s="2" t="s">
        <v>91</v>
      </c>
      <c r="BR2116" s="2" t="s">
        <v>828</v>
      </c>
      <c r="BS2116" s="3">
        <v>40319</v>
      </c>
      <c r="BT2116" s="4">
        <v>0.97870370370370363</v>
      </c>
    </row>
    <row r="2117" spans="1:72" x14ac:dyDescent="0.25">
      <c r="A2117" s="2">
        <v>3090</v>
      </c>
      <c r="B2117" s="2">
        <v>2010</v>
      </c>
      <c r="C2117" s="2" t="s">
        <v>171</v>
      </c>
      <c r="D2117" s="2" t="s">
        <v>122</v>
      </c>
      <c r="E2117" s="2" t="s">
        <v>7300</v>
      </c>
      <c r="F2117" s="2">
        <v>146</v>
      </c>
      <c r="G2117" s="2" t="s">
        <v>753</v>
      </c>
      <c r="H2117" s="2">
        <v>44</v>
      </c>
      <c r="I2117" s="2" t="s">
        <v>1272</v>
      </c>
      <c r="J2117" s="2">
        <v>161</v>
      </c>
      <c r="K2117" s="2" t="s">
        <v>1900</v>
      </c>
      <c r="L2117" s="2" t="s">
        <v>1901</v>
      </c>
      <c r="M2117" s="3">
        <v>40320</v>
      </c>
      <c r="N2117" s="2" t="s">
        <v>7270</v>
      </c>
      <c r="O2117" s="2" t="s">
        <v>7301</v>
      </c>
      <c r="P2117" s="7">
        <v>19168</v>
      </c>
      <c r="Q2117" s="2" t="str">
        <f>"AP 0025/10 UO-USU"</f>
        <v>AP 0025/10 UO-USU</v>
      </c>
      <c r="R2117" s="2" t="s">
        <v>7302</v>
      </c>
      <c r="S2117" s="2" t="s">
        <v>82</v>
      </c>
      <c r="T2117" s="2">
        <v>1</v>
      </c>
      <c r="U2117" s="2" t="s">
        <v>79</v>
      </c>
      <c r="V2117" s="2">
        <v>1</v>
      </c>
      <c r="W2117" s="2" t="s">
        <v>80</v>
      </c>
      <c r="X2117" s="2">
        <v>1</v>
      </c>
      <c r="Y2117" s="2" t="s">
        <v>81</v>
      </c>
      <c r="Z2117" s="2">
        <v>10</v>
      </c>
      <c r="AA2117" s="2" t="s">
        <v>236</v>
      </c>
      <c r="AB2117" s="2">
        <v>1</v>
      </c>
      <c r="AC2117" s="2" t="s">
        <v>178</v>
      </c>
      <c r="AD2117" s="3">
        <v>40319</v>
      </c>
      <c r="AE2117" s="4">
        <v>0.47916666666666669</v>
      </c>
      <c r="AF2117" s="2"/>
      <c r="AG2117" s="2"/>
      <c r="AH2117" s="2">
        <v>6</v>
      </c>
      <c r="AI2117" s="2" t="s">
        <v>197</v>
      </c>
      <c r="AJ2117" s="2">
        <v>60</v>
      </c>
      <c r="AK2117" s="2" t="s">
        <v>543</v>
      </c>
      <c r="AL2117" s="2">
        <v>11</v>
      </c>
      <c r="AM2117" s="2" t="s">
        <v>137</v>
      </c>
      <c r="AN2117" s="2" t="s">
        <v>7272</v>
      </c>
      <c r="AO2117" s="2" t="s">
        <v>7303</v>
      </c>
      <c r="AP2117" s="2">
        <v>11</v>
      </c>
      <c r="AQ2117" s="2" t="s">
        <v>82</v>
      </c>
      <c r="AR2117" s="2" t="s">
        <v>82</v>
      </c>
      <c r="AS2117" s="2" t="s">
        <v>82</v>
      </c>
      <c r="AT2117" s="2" t="s">
        <v>7304</v>
      </c>
      <c r="AU2117" s="2"/>
      <c r="AV2117" s="2"/>
      <c r="AW2117" s="2"/>
      <c r="AX2117" s="2"/>
      <c r="AY2117" s="2">
        <v>1</v>
      </c>
      <c r="AZ2117" s="2" t="s">
        <v>107</v>
      </c>
      <c r="BA2117" s="2">
        <v>1</v>
      </c>
      <c r="BB2117" s="2" t="s">
        <v>107</v>
      </c>
      <c r="BC2117" s="2">
        <v>1</v>
      </c>
      <c r="BD2117" s="2" t="s">
        <v>107</v>
      </c>
      <c r="BE2117" s="2">
        <v>13</v>
      </c>
      <c r="BF2117" s="2" t="s">
        <v>108</v>
      </c>
      <c r="BG2117" s="2" t="s">
        <v>7206</v>
      </c>
      <c r="BH2117" s="4">
        <v>0.47916666666666669</v>
      </c>
      <c r="BI2117" s="4">
        <v>0.52083333333333337</v>
      </c>
      <c r="BJ2117" s="2">
        <v>13</v>
      </c>
      <c r="BK2117" s="2" t="s">
        <v>91</v>
      </c>
      <c r="BL2117" s="2" t="s">
        <v>895</v>
      </c>
      <c r="BM2117" s="2">
        <v>241</v>
      </c>
      <c r="BN2117" s="2" t="s">
        <v>82</v>
      </c>
      <c r="BO2117" s="2" t="s">
        <v>82</v>
      </c>
      <c r="BP2117" s="2">
        <v>13</v>
      </c>
      <c r="BQ2117" s="2" t="s">
        <v>91</v>
      </c>
      <c r="BR2117" s="2" t="s">
        <v>5820</v>
      </c>
      <c r="BS2117" s="3">
        <v>40320</v>
      </c>
      <c r="BT2117" s="4">
        <v>3.4375E-3</v>
      </c>
    </row>
    <row r="2118" spans="1:72" x14ac:dyDescent="0.25">
      <c r="A2118" s="2">
        <v>3091</v>
      </c>
      <c r="B2118" s="2">
        <v>2010</v>
      </c>
      <c r="C2118" s="2" t="s">
        <v>414</v>
      </c>
      <c r="D2118" s="2" t="s">
        <v>73</v>
      </c>
      <c r="E2118" s="2"/>
      <c r="F2118" s="2">
        <v>1</v>
      </c>
      <c r="G2118" s="2" t="s">
        <v>82</v>
      </c>
      <c r="H2118" s="2">
        <v>1</v>
      </c>
      <c r="I2118" s="2" t="s">
        <v>82</v>
      </c>
      <c r="J2118" s="2">
        <v>1</v>
      </c>
      <c r="K2118" s="2" t="s">
        <v>107</v>
      </c>
      <c r="L2118" s="2" t="s">
        <v>107</v>
      </c>
      <c r="M2118" s="3">
        <v>40320</v>
      </c>
      <c r="N2118" s="2"/>
      <c r="O2118" s="2"/>
      <c r="P2118" s="2"/>
      <c r="Q2118" s="2" t="str">
        <f>""</f>
        <v/>
      </c>
      <c r="R2118" s="2"/>
      <c r="S2118" s="2"/>
      <c r="T2118" s="2">
        <v>1</v>
      </c>
      <c r="U2118" s="2" t="s">
        <v>79</v>
      </c>
      <c r="V2118" s="2">
        <v>1</v>
      </c>
      <c r="W2118" s="2" t="s">
        <v>80</v>
      </c>
      <c r="X2118" s="2">
        <v>1</v>
      </c>
      <c r="Y2118" s="2" t="s">
        <v>81</v>
      </c>
      <c r="Z2118" s="2">
        <v>1</v>
      </c>
      <c r="AA2118" s="2" t="s">
        <v>82</v>
      </c>
      <c r="AB2118" s="2">
        <v>9</v>
      </c>
      <c r="AC2118" s="2" t="s">
        <v>124</v>
      </c>
      <c r="AD2118" s="3">
        <v>40320</v>
      </c>
      <c r="AE2118" s="4">
        <v>0.39583333333333331</v>
      </c>
      <c r="AF2118" s="2"/>
      <c r="AG2118" s="2"/>
      <c r="AH2118" s="2">
        <v>3</v>
      </c>
      <c r="AI2118" s="2" t="s">
        <v>214</v>
      </c>
      <c r="AJ2118" s="2">
        <v>17</v>
      </c>
      <c r="AK2118" s="2" t="s">
        <v>309</v>
      </c>
      <c r="AL2118" s="2">
        <v>29</v>
      </c>
      <c r="AM2118" s="2" t="s">
        <v>5416</v>
      </c>
      <c r="AN2118" s="2"/>
      <c r="AO2118" s="2"/>
      <c r="AP2118" s="2">
        <v>11</v>
      </c>
      <c r="AQ2118" s="2" t="s">
        <v>82</v>
      </c>
      <c r="AR2118" s="2"/>
      <c r="AS2118" s="2"/>
      <c r="AT2118" s="2" t="s">
        <v>7305</v>
      </c>
      <c r="AU2118" s="2"/>
      <c r="AV2118" s="2"/>
      <c r="AW2118" s="2"/>
      <c r="AX2118" s="2"/>
      <c r="AY2118" s="2">
        <v>41</v>
      </c>
      <c r="AZ2118" s="2" t="s">
        <v>82</v>
      </c>
      <c r="BA2118" s="2">
        <v>41</v>
      </c>
      <c r="BB2118" s="2" t="s">
        <v>82</v>
      </c>
      <c r="BC2118" s="2">
        <v>41</v>
      </c>
      <c r="BD2118" s="2" t="s">
        <v>82</v>
      </c>
      <c r="BE2118" s="2">
        <v>41</v>
      </c>
      <c r="BF2118" s="2" t="s">
        <v>82</v>
      </c>
      <c r="BG2118" s="2"/>
      <c r="BH2118" s="2"/>
      <c r="BI2118" s="2"/>
      <c r="BJ2118" s="2">
        <v>241</v>
      </c>
      <c r="BK2118" s="2" t="s">
        <v>82</v>
      </c>
      <c r="BL2118" s="2"/>
      <c r="BM2118" s="2">
        <v>241</v>
      </c>
      <c r="BN2118" s="2" t="s">
        <v>82</v>
      </c>
      <c r="BO2118" s="2"/>
      <c r="BP2118" s="2">
        <v>241</v>
      </c>
      <c r="BQ2118" s="2" t="s">
        <v>82</v>
      </c>
      <c r="BR2118" s="2"/>
      <c r="BS2118" s="3">
        <v>40320</v>
      </c>
      <c r="BT2118" s="4">
        <v>0.53111111111111109</v>
      </c>
    </row>
    <row r="2119" spans="1:72" x14ac:dyDescent="0.25">
      <c r="A2119" s="2">
        <v>3093</v>
      </c>
      <c r="B2119" s="2">
        <v>2010</v>
      </c>
      <c r="C2119" s="2" t="s">
        <v>72</v>
      </c>
      <c r="D2119" s="2" t="s">
        <v>73</v>
      </c>
      <c r="E2119" s="2"/>
      <c r="F2119" s="2">
        <v>3</v>
      </c>
      <c r="G2119" s="2" t="s">
        <v>1041</v>
      </c>
      <c r="H2119" s="2">
        <v>1</v>
      </c>
      <c r="I2119" s="2" t="s">
        <v>82</v>
      </c>
      <c r="J2119" s="2">
        <v>368</v>
      </c>
      <c r="K2119" s="2" t="s">
        <v>1042</v>
      </c>
      <c r="L2119" s="2" t="s">
        <v>1043</v>
      </c>
      <c r="M2119" s="3">
        <v>40320</v>
      </c>
      <c r="N2119" s="2" t="s">
        <v>82</v>
      </c>
      <c r="O2119" s="2"/>
      <c r="P2119" s="2"/>
      <c r="Q2119" s="2" t="str">
        <f>"273-E/10"</f>
        <v>273-E/10</v>
      </c>
      <c r="R2119" s="2"/>
      <c r="S2119" s="2" t="s">
        <v>1847</v>
      </c>
      <c r="T2119" s="2">
        <v>1</v>
      </c>
      <c r="U2119" s="2" t="s">
        <v>79</v>
      </c>
      <c r="V2119" s="2">
        <v>1</v>
      </c>
      <c r="W2119" s="2" t="s">
        <v>80</v>
      </c>
      <c r="X2119" s="2">
        <v>12</v>
      </c>
      <c r="Y2119" s="2" t="s">
        <v>148</v>
      </c>
      <c r="Z2119" s="2">
        <v>1</v>
      </c>
      <c r="AA2119" s="2" t="s">
        <v>82</v>
      </c>
      <c r="AB2119" s="2">
        <v>6</v>
      </c>
      <c r="AC2119" s="2" t="s">
        <v>83</v>
      </c>
      <c r="AD2119" s="3">
        <v>40320</v>
      </c>
      <c r="AE2119" s="4">
        <v>0.4375</v>
      </c>
      <c r="AF2119" s="3">
        <v>40320</v>
      </c>
      <c r="AG2119" s="4">
        <v>0.47916666666666669</v>
      </c>
      <c r="AH2119" s="2">
        <v>2</v>
      </c>
      <c r="AI2119" s="2" t="s">
        <v>84</v>
      </c>
      <c r="AJ2119" s="2">
        <v>9</v>
      </c>
      <c r="AK2119" s="2" t="s">
        <v>103</v>
      </c>
      <c r="AL2119" s="2">
        <v>21</v>
      </c>
      <c r="AM2119" s="2" t="s">
        <v>1311</v>
      </c>
      <c r="AN2119" s="2"/>
      <c r="AO2119" s="2" t="s">
        <v>1028</v>
      </c>
      <c r="AP2119" s="2">
        <v>11</v>
      </c>
      <c r="AQ2119" s="2" t="s">
        <v>82</v>
      </c>
      <c r="AR2119" s="2"/>
      <c r="AS2119" s="2"/>
      <c r="AT2119" s="2" t="s">
        <v>7306</v>
      </c>
      <c r="AU2119" s="2"/>
      <c r="AV2119" s="2"/>
      <c r="AW2119" s="2"/>
      <c r="AX2119" s="2"/>
      <c r="AY2119" s="2">
        <v>41</v>
      </c>
      <c r="AZ2119" s="2" t="s">
        <v>82</v>
      </c>
      <c r="BA2119" s="2">
        <v>41</v>
      </c>
      <c r="BB2119" s="2" t="s">
        <v>82</v>
      </c>
      <c r="BC2119" s="2">
        <v>41</v>
      </c>
      <c r="BD2119" s="2" t="s">
        <v>82</v>
      </c>
      <c r="BE2119" s="2">
        <v>23</v>
      </c>
      <c r="BF2119" s="2" t="s">
        <v>183</v>
      </c>
      <c r="BG2119" s="2" t="s">
        <v>7307</v>
      </c>
      <c r="BH2119" s="2"/>
      <c r="BI2119" s="2"/>
      <c r="BJ2119" s="2">
        <v>73</v>
      </c>
      <c r="BK2119" s="2" t="s">
        <v>186</v>
      </c>
      <c r="BL2119" s="2" t="s">
        <v>187</v>
      </c>
      <c r="BM2119" s="2">
        <v>241</v>
      </c>
      <c r="BN2119" s="2" t="s">
        <v>82</v>
      </c>
      <c r="BO2119" s="2"/>
      <c r="BP2119" s="2">
        <v>13</v>
      </c>
      <c r="BQ2119" s="2" t="s">
        <v>91</v>
      </c>
      <c r="BR2119" s="2" t="s">
        <v>360</v>
      </c>
      <c r="BS2119" s="3">
        <v>40320</v>
      </c>
      <c r="BT2119" s="4">
        <v>0.58446759259259262</v>
      </c>
    </row>
    <row r="2120" spans="1:72" x14ac:dyDescent="0.25">
      <c r="A2120" s="2">
        <v>3094</v>
      </c>
      <c r="B2120" s="2">
        <v>2010</v>
      </c>
      <c r="C2120" s="2" t="s">
        <v>171</v>
      </c>
      <c r="D2120" s="2" t="s">
        <v>73</v>
      </c>
      <c r="E2120" s="2"/>
      <c r="F2120" s="2">
        <v>395</v>
      </c>
      <c r="G2120" s="2" t="s">
        <v>1076</v>
      </c>
      <c r="H2120" s="2">
        <v>6</v>
      </c>
      <c r="I2120" s="2" t="s">
        <v>1088</v>
      </c>
      <c r="J2120" s="2">
        <v>242</v>
      </c>
      <c r="K2120" s="2" t="s">
        <v>1077</v>
      </c>
      <c r="L2120" s="2" t="s">
        <v>1078</v>
      </c>
      <c r="M2120" s="3">
        <v>40320</v>
      </c>
      <c r="N2120" s="2" t="s">
        <v>7163</v>
      </c>
      <c r="O2120" s="2"/>
      <c r="P2120" s="2"/>
      <c r="Q2120" s="2" t="str">
        <f>"274-E/10"</f>
        <v>274-E/10</v>
      </c>
      <c r="R2120" s="2"/>
      <c r="S2120" s="2" t="s">
        <v>7308</v>
      </c>
      <c r="T2120" s="2">
        <v>1</v>
      </c>
      <c r="U2120" s="2" t="s">
        <v>79</v>
      </c>
      <c r="V2120" s="2">
        <v>1</v>
      </c>
      <c r="W2120" s="2" t="s">
        <v>80</v>
      </c>
      <c r="X2120" s="2">
        <v>1</v>
      </c>
      <c r="Y2120" s="2" t="s">
        <v>81</v>
      </c>
      <c r="Z2120" s="2">
        <v>1</v>
      </c>
      <c r="AA2120" s="2" t="s">
        <v>82</v>
      </c>
      <c r="AB2120" s="2">
        <v>1</v>
      </c>
      <c r="AC2120" s="2" t="s">
        <v>178</v>
      </c>
      <c r="AD2120" s="3">
        <v>40320</v>
      </c>
      <c r="AE2120" s="4">
        <v>0.4861111111111111</v>
      </c>
      <c r="AF2120" s="2"/>
      <c r="AG2120" s="2"/>
      <c r="AH2120" s="2">
        <v>2</v>
      </c>
      <c r="AI2120" s="2" t="s">
        <v>84</v>
      </c>
      <c r="AJ2120" s="2">
        <v>9</v>
      </c>
      <c r="AK2120" s="2" t="s">
        <v>103</v>
      </c>
      <c r="AL2120" s="2">
        <v>25</v>
      </c>
      <c r="AM2120" s="2" t="s">
        <v>3073</v>
      </c>
      <c r="AN2120" s="2" t="s">
        <v>179</v>
      </c>
      <c r="AO2120" s="2" t="s">
        <v>987</v>
      </c>
      <c r="AP2120" s="2">
        <v>11</v>
      </c>
      <c r="AQ2120" s="2" t="s">
        <v>82</v>
      </c>
      <c r="AR2120" s="2"/>
      <c r="AS2120" s="2"/>
      <c r="AT2120" s="2" t="s">
        <v>7309</v>
      </c>
      <c r="AU2120" s="2"/>
      <c r="AV2120" s="2">
        <v>1</v>
      </c>
      <c r="AW2120" s="2"/>
      <c r="AX2120" s="2"/>
      <c r="AY2120" s="2">
        <v>41</v>
      </c>
      <c r="AZ2120" s="2" t="s">
        <v>82</v>
      </c>
      <c r="BA2120" s="2">
        <v>41</v>
      </c>
      <c r="BB2120" s="2" t="s">
        <v>82</v>
      </c>
      <c r="BC2120" s="2">
        <v>41</v>
      </c>
      <c r="BD2120" s="2" t="s">
        <v>82</v>
      </c>
      <c r="BE2120" s="2">
        <v>23</v>
      </c>
      <c r="BF2120" s="2" t="s">
        <v>183</v>
      </c>
      <c r="BG2120" s="2" t="s">
        <v>4595</v>
      </c>
      <c r="BH2120" s="2"/>
      <c r="BI2120" s="4">
        <v>0.53125</v>
      </c>
      <c r="BJ2120" s="2">
        <v>13</v>
      </c>
      <c r="BK2120" s="2" t="s">
        <v>91</v>
      </c>
      <c r="BL2120" s="2" t="s">
        <v>360</v>
      </c>
      <c r="BM2120" s="2">
        <v>241</v>
      </c>
      <c r="BN2120" s="2" t="s">
        <v>82</v>
      </c>
      <c r="BO2120" s="2"/>
      <c r="BP2120" s="2">
        <v>73</v>
      </c>
      <c r="BQ2120" s="2" t="s">
        <v>186</v>
      </c>
      <c r="BR2120" s="2" t="s">
        <v>187</v>
      </c>
      <c r="BS2120" s="3">
        <v>40320</v>
      </c>
      <c r="BT2120" s="4">
        <v>0.86918981481481483</v>
      </c>
    </row>
    <row r="2121" spans="1:72" x14ac:dyDescent="0.25">
      <c r="A2121" s="2">
        <v>3095</v>
      </c>
      <c r="B2121" s="2">
        <v>2010</v>
      </c>
      <c r="C2121" s="2" t="s">
        <v>1568</v>
      </c>
      <c r="D2121" s="2" t="s">
        <v>73</v>
      </c>
      <c r="E2121" s="2"/>
      <c r="F2121" s="2">
        <v>470</v>
      </c>
      <c r="G2121" s="2" t="s">
        <v>2979</v>
      </c>
      <c r="H2121" s="2">
        <v>3</v>
      </c>
      <c r="I2121" s="2" t="s">
        <v>315</v>
      </c>
      <c r="J2121" s="2">
        <v>371</v>
      </c>
      <c r="K2121" s="2" t="s">
        <v>1138</v>
      </c>
      <c r="L2121" s="2" t="s">
        <v>1139</v>
      </c>
      <c r="M2121" s="3">
        <v>40320</v>
      </c>
      <c r="N2121" s="2" t="s">
        <v>5686</v>
      </c>
      <c r="O2121" s="2"/>
      <c r="P2121" s="2"/>
      <c r="Q2121" s="2" t="str">
        <f>"AP_0060/10"</f>
        <v>AP_0060/10</v>
      </c>
      <c r="R2121" s="2"/>
      <c r="S2121" s="2" t="s">
        <v>7310</v>
      </c>
      <c r="T2121" s="2">
        <v>1</v>
      </c>
      <c r="U2121" s="2" t="s">
        <v>79</v>
      </c>
      <c r="V2121" s="2">
        <v>1</v>
      </c>
      <c r="W2121" s="2" t="s">
        <v>80</v>
      </c>
      <c r="X2121" s="2">
        <v>12</v>
      </c>
      <c r="Y2121" s="2" t="s">
        <v>148</v>
      </c>
      <c r="Z2121" s="2">
        <v>1</v>
      </c>
      <c r="AA2121" s="2" t="s">
        <v>82</v>
      </c>
      <c r="AB2121" s="2">
        <v>4</v>
      </c>
      <c r="AC2121" s="2" t="s">
        <v>1569</v>
      </c>
      <c r="AD2121" s="3">
        <v>40320</v>
      </c>
      <c r="AE2121" s="4">
        <v>0.86805555555555547</v>
      </c>
      <c r="AF2121" s="3">
        <v>40320</v>
      </c>
      <c r="AG2121" s="4">
        <v>0.86805555555555547</v>
      </c>
      <c r="AH2121" s="2">
        <v>5</v>
      </c>
      <c r="AI2121" s="2" t="s">
        <v>274</v>
      </c>
      <c r="AJ2121" s="2">
        <v>38</v>
      </c>
      <c r="AK2121" s="2" t="s">
        <v>1120</v>
      </c>
      <c r="AL2121" s="2">
        <v>12</v>
      </c>
      <c r="AM2121" s="2" t="s">
        <v>86</v>
      </c>
      <c r="AN2121" s="2"/>
      <c r="AO2121" s="2" t="s">
        <v>7311</v>
      </c>
      <c r="AP2121" s="2">
        <v>11</v>
      </c>
      <c r="AQ2121" s="2" t="s">
        <v>82</v>
      </c>
      <c r="AR2121" s="2"/>
      <c r="AS2121" s="2"/>
      <c r="AT2121" s="2" t="s">
        <v>7312</v>
      </c>
      <c r="AU2121" s="2"/>
      <c r="AV2121" s="2"/>
      <c r="AW2121" s="2"/>
      <c r="AX2121" s="2"/>
      <c r="AY2121" s="2">
        <v>1</v>
      </c>
      <c r="AZ2121" s="2" t="s">
        <v>107</v>
      </c>
      <c r="BA2121" s="2">
        <v>1</v>
      </c>
      <c r="BB2121" s="2" t="s">
        <v>107</v>
      </c>
      <c r="BC2121" s="2">
        <v>1</v>
      </c>
      <c r="BD2121" s="2" t="s">
        <v>107</v>
      </c>
      <c r="BE2121" s="2">
        <v>1</v>
      </c>
      <c r="BF2121" s="2" t="s">
        <v>107</v>
      </c>
      <c r="BG2121" s="2"/>
      <c r="BH2121" s="2"/>
      <c r="BI2121" s="2"/>
      <c r="BJ2121" s="2">
        <v>242</v>
      </c>
      <c r="BK2121" s="2" t="s">
        <v>107</v>
      </c>
      <c r="BL2121" s="2"/>
      <c r="BM2121" s="2">
        <v>242</v>
      </c>
      <c r="BN2121" s="2" t="s">
        <v>107</v>
      </c>
      <c r="BO2121" s="2"/>
      <c r="BP2121" s="2">
        <v>242</v>
      </c>
      <c r="BQ2121" s="2" t="s">
        <v>107</v>
      </c>
      <c r="BR2121" s="2"/>
      <c r="BS2121" s="3">
        <v>40320</v>
      </c>
      <c r="BT2121" s="4">
        <v>0.92533564814814817</v>
      </c>
    </row>
    <row r="2122" spans="1:72" x14ac:dyDescent="0.25">
      <c r="A2122" s="2">
        <v>3096</v>
      </c>
      <c r="B2122" s="2">
        <v>2010</v>
      </c>
      <c r="C2122" s="2" t="s">
        <v>72</v>
      </c>
      <c r="D2122" s="2" t="s">
        <v>73</v>
      </c>
      <c r="E2122" s="2"/>
      <c r="F2122" s="2">
        <v>3</v>
      </c>
      <c r="G2122" s="2" t="s">
        <v>1041</v>
      </c>
      <c r="H2122" s="2">
        <v>1</v>
      </c>
      <c r="I2122" s="2" t="s">
        <v>82</v>
      </c>
      <c r="J2122" s="2">
        <v>368</v>
      </c>
      <c r="K2122" s="2" t="s">
        <v>1042</v>
      </c>
      <c r="L2122" s="2" t="s">
        <v>1043</v>
      </c>
      <c r="M2122" s="3">
        <v>40320</v>
      </c>
      <c r="N2122" s="2" t="s">
        <v>107</v>
      </c>
      <c r="O2122" s="2" t="s">
        <v>107</v>
      </c>
      <c r="P2122" s="2" t="s">
        <v>107</v>
      </c>
      <c r="Q2122" s="2" t="str">
        <f>"276-E/10"</f>
        <v>276-E/10</v>
      </c>
      <c r="R2122" s="2" t="s">
        <v>107</v>
      </c>
      <c r="S2122" s="2" t="s">
        <v>480</v>
      </c>
      <c r="T2122" s="2">
        <v>1</v>
      </c>
      <c r="U2122" s="2" t="s">
        <v>79</v>
      </c>
      <c r="V2122" s="2">
        <v>1</v>
      </c>
      <c r="W2122" s="2" t="s">
        <v>80</v>
      </c>
      <c r="X2122" s="2">
        <v>12</v>
      </c>
      <c r="Y2122" s="2" t="s">
        <v>148</v>
      </c>
      <c r="Z2122" s="2">
        <v>1</v>
      </c>
      <c r="AA2122" s="2" t="s">
        <v>82</v>
      </c>
      <c r="AB2122" s="2">
        <v>6</v>
      </c>
      <c r="AC2122" s="2" t="s">
        <v>83</v>
      </c>
      <c r="AD2122" s="3">
        <v>40319</v>
      </c>
      <c r="AE2122" s="4">
        <v>0.66666666666666663</v>
      </c>
      <c r="AF2122" s="3">
        <v>40320</v>
      </c>
      <c r="AG2122" s="4">
        <v>0.90972222222222221</v>
      </c>
      <c r="AH2122" s="2">
        <v>2</v>
      </c>
      <c r="AI2122" s="2" t="s">
        <v>84</v>
      </c>
      <c r="AJ2122" s="2">
        <v>9</v>
      </c>
      <c r="AK2122" s="2" t="s">
        <v>103</v>
      </c>
      <c r="AL2122" s="2">
        <v>17</v>
      </c>
      <c r="AM2122" s="2" t="s">
        <v>232</v>
      </c>
      <c r="AN2122" s="2" t="s">
        <v>7313</v>
      </c>
      <c r="AO2122" s="2"/>
      <c r="AP2122" s="2">
        <v>11</v>
      </c>
      <c r="AQ2122" s="2" t="s">
        <v>82</v>
      </c>
      <c r="AR2122" s="2" t="s">
        <v>82</v>
      </c>
      <c r="AS2122" s="2" t="s">
        <v>82</v>
      </c>
      <c r="AT2122" s="2" t="s">
        <v>7314</v>
      </c>
      <c r="AU2122" s="2"/>
      <c r="AV2122" s="2"/>
      <c r="AW2122" s="2"/>
      <c r="AX2122" s="2"/>
      <c r="AY2122" s="2">
        <v>41</v>
      </c>
      <c r="AZ2122" s="2" t="s">
        <v>82</v>
      </c>
      <c r="BA2122" s="2">
        <v>41</v>
      </c>
      <c r="BB2122" s="2" t="s">
        <v>82</v>
      </c>
      <c r="BC2122" s="2">
        <v>41</v>
      </c>
      <c r="BD2122" s="2" t="s">
        <v>82</v>
      </c>
      <c r="BE2122" s="2">
        <v>41</v>
      </c>
      <c r="BF2122" s="2" t="s">
        <v>82</v>
      </c>
      <c r="BG2122" s="2"/>
      <c r="BH2122" s="2"/>
      <c r="BI2122" s="2"/>
      <c r="BJ2122" s="2">
        <v>241</v>
      </c>
      <c r="BK2122" s="2" t="s">
        <v>82</v>
      </c>
      <c r="BL2122" s="2"/>
      <c r="BM2122" s="2">
        <v>241</v>
      </c>
      <c r="BN2122" s="2" t="s">
        <v>82</v>
      </c>
      <c r="BO2122" s="2" t="s">
        <v>82</v>
      </c>
      <c r="BP2122" s="2">
        <v>241</v>
      </c>
      <c r="BQ2122" s="2" t="s">
        <v>82</v>
      </c>
      <c r="BR2122" s="2"/>
      <c r="BS2122" s="3">
        <v>40320</v>
      </c>
      <c r="BT2122" s="4">
        <v>0.99530092592592589</v>
      </c>
    </row>
    <row r="2123" spans="1:72" x14ac:dyDescent="0.25">
      <c r="A2123" s="2">
        <v>3097</v>
      </c>
      <c r="B2123" s="2">
        <v>2010</v>
      </c>
      <c r="C2123" s="2" t="s">
        <v>171</v>
      </c>
      <c r="D2123" s="2" t="s">
        <v>73</v>
      </c>
      <c r="E2123" s="2"/>
      <c r="F2123" s="2">
        <v>390</v>
      </c>
      <c r="G2123" s="2" t="s">
        <v>475</v>
      </c>
      <c r="H2123" s="2">
        <v>6</v>
      </c>
      <c r="I2123" s="2" t="s">
        <v>1088</v>
      </c>
      <c r="J2123" s="2">
        <v>533</v>
      </c>
      <c r="K2123" s="2" t="s">
        <v>6511</v>
      </c>
      <c r="L2123" s="2" t="s">
        <v>478</v>
      </c>
      <c r="M2123" s="3">
        <v>40321</v>
      </c>
      <c r="N2123" s="2" t="s">
        <v>6470</v>
      </c>
      <c r="O2123" s="2"/>
      <c r="P2123" s="2"/>
      <c r="Q2123" s="2" t="str">
        <f>"275-E/10"</f>
        <v>275-E/10</v>
      </c>
      <c r="R2123" s="2" t="s">
        <v>7315</v>
      </c>
      <c r="S2123" s="2" t="s">
        <v>7315</v>
      </c>
      <c r="T2123" s="2">
        <v>1</v>
      </c>
      <c r="U2123" s="2" t="s">
        <v>79</v>
      </c>
      <c r="V2123" s="2">
        <v>1</v>
      </c>
      <c r="W2123" s="2" t="s">
        <v>80</v>
      </c>
      <c r="X2123" s="2">
        <v>1</v>
      </c>
      <c r="Y2123" s="2" t="s">
        <v>81</v>
      </c>
      <c r="Z2123" s="2">
        <v>1</v>
      </c>
      <c r="AA2123" s="2" t="s">
        <v>82</v>
      </c>
      <c r="AB2123" s="2">
        <v>1</v>
      </c>
      <c r="AC2123" s="2" t="s">
        <v>178</v>
      </c>
      <c r="AD2123" s="3">
        <v>40320</v>
      </c>
      <c r="AE2123" s="4">
        <v>0.90625</v>
      </c>
      <c r="AF2123" s="2"/>
      <c r="AG2123" s="2"/>
      <c r="AH2123" s="2">
        <v>2</v>
      </c>
      <c r="AI2123" s="2" t="s">
        <v>84</v>
      </c>
      <c r="AJ2123" s="2">
        <v>9</v>
      </c>
      <c r="AK2123" s="2" t="s">
        <v>103</v>
      </c>
      <c r="AL2123" s="2">
        <v>25</v>
      </c>
      <c r="AM2123" s="2" t="s">
        <v>3073</v>
      </c>
      <c r="AN2123" s="2" t="s">
        <v>179</v>
      </c>
      <c r="AO2123" s="2" t="s">
        <v>590</v>
      </c>
      <c r="AP2123" s="2">
        <v>11</v>
      </c>
      <c r="AQ2123" s="2" t="s">
        <v>82</v>
      </c>
      <c r="AR2123" s="2"/>
      <c r="AS2123" s="2"/>
      <c r="AT2123" s="2" t="s">
        <v>7316</v>
      </c>
      <c r="AU2123" s="2"/>
      <c r="AV2123" s="2">
        <v>1</v>
      </c>
      <c r="AW2123" s="2"/>
      <c r="AX2123" s="2"/>
      <c r="AY2123" s="2">
        <v>41</v>
      </c>
      <c r="AZ2123" s="2" t="s">
        <v>82</v>
      </c>
      <c r="BA2123" s="2">
        <v>41</v>
      </c>
      <c r="BB2123" s="2" t="s">
        <v>82</v>
      </c>
      <c r="BC2123" s="2">
        <v>41</v>
      </c>
      <c r="BD2123" s="2" t="s">
        <v>82</v>
      </c>
      <c r="BE2123" s="2">
        <v>13</v>
      </c>
      <c r="BF2123" s="2" t="s">
        <v>108</v>
      </c>
      <c r="BG2123" s="2" t="s">
        <v>7317</v>
      </c>
      <c r="BH2123" s="4">
        <v>0.60416666666666663</v>
      </c>
      <c r="BI2123" s="4">
        <v>0</v>
      </c>
      <c r="BJ2123" s="2">
        <v>29</v>
      </c>
      <c r="BK2123" s="2" t="s">
        <v>962</v>
      </c>
      <c r="BL2123" s="2" t="s">
        <v>963</v>
      </c>
      <c r="BM2123" s="2">
        <v>13</v>
      </c>
      <c r="BN2123" s="2" t="s">
        <v>91</v>
      </c>
      <c r="BO2123" s="2" t="s">
        <v>7318</v>
      </c>
      <c r="BP2123" s="2">
        <v>112</v>
      </c>
      <c r="BQ2123" s="2" t="s">
        <v>110</v>
      </c>
      <c r="BR2123" s="2" t="s">
        <v>111</v>
      </c>
      <c r="BS2123" s="3">
        <v>40321</v>
      </c>
      <c r="BT2123" s="4">
        <v>0.2309259259259259</v>
      </c>
    </row>
    <row r="2124" spans="1:72" x14ac:dyDescent="0.25">
      <c r="A2124" s="2">
        <v>3098</v>
      </c>
      <c r="B2124" s="2">
        <v>2010</v>
      </c>
      <c r="C2124" s="2" t="s">
        <v>93</v>
      </c>
      <c r="D2124" s="2" t="s">
        <v>73</v>
      </c>
      <c r="E2124" s="2"/>
      <c r="F2124" s="2">
        <v>545</v>
      </c>
      <c r="G2124" s="2" t="s">
        <v>3969</v>
      </c>
      <c r="H2124" s="2">
        <v>42</v>
      </c>
      <c r="I2124" s="2" t="s">
        <v>1096</v>
      </c>
      <c r="J2124" s="2">
        <v>159</v>
      </c>
      <c r="K2124" s="2" t="s">
        <v>771</v>
      </c>
      <c r="L2124" s="2" t="s">
        <v>772</v>
      </c>
      <c r="M2124" s="3">
        <v>40321</v>
      </c>
      <c r="N2124" s="2" t="s">
        <v>7319</v>
      </c>
      <c r="O2124" s="2" t="s">
        <v>7320</v>
      </c>
      <c r="P2124" s="2">
        <v>21902</v>
      </c>
      <c r="Q2124" s="2" t="str">
        <f>"0009/10"</f>
        <v>0009/10</v>
      </c>
      <c r="R2124" s="2" t="s">
        <v>107</v>
      </c>
      <c r="S2124" s="2" t="s">
        <v>7321</v>
      </c>
      <c r="T2124" s="2">
        <v>1</v>
      </c>
      <c r="U2124" s="2" t="s">
        <v>79</v>
      </c>
      <c r="V2124" s="2">
        <v>1</v>
      </c>
      <c r="W2124" s="2" t="s">
        <v>80</v>
      </c>
      <c r="X2124" s="2">
        <v>1</v>
      </c>
      <c r="Y2124" s="2" t="s">
        <v>81</v>
      </c>
      <c r="Z2124" s="2">
        <v>1</v>
      </c>
      <c r="AA2124" s="2" t="s">
        <v>82</v>
      </c>
      <c r="AB2124" s="2">
        <v>2</v>
      </c>
      <c r="AC2124" s="2" t="s">
        <v>102</v>
      </c>
      <c r="AD2124" s="3">
        <v>40321</v>
      </c>
      <c r="AE2124" s="4">
        <v>0.26041666666666669</v>
      </c>
      <c r="AF2124" s="2"/>
      <c r="AG2124" s="2"/>
      <c r="AH2124" s="2">
        <v>6</v>
      </c>
      <c r="AI2124" s="2" t="s">
        <v>197</v>
      </c>
      <c r="AJ2124" s="2">
        <v>54</v>
      </c>
      <c r="AK2124" s="2" t="s">
        <v>348</v>
      </c>
      <c r="AL2124" s="2">
        <v>11</v>
      </c>
      <c r="AM2124" s="2" t="s">
        <v>137</v>
      </c>
      <c r="AN2124" s="2" t="s">
        <v>7322</v>
      </c>
      <c r="AO2124" s="2" t="s">
        <v>7323</v>
      </c>
      <c r="AP2124" s="2">
        <v>11</v>
      </c>
      <c r="AQ2124" s="2" t="s">
        <v>82</v>
      </c>
      <c r="AR2124" s="2" t="s">
        <v>82</v>
      </c>
      <c r="AS2124" s="2" t="s">
        <v>82</v>
      </c>
      <c r="AT2124" s="2" t="s">
        <v>7324</v>
      </c>
      <c r="AU2124" s="2"/>
      <c r="AV2124" s="2"/>
      <c r="AW2124" s="2"/>
      <c r="AX2124" s="2"/>
      <c r="AY2124" s="2">
        <v>41</v>
      </c>
      <c r="AZ2124" s="2" t="s">
        <v>82</v>
      </c>
      <c r="BA2124" s="2">
        <v>41</v>
      </c>
      <c r="BB2124" s="2" t="s">
        <v>82</v>
      </c>
      <c r="BC2124" s="2">
        <v>41</v>
      </c>
      <c r="BD2124" s="2" t="s">
        <v>82</v>
      </c>
      <c r="BE2124" s="2">
        <v>47</v>
      </c>
      <c r="BF2124" s="2" t="s">
        <v>167</v>
      </c>
      <c r="BG2124" s="2">
        <v>2831</v>
      </c>
      <c r="BH2124" s="4">
        <v>0.97222222222222221</v>
      </c>
      <c r="BI2124" s="4">
        <v>0.27083333333333331</v>
      </c>
      <c r="BJ2124" s="2">
        <v>13</v>
      </c>
      <c r="BK2124" s="2" t="s">
        <v>91</v>
      </c>
      <c r="BL2124" s="2" t="s">
        <v>353</v>
      </c>
      <c r="BM2124" s="2">
        <v>241</v>
      </c>
      <c r="BN2124" s="2" t="s">
        <v>82</v>
      </c>
      <c r="BO2124" s="2" t="s">
        <v>82</v>
      </c>
      <c r="BP2124" s="2">
        <v>13</v>
      </c>
      <c r="BQ2124" s="2" t="s">
        <v>91</v>
      </c>
      <c r="BR2124" s="2" t="s">
        <v>3520</v>
      </c>
      <c r="BS2124" s="3">
        <v>40321</v>
      </c>
      <c r="BT2124" s="4">
        <v>0.39329861111111114</v>
      </c>
    </row>
    <row r="2125" spans="1:72" x14ac:dyDescent="0.25">
      <c r="A2125" s="2">
        <v>3099</v>
      </c>
      <c r="B2125" s="2">
        <v>2010</v>
      </c>
      <c r="C2125" s="2" t="s">
        <v>93</v>
      </c>
      <c r="D2125" s="2" t="s">
        <v>73</v>
      </c>
      <c r="E2125" s="2"/>
      <c r="F2125" s="2">
        <v>545</v>
      </c>
      <c r="G2125" s="2" t="s">
        <v>3969</v>
      </c>
      <c r="H2125" s="2">
        <v>42</v>
      </c>
      <c r="I2125" s="2" t="s">
        <v>1096</v>
      </c>
      <c r="J2125" s="2">
        <v>472</v>
      </c>
      <c r="K2125" s="2" t="s">
        <v>7277</v>
      </c>
      <c r="L2125" s="2" t="s">
        <v>7278</v>
      </c>
      <c r="M2125" s="3">
        <v>40321</v>
      </c>
      <c r="N2125" s="2" t="s">
        <v>4011</v>
      </c>
      <c r="O2125" s="2" t="s">
        <v>7325</v>
      </c>
      <c r="P2125" s="2">
        <v>18493</v>
      </c>
      <c r="Q2125" s="2" t="str">
        <f>"USU_AP 0027/10"</f>
        <v>USU_AP 0027/10</v>
      </c>
      <c r="R2125" s="2"/>
      <c r="S2125" s="2" t="s">
        <v>7326</v>
      </c>
      <c r="T2125" s="2">
        <v>1</v>
      </c>
      <c r="U2125" s="2" t="s">
        <v>79</v>
      </c>
      <c r="V2125" s="2">
        <v>1</v>
      </c>
      <c r="W2125" s="2" t="s">
        <v>80</v>
      </c>
      <c r="X2125" s="2">
        <v>1</v>
      </c>
      <c r="Y2125" s="2" t="s">
        <v>81</v>
      </c>
      <c r="Z2125" s="2">
        <v>1</v>
      </c>
      <c r="AA2125" s="2" t="s">
        <v>82</v>
      </c>
      <c r="AB2125" s="2">
        <v>2</v>
      </c>
      <c r="AC2125" s="2" t="s">
        <v>102</v>
      </c>
      <c r="AD2125" s="3">
        <v>40321</v>
      </c>
      <c r="AE2125" s="4">
        <v>0.41666666666666669</v>
      </c>
      <c r="AF2125" s="2"/>
      <c r="AG2125" s="2"/>
      <c r="AH2125" s="2">
        <v>6</v>
      </c>
      <c r="AI2125" s="2" t="s">
        <v>197</v>
      </c>
      <c r="AJ2125" s="2">
        <v>60</v>
      </c>
      <c r="AK2125" s="2" t="s">
        <v>543</v>
      </c>
      <c r="AL2125" s="2">
        <v>9</v>
      </c>
      <c r="AM2125" s="2" t="s">
        <v>259</v>
      </c>
      <c r="AN2125" s="2"/>
      <c r="AO2125" s="2" t="s">
        <v>7327</v>
      </c>
      <c r="AP2125" s="2">
        <v>11</v>
      </c>
      <c r="AQ2125" s="2" t="s">
        <v>82</v>
      </c>
      <c r="AR2125" s="2"/>
      <c r="AS2125" s="2"/>
      <c r="AT2125" s="2" t="s">
        <v>7328</v>
      </c>
      <c r="AU2125" s="2"/>
      <c r="AV2125" s="2"/>
      <c r="AW2125" s="2"/>
      <c r="AX2125" s="2"/>
      <c r="AY2125" s="2">
        <v>41</v>
      </c>
      <c r="AZ2125" s="2" t="s">
        <v>82</v>
      </c>
      <c r="BA2125" s="2">
        <v>41</v>
      </c>
      <c r="BB2125" s="2" t="s">
        <v>82</v>
      </c>
      <c r="BC2125" s="2">
        <v>41</v>
      </c>
      <c r="BD2125" s="2" t="s">
        <v>82</v>
      </c>
      <c r="BE2125" s="2">
        <v>41</v>
      </c>
      <c r="BF2125" s="2" t="s">
        <v>82</v>
      </c>
      <c r="BG2125" s="2" t="s">
        <v>82</v>
      </c>
      <c r="BH2125" s="2"/>
      <c r="BI2125" s="2"/>
      <c r="BJ2125" s="2">
        <v>241</v>
      </c>
      <c r="BK2125" s="2" t="s">
        <v>82</v>
      </c>
      <c r="BL2125" s="2"/>
      <c r="BM2125" s="2">
        <v>241</v>
      </c>
      <c r="BN2125" s="2" t="s">
        <v>82</v>
      </c>
      <c r="BO2125" s="2"/>
      <c r="BP2125" s="2">
        <v>241</v>
      </c>
      <c r="BQ2125" s="2" t="s">
        <v>82</v>
      </c>
      <c r="BR2125" s="2"/>
      <c r="BS2125" s="3">
        <v>40321</v>
      </c>
      <c r="BT2125" s="4">
        <v>0.47505787037037034</v>
      </c>
    </row>
    <row r="2126" spans="1:72" x14ac:dyDescent="0.25">
      <c r="A2126" s="2">
        <v>3100</v>
      </c>
      <c r="B2126" s="2">
        <v>2010</v>
      </c>
      <c r="C2126" s="2" t="s">
        <v>93</v>
      </c>
      <c r="D2126" s="2" t="s">
        <v>73</v>
      </c>
      <c r="E2126" s="2"/>
      <c r="F2126" s="2">
        <v>197</v>
      </c>
      <c r="G2126" s="2" t="s">
        <v>1449</v>
      </c>
      <c r="H2126" s="2">
        <v>110</v>
      </c>
      <c r="I2126" s="2" t="s">
        <v>7329</v>
      </c>
      <c r="J2126" s="2">
        <v>205</v>
      </c>
      <c r="K2126" s="2" t="s">
        <v>7330</v>
      </c>
      <c r="L2126" s="2" t="s">
        <v>7331</v>
      </c>
      <c r="M2126" s="3">
        <v>40321</v>
      </c>
      <c r="N2126" s="2" t="s">
        <v>7332</v>
      </c>
      <c r="O2126" s="2" t="s">
        <v>6702</v>
      </c>
      <c r="P2126" s="2">
        <v>33774</v>
      </c>
      <c r="Q2126" s="2" t="str">
        <f>"0061/10"</f>
        <v>0061/10</v>
      </c>
      <c r="R2126" s="2"/>
      <c r="S2126" s="2" t="s">
        <v>1695</v>
      </c>
      <c r="T2126" s="2">
        <v>1</v>
      </c>
      <c r="U2126" s="2" t="s">
        <v>79</v>
      </c>
      <c r="V2126" s="2">
        <v>1</v>
      </c>
      <c r="W2126" s="2" t="s">
        <v>80</v>
      </c>
      <c r="X2126" s="2">
        <v>3</v>
      </c>
      <c r="Y2126" s="2" t="s">
        <v>698</v>
      </c>
      <c r="Z2126" s="2">
        <v>9</v>
      </c>
      <c r="AA2126" s="2" t="s">
        <v>1119</v>
      </c>
      <c r="AB2126" s="2">
        <v>2</v>
      </c>
      <c r="AC2126" s="2" t="s">
        <v>102</v>
      </c>
      <c r="AD2126" s="3">
        <v>40321</v>
      </c>
      <c r="AE2126" s="4">
        <v>0.42222222222222222</v>
      </c>
      <c r="AF2126" s="2"/>
      <c r="AG2126" s="2"/>
      <c r="AH2126" s="2">
        <v>5</v>
      </c>
      <c r="AI2126" s="2" t="s">
        <v>274</v>
      </c>
      <c r="AJ2126" s="2">
        <v>38</v>
      </c>
      <c r="AK2126" s="2" t="s">
        <v>1120</v>
      </c>
      <c r="AL2126" s="2">
        <v>14</v>
      </c>
      <c r="AM2126" s="2" t="s">
        <v>216</v>
      </c>
      <c r="AN2126" s="2"/>
      <c r="AO2126" s="2" t="s">
        <v>7055</v>
      </c>
      <c r="AP2126" s="2">
        <v>11</v>
      </c>
      <c r="AQ2126" s="2" t="s">
        <v>82</v>
      </c>
      <c r="AR2126" s="2"/>
      <c r="AS2126" s="2"/>
      <c r="AT2126" s="2" t="s">
        <v>7333</v>
      </c>
      <c r="AU2126" s="2"/>
      <c r="AV2126" s="2"/>
      <c r="AW2126" s="2"/>
      <c r="AX2126" s="2"/>
      <c r="AY2126" s="2">
        <v>41</v>
      </c>
      <c r="AZ2126" s="2" t="s">
        <v>82</v>
      </c>
      <c r="BA2126" s="2">
        <v>41</v>
      </c>
      <c r="BB2126" s="2" t="s">
        <v>82</v>
      </c>
      <c r="BC2126" s="2">
        <v>41</v>
      </c>
      <c r="BD2126" s="2" t="s">
        <v>82</v>
      </c>
      <c r="BE2126" s="2">
        <v>47</v>
      </c>
      <c r="BF2126" s="2" t="s">
        <v>167</v>
      </c>
      <c r="BG2126" s="2">
        <v>2721</v>
      </c>
      <c r="BH2126" s="4">
        <v>0.40972222222222227</v>
      </c>
      <c r="BI2126" s="4">
        <v>0.4375</v>
      </c>
      <c r="BJ2126" s="2">
        <v>13</v>
      </c>
      <c r="BK2126" s="2" t="s">
        <v>91</v>
      </c>
      <c r="BL2126" s="2" t="s">
        <v>1697</v>
      </c>
      <c r="BM2126" s="2">
        <v>241</v>
      </c>
      <c r="BN2126" s="2" t="s">
        <v>82</v>
      </c>
      <c r="BO2126" s="2"/>
      <c r="BP2126" s="2">
        <v>13</v>
      </c>
      <c r="BQ2126" s="2" t="s">
        <v>91</v>
      </c>
      <c r="BR2126" s="2" t="s">
        <v>170</v>
      </c>
      <c r="BS2126" s="3">
        <v>40321</v>
      </c>
      <c r="BT2126" s="4">
        <v>0.57444444444444442</v>
      </c>
    </row>
    <row r="2127" spans="1:72" x14ac:dyDescent="0.25">
      <c r="A2127" s="2">
        <v>3101</v>
      </c>
      <c r="B2127" s="2">
        <v>2010</v>
      </c>
      <c r="C2127" s="2" t="s">
        <v>377</v>
      </c>
      <c r="D2127" s="2" t="s">
        <v>73</v>
      </c>
      <c r="E2127" s="2"/>
      <c r="F2127" s="2">
        <v>426</v>
      </c>
      <c r="G2127" s="2" t="s">
        <v>378</v>
      </c>
      <c r="H2127" s="2">
        <v>42</v>
      </c>
      <c r="I2127" s="2" t="s">
        <v>1096</v>
      </c>
      <c r="J2127" s="2">
        <v>311</v>
      </c>
      <c r="K2127" s="2" t="s">
        <v>379</v>
      </c>
      <c r="L2127" s="2" t="s">
        <v>380</v>
      </c>
      <c r="M2127" s="3">
        <v>40321</v>
      </c>
      <c r="N2127" s="2" t="s">
        <v>4427</v>
      </c>
      <c r="O2127" s="2"/>
      <c r="P2127" s="2"/>
      <c r="Q2127" s="2" t="str">
        <f>"088-C/10"</f>
        <v>088-C/10</v>
      </c>
      <c r="R2127" s="2" t="s">
        <v>7334</v>
      </c>
      <c r="S2127" s="2"/>
      <c r="T2127" s="2">
        <v>1</v>
      </c>
      <c r="U2127" s="2" t="s">
        <v>79</v>
      </c>
      <c r="V2127" s="2">
        <v>1</v>
      </c>
      <c r="W2127" s="2" t="s">
        <v>80</v>
      </c>
      <c r="X2127" s="2">
        <v>1</v>
      </c>
      <c r="Y2127" s="2" t="s">
        <v>81</v>
      </c>
      <c r="Z2127" s="2">
        <v>1</v>
      </c>
      <c r="AA2127" s="2" t="s">
        <v>82</v>
      </c>
      <c r="AB2127" s="2">
        <v>9</v>
      </c>
      <c r="AC2127" s="2" t="s">
        <v>124</v>
      </c>
      <c r="AD2127" s="3">
        <v>40321</v>
      </c>
      <c r="AE2127" s="4">
        <v>0.53125</v>
      </c>
      <c r="AF2127" s="2"/>
      <c r="AG2127" s="2"/>
      <c r="AH2127" s="2">
        <v>2</v>
      </c>
      <c r="AI2127" s="2" t="s">
        <v>84</v>
      </c>
      <c r="AJ2127" s="2">
        <v>9</v>
      </c>
      <c r="AK2127" s="2" t="s">
        <v>103</v>
      </c>
      <c r="AL2127" s="2">
        <v>29</v>
      </c>
      <c r="AM2127" s="2" t="s">
        <v>5416</v>
      </c>
      <c r="AN2127" s="2" t="s">
        <v>1345</v>
      </c>
      <c r="AO2127" s="2" t="s">
        <v>987</v>
      </c>
      <c r="AP2127" s="2">
        <v>11</v>
      </c>
      <c r="AQ2127" s="2" t="s">
        <v>82</v>
      </c>
      <c r="AR2127" s="2"/>
      <c r="AS2127" s="2"/>
      <c r="AT2127" s="2" t="s">
        <v>7335</v>
      </c>
      <c r="AU2127" s="2"/>
      <c r="AV2127" s="2"/>
      <c r="AW2127" s="2"/>
      <c r="AX2127" s="2"/>
      <c r="AY2127" s="2">
        <v>41</v>
      </c>
      <c r="AZ2127" s="2" t="s">
        <v>82</v>
      </c>
      <c r="BA2127" s="2">
        <v>41</v>
      </c>
      <c r="BB2127" s="2" t="s">
        <v>82</v>
      </c>
      <c r="BC2127" s="2">
        <v>41</v>
      </c>
      <c r="BD2127" s="2" t="s">
        <v>82</v>
      </c>
      <c r="BE2127" s="2">
        <v>41</v>
      </c>
      <c r="BF2127" s="2" t="s">
        <v>82</v>
      </c>
      <c r="BG2127" s="2"/>
      <c r="BH2127" s="2"/>
      <c r="BI2127" s="2"/>
      <c r="BJ2127" s="2">
        <v>241</v>
      </c>
      <c r="BK2127" s="2" t="s">
        <v>82</v>
      </c>
      <c r="BL2127" s="2"/>
      <c r="BM2127" s="2">
        <v>241</v>
      </c>
      <c r="BN2127" s="2" t="s">
        <v>82</v>
      </c>
      <c r="BO2127" s="2"/>
      <c r="BP2127" s="2">
        <v>241</v>
      </c>
      <c r="BQ2127" s="2" t="s">
        <v>82</v>
      </c>
      <c r="BR2127" s="2"/>
      <c r="BS2127" s="3">
        <v>40321</v>
      </c>
      <c r="BT2127" s="4">
        <v>0.64388888888888884</v>
      </c>
    </row>
    <row r="2128" spans="1:72" x14ac:dyDescent="0.25">
      <c r="A2128" s="2">
        <v>3102</v>
      </c>
      <c r="B2128" s="2">
        <v>2010</v>
      </c>
      <c r="C2128" s="2" t="s">
        <v>93</v>
      </c>
      <c r="D2128" s="2" t="s">
        <v>73</v>
      </c>
      <c r="E2128" s="2"/>
      <c r="F2128" s="2">
        <v>625</v>
      </c>
      <c r="G2128" s="2" t="s">
        <v>7336</v>
      </c>
      <c r="H2128" s="2">
        <v>111</v>
      </c>
      <c r="I2128" s="2" t="s">
        <v>7337</v>
      </c>
      <c r="J2128" s="2">
        <v>560</v>
      </c>
      <c r="K2128" s="2" t="s">
        <v>7338</v>
      </c>
      <c r="L2128" s="2" t="s">
        <v>7339</v>
      </c>
      <c r="M2128" s="3">
        <v>40321</v>
      </c>
      <c r="N2128" s="2" t="s">
        <v>7340</v>
      </c>
      <c r="O2128" s="2" t="s">
        <v>3367</v>
      </c>
      <c r="P2128" s="2" t="s">
        <v>107</v>
      </c>
      <c r="Q2128" s="2" t="str">
        <f>"0062/10"</f>
        <v>0062/10</v>
      </c>
      <c r="R2128" s="2"/>
      <c r="S2128" s="2" t="s">
        <v>1695</v>
      </c>
      <c r="T2128" s="2">
        <v>1</v>
      </c>
      <c r="U2128" s="2" t="s">
        <v>79</v>
      </c>
      <c r="V2128" s="2">
        <v>1</v>
      </c>
      <c r="W2128" s="2" t="s">
        <v>80</v>
      </c>
      <c r="X2128" s="2">
        <v>3</v>
      </c>
      <c r="Y2128" s="2" t="s">
        <v>698</v>
      </c>
      <c r="Z2128" s="2">
        <v>9</v>
      </c>
      <c r="AA2128" s="2" t="s">
        <v>1119</v>
      </c>
      <c r="AB2128" s="2">
        <v>2</v>
      </c>
      <c r="AC2128" s="2" t="s">
        <v>102</v>
      </c>
      <c r="AD2128" s="3">
        <v>40321</v>
      </c>
      <c r="AE2128" s="4">
        <v>0.64930555555555558</v>
      </c>
      <c r="AF2128" s="2"/>
      <c r="AG2128" s="2"/>
      <c r="AH2128" s="2">
        <v>5</v>
      </c>
      <c r="AI2128" s="2" t="s">
        <v>274</v>
      </c>
      <c r="AJ2128" s="2">
        <v>38</v>
      </c>
      <c r="AK2128" s="2" t="s">
        <v>1120</v>
      </c>
      <c r="AL2128" s="2">
        <v>14</v>
      </c>
      <c r="AM2128" s="2" t="s">
        <v>216</v>
      </c>
      <c r="AN2128" s="2"/>
      <c r="AO2128" s="2" t="s">
        <v>7055</v>
      </c>
      <c r="AP2128" s="2">
        <v>11</v>
      </c>
      <c r="AQ2128" s="2" t="s">
        <v>82</v>
      </c>
      <c r="AR2128" s="2"/>
      <c r="AS2128" s="2"/>
      <c r="AT2128" s="2" t="s">
        <v>7341</v>
      </c>
      <c r="AU2128" s="2"/>
      <c r="AV2128" s="2"/>
      <c r="AW2128" s="2"/>
      <c r="AX2128" s="2"/>
      <c r="AY2128" s="2">
        <v>41</v>
      </c>
      <c r="AZ2128" s="2" t="s">
        <v>82</v>
      </c>
      <c r="BA2128" s="2">
        <v>41</v>
      </c>
      <c r="BB2128" s="2" t="s">
        <v>82</v>
      </c>
      <c r="BC2128" s="2">
        <v>41</v>
      </c>
      <c r="BD2128" s="2" t="s">
        <v>82</v>
      </c>
      <c r="BE2128" s="2">
        <v>47</v>
      </c>
      <c r="BF2128" s="2" t="s">
        <v>167</v>
      </c>
      <c r="BG2128" s="2">
        <v>2729</v>
      </c>
      <c r="BH2128" s="4">
        <v>0.63888888888888895</v>
      </c>
      <c r="BI2128" s="4">
        <v>0.66666666666666663</v>
      </c>
      <c r="BJ2128" s="2">
        <v>13</v>
      </c>
      <c r="BK2128" s="2" t="s">
        <v>91</v>
      </c>
      <c r="BL2128" s="2" t="s">
        <v>1697</v>
      </c>
      <c r="BM2128" s="2">
        <v>241</v>
      </c>
      <c r="BN2128" s="2" t="s">
        <v>82</v>
      </c>
      <c r="BO2128" s="2"/>
      <c r="BP2128" s="2">
        <v>13</v>
      </c>
      <c r="BQ2128" s="2" t="s">
        <v>91</v>
      </c>
      <c r="BR2128" s="2" t="s">
        <v>170</v>
      </c>
      <c r="BS2128" s="3">
        <v>40321</v>
      </c>
      <c r="BT2128" s="4">
        <v>0.75549768518518512</v>
      </c>
    </row>
    <row r="2129" spans="1:72" x14ac:dyDescent="0.25">
      <c r="A2129" s="2">
        <v>3103</v>
      </c>
      <c r="B2129" s="2">
        <v>2010</v>
      </c>
      <c r="C2129" s="2" t="s">
        <v>377</v>
      </c>
      <c r="D2129" s="2" t="s">
        <v>73</v>
      </c>
      <c r="E2129" s="2"/>
      <c r="F2129" s="2">
        <v>426</v>
      </c>
      <c r="G2129" s="2" t="s">
        <v>378</v>
      </c>
      <c r="H2129" s="2">
        <v>22</v>
      </c>
      <c r="I2129" s="2" t="s">
        <v>75</v>
      </c>
      <c r="J2129" s="2">
        <v>311</v>
      </c>
      <c r="K2129" s="2" t="s">
        <v>379</v>
      </c>
      <c r="L2129" s="2" t="s">
        <v>380</v>
      </c>
      <c r="M2129" s="3">
        <v>40321</v>
      </c>
      <c r="N2129" s="2" t="s">
        <v>4427</v>
      </c>
      <c r="O2129" s="2"/>
      <c r="P2129" s="2"/>
      <c r="Q2129" s="2" t="str">
        <f>"089-C/10"</f>
        <v>089-C/10</v>
      </c>
      <c r="R2129" s="2" t="s">
        <v>3160</v>
      </c>
      <c r="S2129" s="2"/>
      <c r="T2129" s="2">
        <v>1</v>
      </c>
      <c r="U2129" s="2" t="s">
        <v>79</v>
      </c>
      <c r="V2129" s="2">
        <v>1</v>
      </c>
      <c r="W2129" s="2" t="s">
        <v>80</v>
      </c>
      <c r="X2129" s="2">
        <v>1</v>
      </c>
      <c r="Y2129" s="2" t="s">
        <v>81</v>
      </c>
      <c r="Z2129" s="2">
        <v>1</v>
      </c>
      <c r="AA2129" s="2" t="s">
        <v>82</v>
      </c>
      <c r="AB2129" s="2">
        <v>9</v>
      </c>
      <c r="AC2129" s="2" t="s">
        <v>124</v>
      </c>
      <c r="AD2129" s="3">
        <v>40321</v>
      </c>
      <c r="AE2129" s="4">
        <v>0.6791666666666667</v>
      </c>
      <c r="AF2129" s="2"/>
      <c r="AG2129" s="2"/>
      <c r="AH2129" s="2">
        <v>2</v>
      </c>
      <c r="AI2129" s="2" t="s">
        <v>84</v>
      </c>
      <c r="AJ2129" s="2">
        <v>9</v>
      </c>
      <c r="AK2129" s="2" t="s">
        <v>103</v>
      </c>
      <c r="AL2129" s="2">
        <v>13</v>
      </c>
      <c r="AM2129" s="2" t="s">
        <v>117</v>
      </c>
      <c r="AN2129" s="2"/>
      <c r="AO2129" s="2" t="s">
        <v>2887</v>
      </c>
      <c r="AP2129" s="2">
        <v>11</v>
      </c>
      <c r="AQ2129" s="2" t="s">
        <v>82</v>
      </c>
      <c r="AR2129" s="2"/>
      <c r="AS2129" s="2"/>
      <c r="AT2129" s="2" t="s">
        <v>7342</v>
      </c>
      <c r="AU2129" s="2"/>
      <c r="AV2129" s="2"/>
      <c r="AW2129" s="2"/>
      <c r="AX2129" s="2"/>
      <c r="AY2129" s="2">
        <v>41</v>
      </c>
      <c r="AZ2129" s="2" t="s">
        <v>82</v>
      </c>
      <c r="BA2129" s="2">
        <v>41</v>
      </c>
      <c r="BB2129" s="2" t="s">
        <v>82</v>
      </c>
      <c r="BC2129" s="2">
        <v>41</v>
      </c>
      <c r="BD2129" s="2" t="s">
        <v>82</v>
      </c>
      <c r="BE2129" s="2">
        <v>41</v>
      </c>
      <c r="BF2129" s="2" t="s">
        <v>82</v>
      </c>
      <c r="BG2129" s="2"/>
      <c r="BH2129" s="2"/>
      <c r="BI2129" s="2"/>
      <c r="BJ2129" s="2">
        <v>241</v>
      </c>
      <c r="BK2129" s="2" t="s">
        <v>82</v>
      </c>
      <c r="BL2129" s="2"/>
      <c r="BM2129" s="2">
        <v>241</v>
      </c>
      <c r="BN2129" s="2" t="s">
        <v>82</v>
      </c>
      <c r="BO2129" s="2"/>
      <c r="BP2129" s="2">
        <v>241</v>
      </c>
      <c r="BQ2129" s="2" t="s">
        <v>82</v>
      </c>
      <c r="BR2129" s="2"/>
      <c r="BS2129" s="3">
        <v>40321</v>
      </c>
      <c r="BT2129" s="4">
        <v>0.79684027777777777</v>
      </c>
    </row>
    <row r="2130" spans="1:72" x14ac:dyDescent="0.25">
      <c r="A2130" s="2">
        <v>3104</v>
      </c>
      <c r="B2130" s="2">
        <v>2010</v>
      </c>
      <c r="C2130" s="2" t="s">
        <v>377</v>
      </c>
      <c r="D2130" s="2" t="s">
        <v>73</v>
      </c>
      <c r="E2130" s="2"/>
      <c r="F2130" s="2">
        <v>426</v>
      </c>
      <c r="G2130" s="2" t="s">
        <v>378</v>
      </c>
      <c r="H2130" s="2">
        <v>22</v>
      </c>
      <c r="I2130" s="2" t="s">
        <v>75</v>
      </c>
      <c r="J2130" s="2">
        <v>311</v>
      </c>
      <c r="K2130" s="2" t="s">
        <v>379</v>
      </c>
      <c r="L2130" s="2" t="s">
        <v>380</v>
      </c>
      <c r="M2130" s="3">
        <v>40321</v>
      </c>
      <c r="N2130" s="2" t="s">
        <v>4427</v>
      </c>
      <c r="O2130" s="2"/>
      <c r="P2130" s="2"/>
      <c r="Q2130" s="2" t="str">
        <f>"090-C/10"</f>
        <v>090-C/10</v>
      </c>
      <c r="R2130" s="2" t="s">
        <v>3160</v>
      </c>
      <c r="S2130" s="2"/>
      <c r="T2130" s="2">
        <v>1</v>
      </c>
      <c r="U2130" s="2" t="s">
        <v>79</v>
      </c>
      <c r="V2130" s="2">
        <v>1</v>
      </c>
      <c r="W2130" s="2" t="s">
        <v>80</v>
      </c>
      <c r="X2130" s="2">
        <v>1</v>
      </c>
      <c r="Y2130" s="2" t="s">
        <v>81</v>
      </c>
      <c r="Z2130" s="2">
        <v>1</v>
      </c>
      <c r="AA2130" s="2" t="s">
        <v>82</v>
      </c>
      <c r="AB2130" s="2">
        <v>9</v>
      </c>
      <c r="AC2130" s="2" t="s">
        <v>124</v>
      </c>
      <c r="AD2130" s="3">
        <v>40321</v>
      </c>
      <c r="AE2130" s="4">
        <v>0.72916666666666663</v>
      </c>
      <c r="AF2130" s="2"/>
      <c r="AG2130" s="2"/>
      <c r="AH2130" s="2">
        <v>2</v>
      </c>
      <c r="AI2130" s="2" t="s">
        <v>84</v>
      </c>
      <c r="AJ2130" s="2">
        <v>9</v>
      </c>
      <c r="AK2130" s="2" t="s">
        <v>103</v>
      </c>
      <c r="AL2130" s="2">
        <v>29</v>
      </c>
      <c r="AM2130" s="2" t="s">
        <v>5416</v>
      </c>
      <c r="AN2130" s="2" t="s">
        <v>1936</v>
      </c>
      <c r="AO2130" s="2" t="s">
        <v>987</v>
      </c>
      <c r="AP2130" s="2">
        <v>11</v>
      </c>
      <c r="AQ2130" s="2" t="s">
        <v>82</v>
      </c>
      <c r="AR2130" s="2"/>
      <c r="AS2130" s="2"/>
      <c r="AT2130" s="2" t="s">
        <v>7343</v>
      </c>
      <c r="AU2130" s="2"/>
      <c r="AV2130" s="2"/>
      <c r="AW2130" s="2"/>
      <c r="AX2130" s="2"/>
      <c r="AY2130" s="2">
        <v>41</v>
      </c>
      <c r="AZ2130" s="2" t="s">
        <v>82</v>
      </c>
      <c r="BA2130" s="2">
        <v>41</v>
      </c>
      <c r="BB2130" s="2" t="s">
        <v>82</v>
      </c>
      <c r="BC2130" s="2">
        <v>41</v>
      </c>
      <c r="BD2130" s="2" t="s">
        <v>82</v>
      </c>
      <c r="BE2130" s="2">
        <v>41</v>
      </c>
      <c r="BF2130" s="2" t="s">
        <v>82</v>
      </c>
      <c r="BG2130" s="2"/>
      <c r="BH2130" s="2"/>
      <c r="BI2130" s="2"/>
      <c r="BJ2130" s="2">
        <v>241</v>
      </c>
      <c r="BK2130" s="2" t="s">
        <v>82</v>
      </c>
      <c r="BL2130" s="2"/>
      <c r="BM2130" s="2">
        <v>241</v>
      </c>
      <c r="BN2130" s="2" t="s">
        <v>82</v>
      </c>
      <c r="BO2130" s="2"/>
      <c r="BP2130" s="2">
        <v>241</v>
      </c>
      <c r="BQ2130" s="2" t="s">
        <v>82</v>
      </c>
      <c r="BR2130" s="2"/>
      <c r="BS2130" s="3">
        <v>40321</v>
      </c>
      <c r="BT2130" s="4">
        <v>0.80942129629629633</v>
      </c>
    </row>
    <row r="2131" spans="1:72" x14ac:dyDescent="0.25">
      <c r="A2131" s="2">
        <v>3105</v>
      </c>
      <c r="B2131" s="2">
        <v>2010</v>
      </c>
      <c r="C2131" s="2" t="s">
        <v>171</v>
      </c>
      <c r="D2131" s="2" t="s">
        <v>73</v>
      </c>
      <c r="E2131" s="2"/>
      <c r="F2131" s="2">
        <v>395</v>
      </c>
      <c r="G2131" s="2" t="s">
        <v>1076</v>
      </c>
      <c r="H2131" s="2">
        <v>7</v>
      </c>
      <c r="I2131" s="2" t="s">
        <v>476</v>
      </c>
      <c r="J2131" s="2">
        <v>242</v>
      </c>
      <c r="K2131" s="2" t="s">
        <v>1077</v>
      </c>
      <c r="L2131" s="2" t="s">
        <v>1078</v>
      </c>
      <c r="M2131" s="3">
        <v>40321</v>
      </c>
      <c r="N2131" s="2" t="s">
        <v>7344</v>
      </c>
      <c r="O2131" s="2"/>
      <c r="P2131" s="2"/>
      <c r="Q2131" s="2" t="str">
        <f>"277-E/10"</f>
        <v>277-E/10</v>
      </c>
      <c r="R2131" s="2"/>
      <c r="S2131" s="2" t="s">
        <v>391</v>
      </c>
      <c r="T2131" s="2">
        <v>1</v>
      </c>
      <c r="U2131" s="2" t="s">
        <v>79</v>
      </c>
      <c r="V2131" s="2">
        <v>1</v>
      </c>
      <c r="W2131" s="2" t="s">
        <v>80</v>
      </c>
      <c r="X2131" s="2">
        <v>1</v>
      </c>
      <c r="Y2131" s="2" t="s">
        <v>81</v>
      </c>
      <c r="Z2131" s="2">
        <v>1</v>
      </c>
      <c r="AA2131" s="2" t="s">
        <v>82</v>
      </c>
      <c r="AB2131" s="2">
        <v>1</v>
      </c>
      <c r="AC2131" s="2" t="s">
        <v>178</v>
      </c>
      <c r="AD2131" s="3">
        <v>40321</v>
      </c>
      <c r="AE2131" s="4">
        <v>0.58333333333333337</v>
      </c>
      <c r="AF2131" s="2"/>
      <c r="AG2131" s="2"/>
      <c r="AH2131" s="2">
        <v>2</v>
      </c>
      <c r="AI2131" s="2" t="s">
        <v>84</v>
      </c>
      <c r="AJ2131" s="2">
        <v>9</v>
      </c>
      <c r="AK2131" s="2" t="s">
        <v>103</v>
      </c>
      <c r="AL2131" s="2">
        <v>25</v>
      </c>
      <c r="AM2131" s="2" t="s">
        <v>3073</v>
      </c>
      <c r="AN2131" s="2" t="s">
        <v>179</v>
      </c>
      <c r="AO2131" s="2" t="s">
        <v>590</v>
      </c>
      <c r="AP2131" s="2">
        <v>11</v>
      </c>
      <c r="AQ2131" s="2" t="s">
        <v>82</v>
      </c>
      <c r="AR2131" s="2"/>
      <c r="AS2131" s="2"/>
      <c r="AT2131" s="2" t="s">
        <v>7345</v>
      </c>
      <c r="AU2131" s="2"/>
      <c r="AV2131" s="2">
        <v>1</v>
      </c>
      <c r="AW2131" s="2"/>
      <c r="AX2131" s="2"/>
      <c r="AY2131" s="2">
        <v>42</v>
      </c>
      <c r="AZ2131" s="2" t="s">
        <v>182</v>
      </c>
      <c r="BA2131" s="2">
        <v>41</v>
      </c>
      <c r="BB2131" s="2" t="s">
        <v>82</v>
      </c>
      <c r="BC2131" s="2">
        <v>41</v>
      </c>
      <c r="BD2131" s="2" t="s">
        <v>82</v>
      </c>
      <c r="BE2131" s="2">
        <v>13</v>
      </c>
      <c r="BF2131" s="2" t="s">
        <v>108</v>
      </c>
      <c r="BG2131" s="2" t="s">
        <v>674</v>
      </c>
      <c r="BH2131" s="2"/>
      <c r="BI2131" s="4">
        <v>0.625</v>
      </c>
      <c r="BJ2131" s="2">
        <v>13</v>
      </c>
      <c r="BK2131" s="2" t="s">
        <v>91</v>
      </c>
      <c r="BL2131" s="2" t="s">
        <v>360</v>
      </c>
      <c r="BM2131" s="2">
        <v>241</v>
      </c>
      <c r="BN2131" s="2" t="s">
        <v>82</v>
      </c>
      <c r="BO2131" s="2"/>
      <c r="BP2131" s="2">
        <v>73</v>
      </c>
      <c r="BQ2131" s="2" t="s">
        <v>186</v>
      </c>
      <c r="BR2131" s="2" t="s">
        <v>675</v>
      </c>
      <c r="BS2131" s="3">
        <v>40321</v>
      </c>
      <c r="BT2131" s="4">
        <v>0.81594907407407413</v>
      </c>
    </row>
    <row r="2132" spans="1:72" x14ac:dyDescent="0.25">
      <c r="A2132" s="2">
        <v>3106</v>
      </c>
      <c r="B2132" s="2">
        <v>2010</v>
      </c>
      <c r="C2132" s="2" t="s">
        <v>414</v>
      </c>
      <c r="D2132" s="2" t="s">
        <v>122</v>
      </c>
      <c r="E2132" s="2"/>
      <c r="F2132" s="2">
        <v>1</v>
      </c>
      <c r="G2132" s="2" t="s">
        <v>82</v>
      </c>
      <c r="H2132" s="2">
        <v>1</v>
      </c>
      <c r="I2132" s="2" t="s">
        <v>82</v>
      </c>
      <c r="J2132" s="2">
        <v>1</v>
      </c>
      <c r="K2132" s="2" t="s">
        <v>107</v>
      </c>
      <c r="L2132" s="2" t="s">
        <v>107</v>
      </c>
      <c r="M2132" s="3">
        <v>40321</v>
      </c>
      <c r="N2132" s="2"/>
      <c r="O2132" s="2"/>
      <c r="P2132" s="2"/>
      <c r="Q2132" s="2" t="str">
        <f>""</f>
        <v/>
      </c>
      <c r="R2132" s="2"/>
      <c r="S2132" s="2"/>
      <c r="T2132" s="2">
        <v>1</v>
      </c>
      <c r="U2132" s="2" t="s">
        <v>79</v>
      </c>
      <c r="V2132" s="2">
        <v>1</v>
      </c>
      <c r="W2132" s="2" t="s">
        <v>80</v>
      </c>
      <c r="X2132" s="2">
        <v>5</v>
      </c>
      <c r="Y2132" s="2" t="s">
        <v>82</v>
      </c>
      <c r="Z2132" s="2">
        <v>1</v>
      </c>
      <c r="AA2132" s="2" t="s">
        <v>82</v>
      </c>
      <c r="AB2132" s="2">
        <v>9</v>
      </c>
      <c r="AC2132" s="2" t="s">
        <v>124</v>
      </c>
      <c r="AD2132" s="3">
        <v>40321</v>
      </c>
      <c r="AE2132" s="4">
        <v>0.79166666666666663</v>
      </c>
      <c r="AF2132" s="2"/>
      <c r="AG2132" s="2"/>
      <c r="AH2132" s="2">
        <v>6</v>
      </c>
      <c r="AI2132" s="2" t="s">
        <v>197</v>
      </c>
      <c r="AJ2132" s="2">
        <v>61</v>
      </c>
      <c r="AK2132" s="2" t="s">
        <v>686</v>
      </c>
      <c r="AL2132" s="2">
        <v>18</v>
      </c>
      <c r="AM2132" s="2" t="s">
        <v>82</v>
      </c>
      <c r="AN2132" s="2" t="s">
        <v>7346</v>
      </c>
      <c r="AO2132" s="2" t="s">
        <v>7347</v>
      </c>
      <c r="AP2132" s="2">
        <v>11</v>
      </c>
      <c r="AQ2132" s="2" t="s">
        <v>82</v>
      </c>
      <c r="AR2132" s="2" t="s">
        <v>82</v>
      </c>
      <c r="AS2132" s="2" t="s">
        <v>82</v>
      </c>
      <c r="AT2132" s="2" t="s">
        <v>7348</v>
      </c>
      <c r="AU2132" s="2"/>
      <c r="AV2132" s="2"/>
      <c r="AW2132" s="2"/>
      <c r="AX2132" s="2"/>
      <c r="AY2132" s="2">
        <v>41</v>
      </c>
      <c r="AZ2132" s="2" t="s">
        <v>82</v>
      </c>
      <c r="BA2132" s="2">
        <v>41</v>
      </c>
      <c r="BB2132" s="2" t="s">
        <v>82</v>
      </c>
      <c r="BC2132" s="2">
        <v>41</v>
      </c>
      <c r="BD2132" s="2" t="s">
        <v>82</v>
      </c>
      <c r="BE2132" s="2">
        <v>47</v>
      </c>
      <c r="BF2132" s="2" t="s">
        <v>167</v>
      </c>
      <c r="BG2132" s="2">
        <v>2848</v>
      </c>
      <c r="BH2132" s="4">
        <v>0.75763888888888886</v>
      </c>
      <c r="BI2132" s="4">
        <v>0.8125</v>
      </c>
      <c r="BJ2132" s="2">
        <v>13</v>
      </c>
      <c r="BK2132" s="2" t="s">
        <v>91</v>
      </c>
      <c r="BL2132" s="2" t="s">
        <v>185</v>
      </c>
      <c r="BM2132" s="2">
        <v>241</v>
      </c>
      <c r="BN2132" s="2" t="s">
        <v>82</v>
      </c>
      <c r="BO2132" s="2" t="s">
        <v>82</v>
      </c>
      <c r="BP2132" s="2">
        <v>13</v>
      </c>
      <c r="BQ2132" s="2" t="s">
        <v>91</v>
      </c>
      <c r="BR2132" s="2" t="s">
        <v>690</v>
      </c>
      <c r="BS2132" s="3">
        <v>40321</v>
      </c>
      <c r="BT2132" s="4">
        <v>0.84920138888888896</v>
      </c>
    </row>
    <row r="2133" spans="1:72" x14ac:dyDescent="0.25">
      <c r="A2133" s="2">
        <v>3108</v>
      </c>
      <c r="B2133" s="2">
        <v>2010</v>
      </c>
      <c r="C2133" s="2" t="s">
        <v>377</v>
      </c>
      <c r="D2133" s="2" t="s">
        <v>73</v>
      </c>
      <c r="E2133" s="2"/>
      <c r="F2133" s="2">
        <v>426</v>
      </c>
      <c r="G2133" s="2" t="s">
        <v>378</v>
      </c>
      <c r="H2133" s="2">
        <v>22</v>
      </c>
      <c r="I2133" s="2" t="s">
        <v>75</v>
      </c>
      <c r="J2133" s="2">
        <v>311</v>
      </c>
      <c r="K2133" s="2" t="s">
        <v>379</v>
      </c>
      <c r="L2133" s="2" t="s">
        <v>380</v>
      </c>
      <c r="M2133" s="3">
        <v>40321</v>
      </c>
      <c r="N2133" s="2" t="s">
        <v>4427</v>
      </c>
      <c r="O2133" s="2"/>
      <c r="P2133" s="2"/>
      <c r="Q2133" s="2" t="str">
        <f>"091-C/10"</f>
        <v>091-C/10</v>
      </c>
      <c r="R2133" s="2" t="s">
        <v>3160</v>
      </c>
      <c r="S2133" s="2"/>
      <c r="T2133" s="2">
        <v>1</v>
      </c>
      <c r="U2133" s="2" t="s">
        <v>79</v>
      </c>
      <c r="V2133" s="2">
        <v>1</v>
      </c>
      <c r="W2133" s="2" t="s">
        <v>80</v>
      </c>
      <c r="X2133" s="2">
        <v>1</v>
      </c>
      <c r="Y2133" s="2" t="s">
        <v>81</v>
      </c>
      <c r="Z2133" s="2">
        <v>1</v>
      </c>
      <c r="AA2133" s="2" t="s">
        <v>82</v>
      </c>
      <c r="AB2133" s="2">
        <v>9</v>
      </c>
      <c r="AC2133" s="2" t="s">
        <v>124</v>
      </c>
      <c r="AD2133" s="3">
        <v>40321</v>
      </c>
      <c r="AE2133" s="4">
        <v>0.89583333333333337</v>
      </c>
      <c r="AF2133" s="2"/>
      <c r="AG2133" s="2"/>
      <c r="AH2133" s="2">
        <v>2</v>
      </c>
      <c r="AI2133" s="2" t="s">
        <v>84</v>
      </c>
      <c r="AJ2133" s="2">
        <v>9</v>
      </c>
      <c r="AK2133" s="2" t="s">
        <v>103</v>
      </c>
      <c r="AL2133" s="2">
        <v>13</v>
      </c>
      <c r="AM2133" s="2" t="s">
        <v>117</v>
      </c>
      <c r="AN2133" s="2"/>
      <c r="AO2133" s="2" t="s">
        <v>7349</v>
      </c>
      <c r="AP2133" s="2">
        <v>11</v>
      </c>
      <c r="AQ2133" s="2" t="s">
        <v>82</v>
      </c>
      <c r="AR2133" s="2"/>
      <c r="AS2133" s="2"/>
      <c r="AT2133" s="2" t="s">
        <v>7350</v>
      </c>
      <c r="AU2133" s="2"/>
      <c r="AV2133" s="2"/>
      <c r="AW2133" s="2"/>
      <c r="AX2133" s="2"/>
      <c r="AY2133" s="2">
        <v>41</v>
      </c>
      <c r="AZ2133" s="2" t="s">
        <v>82</v>
      </c>
      <c r="BA2133" s="2">
        <v>41</v>
      </c>
      <c r="BB2133" s="2" t="s">
        <v>82</v>
      </c>
      <c r="BC2133" s="2">
        <v>41</v>
      </c>
      <c r="BD2133" s="2" t="s">
        <v>82</v>
      </c>
      <c r="BE2133" s="2">
        <v>41</v>
      </c>
      <c r="BF2133" s="2" t="s">
        <v>82</v>
      </c>
      <c r="BG2133" s="2"/>
      <c r="BH2133" s="2"/>
      <c r="BI2133" s="2"/>
      <c r="BJ2133" s="2">
        <v>241</v>
      </c>
      <c r="BK2133" s="2" t="s">
        <v>82</v>
      </c>
      <c r="BL2133" s="2"/>
      <c r="BM2133" s="2">
        <v>241</v>
      </c>
      <c r="BN2133" s="2" t="s">
        <v>82</v>
      </c>
      <c r="BO2133" s="2"/>
      <c r="BP2133" s="2">
        <v>241</v>
      </c>
      <c r="BQ2133" s="2" t="s">
        <v>82</v>
      </c>
      <c r="BR2133" s="2"/>
      <c r="BS2133" s="3">
        <v>40321</v>
      </c>
      <c r="BT2133" s="4">
        <v>0.92765046296296294</v>
      </c>
    </row>
    <row r="2134" spans="1:72" x14ac:dyDescent="0.25">
      <c r="A2134" s="2">
        <v>3109</v>
      </c>
      <c r="B2134" s="2">
        <v>2010</v>
      </c>
      <c r="C2134" s="2" t="s">
        <v>255</v>
      </c>
      <c r="D2134" s="2" t="s">
        <v>73</v>
      </c>
      <c r="E2134" s="2"/>
      <c r="F2134" s="2">
        <v>35</v>
      </c>
      <c r="G2134" s="2" t="s">
        <v>2057</v>
      </c>
      <c r="H2134" s="2">
        <v>112</v>
      </c>
      <c r="I2134" s="2" t="s">
        <v>7351</v>
      </c>
      <c r="J2134" s="2">
        <v>409</v>
      </c>
      <c r="K2134" s="2" t="s">
        <v>3638</v>
      </c>
      <c r="L2134" s="2" t="s">
        <v>3639</v>
      </c>
      <c r="M2134" s="3">
        <v>40321</v>
      </c>
      <c r="N2134" s="2" t="s">
        <v>7352</v>
      </c>
      <c r="O2134" s="2" t="s">
        <v>107</v>
      </c>
      <c r="P2134" s="2" t="s">
        <v>107</v>
      </c>
      <c r="Q2134" s="2" t="str">
        <f>"24/10"</f>
        <v>24/10</v>
      </c>
      <c r="R2134" s="2" t="s">
        <v>6961</v>
      </c>
      <c r="S2134" s="2" t="s">
        <v>6961</v>
      </c>
      <c r="T2134" s="2">
        <v>1</v>
      </c>
      <c r="U2134" s="2" t="s">
        <v>79</v>
      </c>
      <c r="V2134" s="2">
        <v>1</v>
      </c>
      <c r="W2134" s="2" t="s">
        <v>80</v>
      </c>
      <c r="X2134" s="2">
        <v>1</v>
      </c>
      <c r="Y2134" s="2" t="s">
        <v>81</v>
      </c>
      <c r="Z2134" s="2">
        <v>1</v>
      </c>
      <c r="AA2134" s="2" t="s">
        <v>82</v>
      </c>
      <c r="AB2134" s="2">
        <v>9</v>
      </c>
      <c r="AC2134" s="2" t="s">
        <v>124</v>
      </c>
      <c r="AD2134" s="3">
        <v>40321</v>
      </c>
      <c r="AE2134" s="4">
        <v>0.84027777777777779</v>
      </c>
      <c r="AF2134" s="2"/>
      <c r="AG2134" s="2"/>
      <c r="AH2134" s="2">
        <v>3</v>
      </c>
      <c r="AI2134" s="2" t="s">
        <v>214</v>
      </c>
      <c r="AJ2134" s="2">
        <v>17</v>
      </c>
      <c r="AK2134" s="2" t="s">
        <v>309</v>
      </c>
      <c r="AL2134" s="2">
        <v>9</v>
      </c>
      <c r="AM2134" s="2" t="s">
        <v>259</v>
      </c>
      <c r="AN2134" s="2" t="s">
        <v>7353</v>
      </c>
      <c r="AO2134" s="2"/>
      <c r="AP2134" s="2">
        <v>11</v>
      </c>
      <c r="AQ2134" s="2" t="s">
        <v>82</v>
      </c>
      <c r="AR2134" s="2"/>
      <c r="AS2134" s="2"/>
      <c r="AT2134" s="2" t="s">
        <v>7354</v>
      </c>
      <c r="AU2134" s="2"/>
      <c r="AV2134" s="2"/>
      <c r="AW2134" s="2"/>
      <c r="AX2134" s="2"/>
      <c r="AY2134" s="2">
        <v>44</v>
      </c>
      <c r="AZ2134" s="2" t="s">
        <v>262</v>
      </c>
      <c r="BA2134" s="2">
        <v>41</v>
      </c>
      <c r="BB2134" s="2" t="s">
        <v>82</v>
      </c>
      <c r="BC2134" s="2">
        <v>1</v>
      </c>
      <c r="BD2134" s="2" t="s">
        <v>107</v>
      </c>
      <c r="BE2134" s="2">
        <v>41</v>
      </c>
      <c r="BF2134" s="2" t="s">
        <v>82</v>
      </c>
      <c r="BG2134" s="2"/>
      <c r="BH2134" s="2"/>
      <c r="BI2134" s="2"/>
      <c r="BJ2134" s="2">
        <v>241</v>
      </c>
      <c r="BK2134" s="2" t="s">
        <v>82</v>
      </c>
      <c r="BL2134" s="2"/>
      <c r="BM2134" s="2">
        <v>241</v>
      </c>
      <c r="BN2134" s="2" t="s">
        <v>82</v>
      </c>
      <c r="BO2134" s="2"/>
      <c r="BP2134" s="2">
        <v>241</v>
      </c>
      <c r="BQ2134" s="2" t="s">
        <v>82</v>
      </c>
      <c r="BR2134" s="2"/>
      <c r="BS2134" s="3">
        <v>40321</v>
      </c>
      <c r="BT2134" s="4">
        <v>0.96550925925925923</v>
      </c>
    </row>
    <row r="2135" spans="1:72" x14ac:dyDescent="0.25">
      <c r="A2135" s="2">
        <v>3110</v>
      </c>
      <c r="B2135" s="2">
        <v>2010</v>
      </c>
      <c r="C2135" s="2" t="s">
        <v>171</v>
      </c>
      <c r="D2135" s="2" t="s">
        <v>73</v>
      </c>
      <c r="E2135" s="2"/>
      <c r="F2135" s="2">
        <v>395</v>
      </c>
      <c r="G2135" s="2" t="s">
        <v>1076</v>
      </c>
      <c r="H2135" s="2">
        <v>6</v>
      </c>
      <c r="I2135" s="2" t="s">
        <v>1088</v>
      </c>
      <c r="J2135" s="2">
        <v>242</v>
      </c>
      <c r="K2135" s="2" t="s">
        <v>1077</v>
      </c>
      <c r="L2135" s="2" t="s">
        <v>1078</v>
      </c>
      <c r="M2135" s="3">
        <v>40322</v>
      </c>
      <c r="N2135" s="2" t="s">
        <v>7163</v>
      </c>
      <c r="O2135" s="2" t="s">
        <v>82</v>
      </c>
      <c r="P2135" s="2" t="s">
        <v>82</v>
      </c>
      <c r="Q2135" s="2" t="str">
        <f>"278-E-10"</f>
        <v>278-E-10</v>
      </c>
      <c r="R2135" s="2" t="s">
        <v>82</v>
      </c>
      <c r="S2135" s="2" t="s">
        <v>391</v>
      </c>
      <c r="T2135" s="2">
        <v>1</v>
      </c>
      <c r="U2135" s="2" t="s">
        <v>79</v>
      </c>
      <c r="V2135" s="2">
        <v>1</v>
      </c>
      <c r="W2135" s="2" t="s">
        <v>80</v>
      </c>
      <c r="X2135" s="2">
        <v>1</v>
      </c>
      <c r="Y2135" s="2" t="s">
        <v>81</v>
      </c>
      <c r="Z2135" s="2">
        <v>1</v>
      </c>
      <c r="AA2135" s="2" t="s">
        <v>82</v>
      </c>
      <c r="AB2135" s="2">
        <v>1</v>
      </c>
      <c r="AC2135" s="2" t="s">
        <v>178</v>
      </c>
      <c r="AD2135" s="3">
        <v>40321</v>
      </c>
      <c r="AE2135" s="4">
        <v>0.84375</v>
      </c>
      <c r="AF2135" s="2"/>
      <c r="AG2135" s="2"/>
      <c r="AH2135" s="2">
        <v>2</v>
      </c>
      <c r="AI2135" s="2" t="s">
        <v>84</v>
      </c>
      <c r="AJ2135" s="2">
        <v>9</v>
      </c>
      <c r="AK2135" s="2" t="s">
        <v>103</v>
      </c>
      <c r="AL2135" s="2">
        <v>11</v>
      </c>
      <c r="AM2135" s="2" t="s">
        <v>137</v>
      </c>
      <c r="AN2135" s="2" t="s">
        <v>7355</v>
      </c>
      <c r="AO2135" s="2" t="s">
        <v>590</v>
      </c>
      <c r="AP2135" s="2">
        <v>11</v>
      </c>
      <c r="AQ2135" s="2" t="s">
        <v>82</v>
      </c>
      <c r="AR2135" s="2"/>
      <c r="AS2135" s="2"/>
      <c r="AT2135" s="2" t="s">
        <v>7356</v>
      </c>
      <c r="AU2135" s="2"/>
      <c r="AV2135" s="2">
        <v>1</v>
      </c>
      <c r="AW2135" s="2"/>
      <c r="AX2135" s="2"/>
      <c r="AY2135" s="2">
        <v>41</v>
      </c>
      <c r="AZ2135" s="2" t="s">
        <v>82</v>
      </c>
      <c r="BA2135" s="2">
        <v>41</v>
      </c>
      <c r="BB2135" s="2" t="s">
        <v>82</v>
      </c>
      <c r="BC2135" s="2">
        <v>41</v>
      </c>
      <c r="BD2135" s="2" t="s">
        <v>82</v>
      </c>
      <c r="BE2135" s="2">
        <v>13</v>
      </c>
      <c r="BF2135" s="2" t="s">
        <v>108</v>
      </c>
      <c r="BG2135" s="2" t="s">
        <v>842</v>
      </c>
      <c r="BH2135" s="2"/>
      <c r="BI2135" s="4">
        <v>0.88194444444444453</v>
      </c>
      <c r="BJ2135" s="2">
        <v>13</v>
      </c>
      <c r="BK2135" s="2" t="s">
        <v>91</v>
      </c>
      <c r="BL2135" s="2" t="s">
        <v>360</v>
      </c>
      <c r="BM2135" s="2">
        <v>73</v>
      </c>
      <c r="BN2135" s="2" t="s">
        <v>186</v>
      </c>
      <c r="BO2135" s="2" t="s">
        <v>187</v>
      </c>
      <c r="BP2135" s="2">
        <v>73</v>
      </c>
      <c r="BQ2135" s="2" t="s">
        <v>186</v>
      </c>
      <c r="BR2135" s="2" t="s">
        <v>7357</v>
      </c>
      <c r="BS2135" s="3">
        <v>40322</v>
      </c>
      <c r="BT2135" s="4">
        <v>3.7291666666666667E-2</v>
      </c>
    </row>
    <row r="2136" spans="1:72" x14ac:dyDescent="0.25">
      <c r="A2136" s="2">
        <v>3111</v>
      </c>
      <c r="B2136" s="2">
        <v>2010</v>
      </c>
      <c r="C2136" s="2" t="s">
        <v>1172</v>
      </c>
      <c r="D2136" s="2" t="s">
        <v>73</v>
      </c>
      <c r="E2136" s="2"/>
      <c r="F2136" s="2">
        <v>151</v>
      </c>
      <c r="G2136" s="2" t="s">
        <v>314</v>
      </c>
      <c r="H2136" s="2">
        <v>2</v>
      </c>
      <c r="I2136" s="2" t="s">
        <v>267</v>
      </c>
      <c r="J2136" s="2">
        <v>163</v>
      </c>
      <c r="K2136" s="2" t="s">
        <v>316</v>
      </c>
      <c r="L2136" s="2" t="s">
        <v>317</v>
      </c>
      <c r="M2136" s="3">
        <v>40322</v>
      </c>
      <c r="N2136" s="2" t="s">
        <v>7143</v>
      </c>
      <c r="O2136" s="2"/>
      <c r="P2136" s="2"/>
      <c r="Q2136" s="2" t="str">
        <f>"186-A/10"</f>
        <v>186-A/10</v>
      </c>
      <c r="R2136" s="2" t="s">
        <v>7358</v>
      </c>
      <c r="S2136" s="2"/>
      <c r="T2136" s="2">
        <v>1</v>
      </c>
      <c r="U2136" s="2" t="s">
        <v>79</v>
      </c>
      <c r="V2136" s="2">
        <v>1</v>
      </c>
      <c r="W2136" s="2" t="s">
        <v>80</v>
      </c>
      <c r="X2136" s="2">
        <v>3</v>
      </c>
      <c r="Y2136" s="2" t="s">
        <v>698</v>
      </c>
      <c r="Z2136" s="2">
        <v>7</v>
      </c>
      <c r="AA2136" s="2" t="s">
        <v>1462</v>
      </c>
      <c r="AB2136" s="2">
        <v>9</v>
      </c>
      <c r="AC2136" s="2" t="s">
        <v>124</v>
      </c>
      <c r="AD2136" s="3">
        <v>40321</v>
      </c>
      <c r="AE2136" s="4">
        <v>0.76388888888888884</v>
      </c>
      <c r="AF2136" s="2"/>
      <c r="AG2136" s="2"/>
      <c r="AH2136" s="2">
        <v>2</v>
      </c>
      <c r="AI2136" s="2" t="s">
        <v>84</v>
      </c>
      <c r="AJ2136" s="2">
        <v>12</v>
      </c>
      <c r="AK2136" s="2" t="s">
        <v>85</v>
      </c>
      <c r="AL2136" s="2">
        <v>10</v>
      </c>
      <c r="AM2136" s="2" t="s">
        <v>200</v>
      </c>
      <c r="AN2136" s="2" t="s">
        <v>7359</v>
      </c>
      <c r="AO2136" s="2" t="s">
        <v>5433</v>
      </c>
      <c r="AP2136" s="2">
        <v>11</v>
      </c>
      <c r="AQ2136" s="2" t="s">
        <v>82</v>
      </c>
      <c r="AR2136" s="2"/>
      <c r="AS2136" s="2"/>
      <c r="AT2136" s="2" t="s">
        <v>7360</v>
      </c>
      <c r="AU2136" s="2"/>
      <c r="AV2136" s="2"/>
      <c r="AW2136" s="2"/>
      <c r="AX2136" s="2"/>
      <c r="AY2136" s="2">
        <v>91</v>
      </c>
      <c r="AZ2136" s="2" t="s">
        <v>7361</v>
      </c>
      <c r="BA2136" s="2">
        <v>41</v>
      </c>
      <c r="BB2136" s="2" t="s">
        <v>82</v>
      </c>
      <c r="BC2136" s="2">
        <v>41</v>
      </c>
      <c r="BD2136" s="2" t="s">
        <v>82</v>
      </c>
      <c r="BE2136" s="2">
        <v>55</v>
      </c>
      <c r="BF2136" s="2" t="s">
        <v>7361</v>
      </c>
      <c r="BG2136" s="2"/>
      <c r="BH2136" s="4">
        <v>0.75347222222222221</v>
      </c>
      <c r="BI2136" s="2"/>
      <c r="BJ2136" s="2">
        <v>13</v>
      </c>
      <c r="BK2136" s="2" t="s">
        <v>91</v>
      </c>
      <c r="BL2136" s="2" t="s">
        <v>7362</v>
      </c>
      <c r="BM2136" s="2">
        <v>241</v>
      </c>
      <c r="BN2136" s="2" t="s">
        <v>82</v>
      </c>
      <c r="BO2136" s="2"/>
      <c r="BP2136" s="2">
        <v>13</v>
      </c>
      <c r="BQ2136" s="2" t="s">
        <v>91</v>
      </c>
      <c r="BR2136" s="2" t="s">
        <v>185</v>
      </c>
      <c r="BS2136" s="3">
        <v>40322</v>
      </c>
      <c r="BT2136" s="4">
        <v>0.16927083333333334</v>
      </c>
    </row>
    <row r="2137" spans="1:72" x14ac:dyDescent="0.25">
      <c r="A2137" s="2">
        <v>3112</v>
      </c>
      <c r="B2137" s="2">
        <v>2010</v>
      </c>
      <c r="C2137" s="2" t="s">
        <v>171</v>
      </c>
      <c r="D2137" s="2" t="s">
        <v>122</v>
      </c>
      <c r="E2137" s="2" t="s">
        <v>7363</v>
      </c>
      <c r="F2137" s="2">
        <v>395</v>
      </c>
      <c r="G2137" s="2" t="s">
        <v>1076</v>
      </c>
      <c r="H2137" s="2">
        <v>7</v>
      </c>
      <c r="I2137" s="2" t="s">
        <v>476</v>
      </c>
      <c r="J2137" s="2">
        <v>242</v>
      </c>
      <c r="K2137" s="2" t="s">
        <v>1077</v>
      </c>
      <c r="L2137" s="2" t="s">
        <v>1078</v>
      </c>
      <c r="M2137" s="3">
        <v>40322</v>
      </c>
      <c r="N2137" s="2" t="s">
        <v>7344</v>
      </c>
      <c r="O2137" s="2"/>
      <c r="P2137" s="2"/>
      <c r="Q2137" s="2" t="str">
        <f>"277-E/10"</f>
        <v>277-E/10</v>
      </c>
      <c r="R2137" s="2" t="s">
        <v>391</v>
      </c>
      <c r="S2137" s="2"/>
      <c r="T2137" s="2">
        <v>1</v>
      </c>
      <c r="U2137" s="2" t="s">
        <v>79</v>
      </c>
      <c r="V2137" s="2">
        <v>1</v>
      </c>
      <c r="W2137" s="2" t="s">
        <v>80</v>
      </c>
      <c r="X2137" s="2">
        <v>1</v>
      </c>
      <c r="Y2137" s="2" t="s">
        <v>81</v>
      </c>
      <c r="Z2137" s="2">
        <v>10</v>
      </c>
      <c r="AA2137" s="2" t="s">
        <v>236</v>
      </c>
      <c r="AB2137" s="2">
        <v>1</v>
      </c>
      <c r="AC2137" s="2" t="s">
        <v>178</v>
      </c>
      <c r="AD2137" s="3">
        <v>40321</v>
      </c>
      <c r="AE2137" s="4">
        <v>0.60416666666666663</v>
      </c>
      <c r="AF2137" s="2"/>
      <c r="AG2137" s="2"/>
      <c r="AH2137" s="2">
        <v>2</v>
      </c>
      <c r="AI2137" s="2" t="s">
        <v>84</v>
      </c>
      <c r="AJ2137" s="2">
        <v>9</v>
      </c>
      <c r="AK2137" s="2" t="s">
        <v>103</v>
      </c>
      <c r="AL2137" s="2">
        <v>15</v>
      </c>
      <c r="AM2137" s="2" t="s">
        <v>104</v>
      </c>
      <c r="AN2137" s="2"/>
      <c r="AO2137" s="2" t="s">
        <v>179</v>
      </c>
      <c r="AP2137" s="2">
        <v>11</v>
      </c>
      <c r="AQ2137" s="2" t="s">
        <v>82</v>
      </c>
      <c r="AR2137" s="2"/>
      <c r="AS2137" s="2"/>
      <c r="AT2137" s="2" t="s">
        <v>7364</v>
      </c>
      <c r="AU2137" s="2"/>
      <c r="AV2137" s="2">
        <v>1</v>
      </c>
      <c r="AW2137" s="2"/>
      <c r="AX2137" s="2"/>
      <c r="AY2137" s="2">
        <v>42</v>
      </c>
      <c r="AZ2137" s="2" t="s">
        <v>182</v>
      </c>
      <c r="BA2137" s="2">
        <v>70</v>
      </c>
      <c r="BB2137" s="2" t="s">
        <v>236</v>
      </c>
      <c r="BC2137" s="2">
        <v>41</v>
      </c>
      <c r="BD2137" s="2" t="s">
        <v>82</v>
      </c>
      <c r="BE2137" s="2">
        <v>13</v>
      </c>
      <c r="BF2137" s="2" t="s">
        <v>108</v>
      </c>
      <c r="BG2137" s="2">
        <v>1160</v>
      </c>
      <c r="BH2137" s="2"/>
      <c r="BI2137" s="2"/>
      <c r="BJ2137" s="2">
        <v>13</v>
      </c>
      <c r="BK2137" s="2" t="s">
        <v>91</v>
      </c>
      <c r="BL2137" s="2" t="s">
        <v>185</v>
      </c>
      <c r="BM2137" s="2">
        <v>241</v>
      </c>
      <c r="BN2137" s="2" t="s">
        <v>82</v>
      </c>
      <c r="BO2137" s="2"/>
      <c r="BP2137" s="2">
        <v>73</v>
      </c>
      <c r="BQ2137" s="2" t="s">
        <v>186</v>
      </c>
      <c r="BR2137" s="2"/>
      <c r="BS2137" s="3">
        <v>40322</v>
      </c>
      <c r="BT2137" s="4">
        <v>0.32207175925925924</v>
      </c>
    </row>
    <row r="2138" spans="1:72" x14ac:dyDescent="0.25">
      <c r="A2138" s="2">
        <v>3113</v>
      </c>
      <c r="B2138" s="2">
        <v>2010</v>
      </c>
      <c r="C2138" s="2" t="s">
        <v>171</v>
      </c>
      <c r="D2138" s="2" t="s">
        <v>122</v>
      </c>
      <c r="E2138" s="2" t="s">
        <v>7365</v>
      </c>
      <c r="F2138" s="2">
        <v>395</v>
      </c>
      <c r="G2138" s="2" t="s">
        <v>1076</v>
      </c>
      <c r="H2138" s="2">
        <v>6</v>
      </c>
      <c r="I2138" s="2" t="s">
        <v>1088</v>
      </c>
      <c r="J2138" s="2">
        <v>242</v>
      </c>
      <c r="K2138" s="2" t="s">
        <v>1077</v>
      </c>
      <c r="L2138" s="2" t="s">
        <v>1078</v>
      </c>
      <c r="M2138" s="3">
        <v>40322</v>
      </c>
      <c r="N2138" s="2" t="s">
        <v>7163</v>
      </c>
      <c r="O2138" s="2" t="s">
        <v>82</v>
      </c>
      <c r="P2138" s="2" t="s">
        <v>82</v>
      </c>
      <c r="Q2138" s="2" t="str">
        <f>"278-E-10"</f>
        <v>278-E-10</v>
      </c>
      <c r="R2138" s="2" t="s">
        <v>391</v>
      </c>
      <c r="S2138" s="2" t="s">
        <v>82</v>
      </c>
      <c r="T2138" s="2">
        <v>1</v>
      </c>
      <c r="U2138" s="2" t="s">
        <v>79</v>
      </c>
      <c r="V2138" s="2">
        <v>1</v>
      </c>
      <c r="W2138" s="2" t="s">
        <v>80</v>
      </c>
      <c r="X2138" s="2">
        <v>1</v>
      </c>
      <c r="Y2138" s="2" t="s">
        <v>81</v>
      </c>
      <c r="Z2138" s="2">
        <v>1</v>
      </c>
      <c r="AA2138" s="2" t="s">
        <v>82</v>
      </c>
      <c r="AB2138" s="2">
        <v>1</v>
      </c>
      <c r="AC2138" s="2" t="s">
        <v>178</v>
      </c>
      <c r="AD2138" s="3">
        <v>40321</v>
      </c>
      <c r="AE2138" s="4">
        <v>0.84375</v>
      </c>
      <c r="AF2138" s="2"/>
      <c r="AG2138" s="2"/>
      <c r="AH2138" s="2">
        <v>2</v>
      </c>
      <c r="AI2138" s="2" t="s">
        <v>84</v>
      </c>
      <c r="AJ2138" s="2">
        <v>9</v>
      </c>
      <c r="AK2138" s="2" t="s">
        <v>103</v>
      </c>
      <c r="AL2138" s="2">
        <v>11</v>
      </c>
      <c r="AM2138" s="2" t="s">
        <v>137</v>
      </c>
      <c r="AN2138" s="2" t="s">
        <v>590</v>
      </c>
      <c r="AO2138" s="2"/>
      <c r="AP2138" s="2">
        <v>11</v>
      </c>
      <c r="AQ2138" s="2" t="s">
        <v>82</v>
      </c>
      <c r="AR2138" s="2"/>
      <c r="AS2138" s="2"/>
      <c r="AT2138" s="2" t="s">
        <v>7366</v>
      </c>
      <c r="AU2138" s="2">
        <v>1</v>
      </c>
      <c r="AV2138" s="2"/>
      <c r="AW2138" s="2"/>
      <c r="AX2138" s="2"/>
      <c r="AY2138" s="2">
        <v>41</v>
      </c>
      <c r="AZ2138" s="2" t="s">
        <v>82</v>
      </c>
      <c r="BA2138" s="2">
        <v>41</v>
      </c>
      <c r="BB2138" s="2" t="s">
        <v>82</v>
      </c>
      <c r="BC2138" s="2">
        <v>41</v>
      </c>
      <c r="BD2138" s="2" t="s">
        <v>82</v>
      </c>
      <c r="BE2138" s="2">
        <v>13</v>
      </c>
      <c r="BF2138" s="2" t="s">
        <v>108</v>
      </c>
      <c r="BG2138" s="2" t="s">
        <v>842</v>
      </c>
      <c r="BH2138" s="2"/>
      <c r="BI2138" s="4">
        <v>0.88194444444444453</v>
      </c>
      <c r="BJ2138" s="2">
        <v>13</v>
      </c>
      <c r="BK2138" s="2" t="s">
        <v>91</v>
      </c>
      <c r="BL2138" s="2" t="s">
        <v>185</v>
      </c>
      <c r="BM2138" s="2">
        <v>241</v>
      </c>
      <c r="BN2138" s="2" t="s">
        <v>82</v>
      </c>
      <c r="BO2138" s="2"/>
      <c r="BP2138" s="2">
        <v>73</v>
      </c>
      <c r="BQ2138" s="2" t="s">
        <v>186</v>
      </c>
      <c r="BR2138" s="2" t="s">
        <v>187</v>
      </c>
      <c r="BS2138" s="3">
        <v>40322</v>
      </c>
      <c r="BT2138" s="4">
        <v>0.36508101851851849</v>
      </c>
    </row>
    <row r="2139" spans="1:72" x14ac:dyDescent="0.25">
      <c r="A2139" s="2">
        <v>3114</v>
      </c>
      <c r="B2139" s="2">
        <v>2010</v>
      </c>
      <c r="C2139" s="2" t="s">
        <v>72</v>
      </c>
      <c r="D2139" s="2" t="s">
        <v>73</v>
      </c>
      <c r="E2139" s="2"/>
      <c r="F2139" s="2">
        <v>111</v>
      </c>
      <c r="G2139" s="2" t="s">
        <v>2339</v>
      </c>
      <c r="H2139" s="2">
        <v>108</v>
      </c>
      <c r="I2139" s="2" t="s">
        <v>1096</v>
      </c>
      <c r="J2139" s="2">
        <v>1</v>
      </c>
      <c r="K2139" s="2" t="s">
        <v>107</v>
      </c>
      <c r="L2139" s="2" t="s">
        <v>107</v>
      </c>
      <c r="M2139" s="3">
        <v>40322</v>
      </c>
      <c r="N2139" s="2" t="s">
        <v>7367</v>
      </c>
      <c r="O2139" s="2" t="s">
        <v>7368</v>
      </c>
      <c r="P2139" s="2">
        <v>25440</v>
      </c>
      <c r="Q2139" s="2" t="str">
        <f>"003/2010"</f>
        <v>003/2010</v>
      </c>
      <c r="R2139" s="2"/>
      <c r="S2139" s="2" t="s">
        <v>82</v>
      </c>
      <c r="T2139" s="2">
        <v>1</v>
      </c>
      <c r="U2139" s="2" t="s">
        <v>79</v>
      </c>
      <c r="V2139" s="2">
        <v>1</v>
      </c>
      <c r="W2139" s="2" t="s">
        <v>80</v>
      </c>
      <c r="X2139" s="2">
        <v>12</v>
      </c>
      <c r="Y2139" s="2" t="s">
        <v>148</v>
      </c>
      <c r="Z2139" s="2">
        <v>1</v>
      </c>
      <c r="AA2139" s="2" t="s">
        <v>82</v>
      </c>
      <c r="AB2139" s="2">
        <v>6</v>
      </c>
      <c r="AC2139" s="2" t="s">
        <v>83</v>
      </c>
      <c r="AD2139" s="2"/>
      <c r="AE2139" s="2"/>
      <c r="AF2139" s="3">
        <v>40322</v>
      </c>
      <c r="AG2139" s="4">
        <v>0.40625</v>
      </c>
      <c r="AH2139" s="2">
        <v>6</v>
      </c>
      <c r="AI2139" s="2" t="s">
        <v>197</v>
      </c>
      <c r="AJ2139" s="2">
        <v>57</v>
      </c>
      <c r="AK2139" s="2" t="s">
        <v>2344</v>
      </c>
      <c r="AL2139" s="2">
        <v>12</v>
      </c>
      <c r="AM2139" s="2" t="s">
        <v>86</v>
      </c>
      <c r="AN2139" s="2"/>
      <c r="AO2139" s="2" t="s">
        <v>7369</v>
      </c>
      <c r="AP2139" s="2">
        <v>11</v>
      </c>
      <c r="AQ2139" s="2" t="s">
        <v>82</v>
      </c>
      <c r="AR2139" s="2" t="s">
        <v>82</v>
      </c>
      <c r="AS2139" s="2" t="s">
        <v>82</v>
      </c>
      <c r="AT2139" s="2" t="s">
        <v>7370</v>
      </c>
      <c r="AU2139" s="2"/>
      <c r="AV2139" s="2"/>
      <c r="AW2139" s="2"/>
      <c r="AX2139" s="2"/>
      <c r="AY2139" s="2">
        <v>129</v>
      </c>
      <c r="AZ2139" s="2" t="s">
        <v>322</v>
      </c>
      <c r="BA2139" s="2">
        <v>41</v>
      </c>
      <c r="BB2139" s="2" t="s">
        <v>82</v>
      </c>
      <c r="BC2139" s="2">
        <v>1</v>
      </c>
      <c r="BD2139" s="2" t="s">
        <v>107</v>
      </c>
      <c r="BE2139" s="2">
        <v>41</v>
      </c>
      <c r="BF2139" s="2" t="s">
        <v>82</v>
      </c>
      <c r="BG2139" s="2"/>
      <c r="BH2139" s="2"/>
      <c r="BI2139" s="2"/>
      <c r="BJ2139" s="2">
        <v>241</v>
      </c>
      <c r="BK2139" s="2" t="s">
        <v>82</v>
      </c>
      <c r="BL2139" s="2"/>
      <c r="BM2139" s="2">
        <v>241</v>
      </c>
      <c r="BN2139" s="2" t="s">
        <v>82</v>
      </c>
      <c r="BO2139" s="2"/>
      <c r="BP2139" s="2">
        <v>241</v>
      </c>
      <c r="BQ2139" s="2" t="s">
        <v>82</v>
      </c>
      <c r="BR2139" s="2"/>
      <c r="BS2139" s="3">
        <v>40322</v>
      </c>
      <c r="BT2139" s="4">
        <v>0.52648148148148144</v>
      </c>
    </row>
    <row r="2140" spans="1:72" x14ac:dyDescent="0.25">
      <c r="A2140" s="2">
        <v>3115</v>
      </c>
      <c r="B2140" s="2">
        <v>2010</v>
      </c>
      <c r="C2140" s="2" t="s">
        <v>72</v>
      </c>
      <c r="D2140" s="2" t="s">
        <v>73</v>
      </c>
      <c r="E2140" s="2"/>
      <c r="F2140" s="2">
        <v>626</v>
      </c>
      <c r="G2140" s="2" t="s">
        <v>7371</v>
      </c>
      <c r="H2140" s="2">
        <v>108</v>
      </c>
      <c r="I2140" s="2" t="s">
        <v>1096</v>
      </c>
      <c r="J2140" s="2">
        <v>562</v>
      </c>
      <c r="K2140" s="2" t="s">
        <v>7372</v>
      </c>
      <c r="L2140" s="2" t="s">
        <v>7373</v>
      </c>
      <c r="M2140" s="3">
        <v>40322</v>
      </c>
      <c r="N2140" s="2" t="s">
        <v>7374</v>
      </c>
      <c r="O2140" s="2"/>
      <c r="P2140" s="2"/>
      <c r="Q2140" s="2" t="str">
        <f>"187-A/10"</f>
        <v>187-A/10</v>
      </c>
      <c r="R2140" s="2" t="s">
        <v>601</v>
      </c>
      <c r="S2140" s="2"/>
      <c r="T2140" s="2">
        <v>1</v>
      </c>
      <c r="U2140" s="2" t="s">
        <v>79</v>
      </c>
      <c r="V2140" s="2">
        <v>1</v>
      </c>
      <c r="W2140" s="2" t="s">
        <v>80</v>
      </c>
      <c r="X2140" s="2">
        <v>12</v>
      </c>
      <c r="Y2140" s="2" t="s">
        <v>148</v>
      </c>
      <c r="Z2140" s="2">
        <v>1</v>
      </c>
      <c r="AA2140" s="2" t="s">
        <v>82</v>
      </c>
      <c r="AB2140" s="2">
        <v>6</v>
      </c>
      <c r="AC2140" s="2" t="s">
        <v>83</v>
      </c>
      <c r="AD2140" s="3">
        <v>40322</v>
      </c>
      <c r="AE2140" s="4">
        <v>0.5625</v>
      </c>
      <c r="AF2140" s="3">
        <v>40322</v>
      </c>
      <c r="AG2140" s="4">
        <v>0.61458333333333337</v>
      </c>
      <c r="AH2140" s="2">
        <v>2</v>
      </c>
      <c r="AI2140" s="2" t="s">
        <v>84</v>
      </c>
      <c r="AJ2140" s="2">
        <v>12</v>
      </c>
      <c r="AK2140" s="2" t="s">
        <v>85</v>
      </c>
      <c r="AL2140" s="2">
        <v>22</v>
      </c>
      <c r="AM2140" s="2" t="s">
        <v>1853</v>
      </c>
      <c r="AN2140" s="2" t="s">
        <v>7375</v>
      </c>
      <c r="AO2140" s="2" t="s">
        <v>7069</v>
      </c>
      <c r="AP2140" s="2">
        <v>11</v>
      </c>
      <c r="AQ2140" s="2" t="s">
        <v>82</v>
      </c>
      <c r="AR2140" s="2"/>
      <c r="AS2140" s="2"/>
      <c r="AT2140" s="2" t="s">
        <v>7376</v>
      </c>
      <c r="AU2140" s="2"/>
      <c r="AV2140" s="2"/>
      <c r="AW2140" s="2"/>
      <c r="AX2140" s="2"/>
      <c r="AY2140" s="2">
        <v>41</v>
      </c>
      <c r="AZ2140" s="2" t="s">
        <v>82</v>
      </c>
      <c r="BA2140" s="2">
        <v>41</v>
      </c>
      <c r="BB2140" s="2" t="s">
        <v>82</v>
      </c>
      <c r="BC2140" s="2">
        <v>41</v>
      </c>
      <c r="BD2140" s="2" t="s">
        <v>82</v>
      </c>
      <c r="BE2140" s="2">
        <v>10</v>
      </c>
      <c r="BF2140" s="2" t="s">
        <v>901</v>
      </c>
      <c r="BG2140" s="2" t="s">
        <v>7377</v>
      </c>
      <c r="BH2140" s="4">
        <v>0.5625</v>
      </c>
      <c r="BI2140" s="4">
        <v>0.52083333333333337</v>
      </c>
      <c r="BJ2140" s="2">
        <v>229</v>
      </c>
      <c r="BK2140" s="2" t="s">
        <v>300</v>
      </c>
      <c r="BL2140" s="2" t="s">
        <v>573</v>
      </c>
      <c r="BM2140" s="2">
        <v>241</v>
      </c>
      <c r="BN2140" s="2" t="s">
        <v>82</v>
      </c>
      <c r="BO2140" s="2"/>
      <c r="BP2140" s="2">
        <v>13</v>
      </c>
      <c r="BQ2140" s="2" t="s">
        <v>91</v>
      </c>
      <c r="BR2140" s="2" t="s">
        <v>185</v>
      </c>
      <c r="BS2140" s="3">
        <v>40322</v>
      </c>
      <c r="BT2140" s="4">
        <v>0.7230671296296296</v>
      </c>
    </row>
    <row r="2141" spans="1:72" x14ac:dyDescent="0.25">
      <c r="A2141" s="2">
        <v>3117</v>
      </c>
      <c r="B2141" s="2">
        <v>2010</v>
      </c>
      <c r="C2141" s="2" t="s">
        <v>377</v>
      </c>
      <c r="D2141" s="2" t="s">
        <v>73</v>
      </c>
      <c r="E2141" s="2"/>
      <c r="F2141" s="2">
        <v>426</v>
      </c>
      <c r="G2141" s="2" t="s">
        <v>378</v>
      </c>
      <c r="H2141" s="2">
        <v>108</v>
      </c>
      <c r="I2141" s="2" t="s">
        <v>1096</v>
      </c>
      <c r="J2141" s="2">
        <v>311</v>
      </c>
      <c r="K2141" s="2" t="s">
        <v>379</v>
      </c>
      <c r="L2141" s="2" t="s">
        <v>380</v>
      </c>
      <c r="M2141" s="3">
        <v>40322</v>
      </c>
      <c r="N2141" s="2" t="s">
        <v>5164</v>
      </c>
      <c r="O2141" s="2" t="s">
        <v>107</v>
      </c>
      <c r="P2141" s="2" t="s">
        <v>107</v>
      </c>
      <c r="Q2141" s="2" t="str">
        <f>"092-C/10"</f>
        <v>092-C/10</v>
      </c>
      <c r="R2141" s="2" t="s">
        <v>7378</v>
      </c>
      <c r="S2141" s="2"/>
      <c r="T2141" s="2">
        <v>1</v>
      </c>
      <c r="U2141" s="2" t="s">
        <v>79</v>
      </c>
      <c r="V2141" s="2">
        <v>1</v>
      </c>
      <c r="W2141" s="2" t="s">
        <v>80</v>
      </c>
      <c r="X2141" s="2">
        <v>1</v>
      </c>
      <c r="Y2141" s="2" t="s">
        <v>81</v>
      </c>
      <c r="Z2141" s="2">
        <v>1</v>
      </c>
      <c r="AA2141" s="2" t="s">
        <v>82</v>
      </c>
      <c r="AB2141" s="2">
        <v>9</v>
      </c>
      <c r="AC2141" s="2" t="s">
        <v>124</v>
      </c>
      <c r="AD2141" s="3">
        <v>40322</v>
      </c>
      <c r="AE2141" s="4">
        <v>0.70833333333333337</v>
      </c>
      <c r="AF2141" s="2"/>
      <c r="AG2141" s="2"/>
      <c r="AH2141" s="2">
        <v>2</v>
      </c>
      <c r="AI2141" s="2" t="s">
        <v>84</v>
      </c>
      <c r="AJ2141" s="2">
        <v>9</v>
      </c>
      <c r="AK2141" s="2" t="s">
        <v>103</v>
      </c>
      <c r="AL2141" s="2">
        <v>21</v>
      </c>
      <c r="AM2141" s="2" t="s">
        <v>1311</v>
      </c>
      <c r="AN2141" s="2"/>
      <c r="AO2141" s="2" t="s">
        <v>987</v>
      </c>
      <c r="AP2141" s="2">
        <v>11</v>
      </c>
      <c r="AQ2141" s="2" t="s">
        <v>82</v>
      </c>
      <c r="AR2141" s="2"/>
      <c r="AS2141" s="2"/>
      <c r="AT2141" s="2" t="s">
        <v>7379</v>
      </c>
      <c r="AU2141" s="2"/>
      <c r="AV2141" s="2"/>
      <c r="AW2141" s="2"/>
      <c r="AX2141" s="2"/>
      <c r="AY2141" s="2">
        <v>41</v>
      </c>
      <c r="AZ2141" s="2" t="s">
        <v>82</v>
      </c>
      <c r="BA2141" s="2">
        <v>41</v>
      </c>
      <c r="BB2141" s="2" t="s">
        <v>82</v>
      </c>
      <c r="BC2141" s="2">
        <v>41</v>
      </c>
      <c r="BD2141" s="2" t="s">
        <v>82</v>
      </c>
      <c r="BE2141" s="2">
        <v>41</v>
      </c>
      <c r="BF2141" s="2" t="s">
        <v>82</v>
      </c>
      <c r="BG2141" s="2"/>
      <c r="BH2141" s="2"/>
      <c r="BI2141" s="2"/>
      <c r="BJ2141" s="2">
        <v>241</v>
      </c>
      <c r="BK2141" s="2" t="s">
        <v>82</v>
      </c>
      <c r="BL2141" s="2"/>
      <c r="BM2141" s="2">
        <v>241</v>
      </c>
      <c r="BN2141" s="2" t="s">
        <v>82</v>
      </c>
      <c r="BO2141" s="2"/>
      <c r="BP2141" s="2">
        <v>241</v>
      </c>
      <c r="BQ2141" s="2" t="s">
        <v>82</v>
      </c>
      <c r="BR2141" s="2"/>
      <c r="BS2141" s="3">
        <v>40322</v>
      </c>
      <c r="BT2141" s="4">
        <v>0.83677083333333335</v>
      </c>
    </row>
    <row r="2142" spans="1:72" x14ac:dyDescent="0.25">
      <c r="A2142" s="2">
        <v>3119</v>
      </c>
      <c r="B2142" s="2">
        <v>2010</v>
      </c>
      <c r="C2142" s="2" t="s">
        <v>414</v>
      </c>
      <c r="D2142" s="2" t="s">
        <v>122</v>
      </c>
      <c r="E2142" s="2" t="s">
        <v>7380</v>
      </c>
      <c r="F2142" s="2">
        <v>1</v>
      </c>
      <c r="G2142" s="2" t="s">
        <v>82</v>
      </c>
      <c r="H2142" s="2">
        <v>1</v>
      </c>
      <c r="I2142" s="2" t="s">
        <v>82</v>
      </c>
      <c r="J2142" s="2">
        <v>1</v>
      </c>
      <c r="K2142" s="2" t="s">
        <v>107</v>
      </c>
      <c r="L2142" s="2" t="s">
        <v>107</v>
      </c>
      <c r="M2142" s="3">
        <v>40322</v>
      </c>
      <c r="N2142" s="2"/>
      <c r="O2142" s="2"/>
      <c r="P2142" s="2"/>
      <c r="Q2142" s="2" t="str">
        <f>""</f>
        <v/>
      </c>
      <c r="R2142" s="2"/>
      <c r="S2142" s="2"/>
      <c r="T2142" s="2">
        <v>1</v>
      </c>
      <c r="U2142" s="2" t="s">
        <v>79</v>
      </c>
      <c r="V2142" s="2">
        <v>1</v>
      </c>
      <c r="W2142" s="2" t="s">
        <v>80</v>
      </c>
      <c r="X2142" s="2">
        <v>5</v>
      </c>
      <c r="Y2142" s="2" t="s">
        <v>82</v>
      </c>
      <c r="Z2142" s="2">
        <v>1</v>
      </c>
      <c r="AA2142" s="2" t="s">
        <v>82</v>
      </c>
      <c r="AB2142" s="2">
        <v>9</v>
      </c>
      <c r="AC2142" s="2" t="s">
        <v>124</v>
      </c>
      <c r="AD2142" s="3">
        <v>40321</v>
      </c>
      <c r="AE2142" s="4">
        <v>0.79166666666666663</v>
      </c>
      <c r="AF2142" s="2"/>
      <c r="AG2142" s="2"/>
      <c r="AH2142" s="2">
        <v>6</v>
      </c>
      <c r="AI2142" s="2" t="s">
        <v>197</v>
      </c>
      <c r="AJ2142" s="2">
        <v>61</v>
      </c>
      <c r="AK2142" s="2" t="s">
        <v>686</v>
      </c>
      <c r="AL2142" s="2">
        <v>18</v>
      </c>
      <c r="AM2142" s="2" t="s">
        <v>82</v>
      </c>
      <c r="AN2142" s="2" t="s">
        <v>82</v>
      </c>
      <c r="AO2142" s="2" t="s">
        <v>7381</v>
      </c>
      <c r="AP2142" s="2">
        <v>11</v>
      </c>
      <c r="AQ2142" s="2" t="s">
        <v>82</v>
      </c>
      <c r="AR2142" s="2" t="s">
        <v>82</v>
      </c>
      <c r="AS2142" s="2" t="s">
        <v>82</v>
      </c>
      <c r="AT2142" s="2" t="s">
        <v>7382</v>
      </c>
      <c r="AU2142" s="2"/>
      <c r="AV2142" s="2"/>
      <c r="AW2142" s="2"/>
      <c r="AX2142" s="2"/>
      <c r="AY2142" s="2">
        <v>1</v>
      </c>
      <c r="AZ2142" s="2" t="s">
        <v>107</v>
      </c>
      <c r="BA2142" s="2">
        <v>1</v>
      </c>
      <c r="BB2142" s="2" t="s">
        <v>107</v>
      </c>
      <c r="BC2142" s="2">
        <v>1</v>
      </c>
      <c r="BD2142" s="2" t="s">
        <v>107</v>
      </c>
      <c r="BE2142" s="2">
        <v>1</v>
      </c>
      <c r="BF2142" s="2" t="s">
        <v>107</v>
      </c>
      <c r="BG2142" s="2" t="s">
        <v>82</v>
      </c>
      <c r="BH2142" s="2"/>
      <c r="BI2142" s="2"/>
      <c r="BJ2142" s="2">
        <v>242</v>
      </c>
      <c r="BK2142" s="2" t="s">
        <v>107</v>
      </c>
      <c r="BL2142" s="2" t="s">
        <v>82</v>
      </c>
      <c r="BM2142" s="2">
        <v>242</v>
      </c>
      <c r="BN2142" s="2" t="s">
        <v>107</v>
      </c>
      <c r="BO2142" s="2" t="s">
        <v>82</v>
      </c>
      <c r="BP2142" s="2">
        <v>242</v>
      </c>
      <c r="BQ2142" s="2" t="s">
        <v>107</v>
      </c>
      <c r="BR2142" s="2" t="s">
        <v>82</v>
      </c>
      <c r="BS2142" s="3">
        <v>40322</v>
      </c>
      <c r="BT2142" s="4">
        <v>0.89793981481481477</v>
      </c>
    </row>
    <row r="2143" spans="1:72" x14ac:dyDescent="0.25">
      <c r="A2143" s="2">
        <v>3120</v>
      </c>
      <c r="B2143" s="2">
        <v>2010</v>
      </c>
      <c r="C2143" s="2" t="s">
        <v>385</v>
      </c>
      <c r="D2143" s="2" t="s">
        <v>122</v>
      </c>
      <c r="E2143" s="2"/>
      <c r="F2143" s="2">
        <v>435</v>
      </c>
      <c r="G2143" s="2" t="s">
        <v>565</v>
      </c>
      <c r="H2143" s="2">
        <v>50</v>
      </c>
      <c r="I2143" s="2" t="s">
        <v>107</v>
      </c>
      <c r="J2143" s="2">
        <v>563</v>
      </c>
      <c r="K2143" s="2" t="s">
        <v>7383</v>
      </c>
      <c r="L2143" s="2" t="s">
        <v>7384</v>
      </c>
      <c r="M2143" s="3">
        <v>40323</v>
      </c>
      <c r="N2143" s="2" t="s">
        <v>82</v>
      </c>
      <c r="O2143" s="2" t="s">
        <v>7385</v>
      </c>
      <c r="P2143" s="2" t="s">
        <v>7386</v>
      </c>
      <c r="Q2143" s="2" t="str">
        <f>"N/C"</f>
        <v>N/C</v>
      </c>
      <c r="R2143" s="2"/>
      <c r="S2143" s="2"/>
      <c r="T2143" s="2">
        <v>1</v>
      </c>
      <c r="U2143" s="2" t="s">
        <v>79</v>
      </c>
      <c r="V2143" s="2">
        <v>1</v>
      </c>
      <c r="W2143" s="2" t="s">
        <v>80</v>
      </c>
      <c r="X2143" s="2">
        <v>4</v>
      </c>
      <c r="Y2143" s="2" t="s">
        <v>463</v>
      </c>
      <c r="Z2143" s="2">
        <v>1</v>
      </c>
      <c r="AA2143" s="2" t="s">
        <v>82</v>
      </c>
      <c r="AB2143" s="2">
        <v>9</v>
      </c>
      <c r="AC2143" s="2" t="s">
        <v>124</v>
      </c>
      <c r="AD2143" s="3">
        <v>40323</v>
      </c>
      <c r="AE2143" s="4">
        <v>0.25</v>
      </c>
      <c r="AF2143" s="2"/>
      <c r="AG2143" s="2"/>
      <c r="AH2143" s="2">
        <v>3</v>
      </c>
      <c r="AI2143" s="2" t="s">
        <v>214</v>
      </c>
      <c r="AJ2143" s="2">
        <v>17</v>
      </c>
      <c r="AK2143" s="2" t="s">
        <v>309</v>
      </c>
      <c r="AL2143" s="2">
        <v>10</v>
      </c>
      <c r="AM2143" s="2" t="s">
        <v>200</v>
      </c>
      <c r="AN2143" s="2"/>
      <c r="AO2143" s="2" t="s">
        <v>7387</v>
      </c>
      <c r="AP2143" s="2">
        <v>11</v>
      </c>
      <c r="AQ2143" s="2" t="s">
        <v>82</v>
      </c>
      <c r="AR2143" s="2"/>
      <c r="AS2143" s="2"/>
      <c r="AT2143" s="2" t="s">
        <v>7388</v>
      </c>
      <c r="AU2143" s="2">
        <v>1</v>
      </c>
      <c r="AV2143" s="2"/>
      <c r="AW2143" s="2"/>
      <c r="AX2143" s="2"/>
      <c r="AY2143" s="2">
        <v>41</v>
      </c>
      <c r="AZ2143" s="2" t="s">
        <v>82</v>
      </c>
      <c r="BA2143" s="2">
        <v>41</v>
      </c>
      <c r="BB2143" s="2" t="s">
        <v>82</v>
      </c>
      <c r="BC2143" s="2">
        <v>41</v>
      </c>
      <c r="BD2143" s="2" t="s">
        <v>82</v>
      </c>
      <c r="BE2143" s="2">
        <v>13</v>
      </c>
      <c r="BF2143" s="2" t="s">
        <v>108</v>
      </c>
      <c r="BG2143" s="2">
        <v>2401</v>
      </c>
      <c r="BH2143" s="2"/>
      <c r="BI2143" s="4">
        <v>0.25694444444444448</v>
      </c>
      <c r="BJ2143" s="2">
        <v>13</v>
      </c>
      <c r="BK2143" s="2" t="s">
        <v>91</v>
      </c>
      <c r="BL2143" s="2" t="s">
        <v>445</v>
      </c>
      <c r="BM2143" s="2">
        <v>241</v>
      </c>
      <c r="BN2143" s="2" t="s">
        <v>82</v>
      </c>
      <c r="BO2143" s="2"/>
      <c r="BP2143" s="2">
        <v>13</v>
      </c>
      <c r="BQ2143" s="2" t="s">
        <v>91</v>
      </c>
      <c r="BR2143" s="2" t="s">
        <v>185</v>
      </c>
      <c r="BS2143" s="3">
        <v>40323</v>
      </c>
      <c r="BT2143" s="4">
        <v>0.34126157407407409</v>
      </c>
    </row>
    <row r="2144" spans="1:72" x14ac:dyDescent="0.25">
      <c r="A2144" s="2">
        <v>3121</v>
      </c>
      <c r="B2144" s="2">
        <v>2010</v>
      </c>
      <c r="C2144" s="2" t="s">
        <v>93</v>
      </c>
      <c r="D2144" s="2" t="s">
        <v>73</v>
      </c>
      <c r="E2144" s="2"/>
      <c r="F2144" s="2">
        <v>516</v>
      </c>
      <c r="G2144" s="2" t="s">
        <v>2852</v>
      </c>
      <c r="H2144" s="2">
        <v>62</v>
      </c>
      <c r="I2144" s="2" t="s">
        <v>2853</v>
      </c>
      <c r="J2144" s="2">
        <v>198</v>
      </c>
      <c r="K2144" s="2" t="s">
        <v>7389</v>
      </c>
      <c r="L2144" s="2" t="s">
        <v>7390</v>
      </c>
      <c r="M2144" s="3">
        <v>40323</v>
      </c>
      <c r="N2144" s="2" t="s">
        <v>7391</v>
      </c>
      <c r="O2144" s="2" t="s">
        <v>1100</v>
      </c>
      <c r="P2144" s="2" t="s">
        <v>7392</v>
      </c>
      <c r="Q2144" s="2" t="str">
        <f>"0063/2010"</f>
        <v>0063/2010</v>
      </c>
      <c r="R2144" s="2"/>
      <c r="S2144" s="2" t="s">
        <v>7393</v>
      </c>
      <c r="T2144" s="2">
        <v>1</v>
      </c>
      <c r="U2144" s="2" t="s">
        <v>79</v>
      </c>
      <c r="V2144" s="2">
        <v>1</v>
      </c>
      <c r="W2144" s="2" t="s">
        <v>80</v>
      </c>
      <c r="X2144" s="2">
        <v>3</v>
      </c>
      <c r="Y2144" s="2" t="s">
        <v>698</v>
      </c>
      <c r="Z2144" s="2">
        <v>9</v>
      </c>
      <c r="AA2144" s="2" t="s">
        <v>1119</v>
      </c>
      <c r="AB2144" s="2">
        <v>2</v>
      </c>
      <c r="AC2144" s="2" t="s">
        <v>102</v>
      </c>
      <c r="AD2144" s="3">
        <v>40323</v>
      </c>
      <c r="AE2144" s="4">
        <v>0.3125</v>
      </c>
      <c r="AF2144" s="2"/>
      <c r="AG2144" s="2"/>
      <c r="AH2144" s="2">
        <v>5</v>
      </c>
      <c r="AI2144" s="2" t="s">
        <v>274</v>
      </c>
      <c r="AJ2144" s="2">
        <v>38</v>
      </c>
      <c r="AK2144" s="2" t="s">
        <v>1120</v>
      </c>
      <c r="AL2144" s="2">
        <v>14</v>
      </c>
      <c r="AM2144" s="2" t="s">
        <v>216</v>
      </c>
      <c r="AN2144" s="2"/>
      <c r="AO2144" s="2" t="s">
        <v>5741</v>
      </c>
      <c r="AP2144" s="2">
        <v>11</v>
      </c>
      <c r="AQ2144" s="2" t="s">
        <v>82</v>
      </c>
      <c r="AR2144" s="2"/>
      <c r="AS2144" s="2"/>
      <c r="AT2144" s="2" t="s">
        <v>7394</v>
      </c>
      <c r="AU2144" s="2"/>
      <c r="AV2144" s="2"/>
      <c r="AW2144" s="2"/>
      <c r="AX2144" s="2"/>
      <c r="AY2144" s="2">
        <v>41</v>
      </c>
      <c r="AZ2144" s="2" t="s">
        <v>82</v>
      </c>
      <c r="BA2144" s="2">
        <v>41</v>
      </c>
      <c r="BB2144" s="2" t="s">
        <v>82</v>
      </c>
      <c r="BC2144" s="2">
        <v>41</v>
      </c>
      <c r="BD2144" s="2" t="s">
        <v>82</v>
      </c>
      <c r="BE2144" s="2">
        <v>4</v>
      </c>
      <c r="BF2144" s="2" t="s">
        <v>90</v>
      </c>
      <c r="BG2144" s="2">
        <v>4021</v>
      </c>
      <c r="BH2144" s="4">
        <v>0.3263888888888889</v>
      </c>
      <c r="BI2144" s="4">
        <v>0.35069444444444442</v>
      </c>
      <c r="BJ2144" s="2">
        <v>13</v>
      </c>
      <c r="BK2144" s="2" t="s">
        <v>91</v>
      </c>
      <c r="BL2144" s="2" t="s">
        <v>3140</v>
      </c>
      <c r="BM2144" s="2">
        <v>241</v>
      </c>
      <c r="BN2144" s="2" t="s">
        <v>82</v>
      </c>
      <c r="BO2144" s="2"/>
      <c r="BP2144" s="2">
        <v>13</v>
      </c>
      <c r="BQ2144" s="2" t="s">
        <v>91</v>
      </c>
      <c r="BR2144" s="2" t="s">
        <v>170</v>
      </c>
      <c r="BS2144" s="3">
        <v>40323</v>
      </c>
      <c r="BT2144" s="4">
        <v>0.40520833333333334</v>
      </c>
    </row>
    <row r="2145" spans="1:72" x14ac:dyDescent="0.25">
      <c r="A2145" s="2">
        <v>3122</v>
      </c>
      <c r="B2145" s="2">
        <v>2010</v>
      </c>
      <c r="C2145" s="2" t="s">
        <v>819</v>
      </c>
      <c r="D2145" s="2" t="s">
        <v>73</v>
      </c>
      <c r="E2145" s="2"/>
      <c r="F2145" s="2">
        <v>310</v>
      </c>
      <c r="G2145" s="2" t="s">
        <v>3186</v>
      </c>
      <c r="H2145" s="2">
        <v>3</v>
      </c>
      <c r="I2145" s="2" t="s">
        <v>315</v>
      </c>
      <c r="J2145" s="2">
        <v>371</v>
      </c>
      <c r="K2145" s="2" t="s">
        <v>1138</v>
      </c>
      <c r="L2145" s="2" t="s">
        <v>1139</v>
      </c>
      <c r="M2145" s="3">
        <v>40323</v>
      </c>
      <c r="N2145" s="2" t="s">
        <v>2980</v>
      </c>
      <c r="O2145" s="2"/>
      <c r="P2145" s="2"/>
      <c r="Q2145" s="2" t="str">
        <f>"0064/2010"</f>
        <v>0064/2010</v>
      </c>
      <c r="R2145" s="2"/>
      <c r="S2145" s="2" t="s">
        <v>2003</v>
      </c>
      <c r="T2145" s="2">
        <v>1</v>
      </c>
      <c r="U2145" s="2" t="s">
        <v>79</v>
      </c>
      <c r="V2145" s="2">
        <v>1</v>
      </c>
      <c r="W2145" s="2" t="s">
        <v>80</v>
      </c>
      <c r="X2145" s="2">
        <v>1</v>
      </c>
      <c r="Y2145" s="2" t="s">
        <v>81</v>
      </c>
      <c r="Z2145" s="2">
        <v>1</v>
      </c>
      <c r="AA2145" s="2" t="s">
        <v>82</v>
      </c>
      <c r="AB2145" s="2">
        <v>9</v>
      </c>
      <c r="AC2145" s="2" t="s">
        <v>124</v>
      </c>
      <c r="AD2145" s="3">
        <v>40323</v>
      </c>
      <c r="AE2145" s="4">
        <v>0.33333333333333331</v>
      </c>
      <c r="AF2145" s="2"/>
      <c r="AG2145" s="2"/>
      <c r="AH2145" s="2">
        <v>5</v>
      </c>
      <c r="AI2145" s="2" t="s">
        <v>274</v>
      </c>
      <c r="AJ2145" s="2">
        <v>38</v>
      </c>
      <c r="AK2145" s="2" t="s">
        <v>1120</v>
      </c>
      <c r="AL2145" s="2">
        <v>25</v>
      </c>
      <c r="AM2145" s="2" t="s">
        <v>3073</v>
      </c>
      <c r="AN2145" s="2" t="s">
        <v>230</v>
      </c>
      <c r="AO2145" s="2" t="s">
        <v>7395</v>
      </c>
      <c r="AP2145" s="2">
        <v>11</v>
      </c>
      <c r="AQ2145" s="2" t="s">
        <v>82</v>
      </c>
      <c r="AR2145" s="2"/>
      <c r="AS2145" s="2"/>
      <c r="AT2145" s="2" t="s">
        <v>7396</v>
      </c>
      <c r="AU2145" s="2"/>
      <c r="AV2145" s="2"/>
      <c r="AW2145" s="2"/>
      <c r="AX2145" s="2"/>
      <c r="AY2145" s="2">
        <v>41</v>
      </c>
      <c r="AZ2145" s="2" t="s">
        <v>82</v>
      </c>
      <c r="BA2145" s="2">
        <v>41</v>
      </c>
      <c r="BB2145" s="2" t="s">
        <v>82</v>
      </c>
      <c r="BC2145" s="2">
        <v>41</v>
      </c>
      <c r="BD2145" s="2" t="s">
        <v>82</v>
      </c>
      <c r="BE2145" s="2">
        <v>4</v>
      </c>
      <c r="BF2145" s="2" t="s">
        <v>90</v>
      </c>
      <c r="BG2145" s="2">
        <v>4021</v>
      </c>
      <c r="BH2145" s="4">
        <v>0.3263888888888889</v>
      </c>
      <c r="BI2145" s="4">
        <v>0.35069444444444442</v>
      </c>
      <c r="BJ2145" s="2">
        <v>13</v>
      </c>
      <c r="BK2145" s="2" t="s">
        <v>91</v>
      </c>
      <c r="BL2145" s="2" t="s">
        <v>1697</v>
      </c>
      <c r="BM2145" s="2">
        <v>241</v>
      </c>
      <c r="BN2145" s="2" t="s">
        <v>82</v>
      </c>
      <c r="BO2145" s="2"/>
      <c r="BP2145" s="2">
        <v>13</v>
      </c>
      <c r="BQ2145" s="2" t="s">
        <v>91</v>
      </c>
      <c r="BR2145" s="2" t="s">
        <v>170</v>
      </c>
      <c r="BS2145" s="3">
        <v>40323</v>
      </c>
      <c r="BT2145" s="4">
        <v>0.4472800925925926</v>
      </c>
    </row>
    <row r="2146" spans="1:72" x14ac:dyDescent="0.25">
      <c r="A2146" s="2">
        <v>3123</v>
      </c>
      <c r="B2146" s="2">
        <v>2010</v>
      </c>
      <c r="C2146" s="2" t="s">
        <v>93</v>
      </c>
      <c r="D2146" s="2" t="s">
        <v>73</v>
      </c>
      <c r="E2146" s="2"/>
      <c r="F2146" s="2">
        <v>627</v>
      </c>
      <c r="G2146" s="2" t="s">
        <v>7397</v>
      </c>
      <c r="H2146" s="2">
        <v>107</v>
      </c>
      <c r="I2146" s="2" t="s">
        <v>7050</v>
      </c>
      <c r="J2146" s="2">
        <v>564</v>
      </c>
      <c r="K2146" s="2" t="s">
        <v>7398</v>
      </c>
      <c r="L2146" s="2" t="s">
        <v>7399</v>
      </c>
      <c r="M2146" s="3">
        <v>40323</v>
      </c>
      <c r="N2146" s="2" t="s">
        <v>7400</v>
      </c>
      <c r="O2146" s="2" t="s">
        <v>7401</v>
      </c>
      <c r="P2146" s="2">
        <v>41018</v>
      </c>
      <c r="Q2146" s="2" t="str">
        <f>"0065/2010"</f>
        <v>0065/2010</v>
      </c>
      <c r="R2146" s="2" t="s">
        <v>7393</v>
      </c>
      <c r="S2146" s="2"/>
      <c r="T2146" s="2">
        <v>1</v>
      </c>
      <c r="U2146" s="2" t="s">
        <v>79</v>
      </c>
      <c r="V2146" s="2">
        <v>1</v>
      </c>
      <c r="W2146" s="2" t="s">
        <v>80</v>
      </c>
      <c r="X2146" s="2">
        <v>3</v>
      </c>
      <c r="Y2146" s="2" t="s">
        <v>698</v>
      </c>
      <c r="Z2146" s="2">
        <v>9</v>
      </c>
      <c r="AA2146" s="2" t="s">
        <v>1119</v>
      </c>
      <c r="AB2146" s="2">
        <v>2</v>
      </c>
      <c r="AC2146" s="2" t="s">
        <v>102</v>
      </c>
      <c r="AD2146" s="3">
        <v>40323</v>
      </c>
      <c r="AE2146" s="4">
        <v>0.48958333333333331</v>
      </c>
      <c r="AF2146" s="2"/>
      <c r="AG2146" s="2"/>
      <c r="AH2146" s="2">
        <v>5</v>
      </c>
      <c r="AI2146" s="2" t="s">
        <v>274</v>
      </c>
      <c r="AJ2146" s="2">
        <v>38</v>
      </c>
      <c r="AK2146" s="2" t="s">
        <v>1120</v>
      </c>
      <c r="AL2146" s="2">
        <v>14</v>
      </c>
      <c r="AM2146" s="2" t="s">
        <v>216</v>
      </c>
      <c r="AN2146" s="2"/>
      <c r="AO2146" s="2" t="s">
        <v>5741</v>
      </c>
      <c r="AP2146" s="2">
        <v>11</v>
      </c>
      <c r="AQ2146" s="2" t="s">
        <v>82</v>
      </c>
      <c r="AR2146" s="2"/>
      <c r="AS2146" s="2"/>
      <c r="AT2146" s="2" t="s">
        <v>7402</v>
      </c>
      <c r="AU2146" s="2"/>
      <c r="AV2146" s="2"/>
      <c r="AW2146" s="2"/>
      <c r="AX2146" s="2"/>
      <c r="AY2146" s="2">
        <v>41</v>
      </c>
      <c r="AZ2146" s="2" t="s">
        <v>82</v>
      </c>
      <c r="BA2146" s="2">
        <v>41</v>
      </c>
      <c r="BB2146" s="2" t="s">
        <v>82</v>
      </c>
      <c r="BC2146" s="2">
        <v>41</v>
      </c>
      <c r="BD2146" s="2" t="s">
        <v>82</v>
      </c>
      <c r="BE2146" s="2">
        <v>47</v>
      </c>
      <c r="BF2146" s="2" t="s">
        <v>167</v>
      </c>
      <c r="BG2146" s="2">
        <v>2725</v>
      </c>
      <c r="BH2146" s="4">
        <v>0.46180555555555558</v>
      </c>
      <c r="BI2146" s="4">
        <v>0.48958333333333331</v>
      </c>
      <c r="BJ2146" s="2">
        <v>13</v>
      </c>
      <c r="BK2146" s="2" t="s">
        <v>91</v>
      </c>
      <c r="BL2146" s="2" t="s">
        <v>1697</v>
      </c>
      <c r="BM2146" s="2">
        <v>241</v>
      </c>
      <c r="BN2146" s="2" t="s">
        <v>82</v>
      </c>
      <c r="BO2146" s="2"/>
      <c r="BP2146" s="2">
        <v>13</v>
      </c>
      <c r="BQ2146" s="2" t="s">
        <v>91</v>
      </c>
      <c r="BR2146" s="2" t="s">
        <v>170</v>
      </c>
      <c r="BS2146" s="3">
        <v>40323</v>
      </c>
      <c r="BT2146" s="4">
        <v>0.54664351851851845</v>
      </c>
    </row>
    <row r="2147" spans="1:72" x14ac:dyDescent="0.25">
      <c r="A2147" s="2">
        <v>3124</v>
      </c>
      <c r="B2147" s="2">
        <v>2010</v>
      </c>
      <c r="C2147" s="2" t="s">
        <v>243</v>
      </c>
      <c r="D2147" s="2" t="s">
        <v>73</v>
      </c>
      <c r="E2147" s="2"/>
      <c r="F2147" s="2">
        <v>151</v>
      </c>
      <c r="G2147" s="2" t="s">
        <v>314</v>
      </c>
      <c r="H2147" s="2">
        <v>3</v>
      </c>
      <c r="I2147" s="2" t="s">
        <v>315</v>
      </c>
      <c r="J2147" s="2">
        <v>163</v>
      </c>
      <c r="K2147" s="2" t="s">
        <v>316</v>
      </c>
      <c r="L2147" s="2" t="s">
        <v>317</v>
      </c>
      <c r="M2147" s="3">
        <v>40323</v>
      </c>
      <c r="N2147" s="2" t="s">
        <v>7403</v>
      </c>
      <c r="O2147" s="2" t="s">
        <v>107</v>
      </c>
      <c r="P2147" s="2" t="s">
        <v>107</v>
      </c>
      <c r="Q2147" s="2" t="str">
        <f>"188-A/10"</f>
        <v>188-A/10</v>
      </c>
      <c r="R2147" s="2" t="s">
        <v>7404</v>
      </c>
      <c r="S2147" s="2"/>
      <c r="T2147" s="2">
        <v>1</v>
      </c>
      <c r="U2147" s="2" t="s">
        <v>79</v>
      </c>
      <c r="V2147" s="2">
        <v>1</v>
      </c>
      <c r="W2147" s="2" t="s">
        <v>80</v>
      </c>
      <c r="X2147" s="2">
        <v>12</v>
      </c>
      <c r="Y2147" s="2" t="s">
        <v>148</v>
      </c>
      <c r="Z2147" s="2">
        <v>1</v>
      </c>
      <c r="AA2147" s="2" t="s">
        <v>82</v>
      </c>
      <c r="AB2147" s="2">
        <v>9</v>
      </c>
      <c r="AC2147" s="2" t="s">
        <v>124</v>
      </c>
      <c r="AD2147" s="3">
        <v>40318</v>
      </c>
      <c r="AE2147" s="4">
        <v>0.375</v>
      </c>
      <c r="AF2147" s="3">
        <v>40323</v>
      </c>
      <c r="AG2147" s="4">
        <v>0.39930555555555558</v>
      </c>
      <c r="AH2147" s="2">
        <v>2</v>
      </c>
      <c r="AI2147" s="2" t="s">
        <v>84</v>
      </c>
      <c r="AJ2147" s="2">
        <v>12</v>
      </c>
      <c r="AK2147" s="2" t="s">
        <v>85</v>
      </c>
      <c r="AL2147" s="2">
        <v>12</v>
      </c>
      <c r="AM2147" s="2" t="s">
        <v>86</v>
      </c>
      <c r="AN2147" s="2" t="s">
        <v>7405</v>
      </c>
      <c r="AO2147" s="2" t="s">
        <v>816</v>
      </c>
      <c r="AP2147" s="2">
        <v>11</v>
      </c>
      <c r="AQ2147" s="2" t="s">
        <v>82</v>
      </c>
      <c r="AR2147" s="2"/>
      <c r="AS2147" s="2"/>
      <c r="AT2147" s="2" t="s">
        <v>7406</v>
      </c>
      <c r="AU2147" s="2"/>
      <c r="AV2147" s="2"/>
      <c r="AW2147" s="2"/>
      <c r="AX2147" s="2"/>
      <c r="AY2147" s="2">
        <v>41</v>
      </c>
      <c r="AZ2147" s="2" t="s">
        <v>82</v>
      </c>
      <c r="BA2147" s="2">
        <v>41</v>
      </c>
      <c r="BB2147" s="2" t="s">
        <v>82</v>
      </c>
      <c r="BC2147" s="2">
        <v>41</v>
      </c>
      <c r="BD2147" s="2" t="s">
        <v>82</v>
      </c>
      <c r="BE2147" s="2">
        <v>41</v>
      </c>
      <c r="BF2147" s="2" t="s">
        <v>82</v>
      </c>
      <c r="BG2147" s="2"/>
      <c r="BH2147" s="2"/>
      <c r="BI2147" s="2"/>
      <c r="BJ2147" s="2">
        <v>241</v>
      </c>
      <c r="BK2147" s="2" t="s">
        <v>82</v>
      </c>
      <c r="BL2147" s="2"/>
      <c r="BM2147" s="2">
        <v>241</v>
      </c>
      <c r="BN2147" s="2" t="s">
        <v>82</v>
      </c>
      <c r="BO2147" s="2"/>
      <c r="BP2147" s="2">
        <v>241</v>
      </c>
      <c r="BQ2147" s="2" t="s">
        <v>82</v>
      </c>
      <c r="BR2147" s="2"/>
      <c r="BS2147" s="3">
        <v>40323</v>
      </c>
      <c r="BT2147" s="4">
        <v>0.54879629629629634</v>
      </c>
    </row>
    <row r="2148" spans="1:72" x14ac:dyDescent="0.25">
      <c r="A2148" s="2">
        <v>3125</v>
      </c>
      <c r="B2148" s="2">
        <v>2010</v>
      </c>
      <c r="C2148" s="2" t="s">
        <v>385</v>
      </c>
      <c r="D2148" s="2" t="s">
        <v>73</v>
      </c>
      <c r="E2148" s="2"/>
      <c r="F2148" s="2">
        <v>621</v>
      </c>
      <c r="G2148" s="2" t="s">
        <v>7199</v>
      </c>
      <c r="H2148" s="2">
        <v>42</v>
      </c>
      <c r="I2148" s="2" t="s">
        <v>1096</v>
      </c>
      <c r="J2148" s="2">
        <v>158</v>
      </c>
      <c r="K2148" s="2" t="s">
        <v>7200</v>
      </c>
      <c r="L2148" s="2" t="s">
        <v>7201</v>
      </c>
      <c r="M2148" s="3">
        <v>40323</v>
      </c>
      <c r="N2148" s="2" t="s">
        <v>7407</v>
      </c>
      <c r="O2148" s="2" t="s">
        <v>7222</v>
      </c>
      <c r="P2148" s="2">
        <v>1932</v>
      </c>
      <c r="Q2148" s="2" t="str">
        <f>"N/C"</f>
        <v>N/C</v>
      </c>
      <c r="R2148" s="2" t="s">
        <v>82</v>
      </c>
      <c r="S2148" s="2" t="s">
        <v>82</v>
      </c>
      <c r="T2148" s="2">
        <v>1</v>
      </c>
      <c r="U2148" s="2" t="s">
        <v>79</v>
      </c>
      <c r="V2148" s="2">
        <v>1</v>
      </c>
      <c r="W2148" s="2" t="s">
        <v>80</v>
      </c>
      <c r="X2148" s="2">
        <v>4</v>
      </c>
      <c r="Y2148" s="2" t="s">
        <v>463</v>
      </c>
      <c r="Z2148" s="2">
        <v>22</v>
      </c>
      <c r="AA2148" s="2" t="s">
        <v>4417</v>
      </c>
      <c r="AB2148" s="2">
        <v>9</v>
      </c>
      <c r="AC2148" s="2" t="s">
        <v>124</v>
      </c>
      <c r="AD2148" s="3">
        <v>40323</v>
      </c>
      <c r="AE2148" s="4">
        <v>0.69444444444444453</v>
      </c>
      <c r="AF2148" s="2"/>
      <c r="AG2148" s="2"/>
      <c r="AH2148" s="2">
        <v>6</v>
      </c>
      <c r="AI2148" s="2" t="s">
        <v>197</v>
      </c>
      <c r="AJ2148" s="2">
        <v>60</v>
      </c>
      <c r="AK2148" s="2" t="s">
        <v>543</v>
      </c>
      <c r="AL2148" s="2">
        <v>9</v>
      </c>
      <c r="AM2148" s="2" t="s">
        <v>259</v>
      </c>
      <c r="AN2148" s="2" t="s">
        <v>82</v>
      </c>
      <c r="AO2148" s="2" t="s">
        <v>2249</v>
      </c>
      <c r="AP2148" s="2">
        <v>11</v>
      </c>
      <c r="AQ2148" s="2" t="s">
        <v>82</v>
      </c>
      <c r="AR2148" s="2" t="s">
        <v>82</v>
      </c>
      <c r="AS2148" s="2" t="s">
        <v>82</v>
      </c>
      <c r="AT2148" s="2" t="s">
        <v>7408</v>
      </c>
      <c r="AU2148" s="2">
        <v>1</v>
      </c>
      <c r="AV2148" s="2"/>
      <c r="AW2148" s="2"/>
      <c r="AX2148" s="2"/>
      <c r="AY2148" s="2">
        <v>1</v>
      </c>
      <c r="AZ2148" s="2" t="s">
        <v>107</v>
      </c>
      <c r="BA2148" s="2">
        <v>1</v>
      </c>
      <c r="BB2148" s="2" t="s">
        <v>107</v>
      </c>
      <c r="BC2148" s="2">
        <v>1</v>
      </c>
      <c r="BD2148" s="2" t="s">
        <v>107</v>
      </c>
      <c r="BE2148" s="2">
        <v>47</v>
      </c>
      <c r="BF2148" s="2" t="s">
        <v>167</v>
      </c>
      <c r="BG2148" s="2" t="s">
        <v>5331</v>
      </c>
      <c r="BH2148" s="4">
        <v>0.69444444444444453</v>
      </c>
      <c r="BI2148" s="4">
        <v>0.72569444444444453</v>
      </c>
      <c r="BJ2148" s="2">
        <v>13</v>
      </c>
      <c r="BK2148" s="2" t="s">
        <v>91</v>
      </c>
      <c r="BL2148" s="2" t="s">
        <v>421</v>
      </c>
      <c r="BM2148" s="2">
        <v>13</v>
      </c>
      <c r="BN2148" s="2" t="s">
        <v>91</v>
      </c>
      <c r="BO2148" s="2" t="s">
        <v>7409</v>
      </c>
      <c r="BP2148" s="2">
        <v>13</v>
      </c>
      <c r="BQ2148" s="2" t="s">
        <v>91</v>
      </c>
      <c r="BR2148" s="2" t="s">
        <v>895</v>
      </c>
      <c r="BS2148" s="3">
        <v>40323</v>
      </c>
      <c r="BT2148" s="4">
        <v>0.7273263888888889</v>
      </c>
    </row>
    <row r="2149" spans="1:72" x14ac:dyDescent="0.25">
      <c r="A2149" s="2">
        <v>3126</v>
      </c>
      <c r="B2149" s="2">
        <v>2010</v>
      </c>
      <c r="C2149" s="2" t="s">
        <v>121</v>
      </c>
      <c r="D2149" s="2" t="s">
        <v>122</v>
      </c>
      <c r="E2149" s="2"/>
      <c r="F2149" s="2">
        <v>1</v>
      </c>
      <c r="G2149" s="2" t="s">
        <v>82</v>
      </c>
      <c r="H2149" s="2">
        <v>1</v>
      </c>
      <c r="I2149" s="2" t="s">
        <v>82</v>
      </c>
      <c r="J2149" s="2">
        <v>1</v>
      </c>
      <c r="K2149" s="2" t="s">
        <v>107</v>
      </c>
      <c r="L2149" s="2" t="s">
        <v>107</v>
      </c>
      <c r="M2149" s="3">
        <v>40323</v>
      </c>
      <c r="N2149" s="2"/>
      <c r="O2149" s="2"/>
      <c r="P2149" s="2"/>
      <c r="Q2149" s="2" t="str">
        <f>""</f>
        <v/>
      </c>
      <c r="R2149" s="2"/>
      <c r="S2149" s="2"/>
      <c r="T2149" s="2">
        <v>2</v>
      </c>
      <c r="U2149" s="2" t="s">
        <v>123</v>
      </c>
      <c r="V2149" s="2">
        <v>1</v>
      </c>
      <c r="W2149" s="2" t="s">
        <v>80</v>
      </c>
      <c r="X2149" s="2">
        <v>11</v>
      </c>
      <c r="Y2149" s="2" t="s">
        <v>1920</v>
      </c>
      <c r="Z2149" s="2">
        <v>10</v>
      </c>
      <c r="AA2149" s="2" t="s">
        <v>236</v>
      </c>
      <c r="AB2149" s="2">
        <v>9</v>
      </c>
      <c r="AC2149" s="2" t="s">
        <v>124</v>
      </c>
      <c r="AD2149" s="3">
        <v>40323</v>
      </c>
      <c r="AE2149" s="4">
        <v>0.54166666666666663</v>
      </c>
      <c r="AF2149" s="2"/>
      <c r="AG2149" s="2"/>
      <c r="AH2149" s="2">
        <v>2</v>
      </c>
      <c r="AI2149" s="2" t="s">
        <v>84</v>
      </c>
      <c r="AJ2149" s="2">
        <v>12</v>
      </c>
      <c r="AK2149" s="2" t="s">
        <v>85</v>
      </c>
      <c r="AL2149" s="2">
        <v>20</v>
      </c>
      <c r="AM2149" s="2" t="s">
        <v>992</v>
      </c>
      <c r="AN2149" s="2" t="s">
        <v>107</v>
      </c>
      <c r="AO2149" s="2" t="s">
        <v>993</v>
      </c>
      <c r="AP2149" s="2">
        <v>11</v>
      </c>
      <c r="AQ2149" s="2" t="s">
        <v>82</v>
      </c>
      <c r="AR2149" s="2"/>
      <c r="AS2149" s="2"/>
      <c r="AT2149" s="2" t="s">
        <v>7410</v>
      </c>
      <c r="AU2149" s="2"/>
      <c r="AV2149" s="2"/>
      <c r="AW2149" s="2"/>
      <c r="AX2149" s="2"/>
      <c r="AY2149" s="2">
        <v>41</v>
      </c>
      <c r="AZ2149" s="2" t="s">
        <v>82</v>
      </c>
      <c r="BA2149" s="2">
        <v>41</v>
      </c>
      <c r="BB2149" s="2" t="s">
        <v>82</v>
      </c>
      <c r="BC2149" s="2">
        <v>41</v>
      </c>
      <c r="BD2149" s="2" t="s">
        <v>82</v>
      </c>
      <c r="BE2149" s="2">
        <v>41</v>
      </c>
      <c r="BF2149" s="2" t="s">
        <v>82</v>
      </c>
      <c r="BG2149" s="2"/>
      <c r="BH2149" s="4">
        <v>0.63888888888888895</v>
      </c>
      <c r="BI2149" s="2"/>
      <c r="BJ2149" s="2">
        <v>232</v>
      </c>
      <c r="BK2149" s="2" t="s">
        <v>4351</v>
      </c>
      <c r="BL2149" s="2" t="s">
        <v>7411</v>
      </c>
      <c r="BM2149" s="2">
        <v>241</v>
      </c>
      <c r="BN2149" s="2" t="s">
        <v>82</v>
      </c>
      <c r="BO2149" s="2"/>
      <c r="BP2149" s="2">
        <v>13</v>
      </c>
      <c r="BQ2149" s="2" t="s">
        <v>91</v>
      </c>
      <c r="BR2149" s="2" t="s">
        <v>185</v>
      </c>
      <c r="BS2149" s="3">
        <v>40323</v>
      </c>
      <c r="BT2149" s="4">
        <v>0.74665509259259266</v>
      </c>
    </row>
    <row r="2150" spans="1:72" x14ac:dyDescent="0.25">
      <c r="A2150" s="2">
        <v>3127</v>
      </c>
      <c r="B2150" s="2">
        <v>2010</v>
      </c>
      <c r="C2150" s="2" t="s">
        <v>121</v>
      </c>
      <c r="D2150" s="2" t="s">
        <v>122</v>
      </c>
      <c r="E2150" s="2"/>
      <c r="F2150" s="2">
        <v>1</v>
      </c>
      <c r="G2150" s="2" t="s">
        <v>82</v>
      </c>
      <c r="H2150" s="2">
        <v>1</v>
      </c>
      <c r="I2150" s="2" t="s">
        <v>82</v>
      </c>
      <c r="J2150" s="2">
        <v>1</v>
      </c>
      <c r="K2150" s="2" t="s">
        <v>107</v>
      </c>
      <c r="L2150" s="2" t="s">
        <v>107</v>
      </c>
      <c r="M2150" s="3">
        <v>40323</v>
      </c>
      <c r="N2150" s="2"/>
      <c r="O2150" s="2"/>
      <c r="P2150" s="2"/>
      <c r="Q2150" s="2" t="str">
        <f>""</f>
        <v/>
      </c>
      <c r="R2150" s="2"/>
      <c r="S2150" s="2"/>
      <c r="T2150" s="2">
        <v>2</v>
      </c>
      <c r="U2150" s="2" t="s">
        <v>123</v>
      </c>
      <c r="V2150" s="2">
        <v>1</v>
      </c>
      <c r="W2150" s="2" t="s">
        <v>80</v>
      </c>
      <c r="X2150" s="2">
        <v>11</v>
      </c>
      <c r="Y2150" s="2" t="s">
        <v>1920</v>
      </c>
      <c r="Z2150" s="2">
        <v>10</v>
      </c>
      <c r="AA2150" s="2" t="s">
        <v>236</v>
      </c>
      <c r="AB2150" s="2">
        <v>9</v>
      </c>
      <c r="AC2150" s="2" t="s">
        <v>124</v>
      </c>
      <c r="AD2150" s="3">
        <v>40323</v>
      </c>
      <c r="AE2150" s="4">
        <v>0.54166666666666663</v>
      </c>
      <c r="AF2150" s="2"/>
      <c r="AG2150" s="2"/>
      <c r="AH2150" s="2">
        <v>2</v>
      </c>
      <c r="AI2150" s="2" t="s">
        <v>84</v>
      </c>
      <c r="AJ2150" s="2">
        <v>12</v>
      </c>
      <c r="AK2150" s="2" t="s">
        <v>85</v>
      </c>
      <c r="AL2150" s="2">
        <v>20</v>
      </c>
      <c r="AM2150" s="2" t="s">
        <v>992</v>
      </c>
      <c r="AN2150" s="2" t="s">
        <v>107</v>
      </c>
      <c r="AO2150" s="2" t="s">
        <v>993</v>
      </c>
      <c r="AP2150" s="2">
        <v>11</v>
      </c>
      <c r="AQ2150" s="2" t="s">
        <v>82</v>
      </c>
      <c r="AR2150" s="2"/>
      <c r="AS2150" s="2"/>
      <c r="AT2150" s="2" t="s">
        <v>7412</v>
      </c>
      <c r="AU2150" s="2"/>
      <c r="AV2150" s="2"/>
      <c r="AW2150" s="2"/>
      <c r="AX2150" s="2"/>
      <c r="AY2150" s="2">
        <v>41</v>
      </c>
      <c r="AZ2150" s="2" t="s">
        <v>82</v>
      </c>
      <c r="BA2150" s="2">
        <v>41</v>
      </c>
      <c r="BB2150" s="2" t="s">
        <v>82</v>
      </c>
      <c r="BC2150" s="2">
        <v>41</v>
      </c>
      <c r="BD2150" s="2" t="s">
        <v>82</v>
      </c>
      <c r="BE2150" s="2">
        <v>41</v>
      </c>
      <c r="BF2150" s="2" t="s">
        <v>82</v>
      </c>
      <c r="BG2150" s="2"/>
      <c r="BH2150" s="2"/>
      <c r="BI2150" s="2"/>
      <c r="BJ2150" s="2">
        <v>66</v>
      </c>
      <c r="BK2150" s="2" t="s">
        <v>2681</v>
      </c>
      <c r="BL2150" s="2" t="s">
        <v>7413</v>
      </c>
      <c r="BM2150" s="2">
        <v>241</v>
      </c>
      <c r="BN2150" s="2" t="s">
        <v>82</v>
      </c>
      <c r="BO2150" s="2"/>
      <c r="BP2150" s="2">
        <v>13</v>
      </c>
      <c r="BQ2150" s="2" t="s">
        <v>91</v>
      </c>
      <c r="BR2150" s="2" t="s">
        <v>185</v>
      </c>
      <c r="BS2150" s="3">
        <v>40323</v>
      </c>
      <c r="BT2150" s="4">
        <v>0.75696759259259261</v>
      </c>
    </row>
    <row r="2151" spans="1:72" x14ac:dyDescent="0.25">
      <c r="A2151" s="2">
        <v>3128</v>
      </c>
      <c r="B2151" s="2">
        <v>2010</v>
      </c>
      <c r="C2151" s="2" t="s">
        <v>121</v>
      </c>
      <c r="D2151" s="2" t="s">
        <v>122</v>
      </c>
      <c r="E2151" s="2"/>
      <c r="F2151" s="2">
        <v>1</v>
      </c>
      <c r="G2151" s="2" t="s">
        <v>82</v>
      </c>
      <c r="H2151" s="2">
        <v>1</v>
      </c>
      <c r="I2151" s="2" t="s">
        <v>82</v>
      </c>
      <c r="J2151" s="2">
        <v>1</v>
      </c>
      <c r="K2151" s="2" t="s">
        <v>107</v>
      </c>
      <c r="L2151" s="2" t="s">
        <v>107</v>
      </c>
      <c r="M2151" s="3">
        <v>40323</v>
      </c>
      <c r="N2151" s="2"/>
      <c r="O2151" s="2"/>
      <c r="P2151" s="2"/>
      <c r="Q2151" s="2" t="str">
        <f>""</f>
        <v/>
      </c>
      <c r="R2151" s="2"/>
      <c r="S2151" s="2"/>
      <c r="T2151" s="2">
        <v>2</v>
      </c>
      <c r="U2151" s="2" t="s">
        <v>123</v>
      </c>
      <c r="V2151" s="2">
        <v>1</v>
      </c>
      <c r="W2151" s="2" t="s">
        <v>80</v>
      </c>
      <c r="X2151" s="2">
        <v>11</v>
      </c>
      <c r="Y2151" s="2" t="s">
        <v>1920</v>
      </c>
      <c r="Z2151" s="2">
        <v>10</v>
      </c>
      <c r="AA2151" s="2" t="s">
        <v>236</v>
      </c>
      <c r="AB2151" s="2">
        <v>9</v>
      </c>
      <c r="AC2151" s="2" t="s">
        <v>124</v>
      </c>
      <c r="AD2151" s="3">
        <v>40323</v>
      </c>
      <c r="AE2151" s="4">
        <v>0.54166666666666663</v>
      </c>
      <c r="AF2151" s="2"/>
      <c r="AG2151" s="2"/>
      <c r="AH2151" s="2">
        <v>2</v>
      </c>
      <c r="AI2151" s="2" t="s">
        <v>84</v>
      </c>
      <c r="AJ2151" s="2">
        <v>12</v>
      </c>
      <c r="AK2151" s="2" t="s">
        <v>85</v>
      </c>
      <c r="AL2151" s="2">
        <v>20</v>
      </c>
      <c r="AM2151" s="2" t="s">
        <v>992</v>
      </c>
      <c r="AN2151" s="2" t="s">
        <v>107</v>
      </c>
      <c r="AO2151" s="2" t="s">
        <v>993</v>
      </c>
      <c r="AP2151" s="2">
        <v>11</v>
      </c>
      <c r="AQ2151" s="2" t="s">
        <v>82</v>
      </c>
      <c r="AR2151" s="2"/>
      <c r="AS2151" s="2"/>
      <c r="AT2151" s="2" t="s">
        <v>7414</v>
      </c>
      <c r="AU2151" s="2"/>
      <c r="AV2151" s="2"/>
      <c r="AW2151" s="2"/>
      <c r="AX2151" s="2"/>
      <c r="AY2151" s="2">
        <v>41</v>
      </c>
      <c r="AZ2151" s="2" t="s">
        <v>82</v>
      </c>
      <c r="BA2151" s="2">
        <v>41</v>
      </c>
      <c r="BB2151" s="2" t="s">
        <v>82</v>
      </c>
      <c r="BC2151" s="2">
        <v>41</v>
      </c>
      <c r="BD2151" s="2" t="s">
        <v>82</v>
      </c>
      <c r="BE2151" s="2">
        <v>41</v>
      </c>
      <c r="BF2151" s="2" t="s">
        <v>82</v>
      </c>
      <c r="BG2151" s="2"/>
      <c r="BH2151" s="4">
        <v>0.66666666666666663</v>
      </c>
      <c r="BI2151" s="2"/>
      <c r="BJ2151" s="2">
        <v>46</v>
      </c>
      <c r="BK2151" s="2" t="s">
        <v>307</v>
      </c>
      <c r="BL2151" s="2" t="s">
        <v>7415</v>
      </c>
      <c r="BM2151" s="2">
        <v>241</v>
      </c>
      <c r="BN2151" s="2" t="s">
        <v>82</v>
      </c>
      <c r="BO2151" s="2"/>
      <c r="BP2151" s="2">
        <v>13</v>
      </c>
      <c r="BQ2151" s="2" t="s">
        <v>91</v>
      </c>
      <c r="BR2151" s="2" t="s">
        <v>185</v>
      </c>
      <c r="BS2151" s="3">
        <v>40323</v>
      </c>
      <c r="BT2151" s="4">
        <v>0.76331018518518512</v>
      </c>
    </row>
    <row r="2152" spans="1:72" x14ac:dyDescent="0.25">
      <c r="A2152" s="2">
        <v>3129</v>
      </c>
      <c r="B2152" s="2">
        <v>2010</v>
      </c>
      <c r="C2152" s="2" t="s">
        <v>121</v>
      </c>
      <c r="D2152" s="2" t="s">
        <v>122</v>
      </c>
      <c r="E2152" s="2"/>
      <c r="F2152" s="2">
        <v>1</v>
      </c>
      <c r="G2152" s="2" t="s">
        <v>82</v>
      </c>
      <c r="H2152" s="2">
        <v>1</v>
      </c>
      <c r="I2152" s="2" t="s">
        <v>82</v>
      </c>
      <c r="J2152" s="2">
        <v>1</v>
      </c>
      <c r="K2152" s="2" t="s">
        <v>107</v>
      </c>
      <c r="L2152" s="2" t="s">
        <v>107</v>
      </c>
      <c r="M2152" s="3">
        <v>40323</v>
      </c>
      <c r="N2152" s="2"/>
      <c r="O2152" s="2"/>
      <c r="P2152" s="2"/>
      <c r="Q2152" s="2" t="str">
        <f>""</f>
        <v/>
      </c>
      <c r="R2152" s="2"/>
      <c r="S2152" s="2"/>
      <c r="T2152" s="2">
        <v>2</v>
      </c>
      <c r="U2152" s="2" t="s">
        <v>123</v>
      </c>
      <c r="V2152" s="2">
        <v>1</v>
      </c>
      <c r="W2152" s="2" t="s">
        <v>80</v>
      </c>
      <c r="X2152" s="2">
        <v>1</v>
      </c>
      <c r="Y2152" s="2" t="s">
        <v>81</v>
      </c>
      <c r="Z2152" s="2">
        <v>10</v>
      </c>
      <c r="AA2152" s="2" t="s">
        <v>236</v>
      </c>
      <c r="AB2152" s="2">
        <v>9</v>
      </c>
      <c r="AC2152" s="2" t="s">
        <v>124</v>
      </c>
      <c r="AD2152" s="3">
        <v>40323</v>
      </c>
      <c r="AE2152" s="4">
        <v>0.54166666666666663</v>
      </c>
      <c r="AF2152" s="2"/>
      <c r="AG2152" s="2"/>
      <c r="AH2152" s="2">
        <v>2</v>
      </c>
      <c r="AI2152" s="2" t="s">
        <v>84</v>
      </c>
      <c r="AJ2152" s="2">
        <v>12</v>
      </c>
      <c r="AK2152" s="2" t="s">
        <v>85</v>
      </c>
      <c r="AL2152" s="2">
        <v>20</v>
      </c>
      <c r="AM2152" s="2" t="s">
        <v>992</v>
      </c>
      <c r="AN2152" s="2" t="s">
        <v>107</v>
      </c>
      <c r="AO2152" s="2" t="s">
        <v>993</v>
      </c>
      <c r="AP2152" s="2">
        <v>11</v>
      </c>
      <c r="AQ2152" s="2" t="s">
        <v>82</v>
      </c>
      <c r="AR2152" s="2"/>
      <c r="AS2152" s="2"/>
      <c r="AT2152" s="2" t="s">
        <v>7416</v>
      </c>
      <c r="AU2152" s="2"/>
      <c r="AV2152" s="2"/>
      <c r="AW2152" s="2"/>
      <c r="AX2152" s="2"/>
      <c r="AY2152" s="2">
        <v>41</v>
      </c>
      <c r="AZ2152" s="2" t="s">
        <v>82</v>
      </c>
      <c r="BA2152" s="2">
        <v>41</v>
      </c>
      <c r="BB2152" s="2" t="s">
        <v>82</v>
      </c>
      <c r="BC2152" s="2">
        <v>41</v>
      </c>
      <c r="BD2152" s="2" t="s">
        <v>82</v>
      </c>
      <c r="BE2152" s="2">
        <v>41</v>
      </c>
      <c r="BF2152" s="2" t="s">
        <v>82</v>
      </c>
      <c r="BG2152" s="2"/>
      <c r="BH2152" s="4">
        <v>0.67708333333333337</v>
      </c>
      <c r="BI2152" s="2"/>
      <c r="BJ2152" s="2">
        <v>33</v>
      </c>
      <c r="BK2152" s="2" t="s">
        <v>361</v>
      </c>
      <c r="BL2152" s="2" t="s">
        <v>7417</v>
      </c>
      <c r="BM2152" s="2">
        <v>241</v>
      </c>
      <c r="BN2152" s="2" t="s">
        <v>82</v>
      </c>
      <c r="BO2152" s="2"/>
      <c r="BP2152" s="2">
        <v>13</v>
      </c>
      <c r="BQ2152" s="2" t="s">
        <v>91</v>
      </c>
      <c r="BR2152" s="2" t="s">
        <v>185</v>
      </c>
      <c r="BS2152" s="3">
        <v>40323</v>
      </c>
      <c r="BT2152" s="4">
        <v>0.7728356481481482</v>
      </c>
    </row>
    <row r="2153" spans="1:72" x14ac:dyDescent="0.25">
      <c r="A2153" s="2">
        <v>3130</v>
      </c>
      <c r="B2153" s="2">
        <v>2010</v>
      </c>
      <c r="C2153" s="2" t="s">
        <v>121</v>
      </c>
      <c r="D2153" s="2" t="s">
        <v>122</v>
      </c>
      <c r="E2153" s="2"/>
      <c r="F2153" s="2">
        <v>1</v>
      </c>
      <c r="G2153" s="2" t="s">
        <v>82</v>
      </c>
      <c r="H2153" s="2">
        <v>1</v>
      </c>
      <c r="I2153" s="2" t="s">
        <v>82</v>
      </c>
      <c r="J2153" s="2">
        <v>1</v>
      </c>
      <c r="K2153" s="2" t="s">
        <v>107</v>
      </c>
      <c r="L2153" s="2" t="s">
        <v>107</v>
      </c>
      <c r="M2153" s="3">
        <v>40323</v>
      </c>
      <c r="N2153" s="2"/>
      <c r="O2153" s="2"/>
      <c r="P2153" s="2"/>
      <c r="Q2153" s="2" t="str">
        <f>""</f>
        <v/>
      </c>
      <c r="R2153" s="2"/>
      <c r="S2153" s="2"/>
      <c r="T2153" s="2">
        <v>2</v>
      </c>
      <c r="U2153" s="2" t="s">
        <v>123</v>
      </c>
      <c r="V2153" s="2">
        <v>1</v>
      </c>
      <c r="W2153" s="2" t="s">
        <v>80</v>
      </c>
      <c r="X2153" s="2">
        <v>1</v>
      </c>
      <c r="Y2153" s="2" t="s">
        <v>81</v>
      </c>
      <c r="Z2153" s="2">
        <v>10</v>
      </c>
      <c r="AA2153" s="2" t="s">
        <v>236</v>
      </c>
      <c r="AB2153" s="2">
        <v>9</v>
      </c>
      <c r="AC2153" s="2" t="s">
        <v>124</v>
      </c>
      <c r="AD2153" s="3">
        <v>40323</v>
      </c>
      <c r="AE2153" s="4">
        <v>0.54166666666666663</v>
      </c>
      <c r="AF2153" s="2"/>
      <c r="AG2153" s="2"/>
      <c r="AH2153" s="2">
        <v>2</v>
      </c>
      <c r="AI2153" s="2" t="s">
        <v>84</v>
      </c>
      <c r="AJ2153" s="2">
        <v>12</v>
      </c>
      <c r="AK2153" s="2" t="s">
        <v>85</v>
      </c>
      <c r="AL2153" s="2">
        <v>20</v>
      </c>
      <c r="AM2153" s="2" t="s">
        <v>992</v>
      </c>
      <c r="AN2153" s="2" t="s">
        <v>107</v>
      </c>
      <c r="AO2153" s="2" t="s">
        <v>993</v>
      </c>
      <c r="AP2153" s="2">
        <v>11</v>
      </c>
      <c r="AQ2153" s="2" t="s">
        <v>82</v>
      </c>
      <c r="AR2153" s="2"/>
      <c r="AS2153" s="2"/>
      <c r="AT2153" s="2" t="s">
        <v>7418</v>
      </c>
      <c r="AU2153" s="2"/>
      <c r="AV2153" s="2"/>
      <c r="AW2153" s="2"/>
      <c r="AX2153" s="2"/>
      <c r="AY2153" s="2">
        <v>41</v>
      </c>
      <c r="AZ2153" s="2" t="s">
        <v>82</v>
      </c>
      <c r="BA2153" s="2">
        <v>41</v>
      </c>
      <c r="BB2153" s="2" t="s">
        <v>82</v>
      </c>
      <c r="BC2153" s="2">
        <v>41</v>
      </c>
      <c r="BD2153" s="2" t="s">
        <v>82</v>
      </c>
      <c r="BE2153" s="2">
        <v>41</v>
      </c>
      <c r="BF2153" s="2" t="s">
        <v>82</v>
      </c>
      <c r="BG2153" s="2"/>
      <c r="BH2153" s="4">
        <v>0.69236111111111109</v>
      </c>
      <c r="BI2153" s="2"/>
      <c r="BJ2153" s="2">
        <v>172</v>
      </c>
      <c r="BK2153" s="2" t="s">
        <v>843</v>
      </c>
      <c r="BL2153" s="2" t="s">
        <v>7419</v>
      </c>
      <c r="BM2153" s="2">
        <v>241</v>
      </c>
      <c r="BN2153" s="2" t="s">
        <v>82</v>
      </c>
      <c r="BO2153" s="2"/>
      <c r="BP2153" s="2">
        <v>13</v>
      </c>
      <c r="BQ2153" s="2" t="s">
        <v>91</v>
      </c>
      <c r="BR2153" s="2" t="s">
        <v>185</v>
      </c>
      <c r="BS2153" s="3">
        <v>40323</v>
      </c>
      <c r="BT2153" s="4">
        <v>0.78356481481481488</v>
      </c>
    </row>
    <row r="2154" spans="1:72" x14ac:dyDescent="0.25">
      <c r="A2154" s="2">
        <v>3131</v>
      </c>
      <c r="B2154" s="2">
        <v>2010</v>
      </c>
      <c r="C2154" s="2" t="s">
        <v>72</v>
      </c>
      <c r="D2154" s="2" t="s">
        <v>73</v>
      </c>
      <c r="E2154" s="2"/>
      <c r="F2154" s="2">
        <v>390</v>
      </c>
      <c r="G2154" s="2" t="s">
        <v>475</v>
      </c>
      <c r="H2154" s="2">
        <v>22</v>
      </c>
      <c r="I2154" s="2" t="s">
        <v>75</v>
      </c>
      <c r="J2154" s="2">
        <v>314</v>
      </c>
      <c r="K2154" s="2" t="s">
        <v>477</v>
      </c>
      <c r="L2154" s="2" t="s">
        <v>478</v>
      </c>
      <c r="M2154" s="3">
        <v>40323</v>
      </c>
      <c r="N2154" s="2" t="s">
        <v>6470</v>
      </c>
      <c r="O2154" s="2"/>
      <c r="P2154" s="2"/>
      <c r="Q2154" s="2" t="str">
        <f>"279-E/10"</f>
        <v>279-E/10</v>
      </c>
      <c r="R2154" s="2" t="s">
        <v>480</v>
      </c>
      <c r="S2154" s="2" t="s">
        <v>480</v>
      </c>
      <c r="T2154" s="2">
        <v>1</v>
      </c>
      <c r="U2154" s="2" t="s">
        <v>79</v>
      </c>
      <c r="V2154" s="2">
        <v>1</v>
      </c>
      <c r="W2154" s="2" t="s">
        <v>80</v>
      </c>
      <c r="X2154" s="2">
        <v>12</v>
      </c>
      <c r="Y2154" s="2" t="s">
        <v>148</v>
      </c>
      <c r="Z2154" s="2">
        <v>1</v>
      </c>
      <c r="AA2154" s="2" t="s">
        <v>82</v>
      </c>
      <c r="AB2154" s="2">
        <v>6</v>
      </c>
      <c r="AC2154" s="2" t="s">
        <v>83</v>
      </c>
      <c r="AD2154" s="3">
        <v>40323</v>
      </c>
      <c r="AE2154" s="4">
        <v>0.5625</v>
      </c>
      <c r="AF2154" s="3">
        <v>40323</v>
      </c>
      <c r="AG2154" s="4">
        <v>0.70833333333333337</v>
      </c>
      <c r="AH2154" s="2">
        <v>2</v>
      </c>
      <c r="AI2154" s="2" t="s">
        <v>84</v>
      </c>
      <c r="AJ2154" s="2">
        <v>9</v>
      </c>
      <c r="AK2154" s="2" t="s">
        <v>103</v>
      </c>
      <c r="AL2154" s="2">
        <v>2</v>
      </c>
      <c r="AM2154" s="2" t="s">
        <v>163</v>
      </c>
      <c r="AN2154" s="2"/>
      <c r="AO2154" s="2" t="s">
        <v>7420</v>
      </c>
      <c r="AP2154" s="2">
        <v>11</v>
      </c>
      <c r="AQ2154" s="2" t="s">
        <v>82</v>
      </c>
      <c r="AR2154" s="2"/>
      <c r="AS2154" s="2"/>
      <c r="AT2154" s="2" t="s">
        <v>7421</v>
      </c>
      <c r="AU2154" s="2"/>
      <c r="AV2154" s="2"/>
      <c r="AW2154" s="2"/>
      <c r="AX2154" s="2"/>
      <c r="AY2154" s="2">
        <v>41</v>
      </c>
      <c r="AZ2154" s="2" t="s">
        <v>82</v>
      </c>
      <c r="BA2154" s="2">
        <v>41</v>
      </c>
      <c r="BB2154" s="2" t="s">
        <v>82</v>
      </c>
      <c r="BC2154" s="2">
        <v>41</v>
      </c>
      <c r="BD2154" s="2" t="s">
        <v>82</v>
      </c>
      <c r="BE2154" s="2">
        <v>13</v>
      </c>
      <c r="BF2154" s="2" t="s">
        <v>108</v>
      </c>
      <c r="BG2154" s="2" t="s">
        <v>7422</v>
      </c>
      <c r="BH2154" s="4">
        <v>0.5625</v>
      </c>
      <c r="BI2154" s="2"/>
      <c r="BJ2154" s="2">
        <v>164</v>
      </c>
      <c r="BK2154" s="2" t="s">
        <v>7423</v>
      </c>
      <c r="BL2154" s="2" t="s">
        <v>7424</v>
      </c>
      <c r="BM2154" s="2">
        <v>241</v>
      </c>
      <c r="BN2154" s="2" t="s">
        <v>82</v>
      </c>
      <c r="BO2154" s="2"/>
      <c r="BP2154" s="2">
        <v>13</v>
      </c>
      <c r="BQ2154" s="2" t="s">
        <v>91</v>
      </c>
      <c r="BR2154" s="2" t="s">
        <v>185</v>
      </c>
      <c r="BS2154" s="3">
        <v>40323</v>
      </c>
      <c r="BT2154" s="4">
        <v>0.92726851851851855</v>
      </c>
    </row>
    <row r="2155" spans="1:72" x14ac:dyDescent="0.25">
      <c r="A2155" s="2">
        <v>3132</v>
      </c>
      <c r="B2155" s="2">
        <v>2010</v>
      </c>
      <c r="C2155" s="2" t="s">
        <v>819</v>
      </c>
      <c r="D2155" s="2" t="s">
        <v>122</v>
      </c>
      <c r="E2155" s="2"/>
      <c r="F2155" s="2">
        <v>451</v>
      </c>
      <c r="G2155" s="2" t="s">
        <v>879</v>
      </c>
      <c r="H2155" s="2">
        <v>31</v>
      </c>
      <c r="I2155" s="2" t="s">
        <v>880</v>
      </c>
      <c r="J2155" s="2">
        <v>326</v>
      </c>
      <c r="K2155" s="2" t="s">
        <v>881</v>
      </c>
      <c r="L2155" s="2" t="s">
        <v>882</v>
      </c>
      <c r="M2155" s="3">
        <v>40323</v>
      </c>
      <c r="N2155" s="2" t="s">
        <v>3096</v>
      </c>
      <c r="O2155" s="2"/>
      <c r="P2155" s="2"/>
      <c r="Q2155" s="2" t="str">
        <f>"060/10"</f>
        <v>060/10</v>
      </c>
      <c r="R2155" s="2"/>
      <c r="S2155" s="2" t="s">
        <v>822</v>
      </c>
      <c r="T2155" s="2">
        <v>1</v>
      </c>
      <c r="U2155" s="2" t="s">
        <v>79</v>
      </c>
      <c r="V2155" s="2">
        <v>1</v>
      </c>
      <c r="W2155" s="2" t="s">
        <v>80</v>
      </c>
      <c r="X2155" s="2">
        <v>1</v>
      </c>
      <c r="Y2155" s="2" t="s">
        <v>81</v>
      </c>
      <c r="Z2155" s="2">
        <v>1</v>
      </c>
      <c r="AA2155" s="2" t="s">
        <v>82</v>
      </c>
      <c r="AB2155" s="2">
        <v>9</v>
      </c>
      <c r="AC2155" s="2" t="s">
        <v>124</v>
      </c>
      <c r="AD2155" s="3">
        <v>40323</v>
      </c>
      <c r="AE2155" s="4">
        <v>0.90277777777777779</v>
      </c>
      <c r="AF2155" s="2"/>
      <c r="AG2155" s="2"/>
      <c r="AH2155" s="2">
        <v>4</v>
      </c>
      <c r="AI2155" s="2" t="s">
        <v>125</v>
      </c>
      <c r="AJ2155" s="2">
        <v>29</v>
      </c>
      <c r="AK2155" s="2" t="s">
        <v>227</v>
      </c>
      <c r="AL2155" s="2">
        <v>16</v>
      </c>
      <c r="AM2155" s="2" t="s">
        <v>392</v>
      </c>
      <c r="AN2155" s="2" t="s">
        <v>3497</v>
      </c>
      <c r="AO2155" s="2" t="s">
        <v>2529</v>
      </c>
      <c r="AP2155" s="2">
        <v>12</v>
      </c>
      <c r="AQ2155" s="2" t="s">
        <v>322</v>
      </c>
      <c r="AR2155" s="2" t="s">
        <v>824</v>
      </c>
      <c r="AS2155" s="2" t="s">
        <v>6942</v>
      </c>
      <c r="AT2155" s="2" t="s">
        <v>7425</v>
      </c>
      <c r="AU2155" s="2"/>
      <c r="AV2155" s="2"/>
      <c r="AW2155" s="2"/>
      <c r="AX2155" s="2"/>
      <c r="AY2155" s="2">
        <v>41</v>
      </c>
      <c r="AZ2155" s="2" t="s">
        <v>82</v>
      </c>
      <c r="BA2155" s="2">
        <v>41</v>
      </c>
      <c r="BB2155" s="2" t="s">
        <v>82</v>
      </c>
      <c r="BC2155" s="2">
        <v>51</v>
      </c>
      <c r="BD2155" s="2" t="s">
        <v>827</v>
      </c>
      <c r="BE2155" s="2">
        <v>13</v>
      </c>
      <c r="BF2155" s="2" t="s">
        <v>108</v>
      </c>
      <c r="BG2155" s="2">
        <v>2459</v>
      </c>
      <c r="BH2155" s="4">
        <v>0.89583333333333337</v>
      </c>
      <c r="BI2155" s="4">
        <v>0.93402777777777779</v>
      </c>
      <c r="BJ2155" s="2">
        <v>13</v>
      </c>
      <c r="BK2155" s="2" t="s">
        <v>91</v>
      </c>
      <c r="BL2155" s="2" t="s">
        <v>828</v>
      </c>
      <c r="BM2155" s="2">
        <v>241</v>
      </c>
      <c r="BN2155" s="2" t="s">
        <v>82</v>
      </c>
      <c r="BO2155" s="2" t="s">
        <v>82</v>
      </c>
      <c r="BP2155" s="2">
        <v>13</v>
      </c>
      <c r="BQ2155" s="2" t="s">
        <v>91</v>
      </c>
      <c r="BR2155" s="2" t="s">
        <v>6944</v>
      </c>
      <c r="BS2155" s="3">
        <v>40323</v>
      </c>
      <c r="BT2155" s="4">
        <v>0.93475694444444446</v>
      </c>
    </row>
    <row r="2156" spans="1:72" x14ac:dyDescent="0.25">
      <c r="A2156" s="2">
        <v>3133</v>
      </c>
      <c r="B2156" s="2">
        <v>2010</v>
      </c>
      <c r="C2156" s="2" t="s">
        <v>121</v>
      </c>
      <c r="D2156" s="2" t="s">
        <v>122</v>
      </c>
      <c r="E2156" s="2"/>
      <c r="F2156" s="2">
        <v>1</v>
      </c>
      <c r="G2156" s="2" t="s">
        <v>82</v>
      </c>
      <c r="H2156" s="2">
        <v>1</v>
      </c>
      <c r="I2156" s="2" t="s">
        <v>82</v>
      </c>
      <c r="J2156" s="2">
        <v>1</v>
      </c>
      <c r="K2156" s="2" t="s">
        <v>107</v>
      </c>
      <c r="L2156" s="2" t="s">
        <v>107</v>
      </c>
      <c r="M2156" s="3">
        <v>40324</v>
      </c>
      <c r="N2156" s="2"/>
      <c r="O2156" s="2"/>
      <c r="P2156" s="2"/>
      <c r="Q2156" s="2" t="str">
        <f>""</f>
        <v/>
      </c>
      <c r="R2156" s="2"/>
      <c r="S2156" s="2"/>
      <c r="T2156" s="2">
        <v>2</v>
      </c>
      <c r="U2156" s="2" t="s">
        <v>123</v>
      </c>
      <c r="V2156" s="2">
        <v>1</v>
      </c>
      <c r="W2156" s="2" t="s">
        <v>80</v>
      </c>
      <c r="X2156" s="2">
        <v>1</v>
      </c>
      <c r="Y2156" s="2" t="s">
        <v>81</v>
      </c>
      <c r="Z2156" s="2">
        <v>10</v>
      </c>
      <c r="AA2156" s="2" t="s">
        <v>236</v>
      </c>
      <c r="AB2156" s="2">
        <v>9</v>
      </c>
      <c r="AC2156" s="2" t="s">
        <v>124</v>
      </c>
      <c r="AD2156" s="3">
        <v>40323</v>
      </c>
      <c r="AE2156" s="4">
        <v>0.90277777777777779</v>
      </c>
      <c r="AF2156" s="2"/>
      <c r="AG2156" s="2"/>
      <c r="AH2156" s="2">
        <v>2</v>
      </c>
      <c r="AI2156" s="2" t="s">
        <v>84</v>
      </c>
      <c r="AJ2156" s="2">
        <v>12</v>
      </c>
      <c r="AK2156" s="2" t="s">
        <v>85</v>
      </c>
      <c r="AL2156" s="2">
        <v>20</v>
      </c>
      <c r="AM2156" s="2" t="s">
        <v>992</v>
      </c>
      <c r="AN2156" s="2"/>
      <c r="AO2156" s="2"/>
      <c r="AP2156" s="2">
        <v>11</v>
      </c>
      <c r="AQ2156" s="2" t="s">
        <v>82</v>
      </c>
      <c r="AR2156" s="2"/>
      <c r="AS2156" s="2"/>
      <c r="AT2156" s="2" t="s">
        <v>7426</v>
      </c>
      <c r="AU2156" s="2"/>
      <c r="AV2156" s="2"/>
      <c r="AW2156" s="2"/>
      <c r="AX2156" s="2"/>
      <c r="AY2156" s="2">
        <v>41</v>
      </c>
      <c r="AZ2156" s="2" t="s">
        <v>82</v>
      </c>
      <c r="BA2156" s="2">
        <v>41</v>
      </c>
      <c r="BB2156" s="2" t="s">
        <v>82</v>
      </c>
      <c r="BC2156" s="2">
        <v>41</v>
      </c>
      <c r="BD2156" s="2" t="s">
        <v>82</v>
      </c>
      <c r="BE2156" s="2">
        <v>41</v>
      </c>
      <c r="BF2156" s="2" t="s">
        <v>82</v>
      </c>
      <c r="BG2156" s="2"/>
      <c r="BH2156" s="2"/>
      <c r="BI2156" s="2"/>
      <c r="BJ2156" s="2">
        <v>13</v>
      </c>
      <c r="BK2156" s="2" t="s">
        <v>91</v>
      </c>
      <c r="BL2156" s="2"/>
      <c r="BM2156" s="2">
        <v>241</v>
      </c>
      <c r="BN2156" s="2" t="s">
        <v>82</v>
      </c>
      <c r="BO2156" s="2"/>
      <c r="BP2156" s="2">
        <v>29</v>
      </c>
      <c r="BQ2156" s="2" t="s">
        <v>962</v>
      </c>
      <c r="BR2156" s="2"/>
      <c r="BS2156" s="3">
        <v>40324</v>
      </c>
      <c r="BT2156" s="4">
        <v>1.255787037037037E-2</v>
      </c>
    </row>
    <row r="2157" spans="1:72" x14ac:dyDescent="0.25">
      <c r="A2157" s="2">
        <v>3134</v>
      </c>
      <c r="B2157" s="2">
        <v>2010</v>
      </c>
      <c r="C2157" s="2" t="s">
        <v>121</v>
      </c>
      <c r="D2157" s="2" t="s">
        <v>122</v>
      </c>
      <c r="E2157" s="2" t="s">
        <v>7427</v>
      </c>
      <c r="F2157" s="2">
        <v>1</v>
      </c>
      <c r="G2157" s="2" t="s">
        <v>82</v>
      </c>
      <c r="H2157" s="2">
        <v>1</v>
      </c>
      <c r="I2157" s="2" t="s">
        <v>82</v>
      </c>
      <c r="J2157" s="2">
        <v>1</v>
      </c>
      <c r="K2157" s="2" t="s">
        <v>107</v>
      </c>
      <c r="L2157" s="2" t="s">
        <v>107</v>
      </c>
      <c r="M2157" s="3">
        <v>40324</v>
      </c>
      <c r="N2157" s="2"/>
      <c r="O2157" s="2"/>
      <c r="P2157" s="2"/>
      <c r="Q2157" s="2" t="str">
        <f>""</f>
        <v/>
      </c>
      <c r="R2157" s="2"/>
      <c r="S2157" s="2"/>
      <c r="T2157" s="2">
        <v>2</v>
      </c>
      <c r="U2157" s="2" t="s">
        <v>123</v>
      </c>
      <c r="V2157" s="2">
        <v>1</v>
      </c>
      <c r="W2157" s="2" t="s">
        <v>80</v>
      </c>
      <c r="X2157" s="2">
        <v>1</v>
      </c>
      <c r="Y2157" s="2" t="s">
        <v>81</v>
      </c>
      <c r="Z2157" s="2">
        <v>10</v>
      </c>
      <c r="AA2157" s="2" t="s">
        <v>236</v>
      </c>
      <c r="AB2157" s="2">
        <v>9</v>
      </c>
      <c r="AC2157" s="2" t="s">
        <v>124</v>
      </c>
      <c r="AD2157" s="3">
        <v>40323</v>
      </c>
      <c r="AE2157" s="4">
        <v>0.54166666666666663</v>
      </c>
      <c r="AF2157" s="2"/>
      <c r="AG2157" s="2"/>
      <c r="AH2157" s="2">
        <v>2</v>
      </c>
      <c r="AI2157" s="2" t="s">
        <v>84</v>
      </c>
      <c r="AJ2157" s="2">
        <v>12</v>
      </c>
      <c r="AK2157" s="2" t="s">
        <v>85</v>
      </c>
      <c r="AL2157" s="2">
        <v>20</v>
      </c>
      <c r="AM2157" s="2" t="s">
        <v>992</v>
      </c>
      <c r="AN2157" s="2" t="s">
        <v>107</v>
      </c>
      <c r="AO2157" s="2" t="s">
        <v>993</v>
      </c>
      <c r="AP2157" s="2">
        <v>11</v>
      </c>
      <c r="AQ2157" s="2" t="s">
        <v>82</v>
      </c>
      <c r="AR2157" s="2"/>
      <c r="AS2157" s="2"/>
      <c r="AT2157" s="2" t="s">
        <v>7428</v>
      </c>
      <c r="AU2157" s="2"/>
      <c r="AV2157" s="2"/>
      <c r="AW2157" s="2"/>
      <c r="AX2157" s="2"/>
      <c r="AY2157" s="2">
        <v>41</v>
      </c>
      <c r="AZ2157" s="2" t="s">
        <v>82</v>
      </c>
      <c r="BA2157" s="2">
        <v>41</v>
      </c>
      <c r="BB2157" s="2" t="s">
        <v>82</v>
      </c>
      <c r="BC2157" s="2">
        <v>41</v>
      </c>
      <c r="BD2157" s="2" t="s">
        <v>82</v>
      </c>
      <c r="BE2157" s="2">
        <v>41</v>
      </c>
      <c r="BF2157" s="2" t="s">
        <v>82</v>
      </c>
      <c r="BG2157" s="2"/>
      <c r="BH2157" s="4">
        <v>0.90347222222222223</v>
      </c>
      <c r="BI2157" s="2"/>
      <c r="BJ2157" s="2">
        <v>13</v>
      </c>
      <c r="BK2157" s="2" t="s">
        <v>91</v>
      </c>
      <c r="BL2157" s="2"/>
      <c r="BM2157" s="2">
        <v>241</v>
      </c>
      <c r="BN2157" s="2" t="s">
        <v>82</v>
      </c>
      <c r="BO2157" s="2"/>
      <c r="BP2157" s="2">
        <v>172</v>
      </c>
      <c r="BQ2157" s="2" t="s">
        <v>843</v>
      </c>
      <c r="BR2157" s="2"/>
      <c r="BS2157" s="3">
        <v>40324</v>
      </c>
      <c r="BT2157" s="4">
        <v>3.2511574074074075E-2</v>
      </c>
    </row>
    <row r="2158" spans="1:72" x14ac:dyDescent="0.25">
      <c r="A2158" s="2">
        <v>3135</v>
      </c>
      <c r="B2158" s="2">
        <v>2010</v>
      </c>
      <c r="C2158" s="2" t="s">
        <v>121</v>
      </c>
      <c r="D2158" s="2" t="s">
        <v>122</v>
      </c>
      <c r="E2158" s="2"/>
      <c r="F2158" s="2">
        <v>1</v>
      </c>
      <c r="G2158" s="2" t="s">
        <v>82</v>
      </c>
      <c r="H2158" s="2">
        <v>1</v>
      </c>
      <c r="I2158" s="2" t="s">
        <v>82</v>
      </c>
      <c r="J2158" s="2">
        <v>1</v>
      </c>
      <c r="K2158" s="2" t="s">
        <v>107</v>
      </c>
      <c r="L2158" s="2" t="s">
        <v>107</v>
      </c>
      <c r="M2158" s="3">
        <v>40324</v>
      </c>
      <c r="N2158" s="2"/>
      <c r="O2158" s="2"/>
      <c r="P2158" s="2"/>
      <c r="Q2158" s="2" t="str">
        <f>""</f>
        <v/>
      </c>
      <c r="R2158" s="2"/>
      <c r="S2158" s="2"/>
      <c r="T2158" s="2">
        <v>2</v>
      </c>
      <c r="U2158" s="2" t="s">
        <v>123</v>
      </c>
      <c r="V2158" s="2">
        <v>1</v>
      </c>
      <c r="W2158" s="2" t="s">
        <v>80</v>
      </c>
      <c r="X2158" s="2">
        <v>1</v>
      </c>
      <c r="Y2158" s="2" t="s">
        <v>81</v>
      </c>
      <c r="Z2158" s="2">
        <v>10</v>
      </c>
      <c r="AA2158" s="2" t="s">
        <v>236</v>
      </c>
      <c r="AB2158" s="2">
        <v>9</v>
      </c>
      <c r="AC2158" s="2" t="s">
        <v>124</v>
      </c>
      <c r="AD2158" s="3">
        <v>40323</v>
      </c>
      <c r="AE2158" s="4">
        <v>0.54166666666666663</v>
      </c>
      <c r="AF2158" s="2"/>
      <c r="AG2158" s="2"/>
      <c r="AH2158" s="2">
        <v>2</v>
      </c>
      <c r="AI2158" s="2" t="s">
        <v>84</v>
      </c>
      <c r="AJ2158" s="2">
        <v>12</v>
      </c>
      <c r="AK2158" s="2" t="s">
        <v>85</v>
      </c>
      <c r="AL2158" s="2">
        <v>20</v>
      </c>
      <c r="AM2158" s="2" t="s">
        <v>992</v>
      </c>
      <c r="AN2158" s="2" t="s">
        <v>993</v>
      </c>
      <c r="AO2158" s="2"/>
      <c r="AP2158" s="2">
        <v>11</v>
      </c>
      <c r="AQ2158" s="2" t="s">
        <v>82</v>
      </c>
      <c r="AR2158" s="2"/>
      <c r="AS2158" s="2"/>
      <c r="AT2158" s="2" t="s">
        <v>7429</v>
      </c>
      <c r="AU2158" s="2"/>
      <c r="AV2158" s="2"/>
      <c r="AW2158" s="2"/>
      <c r="AX2158" s="2"/>
      <c r="AY2158" s="2">
        <v>41</v>
      </c>
      <c r="AZ2158" s="2" t="s">
        <v>82</v>
      </c>
      <c r="BA2158" s="2">
        <v>41</v>
      </c>
      <c r="BB2158" s="2" t="s">
        <v>82</v>
      </c>
      <c r="BC2158" s="2">
        <v>41</v>
      </c>
      <c r="BD2158" s="2" t="s">
        <v>82</v>
      </c>
      <c r="BE2158" s="2">
        <v>41</v>
      </c>
      <c r="BF2158" s="2" t="s">
        <v>82</v>
      </c>
      <c r="BG2158" s="2"/>
      <c r="BH2158" s="2"/>
      <c r="BI2158" s="2"/>
      <c r="BJ2158" s="2">
        <v>13</v>
      </c>
      <c r="BK2158" s="2" t="s">
        <v>91</v>
      </c>
      <c r="BL2158" s="2"/>
      <c r="BM2158" s="2">
        <v>241</v>
      </c>
      <c r="BN2158" s="2" t="s">
        <v>82</v>
      </c>
      <c r="BO2158" s="2"/>
      <c r="BP2158" s="2">
        <v>229</v>
      </c>
      <c r="BQ2158" s="2" t="s">
        <v>300</v>
      </c>
      <c r="BR2158" s="2"/>
      <c r="BS2158" s="3">
        <v>40324</v>
      </c>
      <c r="BT2158" s="4">
        <v>4.50462962962963E-2</v>
      </c>
    </row>
    <row r="2159" spans="1:72" x14ac:dyDescent="0.25">
      <c r="A2159" s="2">
        <v>3136</v>
      </c>
      <c r="B2159" s="2">
        <v>2010</v>
      </c>
      <c r="C2159" s="2" t="s">
        <v>121</v>
      </c>
      <c r="D2159" s="2" t="s">
        <v>122</v>
      </c>
      <c r="E2159" s="2" t="s">
        <v>7430</v>
      </c>
      <c r="F2159" s="2">
        <v>1</v>
      </c>
      <c r="G2159" s="2" t="s">
        <v>82</v>
      </c>
      <c r="H2159" s="2">
        <v>1</v>
      </c>
      <c r="I2159" s="2" t="s">
        <v>82</v>
      </c>
      <c r="J2159" s="2">
        <v>1</v>
      </c>
      <c r="K2159" s="2" t="s">
        <v>107</v>
      </c>
      <c r="L2159" s="2" t="s">
        <v>107</v>
      </c>
      <c r="M2159" s="3">
        <v>40324</v>
      </c>
      <c r="N2159" s="2"/>
      <c r="O2159" s="2"/>
      <c r="P2159" s="2"/>
      <c r="Q2159" s="2" t="str">
        <f>""</f>
        <v/>
      </c>
      <c r="R2159" s="2"/>
      <c r="S2159" s="2"/>
      <c r="T2159" s="2">
        <v>2</v>
      </c>
      <c r="U2159" s="2" t="s">
        <v>123</v>
      </c>
      <c r="V2159" s="2">
        <v>1</v>
      </c>
      <c r="W2159" s="2" t="s">
        <v>80</v>
      </c>
      <c r="X2159" s="2">
        <v>11</v>
      </c>
      <c r="Y2159" s="2" t="s">
        <v>1920</v>
      </c>
      <c r="Z2159" s="2">
        <v>10</v>
      </c>
      <c r="AA2159" s="2" t="s">
        <v>236</v>
      </c>
      <c r="AB2159" s="2">
        <v>9</v>
      </c>
      <c r="AC2159" s="2" t="s">
        <v>124</v>
      </c>
      <c r="AD2159" s="3">
        <v>40323</v>
      </c>
      <c r="AE2159" s="4">
        <v>0.54166666666666663</v>
      </c>
      <c r="AF2159" s="2"/>
      <c r="AG2159" s="2"/>
      <c r="AH2159" s="2">
        <v>2</v>
      </c>
      <c r="AI2159" s="2" t="s">
        <v>84</v>
      </c>
      <c r="AJ2159" s="2">
        <v>12</v>
      </c>
      <c r="AK2159" s="2" t="s">
        <v>85</v>
      </c>
      <c r="AL2159" s="2">
        <v>20</v>
      </c>
      <c r="AM2159" s="2" t="s">
        <v>992</v>
      </c>
      <c r="AN2159" s="2" t="s">
        <v>993</v>
      </c>
      <c r="AO2159" s="2"/>
      <c r="AP2159" s="2">
        <v>11</v>
      </c>
      <c r="AQ2159" s="2" t="s">
        <v>82</v>
      </c>
      <c r="AR2159" s="2"/>
      <c r="AS2159" s="2"/>
      <c r="AT2159" s="2" t="s">
        <v>7431</v>
      </c>
      <c r="AU2159" s="2"/>
      <c r="AV2159" s="2"/>
      <c r="AW2159" s="2"/>
      <c r="AX2159" s="2"/>
      <c r="AY2159" s="2">
        <v>41</v>
      </c>
      <c r="AZ2159" s="2" t="s">
        <v>82</v>
      </c>
      <c r="BA2159" s="2">
        <v>41</v>
      </c>
      <c r="BB2159" s="2" t="s">
        <v>82</v>
      </c>
      <c r="BC2159" s="2">
        <v>41</v>
      </c>
      <c r="BD2159" s="2" t="s">
        <v>82</v>
      </c>
      <c r="BE2159" s="2">
        <v>41</v>
      </c>
      <c r="BF2159" s="2" t="s">
        <v>82</v>
      </c>
      <c r="BG2159" s="2"/>
      <c r="BH2159" s="4">
        <v>0.66666666666666663</v>
      </c>
      <c r="BI2159" s="2"/>
      <c r="BJ2159" s="2">
        <v>13</v>
      </c>
      <c r="BK2159" s="2" t="s">
        <v>91</v>
      </c>
      <c r="BL2159" s="2" t="s">
        <v>185</v>
      </c>
      <c r="BM2159" s="2">
        <v>241</v>
      </c>
      <c r="BN2159" s="2" t="s">
        <v>82</v>
      </c>
      <c r="BO2159" s="2"/>
      <c r="BP2159" s="2">
        <v>46</v>
      </c>
      <c r="BQ2159" s="2" t="s">
        <v>307</v>
      </c>
      <c r="BR2159" s="2" t="s">
        <v>7415</v>
      </c>
      <c r="BS2159" s="3">
        <v>40324</v>
      </c>
      <c r="BT2159" s="4">
        <v>7.2256944444444443E-2</v>
      </c>
    </row>
    <row r="2160" spans="1:72" x14ac:dyDescent="0.25">
      <c r="A2160" s="2">
        <v>3137</v>
      </c>
      <c r="B2160" s="2">
        <v>2010</v>
      </c>
      <c r="C2160" s="2" t="s">
        <v>121</v>
      </c>
      <c r="D2160" s="2" t="s">
        <v>122</v>
      </c>
      <c r="E2160" s="2" t="s">
        <v>7432</v>
      </c>
      <c r="F2160" s="2">
        <v>1</v>
      </c>
      <c r="G2160" s="2" t="s">
        <v>82</v>
      </c>
      <c r="H2160" s="2">
        <v>1</v>
      </c>
      <c r="I2160" s="2" t="s">
        <v>82</v>
      </c>
      <c r="J2160" s="2">
        <v>1</v>
      </c>
      <c r="K2160" s="2" t="s">
        <v>107</v>
      </c>
      <c r="L2160" s="2" t="s">
        <v>107</v>
      </c>
      <c r="M2160" s="3">
        <v>40324</v>
      </c>
      <c r="N2160" s="2"/>
      <c r="O2160" s="2"/>
      <c r="P2160" s="2"/>
      <c r="Q2160" s="2" t="str">
        <f>""</f>
        <v/>
      </c>
      <c r="R2160" s="2"/>
      <c r="S2160" s="2"/>
      <c r="T2160" s="2">
        <v>2</v>
      </c>
      <c r="U2160" s="2" t="s">
        <v>123</v>
      </c>
      <c r="V2160" s="2">
        <v>1</v>
      </c>
      <c r="W2160" s="2" t="s">
        <v>80</v>
      </c>
      <c r="X2160" s="2">
        <v>11</v>
      </c>
      <c r="Y2160" s="2" t="s">
        <v>1920</v>
      </c>
      <c r="Z2160" s="2">
        <v>10</v>
      </c>
      <c r="AA2160" s="2" t="s">
        <v>236</v>
      </c>
      <c r="AB2160" s="2">
        <v>9</v>
      </c>
      <c r="AC2160" s="2" t="s">
        <v>124</v>
      </c>
      <c r="AD2160" s="3">
        <v>40323</v>
      </c>
      <c r="AE2160" s="4">
        <v>0.54166666666666663</v>
      </c>
      <c r="AF2160" s="2"/>
      <c r="AG2160" s="2"/>
      <c r="AH2160" s="2">
        <v>2</v>
      </c>
      <c r="AI2160" s="2" t="s">
        <v>84</v>
      </c>
      <c r="AJ2160" s="2">
        <v>12</v>
      </c>
      <c r="AK2160" s="2" t="s">
        <v>85</v>
      </c>
      <c r="AL2160" s="2">
        <v>20</v>
      </c>
      <c r="AM2160" s="2" t="s">
        <v>992</v>
      </c>
      <c r="AN2160" s="2" t="s">
        <v>993</v>
      </c>
      <c r="AO2160" s="2"/>
      <c r="AP2160" s="2">
        <v>11</v>
      </c>
      <c r="AQ2160" s="2" t="s">
        <v>82</v>
      </c>
      <c r="AR2160" s="2"/>
      <c r="AS2160" s="2"/>
      <c r="AT2160" s="2" t="s">
        <v>7433</v>
      </c>
      <c r="AU2160" s="2"/>
      <c r="AV2160" s="2"/>
      <c r="AW2160" s="2"/>
      <c r="AX2160" s="2"/>
      <c r="AY2160" s="2">
        <v>41</v>
      </c>
      <c r="AZ2160" s="2" t="s">
        <v>82</v>
      </c>
      <c r="BA2160" s="2">
        <v>41</v>
      </c>
      <c r="BB2160" s="2" t="s">
        <v>82</v>
      </c>
      <c r="BC2160" s="2">
        <v>41</v>
      </c>
      <c r="BD2160" s="2" t="s">
        <v>82</v>
      </c>
      <c r="BE2160" s="2">
        <v>41</v>
      </c>
      <c r="BF2160" s="2" t="s">
        <v>82</v>
      </c>
      <c r="BG2160" s="2"/>
      <c r="BH2160" s="2"/>
      <c r="BI2160" s="2"/>
      <c r="BJ2160" s="2">
        <v>13</v>
      </c>
      <c r="BK2160" s="2" t="s">
        <v>91</v>
      </c>
      <c r="BL2160" s="2" t="s">
        <v>185</v>
      </c>
      <c r="BM2160" s="2">
        <v>241</v>
      </c>
      <c r="BN2160" s="2" t="s">
        <v>82</v>
      </c>
      <c r="BO2160" s="2"/>
      <c r="BP2160" s="2">
        <v>66</v>
      </c>
      <c r="BQ2160" s="2" t="s">
        <v>2681</v>
      </c>
      <c r="BR2160" s="2" t="s">
        <v>7413</v>
      </c>
      <c r="BS2160" s="3">
        <v>40324</v>
      </c>
      <c r="BT2160" s="4">
        <v>7.9293981481481479E-2</v>
      </c>
    </row>
    <row r="2161" spans="1:72" x14ac:dyDescent="0.25">
      <c r="A2161" s="2">
        <v>3138</v>
      </c>
      <c r="B2161" s="2">
        <v>2010</v>
      </c>
      <c r="C2161" s="2" t="s">
        <v>255</v>
      </c>
      <c r="D2161" s="2" t="s">
        <v>73</v>
      </c>
      <c r="E2161" s="2"/>
      <c r="F2161" s="2">
        <v>35</v>
      </c>
      <c r="G2161" s="2" t="s">
        <v>2057</v>
      </c>
      <c r="H2161" s="2">
        <v>112</v>
      </c>
      <c r="I2161" s="2" t="s">
        <v>7351</v>
      </c>
      <c r="J2161" s="2">
        <v>43</v>
      </c>
      <c r="K2161" s="2" t="s">
        <v>2059</v>
      </c>
      <c r="L2161" s="2" t="s">
        <v>2060</v>
      </c>
      <c r="M2161" s="3">
        <v>40324</v>
      </c>
      <c r="N2161" s="2" t="s">
        <v>7352</v>
      </c>
      <c r="O2161" s="2" t="s">
        <v>6961</v>
      </c>
      <c r="P2161" s="2" t="s">
        <v>107</v>
      </c>
      <c r="Q2161" s="2" t="str">
        <f>"25/10"</f>
        <v>25/10</v>
      </c>
      <c r="R2161" s="2" t="s">
        <v>6961</v>
      </c>
      <c r="S2161" s="2" t="s">
        <v>6961</v>
      </c>
      <c r="T2161" s="2">
        <v>1</v>
      </c>
      <c r="U2161" s="2" t="s">
        <v>79</v>
      </c>
      <c r="V2161" s="2">
        <v>1</v>
      </c>
      <c r="W2161" s="2" t="s">
        <v>80</v>
      </c>
      <c r="X2161" s="2">
        <v>1</v>
      </c>
      <c r="Y2161" s="2" t="s">
        <v>81</v>
      </c>
      <c r="Z2161" s="2">
        <v>1</v>
      </c>
      <c r="AA2161" s="2" t="s">
        <v>82</v>
      </c>
      <c r="AB2161" s="2">
        <v>9</v>
      </c>
      <c r="AC2161" s="2" t="s">
        <v>124</v>
      </c>
      <c r="AD2161" s="3">
        <v>40324</v>
      </c>
      <c r="AE2161" s="4">
        <v>2.0833333333333332E-2</v>
      </c>
      <c r="AF2161" s="2"/>
      <c r="AG2161" s="2"/>
      <c r="AH2161" s="2">
        <v>3</v>
      </c>
      <c r="AI2161" s="2" t="s">
        <v>214</v>
      </c>
      <c r="AJ2161" s="2">
        <v>17</v>
      </c>
      <c r="AK2161" s="2" t="s">
        <v>309</v>
      </c>
      <c r="AL2161" s="2">
        <v>9</v>
      </c>
      <c r="AM2161" s="2" t="s">
        <v>259</v>
      </c>
      <c r="AN2161" s="2" t="s">
        <v>7434</v>
      </c>
      <c r="AO2161" s="2"/>
      <c r="AP2161" s="2">
        <v>11</v>
      </c>
      <c r="AQ2161" s="2" t="s">
        <v>82</v>
      </c>
      <c r="AR2161" s="2" t="s">
        <v>82</v>
      </c>
      <c r="AS2161" s="2" t="s">
        <v>82</v>
      </c>
      <c r="AT2161" s="2" t="s">
        <v>7435</v>
      </c>
      <c r="AU2161" s="2"/>
      <c r="AV2161" s="2"/>
      <c r="AW2161" s="2"/>
      <c r="AX2161" s="2"/>
      <c r="AY2161" s="2">
        <v>44</v>
      </c>
      <c r="AZ2161" s="2" t="s">
        <v>262</v>
      </c>
      <c r="BA2161" s="2">
        <v>41</v>
      </c>
      <c r="BB2161" s="2" t="s">
        <v>82</v>
      </c>
      <c r="BC2161" s="2">
        <v>1</v>
      </c>
      <c r="BD2161" s="2" t="s">
        <v>107</v>
      </c>
      <c r="BE2161" s="2">
        <v>41</v>
      </c>
      <c r="BF2161" s="2" t="s">
        <v>82</v>
      </c>
      <c r="BG2161" s="2" t="s">
        <v>82</v>
      </c>
      <c r="BH2161" s="2"/>
      <c r="BI2161" s="2"/>
      <c r="BJ2161" s="2">
        <v>241</v>
      </c>
      <c r="BK2161" s="2" t="s">
        <v>82</v>
      </c>
      <c r="BL2161" s="2" t="s">
        <v>82</v>
      </c>
      <c r="BM2161" s="2">
        <v>241</v>
      </c>
      <c r="BN2161" s="2" t="s">
        <v>82</v>
      </c>
      <c r="BO2161" s="2" t="s">
        <v>82</v>
      </c>
      <c r="BP2161" s="2">
        <v>241</v>
      </c>
      <c r="BQ2161" s="2" t="s">
        <v>82</v>
      </c>
      <c r="BR2161" s="2" t="s">
        <v>82</v>
      </c>
      <c r="BS2161" s="3">
        <v>40324</v>
      </c>
      <c r="BT2161" s="4">
        <v>0.12295138888888889</v>
      </c>
    </row>
    <row r="2162" spans="1:72" x14ac:dyDescent="0.25">
      <c r="A2162" s="2">
        <v>3139</v>
      </c>
      <c r="B2162" s="2">
        <v>2010</v>
      </c>
      <c r="C2162" s="2" t="s">
        <v>72</v>
      </c>
      <c r="D2162" s="2" t="s">
        <v>73</v>
      </c>
      <c r="E2162" s="2"/>
      <c r="F2162" s="2">
        <v>612</v>
      </c>
      <c r="G2162" s="2" t="s">
        <v>6664</v>
      </c>
      <c r="H2162" s="2">
        <v>22</v>
      </c>
      <c r="I2162" s="2" t="s">
        <v>75</v>
      </c>
      <c r="J2162" s="2">
        <v>550</v>
      </c>
      <c r="K2162" s="2" t="s">
        <v>6744</v>
      </c>
      <c r="L2162" s="2" t="s">
        <v>6745</v>
      </c>
      <c r="M2162" s="3">
        <v>40324</v>
      </c>
      <c r="N2162" s="2" t="s">
        <v>7436</v>
      </c>
      <c r="O2162" s="2"/>
      <c r="P2162" s="2"/>
      <c r="Q2162" s="2" t="str">
        <f>"189-A/10"</f>
        <v>189-A/10</v>
      </c>
      <c r="R2162" s="2"/>
      <c r="S2162" s="2" t="s">
        <v>78</v>
      </c>
      <c r="T2162" s="2">
        <v>1</v>
      </c>
      <c r="U2162" s="2" t="s">
        <v>79</v>
      </c>
      <c r="V2162" s="2">
        <v>1</v>
      </c>
      <c r="W2162" s="2" t="s">
        <v>80</v>
      </c>
      <c r="X2162" s="2">
        <v>12</v>
      </c>
      <c r="Y2162" s="2" t="s">
        <v>148</v>
      </c>
      <c r="Z2162" s="2">
        <v>1</v>
      </c>
      <c r="AA2162" s="2" t="s">
        <v>82</v>
      </c>
      <c r="AB2162" s="2">
        <v>6</v>
      </c>
      <c r="AC2162" s="2" t="s">
        <v>83</v>
      </c>
      <c r="AD2162" s="3">
        <v>40324</v>
      </c>
      <c r="AE2162" s="4">
        <v>0.21527777777777779</v>
      </c>
      <c r="AF2162" s="2"/>
      <c r="AG2162" s="2"/>
      <c r="AH2162" s="2">
        <v>2</v>
      </c>
      <c r="AI2162" s="2" t="s">
        <v>84</v>
      </c>
      <c r="AJ2162" s="2">
        <v>12</v>
      </c>
      <c r="AK2162" s="2" t="s">
        <v>85</v>
      </c>
      <c r="AL2162" s="2">
        <v>14</v>
      </c>
      <c r="AM2162" s="2" t="s">
        <v>216</v>
      </c>
      <c r="AN2162" s="2" t="s">
        <v>7437</v>
      </c>
      <c r="AO2162" s="2"/>
      <c r="AP2162" s="2">
        <v>11</v>
      </c>
      <c r="AQ2162" s="2" t="s">
        <v>82</v>
      </c>
      <c r="AR2162" s="2"/>
      <c r="AS2162" s="2"/>
      <c r="AT2162" s="2" t="s">
        <v>7438</v>
      </c>
      <c r="AU2162" s="2"/>
      <c r="AV2162" s="2"/>
      <c r="AW2162" s="2"/>
      <c r="AX2162" s="2"/>
      <c r="AY2162" s="2">
        <v>41</v>
      </c>
      <c r="AZ2162" s="2" t="s">
        <v>82</v>
      </c>
      <c r="BA2162" s="2">
        <v>41</v>
      </c>
      <c r="BB2162" s="2" t="s">
        <v>82</v>
      </c>
      <c r="BC2162" s="2">
        <v>41</v>
      </c>
      <c r="BD2162" s="2" t="s">
        <v>82</v>
      </c>
      <c r="BE2162" s="2">
        <v>4</v>
      </c>
      <c r="BF2162" s="2" t="s">
        <v>90</v>
      </c>
      <c r="BG2162" s="2" t="s">
        <v>4492</v>
      </c>
      <c r="BH2162" s="4">
        <v>0.30208333333333331</v>
      </c>
      <c r="BI2162" s="4">
        <v>0.23958333333333334</v>
      </c>
      <c r="BJ2162" s="2">
        <v>13</v>
      </c>
      <c r="BK2162" s="2" t="s">
        <v>91</v>
      </c>
      <c r="BL2162" s="2" t="s">
        <v>185</v>
      </c>
      <c r="BM2162" s="2">
        <v>241</v>
      </c>
      <c r="BN2162" s="2" t="s">
        <v>82</v>
      </c>
      <c r="BO2162" s="2"/>
      <c r="BP2162" s="2">
        <v>13</v>
      </c>
      <c r="BQ2162" s="2" t="s">
        <v>91</v>
      </c>
      <c r="BR2162" s="2" t="s">
        <v>744</v>
      </c>
      <c r="BS2162" s="3">
        <v>40324</v>
      </c>
      <c r="BT2162" s="4">
        <v>0.31687500000000002</v>
      </c>
    </row>
    <row r="2163" spans="1:72" x14ac:dyDescent="0.25">
      <c r="A2163" s="2">
        <v>3142</v>
      </c>
      <c r="B2163" s="2">
        <v>2010</v>
      </c>
      <c r="C2163" s="2" t="s">
        <v>121</v>
      </c>
      <c r="D2163" s="2" t="s">
        <v>122</v>
      </c>
      <c r="E2163" s="2"/>
      <c r="F2163" s="2">
        <v>1</v>
      </c>
      <c r="G2163" s="2" t="s">
        <v>82</v>
      </c>
      <c r="H2163" s="2">
        <v>1</v>
      </c>
      <c r="I2163" s="2" t="s">
        <v>82</v>
      </c>
      <c r="J2163" s="2">
        <v>1</v>
      </c>
      <c r="K2163" s="2" t="s">
        <v>107</v>
      </c>
      <c r="L2163" s="2" t="s">
        <v>107</v>
      </c>
      <c r="M2163" s="3">
        <v>40324</v>
      </c>
      <c r="N2163" s="2"/>
      <c r="O2163" s="2"/>
      <c r="P2163" s="2"/>
      <c r="Q2163" s="2" t="str">
        <f>""</f>
        <v/>
      </c>
      <c r="R2163" s="2"/>
      <c r="S2163" s="2"/>
      <c r="T2163" s="2">
        <v>2</v>
      </c>
      <c r="U2163" s="2" t="s">
        <v>123</v>
      </c>
      <c r="V2163" s="2">
        <v>1</v>
      </c>
      <c r="W2163" s="2" t="s">
        <v>80</v>
      </c>
      <c r="X2163" s="2">
        <v>1</v>
      </c>
      <c r="Y2163" s="2" t="s">
        <v>81</v>
      </c>
      <c r="Z2163" s="2">
        <v>10</v>
      </c>
      <c r="AA2163" s="2" t="s">
        <v>236</v>
      </c>
      <c r="AB2163" s="2">
        <v>9</v>
      </c>
      <c r="AC2163" s="2" t="s">
        <v>124</v>
      </c>
      <c r="AD2163" s="3">
        <v>40323</v>
      </c>
      <c r="AE2163" s="4">
        <v>0.90277777777777779</v>
      </c>
      <c r="AF2163" s="2"/>
      <c r="AG2163" s="2"/>
      <c r="AH2163" s="2">
        <v>2</v>
      </c>
      <c r="AI2163" s="2" t="s">
        <v>84</v>
      </c>
      <c r="AJ2163" s="2">
        <v>12</v>
      </c>
      <c r="AK2163" s="2" t="s">
        <v>85</v>
      </c>
      <c r="AL2163" s="2">
        <v>20</v>
      </c>
      <c r="AM2163" s="2" t="s">
        <v>992</v>
      </c>
      <c r="AN2163" s="2"/>
      <c r="AO2163" s="2"/>
      <c r="AP2163" s="2">
        <v>11</v>
      </c>
      <c r="AQ2163" s="2" t="s">
        <v>82</v>
      </c>
      <c r="AR2163" s="2"/>
      <c r="AS2163" s="2"/>
      <c r="AT2163" s="2" t="s">
        <v>7439</v>
      </c>
      <c r="AU2163" s="2"/>
      <c r="AV2163" s="2"/>
      <c r="AW2163" s="2"/>
      <c r="AX2163" s="2"/>
      <c r="AY2163" s="2">
        <v>1</v>
      </c>
      <c r="AZ2163" s="2" t="s">
        <v>107</v>
      </c>
      <c r="BA2163" s="2">
        <v>1</v>
      </c>
      <c r="BB2163" s="2" t="s">
        <v>107</v>
      </c>
      <c r="BC2163" s="2">
        <v>1</v>
      </c>
      <c r="BD2163" s="2" t="s">
        <v>107</v>
      </c>
      <c r="BE2163" s="2">
        <v>1</v>
      </c>
      <c r="BF2163" s="2" t="s">
        <v>107</v>
      </c>
      <c r="BG2163" s="2"/>
      <c r="BH2163" s="2"/>
      <c r="BI2163" s="4">
        <v>0.9145833333333333</v>
      </c>
      <c r="BJ2163" s="2">
        <v>13</v>
      </c>
      <c r="BK2163" s="2" t="s">
        <v>91</v>
      </c>
      <c r="BL2163" s="2" t="s">
        <v>185</v>
      </c>
      <c r="BM2163" s="2">
        <v>242</v>
      </c>
      <c r="BN2163" s="2" t="s">
        <v>107</v>
      </c>
      <c r="BO2163" s="2"/>
      <c r="BP2163" s="2">
        <v>33</v>
      </c>
      <c r="BQ2163" s="2" t="s">
        <v>361</v>
      </c>
      <c r="BR2163" s="2"/>
      <c r="BS2163" s="3">
        <v>40324</v>
      </c>
      <c r="BT2163" s="4">
        <v>0.44620370370370371</v>
      </c>
    </row>
    <row r="2164" spans="1:72" x14ac:dyDescent="0.25">
      <c r="A2164" s="2">
        <v>3143</v>
      </c>
      <c r="B2164" s="2">
        <v>2010</v>
      </c>
      <c r="C2164" s="2" t="s">
        <v>819</v>
      </c>
      <c r="D2164" s="2" t="s">
        <v>122</v>
      </c>
      <c r="E2164" s="2" t="s">
        <v>7440</v>
      </c>
      <c r="F2164" s="2">
        <v>451</v>
      </c>
      <c r="G2164" s="2" t="s">
        <v>879</v>
      </c>
      <c r="H2164" s="2">
        <v>31</v>
      </c>
      <c r="I2164" s="2" t="s">
        <v>880</v>
      </c>
      <c r="J2164" s="2">
        <v>326</v>
      </c>
      <c r="K2164" s="2" t="s">
        <v>881</v>
      </c>
      <c r="L2164" s="2" t="s">
        <v>882</v>
      </c>
      <c r="M2164" s="3">
        <v>40324</v>
      </c>
      <c r="N2164" s="2" t="s">
        <v>3096</v>
      </c>
      <c r="O2164" s="2"/>
      <c r="P2164" s="2"/>
      <c r="Q2164" s="2" t="str">
        <f>"060/10"</f>
        <v>060/10</v>
      </c>
      <c r="R2164" s="2" t="s">
        <v>822</v>
      </c>
      <c r="S2164" s="2"/>
      <c r="T2164" s="2">
        <v>1</v>
      </c>
      <c r="U2164" s="2" t="s">
        <v>79</v>
      </c>
      <c r="V2164" s="2">
        <v>1</v>
      </c>
      <c r="W2164" s="2" t="s">
        <v>80</v>
      </c>
      <c r="X2164" s="2">
        <v>1</v>
      </c>
      <c r="Y2164" s="2" t="s">
        <v>81</v>
      </c>
      <c r="Z2164" s="2">
        <v>10</v>
      </c>
      <c r="AA2164" s="2" t="s">
        <v>236</v>
      </c>
      <c r="AB2164" s="2">
        <v>9</v>
      </c>
      <c r="AC2164" s="2" t="s">
        <v>124</v>
      </c>
      <c r="AD2164" s="3">
        <v>40324</v>
      </c>
      <c r="AE2164" s="4">
        <v>0.40277777777777773</v>
      </c>
      <c r="AF2164" s="2"/>
      <c r="AG2164" s="2"/>
      <c r="AH2164" s="2">
        <v>4</v>
      </c>
      <c r="AI2164" s="2" t="s">
        <v>125</v>
      </c>
      <c r="AJ2164" s="2">
        <v>29</v>
      </c>
      <c r="AK2164" s="2" t="s">
        <v>227</v>
      </c>
      <c r="AL2164" s="2">
        <v>10</v>
      </c>
      <c r="AM2164" s="2" t="s">
        <v>200</v>
      </c>
      <c r="AN2164" s="2" t="s">
        <v>7441</v>
      </c>
      <c r="AO2164" s="2" t="s">
        <v>6940</v>
      </c>
      <c r="AP2164" s="2">
        <v>12</v>
      </c>
      <c r="AQ2164" s="2" t="s">
        <v>322</v>
      </c>
      <c r="AR2164" s="2" t="s">
        <v>824</v>
      </c>
      <c r="AS2164" s="2" t="s">
        <v>6942</v>
      </c>
      <c r="AT2164" s="2" t="s">
        <v>7442</v>
      </c>
      <c r="AU2164" s="2"/>
      <c r="AV2164" s="2"/>
      <c r="AW2164" s="2"/>
      <c r="AX2164" s="2"/>
      <c r="AY2164" s="2">
        <v>41</v>
      </c>
      <c r="AZ2164" s="2" t="s">
        <v>82</v>
      </c>
      <c r="BA2164" s="2">
        <v>41</v>
      </c>
      <c r="BB2164" s="2" t="s">
        <v>82</v>
      </c>
      <c r="BC2164" s="2">
        <v>41</v>
      </c>
      <c r="BD2164" s="2" t="s">
        <v>82</v>
      </c>
      <c r="BE2164" s="2">
        <v>13</v>
      </c>
      <c r="BF2164" s="2" t="s">
        <v>108</v>
      </c>
      <c r="BG2164" s="2">
        <v>2459</v>
      </c>
      <c r="BH2164" s="4">
        <v>0.89583333333333337</v>
      </c>
      <c r="BI2164" s="4">
        <v>0.93402777777777779</v>
      </c>
      <c r="BJ2164" s="2">
        <v>13</v>
      </c>
      <c r="BK2164" s="2" t="s">
        <v>91</v>
      </c>
      <c r="BL2164" s="2" t="s">
        <v>828</v>
      </c>
      <c r="BM2164" s="2">
        <v>241</v>
      </c>
      <c r="BN2164" s="2" t="s">
        <v>82</v>
      </c>
      <c r="BO2164" s="2" t="s">
        <v>82</v>
      </c>
      <c r="BP2164" s="2">
        <v>13</v>
      </c>
      <c r="BQ2164" s="2" t="s">
        <v>91</v>
      </c>
      <c r="BR2164" s="2" t="s">
        <v>6944</v>
      </c>
      <c r="BS2164" s="3">
        <v>40324</v>
      </c>
      <c r="BT2164" s="4">
        <v>0.44983796296296297</v>
      </c>
    </row>
    <row r="2165" spans="1:72" x14ac:dyDescent="0.25">
      <c r="A2165" s="2">
        <v>3145</v>
      </c>
      <c r="B2165" s="2">
        <v>2010</v>
      </c>
      <c r="C2165" s="2" t="s">
        <v>121</v>
      </c>
      <c r="D2165" s="2" t="s">
        <v>122</v>
      </c>
      <c r="E2165" s="2"/>
      <c r="F2165" s="2">
        <v>1</v>
      </c>
      <c r="G2165" s="2" t="s">
        <v>82</v>
      </c>
      <c r="H2165" s="2">
        <v>1</v>
      </c>
      <c r="I2165" s="2" t="s">
        <v>82</v>
      </c>
      <c r="J2165" s="2">
        <v>1</v>
      </c>
      <c r="K2165" s="2" t="s">
        <v>107</v>
      </c>
      <c r="L2165" s="2" t="s">
        <v>107</v>
      </c>
      <c r="M2165" s="3">
        <v>40324</v>
      </c>
      <c r="N2165" s="2"/>
      <c r="O2165" s="2"/>
      <c r="P2165" s="2"/>
      <c r="Q2165" s="2" t="str">
        <f>""</f>
        <v/>
      </c>
      <c r="R2165" s="2"/>
      <c r="S2165" s="2"/>
      <c r="T2165" s="2">
        <v>2</v>
      </c>
      <c r="U2165" s="2" t="s">
        <v>123</v>
      </c>
      <c r="V2165" s="2">
        <v>1</v>
      </c>
      <c r="W2165" s="2" t="s">
        <v>80</v>
      </c>
      <c r="X2165" s="2">
        <v>1</v>
      </c>
      <c r="Y2165" s="2" t="s">
        <v>81</v>
      </c>
      <c r="Z2165" s="2">
        <v>10</v>
      </c>
      <c r="AA2165" s="2" t="s">
        <v>236</v>
      </c>
      <c r="AB2165" s="2">
        <v>9</v>
      </c>
      <c r="AC2165" s="2" t="s">
        <v>124</v>
      </c>
      <c r="AD2165" s="3">
        <v>40324</v>
      </c>
      <c r="AE2165" s="4">
        <v>0.4375</v>
      </c>
      <c r="AF2165" s="2"/>
      <c r="AG2165" s="2"/>
      <c r="AH2165" s="2">
        <v>2</v>
      </c>
      <c r="AI2165" s="2" t="s">
        <v>84</v>
      </c>
      <c r="AJ2165" s="2">
        <v>12</v>
      </c>
      <c r="AK2165" s="2" t="s">
        <v>85</v>
      </c>
      <c r="AL2165" s="2">
        <v>20</v>
      </c>
      <c r="AM2165" s="2" t="s">
        <v>992</v>
      </c>
      <c r="AN2165" s="2"/>
      <c r="AO2165" s="2"/>
      <c r="AP2165" s="2">
        <v>11</v>
      </c>
      <c r="AQ2165" s="2" t="s">
        <v>82</v>
      </c>
      <c r="AR2165" s="2"/>
      <c r="AS2165" s="2"/>
      <c r="AT2165" s="2" t="s">
        <v>7443</v>
      </c>
      <c r="AU2165" s="2"/>
      <c r="AV2165" s="2"/>
      <c r="AW2165" s="2"/>
      <c r="AX2165" s="2"/>
      <c r="AY2165" s="2">
        <v>1</v>
      </c>
      <c r="AZ2165" s="2" t="s">
        <v>107</v>
      </c>
      <c r="BA2165" s="2">
        <v>1</v>
      </c>
      <c r="BB2165" s="2" t="s">
        <v>107</v>
      </c>
      <c r="BC2165" s="2">
        <v>1</v>
      </c>
      <c r="BD2165" s="2" t="s">
        <v>107</v>
      </c>
      <c r="BE2165" s="2">
        <v>1</v>
      </c>
      <c r="BF2165" s="2" t="s">
        <v>107</v>
      </c>
      <c r="BG2165" s="2"/>
      <c r="BH2165" s="2"/>
      <c r="BI2165" s="4">
        <v>0.43888888888888888</v>
      </c>
      <c r="BJ2165" s="2">
        <v>13</v>
      </c>
      <c r="BK2165" s="2" t="s">
        <v>91</v>
      </c>
      <c r="BL2165" s="2" t="s">
        <v>185</v>
      </c>
      <c r="BM2165" s="2">
        <v>242</v>
      </c>
      <c r="BN2165" s="2" t="s">
        <v>107</v>
      </c>
      <c r="BO2165" s="2"/>
      <c r="BP2165" s="2">
        <v>232</v>
      </c>
      <c r="BQ2165" s="2" t="s">
        <v>4351</v>
      </c>
      <c r="BR2165" s="2" t="s">
        <v>107</v>
      </c>
      <c r="BS2165" s="3">
        <v>40324</v>
      </c>
      <c r="BT2165" s="4">
        <v>0.46887731481481482</v>
      </c>
    </row>
    <row r="2166" spans="1:72" x14ac:dyDescent="0.25">
      <c r="A2166" s="2">
        <v>3152</v>
      </c>
      <c r="B2166" s="2">
        <v>2010</v>
      </c>
      <c r="C2166" s="2" t="s">
        <v>4543</v>
      </c>
      <c r="D2166" s="2" t="s">
        <v>122</v>
      </c>
      <c r="E2166" s="2"/>
      <c r="F2166" s="2">
        <v>106</v>
      </c>
      <c r="G2166" s="2" t="s">
        <v>7444</v>
      </c>
      <c r="H2166" s="2">
        <v>23</v>
      </c>
      <c r="I2166" s="2" t="s">
        <v>422</v>
      </c>
      <c r="J2166" s="2">
        <v>126</v>
      </c>
      <c r="K2166" s="2" t="s">
        <v>7445</v>
      </c>
      <c r="L2166" s="2" t="s">
        <v>7446</v>
      </c>
      <c r="M2166" s="3">
        <v>40324</v>
      </c>
      <c r="N2166" s="2" t="s">
        <v>7447</v>
      </c>
      <c r="O2166" s="2"/>
      <c r="P2166" s="2"/>
      <c r="Q2166" s="2" t="str">
        <f>"0008/2010"</f>
        <v>0008/2010</v>
      </c>
      <c r="R2166" s="2"/>
      <c r="S2166" s="2" t="s">
        <v>7448</v>
      </c>
      <c r="T2166" s="2">
        <v>2</v>
      </c>
      <c r="U2166" s="2" t="s">
        <v>123</v>
      </c>
      <c r="V2166" s="2">
        <v>1</v>
      </c>
      <c r="W2166" s="2" t="s">
        <v>80</v>
      </c>
      <c r="X2166" s="2">
        <v>1</v>
      </c>
      <c r="Y2166" s="2" t="s">
        <v>81</v>
      </c>
      <c r="Z2166" s="2">
        <v>1</v>
      </c>
      <c r="AA2166" s="2" t="s">
        <v>82</v>
      </c>
      <c r="AB2166" s="2">
        <v>9</v>
      </c>
      <c r="AC2166" s="2" t="s">
        <v>124</v>
      </c>
      <c r="AD2166" s="3">
        <v>40324</v>
      </c>
      <c r="AE2166" s="4">
        <v>0.4375</v>
      </c>
      <c r="AF2166" s="2"/>
      <c r="AG2166" s="2"/>
      <c r="AH2166" s="2">
        <v>6</v>
      </c>
      <c r="AI2166" s="2" t="s">
        <v>197</v>
      </c>
      <c r="AJ2166" s="2">
        <v>57</v>
      </c>
      <c r="AK2166" s="2" t="s">
        <v>2344</v>
      </c>
      <c r="AL2166" s="2">
        <v>22</v>
      </c>
      <c r="AM2166" s="2" t="s">
        <v>1853</v>
      </c>
      <c r="AN2166" s="2"/>
      <c r="AO2166" s="2" t="s">
        <v>1289</v>
      </c>
      <c r="AP2166" s="2">
        <v>12</v>
      </c>
      <c r="AQ2166" s="2" t="s">
        <v>322</v>
      </c>
      <c r="AR2166" s="2" t="s">
        <v>827</v>
      </c>
      <c r="AS2166" s="2" t="s">
        <v>322</v>
      </c>
      <c r="AT2166" s="2" t="s">
        <v>7449</v>
      </c>
      <c r="AU2166" s="2"/>
      <c r="AV2166" s="2"/>
      <c r="AW2166" s="2"/>
      <c r="AX2166" s="2"/>
      <c r="AY2166" s="2">
        <v>1</v>
      </c>
      <c r="AZ2166" s="2" t="s">
        <v>107</v>
      </c>
      <c r="BA2166" s="2">
        <v>1</v>
      </c>
      <c r="BB2166" s="2" t="s">
        <v>107</v>
      </c>
      <c r="BC2166" s="2">
        <v>57</v>
      </c>
      <c r="BD2166" s="2"/>
      <c r="BE2166" s="2">
        <v>13</v>
      </c>
      <c r="BF2166" s="2" t="s">
        <v>108</v>
      </c>
      <c r="BG2166" s="2">
        <v>2862</v>
      </c>
      <c r="BH2166" s="4">
        <v>0.40625</v>
      </c>
      <c r="BI2166" s="2"/>
      <c r="BJ2166" s="2">
        <v>13</v>
      </c>
      <c r="BK2166" s="2" t="s">
        <v>91</v>
      </c>
      <c r="BL2166" s="2" t="s">
        <v>2592</v>
      </c>
      <c r="BM2166" s="2">
        <v>242</v>
      </c>
      <c r="BN2166" s="2" t="s">
        <v>107</v>
      </c>
      <c r="BO2166" s="2"/>
      <c r="BP2166" s="2">
        <v>13</v>
      </c>
      <c r="BQ2166" s="2" t="s">
        <v>91</v>
      </c>
      <c r="BR2166" s="2" t="s">
        <v>1014</v>
      </c>
      <c r="BS2166" s="3">
        <v>40324</v>
      </c>
      <c r="BT2166" s="4">
        <v>0.6147569444444444</v>
      </c>
    </row>
    <row r="2167" spans="1:72" x14ac:dyDescent="0.25">
      <c r="A2167" s="2">
        <v>3154</v>
      </c>
      <c r="B2167" s="2">
        <v>2010</v>
      </c>
      <c r="C2167" s="2" t="s">
        <v>702</v>
      </c>
      <c r="D2167" s="2" t="s">
        <v>73</v>
      </c>
      <c r="E2167" s="2"/>
      <c r="F2167" s="2">
        <v>390</v>
      </c>
      <c r="G2167" s="2" t="s">
        <v>475</v>
      </c>
      <c r="H2167" s="2">
        <v>6</v>
      </c>
      <c r="I2167" s="2" t="s">
        <v>1088</v>
      </c>
      <c r="J2167" s="2">
        <v>314</v>
      </c>
      <c r="K2167" s="2" t="s">
        <v>477</v>
      </c>
      <c r="L2167" s="2" t="s">
        <v>478</v>
      </c>
      <c r="M2167" s="3">
        <v>40324</v>
      </c>
      <c r="N2167" s="2" t="s">
        <v>6470</v>
      </c>
      <c r="O2167" s="2"/>
      <c r="P2167" s="2"/>
      <c r="Q2167" s="2" t="str">
        <f>"280-E/10"</f>
        <v>280-E/10</v>
      </c>
      <c r="R2167" s="2"/>
      <c r="S2167" s="2" t="s">
        <v>480</v>
      </c>
      <c r="T2167" s="2">
        <v>1</v>
      </c>
      <c r="U2167" s="2" t="s">
        <v>79</v>
      </c>
      <c r="V2167" s="2">
        <v>1</v>
      </c>
      <c r="W2167" s="2" t="s">
        <v>80</v>
      </c>
      <c r="X2167" s="2">
        <v>1</v>
      </c>
      <c r="Y2167" s="2" t="s">
        <v>81</v>
      </c>
      <c r="Z2167" s="2">
        <v>1</v>
      </c>
      <c r="AA2167" s="2" t="s">
        <v>82</v>
      </c>
      <c r="AB2167" s="2">
        <v>9</v>
      </c>
      <c r="AC2167" s="2" t="s">
        <v>124</v>
      </c>
      <c r="AD2167" s="3">
        <v>40324</v>
      </c>
      <c r="AE2167" s="4">
        <v>0.58333333333333337</v>
      </c>
      <c r="AF2167" s="2"/>
      <c r="AG2167" s="2"/>
      <c r="AH2167" s="2">
        <v>2</v>
      </c>
      <c r="AI2167" s="2" t="s">
        <v>84</v>
      </c>
      <c r="AJ2167" s="2">
        <v>9</v>
      </c>
      <c r="AK2167" s="2" t="s">
        <v>103</v>
      </c>
      <c r="AL2167" s="2">
        <v>11</v>
      </c>
      <c r="AM2167" s="2" t="s">
        <v>137</v>
      </c>
      <c r="AN2167" s="2"/>
      <c r="AO2167" s="2" t="s">
        <v>7450</v>
      </c>
      <c r="AP2167" s="2">
        <v>11</v>
      </c>
      <c r="AQ2167" s="2" t="s">
        <v>82</v>
      </c>
      <c r="AR2167" s="2"/>
      <c r="AS2167" s="2"/>
      <c r="AT2167" s="2" t="s">
        <v>7451</v>
      </c>
      <c r="AU2167" s="2"/>
      <c r="AV2167" s="2"/>
      <c r="AW2167" s="2"/>
      <c r="AX2167" s="2"/>
      <c r="AY2167" s="2">
        <v>41</v>
      </c>
      <c r="AZ2167" s="2" t="s">
        <v>82</v>
      </c>
      <c r="BA2167" s="2">
        <v>41</v>
      </c>
      <c r="BB2167" s="2" t="s">
        <v>82</v>
      </c>
      <c r="BC2167" s="2">
        <v>41</v>
      </c>
      <c r="BD2167" s="2" t="s">
        <v>82</v>
      </c>
      <c r="BE2167" s="2">
        <v>41</v>
      </c>
      <c r="BF2167" s="2" t="s">
        <v>82</v>
      </c>
      <c r="BG2167" s="2"/>
      <c r="BH2167" s="2"/>
      <c r="BI2167" s="2"/>
      <c r="BJ2167" s="2">
        <v>241</v>
      </c>
      <c r="BK2167" s="2" t="s">
        <v>82</v>
      </c>
      <c r="BL2167" s="2"/>
      <c r="BM2167" s="2">
        <v>241</v>
      </c>
      <c r="BN2167" s="2" t="s">
        <v>82</v>
      </c>
      <c r="BO2167" s="2"/>
      <c r="BP2167" s="2">
        <v>241</v>
      </c>
      <c r="BQ2167" s="2" t="s">
        <v>82</v>
      </c>
      <c r="BR2167" s="2"/>
      <c r="BS2167" s="3">
        <v>40324</v>
      </c>
      <c r="BT2167" s="4">
        <v>0.67096064814814815</v>
      </c>
    </row>
    <row r="2168" spans="1:72" x14ac:dyDescent="0.25">
      <c r="A2168" s="2">
        <v>3155</v>
      </c>
      <c r="B2168" s="2">
        <v>2010</v>
      </c>
      <c r="C2168" s="2" t="s">
        <v>819</v>
      </c>
      <c r="D2168" s="2" t="s">
        <v>73</v>
      </c>
      <c r="E2168" s="2" t="s">
        <v>7452</v>
      </c>
      <c r="F2168" s="2">
        <v>451</v>
      </c>
      <c r="G2168" s="2" t="s">
        <v>879</v>
      </c>
      <c r="H2168" s="2">
        <v>31</v>
      </c>
      <c r="I2168" s="2" t="s">
        <v>880</v>
      </c>
      <c r="J2168" s="2">
        <v>326</v>
      </c>
      <c r="K2168" s="2" t="s">
        <v>881</v>
      </c>
      <c r="L2168" s="2" t="s">
        <v>882</v>
      </c>
      <c r="M2168" s="3">
        <v>40324</v>
      </c>
      <c r="N2168" s="2" t="s">
        <v>1072</v>
      </c>
      <c r="O2168" s="2" t="s">
        <v>5928</v>
      </c>
      <c r="P2168" s="2" t="s">
        <v>6535</v>
      </c>
      <c r="Q2168" s="2" t="str">
        <f>"Nº 050/10"</f>
        <v>Nº 050/10</v>
      </c>
      <c r="R2168" s="2" t="s">
        <v>822</v>
      </c>
      <c r="S2168" s="2"/>
      <c r="T2168" s="2">
        <v>1</v>
      </c>
      <c r="U2168" s="2" t="s">
        <v>79</v>
      </c>
      <c r="V2168" s="2">
        <v>1</v>
      </c>
      <c r="W2168" s="2" t="s">
        <v>80</v>
      </c>
      <c r="X2168" s="2">
        <v>1</v>
      </c>
      <c r="Y2168" s="2" t="s">
        <v>81</v>
      </c>
      <c r="Z2168" s="2">
        <v>1</v>
      </c>
      <c r="AA2168" s="2" t="s">
        <v>82</v>
      </c>
      <c r="AB2168" s="2">
        <v>9</v>
      </c>
      <c r="AC2168" s="2" t="s">
        <v>124</v>
      </c>
      <c r="AD2168" s="3">
        <v>40324</v>
      </c>
      <c r="AE2168" s="4">
        <v>0.6875</v>
      </c>
      <c r="AF2168" s="2"/>
      <c r="AG2168" s="2"/>
      <c r="AH2168" s="2">
        <v>4</v>
      </c>
      <c r="AI2168" s="2" t="s">
        <v>125</v>
      </c>
      <c r="AJ2168" s="2">
        <v>29</v>
      </c>
      <c r="AK2168" s="2" t="s">
        <v>227</v>
      </c>
      <c r="AL2168" s="2">
        <v>16</v>
      </c>
      <c r="AM2168" s="2" t="s">
        <v>392</v>
      </c>
      <c r="AN2168" s="2" t="s">
        <v>6877</v>
      </c>
      <c r="AO2168" s="2"/>
      <c r="AP2168" s="2">
        <v>12</v>
      </c>
      <c r="AQ2168" s="2" t="s">
        <v>322</v>
      </c>
      <c r="AR2168" s="2" t="s">
        <v>824</v>
      </c>
      <c r="AS2168" s="2" t="s">
        <v>825</v>
      </c>
      <c r="AT2168" s="2" t="s">
        <v>7453</v>
      </c>
      <c r="AU2168" s="2"/>
      <c r="AV2168" s="2"/>
      <c r="AW2168" s="2"/>
      <c r="AX2168" s="2"/>
      <c r="AY2168" s="2">
        <v>41</v>
      </c>
      <c r="AZ2168" s="2" t="s">
        <v>82</v>
      </c>
      <c r="BA2168" s="2">
        <v>41</v>
      </c>
      <c r="BB2168" s="2" t="s">
        <v>82</v>
      </c>
      <c r="BC2168" s="2">
        <v>51</v>
      </c>
      <c r="BD2168" s="2" t="s">
        <v>827</v>
      </c>
      <c r="BE2168" s="2">
        <v>47</v>
      </c>
      <c r="BF2168" s="2" t="s">
        <v>167</v>
      </c>
      <c r="BG2168" s="2">
        <v>2459</v>
      </c>
      <c r="BH2168" s="4">
        <v>0.89236111111111116</v>
      </c>
      <c r="BI2168" s="4">
        <v>0.9375</v>
      </c>
      <c r="BJ2168" s="2">
        <v>13</v>
      </c>
      <c r="BK2168" s="2" t="s">
        <v>91</v>
      </c>
      <c r="BL2168" s="2" t="s">
        <v>828</v>
      </c>
      <c r="BM2168" s="2">
        <v>241</v>
      </c>
      <c r="BN2168" s="2" t="s">
        <v>82</v>
      </c>
      <c r="BO2168" s="2" t="s">
        <v>82</v>
      </c>
      <c r="BP2168" s="2">
        <v>13</v>
      </c>
      <c r="BQ2168" s="2" t="s">
        <v>91</v>
      </c>
      <c r="BR2168" s="2" t="s">
        <v>185</v>
      </c>
      <c r="BS2168" s="3">
        <v>40324</v>
      </c>
      <c r="BT2168" s="4">
        <v>0.7168402777777777</v>
      </c>
    </row>
    <row r="2169" spans="1:72" x14ac:dyDescent="0.25">
      <c r="A2169" s="2">
        <v>3155</v>
      </c>
      <c r="B2169" s="2">
        <v>2010</v>
      </c>
      <c r="C2169" s="2" t="s">
        <v>171</v>
      </c>
      <c r="D2169" s="2" t="s">
        <v>73</v>
      </c>
      <c r="E2169" s="2" t="s">
        <v>7452</v>
      </c>
      <c r="F2169" s="2">
        <v>451</v>
      </c>
      <c r="G2169" s="2" t="s">
        <v>879</v>
      </c>
      <c r="H2169" s="2">
        <v>31</v>
      </c>
      <c r="I2169" s="2" t="s">
        <v>880</v>
      </c>
      <c r="J2169" s="2">
        <v>326</v>
      </c>
      <c r="K2169" s="2" t="s">
        <v>881</v>
      </c>
      <c r="L2169" s="2" t="s">
        <v>882</v>
      </c>
      <c r="M2169" s="3">
        <v>40324</v>
      </c>
      <c r="N2169" s="2" t="s">
        <v>1072</v>
      </c>
      <c r="O2169" s="2" t="s">
        <v>5928</v>
      </c>
      <c r="P2169" s="2" t="s">
        <v>6535</v>
      </c>
      <c r="Q2169" s="2" t="str">
        <f>"Nº 050/10"</f>
        <v>Nº 050/10</v>
      </c>
      <c r="R2169" s="2" t="s">
        <v>822</v>
      </c>
      <c r="S2169" s="2"/>
      <c r="T2169" s="2">
        <v>1</v>
      </c>
      <c r="U2169" s="2" t="s">
        <v>79</v>
      </c>
      <c r="V2169" s="2">
        <v>1</v>
      </c>
      <c r="W2169" s="2" t="s">
        <v>80</v>
      </c>
      <c r="X2169" s="2">
        <v>1</v>
      </c>
      <c r="Y2169" s="2" t="s">
        <v>81</v>
      </c>
      <c r="Z2169" s="2">
        <v>1</v>
      </c>
      <c r="AA2169" s="2" t="s">
        <v>82</v>
      </c>
      <c r="AB2169" s="2">
        <v>1</v>
      </c>
      <c r="AC2169" s="2" t="s">
        <v>178</v>
      </c>
      <c r="AD2169" s="3">
        <v>40324</v>
      </c>
      <c r="AE2169" s="4">
        <v>0.6875</v>
      </c>
      <c r="AF2169" s="2"/>
      <c r="AG2169" s="2"/>
      <c r="AH2169" s="2">
        <v>4</v>
      </c>
      <c r="AI2169" s="2" t="s">
        <v>125</v>
      </c>
      <c r="AJ2169" s="2">
        <v>29</v>
      </c>
      <c r="AK2169" s="2" t="s">
        <v>227</v>
      </c>
      <c r="AL2169" s="2">
        <v>16</v>
      </c>
      <c r="AM2169" s="2" t="s">
        <v>392</v>
      </c>
      <c r="AN2169" s="2" t="s">
        <v>6877</v>
      </c>
      <c r="AO2169" s="2"/>
      <c r="AP2169" s="2">
        <v>12</v>
      </c>
      <c r="AQ2169" s="2" t="s">
        <v>322</v>
      </c>
      <c r="AR2169" s="2" t="s">
        <v>824</v>
      </c>
      <c r="AS2169" s="2" t="s">
        <v>825</v>
      </c>
      <c r="AT2169" s="2" t="s">
        <v>7453</v>
      </c>
      <c r="AU2169" s="2"/>
      <c r="AV2169" s="2"/>
      <c r="AW2169" s="2"/>
      <c r="AX2169" s="2"/>
      <c r="AY2169" s="2">
        <v>41</v>
      </c>
      <c r="AZ2169" s="2" t="s">
        <v>82</v>
      </c>
      <c r="BA2169" s="2">
        <v>41</v>
      </c>
      <c r="BB2169" s="2" t="s">
        <v>82</v>
      </c>
      <c r="BC2169" s="2">
        <v>51</v>
      </c>
      <c r="BD2169" s="2" t="s">
        <v>827</v>
      </c>
      <c r="BE2169" s="2">
        <v>47</v>
      </c>
      <c r="BF2169" s="2" t="s">
        <v>167</v>
      </c>
      <c r="BG2169" s="2">
        <v>2459</v>
      </c>
      <c r="BH2169" s="4">
        <v>0.89236111111111116</v>
      </c>
      <c r="BI2169" s="4">
        <v>0.9375</v>
      </c>
      <c r="BJ2169" s="2">
        <v>13</v>
      </c>
      <c r="BK2169" s="2" t="s">
        <v>91</v>
      </c>
      <c r="BL2169" s="2" t="s">
        <v>828</v>
      </c>
      <c r="BM2169" s="2">
        <v>241</v>
      </c>
      <c r="BN2169" s="2" t="s">
        <v>82</v>
      </c>
      <c r="BO2169" s="2" t="s">
        <v>82</v>
      </c>
      <c r="BP2169" s="2">
        <v>13</v>
      </c>
      <c r="BQ2169" s="2" t="s">
        <v>91</v>
      </c>
      <c r="BR2169" s="2" t="s">
        <v>185</v>
      </c>
      <c r="BS2169" s="3">
        <v>40324</v>
      </c>
      <c r="BT2169" s="4">
        <v>0.7168402777777777</v>
      </c>
    </row>
    <row r="2170" spans="1:72" x14ac:dyDescent="0.25">
      <c r="A2170" s="2">
        <v>3158</v>
      </c>
      <c r="B2170" s="2">
        <v>2010</v>
      </c>
      <c r="C2170" s="2" t="s">
        <v>457</v>
      </c>
      <c r="D2170" s="2" t="s">
        <v>122</v>
      </c>
      <c r="E2170" s="2"/>
      <c r="F2170" s="2">
        <v>10</v>
      </c>
      <c r="G2170" s="2" t="s">
        <v>2143</v>
      </c>
      <c r="H2170" s="2">
        <v>30</v>
      </c>
      <c r="I2170" s="2" t="s">
        <v>912</v>
      </c>
      <c r="J2170" s="2">
        <v>538</v>
      </c>
      <c r="K2170" s="2" t="s">
        <v>7264</v>
      </c>
      <c r="L2170" s="2" t="s">
        <v>7265</v>
      </c>
      <c r="M2170" s="3">
        <v>40324</v>
      </c>
      <c r="N2170" s="2" t="s">
        <v>2214</v>
      </c>
      <c r="O2170" s="2" t="s">
        <v>7454</v>
      </c>
      <c r="P2170" s="2"/>
      <c r="Q2170" s="2" t="str">
        <f>""</f>
        <v/>
      </c>
      <c r="R2170" s="2"/>
      <c r="S2170" s="2"/>
      <c r="T2170" s="2">
        <v>1</v>
      </c>
      <c r="U2170" s="2" t="s">
        <v>79</v>
      </c>
      <c r="V2170" s="2">
        <v>1</v>
      </c>
      <c r="W2170" s="2" t="s">
        <v>80</v>
      </c>
      <c r="X2170" s="2">
        <v>4</v>
      </c>
      <c r="Y2170" s="2" t="s">
        <v>463</v>
      </c>
      <c r="Z2170" s="2">
        <v>7</v>
      </c>
      <c r="AA2170" s="2" t="s">
        <v>1462</v>
      </c>
      <c r="AB2170" s="2">
        <v>9</v>
      </c>
      <c r="AC2170" s="2" t="s">
        <v>124</v>
      </c>
      <c r="AD2170" s="3">
        <v>40324</v>
      </c>
      <c r="AE2170" s="4">
        <v>0.72222222222222221</v>
      </c>
      <c r="AF2170" s="2"/>
      <c r="AG2170" s="2"/>
      <c r="AH2170" s="2">
        <v>3</v>
      </c>
      <c r="AI2170" s="2" t="s">
        <v>214</v>
      </c>
      <c r="AJ2170" s="2">
        <v>24</v>
      </c>
      <c r="AK2170" s="2" t="s">
        <v>215</v>
      </c>
      <c r="AL2170" s="2">
        <v>19</v>
      </c>
      <c r="AM2170" s="2" t="s">
        <v>107</v>
      </c>
      <c r="AN2170" s="2"/>
      <c r="AO2170" s="2"/>
      <c r="AP2170" s="2">
        <v>11</v>
      </c>
      <c r="AQ2170" s="2" t="s">
        <v>82</v>
      </c>
      <c r="AR2170" s="2"/>
      <c r="AS2170" s="2"/>
      <c r="AT2170" s="2" t="s">
        <v>7455</v>
      </c>
      <c r="AU2170" s="2">
        <v>1</v>
      </c>
      <c r="AV2170" s="2"/>
      <c r="AW2170" s="2"/>
      <c r="AX2170" s="2"/>
      <c r="AY2170" s="2">
        <v>41</v>
      </c>
      <c r="AZ2170" s="2" t="s">
        <v>82</v>
      </c>
      <c r="BA2170" s="2">
        <v>41</v>
      </c>
      <c r="BB2170" s="2" t="s">
        <v>82</v>
      </c>
      <c r="BC2170" s="2">
        <v>41</v>
      </c>
      <c r="BD2170" s="2" t="s">
        <v>82</v>
      </c>
      <c r="BE2170" s="2">
        <v>13</v>
      </c>
      <c r="BF2170" s="2" t="s">
        <v>108</v>
      </c>
      <c r="BG2170" s="2">
        <v>2531</v>
      </c>
      <c r="BH2170" s="4">
        <v>0.70833333333333337</v>
      </c>
      <c r="BI2170" s="4">
        <v>0.75</v>
      </c>
      <c r="BJ2170" s="2">
        <v>13</v>
      </c>
      <c r="BK2170" s="2" t="s">
        <v>91</v>
      </c>
      <c r="BL2170" s="2" t="s">
        <v>169</v>
      </c>
      <c r="BM2170" s="2">
        <v>241</v>
      </c>
      <c r="BN2170" s="2" t="s">
        <v>82</v>
      </c>
      <c r="BO2170" s="2"/>
      <c r="BP2170" s="2">
        <v>13</v>
      </c>
      <c r="BQ2170" s="2" t="s">
        <v>91</v>
      </c>
      <c r="BR2170" s="2" t="s">
        <v>185</v>
      </c>
      <c r="BS2170" s="3">
        <v>40324</v>
      </c>
      <c r="BT2170" s="4">
        <v>0.76828703703703705</v>
      </c>
    </row>
    <row r="2171" spans="1:72" x14ac:dyDescent="0.25">
      <c r="A2171" s="2">
        <v>3159</v>
      </c>
      <c r="B2171" s="2">
        <v>2010</v>
      </c>
      <c r="C2171" s="2" t="s">
        <v>171</v>
      </c>
      <c r="D2171" s="2" t="s">
        <v>73</v>
      </c>
      <c r="E2171" s="2"/>
      <c r="F2171" s="2">
        <v>398</v>
      </c>
      <c r="G2171" s="2" t="s">
        <v>94</v>
      </c>
      <c r="H2171" s="2">
        <v>12</v>
      </c>
      <c r="I2171" s="2" t="s">
        <v>95</v>
      </c>
      <c r="J2171" s="2">
        <v>245</v>
      </c>
      <c r="K2171" s="2" t="s">
        <v>96</v>
      </c>
      <c r="L2171" s="2" t="s">
        <v>97</v>
      </c>
      <c r="M2171" s="3">
        <v>40324</v>
      </c>
      <c r="N2171" s="2" t="s">
        <v>451</v>
      </c>
      <c r="O2171" s="2" t="s">
        <v>447</v>
      </c>
      <c r="P2171" s="2">
        <v>11876</v>
      </c>
      <c r="Q2171" s="2" t="str">
        <f>""</f>
        <v/>
      </c>
      <c r="R2171" s="2" t="s">
        <v>82</v>
      </c>
      <c r="S2171" s="2" t="s">
        <v>82</v>
      </c>
      <c r="T2171" s="2">
        <v>1</v>
      </c>
      <c r="U2171" s="2" t="s">
        <v>79</v>
      </c>
      <c r="V2171" s="2">
        <v>1</v>
      </c>
      <c r="W2171" s="2" t="s">
        <v>80</v>
      </c>
      <c r="X2171" s="2">
        <v>9</v>
      </c>
      <c r="Y2171" s="2" t="s">
        <v>3393</v>
      </c>
      <c r="Z2171" s="2">
        <v>1</v>
      </c>
      <c r="AA2171" s="2" t="s">
        <v>82</v>
      </c>
      <c r="AB2171" s="2">
        <v>1</v>
      </c>
      <c r="AC2171" s="2" t="s">
        <v>178</v>
      </c>
      <c r="AD2171" s="3">
        <v>40324</v>
      </c>
      <c r="AE2171" s="4">
        <v>0.59722222222222221</v>
      </c>
      <c r="AF2171" s="2"/>
      <c r="AG2171" s="2"/>
      <c r="AH2171" s="2">
        <v>2</v>
      </c>
      <c r="AI2171" s="2" t="s">
        <v>84</v>
      </c>
      <c r="AJ2171" s="2">
        <v>6</v>
      </c>
      <c r="AK2171" s="2" t="s">
        <v>453</v>
      </c>
      <c r="AL2171" s="2">
        <v>23</v>
      </c>
      <c r="AM2171" s="2" t="s">
        <v>251</v>
      </c>
      <c r="AN2171" s="2" t="s">
        <v>7456</v>
      </c>
      <c r="AO2171" s="2" t="s">
        <v>7457</v>
      </c>
      <c r="AP2171" s="2">
        <v>11</v>
      </c>
      <c r="AQ2171" s="2" t="s">
        <v>82</v>
      </c>
      <c r="AR2171" s="2"/>
      <c r="AS2171" s="2"/>
      <c r="AT2171" s="2" t="s">
        <v>7458</v>
      </c>
      <c r="AU2171" s="2"/>
      <c r="AV2171" s="2">
        <v>1</v>
      </c>
      <c r="AW2171" s="2"/>
      <c r="AX2171" s="2"/>
      <c r="AY2171" s="2">
        <v>42</v>
      </c>
      <c r="AZ2171" s="2" t="s">
        <v>182</v>
      </c>
      <c r="BA2171" s="2">
        <v>41</v>
      </c>
      <c r="BB2171" s="2" t="s">
        <v>82</v>
      </c>
      <c r="BC2171" s="2">
        <v>41</v>
      </c>
      <c r="BD2171" s="2" t="s">
        <v>82</v>
      </c>
      <c r="BE2171" s="2">
        <v>41</v>
      </c>
      <c r="BF2171" s="2" t="s">
        <v>82</v>
      </c>
      <c r="BG2171" s="2"/>
      <c r="BH2171" s="2"/>
      <c r="BI2171" s="2"/>
      <c r="BJ2171" s="2">
        <v>241</v>
      </c>
      <c r="BK2171" s="2" t="s">
        <v>82</v>
      </c>
      <c r="BL2171" s="2"/>
      <c r="BM2171" s="2">
        <v>241</v>
      </c>
      <c r="BN2171" s="2" t="s">
        <v>82</v>
      </c>
      <c r="BO2171" s="2"/>
      <c r="BP2171" s="2">
        <v>241</v>
      </c>
      <c r="BQ2171" s="2" t="s">
        <v>82</v>
      </c>
      <c r="BR2171" s="2"/>
      <c r="BS2171" s="3">
        <v>40324</v>
      </c>
      <c r="BT2171" s="4">
        <v>0.76849537037037041</v>
      </c>
    </row>
    <row r="2172" spans="1:72" x14ac:dyDescent="0.25">
      <c r="A2172" s="2">
        <v>3160</v>
      </c>
      <c r="B2172" s="2">
        <v>2010</v>
      </c>
      <c r="C2172" s="2" t="s">
        <v>457</v>
      </c>
      <c r="D2172" s="2" t="s">
        <v>73</v>
      </c>
      <c r="E2172" s="2"/>
      <c r="F2172" s="2">
        <v>10</v>
      </c>
      <c r="G2172" s="2" t="s">
        <v>2143</v>
      </c>
      <c r="H2172" s="2">
        <v>22</v>
      </c>
      <c r="I2172" s="2" t="s">
        <v>75</v>
      </c>
      <c r="J2172" s="2">
        <v>538</v>
      </c>
      <c r="K2172" s="2" t="s">
        <v>7264</v>
      </c>
      <c r="L2172" s="2" t="s">
        <v>7265</v>
      </c>
      <c r="M2172" s="3">
        <v>40324</v>
      </c>
      <c r="N2172" s="2" t="s">
        <v>7459</v>
      </c>
      <c r="O2172" s="2"/>
      <c r="P2172" s="2"/>
      <c r="Q2172" s="2" t="str">
        <f>""</f>
        <v/>
      </c>
      <c r="R2172" s="2"/>
      <c r="S2172" s="2"/>
      <c r="T2172" s="2">
        <v>1</v>
      </c>
      <c r="U2172" s="2" t="s">
        <v>79</v>
      </c>
      <c r="V2172" s="2">
        <v>1</v>
      </c>
      <c r="W2172" s="2" t="s">
        <v>80</v>
      </c>
      <c r="X2172" s="2">
        <v>10</v>
      </c>
      <c r="Y2172" s="2" t="s">
        <v>226</v>
      </c>
      <c r="Z2172" s="2">
        <v>9</v>
      </c>
      <c r="AA2172" s="2" t="s">
        <v>1119</v>
      </c>
      <c r="AB2172" s="2">
        <v>9</v>
      </c>
      <c r="AC2172" s="2" t="s">
        <v>124</v>
      </c>
      <c r="AD2172" s="3">
        <v>40324</v>
      </c>
      <c r="AE2172" s="4">
        <v>0.70833333333333337</v>
      </c>
      <c r="AF2172" s="2"/>
      <c r="AG2172" s="2"/>
      <c r="AH2172" s="2">
        <v>2</v>
      </c>
      <c r="AI2172" s="2" t="s">
        <v>84</v>
      </c>
      <c r="AJ2172" s="2">
        <v>12</v>
      </c>
      <c r="AK2172" s="2" t="s">
        <v>85</v>
      </c>
      <c r="AL2172" s="2">
        <v>10</v>
      </c>
      <c r="AM2172" s="2" t="s">
        <v>200</v>
      </c>
      <c r="AN2172" s="2" t="s">
        <v>7460</v>
      </c>
      <c r="AO2172" s="2" t="s">
        <v>909</v>
      </c>
      <c r="AP2172" s="2">
        <v>11</v>
      </c>
      <c r="AQ2172" s="2" t="s">
        <v>82</v>
      </c>
      <c r="AR2172" s="2"/>
      <c r="AS2172" s="2"/>
      <c r="AT2172" s="2" t="s">
        <v>7461</v>
      </c>
      <c r="AU2172" s="2">
        <v>1</v>
      </c>
      <c r="AV2172" s="2"/>
      <c r="AW2172" s="2"/>
      <c r="AX2172" s="2"/>
      <c r="AY2172" s="2">
        <v>41</v>
      </c>
      <c r="AZ2172" s="2" t="s">
        <v>82</v>
      </c>
      <c r="BA2172" s="2">
        <v>41</v>
      </c>
      <c r="BB2172" s="2" t="s">
        <v>82</v>
      </c>
      <c r="BC2172" s="2">
        <v>41</v>
      </c>
      <c r="BD2172" s="2" t="s">
        <v>82</v>
      </c>
      <c r="BE2172" s="2">
        <v>13</v>
      </c>
      <c r="BF2172" s="2" t="s">
        <v>108</v>
      </c>
      <c r="BG2172" s="2" t="s">
        <v>7462</v>
      </c>
      <c r="BH2172" s="4">
        <v>0.72569444444444453</v>
      </c>
      <c r="BI2172" s="2"/>
      <c r="BJ2172" s="2">
        <v>13</v>
      </c>
      <c r="BK2172" s="2" t="s">
        <v>91</v>
      </c>
      <c r="BL2172" s="2" t="s">
        <v>169</v>
      </c>
      <c r="BM2172" s="2">
        <v>241</v>
      </c>
      <c r="BN2172" s="2" t="s">
        <v>82</v>
      </c>
      <c r="BO2172" s="2"/>
      <c r="BP2172" s="2">
        <v>13</v>
      </c>
      <c r="BQ2172" s="2" t="s">
        <v>91</v>
      </c>
      <c r="BR2172" s="2" t="s">
        <v>185</v>
      </c>
      <c r="BS2172" s="3">
        <v>40324</v>
      </c>
      <c r="BT2172" s="4">
        <v>0.77012731481481478</v>
      </c>
    </row>
    <row r="2173" spans="1:72" x14ac:dyDescent="0.25">
      <c r="A2173" s="2">
        <v>3163</v>
      </c>
      <c r="B2173" s="2">
        <v>2010</v>
      </c>
      <c r="C2173" s="2" t="s">
        <v>121</v>
      </c>
      <c r="D2173" s="2" t="s">
        <v>122</v>
      </c>
      <c r="E2173" s="2"/>
      <c r="F2173" s="2">
        <v>1</v>
      </c>
      <c r="G2173" s="2" t="s">
        <v>82</v>
      </c>
      <c r="H2173" s="2">
        <v>1</v>
      </c>
      <c r="I2173" s="2" t="s">
        <v>82</v>
      </c>
      <c r="J2173" s="2">
        <v>1</v>
      </c>
      <c r="K2173" s="2" t="s">
        <v>107</v>
      </c>
      <c r="L2173" s="2" t="s">
        <v>107</v>
      </c>
      <c r="M2173" s="3">
        <v>40324</v>
      </c>
      <c r="N2173" s="2"/>
      <c r="O2173" s="2"/>
      <c r="P2173" s="2"/>
      <c r="Q2173" s="2" t="str">
        <f>""</f>
        <v/>
      </c>
      <c r="R2173" s="2"/>
      <c r="S2173" s="2"/>
      <c r="T2173" s="2">
        <v>2</v>
      </c>
      <c r="U2173" s="2" t="s">
        <v>123</v>
      </c>
      <c r="V2173" s="2">
        <v>1</v>
      </c>
      <c r="W2173" s="2" t="s">
        <v>80</v>
      </c>
      <c r="X2173" s="2">
        <v>11</v>
      </c>
      <c r="Y2173" s="2" t="s">
        <v>1920</v>
      </c>
      <c r="Z2173" s="2">
        <v>1</v>
      </c>
      <c r="AA2173" s="2" t="s">
        <v>82</v>
      </c>
      <c r="AB2173" s="2">
        <v>9</v>
      </c>
      <c r="AC2173" s="2" t="s">
        <v>124</v>
      </c>
      <c r="AD2173" s="3">
        <v>40324</v>
      </c>
      <c r="AE2173" s="4">
        <v>0.66666666666666663</v>
      </c>
      <c r="AF2173" s="2"/>
      <c r="AG2173" s="2"/>
      <c r="AH2173" s="2">
        <v>2</v>
      </c>
      <c r="AI2173" s="2" t="s">
        <v>84</v>
      </c>
      <c r="AJ2173" s="2">
        <v>12</v>
      </c>
      <c r="AK2173" s="2" t="s">
        <v>85</v>
      </c>
      <c r="AL2173" s="2">
        <v>10</v>
      </c>
      <c r="AM2173" s="2" t="s">
        <v>200</v>
      </c>
      <c r="AN2173" s="2" t="s">
        <v>7463</v>
      </c>
      <c r="AO2173" s="2" t="s">
        <v>7464</v>
      </c>
      <c r="AP2173" s="2">
        <v>11</v>
      </c>
      <c r="AQ2173" s="2" t="s">
        <v>82</v>
      </c>
      <c r="AR2173" s="2"/>
      <c r="AS2173" s="2"/>
      <c r="AT2173" s="2" t="s">
        <v>7465</v>
      </c>
      <c r="AU2173" s="2"/>
      <c r="AV2173" s="2"/>
      <c r="AW2173" s="2"/>
      <c r="AX2173" s="2"/>
      <c r="AY2173" s="2">
        <v>41</v>
      </c>
      <c r="AZ2173" s="2" t="s">
        <v>82</v>
      </c>
      <c r="BA2173" s="2">
        <v>41</v>
      </c>
      <c r="BB2173" s="2" t="s">
        <v>82</v>
      </c>
      <c r="BC2173" s="2">
        <v>41</v>
      </c>
      <c r="BD2173" s="2" t="s">
        <v>82</v>
      </c>
      <c r="BE2173" s="2">
        <v>13</v>
      </c>
      <c r="BF2173" s="2" t="s">
        <v>108</v>
      </c>
      <c r="BG2173" s="2" t="s">
        <v>7466</v>
      </c>
      <c r="BH2173" s="2"/>
      <c r="BI2173" s="4">
        <v>0.71875</v>
      </c>
      <c r="BJ2173" s="2">
        <v>13</v>
      </c>
      <c r="BK2173" s="2" t="s">
        <v>91</v>
      </c>
      <c r="BL2173" s="2" t="s">
        <v>185</v>
      </c>
      <c r="BM2173" s="2">
        <v>241</v>
      </c>
      <c r="BN2173" s="2" t="s">
        <v>82</v>
      </c>
      <c r="BO2173" s="2"/>
      <c r="BP2173" s="2">
        <v>33</v>
      </c>
      <c r="BQ2173" s="2" t="s">
        <v>361</v>
      </c>
      <c r="BR2173" s="2" t="s">
        <v>1739</v>
      </c>
      <c r="BS2173" s="3">
        <v>40324</v>
      </c>
      <c r="BT2173" s="4">
        <v>0.82027777777777777</v>
      </c>
    </row>
    <row r="2174" spans="1:72" x14ac:dyDescent="0.25">
      <c r="A2174" s="2">
        <v>3165</v>
      </c>
      <c r="B2174" s="2">
        <v>2010</v>
      </c>
      <c r="C2174" s="2" t="s">
        <v>121</v>
      </c>
      <c r="D2174" s="2" t="s">
        <v>122</v>
      </c>
      <c r="E2174" s="2"/>
      <c r="F2174" s="2">
        <v>1</v>
      </c>
      <c r="G2174" s="2" t="s">
        <v>82</v>
      </c>
      <c r="H2174" s="2">
        <v>1</v>
      </c>
      <c r="I2174" s="2" t="s">
        <v>82</v>
      </c>
      <c r="J2174" s="2">
        <v>1</v>
      </c>
      <c r="K2174" s="2" t="s">
        <v>107</v>
      </c>
      <c r="L2174" s="2" t="s">
        <v>107</v>
      </c>
      <c r="M2174" s="3">
        <v>40324</v>
      </c>
      <c r="N2174" s="2"/>
      <c r="O2174" s="2"/>
      <c r="P2174" s="2"/>
      <c r="Q2174" s="2" t="str">
        <f>""</f>
        <v/>
      </c>
      <c r="R2174" s="2"/>
      <c r="S2174" s="2"/>
      <c r="T2174" s="2">
        <v>2</v>
      </c>
      <c r="U2174" s="2" t="s">
        <v>123</v>
      </c>
      <c r="V2174" s="2">
        <v>1</v>
      </c>
      <c r="W2174" s="2" t="s">
        <v>80</v>
      </c>
      <c r="X2174" s="2">
        <v>11</v>
      </c>
      <c r="Y2174" s="2" t="s">
        <v>1920</v>
      </c>
      <c r="Z2174" s="2">
        <v>1</v>
      </c>
      <c r="AA2174" s="2" t="s">
        <v>82</v>
      </c>
      <c r="AB2174" s="2">
        <v>9</v>
      </c>
      <c r="AC2174" s="2" t="s">
        <v>124</v>
      </c>
      <c r="AD2174" s="3">
        <v>40324</v>
      </c>
      <c r="AE2174" s="4">
        <v>0.75</v>
      </c>
      <c r="AF2174" s="2"/>
      <c r="AG2174" s="2"/>
      <c r="AH2174" s="2">
        <v>2</v>
      </c>
      <c r="AI2174" s="2" t="s">
        <v>84</v>
      </c>
      <c r="AJ2174" s="2">
        <v>12</v>
      </c>
      <c r="AK2174" s="2" t="s">
        <v>85</v>
      </c>
      <c r="AL2174" s="2">
        <v>10</v>
      </c>
      <c r="AM2174" s="2" t="s">
        <v>200</v>
      </c>
      <c r="AN2174" s="2" t="s">
        <v>7467</v>
      </c>
      <c r="AO2174" s="2" t="s">
        <v>7468</v>
      </c>
      <c r="AP2174" s="2">
        <v>11</v>
      </c>
      <c r="AQ2174" s="2" t="s">
        <v>82</v>
      </c>
      <c r="AR2174" s="2"/>
      <c r="AS2174" s="2"/>
      <c r="AT2174" s="2" t="s">
        <v>7469</v>
      </c>
      <c r="AU2174" s="2"/>
      <c r="AV2174" s="2"/>
      <c r="AW2174" s="2"/>
      <c r="AX2174" s="2"/>
      <c r="AY2174" s="2">
        <v>41</v>
      </c>
      <c r="AZ2174" s="2" t="s">
        <v>82</v>
      </c>
      <c r="BA2174" s="2">
        <v>41</v>
      </c>
      <c r="BB2174" s="2" t="s">
        <v>82</v>
      </c>
      <c r="BC2174" s="2">
        <v>41</v>
      </c>
      <c r="BD2174" s="2" t="s">
        <v>82</v>
      </c>
      <c r="BE2174" s="2">
        <v>13</v>
      </c>
      <c r="BF2174" s="2" t="s">
        <v>108</v>
      </c>
      <c r="BG2174" s="2" t="s">
        <v>7470</v>
      </c>
      <c r="BH2174" s="2"/>
      <c r="BI2174" s="4">
        <v>0.79166666666666663</v>
      </c>
      <c r="BJ2174" s="2">
        <v>13</v>
      </c>
      <c r="BK2174" s="2" t="s">
        <v>91</v>
      </c>
      <c r="BL2174" s="2" t="s">
        <v>185</v>
      </c>
      <c r="BM2174" s="2">
        <v>241</v>
      </c>
      <c r="BN2174" s="2" t="s">
        <v>82</v>
      </c>
      <c r="BO2174" s="2"/>
      <c r="BP2174" s="2">
        <v>46</v>
      </c>
      <c r="BQ2174" s="2" t="s">
        <v>307</v>
      </c>
      <c r="BR2174" s="2" t="s">
        <v>308</v>
      </c>
      <c r="BS2174" s="3">
        <v>40324</v>
      </c>
      <c r="BT2174" s="4">
        <v>0.82835648148148155</v>
      </c>
    </row>
    <row r="2175" spans="1:72" x14ac:dyDescent="0.25">
      <c r="A2175" s="2">
        <v>3166</v>
      </c>
      <c r="B2175" s="2">
        <v>2010</v>
      </c>
      <c r="C2175" s="2" t="s">
        <v>377</v>
      </c>
      <c r="D2175" s="2" t="s">
        <v>73</v>
      </c>
      <c r="E2175" s="2"/>
      <c r="F2175" s="2">
        <v>426</v>
      </c>
      <c r="G2175" s="2" t="s">
        <v>378</v>
      </c>
      <c r="H2175" s="2">
        <v>22</v>
      </c>
      <c r="I2175" s="2" t="s">
        <v>75</v>
      </c>
      <c r="J2175" s="2">
        <v>311</v>
      </c>
      <c r="K2175" s="2" t="s">
        <v>379</v>
      </c>
      <c r="L2175" s="2" t="s">
        <v>380</v>
      </c>
      <c r="M2175" s="3">
        <v>40324</v>
      </c>
      <c r="N2175" s="2" t="s">
        <v>4427</v>
      </c>
      <c r="O2175" s="2"/>
      <c r="P2175" s="2"/>
      <c r="Q2175" s="2" t="str">
        <f>"093-C/10"</f>
        <v>093-C/10</v>
      </c>
      <c r="R2175" s="2" t="s">
        <v>5773</v>
      </c>
      <c r="S2175" s="2"/>
      <c r="T2175" s="2">
        <v>1</v>
      </c>
      <c r="U2175" s="2" t="s">
        <v>79</v>
      </c>
      <c r="V2175" s="2">
        <v>1</v>
      </c>
      <c r="W2175" s="2" t="s">
        <v>80</v>
      </c>
      <c r="X2175" s="2">
        <v>1</v>
      </c>
      <c r="Y2175" s="2" t="s">
        <v>81</v>
      </c>
      <c r="Z2175" s="2">
        <v>1</v>
      </c>
      <c r="AA2175" s="2" t="s">
        <v>82</v>
      </c>
      <c r="AB2175" s="2">
        <v>9</v>
      </c>
      <c r="AC2175" s="2" t="s">
        <v>124</v>
      </c>
      <c r="AD2175" s="3">
        <v>40324</v>
      </c>
      <c r="AE2175" s="4">
        <v>0.69097222222222221</v>
      </c>
      <c r="AF2175" s="2"/>
      <c r="AG2175" s="2"/>
      <c r="AH2175" s="2">
        <v>2</v>
      </c>
      <c r="AI2175" s="2" t="s">
        <v>84</v>
      </c>
      <c r="AJ2175" s="2">
        <v>9</v>
      </c>
      <c r="AK2175" s="2" t="s">
        <v>103</v>
      </c>
      <c r="AL2175" s="2">
        <v>29</v>
      </c>
      <c r="AM2175" s="2" t="s">
        <v>5416</v>
      </c>
      <c r="AN2175" s="2" t="s">
        <v>7471</v>
      </c>
      <c r="AO2175" s="2" t="s">
        <v>987</v>
      </c>
      <c r="AP2175" s="2">
        <v>11</v>
      </c>
      <c r="AQ2175" s="2" t="s">
        <v>82</v>
      </c>
      <c r="AR2175" s="2"/>
      <c r="AS2175" s="2"/>
      <c r="AT2175" s="2" t="s">
        <v>7472</v>
      </c>
      <c r="AU2175" s="2"/>
      <c r="AV2175" s="2"/>
      <c r="AW2175" s="2"/>
      <c r="AX2175" s="2"/>
      <c r="AY2175" s="2">
        <v>41</v>
      </c>
      <c r="AZ2175" s="2" t="s">
        <v>82</v>
      </c>
      <c r="BA2175" s="2">
        <v>41</v>
      </c>
      <c r="BB2175" s="2" t="s">
        <v>82</v>
      </c>
      <c r="BC2175" s="2">
        <v>41</v>
      </c>
      <c r="BD2175" s="2" t="s">
        <v>82</v>
      </c>
      <c r="BE2175" s="2">
        <v>41</v>
      </c>
      <c r="BF2175" s="2" t="s">
        <v>82</v>
      </c>
      <c r="BG2175" s="2"/>
      <c r="BH2175" s="2"/>
      <c r="BI2175" s="2"/>
      <c r="BJ2175" s="2">
        <v>241</v>
      </c>
      <c r="BK2175" s="2" t="s">
        <v>82</v>
      </c>
      <c r="BL2175" s="2"/>
      <c r="BM2175" s="2">
        <v>241</v>
      </c>
      <c r="BN2175" s="2" t="s">
        <v>82</v>
      </c>
      <c r="BO2175" s="2"/>
      <c r="BP2175" s="2">
        <v>241</v>
      </c>
      <c r="BQ2175" s="2" t="s">
        <v>82</v>
      </c>
      <c r="BR2175" s="2"/>
      <c r="BS2175" s="3">
        <v>40324</v>
      </c>
      <c r="BT2175" s="4">
        <v>0.84442129629629636</v>
      </c>
    </row>
    <row r="2176" spans="1:72" x14ac:dyDescent="0.25">
      <c r="A2176" s="2">
        <v>3167</v>
      </c>
      <c r="B2176" s="2">
        <v>2010</v>
      </c>
      <c r="C2176" s="2" t="s">
        <v>128</v>
      </c>
      <c r="D2176" s="2" t="s">
        <v>122</v>
      </c>
      <c r="E2176" s="2"/>
      <c r="F2176" s="2">
        <v>475</v>
      </c>
      <c r="G2176" s="2" t="s">
        <v>1271</v>
      </c>
      <c r="H2176" s="2">
        <v>44</v>
      </c>
      <c r="I2176" s="2" t="s">
        <v>1272</v>
      </c>
      <c r="J2176" s="2">
        <v>385</v>
      </c>
      <c r="K2176" s="2" t="s">
        <v>1314</v>
      </c>
      <c r="L2176" s="2" t="s">
        <v>1315</v>
      </c>
      <c r="M2176" s="3">
        <v>40324</v>
      </c>
      <c r="N2176" s="2" t="s">
        <v>1275</v>
      </c>
      <c r="O2176" s="2" t="s">
        <v>7473</v>
      </c>
      <c r="P2176" s="2" t="s">
        <v>82</v>
      </c>
      <c r="Q2176" s="2" t="str">
        <f>"21/2010"</f>
        <v>21/2010</v>
      </c>
      <c r="R2176" s="2" t="s">
        <v>82</v>
      </c>
      <c r="S2176" s="2" t="s">
        <v>7473</v>
      </c>
      <c r="T2176" s="2">
        <v>1</v>
      </c>
      <c r="U2176" s="2" t="s">
        <v>79</v>
      </c>
      <c r="V2176" s="2">
        <v>1</v>
      </c>
      <c r="W2176" s="2" t="s">
        <v>80</v>
      </c>
      <c r="X2176" s="2">
        <v>1</v>
      </c>
      <c r="Y2176" s="2" t="s">
        <v>81</v>
      </c>
      <c r="Z2176" s="2">
        <v>10</v>
      </c>
      <c r="AA2176" s="2" t="s">
        <v>236</v>
      </c>
      <c r="AB2176" s="2">
        <v>9</v>
      </c>
      <c r="AC2176" s="2" t="s">
        <v>124</v>
      </c>
      <c r="AD2176" s="3">
        <v>40324</v>
      </c>
      <c r="AE2176" s="4">
        <v>0.75</v>
      </c>
      <c r="AF2176" s="3">
        <v>40324</v>
      </c>
      <c r="AG2176" s="4">
        <v>0.75</v>
      </c>
      <c r="AH2176" s="2">
        <v>5</v>
      </c>
      <c r="AI2176" s="2" t="s">
        <v>274</v>
      </c>
      <c r="AJ2176" s="2">
        <v>42</v>
      </c>
      <c r="AK2176" s="2" t="s">
        <v>660</v>
      </c>
      <c r="AL2176" s="2">
        <v>11</v>
      </c>
      <c r="AM2176" s="2" t="s">
        <v>137</v>
      </c>
      <c r="AN2176" s="2" t="s">
        <v>82</v>
      </c>
      <c r="AO2176" s="2" t="s">
        <v>200</v>
      </c>
      <c r="AP2176" s="2">
        <v>5</v>
      </c>
      <c r="AQ2176" s="2" t="s">
        <v>827</v>
      </c>
      <c r="AR2176" s="2" t="s">
        <v>82</v>
      </c>
      <c r="AS2176" s="2" t="s">
        <v>82</v>
      </c>
      <c r="AT2176" s="2" t="s">
        <v>7474</v>
      </c>
      <c r="AU2176" s="2"/>
      <c r="AV2176" s="2"/>
      <c r="AW2176" s="2"/>
      <c r="AX2176" s="2"/>
      <c r="AY2176" s="2">
        <v>41</v>
      </c>
      <c r="AZ2176" s="2" t="s">
        <v>82</v>
      </c>
      <c r="BA2176" s="2">
        <v>41</v>
      </c>
      <c r="BB2176" s="2" t="s">
        <v>82</v>
      </c>
      <c r="BC2176" s="2">
        <v>41</v>
      </c>
      <c r="BD2176" s="2" t="s">
        <v>82</v>
      </c>
      <c r="BE2176" s="2">
        <v>13</v>
      </c>
      <c r="BF2176" s="2" t="s">
        <v>108</v>
      </c>
      <c r="BG2176" s="2">
        <v>1789</v>
      </c>
      <c r="BH2176" s="4">
        <v>0.74861111111111101</v>
      </c>
      <c r="BI2176" s="4">
        <v>0.78888888888888886</v>
      </c>
      <c r="BJ2176" s="2">
        <v>13</v>
      </c>
      <c r="BK2176" s="2" t="s">
        <v>91</v>
      </c>
      <c r="BL2176" s="2" t="s">
        <v>7475</v>
      </c>
      <c r="BM2176" s="2">
        <v>241</v>
      </c>
      <c r="BN2176" s="2" t="s">
        <v>82</v>
      </c>
      <c r="BO2176" s="2" t="s">
        <v>82</v>
      </c>
      <c r="BP2176" s="2">
        <v>13</v>
      </c>
      <c r="BQ2176" s="2" t="s">
        <v>91</v>
      </c>
      <c r="BR2176" s="2" t="s">
        <v>524</v>
      </c>
      <c r="BS2176" s="3">
        <v>40324</v>
      </c>
      <c r="BT2176" s="4">
        <v>0.86373842592592587</v>
      </c>
    </row>
    <row r="2177" spans="1:72" x14ac:dyDescent="0.25">
      <c r="A2177" s="2">
        <v>3168</v>
      </c>
      <c r="B2177" s="2">
        <v>2010</v>
      </c>
      <c r="C2177" s="2" t="s">
        <v>819</v>
      </c>
      <c r="D2177" s="2" t="s">
        <v>122</v>
      </c>
      <c r="E2177" s="2"/>
      <c r="F2177" s="2">
        <v>444</v>
      </c>
      <c r="G2177" s="2" t="s">
        <v>3595</v>
      </c>
      <c r="H2177" s="2">
        <v>31</v>
      </c>
      <c r="I2177" s="2" t="s">
        <v>880</v>
      </c>
      <c r="J2177" s="2">
        <v>318</v>
      </c>
      <c r="K2177" s="2" t="s">
        <v>635</v>
      </c>
      <c r="L2177" s="2" t="s">
        <v>636</v>
      </c>
      <c r="M2177" s="3">
        <v>40324</v>
      </c>
      <c r="N2177" s="2" t="s">
        <v>3596</v>
      </c>
      <c r="O2177" s="2"/>
      <c r="P2177" s="2"/>
      <c r="Q2177" s="2" t="str">
        <f>"0008/10 PSA"</f>
        <v>0008/10 PSA</v>
      </c>
      <c r="R2177" s="2" t="s">
        <v>5424</v>
      </c>
      <c r="S2177" s="2" t="s">
        <v>5424</v>
      </c>
      <c r="T2177" s="2">
        <v>1</v>
      </c>
      <c r="U2177" s="2" t="s">
        <v>79</v>
      </c>
      <c r="V2177" s="2">
        <v>1</v>
      </c>
      <c r="W2177" s="2" t="s">
        <v>80</v>
      </c>
      <c r="X2177" s="2">
        <v>1</v>
      </c>
      <c r="Y2177" s="2" t="s">
        <v>81</v>
      </c>
      <c r="Z2177" s="2">
        <v>10</v>
      </c>
      <c r="AA2177" s="2" t="s">
        <v>236</v>
      </c>
      <c r="AB2177" s="2">
        <v>9</v>
      </c>
      <c r="AC2177" s="2" t="s">
        <v>124</v>
      </c>
      <c r="AD2177" s="3">
        <v>40324</v>
      </c>
      <c r="AE2177" s="4">
        <v>0.61805555555555558</v>
      </c>
      <c r="AF2177" s="2"/>
      <c r="AG2177" s="2"/>
      <c r="AH2177" s="2">
        <v>4</v>
      </c>
      <c r="AI2177" s="2" t="s">
        <v>125</v>
      </c>
      <c r="AJ2177" s="2">
        <v>30</v>
      </c>
      <c r="AK2177" s="2" t="s">
        <v>258</v>
      </c>
      <c r="AL2177" s="2">
        <v>22</v>
      </c>
      <c r="AM2177" s="2" t="s">
        <v>1853</v>
      </c>
      <c r="AN2177" s="2"/>
      <c r="AO2177" s="2"/>
      <c r="AP2177" s="2">
        <v>12</v>
      </c>
      <c r="AQ2177" s="2" t="s">
        <v>322</v>
      </c>
      <c r="AR2177" s="2" t="s">
        <v>7004</v>
      </c>
      <c r="AS2177" s="2" t="s">
        <v>7005</v>
      </c>
      <c r="AT2177" s="2" t="s">
        <v>7476</v>
      </c>
      <c r="AU2177" s="2"/>
      <c r="AV2177" s="2"/>
      <c r="AW2177" s="2"/>
      <c r="AX2177" s="2"/>
      <c r="AY2177" s="2">
        <v>41</v>
      </c>
      <c r="AZ2177" s="2" t="s">
        <v>82</v>
      </c>
      <c r="BA2177" s="2">
        <v>41</v>
      </c>
      <c r="BB2177" s="2" t="s">
        <v>82</v>
      </c>
      <c r="BC2177" s="2">
        <v>41</v>
      </c>
      <c r="BD2177" s="2" t="s">
        <v>82</v>
      </c>
      <c r="BE2177" s="2">
        <v>47</v>
      </c>
      <c r="BF2177" s="2" t="s">
        <v>167</v>
      </c>
      <c r="BG2177" s="2">
        <v>2499</v>
      </c>
      <c r="BH2177" s="4">
        <v>0.64930555555555558</v>
      </c>
      <c r="BI2177" s="4">
        <v>0.68402777777777779</v>
      </c>
      <c r="BJ2177" s="2">
        <v>13</v>
      </c>
      <c r="BK2177" s="2" t="s">
        <v>91</v>
      </c>
      <c r="BL2177" s="2" t="s">
        <v>2865</v>
      </c>
      <c r="BM2177" s="2">
        <v>241</v>
      </c>
      <c r="BN2177" s="2" t="s">
        <v>82</v>
      </c>
      <c r="BO2177" s="2"/>
      <c r="BP2177" s="2">
        <v>13</v>
      </c>
      <c r="BQ2177" s="2" t="s">
        <v>91</v>
      </c>
      <c r="BR2177" s="2" t="s">
        <v>185</v>
      </c>
      <c r="BS2177" s="3">
        <v>40324</v>
      </c>
      <c r="BT2177" s="4">
        <v>0.92557870370370365</v>
      </c>
    </row>
    <row r="2178" spans="1:72" x14ac:dyDescent="0.25">
      <c r="A2178" s="2">
        <v>3169</v>
      </c>
      <c r="B2178" s="2">
        <v>2010</v>
      </c>
      <c r="C2178" s="2" t="s">
        <v>121</v>
      </c>
      <c r="D2178" s="2" t="s">
        <v>122</v>
      </c>
      <c r="E2178" s="2"/>
      <c r="F2178" s="2">
        <v>1</v>
      </c>
      <c r="G2178" s="2" t="s">
        <v>82</v>
      </c>
      <c r="H2178" s="2">
        <v>1</v>
      </c>
      <c r="I2178" s="2" t="s">
        <v>82</v>
      </c>
      <c r="J2178" s="2">
        <v>1</v>
      </c>
      <c r="K2178" s="2" t="s">
        <v>107</v>
      </c>
      <c r="L2178" s="2" t="s">
        <v>107</v>
      </c>
      <c r="M2178" s="3">
        <v>40324</v>
      </c>
      <c r="N2178" s="2"/>
      <c r="O2178" s="2"/>
      <c r="P2178" s="2"/>
      <c r="Q2178" s="2" t="str">
        <f>""</f>
        <v/>
      </c>
      <c r="R2178" s="2"/>
      <c r="S2178" s="2"/>
      <c r="T2178" s="2">
        <v>2</v>
      </c>
      <c r="U2178" s="2" t="s">
        <v>123</v>
      </c>
      <c r="V2178" s="2">
        <v>1</v>
      </c>
      <c r="W2178" s="2" t="s">
        <v>80</v>
      </c>
      <c r="X2178" s="2">
        <v>11</v>
      </c>
      <c r="Y2178" s="2" t="s">
        <v>1920</v>
      </c>
      <c r="Z2178" s="2">
        <v>10</v>
      </c>
      <c r="AA2178" s="2" t="s">
        <v>236</v>
      </c>
      <c r="AB2178" s="2">
        <v>9</v>
      </c>
      <c r="AC2178" s="2" t="s">
        <v>124</v>
      </c>
      <c r="AD2178" s="3">
        <v>40323</v>
      </c>
      <c r="AE2178" s="4">
        <v>0.8125</v>
      </c>
      <c r="AF2178" s="2"/>
      <c r="AG2178" s="2"/>
      <c r="AH2178" s="2">
        <v>2</v>
      </c>
      <c r="AI2178" s="2" t="s">
        <v>84</v>
      </c>
      <c r="AJ2178" s="2">
        <v>12</v>
      </c>
      <c r="AK2178" s="2" t="s">
        <v>85</v>
      </c>
      <c r="AL2178" s="2">
        <v>20</v>
      </c>
      <c r="AM2178" s="2" t="s">
        <v>992</v>
      </c>
      <c r="AN2178" s="2" t="s">
        <v>107</v>
      </c>
      <c r="AO2178" s="2" t="s">
        <v>993</v>
      </c>
      <c r="AP2178" s="2">
        <v>11</v>
      </c>
      <c r="AQ2178" s="2" t="s">
        <v>82</v>
      </c>
      <c r="AR2178" s="2"/>
      <c r="AS2178" s="2"/>
      <c r="AT2178" s="2" t="s">
        <v>7477</v>
      </c>
      <c r="AU2178" s="2"/>
      <c r="AV2178" s="2"/>
      <c r="AW2178" s="2"/>
      <c r="AX2178" s="2"/>
      <c r="AY2178" s="2">
        <v>41</v>
      </c>
      <c r="AZ2178" s="2" t="s">
        <v>82</v>
      </c>
      <c r="BA2178" s="2">
        <v>41</v>
      </c>
      <c r="BB2178" s="2" t="s">
        <v>82</v>
      </c>
      <c r="BC2178" s="2">
        <v>41</v>
      </c>
      <c r="BD2178" s="2" t="s">
        <v>82</v>
      </c>
      <c r="BE2178" s="2">
        <v>41</v>
      </c>
      <c r="BF2178" s="2" t="s">
        <v>82</v>
      </c>
      <c r="BG2178" s="2"/>
      <c r="BH2178" s="4">
        <v>0.92013888888888884</v>
      </c>
      <c r="BI2178" s="4">
        <v>0.9375</v>
      </c>
      <c r="BJ2178" s="2">
        <v>13</v>
      </c>
      <c r="BK2178" s="2" t="s">
        <v>91</v>
      </c>
      <c r="BL2178" s="2" t="s">
        <v>185</v>
      </c>
      <c r="BM2178" s="2">
        <v>241</v>
      </c>
      <c r="BN2178" s="2" t="s">
        <v>82</v>
      </c>
      <c r="BO2178" s="2"/>
      <c r="BP2178" s="2">
        <v>102</v>
      </c>
      <c r="BQ2178" s="2" t="s">
        <v>7478</v>
      </c>
      <c r="BR2178" s="2" t="s">
        <v>7479</v>
      </c>
      <c r="BS2178" s="3">
        <v>40324</v>
      </c>
      <c r="BT2178" s="4">
        <v>0.97119212962962964</v>
      </c>
    </row>
    <row r="2179" spans="1:72" x14ac:dyDescent="0.25">
      <c r="A2179" s="2">
        <v>3170</v>
      </c>
      <c r="B2179" s="2">
        <v>2010</v>
      </c>
      <c r="C2179" s="2" t="s">
        <v>128</v>
      </c>
      <c r="D2179" s="2" t="s">
        <v>122</v>
      </c>
      <c r="E2179" s="2"/>
      <c r="F2179" s="2">
        <v>470</v>
      </c>
      <c r="G2179" s="2" t="s">
        <v>2979</v>
      </c>
      <c r="H2179" s="2">
        <v>3</v>
      </c>
      <c r="I2179" s="2" t="s">
        <v>315</v>
      </c>
      <c r="J2179" s="2">
        <v>371</v>
      </c>
      <c r="K2179" s="2" t="s">
        <v>1138</v>
      </c>
      <c r="L2179" s="2" t="s">
        <v>1139</v>
      </c>
      <c r="M2179" s="3">
        <v>40325</v>
      </c>
      <c r="N2179" s="2" t="s">
        <v>7480</v>
      </c>
      <c r="O2179" s="2"/>
      <c r="P2179" s="2"/>
      <c r="Q2179" s="2" t="str">
        <f>""</f>
        <v/>
      </c>
      <c r="R2179" s="2"/>
      <c r="S2179" s="2"/>
      <c r="T2179" s="2">
        <v>1</v>
      </c>
      <c r="U2179" s="2" t="s">
        <v>79</v>
      </c>
      <c r="V2179" s="2">
        <v>1</v>
      </c>
      <c r="W2179" s="2" t="s">
        <v>80</v>
      </c>
      <c r="X2179" s="2">
        <v>12</v>
      </c>
      <c r="Y2179" s="2" t="s">
        <v>148</v>
      </c>
      <c r="Z2179" s="2">
        <v>1</v>
      </c>
      <c r="AA2179" s="2" t="s">
        <v>82</v>
      </c>
      <c r="AB2179" s="2">
        <v>9</v>
      </c>
      <c r="AC2179" s="2" t="s">
        <v>124</v>
      </c>
      <c r="AD2179" s="2"/>
      <c r="AE2179" s="2"/>
      <c r="AF2179" s="3">
        <v>40324</v>
      </c>
      <c r="AG2179" s="4">
        <v>0.7729166666666667</v>
      </c>
      <c r="AH2179" s="2">
        <v>5</v>
      </c>
      <c r="AI2179" s="2" t="s">
        <v>274</v>
      </c>
      <c r="AJ2179" s="2">
        <v>38</v>
      </c>
      <c r="AK2179" s="2" t="s">
        <v>1120</v>
      </c>
      <c r="AL2179" s="2">
        <v>19</v>
      </c>
      <c r="AM2179" s="2" t="s">
        <v>107</v>
      </c>
      <c r="AN2179" s="2"/>
      <c r="AO2179" s="2"/>
      <c r="AP2179" s="2">
        <v>11</v>
      </c>
      <c r="AQ2179" s="2" t="s">
        <v>82</v>
      </c>
      <c r="AR2179" s="2"/>
      <c r="AS2179" s="2"/>
      <c r="AT2179" s="2" t="s">
        <v>7481</v>
      </c>
      <c r="AU2179" s="2"/>
      <c r="AV2179" s="2"/>
      <c r="AW2179" s="2"/>
      <c r="AX2179" s="2"/>
      <c r="AY2179" s="2">
        <v>41</v>
      </c>
      <c r="AZ2179" s="2" t="s">
        <v>82</v>
      </c>
      <c r="BA2179" s="2">
        <v>41</v>
      </c>
      <c r="BB2179" s="2" t="s">
        <v>82</v>
      </c>
      <c r="BC2179" s="2">
        <v>41</v>
      </c>
      <c r="BD2179" s="2" t="s">
        <v>82</v>
      </c>
      <c r="BE2179" s="2">
        <v>47</v>
      </c>
      <c r="BF2179" s="2" t="s">
        <v>167</v>
      </c>
      <c r="BG2179" s="2">
        <v>2337</v>
      </c>
      <c r="BH2179" s="4">
        <v>0.89583333333333337</v>
      </c>
      <c r="BI2179" s="4">
        <v>0.92638888888888893</v>
      </c>
      <c r="BJ2179" s="2">
        <v>13</v>
      </c>
      <c r="BK2179" s="2" t="s">
        <v>91</v>
      </c>
      <c r="BL2179" s="2" t="s">
        <v>1697</v>
      </c>
      <c r="BM2179" s="2">
        <v>13</v>
      </c>
      <c r="BN2179" s="2" t="s">
        <v>91</v>
      </c>
      <c r="BO2179" s="2"/>
      <c r="BP2179" s="2">
        <v>13</v>
      </c>
      <c r="BQ2179" s="2" t="s">
        <v>91</v>
      </c>
      <c r="BR2179" s="2" t="s">
        <v>170</v>
      </c>
      <c r="BS2179" s="3">
        <v>40325</v>
      </c>
      <c r="BT2179" s="4">
        <v>1.0104166666666668E-2</v>
      </c>
    </row>
    <row r="2180" spans="1:72" x14ac:dyDescent="0.25">
      <c r="A2180" s="2">
        <v>3171</v>
      </c>
      <c r="B2180" s="2">
        <v>2010</v>
      </c>
      <c r="C2180" s="2" t="s">
        <v>819</v>
      </c>
      <c r="D2180" s="2" t="s">
        <v>73</v>
      </c>
      <c r="E2180" s="2"/>
      <c r="F2180" s="2">
        <v>281</v>
      </c>
      <c r="G2180" s="2" t="s">
        <v>7482</v>
      </c>
      <c r="H2180" s="2">
        <v>4</v>
      </c>
      <c r="I2180" s="2" t="s">
        <v>173</v>
      </c>
      <c r="J2180" s="2">
        <v>527</v>
      </c>
      <c r="K2180" s="2" t="s">
        <v>2804</v>
      </c>
      <c r="L2180" s="2" t="s">
        <v>7483</v>
      </c>
      <c r="M2180" s="3">
        <v>40325</v>
      </c>
      <c r="N2180" s="2" t="s">
        <v>7484</v>
      </c>
      <c r="O2180" s="2"/>
      <c r="P2180" s="2"/>
      <c r="Q2180" s="2" t="str">
        <f>"0006/2010"</f>
        <v>0006/2010</v>
      </c>
      <c r="R2180" s="2" t="s">
        <v>2003</v>
      </c>
      <c r="S2180" s="2" t="s">
        <v>7485</v>
      </c>
      <c r="T2180" s="2">
        <v>1</v>
      </c>
      <c r="U2180" s="2" t="s">
        <v>79</v>
      </c>
      <c r="V2180" s="2">
        <v>1</v>
      </c>
      <c r="W2180" s="2" t="s">
        <v>80</v>
      </c>
      <c r="X2180" s="2">
        <v>1</v>
      </c>
      <c r="Y2180" s="2" t="s">
        <v>81</v>
      </c>
      <c r="Z2180" s="2">
        <v>1</v>
      </c>
      <c r="AA2180" s="2" t="s">
        <v>82</v>
      </c>
      <c r="AB2180" s="2">
        <v>9</v>
      </c>
      <c r="AC2180" s="2" t="s">
        <v>124</v>
      </c>
      <c r="AD2180" s="3">
        <v>40324</v>
      </c>
      <c r="AE2180" s="4">
        <v>0.76041666666666663</v>
      </c>
      <c r="AF2180" s="3">
        <v>40365</v>
      </c>
      <c r="AG2180" s="2"/>
      <c r="AH2180" s="2">
        <v>5</v>
      </c>
      <c r="AI2180" s="2" t="s">
        <v>274</v>
      </c>
      <c r="AJ2180" s="2">
        <v>37</v>
      </c>
      <c r="AK2180" s="2" t="s">
        <v>497</v>
      </c>
      <c r="AL2180" s="2">
        <v>10</v>
      </c>
      <c r="AM2180" s="2" t="s">
        <v>200</v>
      </c>
      <c r="AN2180" s="2" t="s">
        <v>6127</v>
      </c>
      <c r="AO2180" s="2"/>
      <c r="AP2180" s="2">
        <v>11</v>
      </c>
      <c r="AQ2180" s="2" t="s">
        <v>82</v>
      </c>
      <c r="AR2180" s="2" t="s">
        <v>82</v>
      </c>
      <c r="AS2180" s="2" t="s">
        <v>82</v>
      </c>
      <c r="AT2180" s="2" t="s">
        <v>7486</v>
      </c>
      <c r="AU2180" s="2"/>
      <c r="AV2180" s="2"/>
      <c r="AW2180" s="2"/>
      <c r="AX2180" s="2"/>
      <c r="AY2180" s="2">
        <v>42</v>
      </c>
      <c r="AZ2180" s="2" t="s">
        <v>182</v>
      </c>
      <c r="BA2180" s="2">
        <v>41</v>
      </c>
      <c r="BB2180" s="2" t="s">
        <v>82</v>
      </c>
      <c r="BC2180" s="2">
        <v>77</v>
      </c>
      <c r="BD2180" s="2" t="s">
        <v>3158</v>
      </c>
      <c r="BE2180" s="2">
        <v>42</v>
      </c>
      <c r="BF2180" s="2" t="s">
        <v>182</v>
      </c>
      <c r="BG2180" s="2" t="s">
        <v>107</v>
      </c>
      <c r="BH2180" s="4">
        <v>0.67013888888888884</v>
      </c>
      <c r="BI2180" s="4">
        <v>0.73958333333333337</v>
      </c>
      <c r="BJ2180" s="2">
        <v>13</v>
      </c>
      <c r="BK2180" s="2" t="s">
        <v>91</v>
      </c>
      <c r="BL2180" s="2" t="s">
        <v>1552</v>
      </c>
      <c r="BM2180" s="2">
        <v>13</v>
      </c>
      <c r="BN2180" s="2" t="s">
        <v>91</v>
      </c>
      <c r="BO2180" s="2" t="s">
        <v>5623</v>
      </c>
      <c r="BP2180" s="2">
        <v>13</v>
      </c>
      <c r="BQ2180" s="2" t="s">
        <v>91</v>
      </c>
      <c r="BR2180" s="2" t="s">
        <v>5180</v>
      </c>
      <c r="BS2180" s="3">
        <v>40325</v>
      </c>
      <c r="BT2180" s="4">
        <v>5.9224537037037041E-2</v>
      </c>
    </row>
    <row r="2181" spans="1:72" x14ac:dyDescent="0.25">
      <c r="A2181" s="2">
        <v>3172</v>
      </c>
      <c r="B2181" s="2">
        <v>2010</v>
      </c>
      <c r="C2181" s="2" t="s">
        <v>72</v>
      </c>
      <c r="D2181" s="2" t="s">
        <v>73</v>
      </c>
      <c r="E2181" s="2"/>
      <c r="F2181" s="2">
        <v>10</v>
      </c>
      <c r="G2181" s="2" t="s">
        <v>2143</v>
      </c>
      <c r="H2181" s="2">
        <v>39</v>
      </c>
      <c r="I2181" s="2" t="s">
        <v>1117</v>
      </c>
      <c r="J2181" s="2">
        <v>538</v>
      </c>
      <c r="K2181" s="2" t="s">
        <v>7264</v>
      </c>
      <c r="L2181" s="2" t="s">
        <v>7265</v>
      </c>
      <c r="M2181" s="3">
        <v>40325</v>
      </c>
      <c r="N2181" s="2" t="s">
        <v>2214</v>
      </c>
      <c r="O2181" s="2" t="s">
        <v>107</v>
      </c>
      <c r="P2181" s="2" t="s">
        <v>107</v>
      </c>
      <c r="Q2181" s="2" t="str">
        <f>"25/10"</f>
        <v>25/10</v>
      </c>
      <c r="R2181" s="2" t="s">
        <v>601</v>
      </c>
      <c r="S2181" s="2" t="s">
        <v>601</v>
      </c>
      <c r="T2181" s="2">
        <v>1</v>
      </c>
      <c r="U2181" s="2" t="s">
        <v>79</v>
      </c>
      <c r="V2181" s="2">
        <v>1</v>
      </c>
      <c r="W2181" s="2" t="s">
        <v>80</v>
      </c>
      <c r="X2181" s="2">
        <v>1</v>
      </c>
      <c r="Y2181" s="2" t="s">
        <v>81</v>
      </c>
      <c r="Z2181" s="2">
        <v>1</v>
      </c>
      <c r="AA2181" s="2" t="s">
        <v>82</v>
      </c>
      <c r="AB2181" s="2">
        <v>6</v>
      </c>
      <c r="AC2181" s="2" t="s">
        <v>83</v>
      </c>
      <c r="AD2181" s="3">
        <v>40324</v>
      </c>
      <c r="AE2181" s="4">
        <v>0.97222222222222221</v>
      </c>
      <c r="AF2181" s="2"/>
      <c r="AG2181" s="2"/>
      <c r="AH2181" s="2">
        <v>3</v>
      </c>
      <c r="AI2181" s="2" t="s">
        <v>214</v>
      </c>
      <c r="AJ2181" s="2">
        <v>24</v>
      </c>
      <c r="AK2181" s="2" t="s">
        <v>215</v>
      </c>
      <c r="AL2181" s="2">
        <v>9</v>
      </c>
      <c r="AM2181" s="2" t="s">
        <v>259</v>
      </c>
      <c r="AN2181" s="2" t="s">
        <v>7487</v>
      </c>
      <c r="AO2181" s="2" t="s">
        <v>82</v>
      </c>
      <c r="AP2181" s="2">
        <v>11</v>
      </c>
      <c r="AQ2181" s="2" t="s">
        <v>82</v>
      </c>
      <c r="AR2181" s="2"/>
      <c r="AS2181" s="2"/>
      <c r="AT2181" s="2" t="s">
        <v>7488</v>
      </c>
      <c r="AU2181" s="2"/>
      <c r="AV2181" s="2"/>
      <c r="AW2181" s="2"/>
      <c r="AX2181" s="2"/>
      <c r="AY2181" s="2">
        <v>44</v>
      </c>
      <c r="AZ2181" s="2" t="s">
        <v>262</v>
      </c>
      <c r="BA2181" s="2">
        <v>41</v>
      </c>
      <c r="BB2181" s="2" t="s">
        <v>82</v>
      </c>
      <c r="BC2181" s="2">
        <v>41</v>
      </c>
      <c r="BD2181" s="2" t="s">
        <v>82</v>
      </c>
      <c r="BE2181" s="2">
        <v>41</v>
      </c>
      <c r="BF2181" s="2" t="s">
        <v>82</v>
      </c>
      <c r="BG2181" s="2"/>
      <c r="BH2181" s="2"/>
      <c r="BI2181" s="2"/>
      <c r="BJ2181" s="2">
        <v>241</v>
      </c>
      <c r="BK2181" s="2" t="s">
        <v>82</v>
      </c>
      <c r="BL2181" s="2"/>
      <c r="BM2181" s="2">
        <v>241</v>
      </c>
      <c r="BN2181" s="2" t="s">
        <v>82</v>
      </c>
      <c r="BO2181" s="2"/>
      <c r="BP2181" s="2">
        <v>241</v>
      </c>
      <c r="BQ2181" s="2" t="s">
        <v>82</v>
      </c>
      <c r="BR2181" s="2"/>
      <c r="BS2181" s="3">
        <v>40325</v>
      </c>
      <c r="BT2181" s="4">
        <v>0.13567129629629629</v>
      </c>
    </row>
    <row r="2182" spans="1:72" x14ac:dyDescent="0.25">
      <c r="A2182" s="2">
        <v>3173</v>
      </c>
      <c r="B2182" s="2">
        <v>2010</v>
      </c>
      <c r="C2182" s="2" t="s">
        <v>1094</v>
      </c>
      <c r="D2182" s="2" t="s">
        <v>73</v>
      </c>
      <c r="E2182" s="2"/>
      <c r="F2182" s="2">
        <v>3</v>
      </c>
      <c r="G2182" s="2" t="s">
        <v>1041</v>
      </c>
      <c r="H2182" s="2">
        <v>42</v>
      </c>
      <c r="I2182" s="2" t="s">
        <v>1096</v>
      </c>
      <c r="J2182" s="2">
        <v>368</v>
      </c>
      <c r="K2182" s="2" t="s">
        <v>1042</v>
      </c>
      <c r="L2182" s="2" t="s">
        <v>1043</v>
      </c>
      <c r="M2182" s="3">
        <v>40325</v>
      </c>
      <c r="N2182" s="2"/>
      <c r="O2182" s="2"/>
      <c r="P2182" s="2"/>
      <c r="Q2182" s="2" t="str">
        <f>"281-E/10"</f>
        <v>281-E/10</v>
      </c>
      <c r="R2182" s="2" t="s">
        <v>480</v>
      </c>
      <c r="S2182" s="2"/>
      <c r="T2182" s="2">
        <v>1</v>
      </c>
      <c r="U2182" s="2" t="s">
        <v>79</v>
      </c>
      <c r="V2182" s="2">
        <v>1</v>
      </c>
      <c r="W2182" s="2" t="s">
        <v>80</v>
      </c>
      <c r="X2182" s="2">
        <v>12</v>
      </c>
      <c r="Y2182" s="2" t="s">
        <v>148</v>
      </c>
      <c r="Z2182" s="2">
        <v>1</v>
      </c>
      <c r="AA2182" s="2" t="s">
        <v>82</v>
      </c>
      <c r="AB2182" s="2">
        <v>9</v>
      </c>
      <c r="AC2182" s="2" t="s">
        <v>124</v>
      </c>
      <c r="AD2182" s="3">
        <v>40324</v>
      </c>
      <c r="AE2182" s="4">
        <v>0.75</v>
      </c>
      <c r="AF2182" s="3">
        <v>40324</v>
      </c>
      <c r="AG2182" s="4">
        <v>0.89583333333333337</v>
      </c>
      <c r="AH2182" s="2">
        <v>2</v>
      </c>
      <c r="AI2182" s="2" t="s">
        <v>84</v>
      </c>
      <c r="AJ2182" s="2">
        <v>9</v>
      </c>
      <c r="AK2182" s="2" t="s">
        <v>103</v>
      </c>
      <c r="AL2182" s="2">
        <v>28</v>
      </c>
      <c r="AM2182" s="2" t="s">
        <v>5969</v>
      </c>
      <c r="AN2182" s="2"/>
      <c r="AO2182" s="2" t="s">
        <v>7489</v>
      </c>
      <c r="AP2182" s="2">
        <v>11</v>
      </c>
      <c r="AQ2182" s="2" t="s">
        <v>82</v>
      </c>
      <c r="AR2182" s="2"/>
      <c r="AS2182" s="2"/>
      <c r="AT2182" s="2" t="s">
        <v>7490</v>
      </c>
      <c r="AU2182" s="2"/>
      <c r="AV2182" s="2"/>
      <c r="AW2182" s="2"/>
      <c r="AX2182" s="2"/>
      <c r="AY2182" s="2">
        <v>41</v>
      </c>
      <c r="AZ2182" s="2" t="s">
        <v>82</v>
      </c>
      <c r="BA2182" s="2">
        <v>41</v>
      </c>
      <c r="BB2182" s="2" t="s">
        <v>82</v>
      </c>
      <c r="BC2182" s="2">
        <v>41</v>
      </c>
      <c r="BD2182" s="2" t="s">
        <v>82</v>
      </c>
      <c r="BE2182" s="2">
        <v>41</v>
      </c>
      <c r="BF2182" s="2" t="s">
        <v>82</v>
      </c>
      <c r="BG2182" s="2"/>
      <c r="BH2182" s="2"/>
      <c r="BI2182" s="2"/>
      <c r="BJ2182" s="2">
        <v>241</v>
      </c>
      <c r="BK2182" s="2" t="s">
        <v>82</v>
      </c>
      <c r="BL2182" s="2"/>
      <c r="BM2182" s="2">
        <v>241</v>
      </c>
      <c r="BN2182" s="2" t="s">
        <v>82</v>
      </c>
      <c r="BO2182" s="2"/>
      <c r="BP2182" s="2">
        <v>241</v>
      </c>
      <c r="BQ2182" s="2" t="s">
        <v>82</v>
      </c>
      <c r="BR2182" s="2"/>
      <c r="BS2182" s="3">
        <v>40325</v>
      </c>
      <c r="BT2182" s="4">
        <v>0.3291782407407407</v>
      </c>
    </row>
    <row r="2183" spans="1:72" x14ac:dyDescent="0.25">
      <c r="A2183" s="2">
        <v>3175</v>
      </c>
      <c r="B2183" s="2">
        <v>2010</v>
      </c>
      <c r="C2183" s="2" t="s">
        <v>72</v>
      </c>
      <c r="D2183" s="2" t="s">
        <v>73</v>
      </c>
      <c r="E2183" s="2"/>
      <c r="F2183" s="2">
        <v>612</v>
      </c>
      <c r="G2183" s="2" t="s">
        <v>6664</v>
      </c>
      <c r="H2183" s="2">
        <v>22</v>
      </c>
      <c r="I2183" s="2" t="s">
        <v>75</v>
      </c>
      <c r="J2183" s="2">
        <v>550</v>
      </c>
      <c r="K2183" s="2" t="s">
        <v>6744</v>
      </c>
      <c r="L2183" s="2" t="s">
        <v>6745</v>
      </c>
      <c r="M2183" s="3">
        <v>40325</v>
      </c>
      <c r="N2183" s="2" t="s">
        <v>6665</v>
      </c>
      <c r="O2183" s="2"/>
      <c r="P2183" s="2" t="s">
        <v>107</v>
      </c>
      <c r="Q2183" s="2" t="str">
        <f>"190-A/10"</f>
        <v>190-A/10</v>
      </c>
      <c r="R2183" s="2"/>
      <c r="S2183" s="2" t="s">
        <v>78</v>
      </c>
      <c r="T2183" s="2">
        <v>1</v>
      </c>
      <c r="U2183" s="2" t="s">
        <v>79</v>
      </c>
      <c r="V2183" s="2">
        <v>1</v>
      </c>
      <c r="W2183" s="2" t="s">
        <v>80</v>
      </c>
      <c r="X2183" s="2">
        <v>12</v>
      </c>
      <c r="Y2183" s="2" t="s">
        <v>148</v>
      </c>
      <c r="Z2183" s="2">
        <v>1</v>
      </c>
      <c r="AA2183" s="2" t="s">
        <v>82</v>
      </c>
      <c r="AB2183" s="2">
        <v>6</v>
      </c>
      <c r="AC2183" s="2" t="s">
        <v>83</v>
      </c>
      <c r="AD2183" s="3">
        <v>40325</v>
      </c>
      <c r="AE2183" s="4">
        <v>0.2951388888888889</v>
      </c>
      <c r="AF2183" s="3">
        <v>40325</v>
      </c>
      <c r="AG2183" s="4">
        <v>0.30555555555555552</v>
      </c>
      <c r="AH2183" s="2">
        <v>2</v>
      </c>
      <c r="AI2183" s="2" t="s">
        <v>84</v>
      </c>
      <c r="AJ2183" s="2">
        <v>12</v>
      </c>
      <c r="AK2183" s="2" t="s">
        <v>85</v>
      </c>
      <c r="AL2183" s="2">
        <v>29</v>
      </c>
      <c r="AM2183" s="2" t="s">
        <v>5416</v>
      </c>
      <c r="AN2183" s="2" t="s">
        <v>296</v>
      </c>
      <c r="AO2183" s="2" t="s">
        <v>7491</v>
      </c>
      <c r="AP2183" s="2">
        <v>11</v>
      </c>
      <c r="AQ2183" s="2" t="s">
        <v>82</v>
      </c>
      <c r="AR2183" s="2"/>
      <c r="AS2183" s="2"/>
      <c r="AT2183" s="2" t="s">
        <v>7492</v>
      </c>
      <c r="AU2183" s="2"/>
      <c r="AV2183" s="2"/>
      <c r="AW2183" s="2"/>
      <c r="AX2183" s="2"/>
      <c r="AY2183" s="2">
        <v>41</v>
      </c>
      <c r="AZ2183" s="2" t="s">
        <v>82</v>
      </c>
      <c r="BA2183" s="2">
        <v>41</v>
      </c>
      <c r="BB2183" s="2" t="s">
        <v>82</v>
      </c>
      <c r="BC2183" s="2">
        <v>41</v>
      </c>
      <c r="BD2183" s="2" t="s">
        <v>82</v>
      </c>
      <c r="BE2183" s="2">
        <v>13</v>
      </c>
      <c r="BF2183" s="2" t="s">
        <v>108</v>
      </c>
      <c r="BG2183" s="2" t="s">
        <v>7493</v>
      </c>
      <c r="BH2183" s="4">
        <v>0.27430555555555552</v>
      </c>
      <c r="BI2183" s="4">
        <v>0.13541666666666666</v>
      </c>
      <c r="BJ2183" s="2">
        <v>33</v>
      </c>
      <c r="BK2183" s="2" t="s">
        <v>361</v>
      </c>
      <c r="BL2183" s="2" t="s">
        <v>2723</v>
      </c>
      <c r="BM2183" s="2">
        <v>241</v>
      </c>
      <c r="BN2183" s="2" t="s">
        <v>82</v>
      </c>
      <c r="BO2183" s="2"/>
      <c r="BP2183" s="2">
        <v>13</v>
      </c>
      <c r="BQ2183" s="2" t="s">
        <v>91</v>
      </c>
      <c r="BR2183" s="2" t="s">
        <v>185</v>
      </c>
      <c r="BS2183" s="3">
        <v>40325</v>
      </c>
      <c r="BT2183" s="4">
        <v>0.37042824074074071</v>
      </c>
    </row>
    <row r="2184" spans="1:72" x14ac:dyDescent="0.25">
      <c r="A2184" s="2">
        <v>3178</v>
      </c>
      <c r="B2184" s="2">
        <v>2010</v>
      </c>
      <c r="C2184" s="2" t="s">
        <v>171</v>
      </c>
      <c r="D2184" s="2" t="s">
        <v>73</v>
      </c>
      <c r="E2184" s="2"/>
      <c r="F2184" s="2">
        <v>393</v>
      </c>
      <c r="G2184" s="2" t="s">
        <v>3660</v>
      </c>
      <c r="H2184" s="2">
        <v>2</v>
      </c>
      <c r="I2184" s="2" t="s">
        <v>267</v>
      </c>
      <c r="J2184" s="2">
        <v>2</v>
      </c>
      <c r="K2184" s="2" t="s">
        <v>3661</v>
      </c>
      <c r="L2184" s="2" t="s">
        <v>3662</v>
      </c>
      <c r="M2184" s="3">
        <v>40325</v>
      </c>
      <c r="N2184" s="2" t="s">
        <v>7494</v>
      </c>
      <c r="O2184" s="2" t="s">
        <v>6306</v>
      </c>
      <c r="P2184" s="2">
        <v>5799</v>
      </c>
      <c r="Q2184" s="2" t="str">
        <f>"12"</f>
        <v>12</v>
      </c>
      <c r="R2184" s="2" t="s">
        <v>82</v>
      </c>
      <c r="S2184" s="2" t="s">
        <v>7495</v>
      </c>
      <c r="T2184" s="2">
        <v>1</v>
      </c>
      <c r="U2184" s="2" t="s">
        <v>79</v>
      </c>
      <c r="V2184" s="2">
        <v>3</v>
      </c>
      <c r="W2184" s="2" t="s">
        <v>225</v>
      </c>
      <c r="X2184" s="2">
        <v>6</v>
      </c>
      <c r="Y2184" s="2" t="s">
        <v>249</v>
      </c>
      <c r="Z2184" s="2">
        <v>1</v>
      </c>
      <c r="AA2184" s="2" t="s">
        <v>82</v>
      </c>
      <c r="AB2184" s="2">
        <v>9</v>
      </c>
      <c r="AC2184" s="2" t="s">
        <v>124</v>
      </c>
      <c r="AD2184" s="3">
        <v>40325</v>
      </c>
      <c r="AE2184" s="4">
        <v>0.47916666666666669</v>
      </c>
      <c r="AF2184" s="2"/>
      <c r="AG2184" s="2"/>
      <c r="AH2184" s="2">
        <v>3</v>
      </c>
      <c r="AI2184" s="2" t="s">
        <v>214</v>
      </c>
      <c r="AJ2184" s="2">
        <v>14</v>
      </c>
      <c r="AK2184" s="2" t="s">
        <v>342</v>
      </c>
      <c r="AL2184" s="2">
        <v>23</v>
      </c>
      <c r="AM2184" s="2" t="s">
        <v>251</v>
      </c>
      <c r="AN2184" s="2" t="s">
        <v>7496</v>
      </c>
      <c r="AO2184" s="2" t="s">
        <v>82</v>
      </c>
      <c r="AP2184" s="2">
        <v>11</v>
      </c>
      <c r="AQ2184" s="2" t="s">
        <v>82</v>
      </c>
      <c r="AR2184" s="2"/>
      <c r="AS2184" s="2"/>
      <c r="AT2184" s="2" t="s">
        <v>7497</v>
      </c>
      <c r="AU2184" s="2"/>
      <c r="AV2184" s="2"/>
      <c r="AW2184" s="2"/>
      <c r="AX2184" s="2"/>
      <c r="AY2184" s="2">
        <v>41</v>
      </c>
      <c r="AZ2184" s="2" t="s">
        <v>82</v>
      </c>
      <c r="BA2184" s="2">
        <v>41</v>
      </c>
      <c r="BB2184" s="2" t="s">
        <v>82</v>
      </c>
      <c r="BC2184" s="2">
        <v>41</v>
      </c>
      <c r="BD2184" s="2" t="s">
        <v>82</v>
      </c>
      <c r="BE2184" s="2">
        <v>41</v>
      </c>
      <c r="BF2184" s="2" t="s">
        <v>82</v>
      </c>
      <c r="BG2184" s="2"/>
      <c r="BH2184" s="2"/>
      <c r="BI2184" s="2"/>
      <c r="BJ2184" s="2">
        <v>241</v>
      </c>
      <c r="BK2184" s="2" t="s">
        <v>82</v>
      </c>
      <c r="BL2184" s="2"/>
      <c r="BM2184" s="2">
        <v>241</v>
      </c>
      <c r="BN2184" s="2" t="s">
        <v>82</v>
      </c>
      <c r="BO2184" s="2"/>
      <c r="BP2184" s="2">
        <v>241</v>
      </c>
      <c r="BQ2184" s="2" t="s">
        <v>82</v>
      </c>
      <c r="BR2184" s="2"/>
      <c r="BS2184" s="3">
        <v>40325</v>
      </c>
      <c r="BT2184" s="4">
        <v>0.58084490740740746</v>
      </c>
    </row>
    <row r="2185" spans="1:72" x14ac:dyDescent="0.25">
      <c r="A2185" s="2">
        <v>3180</v>
      </c>
      <c r="B2185" s="2">
        <v>2010</v>
      </c>
      <c r="C2185" s="2" t="s">
        <v>147</v>
      </c>
      <c r="D2185" s="2" t="s">
        <v>73</v>
      </c>
      <c r="E2185" s="2"/>
      <c r="F2185" s="2">
        <v>1</v>
      </c>
      <c r="G2185" s="2" t="s">
        <v>82</v>
      </c>
      <c r="H2185" s="2">
        <v>1</v>
      </c>
      <c r="I2185" s="2" t="s">
        <v>82</v>
      </c>
      <c r="J2185" s="2">
        <v>1</v>
      </c>
      <c r="K2185" s="2" t="s">
        <v>107</v>
      </c>
      <c r="L2185" s="2" t="s">
        <v>107</v>
      </c>
      <c r="M2185" s="3">
        <v>40325</v>
      </c>
      <c r="N2185" s="2"/>
      <c r="O2185" s="2"/>
      <c r="P2185" s="2"/>
      <c r="Q2185" s="2" t="str">
        <f>""</f>
        <v/>
      </c>
      <c r="R2185" s="2"/>
      <c r="S2185" s="2"/>
      <c r="T2185" s="2">
        <v>2</v>
      </c>
      <c r="U2185" s="2" t="s">
        <v>123</v>
      </c>
      <c r="V2185" s="2">
        <v>1</v>
      </c>
      <c r="W2185" s="2" t="s">
        <v>80</v>
      </c>
      <c r="X2185" s="2">
        <v>12</v>
      </c>
      <c r="Y2185" s="2" t="s">
        <v>148</v>
      </c>
      <c r="Z2185" s="2">
        <v>1</v>
      </c>
      <c r="AA2185" s="2" t="s">
        <v>82</v>
      </c>
      <c r="AB2185" s="2">
        <v>9</v>
      </c>
      <c r="AC2185" s="2" t="s">
        <v>124</v>
      </c>
      <c r="AD2185" s="2"/>
      <c r="AE2185" s="2"/>
      <c r="AF2185" s="3">
        <v>40325</v>
      </c>
      <c r="AG2185" s="4">
        <v>0.4375</v>
      </c>
      <c r="AH2185" s="2">
        <v>3</v>
      </c>
      <c r="AI2185" s="2" t="s">
        <v>214</v>
      </c>
      <c r="AJ2185" s="2">
        <v>18</v>
      </c>
      <c r="AK2185" s="2" t="s">
        <v>4469</v>
      </c>
      <c r="AL2185" s="2">
        <v>19</v>
      </c>
      <c r="AM2185" s="2" t="s">
        <v>107</v>
      </c>
      <c r="AN2185" s="2"/>
      <c r="AO2185" s="2"/>
      <c r="AP2185" s="2">
        <v>11</v>
      </c>
      <c r="AQ2185" s="2" t="s">
        <v>82</v>
      </c>
      <c r="AR2185" s="2"/>
      <c r="AS2185" s="2"/>
      <c r="AT2185" s="2" t="s">
        <v>7498</v>
      </c>
      <c r="AU2185" s="2"/>
      <c r="AV2185" s="2"/>
      <c r="AW2185" s="2"/>
      <c r="AX2185" s="2"/>
      <c r="AY2185" s="2">
        <v>70</v>
      </c>
      <c r="AZ2185" s="2" t="s">
        <v>236</v>
      </c>
      <c r="BA2185" s="2">
        <v>41</v>
      </c>
      <c r="BB2185" s="2" t="s">
        <v>82</v>
      </c>
      <c r="BC2185" s="2">
        <v>41</v>
      </c>
      <c r="BD2185" s="2" t="s">
        <v>82</v>
      </c>
      <c r="BE2185" s="2">
        <v>41</v>
      </c>
      <c r="BF2185" s="2" t="s">
        <v>82</v>
      </c>
      <c r="BG2185" s="2"/>
      <c r="BH2185" s="2"/>
      <c r="BI2185" s="2"/>
      <c r="BJ2185" s="2">
        <v>241</v>
      </c>
      <c r="BK2185" s="2" t="s">
        <v>82</v>
      </c>
      <c r="BL2185" s="2"/>
      <c r="BM2185" s="2">
        <v>241</v>
      </c>
      <c r="BN2185" s="2" t="s">
        <v>82</v>
      </c>
      <c r="BO2185" s="2"/>
      <c r="BP2185" s="2">
        <v>241</v>
      </c>
      <c r="BQ2185" s="2" t="s">
        <v>82</v>
      </c>
      <c r="BR2185" s="2"/>
      <c r="BS2185" s="3">
        <v>40325</v>
      </c>
      <c r="BT2185" s="4">
        <v>0.62928240740740737</v>
      </c>
    </row>
    <row r="2186" spans="1:72" x14ac:dyDescent="0.25">
      <c r="A2186" s="2">
        <v>3182</v>
      </c>
      <c r="B2186" s="2">
        <v>2010</v>
      </c>
      <c r="C2186" s="2" t="s">
        <v>171</v>
      </c>
      <c r="D2186" s="2" t="s">
        <v>73</v>
      </c>
      <c r="E2186" s="2" t="s">
        <v>7499</v>
      </c>
      <c r="F2186" s="2">
        <v>425</v>
      </c>
      <c r="G2186" s="2" t="s">
        <v>286</v>
      </c>
      <c r="H2186" s="2">
        <v>30</v>
      </c>
      <c r="I2186" s="2" t="s">
        <v>912</v>
      </c>
      <c r="J2186" s="2">
        <v>310</v>
      </c>
      <c r="K2186" s="2" t="s">
        <v>288</v>
      </c>
      <c r="L2186" s="2" t="s">
        <v>289</v>
      </c>
      <c r="M2186" s="3">
        <v>40325</v>
      </c>
      <c r="N2186" s="2" t="s">
        <v>2049</v>
      </c>
      <c r="O2186" s="2" t="s">
        <v>7500</v>
      </c>
      <c r="P2186" s="2" t="s">
        <v>5923</v>
      </c>
      <c r="Q2186" s="2" t="str">
        <f>"044/10"</f>
        <v>044/10</v>
      </c>
      <c r="R2186" s="2" t="s">
        <v>822</v>
      </c>
      <c r="S2186" s="2"/>
      <c r="T2186" s="2">
        <v>1</v>
      </c>
      <c r="U2186" s="2" t="s">
        <v>79</v>
      </c>
      <c r="V2186" s="2">
        <v>1</v>
      </c>
      <c r="W2186" s="2" t="s">
        <v>80</v>
      </c>
      <c r="X2186" s="2">
        <v>1</v>
      </c>
      <c r="Y2186" s="2" t="s">
        <v>81</v>
      </c>
      <c r="Z2186" s="2">
        <v>1</v>
      </c>
      <c r="AA2186" s="2" t="s">
        <v>82</v>
      </c>
      <c r="AB2186" s="2">
        <v>1</v>
      </c>
      <c r="AC2186" s="2" t="s">
        <v>178</v>
      </c>
      <c r="AD2186" s="3">
        <v>40325</v>
      </c>
      <c r="AE2186" s="4">
        <v>0.66666666666666663</v>
      </c>
      <c r="AF2186" s="2"/>
      <c r="AG2186" s="2"/>
      <c r="AH2186" s="2">
        <v>4</v>
      </c>
      <c r="AI2186" s="2" t="s">
        <v>125</v>
      </c>
      <c r="AJ2186" s="2">
        <v>29</v>
      </c>
      <c r="AK2186" s="2" t="s">
        <v>227</v>
      </c>
      <c r="AL2186" s="2">
        <v>16</v>
      </c>
      <c r="AM2186" s="2" t="s">
        <v>392</v>
      </c>
      <c r="AN2186" s="2" t="s">
        <v>6877</v>
      </c>
      <c r="AO2186" s="2"/>
      <c r="AP2186" s="2">
        <v>12</v>
      </c>
      <c r="AQ2186" s="2" t="s">
        <v>322</v>
      </c>
      <c r="AR2186" s="2" t="s">
        <v>322</v>
      </c>
      <c r="AS2186" s="2" t="s">
        <v>322</v>
      </c>
      <c r="AT2186" s="2" t="s">
        <v>7501</v>
      </c>
      <c r="AU2186" s="2"/>
      <c r="AV2186" s="2"/>
      <c r="AW2186" s="2"/>
      <c r="AX2186" s="2"/>
      <c r="AY2186" s="2">
        <v>41</v>
      </c>
      <c r="AZ2186" s="2" t="s">
        <v>82</v>
      </c>
      <c r="BA2186" s="2">
        <v>41</v>
      </c>
      <c r="BB2186" s="2" t="s">
        <v>82</v>
      </c>
      <c r="BC2186" s="2">
        <v>41</v>
      </c>
      <c r="BD2186" s="2" t="s">
        <v>82</v>
      </c>
      <c r="BE2186" s="2">
        <v>13</v>
      </c>
      <c r="BF2186" s="2" t="s">
        <v>108</v>
      </c>
      <c r="BG2186" s="2">
        <v>1455</v>
      </c>
      <c r="BH2186" s="4">
        <v>0.57291666666666663</v>
      </c>
      <c r="BI2186" s="4">
        <v>0.60416666666666663</v>
      </c>
      <c r="BJ2186" s="2">
        <v>13</v>
      </c>
      <c r="BK2186" s="2" t="s">
        <v>91</v>
      </c>
      <c r="BL2186" s="2" t="s">
        <v>828</v>
      </c>
      <c r="BM2186" s="2">
        <v>241</v>
      </c>
      <c r="BN2186" s="2" t="s">
        <v>82</v>
      </c>
      <c r="BO2186" s="2" t="s">
        <v>82</v>
      </c>
      <c r="BP2186" s="2">
        <v>13</v>
      </c>
      <c r="BQ2186" s="2" t="s">
        <v>91</v>
      </c>
      <c r="BR2186" s="2" t="s">
        <v>185</v>
      </c>
      <c r="BS2186" s="3">
        <v>40325</v>
      </c>
      <c r="BT2186" s="4">
        <v>0.67636574074074074</v>
      </c>
    </row>
    <row r="2187" spans="1:72" x14ac:dyDescent="0.25">
      <c r="A2187" s="2">
        <v>3184</v>
      </c>
      <c r="B2187" s="2">
        <v>2010</v>
      </c>
      <c r="C2187" s="2" t="s">
        <v>171</v>
      </c>
      <c r="D2187" s="2" t="s">
        <v>122</v>
      </c>
      <c r="E2187" s="2"/>
      <c r="F2187" s="2">
        <v>398</v>
      </c>
      <c r="G2187" s="2" t="s">
        <v>94</v>
      </c>
      <c r="H2187" s="2">
        <v>12</v>
      </c>
      <c r="I2187" s="2" t="s">
        <v>95</v>
      </c>
      <c r="J2187" s="2">
        <v>242</v>
      </c>
      <c r="K2187" s="2" t="s">
        <v>1077</v>
      </c>
      <c r="L2187" s="2" t="s">
        <v>1078</v>
      </c>
      <c r="M2187" s="3">
        <v>40325</v>
      </c>
      <c r="N2187" s="2" t="s">
        <v>451</v>
      </c>
      <c r="O2187" s="2" t="s">
        <v>447</v>
      </c>
      <c r="P2187" s="2">
        <v>11876</v>
      </c>
      <c r="Q2187" s="2" t="str">
        <f>"546E/09"</f>
        <v>546E/09</v>
      </c>
      <c r="R2187" s="2"/>
      <c r="S2187" s="2" t="s">
        <v>4868</v>
      </c>
      <c r="T2187" s="2">
        <v>1</v>
      </c>
      <c r="U2187" s="2" t="s">
        <v>79</v>
      </c>
      <c r="V2187" s="2">
        <v>1</v>
      </c>
      <c r="W2187" s="2" t="s">
        <v>80</v>
      </c>
      <c r="X2187" s="2">
        <v>11</v>
      </c>
      <c r="Y2187" s="2" t="s">
        <v>1920</v>
      </c>
      <c r="Z2187" s="2">
        <v>10</v>
      </c>
      <c r="AA2187" s="2" t="s">
        <v>236</v>
      </c>
      <c r="AB2187" s="2">
        <v>1</v>
      </c>
      <c r="AC2187" s="2" t="s">
        <v>178</v>
      </c>
      <c r="AD2187" s="3">
        <v>40325</v>
      </c>
      <c r="AE2187" s="4">
        <v>0.25</v>
      </c>
      <c r="AF2187" s="2"/>
      <c r="AG2187" s="2"/>
      <c r="AH2187" s="2">
        <v>2</v>
      </c>
      <c r="AI2187" s="2" t="s">
        <v>84</v>
      </c>
      <c r="AJ2187" s="2">
        <v>6</v>
      </c>
      <c r="AK2187" s="2" t="s">
        <v>453</v>
      </c>
      <c r="AL2187" s="2">
        <v>23</v>
      </c>
      <c r="AM2187" s="2" t="s">
        <v>251</v>
      </c>
      <c r="AN2187" s="2" t="s">
        <v>7502</v>
      </c>
      <c r="AO2187" s="2" t="s">
        <v>1394</v>
      </c>
      <c r="AP2187" s="2">
        <v>11</v>
      </c>
      <c r="AQ2187" s="2" t="s">
        <v>82</v>
      </c>
      <c r="AR2187" s="2"/>
      <c r="AS2187" s="2"/>
      <c r="AT2187" s="2" t="s">
        <v>7503</v>
      </c>
      <c r="AU2187" s="2"/>
      <c r="AV2187" s="2">
        <v>1</v>
      </c>
      <c r="AW2187" s="2"/>
      <c r="AX2187" s="2"/>
      <c r="AY2187" s="2">
        <v>42</v>
      </c>
      <c r="AZ2187" s="2" t="s">
        <v>182</v>
      </c>
      <c r="BA2187" s="2">
        <v>70</v>
      </c>
      <c r="BB2187" s="2" t="s">
        <v>236</v>
      </c>
      <c r="BC2187" s="2">
        <v>70</v>
      </c>
      <c r="BD2187" s="2" t="s">
        <v>236</v>
      </c>
      <c r="BE2187" s="2">
        <v>41</v>
      </c>
      <c r="BF2187" s="2" t="s">
        <v>82</v>
      </c>
      <c r="BG2187" s="2"/>
      <c r="BH2187" s="2"/>
      <c r="BI2187" s="2"/>
      <c r="BJ2187" s="2">
        <v>241</v>
      </c>
      <c r="BK2187" s="2" t="s">
        <v>82</v>
      </c>
      <c r="BL2187" s="2"/>
      <c r="BM2187" s="2">
        <v>241</v>
      </c>
      <c r="BN2187" s="2" t="s">
        <v>82</v>
      </c>
      <c r="BO2187" s="2"/>
      <c r="BP2187" s="2">
        <v>241</v>
      </c>
      <c r="BQ2187" s="2" t="s">
        <v>82</v>
      </c>
      <c r="BR2187" s="2"/>
      <c r="BS2187" s="3">
        <v>40325</v>
      </c>
      <c r="BT2187" s="4">
        <v>0.69608796296296294</v>
      </c>
    </row>
    <row r="2188" spans="1:72" x14ac:dyDescent="0.25">
      <c r="A2188" s="2">
        <v>3186</v>
      </c>
      <c r="B2188" s="2">
        <v>2010</v>
      </c>
      <c r="C2188" s="2" t="s">
        <v>4543</v>
      </c>
      <c r="D2188" s="2" t="s">
        <v>122</v>
      </c>
      <c r="E2188" s="2"/>
      <c r="F2188" s="2">
        <v>1</v>
      </c>
      <c r="G2188" s="2" t="s">
        <v>82</v>
      </c>
      <c r="H2188" s="2">
        <v>1</v>
      </c>
      <c r="I2188" s="2" t="s">
        <v>82</v>
      </c>
      <c r="J2188" s="2">
        <v>1</v>
      </c>
      <c r="K2188" s="2" t="s">
        <v>107</v>
      </c>
      <c r="L2188" s="2" t="s">
        <v>107</v>
      </c>
      <c r="M2188" s="3">
        <v>40325</v>
      </c>
      <c r="N2188" s="2"/>
      <c r="O2188" s="2"/>
      <c r="P2188" s="2"/>
      <c r="Q2188" s="2" t="str">
        <f>"AP-0066/2010"</f>
        <v>AP-0066/2010</v>
      </c>
      <c r="R2188" s="2"/>
      <c r="S2188" s="2" t="s">
        <v>7504</v>
      </c>
      <c r="T2188" s="2">
        <v>2</v>
      </c>
      <c r="U2188" s="2" t="s">
        <v>123</v>
      </c>
      <c r="V2188" s="2">
        <v>1</v>
      </c>
      <c r="W2188" s="2" t="s">
        <v>80</v>
      </c>
      <c r="X2188" s="2">
        <v>5</v>
      </c>
      <c r="Y2188" s="2" t="s">
        <v>82</v>
      </c>
      <c r="Z2188" s="2">
        <v>1</v>
      </c>
      <c r="AA2188" s="2" t="s">
        <v>82</v>
      </c>
      <c r="AB2188" s="2">
        <v>9</v>
      </c>
      <c r="AC2188" s="2" t="s">
        <v>124</v>
      </c>
      <c r="AD2188" s="3">
        <v>40324</v>
      </c>
      <c r="AE2188" s="4">
        <v>0.53125</v>
      </c>
      <c r="AF2188" s="3">
        <v>40325</v>
      </c>
      <c r="AG2188" s="4">
        <v>0.6875</v>
      </c>
      <c r="AH2188" s="2">
        <v>5</v>
      </c>
      <c r="AI2188" s="2" t="s">
        <v>274</v>
      </c>
      <c r="AJ2188" s="2">
        <v>38</v>
      </c>
      <c r="AK2188" s="2" t="s">
        <v>1120</v>
      </c>
      <c r="AL2188" s="2">
        <v>9</v>
      </c>
      <c r="AM2188" s="2" t="s">
        <v>259</v>
      </c>
      <c r="AN2188" s="2"/>
      <c r="AO2188" s="2" t="s">
        <v>7505</v>
      </c>
      <c r="AP2188" s="2">
        <v>11</v>
      </c>
      <c r="AQ2188" s="2" t="s">
        <v>82</v>
      </c>
      <c r="AR2188" s="2"/>
      <c r="AS2188" s="2"/>
      <c r="AT2188" s="2" t="s">
        <v>7506</v>
      </c>
      <c r="AU2188" s="2"/>
      <c r="AV2188" s="2"/>
      <c r="AW2188" s="2"/>
      <c r="AX2188" s="2"/>
      <c r="AY2188" s="2">
        <v>41</v>
      </c>
      <c r="AZ2188" s="2" t="s">
        <v>82</v>
      </c>
      <c r="BA2188" s="2">
        <v>41</v>
      </c>
      <c r="BB2188" s="2" t="s">
        <v>82</v>
      </c>
      <c r="BC2188" s="2">
        <v>41</v>
      </c>
      <c r="BD2188" s="2" t="s">
        <v>82</v>
      </c>
      <c r="BE2188" s="2">
        <v>41</v>
      </c>
      <c r="BF2188" s="2" t="s">
        <v>82</v>
      </c>
      <c r="BG2188" s="2"/>
      <c r="BH2188" s="2"/>
      <c r="BI2188" s="2"/>
      <c r="BJ2188" s="2">
        <v>241</v>
      </c>
      <c r="BK2188" s="2" t="s">
        <v>82</v>
      </c>
      <c r="BL2188" s="2"/>
      <c r="BM2188" s="2">
        <v>241</v>
      </c>
      <c r="BN2188" s="2" t="s">
        <v>82</v>
      </c>
      <c r="BO2188" s="2"/>
      <c r="BP2188" s="2">
        <v>241</v>
      </c>
      <c r="BQ2188" s="2" t="s">
        <v>82</v>
      </c>
      <c r="BR2188" s="2"/>
      <c r="BS2188" s="3">
        <v>40325</v>
      </c>
      <c r="BT2188" s="4">
        <v>0.74010416666666667</v>
      </c>
    </row>
    <row r="2189" spans="1:72" x14ac:dyDescent="0.25">
      <c r="A2189" s="2">
        <v>3188</v>
      </c>
      <c r="B2189" s="2">
        <v>2010</v>
      </c>
      <c r="C2189" s="2" t="s">
        <v>121</v>
      </c>
      <c r="D2189" s="2" t="s">
        <v>122</v>
      </c>
      <c r="E2189" s="2"/>
      <c r="F2189" s="2">
        <v>1</v>
      </c>
      <c r="G2189" s="2" t="s">
        <v>82</v>
      </c>
      <c r="H2189" s="2">
        <v>1</v>
      </c>
      <c r="I2189" s="2" t="s">
        <v>82</v>
      </c>
      <c r="J2189" s="2">
        <v>1</v>
      </c>
      <c r="K2189" s="2" t="s">
        <v>107</v>
      </c>
      <c r="L2189" s="2" t="s">
        <v>107</v>
      </c>
      <c r="M2189" s="3">
        <v>40325</v>
      </c>
      <c r="N2189" s="2"/>
      <c r="O2189" s="2"/>
      <c r="P2189" s="2"/>
      <c r="Q2189" s="2" t="str">
        <f>""</f>
        <v/>
      </c>
      <c r="R2189" s="2"/>
      <c r="S2189" s="2"/>
      <c r="T2189" s="2">
        <v>2</v>
      </c>
      <c r="U2189" s="2" t="s">
        <v>123</v>
      </c>
      <c r="V2189" s="2">
        <v>1</v>
      </c>
      <c r="W2189" s="2" t="s">
        <v>80</v>
      </c>
      <c r="X2189" s="2">
        <v>11</v>
      </c>
      <c r="Y2189" s="2" t="s">
        <v>1920</v>
      </c>
      <c r="Z2189" s="2">
        <v>1</v>
      </c>
      <c r="AA2189" s="2" t="s">
        <v>82</v>
      </c>
      <c r="AB2189" s="2">
        <v>9</v>
      </c>
      <c r="AC2189" s="2" t="s">
        <v>124</v>
      </c>
      <c r="AD2189" s="2"/>
      <c r="AE2189" s="2"/>
      <c r="AF2189" s="2"/>
      <c r="AG2189" s="2"/>
      <c r="AH2189" s="2">
        <v>4</v>
      </c>
      <c r="AI2189" s="2" t="s">
        <v>125</v>
      </c>
      <c r="AJ2189" s="2">
        <v>28</v>
      </c>
      <c r="AK2189" s="2" t="s">
        <v>741</v>
      </c>
      <c r="AL2189" s="2">
        <v>10</v>
      </c>
      <c r="AM2189" s="2" t="s">
        <v>200</v>
      </c>
      <c r="AN2189" s="2"/>
      <c r="AO2189" s="2"/>
      <c r="AP2189" s="2">
        <v>11</v>
      </c>
      <c r="AQ2189" s="2" t="s">
        <v>82</v>
      </c>
      <c r="AR2189" s="2"/>
      <c r="AS2189" s="2"/>
      <c r="AT2189" s="2" t="s">
        <v>7507</v>
      </c>
      <c r="AU2189" s="2"/>
      <c r="AV2189" s="2"/>
      <c r="AW2189" s="2"/>
      <c r="AX2189" s="2"/>
      <c r="AY2189" s="2">
        <v>1</v>
      </c>
      <c r="AZ2189" s="2" t="s">
        <v>107</v>
      </c>
      <c r="BA2189" s="2">
        <v>1</v>
      </c>
      <c r="BB2189" s="2" t="s">
        <v>107</v>
      </c>
      <c r="BC2189" s="2">
        <v>1</v>
      </c>
      <c r="BD2189" s="2" t="s">
        <v>107</v>
      </c>
      <c r="BE2189" s="2">
        <v>1</v>
      </c>
      <c r="BF2189" s="2" t="s">
        <v>107</v>
      </c>
      <c r="BG2189" s="2"/>
      <c r="BH2189" s="2"/>
      <c r="BI2189" s="2"/>
      <c r="BJ2189" s="2">
        <v>242</v>
      </c>
      <c r="BK2189" s="2" t="s">
        <v>107</v>
      </c>
      <c r="BL2189" s="2"/>
      <c r="BM2189" s="2">
        <v>242</v>
      </c>
      <c r="BN2189" s="2" t="s">
        <v>107</v>
      </c>
      <c r="BO2189" s="2"/>
      <c r="BP2189" s="2">
        <v>242</v>
      </c>
      <c r="BQ2189" s="2" t="s">
        <v>107</v>
      </c>
      <c r="BR2189" s="2"/>
      <c r="BS2189" s="3">
        <v>40325</v>
      </c>
      <c r="BT2189" s="4">
        <v>0.75157407407407406</v>
      </c>
    </row>
    <row r="2190" spans="1:72" x14ac:dyDescent="0.25">
      <c r="A2190" s="2">
        <v>3189</v>
      </c>
      <c r="B2190" s="2">
        <v>2010</v>
      </c>
      <c r="C2190" s="2" t="s">
        <v>255</v>
      </c>
      <c r="D2190" s="2" t="s">
        <v>122</v>
      </c>
      <c r="E2190" s="2"/>
      <c r="F2190" s="2">
        <v>116</v>
      </c>
      <c r="G2190" s="2" t="s">
        <v>7508</v>
      </c>
      <c r="H2190" s="2">
        <v>22</v>
      </c>
      <c r="I2190" s="2" t="s">
        <v>75</v>
      </c>
      <c r="J2190" s="2">
        <v>133</v>
      </c>
      <c r="K2190" s="2" t="s">
        <v>3844</v>
      </c>
      <c r="L2190" s="2" t="s">
        <v>3845</v>
      </c>
      <c r="M2190" s="3">
        <v>40325</v>
      </c>
      <c r="N2190" s="2" t="s">
        <v>6277</v>
      </c>
      <c r="O2190" s="2" t="s">
        <v>107</v>
      </c>
      <c r="P2190" s="2" t="s">
        <v>107</v>
      </c>
      <c r="Q2190" s="2" t="str">
        <f>"0010/10"</f>
        <v>0010/10</v>
      </c>
      <c r="R2190" s="2" t="s">
        <v>107</v>
      </c>
      <c r="S2190" s="2" t="s">
        <v>7509</v>
      </c>
      <c r="T2190" s="2">
        <v>1</v>
      </c>
      <c r="U2190" s="2" t="s">
        <v>79</v>
      </c>
      <c r="V2190" s="2">
        <v>1</v>
      </c>
      <c r="W2190" s="2" t="s">
        <v>80</v>
      </c>
      <c r="X2190" s="2">
        <v>12</v>
      </c>
      <c r="Y2190" s="2" t="s">
        <v>148</v>
      </c>
      <c r="Z2190" s="2">
        <v>27</v>
      </c>
      <c r="AA2190" s="2" t="s">
        <v>7510</v>
      </c>
      <c r="AB2190" s="2">
        <v>9</v>
      </c>
      <c r="AC2190" s="2" t="s">
        <v>124</v>
      </c>
      <c r="AD2190" s="3">
        <v>40324</v>
      </c>
      <c r="AE2190" s="4">
        <v>0.72916666666666663</v>
      </c>
      <c r="AF2190" s="3">
        <v>40325</v>
      </c>
      <c r="AG2190" s="4">
        <v>0.71180555555555547</v>
      </c>
      <c r="AH2190" s="2">
        <v>6</v>
      </c>
      <c r="AI2190" s="2" t="s">
        <v>197</v>
      </c>
      <c r="AJ2190" s="2">
        <v>54</v>
      </c>
      <c r="AK2190" s="2" t="s">
        <v>348</v>
      </c>
      <c r="AL2190" s="2">
        <v>23</v>
      </c>
      <c r="AM2190" s="2" t="s">
        <v>251</v>
      </c>
      <c r="AN2190" s="2" t="s">
        <v>7511</v>
      </c>
      <c r="AO2190" s="2" t="s">
        <v>7512</v>
      </c>
      <c r="AP2190" s="2">
        <v>11</v>
      </c>
      <c r="AQ2190" s="2" t="s">
        <v>82</v>
      </c>
      <c r="AR2190" s="2" t="s">
        <v>82</v>
      </c>
      <c r="AS2190" s="2" t="s">
        <v>82</v>
      </c>
      <c r="AT2190" s="2" t="s">
        <v>7513</v>
      </c>
      <c r="AU2190" s="2"/>
      <c r="AV2190" s="2"/>
      <c r="AW2190" s="2"/>
      <c r="AX2190" s="2"/>
      <c r="AY2190" s="2">
        <v>114</v>
      </c>
      <c r="AZ2190" s="2" t="s">
        <v>7510</v>
      </c>
      <c r="BA2190" s="2">
        <v>114</v>
      </c>
      <c r="BB2190" s="2" t="s">
        <v>7510</v>
      </c>
      <c r="BC2190" s="2">
        <v>114</v>
      </c>
      <c r="BD2190" s="2" t="s">
        <v>7510</v>
      </c>
      <c r="BE2190" s="2">
        <v>41</v>
      </c>
      <c r="BF2190" s="2" t="s">
        <v>82</v>
      </c>
      <c r="BG2190" s="2" t="s">
        <v>82</v>
      </c>
      <c r="BH2190" s="2"/>
      <c r="BI2190" s="2"/>
      <c r="BJ2190" s="2">
        <v>241</v>
      </c>
      <c r="BK2190" s="2" t="s">
        <v>82</v>
      </c>
      <c r="BL2190" s="2" t="s">
        <v>82</v>
      </c>
      <c r="BM2190" s="2">
        <v>241</v>
      </c>
      <c r="BN2190" s="2" t="s">
        <v>82</v>
      </c>
      <c r="BO2190" s="2" t="s">
        <v>82</v>
      </c>
      <c r="BP2190" s="2">
        <v>241</v>
      </c>
      <c r="BQ2190" s="2" t="s">
        <v>82</v>
      </c>
      <c r="BR2190" s="2" t="s">
        <v>82</v>
      </c>
      <c r="BS2190" s="3">
        <v>40325</v>
      </c>
      <c r="BT2190" s="4">
        <v>0.76385416666666661</v>
      </c>
    </row>
    <row r="2191" spans="1:72" x14ac:dyDescent="0.25">
      <c r="A2191" s="2">
        <v>3190</v>
      </c>
      <c r="B2191" s="2">
        <v>2010</v>
      </c>
      <c r="C2191" s="2" t="s">
        <v>72</v>
      </c>
      <c r="D2191" s="2" t="s">
        <v>73</v>
      </c>
      <c r="E2191" s="2"/>
      <c r="F2191" s="2">
        <v>612</v>
      </c>
      <c r="G2191" s="2" t="s">
        <v>6664</v>
      </c>
      <c r="H2191" s="2">
        <v>22</v>
      </c>
      <c r="I2191" s="2" t="s">
        <v>75</v>
      </c>
      <c r="J2191" s="2">
        <v>550</v>
      </c>
      <c r="K2191" s="2" t="s">
        <v>6744</v>
      </c>
      <c r="L2191" s="2" t="s">
        <v>6745</v>
      </c>
      <c r="M2191" s="3">
        <v>40325</v>
      </c>
      <c r="N2191" s="2" t="s">
        <v>6665</v>
      </c>
      <c r="O2191" s="2" t="s">
        <v>82</v>
      </c>
      <c r="P2191" s="2" t="s">
        <v>82</v>
      </c>
      <c r="Q2191" s="2" t="str">
        <f>"191-A/10"</f>
        <v>191-A/10</v>
      </c>
      <c r="R2191" s="2" t="s">
        <v>82</v>
      </c>
      <c r="S2191" s="2" t="s">
        <v>78</v>
      </c>
      <c r="T2191" s="2">
        <v>1</v>
      </c>
      <c r="U2191" s="2" t="s">
        <v>79</v>
      </c>
      <c r="V2191" s="2">
        <v>1</v>
      </c>
      <c r="W2191" s="2" t="s">
        <v>80</v>
      </c>
      <c r="X2191" s="2">
        <v>12</v>
      </c>
      <c r="Y2191" s="2" t="s">
        <v>148</v>
      </c>
      <c r="Z2191" s="2">
        <v>1</v>
      </c>
      <c r="AA2191" s="2" t="s">
        <v>82</v>
      </c>
      <c r="AB2191" s="2">
        <v>6</v>
      </c>
      <c r="AC2191" s="2" t="s">
        <v>83</v>
      </c>
      <c r="AD2191" s="3">
        <v>40325</v>
      </c>
      <c r="AE2191" s="4">
        <v>0.47916666666666669</v>
      </c>
      <c r="AF2191" s="3">
        <v>40325</v>
      </c>
      <c r="AG2191" s="4">
        <v>0.59027777777777779</v>
      </c>
      <c r="AH2191" s="2">
        <v>2</v>
      </c>
      <c r="AI2191" s="2" t="s">
        <v>84</v>
      </c>
      <c r="AJ2191" s="2">
        <v>12</v>
      </c>
      <c r="AK2191" s="2" t="s">
        <v>85</v>
      </c>
      <c r="AL2191" s="2">
        <v>25</v>
      </c>
      <c r="AM2191" s="2" t="s">
        <v>3073</v>
      </c>
      <c r="AN2191" s="2" t="s">
        <v>7514</v>
      </c>
      <c r="AO2191" s="2" t="s">
        <v>7515</v>
      </c>
      <c r="AP2191" s="2">
        <v>11</v>
      </c>
      <c r="AQ2191" s="2" t="s">
        <v>82</v>
      </c>
      <c r="AR2191" s="2" t="s">
        <v>82</v>
      </c>
      <c r="AS2191" s="2" t="s">
        <v>82</v>
      </c>
      <c r="AT2191" s="2" t="s">
        <v>7516</v>
      </c>
      <c r="AU2191" s="2"/>
      <c r="AV2191" s="2"/>
      <c r="AW2191" s="2"/>
      <c r="AX2191" s="2"/>
      <c r="AY2191" s="2">
        <v>41</v>
      </c>
      <c r="AZ2191" s="2" t="s">
        <v>82</v>
      </c>
      <c r="BA2191" s="2">
        <v>41</v>
      </c>
      <c r="BB2191" s="2" t="s">
        <v>82</v>
      </c>
      <c r="BC2191" s="2">
        <v>41</v>
      </c>
      <c r="BD2191" s="2" t="s">
        <v>82</v>
      </c>
      <c r="BE2191" s="2">
        <v>41</v>
      </c>
      <c r="BF2191" s="2" t="s">
        <v>82</v>
      </c>
      <c r="BG2191" s="2" t="s">
        <v>82</v>
      </c>
      <c r="BH2191" s="2"/>
      <c r="BI2191" s="2"/>
      <c r="BJ2191" s="2">
        <v>241</v>
      </c>
      <c r="BK2191" s="2" t="s">
        <v>82</v>
      </c>
      <c r="BL2191" s="2" t="s">
        <v>82</v>
      </c>
      <c r="BM2191" s="2">
        <v>241</v>
      </c>
      <c r="BN2191" s="2" t="s">
        <v>82</v>
      </c>
      <c r="BO2191" s="2" t="s">
        <v>82</v>
      </c>
      <c r="BP2191" s="2">
        <v>241</v>
      </c>
      <c r="BQ2191" s="2" t="s">
        <v>82</v>
      </c>
      <c r="BR2191" s="2" t="s">
        <v>82</v>
      </c>
      <c r="BS2191" s="3">
        <v>40325</v>
      </c>
      <c r="BT2191" s="4">
        <v>0.78090277777777783</v>
      </c>
    </row>
    <row r="2192" spans="1:72" x14ac:dyDescent="0.25">
      <c r="A2192" s="2">
        <v>3192</v>
      </c>
      <c r="B2192" s="2">
        <v>2010</v>
      </c>
      <c r="C2192" s="2" t="s">
        <v>377</v>
      </c>
      <c r="D2192" s="2" t="s">
        <v>73</v>
      </c>
      <c r="E2192" s="2"/>
      <c r="F2192" s="2">
        <v>426</v>
      </c>
      <c r="G2192" s="2" t="s">
        <v>378</v>
      </c>
      <c r="H2192" s="2">
        <v>22</v>
      </c>
      <c r="I2192" s="2" t="s">
        <v>75</v>
      </c>
      <c r="J2192" s="2">
        <v>311</v>
      </c>
      <c r="K2192" s="2" t="s">
        <v>379</v>
      </c>
      <c r="L2192" s="2" t="s">
        <v>380</v>
      </c>
      <c r="M2192" s="3">
        <v>40325</v>
      </c>
      <c r="N2192" s="2" t="s">
        <v>5164</v>
      </c>
      <c r="O2192" s="2" t="s">
        <v>107</v>
      </c>
      <c r="P2192" s="2" t="s">
        <v>107</v>
      </c>
      <c r="Q2192" s="2" t="str">
        <f>"094-C/10"</f>
        <v>094-C/10</v>
      </c>
      <c r="R2192" s="2" t="s">
        <v>7517</v>
      </c>
      <c r="S2192" s="2"/>
      <c r="T2192" s="2">
        <v>1</v>
      </c>
      <c r="U2192" s="2" t="s">
        <v>79</v>
      </c>
      <c r="V2192" s="2">
        <v>1</v>
      </c>
      <c r="W2192" s="2" t="s">
        <v>80</v>
      </c>
      <c r="X2192" s="2">
        <v>1</v>
      </c>
      <c r="Y2192" s="2" t="s">
        <v>81</v>
      </c>
      <c r="Z2192" s="2">
        <v>1</v>
      </c>
      <c r="AA2192" s="2" t="s">
        <v>82</v>
      </c>
      <c r="AB2192" s="2">
        <v>9</v>
      </c>
      <c r="AC2192" s="2" t="s">
        <v>124</v>
      </c>
      <c r="AD2192" s="3">
        <v>40325</v>
      </c>
      <c r="AE2192" s="4">
        <v>0.64236111111111105</v>
      </c>
      <c r="AF2192" s="2"/>
      <c r="AG2192" s="2"/>
      <c r="AH2192" s="2">
        <v>2</v>
      </c>
      <c r="AI2192" s="2" t="s">
        <v>84</v>
      </c>
      <c r="AJ2192" s="2">
        <v>9</v>
      </c>
      <c r="AK2192" s="2" t="s">
        <v>103</v>
      </c>
      <c r="AL2192" s="2">
        <v>29</v>
      </c>
      <c r="AM2192" s="2" t="s">
        <v>5416</v>
      </c>
      <c r="AN2192" s="2" t="s">
        <v>1936</v>
      </c>
      <c r="AO2192" s="2" t="s">
        <v>987</v>
      </c>
      <c r="AP2192" s="2">
        <v>11</v>
      </c>
      <c r="AQ2192" s="2" t="s">
        <v>82</v>
      </c>
      <c r="AR2192" s="2"/>
      <c r="AS2192" s="2"/>
      <c r="AT2192" s="2" t="s">
        <v>7518</v>
      </c>
      <c r="AU2192" s="2"/>
      <c r="AV2192" s="2"/>
      <c r="AW2192" s="2"/>
      <c r="AX2192" s="2"/>
      <c r="AY2192" s="2">
        <v>41</v>
      </c>
      <c r="AZ2192" s="2" t="s">
        <v>82</v>
      </c>
      <c r="BA2192" s="2">
        <v>41</v>
      </c>
      <c r="BB2192" s="2" t="s">
        <v>82</v>
      </c>
      <c r="BC2192" s="2">
        <v>41</v>
      </c>
      <c r="BD2192" s="2" t="s">
        <v>82</v>
      </c>
      <c r="BE2192" s="2">
        <v>41</v>
      </c>
      <c r="BF2192" s="2" t="s">
        <v>82</v>
      </c>
      <c r="BG2192" s="2"/>
      <c r="BH2192" s="2"/>
      <c r="BI2192" s="2"/>
      <c r="BJ2192" s="2">
        <v>241</v>
      </c>
      <c r="BK2192" s="2" t="s">
        <v>82</v>
      </c>
      <c r="BL2192" s="2"/>
      <c r="BM2192" s="2">
        <v>241</v>
      </c>
      <c r="BN2192" s="2" t="s">
        <v>82</v>
      </c>
      <c r="BO2192" s="2"/>
      <c r="BP2192" s="2">
        <v>241</v>
      </c>
      <c r="BQ2192" s="2" t="s">
        <v>82</v>
      </c>
      <c r="BR2192" s="2"/>
      <c r="BS2192" s="3">
        <v>40325</v>
      </c>
      <c r="BT2192" s="4">
        <v>0.81716435185185177</v>
      </c>
    </row>
    <row r="2193" spans="1:72" x14ac:dyDescent="0.25">
      <c r="A2193" s="2">
        <v>3193</v>
      </c>
      <c r="B2193" s="2">
        <v>2010</v>
      </c>
      <c r="C2193" s="2" t="s">
        <v>196</v>
      </c>
      <c r="D2193" s="2" t="s">
        <v>122</v>
      </c>
      <c r="E2193" s="2"/>
      <c r="F2193" s="2">
        <v>1</v>
      </c>
      <c r="G2193" s="2" t="s">
        <v>82</v>
      </c>
      <c r="H2193" s="2">
        <v>1</v>
      </c>
      <c r="I2193" s="2" t="s">
        <v>82</v>
      </c>
      <c r="J2193" s="2">
        <v>1</v>
      </c>
      <c r="K2193" s="2" t="s">
        <v>107</v>
      </c>
      <c r="L2193" s="2" t="s">
        <v>107</v>
      </c>
      <c r="M2193" s="3">
        <v>40325</v>
      </c>
      <c r="N2193" s="2" t="s">
        <v>82</v>
      </c>
      <c r="O2193" s="2" t="s">
        <v>82</v>
      </c>
      <c r="P2193" s="2" t="s">
        <v>82</v>
      </c>
      <c r="Q2193" s="2" t="str">
        <f>"N/C"</f>
        <v>N/C</v>
      </c>
      <c r="R2193" s="2" t="s">
        <v>82</v>
      </c>
      <c r="S2193" s="2" t="s">
        <v>82</v>
      </c>
      <c r="T2193" s="2">
        <v>2</v>
      </c>
      <c r="U2193" s="2" t="s">
        <v>123</v>
      </c>
      <c r="V2193" s="2">
        <v>1</v>
      </c>
      <c r="W2193" s="2" t="s">
        <v>80</v>
      </c>
      <c r="X2193" s="2">
        <v>11</v>
      </c>
      <c r="Y2193" s="2" t="s">
        <v>1920</v>
      </c>
      <c r="Z2193" s="2">
        <v>1</v>
      </c>
      <c r="AA2193" s="2" t="s">
        <v>82</v>
      </c>
      <c r="AB2193" s="2">
        <v>9</v>
      </c>
      <c r="AC2193" s="2" t="s">
        <v>124</v>
      </c>
      <c r="AD2193" s="3">
        <v>40325</v>
      </c>
      <c r="AE2193" s="4">
        <v>0.66666666666666663</v>
      </c>
      <c r="AF2193" s="2"/>
      <c r="AG2193" s="2"/>
      <c r="AH2193" s="2">
        <v>2</v>
      </c>
      <c r="AI2193" s="2" t="s">
        <v>84</v>
      </c>
      <c r="AJ2193" s="2">
        <v>12</v>
      </c>
      <c r="AK2193" s="2" t="s">
        <v>85</v>
      </c>
      <c r="AL2193" s="2">
        <v>20</v>
      </c>
      <c r="AM2193" s="2" t="s">
        <v>992</v>
      </c>
      <c r="AN2193" s="2" t="s">
        <v>107</v>
      </c>
      <c r="AO2193" s="2" t="s">
        <v>993</v>
      </c>
      <c r="AP2193" s="2">
        <v>11</v>
      </c>
      <c r="AQ2193" s="2" t="s">
        <v>82</v>
      </c>
      <c r="AR2193" s="2" t="s">
        <v>82</v>
      </c>
      <c r="AS2193" s="2" t="s">
        <v>82</v>
      </c>
      <c r="AT2193" s="2" t="s">
        <v>7519</v>
      </c>
      <c r="AU2193" s="2"/>
      <c r="AV2193" s="2"/>
      <c r="AW2193" s="2"/>
      <c r="AX2193" s="2"/>
      <c r="AY2193" s="2">
        <v>41</v>
      </c>
      <c r="AZ2193" s="2" t="s">
        <v>82</v>
      </c>
      <c r="BA2193" s="2">
        <v>41</v>
      </c>
      <c r="BB2193" s="2" t="s">
        <v>82</v>
      </c>
      <c r="BC2193" s="2">
        <v>41</v>
      </c>
      <c r="BD2193" s="2" t="s">
        <v>82</v>
      </c>
      <c r="BE2193" s="2">
        <v>41</v>
      </c>
      <c r="BF2193" s="2" t="s">
        <v>82</v>
      </c>
      <c r="BG2193" s="2" t="s">
        <v>82</v>
      </c>
      <c r="BH2193" s="4">
        <v>0.78541666666666676</v>
      </c>
      <c r="BI2193" s="4">
        <v>0.79791666666666661</v>
      </c>
      <c r="BJ2193" s="2">
        <v>13</v>
      </c>
      <c r="BK2193" s="2" t="s">
        <v>91</v>
      </c>
      <c r="BL2193" s="2" t="s">
        <v>185</v>
      </c>
      <c r="BM2193" s="2">
        <v>241</v>
      </c>
      <c r="BN2193" s="2" t="s">
        <v>82</v>
      </c>
      <c r="BO2193" s="2" t="s">
        <v>82</v>
      </c>
      <c r="BP2193" s="2">
        <v>33</v>
      </c>
      <c r="BQ2193" s="2" t="s">
        <v>361</v>
      </c>
      <c r="BR2193" s="2"/>
      <c r="BS2193" s="3">
        <v>40325</v>
      </c>
      <c r="BT2193" s="4">
        <v>0.82781249999999995</v>
      </c>
    </row>
    <row r="2194" spans="1:72" x14ac:dyDescent="0.25">
      <c r="A2194" s="2">
        <v>3194</v>
      </c>
      <c r="B2194" s="2">
        <v>2010</v>
      </c>
      <c r="C2194" s="2" t="s">
        <v>377</v>
      </c>
      <c r="D2194" s="2" t="s">
        <v>73</v>
      </c>
      <c r="E2194" s="2"/>
      <c r="F2194" s="2">
        <v>426</v>
      </c>
      <c r="G2194" s="2" t="s">
        <v>378</v>
      </c>
      <c r="H2194" s="2">
        <v>22</v>
      </c>
      <c r="I2194" s="2" t="s">
        <v>75</v>
      </c>
      <c r="J2194" s="2">
        <v>311</v>
      </c>
      <c r="K2194" s="2" t="s">
        <v>379</v>
      </c>
      <c r="L2194" s="2" t="s">
        <v>380</v>
      </c>
      <c r="M2194" s="3">
        <v>40325</v>
      </c>
      <c r="N2194" s="2" t="s">
        <v>5164</v>
      </c>
      <c r="O2194" s="2"/>
      <c r="P2194" s="2" t="s">
        <v>107</v>
      </c>
      <c r="Q2194" s="2" t="str">
        <f>"095-C/10"</f>
        <v>095-C/10</v>
      </c>
      <c r="R2194" s="2" t="s">
        <v>7520</v>
      </c>
      <c r="S2194" s="2"/>
      <c r="T2194" s="2">
        <v>1</v>
      </c>
      <c r="U2194" s="2" t="s">
        <v>79</v>
      </c>
      <c r="V2194" s="2">
        <v>1</v>
      </c>
      <c r="W2194" s="2" t="s">
        <v>80</v>
      </c>
      <c r="X2194" s="2">
        <v>1</v>
      </c>
      <c r="Y2194" s="2" t="s">
        <v>81</v>
      </c>
      <c r="Z2194" s="2">
        <v>1</v>
      </c>
      <c r="AA2194" s="2" t="s">
        <v>82</v>
      </c>
      <c r="AB2194" s="2">
        <v>9</v>
      </c>
      <c r="AC2194" s="2" t="s">
        <v>124</v>
      </c>
      <c r="AD2194" s="3">
        <v>40325</v>
      </c>
      <c r="AE2194" s="4">
        <v>0.70138888888888884</v>
      </c>
      <c r="AF2194" s="2"/>
      <c r="AG2194" s="2"/>
      <c r="AH2194" s="2">
        <v>2</v>
      </c>
      <c r="AI2194" s="2" t="s">
        <v>84</v>
      </c>
      <c r="AJ2194" s="2">
        <v>9</v>
      </c>
      <c r="AK2194" s="2" t="s">
        <v>103</v>
      </c>
      <c r="AL2194" s="2">
        <v>29</v>
      </c>
      <c r="AM2194" s="2" t="s">
        <v>5416</v>
      </c>
      <c r="AN2194" s="2" t="s">
        <v>7521</v>
      </c>
      <c r="AO2194" s="2" t="s">
        <v>987</v>
      </c>
      <c r="AP2194" s="2">
        <v>11</v>
      </c>
      <c r="AQ2194" s="2" t="s">
        <v>82</v>
      </c>
      <c r="AR2194" s="2"/>
      <c r="AS2194" s="2"/>
      <c r="AT2194" s="2" t="s">
        <v>7522</v>
      </c>
      <c r="AU2194" s="2"/>
      <c r="AV2194" s="2"/>
      <c r="AW2194" s="2"/>
      <c r="AX2194" s="2"/>
      <c r="AY2194" s="2">
        <v>41</v>
      </c>
      <c r="AZ2194" s="2" t="s">
        <v>82</v>
      </c>
      <c r="BA2194" s="2">
        <v>41</v>
      </c>
      <c r="BB2194" s="2" t="s">
        <v>82</v>
      </c>
      <c r="BC2194" s="2">
        <v>41</v>
      </c>
      <c r="BD2194" s="2" t="s">
        <v>82</v>
      </c>
      <c r="BE2194" s="2">
        <v>41</v>
      </c>
      <c r="BF2194" s="2" t="s">
        <v>82</v>
      </c>
      <c r="BG2194" s="2"/>
      <c r="BH2194" s="2"/>
      <c r="BI2194" s="2"/>
      <c r="BJ2194" s="2">
        <v>241</v>
      </c>
      <c r="BK2194" s="2" t="s">
        <v>82</v>
      </c>
      <c r="BL2194" s="2"/>
      <c r="BM2194" s="2">
        <v>241</v>
      </c>
      <c r="BN2194" s="2" t="s">
        <v>82</v>
      </c>
      <c r="BO2194" s="2"/>
      <c r="BP2194" s="2">
        <v>241</v>
      </c>
      <c r="BQ2194" s="2" t="s">
        <v>82</v>
      </c>
      <c r="BR2194" s="2"/>
      <c r="BS2194" s="3">
        <v>40325</v>
      </c>
      <c r="BT2194" s="4">
        <v>0.82912037037037034</v>
      </c>
    </row>
    <row r="2195" spans="1:72" x14ac:dyDescent="0.25">
      <c r="A2195" s="2">
        <v>3196</v>
      </c>
      <c r="B2195" s="2">
        <v>2010</v>
      </c>
      <c r="C2195" s="2" t="s">
        <v>121</v>
      </c>
      <c r="D2195" s="2" t="s">
        <v>122</v>
      </c>
      <c r="E2195" s="2" t="s">
        <v>7523</v>
      </c>
      <c r="F2195" s="2">
        <v>1</v>
      </c>
      <c r="G2195" s="2" t="s">
        <v>82</v>
      </c>
      <c r="H2195" s="2">
        <v>1</v>
      </c>
      <c r="I2195" s="2" t="s">
        <v>82</v>
      </c>
      <c r="J2195" s="2">
        <v>1</v>
      </c>
      <c r="K2195" s="2" t="s">
        <v>107</v>
      </c>
      <c r="L2195" s="2" t="s">
        <v>107</v>
      </c>
      <c r="M2195" s="3">
        <v>40325</v>
      </c>
      <c r="N2195" s="2"/>
      <c r="O2195" s="2"/>
      <c r="P2195" s="2"/>
      <c r="Q2195" s="2" t="str">
        <f>""</f>
        <v/>
      </c>
      <c r="R2195" s="2"/>
      <c r="S2195" s="2"/>
      <c r="T2195" s="2">
        <v>2</v>
      </c>
      <c r="U2195" s="2" t="s">
        <v>123</v>
      </c>
      <c r="V2195" s="2">
        <v>1</v>
      </c>
      <c r="W2195" s="2" t="s">
        <v>80</v>
      </c>
      <c r="X2195" s="2">
        <v>11</v>
      </c>
      <c r="Y2195" s="2" t="s">
        <v>1920</v>
      </c>
      <c r="Z2195" s="2">
        <v>1</v>
      </c>
      <c r="AA2195" s="2" t="s">
        <v>82</v>
      </c>
      <c r="AB2195" s="2">
        <v>9</v>
      </c>
      <c r="AC2195" s="2" t="s">
        <v>124</v>
      </c>
      <c r="AD2195" s="2"/>
      <c r="AE2195" s="2"/>
      <c r="AF2195" s="2"/>
      <c r="AG2195" s="2"/>
      <c r="AH2195" s="2">
        <v>4</v>
      </c>
      <c r="AI2195" s="2" t="s">
        <v>125</v>
      </c>
      <c r="AJ2195" s="2">
        <v>28</v>
      </c>
      <c r="AK2195" s="2" t="s">
        <v>741</v>
      </c>
      <c r="AL2195" s="2">
        <v>10</v>
      </c>
      <c r="AM2195" s="2" t="s">
        <v>200</v>
      </c>
      <c r="AN2195" s="2"/>
      <c r="AO2195" s="2"/>
      <c r="AP2195" s="2">
        <v>11</v>
      </c>
      <c r="AQ2195" s="2" t="s">
        <v>82</v>
      </c>
      <c r="AR2195" s="2"/>
      <c r="AS2195" s="2"/>
      <c r="AT2195" s="2" t="s">
        <v>7524</v>
      </c>
      <c r="AU2195" s="2"/>
      <c r="AV2195" s="2"/>
      <c r="AW2195" s="2"/>
      <c r="AX2195" s="2"/>
      <c r="AY2195" s="2">
        <v>1</v>
      </c>
      <c r="AZ2195" s="2" t="s">
        <v>107</v>
      </c>
      <c r="BA2195" s="2">
        <v>1</v>
      </c>
      <c r="BB2195" s="2" t="s">
        <v>107</v>
      </c>
      <c r="BC2195" s="2">
        <v>1</v>
      </c>
      <c r="BD2195" s="2" t="s">
        <v>107</v>
      </c>
      <c r="BE2195" s="2">
        <v>1</v>
      </c>
      <c r="BF2195" s="2" t="s">
        <v>107</v>
      </c>
      <c r="BG2195" s="2"/>
      <c r="BH2195" s="2"/>
      <c r="BI2195" s="2"/>
      <c r="BJ2195" s="2">
        <v>242</v>
      </c>
      <c r="BK2195" s="2" t="s">
        <v>107</v>
      </c>
      <c r="BL2195" s="2"/>
      <c r="BM2195" s="2">
        <v>242</v>
      </c>
      <c r="BN2195" s="2" t="s">
        <v>107</v>
      </c>
      <c r="BO2195" s="2"/>
      <c r="BP2195" s="2">
        <v>242</v>
      </c>
      <c r="BQ2195" s="2" t="s">
        <v>107</v>
      </c>
      <c r="BR2195" s="2"/>
      <c r="BS2195" s="3">
        <v>40325</v>
      </c>
      <c r="BT2195" s="4">
        <v>0.89695601851851858</v>
      </c>
    </row>
    <row r="2196" spans="1:72" x14ac:dyDescent="0.25">
      <c r="A2196" s="2">
        <v>3197</v>
      </c>
      <c r="B2196" s="2">
        <v>2010</v>
      </c>
      <c r="C2196" s="2" t="s">
        <v>72</v>
      </c>
      <c r="D2196" s="2" t="s">
        <v>122</v>
      </c>
      <c r="E2196" s="2"/>
      <c r="F2196" s="2">
        <v>10</v>
      </c>
      <c r="G2196" s="2" t="s">
        <v>2143</v>
      </c>
      <c r="H2196" s="2">
        <v>39</v>
      </c>
      <c r="I2196" s="2" t="s">
        <v>1117</v>
      </c>
      <c r="J2196" s="2">
        <v>538</v>
      </c>
      <c r="K2196" s="2" t="s">
        <v>7264</v>
      </c>
      <c r="L2196" s="2" t="s">
        <v>7265</v>
      </c>
      <c r="M2196" s="3">
        <v>40325</v>
      </c>
      <c r="N2196" s="2" t="s">
        <v>7266</v>
      </c>
      <c r="O2196" s="2" t="s">
        <v>107</v>
      </c>
      <c r="P2196" s="2" t="s">
        <v>107</v>
      </c>
      <c r="Q2196" s="2" t="str">
        <f>"25/10"</f>
        <v>25/10</v>
      </c>
      <c r="R2196" s="2" t="s">
        <v>601</v>
      </c>
      <c r="S2196" s="2" t="s">
        <v>601</v>
      </c>
      <c r="T2196" s="2">
        <v>1</v>
      </c>
      <c r="U2196" s="2" t="s">
        <v>79</v>
      </c>
      <c r="V2196" s="2">
        <v>1</v>
      </c>
      <c r="W2196" s="2" t="s">
        <v>80</v>
      </c>
      <c r="X2196" s="2">
        <v>1</v>
      </c>
      <c r="Y2196" s="2" t="s">
        <v>81</v>
      </c>
      <c r="Z2196" s="2">
        <v>1</v>
      </c>
      <c r="AA2196" s="2" t="s">
        <v>82</v>
      </c>
      <c r="AB2196" s="2">
        <v>6</v>
      </c>
      <c r="AC2196" s="2" t="s">
        <v>83</v>
      </c>
      <c r="AD2196" s="3">
        <v>40324</v>
      </c>
      <c r="AE2196" s="4">
        <v>0.97222222222222221</v>
      </c>
      <c r="AF2196" s="3">
        <v>40325</v>
      </c>
      <c r="AG2196" s="4">
        <v>0.75</v>
      </c>
      <c r="AH2196" s="2">
        <v>3</v>
      </c>
      <c r="AI2196" s="2" t="s">
        <v>214</v>
      </c>
      <c r="AJ2196" s="2">
        <v>24</v>
      </c>
      <c r="AK2196" s="2" t="s">
        <v>215</v>
      </c>
      <c r="AL2196" s="2">
        <v>25</v>
      </c>
      <c r="AM2196" s="2" t="s">
        <v>3073</v>
      </c>
      <c r="AN2196" s="2" t="s">
        <v>7525</v>
      </c>
      <c r="AO2196" s="2" t="s">
        <v>82</v>
      </c>
      <c r="AP2196" s="2">
        <v>11</v>
      </c>
      <c r="AQ2196" s="2" t="s">
        <v>82</v>
      </c>
      <c r="AR2196" s="2" t="s">
        <v>82</v>
      </c>
      <c r="AS2196" s="2" t="s">
        <v>82</v>
      </c>
      <c r="AT2196" s="2" t="s">
        <v>7526</v>
      </c>
      <c r="AU2196" s="2"/>
      <c r="AV2196" s="2"/>
      <c r="AW2196" s="2"/>
      <c r="AX2196" s="2"/>
      <c r="AY2196" s="2">
        <v>41</v>
      </c>
      <c r="AZ2196" s="2" t="s">
        <v>82</v>
      </c>
      <c r="BA2196" s="2">
        <v>41</v>
      </c>
      <c r="BB2196" s="2" t="s">
        <v>82</v>
      </c>
      <c r="BC2196" s="2">
        <v>41</v>
      </c>
      <c r="BD2196" s="2" t="s">
        <v>82</v>
      </c>
      <c r="BE2196" s="2">
        <v>41</v>
      </c>
      <c r="BF2196" s="2" t="s">
        <v>82</v>
      </c>
      <c r="BG2196" s="2"/>
      <c r="BH2196" s="2"/>
      <c r="BI2196" s="2"/>
      <c r="BJ2196" s="2">
        <v>241</v>
      </c>
      <c r="BK2196" s="2" t="s">
        <v>82</v>
      </c>
      <c r="BL2196" s="2"/>
      <c r="BM2196" s="2">
        <v>241</v>
      </c>
      <c r="BN2196" s="2" t="s">
        <v>82</v>
      </c>
      <c r="BO2196" s="2" t="s">
        <v>82</v>
      </c>
      <c r="BP2196" s="2">
        <v>241</v>
      </c>
      <c r="BQ2196" s="2" t="s">
        <v>82</v>
      </c>
      <c r="BR2196" s="2"/>
      <c r="BS2196" s="3">
        <v>40325</v>
      </c>
      <c r="BT2196" s="4">
        <v>0.90806712962962965</v>
      </c>
    </row>
    <row r="2197" spans="1:72" x14ac:dyDescent="0.25">
      <c r="A2197" s="2">
        <v>3198</v>
      </c>
      <c r="B2197" s="2">
        <v>2010</v>
      </c>
      <c r="C2197" s="2" t="s">
        <v>72</v>
      </c>
      <c r="D2197" s="2" t="s">
        <v>73</v>
      </c>
      <c r="E2197" s="2"/>
      <c r="F2197" s="2">
        <v>35</v>
      </c>
      <c r="G2197" s="2" t="s">
        <v>2057</v>
      </c>
      <c r="H2197" s="2">
        <v>112</v>
      </c>
      <c r="I2197" s="2" t="s">
        <v>7351</v>
      </c>
      <c r="J2197" s="2">
        <v>43</v>
      </c>
      <c r="K2197" s="2" t="s">
        <v>2059</v>
      </c>
      <c r="L2197" s="2" t="s">
        <v>2060</v>
      </c>
      <c r="M2197" s="3">
        <v>40325</v>
      </c>
      <c r="N2197" s="2" t="s">
        <v>7527</v>
      </c>
      <c r="O2197" s="2" t="s">
        <v>107</v>
      </c>
      <c r="P2197" s="2" t="s">
        <v>107</v>
      </c>
      <c r="Q2197" s="2" t="str">
        <f>"26/10"</f>
        <v>26/10</v>
      </c>
      <c r="R2197" s="2" t="s">
        <v>116</v>
      </c>
      <c r="S2197" s="2" t="s">
        <v>116</v>
      </c>
      <c r="T2197" s="2">
        <v>1</v>
      </c>
      <c r="U2197" s="2" t="s">
        <v>79</v>
      </c>
      <c r="V2197" s="2">
        <v>1</v>
      </c>
      <c r="W2197" s="2" t="s">
        <v>80</v>
      </c>
      <c r="X2197" s="2">
        <v>12</v>
      </c>
      <c r="Y2197" s="2" t="s">
        <v>148</v>
      </c>
      <c r="Z2197" s="2">
        <v>1</v>
      </c>
      <c r="AA2197" s="2" t="s">
        <v>82</v>
      </c>
      <c r="AB2197" s="2">
        <v>6</v>
      </c>
      <c r="AC2197" s="2" t="s">
        <v>83</v>
      </c>
      <c r="AD2197" s="2"/>
      <c r="AE2197" s="2"/>
      <c r="AF2197" s="3">
        <v>40325</v>
      </c>
      <c r="AG2197" s="4">
        <v>0.79861111111111116</v>
      </c>
      <c r="AH2197" s="2">
        <v>3</v>
      </c>
      <c r="AI2197" s="2" t="s">
        <v>214</v>
      </c>
      <c r="AJ2197" s="2">
        <v>17</v>
      </c>
      <c r="AK2197" s="2" t="s">
        <v>309</v>
      </c>
      <c r="AL2197" s="2">
        <v>25</v>
      </c>
      <c r="AM2197" s="2" t="s">
        <v>3073</v>
      </c>
      <c r="AN2197" s="2" t="s">
        <v>7528</v>
      </c>
      <c r="AO2197" s="2" t="s">
        <v>7529</v>
      </c>
      <c r="AP2197" s="2">
        <v>11</v>
      </c>
      <c r="AQ2197" s="2" t="s">
        <v>82</v>
      </c>
      <c r="AR2197" s="2"/>
      <c r="AS2197" s="2"/>
      <c r="AT2197" s="2" t="s">
        <v>7530</v>
      </c>
      <c r="AU2197" s="2"/>
      <c r="AV2197" s="2"/>
      <c r="AW2197" s="2"/>
      <c r="AX2197" s="2"/>
      <c r="AY2197" s="2">
        <v>103</v>
      </c>
      <c r="AZ2197" s="2" t="s">
        <v>6320</v>
      </c>
      <c r="BA2197" s="2">
        <v>41</v>
      </c>
      <c r="BB2197" s="2" t="s">
        <v>82</v>
      </c>
      <c r="BC2197" s="2">
        <v>41</v>
      </c>
      <c r="BD2197" s="2" t="s">
        <v>82</v>
      </c>
      <c r="BE2197" s="2">
        <v>41</v>
      </c>
      <c r="BF2197" s="2" t="s">
        <v>82</v>
      </c>
      <c r="BG2197" s="2" t="s">
        <v>82</v>
      </c>
      <c r="BH2197" s="2"/>
      <c r="BI2197" s="2"/>
      <c r="BJ2197" s="2">
        <v>241</v>
      </c>
      <c r="BK2197" s="2" t="s">
        <v>82</v>
      </c>
      <c r="BL2197" s="2"/>
      <c r="BM2197" s="2">
        <v>241</v>
      </c>
      <c r="BN2197" s="2" t="s">
        <v>82</v>
      </c>
      <c r="BO2197" s="2"/>
      <c r="BP2197" s="2">
        <v>241</v>
      </c>
      <c r="BQ2197" s="2" t="s">
        <v>82</v>
      </c>
      <c r="BR2197" s="2"/>
      <c r="BS2197" s="3">
        <v>40325</v>
      </c>
      <c r="BT2197" s="4">
        <v>0.91993055555555558</v>
      </c>
    </row>
    <row r="2198" spans="1:72" x14ac:dyDescent="0.25">
      <c r="A2198" s="2">
        <v>3199</v>
      </c>
      <c r="B2198" s="2">
        <v>2010</v>
      </c>
      <c r="C2198" s="2" t="s">
        <v>819</v>
      </c>
      <c r="D2198" s="2" t="s">
        <v>122</v>
      </c>
      <c r="E2198" s="2"/>
      <c r="F2198" s="2">
        <v>451</v>
      </c>
      <c r="G2198" s="2" t="s">
        <v>879</v>
      </c>
      <c r="H2198" s="2">
        <v>31</v>
      </c>
      <c r="I2198" s="2" t="s">
        <v>880</v>
      </c>
      <c r="J2198" s="2">
        <v>326</v>
      </c>
      <c r="K2198" s="2" t="s">
        <v>881</v>
      </c>
      <c r="L2198" s="2" t="s">
        <v>882</v>
      </c>
      <c r="M2198" s="3">
        <v>40325</v>
      </c>
      <c r="N2198" s="2" t="s">
        <v>1072</v>
      </c>
      <c r="O2198" s="2"/>
      <c r="P2198" s="2"/>
      <c r="Q2198" s="2" t="str">
        <f>"061/10"</f>
        <v>061/10</v>
      </c>
      <c r="R2198" s="2" t="s">
        <v>822</v>
      </c>
      <c r="S2198" s="2"/>
      <c r="T2198" s="2">
        <v>1</v>
      </c>
      <c r="U2198" s="2" t="s">
        <v>79</v>
      </c>
      <c r="V2198" s="2">
        <v>1</v>
      </c>
      <c r="W2198" s="2" t="s">
        <v>80</v>
      </c>
      <c r="X2198" s="2">
        <v>1</v>
      </c>
      <c r="Y2198" s="2" t="s">
        <v>81</v>
      </c>
      <c r="Z2198" s="2">
        <v>10</v>
      </c>
      <c r="AA2198" s="2" t="s">
        <v>236</v>
      </c>
      <c r="AB2198" s="2">
        <v>9</v>
      </c>
      <c r="AC2198" s="2" t="s">
        <v>124</v>
      </c>
      <c r="AD2198" s="3">
        <v>40325</v>
      </c>
      <c r="AE2198" s="4">
        <v>0.90625</v>
      </c>
      <c r="AF2198" s="2"/>
      <c r="AG2198" s="2"/>
      <c r="AH2198" s="2">
        <v>4</v>
      </c>
      <c r="AI2198" s="2" t="s">
        <v>125</v>
      </c>
      <c r="AJ2198" s="2">
        <v>29</v>
      </c>
      <c r="AK2198" s="2" t="s">
        <v>227</v>
      </c>
      <c r="AL2198" s="2">
        <v>16</v>
      </c>
      <c r="AM2198" s="2" t="s">
        <v>392</v>
      </c>
      <c r="AN2198" s="2" t="s">
        <v>1015</v>
      </c>
      <c r="AO2198" s="2"/>
      <c r="AP2198" s="2">
        <v>12</v>
      </c>
      <c r="AQ2198" s="2" t="s">
        <v>322</v>
      </c>
      <c r="AR2198" s="2" t="s">
        <v>824</v>
      </c>
      <c r="AS2198" s="2" t="s">
        <v>825</v>
      </c>
      <c r="AT2198" s="2" t="s">
        <v>7531</v>
      </c>
      <c r="AU2198" s="2"/>
      <c r="AV2198" s="2"/>
      <c r="AW2198" s="2"/>
      <c r="AX2198" s="2"/>
      <c r="AY2198" s="2">
        <v>41</v>
      </c>
      <c r="AZ2198" s="2" t="s">
        <v>82</v>
      </c>
      <c r="BA2198" s="2">
        <v>41</v>
      </c>
      <c r="BB2198" s="2" t="s">
        <v>82</v>
      </c>
      <c r="BC2198" s="2">
        <v>51</v>
      </c>
      <c r="BD2198" s="2" t="s">
        <v>827</v>
      </c>
      <c r="BE2198" s="2">
        <v>47</v>
      </c>
      <c r="BF2198" s="2" t="s">
        <v>167</v>
      </c>
      <c r="BG2198" s="2">
        <v>2459</v>
      </c>
      <c r="BH2198" s="4">
        <v>0.89236111111111116</v>
      </c>
      <c r="BI2198" s="4">
        <v>0.92013888888888884</v>
      </c>
      <c r="BJ2198" s="2">
        <v>13</v>
      </c>
      <c r="BK2198" s="2" t="s">
        <v>91</v>
      </c>
      <c r="BL2198" s="2" t="s">
        <v>828</v>
      </c>
      <c r="BM2198" s="2">
        <v>241</v>
      </c>
      <c r="BN2198" s="2" t="s">
        <v>82</v>
      </c>
      <c r="BO2198" s="2" t="s">
        <v>82</v>
      </c>
      <c r="BP2198" s="2">
        <v>13</v>
      </c>
      <c r="BQ2198" s="2" t="s">
        <v>91</v>
      </c>
      <c r="BR2198" s="2" t="s">
        <v>185</v>
      </c>
      <c r="BS2198" s="3">
        <v>40325</v>
      </c>
      <c r="BT2198" s="4">
        <v>0.98290509259259251</v>
      </c>
    </row>
    <row r="2199" spans="1:72" x14ac:dyDescent="0.25">
      <c r="A2199" s="2">
        <v>3200</v>
      </c>
      <c r="B2199" s="2">
        <v>2010</v>
      </c>
      <c r="C2199" s="2" t="s">
        <v>764</v>
      </c>
      <c r="D2199" s="2" t="s">
        <v>73</v>
      </c>
      <c r="E2199" s="2"/>
      <c r="F2199" s="2">
        <v>390</v>
      </c>
      <c r="G2199" s="2" t="s">
        <v>475</v>
      </c>
      <c r="H2199" s="2">
        <v>6</v>
      </c>
      <c r="I2199" s="2" t="s">
        <v>1088</v>
      </c>
      <c r="J2199" s="2">
        <v>533</v>
      </c>
      <c r="K2199" s="2" t="s">
        <v>6511</v>
      </c>
      <c r="L2199" s="2" t="s">
        <v>478</v>
      </c>
      <c r="M2199" s="3">
        <v>40326</v>
      </c>
      <c r="N2199" s="2" t="s">
        <v>7532</v>
      </c>
      <c r="O2199" s="2"/>
      <c r="P2199" s="2"/>
      <c r="Q2199" s="2" t="str">
        <f>"282-E/10"</f>
        <v>282-E/10</v>
      </c>
      <c r="R2199" s="2" t="s">
        <v>7533</v>
      </c>
      <c r="S2199" s="2"/>
      <c r="T2199" s="2">
        <v>1</v>
      </c>
      <c r="U2199" s="2" t="s">
        <v>79</v>
      </c>
      <c r="V2199" s="2">
        <v>1</v>
      </c>
      <c r="W2199" s="2" t="s">
        <v>80</v>
      </c>
      <c r="X2199" s="2">
        <v>1</v>
      </c>
      <c r="Y2199" s="2" t="s">
        <v>81</v>
      </c>
      <c r="Z2199" s="2">
        <v>1</v>
      </c>
      <c r="AA2199" s="2" t="s">
        <v>82</v>
      </c>
      <c r="AB2199" s="2">
        <v>9</v>
      </c>
      <c r="AC2199" s="2" t="s">
        <v>124</v>
      </c>
      <c r="AD2199" s="3">
        <v>40325</v>
      </c>
      <c r="AE2199" s="2"/>
      <c r="AF2199" s="2"/>
      <c r="AG2199" s="2"/>
      <c r="AH2199" s="2">
        <v>2</v>
      </c>
      <c r="AI2199" s="2" t="s">
        <v>84</v>
      </c>
      <c r="AJ2199" s="2">
        <v>9</v>
      </c>
      <c r="AK2199" s="2" t="s">
        <v>103</v>
      </c>
      <c r="AL2199" s="2">
        <v>19</v>
      </c>
      <c r="AM2199" s="2" t="s">
        <v>107</v>
      </c>
      <c r="AN2199" s="2"/>
      <c r="AO2199" s="2" t="s">
        <v>7534</v>
      </c>
      <c r="AP2199" s="2">
        <v>11</v>
      </c>
      <c r="AQ2199" s="2" t="s">
        <v>82</v>
      </c>
      <c r="AR2199" s="2"/>
      <c r="AS2199" s="2"/>
      <c r="AT2199" s="2" t="s">
        <v>7535</v>
      </c>
      <c r="AU2199" s="2"/>
      <c r="AV2199" s="2"/>
      <c r="AW2199" s="2"/>
      <c r="AX2199" s="2"/>
      <c r="AY2199" s="2">
        <v>1</v>
      </c>
      <c r="AZ2199" s="2" t="s">
        <v>107</v>
      </c>
      <c r="BA2199" s="2">
        <v>1</v>
      </c>
      <c r="BB2199" s="2" t="s">
        <v>107</v>
      </c>
      <c r="BC2199" s="2">
        <v>1</v>
      </c>
      <c r="BD2199" s="2" t="s">
        <v>107</v>
      </c>
      <c r="BE2199" s="2">
        <v>1</v>
      </c>
      <c r="BF2199" s="2" t="s">
        <v>107</v>
      </c>
      <c r="BG2199" s="2"/>
      <c r="BH2199" s="2"/>
      <c r="BI2199" s="2"/>
      <c r="BJ2199" s="2">
        <v>242</v>
      </c>
      <c r="BK2199" s="2" t="s">
        <v>107</v>
      </c>
      <c r="BL2199" s="2"/>
      <c r="BM2199" s="2">
        <v>242</v>
      </c>
      <c r="BN2199" s="2" t="s">
        <v>107</v>
      </c>
      <c r="BO2199" s="2"/>
      <c r="BP2199" s="2">
        <v>242</v>
      </c>
      <c r="BQ2199" s="2" t="s">
        <v>107</v>
      </c>
      <c r="BR2199" s="2"/>
      <c r="BS2199" s="3">
        <v>40326</v>
      </c>
      <c r="BT2199" s="4">
        <v>4.7418981481481486E-2</v>
      </c>
    </row>
    <row r="2200" spans="1:72" x14ac:dyDescent="0.25">
      <c r="A2200" s="2">
        <v>3201</v>
      </c>
      <c r="B2200" s="2">
        <v>2010</v>
      </c>
      <c r="C2200" s="2" t="s">
        <v>4543</v>
      </c>
      <c r="D2200" s="2" t="s">
        <v>122</v>
      </c>
      <c r="E2200" s="2"/>
      <c r="F2200" s="2">
        <v>1</v>
      </c>
      <c r="G2200" s="2" t="s">
        <v>82</v>
      </c>
      <c r="H2200" s="2">
        <v>1</v>
      </c>
      <c r="I2200" s="2" t="s">
        <v>82</v>
      </c>
      <c r="J2200" s="2">
        <v>1</v>
      </c>
      <c r="K2200" s="2" t="s">
        <v>107</v>
      </c>
      <c r="L2200" s="2" t="s">
        <v>107</v>
      </c>
      <c r="M2200" s="3">
        <v>40326</v>
      </c>
      <c r="N2200" s="2"/>
      <c r="O2200" s="2"/>
      <c r="P2200" s="2"/>
      <c r="Q2200" s="2" t="str">
        <f>""</f>
        <v/>
      </c>
      <c r="R2200" s="2"/>
      <c r="S2200" s="2"/>
      <c r="T2200" s="2">
        <v>2</v>
      </c>
      <c r="U2200" s="2" t="s">
        <v>123</v>
      </c>
      <c r="V2200" s="2">
        <v>1</v>
      </c>
      <c r="W2200" s="2" t="s">
        <v>80</v>
      </c>
      <c r="X2200" s="2">
        <v>11</v>
      </c>
      <c r="Y2200" s="2" t="s">
        <v>1920</v>
      </c>
      <c r="Z2200" s="2">
        <v>1</v>
      </c>
      <c r="AA2200" s="2" t="s">
        <v>82</v>
      </c>
      <c r="AB2200" s="2">
        <v>9</v>
      </c>
      <c r="AC2200" s="2" t="s">
        <v>124</v>
      </c>
      <c r="AD2200" s="3">
        <v>40326</v>
      </c>
      <c r="AE2200" s="4">
        <v>0.12847222222222224</v>
      </c>
      <c r="AF2200" s="2"/>
      <c r="AG2200" s="2"/>
      <c r="AH2200" s="2">
        <v>6</v>
      </c>
      <c r="AI2200" s="2" t="s">
        <v>197</v>
      </c>
      <c r="AJ2200" s="2">
        <v>54</v>
      </c>
      <c r="AK2200" s="2" t="s">
        <v>348</v>
      </c>
      <c r="AL2200" s="2">
        <v>18</v>
      </c>
      <c r="AM2200" s="2" t="s">
        <v>82</v>
      </c>
      <c r="AN2200" s="2" t="s">
        <v>595</v>
      </c>
      <c r="AO2200" s="2" t="s">
        <v>200</v>
      </c>
      <c r="AP2200" s="2">
        <v>14</v>
      </c>
      <c r="AQ2200" s="2" t="s">
        <v>3301</v>
      </c>
      <c r="AR2200" s="2" t="s">
        <v>596</v>
      </c>
      <c r="AS2200" s="2" t="s">
        <v>596</v>
      </c>
      <c r="AT2200" s="2" t="s">
        <v>7536</v>
      </c>
      <c r="AU2200" s="2"/>
      <c r="AV2200" s="2"/>
      <c r="AW2200" s="2"/>
      <c r="AX2200" s="2"/>
      <c r="AY2200" s="2">
        <v>1</v>
      </c>
      <c r="AZ2200" s="2" t="s">
        <v>107</v>
      </c>
      <c r="BA2200" s="2">
        <v>1</v>
      </c>
      <c r="BB2200" s="2" t="s">
        <v>107</v>
      </c>
      <c r="BC2200" s="2">
        <v>1</v>
      </c>
      <c r="BD2200" s="2" t="s">
        <v>107</v>
      </c>
      <c r="BE2200" s="2">
        <v>4</v>
      </c>
      <c r="BF2200" s="2" t="s">
        <v>90</v>
      </c>
      <c r="BG2200" s="2" t="s">
        <v>598</v>
      </c>
      <c r="BH2200" s="4">
        <v>8.6805555555555566E-2</v>
      </c>
      <c r="BI2200" s="4">
        <v>0.12222222222222223</v>
      </c>
      <c r="BJ2200" s="2">
        <v>13</v>
      </c>
      <c r="BK2200" s="2" t="s">
        <v>91</v>
      </c>
      <c r="BL2200" s="2" t="s">
        <v>2764</v>
      </c>
      <c r="BM2200" s="2">
        <v>242</v>
      </c>
      <c r="BN2200" s="2" t="s">
        <v>107</v>
      </c>
      <c r="BO2200" s="2"/>
      <c r="BP2200" s="2">
        <v>13</v>
      </c>
      <c r="BQ2200" s="2" t="s">
        <v>91</v>
      </c>
      <c r="BR2200" s="2" t="s">
        <v>2168</v>
      </c>
      <c r="BS2200" s="3">
        <v>40326</v>
      </c>
      <c r="BT2200" s="4">
        <v>0.14403935185185185</v>
      </c>
    </row>
    <row r="2201" spans="1:72" x14ac:dyDescent="0.25">
      <c r="A2201" s="2">
        <v>3202</v>
      </c>
      <c r="B2201" s="2">
        <v>2010</v>
      </c>
      <c r="C2201" s="2" t="s">
        <v>255</v>
      </c>
      <c r="D2201" s="2" t="s">
        <v>73</v>
      </c>
      <c r="E2201" s="2"/>
      <c r="F2201" s="2">
        <v>623</v>
      </c>
      <c r="G2201" s="2" t="s">
        <v>7537</v>
      </c>
      <c r="H2201" s="2">
        <v>108</v>
      </c>
      <c r="I2201" s="2" t="s">
        <v>1096</v>
      </c>
      <c r="J2201" s="2">
        <v>555</v>
      </c>
      <c r="K2201" s="2" t="s">
        <v>7538</v>
      </c>
      <c r="L2201" s="2" t="s">
        <v>4331</v>
      </c>
      <c r="M2201" s="3">
        <v>40326</v>
      </c>
      <c r="N2201" s="2" t="s">
        <v>7539</v>
      </c>
      <c r="O2201" s="2"/>
      <c r="P2201" s="2"/>
      <c r="Q2201" s="2" t="str">
        <f>"192-A/10"</f>
        <v>192-A/10</v>
      </c>
      <c r="R2201" s="2" t="s">
        <v>947</v>
      </c>
      <c r="S2201" s="2"/>
      <c r="T2201" s="2">
        <v>1</v>
      </c>
      <c r="U2201" s="2" t="s">
        <v>79</v>
      </c>
      <c r="V2201" s="2">
        <v>1</v>
      </c>
      <c r="W2201" s="2" t="s">
        <v>80</v>
      </c>
      <c r="X2201" s="2">
        <v>12</v>
      </c>
      <c r="Y2201" s="2" t="s">
        <v>148</v>
      </c>
      <c r="Z2201" s="2">
        <v>1</v>
      </c>
      <c r="AA2201" s="2" t="s">
        <v>82</v>
      </c>
      <c r="AB2201" s="2">
        <v>9</v>
      </c>
      <c r="AC2201" s="2" t="s">
        <v>124</v>
      </c>
      <c r="AD2201" s="3">
        <v>40325</v>
      </c>
      <c r="AE2201" s="4">
        <v>0.89930555555555547</v>
      </c>
      <c r="AF2201" s="3">
        <v>40325</v>
      </c>
      <c r="AG2201" s="4">
        <v>0.96875</v>
      </c>
      <c r="AH2201" s="2">
        <v>2</v>
      </c>
      <c r="AI2201" s="2" t="s">
        <v>84</v>
      </c>
      <c r="AJ2201" s="2">
        <v>12</v>
      </c>
      <c r="AK2201" s="2" t="s">
        <v>85</v>
      </c>
      <c r="AL2201" s="2">
        <v>22</v>
      </c>
      <c r="AM2201" s="2" t="s">
        <v>1853</v>
      </c>
      <c r="AN2201" s="2" t="s">
        <v>2633</v>
      </c>
      <c r="AO2201" s="2" t="s">
        <v>892</v>
      </c>
      <c r="AP2201" s="2">
        <v>11</v>
      </c>
      <c r="AQ2201" s="2" t="s">
        <v>82</v>
      </c>
      <c r="AR2201" s="2"/>
      <c r="AS2201" s="2"/>
      <c r="AT2201" s="2" t="s">
        <v>7540</v>
      </c>
      <c r="AU2201" s="2"/>
      <c r="AV2201" s="2"/>
      <c r="AW2201" s="2"/>
      <c r="AX2201" s="2"/>
      <c r="AY2201" s="2">
        <v>41</v>
      </c>
      <c r="AZ2201" s="2" t="s">
        <v>82</v>
      </c>
      <c r="BA2201" s="2">
        <v>41</v>
      </c>
      <c r="BB2201" s="2" t="s">
        <v>82</v>
      </c>
      <c r="BC2201" s="2">
        <v>41</v>
      </c>
      <c r="BD2201" s="2" t="s">
        <v>82</v>
      </c>
      <c r="BE2201" s="2">
        <v>13</v>
      </c>
      <c r="BF2201" s="2" t="s">
        <v>108</v>
      </c>
      <c r="BG2201" s="2" t="s">
        <v>7541</v>
      </c>
      <c r="BH2201" s="4">
        <v>0.89930555555555547</v>
      </c>
      <c r="BI2201" s="2"/>
      <c r="BJ2201" s="2">
        <v>13</v>
      </c>
      <c r="BK2201" s="2" t="s">
        <v>91</v>
      </c>
      <c r="BL2201" s="2" t="s">
        <v>445</v>
      </c>
      <c r="BM2201" s="2">
        <v>241</v>
      </c>
      <c r="BN2201" s="2" t="s">
        <v>82</v>
      </c>
      <c r="BO2201" s="2"/>
      <c r="BP2201" s="2">
        <v>13</v>
      </c>
      <c r="BQ2201" s="2" t="s">
        <v>91</v>
      </c>
      <c r="BR2201" s="2" t="s">
        <v>185</v>
      </c>
      <c r="BS2201" s="3">
        <v>40326</v>
      </c>
      <c r="BT2201" s="4">
        <v>0.16714120370370369</v>
      </c>
    </row>
    <row r="2202" spans="1:72" x14ac:dyDescent="0.25">
      <c r="A2202" s="2">
        <v>3203</v>
      </c>
      <c r="B2202" s="2">
        <v>2010</v>
      </c>
      <c r="C2202" s="2" t="s">
        <v>819</v>
      </c>
      <c r="D2202" s="2" t="s">
        <v>122</v>
      </c>
      <c r="E2202" s="2" t="s">
        <v>7542</v>
      </c>
      <c r="F2202" s="2">
        <v>451</v>
      </c>
      <c r="G2202" s="2" t="s">
        <v>879</v>
      </c>
      <c r="H2202" s="2">
        <v>31</v>
      </c>
      <c r="I2202" s="2" t="s">
        <v>880</v>
      </c>
      <c r="J2202" s="2">
        <v>326</v>
      </c>
      <c r="K2202" s="2" t="s">
        <v>881</v>
      </c>
      <c r="L2202" s="2" t="s">
        <v>882</v>
      </c>
      <c r="M2202" s="3">
        <v>40326</v>
      </c>
      <c r="N2202" s="2" t="s">
        <v>1072</v>
      </c>
      <c r="O2202" s="2"/>
      <c r="P2202" s="2"/>
      <c r="Q2202" s="2" t="str">
        <f>"061/10"</f>
        <v>061/10</v>
      </c>
      <c r="R2202" s="2"/>
      <c r="S2202" s="2" t="s">
        <v>822</v>
      </c>
      <c r="T2202" s="2">
        <v>1</v>
      </c>
      <c r="U2202" s="2" t="s">
        <v>79</v>
      </c>
      <c r="V2202" s="2">
        <v>1</v>
      </c>
      <c r="W2202" s="2" t="s">
        <v>80</v>
      </c>
      <c r="X2202" s="2">
        <v>1</v>
      </c>
      <c r="Y2202" s="2" t="s">
        <v>81</v>
      </c>
      <c r="Z2202" s="2">
        <v>10</v>
      </c>
      <c r="AA2202" s="2" t="s">
        <v>236</v>
      </c>
      <c r="AB2202" s="2">
        <v>9</v>
      </c>
      <c r="AC2202" s="2" t="s">
        <v>124</v>
      </c>
      <c r="AD2202" s="3">
        <v>40326</v>
      </c>
      <c r="AE2202" s="4">
        <v>0.41666666666666669</v>
      </c>
      <c r="AF2202" s="2"/>
      <c r="AG2202" s="2"/>
      <c r="AH2202" s="2">
        <v>4</v>
      </c>
      <c r="AI2202" s="2" t="s">
        <v>125</v>
      </c>
      <c r="AJ2202" s="2">
        <v>29</v>
      </c>
      <c r="AK2202" s="2" t="s">
        <v>227</v>
      </c>
      <c r="AL2202" s="2">
        <v>10</v>
      </c>
      <c r="AM2202" s="2" t="s">
        <v>200</v>
      </c>
      <c r="AN2202" s="2" t="s">
        <v>3040</v>
      </c>
      <c r="AO2202" s="2" t="s">
        <v>5383</v>
      </c>
      <c r="AP2202" s="2">
        <v>12</v>
      </c>
      <c r="AQ2202" s="2" t="s">
        <v>322</v>
      </c>
      <c r="AR2202" s="2" t="s">
        <v>824</v>
      </c>
      <c r="AS2202" s="2" t="s">
        <v>825</v>
      </c>
      <c r="AT2202" s="2" t="s">
        <v>7543</v>
      </c>
      <c r="AU2202" s="2"/>
      <c r="AV2202" s="2"/>
      <c r="AW2202" s="2"/>
      <c r="AX2202" s="2"/>
      <c r="AY2202" s="2">
        <v>41</v>
      </c>
      <c r="AZ2202" s="2" t="s">
        <v>82</v>
      </c>
      <c r="BA2202" s="2">
        <v>41</v>
      </c>
      <c r="BB2202" s="2" t="s">
        <v>82</v>
      </c>
      <c r="BC2202" s="2">
        <v>51</v>
      </c>
      <c r="BD2202" s="2" t="s">
        <v>827</v>
      </c>
      <c r="BE2202" s="2">
        <v>47</v>
      </c>
      <c r="BF2202" s="2" t="s">
        <v>167</v>
      </c>
      <c r="BG2202" s="2">
        <v>2459</v>
      </c>
      <c r="BH2202" s="4">
        <v>0.89236111111111116</v>
      </c>
      <c r="BI2202" s="4">
        <v>0.92013888888888884</v>
      </c>
      <c r="BJ2202" s="2">
        <v>13</v>
      </c>
      <c r="BK2202" s="2" t="s">
        <v>91</v>
      </c>
      <c r="BL2202" s="2" t="s">
        <v>828</v>
      </c>
      <c r="BM2202" s="2">
        <v>241</v>
      </c>
      <c r="BN2202" s="2" t="s">
        <v>82</v>
      </c>
      <c r="BO2202" s="2" t="s">
        <v>82</v>
      </c>
      <c r="BP2202" s="2">
        <v>13</v>
      </c>
      <c r="BQ2202" s="2" t="s">
        <v>91</v>
      </c>
      <c r="BR2202" s="2" t="s">
        <v>185</v>
      </c>
      <c r="BS2202" s="3">
        <v>40326</v>
      </c>
      <c r="BT2202" s="4">
        <v>0.42965277777777783</v>
      </c>
    </row>
    <row r="2203" spans="1:72" x14ac:dyDescent="0.25">
      <c r="A2203" s="2">
        <v>3205</v>
      </c>
      <c r="B2203" s="2">
        <v>2010</v>
      </c>
      <c r="C2203" s="2" t="s">
        <v>72</v>
      </c>
      <c r="D2203" s="2" t="s">
        <v>73</v>
      </c>
      <c r="E2203" s="2"/>
      <c r="F2203" s="2">
        <v>612</v>
      </c>
      <c r="G2203" s="2" t="s">
        <v>6664</v>
      </c>
      <c r="H2203" s="2">
        <v>108</v>
      </c>
      <c r="I2203" s="2" t="s">
        <v>1096</v>
      </c>
      <c r="J2203" s="2">
        <v>550</v>
      </c>
      <c r="K2203" s="2" t="s">
        <v>6744</v>
      </c>
      <c r="L2203" s="2" t="s">
        <v>6745</v>
      </c>
      <c r="M2203" s="3">
        <v>40326</v>
      </c>
      <c r="N2203" s="2" t="s">
        <v>7544</v>
      </c>
      <c r="O2203" s="2"/>
      <c r="P2203" s="2"/>
      <c r="Q2203" s="2" t="str">
        <f>"193-A/10"</f>
        <v>193-A/10</v>
      </c>
      <c r="R2203" s="2"/>
      <c r="S2203" s="2" t="s">
        <v>78</v>
      </c>
      <c r="T2203" s="2">
        <v>1</v>
      </c>
      <c r="U2203" s="2" t="s">
        <v>79</v>
      </c>
      <c r="V2203" s="2">
        <v>1</v>
      </c>
      <c r="W2203" s="2" t="s">
        <v>80</v>
      </c>
      <c r="X2203" s="2">
        <v>12</v>
      </c>
      <c r="Y2203" s="2" t="s">
        <v>148</v>
      </c>
      <c r="Z2203" s="2">
        <v>1</v>
      </c>
      <c r="AA2203" s="2" t="s">
        <v>82</v>
      </c>
      <c r="AB2203" s="2">
        <v>6</v>
      </c>
      <c r="AC2203" s="2" t="s">
        <v>83</v>
      </c>
      <c r="AD2203" s="3">
        <v>40326</v>
      </c>
      <c r="AE2203" s="4">
        <v>0.29166666666666669</v>
      </c>
      <c r="AF2203" s="3">
        <v>40326</v>
      </c>
      <c r="AG2203" s="4">
        <v>0.34722222222222227</v>
      </c>
      <c r="AH2203" s="2">
        <v>2</v>
      </c>
      <c r="AI2203" s="2" t="s">
        <v>84</v>
      </c>
      <c r="AJ2203" s="2">
        <v>12</v>
      </c>
      <c r="AK2203" s="2" t="s">
        <v>85</v>
      </c>
      <c r="AL2203" s="2">
        <v>29</v>
      </c>
      <c r="AM2203" s="2" t="s">
        <v>5416</v>
      </c>
      <c r="AN2203" s="2" t="s">
        <v>7545</v>
      </c>
      <c r="AO2203" s="2"/>
      <c r="AP2203" s="2">
        <v>11</v>
      </c>
      <c r="AQ2203" s="2" t="s">
        <v>82</v>
      </c>
      <c r="AR2203" s="2"/>
      <c r="AS2203" s="2"/>
      <c r="AT2203" s="2" t="s">
        <v>7546</v>
      </c>
      <c r="AU2203" s="2"/>
      <c r="AV2203" s="2"/>
      <c r="AW2203" s="2"/>
      <c r="AX2203" s="2"/>
      <c r="AY2203" s="2">
        <v>41</v>
      </c>
      <c r="AZ2203" s="2" t="s">
        <v>82</v>
      </c>
      <c r="BA2203" s="2">
        <v>41</v>
      </c>
      <c r="BB2203" s="2" t="s">
        <v>82</v>
      </c>
      <c r="BC2203" s="2">
        <v>41</v>
      </c>
      <c r="BD2203" s="2" t="s">
        <v>82</v>
      </c>
      <c r="BE2203" s="2">
        <v>4</v>
      </c>
      <c r="BF2203" s="2" t="s">
        <v>90</v>
      </c>
      <c r="BG2203" s="2" t="s">
        <v>7547</v>
      </c>
      <c r="BH2203" s="4">
        <v>0.29166666666666669</v>
      </c>
      <c r="BI2203" s="4">
        <v>0.23958333333333334</v>
      </c>
      <c r="BJ2203" s="2">
        <v>13</v>
      </c>
      <c r="BK2203" s="2" t="s">
        <v>91</v>
      </c>
      <c r="BL2203" s="2" t="s">
        <v>169</v>
      </c>
      <c r="BM2203" s="2">
        <v>241</v>
      </c>
      <c r="BN2203" s="2" t="s">
        <v>82</v>
      </c>
      <c r="BO2203" s="2"/>
      <c r="BP2203" s="2">
        <v>13</v>
      </c>
      <c r="BQ2203" s="2" t="s">
        <v>91</v>
      </c>
      <c r="BR2203" s="2" t="s">
        <v>185</v>
      </c>
      <c r="BS2203" s="3">
        <v>40326</v>
      </c>
      <c r="BT2203" s="4">
        <v>0.46471064814814816</v>
      </c>
    </row>
    <row r="2204" spans="1:72" x14ac:dyDescent="0.25">
      <c r="A2204" s="2">
        <v>3206</v>
      </c>
      <c r="B2204" s="2">
        <v>2010</v>
      </c>
      <c r="C2204" s="2" t="s">
        <v>4543</v>
      </c>
      <c r="D2204" s="2" t="s">
        <v>122</v>
      </c>
      <c r="E2204" s="2"/>
      <c r="F2204" s="2">
        <v>1</v>
      </c>
      <c r="G2204" s="2" t="s">
        <v>82</v>
      </c>
      <c r="H2204" s="2">
        <v>1</v>
      </c>
      <c r="I2204" s="2" t="s">
        <v>82</v>
      </c>
      <c r="J2204" s="2">
        <v>1</v>
      </c>
      <c r="K2204" s="2" t="s">
        <v>107</v>
      </c>
      <c r="L2204" s="2" t="s">
        <v>107</v>
      </c>
      <c r="M2204" s="3">
        <v>40326</v>
      </c>
      <c r="N2204" s="2"/>
      <c r="O2204" s="2"/>
      <c r="P2204" s="2"/>
      <c r="Q2204" s="2" t="str">
        <f>""</f>
        <v/>
      </c>
      <c r="R2204" s="2"/>
      <c r="S2204" s="2"/>
      <c r="T2204" s="2">
        <v>2</v>
      </c>
      <c r="U2204" s="2" t="s">
        <v>123</v>
      </c>
      <c r="V2204" s="2">
        <v>1</v>
      </c>
      <c r="W2204" s="2" t="s">
        <v>80</v>
      </c>
      <c r="X2204" s="2">
        <v>11</v>
      </c>
      <c r="Y2204" s="2" t="s">
        <v>1920</v>
      </c>
      <c r="Z2204" s="2">
        <v>1</v>
      </c>
      <c r="AA2204" s="2" t="s">
        <v>82</v>
      </c>
      <c r="AB2204" s="2">
        <v>9</v>
      </c>
      <c r="AC2204" s="2" t="s">
        <v>124</v>
      </c>
      <c r="AD2204" s="3">
        <v>40326</v>
      </c>
      <c r="AE2204" s="4">
        <v>0.47222222222222227</v>
      </c>
      <c r="AF2204" s="2"/>
      <c r="AG2204" s="2"/>
      <c r="AH2204" s="2">
        <v>6</v>
      </c>
      <c r="AI2204" s="2" t="s">
        <v>197</v>
      </c>
      <c r="AJ2204" s="2">
        <v>54</v>
      </c>
      <c r="AK2204" s="2" t="s">
        <v>348</v>
      </c>
      <c r="AL2204" s="2">
        <v>18</v>
      </c>
      <c r="AM2204" s="2" t="s">
        <v>82</v>
      </c>
      <c r="AN2204" s="2" t="s">
        <v>595</v>
      </c>
      <c r="AO2204" s="2" t="s">
        <v>200</v>
      </c>
      <c r="AP2204" s="2">
        <v>12</v>
      </c>
      <c r="AQ2204" s="2" t="s">
        <v>322</v>
      </c>
      <c r="AR2204" s="2" t="s">
        <v>596</v>
      </c>
      <c r="AS2204" s="2" t="s">
        <v>596</v>
      </c>
      <c r="AT2204" s="2" t="s">
        <v>7548</v>
      </c>
      <c r="AU2204" s="2"/>
      <c r="AV2204" s="2"/>
      <c r="AW2204" s="2"/>
      <c r="AX2204" s="2"/>
      <c r="AY2204" s="2">
        <v>1</v>
      </c>
      <c r="AZ2204" s="2" t="s">
        <v>107</v>
      </c>
      <c r="BA2204" s="2">
        <v>1</v>
      </c>
      <c r="BB2204" s="2" t="s">
        <v>107</v>
      </c>
      <c r="BC2204" s="2">
        <v>1</v>
      </c>
      <c r="BD2204" s="2" t="s">
        <v>107</v>
      </c>
      <c r="BE2204" s="2">
        <v>13</v>
      </c>
      <c r="BF2204" s="2" t="s">
        <v>108</v>
      </c>
      <c r="BG2204" s="2" t="s">
        <v>4192</v>
      </c>
      <c r="BH2204" s="4">
        <v>0.43611111111111112</v>
      </c>
      <c r="BI2204" s="4">
        <v>0.47222222222222227</v>
      </c>
      <c r="BJ2204" s="2">
        <v>13</v>
      </c>
      <c r="BK2204" s="2" t="s">
        <v>91</v>
      </c>
      <c r="BL2204" s="2" t="s">
        <v>904</v>
      </c>
      <c r="BM2204" s="2">
        <v>242</v>
      </c>
      <c r="BN2204" s="2" t="s">
        <v>107</v>
      </c>
      <c r="BO2204" s="2" t="s">
        <v>107</v>
      </c>
      <c r="BP2204" s="2">
        <v>13</v>
      </c>
      <c r="BQ2204" s="2" t="s">
        <v>91</v>
      </c>
      <c r="BR2204" s="2" t="s">
        <v>905</v>
      </c>
      <c r="BS2204" s="3">
        <v>40326</v>
      </c>
      <c r="BT2204" s="4">
        <v>0.48422453703703705</v>
      </c>
    </row>
    <row r="2205" spans="1:72" x14ac:dyDescent="0.25">
      <c r="A2205" s="2">
        <v>3207</v>
      </c>
      <c r="B2205" s="2">
        <v>2010</v>
      </c>
      <c r="C2205" s="2" t="s">
        <v>377</v>
      </c>
      <c r="D2205" s="2" t="s">
        <v>73</v>
      </c>
      <c r="E2205" s="2"/>
      <c r="F2205" s="2">
        <v>426</v>
      </c>
      <c r="G2205" s="2" t="s">
        <v>378</v>
      </c>
      <c r="H2205" s="2">
        <v>22</v>
      </c>
      <c r="I2205" s="2" t="s">
        <v>75</v>
      </c>
      <c r="J2205" s="2">
        <v>311</v>
      </c>
      <c r="K2205" s="2" t="s">
        <v>379</v>
      </c>
      <c r="L2205" s="2" t="s">
        <v>380</v>
      </c>
      <c r="M2205" s="3">
        <v>40326</v>
      </c>
      <c r="N2205" s="2" t="s">
        <v>4427</v>
      </c>
      <c r="O2205" s="2"/>
      <c r="P2205" s="2"/>
      <c r="Q2205" s="2" t="str">
        <f>"096-C/10"</f>
        <v>096-C/10</v>
      </c>
      <c r="R2205" s="2" t="s">
        <v>7012</v>
      </c>
      <c r="S2205" s="2"/>
      <c r="T2205" s="2">
        <v>1</v>
      </c>
      <c r="U2205" s="2" t="s">
        <v>79</v>
      </c>
      <c r="V2205" s="2">
        <v>1</v>
      </c>
      <c r="W2205" s="2" t="s">
        <v>80</v>
      </c>
      <c r="X2205" s="2">
        <v>1</v>
      </c>
      <c r="Y2205" s="2" t="s">
        <v>81</v>
      </c>
      <c r="Z2205" s="2">
        <v>1</v>
      </c>
      <c r="AA2205" s="2" t="s">
        <v>82</v>
      </c>
      <c r="AB2205" s="2">
        <v>9</v>
      </c>
      <c r="AC2205" s="2" t="s">
        <v>124</v>
      </c>
      <c r="AD2205" s="3">
        <v>40326</v>
      </c>
      <c r="AE2205" s="4">
        <v>0.38194444444444442</v>
      </c>
      <c r="AF2205" s="2"/>
      <c r="AG2205" s="2"/>
      <c r="AH2205" s="2">
        <v>2</v>
      </c>
      <c r="AI2205" s="2" t="s">
        <v>84</v>
      </c>
      <c r="AJ2205" s="2">
        <v>9</v>
      </c>
      <c r="AK2205" s="2" t="s">
        <v>103</v>
      </c>
      <c r="AL2205" s="2">
        <v>29</v>
      </c>
      <c r="AM2205" s="2" t="s">
        <v>5416</v>
      </c>
      <c r="AN2205" s="2" t="s">
        <v>7549</v>
      </c>
      <c r="AO2205" s="2" t="s">
        <v>987</v>
      </c>
      <c r="AP2205" s="2">
        <v>11</v>
      </c>
      <c r="AQ2205" s="2" t="s">
        <v>82</v>
      </c>
      <c r="AR2205" s="2"/>
      <c r="AS2205" s="2"/>
      <c r="AT2205" s="2" t="s">
        <v>7550</v>
      </c>
      <c r="AU2205" s="2"/>
      <c r="AV2205" s="2"/>
      <c r="AW2205" s="2"/>
      <c r="AX2205" s="2"/>
      <c r="AY2205" s="2">
        <v>41</v>
      </c>
      <c r="AZ2205" s="2" t="s">
        <v>82</v>
      </c>
      <c r="BA2205" s="2">
        <v>41</v>
      </c>
      <c r="BB2205" s="2" t="s">
        <v>82</v>
      </c>
      <c r="BC2205" s="2">
        <v>41</v>
      </c>
      <c r="BD2205" s="2" t="s">
        <v>82</v>
      </c>
      <c r="BE2205" s="2">
        <v>41</v>
      </c>
      <c r="BF2205" s="2" t="s">
        <v>82</v>
      </c>
      <c r="BG2205" s="2"/>
      <c r="BH2205" s="2"/>
      <c r="BI2205" s="2"/>
      <c r="BJ2205" s="2">
        <v>241</v>
      </c>
      <c r="BK2205" s="2" t="s">
        <v>82</v>
      </c>
      <c r="BL2205" s="2"/>
      <c r="BM2205" s="2">
        <v>241</v>
      </c>
      <c r="BN2205" s="2" t="s">
        <v>82</v>
      </c>
      <c r="BO2205" s="2"/>
      <c r="BP2205" s="2">
        <v>241</v>
      </c>
      <c r="BQ2205" s="2" t="s">
        <v>82</v>
      </c>
      <c r="BR2205" s="2"/>
      <c r="BS2205" s="3">
        <v>40326</v>
      </c>
      <c r="BT2205" s="4">
        <v>0.50665509259259256</v>
      </c>
    </row>
    <row r="2206" spans="1:72" x14ac:dyDescent="0.25">
      <c r="A2206" s="2">
        <v>3208</v>
      </c>
      <c r="B2206" s="2">
        <v>2010</v>
      </c>
      <c r="C2206" s="2" t="s">
        <v>377</v>
      </c>
      <c r="D2206" s="2" t="s">
        <v>73</v>
      </c>
      <c r="E2206" s="2"/>
      <c r="F2206" s="2">
        <v>426</v>
      </c>
      <c r="G2206" s="2" t="s">
        <v>378</v>
      </c>
      <c r="H2206" s="2">
        <v>22</v>
      </c>
      <c r="I2206" s="2" t="s">
        <v>75</v>
      </c>
      <c r="J2206" s="2">
        <v>311</v>
      </c>
      <c r="K2206" s="2" t="s">
        <v>379</v>
      </c>
      <c r="L2206" s="2" t="s">
        <v>380</v>
      </c>
      <c r="M2206" s="3">
        <v>40326</v>
      </c>
      <c r="N2206" s="2" t="s">
        <v>4427</v>
      </c>
      <c r="O2206" s="2"/>
      <c r="P2206" s="2"/>
      <c r="Q2206" s="2" t="str">
        <f>"097-C/10"</f>
        <v>097-C/10</v>
      </c>
      <c r="R2206" s="2" t="s">
        <v>4428</v>
      </c>
      <c r="S2206" s="2"/>
      <c r="T2206" s="2">
        <v>1</v>
      </c>
      <c r="U2206" s="2" t="s">
        <v>79</v>
      </c>
      <c r="V2206" s="2">
        <v>1</v>
      </c>
      <c r="W2206" s="2" t="s">
        <v>80</v>
      </c>
      <c r="X2206" s="2">
        <v>1</v>
      </c>
      <c r="Y2206" s="2" t="s">
        <v>81</v>
      </c>
      <c r="Z2206" s="2">
        <v>1</v>
      </c>
      <c r="AA2206" s="2" t="s">
        <v>82</v>
      </c>
      <c r="AB2206" s="2">
        <v>9</v>
      </c>
      <c r="AC2206" s="2" t="s">
        <v>124</v>
      </c>
      <c r="AD2206" s="3">
        <v>40326</v>
      </c>
      <c r="AE2206" s="4">
        <v>0.38541666666666669</v>
      </c>
      <c r="AF2206" s="2"/>
      <c r="AG2206" s="2"/>
      <c r="AH2206" s="2">
        <v>2</v>
      </c>
      <c r="AI2206" s="2" t="s">
        <v>84</v>
      </c>
      <c r="AJ2206" s="2">
        <v>9</v>
      </c>
      <c r="AK2206" s="2" t="s">
        <v>103</v>
      </c>
      <c r="AL2206" s="2">
        <v>29</v>
      </c>
      <c r="AM2206" s="2" t="s">
        <v>5416</v>
      </c>
      <c r="AN2206" s="2" t="s">
        <v>7549</v>
      </c>
      <c r="AO2206" s="2" t="s">
        <v>987</v>
      </c>
      <c r="AP2206" s="2">
        <v>11</v>
      </c>
      <c r="AQ2206" s="2" t="s">
        <v>82</v>
      </c>
      <c r="AR2206" s="2"/>
      <c r="AS2206" s="2"/>
      <c r="AT2206" s="2" t="s">
        <v>7550</v>
      </c>
      <c r="AU2206" s="2"/>
      <c r="AV2206" s="2"/>
      <c r="AW2206" s="2"/>
      <c r="AX2206" s="2"/>
      <c r="AY2206" s="2">
        <v>41</v>
      </c>
      <c r="AZ2206" s="2" t="s">
        <v>82</v>
      </c>
      <c r="BA2206" s="2">
        <v>41</v>
      </c>
      <c r="BB2206" s="2" t="s">
        <v>82</v>
      </c>
      <c r="BC2206" s="2">
        <v>41</v>
      </c>
      <c r="BD2206" s="2" t="s">
        <v>82</v>
      </c>
      <c r="BE2206" s="2">
        <v>41</v>
      </c>
      <c r="BF2206" s="2" t="s">
        <v>82</v>
      </c>
      <c r="BG2206" s="2"/>
      <c r="BH2206" s="2"/>
      <c r="BI2206" s="2"/>
      <c r="BJ2206" s="2">
        <v>241</v>
      </c>
      <c r="BK2206" s="2" t="s">
        <v>82</v>
      </c>
      <c r="BL2206" s="2"/>
      <c r="BM2206" s="2">
        <v>241</v>
      </c>
      <c r="BN2206" s="2" t="s">
        <v>82</v>
      </c>
      <c r="BO2206" s="2"/>
      <c r="BP2206" s="2">
        <v>241</v>
      </c>
      <c r="BQ2206" s="2" t="s">
        <v>82</v>
      </c>
      <c r="BR2206" s="2"/>
      <c r="BS2206" s="3">
        <v>40326</v>
      </c>
      <c r="BT2206" s="4">
        <v>0.51596064814814813</v>
      </c>
    </row>
    <row r="2207" spans="1:72" x14ac:dyDescent="0.25">
      <c r="A2207" s="2">
        <v>3212</v>
      </c>
      <c r="B2207" s="2">
        <v>2010</v>
      </c>
      <c r="C2207" s="2" t="s">
        <v>171</v>
      </c>
      <c r="D2207" s="2" t="s">
        <v>122</v>
      </c>
      <c r="E2207" s="2"/>
      <c r="F2207" s="2">
        <v>393</v>
      </c>
      <c r="G2207" s="2" t="s">
        <v>3660</v>
      </c>
      <c r="H2207" s="2">
        <v>2</v>
      </c>
      <c r="I2207" s="2" t="s">
        <v>267</v>
      </c>
      <c r="J2207" s="2">
        <v>2</v>
      </c>
      <c r="K2207" s="2" t="s">
        <v>3661</v>
      </c>
      <c r="L2207" s="2" t="s">
        <v>3662</v>
      </c>
      <c r="M2207" s="3">
        <v>40326</v>
      </c>
      <c r="N2207" s="2" t="s">
        <v>7494</v>
      </c>
      <c r="O2207" s="2" t="s">
        <v>6306</v>
      </c>
      <c r="P2207" s="2">
        <v>5799</v>
      </c>
      <c r="Q2207" s="2" t="str">
        <f>"12/10"</f>
        <v>12/10</v>
      </c>
      <c r="R2207" s="2" t="s">
        <v>82</v>
      </c>
      <c r="S2207" s="2" t="s">
        <v>7495</v>
      </c>
      <c r="T2207" s="2">
        <v>1</v>
      </c>
      <c r="U2207" s="2" t="s">
        <v>79</v>
      </c>
      <c r="V2207" s="2">
        <v>3</v>
      </c>
      <c r="W2207" s="2" t="s">
        <v>225</v>
      </c>
      <c r="X2207" s="2">
        <v>6</v>
      </c>
      <c r="Y2207" s="2" t="s">
        <v>249</v>
      </c>
      <c r="Z2207" s="2">
        <v>1</v>
      </c>
      <c r="AA2207" s="2" t="s">
        <v>82</v>
      </c>
      <c r="AB2207" s="2">
        <v>9</v>
      </c>
      <c r="AC2207" s="2" t="s">
        <v>124</v>
      </c>
      <c r="AD2207" s="3">
        <v>40326</v>
      </c>
      <c r="AE2207" s="4">
        <v>0.5</v>
      </c>
      <c r="AF2207" s="2"/>
      <c r="AG2207" s="2"/>
      <c r="AH2207" s="2">
        <v>3</v>
      </c>
      <c r="AI2207" s="2" t="s">
        <v>214</v>
      </c>
      <c r="AJ2207" s="2">
        <v>14</v>
      </c>
      <c r="AK2207" s="2" t="s">
        <v>342</v>
      </c>
      <c r="AL2207" s="2">
        <v>19</v>
      </c>
      <c r="AM2207" s="2" t="s">
        <v>107</v>
      </c>
      <c r="AN2207" s="2" t="s">
        <v>7551</v>
      </c>
      <c r="AO2207" s="2" t="s">
        <v>82</v>
      </c>
      <c r="AP2207" s="2">
        <v>11</v>
      </c>
      <c r="AQ2207" s="2" t="s">
        <v>82</v>
      </c>
      <c r="AR2207" s="2"/>
      <c r="AS2207" s="2"/>
      <c r="AT2207" s="2" t="s">
        <v>7552</v>
      </c>
      <c r="AU2207" s="2"/>
      <c r="AV2207" s="2"/>
      <c r="AW2207" s="2"/>
      <c r="AX2207" s="2"/>
      <c r="AY2207" s="2">
        <v>41</v>
      </c>
      <c r="AZ2207" s="2" t="s">
        <v>82</v>
      </c>
      <c r="BA2207" s="2">
        <v>41</v>
      </c>
      <c r="BB2207" s="2" t="s">
        <v>82</v>
      </c>
      <c r="BC2207" s="2">
        <v>41</v>
      </c>
      <c r="BD2207" s="2" t="s">
        <v>82</v>
      </c>
      <c r="BE2207" s="2">
        <v>41</v>
      </c>
      <c r="BF2207" s="2" t="s">
        <v>82</v>
      </c>
      <c r="BG2207" s="2"/>
      <c r="BH2207" s="2"/>
      <c r="BI2207" s="2"/>
      <c r="BJ2207" s="2">
        <v>241</v>
      </c>
      <c r="BK2207" s="2" t="s">
        <v>82</v>
      </c>
      <c r="BL2207" s="2"/>
      <c r="BM2207" s="2">
        <v>241</v>
      </c>
      <c r="BN2207" s="2" t="s">
        <v>82</v>
      </c>
      <c r="BO2207" s="2"/>
      <c r="BP2207" s="2">
        <v>241</v>
      </c>
      <c r="BQ2207" s="2" t="s">
        <v>82</v>
      </c>
      <c r="BR2207" s="2"/>
      <c r="BS2207" s="3">
        <v>40326</v>
      </c>
      <c r="BT2207" s="4">
        <v>0.57542824074074073</v>
      </c>
    </row>
    <row r="2208" spans="1:72" x14ac:dyDescent="0.25">
      <c r="A2208" s="2">
        <v>3214</v>
      </c>
      <c r="B2208" s="2">
        <v>2010</v>
      </c>
      <c r="C2208" s="2" t="s">
        <v>171</v>
      </c>
      <c r="D2208" s="2" t="s">
        <v>73</v>
      </c>
      <c r="E2208" s="2" t="s">
        <v>7553</v>
      </c>
      <c r="F2208" s="2">
        <v>470</v>
      </c>
      <c r="G2208" s="2" t="s">
        <v>2979</v>
      </c>
      <c r="H2208" s="2">
        <v>1</v>
      </c>
      <c r="I2208" s="2" t="s">
        <v>82</v>
      </c>
      <c r="J2208" s="2">
        <v>371</v>
      </c>
      <c r="K2208" s="2" t="s">
        <v>1138</v>
      </c>
      <c r="L2208" s="2" t="s">
        <v>1139</v>
      </c>
      <c r="M2208" s="3">
        <v>40326</v>
      </c>
      <c r="N2208" s="2" t="s">
        <v>3280</v>
      </c>
      <c r="O2208" s="2" t="s">
        <v>3281</v>
      </c>
      <c r="P2208" s="2" t="s">
        <v>7554</v>
      </c>
      <c r="Q2208" s="2" t="str">
        <f>"0002/10BIS"</f>
        <v>0002/10BIS</v>
      </c>
      <c r="R2208" s="2"/>
      <c r="S2208" s="2"/>
      <c r="T2208" s="2">
        <v>1</v>
      </c>
      <c r="U2208" s="2" t="s">
        <v>79</v>
      </c>
      <c r="V2208" s="2">
        <v>3</v>
      </c>
      <c r="W2208" s="2" t="s">
        <v>225</v>
      </c>
      <c r="X2208" s="2">
        <v>6</v>
      </c>
      <c r="Y2208" s="2" t="s">
        <v>249</v>
      </c>
      <c r="Z2208" s="2">
        <v>1</v>
      </c>
      <c r="AA2208" s="2" t="s">
        <v>82</v>
      </c>
      <c r="AB2208" s="2">
        <v>9</v>
      </c>
      <c r="AC2208" s="2" t="s">
        <v>124</v>
      </c>
      <c r="AD2208" s="3">
        <v>40326</v>
      </c>
      <c r="AE2208" s="4">
        <v>0.375</v>
      </c>
      <c r="AF2208" s="2"/>
      <c r="AG2208" s="2"/>
      <c r="AH2208" s="2">
        <v>5</v>
      </c>
      <c r="AI2208" s="2" t="s">
        <v>274</v>
      </c>
      <c r="AJ2208" s="2">
        <v>35</v>
      </c>
      <c r="AK2208" s="2" t="s">
        <v>275</v>
      </c>
      <c r="AL2208" s="2">
        <v>23</v>
      </c>
      <c r="AM2208" s="2" t="s">
        <v>251</v>
      </c>
      <c r="AN2208" s="2"/>
      <c r="AO2208" s="2"/>
      <c r="AP2208" s="2">
        <v>11</v>
      </c>
      <c r="AQ2208" s="2" t="s">
        <v>82</v>
      </c>
      <c r="AR2208" s="2"/>
      <c r="AS2208" s="2"/>
      <c r="AT2208" s="2" t="s">
        <v>7555</v>
      </c>
      <c r="AU2208" s="2"/>
      <c r="AV2208" s="2"/>
      <c r="AW2208" s="2"/>
      <c r="AX2208" s="2"/>
      <c r="AY2208" s="2">
        <v>1</v>
      </c>
      <c r="AZ2208" s="2" t="s">
        <v>107</v>
      </c>
      <c r="BA2208" s="2">
        <v>1</v>
      </c>
      <c r="BB2208" s="2" t="s">
        <v>107</v>
      </c>
      <c r="BC2208" s="2">
        <v>1</v>
      </c>
      <c r="BD2208" s="2" t="s">
        <v>107</v>
      </c>
      <c r="BE2208" s="2">
        <v>1</v>
      </c>
      <c r="BF2208" s="2" t="s">
        <v>107</v>
      </c>
      <c r="BG2208" s="2"/>
      <c r="BH2208" s="2"/>
      <c r="BI2208" s="2"/>
      <c r="BJ2208" s="2">
        <v>242</v>
      </c>
      <c r="BK2208" s="2" t="s">
        <v>107</v>
      </c>
      <c r="BL2208" s="2"/>
      <c r="BM2208" s="2">
        <v>242</v>
      </c>
      <c r="BN2208" s="2" t="s">
        <v>107</v>
      </c>
      <c r="BO2208" s="2"/>
      <c r="BP2208" s="2">
        <v>242</v>
      </c>
      <c r="BQ2208" s="2" t="s">
        <v>107</v>
      </c>
      <c r="BR2208" s="2"/>
      <c r="BS2208" s="3">
        <v>40326</v>
      </c>
      <c r="BT2208" s="4">
        <v>0.63659722222222215</v>
      </c>
    </row>
    <row r="2209" spans="1:72" x14ac:dyDescent="0.25">
      <c r="A2209" s="2">
        <v>3216</v>
      </c>
      <c r="B2209" s="2">
        <v>2010</v>
      </c>
      <c r="C2209" s="2" t="s">
        <v>72</v>
      </c>
      <c r="D2209" s="2" t="s">
        <v>73</v>
      </c>
      <c r="E2209" s="2"/>
      <c r="F2209" s="2">
        <v>626</v>
      </c>
      <c r="G2209" s="2" t="s">
        <v>7371</v>
      </c>
      <c r="H2209" s="2">
        <v>22</v>
      </c>
      <c r="I2209" s="2" t="s">
        <v>75</v>
      </c>
      <c r="J2209" s="2">
        <v>562</v>
      </c>
      <c r="K2209" s="2" t="s">
        <v>7372</v>
      </c>
      <c r="L2209" s="2" t="s">
        <v>7373</v>
      </c>
      <c r="M2209" s="3">
        <v>40326</v>
      </c>
      <c r="N2209" s="2" t="s">
        <v>7556</v>
      </c>
      <c r="O2209" s="2"/>
      <c r="P2209" s="2" t="s">
        <v>107</v>
      </c>
      <c r="Q2209" s="2" t="str">
        <f>"194-A/10"</f>
        <v>194-A/10</v>
      </c>
      <c r="R2209" s="2"/>
      <c r="S2209" s="2" t="s">
        <v>1547</v>
      </c>
      <c r="T2209" s="2">
        <v>1</v>
      </c>
      <c r="U2209" s="2" t="s">
        <v>79</v>
      </c>
      <c r="V2209" s="2">
        <v>1</v>
      </c>
      <c r="W2209" s="2" t="s">
        <v>80</v>
      </c>
      <c r="X2209" s="2">
        <v>12</v>
      </c>
      <c r="Y2209" s="2" t="s">
        <v>148</v>
      </c>
      <c r="Z2209" s="2">
        <v>1</v>
      </c>
      <c r="AA2209" s="2" t="s">
        <v>82</v>
      </c>
      <c r="AB2209" s="2">
        <v>6</v>
      </c>
      <c r="AC2209" s="2" t="s">
        <v>83</v>
      </c>
      <c r="AD2209" s="3">
        <v>40254</v>
      </c>
      <c r="AE2209" s="2"/>
      <c r="AF2209" s="3">
        <v>40326</v>
      </c>
      <c r="AG2209" s="4">
        <v>0.5625</v>
      </c>
      <c r="AH2209" s="2">
        <v>2</v>
      </c>
      <c r="AI2209" s="2" t="s">
        <v>84</v>
      </c>
      <c r="AJ2209" s="2">
        <v>12</v>
      </c>
      <c r="AK2209" s="2" t="s">
        <v>85</v>
      </c>
      <c r="AL2209" s="2">
        <v>22</v>
      </c>
      <c r="AM2209" s="2" t="s">
        <v>1853</v>
      </c>
      <c r="AN2209" s="2"/>
      <c r="AO2209" s="2" t="s">
        <v>7557</v>
      </c>
      <c r="AP2209" s="2">
        <v>11</v>
      </c>
      <c r="AQ2209" s="2" t="s">
        <v>82</v>
      </c>
      <c r="AR2209" s="2"/>
      <c r="AS2209" s="2"/>
      <c r="AT2209" s="2" t="s">
        <v>7558</v>
      </c>
      <c r="AU2209" s="2"/>
      <c r="AV2209" s="2"/>
      <c r="AW2209" s="2"/>
      <c r="AX2209" s="2"/>
      <c r="AY2209" s="2">
        <v>41</v>
      </c>
      <c r="AZ2209" s="2" t="s">
        <v>82</v>
      </c>
      <c r="BA2209" s="2">
        <v>41</v>
      </c>
      <c r="BB2209" s="2" t="s">
        <v>82</v>
      </c>
      <c r="BC2209" s="2">
        <v>41</v>
      </c>
      <c r="BD2209" s="2" t="s">
        <v>82</v>
      </c>
      <c r="BE2209" s="2">
        <v>13</v>
      </c>
      <c r="BF2209" s="2" t="s">
        <v>108</v>
      </c>
      <c r="BG2209" s="2" t="s">
        <v>7559</v>
      </c>
      <c r="BH2209" s="4">
        <v>0.14583333333333334</v>
      </c>
      <c r="BI2209" s="4">
        <v>0.10416666666666667</v>
      </c>
      <c r="BJ2209" s="2">
        <v>13</v>
      </c>
      <c r="BK2209" s="2" t="s">
        <v>91</v>
      </c>
      <c r="BL2209" s="2" t="s">
        <v>185</v>
      </c>
      <c r="BM2209" s="2">
        <v>241</v>
      </c>
      <c r="BN2209" s="2" t="s">
        <v>82</v>
      </c>
      <c r="BO2209" s="2"/>
      <c r="BP2209" s="2">
        <v>13</v>
      </c>
      <c r="BQ2209" s="2" t="s">
        <v>91</v>
      </c>
      <c r="BR2209" s="2" t="s">
        <v>169</v>
      </c>
      <c r="BS2209" s="3">
        <v>40326</v>
      </c>
      <c r="BT2209" s="4">
        <v>0.64392361111111118</v>
      </c>
    </row>
    <row r="2210" spans="1:72" x14ac:dyDescent="0.25">
      <c r="A2210" s="2">
        <v>3217</v>
      </c>
      <c r="B2210" s="2">
        <v>2010</v>
      </c>
      <c r="C2210" s="2" t="s">
        <v>457</v>
      </c>
      <c r="D2210" s="2" t="s">
        <v>73</v>
      </c>
      <c r="E2210" s="2"/>
      <c r="F2210" s="2">
        <v>629</v>
      </c>
      <c r="G2210" s="2" t="s">
        <v>7560</v>
      </c>
      <c r="H2210" s="2">
        <v>108</v>
      </c>
      <c r="I2210" s="2" t="s">
        <v>1096</v>
      </c>
      <c r="J2210" s="2">
        <v>369</v>
      </c>
      <c r="K2210" s="2" t="s">
        <v>1054</v>
      </c>
      <c r="L2210" s="2" t="s">
        <v>1055</v>
      </c>
      <c r="M2210" s="3">
        <v>40326</v>
      </c>
      <c r="N2210" s="2" t="s">
        <v>7561</v>
      </c>
      <c r="O2210" s="2" t="s">
        <v>7562</v>
      </c>
      <c r="P2210" s="2" t="s">
        <v>7563</v>
      </c>
      <c r="Q2210" s="2" t="str">
        <f>""</f>
        <v/>
      </c>
      <c r="R2210" s="2"/>
      <c r="S2210" s="2"/>
      <c r="T2210" s="2">
        <v>1</v>
      </c>
      <c r="U2210" s="2" t="s">
        <v>79</v>
      </c>
      <c r="V2210" s="2">
        <v>1</v>
      </c>
      <c r="W2210" s="2" t="s">
        <v>80</v>
      </c>
      <c r="X2210" s="2">
        <v>10</v>
      </c>
      <c r="Y2210" s="2" t="s">
        <v>226</v>
      </c>
      <c r="Z2210" s="2">
        <v>6</v>
      </c>
      <c r="AA2210" s="2" t="s">
        <v>101</v>
      </c>
      <c r="AB2210" s="2">
        <v>9</v>
      </c>
      <c r="AC2210" s="2" t="s">
        <v>124</v>
      </c>
      <c r="AD2210" s="3">
        <v>40326</v>
      </c>
      <c r="AE2210" s="4">
        <v>0.52083333333333337</v>
      </c>
      <c r="AF2210" s="2"/>
      <c r="AG2210" s="2"/>
      <c r="AH2210" s="2">
        <v>4</v>
      </c>
      <c r="AI2210" s="2" t="s">
        <v>125</v>
      </c>
      <c r="AJ2210" s="2">
        <v>29</v>
      </c>
      <c r="AK2210" s="2" t="s">
        <v>227</v>
      </c>
      <c r="AL2210" s="2">
        <v>11</v>
      </c>
      <c r="AM2210" s="2" t="s">
        <v>137</v>
      </c>
      <c r="AN2210" s="2" t="s">
        <v>2701</v>
      </c>
      <c r="AO2210" s="2"/>
      <c r="AP2210" s="2">
        <v>11</v>
      </c>
      <c r="AQ2210" s="2" t="s">
        <v>82</v>
      </c>
      <c r="AR2210" s="2" t="s">
        <v>82</v>
      </c>
      <c r="AS2210" s="2" t="s">
        <v>82</v>
      </c>
      <c r="AT2210" s="2" t="s">
        <v>7564</v>
      </c>
      <c r="AU2210" s="2"/>
      <c r="AV2210" s="2"/>
      <c r="AW2210" s="2"/>
      <c r="AX2210" s="2"/>
      <c r="AY2210" s="2">
        <v>41</v>
      </c>
      <c r="AZ2210" s="2" t="s">
        <v>82</v>
      </c>
      <c r="BA2210" s="2">
        <v>41</v>
      </c>
      <c r="BB2210" s="2" t="s">
        <v>82</v>
      </c>
      <c r="BC2210" s="2">
        <v>41</v>
      </c>
      <c r="BD2210" s="2" t="s">
        <v>82</v>
      </c>
      <c r="BE2210" s="2">
        <v>19</v>
      </c>
      <c r="BF2210" s="2" t="s">
        <v>1061</v>
      </c>
      <c r="BG2210" s="2">
        <v>250</v>
      </c>
      <c r="BH2210" s="4">
        <v>0.52777777777777779</v>
      </c>
      <c r="BI2210" s="4">
        <v>0.57638888888888895</v>
      </c>
      <c r="BJ2210" s="2">
        <v>13</v>
      </c>
      <c r="BK2210" s="2" t="s">
        <v>91</v>
      </c>
      <c r="BL2210" s="2" t="s">
        <v>828</v>
      </c>
      <c r="BM2210" s="2">
        <v>241</v>
      </c>
      <c r="BN2210" s="2" t="s">
        <v>82</v>
      </c>
      <c r="BO2210" s="2"/>
      <c r="BP2210" s="2">
        <v>29</v>
      </c>
      <c r="BQ2210" s="2" t="s">
        <v>962</v>
      </c>
      <c r="BR2210" s="2" t="s">
        <v>963</v>
      </c>
      <c r="BS2210" s="3">
        <v>40326</v>
      </c>
      <c r="BT2210" s="4">
        <v>0.65325231481481483</v>
      </c>
    </row>
    <row r="2211" spans="1:72" x14ac:dyDescent="0.25">
      <c r="A2211" s="2">
        <v>3218</v>
      </c>
      <c r="B2211" s="2">
        <v>2010</v>
      </c>
      <c r="C2211" s="2" t="s">
        <v>72</v>
      </c>
      <c r="D2211" s="2" t="s">
        <v>73</v>
      </c>
      <c r="E2211" s="2"/>
      <c r="F2211" s="2">
        <v>390</v>
      </c>
      <c r="G2211" s="2" t="s">
        <v>475</v>
      </c>
      <c r="H2211" s="2">
        <v>6</v>
      </c>
      <c r="I2211" s="2" t="s">
        <v>1088</v>
      </c>
      <c r="J2211" s="2">
        <v>314</v>
      </c>
      <c r="K2211" s="2" t="s">
        <v>477</v>
      </c>
      <c r="L2211" s="2" t="s">
        <v>478</v>
      </c>
      <c r="M2211" s="3">
        <v>40326</v>
      </c>
      <c r="N2211" s="2" t="s">
        <v>6470</v>
      </c>
      <c r="O2211" s="2"/>
      <c r="P2211" s="2"/>
      <c r="Q2211" s="2" t="str">
        <f>"283-E/10"</f>
        <v>283-E/10</v>
      </c>
      <c r="R2211" s="2"/>
      <c r="S2211" s="2" t="s">
        <v>116</v>
      </c>
      <c r="T2211" s="2">
        <v>1</v>
      </c>
      <c r="U2211" s="2" t="s">
        <v>79</v>
      </c>
      <c r="V2211" s="2">
        <v>1</v>
      </c>
      <c r="W2211" s="2" t="s">
        <v>80</v>
      </c>
      <c r="X2211" s="2">
        <v>12</v>
      </c>
      <c r="Y2211" s="2" t="s">
        <v>148</v>
      </c>
      <c r="Z2211" s="2">
        <v>1</v>
      </c>
      <c r="AA2211" s="2" t="s">
        <v>82</v>
      </c>
      <c r="AB2211" s="2">
        <v>6</v>
      </c>
      <c r="AC2211" s="2" t="s">
        <v>83</v>
      </c>
      <c r="AD2211" s="3">
        <v>40326</v>
      </c>
      <c r="AE2211" s="2"/>
      <c r="AF2211" s="3">
        <v>40326</v>
      </c>
      <c r="AG2211" s="4">
        <v>0.53472222222222221</v>
      </c>
      <c r="AH2211" s="2">
        <v>2</v>
      </c>
      <c r="AI2211" s="2" t="s">
        <v>84</v>
      </c>
      <c r="AJ2211" s="2">
        <v>9</v>
      </c>
      <c r="AK2211" s="2" t="s">
        <v>103</v>
      </c>
      <c r="AL2211" s="2">
        <v>22</v>
      </c>
      <c r="AM2211" s="2" t="s">
        <v>1853</v>
      </c>
      <c r="AN2211" s="2"/>
      <c r="AO2211" s="2" t="s">
        <v>7069</v>
      </c>
      <c r="AP2211" s="2">
        <v>11</v>
      </c>
      <c r="AQ2211" s="2" t="s">
        <v>82</v>
      </c>
      <c r="AR2211" s="2"/>
      <c r="AS2211" s="2"/>
      <c r="AT2211" s="2" t="s">
        <v>7565</v>
      </c>
      <c r="AU2211" s="2"/>
      <c r="AV2211" s="2"/>
      <c r="AW2211" s="2"/>
      <c r="AX2211" s="2"/>
      <c r="AY2211" s="2">
        <v>41</v>
      </c>
      <c r="AZ2211" s="2" t="s">
        <v>82</v>
      </c>
      <c r="BA2211" s="2">
        <v>41</v>
      </c>
      <c r="BB2211" s="2" t="s">
        <v>82</v>
      </c>
      <c r="BC2211" s="2">
        <v>41</v>
      </c>
      <c r="BD2211" s="2" t="s">
        <v>82</v>
      </c>
      <c r="BE2211" s="2">
        <v>35</v>
      </c>
      <c r="BF2211" s="2" t="s">
        <v>5816</v>
      </c>
      <c r="BG2211" s="2" t="s">
        <v>5817</v>
      </c>
      <c r="BH2211" s="4">
        <v>0.42708333333333331</v>
      </c>
      <c r="BI2211" s="2"/>
      <c r="BJ2211" s="2">
        <v>75</v>
      </c>
      <c r="BK2211" s="2" t="s">
        <v>1264</v>
      </c>
      <c r="BL2211" s="2" t="s">
        <v>1361</v>
      </c>
      <c r="BM2211" s="2">
        <v>33</v>
      </c>
      <c r="BN2211" s="2" t="s">
        <v>361</v>
      </c>
      <c r="BO2211" s="2" t="s">
        <v>1739</v>
      </c>
      <c r="BP2211" s="2">
        <v>13</v>
      </c>
      <c r="BQ2211" s="2" t="s">
        <v>91</v>
      </c>
      <c r="BR2211" s="2" t="s">
        <v>360</v>
      </c>
      <c r="BS2211" s="3">
        <v>40326</v>
      </c>
      <c r="BT2211" s="4">
        <v>0.65809027777777784</v>
      </c>
    </row>
    <row r="2212" spans="1:72" x14ac:dyDescent="0.25">
      <c r="A2212" s="2">
        <v>3219</v>
      </c>
      <c r="B2212" s="2">
        <v>2010</v>
      </c>
      <c r="C2212" s="2" t="s">
        <v>72</v>
      </c>
      <c r="D2212" s="2" t="s">
        <v>73</v>
      </c>
      <c r="E2212" s="2"/>
      <c r="F2212" s="2">
        <v>3</v>
      </c>
      <c r="G2212" s="2" t="s">
        <v>1041</v>
      </c>
      <c r="H2212" s="2">
        <v>1</v>
      </c>
      <c r="I2212" s="2" t="s">
        <v>82</v>
      </c>
      <c r="J2212" s="2">
        <v>368</v>
      </c>
      <c r="K2212" s="2" t="s">
        <v>1042</v>
      </c>
      <c r="L2212" s="2" t="s">
        <v>1043</v>
      </c>
      <c r="M2212" s="3">
        <v>40326</v>
      </c>
      <c r="N2212" s="2" t="s">
        <v>82</v>
      </c>
      <c r="O2212" s="2" t="s">
        <v>107</v>
      </c>
      <c r="P2212" s="2" t="s">
        <v>107</v>
      </c>
      <c r="Q2212" s="2" t="str">
        <f>"284-E/10"</f>
        <v>284-E/10</v>
      </c>
      <c r="R2212" s="2" t="s">
        <v>107</v>
      </c>
      <c r="S2212" s="2" t="s">
        <v>116</v>
      </c>
      <c r="T2212" s="2">
        <v>1</v>
      </c>
      <c r="U2212" s="2" t="s">
        <v>79</v>
      </c>
      <c r="V2212" s="2">
        <v>1</v>
      </c>
      <c r="W2212" s="2" t="s">
        <v>80</v>
      </c>
      <c r="X2212" s="2">
        <v>12</v>
      </c>
      <c r="Y2212" s="2" t="s">
        <v>148</v>
      </c>
      <c r="Z2212" s="2">
        <v>1</v>
      </c>
      <c r="AA2212" s="2" t="s">
        <v>82</v>
      </c>
      <c r="AB2212" s="2">
        <v>6</v>
      </c>
      <c r="AC2212" s="2" t="s">
        <v>83</v>
      </c>
      <c r="AD2212" s="3">
        <v>40325</v>
      </c>
      <c r="AE2212" s="4">
        <v>0.9375</v>
      </c>
      <c r="AF2212" s="3">
        <v>40326</v>
      </c>
      <c r="AG2212" s="4">
        <v>0.55208333333333337</v>
      </c>
      <c r="AH2212" s="2">
        <v>2</v>
      </c>
      <c r="AI2212" s="2" t="s">
        <v>84</v>
      </c>
      <c r="AJ2212" s="2">
        <v>9</v>
      </c>
      <c r="AK2212" s="2" t="s">
        <v>103</v>
      </c>
      <c r="AL2212" s="2">
        <v>2</v>
      </c>
      <c r="AM2212" s="2" t="s">
        <v>163</v>
      </c>
      <c r="AN2212" s="2"/>
      <c r="AO2212" s="2" t="s">
        <v>7566</v>
      </c>
      <c r="AP2212" s="2">
        <v>11</v>
      </c>
      <c r="AQ2212" s="2" t="s">
        <v>82</v>
      </c>
      <c r="AR2212" s="2" t="s">
        <v>82</v>
      </c>
      <c r="AS2212" s="2" t="s">
        <v>82</v>
      </c>
      <c r="AT2212" s="2" t="s">
        <v>7567</v>
      </c>
      <c r="AU2212" s="2"/>
      <c r="AV2212" s="2"/>
      <c r="AW2212" s="2"/>
      <c r="AX2212" s="2"/>
      <c r="AY2212" s="2">
        <v>41</v>
      </c>
      <c r="AZ2212" s="2" t="s">
        <v>82</v>
      </c>
      <c r="BA2212" s="2">
        <v>41</v>
      </c>
      <c r="BB2212" s="2" t="s">
        <v>82</v>
      </c>
      <c r="BC2212" s="2">
        <v>41</v>
      </c>
      <c r="BD2212" s="2" t="s">
        <v>82</v>
      </c>
      <c r="BE2212" s="2">
        <v>31</v>
      </c>
      <c r="BF2212" s="2" t="s">
        <v>398</v>
      </c>
      <c r="BG2212" s="2" t="s">
        <v>7568</v>
      </c>
      <c r="BH2212" s="4">
        <v>0.9375</v>
      </c>
      <c r="BI2212" s="4">
        <v>0.48958333333333331</v>
      </c>
      <c r="BJ2212" s="2">
        <v>73</v>
      </c>
      <c r="BK2212" s="2" t="s">
        <v>186</v>
      </c>
      <c r="BL2212" s="2" t="s">
        <v>187</v>
      </c>
      <c r="BM2212" s="2">
        <v>241</v>
      </c>
      <c r="BN2212" s="2" t="s">
        <v>82</v>
      </c>
      <c r="BO2212" s="2" t="s">
        <v>82</v>
      </c>
      <c r="BP2212" s="2">
        <v>13</v>
      </c>
      <c r="BQ2212" s="2" t="s">
        <v>91</v>
      </c>
      <c r="BR2212" s="2" t="s">
        <v>7569</v>
      </c>
      <c r="BS2212" s="3">
        <v>40326</v>
      </c>
      <c r="BT2212" s="4">
        <v>0.68789351851851854</v>
      </c>
    </row>
    <row r="2213" spans="1:72" x14ac:dyDescent="0.25">
      <c r="A2213" s="2">
        <v>3220</v>
      </c>
      <c r="B2213" s="2">
        <v>2010</v>
      </c>
      <c r="C2213" s="2" t="s">
        <v>72</v>
      </c>
      <c r="D2213" s="2" t="s">
        <v>73</v>
      </c>
      <c r="E2213" s="2"/>
      <c r="F2213" s="2">
        <v>612</v>
      </c>
      <c r="G2213" s="2" t="s">
        <v>6664</v>
      </c>
      <c r="H2213" s="2">
        <v>108</v>
      </c>
      <c r="I2213" s="2" t="s">
        <v>1096</v>
      </c>
      <c r="J2213" s="2">
        <v>550</v>
      </c>
      <c r="K2213" s="2" t="s">
        <v>6744</v>
      </c>
      <c r="L2213" s="2" t="s">
        <v>6745</v>
      </c>
      <c r="M2213" s="3">
        <v>40326</v>
      </c>
      <c r="N2213" s="2" t="s">
        <v>7544</v>
      </c>
      <c r="O2213" s="2"/>
      <c r="P2213" s="2"/>
      <c r="Q2213" s="2" t="str">
        <f>"195-A/10"</f>
        <v>195-A/10</v>
      </c>
      <c r="R2213" s="2"/>
      <c r="S2213" s="2" t="s">
        <v>78</v>
      </c>
      <c r="T2213" s="2">
        <v>1</v>
      </c>
      <c r="U2213" s="2" t="s">
        <v>79</v>
      </c>
      <c r="V2213" s="2">
        <v>1</v>
      </c>
      <c r="W2213" s="2" t="s">
        <v>80</v>
      </c>
      <c r="X2213" s="2">
        <v>12</v>
      </c>
      <c r="Y2213" s="2" t="s">
        <v>148</v>
      </c>
      <c r="Z2213" s="2">
        <v>1</v>
      </c>
      <c r="AA2213" s="2" t="s">
        <v>82</v>
      </c>
      <c r="AB2213" s="2">
        <v>6</v>
      </c>
      <c r="AC2213" s="2" t="s">
        <v>83</v>
      </c>
      <c r="AD2213" s="3">
        <v>40326</v>
      </c>
      <c r="AE2213" s="2"/>
      <c r="AF2213" s="3">
        <v>40326</v>
      </c>
      <c r="AG2213" s="4">
        <v>0.66666666666666663</v>
      </c>
      <c r="AH2213" s="2">
        <v>2</v>
      </c>
      <c r="AI2213" s="2" t="s">
        <v>84</v>
      </c>
      <c r="AJ2213" s="2">
        <v>12</v>
      </c>
      <c r="AK2213" s="2" t="s">
        <v>85</v>
      </c>
      <c r="AL2213" s="2">
        <v>21</v>
      </c>
      <c r="AM2213" s="2" t="s">
        <v>1311</v>
      </c>
      <c r="AN2213" s="2" t="s">
        <v>7570</v>
      </c>
      <c r="AO2213" s="2"/>
      <c r="AP2213" s="2">
        <v>11</v>
      </c>
      <c r="AQ2213" s="2" t="s">
        <v>82</v>
      </c>
      <c r="AR2213" s="2"/>
      <c r="AS2213" s="2"/>
      <c r="AT2213" s="2" t="s">
        <v>7571</v>
      </c>
      <c r="AU2213" s="2"/>
      <c r="AV2213" s="2"/>
      <c r="AW2213" s="2"/>
      <c r="AX2213" s="2"/>
      <c r="AY2213" s="2">
        <v>41</v>
      </c>
      <c r="AZ2213" s="2" t="s">
        <v>82</v>
      </c>
      <c r="BA2213" s="2">
        <v>41</v>
      </c>
      <c r="BB2213" s="2" t="s">
        <v>82</v>
      </c>
      <c r="BC2213" s="2">
        <v>41</v>
      </c>
      <c r="BD2213" s="2" t="s">
        <v>82</v>
      </c>
      <c r="BE2213" s="2">
        <v>13</v>
      </c>
      <c r="BF2213" s="2" t="s">
        <v>108</v>
      </c>
      <c r="BG2213" s="2" t="s">
        <v>3766</v>
      </c>
      <c r="BH2213" s="4">
        <v>0.60555555555555551</v>
      </c>
      <c r="BI2213" s="4">
        <v>0.44791666666666669</v>
      </c>
      <c r="BJ2213" s="2">
        <v>33</v>
      </c>
      <c r="BK2213" s="2" t="s">
        <v>361</v>
      </c>
      <c r="BL2213" s="2" t="s">
        <v>7572</v>
      </c>
      <c r="BM2213" s="2">
        <v>241</v>
      </c>
      <c r="BN2213" s="2" t="s">
        <v>82</v>
      </c>
      <c r="BO2213" s="2"/>
      <c r="BP2213" s="2">
        <v>13</v>
      </c>
      <c r="BQ2213" s="2" t="s">
        <v>91</v>
      </c>
      <c r="BR2213" s="2" t="s">
        <v>185</v>
      </c>
      <c r="BS2213" s="3">
        <v>40326</v>
      </c>
      <c r="BT2213" s="4">
        <v>0.72054398148148147</v>
      </c>
    </row>
    <row r="2214" spans="1:72" x14ac:dyDescent="0.25">
      <c r="A2214" s="2">
        <v>3221</v>
      </c>
      <c r="B2214" s="2">
        <v>2010</v>
      </c>
      <c r="C2214" s="2" t="s">
        <v>4543</v>
      </c>
      <c r="D2214" s="2" t="s">
        <v>122</v>
      </c>
      <c r="E2214" s="2" t="s">
        <v>7573</v>
      </c>
      <c r="F2214" s="2">
        <v>475</v>
      </c>
      <c r="G2214" s="2" t="s">
        <v>1271</v>
      </c>
      <c r="H2214" s="2">
        <v>44</v>
      </c>
      <c r="I2214" s="2" t="s">
        <v>1272</v>
      </c>
      <c r="J2214" s="2">
        <v>385</v>
      </c>
      <c r="K2214" s="2" t="s">
        <v>1314</v>
      </c>
      <c r="L2214" s="2" t="s">
        <v>1315</v>
      </c>
      <c r="M2214" s="3">
        <v>40326</v>
      </c>
      <c r="N2214" s="2" t="s">
        <v>1275</v>
      </c>
      <c r="O2214" s="2" t="s">
        <v>7574</v>
      </c>
      <c r="P2214" s="6">
        <v>44860</v>
      </c>
      <c r="Q2214" s="2" t="str">
        <f>"21/2010"</f>
        <v>21/2010</v>
      </c>
      <c r="R2214" s="2" t="s">
        <v>7575</v>
      </c>
      <c r="S2214" s="2" t="s">
        <v>7575</v>
      </c>
      <c r="T2214" s="2">
        <v>2</v>
      </c>
      <c r="U2214" s="2" t="s">
        <v>123</v>
      </c>
      <c r="V2214" s="2">
        <v>1</v>
      </c>
      <c r="W2214" s="2" t="s">
        <v>80</v>
      </c>
      <c r="X2214" s="2">
        <v>1</v>
      </c>
      <c r="Y2214" s="2" t="s">
        <v>81</v>
      </c>
      <c r="Z2214" s="2">
        <v>10</v>
      </c>
      <c r="AA2214" s="2" t="s">
        <v>236</v>
      </c>
      <c r="AB2214" s="2">
        <v>9</v>
      </c>
      <c r="AC2214" s="2" t="s">
        <v>124</v>
      </c>
      <c r="AD2214" s="3">
        <v>40326</v>
      </c>
      <c r="AE2214" s="4">
        <v>0.66666666666666663</v>
      </c>
      <c r="AF2214" s="2"/>
      <c r="AG2214" s="2"/>
      <c r="AH2214" s="2">
        <v>5</v>
      </c>
      <c r="AI2214" s="2" t="s">
        <v>274</v>
      </c>
      <c r="AJ2214" s="2">
        <v>42</v>
      </c>
      <c r="AK2214" s="2" t="s">
        <v>660</v>
      </c>
      <c r="AL2214" s="2">
        <v>19</v>
      </c>
      <c r="AM2214" s="2" t="s">
        <v>107</v>
      </c>
      <c r="AN2214" s="2" t="s">
        <v>82</v>
      </c>
      <c r="AO2214" s="2" t="s">
        <v>7576</v>
      </c>
      <c r="AP2214" s="2">
        <v>5</v>
      </c>
      <c r="AQ2214" s="2" t="s">
        <v>827</v>
      </c>
      <c r="AR2214" s="2" t="s">
        <v>82</v>
      </c>
      <c r="AS2214" s="2" t="s">
        <v>82</v>
      </c>
      <c r="AT2214" s="2" t="s">
        <v>7577</v>
      </c>
      <c r="AU2214" s="2"/>
      <c r="AV2214" s="2"/>
      <c r="AW2214" s="2"/>
      <c r="AX2214" s="2"/>
      <c r="AY2214" s="2">
        <v>41</v>
      </c>
      <c r="AZ2214" s="2" t="s">
        <v>82</v>
      </c>
      <c r="BA2214" s="2">
        <v>41</v>
      </c>
      <c r="BB2214" s="2" t="s">
        <v>82</v>
      </c>
      <c r="BC2214" s="2">
        <v>41</v>
      </c>
      <c r="BD2214" s="2" t="s">
        <v>82</v>
      </c>
      <c r="BE2214" s="2">
        <v>41</v>
      </c>
      <c r="BF2214" s="2" t="s">
        <v>82</v>
      </c>
      <c r="BG2214" s="2"/>
      <c r="BH2214" s="2"/>
      <c r="BI2214" s="2"/>
      <c r="BJ2214" s="2">
        <v>241</v>
      </c>
      <c r="BK2214" s="2" t="s">
        <v>82</v>
      </c>
      <c r="BL2214" s="2"/>
      <c r="BM2214" s="2">
        <v>241</v>
      </c>
      <c r="BN2214" s="2" t="s">
        <v>82</v>
      </c>
      <c r="BO2214" s="2" t="s">
        <v>82</v>
      </c>
      <c r="BP2214" s="2">
        <v>241</v>
      </c>
      <c r="BQ2214" s="2" t="s">
        <v>82</v>
      </c>
      <c r="BR2214" s="2"/>
      <c r="BS2214" s="3">
        <v>40326</v>
      </c>
      <c r="BT2214" s="4">
        <v>0.76717592592592598</v>
      </c>
    </row>
    <row r="2215" spans="1:72" x14ac:dyDescent="0.25">
      <c r="A2215" s="2">
        <v>3222</v>
      </c>
      <c r="B2215" s="2">
        <v>2010</v>
      </c>
      <c r="C2215" s="2" t="s">
        <v>764</v>
      </c>
      <c r="D2215" s="2" t="s">
        <v>73</v>
      </c>
      <c r="E2215" s="2" t="s">
        <v>6957</v>
      </c>
      <c r="F2215" s="2">
        <v>425</v>
      </c>
      <c r="G2215" s="2" t="s">
        <v>286</v>
      </c>
      <c r="H2215" s="2">
        <v>39</v>
      </c>
      <c r="I2215" s="2" t="s">
        <v>1117</v>
      </c>
      <c r="J2215" s="2">
        <v>310</v>
      </c>
      <c r="K2215" s="2" t="s">
        <v>288</v>
      </c>
      <c r="L2215" s="2" t="s">
        <v>289</v>
      </c>
      <c r="M2215" s="3">
        <v>40326</v>
      </c>
      <c r="N2215" s="2" t="s">
        <v>2049</v>
      </c>
      <c r="O2215" s="2" t="s">
        <v>1918</v>
      </c>
      <c r="P2215" s="2" t="s">
        <v>1919</v>
      </c>
      <c r="Q2215" s="2" t="str">
        <f>"04/09"</f>
        <v>04/09</v>
      </c>
      <c r="R2215" s="2" t="s">
        <v>480</v>
      </c>
      <c r="S2215" s="2" t="s">
        <v>480</v>
      </c>
      <c r="T2215" s="2">
        <v>1</v>
      </c>
      <c r="U2215" s="2" t="s">
        <v>79</v>
      </c>
      <c r="V2215" s="2">
        <v>3</v>
      </c>
      <c r="W2215" s="2" t="s">
        <v>225</v>
      </c>
      <c r="X2215" s="2">
        <v>6</v>
      </c>
      <c r="Y2215" s="2" t="s">
        <v>249</v>
      </c>
      <c r="Z2215" s="2">
        <v>1</v>
      </c>
      <c r="AA2215" s="2" t="s">
        <v>82</v>
      </c>
      <c r="AB2215" s="2">
        <v>9</v>
      </c>
      <c r="AC2215" s="2" t="s">
        <v>124</v>
      </c>
      <c r="AD2215" s="2"/>
      <c r="AE2215" s="2"/>
      <c r="AF2215" s="2"/>
      <c r="AG2215" s="2"/>
      <c r="AH2215" s="2">
        <v>4</v>
      </c>
      <c r="AI2215" s="2" t="s">
        <v>125</v>
      </c>
      <c r="AJ2215" s="2">
        <v>26</v>
      </c>
      <c r="AK2215" s="2" t="s">
        <v>293</v>
      </c>
      <c r="AL2215" s="2">
        <v>23</v>
      </c>
      <c r="AM2215" s="2" t="s">
        <v>251</v>
      </c>
      <c r="AN2215" s="2"/>
      <c r="AO2215" s="2" t="s">
        <v>7578</v>
      </c>
      <c r="AP2215" s="2">
        <v>11</v>
      </c>
      <c r="AQ2215" s="2" t="s">
        <v>82</v>
      </c>
      <c r="AR2215" s="2"/>
      <c r="AS2215" s="2"/>
      <c r="AT2215" s="2" t="s">
        <v>7579</v>
      </c>
      <c r="AU2215" s="2"/>
      <c r="AV2215" s="2"/>
      <c r="AW2215" s="2"/>
      <c r="AX2215" s="2"/>
      <c r="AY2215" s="2">
        <v>1</v>
      </c>
      <c r="AZ2215" s="2" t="s">
        <v>107</v>
      </c>
      <c r="BA2215" s="2">
        <v>1</v>
      </c>
      <c r="BB2215" s="2" t="s">
        <v>107</v>
      </c>
      <c r="BC2215" s="2">
        <v>1</v>
      </c>
      <c r="BD2215" s="2" t="s">
        <v>107</v>
      </c>
      <c r="BE2215" s="2">
        <v>1</v>
      </c>
      <c r="BF2215" s="2" t="s">
        <v>107</v>
      </c>
      <c r="BG2215" s="2"/>
      <c r="BH2215" s="2"/>
      <c r="BI2215" s="2"/>
      <c r="BJ2215" s="2">
        <v>242</v>
      </c>
      <c r="BK2215" s="2" t="s">
        <v>107</v>
      </c>
      <c r="BL2215" s="2"/>
      <c r="BM2215" s="2">
        <v>242</v>
      </c>
      <c r="BN2215" s="2" t="s">
        <v>107</v>
      </c>
      <c r="BO2215" s="2"/>
      <c r="BP2215" s="2">
        <v>242</v>
      </c>
      <c r="BQ2215" s="2" t="s">
        <v>107</v>
      </c>
      <c r="BR2215" s="2"/>
      <c r="BS2215" s="3">
        <v>40326</v>
      </c>
      <c r="BT2215" s="4">
        <v>0.79108796296296291</v>
      </c>
    </row>
    <row r="2216" spans="1:72" x14ac:dyDescent="0.25">
      <c r="A2216" s="2">
        <v>3223</v>
      </c>
      <c r="B2216" s="2">
        <v>2010</v>
      </c>
      <c r="C2216" s="2" t="s">
        <v>72</v>
      </c>
      <c r="D2216" s="2" t="s">
        <v>73</v>
      </c>
      <c r="E2216" s="2"/>
      <c r="F2216" s="2">
        <v>612</v>
      </c>
      <c r="G2216" s="2" t="s">
        <v>6664</v>
      </c>
      <c r="H2216" s="2">
        <v>42</v>
      </c>
      <c r="I2216" s="2" t="s">
        <v>1096</v>
      </c>
      <c r="J2216" s="2">
        <v>550</v>
      </c>
      <c r="K2216" s="2" t="s">
        <v>6744</v>
      </c>
      <c r="L2216" s="2" t="s">
        <v>6745</v>
      </c>
      <c r="M2216" s="3">
        <v>40326</v>
      </c>
      <c r="N2216" s="2" t="s">
        <v>7544</v>
      </c>
      <c r="O2216" s="2"/>
      <c r="P2216" s="2"/>
      <c r="Q2216" s="2" t="str">
        <f>"196-A/10"</f>
        <v>196-A/10</v>
      </c>
      <c r="R2216" s="2"/>
      <c r="S2216" s="2" t="s">
        <v>78</v>
      </c>
      <c r="T2216" s="2">
        <v>1</v>
      </c>
      <c r="U2216" s="2" t="s">
        <v>79</v>
      </c>
      <c r="V2216" s="2">
        <v>1</v>
      </c>
      <c r="W2216" s="2" t="s">
        <v>80</v>
      </c>
      <c r="X2216" s="2">
        <v>12</v>
      </c>
      <c r="Y2216" s="2" t="s">
        <v>148</v>
      </c>
      <c r="Z2216" s="2">
        <v>1</v>
      </c>
      <c r="AA2216" s="2" t="s">
        <v>82</v>
      </c>
      <c r="AB2216" s="2">
        <v>6</v>
      </c>
      <c r="AC2216" s="2" t="s">
        <v>83</v>
      </c>
      <c r="AD2216" s="3">
        <v>40326</v>
      </c>
      <c r="AE2216" s="4">
        <v>0.69097222222222221</v>
      </c>
      <c r="AF2216" s="3">
        <v>40326</v>
      </c>
      <c r="AG2216" s="4">
        <v>0.74652777777777779</v>
      </c>
      <c r="AH2216" s="2">
        <v>2</v>
      </c>
      <c r="AI2216" s="2" t="s">
        <v>84</v>
      </c>
      <c r="AJ2216" s="2">
        <v>12</v>
      </c>
      <c r="AK2216" s="2" t="s">
        <v>85</v>
      </c>
      <c r="AL2216" s="2">
        <v>14</v>
      </c>
      <c r="AM2216" s="2" t="s">
        <v>216</v>
      </c>
      <c r="AN2216" s="2" t="s">
        <v>7580</v>
      </c>
      <c r="AO2216" s="2"/>
      <c r="AP2216" s="2">
        <v>11</v>
      </c>
      <c r="AQ2216" s="2" t="s">
        <v>82</v>
      </c>
      <c r="AR2216" s="2"/>
      <c r="AS2216" s="2"/>
      <c r="AT2216" s="2" t="s">
        <v>7581</v>
      </c>
      <c r="AU2216" s="2"/>
      <c r="AV2216" s="2"/>
      <c r="AW2216" s="2"/>
      <c r="AX2216" s="2"/>
      <c r="AY2216" s="2">
        <v>41</v>
      </c>
      <c r="AZ2216" s="2" t="s">
        <v>82</v>
      </c>
      <c r="BA2216" s="2">
        <v>41</v>
      </c>
      <c r="BB2216" s="2" t="s">
        <v>82</v>
      </c>
      <c r="BC2216" s="2">
        <v>41</v>
      </c>
      <c r="BD2216" s="2" t="s">
        <v>82</v>
      </c>
      <c r="BE2216" s="2">
        <v>4</v>
      </c>
      <c r="BF2216" s="2" t="s">
        <v>90</v>
      </c>
      <c r="BG2216" s="2" t="s">
        <v>7582</v>
      </c>
      <c r="BH2216" s="4">
        <v>0.88541666666666663</v>
      </c>
      <c r="BI2216" s="4">
        <v>0.8125</v>
      </c>
      <c r="BJ2216" s="2">
        <v>13</v>
      </c>
      <c r="BK2216" s="2" t="s">
        <v>91</v>
      </c>
      <c r="BL2216" s="2" t="s">
        <v>185</v>
      </c>
      <c r="BM2216" s="2">
        <v>241</v>
      </c>
      <c r="BN2216" s="2" t="s">
        <v>82</v>
      </c>
      <c r="BO2216" s="2" t="s">
        <v>82</v>
      </c>
      <c r="BP2216" s="2">
        <v>46</v>
      </c>
      <c r="BQ2216" s="2" t="s">
        <v>307</v>
      </c>
      <c r="BR2216" s="2" t="s">
        <v>308</v>
      </c>
      <c r="BS2216" s="3">
        <v>40326</v>
      </c>
      <c r="BT2216" s="4">
        <v>0.80273148148148143</v>
      </c>
    </row>
    <row r="2217" spans="1:72" x14ac:dyDescent="0.25">
      <c r="A2217" s="2">
        <v>3224</v>
      </c>
      <c r="B2217" s="2">
        <v>2010</v>
      </c>
      <c r="C2217" s="2" t="s">
        <v>1094</v>
      </c>
      <c r="D2217" s="2" t="s">
        <v>73</v>
      </c>
      <c r="E2217" s="2"/>
      <c r="F2217" s="2">
        <v>3</v>
      </c>
      <c r="G2217" s="2" t="s">
        <v>1041</v>
      </c>
      <c r="H2217" s="2">
        <v>1</v>
      </c>
      <c r="I2217" s="2" t="s">
        <v>82</v>
      </c>
      <c r="J2217" s="2">
        <v>368</v>
      </c>
      <c r="K2217" s="2" t="s">
        <v>1042</v>
      </c>
      <c r="L2217" s="2" t="s">
        <v>1043</v>
      </c>
      <c r="M2217" s="3">
        <v>40326</v>
      </c>
      <c r="N2217" s="2"/>
      <c r="O2217" s="2"/>
      <c r="P2217" s="2"/>
      <c r="Q2217" s="2" t="str">
        <f>"285-E/10"</f>
        <v>285-E/10</v>
      </c>
      <c r="R2217" s="2" t="s">
        <v>1100</v>
      </c>
      <c r="S2217" s="2"/>
      <c r="T2217" s="2">
        <v>1</v>
      </c>
      <c r="U2217" s="2" t="s">
        <v>79</v>
      </c>
      <c r="V2217" s="2">
        <v>1</v>
      </c>
      <c r="W2217" s="2" t="s">
        <v>80</v>
      </c>
      <c r="X2217" s="2">
        <v>12</v>
      </c>
      <c r="Y2217" s="2" t="s">
        <v>148</v>
      </c>
      <c r="Z2217" s="2">
        <v>1</v>
      </c>
      <c r="AA2217" s="2" t="s">
        <v>82</v>
      </c>
      <c r="AB2217" s="2">
        <v>9</v>
      </c>
      <c r="AC2217" s="2" t="s">
        <v>124</v>
      </c>
      <c r="AD2217" s="3">
        <v>40326</v>
      </c>
      <c r="AE2217" s="4">
        <v>0.60416666666666663</v>
      </c>
      <c r="AF2217" s="3">
        <v>40326</v>
      </c>
      <c r="AG2217" s="4">
        <v>0.72222222222222221</v>
      </c>
      <c r="AH2217" s="2">
        <v>2</v>
      </c>
      <c r="AI2217" s="2" t="s">
        <v>84</v>
      </c>
      <c r="AJ2217" s="2">
        <v>9</v>
      </c>
      <c r="AK2217" s="2" t="s">
        <v>103</v>
      </c>
      <c r="AL2217" s="2">
        <v>21</v>
      </c>
      <c r="AM2217" s="2" t="s">
        <v>1311</v>
      </c>
      <c r="AN2217" s="2" t="s">
        <v>7583</v>
      </c>
      <c r="AO2217" s="2" t="s">
        <v>7584</v>
      </c>
      <c r="AP2217" s="2">
        <v>11</v>
      </c>
      <c r="AQ2217" s="2" t="s">
        <v>82</v>
      </c>
      <c r="AR2217" s="2"/>
      <c r="AS2217" s="2"/>
      <c r="AT2217" s="2" t="s">
        <v>7585</v>
      </c>
      <c r="AU2217" s="2"/>
      <c r="AV2217" s="2"/>
      <c r="AW2217" s="2"/>
      <c r="AX2217" s="2"/>
      <c r="AY2217" s="2">
        <v>41</v>
      </c>
      <c r="AZ2217" s="2" t="s">
        <v>82</v>
      </c>
      <c r="BA2217" s="2">
        <v>41</v>
      </c>
      <c r="BB2217" s="2" t="s">
        <v>82</v>
      </c>
      <c r="BC2217" s="2">
        <v>41</v>
      </c>
      <c r="BD2217" s="2" t="s">
        <v>82</v>
      </c>
      <c r="BE2217" s="2">
        <v>41</v>
      </c>
      <c r="BF2217" s="2" t="s">
        <v>82</v>
      </c>
      <c r="BG2217" s="2"/>
      <c r="BH2217" s="2"/>
      <c r="BI2217" s="2"/>
      <c r="BJ2217" s="2">
        <v>241</v>
      </c>
      <c r="BK2217" s="2" t="s">
        <v>82</v>
      </c>
      <c r="BL2217" s="2"/>
      <c r="BM2217" s="2">
        <v>241</v>
      </c>
      <c r="BN2217" s="2" t="s">
        <v>82</v>
      </c>
      <c r="BO2217" s="2"/>
      <c r="BP2217" s="2">
        <v>241</v>
      </c>
      <c r="BQ2217" s="2" t="s">
        <v>82</v>
      </c>
      <c r="BR2217" s="2"/>
      <c r="BS2217" s="3">
        <v>40326</v>
      </c>
      <c r="BT2217" s="4">
        <v>0.81313657407407414</v>
      </c>
    </row>
    <row r="2218" spans="1:72" x14ac:dyDescent="0.25">
      <c r="A2218" s="2">
        <v>3226</v>
      </c>
      <c r="B2218" s="2">
        <v>2010</v>
      </c>
      <c r="C2218" s="2" t="s">
        <v>196</v>
      </c>
      <c r="D2218" s="2" t="s">
        <v>122</v>
      </c>
      <c r="E2218" s="2"/>
      <c r="F2218" s="2">
        <v>1</v>
      </c>
      <c r="G2218" s="2" t="s">
        <v>82</v>
      </c>
      <c r="H2218" s="2">
        <v>1</v>
      </c>
      <c r="I2218" s="2" t="s">
        <v>82</v>
      </c>
      <c r="J2218" s="2">
        <v>1</v>
      </c>
      <c r="K2218" s="2" t="s">
        <v>107</v>
      </c>
      <c r="L2218" s="2" t="s">
        <v>107</v>
      </c>
      <c r="M2218" s="3">
        <v>40326</v>
      </c>
      <c r="N2218" s="2" t="s">
        <v>82</v>
      </c>
      <c r="O2218" s="2" t="s">
        <v>82</v>
      </c>
      <c r="P2218" s="2" t="s">
        <v>82</v>
      </c>
      <c r="Q2218" s="2" t="str">
        <f>"N/C"</f>
        <v>N/C</v>
      </c>
      <c r="R2218" s="2" t="s">
        <v>82</v>
      </c>
      <c r="S2218" s="2" t="s">
        <v>82</v>
      </c>
      <c r="T2218" s="2">
        <v>2</v>
      </c>
      <c r="U2218" s="2" t="s">
        <v>123</v>
      </c>
      <c r="V2218" s="2">
        <v>1</v>
      </c>
      <c r="W2218" s="2" t="s">
        <v>80</v>
      </c>
      <c r="X2218" s="2">
        <v>11</v>
      </c>
      <c r="Y2218" s="2" t="s">
        <v>1920</v>
      </c>
      <c r="Z2218" s="2">
        <v>1</v>
      </c>
      <c r="AA2218" s="2" t="s">
        <v>82</v>
      </c>
      <c r="AB2218" s="2">
        <v>9</v>
      </c>
      <c r="AC2218" s="2" t="s">
        <v>124</v>
      </c>
      <c r="AD2218" s="3">
        <v>40326</v>
      </c>
      <c r="AE2218" s="4">
        <v>0.875</v>
      </c>
      <c r="AF2218" s="2"/>
      <c r="AG2218" s="2"/>
      <c r="AH2218" s="2">
        <v>2</v>
      </c>
      <c r="AI2218" s="2" t="s">
        <v>84</v>
      </c>
      <c r="AJ2218" s="2">
        <v>12</v>
      </c>
      <c r="AK2218" s="2" t="s">
        <v>85</v>
      </c>
      <c r="AL2218" s="2">
        <v>20</v>
      </c>
      <c r="AM2218" s="2" t="s">
        <v>992</v>
      </c>
      <c r="AN2218" s="2" t="s">
        <v>82</v>
      </c>
      <c r="AO2218" s="2" t="s">
        <v>993</v>
      </c>
      <c r="AP2218" s="2">
        <v>11</v>
      </c>
      <c r="AQ2218" s="2" t="s">
        <v>82</v>
      </c>
      <c r="AR2218" s="2" t="s">
        <v>82</v>
      </c>
      <c r="AS2218" s="2" t="s">
        <v>82</v>
      </c>
      <c r="AT2218" s="2" t="s">
        <v>7586</v>
      </c>
      <c r="AU2218" s="2"/>
      <c r="AV2218" s="2"/>
      <c r="AW2218" s="2"/>
      <c r="AX2218" s="2"/>
      <c r="AY2218" s="2">
        <v>41</v>
      </c>
      <c r="AZ2218" s="2" t="s">
        <v>82</v>
      </c>
      <c r="BA2218" s="2">
        <v>41</v>
      </c>
      <c r="BB2218" s="2" t="s">
        <v>82</v>
      </c>
      <c r="BC2218" s="2">
        <v>41</v>
      </c>
      <c r="BD2218" s="2" t="s">
        <v>82</v>
      </c>
      <c r="BE2218" s="2">
        <v>41</v>
      </c>
      <c r="BF2218" s="2" t="s">
        <v>82</v>
      </c>
      <c r="BG2218" s="2" t="s">
        <v>82</v>
      </c>
      <c r="BH2218" s="4">
        <v>0.93402777777777779</v>
      </c>
      <c r="BI2218" s="4">
        <v>0.93888888888888899</v>
      </c>
      <c r="BJ2218" s="2">
        <v>33</v>
      </c>
      <c r="BK2218" s="2" t="s">
        <v>361</v>
      </c>
      <c r="BL2218" s="2" t="s">
        <v>2723</v>
      </c>
      <c r="BM2218" s="2">
        <v>241</v>
      </c>
      <c r="BN2218" s="2" t="s">
        <v>82</v>
      </c>
      <c r="BO2218" s="2" t="s">
        <v>82</v>
      </c>
      <c r="BP2218" s="2">
        <v>13</v>
      </c>
      <c r="BQ2218" s="2" t="s">
        <v>91</v>
      </c>
      <c r="BR2218" s="2" t="s">
        <v>185</v>
      </c>
      <c r="BS2218" s="3">
        <v>40326</v>
      </c>
      <c r="BT2218" s="4">
        <v>0.98346064814814815</v>
      </c>
    </row>
    <row r="2219" spans="1:72" x14ac:dyDescent="0.25">
      <c r="A2219" s="2">
        <v>3227</v>
      </c>
      <c r="B2219" s="2">
        <v>2010</v>
      </c>
      <c r="C2219" s="2" t="s">
        <v>171</v>
      </c>
      <c r="D2219" s="2" t="s">
        <v>73</v>
      </c>
      <c r="E2219" s="2"/>
      <c r="F2219" s="2">
        <v>390</v>
      </c>
      <c r="G2219" s="2" t="s">
        <v>475</v>
      </c>
      <c r="H2219" s="2">
        <v>6</v>
      </c>
      <c r="I2219" s="2" t="s">
        <v>1088</v>
      </c>
      <c r="J2219" s="2">
        <v>314</v>
      </c>
      <c r="K2219" s="2" t="s">
        <v>477</v>
      </c>
      <c r="L2219" s="2" t="s">
        <v>478</v>
      </c>
      <c r="M2219" s="3">
        <v>40327</v>
      </c>
      <c r="N2219" s="2" t="s">
        <v>6512</v>
      </c>
      <c r="O2219" s="2" t="s">
        <v>107</v>
      </c>
      <c r="P2219" s="2" t="s">
        <v>107</v>
      </c>
      <c r="Q2219" s="2" t="str">
        <f>"286-E/10"</f>
        <v>286-E/10</v>
      </c>
      <c r="R2219" s="2" t="s">
        <v>107</v>
      </c>
      <c r="S2219" s="2" t="s">
        <v>7587</v>
      </c>
      <c r="T2219" s="2">
        <v>1</v>
      </c>
      <c r="U2219" s="2" t="s">
        <v>79</v>
      </c>
      <c r="V2219" s="2">
        <v>1</v>
      </c>
      <c r="W2219" s="2" t="s">
        <v>80</v>
      </c>
      <c r="X2219" s="2">
        <v>1</v>
      </c>
      <c r="Y2219" s="2" t="s">
        <v>81</v>
      </c>
      <c r="Z2219" s="2">
        <v>1</v>
      </c>
      <c r="AA2219" s="2" t="s">
        <v>82</v>
      </c>
      <c r="AB2219" s="2">
        <v>1</v>
      </c>
      <c r="AC2219" s="2" t="s">
        <v>178</v>
      </c>
      <c r="AD2219" s="3">
        <v>40326</v>
      </c>
      <c r="AE2219" s="4">
        <v>0.84375</v>
      </c>
      <c r="AF2219" s="2"/>
      <c r="AG2219" s="2"/>
      <c r="AH2219" s="2">
        <v>2</v>
      </c>
      <c r="AI2219" s="2" t="s">
        <v>84</v>
      </c>
      <c r="AJ2219" s="2">
        <v>9</v>
      </c>
      <c r="AK2219" s="2" t="s">
        <v>103</v>
      </c>
      <c r="AL2219" s="2">
        <v>25</v>
      </c>
      <c r="AM2219" s="2" t="s">
        <v>3073</v>
      </c>
      <c r="AN2219" s="2" t="s">
        <v>179</v>
      </c>
      <c r="AO2219" s="2" t="s">
        <v>590</v>
      </c>
      <c r="AP2219" s="2">
        <v>11</v>
      </c>
      <c r="AQ2219" s="2" t="s">
        <v>82</v>
      </c>
      <c r="AR2219" s="2"/>
      <c r="AS2219" s="2"/>
      <c r="AT2219" s="2" t="s">
        <v>7588</v>
      </c>
      <c r="AU2219" s="2"/>
      <c r="AV2219" s="2">
        <v>1</v>
      </c>
      <c r="AW2219" s="2"/>
      <c r="AX2219" s="2"/>
      <c r="AY2219" s="2">
        <v>41</v>
      </c>
      <c r="AZ2219" s="2" t="s">
        <v>82</v>
      </c>
      <c r="BA2219" s="2">
        <v>41</v>
      </c>
      <c r="BB2219" s="2" t="s">
        <v>82</v>
      </c>
      <c r="BC2219" s="2">
        <v>41</v>
      </c>
      <c r="BD2219" s="2" t="s">
        <v>82</v>
      </c>
      <c r="BE2219" s="2">
        <v>13</v>
      </c>
      <c r="BF2219" s="2" t="s">
        <v>108</v>
      </c>
      <c r="BG2219" s="2" t="s">
        <v>842</v>
      </c>
      <c r="BH2219" s="2"/>
      <c r="BI2219" s="4">
        <v>0.90972222222222221</v>
      </c>
      <c r="BJ2219" s="2">
        <v>29</v>
      </c>
      <c r="BK2219" s="2" t="s">
        <v>962</v>
      </c>
      <c r="BL2219" s="2" t="s">
        <v>7589</v>
      </c>
      <c r="BM2219" s="2">
        <v>13</v>
      </c>
      <c r="BN2219" s="2" t="s">
        <v>91</v>
      </c>
      <c r="BO2219" s="2" t="s">
        <v>7590</v>
      </c>
      <c r="BP2219" s="2">
        <v>73</v>
      </c>
      <c r="BQ2219" s="2" t="s">
        <v>186</v>
      </c>
      <c r="BR2219" s="2" t="s">
        <v>187</v>
      </c>
      <c r="BS2219" s="3">
        <v>40327</v>
      </c>
      <c r="BT2219" s="4">
        <v>0.23537037037037037</v>
      </c>
    </row>
    <row r="2220" spans="1:72" x14ac:dyDescent="0.25">
      <c r="A2220" s="2">
        <v>3228</v>
      </c>
      <c r="B2220" s="2">
        <v>2010</v>
      </c>
      <c r="C2220" s="2" t="s">
        <v>171</v>
      </c>
      <c r="D2220" s="2" t="s">
        <v>73</v>
      </c>
      <c r="E2220" s="2"/>
      <c r="F2220" s="2">
        <v>390</v>
      </c>
      <c r="G2220" s="2" t="s">
        <v>475</v>
      </c>
      <c r="H2220" s="2">
        <v>6</v>
      </c>
      <c r="I2220" s="2" t="s">
        <v>1088</v>
      </c>
      <c r="J2220" s="2">
        <v>314</v>
      </c>
      <c r="K2220" s="2" t="s">
        <v>477</v>
      </c>
      <c r="L2220" s="2" t="s">
        <v>478</v>
      </c>
      <c r="M2220" s="3">
        <v>40327</v>
      </c>
      <c r="N2220" s="2" t="s">
        <v>6470</v>
      </c>
      <c r="O2220" s="2"/>
      <c r="P2220" s="2"/>
      <c r="Q2220" s="2" t="str">
        <f>"287-E/10"</f>
        <v>287-E/10</v>
      </c>
      <c r="R2220" s="2"/>
      <c r="S2220" s="2" t="s">
        <v>7591</v>
      </c>
      <c r="T2220" s="2">
        <v>1</v>
      </c>
      <c r="U2220" s="2" t="s">
        <v>79</v>
      </c>
      <c r="V2220" s="2">
        <v>1</v>
      </c>
      <c r="W2220" s="2" t="s">
        <v>80</v>
      </c>
      <c r="X2220" s="2">
        <v>1</v>
      </c>
      <c r="Y2220" s="2" t="s">
        <v>81</v>
      </c>
      <c r="Z2220" s="2">
        <v>1</v>
      </c>
      <c r="AA2220" s="2" t="s">
        <v>82</v>
      </c>
      <c r="AB2220" s="2">
        <v>1</v>
      </c>
      <c r="AC2220" s="2" t="s">
        <v>178</v>
      </c>
      <c r="AD2220" s="3">
        <v>40326</v>
      </c>
      <c r="AE2220" s="4">
        <v>0.84375</v>
      </c>
      <c r="AF2220" s="2"/>
      <c r="AG2220" s="2"/>
      <c r="AH2220" s="2">
        <v>2</v>
      </c>
      <c r="AI2220" s="2" t="s">
        <v>84</v>
      </c>
      <c r="AJ2220" s="2">
        <v>9</v>
      </c>
      <c r="AK2220" s="2" t="s">
        <v>103</v>
      </c>
      <c r="AL2220" s="2">
        <v>25</v>
      </c>
      <c r="AM2220" s="2" t="s">
        <v>3073</v>
      </c>
      <c r="AN2220" s="2" t="s">
        <v>179</v>
      </c>
      <c r="AO2220" s="2" t="s">
        <v>590</v>
      </c>
      <c r="AP2220" s="2">
        <v>11</v>
      </c>
      <c r="AQ2220" s="2" t="s">
        <v>82</v>
      </c>
      <c r="AR2220" s="2"/>
      <c r="AS2220" s="2"/>
      <c r="AT2220" s="2" t="s">
        <v>7592</v>
      </c>
      <c r="AU2220" s="2"/>
      <c r="AV2220" s="2">
        <v>1</v>
      </c>
      <c r="AW2220" s="2"/>
      <c r="AX2220" s="2"/>
      <c r="AY2220" s="2">
        <v>42</v>
      </c>
      <c r="AZ2220" s="2" t="s">
        <v>182</v>
      </c>
      <c r="BA2220" s="2">
        <v>41</v>
      </c>
      <c r="BB2220" s="2" t="s">
        <v>82</v>
      </c>
      <c r="BC2220" s="2">
        <v>41</v>
      </c>
      <c r="BD2220" s="2" t="s">
        <v>82</v>
      </c>
      <c r="BE2220" s="2">
        <v>13</v>
      </c>
      <c r="BF2220" s="2" t="s">
        <v>108</v>
      </c>
      <c r="BG2220" s="2" t="s">
        <v>1769</v>
      </c>
      <c r="BH2220" s="2"/>
      <c r="BI2220" s="4">
        <v>0.90972222222222221</v>
      </c>
      <c r="BJ2220" s="2">
        <v>29</v>
      </c>
      <c r="BK2220" s="2" t="s">
        <v>962</v>
      </c>
      <c r="BL2220" s="2" t="s">
        <v>7589</v>
      </c>
      <c r="BM2220" s="2">
        <v>13</v>
      </c>
      <c r="BN2220" s="2" t="s">
        <v>91</v>
      </c>
      <c r="BO2220" s="2" t="s">
        <v>7590</v>
      </c>
      <c r="BP2220" s="2">
        <v>73</v>
      </c>
      <c r="BQ2220" s="2" t="s">
        <v>186</v>
      </c>
      <c r="BR2220" s="2" t="s">
        <v>187</v>
      </c>
      <c r="BS2220" s="3">
        <v>40327</v>
      </c>
      <c r="BT2220" s="4">
        <v>0.2535648148148148</v>
      </c>
    </row>
    <row r="2221" spans="1:72" x14ac:dyDescent="0.25">
      <c r="A2221" s="2">
        <v>3229</v>
      </c>
      <c r="B2221" s="2">
        <v>2010</v>
      </c>
      <c r="C2221" s="2" t="s">
        <v>819</v>
      </c>
      <c r="D2221" s="2" t="s">
        <v>122</v>
      </c>
      <c r="E2221" s="2"/>
      <c r="F2221" s="2">
        <v>451</v>
      </c>
      <c r="G2221" s="2" t="s">
        <v>879</v>
      </c>
      <c r="H2221" s="2">
        <v>31</v>
      </c>
      <c r="I2221" s="2" t="s">
        <v>880</v>
      </c>
      <c r="J2221" s="2">
        <v>326</v>
      </c>
      <c r="K2221" s="2" t="s">
        <v>881</v>
      </c>
      <c r="L2221" s="2" t="s">
        <v>882</v>
      </c>
      <c r="M2221" s="3">
        <v>40327</v>
      </c>
      <c r="N2221" s="2" t="s">
        <v>7593</v>
      </c>
      <c r="O2221" s="2"/>
      <c r="P2221" s="2"/>
      <c r="Q2221" s="2" t="str">
        <f>"062/10"</f>
        <v>062/10</v>
      </c>
      <c r="R2221" s="2"/>
      <c r="S2221" s="2" t="s">
        <v>822</v>
      </c>
      <c r="T2221" s="2">
        <v>1</v>
      </c>
      <c r="U2221" s="2" t="s">
        <v>79</v>
      </c>
      <c r="V2221" s="2">
        <v>1</v>
      </c>
      <c r="W2221" s="2" t="s">
        <v>80</v>
      </c>
      <c r="X2221" s="2">
        <v>1</v>
      </c>
      <c r="Y2221" s="2" t="s">
        <v>81</v>
      </c>
      <c r="Z2221" s="2">
        <v>10</v>
      </c>
      <c r="AA2221" s="2" t="s">
        <v>236</v>
      </c>
      <c r="AB2221" s="2">
        <v>9</v>
      </c>
      <c r="AC2221" s="2" t="s">
        <v>124</v>
      </c>
      <c r="AD2221" s="3">
        <v>40327</v>
      </c>
      <c r="AE2221" s="4">
        <v>0.40972222222222227</v>
      </c>
      <c r="AF2221" s="2"/>
      <c r="AG2221" s="2"/>
      <c r="AH2221" s="2">
        <v>4</v>
      </c>
      <c r="AI2221" s="2" t="s">
        <v>125</v>
      </c>
      <c r="AJ2221" s="2">
        <v>29</v>
      </c>
      <c r="AK2221" s="2" t="s">
        <v>227</v>
      </c>
      <c r="AL2221" s="2">
        <v>16</v>
      </c>
      <c r="AM2221" s="2" t="s">
        <v>392</v>
      </c>
      <c r="AN2221" s="2" t="s">
        <v>1015</v>
      </c>
      <c r="AO2221" s="2"/>
      <c r="AP2221" s="2">
        <v>12</v>
      </c>
      <c r="AQ2221" s="2" t="s">
        <v>322</v>
      </c>
      <c r="AR2221" s="2" t="s">
        <v>824</v>
      </c>
      <c r="AS2221" s="2" t="s">
        <v>825</v>
      </c>
      <c r="AT2221" s="2" t="s">
        <v>7594</v>
      </c>
      <c r="AU2221" s="2"/>
      <c r="AV2221" s="2"/>
      <c r="AW2221" s="2"/>
      <c r="AX2221" s="2"/>
      <c r="AY2221" s="2">
        <v>41</v>
      </c>
      <c r="AZ2221" s="2" t="s">
        <v>82</v>
      </c>
      <c r="BA2221" s="2">
        <v>41</v>
      </c>
      <c r="BB2221" s="2" t="s">
        <v>82</v>
      </c>
      <c r="BC2221" s="2">
        <v>51</v>
      </c>
      <c r="BD2221" s="2" t="s">
        <v>827</v>
      </c>
      <c r="BE2221" s="2">
        <v>47</v>
      </c>
      <c r="BF2221" s="2" t="s">
        <v>167</v>
      </c>
      <c r="BG2221" s="2">
        <v>2451</v>
      </c>
      <c r="BH2221" s="4">
        <v>0.38194444444444442</v>
      </c>
      <c r="BI2221" s="4">
        <v>0.4236111111111111</v>
      </c>
      <c r="BJ2221" s="2">
        <v>13</v>
      </c>
      <c r="BK2221" s="2" t="s">
        <v>91</v>
      </c>
      <c r="BL2221" s="2" t="s">
        <v>828</v>
      </c>
      <c r="BM2221" s="2">
        <v>241</v>
      </c>
      <c r="BN2221" s="2" t="s">
        <v>82</v>
      </c>
      <c r="BO2221" s="2" t="s">
        <v>82</v>
      </c>
      <c r="BP2221" s="2">
        <v>13</v>
      </c>
      <c r="BQ2221" s="2" t="s">
        <v>91</v>
      </c>
      <c r="BR2221" s="2"/>
      <c r="BS2221" s="3">
        <v>40327</v>
      </c>
      <c r="BT2221" s="4">
        <v>0.51228009259259266</v>
      </c>
    </row>
    <row r="2222" spans="1:72" x14ac:dyDescent="0.25">
      <c r="A2222" s="2">
        <v>3230</v>
      </c>
      <c r="B2222" s="2">
        <v>2010</v>
      </c>
      <c r="C2222" s="2" t="s">
        <v>819</v>
      </c>
      <c r="D2222" s="2" t="s">
        <v>122</v>
      </c>
      <c r="E2222" s="2" t="s">
        <v>7595</v>
      </c>
      <c r="F2222" s="2">
        <v>451</v>
      </c>
      <c r="G2222" s="2" t="s">
        <v>879</v>
      </c>
      <c r="H2222" s="2">
        <v>31</v>
      </c>
      <c r="I2222" s="2" t="s">
        <v>880</v>
      </c>
      <c r="J2222" s="2">
        <v>326</v>
      </c>
      <c r="K2222" s="2" t="s">
        <v>881</v>
      </c>
      <c r="L2222" s="2" t="s">
        <v>882</v>
      </c>
      <c r="M2222" s="3">
        <v>40327</v>
      </c>
      <c r="N2222" s="2" t="s">
        <v>7596</v>
      </c>
      <c r="O2222" s="2"/>
      <c r="P2222" s="2"/>
      <c r="Q2222" s="2" t="str">
        <f>"062/10"</f>
        <v>062/10</v>
      </c>
      <c r="R2222" s="2" t="s">
        <v>822</v>
      </c>
      <c r="S2222" s="2"/>
      <c r="T2222" s="2">
        <v>1</v>
      </c>
      <c r="U2222" s="2" t="s">
        <v>79</v>
      </c>
      <c r="V2222" s="2">
        <v>1</v>
      </c>
      <c r="W2222" s="2" t="s">
        <v>80</v>
      </c>
      <c r="X2222" s="2">
        <v>1</v>
      </c>
      <c r="Y2222" s="2" t="s">
        <v>81</v>
      </c>
      <c r="Z2222" s="2">
        <v>10</v>
      </c>
      <c r="AA2222" s="2" t="s">
        <v>236</v>
      </c>
      <c r="AB2222" s="2">
        <v>9</v>
      </c>
      <c r="AC2222" s="2" t="s">
        <v>124</v>
      </c>
      <c r="AD2222" s="3">
        <v>40327</v>
      </c>
      <c r="AE2222" s="4">
        <v>0.45833333333333331</v>
      </c>
      <c r="AF2222" s="2"/>
      <c r="AG2222" s="2"/>
      <c r="AH2222" s="2">
        <v>4</v>
      </c>
      <c r="AI2222" s="2" t="s">
        <v>125</v>
      </c>
      <c r="AJ2222" s="2">
        <v>29</v>
      </c>
      <c r="AK2222" s="2" t="s">
        <v>227</v>
      </c>
      <c r="AL2222" s="2">
        <v>16</v>
      </c>
      <c r="AM2222" s="2" t="s">
        <v>392</v>
      </c>
      <c r="AN2222" s="2" t="s">
        <v>1015</v>
      </c>
      <c r="AO2222" s="2" t="s">
        <v>7441</v>
      </c>
      <c r="AP2222" s="2">
        <v>12</v>
      </c>
      <c r="AQ2222" s="2" t="s">
        <v>322</v>
      </c>
      <c r="AR2222" s="2" t="s">
        <v>824</v>
      </c>
      <c r="AS2222" s="2" t="s">
        <v>825</v>
      </c>
      <c r="AT2222" s="2" t="s">
        <v>7597</v>
      </c>
      <c r="AU2222" s="2"/>
      <c r="AV2222" s="2"/>
      <c r="AW2222" s="2"/>
      <c r="AX2222" s="2"/>
      <c r="AY2222" s="2">
        <v>41</v>
      </c>
      <c r="AZ2222" s="2" t="s">
        <v>82</v>
      </c>
      <c r="BA2222" s="2">
        <v>41</v>
      </c>
      <c r="BB2222" s="2" t="s">
        <v>82</v>
      </c>
      <c r="BC2222" s="2">
        <v>51</v>
      </c>
      <c r="BD2222" s="2" t="s">
        <v>827</v>
      </c>
      <c r="BE2222" s="2">
        <v>47</v>
      </c>
      <c r="BF2222" s="2" t="s">
        <v>167</v>
      </c>
      <c r="BG2222" s="2">
        <v>2451</v>
      </c>
      <c r="BH2222" s="4">
        <v>0.38194444444444442</v>
      </c>
      <c r="BI2222" s="4">
        <v>0.4236111111111111</v>
      </c>
      <c r="BJ2222" s="2">
        <v>13</v>
      </c>
      <c r="BK2222" s="2" t="s">
        <v>91</v>
      </c>
      <c r="BL2222" s="2" t="s">
        <v>828</v>
      </c>
      <c r="BM2222" s="2">
        <v>241</v>
      </c>
      <c r="BN2222" s="2" t="s">
        <v>82</v>
      </c>
      <c r="BO2222" s="2" t="s">
        <v>82</v>
      </c>
      <c r="BP2222" s="2">
        <v>13</v>
      </c>
      <c r="BQ2222" s="2" t="s">
        <v>91</v>
      </c>
      <c r="BR2222" s="2"/>
      <c r="BS2222" s="3">
        <v>40327</v>
      </c>
      <c r="BT2222" s="4">
        <v>0.61402777777777773</v>
      </c>
    </row>
    <row r="2223" spans="1:72" x14ac:dyDescent="0.25">
      <c r="A2223" s="2">
        <v>3231</v>
      </c>
      <c r="B2223" s="2">
        <v>2010</v>
      </c>
      <c r="C2223" s="2" t="s">
        <v>72</v>
      </c>
      <c r="D2223" s="2" t="s">
        <v>73</v>
      </c>
      <c r="E2223" s="2"/>
      <c r="F2223" s="2">
        <v>100</v>
      </c>
      <c r="G2223" s="2" t="s">
        <v>517</v>
      </c>
      <c r="H2223" s="2">
        <v>108</v>
      </c>
      <c r="I2223" s="2" t="s">
        <v>1096</v>
      </c>
      <c r="J2223" s="2">
        <v>119</v>
      </c>
      <c r="K2223" s="2" t="s">
        <v>325</v>
      </c>
      <c r="L2223" s="2" t="s">
        <v>326</v>
      </c>
      <c r="M2223" s="3">
        <v>40327</v>
      </c>
      <c r="N2223" s="2" t="s">
        <v>4106</v>
      </c>
      <c r="O2223" s="2"/>
      <c r="P2223" s="2"/>
      <c r="Q2223" s="2" t="str">
        <f>" 0014/2010"</f>
        <v xml:space="preserve"> 0014/2010</v>
      </c>
      <c r="R2223" s="2" t="s">
        <v>7598</v>
      </c>
      <c r="S2223" s="2"/>
      <c r="T2223" s="2">
        <v>1</v>
      </c>
      <c r="U2223" s="2" t="s">
        <v>79</v>
      </c>
      <c r="V2223" s="2">
        <v>1</v>
      </c>
      <c r="W2223" s="2" t="s">
        <v>80</v>
      </c>
      <c r="X2223" s="2">
        <v>12</v>
      </c>
      <c r="Y2223" s="2" t="s">
        <v>148</v>
      </c>
      <c r="Z2223" s="2">
        <v>1</v>
      </c>
      <c r="AA2223" s="2" t="s">
        <v>82</v>
      </c>
      <c r="AB2223" s="2">
        <v>6</v>
      </c>
      <c r="AC2223" s="2" t="s">
        <v>83</v>
      </c>
      <c r="AD2223" s="3">
        <v>40327</v>
      </c>
      <c r="AE2223" s="4">
        <v>0.53472222222222221</v>
      </c>
      <c r="AF2223" s="3">
        <v>40327</v>
      </c>
      <c r="AG2223" s="4">
        <v>0.5625</v>
      </c>
      <c r="AH2223" s="2">
        <v>6</v>
      </c>
      <c r="AI2223" s="2" t="s">
        <v>197</v>
      </c>
      <c r="AJ2223" s="2">
        <v>50</v>
      </c>
      <c r="AK2223" s="2" t="s">
        <v>330</v>
      </c>
      <c r="AL2223" s="2">
        <v>22</v>
      </c>
      <c r="AM2223" s="2" t="s">
        <v>1853</v>
      </c>
      <c r="AN2223" s="2" t="s">
        <v>7599</v>
      </c>
      <c r="AO2223" s="2" t="s">
        <v>7600</v>
      </c>
      <c r="AP2223" s="2">
        <v>11</v>
      </c>
      <c r="AQ2223" s="2" t="s">
        <v>82</v>
      </c>
      <c r="AR2223" s="2" t="s">
        <v>82</v>
      </c>
      <c r="AS2223" s="2" t="s">
        <v>82</v>
      </c>
      <c r="AT2223" s="2" t="s">
        <v>7601</v>
      </c>
      <c r="AU2223" s="2"/>
      <c r="AV2223" s="2"/>
      <c r="AW2223" s="2"/>
      <c r="AX2223" s="2"/>
      <c r="AY2223" s="2">
        <v>41</v>
      </c>
      <c r="AZ2223" s="2" t="s">
        <v>82</v>
      </c>
      <c r="BA2223" s="2">
        <v>41</v>
      </c>
      <c r="BB2223" s="2" t="s">
        <v>82</v>
      </c>
      <c r="BC2223" s="2">
        <v>41</v>
      </c>
      <c r="BD2223" s="2" t="s">
        <v>82</v>
      </c>
      <c r="BE2223" s="2">
        <v>4</v>
      </c>
      <c r="BF2223" s="2" t="s">
        <v>90</v>
      </c>
      <c r="BG2223" s="2">
        <v>4344</v>
      </c>
      <c r="BH2223" s="4">
        <v>0.52430555555555558</v>
      </c>
      <c r="BI2223" s="2"/>
      <c r="BJ2223" s="2">
        <v>13</v>
      </c>
      <c r="BK2223" s="2" t="s">
        <v>91</v>
      </c>
      <c r="BL2223" s="2" t="s">
        <v>2770</v>
      </c>
      <c r="BM2223" s="2">
        <v>241</v>
      </c>
      <c r="BN2223" s="2" t="s">
        <v>82</v>
      </c>
      <c r="BO2223" s="2"/>
      <c r="BP2223" s="2">
        <v>13</v>
      </c>
      <c r="BQ2223" s="2" t="s">
        <v>91</v>
      </c>
      <c r="BR2223" s="2" t="s">
        <v>1199</v>
      </c>
      <c r="BS2223" s="3">
        <v>40327</v>
      </c>
      <c r="BT2223" s="4">
        <v>0.64307870370370368</v>
      </c>
    </row>
    <row r="2224" spans="1:72" x14ac:dyDescent="0.25">
      <c r="A2224" s="2">
        <v>3232</v>
      </c>
      <c r="B2224" s="2">
        <v>2010</v>
      </c>
      <c r="C2224" s="2" t="s">
        <v>1094</v>
      </c>
      <c r="D2224" s="2" t="s">
        <v>73</v>
      </c>
      <c r="E2224" s="2"/>
      <c r="F2224" s="2">
        <v>620</v>
      </c>
      <c r="G2224" s="2" t="s">
        <v>7057</v>
      </c>
      <c r="H2224" s="2">
        <v>87</v>
      </c>
      <c r="I2224" s="2" t="s">
        <v>4918</v>
      </c>
      <c r="J2224" s="2">
        <v>228</v>
      </c>
      <c r="K2224" s="2" t="s">
        <v>7058</v>
      </c>
      <c r="L2224" s="2" t="s">
        <v>7059</v>
      </c>
      <c r="M2224" s="3">
        <v>40327</v>
      </c>
      <c r="N2224" s="2" t="s">
        <v>7602</v>
      </c>
      <c r="O2224" s="2" t="s">
        <v>107</v>
      </c>
      <c r="P2224" s="2" t="s">
        <v>107</v>
      </c>
      <c r="Q2224" s="2" t="str">
        <f>"197-A/10"</f>
        <v>197-A/10</v>
      </c>
      <c r="R2224" s="2" t="s">
        <v>7603</v>
      </c>
      <c r="S2224" s="2"/>
      <c r="T2224" s="2">
        <v>1</v>
      </c>
      <c r="U2224" s="2" t="s">
        <v>79</v>
      </c>
      <c r="V2224" s="2">
        <v>1</v>
      </c>
      <c r="W2224" s="2" t="s">
        <v>80</v>
      </c>
      <c r="X2224" s="2">
        <v>12</v>
      </c>
      <c r="Y2224" s="2" t="s">
        <v>148</v>
      </c>
      <c r="Z2224" s="2">
        <v>1</v>
      </c>
      <c r="AA2224" s="2" t="s">
        <v>82</v>
      </c>
      <c r="AB2224" s="2">
        <v>9</v>
      </c>
      <c r="AC2224" s="2" t="s">
        <v>124</v>
      </c>
      <c r="AD2224" s="3">
        <v>40327</v>
      </c>
      <c r="AE2224" s="4">
        <v>0.45833333333333331</v>
      </c>
      <c r="AF2224" s="3">
        <v>40327</v>
      </c>
      <c r="AG2224" s="4">
        <v>0.4861111111111111</v>
      </c>
      <c r="AH2224" s="2">
        <v>2</v>
      </c>
      <c r="AI2224" s="2" t="s">
        <v>84</v>
      </c>
      <c r="AJ2224" s="2">
        <v>12</v>
      </c>
      <c r="AK2224" s="2" t="s">
        <v>85</v>
      </c>
      <c r="AL2224" s="2">
        <v>12</v>
      </c>
      <c r="AM2224" s="2" t="s">
        <v>86</v>
      </c>
      <c r="AN2224" s="2" t="s">
        <v>7604</v>
      </c>
      <c r="AO2224" s="2" t="s">
        <v>190</v>
      </c>
      <c r="AP2224" s="2">
        <v>11</v>
      </c>
      <c r="AQ2224" s="2" t="s">
        <v>82</v>
      </c>
      <c r="AR2224" s="2"/>
      <c r="AS2224" s="2"/>
      <c r="AT2224" s="2" t="s">
        <v>7605</v>
      </c>
      <c r="AU2224" s="2">
        <v>1</v>
      </c>
      <c r="AV2224" s="2"/>
      <c r="AW2224" s="2"/>
      <c r="AX2224" s="2"/>
      <c r="AY2224" s="2">
        <v>41</v>
      </c>
      <c r="AZ2224" s="2" t="s">
        <v>82</v>
      </c>
      <c r="BA2224" s="2">
        <v>41</v>
      </c>
      <c r="BB2224" s="2" t="s">
        <v>82</v>
      </c>
      <c r="BC2224" s="2">
        <v>41</v>
      </c>
      <c r="BD2224" s="2" t="s">
        <v>82</v>
      </c>
      <c r="BE2224" s="2">
        <v>41</v>
      </c>
      <c r="BF2224" s="2" t="s">
        <v>82</v>
      </c>
      <c r="BG2224" s="2"/>
      <c r="BH2224" s="2"/>
      <c r="BI2224" s="2"/>
      <c r="BJ2224" s="2">
        <v>241</v>
      </c>
      <c r="BK2224" s="2" t="s">
        <v>82</v>
      </c>
      <c r="BL2224" s="2"/>
      <c r="BM2224" s="2">
        <v>241</v>
      </c>
      <c r="BN2224" s="2" t="s">
        <v>82</v>
      </c>
      <c r="BO2224" s="2"/>
      <c r="BP2224" s="2">
        <v>241</v>
      </c>
      <c r="BQ2224" s="2" t="s">
        <v>82</v>
      </c>
      <c r="BR2224" s="2"/>
      <c r="BS2224" s="3">
        <v>40327</v>
      </c>
      <c r="BT2224" s="4">
        <v>0.66821759259259261</v>
      </c>
    </row>
    <row r="2225" spans="1:72" x14ac:dyDescent="0.25">
      <c r="A2225" s="2">
        <v>3233</v>
      </c>
      <c r="B2225" s="2">
        <v>2010</v>
      </c>
      <c r="C2225" s="2" t="s">
        <v>171</v>
      </c>
      <c r="D2225" s="2" t="s">
        <v>122</v>
      </c>
      <c r="E2225" s="2" t="s">
        <v>7606</v>
      </c>
      <c r="F2225" s="2">
        <v>390</v>
      </c>
      <c r="G2225" s="2" t="s">
        <v>475</v>
      </c>
      <c r="H2225" s="2">
        <v>6</v>
      </c>
      <c r="I2225" s="2" t="s">
        <v>1088</v>
      </c>
      <c r="J2225" s="2">
        <v>314</v>
      </c>
      <c r="K2225" s="2" t="s">
        <v>477</v>
      </c>
      <c r="L2225" s="2" t="s">
        <v>478</v>
      </c>
      <c r="M2225" s="3">
        <v>40327</v>
      </c>
      <c r="N2225" s="2" t="s">
        <v>6512</v>
      </c>
      <c r="O2225" s="2" t="s">
        <v>107</v>
      </c>
      <c r="P2225" s="2" t="s">
        <v>107</v>
      </c>
      <c r="Q2225" s="2" t="str">
        <f>"286-E/10"</f>
        <v>286-E/10</v>
      </c>
      <c r="R2225" s="2" t="s">
        <v>7587</v>
      </c>
      <c r="S2225" s="2" t="s">
        <v>107</v>
      </c>
      <c r="T2225" s="2">
        <v>1</v>
      </c>
      <c r="U2225" s="2" t="s">
        <v>79</v>
      </c>
      <c r="V2225" s="2">
        <v>1</v>
      </c>
      <c r="W2225" s="2" t="s">
        <v>80</v>
      </c>
      <c r="X2225" s="2">
        <v>1</v>
      </c>
      <c r="Y2225" s="2" t="s">
        <v>81</v>
      </c>
      <c r="Z2225" s="2">
        <v>1</v>
      </c>
      <c r="AA2225" s="2" t="s">
        <v>82</v>
      </c>
      <c r="AB2225" s="2">
        <v>1</v>
      </c>
      <c r="AC2225" s="2" t="s">
        <v>178</v>
      </c>
      <c r="AD2225" s="3">
        <v>40326</v>
      </c>
      <c r="AE2225" s="4">
        <v>0.84375</v>
      </c>
      <c r="AF2225" s="2"/>
      <c r="AG2225" s="2"/>
      <c r="AH2225" s="2">
        <v>2</v>
      </c>
      <c r="AI2225" s="2" t="s">
        <v>84</v>
      </c>
      <c r="AJ2225" s="2">
        <v>9</v>
      </c>
      <c r="AK2225" s="2" t="s">
        <v>103</v>
      </c>
      <c r="AL2225" s="2">
        <v>15</v>
      </c>
      <c r="AM2225" s="2" t="s">
        <v>104</v>
      </c>
      <c r="AN2225" s="2" t="s">
        <v>82</v>
      </c>
      <c r="AO2225" s="2" t="s">
        <v>179</v>
      </c>
      <c r="AP2225" s="2">
        <v>11</v>
      </c>
      <c r="AQ2225" s="2" t="s">
        <v>82</v>
      </c>
      <c r="AR2225" s="2"/>
      <c r="AS2225" s="2"/>
      <c r="AT2225" s="2" t="s">
        <v>7607</v>
      </c>
      <c r="AU2225" s="2"/>
      <c r="AV2225" s="2">
        <v>1</v>
      </c>
      <c r="AW2225" s="2"/>
      <c r="AX2225" s="2"/>
      <c r="AY2225" s="2">
        <v>41</v>
      </c>
      <c r="AZ2225" s="2" t="s">
        <v>82</v>
      </c>
      <c r="BA2225" s="2">
        <v>41</v>
      </c>
      <c r="BB2225" s="2" t="s">
        <v>82</v>
      </c>
      <c r="BC2225" s="2">
        <v>41</v>
      </c>
      <c r="BD2225" s="2" t="s">
        <v>82</v>
      </c>
      <c r="BE2225" s="2">
        <v>13</v>
      </c>
      <c r="BF2225" s="2" t="s">
        <v>108</v>
      </c>
      <c r="BG2225" s="2" t="s">
        <v>842</v>
      </c>
      <c r="BH2225" s="2"/>
      <c r="BI2225" s="4">
        <v>0.90972222222222221</v>
      </c>
      <c r="BJ2225" s="2">
        <v>29</v>
      </c>
      <c r="BK2225" s="2" t="s">
        <v>962</v>
      </c>
      <c r="BL2225" s="2" t="s">
        <v>963</v>
      </c>
      <c r="BM2225" s="2">
        <v>13</v>
      </c>
      <c r="BN2225" s="2" t="s">
        <v>91</v>
      </c>
      <c r="BO2225" s="2" t="s">
        <v>4251</v>
      </c>
      <c r="BP2225" s="2">
        <v>73</v>
      </c>
      <c r="BQ2225" s="2" t="s">
        <v>186</v>
      </c>
      <c r="BR2225" s="2" t="s">
        <v>7608</v>
      </c>
      <c r="BS2225" s="3">
        <v>40327</v>
      </c>
      <c r="BT2225" s="4">
        <v>0.81024305555555554</v>
      </c>
    </row>
    <row r="2226" spans="1:72" x14ac:dyDescent="0.25">
      <c r="A2226" s="2">
        <v>3234</v>
      </c>
      <c r="B2226" s="2">
        <v>2010</v>
      </c>
      <c r="C2226" s="2" t="s">
        <v>171</v>
      </c>
      <c r="D2226" s="2" t="s">
        <v>73</v>
      </c>
      <c r="E2226" s="2"/>
      <c r="F2226" s="2">
        <v>310</v>
      </c>
      <c r="G2226" s="2" t="s">
        <v>3186</v>
      </c>
      <c r="H2226" s="2">
        <v>3</v>
      </c>
      <c r="I2226" s="2" t="s">
        <v>315</v>
      </c>
      <c r="J2226" s="2">
        <v>371</v>
      </c>
      <c r="K2226" s="2" t="s">
        <v>1138</v>
      </c>
      <c r="L2226" s="2" t="s">
        <v>1139</v>
      </c>
      <c r="M2226" s="3">
        <v>40327</v>
      </c>
      <c r="N2226" s="2" t="s">
        <v>7609</v>
      </c>
      <c r="O2226" s="2" t="s">
        <v>7610</v>
      </c>
      <c r="P2226" s="2" t="s">
        <v>107</v>
      </c>
      <c r="Q2226" s="2" t="str">
        <f>"0067/10"</f>
        <v>0067/10</v>
      </c>
      <c r="R2226" s="2"/>
      <c r="S2226" s="2"/>
      <c r="T2226" s="2">
        <v>1</v>
      </c>
      <c r="U2226" s="2" t="s">
        <v>79</v>
      </c>
      <c r="V2226" s="2">
        <v>1</v>
      </c>
      <c r="W2226" s="2" t="s">
        <v>80</v>
      </c>
      <c r="X2226" s="2">
        <v>1</v>
      </c>
      <c r="Y2226" s="2" t="s">
        <v>81</v>
      </c>
      <c r="Z2226" s="2">
        <v>1</v>
      </c>
      <c r="AA2226" s="2" t="s">
        <v>82</v>
      </c>
      <c r="AB2226" s="2">
        <v>1</v>
      </c>
      <c r="AC2226" s="2" t="s">
        <v>178</v>
      </c>
      <c r="AD2226" s="3">
        <v>40327</v>
      </c>
      <c r="AE2226" s="4">
        <v>0.46875</v>
      </c>
      <c r="AF2226" s="2"/>
      <c r="AG2226" s="2"/>
      <c r="AH2226" s="2">
        <v>5</v>
      </c>
      <c r="AI2226" s="2" t="s">
        <v>274</v>
      </c>
      <c r="AJ2226" s="2">
        <v>38</v>
      </c>
      <c r="AK2226" s="2" t="s">
        <v>1120</v>
      </c>
      <c r="AL2226" s="2">
        <v>25</v>
      </c>
      <c r="AM2226" s="2" t="s">
        <v>3073</v>
      </c>
      <c r="AN2226" s="2" t="s">
        <v>179</v>
      </c>
      <c r="AO2226" s="2" t="s">
        <v>200</v>
      </c>
      <c r="AP2226" s="2">
        <v>11</v>
      </c>
      <c r="AQ2226" s="2" t="s">
        <v>82</v>
      </c>
      <c r="AR2226" s="2"/>
      <c r="AS2226" s="2"/>
      <c r="AT2226" s="2" t="s">
        <v>7611</v>
      </c>
      <c r="AU2226" s="2">
        <v>1</v>
      </c>
      <c r="AV2226" s="2"/>
      <c r="AW2226" s="2"/>
      <c r="AX2226" s="2"/>
      <c r="AY2226" s="2">
        <v>41</v>
      </c>
      <c r="AZ2226" s="2" t="s">
        <v>82</v>
      </c>
      <c r="BA2226" s="2">
        <v>41</v>
      </c>
      <c r="BB2226" s="2" t="s">
        <v>82</v>
      </c>
      <c r="BC2226" s="2">
        <v>41</v>
      </c>
      <c r="BD2226" s="2" t="s">
        <v>82</v>
      </c>
      <c r="BE2226" s="2">
        <v>13</v>
      </c>
      <c r="BF2226" s="2" t="s">
        <v>108</v>
      </c>
      <c r="BG2226" s="2">
        <v>2725</v>
      </c>
      <c r="BH2226" s="4">
        <v>0.46180555555555558</v>
      </c>
      <c r="BI2226" s="4">
        <v>0.48958333333333331</v>
      </c>
      <c r="BJ2226" s="2">
        <v>13</v>
      </c>
      <c r="BK2226" s="2" t="s">
        <v>91</v>
      </c>
      <c r="BL2226" s="2" t="s">
        <v>92</v>
      </c>
      <c r="BM2226" s="2">
        <v>241</v>
      </c>
      <c r="BN2226" s="2" t="s">
        <v>82</v>
      </c>
      <c r="BO2226" s="2"/>
      <c r="BP2226" s="2">
        <v>13</v>
      </c>
      <c r="BQ2226" s="2" t="s">
        <v>91</v>
      </c>
      <c r="BR2226" s="2" t="s">
        <v>5461</v>
      </c>
      <c r="BS2226" s="3">
        <v>40327</v>
      </c>
      <c r="BT2226" s="4">
        <v>0.88440972222222225</v>
      </c>
    </row>
    <row r="2227" spans="1:72" x14ac:dyDescent="0.25">
      <c r="A2227" s="2">
        <v>3236</v>
      </c>
      <c r="B2227" s="2">
        <v>2010</v>
      </c>
      <c r="C2227" s="2" t="s">
        <v>72</v>
      </c>
      <c r="D2227" s="2" t="s">
        <v>73</v>
      </c>
      <c r="E2227" s="2"/>
      <c r="F2227" s="2">
        <v>545</v>
      </c>
      <c r="G2227" s="2" t="s">
        <v>3969</v>
      </c>
      <c r="H2227" s="2">
        <v>22</v>
      </c>
      <c r="I2227" s="2" t="s">
        <v>75</v>
      </c>
      <c r="J2227" s="2">
        <v>472</v>
      </c>
      <c r="K2227" s="2" t="s">
        <v>7277</v>
      </c>
      <c r="L2227" s="2" t="s">
        <v>7278</v>
      </c>
      <c r="M2227" s="3">
        <v>40328</v>
      </c>
      <c r="N2227" s="2" t="s">
        <v>7612</v>
      </c>
      <c r="O2227" s="2" t="s">
        <v>7613</v>
      </c>
      <c r="P2227" s="2" t="s">
        <v>82</v>
      </c>
      <c r="Q2227" s="2" t="str">
        <f>"AP 0028/10 UO -USU"</f>
        <v>AP 0028/10 UO -USU</v>
      </c>
      <c r="R2227" s="2" t="s">
        <v>82</v>
      </c>
      <c r="S2227" s="2" t="s">
        <v>82</v>
      </c>
      <c r="T2227" s="2">
        <v>1</v>
      </c>
      <c r="U2227" s="2" t="s">
        <v>79</v>
      </c>
      <c r="V2227" s="2">
        <v>1</v>
      </c>
      <c r="W2227" s="2" t="s">
        <v>80</v>
      </c>
      <c r="X2227" s="2">
        <v>1</v>
      </c>
      <c r="Y2227" s="2" t="s">
        <v>81</v>
      </c>
      <c r="Z2227" s="2">
        <v>1</v>
      </c>
      <c r="AA2227" s="2" t="s">
        <v>82</v>
      </c>
      <c r="AB2227" s="2">
        <v>6</v>
      </c>
      <c r="AC2227" s="2" t="s">
        <v>83</v>
      </c>
      <c r="AD2227" s="3">
        <v>40328</v>
      </c>
      <c r="AE2227" s="4">
        <v>0.59027777777777779</v>
      </c>
      <c r="AF2227" s="2"/>
      <c r="AG2227" s="2"/>
      <c r="AH2227" s="2">
        <v>6</v>
      </c>
      <c r="AI2227" s="2" t="s">
        <v>197</v>
      </c>
      <c r="AJ2227" s="2">
        <v>60</v>
      </c>
      <c r="AK2227" s="2" t="s">
        <v>543</v>
      </c>
      <c r="AL2227" s="2">
        <v>11</v>
      </c>
      <c r="AM2227" s="2" t="s">
        <v>137</v>
      </c>
      <c r="AN2227" s="2" t="s">
        <v>7614</v>
      </c>
      <c r="AO2227" s="2" t="s">
        <v>7614</v>
      </c>
      <c r="AP2227" s="2">
        <v>11</v>
      </c>
      <c r="AQ2227" s="2" t="s">
        <v>82</v>
      </c>
      <c r="AR2227" s="2" t="s">
        <v>82</v>
      </c>
      <c r="AS2227" s="2" t="s">
        <v>82</v>
      </c>
      <c r="AT2227" s="2" t="s">
        <v>7615</v>
      </c>
      <c r="AU2227" s="2"/>
      <c r="AV2227" s="2"/>
      <c r="AW2227" s="2"/>
      <c r="AX2227" s="2"/>
      <c r="AY2227" s="2">
        <v>13</v>
      </c>
      <c r="AZ2227" s="2" t="s">
        <v>108</v>
      </c>
      <c r="BA2227" s="2">
        <v>41</v>
      </c>
      <c r="BB2227" s="2" t="s">
        <v>82</v>
      </c>
      <c r="BC2227" s="2">
        <v>41</v>
      </c>
      <c r="BD2227" s="2" t="s">
        <v>82</v>
      </c>
      <c r="BE2227" s="2">
        <v>13</v>
      </c>
      <c r="BF2227" s="2" t="s">
        <v>108</v>
      </c>
      <c r="BG2227" s="2" t="s">
        <v>3968</v>
      </c>
      <c r="BH2227" s="4">
        <v>0.58124999999999993</v>
      </c>
      <c r="BI2227" s="4">
        <v>0.61111111111111105</v>
      </c>
      <c r="BJ2227" s="2">
        <v>13</v>
      </c>
      <c r="BK2227" s="2" t="s">
        <v>91</v>
      </c>
      <c r="BL2227" s="2" t="s">
        <v>895</v>
      </c>
      <c r="BM2227" s="2">
        <v>13</v>
      </c>
      <c r="BN2227" s="2" t="s">
        <v>91</v>
      </c>
      <c r="BO2227" s="2" t="s">
        <v>204</v>
      </c>
      <c r="BP2227" s="2">
        <v>13</v>
      </c>
      <c r="BQ2227" s="2" t="s">
        <v>91</v>
      </c>
      <c r="BR2227" s="2" t="s">
        <v>3520</v>
      </c>
      <c r="BS2227" s="3">
        <v>40328</v>
      </c>
      <c r="BT2227" s="4">
        <v>0.65942129629629631</v>
      </c>
    </row>
    <row r="2228" spans="1:72" x14ac:dyDescent="0.25">
      <c r="A2228" s="2">
        <v>3237</v>
      </c>
      <c r="B2228" s="2">
        <v>2010</v>
      </c>
      <c r="C2228" s="2" t="s">
        <v>819</v>
      </c>
      <c r="D2228" s="2" t="s">
        <v>73</v>
      </c>
      <c r="E2228" s="2"/>
      <c r="F2228" s="2">
        <v>470</v>
      </c>
      <c r="G2228" s="2" t="s">
        <v>2979</v>
      </c>
      <c r="H2228" s="2">
        <v>2</v>
      </c>
      <c r="I2228" s="2" t="s">
        <v>267</v>
      </c>
      <c r="J2228" s="2">
        <v>371</v>
      </c>
      <c r="K2228" s="2" t="s">
        <v>1138</v>
      </c>
      <c r="L2228" s="2" t="s">
        <v>1139</v>
      </c>
      <c r="M2228" s="3">
        <v>40328</v>
      </c>
      <c r="N2228" s="2" t="s">
        <v>7616</v>
      </c>
      <c r="O2228" s="2"/>
      <c r="P2228" s="2"/>
      <c r="Q2228" s="2" t="str">
        <f>"0068/10"</f>
        <v>0068/10</v>
      </c>
      <c r="R2228" s="2"/>
      <c r="S2228" s="2" t="s">
        <v>2003</v>
      </c>
      <c r="T2228" s="2">
        <v>1</v>
      </c>
      <c r="U2228" s="2" t="s">
        <v>79</v>
      </c>
      <c r="V2228" s="2">
        <v>1</v>
      </c>
      <c r="W2228" s="2" t="s">
        <v>80</v>
      </c>
      <c r="X2228" s="2">
        <v>1</v>
      </c>
      <c r="Y2228" s="2" t="s">
        <v>81</v>
      </c>
      <c r="Z2228" s="2">
        <v>1</v>
      </c>
      <c r="AA2228" s="2" t="s">
        <v>82</v>
      </c>
      <c r="AB2228" s="2">
        <v>9</v>
      </c>
      <c r="AC2228" s="2" t="s">
        <v>124</v>
      </c>
      <c r="AD2228" s="3">
        <v>40328</v>
      </c>
      <c r="AE2228" s="4">
        <v>0.41319444444444442</v>
      </c>
      <c r="AF2228" s="2"/>
      <c r="AG2228" s="2"/>
      <c r="AH2228" s="2">
        <v>5</v>
      </c>
      <c r="AI2228" s="2" t="s">
        <v>274</v>
      </c>
      <c r="AJ2228" s="2">
        <v>38</v>
      </c>
      <c r="AK2228" s="2" t="s">
        <v>1120</v>
      </c>
      <c r="AL2228" s="2">
        <v>25</v>
      </c>
      <c r="AM2228" s="2" t="s">
        <v>3073</v>
      </c>
      <c r="AN2228" s="2" t="s">
        <v>7617</v>
      </c>
      <c r="AO2228" s="2" t="s">
        <v>230</v>
      </c>
      <c r="AP2228" s="2">
        <v>11</v>
      </c>
      <c r="AQ2228" s="2" t="s">
        <v>82</v>
      </c>
      <c r="AR2228" s="2"/>
      <c r="AS2228" s="2"/>
      <c r="AT2228" s="2" t="s">
        <v>7618</v>
      </c>
      <c r="AU2228" s="2"/>
      <c r="AV2228" s="2"/>
      <c r="AW2228" s="2"/>
      <c r="AX2228" s="2"/>
      <c r="AY2228" s="2">
        <v>41</v>
      </c>
      <c r="AZ2228" s="2" t="s">
        <v>82</v>
      </c>
      <c r="BA2228" s="2">
        <v>41</v>
      </c>
      <c r="BB2228" s="2" t="s">
        <v>82</v>
      </c>
      <c r="BC2228" s="2">
        <v>41</v>
      </c>
      <c r="BD2228" s="2" t="s">
        <v>82</v>
      </c>
      <c r="BE2228" s="2">
        <v>4</v>
      </c>
      <c r="BF2228" s="2" t="s">
        <v>90</v>
      </c>
      <c r="BG2228" s="2">
        <v>4023</v>
      </c>
      <c r="BH2228" s="4">
        <v>0.39583333333333331</v>
      </c>
      <c r="BI2228" s="4">
        <v>0.4236111111111111</v>
      </c>
      <c r="BJ2228" s="2">
        <v>13</v>
      </c>
      <c r="BK2228" s="2" t="s">
        <v>91</v>
      </c>
      <c r="BL2228" s="2" t="s">
        <v>1697</v>
      </c>
      <c r="BM2228" s="2">
        <v>241</v>
      </c>
      <c r="BN2228" s="2" t="s">
        <v>82</v>
      </c>
      <c r="BO2228" s="2"/>
      <c r="BP2228" s="2">
        <v>13</v>
      </c>
      <c r="BQ2228" s="2" t="s">
        <v>91</v>
      </c>
      <c r="BR2228" s="2" t="s">
        <v>170</v>
      </c>
      <c r="BS2228" s="3">
        <v>40328</v>
      </c>
      <c r="BT2228" s="4">
        <v>0.67361111111111116</v>
      </c>
    </row>
    <row r="2229" spans="1:72" x14ac:dyDescent="0.25">
      <c r="A2229" s="2">
        <v>3238</v>
      </c>
      <c r="B2229" s="2">
        <v>2010</v>
      </c>
      <c r="C2229" s="2" t="s">
        <v>72</v>
      </c>
      <c r="D2229" s="2" t="s">
        <v>73</v>
      </c>
      <c r="E2229" s="2"/>
      <c r="F2229" s="2">
        <v>10</v>
      </c>
      <c r="G2229" s="2" t="s">
        <v>2143</v>
      </c>
      <c r="H2229" s="2">
        <v>39</v>
      </c>
      <c r="I2229" s="2" t="s">
        <v>1117</v>
      </c>
      <c r="J2229" s="2">
        <v>19</v>
      </c>
      <c r="K2229" s="2" t="s">
        <v>2144</v>
      </c>
      <c r="L2229" s="2" t="s">
        <v>2145</v>
      </c>
      <c r="M2229" s="3">
        <v>40328</v>
      </c>
      <c r="N2229" s="2" t="s">
        <v>2214</v>
      </c>
      <c r="O2229" s="2"/>
      <c r="P2229" s="2"/>
      <c r="Q2229" s="2" t="str">
        <f>"26-10"</f>
        <v>26-10</v>
      </c>
      <c r="R2229" s="2"/>
      <c r="S2229" s="2" t="s">
        <v>601</v>
      </c>
      <c r="T2229" s="2">
        <v>1</v>
      </c>
      <c r="U2229" s="2" t="s">
        <v>79</v>
      </c>
      <c r="V2229" s="2">
        <v>1</v>
      </c>
      <c r="W2229" s="2" t="s">
        <v>80</v>
      </c>
      <c r="X2229" s="2">
        <v>12</v>
      </c>
      <c r="Y2229" s="2" t="s">
        <v>148</v>
      </c>
      <c r="Z2229" s="2">
        <v>1</v>
      </c>
      <c r="AA2229" s="2" t="s">
        <v>82</v>
      </c>
      <c r="AB2229" s="2">
        <v>6</v>
      </c>
      <c r="AC2229" s="2" t="s">
        <v>83</v>
      </c>
      <c r="AD2229" s="2"/>
      <c r="AE2229" s="2"/>
      <c r="AF2229" s="3">
        <v>40328</v>
      </c>
      <c r="AG2229" s="4">
        <v>0.50347222222222221</v>
      </c>
      <c r="AH2229" s="2">
        <v>3</v>
      </c>
      <c r="AI2229" s="2" t="s">
        <v>214</v>
      </c>
      <c r="AJ2229" s="2">
        <v>24</v>
      </c>
      <c r="AK2229" s="2" t="s">
        <v>215</v>
      </c>
      <c r="AL2229" s="2">
        <v>22</v>
      </c>
      <c r="AM2229" s="2" t="s">
        <v>1853</v>
      </c>
      <c r="AN2229" s="2" t="s">
        <v>7619</v>
      </c>
      <c r="AO2229" s="2"/>
      <c r="AP2229" s="2">
        <v>11</v>
      </c>
      <c r="AQ2229" s="2" t="s">
        <v>82</v>
      </c>
      <c r="AR2229" s="2"/>
      <c r="AS2229" s="2"/>
      <c r="AT2229" s="2" t="s">
        <v>7620</v>
      </c>
      <c r="AU2229" s="2"/>
      <c r="AV2229" s="2"/>
      <c r="AW2229" s="2"/>
      <c r="AX2229" s="2"/>
      <c r="AY2229" s="2">
        <v>41</v>
      </c>
      <c r="AZ2229" s="2" t="s">
        <v>82</v>
      </c>
      <c r="BA2229" s="2">
        <v>41</v>
      </c>
      <c r="BB2229" s="2" t="s">
        <v>82</v>
      </c>
      <c r="BC2229" s="2">
        <v>41</v>
      </c>
      <c r="BD2229" s="2" t="s">
        <v>82</v>
      </c>
      <c r="BE2229" s="2">
        <v>13</v>
      </c>
      <c r="BF2229" s="2" t="s">
        <v>108</v>
      </c>
      <c r="BG2229" s="2" t="s">
        <v>7621</v>
      </c>
      <c r="BH2229" s="4">
        <v>0.47916666666666669</v>
      </c>
      <c r="BI2229" s="4">
        <v>0.41319444444444442</v>
      </c>
      <c r="BJ2229" s="2">
        <v>73</v>
      </c>
      <c r="BK2229" s="2" t="s">
        <v>186</v>
      </c>
      <c r="BL2229" s="2" t="s">
        <v>187</v>
      </c>
      <c r="BM2229" s="2">
        <v>13</v>
      </c>
      <c r="BN2229" s="2" t="s">
        <v>91</v>
      </c>
      <c r="BO2229" s="2" t="s">
        <v>360</v>
      </c>
      <c r="BP2229" s="2">
        <v>13</v>
      </c>
      <c r="BQ2229" s="2" t="s">
        <v>91</v>
      </c>
      <c r="BR2229" s="2" t="s">
        <v>169</v>
      </c>
      <c r="BS2229" s="3">
        <v>40328</v>
      </c>
      <c r="BT2229" s="4">
        <v>0.67642361111111116</v>
      </c>
    </row>
    <row r="2230" spans="1:72" x14ac:dyDescent="0.25">
      <c r="A2230" s="2">
        <v>3239</v>
      </c>
      <c r="B2230" s="2">
        <v>2010</v>
      </c>
      <c r="C2230" s="2" t="s">
        <v>72</v>
      </c>
      <c r="D2230" s="2" t="s">
        <v>73</v>
      </c>
      <c r="E2230" s="2"/>
      <c r="F2230" s="2">
        <v>390</v>
      </c>
      <c r="G2230" s="2" t="s">
        <v>475</v>
      </c>
      <c r="H2230" s="2">
        <v>6</v>
      </c>
      <c r="I2230" s="2" t="s">
        <v>1088</v>
      </c>
      <c r="J2230" s="2">
        <v>533</v>
      </c>
      <c r="K2230" s="2" t="s">
        <v>6511</v>
      </c>
      <c r="L2230" s="2" t="s">
        <v>478</v>
      </c>
      <c r="M2230" s="3">
        <v>40328</v>
      </c>
      <c r="N2230" s="2" t="s">
        <v>6512</v>
      </c>
      <c r="O2230" s="2"/>
      <c r="P2230" s="2"/>
      <c r="Q2230" s="2" t="str">
        <f>"288-E/10"</f>
        <v>288-E/10</v>
      </c>
      <c r="R2230" s="2"/>
      <c r="S2230" s="2" t="s">
        <v>601</v>
      </c>
      <c r="T2230" s="2">
        <v>1</v>
      </c>
      <c r="U2230" s="2" t="s">
        <v>79</v>
      </c>
      <c r="V2230" s="2">
        <v>1</v>
      </c>
      <c r="W2230" s="2" t="s">
        <v>80</v>
      </c>
      <c r="X2230" s="2">
        <v>12</v>
      </c>
      <c r="Y2230" s="2" t="s">
        <v>148</v>
      </c>
      <c r="Z2230" s="2">
        <v>1</v>
      </c>
      <c r="AA2230" s="2" t="s">
        <v>82</v>
      </c>
      <c r="AB2230" s="2">
        <v>6</v>
      </c>
      <c r="AC2230" s="2" t="s">
        <v>83</v>
      </c>
      <c r="AD2230" s="3">
        <v>40328</v>
      </c>
      <c r="AE2230" s="4">
        <v>0.35416666666666669</v>
      </c>
      <c r="AF2230" s="3">
        <v>40328</v>
      </c>
      <c r="AG2230" s="4">
        <v>0.45833333333333331</v>
      </c>
      <c r="AH2230" s="2">
        <v>2</v>
      </c>
      <c r="AI2230" s="2" t="s">
        <v>84</v>
      </c>
      <c r="AJ2230" s="2">
        <v>9</v>
      </c>
      <c r="AK2230" s="2" t="s">
        <v>103</v>
      </c>
      <c r="AL2230" s="2">
        <v>22</v>
      </c>
      <c r="AM2230" s="2" t="s">
        <v>1853</v>
      </c>
      <c r="AN2230" s="2" t="s">
        <v>7622</v>
      </c>
      <c r="AO2230" s="2" t="s">
        <v>7069</v>
      </c>
      <c r="AP2230" s="2">
        <v>11</v>
      </c>
      <c r="AQ2230" s="2" t="s">
        <v>82</v>
      </c>
      <c r="AR2230" s="2"/>
      <c r="AS2230" s="2"/>
      <c r="AT2230" s="2" t="s">
        <v>7623</v>
      </c>
      <c r="AU2230" s="2"/>
      <c r="AV2230" s="2">
        <v>1</v>
      </c>
      <c r="AW2230" s="2"/>
      <c r="AX2230" s="2"/>
      <c r="AY2230" s="2">
        <v>41</v>
      </c>
      <c r="AZ2230" s="2" t="s">
        <v>82</v>
      </c>
      <c r="BA2230" s="2">
        <v>41</v>
      </c>
      <c r="BB2230" s="2" t="s">
        <v>82</v>
      </c>
      <c r="BC2230" s="2">
        <v>41</v>
      </c>
      <c r="BD2230" s="2" t="s">
        <v>82</v>
      </c>
      <c r="BE2230" s="2">
        <v>31</v>
      </c>
      <c r="BF2230" s="2" t="s">
        <v>398</v>
      </c>
      <c r="BG2230" s="2" t="s">
        <v>1800</v>
      </c>
      <c r="BH2230" s="4">
        <v>0.34027777777777773</v>
      </c>
      <c r="BI2230" s="2"/>
      <c r="BJ2230" s="2">
        <v>73</v>
      </c>
      <c r="BK2230" s="2" t="s">
        <v>186</v>
      </c>
      <c r="BL2230" s="2" t="s">
        <v>187</v>
      </c>
      <c r="BM2230" s="2">
        <v>241</v>
      </c>
      <c r="BN2230" s="2" t="s">
        <v>82</v>
      </c>
      <c r="BO2230" s="2"/>
      <c r="BP2230" s="2">
        <v>13</v>
      </c>
      <c r="BQ2230" s="2" t="s">
        <v>91</v>
      </c>
      <c r="BR2230" s="2" t="s">
        <v>360</v>
      </c>
      <c r="BS2230" s="3">
        <v>40328</v>
      </c>
      <c r="BT2230" s="4">
        <v>0.77997685185185184</v>
      </c>
    </row>
    <row r="2231" spans="1:72" x14ac:dyDescent="0.25">
      <c r="A2231" s="2">
        <v>3240</v>
      </c>
      <c r="B2231" s="2">
        <v>2010</v>
      </c>
      <c r="C2231" s="2" t="s">
        <v>72</v>
      </c>
      <c r="D2231" s="2" t="s">
        <v>73</v>
      </c>
      <c r="E2231" s="2"/>
      <c r="F2231" s="2">
        <v>390</v>
      </c>
      <c r="G2231" s="2" t="s">
        <v>475</v>
      </c>
      <c r="H2231" s="2">
        <v>6</v>
      </c>
      <c r="I2231" s="2" t="s">
        <v>1088</v>
      </c>
      <c r="J2231" s="2">
        <v>533</v>
      </c>
      <c r="K2231" s="2" t="s">
        <v>6511</v>
      </c>
      <c r="L2231" s="2" t="s">
        <v>478</v>
      </c>
      <c r="M2231" s="3">
        <v>40328</v>
      </c>
      <c r="N2231" s="2" t="s">
        <v>6470</v>
      </c>
      <c r="O2231" s="2"/>
      <c r="P2231" s="2"/>
      <c r="Q2231" s="2" t="str">
        <f>"289-E/10"</f>
        <v>289-E/10</v>
      </c>
      <c r="R2231" s="2"/>
      <c r="S2231" s="2" t="s">
        <v>480</v>
      </c>
      <c r="T2231" s="2">
        <v>1</v>
      </c>
      <c r="U2231" s="2" t="s">
        <v>79</v>
      </c>
      <c r="V2231" s="2">
        <v>1</v>
      </c>
      <c r="W2231" s="2" t="s">
        <v>80</v>
      </c>
      <c r="X2231" s="2">
        <v>12</v>
      </c>
      <c r="Y2231" s="2" t="s">
        <v>148</v>
      </c>
      <c r="Z2231" s="2">
        <v>1</v>
      </c>
      <c r="AA2231" s="2" t="s">
        <v>82</v>
      </c>
      <c r="AB2231" s="2">
        <v>6</v>
      </c>
      <c r="AC2231" s="2" t="s">
        <v>83</v>
      </c>
      <c r="AD2231" s="3">
        <v>40328</v>
      </c>
      <c r="AE2231" s="4">
        <v>0.5625</v>
      </c>
      <c r="AF2231" s="3">
        <v>40328</v>
      </c>
      <c r="AG2231" s="4">
        <v>0.65277777777777779</v>
      </c>
      <c r="AH2231" s="2">
        <v>2</v>
      </c>
      <c r="AI2231" s="2" t="s">
        <v>84</v>
      </c>
      <c r="AJ2231" s="2">
        <v>9</v>
      </c>
      <c r="AK2231" s="2" t="s">
        <v>103</v>
      </c>
      <c r="AL2231" s="2">
        <v>22</v>
      </c>
      <c r="AM2231" s="2" t="s">
        <v>1853</v>
      </c>
      <c r="AN2231" s="2" t="s">
        <v>7624</v>
      </c>
      <c r="AO2231" s="2" t="s">
        <v>7625</v>
      </c>
      <c r="AP2231" s="2">
        <v>11</v>
      </c>
      <c r="AQ2231" s="2" t="s">
        <v>82</v>
      </c>
      <c r="AR2231" s="2"/>
      <c r="AS2231" s="2"/>
      <c r="AT2231" s="2" t="s">
        <v>7626</v>
      </c>
      <c r="AU2231" s="2"/>
      <c r="AV2231" s="2"/>
      <c r="AW2231" s="2"/>
      <c r="AX2231" s="2"/>
      <c r="AY2231" s="2">
        <v>41</v>
      </c>
      <c r="AZ2231" s="2" t="s">
        <v>82</v>
      </c>
      <c r="BA2231" s="2">
        <v>41</v>
      </c>
      <c r="BB2231" s="2" t="s">
        <v>82</v>
      </c>
      <c r="BC2231" s="2">
        <v>41</v>
      </c>
      <c r="BD2231" s="2" t="s">
        <v>82</v>
      </c>
      <c r="BE2231" s="2">
        <v>17</v>
      </c>
      <c r="BF2231" s="2" t="s">
        <v>508</v>
      </c>
      <c r="BG2231" s="2" t="s">
        <v>7627</v>
      </c>
      <c r="BH2231" s="4">
        <v>0.55555555555555558</v>
      </c>
      <c r="BI2231" s="2"/>
      <c r="BJ2231" s="2">
        <v>75</v>
      </c>
      <c r="BK2231" s="2" t="s">
        <v>1264</v>
      </c>
      <c r="BL2231" s="2" t="s">
        <v>1361</v>
      </c>
      <c r="BM2231" s="2">
        <v>173</v>
      </c>
      <c r="BN2231" s="2" t="s">
        <v>223</v>
      </c>
      <c r="BO2231" s="2" t="s">
        <v>224</v>
      </c>
      <c r="BP2231" s="2">
        <v>13</v>
      </c>
      <c r="BQ2231" s="2" t="s">
        <v>91</v>
      </c>
      <c r="BR2231" s="2" t="s">
        <v>185</v>
      </c>
      <c r="BS2231" s="3">
        <v>40328</v>
      </c>
      <c r="BT2231" s="4">
        <v>0.81034722222222222</v>
      </c>
    </row>
    <row r="2232" spans="1:72" x14ac:dyDescent="0.25">
      <c r="A2232" s="2">
        <v>3241</v>
      </c>
      <c r="B2232" s="2">
        <v>2010</v>
      </c>
      <c r="C2232" s="2" t="s">
        <v>4543</v>
      </c>
      <c r="D2232" s="2" t="s">
        <v>122</v>
      </c>
      <c r="E2232" s="2"/>
      <c r="F2232" s="2">
        <v>1</v>
      </c>
      <c r="G2232" s="2" t="s">
        <v>82</v>
      </c>
      <c r="H2232" s="2">
        <v>1</v>
      </c>
      <c r="I2232" s="2" t="s">
        <v>82</v>
      </c>
      <c r="J2232" s="2">
        <v>1</v>
      </c>
      <c r="K2232" s="2" t="s">
        <v>107</v>
      </c>
      <c r="L2232" s="2" t="s">
        <v>107</v>
      </c>
      <c r="M2232" s="3">
        <v>40329</v>
      </c>
      <c r="N2232" s="2"/>
      <c r="O2232" s="2"/>
      <c r="P2232" s="2"/>
      <c r="Q2232" s="2" t="str">
        <f>""</f>
        <v/>
      </c>
      <c r="R2232" s="2"/>
      <c r="S2232" s="2"/>
      <c r="T2232" s="2">
        <v>2</v>
      </c>
      <c r="U2232" s="2" t="s">
        <v>123</v>
      </c>
      <c r="V2232" s="2">
        <v>1</v>
      </c>
      <c r="W2232" s="2" t="s">
        <v>80</v>
      </c>
      <c r="X2232" s="2">
        <v>11</v>
      </c>
      <c r="Y2232" s="2" t="s">
        <v>1920</v>
      </c>
      <c r="Z2232" s="2">
        <v>1</v>
      </c>
      <c r="AA2232" s="2" t="s">
        <v>82</v>
      </c>
      <c r="AB2232" s="2">
        <v>9</v>
      </c>
      <c r="AC2232" s="2" t="s">
        <v>124</v>
      </c>
      <c r="AD2232" s="3">
        <v>40329</v>
      </c>
      <c r="AE2232" s="4">
        <v>0.2638888888888889</v>
      </c>
      <c r="AF2232" s="2"/>
      <c r="AG2232" s="2"/>
      <c r="AH2232" s="2">
        <v>6</v>
      </c>
      <c r="AI2232" s="2" t="s">
        <v>197</v>
      </c>
      <c r="AJ2232" s="2">
        <v>54</v>
      </c>
      <c r="AK2232" s="2" t="s">
        <v>348</v>
      </c>
      <c r="AL2232" s="2">
        <v>18</v>
      </c>
      <c r="AM2232" s="2" t="s">
        <v>82</v>
      </c>
      <c r="AN2232" s="2" t="s">
        <v>595</v>
      </c>
      <c r="AO2232" s="2" t="s">
        <v>200</v>
      </c>
      <c r="AP2232" s="2">
        <v>12</v>
      </c>
      <c r="AQ2232" s="2" t="s">
        <v>322</v>
      </c>
      <c r="AR2232" s="2" t="s">
        <v>596</v>
      </c>
      <c r="AS2232" s="2" t="s">
        <v>596</v>
      </c>
      <c r="AT2232" s="2" t="s">
        <v>7628</v>
      </c>
      <c r="AU2232" s="2"/>
      <c r="AV2232" s="2"/>
      <c r="AW2232" s="2"/>
      <c r="AX2232" s="2"/>
      <c r="AY2232" s="2">
        <v>1</v>
      </c>
      <c r="AZ2232" s="2" t="s">
        <v>107</v>
      </c>
      <c r="BA2232" s="2">
        <v>1</v>
      </c>
      <c r="BB2232" s="2" t="s">
        <v>107</v>
      </c>
      <c r="BC2232" s="2">
        <v>1</v>
      </c>
      <c r="BD2232" s="2" t="s">
        <v>107</v>
      </c>
      <c r="BE2232" s="2">
        <v>47</v>
      </c>
      <c r="BF2232" s="2" t="s">
        <v>167</v>
      </c>
      <c r="BG2232" s="2" t="s">
        <v>1165</v>
      </c>
      <c r="BH2232" s="2"/>
      <c r="BI2232" s="4">
        <v>0.2638888888888889</v>
      </c>
      <c r="BJ2232" s="2">
        <v>13</v>
      </c>
      <c r="BK2232" s="2" t="s">
        <v>91</v>
      </c>
      <c r="BL2232" s="2" t="s">
        <v>7629</v>
      </c>
      <c r="BM2232" s="2">
        <v>242</v>
      </c>
      <c r="BN2232" s="2" t="s">
        <v>107</v>
      </c>
      <c r="BO2232" s="2" t="s">
        <v>107</v>
      </c>
      <c r="BP2232" s="2">
        <v>13</v>
      </c>
      <c r="BQ2232" s="2" t="s">
        <v>91</v>
      </c>
      <c r="BR2232" s="2" t="s">
        <v>905</v>
      </c>
      <c r="BS2232" s="3">
        <v>40329</v>
      </c>
      <c r="BT2232" s="4">
        <v>0.35454861111111113</v>
      </c>
    </row>
    <row r="2233" spans="1:72" x14ac:dyDescent="0.25">
      <c r="A2233" s="2">
        <v>3242</v>
      </c>
      <c r="B2233" s="2">
        <v>2010</v>
      </c>
      <c r="C2233" s="2" t="s">
        <v>4543</v>
      </c>
      <c r="D2233" s="2" t="s">
        <v>122</v>
      </c>
      <c r="E2233" s="2"/>
      <c r="F2233" s="2">
        <v>1</v>
      </c>
      <c r="G2233" s="2" t="s">
        <v>82</v>
      </c>
      <c r="H2233" s="2">
        <v>1</v>
      </c>
      <c r="I2233" s="2" t="s">
        <v>82</v>
      </c>
      <c r="J2233" s="2">
        <v>1</v>
      </c>
      <c r="K2233" s="2" t="s">
        <v>107</v>
      </c>
      <c r="L2233" s="2" t="s">
        <v>107</v>
      </c>
      <c r="M2233" s="3">
        <v>40329</v>
      </c>
      <c r="N2233" s="2"/>
      <c r="O2233" s="2"/>
      <c r="P2233" s="2"/>
      <c r="Q2233" s="2" t="str">
        <f>""</f>
        <v/>
      </c>
      <c r="R2233" s="2"/>
      <c r="S2233" s="2"/>
      <c r="T2233" s="2">
        <v>2</v>
      </c>
      <c r="U2233" s="2" t="s">
        <v>123</v>
      </c>
      <c r="V2233" s="2">
        <v>1</v>
      </c>
      <c r="W2233" s="2" t="s">
        <v>80</v>
      </c>
      <c r="X2233" s="2">
        <v>11</v>
      </c>
      <c r="Y2233" s="2" t="s">
        <v>1920</v>
      </c>
      <c r="Z2233" s="2">
        <v>1</v>
      </c>
      <c r="AA2233" s="2" t="s">
        <v>82</v>
      </c>
      <c r="AB2233" s="2">
        <v>9</v>
      </c>
      <c r="AC2233" s="2" t="s">
        <v>124</v>
      </c>
      <c r="AD2233" s="3">
        <v>40329</v>
      </c>
      <c r="AE2233" s="4">
        <v>0.36249999999999999</v>
      </c>
      <c r="AF2233" s="2"/>
      <c r="AG2233" s="2"/>
      <c r="AH2233" s="2">
        <v>6</v>
      </c>
      <c r="AI2233" s="2" t="s">
        <v>197</v>
      </c>
      <c r="AJ2233" s="2">
        <v>54</v>
      </c>
      <c r="AK2233" s="2" t="s">
        <v>348</v>
      </c>
      <c r="AL2233" s="2">
        <v>18</v>
      </c>
      <c r="AM2233" s="2" t="s">
        <v>82</v>
      </c>
      <c r="AN2233" s="2" t="s">
        <v>595</v>
      </c>
      <c r="AO2233" s="2" t="s">
        <v>200</v>
      </c>
      <c r="AP2233" s="2">
        <v>14</v>
      </c>
      <c r="AQ2233" s="2" t="s">
        <v>3301</v>
      </c>
      <c r="AR2233" s="2" t="s">
        <v>596</v>
      </c>
      <c r="AS2233" s="2" t="s">
        <v>596</v>
      </c>
      <c r="AT2233" s="2" t="s">
        <v>7630</v>
      </c>
      <c r="AU2233" s="2"/>
      <c r="AV2233" s="2"/>
      <c r="AW2233" s="2"/>
      <c r="AX2233" s="2"/>
      <c r="AY2233" s="2">
        <v>1</v>
      </c>
      <c r="AZ2233" s="2" t="s">
        <v>107</v>
      </c>
      <c r="BA2233" s="2">
        <v>1</v>
      </c>
      <c r="BB2233" s="2" t="s">
        <v>107</v>
      </c>
      <c r="BC2233" s="2">
        <v>1</v>
      </c>
      <c r="BD2233" s="2" t="s">
        <v>107</v>
      </c>
      <c r="BE2233" s="2">
        <v>4</v>
      </c>
      <c r="BF2233" s="2" t="s">
        <v>90</v>
      </c>
      <c r="BG2233" s="2" t="s">
        <v>5619</v>
      </c>
      <c r="BH2233" s="4">
        <v>0.31944444444444448</v>
      </c>
      <c r="BI2233" s="4">
        <v>0.36249999999999999</v>
      </c>
      <c r="BJ2233" s="2">
        <v>13</v>
      </c>
      <c r="BK2233" s="2" t="s">
        <v>91</v>
      </c>
      <c r="BL2233" s="2" t="s">
        <v>7629</v>
      </c>
      <c r="BM2233" s="2">
        <v>242</v>
      </c>
      <c r="BN2233" s="2" t="s">
        <v>107</v>
      </c>
      <c r="BO2233" s="2" t="s">
        <v>107</v>
      </c>
      <c r="BP2233" s="2">
        <v>13</v>
      </c>
      <c r="BQ2233" s="2" t="s">
        <v>91</v>
      </c>
      <c r="BR2233" s="2" t="s">
        <v>905</v>
      </c>
      <c r="BS2233" s="3">
        <v>40329</v>
      </c>
      <c r="BT2233" s="4">
        <v>0.36836805555555557</v>
      </c>
    </row>
    <row r="2234" spans="1:72" x14ac:dyDescent="0.25">
      <c r="A2234" s="2">
        <v>3243</v>
      </c>
      <c r="B2234" s="2">
        <v>2010</v>
      </c>
      <c r="C2234" s="2" t="s">
        <v>377</v>
      </c>
      <c r="D2234" s="2" t="s">
        <v>73</v>
      </c>
      <c r="E2234" s="2"/>
      <c r="F2234" s="2">
        <v>426</v>
      </c>
      <c r="G2234" s="2" t="s">
        <v>378</v>
      </c>
      <c r="H2234" s="2">
        <v>108</v>
      </c>
      <c r="I2234" s="2" t="s">
        <v>1096</v>
      </c>
      <c r="J2234" s="2">
        <v>311</v>
      </c>
      <c r="K2234" s="2" t="s">
        <v>379</v>
      </c>
      <c r="L2234" s="2" t="s">
        <v>380</v>
      </c>
      <c r="M2234" s="3">
        <v>40329</v>
      </c>
      <c r="N2234" s="2" t="s">
        <v>4427</v>
      </c>
      <c r="O2234" s="2"/>
      <c r="P2234" s="2"/>
      <c r="Q2234" s="2" t="str">
        <f>"098-C/10"</f>
        <v>098-C/10</v>
      </c>
      <c r="R2234" s="2" t="s">
        <v>5773</v>
      </c>
      <c r="S2234" s="2"/>
      <c r="T2234" s="2">
        <v>1</v>
      </c>
      <c r="U2234" s="2" t="s">
        <v>79</v>
      </c>
      <c r="V2234" s="2">
        <v>1</v>
      </c>
      <c r="W2234" s="2" t="s">
        <v>80</v>
      </c>
      <c r="X2234" s="2">
        <v>1</v>
      </c>
      <c r="Y2234" s="2" t="s">
        <v>81</v>
      </c>
      <c r="Z2234" s="2">
        <v>1</v>
      </c>
      <c r="AA2234" s="2" t="s">
        <v>82</v>
      </c>
      <c r="AB2234" s="2">
        <v>9</v>
      </c>
      <c r="AC2234" s="2" t="s">
        <v>124</v>
      </c>
      <c r="AD2234" s="3">
        <v>40328</v>
      </c>
      <c r="AE2234" s="4">
        <v>0.44791666666666669</v>
      </c>
      <c r="AF2234" s="2"/>
      <c r="AG2234" s="2"/>
      <c r="AH2234" s="2">
        <v>2</v>
      </c>
      <c r="AI2234" s="2" t="s">
        <v>84</v>
      </c>
      <c r="AJ2234" s="2">
        <v>9</v>
      </c>
      <c r="AK2234" s="2" t="s">
        <v>103</v>
      </c>
      <c r="AL2234" s="2">
        <v>29</v>
      </c>
      <c r="AM2234" s="2" t="s">
        <v>5416</v>
      </c>
      <c r="AN2234" s="2" t="s">
        <v>1345</v>
      </c>
      <c r="AO2234" s="2" t="s">
        <v>987</v>
      </c>
      <c r="AP2234" s="2">
        <v>11</v>
      </c>
      <c r="AQ2234" s="2" t="s">
        <v>82</v>
      </c>
      <c r="AR2234" s="2"/>
      <c r="AS2234" s="2"/>
      <c r="AT2234" s="2" t="s">
        <v>7631</v>
      </c>
      <c r="AU2234" s="2"/>
      <c r="AV2234" s="2"/>
      <c r="AW2234" s="2"/>
      <c r="AX2234" s="2"/>
      <c r="AY2234" s="2">
        <v>41</v>
      </c>
      <c r="AZ2234" s="2" t="s">
        <v>82</v>
      </c>
      <c r="BA2234" s="2">
        <v>41</v>
      </c>
      <c r="BB2234" s="2" t="s">
        <v>82</v>
      </c>
      <c r="BC2234" s="2">
        <v>41</v>
      </c>
      <c r="BD2234" s="2" t="s">
        <v>82</v>
      </c>
      <c r="BE2234" s="2">
        <v>41</v>
      </c>
      <c r="BF2234" s="2" t="s">
        <v>82</v>
      </c>
      <c r="BG2234" s="2"/>
      <c r="BH2234" s="2"/>
      <c r="BI2234" s="2"/>
      <c r="BJ2234" s="2">
        <v>241</v>
      </c>
      <c r="BK2234" s="2" t="s">
        <v>82</v>
      </c>
      <c r="BL2234" s="2"/>
      <c r="BM2234" s="2">
        <v>241</v>
      </c>
      <c r="BN2234" s="2" t="s">
        <v>82</v>
      </c>
      <c r="BO2234" s="2"/>
      <c r="BP2234" s="2">
        <v>241</v>
      </c>
      <c r="BQ2234" s="2" t="s">
        <v>82</v>
      </c>
      <c r="BR2234" s="2"/>
      <c r="BS2234" s="3">
        <v>40329</v>
      </c>
      <c r="BT2234" s="4">
        <v>0.43353009259259262</v>
      </c>
    </row>
    <row r="2235" spans="1:72" x14ac:dyDescent="0.25">
      <c r="A2235" s="2">
        <v>3244</v>
      </c>
      <c r="B2235" s="2">
        <v>2010</v>
      </c>
      <c r="C2235" s="2" t="s">
        <v>171</v>
      </c>
      <c r="D2235" s="2" t="s">
        <v>73</v>
      </c>
      <c r="E2235" s="2" t="s">
        <v>7632</v>
      </c>
      <c r="F2235" s="2">
        <v>425</v>
      </c>
      <c r="G2235" s="2" t="s">
        <v>286</v>
      </c>
      <c r="H2235" s="2">
        <v>39</v>
      </c>
      <c r="I2235" s="2" t="s">
        <v>1117</v>
      </c>
      <c r="J2235" s="2">
        <v>310</v>
      </c>
      <c r="K2235" s="2" t="s">
        <v>288</v>
      </c>
      <c r="L2235" s="2" t="s">
        <v>289</v>
      </c>
      <c r="M2235" s="3">
        <v>40329</v>
      </c>
      <c r="N2235" s="2" t="s">
        <v>2049</v>
      </c>
      <c r="O2235" s="2" t="s">
        <v>7103</v>
      </c>
      <c r="P2235" s="2" t="s">
        <v>5893</v>
      </c>
      <c r="Q2235" s="2" t="str">
        <f>"043/10"</f>
        <v>043/10</v>
      </c>
      <c r="R2235" s="2"/>
      <c r="S2235" s="2" t="s">
        <v>822</v>
      </c>
      <c r="T2235" s="2">
        <v>1</v>
      </c>
      <c r="U2235" s="2" t="s">
        <v>79</v>
      </c>
      <c r="V2235" s="2">
        <v>1</v>
      </c>
      <c r="W2235" s="2" t="s">
        <v>80</v>
      </c>
      <c r="X2235" s="2">
        <v>1</v>
      </c>
      <c r="Y2235" s="2" t="s">
        <v>81</v>
      </c>
      <c r="Z2235" s="2">
        <v>1</v>
      </c>
      <c r="AA2235" s="2" t="s">
        <v>82</v>
      </c>
      <c r="AB2235" s="2">
        <v>1</v>
      </c>
      <c r="AC2235" s="2" t="s">
        <v>178</v>
      </c>
      <c r="AD2235" s="3">
        <v>40329</v>
      </c>
      <c r="AE2235" s="4">
        <v>0.41666666666666669</v>
      </c>
      <c r="AF2235" s="2"/>
      <c r="AG2235" s="2"/>
      <c r="AH2235" s="2">
        <v>4</v>
      </c>
      <c r="AI2235" s="2" t="s">
        <v>125</v>
      </c>
      <c r="AJ2235" s="2">
        <v>29</v>
      </c>
      <c r="AK2235" s="2" t="s">
        <v>227</v>
      </c>
      <c r="AL2235" s="2">
        <v>16</v>
      </c>
      <c r="AM2235" s="2" t="s">
        <v>392</v>
      </c>
      <c r="AN2235" s="2" t="s">
        <v>6877</v>
      </c>
      <c r="AO2235" s="2"/>
      <c r="AP2235" s="2">
        <v>12</v>
      </c>
      <c r="AQ2235" s="2" t="s">
        <v>322</v>
      </c>
      <c r="AR2235" s="2" t="s">
        <v>824</v>
      </c>
      <c r="AS2235" s="2" t="s">
        <v>825</v>
      </c>
      <c r="AT2235" s="2" t="s">
        <v>7633</v>
      </c>
      <c r="AU2235" s="2"/>
      <c r="AV2235" s="2"/>
      <c r="AW2235" s="2"/>
      <c r="AX2235" s="2"/>
      <c r="AY2235" s="2">
        <v>41</v>
      </c>
      <c r="AZ2235" s="2" t="s">
        <v>82</v>
      </c>
      <c r="BA2235" s="2">
        <v>41</v>
      </c>
      <c r="BB2235" s="2" t="s">
        <v>82</v>
      </c>
      <c r="BC2235" s="2">
        <v>51</v>
      </c>
      <c r="BD2235" s="2" t="s">
        <v>827</v>
      </c>
      <c r="BE2235" s="2">
        <v>47</v>
      </c>
      <c r="BF2235" s="2" t="s">
        <v>167</v>
      </c>
      <c r="BG2235" s="2">
        <v>2476</v>
      </c>
      <c r="BH2235" s="4">
        <v>0.92013888888888884</v>
      </c>
      <c r="BI2235" s="4">
        <v>0.97222222222222221</v>
      </c>
      <c r="BJ2235" s="2">
        <v>13</v>
      </c>
      <c r="BK2235" s="2" t="s">
        <v>91</v>
      </c>
      <c r="BL2235" s="2" t="s">
        <v>828</v>
      </c>
      <c r="BM2235" s="2">
        <v>241</v>
      </c>
      <c r="BN2235" s="2" t="s">
        <v>82</v>
      </c>
      <c r="BO2235" s="2" t="s">
        <v>82</v>
      </c>
      <c r="BP2235" s="2">
        <v>13</v>
      </c>
      <c r="BQ2235" s="2" t="s">
        <v>91</v>
      </c>
      <c r="BR2235" s="2" t="s">
        <v>185</v>
      </c>
      <c r="BS2235" s="3">
        <v>40329</v>
      </c>
      <c r="BT2235" s="4">
        <v>0.4402430555555556</v>
      </c>
    </row>
    <row r="2236" spans="1:72" x14ac:dyDescent="0.25">
      <c r="A2236" s="2">
        <v>3245</v>
      </c>
      <c r="B2236" s="2">
        <v>2010</v>
      </c>
      <c r="C2236" s="2" t="s">
        <v>377</v>
      </c>
      <c r="D2236" s="2" t="s">
        <v>73</v>
      </c>
      <c r="E2236" s="2"/>
      <c r="F2236" s="2">
        <v>426</v>
      </c>
      <c r="G2236" s="2" t="s">
        <v>378</v>
      </c>
      <c r="H2236" s="2">
        <v>22</v>
      </c>
      <c r="I2236" s="2" t="s">
        <v>75</v>
      </c>
      <c r="J2236" s="2">
        <v>311</v>
      </c>
      <c r="K2236" s="2" t="s">
        <v>379</v>
      </c>
      <c r="L2236" s="2" t="s">
        <v>380</v>
      </c>
      <c r="M2236" s="3">
        <v>40329</v>
      </c>
      <c r="N2236" s="2" t="s">
        <v>4427</v>
      </c>
      <c r="O2236" s="2"/>
      <c r="P2236" s="2"/>
      <c r="Q2236" s="2" t="str">
        <f>"099-C/10"</f>
        <v>099-C/10</v>
      </c>
      <c r="R2236" s="2" t="s">
        <v>4428</v>
      </c>
      <c r="S2236" s="2"/>
      <c r="T2236" s="2">
        <v>1</v>
      </c>
      <c r="U2236" s="2" t="s">
        <v>79</v>
      </c>
      <c r="V2236" s="2">
        <v>1</v>
      </c>
      <c r="W2236" s="2" t="s">
        <v>80</v>
      </c>
      <c r="X2236" s="2">
        <v>1</v>
      </c>
      <c r="Y2236" s="2" t="s">
        <v>81</v>
      </c>
      <c r="Z2236" s="2">
        <v>1</v>
      </c>
      <c r="AA2236" s="2" t="s">
        <v>82</v>
      </c>
      <c r="AB2236" s="2">
        <v>9</v>
      </c>
      <c r="AC2236" s="2" t="s">
        <v>124</v>
      </c>
      <c r="AD2236" s="3">
        <v>40328</v>
      </c>
      <c r="AE2236" s="4">
        <v>0.45833333333333331</v>
      </c>
      <c r="AF2236" s="2"/>
      <c r="AG2236" s="2"/>
      <c r="AH2236" s="2">
        <v>2</v>
      </c>
      <c r="AI2236" s="2" t="s">
        <v>84</v>
      </c>
      <c r="AJ2236" s="2">
        <v>9</v>
      </c>
      <c r="AK2236" s="2" t="s">
        <v>103</v>
      </c>
      <c r="AL2236" s="2">
        <v>29</v>
      </c>
      <c r="AM2236" s="2" t="s">
        <v>5416</v>
      </c>
      <c r="AN2236" s="2" t="s">
        <v>1936</v>
      </c>
      <c r="AO2236" s="2" t="s">
        <v>590</v>
      </c>
      <c r="AP2236" s="2">
        <v>11</v>
      </c>
      <c r="AQ2236" s="2" t="s">
        <v>82</v>
      </c>
      <c r="AR2236" s="2"/>
      <c r="AS2236" s="2"/>
      <c r="AT2236" s="2" t="s">
        <v>7634</v>
      </c>
      <c r="AU2236" s="2"/>
      <c r="AV2236" s="2"/>
      <c r="AW2236" s="2"/>
      <c r="AX2236" s="2"/>
      <c r="AY2236" s="2">
        <v>41</v>
      </c>
      <c r="AZ2236" s="2" t="s">
        <v>82</v>
      </c>
      <c r="BA2236" s="2">
        <v>41</v>
      </c>
      <c r="BB2236" s="2" t="s">
        <v>82</v>
      </c>
      <c r="BC2236" s="2">
        <v>41</v>
      </c>
      <c r="BD2236" s="2" t="s">
        <v>82</v>
      </c>
      <c r="BE2236" s="2">
        <v>41</v>
      </c>
      <c r="BF2236" s="2" t="s">
        <v>82</v>
      </c>
      <c r="BG2236" s="2"/>
      <c r="BH2236" s="2"/>
      <c r="BI2236" s="2"/>
      <c r="BJ2236" s="2">
        <v>241</v>
      </c>
      <c r="BK2236" s="2" t="s">
        <v>82</v>
      </c>
      <c r="BL2236" s="2"/>
      <c r="BM2236" s="2">
        <v>241</v>
      </c>
      <c r="BN2236" s="2" t="s">
        <v>82</v>
      </c>
      <c r="BO2236" s="2"/>
      <c r="BP2236" s="2">
        <v>241</v>
      </c>
      <c r="BQ2236" s="2" t="s">
        <v>82</v>
      </c>
      <c r="BR2236" s="2"/>
      <c r="BS2236" s="3">
        <v>40329</v>
      </c>
      <c r="BT2236" s="4">
        <v>0.44363425925925926</v>
      </c>
    </row>
    <row r="2237" spans="1:72" x14ac:dyDescent="0.25">
      <c r="A2237" s="2">
        <v>3246</v>
      </c>
      <c r="B2237" s="2">
        <v>2010</v>
      </c>
      <c r="C2237" s="2" t="s">
        <v>377</v>
      </c>
      <c r="D2237" s="2" t="s">
        <v>73</v>
      </c>
      <c r="E2237" s="2"/>
      <c r="F2237" s="2">
        <v>426</v>
      </c>
      <c r="G2237" s="2" t="s">
        <v>378</v>
      </c>
      <c r="H2237" s="2">
        <v>22</v>
      </c>
      <c r="I2237" s="2" t="s">
        <v>75</v>
      </c>
      <c r="J2237" s="2">
        <v>311</v>
      </c>
      <c r="K2237" s="2" t="s">
        <v>379</v>
      </c>
      <c r="L2237" s="2" t="s">
        <v>380</v>
      </c>
      <c r="M2237" s="3">
        <v>40329</v>
      </c>
      <c r="N2237" s="2" t="s">
        <v>4427</v>
      </c>
      <c r="O2237" s="2"/>
      <c r="P2237" s="2"/>
      <c r="Q2237" s="2" t="str">
        <f>"100-C/10"</f>
        <v>100-C/10</v>
      </c>
      <c r="R2237" s="2" t="s">
        <v>5773</v>
      </c>
      <c r="S2237" s="2"/>
      <c r="T2237" s="2">
        <v>1</v>
      </c>
      <c r="U2237" s="2" t="s">
        <v>79</v>
      </c>
      <c r="V2237" s="2">
        <v>1</v>
      </c>
      <c r="W2237" s="2" t="s">
        <v>80</v>
      </c>
      <c r="X2237" s="2">
        <v>1</v>
      </c>
      <c r="Y2237" s="2" t="s">
        <v>81</v>
      </c>
      <c r="Z2237" s="2">
        <v>1</v>
      </c>
      <c r="AA2237" s="2" t="s">
        <v>82</v>
      </c>
      <c r="AB2237" s="2">
        <v>9</v>
      </c>
      <c r="AC2237" s="2" t="s">
        <v>124</v>
      </c>
      <c r="AD2237" s="3">
        <v>40328</v>
      </c>
      <c r="AE2237" s="4">
        <v>0.70833333333333337</v>
      </c>
      <c r="AF2237" s="2"/>
      <c r="AG2237" s="2"/>
      <c r="AH2237" s="2">
        <v>2</v>
      </c>
      <c r="AI2237" s="2" t="s">
        <v>84</v>
      </c>
      <c r="AJ2237" s="2">
        <v>9</v>
      </c>
      <c r="AK2237" s="2" t="s">
        <v>103</v>
      </c>
      <c r="AL2237" s="2">
        <v>24</v>
      </c>
      <c r="AM2237" s="2" t="s">
        <v>1540</v>
      </c>
      <c r="AN2237" s="2"/>
      <c r="AO2237" s="2" t="s">
        <v>5705</v>
      </c>
      <c r="AP2237" s="2">
        <v>11</v>
      </c>
      <c r="AQ2237" s="2" t="s">
        <v>82</v>
      </c>
      <c r="AR2237" s="2"/>
      <c r="AS2237" s="2"/>
      <c r="AT2237" s="2" t="s">
        <v>7635</v>
      </c>
      <c r="AU2237" s="2"/>
      <c r="AV2237" s="2"/>
      <c r="AW2237" s="2"/>
      <c r="AX2237" s="2"/>
      <c r="AY2237" s="2">
        <v>41</v>
      </c>
      <c r="AZ2237" s="2" t="s">
        <v>82</v>
      </c>
      <c r="BA2237" s="2">
        <v>41</v>
      </c>
      <c r="BB2237" s="2" t="s">
        <v>82</v>
      </c>
      <c r="BC2237" s="2">
        <v>41</v>
      </c>
      <c r="BD2237" s="2" t="s">
        <v>82</v>
      </c>
      <c r="BE2237" s="2">
        <v>41</v>
      </c>
      <c r="BF2237" s="2" t="s">
        <v>82</v>
      </c>
      <c r="BG2237" s="2"/>
      <c r="BH2237" s="2"/>
      <c r="BI2237" s="2"/>
      <c r="BJ2237" s="2">
        <v>241</v>
      </c>
      <c r="BK2237" s="2" t="s">
        <v>82</v>
      </c>
      <c r="BL2237" s="2"/>
      <c r="BM2237" s="2">
        <v>241</v>
      </c>
      <c r="BN2237" s="2" t="s">
        <v>82</v>
      </c>
      <c r="BO2237" s="2"/>
      <c r="BP2237" s="2">
        <v>241</v>
      </c>
      <c r="BQ2237" s="2" t="s">
        <v>82</v>
      </c>
      <c r="BR2237" s="2"/>
      <c r="BS2237" s="3">
        <v>40329</v>
      </c>
      <c r="BT2237" s="4">
        <v>0.46004629629629629</v>
      </c>
    </row>
    <row r="2238" spans="1:72" x14ac:dyDescent="0.25">
      <c r="A2238" s="2">
        <v>3247</v>
      </c>
      <c r="B2238" s="2">
        <v>2010</v>
      </c>
      <c r="C2238" s="2" t="s">
        <v>377</v>
      </c>
      <c r="D2238" s="2" t="s">
        <v>73</v>
      </c>
      <c r="E2238" s="2"/>
      <c r="F2238" s="2">
        <v>426</v>
      </c>
      <c r="G2238" s="2" t="s">
        <v>378</v>
      </c>
      <c r="H2238" s="2">
        <v>22</v>
      </c>
      <c r="I2238" s="2" t="s">
        <v>75</v>
      </c>
      <c r="J2238" s="2">
        <v>311</v>
      </c>
      <c r="K2238" s="2" t="s">
        <v>379</v>
      </c>
      <c r="L2238" s="2" t="s">
        <v>380</v>
      </c>
      <c r="M2238" s="3">
        <v>40329</v>
      </c>
      <c r="N2238" s="2" t="s">
        <v>4427</v>
      </c>
      <c r="O2238" s="2"/>
      <c r="P2238" s="2"/>
      <c r="Q2238" s="2" t="str">
        <f>"101-C/10"</f>
        <v>101-C/10</v>
      </c>
      <c r="R2238" s="2" t="s">
        <v>6609</v>
      </c>
      <c r="S2238" s="2"/>
      <c r="T2238" s="2">
        <v>1</v>
      </c>
      <c r="U2238" s="2" t="s">
        <v>79</v>
      </c>
      <c r="V2238" s="2">
        <v>1</v>
      </c>
      <c r="W2238" s="2" t="s">
        <v>80</v>
      </c>
      <c r="X2238" s="2">
        <v>1</v>
      </c>
      <c r="Y2238" s="2" t="s">
        <v>81</v>
      </c>
      <c r="Z2238" s="2">
        <v>1</v>
      </c>
      <c r="AA2238" s="2" t="s">
        <v>82</v>
      </c>
      <c r="AB2238" s="2">
        <v>9</v>
      </c>
      <c r="AC2238" s="2" t="s">
        <v>124</v>
      </c>
      <c r="AD2238" s="3">
        <v>40328</v>
      </c>
      <c r="AE2238" s="4">
        <v>0.68055555555555547</v>
      </c>
      <c r="AF2238" s="2"/>
      <c r="AG2238" s="2"/>
      <c r="AH2238" s="2">
        <v>2</v>
      </c>
      <c r="AI2238" s="2" t="s">
        <v>84</v>
      </c>
      <c r="AJ2238" s="2">
        <v>9</v>
      </c>
      <c r="AK2238" s="2" t="s">
        <v>103</v>
      </c>
      <c r="AL2238" s="2">
        <v>29</v>
      </c>
      <c r="AM2238" s="2" t="s">
        <v>5416</v>
      </c>
      <c r="AN2238" s="2" t="s">
        <v>1345</v>
      </c>
      <c r="AO2238" s="2" t="s">
        <v>987</v>
      </c>
      <c r="AP2238" s="2">
        <v>11</v>
      </c>
      <c r="AQ2238" s="2" t="s">
        <v>82</v>
      </c>
      <c r="AR2238" s="2"/>
      <c r="AS2238" s="2"/>
      <c r="AT2238" s="2" t="s">
        <v>7636</v>
      </c>
      <c r="AU2238" s="2"/>
      <c r="AV2238" s="2"/>
      <c r="AW2238" s="2"/>
      <c r="AX2238" s="2"/>
      <c r="AY2238" s="2">
        <v>41</v>
      </c>
      <c r="AZ2238" s="2" t="s">
        <v>82</v>
      </c>
      <c r="BA2238" s="2">
        <v>41</v>
      </c>
      <c r="BB2238" s="2" t="s">
        <v>82</v>
      </c>
      <c r="BC2238" s="2">
        <v>41</v>
      </c>
      <c r="BD2238" s="2" t="s">
        <v>82</v>
      </c>
      <c r="BE2238" s="2">
        <v>41</v>
      </c>
      <c r="BF2238" s="2" t="s">
        <v>82</v>
      </c>
      <c r="BG2238" s="2"/>
      <c r="BH2238" s="2"/>
      <c r="BI2238" s="2"/>
      <c r="BJ2238" s="2">
        <v>241</v>
      </c>
      <c r="BK2238" s="2" t="s">
        <v>82</v>
      </c>
      <c r="BL2238" s="2"/>
      <c r="BM2238" s="2">
        <v>241</v>
      </c>
      <c r="BN2238" s="2" t="s">
        <v>82</v>
      </c>
      <c r="BO2238" s="2"/>
      <c r="BP2238" s="2">
        <v>241</v>
      </c>
      <c r="BQ2238" s="2" t="s">
        <v>82</v>
      </c>
      <c r="BR2238" s="2"/>
      <c r="BS2238" s="3">
        <v>40329</v>
      </c>
      <c r="BT2238" s="4">
        <v>0.48025462962962967</v>
      </c>
    </row>
    <row r="2239" spans="1:72" x14ac:dyDescent="0.25">
      <c r="A2239" s="2">
        <v>3249</v>
      </c>
      <c r="B2239" s="2">
        <v>2010</v>
      </c>
      <c r="C2239" s="2" t="s">
        <v>377</v>
      </c>
      <c r="D2239" s="2" t="s">
        <v>73</v>
      </c>
      <c r="E2239" s="2"/>
      <c r="F2239" s="2">
        <v>426</v>
      </c>
      <c r="G2239" s="2" t="s">
        <v>378</v>
      </c>
      <c r="H2239" s="2">
        <v>22</v>
      </c>
      <c r="I2239" s="2" t="s">
        <v>75</v>
      </c>
      <c r="J2239" s="2">
        <v>311</v>
      </c>
      <c r="K2239" s="2" t="s">
        <v>379</v>
      </c>
      <c r="L2239" s="2" t="s">
        <v>380</v>
      </c>
      <c r="M2239" s="3">
        <v>40329</v>
      </c>
      <c r="N2239" s="2" t="s">
        <v>4427</v>
      </c>
      <c r="O2239" s="2"/>
      <c r="P2239" s="2"/>
      <c r="Q2239" s="2" t="str">
        <f>"102-C/10"</f>
        <v>102-C/10</v>
      </c>
      <c r="R2239" s="2" t="s">
        <v>4428</v>
      </c>
      <c r="S2239" s="2"/>
      <c r="T2239" s="2">
        <v>1</v>
      </c>
      <c r="U2239" s="2" t="s">
        <v>79</v>
      </c>
      <c r="V2239" s="2">
        <v>1</v>
      </c>
      <c r="W2239" s="2" t="s">
        <v>80</v>
      </c>
      <c r="X2239" s="2">
        <v>1</v>
      </c>
      <c r="Y2239" s="2" t="s">
        <v>81</v>
      </c>
      <c r="Z2239" s="2">
        <v>1</v>
      </c>
      <c r="AA2239" s="2" t="s">
        <v>82</v>
      </c>
      <c r="AB2239" s="2">
        <v>9</v>
      </c>
      <c r="AC2239" s="2" t="s">
        <v>124</v>
      </c>
      <c r="AD2239" s="3">
        <v>40328</v>
      </c>
      <c r="AE2239" s="4">
        <v>0.73611111111111116</v>
      </c>
      <c r="AF2239" s="2"/>
      <c r="AG2239" s="2"/>
      <c r="AH2239" s="2">
        <v>2</v>
      </c>
      <c r="AI2239" s="2" t="s">
        <v>84</v>
      </c>
      <c r="AJ2239" s="2">
        <v>9</v>
      </c>
      <c r="AK2239" s="2" t="s">
        <v>103</v>
      </c>
      <c r="AL2239" s="2">
        <v>29</v>
      </c>
      <c r="AM2239" s="2" t="s">
        <v>5416</v>
      </c>
      <c r="AN2239" s="2" t="s">
        <v>1345</v>
      </c>
      <c r="AO2239" s="2" t="s">
        <v>987</v>
      </c>
      <c r="AP2239" s="2">
        <v>11</v>
      </c>
      <c r="AQ2239" s="2" t="s">
        <v>82</v>
      </c>
      <c r="AR2239" s="2"/>
      <c r="AS2239" s="2"/>
      <c r="AT2239" s="2" t="s">
        <v>7637</v>
      </c>
      <c r="AU2239" s="2"/>
      <c r="AV2239" s="2"/>
      <c r="AW2239" s="2"/>
      <c r="AX2239" s="2"/>
      <c r="AY2239" s="2">
        <v>41</v>
      </c>
      <c r="AZ2239" s="2" t="s">
        <v>82</v>
      </c>
      <c r="BA2239" s="2">
        <v>41</v>
      </c>
      <c r="BB2239" s="2" t="s">
        <v>82</v>
      </c>
      <c r="BC2239" s="2">
        <v>41</v>
      </c>
      <c r="BD2239" s="2" t="s">
        <v>82</v>
      </c>
      <c r="BE2239" s="2">
        <v>41</v>
      </c>
      <c r="BF2239" s="2" t="s">
        <v>82</v>
      </c>
      <c r="BG2239" s="2"/>
      <c r="BH2239" s="2"/>
      <c r="BI2239" s="2"/>
      <c r="BJ2239" s="2">
        <v>241</v>
      </c>
      <c r="BK2239" s="2" t="s">
        <v>82</v>
      </c>
      <c r="BL2239" s="2"/>
      <c r="BM2239" s="2">
        <v>241</v>
      </c>
      <c r="BN2239" s="2" t="s">
        <v>82</v>
      </c>
      <c r="BO2239" s="2"/>
      <c r="BP2239" s="2">
        <v>241</v>
      </c>
      <c r="BQ2239" s="2" t="s">
        <v>82</v>
      </c>
      <c r="BR2239" s="2"/>
      <c r="BS2239" s="3">
        <v>40329</v>
      </c>
      <c r="BT2239" s="4">
        <v>0.49923611111111116</v>
      </c>
    </row>
    <row r="2240" spans="1:72" x14ac:dyDescent="0.25">
      <c r="A2240" s="2">
        <v>3251</v>
      </c>
      <c r="B2240" s="2">
        <v>2010</v>
      </c>
      <c r="C2240" s="2" t="s">
        <v>171</v>
      </c>
      <c r="D2240" s="2" t="s">
        <v>73</v>
      </c>
      <c r="E2240" s="2"/>
      <c r="F2240" s="2">
        <v>499</v>
      </c>
      <c r="G2240" s="2" t="s">
        <v>2177</v>
      </c>
      <c r="H2240" s="2">
        <v>60</v>
      </c>
      <c r="I2240" s="2" t="s">
        <v>2704</v>
      </c>
      <c r="J2240" s="2">
        <v>374</v>
      </c>
      <c r="K2240" s="2" t="s">
        <v>1191</v>
      </c>
      <c r="L2240" s="2" t="s">
        <v>132</v>
      </c>
      <c r="M2240" s="3">
        <v>40329</v>
      </c>
      <c r="N2240" s="2" t="s">
        <v>6202</v>
      </c>
      <c r="O2240" s="2" t="s">
        <v>7638</v>
      </c>
      <c r="P2240" s="2" t="s">
        <v>7639</v>
      </c>
      <c r="Q2240" s="2" t="str">
        <f>"0009/2010"</f>
        <v>0009/2010</v>
      </c>
      <c r="R2240" s="2"/>
      <c r="S2240" s="2"/>
      <c r="T2240" s="2">
        <v>1</v>
      </c>
      <c r="U2240" s="2" t="s">
        <v>79</v>
      </c>
      <c r="V2240" s="2">
        <v>3</v>
      </c>
      <c r="W2240" s="2" t="s">
        <v>225</v>
      </c>
      <c r="X2240" s="2">
        <v>8</v>
      </c>
      <c r="Y2240" s="2" t="s">
        <v>375</v>
      </c>
      <c r="Z2240" s="2">
        <v>1</v>
      </c>
      <c r="AA2240" s="2" t="s">
        <v>82</v>
      </c>
      <c r="AB2240" s="2">
        <v>9</v>
      </c>
      <c r="AC2240" s="2" t="s">
        <v>124</v>
      </c>
      <c r="AD2240" s="3">
        <v>40329</v>
      </c>
      <c r="AE2240" s="2"/>
      <c r="AF2240" s="2"/>
      <c r="AG2240" s="2"/>
      <c r="AH2240" s="2">
        <v>5</v>
      </c>
      <c r="AI2240" s="2" t="s">
        <v>274</v>
      </c>
      <c r="AJ2240" s="2">
        <v>35</v>
      </c>
      <c r="AK2240" s="2" t="s">
        <v>275</v>
      </c>
      <c r="AL2240" s="2">
        <v>23</v>
      </c>
      <c r="AM2240" s="2" t="s">
        <v>251</v>
      </c>
      <c r="AN2240" s="2"/>
      <c r="AO2240" s="2" t="s">
        <v>7640</v>
      </c>
      <c r="AP2240" s="2">
        <v>11</v>
      </c>
      <c r="AQ2240" s="2" t="s">
        <v>82</v>
      </c>
      <c r="AR2240" s="2"/>
      <c r="AS2240" s="2"/>
      <c r="AT2240" s="2" t="s">
        <v>7641</v>
      </c>
      <c r="AU2240" s="2"/>
      <c r="AV2240" s="2"/>
      <c r="AW2240" s="2"/>
      <c r="AX2240" s="2"/>
      <c r="AY2240" s="2">
        <v>1</v>
      </c>
      <c r="AZ2240" s="2" t="s">
        <v>107</v>
      </c>
      <c r="BA2240" s="2">
        <v>1</v>
      </c>
      <c r="BB2240" s="2" t="s">
        <v>107</v>
      </c>
      <c r="BC2240" s="2">
        <v>1</v>
      </c>
      <c r="BD2240" s="2" t="s">
        <v>107</v>
      </c>
      <c r="BE2240" s="2">
        <v>1</v>
      </c>
      <c r="BF2240" s="2" t="s">
        <v>107</v>
      </c>
      <c r="BG2240" s="2"/>
      <c r="BH2240" s="2"/>
      <c r="BI2240" s="2"/>
      <c r="BJ2240" s="2">
        <v>242</v>
      </c>
      <c r="BK2240" s="2" t="s">
        <v>107</v>
      </c>
      <c r="BL2240" s="2"/>
      <c r="BM2240" s="2">
        <v>242</v>
      </c>
      <c r="BN2240" s="2" t="s">
        <v>107</v>
      </c>
      <c r="BO2240" s="2"/>
      <c r="BP2240" s="2">
        <v>242</v>
      </c>
      <c r="BQ2240" s="2" t="s">
        <v>107</v>
      </c>
      <c r="BR2240" s="2"/>
      <c r="BS2240" s="3">
        <v>40329</v>
      </c>
      <c r="BT2240" s="4">
        <v>0.54706018518518518</v>
      </c>
    </row>
    <row r="2241" spans="1:72" x14ac:dyDescent="0.25">
      <c r="A2241" s="2">
        <v>3253</v>
      </c>
      <c r="B2241" s="2">
        <v>2010</v>
      </c>
      <c r="C2241" s="2" t="s">
        <v>4543</v>
      </c>
      <c r="D2241" s="2" t="s">
        <v>122</v>
      </c>
      <c r="E2241" s="2"/>
      <c r="F2241" s="2">
        <v>1</v>
      </c>
      <c r="G2241" s="2" t="s">
        <v>82</v>
      </c>
      <c r="H2241" s="2">
        <v>1</v>
      </c>
      <c r="I2241" s="2" t="s">
        <v>82</v>
      </c>
      <c r="J2241" s="2">
        <v>1</v>
      </c>
      <c r="K2241" s="2" t="s">
        <v>107</v>
      </c>
      <c r="L2241" s="2" t="s">
        <v>107</v>
      </c>
      <c r="M2241" s="3">
        <v>40329</v>
      </c>
      <c r="N2241" s="2"/>
      <c r="O2241" s="2"/>
      <c r="P2241" s="2"/>
      <c r="Q2241" s="2" t="str">
        <f>""</f>
        <v/>
      </c>
      <c r="R2241" s="2"/>
      <c r="S2241" s="2"/>
      <c r="T2241" s="2">
        <v>2</v>
      </c>
      <c r="U2241" s="2" t="s">
        <v>123</v>
      </c>
      <c r="V2241" s="2">
        <v>1</v>
      </c>
      <c r="W2241" s="2" t="s">
        <v>80</v>
      </c>
      <c r="X2241" s="2">
        <v>11</v>
      </c>
      <c r="Y2241" s="2" t="s">
        <v>1920</v>
      </c>
      <c r="Z2241" s="2">
        <v>1</v>
      </c>
      <c r="AA2241" s="2" t="s">
        <v>82</v>
      </c>
      <c r="AB2241" s="2">
        <v>9</v>
      </c>
      <c r="AC2241" s="2" t="s">
        <v>124</v>
      </c>
      <c r="AD2241" s="3">
        <v>40329</v>
      </c>
      <c r="AE2241" s="4">
        <v>0.5625</v>
      </c>
      <c r="AF2241" s="2"/>
      <c r="AG2241" s="2"/>
      <c r="AH2241" s="2">
        <v>6</v>
      </c>
      <c r="AI2241" s="2" t="s">
        <v>197</v>
      </c>
      <c r="AJ2241" s="2">
        <v>54</v>
      </c>
      <c r="AK2241" s="2" t="s">
        <v>348</v>
      </c>
      <c r="AL2241" s="2">
        <v>18</v>
      </c>
      <c r="AM2241" s="2" t="s">
        <v>82</v>
      </c>
      <c r="AN2241" s="2" t="s">
        <v>595</v>
      </c>
      <c r="AO2241" s="2" t="s">
        <v>200</v>
      </c>
      <c r="AP2241" s="2">
        <v>12</v>
      </c>
      <c r="AQ2241" s="2" t="s">
        <v>322</v>
      </c>
      <c r="AR2241" s="2" t="s">
        <v>596</v>
      </c>
      <c r="AS2241" s="2" t="s">
        <v>596</v>
      </c>
      <c r="AT2241" s="2" t="s">
        <v>7642</v>
      </c>
      <c r="AU2241" s="2"/>
      <c r="AV2241" s="2"/>
      <c r="AW2241" s="2"/>
      <c r="AX2241" s="2"/>
      <c r="AY2241" s="2">
        <v>1</v>
      </c>
      <c r="AZ2241" s="2" t="s">
        <v>107</v>
      </c>
      <c r="BA2241" s="2">
        <v>1</v>
      </c>
      <c r="BB2241" s="2" t="s">
        <v>107</v>
      </c>
      <c r="BC2241" s="2">
        <v>1</v>
      </c>
      <c r="BD2241" s="2" t="s">
        <v>107</v>
      </c>
      <c r="BE2241" s="2">
        <v>47</v>
      </c>
      <c r="BF2241" s="2" t="s">
        <v>167</v>
      </c>
      <c r="BG2241" s="2" t="s">
        <v>3794</v>
      </c>
      <c r="BH2241" s="4">
        <v>0.51388888888888895</v>
      </c>
      <c r="BI2241" s="4">
        <v>0.5625</v>
      </c>
      <c r="BJ2241" s="2">
        <v>13</v>
      </c>
      <c r="BK2241" s="2" t="s">
        <v>91</v>
      </c>
      <c r="BL2241" s="2" t="s">
        <v>7629</v>
      </c>
      <c r="BM2241" s="2">
        <v>242</v>
      </c>
      <c r="BN2241" s="2" t="s">
        <v>107</v>
      </c>
      <c r="BO2241" s="2" t="s">
        <v>107</v>
      </c>
      <c r="BP2241" s="2">
        <v>13</v>
      </c>
      <c r="BQ2241" s="2" t="s">
        <v>91</v>
      </c>
      <c r="BR2241" s="2" t="s">
        <v>905</v>
      </c>
      <c r="BS2241" s="3">
        <v>40329</v>
      </c>
      <c r="BT2241" s="4">
        <v>0.58569444444444441</v>
      </c>
    </row>
    <row r="2242" spans="1:72" x14ac:dyDescent="0.25">
      <c r="A2242" s="2">
        <v>3255</v>
      </c>
      <c r="B2242" s="2">
        <v>2010</v>
      </c>
      <c r="C2242" s="2" t="s">
        <v>4543</v>
      </c>
      <c r="D2242" s="2" t="s">
        <v>122</v>
      </c>
      <c r="E2242" s="2" t="s">
        <v>7643</v>
      </c>
      <c r="F2242" s="2">
        <v>388</v>
      </c>
      <c r="G2242" s="2" t="s">
        <v>3114</v>
      </c>
      <c r="H2242" s="2">
        <v>22</v>
      </c>
      <c r="I2242" s="2" t="s">
        <v>75</v>
      </c>
      <c r="J2242" s="2">
        <v>452</v>
      </c>
      <c r="K2242" s="2" t="s">
        <v>3115</v>
      </c>
      <c r="L2242" s="2" t="s">
        <v>3116</v>
      </c>
      <c r="M2242" s="3">
        <v>40329</v>
      </c>
      <c r="N2242" s="2" t="s">
        <v>3697</v>
      </c>
      <c r="O2242" s="2" t="s">
        <v>7644</v>
      </c>
      <c r="P2242" s="2">
        <v>48984</v>
      </c>
      <c r="Q2242" s="2" t="str">
        <f>"0004"</f>
        <v>0004</v>
      </c>
      <c r="R2242" s="2" t="s">
        <v>3155</v>
      </c>
      <c r="S2242" s="2" t="s">
        <v>3155</v>
      </c>
      <c r="T2242" s="2">
        <v>2</v>
      </c>
      <c r="U2242" s="2" t="s">
        <v>123</v>
      </c>
      <c r="V2242" s="2">
        <v>1</v>
      </c>
      <c r="W2242" s="2" t="s">
        <v>80</v>
      </c>
      <c r="X2242" s="2">
        <v>5</v>
      </c>
      <c r="Y2242" s="2" t="s">
        <v>82</v>
      </c>
      <c r="Z2242" s="2">
        <v>1</v>
      </c>
      <c r="AA2242" s="2" t="s">
        <v>82</v>
      </c>
      <c r="AB2242" s="2">
        <v>9</v>
      </c>
      <c r="AC2242" s="2" t="s">
        <v>124</v>
      </c>
      <c r="AD2242" s="2"/>
      <c r="AE2242" s="2"/>
      <c r="AF2242" s="2"/>
      <c r="AG2242" s="2"/>
      <c r="AH2242" s="2">
        <v>5</v>
      </c>
      <c r="AI2242" s="2" t="s">
        <v>274</v>
      </c>
      <c r="AJ2242" s="2">
        <v>43</v>
      </c>
      <c r="AK2242" s="2" t="s">
        <v>918</v>
      </c>
      <c r="AL2242" s="2">
        <v>18</v>
      </c>
      <c r="AM2242" s="2" t="s">
        <v>82</v>
      </c>
      <c r="AN2242" s="2"/>
      <c r="AO2242" s="2"/>
      <c r="AP2242" s="2">
        <v>11</v>
      </c>
      <c r="AQ2242" s="2" t="s">
        <v>82</v>
      </c>
      <c r="AR2242" s="2"/>
      <c r="AS2242" s="2"/>
      <c r="AT2242" s="2" t="s">
        <v>7645</v>
      </c>
      <c r="AU2242" s="2"/>
      <c r="AV2242" s="2"/>
      <c r="AW2242" s="2"/>
      <c r="AX2242" s="2"/>
      <c r="AY2242" s="2">
        <v>1</v>
      </c>
      <c r="AZ2242" s="2" t="s">
        <v>107</v>
      </c>
      <c r="BA2242" s="2">
        <v>1</v>
      </c>
      <c r="BB2242" s="2" t="s">
        <v>107</v>
      </c>
      <c r="BC2242" s="2">
        <v>1</v>
      </c>
      <c r="BD2242" s="2" t="s">
        <v>107</v>
      </c>
      <c r="BE2242" s="2">
        <v>1</v>
      </c>
      <c r="BF2242" s="2" t="s">
        <v>107</v>
      </c>
      <c r="BG2242" s="2"/>
      <c r="BH2242" s="2"/>
      <c r="BI2242" s="2"/>
      <c r="BJ2242" s="2">
        <v>242</v>
      </c>
      <c r="BK2242" s="2" t="s">
        <v>107</v>
      </c>
      <c r="BL2242" s="2"/>
      <c r="BM2242" s="2">
        <v>242</v>
      </c>
      <c r="BN2242" s="2" t="s">
        <v>107</v>
      </c>
      <c r="BO2242" s="2"/>
      <c r="BP2242" s="2">
        <v>242</v>
      </c>
      <c r="BQ2242" s="2" t="s">
        <v>107</v>
      </c>
      <c r="BR2242" s="2"/>
      <c r="BS2242" s="3">
        <v>40329</v>
      </c>
      <c r="BT2242" s="4">
        <v>0.60038194444444448</v>
      </c>
    </row>
    <row r="2243" spans="1:72" x14ac:dyDescent="0.25">
      <c r="A2243" s="2">
        <v>3258</v>
      </c>
      <c r="B2243" s="2">
        <v>2010</v>
      </c>
      <c r="C2243" s="2" t="s">
        <v>93</v>
      </c>
      <c r="D2243" s="2" t="s">
        <v>73</v>
      </c>
      <c r="E2243" s="2"/>
      <c r="F2243" s="2">
        <v>198</v>
      </c>
      <c r="G2243" s="2" t="s">
        <v>7646</v>
      </c>
      <c r="H2243" s="2">
        <v>116</v>
      </c>
      <c r="I2243" s="2" t="s">
        <v>7647</v>
      </c>
      <c r="J2243" s="2">
        <v>206</v>
      </c>
      <c r="K2243" s="2" t="s">
        <v>7648</v>
      </c>
      <c r="L2243" s="2" t="s">
        <v>2518</v>
      </c>
      <c r="M2243" s="3">
        <v>40329</v>
      </c>
      <c r="N2243" s="2" t="s">
        <v>7649</v>
      </c>
      <c r="O2243" s="2" t="s">
        <v>6702</v>
      </c>
      <c r="P2243" s="2">
        <v>4836</v>
      </c>
      <c r="Q2243" s="2" t="str">
        <f>"0069/10"</f>
        <v>0069/10</v>
      </c>
      <c r="R2243" s="2"/>
      <c r="S2243" s="2" t="s">
        <v>3812</v>
      </c>
      <c r="T2243" s="2">
        <v>1</v>
      </c>
      <c r="U2243" s="2" t="s">
        <v>79</v>
      </c>
      <c r="V2243" s="2">
        <v>1</v>
      </c>
      <c r="W2243" s="2" t="s">
        <v>80</v>
      </c>
      <c r="X2243" s="2">
        <v>10</v>
      </c>
      <c r="Y2243" s="2" t="s">
        <v>226</v>
      </c>
      <c r="Z2243" s="2">
        <v>9</v>
      </c>
      <c r="AA2243" s="2" t="s">
        <v>1119</v>
      </c>
      <c r="AB2243" s="2">
        <v>2</v>
      </c>
      <c r="AC2243" s="2" t="s">
        <v>102</v>
      </c>
      <c r="AD2243" s="3">
        <v>40329</v>
      </c>
      <c r="AE2243" s="4">
        <v>0.4375</v>
      </c>
      <c r="AF2243" s="2"/>
      <c r="AG2243" s="2"/>
      <c r="AH2243" s="2">
        <v>5</v>
      </c>
      <c r="AI2243" s="2" t="s">
        <v>274</v>
      </c>
      <c r="AJ2243" s="2">
        <v>38</v>
      </c>
      <c r="AK2243" s="2" t="s">
        <v>1120</v>
      </c>
      <c r="AL2243" s="2">
        <v>14</v>
      </c>
      <c r="AM2243" s="2" t="s">
        <v>216</v>
      </c>
      <c r="AN2243" s="2"/>
      <c r="AO2243" s="2" t="s">
        <v>7650</v>
      </c>
      <c r="AP2243" s="2">
        <v>11</v>
      </c>
      <c r="AQ2243" s="2" t="s">
        <v>82</v>
      </c>
      <c r="AR2243" s="2"/>
      <c r="AS2243" s="2"/>
      <c r="AT2243" s="2" t="s">
        <v>7651</v>
      </c>
      <c r="AU2243" s="2"/>
      <c r="AV2243" s="2"/>
      <c r="AW2243" s="2"/>
      <c r="AX2243" s="2"/>
      <c r="AY2243" s="2">
        <v>41</v>
      </c>
      <c r="AZ2243" s="2" t="s">
        <v>82</v>
      </c>
      <c r="BA2243" s="2">
        <v>41</v>
      </c>
      <c r="BB2243" s="2" t="s">
        <v>82</v>
      </c>
      <c r="BC2243" s="2">
        <v>41</v>
      </c>
      <c r="BD2243" s="2" t="s">
        <v>82</v>
      </c>
      <c r="BE2243" s="2">
        <v>13</v>
      </c>
      <c r="BF2243" s="2" t="s">
        <v>108</v>
      </c>
      <c r="BG2243" s="2">
        <v>1721</v>
      </c>
      <c r="BH2243" s="4">
        <v>0.40972222222222227</v>
      </c>
      <c r="BI2243" s="4">
        <v>0.4375</v>
      </c>
      <c r="BJ2243" s="2">
        <v>13</v>
      </c>
      <c r="BK2243" s="2" t="s">
        <v>91</v>
      </c>
      <c r="BL2243" s="2" t="s">
        <v>2005</v>
      </c>
      <c r="BM2243" s="2">
        <v>241</v>
      </c>
      <c r="BN2243" s="2" t="s">
        <v>82</v>
      </c>
      <c r="BO2243" s="2"/>
      <c r="BP2243" s="2">
        <v>13</v>
      </c>
      <c r="BQ2243" s="2" t="s">
        <v>91</v>
      </c>
      <c r="BR2243" s="2" t="s">
        <v>170</v>
      </c>
      <c r="BS2243" s="3">
        <v>40329</v>
      </c>
      <c r="BT2243" s="4">
        <v>0.66901620370370374</v>
      </c>
    </row>
    <row r="2244" spans="1:72" x14ac:dyDescent="0.25">
      <c r="A2244" s="2">
        <v>3259</v>
      </c>
      <c r="B2244" s="2">
        <v>2010</v>
      </c>
      <c r="C2244" s="2" t="s">
        <v>93</v>
      </c>
      <c r="D2244" s="2" t="s">
        <v>73</v>
      </c>
      <c r="E2244" s="2"/>
      <c r="F2244" s="2">
        <v>218</v>
      </c>
      <c r="G2244" s="2" t="s">
        <v>1698</v>
      </c>
      <c r="H2244" s="2">
        <v>52</v>
      </c>
      <c r="I2244" s="2" t="s">
        <v>1750</v>
      </c>
      <c r="J2244" s="2">
        <v>231</v>
      </c>
      <c r="K2244" s="2" t="s">
        <v>1700</v>
      </c>
      <c r="L2244" s="2" t="s">
        <v>1701</v>
      </c>
      <c r="M2244" s="3">
        <v>40329</v>
      </c>
      <c r="N2244" s="2" t="s">
        <v>7652</v>
      </c>
      <c r="O2244" s="2" t="s">
        <v>1130</v>
      </c>
      <c r="P2244" s="2">
        <v>69924</v>
      </c>
      <c r="Q2244" s="2" t="str">
        <f>"0070/10"</f>
        <v>0070/10</v>
      </c>
      <c r="R2244" s="2"/>
      <c r="S2244" s="2" t="s">
        <v>3752</v>
      </c>
      <c r="T2244" s="2">
        <v>1</v>
      </c>
      <c r="U2244" s="2" t="s">
        <v>79</v>
      </c>
      <c r="V2244" s="2">
        <v>1</v>
      </c>
      <c r="W2244" s="2" t="s">
        <v>80</v>
      </c>
      <c r="X2244" s="2">
        <v>10</v>
      </c>
      <c r="Y2244" s="2" t="s">
        <v>226</v>
      </c>
      <c r="Z2244" s="2">
        <v>9</v>
      </c>
      <c r="AA2244" s="2" t="s">
        <v>1119</v>
      </c>
      <c r="AB2244" s="2">
        <v>2</v>
      </c>
      <c r="AC2244" s="2" t="s">
        <v>102</v>
      </c>
      <c r="AD2244" s="3">
        <v>40329</v>
      </c>
      <c r="AE2244" s="4">
        <v>0.4375</v>
      </c>
      <c r="AF2244" s="2"/>
      <c r="AG2244" s="2"/>
      <c r="AH2244" s="2">
        <v>5</v>
      </c>
      <c r="AI2244" s="2" t="s">
        <v>274</v>
      </c>
      <c r="AJ2244" s="2">
        <v>38</v>
      </c>
      <c r="AK2244" s="2" t="s">
        <v>1120</v>
      </c>
      <c r="AL2244" s="2">
        <v>14</v>
      </c>
      <c r="AM2244" s="2" t="s">
        <v>216</v>
      </c>
      <c r="AN2244" s="2"/>
      <c r="AO2244" s="2" t="s">
        <v>7653</v>
      </c>
      <c r="AP2244" s="2">
        <v>11</v>
      </c>
      <c r="AQ2244" s="2" t="s">
        <v>82</v>
      </c>
      <c r="AR2244" s="2"/>
      <c r="AS2244" s="2"/>
      <c r="AT2244" s="2" t="s">
        <v>7654</v>
      </c>
      <c r="AU2244" s="2"/>
      <c r="AV2244" s="2"/>
      <c r="AW2244" s="2"/>
      <c r="AX2244" s="2"/>
      <c r="AY2244" s="2">
        <v>41</v>
      </c>
      <c r="AZ2244" s="2" t="s">
        <v>82</v>
      </c>
      <c r="BA2244" s="2">
        <v>41</v>
      </c>
      <c r="BB2244" s="2" t="s">
        <v>82</v>
      </c>
      <c r="BC2244" s="2">
        <v>41</v>
      </c>
      <c r="BD2244" s="2" t="s">
        <v>82</v>
      </c>
      <c r="BE2244" s="2">
        <v>13</v>
      </c>
      <c r="BF2244" s="2" t="s">
        <v>108</v>
      </c>
      <c r="BG2244" s="2">
        <v>1721</v>
      </c>
      <c r="BH2244" s="4">
        <v>0.40972222222222227</v>
      </c>
      <c r="BI2244" s="4">
        <v>0.4375</v>
      </c>
      <c r="BJ2244" s="2">
        <v>13</v>
      </c>
      <c r="BK2244" s="2" t="s">
        <v>91</v>
      </c>
      <c r="BL2244" s="2" t="s">
        <v>2005</v>
      </c>
      <c r="BM2244" s="2">
        <v>241</v>
      </c>
      <c r="BN2244" s="2" t="s">
        <v>82</v>
      </c>
      <c r="BO2244" s="2"/>
      <c r="BP2244" s="2">
        <v>13</v>
      </c>
      <c r="BQ2244" s="2" t="s">
        <v>91</v>
      </c>
      <c r="BR2244" s="2" t="s">
        <v>170</v>
      </c>
      <c r="BS2244" s="3">
        <v>40329</v>
      </c>
      <c r="BT2244" s="4">
        <v>0.69862268518518522</v>
      </c>
    </row>
    <row r="2245" spans="1:72" x14ac:dyDescent="0.25">
      <c r="A2245" s="2">
        <v>3260</v>
      </c>
      <c r="B2245" s="2">
        <v>2010</v>
      </c>
      <c r="C2245" s="2" t="s">
        <v>93</v>
      </c>
      <c r="D2245" s="2" t="s">
        <v>73</v>
      </c>
      <c r="E2245" s="2"/>
      <c r="F2245" s="2">
        <v>178</v>
      </c>
      <c r="G2245" s="2" t="s">
        <v>555</v>
      </c>
      <c r="H2245" s="2">
        <v>68</v>
      </c>
      <c r="I2245" s="2" t="s">
        <v>3747</v>
      </c>
      <c r="J2245" s="2">
        <v>186</v>
      </c>
      <c r="K2245" s="2" t="s">
        <v>6700</v>
      </c>
      <c r="L2245" s="2" t="s">
        <v>1752</v>
      </c>
      <c r="M2245" s="3">
        <v>40329</v>
      </c>
      <c r="N2245" s="2" t="s">
        <v>7655</v>
      </c>
      <c r="O2245" s="2" t="s">
        <v>6702</v>
      </c>
      <c r="P2245" s="2">
        <v>47348</v>
      </c>
      <c r="Q2245" s="2" t="str">
        <f>"0073/10"</f>
        <v>0073/10</v>
      </c>
      <c r="R2245" s="2"/>
      <c r="S2245" s="2" t="s">
        <v>7656</v>
      </c>
      <c r="T2245" s="2">
        <v>1</v>
      </c>
      <c r="U2245" s="2" t="s">
        <v>79</v>
      </c>
      <c r="V2245" s="2">
        <v>1</v>
      </c>
      <c r="W2245" s="2" t="s">
        <v>80</v>
      </c>
      <c r="X2245" s="2">
        <v>10</v>
      </c>
      <c r="Y2245" s="2" t="s">
        <v>226</v>
      </c>
      <c r="Z2245" s="2">
        <v>9</v>
      </c>
      <c r="AA2245" s="2" t="s">
        <v>1119</v>
      </c>
      <c r="AB2245" s="2">
        <v>2</v>
      </c>
      <c r="AC2245" s="2" t="s">
        <v>102</v>
      </c>
      <c r="AD2245" s="3">
        <v>40329</v>
      </c>
      <c r="AE2245" s="4">
        <v>0.4375</v>
      </c>
      <c r="AF2245" s="2"/>
      <c r="AG2245" s="2"/>
      <c r="AH2245" s="2">
        <v>5</v>
      </c>
      <c r="AI2245" s="2" t="s">
        <v>274</v>
      </c>
      <c r="AJ2245" s="2">
        <v>38</v>
      </c>
      <c r="AK2245" s="2" t="s">
        <v>1120</v>
      </c>
      <c r="AL2245" s="2">
        <v>14</v>
      </c>
      <c r="AM2245" s="2" t="s">
        <v>216</v>
      </c>
      <c r="AN2245" s="2"/>
      <c r="AO2245" s="2" t="s">
        <v>7650</v>
      </c>
      <c r="AP2245" s="2">
        <v>11</v>
      </c>
      <c r="AQ2245" s="2" t="s">
        <v>82</v>
      </c>
      <c r="AR2245" s="2"/>
      <c r="AS2245" s="2"/>
      <c r="AT2245" s="2" t="s">
        <v>7657</v>
      </c>
      <c r="AU2245" s="2"/>
      <c r="AV2245" s="2"/>
      <c r="AW2245" s="2"/>
      <c r="AX2245" s="2"/>
      <c r="AY2245" s="2">
        <v>41</v>
      </c>
      <c r="AZ2245" s="2" t="s">
        <v>82</v>
      </c>
      <c r="BA2245" s="2">
        <v>41</v>
      </c>
      <c r="BB2245" s="2" t="s">
        <v>82</v>
      </c>
      <c r="BC2245" s="2">
        <v>41</v>
      </c>
      <c r="BD2245" s="2" t="s">
        <v>82</v>
      </c>
      <c r="BE2245" s="2">
        <v>13</v>
      </c>
      <c r="BF2245" s="2" t="s">
        <v>108</v>
      </c>
      <c r="BG2245" s="2">
        <v>1721</v>
      </c>
      <c r="BH2245" s="4">
        <v>0.40972222222222227</v>
      </c>
      <c r="BI2245" s="4">
        <v>0.4375</v>
      </c>
      <c r="BJ2245" s="2">
        <v>13</v>
      </c>
      <c r="BK2245" s="2" t="s">
        <v>91</v>
      </c>
      <c r="BL2245" s="2" t="s">
        <v>2005</v>
      </c>
      <c r="BM2245" s="2">
        <v>241</v>
      </c>
      <c r="BN2245" s="2" t="s">
        <v>82</v>
      </c>
      <c r="BO2245" s="2"/>
      <c r="BP2245" s="2">
        <v>13</v>
      </c>
      <c r="BQ2245" s="2" t="s">
        <v>91</v>
      </c>
      <c r="BR2245" s="2" t="s">
        <v>170</v>
      </c>
      <c r="BS2245" s="3">
        <v>40329</v>
      </c>
      <c r="BT2245" s="4">
        <v>0.70416666666666661</v>
      </c>
    </row>
    <row r="2246" spans="1:72" x14ac:dyDescent="0.25">
      <c r="A2246" s="2">
        <v>3262</v>
      </c>
      <c r="B2246" s="2">
        <v>2010</v>
      </c>
      <c r="C2246" s="2" t="s">
        <v>93</v>
      </c>
      <c r="D2246" s="2" t="s">
        <v>73</v>
      </c>
      <c r="E2246" s="2"/>
      <c r="F2246" s="2">
        <v>216</v>
      </c>
      <c r="G2246" s="2" t="s">
        <v>7658</v>
      </c>
      <c r="H2246" s="2">
        <v>117</v>
      </c>
      <c r="I2246" s="2" t="s">
        <v>7659</v>
      </c>
      <c r="J2246" s="2">
        <v>568</v>
      </c>
      <c r="K2246" s="2" t="s">
        <v>7660</v>
      </c>
      <c r="L2246" s="2" t="s">
        <v>7661</v>
      </c>
      <c r="M2246" s="3">
        <v>40329</v>
      </c>
      <c r="N2246" s="2" t="s">
        <v>7662</v>
      </c>
      <c r="O2246" s="2" t="s">
        <v>7663</v>
      </c>
      <c r="P2246" s="2">
        <v>33641</v>
      </c>
      <c r="Q2246" s="2" t="str">
        <f>""</f>
        <v/>
      </c>
      <c r="R2246" s="2"/>
      <c r="S2246" s="2"/>
      <c r="T2246" s="2">
        <v>1</v>
      </c>
      <c r="U2246" s="2" t="s">
        <v>79</v>
      </c>
      <c r="V2246" s="2">
        <v>1</v>
      </c>
      <c r="W2246" s="2" t="s">
        <v>80</v>
      </c>
      <c r="X2246" s="2">
        <v>10</v>
      </c>
      <c r="Y2246" s="2" t="s">
        <v>226</v>
      </c>
      <c r="Z2246" s="2">
        <v>6</v>
      </c>
      <c r="AA2246" s="2" t="s">
        <v>101</v>
      </c>
      <c r="AB2246" s="2">
        <v>2</v>
      </c>
      <c r="AC2246" s="2" t="s">
        <v>102</v>
      </c>
      <c r="AD2246" s="3">
        <v>40329</v>
      </c>
      <c r="AE2246" s="4">
        <v>0.375</v>
      </c>
      <c r="AF2246" s="2"/>
      <c r="AG2246" s="2"/>
      <c r="AH2246" s="2">
        <v>2</v>
      </c>
      <c r="AI2246" s="2" t="s">
        <v>84</v>
      </c>
      <c r="AJ2246" s="2">
        <v>9</v>
      </c>
      <c r="AK2246" s="2" t="s">
        <v>103</v>
      </c>
      <c r="AL2246" s="2">
        <v>14</v>
      </c>
      <c r="AM2246" s="2" t="s">
        <v>216</v>
      </c>
      <c r="AN2246" s="2"/>
      <c r="AO2246" s="2" t="s">
        <v>7664</v>
      </c>
      <c r="AP2246" s="2">
        <v>11</v>
      </c>
      <c r="AQ2246" s="2" t="s">
        <v>82</v>
      </c>
      <c r="AR2246" s="2"/>
      <c r="AS2246" s="2"/>
      <c r="AT2246" s="2" t="s">
        <v>7665</v>
      </c>
      <c r="AU2246" s="2"/>
      <c r="AV2246" s="2"/>
      <c r="AW2246" s="2"/>
      <c r="AX2246" s="2"/>
      <c r="AY2246" s="2">
        <v>41</v>
      </c>
      <c r="AZ2246" s="2" t="s">
        <v>82</v>
      </c>
      <c r="BA2246" s="2">
        <v>115</v>
      </c>
      <c r="BB2246" s="2" t="s">
        <v>101</v>
      </c>
      <c r="BC2246" s="2">
        <v>41</v>
      </c>
      <c r="BD2246" s="2" t="s">
        <v>82</v>
      </c>
      <c r="BE2246" s="2">
        <v>17</v>
      </c>
      <c r="BF2246" s="2" t="s">
        <v>508</v>
      </c>
      <c r="BG2246" s="2">
        <v>4521</v>
      </c>
      <c r="BH2246" s="4">
        <v>0.33333333333333331</v>
      </c>
      <c r="BI2246" s="4">
        <v>9.2361111111111116E-2</v>
      </c>
      <c r="BJ2246" s="2">
        <v>75</v>
      </c>
      <c r="BK2246" s="2" t="s">
        <v>1264</v>
      </c>
      <c r="BL2246" s="2" t="s">
        <v>1361</v>
      </c>
      <c r="BM2246" s="2">
        <v>241</v>
      </c>
      <c r="BN2246" s="2" t="s">
        <v>82</v>
      </c>
      <c r="BO2246" s="2"/>
      <c r="BP2246" s="2">
        <v>13</v>
      </c>
      <c r="BQ2246" s="2" t="s">
        <v>91</v>
      </c>
      <c r="BR2246" s="2" t="s">
        <v>1108</v>
      </c>
      <c r="BS2246" s="3">
        <v>40329</v>
      </c>
      <c r="BT2246" s="4">
        <v>0.73372685185185194</v>
      </c>
    </row>
    <row r="2247" spans="1:72" x14ac:dyDescent="0.25">
      <c r="A2247" s="2">
        <v>3264</v>
      </c>
      <c r="B2247" s="2">
        <v>2010</v>
      </c>
      <c r="C2247" s="2" t="s">
        <v>93</v>
      </c>
      <c r="D2247" s="2" t="s">
        <v>73</v>
      </c>
      <c r="E2247" s="2"/>
      <c r="F2247" s="2">
        <v>207</v>
      </c>
      <c r="G2247" s="2" t="s">
        <v>7666</v>
      </c>
      <c r="H2247" s="2">
        <v>118</v>
      </c>
      <c r="I2247" s="2" t="s">
        <v>7667</v>
      </c>
      <c r="J2247" s="2">
        <v>218</v>
      </c>
      <c r="K2247" s="2" t="s">
        <v>7668</v>
      </c>
      <c r="L2247" s="2" t="s">
        <v>7669</v>
      </c>
      <c r="M2247" s="3">
        <v>40329</v>
      </c>
      <c r="N2247" s="2" t="s">
        <v>7670</v>
      </c>
      <c r="O2247" s="2" t="s">
        <v>601</v>
      </c>
      <c r="P2247" s="2">
        <v>17211</v>
      </c>
      <c r="Q2247" s="2" t="str">
        <f>"0072/10"</f>
        <v>0072/10</v>
      </c>
      <c r="R2247" s="2"/>
      <c r="S2247" s="2" t="s">
        <v>7656</v>
      </c>
      <c r="T2247" s="2">
        <v>1</v>
      </c>
      <c r="U2247" s="2" t="s">
        <v>79</v>
      </c>
      <c r="V2247" s="2">
        <v>1</v>
      </c>
      <c r="W2247" s="2" t="s">
        <v>80</v>
      </c>
      <c r="X2247" s="2">
        <v>10</v>
      </c>
      <c r="Y2247" s="2" t="s">
        <v>226</v>
      </c>
      <c r="Z2247" s="2">
        <v>9</v>
      </c>
      <c r="AA2247" s="2" t="s">
        <v>1119</v>
      </c>
      <c r="AB2247" s="2">
        <v>2</v>
      </c>
      <c r="AC2247" s="2" t="s">
        <v>102</v>
      </c>
      <c r="AD2247" s="3">
        <v>40329</v>
      </c>
      <c r="AE2247" s="4">
        <v>0.4375</v>
      </c>
      <c r="AF2247" s="2"/>
      <c r="AG2247" s="2"/>
      <c r="AH2247" s="2">
        <v>5</v>
      </c>
      <c r="AI2247" s="2" t="s">
        <v>274</v>
      </c>
      <c r="AJ2247" s="2">
        <v>38</v>
      </c>
      <c r="AK2247" s="2" t="s">
        <v>1120</v>
      </c>
      <c r="AL2247" s="2">
        <v>14</v>
      </c>
      <c r="AM2247" s="2" t="s">
        <v>216</v>
      </c>
      <c r="AN2247" s="2"/>
      <c r="AO2247" s="2" t="s">
        <v>7650</v>
      </c>
      <c r="AP2247" s="2">
        <v>11</v>
      </c>
      <c r="AQ2247" s="2" t="s">
        <v>82</v>
      </c>
      <c r="AR2247" s="2"/>
      <c r="AS2247" s="2"/>
      <c r="AT2247" s="2" t="s">
        <v>7671</v>
      </c>
      <c r="AU2247" s="2"/>
      <c r="AV2247" s="2"/>
      <c r="AW2247" s="2"/>
      <c r="AX2247" s="2"/>
      <c r="AY2247" s="2">
        <v>41</v>
      </c>
      <c r="AZ2247" s="2" t="s">
        <v>82</v>
      </c>
      <c r="BA2247" s="2">
        <v>41</v>
      </c>
      <c r="BB2247" s="2" t="s">
        <v>82</v>
      </c>
      <c r="BC2247" s="2">
        <v>41</v>
      </c>
      <c r="BD2247" s="2" t="s">
        <v>82</v>
      </c>
      <c r="BE2247" s="2">
        <v>13</v>
      </c>
      <c r="BF2247" s="2" t="s">
        <v>108</v>
      </c>
      <c r="BG2247" s="2">
        <v>1721</v>
      </c>
      <c r="BH2247" s="4">
        <v>0.40972222222222227</v>
      </c>
      <c r="BI2247" s="4">
        <v>0.4375</v>
      </c>
      <c r="BJ2247" s="2">
        <v>13</v>
      </c>
      <c r="BK2247" s="2" t="s">
        <v>91</v>
      </c>
      <c r="BL2247" s="2" t="s">
        <v>2005</v>
      </c>
      <c r="BM2247" s="2">
        <v>241</v>
      </c>
      <c r="BN2247" s="2" t="s">
        <v>82</v>
      </c>
      <c r="BO2247" s="2"/>
      <c r="BP2247" s="2">
        <v>13</v>
      </c>
      <c r="BQ2247" s="2" t="s">
        <v>91</v>
      </c>
      <c r="BR2247" s="2" t="s">
        <v>170</v>
      </c>
      <c r="BS2247" s="3">
        <v>40329</v>
      </c>
      <c r="BT2247" s="4">
        <v>0.77878472222222228</v>
      </c>
    </row>
    <row r="2248" spans="1:72" x14ac:dyDescent="0.25">
      <c r="A2248" s="2">
        <v>3265</v>
      </c>
      <c r="B2248" s="2">
        <v>2010</v>
      </c>
      <c r="C2248" s="2" t="s">
        <v>72</v>
      </c>
      <c r="D2248" s="2" t="s">
        <v>73</v>
      </c>
      <c r="E2248" s="2"/>
      <c r="F2248" s="2">
        <v>390</v>
      </c>
      <c r="G2248" s="2" t="s">
        <v>475</v>
      </c>
      <c r="H2248" s="2">
        <v>6</v>
      </c>
      <c r="I2248" s="2" t="s">
        <v>1088</v>
      </c>
      <c r="J2248" s="2">
        <v>533</v>
      </c>
      <c r="K2248" s="2" t="s">
        <v>6511</v>
      </c>
      <c r="L2248" s="2" t="s">
        <v>478</v>
      </c>
      <c r="M2248" s="3">
        <v>40329</v>
      </c>
      <c r="N2248" s="2" t="s">
        <v>6512</v>
      </c>
      <c r="O2248" s="2" t="s">
        <v>7672</v>
      </c>
      <c r="P2248" s="2">
        <v>6011</v>
      </c>
      <c r="Q2248" s="2" t="str">
        <f>"288-E/10"</f>
        <v>288-E/10</v>
      </c>
      <c r="R2248" s="2" t="s">
        <v>601</v>
      </c>
      <c r="S2248" s="2"/>
      <c r="T2248" s="2">
        <v>1</v>
      </c>
      <c r="U2248" s="2" t="s">
        <v>79</v>
      </c>
      <c r="V2248" s="2">
        <v>1</v>
      </c>
      <c r="W2248" s="2" t="s">
        <v>80</v>
      </c>
      <c r="X2248" s="2">
        <v>8</v>
      </c>
      <c r="Y2248" s="2" t="s">
        <v>375</v>
      </c>
      <c r="Z2248" s="2">
        <v>1</v>
      </c>
      <c r="AA2248" s="2" t="s">
        <v>82</v>
      </c>
      <c r="AB2248" s="2">
        <v>6</v>
      </c>
      <c r="AC2248" s="2" t="s">
        <v>83</v>
      </c>
      <c r="AD2248" s="3">
        <v>40329</v>
      </c>
      <c r="AE2248" s="4">
        <v>0.64583333333333337</v>
      </c>
      <c r="AF2248" s="2"/>
      <c r="AG2248" s="2"/>
      <c r="AH2248" s="2">
        <v>2</v>
      </c>
      <c r="AI2248" s="2" t="s">
        <v>84</v>
      </c>
      <c r="AJ2248" s="2">
        <v>9</v>
      </c>
      <c r="AK2248" s="2" t="s">
        <v>103</v>
      </c>
      <c r="AL2248" s="2">
        <v>23</v>
      </c>
      <c r="AM2248" s="2" t="s">
        <v>251</v>
      </c>
      <c r="AN2248" s="2" t="s">
        <v>7673</v>
      </c>
      <c r="AO2248" s="2" t="s">
        <v>7674</v>
      </c>
      <c r="AP2248" s="2">
        <v>11</v>
      </c>
      <c r="AQ2248" s="2" t="s">
        <v>82</v>
      </c>
      <c r="AR2248" s="2"/>
      <c r="AS2248" s="2"/>
      <c r="AT2248" s="2" t="s">
        <v>7675</v>
      </c>
      <c r="AU2248" s="2"/>
      <c r="AV2248" s="2"/>
      <c r="AW2248" s="2"/>
      <c r="AX2248" s="2"/>
      <c r="AY2248" s="2">
        <v>41</v>
      </c>
      <c r="AZ2248" s="2" t="s">
        <v>82</v>
      </c>
      <c r="BA2248" s="2">
        <v>41</v>
      </c>
      <c r="BB2248" s="2" t="s">
        <v>82</v>
      </c>
      <c r="BC2248" s="2">
        <v>41</v>
      </c>
      <c r="BD2248" s="2" t="s">
        <v>82</v>
      </c>
      <c r="BE2248" s="2">
        <v>41</v>
      </c>
      <c r="BF2248" s="2" t="s">
        <v>82</v>
      </c>
      <c r="BG2248" s="2"/>
      <c r="BH2248" s="2"/>
      <c r="BI2248" s="2"/>
      <c r="BJ2248" s="2">
        <v>241</v>
      </c>
      <c r="BK2248" s="2" t="s">
        <v>82</v>
      </c>
      <c r="BL2248" s="2"/>
      <c r="BM2248" s="2">
        <v>241</v>
      </c>
      <c r="BN2248" s="2" t="s">
        <v>82</v>
      </c>
      <c r="BO2248" s="2"/>
      <c r="BP2248" s="2">
        <v>241</v>
      </c>
      <c r="BQ2248" s="2" t="s">
        <v>82</v>
      </c>
      <c r="BR2248" s="2"/>
      <c r="BS2248" s="3">
        <v>40329</v>
      </c>
      <c r="BT2248" s="4">
        <v>0.78576388888888893</v>
      </c>
    </row>
    <row r="2249" spans="1:72" x14ac:dyDescent="0.25">
      <c r="A2249" s="2">
        <v>3266</v>
      </c>
      <c r="B2249" s="2">
        <v>2010</v>
      </c>
      <c r="C2249" s="2" t="s">
        <v>93</v>
      </c>
      <c r="D2249" s="2" t="s">
        <v>73</v>
      </c>
      <c r="E2249" s="2"/>
      <c r="F2249" s="2">
        <v>540</v>
      </c>
      <c r="G2249" s="2" t="s">
        <v>7178</v>
      </c>
      <c r="H2249" s="2">
        <v>4</v>
      </c>
      <c r="I2249" s="2" t="s">
        <v>173</v>
      </c>
      <c r="J2249" s="2">
        <v>451</v>
      </c>
      <c r="K2249" s="2" t="s">
        <v>3028</v>
      </c>
      <c r="L2249" s="2" t="s">
        <v>3029</v>
      </c>
      <c r="M2249" s="3">
        <v>40329</v>
      </c>
      <c r="N2249" s="2" t="s">
        <v>7676</v>
      </c>
      <c r="O2249" s="2" t="s">
        <v>7677</v>
      </c>
      <c r="P2249" s="2">
        <v>238</v>
      </c>
      <c r="Q2249" s="2" t="str">
        <f>"0071/10"</f>
        <v>0071/10</v>
      </c>
      <c r="R2249" s="2"/>
      <c r="S2249" s="2" t="s">
        <v>3812</v>
      </c>
      <c r="T2249" s="2">
        <v>1</v>
      </c>
      <c r="U2249" s="2" t="s">
        <v>79</v>
      </c>
      <c r="V2249" s="2">
        <v>1</v>
      </c>
      <c r="W2249" s="2" t="s">
        <v>80</v>
      </c>
      <c r="X2249" s="2">
        <v>10</v>
      </c>
      <c r="Y2249" s="2" t="s">
        <v>226</v>
      </c>
      <c r="Z2249" s="2">
        <v>9</v>
      </c>
      <c r="AA2249" s="2" t="s">
        <v>1119</v>
      </c>
      <c r="AB2249" s="2">
        <v>2</v>
      </c>
      <c r="AC2249" s="2" t="s">
        <v>102</v>
      </c>
      <c r="AD2249" s="3">
        <v>40329</v>
      </c>
      <c r="AE2249" s="4">
        <v>0.59930555555555554</v>
      </c>
      <c r="AF2249" s="2"/>
      <c r="AG2249" s="2"/>
      <c r="AH2249" s="2">
        <v>5</v>
      </c>
      <c r="AI2249" s="2" t="s">
        <v>274</v>
      </c>
      <c r="AJ2249" s="2">
        <v>38</v>
      </c>
      <c r="AK2249" s="2" t="s">
        <v>1120</v>
      </c>
      <c r="AL2249" s="2">
        <v>14</v>
      </c>
      <c r="AM2249" s="2" t="s">
        <v>216</v>
      </c>
      <c r="AN2249" s="2"/>
      <c r="AO2249" s="2" t="s">
        <v>7650</v>
      </c>
      <c r="AP2249" s="2">
        <v>11</v>
      </c>
      <c r="AQ2249" s="2" t="s">
        <v>82</v>
      </c>
      <c r="AR2249" s="2"/>
      <c r="AS2249" s="2"/>
      <c r="AT2249" s="2" t="s">
        <v>7678</v>
      </c>
      <c r="AU2249" s="2"/>
      <c r="AV2249" s="2"/>
      <c r="AW2249" s="2"/>
      <c r="AX2249" s="2"/>
      <c r="AY2249" s="2">
        <v>41</v>
      </c>
      <c r="AZ2249" s="2" t="s">
        <v>82</v>
      </c>
      <c r="BA2249" s="2">
        <v>41</v>
      </c>
      <c r="BB2249" s="2" t="s">
        <v>82</v>
      </c>
      <c r="BC2249" s="2">
        <v>41</v>
      </c>
      <c r="BD2249" s="2" t="s">
        <v>82</v>
      </c>
      <c r="BE2249" s="2">
        <v>48</v>
      </c>
      <c r="BF2249" s="2" t="s">
        <v>1123</v>
      </c>
      <c r="BG2249" s="2">
        <v>893</v>
      </c>
      <c r="BH2249" s="4">
        <v>0.55208333333333337</v>
      </c>
      <c r="BI2249" s="4">
        <v>0.625</v>
      </c>
      <c r="BJ2249" s="2">
        <v>13</v>
      </c>
      <c r="BK2249" s="2" t="s">
        <v>91</v>
      </c>
      <c r="BL2249" s="2" t="s">
        <v>2005</v>
      </c>
      <c r="BM2249" s="2">
        <v>13</v>
      </c>
      <c r="BN2249" s="2" t="s">
        <v>91</v>
      </c>
      <c r="BO2249" s="2" t="s">
        <v>7578</v>
      </c>
      <c r="BP2249" s="2">
        <v>13</v>
      </c>
      <c r="BQ2249" s="2" t="s">
        <v>91</v>
      </c>
      <c r="BR2249" s="2" t="s">
        <v>428</v>
      </c>
      <c r="BS2249" s="3">
        <v>40329</v>
      </c>
      <c r="BT2249" s="4">
        <v>0.79790509259259268</v>
      </c>
    </row>
    <row r="2250" spans="1:72" x14ac:dyDescent="0.25">
      <c r="A2250" s="2">
        <v>3267</v>
      </c>
      <c r="B2250" s="2">
        <v>2010</v>
      </c>
      <c r="C2250" s="2" t="s">
        <v>4543</v>
      </c>
      <c r="D2250" s="2" t="s">
        <v>122</v>
      </c>
      <c r="E2250" s="2"/>
      <c r="F2250" s="2">
        <v>1</v>
      </c>
      <c r="G2250" s="2" t="s">
        <v>82</v>
      </c>
      <c r="H2250" s="2">
        <v>1</v>
      </c>
      <c r="I2250" s="2" t="s">
        <v>82</v>
      </c>
      <c r="J2250" s="2">
        <v>1</v>
      </c>
      <c r="K2250" s="2" t="s">
        <v>107</v>
      </c>
      <c r="L2250" s="2" t="s">
        <v>107</v>
      </c>
      <c r="M2250" s="3">
        <v>40329</v>
      </c>
      <c r="N2250" s="2"/>
      <c r="O2250" s="2"/>
      <c r="P2250" s="2"/>
      <c r="Q2250" s="2" t="str">
        <f>""</f>
        <v/>
      </c>
      <c r="R2250" s="2"/>
      <c r="S2250" s="2"/>
      <c r="T2250" s="2">
        <v>2</v>
      </c>
      <c r="U2250" s="2" t="s">
        <v>123</v>
      </c>
      <c r="V2250" s="2">
        <v>1</v>
      </c>
      <c r="W2250" s="2" t="s">
        <v>80</v>
      </c>
      <c r="X2250" s="2">
        <v>5</v>
      </c>
      <c r="Y2250" s="2" t="s">
        <v>82</v>
      </c>
      <c r="Z2250" s="2">
        <v>1</v>
      </c>
      <c r="AA2250" s="2" t="s">
        <v>82</v>
      </c>
      <c r="AB2250" s="2">
        <v>9</v>
      </c>
      <c r="AC2250" s="2" t="s">
        <v>124</v>
      </c>
      <c r="AD2250" s="3">
        <v>40329</v>
      </c>
      <c r="AE2250" s="4">
        <v>0.83333333333333337</v>
      </c>
      <c r="AF2250" s="2"/>
      <c r="AG2250" s="2"/>
      <c r="AH2250" s="2">
        <v>5</v>
      </c>
      <c r="AI2250" s="2" t="s">
        <v>274</v>
      </c>
      <c r="AJ2250" s="2">
        <v>37</v>
      </c>
      <c r="AK2250" s="2" t="s">
        <v>497</v>
      </c>
      <c r="AL2250" s="2">
        <v>18</v>
      </c>
      <c r="AM2250" s="2" t="s">
        <v>82</v>
      </c>
      <c r="AN2250" s="2"/>
      <c r="AO2250" s="2"/>
      <c r="AP2250" s="2">
        <v>11</v>
      </c>
      <c r="AQ2250" s="2" t="s">
        <v>82</v>
      </c>
      <c r="AR2250" s="2" t="s">
        <v>7679</v>
      </c>
      <c r="AS2250" s="2" t="s">
        <v>7680</v>
      </c>
      <c r="AT2250" s="2" t="s">
        <v>7681</v>
      </c>
      <c r="AU2250" s="2"/>
      <c r="AV2250" s="2"/>
      <c r="AW2250" s="2"/>
      <c r="AX2250" s="2"/>
      <c r="AY2250" s="2">
        <v>1</v>
      </c>
      <c r="AZ2250" s="2" t="s">
        <v>107</v>
      </c>
      <c r="BA2250" s="2">
        <v>1</v>
      </c>
      <c r="BB2250" s="2" t="s">
        <v>107</v>
      </c>
      <c r="BC2250" s="2">
        <v>1</v>
      </c>
      <c r="BD2250" s="2" t="s">
        <v>107</v>
      </c>
      <c r="BE2250" s="2">
        <v>1</v>
      </c>
      <c r="BF2250" s="2" t="s">
        <v>107</v>
      </c>
      <c r="BG2250" s="2">
        <v>1759</v>
      </c>
      <c r="BH2250" s="4">
        <v>0.85763888888888884</v>
      </c>
      <c r="BI2250" s="4">
        <v>0.88194444444444453</v>
      </c>
      <c r="BJ2250" s="2">
        <v>242</v>
      </c>
      <c r="BK2250" s="2" t="s">
        <v>107</v>
      </c>
      <c r="BL2250" s="2" t="s">
        <v>170</v>
      </c>
      <c r="BM2250" s="2">
        <v>242</v>
      </c>
      <c r="BN2250" s="2" t="s">
        <v>107</v>
      </c>
      <c r="BO2250" s="2" t="s">
        <v>502</v>
      </c>
      <c r="BP2250" s="2">
        <v>242</v>
      </c>
      <c r="BQ2250" s="2" t="s">
        <v>107</v>
      </c>
      <c r="BR2250" s="2" t="s">
        <v>170</v>
      </c>
      <c r="BS2250" s="3">
        <v>40329</v>
      </c>
      <c r="BT2250" s="4">
        <v>0.90712962962962962</v>
      </c>
    </row>
    <row r="2251" spans="1:72" x14ac:dyDescent="0.25">
      <c r="A2251" s="2">
        <v>3269</v>
      </c>
      <c r="B2251" s="2">
        <v>2010</v>
      </c>
      <c r="C2251" s="2" t="s">
        <v>819</v>
      </c>
      <c r="D2251" s="2" t="s">
        <v>122</v>
      </c>
      <c r="E2251" s="2"/>
      <c r="F2251" s="2">
        <v>451</v>
      </c>
      <c r="G2251" s="2" t="s">
        <v>879</v>
      </c>
      <c r="H2251" s="2">
        <v>31</v>
      </c>
      <c r="I2251" s="2" t="s">
        <v>880</v>
      </c>
      <c r="J2251" s="2">
        <v>326</v>
      </c>
      <c r="K2251" s="2" t="s">
        <v>881</v>
      </c>
      <c r="L2251" s="2" t="s">
        <v>882</v>
      </c>
      <c r="M2251" s="3">
        <v>40329</v>
      </c>
      <c r="N2251" s="2" t="s">
        <v>1072</v>
      </c>
      <c r="O2251" s="2"/>
      <c r="P2251" s="2"/>
      <c r="Q2251" s="2" t="str">
        <f>"063/10"</f>
        <v>063/10</v>
      </c>
      <c r="R2251" s="2"/>
      <c r="S2251" s="2" t="s">
        <v>822</v>
      </c>
      <c r="T2251" s="2">
        <v>1</v>
      </c>
      <c r="U2251" s="2" t="s">
        <v>79</v>
      </c>
      <c r="V2251" s="2">
        <v>1</v>
      </c>
      <c r="W2251" s="2" t="s">
        <v>80</v>
      </c>
      <c r="X2251" s="2">
        <v>1</v>
      </c>
      <c r="Y2251" s="2" t="s">
        <v>81</v>
      </c>
      <c r="Z2251" s="2">
        <v>10</v>
      </c>
      <c r="AA2251" s="2" t="s">
        <v>236</v>
      </c>
      <c r="AB2251" s="2">
        <v>9</v>
      </c>
      <c r="AC2251" s="2" t="s">
        <v>124</v>
      </c>
      <c r="AD2251" s="3">
        <v>40329</v>
      </c>
      <c r="AE2251" s="4">
        <v>0.91666666666666663</v>
      </c>
      <c r="AF2251" s="2"/>
      <c r="AG2251" s="2"/>
      <c r="AH2251" s="2">
        <v>4</v>
      </c>
      <c r="AI2251" s="2" t="s">
        <v>125</v>
      </c>
      <c r="AJ2251" s="2">
        <v>29</v>
      </c>
      <c r="AK2251" s="2" t="s">
        <v>227</v>
      </c>
      <c r="AL2251" s="2">
        <v>16</v>
      </c>
      <c r="AM2251" s="2" t="s">
        <v>392</v>
      </c>
      <c r="AN2251" s="2" t="s">
        <v>1015</v>
      </c>
      <c r="AO2251" s="2"/>
      <c r="AP2251" s="2">
        <v>12</v>
      </c>
      <c r="AQ2251" s="2" t="s">
        <v>322</v>
      </c>
      <c r="AR2251" s="2" t="s">
        <v>824</v>
      </c>
      <c r="AS2251" s="2" t="s">
        <v>825</v>
      </c>
      <c r="AT2251" s="2" t="s">
        <v>7682</v>
      </c>
      <c r="AU2251" s="2"/>
      <c r="AV2251" s="2"/>
      <c r="AW2251" s="2"/>
      <c r="AX2251" s="2"/>
      <c r="AY2251" s="2">
        <v>41</v>
      </c>
      <c r="AZ2251" s="2" t="s">
        <v>82</v>
      </c>
      <c r="BA2251" s="2">
        <v>41</v>
      </c>
      <c r="BB2251" s="2" t="s">
        <v>82</v>
      </c>
      <c r="BC2251" s="2">
        <v>51</v>
      </c>
      <c r="BD2251" s="2" t="s">
        <v>827</v>
      </c>
      <c r="BE2251" s="2">
        <v>47</v>
      </c>
      <c r="BF2251" s="2" t="s">
        <v>167</v>
      </c>
      <c r="BG2251" s="2">
        <v>2459</v>
      </c>
      <c r="BH2251" s="4">
        <v>0.90972222222222221</v>
      </c>
      <c r="BI2251" s="4">
        <v>0.94444444444444453</v>
      </c>
      <c r="BJ2251" s="2">
        <v>13</v>
      </c>
      <c r="BK2251" s="2" t="s">
        <v>91</v>
      </c>
      <c r="BL2251" s="2" t="s">
        <v>828</v>
      </c>
      <c r="BM2251" s="2">
        <v>241</v>
      </c>
      <c r="BN2251" s="2" t="s">
        <v>82</v>
      </c>
      <c r="BO2251" s="2" t="s">
        <v>82</v>
      </c>
      <c r="BP2251" s="2">
        <v>13</v>
      </c>
      <c r="BQ2251" s="2" t="s">
        <v>91</v>
      </c>
      <c r="BR2251" s="2" t="s">
        <v>185</v>
      </c>
      <c r="BS2251" s="3">
        <v>40329</v>
      </c>
      <c r="BT2251" s="4">
        <v>0.97980324074074077</v>
      </c>
    </row>
    <row r="2252" spans="1:72" x14ac:dyDescent="0.25">
      <c r="A2252" s="2">
        <v>3271</v>
      </c>
      <c r="B2252" s="2">
        <v>2010</v>
      </c>
      <c r="C2252" s="2" t="s">
        <v>4543</v>
      </c>
      <c r="D2252" s="2" t="s">
        <v>122</v>
      </c>
      <c r="E2252" s="2"/>
      <c r="F2252" s="2">
        <v>1</v>
      </c>
      <c r="G2252" s="2" t="s">
        <v>82</v>
      </c>
      <c r="H2252" s="2">
        <v>1</v>
      </c>
      <c r="I2252" s="2" t="s">
        <v>82</v>
      </c>
      <c r="J2252" s="2">
        <v>1</v>
      </c>
      <c r="K2252" s="2" t="s">
        <v>107</v>
      </c>
      <c r="L2252" s="2" t="s">
        <v>107</v>
      </c>
      <c r="M2252" s="3">
        <v>40330</v>
      </c>
      <c r="N2252" s="2"/>
      <c r="O2252" s="2" t="s">
        <v>107</v>
      </c>
      <c r="P2252" s="2" t="s">
        <v>107</v>
      </c>
      <c r="Q2252" s="2" t="str">
        <f>""</f>
        <v/>
      </c>
      <c r="R2252" s="2"/>
      <c r="S2252" s="2"/>
      <c r="T2252" s="2">
        <v>2</v>
      </c>
      <c r="U2252" s="2" t="s">
        <v>123</v>
      </c>
      <c r="V2252" s="2">
        <v>1</v>
      </c>
      <c r="W2252" s="2" t="s">
        <v>80</v>
      </c>
      <c r="X2252" s="2">
        <v>1</v>
      </c>
      <c r="Y2252" s="2" t="s">
        <v>81</v>
      </c>
      <c r="Z2252" s="2">
        <v>10</v>
      </c>
      <c r="AA2252" s="2" t="s">
        <v>236</v>
      </c>
      <c r="AB2252" s="2">
        <v>9</v>
      </c>
      <c r="AC2252" s="2" t="s">
        <v>124</v>
      </c>
      <c r="AD2252" s="3">
        <v>40329</v>
      </c>
      <c r="AE2252" s="4">
        <v>0.92708333333333337</v>
      </c>
      <c r="AF2252" s="2"/>
      <c r="AG2252" s="2"/>
      <c r="AH2252" s="2">
        <v>2</v>
      </c>
      <c r="AI2252" s="2" t="s">
        <v>84</v>
      </c>
      <c r="AJ2252" s="2">
        <v>12</v>
      </c>
      <c r="AK2252" s="2" t="s">
        <v>85</v>
      </c>
      <c r="AL2252" s="2">
        <v>29</v>
      </c>
      <c r="AM2252" s="2" t="s">
        <v>5416</v>
      </c>
      <c r="AN2252" s="2"/>
      <c r="AO2252" s="2" t="s">
        <v>3805</v>
      </c>
      <c r="AP2252" s="2">
        <v>11</v>
      </c>
      <c r="AQ2252" s="2" t="s">
        <v>82</v>
      </c>
      <c r="AR2252" s="2"/>
      <c r="AS2252" s="2"/>
      <c r="AT2252" s="2" t="s">
        <v>7683</v>
      </c>
      <c r="AU2252" s="2"/>
      <c r="AV2252" s="2"/>
      <c r="AW2252" s="2"/>
      <c r="AX2252" s="2"/>
      <c r="AY2252" s="2">
        <v>41</v>
      </c>
      <c r="AZ2252" s="2" t="s">
        <v>82</v>
      </c>
      <c r="BA2252" s="2">
        <v>41</v>
      </c>
      <c r="BB2252" s="2" t="s">
        <v>82</v>
      </c>
      <c r="BC2252" s="2">
        <v>41</v>
      </c>
      <c r="BD2252" s="2" t="s">
        <v>82</v>
      </c>
      <c r="BE2252" s="2">
        <v>41</v>
      </c>
      <c r="BF2252" s="2" t="s">
        <v>82</v>
      </c>
      <c r="BG2252" s="2"/>
      <c r="BH2252" s="2"/>
      <c r="BI2252" s="2"/>
      <c r="BJ2252" s="2">
        <v>241</v>
      </c>
      <c r="BK2252" s="2" t="s">
        <v>82</v>
      </c>
      <c r="BL2252" s="2"/>
      <c r="BM2252" s="2">
        <v>241</v>
      </c>
      <c r="BN2252" s="2" t="s">
        <v>82</v>
      </c>
      <c r="BO2252" s="2"/>
      <c r="BP2252" s="2">
        <v>241</v>
      </c>
      <c r="BQ2252" s="2" t="s">
        <v>82</v>
      </c>
      <c r="BR2252" s="2"/>
      <c r="BS2252" s="3">
        <v>40330</v>
      </c>
      <c r="BT2252" s="4">
        <v>2.8761574074074075E-2</v>
      </c>
    </row>
    <row r="2253" spans="1:72" x14ac:dyDescent="0.25">
      <c r="A2253" s="2">
        <v>3275</v>
      </c>
      <c r="B2253" s="2">
        <v>2010</v>
      </c>
      <c r="C2253" s="2" t="s">
        <v>819</v>
      </c>
      <c r="D2253" s="2" t="s">
        <v>122</v>
      </c>
      <c r="E2253" s="2" t="s">
        <v>7684</v>
      </c>
      <c r="F2253" s="2">
        <v>451</v>
      </c>
      <c r="G2253" s="2" t="s">
        <v>879</v>
      </c>
      <c r="H2253" s="2">
        <v>31</v>
      </c>
      <c r="I2253" s="2" t="s">
        <v>880</v>
      </c>
      <c r="J2253" s="2">
        <v>326</v>
      </c>
      <c r="K2253" s="2" t="s">
        <v>881</v>
      </c>
      <c r="L2253" s="2" t="s">
        <v>882</v>
      </c>
      <c r="M2253" s="3">
        <v>40330</v>
      </c>
      <c r="N2253" s="2" t="s">
        <v>1072</v>
      </c>
      <c r="O2253" s="2"/>
      <c r="P2253" s="2"/>
      <c r="Q2253" s="2" t="str">
        <f>"063/10"</f>
        <v>063/10</v>
      </c>
      <c r="R2253" s="2" t="s">
        <v>822</v>
      </c>
      <c r="S2253" s="2"/>
      <c r="T2253" s="2">
        <v>1</v>
      </c>
      <c r="U2253" s="2" t="s">
        <v>79</v>
      </c>
      <c r="V2253" s="2">
        <v>1</v>
      </c>
      <c r="W2253" s="2" t="s">
        <v>80</v>
      </c>
      <c r="X2253" s="2">
        <v>1</v>
      </c>
      <c r="Y2253" s="2" t="s">
        <v>81</v>
      </c>
      <c r="Z2253" s="2">
        <v>10</v>
      </c>
      <c r="AA2253" s="2" t="s">
        <v>236</v>
      </c>
      <c r="AB2253" s="2">
        <v>9</v>
      </c>
      <c r="AC2253" s="2" t="s">
        <v>124</v>
      </c>
      <c r="AD2253" s="3">
        <v>40330</v>
      </c>
      <c r="AE2253" s="4">
        <v>0.40625</v>
      </c>
      <c r="AF2253" s="2"/>
      <c r="AG2253" s="2"/>
      <c r="AH2253" s="2">
        <v>4</v>
      </c>
      <c r="AI2253" s="2" t="s">
        <v>125</v>
      </c>
      <c r="AJ2253" s="2">
        <v>29</v>
      </c>
      <c r="AK2253" s="2" t="s">
        <v>227</v>
      </c>
      <c r="AL2253" s="2">
        <v>16</v>
      </c>
      <c r="AM2253" s="2" t="s">
        <v>392</v>
      </c>
      <c r="AN2253" s="2" t="s">
        <v>3040</v>
      </c>
      <c r="AO2253" s="2" t="s">
        <v>5383</v>
      </c>
      <c r="AP2253" s="2">
        <v>12</v>
      </c>
      <c r="AQ2253" s="2" t="s">
        <v>322</v>
      </c>
      <c r="AR2253" s="2" t="s">
        <v>824</v>
      </c>
      <c r="AS2253" s="2" t="s">
        <v>825</v>
      </c>
      <c r="AT2253" s="2" t="s">
        <v>7685</v>
      </c>
      <c r="AU2253" s="2"/>
      <c r="AV2253" s="2"/>
      <c r="AW2253" s="2"/>
      <c r="AX2253" s="2"/>
      <c r="AY2253" s="2">
        <v>41</v>
      </c>
      <c r="AZ2253" s="2" t="s">
        <v>82</v>
      </c>
      <c r="BA2253" s="2">
        <v>41</v>
      </c>
      <c r="BB2253" s="2" t="s">
        <v>82</v>
      </c>
      <c r="BC2253" s="2">
        <v>51</v>
      </c>
      <c r="BD2253" s="2" t="s">
        <v>827</v>
      </c>
      <c r="BE2253" s="2">
        <v>47</v>
      </c>
      <c r="BF2253" s="2" t="s">
        <v>167</v>
      </c>
      <c r="BG2253" s="2">
        <v>2459</v>
      </c>
      <c r="BH2253" s="4">
        <v>0.90972222222222221</v>
      </c>
      <c r="BI2253" s="4">
        <v>0.94444444444444453</v>
      </c>
      <c r="BJ2253" s="2">
        <v>13</v>
      </c>
      <c r="BK2253" s="2" t="s">
        <v>91</v>
      </c>
      <c r="BL2253" s="2" t="s">
        <v>828</v>
      </c>
      <c r="BM2253" s="2">
        <v>241</v>
      </c>
      <c r="BN2253" s="2" t="s">
        <v>82</v>
      </c>
      <c r="BO2253" s="2" t="s">
        <v>82</v>
      </c>
      <c r="BP2253" s="2">
        <v>13</v>
      </c>
      <c r="BQ2253" s="2" t="s">
        <v>91</v>
      </c>
      <c r="BR2253" s="2" t="s">
        <v>185</v>
      </c>
      <c r="BS2253" s="3">
        <v>40330</v>
      </c>
      <c r="BT2253" s="4">
        <v>0.42105324074074074</v>
      </c>
    </row>
    <row r="2254" spans="1:72" x14ac:dyDescent="0.25">
      <c r="A2254" s="2">
        <v>3276</v>
      </c>
      <c r="B2254" s="2">
        <v>2010</v>
      </c>
      <c r="C2254" s="2" t="s">
        <v>377</v>
      </c>
      <c r="D2254" s="2" t="s">
        <v>73</v>
      </c>
      <c r="E2254" s="2"/>
      <c r="F2254" s="2">
        <v>426</v>
      </c>
      <c r="G2254" s="2" t="s">
        <v>378</v>
      </c>
      <c r="H2254" s="2">
        <v>22</v>
      </c>
      <c r="I2254" s="2" t="s">
        <v>75</v>
      </c>
      <c r="J2254" s="2">
        <v>311</v>
      </c>
      <c r="K2254" s="2" t="s">
        <v>379</v>
      </c>
      <c r="L2254" s="2" t="s">
        <v>380</v>
      </c>
      <c r="M2254" s="3">
        <v>40330</v>
      </c>
      <c r="N2254" s="2" t="s">
        <v>4427</v>
      </c>
      <c r="O2254" s="2"/>
      <c r="P2254" s="2"/>
      <c r="Q2254" s="2" t="str">
        <f>"103-C/10"</f>
        <v>103-C/10</v>
      </c>
      <c r="R2254" s="2" t="s">
        <v>1344</v>
      </c>
      <c r="S2254" s="2"/>
      <c r="T2254" s="2">
        <v>1</v>
      </c>
      <c r="U2254" s="2" t="s">
        <v>79</v>
      </c>
      <c r="V2254" s="2">
        <v>1</v>
      </c>
      <c r="W2254" s="2" t="s">
        <v>80</v>
      </c>
      <c r="X2254" s="2">
        <v>1</v>
      </c>
      <c r="Y2254" s="2" t="s">
        <v>81</v>
      </c>
      <c r="Z2254" s="2">
        <v>1</v>
      </c>
      <c r="AA2254" s="2" t="s">
        <v>82</v>
      </c>
      <c r="AB2254" s="2">
        <v>9</v>
      </c>
      <c r="AC2254" s="2" t="s">
        <v>124</v>
      </c>
      <c r="AD2254" s="3">
        <v>40330</v>
      </c>
      <c r="AE2254" s="4">
        <v>0.28125</v>
      </c>
      <c r="AF2254" s="2"/>
      <c r="AG2254" s="2"/>
      <c r="AH2254" s="2">
        <v>2</v>
      </c>
      <c r="AI2254" s="2" t="s">
        <v>84</v>
      </c>
      <c r="AJ2254" s="2">
        <v>9</v>
      </c>
      <c r="AK2254" s="2" t="s">
        <v>103</v>
      </c>
      <c r="AL2254" s="2">
        <v>13</v>
      </c>
      <c r="AM2254" s="2" t="s">
        <v>117</v>
      </c>
      <c r="AN2254" s="2"/>
      <c r="AO2254" s="2" t="s">
        <v>7686</v>
      </c>
      <c r="AP2254" s="2">
        <v>11</v>
      </c>
      <c r="AQ2254" s="2" t="s">
        <v>82</v>
      </c>
      <c r="AR2254" s="2"/>
      <c r="AS2254" s="2"/>
      <c r="AT2254" s="2" t="s">
        <v>7687</v>
      </c>
      <c r="AU2254" s="2"/>
      <c r="AV2254" s="2"/>
      <c r="AW2254" s="2"/>
      <c r="AX2254" s="2"/>
      <c r="AY2254" s="2">
        <v>41</v>
      </c>
      <c r="AZ2254" s="2" t="s">
        <v>82</v>
      </c>
      <c r="BA2254" s="2">
        <v>41</v>
      </c>
      <c r="BB2254" s="2" t="s">
        <v>82</v>
      </c>
      <c r="BC2254" s="2">
        <v>41</v>
      </c>
      <c r="BD2254" s="2" t="s">
        <v>82</v>
      </c>
      <c r="BE2254" s="2">
        <v>41</v>
      </c>
      <c r="BF2254" s="2" t="s">
        <v>82</v>
      </c>
      <c r="BG2254" s="2"/>
      <c r="BH2254" s="2"/>
      <c r="BI2254" s="2"/>
      <c r="BJ2254" s="2">
        <v>241</v>
      </c>
      <c r="BK2254" s="2" t="s">
        <v>82</v>
      </c>
      <c r="BL2254" s="2"/>
      <c r="BM2254" s="2">
        <v>241</v>
      </c>
      <c r="BN2254" s="2" t="s">
        <v>82</v>
      </c>
      <c r="BO2254" s="2"/>
      <c r="BP2254" s="2">
        <v>241</v>
      </c>
      <c r="BQ2254" s="2" t="s">
        <v>82</v>
      </c>
      <c r="BR2254" s="2"/>
      <c r="BS2254" s="3">
        <v>40330</v>
      </c>
      <c r="BT2254" s="4">
        <v>0.49738425925925928</v>
      </c>
    </row>
    <row r="2255" spans="1:72" x14ac:dyDescent="0.25">
      <c r="A2255" s="2">
        <v>3277</v>
      </c>
      <c r="B2255" s="2">
        <v>2010</v>
      </c>
      <c r="C2255" s="2" t="s">
        <v>72</v>
      </c>
      <c r="D2255" s="2" t="s">
        <v>73</v>
      </c>
      <c r="E2255" s="2"/>
      <c r="F2255" s="2">
        <v>631</v>
      </c>
      <c r="G2255" s="2" t="s">
        <v>7688</v>
      </c>
      <c r="H2255" s="2">
        <v>108</v>
      </c>
      <c r="I2255" s="2" t="s">
        <v>1096</v>
      </c>
      <c r="J2255" s="2">
        <v>570</v>
      </c>
      <c r="K2255" s="2" t="s">
        <v>7689</v>
      </c>
      <c r="L2255" s="2" t="s">
        <v>946</v>
      </c>
      <c r="M2255" s="3">
        <v>40330</v>
      </c>
      <c r="N2255" s="2" t="s">
        <v>7690</v>
      </c>
      <c r="O2255" s="2"/>
      <c r="P2255" s="2"/>
      <c r="Q2255" s="2" t="str">
        <f>"198-A/10"</f>
        <v>198-A/10</v>
      </c>
      <c r="R2255" s="2"/>
      <c r="S2255" s="2" t="s">
        <v>1547</v>
      </c>
      <c r="T2255" s="2">
        <v>1</v>
      </c>
      <c r="U2255" s="2" t="s">
        <v>79</v>
      </c>
      <c r="V2255" s="2">
        <v>1</v>
      </c>
      <c r="W2255" s="2" t="s">
        <v>80</v>
      </c>
      <c r="X2255" s="2">
        <v>12</v>
      </c>
      <c r="Y2255" s="2" t="s">
        <v>148</v>
      </c>
      <c r="Z2255" s="2">
        <v>1</v>
      </c>
      <c r="AA2255" s="2" t="s">
        <v>82</v>
      </c>
      <c r="AB2255" s="2">
        <v>6</v>
      </c>
      <c r="AC2255" s="2" t="s">
        <v>83</v>
      </c>
      <c r="AD2255" s="3">
        <v>40330</v>
      </c>
      <c r="AE2255" s="2"/>
      <c r="AF2255" s="3">
        <v>40330</v>
      </c>
      <c r="AG2255" s="4">
        <v>0.4375</v>
      </c>
      <c r="AH2255" s="2">
        <v>2</v>
      </c>
      <c r="AI2255" s="2" t="s">
        <v>84</v>
      </c>
      <c r="AJ2255" s="2">
        <v>12</v>
      </c>
      <c r="AK2255" s="2" t="s">
        <v>85</v>
      </c>
      <c r="AL2255" s="2">
        <v>22</v>
      </c>
      <c r="AM2255" s="2" t="s">
        <v>1853</v>
      </c>
      <c r="AN2255" s="2" t="s">
        <v>7691</v>
      </c>
      <c r="AO2255" s="2" t="s">
        <v>7692</v>
      </c>
      <c r="AP2255" s="2">
        <v>11</v>
      </c>
      <c r="AQ2255" s="2" t="s">
        <v>82</v>
      </c>
      <c r="AR2255" s="2"/>
      <c r="AS2255" s="2"/>
      <c r="AT2255" s="2" t="s">
        <v>7693</v>
      </c>
      <c r="AU2255" s="2"/>
      <c r="AV2255" s="2"/>
      <c r="AW2255" s="2"/>
      <c r="AX2255" s="2"/>
      <c r="AY2255" s="2">
        <v>41</v>
      </c>
      <c r="AZ2255" s="2" t="s">
        <v>82</v>
      </c>
      <c r="BA2255" s="2">
        <v>41</v>
      </c>
      <c r="BB2255" s="2" t="s">
        <v>82</v>
      </c>
      <c r="BC2255" s="2">
        <v>41</v>
      </c>
      <c r="BD2255" s="2" t="s">
        <v>82</v>
      </c>
      <c r="BE2255" s="2">
        <v>4</v>
      </c>
      <c r="BF2255" s="2" t="s">
        <v>90</v>
      </c>
      <c r="BG2255" s="2" t="s">
        <v>7694</v>
      </c>
      <c r="BH2255" s="4">
        <v>0.40972222222222227</v>
      </c>
      <c r="BI2255" s="4">
        <v>0.35416666666666669</v>
      </c>
      <c r="BJ2255" s="2">
        <v>13</v>
      </c>
      <c r="BK2255" s="2" t="s">
        <v>91</v>
      </c>
      <c r="BL2255" s="2" t="s">
        <v>744</v>
      </c>
      <c r="BM2255" s="2">
        <v>241</v>
      </c>
      <c r="BN2255" s="2" t="s">
        <v>82</v>
      </c>
      <c r="BO2255" s="2"/>
      <c r="BP2255" s="2">
        <v>13</v>
      </c>
      <c r="BQ2255" s="2" t="s">
        <v>91</v>
      </c>
      <c r="BR2255" s="2" t="s">
        <v>185</v>
      </c>
      <c r="BS2255" s="3">
        <v>40330</v>
      </c>
      <c r="BT2255" s="4">
        <v>0.49752314814814813</v>
      </c>
    </row>
    <row r="2256" spans="1:72" x14ac:dyDescent="0.25">
      <c r="A2256" s="2">
        <v>3278</v>
      </c>
      <c r="B2256" s="2">
        <v>2010</v>
      </c>
      <c r="C2256" s="2" t="s">
        <v>764</v>
      </c>
      <c r="D2256" s="2" t="s">
        <v>73</v>
      </c>
      <c r="E2256" s="2" t="s">
        <v>6957</v>
      </c>
      <c r="F2256" s="2">
        <v>425</v>
      </c>
      <c r="G2256" s="2" t="s">
        <v>286</v>
      </c>
      <c r="H2256" s="2">
        <v>39</v>
      </c>
      <c r="I2256" s="2" t="s">
        <v>1117</v>
      </c>
      <c r="J2256" s="2">
        <v>310</v>
      </c>
      <c r="K2256" s="2" t="s">
        <v>288</v>
      </c>
      <c r="L2256" s="2" t="s">
        <v>289</v>
      </c>
      <c r="M2256" s="3">
        <v>40330</v>
      </c>
      <c r="N2256" s="2" t="s">
        <v>2049</v>
      </c>
      <c r="O2256" s="2" t="s">
        <v>7695</v>
      </c>
      <c r="P2256" s="2" t="s">
        <v>1919</v>
      </c>
      <c r="Q2256" s="2" t="str">
        <f>"04/09"</f>
        <v>04/09</v>
      </c>
      <c r="R2256" s="2" t="s">
        <v>480</v>
      </c>
      <c r="S2256" s="2" t="s">
        <v>480</v>
      </c>
      <c r="T2256" s="2">
        <v>1</v>
      </c>
      <c r="U2256" s="2" t="s">
        <v>79</v>
      </c>
      <c r="V2256" s="2">
        <v>3</v>
      </c>
      <c r="W2256" s="2" t="s">
        <v>225</v>
      </c>
      <c r="X2256" s="2">
        <v>6</v>
      </c>
      <c r="Y2256" s="2" t="s">
        <v>249</v>
      </c>
      <c r="Z2256" s="2">
        <v>1</v>
      </c>
      <c r="AA2256" s="2" t="s">
        <v>82</v>
      </c>
      <c r="AB2256" s="2">
        <v>9</v>
      </c>
      <c r="AC2256" s="2" t="s">
        <v>124</v>
      </c>
      <c r="AD2256" s="2"/>
      <c r="AE2256" s="2"/>
      <c r="AF2256" s="2"/>
      <c r="AG2256" s="2"/>
      <c r="AH2256" s="2">
        <v>4</v>
      </c>
      <c r="AI2256" s="2" t="s">
        <v>125</v>
      </c>
      <c r="AJ2256" s="2">
        <v>26</v>
      </c>
      <c r="AK2256" s="2" t="s">
        <v>293</v>
      </c>
      <c r="AL2256" s="2">
        <v>23</v>
      </c>
      <c r="AM2256" s="2" t="s">
        <v>251</v>
      </c>
      <c r="AN2256" s="2"/>
      <c r="AO2256" s="2" t="s">
        <v>7578</v>
      </c>
      <c r="AP2256" s="2">
        <v>11</v>
      </c>
      <c r="AQ2256" s="2" t="s">
        <v>82</v>
      </c>
      <c r="AR2256" s="2"/>
      <c r="AS2256" s="2"/>
      <c r="AT2256" s="2" t="s">
        <v>7696</v>
      </c>
      <c r="AU2256" s="2"/>
      <c r="AV2256" s="2"/>
      <c r="AW2256" s="2"/>
      <c r="AX2256" s="2"/>
      <c r="AY2256" s="2">
        <v>1</v>
      </c>
      <c r="AZ2256" s="2" t="s">
        <v>107</v>
      </c>
      <c r="BA2256" s="2">
        <v>1</v>
      </c>
      <c r="BB2256" s="2" t="s">
        <v>107</v>
      </c>
      <c r="BC2256" s="2">
        <v>1</v>
      </c>
      <c r="BD2256" s="2" t="s">
        <v>107</v>
      </c>
      <c r="BE2256" s="2">
        <v>1</v>
      </c>
      <c r="BF2256" s="2" t="s">
        <v>107</v>
      </c>
      <c r="BG2256" s="2"/>
      <c r="BH2256" s="2"/>
      <c r="BI2256" s="2"/>
      <c r="BJ2256" s="2">
        <v>242</v>
      </c>
      <c r="BK2256" s="2" t="s">
        <v>107</v>
      </c>
      <c r="BL2256" s="2"/>
      <c r="BM2256" s="2">
        <v>242</v>
      </c>
      <c r="BN2256" s="2" t="s">
        <v>107</v>
      </c>
      <c r="BO2256" s="2"/>
      <c r="BP2256" s="2">
        <v>242</v>
      </c>
      <c r="BQ2256" s="2" t="s">
        <v>107</v>
      </c>
      <c r="BR2256" s="2"/>
      <c r="BS2256" s="3">
        <v>40330</v>
      </c>
      <c r="BT2256" s="4">
        <v>0.51291666666666669</v>
      </c>
    </row>
    <row r="2257" spans="1:72" x14ac:dyDescent="0.25">
      <c r="A2257" s="2">
        <v>3279</v>
      </c>
      <c r="B2257" s="2">
        <v>2010</v>
      </c>
      <c r="C2257" s="2" t="s">
        <v>72</v>
      </c>
      <c r="D2257" s="2" t="s">
        <v>122</v>
      </c>
      <c r="E2257" s="2" t="s">
        <v>7697</v>
      </c>
      <c r="F2257" s="2">
        <v>111</v>
      </c>
      <c r="G2257" s="2" t="s">
        <v>2339</v>
      </c>
      <c r="H2257" s="2">
        <v>108</v>
      </c>
      <c r="I2257" s="2" t="s">
        <v>1096</v>
      </c>
      <c r="J2257" s="2">
        <v>1</v>
      </c>
      <c r="K2257" s="2" t="s">
        <v>107</v>
      </c>
      <c r="L2257" s="2" t="s">
        <v>107</v>
      </c>
      <c r="M2257" s="3">
        <v>40330</v>
      </c>
      <c r="N2257" s="2" t="s">
        <v>7367</v>
      </c>
      <c r="O2257" s="2" t="s">
        <v>7368</v>
      </c>
      <c r="P2257" s="2">
        <v>25440</v>
      </c>
      <c r="Q2257" s="2" t="str">
        <f>"003/2010"</f>
        <v>003/2010</v>
      </c>
      <c r="R2257" s="2" t="s">
        <v>107</v>
      </c>
      <c r="S2257" s="2" t="s">
        <v>7698</v>
      </c>
      <c r="T2257" s="2">
        <v>1</v>
      </c>
      <c r="U2257" s="2" t="s">
        <v>79</v>
      </c>
      <c r="V2257" s="2">
        <v>1</v>
      </c>
      <c r="W2257" s="2" t="s">
        <v>80</v>
      </c>
      <c r="X2257" s="2">
        <v>12</v>
      </c>
      <c r="Y2257" s="2" t="s">
        <v>148</v>
      </c>
      <c r="Z2257" s="2">
        <v>1</v>
      </c>
      <c r="AA2257" s="2" t="s">
        <v>82</v>
      </c>
      <c r="AB2257" s="2">
        <v>6</v>
      </c>
      <c r="AC2257" s="2" t="s">
        <v>83</v>
      </c>
      <c r="AD2257" s="2"/>
      <c r="AE2257" s="2"/>
      <c r="AF2257" s="3">
        <v>40322</v>
      </c>
      <c r="AG2257" s="4">
        <v>0.40625</v>
      </c>
      <c r="AH2257" s="2">
        <v>6</v>
      </c>
      <c r="AI2257" s="2" t="s">
        <v>197</v>
      </c>
      <c r="AJ2257" s="2">
        <v>57</v>
      </c>
      <c r="AK2257" s="2" t="s">
        <v>2344</v>
      </c>
      <c r="AL2257" s="2">
        <v>12</v>
      </c>
      <c r="AM2257" s="2" t="s">
        <v>86</v>
      </c>
      <c r="AN2257" s="2"/>
      <c r="AO2257" s="2" t="s">
        <v>7699</v>
      </c>
      <c r="AP2257" s="2">
        <v>12</v>
      </c>
      <c r="AQ2257" s="2" t="s">
        <v>322</v>
      </c>
      <c r="AR2257" s="2"/>
      <c r="AS2257" s="2"/>
      <c r="AT2257" s="2" t="s">
        <v>7700</v>
      </c>
      <c r="AU2257" s="2"/>
      <c r="AV2257" s="2"/>
      <c r="AW2257" s="2"/>
      <c r="AX2257" s="2"/>
      <c r="AY2257" s="2">
        <v>129</v>
      </c>
      <c r="AZ2257" s="2" t="s">
        <v>322</v>
      </c>
      <c r="BA2257" s="2">
        <v>129</v>
      </c>
      <c r="BB2257" s="2" t="s">
        <v>322</v>
      </c>
      <c r="BC2257" s="2">
        <v>1</v>
      </c>
      <c r="BD2257" s="2" t="s">
        <v>107</v>
      </c>
      <c r="BE2257" s="2">
        <v>41</v>
      </c>
      <c r="BF2257" s="2" t="s">
        <v>82</v>
      </c>
      <c r="BG2257" s="2"/>
      <c r="BH2257" s="2"/>
      <c r="BI2257" s="2"/>
      <c r="BJ2257" s="2">
        <v>241</v>
      </c>
      <c r="BK2257" s="2" t="s">
        <v>82</v>
      </c>
      <c r="BL2257" s="2"/>
      <c r="BM2257" s="2">
        <v>241</v>
      </c>
      <c r="BN2257" s="2" t="s">
        <v>82</v>
      </c>
      <c r="BO2257" s="2"/>
      <c r="BP2257" s="2">
        <v>241</v>
      </c>
      <c r="BQ2257" s="2" t="s">
        <v>82</v>
      </c>
      <c r="BR2257" s="2"/>
      <c r="BS2257" s="3">
        <v>40330</v>
      </c>
      <c r="BT2257" s="4">
        <v>0.52896990740740735</v>
      </c>
    </row>
    <row r="2258" spans="1:72" x14ac:dyDescent="0.25">
      <c r="A2258" s="2">
        <v>3280</v>
      </c>
      <c r="B2258" s="2">
        <v>2010</v>
      </c>
      <c r="C2258" s="2" t="s">
        <v>1559</v>
      </c>
      <c r="D2258" s="2" t="s">
        <v>73</v>
      </c>
      <c r="E2258" s="2"/>
      <c r="F2258" s="2">
        <v>591</v>
      </c>
      <c r="G2258" s="2" t="s">
        <v>5658</v>
      </c>
      <c r="H2258" s="2">
        <v>7</v>
      </c>
      <c r="I2258" s="2" t="s">
        <v>476</v>
      </c>
      <c r="J2258" s="2">
        <v>33</v>
      </c>
      <c r="K2258" s="2" t="s">
        <v>2178</v>
      </c>
      <c r="L2258" s="2" t="s">
        <v>1877</v>
      </c>
      <c r="M2258" s="3">
        <v>40330</v>
      </c>
      <c r="N2258" s="2" t="s">
        <v>7701</v>
      </c>
      <c r="O2258" s="2" t="s">
        <v>7702</v>
      </c>
      <c r="P2258" s="7">
        <v>13932</v>
      </c>
      <c r="Q2258" s="2" t="str">
        <f>"S/D"</f>
        <v>S/D</v>
      </c>
      <c r="R2258" s="2" t="s">
        <v>107</v>
      </c>
      <c r="S2258" s="2" t="s">
        <v>107</v>
      </c>
      <c r="T2258" s="2">
        <v>1</v>
      </c>
      <c r="U2258" s="2" t="s">
        <v>79</v>
      </c>
      <c r="V2258" s="2">
        <v>3</v>
      </c>
      <c r="W2258" s="2" t="s">
        <v>225</v>
      </c>
      <c r="X2258" s="2">
        <v>6</v>
      </c>
      <c r="Y2258" s="2" t="s">
        <v>249</v>
      </c>
      <c r="Z2258" s="2">
        <v>1</v>
      </c>
      <c r="AA2258" s="2" t="s">
        <v>82</v>
      </c>
      <c r="AB2258" s="2">
        <v>9</v>
      </c>
      <c r="AC2258" s="2" t="s">
        <v>124</v>
      </c>
      <c r="AD2258" s="2"/>
      <c r="AE2258" s="2"/>
      <c r="AF2258" s="3">
        <v>40330</v>
      </c>
      <c r="AG2258" s="2"/>
      <c r="AH2258" s="2">
        <v>7</v>
      </c>
      <c r="AI2258" s="2" t="s">
        <v>801</v>
      </c>
      <c r="AJ2258" s="2">
        <v>3</v>
      </c>
      <c r="AK2258" s="2" t="s">
        <v>802</v>
      </c>
      <c r="AL2258" s="2">
        <v>23</v>
      </c>
      <c r="AM2258" s="2" t="s">
        <v>251</v>
      </c>
      <c r="AN2258" s="2" t="s">
        <v>107</v>
      </c>
      <c r="AO2258" s="2" t="s">
        <v>7703</v>
      </c>
      <c r="AP2258" s="2">
        <v>11</v>
      </c>
      <c r="AQ2258" s="2" t="s">
        <v>82</v>
      </c>
      <c r="AR2258" s="2"/>
      <c r="AS2258" s="2"/>
      <c r="AT2258" s="2" t="s">
        <v>7704</v>
      </c>
      <c r="AU2258" s="2"/>
      <c r="AV2258" s="2"/>
      <c r="AW2258" s="2"/>
      <c r="AX2258" s="2"/>
      <c r="AY2258" s="2">
        <v>1</v>
      </c>
      <c r="AZ2258" s="2" t="s">
        <v>107</v>
      </c>
      <c r="BA2258" s="2">
        <v>1</v>
      </c>
      <c r="BB2258" s="2" t="s">
        <v>107</v>
      </c>
      <c r="BC2258" s="2">
        <v>1</v>
      </c>
      <c r="BD2258" s="2" t="s">
        <v>107</v>
      </c>
      <c r="BE2258" s="2">
        <v>1</v>
      </c>
      <c r="BF2258" s="2" t="s">
        <v>107</v>
      </c>
      <c r="BG2258" s="2"/>
      <c r="BH2258" s="2"/>
      <c r="BI2258" s="2"/>
      <c r="BJ2258" s="2">
        <v>242</v>
      </c>
      <c r="BK2258" s="2" t="s">
        <v>107</v>
      </c>
      <c r="BL2258" s="2"/>
      <c r="BM2258" s="2">
        <v>242</v>
      </c>
      <c r="BN2258" s="2" t="s">
        <v>107</v>
      </c>
      <c r="BO2258" s="2"/>
      <c r="BP2258" s="2">
        <v>242</v>
      </c>
      <c r="BQ2258" s="2" t="s">
        <v>107</v>
      </c>
      <c r="BR2258" s="2"/>
      <c r="BS2258" s="3">
        <v>40330</v>
      </c>
      <c r="BT2258" s="4">
        <v>0.55342592592592588</v>
      </c>
    </row>
    <row r="2259" spans="1:72" x14ac:dyDescent="0.25">
      <c r="A2259" s="2">
        <v>3286</v>
      </c>
      <c r="B2259" s="2">
        <v>2010</v>
      </c>
      <c r="C2259" s="2" t="s">
        <v>147</v>
      </c>
      <c r="D2259" s="2" t="s">
        <v>73</v>
      </c>
      <c r="E2259" s="2"/>
      <c r="F2259" s="2">
        <v>1</v>
      </c>
      <c r="G2259" s="2" t="s">
        <v>82</v>
      </c>
      <c r="H2259" s="2">
        <v>1</v>
      </c>
      <c r="I2259" s="2" t="s">
        <v>82</v>
      </c>
      <c r="J2259" s="2">
        <v>1</v>
      </c>
      <c r="K2259" s="2" t="s">
        <v>107</v>
      </c>
      <c r="L2259" s="2" t="s">
        <v>107</v>
      </c>
      <c r="M2259" s="3">
        <v>40330</v>
      </c>
      <c r="N2259" s="2"/>
      <c r="O2259" s="2"/>
      <c r="P2259" s="2"/>
      <c r="Q2259" s="2" t="str">
        <f>""</f>
        <v/>
      </c>
      <c r="R2259" s="2"/>
      <c r="S2259" s="2"/>
      <c r="T2259" s="2">
        <v>2</v>
      </c>
      <c r="U2259" s="2" t="s">
        <v>123</v>
      </c>
      <c r="V2259" s="2">
        <v>1</v>
      </c>
      <c r="W2259" s="2" t="s">
        <v>80</v>
      </c>
      <c r="X2259" s="2">
        <v>12</v>
      </c>
      <c r="Y2259" s="2" t="s">
        <v>148</v>
      </c>
      <c r="Z2259" s="2">
        <v>1</v>
      </c>
      <c r="AA2259" s="2" t="s">
        <v>82</v>
      </c>
      <c r="AB2259" s="2">
        <v>9</v>
      </c>
      <c r="AC2259" s="2" t="s">
        <v>124</v>
      </c>
      <c r="AD2259" s="2"/>
      <c r="AE2259" s="2"/>
      <c r="AF2259" s="3">
        <v>40330</v>
      </c>
      <c r="AG2259" s="4">
        <v>0.59375</v>
      </c>
      <c r="AH2259" s="2">
        <v>2</v>
      </c>
      <c r="AI2259" s="2" t="s">
        <v>84</v>
      </c>
      <c r="AJ2259" s="2">
        <v>11</v>
      </c>
      <c r="AK2259" s="2" t="s">
        <v>751</v>
      </c>
      <c r="AL2259" s="2">
        <v>19</v>
      </c>
      <c r="AM2259" s="2" t="s">
        <v>107</v>
      </c>
      <c r="AN2259" s="2"/>
      <c r="AO2259" s="2" t="s">
        <v>925</v>
      </c>
      <c r="AP2259" s="2">
        <v>11</v>
      </c>
      <c r="AQ2259" s="2" t="s">
        <v>82</v>
      </c>
      <c r="AR2259" s="2"/>
      <c r="AS2259" s="2"/>
      <c r="AT2259" s="2" t="s">
        <v>7705</v>
      </c>
      <c r="AU2259" s="2"/>
      <c r="AV2259" s="2"/>
      <c r="AW2259" s="2"/>
      <c r="AX2259" s="2"/>
      <c r="AY2259" s="2">
        <v>41</v>
      </c>
      <c r="AZ2259" s="2" t="s">
        <v>82</v>
      </c>
      <c r="BA2259" s="2">
        <v>41</v>
      </c>
      <c r="BB2259" s="2" t="s">
        <v>82</v>
      </c>
      <c r="BC2259" s="2">
        <v>41</v>
      </c>
      <c r="BD2259" s="2" t="s">
        <v>82</v>
      </c>
      <c r="BE2259" s="2">
        <v>41</v>
      </c>
      <c r="BF2259" s="2" t="s">
        <v>82</v>
      </c>
      <c r="BG2259" s="2"/>
      <c r="BH2259" s="2"/>
      <c r="BI2259" s="2"/>
      <c r="BJ2259" s="2">
        <v>241</v>
      </c>
      <c r="BK2259" s="2" t="s">
        <v>82</v>
      </c>
      <c r="BL2259" s="2"/>
      <c r="BM2259" s="2">
        <v>241</v>
      </c>
      <c r="BN2259" s="2" t="s">
        <v>82</v>
      </c>
      <c r="BO2259" s="2"/>
      <c r="BP2259" s="2">
        <v>241</v>
      </c>
      <c r="BQ2259" s="2" t="s">
        <v>82</v>
      </c>
      <c r="BR2259" s="2"/>
      <c r="BS2259" s="3">
        <v>40330</v>
      </c>
      <c r="BT2259" s="4">
        <v>0.6532175925925926</v>
      </c>
    </row>
    <row r="2260" spans="1:72" x14ac:dyDescent="0.25">
      <c r="A2260" s="2">
        <v>3287</v>
      </c>
      <c r="B2260" s="2">
        <v>2010</v>
      </c>
      <c r="C2260" s="2" t="s">
        <v>171</v>
      </c>
      <c r="D2260" s="2" t="s">
        <v>73</v>
      </c>
      <c r="E2260" s="2" t="s">
        <v>7706</v>
      </c>
      <c r="F2260" s="2">
        <v>499</v>
      </c>
      <c r="G2260" s="2" t="s">
        <v>2177</v>
      </c>
      <c r="H2260" s="2">
        <v>60</v>
      </c>
      <c r="I2260" s="2" t="s">
        <v>2704</v>
      </c>
      <c r="J2260" s="2">
        <v>374</v>
      </c>
      <c r="K2260" s="2" t="s">
        <v>1191</v>
      </c>
      <c r="L2260" s="2" t="s">
        <v>132</v>
      </c>
      <c r="M2260" s="3">
        <v>40330</v>
      </c>
      <c r="N2260" s="2" t="s">
        <v>6202</v>
      </c>
      <c r="O2260" s="2" t="s">
        <v>7638</v>
      </c>
      <c r="P2260" s="2" t="s">
        <v>7639</v>
      </c>
      <c r="Q2260" s="2" t="str">
        <f>"0009/10"</f>
        <v>0009/10</v>
      </c>
      <c r="R2260" s="2"/>
      <c r="S2260" s="2"/>
      <c r="T2260" s="2">
        <v>1</v>
      </c>
      <c r="U2260" s="2" t="s">
        <v>79</v>
      </c>
      <c r="V2260" s="2">
        <v>3</v>
      </c>
      <c r="W2260" s="2" t="s">
        <v>225</v>
      </c>
      <c r="X2260" s="2">
        <v>8</v>
      </c>
      <c r="Y2260" s="2" t="s">
        <v>375</v>
      </c>
      <c r="Z2260" s="2">
        <v>1</v>
      </c>
      <c r="AA2260" s="2" t="s">
        <v>82</v>
      </c>
      <c r="AB2260" s="2">
        <v>9</v>
      </c>
      <c r="AC2260" s="2" t="s">
        <v>124</v>
      </c>
      <c r="AD2260" s="2"/>
      <c r="AE2260" s="2"/>
      <c r="AF2260" s="2"/>
      <c r="AG2260" s="2"/>
      <c r="AH2260" s="2">
        <v>5</v>
      </c>
      <c r="AI2260" s="2" t="s">
        <v>274</v>
      </c>
      <c r="AJ2260" s="2">
        <v>35</v>
      </c>
      <c r="AK2260" s="2" t="s">
        <v>275</v>
      </c>
      <c r="AL2260" s="2">
        <v>23</v>
      </c>
      <c r="AM2260" s="2" t="s">
        <v>251</v>
      </c>
      <c r="AN2260" s="2"/>
      <c r="AO2260" s="2" t="s">
        <v>7707</v>
      </c>
      <c r="AP2260" s="2">
        <v>11</v>
      </c>
      <c r="AQ2260" s="2" t="s">
        <v>82</v>
      </c>
      <c r="AR2260" s="2"/>
      <c r="AS2260" s="2"/>
      <c r="AT2260" s="2" t="s">
        <v>7708</v>
      </c>
      <c r="AU2260" s="2"/>
      <c r="AV2260" s="2"/>
      <c r="AW2260" s="2"/>
      <c r="AX2260" s="2"/>
      <c r="AY2260" s="2">
        <v>1</v>
      </c>
      <c r="AZ2260" s="2" t="s">
        <v>107</v>
      </c>
      <c r="BA2260" s="2">
        <v>1</v>
      </c>
      <c r="BB2260" s="2" t="s">
        <v>107</v>
      </c>
      <c r="BC2260" s="2">
        <v>1</v>
      </c>
      <c r="BD2260" s="2" t="s">
        <v>107</v>
      </c>
      <c r="BE2260" s="2">
        <v>1</v>
      </c>
      <c r="BF2260" s="2" t="s">
        <v>107</v>
      </c>
      <c r="BG2260" s="2"/>
      <c r="BH2260" s="2"/>
      <c r="BI2260" s="2"/>
      <c r="BJ2260" s="2">
        <v>242</v>
      </c>
      <c r="BK2260" s="2" t="s">
        <v>107</v>
      </c>
      <c r="BL2260" s="2"/>
      <c r="BM2260" s="2">
        <v>242</v>
      </c>
      <c r="BN2260" s="2" t="s">
        <v>107</v>
      </c>
      <c r="BO2260" s="2"/>
      <c r="BP2260" s="2">
        <v>242</v>
      </c>
      <c r="BQ2260" s="2" t="s">
        <v>107</v>
      </c>
      <c r="BR2260" s="2"/>
      <c r="BS2260" s="3">
        <v>40330</v>
      </c>
      <c r="BT2260" s="4">
        <v>0.672337962962963</v>
      </c>
    </row>
    <row r="2261" spans="1:72" x14ac:dyDescent="0.25">
      <c r="A2261" s="2">
        <v>3288</v>
      </c>
      <c r="B2261" s="2">
        <v>2010</v>
      </c>
      <c r="C2261" s="2" t="s">
        <v>819</v>
      </c>
      <c r="D2261" s="2" t="s">
        <v>73</v>
      </c>
      <c r="E2261" s="2"/>
      <c r="F2261" s="2">
        <v>34</v>
      </c>
      <c r="G2261" s="2" t="s">
        <v>334</v>
      </c>
      <c r="H2261" s="2">
        <v>71</v>
      </c>
      <c r="I2261" s="2" t="s">
        <v>335</v>
      </c>
      <c r="J2261" s="2">
        <v>409</v>
      </c>
      <c r="K2261" s="2" t="s">
        <v>3638</v>
      </c>
      <c r="L2261" s="2" t="s">
        <v>3639</v>
      </c>
      <c r="M2261" s="3">
        <v>40330</v>
      </c>
      <c r="N2261" s="2" t="s">
        <v>7709</v>
      </c>
      <c r="O2261" s="2" t="s">
        <v>82</v>
      </c>
      <c r="P2261" s="2" t="s">
        <v>82</v>
      </c>
      <c r="Q2261" s="2" t="str">
        <f>"27/10"</f>
        <v>27/10</v>
      </c>
      <c r="R2261" s="2" t="s">
        <v>82</v>
      </c>
      <c r="S2261" s="2" t="s">
        <v>7710</v>
      </c>
      <c r="T2261" s="2">
        <v>1</v>
      </c>
      <c r="U2261" s="2" t="s">
        <v>79</v>
      </c>
      <c r="V2261" s="2">
        <v>1</v>
      </c>
      <c r="W2261" s="2" t="s">
        <v>80</v>
      </c>
      <c r="X2261" s="2">
        <v>1</v>
      </c>
      <c r="Y2261" s="2" t="s">
        <v>81</v>
      </c>
      <c r="Z2261" s="2">
        <v>1</v>
      </c>
      <c r="AA2261" s="2" t="s">
        <v>82</v>
      </c>
      <c r="AB2261" s="2">
        <v>9</v>
      </c>
      <c r="AC2261" s="2" t="s">
        <v>124</v>
      </c>
      <c r="AD2261" s="3">
        <v>40330</v>
      </c>
      <c r="AE2261" s="4">
        <v>0.4513888888888889</v>
      </c>
      <c r="AF2261" s="2"/>
      <c r="AG2261" s="2"/>
      <c r="AH2261" s="2">
        <v>3</v>
      </c>
      <c r="AI2261" s="2" t="s">
        <v>214</v>
      </c>
      <c r="AJ2261" s="2">
        <v>17</v>
      </c>
      <c r="AK2261" s="2" t="s">
        <v>309</v>
      </c>
      <c r="AL2261" s="2">
        <v>11</v>
      </c>
      <c r="AM2261" s="2" t="s">
        <v>137</v>
      </c>
      <c r="AN2261" s="2" t="s">
        <v>7711</v>
      </c>
      <c r="AO2261" s="2"/>
      <c r="AP2261" s="2">
        <v>11</v>
      </c>
      <c r="AQ2261" s="2" t="s">
        <v>82</v>
      </c>
      <c r="AR2261" s="2" t="s">
        <v>82</v>
      </c>
      <c r="AS2261" s="2" t="s">
        <v>82</v>
      </c>
      <c r="AT2261" s="2" t="s">
        <v>7712</v>
      </c>
      <c r="AU2261" s="2"/>
      <c r="AV2261" s="2"/>
      <c r="AW2261" s="2"/>
      <c r="AX2261" s="2"/>
      <c r="AY2261" s="2">
        <v>41</v>
      </c>
      <c r="AZ2261" s="2" t="s">
        <v>82</v>
      </c>
      <c r="BA2261" s="2">
        <v>41</v>
      </c>
      <c r="BB2261" s="2" t="s">
        <v>82</v>
      </c>
      <c r="BC2261" s="2">
        <v>41</v>
      </c>
      <c r="BD2261" s="2" t="s">
        <v>82</v>
      </c>
      <c r="BE2261" s="2">
        <v>17</v>
      </c>
      <c r="BF2261" s="2" t="s">
        <v>508</v>
      </c>
      <c r="BG2261" s="2">
        <v>931</v>
      </c>
      <c r="BH2261" s="4">
        <v>0.4513888888888889</v>
      </c>
      <c r="BI2261" s="4">
        <v>0.47222222222222227</v>
      </c>
      <c r="BJ2261" s="2">
        <v>13</v>
      </c>
      <c r="BK2261" s="2" t="s">
        <v>91</v>
      </c>
      <c r="BL2261" s="2" t="s">
        <v>445</v>
      </c>
      <c r="BM2261" s="2">
        <v>241</v>
      </c>
      <c r="BN2261" s="2" t="s">
        <v>82</v>
      </c>
      <c r="BO2261" s="2" t="s">
        <v>82</v>
      </c>
      <c r="BP2261" s="2">
        <v>46</v>
      </c>
      <c r="BQ2261" s="2" t="s">
        <v>307</v>
      </c>
      <c r="BR2261" s="2" t="s">
        <v>308</v>
      </c>
      <c r="BS2261" s="3">
        <v>40330</v>
      </c>
      <c r="BT2261" s="4">
        <v>0.71056712962962953</v>
      </c>
    </row>
    <row r="2262" spans="1:72" x14ac:dyDescent="0.25">
      <c r="A2262" s="2">
        <v>3289</v>
      </c>
      <c r="B2262" s="2">
        <v>2010</v>
      </c>
      <c r="C2262" s="2" t="s">
        <v>72</v>
      </c>
      <c r="D2262" s="2" t="s">
        <v>73</v>
      </c>
      <c r="E2262" s="2"/>
      <c r="F2262" s="2">
        <v>64</v>
      </c>
      <c r="G2262" s="2" t="s">
        <v>7713</v>
      </c>
      <c r="H2262" s="2">
        <v>22</v>
      </c>
      <c r="I2262" s="2" t="s">
        <v>75</v>
      </c>
      <c r="J2262" s="2">
        <v>96</v>
      </c>
      <c r="K2262" s="2" t="s">
        <v>7714</v>
      </c>
      <c r="L2262" s="2" t="s">
        <v>7715</v>
      </c>
      <c r="M2262" s="3">
        <v>40330</v>
      </c>
      <c r="N2262" s="2" t="s">
        <v>7716</v>
      </c>
      <c r="O2262" s="2"/>
      <c r="P2262" s="2"/>
      <c r="Q2262" s="2" t="str">
        <f>"17/10"</f>
        <v>17/10</v>
      </c>
      <c r="R2262" s="2" t="s">
        <v>657</v>
      </c>
      <c r="S2262" s="2"/>
      <c r="T2262" s="2">
        <v>1</v>
      </c>
      <c r="U2262" s="2" t="s">
        <v>79</v>
      </c>
      <c r="V2262" s="2">
        <v>1</v>
      </c>
      <c r="W2262" s="2" t="s">
        <v>80</v>
      </c>
      <c r="X2262" s="2">
        <v>12</v>
      </c>
      <c r="Y2262" s="2" t="s">
        <v>148</v>
      </c>
      <c r="Z2262" s="2">
        <v>1</v>
      </c>
      <c r="AA2262" s="2" t="s">
        <v>82</v>
      </c>
      <c r="AB2262" s="2">
        <v>6</v>
      </c>
      <c r="AC2262" s="2" t="s">
        <v>83</v>
      </c>
      <c r="AD2262" s="3">
        <v>40330</v>
      </c>
      <c r="AE2262" s="2"/>
      <c r="AF2262" s="3">
        <v>40330</v>
      </c>
      <c r="AG2262" s="4">
        <v>0.72916666666666663</v>
      </c>
      <c r="AH2262" s="2">
        <v>4</v>
      </c>
      <c r="AI2262" s="2" t="s">
        <v>125</v>
      </c>
      <c r="AJ2262" s="2">
        <v>28</v>
      </c>
      <c r="AK2262" s="2" t="s">
        <v>741</v>
      </c>
      <c r="AL2262" s="2">
        <v>21</v>
      </c>
      <c r="AM2262" s="2" t="s">
        <v>1311</v>
      </c>
      <c r="AN2262" s="2"/>
      <c r="AO2262" s="2"/>
      <c r="AP2262" s="2">
        <v>11</v>
      </c>
      <c r="AQ2262" s="2" t="s">
        <v>82</v>
      </c>
      <c r="AR2262" s="2"/>
      <c r="AS2262" s="2"/>
      <c r="AT2262" s="2" t="s">
        <v>7717</v>
      </c>
      <c r="AU2262" s="2"/>
      <c r="AV2262" s="2"/>
      <c r="AW2262" s="2"/>
      <c r="AX2262" s="2"/>
      <c r="AY2262" s="2">
        <v>41</v>
      </c>
      <c r="AZ2262" s="2" t="s">
        <v>82</v>
      </c>
      <c r="BA2262" s="2">
        <v>41</v>
      </c>
      <c r="BB2262" s="2" t="s">
        <v>82</v>
      </c>
      <c r="BC2262" s="2">
        <v>41</v>
      </c>
      <c r="BD2262" s="2" t="s">
        <v>82</v>
      </c>
      <c r="BE2262" s="2">
        <v>41</v>
      </c>
      <c r="BF2262" s="2" t="s">
        <v>82</v>
      </c>
      <c r="BG2262" s="2"/>
      <c r="BH2262" s="2"/>
      <c r="BI2262" s="2"/>
      <c r="BJ2262" s="2">
        <v>241</v>
      </c>
      <c r="BK2262" s="2" t="s">
        <v>82</v>
      </c>
      <c r="BL2262" s="2"/>
      <c r="BM2262" s="2">
        <v>241</v>
      </c>
      <c r="BN2262" s="2" t="s">
        <v>82</v>
      </c>
      <c r="BO2262" s="2"/>
      <c r="BP2262" s="2">
        <v>241</v>
      </c>
      <c r="BQ2262" s="2" t="s">
        <v>82</v>
      </c>
      <c r="BR2262" s="2"/>
      <c r="BS2262" s="3">
        <v>40330</v>
      </c>
      <c r="BT2262" s="4">
        <v>0.81305555555555553</v>
      </c>
    </row>
    <row r="2263" spans="1:72" x14ac:dyDescent="0.25">
      <c r="A2263" s="2">
        <v>3290</v>
      </c>
      <c r="B2263" s="2">
        <v>2010</v>
      </c>
      <c r="C2263" s="2" t="s">
        <v>72</v>
      </c>
      <c r="D2263" s="2" t="s">
        <v>73</v>
      </c>
      <c r="E2263" s="2"/>
      <c r="F2263" s="2">
        <v>110</v>
      </c>
      <c r="G2263" s="2" t="s">
        <v>7444</v>
      </c>
      <c r="H2263" s="2">
        <v>99</v>
      </c>
      <c r="I2263" s="2" t="s">
        <v>6285</v>
      </c>
      <c r="J2263" s="2">
        <v>126</v>
      </c>
      <c r="K2263" s="2" t="s">
        <v>7445</v>
      </c>
      <c r="L2263" s="2" t="s">
        <v>7446</v>
      </c>
      <c r="M2263" s="3">
        <v>40330</v>
      </c>
      <c r="N2263" s="2" t="s">
        <v>7718</v>
      </c>
      <c r="O2263" s="2"/>
      <c r="P2263" s="2"/>
      <c r="Q2263" s="2" t="str">
        <f>"001/2010"</f>
        <v>001/2010</v>
      </c>
      <c r="R2263" s="2" t="s">
        <v>833</v>
      </c>
      <c r="S2263" s="2" t="s">
        <v>833</v>
      </c>
      <c r="T2263" s="2">
        <v>1</v>
      </c>
      <c r="U2263" s="2" t="s">
        <v>79</v>
      </c>
      <c r="V2263" s="2">
        <v>1</v>
      </c>
      <c r="W2263" s="2" t="s">
        <v>80</v>
      </c>
      <c r="X2263" s="2">
        <v>12</v>
      </c>
      <c r="Y2263" s="2" t="s">
        <v>148</v>
      </c>
      <c r="Z2263" s="2">
        <v>1</v>
      </c>
      <c r="AA2263" s="2" t="s">
        <v>82</v>
      </c>
      <c r="AB2263" s="2">
        <v>6</v>
      </c>
      <c r="AC2263" s="2" t="s">
        <v>83</v>
      </c>
      <c r="AD2263" s="2"/>
      <c r="AE2263" s="2"/>
      <c r="AF2263" s="3">
        <v>40330</v>
      </c>
      <c r="AG2263" s="4">
        <v>0.54513888888888895</v>
      </c>
      <c r="AH2263" s="2">
        <v>6</v>
      </c>
      <c r="AI2263" s="2" t="s">
        <v>197</v>
      </c>
      <c r="AJ2263" s="2">
        <v>56</v>
      </c>
      <c r="AK2263" s="2" t="s">
        <v>7719</v>
      </c>
      <c r="AL2263" s="2">
        <v>9</v>
      </c>
      <c r="AM2263" s="2" t="s">
        <v>259</v>
      </c>
      <c r="AN2263" s="2" t="s">
        <v>107</v>
      </c>
      <c r="AO2263" s="2" t="s">
        <v>7720</v>
      </c>
      <c r="AP2263" s="2">
        <v>11</v>
      </c>
      <c r="AQ2263" s="2" t="s">
        <v>82</v>
      </c>
      <c r="AR2263" s="2"/>
      <c r="AS2263" s="2"/>
      <c r="AT2263" s="2" t="s">
        <v>7721</v>
      </c>
      <c r="AU2263" s="2"/>
      <c r="AV2263" s="2"/>
      <c r="AW2263" s="2"/>
      <c r="AX2263" s="2"/>
      <c r="AY2263" s="2">
        <v>114</v>
      </c>
      <c r="AZ2263" s="2" t="s">
        <v>7510</v>
      </c>
      <c r="BA2263" s="2">
        <v>41</v>
      </c>
      <c r="BB2263" s="2" t="s">
        <v>82</v>
      </c>
      <c r="BC2263" s="2">
        <v>41</v>
      </c>
      <c r="BD2263" s="2" t="s">
        <v>82</v>
      </c>
      <c r="BE2263" s="2">
        <v>41</v>
      </c>
      <c r="BF2263" s="2" t="s">
        <v>82</v>
      </c>
      <c r="BG2263" s="2"/>
      <c r="BH2263" s="2"/>
      <c r="BI2263" s="2"/>
      <c r="BJ2263" s="2">
        <v>241</v>
      </c>
      <c r="BK2263" s="2" t="s">
        <v>82</v>
      </c>
      <c r="BL2263" s="2"/>
      <c r="BM2263" s="2">
        <v>241</v>
      </c>
      <c r="BN2263" s="2" t="s">
        <v>82</v>
      </c>
      <c r="BO2263" s="2"/>
      <c r="BP2263" s="2">
        <v>241</v>
      </c>
      <c r="BQ2263" s="2" t="s">
        <v>82</v>
      </c>
      <c r="BR2263" s="2"/>
      <c r="BS2263" s="3">
        <v>40330</v>
      </c>
      <c r="BT2263" s="4">
        <v>0.8568634259259259</v>
      </c>
    </row>
    <row r="2264" spans="1:72" x14ac:dyDescent="0.25">
      <c r="A2264" s="2">
        <v>3291</v>
      </c>
      <c r="B2264" s="2">
        <v>2010</v>
      </c>
      <c r="C2264" s="2" t="s">
        <v>72</v>
      </c>
      <c r="D2264" s="2" t="s">
        <v>73</v>
      </c>
      <c r="E2264" s="2"/>
      <c r="F2264" s="2">
        <v>94</v>
      </c>
      <c r="G2264" s="2" t="s">
        <v>7722</v>
      </c>
      <c r="H2264" s="2">
        <v>60</v>
      </c>
      <c r="I2264" s="2" t="s">
        <v>2704</v>
      </c>
      <c r="J2264" s="2">
        <v>121</v>
      </c>
      <c r="K2264" s="2" t="s">
        <v>7723</v>
      </c>
      <c r="L2264" s="2" t="s">
        <v>7724</v>
      </c>
      <c r="M2264" s="3">
        <v>40330</v>
      </c>
      <c r="N2264" s="2" t="s">
        <v>7725</v>
      </c>
      <c r="O2264" s="2" t="s">
        <v>107</v>
      </c>
      <c r="P2264" s="2" t="s">
        <v>107</v>
      </c>
      <c r="Q2264" s="2" t="str">
        <f>"0015/2010"</f>
        <v>0015/2010</v>
      </c>
      <c r="R2264" s="2"/>
      <c r="S2264" s="2" t="s">
        <v>7726</v>
      </c>
      <c r="T2264" s="2">
        <v>1</v>
      </c>
      <c r="U2264" s="2" t="s">
        <v>79</v>
      </c>
      <c r="V2264" s="2">
        <v>1</v>
      </c>
      <c r="W2264" s="2" t="s">
        <v>80</v>
      </c>
      <c r="X2264" s="2">
        <v>12</v>
      </c>
      <c r="Y2264" s="2" t="s">
        <v>148</v>
      </c>
      <c r="Z2264" s="2">
        <v>1</v>
      </c>
      <c r="AA2264" s="2" t="s">
        <v>82</v>
      </c>
      <c r="AB2264" s="2">
        <v>6</v>
      </c>
      <c r="AC2264" s="2" t="s">
        <v>83</v>
      </c>
      <c r="AD2264" s="3">
        <v>40330</v>
      </c>
      <c r="AE2264" s="4">
        <v>0.5</v>
      </c>
      <c r="AF2264" s="3">
        <v>40330</v>
      </c>
      <c r="AG2264" s="4">
        <v>0.74305555555555547</v>
      </c>
      <c r="AH2264" s="2">
        <v>6</v>
      </c>
      <c r="AI2264" s="2" t="s">
        <v>197</v>
      </c>
      <c r="AJ2264" s="2">
        <v>50</v>
      </c>
      <c r="AK2264" s="2" t="s">
        <v>330</v>
      </c>
      <c r="AL2264" s="2">
        <v>21</v>
      </c>
      <c r="AM2264" s="2" t="s">
        <v>1311</v>
      </c>
      <c r="AN2264" s="2" t="s">
        <v>7727</v>
      </c>
      <c r="AO2264" s="2" t="s">
        <v>5754</v>
      </c>
      <c r="AP2264" s="2">
        <v>11</v>
      </c>
      <c r="AQ2264" s="2" t="s">
        <v>82</v>
      </c>
      <c r="AR2264" s="2"/>
      <c r="AS2264" s="2"/>
      <c r="AT2264" s="2" t="s">
        <v>7728</v>
      </c>
      <c r="AU2264" s="2"/>
      <c r="AV2264" s="2"/>
      <c r="AW2264" s="2"/>
      <c r="AX2264" s="2"/>
      <c r="AY2264" s="2">
        <v>41</v>
      </c>
      <c r="AZ2264" s="2" t="s">
        <v>82</v>
      </c>
      <c r="BA2264" s="2">
        <v>41</v>
      </c>
      <c r="BB2264" s="2" t="s">
        <v>82</v>
      </c>
      <c r="BC2264" s="2">
        <v>41</v>
      </c>
      <c r="BD2264" s="2" t="s">
        <v>82</v>
      </c>
      <c r="BE2264" s="2">
        <v>41</v>
      </c>
      <c r="BF2264" s="2" t="s">
        <v>82</v>
      </c>
      <c r="BG2264" s="2"/>
      <c r="BH2264" s="2"/>
      <c r="BI2264" s="2"/>
      <c r="BJ2264" s="2">
        <v>241</v>
      </c>
      <c r="BK2264" s="2" t="s">
        <v>82</v>
      </c>
      <c r="BL2264" s="2"/>
      <c r="BM2264" s="2">
        <v>241</v>
      </c>
      <c r="BN2264" s="2" t="s">
        <v>82</v>
      </c>
      <c r="BO2264" s="2"/>
      <c r="BP2264" s="2">
        <v>241</v>
      </c>
      <c r="BQ2264" s="2" t="s">
        <v>82</v>
      </c>
      <c r="BR2264" s="2"/>
      <c r="BS2264" s="3">
        <v>40330</v>
      </c>
      <c r="BT2264" s="4">
        <v>0.86491898148148139</v>
      </c>
    </row>
    <row r="2265" spans="1:72" x14ac:dyDescent="0.25">
      <c r="A2265" s="2">
        <v>3292</v>
      </c>
      <c r="B2265" s="2">
        <v>2010</v>
      </c>
      <c r="C2265" s="2" t="s">
        <v>385</v>
      </c>
      <c r="D2265" s="2" t="s">
        <v>122</v>
      </c>
      <c r="E2265" s="2"/>
      <c r="F2265" s="2">
        <v>499</v>
      </c>
      <c r="G2265" s="2" t="s">
        <v>2177</v>
      </c>
      <c r="H2265" s="2">
        <v>9</v>
      </c>
      <c r="I2265" s="2" t="s">
        <v>794</v>
      </c>
      <c r="J2265" s="2">
        <v>33</v>
      </c>
      <c r="K2265" s="2" t="s">
        <v>2178</v>
      </c>
      <c r="L2265" s="2" t="s">
        <v>1877</v>
      </c>
      <c r="M2265" s="3">
        <v>40330</v>
      </c>
      <c r="N2265" s="2" t="s">
        <v>5603</v>
      </c>
      <c r="O2265" s="2" t="s">
        <v>4943</v>
      </c>
      <c r="P2265" s="2" t="s">
        <v>7729</v>
      </c>
      <c r="Q2265" s="2" t="str">
        <f>""</f>
        <v/>
      </c>
      <c r="R2265" s="2"/>
      <c r="S2265" s="2"/>
      <c r="T2265" s="2">
        <v>1</v>
      </c>
      <c r="U2265" s="2" t="s">
        <v>79</v>
      </c>
      <c r="V2265" s="2">
        <v>1</v>
      </c>
      <c r="W2265" s="2" t="s">
        <v>80</v>
      </c>
      <c r="X2265" s="2">
        <v>11</v>
      </c>
      <c r="Y2265" s="2" t="s">
        <v>1920</v>
      </c>
      <c r="Z2265" s="2">
        <v>1</v>
      </c>
      <c r="AA2265" s="2" t="s">
        <v>82</v>
      </c>
      <c r="AB2265" s="2">
        <v>9</v>
      </c>
      <c r="AC2265" s="2" t="s">
        <v>124</v>
      </c>
      <c r="AD2265" s="3">
        <v>40330</v>
      </c>
      <c r="AE2265" s="4">
        <v>0.73611111111111116</v>
      </c>
      <c r="AF2265" s="2"/>
      <c r="AG2265" s="2"/>
      <c r="AH2265" s="2">
        <v>2</v>
      </c>
      <c r="AI2265" s="2" t="s">
        <v>84</v>
      </c>
      <c r="AJ2265" s="2">
        <v>8</v>
      </c>
      <c r="AK2265" s="2" t="s">
        <v>436</v>
      </c>
      <c r="AL2265" s="2">
        <v>19</v>
      </c>
      <c r="AM2265" s="2" t="s">
        <v>107</v>
      </c>
      <c r="AN2265" s="2" t="s">
        <v>7730</v>
      </c>
      <c r="AO2265" s="2" t="s">
        <v>7731</v>
      </c>
      <c r="AP2265" s="2">
        <v>11</v>
      </c>
      <c r="AQ2265" s="2" t="s">
        <v>82</v>
      </c>
      <c r="AR2265" s="2"/>
      <c r="AS2265" s="2"/>
      <c r="AT2265" s="2" t="s">
        <v>7732</v>
      </c>
      <c r="AU2265" s="2">
        <v>1</v>
      </c>
      <c r="AV2265" s="2"/>
      <c r="AW2265" s="2"/>
      <c r="AX2265" s="2"/>
      <c r="AY2265" s="2">
        <v>42</v>
      </c>
      <c r="AZ2265" s="2" t="s">
        <v>182</v>
      </c>
      <c r="BA2265" s="2">
        <v>1</v>
      </c>
      <c r="BB2265" s="2" t="s">
        <v>107</v>
      </c>
      <c r="BC2265" s="2">
        <v>70</v>
      </c>
      <c r="BD2265" s="2" t="s">
        <v>236</v>
      </c>
      <c r="BE2265" s="2">
        <v>41</v>
      </c>
      <c r="BF2265" s="2" t="s">
        <v>82</v>
      </c>
      <c r="BG2265" s="2"/>
      <c r="BH2265" s="2"/>
      <c r="BI2265" s="2"/>
      <c r="BJ2265" s="2">
        <v>241</v>
      </c>
      <c r="BK2265" s="2" t="s">
        <v>82</v>
      </c>
      <c r="BL2265" s="2"/>
      <c r="BM2265" s="2">
        <v>241</v>
      </c>
      <c r="BN2265" s="2" t="s">
        <v>82</v>
      </c>
      <c r="BO2265" s="2"/>
      <c r="BP2265" s="2">
        <v>241</v>
      </c>
      <c r="BQ2265" s="2" t="s">
        <v>82</v>
      </c>
      <c r="BR2265" s="2"/>
      <c r="BS2265" s="3">
        <v>40330</v>
      </c>
      <c r="BT2265" s="4">
        <v>0.87003472222222233</v>
      </c>
    </row>
    <row r="2266" spans="1:72" x14ac:dyDescent="0.25">
      <c r="A2266" s="2">
        <v>3293</v>
      </c>
      <c r="B2266" s="2">
        <v>2010</v>
      </c>
      <c r="C2266" s="2" t="s">
        <v>171</v>
      </c>
      <c r="D2266" s="2" t="s">
        <v>73</v>
      </c>
      <c r="E2266" s="2"/>
      <c r="F2266" s="2">
        <v>396</v>
      </c>
      <c r="G2266" s="2" t="s">
        <v>2159</v>
      </c>
      <c r="H2266" s="2">
        <v>9</v>
      </c>
      <c r="I2266" s="2" t="s">
        <v>794</v>
      </c>
      <c r="J2266" s="2">
        <v>243</v>
      </c>
      <c r="K2266" s="2" t="s">
        <v>2160</v>
      </c>
      <c r="L2266" s="2" t="s">
        <v>2145</v>
      </c>
      <c r="M2266" s="3">
        <v>40331</v>
      </c>
      <c r="N2266" s="2" t="s">
        <v>2161</v>
      </c>
      <c r="O2266" s="2" t="s">
        <v>107</v>
      </c>
      <c r="P2266" s="2" t="s">
        <v>107</v>
      </c>
      <c r="Q2266" s="2" t="str">
        <f>"290-E/10"</f>
        <v>290-E/10</v>
      </c>
      <c r="R2266" s="2" t="s">
        <v>107</v>
      </c>
      <c r="S2266" s="2" t="s">
        <v>391</v>
      </c>
      <c r="T2266" s="2">
        <v>1</v>
      </c>
      <c r="U2266" s="2" t="s">
        <v>79</v>
      </c>
      <c r="V2266" s="2">
        <v>1</v>
      </c>
      <c r="W2266" s="2" t="s">
        <v>80</v>
      </c>
      <c r="X2266" s="2">
        <v>1</v>
      </c>
      <c r="Y2266" s="2" t="s">
        <v>81</v>
      </c>
      <c r="Z2266" s="2">
        <v>1</v>
      </c>
      <c r="AA2266" s="2" t="s">
        <v>82</v>
      </c>
      <c r="AB2266" s="2">
        <v>1</v>
      </c>
      <c r="AC2266" s="2" t="s">
        <v>178</v>
      </c>
      <c r="AD2266" s="3">
        <v>40330</v>
      </c>
      <c r="AE2266" s="4">
        <v>0.77430555555555547</v>
      </c>
      <c r="AF2266" s="2"/>
      <c r="AG2266" s="2"/>
      <c r="AH2266" s="2">
        <v>2</v>
      </c>
      <c r="AI2266" s="2" t="s">
        <v>84</v>
      </c>
      <c r="AJ2266" s="2">
        <v>9</v>
      </c>
      <c r="AK2266" s="2" t="s">
        <v>103</v>
      </c>
      <c r="AL2266" s="2">
        <v>25</v>
      </c>
      <c r="AM2266" s="2" t="s">
        <v>3073</v>
      </c>
      <c r="AN2266" s="2" t="s">
        <v>179</v>
      </c>
      <c r="AO2266" s="2" t="s">
        <v>590</v>
      </c>
      <c r="AP2266" s="2">
        <v>11</v>
      </c>
      <c r="AQ2266" s="2" t="s">
        <v>82</v>
      </c>
      <c r="AR2266" s="2"/>
      <c r="AS2266" s="2"/>
      <c r="AT2266" s="2" t="s">
        <v>7733</v>
      </c>
      <c r="AU2266" s="2"/>
      <c r="AV2266" s="2">
        <v>1</v>
      </c>
      <c r="AW2266" s="2"/>
      <c r="AX2266" s="2"/>
      <c r="AY2266" s="2">
        <v>41</v>
      </c>
      <c r="AZ2266" s="2" t="s">
        <v>82</v>
      </c>
      <c r="BA2266" s="2">
        <v>41</v>
      </c>
      <c r="BB2266" s="2" t="s">
        <v>82</v>
      </c>
      <c r="BC2266" s="2">
        <v>41</v>
      </c>
      <c r="BD2266" s="2" t="s">
        <v>82</v>
      </c>
      <c r="BE2266" s="2">
        <v>13</v>
      </c>
      <c r="BF2266" s="2" t="s">
        <v>108</v>
      </c>
      <c r="BG2266" s="2" t="s">
        <v>5713</v>
      </c>
      <c r="BH2266" s="2"/>
      <c r="BI2266" s="4">
        <v>0.88541666666666663</v>
      </c>
      <c r="BJ2266" s="2">
        <v>13</v>
      </c>
      <c r="BK2266" s="2" t="s">
        <v>91</v>
      </c>
      <c r="BL2266" s="2" t="s">
        <v>360</v>
      </c>
      <c r="BM2266" s="2">
        <v>241</v>
      </c>
      <c r="BN2266" s="2" t="s">
        <v>82</v>
      </c>
      <c r="BO2266" s="2"/>
      <c r="BP2266" s="2">
        <v>73</v>
      </c>
      <c r="BQ2266" s="2" t="s">
        <v>186</v>
      </c>
      <c r="BR2266" s="2" t="s">
        <v>187</v>
      </c>
      <c r="BS2266" s="3">
        <v>40331</v>
      </c>
      <c r="BT2266" s="4">
        <v>0.13123842592592591</v>
      </c>
    </row>
    <row r="2267" spans="1:72" x14ac:dyDescent="0.25">
      <c r="A2267" s="2">
        <v>3297</v>
      </c>
      <c r="B2267" s="2">
        <v>2010</v>
      </c>
      <c r="C2267" s="2" t="s">
        <v>171</v>
      </c>
      <c r="D2267" s="2" t="s">
        <v>73</v>
      </c>
      <c r="E2267" s="2" t="s">
        <v>7734</v>
      </c>
      <c r="F2267" s="2">
        <v>451</v>
      </c>
      <c r="G2267" s="2" t="s">
        <v>879</v>
      </c>
      <c r="H2267" s="2">
        <v>31</v>
      </c>
      <c r="I2267" s="2" t="s">
        <v>880</v>
      </c>
      <c r="J2267" s="2">
        <v>326</v>
      </c>
      <c r="K2267" s="2" t="s">
        <v>881</v>
      </c>
      <c r="L2267" s="2" t="s">
        <v>882</v>
      </c>
      <c r="M2267" s="3">
        <v>40331</v>
      </c>
      <c r="N2267" s="2" t="s">
        <v>3096</v>
      </c>
      <c r="O2267" s="2" t="s">
        <v>7735</v>
      </c>
      <c r="P2267" s="2" t="s">
        <v>7736</v>
      </c>
      <c r="Q2267" s="2" t="str">
        <f>"056/10"</f>
        <v>056/10</v>
      </c>
      <c r="R2267" s="2" t="s">
        <v>822</v>
      </c>
      <c r="S2267" s="2"/>
      <c r="T2267" s="2">
        <v>1</v>
      </c>
      <c r="U2267" s="2" t="s">
        <v>79</v>
      </c>
      <c r="V2267" s="2">
        <v>1</v>
      </c>
      <c r="W2267" s="2" t="s">
        <v>80</v>
      </c>
      <c r="X2267" s="2">
        <v>1</v>
      </c>
      <c r="Y2267" s="2" t="s">
        <v>81</v>
      </c>
      <c r="Z2267" s="2">
        <v>1</v>
      </c>
      <c r="AA2267" s="2" t="s">
        <v>82</v>
      </c>
      <c r="AB2267" s="2">
        <v>1</v>
      </c>
      <c r="AC2267" s="2" t="s">
        <v>178</v>
      </c>
      <c r="AD2267" s="3">
        <v>40331</v>
      </c>
      <c r="AE2267" s="4">
        <v>0.5</v>
      </c>
      <c r="AF2267" s="2"/>
      <c r="AG2267" s="2"/>
      <c r="AH2267" s="2">
        <v>4</v>
      </c>
      <c r="AI2267" s="2" t="s">
        <v>125</v>
      </c>
      <c r="AJ2267" s="2">
        <v>29</v>
      </c>
      <c r="AK2267" s="2" t="s">
        <v>227</v>
      </c>
      <c r="AL2267" s="2">
        <v>16</v>
      </c>
      <c r="AM2267" s="2" t="s">
        <v>392</v>
      </c>
      <c r="AN2267" s="2" t="s">
        <v>6877</v>
      </c>
      <c r="AO2267" s="2"/>
      <c r="AP2267" s="2">
        <v>12</v>
      </c>
      <c r="AQ2267" s="2" t="s">
        <v>322</v>
      </c>
      <c r="AR2267" s="2" t="s">
        <v>6941</v>
      </c>
      <c r="AS2267" s="2" t="s">
        <v>6942</v>
      </c>
      <c r="AT2267" s="2" t="s">
        <v>7737</v>
      </c>
      <c r="AU2267" s="2"/>
      <c r="AV2267" s="2"/>
      <c r="AW2267" s="2"/>
      <c r="AX2267" s="2"/>
      <c r="AY2267" s="2">
        <v>41</v>
      </c>
      <c r="AZ2267" s="2" t="s">
        <v>82</v>
      </c>
      <c r="BA2267" s="2">
        <v>41</v>
      </c>
      <c r="BB2267" s="2" t="s">
        <v>82</v>
      </c>
      <c r="BC2267" s="2">
        <v>51</v>
      </c>
      <c r="BD2267" s="2" t="s">
        <v>827</v>
      </c>
      <c r="BE2267" s="2">
        <v>13</v>
      </c>
      <c r="BF2267" s="2" t="s">
        <v>108</v>
      </c>
      <c r="BG2267" s="2">
        <v>2459</v>
      </c>
      <c r="BH2267" s="4">
        <v>0.90277777777777779</v>
      </c>
      <c r="BI2267" s="4">
        <v>0.9375</v>
      </c>
      <c r="BJ2267" s="2">
        <v>13</v>
      </c>
      <c r="BK2267" s="2" t="s">
        <v>91</v>
      </c>
      <c r="BL2267" s="2" t="s">
        <v>828</v>
      </c>
      <c r="BM2267" s="2">
        <v>241</v>
      </c>
      <c r="BN2267" s="2" t="s">
        <v>82</v>
      </c>
      <c r="BO2267" s="2" t="s">
        <v>82</v>
      </c>
      <c r="BP2267" s="2">
        <v>13</v>
      </c>
      <c r="BQ2267" s="2" t="s">
        <v>91</v>
      </c>
      <c r="BR2267" s="2" t="s">
        <v>6944</v>
      </c>
      <c r="BS2267" s="3">
        <v>40331</v>
      </c>
      <c r="BT2267" s="4">
        <v>0.51607638888888896</v>
      </c>
    </row>
    <row r="2268" spans="1:72" x14ac:dyDescent="0.25">
      <c r="A2268" s="2">
        <v>3301</v>
      </c>
      <c r="B2268" s="2">
        <v>2010</v>
      </c>
      <c r="C2268" s="2" t="s">
        <v>171</v>
      </c>
      <c r="D2268" s="2" t="s">
        <v>73</v>
      </c>
      <c r="E2268" s="2" t="s">
        <v>7738</v>
      </c>
      <c r="F2268" s="2">
        <v>451</v>
      </c>
      <c r="G2268" s="2" t="s">
        <v>879</v>
      </c>
      <c r="H2268" s="2">
        <v>31</v>
      </c>
      <c r="I2268" s="2" t="s">
        <v>880</v>
      </c>
      <c r="J2268" s="2">
        <v>326</v>
      </c>
      <c r="K2268" s="2" t="s">
        <v>881</v>
      </c>
      <c r="L2268" s="2" t="s">
        <v>882</v>
      </c>
      <c r="M2268" s="3">
        <v>40331</v>
      </c>
      <c r="N2268" s="2" t="s">
        <v>1072</v>
      </c>
      <c r="O2268" s="2" t="s">
        <v>7739</v>
      </c>
      <c r="P2268" s="2" t="s">
        <v>7740</v>
      </c>
      <c r="Q2268" s="2" t="str">
        <f>"052/10"</f>
        <v>052/10</v>
      </c>
      <c r="R2268" s="2" t="s">
        <v>822</v>
      </c>
      <c r="S2268" s="2"/>
      <c r="T2268" s="2">
        <v>1</v>
      </c>
      <c r="U2268" s="2" t="s">
        <v>79</v>
      </c>
      <c r="V2268" s="2">
        <v>1</v>
      </c>
      <c r="W2268" s="2" t="s">
        <v>80</v>
      </c>
      <c r="X2268" s="2">
        <v>1</v>
      </c>
      <c r="Y2268" s="2" t="s">
        <v>81</v>
      </c>
      <c r="Z2268" s="2">
        <v>1</v>
      </c>
      <c r="AA2268" s="2" t="s">
        <v>82</v>
      </c>
      <c r="AB2268" s="2">
        <v>1</v>
      </c>
      <c r="AC2268" s="2" t="s">
        <v>178</v>
      </c>
      <c r="AD2268" s="3">
        <v>40331</v>
      </c>
      <c r="AE2268" s="4">
        <v>0.52083333333333337</v>
      </c>
      <c r="AF2268" s="2"/>
      <c r="AG2268" s="2"/>
      <c r="AH2268" s="2">
        <v>4</v>
      </c>
      <c r="AI2268" s="2" t="s">
        <v>125</v>
      </c>
      <c r="AJ2268" s="2">
        <v>29</v>
      </c>
      <c r="AK2268" s="2" t="s">
        <v>227</v>
      </c>
      <c r="AL2268" s="2">
        <v>16</v>
      </c>
      <c r="AM2268" s="2" t="s">
        <v>392</v>
      </c>
      <c r="AN2268" s="2" t="s">
        <v>6877</v>
      </c>
      <c r="AO2268" s="2"/>
      <c r="AP2268" s="2">
        <v>12</v>
      </c>
      <c r="AQ2268" s="2" t="s">
        <v>322</v>
      </c>
      <c r="AR2268" s="2" t="s">
        <v>824</v>
      </c>
      <c r="AS2268" s="2" t="s">
        <v>825</v>
      </c>
      <c r="AT2268" s="2" t="s">
        <v>7741</v>
      </c>
      <c r="AU2268" s="2"/>
      <c r="AV2268" s="2"/>
      <c r="AW2268" s="2"/>
      <c r="AX2268" s="2"/>
      <c r="AY2268" s="2">
        <v>41</v>
      </c>
      <c r="AZ2268" s="2" t="s">
        <v>82</v>
      </c>
      <c r="BA2268" s="2">
        <v>41</v>
      </c>
      <c r="BB2268" s="2" t="s">
        <v>82</v>
      </c>
      <c r="BC2268" s="2">
        <v>51</v>
      </c>
      <c r="BD2268" s="2" t="s">
        <v>827</v>
      </c>
      <c r="BE2268" s="2">
        <v>47</v>
      </c>
      <c r="BF2268" s="2" t="s">
        <v>167</v>
      </c>
      <c r="BG2268" s="2">
        <v>2459</v>
      </c>
      <c r="BH2268" s="4">
        <v>0.88194444444444453</v>
      </c>
      <c r="BI2268" s="4">
        <v>0.92361111111111116</v>
      </c>
      <c r="BJ2268" s="2">
        <v>13</v>
      </c>
      <c r="BK2268" s="2" t="s">
        <v>91</v>
      </c>
      <c r="BL2268" s="2" t="s">
        <v>828</v>
      </c>
      <c r="BM2268" s="2">
        <v>241</v>
      </c>
      <c r="BN2268" s="2" t="s">
        <v>82</v>
      </c>
      <c r="BO2268" s="2" t="s">
        <v>82</v>
      </c>
      <c r="BP2268" s="2">
        <v>13</v>
      </c>
      <c r="BQ2268" s="2" t="s">
        <v>91</v>
      </c>
      <c r="BR2268" s="2" t="s">
        <v>185</v>
      </c>
      <c r="BS2268" s="3">
        <v>40331</v>
      </c>
      <c r="BT2268" s="4">
        <v>0.54377314814814814</v>
      </c>
    </row>
    <row r="2269" spans="1:72" x14ac:dyDescent="0.25">
      <c r="A2269" s="2">
        <v>3304</v>
      </c>
      <c r="B2269" s="2">
        <v>2010</v>
      </c>
      <c r="C2269" s="2" t="s">
        <v>171</v>
      </c>
      <c r="D2269" s="2" t="s">
        <v>122</v>
      </c>
      <c r="E2269" s="2" t="s">
        <v>7742</v>
      </c>
      <c r="F2269" s="2">
        <v>396</v>
      </c>
      <c r="G2269" s="2" t="s">
        <v>2159</v>
      </c>
      <c r="H2269" s="2">
        <v>9</v>
      </c>
      <c r="I2269" s="2" t="s">
        <v>794</v>
      </c>
      <c r="J2269" s="2">
        <v>243</v>
      </c>
      <c r="K2269" s="2" t="s">
        <v>2160</v>
      </c>
      <c r="L2269" s="2" t="s">
        <v>2145</v>
      </c>
      <c r="M2269" s="3">
        <v>40331</v>
      </c>
      <c r="N2269" s="2" t="s">
        <v>2161</v>
      </c>
      <c r="O2269" s="2" t="s">
        <v>107</v>
      </c>
      <c r="P2269" s="2" t="s">
        <v>107</v>
      </c>
      <c r="Q2269" s="2" t="str">
        <f>"290-E/10"</f>
        <v>290-E/10</v>
      </c>
      <c r="R2269" s="2" t="s">
        <v>391</v>
      </c>
      <c r="S2269" s="2" t="s">
        <v>107</v>
      </c>
      <c r="T2269" s="2">
        <v>1</v>
      </c>
      <c r="U2269" s="2" t="s">
        <v>79</v>
      </c>
      <c r="V2269" s="2">
        <v>1</v>
      </c>
      <c r="W2269" s="2" t="s">
        <v>80</v>
      </c>
      <c r="X2269" s="2">
        <v>1</v>
      </c>
      <c r="Y2269" s="2" t="s">
        <v>81</v>
      </c>
      <c r="Z2269" s="2">
        <v>1</v>
      </c>
      <c r="AA2269" s="2" t="s">
        <v>82</v>
      </c>
      <c r="AB2269" s="2">
        <v>1</v>
      </c>
      <c r="AC2269" s="2" t="s">
        <v>178</v>
      </c>
      <c r="AD2269" s="3">
        <v>40330</v>
      </c>
      <c r="AE2269" s="4">
        <v>0.77430555555555547</v>
      </c>
      <c r="AF2269" s="2"/>
      <c r="AG2269" s="2"/>
      <c r="AH2269" s="2">
        <v>2</v>
      </c>
      <c r="AI2269" s="2" t="s">
        <v>84</v>
      </c>
      <c r="AJ2269" s="2">
        <v>9</v>
      </c>
      <c r="AK2269" s="2" t="s">
        <v>103</v>
      </c>
      <c r="AL2269" s="2">
        <v>15</v>
      </c>
      <c r="AM2269" s="2" t="s">
        <v>104</v>
      </c>
      <c r="AN2269" s="2" t="s">
        <v>82</v>
      </c>
      <c r="AO2269" s="2" t="s">
        <v>179</v>
      </c>
      <c r="AP2269" s="2">
        <v>11</v>
      </c>
      <c r="AQ2269" s="2" t="s">
        <v>82</v>
      </c>
      <c r="AR2269" s="2"/>
      <c r="AS2269" s="2"/>
      <c r="AT2269" s="2" t="s">
        <v>7743</v>
      </c>
      <c r="AU2269" s="2"/>
      <c r="AV2269" s="2">
        <v>1</v>
      </c>
      <c r="AW2269" s="2"/>
      <c r="AX2269" s="2"/>
      <c r="AY2269" s="2">
        <v>41</v>
      </c>
      <c r="AZ2269" s="2" t="s">
        <v>82</v>
      </c>
      <c r="BA2269" s="2">
        <v>41</v>
      </c>
      <c r="BB2269" s="2" t="s">
        <v>82</v>
      </c>
      <c r="BC2269" s="2">
        <v>41</v>
      </c>
      <c r="BD2269" s="2" t="s">
        <v>82</v>
      </c>
      <c r="BE2269" s="2">
        <v>13</v>
      </c>
      <c r="BF2269" s="2" t="s">
        <v>108</v>
      </c>
      <c r="BG2269" s="2" t="s">
        <v>5713</v>
      </c>
      <c r="BH2269" s="2"/>
      <c r="BI2269" s="4">
        <v>0.88541666666666663</v>
      </c>
      <c r="BJ2269" s="2">
        <v>13</v>
      </c>
      <c r="BK2269" s="2" t="s">
        <v>91</v>
      </c>
      <c r="BL2269" s="2" t="s">
        <v>4251</v>
      </c>
      <c r="BM2269" s="2">
        <v>241</v>
      </c>
      <c r="BN2269" s="2" t="s">
        <v>82</v>
      </c>
      <c r="BO2269" s="2"/>
      <c r="BP2269" s="2">
        <v>73</v>
      </c>
      <c r="BQ2269" s="2" t="s">
        <v>186</v>
      </c>
      <c r="BR2269" s="2" t="s">
        <v>187</v>
      </c>
      <c r="BS2269" s="3">
        <v>40331</v>
      </c>
      <c r="BT2269" s="4">
        <v>0.54910879629629628</v>
      </c>
    </row>
    <row r="2270" spans="1:72" x14ac:dyDescent="0.25">
      <c r="A2270" s="2">
        <v>3305</v>
      </c>
      <c r="B2270" s="2">
        <v>2010</v>
      </c>
      <c r="C2270" s="2" t="s">
        <v>128</v>
      </c>
      <c r="D2270" s="2" t="s">
        <v>122</v>
      </c>
      <c r="E2270" s="2"/>
      <c r="F2270" s="2">
        <v>53</v>
      </c>
      <c r="G2270" s="2" t="s">
        <v>2755</v>
      </c>
      <c r="H2270" s="2">
        <v>103</v>
      </c>
      <c r="I2270" s="2" t="s">
        <v>6768</v>
      </c>
      <c r="J2270" s="2">
        <v>88</v>
      </c>
      <c r="K2270" s="2" t="s">
        <v>2756</v>
      </c>
      <c r="L2270" s="2" t="s">
        <v>2757</v>
      </c>
      <c r="M2270" s="3">
        <v>40331</v>
      </c>
      <c r="N2270" s="2" t="s">
        <v>7744</v>
      </c>
      <c r="O2270" s="2"/>
      <c r="P2270" s="2"/>
      <c r="Q2270" s="2" t="str">
        <f>"018/10"</f>
        <v>018/10</v>
      </c>
      <c r="R2270" s="2"/>
      <c r="S2270" s="2" t="s">
        <v>7745</v>
      </c>
      <c r="T2270" s="2">
        <v>1</v>
      </c>
      <c r="U2270" s="2" t="s">
        <v>79</v>
      </c>
      <c r="V2270" s="2">
        <v>1</v>
      </c>
      <c r="W2270" s="2" t="s">
        <v>80</v>
      </c>
      <c r="X2270" s="2">
        <v>12</v>
      </c>
      <c r="Y2270" s="2" t="s">
        <v>148</v>
      </c>
      <c r="Z2270" s="2">
        <v>1</v>
      </c>
      <c r="AA2270" s="2" t="s">
        <v>82</v>
      </c>
      <c r="AB2270" s="2">
        <v>9</v>
      </c>
      <c r="AC2270" s="2" t="s">
        <v>124</v>
      </c>
      <c r="AD2270" s="3">
        <v>40329</v>
      </c>
      <c r="AE2270" s="4">
        <v>0.875</v>
      </c>
      <c r="AF2270" s="3">
        <v>40329</v>
      </c>
      <c r="AG2270" s="4">
        <v>0.875</v>
      </c>
      <c r="AH2270" s="2">
        <v>4</v>
      </c>
      <c r="AI2270" s="2" t="s">
        <v>125</v>
      </c>
      <c r="AJ2270" s="2">
        <v>28</v>
      </c>
      <c r="AK2270" s="2" t="s">
        <v>741</v>
      </c>
      <c r="AL2270" s="2">
        <v>19</v>
      </c>
      <c r="AM2270" s="2" t="s">
        <v>107</v>
      </c>
      <c r="AN2270" s="2"/>
      <c r="AO2270" s="2"/>
      <c r="AP2270" s="2">
        <v>11</v>
      </c>
      <c r="AQ2270" s="2" t="s">
        <v>82</v>
      </c>
      <c r="AR2270" s="2"/>
      <c r="AS2270" s="2"/>
      <c r="AT2270" s="2" t="s">
        <v>7746</v>
      </c>
      <c r="AU2270" s="2"/>
      <c r="AV2270" s="2"/>
      <c r="AW2270" s="2"/>
      <c r="AX2270" s="2"/>
      <c r="AY2270" s="2">
        <v>1</v>
      </c>
      <c r="AZ2270" s="2" t="s">
        <v>107</v>
      </c>
      <c r="BA2270" s="2">
        <v>1</v>
      </c>
      <c r="BB2270" s="2" t="s">
        <v>107</v>
      </c>
      <c r="BC2270" s="2">
        <v>1</v>
      </c>
      <c r="BD2270" s="2" t="s">
        <v>107</v>
      </c>
      <c r="BE2270" s="2">
        <v>19</v>
      </c>
      <c r="BF2270" s="2" t="s">
        <v>1061</v>
      </c>
      <c r="BG2270" s="2">
        <v>250</v>
      </c>
      <c r="BH2270" s="4">
        <v>0.50694444444444442</v>
      </c>
      <c r="BI2270" s="4">
        <v>0.52777777777777779</v>
      </c>
      <c r="BJ2270" s="2">
        <v>75</v>
      </c>
      <c r="BK2270" s="2" t="s">
        <v>1264</v>
      </c>
      <c r="BL2270" s="2" t="s">
        <v>1361</v>
      </c>
      <c r="BM2270" s="2">
        <v>29</v>
      </c>
      <c r="BN2270" s="2" t="s">
        <v>962</v>
      </c>
      <c r="BO2270" s="2" t="s">
        <v>963</v>
      </c>
      <c r="BP2270" s="2">
        <v>13</v>
      </c>
      <c r="BQ2270" s="2" t="s">
        <v>91</v>
      </c>
      <c r="BR2270" s="2" t="s">
        <v>828</v>
      </c>
      <c r="BS2270" s="3">
        <v>40331</v>
      </c>
      <c r="BT2270" s="4">
        <v>0.5588657407407408</v>
      </c>
    </row>
    <row r="2271" spans="1:72" x14ac:dyDescent="0.25">
      <c r="A2271" s="2">
        <v>3306</v>
      </c>
      <c r="B2271" s="2">
        <v>2010</v>
      </c>
      <c r="C2271" s="2" t="s">
        <v>72</v>
      </c>
      <c r="D2271" s="2" t="s">
        <v>122</v>
      </c>
      <c r="E2271" s="2" t="s">
        <v>7747</v>
      </c>
      <c r="F2271" s="2">
        <v>45</v>
      </c>
      <c r="G2271" s="2" t="s">
        <v>1408</v>
      </c>
      <c r="H2271" s="2">
        <v>47</v>
      </c>
      <c r="I2271" s="2" t="s">
        <v>1409</v>
      </c>
      <c r="J2271" s="2">
        <v>77</v>
      </c>
      <c r="K2271" s="2" t="s">
        <v>2517</v>
      </c>
      <c r="L2271" s="2" t="s">
        <v>2518</v>
      </c>
      <c r="M2271" s="3">
        <v>40331</v>
      </c>
      <c r="N2271" s="2" t="s">
        <v>4536</v>
      </c>
      <c r="O2271" s="2" t="s">
        <v>4537</v>
      </c>
      <c r="P2271" s="2" t="s">
        <v>4538</v>
      </c>
      <c r="Q2271" s="2" t="str">
        <f>"011/10"</f>
        <v>011/10</v>
      </c>
      <c r="R2271" s="2"/>
      <c r="S2271" s="2"/>
      <c r="T2271" s="2">
        <v>1</v>
      </c>
      <c r="U2271" s="2" t="s">
        <v>79</v>
      </c>
      <c r="V2271" s="2">
        <v>1</v>
      </c>
      <c r="W2271" s="2" t="s">
        <v>80</v>
      </c>
      <c r="X2271" s="2">
        <v>5</v>
      </c>
      <c r="Y2271" s="2" t="s">
        <v>82</v>
      </c>
      <c r="Z2271" s="2">
        <v>10</v>
      </c>
      <c r="AA2271" s="2" t="s">
        <v>236</v>
      </c>
      <c r="AB2271" s="2">
        <v>6</v>
      </c>
      <c r="AC2271" s="2" t="s">
        <v>83</v>
      </c>
      <c r="AD2271" s="3">
        <v>40258</v>
      </c>
      <c r="AE2271" s="4">
        <v>0.125</v>
      </c>
      <c r="AF2271" s="3">
        <v>40263</v>
      </c>
      <c r="AG2271" s="4">
        <v>0.4375</v>
      </c>
      <c r="AH2271" s="2">
        <v>4</v>
      </c>
      <c r="AI2271" s="2" t="s">
        <v>125</v>
      </c>
      <c r="AJ2271" s="2">
        <v>31</v>
      </c>
      <c r="AK2271" s="2" t="s">
        <v>1413</v>
      </c>
      <c r="AL2271" s="2">
        <v>12</v>
      </c>
      <c r="AM2271" s="2" t="s">
        <v>86</v>
      </c>
      <c r="AN2271" s="2" t="s">
        <v>4539</v>
      </c>
      <c r="AO2271" s="2" t="s">
        <v>7748</v>
      </c>
      <c r="AP2271" s="2">
        <v>11</v>
      </c>
      <c r="AQ2271" s="2" t="s">
        <v>82</v>
      </c>
      <c r="AR2271" s="2"/>
      <c r="AS2271" s="2"/>
      <c r="AT2271" s="2" t="s">
        <v>7749</v>
      </c>
      <c r="AU2271" s="2"/>
      <c r="AV2271" s="2"/>
      <c r="AW2271" s="2"/>
      <c r="AX2271" s="2"/>
      <c r="AY2271" s="2">
        <v>44</v>
      </c>
      <c r="AZ2271" s="2" t="s">
        <v>262</v>
      </c>
      <c r="BA2271" s="2">
        <v>70</v>
      </c>
      <c r="BB2271" s="2" t="s">
        <v>236</v>
      </c>
      <c r="BC2271" s="2">
        <v>44</v>
      </c>
      <c r="BD2271" s="2" t="s">
        <v>262</v>
      </c>
      <c r="BE2271" s="2">
        <v>41</v>
      </c>
      <c r="BF2271" s="2" t="s">
        <v>82</v>
      </c>
      <c r="BG2271" s="2"/>
      <c r="BH2271" s="2"/>
      <c r="BI2271" s="2"/>
      <c r="BJ2271" s="2">
        <v>241</v>
      </c>
      <c r="BK2271" s="2" t="s">
        <v>82</v>
      </c>
      <c r="BL2271" s="2"/>
      <c r="BM2271" s="2">
        <v>241</v>
      </c>
      <c r="BN2271" s="2" t="s">
        <v>82</v>
      </c>
      <c r="BO2271" s="2"/>
      <c r="BP2271" s="2">
        <v>241</v>
      </c>
      <c r="BQ2271" s="2" t="s">
        <v>82</v>
      </c>
      <c r="BR2271" s="2"/>
      <c r="BS2271" s="3">
        <v>40331</v>
      </c>
      <c r="BT2271" s="4">
        <v>0.56278935185185186</v>
      </c>
    </row>
    <row r="2272" spans="1:72" x14ac:dyDescent="0.25">
      <c r="A2272" s="2">
        <v>3308</v>
      </c>
      <c r="B2272" s="2">
        <v>2010</v>
      </c>
      <c r="C2272" s="2" t="s">
        <v>171</v>
      </c>
      <c r="D2272" s="2" t="s">
        <v>73</v>
      </c>
      <c r="E2272" s="2"/>
      <c r="F2272" s="2">
        <v>396</v>
      </c>
      <c r="G2272" s="2" t="s">
        <v>2159</v>
      </c>
      <c r="H2272" s="2">
        <v>9</v>
      </c>
      <c r="I2272" s="2" t="s">
        <v>794</v>
      </c>
      <c r="J2272" s="2">
        <v>243</v>
      </c>
      <c r="K2272" s="2" t="s">
        <v>2160</v>
      </c>
      <c r="L2272" s="2" t="s">
        <v>2145</v>
      </c>
      <c r="M2272" s="3">
        <v>40331</v>
      </c>
      <c r="N2272" s="2" t="s">
        <v>2161</v>
      </c>
      <c r="O2272" s="2" t="s">
        <v>107</v>
      </c>
      <c r="P2272" s="2" t="s">
        <v>107</v>
      </c>
      <c r="Q2272" s="2" t="str">
        <f>"291-E/10"</f>
        <v>291-E/10</v>
      </c>
      <c r="R2272" s="2" t="s">
        <v>391</v>
      </c>
      <c r="S2272" s="2" t="s">
        <v>391</v>
      </c>
      <c r="T2272" s="2">
        <v>1</v>
      </c>
      <c r="U2272" s="2" t="s">
        <v>79</v>
      </c>
      <c r="V2272" s="2">
        <v>1</v>
      </c>
      <c r="W2272" s="2" t="s">
        <v>80</v>
      </c>
      <c r="X2272" s="2">
        <v>1</v>
      </c>
      <c r="Y2272" s="2" t="s">
        <v>81</v>
      </c>
      <c r="Z2272" s="2">
        <v>1</v>
      </c>
      <c r="AA2272" s="2" t="s">
        <v>82</v>
      </c>
      <c r="AB2272" s="2">
        <v>1</v>
      </c>
      <c r="AC2272" s="2" t="s">
        <v>178</v>
      </c>
      <c r="AD2272" s="3">
        <v>40331</v>
      </c>
      <c r="AE2272" s="4">
        <v>0.375</v>
      </c>
      <c r="AF2272" s="2"/>
      <c r="AG2272" s="2"/>
      <c r="AH2272" s="2">
        <v>2</v>
      </c>
      <c r="AI2272" s="2" t="s">
        <v>84</v>
      </c>
      <c r="AJ2272" s="2">
        <v>9</v>
      </c>
      <c r="AK2272" s="2" t="s">
        <v>103</v>
      </c>
      <c r="AL2272" s="2">
        <v>16</v>
      </c>
      <c r="AM2272" s="2" t="s">
        <v>392</v>
      </c>
      <c r="AN2272" s="2" t="s">
        <v>5310</v>
      </c>
      <c r="AO2272" s="2" t="s">
        <v>7750</v>
      </c>
      <c r="AP2272" s="2">
        <v>5</v>
      </c>
      <c r="AQ2272" s="2" t="s">
        <v>827</v>
      </c>
      <c r="AR2272" s="2" t="s">
        <v>7751</v>
      </c>
      <c r="AS2272" s="2" t="s">
        <v>7752</v>
      </c>
      <c r="AT2272" s="2" t="s">
        <v>7753</v>
      </c>
      <c r="AU2272" s="2"/>
      <c r="AV2272" s="2"/>
      <c r="AW2272" s="2"/>
      <c r="AX2272" s="2"/>
      <c r="AY2272" s="2">
        <v>42</v>
      </c>
      <c r="AZ2272" s="2" t="s">
        <v>182</v>
      </c>
      <c r="BA2272" s="2">
        <v>41</v>
      </c>
      <c r="BB2272" s="2" t="s">
        <v>82</v>
      </c>
      <c r="BC2272" s="2">
        <v>41</v>
      </c>
      <c r="BD2272" s="2" t="s">
        <v>82</v>
      </c>
      <c r="BE2272" s="2">
        <v>6</v>
      </c>
      <c r="BF2272" s="2" t="s">
        <v>616</v>
      </c>
      <c r="BG2272" s="2" t="s">
        <v>7754</v>
      </c>
      <c r="BH2272" s="2"/>
      <c r="BI2272" s="2"/>
      <c r="BJ2272" s="2">
        <v>13</v>
      </c>
      <c r="BK2272" s="2" t="s">
        <v>91</v>
      </c>
      <c r="BL2272" s="2" t="s">
        <v>1084</v>
      </c>
      <c r="BM2272" s="2">
        <v>4</v>
      </c>
      <c r="BN2272" s="2" t="s">
        <v>618</v>
      </c>
      <c r="BO2272" s="2" t="s">
        <v>7755</v>
      </c>
      <c r="BP2272" s="2">
        <v>109</v>
      </c>
      <c r="BQ2272" s="2" t="s">
        <v>6899</v>
      </c>
      <c r="BR2272" s="2" t="s">
        <v>6900</v>
      </c>
      <c r="BS2272" s="3">
        <v>40331</v>
      </c>
      <c r="BT2272" s="4">
        <v>0.59594907407407405</v>
      </c>
    </row>
    <row r="2273" spans="1:72" x14ac:dyDescent="0.25">
      <c r="A2273" s="2">
        <v>3317</v>
      </c>
      <c r="B2273" s="2">
        <v>2010</v>
      </c>
      <c r="C2273" s="2" t="s">
        <v>93</v>
      </c>
      <c r="D2273" s="2" t="s">
        <v>73</v>
      </c>
      <c r="E2273" s="2"/>
      <c r="F2273" s="2">
        <v>203</v>
      </c>
      <c r="G2273" s="2" t="s">
        <v>7756</v>
      </c>
      <c r="H2273" s="2">
        <v>120</v>
      </c>
      <c r="I2273" s="2" t="s">
        <v>7757</v>
      </c>
      <c r="J2273" s="2">
        <v>507</v>
      </c>
      <c r="K2273" s="2" t="s">
        <v>4188</v>
      </c>
      <c r="L2273" s="2" t="s">
        <v>4189</v>
      </c>
      <c r="M2273" s="3">
        <v>40331</v>
      </c>
      <c r="N2273" s="2" t="s">
        <v>7758</v>
      </c>
      <c r="O2273" s="2" t="s">
        <v>6702</v>
      </c>
      <c r="P2273" s="2">
        <v>32603</v>
      </c>
      <c r="Q2273" s="2" t="str">
        <f>"0075/2010"</f>
        <v>0075/2010</v>
      </c>
      <c r="R2273" s="2"/>
      <c r="S2273" s="2" t="s">
        <v>1695</v>
      </c>
      <c r="T2273" s="2">
        <v>1</v>
      </c>
      <c r="U2273" s="2" t="s">
        <v>79</v>
      </c>
      <c r="V2273" s="2">
        <v>1</v>
      </c>
      <c r="W2273" s="2" t="s">
        <v>80</v>
      </c>
      <c r="X2273" s="2">
        <v>10</v>
      </c>
      <c r="Y2273" s="2" t="s">
        <v>226</v>
      </c>
      <c r="Z2273" s="2">
        <v>9</v>
      </c>
      <c r="AA2273" s="2" t="s">
        <v>1119</v>
      </c>
      <c r="AB2273" s="2">
        <v>2</v>
      </c>
      <c r="AC2273" s="2" t="s">
        <v>102</v>
      </c>
      <c r="AD2273" s="3">
        <v>40331</v>
      </c>
      <c r="AE2273" s="4">
        <v>0.64583333333333337</v>
      </c>
      <c r="AF2273" s="2"/>
      <c r="AG2273" s="2"/>
      <c r="AH2273" s="2">
        <v>5</v>
      </c>
      <c r="AI2273" s="2" t="s">
        <v>274</v>
      </c>
      <c r="AJ2273" s="2">
        <v>38</v>
      </c>
      <c r="AK2273" s="2" t="s">
        <v>1120</v>
      </c>
      <c r="AL2273" s="2">
        <v>14</v>
      </c>
      <c r="AM2273" s="2" t="s">
        <v>216</v>
      </c>
      <c r="AN2273" s="2"/>
      <c r="AO2273" s="2" t="s">
        <v>5741</v>
      </c>
      <c r="AP2273" s="2">
        <v>11</v>
      </c>
      <c r="AQ2273" s="2" t="s">
        <v>82</v>
      </c>
      <c r="AR2273" s="2"/>
      <c r="AS2273" s="2"/>
      <c r="AT2273" s="2" t="s">
        <v>7759</v>
      </c>
      <c r="AU2273" s="2"/>
      <c r="AV2273" s="2"/>
      <c r="AW2273" s="2"/>
      <c r="AX2273" s="2"/>
      <c r="AY2273" s="2">
        <v>41</v>
      </c>
      <c r="AZ2273" s="2" t="s">
        <v>82</v>
      </c>
      <c r="BA2273" s="2">
        <v>41</v>
      </c>
      <c r="BB2273" s="2" t="s">
        <v>82</v>
      </c>
      <c r="BC2273" s="2">
        <v>41</v>
      </c>
      <c r="BD2273" s="2" t="s">
        <v>82</v>
      </c>
      <c r="BE2273" s="2">
        <v>4</v>
      </c>
      <c r="BF2273" s="2" t="s">
        <v>90</v>
      </c>
      <c r="BG2273" s="2">
        <v>4029</v>
      </c>
      <c r="BH2273" s="4">
        <v>0.63541666666666663</v>
      </c>
      <c r="BI2273" s="4">
        <v>0.67708333333333337</v>
      </c>
      <c r="BJ2273" s="2">
        <v>13</v>
      </c>
      <c r="BK2273" s="2" t="s">
        <v>91</v>
      </c>
      <c r="BL2273" s="2" t="s">
        <v>1697</v>
      </c>
      <c r="BM2273" s="2">
        <v>13</v>
      </c>
      <c r="BN2273" s="2" t="s">
        <v>91</v>
      </c>
      <c r="BO2273" s="2"/>
      <c r="BP2273" s="2">
        <v>13</v>
      </c>
      <c r="BQ2273" s="2" t="s">
        <v>91</v>
      </c>
      <c r="BR2273" s="2" t="s">
        <v>170</v>
      </c>
      <c r="BS2273" s="3">
        <v>40331</v>
      </c>
      <c r="BT2273" s="4">
        <v>0.68718749999999995</v>
      </c>
    </row>
    <row r="2274" spans="1:72" x14ac:dyDescent="0.25">
      <c r="A2274" s="2">
        <v>3318</v>
      </c>
      <c r="B2274" s="2">
        <v>2010</v>
      </c>
      <c r="C2274" s="2" t="s">
        <v>377</v>
      </c>
      <c r="D2274" s="2" t="s">
        <v>73</v>
      </c>
      <c r="E2274" s="2"/>
      <c r="F2274" s="2">
        <v>426</v>
      </c>
      <c r="G2274" s="2" t="s">
        <v>378</v>
      </c>
      <c r="H2274" s="2">
        <v>22</v>
      </c>
      <c r="I2274" s="2" t="s">
        <v>75</v>
      </c>
      <c r="J2274" s="2">
        <v>311</v>
      </c>
      <c r="K2274" s="2" t="s">
        <v>379</v>
      </c>
      <c r="L2274" s="2" t="s">
        <v>380</v>
      </c>
      <c r="M2274" s="3">
        <v>40331</v>
      </c>
      <c r="N2274" s="2" t="s">
        <v>5164</v>
      </c>
      <c r="O2274" s="2"/>
      <c r="P2274" s="2" t="s">
        <v>107</v>
      </c>
      <c r="Q2274" s="2" t="str">
        <f>"104-C/10"</f>
        <v>104-C/10</v>
      </c>
      <c r="R2274" s="2" t="s">
        <v>1344</v>
      </c>
      <c r="S2274" s="2"/>
      <c r="T2274" s="2">
        <v>1</v>
      </c>
      <c r="U2274" s="2" t="s">
        <v>79</v>
      </c>
      <c r="V2274" s="2">
        <v>1</v>
      </c>
      <c r="W2274" s="2" t="s">
        <v>80</v>
      </c>
      <c r="X2274" s="2">
        <v>1</v>
      </c>
      <c r="Y2274" s="2" t="s">
        <v>81</v>
      </c>
      <c r="Z2274" s="2">
        <v>1</v>
      </c>
      <c r="AA2274" s="2" t="s">
        <v>82</v>
      </c>
      <c r="AB2274" s="2">
        <v>9</v>
      </c>
      <c r="AC2274" s="2" t="s">
        <v>124</v>
      </c>
      <c r="AD2274" s="3">
        <v>40331</v>
      </c>
      <c r="AE2274" s="4">
        <v>0.43055555555555558</v>
      </c>
      <c r="AF2274" s="2"/>
      <c r="AG2274" s="2"/>
      <c r="AH2274" s="2">
        <v>2</v>
      </c>
      <c r="AI2274" s="2" t="s">
        <v>84</v>
      </c>
      <c r="AJ2274" s="2">
        <v>9</v>
      </c>
      <c r="AK2274" s="2" t="s">
        <v>103</v>
      </c>
      <c r="AL2274" s="2">
        <v>29</v>
      </c>
      <c r="AM2274" s="2" t="s">
        <v>5416</v>
      </c>
      <c r="AN2274" s="2" t="s">
        <v>7760</v>
      </c>
      <c r="AO2274" s="2" t="s">
        <v>987</v>
      </c>
      <c r="AP2274" s="2">
        <v>11</v>
      </c>
      <c r="AQ2274" s="2" t="s">
        <v>82</v>
      </c>
      <c r="AR2274" s="2"/>
      <c r="AS2274" s="2"/>
      <c r="AT2274" s="2" t="s">
        <v>7761</v>
      </c>
      <c r="AU2274" s="2"/>
      <c r="AV2274" s="2"/>
      <c r="AW2274" s="2"/>
      <c r="AX2274" s="2"/>
      <c r="AY2274" s="2">
        <v>41</v>
      </c>
      <c r="AZ2274" s="2" t="s">
        <v>82</v>
      </c>
      <c r="BA2274" s="2">
        <v>41</v>
      </c>
      <c r="BB2274" s="2" t="s">
        <v>82</v>
      </c>
      <c r="BC2274" s="2">
        <v>41</v>
      </c>
      <c r="BD2274" s="2" t="s">
        <v>82</v>
      </c>
      <c r="BE2274" s="2">
        <v>41</v>
      </c>
      <c r="BF2274" s="2" t="s">
        <v>82</v>
      </c>
      <c r="BG2274" s="2"/>
      <c r="BH2274" s="2"/>
      <c r="BI2274" s="2"/>
      <c r="BJ2274" s="2">
        <v>241</v>
      </c>
      <c r="BK2274" s="2" t="s">
        <v>82</v>
      </c>
      <c r="BL2274" s="2"/>
      <c r="BM2274" s="2">
        <v>241</v>
      </c>
      <c r="BN2274" s="2" t="s">
        <v>82</v>
      </c>
      <c r="BO2274" s="2"/>
      <c r="BP2274" s="2">
        <v>241</v>
      </c>
      <c r="BQ2274" s="2" t="s">
        <v>82</v>
      </c>
      <c r="BR2274" s="2"/>
      <c r="BS2274" s="3">
        <v>40331</v>
      </c>
      <c r="BT2274" s="4">
        <v>0.6946296296296296</v>
      </c>
    </row>
    <row r="2275" spans="1:72" x14ac:dyDescent="0.25">
      <c r="A2275" s="2">
        <v>3319</v>
      </c>
      <c r="B2275" s="2">
        <v>2010</v>
      </c>
      <c r="C2275" s="2" t="s">
        <v>764</v>
      </c>
      <c r="D2275" s="2" t="s">
        <v>73</v>
      </c>
      <c r="E2275" s="2" t="s">
        <v>6957</v>
      </c>
      <c r="F2275" s="2">
        <v>425</v>
      </c>
      <c r="G2275" s="2" t="s">
        <v>286</v>
      </c>
      <c r="H2275" s="2">
        <v>39</v>
      </c>
      <c r="I2275" s="2" t="s">
        <v>1117</v>
      </c>
      <c r="J2275" s="2">
        <v>310</v>
      </c>
      <c r="K2275" s="2" t="s">
        <v>288</v>
      </c>
      <c r="L2275" s="2" t="s">
        <v>289</v>
      </c>
      <c r="M2275" s="3">
        <v>40331</v>
      </c>
      <c r="N2275" s="2" t="s">
        <v>2049</v>
      </c>
      <c r="O2275" s="2" t="s">
        <v>7695</v>
      </c>
      <c r="P2275" s="2" t="s">
        <v>1919</v>
      </c>
      <c r="Q2275" s="2" t="str">
        <f>"04/09"</f>
        <v>04/09</v>
      </c>
      <c r="R2275" s="2" t="s">
        <v>480</v>
      </c>
      <c r="S2275" s="2" t="s">
        <v>480</v>
      </c>
      <c r="T2275" s="2">
        <v>1</v>
      </c>
      <c r="U2275" s="2" t="s">
        <v>79</v>
      </c>
      <c r="V2275" s="2">
        <v>3</v>
      </c>
      <c r="W2275" s="2" t="s">
        <v>225</v>
      </c>
      <c r="X2275" s="2">
        <v>6</v>
      </c>
      <c r="Y2275" s="2" t="s">
        <v>249</v>
      </c>
      <c r="Z2275" s="2">
        <v>1</v>
      </c>
      <c r="AA2275" s="2" t="s">
        <v>82</v>
      </c>
      <c r="AB2275" s="2">
        <v>9</v>
      </c>
      <c r="AC2275" s="2" t="s">
        <v>124</v>
      </c>
      <c r="AD2275" s="2"/>
      <c r="AE2275" s="2"/>
      <c r="AF2275" s="2"/>
      <c r="AG2275" s="2"/>
      <c r="AH2275" s="2">
        <v>4</v>
      </c>
      <c r="AI2275" s="2" t="s">
        <v>125</v>
      </c>
      <c r="AJ2275" s="2">
        <v>26</v>
      </c>
      <c r="AK2275" s="2" t="s">
        <v>293</v>
      </c>
      <c r="AL2275" s="2">
        <v>23</v>
      </c>
      <c r="AM2275" s="2" t="s">
        <v>251</v>
      </c>
      <c r="AN2275" s="2"/>
      <c r="AO2275" s="2" t="s">
        <v>7578</v>
      </c>
      <c r="AP2275" s="2">
        <v>11</v>
      </c>
      <c r="AQ2275" s="2" t="s">
        <v>82</v>
      </c>
      <c r="AR2275" s="2"/>
      <c r="AS2275" s="2"/>
      <c r="AT2275" s="2" t="s">
        <v>7762</v>
      </c>
      <c r="AU2275" s="2"/>
      <c r="AV2275" s="2"/>
      <c r="AW2275" s="2"/>
      <c r="AX2275" s="2"/>
      <c r="AY2275" s="2">
        <v>1</v>
      </c>
      <c r="AZ2275" s="2" t="s">
        <v>107</v>
      </c>
      <c r="BA2275" s="2">
        <v>1</v>
      </c>
      <c r="BB2275" s="2" t="s">
        <v>107</v>
      </c>
      <c r="BC2275" s="2">
        <v>1</v>
      </c>
      <c r="BD2275" s="2" t="s">
        <v>107</v>
      </c>
      <c r="BE2275" s="2">
        <v>1</v>
      </c>
      <c r="BF2275" s="2" t="s">
        <v>107</v>
      </c>
      <c r="BG2275" s="2"/>
      <c r="BH2275" s="2"/>
      <c r="BI2275" s="2"/>
      <c r="BJ2275" s="2">
        <v>242</v>
      </c>
      <c r="BK2275" s="2" t="s">
        <v>107</v>
      </c>
      <c r="BL2275" s="2"/>
      <c r="BM2275" s="2">
        <v>242</v>
      </c>
      <c r="BN2275" s="2" t="s">
        <v>107</v>
      </c>
      <c r="BO2275" s="2"/>
      <c r="BP2275" s="2">
        <v>242</v>
      </c>
      <c r="BQ2275" s="2" t="s">
        <v>107</v>
      </c>
      <c r="BR2275" s="2"/>
      <c r="BS2275" s="3">
        <v>40331</v>
      </c>
      <c r="BT2275" s="4">
        <v>0.70974537037037033</v>
      </c>
    </row>
    <row r="2276" spans="1:72" x14ac:dyDescent="0.25">
      <c r="A2276" s="2">
        <v>3321</v>
      </c>
      <c r="B2276" s="2">
        <v>2010</v>
      </c>
      <c r="C2276" s="2" t="s">
        <v>171</v>
      </c>
      <c r="D2276" s="2" t="s">
        <v>73</v>
      </c>
      <c r="E2276" s="2"/>
      <c r="F2276" s="2">
        <v>150</v>
      </c>
      <c r="G2276" s="2" t="s">
        <v>4650</v>
      </c>
      <c r="H2276" s="2">
        <v>50</v>
      </c>
      <c r="I2276" s="2" t="s">
        <v>107</v>
      </c>
      <c r="J2276" s="2">
        <v>1</v>
      </c>
      <c r="K2276" s="2" t="s">
        <v>107</v>
      </c>
      <c r="L2276" s="2" t="s">
        <v>107</v>
      </c>
      <c r="M2276" s="3">
        <v>40331</v>
      </c>
      <c r="N2276" s="2" t="s">
        <v>6179</v>
      </c>
      <c r="O2276" s="2" t="s">
        <v>7763</v>
      </c>
      <c r="P2276" s="2" t="s">
        <v>7764</v>
      </c>
      <c r="Q2276" s="2" t="str">
        <f>""</f>
        <v/>
      </c>
      <c r="R2276" s="2"/>
      <c r="S2276" s="2"/>
      <c r="T2276" s="2">
        <v>1</v>
      </c>
      <c r="U2276" s="2" t="s">
        <v>79</v>
      </c>
      <c r="V2276" s="2">
        <v>3</v>
      </c>
      <c r="W2276" s="2" t="s">
        <v>225</v>
      </c>
      <c r="X2276" s="2">
        <v>6</v>
      </c>
      <c r="Y2276" s="2" t="s">
        <v>249</v>
      </c>
      <c r="Z2276" s="2">
        <v>1</v>
      </c>
      <c r="AA2276" s="2" t="s">
        <v>82</v>
      </c>
      <c r="AB2276" s="2">
        <v>9</v>
      </c>
      <c r="AC2276" s="2" t="s">
        <v>124</v>
      </c>
      <c r="AD2276" s="3">
        <v>40331</v>
      </c>
      <c r="AE2276" s="4">
        <v>0.62847222222222221</v>
      </c>
      <c r="AF2276" s="2"/>
      <c r="AG2276" s="2"/>
      <c r="AH2276" s="2">
        <v>6</v>
      </c>
      <c r="AI2276" s="2" t="s">
        <v>197</v>
      </c>
      <c r="AJ2276" s="2">
        <v>47</v>
      </c>
      <c r="AK2276" s="2" t="s">
        <v>250</v>
      </c>
      <c r="AL2276" s="2">
        <v>23</v>
      </c>
      <c r="AM2276" s="2" t="s">
        <v>251</v>
      </c>
      <c r="AN2276" s="2"/>
      <c r="AO2276" s="2" t="s">
        <v>4913</v>
      </c>
      <c r="AP2276" s="2">
        <v>11</v>
      </c>
      <c r="AQ2276" s="2" t="s">
        <v>82</v>
      </c>
      <c r="AR2276" s="2"/>
      <c r="AS2276" s="2"/>
      <c r="AT2276" s="2" t="s">
        <v>7765</v>
      </c>
      <c r="AU2276" s="2"/>
      <c r="AV2276" s="2"/>
      <c r="AW2276" s="2"/>
      <c r="AX2276" s="2"/>
      <c r="AY2276" s="2">
        <v>41</v>
      </c>
      <c r="AZ2276" s="2" t="s">
        <v>82</v>
      </c>
      <c r="BA2276" s="2">
        <v>41</v>
      </c>
      <c r="BB2276" s="2" t="s">
        <v>82</v>
      </c>
      <c r="BC2276" s="2">
        <v>41</v>
      </c>
      <c r="BD2276" s="2" t="s">
        <v>82</v>
      </c>
      <c r="BE2276" s="2">
        <v>41</v>
      </c>
      <c r="BF2276" s="2" t="s">
        <v>82</v>
      </c>
      <c r="BG2276" s="2"/>
      <c r="BH2276" s="2"/>
      <c r="BI2276" s="2"/>
      <c r="BJ2276" s="2">
        <v>241</v>
      </c>
      <c r="BK2276" s="2" t="s">
        <v>82</v>
      </c>
      <c r="BL2276" s="2"/>
      <c r="BM2276" s="2">
        <v>241</v>
      </c>
      <c r="BN2276" s="2" t="s">
        <v>82</v>
      </c>
      <c r="BO2276" s="2"/>
      <c r="BP2276" s="2">
        <v>241</v>
      </c>
      <c r="BQ2276" s="2" t="s">
        <v>82</v>
      </c>
      <c r="BR2276" s="2"/>
      <c r="BS2276" s="3">
        <v>40331</v>
      </c>
      <c r="BT2276" s="4">
        <v>0.7487152777777778</v>
      </c>
    </row>
    <row r="2277" spans="1:72" x14ac:dyDescent="0.25">
      <c r="A2277" s="2">
        <v>3325</v>
      </c>
      <c r="B2277" s="2">
        <v>2010</v>
      </c>
      <c r="C2277" s="2" t="s">
        <v>72</v>
      </c>
      <c r="D2277" s="2" t="s">
        <v>73</v>
      </c>
      <c r="E2277" s="2"/>
      <c r="F2277" s="2">
        <v>11</v>
      </c>
      <c r="G2277" s="2" t="s">
        <v>2454</v>
      </c>
      <c r="H2277" s="2">
        <v>4</v>
      </c>
      <c r="I2277" s="2" t="s">
        <v>173</v>
      </c>
      <c r="J2277" s="2">
        <v>19</v>
      </c>
      <c r="K2277" s="2" t="s">
        <v>2144</v>
      </c>
      <c r="L2277" s="2" t="s">
        <v>2145</v>
      </c>
      <c r="M2277" s="3">
        <v>40331</v>
      </c>
      <c r="N2277" s="2" t="s">
        <v>2455</v>
      </c>
      <c r="O2277" s="2" t="s">
        <v>7766</v>
      </c>
      <c r="P2277" s="2" t="s">
        <v>7767</v>
      </c>
      <c r="Q2277" s="2" t="str">
        <f>"27-10"</f>
        <v>27-10</v>
      </c>
      <c r="R2277" s="2" t="s">
        <v>601</v>
      </c>
      <c r="S2277" s="2" t="s">
        <v>601</v>
      </c>
      <c r="T2277" s="2">
        <v>1</v>
      </c>
      <c r="U2277" s="2" t="s">
        <v>79</v>
      </c>
      <c r="V2277" s="2">
        <v>1</v>
      </c>
      <c r="W2277" s="2" t="s">
        <v>80</v>
      </c>
      <c r="X2277" s="2">
        <v>12</v>
      </c>
      <c r="Y2277" s="2" t="s">
        <v>148</v>
      </c>
      <c r="Z2277" s="2">
        <v>1</v>
      </c>
      <c r="AA2277" s="2" t="s">
        <v>82</v>
      </c>
      <c r="AB2277" s="2">
        <v>6</v>
      </c>
      <c r="AC2277" s="2" t="s">
        <v>83</v>
      </c>
      <c r="AD2277" s="3">
        <v>40331</v>
      </c>
      <c r="AE2277" s="2"/>
      <c r="AF2277" s="3">
        <v>40331</v>
      </c>
      <c r="AG2277" s="4">
        <v>0.69791666666666663</v>
      </c>
      <c r="AH2277" s="2">
        <v>3</v>
      </c>
      <c r="AI2277" s="2" t="s">
        <v>214</v>
      </c>
      <c r="AJ2277" s="2">
        <v>24</v>
      </c>
      <c r="AK2277" s="2" t="s">
        <v>215</v>
      </c>
      <c r="AL2277" s="2">
        <v>22</v>
      </c>
      <c r="AM2277" s="2" t="s">
        <v>1853</v>
      </c>
      <c r="AN2277" s="2" t="s">
        <v>7768</v>
      </c>
      <c r="AO2277" s="2" t="s">
        <v>107</v>
      </c>
      <c r="AP2277" s="2">
        <v>11</v>
      </c>
      <c r="AQ2277" s="2" t="s">
        <v>82</v>
      </c>
      <c r="AR2277" s="2"/>
      <c r="AS2277" s="2"/>
      <c r="AT2277" s="2" t="s">
        <v>7769</v>
      </c>
      <c r="AU2277" s="2"/>
      <c r="AV2277" s="2"/>
      <c r="AW2277" s="2"/>
      <c r="AX2277" s="2"/>
      <c r="AY2277" s="2">
        <v>41</v>
      </c>
      <c r="AZ2277" s="2" t="s">
        <v>82</v>
      </c>
      <c r="BA2277" s="2">
        <v>99</v>
      </c>
      <c r="BB2277" s="2" t="s">
        <v>2148</v>
      </c>
      <c r="BC2277" s="2">
        <v>41</v>
      </c>
      <c r="BD2277" s="2" t="s">
        <v>82</v>
      </c>
      <c r="BE2277" s="2">
        <v>17</v>
      </c>
      <c r="BF2277" s="2" t="s">
        <v>508</v>
      </c>
      <c r="BG2277" s="2">
        <v>942</v>
      </c>
      <c r="BH2277" s="4">
        <v>0.54513888888888895</v>
      </c>
      <c r="BI2277" s="4">
        <v>0.44444444444444442</v>
      </c>
      <c r="BJ2277" s="2">
        <v>46</v>
      </c>
      <c r="BK2277" s="2" t="s">
        <v>307</v>
      </c>
      <c r="BL2277" s="2" t="s">
        <v>308</v>
      </c>
      <c r="BM2277" s="2">
        <v>241</v>
      </c>
      <c r="BN2277" s="2" t="s">
        <v>82</v>
      </c>
      <c r="BO2277" s="2"/>
      <c r="BP2277" s="2">
        <v>13</v>
      </c>
      <c r="BQ2277" s="2" t="s">
        <v>91</v>
      </c>
      <c r="BR2277" s="2" t="s">
        <v>169</v>
      </c>
      <c r="BS2277" s="3">
        <v>40331</v>
      </c>
      <c r="BT2277" s="4">
        <v>0.79105324074074079</v>
      </c>
    </row>
    <row r="2278" spans="1:72" x14ac:dyDescent="0.25">
      <c r="A2278" s="2">
        <v>3327</v>
      </c>
      <c r="B2278" s="2">
        <v>2010</v>
      </c>
      <c r="C2278" s="2" t="s">
        <v>1568</v>
      </c>
      <c r="D2278" s="2" t="s">
        <v>73</v>
      </c>
      <c r="E2278" s="2"/>
      <c r="F2278" s="2">
        <v>115</v>
      </c>
      <c r="G2278" s="2" t="s">
        <v>345</v>
      </c>
      <c r="H2278" s="2">
        <v>50</v>
      </c>
      <c r="I2278" s="2" t="s">
        <v>107</v>
      </c>
      <c r="J2278" s="2">
        <v>1</v>
      </c>
      <c r="K2278" s="2" t="s">
        <v>107</v>
      </c>
      <c r="L2278" s="2" t="s">
        <v>107</v>
      </c>
      <c r="M2278" s="3">
        <v>40331</v>
      </c>
      <c r="N2278" s="2" t="s">
        <v>7770</v>
      </c>
      <c r="O2278" s="2" t="s">
        <v>107</v>
      </c>
      <c r="P2278" s="2" t="s">
        <v>107</v>
      </c>
      <c r="Q2278" s="2" t="str">
        <f>"0011/10"</f>
        <v>0011/10</v>
      </c>
      <c r="R2278" s="2" t="s">
        <v>7771</v>
      </c>
      <c r="S2278" s="2" t="s">
        <v>7771</v>
      </c>
      <c r="T2278" s="2">
        <v>1</v>
      </c>
      <c r="U2278" s="2" t="s">
        <v>79</v>
      </c>
      <c r="V2278" s="2">
        <v>1</v>
      </c>
      <c r="W2278" s="2" t="s">
        <v>80</v>
      </c>
      <c r="X2278" s="2">
        <v>1</v>
      </c>
      <c r="Y2278" s="2" t="s">
        <v>81</v>
      </c>
      <c r="Z2278" s="2">
        <v>1</v>
      </c>
      <c r="AA2278" s="2" t="s">
        <v>82</v>
      </c>
      <c r="AB2278" s="2">
        <v>4</v>
      </c>
      <c r="AC2278" s="2" t="s">
        <v>1569</v>
      </c>
      <c r="AD2278" s="3">
        <v>40331</v>
      </c>
      <c r="AE2278" s="4">
        <v>0.73611111111111116</v>
      </c>
      <c r="AF2278" s="2"/>
      <c r="AG2278" s="2"/>
      <c r="AH2278" s="2">
        <v>6</v>
      </c>
      <c r="AI2278" s="2" t="s">
        <v>197</v>
      </c>
      <c r="AJ2278" s="2">
        <v>54</v>
      </c>
      <c r="AK2278" s="2" t="s">
        <v>348</v>
      </c>
      <c r="AL2278" s="2">
        <v>11</v>
      </c>
      <c r="AM2278" s="2" t="s">
        <v>137</v>
      </c>
      <c r="AN2278" s="2" t="s">
        <v>349</v>
      </c>
      <c r="AO2278" s="2" t="s">
        <v>7772</v>
      </c>
      <c r="AP2278" s="2">
        <v>11</v>
      </c>
      <c r="AQ2278" s="2" t="s">
        <v>82</v>
      </c>
      <c r="AR2278" s="2" t="s">
        <v>82</v>
      </c>
      <c r="AS2278" s="2" t="s">
        <v>82</v>
      </c>
      <c r="AT2278" s="2" t="s">
        <v>7773</v>
      </c>
      <c r="AU2278" s="2"/>
      <c r="AV2278" s="2"/>
      <c r="AW2278" s="2"/>
      <c r="AX2278" s="2"/>
      <c r="AY2278" s="2">
        <v>1</v>
      </c>
      <c r="AZ2278" s="2" t="s">
        <v>107</v>
      </c>
      <c r="BA2278" s="2">
        <v>41</v>
      </c>
      <c r="BB2278" s="2" t="s">
        <v>82</v>
      </c>
      <c r="BC2278" s="2">
        <v>41</v>
      </c>
      <c r="BD2278" s="2" t="s">
        <v>82</v>
      </c>
      <c r="BE2278" s="2">
        <v>47</v>
      </c>
      <c r="BF2278" s="2" t="s">
        <v>167</v>
      </c>
      <c r="BG2278" s="2">
        <v>2632</v>
      </c>
      <c r="BH2278" s="4">
        <v>0.70833333333333337</v>
      </c>
      <c r="BI2278" s="4">
        <v>0.74652777777777779</v>
      </c>
      <c r="BJ2278" s="2">
        <v>13</v>
      </c>
      <c r="BK2278" s="2" t="s">
        <v>91</v>
      </c>
      <c r="BL2278" s="2" t="s">
        <v>353</v>
      </c>
      <c r="BM2278" s="2">
        <v>241</v>
      </c>
      <c r="BN2278" s="2" t="s">
        <v>82</v>
      </c>
      <c r="BO2278" s="2"/>
      <c r="BP2278" s="2">
        <v>13</v>
      </c>
      <c r="BQ2278" s="2" t="s">
        <v>91</v>
      </c>
      <c r="BR2278" s="2" t="s">
        <v>3520</v>
      </c>
      <c r="BS2278" s="3">
        <v>40331</v>
      </c>
      <c r="BT2278" s="4">
        <v>0.83810185185185182</v>
      </c>
    </row>
    <row r="2279" spans="1:72" x14ac:dyDescent="0.25">
      <c r="A2279" s="2">
        <v>3328</v>
      </c>
      <c r="B2279" s="2">
        <v>2010</v>
      </c>
      <c r="C2279" s="2" t="s">
        <v>171</v>
      </c>
      <c r="D2279" s="2" t="s">
        <v>73</v>
      </c>
      <c r="E2279" s="2" t="s">
        <v>6860</v>
      </c>
      <c r="F2279" s="2">
        <v>451</v>
      </c>
      <c r="G2279" s="2" t="s">
        <v>879</v>
      </c>
      <c r="H2279" s="2">
        <v>31</v>
      </c>
      <c r="I2279" s="2" t="s">
        <v>880</v>
      </c>
      <c r="J2279" s="2">
        <v>326</v>
      </c>
      <c r="K2279" s="2" t="s">
        <v>881</v>
      </c>
      <c r="L2279" s="2" t="s">
        <v>882</v>
      </c>
      <c r="M2279" s="3">
        <v>40331</v>
      </c>
      <c r="N2279" s="2" t="s">
        <v>1072</v>
      </c>
      <c r="O2279" s="2" t="s">
        <v>7774</v>
      </c>
      <c r="P2279" s="2" t="s">
        <v>7775</v>
      </c>
      <c r="Q2279" s="2" t="str">
        <f>"051/10"</f>
        <v>051/10</v>
      </c>
      <c r="R2279" s="2" t="s">
        <v>822</v>
      </c>
      <c r="S2279" s="2"/>
      <c r="T2279" s="2">
        <v>1</v>
      </c>
      <c r="U2279" s="2" t="s">
        <v>79</v>
      </c>
      <c r="V2279" s="2">
        <v>1</v>
      </c>
      <c r="W2279" s="2" t="s">
        <v>80</v>
      </c>
      <c r="X2279" s="2">
        <v>1</v>
      </c>
      <c r="Y2279" s="2" t="s">
        <v>81</v>
      </c>
      <c r="Z2279" s="2">
        <v>1</v>
      </c>
      <c r="AA2279" s="2" t="s">
        <v>82</v>
      </c>
      <c r="AB2279" s="2">
        <v>1</v>
      </c>
      <c r="AC2279" s="2" t="s">
        <v>178</v>
      </c>
      <c r="AD2279" s="3">
        <v>40331</v>
      </c>
      <c r="AE2279" s="4">
        <v>0.8125</v>
      </c>
      <c r="AF2279" s="2"/>
      <c r="AG2279" s="2"/>
      <c r="AH2279" s="2">
        <v>4</v>
      </c>
      <c r="AI2279" s="2" t="s">
        <v>125</v>
      </c>
      <c r="AJ2279" s="2">
        <v>29</v>
      </c>
      <c r="AK2279" s="2" t="s">
        <v>227</v>
      </c>
      <c r="AL2279" s="2">
        <v>16</v>
      </c>
      <c r="AM2279" s="2" t="s">
        <v>392</v>
      </c>
      <c r="AN2279" s="2" t="s">
        <v>6877</v>
      </c>
      <c r="AO2279" s="2"/>
      <c r="AP2279" s="2">
        <v>12</v>
      </c>
      <c r="AQ2279" s="2" t="s">
        <v>322</v>
      </c>
      <c r="AR2279" s="2" t="s">
        <v>824</v>
      </c>
      <c r="AS2279" s="2" t="s">
        <v>825</v>
      </c>
      <c r="AT2279" s="2" t="s">
        <v>7776</v>
      </c>
      <c r="AU2279" s="2"/>
      <c r="AV2279" s="2"/>
      <c r="AW2279" s="2"/>
      <c r="AX2279" s="2"/>
      <c r="AY2279" s="2">
        <v>41</v>
      </c>
      <c r="AZ2279" s="2" t="s">
        <v>82</v>
      </c>
      <c r="BA2279" s="2">
        <v>41</v>
      </c>
      <c r="BB2279" s="2" t="s">
        <v>82</v>
      </c>
      <c r="BC2279" s="2">
        <v>51</v>
      </c>
      <c r="BD2279" s="2" t="s">
        <v>827</v>
      </c>
      <c r="BE2279" s="2">
        <v>47</v>
      </c>
      <c r="BF2279" s="2" t="s">
        <v>167</v>
      </c>
      <c r="BG2279" s="2">
        <v>2459</v>
      </c>
      <c r="BH2279" s="4">
        <v>0.89930555555555547</v>
      </c>
      <c r="BI2279" s="4">
        <v>0.92708333333333337</v>
      </c>
      <c r="BJ2279" s="2">
        <v>13</v>
      </c>
      <c r="BK2279" s="2" t="s">
        <v>91</v>
      </c>
      <c r="BL2279" s="2" t="s">
        <v>828</v>
      </c>
      <c r="BM2279" s="2">
        <v>241</v>
      </c>
      <c r="BN2279" s="2" t="s">
        <v>82</v>
      </c>
      <c r="BO2279" s="2" t="s">
        <v>82</v>
      </c>
      <c r="BP2279" s="2">
        <v>13</v>
      </c>
      <c r="BQ2279" s="2" t="s">
        <v>91</v>
      </c>
      <c r="BR2279" s="2" t="s">
        <v>185</v>
      </c>
      <c r="BS2279" s="3">
        <v>40331</v>
      </c>
      <c r="BT2279" s="4">
        <v>0.8536921296296297</v>
      </c>
    </row>
    <row r="2280" spans="1:72" x14ac:dyDescent="0.25">
      <c r="A2280" s="2">
        <v>3329</v>
      </c>
      <c r="B2280" s="2">
        <v>2010</v>
      </c>
      <c r="C2280" s="2" t="s">
        <v>171</v>
      </c>
      <c r="D2280" s="2" t="s">
        <v>73</v>
      </c>
      <c r="E2280" s="2"/>
      <c r="F2280" s="2">
        <v>471</v>
      </c>
      <c r="G2280" s="2" t="s">
        <v>6201</v>
      </c>
      <c r="H2280" s="2">
        <v>60</v>
      </c>
      <c r="I2280" s="2" t="s">
        <v>2704</v>
      </c>
      <c r="J2280" s="2">
        <v>374</v>
      </c>
      <c r="K2280" s="2" t="s">
        <v>1191</v>
      </c>
      <c r="L2280" s="2" t="s">
        <v>132</v>
      </c>
      <c r="M2280" s="3">
        <v>40331</v>
      </c>
      <c r="N2280" s="2" t="s">
        <v>6202</v>
      </c>
      <c r="O2280" s="2" t="s">
        <v>7777</v>
      </c>
      <c r="P2280" s="2" t="s">
        <v>7778</v>
      </c>
      <c r="Q2280" s="2" t="str">
        <f>"0009/10"</f>
        <v>0009/10</v>
      </c>
      <c r="R2280" s="2"/>
      <c r="S2280" s="2"/>
      <c r="T2280" s="2">
        <v>1</v>
      </c>
      <c r="U2280" s="2" t="s">
        <v>79</v>
      </c>
      <c r="V2280" s="2">
        <v>1</v>
      </c>
      <c r="W2280" s="2" t="s">
        <v>80</v>
      </c>
      <c r="X2280" s="2">
        <v>8</v>
      </c>
      <c r="Y2280" s="2" t="s">
        <v>375</v>
      </c>
      <c r="Z2280" s="2">
        <v>1</v>
      </c>
      <c r="AA2280" s="2" t="s">
        <v>82</v>
      </c>
      <c r="AB2280" s="2">
        <v>1</v>
      </c>
      <c r="AC2280" s="2" t="s">
        <v>178</v>
      </c>
      <c r="AD2280" s="3">
        <v>40331</v>
      </c>
      <c r="AE2280" s="4">
        <v>0.3576388888888889</v>
      </c>
      <c r="AF2280" s="2"/>
      <c r="AG2280" s="2"/>
      <c r="AH2280" s="2">
        <v>5</v>
      </c>
      <c r="AI2280" s="2" t="s">
        <v>274</v>
      </c>
      <c r="AJ2280" s="2">
        <v>34</v>
      </c>
      <c r="AK2280" s="2" t="s">
        <v>274</v>
      </c>
      <c r="AL2280" s="2">
        <v>23</v>
      </c>
      <c r="AM2280" s="2" t="s">
        <v>251</v>
      </c>
      <c r="AN2280" s="2"/>
      <c r="AO2280" s="2" t="s">
        <v>7779</v>
      </c>
      <c r="AP2280" s="2">
        <v>11</v>
      </c>
      <c r="AQ2280" s="2" t="s">
        <v>82</v>
      </c>
      <c r="AR2280" s="2"/>
      <c r="AS2280" s="2"/>
      <c r="AT2280" s="2" t="s">
        <v>7780</v>
      </c>
      <c r="AU2280" s="2"/>
      <c r="AV2280" s="2"/>
      <c r="AW2280" s="2"/>
      <c r="AX2280" s="2"/>
      <c r="AY2280" s="2">
        <v>41</v>
      </c>
      <c r="AZ2280" s="2" t="s">
        <v>82</v>
      </c>
      <c r="BA2280" s="2">
        <v>41</v>
      </c>
      <c r="BB2280" s="2" t="s">
        <v>82</v>
      </c>
      <c r="BC2280" s="2">
        <v>41</v>
      </c>
      <c r="BD2280" s="2" t="s">
        <v>82</v>
      </c>
      <c r="BE2280" s="2">
        <v>41</v>
      </c>
      <c r="BF2280" s="2" t="s">
        <v>82</v>
      </c>
      <c r="BG2280" s="2"/>
      <c r="BH2280" s="2"/>
      <c r="BI2280" s="2"/>
      <c r="BJ2280" s="2">
        <v>241</v>
      </c>
      <c r="BK2280" s="2" t="s">
        <v>82</v>
      </c>
      <c r="BL2280" s="2"/>
      <c r="BM2280" s="2">
        <v>241</v>
      </c>
      <c r="BN2280" s="2" t="s">
        <v>82</v>
      </c>
      <c r="BO2280" s="2"/>
      <c r="BP2280" s="2">
        <v>241</v>
      </c>
      <c r="BQ2280" s="2" t="s">
        <v>82</v>
      </c>
      <c r="BR2280" s="2"/>
      <c r="BS2280" s="3">
        <v>40331</v>
      </c>
      <c r="BT2280" s="4">
        <v>0.89476851851851846</v>
      </c>
    </row>
    <row r="2281" spans="1:72" x14ac:dyDescent="0.25">
      <c r="A2281" s="2">
        <v>3330</v>
      </c>
      <c r="B2281" s="2">
        <v>2010</v>
      </c>
      <c r="C2281" s="2" t="s">
        <v>72</v>
      </c>
      <c r="D2281" s="2" t="s">
        <v>73</v>
      </c>
      <c r="E2281" s="2"/>
      <c r="F2281" s="2">
        <v>481</v>
      </c>
      <c r="G2281" s="2" t="s">
        <v>1438</v>
      </c>
      <c r="H2281" s="2">
        <v>1</v>
      </c>
      <c r="I2281" s="2" t="s">
        <v>82</v>
      </c>
      <c r="J2281" s="2">
        <v>58</v>
      </c>
      <c r="K2281" s="2" t="s">
        <v>3405</v>
      </c>
      <c r="L2281" s="2" t="s">
        <v>1692</v>
      </c>
      <c r="M2281" s="3">
        <v>40331</v>
      </c>
      <c r="N2281" s="2" t="s">
        <v>6935</v>
      </c>
      <c r="O2281" s="2" t="s">
        <v>7781</v>
      </c>
      <c r="P2281" s="2" t="s">
        <v>82</v>
      </c>
      <c r="Q2281" s="2" t="str">
        <f>"28/10"</f>
        <v>28/10</v>
      </c>
      <c r="R2281" s="2" t="s">
        <v>82</v>
      </c>
      <c r="S2281" s="2" t="s">
        <v>82</v>
      </c>
      <c r="T2281" s="2">
        <v>1</v>
      </c>
      <c r="U2281" s="2" t="s">
        <v>79</v>
      </c>
      <c r="V2281" s="2">
        <v>1</v>
      </c>
      <c r="W2281" s="2" t="s">
        <v>80</v>
      </c>
      <c r="X2281" s="2">
        <v>12</v>
      </c>
      <c r="Y2281" s="2" t="s">
        <v>148</v>
      </c>
      <c r="Z2281" s="2">
        <v>1</v>
      </c>
      <c r="AA2281" s="2" t="s">
        <v>82</v>
      </c>
      <c r="AB2281" s="2">
        <v>6</v>
      </c>
      <c r="AC2281" s="2" t="s">
        <v>83</v>
      </c>
      <c r="AD2281" s="3">
        <v>40331</v>
      </c>
      <c r="AE2281" s="2"/>
      <c r="AF2281" s="3">
        <v>40331</v>
      </c>
      <c r="AG2281" s="4">
        <v>0.84722222222222221</v>
      </c>
      <c r="AH2281" s="2">
        <v>3</v>
      </c>
      <c r="AI2281" s="2" t="s">
        <v>214</v>
      </c>
      <c r="AJ2281" s="2">
        <v>17</v>
      </c>
      <c r="AK2281" s="2" t="s">
        <v>309</v>
      </c>
      <c r="AL2281" s="2">
        <v>22</v>
      </c>
      <c r="AM2281" s="2" t="s">
        <v>1853</v>
      </c>
      <c r="AN2281" s="2" t="s">
        <v>7782</v>
      </c>
      <c r="AO2281" s="2"/>
      <c r="AP2281" s="2">
        <v>11</v>
      </c>
      <c r="AQ2281" s="2" t="s">
        <v>82</v>
      </c>
      <c r="AR2281" s="2" t="s">
        <v>82</v>
      </c>
      <c r="AS2281" s="2" t="s">
        <v>82</v>
      </c>
      <c r="AT2281" s="2" t="s">
        <v>7783</v>
      </c>
      <c r="AU2281" s="2"/>
      <c r="AV2281" s="2"/>
      <c r="AW2281" s="2"/>
      <c r="AX2281" s="2"/>
      <c r="AY2281" s="2">
        <v>41</v>
      </c>
      <c r="AZ2281" s="2" t="s">
        <v>82</v>
      </c>
      <c r="BA2281" s="2">
        <v>41</v>
      </c>
      <c r="BB2281" s="2" t="s">
        <v>82</v>
      </c>
      <c r="BC2281" s="2">
        <v>41</v>
      </c>
      <c r="BD2281" s="2" t="s">
        <v>82</v>
      </c>
      <c r="BE2281" s="2">
        <v>4</v>
      </c>
      <c r="BF2281" s="2" t="s">
        <v>90</v>
      </c>
      <c r="BG2281" s="2">
        <v>4248</v>
      </c>
      <c r="BH2281" s="4">
        <v>0.80972222222222223</v>
      </c>
      <c r="BI2281" s="4">
        <v>0.70138888888888884</v>
      </c>
      <c r="BJ2281" s="2">
        <v>13</v>
      </c>
      <c r="BK2281" s="2" t="s">
        <v>91</v>
      </c>
      <c r="BL2281" s="2" t="s">
        <v>7784</v>
      </c>
      <c r="BM2281" s="2">
        <v>241</v>
      </c>
      <c r="BN2281" s="2" t="s">
        <v>82</v>
      </c>
      <c r="BO2281" s="2" t="s">
        <v>82</v>
      </c>
      <c r="BP2281" s="2">
        <v>241</v>
      </c>
      <c r="BQ2281" s="2" t="s">
        <v>82</v>
      </c>
      <c r="BR2281" s="2" t="s">
        <v>445</v>
      </c>
      <c r="BS2281" s="3">
        <v>40331</v>
      </c>
      <c r="BT2281" s="4">
        <v>0.93335648148148154</v>
      </c>
    </row>
    <row r="2282" spans="1:72" x14ac:dyDescent="0.25">
      <c r="A2282" s="2">
        <v>3331</v>
      </c>
      <c r="B2282" s="2">
        <v>2010</v>
      </c>
      <c r="C2282" s="2" t="s">
        <v>171</v>
      </c>
      <c r="D2282" s="2" t="s">
        <v>73</v>
      </c>
      <c r="E2282" s="2"/>
      <c r="F2282" s="2">
        <v>471</v>
      </c>
      <c r="G2282" s="2" t="s">
        <v>6201</v>
      </c>
      <c r="H2282" s="2">
        <v>60</v>
      </c>
      <c r="I2282" s="2" t="s">
        <v>2704</v>
      </c>
      <c r="J2282" s="2">
        <v>374</v>
      </c>
      <c r="K2282" s="2" t="s">
        <v>1191</v>
      </c>
      <c r="L2282" s="2" t="s">
        <v>132</v>
      </c>
      <c r="M2282" s="3">
        <v>40331</v>
      </c>
      <c r="N2282" s="2" t="s">
        <v>6202</v>
      </c>
      <c r="O2282" s="2" t="s">
        <v>7785</v>
      </c>
      <c r="P2282" s="2" t="s">
        <v>7778</v>
      </c>
      <c r="Q2282" s="2" t="str">
        <f>"0009/10"</f>
        <v>0009/10</v>
      </c>
      <c r="R2282" s="2"/>
      <c r="S2282" s="2"/>
      <c r="T2282" s="2">
        <v>1</v>
      </c>
      <c r="U2282" s="2" t="s">
        <v>79</v>
      </c>
      <c r="V2282" s="2">
        <v>1</v>
      </c>
      <c r="W2282" s="2" t="s">
        <v>80</v>
      </c>
      <c r="X2282" s="2">
        <v>9</v>
      </c>
      <c r="Y2282" s="2" t="s">
        <v>3393</v>
      </c>
      <c r="Z2282" s="2">
        <v>1</v>
      </c>
      <c r="AA2282" s="2" t="s">
        <v>82</v>
      </c>
      <c r="AB2282" s="2">
        <v>1</v>
      </c>
      <c r="AC2282" s="2" t="s">
        <v>178</v>
      </c>
      <c r="AD2282" s="3">
        <v>40331</v>
      </c>
      <c r="AE2282" s="4">
        <v>0.34375</v>
      </c>
      <c r="AF2282" s="2"/>
      <c r="AG2282" s="2"/>
      <c r="AH2282" s="2">
        <v>5</v>
      </c>
      <c r="AI2282" s="2" t="s">
        <v>274</v>
      </c>
      <c r="AJ2282" s="2">
        <v>34</v>
      </c>
      <c r="AK2282" s="2" t="s">
        <v>274</v>
      </c>
      <c r="AL2282" s="2">
        <v>23</v>
      </c>
      <c r="AM2282" s="2" t="s">
        <v>251</v>
      </c>
      <c r="AN2282" s="2"/>
      <c r="AO2282" s="2" t="s">
        <v>7786</v>
      </c>
      <c r="AP2282" s="2">
        <v>11</v>
      </c>
      <c r="AQ2282" s="2" t="s">
        <v>82</v>
      </c>
      <c r="AR2282" s="2"/>
      <c r="AS2282" s="2"/>
      <c r="AT2282" s="2" t="s">
        <v>7787</v>
      </c>
      <c r="AU2282" s="2"/>
      <c r="AV2282" s="2">
        <v>1</v>
      </c>
      <c r="AW2282" s="2"/>
      <c r="AX2282" s="2"/>
      <c r="AY2282" s="2">
        <v>41</v>
      </c>
      <c r="AZ2282" s="2" t="s">
        <v>82</v>
      </c>
      <c r="BA2282" s="2">
        <v>41</v>
      </c>
      <c r="BB2282" s="2" t="s">
        <v>82</v>
      </c>
      <c r="BC2282" s="2">
        <v>41</v>
      </c>
      <c r="BD2282" s="2" t="s">
        <v>82</v>
      </c>
      <c r="BE2282" s="2">
        <v>41</v>
      </c>
      <c r="BF2282" s="2" t="s">
        <v>82</v>
      </c>
      <c r="BG2282" s="2"/>
      <c r="BH2282" s="2"/>
      <c r="BI2282" s="2"/>
      <c r="BJ2282" s="2">
        <v>241</v>
      </c>
      <c r="BK2282" s="2" t="s">
        <v>82</v>
      </c>
      <c r="BL2282" s="2"/>
      <c r="BM2282" s="2">
        <v>241</v>
      </c>
      <c r="BN2282" s="2" t="s">
        <v>82</v>
      </c>
      <c r="BO2282" s="2"/>
      <c r="BP2282" s="2">
        <v>241</v>
      </c>
      <c r="BQ2282" s="2" t="s">
        <v>82</v>
      </c>
      <c r="BR2282" s="2"/>
      <c r="BS2282" s="3">
        <v>40331</v>
      </c>
      <c r="BT2282" s="4">
        <v>0.94276620370370379</v>
      </c>
    </row>
    <row r="2283" spans="1:72" x14ac:dyDescent="0.25">
      <c r="A2283" s="2">
        <v>3332</v>
      </c>
      <c r="B2283" s="2">
        <v>2010</v>
      </c>
      <c r="C2283" s="2" t="s">
        <v>171</v>
      </c>
      <c r="D2283" s="2" t="s">
        <v>73</v>
      </c>
      <c r="E2283" s="2"/>
      <c r="F2283" s="2">
        <v>396</v>
      </c>
      <c r="G2283" s="2" t="s">
        <v>2159</v>
      </c>
      <c r="H2283" s="2">
        <v>9</v>
      </c>
      <c r="I2283" s="2" t="s">
        <v>794</v>
      </c>
      <c r="J2283" s="2">
        <v>243</v>
      </c>
      <c r="K2283" s="2" t="s">
        <v>2160</v>
      </c>
      <c r="L2283" s="2" t="s">
        <v>2145</v>
      </c>
      <c r="M2283" s="3">
        <v>40331</v>
      </c>
      <c r="N2283" s="2" t="s">
        <v>2245</v>
      </c>
      <c r="O2283" s="2"/>
      <c r="P2283" s="2"/>
      <c r="Q2283" s="2" t="str">
        <f>"292-E/10"</f>
        <v>292-E/10</v>
      </c>
      <c r="R2283" s="2" t="s">
        <v>391</v>
      </c>
      <c r="S2283" s="2" t="s">
        <v>391</v>
      </c>
      <c r="T2283" s="2">
        <v>1</v>
      </c>
      <c r="U2283" s="2" t="s">
        <v>79</v>
      </c>
      <c r="V2283" s="2">
        <v>1</v>
      </c>
      <c r="W2283" s="2" t="s">
        <v>80</v>
      </c>
      <c r="X2283" s="2">
        <v>1</v>
      </c>
      <c r="Y2283" s="2" t="s">
        <v>81</v>
      </c>
      <c r="Z2283" s="2">
        <v>1</v>
      </c>
      <c r="AA2283" s="2" t="s">
        <v>82</v>
      </c>
      <c r="AB2283" s="2">
        <v>1</v>
      </c>
      <c r="AC2283" s="2" t="s">
        <v>178</v>
      </c>
      <c r="AD2283" s="3">
        <v>40331</v>
      </c>
      <c r="AE2283" s="4">
        <v>0.67361111111111116</v>
      </c>
      <c r="AF2283" s="2"/>
      <c r="AG2283" s="2"/>
      <c r="AH2283" s="2">
        <v>2</v>
      </c>
      <c r="AI2283" s="2" t="s">
        <v>84</v>
      </c>
      <c r="AJ2283" s="2">
        <v>9</v>
      </c>
      <c r="AK2283" s="2" t="s">
        <v>103</v>
      </c>
      <c r="AL2283" s="2">
        <v>25</v>
      </c>
      <c r="AM2283" s="2" t="s">
        <v>3073</v>
      </c>
      <c r="AN2283" s="2" t="s">
        <v>179</v>
      </c>
      <c r="AO2283" s="2" t="s">
        <v>987</v>
      </c>
      <c r="AP2283" s="2">
        <v>11</v>
      </c>
      <c r="AQ2283" s="2" t="s">
        <v>82</v>
      </c>
      <c r="AR2283" s="2"/>
      <c r="AS2283" s="2"/>
      <c r="AT2283" s="2" t="s">
        <v>7788</v>
      </c>
      <c r="AU2283" s="2"/>
      <c r="AV2283" s="2">
        <v>1</v>
      </c>
      <c r="AW2283" s="2"/>
      <c r="AX2283" s="2"/>
      <c r="AY2283" s="2">
        <v>42</v>
      </c>
      <c r="AZ2283" s="2" t="s">
        <v>182</v>
      </c>
      <c r="BA2283" s="2">
        <v>41</v>
      </c>
      <c r="BB2283" s="2" t="s">
        <v>82</v>
      </c>
      <c r="BC2283" s="2">
        <v>41</v>
      </c>
      <c r="BD2283" s="2" t="s">
        <v>82</v>
      </c>
      <c r="BE2283" s="2">
        <v>14</v>
      </c>
      <c r="BF2283" s="2" t="s">
        <v>484</v>
      </c>
      <c r="BG2283" s="2" t="s">
        <v>3450</v>
      </c>
      <c r="BH2283" s="2"/>
      <c r="BI2283" s="4">
        <v>0.71527777777777779</v>
      </c>
      <c r="BJ2283" s="2">
        <v>13</v>
      </c>
      <c r="BK2283" s="2" t="s">
        <v>91</v>
      </c>
      <c r="BL2283" s="2" t="s">
        <v>360</v>
      </c>
      <c r="BM2283" s="2">
        <v>82</v>
      </c>
      <c r="BN2283" s="2" t="s">
        <v>487</v>
      </c>
      <c r="BO2283" s="2" t="s">
        <v>7789</v>
      </c>
      <c r="BP2283" s="2">
        <v>184</v>
      </c>
      <c r="BQ2283" s="2" t="s">
        <v>5304</v>
      </c>
      <c r="BR2283" s="2" t="s">
        <v>5305</v>
      </c>
      <c r="BS2283" s="3">
        <v>40331</v>
      </c>
      <c r="BT2283" s="4">
        <v>0.94387731481481474</v>
      </c>
    </row>
    <row r="2284" spans="1:72" x14ac:dyDescent="0.25">
      <c r="A2284" s="2">
        <v>3333</v>
      </c>
      <c r="B2284" s="2">
        <v>2010</v>
      </c>
      <c r="C2284" s="2" t="s">
        <v>171</v>
      </c>
      <c r="D2284" s="2" t="s">
        <v>73</v>
      </c>
      <c r="E2284" s="2"/>
      <c r="F2284" s="2">
        <v>471</v>
      </c>
      <c r="G2284" s="2" t="s">
        <v>6201</v>
      </c>
      <c r="H2284" s="2">
        <v>60</v>
      </c>
      <c r="I2284" s="2" t="s">
        <v>2704</v>
      </c>
      <c r="J2284" s="2">
        <v>374</v>
      </c>
      <c r="K2284" s="2" t="s">
        <v>1191</v>
      </c>
      <c r="L2284" s="2" t="s">
        <v>132</v>
      </c>
      <c r="M2284" s="3">
        <v>40331</v>
      </c>
      <c r="N2284" s="2" t="s">
        <v>6202</v>
      </c>
      <c r="O2284" s="2" t="s">
        <v>7790</v>
      </c>
      <c r="P2284" s="2" t="s">
        <v>7639</v>
      </c>
      <c r="Q2284" s="2" t="str">
        <f>"0009/2010"</f>
        <v>0009/2010</v>
      </c>
      <c r="R2284" s="2"/>
      <c r="S2284" s="2"/>
      <c r="T2284" s="2">
        <v>1</v>
      </c>
      <c r="U2284" s="2" t="s">
        <v>79</v>
      </c>
      <c r="V2284" s="2">
        <v>1</v>
      </c>
      <c r="W2284" s="2" t="s">
        <v>80</v>
      </c>
      <c r="X2284" s="2">
        <v>8</v>
      </c>
      <c r="Y2284" s="2" t="s">
        <v>375</v>
      </c>
      <c r="Z2284" s="2">
        <v>1</v>
      </c>
      <c r="AA2284" s="2" t="s">
        <v>82</v>
      </c>
      <c r="AB2284" s="2">
        <v>1</v>
      </c>
      <c r="AC2284" s="2" t="s">
        <v>178</v>
      </c>
      <c r="AD2284" s="3">
        <v>40331</v>
      </c>
      <c r="AE2284" s="4">
        <v>0.34722222222222227</v>
      </c>
      <c r="AF2284" s="2"/>
      <c r="AG2284" s="2"/>
      <c r="AH2284" s="2">
        <v>5</v>
      </c>
      <c r="AI2284" s="2" t="s">
        <v>274</v>
      </c>
      <c r="AJ2284" s="2">
        <v>34</v>
      </c>
      <c r="AK2284" s="2" t="s">
        <v>274</v>
      </c>
      <c r="AL2284" s="2">
        <v>23</v>
      </c>
      <c r="AM2284" s="2" t="s">
        <v>251</v>
      </c>
      <c r="AN2284" s="2"/>
      <c r="AO2284" s="2" t="s">
        <v>7791</v>
      </c>
      <c r="AP2284" s="2">
        <v>11</v>
      </c>
      <c r="AQ2284" s="2" t="s">
        <v>82</v>
      </c>
      <c r="AR2284" s="2"/>
      <c r="AS2284" s="2"/>
      <c r="AT2284" s="2" t="s">
        <v>7792</v>
      </c>
      <c r="AU2284" s="2"/>
      <c r="AV2284" s="2">
        <v>2</v>
      </c>
      <c r="AW2284" s="2"/>
      <c r="AX2284" s="2"/>
      <c r="AY2284" s="2">
        <v>41</v>
      </c>
      <c r="AZ2284" s="2" t="s">
        <v>82</v>
      </c>
      <c r="BA2284" s="2">
        <v>41</v>
      </c>
      <c r="BB2284" s="2" t="s">
        <v>82</v>
      </c>
      <c r="BC2284" s="2">
        <v>41</v>
      </c>
      <c r="BD2284" s="2" t="s">
        <v>82</v>
      </c>
      <c r="BE2284" s="2">
        <v>41</v>
      </c>
      <c r="BF2284" s="2" t="s">
        <v>82</v>
      </c>
      <c r="BG2284" s="2"/>
      <c r="BH2284" s="2"/>
      <c r="BI2284" s="2"/>
      <c r="BJ2284" s="2">
        <v>241</v>
      </c>
      <c r="BK2284" s="2" t="s">
        <v>82</v>
      </c>
      <c r="BL2284" s="2"/>
      <c r="BM2284" s="2">
        <v>241</v>
      </c>
      <c r="BN2284" s="2" t="s">
        <v>82</v>
      </c>
      <c r="BO2284" s="2"/>
      <c r="BP2284" s="2">
        <v>241</v>
      </c>
      <c r="BQ2284" s="2" t="s">
        <v>82</v>
      </c>
      <c r="BR2284" s="2"/>
      <c r="BS2284" s="3">
        <v>40331</v>
      </c>
      <c r="BT2284" s="4">
        <v>0.95937499999999998</v>
      </c>
    </row>
    <row r="2285" spans="1:72" x14ac:dyDescent="0.25">
      <c r="A2285" s="2">
        <v>3334</v>
      </c>
      <c r="B2285" s="2">
        <v>2010</v>
      </c>
      <c r="C2285" s="2" t="s">
        <v>243</v>
      </c>
      <c r="D2285" s="2" t="s">
        <v>73</v>
      </c>
      <c r="E2285" s="2"/>
      <c r="F2285" s="2">
        <v>389</v>
      </c>
      <c r="G2285" s="2" t="s">
        <v>1819</v>
      </c>
      <c r="H2285" s="2">
        <v>4</v>
      </c>
      <c r="I2285" s="2" t="s">
        <v>173</v>
      </c>
      <c r="J2285" s="2">
        <v>399</v>
      </c>
      <c r="K2285" s="2" t="s">
        <v>1820</v>
      </c>
      <c r="L2285" s="2" t="s">
        <v>1821</v>
      </c>
      <c r="M2285" s="3">
        <v>40331</v>
      </c>
      <c r="N2285" s="2" t="s">
        <v>2621</v>
      </c>
      <c r="O2285" s="2"/>
      <c r="P2285" s="2"/>
      <c r="Q2285" s="2" t="str">
        <f>"293-E/10"</f>
        <v>293-E/10</v>
      </c>
      <c r="R2285" s="2" t="s">
        <v>7793</v>
      </c>
      <c r="S2285" s="2"/>
      <c r="T2285" s="2">
        <v>1</v>
      </c>
      <c r="U2285" s="2" t="s">
        <v>79</v>
      </c>
      <c r="V2285" s="2">
        <v>1</v>
      </c>
      <c r="W2285" s="2" t="s">
        <v>80</v>
      </c>
      <c r="X2285" s="2">
        <v>12</v>
      </c>
      <c r="Y2285" s="2" t="s">
        <v>148</v>
      </c>
      <c r="Z2285" s="2">
        <v>1</v>
      </c>
      <c r="AA2285" s="2" t="s">
        <v>82</v>
      </c>
      <c r="AB2285" s="2">
        <v>9</v>
      </c>
      <c r="AC2285" s="2" t="s">
        <v>124</v>
      </c>
      <c r="AD2285" s="2"/>
      <c r="AE2285" s="2"/>
      <c r="AF2285" s="3">
        <v>40331</v>
      </c>
      <c r="AG2285" s="4">
        <v>0.79166666666666663</v>
      </c>
      <c r="AH2285" s="2">
        <v>2</v>
      </c>
      <c r="AI2285" s="2" t="s">
        <v>84</v>
      </c>
      <c r="AJ2285" s="2">
        <v>9</v>
      </c>
      <c r="AK2285" s="2" t="s">
        <v>103</v>
      </c>
      <c r="AL2285" s="2">
        <v>25</v>
      </c>
      <c r="AM2285" s="2" t="s">
        <v>3073</v>
      </c>
      <c r="AN2285" s="2" t="s">
        <v>7794</v>
      </c>
      <c r="AO2285" s="2" t="s">
        <v>7795</v>
      </c>
      <c r="AP2285" s="2">
        <v>11</v>
      </c>
      <c r="AQ2285" s="2" t="s">
        <v>82</v>
      </c>
      <c r="AR2285" s="2"/>
      <c r="AS2285" s="2"/>
      <c r="AT2285" s="2" t="s">
        <v>7796</v>
      </c>
      <c r="AU2285" s="2"/>
      <c r="AV2285" s="2"/>
      <c r="AW2285" s="2"/>
      <c r="AX2285" s="2"/>
      <c r="AY2285" s="2">
        <v>69</v>
      </c>
      <c r="AZ2285" s="2" t="s">
        <v>483</v>
      </c>
      <c r="BA2285" s="2">
        <v>41</v>
      </c>
      <c r="BB2285" s="2" t="s">
        <v>82</v>
      </c>
      <c r="BC2285" s="2">
        <v>41</v>
      </c>
      <c r="BD2285" s="2" t="s">
        <v>82</v>
      </c>
      <c r="BE2285" s="2">
        <v>41</v>
      </c>
      <c r="BF2285" s="2" t="s">
        <v>82</v>
      </c>
      <c r="BG2285" s="2"/>
      <c r="BH2285" s="2"/>
      <c r="BI2285" s="2"/>
      <c r="BJ2285" s="2">
        <v>241</v>
      </c>
      <c r="BK2285" s="2" t="s">
        <v>82</v>
      </c>
      <c r="BL2285" s="2"/>
      <c r="BM2285" s="2">
        <v>241</v>
      </c>
      <c r="BN2285" s="2" t="s">
        <v>82</v>
      </c>
      <c r="BO2285" s="2"/>
      <c r="BP2285" s="2">
        <v>241</v>
      </c>
      <c r="BQ2285" s="2" t="s">
        <v>82</v>
      </c>
      <c r="BR2285" s="2"/>
      <c r="BS2285" s="3">
        <v>40331</v>
      </c>
      <c r="BT2285" s="4">
        <v>0.96553240740740742</v>
      </c>
    </row>
    <row r="2286" spans="1:72" x14ac:dyDescent="0.25">
      <c r="A2286" s="2">
        <v>3334</v>
      </c>
      <c r="B2286" s="2">
        <v>2010</v>
      </c>
      <c r="C2286" s="2" t="s">
        <v>554</v>
      </c>
      <c r="D2286" s="2" t="s">
        <v>73</v>
      </c>
      <c r="E2286" s="2"/>
      <c r="F2286" s="2">
        <v>389</v>
      </c>
      <c r="G2286" s="2" t="s">
        <v>1819</v>
      </c>
      <c r="H2286" s="2">
        <v>4</v>
      </c>
      <c r="I2286" s="2" t="s">
        <v>173</v>
      </c>
      <c r="J2286" s="2">
        <v>399</v>
      </c>
      <c r="K2286" s="2" t="s">
        <v>1820</v>
      </c>
      <c r="L2286" s="2" t="s">
        <v>1821</v>
      </c>
      <c r="M2286" s="3">
        <v>40331</v>
      </c>
      <c r="N2286" s="2" t="s">
        <v>2621</v>
      </c>
      <c r="O2286" s="2"/>
      <c r="P2286" s="2"/>
      <c r="Q2286" s="2" t="str">
        <f>"293-E/10"</f>
        <v>293-E/10</v>
      </c>
      <c r="R2286" s="2" t="s">
        <v>7793</v>
      </c>
      <c r="S2286" s="2"/>
      <c r="T2286" s="2">
        <v>1</v>
      </c>
      <c r="U2286" s="2" t="s">
        <v>79</v>
      </c>
      <c r="V2286" s="2">
        <v>1</v>
      </c>
      <c r="W2286" s="2" t="s">
        <v>80</v>
      </c>
      <c r="X2286" s="2">
        <v>12</v>
      </c>
      <c r="Y2286" s="2" t="s">
        <v>148</v>
      </c>
      <c r="Z2286" s="2">
        <v>1</v>
      </c>
      <c r="AA2286" s="2" t="s">
        <v>82</v>
      </c>
      <c r="AB2286" s="2">
        <v>5</v>
      </c>
      <c r="AC2286" s="2" t="s">
        <v>559</v>
      </c>
      <c r="AD2286" s="2"/>
      <c r="AE2286" s="2"/>
      <c r="AF2286" s="3">
        <v>40331</v>
      </c>
      <c r="AG2286" s="4">
        <v>0.79166666666666663</v>
      </c>
      <c r="AH2286" s="2">
        <v>2</v>
      </c>
      <c r="AI2286" s="2" t="s">
        <v>84</v>
      </c>
      <c r="AJ2286" s="2">
        <v>9</v>
      </c>
      <c r="AK2286" s="2" t="s">
        <v>103</v>
      </c>
      <c r="AL2286" s="2">
        <v>25</v>
      </c>
      <c r="AM2286" s="2" t="s">
        <v>3073</v>
      </c>
      <c r="AN2286" s="2" t="s">
        <v>7794</v>
      </c>
      <c r="AO2286" s="2" t="s">
        <v>7795</v>
      </c>
      <c r="AP2286" s="2">
        <v>11</v>
      </c>
      <c r="AQ2286" s="2" t="s">
        <v>82</v>
      </c>
      <c r="AR2286" s="2"/>
      <c r="AS2286" s="2"/>
      <c r="AT2286" s="2" t="s">
        <v>7796</v>
      </c>
      <c r="AU2286" s="2"/>
      <c r="AV2286" s="2"/>
      <c r="AW2286" s="2"/>
      <c r="AX2286" s="2"/>
      <c r="AY2286" s="2">
        <v>69</v>
      </c>
      <c r="AZ2286" s="2" t="s">
        <v>483</v>
      </c>
      <c r="BA2286" s="2">
        <v>41</v>
      </c>
      <c r="BB2286" s="2" t="s">
        <v>82</v>
      </c>
      <c r="BC2286" s="2">
        <v>41</v>
      </c>
      <c r="BD2286" s="2" t="s">
        <v>82</v>
      </c>
      <c r="BE2286" s="2">
        <v>41</v>
      </c>
      <c r="BF2286" s="2" t="s">
        <v>82</v>
      </c>
      <c r="BG2286" s="2"/>
      <c r="BH2286" s="2"/>
      <c r="BI2286" s="2"/>
      <c r="BJ2286" s="2">
        <v>241</v>
      </c>
      <c r="BK2286" s="2" t="s">
        <v>82</v>
      </c>
      <c r="BL2286" s="2"/>
      <c r="BM2286" s="2">
        <v>241</v>
      </c>
      <c r="BN2286" s="2" t="s">
        <v>82</v>
      </c>
      <c r="BO2286" s="2"/>
      <c r="BP2286" s="2">
        <v>241</v>
      </c>
      <c r="BQ2286" s="2" t="s">
        <v>82</v>
      </c>
      <c r="BR2286" s="2"/>
      <c r="BS2286" s="3">
        <v>40331</v>
      </c>
      <c r="BT2286" s="4">
        <v>0.96553240740740742</v>
      </c>
    </row>
    <row r="2287" spans="1:72" x14ac:dyDescent="0.25">
      <c r="A2287" s="2">
        <v>3335</v>
      </c>
      <c r="B2287" s="2">
        <v>2010</v>
      </c>
      <c r="C2287" s="2" t="s">
        <v>171</v>
      </c>
      <c r="D2287" s="2" t="s">
        <v>73</v>
      </c>
      <c r="E2287" s="2"/>
      <c r="F2287" s="2">
        <v>471</v>
      </c>
      <c r="G2287" s="2" t="s">
        <v>6201</v>
      </c>
      <c r="H2287" s="2">
        <v>60</v>
      </c>
      <c r="I2287" s="2" t="s">
        <v>2704</v>
      </c>
      <c r="J2287" s="2">
        <v>374</v>
      </c>
      <c r="K2287" s="2" t="s">
        <v>1191</v>
      </c>
      <c r="L2287" s="2" t="s">
        <v>132</v>
      </c>
      <c r="M2287" s="3">
        <v>40331</v>
      </c>
      <c r="N2287" s="2" t="s">
        <v>6202</v>
      </c>
      <c r="O2287" s="2" t="s">
        <v>7797</v>
      </c>
      <c r="P2287" s="2" t="s">
        <v>7778</v>
      </c>
      <c r="Q2287" s="2" t="str">
        <f>"0009/2010"</f>
        <v>0009/2010</v>
      </c>
      <c r="R2287" s="2"/>
      <c r="S2287" s="2"/>
      <c r="T2287" s="2">
        <v>1</v>
      </c>
      <c r="U2287" s="2" t="s">
        <v>79</v>
      </c>
      <c r="V2287" s="2">
        <v>1</v>
      </c>
      <c r="W2287" s="2" t="s">
        <v>80</v>
      </c>
      <c r="X2287" s="2">
        <v>8</v>
      </c>
      <c r="Y2287" s="2" t="s">
        <v>375</v>
      </c>
      <c r="Z2287" s="2">
        <v>1</v>
      </c>
      <c r="AA2287" s="2" t="s">
        <v>82</v>
      </c>
      <c r="AB2287" s="2">
        <v>1</v>
      </c>
      <c r="AC2287" s="2" t="s">
        <v>178</v>
      </c>
      <c r="AD2287" s="3">
        <v>40331</v>
      </c>
      <c r="AE2287" s="4">
        <v>0.35416666666666669</v>
      </c>
      <c r="AF2287" s="2"/>
      <c r="AG2287" s="2"/>
      <c r="AH2287" s="2">
        <v>5</v>
      </c>
      <c r="AI2287" s="2" t="s">
        <v>274</v>
      </c>
      <c r="AJ2287" s="2">
        <v>34</v>
      </c>
      <c r="AK2287" s="2" t="s">
        <v>274</v>
      </c>
      <c r="AL2287" s="2">
        <v>23</v>
      </c>
      <c r="AM2287" s="2" t="s">
        <v>251</v>
      </c>
      <c r="AN2287" s="2" t="s">
        <v>7798</v>
      </c>
      <c r="AO2287" s="2" t="s">
        <v>7799</v>
      </c>
      <c r="AP2287" s="2">
        <v>11</v>
      </c>
      <c r="AQ2287" s="2" t="s">
        <v>82</v>
      </c>
      <c r="AR2287" s="2"/>
      <c r="AS2287" s="2"/>
      <c r="AT2287" s="2" t="s">
        <v>7800</v>
      </c>
      <c r="AU2287" s="2"/>
      <c r="AV2287" s="2"/>
      <c r="AW2287" s="2"/>
      <c r="AX2287" s="2"/>
      <c r="AY2287" s="2">
        <v>41</v>
      </c>
      <c r="AZ2287" s="2" t="s">
        <v>82</v>
      </c>
      <c r="BA2287" s="2">
        <v>41</v>
      </c>
      <c r="BB2287" s="2" t="s">
        <v>82</v>
      </c>
      <c r="BC2287" s="2">
        <v>41</v>
      </c>
      <c r="BD2287" s="2" t="s">
        <v>82</v>
      </c>
      <c r="BE2287" s="2">
        <v>41</v>
      </c>
      <c r="BF2287" s="2" t="s">
        <v>82</v>
      </c>
      <c r="BG2287" s="2"/>
      <c r="BH2287" s="2"/>
      <c r="BI2287" s="2"/>
      <c r="BJ2287" s="2">
        <v>241</v>
      </c>
      <c r="BK2287" s="2" t="s">
        <v>82</v>
      </c>
      <c r="BL2287" s="2"/>
      <c r="BM2287" s="2">
        <v>241</v>
      </c>
      <c r="BN2287" s="2" t="s">
        <v>82</v>
      </c>
      <c r="BO2287" s="2"/>
      <c r="BP2287" s="2">
        <v>241</v>
      </c>
      <c r="BQ2287" s="2" t="s">
        <v>82</v>
      </c>
      <c r="BR2287" s="2"/>
      <c r="BS2287" s="3">
        <v>40331</v>
      </c>
      <c r="BT2287" s="4">
        <v>0.9806597222222222</v>
      </c>
    </row>
    <row r="2288" spans="1:72" x14ac:dyDescent="0.25">
      <c r="A2288" s="2">
        <v>3336</v>
      </c>
      <c r="B2288" s="2">
        <v>2010</v>
      </c>
      <c r="C2288" s="2" t="s">
        <v>72</v>
      </c>
      <c r="D2288" s="2" t="s">
        <v>73</v>
      </c>
      <c r="E2288" s="2"/>
      <c r="F2288" s="2">
        <v>389</v>
      </c>
      <c r="G2288" s="2" t="s">
        <v>1819</v>
      </c>
      <c r="H2288" s="2">
        <v>4</v>
      </c>
      <c r="I2288" s="2" t="s">
        <v>173</v>
      </c>
      <c r="J2288" s="2">
        <v>399</v>
      </c>
      <c r="K2288" s="2" t="s">
        <v>1820</v>
      </c>
      <c r="L2288" s="2" t="s">
        <v>1821</v>
      </c>
      <c r="M2288" s="3">
        <v>40331</v>
      </c>
      <c r="N2288" s="2" t="s">
        <v>2245</v>
      </c>
      <c r="O2288" s="2"/>
      <c r="P2288" s="2"/>
      <c r="Q2288" s="2" t="str">
        <f>"294-E/10"</f>
        <v>294-E/10</v>
      </c>
      <c r="R2288" s="2" t="s">
        <v>116</v>
      </c>
      <c r="S2288" s="2" t="s">
        <v>116</v>
      </c>
      <c r="T2288" s="2">
        <v>1</v>
      </c>
      <c r="U2288" s="2" t="s">
        <v>79</v>
      </c>
      <c r="V2288" s="2">
        <v>1</v>
      </c>
      <c r="W2288" s="2" t="s">
        <v>80</v>
      </c>
      <c r="X2288" s="2">
        <v>12</v>
      </c>
      <c r="Y2288" s="2" t="s">
        <v>148</v>
      </c>
      <c r="Z2288" s="2">
        <v>1</v>
      </c>
      <c r="AA2288" s="2" t="s">
        <v>82</v>
      </c>
      <c r="AB2288" s="2">
        <v>6</v>
      </c>
      <c r="AC2288" s="2" t="s">
        <v>83</v>
      </c>
      <c r="AD2288" s="3">
        <v>40331</v>
      </c>
      <c r="AE2288" s="2"/>
      <c r="AF2288" s="3">
        <v>40331</v>
      </c>
      <c r="AG2288" s="4">
        <v>0.8125</v>
      </c>
      <c r="AH2288" s="2">
        <v>2</v>
      </c>
      <c r="AI2288" s="2" t="s">
        <v>84</v>
      </c>
      <c r="AJ2288" s="2">
        <v>9</v>
      </c>
      <c r="AK2288" s="2" t="s">
        <v>103</v>
      </c>
      <c r="AL2288" s="2">
        <v>14</v>
      </c>
      <c r="AM2288" s="2" t="s">
        <v>216</v>
      </c>
      <c r="AN2288" s="2" t="s">
        <v>7801</v>
      </c>
      <c r="AO2288" s="2"/>
      <c r="AP2288" s="2">
        <v>11</v>
      </c>
      <c r="AQ2288" s="2" t="s">
        <v>82</v>
      </c>
      <c r="AR2288" s="2"/>
      <c r="AS2288" s="2"/>
      <c r="AT2288" s="2" t="s">
        <v>7802</v>
      </c>
      <c r="AU2288" s="2"/>
      <c r="AV2288" s="2"/>
      <c r="AW2288" s="2"/>
      <c r="AX2288" s="2"/>
      <c r="AY2288" s="2">
        <v>41</v>
      </c>
      <c r="AZ2288" s="2" t="s">
        <v>82</v>
      </c>
      <c r="BA2288" s="2">
        <v>41</v>
      </c>
      <c r="BB2288" s="2" t="s">
        <v>82</v>
      </c>
      <c r="BC2288" s="2">
        <v>41</v>
      </c>
      <c r="BD2288" s="2" t="s">
        <v>82</v>
      </c>
      <c r="BE2288" s="2">
        <v>41</v>
      </c>
      <c r="BF2288" s="2" t="s">
        <v>82</v>
      </c>
      <c r="BG2288" s="2"/>
      <c r="BH2288" s="2"/>
      <c r="BI2288" s="2"/>
      <c r="BJ2288" s="2">
        <v>241</v>
      </c>
      <c r="BK2288" s="2" t="s">
        <v>82</v>
      </c>
      <c r="BL2288" s="2"/>
      <c r="BM2288" s="2">
        <v>241</v>
      </c>
      <c r="BN2288" s="2" t="s">
        <v>82</v>
      </c>
      <c r="BO2288" s="2"/>
      <c r="BP2288" s="2">
        <v>241</v>
      </c>
      <c r="BQ2288" s="2" t="s">
        <v>82</v>
      </c>
      <c r="BR2288" s="2"/>
      <c r="BS2288" s="3">
        <v>40331</v>
      </c>
      <c r="BT2288" s="4">
        <v>0.99527777777777782</v>
      </c>
    </row>
    <row r="2289" spans="1:72" x14ac:dyDescent="0.25">
      <c r="A2289" s="2">
        <v>3337</v>
      </c>
      <c r="B2289" s="2">
        <v>2010</v>
      </c>
      <c r="C2289" s="2" t="s">
        <v>171</v>
      </c>
      <c r="D2289" s="2" t="s">
        <v>73</v>
      </c>
      <c r="E2289" s="2"/>
      <c r="F2289" s="2">
        <v>471</v>
      </c>
      <c r="G2289" s="2" t="s">
        <v>6201</v>
      </c>
      <c r="H2289" s="2">
        <v>60</v>
      </c>
      <c r="I2289" s="2" t="s">
        <v>2704</v>
      </c>
      <c r="J2289" s="2">
        <v>374</v>
      </c>
      <c r="K2289" s="2" t="s">
        <v>1191</v>
      </c>
      <c r="L2289" s="2" t="s">
        <v>132</v>
      </c>
      <c r="M2289" s="3">
        <v>40332</v>
      </c>
      <c r="N2289" s="2" t="s">
        <v>6202</v>
      </c>
      <c r="O2289" s="2" t="s">
        <v>7803</v>
      </c>
      <c r="P2289" s="2" t="s">
        <v>7639</v>
      </c>
      <c r="Q2289" s="2" t="str">
        <f>"0009/2010"</f>
        <v>0009/2010</v>
      </c>
      <c r="R2289" s="2"/>
      <c r="S2289" s="2"/>
      <c r="T2289" s="2">
        <v>1</v>
      </c>
      <c r="U2289" s="2" t="s">
        <v>79</v>
      </c>
      <c r="V2289" s="2">
        <v>1</v>
      </c>
      <c r="W2289" s="2" t="s">
        <v>80</v>
      </c>
      <c r="X2289" s="2">
        <v>8</v>
      </c>
      <c r="Y2289" s="2" t="s">
        <v>375</v>
      </c>
      <c r="Z2289" s="2">
        <v>1</v>
      </c>
      <c r="AA2289" s="2" t="s">
        <v>82</v>
      </c>
      <c r="AB2289" s="2">
        <v>1</v>
      </c>
      <c r="AC2289" s="2" t="s">
        <v>178</v>
      </c>
      <c r="AD2289" s="3">
        <v>40331</v>
      </c>
      <c r="AE2289" s="4">
        <v>0.33333333333333331</v>
      </c>
      <c r="AF2289" s="2"/>
      <c r="AG2289" s="2"/>
      <c r="AH2289" s="2">
        <v>5</v>
      </c>
      <c r="AI2289" s="2" t="s">
        <v>274</v>
      </c>
      <c r="AJ2289" s="2">
        <v>34</v>
      </c>
      <c r="AK2289" s="2" t="s">
        <v>274</v>
      </c>
      <c r="AL2289" s="2">
        <v>23</v>
      </c>
      <c r="AM2289" s="2" t="s">
        <v>251</v>
      </c>
      <c r="AN2289" s="2"/>
      <c r="AO2289" s="2" t="s">
        <v>7804</v>
      </c>
      <c r="AP2289" s="2">
        <v>11</v>
      </c>
      <c r="AQ2289" s="2" t="s">
        <v>82</v>
      </c>
      <c r="AR2289" s="2"/>
      <c r="AS2289" s="2"/>
      <c r="AT2289" s="2" t="s">
        <v>7805</v>
      </c>
      <c r="AU2289" s="2"/>
      <c r="AV2289" s="2"/>
      <c r="AW2289" s="2"/>
      <c r="AX2289" s="2"/>
      <c r="AY2289" s="2">
        <v>41</v>
      </c>
      <c r="AZ2289" s="2" t="s">
        <v>82</v>
      </c>
      <c r="BA2289" s="2">
        <v>41</v>
      </c>
      <c r="BB2289" s="2" t="s">
        <v>82</v>
      </c>
      <c r="BC2289" s="2">
        <v>41</v>
      </c>
      <c r="BD2289" s="2" t="s">
        <v>82</v>
      </c>
      <c r="BE2289" s="2">
        <v>41</v>
      </c>
      <c r="BF2289" s="2" t="s">
        <v>82</v>
      </c>
      <c r="BG2289" s="2"/>
      <c r="BH2289" s="2"/>
      <c r="BI2289" s="2"/>
      <c r="BJ2289" s="2">
        <v>241</v>
      </c>
      <c r="BK2289" s="2" t="s">
        <v>82</v>
      </c>
      <c r="BL2289" s="2"/>
      <c r="BM2289" s="2">
        <v>241</v>
      </c>
      <c r="BN2289" s="2" t="s">
        <v>82</v>
      </c>
      <c r="BO2289" s="2"/>
      <c r="BP2289" s="2">
        <v>241</v>
      </c>
      <c r="BQ2289" s="2" t="s">
        <v>82</v>
      </c>
      <c r="BR2289" s="2"/>
      <c r="BS2289" s="3">
        <v>40332</v>
      </c>
      <c r="BT2289" s="4">
        <v>3.6921296296296298E-3</v>
      </c>
    </row>
    <row r="2290" spans="1:72" x14ac:dyDescent="0.25">
      <c r="A2290" s="2">
        <v>3338</v>
      </c>
      <c r="B2290" s="2">
        <v>2010</v>
      </c>
      <c r="C2290" s="2" t="s">
        <v>171</v>
      </c>
      <c r="D2290" s="2" t="s">
        <v>73</v>
      </c>
      <c r="E2290" s="2"/>
      <c r="F2290" s="2">
        <v>390</v>
      </c>
      <c r="G2290" s="2" t="s">
        <v>475</v>
      </c>
      <c r="H2290" s="2">
        <v>71</v>
      </c>
      <c r="I2290" s="2" t="s">
        <v>335</v>
      </c>
      <c r="J2290" s="2">
        <v>533</v>
      </c>
      <c r="K2290" s="2" t="s">
        <v>6511</v>
      </c>
      <c r="L2290" s="2" t="s">
        <v>478</v>
      </c>
      <c r="M2290" s="3">
        <v>40332</v>
      </c>
      <c r="N2290" s="2" t="s">
        <v>7806</v>
      </c>
      <c r="O2290" s="2" t="s">
        <v>7807</v>
      </c>
      <c r="P2290" s="2">
        <v>1090</v>
      </c>
      <c r="Q2290" s="2" t="str">
        <f>""</f>
        <v/>
      </c>
      <c r="R2290" s="2"/>
      <c r="S2290" s="2"/>
      <c r="T2290" s="2">
        <v>1</v>
      </c>
      <c r="U2290" s="2" t="s">
        <v>79</v>
      </c>
      <c r="V2290" s="2">
        <v>1</v>
      </c>
      <c r="W2290" s="2" t="s">
        <v>80</v>
      </c>
      <c r="X2290" s="2">
        <v>1</v>
      </c>
      <c r="Y2290" s="2" t="s">
        <v>81</v>
      </c>
      <c r="Z2290" s="2">
        <v>1</v>
      </c>
      <c r="AA2290" s="2" t="s">
        <v>82</v>
      </c>
      <c r="AB2290" s="2">
        <v>1</v>
      </c>
      <c r="AC2290" s="2" t="s">
        <v>178</v>
      </c>
      <c r="AD2290" s="3">
        <v>40331</v>
      </c>
      <c r="AE2290" s="4">
        <v>0.70833333333333337</v>
      </c>
      <c r="AF2290" s="2"/>
      <c r="AG2290" s="2"/>
      <c r="AH2290" s="2">
        <v>2</v>
      </c>
      <c r="AI2290" s="2" t="s">
        <v>84</v>
      </c>
      <c r="AJ2290" s="2">
        <v>6</v>
      </c>
      <c r="AK2290" s="2" t="s">
        <v>453</v>
      </c>
      <c r="AL2290" s="2">
        <v>25</v>
      </c>
      <c r="AM2290" s="2" t="s">
        <v>3073</v>
      </c>
      <c r="AN2290" s="2" t="s">
        <v>5310</v>
      </c>
      <c r="AO2290" s="2" t="s">
        <v>1230</v>
      </c>
      <c r="AP2290" s="2">
        <v>11</v>
      </c>
      <c r="AQ2290" s="2" t="s">
        <v>82</v>
      </c>
      <c r="AR2290" s="2"/>
      <c r="AS2290" s="2"/>
      <c r="AT2290" s="2" t="s">
        <v>7808</v>
      </c>
      <c r="AU2290" s="2"/>
      <c r="AV2290" s="2">
        <v>1</v>
      </c>
      <c r="AW2290" s="2"/>
      <c r="AX2290" s="2"/>
      <c r="AY2290" s="2">
        <v>42</v>
      </c>
      <c r="AZ2290" s="2" t="s">
        <v>182</v>
      </c>
      <c r="BA2290" s="2">
        <v>41</v>
      </c>
      <c r="BB2290" s="2" t="s">
        <v>82</v>
      </c>
      <c r="BC2290" s="2">
        <v>41</v>
      </c>
      <c r="BD2290" s="2" t="s">
        <v>82</v>
      </c>
      <c r="BE2290" s="2">
        <v>18</v>
      </c>
      <c r="BF2290" s="2" t="s">
        <v>1091</v>
      </c>
      <c r="BG2290" s="2" t="s">
        <v>1092</v>
      </c>
      <c r="BH2290" s="2"/>
      <c r="BI2290" s="4">
        <v>0.84722222222222221</v>
      </c>
      <c r="BJ2290" s="2">
        <v>13</v>
      </c>
      <c r="BK2290" s="2" t="s">
        <v>91</v>
      </c>
      <c r="BL2290" s="2" t="s">
        <v>360</v>
      </c>
      <c r="BM2290" s="2">
        <v>205</v>
      </c>
      <c r="BN2290" s="2" t="s">
        <v>1085</v>
      </c>
      <c r="BO2290" s="2" t="s">
        <v>7809</v>
      </c>
      <c r="BP2290" s="2">
        <v>133</v>
      </c>
      <c r="BQ2290" s="2" t="s">
        <v>2860</v>
      </c>
      <c r="BR2290" s="2" t="s">
        <v>7810</v>
      </c>
      <c r="BS2290" s="3">
        <v>40332</v>
      </c>
      <c r="BT2290" s="4">
        <v>2.1898148148148149E-2</v>
      </c>
    </row>
    <row r="2291" spans="1:72" x14ac:dyDescent="0.25">
      <c r="A2291" s="2">
        <v>3339</v>
      </c>
      <c r="B2291" s="2">
        <v>2010</v>
      </c>
      <c r="C2291" s="2" t="s">
        <v>171</v>
      </c>
      <c r="D2291" s="2" t="s">
        <v>73</v>
      </c>
      <c r="E2291" s="2"/>
      <c r="F2291" s="2">
        <v>471</v>
      </c>
      <c r="G2291" s="2" t="s">
        <v>6201</v>
      </c>
      <c r="H2291" s="2">
        <v>60</v>
      </c>
      <c r="I2291" s="2" t="s">
        <v>2704</v>
      </c>
      <c r="J2291" s="2">
        <v>374</v>
      </c>
      <c r="K2291" s="2" t="s">
        <v>1191</v>
      </c>
      <c r="L2291" s="2" t="s">
        <v>132</v>
      </c>
      <c r="M2291" s="3">
        <v>40332</v>
      </c>
      <c r="N2291" s="2" t="s">
        <v>6202</v>
      </c>
      <c r="O2291" s="2" t="s">
        <v>7811</v>
      </c>
      <c r="P2291" s="2" t="s">
        <v>7778</v>
      </c>
      <c r="Q2291" s="2" t="str">
        <f>"0009/2010"</f>
        <v>0009/2010</v>
      </c>
      <c r="R2291" s="2"/>
      <c r="S2291" s="2"/>
      <c r="T2291" s="2">
        <v>1</v>
      </c>
      <c r="U2291" s="2" t="s">
        <v>79</v>
      </c>
      <c r="V2291" s="2">
        <v>1</v>
      </c>
      <c r="W2291" s="2" t="s">
        <v>80</v>
      </c>
      <c r="X2291" s="2">
        <v>8</v>
      </c>
      <c r="Y2291" s="2" t="s">
        <v>375</v>
      </c>
      <c r="Z2291" s="2">
        <v>1</v>
      </c>
      <c r="AA2291" s="2" t="s">
        <v>82</v>
      </c>
      <c r="AB2291" s="2">
        <v>1</v>
      </c>
      <c r="AC2291" s="2" t="s">
        <v>178</v>
      </c>
      <c r="AD2291" s="3">
        <v>40331</v>
      </c>
      <c r="AE2291" s="4">
        <v>0.35069444444444442</v>
      </c>
      <c r="AF2291" s="2"/>
      <c r="AG2291" s="2"/>
      <c r="AH2291" s="2">
        <v>5</v>
      </c>
      <c r="AI2291" s="2" t="s">
        <v>274</v>
      </c>
      <c r="AJ2291" s="2">
        <v>34</v>
      </c>
      <c r="AK2291" s="2" t="s">
        <v>274</v>
      </c>
      <c r="AL2291" s="2">
        <v>23</v>
      </c>
      <c r="AM2291" s="2" t="s">
        <v>251</v>
      </c>
      <c r="AN2291" s="2"/>
      <c r="AO2291" s="2" t="s">
        <v>7812</v>
      </c>
      <c r="AP2291" s="2">
        <v>11</v>
      </c>
      <c r="AQ2291" s="2" t="s">
        <v>82</v>
      </c>
      <c r="AR2291" s="2"/>
      <c r="AS2291" s="2"/>
      <c r="AT2291" s="2" t="s">
        <v>7813</v>
      </c>
      <c r="AU2291" s="2"/>
      <c r="AV2291" s="2"/>
      <c r="AW2291" s="2"/>
      <c r="AX2291" s="2"/>
      <c r="AY2291" s="2">
        <v>41</v>
      </c>
      <c r="AZ2291" s="2" t="s">
        <v>82</v>
      </c>
      <c r="BA2291" s="2">
        <v>41</v>
      </c>
      <c r="BB2291" s="2" t="s">
        <v>82</v>
      </c>
      <c r="BC2291" s="2">
        <v>41</v>
      </c>
      <c r="BD2291" s="2" t="s">
        <v>82</v>
      </c>
      <c r="BE2291" s="2">
        <v>41</v>
      </c>
      <c r="BF2291" s="2" t="s">
        <v>82</v>
      </c>
      <c r="BG2291" s="2"/>
      <c r="BH2291" s="2"/>
      <c r="BI2291" s="2"/>
      <c r="BJ2291" s="2">
        <v>241</v>
      </c>
      <c r="BK2291" s="2" t="s">
        <v>82</v>
      </c>
      <c r="BL2291" s="2"/>
      <c r="BM2291" s="2">
        <v>241</v>
      </c>
      <c r="BN2291" s="2" t="s">
        <v>82</v>
      </c>
      <c r="BO2291" s="2"/>
      <c r="BP2291" s="2">
        <v>241</v>
      </c>
      <c r="BQ2291" s="2" t="s">
        <v>82</v>
      </c>
      <c r="BR2291" s="2"/>
      <c r="BS2291" s="3">
        <v>40332</v>
      </c>
      <c r="BT2291" s="4">
        <v>2.2800925925925929E-2</v>
      </c>
    </row>
    <row r="2292" spans="1:72" x14ac:dyDescent="0.25">
      <c r="A2292" s="2">
        <v>3340</v>
      </c>
      <c r="B2292" s="2">
        <v>2010</v>
      </c>
      <c r="C2292" s="2" t="s">
        <v>171</v>
      </c>
      <c r="D2292" s="2" t="s">
        <v>73</v>
      </c>
      <c r="E2292" s="2"/>
      <c r="F2292" s="2">
        <v>229</v>
      </c>
      <c r="G2292" s="2" t="s">
        <v>2244</v>
      </c>
      <c r="H2292" s="2">
        <v>9</v>
      </c>
      <c r="I2292" s="2" t="s">
        <v>794</v>
      </c>
      <c r="J2292" s="2">
        <v>243</v>
      </c>
      <c r="K2292" s="2" t="s">
        <v>2160</v>
      </c>
      <c r="L2292" s="2" t="s">
        <v>2145</v>
      </c>
      <c r="M2292" s="3">
        <v>40332</v>
      </c>
      <c r="N2292" s="2" t="s">
        <v>2245</v>
      </c>
      <c r="O2292" s="2"/>
      <c r="P2292" s="2"/>
      <c r="Q2292" s="2" t="str">
        <f>"295-E/10"</f>
        <v>295-E/10</v>
      </c>
      <c r="R2292" s="2" t="s">
        <v>391</v>
      </c>
      <c r="S2292" s="2" t="s">
        <v>391</v>
      </c>
      <c r="T2292" s="2">
        <v>1</v>
      </c>
      <c r="U2292" s="2" t="s">
        <v>79</v>
      </c>
      <c r="V2292" s="2">
        <v>1</v>
      </c>
      <c r="W2292" s="2" t="s">
        <v>80</v>
      </c>
      <c r="X2292" s="2">
        <v>1</v>
      </c>
      <c r="Y2292" s="2" t="s">
        <v>81</v>
      </c>
      <c r="Z2292" s="2">
        <v>1</v>
      </c>
      <c r="AA2292" s="2" t="s">
        <v>82</v>
      </c>
      <c r="AB2292" s="2">
        <v>1</v>
      </c>
      <c r="AC2292" s="2" t="s">
        <v>178</v>
      </c>
      <c r="AD2292" s="3">
        <v>40331</v>
      </c>
      <c r="AE2292" s="4">
        <v>0.70833333333333337</v>
      </c>
      <c r="AF2292" s="2"/>
      <c r="AG2292" s="2"/>
      <c r="AH2292" s="2">
        <v>2</v>
      </c>
      <c r="AI2292" s="2" t="s">
        <v>84</v>
      </c>
      <c r="AJ2292" s="2">
        <v>9</v>
      </c>
      <c r="AK2292" s="2" t="s">
        <v>103</v>
      </c>
      <c r="AL2292" s="2">
        <v>11</v>
      </c>
      <c r="AM2292" s="2" t="s">
        <v>137</v>
      </c>
      <c r="AN2292" s="2" t="s">
        <v>919</v>
      </c>
      <c r="AO2292" s="2" t="s">
        <v>987</v>
      </c>
      <c r="AP2292" s="2">
        <v>11</v>
      </c>
      <c r="AQ2292" s="2" t="s">
        <v>82</v>
      </c>
      <c r="AR2292" s="2"/>
      <c r="AS2292" s="2"/>
      <c r="AT2292" s="2" t="s">
        <v>7814</v>
      </c>
      <c r="AU2292" s="2"/>
      <c r="AV2292" s="2">
        <v>1</v>
      </c>
      <c r="AW2292" s="2"/>
      <c r="AX2292" s="2"/>
      <c r="AY2292" s="2">
        <v>42</v>
      </c>
      <c r="AZ2292" s="2" t="s">
        <v>182</v>
      </c>
      <c r="BA2292" s="2">
        <v>41</v>
      </c>
      <c r="BB2292" s="2" t="s">
        <v>82</v>
      </c>
      <c r="BC2292" s="2">
        <v>41</v>
      </c>
      <c r="BD2292" s="2" t="s">
        <v>82</v>
      </c>
      <c r="BE2292" s="2">
        <v>33</v>
      </c>
      <c r="BF2292" s="2" t="s">
        <v>1083</v>
      </c>
      <c r="BG2292" s="2" t="s">
        <v>2165</v>
      </c>
      <c r="BH2292" s="2"/>
      <c r="BI2292" s="4">
        <v>0.75</v>
      </c>
      <c r="BJ2292" s="2">
        <v>13</v>
      </c>
      <c r="BK2292" s="2" t="s">
        <v>91</v>
      </c>
      <c r="BL2292" s="2" t="s">
        <v>360</v>
      </c>
      <c r="BM2292" s="2">
        <v>241</v>
      </c>
      <c r="BN2292" s="2" t="s">
        <v>82</v>
      </c>
      <c r="BO2292" s="2"/>
      <c r="BP2292" s="2">
        <v>205</v>
      </c>
      <c r="BQ2292" s="2" t="s">
        <v>1085</v>
      </c>
      <c r="BR2292" s="2" t="s">
        <v>1086</v>
      </c>
      <c r="BS2292" s="3">
        <v>40332</v>
      </c>
      <c r="BT2292" s="4">
        <v>0.11893518518518519</v>
      </c>
    </row>
    <row r="2293" spans="1:72" x14ac:dyDescent="0.25">
      <c r="A2293" s="2">
        <v>3341</v>
      </c>
      <c r="B2293" s="2">
        <v>2010</v>
      </c>
      <c r="C2293" s="2" t="s">
        <v>171</v>
      </c>
      <c r="D2293" s="2" t="s">
        <v>122</v>
      </c>
      <c r="E2293" s="2" t="s">
        <v>7815</v>
      </c>
      <c r="F2293" s="2">
        <v>229</v>
      </c>
      <c r="G2293" s="2" t="s">
        <v>2244</v>
      </c>
      <c r="H2293" s="2">
        <v>9</v>
      </c>
      <c r="I2293" s="2" t="s">
        <v>794</v>
      </c>
      <c r="J2293" s="2">
        <v>243</v>
      </c>
      <c r="K2293" s="2" t="s">
        <v>2160</v>
      </c>
      <c r="L2293" s="2" t="s">
        <v>2145</v>
      </c>
      <c r="M2293" s="3">
        <v>40332</v>
      </c>
      <c r="N2293" s="2" t="s">
        <v>2245</v>
      </c>
      <c r="O2293" s="2"/>
      <c r="P2293" s="2"/>
      <c r="Q2293" s="2" t="str">
        <f>"295-E/10"</f>
        <v>295-E/10</v>
      </c>
      <c r="R2293" s="2" t="s">
        <v>391</v>
      </c>
      <c r="S2293" s="2" t="s">
        <v>391</v>
      </c>
      <c r="T2293" s="2">
        <v>1</v>
      </c>
      <c r="U2293" s="2" t="s">
        <v>79</v>
      </c>
      <c r="V2293" s="2">
        <v>1</v>
      </c>
      <c r="W2293" s="2" t="s">
        <v>80</v>
      </c>
      <c r="X2293" s="2">
        <v>1</v>
      </c>
      <c r="Y2293" s="2" t="s">
        <v>81</v>
      </c>
      <c r="Z2293" s="2">
        <v>1</v>
      </c>
      <c r="AA2293" s="2" t="s">
        <v>82</v>
      </c>
      <c r="AB2293" s="2">
        <v>1</v>
      </c>
      <c r="AC2293" s="2" t="s">
        <v>178</v>
      </c>
      <c r="AD2293" s="3">
        <v>40331</v>
      </c>
      <c r="AE2293" s="4">
        <v>0.70833333333333337</v>
      </c>
      <c r="AF2293" s="2"/>
      <c r="AG2293" s="2"/>
      <c r="AH2293" s="2">
        <v>2</v>
      </c>
      <c r="AI2293" s="2" t="s">
        <v>84</v>
      </c>
      <c r="AJ2293" s="2">
        <v>9</v>
      </c>
      <c r="AK2293" s="2" t="s">
        <v>103</v>
      </c>
      <c r="AL2293" s="2">
        <v>11</v>
      </c>
      <c r="AM2293" s="2" t="s">
        <v>137</v>
      </c>
      <c r="AN2293" s="2"/>
      <c r="AO2293" s="5">
        <v>42370</v>
      </c>
      <c r="AP2293" s="2">
        <v>11</v>
      </c>
      <c r="AQ2293" s="2" t="s">
        <v>82</v>
      </c>
      <c r="AR2293" s="2"/>
      <c r="AS2293" s="2"/>
      <c r="AT2293" s="2" t="s">
        <v>7816</v>
      </c>
      <c r="AU2293" s="2"/>
      <c r="AV2293" s="2">
        <v>1</v>
      </c>
      <c r="AW2293" s="2"/>
      <c r="AX2293" s="2"/>
      <c r="AY2293" s="2">
        <v>41</v>
      </c>
      <c r="AZ2293" s="2" t="s">
        <v>82</v>
      </c>
      <c r="BA2293" s="2">
        <v>41</v>
      </c>
      <c r="BB2293" s="2" t="s">
        <v>82</v>
      </c>
      <c r="BC2293" s="2">
        <v>41</v>
      </c>
      <c r="BD2293" s="2" t="s">
        <v>82</v>
      </c>
      <c r="BE2293" s="2">
        <v>33</v>
      </c>
      <c r="BF2293" s="2" t="s">
        <v>1083</v>
      </c>
      <c r="BG2293" s="2" t="s">
        <v>2165</v>
      </c>
      <c r="BH2293" s="2"/>
      <c r="BI2293" s="4">
        <v>0.75</v>
      </c>
      <c r="BJ2293" s="2">
        <v>13</v>
      </c>
      <c r="BK2293" s="2" t="s">
        <v>91</v>
      </c>
      <c r="BL2293" s="2" t="s">
        <v>185</v>
      </c>
      <c r="BM2293" s="2">
        <v>241</v>
      </c>
      <c r="BN2293" s="2" t="s">
        <v>82</v>
      </c>
      <c r="BO2293" s="2"/>
      <c r="BP2293" s="2">
        <v>205</v>
      </c>
      <c r="BQ2293" s="2" t="s">
        <v>1085</v>
      </c>
      <c r="BR2293" s="2" t="s">
        <v>1086</v>
      </c>
      <c r="BS2293" s="3">
        <v>40332</v>
      </c>
      <c r="BT2293" s="4">
        <v>0.32108796296296299</v>
      </c>
    </row>
    <row r="2294" spans="1:72" x14ac:dyDescent="0.25">
      <c r="A2294" s="2">
        <v>3342</v>
      </c>
      <c r="B2294" s="2">
        <v>2010</v>
      </c>
      <c r="C2294" s="2" t="s">
        <v>171</v>
      </c>
      <c r="D2294" s="2" t="s">
        <v>122</v>
      </c>
      <c r="E2294" s="2" t="s">
        <v>7817</v>
      </c>
      <c r="F2294" s="2">
        <v>396</v>
      </c>
      <c r="G2294" s="2" t="s">
        <v>2159</v>
      </c>
      <c r="H2294" s="2">
        <v>9</v>
      </c>
      <c r="I2294" s="2" t="s">
        <v>794</v>
      </c>
      <c r="J2294" s="2">
        <v>243</v>
      </c>
      <c r="K2294" s="2" t="s">
        <v>2160</v>
      </c>
      <c r="L2294" s="2" t="s">
        <v>2145</v>
      </c>
      <c r="M2294" s="3">
        <v>40332</v>
      </c>
      <c r="N2294" s="2" t="s">
        <v>2245</v>
      </c>
      <c r="O2294" s="2"/>
      <c r="P2294" s="2"/>
      <c r="Q2294" s="2" t="str">
        <f>"292-E/10"</f>
        <v>292-E/10</v>
      </c>
      <c r="R2294" s="2" t="s">
        <v>391</v>
      </c>
      <c r="S2294" s="2" t="s">
        <v>391</v>
      </c>
      <c r="T2294" s="2">
        <v>1</v>
      </c>
      <c r="U2294" s="2" t="s">
        <v>79</v>
      </c>
      <c r="V2294" s="2">
        <v>1</v>
      </c>
      <c r="W2294" s="2" t="s">
        <v>80</v>
      </c>
      <c r="X2294" s="2">
        <v>1</v>
      </c>
      <c r="Y2294" s="2" t="s">
        <v>81</v>
      </c>
      <c r="Z2294" s="2">
        <v>10</v>
      </c>
      <c r="AA2294" s="2" t="s">
        <v>236</v>
      </c>
      <c r="AB2294" s="2">
        <v>1</v>
      </c>
      <c r="AC2294" s="2" t="s">
        <v>178</v>
      </c>
      <c r="AD2294" s="3">
        <v>40331</v>
      </c>
      <c r="AE2294" s="4">
        <v>0.66666666666666663</v>
      </c>
      <c r="AF2294" s="2"/>
      <c r="AG2294" s="2"/>
      <c r="AH2294" s="2">
        <v>2</v>
      </c>
      <c r="AI2294" s="2" t="s">
        <v>84</v>
      </c>
      <c r="AJ2294" s="2">
        <v>9</v>
      </c>
      <c r="AK2294" s="2" t="s">
        <v>103</v>
      </c>
      <c r="AL2294" s="2">
        <v>14</v>
      </c>
      <c r="AM2294" s="2" t="s">
        <v>216</v>
      </c>
      <c r="AN2294" s="2"/>
      <c r="AO2294" s="2" t="s">
        <v>179</v>
      </c>
      <c r="AP2294" s="2">
        <v>11</v>
      </c>
      <c r="AQ2294" s="2" t="s">
        <v>82</v>
      </c>
      <c r="AR2294" s="2"/>
      <c r="AS2294" s="2"/>
      <c r="AT2294" s="2" t="s">
        <v>7818</v>
      </c>
      <c r="AU2294" s="2"/>
      <c r="AV2294" s="2">
        <v>1</v>
      </c>
      <c r="AW2294" s="2"/>
      <c r="AX2294" s="2"/>
      <c r="AY2294" s="2">
        <v>41</v>
      </c>
      <c r="AZ2294" s="2" t="s">
        <v>82</v>
      </c>
      <c r="BA2294" s="2">
        <v>41</v>
      </c>
      <c r="BB2294" s="2" t="s">
        <v>82</v>
      </c>
      <c r="BC2294" s="2">
        <v>41</v>
      </c>
      <c r="BD2294" s="2" t="s">
        <v>82</v>
      </c>
      <c r="BE2294" s="2">
        <v>14</v>
      </c>
      <c r="BF2294" s="2" t="s">
        <v>484</v>
      </c>
      <c r="BG2294" s="2" t="s">
        <v>818</v>
      </c>
      <c r="BH2294" s="2"/>
      <c r="BI2294" s="4">
        <v>0.75</v>
      </c>
      <c r="BJ2294" s="2">
        <v>13</v>
      </c>
      <c r="BK2294" s="2" t="s">
        <v>91</v>
      </c>
      <c r="BL2294" s="2" t="s">
        <v>185</v>
      </c>
      <c r="BM2294" s="2">
        <v>241</v>
      </c>
      <c r="BN2294" s="2" t="s">
        <v>82</v>
      </c>
      <c r="BO2294" s="2"/>
      <c r="BP2294" s="2">
        <v>82</v>
      </c>
      <c r="BQ2294" s="2" t="s">
        <v>487</v>
      </c>
      <c r="BR2294" s="2" t="s">
        <v>488</v>
      </c>
      <c r="BS2294" s="3">
        <v>40332</v>
      </c>
      <c r="BT2294" s="4">
        <v>0.32263888888888886</v>
      </c>
    </row>
    <row r="2295" spans="1:72" x14ac:dyDescent="0.25">
      <c r="A2295" s="2">
        <v>3343</v>
      </c>
      <c r="B2295" s="2">
        <v>2010</v>
      </c>
      <c r="C2295" s="2" t="s">
        <v>4543</v>
      </c>
      <c r="D2295" s="2" t="s">
        <v>122</v>
      </c>
      <c r="E2295" s="2"/>
      <c r="F2295" s="2">
        <v>1</v>
      </c>
      <c r="G2295" s="2" t="s">
        <v>82</v>
      </c>
      <c r="H2295" s="2">
        <v>1</v>
      </c>
      <c r="I2295" s="2" t="s">
        <v>82</v>
      </c>
      <c r="J2295" s="2">
        <v>1</v>
      </c>
      <c r="K2295" s="2" t="s">
        <v>107</v>
      </c>
      <c r="L2295" s="2" t="s">
        <v>107</v>
      </c>
      <c r="M2295" s="3">
        <v>40332</v>
      </c>
      <c r="N2295" s="2"/>
      <c r="O2295" s="2"/>
      <c r="P2295" s="2"/>
      <c r="Q2295" s="2" t="str">
        <f>""</f>
        <v/>
      </c>
      <c r="R2295" s="2"/>
      <c r="S2295" s="2"/>
      <c r="T2295" s="2">
        <v>2</v>
      </c>
      <c r="U2295" s="2" t="s">
        <v>123</v>
      </c>
      <c r="V2295" s="2">
        <v>1</v>
      </c>
      <c r="W2295" s="2" t="s">
        <v>80</v>
      </c>
      <c r="X2295" s="2">
        <v>11</v>
      </c>
      <c r="Y2295" s="2" t="s">
        <v>1920</v>
      </c>
      <c r="Z2295" s="2">
        <v>1</v>
      </c>
      <c r="AA2295" s="2" t="s">
        <v>82</v>
      </c>
      <c r="AB2295" s="2">
        <v>9</v>
      </c>
      <c r="AC2295" s="2" t="s">
        <v>124</v>
      </c>
      <c r="AD2295" s="3">
        <v>40332</v>
      </c>
      <c r="AE2295" s="4">
        <v>0.12847222222222224</v>
      </c>
      <c r="AF2295" s="2"/>
      <c r="AG2295" s="2"/>
      <c r="AH2295" s="2">
        <v>6</v>
      </c>
      <c r="AI2295" s="2" t="s">
        <v>197</v>
      </c>
      <c r="AJ2295" s="2">
        <v>54</v>
      </c>
      <c r="AK2295" s="2" t="s">
        <v>348</v>
      </c>
      <c r="AL2295" s="2">
        <v>18</v>
      </c>
      <c r="AM2295" s="2" t="s">
        <v>82</v>
      </c>
      <c r="AN2295" s="2" t="s">
        <v>595</v>
      </c>
      <c r="AO2295" s="2" t="s">
        <v>200</v>
      </c>
      <c r="AP2295" s="2">
        <v>14</v>
      </c>
      <c r="AQ2295" s="2" t="s">
        <v>3301</v>
      </c>
      <c r="AR2295" s="2" t="s">
        <v>596</v>
      </c>
      <c r="AS2295" s="2" t="s">
        <v>596</v>
      </c>
      <c r="AT2295" s="2" t="s">
        <v>7819</v>
      </c>
      <c r="AU2295" s="2"/>
      <c r="AV2295" s="2"/>
      <c r="AW2295" s="2"/>
      <c r="AX2295" s="2"/>
      <c r="AY2295" s="2">
        <v>1</v>
      </c>
      <c r="AZ2295" s="2" t="s">
        <v>107</v>
      </c>
      <c r="BA2295" s="2">
        <v>1</v>
      </c>
      <c r="BB2295" s="2" t="s">
        <v>107</v>
      </c>
      <c r="BC2295" s="2">
        <v>1</v>
      </c>
      <c r="BD2295" s="2" t="s">
        <v>107</v>
      </c>
      <c r="BE2295" s="2">
        <v>4</v>
      </c>
      <c r="BF2295" s="2" t="s">
        <v>90</v>
      </c>
      <c r="BG2295" s="2" t="s">
        <v>598</v>
      </c>
      <c r="BH2295" s="4">
        <v>6.5972222222222224E-2</v>
      </c>
      <c r="BI2295" s="4">
        <v>0.12847222222222224</v>
      </c>
      <c r="BJ2295" s="2">
        <v>13</v>
      </c>
      <c r="BK2295" s="2" t="s">
        <v>91</v>
      </c>
      <c r="BL2295" s="2" t="s">
        <v>7629</v>
      </c>
      <c r="BM2295" s="2">
        <v>242</v>
      </c>
      <c r="BN2295" s="2" t="s">
        <v>107</v>
      </c>
      <c r="BO2295" s="2" t="s">
        <v>107</v>
      </c>
      <c r="BP2295" s="2">
        <v>13</v>
      </c>
      <c r="BQ2295" s="2" t="s">
        <v>91</v>
      </c>
      <c r="BR2295" s="2" t="s">
        <v>905</v>
      </c>
      <c r="BS2295" s="3">
        <v>40332</v>
      </c>
      <c r="BT2295" s="4">
        <v>0.37386574074074069</v>
      </c>
    </row>
    <row r="2296" spans="1:72" x14ac:dyDescent="0.25">
      <c r="A2296" s="2">
        <v>3345</v>
      </c>
      <c r="B2296" s="2">
        <v>2010</v>
      </c>
      <c r="C2296" s="2" t="s">
        <v>4543</v>
      </c>
      <c r="D2296" s="2" t="s">
        <v>122</v>
      </c>
      <c r="E2296" s="2"/>
      <c r="F2296" s="2">
        <v>1</v>
      </c>
      <c r="G2296" s="2" t="s">
        <v>82</v>
      </c>
      <c r="H2296" s="2">
        <v>1</v>
      </c>
      <c r="I2296" s="2" t="s">
        <v>82</v>
      </c>
      <c r="J2296" s="2">
        <v>1</v>
      </c>
      <c r="K2296" s="2" t="s">
        <v>107</v>
      </c>
      <c r="L2296" s="2" t="s">
        <v>107</v>
      </c>
      <c r="M2296" s="3">
        <v>40332</v>
      </c>
      <c r="N2296" s="2"/>
      <c r="O2296" s="2"/>
      <c r="P2296" s="2"/>
      <c r="Q2296" s="2" t="str">
        <f>""</f>
        <v/>
      </c>
      <c r="R2296" s="2"/>
      <c r="S2296" s="2"/>
      <c r="T2296" s="2">
        <v>2</v>
      </c>
      <c r="U2296" s="2" t="s">
        <v>123</v>
      </c>
      <c r="V2296" s="2">
        <v>1</v>
      </c>
      <c r="W2296" s="2" t="s">
        <v>80</v>
      </c>
      <c r="X2296" s="2">
        <v>11</v>
      </c>
      <c r="Y2296" s="2" t="s">
        <v>1920</v>
      </c>
      <c r="Z2296" s="2">
        <v>1</v>
      </c>
      <c r="AA2296" s="2" t="s">
        <v>82</v>
      </c>
      <c r="AB2296" s="2">
        <v>9</v>
      </c>
      <c r="AC2296" s="2" t="s">
        <v>124</v>
      </c>
      <c r="AD2296" s="3">
        <v>40332</v>
      </c>
      <c r="AE2296" s="4">
        <v>0.35347222222222219</v>
      </c>
      <c r="AF2296" s="2"/>
      <c r="AG2296" s="2"/>
      <c r="AH2296" s="2">
        <v>6</v>
      </c>
      <c r="AI2296" s="2" t="s">
        <v>197</v>
      </c>
      <c r="AJ2296" s="2">
        <v>54</v>
      </c>
      <c r="AK2296" s="2" t="s">
        <v>348</v>
      </c>
      <c r="AL2296" s="2">
        <v>18</v>
      </c>
      <c r="AM2296" s="2" t="s">
        <v>82</v>
      </c>
      <c r="AN2296" s="2" t="s">
        <v>595</v>
      </c>
      <c r="AO2296" s="2" t="s">
        <v>200</v>
      </c>
      <c r="AP2296" s="2">
        <v>14</v>
      </c>
      <c r="AQ2296" s="2" t="s">
        <v>3301</v>
      </c>
      <c r="AR2296" s="2" t="s">
        <v>596</v>
      </c>
      <c r="AS2296" s="2" t="s">
        <v>596</v>
      </c>
      <c r="AT2296" s="2" t="s">
        <v>7820</v>
      </c>
      <c r="AU2296" s="2"/>
      <c r="AV2296" s="2"/>
      <c r="AW2296" s="2"/>
      <c r="AX2296" s="2"/>
      <c r="AY2296" s="2">
        <v>1</v>
      </c>
      <c r="AZ2296" s="2" t="s">
        <v>107</v>
      </c>
      <c r="BA2296" s="2">
        <v>1</v>
      </c>
      <c r="BB2296" s="2" t="s">
        <v>107</v>
      </c>
      <c r="BC2296" s="2">
        <v>1</v>
      </c>
      <c r="BD2296" s="2" t="s">
        <v>107</v>
      </c>
      <c r="BE2296" s="2">
        <v>4</v>
      </c>
      <c r="BF2296" s="2" t="s">
        <v>90</v>
      </c>
      <c r="BG2296" s="2" t="s">
        <v>5619</v>
      </c>
      <c r="BH2296" s="4">
        <v>0.30902777777777779</v>
      </c>
      <c r="BI2296" s="4">
        <v>0.35347222222222219</v>
      </c>
      <c r="BJ2296" s="2">
        <v>13</v>
      </c>
      <c r="BK2296" s="2" t="s">
        <v>91</v>
      </c>
      <c r="BL2296" s="2" t="s">
        <v>7821</v>
      </c>
      <c r="BM2296" s="2">
        <v>242</v>
      </c>
      <c r="BN2296" s="2" t="s">
        <v>107</v>
      </c>
      <c r="BO2296" s="2" t="s">
        <v>107</v>
      </c>
      <c r="BP2296" s="2">
        <v>13</v>
      </c>
      <c r="BQ2296" s="2" t="s">
        <v>91</v>
      </c>
      <c r="BR2296" s="2" t="s">
        <v>905</v>
      </c>
      <c r="BS2296" s="3">
        <v>40332</v>
      </c>
      <c r="BT2296" s="4">
        <v>0.38347222222222221</v>
      </c>
    </row>
    <row r="2297" spans="1:72" x14ac:dyDescent="0.25">
      <c r="A2297" s="2">
        <v>3354</v>
      </c>
      <c r="B2297" s="2">
        <v>2010</v>
      </c>
      <c r="C2297" s="2" t="s">
        <v>72</v>
      </c>
      <c r="D2297" s="2" t="s">
        <v>122</v>
      </c>
      <c r="E2297" s="2" t="s">
        <v>7822</v>
      </c>
      <c r="F2297" s="2">
        <v>481</v>
      </c>
      <c r="G2297" s="2" t="s">
        <v>1438</v>
      </c>
      <c r="H2297" s="2">
        <v>1</v>
      </c>
      <c r="I2297" s="2" t="s">
        <v>82</v>
      </c>
      <c r="J2297" s="2">
        <v>58</v>
      </c>
      <c r="K2297" s="2" t="s">
        <v>3405</v>
      </c>
      <c r="L2297" s="2" t="s">
        <v>1692</v>
      </c>
      <c r="M2297" s="3">
        <v>40332</v>
      </c>
      <c r="N2297" s="2" t="s">
        <v>6935</v>
      </c>
      <c r="O2297" s="2" t="s">
        <v>7781</v>
      </c>
      <c r="P2297" s="2" t="s">
        <v>82</v>
      </c>
      <c r="Q2297" s="2" t="str">
        <f>"28/10"</f>
        <v>28/10</v>
      </c>
      <c r="R2297" s="2" t="s">
        <v>82</v>
      </c>
      <c r="S2297" s="2" t="s">
        <v>82</v>
      </c>
      <c r="T2297" s="2">
        <v>1</v>
      </c>
      <c r="U2297" s="2" t="s">
        <v>79</v>
      </c>
      <c r="V2297" s="2">
        <v>1</v>
      </c>
      <c r="W2297" s="2" t="s">
        <v>80</v>
      </c>
      <c r="X2297" s="2">
        <v>12</v>
      </c>
      <c r="Y2297" s="2" t="s">
        <v>148</v>
      </c>
      <c r="Z2297" s="2">
        <v>1</v>
      </c>
      <c r="AA2297" s="2" t="s">
        <v>82</v>
      </c>
      <c r="AB2297" s="2">
        <v>6</v>
      </c>
      <c r="AC2297" s="2" t="s">
        <v>83</v>
      </c>
      <c r="AD2297" s="3">
        <v>40331</v>
      </c>
      <c r="AE2297" s="4">
        <v>0.8125</v>
      </c>
      <c r="AF2297" s="3">
        <v>40331</v>
      </c>
      <c r="AG2297" s="4">
        <v>0.84722222222222221</v>
      </c>
      <c r="AH2297" s="2">
        <v>3</v>
      </c>
      <c r="AI2297" s="2" t="s">
        <v>214</v>
      </c>
      <c r="AJ2297" s="2">
        <v>17</v>
      </c>
      <c r="AK2297" s="2" t="s">
        <v>309</v>
      </c>
      <c r="AL2297" s="2">
        <v>25</v>
      </c>
      <c r="AM2297" s="2" t="s">
        <v>3073</v>
      </c>
      <c r="AN2297" s="2" t="s">
        <v>82</v>
      </c>
      <c r="AO2297" s="2" t="s">
        <v>7782</v>
      </c>
      <c r="AP2297" s="2">
        <v>11</v>
      </c>
      <c r="AQ2297" s="2" t="s">
        <v>82</v>
      </c>
      <c r="AR2297" s="2" t="s">
        <v>82</v>
      </c>
      <c r="AS2297" s="2" t="s">
        <v>82</v>
      </c>
      <c r="AT2297" s="2" t="s">
        <v>7823</v>
      </c>
      <c r="AU2297" s="2"/>
      <c r="AV2297" s="2"/>
      <c r="AW2297" s="2"/>
      <c r="AX2297" s="2"/>
      <c r="AY2297" s="2">
        <v>41</v>
      </c>
      <c r="AZ2297" s="2" t="s">
        <v>82</v>
      </c>
      <c r="BA2297" s="2">
        <v>41</v>
      </c>
      <c r="BB2297" s="2" t="s">
        <v>82</v>
      </c>
      <c r="BC2297" s="2">
        <v>41</v>
      </c>
      <c r="BD2297" s="2" t="s">
        <v>82</v>
      </c>
      <c r="BE2297" s="2">
        <v>4</v>
      </c>
      <c r="BF2297" s="2" t="s">
        <v>90</v>
      </c>
      <c r="BG2297" s="2">
        <v>4248</v>
      </c>
      <c r="BH2297" s="4">
        <v>0.80972222222222223</v>
      </c>
      <c r="BI2297" s="4">
        <v>0.70138888888888884</v>
      </c>
      <c r="BJ2297" s="2">
        <v>13</v>
      </c>
      <c r="BK2297" s="2" t="s">
        <v>91</v>
      </c>
      <c r="BL2297" s="2" t="s">
        <v>7784</v>
      </c>
      <c r="BM2297" s="2">
        <v>241</v>
      </c>
      <c r="BN2297" s="2" t="s">
        <v>82</v>
      </c>
      <c r="BO2297" s="2" t="s">
        <v>82</v>
      </c>
      <c r="BP2297" s="2">
        <v>241</v>
      </c>
      <c r="BQ2297" s="2" t="s">
        <v>82</v>
      </c>
      <c r="BR2297" s="2" t="s">
        <v>445</v>
      </c>
      <c r="BS2297" s="3">
        <v>40332</v>
      </c>
      <c r="BT2297" s="4">
        <v>0.53150462962962963</v>
      </c>
    </row>
    <row r="2298" spans="1:72" x14ac:dyDescent="0.25">
      <c r="A2298" s="2">
        <v>3365</v>
      </c>
      <c r="B2298" s="2">
        <v>2010</v>
      </c>
      <c r="C2298" s="2" t="s">
        <v>72</v>
      </c>
      <c r="D2298" s="2" t="s">
        <v>122</v>
      </c>
      <c r="E2298" s="2" t="s">
        <v>7824</v>
      </c>
      <c r="F2298" s="2">
        <v>94</v>
      </c>
      <c r="G2298" s="2" t="s">
        <v>7722</v>
      </c>
      <c r="H2298" s="2">
        <v>60</v>
      </c>
      <c r="I2298" s="2" t="s">
        <v>2704</v>
      </c>
      <c r="J2298" s="2">
        <v>121</v>
      </c>
      <c r="K2298" s="2" t="s">
        <v>7723</v>
      </c>
      <c r="L2298" s="2" t="s">
        <v>7724</v>
      </c>
      <c r="M2298" s="3">
        <v>40332</v>
      </c>
      <c r="N2298" s="2" t="s">
        <v>7725</v>
      </c>
      <c r="O2298" s="2"/>
      <c r="P2298" s="2"/>
      <c r="Q2298" s="2" t="str">
        <f>"0015/2010"</f>
        <v>0015/2010</v>
      </c>
      <c r="R2298" s="2" t="s">
        <v>7825</v>
      </c>
      <c r="S2298" s="2"/>
      <c r="T2298" s="2">
        <v>1</v>
      </c>
      <c r="U2298" s="2" t="s">
        <v>79</v>
      </c>
      <c r="V2298" s="2">
        <v>1</v>
      </c>
      <c r="W2298" s="2" t="s">
        <v>80</v>
      </c>
      <c r="X2298" s="2">
        <v>12</v>
      </c>
      <c r="Y2298" s="2" t="s">
        <v>148</v>
      </c>
      <c r="Z2298" s="2">
        <v>1</v>
      </c>
      <c r="AA2298" s="2" t="s">
        <v>82</v>
      </c>
      <c r="AB2298" s="2">
        <v>6</v>
      </c>
      <c r="AC2298" s="2" t="s">
        <v>83</v>
      </c>
      <c r="AD2298" s="3">
        <v>40330</v>
      </c>
      <c r="AE2298" s="4">
        <v>0.5</v>
      </c>
      <c r="AF2298" s="3">
        <v>40330</v>
      </c>
      <c r="AG2298" s="4">
        <v>0.74305555555555547</v>
      </c>
      <c r="AH2298" s="2">
        <v>6</v>
      </c>
      <c r="AI2298" s="2" t="s">
        <v>197</v>
      </c>
      <c r="AJ2298" s="2">
        <v>50</v>
      </c>
      <c r="AK2298" s="2" t="s">
        <v>330</v>
      </c>
      <c r="AL2298" s="2">
        <v>21</v>
      </c>
      <c r="AM2298" s="2" t="s">
        <v>1311</v>
      </c>
      <c r="AN2298" s="2" t="s">
        <v>7727</v>
      </c>
      <c r="AO2298" s="2" t="s">
        <v>5754</v>
      </c>
      <c r="AP2298" s="2">
        <v>11</v>
      </c>
      <c r="AQ2298" s="2" t="s">
        <v>82</v>
      </c>
      <c r="AR2298" s="2"/>
      <c r="AS2298" s="2"/>
      <c r="AT2298" s="2" t="s">
        <v>7826</v>
      </c>
      <c r="AU2298" s="2"/>
      <c r="AV2298" s="2"/>
      <c r="AW2298" s="2"/>
      <c r="AX2298" s="2"/>
      <c r="AY2298" s="2">
        <v>41</v>
      </c>
      <c r="AZ2298" s="2" t="s">
        <v>82</v>
      </c>
      <c r="BA2298" s="2">
        <v>41</v>
      </c>
      <c r="BB2298" s="2" t="s">
        <v>82</v>
      </c>
      <c r="BC2298" s="2">
        <v>41</v>
      </c>
      <c r="BD2298" s="2" t="s">
        <v>82</v>
      </c>
      <c r="BE2298" s="2">
        <v>41</v>
      </c>
      <c r="BF2298" s="2" t="s">
        <v>82</v>
      </c>
      <c r="BG2298" s="2"/>
      <c r="BH2298" s="2"/>
      <c r="BI2298" s="2"/>
      <c r="BJ2298" s="2">
        <v>241</v>
      </c>
      <c r="BK2298" s="2" t="s">
        <v>82</v>
      </c>
      <c r="BL2298" s="2"/>
      <c r="BM2298" s="2">
        <v>241</v>
      </c>
      <c r="BN2298" s="2" t="s">
        <v>82</v>
      </c>
      <c r="BO2298" s="2"/>
      <c r="BP2298" s="2">
        <v>241</v>
      </c>
      <c r="BQ2298" s="2" t="s">
        <v>82</v>
      </c>
      <c r="BR2298" s="2"/>
      <c r="BS2298" s="3">
        <v>40332</v>
      </c>
      <c r="BT2298" s="4">
        <v>0.64645833333333336</v>
      </c>
    </row>
    <row r="2299" spans="1:72" x14ac:dyDescent="0.25">
      <c r="A2299" s="2">
        <v>3366</v>
      </c>
      <c r="B2299" s="2">
        <v>2010</v>
      </c>
      <c r="C2299" s="2" t="s">
        <v>147</v>
      </c>
      <c r="D2299" s="2" t="s">
        <v>73</v>
      </c>
      <c r="E2299" s="2"/>
      <c r="F2299" s="2">
        <v>1</v>
      </c>
      <c r="G2299" s="2" t="s">
        <v>82</v>
      </c>
      <c r="H2299" s="2">
        <v>1</v>
      </c>
      <c r="I2299" s="2" t="s">
        <v>82</v>
      </c>
      <c r="J2299" s="2">
        <v>1</v>
      </c>
      <c r="K2299" s="2" t="s">
        <v>107</v>
      </c>
      <c r="L2299" s="2" t="s">
        <v>107</v>
      </c>
      <c r="M2299" s="3">
        <v>40332</v>
      </c>
      <c r="N2299" s="2" t="s">
        <v>82</v>
      </c>
      <c r="O2299" s="2" t="s">
        <v>82</v>
      </c>
      <c r="P2299" s="2" t="s">
        <v>82</v>
      </c>
      <c r="Q2299" s="2" t="str">
        <f>"AP 0005/2010"</f>
        <v>AP 0005/2010</v>
      </c>
      <c r="R2299" s="2" t="s">
        <v>82</v>
      </c>
      <c r="S2299" s="2" t="s">
        <v>82</v>
      </c>
      <c r="T2299" s="2">
        <v>2</v>
      </c>
      <c r="U2299" s="2" t="s">
        <v>123</v>
      </c>
      <c r="V2299" s="2">
        <v>1</v>
      </c>
      <c r="W2299" s="2" t="s">
        <v>80</v>
      </c>
      <c r="X2299" s="2">
        <v>12</v>
      </c>
      <c r="Y2299" s="2" t="s">
        <v>148</v>
      </c>
      <c r="Z2299" s="2">
        <v>1</v>
      </c>
      <c r="AA2299" s="2" t="s">
        <v>82</v>
      </c>
      <c r="AB2299" s="2">
        <v>9</v>
      </c>
      <c r="AC2299" s="2" t="s">
        <v>124</v>
      </c>
      <c r="AD2299" s="3">
        <v>40331</v>
      </c>
      <c r="AE2299" s="2"/>
      <c r="AF2299" s="3">
        <v>40332</v>
      </c>
      <c r="AG2299" s="4">
        <v>0.57847222222222217</v>
      </c>
      <c r="AH2299" s="2">
        <v>5</v>
      </c>
      <c r="AI2299" s="2" t="s">
        <v>274</v>
      </c>
      <c r="AJ2299" s="2">
        <v>45</v>
      </c>
      <c r="AK2299" s="2" t="s">
        <v>834</v>
      </c>
      <c r="AL2299" s="2">
        <v>19</v>
      </c>
      <c r="AM2299" s="2" t="s">
        <v>107</v>
      </c>
      <c r="AN2299" s="2"/>
      <c r="AO2299" s="2" t="s">
        <v>7827</v>
      </c>
      <c r="AP2299" s="2">
        <v>11</v>
      </c>
      <c r="AQ2299" s="2" t="s">
        <v>82</v>
      </c>
      <c r="AR2299" s="2" t="s">
        <v>82</v>
      </c>
      <c r="AS2299" s="2" t="s">
        <v>82</v>
      </c>
      <c r="AT2299" s="2" t="s">
        <v>7828</v>
      </c>
      <c r="AU2299" s="2"/>
      <c r="AV2299" s="2"/>
      <c r="AW2299" s="2"/>
      <c r="AX2299" s="2"/>
      <c r="AY2299" s="2">
        <v>70</v>
      </c>
      <c r="AZ2299" s="2" t="s">
        <v>236</v>
      </c>
      <c r="BA2299" s="2">
        <v>41</v>
      </c>
      <c r="BB2299" s="2" t="s">
        <v>82</v>
      </c>
      <c r="BC2299" s="2">
        <v>41</v>
      </c>
      <c r="BD2299" s="2" t="s">
        <v>82</v>
      </c>
      <c r="BE2299" s="2">
        <v>1</v>
      </c>
      <c r="BF2299" s="2" t="s">
        <v>107</v>
      </c>
      <c r="BG2299" s="2" t="s">
        <v>82</v>
      </c>
      <c r="BH2299" s="2"/>
      <c r="BI2299" s="2"/>
      <c r="BJ2299" s="2">
        <v>241</v>
      </c>
      <c r="BK2299" s="2" t="s">
        <v>82</v>
      </c>
      <c r="BL2299" s="2" t="s">
        <v>82</v>
      </c>
      <c r="BM2299" s="2">
        <v>241</v>
      </c>
      <c r="BN2299" s="2" t="s">
        <v>82</v>
      </c>
      <c r="BO2299" s="2" t="s">
        <v>82</v>
      </c>
      <c r="BP2299" s="2">
        <v>241</v>
      </c>
      <c r="BQ2299" s="2" t="s">
        <v>82</v>
      </c>
      <c r="BR2299" s="2" t="s">
        <v>82</v>
      </c>
      <c r="BS2299" s="3">
        <v>40332</v>
      </c>
      <c r="BT2299" s="4">
        <v>0.68442129629629633</v>
      </c>
    </row>
    <row r="2300" spans="1:72" x14ac:dyDescent="0.25">
      <c r="A2300" s="2">
        <v>3367</v>
      </c>
      <c r="B2300" s="2">
        <v>2010</v>
      </c>
      <c r="C2300" s="2" t="s">
        <v>171</v>
      </c>
      <c r="D2300" s="2" t="s">
        <v>73</v>
      </c>
      <c r="E2300" s="2" t="s">
        <v>7829</v>
      </c>
      <c r="F2300" s="2">
        <v>451</v>
      </c>
      <c r="G2300" s="2" t="s">
        <v>879</v>
      </c>
      <c r="H2300" s="2">
        <v>31</v>
      </c>
      <c r="I2300" s="2" t="s">
        <v>880</v>
      </c>
      <c r="J2300" s="2">
        <v>326</v>
      </c>
      <c r="K2300" s="2" t="s">
        <v>881</v>
      </c>
      <c r="L2300" s="2" t="s">
        <v>882</v>
      </c>
      <c r="M2300" s="3">
        <v>40332</v>
      </c>
      <c r="N2300" s="2" t="s">
        <v>6862</v>
      </c>
      <c r="O2300" s="2" t="s">
        <v>3243</v>
      </c>
      <c r="P2300" s="2" t="s">
        <v>7830</v>
      </c>
      <c r="Q2300" s="2" t="str">
        <f>"053/10"</f>
        <v>053/10</v>
      </c>
      <c r="R2300" s="2" t="s">
        <v>822</v>
      </c>
      <c r="S2300" s="2"/>
      <c r="T2300" s="2">
        <v>1</v>
      </c>
      <c r="U2300" s="2" t="s">
        <v>79</v>
      </c>
      <c r="V2300" s="2">
        <v>1</v>
      </c>
      <c r="W2300" s="2" t="s">
        <v>80</v>
      </c>
      <c r="X2300" s="2">
        <v>1</v>
      </c>
      <c r="Y2300" s="2" t="s">
        <v>81</v>
      </c>
      <c r="Z2300" s="2">
        <v>1</v>
      </c>
      <c r="AA2300" s="2" t="s">
        <v>82</v>
      </c>
      <c r="AB2300" s="2">
        <v>1</v>
      </c>
      <c r="AC2300" s="2" t="s">
        <v>178</v>
      </c>
      <c r="AD2300" s="3">
        <v>40332</v>
      </c>
      <c r="AE2300" s="4">
        <v>0.66666666666666663</v>
      </c>
      <c r="AF2300" s="2"/>
      <c r="AG2300" s="2"/>
      <c r="AH2300" s="2">
        <v>4</v>
      </c>
      <c r="AI2300" s="2" t="s">
        <v>125</v>
      </c>
      <c r="AJ2300" s="2">
        <v>29</v>
      </c>
      <c r="AK2300" s="2" t="s">
        <v>227</v>
      </c>
      <c r="AL2300" s="2">
        <v>16</v>
      </c>
      <c r="AM2300" s="2" t="s">
        <v>392</v>
      </c>
      <c r="AN2300" s="2" t="s">
        <v>6877</v>
      </c>
      <c r="AO2300" s="2"/>
      <c r="AP2300" s="2">
        <v>12</v>
      </c>
      <c r="AQ2300" s="2" t="s">
        <v>322</v>
      </c>
      <c r="AR2300" s="2" t="s">
        <v>824</v>
      </c>
      <c r="AS2300" s="2" t="s">
        <v>884</v>
      </c>
      <c r="AT2300" s="2" t="s">
        <v>7831</v>
      </c>
      <c r="AU2300" s="2"/>
      <c r="AV2300" s="2"/>
      <c r="AW2300" s="2"/>
      <c r="AX2300" s="2"/>
      <c r="AY2300" s="2">
        <v>41</v>
      </c>
      <c r="AZ2300" s="2" t="s">
        <v>82</v>
      </c>
      <c r="BA2300" s="2">
        <v>41</v>
      </c>
      <c r="BB2300" s="2" t="s">
        <v>82</v>
      </c>
      <c r="BC2300" s="2">
        <v>41</v>
      </c>
      <c r="BD2300" s="2" t="s">
        <v>82</v>
      </c>
      <c r="BE2300" s="2">
        <v>13</v>
      </c>
      <c r="BF2300" s="2" t="s">
        <v>108</v>
      </c>
      <c r="BG2300" s="2">
        <v>1459</v>
      </c>
      <c r="BH2300" s="4">
        <v>0.89583333333333337</v>
      </c>
      <c r="BI2300" s="4">
        <v>0.92361111111111116</v>
      </c>
      <c r="BJ2300" s="2">
        <v>13</v>
      </c>
      <c r="BK2300" s="2" t="s">
        <v>91</v>
      </c>
      <c r="BL2300" s="2" t="s">
        <v>828</v>
      </c>
      <c r="BM2300" s="2">
        <v>241</v>
      </c>
      <c r="BN2300" s="2" t="s">
        <v>82</v>
      </c>
      <c r="BO2300" s="2" t="s">
        <v>82</v>
      </c>
      <c r="BP2300" s="2">
        <v>13</v>
      </c>
      <c r="BQ2300" s="2" t="s">
        <v>91</v>
      </c>
      <c r="BR2300" s="2" t="s">
        <v>1108</v>
      </c>
      <c r="BS2300" s="3">
        <v>40332</v>
      </c>
      <c r="BT2300" s="4">
        <v>0.69199074074074074</v>
      </c>
    </row>
    <row r="2301" spans="1:72" x14ac:dyDescent="0.25">
      <c r="A2301" s="2">
        <v>3368</v>
      </c>
      <c r="B2301" s="2">
        <v>2010</v>
      </c>
      <c r="C2301" s="2" t="s">
        <v>1094</v>
      </c>
      <c r="D2301" s="2" t="s">
        <v>73</v>
      </c>
      <c r="E2301" s="2"/>
      <c r="F2301" s="2">
        <v>110</v>
      </c>
      <c r="G2301" s="2" t="s">
        <v>7444</v>
      </c>
      <c r="H2301" s="2">
        <v>47</v>
      </c>
      <c r="I2301" s="2" t="s">
        <v>1409</v>
      </c>
      <c r="J2301" s="2">
        <v>126</v>
      </c>
      <c r="K2301" s="2" t="s">
        <v>7445</v>
      </c>
      <c r="L2301" s="2" t="s">
        <v>7446</v>
      </c>
      <c r="M2301" s="3">
        <v>40332</v>
      </c>
      <c r="N2301" s="2" t="s">
        <v>7832</v>
      </c>
      <c r="O2301" s="2" t="s">
        <v>7833</v>
      </c>
      <c r="P2301" s="2" t="s">
        <v>7834</v>
      </c>
      <c r="Q2301" s="2" t="str">
        <f>"0004/2010"</f>
        <v>0004/2010</v>
      </c>
      <c r="R2301" s="2" t="s">
        <v>107</v>
      </c>
      <c r="S2301" s="2" t="s">
        <v>7835</v>
      </c>
      <c r="T2301" s="2">
        <v>1</v>
      </c>
      <c r="U2301" s="2" t="s">
        <v>79</v>
      </c>
      <c r="V2301" s="2">
        <v>1</v>
      </c>
      <c r="W2301" s="2" t="s">
        <v>80</v>
      </c>
      <c r="X2301" s="2">
        <v>12</v>
      </c>
      <c r="Y2301" s="2" t="s">
        <v>148</v>
      </c>
      <c r="Z2301" s="2">
        <v>1</v>
      </c>
      <c r="AA2301" s="2" t="s">
        <v>82</v>
      </c>
      <c r="AB2301" s="2">
        <v>9</v>
      </c>
      <c r="AC2301" s="2" t="s">
        <v>124</v>
      </c>
      <c r="AD2301" s="3">
        <v>40332</v>
      </c>
      <c r="AE2301" s="4">
        <v>0.61111111111111105</v>
      </c>
      <c r="AF2301" s="2"/>
      <c r="AG2301" s="2"/>
      <c r="AH2301" s="2">
        <v>6</v>
      </c>
      <c r="AI2301" s="2" t="s">
        <v>197</v>
      </c>
      <c r="AJ2301" s="2">
        <v>57</v>
      </c>
      <c r="AK2301" s="2" t="s">
        <v>2344</v>
      </c>
      <c r="AL2301" s="2">
        <v>23</v>
      </c>
      <c r="AM2301" s="2" t="s">
        <v>251</v>
      </c>
      <c r="AN2301" s="2"/>
      <c r="AO2301" s="2"/>
      <c r="AP2301" s="2">
        <v>11</v>
      </c>
      <c r="AQ2301" s="2" t="s">
        <v>82</v>
      </c>
      <c r="AR2301" s="2"/>
      <c r="AS2301" s="2"/>
      <c r="AT2301" s="2" t="s">
        <v>7836</v>
      </c>
      <c r="AU2301" s="2"/>
      <c r="AV2301" s="2"/>
      <c r="AW2301" s="2"/>
      <c r="AX2301" s="2"/>
      <c r="AY2301" s="2">
        <v>1</v>
      </c>
      <c r="AZ2301" s="2" t="s">
        <v>107</v>
      </c>
      <c r="BA2301" s="2">
        <v>1</v>
      </c>
      <c r="BB2301" s="2" t="s">
        <v>107</v>
      </c>
      <c r="BC2301" s="2">
        <v>1</v>
      </c>
      <c r="BD2301" s="2" t="s">
        <v>107</v>
      </c>
      <c r="BE2301" s="2">
        <v>1</v>
      </c>
      <c r="BF2301" s="2" t="s">
        <v>107</v>
      </c>
      <c r="BG2301" s="2"/>
      <c r="BH2301" s="2"/>
      <c r="BI2301" s="2"/>
      <c r="BJ2301" s="2">
        <v>242</v>
      </c>
      <c r="BK2301" s="2" t="s">
        <v>107</v>
      </c>
      <c r="BL2301" s="2"/>
      <c r="BM2301" s="2">
        <v>242</v>
      </c>
      <c r="BN2301" s="2" t="s">
        <v>107</v>
      </c>
      <c r="BO2301" s="2"/>
      <c r="BP2301" s="2">
        <v>242</v>
      </c>
      <c r="BQ2301" s="2" t="s">
        <v>107</v>
      </c>
      <c r="BR2301" s="2"/>
      <c r="BS2301" s="3">
        <v>40332</v>
      </c>
      <c r="BT2301" s="4">
        <v>0.70873842592592595</v>
      </c>
    </row>
    <row r="2302" spans="1:72" x14ac:dyDescent="0.25">
      <c r="A2302" s="2">
        <v>3370</v>
      </c>
      <c r="B2302" s="2">
        <v>2010</v>
      </c>
      <c r="C2302" s="2" t="s">
        <v>171</v>
      </c>
      <c r="D2302" s="2" t="s">
        <v>73</v>
      </c>
      <c r="E2302" s="2"/>
      <c r="F2302" s="2">
        <v>540</v>
      </c>
      <c r="G2302" s="2" t="s">
        <v>7178</v>
      </c>
      <c r="H2302" s="2">
        <v>4</v>
      </c>
      <c r="I2302" s="2" t="s">
        <v>173</v>
      </c>
      <c r="J2302" s="2">
        <v>164</v>
      </c>
      <c r="K2302" s="2" t="s">
        <v>3254</v>
      </c>
      <c r="L2302" s="2" t="s">
        <v>946</v>
      </c>
      <c r="M2302" s="3">
        <v>40332</v>
      </c>
      <c r="N2302" s="2" t="s">
        <v>7837</v>
      </c>
      <c r="O2302" s="2"/>
      <c r="P2302" s="2"/>
      <c r="Q2302" s="2" t="str">
        <f>"199-A/10"</f>
        <v>199-A/10</v>
      </c>
      <c r="R2302" s="2"/>
      <c r="S2302" s="2" t="s">
        <v>489</v>
      </c>
      <c r="T2302" s="2">
        <v>1</v>
      </c>
      <c r="U2302" s="2" t="s">
        <v>79</v>
      </c>
      <c r="V2302" s="2">
        <v>1</v>
      </c>
      <c r="W2302" s="2" t="s">
        <v>80</v>
      </c>
      <c r="X2302" s="2">
        <v>1</v>
      </c>
      <c r="Y2302" s="2" t="s">
        <v>81</v>
      </c>
      <c r="Z2302" s="2">
        <v>1</v>
      </c>
      <c r="AA2302" s="2" t="s">
        <v>82</v>
      </c>
      <c r="AB2302" s="2">
        <v>1</v>
      </c>
      <c r="AC2302" s="2" t="s">
        <v>178</v>
      </c>
      <c r="AD2302" s="3">
        <v>40332</v>
      </c>
      <c r="AE2302" s="4">
        <v>0.4548611111111111</v>
      </c>
      <c r="AF2302" s="2"/>
      <c r="AG2302" s="2"/>
      <c r="AH2302" s="2">
        <v>2</v>
      </c>
      <c r="AI2302" s="2" t="s">
        <v>84</v>
      </c>
      <c r="AJ2302" s="2">
        <v>12</v>
      </c>
      <c r="AK2302" s="2" t="s">
        <v>85</v>
      </c>
      <c r="AL2302" s="2">
        <v>11</v>
      </c>
      <c r="AM2302" s="2" t="s">
        <v>137</v>
      </c>
      <c r="AN2302" s="2" t="s">
        <v>7838</v>
      </c>
      <c r="AO2302" s="2" t="s">
        <v>7839</v>
      </c>
      <c r="AP2302" s="2">
        <v>11</v>
      </c>
      <c r="AQ2302" s="2" t="s">
        <v>82</v>
      </c>
      <c r="AR2302" s="2"/>
      <c r="AS2302" s="2"/>
      <c r="AT2302" s="2" t="s">
        <v>7840</v>
      </c>
      <c r="AU2302" s="2">
        <v>1</v>
      </c>
      <c r="AV2302" s="2"/>
      <c r="AW2302" s="2"/>
      <c r="AX2302" s="2"/>
      <c r="AY2302" s="2">
        <v>42</v>
      </c>
      <c r="AZ2302" s="2" t="s">
        <v>182</v>
      </c>
      <c r="BA2302" s="2">
        <v>41</v>
      </c>
      <c r="BB2302" s="2" t="s">
        <v>82</v>
      </c>
      <c r="BC2302" s="2">
        <v>41</v>
      </c>
      <c r="BD2302" s="2" t="s">
        <v>82</v>
      </c>
      <c r="BE2302" s="2">
        <v>47</v>
      </c>
      <c r="BF2302" s="2" t="s">
        <v>167</v>
      </c>
      <c r="BG2302" s="2" t="s">
        <v>7841</v>
      </c>
      <c r="BH2302" s="2"/>
      <c r="BI2302" s="4">
        <v>0.4826388888888889</v>
      </c>
      <c r="BJ2302" s="2">
        <v>13</v>
      </c>
      <c r="BK2302" s="2" t="s">
        <v>91</v>
      </c>
      <c r="BL2302" s="2" t="s">
        <v>564</v>
      </c>
      <c r="BM2302" s="2">
        <v>241</v>
      </c>
      <c r="BN2302" s="2" t="s">
        <v>82</v>
      </c>
      <c r="BO2302" s="2"/>
      <c r="BP2302" s="2">
        <v>13</v>
      </c>
      <c r="BQ2302" s="2" t="s">
        <v>91</v>
      </c>
      <c r="BR2302" s="2" t="s">
        <v>169</v>
      </c>
      <c r="BS2302" s="3">
        <v>40332</v>
      </c>
      <c r="BT2302" s="4">
        <v>0.74331018518518521</v>
      </c>
    </row>
    <row r="2303" spans="1:72" x14ac:dyDescent="0.25">
      <c r="A2303" s="2">
        <v>3371</v>
      </c>
      <c r="B2303" s="2">
        <v>2010</v>
      </c>
      <c r="C2303" s="2" t="s">
        <v>377</v>
      </c>
      <c r="D2303" s="2" t="s">
        <v>73</v>
      </c>
      <c r="E2303" s="2"/>
      <c r="F2303" s="2">
        <v>426</v>
      </c>
      <c r="G2303" s="2" t="s">
        <v>378</v>
      </c>
      <c r="H2303" s="2">
        <v>22</v>
      </c>
      <c r="I2303" s="2" t="s">
        <v>75</v>
      </c>
      <c r="J2303" s="2">
        <v>311</v>
      </c>
      <c r="K2303" s="2" t="s">
        <v>379</v>
      </c>
      <c r="L2303" s="2" t="s">
        <v>380</v>
      </c>
      <c r="M2303" s="3">
        <v>40332</v>
      </c>
      <c r="N2303" s="2" t="s">
        <v>7842</v>
      </c>
      <c r="O2303" s="2"/>
      <c r="P2303" s="2"/>
      <c r="Q2303" s="2" t="str">
        <f>"105-C/10"</f>
        <v>105-C/10</v>
      </c>
      <c r="R2303" s="2" t="s">
        <v>3458</v>
      </c>
      <c r="S2303" s="2"/>
      <c r="T2303" s="2">
        <v>1</v>
      </c>
      <c r="U2303" s="2" t="s">
        <v>79</v>
      </c>
      <c r="V2303" s="2">
        <v>1</v>
      </c>
      <c r="W2303" s="2" t="s">
        <v>80</v>
      </c>
      <c r="X2303" s="2">
        <v>1</v>
      </c>
      <c r="Y2303" s="2" t="s">
        <v>81</v>
      </c>
      <c r="Z2303" s="2">
        <v>1</v>
      </c>
      <c r="AA2303" s="2" t="s">
        <v>82</v>
      </c>
      <c r="AB2303" s="2">
        <v>9</v>
      </c>
      <c r="AC2303" s="2" t="s">
        <v>124</v>
      </c>
      <c r="AD2303" s="3">
        <v>40332</v>
      </c>
      <c r="AE2303" s="4">
        <v>0.6875</v>
      </c>
      <c r="AF2303" s="2"/>
      <c r="AG2303" s="2"/>
      <c r="AH2303" s="2">
        <v>2</v>
      </c>
      <c r="AI2303" s="2" t="s">
        <v>84</v>
      </c>
      <c r="AJ2303" s="2">
        <v>9</v>
      </c>
      <c r="AK2303" s="2" t="s">
        <v>103</v>
      </c>
      <c r="AL2303" s="2">
        <v>21</v>
      </c>
      <c r="AM2303" s="2" t="s">
        <v>1311</v>
      </c>
      <c r="AN2303" s="2"/>
      <c r="AO2303" s="2" t="s">
        <v>7843</v>
      </c>
      <c r="AP2303" s="2">
        <v>11</v>
      </c>
      <c r="AQ2303" s="2" t="s">
        <v>82</v>
      </c>
      <c r="AR2303" s="2"/>
      <c r="AS2303" s="2"/>
      <c r="AT2303" s="2" t="s">
        <v>7844</v>
      </c>
      <c r="AU2303" s="2"/>
      <c r="AV2303" s="2"/>
      <c r="AW2303" s="2"/>
      <c r="AX2303" s="2"/>
      <c r="AY2303" s="2">
        <v>41</v>
      </c>
      <c r="AZ2303" s="2" t="s">
        <v>82</v>
      </c>
      <c r="BA2303" s="2">
        <v>41</v>
      </c>
      <c r="BB2303" s="2" t="s">
        <v>82</v>
      </c>
      <c r="BC2303" s="2">
        <v>41</v>
      </c>
      <c r="BD2303" s="2" t="s">
        <v>82</v>
      </c>
      <c r="BE2303" s="2">
        <v>41</v>
      </c>
      <c r="BF2303" s="2" t="s">
        <v>82</v>
      </c>
      <c r="BG2303" s="2"/>
      <c r="BH2303" s="2"/>
      <c r="BI2303" s="2"/>
      <c r="BJ2303" s="2">
        <v>241</v>
      </c>
      <c r="BK2303" s="2" t="s">
        <v>82</v>
      </c>
      <c r="BL2303" s="2"/>
      <c r="BM2303" s="2">
        <v>241</v>
      </c>
      <c r="BN2303" s="2" t="s">
        <v>82</v>
      </c>
      <c r="BO2303" s="2"/>
      <c r="BP2303" s="2">
        <v>241</v>
      </c>
      <c r="BQ2303" s="2" t="s">
        <v>82</v>
      </c>
      <c r="BR2303" s="2"/>
      <c r="BS2303" s="3">
        <v>40332</v>
      </c>
      <c r="BT2303" s="4">
        <v>0.75282407407407403</v>
      </c>
    </row>
    <row r="2304" spans="1:72" x14ac:dyDescent="0.25">
      <c r="A2304" s="2">
        <v>3372</v>
      </c>
      <c r="B2304" s="2">
        <v>2010</v>
      </c>
      <c r="C2304" s="2" t="s">
        <v>171</v>
      </c>
      <c r="D2304" s="2" t="s">
        <v>73</v>
      </c>
      <c r="E2304" s="2"/>
      <c r="F2304" s="2">
        <v>390</v>
      </c>
      <c r="G2304" s="2" t="s">
        <v>475</v>
      </c>
      <c r="H2304" s="2">
        <v>71</v>
      </c>
      <c r="I2304" s="2" t="s">
        <v>335</v>
      </c>
      <c r="J2304" s="2">
        <v>533</v>
      </c>
      <c r="K2304" s="2" t="s">
        <v>6511</v>
      </c>
      <c r="L2304" s="2" t="s">
        <v>478</v>
      </c>
      <c r="M2304" s="3">
        <v>40332</v>
      </c>
      <c r="N2304" s="2" t="s">
        <v>7806</v>
      </c>
      <c r="O2304" s="2" t="s">
        <v>7845</v>
      </c>
      <c r="P2304" s="2">
        <v>1090</v>
      </c>
      <c r="Q2304" s="2" t="str">
        <f>""</f>
        <v/>
      </c>
      <c r="R2304" s="2"/>
      <c r="S2304" s="2"/>
      <c r="T2304" s="2">
        <v>1</v>
      </c>
      <c r="U2304" s="2" t="s">
        <v>79</v>
      </c>
      <c r="V2304" s="2">
        <v>1</v>
      </c>
      <c r="W2304" s="2" t="s">
        <v>80</v>
      </c>
      <c r="X2304" s="2">
        <v>9</v>
      </c>
      <c r="Y2304" s="2" t="s">
        <v>3393</v>
      </c>
      <c r="Z2304" s="2">
        <v>1</v>
      </c>
      <c r="AA2304" s="2" t="s">
        <v>82</v>
      </c>
      <c r="AB2304" s="2">
        <v>1</v>
      </c>
      <c r="AC2304" s="2" t="s">
        <v>178</v>
      </c>
      <c r="AD2304" s="3">
        <v>40331</v>
      </c>
      <c r="AE2304" s="4">
        <v>0.875</v>
      </c>
      <c r="AF2304" s="2"/>
      <c r="AG2304" s="2"/>
      <c r="AH2304" s="2">
        <v>2</v>
      </c>
      <c r="AI2304" s="2" t="s">
        <v>84</v>
      </c>
      <c r="AJ2304" s="2">
        <v>6</v>
      </c>
      <c r="AK2304" s="2" t="s">
        <v>453</v>
      </c>
      <c r="AL2304" s="2">
        <v>23</v>
      </c>
      <c r="AM2304" s="2" t="s">
        <v>251</v>
      </c>
      <c r="AN2304" s="2" t="s">
        <v>7846</v>
      </c>
      <c r="AO2304" s="2" t="s">
        <v>1226</v>
      </c>
      <c r="AP2304" s="2">
        <v>11</v>
      </c>
      <c r="AQ2304" s="2" t="s">
        <v>82</v>
      </c>
      <c r="AR2304" s="2"/>
      <c r="AS2304" s="2"/>
      <c r="AT2304" s="2" t="s">
        <v>7847</v>
      </c>
      <c r="AU2304" s="2"/>
      <c r="AV2304" s="2">
        <v>5</v>
      </c>
      <c r="AW2304" s="2"/>
      <c r="AX2304" s="2"/>
      <c r="AY2304" s="2">
        <v>42</v>
      </c>
      <c r="AZ2304" s="2" t="s">
        <v>182</v>
      </c>
      <c r="BA2304" s="2">
        <v>41</v>
      </c>
      <c r="BB2304" s="2" t="s">
        <v>82</v>
      </c>
      <c r="BC2304" s="2">
        <v>41</v>
      </c>
      <c r="BD2304" s="2" t="s">
        <v>82</v>
      </c>
      <c r="BE2304" s="2">
        <v>41</v>
      </c>
      <c r="BF2304" s="2" t="s">
        <v>82</v>
      </c>
      <c r="BG2304" s="2"/>
      <c r="BH2304" s="2"/>
      <c r="BI2304" s="2"/>
      <c r="BJ2304" s="2">
        <v>241</v>
      </c>
      <c r="BK2304" s="2" t="s">
        <v>82</v>
      </c>
      <c r="BL2304" s="2"/>
      <c r="BM2304" s="2">
        <v>241</v>
      </c>
      <c r="BN2304" s="2" t="s">
        <v>82</v>
      </c>
      <c r="BO2304" s="2"/>
      <c r="BP2304" s="2">
        <v>241</v>
      </c>
      <c r="BQ2304" s="2" t="s">
        <v>82</v>
      </c>
      <c r="BR2304" s="2"/>
      <c r="BS2304" s="3">
        <v>40332</v>
      </c>
      <c r="BT2304" s="4">
        <v>0.76877314814814823</v>
      </c>
    </row>
    <row r="2305" spans="1:72" x14ac:dyDescent="0.25">
      <c r="A2305" s="2">
        <v>3374</v>
      </c>
      <c r="B2305" s="2">
        <v>2010</v>
      </c>
      <c r="C2305" s="2" t="s">
        <v>171</v>
      </c>
      <c r="D2305" s="2" t="s">
        <v>122</v>
      </c>
      <c r="E2305" s="2" t="s">
        <v>7848</v>
      </c>
      <c r="F2305" s="2">
        <v>390</v>
      </c>
      <c r="G2305" s="2" t="s">
        <v>475</v>
      </c>
      <c r="H2305" s="2">
        <v>71</v>
      </c>
      <c r="I2305" s="2" t="s">
        <v>335</v>
      </c>
      <c r="J2305" s="2">
        <v>533</v>
      </c>
      <c r="K2305" s="2" t="s">
        <v>6511</v>
      </c>
      <c r="L2305" s="2" t="s">
        <v>478</v>
      </c>
      <c r="M2305" s="3">
        <v>40332</v>
      </c>
      <c r="N2305" s="2" t="s">
        <v>7806</v>
      </c>
      <c r="O2305" s="2" t="s">
        <v>7807</v>
      </c>
      <c r="P2305" s="2">
        <v>1090</v>
      </c>
      <c r="Q2305" s="2" t="str">
        <f>""</f>
        <v/>
      </c>
      <c r="R2305" s="2"/>
      <c r="S2305" s="2"/>
      <c r="T2305" s="2">
        <v>1</v>
      </c>
      <c r="U2305" s="2" t="s">
        <v>79</v>
      </c>
      <c r="V2305" s="2">
        <v>1</v>
      </c>
      <c r="W2305" s="2" t="s">
        <v>80</v>
      </c>
      <c r="X2305" s="2">
        <v>6</v>
      </c>
      <c r="Y2305" s="2" t="s">
        <v>249</v>
      </c>
      <c r="Z2305" s="2">
        <v>10</v>
      </c>
      <c r="AA2305" s="2" t="s">
        <v>236</v>
      </c>
      <c r="AB2305" s="2">
        <v>1</v>
      </c>
      <c r="AC2305" s="2" t="s">
        <v>178</v>
      </c>
      <c r="AD2305" s="3">
        <v>40331</v>
      </c>
      <c r="AE2305" s="4">
        <v>0.70833333333333337</v>
      </c>
      <c r="AF2305" s="2"/>
      <c r="AG2305" s="2"/>
      <c r="AH2305" s="2">
        <v>2</v>
      </c>
      <c r="AI2305" s="2" t="s">
        <v>84</v>
      </c>
      <c r="AJ2305" s="2">
        <v>6</v>
      </c>
      <c r="AK2305" s="2" t="s">
        <v>453</v>
      </c>
      <c r="AL2305" s="2">
        <v>22</v>
      </c>
      <c r="AM2305" s="2" t="s">
        <v>1853</v>
      </c>
      <c r="AN2305" s="2"/>
      <c r="AO2305" s="2"/>
      <c r="AP2305" s="2">
        <v>11</v>
      </c>
      <c r="AQ2305" s="2" t="s">
        <v>82</v>
      </c>
      <c r="AR2305" s="2"/>
      <c r="AS2305" s="2"/>
      <c r="AT2305" s="2" t="s">
        <v>7849</v>
      </c>
      <c r="AU2305" s="2"/>
      <c r="AV2305" s="2">
        <v>1</v>
      </c>
      <c r="AW2305" s="2"/>
      <c r="AX2305" s="2"/>
      <c r="AY2305" s="2">
        <v>42</v>
      </c>
      <c r="AZ2305" s="2" t="s">
        <v>182</v>
      </c>
      <c r="BA2305" s="2">
        <v>70</v>
      </c>
      <c r="BB2305" s="2" t="s">
        <v>236</v>
      </c>
      <c r="BC2305" s="2">
        <v>70</v>
      </c>
      <c r="BD2305" s="2" t="s">
        <v>236</v>
      </c>
      <c r="BE2305" s="2">
        <v>18</v>
      </c>
      <c r="BF2305" s="2" t="s">
        <v>1091</v>
      </c>
      <c r="BG2305" s="2" t="s">
        <v>7850</v>
      </c>
      <c r="BH2305" s="2"/>
      <c r="BI2305" s="4">
        <v>0.84722222222222221</v>
      </c>
      <c r="BJ2305" s="2">
        <v>13</v>
      </c>
      <c r="BK2305" s="2" t="s">
        <v>91</v>
      </c>
      <c r="BL2305" s="2" t="s">
        <v>185</v>
      </c>
      <c r="BM2305" s="2">
        <v>205</v>
      </c>
      <c r="BN2305" s="2" t="s">
        <v>1085</v>
      </c>
      <c r="BO2305" s="2" t="s">
        <v>5583</v>
      </c>
      <c r="BP2305" s="2">
        <v>47</v>
      </c>
      <c r="BQ2305" s="2" t="s">
        <v>4078</v>
      </c>
      <c r="BR2305" s="2" t="s">
        <v>4079</v>
      </c>
      <c r="BS2305" s="3">
        <v>40332</v>
      </c>
      <c r="BT2305" s="4">
        <v>0.78706018518518517</v>
      </c>
    </row>
    <row r="2306" spans="1:72" x14ac:dyDescent="0.25">
      <c r="A2306" s="2">
        <v>3375</v>
      </c>
      <c r="B2306" s="2">
        <v>2010</v>
      </c>
      <c r="C2306" s="2" t="s">
        <v>171</v>
      </c>
      <c r="D2306" s="2" t="s">
        <v>122</v>
      </c>
      <c r="E2306" s="2" t="s">
        <v>7851</v>
      </c>
      <c r="F2306" s="2">
        <v>471</v>
      </c>
      <c r="G2306" s="2" t="s">
        <v>6201</v>
      </c>
      <c r="H2306" s="2">
        <v>60</v>
      </c>
      <c r="I2306" s="2" t="s">
        <v>2704</v>
      </c>
      <c r="J2306" s="2">
        <v>374</v>
      </c>
      <c r="K2306" s="2" t="s">
        <v>1191</v>
      </c>
      <c r="L2306" s="2" t="s">
        <v>132</v>
      </c>
      <c r="M2306" s="3">
        <v>40332</v>
      </c>
      <c r="N2306" s="2" t="s">
        <v>6202</v>
      </c>
      <c r="O2306" s="2" t="s">
        <v>7785</v>
      </c>
      <c r="P2306" s="2" t="s">
        <v>7778</v>
      </c>
      <c r="Q2306" s="2" t="str">
        <f>"0009/10"</f>
        <v>0009/10</v>
      </c>
      <c r="R2306" s="2"/>
      <c r="S2306" s="2"/>
      <c r="T2306" s="2">
        <v>1</v>
      </c>
      <c r="U2306" s="2" t="s">
        <v>79</v>
      </c>
      <c r="V2306" s="2">
        <v>1</v>
      </c>
      <c r="W2306" s="2" t="s">
        <v>80</v>
      </c>
      <c r="X2306" s="2">
        <v>9</v>
      </c>
      <c r="Y2306" s="2" t="s">
        <v>3393</v>
      </c>
      <c r="Z2306" s="2">
        <v>10</v>
      </c>
      <c r="AA2306" s="2" t="s">
        <v>236</v>
      </c>
      <c r="AB2306" s="2">
        <v>1</v>
      </c>
      <c r="AC2306" s="2" t="s">
        <v>178</v>
      </c>
      <c r="AD2306" s="3">
        <v>40331</v>
      </c>
      <c r="AE2306" s="4">
        <v>0.34375</v>
      </c>
      <c r="AF2306" s="2"/>
      <c r="AG2306" s="2"/>
      <c r="AH2306" s="2">
        <v>5</v>
      </c>
      <c r="AI2306" s="2" t="s">
        <v>274</v>
      </c>
      <c r="AJ2306" s="2">
        <v>34</v>
      </c>
      <c r="AK2306" s="2" t="s">
        <v>274</v>
      </c>
      <c r="AL2306" s="2">
        <v>23</v>
      </c>
      <c r="AM2306" s="2" t="s">
        <v>251</v>
      </c>
      <c r="AN2306" s="2"/>
      <c r="AO2306" s="2" t="s">
        <v>7786</v>
      </c>
      <c r="AP2306" s="2">
        <v>11</v>
      </c>
      <c r="AQ2306" s="2" t="s">
        <v>82</v>
      </c>
      <c r="AR2306" s="2"/>
      <c r="AS2306" s="2"/>
      <c r="AT2306" s="2" t="s">
        <v>7852</v>
      </c>
      <c r="AU2306" s="2"/>
      <c r="AV2306" s="2">
        <v>1</v>
      </c>
      <c r="AW2306" s="2"/>
      <c r="AX2306" s="2"/>
      <c r="AY2306" s="2">
        <v>41</v>
      </c>
      <c r="AZ2306" s="2" t="s">
        <v>82</v>
      </c>
      <c r="BA2306" s="2">
        <v>41</v>
      </c>
      <c r="BB2306" s="2" t="s">
        <v>82</v>
      </c>
      <c r="BC2306" s="2">
        <v>41</v>
      </c>
      <c r="BD2306" s="2" t="s">
        <v>82</v>
      </c>
      <c r="BE2306" s="2">
        <v>41</v>
      </c>
      <c r="BF2306" s="2" t="s">
        <v>82</v>
      </c>
      <c r="BG2306" s="2"/>
      <c r="BH2306" s="2"/>
      <c r="BI2306" s="2"/>
      <c r="BJ2306" s="2">
        <v>241</v>
      </c>
      <c r="BK2306" s="2" t="s">
        <v>82</v>
      </c>
      <c r="BL2306" s="2"/>
      <c r="BM2306" s="2">
        <v>241</v>
      </c>
      <c r="BN2306" s="2" t="s">
        <v>82</v>
      </c>
      <c r="BO2306" s="2"/>
      <c r="BP2306" s="2">
        <v>241</v>
      </c>
      <c r="BQ2306" s="2" t="s">
        <v>82</v>
      </c>
      <c r="BR2306" s="2"/>
      <c r="BS2306" s="3">
        <v>40332</v>
      </c>
      <c r="BT2306" s="4">
        <v>0.79865740740740743</v>
      </c>
    </row>
    <row r="2307" spans="1:72" x14ac:dyDescent="0.25">
      <c r="A2307" s="2">
        <v>3377</v>
      </c>
      <c r="B2307" s="2">
        <v>2010</v>
      </c>
      <c r="C2307" s="2" t="s">
        <v>171</v>
      </c>
      <c r="D2307" s="2" t="s">
        <v>122</v>
      </c>
      <c r="E2307" s="2" t="s">
        <v>7853</v>
      </c>
      <c r="F2307" s="2">
        <v>471</v>
      </c>
      <c r="G2307" s="2" t="s">
        <v>6201</v>
      </c>
      <c r="H2307" s="2">
        <v>60</v>
      </c>
      <c r="I2307" s="2" t="s">
        <v>2704</v>
      </c>
      <c r="J2307" s="2">
        <v>374</v>
      </c>
      <c r="K2307" s="2" t="s">
        <v>1191</v>
      </c>
      <c r="L2307" s="2" t="s">
        <v>132</v>
      </c>
      <c r="M2307" s="3">
        <v>40332</v>
      </c>
      <c r="N2307" s="2" t="s">
        <v>6202</v>
      </c>
      <c r="O2307" s="2" t="s">
        <v>7790</v>
      </c>
      <c r="P2307" s="2" t="s">
        <v>7639</v>
      </c>
      <c r="Q2307" s="2" t="str">
        <f>"09/10"</f>
        <v>09/10</v>
      </c>
      <c r="R2307" s="2"/>
      <c r="S2307" s="2"/>
      <c r="T2307" s="2">
        <v>1</v>
      </c>
      <c r="U2307" s="2" t="s">
        <v>79</v>
      </c>
      <c r="V2307" s="2">
        <v>1</v>
      </c>
      <c r="W2307" s="2" t="s">
        <v>80</v>
      </c>
      <c r="X2307" s="2">
        <v>8</v>
      </c>
      <c r="Y2307" s="2" t="s">
        <v>375</v>
      </c>
      <c r="Z2307" s="2">
        <v>1</v>
      </c>
      <c r="AA2307" s="2" t="s">
        <v>82</v>
      </c>
      <c r="AB2307" s="2">
        <v>1</v>
      </c>
      <c r="AC2307" s="2" t="s">
        <v>178</v>
      </c>
      <c r="AD2307" s="3">
        <v>40331</v>
      </c>
      <c r="AE2307" s="4">
        <v>0.34722222222222227</v>
      </c>
      <c r="AF2307" s="2"/>
      <c r="AG2307" s="2"/>
      <c r="AH2307" s="2">
        <v>5</v>
      </c>
      <c r="AI2307" s="2" t="s">
        <v>274</v>
      </c>
      <c r="AJ2307" s="2">
        <v>34</v>
      </c>
      <c r="AK2307" s="2" t="s">
        <v>274</v>
      </c>
      <c r="AL2307" s="2">
        <v>23</v>
      </c>
      <c r="AM2307" s="2" t="s">
        <v>251</v>
      </c>
      <c r="AN2307" s="2"/>
      <c r="AO2307" s="2" t="s">
        <v>7854</v>
      </c>
      <c r="AP2307" s="2">
        <v>11</v>
      </c>
      <c r="AQ2307" s="2" t="s">
        <v>82</v>
      </c>
      <c r="AR2307" s="2"/>
      <c r="AS2307" s="2"/>
      <c r="AT2307" s="2" t="s">
        <v>7855</v>
      </c>
      <c r="AU2307" s="2">
        <v>2</v>
      </c>
      <c r="AV2307" s="2"/>
      <c r="AW2307" s="2"/>
      <c r="AX2307" s="2"/>
      <c r="AY2307" s="2">
        <v>41</v>
      </c>
      <c r="AZ2307" s="2" t="s">
        <v>82</v>
      </c>
      <c r="BA2307" s="2">
        <v>41</v>
      </c>
      <c r="BB2307" s="2" t="s">
        <v>82</v>
      </c>
      <c r="BC2307" s="2">
        <v>41</v>
      </c>
      <c r="BD2307" s="2" t="s">
        <v>82</v>
      </c>
      <c r="BE2307" s="2">
        <v>41</v>
      </c>
      <c r="BF2307" s="2" t="s">
        <v>82</v>
      </c>
      <c r="BG2307" s="2"/>
      <c r="BH2307" s="2"/>
      <c r="BI2307" s="2"/>
      <c r="BJ2307" s="2">
        <v>241</v>
      </c>
      <c r="BK2307" s="2" t="s">
        <v>82</v>
      </c>
      <c r="BL2307" s="2"/>
      <c r="BM2307" s="2">
        <v>241</v>
      </c>
      <c r="BN2307" s="2" t="s">
        <v>82</v>
      </c>
      <c r="BO2307" s="2"/>
      <c r="BP2307" s="2">
        <v>241</v>
      </c>
      <c r="BQ2307" s="2" t="s">
        <v>82</v>
      </c>
      <c r="BR2307" s="2"/>
      <c r="BS2307" s="3">
        <v>40332</v>
      </c>
      <c r="BT2307" s="4">
        <v>0.8089467592592593</v>
      </c>
    </row>
    <row r="2308" spans="1:72" x14ac:dyDescent="0.25">
      <c r="A2308" s="2">
        <v>3379</v>
      </c>
      <c r="B2308" s="2">
        <v>2010</v>
      </c>
      <c r="C2308" s="2" t="s">
        <v>4543</v>
      </c>
      <c r="D2308" s="2" t="s">
        <v>122</v>
      </c>
      <c r="E2308" s="2"/>
      <c r="F2308" s="2">
        <v>632</v>
      </c>
      <c r="G2308" s="2" t="s">
        <v>7856</v>
      </c>
      <c r="H2308" s="2">
        <v>119</v>
      </c>
      <c r="I2308" s="2" t="s">
        <v>7857</v>
      </c>
      <c r="J2308" s="2">
        <v>571</v>
      </c>
      <c r="K2308" s="2" t="s">
        <v>7858</v>
      </c>
      <c r="L2308" s="2" t="s">
        <v>7859</v>
      </c>
      <c r="M2308" s="3">
        <v>40332</v>
      </c>
      <c r="N2308" s="2" t="s">
        <v>7860</v>
      </c>
      <c r="O2308" s="2" t="s">
        <v>107</v>
      </c>
      <c r="P2308" s="2" t="s">
        <v>107</v>
      </c>
      <c r="Q2308" s="2" t="str">
        <f>"S/D"</f>
        <v>S/D</v>
      </c>
      <c r="R2308" s="2" t="s">
        <v>107</v>
      </c>
      <c r="S2308" s="2" t="s">
        <v>107</v>
      </c>
      <c r="T2308" s="2">
        <v>2</v>
      </c>
      <c r="U2308" s="2" t="s">
        <v>123</v>
      </c>
      <c r="V2308" s="2">
        <v>1</v>
      </c>
      <c r="W2308" s="2" t="s">
        <v>80</v>
      </c>
      <c r="X2308" s="2">
        <v>12</v>
      </c>
      <c r="Y2308" s="2" t="s">
        <v>148</v>
      </c>
      <c r="Z2308" s="2">
        <v>1</v>
      </c>
      <c r="AA2308" s="2" t="s">
        <v>82</v>
      </c>
      <c r="AB2308" s="2">
        <v>9</v>
      </c>
      <c r="AC2308" s="2" t="s">
        <v>124</v>
      </c>
      <c r="AD2308" s="3">
        <v>40332</v>
      </c>
      <c r="AE2308" s="4">
        <v>0.56944444444444442</v>
      </c>
      <c r="AF2308" s="3">
        <v>40332</v>
      </c>
      <c r="AG2308" s="4">
        <v>0.52777777777777779</v>
      </c>
      <c r="AH2308" s="2">
        <v>2</v>
      </c>
      <c r="AI2308" s="2" t="s">
        <v>84</v>
      </c>
      <c r="AJ2308" s="2">
        <v>12</v>
      </c>
      <c r="AK2308" s="2" t="s">
        <v>85</v>
      </c>
      <c r="AL2308" s="2">
        <v>25</v>
      </c>
      <c r="AM2308" s="2" t="s">
        <v>3073</v>
      </c>
      <c r="AN2308" s="2" t="s">
        <v>7861</v>
      </c>
      <c r="AO2308" s="2" t="s">
        <v>7862</v>
      </c>
      <c r="AP2308" s="2">
        <v>11</v>
      </c>
      <c r="AQ2308" s="2" t="s">
        <v>82</v>
      </c>
      <c r="AR2308" s="2"/>
      <c r="AS2308" s="2"/>
      <c r="AT2308" s="2" t="s">
        <v>7863</v>
      </c>
      <c r="AU2308" s="2"/>
      <c r="AV2308" s="2"/>
      <c r="AW2308" s="2"/>
      <c r="AX2308" s="2"/>
      <c r="AY2308" s="2">
        <v>79</v>
      </c>
      <c r="AZ2308" s="2" t="s">
        <v>1383</v>
      </c>
      <c r="BA2308" s="2">
        <v>41</v>
      </c>
      <c r="BB2308" s="2" t="s">
        <v>82</v>
      </c>
      <c r="BC2308" s="2">
        <v>41</v>
      </c>
      <c r="BD2308" s="2" t="s">
        <v>82</v>
      </c>
      <c r="BE2308" s="2">
        <v>13</v>
      </c>
      <c r="BF2308" s="2" t="s">
        <v>108</v>
      </c>
      <c r="BG2308" s="2" t="s">
        <v>7864</v>
      </c>
      <c r="BH2308" s="4">
        <v>0.52083333333333337</v>
      </c>
      <c r="BI2308" s="4">
        <v>0.57291666666666663</v>
      </c>
      <c r="BJ2308" s="2">
        <v>13</v>
      </c>
      <c r="BK2308" s="2" t="s">
        <v>91</v>
      </c>
      <c r="BL2308" s="2" t="s">
        <v>185</v>
      </c>
      <c r="BM2308" s="2">
        <v>241</v>
      </c>
      <c r="BN2308" s="2" t="s">
        <v>82</v>
      </c>
      <c r="BO2308" s="2"/>
      <c r="BP2308" s="2">
        <v>46</v>
      </c>
      <c r="BQ2308" s="2" t="s">
        <v>307</v>
      </c>
      <c r="BR2308" s="2" t="s">
        <v>308</v>
      </c>
      <c r="BS2308" s="3">
        <v>40332</v>
      </c>
      <c r="BT2308" s="4">
        <v>0.82703703703703713</v>
      </c>
    </row>
    <row r="2309" spans="1:72" x14ac:dyDescent="0.25">
      <c r="A2309" s="2">
        <v>3380</v>
      </c>
      <c r="B2309" s="2">
        <v>2010</v>
      </c>
      <c r="C2309" s="2" t="s">
        <v>196</v>
      </c>
      <c r="D2309" s="2" t="s">
        <v>122</v>
      </c>
      <c r="E2309" s="2"/>
      <c r="F2309" s="2">
        <v>1</v>
      </c>
      <c r="G2309" s="2" t="s">
        <v>82</v>
      </c>
      <c r="H2309" s="2">
        <v>1</v>
      </c>
      <c r="I2309" s="2" t="s">
        <v>82</v>
      </c>
      <c r="J2309" s="2">
        <v>1</v>
      </c>
      <c r="K2309" s="2" t="s">
        <v>107</v>
      </c>
      <c r="L2309" s="2" t="s">
        <v>107</v>
      </c>
      <c r="M2309" s="3">
        <v>40332</v>
      </c>
      <c r="N2309" s="2" t="s">
        <v>82</v>
      </c>
      <c r="O2309" s="2" t="s">
        <v>82</v>
      </c>
      <c r="P2309" s="2" t="s">
        <v>82</v>
      </c>
      <c r="Q2309" s="2" t="str">
        <f>"N/C"</f>
        <v>N/C</v>
      </c>
      <c r="R2309" s="2" t="s">
        <v>82</v>
      </c>
      <c r="S2309" s="2" t="s">
        <v>82</v>
      </c>
      <c r="T2309" s="2">
        <v>2</v>
      </c>
      <c r="U2309" s="2" t="s">
        <v>123</v>
      </c>
      <c r="V2309" s="2">
        <v>1</v>
      </c>
      <c r="W2309" s="2" t="s">
        <v>80</v>
      </c>
      <c r="X2309" s="2">
        <v>11</v>
      </c>
      <c r="Y2309" s="2" t="s">
        <v>1920</v>
      </c>
      <c r="Z2309" s="2">
        <v>1</v>
      </c>
      <c r="AA2309" s="2" t="s">
        <v>82</v>
      </c>
      <c r="AB2309" s="2">
        <v>9</v>
      </c>
      <c r="AC2309" s="2" t="s">
        <v>124</v>
      </c>
      <c r="AD2309" s="3">
        <v>40332</v>
      </c>
      <c r="AE2309" s="4">
        <v>0.58333333333333337</v>
      </c>
      <c r="AF2309" s="2"/>
      <c r="AG2309" s="2"/>
      <c r="AH2309" s="2">
        <v>2</v>
      </c>
      <c r="AI2309" s="2" t="s">
        <v>84</v>
      </c>
      <c r="AJ2309" s="2">
        <v>12</v>
      </c>
      <c r="AK2309" s="2" t="s">
        <v>85</v>
      </c>
      <c r="AL2309" s="2">
        <v>20</v>
      </c>
      <c r="AM2309" s="2" t="s">
        <v>992</v>
      </c>
      <c r="AN2309" s="2" t="s">
        <v>82</v>
      </c>
      <c r="AO2309" s="2" t="s">
        <v>993</v>
      </c>
      <c r="AP2309" s="2">
        <v>11</v>
      </c>
      <c r="AQ2309" s="2" t="s">
        <v>82</v>
      </c>
      <c r="AR2309" s="2" t="s">
        <v>82</v>
      </c>
      <c r="AS2309" s="2" t="s">
        <v>82</v>
      </c>
      <c r="AT2309" s="2" t="s">
        <v>7865</v>
      </c>
      <c r="AU2309" s="2"/>
      <c r="AV2309" s="2"/>
      <c r="AW2309" s="2"/>
      <c r="AX2309" s="2"/>
      <c r="AY2309" s="2">
        <v>41</v>
      </c>
      <c r="AZ2309" s="2" t="s">
        <v>82</v>
      </c>
      <c r="BA2309" s="2">
        <v>41</v>
      </c>
      <c r="BB2309" s="2" t="s">
        <v>82</v>
      </c>
      <c r="BC2309" s="2">
        <v>41</v>
      </c>
      <c r="BD2309" s="2" t="s">
        <v>82</v>
      </c>
      <c r="BE2309" s="2">
        <v>1</v>
      </c>
      <c r="BF2309" s="2" t="s">
        <v>107</v>
      </c>
      <c r="BG2309" s="2"/>
      <c r="BH2309" s="4">
        <v>0.79166666666666663</v>
      </c>
      <c r="BI2309" s="4">
        <v>0.79999999999999993</v>
      </c>
      <c r="BJ2309" s="2">
        <v>13</v>
      </c>
      <c r="BK2309" s="2" t="s">
        <v>91</v>
      </c>
      <c r="BL2309" s="2" t="s">
        <v>185</v>
      </c>
      <c r="BM2309" s="2">
        <v>241</v>
      </c>
      <c r="BN2309" s="2" t="s">
        <v>82</v>
      </c>
      <c r="BO2309" s="2" t="s">
        <v>82</v>
      </c>
      <c r="BP2309" s="2">
        <v>13</v>
      </c>
      <c r="BQ2309" s="2" t="s">
        <v>91</v>
      </c>
      <c r="BR2309" s="2" t="s">
        <v>6083</v>
      </c>
      <c r="BS2309" s="3">
        <v>40332</v>
      </c>
      <c r="BT2309" s="4">
        <v>0.83156249999999998</v>
      </c>
    </row>
    <row r="2310" spans="1:72" x14ac:dyDescent="0.25">
      <c r="A2310" s="2">
        <v>3381</v>
      </c>
      <c r="B2310" s="2">
        <v>2010</v>
      </c>
      <c r="C2310" s="2" t="s">
        <v>72</v>
      </c>
      <c r="D2310" s="2" t="s">
        <v>73</v>
      </c>
      <c r="E2310" s="2"/>
      <c r="F2310" s="2">
        <v>152</v>
      </c>
      <c r="G2310" s="2" t="s">
        <v>7866</v>
      </c>
      <c r="H2310" s="2">
        <v>4</v>
      </c>
      <c r="I2310" s="2" t="s">
        <v>173</v>
      </c>
      <c r="J2310" s="2">
        <v>451</v>
      </c>
      <c r="K2310" s="2" t="s">
        <v>3028</v>
      </c>
      <c r="L2310" s="2" t="s">
        <v>3029</v>
      </c>
      <c r="M2310" s="3">
        <v>40332</v>
      </c>
      <c r="N2310" s="2" t="s">
        <v>7867</v>
      </c>
      <c r="O2310" s="2" t="s">
        <v>107</v>
      </c>
      <c r="P2310" s="2" t="s">
        <v>107</v>
      </c>
      <c r="Q2310" s="2" t="str">
        <f>"200-A/10"</f>
        <v>200-A/10</v>
      </c>
      <c r="R2310" s="2" t="s">
        <v>1547</v>
      </c>
      <c r="S2310" s="2" t="s">
        <v>107</v>
      </c>
      <c r="T2310" s="2">
        <v>1</v>
      </c>
      <c r="U2310" s="2" t="s">
        <v>79</v>
      </c>
      <c r="V2310" s="2">
        <v>1</v>
      </c>
      <c r="W2310" s="2" t="s">
        <v>80</v>
      </c>
      <c r="X2310" s="2">
        <v>12</v>
      </c>
      <c r="Y2310" s="2" t="s">
        <v>148</v>
      </c>
      <c r="Z2310" s="2">
        <v>1</v>
      </c>
      <c r="AA2310" s="2" t="s">
        <v>82</v>
      </c>
      <c r="AB2310" s="2">
        <v>6</v>
      </c>
      <c r="AC2310" s="2" t="s">
        <v>83</v>
      </c>
      <c r="AD2310" s="3">
        <v>40332</v>
      </c>
      <c r="AE2310" s="2"/>
      <c r="AF2310" s="3">
        <v>40332</v>
      </c>
      <c r="AG2310" s="4">
        <v>0.57638888888888895</v>
      </c>
      <c r="AH2310" s="2">
        <v>2</v>
      </c>
      <c r="AI2310" s="2" t="s">
        <v>84</v>
      </c>
      <c r="AJ2310" s="2">
        <v>12</v>
      </c>
      <c r="AK2310" s="2" t="s">
        <v>85</v>
      </c>
      <c r="AL2310" s="2">
        <v>22</v>
      </c>
      <c r="AM2310" s="2" t="s">
        <v>1853</v>
      </c>
      <c r="AN2310" s="2" t="s">
        <v>7868</v>
      </c>
      <c r="AO2310" s="2" t="s">
        <v>7869</v>
      </c>
      <c r="AP2310" s="2">
        <v>11</v>
      </c>
      <c r="AQ2310" s="2" t="s">
        <v>82</v>
      </c>
      <c r="AR2310" s="2"/>
      <c r="AS2310" s="2"/>
      <c r="AT2310" s="2" t="s">
        <v>7870</v>
      </c>
      <c r="AU2310" s="2"/>
      <c r="AV2310" s="2"/>
      <c r="AW2310" s="2"/>
      <c r="AX2310" s="2"/>
      <c r="AY2310" s="2">
        <v>41</v>
      </c>
      <c r="AZ2310" s="2" t="s">
        <v>82</v>
      </c>
      <c r="BA2310" s="2">
        <v>41</v>
      </c>
      <c r="BB2310" s="2" t="s">
        <v>82</v>
      </c>
      <c r="BC2310" s="2">
        <v>41</v>
      </c>
      <c r="BD2310" s="2" t="s">
        <v>82</v>
      </c>
      <c r="BE2310" s="2">
        <v>13</v>
      </c>
      <c r="BF2310" s="2" t="s">
        <v>108</v>
      </c>
      <c r="BG2310" s="2" t="s">
        <v>7871</v>
      </c>
      <c r="BH2310" s="4">
        <v>0.54166666666666663</v>
      </c>
      <c r="BI2310" s="4">
        <v>0.41666666666666669</v>
      </c>
      <c r="BJ2310" s="2">
        <v>13</v>
      </c>
      <c r="BK2310" s="2" t="s">
        <v>91</v>
      </c>
      <c r="BL2310" s="2" t="s">
        <v>169</v>
      </c>
      <c r="BM2310" s="2">
        <v>241</v>
      </c>
      <c r="BN2310" s="2" t="s">
        <v>82</v>
      </c>
      <c r="BO2310" s="2" t="s">
        <v>82</v>
      </c>
      <c r="BP2310" s="2">
        <v>13</v>
      </c>
      <c r="BQ2310" s="2" t="s">
        <v>91</v>
      </c>
      <c r="BR2310" s="2" t="s">
        <v>185</v>
      </c>
      <c r="BS2310" s="3">
        <v>40332</v>
      </c>
      <c r="BT2310" s="4">
        <v>0.90125</v>
      </c>
    </row>
    <row r="2311" spans="1:72" x14ac:dyDescent="0.25">
      <c r="A2311" s="2">
        <v>3382</v>
      </c>
      <c r="B2311" s="2">
        <v>2010</v>
      </c>
      <c r="C2311" s="2" t="s">
        <v>385</v>
      </c>
      <c r="D2311" s="2" t="s">
        <v>122</v>
      </c>
      <c r="E2311" s="2"/>
      <c r="F2311" s="2">
        <v>146</v>
      </c>
      <c r="G2311" s="2" t="s">
        <v>753</v>
      </c>
      <c r="H2311" s="2">
        <v>44</v>
      </c>
      <c r="I2311" s="2" t="s">
        <v>1272</v>
      </c>
      <c r="J2311" s="2">
        <v>161</v>
      </c>
      <c r="K2311" s="2" t="s">
        <v>1900</v>
      </c>
      <c r="L2311" s="2" t="s">
        <v>1901</v>
      </c>
      <c r="M2311" s="3">
        <v>40332</v>
      </c>
      <c r="N2311" s="2" t="s">
        <v>1902</v>
      </c>
      <c r="O2311" s="2" t="s">
        <v>7872</v>
      </c>
      <c r="P2311" s="2" t="s">
        <v>7873</v>
      </c>
      <c r="Q2311" s="2" t="str">
        <f>"N/C"</f>
        <v>N/C</v>
      </c>
      <c r="R2311" s="2" t="s">
        <v>82</v>
      </c>
      <c r="S2311" s="2" t="s">
        <v>82</v>
      </c>
      <c r="T2311" s="2">
        <v>1</v>
      </c>
      <c r="U2311" s="2" t="s">
        <v>79</v>
      </c>
      <c r="V2311" s="2">
        <v>1</v>
      </c>
      <c r="W2311" s="2" t="s">
        <v>80</v>
      </c>
      <c r="X2311" s="2">
        <v>4</v>
      </c>
      <c r="Y2311" s="2" t="s">
        <v>463</v>
      </c>
      <c r="Z2311" s="2">
        <v>30</v>
      </c>
      <c r="AA2311" s="2" t="s">
        <v>5975</v>
      </c>
      <c r="AB2311" s="2">
        <v>9</v>
      </c>
      <c r="AC2311" s="2" t="s">
        <v>124</v>
      </c>
      <c r="AD2311" s="3">
        <v>40332</v>
      </c>
      <c r="AE2311" s="4">
        <v>0.87847222222222221</v>
      </c>
      <c r="AF2311" s="2"/>
      <c r="AG2311" s="2"/>
      <c r="AH2311" s="2">
        <v>6</v>
      </c>
      <c r="AI2311" s="2" t="s">
        <v>197</v>
      </c>
      <c r="AJ2311" s="2">
        <v>60</v>
      </c>
      <c r="AK2311" s="2" t="s">
        <v>543</v>
      </c>
      <c r="AL2311" s="2">
        <v>9</v>
      </c>
      <c r="AM2311" s="2" t="s">
        <v>259</v>
      </c>
      <c r="AN2311" s="2" t="s">
        <v>2249</v>
      </c>
      <c r="AO2311" s="2" t="s">
        <v>2249</v>
      </c>
      <c r="AP2311" s="2">
        <v>11</v>
      </c>
      <c r="AQ2311" s="2" t="s">
        <v>82</v>
      </c>
      <c r="AR2311" s="2" t="s">
        <v>82</v>
      </c>
      <c r="AS2311" s="2" t="s">
        <v>82</v>
      </c>
      <c r="AT2311" s="2" t="s">
        <v>7874</v>
      </c>
      <c r="AU2311" s="2">
        <v>1</v>
      </c>
      <c r="AV2311" s="2"/>
      <c r="AW2311" s="2"/>
      <c r="AX2311" s="2"/>
      <c r="AY2311" s="2">
        <v>41</v>
      </c>
      <c r="AZ2311" s="2" t="s">
        <v>82</v>
      </c>
      <c r="BA2311" s="2">
        <v>41</v>
      </c>
      <c r="BB2311" s="2" t="s">
        <v>82</v>
      </c>
      <c r="BC2311" s="2">
        <v>41</v>
      </c>
      <c r="BD2311" s="2" t="s">
        <v>82</v>
      </c>
      <c r="BE2311" s="2">
        <v>13</v>
      </c>
      <c r="BF2311" s="2" t="s">
        <v>108</v>
      </c>
      <c r="BG2311" s="2" t="s">
        <v>7875</v>
      </c>
      <c r="BH2311" s="4">
        <v>0.84722222222222221</v>
      </c>
      <c r="BI2311" s="4">
        <v>0.87847222222222221</v>
      </c>
      <c r="BJ2311" s="2">
        <v>13</v>
      </c>
      <c r="BK2311" s="2" t="s">
        <v>91</v>
      </c>
      <c r="BL2311" s="2" t="s">
        <v>895</v>
      </c>
      <c r="BM2311" s="2">
        <v>241</v>
      </c>
      <c r="BN2311" s="2" t="s">
        <v>82</v>
      </c>
      <c r="BO2311" s="2" t="s">
        <v>7876</v>
      </c>
      <c r="BP2311" s="2">
        <v>13</v>
      </c>
      <c r="BQ2311" s="2" t="s">
        <v>91</v>
      </c>
      <c r="BR2311" s="2" t="s">
        <v>3520</v>
      </c>
      <c r="BS2311" s="3">
        <v>40332</v>
      </c>
      <c r="BT2311" s="4">
        <v>0.91144675925925922</v>
      </c>
    </row>
    <row r="2312" spans="1:72" x14ac:dyDescent="0.25">
      <c r="A2312" s="2">
        <v>3383</v>
      </c>
      <c r="B2312" s="2">
        <v>2010</v>
      </c>
      <c r="C2312" s="2" t="s">
        <v>72</v>
      </c>
      <c r="D2312" s="2" t="s">
        <v>122</v>
      </c>
      <c r="E2312" s="2" t="s">
        <v>7877</v>
      </c>
      <c r="F2312" s="2">
        <v>11</v>
      </c>
      <c r="G2312" s="2" t="s">
        <v>2454</v>
      </c>
      <c r="H2312" s="2">
        <v>4</v>
      </c>
      <c r="I2312" s="2" t="s">
        <v>173</v>
      </c>
      <c r="J2312" s="2">
        <v>19</v>
      </c>
      <c r="K2312" s="2" t="s">
        <v>2144</v>
      </c>
      <c r="L2312" s="2" t="s">
        <v>2145</v>
      </c>
      <c r="M2312" s="3">
        <v>40332</v>
      </c>
      <c r="N2312" s="2" t="s">
        <v>2455</v>
      </c>
      <c r="O2312" s="2" t="s">
        <v>7878</v>
      </c>
      <c r="P2312" s="2" t="s">
        <v>7767</v>
      </c>
      <c r="Q2312" s="2" t="str">
        <f>"27-10"</f>
        <v>27-10</v>
      </c>
      <c r="R2312" s="2" t="s">
        <v>601</v>
      </c>
      <c r="S2312" s="2" t="s">
        <v>601</v>
      </c>
      <c r="T2312" s="2">
        <v>1</v>
      </c>
      <c r="U2312" s="2" t="s">
        <v>79</v>
      </c>
      <c r="V2312" s="2">
        <v>1</v>
      </c>
      <c r="W2312" s="2" t="s">
        <v>80</v>
      </c>
      <c r="X2312" s="2">
        <v>12</v>
      </c>
      <c r="Y2312" s="2" t="s">
        <v>148</v>
      </c>
      <c r="Z2312" s="2">
        <v>2</v>
      </c>
      <c r="AA2312" s="2" t="s">
        <v>2148</v>
      </c>
      <c r="AB2312" s="2">
        <v>6</v>
      </c>
      <c r="AC2312" s="2" t="s">
        <v>83</v>
      </c>
      <c r="AD2312" s="3">
        <v>40332</v>
      </c>
      <c r="AE2312" s="4">
        <v>0.79166666666666663</v>
      </c>
      <c r="AF2312" s="3">
        <v>40331</v>
      </c>
      <c r="AG2312" s="4">
        <v>0.69791666666666663</v>
      </c>
      <c r="AH2312" s="2">
        <v>3</v>
      </c>
      <c r="AI2312" s="2" t="s">
        <v>214</v>
      </c>
      <c r="AJ2312" s="2">
        <v>24</v>
      </c>
      <c r="AK2312" s="2" t="s">
        <v>215</v>
      </c>
      <c r="AL2312" s="2">
        <v>16</v>
      </c>
      <c r="AM2312" s="2" t="s">
        <v>392</v>
      </c>
      <c r="AN2312" s="2" t="s">
        <v>7879</v>
      </c>
      <c r="AO2312" s="2" t="s">
        <v>107</v>
      </c>
      <c r="AP2312" s="2">
        <v>11</v>
      </c>
      <c r="AQ2312" s="2" t="s">
        <v>82</v>
      </c>
      <c r="AR2312" s="2"/>
      <c r="AS2312" s="2"/>
      <c r="AT2312" s="2" t="s">
        <v>7880</v>
      </c>
      <c r="AU2312" s="2"/>
      <c r="AV2312" s="2"/>
      <c r="AW2312" s="2"/>
      <c r="AX2312" s="2"/>
      <c r="AY2312" s="2">
        <v>41</v>
      </c>
      <c r="AZ2312" s="2" t="s">
        <v>82</v>
      </c>
      <c r="BA2312" s="2">
        <v>41</v>
      </c>
      <c r="BB2312" s="2" t="s">
        <v>82</v>
      </c>
      <c r="BC2312" s="2">
        <v>41</v>
      </c>
      <c r="BD2312" s="2" t="s">
        <v>82</v>
      </c>
      <c r="BE2312" s="2">
        <v>17</v>
      </c>
      <c r="BF2312" s="2" t="s">
        <v>508</v>
      </c>
      <c r="BG2312" s="2">
        <v>942</v>
      </c>
      <c r="BH2312" s="4">
        <v>0.54166666666666663</v>
      </c>
      <c r="BI2312" s="4">
        <v>0.48958333333333331</v>
      </c>
      <c r="BJ2312" s="2">
        <v>46</v>
      </c>
      <c r="BK2312" s="2" t="s">
        <v>307</v>
      </c>
      <c r="BL2312" s="2" t="s">
        <v>308</v>
      </c>
      <c r="BM2312" s="2">
        <v>241</v>
      </c>
      <c r="BN2312" s="2" t="s">
        <v>82</v>
      </c>
      <c r="BO2312" s="2"/>
      <c r="BP2312" s="2">
        <v>13</v>
      </c>
      <c r="BQ2312" s="2" t="s">
        <v>91</v>
      </c>
      <c r="BR2312" s="2" t="s">
        <v>169</v>
      </c>
      <c r="BS2312" s="3">
        <v>40332</v>
      </c>
      <c r="BT2312" s="4">
        <v>0.91844907407407417</v>
      </c>
    </row>
    <row r="2313" spans="1:72" x14ac:dyDescent="0.25">
      <c r="A2313" s="2">
        <v>3384</v>
      </c>
      <c r="B2313" s="2">
        <v>2010</v>
      </c>
      <c r="C2313" s="2" t="s">
        <v>196</v>
      </c>
      <c r="D2313" s="2" t="s">
        <v>122</v>
      </c>
      <c r="E2313" s="2"/>
      <c r="F2313" s="2">
        <v>1</v>
      </c>
      <c r="G2313" s="2" t="s">
        <v>82</v>
      </c>
      <c r="H2313" s="2">
        <v>1</v>
      </c>
      <c r="I2313" s="2" t="s">
        <v>82</v>
      </c>
      <c r="J2313" s="2">
        <v>1</v>
      </c>
      <c r="K2313" s="2" t="s">
        <v>107</v>
      </c>
      <c r="L2313" s="2" t="s">
        <v>107</v>
      </c>
      <c r="M2313" s="3">
        <v>40332</v>
      </c>
      <c r="N2313" s="2"/>
      <c r="O2313" s="2"/>
      <c r="P2313" s="2"/>
      <c r="Q2313" s="2" t="str">
        <f>""</f>
        <v/>
      </c>
      <c r="R2313" s="2"/>
      <c r="S2313" s="2"/>
      <c r="T2313" s="2">
        <v>2</v>
      </c>
      <c r="U2313" s="2" t="s">
        <v>123</v>
      </c>
      <c r="V2313" s="2">
        <v>1</v>
      </c>
      <c r="W2313" s="2" t="s">
        <v>80</v>
      </c>
      <c r="X2313" s="2">
        <v>5</v>
      </c>
      <c r="Y2313" s="2" t="s">
        <v>82</v>
      </c>
      <c r="Z2313" s="2">
        <v>1</v>
      </c>
      <c r="AA2313" s="2" t="s">
        <v>82</v>
      </c>
      <c r="AB2313" s="2">
        <v>9</v>
      </c>
      <c r="AC2313" s="2" t="s">
        <v>124</v>
      </c>
      <c r="AD2313" s="3">
        <v>40332</v>
      </c>
      <c r="AE2313" s="4">
        <v>0.91666666666666663</v>
      </c>
      <c r="AF2313" s="2"/>
      <c r="AG2313" s="2"/>
      <c r="AH2313" s="2">
        <v>6</v>
      </c>
      <c r="AI2313" s="2" t="s">
        <v>197</v>
      </c>
      <c r="AJ2313" s="2">
        <v>59</v>
      </c>
      <c r="AK2313" s="2" t="s">
        <v>198</v>
      </c>
      <c r="AL2313" s="2">
        <v>10</v>
      </c>
      <c r="AM2313" s="2" t="s">
        <v>200</v>
      </c>
      <c r="AN2313" s="2"/>
      <c r="AO2313" s="2" t="s">
        <v>259</v>
      </c>
      <c r="AP2313" s="2">
        <v>11</v>
      </c>
      <c r="AQ2313" s="2" t="s">
        <v>82</v>
      </c>
      <c r="AR2313" s="2"/>
      <c r="AS2313" s="2"/>
      <c r="AT2313" s="2" t="s">
        <v>7881</v>
      </c>
      <c r="AU2313" s="2"/>
      <c r="AV2313" s="2"/>
      <c r="AW2313" s="2"/>
      <c r="AX2313" s="2"/>
      <c r="AY2313" s="2">
        <v>1</v>
      </c>
      <c r="AZ2313" s="2" t="s">
        <v>107</v>
      </c>
      <c r="BA2313" s="2">
        <v>1</v>
      </c>
      <c r="BB2313" s="2" t="s">
        <v>107</v>
      </c>
      <c r="BC2313" s="2">
        <v>1</v>
      </c>
      <c r="BD2313" s="2" t="s">
        <v>107</v>
      </c>
      <c r="BE2313" s="2">
        <v>1</v>
      </c>
      <c r="BF2313" s="2" t="s">
        <v>107</v>
      </c>
      <c r="BG2313" s="2"/>
      <c r="BH2313" s="4">
        <v>0.91666666666666663</v>
      </c>
      <c r="BI2313" s="2"/>
      <c r="BJ2313" s="2">
        <v>13</v>
      </c>
      <c r="BK2313" s="2" t="s">
        <v>91</v>
      </c>
      <c r="BL2313" s="2" t="s">
        <v>185</v>
      </c>
      <c r="BM2313" s="2">
        <v>242</v>
      </c>
      <c r="BN2313" s="2" t="s">
        <v>107</v>
      </c>
      <c r="BO2313" s="2"/>
      <c r="BP2313" s="2">
        <v>13</v>
      </c>
      <c r="BQ2313" s="2" t="s">
        <v>91</v>
      </c>
      <c r="BR2313" s="2" t="s">
        <v>204</v>
      </c>
      <c r="BS2313" s="3">
        <v>40332</v>
      </c>
      <c r="BT2313" s="4">
        <v>0.92574074074074064</v>
      </c>
    </row>
    <row r="2314" spans="1:72" x14ac:dyDescent="0.25">
      <c r="A2314" s="2">
        <v>3385</v>
      </c>
      <c r="B2314" s="2">
        <v>2010</v>
      </c>
      <c r="C2314" s="2" t="s">
        <v>196</v>
      </c>
      <c r="D2314" s="2" t="s">
        <v>122</v>
      </c>
      <c r="E2314" s="2"/>
      <c r="F2314" s="2">
        <v>1</v>
      </c>
      <c r="G2314" s="2" t="s">
        <v>82</v>
      </c>
      <c r="H2314" s="2">
        <v>1</v>
      </c>
      <c r="I2314" s="2" t="s">
        <v>82</v>
      </c>
      <c r="J2314" s="2">
        <v>1</v>
      </c>
      <c r="K2314" s="2" t="s">
        <v>107</v>
      </c>
      <c r="L2314" s="2" t="s">
        <v>107</v>
      </c>
      <c r="M2314" s="3">
        <v>40332</v>
      </c>
      <c r="N2314" s="2"/>
      <c r="O2314" s="2"/>
      <c r="P2314" s="2"/>
      <c r="Q2314" s="2" t="str">
        <f>""</f>
        <v/>
      </c>
      <c r="R2314" s="2"/>
      <c r="S2314" s="2"/>
      <c r="T2314" s="2">
        <v>2</v>
      </c>
      <c r="U2314" s="2" t="s">
        <v>123</v>
      </c>
      <c r="V2314" s="2">
        <v>1</v>
      </c>
      <c r="W2314" s="2" t="s">
        <v>80</v>
      </c>
      <c r="X2314" s="2">
        <v>1</v>
      </c>
      <c r="Y2314" s="2" t="s">
        <v>81</v>
      </c>
      <c r="Z2314" s="2">
        <v>1</v>
      </c>
      <c r="AA2314" s="2" t="s">
        <v>82</v>
      </c>
      <c r="AB2314" s="2">
        <v>9</v>
      </c>
      <c r="AC2314" s="2" t="s">
        <v>124</v>
      </c>
      <c r="AD2314" s="3">
        <v>40332</v>
      </c>
      <c r="AE2314" s="4">
        <v>0.96527777777777779</v>
      </c>
      <c r="AF2314" s="2"/>
      <c r="AG2314" s="2"/>
      <c r="AH2314" s="2">
        <v>6</v>
      </c>
      <c r="AI2314" s="2" t="s">
        <v>197</v>
      </c>
      <c r="AJ2314" s="2">
        <v>58</v>
      </c>
      <c r="AK2314" s="2" t="s">
        <v>406</v>
      </c>
      <c r="AL2314" s="2">
        <v>9</v>
      </c>
      <c r="AM2314" s="2" t="s">
        <v>259</v>
      </c>
      <c r="AN2314" s="2"/>
      <c r="AO2314" s="2" t="s">
        <v>7882</v>
      </c>
      <c r="AP2314" s="2">
        <v>11</v>
      </c>
      <c r="AQ2314" s="2" t="s">
        <v>82</v>
      </c>
      <c r="AR2314" s="2"/>
      <c r="AS2314" s="2"/>
      <c r="AT2314" s="2" t="s">
        <v>7883</v>
      </c>
      <c r="AU2314" s="2"/>
      <c r="AV2314" s="2"/>
      <c r="AW2314" s="2"/>
      <c r="AX2314" s="2"/>
      <c r="AY2314" s="2">
        <v>41</v>
      </c>
      <c r="AZ2314" s="2" t="s">
        <v>82</v>
      </c>
      <c r="BA2314" s="2">
        <v>41</v>
      </c>
      <c r="BB2314" s="2" t="s">
        <v>82</v>
      </c>
      <c r="BC2314" s="2">
        <v>41</v>
      </c>
      <c r="BD2314" s="2" t="s">
        <v>82</v>
      </c>
      <c r="BE2314" s="2">
        <v>41</v>
      </c>
      <c r="BF2314" s="2" t="s">
        <v>82</v>
      </c>
      <c r="BG2314" s="2" t="s">
        <v>265</v>
      </c>
      <c r="BH2314" s="4">
        <v>0.95486111111111116</v>
      </c>
      <c r="BI2314" s="2"/>
      <c r="BJ2314" s="2">
        <v>13</v>
      </c>
      <c r="BK2314" s="2" t="s">
        <v>91</v>
      </c>
      <c r="BL2314" s="2" t="s">
        <v>185</v>
      </c>
      <c r="BM2314" s="2">
        <v>13</v>
      </c>
      <c r="BN2314" s="2" t="s">
        <v>91</v>
      </c>
      <c r="BO2314" s="2" t="s">
        <v>204</v>
      </c>
      <c r="BP2314" s="2">
        <v>13</v>
      </c>
      <c r="BQ2314" s="2" t="s">
        <v>91</v>
      </c>
      <c r="BR2314" s="2" t="s">
        <v>492</v>
      </c>
      <c r="BS2314" s="3">
        <v>40332</v>
      </c>
      <c r="BT2314" s="4">
        <v>0.99285879629629636</v>
      </c>
    </row>
    <row r="2315" spans="1:72" x14ac:dyDescent="0.25">
      <c r="A2315" s="2">
        <v>3387</v>
      </c>
      <c r="B2315" s="2">
        <v>2010</v>
      </c>
      <c r="C2315" s="2" t="s">
        <v>819</v>
      </c>
      <c r="D2315" s="2" t="s">
        <v>122</v>
      </c>
      <c r="E2315" s="2"/>
      <c r="F2315" s="2">
        <v>425</v>
      </c>
      <c r="G2315" s="2" t="s">
        <v>286</v>
      </c>
      <c r="H2315" s="2">
        <v>31</v>
      </c>
      <c r="I2315" s="2" t="s">
        <v>880</v>
      </c>
      <c r="J2315" s="2">
        <v>310</v>
      </c>
      <c r="K2315" s="2" t="s">
        <v>288</v>
      </c>
      <c r="L2315" s="2" t="s">
        <v>289</v>
      </c>
      <c r="M2315" s="3">
        <v>40333</v>
      </c>
      <c r="N2315" s="2" t="s">
        <v>2049</v>
      </c>
      <c r="O2315" s="2"/>
      <c r="P2315" s="2"/>
      <c r="Q2315" s="2" t="str">
        <f>"064/10"</f>
        <v>064/10</v>
      </c>
      <c r="R2315" s="2" t="s">
        <v>822</v>
      </c>
      <c r="S2315" s="2"/>
      <c r="T2315" s="2">
        <v>1</v>
      </c>
      <c r="U2315" s="2" t="s">
        <v>79</v>
      </c>
      <c r="V2315" s="2">
        <v>1</v>
      </c>
      <c r="W2315" s="2" t="s">
        <v>80</v>
      </c>
      <c r="X2315" s="2">
        <v>1</v>
      </c>
      <c r="Y2315" s="2" t="s">
        <v>81</v>
      </c>
      <c r="Z2315" s="2">
        <v>10</v>
      </c>
      <c r="AA2315" s="2" t="s">
        <v>236</v>
      </c>
      <c r="AB2315" s="2">
        <v>9</v>
      </c>
      <c r="AC2315" s="2" t="s">
        <v>124</v>
      </c>
      <c r="AD2315" s="3">
        <v>40332</v>
      </c>
      <c r="AE2315" s="4">
        <v>0.94444444444444453</v>
      </c>
      <c r="AF2315" s="2"/>
      <c r="AG2315" s="2"/>
      <c r="AH2315" s="2">
        <v>4</v>
      </c>
      <c r="AI2315" s="2" t="s">
        <v>125</v>
      </c>
      <c r="AJ2315" s="2">
        <v>29</v>
      </c>
      <c r="AK2315" s="2" t="s">
        <v>227</v>
      </c>
      <c r="AL2315" s="2">
        <v>10</v>
      </c>
      <c r="AM2315" s="2" t="s">
        <v>200</v>
      </c>
      <c r="AN2315" s="2" t="s">
        <v>1015</v>
      </c>
      <c r="AO2315" s="2" t="s">
        <v>6940</v>
      </c>
      <c r="AP2315" s="2">
        <v>12</v>
      </c>
      <c r="AQ2315" s="2" t="s">
        <v>322</v>
      </c>
      <c r="AR2315" s="2" t="s">
        <v>824</v>
      </c>
      <c r="AS2315" s="2" t="s">
        <v>825</v>
      </c>
      <c r="AT2315" s="2" t="s">
        <v>7884</v>
      </c>
      <c r="AU2315" s="2"/>
      <c r="AV2315" s="2"/>
      <c r="AW2315" s="2"/>
      <c r="AX2315" s="2"/>
      <c r="AY2315" s="2">
        <v>41</v>
      </c>
      <c r="AZ2315" s="2" t="s">
        <v>82</v>
      </c>
      <c r="BA2315" s="2">
        <v>41</v>
      </c>
      <c r="BB2315" s="2" t="s">
        <v>82</v>
      </c>
      <c r="BC2315" s="2">
        <v>41</v>
      </c>
      <c r="BD2315" s="2" t="s">
        <v>82</v>
      </c>
      <c r="BE2315" s="2">
        <v>47</v>
      </c>
      <c r="BF2315" s="2" t="s">
        <v>167</v>
      </c>
      <c r="BG2315" s="2">
        <v>2459</v>
      </c>
      <c r="BH2315" s="4">
        <v>0.97569444444444453</v>
      </c>
      <c r="BI2315" s="4">
        <v>6.9444444444444441E-3</v>
      </c>
      <c r="BJ2315" s="2">
        <v>13</v>
      </c>
      <c r="BK2315" s="2" t="s">
        <v>91</v>
      </c>
      <c r="BL2315" s="2" t="s">
        <v>828</v>
      </c>
      <c r="BM2315" s="2">
        <v>241</v>
      </c>
      <c r="BN2315" s="2" t="s">
        <v>82</v>
      </c>
      <c r="BO2315" s="2" t="s">
        <v>82</v>
      </c>
      <c r="BP2315" s="2">
        <v>13</v>
      </c>
      <c r="BQ2315" s="2" t="s">
        <v>91</v>
      </c>
      <c r="BR2315" s="2" t="s">
        <v>185</v>
      </c>
      <c r="BS2315" s="3">
        <v>40333</v>
      </c>
      <c r="BT2315" s="4">
        <v>3.3657407407407407E-2</v>
      </c>
    </row>
    <row r="2316" spans="1:72" x14ac:dyDescent="0.25">
      <c r="A2316" s="2">
        <v>3388</v>
      </c>
      <c r="B2316" s="2">
        <v>2010</v>
      </c>
      <c r="C2316" s="2" t="s">
        <v>1094</v>
      </c>
      <c r="D2316" s="2" t="s">
        <v>73</v>
      </c>
      <c r="E2316" s="2"/>
      <c r="F2316" s="2">
        <v>39</v>
      </c>
      <c r="G2316" s="2" t="s">
        <v>7885</v>
      </c>
      <c r="H2316" s="2">
        <v>4</v>
      </c>
      <c r="I2316" s="2" t="s">
        <v>173</v>
      </c>
      <c r="J2316" s="2">
        <v>59</v>
      </c>
      <c r="K2316" s="2" t="s">
        <v>7886</v>
      </c>
      <c r="L2316" s="2" t="s">
        <v>7887</v>
      </c>
      <c r="M2316" s="3">
        <v>40333</v>
      </c>
      <c r="N2316" s="2" t="s">
        <v>7888</v>
      </c>
      <c r="O2316" s="2"/>
      <c r="P2316" s="2"/>
      <c r="Q2316" s="2" t="str">
        <f>"03-S/10"</f>
        <v>03-S/10</v>
      </c>
      <c r="R2316" s="2" t="s">
        <v>7889</v>
      </c>
      <c r="S2316" s="2"/>
      <c r="T2316" s="2">
        <v>1</v>
      </c>
      <c r="U2316" s="2" t="s">
        <v>79</v>
      </c>
      <c r="V2316" s="2">
        <v>1</v>
      </c>
      <c r="W2316" s="2" t="s">
        <v>80</v>
      </c>
      <c r="X2316" s="2">
        <v>12</v>
      </c>
      <c r="Y2316" s="2" t="s">
        <v>148</v>
      </c>
      <c r="Z2316" s="2">
        <v>1</v>
      </c>
      <c r="AA2316" s="2" t="s">
        <v>82</v>
      </c>
      <c r="AB2316" s="2">
        <v>9</v>
      </c>
      <c r="AC2316" s="2" t="s">
        <v>124</v>
      </c>
      <c r="AD2316" s="3">
        <v>40332</v>
      </c>
      <c r="AE2316" s="4">
        <v>0.76041666666666663</v>
      </c>
      <c r="AF2316" s="3">
        <v>40332</v>
      </c>
      <c r="AG2316" s="4">
        <v>0.85416666666666663</v>
      </c>
      <c r="AH2316" s="2">
        <v>2</v>
      </c>
      <c r="AI2316" s="2" t="s">
        <v>84</v>
      </c>
      <c r="AJ2316" s="2">
        <v>11</v>
      </c>
      <c r="AK2316" s="2" t="s">
        <v>751</v>
      </c>
      <c r="AL2316" s="2">
        <v>2</v>
      </c>
      <c r="AM2316" s="2" t="s">
        <v>163</v>
      </c>
      <c r="AN2316" s="2" t="s">
        <v>163</v>
      </c>
      <c r="AO2316" s="2" t="s">
        <v>82</v>
      </c>
      <c r="AP2316" s="2">
        <v>11</v>
      </c>
      <c r="AQ2316" s="2" t="s">
        <v>82</v>
      </c>
      <c r="AR2316" s="2"/>
      <c r="AS2316" s="2"/>
      <c r="AT2316" s="2" t="s">
        <v>7890</v>
      </c>
      <c r="AU2316" s="2"/>
      <c r="AV2316" s="2"/>
      <c r="AW2316" s="2"/>
      <c r="AX2316" s="2"/>
      <c r="AY2316" s="2">
        <v>41</v>
      </c>
      <c r="AZ2316" s="2" t="s">
        <v>82</v>
      </c>
      <c r="BA2316" s="2">
        <v>41</v>
      </c>
      <c r="BB2316" s="2" t="s">
        <v>82</v>
      </c>
      <c r="BC2316" s="2">
        <v>41</v>
      </c>
      <c r="BD2316" s="2" t="s">
        <v>82</v>
      </c>
      <c r="BE2316" s="2">
        <v>41</v>
      </c>
      <c r="BF2316" s="2" t="s">
        <v>82</v>
      </c>
      <c r="BG2316" s="2"/>
      <c r="BH2316" s="2"/>
      <c r="BI2316" s="2"/>
      <c r="BJ2316" s="2">
        <v>13</v>
      </c>
      <c r="BK2316" s="2" t="s">
        <v>91</v>
      </c>
      <c r="BL2316" s="2" t="s">
        <v>445</v>
      </c>
      <c r="BM2316" s="2">
        <v>241</v>
      </c>
      <c r="BN2316" s="2" t="s">
        <v>82</v>
      </c>
      <c r="BO2316" s="2"/>
      <c r="BP2316" s="2">
        <v>13</v>
      </c>
      <c r="BQ2316" s="2" t="s">
        <v>91</v>
      </c>
      <c r="BR2316" s="2" t="s">
        <v>7891</v>
      </c>
      <c r="BS2316" s="3">
        <v>40333</v>
      </c>
      <c r="BT2316" s="4">
        <v>5.1840277777777777E-2</v>
      </c>
    </row>
    <row r="2317" spans="1:72" x14ac:dyDescent="0.25">
      <c r="A2317" s="2">
        <v>3389</v>
      </c>
      <c r="B2317" s="2">
        <v>2010</v>
      </c>
      <c r="C2317" s="2" t="s">
        <v>72</v>
      </c>
      <c r="D2317" s="2" t="s">
        <v>73</v>
      </c>
      <c r="E2317" s="2"/>
      <c r="F2317" s="2">
        <v>170</v>
      </c>
      <c r="G2317" s="2" t="s">
        <v>7892</v>
      </c>
      <c r="H2317" s="2">
        <v>108</v>
      </c>
      <c r="I2317" s="2" t="s">
        <v>1096</v>
      </c>
      <c r="J2317" s="2">
        <v>550</v>
      </c>
      <c r="K2317" s="2" t="s">
        <v>6744</v>
      </c>
      <c r="L2317" s="2" t="s">
        <v>6745</v>
      </c>
      <c r="M2317" s="3">
        <v>40333</v>
      </c>
      <c r="N2317" s="2" t="s">
        <v>7893</v>
      </c>
      <c r="O2317" s="2" t="s">
        <v>107</v>
      </c>
      <c r="P2317" s="2" t="s">
        <v>107</v>
      </c>
      <c r="Q2317" s="2" t="str">
        <f>"201-A/10"</f>
        <v>201-A/10</v>
      </c>
      <c r="R2317" s="2" t="s">
        <v>107</v>
      </c>
      <c r="S2317" s="2" t="s">
        <v>78</v>
      </c>
      <c r="T2317" s="2">
        <v>1</v>
      </c>
      <c r="U2317" s="2" t="s">
        <v>79</v>
      </c>
      <c r="V2317" s="2">
        <v>1</v>
      </c>
      <c r="W2317" s="2" t="s">
        <v>80</v>
      </c>
      <c r="X2317" s="2">
        <v>12</v>
      </c>
      <c r="Y2317" s="2" t="s">
        <v>148</v>
      </c>
      <c r="Z2317" s="2">
        <v>1</v>
      </c>
      <c r="AA2317" s="2" t="s">
        <v>82</v>
      </c>
      <c r="AB2317" s="2">
        <v>6</v>
      </c>
      <c r="AC2317" s="2" t="s">
        <v>83</v>
      </c>
      <c r="AD2317" s="3">
        <v>40332</v>
      </c>
      <c r="AE2317" s="4">
        <v>0.53125</v>
      </c>
      <c r="AF2317" s="3">
        <v>40332</v>
      </c>
      <c r="AG2317" s="4">
        <v>0.63888888888888895</v>
      </c>
      <c r="AH2317" s="2">
        <v>2</v>
      </c>
      <c r="AI2317" s="2" t="s">
        <v>84</v>
      </c>
      <c r="AJ2317" s="2">
        <v>12</v>
      </c>
      <c r="AK2317" s="2" t="s">
        <v>85</v>
      </c>
      <c r="AL2317" s="2">
        <v>12</v>
      </c>
      <c r="AM2317" s="2" t="s">
        <v>86</v>
      </c>
      <c r="AN2317" s="2" t="s">
        <v>7894</v>
      </c>
      <c r="AO2317" s="2" t="s">
        <v>7895</v>
      </c>
      <c r="AP2317" s="2">
        <v>11</v>
      </c>
      <c r="AQ2317" s="2" t="s">
        <v>82</v>
      </c>
      <c r="AR2317" s="2"/>
      <c r="AS2317" s="2"/>
      <c r="AT2317" s="2" t="s">
        <v>7896</v>
      </c>
      <c r="AU2317" s="2"/>
      <c r="AV2317" s="2"/>
      <c r="AW2317" s="2"/>
      <c r="AX2317" s="2"/>
      <c r="AY2317" s="2">
        <v>41</v>
      </c>
      <c r="AZ2317" s="2" t="s">
        <v>82</v>
      </c>
      <c r="BA2317" s="2">
        <v>41</v>
      </c>
      <c r="BB2317" s="2" t="s">
        <v>82</v>
      </c>
      <c r="BC2317" s="2">
        <v>41</v>
      </c>
      <c r="BD2317" s="2" t="s">
        <v>82</v>
      </c>
      <c r="BE2317" s="2">
        <v>41</v>
      </c>
      <c r="BF2317" s="2" t="s">
        <v>82</v>
      </c>
      <c r="BG2317" s="2"/>
      <c r="BH2317" s="2"/>
      <c r="BI2317" s="2"/>
      <c r="BJ2317" s="2">
        <v>241</v>
      </c>
      <c r="BK2317" s="2" t="s">
        <v>82</v>
      </c>
      <c r="BL2317" s="2"/>
      <c r="BM2317" s="2">
        <v>241</v>
      </c>
      <c r="BN2317" s="2" t="s">
        <v>82</v>
      </c>
      <c r="BO2317" s="2"/>
      <c r="BP2317" s="2">
        <v>241</v>
      </c>
      <c r="BQ2317" s="2" t="s">
        <v>82</v>
      </c>
      <c r="BR2317" s="2"/>
      <c r="BS2317" s="3">
        <v>40333</v>
      </c>
      <c r="BT2317" s="4">
        <v>8.2233796296296291E-2</v>
      </c>
    </row>
    <row r="2318" spans="1:72" x14ac:dyDescent="0.25">
      <c r="A2318" s="2">
        <v>3390</v>
      </c>
      <c r="B2318" s="2">
        <v>2010</v>
      </c>
      <c r="C2318" s="2" t="s">
        <v>171</v>
      </c>
      <c r="D2318" s="2" t="s">
        <v>122</v>
      </c>
      <c r="E2318" s="2" t="s">
        <v>7897</v>
      </c>
      <c r="F2318" s="2">
        <v>540</v>
      </c>
      <c r="G2318" s="2" t="s">
        <v>7178</v>
      </c>
      <c r="H2318" s="2">
        <v>4</v>
      </c>
      <c r="I2318" s="2" t="s">
        <v>173</v>
      </c>
      <c r="J2318" s="2">
        <v>451</v>
      </c>
      <c r="K2318" s="2" t="s">
        <v>3028</v>
      </c>
      <c r="L2318" s="2" t="s">
        <v>3029</v>
      </c>
      <c r="M2318" s="3">
        <v>40333</v>
      </c>
      <c r="N2318" s="2" t="s">
        <v>7898</v>
      </c>
      <c r="O2318" s="2"/>
      <c r="P2318" s="2"/>
      <c r="Q2318" s="2" t="str">
        <f>"199-A/10"</f>
        <v>199-A/10</v>
      </c>
      <c r="R2318" s="2" t="s">
        <v>489</v>
      </c>
      <c r="S2318" s="2"/>
      <c r="T2318" s="2">
        <v>1</v>
      </c>
      <c r="U2318" s="2" t="s">
        <v>79</v>
      </c>
      <c r="V2318" s="2">
        <v>1</v>
      </c>
      <c r="W2318" s="2" t="s">
        <v>80</v>
      </c>
      <c r="X2318" s="2">
        <v>1</v>
      </c>
      <c r="Y2318" s="2" t="s">
        <v>81</v>
      </c>
      <c r="Z2318" s="2">
        <v>1</v>
      </c>
      <c r="AA2318" s="2" t="s">
        <v>82</v>
      </c>
      <c r="AB2318" s="2">
        <v>1</v>
      </c>
      <c r="AC2318" s="2" t="s">
        <v>178</v>
      </c>
      <c r="AD2318" s="3">
        <v>40332</v>
      </c>
      <c r="AE2318" s="4">
        <v>0.4548611111111111</v>
      </c>
      <c r="AF2318" s="2"/>
      <c r="AG2318" s="2"/>
      <c r="AH2318" s="2">
        <v>2</v>
      </c>
      <c r="AI2318" s="2" t="s">
        <v>84</v>
      </c>
      <c r="AJ2318" s="2">
        <v>12</v>
      </c>
      <c r="AK2318" s="2" t="s">
        <v>85</v>
      </c>
      <c r="AL2318" s="2">
        <v>11</v>
      </c>
      <c r="AM2318" s="2" t="s">
        <v>137</v>
      </c>
      <c r="AN2318" s="2" t="s">
        <v>7838</v>
      </c>
      <c r="AO2318" s="2" t="s">
        <v>7839</v>
      </c>
      <c r="AP2318" s="2">
        <v>11</v>
      </c>
      <c r="AQ2318" s="2" t="s">
        <v>82</v>
      </c>
      <c r="AR2318" s="2"/>
      <c r="AS2318" s="2"/>
      <c r="AT2318" s="2" t="s">
        <v>7899</v>
      </c>
      <c r="AU2318" s="2">
        <v>1</v>
      </c>
      <c r="AV2318" s="2"/>
      <c r="AW2318" s="2"/>
      <c r="AX2318" s="2"/>
      <c r="AY2318" s="2">
        <v>41</v>
      </c>
      <c r="AZ2318" s="2" t="s">
        <v>82</v>
      </c>
      <c r="BA2318" s="2">
        <v>41</v>
      </c>
      <c r="BB2318" s="2" t="s">
        <v>82</v>
      </c>
      <c r="BC2318" s="2">
        <v>41</v>
      </c>
      <c r="BD2318" s="2" t="s">
        <v>82</v>
      </c>
      <c r="BE2318" s="2">
        <v>13</v>
      </c>
      <c r="BF2318" s="2" t="s">
        <v>108</v>
      </c>
      <c r="BG2318" s="2" t="s">
        <v>7900</v>
      </c>
      <c r="BH2318" s="2"/>
      <c r="BI2318" s="4">
        <v>0.4826388888888889</v>
      </c>
      <c r="BJ2318" s="2">
        <v>13</v>
      </c>
      <c r="BK2318" s="2" t="s">
        <v>91</v>
      </c>
      <c r="BL2318" s="2" t="s">
        <v>185</v>
      </c>
      <c r="BM2318" s="2">
        <v>241</v>
      </c>
      <c r="BN2318" s="2" t="s">
        <v>82</v>
      </c>
      <c r="BO2318" s="2"/>
      <c r="BP2318" s="2">
        <v>13</v>
      </c>
      <c r="BQ2318" s="2" t="s">
        <v>91</v>
      </c>
      <c r="BR2318" s="2" t="s">
        <v>169</v>
      </c>
      <c r="BS2318" s="3">
        <v>40333</v>
      </c>
      <c r="BT2318" s="4">
        <v>9.9270833333333322E-2</v>
      </c>
    </row>
    <row r="2319" spans="1:72" x14ac:dyDescent="0.25">
      <c r="A2319" s="2">
        <v>3395</v>
      </c>
      <c r="B2319" s="2">
        <v>2010</v>
      </c>
      <c r="C2319" s="2" t="s">
        <v>457</v>
      </c>
      <c r="D2319" s="2" t="s">
        <v>73</v>
      </c>
      <c r="E2319" s="2"/>
      <c r="F2319" s="2">
        <v>467</v>
      </c>
      <c r="G2319" s="2" t="s">
        <v>1053</v>
      </c>
      <c r="H2319" s="2">
        <v>22</v>
      </c>
      <c r="I2319" s="2" t="s">
        <v>75</v>
      </c>
      <c r="J2319" s="2">
        <v>369</v>
      </c>
      <c r="K2319" s="2" t="s">
        <v>1054</v>
      </c>
      <c r="L2319" s="2" t="s">
        <v>1055</v>
      </c>
      <c r="M2319" s="3">
        <v>40333</v>
      </c>
      <c r="N2319" s="2" t="s">
        <v>7901</v>
      </c>
      <c r="O2319" s="2" t="s">
        <v>7902</v>
      </c>
      <c r="P2319" s="2" t="s">
        <v>7903</v>
      </c>
      <c r="Q2319" s="2" t="str">
        <f>""</f>
        <v/>
      </c>
      <c r="R2319" s="2"/>
      <c r="S2319" s="2"/>
      <c r="T2319" s="2">
        <v>1</v>
      </c>
      <c r="U2319" s="2" t="s">
        <v>79</v>
      </c>
      <c r="V2319" s="2">
        <v>1</v>
      </c>
      <c r="W2319" s="2" t="s">
        <v>80</v>
      </c>
      <c r="X2319" s="2">
        <v>10</v>
      </c>
      <c r="Y2319" s="2" t="s">
        <v>226</v>
      </c>
      <c r="Z2319" s="2">
        <v>6</v>
      </c>
      <c r="AA2319" s="2" t="s">
        <v>101</v>
      </c>
      <c r="AB2319" s="2">
        <v>9</v>
      </c>
      <c r="AC2319" s="2" t="s">
        <v>124</v>
      </c>
      <c r="AD2319" s="3">
        <v>40333</v>
      </c>
      <c r="AE2319" s="4">
        <v>0.52777777777777779</v>
      </c>
      <c r="AF2319" s="2"/>
      <c r="AG2319" s="2"/>
      <c r="AH2319" s="2">
        <v>4</v>
      </c>
      <c r="AI2319" s="2" t="s">
        <v>125</v>
      </c>
      <c r="AJ2319" s="2">
        <v>29</v>
      </c>
      <c r="AK2319" s="2" t="s">
        <v>227</v>
      </c>
      <c r="AL2319" s="2">
        <v>11</v>
      </c>
      <c r="AM2319" s="2" t="s">
        <v>137</v>
      </c>
      <c r="AN2319" s="2" t="s">
        <v>2701</v>
      </c>
      <c r="AO2319" s="2"/>
      <c r="AP2319" s="2">
        <v>11</v>
      </c>
      <c r="AQ2319" s="2" t="s">
        <v>82</v>
      </c>
      <c r="AR2319" s="2" t="s">
        <v>82</v>
      </c>
      <c r="AS2319" s="2" t="s">
        <v>82</v>
      </c>
      <c r="AT2319" s="2" t="s">
        <v>7904</v>
      </c>
      <c r="AU2319" s="2"/>
      <c r="AV2319" s="2"/>
      <c r="AW2319" s="2"/>
      <c r="AX2319" s="2"/>
      <c r="AY2319" s="2">
        <v>41</v>
      </c>
      <c r="AZ2319" s="2" t="s">
        <v>82</v>
      </c>
      <c r="BA2319" s="2">
        <v>41</v>
      </c>
      <c r="BB2319" s="2" t="s">
        <v>82</v>
      </c>
      <c r="BC2319" s="2">
        <v>41</v>
      </c>
      <c r="BD2319" s="2" t="s">
        <v>82</v>
      </c>
      <c r="BE2319" s="2">
        <v>19</v>
      </c>
      <c r="BF2319" s="2" t="s">
        <v>1061</v>
      </c>
      <c r="BG2319" s="2">
        <v>250</v>
      </c>
      <c r="BH2319" s="4">
        <v>0.53125</v>
      </c>
      <c r="BI2319" s="4">
        <v>0.55902777777777779</v>
      </c>
      <c r="BJ2319" s="2">
        <v>13</v>
      </c>
      <c r="BK2319" s="2" t="s">
        <v>91</v>
      </c>
      <c r="BL2319" s="2" t="s">
        <v>828</v>
      </c>
      <c r="BM2319" s="2">
        <v>241</v>
      </c>
      <c r="BN2319" s="2" t="s">
        <v>82</v>
      </c>
      <c r="BO2319" s="2" t="s">
        <v>82</v>
      </c>
      <c r="BP2319" s="2">
        <v>29</v>
      </c>
      <c r="BQ2319" s="2" t="s">
        <v>962</v>
      </c>
      <c r="BR2319" s="2" t="s">
        <v>963</v>
      </c>
      <c r="BS2319" s="3">
        <v>40333</v>
      </c>
      <c r="BT2319" s="4">
        <v>0.57877314814814818</v>
      </c>
    </row>
    <row r="2320" spans="1:72" x14ac:dyDescent="0.25">
      <c r="A2320" s="2">
        <v>3396</v>
      </c>
      <c r="B2320" s="2">
        <v>2010</v>
      </c>
      <c r="C2320" s="2" t="s">
        <v>72</v>
      </c>
      <c r="D2320" s="2" t="s">
        <v>73</v>
      </c>
      <c r="E2320" s="2"/>
      <c r="F2320" s="2">
        <v>11</v>
      </c>
      <c r="G2320" s="2" t="s">
        <v>2454</v>
      </c>
      <c r="H2320" s="2">
        <v>56</v>
      </c>
      <c r="I2320" s="2" t="s">
        <v>3372</v>
      </c>
      <c r="J2320" s="2">
        <v>19</v>
      </c>
      <c r="K2320" s="2" t="s">
        <v>2144</v>
      </c>
      <c r="L2320" s="2" t="s">
        <v>2145</v>
      </c>
      <c r="M2320" s="3">
        <v>40333</v>
      </c>
      <c r="N2320" s="2" t="s">
        <v>2455</v>
      </c>
      <c r="O2320" s="2" t="s">
        <v>107</v>
      </c>
      <c r="P2320" s="2" t="s">
        <v>107</v>
      </c>
      <c r="Q2320" s="2" t="str">
        <f>"28-10"</f>
        <v>28-10</v>
      </c>
      <c r="R2320" s="2" t="s">
        <v>601</v>
      </c>
      <c r="S2320" s="2" t="s">
        <v>601</v>
      </c>
      <c r="T2320" s="2">
        <v>1</v>
      </c>
      <c r="U2320" s="2" t="s">
        <v>79</v>
      </c>
      <c r="V2320" s="2">
        <v>1</v>
      </c>
      <c r="W2320" s="2" t="s">
        <v>80</v>
      </c>
      <c r="X2320" s="2">
        <v>12</v>
      </c>
      <c r="Y2320" s="2" t="s">
        <v>148</v>
      </c>
      <c r="Z2320" s="2">
        <v>1</v>
      </c>
      <c r="AA2320" s="2" t="s">
        <v>82</v>
      </c>
      <c r="AB2320" s="2">
        <v>6</v>
      </c>
      <c r="AC2320" s="2" t="s">
        <v>83</v>
      </c>
      <c r="AD2320" s="2"/>
      <c r="AE2320" s="2"/>
      <c r="AF2320" s="3">
        <v>40333</v>
      </c>
      <c r="AG2320" s="4">
        <v>0.5</v>
      </c>
      <c r="AH2320" s="2">
        <v>3</v>
      </c>
      <c r="AI2320" s="2" t="s">
        <v>214</v>
      </c>
      <c r="AJ2320" s="2">
        <v>24</v>
      </c>
      <c r="AK2320" s="2" t="s">
        <v>215</v>
      </c>
      <c r="AL2320" s="2">
        <v>25</v>
      </c>
      <c r="AM2320" s="2" t="s">
        <v>3073</v>
      </c>
      <c r="AN2320" s="2" t="s">
        <v>7905</v>
      </c>
      <c r="AO2320" s="2" t="s">
        <v>107</v>
      </c>
      <c r="AP2320" s="2">
        <v>11</v>
      </c>
      <c r="AQ2320" s="2" t="s">
        <v>82</v>
      </c>
      <c r="AR2320" s="2"/>
      <c r="AS2320" s="2"/>
      <c r="AT2320" s="2" t="s">
        <v>7906</v>
      </c>
      <c r="AU2320" s="2"/>
      <c r="AV2320" s="2"/>
      <c r="AW2320" s="2"/>
      <c r="AX2320" s="2"/>
      <c r="AY2320" s="2">
        <v>77</v>
      </c>
      <c r="AZ2320" s="2" t="s">
        <v>3158</v>
      </c>
      <c r="BA2320" s="2">
        <v>77</v>
      </c>
      <c r="BB2320" s="2" t="s">
        <v>3158</v>
      </c>
      <c r="BC2320" s="2">
        <v>41</v>
      </c>
      <c r="BD2320" s="2" t="s">
        <v>82</v>
      </c>
      <c r="BE2320" s="2">
        <v>41</v>
      </c>
      <c r="BF2320" s="2" t="s">
        <v>82</v>
      </c>
      <c r="BG2320" s="2"/>
      <c r="BH2320" s="2"/>
      <c r="BI2320" s="2"/>
      <c r="BJ2320" s="2">
        <v>241</v>
      </c>
      <c r="BK2320" s="2" t="s">
        <v>82</v>
      </c>
      <c r="BL2320" s="2"/>
      <c r="BM2320" s="2">
        <v>241</v>
      </c>
      <c r="BN2320" s="2" t="s">
        <v>82</v>
      </c>
      <c r="BO2320" s="2"/>
      <c r="BP2320" s="2">
        <v>241</v>
      </c>
      <c r="BQ2320" s="2" t="s">
        <v>82</v>
      </c>
      <c r="BR2320" s="2"/>
      <c r="BS2320" s="3">
        <v>40333</v>
      </c>
      <c r="BT2320" s="4">
        <v>0.5800925925925926</v>
      </c>
    </row>
    <row r="2321" spans="1:72" x14ac:dyDescent="0.25">
      <c r="A2321" s="2">
        <v>3398</v>
      </c>
      <c r="B2321" s="2">
        <v>2010</v>
      </c>
      <c r="C2321" s="2" t="s">
        <v>72</v>
      </c>
      <c r="D2321" s="2" t="s">
        <v>73</v>
      </c>
      <c r="E2321" s="2"/>
      <c r="F2321" s="2">
        <v>3</v>
      </c>
      <c r="G2321" s="2" t="s">
        <v>1041</v>
      </c>
      <c r="H2321" s="2">
        <v>1</v>
      </c>
      <c r="I2321" s="2" t="s">
        <v>82</v>
      </c>
      <c r="J2321" s="2">
        <v>368</v>
      </c>
      <c r="K2321" s="2" t="s">
        <v>1042</v>
      </c>
      <c r="L2321" s="2" t="s">
        <v>1043</v>
      </c>
      <c r="M2321" s="3">
        <v>40333</v>
      </c>
      <c r="N2321" s="2" t="s">
        <v>107</v>
      </c>
      <c r="O2321" s="2"/>
      <c r="P2321" s="2"/>
      <c r="Q2321" s="2" t="str">
        <f>"296-E/10"</f>
        <v>296-E/10</v>
      </c>
      <c r="R2321" s="2" t="s">
        <v>480</v>
      </c>
      <c r="S2321" s="2" t="s">
        <v>7907</v>
      </c>
      <c r="T2321" s="2">
        <v>1</v>
      </c>
      <c r="U2321" s="2" t="s">
        <v>79</v>
      </c>
      <c r="V2321" s="2">
        <v>1</v>
      </c>
      <c r="W2321" s="2" t="s">
        <v>80</v>
      </c>
      <c r="X2321" s="2">
        <v>12</v>
      </c>
      <c r="Y2321" s="2" t="s">
        <v>148</v>
      </c>
      <c r="Z2321" s="2">
        <v>1</v>
      </c>
      <c r="AA2321" s="2" t="s">
        <v>82</v>
      </c>
      <c r="AB2321" s="2">
        <v>6</v>
      </c>
      <c r="AC2321" s="2" t="s">
        <v>83</v>
      </c>
      <c r="AD2321" s="3">
        <v>40333</v>
      </c>
      <c r="AE2321" s="2"/>
      <c r="AF2321" s="3">
        <v>40333</v>
      </c>
      <c r="AG2321" s="4">
        <v>0.48194444444444445</v>
      </c>
      <c r="AH2321" s="2">
        <v>2</v>
      </c>
      <c r="AI2321" s="2" t="s">
        <v>84</v>
      </c>
      <c r="AJ2321" s="2">
        <v>9</v>
      </c>
      <c r="AK2321" s="2" t="s">
        <v>103</v>
      </c>
      <c r="AL2321" s="2">
        <v>17</v>
      </c>
      <c r="AM2321" s="2" t="s">
        <v>232</v>
      </c>
      <c r="AN2321" s="2" t="s">
        <v>7908</v>
      </c>
      <c r="AO2321" s="2" t="s">
        <v>7909</v>
      </c>
      <c r="AP2321" s="2">
        <v>11</v>
      </c>
      <c r="AQ2321" s="2" t="s">
        <v>82</v>
      </c>
      <c r="AR2321" s="2"/>
      <c r="AS2321" s="2"/>
      <c r="AT2321" s="2" t="s">
        <v>7910</v>
      </c>
      <c r="AU2321" s="2"/>
      <c r="AV2321" s="2"/>
      <c r="AW2321" s="2"/>
      <c r="AX2321" s="2"/>
      <c r="AY2321" s="2">
        <v>41</v>
      </c>
      <c r="AZ2321" s="2" t="s">
        <v>82</v>
      </c>
      <c r="BA2321" s="2">
        <v>41</v>
      </c>
      <c r="BB2321" s="2" t="s">
        <v>82</v>
      </c>
      <c r="BC2321" s="2">
        <v>1</v>
      </c>
      <c r="BD2321" s="2" t="s">
        <v>107</v>
      </c>
      <c r="BE2321" s="2">
        <v>41</v>
      </c>
      <c r="BF2321" s="2" t="s">
        <v>82</v>
      </c>
      <c r="BG2321" s="2"/>
      <c r="BH2321" s="2"/>
      <c r="BI2321" s="2"/>
      <c r="BJ2321" s="2">
        <v>241</v>
      </c>
      <c r="BK2321" s="2" t="s">
        <v>82</v>
      </c>
      <c r="BL2321" s="2"/>
      <c r="BM2321" s="2">
        <v>241</v>
      </c>
      <c r="BN2321" s="2" t="s">
        <v>82</v>
      </c>
      <c r="BO2321" s="2"/>
      <c r="BP2321" s="2">
        <v>13</v>
      </c>
      <c r="BQ2321" s="2" t="s">
        <v>91</v>
      </c>
      <c r="BR2321" s="2"/>
      <c r="BS2321" s="3">
        <v>40333</v>
      </c>
      <c r="BT2321" s="4">
        <v>0.64938657407407407</v>
      </c>
    </row>
    <row r="2322" spans="1:72" x14ac:dyDescent="0.25">
      <c r="A2322" s="2">
        <v>3400</v>
      </c>
      <c r="B2322" s="2">
        <v>2010</v>
      </c>
      <c r="C2322" s="2" t="s">
        <v>72</v>
      </c>
      <c r="D2322" s="2" t="s">
        <v>73</v>
      </c>
      <c r="E2322" s="2"/>
      <c r="F2322" s="2">
        <v>481</v>
      </c>
      <c r="G2322" s="2" t="s">
        <v>1438</v>
      </c>
      <c r="H2322" s="2">
        <v>1</v>
      </c>
      <c r="I2322" s="2" t="s">
        <v>82</v>
      </c>
      <c r="J2322" s="2">
        <v>57</v>
      </c>
      <c r="K2322" s="2" t="s">
        <v>431</v>
      </c>
      <c r="L2322" s="2" t="s">
        <v>432</v>
      </c>
      <c r="M2322" s="3">
        <v>40333</v>
      </c>
      <c r="N2322" s="2" t="s">
        <v>7911</v>
      </c>
      <c r="O2322" s="2" t="s">
        <v>107</v>
      </c>
      <c r="P2322" s="2" t="s">
        <v>107</v>
      </c>
      <c r="Q2322" s="2" t="str">
        <f>"29/10"</f>
        <v>29/10</v>
      </c>
      <c r="R2322" s="2" t="s">
        <v>7781</v>
      </c>
      <c r="S2322" s="2" t="s">
        <v>7781</v>
      </c>
      <c r="T2322" s="2">
        <v>1</v>
      </c>
      <c r="U2322" s="2" t="s">
        <v>79</v>
      </c>
      <c r="V2322" s="2">
        <v>1</v>
      </c>
      <c r="W2322" s="2" t="s">
        <v>80</v>
      </c>
      <c r="X2322" s="2">
        <v>12</v>
      </c>
      <c r="Y2322" s="2" t="s">
        <v>148</v>
      </c>
      <c r="Z2322" s="2">
        <v>1</v>
      </c>
      <c r="AA2322" s="2" t="s">
        <v>82</v>
      </c>
      <c r="AB2322" s="2">
        <v>6</v>
      </c>
      <c r="AC2322" s="2" t="s">
        <v>83</v>
      </c>
      <c r="AD2322" s="2"/>
      <c r="AE2322" s="2"/>
      <c r="AF2322" s="3">
        <v>40333</v>
      </c>
      <c r="AG2322" s="4">
        <v>0.59375</v>
      </c>
      <c r="AH2322" s="2">
        <v>3</v>
      </c>
      <c r="AI2322" s="2" t="s">
        <v>214</v>
      </c>
      <c r="AJ2322" s="2">
        <v>17</v>
      </c>
      <c r="AK2322" s="2" t="s">
        <v>309</v>
      </c>
      <c r="AL2322" s="2">
        <v>22</v>
      </c>
      <c r="AM2322" s="2" t="s">
        <v>1853</v>
      </c>
      <c r="AN2322" s="2" t="s">
        <v>7912</v>
      </c>
      <c r="AO2322" s="2" t="s">
        <v>82</v>
      </c>
      <c r="AP2322" s="2">
        <v>11</v>
      </c>
      <c r="AQ2322" s="2" t="s">
        <v>82</v>
      </c>
      <c r="AR2322" s="2" t="s">
        <v>82</v>
      </c>
      <c r="AS2322" s="2" t="s">
        <v>82</v>
      </c>
      <c r="AT2322" s="2" t="s">
        <v>7913</v>
      </c>
      <c r="AU2322" s="2"/>
      <c r="AV2322" s="2"/>
      <c r="AW2322" s="2"/>
      <c r="AX2322" s="2"/>
      <c r="AY2322" s="2">
        <v>41</v>
      </c>
      <c r="AZ2322" s="2" t="s">
        <v>82</v>
      </c>
      <c r="BA2322" s="2">
        <v>41</v>
      </c>
      <c r="BB2322" s="2" t="s">
        <v>82</v>
      </c>
      <c r="BC2322" s="2">
        <v>41</v>
      </c>
      <c r="BD2322" s="2" t="s">
        <v>82</v>
      </c>
      <c r="BE2322" s="2">
        <v>17</v>
      </c>
      <c r="BF2322" s="2" t="s">
        <v>508</v>
      </c>
      <c r="BG2322" s="2">
        <v>930</v>
      </c>
      <c r="BH2322" s="4">
        <v>0.44444444444444442</v>
      </c>
      <c r="BI2322" s="4">
        <v>0.37847222222222227</v>
      </c>
      <c r="BJ2322" s="2">
        <v>46</v>
      </c>
      <c r="BK2322" s="2" t="s">
        <v>307</v>
      </c>
      <c r="BL2322" s="2" t="s">
        <v>308</v>
      </c>
      <c r="BM2322" s="2">
        <v>241</v>
      </c>
      <c r="BN2322" s="2" t="s">
        <v>82</v>
      </c>
      <c r="BO2322" s="2" t="s">
        <v>82</v>
      </c>
      <c r="BP2322" s="2">
        <v>13</v>
      </c>
      <c r="BQ2322" s="2" t="s">
        <v>91</v>
      </c>
      <c r="BR2322" s="2" t="s">
        <v>445</v>
      </c>
      <c r="BS2322" s="3">
        <v>40333</v>
      </c>
      <c r="BT2322" s="4">
        <v>0.6702662037037036</v>
      </c>
    </row>
    <row r="2323" spans="1:72" x14ac:dyDescent="0.25">
      <c r="A2323" s="2">
        <v>3404</v>
      </c>
      <c r="B2323" s="2">
        <v>2010</v>
      </c>
      <c r="C2323" s="2" t="s">
        <v>72</v>
      </c>
      <c r="D2323" s="2" t="s">
        <v>73</v>
      </c>
      <c r="E2323" s="2"/>
      <c r="F2323" s="2">
        <v>533</v>
      </c>
      <c r="G2323" s="2" t="s">
        <v>3397</v>
      </c>
      <c r="H2323" s="2">
        <v>3</v>
      </c>
      <c r="I2323" s="2" t="s">
        <v>315</v>
      </c>
      <c r="J2323" s="2">
        <v>462</v>
      </c>
      <c r="K2323" s="2" t="s">
        <v>3398</v>
      </c>
      <c r="L2323" s="2" t="s">
        <v>3399</v>
      </c>
      <c r="M2323" s="3">
        <v>40333</v>
      </c>
      <c r="N2323" s="2" t="s">
        <v>7914</v>
      </c>
      <c r="O2323" s="2"/>
      <c r="P2323" s="2"/>
      <c r="Q2323" s="2" t="str">
        <f>"0077/10"</f>
        <v>0077/10</v>
      </c>
      <c r="R2323" s="2"/>
      <c r="S2323" s="2" t="s">
        <v>148</v>
      </c>
      <c r="T2323" s="2">
        <v>1</v>
      </c>
      <c r="U2323" s="2" t="s">
        <v>79</v>
      </c>
      <c r="V2323" s="2">
        <v>1</v>
      </c>
      <c r="W2323" s="2" t="s">
        <v>80</v>
      </c>
      <c r="X2323" s="2">
        <v>12</v>
      </c>
      <c r="Y2323" s="2" t="s">
        <v>148</v>
      </c>
      <c r="Z2323" s="2">
        <v>1</v>
      </c>
      <c r="AA2323" s="2" t="s">
        <v>82</v>
      </c>
      <c r="AB2323" s="2">
        <v>6</v>
      </c>
      <c r="AC2323" s="2" t="s">
        <v>83</v>
      </c>
      <c r="AD2323" s="3">
        <v>40333</v>
      </c>
      <c r="AE2323" s="2"/>
      <c r="AF2323" s="3">
        <v>40333</v>
      </c>
      <c r="AG2323" s="4">
        <v>0.66666666666666663</v>
      </c>
      <c r="AH2323" s="2">
        <v>5</v>
      </c>
      <c r="AI2323" s="2" t="s">
        <v>274</v>
      </c>
      <c r="AJ2323" s="2">
        <v>38</v>
      </c>
      <c r="AK2323" s="2" t="s">
        <v>1120</v>
      </c>
      <c r="AL2323" s="2">
        <v>14</v>
      </c>
      <c r="AM2323" s="2" t="s">
        <v>216</v>
      </c>
      <c r="AN2323" s="2"/>
      <c r="AO2323" s="2" t="s">
        <v>7915</v>
      </c>
      <c r="AP2323" s="2">
        <v>11</v>
      </c>
      <c r="AQ2323" s="2" t="s">
        <v>82</v>
      </c>
      <c r="AR2323" s="2"/>
      <c r="AS2323" s="2"/>
      <c r="AT2323" s="2" t="s">
        <v>7916</v>
      </c>
      <c r="AU2323" s="2"/>
      <c r="AV2323" s="2"/>
      <c r="AW2323" s="2"/>
      <c r="AX2323" s="2"/>
      <c r="AY2323" s="2">
        <v>41</v>
      </c>
      <c r="AZ2323" s="2" t="s">
        <v>82</v>
      </c>
      <c r="BA2323" s="2">
        <v>41</v>
      </c>
      <c r="BB2323" s="2" t="s">
        <v>82</v>
      </c>
      <c r="BC2323" s="2">
        <v>41</v>
      </c>
      <c r="BD2323" s="2" t="s">
        <v>82</v>
      </c>
      <c r="BE2323" s="2">
        <v>41</v>
      </c>
      <c r="BF2323" s="2" t="s">
        <v>82</v>
      </c>
      <c r="BG2323" s="2"/>
      <c r="BH2323" s="2"/>
      <c r="BI2323" s="2"/>
      <c r="BJ2323" s="2">
        <v>241</v>
      </c>
      <c r="BK2323" s="2" t="s">
        <v>82</v>
      </c>
      <c r="BL2323" s="2"/>
      <c r="BM2323" s="2">
        <v>241</v>
      </c>
      <c r="BN2323" s="2" t="s">
        <v>82</v>
      </c>
      <c r="BO2323" s="2"/>
      <c r="BP2323" s="2">
        <v>241</v>
      </c>
      <c r="BQ2323" s="2" t="s">
        <v>82</v>
      </c>
      <c r="BR2323" s="2"/>
      <c r="BS2323" s="3">
        <v>40333</v>
      </c>
      <c r="BT2323" s="4">
        <v>0.76752314814814815</v>
      </c>
    </row>
    <row r="2324" spans="1:72" x14ac:dyDescent="0.25">
      <c r="A2324" s="2">
        <v>3406</v>
      </c>
      <c r="B2324" s="2">
        <v>2010</v>
      </c>
      <c r="C2324" s="2" t="s">
        <v>171</v>
      </c>
      <c r="D2324" s="2" t="s">
        <v>73</v>
      </c>
      <c r="E2324" s="2"/>
      <c r="F2324" s="2">
        <v>396</v>
      </c>
      <c r="G2324" s="2" t="s">
        <v>2159</v>
      </c>
      <c r="H2324" s="2">
        <v>8</v>
      </c>
      <c r="I2324" s="2" t="s">
        <v>3451</v>
      </c>
      <c r="J2324" s="2">
        <v>243</v>
      </c>
      <c r="K2324" s="2" t="s">
        <v>2160</v>
      </c>
      <c r="L2324" s="2" t="s">
        <v>2145</v>
      </c>
      <c r="M2324" s="3">
        <v>40333</v>
      </c>
      <c r="N2324" s="2" t="s">
        <v>3452</v>
      </c>
      <c r="O2324" s="2" t="s">
        <v>107</v>
      </c>
      <c r="P2324" s="2" t="s">
        <v>107</v>
      </c>
      <c r="Q2324" s="2" t="str">
        <f>"297-E/10"</f>
        <v>297-E/10</v>
      </c>
      <c r="R2324" s="2" t="s">
        <v>7917</v>
      </c>
      <c r="S2324" s="2" t="s">
        <v>7917</v>
      </c>
      <c r="T2324" s="2">
        <v>1</v>
      </c>
      <c r="U2324" s="2" t="s">
        <v>79</v>
      </c>
      <c r="V2324" s="2">
        <v>1</v>
      </c>
      <c r="W2324" s="2" t="s">
        <v>80</v>
      </c>
      <c r="X2324" s="2">
        <v>1</v>
      </c>
      <c r="Y2324" s="2" t="s">
        <v>81</v>
      </c>
      <c r="Z2324" s="2">
        <v>1</v>
      </c>
      <c r="AA2324" s="2" t="s">
        <v>82</v>
      </c>
      <c r="AB2324" s="2">
        <v>1</v>
      </c>
      <c r="AC2324" s="2" t="s">
        <v>178</v>
      </c>
      <c r="AD2324" s="3">
        <v>40333</v>
      </c>
      <c r="AE2324" s="4">
        <v>0.5</v>
      </c>
      <c r="AF2324" s="2"/>
      <c r="AG2324" s="2"/>
      <c r="AH2324" s="2">
        <v>2</v>
      </c>
      <c r="AI2324" s="2" t="s">
        <v>84</v>
      </c>
      <c r="AJ2324" s="2">
        <v>9</v>
      </c>
      <c r="AK2324" s="2" t="s">
        <v>103</v>
      </c>
      <c r="AL2324" s="2">
        <v>11</v>
      </c>
      <c r="AM2324" s="2" t="s">
        <v>137</v>
      </c>
      <c r="AN2324" s="2" t="s">
        <v>987</v>
      </c>
      <c r="AO2324" s="2" t="s">
        <v>7918</v>
      </c>
      <c r="AP2324" s="2">
        <v>11</v>
      </c>
      <c r="AQ2324" s="2" t="s">
        <v>82</v>
      </c>
      <c r="AR2324" s="2"/>
      <c r="AS2324" s="2"/>
      <c r="AT2324" s="2" t="s">
        <v>7919</v>
      </c>
      <c r="AU2324" s="2"/>
      <c r="AV2324" s="2">
        <v>1</v>
      </c>
      <c r="AW2324" s="2"/>
      <c r="AX2324" s="2"/>
      <c r="AY2324" s="2">
        <v>41</v>
      </c>
      <c r="AZ2324" s="2" t="s">
        <v>82</v>
      </c>
      <c r="BA2324" s="2">
        <v>41</v>
      </c>
      <c r="BB2324" s="2" t="s">
        <v>82</v>
      </c>
      <c r="BC2324" s="2">
        <v>41</v>
      </c>
      <c r="BD2324" s="2" t="s">
        <v>82</v>
      </c>
      <c r="BE2324" s="2">
        <v>39</v>
      </c>
      <c r="BF2324" s="2" t="s">
        <v>440</v>
      </c>
      <c r="BG2324" s="2" t="s">
        <v>7920</v>
      </c>
      <c r="BH2324" s="2"/>
      <c r="BI2324" s="4">
        <v>0.58333333333333337</v>
      </c>
      <c r="BJ2324" s="2">
        <v>13</v>
      </c>
      <c r="BK2324" s="2" t="s">
        <v>91</v>
      </c>
      <c r="BL2324" s="2" t="s">
        <v>360</v>
      </c>
      <c r="BM2324" s="2">
        <v>33</v>
      </c>
      <c r="BN2324" s="2" t="s">
        <v>361</v>
      </c>
      <c r="BO2324" s="2" t="s">
        <v>7921</v>
      </c>
      <c r="BP2324" s="2">
        <v>166</v>
      </c>
      <c r="BQ2324" s="2" t="s">
        <v>401</v>
      </c>
      <c r="BR2324" s="2" t="s">
        <v>5028</v>
      </c>
      <c r="BS2324" s="3">
        <v>40333</v>
      </c>
      <c r="BT2324" s="4">
        <v>0.77946759259259257</v>
      </c>
    </row>
    <row r="2325" spans="1:72" x14ac:dyDescent="0.25">
      <c r="A2325" s="2">
        <v>3409</v>
      </c>
      <c r="B2325" s="2">
        <v>2010</v>
      </c>
      <c r="C2325" s="2" t="s">
        <v>121</v>
      </c>
      <c r="D2325" s="2" t="s">
        <v>122</v>
      </c>
      <c r="E2325" s="2"/>
      <c r="F2325" s="2">
        <v>1</v>
      </c>
      <c r="G2325" s="2" t="s">
        <v>82</v>
      </c>
      <c r="H2325" s="2">
        <v>1</v>
      </c>
      <c r="I2325" s="2" t="s">
        <v>82</v>
      </c>
      <c r="J2325" s="2">
        <v>1</v>
      </c>
      <c r="K2325" s="2" t="s">
        <v>107</v>
      </c>
      <c r="L2325" s="2" t="s">
        <v>107</v>
      </c>
      <c r="M2325" s="3">
        <v>40333</v>
      </c>
      <c r="N2325" s="2"/>
      <c r="O2325" s="2"/>
      <c r="P2325" s="2"/>
      <c r="Q2325" s="2" t="str">
        <f>""</f>
        <v/>
      </c>
      <c r="R2325" s="2"/>
      <c r="S2325" s="2"/>
      <c r="T2325" s="2">
        <v>2</v>
      </c>
      <c r="U2325" s="2" t="s">
        <v>123</v>
      </c>
      <c r="V2325" s="2">
        <v>1</v>
      </c>
      <c r="W2325" s="2" t="s">
        <v>80</v>
      </c>
      <c r="X2325" s="2">
        <v>11</v>
      </c>
      <c r="Y2325" s="2" t="s">
        <v>1920</v>
      </c>
      <c r="Z2325" s="2">
        <v>10</v>
      </c>
      <c r="AA2325" s="2" t="s">
        <v>236</v>
      </c>
      <c r="AB2325" s="2">
        <v>9</v>
      </c>
      <c r="AC2325" s="2" t="s">
        <v>124</v>
      </c>
      <c r="AD2325" s="3">
        <v>40333</v>
      </c>
      <c r="AE2325" s="4">
        <v>0.72222222222222221</v>
      </c>
      <c r="AF2325" s="2"/>
      <c r="AG2325" s="2"/>
      <c r="AH2325" s="2">
        <v>4</v>
      </c>
      <c r="AI2325" s="2" t="s">
        <v>125</v>
      </c>
      <c r="AJ2325" s="2">
        <v>29</v>
      </c>
      <c r="AK2325" s="2" t="s">
        <v>227</v>
      </c>
      <c r="AL2325" s="2">
        <v>25</v>
      </c>
      <c r="AM2325" s="2" t="s">
        <v>3073</v>
      </c>
      <c r="AN2325" s="2" t="s">
        <v>7922</v>
      </c>
      <c r="AO2325" s="2"/>
      <c r="AP2325" s="2">
        <v>11</v>
      </c>
      <c r="AQ2325" s="2" t="s">
        <v>82</v>
      </c>
      <c r="AR2325" s="2"/>
      <c r="AS2325" s="2"/>
      <c r="AT2325" s="2" t="s">
        <v>7923</v>
      </c>
      <c r="AU2325" s="2"/>
      <c r="AV2325" s="2"/>
      <c r="AW2325" s="2"/>
      <c r="AX2325" s="2"/>
      <c r="AY2325" s="2">
        <v>41</v>
      </c>
      <c r="AZ2325" s="2" t="s">
        <v>82</v>
      </c>
      <c r="BA2325" s="2">
        <v>41</v>
      </c>
      <c r="BB2325" s="2" t="s">
        <v>82</v>
      </c>
      <c r="BC2325" s="2">
        <v>41</v>
      </c>
      <c r="BD2325" s="2" t="s">
        <v>82</v>
      </c>
      <c r="BE2325" s="2">
        <v>48</v>
      </c>
      <c r="BF2325" s="2" t="s">
        <v>1123</v>
      </c>
      <c r="BG2325" s="2">
        <v>893</v>
      </c>
      <c r="BH2325" s="4">
        <v>0.71527777777777779</v>
      </c>
      <c r="BI2325" s="4">
        <v>0.74305555555555547</v>
      </c>
      <c r="BJ2325" s="2">
        <v>13</v>
      </c>
      <c r="BK2325" s="2" t="s">
        <v>91</v>
      </c>
      <c r="BL2325" s="2" t="s">
        <v>92</v>
      </c>
      <c r="BM2325" s="2">
        <v>13</v>
      </c>
      <c r="BN2325" s="2" t="s">
        <v>91</v>
      </c>
      <c r="BO2325" s="2" t="s">
        <v>828</v>
      </c>
      <c r="BP2325" s="2">
        <v>13</v>
      </c>
      <c r="BQ2325" s="2" t="s">
        <v>91</v>
      </c>
      <c r="BR2325" s="2" t="s">
        <v>169</v>
      </c>
      <c r="BS2325" s="3">
        <v>40333</v>
      </c>
      <c r="BT2325" s="4">
        <v>0.80337962962962972</v>
      </c>
    </row>
    <row r="2326" spans="1:72" x14ac:dyDescent="0.25">
      <c r="A2326" s="2">
        <v>3410</v>
      </c>
      <c r="B2326" s="2">
        <v>2010</v>
      </c>
      <c r="C2326" s="2" t="s">
        <v>377</v>
      </c>
      <c r="D2326" s="2" t="s">
        <v>73</v>
      </c>
      <c r="E2326" s="2"/>
      <c r="F2326" s="2">
        <v>426</v>
      </c>
      <c r="G2326" s="2" t="s">
        <v>378</v>
      </c>
      <c r="H2326" s="2">
        <v>22</v>
      </c>
      <c r="I2326" s="2" t="s">
        <v>75</v>
      </c>
      <c r="J2326" s="2">
        <v>311</v>
      </c>
      <c r="K2326" s="2" t="s">
        <v>379</v>
      </c>
      <c r="L2326" s="2" t="s">
        <v>380</v>
      </c>
      <c r="M2326" s="3">
        <v>40333</v>
      </c>
      <c r="N2326" s="2" t="s">
        <v>4427</v>
      </c>
      <c r="O2326" s="2"/>
      <c r="P2326" s="2"/>
      <c r="Q2326" s="2" t="str">
        <f>"106-C/10"</f>
        <v>106-C/10</v>
      </c>
      <c r="R2326" s="2" t="s">
        <v>5773</v>
      </c>
      <c r="S2326" s="2"/>
      <c r="T2326" s="2">
        <v>1</v>
      </c>
      <c r="U2326" s="2" t="s">
        <v>79</v>
      </c>
      <c r="V2326" s="2">
        <v>1</v>
      </c>
      <c r="W2326" s="2" t="s">
        <v>80</v>
      </c>
      <c r="X2326" s="2">
        <v>1</v>
      </c>
      <c r="Y2326" s="2" t="s">
        <v>81</v>
      </c>
      <c r="Z2326" s="2">
        <v>1</v>
      </c>
      <c r="AA2326" s="2" t="s">
        <v>82</v>
      </c>
      <c r="AB2326" s="2">
        <v>9</v>
      </c>
      <c r="AC2326" s="2" t="s">
        <v>124</v>
      </c>
      <c r="AD2326" s="3">
        <v>40333</v>
      </c>
      <c r="AE2326" s="4">
        <v>0.65277777777777779</v>
      </c>
      <c r="AF2326" s="2"/>
      <c r="AG2326" s="2"/>
      <c r="AH2326" s="2">
        <v>2</v>
      </c>
      <c r="AI2326" s="2" t="s">
        <v>84</v>
      </c>
      <c r="AJ2326" s="2">
        <v>9</v>
      </c>
      <c r="AK2326" s="2" t="s">
        <v>103</v>
      </c>
      <c r="AL2326" s="2">
        <v>29</v>
      </c>
      <c r="AM2326" s="2" t="s">
        <v>5416</v>
      </c>
      <c r="AN2326" s="2" t="s">
        <v>7075</v>
      </c>
      <c r="AO2326" s="2" t="s">
        <v>987</v>
      </c>
      <c r="AP2326" s="2">
        <v>11</v>
      </c>
      <c r="AQ2326" s="2" t="s">
        <v>82</v>
      </c>
      <c r="AR2326" s="2"/>
      <c r="AS2326" s="2"/>
      <c r="AT2326" s="2" t="s">
        <v>7924</v>
      </c>
      <c r="AU2326" s="2"/>
      <c r="AV2326" s="2"/>
      <c r="AW2326" s="2"/>
      <c r="AX2326" s="2"/>
      <c r="AY2326" s="2">
        <v>41</v>
      </c>
      <c r="AZ2326" s="2" t="s">
        <v>82</v>
      </c>
      <c r="BA2326" s="2">
        <v>41</v>
      </c>
      <c r="BB2326" s="2" t="s">
        <v>82</v>
      </c>
      <c r="BC2326" s="2">
        <v>41</v>
      </c>
      <c r="BD2326" s="2" t="s">
        <v>82</v>
      </c>
      <c r="BE2326" s="2">
        <v>41</v>
      </c>
      <c r="BF2326" s="2" t="s">
        <v>82</v>
      </c>
      <c r="BG2326" s="2"/>
      <c r="BH2326" s="2"/>
      <c r="BI2326" s="2"/>
      <c r="BJ2326" s="2">
        <v>241</v>
      </c>
      <c r="BK2326" s="2" t="s">
        <v>82</v>
      </c>
      <c r="BL2326" s="2"/>
      <c r="BM2326" s="2">
        <v>241</v>
      </c>
      <c r="BN2326" s="2" t="s">
        <v>82</v>
      </c>
      <c r="BO2326" s="2"/>
      <c r="BP2326" s="2">
        <v>241</v>
      </c>
      <c r="BQ2326" s="2" t="s">
        <v>82</v>
      </c>
      <c r="BR2326" s="2"/>
      <c r="BS2326" s="3">
        <v>40333</v>
      </c>
      <c r="BT2326" s="4">
        <v>0.83247685185185183</v>
      </c>
    </row>
    <row r="2327" spans="1:72" x14ac:dyDescent="0.25">
      <c r="A2327" s="2">
        <v>3412</v>
      </c>
      <c r="B2327" s="2">
        <v>2010</v>
      </c>
      <c r="C2327" s="2" t="s">
        <v>72</v>
      </c>
      <c r="D2327" s="2" t="s">
        <v>73</v>
      </c>
      <c r="E2327" s="2"/>
      <c r="F2327" s="2">
        <v>170</v>
      </c>
      <c r="G2327" s="2" t="s">
        <v>7892</v>
      </c>
      <c r="H2327" s="2">
        <v>108</v>
      </c>
      <c r="I2327" s="2" t="s">
        <v>1096</v>
      </c>
      <c r="J2327" s="2">
        <v>453</v>
      </c>
      <c r="K2327" s="2" t="s">
        <v>1775</v>
      </c>
      <c r="L2327" s="2" t="s">
        <v>7925</v>
      </c>
      <c r="M2327" s="3">
        <v>40333</v>
      </c>
      <c r="N2327" s="2" t="s">
        <v>7926</v>
      </c>
      <c r="O2327" s="2" t="s">
        <v>107</v>
      </c>
      <c r="P2327" s="2" t="s">
        <v>107</v>
      </c>
      <c r="Q2327" s="2" t="str">
        <f>"202-A/10"</f>
        <v>202-A/10</v>
      </c>
      <c r="R2327" s="2" t="s">
        <v>1794</v>
      </c>
      <c r="S2327" s="2" t="s">
        <v>1794</v>
      </c>
      <c r="T2327" s="2">
        <v>1</v>
      </c>
      <c r="U2327" s="2" t="s">
        <v>79</v>
      </c>
      <c r="V2327" s="2">
        <v>1</v>
      </c>
      <c r="W2327" s="2" t="s">
        <v>80</v>
      </c>
      <c r="X2327" s="2">
        <v>12</v>
      </c>
      <c r="Y2327" s="2" t="s">
        <v>148</v>
      </c>
      <c r="Z2327" s="2">
        <v>1</v>
      </c>
      <c r="AA2327" s="2" t="s">
        <v>82</v>
      </c>
      <c r="AB2327" s="2">
        <v>6</v>
      </c>
      <c r="AC2327" s="2" t="s">
        <v>83</v>
      </c>
      <c r="AD2327" s="3">
        <v>40333</v>
      </c>
      <c r="AE2327" s="4">
        <v>0.71180555555555547</v>
      </c>
      <c r="AF2327" s="3">
        <v>40333</v>
      </c>
      <c r="AG2327" s="4">
        <v>0.78472222222222221</v>
      </c>
      <c r="AH2327" s="2">
        <v>2</v>
      </c>
      <c r="AI2327" s="2" t="s">
        <v>84</v>
      </c>
      <c r="AJ2327" s="2">
        <v>12</v>
      </c>
      <c r="AK2327" s="2" t="s">
        <v>85</v>
      </c>
      <c r="AL2327" s="2">
        <v>2</v>
      </c>
      <c r="AM2327" s="2" t="s">
        <v>163</v>
      </c>
      <c r="AN2327" s="2" t="s">
        <v>2437</v>
      </c>
      <c r="AO2327" s="2" t="s">
        <v>107</v>
      </c>
      <c r="AP2327" s="2">
        <v>11</v>
      </c>
      <c r="AQ2327" s="2" t="s">
        <v>82</v>
      </c>
      <c r="AR2327" s="2"/>
      <c r="AS2327" s="2"/>
      <c r="AT2327" s="2" t="s">
        <v>7927</v>
      </c>
      <c r="AU2327" s="2"/>
      <c r="AV2327" s="2"/>
      <c r="AW2327" s="2"/>
      <c r="AX2327" s="2"/>
      <c r="AY2327" s="2">
        <v>41</v>
      </c>
      <c r="AZ2327" s="2" t="s">
        <v>82</v>
      </c>
      <c r="BA2327" s="2">
        <v>41</v>
      </c>
      <c r="BB2327" s="2" t="s">
        <v>82</v>
      </c>
      <c r="BC2327" s="2">
        <v>41</v>
      </c>
      <c r="BD2327" s="2" t="s">
        <v>82</v>
      </c>
      <c r="BE2327" s="2">
        <v>13</v>
      </c>
      <c r="BF2327" s="2" t="s">
        <v>108</v>
      </c>
      <c r="BG2327" s="2" t="s">
        <v>7928</v>
      </c>
      <c r="BH2327" s="4">
        <v>0.70833333333333337</v>
      </c>
      <c r="BI2327" s="2"/>
      <c r="BJ2327" s="2">
        <v>13</v>
      </c>
      <c r="BK2327" s="2" t="s">
        <v>91</v>
      </c>
      <c r="BL2327" s="2" t="s">
        <v>1026</v>
      </c>
      <c r="BM2327" s="2">
        <v>241</v>
      </c>
      <c r="BN2327" s="2" t="s">
        <v>82</v>
      </c>
      <c r="BO2327" s="2"/>
      <c r="BP2327" s="2">
        <v>13</v>
      </c>
      <c r="BQ2327" s="2" t="s">
        <v>91</v>
      </c>
      <c r="BR2327" s="2" t="s">
        <v>185</v>
      </c>
      <c r="BS2327" s="3">
        <v>40333</v>
      </c>
      <c r="BT2327" s="4">
        <v>0.93574074074074076</v>
      </c>
    </row>
    <row r="2328" spans="1:72" x14ac:dyDescent="0.25">
      <c r="A2328" s="2">
        <v>3413</v>
      </c>
      <c r="B2328" s="2">
        <v>2010</v>
      </c>
      <c r="C2328" s="2" t="s">
        <v>171</v>
      </c>
      <c r="D2328" s="2" t="s">
        <v>122</v>
      </c>
      <c r="E2328" s="2" t="s">
        <v>7815</v>
      </c>
      <c r="F2328" s="2">
        <v>229</v>
      </c>
      <c r="G2328" s="2" t="s">
        <v>2244</v>
      </c>
      <c r="H2328" s="2">
        <v>9</v>
      </c>
      <c r="I2328" s="2" t="s">
        <v>794</v>
      </c>
      <c r="J2328" s="2">
        <v>243</v>
      </c>
      <c r="K2328" s="2" t="s">
        <v>2160</v>
      </c>
      <c r="L2328" s="2" t="s">
        <v>2145</v>
      </c>
      <c r="M2328" s="3">
        <v>40333</v>
      </c>
      <c r="N2328" s="2" t="s">
        <v>2245</v>
      </c>
      <c r="O2328" s="2"/>
      <c r="P2328" s="2"/>
      <c r="Q2328" s="2" t="str">
        <f>"295-E/10"</f>
        <v>295-E/10</v>
      </c>
      <c r="R2328" s="2" t="s">
        <v>391</v>
      </c>
      <c r="S2328" s="2" t="s">
        <v>391</v>
      </c>
      <c r="T2328" s="2">
        <v>1</v>
      </c>
      <c r="U2328" s="2" t="s">
        <v>79</v>
      </c>
      <c r="V2328" s="2">
        <v>1</v>
      </c>
      <c r="W2328" s="2" t="s">
        <v>80</v>
      </c>
      <c r="X2328" s="2">
        <v>1</v>
      </c>
      <c r="Y2328" s="2" t="s">
        <v>81</v>
      </c>
      <c r="Z2328" s="2">
        <v>1</v>
      </c>
      <c r="AA2328" s="2" t="s">
        <v>82</v>
      </c>
      <c r="AB2328" s="2">
        <v>1</v>
      </c>
      <c r="AC2328" s="2" t="s">
        <v>178</v>
      </c>
      <c r="AD2328" s="3">
        <v>40333</v>
      </c>
      <c r="AE2328" s="4">
        <v>0.57291666666666663</v>
      </c>
      <c r="AF2328" s="2"/>
      <c r="AG2328" s="2"/>
      <c r="AH2328" s="2">
        <v>2</v>
      </c>
      <c r="AI2328" s="2" t="s">
        <v>84</v>
      </c>
      <c r="AJ2328" s="2">
        <v>9</v>
      </c>
      <c r="AK2328" s="2" t="s">
        <v>103</v>
      </c>
      <c r="AL2328" s="2">
        <v>11</v>
      </c>
      <c r="AM2328" s="2" t="s">
        <v>137</v>
      </c>
      <c r="AN2328" s="2"/>
      <c r="AO2328" s="5">
        <v>42370</v>
      </c>
      <c r="AP2328" s="2">
        <v>11</v>
      </c>
      <c r="AQ2328" s="2" t="s">
        <v>82</v>
      </c>
      <c r="AR2328" s="2"/>
      <c r="AS2328" s="2"/>
      <c r="AT2328" s="2" t="s">
        <v>7929</v>
      </c>
      <c r="AU2328" s="2"/>
      <c r="AV2328" s="2">
        <v>1</v>
      </c>
      <c r="AW2328" s="2"/>
      <c r="AX2328" s="2"/>
      <c r="AY2328" s="2">
        <v>41</v>
      </c>
      <c r="AZ2328" s="2" t="s">
        <v>82</v>
      </c>
      <c r="BA2328" s="2">
        <v>41</v>
      </c>
      <c r="BB2328" s="2" t="s">
        <v>82</v>
      </c>
      <c r="BC2328" s="2">
        <v>41</v>
      </c>
      <c r="BD2328" s="2" t="s">
        <v>82</v>
      </c>
      <c r="BE2328" s="2">
        <v>33</v>
      </c>
      <c r="BF2328" s="2" t="s">
        <v>1083</v>
      </c>
      <c r="BG2328" s="2" t="s">
        <v>2165</v>
      </c>
      <c r="BH2328" s="2"/>
      <c r="BI2328" s="4">
        <v>0.75</v>
      </c>
      <c r="BJ2328" s="2">
        <v>13</v>
      </c>
      <c r="BK2328" s="2" t="s">
        <v>91</v>
      </c>
      <c r="BL2328" s="2" t="s">
        <v>185</v>
      </c>
      <c r="BM2328" s="2">
        <v>241</v>
      </c>
      <c r="BN2328" s="2" t="s">
        <v>82</v>
      </c>
      <c r="BO2328" s="2"/>
      <c r="BP2328" s="2">
        <v>205</v>
      </c>
      <c r="BQ2328" s="2" t="s">
        <v>1085</v>
      </c>
      <c r="BR2328" s="2" t="s">
        <v>1086</v>
      </c>
      <c r="BS2328" s="3">
        <v>40333</v>
      </c>
      <c r="BT2328" s="4">
        <v>0.99763888888888896</v>
      </c>
    </row>
    <row r="2329" spans="1:72" x14ac:dyDescent="0.25">
      <c r="A2329" s="2">
        <v>3415</v>
      </c>
      <c r="B2329" s="2">
        <v>2010</v>
      </c>
      <c r="C2329" s="2" t="s">
        <v>819</v>
      </c>
      <c r="D2329" s="2" t="s">
        <v>73</v>
      </c>
      <c r="E2329" s="2"/>
      <c r="F2329" s="2">
        <v>1</v>
      </c>
      <c r="G2329" s="2" t="s">
        <v>82</v>
      </c>
      <c r="H2329" s="2">
        <v>1</v>
      </c>
      <c r="I2329" s="2" t="s">
        <v>82</v>
      </c>
      <c r="J2329" s="2">
        <v>1</v>
      </c>
      <c r="K2329" s="2" t="s">
        <v>107</v>
      </c>
      <c r="L2329" s="2" t="s">
        <v>107</v>
      </c>
      <c r="M2329" s="3">
        <v>40334</v>
      </c>
      <c r="N2329" s="2"/>
      <c r="O2329" s="2"/>
      <c r="P2329" s="2"/>
      <c r="Q2329" s="2" t="str">
        <f>"AP 0007/10"</f>
        <v>AP 0007/10</v>
      </c>
      <c r="R2329" s="2"/>
      <c r="S2329" s="2"/>
      <c r="T2329" s="2">
        <v>1</v>
      </c>
      <c r="U2329" s="2" t="s">
        <v>79</v>
      </c>
      <c r="V2329" s="2">
        <v>1</v>
      </c>
      <c r="W2329" s="2" t="s">
        <v>80</v>
      </c>
      <c r="X2329" s="2">
        <v>10</v>
      </c>
      <c r="Y2329" s="2" t="s">
        <v>226</v>
      </c>
      <c r="Z2329" s="2">
        <v>2</v>
      </c>
      <c r="AA2329" s="2" t="s">
        <v>2148</v>
      </c>
      <c r="AB2329" s="2">
        <v>9</v>
      </c>
      <c r="AC2329" s="2" t="s">
        <v>124</v>
      </c>
      <c r="AD2329" s="3">
        <v>40333</v>
      </c>
      <c r="AE2329" s="4">
        <v>0.83333333333333337</v>
      </c>
      <c r="AF2329" s="2"/>
      <c r="AG2329" s="2"/>
      <c r="AH2329" s="2">
        <v>5</v>
      </c>
      <c r="AI2329" s="2" t="s">
        <v>274</v>
      </c>
      <c r="AJ2329" s="2">
        <v>37</v>
      </c>
      <c r="AK2329" s="2" t="s">
        <v>497</v>
      </c>
      <c r="AL2329" s="2">
        <v>25</v>
      </c>
      <c r="AM2329" s="2" t="s">
        <v>3073</v>
      </c>
      <c r="AN2329" s="2"/>
      <c r="AO2329" s="2" t="s">
        <v>179</v>
      </c>
      <c r="AP2329" s="2">
        <v>11</v>
      </c>
      <c r="AQ2329" s="2" t="s">
        <v>82</v>
      </c>
      <c r="AR2329" s="2"/>
      <c r="AS2329" s="2"/>
      <c r="AT2329" s="2" t="s">
        <v>7930</v>
      </c>
      <c r="AU2329" s="2"/>
      <c r="AV2329" s="2"/>
      <c r="AW2329" s="2"/>
      <c r="AX2329" s="2"/>
      <c r="AY2329" s="2">
        <v>1</v>
      </c>
      <c r="AZ2329" s="2" t="s">
        <v>107</v>
      </c>
      <c r="BA2329" s="2">
        <v>1</v>
      </c>
      <c r="BB2329" s="2" t="s">
        <v>107</v>
      </c>
      <c r="BC2329" s="2">
        <v>1</v>
      </c>
      <c r="BD2329" s="2" t="s">
        <v>107</v>
      </c>
      <c r="BE2329" s="2">
        <v>13</v>
      </c>
      <c r="BF2329" s="2" t="s">
        <v>108</v>
      </c>
      <c r="BG2329" s="2">
        <v>1759</v>
      </c>
      <c r="BH2329" s="4">
        <v>0.92708333333333337</v>
      </c>
      <c r="BI2329" s="4">
        <v>0.95138888888888884</v>
      </c>
      <c r="BJ2329" s="2">
        <v>13</v>
      </c>
      <c r="BK2329" s="2" t="s">
        <v>91</v>
      </c>
      <c r="BL2329" s="2" t="s">
        <v>1610</v>
      </c>
      <c r="BM2329" s="2">
        <v>241</v>
      </c>
      <c r="BN2329" s="2" t="s">
        <v>82</v>
      </c>
      <c r="BO2329" s="2"/>
      <c r="BP2329" s="2">
        <v>13</v>
      </c>
      <c r="BQ2329" s="2" t="s">
        <v>91</v>
      </c>
      <c r="BR2329" s="2" t="s">
        <v>170</v>
      </c>
      <c r="BS2329" s="3">
        <v>40334</v>
      </c>
      <c r="BT2329" s="4">
        <v>4.9166666666666664E-2</v>
      </c>
    </row>
    <row r="2330" spans="1:72" x14ac:dyDescent="0.25">
      <c r="A2330" s="2">
        <v>3416</v>
      </c>
      <c r="B2330" s="2">
        <v>2010</v>
      </c>
      <c r="C2330" s="2" t="s">
        <v>702</v>
      </c>
      <c r="D2330" s="2" t="s">
        <v>73</v>
      </c>
      <c r="E2330" s="2"/>
      <c r="F2330" s="2">
        <v>169</v>
      </c>
      <c r="G2330" s="2" t="s">
        <v>1009</v>
      </c>
      <c r="H2330" s="2">
        <v>121</v>
      </c>
      <c r="I2330" s="2" t="s">
        <v>7931</v>
      </c>
      <c r="J2330" s="2">
        <v>453</v>
      </c>
      <c r="K2330" s="2" t="s">
        <v>1775</v>
      </c>
      <c r="L2330" s="2" t="s">
        <v>7925</v>
      </c>
      <c r="M2330" s="3">
        <v>40334</v>
      </c>
      <c r="N2330" s="2" t="s">
        <v>7932</v>
      </c>
      <c r="O2330" s="2"/>
      <c r="P2330" s="2"/>
      <c r="Q2330" s="2" t="str">
        <f>"203-A/10"</f>
        <v>203-A/10</v>
      </c>
      <c r="R2330" s="2" t="s">
        <v>706</v>
      </c>
      <c r="S2330" s="2"/>
      <c r="T2330" s="2">
        <v>1</v>
      </c>
      <c r="U2330" s="2" t="s">
        <v>79</v>
      </c>
      <c r="V2330" s="2">
        <v>1</v>
      </c>
      <c r="W2330" s="2" t="s">
        <v>80</v>
      </c>
      <c r="X2330" s="2">
        <v>1</v>
      </c>
      <c r="Y2330" s="2" t="s">
        <v>81</v>
      </c>
      <c r="Z2330" s="2">
        <v>1</v>
      </c>
      <c r="AA2330" s="2" t="s">
        <v>82</v>
      </c>
      <c r="AB2330" s="2">
        <v>9</v>
      </c>
      <c r="AC2330" s="2" t="s">
        <v>124</v>
      </c>
      <c r="AD2330" s="3">
        <v>40333</v>
      </c>
      <c r="AE2330" s="4">
        <v>0.91319444444444453</v>
      </c>
      <c r="AF2330" s="2"/>
      <c r="AG2330" s="2"/>
      <c r="AH2330" s="2">
        <v>2</v>
      </c>
      <c r="AI2330" s="2" t="s">
        <v>84</v>
      </c>
      <c r="AJ2330" s="2">
        <v>12</v>
      </c>
      <c r="AK2330" s="2" t="s">
        <v>85</v>
      </c>
      <c r="AL2330" s="2">
        <v>29</v>
      </c>
      <c r="AM2330" s="2" t="s">
        <v>5416</v>
      </c>
      <c r="AN2330" s="2"/>
      <c r="AO2330" s="2" t="s">
        <v>7933</v>
      </c>
      <c r="AP2330" s="2">
        <v>11</v>
      </c>
      <c r="AQ2330" s="2" t="s">
        <v>82</v>
      </c>
      <c r="AR2330" s="2"/>
      <c r="AS2330" s="2"/>
      <c r="AT2330" s="2" t="s">
        <v>7934</v>
      </c>
      <c r="AU2330" s="2">
        <v>2</v>
      </c>
      <c r="AV2330" s="2"/>
      <c r="AW2330" s="2"/>
      <c r="AX2330" s="2"/>
      <c r="AY2330" s="2">
        <v>41</v>
      </c>
      <c r="AZ2330" s="2" t="s">
        <v>82</v>
      </c>
      <c r="BA2330" s="2">
        <v>41</v>
      </c>
      <c r="BB2330" s="2" t="s">
        <v>82</v>
      </c>
      <c r="BC2330" s="2">
        <v>41</v>
      </c>
      <c r="BD2330" s="2" t="s">
        <v>82</v>
      </c>
      <c r="BE2330" s="2">
        <v>41</v>
      </c>
      <c r="BF2330" s="2" t="s">
        <v>82</v>
      </c>
      <c r="BG2330" s="2"/>
      <c r="BH2330" s="2"/>
      <c r="BI2330" s="2"/>
      <c r="BJ2330" s="2">
        <v>241</v>
      </c>
      <c r="BK2330" s="2" t="s">
        <v>82</v>
      </c>
      <c r="BL2330" s="2"/>
      <c r="BM2330" s="2">
        <v>241</v>
      </c>
      <c r="BN2330" s="2" t="s">
        <v>82</v>
      </c>
      <c r="BO2330" s="2"/>
      <c r="BP2330" s="2">
        <v>241</v>
      </c>
      <c r="BQ2330" s="2" t="s">
        <v>82</v>
      </c>
      <c r="BR2330" s="2"/>
      <c r="BS2330" s="3">
        <v>40334</v>
      </c>
      <c r="BT2330" s="4">
        <v>0.2116550925925926</v>
      </c>
    </row>
    <row r="2331" spans="1:72" x14ac:dyDescent="0.25">
      <c r="A2331" s="2">
        <v>3418</v>
      </c>
      <c r="B2331" s="2">
        <v>2010</v>
      </c>
      <c r="C2331" s="2" t="s">
        <v>171</v>
      </c>
      <c r="D2331" s="2" t="s">
        <v>122</v>
      </c>
      <c r="E2331" s="2" t="s">
        <v>7935</v>
      </c>
      <c r="F2331" s="2">
        <v>396</v>
      </c>
      <c r="G2331" s="2" t="s">
        <v>2159</v>
      </c>
      <c r="H2331" s="2">
        <v>8</v>
      </c>
      <c r="I2331" s="2" t="s">
        <v>3451</v>
      </c>
      <c r="J2331" s="2">
        <v>243</v>
      </c>
      <c r="K2331" s="2" t="s">
        <v>2160</v>
      </c>
      <c r="L2331" s="2" t="s">
        <v>2145</v>
      </c>
      <c r="M2331" s="3">
        <v>40334</v>
      </c>
      <c r="N2331" s="2" t="s">
        <v>3452</v>
      </c>
      <c r="O2331" s="2" t="s">
        <v>107</v>
      </c>
      <c r="P2331" s="2" t="s">
        <v>107</v>
      </c>
      <c r="Q2331" s="2" t="str">
        <f>"297-E/10"</f>
        <v>297-E/10</v>
      </c>
      <c r="R2331" s="2" t="s">
        <v>7917</v>
      </c>
      <c r="S2331" s="2" t="s">
        <v>7917</v>
      </c>
      <c r="T2331" s="2">
        <v>1</v>
      </c>
      <c r="U2331" s="2" t="s">
        <v>79</v>
      </c>
      <c r="V2331" s="2">
        <v>1</v>
      </c>
      <c r="W2331" s="2" t="s">
        <v>80</v>
      </c>
      <c r="X2331" s="2">
        <v>1</v>
      </c>
      <c r="Y2331" s="2" t="s">
        <v>81</v>
      </c>
      <c r="Z2331" s="2">
        <v>1</v>
      </c>
      <c r="AA2331" s="2" t="s">
        <v>82</v>
      </c>
      <c r="AB2331" s="2">
        <v>1</v>
      </c>
      <c r="AC2331" s="2" t="s">
        <v>178</v>
      </c>
      <c r="AD2331" s="3">
        <v>40333</v>
      </c>
      <c r="AE2331" s="4">
        <v>0.5</v>
      </c>
      <c r="AF2331" s="2"/>
      <c r="AG2331" s="2"/>
      <c r="AH2331" s="2">
        <v>2</v>
      </c>
      <c r="AI2331" s="2" t="s">
        <v>84</v>
      </c>
      <c r="AJ2331" s="2">
        <v>9</v>
      </c>
      <c r="AK2331" s="2" t="s">
        <v>103</v>
      </c>
      <c r="AL2331" s="2">
        <v>11</v>
      </c>
      <c r="AM2331" s="2" t="s">
        <v>137</v>
      </c>
      <c r="AN2331" s="2" t="s">
        <v>987</v>
      </c>
      <c r="AO2331" s="5">
        <v>42370</v>
      </c>
      <c r="AP2331" s="2">
        <v>11</v>
      </c>
      <c r="AQ2331" s="2" t="s">
        <v>82</v>
      </c>
      <c r="AR2331" s="2"/>
      <c r="AS2331" s="2"/>
      <c r="AT2331" s="2" t="s">
        <v>7936</v>
      </c>
      <c r="AU2331" s="2"/>
      <c r="AV2331" s="2">
        <v>1</v>
      </c>
      <c r="AW2331" s="2"/>
      <c r="AX2331" s="2"/>
      <c r="AY2331" s="2">
        <v>41</v>
      </c>
      <c r="AZ2331" s="2" t="s">
        <v>82</v>
      </c>
      <c r="BA2331" s="2">
        <v>41</v>
      </c>
      <c r="BB2331" s="2" t="s">
        <v>82</v>
      </c>
      <c r="BC2331" s="2">
        <v>41</v>
      </c>
      <c r="BD2331" s="2" t="s">
        <v>82</v>
      </c>
      <c r="BE2331" s="2">
        <v>39</v>
      </c>
      <c r="BF2331" s="2" t="s">
        <v>440</v>
      </c>
      <c r="BG2331" s="2" t="s">
        <v>7920</v>
      </c>
      <c r="BH2331" s="2"/>
      <c r="BI2331" s="4">
        <v>0.58333333333333337</v>
      </c>
      <c r="BJ2331" s="2">
        <v>13</v>
      </c>
      <c r="BK2331" s="2" t="s">
        <v>91</v>
      </c>
      <c r="BL2331" s="2" t="s">
        <v>185</v>
      </c>
      <c r="BM2331" s="2">
        <v>241</v>
      </c>
      <c r="BN2331" s="2" t="s">
        <v>82</v>
      </c>
      <c r="BO2331" s="2"/>
      <c r="BP2331" s="2">
        <v>33</v>
      </c>
      <c r="BQ2331" s="2" t="s">
        <v>361</v>
      </c>
      <c r="BR2331" s="2" t="s">
        <v>1739</v>
      </c>
      <c r="BS2331" s="3">
        <v>40334</v>
      </c>
      <c r="BT2331" s="4">
        <v>0.32603009259259258</v>
      </c>
    </row>
    <row r="2332" spans="1:72" x14ac:dyDescent="0.25">
      <c r="A2332" s="2">
        <v>3419</v>
      </c>
      <c r="B2332" s="2">
        <v>2010</v>
      </c>
      <c r="C2332" s="2" t="s">
        <v>819</v>
      </c>
      <c r="D2332" s="2" t="s">
        <v>122</v>
      </c>
      <c r="E2332" s="2"/>
      <c r="F2332" s="2">
        <v>425</v>
      </c>
      <c r="G2332" s="2" t="s">
        <v>286</v>
      </c>
      <c r="H2332" s="2">
        <v>31</v>
      </c>
      <c r="I2332" s="2" t="s">
        <v>880</v>
      </c>
      <c r="J2332" s="2">
        <v>310</v>
      </c>
      <c r="K2332" s="2" t="s">
        <v>288</v>
      </c>
      <c r="L2332" s="2" t="s">
        <v>289</v>
      </c>
      <c r="M2332" s="3">
        <v>40334</v>
      </c>
      <c r="N2332" s="2" t="s">
        <v>2049</v>
      </c>
      <c r="O2332" s="2"/>
      <c r="P2332" s="2"/>
      <c r="Q2332" s="2" t="str">
        <f>"065/10"</f>
        <v>065/10</v>
      </c>
      <c r="R2332" s="2"/>
      <c r="S2332" s="2" t="s">
        <v>822</v>
      </c>
      <c r="T2332" s="2">
        <v>1</v>
      </c>
      <c r="U2332" s="2" t="s">
        <v>79</v>
      </c>
      <c r="V2332" s="2">
        <v>1</v>
      </c>
      <c r="W2332" s="2" t="s">
        <v>80</v>
      </c>
      <c r="X2332" s="2">
        <v>1</v>
      </c>
      <c r="Y2332" s="2" t="s">
        <v>81</v>
      </c>
      <c r="Z2332" s="2">
        <v>10</v>
      </c>
      <c r="AA2332" s="2" t="s">
        <v>236</v>
      </c>
      <c r="AB2332" s="2">
        <v>9</v>
      </c>
      <c r="AC2332" s="2" t="s">
        <v>124</v>
      </c>
      <c r="AD2332" s="3">
        <v>40334</v>
      </c>
      <c r="AE2332" s="4">
        <v>0.33333333333333331</v>
      </c>
      <c r="AF2332" s="2"/>
      <c r="AG2332" s="2"/>
      <c r="AH2332" s="2">
        <v>4</v>
      </c>
      <c r="AI2332" s="2" t="s">
        <v>125</v>
      </c>
      <c r="AJ2332" s="2">
        <v>29</v>
      </c>
      <c r="AK2332" s="2" t="s">
        <v>227</v>
      </c>
      <c r="AL2332" s="2">
        <v>10</v>
      </c>
      <c r="AM2332" s="2" t="s">
        <v>200</v>
      </c>
      <c r="AN2332" s="2" t="s">
        <v>1015</v>
      </c>
      <c r="AO2332" s="2" t="s">
        <v>7937</v>
      </c>
      <c r="AP2332" s="2">
        <v>11</v>
      </c>
      <c r="AQ2332" s="2" t="s">
        <v>82</v>
      </c>
      <c r="AR2332" s="2" t="s">
        <v>7938</v>
      </c>
      <c r="AS2332" s="2" t="s">
        <v>7939</v>
      </c>
      <c r="AT2332" s="2" t="s">
        <v>7940</v>
      </c>
      <c r="AU2332" s="2"/>
      <c r="AV2332" s="2"/>
      <c r="AW2332" s="2"/>
      <c r="AX2332" s="2"/>
      <c r="AY2332" s="2">
        <v>41</v>
      </c>
      <c r="AZ2332" s="2" t="s">
        <v>82</v>
      </c>
      <c r="BA2332" s="2">
        <v>41</v>
      </c>
      <c r="BB2332" s="2" t="s">
        <v>82</v>
      </c>
      <c r="BC2332" s="2">
        <v>1</v>
      </c>
      <c r="BD2332" s="2" t="s">
        <v>107</v>
      </c>
      <c r="BE2332" s="2">
        <v>48</v>
      </c>
      <c r="BF2332" s="2" t="s">
        <v>1123</v>
      </c>
      <c r="BG2332" s="2">
        <v>853</v>
      </c>
      <c r="BH2332" s="4">
        <v>0.91666666666666663</v>
      </c>
      <c r="BI2332" s="4">
        <v>0.33333333333333331</v>
      </c>
      <c r="BJ2332" s="2">
        <v>13</v>
      </c>
      <c r="BK2332" s="2" t="s">
        <v>91</v>
      </c>
      <c r="BL2332" s="2" t="s">
        <v>828</v>
      </c>
      <c r="BM2332" s="2">
        <v>241</v>
      </c>
      <c r="BN2332" s="2" t="s">
        <v>82</v>
      </c>
      <c r="BO2332" s="2" t="s">
        <v>82</v>
      </c>
      <c r="BP2332" s="2">
        <v>13</v>
      </c>
      <c r="BQ2332" s="2" t="s">
        <v>91</v>
      </c>
      <c r="BR2332" s="2" t="s">
        <v>1108</v>
      </c>
      <c r="BS2332" s="3">
        <v>40334</v>
      </c>
      <c r="BT2332" s="4">
        <v>0.5099421296296297</v>
      </c>
    </row>
    <row r="2333" spans="1:72" x14ac:dyDescent="0.25">
      <c r="A2333" s="2">
        <v>3420</v>
      </c>
      <c r="B2333" s="2">
        <v>2010</v>
      </c>
      <c r="C2333" s="2" t="s">
        <v>171</v>
      </c>
      <c r="D2333" s="2" t="s">
        <v>122</v>
      </c>
      <c r="E2333" s="2" t="s">
        <v>7941</v>
      </c>
      <c r="F2333" s="2">
        <v>396</v>
      </c>
      <c r="G2333" s="2" t="s">
        <v>2159</v>
      </c>
      <c r="H2333" s="2">
        <v>8</v>
      </c>
      <c r="I2333" s="2" t="s">
        <v>3451</v>
      </c>
      <c r="J2333" s="2">
        <v>243</v>
      </c>
      <c r="K2333" s="2" t="s">
        <v>2160</v>
      </c>
      <c r="L2333" s="2" t="s">
        <v>2145</v>
      </c>
      <c r="M2333" s="3">
        <v>40334</v>
      </c>
      <c r="N2333" s="2" t="s">
        <v>3452</v>
      </c>
      <c r="O2333" s="2" t="s">
        <v>107</v>
      </c>
      <c r="P2333" s="2" t="s">
        <v>107</v>
      </c>
      <c r="Q2333" s="2" t="str">
        <f>"297-E/10"</f>
        <v>297-E/10</v>
      </c>
      <c r="R2333" s="2" t="s">
        <v>7917</v>
      </c>
      <c r="S2333" s="2" t="s">
        <v>7917</v>
      </c>
      <c r="T2333" s="2">
        <v>1</v>
      </c>
      <c r="U2333" s="2" t="s">
        <v>79</v>
      </c>
      <c r="V2333" s="2">
        <v>1</v>
      </c>
      <c r="W2333" s="2" t="s">
        <v>80</v>
      </c>
      <c r="X2333" s="2">
        <v>1</v>
      </c>
      <c r="Y2333" s="2" t="s">
        <v>81</v>
      </c>
      <c r="Z2333" s="2">
        <v>1</v>
      </c>
      <c r="AA2333" s="2" t="s">
        <v>82</v>
      </c>
      <c r="AB2333" s="2">
        <v>1</v>
      </c>
      <c r="AC2333" s="2" t="s">
        <v>178</v>
      </c>
      <c r="AD2333" s="3">
        <v>40334</v>
      </c>
      <c r="AE2333" s="4">
        <v>0.27777777777777779</v>
      </c>
      <c r="AF2333" s="2"/>
      <c r="AG2333" s="2"/>
      <c r="AH2333" s="2">
        <v>2</v>
      </c>
      <c r="AI2333" s="2" t="s">
        <v>84</v>
      </c>
      <c r="AJ2333" s="2">
        <v>9</v>
      </c>
      <c r="AK2333" s="2" t="s">
        <v>103</v>
      </c>
      <c r="AL2333" s="2">
        <v>11</v>
      </c>
      <c r="AM2333" s="2" t="s">
        <v>137</v>
      </c>
      <c r="AN2333" s="2" t="s">
        <v>987</v>
      </c>
      <c r="AO2333" s="5">
        <v>42370</v>
      </c>
      <c r="AP2333" s="2">
        <v>11</v>
      </c>
      <c r="AQ2333" s="2" t="s">
        <v>82</v>
      </c>
      <c r="AR2333" s="2"/>
      <c r="AS2333" s="2"/>
      <c r="AT2333" s="2" t="s">
        <v>7942</v>
      </c>
      <c r="AU2333" s="2"/>
      <c r="AV2333" s="2">
        <v>1</v>
      </c>
      <c r="AW2333" s="2"/>
      <c r="AX2333" s="2"/>
      <c r="AY2333" s="2">
        <v>41</v>
      </c>
      <c r="AZ2333" s="2" t="s">
        <v>82</v>
      </c>
      <c r="BA2333" s="2">
        <v>41</v>
      </c>
      <c r="BB2333" s="2" t="s">
        <v>82</v>
      </c>
      <c r="BC2333" s="2">
        <v>41</v>
      </c>
      <c r="BD2333" s="2" t="s">
        <v>82</v>
      </c>
      <c r="BE2333" s="2">
        <v>39</v>
      </c>
      <c r="BF2333" s="2" t="s">
        <v>440</v>
      </c>
      <c r="BG2333" s="2" t="s">
        <v>7920</v>
      </c>
      <c r="BH2333" s="2"/>
      <c r="BI2333" s="4">
        <v>0.58333333333333337</v>
      </c>
      <c r="BJ2333" s="2">
        <v>13</v>
      </c>
      <c r="BK2333" s="2" t="s">
        <v>91</v>
      </c>
      <c r="BL2333" s="2" t="s">
        <v>185</v>
      </c>
      <c r="BM2333" s="2">
        <v>241</v>
      </c>
      <c r="BN2333" s="2" t="s">
        <v>82</v>
      </c>
      <c r="BO2333" s="2"/>
      <c r="BP2333" s="2">
        <v>33</v>
      </c>
      <c r="BQ2333" s="2" t="s">
        <v>361</v>
      </c>
      <c r="BR2333" s="2" t="s">
        <v>1739</v>
      </c>
      <c r="BS2333" s="3">
        <v>40334</v>
      </c>
      <c r="BT2333" s="4">
        <v>0.51126157407407413</v>
      </c>
    </row>
    <row r="2334" spans="1:72" x14ac:dyDescent="0.25">
      <c r="A2334" s="2">
        <v>3421</v>
      </c>
      <c r="B2334" s="2">
        <v>2010</v>
      </c>
      <c r="C2334" s="2" t="s">
        <v>819</v>
      </c>
      <c r="D2334" s="2" t="s">
        <v>122</v>
      </c>
      <c r="E2334" s="2" t="s">
        <v>7943</v>
      </c>
      <c r="F2334" s="2">
        <v>425</v>
      </c>
      <c r="G2334" s="2" t="s">
        <v>286</v>
      </c>
      <c r="H2334" s="2">
        <v>31</v>
      </c>
      <c r="I2334" s="2" t="s">
        <v>880</v>
      </c>
      <c r="J2334" s="2">
        <v>310</v>
      </c>
      <c r="K2334" s="2" t="s">
        <v>288</v>
      </c>
      <c r="L2334" s="2" t="s">
        <v>289</v>
      </c>
      <c r="M2334" s="3">
        <v>40334</v>
      </c>
      <c r="N2334" s="2" t="s">
        <v>2049</v>
      </c>
      <c r="O2334" s="2"/>
      <c r="P2334" s="2"/>
      <c r="Q2334" s="2" t="str">
        <f>"064/10"</f>
        <v>064/10</v>
      </c>
      <c r="R2334" s="2"/>
      <c r="S2334" s="2" t="s">
        <v>822</v>
      </c>
      <c r="T2334" s="2">
        <v>1</v>
      </c>
      <c r="U2334" s="2" t="s">
        <v>79</v>
      </c>
      <c r="V2334" s="2">
        <v>1</v>
      </c>
      <c r="W2334" s="2" t="s">
        <v>80</v>
      </c>
      <c r="X2334" s="2">
        <v>1</v>
      </c>
      <c r="Y2334" s="2" t="s">
        <v>81</v>
      </c>
      <c r="Z2334" s="2">
        <v>10</v>
      </c>
      <c r="AA2334" s="2" t="s">
        <v>236</v>
      </c>
      <c r="AB2334" s="2">
        <v>9</v>
      </c>
      <c r="AC2334" s="2" t="s">
        <v>124</v>
      </c>
      <c r="AD2334" s="3">
        <v>40334</v>
      </c>
      <c r="AE2334" s="4">
        <v>0.41666666666666669</v>
      </c>
      <c r="AF2334" s="2"/>
      <c r="AG2334" s="2"/>
      <c r="AH2334" s="2">
        <v>4</v>
      </c>
      <c r="AI2334" s="2" t="s">
        <v>125</v>
      </c>
      <c r="AJ2334" s="2">
        <v>29</v>
      </c>
      <c r="AK2334" s="2" t="s">
        <v>227</v>
      </c>
      <c r="AL2334" s="2">
        <v>10</v>
      </c>
      <c r="AM2334" s="2" t="s">
        <v>200</v>
      </c>
      <c r="AN2334" s="2" t="s">
        <v>7944</v>
      </c>
      <c r="AO2334" s="2" t="s">
        <v>5383</v>
      </c>
      <c r="AP2334" s="2">
        <v>12</v>
      </c>
      <c r="AQ2334" s="2" t="s">
        <v>322</v>
      </c>
      <c r="AR2334" s="2" t="s">
        <v>824</v>
      </c>
      <c r="AS2334" s="2" t="s">
        <v>825</v>
      </c>
      <c r="AT2334" s="2" t="s">
        <v>7945</v>
      </c>
      <c r="AU2334" s="2"/>
      <c r="AV2334" s="2"/>
      <c r="AW2334" s="2"/>
      <c r="AX2334" s="2"/>
      <c r="AY2334" s="2">
        <v>41</v>
      </c>
      <c r="AZ2334" s="2" t="s">
        <v>82</v>
      </c>
      <c r="BA2334" s="2">
        <v>41</v>
      </c>
      <c r="BB2334" s="2" t="s">
        <v>82</v>
      </c>
      <c r="BC2334" s="2">
        <v>41</v>
      </c>
      <c r="BD2334" s="2" t="s">
        <v>82</v>
      </c>
      <c r="BE2334" s="2">
        <v>47</v>
      </c>
      <c r="BF2334" s="2" t="s">
        <v>167</v>
      </c>
      <c r="BG2334" s="2">
        <v>2459</v>
      </c>
      <c r="BH2334" s="4">
        <v>0.97569444444444453</v>
      </c>
      <c r="BI2334" s="4">
        <v>6.9444444444444441E-3</v>
      </c>
      <c r="BJ2334" s="2">
        <v>13</v>
      </c>
      <c r="BK2334" s="2" t="s">
        <v>91</v>
      </c>
      <c r="BL2334" s="2" t="s">
        <v>828</v>
      </c>
      <c r="BM2334" s="2">
        <v>241</v>
      </c>
      <c r="BN2334" s="2" t="s">
        <v>82</v>
      </c>
      <c r="BO2334" s="2" t="s">
        <v>82</v>
      </c>
      <c r="BP2334" s="2">
        <v>13</v>
      </c>
      <c r="BQ2334" s="2" t="s">
        <v>91</v>
      </c>
      <c r="BR2334" s="2" t="s">
        <v>185</v>
      </c>
      <c r="BS2334" s="3">
        <v>40334</v>
      </c>
      <c r="BT2334" s="4">
        <v>0.53077546296296296</v>
      </c>
    </row>
    <row r="2335" spans="1:72" x14ac:dyDescent="0.25">
      <c r="A2335" s="2">
        <v>3424</v>
      </c>
      <c r="B2335" s="2">
        <v>2010</v>
      </c>
      <c r="C2335" s="2" t="s">
        <v>72</v>
      </c>
      <c r="D2335" s="2" t="s">
        <v>73</v>
      </c>
      <c r="E2335" s="2"/>
      <c r="F2335" s="2">
        <v>389</v>
      </c>
      <c r="G2335" s="2" t="s">
        <v>1819</v>
      </c>
      <c r="H2335" s="2">
        <v>4</v>
      </c>
      <c r="I2335" s="2" t="s">
        <v>173</v>
      </c>
      <c r="J2335" s="2">
        <v>399</v>
      </c>
      <c r="K2335" s="2" t="s">
        <v>1820</v>
      </c>
      <c r="L2335" s="2" t="s">
        <v>1821</v>
      </c>
      <c r="M2335" s="3">
        <v>40334</v>
      </c>
      <c r="N2335" s="2" t="s">
        <v>2621</v>
      </c>
      <c r="O2335" s="2"/>
      <c r="P2335" s="2"/>
      <c r="Q2335" s="2" t="str">
        <f>"298-E/10"</f>
        <v>298-E/10</v>
      </c>
      <c r="R2335" s="2" t="s">
        <v>480</v>
      </c>
      <c r="S2335" s="2" t="s">
        <v>480</v>
      </c>
      <c r="T2335" s="2">
        <v>1</v>
      </c>
      <c r="U2335" s="2" t="s">
        <v>79</v>
      </c>
      <c r="V2335" s="2">
        <v>1</v>
      </c>
      <c r="W2335" s="2" t="s">
        <v>80</v>
      </c>
      <c r="X2335" s="2">
        <v>12</v>
      </c>
      <c r="Y2335" s="2" t="s">
        <v>148</v>
      </c>
      <c r="Z2335" s="2">
        <v>1</v>
      </c>
      <c r="AA2335" s="2" t="s">
        <v>82</v>
      </c>
      <c r="AB2335" s="2">
        <v>6</v>
      </c>
      <c r="AC2335" s="2" t="s">
        <v>83</v>
      </c>
      <c r="AD2335" s="3">
        <v>40334</v>
      </c>
      <c r="AE2335" s="2"/>
      <c r="AF2335" s="3">
        <v>40334</v>
      </c>
      <c r="AG2335" s="4">
        <v>0.54166666666666663</v>
      </c>
      <c r="AH2335" s="2">
        <v>2</v>
      </c>
      <c r="AI2335" s="2" t="s">
        <v>84</v>
      </c>
      <c r="AJ2335" s="2">
        <v>9</v>
      </c>
      <c r="AK2335" s="2" t="s">
        <v>103</v>
      </c>
      <c r="AL2335" s="2">
        <v>22</v>
      </c>
      <c r="AM2335" s="2" t="s">
        <v>1853</v>
      </c>
      <c r="AN2335" s="2" t="s">
        <v>107</v>
      </c>
      <c r="AO2335" s="2" t="s">
        <v>7946</v>
      </c>
      <c r="AP2335" s="2">
        <v>11</v>
      </c>
      <c r="AQ2335" s="2" t="s">
        <v>82</v>
      </c>
      <c r="AR2335" s="2"/>
      <c r="AS2335" s="2"/>
      <c r="AT2335" s="2" t="s">
        <v>7947</v>
      </c>
      <c r="AU2335" s="2"/>
      <c r="AV2335" s="2"/>
      <c r="AW2335" s="2"/>
      <c r="AX2335" s="2"/>
      <c r="AY2335" s="2">
        <v>41</v>
      </c>
      <c r="AZ2335" s="2" t="s">
        <v>82</v>
      </c>
      <c r="BA2335" s="2">
        <v>41</v>
      </c>
      <c r="BB2335" s="2" t="s">
        <v>82</v>
      </c>
      <c r="BC2335" s="2">
        <v>41</v>
      </c>
      <c r="BD2335" s="2" t="s">
        <v>82</v>
      </c>
      <c r="BE2335" s="2">
        <v>39</v>
      </c>
      <c r="BF2335" s="2" t="s">
        <v>440</v>
      </c>
      <c r="BG2335" s="2" t="s">
        <v>7948</v>
      </c>
      <c r="BH2335" s="4">
        <v>0.41666666666666669</v>
      </c>
      <c r="BI2335" s="2"/>
      <c r="BJ2335" s="2">
        <v>33</v>
      </c>
      <c r="BK2335" s="2" t="s">
        <v>361</v>
      </c>
      <c r="BL2335" s="2" t="s">
        <v>1739</v>
      </c>
      <c r="BM2335" s="2">
        <v>241</v>
      </c>
      <c r="BN2335" s="2" t="s">
        <v>82</v>
      </c>
      <c r="BO2335" s="2" t="s">
        <v>82</v>
      </c>
      <c r="BP2335" s="2">
        <v>13</v>
      </c>
      <c r="BQ2335" s="2" t="s">
        <v>91</v>
      </c>
      <c r="BR2335" s="2" t="s">
        <v>360</v>
      </c>
      <c r="BS2335" s="3">
        <v>40334</v>
      </c>
      <c r="BT2335" s="4">
        <v>0.64359953703703698</v>
      </c>
    </row>
    <row r="2336" spans="1:72" x14ac:dyDescent="0.25">
      <c r="A2336" s="2">
        <v>3426</v>
      </c>
      <c r="B2336" s="2">
        <v>2010</v>
      </c>
      <c r="C2336" s="2" t="s">
        <v>171</v>
      </c>
      <c r="D2336" s="2" t="s">
        <v>122</v>
      </c>
      <c r="E2336" s="2" t="s">
        <v>7949</v>
      </c>
      <c r="F2336" s="2">
        <v>396</v>
      </c>
      <c r="G2336" s="2" t="s">
        <v>2159</v>
      </c>
      <c r="H2336" s="2">
        <v>8</v>
      </c>
      <c r="I2336" s="2" t="s">
        <v>3451</v>
      </c>
      <c r="J2336" s="2">
        <v>243</v>
      </c>
      <c r="K2336" s="2" t="s">
        <v>2160</v>
      </c>
      <c r="L2336" s="2" t="s">
        <v>2145</v>
      </c>
      <c r="M2336" s="3">
        <v>40334</v>
      </c>
      <c r="N2336" s="2" t="s">
        <v>3452</v>
      </c>
      <c r="O2336" s="2" t="s">
        <v>107</v>
      </c>
      <c r="P2336" s="2" t="s">
        <v>107</v>
      </c>
      <c r="Q2336" s="2" t="str">
        <f>"297-E/10"</f>
        <v>297-E/10</v>
      </c>
      <c r="R2336" s="2" t="s">
        <v>7917</v>
      </c>
      <c r="S2336" s="2" t="s">
        <v>7917</v>
      </c>
      <c r="T2336" s="2">
        <v>1</v>
      </c>
      <c r="U2336" s="2" t="s">
        <v>79</v>
      </c>
      <c r="V2336" s="2">
        <v>1</v>
      </c>
      <c r="W2336" s="2" t="s">
        <v>80</v>
      </c>
      <c r="X2336" s="2">
        <v>1</v>
      </c>
      <c r="Y2336" s="2" t="s">
        <v>81</v>
      </c>
      <c r="Z2336" s="2">
        <v>1</v>
      </c>
      <c r="AA2336" s="2" t="s">
        <v>82</v>
      </c>
      <c r="AB2336" s="2">
        <v>1</v>
      </c>
      <c r="AC2336" s="2" t="s">
        <v>178</v>
      </c>
      <c r="AD2336" s="3">
        <v>40334</v>
      </c>
      <c r="AE2336" s="4">
        <v>0.5625</v>
      </c>
      <c r="AF2336" s="2"/>
      <c r="AG2336" s="2"/>
      <c r="AH2336" s="2">
        <v>2</v>
      </c>
      <c r="AI2336" s="2" t="s">
        <v>84</v>
      </c>
      <c r="AJ2336" s="2">
        <v>9</v>
      </c>
      <c r="AK2336" s="2" t="s">
        <v>103</v>
      </c>
      <c r="AL2336" s="2">
        <v>11</v>
      </c>
      <c r="AM2336" s="2" t="s">
        <v>137</v>
      </c>
      <c r="AN2336" s="2" t="s">
        <v>987</v>
      </c>
      <c r="AO2336" s="5">
        <v>42370</v>
      </c>
      <c r="AP2336" s="2">
        <v>11</v>
      </c>
      <c r="AQ2336" s="2" t="s">
        <v>82</v>
      </c>
      <c r="AR2336" s="2"/>
      <c r="AS2336" s="2"/>
      <c r="AT2336" s="2" t="s">
        <v>7950</v>
      </c>
      <c r="AU2336" s="2"/>
      <c r="AV2336" s="2">
        <v>1</v>
      </c>
      <c r="AW2336" s="2"/>
      <c r="AX2336" s="2"/>
      <c r="AY2336" s="2">
        <v>41</v>
      </c>
      <c r="AZ2336" s="2" t="s">
        <v>82</v>
      </c>
      <c r="BA2336" s="2">
        <v>41</v>
      </c>
      <c r="BB2336" s="2" t="s">
        <v>82</v>
      </c>
      <c r="BC2336" s="2">
        <v>41</v>
      </c>
      <c r="BD2336" s="2" t="s">
        <v>82</v>
      </c>
      <c r="BE2336" s="2">
        <v>39</v>
      </c>
      <c r="BF2336" s="2" t="s">
        <v>440</v>
      </c>
      <c r="BG2336" s="2" t="s">
        <v>7920</v>
      </c>
      <c r="BH2336" s="2"/>
      <c r="BI2336" s="4">
        <v>0.58333333333333337</v>
      </c>
      <c r="BJ2336" s="2">
        <v>13</v>
      </c>
      <c r="BK2336" s="2" t="s">
        <v>91</v>
      </c>
      <c r="BL2336" s="2" t="s">
        <v>185</v>
      </c>
      <c r="BM2336" s="2">
        <v>241</v>
      </c>
      <c r="BN2336" s="2" t="s">
        <v>82</v>
      </c>
      <c r="BO2336" s="2"/>
      <c r="BP2336" s="2">
        <v>33</v>
      </c>
      <c r="BQ2336" s="2" t="s">
        <v>361</v>
      </c>
      <c r="BR2336" s="2" t="s">
        <v>1739</v>
      </c>
      <c r="BS2336" s="3">
        <v>40334</v>
      </c>
      <c r="BT2336" s="4">
        <v>0.85561342592592593</v>
      </c>
    </row>
    <row r="2337" spans="1:72" x14ac:dyDescent="0.25">
      <c r="A2337" s="2">
        <v>3427</v>
      </c>
      <c r="B2337" s="2">
        <v>2010</v>
      </c>
      <c r="C2337" s="2" t="s">
        <v>377</v>
      </c>
      <c r="D2337" s="2" t="s">
        <v>73</v>
      </c>
      <c r="E2337" s="2"/>
      <c r="F2337" s="2">
        <v>426</v>
      </c>
      <c r="G2337" s="2" t="s">
        <v>378</v>
      </c>
      <c r="H2337" s="2">
        <v>108</v>
      </c>
      <c r="I2337" s="2" t="s">
        <v>1096</v>
      </c>
      <c r="J2337" s="2">
        <v>311</v>
      </c>
      <c r="K2337" s="2" t="s">
        <v>379</v>
      </c>
      <c r="L2337" s="2" t="s">
        <v>380</v>
      </c>
      <c r="M2337" s="3">
        <v>40334</v>
      </c>
      <c r="N2337" s="2" t="s">
        <v>5164</v>
      </c>
      <c r="O2337" s="2" t="s">
        <v>107</v>
      </c>
      <c r="P2337" s="2" t="s">
        <v>107</v>
      </c>
      <c r="Q2337" s="2" t="str">
        <f>"107-C/10"</f>
        <v>107-C/10</v>
      </c>
      <c r="R2337" s="2" t="s">
        <v>7951</v>
      </c>
      <c r="S2337" s="2"/>
      <c r="T2337" s="2">
        <v>1</v>
      </c>
      <c r="U2337" s="2" t="s">
        <v>79</v>
      </c>
      <c r="V2337" s="2">
        <v>1</v>
      </c>
      <c r="W2337" s="2" t="s">
        <v>80</v>
      </c>
      <c r="X2337" s="2">
        <v>1</v>
      </c>
      <c r="Y2337" s="2" t="s">
        <v>81</v>
      </c>
      <c r="Z2337" s="2">
        <v>1</v>
      </c>
      <c r="AA2337" s="2" t="s">
        <v>82</v>
      </c>
      <c r="AB2337" s="2">
        <v>9</v>
      </c>
      <c r="AC2337" s="2" t="s">
        <v>124</v>
      </c>
      <c r="AD2337" s="3">
        <v>40334</v>
      </c>
      <c r="AE2337" s="4">
        <v>0.70138888888888884</v>
      </c>
      <c r="AF2337" s="2"/>
      <c r="AG2337" s="2"/>
      <c r="AH2337" s="2">
        <v>2</v>
      </c>
      <c r="AI2337" s="2" t="s">
        <v>84</v>
      </c>
      <c r="AJ2337" s="2">
        <v>9</v>
      </c>
      <c r="AK2337" s="2" t="s">
        <v>103</v>
      </c>
      <c r="AL2337" s="2">
        <v>12</v>
      </c>
      <c r="AM2337" s="2" t="s">
        <v>86</v>
      </c>
      <c r="AN2337" s="2" t="s">
        <v>3322</v>
      </c>
      <c r="AO2337" s="2" t="s">
        <v>987</v>
      </c>
      <c r="AP2337" s="2">
        <v>11</v>
      </c>
      <c r="AQ2337" s="2" t="s">
        <v>82</v>
      </c>
      <c r="AR2337" s="2"/>
      <c r="AS2337" s="2"/>
      <c r="AT2337" s="2" t="s">
        <v>7952</v>
      </c>
      <c r="AU2337" s="2"/>
      <c r="AV2337" s="2"/>
      <c r="AW2337" s="2"/>
      <c r="AX2337" s="2"/>
      <c r="AY2337" s="2">
        <v>41</v>
      </c>
      <c r="AZ2337" s="2" t="s">
        <v>82</v>
      </c>
      <c r="BA2337" s="2">
        <v>41</v>
      </c>
      <c r="BB2337" s="2" t="s">
        <v>82</v>
      </c>
      <c r="BC2337" s="2">
        <v>41</v>
      </c>
      <c r="BD2337" s="2" t="s">
        <v>82</v>
      </c>
      <c r="BE2337" s="2">
        <v>41</v>
      </c>
      <c r="BF2337" s="2" t="s">
        <v>82</v>
      </c>
      <c r="BG2337" s="2"/>
      <c r="BH2337" s="2"/>
      <c r="BI2337" s="2"/>
      <c r="BJ2337" s="2">
        <v>241</v>
      </c>
      <c r="BK2337" s="2" t="s">
        <v>82</v>
      </c>
      <c r="BL2337" s="2"/>
      <c r="BM2337" s="2">
        <v>241</v>
      </c>
      <c r="BN2337" s="2" t="s">
        <v>82</v>
      </c>
      <c r="BO2337" s="2"/>
      <c r="BP2337" s="2">
        <v>241</v>
      </c>
      <c r="BQ2337" s="2" t="s">
        <v>82</v>
      </c>
      <c r="BR2337" s="2"/>
      <c r="BS2337" s="3">
        <v>40334</v>
      </c>
      <c r="BT2337" s="4">
        <v>0.86280092592592583</v>
      </c>
    </row>
    <row r="2338" spans="1:72" x14ac:dyDescent="0.25">
      <c r="A2338" s="2">
        <v>3428</v>
      </c>
      <c r="B2338" s="2">
        <v>2010</v>
      </c>
      <c r="C2338" s="2" t="s">
        <v>93</v>
      </c>
      <c r="D2338" s="2" t="s">
        <v>73</v>
      </c>
      <c r="E2338" s="2"/>
      <c r="F2338" s="2">
        <v>634</v>
      </c>
      <c r="G2338" s="2" t="s">
        <v>7953</v>
      </c>
      <c r="H2338" s="2">
        <v>50</v>
      </c>
      <c r="I2338" s="2" t="s">
        <v>107</v>
      </c>
      <c r="J2338" s="2">
        <v>1</v>
      </c>
      <c r="K2338" s="2" t="s">
        <v>107</v>
      </c>
      <c r="L2338" s="2" t="s">
        <v>107</v>
      </c>
      <c r="M2338" s="3">
        <v>40334</v>
      </c>
      <c r="N2338" s="2" t="s">
        <v>107</v>
      </c>
      <c r="O2338" s="2" t="s">
        <v>7954</v>
      </c>
      <c r="P2338" s="2" t="s">
        <v>7955</v>
      </c>
      <c r="Q2338" s="2" t="str">
        <f>"AP 0021/10"</f>
        <v>AP 0021/10</v>
      </c>
      <c r="R2338" s="2"/>
      <c r="S2338" s="2"/>
      <c r="T2338" s="2">
        <v>1</v>
      </c>
      <c r="U2338" s="2" t="s">
        <v>79</v>
      </c>
      <c r="V2338" s="2">
        <v>1</v>
      </c>
      <c r="W2338" s="2" t="s">
        <v>80</v>
      </c>
      <c r="X2338" s="2">
        <v>1</v>
      </c>
      <c r="Y2338" s="2" t="s">
        <v>81</v>
      </c>
      <c r="Z2338" s="2">
        <v>1</v>
      </c>
      <c r="AA2338" s="2" t="s">
        <v>82</v>
      </c>
      <c r="AB2338" s="2">
        <v>2</v>
      </c>
      <c r="AC2338" s="2" t="s">
        <v>102</v>
      </c>
      <c r="AD2338" s="3">
        <v>40334</v>
      </c>
      <c r="AE2338" s="4">
        <v>0.77777777777777779</v>
      </c>
      <c r="AF2338" s="2"/>
      <c r="AG2338" s="2"/>
      <c r="AH2338" s="2">
        <v>6</v>
      </c>
      <c r="AI2338" s="2" t="s">
        <v>197</v>
      </c>
      <c r="AJ2338" s="2">
        <v>61</v>
      </c>
      <c r="AK2338" s="2" t="s">
        <v>686</v>
      </c>
      <c r="AL2338" s="2">
        <v>11</v>
      </c>
      <c r="AM2338" s="2" t="s">
        <v>137</v>
      </c>
      <c r="AN2338" s="2"/>
      <c r="AO2338" s="2" t="s">
        <v>350</v>
      </c>
      <c r="AP2338" s="2">
        <v>11</v>
      </c>
      <c r="AQ2338" s="2" t="s">
        <v>82</v>
      </c>
      <c r="AR2338" s="2" t="s">
        <v>82</v>
      </c>
      <c r="AS2338" s="2" t="s">
        <v>82</v>
      </c>
      <c r="AT2338" s="2" t="s">
        <v>7956</v>
      </c>
      <c r="AU2338" s="2"/>
      <c r="AV2338" s="2"/>
      <c r="AW2338" s="2"/>
      <c r="AX2338" s="2"/>
      <c r="AY2338" s="2">
        <v>41</v>
      </c>
      <c r="AZ2338" s="2" t="s">
        <v>82</v>
      </c>
      <c r="BA2338" s="2">
        <v>41</v>
      </c>
      <c r="BB2338" s="2" t="s">
        <v>82</v>
      </c>
      <c r="BC2338" s="2">
        <v>41</v>
      </c>
      <c r="BD2338" s="2" t="s">
        <v>82</v>
      </c>
      <c r="BE2338" s="2">
        <v>47</v>
      </c>
      <c r="BF2338" s="2" t="s">
        <v>167</v>
      </c>
      <c r="BG2338" s="2">
        <v>2849</v>
      </c>
      <c r="BH2338" s="2"/>
      <c r="BI2338" s="4">
        <v>0.79513888888888884</v>
      </c>
      <c r="BJ2338" s="2">
        <v>13</v>
      </c>
      <c r="BK2338" s="2" t="s">
        <v>91</v>
      </c>
      <c r="BL2338" s="2" t="s">
        <v>690</v>
      </c>
      <c r="BM2338" s="2">
        <v>241</v>
      </c>
      <c r="BN2338" s="2" t="s">
        <v>82</v>
      </c>
      <c r="BO2338" s="2" t="s">
        <v>82</v>
      </c>
      <c r="BP2338" s="2">
        <v>13</v>
      </c>
      <c r="BQ2338" s="2" t="s">
        <v>91</v>
      </c>
      <c r="BR2338" s="2" t="s">
        <v>185</v>
      </c>
      <c r="BS2338" s="3">
        <v>40334</v>
      </c>
      <c r="BT2338" s="4">
        <v>0.8742361111111111</v>
      </c>
    </row>
    <row r="2339" spans="1:72" x14ac:dyDescent="0.25">
      <c r="A2339" s="2">
        <v>3429</v>
      </c>
      <c r="B2339" s="2">
        <v>2010</v>
      </c>
      <c r="C2339" s="2" t="s">
        <v>171</v>
      </c>
      <c r="D2339" s="2" t="s">
        <v>122</v>
      </c>
      <c r="E2339" s="2" t="s">
        <v>7957</v>
      </c>
      <c r="F2339" s="2">
        <v>396</v>
      </c>
      <c r="G2339" s="2" t="s">
        <v>2159</v>
      </c>
      <c r="H2339" s="2">
        <v>8</v>
      </c>
      <c r="I2339" s="2" t="s">
        <v>3451</v>
      </c>
      <c r="J2339" s="2">
        <v>243</v>
      </c>
      <c r="K2339" s="2" t="s">
        <v>2160</v>
      </c>
      <c r="L2339" s="2" t="s">
        <v>2145</v>
      </c>
      <c r="M2339" s="3">
        <v>40335</v>
      </c>
      <c r="N2339" s="2" t="s">
        <v>3452</v>
      </c>
      <c r="O2339" s="2" t="s">
        <v>107</v>
      </c>
      <c r="P2339" s="2" t="s">
        <v>107</v>
      </c>
      <c r="Q2339" s="2" t="str">
        <f>"297-E/10"</f>
        <v>297-E/10</v>
      </c>
      <c r="R2339" s="2" t="s">
        <v>7917</v>
      </c>
      <c r="S2339" s="2" t="s">
        <v>7917</v>
      </c>
      <c r="T2339" s="2">
        <v>1</v>
      </c>
      <c r="U2339" s="2" t="s">
        <v>79</v>
      </c>
      <c r="V2339" s="2">
        <v>1</v>
      </c>
      <c r="W2339" s="2" t="s">
        <v>80</v>
      </c>
      <c r="X2339" s="2">
        <v>1</v>
      </c>
      <c r="Y2339" s="2" t="s">
        <v>81</v>
      </c>
      <c r="Z2339" s="2">
        <v>1</v>
      </c>
      <c r="AA2339" s="2" t="s">
        <v>82</v>
      </c>
      <c r="AB2339" s="2">
        <v>1</v>
      </c>
      <c r="AC2339" s="2" t="s">
        <v>178</v>
      </c>
      <c r="AD2339" s="3">
        <v>40334</v>
      </c>
      <c r="AE2339" s="4">
        <v>0.84027777777777779</v>
      </c>
      <c r="AF2339" s="2"/>
      <c r="AG2339" s="2"/>
      <c r="AH2339" s="2">
        <v>2</v>
      </c>
      <c r="AI2339" s="2" t="s">
        <v>84</v>
      </c>
      <c r="AJ2339" s="2">
        <v>9</v>
      </c>
      <c r="AK2339" s="2" t="s">
        <v>103</v>
      </c>
      <c r="AL2339" s="2">
        <v>11</v>
      </c>
      <c r="AM2339" s="2" t="s">
        <v>137</v>
      </c>
      <c r="AN2339" s="2" t="s">
        <v>987</v>
      </c>
      <c r="AO2339" s="5">
        <v>42370</v>
      </c>
      <c r="AP2339" s="2">
        <v>11</v>
      </c>
      <c r="AQ2339" s="2" t="s">
        <v>82</v>
      </c>
      <c r="AR2339" s="2"/>
      <c r="AS2339" s="2"/>
      <c r="AT2339" s="2" t="s">
        <v>7958</v>
      </c>
      <c r="AU2339" s="2"/>
      <c r="AV2339" s="2">
        <v>1</v>
      </c>
      <c r="AW2339" s="2"/>
      <c r="AX2339" s="2"/>
      <c r="AY2339" s="2">
        <v>41</v>
      </c>
      <c r="AZ2339" s="2" t="s">
        <v>82</v>
      </c>
      <c r="BA2339" s="2">
        <v>41</v>
      </c>
      <c r="BB2339" s="2" t="s">
        <v>82</v>
      </c>
      <c r="BC2339" s="2">
        <v>41</v>
      </c>
      <c r="BD2339" s="2" t="s">
        <v>82</v>
      </c>
      <c r="BE2339" s="2">
        <v>39</v>
      </c>
      <c r="BF2339" s="2" t="s">
        <v>440</v>
      </c>
      <c r="BG2339" s="2" t="s">
        <v>7920</v>
      </c>
      <c r="BH2339" s="2"/>
      <c r="BI2339" s="4">
        <v>0.58333333333333337</v>
      </c>
      <c r="BJ2339" s="2">
        <v>13</v>
      </c>
      <c r="BK2339" s="2" t="s">
        <v>91</v>
      </c>
      <c r="BL2339" s="2" t="s">
        <v>185</v>
      </c>
      <c r="BM2339" s="2">
        <v>241</v>
      </c>
      <c r="BN2339" s="2" t="s">
        <v>82</v>
      </c>
      <c r="BO2339" s="2"/>
      <c r="BP2339" s="2">
        <v>33</v>
      </c>
      <c r="BQ2339" s="2" t="s">
        <v>361</v>
      </c>
      <c r="BR2339" s="2" t="s">
        <v>1739</v>
      </c>
      <c r="BS2339" s="3">
        <v>40335</v>
      </c>
      <c r="BT2339" s="4">
        <v>8.8240740740740745E-2</v>
      </c>
    </row>
    <row r="2340" spans="1:72" x14ac:dyDescent="0.25">
      <c r="A2340" s="2">
        <v>3430</v>
      </c>
      <c r="B2340" s="2">
        <v>2010</v>
      </c>
      <c r="C2340" s="2" t="s">
        <v>121</v>
      </c>
      <c r="D2340" s="2" t="s">
        <v>122</v>
      </c>
      <c r="E2340" s="2"/>
      <c r="F2340" s="2">
        <v>1</v>
      </c>
      <c r="G2340" s="2" t="s">
        <v>82</v>
      </c>
      <c r="H2340" s="2">
        <v>1</v>
      </c>
      <c r="I2340" s="2" t="s">
        <v>82</v>
      </c>
      <c r="J2340" s="2">
        <v>1</v>
      </c>
      <c r="K2340" s="2" t="s">
        <v>107</v>
      </c>
      <c r="L2340" s="2" t="s">
        <v>107</v>
      </c>
      <c r="M2340" s="3">
        <v>40335</v>
      </c>
      <c r="N2340" s="2" t="s">
        <v>82</v>
      </c>
      <c r="O2340" s="2" t="s">
        <v>82</v>
      </c>
      <c r="P2340" s="2" t="s">
        <v>82</v>
      </c>
      <c r="Q2340" s="2" t="str">
        <f>"N/C"</f>
        <v>N/C</v>
      </c>
      <c r="R2340" s="2" t="s">
        <v>82</v>
      </c>
      <c r="S2340" s="2" t="s">
        <v>82</v>
      </c>
      <c r="T2340" s="2">
        <v>2</v>
      </c>
      <c r="U2340" s="2" t="s">
        <v>123</v>
      </c>
      <c r="V2340" s="2">
        <v>1</v>
      </c>
      <c r="W2340" s="2" t="s">
        <v>80</v>
      </c>
      <c r="X2340" s="2">
        <v>11</v>
      </c>
      <c r="Y2340" s="2" t="s">
        <v>1920</v>
      </c>
      <c r="Z2340" s="2">
        <v>1</v>
      </c>
      <c r="AA2340" s="2" t="s">
        <v>82</v>
      </c>
      <c r="AB2340" s="2">
        <v>9</v>
      </c>
      <c r="AC2340" s="2" t="s">
        <v>124</v>
      </c>
      <c r="AD2340" s="3">
        <v>40335</v>
      </c>
      <c r="AE2340" s="4">
        <v>0</v>
      </c>
      <c r="AF2340" s="2"/>
      <c r="AG2340" s="2"/>
      <c r="AH2340" s="2">
        <v>2</v>
      </c>
      <c r="AI2340" s="2" t="s">
        <v>84</v>
      </c>
      <c r="AJ2340" s="2">
        <v>12</v>
      </c>
      <c r="AK2340" s="2" t="s">
        <v>85</v>
      </c>
      <c r="AL2340" s="2">
        <v>20</v>
      </c>
      <c r="AM2340" s="2" t="s">
        <v>992</v>
      </c>
      <c r="AN2340" s="2" t="s">
        <v>82</v>
      </c>
      <c r="AO2340" s="2" t="s">
        <v>993</v>
      </c>
      <c r="AP2340" s="2">
        <v>11</v>
      </c>
      <c r="AQ2340" s="2" t="s">
        <v>82</v>
      </c>
      <c r="AR2340" s="2" t="s">
        <v>82</v>
      </c>
      <c r="AS2340" s="2" t="s">
        <v>82</v>
      </c>
      <c r="AT2340" s="2" t="s">
        <v>7959</v>
      </c>
      <c r="AU2340" s="2"/>
      <c r="AV2340" s="2"/>
      <c r="AW2340" s="2"/>
      <c r="AX2340" s="2"/>
      <c r="AY2340" s="2">
        <v>41</v>
      </c>
      <c r="AZ2340" s="2" t="s">
        <v>82</v>
      </c>
      <c r="BA2340" s="2">
        <v>41</v>
      </c>
      <c r="BB2340" s="2" t="s">
        <v>82</v>
      </c>
      <c r="BC2340" s="2">
        <v>41</v>
      </c>
      <c r="BD2340" s="2" t="s">
        <v>82</v>
      </c>
      <c r="BE2340" s="2">
        <v>41</v>
      </c>
      <c r="BF2340" s="2" t="s">
        <v>82</v>
      </c>
      <c r="BG2340" s="2" t="s">
        <v>82</v>
      </c>
      <c r="BH2340" s="4">
        <v>6.25E-2</v>
      </c>
      <c r="BI2340" s="2"/>
      <c r="BJ2340" s="2">
        <v>33</v>
      </c>
      <c r="BK2340" s="2" t="s">
        <v>361</v>
      </c>
      <c r="BL2340" s="2" t="s">
        <v>107</v>
      </c>
      <c r="BM2340" s="2">
        <v>241</v>
      </c>
      <c r="BN2340" s="2" t="s">
        <v>82</v>
      </c>
      <c r="BO2340" s="2" t="s">
        <v>82</v>
      </c>
      <c r="BP2340" s="2">
        <v>13</v>
      </c>
      <c r="BQ2340" s="2" t="s">
        <v>91</v>
      </c>
      <c r="BR2340" s="2" t="s">
        <v>185</v>
      </c>
      <c r="BS2340" s="3">
        <v>40335</v>
      </c>
      <c r="BT2340" s="4">
        <v>0.11547453703703703</v>
      </c>
    </row>
    <row r="2341" spans="1:72" x14ac:dyDescent="0.25">
      <c r="A2341" s="2">
        <v>3431</v>
      </c>
      <c r="B2341" s="2">
        <v>2010</v>
      </c>
      <c r="C2341" s="2" t="s">
        <v>171</v>
      </c>
      <c r="D2341" s="2" t="s">
        <v>73</v>
      </c>
      <c r="E2341" s="2"/>
      <c r="F2341" s="2">
        <v>152</v>
      </c>
      <c r="G2341" s="2" t="s">
        <v>7866</v>
      </c>
      <c r="H2341" s="2">
        <v>4</v>
      </c>
      <c r="I2341" s="2" t="s">
        <v>173</v>
      </c>
      <c r="J2341" s="2">
        <v>451</v>
      </c>
      <c r="K2341" s="2" t="s">
        <v>3028</v>
      </c>
      <c r="L2341" s="2" t="s">
        <v>3029</v>
      </c>
      <c r="M2341" s="3">
        <v>40335</v>
      </c>
      <c r="N2341" s="2" t="s">
        <v>7960</v>
      </c>
      <c r="O2341" s="2" t="s">
        <v>107</v>
      </c>
      <c r="P2341" s="2" t="s">
        <v>107</v>
      </c>
      <c r="Q2341" s="2" t="str">
        <f>"204-A/10"</f>
        <v>204-A/10</v>
      </c>
      <c r="R2341" s="2" t="s">
        <v>107</v>
      </c>
      <c r="S2341" s="2" t="s">
        <v>318</v>
      </c>
      <c r="T2341" s="2">
        <v>1</v>
      </c>
      <c r="U2341" s="2" t="s">
        <v>79</v>
      </c>
      <c r="V2341" s="2">
        <v>1</v>
      </c>
      <c r="W2341" s="2" t="s">
        <v>80</v>
      </c>
      <c r="X2341" s="2">
        <v>1</v>
      </c>
      <c r="Y2341" s="2" t="s">
        <v>81</v>
      </c>
      <c r="Z2341" s="2">
        <v>1</v>
      </c>
      <c r="AA2341" s="2" t="s">
        <v>82</v>
      </c>
      <c r="AB2341" s="2">
        <v>1</v>
      </c>
      <c r="AC2341" s="2" t="s">
        <v>178</v>
      </c>
      <c r="AD2341" s="3">
        <v>40335</v>
      </c>
      <c r="AE2341" s="4">
        <v>0.25</v>
      </c>
      <c r="AF2341" s="2"/>
      <c r="AG2341" s="2"/>
      <c r="AH2341" s="2">
        <v>2</v>
      </c>
      <c r="AI2341" s="2" t="s">
        <v>84</v>
      </c>
      <c r="AJ2341" s="2">
        <v>12</v>
      </c>
      <c r="AK2341" s="2" t="s">
        <v>85</v>
      </c>
      <c r="AL2341" s="2">
        <v>11</v>
      </c>
      <c r="AM2341" s="2" t="s">
        <v>137</v>
      </c>
      <c r="AN2341" s="2" t="s">
        <v>919</v>
      </c>
      <c r="AO2341" s="2" t="s">
        <v>7961</v>
      </c>
      <c r="AP2341" s="2">
        <v>11</v>
      </c>
      <c r="AQ2341" s="2" t="s">
        <v>82</v>
      </c>
      <c r="AR2341" s="2"/>
      <c r="AS2341" s="2"/>
      <c r="AT2341" s="2" t="s">
        <v>7962</v>
      </c>
      <c r="AU2341" s="2">
        <v>1</v>
      </c>
      <c r="AV2341" s="2"/>
      <c r="AW2341" s="2"/>
      <c r="AX2341" s="2"/>
      <c r="AY2341" s="2">
        <v>41</v>
      </c>
      <c r="AZ2341" s="2" t="s">
        <v>82</v>
      </c>
      <c r="BA2341" s="2">
        <v>41</v>
      </c>
      <c r="BB2341" s="2" t="s">
        <v>82</v>
      </c>
      <c r="BC2341" s="2">
        <v>41</v>
      </c>
      <c r="BD2341" s="2" t="s">
        <v>82</v>
      </c>
      <c r="BE2341" s="2">
        <v>4</v>
      </c>
      <c r="BF2341" s="2" t="s">
        <v>90</v>
      </c>
      <c r="BG2341" s="2" t="s">
        <v>7963</v>
      </c>
      <c r="BH2341" s="4">
        <v>0.3298611111111111</v>
      </c>
      <c r="BI2341" s="4">
        <v>0.24652777777777779</v>
      </c>
      <c r="BJ2341" s="2">
        <v>13</v>
      </c>
      <c r="BK2341" s="2" t="s">
        <v>91</v>
      </c>
      <c r="BL2341" s="2" t="s">
        <v>564</v>
      </c>
      <c r="BM2341" s="2">
        <v>241</v>
      </c>
      <c r="BN2341" s="2" t="s">
        <v>82</v>
      </c>
      <c r="BO2341" s="2"/>
      <c r="BP2341" s="2">
        <v>13</v>
      </c>
      <c r="BQ2341" s="2" t="s">
        <v>91</v>
      </c>
      <c r="BR2341" s="2" t="s">
        <v>169</v>
      </c>
      <c r="BS2341" s="3">
        <v>40335</v>
      </c>
      <c r="BT2341" s="4">
        <v>0.45034722222222223</v>
      </c>
    </row>
    <row r="2342" spans="1:72" x14ac:dyDescent="0.25">
      <c r="A2342" s="2">
        <v>3432</v>
      </c>
      <c r="B2342" s="2">
        <v>2010</v>
      </c>
      <c r="C2342" s="2" t="s">
        <v>196</v>
      </c>
      <c r="D2342" s="2" t="s">
        <v>122</v>
      </c>
      <c r="E2342" s="2"/>
      <c r="F2342" s="2">
        <v>1</v>
      </c>
      <c r="G2342" s="2" t="s">
        <v>82</v>
      </c>
      <c r="H2342" s="2">
        <v>1</v>
      </c>
      <c r="I2342" s="2" t="s">
        <v>82</v>
      </c>
      <c r="J2342" s="2">
        <v>1</v>
      </c>
      <c r="K2342" s="2" t="s">
        <v>107</v>
      </c>
      <c r="L2342" s="2" t="s">
        <v>107</v>
      </c>
      <c r="M2342" s="3">
        <v>40335</v>
      </c>
      <c r="N2342" s="2"/>
      <c r="O2342" s="2"/>
      <c r="P2342" s="2"/>
      <c r="Q2342" s="2" t="str">
        <f>""</f>
        <v/>
      </c>
      <c r="R2342" s="2"/>
      <c r="S2342" s="2"/>
      <c r="T2342" s="2">
        <v>2</v>
      </c>
      <c r="U2342" s="2" t="s">
        <v>123</v>
      </c>
      <c r="V2342" s="2">
        <v>1</v>
      </c>
      <c r="W2342" s="2" t="s">
        <v>80</v>
      </c>
      <c r="X2342" s="2">
        <v>5</v>
      </c>
      <c r="Y2342" s="2" t="s">
        <v>82</v>
      </c>
      <c r="Z2342" s="2">
        <v>1</v>
      </c>
      <c r="AA2342" s="2" t="s">
        <v>82</v>
      </c>
      <c r="AB2342" s="2">
        <v>9</v>
      </c>
      <c r="AC2342" s="2" t="s">
        <v>124</v>
      </c>
      <c r="AD2342" s="3">
        <v>40335</v>
      </c>
      <c r="AE2342" s="4">
        <v>0.59722222222222221</v>
      </c>
      <c r="AF2342" s="2"/>
      <c r="AG2342" s="2"/>
      <c r="AH2342" s="2">
        <v>6</v>
      </c>
      <c r="AI2342" s="2" t="s">
        <v>197</v>
      </c>
      <c r="AJ2342" s="2">
        <v>58</v>
      </c>
      <c r="AK2342" s="2" t="s">
        <v>406</v>
      </c>
      <c r="AL2342" s="2">
        <v>9</v>
      </c>
      <c r="AM2342" s="2" t="s">
        <v>259</v>
      </c>
      <c r="AN2342" s="2"/>
      <c r="AO2342" s="2" t="s">
        <v>230</v>
      </c>
      <c r="AP2342" s="2">
        <v>11</v>
      </c>
      <c r="AQ2342" s="2" t="s">
        <v>82</v>
      </c>
      <c r="AR2342" s="2"/>
      <c r="AS2342" s="2"/>
      <c r="AT2342" s="2" t="s">
        <v>7964</v>
      </c>
      <c r="AU2342" s="2"/>
      <c r="AV2342" s="2"/>
      <c r="AW2342" s="2"/>
      <c r="AX2342" s="2"/>
      <c r="AY2342" s="2">
        <v>41</v>
      </c>
      <c r="AZ2342" s="2" t="s">
        <v>82</v>
      </c>
      <c r="BA2342" s="2">
        <v>41</v>
      </c>
      <c r="BB2342" s="2" t="s">
        <v>82</v>
      </c>
      <c r="BC2342" s="2">
        <v>41</v>
      </c>
      <c r="BD2342" s="2" t="s">
        <v>82</v>
      </c>
      <c r="BE2342" s="2">
        <v>42</v>
      </c>
      <c r="BF2342" s="2" t="s">
        <v>182</v>
      </c>
      <c r="BG2342" s="2" t="s">
        <v>265</v>
      </c>
      <c r="BH2342" s="2"/>
      <c r="BI2342" s="4">
        <v>0.55555555555555558</v>
      </c>
      <c r="BJ2342" s="2">
        <v>13</v>
      </c>
      <c r="BK2342" s="2" t="s">
        <v>91</v>
      </c>
      <c r="BL2342" s="2" t="s">
        <v>492</v>
      </c>
      <c r="BM2342" s="2">
        <v>13</v>
      </c>
      <c r="BN2342" s="2" t="s">
        <v>91</v>
      </c>
      <c r="BO2342" s="2" t="s">
        <v>204</v>
      </c>
      <c r="BP2342" s="2">
        <v>13</v>
      </c>
      <c r="BQ2342" s="2" t="s">
        <v>91</v>
      </c>
      <c r="BR2342" s="2" t="s">
        <v>185</v>
      </c>
      <c r="BS2342" s="3">
        <v>40335</v>
      </c>
      <c r="BT2342" s="4">
        <v>0.63355324074074071</v>
      </c>
    </row>
    <row r="2343" spans="1:72" x14ac:dyDescent="0.25">
      <c r="A2343" s="2">
        <v>3433</v>
      </c>
      <c r="B2343" s="2">
        <v>2010</v>
      </c>
      <c r="C2343" s="2" t="s">
        <v>171</v>
      </c>
      <c r="D2343" s="2" t="s">
        <v>122</v>
      </c>
      <c r="E2343" s="2" t="s">
        <v>7965</v>
      </c>
      <c r="F2343" s="2">
        <v>152</v>
      </c>
      <c r="G2343" s="2" t="s">
        <v>7866</v>
      </c>
      <c r="H2343" s="2">
        <v>4</v>
      </c>
      <c r="I2343" s="2" t="s">
        <v>173</v>
      </c>
      <c r="J2343" s="2">
        <v>451</v>
      </c>
      <c r="K2343" s="2" t="s">
        <v>3028</v>
      </c>
      <c r="L2343" s="2" t="s">
        <v>3029</v>
      </c>
      <c r="M2343" s="3">
        <v>40335</v>
      </c>
      <c r="N2343" s="2" t="s">
        <v>7960</v>
      </c>
      <c r="O2343" s="2" t="s">
        <v>107</v>
      </c>
      <c r="P2343" s="2" t="s">
        <v>107</v>
      </c>
      <c r="Q2343" s="2" t="str">
        <f>"204-A/10"</f>
        <v>204-A/10</v>
      </c>
      <c r="R2343" s="2" t="s">
        <v>318</v>
      </c>
      <c r="S2343" s="2" t="s">
        <v>107</v>
      </c>
      <c r="T2343" s="2">
        <v>1</v>
      </c>
      <c r="U2343" s="2" t="s">
        <v>79</v>
      </c>
      <c r="V2343" s="2">
        <v>1</v>
      </c>
      <c r="W2343" s="2" t="s">
        <v>80</v>
      </c>
      <c r="X2343" s="2">
        <v>1</v>
      </c>
      <c r="Y2343" s="2" t="s">
        <v>81</v>
      </c>
      <c r="Z2343" s="2">
        <v>10</v>
      </c>
      <c r="AA2343" s="2" t="s">
        <v>236</v>
      </c>
      <c r="AB2343" s="2">
        <v>1</v>
      </c>
      <c r="AC2343" s="2" t="s">
        <v>178</v>
      </c>
      <c r="AD2343" s="3">
        <v>40335</v>
      </c>
      <c r="AE2343" s="4">
        <v>0.25</v>
      </c>
      <c r="AF2343" s="2"/>
      <c r="AG2343" s="2"/>
      <c r="AH2343" s="2">
        <v>2</v>
      </c>
      <c r="AI2343" s="2" t="s">
        <v>84</v>
      </c>
      <c r="AJ2343" s="2">
        <v>12</v>
      </c>
      <c r="AK2343" s="2" t="s">
        <v>85</v>
      </c>
      <c r="AL2343" s="2">
        <v>11</v>
      </c>
      <c r="AM2343" s="2" t="s">
        <v>137</v>
      </c>
      <c r="AN2343" s="2" t="s">
        <v>1869</v>
      </c>
      <c r="AO2343" s="2" t="s">
        <v>788</v>
      </c>
      <c r="AP2343" s="2">
        <v>11</v>
      </c>
      <c r="AQ2343" s="2" t="s">
        <v>82</v>
      </c>
      <c r="AR2343" s="2"/>
      <c r="AS2343" s="2"/>
      <c r="AT2343" s="2" t="s">
        <v>7966</v>
      </c>
      <c r="AU2343" s="2"/>
      <c r="AV2343" s="2"/>
      <c r="AW2343" s="2"/>
      <c r="AX2343" s="2"/>
      <c r="AY2343" s="2">
        <v>41</v>
      </c>
      <c r="AZ2343" s="2" t="s">
        <v>82</v>
      </c>
      <c r="BA2343" s="2">
        <v>41</v>
      </c>
      <c r="BB2343" s="2" t="s">
        <v>82</v>
      </c>
      <c r="BC2343" s="2">
        <v>41</v>
      </c>
      <c r="BD2343" s="2" t="s">
        <v>82</v>
      </c>
      <c r="BE2343" s="2">
        <v>4</v>
      </c>
      <c r="BF2343" s="2" t="s">
        <v>90</v>
      </c>
      <c r="BG2343" s="2" t="s">
        <v>7963</v>
      </c>
      <c r="BH2343" s="4">
        <v>0.3298611111111111</v>
      </c>
      <c r="BI2343" s="4">
        <v>0.24652777777777779</v>
      </c>
      <c r="BJ2343" s="2">
        <v>13</v>
      </c>
      <c r="BK2343" s="2" t="s">
        <v>91</v>
      </c>
      <c r="BL2343" s="2" t="s">
        <v>185</v>
      </c>
      <c r="BM2343" s="2">
        <v>13</v>
      </c>
      <c r="BN2343" s="2" t="s">
        <v>91</v>
      </c>
      <c r="BO2343" s="2"/>
      <c r="BP2343" s="2">
        <v>13</v>
      </c>
      <c r="BQ2343" s="2" t="s">
        <v>91</v>
      </c>
      <c r="BR2343" s="2" t="s">
        <v>169</v>
      </c>
      <c r="BS2343" s="3">
        <v>40335</v>
      </c>
      <c r="BT2343" s="4">
        <v>0.67878472222222219</v>
      </c>
    </row>
    <row r="2344" spans="1:72" x14ac:dyDescent="0.25">
      <c r="A2344" s="2">
        <v>3434</v>
      </c>
      <c r="B2344" s="2">
        <v>2010</v>
      </c>
      <c r="C2344" s="2" t="s">
        <v>171</v>
      </c>
      <c r="D2344" s="2" t="s">
        <v>73</v>
      </c>
      <c r="E2344" s="2"/>
      <c r="F2344" s="2">
        <v>389</v>
      </c>
      <c r="G2344" s="2" t="s">
        <v>1819</v>
      </c>
      <c r="H2344" s="2">
        <v>4</v>
      </c>
      <c r="I2344" s="2" t="s">
        <v>173</v>
      </c>
      <c r="J2344" s="2">
        <v>399</v>
      </c>
      <c r="K2344" s="2" t="s">
        <v>1820</v>
      </c>
      <c r="L2344" s="2" t="s">
        <v>1821</v>
      </c>
      <c r="M2344" s="3">
        <v>40335</v>
      </c>
      <c r="N2344" s="2" t="s">
        <v>2621</v>
      </c>
      <c r="O2344" s="2"/>
      <c r="P2344" s="2"/>
      <c r="Q2344" s="2" t="str">
        <f>"299-E/10"</f>
        <v>299-E/10</v>
      </c>
      <c r="R2344" s="2" t="s">
        <v>1035</v>
      </c>
      <c r="S2344" s="2" t="s">
        <v>7967</v>
      </c>
      <c r="T2344" s="2">
        <v>1</v>
      </c>
      <c r="U2344" s="2" t="s">
        <v>79</v>
      </c>
      <c r="V2344" s="2">
        <v>1</v>
      </c>
      <c r="W2344" s="2" t="s">
        <v>80</v>
      </c>
      <c r="X2344" s="2">
        <v>1</v>
      </c>
      <c r="Y2344" s="2" t="s">
        <v>81</v>
      </c>
      <c r="Z2344" s="2">
        <v>1</v>
      </c>
      <c r="AA2344" s="2" t="s">
        <v>82</v>
      </c>
      <c r="AB2344" s="2">
        <v>1</v>
      </c>
      <c r="AC2344" s="2" t="s">
        <v>178</v>
      </c>
      <c r="AD2344" s="3">
        <v>40335</v>
      </c>
      <c r="AE2344" s="4">
        <v>0.40277777777777773</v>
      </c>
      <c r="AF2344" s="2"/>
      <c r="AG2344" s="2"/>
      <c r="AH2344" s="2">
        <v>2</v>
      </c>
      <c r="AI2344" s="2" t="s">
        <v>84</v>
      </c>
      <c r="AJ2344" s="2">
        <v>9</v>
      </c>
      <c r="AK2344" s="2" t="s">
        <v>103</v>
      </c>
      <c r="AL2344" s="2">
        <v>11</v>
      </c>
      <c r="AM2344" s="2" t="s">
        <v>137</v>
      </c>
      <c r="AN2344" s="2" t="s">
        <v>7968</v>
      </c>
      <c r="AO2344" s="2" t="s">
        <v>7969</v>
      </c>
      <c r="AP2344" s="2">
        <v>11</v>
      </c>
      <c r="AQ2344" s="2" t="s">
        <v>82</v>
      </c>
      <c r="AR2344" s="2"/>
      <c r="AS2344" s="2"/>
      <c r="AT2344" s="2" t="s">
        <v>7970</v>
      </c>
      <c r="AU2344" s="2"/>
      <c r="AV2344" s="2">
        <v>1</v>
      </c>
      <c r="AW2344" s="2"/>
      <c r="AX2344" s="2"/>
      <c r="AY2344" s="2">
        <v>41</v>
      </c>
      <c r="AZ2344" s="2" t="s">
        <v>82</v>
      </c>
      <c r="BA2344" s="2">
        <v>41</v>
      </c>
      <c r="BB2344" s="2" t="s">
        <v>82</v>
      </c>
      <c r="BC2344" s="2">
        <v>41</v>
      </c>
      <c r="BD2344" s="2" t="s">
        <v>82</v>
      </c>
      <c r="BE2344" s="2">
        <v>39</v>
      </c>
      <c r="BF2344" s="2" t="s">
        <v>440</v>
      </c>
      <c r="BG2344" s="2" t="s">
        <v>7081</v>
      </c>
      <c r="BH2344" s="2"/>
      <c r="BI2344" s="2"/>
      <c r="BJ2344" s="2">
        <v>172</v>
      </c>
      <c r="BK2344" s="2" t="s">
        <v>843</v>
      </c>
      <c r="BL2344" s="2" t="s">
        <v>7971</v>
      </c>
      <c r="BM2344" s="2">
        <v>13</v>
      </c>
      <c r="BN2344" s="2" t="s">
        <v>91</v>
      </c>
      <c r="BO2344" s="2" t="s">
        <v>7972</v>
      </c>
      <c r="BP2344" s="2">
        <v>112</v>
      </c>
      <c r="BQ2344" s="2" t="s">
        <v>110</v>
      </c>
      <c r="BR2344" s="2" t="s">
        <v>111</v>
      </c>
      <c r="BS2344" s="3">
        <v>40335</v>
      </c>
      <c r="BT2344" s="4">
        <v>0.69581018518518523</v>
      </c>
    </row>
    <row r="2345" spans="1:72" x14ac:dyDescent="0.25">
      <c r="A2345" s="2">
        <v>3435</v>
      </c>
      <c r="B2345" s="2">
        <v>2010</v>
      </c>
      <c r="C2345" s="2" t="s">
        <v>196</v>
      </c>
      <c r="D2345" s="2" t="s">
        <v>122</v>
      </c>
      <c r="E2345" s="2"/>
      <c r="F2345" s="2">
        <v>1</v>
      </c>
      <c r="G2345" s="2" t="s">
        <v>82</v>
      </c>
      <c r="H2345" s="2">
        <v>1</v>
      </c>
      <c r="I2345" s="2" t="s">
        <v>82</v>
      </c>
      <c r="J2345" s="2">
        <v>1</v>
      </c>
      <c r="K2345" s="2" t="s">
        <v>107</v>
      </c>
      <c r="L2345" s="2" t="s">
        <v>107</v>
      </c>
      <c r="M2345" s="3">
        <v>40335</v>
      </c>
      <c r="N2345" s="2"/>
      <c r="O2345" s="2"/>
      <c r="P2345" s="2"/>
      <c r="Q2345" s="2" t="str">
        <f>""</f>
        <v/>
      </c>
      <c r="R2345" s="2"/>
      <c r="S2345" s="2"/>
      <c r="T2345" s="2">
        <v>2</v>
      </c>
      <c r="U2345" s="2" t="s">
        <v>123</v>
      </c>
      <c r="V2345" s="2">
        <v>1</v>
      </c>
      <c r="W2345" s="2" t="s">
        <v>80</v>
      </c>
      <c r="X2345" s="2">
        <v>5</v>
      </c>
      <c r="Y2345" s="2" t="s">
        <v>82</v>
      </c>
      <c r="Z2345" s="2">
        <v>1</v>
      </c>
      <c r="AA2345" s="2" t="s">
        <v>82</v>
      </c>
      <c r="AB2345" s="2">
        <v>9</v>
      </c>
      <c r="AC2345" s="2" t="s">
        <v>124</v>
      </c>
      <c r="AD2345" s="3">
        <v>40335</v>
      </c>
      <c r="AE2345" s="4">
        <v>0.72777777777777775</v>
      </c>
      <c r="AF2345" s="2"/>
      <c r="AG2345" s="2"/>
      <c r="AH2345" s="2">
        <v>6</v>
      </c>
      <c r="AI2345" s="2" t="s">
        <v>197</v>
      </c>
      <c r="AJ2345" s="2">
        <v>59</v>
      </c>
      <c r="AK2345" s="2" t="s">
        <v>198</v>
      </c>
      <c r="AL2345" s="2">
        <v>18</v>
      </c>
      <c r="AM2345" s="2" t="s">
        <v>82</v>
      </c>
      <c r="AN2345" s="2" t="s">
        <v>259</v>
      </c>
      <c r="AO2345" s="2" t="s">
        <v>230</v>
      </c>
      <c r="AP2345" s="2">
        <v>11</v>
      </c>
      <c r="AQ2345" s="2" t="s">
        <v>82</v>
      </c>
      <c r="AR2345" s="2"/>
      <c r="AS2345" s="2"/>
      <c r="AT2345" s="2" t="s">
        <v>7973</v>
      </c>
      <c r="AU2345" s="2"/>
      <c r="AV2345" s="2"/>
      <c r="AW2345" s="2"/>
      <c r="AX2345" s="2"/>
      <c r="AY2345" s="2">
        <v>1</v>
      </c>
      <c r="AZ2345" s="2" t="s">
        <v>107</v>
      </c>
      <c r="BA2345" s="2">
        <v>1</v>
      </c>
      <c r="BB2345" s="2" t="s">
        <v>107</v>
      </c>
      <c r="BC2345" s="2">
        <v>1</v>
      </c>
      <c r="BD2345" s="2" t="s">
        <v>107</v>
      </c>
      <c r="BE2345" s="2">
        <v>1</v>
      </c>
      <c r="BF2345" s="2" t="s">
        <v>107</v>
      </c>
      <c r="BG2345" s="2"/>
      <c r="BH2345" s="2"/>
      <c r="BI2345" s="4">
        <v>0.72777777777777775</v>
      </c>
      <c r="BJ2345" s="2">
        <v>242</v>
      </c>
      <c r="BK2345" s="2" t="s">
        <v>107</v>
      </c>
      <c r="BL2345" s="2" t="s">
        <v>492</v>
      </c>
      <c r="BM2345" s="2">
        <v>242</v>
      </c>
      <c r="BN2345" s="2" t="s">
        <v>107</v>
      </c>
      <c r="BO2345" s="2"/>
      <c r="BP2345" s="2">
        <v>242</v>
      </c>
      <c r="BQ2345" s="2" t="s">
        <v>107</v>
      </c>
      <c r="BR2345" s="2" t="s">
        <v>524</v>
      </c>
      <c r="BS2345" s="3">
        <v>40335</v>
      </c>
      <c r="BT2345" s="4">
        <v>0.7371064814814815</v>
      </c>
    </row>
    <row r="2346" spans="1:72" x14ac:dyDescent="0.25">
      <c r="A2346" s="2">
        <v>3436</v>
      </c>
      <c r="B2346" s="2">
        <v>2010</v>
      </c>
      <c r="C2346" s="2" t="s">
        <v>72</v>
      </c>
      <c r="D2346" s="2" t="s">
        <v>73</v>
      </c>
      <c r="E2346" s="2"/>
      <c r="F2346" s="2">
        <v>389</v>
      </c>
      <c r="G2346" s="2" t="s">
        <v>1819</v>
      </c>
      <c r="H2346" s="2">
        <v>4</v>
      </c>
      <c r="I2346" s="2" t="s">
        <v>173</v>
      </c>
      <c r="J2346" s="2">
        <v>399</v>
      </c>
      <c r="K2346" s="2" t="s">
        <v>1820</v>
      </c>
      <c r="L2346" s="2" t="s">
        <v>1821</v>
      </c>
      <c r="M2346" s="3">
        <v>40335</v>
      </c>
      <c r="N2346" s="2" t="s">
        <v>2621</v>
      </c>
      <c r="O2346" s="2"/>
      <c r="P2346" s="2"/>
      <c r="Q2346" s="2" t="str">
        <f>"300-E/10"</f>
        <v>300-E/10</v>
      </c>
      <c r="R2346" s="2" t="s">
        <v>7974</v>
      </c>
      <c r="S2346" s="2" t="s">
        <v>7974</v>
      </c>
      <c r="T2346" s="2">
        <v>1</v>
      </c>
      <c r="U2346" s="2" t="s">
        <v>79</v>
      </c>
      <c r="V2346" s="2">
        <v>1</v>
      </c>
      <c r="W2346" s="2" t="s">
        <v>80</v>
      </c>
      <c r="X2346" s="2">
        <v>12</v>
      </c>
      <c r="Y2346" s="2" t="s">
        <v>148</v>
      </c>
      <c r="Z2346" s="2">
        <v>1</v>
      </c>
      <c r="AA2346" s="2" t="s">
        <v>82</v>
      </c>
      <c r="AB2346" s="2">
        <v>6</v>
      </c>
      <c r="AC2346" s="2" t="s">
        <v>83</v>
      </c>
      <c r="AD2346" s="3">
        <v>40335</v>
      </c>
      <c r="AE2346" s="2"/>
      <c r="AF2346" s="3">
        <v>40335</v>
      </c>
      <c r="AG2346" s="4">
        <v>0.40625</v>
      </c>
      <c r="AH2346" s="2">
        <v>2</v>
      </c>
      <c r="AI2346" s="2" t="s">
        <v>84</v>
      </c>
      <c r="AJ2346" s="2">
        <v>9</v>
      </c>
      <c r="AK2346" s="2" t="s">
        <v>103</v>
      </c>
      <c r="AL2346" s="2">
        <v>22</v>
      </c>
      <c r="AM2346" s="2" t="s">
        <v>1853</v>
      </c>
      <c r="AN2346" s="2" t="s">
        <v>107</v>
      </c>
      <c r="AO2346" s="2" t="s">
        <v>7975</v>
      </c>
      <c r="AP2346" s="2">
        <v>11</v>
      </c>
      <c r="AQ2346" s="2" t="s">
        <v>82</v>
      </c>
      <c r="AR2346" s="2"/>
      <c r="AS2346" s="2"/>
      <c r="AT2346" s="2" t="s">
        <v>7976</v>
      </c>
      <c r="AU2346" s="2"/>
      <c r="AV2346" s="2"/>
      <c r="AW2346" s="2"/>
      <c r="AX2346" s="2"/>
      <c r="AY2346" s="2">
        <v>41</v>
      </c>
      <c r="AZ2346" s="2" t="s">
        <v>82</v>
      </c>
      <c r="BA2346" s="2">
        <v>41</v>
      </c>
      <c r="BB2346" s="2" t="s">
        <v>82</v>
      </c>
      <c r="BC2346" s="2">
        <v>41</v>
      </c>
      <c r="BD2346" s="2" t="s">
        <v>82</v>
      </c>
      <c r="BE2346" s="2">
        <v>4</v>
      </c>
      <c r="BF2346" s="2" t="s">
        <v>90</v>
      </c>
      <c r="BG2346" s="2" t="s">
        <v>6914</v>
      </c>
      <c r="BH2346" s="4">
        <v>0.29166666666666669</v>
      </c>
      <c r="BI2346" s="4">
        <v>0.875</v>
      </c>
      <c r="BJ2346" s="2">
        <v>75</v>
      </c>
      <c r="BK2346" s="2" t="s">
        <v>1264</v>
      </c>
      <c r="BL2346" s="2" t="s">
        <v>1361</v>
      </c>
      <c r="BM2346" s="2">
        <v>241</v>
      </c>
      <c r="BN2346" s="2" t="s">
        <v>82</v>
      </c>
      <c r="BO2346" s="2"/>
      <c r="BP2346" s="2">
        <v>13</v>
      </c>
      <c r="BQ2346" s="2" t="s">
        <v>91</v>
      </c>
      <c r="BR2346" s="2" t="s">
        <v>112</v>
      </c>
      <c r="BS2346" s="3">
        <v>40335</v>
      </c>
      <c r="BT2346" s="4">
        <v>0.78771990740740738</v>
      </c>
    </row>
    <row r="2347" spans="1:72" x14ac:dyDescent="0.25">
      <c r="A2347" s="2">
        <v>3437</v>
      </c>
      <c r="B2347" s="2">
        <v>2010</v>
      </c>
      <c r="C2347" s="2" t="s">
        <v>72</v>
      </c>
      <c r="D2347" s="2" t="s">
        <v>73</v>
      </c>
      <c r="E2347" s="2"/>
      <c r="F2347" s="2">
        <v>631</v>
      </c>
      <c r="G2347" s="2" t="s">
        <v>7688</v>
      </c>
      <c r="H2347" s="2">
        <v>108</v>
      </c>
      <c r="I2347" s="2" t="s">
        <v>1096</v>
      </c>
      <c r="J2347" s="2">
        <v>570</v>
      </c>
      <c r="K2347" s="2" t="s">
        <v>7689</v>
      </c>
      <c r="L2347" s="2" t="s">
        <v>946</v>
      </c>
      <c r="M2347" s="3">
        <v>40335</v>
      </c>
      <c r="N2347" s="2" t="s">
        <v>7977</v>
      </c>
      <c r="O2347" s="2" t="s">
        <v>107</v>
      </c>
      <c r="P2347" s="2" t="s">
        <v>107</v>
      </c>
      <c r="Q2347" s="2" t="str">
        <f>"205-A/10"</f>
        <v>205-A/10</v>
      </c>
      <c r="R2347" s="2" t="s">
        <v>107</v>
      </c>
      <c r="S2347" s="2" t="s">
        <v>156</v>
      </c>
      <c r="T2347" s="2">
        <v>1</v>
      </c>
      <c r="U2347" s="2" t="s">
        <v>79</v>
      </c>
      <c r="V2347" s="2">
        <v>1</v>
      </c>
      <c r="W2347" s="2" t="s">
        <v>80</v>
      </c>
      <c r="X2347" s="2">
        <v>12</v>
      </c>
      <c r="Y2347" s="2" t="s">
        <v>148</v>
      </c>
      <c r="Z2347" s="2">
        <v>1</v>
      </c>
      <c r="AA2347" s="2" t="s">
        <v>82</v>
      </c>
      <c r="AB2347" s="2">
        <v>6</v>
      </c>
      <c r="AC2347" s="2" t="s">
        <v>83</v>
      </c>
      <c r="AD2347" s="3">
        <v>40335</v>
      </c>
      <c r="AE2347" s="2"/>
      <c r="AF2347" s="3">
        <v>40335</v>
      </c>
      <c r="AG2347" s="4">
        <v>0.70833333333333337</v>
      </c>
      <c r="AH2347" s="2">
        <v>2</v>
      </c>
      <c r="AI2347" s="2" t="s">
        <v>84</v>
      </c>
      <c r="AJ2347" s="2">
        <v>12</v>
      </c>
      <c r="AK2347" s="2" t="s">
        <v>85</v>
      </c>
      <c r="AL2347" s="2">
        <v>22</v>
      </c>
      <c r="AM2347" s="2" t="s">
        <v>1853</v>
      </c>
      <c r="AN2347" s="2" t="s">
        <v>107</v>
      </c>
      <c r="AO2347" s="2" t="s">
        <v>7978</v>
      </c>
      <c r="AP2347" s="2">
        <v>11</v>
      </c>
      <c r="AQ2347" s="2" t="s">
        <v>82</v>
      </c>
      <c r="AR2347" s="2"/>
      <c r="AS2347" s="2"/>
      <c r="AT2347" s="2" t="s">
        <v>7979</v>
      </c>
      <c r="AU2347" s="2"/>
      <c r="AV2347" s="2"/>
      <c r="AW2347" s="2"/>
      <c r="AX2347" s="2"/>
      <c r="AY2347" s="2">
        <v>41</v>
      </c>
      <c r="AZ2347" s="2" t="s">
        <v>82</v>
      </c>
      <c r="BA2347" s="2">
        <v>41</v>
      </c>
      <c r="BB2347" s="2" t="s">
        <v>82</v>
      </c>
      <c r="BC2347" s="2">
        <v>41</v>
      </c>
      <c r="BD2347" s="2" t="s">
        <v>82</v>
      </c>
      <c r="BE2347" s="2">
        <v>4</v>
      </c>
      <c r="BF2347" s="2" t="s">
        <v>90</v>
      </c>
      <c r="BG2347" s="2" t="s">
        <v>3436</v>
      </c>
      <c r="BH2347" s="4">
        <v>0.64583333333333337</v>
      </c>
      <c r="BI2347" s="4">
        <v>0.57986111111111105</v>
      </c>
      <c r="BJ2347" s="2">
        <v>13</v>
      </c>
      <c r="BK2347" s="2" t="s">
        <v>91</v>
      </c>
      <c r="BL2347" s="2" t="s">
        <v>92</v>
      </c>
      <c r="BM2347" s="2">
        <v>241</v>
      </c>
      <c r="BN2347" s="2" t="s">
        <v>82</v>
      </c>
      <c r="BO2347" s="2"/>
      <c r="BP2347" s="2">
        <v>13</v>
      </c>
      <c r="BQ2347" s="2" t="s">
        <v>91</v>
      </c>
      <c r="BR2347" s="2" t="s">
        <v>185</v>
      </c>
      <c r="BS2347" s="3">
        <v>40335</v>
      </c>
      <c r="BT2347" s="4">
        <v>0.79961805555555554</v>
      </c>
    </row>
    <row r="2348" spans="1:72" x14ac:dyDescent="0.25">
      <c r="A2348" s="2">
        <v>3438</v>
      </c>
      <c r="B2348" s="2">
        <v>2010</v>
      </c>
      <c r="C2348" s="2" t="s">
        <v>196</v>
      </c>
      <c r="D2348" s="2" t="s">
        <v>122</v>
      </c>
      <c r="E2348" s="2"/>
      <c r="F2348" s="2">
        <v>1</v>
      </c>
      <c r="G2348" s="2" t="s">
        <v>82</v>
      </c>
      <c r="H2348" s="2">
        <v>1</v>
      </c>
      <c r="I2348" s="2" t="s">
        <v>82</v>
      </c>
      <c r="J2348" s="2">
        <v>1</v>
      </c>
      <c r="K2348" s="2" t="s">
        <v>107</v>
      </c>
      <c r="L2348" s="2" t="s">
        <v>107</v>
      </c>
      <c r="M2348" s="3">
        <v>40335</v>
      </c>
      <c r="N2348" s="2"/>
      <c r="O2348" s="2"/>
      <c r="P2348" s="2"/>
      <c r="Q2348" s="2" t="str">
        <f>""</f>
        <v/>
      </c>
      <c r="R2348" s="2"/>
      <c r="S2348" s="2"/>
      <c r="T2348" s="2">
        <v>2</v>
      </c>
      <c r="U2348" s="2" t="s">
        <v>123</v>
      </c>
      <c r="V2348" s="2">
        <v>1</v>
      </c>
      <c r="W2348" s="2" t="s">
        <v>80</v>
      </c>
      <c r="X2348" s="2">
        <v>11</v>
      </c>
      <c r="Y2348" s="2" t="s">
        <v>1920</v>
      </c>
      <c r="Z2348" s="2">
        <v>10</v>
      </c>
      <c r="AA2348" s="2" t="s">
        <v>236</v>
      </c>
      <c r="AB2348" s="2">
        <v>9</v>
      </c>
      <c r="AC2348" s="2" t="s">
        <v>124</v>
      </c>
      <c r="AD2348" s="3">
        <v>40335</v>
      </c>
      <c r="AE2348" s="4">
        <v>0.77083333333333337</v>
      </c>
      <c r="AF2348" s="2"/>
      <c r="AG2348" s="2"/>
      <c r="AH2348" s="2">
        <v>2</v>
      </c>
      <c r="AI2348" s="2" t="s">
        <v>84</v>
      </c>
      <c r="AJ2348" s="2">
        <v>12</v>
      </c>
      <c r="AK2348" s="2" t="s">
        <v>85</v>
      </c>
      <c r="AL2348" s="2">
        <v>20</v>
      </c>
      <c r="AM2348" s="2" t="s">
        <v>992</v>
      </c>
      <c r="AN2348" s="2" t="s">
        <v>200</v>
      </c>
      <c r="AO2348" s="2"/>
      <c r="AP2348" s="2">
        <v>11</v>
      </c>
      <c r="AQ2348" s="2" t="s">
        <v>82</v>
      </c>
      <c r="AR2348" s="2"/>
      <c r="AS2348" s="2"/>
      <c r="AT2348" s="2" t="s">
        <v>7980</v>
      </c>
      <c r="AU2348" s="2"/>
      <c r="AV2348" s="2"/>
      <c r="AW2348" s="2"/>
      <c r="AX2348" s="2"/>
      <c r="AY2348" s="2">
        <v>41</v>
      </c>
      <c r="AZ2348" s="2" t="s">
        <v>82</v>
      </c>
      <c r="BA2348" s="2">
        <v>41</v>
      </c>
      <c r="BB2348" s="2" t="s">
        <v>82</v>
      </c>
      <c r="BC2348" s="2">
        <v>41</v>
      </c>
      <c r="BD2348" s="2" t="s">
        <v>82</v>
      </c>
      <c r="BE2348" s="2">
        <v>41</v>
      </c>
      <c r="BF2348" s="2" t="s">
        <v>82</v>
      </c>
      <c r="BG2348" s="2"/>
      <c r="BH2348" s="4">
        <v>0.82916666666666661</v>
      </c>
      <c r="BI2348" s="4">
        <v>0.8354166666666667</v>
      </c>
      <c r="BJ2348" s="2">
        <v>13</v>
      </c>
      <c r="BK2348" s="2" t="s">
        <v>91</v>
      </c>
      <c r="BL2348" s="2" t="s">
        <v>204</v>
      </c>
      <c r="BM2348" s="2">
        <v>241</v>
      </c>
      <c r="BN2348" s="2" t="s">
        <v>82</v>
      </c>
      <c r="BO2348" s="2"/>
      <c r="BP2348" s="2">
        <v>13</v>
      </c>
      <c r="BQ2348" s="2" t="s">
        <v>91</v>
      </c>
      <c r="BR2348" s="2" t="s">
        <v>185</v>
      </c>
      <c r="BS2348" s="3">
        <v>40335</v>
      </c>
      <c r="BT2348" s="4">
        <v>0.85428240740740735</v>
      </c>
    </row>
    <row r="2349" spans="1:72" x14ac:dyDescent="0.25">
      <c r="A2349" s="2">
        <v>3439</v>
      </c>
      <c r="B2349" s="2">
        <v>2010</v>
      </c>
      <c r="C2349" s="2" t="s">
        <v>171</v>
      </c>
      <c r="D2349" s="2" t="s">
        <v>122</v>
      </c>
      <c r="E2349" s="2" t="s">
        <v>7957</v>
      </c>
      <c r="F2349" s="2">
        <v>396</v>
      </c>
      <c r="G2349" s="2" t="s">
        <v>2159</v>
      </c>
      <c r="H2349" s="2">
        <v>8</v>
      </c>
      <c r="I2349" s="2" t="s">
        <v>3451</v>
      </c>
      <c r="J2349" s="2">
        <v>243</v>
      </c>
      <c r="K2349" s="2" t="s">
        <v>2160</v>
      </c>
      <c r="L2349" s="2" t="s">
        <v>2145</v>
      </c>
      <c r="M2349" s="3">
        <v>40336</v>
      </c>
      <c r="N2349" s="2" t="s">
        <v>3452</v>
      </c>
      <c r="O2349" s="2" t="s">
        <v>107</v>
      </c>
      <c r="P2349" s="2" t="s">
        <v>107</v>
      </c>
      <c r="Q2349" s="2" t="str">
        <f>"297-E/10"</f>
        <v>297-E/10</v>
      </c>
      <c r="R2349" s="2" t="s">
        <v>7917</v>
      </c>
      <c r="S2349" s="2" t="s">
        <v>7917</v>
      </c>
      <c r="T2349" s="2">
        <v>1</v>
      </c>
      <c r="U2349" s="2" t="s">
        <v>79</v>
      </c>
      <c r="V2349" s="2">
        <v>1</v>
      </c>
      <c r="W2349" s="2" t="s">
        <v>80</v>
      </c>
      <c r="X2349" s="2">
        <v>1</v>
      </c>
      <c r="Y2349" s="2" t="s">
        <v>81</v>
      </c>
      <c r="Z2349" s="2">
        <v>1</v>
      </c>
      <c r="AA2349" s="2" t="s">
        <v>82</v>
      </c>
      <c r="AB2349" s="2">
        <v>1</v>
      </c>
      <c r="AC2349" s="2" t="s">
        <v>178</v>
      </c>
      <c r="AD2349" s="3">
        <v>40335</v>
      </c>
      <c r="AE2349" s="4">
        <v>0.5625</v>
      </c>
      <c r="AF2349" s="2"/>
      <c r="AG2349" s="2"/>
      <c r="AH2349" s="2">
        <v>2</v>
      </c>
      <c r="AI2349" s="2" t="s">
        <v>84</v>
      </c>
      <c r="AJ2349" s="2">
        <v>9</v>
      </c>
      <c r="AK2349" s="2" t="s">
        <v>103</v>
      </c>
      <c r="AL2349" s="2">
        <v>11</v>
      </c>
      <c r="AM2349" s="2" t="s">
        <v>137</v>
      </c>
      <c r="AN2349" s="2" t="s">
        <v>987</v>
      </c>
      <c r="AO2349" s="5">
        <v>42370</v>
      </c>
      <c r="AP2349" s="2">
        <v>11</v>
      </c>
      <c r="AQ2349" s="2" t="s">
        <v>82</v>
      </c>
      <c r="AR2349" s="2"/>
      <c r="AS2349" s="2"/>
      <c r="AT2349" s="2" t="s">
        <v>7981</v>
      </c>
      <c r="AU2349" s="2"/>
      <c r="AV2349" s="2">
        <v>1</v>
      </c>
      <c r="AW2349" s="2"/>
      <c r="AX2349" s="2"/>
      <c r="AY2349" s="2">
        <v>41</v>
      </c>
      <c r="AZ2349" s="2" t="s">
        <v>82</v>
      </c>
      <c r="BA2349" s="2">
        <v>41</v>
      </c>
      <c r="BB2349" s="2" t="s">
        <v>82</v>
      </c>
      <c r="BC2349" s="2">
        <v>41</v>
      </c>
      <c r="BD2349" s="2" t="s">
        <v>82</v>
      </c>
      <c r="BE2349" s="2">
        <v>39</v>
      </c>
      <c r="BF2349" s="2" t="s">
        <v>440</v>
      </c>
      <c r="BG2349" s="2" t="s">
        <v>7920</v>
      </c>
      <c r="BH2349" s="2"/>
      <c r="BI2349" s="4">
        <v>0.58333333333333337</v>
      </c>
      <c r="BJ2349" s="2">
        <v>13</v>
      </c>
      <c r="BK2349" s="2" t="s">
        <v>91</v>
      </c>
      <c r="BL2349" s="2" t="s">
        <v>185</v>
      </c>
      <c r="BM2349" s="2">
        <v>241</v>
      </c>
      <c r="BN2349" s="2" t="s">
        <v>82</v>
      </c>
      <c r="BO2349" s="2"/>
      <c r="BP2349" s="2">
        <v>33</v>
      </c>
      <c r="BQ2349" s="2" t="s">
        <v>361</v>
      </c>
      <c r="BR2349" s="2" t="s">
        <v>1739</v>
      </c>
      <c r="BS2349" s="3">
        <v>40336</v>
      </c>
      <c r="BT2349" s="4">
        <v>2.4571759259259262E-2</v>
      </c>
    </row>
    <row r="2350" spans="1:72" x14ac:dyDescent="0.25">
      <c r="A2350" s="2">
        <v>3440</v>
      </c>
      <c r="B2350" s="2">
        <v>2010</v>
      </c>
      <c r="C2350" s="2" t="s">
        <v>171</v>
      </c>
      <c r="D2350" s="2" t="s">
        <v>73</v>
      </c>
      <c r="E2350" s="2"/>
      <c r="F2350" s="2">
        <v>404</v>
      </c>
      <c r="G2350" s="2" t="s">
        <v>5209</v>
      </c>
      <c r="H2350" s="2">
        <v>9</v>
      </c>
      <c r="I2350" s="2" t="s">
        <v>794</v>
      </c>
      <c r="J2350" s="2">
        <v>243</v>
      </c>
      <c r="K2350" s="2" t="s">
        <v>2160</v>
      </c>
      <c r="L2350" s="2" t="s">
        <v>2145</v>
      </c>
      <c r="M2350" s="3">
        <v>40336</v>
      </c>
      <c r="N2350" s="2" t="s">
        <v>2161</v>
      </c>
      <c r="O2350" s="2" t="s">
        <v>107</v>
      </c>
      <c r="P2350" s="2" t="s">
        <v>107</v>
      </c>
      <c r="Q2350" s="2" t="str">
        <f>"301-E/10"</f>
        <v>301-E/10</v>
      </c>
      <c r="R2350" s="2" t="s">
        <v>391</v>
      </c>
      <c r="S2350" s="2" t="s">
        <v>391</v>
      </c>
      <c r="T2350" s="2">
        <v>1</v>
      </c>
      <c r="U2350" s="2" t="s">
        <v>79</v>
      </c>
      <c r="V2350" s="2">
        <v>1</v>
      </c>
      <c r="W2350" s="2" t="s">
        <v>80</v>
      </c>
      <c r="X2350" s="2">
        <v>1</v>
      </c>
      <c r="Y2350" s="2" t="s">
        <v>81</v>
      </c>
      <c r="Z2350" s="2">
        <v>1</v>
      </c>
      <c r="AA2350" s="2" t="s">
        <v>82</v>
      </c>
      <c r="AB2350" s="2">
        <v>1</v>
      </c>
      <c r="AC2350" s="2" t="s">
        <v>178</v>
      </c>
      <c r="AD2350" s="3">
        <v>40335</v>
      </c>
      <c r="AE2350" s="4">
        <v>0.84722222222222221</v>
      </c>
      <c r="AF2350" s="2"/>
      <c r="AG2350" s="2"/>
      <c r="AH2350" s="2">
        <v>2</v>
      </c>
      <c r="AI2350" s="2" t="s">
        <v>84</v>
      </c>
      <c r="AJ2350" s="2">
        <v>9</v>
      </c>
      <c r="AK2350" s="2" t="s">
        <v>103</v>
      </c>
      <c r="AL2350" s="2">
        <v>25</v>
      </c>
      <c r="AM2350" s="2" t="s">
        <v>3073</v>
      </c>
      <c r="AN2350" s="2" t="s">
        <v>5310</v>
      </c>
      <c r="AO2350" s="2" t="s">
        <v>5362</v>
      </c>
      <c r="AP2350" s="2">
        <v>11</v>
      </c>
      <c r="AQ2350" s="2" t="s">
        <v>82</v>
      </c>
      <c r="AR2350" s="2"/>
      <c r="AS2350" s="2"/>
      <c r="AT2350" s="2" t="s">
        <v>7982</v>
      </c>
      <c r="AU2350" s="2"/>
      <c r="AV2350" s="2">
        <v>1</v>
      </c>
      <c r="AW2350" s="2"/>
      <c r="AX2350" s="2"/>
      <c r="AY2350" s="2">
        <v>41</v>
      </c>
      <c r="AZ2350" s="2" t="s">
        <v>82</v>
      </c>
      <c r="BA2350" s="2">
        <v>41</v>
      </c>
      <c r="BB2350" s="2" t="s">
        <v>82</v>
      </c>
      <c r="BC2350" s="2">
        <v>41</v>
      </c>
      <c r="BD2350" s="2" t="s">
        <v>82</v>
      </c>
      <c r="BE2350" s="2">
        <v>13</v>
      </c>
      <c r="BF2350" s="2" t="s">
        <v>108</v>
      </c>
      <c r="BG2350" s="2" t="s">
        <v>842</v>
      </c>
      <c r="BH2350" s="2"/>
      <c r="BI2350" s="4">
        <v>0.875</v>
      </c>
      <c r="BJ2350" s="2">
        <v>13</v>
      </c>
      <c r="BK2350" s="2" t="s">
        <v>91</v>
      </c>
      <c r="BL2350" s="2" t="s">
        <v>360</v>
      </c>
      <c r="BM2350" s="2">
        <v>241</v>
      </c>
      <c r="BN2350" s="2" t="s">
        <v>82</v>
      </c>
      <c r="BO2350" s="2"/>
      <c r="BP2350" s="2">
        <v>73</v>
      </c>
      <c r="BQ2350" s="2" t="s">
        <v>186</v>
      </c>
      <c r="BR2350" s="2" t="s">
        <v>187</v>
      </c>
      <c r="BS2350" s="3">
        <v>40336</v>
      </c>
      <c r="BT2350" s="4">
        <v>0.13447916666666668</v>
      </c>
    </row>
    <row r="2351" spans="1:72" x14ac:dyDescent="0.25">
      <c r="A2351" s="2">
        <v>3441</v>
      </c>
      <c r="B2351" s="2">
        <v>2010</v>
      </c>
      <c r="C2351" s="2" t="s">
        <v>171</v>
      </c>
      <c r="D2351" s="2" t="s">
        <v>122</v>
      </c>
      <c r="E2351" s="2" t="s">
        <v>7983</v>
      </c>
      <c r="F2351" s="2">
        <v>389</v>
      </c>
      <c r="G2351" s="2" t="s">
        <v>1819</v>
      </c>
      <c r="H2351" s="2">
        <v>4</v>
      </c>
      <c r="I2351" s="2" t="s">
        <v>173</v>
      </c>
      <c r="J2351" s="2">
        <v>399</v>
      </c>
      <c r="K2351" s="2" t="s">
        <v>1820</v>
      </c>
      <c r="L2351" s="2" t="s">
        <v>1821</v>
      </c>
      <c r="M2351" s="3">
        <v>40336</v>
      </c>
      <c r="N2351" s="2" t="s">
        <v>2621</v>
      </c>
      <c r="O2351" s="2"/>
      <c r="P2351" s="2"/>
      <c r="Q2351" s="2" t="str">
        <f>"299-E/10"</f>
        <v>299-E/10</v>
      </c>
      <c r="R2351" s="2" t="s">
        <v>7967</v>
      </c>
      <c r="S2351" s="2" t="s">
        <v>1035</v>
      </c>
      <c r="T2351" s="2">
        <v>1</v>
      </c>
      <c r="U2351" s="2" t="s">
        <v>79</v>
      </c>
      <c r="V2351" s="2">
        <v>1</v>
      </c>
      <c r="W2351" s="2" t="s">
        <v>80</v>
      </c>
      <c r="X2351" s="2">
        <v>1</v>
      </c>
      <c r="Y2351" s="2" t="s">
        <v>81</v>
      </c>
      <c r="Z2351" s="2">
        <v>1</v>
      </c>
      <c r="AA2351" s="2" t="s">
        <v>82</v>
      </c>
      <c r="AB2351" s="2">
        <v>1</v>
      </c>
      <c r="AC2351" s="2" t="s">
        <v>178</v>
      </c>
      <c r="AD2351" s="3">
        <v>40336</v>
      </c>
      <c r="AE2351" s="4">
        <v>0.40277777777777773</v>
      </c>
      <c r="AF2351" s="2"/>
      <c r="AG2351" s="2"/>
      <c r="AH2351" s="2">
        <v>2</v>
      </c>
      <c r="AI2351" s="2" t="s">
        <v>84</v>
      </c>
      <c r="AJ2351" s="2">
        <v>9</v>
      </c>
      <c r="AK2351" s="2" t="s">
        <v>103</v>
      </c>
      <c r="AL2351" s="2">
        <v>14</v>
      </c>
      <c r="AM2351" s="2" t="s">
        <v>216</v>
      </c>
      <c r="AN2351" s="2"/>
      <c r="AO2351" s="2" t="s">
        <v>7984</v>
      </c>
      <c r="AP2351" s="2">
        <v>11</v>
      </c>
      <c r="AQ2351" s="2" t="s">
        <v>82</v>
      </c>
      <c r="AR2351" s="2"/>
      <c r="AS2351" s="2"/>
      <c r="AT2351" s="2" t="s">
        <v>7985</v>
      </c>
      <c r="AU2351" s="2"/>
      <c r="AV2351" s="2">
        <v>1</v>
      </c>
      <c r="AW2351" s="2"/>
      <c r="AX2351" s="2"/>
      <c r="AY2351" s="2">
        <v>41</v>
      </c>
      <c r="AZ2351" s="2" t="s">
        <v>82</v>
      </c>
      <c r="BA2351" s="2">
        <v>41</v>
      </c>
      <c r="BB2351" s="2" t="s">
        <v>82</v>
      </c>
      <c r="BC2351" s="2">
        <v>41</v>
      </c>
      <c r="BD2351" s="2" t="s">
        <v>82</v>
      </c>
      <c r="BE2351" s="2">
        <v>39</v>
      </c>
      <c r="BF2351" s="2" t="s">
        <v>440</v>
      </c>
      <c r="BG2351" s="2" t="s">
        <v>7986</v>
      </c>
      <c r="BH2351" s="4">
        <v>0.38541666666666669</v>
      </c>
      <c r="BI2351" s="4">
        <v>0.20833333333333334</v>
      </c>
      <c r="BJ2351" s="2">
        <v>172</v>
      </c>
      <c r="BK2351" s="2" t="s">
        <v>843</v>
      </c>
      <c r="BL2351" s="2" t="s">
        <v>7971</v>
      </c>
      <c r="BM2351" s="2">
        <v>13</v>
      </c>
      <c r="BN2351" s="2" t="s">
        <v>91</v>
      </c>
      <c r="BO2351" s="2" t="s">
        <v>112</v>
      </c>
      <c r="BP2351" s="2">
        <v>112</v>
      </c>
      <c r="BQ2351" s="2" t="s">
        <v>110</v>
      </c>
      <c r="BR2351" s="2" t="s">
        <v>111</v>
      </c>
      <c r="BS2351" s="3">
        <v>40336</v>
      </c>
      <c r="BT2351" s="4">
        <v>0.3036921296296296</v>
      </c>
    </row>
    <row r="2352" spans="1:72" x14ac:dyDescent="0.25">
      <c r="A2352" s="2">
        <v>3442</v>
      </c>
      <c r="B2352" s="2">
        <v>2010</v>
      </c>
      <c r="C2352" s="2" t="s">
        <v>72</v>
      </c>
      <c r="D2352" s="2" t="s">
        <v>73</v>
      </c>
      <c r="E2352" s="2"/>
      <c r="F2352" s="2">
        <v>631</v>
      </c>
      <c r="G2352" s="2" t="s">
        <v>7688</v>
      </c>
      <c r="H2352" s="2">
        <v>108</v>
      </c>
      <c r="I2352" s="2" t="s">
        <v>1096</v>
      </c>
      <c r="J2352" s="2">
        <v>570</v>
      </c>
      <c r="K2352" s="2" t="s">
        <v>7689</v>
      </c>
      <c r="L2352" s="2" t="s">
        <v>946</v>
      </c>
      <c r="M2352" s="3">
        <v>40336</v>
      </c>
      <c r="N2352" s="2" t="s">
        <v>7690</v>
      </c>
      <c r="O2352" s="2" t="s">
        <v>107</v>
      </c>
      <c r="P2352" s="2" t="s">
        <v>107</v>
      </c>
      <c r="Q2352" s="2" t="str">
        <f>"206-A/10"</f>
        <v>206-A/10</v>
      </c>
      <c r="R2352" s="2"/>
      <c r="S2352" s="2" t="s">
        <v>1547</v>
      </c>
      <c r="T2352" s="2">
        <v>1</v>
      </c>
      <c r="U2352" s="2" t="s">
        <v>79</v>
      </c>
      <c r="V2352" s="2">
        <v>1</v>
      </c>
      <c r="W2352" s="2" t="s">
        <v>80</v>
      </c>
      <c r="X2352" s="2">
        <v>12</v>
      </c>
      <c r="Y2352" s="2" t="s">
        <v>148</v>
      </c>
      <c r="Z2352" s="2">
        <v>1</v>
      </c>
      <c r="AA2352" s="2" t="s">
        <v>82</v>
      </c>
      <c r="AB2352" s="2">
        <v>6</v>
      </c>
      <c r="AC2352" s="2" t="s">
        <v>83</v>
      </c>
      <c r="AD2352" s="3">
        <v>40336</v>
      </c>
      <c r="AE2352" s="2"/>
      <c r="AF2352" s="3">
        <v>40336</v>
      </c>
      <c r="AG2352" s="4">
        <v>0.29166666666666669</v>
      </c>
      <c r="AH2352" s="2">
        <v>2</v>
      </c>
      <c r="AI2352" s="2" t="s">
        <v>84</v>
      </c>
      <c r="AJ2352" s="2">
        <v>12</v>
      </c>
      <c r="AK2352" s="2" t="s">
        <v>85</v>
      </c>
      <c r="AL2352" s="2">
        <v>22</v>
      </c>
      <c r="AM2352" s="2" t="s">
        <v>1853</v>
      </c>
      <c r="AN2352" s="2" t="s">
        <v>7987</v>
      </c>
      <c r="AO2352" s="2" t="s">
        <v>7988</v>
      </c>
      <c r="AP2352" s="2">
        <v>11</v>
      </c>
      <c r="AQ2352" s="2" t="s">
        <v>82</v>
      </c>
      <c r="AR2352" s="2"/>
      <c r="AS2352" s="2"/>
      <c r="AT2352" s="2" t="s">
        <v>7989</v>
      </c>
      <c r="AU2352" s="2"/>
      <c r="AV2352" s="2"/>
      <c r="AW2352" s="2"/>
      <c r="AX2352" s="2"/>
      <c r="AY2352" s="2">
        <v>41</v>
      </c>
      <c r="AZ2352" s="2" t="s">
        <v>82</v>
      </c>
      <c r="BA2352" s="2">
        <v>41</v>
      </c>
      <c r="BB2352" s="2" t="s">
        <v>82</v>
      </c>
      <c r="BC2352" s="2">
        <v>41</v>
      </c>
      <c r="BD2352" s="2" t="s">
        <v>82</v>
      </c>
      <c r="BE2352" s="2">
        <v>4</v>
      </c>
      <c r="BF2352" s="2" t="s">
        <v>90</v>
      </c>
      <c r="BG2352" s="2" t="s">
        <v>5368</v>
      </c>
      <c r="BH2352" s="4">
        <v>0.25347222222222221</v>
      </c>
      <c r="BI2352" s="4">
        <v>0.15972222222222224</v>
      </c>
      <c r="BJ2352" s="2">
        <v>13</v>
      </c>
      <c r="BK2352" s="2" t="s">
        <v>91</v>
      </c>
      <c r="BL2352" s="2" t="s">
        <v>492</v>
      </c>
      <c r="BM2352" s="2">
        <v>241</v>
      </c>
      <c r="BN2352" s="2" t="s">
        <v>82</v>
      </c>
      <c r="BO2352" s="2"/>
      <c r="BP2352" s="2">
        <v>13</v>
      </c>
      <c r="BQ2352" s="2" t="s">
        <v>91</v>
      </c>
      <c r="BR2352" s="2" t="s">
        <v>564</v>
      </c>
      <c r="BS2352" s="3">
        <v>40336</v>
      </c>
      <c r="BT2352" s="4">
        <v>0.33553240740740736</v>
      </c>
    </row>
    <row r="2353" spans="1:72" x14ac:dyDescent="0.25">
      <c r="A2353" s="2">
        <v>3443</v>
      </c>
      <c r="B2353" s="2">
        <v>2010</v>
      </c>
      <c r="C2353" s="2" t="s">
        <v>171</v>
      </c>
      <c r="D2353" s="2" t="s">
        <v>122</v>
      </c>
      <c r="E2353" s="2" t="s">
        <v>7990</v>
      </c>
      <c r="F2353" s="2">
        <v>404</v>
      </c>
      <c r="G2353" s="2" t="s">
        <v>5209</v>
      </c>
      <c r="H2353" s="2">
        <v>9</v>
      </c>
      <c r="I2353" s="2" t="s">
        <v>794</v>
      </c>
      <c r="J2353" s="2">
        <v>243</v>
      </c>
      <c r="K2353" s="2" t="s">
        <v>2160</v>
      </c>
      <c r="L2353" s="2" t="s">
        <v>2145</v>
      </c>
      <c r="M2353" s="3">
        <v>40336</v>
      </c>
      <c r="N2353" s="2" t="s">
        <v>2161</v>
      </c>
      <c r="O2353" s="2" t="s">
        <v>107</v>
      </c>
      <c r="P2353" s="2" t="s">
        <v>107</v>
      </c>
      <c r="Q2353" s="2" t="str">
        <f>"301-E/10"</f>
        <v>301-E/10</v>
      </c>
      <c r="R2353" s="2" t="s">
        <v>391</v>
      </c>
      <c r="S2353" s="2" t="s">
        <v>391</v>
      </c>
      <c r="T2353" s="2">
        <v>1</v>
      </c>
      <c r="U2353" s="2" t="s">
        <v>79</v>
      </c>
      <c r="V2353" s="2">
        <v>1</v>
      </c>
      <c r="W2353" s="2" t="s">
        <v>80</v>
      </c>
      <c r="X2353" s="2">
        <v>1</v>
      </c>
      <c r="Y2353" s="2" t="s">
        <v>81</v>
      </c>
      <c r="Z2353" s="2">
        <v>1</v>
      </c>
      <c r="AA2353" s="2" t="s">
        <v>82</v>
      </c>
      <c r="AB2353" s="2">
        <v>1</v>
      </c>
      <c r="AC2353" s="2" t="s">
        <v>178</v>
      </c>
      <c r="AD2353" s="3">
        <v>40336</v>
      </c>
      <c r="AE2353" s="4">
        <v>0.84722222222222221</v>
      </c>
      <c r="AF2353" s="2"/>
      <c r="AG2353" s="2"/>
      <c r="AH2353" s="2">
        <v>2</v>
      </c>
      <c r="AI2353" s="2" t="s">
        <v>84</v>
      </c>
      <c r="AJ2353" s="2">
        <v>9</v>
      </c>
      <c r="AK2353" s="2" t="s">
        <v>103</v>
      </c>
      <c r="AL2353" s="2">
        <v>15</v>
      </c>
      <c r="AM2353" s="2" t="s">
        <v>104</v>
      </c>
      <c r="AN2353" s="2" t="s">
        <v>179</v>
      </c>
      <c r="AO2353" s="2"/>
      <c r="AP2353" s="2">
        <v>11</v>
      </c>
      <c r="AQ2353" s="2" t="s">
        <v>82</v>
      </c>
      <c r="AR2353" s="2"/>
      <c r="AS2353" s="2"/>
      <c r="AT2353" s="2" t="s">
        <v>7991</v>
      </c>
      <c r="AU2353" s="2"/>
      <c r="AV2353" s="2">
        <v>1</v>
      </c>
      <c r="AW2353" s="2"/>
      <c r="AX2353" s="2"/>
      <c r="AY2353" s="2">
        <v>41</v>
      </c>
      <c r="AZ2353" s="2" t="s">
        <v>82</v>
      </c>
      <c r="BA2353" s="2">
        <v>41</v>
      </c>
      <c r="BB2353" s="2" t="s">
        <v>82</v>
      </c>
      <c r="BC2353" s="2">
        <v>41</v>
      </c>
      <c r="BD2353" s="2" t="s">
        <v>82</v>
      </c>
      <c r="BE2353" s="2">
        <v>13</v>
      </c>
      <c r="BF2353" s="2" t="s">
        <v>108</v>
      </c>
      <c r="BG2353" s="2" t="s">
        <v>842</v>
      </c>
      <c r="BH2353" s="2"/>
      <c r="BI2353" s="4">
        <v>0.875</v>
      </c>
      <c r="BJ2353" s="2">
        <v>13</v>
      </c>
      <c r="BK2353" s="2" t="s">
        <v>91</v>
      </c>
      <c r="BL2353" s="2" t="s">
        <v>185</v>
      </c>
      <c r="BM2353" s="2">
        <v>241</v>
      </c>
      <c r="BN2353" s="2" t="s">
        <v>82</v>
      </c>
      <c r="BO2353" s="2"/>
      <c r="BP2353" s="2">
        <v>73</v>
      </c>
      <c r="BQ2353" s="2" t="s">
        <v>186</v>
      </c>
      <c r="BR2353" s="2" t="s">
        <v>187</v>
      </c>
      <c r="BS2353" s="3">
        <v>40336</v>
      </c>
      <c r="BT2353" s="4">
        <v>0.35818287037037039</v>
      </c>
    </row>
    <row r="2354" spans="1:72" x14ac:dyDescent="0.25">
      <c r="A2354" s="2">
        <v>3444</v>
      </c>
      <c r="B2354" s="2">
        <v>2010</v>
      </c>
      <c r="C2354" s="2" t="s">
        <v>72</v>
      </c>
      <c r="D2354" s="2" t="s">
        <v>73</v>
      </c>
      <c r="E2354" s="2"/>
      <c r="F2354" s="2">
        <v>389</v>
      </c>
      <c r="G2354" s="2" t="s">
        <v>1819</v>
      </c>
      <c r="H2354" s="2">
        <v>4</v>
      </c>
      <c r="I2354" s="2" t="s">
        <v>173</v>
      </c>
      <c r="J2354" s="2">
        <v>399</v>
      </c>
      <c r="K2354" s="2" t="s">
        <v>1820</v>
      </c>
      <c r="L2354" s="2" t="s">
        <v>1821</v>
      </c>
      <c r="M2354" s="3">
        <v>40336</v>
      </c>
      <c r="N2354" s="2" t="s">
        <v>2621</v>
      </c>
      <c r="O2354" s="2"/>
      <c r="P2354" s="2"/>
      <c r="Q2354" s="2" t="str">
        <f>"302-E/10"</f>
        <v>302-E/10</v>
      </c>
      <c r="R2354" s="2"/>
      <c r="S2354" s="2" t="s">
        <v>116</v>
      </c>
      <c r="T2354" s="2">
        <v>1</v>
      </c>
      <c r="U2354" s="2" t="s">
        <v>79</v>
      </c>
      <c r="V2354" s="2">
        <v>1</v>
      </c>
      <c r="W2354" s="2" t="s">
        <v>80</v>
      </c>
      <c r="X2354" s="2">
        <v>12</v>
      </c>
      <c r="Y2354" s="2" t="s">
        <v>148</v>
      </c>
      <c r="Z2354" s="2">
        <v>1</v>
      </c>
      <c r="AA2354" s="2" t="s">
        <v>82</v>
      </c>
      <c r="AB2354" s="2">
        <v>6</v>
      </c>
      <c r="AC2354" s="2" t="s">
        <v>83</v>
      </c>
      <c r="AD2354" s="3">
        <v>40336</v>
      </c>
      <c r="AE2354" s="2"/>
      <c r="AF2354" s="3">
        <v>40336</v>
      </c>
      <c r="AG2354" s="4">
        <v>0.35416666666666669</v>
      </c>
      <c r="AH2354" s="2">
        <v>2</v>
      </c>
      <c r="AI2354" s="2" t="s">
        <v>84</v>
      </c>
      <c r="AJ2354" s="2">
        <v>9</v>
      </c>
      <c r="AK2354" s="2" t="s">
        <v>103</v>
      </c>
      <c r="AL2354" s="2">
        <v>22</v>
      </c>
      <c r="AM2354" s="2" t="s">
        <v>1853</v>
      </c>
      <c r="AN2354" s="2"/>
      <c r="AO2354" s="2" t="s">
        <v>7992</v>
      </c>
      <c r="AP2354" s="2">
        <v>11</v>
      </c>
      <c r="AQ2354" s="2" t="s">
        <v>82</v>
      </c>
      <c r="AR2354" s="2"/>
      <c r="AS2354" s="2"/>
      <c r="AT2354" s="2" t="s">
        <v>7993</v>
      </c>
      <c r="AU2354" s="2"/>
      <c r="AV2354" s="2"/>
      <c r="AW2354" s="2"/>
      <c r="AX2354" s="2"/>
      <c r="AY2354" s="2">
        <v>41</v>
      </c>
      <c r="AZ2354" s="2" t="s">
        <v>82</v>
      </c>
      <c r="BA2354" s="2">
        <v>41</v>
      </c>
      <c r="BB2354" s="2" t="s">
        <v>82</v>
      </c>
      <c r="BC2354" s="2">
        <v>41</v>
      </c>
      <c r="BD2354" s="2" t="s">
        <v>82</v>
      </c>
      <c r="BE2354" s="2">
        <v>17</v>
      </c>
      <c r="BF2354" s="2" t="s">
        <v>508</v>
      </c>
      <c r="BG2354" s="2" t="s">
        <v>6914</v>
      </c>
      <c r="BH2354" s="4">
        <v>0.27083333333333331</v>
      </c>
      <c r="BI2354" s="2"/>
      <c r="BJ2354" s="2">
        <v>75</v>
      </c>
      <c r="BK2354" s="2" t="s">
        <v>1264</v>
      </c>
      <c r="BL2354" s="2" t="s">
        <v>1361</v>
      </c>
      <c r="BM2354" s="2">
        <v>241</v>
      </c>
      <c r="BN2354" s="2" t="s">
        <v>82</v>
      </c>
      <c r="BO2354" s="2"/>
      <c r="BP2354" s="2">
        <v>13</v>
      </c>
      <c r="BQ2354" s="2" t="s">
        <v>91</v>
      </c>
      <c r="BR2354" s="2" t="s">
        <v>360</v>
      </c>
      <c r="BS2354" s="3">
        <v>40336</v>
      </c>
      <c r="BT2354" s="4">
        <v>0.4034490740740741</v>
      </c>
    </row>
    <row r="2355" spans="1:72" x14ac:dyDescent="0.25">
      <c r="A2355" s="2">
        <v>3446</v>
      </c>
      <c r="B2355" s="2">
        <v>2010</v>
      </c>
      <c r="C2355" s="2" t="s">
        <v>147</v>
      </c>
      <c r="D2355" s="2" t="s">
        <v>73</v>
      </c>
      <c r="E2355" s="2"/>
      <c r="F2355" s="2">
        <v>1</v>
      </c>
      <c r="G2355" s="2" t="s">
        <v>82</v>
      </c>
      <c r="H2355" s="2">
        <v>1</v>
      </c>
      <c r="I2355" s="2" t="s">
        <v>82</v>
      </c>
      <c r="J2355" s="2">
        <v>1</v>
      </c>
      <c r="K2355" s="2" t="s">
        <v>107</v>
      </c>
      <c r="L2355" s="2" t="s">
        <v>107</v>
      </c>
      <c r="M2355" s="3">
        <v>40336</v>
      </c>
      <c r="N2355" s="2"/>
      <c r="O2355" s="2"/>
      <c r="P2355" s="2"/>
      <c r="Q2355" s="2" t="str">
        <f>""</f>
        <v/>
      </c>
      <c r="R2355" s="2"/>
      <c r="S2355" s="2"/>
      <c r="T2355" s="2">
        <v>2</v>
      </c>
      <c r="U2355" s="2" t="s">
        <v>123</v>
      </c>
      <c r="V2355" s="2">
        <v>1</v>
      </c>
      <c r="W2355" s="2" t="s">
        <v>80</v>
      </c>
      <c r="X2355" s="2">
        <v>5</v>
      </c>
      <c r="Y2355" s="2" t="s">
        <v>82</v>
      </c>
      <c r="Z2355" s="2">
        <v>1</v>
      </c>
      <c r="AA2355" s="2" t="s">
        <v>82</v>
      </c>
      <c r="AB2355" s="2">
        <v>9</v>
      </c>
      <c r="AC2355" s="2" t="s">
        <v>124</v>
      </c>
      <c r="AD2355" s="3">
        <v>40335</v>
      </c>
      <c r="AE2355" s="2"/>
      <c r="AF2355" s="3">
        <v>40336</v>
      </c>
      <c r="AG2355" s="4">
        <v>0.37847222222222227</v>
      </c>
      <c r="AH2355" s="2">
        <v>4</v>
      </c>
      <c r="AI2355" s="2" t="s">
        <v>125</v>
      </c>
      <c r="AJ2355" s="2">
        <v>28</v>
      </c>
      <c r="AK2355" s="2" t="s">
        <v>741</v>
      </c>
      <c r="AL2355" s="2">
        <v>19</v>
      </c>
      <c r="AM2355" s="2" t="s">
        <v>107</v>
      </c>
      <c r="AN2355" s="2"/>
      <c r="AO2355" s="2" t="s">
        <v>7994</v>
      </c>
      <c r="AP2355" s="2">
        <v>11</v>
      </c>
      <c r="AQ2355" s="2" t="s">
        <v>82</v>
      </c>
      <c r="AR2355" s="2"/>
      <c r="AS2355" s="2"/>
      <c r="AT2355" s="2" t="s">
        <v>7995</v>
      </c>
      <c r="AU2355" s="2"/>
      <c r="AV2355" s="2"/>
      <c r="AW2355" s="2"/>
      <c r="AX2355" s="2"/>
      <c r="AY2355" s="2">
        <v>41</v>
      </c>
      <c r="AZ2355" s="2" t="s">
        <v>82</v>
      </c>
      <c r="BA2355" s="2">
        <v>41</v>
      </c>
      <c r="BB2355" s="2" t="s">
        <v>82</v>
      </c>
      <c r="BC2355" s="2">
        <v>41</v>
      </c>
      <c r="BD2355" s="2" t="s">
        <v>82</v>
      </c>
      <c r="BE2355" s="2">
        <v>41</v>
      </c>
      <c r="BF2355" s="2" t="s">
        <v>82</v>
      </c>
      <c r="BG2355" s="2"/>
      <c r="BH2355" s="2"/>
      <c r="BI2355" s="2"/>
      <c r="BJ2355" s="2">
        <v>241</v>
      </c>
      <c r="BK2355" s="2" t="s">
        <v>82</v>
      </c>
      <c r="BL2355" s="2"/>
      <c r="BM2355" s="2">
        <v>241</v>
      </c>
      <c r="BN2355" s="2" t="s">
        <v>82</v>
      </c>
      <c r="BO2355" s="2"/>
      <c r="BP2355" s="2">
        <v>241</v>
      </c>
      <c r="BQ2355" s="2" t="s">
        <v>82</v>
      </c>
      <c r="BR2355" s="2"/>
      <c r="BS2355" s="3">
        <v>40336</v>
      </c>
      <c r="BT2355" s="4">
        <v>0.41962962962962963</v>
      </c>
    </row>
    <row r="2356" spans="1:72" x14ac:dyDescent="0.25">
      <c r="A2356" s="2">
        <v>3453</v>
      </c>
      <c r="B2356" s="2">
        <v>2010</v>
      </c>
      <c r="C2356" s="2" t="s">
        <v>72</v>
      </c>
      <c r="D2356" s="2" t="s">
        <v>73</v>
      </c>
      <c r="E2356" s="2"/>
      <c r="F2356" s="2">
        <v>65</v>
      </c>
      <c r="G2356" s="2" t="s">
        <v>7996</v>
      </c>
      <c r="H2356" s="2">
        <v>22</v>
      </c>
      <c r="I2356" s="2" t="s">
        <v>75</v>
      </c>
      <c r="J2356" s="2">
        <v>97</v>
      </c>
      <c r="K2356" s="2" t="s">
        <v>7997</v>
      </c>
      <c r="L2356" s="2" t="s">
        <v>3741</v>
      </c>
      <c r="M2356" s="3">
        <v>40336</v>
      </c>
      <c r="N2356" s="2" t="s">
        <v>7998</v>
      </c>
      <c r="O2356" s="2"/>
      <c r="P2356" s="2"/>
      <c r="Q2356" s="2" t="str">
        <f>"019"</f>
        <v>019</v>
      </c>
      <c r="R2356" s="2"/>
      <c r="S2356" s="2" t="s">
        <v>601</v>
      </c>
      <c r="T2356" s="2">
        <v>1</v>
      </c>
      <c r="U2356" s="2" t="s">
        <v>79</v>
      </c>
      <c r="V2356" s="2">
        <v>1</v>
      </c>
      <c r="W2356" s="2" t="s">
        <v>80</v>
      </c>
      <c r="X2356" s="2">
        <v>12</v>
      </c>
      <c r="Y2356" s="2" t="s">
        <v>148</v>
      </c>
      <c r="Z2356" s="2">
        <v>1</v>
      </c>
      <c r="AA2356" s="2" t="s">
        <v>82</v>
      </c>
      <c r="AB2356" s="2">
        <v>6</v>
      </c>
      <c r="AC2356" s="2" t="s">
        <v>83</v>
      </c>
      <c r="AD2356" s="3">
        <v>40336</v>
      </c>
      <c r="AE2356" s="2"/>
      <c r="AF2356" s="3">
        <v>40336</v>
      </c>
      <c r="AG2356" s="4">
        <v>0.47916666666666669</v>
      </c>
      <c r="AH2356" s="2">
        <v>4</v>
      </c>
      <c r="AI2356" s="2" t="s">
        <v>125</v>
      </c>
      <c r="AJ2356" s="2">
        <v>28</v>
      </c>
      <c r="AK2356" s="2" t="s">
        <v>741</v>
      </c>
      <c r="AL2356" s="2">
        <v>22</v>
      </c>
      <c r="AM2356" s="2" t="s">
        <v>1853</v>
      </c>
      <c r="AN2356" s="2"/>
      <c r="AO2356" s="2"/>
      <c r="AP2356" s="2">
        <v>11</v>
      </c>
      <c r="AQ2356" s="2" t="s">
        <v>82</v>
      </c>
      <c r="AR2356" s="2"/>
      <c r="AS2356" s="2"/>
      <c r="AT2356" s="2" t="s">
        <v>7999</v>
      </c>
      <c r="AU2356" s="2"/>
      <c r="AV2356" s="2"/>
      <c r="AW2356" s="2"/>
      <c r="AX2356" s="2"/>
      <c r="AY2356" s="2">
        <v>41</v>
      </c>
      <c r="AZ2356" s="2" t="s">
        <v>82</v>
      </c>
      <c r="BA2356" s="2">
        <v>41</v>
      </c>
      <c r="BB2356" s="2" t="s">
        <v>82</v>
      </c>
      <c r="BC2356" s="2">
        <v>41</v>
      </c>
      <c r="BD2356" s="2" t="s">
        <v>82</v>
      </c>
      <c r="BE2356" s="2">
        <v>13</v>
      </c>
      <c r="BF2356" s="2" t="s">
        <v>108</v>
      </c>
      <c r="BG2356" s="2">
        <v>2472</v>
      </c>
      <c r="BH2356" s="4">
        <v>0.4513888888888889</v>
      </c>
      <c r="BI2356" s="4">
        <v>0.4826388888888889</v>
      </c>
      <c r="BJ2356" s="2">
        <v>13</v>
      </c>
      <c r="BK2356" s="2" t="s">
        <v>91</v>
      </c>
      <c r="BL2356" s="2" t="s">
        <v>185</v>
      </c>
      <c r="BM2356" s="2">
        <v>241</v>
      </c>
      <c r="BN2356" s="2" t="s">
        <v>82</v>
      </c>
      <c r="BO2356" s="2"/>
      <c r="BP2356" s="2">
        <v>13</v>
      </c>
      <c r="BQ2356" s="2" t="s">
        <v>91</v>
      </c>
      <c r="BR2356" s="2" t="s">
        <v>744</v>
      </c>
      <c r="BS2356" s="3">
        <v>40336</v>
      </c>
      <c r="BT2356" s="4">
        <v>0.60083333333333333</v>
      </c>
    </row>
    <row r="2357" spans="1:72" x14ac:dyDescent="0.25">
      <c r="A2357" s="2">
        <v>3454</v>
      </c>
      <c r="B2357" s="2">
        <v>2010</v>
      </c>
      <c r="C2357" s="2" t="s">
        <v>72</v>
      </c>
      <c r="D2357" s="2" t="s">
        <v>73</v>
      </c>
      <c r="E2357" s="2"/>
      <c r="F2357" s="2">
        <v>389</v>
      </c>
      <c r="G2357" s="2" t="s">
        <v>1819</v>
      </c>
      <c r="H2357" s="2">
        <v>4</v>
      </c>
      <c r="I2357" s="2" t="s">
        <v>173</v>
      </c>
      <c r="J2357" s="2">
        <v>399</v>
      </c>
      <c r="K2357" s="2" t="s">
        <v>1820</v>
      </c>
      <c r="L2357" s="2" t="s">
        <v>1821</v>
      </c>
      <c r="M2357" s="3">
        <v>40336</v>
      </c>
      <c r="N2357" s="2" t="s">
        <v>8000</v>
      </c>
      <c r="O2357" s="2" t="s">
        <v>107</v>
      </c>
      <c r="P2357" s="2" t="s">
        <v>107</v>
      </c>
      <c r="Q2357" s="2" t="str">
        <f>"303-E/10"</f>
        <v>303-E/10</v>
      </c>
      <c r="R2357" s="2" t="s">
        <v>78</v>
      </c>
      <c r="S2357" s="2" t="s">
        <v>78</v>
      </c>
      <c r="T2357" s="2">
        <v>1</v>
      </c>
      <c r="U2357" s="2" t="s">
        <v>79</v>
      </c>
      <c r="V2357" s="2">
        <v>1</v>
      </c>
      <c r="W2357" s="2" t="s">
        <v>80</v>
      </c>
      <c r="X2357" s="2">
        <v>12</v>
      </c>
      <c r="Y2357" s="2" t="s">
        <v>148</v>
      </c>
      <c r="Z2357" s="2">
        <v>1</v>
      </c>
      <c r="AA2357" s="2" t="s">
        <v>82</v>
      </c>
      <c r="AB2357" s="2">
        <v>6</v>
      </c>
      <c r="AC2357" s="2" t="s">
        <v>83</v>
      </c>
      <c r="AD2357" s="3">
        <v>40336</v>
      </c>
      <c r="AE2357" s="4">
        <v>0.5</v>
      </c>
      <c r="AF2357" s="3">
        <v>40336</v>
      </c>
      <c r="AG2357" s="4">
        <v>0.5625</v>
      </c>
      <c r="AH2357" s="2">
        <v>2</v>
      </c>
      <c r="AI2357" s="2" t="s">
        <v>84</v>
      </c>
      <c r="AJ2357" s="2">
        <v>9</v>
      </c>
      <c r="AK2357" s="2" t="s">
        <v>103</v>
      </c>
      <c r="AL2357" s="2">
        <v>24</v>
      </c>
      <c r="AM2357" s="2" t="s">
        <v>1540</v>
      </c>
      <c r="AN2357" s="2" t="s">
        <v>8001</v>
      </c>
      <c r="AO2357" s="2" t="s">
        <v>8002</v>
      </c>
      <c r="AP2357" s="2">
        <v>11</v>
      </c>
      <c r="AQ2357" s="2" t="s">
        <v>82</v>
      </c>
      <c r="AR2357" s="2"/>
      <c r="AS2357" s="2"/>
      <c r="AT2357" s="2" t="s">
        <v>8003</v>
      </c>
      <c r="AU2357" s="2"/>
      <c r="AV2357" s="2"/>
      <c r="AW2357" s="2"/>
      <c r="AX2357" s="2"/>
      <c r="AY2357" s="2">
        <v>70</v>
      </c>
      <c r="AZ2357" s="2" t="s">
        <v>236</v>
      </c>
      <c r="BA2357" s="2">
        <v>41</v>
      </c>
      <c r="BB2357" s="2" t="s">
        <v>82</v>
      </c>
      <c r="BC2357" s="2">
        <v>41</v>
      </c>
      <c r="BD2357" s="2" t="s">
        <v>82</v>
      </c>
      <c r="BE2357" s="2">
        <v>41</v>
      </c>
      <c r="BF2357" s="2" t="s">
        <v>82</v>
      </c>
      <c r="BG2357" s="2"/>
      <c r="BH2357" s="2"/>
      <c r="BI2357" s="2"/>
      <c r="BJ2357" s="2">
        <v>241</v>
      </c>
      <c r="BK2357" s="2" t="s">
        <v>82</v>
      </c>
      <c r="BL2357" s="2"/>
      <c r="BM2357" s="2">
        <v>241</v>
      </c>
      <c r="BN2357" s="2" t="s">
        <v>82</v>
      </c>
      <c r="BO2357" s="2"/>
      <c r="BP2357" s="2">
        <v>241</v>
      </c>
      <c r="BQ2357" s="2" t="s">
        <v>82</v>
      </c>
      <c r="BR2357" s="2"/>
      <c r="BS2357" s="3">
        <v>40336</v>
      </c>
      <c r="BT2357" s="4">
        <v>0.63133101851851847</v>
      </c>
    </row>
    <row r="2358" spans="1:72" x14ac:dyDescent="0.25">
      <c r="A2358" s="2">
        <v>3455</v>
      </c>
      <c r="B2358" s="2">
        <v>2010</v>
      </c>
      <c r="C2358" s="2" t="s">
        <v>72</v>
      </c>
      <c r="D2358" s="2" t="s">
        <v>73</v>
      </c>
      <c r="E2358" s="2"/>
      <c r="F2358" s="2">
        <v>115</v>
      </c>
      <c r="G2358" s="2" t="s">
        <v>345</v>
      </c>
      <c r="H2358" s="2">
        <v>50</v>
      </c>
      <c r="I2358" s="2" t="s">
        <v>107</v>
      </c>
      <c r="J2358" s="2">
        <v>1</v>
      </c>
      <c r="K2358" s="2" t="s">
        <v>107</v>
      </c>
      <c r="L2358" s="2" t="s">
        <v>107</v>
      </c>
      <c r="M2358" s="3">
        <v>40336</v>
      </c>
      <c r="N2358" s="2" t="s">
        <v>8004</v>
      </c>
      <c r="O2358" s="2" t="s">
        <v>107</v>
      </c>
      <c r="P2358" s="2" t="s">
        <v>107</v>
      </c>
      <c r="Q2358" s="2" t="str">
        <f>"0013/10"</f>
        <v>0013/10</v>
      </c>
      <c r="R2358" s="2" t="s">
        <v>8005</v>
      </c>
      <c r="S2358" s="2" t="s">
        <v>8005</v>
      </c>
      <c r="T2358" s="2">
        <v>1</v>
      </c>
      <c r="U2358" s="2" t="s">
        <v>79</v>
      </c>
      <c r="V2358" s="2">
        <v>1</v>
      </c>
      <c r="W2358" s="2" t="s">
        <v>80</v>
      </c>
      <c r="X2358" s="2">
        <v>1</v>
      </c>
      <c r="Y2358" s="2" t="s">
        <v>81</v>
      </c>
      <c r="Z2358" s="2">
        <v>1</v>
      </c>
      <c r="AA2358" s="2" t="s">
        <v>82</v>
      </c>
      <c r="AB2358" s="2">
        <v>6</v>
      </c>
      <c r="AC2358" s="2" t="s">
        <v>83</v>
      </c>
      <c r="AD2358" s="3">
        <v>40334</v>
      </c>
      <c r="AE2358" s="4">
        <v>0.44444444444444442</v>
      </c>
      <c r="AF2358" s="3">
        <v>40336</v>
      </c>
      <c r="AG2358" s="4">
        <v>0.4375</v>
      </c>
      <c r="AH2358" s="2">
        <v>6</v>
      </c>
      <c r="AI2358" s="2" t="s">
        <v>197</v>
      </c>
      <c r="AJ2358" s="2">
        <v>54</v>
      </c>
      <c r="AK2358" s="2" t="s">
        <v>348</v>
      </c>
      <c r="AL2358" s="2">
        <v>21</v>
      </c>
      <c r="AM2358" s="2" t="s">
        <v>1311</v>
      </c>
      <c r="AN2358" s="2" t="s">
        <v>8006</v>
      </c>
      <c r="AO2358" s="2" t="s">
        <v>8007</v>
      </c>
      <c r="AP2358" s="2">
        <v>11</v>
      </c>
      <c r="AQ2358" s="2" t="s">
        <v>82</v>
      </c>
      <c r="AR2358" s="2" t="s">
        <v>82</v>
      </c>
      <c r="AS2358" s="2" t="s">
        <v>82</v>
      </c>
      <c r="AT2358" s="2" t="s">
        <v>8008</v>
      </c>
      <c r="AU2358" s="2"/>
      <c r="AV2358" s="2"/>
      <c r="AW2358" s="2"/>
      <c r="AX2358" s="2"/>
      <c r="AY2358" s="2">
        <v>1</v>
      </c>
      <c r="AZ2358" s="2" t="s">
        <v>107</v>
      </c>
      <c r="BA2358" s="2">
        <v>1</v>
      </c>
      <c r="BB2358" s="2" t="s">
        <v>107</v>
      </c>
      <c r="BC2358" s="2">
        <v>1</v>
      </c>
      <c r="BD2358" s="2" t="s">
        <v>107</v>
      </c>
      <c r="BE2358" s="2">
        <v>1</v>
      </c>
      <c r="BF2358" s="2" t="s">
        <v>107</v>
      </c>
      <c r="BG2358" s="2" t="s">
        <v>107</v>
      </c>
      <c r="BH2358" s="2"/>
      <c r="BI2358" s="2"/>
      <c r="BJ2358" s="2">
        <v>242</v>
      </c>
      <c r="BK2358" s="2" t="s">
        <v>107</v>
      </c>
      <c r="BL2358" s="2" t="s">
        <v>82</v>
      </c>
      <c r="BM2358" s="2">
        <v>242</v>
      </c>
      <c r="BN2358" s="2" t="s">
        <v>107</v>
      </c>
      <c r="BO2358" s="2" t="s">
        <v>82</v>
      </c>
      <c r="BP2358" s="2">
        <v>242</v>
      </c>
      <c r="BQ2358" s="2" t="s">
        <v>107</v>
      </c>
      <c r="BR2358" s="2" t="s">
        <v>82</v>
      </c>
      <c r="BS2358" s="3">
        <v>40336</v>
      </c>
      <c r="BT2358" s="4">
        <v>0.64584490740740741</v>
      </c>
    </row>
    <row r="2359" spans="1:72" x14ac:dyDescent="0.25">
      <c r="A2359" s="2">
        <v>3457</v>
      </c>
      <c r="B2359" s="2">
        <v>2010</v>
      </c>
      <c r="C2359" s="2" t="s">
        <v>72</v>
      </c>
      <c r="D2359" s="2" t="s">
        <v>73</v>
      </c>
      <c r="E2359" s="2"/>
      <c r="F2359" s="2">
        <v>362</v>
      </c>
      <c r="G2359" s="2" t="s">
        <v>8009</v>
      </c>
      <c r="H2359" s="2">
        <v>108</v>
      </c>
      <c r="I2359" s="2" t="s">
        <v>1096</v>
      </c>
      <c r="J2359" s="2">
        <v>573</v>
      </c>
      <c r="K2359" s="2" t="s">
        <v>8010</v>
      </c>
      <c r="L2359" s="2" t="s">
        <v>1139</v>
      </c>
      <c r="M2359" s="3">
        <v>40336</v>
      </c>
      <c r="N2359" s="2" t="s">
        <v>8011</v>
      </c>
      <c r="O2359" s="2"/>
      <c r="P2359" s="2"/>
      <c r="Q2359" s="2" t="str">
        <f>"0005/2010"</f>
        <v>0005/2010</v>
      </c>
      <c r="R2359" s="2"/>
      <c r="S2359" s="2" t="s">
        <v>833</v>
      </c>
      <c r="T2359" s="2">
        <v>1</v>
      </c>
      <c r="U2359" s="2" t="s">
        <v>79</v>
      </c>
      <c r="V2359" s="2">
        <v>1</v>
      </c>
      <c r="W2359" s="2" t="s">
        <v>80</v>
      </c>
      <c r="X2359" s="2">
        <v>12</v>
      </c>
      <c r="Y2359" s="2" t="s">
        <v>148</v>
      </c>
      <c r="Z2359" s="2">
        <v>1</v>
      </c>
      <c r="AA2359" s="2" t="s">
        <v>82</v>
      </c>
      <c r="AB2359" s="2">
        <v>6</v>
      </c>
      <c r="AC2359" s="2" t="s">
        <v>83</v>
      </c>
      <c r="AD2359" s="2"/>
      <c r="AE2359" s="2"/>
      <c r="AF2359" s="3">
        <v>40336</v>
      </c>
      <c r="AG2359" s="4">
        <v>0.51388888888888895</v>
      </c>
      <c r="AH2359" s="2">
        <v>5</v>
      </c>
      <c r="AI2359" s="2" t="s">
        <v>274</v>
      </c>
      <c r="AJ2359" s="2">
        <v>41</v>
      </c>
      <c r="AK2359" s="2" t="s">
        <v>2751</v>
      </c>
      <c r="AL2359" s="2">
        <v>25</v>
      </c>
      <c r="AM2359" s="2" t="s">
        <v>3073</v>
      </c>
      <c r="AN2359" s="2" t="s">
        <v>8012</v>
      </c>
      <c r="AO2359" s="2" t="s">
        <v>8013</v>
      </c>
      <c r="AP2359" s="2">
        <v>11</v>
      </c>
      <c r="AQ2359" s="2" t="s">
        <v>82</v>
      </c>
      <c r="AR2359" s="2"/>
      <c r="AS2359" s="2"/>
      <c r="AT2359" s="2" t="s">
        <v>8014</v>
      </c>
      <c r="AU2359" s="2"/>
      <c r="AV2359" s="2"/>
      <c r="AW2359" s="2"/>
      <c r="AX2359" s="2"/>
      <c r="AY2359" s="2">
        <v>135</v>
      </c>
      <c r="AZ2359" s="2" t="s">
        <v>8015</v>
      </c>
      <c r="BA2359" s="2">
        <v>135</v>
      </c>
      <c r="BB2359" s="2" t="s">
        <v>8015</v>
      </c>
      <c r="BC2359" s="2">
        <v>41</v>
      </c>
      <c r="BD2359" s="2" t="s">
        <v>82</v>
      </c>
      <c r="BE2359" s="2">
        <v>41</v>
      </c>
      <c r="BF2359" s="2" t="s">
        <v>82</v>
      </c>
      <c r="BG2359" s="2"/>
      <c r="BH2359" s="2"/>
      <c r="BI2359" s="2"/>
      <c r="BJ2359" s="2">
        <v>241</v>
      </c>
      <c r="BK2359" s="2" t="s">
        <v>82</v>
      </c>
      <c r="BL2359" s="2"/>
      <c r="BM2359" s="2">
        <v>241</v>
      </c>
      <c r="BN2359" s="2" t="s">
        <v>82</v>
      </c>
      <c r="BO2359" s="2"/>
      <c r="BP2359" s="2">
        <v>241</v>
      </c>
      <c r="BQ2359" s="2" t="s">
        <v>82</v>
      </c>
      <c r="BR2359" s="2"/>
      <c r="BS2359" s="3">
        <v>40336</v>
      </c>
      <c r="BT2359" s="4">
        <v>0.68755787037037042</v>
      </c>
    </row>
    <row r="2360" spans="1:72" x14ac:dyDescent="0.25">
      <c r="A2360" s="2">
        <v>3458</v>
      </c>
      <c r="B2360" s="2">
        <v>2010</v>
      </c>
      <c r="C2360" s="2" t="s">
        <v>1094</v>
      </c>
      <c r="D2360" s="2" t="s">
        <v>73</v>
      </c>
      <c r="E2360" s="2"/>
      <c r="F2360" s="2">
        <v>100</v>
      </c>
      <c r="G2360" s="2" t="s">
        <v>517</v>
      </c>
      <c r="H2360" s="2">
        <v>108</v>
      </c>
      <c r="I2360" s="2" t="s">
        <v>1096</v>
      </c>
      <c r="J2360" s="2">
        <v>119</v>
      </c>
      <c r="K2360" s="2" t="s">
        <v>325</v>
      </c>
      <c r="L2360" s="2" t="s">
        <v>326</v>
      </c>
      <c r="M2360" s="3">
        <v>40336</v>
      </c>
      <c r="N2360" s="2" t="s">
        <v>4106</v>
      </c>
      <c r="O2360" s="2" t="s">
        <v>107</v>
      </c>
      <c r="P2360" s="2" t="s">
        <v>107</v>
      </c>
      <c r="Q2360" s="2" t="str">
        <f>"0016/10"</f>
        <v>0016/10</v>
      </c>
      <c r="R2360" s="2" t="s">
        <v>8016</v>
      </c>
      <c r="S2360" s="2" t="s">
        <v>8016</v>
      </c>
      <c r="T2360" s="2">
        <v>1</v>
      </c>
      <c r="U2360" s="2" t="s">
        <v>79</v>
      </c>
      <c r="V2360" s="2">
        <v>1</v>
      </c>
      <c r="W2360" s="2" t="s">
        <v>80</v>
      </c>
      <c r="X2360" s="2">
        <v>12</v>
      </c>
      <c r="Y2360" s="2" t="s">
        <v>148</v>
      </c>
      <c r="Z2360" s="2">
        <v>1</v>
      </c>
      <c r="AA2360" s="2" t="s">
        <v>82</v>
      </c>
      <c r="AB2360" s="2">
        <v>9</v>
      </c>
      <c r="AC2360" s="2" t="s">
        <v>124</v>
      </c>
      <c r="AD2360" s="3">
        <v>40335</v>
      </c>
      <c r="AE2360" s="4">
        <v>0.81597222222222221</v>
      </c>
      <c r="AF2360" s="3">
        <v>40336</v>
      </c>
      <c r="AG2360" s="4">
        <v>0.625</v>
      </c>
      <c r="AH2360" s="2">
        <v>6</v>
      </c>
      <c r="AI2360" s="2" t="s">
        <v>197</v>
      </c>
      <c r="AJ2360" s="2">
        <v>50</v>
      </c>
      <c r="AK2360" s="2" t="s">
        <v>330</v>
      </c>
      <c r="AL2360" s="2">
        <v>12</v>
      </c>
      <c r="AM2360" s="2" t="s">
        <v>86</v>
      </c>
      <c r="AN2360" s="2" t="s">
        <v>82</v>
      </c>
      <c r="AO2360" s="2" t="s">
        <v>8017</v>
      </c>
      <c r="AP2360" s="2">
        <v>11</v>
      </c>
      <c r="AQ2360" s="2" t="s">
        <v>82</v>
      </c>
      <c r="AR2360" s="2"/>
      <c r="AS2360" s="2"/>
      <c r="AT2360" s="2" t="s">
        <v>8018</v>
      </c>
      <c r="AU2360" s="2"/>
      <c r="AV2360" s="2"/>
      <c r="AW2360" s="2"/>
      <c r="AX2360" s="2"/>
      <c r="AY2360" s="2">
        <v>41</v>
      </c>
      <c r="AZ2360" s="2" t="s">
        <v>82</v>
      </c>
      <c r="BA2360" s="2">
        <v>41</v>
      </c>
      <c r="BB2360" s="2" t="s">
        <v>82</v>
      </c>
      <c r="BC2360" s="2">
        <v>41</v>
      </c>
      <c r="BD2360" s="2" t="s">
        <v>82</v>
      </c>
      <c r="BE2360" s="2">
        <v>41</v>
      </c>
      <c r="BF2360" s="2" t="s">
        <v>82</v>
      </c>
      <c r="BG2360" s="2"/>
      <c r="BH2360" s="2"/>
      <c r="BI2360" s="2"/>
      <c r="BJ2360" s="2">
        <v>241</v>
      </c>
      <c r="BK2360" s="2" t="s">
        <v>82</v>
      </c>
      <c r="BL2360" s="2"/>
      <c r="BM2360" s="2">
        <v>241</v>
      </c>
      <c r="BN2360" s="2" t="s">
        <v>82</v>
      </c>
      <c r="BO2360" s="2"/>
      <c r="BP2360" s="2">
        <v>241</v>
      </c>
      <c r="BQ2360" s="2" t="s">
        <v>82</v>
      </c>
      <c r="BR2360" s="2"/>
      <c r="BS2360" s="3">
        <v>40336</v>
      </c>
      <c r="BT2360" s="4">
        <v>0.69622685185185185</v>
      </c>
    </row>
    <row r="2361" spans="1:72" x14ac:dyDescent="0.25">
      <c r="A2361" s="2">
        <v>3459</v>
      </c>
      <c r="B2361" s="2">
        <v>2010</v>
      </c>
      <c r="C2361" s="2" t="s">
        <v>377</v>
      </c>
      <c r="D2361" s="2" t="s">
        <v>73</v>
      </c>
      <c r="E2361" s="2"/>
      <c r="F2361" s="2">
        <v>426</v>
      </c>
      <c r="G2361" s="2" t="s">
        <v>378</v>
      </c>
      <c r="H2361" s="2">
        <v>108</v>
      </c>
      <c r="I2361" s="2" t="s">
        <v>1096</v>
      </c>
      <c r="J2361" s="2">
        <v>311</v>
      </c>
      <c r="K2361" s="2" t="s">
        <v>379</v>
      </c>
      <c r="L2361" s="2" t="s">
        <v>380</v>
      </c>
      <c r="M2361" s="3">
        <v>40336</v>
      </c>
      <c r="N2361" s="2" t="s">
        <v>4427</v>
      </c>
      <c r="O2361" s="2"/>
      <c r="P2361" s="2"/>
      <c r="Q2361" s="2" t="str">
        <f>"108-C/10"</f>
        <v>108-C/10</v>
      </c>
      <c r="R2361" s="2" t="s">
        <v>5773</v>
      </c>
      <c r="S2361" s="2"/>
      <c r="T2361" s="2">
        <v>1</v>
      </c>
      <c r="U2361" s="2" t="s">
        <v>79</v>
      </c>
      <c r="V2361" s="2">
        <v>1</v>
      </c>
      <c r="W2361" s="2" t="s">
        <v>80</v>
      </c>
      <c r="X2361" s="2">
        <v>1</v>
      </c>
      <c r="Y2361" s="2" t="s">
        <v>81</v>
      </c>
      <c r="Z2361" s="2">
        <v>1</v>
      </c>
      <c r="AA2361" s="2" t="s">
        <v>82</v>
      </c>
      <c r="AB2361" s="2">
        <v>9</v>
      </c>
      <c r="AC2361" s="2" t="s">
        <v>124</v>
      </c>
      <c r="AD2361" s="3">
        <v>40336</v>
      </c>
      <c r="AE2361" s="4">
        <v>0.375</v>
      </c>
      <c r="AF2361" s="2"/>
      <c r="AG2361" s="2"/>
      <c r="AH2361" s="2">
        <v>2</v>
      </c>
      <c r="AI2361" s="2" t="s">
        <v>84</v>
      </c>
      <c r="AJ2361" s="2">
        <v>9</v>
      </c>
      <c r="AK2361" s="2" t="s">
        <v>103</v>
      </c>
      <c r="AL2361" s="2">
        <v>29</v>
      </c>
      <c r="AM2361" s="2" t="s">
        <v>5416</v>
      </c>
      <c r="AN2361" s="2" t="s">
        <v>7075</v>
      </c>
      <c r="AO2361" s="2" t="s">
        <v>987</v>
      </c>
      <c r="AP2361" s="2">
        <v>11</v>
      </c>
      <c r="AQ2361" s="2" t="s">
        <v>82</v>
      </c>
      <c r="AR2361" s="2"/>
      <c r="AS2361" s="2"/>
      <c r="AT2361" s="2" t="s">
        <v>8019</v>
      </c>
      <c r="AU2361" s="2"/>
      <c r="AV2361" s="2"/>
      <c r="AW2361" s="2"/>
      <c r="AX2361" s="2"/>
      <c r="AY2361" s="2">
        <v>41</v>
      </c>
      <c r="AZ2361" s="2" t="s">
        <v>82</v>
      </c>
      <c r="BA2361" s="2">
        <v>41</v>
      </c>
      <c r="BB2361" s="2" t="s">
        <v>82</v>
      </c>
      <c r="BC2361" s="2">
        <v>41</v>
      </c>
      <c r="BD2361" s="2" t="s">
        <v>82</v>
      </c>
      <c r="BE2361" s="2">
        <v>41</v>
      </c>
      <c r="BF2361" s="2" t="s">
        <v>82</v>
      </c>
      <c r="BG2361" s="2"/>
      <c r="BH2361" s="2"/>
      <c r="BI2361" s="2"/>
      <c r="BJ2361" s="2">
        <v>241</v>
      </c>
      <c r="BK2361" s="2" t="s">
        <v>82</v>
      </c>
      <c r="BL2361" s="2"/>
      <c r="BM2361" s="2">
        <v>241</v>
      </c>
      <c r="BN2361" s="2" t="s">
        <v>82</v>
      </c>
      <c r="BO2361" s="2"/>
      <c r="BP2361" s="2">
        <v>241</v>
      </c>
      <c r="BQ2361" s="2" t="s">
        <v>82</v>
      </c>
      <c r="BR2361" s="2"/>
      <c r="BS2361" s="3">
        <v>40336</v>
      </c>
      <c r="BT2361" s="4">
        <v>0.69780092592592602</v>
      </c>
    </row>
    <row r="2362" spans="1:72" x14ac:dyDescent="0.25">
      <c r="A2362" s="2">
        <v>3460</v>
      </c>
      <c r="B2362" s="2">
        <v>2010</v>
      </c>
      <c r="C2362" s="2" t="s">
        <v>819</v>
      </c>
      <c r="D2362" s="2" t="s">
        <v>122</v>
      </c>
      <c r="E2362" s="2" t="s">
        <v>8020</v>
      </c>
      <c r="F2362" s="2">
        <v>1</v>
      </c>
      <c r="G2362" s="2" t="s">
        <v>82</v>
      </c>
      <c r="H2362" s="2">
        <v>1</v>
      </c>
      <c r="I2362" s="2" t="s">
        <v>82</v>
      </c>
      <c r="J2362" s="2">
        <v>1</v>
      </c>
      <c r="K2362" s="2" t="s">
        <v>107</v>
      </c>
      <c r="L2362" s="2" t="s">
        <v>107</v>
      </c>
      <c r="M2362" s="3">
        <v>40336</v>
      </c>
      <c r="N2362" s="2"/>
      <c r="O2362" s="2"/>
      <c r="P2362" s="2"/>
      <c r="Q2362" s="2" t="str">
        <f>""</f>
        <v/>
      </c>
      <c r="R2362" s="2"/>
      <c r="S2362" s="2"/>
      <c r="T2362" s="2">
        <v>1</v>
      </c>
      <c r="U2362" s="2" t="s">
        <v>79</v>
      </c>
      <c r="V2362" s="2">
        <v>1</v>
      </c>
      <c r="W2362" s="2" t="s">
        <v>80</v>
      </c>
      <c r="X2362" s="2">
        <v>5</v>
      </c>
      <c r="Y2362" s="2" t="s">
        <v>82</v>
      </c>
      <c r="Z2362" s="2">
        <v>1</v>
      </c>
      <c r="AA2362" s="2" t="s">
        <v>82</v>
      </c>
      <c r="AB2362" s="2">
        <v>9</v>
      </c>
      <c r="AC2362" s="2" t="s">
        <v>124</v>
      </c>
      <c r="AD2362" s="3">
        <v>40336</v>
      </c>
      <c r="AE2362" s="4">
        <v>0.625</v>
      </c>
      <c r="AF2362" s="2"/>
      <c r="AG2362" s="2"/>
      <c r="AH2362" s="2">
        <v>5</v>
      </c>
      <c r="AI2362" s="2" t="s">
        <v>274</v>
      </c>
      <c r="AJ2362" s="2">
        <v>37</v>
      </c>
      <c r="AK2362" s="2" t="s">
        <v>497</v>
      </c>
      <c r="AL2362" s="2">
        <v>25</v>
      </c>
      <c r="AM2362" s="2" t="s">
        <v>3073</v>
      </c>
      <c r="AN2362" s="2" t="s">
        <v>6529</v>
      </c>
      <c r="AO2362" s="2" t="s">
        <v>8021</v>
      </c>
      <c r="AP2362" s="2">
        <v>11</v>
      </c>
      <c r="AQ2362" s="2" t="s">
        <v>82</v>
      </c>
      <c r="AR2362" s="2"/>
      <c r="AS2362" s="2"/>
      <c r="AT2362" s="2" t="s">
        <v>8022</v>
      </c>
      <c r="AU2362" s="2"/>
      <c r="AV2362" s="2"/>
      <c r="AW2362" s="2"/>
      <c r="AX2362" s="2"/>
      <c r="AY2362" s="2">
        <v>41</v>
      </c>
      <c r="AZ2362" s="2" t="s">
        <v>82</v>
      </c>
      <c r="BA2362" s="2">
        <v>41</v>
      </c>
      <c r="BB2362" s="2" t="s">
        <v>82</v>
      </c>
      <c r="BC2362" s="2">
        <v>41</v>
      </c>
      <c r="BD2362" s="2" t="s">
        <v>82</v>
      </c>
      <c r="BE2362" s="2">
        <v>41</v>
      </c>
      <c r="BF2362" s="2" t="s">
        <v>82</v>
      </c>
      <c r="BG2362" s="2"/>
      <c r="BH2362" s="2"/>
      <c r="BI2362" s="2"/>
      <c r="BJ2362" s="2">
        <v>241</v>
      </c>
      <c r="BK2362" s="2" t="s">
        <v>82</v>
      </c>
      <c r="BL2362" s="2"/>
      <c r="BM2362" s="2">
        <v>241</v>
      </c>
      <c r="BN2362" s="2" t="s">
        <v>82</v>
      </c>
      <c r="BO2362" s="2"/>
      <c r="BP2362" s="2">
        <v>241</v>
      </c>
      <c r="BQ2362" s="2" t="s">
        <v>82</v>
      </c>
      <c r="BR2362" s="2"/>
      <c r="BS2362" s="3">
        <v>40336</v>
      </c>
      <c r="BT2362" s="4">
        <v>0.70133101851851853</v>
      </c>
    </row>
    <row r="2363" spans="1:72" x14ac:dyDescent="0.25">
      <c r="A2363" s="2">
        <v>3461</v>
      </c>
      <c r="B2363" s="2">
        <v>2010</v>
      </c>
      <c r="C2363" s="2" t="s">
        <v>147</v>
      </c>
      <c r="D2363" s="2" t="s">
        <v>73</v>
      </c>
      <c r="E2363" s="2"/>
      <c r="F2363" s="2">
        <v>1</v>
      </c>
      <c r="G2363" s="2" t="s">
        <v>82</v>
      </c>
      <c r="H2363" s="2">
        <v>1</v>
      </c>
      <c r="I2363" s="2" t="s">
        <v>82</v>
      </c>
      <c r="J2363" s="2">
        <v>1</v>
      </c>
      <c r="K2363" s="2" t="s">
        <v>107</v>
      </c>
      <c r="L2363" s="2" t="s">
        <v>107</v>
      </c>
      <c r="M2363" s="3">
        <v>40336</v>
      </c>
      <c r="N2363" s="2"/>
      <c r="O2363" s="2"/>
      <c r="P2363" s="2"/>
      <c r="Q2363" s="2" t="str">
        <f>""</f>
        <v/>
      </c>
      <c r="R2363" s="2"/>
      <c r="S2363" s="2"/>
      <c r="T2363" s="2">
        <v>2</v>
      </c>
      <c r="U2363" s="2" t="s">
        <v>123</v>
      </c>
      <c r="V2363" s="2">
        <v>1</v>
      </c>
      <c r="W2363" s="2" t="s">
        <v>80</v>
      </c>
      <c r="X2363" s="2">
        <v>12</v>
      </c>
      <c r="Y2363" s="2" t="s">
        <v>148</v>
      </c>
      <c r="Z2363" s="2">
        <v>1</v>
      </c>
      <c r="AA2363" s="2" t="s">
        <v>82</v>
      </c>
      <c r="AB2363" s="2">
        <v>9</v>
      </c>
      <c r="AC2363" s="2" t="s">
        <v>124</v>
      </c>
      <c r="AD2363" s="3">
        <v>40335</v>
      </c>
      <c r="AE2363" s="4">
        <v>0</v>
      </c>
      <c r="AF2363" s="3">
        <v>40336</v>
      </c>
      <c r="AG2363" s="4">
        <v>0.54166666666666663</v>
      </c>
      <c r="AH2363" s="2">
        <v>2</v>
      </c>
      <c r="AI2363" s="2" t="s">
        <v>84</v>
      </c>
      <c r="AJ2363" s="2">
        <v>11</v>
      </c>
      <c r="AK2363" s="2" t="s">
        <v>751</v>
      </c>
      <c r="AL2363" s="2">
        <v>19</v>
      </c>
      <c r="AM2363" s="2" t="s">
        <v>107</v>
      </c>
      <c r="AN2363" s="2"/>
      <c r="AO2363" s="2"/>
      <c r="AP2363" s="2">
        <v>11</v>
      </c>
      <c r="AQ2363" s="2" t="s">
        <v>82</v>
      </c>
      <c r="AR2363" s="2"/>
      <c r="AS2363" s="2"/>
      <c r="AT2363" s="2" t="s">
        <v>8023</v>
      </c>
      <c r="AU2363" s="2"/>
      <c r="AV2363" s="2"/>
      <c r="AW2363" s="2"/>
      <c r="AX2363" s="2"/>
      <c r="AY2363" s="2">
        <v>41</v>
      </c>
      <c r="AZ2363" s="2" t="s">
        <v>82</v>
      </c>
      <c r="BA2363" s="2">
        <v>41</v>
      </c>
      <c r="BB2363" s="2" t="s">
        <v>82</v>
      </c>
      <c r="BC2363" s="2">
        <v>41</v>
      </c>
      <c r="BD2363" s="2" t="s">
        <v>82</v>
      </c>
      <c r="BE2363" s="2">
        <v>41</v>
      </c>
      <c r="BF2363" s="2" t="s">
        <v>82</v>
      </c>
      <c r="BG2363" s="2"/>
      <c r="BH2363" s="2"/>
      <c r="BI2363" s="2"/>
      <c r="BJ2363" s="2">
        <v>241</v>
      </c>
      <c r="BK2363" s="2" t="s">
        <v>82</v>
      </c>
      <c r="BL2363" s="2"/>
      <c r="BM2363" s="2">
        <v>241</v>
      </c>
      <c r="BN2363" s="2" t="s">
        <v>82</v>
      </c>
      <c r="BO2363" s="2"/>
      <c r="BP2363" s="2">
        <v>241</v>
      </c>
      <c r="BQ2363" s="2" t="s">
        <v>82</v>
      </c>
      <c r="BR2363" s="2"/>
      <c r="BS2363" s="3">
        <v>40336</v>
      </c>
      <c r="BT2363" s="4">
        <v>0.70712962962962955</v>
      </c>
    </row>
    <row r="2364" spans="1:72" x14ac:dyDescent="0.25">
      <c r="A2364" s="2">
        <v>3464</v>
      </c>
      <c r="B2364" s="2">
        <v>2010</v>
      </c>
      <c r="C2364" s="2" t="s">
        <v>72</v>
      </c>
      <c r="D2364" s="2" t="s">
        <v>122</v>
      </c>
      <c r="E2364" s="2" t="s">
        <v>8024</v>
      </c>
      <c r="F2364" s="2">
        <v>110</v>
      </c>
      <c r="G2364" s="2" t="s">
        <v>7444</v>
      </c>
      <c r="H2364" s="2">
        <v>99</v>
      </c>
      <c r="I2364" s="2" t="s">
        <v>6285</v>
      </c>
      <c r="J2364" s="2">
        <v>126</v>
      </c>
      <c r="K2364" s="2" t="s">
        <v>7445</v>
      </c>
      <c r="L2364" s="2" t="s">
        <v>7446</v>
      </c>
      <c r="M2364" s="3">
        <v>40336</v>
      </c>
      <c r="N2364" s="2" t="s">
        <v>7718</v>
      </c>
      <c r="O2364" s="2"/>
      <c r="P2364" s="2"/>
      <c r="Q2364" s="2" t="str">
        <f>"001/2010"</f>
        <v>001/2010</v>
      </c>
      <c r="R2364" s="2" t="s">
        <v>833</v>
      </c>
      <c r="S2364" s="2" t="s">
        <v>833</v>
      </c>
      <c r="T2364" s="2">
        <v>1</v>
      </c>
      <c r="U2364" s="2" t="s">
        <v>79</v>
      </c>
      <c r="V2364" s="2">
        <v>1</v>
      </c>
      <c r="W2364" s="2" t="s">
        <v>80</v>
      </c>
      <c r="X2364" s="2">
        <v>12</v>
      </c>
      <c r="Y2364" s="2" t="s">
        <v>148</v>
      </c>
      <c r="Z2364" s="2">
        <v>1</v>
      </c>
      <c r="AA2364" s="2" t="s">
        <v>82</v>
      </c>
      <c r="AB2364" s="2">
        <v>6</v>
      </c>
      <c r="AC2364" s="2" t="s">
        <v>83</v>
      </c>
      <c r="AD2364" s="3">
        <v>40330</v>
      </c>
      <c r="AE2364" s="2"/>
      <c r="AF2364" s="3">
        <v>40330</v>
      </c>
      <c r="AG2364" s="4">
        <v>0.54513888888888895</v>
      </c>
      <c r="AH2364" s="2">
        <v>6</v>
      </c>
      <c r="AI2364" s="2" t="s">
        <v>197</v>
      </c>
      <c r="AJ2364" s="2">
        <v>56</v>
      </c>
      <c r="AK2364" s="2" t="s">
        <v>7719</v>
      </c>
      <c r="AL2364" s="2">
        <v>9</v>
      </c>
      <c r="AM2364" s="2" t="s">
        <v>259</v>
      </c>
      <c r="AN2364" s="2" t="s">
        <v>107</v>
      </c>
      <c r="AO2364" s="2" t="s">
        <v>7720</v>
      </c>
      <c r="AP2364" s="2">
        <v>11</v>
      </c>
      <c r="AQ2364" s="2" t="s">
        <v>82</v>
      </c>
      <c r="AR2364" s="2"/>
      <c r="AS2364" s="2"/>
      <c r="AT2364" s="2" t="s">
        <v>8025</v>
      </c>
      <c r="AU2364" s="2"/>
      <c r="AV2364" s="2"/>
      <c r="AW2364" s="2"/>
      <c r="AX2364" s="2"/>
      <c r="AY2364" s="2">
        <v>114</v>
      </c>
      <c r="AZ2364" s="2" t="s">
        <v>7510</v>
      </c>
      <c r="BA2364" s="2">
        <v>41</v>
      </c>
      <c r="BB2364" s="2" t="s">
        <v>82</v>
      </c>
      <c r="BC2364" s="2">
        <v>41</v>
      </c>
      <c r="BD2364" s="2" t="s">
        <v>82</v>
      </c>
      <c r="BE2364" s="2">
        <v>41</v>
      </c>
      <c r="BF2364" s="2" t="s">
        <v>82</v>
      </c>
      <c r="BG2364" s="2"/>
      <c r="BH2364" s="2"/>
      <c r="BI2364" s="2"/>
      <c r="BJ2364" s="2">
        <v>241</v>
      </c>
      <c r="BK2364" s="2" t="s">
        <v>82</v>
      </c>
      <c r="BL2364" s="2"/>
      <c r="BM2364" s="2">
        <v>241</v>
      </c>
      <c r="BN2364" s="2" t="s">
        <v>82</v>
      </c>
      <c r="BO2364" s="2"/>
      <c r="BP2364" s="2">
        <v>241</v>
      </c>
      <c r="BQ2364" s="2" t="s">
        <v>82</v>
      </c>
      <c r="BR2364" s="2"/>
      <c r="BS2364" s="3">
        <v>40336</v>
      </c>
      <c r="BT2364" s="4">
        <v>0.7758449074074073</v>
      </c>
    </row>
    <row r="2365" spans="1:72" x14ac:dyDescent="0.25">
      <c r="A2365" s="2">
        <v>3465</v>
      </c>
      <c r="B2365" s="2">
        <v>2010</v>
      </c>
      <c r="C2365" s="2" t="s">
        <v>171</v>
      </c>
      <c r="D2365" s="2" t="s">
        <v>122</v>
      </c>
      <c r="E2365" s="2" t="s">
        <v>7983</v>
      </c>
      <c r="F2365" s="2">
        <v>389</v>
      </c>
      <c r="G2365" s="2" t="s">
        <v>1819</v>
      </c>
      <c r="H2365" s="2">
        <v>4</v>
      </c>
      <c r="I2365" s="2" t="s">
        <v>173</v>
      </c>
      <c r="J2365" s="2">
        <v>399</v>
      </c>
      <c r="K2365" s="2" t="s">
        <v>1820</v>
      </c>
      <c r="L2365" s="2" t="s">
        <v>1821</v>
      </c>
      <c r="M2365" s="3">
        <v>40336</v>
      </c>
      <c r="N2365" s="2" t="s">
        <v>2621</v>
      </c>
      <c r="O2365" s="2"/>
      <c r="P2365" s="2"/>
      <c r="Q2365" s="2" t="str">
        <f>"299-E/10"</f>
        <v>299-E/10</v>
      </c>
      <c r="R2365" s="2" t="s">
        <v>7967</v>
      </c>
      <c r="S2365" s="2" t="s">
        <v>1035</v>
      </c>
      <c r="T2365" s="2">
        <v>1</v>
      </c>
      <c r="U2365" s="2" t="s">
        <v>79</v>
      </c>
      <c r="V2365" s="2">
        <v>1</v>
      </c>
      <c r="W2365" s="2" t="s">
        <v>80</v>
      </c>
      <c r="X2365" s="2">
        <v>1</v>
      </c>
      <c r="Y2365" s="2" t="s">
        <v>81</v>
      </c>
      <c r="Z2365" s="2">
        <v>1</v>
      </c>
      <c r="AA2365" s="2" t="s">
        <v>82</v>
      </c>
      <c r="AB2365" s="2">
        <v>1</v>
      </c>
      <c r="AC2365" s="2" t="s">
        <v>178</v>
      </c>
      <c r="AD2365" s="3">
        <v>40335</v>
      </c>
      <c r="AE2365" s="4">
        <v>0.40277777777777773</v>
      </c>
      <c r="AF2365" s="2"/>
      <c r="AG2365" s="2"/>
      <c r="AH2365" s="2">
        <v>2</v>
      </c>
      <c r="AI2365" s="2" t="s">
        <v>84</v>
      </c>
      <c r="AJ2365" s="2">
        <v>9</v>
      </c>
      <c r="AK2365" s="2" t="s">
        <v>103</v>
      </c>
      <c r="AL2365" s="2">
        <v>14</v>
      </c>
      <c r="AM2365" s="2" t="s">
        <v>216</v>
      </c>
      <c r="AN2365" s="2"/>
      <c r="AO2365" s="2" t="s">
        <v>7984</v>
      </c>
      <c r="AP2365" s="2">
        <v>11</v>
      </c>
      <c r="AQ2365" s="2" t="s">
        <v>82</v>
      </c>
      <c r="AR2365" s="2"/>
      <c r="AS2365" s="2"/>
      <c r="AT2365" s="2" t="s">
        <v>8026</v>
      </c>
      <c r="AU2365" s="2"/>
      <c r="AV2365" s="2">
        <v>1</v>
      </c>
      <c r="AW2365" s="2"/>
      <c r="AX2365" s="2"/>
      <c r="AY2365" s="2">
        <v>41</v>
      </c>
      <c r="AZ2365" s="2" t="s">
        <v>82</v>
      </c>
      <c r="BA2365" s="2">
        <v>41</v>
      </c>
      <c r="BB2365" s="2" t="s">
        <v>82</v>
      </c>
      <c r="BC2365" s="2">
        <v>41</v>
      </c>
      <c r="BD2365" s="2" t="s">
        <v>82</v>
      </c>
      <c r="BE2365" s="2">
        <v>39</v>
      </c>
      <c r="BF2365" s="2" t="s">
        <v>440</v>
      </c>
      <c r="BG2365" s="2" t="s">
        <v>7986</v>
      </c>
      <c r="BH2365" s="4">
        <v>0.38541666666666669</v>
      </c>
      <c r="BI2365" s="4">
        <v>0.20833333333333334</v>
      </c>
      <c r="BJ2365" s="2">
        <v>172</v>
      </c>
      <c r="BK2365" s="2" t="s">
        <v>843</v>
      </c>
      <c r="BL2365" s="2" t="s">
        <v>7971</v>
      </c>
      <c r="BM2365" s="2">
        <v>13</v>
      </c>
      <c r="BN2365" s="2" t="s">
        <v>91</v>
      </c>
      <c r="BO2365" s="2" t="s">
        <v>112</v>
      </c>
      <c r="BP2365" s="2">
        <v>112</v>
      </c>
      <c r="BQ2365" s="2" t="s">
        <v>110</v>
      </c>
      <c r="BR2365" s="2" t="s">
        <v>111</v>
      </c>
      <c r="BS2365" s="3">
        <v>40336</v>
      </c>
      <c r="BT2365" s="4">
        <v>0.78956018518518523</v>
      </c>
    </row>
    <row r="2366" spans="1:72" x14ac:dyDescent="0.25">
      <c r="A2366" s="2">
        <v>3467</v>
      </c>
      <c r="B2366" s="2">
        <v>2010</v>
      </c>
      <c r="C2366" s="2" t="s">
        <v>171</v>
      </c>
      <c r="D2366" s="2" t="s">
        <v>122</v>
      </c>
      <c r="E2366" s="2" t="s">
        <v>8027</v>
      </c>
      <c r="F2366" s="2">
        <v>396</v>
      </c>
      <c r="G2366" s="2" t="s">
        <v>2159</v>
      </c>
      <c r="H2366" s="2">
        <v>8</v>
      </c>
      <c r="I2366" s="2" t="s">
        <v>3451</v>
      </c>
      <c r="J2366" s="2">
        <v>243</v>
      </c>
      <c r="K2366" s="2" t="s">
        <v>2160</v>
      </c>
      <c r="L2366" s="2" t="s">
        <v>2145</v>
      </c>
      <c r="M2366" s="3">
        <v>40336</v>
      </c>
      <c r="N2366" s="2" t="s">
        <v>3452</v>
      </c>
      <c r="O2366" s="2" t="s">
        <v>107</v>
      </c>
      <c r="P2366" s="2" t="s">
        <v>107</v>
      </c>
      <c r="Q2366" s="2" t="str">
        <f>"297-E/10"</f>
        <v>297-E/10</v>
      </c>
      <c r="R2366" s="2" t="s">
        <v>7917</v>
      </c>
      <c r="S2366" s="2" t="s">
        <v>7917</v>
      </c>
      <c r="T2366" s="2">
        <v>1</v>
      </c>
      <c r="U2366" s="2" t="s">
        <v>79</v>
      </c>
      <c r="V2366" s="2">
        <v>1</v>
      </c>
      <c r="W2366" s="2" t="s">
        <v>80</v>
      </c>
      <c r="X2366" s="2">
        <v>1</v>
      </c>
      <c r="Y2366" s="2" t="s">
        <v>81</v>
      </c>
      <c r="Z2366" s="2">
        <v>1</v>
      </c>
      <c r="AA2366" s="2" t="s">
        <v>82</v>
      </c>
      <c r="AB2366" s="2">
        <v>1</v>
      </c>
      <c r="AC2366" s="2" t="s">
        <v>178</v>
      </c>
      <c r="AD2366" s="3">
        <v>40335</v>
      </c>
      <c r="AE2366" s="4">
        <v>0.5625</v>
      </c>
      <c r="AF2366" s="2"/>
      <c r="AG2366" s="2"/>
      <c r="AH2366" s="2">
        <v>2</v>
      </c>
      <c r="AI2366" s="2" t="s">
        <v>84</v>
      </c>
      <c r="AJ2366" s="2">
        <v>9</v>
      </c>
      <c r="AK2366" s="2" t="s">
        <v>103</v>
      </c>
      <c r="AL2366" s="2">
        <v>11</v>
      </c>
      <c r="AM2366" s="2" t="s">
        <v>137</v>
      </c>
      <c r="AN2366" s="2" t="s">
        <v>987</v>
      </c>
      <c r="AO2366" s="5">
        <v>42370</v>
      </c>
      <c r="AP2366" s="2">
        <v>11</v>
      </c>
      <c r="AQ2366" s="2" t="s">
        <v>82</v>
      </c>
      <c r="AR2366" s="2"/>
      <c r="AS2366" s="2"/>
      <c r="AT2366" s="2" t="s">
        <v>8028</v>
      </c>
      <c r="AU2366" s="2"/>
      <c r="AV2366" s="2">
        <v>1</v>
      </c>
      <c r="AW2366" s="2"/>
      <c r="AX2366" s="2"/>
      <c r="AY2366" s="2">
        <v>41</v>
      </c>
      <c r="AZ2366" s="2" t="s">
        <v>82</v>
      </c>
      <c r="BA2366" s="2">
        <v>41</v>
      </c>
      <c r="BB2366" s="2" t="s">
        <v>82</v>
      </c>
      <c r="BC2366" s="2">
        <v>41</v>
      </c>
      <c r="BD2366" s="2" t="s">
        <v>82</v>
      </c>
      <c r="BE2366" s="2">
        <v>39</v>
      </c>
      <c r="BF2366" s="2" t="s">
        <v>440</v>
      </c>
      <c r="BG2366" s="2" t="s">
        <v>7920</v>
      </c>
      <c r="BH2366" s="2"/>
      <c r="BI2366" s="4">
        <v>0.58333333333333337</v>
      </c>
      <c r="BJ2366" s="2">
        <v>13</v>
      </c>
      <c r="BK2366" s="2" t="s">
        <v>91</v>
      </c>
      <c r="BL2366" s="2" t="s">
        <v>185</v>
      </c>
      <c r="BM2366" s="2">
        <v>241</v>
      </c>
      <c r="BN2366" s="2" t="s">
        <v>82</v>
      </c>
      <c r="BO2366" s="2"/>
      <c r="BP2366" s="2">
        <v>33</v>
      </c>
      <c r="BQ2366" s="2" t="s">
        <v>361</v>
      </c>
      <c r="BR2366" s="2" t="s">
        <v>1739</v>
      </c>
      <c r="BS2366" s="3">
        <v>40336</v>
      </c>
      <c r="BT2366" s="4">
        <v>0.8103935185185186</v>
      </c>
    </row>
    <row r="2367" spans="1:72" x14ac:dyDescent="0.25">
      <c r="A2367" s="2">
        <v>3468</v>
      </c>
      <c r="B2367" s="2">
        <v>2010</v>
      </c>
      <c r="C2367" s="2" t="s">
        <v>2754</v>
      </c>
      <c r="D2367" s="2" t="s">
        <v>73</v>
      </c>
      <c r="E2367" s="2"/>
      <c r="F2367" s="2">
        <v>635</v>
      </c>
      <c r="G2367" s="2" t="s">
        <v>8029</v>
      </c>
      <c r="H2367" s="2">
        <v>39</v>
      </c>
      <c r="I2367" s="2" t="s">
        <v>1117</v>
      </c>
      <c r="J2367" s="2">
        <v>575</v>
      </c>
      <c r="K2367" s="2" t="s">
        <v>8030</v>
      </c>
      <c r="L2367" s="2" t="s">
        <v>8031</v>
      </c>
      <c r="M2367" s="3">
        <v>40336</v>
      </c>
      <c r="N2367" s="2" t="s">
        <v>8032</v>
      </c>
      <c r="O2367" s="2"/>
      <c r="P2367" s="2"/>
      <c r="Q2367" s="2" t="str">
        <f>"0009/10PSA"</f>
        <v>0009/10PSA</v>
      </c>
      <c r="R2367" s="2"/>
      <c r="S2367" s="2" t="s">
        <v>8033</v>
      </c>
      <c r="T2367" s="2">
        <v>1</v>
      </c>
      <c r="U2367" s="2" t="s">
        <v>79</v>
      </c>
      <c r="V2367" s="2">
        <v>1</v>
      </c>
      <c r="W2367" s="2" t="s">
        <v>80</v>
      </c>
      <c r="X2367" s="2">
        <v>1</v>
      </c>
      <c r="Y2367" s="2" t="s">
        <v>81</v>
      </c>
      <c r="Z2367" s="2">
        <v>1</v>
      </c>
      <c r="AA2367" s="2" t="s">
        <v>82</v>
      </c>
      <c r="AB2367" s="2">
        <v>8</v>
      </c>
      <c r="AC2367" s="2" t="s">
        <v>2760</v>
      </c>
      <c r="AD2367" s="3">
        <v>40336</v>
      </c>
      <c r="AE2367" s="4">
        <v>0.66666666666666663</v>
      </c>
      <c r="AF2367" s="2"/>
      <c r="AG2367" s="2"/>
      <c r="AH2367" s="2">
        <v>4</v>
      </c>
      <c r="AI2367" s="2" t="s">
        <v>125</v>
      </c>
      <c r="AJ2367" s="2">
        <v>30</v>
      </c>
      <c r="AK2367" s="2" t="s">
        <v>258</v>
      </c>
      <c r="AL2367" s="2">
        <v>11</v>
      </c>
      <c r="AM2367" s="2" t="s">
        <v>137</v>
      </c>
      <c r="AN2367" s="2"/>
      <c r="AO2367" s="2" t="s">
        <v>5079</v>
      </c>
      <c r="AP2367" s="2">
        <v>11</v>
      </c>
      <c r="AQ2367" s="2" t="s">
        <v>82</v>
      </c>
      <c r="AR2367" s="2"/>
      <c r="AS2367" s="2"/>
      <c r="AT2367" s="2" t="s">
        <v>8034</v>
      </c>
      <c r="AU2367" s="2"/>
      <c r="AV2367" s="2"/>
      <c r="AW2367" s="2"/>
      <c r="AX2367" s="2"/>
      <c r="AY2367" s="2">
        <v>42</v>
      </c>
      <c r="AZ2367" s="2" t="s">
        <v>182</v>
      </c>
      <c r="BA2367" s="2">
        <v>41</v>
      </c>
      <c r="BB2367" s="2" t="s">
        <v>82</v>
      </c>
      <c r="BC2367" s="2">
        <v>41</v>
      </c>
      <c r="BD2367" s="2" t="s">
        <v>82</v>
      </c>
      <c r="BE2367" s="2">
        <v>47</v>
      </c>
      <c r="BF2367" s="2" t="s">
        <v>167</v>
      </c>
      <c r="BG2367" s="2">
        <v>2499</v>
      </c>
      <c r="BH2367" s="4">
        <v>0.65625</v>
      </c>
      <c r="BI2367" s="4">
        <v>0.69791666666666663</v>
      </c>
      <c r="BJ2367" s="2">
        <v>13</v>
      </c>
      <c r="BK2367" s="2" t="s">
        <v>91</v>
      </c>
      <c r="BL2367" s="2" t="s">
        <v>2865</v>
      </c>
      <c r="BM2367" s="2">
        <v>241</v>
      </c>
      <c r="BN2367" s="2" t="s">
        <v>82</v>
      </c>
      <c r="BO2367" s="2"/>
      <c r="BP2367" s="2">
        <v>13</v>
      </c>
      <c r="BQ2367" s="2" t="s">
        <v>91</v>
      </c>
      <c r="BR2367" s="2" t="s">
        <v>185</v>
      </c>
      <c r="BS2367" s="3">
        <v>40336</v>
      </c>
      <c r="BT2367" s="4">
        <v>0.82343749999999993</v>
      </c>
    </row>
    <row r="2368" spans="1:72" x14ac:dyDescent="0.25">
      <c r="A2368" s="2">
        <v>3471</v>
      </c>
      <c r="B2368" s="2">
        <v>2010</v>
      </c>
      <c r="C2368" s="2" t="s">
        <v>121</v>
      </c>
      <c r="D2368" s="2" t="s">
        <v>122</v>
      </c>
      <c r="E2368" s="2"/>
      <c r="F2368" s="2">
        <v>1</v>
      </c>
      <c r="G2368" s="2" t="s">
        <v>82</v>
      </c>
      <c r="H2368" s="2">
        <v>1</v>
      </c>
      <c r="I2368" s="2" t="s">
        <v>82</v>
      </c>
      <c r="J2368" s="2">
        <v>1</v>
      </c>
      <c r="K2368" s="2" t="s">
        <v>107</v>
      </c>
      <c r="L2368" s="2" t="s">
        <v>107</v>
      </c>
      <c r="M2368" s="3">
        <v>40336</v>
      </c>
      <c r="N2368" s="2"/>
      <c r="O2368" s="2"/>
      <c r="P2368" s="2"/>
      <c r="Q2368" s="2" t="str">
        <f>""</f>
        <v/>
      </c>
      <c r="R2368" s="2"/>
      <c r="S2368" s="2"/>
      <c r="T2368" s="2">
        <v>2</v>
      </c>
      <c r="U2368" s="2" t="s">
        <v>123</v>
      </c>
      <c r="V2368" s="2">
        <v>1</v>
      </c>
      <c r="W2368" s="2" t="s">
        <v>80</v>
      </c>
      <c r="X2368" s="2">
        <v>11</v>
      </c>
      <c r="Y2368" s="2" t="s">
        <v>1920</v>
      </c>
      <c r="Z2368" s="2">
        <v>1</v>
      </c>
      <c r="AA2368" s="2" t="s">
        <v>82</v>
      </c>
      <c r="AB2368" s="2">
        <v>9</v>
      </c>
      <c r="AC2368" s="2" t="s">
        <v>124</v>
      </c>
      <c r="AD2368" s="3">
        <v>40336</v>
      </c>
      <c r="AE2368" s="4">
        <v>0.58333333333333337</v>
      </c>
      <c r="AF2368" s="2"/>
      <c r="AG2368" s="2"/>
      <c r="AH2368" s="2">
        <v>2</v>
      </c>
      <c r="AI2368" s="2" t="s">
        <v>84</v>
      </c>
      <c r="AJ2368" s="2">
        <v>12</v>
      </c>
      <c r="AK2368" s="2" t="s">
        <v>85</v>
      </c>
      <c r="AL2368" s="2">
        <v>10</v>
      </c>
      <c r="AM2368" s="2" t="s">
        <v>200</v>
      </c>
      <c r="AN2368" s="2" t="s">
        <v>8035</v>
      </c>
      <c r="AO2368" s="2" t="s">
        <v>909</v>
      </c>
      <c r="AP2368" s="2">
        <v>11</v>
      </c>
      <c r="AQ2368" s="2" t="s">
        <v>82</v>
      </c>
      <c r="AR2368" s="2"/>
      <c r="AS2368" s="2"/>
      <c r="AT2368" s="2" t="s">
        <v>8036</v>
      </c>
      <c r="AU2368" s="2"/>
      <c r="AV2368" s="2"/>
      <c r="AW2368" s="2"/>
      <c r="AX2368" s="2"/>
      <c r="AY2368" s="2">
        <v>41</v>
      </c>
      <c r="AZ2368" s="2" t="s">
        <v>82</v>
      </c>
      <c r="BA2368" s="2">
        <v>41</v>
      </c>
      <c r="BB2368" s="2" t="s">
        <v>82</v>
      </c>
      <c r="BC2368" s="2">
        <v>41</v>
      </c>
      <c r="BD2368" s="2" t="s">
        <v>82</v>
      </c>
      <c r="BE2368" s="2">
        <v>41</v>
      </c>
      <c r="BF2368" s="2" t="s">
        <v>82</v>
      </c>
      <c r="BG2368" s="2" t="s">
        <v>8037</v>
      </c>
      <c r="BH2368" s="4">
        <v>0.77500000000000002</v>
      </c>
      <c r="BI2368" s="2"/>
      <c r="BJ2368" s="2">
        <v>232</v>
      </c>
      <c r="BK2368" s="2" t="s">
        <v>4351</v>
      </c>
      <c r="BL2368" s="2" t="s">
        <v>4411</v>
      </c>
      <c r="BM2368" s="2">
        <v>241</v>
      </c>
      <c r="BN2368" s="2" t="s">
        <v>82</v>
      </c>
      <c r="BO2368" s="2"/>
      <c r="BP2368" s="2">
        <v>13</v>
      </c>
      <c r="BQ2368" s="2" t="s">
        <v>91</v>
      </c>
      <c r="BR2368" s="2" t="s">
        <v>185</v>
      </c>
      <c r="BS2368" s="3">
        <v>40336</v>
      </c>
      <c r="BT2368" s="4">
        <v>0.85788194444444443</v>
      </c>
    </row>
    <row r="2369" spans="1:72" x14ac:dyDescent="0.25">
      <c r="A2369" s="2">
        <v>3472</v>
      </c>
      <c r="B2369" s="2">
        <v>2010</v>
      </c>
      <c r="C2369" s="2" t="s">
        <v>171</v>
      </c>
      <c r="D2369" s="2" t="s">
        <v>73</v>
      </c>
      <c r="E2369" s="2"/>
      <c r="F2369" s="2">
        <v>400</v>
      </c>
      <c r="G2369" s="2" t="s">
        <v>3601</v>
      </c>
      <c r="H2369" s="2">
        <v>17</v>
      </c>
      <c r="I2369" s="2" t="s">
        <v>3602</v>
      </c>
      <c r="J2369" s="2">
        <v>316</v>
      </c>
      <c r="K2369" s="2" t="s">
        <v>574</v>
      </c>
      <c r="L2369" s="2" t="s">
        <v>575</v>
      </c>
      <c r="M2369" s="3">
        <v>40336</v>
      </c>
      <c r="N2369" s="2" t="s">
        <v>8038</v>
      </c>
      <c r="O2369" s="2" t="s">
        <v>8039</v>
      </c>
      <c r="P2369" s="2">
        <v>9934</v>
      </c>
      <c r="Q2369" s="2" t="str">
        <f>"S/D"</f>
        <v>S/D</v>
      </c>
      <c r="R2369" s="2" t="s">
        <v>107</v>
      </c>
      <c r="S2369" s="2" t="s">
        <v>107</v>
      </c>
      <c r="T2369" s="2">
        <v>1</v>
      </c>
      <c r="U2369" s="2" t="s">
        <v>79</v>
      </c>
      <c r="V2369" s="2">
        <v>1</v>
      </c>
      <c r="W2369" s="2" t="s">
        <v>80</v>
      </c>
      <c r="X2369" s="2">
        <v>7</v>
      </c>
      <c r="Y2369" s="2" t="s">
        <v>1964</v>
      </c>
      <c r="Z2369" s="2">
        <v>1</v>
      </c>
      <c r="AA2369" s="2" t="s">
        <v>82</v>
      </c>
      <c r="AB2369" s="2">
        <v>1</v>
      </c>
      <c r="AC2369" s="2" t="s">
        <v>178</v>
      </c>
      <c r="AD2369" s="3">
        <v>40336</v>
      </c>
      <c r="AE2369" s="4">
        <v>0.625</v>
      </c>
      <c r="AF2369" s="2"/>
      <c r="AG2369" s="2"/>
      <c r="AH2369" s="2">
        <v>2</v>
      </c>
      <c r="AI2369" s="2" t="s">
        <v>84</v>
      </c>
      <c r="AJ2369" s="2">
        <v>6</v>
      </c>
      <c r="AK2369" s="2" t="s">
        <v>453</v>
      </c>
      <c r="AL2369" s="2">
        <v>23</v>
      </c>
      <c r="AM2369" s="2" t="s">
        <v>251</v>
      </c>
      <c r="AN2369" s="2" t="s">
        <v>8040</v>
      </c>
      <c r="AO2369" s="2" t="s">
        <v>170</v>
      </c>
      <c r="AP2369" s="2">
        <v>11</v>
      </c>
      <c r="AQ2369" s="2" t="s">
        <v>82</v>
      </c>
      <c r="AR2369" s="2"/>
      <c r="AS2369" s="2"/>
      <c r="AT2369" s="2" t="s">
        <v>8041</v>
      </c>
      <c r="AU2369" s="2"/>
      <c r="AV2369" s="2">
        <v>1</v>
      </c>
      <c r="AW2369" s="2"/>
      <c r="AX2369" s="2"/>
      <c r="AY2369" s="2">
        <v>42</v>
      </c>
      <c r="AZ2369" s="2" t="s">
        <v>182</v>
      </c>
      <c r="BA2369" s="2">
        <v>41</v>
      </c>
      <c r="BB2369" s="2" t="s">
        <v>82</v>
      </c>
      <c r="BC2369" s="2">
        <v>41</v>
      </c>
      <c r="BD2369" s="2" t="s">
        <v>82</v>
      </c>
      <c r="BE2369" s="2">
        <v>41</v>
      </c>
      <c r="BF2369" s="2" t="s">
        <v>82</v>
      </c>
      <c r="BG2369" s="2"/>
      <c r="BH2369" s="2"/>
      <c r="BI2369" s="2"/>
      <c r="BJ2369" s="2">
        <v>241</v>
      </c>
      <c r="BK2369" s="2" t="s">
        <v>82</v>
      </c>
      <c r="BL2369" s="2"/>
      <c r="BM2369" s="2">
        <v>241</v>
      </c>
      <c r="BN2369" s="2" t="s">
        <v>82</v>
      </c>
      <c r="BO2369" s="2"/>
      <c r="BP2369" s="2">
        <v>241</v>
      </c>
      <c r="BQ2369" s="2" t="s">
        <v>82</v>
      </c>
      <c r="BR2369" s="2"/>
      <c r="BS2369" s="3">
        <v>40336</v>
      </c>
      <c r="BT2369" s="4">
        <v>0.86540509259259257</v>
      </c>
    </row>
    <row r="2370" spans="1:72" x14ac:dyDescent="0.25">
      <c r="A2370" s="2">
        <v>3473</v>
      </c>
      <c r="B2370" s="2">
        <v>2010</v>
      </c>
      <c r="C2370" s="2" t="s">
        <v>171</v>
      </c>
      <c r="D2370" s="2" t="s">
        <v>122</v>
      </c>
      <c r="E2370" s="2" t="s">
        <v>7853</v>
      </c>
      <c r="F2370" s="2">
        <v>471</v>
      </c>
      <c r="G2370" s="2" t="s">
        <v>6201</v>
      </c>
      <c r="H2370" s="2">
        <v>60</v>
      </c>
      <c r="I2370" s="2" t="s">
        <v>2704</v>
      </c>
      <c r="J2370" s="2">
        <v>374</v>
      </c>
      <c r="K2370" s="2" t="s">
        <v>1191</v>
      </c>
      <c r="L2370" s="2" t="s">
        <v>132</v>
      </c>
      <c r="M2370" s="3">
        <v>40336</v>
      </c>
      <c r="N2370" s="2" t="s">
        <v>6202</v>
      </c>
      <c r="O2370" s="2" t="s">
        <v>7790</v>
      </c>
      <c r="P2370" s="2" t="s">
        <v>7639</v>
      </c>
      <c r="Q2370" s="2" t="str">
        <f>"09/10"</f>
        <v>09/10</v>
      </c>
      <c r="R2370" s="2"/>
      <c r="S2370" s="2"/>
      <c r="T2370" s="2">
        <v>1</v>
      </c>
      <c r="U2370" s="2" t="s">
        <v>79</v>
      </c>
      <c r="V2370" s="2">
        <v>1</v>
      </c>
      <c r="W2370" s="2" t="s">
        <v>80</v>
      </c>
      <c r="X2370" s="2">
        <v>8</v>
      </c>
      <c r="Y2370" s="2" t="s">
        <v>375</v>
      </c>
      <c r="Z2370" s="2">
        <v>1</v>
      </c>
      <c r="AA2370" s="2" t="s">
        <v>82</v>
      </c>
      <c r="AB2370" s="2">
        <v>1</v>
      </c>
      <c r="AC2370" s="2" t="s">
        <v>178</v>
      </c>
      <c r="AD2370" s="3">
        <v>40331</v>
      </c>
      <c r="AE2370" s="4">
        <v>0.34722222222222227</v>
      </c>
      <c r="AF2370" s="2"/>
      <c r="AG2370" s="2"/>
      <c r="AH2370" s="2">
        <v>5</v>
      </c>
      <c r="AI2370" s="2" t="s">
        <v>274</v>
      </c>
      <c r="AJ2370" s="2">
        <v>34</v>
      </c>
      <c r="AK2370" s="2" t="s">
        <v>274</v>
      </c>
      <c r="AL2370" s="2">
        <v>23</v>
      </c>
      <c r="AM2370" s="2" t="s">
        <v>251</v>
      </c>
      <c r="AN2370" s="2" t="s">
        <v>3296</v>
      </c>
      <c r="AO2370" s="2" t="s">
        <v>8042</v>
      </c>
      <c r="AP2370" s="2">
        <v>11</v>
      </c>
      <c r="AQ2370" s="2" t="s">
        <v>82</v>
      </c>
      <c r="AR2370" s="2"/>
      <c r="AS2370" s="2"/>
      <c r="AT2370" s="2" t="s">
        <v>8043</v>
      </c>
      <c r="AU2370" s="2">
        <v>2</v>
      </c>
      <c r="AV2370" s="2"/>
      <c r="AW2370" s="2"/>
      <c r="AX2370" s="2"/>
      <c r="AY2370" s="2">
        <v>41</v>
      </c>
      <c r="AZ2370" s="2" t="s">
        <v>82</v>
      </c>
      <c r="BA2370" s="2">
        <v>41</v>
      </c>
      <c r="BB2370" s="2" t="s">
        <v>82</v>
      </c>
      <c r="BC2370" s="2">
        <v>41</v>
      </c>
      <c r="BD2370" s="2" t="s">
        <v>82</v>
      </c>
      <c r="BE2370" s="2">
        <v>41</v>
      </c>
      <c r="BF2370" s="2" t="s">
        <v>82</v>
      </c>
      <c r="BG2370" s="2"/>
      <c r="BH2370" s="2"/>
      <c r="BI2370" s="2"/>
      <c r="BJ2370" s="2">
        <v>241</v>
      </c>
      <c r="BK2370" s="2" t="s">
        <v>82</v>
      </c>
      <c r="BL2370" s="2"/>
      <c r="BM2370" s="2">
        <v>241</v>
      </c>
      <c r="BN2370" s="2" t="s">
        <v>82</v>
      </c>
      <c r="BO2370" s="2"/>
      <c r="BP2370" s="2">
        <v>241</v>
      </c>
      <c r="BQ2370" s="2" t="s">
        <v>82</v>
      </c>
      <c r="BR2370" s="2"/>
      <c r="BS2370" s="3">
        <v>40336</v>
      </c>
      <c r="BT2370" s="4">
        <v>0.8702199074074074</v>
      </c>
    </row>
    <row r="2371" spans="1:72" x14ac:dyDescent="0.25">
      <c r="A2371" s="2">
        <v>3475</v>
      </c>
      <c r="B2371" s="2">
        <v>2010</v>
      </c>
      <c r="C2371" s="2" t="s">
        <v>171</v>
      </c>
      <c r="D2371" s="2" t="s">
        <v>122</v>
      </c>
      <c r="E2371" s="2" t="s">
        <v>7851</v>
      </c>
      <c r="F2371" s="2">
        <v>471</v>
      </c>
      <c r="G2371" s="2" t="s">
        <v>6201</v>
      </c>
      <c r="H2371" s="2">
        <v>60</v>
      </c>
      <c r="I2371" s="2" t="s">
        <v>2704</v>
      </c>
      <c r="J2371" s="2">
        <v>374</v>
      </c>
      <c r="K2371" s="2" t="s">
        <v>1191</v>
      </c>
      <c r="L2371" s="2" t="s">
        <v>132</v>
      </c>
      <c r="M2371" s="3">
        <v>40336</v>
      </c>
      <c r="N2371" s="2" t="s">
        <v>6202</v>
      </c>
      <c r="O2371" s="2" t="s">
        <v>7785</v>
      </c>
      <c r="P2371" s="2" t="s">
        <v>7778</v>
      </c>
      <c r="Q2371" s="2" t="str">
        <f>"0009/10"</f>
        <v>0009/10</v>
      </c>
      <c r="R2371" s="2"/>
      <c r="S2371" s="2"/>
      <c r="T2371" s="2">
        <v>1</v>
      </c>
      <c r="U2371" s="2" t="s">
        <v>79</v>
      </c>
      <c r="V2371" s="2">
        <v>1</v>
      </c>
      <c r="W2371" s="2" t="s">
        <v>80</v>
      </c>
      <c r="X2371" s="2">
        <v>9</v>
      </c>
      <c r="Y2371" s="2" t="s">
        <v>3393</v>
      </c>
      <c r="Z2371" s="2">
        <v>10</v>
      </c>
      <c r="AA2371" s="2" t="s">
        <v>236</v>
      </c>
      <c r="AB2371" s="2">
        <v>1</v>
      </c>
      <c r="AC2371" s="2" t="s">
        <v>178</v>
      </c>
      <c r="AD2371" s="3">
        <v>40331</v>
      </c>
      <c r="AE2371" s="4">
        <v>0.34375</v>
      </c>
      <c r="AF2371" s="2"/>
      <c r="AG2371" s="2"/>
      <c r="AH2371" s="2">
        <v>5</v>
      </c>
      <c r="AI2371" s="2" t="s">
        <v>274</v>
      </c>
      <c r="AJ2371" s="2">
        <v>34</v>
      </c>
      <c r="AK2371" s="2" t="s">
        <v>274</v>
      </c>
      <c r="AL2371" s="2">
        <v>23</v>
      </c>
      <c r="AM2371" s="2" t="s">
        <v>251</v>
      </c>
      <c r="AN2371" s="2"/>
      <c r="AO2371" s="2" t="s">
        <v>7786</v>
      </c>
      <c r="AP2371" s="2">
        <v>11</v>
      </c>
      <c r="AQ2371" s="2" t="s">
        <v>82</v>
      </c>
      <c r="AR2371" s="2"/>
      <c r="AS2371" s="2"/>
      <c r="AT2371" s="2" t="s">
        <v>8044</v>
      </c>
      <c r="AU2371" s="2"/>
      <c r="AV2371" s="2">
        <v>1</v>
      </c>
      <c r="AW2371" s="2"/>
      <c r="AX2371" s="2"/>
      <c r="AY2371" s="2">
        <v>41</v>
      </c>
      <c r="AZ2371" s="2" t="s">
        <v>82</v>
      </c>
      <c r="BA2371" s="2">
        <v>41</v>
      </c>
      <c r="BB2371" s="2" t="s">
        <v>82</v>
      </c>
      <c r="BC2371" s="2">
        <v>41</v>
      </c>
      <c r="BD2371" s="2" t="s">
        <v>82</v>
      </c>
      <c r="BE2371" s="2">
        <v>41</v>
      </c>
      <c r="BF2371" s="2" t="s">
        <v>82</v>
      </c>
      <c r="BG2371" s="2"/>
      <c r="BH2371" s="2"/>
      <c r="BI2371" s="2"/>
      <c r="BJ2371" s="2">
        <v>241</v>
      </c>
      <c r="BK2371" s="2" t="s">
        <v>82</v>
      </c>
      <c r="BL2371" s="2"/>
      <c r="BM2371" s="2">
        <v>241</v>
      </c>
      <c r="BN2371" s="2" t="s">
        <v>82</v>
      </c>
      <c r="BO2371" s="2"/>
      <c r="BP2371" s="2">
        <v>241</v>
      </c>
      <c r="BQ2371" s="2" t="s">
        <v>82</v>
      </c>
      <c r="BR2371" s="2"/>
      <c r="BS2371" s="3">
        <v>40336</v>
      </c>
      <c r="BT2371" s="4">
        <v>0.89440972222222215</v>
      </c>
    </row>
    <row r="2372" spans="1:72" x14ac:dyDescent="0.25">
      <c r="A2372" s="2">
        <v>3476</v>
      </c>
      <c r="B2372" s="2">
        <v>2010</v>
      </c>
      <c r="C2372" s="2" t="s">
        <v>377</v>
      </c>
      <c r="D2372" s="2" t="s">
        <v>73</v>
      </c>
      <c r="E2372" s="2"/>
      <c r="F2372" s="2">
        <v>426</v>
      </c>
      <c r="G2372" s="2" t="s">
        <v>378</v>
      </c>
      <c r="H2372" s="2">
        <v>22</v>
      </c>
      <c r="I2372" s="2" t="s">
        <v>75</v>
      </c>
      <c r="J2372" s="2">
        <v>311</v>
      </c>
      <c r="K2372" s="2" t="s">
        <v>379</v>
      </c>
      <c r="L2372" s="2" t="s">
        <v>380</v>
      </c>
      <c r="M2372" s="3">
        <v>40336</v>
      </c>
      <c r="N2372" s="2" t="s">
        <v>4427</v>
      </c>
      <c r="O2372" s="2"/>
      <c r="P2372" s="2"/>
      <c r="Q2372" s="2" t="str">
        <f>"109-C/10"</f>
        <v>109-C/10</v>
      </c>
      <c r="R2372" s="2" t="s">
        <v>5773</v>
      </c>
      <c r="S2372" s="2"/>
      <c r="T2372" s="2">
        <v>1</v>
      </c>
      <c r="U2372" s="2" t="s">
        <v>79</v>
      </c>
      <c r="V2372" s="2">
        <v>1</v>
      </c>
      <c r="W2372" s="2" t="s">
        <v>80</v>
      </c>
      <c r="X2372" s="2">
        <v>1</v>
      </c>
      <c r="Y2372" s="2" t="s">
        <v>81</v>
      </c>
      <c r="Z2372" s="2">
        <v>1</v>
      </c>
      <c r="AA2372" s="2" t="s">
        <v>82</v>
      </c>
      <c r="AB2372" s="2">
        <v>9</v>
      </c>
      <c r="AC2372" s="2" t="s">
        <v>124</v>
      </c>
      <c r="AD2372" s="3">
        <v>40336</v>
      </c>
      <c r="AE2372" s="4">
        <v>0.76388888888888884</v>
      </c>
      <c r="AF2372" s="2"/>
      <c r="AG2372" s="2"/>
      <c r="AH2372" s="2">
        <v>2</v>
      </c>
      <c r="AI2372" s="2" t="s">
        <v>84</v>
      </c>
      <c r="AJ2372" s="2">
        <v>9</v>
      </c>
      <c r="AK2372" s="2" t="s">
        <v>103</v>
      </c>
      <c r="AL2372" s="2">
        <v>29</v>
      </c>
      <c r="AM2372" s="2" t="s">
        <v>5416</v>
      </c>
      <c r="AN2372" s="2" t="s">
        <v>7075</v>
      </c>
      <c r="AO2372" s="2" t="s">
        <v>987</v>
      </c>
      <c r="AP2372" s="2">
        <v>11</v>
      </c>
      <c r="AQ2372" s="2" t="s">
        <v>82</v>
      </c>
      <c r="AR2372" s="2"/>
      <c r="AS2372" s="2"/>
      <c r="AT2372" s="2" t="s">
        <v>8045</v>
      </c>
      <c r="AU2372" s="2"/>
      <c r="AV2372" s="2"/>
      <c r="AW2372" s="2"/>
      <c r="AX2372" s="2"/>
      <c r="AY2372" s="2">
        <v>41</v>
      </c>
      <c r="AZ2372" s="2" t="s">
        <v>82</v>
      </c>
      <c r="BA2372" s="2">
        <v>41</v>
      </c>
      <c r="BB2372" s="2" t="s">
        <v>82</v>
      </c>
      <c r="BC2372" s="2">
        <v>41</v>
      </c>
      <c r="BD2372" s="2" t="s">
        <v>82</v>
      </c>
      <c r="BE2372" s="2">
        <v>41</v>
      </c>
      <c r="BF2372" s="2" t="s">
        <v>82</v>
      </c>
      <c r="BG2372" s="2"/>
      <c r="BH2372" s="2"/>
      <c r="BI2372" s="2"/>
      <c r="BJ2372" s="2">
        <v>241</v>
      </c>
      <c r="BK2372" s="2" t="s">
        <v>82</v>
      </c>
      <c r="BL2372" s="2"/>
      <c r="BM2372" s="2">
        <v>241</v>
      </c>
      <c r="BN2372" s="2" t="s">
        <v>82</v>
      </c>
      <c r="BO2372" s="2"/>
      <c r="BP2372" s="2">
        <v>241</v>
      </c>
      <c r="BQ2372" s="2" t="s">
        <v>82</v>
      </c>
      <c r="BR2372" s="2"/>
      <c r="BS2372" s="3">
        <v>40336</v>
      </c>
      <c r="BT2372" s="4">
        <v>0.9391087962962964</v>
      </c>
    </row>
    <row r="2373" spans="1:72" x14ac:dyDescent="0.25">
      <c r="A2373" s="2">
        <v>3477</v>
      </c>
      <c r="B2373" s="2">
        <v>2010</v>
      </c>
      <c r="C2373" s="2" t="s">
        <v>121</v>
      </c>
      <c r="D2373" s="2" t="s">
        <v>122</v>
      </c>
      <c r="E2373" s="2"/>
      <c r="F2373" s="2">
        <v>1</v>
      </c>
      <c r="G2373" s="2" t="s">
        <v>82</v>
      </c>
      <c r="H2373" s="2">
        <v>1</v>
      </c>
      <c r="I2373" s="2" t="s">
        <v>82</v>
      </c>
      <c r="J2373" s="2">
        <v>1</v>
      </c>
      <c r="K2373" s="2" t="s">
        <v>107</v>
      </c>
      <c r="L2373" s="2" t="s">
        <v>107</v>
      </c>
      <c r="M2373" s="3">
        <v>40337</v>
      </c>
      <c r="N2373" s="2"/>
      <c r="O2373" s="2"/>
      <c r="P2373" s="2"/>
      <c r="Q2373" s="2" t="str">
        <f>""</f>
        <v/>
      </c>
      <c r="R2373" s="2"/>
      <c r="S2373" s="2"/>
      <c r="T2373" s="2">
        <v>2</v>
      </c>
      <c r="U2373" s="2" t="s">
        <v>123</v>
      </c>
      <c r="V2373" s="2">
        <v>1</v>
      </c>
      <c r="W2373" s="2" t="s">
        <v>80</v>
      </c>
      <c r="X2373" s="2">
        <v>11</v>
      </c>
      <c r="Y2373" s="2" t="s">
        <v>1920</v>
      </c>
      <c r="Z2373" s="2">
        <v>10</v>
      </c>
      <c r="AA2373" s="2" t="s">
        <v>236</v>
      </c>
      <c r="AB2373" s="2">
        <v>9</v>
      </c>
      <c r="AC2373" s="2" t="s">
        <v>124</v>
      </c>
      <c r="AD2373" s="3">
        <v>40336</v>
      </c>
      <c r="AE2373" s="4">
        <v>0.875</v>
      </c>
      <c r="AF2373" s="2"/>
      <c r="AG2373" s="2"/>
      <c r="AH2373" s="2">
        <v>2</v>
      </c>
      <c r="AI2373" s="2" t="s">
        <v>84</v>
      </c>
      <c r="AJ2373" s="2">
        <v>12</v>
      </c>
      <c r="AK2373" s="2" t="s">
        <v>85</v>
      </c>
      <c r="AL2373" s="2">
        <v>20</v>
      </c>
      <c r="AM2373" s="2" t="s">
        <v>992</v>
      </c>
      <c r="AN2373" s="2" t="s">
        <v>107</v>
      </c>
      <c r="AO2373" s="2" t="s">
        <v>8046</v>
      </c>
      <c r="AP2373" s="2">
        <v>11</v>
      </c>
      <c r="AQ2373" s="2" t="s">
        <v>82</v>
      </c>
      <c r="AR2373" s="2"/>
      <c r="AS2373" s="2"/>
      <c r="AT2373" s="2" t="s">
        <v>8047</v>
      </c>
      <c r="AU2373" s="2"/>
      <c r="AV2373" s="2"/>
      <c r="AW2373" s="2"/>
      <c r="AX2373" s="2"/>
      <c r="AY2373" s="2">
        <v>41</v>
      </c>
      <c r="AZ2373" s="2" t="s">
        <v>82</v>
      </c>
      <c r="BA2373" s="2">
        <v>41</v>
      </c>
      <c r="BB2373" s="2" t="s">
        <v>82</v>
      </c>
      <c r="BC2373" s="2">
        <v>41</v>
      </c>
      <c r="BD2373" s="2" t="s">
        <v>82</v>
      </c>
      <c r="BE2373" s="2">
        <v>41</v>
      </c>
      <c r="BF2373" s="2" t="s">
        <v>82</v>
      </c>
      <c r="BG2373" s="2"/>
      <c r="BH2373" s="4">
        <v>0.95138888888888884</v>
      </c>
      <c r="BI2373" s="4">
        <v>0.97222222222222221</v>
      </c>
      <c r="BJ2373" s="2">
        <v>13</v>
      </c>
      <c r="BK2373" s="2" t="s">
        <v>91</v>
      </c>
      <c r="BL2373" s="2" t="s">
        <v>185</v>
      </c>
      <c r="BM2373" s="2">
        <v>241</v>
      </c>
      <c r="BN2373" s="2" t="s">
        <v>82</v>
      </c>
      <c r="BO2373" s="2"/>
      <c r="BP2373" s="2">
        <v>75</v>
      </c>
      <c r="BQ2373" s="2" t="s">
        <v>1264</v>
      </c>
      <c r="BR2373" s="2" t="s">
        <v>107</v>
      </c>
      <c r="BS2373" s="3">
        <v>40337</v>
      </c>
      <c r="BT2373" s="4">
        <v>4.8773148148148149E-2</v>
      </c>
    </row>
    <row r="2374" spans="1:72" x14ac:dyDescent="0.25">
      <c r="A2374" s="2">
        <v>3478</v>
      </c>
      <c r="B2374" s="2">
        <v>2010</v>
      </c>
      <c r="C2374" s="2" t="s">
        <v>72</v>
      </c>
      <c r="D2374" s="2" t="s">
        <v>73</v>
      </c>
      <c r="E2374" s="2"/>
      <c r="F2374" s="2">
        <v>125</v>
      </c>
      <c r="G2374" s="2" t="s">
        <v>1483</v>
      </c>
      <c r="H2374" s="2">
        <v>47</v>
      </c>
      <c r="I2374" s="2" t="s">
        <v>1409</v>
      </c>
      <c r="J2374" s="2">
        <v>139</v>
      </c>
      <c r="K2374" s="2" t="s">
        <v>1485</v>
      </c>
      <c r="L2374" s="2" t="s">
        <v>1486</v>
      </c>
      <c r="M2374" s="3">
        <v>40337</v>
      </c>
      <c r="N2374" s="2" t="s">
        <v>8048</v>
      </c>
      <c r="O2374" s="2" t="s">
        <v>8049</v>
      </c>
      <c r="P2374" s="2" t="s">
        <v>107</v>
      </c>
      <c r="Q2374" s="2" t="str">
        <f>"017/10 PSA"</f>
        <v>017/10 PSA</v>
      </c>
      <c r="R2374" s="2" t="s">
        <v>107</v>
      </c>
      <c r="S2374" s="2" t="s">
        <v>8050</v>
      </c>
      <c r="T2374" s="2">
        <v>1</v>
      </c>
      <c r="U2374" s="2" t="s">
        <v>79</v>
      </c>
      <c r="V2374" s="2">
        <v>1</v>
      </c>
      <c r="W2374" s="2" t="s">
        <v>80</v>
      </c>
      <c r="X2374" s="2">
        <v>1</v>
      </c>
      <c r="Y2374" s="2" t="s">
        <v>81</v>
      </c>
      <c r="Z2374" s="2">
        <v>1</v>
      </c>
      <c r="AA2374" s="2" t="s">
        <v>82</v>
      </c>
      <c r="AB2374" s="2">
        <v>6</v>
      </c>
      <c r="AC2374" s="2" t="s">
        <v>83</v>
      </c>
      <c r="AD2374" s="3">
        <v>40336</v>
      </c>
      <c r="AE2374" s="4">
        <v>0.77083333333333337</v>
      </c>
      <c r="AF2374" s="2"/>
      <c r="AG2374" s="2"/>
      <c r="AH2374" s="2">
        <v>6</v>
      </c>
      <c r="AI2374" s="2" t="s">
        <v>197</v>
      </c>
      <c r="AJ2374" s="2">
        <v>61</v>
      </c>
      <c r="AK2374" s="2" t="s">
        <v>686</v>
      </c>
      <c r="AL2374" s="2">
        <v>2</v>
      </c>
      <c r="AM2374" s="2" t="s">
        <v>163</v>
      </c>
      <c r="AN2374" s="2" t="s">
        <v>8051</v>
      </c>
      <c r="AO2374" s="2" t="s">
        <v>8052</v>
      </c>
      <c r="AP2374" s="2">
        <v>11</v>
      </c>
      <c r="AQ2374" s="2" t="s">
        <v>82</v>
      </c>
      <c r="AR2374" s="2" t="s">
        <v>82</v>
      </c>
      <c r="AS2374" s="2" t="s">
        <v>82</v>
      </c>
      <c r="AT2374" s="2" t="s">
        <v>8053</v>
      </c>
      <c r="AU2374" s="2"/>
      <c r="AV2374" s="2"/>
      <c r="AW2374" s="2"/>
      <c r="AX2374" s="2"/>
      <c r="AY2374" s="2">
        <v>47</v>
      </c>
      <c r="AZ2374" s="2" t="s">
        <v>167</v>
      </c>
      <c r="BA2374" s="2">
        <v>41</v>
      </c>
      <c r="BB2374" s="2" t="s">
        <v>82</v>
      </c>
      <c r="BC2374" s="2">
        <v>41</v>
      </c>
      <c r="BD2374" s="2" t="s">
        <v>82</v>
      </c>
      <c r="BE2374" s="2">
        <v>47</v>
      </c>
      <c r="BF2374" s="2" t="s">
        <v>167</v>
      </c>
      <c r="BG2374" s="2">
        <v>2848</v>
      </c>
      <c r="BH2374" s="4">
        <v>0.75</v>
      </c>
      <c r="BI2374" s="2"/>
      <c r="BJ2374" s="2">
        <v>13</v>
      </c>
      <c r="BK2374" s="2" t="s">
        <v>91</v>
      </c>
      <c r="BL2374" s="2" t="s">
        <v>185</v>
      </c>
      <c r="BM2374" s="2">
        <v>241</v>
      </c>
      <c r="BN2374" s="2" t="s">
        <v>82</v>
      </c>
      <c r="BO2374" s="2" t="s">
        <v>82</v>
      </c>
      <c r="BP2374" s="2">
        <v>13</v>
      </c>
      <c r="BQ2374" s="2" t="s">
        <v>91</v>
      </c>
      <c r="BR2374" s="2" t="s">
        <v>690</v>
      </c>
      <c r="BS2374" s="3">
        <v>40337</v>
      </c>
      <c r="BT2374" s="4">
        <v>5.5370370370370368E-2</v>
      </c>
    </row>
    <row r="2375" spans="1:72" x14ac:dyDescent="0.25">
      <c r="A2375" s="2">
        <v>3479</v>
      </c>
      <c r="B2375" s="2">
        <v>2010</v>
      </c>
      <c r="C2375" s="2" t="s">
        <v>171</v>
      </c>
      <c r="D2375" s="2" t="s">
        <v>122</v>
      </c>
      <c r="E2375" s="2" t="s">
        <v>8054</v>
      </c>
      <c r="F2375" s="2">
        <v>396</v>
      </c>
      <c r="G2375" s="2" t="s">
        <v>2159</v>
      </c>
      <c r="H2375" s="2">
        <v>8</v>
      </c>
      <c r="I2375" s="2" t="s">
        <v>3451</v>
      </c>
      <c r="J2375" s="2">
        <v>243</v>
      </c>
      <c r="K2375" s="2" t="s">
        <v>2160</v>
      </c>
      <c r="L2375" s="2" t="s">
        <v>2145</v>
      </c>
      <c r="M2375" s="3">
        <v>40337</v>
      </c>
      <c r="N2375" s="2" t="s">
        <v>3452</v>
      </c>
      <c r="O2375" s="2" t="s">
        <v>107</v>
      </c>
      <c r="P2375" s="2" t="s">
        <v>107</v>
      </c>
      <c r="Q2375" s="2" t="str">
        <f>"297-E/10"</f>
        <v>297-E/10</v>
      </c>
      <c r="R2375" s="2" t="s">
        <v>7917</v>
      </c>
      <c r="S2375" s="2" t="s">
        <v>7917</v>
      </c>
      <c r="T2375" s="2">
        <v>1</v>
      </c>
      <c r="U2375" s="2" t="s">
        <v>79</v>
      </c>
      <c r="V2375" s="2">
        <v>1</v>
      </c>
      <c r="W2375" s="2" t="s">
        <v>80</v>
      </c>
      <c r="X2375" s="2">
        <v>1</v>
      </c>
      <c r="Y2375" s="2" t="s">
        <v>81</v>
      </c>
      <c r="Z2375" s="2">
        <v>1</v>
      </c>
      <c r="AA2375" s="2" t="s">
        <v>82</v>
      </c>
      <c r="AB2375" s="2">
        <v>1</v>
      </c>
      <c r="AC2375" s="2" t="s">
        <v>178</v>
      </c>
      <c r="AD2375" s="3">
        <v>40335</v>
      </c>
      <c r="AE2375" s="4">
        <v>0.5625</v>
      </c>
      <c r="AF2375" s="2"/>
      <c r="AG2375" s="2"/>
      <c r="AH2375" s="2">
        <v>2</v>
      </c>
      <c r="AI2375" s="2" t="s">
        <v>84</v>
      </c>
      <c r="AJ2375" s="2">
        <v>9</v>
      </c>
      <c r="AK2375" s="2" t="s">
        <v>103</v>
      </c>
      <c r="AL2375" s="2">
        <v>11</v>
      </c>
      <c r="AM2375" s="2" t="s">
        <v>137</v>
      </c>
      <c r="AN2375" s="2" t="s">
        <v>987</v>
      </c>
      <c r="AO2375" s="5">
        <v>42370</v>
      </c>
      <c r="AP2375" s="2">
        <v>11</v>
      </c>
      <c r="AQ2375" s="2" t="s">
        <v>82</v>
      </c>
      <c r="AR2375" s="2"/>
      <c r="AS2375" s="2"/>
      <c r="AT2375" s="2" t="s">
        <v>8055</v>
      </c>
      <c r="AU2375" s="2"/>
      <c r="AV2375" s="2">
        <v>1</v>
      </c>
      <c r="AW2375" s="2"/>
      <c r="AX2375" s="2"/>
      <c r="AY2375" s="2">
        <v>41</v>
      </c>
      <c r="AZ2375" s="2" t="s">
        <v>82</v>
      </c>
      <c r="BA2375" s="2">
        <v>41</v>
      </c>
      <c r="BB2375" s="2" t="s">
        <v>82</v>
      </c>
      <c r="BC2375" s="2">
        <v>41</v>
      </c>
      <c r="BD2375" s="2" t="s">
        <v>82</v>
      </c>
      <c r="BE2375" s="2">
        <v>39</v>
      </c>
      <c r="BF2375" s="2" t="s">
        <v>440</v>
      </c>
      <c r="BG2375" s="2" t="s">
        <v>7920</v>
      </c>
      <c r="BH2375" s="2"/>
      <c r="BI2375" s="4">
        <v>0.58333333333333337</v>
      </c>
      <c r="BJ2375" s="2">
        <v>13</v>
      </c>
      <c r="BK2375" s="2" t="s">
        <v>91</v>
      </c>
      <c r="BL2375" s="2" t="s">
        <v>185</v>
      </c>
      <c r="BM2375" s="2">
        <v>241</v>
      </c>
      <c r="BN2375" s="2" t="s">
        <v>82</v>
      </c>
      <c r="BO2375" s="2"/>
      <c r="BP2375" s="2">
        <v>33</v>
      </c>
      <c r="BQ2375" s="2" t="s">
        <v>361</v>
      </c>
      <c r="BR2375" s="2" t="s">
        <v>1739</v>
      </c>
      <c r="BS2375" s="3">
        <v>40337</v>
      </c>
      <c r="BT2375" s="4">
        <v>0.31583333333333335</v>
      </c>
    </row>
    <row r="2376" spans="1:72" x14ac:dyDescent="0.25">
      <c r="A2376" s="2">
        <v>3480</v>
      </c>
      <c r="B2376" s="2">
        <v>2010</v>
      </c>
      <c r="C2376" s="2" t="s">
        <v>171</v>
      </c>
      <c r="D2376" s="2" t="s">
        <v>122</v>
      </c>
      <c r="E2376" s="2" t="s">
        <v>8056</v>
      </c>
      <c r="F2376" s="2">
        <v>389</v>
      </c>
      <c r="G2376" s="2" t="s">
        <v>1819</v>
      </c>
      <c r="H2376" s="2">
        <v>4</v>
      </c>
      <c r="I2376" s="2" t="s">
        <v>173</v>
      </c>
      <c r="J2376" s="2">
        <v>399</v>
      </c>
      <c r="K2376" s="2" t="s">
        <v>1820</v>
      </c>
      <c r="L2376" s="2" t="s">
        <v>1821</v>
      </c>
      <c r="M2376" s="3">
        <v>40337</v>
      </c>
      <c r="N2376" s="2" t="s">
        <v>2621</v>
      </c>
      <c r="O2376" s="2"/>
      <c r="P2376" s="2"/>
      <c r="Q2376" s="2" t="str">
        <f>"299-E/10"</f>
        <v>299-E/10</v>
      </c>
      <c r="R2376" s="2" t="s">
        <v>1035</v>
      </c>
      <c r="S2376" s="2" t="s">
        <v>7967</v>
      </c>
      <c r="T2376" s="2">
        <v>1</v>
      </c>
      <c r="U2376" s="2" t="s">
        <v>79</v>
      </c>
      <c r="V2376" s="2">
        <v>1</v>
      </c>
      <c r="W2376" s="2" t="s">
        <v>80</v>
      </c>
      <c r="X2376" s="2">
        <v>1</v>
      </c>
      <c r="Y2376" s="2" t="s">
        <v>81</v>
      </c>
      <c r="Z2376" s="2">
        <v>1</v>
      </c>
      <c r="AA2376" s="2" t="s">
        <v>82</v>
      </c>
      <c r="AB2376" s="2">
        <v>1</v>
      </c>
      <c r="AC2376" s="2" t="s">
        <v>178</v>
      </c>
      <c r="AD2376" s="3">
        <v>40335</v>
      </c>
      <c r="AE2376" s="4">
        <v>0.40277777777777773</v>
      </c>
      <c r="AF2376" s="2"/>
      <c r="AG2376" s="2"/>
      <c r="AH2376" s="2">
        <v>2</v>
      </c>
      <c r="AI2376" s="2" t="s">
        <v>84</v>
      </c>
      <c r="AJ2376" s="2">
        <v>9</v>
      </c>
      <c r="AK2376" s="2" t="s">
        <v>103</v>
      </c>
      <c r="AL2376" s="2">
        <v>14</v>
      </c>
      <c r="AM2376" s="2" t="s">
        <v>216</v>
      </c>
      <c r="AN2376" s="2"/>
      <c r="AO2376" s="2" t="s">
        <v>7984</v>
      </c>
      <c r="AP2376" s="2">
        <v>11</v>
      </c>
      <c r="AQ2376" s="2" t="s">
        <v>82</v>
      </c>
      <c r="AR2376" s="2"/>
      <c r="AS2376" s="2"/>
      <c r="AT2376" s="2" t="s">
        <v>8057</v>
      </c>
      <c r="AU2376" s="2"/>
      <c r="AV2376" s="2">
        <v>1</v>
      </c>
      <c r="AW2376" s="2"/>
      <c r="AX2376" s="2"/>
      <c r="AY2376" s="2">
        <v>41</v>
      </c>
      <c r="AZ2376" s="2" t="s">
        <v>82</v>
      </c>
      <c r="BA2376" s="2">
        <v>41</v>
      </c>
      <c r="BB2376" s="2" t="s">
        <v>82</v>
      </c>
      <c r="BC2376" s="2">
        <v>41</v>
      </c>
      <c r="BD2376" s="2" t="s">
        <v>82</v>
      </c>
      <c r="BE2376" s="2">
        <v>39</v>
      </c>
      <c r="BF2376" s="2" t="s">
        <v>440</v>
      </c>
      <c r="BG2376" s="2" t="s">
        <v>7986</v>
      </c>
      <c r="BH2376" s="4">
        <v>0.38541666666666669</v>
      </c>
      <c r="BI2376" s="4">
        <v>0.20833333333333334</v>
      </c>
      <c r="BJ2376" s="2">
        <v>172</v>
      </c>
      <c r="BK2376" s="2" t="s">
        <v>843</v>
      </c>
      <c r="BL2376" s="2" t="s">
        <v>7971</v>
      </c>
      <c r="BM2376" s="2">
        <v>13</v>
      </c>
      <c r="BN2376" s="2" t="s">
        <v>91</v>
      </c>
      <c r="BO2376" s="2" t="s">
        <v>112</v>
      </c>
      <c r="BP2376" s="2">
        <v>112</v>
      </c>
      <c r="BQ2376" s="2" t="s">
        <v>110</v>
      </c>
      <c r="BR2376" s="2" t="s">
        <v>111</v>
      </c>
      <c r="BS2376" s="3">
        <v>40337</v>
      </c>
      <c r="BT2376" s="4">
        <v>0.31865740740740739</v>
      </c>
    </row>
    <row r="2377" spans="1:72" x14ac:dyDescent="0.25">
      <c r="A2377" s="2">
        <v>3481</v>
      </c>
      <c r="B2377" s="2">
        <v>2010</v>
      </c>
      <c r="C2377" s="2" t="s">
        <v>171</v>
      </c>
      <c r="D2377" s="2" t="s">
        <v>122</v>
      </c>
      <c r="E2377" s="2" t="s">
        <v>8058</v>
      </c>
      <c r="F2377" s="2">
        <v>396</v>
      </c>
      <c r="G2377" s="2" t="s">
        <v>2159</v>
      </c>
      <c r="H2377" s="2">
        <v>8</v>
      </c>
      <c r="I2377" s="2" t="s">
        <v>3451</v>
      </c>
      <c r="J2377" s="2">
        <v>243</v>
      </c>
      <c r="K2377" s="2" t="s">
        <v>2160</v>
      </c>
      <c r="L2377" s="2" t="s">
        <v>2145</v>
      </c>
      <c r="M2377" s="3">
        <v>40337</v>
      </c>
      <c r="N2377" s="2" t="s">
        <v>3452</v>
      </c>
      <c r="O2377" s="2" t="s">
        <v>107</v>
      </c>
      <c r="P2377" s="2" t="s">
        <v>107</v>
      </c>
      <c r="Q2377" s="2" t="str">
        <f>"297-E/10"</f>
        <v>297-E/10</v>
      </c>
      <c r="R2377" s="2" t="s">
        <v>7917</v>
      </c>
      <c r="S2377" s="2" t="s">
        <v>7917</v>
      </c>
      <c r="T2377" s="2">
        <v>1</v>
      </c>
      <c r="U2377" s="2" t="s">
        <v>79</v>
      </c>
      <c r="V2377" s="2">
        <v>1</v>
      </c>
      <c r="W2377" s="2" t="s">
        <v>80</v>
      </c>
      <c r="X2377" s="2">
        <v>1</v>
      </c>
      <c r="Y2377" s="2" t="s">
        <v>81</v>
      </c>
      <c r="Z2377" s="2">
        <v>1</v>
      </c>
      <c r="AA2377" s="2" t="s">
        <v>82</v>
      </c>
      <c r="AB2377" s="2">
        <v>1</v>
      </c>
      <c r="AC2377" s="2" t="s">
        <v>178</v>
      </c>
      <c r="AD2377" s="3">
        <v>40335</v>
      </c>
      <c r="AE2377" s="4">
        <v>0.5625</v>
      </c>
      <c r="AF2377" s="2"/>
      <c r="AG2377" s="2"/>
      <c r="AH2377" s="2">
        <v>2</v>
      </c>
      <c r="AI2377" s="2" t="s">
        <v>84</v>
      </c>
      <c r="AJ2377" s="2">
        <v>9</v>
      </c>
      <c r="AK2377" s="2" t="s">
        <v>103</v>
      </c>
      <c r="AL2377" s="2">
        <v>11</v>
      </c>
      <c r="AM2377" s="2" t="s">
        <v>137</v>
      </c>
      <c r="AN2377" s="2" t="s">
        <v>987</v>
      </c>
      <c r="AO2377" s="5">
        <v>42370</v>
      </c>
      <c r="AP2377" s="2">
        <v>11</v>
      </c>
      <c r="AQ2377" s="2" t="s">
        <v>82</v>
      </c>
      <c r="AR2377" s="2"/>
      <c r="AS2377" s="2"/>
      <c r="AT2377" s="2" t="s">
        <v>8059</v>
      </c>
      <c r="AU2377" s="2"/>
      <c r="AV2377" s="2">
        <v>1</v>
      </c>
      <c r="AW2377" s="2"/>
      <c r="AX2377" s="2"/>
      <c r="AY2377" s="2">
        <v>41</v>
      </c>
      <c r="AZ2377" s="2" t="s">
        <v>82</v>
      </c>
      <c r="BA2377" s="2">
        <v>41</v>
      </c>
      <c r="BB2377" s="2" t="s">
        <v>82</v>
      </c>
      <c r="BC2377" s="2">
        <v>41</v>
      </c>
      <c r="BD2377" s="2" t="s">
        <v>82</v>
      </c>
      <c r="BE2377" s="2">
        <v>39</v>
      </c>
      <c r="BF2377" s="2" t="s">
        <v>440</v>
      </c>
      <c r="BG2377" s="2" t="s">
        <v>7920</v>
      </c>
      <c r="BH2377" s="2"/>
      <c r="BI2377" s="4">
        <v>0.58333333333333337</v>
      </c>
      <c r="BJ2377" s="2">
        <v>13</v>
      </c>
      <c r="BK2377" s="2" t="s">
        <v>91</v>
      </c>
      <c r="BL2377" s="2" t="s">
        <v>185</v>
      </c>
      <c r="BM2377" s="2">
        <v>241</v>
      </c>
      <c r="BN2377" s="2" t="s">
        <v>82</v>
      </c>
      <c r="BO2377" s="2"/>
      <c r="BP2377" s="2">
        <v>33</v>
      </c>
      <c r="BQ2377" s="2" t="s">
        <v>361</v>
      </c>
      <c r="BR2377" s="2" t="s">
        <v>1739</v>
      </c>
      <c r="BS2377" s="3">
        <v>40337</v>
      </c>
      <c r="BT2377" s="4">
        <v>0.48851851851851852</v>
      </c>
    </row>
    <row r="2378" spans="1:72" x14ac:dyDescent="0.25">
      <c r="A2378" s="2">
        <v>3483</v>
      </c>
      <c r="B2378" s="2">
        <v>2010</v>
      </c>
      <c r="C2378" s="2" t="s">
        <v>147</v>
      </c>
      <c r="D2378" s="2" t="s">
        <v>73</v>
      </c>
      <c r="E2378" s="2"/>
      <c r="F2378" s="2">
        <v>1</v>
      </c>
      <c r="G2378" s="2" t="s">
        <v>82</v>
      </c>
      <c r="H2378" s="2">
        <v>1</v>
      </c>
      <c r="I2378" s="2" t="s">
        <v>82</v>
      </c>
      <c r="J2378" s="2">
        <v>1</v>
      </c>
      <c r="K2378" s="2" t="s">
        <v>107</v>
      </c>
      <c r="L2378" s="2" t="s">
        <v>107</v>
      </c>
      <c r="M2378" s="3">
        <v>40337</v>
      </c>
      <c r="N2378" s="2"/>
      <c r="O2378" s="2"/>
      <c r="P2378" s="2"/>
      <c r="Q2378" s="2" t="str">
        <f>""</f>
        <v/>
      </c>
      <c r="R2378" s="2"/>
      <c r="S2378" s="2"/>
      <c r="T2378" s="2">
        <v>2</v>
      </c>
      <c r="U2378" s="2" t="s">
        <v>123</v>
      </c>
      <c r="V2378" s="2">
        <v>1</v>
      </c>
      <c r="W2378" s="2" t="s">
        <v>80</v>
      </c>
      <c r="X2378" s="2">
        <v>12</v>
      </c>
      <c r="Y2378" s="2" t="s">
        <v>148</v>
      </c>
      <c r="Z2378" s="2">
        <v>1</v>
      </c>
      <c r="AA2378" s="2" t="s">
        <v>82</v>
      </c>
      <c r="AB2378" s="2">
        <v>9</v>
      </c>
      <c r="AC2378" s="2" t="s">
        <v>124</v>
      </c>
      <c r="AD2378" s="3">
        <v>40336</v>
      </c>
      <c r="AE2378" s="2"/>
      <c r="AF2378" s="3">
        <v>40337</v>
      </c>
      <c r="AG2378" s="4">
        <v>0.50347222222222221</v>
      </c>
      <c r="AH2378" s="2">
        <v>3</v>
      </c>
      <c r="AI2378" s="2" t="s">
        <v>214</v>
      </c>
      <c r="AJ2378" s="2">
        <v>17</v>
      </c>
      <c r="AK2378" s="2" t="s">
        <v>309</v>
      </c>
      <c r="AL2378" s="2">
        <v>23</v>
      </c>
      <c r="AM2378" s="2" t="s">
        <v>251</v>
      </c>
      <c r="AN2378" s="2"/>
      <c r="AO2378" s="2"/>
      <c r="AP2378" s="2">
        <v>11</v>
      </c>
      <c r="AQ2378" s="2" t="s">
        <v>82</v>
      </c>
      <c r="AR2378" s="2"/>
      <c r="AS2378" s="2"/>
      <c r="AT2378" s="2" t="s">
        <v>8060</v>
      </c>
      <c r="AU2378" s="2"/>
      <c r="AV2378" s="2"/>
      <c r="AW2378" s="2"/>
      <c r="AX2378" s="2"/>
      <c r="AY2378" s="2">
        <v>70</v>
      </c>
      <c r="AZ2378" s="2" t="s">
        <v>236</v>
      </c>
      <c r="BA2378" s="2">
        <v>41</v>
      </c>
      <c r="BB2378" s="2" t="s">
        <v>82</v>
      </c>
      <c r="BC2378" s="2">
        <v>41</v>
      </c>
      <c r="BD2378" s="2" t="s">
        <v>82</v>
      </c>
      <c r="BE2378" s="2">
        <v>41</v>
      </c>
      <c r="BF2378" s="2" t="s">
        <v>82</v>
      </c>
      <c r="BG2378" s="2"/>
      <c r="BH2378" s="2"/>
      <c r="BI2378" s="2"/>
      <c r="BJ2378" s="2">
        <v>241</v>
      </c>
      <c r="BK2378" s="2" t="s">
        <v>82</v>
      </c>
      <c r="BL2378" s="2"/>
      <c r="BM2378" s="2">
        <v>241</v>
      </c>
      <c r="BN2378" s="2" t="s">
        <v>82</v>
      </c>
      <c r="BO2378" s="2"/>
      <c r="BP2378" s="2">
        <v>241</v>
      </c>
      <c r="BQ2378" s="2" t="s">
        <v>82</v>
      </c>
      <c r="BR2378" s="2"/>
      <c r="BS2378" s="3">
        <v>40337</v>
      </c>
      <c r="BT2378" s="4">
        <v>0.55569444444444438</v>
      </c>
    </row>
    <row r="2379" spans="1:72" x14ac:dyDescent="0.25">
      <c r="A2379" s="2">
        <v>3485</v>
      </c>
      <c r="B2379" s="2">
        <v>2010</v>
      </c>
      <c r="C2379" s="2" t="s">
        <v>171</v>
      </c>
      <c r="D2379" s="2" t="s">
        <v>73</v>
      </c>
      <c r="E2379" s="2"/>
      <c r="F2379" s="2">
        <v>571</v>
      </c>
      <c r="G2379" s="2" t="s">
        <v>8061</v>
      </c>
      <c r="H2379" s="2">
        <v>47</v>
      </c>
      <c r="I2379" s="2" t="s">
        <v>1409</v>
      </c>
      <c r="J2379" s="2">
        <v>119</v>
      </c>
      <c r="K2379" s="2" t="s">
        <v>325</v>
      </c>
      <c r="L2379" s="2" t="s">
        <v>326</v>
      </c>
      <c r="M2379" s="3">
        <v>40337</v>
      </c>
      <c r="N2379" s="2" t="s">
        <v>3905</v>
      </c>
      <c r="O2379" s="2" t="s">
        <v>8062</v>
      </c>
      <c r="P2379" s="2" t="s">
        <v>8063</v>
      </c>
      <c r="Q2379" s="2" t="str">
        <f>""</f>
        <v/>
      </c>
      <c r="R2379" s="2"/>
      <c r="S2379" s="2"/>
      <c r="T2379" s="2">
        <v>1</v>
      </c>
      <c r="U2379" s="2" t="s">
        <v>79</v>
      </c>
      <c r="V2379" s="2">
        <v>3</v>
      </c>
      <c r="W2379" s="2" t="s">
        <v>225</v>
      </c>
      <c r="X2379" s="2">
        <v>2</v>
      </c>
      <c r="Y2379" s="2" t="s">
        <v>136</v>
      </c>
      <c r="Z2379" s="2">
        <v>1</v>
      </c>
      <c r="AA2379" s="2" t="s">
        <v>82</v>
      </c>
      <c r="AB2379" s="2">
        <v>9</v>
      </c>
      <c r="AC2379" s="2" t="s">
        <v>124</v>
      </c>
      <c r="AD2379" s="2"/>
      <c r="AE2379" s="2"/>
      <c r="AF2379" s="3">
        <v>40337</v>
      </c>
      <c r="AG2379" s="4">
        <v>0.60763888888888895</v>
      </c>
      <c r="AH2379" s="2">
        <v>6</v>
      </c>
      <c r="AI2379" s="2" t="s">
        <v>197</v>
      </c>
      <c r="AJ2379" s="2">
        <v>47</v>
      </c>
      <c r="AK2379" s="2" t="s">
        <v>250</v>
      </c>
      <c r="AL2379" s="2">
        <v>23</v>
      </c>
      <c r="AM2379" s="2" t="s">
        <v>251</v>
      </c>
      <c r="AN2379" s="2"/>
      <c r="AO2379" s="2" t="s">
        <v>8064</v>
      </c>
      <c r="AP2379" s="2">
        <v>11</v>
      </c>
      <c r="AQ2379" s="2" t="s">
        <v>82</v>
      </c>
      <c r="AR2379" s="2"/>
      <c r="AS2379" s="2"/>
      <c r="AT2379" s="2" t="s">
        <v>8065</v>
      </c>
      <c r="AU2379" s="2"/>
      <c r="AV2379" s="2"/>
      <c r="AW2379" s="2"/>
      <c r="AX2379" s="2"/>
      <c r="AY2379" s="2">
        <v>41</v>
      </c>
      <c r="AZ2379" s="2" t="s">
        <v>82</v>
      </c>
      <c r="BA2379" s="2">
        <v>41</v>
      </c>
      <c r="BB2379" s="2" t="s">
        <v>82</v>
      </c>
      <c r="BC2379" s="2">
        <v>41</v>
      </c>
      <c r="BD2379" s="2" t="s">
        <v>82</v>
      </c>
      <c r="BE2379" s="2">
        <v>41</v>
      </c>
      <c r="BF2379" s="2" t="s">
        <v>82</v>
      </c>
      <c r="BG2379" s="2"/>
      <c r="BH2379" s="2"/>
      <c r="BI2379" s="2"/>
      <c r="BJ2379" s="2">
        <v>241</v>
      </c>
      <c r="BK2379" s="2" t="s">
        <v>82</v>
      </c>
      <c r="BL2379" s="2"/>
      <c r="BM2379" s="2">
        <v>241</v>
      </c>
      <c r="BN2379" s="2" t="s">
        <v>82</v>
      </c>
      <c r="BO2379" s="2"/>
      <c r="BP2379" s="2">
        <v>241</v>
      </c>
      <c r="BQ2379" s="2" t="s">
        <v>82</v>
      </c>
      <c r="BR2379" s="2"/>
      <c r="BS2379" s="3">
        <v>40337</v>
      </c>
      <c r="BT2379" s="4">
        <v>0.57663194444444443</v>
      </c>
    </row>
    <row r="2380" spans="1:72" x14ac:dyDescent="0.25">
      <c r="A2380" s="2">
        <v>3487</v>
      </c>
      <c r="B2380" s="2">
        <v>2010</v>
      </c>
      <c r="C2380" s="2" t="s">
        <v>121</v>
      </c>
      <c r="D2380" s="2" t="s">
        <v>122</v>
      </c>
      <c r="E2380" s="2"/>
      <c r="F2380" s="2">
        <v>1</v>
      </c>
      <c r="G2380" s="2" t="s">
        <v>82</v>
      </c>
      <c r="H2380" s="2">
        <v>1</v>
      </c>
      <c r="I2380" s="2" t="s">
        <v>82</v>
      </c>
      <c r="J2380" s="2">
        <v>1</v>
      </c>
      <c r="K2380" s="2" t="s">
        <v>107</v>
      </c>
      <c r="L2380" s="2" t="s">
        <v>107</v>
      </c>
      <c r="M2380" s="3">
        <v>40337</v>
      </c>
      <c r="N2380" s="2"/>
      <c r="O2380" s="2"/>
      <c r="P2380" s="2"/>
      <c r="Q2380" s="2" t="str">
        <f>""</f>
        <v/>
      </c>
      <c r="R2380" s="2"/>
      <c r="S2380" s="2"/>
      <c r="T2380" s="2">
        <v>2</v>
      </c>
      <c r="U2380" s="2" t="s">
        <v>123</v>
      </c>
      <c r="V2380" s="2">
        <v>1</v>
      </c>
      <c r="W2380" s="2" t="s">
        <v>80</v>
      </c>
      <c r="X2380" s="2">
        <v>11</v>
      </c>
      <c r="Y2380" s="2" t="s">
        <v>1920</v>
      </c>
      <c r="Z2380" s="2">
        <v>10</v>
      </c>
      <c r="AA2380" s="2" t="s">
        <v>236</v>
      </c>
      <c r="AB2380" s="2">
        <v>9</v>
      </c>
      <c r="AC2380" s="2" t="s">
        <v>124</v>
      </c>
      <c r="AD2380" s="3">
        <v>40337</v>
      </c>
      <c r="AE2380" s="4">
        <v>0.60069444444444442</v>
      </c>
      <c r="AF2380" s="2"/>
      <c r="AG2380" s="2"/>
      <c r="AH2380" s="2">
        <v>4</v>
      </c>
      <c r="AI2380" s="2" t="s">
        <v>125</v>
      </c>
      <c r="AJ2380" s="2">
        <v>29</v>
      </c>
      <c r="AK2380" s="2" t="s">
        <v>227</v>
      </c>
      <c r="AL2380" s="2">
        <v>25</v>
      </c>
      <c r="AM2380" s="2" t="s">
        <v>3073</v>
      </c>
      <c r="AN2380" s="2" t="s">
        <v>8066</v>
      </c>
      <c r="AO2380" s="2" t="s">
        <v>3299</v>
      </c>
      <c r="AP2380" s="2">
        <v>11</v>
      </c>
      <c r="AQ2380" s="2" t="s">
        <v>82</v>
      </c>
      <c r="AR2380" s="2" t="s">
        <v>8067</v>
      </c>
      <c r="AS2380" s="2"/>
      <c r="AT2380" s="2" t="s">
        <v>8068</v>
      </c>
      <c r="AU2380" s="2"/>
      <c r="AV2380" s="2"/>
      <c r="AW2380" s="2"/>
      <c r="AX2380" s="2"/>
      <c r="AY2380" s="2">
        <v>41</v>
      </c>
      <c r="AZ2380" s="2" t="s">
        <v>82</v>
      </c>
      <c r="BA2380" s="2">
        <v>41</v>
      </c>
      <c r="BB2380" s="2" t="s">
        <v>82</v>
      </c>
      <c r="BC2380" s="2">
        <v>41</v>
      </c>
      <c r="BD2380" s="2" t="s">
        <v>82</v>
      </c>
      <c r="BE2380" s="2">
        <v>43</v>
      </c>
      <c r="BF2380" s="2" t="s">
        <v>220</v>
      </c>
      <c r="BG2380" s="2" t="s">
        <v>82</v>
      </c>
      <c r="BH2380" s="4">
        <v>0.59027777777777779</v>
      </c>
      <c r="BI2380" s="2"/>
      <c r="BJ2380" s="2">
        <v>13</v>
      </c>
      <c r="BK2380" s="2" t="s">
        <v>91</v>
      </c>
      <c r="BL2380" s="2" t="s">
        <v>185</v>
      </c>
      <c r="BM2380" s="2">
        <v>241</v>
      </c>
      <c r="BN2380" s="2" t="s">
        <v>82</v>
      </c>
      <c r="BO2380" s="2" t="s">
        <v>3299</v>
      </c>
      <c r="BP2380" s="2">
        <v>13</v>
      </c>
      <c r="BQ2380" s="2" t="s">
        <v>91</v>
      </c>
      <c r="BR2380" s="2" t="s">
        <v>828</v>
      </c>
      <c r="BS2380" s="3">
        <v>40337</v>
      </c>
      <c r="BT2380" s="4">
        <v>0.62292824074074071</v>
      </c>
    </row>
    <row r="2381" spans="1:72" x14ac:dyDescent="0.25">
      <c r="A2381" s="2">
        <v>3488</v>
      </c>
      <c r="B2381" s="2">
        <v>2010</v>
      </c>
      <c r="C2381" s="2" t="s">
        <v>147</v>
      </c>
      <c r="D2381" s="2" t="s">
        <v>73</v>
      </c>
      <c r="E2381" s="2"/>
      <c r="F2381" s="2">
        <v>1</v>
      </c>
      <c r="G2381" s="2" t="s">
        <v>82</v>
      </c>
      <c r="H2381" s="2">
        <v>1</v>
      </c>
      <c r="I2381" s="2" t="s">
        <v>82</v>
      </c>
      <c r="J2381" s="2">
        <v>1</v>
      </c>
      <c r="K2381" s="2" t="s">
        <v>107</v>
      </c>
      <c r="L2381" s="2" t="s">
        <v>107</v>
      </c>
      <c r="M2381" s="3">
        <v>40337</v>
      </c>
      <c r="N2381" s="2" t="s">
        <v>82</v>
      </c>
      <c r="O2381" s="2" t="s">
        <v>82</v>
      </c>
      <c r="P2381" s="2" t="s">
        <v>82</v>
      </c>
      <c r="Q2381" s="2" t="str">
        <f>"AP 0006/2010"</f>
        <v>AP 0006/2010</v>
      </c>
      <c r="R2381" s="2" t="s">
        <v>82</v>
      </c>
      <c r="S2381" s="2" t="s">
        <v>82</v>
      </c>
      <c r="T2381" s="2">
        <v>2</v>
      </c>
      <c r="U2381" s="2" t="s">
        <v>123</v>
      </c>
      <c r="V2381" s="2">
        <v>1</v>
      </c>
      <c r="W2381" s="2" t="s">
        <v>80</v>
      </c>
      <c r="X2381" s="2">
        <v>12</v>
      </c>
      <c r="Y2381" s="2" t="s">
        <v>148</v>
      </c>
      <c r="Z2381" s="2">
        <v>1</v>
      </c>
      <c r="AA2381" s="2" t="s">
        <v>82</v>
      </c>
      <c r="AB2381" s="2">
        <v>9</v>
      </c>
      <c r="AC2381" s="2" t="s">
        <v>124</v>
      </c>
      <c r="AD2381" s="3">
        <v>40337</v>
      </c>
      <c r="AE2381" s="2"/>
      <c r="AF2381" s="3">
        <v>40337</v>
      </c>
      <c r="AG2381" s="4">
        <v>0.58333333333333337</v>
      </c>
      <c r="AH2381" s="2">
        <v>5</v>
      </c>
      <c r="AI2381" s="2" t="s">
        <v>274</v>
      </c>
      <c r="AJ2381" s="2">
        <v>45</v>
      </c>
      <c r="AK2381" s="2" t="s">
        <v>834</v>
      </c>
      <c r="AL2381" s="2">
        <v>9</v>
      </c>
      <c r="AM2381" s="2" t="s">
        <v>259</v>
      </c>
      <c r="AN2381" s="2"/>
      <c r="AO2381" s="2" t="s">
        <v>8069</v>
      </c>
      <c r="AP2381" s="2">
        <v>11</v>
      </c>
      <c r="AQ2381" s="2" t="s">
        <v>82</v>
      </c>
      <c r="AR2381" s="2" t="s">
        <v>82</v>
      </c>
      <c r="AS2381" s="2" t="s">
        <v>82</v>
      </c>
      <c r="AT2381" s="2" t="s">
        <v>8070</v>
      </c>
      <c r="AU2381" s="2"/>
      <c r="AV2381" s="2"/>
      <c r="AW2381" s="2"/>
      <c r="AX2381" s="2"/>
      <c r="AY2381" s="2">
        <v>70</v>
      </c>
      <c r="AZ2381" s="2" t="s">
        <v>236</v>
      </c>
      <c r="BA2381" s="2">
        <v>41</v>
      </c>
      <c r="BB2381" s="2" t="s">
        <v>82</v>
      </c>
      <c r="BC2381" s="2">
        <v>41</v>
      </c>
      <c r="BD2381" s="2" t="s">
        <v>82</v>
      </c>
      <c r="BE2381" s="2">
        <v>41</v>
      </c>
      <c r="BF2381" s="2" t="s">
        <v>82</v>
      </c>
      <c r="BG2381" s="2" t="s">
        <v>82</v>
      </c>
      <c r="BH2381" s="2"/>
      <c r="BI2381" s="2"/>
      <c r="BJ2381" s="2">
        <v>241</v>
      </c>
      <c r="BK2381" s="2" t="s">
        <v>82</v>
      </c>
      <c r="BL2381" s="2" t="s">
        <v>82</v>
      </c>
      <c r="BM2381" s="2">
        <v>241</v>
      </c>
      <c r="BN2381" s="2" t="s">
        <v>82</v>
      </c>
      <c r="BO2381" s="2" t="s">
        <v>82</v>
      </c>
      <c r="BP2381" s="2">
        <v>241</v>
      </c>
      <c r="BQ2381" s="2" t="s">
        <v>82</v>
      </c>
      <c r="BR2381" s="2" t="s">
        <v>82</v>
      </c>
      <c r="BS2381" s="3">
        <v>40337</v>
      </c>
      <c r="BT2381" s="4">
        <v>0.66902777777777789</v>
      </c>
    </row>
    <row r="2382" spans="1:72" x14ac:dyDescent="0.25">
      <c r="A2382" s="2">
        <v>3489</v>
      </c>
      <c r="B2382" s="2">
        <v>2010</v>
      </c>
      <c r="C2382" s="2" t="s">
        <v>819</v>
      </c>
      <c r="D2382" s="2" t="s">
        <v>73</v>
      </c>
      <c r="E2382" s="2"/>
      <c r="F2382" s="2">
        <v>1</v>
      </c>
      <c r="G2382" s="2" t="s">
        <v>82</v>
      </c>
      <c r="H2382" s="2">
        <v>1</v>
      </c>
      <c r="I2382" s="2" t="s">
        <v>82</v>
      </c>
      <c r="J2382" s="2">
        <v>1</v>
      </c>
      <c r="K2382" s="2" t="s">
        <v>107</v>
      </c>
      <c r="L2382" s="2" t="s">
        <v>107</v>
      </c>
      <c r="M2382" s="3">
        <v>40337</v>
      </c>
      <c r="N2382" s="2"/>
      <c r="O2382" s="2"/>
      <c r="P2382" s="2"/>
      <c r="Q2382" s="2" t="str">
        <f>"AP 0008/2010"</f>
        <v>AP 0008/2010</v>
      </c>
      <c r="R2382" s="2"/>
      <c r="S2382" s="2"/>
      <c r="T2382" s="2">
        <v>1</v>
      </c>
      <c r="U2382" s="2" t="s">
        <v>79</v>
      </c>
      <c r="V2382" s="2">
        <v>1</v>
      </c>
      <c r="W2382" s="2" t="s">
        <v>80</v>
      </c>
      <c r="X2382" s="2">
        <v>1</v>
      </c>
      <c r="Y2382" s="2" t="s">
        <v>81</v>
      </c>
      <c r="Z2382" s="2">
        <v>1</v>
      </c>
      <c r="AA2382" s="2" t="s">
        <v>82</v>
      </c>
      <c r="AB2382" s="2">
        <v>9</v>
      </c>
      <c r="AC2382" s="2" t="s">
        <v>124</v>
      </c>
      <c r="AD2382" s="3">
        <v>40337</v>
      </c>
      <c r="AE2382" s="4">
        <v>0.41666666666666669</v>
      </c>
      <c r="AF2382" s="2"/>
      <c r="AG2382" s="2"/>
      <c r="AH2382" s="2">
        <v>5</v>
      </c>
      <c r="AI2382" s="2" t="s">
        <v>274</v>
      </c>
      <c r="AJ2382" s="2">
        <v>37</v>
      </c>
      <c r="AK2382" s="2" t="s">
        <v>497</v>
      </c>
      <c r="AL2382" s="2">
        <v>12</v>
      </c>
      <c r="AM2382" s="2" t="s">
        <v>86</v>
      </c>
      <c r="AN2382" s="2" t="s">
        <v>7727</v>
      </c>
      <c r="AO2382" s="2" t="s">
        <v>8071</v>
      </c>
      <c r="AP2382" s="2">
        <v>11</v>
      </c>
      <c r="AQ2382" s="2" t="s">
        <v>82</v>
      </c>
      <c r="AR2382" s="2"/>
      <c r="AS2382" s="2"/>
      <c r="AT2382" s="2" t="s">
        <v>8072</v>
      </c>
      <c r="AU2382" s="2"/>
      <c r="AV2382" s="2"/>
      <c r="AW2382" s="2"/>
      <c r="AX2382" s="2"/>
      <c r="AY2382" s="2">
        <v>41</v>
      </c>
      <c r="AZ2382" s="2" t="s">
        <v>82</v>
      </c>
      <c r="BA2382" s="2">
        <v>41</v>
      </c>
      <c r="BB2382" s="2" t="s">
        <v>82</v>
      </c>
      <c r="BC2382" s="2">
        <v>41</v>
      </c>
      <c r="BD2382" s="2" t="s">
        <v>82</v>
      </c>
      <c r="BE2382" s="2">
        <v>13</v>
      </c>
      <c r="BF2382" s="2" t="s">
        <v>108</v>
      </c>
      <c r="BG2382" s="2">
        <v>1751</v>
      </c>
      <c r="BH2382" s="4">
        <v>0.40972222222222227</v>
      </c>
      <c r="BI2382" s="4">
        <v>0.44444444444444442</v>
      </c>
      <c r="BJ2382" s="2">
        <v>13</v>
      </c>
      <c r="BK2382" s="2" t="s">
        <v>91</v>
      </c>
      <c r="BL2382" s="2" t="s">
        <v>8073</v>
      </c>
      <c r="BM2382" s="2">
        <v>241</v>
      </c>
      <c r="BN2382" s="2" t="s">
        <v>82</v>
      </c>
      <c r="BO2382" s="2" t="s">
        <v>82</v>
      </c>
      <c r="BP2382" s="2">
        <v>13</v>
      </c>
      <c r="BQ2382" s="2" t="s">
        <v>91</v>
      </c>
      <c r="BR2382" s="2" t="s">
        <v>170</v>
      </c>
      <c r="BS2382" s="3">
        <v>40337</v>
      </c>
      <c r="BT2382" s="4">
        <v>0.6715740740740741</v>
      </c>
    </row>
    <row r="2383" spans="1:72" x14ac:dyDescent="0.25">
      <c r="A2383" s="2">
        <v>3490</v>
      </c>
      <c r="B2383" s="2">
        <v>2010</v>
      </c>
      <c r="C2383" s="2" t="s">
        <v>764</v>
      </c>
      <c r="D2383" s="2" t="s">
        <v>73</v>
      </c>
      <c r="E2383" s="2"/>
      <c r="F2383" s="2">
        <v>425</v>
      </c>
      <c r="G2383" s="2" t="s">
        <v>286</v>
      </c>
      <c r="H2383" s="2">
        <v>39</v>
      </c>
      <c r="I2383" s="2" t="s">
        <v>1117</v>
      </c>
      <c r="J2383" s="2">
        <v>310</v>
      </c>
      <c r="K2383" s="2" t="s">
        <v>288</v>
      </c>
      <c r="L2383" s="2" t="s">
        <v>289</v>
      </c>
      <c r="M2383" s="3">
        <v>40337</v>
      </c>
      <c r="N2383" s="2" t="s">
        <v>2049</v>
      </c>
      <c r="O2383" s="2" t="s">
        <v>7695</v>
      </c>
      <c r="P2383" s="2" t="s">
        <v>1919</v>
      </c>
      <c r="Q2383" s="2" t="str">
        <f>"04/09"</f>
        <v>04/09</v>
      </c>
      <c r="R2383" s="2" t="s">
        <v>480</v>
      </c>
      <c r="S2383" s="2" t="s">
        <v>480</v>
      </c>
      <c r="T2383" s="2">
        <v>1</v>
      </c>
      <c r="U2383" s="2" t="s">
        <v>79</v>
      </c>
      <c r="V2383" s="2">
        <v>3</v>
      </c>
      <c r="W2383" s="2" t="s">
        <v>225</v>
      </c>
      <c r="X2383" s="2">
        <v>6</v>
      </c>
      <c r="Y2383" s="2" t="s">
        <v>249</v>
      </c>
      <c r="Z2383" s="2">
        <v>1</v>
      </c>
      <c r="AA2383" s="2" t="s">
        <v>82</v>
      </c>
      <c r="AB2383" s="2">
        <v>9</v>
      </c>
      <c r="AC2383" s="2" t="s">
        <v>124</v>
      </c>
      <c r="AD2383" s="2"/>
      <c r="AE2383" s="2"/>
      <c r="AF2383" s="2"/>
      <c r="AG2383" s="2"/>
      <c r="AH2383" s="2">
        <v>4</v>
      </c>
      <c r="AI2383" s="2" t="s">
        <v>125</v>
      </c>
      <c r="AJ2383" s="2">
        <v>26</v>
      </c>
      <c r="AK2383" s="2" t="s">
        <v>293</v>
      </c>
      <c r="AL2383" s="2">
        <v>23</v>
      </c>
      <c r="AM2383" s="2" t="s">
        <v>251</v>
      </c>
      <c r="AN2383" s="2"/>
      <c r="AO2383" s="2" t="s">
        <v>8074</v>
      </c>
      <c r="AP2383" s="2">
        <v>11</v>
      </c>
      <c r="AQ2383" s="2" t="s">
        <v>82</v>
      </c>
      <c r="AR2383" s="2"/>
      <c r="AS2383" s="2"/>
      <c r="AT2383" s="2" t="s">
        <v>8075</v>
      </c>
      <c r="AU2383" s="2"/>
      <c r="AV2383" s="2"/>
      <c r="AW2383" s="2"/>
      <c r="AX2383" s="2"/>
      <c r="AY2383" s="2">
        <v>1</v>
      </c>
      <c r="AZ2383" s="2" t="s">
        <v>107</v>
      </c>
      <c r="BA2383" s="2">
        <v>1</v>
      </c>
      <c r="BB2383" s="2" t="s">
        <v>107</v>
      </c>
      <c r="BC2383" s="2">
        <v>1</v>
      </c>
      <c r="BD2383" s="2" t="s">
        <v>107</v>
      </c>
      <c r="BE2383" s="2">
        <v>1</v>
      </c>
      <c r="BF2383" s="2" t="s">
        <v>107</v>
      </c>
      <c r="BG2383" s="2"/>
      <c r="BH2383" s="2"/>
      <c r="BI2383" s="2"/>
      <c r="BJ2383" s="2">
        <v>242</v>
      </c>
      <c r="BK2383" s="2" t="s">
        <v>107</v>
      </c>
      <c r="BL2383" s="2"/>
      <c r="BM2383" s="2">
        <v>242</v>
      </c>
      <c r="BN2383" s="2" t="s">
        <v>107</v>
      </c>
      <c r="BO2383" s="2"/>
      <c r="BP2383" s="2">
        <v>242</v>
      </c>
      <c r="BQ2383" s="2" t="s">
        <v>107</v>
      </c>
      <c r="BR2383" s="2"/>
      <c r="BS2383" s="3">
        <v>40337</v>
      </c>
      <c r="BT2383" s="4">
        <v>0.68442129629629633</v>
      </c>
    </row>
    <row r="2384" spans="1:72" x14ac:dyDescent="0.25">
      <c r="A2384" s="2">
        <v>3491</v>
      </c>
      <c r="B2384" s="2">
        <v>2010</v>
      </c>
      <c r="C2384" s="2" t="s">
        <v>93</v>
      </c>
      <c r="D2384" s="2" t="s">
        <v>73</v>
      </c>
      <c r="E2384" s="2"/>
      <c r="F2384" s="2">
        <v>140</v>
      </c>
      <c r="G2384" s="2" t="s">
        <v>8076</v>
      </c>
      <c r="H2384" s="2">
        <v>123</v>
      </c>
      <c r="I2384" s="2" t="s">
        <v>8077</v>
      </c>
      <c r="J2384" s="2">
        <v>156</v>
      </c>
      <c r="K2384" s="2" t="s">
        <v>8078</v>
      </c>
      <c r="L2384" s="2" t="s">
        <v>8079</v>
      </c>
      <c r="M2384" s="3">
        <v>40337</v>
      </c>
      <c r="N2384" s="2" t="s">
        <v>8080</v>
      </c>
      <c r="O2384" s="2" t="s">
        <v>8081</v>
      </c>
      <c r="P2384" s="2" t="s">
        <v>8082</v>
      </c>
      <c r="Q2384" s="2" t="str">
        <f>"AP-0029/10"</f>
        <v>AP-0029/10</v>
      </c>
      <c r="R2384" s="2" t="s">
        <v>8083</v>
      </c>
      <c r="S2384" s="2"/>
      <c r="T2384" s="2">
        <v>1</v>
      </c>
      <c r="U2384" s="2" t="s">
        <v>79</v>
      </c>
      <c r="V2384" s="2">
        <v>1</v>
      </c>
      <c r="W2384" s="2" t="s">
        <v>80</v>
      </c>
      <c r="X2384" s="2">
        <v>1</v>
      </c>
      <c r="Y2384" s="2" t="s">
        <v>81</v>
      </c>
      <c r="Z2384" s="2">
        <v>1</v>
      </c>
      <c r="AA2384" s="2" t="s">
        <v>82</v>
      </c>
      <c r="AB2384" s="2">
        <v>2</v>
      </c>
      <c r="AC2384" s="2" t="s">
        <v>102</v>
      </c>
      <c r="AD2384" s="3">
        <v>40337</v>
      </c>
      <c r="AE2384" s="4">
        <v>0.62152777777777779</v>
      </c>
      <c r="AF2384" s="2"/>
      <c r="AG2384" s="2"/>
      <c r="AH2384" s="2">
        <v>6</v>
      </c>
      <c r="AI2384" s="2" t="s">
        <v>197</v>
      </c>
      <c r="AJ2384" s="2">
        <v>60</v>
      </c>
      <c r="AK2384" s="2" t="s">
        <v>543</v>
      </c>
      <c r="AL2384" s="2">
        <v>11</v>
      </c>
      <c r="AM2384" s="2" t="s">
        <v>137</v>
      </c>
      <c r="AN2384" s="2" t="s">
        <v>82</v>
      </c>
      <c r="AO2384" s="2" t="s">
        <v>8084</v>
      </c>
      <c r="AP2384" s="2">
        <v>11</v>
      </c>
      <c r="AQ2384" s="2" t="s">
        <v>82</v>
      </c>
      <c r="AR2384" s="2" t="s">
        <v>82</v>
      </c>
      <c r="AS2384" s="2" t="s">
        <v>82</v>
      </c>
      <c r="AT2384" s="2" t="s">
        <v>8085</v>
      </c>
      <c r="AU2384" s="2"/>
      <c r="AV2384" s="2"/>
      <c r="AW2384" s="2"/>
      <c r="AX2384" s="2"/>
      <c r="AY2384" s="2">
        <v>41</v>
      </c>
      <c r="AZ2384" s="2" t="s">
        <v>82</v>
      </c>
      <c r="BA2384" s="2">
        <v>41</v>
      </c>
      <c r="BB2384" s="2" t="s">
        <v>82</v>
      </c>
      <c r="BC2384" s="2">
        <v>41</v>
      </c>
      <c r="BD2384" s="2" t="s">
        <v>82</v>
      </c>
      <c r="BE2384" s="2">
        <v>13</v>
      </c>
      <c r="BF2384" s="2" t="s">
        <v>108</v>
      </c>
      <c r="BG2384" s="2" t="s">
        <v>8086</v>
      </c>
      <c r="BH2384" s="2"/>
      <c r="BI2384" s="4">
        <v>0.63194444444444442</v>
      </c>
      <c r="BJ2384" s="2">
        <v>13</v>
      </c>
      <c r="BK2384" s="2" t="s">
        <v>91</v>
      </c>
      <c r="BL2384" s="2" t="s">
        <v>895</v>
      </c>
      <c r="BM2384" s="2">
        <v>241</v>
      </c>
      <c r="BN2384" s="2" t="s">
        <v>82</v>
      </c>
      <c r="BO2384" s="2" t="s">
        <v>82</v>
      </c>
      <c r="BP2384" s="2">
        <v>13</v>
      </c>
      <c r="BQ2384" s="2" t="s">
        <v>91</v>
      </c>
      <c r="BR2384" s="2" t="s">
        <v>185</v>
      </c>
      <c r="BS2384" s="3">
        <v>40337</v>
      </c>
      <c r="BT2384" s="4">
        <v>0.69387731481481474</v>
      </c>
    </row>
    <row r="2385" spans="1:72" x14ac:dyDescent="0.25">
      <c r="A2385" s="2">
        <v>3494</v>
      </c>
      <c r="B2385" s="2">
        <v>2010</v>
      </c>
      <c r="C2385" s="2" t="s">
        <v>806</v>
      </c>
      <c r="D2385" s="2" t="s">
        <v>73</v>
      </c>
      <c r="E2385" s="2"/>
      <c r="F2385" s="2">
        <v>20</v>
      </c>
      <c r="G2385" s="2" t="s">
        <v>2532</v>
      </c>
      <c r="H2385" s="2">
        <v>99</v>
      </c>
      <c r="I2385" s="2" t="s">
        <v>6285</v>
      </c>
      <c r="J2385" s="2">
        <v>29</v>
      </c>
      <c r="K2385" s="2" t="s">
        <v>2533</v>
      </c>
      <c r="L2385" s="2" t="s">
        <v>2534</v>
      </c>
      <c r="M2385" s="3">
        <v>40337</v>
      </c>
      <c r="N2385" s="2" t="s">
        <v>8087</v>
      </c>
      <c r="O2385" s="2" t="s">
        <v>8088</v>
      </c>
      <c r="P2385" s="2" t="s">
        <v>8089</v>
      </c>
      <c r="Q2385" s="2" t="str">
        <f>"S/D"</f>
        <v>S/D</v>
      </c>
      <c r="R2385" s="2" t="s">
        <v>107</v>
      </c>
      <c r="S2385" s="2" t="s">
        <v>107</v>
      </c>
      <c r="T2385" s="2">
        <v>1</v>
      </c>
      <c r="U2385" s="2" t="s">
        <v>79</v>
      </c>
      <c r="V2385" s="2">
        <v>3</v>
      </c>
      <c r="W2385" s="2" t="s">
        <v>225</v>
      </c>
      <c r="X2385" s="2">
        <v>6</v>
      </c>
      <c r="Y2385" s="2" t="s">
        <v>249</v>
      </c>
      <c r="Z2385" s="2">
        <v>1</v>
      </c>
      <c r="AA2385" s="2" t="s">
        <v>82</v>
      </c>
      <c r="AB2385" s="2">
        <v>9</v>
      </c>
      <c r="AC2385" s="2" t="s">
        <v>124</v>
      </c>
      <c r="AD2385" s="2"/>
      <c r="AE2385" s="2"/>
      <c r="AF2385" s="3">
        <v>40337</v>
      </c>
      <c r="AG2385" s="4">
        <v>0.41666666666666669</v>
      </c>
      <c r="AH2385" s="2">
        <v>7</v>
      </c>
      <c r="AI2385" s="2" t="s">
        <v>801</v>
      </c>
      <c r="AJ2385" s="2">
        <v>3</v>
      </c>
      <c r="AK2385" s="2" t="s">
        <v>802</v>
      </c>
      <c r="AL2385" s="2">
        <v>23</v>
      </c>
      <c r="AM2385" s="2" t="s">
        <v>251</v>
      </c>
      <c r="AN2385" s="2" t="s">
        <v>107</v>
      </c>
      <c r="AO2385" s="2" t="s">
        <v>8090</v>
      </c>
      <c r="AP2385" s="2">
        <v>11</v>
      </c>
      <c r="AQ2385" s="2" t="s">
        <v>82</v>
      </c>
      <c r="AR2385" s="2" t="s">
        <v>107</v>
      </c>
      <c r="AS2385" s="2" t="s">
        <v>107</v>
      </c>
      <c r="AT2385" s="2" t="s">
        <v>8091</v>
      </c>
      <c r="AU2385" s="2"/>
      <c r="AV2385" s="2"/>
      <c r="AW2385" s="2"/>
      <c r="AX2385" s="2"/>
      <c r="AY2385" s="2">
        <v>1</v>
      </c>
      <c r="AZ2385" s="2" t="s">
        <v>107</v>
      </c>
      <c r="BA2385" s="2">
        <v>1</v>
      </c>
      <c r="BB2385" s="2" t="s">
        <v>107</v>
      </c>
      <c r="BC2385" s="2">
        <v>1</v>
      </c>
      <c r="BD2385" s="2" t="s">
        <v>107</v>
      </c>
      <c r="BE2385" s="2">
        <v>1</v>
      </c>
      <c r="BF2385" s="2" t="s">
        <v>107</v>
      </c>
      <c r="BG2385" s="2" t="s">
        <v>107</v>
      </c>
      <c r="BH2385" s="2"/>
      <c r="BI2385" s="2"/>
      <c r="BJ2385" s="2">
        <v>242</v>
      </c>
      <c r="BK2385" s="2" t="s">
        <v>107</v>
      </c>
      <c r="BL2385" s="2" t="s">
        <v>107</v>
      </c>
      <c r="BM2385" s="2">
        <v>242</v>
      </c>
      <c r="BN2385" s="2" t="s">
        <v>107</v>
      </c>
      <c r="BO2385" s="2" t="s">
        <v>107</v>
      </c>
      <c r="BP2385" s="2">
        <v>242</v>
      </c>
      <c r="BQ2385" s="2" t="s">
        <v>107</v>
      </c>
      <c r="BR2385" s="2" t="s">
        <v>107</v>
      </c>
      <c r="BS2385" s="3">
        <v>40337</v>
      </c>
      <c r="BT2385" s="4">
        <v>0.78800925925925924</v>
      </c>
    </row>
    <row r="2386" spans="1:72" x14ac:dyDescent="0.25">
      <c r="A2386" s="2">
        <v>3495</v>
      </c>
      <c r="B2386" s="2">
        <v>2010</v>
      </c>
      <c r="C2386" s="2" t="s">
        <v>171</v>
      </c>
      <c r="D2386" s="2" t="s">
        <v>122</v>
      </c>
      <c r="E2386" s="2"/>
      <c r="F2386" s="2">
        <v>233</v>
      </c>
      <c r="G2386" s="2" t="s">
        <v>3858</v>
      </c>
      <c r="H2386" s="2">
        <v>17</v>
      </c>
      <c r="I2386" s="2" t="s">
        <v>3602</v>
      </c>
      <c r="J2386" s="2">
        <v>316</v>
      </c>
      <c r="K2386" s="2" t="s">
        <v>574</v>
      </c>
      <c r="L2386" s="2" t="s">
        <v>575</v>
      </c>
      <c r="M2386" s="3">
        <v>40337</v>
      </c>
      <c r="N2386" s="2" t="s">
        <v>3674</v>
      </c>
      <c r="O2386" s="2" t="s">
        <v>8039</v>
      </c>
      <c r="P2386" s="2">
        <v>9934</v>
      </c>
      <c r="Q2386" s="2" t="str">
        <f>"347 E/09"</f>
        <v>347 E/09</v>
      </c>
      <c r="R2386" s="2"/>
      <c r="S2386" s="2" t="s">
        <v>5194</v>
      </c>
      <c r="T2386" s="2">
        <v>1</v>
      </c>
      <c r="U2386" s="2" t="s">
        <v>79</v>
      </c>
      <c r="V2386" s="2">
        <v>1</v>
      </c>
      <c r="W2386" s="2" t="s">
        <v>80</v>
      </c>
      <c r="X2386" s="2">
        <v>7</v>
      </c>
      <c r="Y2386" s="2" t="s">
        <v>1964</v>
      </c>
      <c r="Z2386" s="2">
        <v>10</v>
      </c>
      <c r="AA2386" s="2" t="s">
        <v>236</v>
      </c>
      <c r="AB2386" s="2">
        <v>1</v>
      </c>
      <c r="AC2386" s="2" t="s">
        <v>178</v>
      </c>
      <c r="AD2386" s="3">
        <v>40337</v>
      </c>
      <c r="AE2386" s="4">
        <v>0.72916666666666663</v>
      </c>
      <c r="AF2386" s="2"/>
      <c r="AG2386" s="2"/>
      <c r="AH2386" s="2">
        <v>2</v>
      </c>
      <c r="AI2386" s="2" t="s">
        <v>84</v>
      </c>
      <c r="AJ2386" s="2">
        <v>6</v>
      </c>
      <c r="AK2386" s="2" t="s">
        <v>453</v>
      </c>
      <c r="AL2386" s="2">
        <v>23</v>
      </c>
      <c r="AM2386" s="2" t="s">
        <v>251</v>
      </c>
      <c r="AN2386" s="2" t="s">
        <v>8092</v>
      </c>
      <c r="AO2386" s="2" t="s">
        <v>1394</v>
      </c>
      <c r="AP2386" s="2">
        <v>11</v>
      </c>
      <c r="AQ2386" s="2" t="s">
        <v>82</v>
      </c>
      <c r="AR2386" s="2"/>
      <c r="AS2386" s="2"/>
      <c r="AT2386" s="2" t="s">
        <v>8093</v>
      </c>
      <c r="AU2386" s="2"/>
      <c r="AV2386" s="2">
        <v>1</v>
      </c>
      <c r="AW2386" s="2"/>
      <c r="AX2386" s="2"/>
      <c r="AY2386" s="2">
        <v>42</v>
      </c>
      <c r="AZ2386" s="2" t="s">
        <v>182</v>
      </c>
      <c r="BA2386" s="2">
        <v>70</v>
      </c>
      <c r="BB2386" s="2" t="s">
        <v>236</v>
      </c>
      <c r="BC2386" s="2">
        <v>70</v>
      </c>
      <c r="BD2386" s="2" t="s">
        <v>236</v>
      </c>
      <c r="BE2386" s="2">
        <v>41</v>
      </c>
      <c r="BF2386" s="2" t="s">
        <v>82</v>
      </c>
      <c r="BG2386" s="2"/>
      <c r="BH2386" s="2"/>
      <c r="BI2386" s="2"/>
      <c r="BJ2386" s="2">
        <v>241</v>
      </c>
      <c r="BK2386" s="2" t="s">
        <v>82</v>
      </c>
      <c r="BL2386" s="2"/>
      <c r="BM2386" s="2">
        <v>241</v>
      </c>
      <c r="BN2386" s="2" t="s">
        <v>82</v>
      </c>
      <c r="BO2386" s="2"/>
      <c r="BP2386" s="2">
        <v>241</v>
      </c>
      <c r="BQ2386" s="2" t="s">
        <v>82</v>
      </c>
      <c r="BR2386" s="2"/>
      <c r="BS2386" s="3">
        <v>40337</v>
      </c>
      <c r="BT2386" s="4">
        <v>0.79189814814814818</v>
      </c>
    </row>
    <row r="2387" spans="1:72" x14ac:dyDescent="0.25">
      <c r="A2387" s="2">
        <v>3496</v>
      </c>
      <c r="B2387" s="2">
        <v>2010</v>
      </c>
      <c r="C2387" s="2" t="s">
        <v>121</v>
      </c>
      <c r="D2387" s="2" t="s">
        <v>122</v>
      </c>
      <c r="E2387" s="2" t="s">
        <v>8094</v>
      </c>
      <c r="F2387" s="2">
        <v>1</v>
      </c>
      <c r="G2387" s="2" t="s">
        <v>82</v>
      </c>
      <c r="H2387" s="2">
        <v>1</v>
      </c>
      <c r="I2387" s="2" t="s">
        <v>82</v>
      </c>
      <c r="J2387" s="2">
        <v>1</v>
      </c>
      <c r="K2387" s="2" t="s">
        <v>107</v>
      </c>
      <c r="L2387" s="2" t="s">
        <v>107</v>
      </c>
      <c r="M2387" s="3">
        <v>40337</v>
      </c>
      <c r="N2387" s="2"/>
      <c r="O2387" s="2"/>
      <c r="P2387" s="2"/>
      <c r="Q2387" s="2" t="str">
        <f>""</f>
        <v/>
      </c>
      <c r="R2387" s="2"/>
      <c r="S2387" s="2"/>
      <c r="T2387" s="2">
        <v>2</v>
      </c>
      <c r="U2387" s="2" t="s">
        <v>123</v>
      </c>
      <c r="V2387" s="2">
        <v>1</v>
      </c>
      <c r="W2387" s="2" t="s">
        <v>80</v>
      </c>
      <c r="X2387" s="2">
        <v>11</v>
      </c>
      <c r="Y2387" s="2" t="s">
        <v>1920</v>
      </c>
      <c r="Z2387" s="2">
        <v>10</v>
      </c>
      <c r="AA2387" s="2" t="s">
        <v>236</v>
      </c>
      <c r="AB2387" s="2">
        <v>9</v>
      </c>
      <c r="AC2387" s="2" t="s">
        <v>124</v>
      </c>
      <c r="AD2387" s="3">
        <v>40337</v>
      </c>
      <c r="AE2387" s="4">
        <v>0.78819444444444453</v>
      </c>
      <c r="AF2387" s="2"/>
      <c r="AG2387" s="2"/>
      <c r="AH2387" s="2">
        <v>4</v>
      </c>
      <c r="AI2387" s="2" t="s">
        <v>125</v>
      </c>
      <c r="AJ2387" s="2">
        <v>29</v>
      </c>
      <c r="AK2387" s="2" t="s">
        <v>227</v>
      </c>
      <c r="AL2387" s="2">
        <v>25</v>
      </c>
      <c r="AM2387" s="2" t="s">
        <v>3073</v>
      </c>
      <c r="AN2387" s="2" t="s">
        <v>8066</v>
      </c>
      <c r="AO2387" s="2" t="s">
        <v>3299</v>
      </c>
      <c r="AP2387" s="2">
        <v>11</v>
      </c>
      <c r="AQ2387" s="2" t="s">
        <v>82</v>
      </c>
      <c r="AR2387" s="2" t="s">
        <v>8067</v>
      </c>
      <c r="AS2387" s="2"/>
      <c r="AT2387" s="2" t="s">
        <v>8095</v>
      </c>
      <c r="AU2387" s="2"/>
      <c r="AV2387" s="2"/>
      <c r="AW2387" s="2"/>
      <c r="AX2387" s="2"/>
      <c r="AY2387" s="2">
        <v>41</v>
      </c>
      <c r="AZ2387" s="2" t="s">
        <v>82</v>
      </c>
      <c r="BA2387" s="2">
        <v>41</v>
      </c>
      <c r="BB2387" s="2" t="s">
        <v>82</v>
      </c>
      <c r="BC2387" s="2">
        <v>41</v>
      </c>
      <c r="BD2387" s="2" t="s">
        <v>82</v>
      </c>
      <c r="BE2387" s="2">
        <v>43</v>
      </c>
      <c r="BF2387" s="2" t="s">
        <v>220</v>
      </c>
      <c r="BG2387" s="2" t="s">
        <v>82</v>
      </c>
      <c r="BH2387" s="2"/>
      <c r="BI2387" s="4">
        <v>0.78819444444444453</v>
      </c>
      <c r="BJ2387" s="2">
        <v>13</v>
      </c>
      <c r="BK2387" s="2" t="s">
        <v>91</v>
      </c>
      <c r="BL2387" s="2" t="s">
        <v>828</v>
      </c>
      <c r="BM2387" s="2">
        <v>241</v>
      </c>
      <c r="BN2387" s="2" t="s">
        <v>82</v>
      </c>
      <c r="BO2387" s="2" t="s">
        <v>3299</v>
      </c>
      <c r="BP2387" s="2">
        <v>13</v>
      </c>
      <c r="BQ2387" s="2" t="s">
        <v>91</v>
      </c>
      <c r="BR2387" s="2" t="s">
        <v>185</v>
      </c>
      <c r="BS2387" s="3">
        <v>40337</v>
      </c>
      <c r="BT2387" s="4">
        <v>0.79921296296296296</v>
      </c>
    </row>
    <row r="2388" spans="1:72" x14ac:dyDescent="0.25">
      <c r="A2388" s="2">
        <v>3498</v>
      </c>
      <c r="B2388" s="2">
        <v>2010</v>
      </c>
      <c r="C2388" s="2" t="s">
        <v>72</v>
      </c>
      <c r="D2388" s="2" t="s">
        <v>73</v>
      </c>
      <c r="E2388" s="2"/>
      <c r="F2388" s="2">
        <v>52</v>
      </c>
      <c r="G2388" s="2" t="s">
        <v>2963</v>
      </c>
      <c r="H2388" s="2">
        <v>99</v>
      </c>
      <c r="I2388" s="2" t="s">
        <v>6285</v>
      </c>
      <c r="J2388" s="2">
        <v>87</v>
      </c>
      <c r="K2388" s="2" t="s">
        <v>2964</v>
      </c>
      <c r="L2388" s="2" t="s">
        <v>2534</v>
      </c>
      <c r="M2388" s="3">
        <v>40337</v>
      </c>
      <c r="N2388" s="2" t="s">
        <v>8096</v>
      </c>
      <c r="O2388" s="2"/>
      <c r="P2388" s="2"/>
      <c r="Q2388" s="2" t="str">
        <f>"020/10"</f>
        <v>020/10</v>
      </c>
      <c r="R2388" s="2"/>
      <c r="S2388" s="2" t="s">
        <v>2967</v>
      </c>
      <c r="T2388" s="2">
        <v>1</v>
      </c>
      <c r="U2388" s="2" t="s">
        <v>79</v>
      </c>
      <c r="V2388" s="2">
        <v>1</v>
      </c>
      <c r="W2388" s="2" t="s">
        <v>80</v>
      </c>
      <c r="X2388" s="2">
        <v>12</v>
      </c>
      <c r="Y2388" s="2" t="s">
        <v>148</v>
      </c>
      <c r="Z2388" s="2">
        <v>1</v>
      </c>
      <c r="AA2388" s="2" t="s">
        <v>82</v>
      </c>
      <c r="AB2388" s="2">
        <v>6</v>
      </c>
      <c r="AC2388" s="2" t="s">
        <v>83</v>
      </c>
      <c r="AD2388" s="3">
        <v>40337</v>
      </c>
      <c r="AE2388" s="2"/>
      <c r="AF2388" s="3">
        <v>40337</v>
      </c>
      <c r="AG2388" s="4">
        <v>0.77083333333333337</v>
      </c>
      <c r="AH2388" s="2">
        <v>4</v>
      </c>
      <c r="AI2388" s="2" t="s">
        <v>125</v>
      </c>
      <c r="AJ2388" s="2">
        <v>28</v>
      </c>
      <c r="AK2388" s="2" t="s">
        <v>741</v>
      </c>
      <c r="AL2388" s="2">
        <v>9</v>
      </c>
      <c r="AM2388" s="2" t="s">
        <v>259</v>
      </c>
      <c r="AN2388" s="2" t="s">
        <v>8097</v>
      </c>
      <c r="AO2388" s="2"/>
      <c r="AP2388" s="2">
        <v>11</v>
      </c>
      <c r="AQ2388" s="2" t="s">
        <v>82</v>
      </c>
      <c r="AR2388" s="2"/>
      <c r="AS2388" s="2"/>
      <c r="AT2388" s="2" t="s">
        <v>8098</v>
      </c>
      <c r="AU2388" s="2"/>
      <c r="AV2388" s="2"/>
      <c r="AW2388" s="2"/>
      <c r="AX2388" s="2"/>
      <c r="AY2388" s="2">
        <v>44</v>
      </c>
      <c r="AZ2388" s="2" t="s">
        <v>262</v>
      </c>
      <c r="BA2388" s="2">
        <v>44</v>
      </c>
      <c r="BB2388" s="2" t="s">
        <v>262</v>
      </c>
      <c r="BC2388" s="2">
        <v>44</v>
      </c>
      <c r="BD2388" s="2" t="s">
        <v>262</v>
      </c>
      <c r="BE2388" s="2">
        <v>41</v>
      </c>
      <c r="BF2388" s="2" t="s">
        <v>82</v>
      </c>
      <c r="BG2388" s="2"/>
      <c r="BH2388" s="2"/>
      <c r="BI2388" s="2"/>
      <c r="BJ2388" s="2">
        <v>241</v>
      </c>
      <c r="BK2388" s="2" t="s">
        <v>82</v>
      </c>
      <c r="BL2388" s="2"/>
      <c r="BM2388" s="2">
        <v>241</v>
      </c>
      <c r="BN2388" s="2" t="s">
        <v>82</v>
      </c>
      <c r="BO2388" s="2"/>
      <c r="BP2388" s="2">
        <v>241</v>
      </c>
      <c r="BQ2388" s="2" t="s">
        <v>82</v>
      </c>
      <c r="BR2388" s="2"/>
      <c r="BS2388" s="3">
        <v>40337</v>
      </c>
      <c r="BT2388" s="4">
        <v>0.81266203703703699</v>
      </c>
    </row>
    <row r="2389" spans="1:72" x14ac:dyDescent="0.25">
      <c r="A2389" s="2">
        <v>3499</v>
      </c>
      <c r="B2389" s="2">
        <v>2010</v>
      </c>
      <c r="C2389" s="2" t="s">
        <v>819</v>
      </c>
      <c r="D2389" s="2" t="s">
        <v>122</v>
      </c>
      <c r="E2389" s="2"/>
      <c r="F2389" s="2">
        <v>425</v>
      </c>
      <c r="G2389" s="2" t="s">
        <v>286</v>
      </c>
      <c r="H2389" s="2">
        <v>39</v>
      </c>
      <c r="I2389" s="2" t="s">
        <v>1117</v>
      </c>
      <c r="J2389" s="2">
        <v>310</v>
      </c>
      <c r="K2389" s="2" t="s">
        <v>288</v>
      </c>
      <c r="L2389" s="2" t="s">
        <v>289</v>
      </c>
      <c r="M2389" s="3">
        <v>40337</v>
      </c>
      <c r="N2389" s="2" t="s">
        <v>2049</v>
      </c>
      <c r="O2389" s="2"/>
      <c r="P2389" s="2"/>
      <c r="Q2389" s="2" t="str">
        <f>"066/10"</f>
        <v>066/10</v>
      </c>
      <c r="R2389" s="2" t="s">
        <v>822</v>
      </c>
      <c r="S2389" s="2"/>
      <c r="T2389" s="2">
        <v>1</v>
      </c>
      <c r="U2389" s="2" t="s">
        <v>79</v>
      </c>
      <c r="V2389" s="2">
        <v>1</v>
      </c>
      <c r="W2389" s="2" t="s">
        <v>80</v>
      </c>
      <c r="X2389" s="2">
        <v>1</v>
      </c>
      <c r="Y2389" s="2" t="s">
        <v>81</v>
      </c>
      <c r="Z2389" s="2">
        <v>10</v>
      </c>
      <c r="AA2389" s="2" t="s">
        <v>236</v>
      </c>
      <c r="AB2389" s="2">
        <v>9</v>
      </c>
      <c r="AC2389" s="2" t="s">
        <v>124</v>
      </c>
      <c r="AD2389" s="3">
        <v>40337</v>
      </c>
      <c r="AE2389" s="4">
        <v>0.90625</v>
      </c>
      <c r="AF2389" s="2"/>
      <c r="AG2389" s="2"/>
      <c r="AH2389" s="2">
        <v>4</v>
      </c>
      <c r="AI2389" s="2" t="s">
        <v>125</v>
      </c>
      <c r="AJ2389" s="2">
        <v>29</v>
      </c>
      <c r="AK2389" s="2" t="s">
        <v>227</v>
      </c>
      <c r="AL2389" s="2">
        <v>16</v>
      </c>
      <c r="AM2389" s="2" t="s">
        <v>392</v>
      </c>
      <c r="AN2389" s="2" t="s">
        <v>1015</v>
      </c>
      <c r="AO2389" s="2"/>
      <c r="AP2389" s="2">
        <v>12</v>
      </c>
      <c r="AQ2389" s="2" t="s">
        <v>322</v>
      </c>
      <c r="AR2389" s="2" t="s">
        <v>824</v>
      </c>
      <c r="AS2389" s="2" t="s">
        <v>825</v>
      </c>
      <c r="AT2389" s="2" t="s">
        <v>8099</v>
      </c>
      <c r="AU2389" s="2"/>
      <c r="AV2389" s="2"/>
      <c r="AW2389" s="2"/>
      <c r="AX2389" s="2"/>
      <c r="AY2389" s="2">
        <v>41</v>
      </c>
      <c r="AZ2389" s="2" t="s">
        <v>82</v>
      </c>
      <c r="BA2389" s="2">
        <v>41</v>
      </c>
      <c r="BB2389" s="2" t="s">
        <v>82</v>
      </c>
      <c r="BC2389" s="2">
        <v>51</v>
      </c>
      <c r="BD2389" s="2" t="s">
        <v>827</v>
      </c>
      <c r="BE2389" s="2">
        <v>13</v>
      </c>
      <c r="BF2389" s="2" t="s">
        <v>108</v>
      </c>
      <c r="BG2389" s="2">
        <v>1459</v>
      </c>
      <c r="BH2389" s="4">
        <v>0.88888888888888884</v>
      </c>
      <c r="BI2389" s="4">
        <v>0.92013888888888884</v>
      </c>
      <c r="BJ2389" s="2">
        <v>13</v>
      </c>
      <c r="BK2389" s="2" t="s">
        <v>91</v>
      </c>
      <c r="BL2389" s="2" t="s">
        <v>828</v>
      </c>
      <c r="BM2389" s="2">
        <v>241</v>
      </c>
      <c r="BN2389" s="2" t="s">
        <v>82</v>
      </c>
      <c r="BO2389" s="2" t="s">
        <v>82</v>
      </c>
      <c r="BP2389" s="2">
        <v>13</v>
      </c>
      <c r="BQ2389" s="2" t="s">
        <v>91</v>
      </c>
      <c r="BR2389" s="2" t="s">
        <v>185</v>
      </c>
      <c r="BS2389" s="3">
        <v>40337</v>
      </c>
      <c r="BT2389" s="4">
        <v>0.9703356481481481</v>
      </c>
    </row>
    <row r="2390" spans="1:72" x14ac:dyDescent="0.25">
      <c r="A2390" s="2">
        <v>3501</v>
      </c>
      <c r="B2390" s="2">
        <v>2010</v>
      </c>
      <c r="C2390" s="2" t="s">
        <v>72</v>
      </c>
      <c r="D2390" s="2" t="s">
        <v>73</v>
      </c>
      <c r="E2390" s="2"/>
      <c r="F2390" s="2">
        <v>3</v>
      </c>
      <c r="G2390" s="2" t="s">
        <v>1041</v>
      </c>
      <c r="H2390" s="2">
        <v>1</v>
      </c>
      <c r="I2390" s="2" t="s">
        <v>82</v>
      </c>
      <c r="J2390" s="2">
        <v>368</v>
      </c>
      <c r="K2390" s="2" t="s">
        <v>1042</v>
      </c>
      <c r="L2390" s="2" t="s">
        <v>1043</v>
      </c>
      <c r="M2390" s="3">
        <v>40338</v>
      </c>
      <c r="N2390" s="2" t="s">
        <v>82</v>
      </c>
      <c r="O2390" s="2" t="s">
        <v>82</v>
      </c>
      <c r="P2390" s="2" t="s">
        <v>82</v>
      </c>
      <c r="Q2390" s="2" t="str">
        <f>"304-E/10"</f>
        <v>304-E/10</v>
      </c>
      <c r="R2390" s="2" t="s">
        <v>78</v>
      </c>
      <c r="S2390" s="2" t="s">
        <v>78</v>
      </c>
      <c r="T2390" s="2">
        <v>1</v>
      </c>
      <c r="U2390" s="2" t="s">
        <v>79</v>
      </c>
      <c r="V2390" s="2">
        <v>1</v>
      </c>
      <c r="W2390" s="2" t="s">
        <v>80</v>
      </c>
      <c r="X2390" s="2">
        <v>12</v>
      </c>
      <c r="Y2390" s="2" t="s">
        <v>148</v>
      </c>
      <c r="Z2390" s="2">
        <v>1</v>
      </c>
      <c r="AA2390" s="2" t="s">
        <v>82</v>
      </c>
      <c r="AB2390" s="2">
        <v>6</v>
      </c>
      <c r="AC2390" s="2" t="s">
        <v>83</v>
      </c>
      <c r="AD2390" s="3">
        <v>40337</v>
      </c>
      <c r="AE2390" s="2"/>
      <c r="AF2390" s="3">
        <v>40337</v>
      </c>
      <c r="AG2390" s="4">
        <v>0.69444444444444453</v>
      </c>
      <c r="AH2390" s="2">
        <v>2</v>
      </c>
      <c r="AI2390" s="2" t="s">
        <v>84</v>
      </c>
      <c r="AJ2390" s="2">
        <v>9</v>
      </c>
      <c r="AK2390" s="2" t="s">
        <v>103</v>
      </c>
      <c r="AL2390" s="2">
        <v>17</v>
      </c>
      <c r="AM2390" s="2" t="s">
        <v>232</v>
      </c>
      <c r="AN2390" s="2" t="s">
        <v>8100</v>
      </c>
      <c r="AO2390" s="2" t="s">
        <v>8101</v>
      </c>
      <c r="AP2390" s="2">
        <v>11</v>
      </c>
      <c r="AQ2390" s="2" t="s">
        <v>82</v>
      </c>
      <c r="AR2390" s="2"/>
      <c r="AS2390" s="2"/>
      <c r="AT2390" s="2" t="s">
        <v>8102</v>
      </c>
      <c r="AU2390" s="2"/>
      <c r="AV2390" s="2"/>
      <c r="AW2390" s="2"/>
      <c r="AX2390" s="2"/>
      <c r="AY2390" s="2">
        <v>41</v>
      </c>
      <c r="AZ2390" s="2" t="s">
        <v>82</v>
      </c>
      <c r="BA2390" s="2">
        <v>41</v>
      </c>
      <c r="BB2390" s="2" t="s">
        <v>82</v>
      </c>
      <c r="BC2390" s="2">
        <v>41</v>
      </c>
      <c r="BD2390" s="2" t="s">
        <v>82</v>
      </c>
      <c r="BE2390" s="2">
        <v>31</v>
      </c>
      <c r="BF2390" s="2" t="s">
        <v>398</v>
      </c>
      <c r="BG2390" s="2"/>
      <c r="BH2390" s="4">
        <v>0.34375</v>
      </c>
      <c r="BI2390" s="2"/>
      <c r="BJ2390" s="2">
        <v>73</v>
      </c>
      <c r="BK2390" s="2" t="s">
        <v>186</v>
      </c>
      <c r="BL2390" s="2" t="s">
        <v>187</v>
      </c>
      <c r="BM2390" s="2">
        <v>241</v>
      </c>
      <c r="BN2390" s="2" t="s">
        <v>82</v>
      </c>
      <c r="BO2390" s="2" t="s">
        <v>82</v>
      </c>
      <c r="BP2390" s="2">
        <v>13</v>
      </c>
      <c r="BQ2390" s="2" t="s">
        <v>91</v>
      </c>
      <c r="BR2390" s="2" t="s">
        <v>360</v>
      </c>
      <c r="BS2390" s="3">
        <v>40338</v>
      </c>
      <c r="BT2390" s="4">
        <v>2.9629629629629627E-2</v>
      </c>
    </row>
    <row r="2391" spans="1:72" x14ac:dyDescent="0.25">
      <c r="A2391" s="2">
        <v>3502</v>
      </c>
      <c r="B2391" s="2">
        <v>2010</v>
      </c>
      <c r="C2391" s="2" t="s">
        <v>764</v>
      </c>
      <c r="D2391" s="2" t="s">
        <v>73</v>
      </c>
      <c r="E2391" s="2"/>
      <c r="F2391" s="2">
        <v>389</v>
      </c>
      <c r="G2391" s="2" t="s">
        <v>1819</v>
      </c>
      <c r="H2391" s="2">
        <v>4</v>
      </c>
      <c r="I2391" s="2" t="s">
        <v>173</v>
      </c>
      <c r="J2391" s="2">
        <v>399</v>
      </c>
      <c r="K2391" s="2" t="s">
        <v>1820</v>
      </c>
      <c r="L2391" s="2" t="s">
        <v>1821</v>
      </c>
      <c r="M2391" s="3">
        <v>40338</v>
      </c>
      <c r="N2391" s="2" t="s">
        <v>2621</v>
      </c>
      <c r="O2391" s="2" t="s">
        <v>82</v>
      </c>
      <c r="P2391" s="2" t="s">
        <v>82</v>
      </c>
      <c r="Q2391" s="2" t="str">
        <f>"306-E/10"</f>
        <v>306-E/10</v>
      </c>
      <c r="R2391" s="2" t="s">
        <v>8103</v>
      </c>
      <c r="S2391" s="2"/>
      <c r="T2391" s="2">
        <v>1</v>
      </c>
      <c r="U2391" s="2" t="s">
        <v>79</v>
      </c>
      <c r="V2391" s="2">
        <v>1</v>
      </c>
      <c r="W2391" s="2" t="s">
        <v>80</v>
      </c>
      <c r="X2391" s="2">
        <v>1</v>
      </c>
      <c r="Y2391" s="2" t="s">
        <v>81</v>
      </c>
      <c r="Z2391" s="2">
        <v>1</v>
      </c>
      <c r="AA2391" s="2" t="s">
        <v>82</v>
      </c>
      <c r="AB2391" s="2">
        <v>9</v>
      </c>
      <c r="AC2391" s="2" t="s">
        <v>124</v>
      </c>
      <c r="AD2391" s="3">
        <v>40337</v>
      </c>
      <c r="AE2391" s="4">
        <v>0.66666666666666663</v>
      </c>
      <c r="AF2391" s="2"/>
      <c r="AG2391" s="2"/>
      <c r="AH2391" s="2">
        <v>2</v>
      </c>
      <c r="AI2391" s="2" t="s">
        <v>84</v>
      </c>
      <c r="AJ2391" s="2">
        <v>9</v>
      </c>
      <c r="AK2391" s="2" t="s">
        <v>103</v>
      </c>
      <c r="AL2391" s="2">
        <v>13</v>
      </c>
      <c r="AM2391" s="2" t="s">
        <v>117</v>
      </c>
      <c r="AN2391" s="2"/>
      <c r="AO2391" s="2" t="s">
        <v>8104</v>
      </c>
      <c r="AP2391" s="2">
        <v>11</v>
      </c>
      <c r="AQ2391" s="2" t="s">
        <v>82</v>
      </c>
      <c r="AR2391" s="2"/>
      <c r="AS2391" s="2"/>
      <c r="AT2391" s="2" t="s">
        <v>8105</v>
      </c>
      <c r="AU2391" s="2"/>
      <c r="AV2391" s="2"/>
      <c r="AW2391" s="2"/>
      <c r="AX2391" s="2"/>
      <c r="AY2391" s="2">
        <v>41</v>
      </c>
      <c r="AZ2391" s="2" t="s">
        <v>82</v>
      </c>
      <c r="BA2391" s="2">
        <v>41</v>
      </c>
      <c r="BB2391" s="2" t="s">
        <v>82</v>
      </c>
      <c r="BC2391" s="2">
        <v>41</v>
      </c>
      <c r="BD2391" s="2" t="s">
        <v>82</v>
      </c>
      <c r="BE2391" s="2">
        <v>41</v>
      </c>
      <c r="BF2391" s="2" t="s">
        <v>82</v>
      </c>
      <c r="BG2391" s="2"/>
      <c r="BH2391" s="2"/>
      <c r="BI2391" s="2"/>
      <c r="BJ2391" s="2">
        <v>241</v>
      </c>
      <c r="BK2391" s="2" t="s">
        <v>82</v>
      </c>
      <c r="BL2391" s="2"/>
      <c r="BM2391" s="2">
        <v>241</v>
      </c>
      <c r="BN2391" s="2" t="s">
        <v>82</v>
      </c>
      <c r="BO2391" s="2"/>
      <c r="BP2391" s="2">
        <v>241</v>
      </c>
      <c r="BQ2391" s="2" t="s">
        <v>82</v>
      </c>
      <c r="BR2391" s="2"/>
      <c r="BS2391" s="3">
        <v>40338</v>
      </c>
      <c r="BT2391" s="4">
        <v>4.4907407407407403E-2</v>
      </c>
    </row>
    <row r="2392" spans="1:72" x14ac:dyDescent="0.25">
      <c r="A2392" s="2">
        <v>3503</v>
      </c>
      <c r="B2392" s="2">
        <v>2010</v>
      </c>
      <c r="C2392" s="2" t="s">
        <v>72</v>
      </c>
      <c r="D2392" s="2" t="s">
        <v>73</v>
      </c>
      <c r="E2392" s="2"/>
      <c r="F2392" s="2">
        <v>389</v>
      </c>
      <c r="G2392" s="2" t="s">
        <v>1819</v>
      </c>
      <c r="H2392" s="2">
        <v>4</v>
      </c>
      <c r="I2392" s="2" t="s">
        <v>173</v>
      </c>
      <c r="J2392" s="2">
        <v>399</v>
      </c>
      <c r="K2392" s="2" t="s">
        <v>1820</v>
      </c>
      <c r="L2392" s="2" t="s">
        <v>1821</v>
      </c>
      <c r="M2392" s="3">
        <v>40338</v>
      </c>
      <c r="N2392" s="2" t="s">
        <v>2549</v>
      </c>
      <c r="O2392" s="2"/>
      <c r="P2392" s="2" t="s">
        <v>107</v>
      </c>
      <c r="Q2392" s="2" t="str">
        <f>"305-E/10"</f>
        <v>305-E/10</v>
      </c>
      <c r="R2392" s="2"/>
      <c r="S2392" s="2" t="s">
        <v>116</v>
      </c>
      <c r="T2392" s="2">
        <v>1</v>
      </c>
      <c r="U2392" s="2" t="s">
        <v>79</v>
      </c>
      <c r="V2392" s="2">
        <v>1</v>
      </c>
      <c r="W2392" s="2" t="s">
        <v>80</v>
      </c>
      <c r="X2392" s="2">
        <v>12</v>
      </c>
      <c r="Y2392" s="2" t="s">
        <v>148</v>
      </c>
      <c r="Z2392" s="2">
        <v>1</v>
      </c>
      <c r="AA2392" s="2" t="s">
        <v>82</v>
      </c>
      <c r="AB2392" s="2">
        <v>6</v>
      </c>
      <c r="AC2392" s="2" t="s">
        <v>83</v>
      </c>
      <c r="AD2392" s="3">
        <v>40337</v>
      </c>
      <c r="AE2392" s="4">
        <v>0.75694444444444453</v>
      </c>
      <c r="AF2392" s="3">
        <v>40337</v>
      </c>
      <c r="AG2392" s="4">
        <v>0.83333333333333337</v>
      </c>
      <c r="AH2392" s="2">
        <v>2</v>
      </c>
      <c r="AI2392" s="2" t="s">
        <v>84</v>
      </c>
      <c r="AJ2392" s="2">
        <v>9</v>
      </c>
      <c r="AK2392" s="2" t="s">
        <v>103</v>
      </c>
      <c r="AL2392" s="2">
        <v>14</v>
      </c>
      <c r="AM2392" s="2" t="s">
        <v>216</v>
      </c>
      <c r="AN2392" s="2" t="s">
        <v>8106</v>
      </c>
      <c r="AO2392" s="2" t="s">
        <v>8107</v>
      </c>
      <c r="AP2392" s="2">
        <v>11</v>
      </c>
      <c r="AQ2392" s="2" t="s">
        <v>82</v>
      </c>
      <c r="AR2392" s="2"/>
      <c r="AS2392" s="2"/>
      <c r="AT2392" s="2" t="s">
        <v>8108</v>
      </c>
      <c r="AU2392" s="2"/>
      <c r="AV2392" s="2">
        <v>1</v>
      </c>
      <c r="AW2392" s="2"/>
      <c r="AX2392" s="2"/>
      <c r="AY2392" s="2">
        <v>69</v>
      </c>
      <c r="AZ2392" s="2" t="s">
        <v>483</v>
      </c>
      <c r="BA2392" s="2">
        <v>41</v>
      </c>
      <c r="BB2392" s="2" t="s">
        <v>82</v>
      </c>
      <c r="BC2392" s="2">
        <v>41</v>
      </c>
      <c r="BD2392" s="2" t="s">
        <v>82</v>
      </c>
      <c r="BE2392" s="2">
        <v>25</v>
      </c>
      <c r="BF2392" s="2" t="s">
        <v>358</v>
      </c>
      <c r="BG2392" s="2">
        <v>7653</v>
      </c>
      <c r="BH2392" s="2"/>
      <c r="BI2392" s="4">
        <v>0.78819444444444453</v>
      </c>
      <c r="BJ2392" s="2">
        <v>13</v>
      </c>
      <c r="BK2392" s="2" t="s">
        <v>91</v>
      </c>
      <c r="BL2392" s="2" t="s">
        <v>360</v>
      </c>
      <c r="BM2392" s="2">
        <v>242</v>
      </c>
      <c r="BN2392" s="2" t="s">
        <v>107</v>
      </c>
      <c r="BO2392" s="2"/>
      <c r="BP2392" s="2">
        <v>33</v>
      </c>
      <c r="BQ2392" s="2" t="s">
        <v>361</v>
      </c>
      <c r="BR2392" s="2" t="s">
        <v>2723</v>
      </c>
      <c r="BS2392" s="3">
        <v>40338</v>
      </c>
      <c r="BT2392" s="4">
        <v>0.19756944444444446</v>
      </c>
    </row>
    <row r="2393" spans="1:72" x14ac:dyDescent="0.25">
      <c r="A2393" s="2">
        <v>3505</v>
      </c>
      <c r="B2393" s="2">
        <v>2010</v>
      </c>
      <c r="C2393" s="2" t="s">
        <v>93</v>
      </c>
      <c r="D2393" s="2" t="s">
        <v>73</v>
      </c>
      <c r="E2393" s="2"/>
      <c r="F2393" s="2">
        <v>637</v>
      </c>
      <c r="G2393" s="2" t="s">
        <v>8109</v>
      </c>
      <c r="H2393" s="2">
        <v>124</v>
      </c>
      <c r="I2393" s="2" t="s">
        <v>8110</v>
      </c>
      <c r="J2393" s="2">
        <v>580</v>
      </c>
      <c r="K2393" s="2" t="s">
        <v>1791</v>
      </c>
      <c r="L2393" s="2" t="s">
        <v>8111</v>
      </c>
      <c r="M2393" s="3">
        <v>40338</v>
      </c>
      <c r="N2393" s="2" t="s">
        <v>8112</v>
      </c>
      <c r="O2393" s="2" t="s">
        <v>8113</v>
      </c>
      <c r="P2393" s="2" t="s">
        <v>8114</v>
      </c>
      <c r="Q2393" s="2" t="str">
        <f>"N/C"</f>
        <v>N/C</v>
      </c>
      <c r="R2393" s="2"/>
      <c r="S2393" s="2" t="s">
        <v>82</v>
      </c>
      <c r="T2393" s="2">
        <v>1</v>
      </c>
      <c r="U2393" s="2" t="s">
        <v>79</v>
      </c>
      <c r="V2393" s="2">
        <v>1</v>
      </c>
      <c r="W2393" s="2" t="s">
        <v>80</v>
      </c>
      <c r="X2393" s="2">
        <v>10</v>
      </c>
      <c r="Y2393" s="2" t="s">
        <v>226</v>
      </c>
      <c r="Z2393" s="2">
        <v>6</v>
      </c>
      <c r="AA2393" s="2" t="s">
        <v>101</v>
      </c>
      <c r="AB2393" s="2">
        <v>2</v>
      </c>
      <c r="AC2393" s="2" t="s">
        <v>102</v>
      </c>
      <c r="AD2393" s="3">
        <v>40337</v>
      </c>
      <c r="AE2393" s="4">
        <v>0.9375</v>
      </c>
      <c r="AF2393" s="2"/>
      <c r="AG2393" s="2"/>
      <c r="AH2393" s="2">
        <v>2</v>
      </c>
      <c r="AI2393" s="2" t="s">
        <v>84</v>
      </c>
      <c r="AJ2393" s="2">
        <v>9</v>
      </c>
      <c r="AK2393" s="2" t="s">
        <v>103</v>
      </c>
      <c r="AL2393" s="2">
        <v>14</v>
      </c>
      <c r="AM2393" s="2" t="s">
        <v>216</v>
      </c>
      <c r="AN2393" s="2"/>
      <c r="AO2393" s="2" t="s">
        <v>7664</v>
      </c>
      <c r="AP2393" s="2">
        <v>11</v>
      </c>
      <c r="AQ2393" s="2" t="s">
        <v>82</v>
      </c>
      <c r="AR2393" s="2"/>
      <c r="AS2393" s="2"/>
      <c r="AT2393" s="2" t="s">
        <v>8115</v>
      </c>
      <c r="AU2393" s="2">
        <v>1</v>
      </c>
      <c r="AV2393" s="2"/>
      <c r="AW2393" s="2"/>
      <c r="AX2393" s="2"/>
      <c r="AY2393" s="2">
        <v>41</v>
      </c>
      <c r="AZ2393" s="2" t="s">
        <v>82</v>
      </c>
      <c r="BA2393" s="2">
        <v>115</v>
      </c>
      <c r="BB2393" s="2" t="s">
        <v>101</v>
      </c>
      <c r="BC2393" s="2">
        <v>41</v>
      </c>
      <c r="BD2393" s="2" t="s">
        <v>82</v>
      </c>
      <c r="BE2393" s="2">
        <v>39</v>
      </c>
      <c r="BF2393" s="2" t="s">
        <v>440</v>
      </c>
      <c r="BG2393" s="2" t="s">
        <v>8116</v>
      </c>
      <c r="BH2393" s="4">
        <v>0.91666666666666663</v>
      </c>
      <c r="BI2393" s="2"/>
      <c r="BJ2393" s="2">
        <v>33</v>
      </c>
      <c r="BK2393" s="2" t="s">
        <v>361</v>
      </c>
      <c r="BL2393" s="2" t="s">
        <v>2723</v>
      </c>
      <c r="BM2393" s="2">
        <v>241</v>
      </c>
      <c r="BN2393" s="2" t="s">
        <v>82</v>
      </c>
      <c r="BO2393" s="2"/>
      <c r="BP2393" s="2">
        <v>13</v>
      </c>
      <c r="BQ2393" s="2" t="s">
        <v>91</v>
      </c>
      <c r="BR2393" s="2" t="s">
        <v>360</v>
      </c>
      <c r="BS2393" s="3">
        <v>40338</v>
      </c>
      <c r="BT2393" s="4">
        <v>0.38859953703703703</v>
      </c>
    </row>
    <row r="2394" spans="1:72" x14ac:dyDescent="0.25">
      <c r="A2394" s="2">
        <v>3506</v>
      </c>
      <c r="B2394" s="2">
        <v>2010</v>
      </c>
      <c r="C2394" s="2" t="s">
        <v>171</v>
      </c>
      <c r="D2394" s="2" t="s">
        <v>73</v>
      </c>
      <c r="E2394" s="2"/>
      <c r="F2394" s="2">
        <v>424</v>
      </c>
      <c r="G2394" s="2" t="s">
        <v>266</v>
      </c>
      <c r="H2394" s="2">
        <v>84</v>
      </c>
      <c r="I2394" s="2" t="s">
        <v>8117</v>
      </c>
      <c r="J2394" s="2">
        <v>309</v>
      </c>
      <c r="K2394" s="2" t="s">
        <v>268</v>
      </c>
      <c r="L2394" s="2" t="s">
        <v>269</v>
      </c>
      <c r="M2394" s="3">
        <v>40338</v>
      </c>
      <c r="N2394" s="2" t="s">
        <v>8118</v>
      </c>
      <c r="O2394" s="2" t="s">
        <v>8119</v>
      </c>
      <c r="P2394" s="2" t="s">
        <v>8120</v>
      </c>
      <c r="Q2394" s="2" t="str">
        <f>"0010/2010"</f>
        <v>0010/2010</v>
      </c>
      <c r="R2394" s="2"/>
      <c r="S2394" s="2" t="s">
        <v>8121</v>
      </c>
      <c r="T2394" s="2">
        <v>1</v>
      </c>
      <c r="U2394" s="2" t="s">
        <v>79</v>
      </c>
      <c r="V2394" s="2">
        <v>3</v>
      </c>
      <c r="W2394" s="2" t="s">
        <v>225</v>
      </c>
      <c r="X2394" s="2">
        <v>6</v>
      </c>
      <c r="Y2394" s="2" t="s">
        <v>249</v>
      </c>
      <c r="Z2394" s="2">
        <v>1</v>
      </c>
      <c r="AA2394" s="2" t="s">
        <v>82</v>
      </c>
      <c r="AB2394" s="2">
        <v>9</v>
      </c>
      <c r="AC2394" s="2" t="s">
        <v>124</v>
      </c>
      <c r="AD2394" s="3">
        <v>40338</v>
      </c>
      <c r="AE2394" s="2"/>
      <c r="AF2394" s="2"/>
      <c r="AG2394" s="2"/>
      <c r="AH2394" s="2">
        <v>5</v>
      </c>
      <c r="AI2394" s="2" t="s">
        <v>274</v>
      </c>
      <c r="AJ2394" s="2">
        <v>35</v>
      </c>
      <c r="AK2394" s="2" t="s">
        <v>275</v>
      </c>
      <c r="AL2394" s="2">
        <v>23</v>
      </c>
      <c r="AM2394" s="2" t="s">
        <v>251</v>
      </c>
      <c r="AN2394" s="2"/>
      <c r="AO2394" s="2" t="s">
        <v>8122</v>
      </c>
      <c r="AP2394" s="2">
        <v>11</v>
      </c>
      <c r="AQ2394" s="2" t="s">
        <v>82</v>
      </c>
      <c r="AR2394" s="2"/>
      <c r="AS2394" s="2"/>
      <c r="AT2394" s="2" t="s">
        <v>8123</v>
      </c>
      <c r="AU2394" s="2"/>
      <c r="AV2394" s="2"/>
      <c r="AW2394" s="2"/>
      <c r="AX2394" s="2"/>
      <c r="AY2394" s="2">
        <v>1</v>
      </c>
      <c r="AZ2394" s="2" t="s">
        <v>107</v>
      </c>
      <c r="BA2394" s="2">
        <v>1</v>
      </c>
      <c r="BB2394" s="2" t="s">
        <v>107</v>
      </c>
      <c r="BC2394" s="2">
        <v>1</v>
      </c>
      <c r="BD2394" s="2" t="s">
        <v>107</v>
      </c>
      <c r="BE2394" s="2">
        <v>1</v>
      </c>
      <c r="BF2394" s="2" t="s">
        <v>107</v>
      </c>
      <c r="BG2394" s="2"/>
      <c r="BH2394" s="2"/>
      <c r="BI2394" s="2"/>
      <c r="BJ2394" s="2">
        <v>242</v>
      </c>
      <c r="BK2394" s="2" t="s">
        <v>107</v>
      </c>
      <c r="BL2394" s="2"/>
      <c r="BM2394" s="2">
        <v>242</v>
      </c>
      <c r="BN2394" s="2" t="s">
        <v>107</v>
      </c>
      <c r="BO2394" s="2"/>
      <c r="BP2394" s="2">
        <v>242</v>
      </c>
      <c r="BQ2394" s="2" t="s">
        <v>107</v>
      </c>
      <c r="BR2394" s="2"/>
      <c r="BS2394" s="3">
        <v>40338</v>
      </c>
      <c r="BT2394" s="4">
        <v>0.40833333333333338</v>
      </c>
    </row>
    <row r="2395" spans="1:72" x14ac:dyDescent="0.25">
      <c r="A2395" s="2">
        <v>3508</v>
      </c>
      <c r="B2395" s="2">
        <v>2010</v>
      </c>
      <c r="C2395" s="2" t="s">
        <v>121</v>
      </c>
      <c r="D2395" s="2" t="s">
        <v>122</v>
      </c>
      <c r="E2395" s="2"/>
      <c r="F2395" s="2">
        <v>1</v>
      </c>
      <c r="G2395" s="2" t="s">
        <v>82</v>
      </c>
      <c r="H2395" s="2">
        <v>1</v>
      </c>
      <c r="I2395" s="2" t="s">
        <v>82</v>
      </c>
      <c r="J2395" s="2">
        <v>1</v>
      </c>
      <c r="K2395" s="2" t="s">
        <v>107</v>
      </c>
      <c r="L2395" s="2" t="s">
        <v>107</v>
      </c>
      <c r="M2395" s="3">
        <v>40338</v>
      </c>
      <c r="N2395" s="2"/>
      <c r="O2395" s="2"/>
      <c r="P2395" s="2"/>
      <c r="Q2395" s="2" t="str">
        <f>""</f>
        <v/>
      </c>
      <c r="R2395" s="2"/>
      <c r="S2395" s="2"/>
      <c r="T2395" s="2">
        <v>2</v>
      </c>
      <c r="U2395" s="2" t="s">
        <v>123</v>
      </c>
      <c r="V2395" s="2">
        <v>1</v>
      </c>
      <c r="W2395" s="2" t="s">
        <v>80</v>
      </c>
      <c r="X2395" s="2">
        <v>11</v>
      </c>
      <c r="Y2395" s="2" t="s">
        <v>1920</v>
      </c>
      <c r="Z2395" s="2">
        <v>10</v>
      </c>
      <c r="AA2395" s="2" t="s">
        <v>236</v>
      </c>
      <c r="AB2395" s="2">
        <v>9</v>
      </c>
      <c r="AC2395" s="2" t="s">
        <v>124</v>
      </c>
      <c r="AD2395" s="3">
        <v>40338</v>
      </c>
      <c r="AE2395" s="4">
        <v>0.47916666666666669</v>
      </c>
      <c r="AF2395" s="2"/>
      <c r="AG2395" s="2"/>
      <c r="AH2395" s="2">
        <v>5</v>
      </c>
      <c r="AI2395" s="2" t="s">
        <v>274</v>
      </c>
      <c r="AJ2395" s="2">
        <v>43</v>
      </c>
      <c r="AK2395" s="2" t="s">
        <v>918</v>
      </c>
      <c r="AL2395" s="2">
        <v>25</v>
      </c>
      <c r="AM2395" s="2" t="s">
        <v>3073</v>
      </c>
      <c r="AN2395" s="2"/>
      <c r="AO2395" s="2" t="s">
        <v>1540</v>
      </c>
      <c r="AP2395" s="2">
        <v>11</v>
      </c>
      <c r="AQ2395" s="2" t="s">
        <v>82</v>
      </c>
      <c r="AR2395" s="2"/>
      <c r="AS2395" s="2"/>
      <c r="AT2395" s="2" t="s">
        <v>8124</v>
      </c>
      <c r="AU2395" s="2"/>
      <c r="AV2395" s="2"/>
      <c r="AW2395" s="2"/>
      <c r="AX2395" s="2"/>
      <c r="AY2395" s="2">
        <v>41</v>
      </c>
      <c r="AZ2395" s="2" t="s">
        <v>82</v>
      </c>
      <c r="BA2395" s="2">
        <v>41</v>
      </c>
      <c r="BB2395" s="2" t="s">
        <v>82</v>
      </c>
      <c r="BC2395" s="2">
        <v>41</v>
      </c>
      <c r="BD2395" s="2" t="s">
        <v>82</v>
      </c>
      <c r="BE2395" s="2">
        <v>42</v>
      </c>
      <c r="BF2395" s="2" t="s">
        <v>182</v>
      </c>
      <c r="BG2395" s="2"/>
      <c r="BH2395" s="4">
        <v>0.47916666666666669</v>
      </c>
      <c r="BI2395" s="4">
        <v>0.53125</v>
      </c>
      <c r="BJ2395" s="2">
        <v>13</v>
      </c>
      <c r="BK2395" s="2" t="s">
        <v>91</v>
      </c>
      <c r="BL2395" s="2" t="s">
        <v>170</v>
      </c>
      <c r="BM2395" s="2">
        <v>241</v>
      </c>
      <c r="BN2395" s="2" t="s">
        <v>82</v>
      </c>
      <c r="BO2395" s="2"/>
      <c r="BP2395" s="2">
        <v>13</v>
      </c>
      <c r="BQ2395" s="2" t="s">
        <v>91</v>
      </c>
      <c r="BR2395" s="2" t="s">
        <v>3387</v>
      </c>
      <c r="BS2395" s="3">
        <v>40338</v>
      </c>
      <c r="BT2395" s="4">
        <v>0.56712962962962965</v>
      </c>
    </row>
    <row r="2396" spans="1:72" x14ac:dyDescent="0.25">
      <c r="A2396" s="2">
        <v>3509</v>
      </c>
      <c r="B2396" s="2">
        <v>2010</v>
      </c>
      <c r="C2396" s="2" t="s">
        <v>171</v>
      </c>
      <c r="D2396" s="2" t="s">
        <v>122</v>
      </c>
      <c r="E2396" s="2" t="s">
        <v>8125</v>
      </c>
      <c r="F2396" s="2">
        <v>233</v>
      </c>
      <c r="G2396" s="2" t="s">
        <v>3858</v>
      </c>
      <c r="H2396" s="2">
        <v>17</v>
      </c>
      <c r="I2396" s="2" t="s">
        <v>3602</v>
      </c>
      <c r="J2396" s="2">
        <v>316</v>
      </c>
      <c r="K2396" s="2" t="s">
        <v>574</v>
      </c>
      <c r="L2396" s="2" t="s">
        <v>575</v>
      </c>
      <c r="M2396" s="3">
        <v>40338</v>
      </c>
      <c r="N2396" s="2" t="s">
        <v>3674</v>
      </c>
      <c r="O2396" s="2" t="s">
        <v>8039</v>
      </c>
      <c r="P2396" s="2">
        <v>9934</v>
      </c>
      <c r="Q2396" s="2" t="str">
        <f>"347 E/09"</f>
        <v>347 E/09</v>
      </c>
      <c r="R2396" s="2" t="s">
        <v>5194</v>
      </c>
      <c r="S2396" s="2"/>
      <c r="T2396" s="2">
        <v>1</v>
      </c>
      <c r="U2396" s="2" t="s">
        <v>79</v>
      </c>
      <c r="V2396" s="2">
        <v>1</v>
      </c>
      <c r="W2396" s="2" t="s">
        <v>80</v>
      </c>
      <c r="X2396" s="2">
        <v>7</v>
      </c>
      <c r="Y2396" s="2" t="s">
        <v>1964</v>
      </c>
      <c r="Z2396" s="2">
        <v>10</v>
      </c>
      <c r="AA2396" s="2" t="s">
        <v>236</v>
      </c>
      <c r="AB2396" s="2">
        <v>1</v>
      </c>
      <c r="AC2396" s="2" t="s">
        <v>178</v>
      </c>
      <c r="AD2396" s="3">
        <v>40338</v>
      </c>
      <c r="AE2396" s="4">
        <v>0.375</v>
      </c>
      <c r="AF2396" s="2"/>
      <c r="AG2396" s="2"/>
      <c r="AH2396" s="2">
        <v>2</v>
      </c>
      <c r="AI2396" s="2" t="s">
        <v>84</v>
      </c>
      <c r="AJ2396" s="2">
        <v>6</v>
      </c>
      <c r="AK2396" s="2" t="s">
        <v>453</v>
      </c>
      <c r="AL2396" s="2">
        <v>23</v>
      </c>
      <c r="AM2396" s="2" t="s">
        <v>251</v>
      </c>
      <c r="AN2396" s="2" t="s">
        <v>8092</v>
      </c>
      <c r="AO2396" s="2" t="s">
        <v>1394</v>
      </c>
      <c r="AP2396" s="2">
        <v>11</v>
      </c>
      <c r="AQ2396" s="2" t="s">
        <v>82</v>
      </c>
      <c r="AR2396" s="2"/>
      <c r="AS2396" s="2"/>
      <c r="AT2396" s="2" t="s">
        <v>8126</v>
      </c>
      <c r="AU2396" s="2"/>
      <c r="AV2396" s="2">
        <v>1</v>
      </c>
      <c r="AW2396" s="2"/>
      <c r="AX2396" s="2"/>
      <c r="AY2396" s="2">
        <v>42</v>
      </c>
      <c r="AZ2396" s="2" t="s">
        <v>182</v>
      </c>
      <c r="BA2396" s="2">
        <v>70</v>
      </c>
      <c r="BB2396" s="2" t="s">
        <v>236</v>
      </c>
      <c r="BC2396" s="2">
        <v>70</v>
      </c>
      <c r="BD2396" s="2" t="s">
        <v>236</v>
      </c>
      <c r="BE2396" s="2">
        <v>41</v>
      </c>
      <c r="BF2396" s="2" t="s">
        <v>82</v>
      </c>
      <c r="BG2396" s="2"/>
      <c r="BH2396" s="2"/>
      <c r="BI2396" s="2"/>
      <c r="BJ2396" s="2">
        <v>241</v>
      </c>
      <c r="BK2396" s="2" t="s">
        <v>82</v>
      </c>
      <c r="BL2396" s="2"/>
      <c r="BM2396" s="2">
        <v>241</v>
      </c>
      <c r="BN2396" s="2" t="s">
        <v>82</v>
      </c>
      <c r="BO2396" s="2"/>
      <c r="BP2396" s="2">
        <v>241</v>
      </c>
      <c r="BQ2396" s="2" t="s">
        <v>82</v>
      </c>
      <c r="BR2396" s="2"/>
      <c r="BS2396" s="3">
        <v>40338</v>
      </c>
      <c r="BT2396" s="4">
        <v>0.59012731481481484</v>
      </c>
    </row>
    <row r="2397" spans="1:72" x14ac:dyDescent="0.25">
      <c r="A2397" s="2">
        <v>3510</v>
      </c>
      <c r="B2397" s="2">
        <v>2010</v>
      </c>
      <c r="C2397" s="2" t="s">
        <v>171</v>
      </c>
      <c r="D2397" s="2" t="s">
        <v>73</v>
      </c>
      <c r="E2397" s="2"/>
      <c r="F2397" s="2">
        <v>425</v>
      </c>
      <c r="G2397" s="2" t="s">
        <v>286</v>
      </c>
      <c r="H2397" s="2">
        <v>39</v>
      </c>
      <c r="I2397" s="2" t="s">
        <v>1117</v>
      </c>
      <c r="J2397" s="2">
        <v>310</v>
      </c>
      <c r="K2397" s="2" t="s">
        <v>288</v>
      </c>
      <c r="L2397" s="2" t="s">
        <v>289</v>
      </c>
      <c r="M2397" s="3">
        <v>40338</v>
      </c>
      <c r="N2397" s="2"/>
      <c r="O2397" s="2" t="s">
        <v>8127</v>
      </c>
      <c r="P2397" s="2" t="s">
        <v>8128</v>
      </c>
      <c r="Q2397" s="2" t="str">
        <f>""</f>
        <v/>
      </c>
      <c r="R2397" s="2"/>
      <c r="S2397" s="2"/>
      <c r="T2397" s="2">
        <v>1</v>
      </c>
      <c r="U2397" s="2" t="s">
        <v>79</v>
      </c>
      <c r="V2397" s="2">
        <v>3</v>
      </c>
      <c r="W2397" s="2" t="s">
        <v>225</v>
      </c>
      <c r="X2397" s="2">
        <v>6</v>
      </c>
      <c r="Y2397" s="2" t="s">
        <v>249</v>
      </c>
      <c r="Z2397" s="2">
        <v>1</v>
      </c>
      <c r="AA2397" s="2" t="s">
        <v>82</v>
      </c>
      <c r="AB2397" s="2">
        <v>9</v>
      </c>
      <c r="AC2397" s="2" t="s">
        <v>124</v>
      </c>
      <c r="AD2397" s="2"/>
      <c r="AE2397" s="2"/>
      <c r="AF2397" s="2"/>
      <c r="AG2397" s="2"/>
      <c r="AH2397" s="2">
        <v>4</v>
      </c>
      <c r="AI2397" s="2" t="s">
        <v>125</v>
      </c>
      <c r="AJ2397" s="2">
        <v>26</v>
      </c>
      <c r="AK2397" s="2" t="s">
        <v>293</v>
      </c>
      <c r="AL2397" s="2">
        <v>23</v>
      </c>
      <c r="AM2397" s="2" t="s">
        <v>251</v>
      </c>
      <c r="AN2397" s="2"/>
      <c r="AO2397" s="2" t="s">
        <v>7578</v>
      </c>
      <c r="AP2397" s="2">
        <v>11</v>
      </c>
      <c r="AQ2397" s="2" t="s">
        <v>82</v>
      </c>
      <c r="AR2397" s="2"/>
      <c r="AS2397" s="2"/>
      <c r="AT2397" s="2" t="s">
        <v>8129</v>
      </c>
      <c r="AU2397" s="2"/>
      <c r="AV2397" s="2"/>
      <c r="AW2397" s="2"/>
      <c r="AX2397" s="2"/>
      <c r="AY2397" s="2">
        <v>1</v>
      </c>
      <c r="AZ2397" s="2" t="s">
        <v>107</v>
      </c>
      <c r="BA2397" s="2">
        <v>1</v>
      </c>
      <c r="BB2397" s="2" t="s">
        <v>107</v>
      </c>
      <c r="BC2397" s="2">
        <v>1</v>
      </c>
      <c r="BD2397" s="2" t="s">
        <v>107</v>
      </c>
      <c r="BE2397" s="2">
        <v>1</v>
      </c>
      <c r="BF2397" s="2" t="s">
        <v>107</v>
      </c>
      <c r="BG2397" s="2"/>
      <c r="BH2397" s="2"/>
      <c r="BI2397" s="2"/>
      <c r="BJ2397" s="2">
        <v>242</v>
      </c>
      <c r="BK2397" s="2" t="s">
        <v>107</v>
      </c>
      <c r="BL2397" s="2"/>
      <c r="BM2397" s="2">
        <v>242</v>
      </c>
      <c r="BN2397" s="2" t="s">
        <v>107</v>
      </c>
      <c r="BO2397" s="2"/>
      <c r="BP2397" s="2">
        <v>242</v>
      </c>
      <c r="BQ2397" s="2" t="s">
        <v>107</v>
      </c>
      <c r="BR2397" s="2"/>
      <c r="BS2397" s="3">
        <v>40338</v>
      </c>
      <c r="BT2397" s="4">
        <v>0.59083333333333332</v>
      </c>
    </row>
    <row r="2398" spans="1:72" x14ac:dyDescent="0.25">
      <c r="A2398" s="2">
        <v>3511</v>
      </c>
      <c r="B2398" s="2">
        <v>2010</v>
      </c>
      <c r="C2398" s="2" t="s">
        <v>385</v>
      </c>
      <c r="D2398" s="2" t="s">
        <v>122</v>
      </c>
      <c r="E2398" s="2"/>
      <c r="F2398" s="2">
        <v>400</v>
      </c>
      <c r="G2398" s="2" t="s">
        <v>3601</v>
      </c>
      <c r="H2398" s="2">
        <v>17</v>
      </c>
      <c r="I2398" s="2" t="s">
        <v>3602</v>
      </c>
      <c r="J2398" s="2">
        <v>316</v>
      </c>
      <c r="K2398" s="2" t="s">
        <v>574</v>
      </c>
      <c r="L2398" s="2" t="s">
        <v>575</v>
      </c>
      <c r="M2398" s="3">
        <v>40338</v>
      </c>
      <c r="N2398" s="2" t="s">
        <v>6298</v>
      </c>
      <c r="O2398" s="2" t="s">
        <v>8130</v>
      </c>
      <c r="P2398" s="2">
        <v>9934</v>
      </c>
      <c r="Q2398" s="2" t="str">
        <f>""</f>
        <v/>
      </c>
      <c r="R2398" s="2"/>
      <c r="S2398" s="2"/>
      <c r="T2398" s="2">
        <v>1</v>
      </c>
      <c r="U2398" s="2" t="s">
        <v>79</v>
      </c>
      <c r="V2398" s="2">
        <v>1</v>
      </c>
      <c r="W2398" s="2" t="s">
        <v>80</v>
      </c>
      <c r="X2398" s="2">
        <v>7</v>
      </c>
      <c r="Y2398" s="2" t="s">
        <v>1964</v>
      </c>
      <c r="Z2398" s="2">
        <v>10</v>
      </c>
      <c r="AA2398" s="2" t="s">
        <v>236</v>
      </c>
      <c r="AB2398" s="2">
        <v>9</v>
      </c>
      <c r="AC2398" s="2" t="s">
        <v>124</v>
      </c>
      <c r="AD2398" s="3">
        <v>40338</v>
      </c>
      <c r="AE2398" s="4">
        <v>0.54166666666666663</v>
      </c>
      <c r="AF2398" s="2"/>
      <c r="AG2398" s="2"/>
      <c r="AH2398" s="2">
        <v>2</v>
      </c>
      <c r="AI2398" s="2" t="s">
        <v>84</v>
      </c>
      <c r="AJ2398" s="2">
        <v>12</v>
      </c>
      <c r="AK2398" s="2" t="s">
        <v>85</v>
      </c>
      <c r="AL2398" s="2">
        <v>9</v>
      </c>
      <c r="AM2398" s="2" t="s">
        <v>259</v>
      </c>
      <c r="AN2398" s="2" t="s">
        <v>8131</v>
      </c>
      <c r="AO2398" s="2"/>
      <c r="AP2398" s="2">
        <v>11</v>
      </c>
      <c r="AQ2398" s="2" t="s">
        <v>82</v>
      </c>
      <c r="AR2398" s="2"/>
      <c r="AS2398" s="2"/>
      <c r="AT2398" s="2" t="s">
        <v>8132</v>
      </c>
      <c r="AU2398" s="2">
        <v>1</v>
      </c>
      <c r="AV2398" s="2"/>
      <c r="AW2398" s="2"/>
      <c r="AX2398" s="2"/>
      <c r="AY2398" s="2">
        <v>41</v>
      </c>
      <c r="AZ2398" s="2" t="s">
        <v>82</v>
      </c>
      <c r="BA2398" s="2">
        <v>41</v>
      </c>
      <c r="BB2398" s="2" t="s">
        <v>82</v>
      </c>
      <c r="BC2398" s="2">
        <v>41</v>
      </c>
      <c r="BD2398" s="2" t="s">
        <v>82</v>
      </c>
      <c r="BE2398" s="2">
        <v>41</v>
      </c>
      <c r="BF2398" s="2" t="s">
        <v>82</v>
      </c>
      <c r="BG2398" s="2"/>
      <c r="BH2398" s="2"/>
      <c r="BI2398" s="2"/>
      <c r="BJ2398" s="2">
        <v>241</v>
      </c>
      <c r="BK2398" s="2" t="s">
        <v>82</v>
      </c>
      <c r="BL2398" s="2"/>
      <c r="BM2398" s="2">
        <v>241</v>
      </c>
      <c r="BN2398" s="2" t="s">
        <v>82</v>
      </c>
      <c r="BO2398" s="2"/>
      <c r="BP2398" s="2">
        <v>241</v>
      </c>
      <c r="BQ2398" s="2" t="s">
        <v>82</v>
      </c>
      <c r="BR2398" s="2"/>
      <c r="BS2398" s="3">
        <v>40338</v>
      </c>
      <c r="BT2398" s="4">
        <v>0.59273148148148147</v>
      </c>
    </row>
    <row r="2399" spans="1:72" x14ac:dyDescent="0.25">
      <c r="A2399" s="2">
        <v>3512</v>
      </c>
      <c r="B2399" s="2">
        <v>2010</v>
      </c>
      <c r="C2399" s="2" t="s">
        <v>121</v>
      </c>
      <c r="D2399" s="2" t="s">
        <v>122</v>
      </c>
      <c r="E2399" s="2"/>
      <c r="F2399" s="2">
        <v>1</v>
      </c>
      <c r="G2399" s="2" t="s">
        <v>82</v>
      </c>
      <c r="H2399" s="2">
        <v>1</v>
      </c>
      <c r="I2399" s="2" t="s">
        <v>82</v>
      </c>
      <c r="J2399" s="2">
        <v>1</v>
      </c>
      <c r="K2399" s="2" t="s">
        <v>107</v>
      </c>
      <c r="L2399" s="2" t="s">
        <v>107</v>
      </c>
      <c r="M2399" s="3">
        <v>40338</v>
      </c>
      <c r="N2399" s="2"/>
      <c r="O2399" s="2"/>
      <c r="P2399" s="2"/>
      <c r="Q2399" s="2" t="str">
        <f>""</f>
        <v/>
      </c>
      <c r="R2399" s="2"/>
      <c r="S2399" s="2"/>
      <c r="T2399" s="2">
        <v>2</v>
      </c>
      <c r="U2399" s="2" t="s">
        <v>123</v>
      </c>
      <c r="V2399" s="2">
        <v>1</v>
      </c>
      <c r="W2399" s="2" t="s">
        <v>80</v>
      </c>
      <c r="X2399" s="2">
        <v>11</v>
      </c>
      <c r="Y2399" s="2" t="s">
        <v>1920</v>
      </c>
      <c r="Z2399" s="2">
        <v>1</v>
      </c>
      <c r="AA2399" s="2" t="s">
        <v>82</v>
      </c>
      <c r="AB2399" s="2">
        <v>9</v>
      </c>
      <c r="AC2399" s="2" t="s">
        <v>124</v>
      </c>
      <c r="AD2399" s="3">
        <v>40338</v>
      </c>
      <c r="AE2399" s="4">
        <v>0.60416666666666663</v>
      </c>
      <c r="AF2399" s="2"/>
      <c r="AG2399" s="2"/>
      <c r="AH2399" s="2">
        <v>3</v>
      </c>
      <c r="AI2399" s="2" t="s">
        <v>214</v>
      </c>
      <c r="AJ2399" s="2">
        <v>24</v>
      </c>
      <c r="AK2399" s="2" t="s">
        <v>215</v>
      </c>
      <c r="AL2399" s="2">
        <v>10</v>
      </c>
      <c r="AM2399" s="2" t="s">
        <v>200</v>
      </c>
      <c r="AN2399" s="2" t="s">
        <v>5186</v>
      </c>
      <c r="AO2399" s="2" t="s">
        <v>82</v>
      </c>
      <c r="AP2399" s="2">
        <v>11</v>
      </c>
      <c r="AQ2399" s="2" t="s">
        <v>82</v>
      </c>
      <c r="AR2399" s="2"/>
      <c r="AS2399" s="2"/>
      <c r="AT2399" s="2" t="s">
        <v>8133</v>
      </c>
      <c r="AU2399" s="2"/>
      <c r="AV2399" s="2"/>
      <c r="AW2399" s="2"/>
      <c r="AX2399" s="2"/>
      <c r="AY2399" s="2">
        <v>41</v>
      </c>
      <c r="AZ2399" s="2" t="s">
        <v>82</v>
      </c>
      <c r="BA2399" s="2">
        <v>41</v>
      </c>
      <c r="BB2399" s="2" t="s">
        <v>82</v>
      </c>
      <c r="BC2399" s="2">
        <v>41</v>
      </c>
      <c r="BD2399" s="2" t="s">
        <v>82</v>
      </c>
      <c r="BE2399" s="2">
        <v>42</v>
      </c>
      <c r="BF2399" s="2" t="s">
        <v>182</v>
      </c>
      <c r="BG2399" s="2" t="s">
        <v>8134</v>
      </c>
      <c r="BH2399" s="4">
        <v>0.60416666666666663</v>
      </c>
      <c r="BI2399" s="4">
        <v>0.64583333333333337</v>
      </c>
      <c r="BJ2399" s="2">
        <v>13</v>
      </c>
      <c r="BK2399" s="2" t="s">
        <v>91</v>
      </c>
      <c r="BL2399" s="2" t="s">
        <v>3387</v>
      </c>
      <c r="BM2399" s="2">
        <v>241</v>
      </c>
      <c r="BN2399" s="2" t="s">
        <v>82</v>
      </c>
      <c r="BO2399" s="2"/>
      <c r="BP2399" s="2">
        <v>241</v>
      </c>
      <c r="BQ2399" s="2" t="s">
        <v>82</v>
      </c>
      <c r="BR2399" s="2" t="s">
        <v>169</v>
      </c>
      <c r="BS2399" s="3">
        <v>40338</v>
      </c>
      <c r="BT2399" s="4">
        <v>0.63585648148148144</v>
      </c>
    </row>
    <row r="2400" spans="1:72" x14ac:dyDescent="0.25">
      <c r="A2400" s="2">
        <v>3513</v>
      </c>
      <c r="B2400" s="2">
        <v>2010</v>
      </c>
      <c r="C2400" s="2" t="s">
        <v>171</v>
      </c>
      <c r="D2400" s="2" t="s">
        <v>73</v>
      </c>
      <c r="E2400" s="2"/>
      <c r="F2400" s="2">
        <v>400</v>
      </c>
      <c r="G2400" s="2" t="s">
        <v>3601</v>
      </c>
      <c r="H2400" s="2">
        <v>16</v>
      </c>
      <c r="I2400" s="2" t="s">
        <v>3027</v>
      </c>
      <c r="J2400" s="2">
        <v>316</v>
      </c>
      <c r="K2400" s="2" t="s">
        <v>574</v>
      </c>
      <c r="L2400" s="2" t="s">
        <v>575</v>
      </c>
      <c r="M2400" s="3">
        <v>40338</v>
      </c>
      <c r="N2400" s="2" t="s">
        <v>8135</v>
      </c>
      <c r="O2400" s="2" t="s">
        <v>8136</v>
      </c>
      <c r="P2400" s="2" t="s">
        <v>8137</v>
      </c>
      <c r="Q2400" s="2" t="str">
        <f>"N/C"</f>
        <v>N/C</v>
      </c>
      <c r="R2400" s="2" t="s">
        <v>82</v>
      </c>
      <c r="S2400" s="2" t="s">
        <v>107</v>
      </c>
      <c r="T2400" s="2">
        <v>1</v>
      </c>
      <c r="U2400" s="2" t="s">
        <v>79</v>
      </c>
      <c r="V2400" s="2">
        <v>3</v>
      </c>
      <c r="W2400" s="2" t="s">
        <v>225</v>
      </c>
      <c r="X2400" s="2">
        <v>6</v>
      </c>
      <c r="Y2400" s="2" t="s">
        <v>249</v>
      </c>
      <c r="Z2400" s="2">
        <v>1</v>
      </c>
      <c r="AA2400" s="2" t="s">
        <v>82</v>
      </c>
      <c r="AB2400" s="2">
        <v>9</v>
      </c>
      <c r="AC2400" s="2" t="s">
        <v>124</v>
      </c>
      <c r="AD2400" s="2"/>
      <c r="AE2400" s="2"/>
      <c r="AF2400" s="3">
        <v>40338</v>
      </c>
      <c r="AG2400" s="4">
        <v>0.41666666666666669</v>
      </c>
      <c r="AH2400" s="2">
        <v>7</v>
      </c>
      <c r="AI2400" s="2" t="s">
        <v>801</v>
      </c>
      <c r="AJ2400" s="2">
        <v>3</v>
      </c>
      <c r="AK2400" s="2" t="s">
        <v>802</v>
      </c>
      <c r="AL2400" s="2">
        <v>23</v>
      </c>
      <c r="AM2400" s="2" t="s">
        <v>251</v>
      </c>
      <c r="AN2400" s="2" t="s">
        <v>107</v>
      </c>
      <c r="AO2400" s="2" t="s">
        <v>8138</v>
      </c>
      <c r="AP2400" s="2">
        <v>11</v>
      </c>
      <c r="AQ2400" s="2" t="s">
        <v>82</v>
      </c>
      <c r="AR2400" s="2" t="s">
        <v>107</v>
      </c>
      <c r="AS2400" s="2" t="s">
        <v>107</v>
      </c>
      <c r="AT2400" s="2" t="s">
        <v>8139</v>
      </c>
      <c r="AU2400" s="2"/>
      <c r="AV2400" s="2"/>
      <c r="AW2400" s="2"/>
      <c r="AX2400" s="2"/>
      <c r="AY2400" s="2">
        <v>1</v>
      </c>
      <c r="AZ2400" s="2" t="s">
        <v>107</v>
      </c>
      <c r="BA2400" s="2">
        <v>1</v>
      </c>
      <c r="BB2400" s="2" t="s">
        <v>107</v>
      </c>
      <c r="BC2400" s="2">
        <v>1</v>
      </c>
      <c r="BD2400" s="2" t="s">
        <v>107</v>
      </c>
      <c r="BE2400" s="2">
        <v>1</v>
      </c>
      <c r="BF2400" s="2" t="s">
        <v>107</v>
      </c>
      <c r="BG2400" s="2" t="s">
        <v>107</v>
      </c>
      <c r="BH2400" s="2"/>
      <c r="BI2400" s="2"/>
      <c r="BJ2400" s="2">
        <v>242</v>
      </c>
      <c r="BK2400" s="2" t="s">
        <v>107</v>
      </c>
      <c r="BL2400" s="2" t="s">
        <v>107</v>
      </c>
      <c r="BM2400" s="2">
        <v>242</v>
      </c>
      <c r="BN2400" s="2" t="s">
        <v>107</v>
      </c>
      <c r="BO2400" s="2" t="s">
        <v>107</v>
      </c>
      <c r="BP2400" s="2">
        <v>242</v>
      </c>
      <c r="BQ2400" s="2" t="s">
        <v>107</v>
      </c>
      <c r="BR2400" s="2" t="s">
        <v>107</v>
      </c>
      <c r="BS2400" s="3">
        <v>40338</v>
      </c>
      <c r="BT2400" s="4">
        <v>0.64956018518518521</v>
      </c>
    </row>
    <row r="2401" spans="1:72" x14ac:dyDescent="0.25">
      <c r="A2401" s="2">
        <v>3514</v>
      </c>
      <c r="B2401" s="2">
        <v>2010</v>
      </c>
      <c r="C2401" s="2" t="s">
        <v>171</v>
      </c>
      <c r="D2401" s="2" t="s">
        <v>73</v>
      </c>
      <c r="E2401" s="2"/>
      <c r="F2401" s="2">
        <v>400</v>
      </c>
      <c r="G2401" s="2" t="s">
        <v>3601</v>
      </c>
      <c r="H2401" s="2">
        <v>17</v>
      </c>
      <c r="I2401" s="2" t="s">
        <v>3602</v>
      </c>
      <c r="J2401" s="2">
        <v>316</v>
      </c>
      <c r="K2401" s="2" t="s">
        <v>574</v>
      </c>
      <c r="L2401" s="2" t="s">
        <v>575</v>
      </c>
      <c r="M2401" s="3">
        <v>40338</v>
      </c>
      <c r="N2401" s="2" t="s">
        <v>8140</v>
      </c>
      <c r="O2401" s="2" t="s">
        <v>8141</v>
      </c>
      <c r="P2401" s="2">
        <v>9934</v>
      </c>
      <c r="Q2401" s="2" t="str">
        <f>"347E/09"</f>
        <v>347E/09</v>
      </c>
      <c r="R2401" s="2"/>
      <c r="S2401" s="2" t="s">
        <v>82</v>
      </c>
      <c r="T2401" s="2">
        <v>1</v>
      </c>
      <c r="U2401" s="2" t="s">
        <v>79</v>
      </c>
      <c r="V2401" s="2">
        <v>1</v>
      </c>
      <c r="W2401" s="2" t="s">
        <v>80</v>
      </c>
      <c r="X2401" s="2">
        <v>8</v>
      </c>
      <c r="Y2401" s="2" t="s">
        <v>375</v>
      </c>
      <c r="Z2401" s="2">
        <v>1</v>
      </c>
      <c r="AA2401" s="2" t="s">
        <v>82</v>
      </c>
      <c r="AB2401" s="2">
        <v>1</v>
      </c>
      <c r="AC2401" s="2" t="s">
        <v>178</v>
      </c>
      <c r="AD2401" s="3">
        <v>40338</v>
      </c>
      <c r="AE2401" s="4">
        <v>0.5</v>
      </c>
      <c r="AF2401" s="2"/>
      <c r="AG2401" s="2"/>
      <c r="AH2401" s="2">
        <v>2</v>
      </c>
      <c r="AI2401" s="2" t="s">
        <v>84</v>
      </c>
      <c r="AJ2401" s="2">
        <v>6</v>
      </c>
      <c r="AK2401" s="2" t="s">
        <v>453</v>
      </c>
      <c r="AL2401" s="2">
        <v>23</v>
      </c>
      <c r="AM2401" s="2" t="s">
        <v>251</v>
      </c>
      <c r="AN2401" s="2" t="s">
        <v>8142</v>
      </c>
      <c r="AO2401" s="2" t="s">
        <v>1226</v>
      </c>
      <c r="AP2401" s="2">
        <v>11</v>
      </c>
      <c r="AQ2401" s="2" t="s">
        <v>82</v>
      </c>
      <c r="AR2401" s="2"/>
      <c r="AS2401" s="2"/>
      <c r="AT2401" s="2" t="s">
        <v>8143</v>
      </c>
      <c r="AU2401" s="2"/>
      <c r="AV2401" s="2"/>
      <c r="AW2401" s="2"/>
      <c r="AX2401" s="2"/>
      <c r="AY2401" s="2">
        <v>42</v>
      </c>
      <c r="AZ2401" s="2" t="s">
        <v>182</v>
      </c>
      <c r="BA2401" s="2">
        <v>41</v>
      </c>
      <c r="BB2401" s="2" t="s">
        <v>82</v>
      </c>
      <c r="BC2401" s="2">
        <v>41</v>
      </c>
      <c r="BD2401" s="2" t="s">
        <v>82</v>
      </c>
      <c r="BE2401" s="2">
        <v>41</v>
      </c>
      <c r="BF2401" s="2" t="s">
        <v>82</v>
      </c>
      <c r="BG2401" s="2"/>
      <c r="BH2401" s="2"/>
      <c r="BI2401" s="2"/>
      <c r="BJ2401" s="2">
        <v>241</v>
      </c>
      <c r="BK2401" s="2" t="s">
        <v>82</v>
      </c>
      <c r="BL2401" s="2"/>
      <c r="BM2401" s="2">
        <v>241</v>
      </c>
      <c r="BN2401" s="2" t="s">
        <v>82</v>
      </c>
      <c r="BO2401" s="2"/>
      <c r="BP2401" s="2">
        <v>241</v>
      </c>
      <c r="BQ2401" s="2" t="s">
        <v>82</v>
      </c>
      <c r="BR2401" s="2"/>
      <c r="BS2401" s="3">
        <v>40338</v>
      </c>
      <c r="BT2401" s="4">
        <v>0.66068287037037032</v>
      </c>
    </row>
    <row r="2402" spans="1:72" x14ac:dyDescent="0.25">
      <c r="A2402" s="2">
        <v>3516</v>
      </c>
      <c r="B2402" s="2">
        <v>2010</v>
      </c>
      <c r="C2402" s="2" t="s">
        <v>72</v>
      </c>
      <c r="D2402" s="2" t="s">
        <v>73</v>
      </c>
      <c r="E2402" s="2"/>
      <c r="F2402" s="2">
        <v>631</v>
      </c>
      <c r="G2402" s="2" t="s">
        <v>7688</v>
      </c>
      <c r="H2402" s="2">
        <v>22</v>
      </c>
      <c r="I2402" s="2" t="s">
        <v>75</v>
      </c>
      <c r="J2402" s="2">
        <v>570</v>
      </c>
      <c r="K2402" s="2" t="s">
        <v>7689</v>
      </c>
      <c r="L2402" s="2" t="s">
        <v>946</v>
      </c>
      <c r="M2402" s="3">
        <v>40338</v>
      </c>
      <c r="N2402" s="2" t="s">
        <v>7690</v>
      </c>
      <c r="O2402" s="2"/>
      <c r="P2402" s="2" t="s">
        <v>107</v>
      </c>
      <c r="Q2402" s="2" t="str">
        <f>"207-A/10"</f>
        <v>207-A/10</v>
      </c>
      <c r="R2402" s="2"/>
      <c r="S2402" s="2" t="s">
        <v>1547</v>
      </c>
      <c r="T2402" s="2">
        <v>1</v>
      </c>
      <c r="U2402" s="2" t="s">
        <v>79</v>
      </c>
      <c r="V2402" s="2">
        <v>1</v>
      </c>
      <c r="W2402" s="2" t="s">
        <v>80</v>
      </c>
      <c r="X2402" s="2">
        <v>12</v>
      </c>
      <c r="Y2402" s="2" t="s">
        <v>148</v>
      </c>
      <c r="Z2402" s="2">
        <v>1</v>
      </c>
      <c r="AA2402" s="2" t="s">
        <v>82</v>
      </c>
      <c r="AB2402" s="2">
        <v>6</v>
      </c>
      <c r="AC2402" s="2" t="s">
        <v>83</v>
      </c>
      <c r="AD2402" s="2"/>
      <c r="AE2402" s="2"/>
      <c r="AF2402" s="3">
        <v>40338</v>
      </c>
      <c r="AG2402" s="4">
        <v>0.54166666666666663</v>
      </c>
      <c r="AH2402" s="2">
        <v>2</v>
      </c>
      <c r="AI2402" s="2" t="s">
        <v>84</v>
      </c>
      <c r="AJ2402" s="2">
        <v>12</v>
      </c>
      <c r="AK2402" s="2" t="s">
        <v>85</v>
      </c>
      <c r="AL2402" s="2">
        <v>26</v>
      </c>
      <c r="AM2402" s="2" t="s">
        <v>6036</v>
      </c>
      <c r="AN2402" s="2"/>
      <c r="AO2402" s="2" t="s">
        <v>8144</v>
      </c>
      <c r="AP2402" s="2">
        <v>11</v>
      </c>
      <c r="AQ2402" s="2" t="s">
        <v>82</v>
      </c>
      <c r="AR2402" s="2"/>
      <c r="AS2402" s="2"/>
      <c r="AT2402" s="2" t="s">
        <v>8145</v>
      </c>
      <c r="AU2402" s="2"/>
      <c r="AV2402" s="2"/>
      <c r="AW2402" s="2"/>
      <c r="AX2402" s="2"/>
      <c r="AY2402" s="2">
        <v>41</v>
      </c>
      <c r="AZ2402" s="2" t="s">
        <v>82</v>
      </c>
      <c r="BA2402" s="2">
        <v>41</v>
      </c>
      <c r="BB2402" s="2" t="s">
        <v>82</v>
      </c>
      <c r="BC2402" s="2">
        <v>41</v>
      </c>
      <c r="BD2402" s="2" t="s">
        <v>82</v>
      </c>
      <c r="BE2402" s="2">
        <v>47</v>
      </c>
      <c r="BF2402" s="2" t="s">
        <v>167</v>
      </c>
      <c r="BG2402" s="2" t="s">
        <v>7841</v>
      </c>
      <c r="BH2402" s="4">
        <v>0.53819444444444442</v>
      </c>
      <c r="BI2402" s="4">
        <v>0.45833333333333331</v>
      </c>
      <c r="BJ2402" s="2">
        <v>13</v>
      </c>
      <c r="BK2402" s="2" t="s">
        <v>91</v>
      </c>
      <c r="BL2402" s="2" t="s">
        <v>185</v>
      </c>
      <c r="BM2402" s="2">
        <v>241</v>
      </c>
      <c r="BN2402" s="2" t="s">
        <v>82</v>
      </c>
      <c r="BO2402" s="2"/>
      <c r="BP2402" s="2">
        <v>13</v>
      </c>
      <c r="BQ2402" s="2" t="s">
        <v>91</v>
      </c>
      <c r="BR2402" s="2" t="s">
        <v>169</v>
      </c>
      <c r="BS2402" s="3">
        <v>40338</v>
      </c>
      <c r="BT2402" s="4">
        <v>0.6790856481481482</v>
      </c>
    </row>
    <row r="2403" spans="1:72" x14ac:dyDescent="0.25">
      <c r="A2403" s="2">
        <v>3517</v>
      </c>
      <c r="B2403" s="2">
        <v>2010</v>
      </c>
      <c r="C2403" s="2" t="s">
        <v>1094</v>
      </c>
      <c r="D2403" s="2" t="s">
        <v>122</v>
      </c>
      <c r="E2403" s="2" t="s">
        <v>8146</v>
      </c>
      <c r="F2403" s="2">
        <v>110</v>
      </c>
      <c r="G2403" s="2" t="s">
        <v>7444</v>
      </c>
      <c r="H2403" s="2">
        <v>47</v>
      </c>
      <c r="I2403" s="2" t="s">
        <v>1409</v>
      </c>
      <c r="J2403" s="2">
        <v>126</v>
      </c>
      <c r="K2403" s="2" t="s">
        <v>7445</v>
      </c>
      <c r="L2403" s="2" t="s">
        <v>7446</v>
      </c>
      <c r="M2403" s="3">
        <v>40338</v>
      </c>
      <c r="N2403" s="2" t="s">
        <v>7832</v>
      </c>
      <c r="O2403" s="2" t="s">
        <v>107</v>
      </c>
      <c r="P2403" s="2" t="s">
        <v>107</v>
      </c>
      <c r="Q2403" s="2" t="str">
        <f>"0004/2010"</f>
        <v>0004/2010</v>
      </c>
      <c r="R2403" s="2" t="s">
        <v>7835</v>
      </c>
      <c r="S2403" s="2" t="s">
        <v>107</v>
      </c>
      <c r="T2403" s="2">
        <v>1</v>
      </c>
      <c r="U2403" s="2" t="s">
        <v>79</v>
      </c>
      <c r="V2403" s="2">
        <v>1</v>
      </c>
      <c r="W2403" s="2" t="s">
        <v>80</v>
      </c>
      <c r="X2403" s="2">
        <v>12</v>
      </c>
      <c r="Y2403" s="2" t="s">
        <v>148</v>
      </c>
      <c r="Z2403" s="2">
        <v>1</v>
      </c>
      <c r="AA2403" s="2" t="s">
        <v>82</v>
      </c>
      <c r="AB2403" s="2">
        <v>9</v>
      </c>
      <c r="AC2403" s="2" t="s">
        <v>124</v>
      </c>
      <c r="AD2403" s="3">
        <v>40332</v>
      </c>
      <c r="AE2403" s="4">
        <v>0.61111111111111105</v>
      </c>
      <c r="AF2403" s="2"/>
      <c r="AG2403" s="2"/>
      <c r="AH2403" s="2">
        <v>6</v>
      </c>
      <c r="AI2403" s="2" t="s">
        <v>197</v>
      </c>
      <c r="AJ2403" s="2">
        <v>57</v>
      </c>
      <c r="AK2403" s="2" t="s">
        <v>2344</v>
      </c>
      <c r="AL2403" s="2">
        <v>19</v>
      </c>
      <c r="AM2403" s="2" t="s">
        <v>107</v>
      </c>
      <c r="AN2403" s="2"/>
      <c r="AO2403" s="2"/>
      <c r="AP2403" s="2">
        <v>11</v>
      </c>
      <c r="AQ2403" s="2" t="s">
        <v>82</v>
      </c>
      <c r="AR2403" s="2"/>
      <c r="AS2403" s="2"/>
      <c r="AT2403" s="2" t="s">
        <v>8147</v>
      </c>
      <c r="AU2403" s="2"/>
      <c r="AV2403" s="2"/>
      <c r="AW2403" s="2"/>
      <c r="AX2403" s="2"/>
      <c r="AY2403" s="2">
        <v>1</v>
      </c>
      <c r="AZ2403" s="2" t="s">
        <v>107</v>
      </c>
      <c r="BA2403" s="2">
        <v>1</v>
      </c>
      <c r="BB2403" s="2" t="s">
        <v>107</v>
      </c>
      <c r="BC2403" s="2">
        <v>1</v>
      </c>
      <c r="BD2403" s="2" t="s">
        <v>107</v>
      </c>
      <c r="BE2403" s="2">
        <v>1</v>
      </c>
      <c r="BF2403" s="2" t="s">
        <v>107</v>
      </c>
      <c r="BG2403" s="2"/>
      <c r="BH2403" s="2"/>
      <c r="BI2403" s="2"/>
      <c r="BJ2403" s="2">
        <v>242</v>
      </c>
      <c r="BK2403" s="2" t="s">
        <v>107</v>
      </c>
      <c r="BL2403" s="2"/>
      <c r="BM2403" s="2">
        <v>242</v>
      </c>
      <c r="BN2403" s="2" t="s">
        <v>107</v>
      </c>
      <c r="BO2403" s="2"/>
      <c r="BP2403" s="2">
        <v>242</v>
      </c>
      <c r="BQ2403" s="2" t="s">
        <v>107</v>
      </c>
      <c r="BR2403" s="2"/>
      <c r="BS2403" s="3">
        <v>40338</v>
      </c>
      <c r="BT2403" s="4">
        <v>0.69555555555555559</v>
      </c>
    </row>
    <row r="2404" spans="1:72" x14ac:dyDescent="0.25">
      <c r="A2404" s="2">
        <v>3518</v>
      </c>
      <c r="B2404" s="2">
        <v>2010</v>
      </c>
      <c r="C2404" s="2" t="s">
        <v>377</v>
      </c>
      <c r="D2404" s="2" t="s">
        <v>73</v>
      </c>
      <c r="E2404" s="2"/>
      <c r="F2404" s="2">
        <v>426</v>
      </c>
      <c r="G2404" s="2" t="s">
        <v>378</v>
      </c>
      <c r="H2404" s="2">
        <v>42</v>
      </c>
      <c r="I2404" s="2" t="s">
        <v>1096</v>
      </c>
      <c r="J2404" s="2">
        <v>311</v>
      </c>
      <c r="K2404" s="2" t="s">
        <v>379</v>
      </c>
      <c r="L2404" s="2" t="s">
        <v>380</v>
      </c>
      <c r="M2404" s="3">
        <v>40338</v>
      </c>
      <c r="N2404" s="2" t="s">
        <v>4007</v>
      </c>
      <c r="O2404" s="2"/>
      <c r="P2404" s="2"/>
      <c r="Q2404" s="2" t="str">
        <f>"110-C/10"</f>
        <v>110-C/10</v>
      </c>
      <c r="R2404" s="2" t="s">
        <v>3458</v>
      </c>
      <c r="S2404" s="2"/>
      <c r="T2404" s="2">
        <v>1</v>
      </c>
      <c r="U2404" s="2" t="s">
        <v>79</v>
      </c>
      <c r="V2404" s="2">
        <v>1</v>
      </c>
      <c r="W2404" s="2" t="s">
        <v>80</v>
      </c>
      <c r="X2404" s="2">
        <v>1</v>
      </c>
      <c r="Y2404" s="2" t="s">
        <v>81</v>
      </c>
      <c r="Z2404" s="2">
        <v>1</v>
      </c>
      <c r="AA2404" s="2" t="s">
        <v>82</v>
      </c>
      <c r="AB2404" s="2">
        <v>9</v>
      </c>
      <c r="AC2404" s="2" t="s">
        <v>124</v>
      </c>
      <c r="AD2404" s="3">
        <v>40338</v>
      </c>
      <c r="AE2404" s="4">
        <v>0.47916666666666669</v>
      </c>
      <c r="AF2404" s="2"/>
      <c r="AG2404" s="2"/>
      <c r="AH2404" s="2">
        <v>2</v>
      </c>
      <c r="AI2404" s="2" t="s">
        <v>84</v>
      </c>
      <c r="AJ2404" s="2">
        <v>9</v>
      </c>
      <c r="AK2404" s="2" t="s">
        <v>103</v>
      </c>
      <c r="AL2404" s="2">
        <v>29</v>
      </c>
      <c r="AM2404" s="2" t="s">
        <v>5416</v>
      </c>
      <c r="AN2404" s="2"/>
      <c r="AO2404" s="2" t="s">
        <v>3460</v>
      </c>
      <c r="AP2404" s="2">
        <v>11</v>
      </c>
      <c r="AQ2404" s="2" t="s">
        <v>82</v>
      </c>
      <c r="AR2404" s="2"/>
      <c r="AS2404" s="2"/>
      <c r="AT2404" s="2" t="s">
        <v>8148</v>
      </c>
      <c r="AU2404" s="2"/>
      <c r="AV2404" s="2"/>
      <c r="AW2404" s="2"/>
      <c r="AX2404" s="2"/>
      <c r="AY2404" s="2">
        <v>41</v>
      </c>
      <c r="AZ2404" s="2" t="s">
        <v>82</v>
      </c>
      <c r="BA2404" s="2">
        <v>41</v>
      </c>
      <c r="BB2404" s="2" t="s">
        <v>82</v>
      </c>
      <c r="BC2404" s="2">
        <v>41</v>
      </c>
      <c r="BD2404" s="2" t="s">
        <v>82</v>
      </c>
      <c r="BE2404" s="2">
        <v>41</v>
      </c>
      <c r="BF2404" s="2" t="s">
        <v>82</v>
      </c>
      <c r="BG2404" s="2"/>
      <c r="BH2404" s="2"/>
      <c r="BI2404" s="2"/>
      <c r="BJ2404" s="2">
        <v>241</v>
      </c>
      <c r="BK2404" s="2" t="s">
        <v>82</v>
      </c>
      <c r="BL2404" s="2"/>
      <c r="BM2404" s="2">
        <v>241</v>
      </c>
      <c r="BN2404" s="2" t="s">
        <v>82</v>
      </c>
      <c r="BO2404" s="2"/>
      <c r="BP2404" s="2">
        <v>241</v>
      </c>
      <c r="BQ2404" s="2" t="s">
        <v>82</v>
      </c>
      <c r="BR2404" s="2"/>
      <c r="BS2404" s="3">
        <v>40338</v>
      </c>
      <c r="BT2404" s="4">
        <v>0.73572916666666666</v>
      </c>
    </row>
    <row r="2405" spans="1:72" x14ac:dyDescent="0.25">
      <c r="A2405" s="2">
        <v>3519</v>
      </c>
      <c r="B2405" s="2">
        <v>2010</v>
      </c>
      <c r="C2405" s="2" t="s">
        <v>121</v>
      </c>
      <c r="D2405" s="2" t="s">
        <v>122</v>
      </c>
      <c r="E2405" s="2"/>
      <c r="F2405" s="2">
        <v>1</v>
      </c>
      <c r="G2405" s="2" t="s">
        <v>82</v>
      </c>
      <c r="H2405" s="2">
        <v>1</v>
      </c>
      <c r="I2405" s="2" t="s">
        <v>82</v>
      </c>
      <c r="J2405" s="2">
        <v>1</v>
      </c>
      <c r="K2405" s="2" t="s">
        <v>107</v>
      </c>
      <c r="L2405" s="2" t="s">
        <v>107</v>
      </c>
      <c r="M2405" s="3">
        <v>40338</v>
      </c>
      <c r="N2405" s="2"/>
      <c r="O2405" s="2"/>
      <c r="P2405" s="2"/>
      <c r="Q2405" s="2" t="str">
        <f>""</f>
        <v/>
      </c>
      <c r="R2405" s="2"/>
      <c r="S2405" s="2"/>
      <c r="T2405" s="2">
        <v>2</v>
      </c>
      <c r="U2405" s="2" t="s">
        <v>123</v>
      </c>
      <c r="V2405" s="2">
        <v>1</v>
      </c>
      <c r="W2405" s="2" t="s">
        <v>80</v>
      </c>
      <c r="X2405" s="2">
        <v>1</v>
      </c>
      <c r="Y2405" s="2" t="s">
        <v>81</v>
      </c>
      <c r="Z2405" s="2">
        <v>1</v>
      </c>
      <c r="AA2405" s="2" t="s">
        <v>82</v>
      </c>
      <c r="AB2405" s="2">
        <v>9</v>
      </c>
      <c r="AC2405" s="2" t="s">
        <v>124</v>
      </c>
      <c r="AD2405" s="3">
        <v>40337</v>
      </c>
      <c r="AE2405" s="4">
        <v>0.9375</v>
      </c>
      <c r="AF2405" s="2"/>
      <c r="AG2405" s="2"/>
      <c r="AH2405" s="2">
        <v>2</v>
      </c>
      <c r="AI2405" s="2" t="s">
        <v>84</v>
      </c>
      <c r="AJ2405" s="2">
        <v>9</v>
      </c>
      <c r="AK2405" s="2" t="s">
        <v>103</v>
      </c>
      <c r="AL2405" s="2">
        <v>25</v>
      </c>
      <c r="AM2405" s="2" t="s">
        <v>3073</v>
      </c>
      <c r="AN2405" s="2" t="s">
        <v>107</v>
      </c>
      <c r="AO2405" s="2" t="s">
        <v>8149</v>
      </c>
      <c r="AP2405" s="2">
        <v>11</v>
      </c>
      <c r="AQ2405" s="2" t="s">
        <v>82</v>
      </c>
      <c r="AR2405" s="2" t="s">
        <v>82</v>
      </c>
      <c r="AS2405" s="2" t="s">
        <v>82</v>
      </c>
      <c r="AT2405" s="2" t="s">
        <v>8150</v>
      </c>
      <c r="AU2405" s="2">
        <v>1</v>
      </c>
      <c r="AV2405" s="2"/>
      <c r="AW2405" s="2"/>
      <c r="AX2405" s="2"/>
      <c r="AY2405" s="2">
        <v>41</v>
      </c>
      <c r="AZ2405" s="2" t="s">
        <v>82</v>
      </c>
      <c r="BA2405" s="2">
        <v>41</v>
      </c>
      <c r="BB2405" s="2" t="s">
        <v>82</v>
      </c>
      <c r="BC2405" s="2">
        <v>41</v>
      </c>
      <c r="BD2405" s="2" t="s">
        <v>82</v>
      </c>
      <c r="BE2405" s="2">
        <v>39</v>
      </c>
      <c r="BF2405" s="2" t="s">
        <v>440</v>
      </c>
      <c r="BG2405" s="2" t="s">
        <v>8151</v>
      </c>
      <c r="BH2405" s="4">
        <v>0.91666666666666663</v>
      </c>
      <c r="BI2405" s="2"/>
      <c r="BJ2405" s="2">
        <v>33</v>
      </c>
      <c r="BK2405" s="2" t="s">
        <v>361</v>
      </c>
      <c r="BL2405" s="2" t="s">
        <v>2723</v>
      </c>
      <c r="BM2405" s="2">
        <v>241</v>
      </c>
      <c r="BN2405" s="2" t="s">
        <v>82</v>
      </c>
      <c r="BO2405" s="2" t="s">
        <v>82</v>
      </c>
      <c r="BP2405" s="2">
        <v>13</v>
      </c>
      <c r="BQ2405" s="2" t="s">
        <v>91</v>
      </c>
      <c r="BR2405" s="2" t="s">
        <v>2592</v>
      </c>
      <c r="BS2405" s="3">
        <v>40338</v>
      </c>
      <c r="BT2405" s="4">
        <v>0.7394560185185185</v>
      </c>
    </row>
    <row r="2406" spans="1:72" x14ac:dyDescent="0.25">
      <c r="A2406" s="2">
        <v>3522</v>
      </c>
      <c r="B2406" s="2">
        <v>2010</v>
      </c>
      <c r="C2406" s="2" t="s">
        <v>72</v>
      </c>
      <c r="D2406" s="2" t="s">
        <v>73</v>
      </c>
      <c r="E2406" s="2"/>
      <c r="F2406" s="2">
        <v>389</v>
      </c>
      <c r="G2406" s="2" t="s">
        <v>1819</v>
      </c>
      <c r="H2406" s="2">
        <v>4</v>
      </c>
      <c r="I2406" s="2" t="s">
        <v>173</v>
      </c>
      <c r="J2406" s="2">
        <v>399</v>
      </c>
      <c r="K2406" s="2" t="s">
        <v>1820</v>
      </c>
      <c r="L2406" s="2" t="s">
        <v>1821</v>
      </c>
      <c r="M2406" s="3">
        <v>40338</v>
      </c>
      <c r="N2406" s="2" t="s">
        <v>2621</v>
      </c>
      <c r="O2406" s="2"/>
      <c r="P2406" s="2"/>
      <c r="Q2406" s="2" t="str">
        <f>"307-E/10"</f>
        <v>307-E/10</v>
      </c>
      <c r="R2406" s="2" t="s">
        <v>8152</v>
      </c>
      <c r="S2406" s="2" t="s">
        <v>8152</v>
      </c>
      <c r="T2406" s="2">
        <v>1</v>
      </c>
      <c r="U2406" s="2" t="s">
        <v>79</v>
      </c>
      <c r="V2406" s="2">
        <v>1</v>
      </c>
      <c r="W2406" s="2" t="s">
        <v>80</v>
      </c>
      <c r="X2406" s="2">
        <v>12</v>
      </c>
      <c r="Y2406" s="2" t="s">
        <v>148</v>
      </c>
      <c r="Z2406" s="2">
        <v>1</v>
      </c>
      <c r="AA2406" s="2" t="s">
        <v>82</v>
      </c>
      <c r="AB2406" s="2">
        <v>6</v>
      </c>
      <c r="AC2406" s="2" t="s">
        <v>83</v>
      </c>
      <c r="AD2406" s="2"/>
      <c r="AE2406" s="2"/>
      <c r="AF2406" s="3">
        <v>40338</v>
      </c>
      <c r="AG2406" s="4">
        <v>0.76388888888888884</v>
      </c>
      <c r="AH2406" s="2">
        <v>2</v>
      </c>
      <c r="AI2406" s="2" t="s">
        <v>84</v>
      </c>
      <c r="AJ2406" s="2">
        <v>9</v>
      </c>
      <c r="AK2406" s="2" t="s">
        <v>103</v>
      </c>
      <c r="AL2406" s="2">
        <v>7</v>
      </c>
      <c r="AM2406" s="2" t="s">
        <v>1450</v>
      </c>
      <c r="AN2406" s="2"/>
      <c r="AO2406" s="2" t="s">
        <v>8153</v>
      </c>
      <c r="AP2406" s="2">
        <v>11</v>
      </c>
      <c r="AQ2406" s="2" t="s">
        <v>82</v>
      </c>
      <c r="AR2406" s="2"/>
      <c r="AS2406" s="2"/>
      <c r="AT2406" s="2" t="s">
        <v>8154</v>
      </c>
      <c r="AU2406" s="2"/>
      <c r="AV2406" s="2"/>
      <c r="AW2406" s="2"/>
      <c r="AX2406" s="2"/>
      <c r="AY2406" s="2">
        <v>65</v>
      </c>
      <c r="AZ2406" s="2" t="s">
        <v>3652</v>
      </c>
      <c r="BA2406" s="2">
        <v>41</v>
      </c>
      <c r="BB2406" s="2" t="s">
        <v>82</v>
      </c>
      <c r="BC2406" s="2">
        <v>41</v>
      </c>
      <c r="BD2406" s="2" t="s">
        <v>82</v>
      </c>
      <c r="BE2406" s="2">
        <v>41</v>
      </c>
      <c r="BF2406" s="2" t="s">
        <v>82</v>
      </c>
      <c r="BG2406" s="2"/>
      <c r="BH2406" s="2"/>
      <c r="BI2406" s="2"/>
      <c r="BJ2406" s="2">
        <v>241</v>
      </c>
      <c r="BK2406" s="2" t="s">
        <v>82</v>
      </c>
      <c r="BL2406" s="2"/>
      <c r="BM2406" s="2">
        <v>241</v>
      </c>
      <c r="BN2406" s="2" t="s">
        <v>82</v>
      </c>
      <c r="BO2406" s="2"/>
      <c r="BP2406" s="2">
        <v>241</v>
      </c>
      <c r="BQ2406" s="2" t="s">
        <v>82</v>
      </c>
      <c r="BR2406" s="2"/>
      <c r="BS2406" s="3">
        <v>40338</v>
      </c>
      <c r="BT2406" s="4">
        <v>0.81721064814814814</v>
      </c>
    </row>
    <row r="2407" spans="1:72" x14ac:dyDescent="0.25">
      <c r="A2407" s="2">
        <v>3523</v>
      </c>
      <c r="B2407" s="2">
        <v>2010</v>
      </c>
      <c r="C2407" s="2" t="s">
        <v>385</v>
      </c>
      <c r="D2407" s="2" t="s">
        <v>122</v>
      </c>
      <c r="E2407" s="2"/>
      <c r="F2407" s="2">
        <v>9</v>
      </c>
      <c r="G2407" s="2" t="s">
        <v>364</v>
      </c>
      <c r="H2407" s="2">
        <v>2</v>
      </c>
      <c r="I2407" s="2" t="s">
        <v>267</v>
      </c>
      <c r="J2407" s="2">
        <v>18</v>
      </c>
      <c r="K2407" s="2" t="s">
        <v>365</v>
      </c>
      <c r="L2407" s="2" t="s">
        <v>115</v>
      </c>
      <c r="M2407" s="3">
        <v>40338</v>
      </c>
      <c r="N2407" s="2" t="s">
        <v>6253</v>
      </c>
      <c r="O2407" s="2" t="s">
        <v>8155</v>
      </c>
      <c r="P2407" s="2"/>
      <c r="Q2407" s="2" t="str">
        <f>"S/D"</f>
        <v>S/D</v>
      </c>
      <c r="R2407" s="2" t="s">
        <v>107</v>
      </c>
      <c r="S2407" s="2" t="s">
        <v>107</v>
      </c>
      <c r="T2407" s="2">
        <v>1</v>
      </c>
      <c r="U2407" s="2" t="s">
        <v>79</v>
      </c>
      <c r="V2407" s="2">
        <v>1</v>
      </c>
      <c r="W2407" s="2" t="s">
        <v>80</v>
      </c>
      <c r="X2407" s="2">
        <v>4</v>
      </c>
      <c r="Y2407" s="2" t="s">
        <v>463</v>
      </c>
      <c r="Z2407" s="2">
        <v>1</v>
      </c>
      <c r="AA2407" s="2" t="s">
        <v>82</v>
      </c>
      <c r="AB2407" s="2">
        <v>9</v>
      </c>
      <c r="AC2407" s="2" t="s">
        <v>124</v>
      </c>
      <c r="AD2407" s="3">
        <v>40338</v>
      </c>
      <c r="AE2407" s="4">
        <v>0.85416666666666663</v>
      </c>
      <c r="AF2407" s="2"/>
      <c r="AG2407" s="2"/>
      <c r="AH2407" s="2">
        <v>3</v>
      </c>
      <c r="AI2407" s="2" t="s">
        <v>214</v>
      </c>
      <c r="AJ2407" s="2">
        <v>24</v>
      </c>
      <c r="AK2407" s="2" t="s">
        <v>215</v>
      </c>
      <c r="AL2407" s="2">
        <v>10</v>
      </c>
      <c r="AM2407" s="2" t="s">
        <v>200</v>
      </c>
      <c r="AN2407" s="2"/>
      <c r="AO2407" s="2" t="s">
        <v>8156</v>
      </c>
      <c r="AP2407" s="2">
        <v>11</v>
      </c>
      <c r="AQ2407" s="2" t="s">
        <v>82</v>
      </c>
      <c r="AR2407" s="2" t="s">
        <v>107</v>
      </c>
      <c r="AS2407" s="2" t="s">
        <v>107</v>
      </c>
      <c r="AT2407" s="2" t="s">
        <v>8157</v>
      </c>
      <c r="AU2407" s="2">
        <v>1</v>
      </c>
      <c r="AV2407" s="2"/>
      <c r="AW2407" s="2"/>
      <c r="AX2407" s="2"/>
      <c r="AY2407" s="2">
        <v>41</v>
      </c>
      <c r="AZ2407" s="2" t="s">
        <v>82</v>
      </c>
      <c r="BA2407" s="2">
        <v>41</v>
      </c>
      <c r="BB2407" s="2" t="s">
        <v>82</v>
      </c>
      <c r="BC2407" s="2">
        <v>41</v>
      </c>
      <c r="BD2407" s="2" t="s">
        <v>82</v>
      </c>
      <c r="BE2407" s="2">
        <v>4</v>
      </c>
      <c r="BF2407" s="2" t="s">
        <v>90</v>
      </c>
      <c r="BG2407" s="2">
        <v>4217</v>
      </c>
      <c r="BH2407" s="4">
        <v>0.84375</v>
      </c>
      <c r="BI2407" s="4">
        <v>0.86805555555555547</v>
      </c>
      <c r="BJ2407" s="2">
        <v>13</v>
      </c>
      <c r="BK2407" s="2" t="s">
        <v>91</v>
      </c>
      <c r="BL2407" s="2" t="s">
        <v>8158</v>
      </c>
      <c r="BM2407" s="2">
        <v>13</v>
      </c>
      <c r="BN2407" s="2" t="s">
        <v>91</v>
      </c>
      <c r="BO2407" s="2" t="s">
        <v>169</v>
      </c>
      <c r="BP2407" s="2">
        <v>13</v>
      </c>
      <c r="BQ2407" s="2" t="s">
        <v>91</v>
      </c>
      <c r="BR2407" s="2" t="s">
        <v>8159</v>
      </c>
      <c r="BS2407" s="3">
        <v>40338</v>
      </c>
      <c r="BT2407" s="4">
        <v>0.87539351851851854</v>
      </c>
    </row>
    <row r="2408" spans="1:72" x14ac:dyDescent="0.25">
      <c r="A2408" s="2">
        <v>3524</v>
      </c>
      <c r="B2408" s="2">
        <v>2010</v>
      </c>
      <c r="C2408" s="2" t="s">
        <v>8160</v>
      </c>
      <c r="D2408" s="2" t="s">
        <v>73</v>
      </c>
      <c r="E2408" s="2"/>
      <c r="F2408" s="2">
        <v>389</v>
      </c>
      <c r="G2408" s="2" t="s">
        <v>1819</v>
      </c>
      <c r="H2408" s="2">
        <v>4</v>
      </c>
      <c r="I2408" s="2" t="s">
        <v>173</v>
      </c>
      <c r="J2408" s="2">
        <v>399</v>
      </c>
      <c r="K2408" s="2" t="s">
        <v>1820</v>
      </c>
      <c r="L2408" s="2" t="s">
        <v>1821</v>
      </c>
      <c r="M2408" s="3">
        <v>40338</v>
      </c>
      <c r="N2408" s="2" t="s">
        <v>2621</v>
      </c>
      <c r="O2408" s="2" t="s">
        <v>107</v>
      </c>
      <c r="P2408" s="2" t="s">
        <v>107</v>
      </c>
      <c r="Q2408" s="2" t="str">
        <f>"308-E/10"</f>
        <v>308-E/10</v>
      </c>
      <c r="R2408" s="2" t="s">
        <v>8161</v>
      </c>
      <c r="S2408" s="2"/>
      <c r="T2408" s="2">
        <v>1</v>
      </c>
      <c r="U2408" s="2" t="s">
        <v>79</v>
      </c>
      <c r="V2408" s="2">
        <v>1</v>
      </c>
      <c r="W2408" s="2" t="s">
        <v>80</v>
      </c>
      <c r="X2408" s="2">
        <v>1</v>
      </c>
      <c r="Y2408" s="2" t="s">
        <v>81</v>
      </c>
      <c r="Z2408" s="2">
        <v>1</v>
      </c>
      <c r="AA2408" s="2" t="s">
        <v>82</v>
      </c>
      <c r="AB2408" s="2">
        <v>9</v>
      </c>
      <c r="AC2408" s="2" t="s">
        <v>124</v>
      </c>
      <c r="AD2408" s="3">
        <v>40338</v>
      </c>
      <c r="AE2408" s="4">
        <v>0.82638888888888884</v>
      </c>
      <c r="AF2408" s="2"/>
      <c r="AG2408" s="2"/>
      <c r="AH2408" s="2">
        <v>2</v>
      </c>
      <c r="AI2408" s="2" t="s">
        <v>84</v>
      </c>
      <c r="AJ2408" s="2">
        <v>9</v>
      </c>
      <c r="AK2408" s="2" t="s">
        <v>103</v>
      </c>
      <c r="AL2408" s="2">
        <v>12</v>
      </c>
      <c r="AM2408" s="2" t="s">
        <v>86</v>
      </c>
      <c r="AN2408" s="2" t="s">
        <v>8162</v>
      </c>
      <c r="AO2408" s="2" t="s">
        <v>4116</v>
      </c>
      <c r="AP2408" s="2">
        <v>11</v>
      </c>
      <c r="AQ2408" s="2" t="s">
        <v>82</v>
      </c>
      <c r="AR2408" s="2"/>
      <c r="AS2408" s="2"/>
      <c r="AT2408" s="2" t="s">
        <v>8163</v>
      </c>
      <c r="AU2408" s="2"/>
      <c r="AV2408" s="2"/>
      <c r="AW2408" s="2"/>
      <c r="AX2408" s="2"/>
      <c r="AY2408" s="2">
        <v>41</v>
      </c>
      <c r="AZ2408" s="2" t="s">
        <v>82</v>
      </c>
      <c r="BA2408" s="2">
        <v>41</v>
      </c>
      <c r="BB2408" s="2" t="s">
        <v>82</v>
      </c>
      <c r="BC2408" s="2">
        <v>41</v>
      </c>
      <c r="BD2408" s="2" t="s">
        <v>82</v>
      </c>
      <c r="BE2408" s="2">
        <v>41</v>
      </c>
      <c r="BF2408" s="2" t="s">
        <v>82</v>
      </c>
      <c r="BG2408" s="2"/>
      <c r="BH2408" s="2"/>
      <c r="BI2408" s="2"/>
      <c r="BJ2408" s="2">
        <v>241</v>
      </c>
      <c r="BK2408" s="2" t="s">
        <v>82</v>
      </c>
      <c r="BL2408" s="2"/>
      <c r="BM2408" s="2">
        <v>241</v>
      </c>
      <c r="BN2408" s="2" t="s">
        <v>82</v>
      </c>
      <c r="BO2408" s="2"/>
      <c r="BP2408" s="2">
        <v>241</v>
      </c>
      <c r="BQ2408" s="2" t="s">
        <v>82</v>
      </c>
      <c r="BR2408" s="2"/>
      <c r="BS2408" s="3">
        <v>40338</v>
      </c>
      <c r="BT2408" s="4">
        <v>0.99093749999999992</v>
      </c>
    </row>
    <row r="2409" spans="1:72" x14ac:dyDescent="0.25">
      <c r="A2409" s="2">
        <v>3525</v>
      </c>
      <c r="B2409" s="2">
        <v>2010</v>
      </c>
      <c r="C2409" s="2" t="s">
        <v>93</v>
      </c>
      <c r="D2409" s="2" t="s">
        <v>73</v>
      </c>
      <c r="E2409" s="2"/>
      <c r="F2409" s="2">
        <v>482</v>
      </c>
      <c r="G2409" s="2" t="s">
        <v>1457</v>
      </c>
      <c r="H2409" s="2">
        <v>15</v>
      </c>
      <c r="I2409" s="2" t="s">
        <v>130</v>
      </c>
      <c r="J2409" s="2">
        <v>167</v>
      </c>
      <c r="K2409" s="2" t="s">
        <v>1032</v>
      </c>
      <c r="L2409" s="2" t="s">
        <v>1033</v>
      </c>
      <c r="M2409" s="3">
        <v>40339</v>
      </c>
      <c r="N2409" s="2" t="s">
        <v>8164</v>
      </c>
      <c r="O2409" s="2" t="s">
        <v>8165</v>
      </c>
      <c r="P2409" s="2" t="s">
        <v>8166</v>
      </c>
      <c r="Q2409" s="2" t="str">
        <f>""</f>
        <v/>
      </c>
      <c r="R2409" s="2"/>
      <c r="S2409" s="2"/>
      <c r="T2409" s="2">
        <v>1</v>
      </c>
      <c r="U2409" s="2" t="s">
        <v>79</v>
      </c>
      <c r="V2409" s="2">
        <v>1</v>
      </c>
      <c r="W2409" s="2" t="s">
        <v>80</v>
      </c>
      <c r="X2409" s="2">
        <v>10</v>
      </c>
      <c r="Y2409" s="2" t="s">
        <v>226</v>
      </c>
      <c r="Z2409" s="2">
        <v>6</v>
      </c>
      <c r="AA2409" s="2" t="s">
        <v>101</v>
      </c>
      <c r="AB2409" s="2">
        <v>2</v>
      </c>
      <c r="AC2409" s="2" t="s">
        <v>102</v>
      </c>
      <c r="AD2409" s="3">
        <v>40338</v>
      </c>
      <c r="AE2409" s="4">
        <v>0.8125</v>
      </c>
      <c r="AF2409" s="2"/>
      <c r="AG2409" s="2"/>
      <c r="AH2409" s="2">
        <v>2</v>
      </c>
      <c r="AI2409" s="2" t="s">
        <v>84</v>
      </c>
      <c r="AJ2409" s="2">
        <v>9</v>
      </c>
      <c r="AK2409" s="2" t="s">
        <v>103</v>
      </c>
      <c r="AL2409" s="2">
        <v>14</v>
      </c>
      <c r="AM2409" s="2" t="s">
        <v>216</v>
      </c>
      <c r="AN2409" s="2"/>
      <c r="AO2409" s="2" t="s">
        <v>7664</v>
      </c>
      <c r="AP2409" s="2">
        <v>11</v>
      </c>
      <c r="AQ2409" s="2" t="s">
        <v>82</v>
      </c>
      <c r="AR2409" s="2"/>
      <c r="AS2409" s="2"/>
      <c r="AT2409" s="2" t="s">
        <v>8167</v>
      </c>
      <c r="AU2409" s="2">
        <v>1</v>
      </c>
      <c r="AV2409" s="2"/>
      <c r="AW2409" s="2"/>
      <c r="AX2409" s="2"/>
      <c r="AY2409" s="2">
        <v>41</v>
      </c>
      <c r="AZ2409" s="2" t="s">
        <v>82</v>
      </c>
      <c r="BA2409" s="2">
        <v>115</v>
      </c>
      <c r="BB2409" s="2" t="s">
        <v>101</v>
      </c>
      <c r="BC2409" s="2">
        <v>41</v>
      </c>
      <c r="BD2409" s="2" t="s">
        <v>82</v>
      </c>
      <c r="BE2409" s="2">
        <v>33</v>
      </c>
      <c r="BF2409" s="2" t="s">
        <v>1083</v>
      </c>
      <c r="BG2409" s="2" t="s">
        <v>3495</v>
      </c>
      <c r="BH2409" s="4">
        <v>0.67569444444444438</v>
      </c>
      <c r="BI2409" s="2"/>
      <c r="BJ2409" s="2">
        <v>205</v>
      </c>
      <c r="BK2409" s="2" t="s">
        <v>1085</v>
      </c>
      <c r="BL2409" s="2" t="s">
        <v>1086</v>
      </c>
      <c r="BM2409" s="2">
        <v>241</v>
      </c>
      <c r="BN2409" s="2" t="s">
        <v>82</v>
      </c>
      <c r="BO2409" s="2"/>
      <c r="BP2409" s="2">
        <v>13</v>
      </c>
      <c r="BQ2409" s="2" t="s">
        <v>91</v>
      </c>
      <c r="BR2409" s="2" t="s">
        <v>360</v>
      </c>
      <c r="BS2409" s="3">
        <v>40339</v>
      </c>
      <c r="BT2409" s="4">
        <v>7.6504629629629631E-2</v>
      </c>
    </row>
    <row r="2410" spans="1:72" x14ac:dyDescent="0.25">
      <c r="A2410" s="2">
        <v>3526</v>
      </c>
      <c r="B2410" s="2">
        <v>2010</v>
      </c>
      <c r="C2410" s="2" t="s">
        <v>4543</v>
      </c>
      <c r="D2410" s="2" t="s">
        <v>122</v>
      </c>
      <c r="E2410" s="2"/>
      <c r="F2410" s="2">
        <v>1</v>
      </c>
      <c r="G2410" s="2" t="s">
        <v>82</v>
      </c>
      <c r="H2410" s="2">
        <v>1</v>
      </c>
      <c r="I2410" s="2" t="s">
        <v>82</v>
      </c>
      <c r="J2410" s="2">
        <v>1</v>
      </c>
      <c r="K2410" s="2" t="s">
        <v>107</v>
      </c>
      <c r="L2410" s="2" t="s">
        <v>107</v>
      </c>
      <c r="M2410" s="3">
        <v>40339</v>
      </c>
      <c r="N2410" s="2"/>
      <c r="O2410" s="2"/>
      <c r="P2410" s="2"/>
      <c r="Q2410" s="2" t="str">
        <f>""</f>
        <v/>
      </c>
      <c r="R2410" s="2"/>
      <c r="S2410" s="2"/>
      <c r="T2410" s="2">
        <v>2</v>
      </c>
      <c r="U2410" s="2" t="s">
        <v>123</v>
      </c>
      <c r="V2410" s="2">
        <v>1</v>
      </c>
      <c r="W2410" s="2" t="s">
        <v>80</v>
      </c>
      <c r="X2410" s="2">
        <v>11</v>
      </c>
      <c r="Y2410" s="2" t="s">
        <v>1920</v>
      </c>
      <c r="Z2410" s="2">
        <v>1</v>
      </c>
      <c r="AA2410" s="2" t="s">
        <v>82</v>
      </c>
      <c r="AB2410" s="2">
        <v>9</v>
      </c>
      <c r="AC2410" s="2" t="s">
        <v>124</v>
      </c>
      <c r="AD2410" s="3">
        <v>40339</v>
      </c>
      <c r="AE2410" s="4">
        <v>0.1423611111111111</v>
      </c>
      <c r="AF2410" s="2"/>
      <c r="AG2410" s="2"/>
      <c r="AH2410" s="2">
        <v>6</v>
      </c>
      <c r="AI2410" s="2" t="s">
        <v>197</v>
      </c>
      <c r="AJ2410" s="2">
        <v>54</v>
      </c>
      <c r="AK2410" s="2" t="s">
        <v>348</v>
      </c>
      <c r="AL2410" s="2">
        <v>18</v>
      </c>
      <c r="AM2410" s="2" t="s">
        <v>82</v>
      </c>
      <c r="AN2410" s="2" t="s">
        <v>595</v>
      </c>
      <c r="AO2410" s="2" t="s">
        <v>200</v>
      </c>
      <c r="AP2410" s="2">
        <v>14</v>
      </c>
      <c r="AQ2410" s="2" t="s">
        <v>3301</v>
      </c>
      <c r="AR2410" s="2" t="s">
        <v>596</v>
      </c>
      <c r="AS2410" s="2" t="s">
        <v>596</v>
      </c>
      <c r="AT2410" s="2" t="s">
        <v>8168</v>
      </c>
      <c r="AU2410" s="2"/>
      <c r="AV2410" s="2"/>
      <c r="AW2410" s="2"/>
      <c r="AX2410" s="2"/>
      <c r="AY2410" s="2">
        <v>1</v>
      </c>
      <c r="AZ2410" s="2" t="s">
        <v>107</v>
      </c>
      <c r="BA2410" s="2">
        <v>1</v>
      </c>
      <c r="BB2410" s="2" t="s">
        <v>107</v>
      </c>
      <c r="BC2410" s="2">
        <v>1</v>
      </c>
      <c r="BD2410" s="2" t="s">
        <v>107</v>
      </c>
      <c r="BE2410" s="2">
        <v>4</v>
      </c>
      <c r="BF2410" s="2" t="s">
        <v>90</v>
      </c>
      <c r="BG2410" s="2" t="s">
        <v>598</v>
      </c>
      <c r="BH2410" s="4">
        <v>5.6944444444444443E-2</v>
      </c>
      <c r="BI2410" s="4">
        <v>0.12847222222222224</v>
      </c>
      <c r="BJ2410" s="2">
        <v>13</v>
      </c>
      <c r="BK2410" s="2" t="s">
        <v>91</v>
      </c>
      <c r="BL2410" s="2" t="s">
        <v>2764</v>
      </c>
      <c r="BM2410" s="2">
        <v>242</v>
      </c>
      <c r="BN2410" s="2" t="s">
        <v>107</v>
      </c>
      <c r="BO2410" s="2"/>
      <c r="BP2410" s="2">
        <v>13</v>
      </c>
      <c r="BQ2410" s="2" t="s">
        <v>91</v>
      </c>
      <c r="BR2410" s="2" t="s">
        <v>2168</v>
      </c>
      <c r="BS2410" s="3">
        <v>40339</v>
      </c>
      <c r="BT2410" s="4">
        <v>0.15306712962962962</v>
      </c>
    </row>
    <row r="2411" spans="1:72" x14ac:dyDescent="0.25">
      <c r="A2411" s="2">
        <v>3527</v>
      </c>
      <c r="B2411" s="2">
        <v>2010</v>
      </c>
      <c r="C2411" s="2" t="s">
        <v>93</v>
      </c>
      <c r="D2411" s="2" t="s">
        <v>73</v>
      </c>
      <c r="E2411" s="2"/>
      <c r="F2411" s="2">
        <v>209</v>
      </c>
      <c r="G2411" s="2" t="s">
        <v>8169</v>
      </c>
      <c r="H2411" s="2">
        <v>125</v>
      </c>
      <c r="I2411" s="2" t="s">
        <v>8170</v>
      </c>
      <c r="J2411" s="2">
        <v>193</v>
      </c>
      <c r="K2411" s="2" t="s">
        <v>8171</v>
      </c>
      <c r="L2411" s="2" t="s">
        <v>8172</v>
      </c>
      <c r="M2411" s="3">
        <v>40339</v>
      </c>
      <c r="N2411" s="2" t="s">
        <v>8173</v>
      </c>
      <c r="O2411" s="2" t="s">
        <v>8174</v>
      </c>
      <c r="P2411" s="2" t="s">
        <v>8175</v>
      </c>
      <c r="Q2411" s="2" t="str">
        <f>""</f>
        <v/>
      </c>
      <c r="R2411" s="2"/>
      <c r="S2411" s="2"/>
      <c r="T2411" s="2">
        <v>1</v>
      </c>
      <c r="U2411" s="2" t="s">
        <v>79</v>
      </c>
      <c r="V2411" s="2">
        <v>1</v>
      </c>
      <c r="W2411" s="2" t="s">
        <v>80</v>
      </c>
      <c r="X2411" s="2">
        <v>10</v>
      </c>
      <c r="Y2411" s="2" t="s">
        <v>226</v>
      </c>
      <c r="Z2411" s="2">
        <v>6</v>
      </c>
      <c r="AA2411" s="2" t="s">
        <v>101</v>
      </c>
      <c r="AB2411" s="2">
        <v>2</v>
      </c>
      <c r="AC2411" s="2" t="s">
        <v>102</v>
      </c>
      <c r="AD2411" s="3">
        <v>40338</v>
      </c>
      <c r="AE2411" s="4">
        <v>0.81944444444444453</v>
      </c>
      <c r="AF2411" s="2"/>
      <c r="AG2411" s="2"/>
      <c r="AH2411" s="2">
        <v>2</v>
      </c>
      <c r="AI2411" s="2" t="s">
        <v>84</v>
      </c>
      <c r="AJ2411" s="2">
        <v>9</v>
      </c>
      <c r="AK2411" s="2" t="s">
        <v>103</v>
      </c>
      <c r="AL2411" s="2">
        <v>14</v>
      </c>
      <c r="AM2411" s="2" t="s">
        <v>216</v>
      </c>
      <c r="AN2411" s="2"/>
      <c r="AO2411" s="2" t="s">
        <v>7664</v>
      </c>
      <c r="AP2411" s="2">
        <v>11</v>
      </c>
      <c r="AQ2411" s="2" t="s">
        <v>82</v>
      </c>
      <c r="AR2411" s="2"/>
      <c r="AS2411" s="2"/>
      <c r="AT2411" s="2" t="s">
        <v>8176</v>
      </c>
      <c r="AU2411" s="2"/>
      <c r="AV2411" s="2"/>
      <c r="AW2411" s="2"/>
      <c r="AX2411" s="2"/>
      <c r="AY2411" s="2">
        <v>41</v>
      </c>
      <c r="AZ2411" s="2" t="s">
        <v>82</v>
      </c>
      <c r="BA2411" s="2">
        <v>115</v>
      </c>
      <c r="BB2411" s="2" t="s">
        <v>101</v>
      </c>
      <c r="BC2411" s="2">
        <v>41</v>
      </c>
      <c r="BD2411" s="2" t="s">
        <v>82</v>
      </c>
      <c r="BE2411" s="2">
        <v>20</v>
      </c>
      <c r="BF2411" s="2" t="s">
        <v>1681</v>
      </c>
      <c r="BG2411" s="2" t="s">
        <v>8177</v>
      </c>
      <c r="BH2411" s="4">
        <v>0.69791666666666663</v>
      </c>
      <c r="BI2411" s="2"/>
      <c r="BJ2411" s="2">
        <v>173</v>
      </c>
      <c r="BK2411" s="2" t="s">
        <v>223</v>
      </c>
      <c r="BL2411" s="2" t="s">
        <v>224</v>
      </c>
      <c r="BM2411" s="2">
        <v>241</v>
      </c>
      <c r="BN2411" s="2" t="s">
        <v>82</v>
      </c>
      <c r="BO2411" s="2"/>
      <c r="BP2411" s="2">
        <v>13</v>
      </c>
      <c r="BQ2411" s="2" t="s">
        <v>91</v>
      </c>
      <c r="BR2411" s="2" t="s">
        <v>360</v>
      </c>
      <c r="BS2411" s="3">
        <v>40339</v>
      </c>
      <c r="BT2411" s="4">
        <v>0.16881944444444444</v>
      </c>
    </row>
    <row r="2412" spans="1:72" x14ac:dyDescent="0.25">
      <c r="A2412" s="2">
        <v>3528</v>
      </c>
      <c r="B2412" s="2">
        <v>2010</v>
      </c>
      <c r="C2412" s="2" t="s">
        <v>171</v>
      </c>
      <c r="D2412" s="2" t="s">
        <v>73</v>
      </c>
      <c r="E2412" s="2"/>
      <c r="F2412" s="2">
        <v>396</v>
      </c>
      <c r="G2412" s="2" t="s">
        <v>2159</v>
      </c>
      <c r="H2412" s="2">
        <v>9</v>
      </c>
      <c r="I2412" s="2" t="s">
        <v>794</v>
      </c>
      <c r="J2412" s="2">
        <v>243</v>
      </c>
      <c r="K2412" s="2" t="s">
        <v>2160</v>
      </c>
      <c r="L2412" s="2" t="s">
        <v>2145</v>
      </c>
      <c r="M2412" s="3">
        <v>40339</v>
      </c>
      <c r="N2412" s="2" t="s">
        <v>2161</v>
      </c>
      <c r="O2412" s="2" t="s">
        <v>107</v>
      </c>
      <c r="P2412" s="2" t="s">
        <v>107</v>
      </c>
      <c r="Q2412" s="2" t="str">
        <f>"309-E/10"</f>
        <v>309-E/10</v>
      </c>
      <c r="R2412" s="2" t="s">
        <v>107</v>
      </c>
      <c r="S2412" s="2" t="s">
        <v>391</v>
      </c>
      <c r="T2412" s="2">
        <v>1</v>
      </c>
      <c r="U2412" s="2" t="s">
        <v>79</v>
      </c>
      <c r="V2412" s="2">
        <v>1</v>
      </c>
      <c r="W2412" s="2" t="s">
        <v>80</v>
      </c>
      <c r="X2412" s="2">
        <v>3</v>
      </c>
      <c r="Y2412" s="2" t="s">
        <v>698</v>
      </c>
      <c r="Z2412" s="2">
        <v>2</v>
      </c>
      <c r="AA2412" s="2" t="s">
        <v>2148</v>
      </c>
      <c r="AB2412" s="2">
        <v>1</v>
      </c>
      <c r="AC2412" s="2" t="s">
        <v>178</v>
      </c>
      <c r="AD2412" s="3">
        <v>40339</v>
      </c>
      <c r="AE2412" s="4">
        <v>6.25E-2</v>
      </c>
      <c r="AF2412" s="2"/>
      <c r="AG2412" s="2"/>
      <c r="AH2412" s="2">
        <v>2</v>
      </c>
      <c r="AI2412" s="2" t="s">
        <v>84</v>
      </c>
      <c r="AJ2412" s="2">
        <v>9</v>
      </c>
      <c r="AK2412" s="2" t="s">
        <v>103</v>
      </c>
      <c r="AL2412" s="2">
        <v>16</v>
      </c>
      <c r="AM2412" s="2" t="s">
        <v>392</v>
      </c>
      <c r="AN2412" s="2" t="s">
        <v>8178</v>
      </c>
      <c r="AO2412" s="2" t="s">
        <v>8179</v>
      </c>
      <c r="AP2412" s="2">
        <v>6</v>
      </c>
      <c r="AQ2412" s="2" t="s">
        <v>394</v>
      </c>
      <c r="AR2412" s="2" t="s">
        <v>8180</v>
      </c>
      <c r="AS2412" s="2" t="s">
        <v>8181</v>
      </c>
      <c r="AT2412" s="2" t="s">
        <v>8182</v>
      </c>
      <c r="AU2412" s="2"/>
      <c r="AV2412" s="2"/>
      <c r="AW2412" s="2"/>
      <c r="AX2412" s="2"/>
      <c r="AY2412" s="2">
        <v>41</v>
      </c>
      <c r="AZ2412" s="2" t="s">
        <v>82</v>
      </c>
      <c r="BA2412" s="2">
        <v>41</v>
      </c>
      <c r="BB2412" s="2" t="s">
        <v>82</v>
      </c>
      <c r="BC2412" s="2">
        <v>41</v>
      </c>
      <c r="BD2412" s="2" t="s">
        <v>82</v>
      </c>
      <c r="BE2412" s="2">
        <v>31</v>
      </c>
      <c r="BF2412" s="2" t="s">
        <v>398</v>
      </c>
      <c r="BG2412" s="2">
        <v>6842</v>
      </c>
      <c r="BH2412" s="2"/>
      <c r="BI2412" s="4">
        <v>0.54166666666666663</v>
      </c>
      <c r="BJ2412" s="2">
        <v>13</v>
      </c>
      <c r="BK2412" s="2" t="s">
        <v>91</v>
      </c>
      <c r="BL2412" s="2" t="s">
        <v>1705</v>
      </c>
      <c r="BM2412" s="2">
        <v>13</v>
      </c>
      <c r="BN2412" s="2" t="s">
        <v>91</v>
      </c>
      <c r="BO2412" s="2" t="s">
        <v>8183</v>
      </c>
      <c r="BP2412" s="2">
        <v>205</v>
      </c>
      <c r="BQ2412" s="2" t="s">
        <v>1085</v>
      </c>
      <c r="BR2412" s="2" t="s">
        <v>8184</v>
      </c>
      <c r="BS2412" s="3">
        <v>40339</v>
      </c>
      <c r="BT2412" s="4">
        <v>0.20652777777777778</v>
      </c>
    </row>
    <row r="2413" spans="1:72" x14ac:dyDescent="0.25">
      <c r="A2413" s="2">
        <v>3529</v>
      </c>
      <c r="B2413" s="2">
        <v>2010</v>
      </c>
      <c r="C2413" s="2" t="s">
        <v>93</v>
      </c>
      <c r="D2413" s="2" t="s">
        <v>122</v>
      </c>
      <c r="E2413" s="2" t="s">
        <v>8185</v>
      </c>
      <c r="F2413" s="2">
        <v>482</v>
      </c>
      <c r="G2413" s="2" t="s">
        <v>1457</v>
      </c>
      <c r="H2413" s="2">
        <v>15</v>
      </c>
      <c r="I2413" s="2" t="s">
        <v>130</v>
      </c>
      <c r="J2413" s="2">
        <v>167</v>
      </c>
      <c r="K2413" s="2" t="s">
        <v>1032</v>
      </c>
      <c r="L2413" s="2" t="s">
        <v>1033</v>
      </c>
      <c r="M2413" s="3">
        <v>40339</v>
      </c>
      <c r="N2413" s="2" t="s">
        <v>8164</v>
      </c>
      <c r="O2413" s="2" t="s">
        <v>8165</v>
      </c>
      <c r="P2413" s="2" t="s">
        <v>8166</v>
      </c>
      <c r="Q2413" s="2" t="str">
        <f>""</f>
        <v/>
      </c>
      <c r="R2413" s="2"/>
      <c r="S2413" s="2"/>
      <c r="T2413" s="2">
        <v>1</v>
      </c>
      <c r="U2413" s="2" t="s">
        <v>79</v>
      </c>
      <c r="V2413" s="2">
        <v>1</v>
      </c>
      <c r="W2413" s="2" t="s">
        <v>80</v>
      </c>
      <c r="X2413" s="2">
        <v>10</v>
      </c>
      <c r="Y2413" s="2" t="s">
        <v>226</v>
      </c>
      <c r="Z2413" s="2">
        <v>6</v>
      </c>
      <c r="AA2413" s="2" t="s">
        <v>101</v>
      </c>
      <c r="AB2413" s="2">
        <v>2</v>
      </c>
      <c r="AC2413" s="2" t="s">
        <v>102</v>
      </c>
      <c r="AD2413" s="3">
        <v>40338</v>
      </c>
      <c r="AE2413" s="4">
        <v>0.8125</v>
      </c>
      <c r="AF2413" s="2"/>
      <c r="AG2413" s="2"/>
      <c r="AH2413" s="2">
        <v>2</v>
      </c>
      <c r="AI2413" s="2" t="s">
        <v>84</v>
      </c>
      <c r="AJ2413" s="2">
        <v>9</v>
      </c>
      <c r="AK2413" s="2" t="s">
        <v>103</v>
      </c>
      <c r="AL2413" s="2">
        <v>14</v>
      </c>
      <c r="AM2413" s="2" t="s">
        <v>216</v>
      </c>
      <c r="AN2413" s="2" t="s">
        <v>2409</v>
      </c>
      <c r="AO2413" s="2"/>
      <c r="AP2413" s="2">
        <v>11</v>
      </c>
      <c r="AQ2413" s="2" t="s">
        <v>82</v>
      </c>
      <c r="AR2413" s="2"/>
      <c r="AS2413" s="2"/>
      <c r="AT2413" s="2" t="s">
        <v>8186</v>
      </c>
      <c r="AU2413" s="2">
        <v>1</v>
      </c>
      <c r="AV2413" s="2"/>
      <c r="AW2413" s="2"/>
      <c r="AX2413" s="2"/>
      <c r="AY2413" s="2">
        <v>42</v>
      </c>
      <c r="AZ2413" s="2" t="s">
        <v>182</v>
      </c>
      <c r="BA2413" s="2">
        <v>115</v>
      </c>
      <c r="BB2413" s="2" t="s">
        <v>101</v>
      </c>
      <c r="BC2413" s="2">
        <v>70</v>
      </c>
      <c r="BD2413" s="2" t="s">
        <v>236</v>
      </c>
      <c r="BE2413" s="2">
        <v>33</v>
      </c>
      <c r="BF2413" s="2" t="s">
        <v>1083</v>
      </c>
      <c r="BG2413" s="2" t="s">
        <v>3495</v>
      </c>
      <c r="BH2413" s="4">
        <v>0.67569444444444438</v>
      </c>
      <c r="BI2413" s="2"/>
      <c r="BJ2413" s="2">
        <v>205</v>
      </c>
      <c r="BK2413" s="2" t="s">
        <v>1085</v>
      </c>
      <c r="BL2413" s="2" t="s">
        <v>1086</v>
      </c>
      <c r="BM2413" s="2">
        <v>241</v>
      </c>
      <c r="BN2413" s="2" t="s">
        <v>82</v>
      </c>
      <c r="BO2413" s="2"/>
      <c r="BP2413" s="2">
        <v>13</v>
      </c>
      <c r="BQ2413" s="2" t="s">
        <v>91</v>
      </c>
      <c r="BR2413" s="2" t="s">
        <v>360</v>
      </c>
      <c r="BS2413" s="3">
        <v>40339</v>
      </c>
      <c r="BT2413" s="4">
        <v>0.40609953703703705</v>
      </c>
    </row>
    <row r="2414" spans="1:72" x14ac:dyDescent="0.25">
      <c r="A2414" s="2">
        <v>3530</v>
      </c>
      <c r="B2414" s="2">
        <v>2010</v>
      </c>
      <c r="C2414" s="2" t="s">
        <v>819</v>
      </c>
      <c r="D2414" s="2" t="s">
        <v>122</v>
      </c>
      <c r="E2414" s="2" t="s">
        <v>8187</v>
      </c>
      <c r="F2414" s="2">
        <v>425</v>
      </c>
      <c r="G2414" s="2" t="s">
        <v>286</v>
      </c>
      <c r="H2414" s="2">
        <v>39</v>
      </c>
      <c r="I2414" s="2" t="s">
        <v>1117</v>
      </c>
      <c r="J2414" s="2">
        <v>310</v>
      </c>
      <c r="K2414" s="2" t="s">
        <v>288</v>
      </c>
      <c r="L2414" s="2" t="s">
        <v>289</v>
      </c>
      <c r="M2414" s="3">
        <v>40339</v>
      </c>
      <c r="N2414" s="2" t="s">
        <v>2049</v>
      </c>
      <c r="O2414" s="2"/>
      <c r="P2414" s="2"/>
      <c r="Q2414" s="2" t="str">
        <f>"066/10"</f>
        <v>066/10</v>
      </c>
      <c r="R2414" s="2"/>
      <c r="S2414" s="2" t="s">
        <v>822</v>
      </c>
      <c r="T2414" s="2">
        <v>1</v>
      </c>
      <c r="U2414" s="2" t="s">
        <v>79</v>
      </c>
      <c r="V2414" s="2">
        <v>1</v>
      </c>
      <c r="W2414" s="2" t="s">
        <v>80</v>
      </c>
      <c r="X2414" s="2">
        <v>1</v>
      </c>
      <c r="Y2414" s="2" t="s">
        <v>81</v>
      </c>
      <c r="Z2414" s="2">
        <v>10</v>
      </c>
      <c r="AA2414" s="2" t="s">
        <v>236</v>
      </c>
      <c r="AB2414" s="2">
        <v>9</v>
      </c>
      <c r="AC2414" s="2" t="s">
        <v>124</v>
      </c>
      <c r="AD2414" s="3">
        <v>40339</v>
      </c>
      <c r="AE2414" s="4">
        <v>0.375</v>
      </c>
      <c r="AF2414" s="2"/>
      <c r="AG2414" s="2"/>
      <c r="AH2414" s="2">
        <v>4</v>
      </c>
      <c r="AI2414" s="2" t="s">
        <v>125</v>
      </c>
      <c r="AJ2414" s="2">
        <v>29</v>
      </c>
      <c r="AK2414" s="2" t="s">
        <v>227</v>
      </c>
      <c r="AL2414" s="2">
        <v>16</v>
      </c>
      <c r="AM2414" s="2" t="s">
        <v>392</v>
      </c>
      <c r="AN2414" s="2" t="s">
        <v>3040</v>
      </c>
      <c r="AO2414" s="2" t="s">
        <v>5095</v>
      </c>
      <c r="AP2414" s="2">
        <v>12</v>
      </c>
      <c r="AQ2414" s="2" t="s">
        <v>322</v>
      </c>
      <c r="AR2414" s="2" t="s">
        <v>824</v>
      </c>
      <c r="AS2414" s="2" t="s">
        <v>825</v>
      </c>
      <c r="AT2414" s="2" t="s">
        <v>8188</v>
      </c>
      <c r="AU2414" s="2"/>
      <c r="AV2414" s="2"/>
      <c r="AW2414" s="2"/>
      <c r="AX2414" s="2"/>
      <c r="AY2414" s="2">
        <v>41</v>
      </c>
      <c r="AZ2414" s="2" t="s">
        <v>82</v>
      </c>
      <c r="BA2414" s="2">
        <v>41</v>
      </c>
      <c r="BB2414" s="2" t="s">
        <v>82</v>
      </c>
      <c r="BC2414" s="2">
        <v>51</v>
      </c>
      <c r="BD2414" s="2" t="s">
        <v>827</v>
      </c>
      <c r="BE2414" s="2">
        <v>13</v>
      </c>
      <c r="BF2414" s="2" t="s">
        <v>108</v>
      </c>
      <c r="BG2414" s="2">
        <v>1459</v>
      </c>
      <c r="BH2414" s="4">
        <v>0.88888888888888884</v>
      </c>
      <c r="BI2414" s="4">
        <v>0.92013888888888884</v>
      </c>
      <c r="BJ2414" s="2">
        <v>13</v>
      </c>
      <c r="BK2414" s="2" t="s">
        <v>91</v>
      </c>
      <c r="BL2414" s="2" t="s">
        <v>828</v>
      </c>
      <c r="BM2414" s="2">
        <v>241</v>
      </c>
      <c r="BN2414" s="2" t="s">
        <v>82</v>
      </c>
      <c r="BO2414" s="2" t="s">
        <v>82</v>
      </c>
      <c r="BP2414" s="2">
        <v>13</v>
      </c>
      <c r="BQ2414" s="2" t="s">
        <v>91</v>
      </c>
      <c r="BR2414" s="2" t="s">
        <v>185</v>
      </c>
      <c r="BS2414" s="3">
        <v>40339</v>
      </c>
      <c r="BT2414" s="4">
        <v>0.45245370370370369</v>
      </c>
    </row>
    <row r="2415" spans="1:72" x14ac:dyDescent="0.25">
      <c r="A2415" s="2">
        <v>3533</v>
      </c>
      <c r="B2415" s="2">
        <v>2010</v>
      </c>
      <c r="C2415" s="2" t="s">
        <v>819</v>
      </c>
      <c r="D2415" s="2" t="s">
        <v>122</v>
      </c>
      <c r="E2415" s="2"/>
      <c r="F2415" s="2">
        <v>425</v>
      </c>
      <c r="G2415" s="2" t="s">
        <v>286</v>
      </c>
      <c r="H2415" s="2">
        <v>39</v>
      </c>
      <c r="I2415" s="2" t="s">
        <v>1117</v>
      </c>
      <c r="J2415" s="2">
        <v>310</v>
      </c>
      <c r="K2415" s="2" t="s">
        <v>288</v>
      </c>
      <c r="L2415" s="2" t="s">
        <v>289</v>
      </c>
      <c r="M2415" s="3">
        <v>40339</v>
      </c>
      <c r="N2415" s="2" t="s">
        <v>2049</v>
      </c>
      <c r="O2415" s="2"/>
      <c r="P2415" s="2"/>
      <c r="Q2415" s="2" t="str">
        <f>"067/10"</f>
        <v>067/10</v>
      </c>
      <c r="R2415" s="2"/>
      <c r="S2415" s="2" t="s">
        <v>822</v>
      </c>
      <c r="T2415" s="2">
        <v>1</v>
      </c>
      <c r="U2415" s="2" t="s">
        <v>79</v>
      </c>
      <c r="V2415" s="2">
        <v>1</v>
      </c>
      <c r="W2415" s="2" t="s">
        <v>80</v>
      </c>
      <c r="X2415" s="2">
        <v>1</v>
      </c>
      <c r="Y2415" s="2" t="s">
        <v>81</v>
      </c>
      <c r="Z2415" s="2">
        <v>10</v>
      </c>
      <c r="AA2415" s="2" t="s">
        <v>236</v>
      </c>
      <c r="AB2415" s="2">
        <v>9</v>
      </c>
      <c r="AC2415" s="2" t="s">
        <v>124</v>
      </c>
      <c r="AD2415" s="3">
        <v>40339</v>
      </c>
      <c r="AE2415" s="4">
        <v>0.41666666666666669</v>
      </c>
      <c r="AF2415" s="2"/>
      <c r="AG2415" s="2"/>
      <c r="AH2415" s="2">
        <v>4</v>
      </c>
      <c r="AI2415" s="2" t="s">
        <v>125</v>
      </c>
      <c r="AJ2415" s="2">
        <v>29</v>
      </c>
      <c r="AK2415" s="2" t="s">
        <v>227</v>
      </c>
      <c r="AL2415" s="2">
        <v>16</v>
      </c>
      <c r="AM2415" s="2" t="s">
        <v>392</v>
      </c>
      <c r="AN2415" s="2" t="s">
        <v>1015</v>
      </c>
      <c r="AO2415" s="2"/>
      <c r="AP2415" s="2">
        <v>12</v>
      </c>
      <c r="AQ2415" s="2" t="s">
        <v>322</v>
      </c>
      <c r="AR2415" s="2" t="s">
        <v>824</v>
      </c>
      <c r="AS2415" s="2" t="s">
        <v>825</v>
      </c>
      <c r="AT2415" s="2" t="s">
        <v>8189</v>
      </c>
      <c r="AU2415" s="2"/>
      <c r="AV2415" s="2"/>
      <c r="AW2415" s="2"/>
      <c r="AX2415" s="2"/>
      <c r="AY2415" s="2">
        <v>41</v>
      </c>
      <c r="AZ2415" s="2" t="s">
        <v>82</v>
      </c>
      <c r="BA2415" s="2">
        <v>41</v>
      </c>
      <c r="BB2415" s="2" t="s">
        <v>82</v>
      </c>
      <c r="BC2415" s="2">
        <v>51</v>
      </c>
      <c r="BD2415" s="2" t="s">
        <v>827</v>
      </c>
      <c r="BE2415" s="2">
        <v>47</v>
      </c>
      <c r="BF2415" s="2" t="s">
        <v>167</v>
      </c>
      <c r="BG2415" s="2">
        <v>2451</v>
      </c>
      <c r="BH2415" s="4">
        <v>0.375</v>
      </c>
      <c r="BI2415" s="4">
        <v>0.4236111111111111</v>
      </c>
      <c r="BJ2415" s="2">
        <v>13</v>
      </c>
      <c r="BK2415" s="2" t="s">
        <v>91</v>
      </c>
      <c r="BL2415" s="2" t="s">
        <v>828</v>
      </c>
      <c r="BM2415" s="2">
        <v>241</v>
      </c>
      <c r="BN2415" s="2" t="s">
        <v>82</v>
      </c>
      <c r="BO2415" s="2"/>
      <c r="BP2415" s="2">
        <v>13</v>
      </c>
      <c r="BQ2415" s="2" t="s">
        <v>91</v>
      </c>
      <c r="BR2415" s="2" t="s">
        <v>185</v>
      </c>
      <c r="BS2415" s="3">
        <v>40339</v>
      </c>
      <c r="BT2415" s="4">
        <v>0.48932870370370374</v>
      </c>
    </row>
    <row r="2416" spans="1:72" x14ac:dyDescent="0.25">
      <c r="A2416" s="2">
        <v>3534</v>
      </c>
      <c r="B2416" s="2">
        <v>2010</v>
      </c>
      <c r="C2416" s="2" t="s">
        <v>4543</v>
      </c>
      <c r="D2416" s="2" t="s">
        <v>122</v>
      </c>
      <c r="E2416" s="2"/>
      <c r="F2416" s="2">
        <v>540</v>
      </c>
      <c r="G2416" s="2" t="s">
        <v>7178</v>
      </c>
      <c r="H2416" s="2">
        <v>5</v>
      </c>
      <c r="I2416" s="2" t="s">
        <v>634</v>
      </c>
      <c r="J2416" s="2">
        <v>164</v>
      </c>
      <c r="K2416" s="2" t="s">
        <v>3254</v>
      </c>
      <c r="L2416" s="2" t="s">
        <v>946</v>
      </c>
      <c r="M2416" s="3">
        <v>40339</v>
      </c>
      <c r="N2416" s="2" t="s">
        <v>8190</v>
      </c>
      <c r="O2416" s="2" t="s">
        <v>82</v>
      </c>
      <c r="P2416" s="2" t="s">
        <v>82</v>
      </c>
      <c r="Q2416" s="2" t="str">
        <f>"N/C"</f>
        <v>N/C</v>
      </c>
      <c r="R2416" s="2" t="s">
        <v>82</v>
      </c>
      <c r="S2416" s="2" t="s">
        <v>82</v>
      </c>
      <c r="T2416" s="2">
        <v>2</v>
      </c>
      <c r="U2416" s="2" t="s">
        <v>123</v>
      </c>
      <c r="V2416" s="2">
        <v>1</v>
      </c>
      <c r="W2416" s="2" t="s">
        <v>80</v>
      </c>
      <c r="X2416" s="2">
        <v>1</v>
      </c>
      <c r="Y2416" s="2" t="s">
        <v>81</v>
      </c>
      <c r="Z2416" s="2">
        <v>10</v>
      </c>
      <c r="AA2416" s="2" t="s">
        <v>236</v>
      </c>
      <c r="AB2416" s="2">
        <v>9</v>
      </c>
      <c r="AC2416" s="2" t="s">
        <v>124</v>
      </c>
      <c r="AD2416" s="3">
        <v>40339</v>
      </c>
      <c r="AE2416" s="4">
        <v>0.33333333333333331</v>
      </c>
      <c r="AF2416" s="2"/>
      <c r="AG2416" s="2"/>
      <c r="AH2416" s="2">
        <v>2</v>
      </c>
      <c r="AI2416" s="2" t="s">
        <v>84</v>
      </c>
      <c r="AJ2416" s="2">
        <v>12</v>
      </c>
      <c r="AK2416" s="2" t="s">
        <v>85</v>
      </c>
      <c r="AL2416" s="2">
        <v>24</v>
      </c>
      <c r="AM2416" s="2" t="s">
        <v>1540</v>
      </c>
      <c r="AN2416" s="2" t="s">
        <v>8191</v>
      </c>
      <c r="AO2416" s="2" t="s">
        <v>8192</v>
      </c>
      <c r="AP2416" s="2">
        <v>11</v>
      </c>
      <c r="AQ2416" s="2" t="s">
        <v>82</v>
      </c>
      <c r="AR2416" s="2"/>
      <c r="AS2416" s="2"/>
      <c r="AT2416" s="2" t="s">
        <v>8193</v>
      </c>
      <c r="AU2416" s="2"/>
      <c r="AV2416" s="2"/>
      <c r="AW2416" s="2"/>
      <c r="AX2416" s="2"/>
      <c r="AY2416" s="2">
        <v>41</v>
      </c>
      <c r="AZ2416" s="2" t="s">
        <v>82</v>
      </c>
      <c r="BA2416" s="2">
        <v>41</v>
      </c>
      <c r="BB2416" s="2" t="s">
        <v>82</v>
      </c>
      <c r="BC2416" s="2">
        <v>41</v>
      </c>
      <c r="BD2416" s="2" t="s">
        <v>82</v>
      </c>
      <c r="BE2416" s="2">
        <v>41</v>
      </c>
      <c r="BF2416" s="2" t="s">
        <v>82</v>
      </c>
      <c r="BG2416" s="2"/>
      <c r="BH2416" s="2"/>
      <c r="BI2416" s="2"/>
      <c r="BJ2416" s="2">
        <v>241</v>
      </c>
      <c r="BK2416" s="2" t="s">
        <v>82</v>
      </c>
      <c r="BL2416" s="2"/>
      <c r="BM2416" s="2">
        <v>241</v>
      </c>
      <c r="BN2416" s="2" t="s">
        <v>82</v>
      </c>
      <c r="BO2416" s="2"/>
      <c r="BP2416" s="2">
        <v>241</v>
      </c>
      <c r="BQ2416" s="2" t="s">
        <v>82</v>
      </c>
      <c r="BR2416" s="2"/>
      <c r="BS2416" s="3">
        <v>40339</v>
      </c>
      <c r="BT2416" s="4">
        <v>0.49857638888888894</v>
      </c>
    </row>
    <row r="2417" spans="1:72" x14ac:dyDescent="0.25">
      <c r="A2417" s="2">
        <v>3537</v>
      </c>
      <c r="B2417" s="2">
        <v>2010</v>
      </c>
      <c r="C2417" s="2" t="s">
        <v>1559</v>
      </c>
      <c r="D2417" s="2" t="s">
        <v>73</v>
      </c>
      <c r="E2417" s="2"/>
      <c r="F2417" s="2">
        <v>636</v>
      </c>
      <c r="G2417" s="2" t="s">
        <v>8194</v>
      </c>
      <c r="H2417" s="2">
        <v>108</v>
      </c>
      <c r="I2417" s="2" t="s">
        <v>1096</v>
      </c>
      <c r="J2417" s="2">
        <v>578</v>
      </c>
      <c r="K2417" s="2" t="s">
        <v>8195</v>
      </c>
      <c r="L2417" s="2" t="s">
        <v>8196</v>
      </c>
      <c r="M2417" s="3">
        <v>40339</v>
      </c>
      <c r="N2417" s="2" t="s">
        <v>8197</v>
      </c>
      <c r="O2417" s="2" t="s">
        <v>8198</v>
      </c>
      <c r="P2417" s="2">
        <v>854</v>
      </c>
      <c r="Q2417" s="2" t="str">
        <f>"N/C"</f>
        <v>N/C</v>
      </c>
      <c r="R2417" s="2" t="s">
        <v>82</v>
      </c>
      <c r="S2417" s="2" t="s">
        <v>82</v>
      </c>
      <c r="T2417" s="2">
        <v>1</v>
      </c>
      <c r="U2417" s="2" t="s">
        <v>79</v>
      </c>
      <c r="V2417" s="2">
        <v>3</v>
      </c>
      <c r="W2417" s="2" t="s">
        <v>225</v>
      </c>
      <c r="X2417" s="2">
        <v>6</v>
      </c>
      <c r="Y2417" s="2" t="s">
        <v>249</v>
      </c>
      <c r="Z2417" s="2">
        <v>1</v>
      </c>
      <c r="AA2417" s="2" t="s">
        <v>82</v>
      </c>
      <c r="AB2417" s="2">
        <v>9</v>
      </c>
      <c r="AC2417" s="2" t="s">
        <v>124</v>
      </c>
      <c r="AD2417" s="2"/>
      <c r="AE2417" s="2"/>
      <c r="AF2417" s="3">
        <v>40339</v>
      </c>
      <c r="AG2417" s="4">
        <v>0.375</v>
      </c>
      <c r="AH2417" s="2">
        <v>7</v>
      </c>
      <c r="AI2417" s="2" t="s">
        <v>801</v>
      </c>
      <c r="AJ2417" s="2">
        <v>3</v>
      </c>
      <c r="AK2417" s="2" t="s">
        <v>802</v>
      </c>
      <c r="AL2417" s="2">
        <v>23</v>
      </c>
      <c r="AM2417" s="2" t="s">
        <v>251</v>
      </c>
      <c r="AN2417" s="2" t="s">
        <v>107</v>
      </c>
      <c r="AO2417" s="2" t="s">
        <v>8199</v>
      </c>
      <c r="AP2417" s="2">
        <v>11</v>
      </c>
      <c r="AQ2417" s="2" t="s">
        <v>82</v>
      </c>
      <c r="AR2417" s="2" t="s">
        <v>107</v>
      </c>
      <c r="AS2417" s="2" t="s">
        <v>107</v>
      </c>
      <c r="AT2417" s="2" t="s">
        <v>8200</v>
      </c>
      <c r="AU2417" s="2"/>
      <c r="AV2417" s="2"/>
      <c r="AW2417" s="2"/>
      <c r="AX2417" s="2"/>
      <c r="AY2417" s="2">
        <v>1</v>
      </c>
      <c r="AZ2417" s="2" t="s">
        <v>107</v>
      </c>
      <c r="BA2417" s="2">
        <v>1</v>
      </c>
      <c r="BB2417" s="2" t="s">
        <v>107</v>
      </c>
      <c r="BC2417" s="2">
        <v>1</v>
      </c>
      <c r="BD2417" s="2" t="s">
        <v>107</v>
      </c>
      <c r="BE2417" s="2">
        <v>1</v>
      </c>
      <c r="BF2417" s="2" t="s">
        <v>107</v>
      </c>
      <c r="BG2417" s="2" t="s">
        <v>107</v>
      </c>
      <c r="BH2417" s="2"/>
      <c r="BI2417" s="2"/>
      <c r="BJ2417" s="2">
        <v>242</v>
      </c>
      <c r="BK2417" s="2" t="s">
        <v>107</v>
      </c>
      <c r="BL2417" s="2" t="s">
        <v>107</v>
      </c>
      <c r="BM2417" s="2">
        <v>242</v>
      </c>
      <c r="BN2417" s="2" t="s">
        <v>107</v>
      </c>
      <c r="BO2417" s="2" t="s">
        <v>107</v>
      </c>
      <c r="BP2417" s="2">
        <v>242</v>
      </c>
      <c r="BQ2417" s="2" t="s">
        <v>107</v>
      </c>
      <c r="BR2417" s="2" t="s">
        <v>107</v>
      </c>
      <c r="BS2417" s="3">
        <v>40339</v>
      </c>
      <c r="BT2417" s="4">
        <v>0.61093750000000002</v>
      </c>
    </row>
    <row r="2418" spans="1:72" x14ac:dyDescent="0.25">
      <c r="A2418" s="2">
        <v>3540</v>
      </c>
      <c r="B2418" s="2">
        <v>2010</v>
      </c>
      <c r="C2418" s="2" t="s">
        <v>1017</v>
      </c>
      <c r="D2418" s="2" t="s">
        <v>73</v>
      </c>
      <c r="E2418" s="2"/>
      <c r="F2418" s="2">
        <v>1</v>
      </c>
      <c r="G2418" s="2" t="s">
        <v>82</v>
      </c>
      <c r="H2418" s="2">
        <v>1</v>
      </c>
      <c r="I2418" s="2" t="s">
        <v>82</v>
      </c>
      <c r="J2418" s="2">
        <v>1</v>
      </c>
      <c r="K2418" s="2" t="s">
        <v>107</v>
      </c>
      <c r="L2418" s="2" t="s">
        <v>107</v>
      </c>
      <c r="M2418" s="3">
        <v>40339</v>
      </c>
      <c r="N2418" s="2"/>
      <c r="O2418" s="2"/>
      <c r="P2418" s="2"/>
      <c r="Q2418" s="2" t="str">
        <f>""</f>
        <v/>
      </c>
      <c r="R2418" s="2"/>
      <c r="S2418" s="2"/>
      <c r="T2418" s="2">
        <v>1</v>
      </c>
      <c r="U2418" s="2" t="s">
        <v>79</v>
      </c>
      <c r="V2418" s="2">
        <v>1</v>
      </c>
      <c r="W2418" s="2" t="s">
        <v>80</v>
      </c>
      <c r="X2418" s="2">
        <v>1</v>
      </c>
      <c r="Y2418" s="2" t="s">
        <v>81</v>
      </c>
      <c r="Z2418" s="2">
        <v>1</v>
      </c>
      <c r="AA2418" s="2" t="s">
        <v>82</v>
      </c>
      <c r="AB2418" s="2">
        <v>7</v>
      </c>
      <c r="AC2418" s="2" t="s">
        <v>1023</v>
      </c>
      <c r="AD2418" s="3">
        <v>40338</v>
      </c>
      <c r="AE2418" s="4">
        <v>0.39583333333333331</v>
      </c>
      <c r="AF2418" s="2"/>
      <c r="AG2418" s="2"/>
      <c r="AH2418" s="2">
        <v>6</v>
      </c>
      <c r="AI2418" s="2" t="s">
        <v>197</v>
      </c>
      <c r="AJ2418" s="2">
        <v>51</v>
      </c>
      <c r="AK2418" s="2" t="s">
        <v>238</v>
      </c>
      <c r="AL2418" s="2">
        <v>16</v>
      </c>
      <c r="AM2418" s="2" t="s">
        <v>392</v>
      </c>
      <c r="AN2418" s="2"/>
      <c r="AO2418" s="2"/>
      <c r="AP2418" s="2">
        <v>12</v>
      </c>
      <c r="AQ2418" s="2" t="s">
        <v>322</v>
      </c>
      <c r="AR2418" s="2" t="s">
        <v>322</v>
      </c>
      <c r="AS2418" s="2" t="s">
        <v>322</v>
      </c>
      <c r="AT2418" s="2" t="s">
        <v>8201</v>
      </c>
      <c r="AU2418" s="2"/>
      <c r="AV2418" s="2"/>
      <c r="AW2418" s="2"/>
      <c r="AX2418" s="2"/>
      <c r="AY2418" s="2">
        <v>1</v>
      </c>
      <c r="AZ2418" s="2" t="s">
        <v>107</v>
      </c>
      <c r="BA2418" s="2">
        <v>1</v>
      </c>
      <c r="BB2418" s="2" t="s">
        <v>107</v>
      </c>
      <c r="BC2418" s="2">
        <v>51</v>
      </c>
      <c r="BD2418" s="2" t="s">
        <v>827</v>
      </c>
      <c r="BE2418" s="2">
        <v>13</v>
      </c>
      <c r="BF2418" s="2" t="s">
        <v>108</v>
      </c>
      <c r="BG2418" s="2">
        <v>2652</v>
      </c>
      <c r="BH2418" s="4">
        <v>0.375</v>
      </c>
      <c r="BI2418" s="2"/>
      <c r="BJ2418" s="2">
        <v>13</v>
      </c>
      <c r="BK2418" s="2" t="s">
        <v>91</v>
      </c>
      <c r="BL2418" s="2" t="s">
        <v>185</v>
      </c>
      <c r="BM2418" s="2">
        <v>241</v>
      </c>
      <c r="BN2418" s="2" t="s">
        <v>82</v>
      </c>
      <c r="BO2418" s="2"/>
      <c r="BP2418" s="2">
        <v>13</v>
      </c>
      <c r="BQ2418" s="2" t="s">
        <v>91</v>
      </c>
      <c r="BR2418" s="2" t="s">
        <v>241</v>
      </c>
      <c r="BS2418" s="3">
        <v>40339</v>
      </c>
      <c r="BT2418" s="4">
        <v>0.67318287037037028</v>
      </c>
    </row>
    <row r="2419" spans="1:72" x14ac:dyDescent="0.25">
      <c r="A2419" s="2">
        <v>3541</v>
      </c>
      <c r="B2419" s="2">
        <v>2010</v>
      </c>
      <c r="C2419" s="2" t="s">
        <v>1660</v>
      </c>
      <c r="D2419" s="2" t="s">
        <v>73</v>
      </c>
      <c r="E2419" s="2"/>
      <c r="F2419" s="2">
        <v>389</v>
      </c>
      <c r="G2419" s="2" t="s">
        <v>1819</v>
      </c>
      <c r="H2419" s="2">
        <v>4</v>
      </c>
      <c r="I2419" s="2" t="s">
        <v>173</v>
      </c>
      <c r="J2419" s="2">
        <v>399</v>
      </c>
      <c r="K2419" s="2" t="s">
        <v>1820</v>
      </c>
      <c r="L2419" s="2" t="s">
        <v>1821</v>
      </c>
      <c r="M2419" s="3">
        <v>40339</v>
      </c>
      <c r="N2419" s="2" t="s">
        <v>2621</v>
      </c>
      <c r="O2419" s="2"/>
      <c r="P2419" s="2"/>
      <c r="Q2419" s="2" t="str">
        <f>"310-E/10"</f>
        <v>310-E/10</v>
      </c>
      <c r="R2419" s="2" t="s">
        <v>8202</v>
      </c>
      <c r="S2419" s="2"/>
      <c r="T2419" s="2">
        <v>1</v>
      </c>
      <c r="U2419" s="2" t="s">
        <v>79</v>
      </c>
      <c r="V2419" s="2">
        <v>1</v>
      </c>
      <c r="W2419" s="2" t="s">
        <v>80</v>
      </c>
      <c r="X2419" s="2">
        <v>10</v>
      </c>
      <c r="Y2419" s="2" t="s">
        <v>226</v>
      </c>
      <c r="Z2419" s="2">
        <v>6</v>
      </c>
      <c r="AA2419" s="2" t="s">
        <v>101</v>
      </c>
      <c r="AB2419" s="2">
        <v>3</v>
      </c>
      <c r="AC2419" s="2" t="s">
        <v>1663</v>
      </c>
      <c r="AD2419" s="3">
        <v>40339</v>
      </c>
      <c r="AE2419" s="4">
        <v>0.45833333333333331</v>
      </c>
      <c r="AF2419" s="2"/>
      <c r="AG2419" s="2"/>
      <c r="AH2419" s="2">
        <v>2</v>
      </c>
      <c r="AI2419" s="2" t="s">
        <v>84</v>
      </c>
      <c r="AJ2419" s="2">
        <v>9</v>
      </c>
      <c r="AK2419" s="2" t="s">
        <v>103</v>
      </c>
      <c r="AL2419" s="2">
        <v>14</v>
      </c>
      <c r="AM2419" s="2" t="s">
        <v>216</v>
      </c>
      <c r="AN2419" s="2" t="s">
        <v>3322</v>
      </c>
      <c r="AO2419" s="2" t="s">
        <v>7664</v>
      </c>
      <c r="AP2419" s="2">
        <v>11</v>
      </c>
      <c r="AQ2419" s="2" t="s">
        <v>82</v>
      </c>
      <c r="AR2419" s="2"/>
      <c r="AS2419" s="2"/>
      <c r="AT2419" s="2" t="s">
        <v>8203</v>
      </c>
      <c r="AU2419" s="2"/>
      <c r="AV2419" s="2">
        <v>1</v>
      </c>
      <c r="AW2419" s="2"/>
      <c r="AX2419" s="2"/>
      <c r="AY2419" s="2">
        <v>41</v>
      </c>
      <c r="AZ2419" s="2" t="s">
        <v>82</v>
      </c>
      <c r="BA2419" s="2">
        <v>115</v>
      </c>
      <c r="BB2419" s="2" t="s">
        <v>101</v>
      </c>
      <c r="BC2419" s="2">
        <v>41</v>
      </c>
      <c r="BD2419" s="2" t="s">
        <v>82</v>
      </c>
      <c r="BE2419" s="2">
        <v>27</v>
      </c>
      <c r="BF2419" s="2" t="s">
        <v>2197</v>
      </c>
      <c r="BG2419" s="2" t="s">
        <v>8204</v>
      </c>
      <c r="BH2419" s="4">
        <v>0.29166666666666669</v>
      </c>
      <c r="BI2419" s="4">
        <v>0</v>
      </c>
      <c r="BJ2419" s="2">
        <v>112</v>
      </c>
      <c r="BK2419" s="2" t="s">
        <v>110</v>
      </c>
      <c r="BL2419" s="2" t="s">
        <v>111</v>
      </c>
      <c r="BM2419" s="2">
        <v>241</v>
      </c>
      <c r="BN2419" s="2" t="s">
        <v>82</v>
      </c>
      <c r="BO2419" s="2"/>
      <c r="BP2419" s="2">
        <v>13</v>
      </c>
      <c r="BQ2419" s="2" t="s">
        <v>91</v>
      </c>
      <c r="BR2419" s="2" t="s">
        <v>360</v>
      </c>
      <c r="BS2419" s="3">
        <v>40339</v>
      </c>
      <c r="BT2419" s="4">
        <v>0.67918981481481477</v>
      </c>
    </row>
    <row r="2420" spans="1:72" x14ac:dyDescent="0.25">
      <c r="A2420" s="2">
        <v>3544</v>
      </c>
      <c r="B2420" s="2">
        <v>2010</v>
      </c>
      <c r="C2420" s="2" t="s">
        <v>171</v>
      </c>
      <c r="D2420" s="2" t="s">
        <v>122</v>
      </c>
      <c r="E2420" s="2"/>
      <c r="F2420" s="2">
        <v>125</v>
      </c>
      <c r="G2420" s="2" t="s">
        <v>1483</v>
      </c>
      <c r="H2420" s="2">
        <v>47</v>
      </c>
      <c r="I2420" s="2" t="s">
        <v>1409</v>
      </c>
      <c r="J2420" s="2">
        <v>139</v>
      </c>
      <c r="K2420" s="2" t="s">
        <v>1485</v>
      </c>
      <c r="L2420" s="2" t="s">
        <v>1486</v>
      </c>
      <c r="M2420" s="3">
        <v>40339</v>
      </c>
      <c r="N2420" s="2" t="s">
        <v>8205</v>
      </c>
      <c r="O2420" s="2" t="s">
        <v>8206</v>
      </c>
      <c r="P2420" s="2" t="s">
        <v>8207</v>
      </c>
      <c r="Q2420" s="2" t="str">
        <f>"N/C"</f>
        <v>N/C</v>
      </c>
      <c r="R2420" s="2" t="s">
        <v>82</v>
      </c>
      <c r="S2420" s="2"/>
      <c r="T2420" s="2">
        <v>1</v>
      </c>
      <c r="U2420" s="2" t="s">
        <v>79</v>
      </c>
      <c r="V2420" s="2">
        <v>1</v>
      </c>
      <c r="W2420" s="2" t="s">
        <v>80</v>
      </c>
      <c r="X2420" s="2">
        <v>4</v>
      </c>
      <c r="Y2420" s="2" t="s">
        <v>463</v>
      </c>
      <c r="Z2420" s="2">
        <v>22</v>
      </c>
      <c r="AA2420" s="2" t="s">
        <v>4417</v>
      </c>
      <c r="AB2420" s="2">
        <v>1</v>
      </c>
      <c r="AC2420" s="2" t="s">
        <v>178</v>
      </c>
      <c r="AD2420" s="3">
        <v>40339</v>
      </c>
      <c r="AE2420" s="4">
        <v>0.57291666666666663</v>
      </c>
      <c r="AF2420" s="2"/>
      <c r="AG2420" s="2"/>
      <c r="AH2420" s="2">
        <v>6</v>
      </c>
      <c r="AI2420" s="2" t="s">
        <v>197</v>
      </c>
      <c r="AJ2420" s="2">
        <v>61</v>
      </c>
      <c r="AK2420" s="2" t="s">
        <v>686</v>
      </c>
      <c r="AL2420" s="2">
        <v>11</v>
      </c>
      <c r="AM2420" s="2" t="s">
        <v>137</v>
      </c>
      <c r="AN2420" s="2" t="s">
        <v>8208</v>
      </c>
      <c r="AO2420" s="2" t="s">
        <v>8209</v>
      </c>
      <c r="AP2420" s="2">
        <v>11</v>
      </c>
      <c r="AQ2420" s="2" t="s">
        <v>82</v>
      </c>
      <c r="AR2420" s="2" t="s">
        <v>82</v>
      </c>
      <c r="AS2420" s="2" t="s">
        <v>82</v>
      </c>
      <c r="AT2420" s="2" t="s">
        <v>8210</v>
      </c>
      <c r="AU2420" s="2"/>
      <c r="AV2420" s="2"/>
      <c r="AW2420" s="2"/>
      <c r="AX2420" s="2"/>
      <c r="AY2420" s="2">
        <v>41</v>
      </c>
      <c r="AZ2420" s="2" t="s">
        <v>82</v>
      </c>
      <c r="BA2420" s="2">
        <v>41</v>
      </c>
      <c r="BB2420" s="2" t="s">
        <v>82</v>
      </c>
      <c r="BC2420" s="2">
        <v>41</v>
      </c>
      <c r="BD2420" s="2" t="s">
        <v>82</v>
      </c>
      <c r="BE2420" s="2">
        <v>41</v>
      </c>
      <c r="BF2420" s="2" t="s">
        <v>82</v>
      </c>
      <c r="BG2420" s="2" t="s">
        <v>82</v>
      </c>
      <c r="BH2420" s="2"/>
      <c r="BI2420" s="2"/>
      <c r="BJ2420" s="2">
        <v>241</v>
      </c>
      <c r="BK2420" s="2" t="s">
        <v>82</v>
      </c>
      <c r="BL2420" s="2" t="s">
        <v>82</v>
      </c>
      <c r="BM2420" s="2">
        <v>241</v>
      </c>
      <c r="BN2420" s="2" t="s">
        <v>82</v>
      </c>
      <c r="BO2420" s="2" t="s">
        <v>82</v>
      </c>
      <c r="BP2420" s="2">
        <v>241</v>
      </c>
      <c r="BQ2420" s="2" t="s">
        <v>82</v>
      </c>
      <c r="BR2420" s="2" t="s">
        <v>82</v>
      </c>
      <c r="BS2420" s="3">
        <v>40339</v>
      </c>
      <c r="BT2420" s="4">
        <v>0.7259606481481482</v>
      </c>
    </row>
    <row r="2421" spans="1:72" x14ac:dyDescent="0.25">
      <c r="A2421" s="2">
        <v>3545</v>
      </c>
      <c r="B2421" s="2">
        <v>2010</v>
      </c>
      <c r="C2421" s="2" t="s">
        <v>72</v>
      </c>
      <c r="D2421" s="2" t="s">
        <v>73</v>
      </c>
      <c r="E2421" s="2"/>
      <c r="F2421" s="2">
        <v>3</v>
      </c>
      <c r="G2421" s="2" t="s">
        <v>1041</v>
      </c>
      <c r="H2421" s="2">
        <v>108</v>
      </c>
      <c r="I2421" s="2" t="s">
        <v>1096</v>
      </c>
      <c r="J2421" s="2">
        <v>368</v>
      </c>
      <c r="K2421" s="2" t="s">
        <v>1042</v>
      </c>
      <c r="L2421" s="2" t="s">
        <v>1043</v>
      </c>
      <c r="M2421" s="3">
        <v>40339</v>
      </c>
      <c r="N2421" s="2" t="s">
        <v>107</v>
      </c>
      <c r="O2421" s="2"/>
      <c r="P2421" s="2" t="s">
        <v>107</v>
      </c>
      <c r="Q2421" s="2" t="str">
        <f>"311-E/10"</f>
        <v>311-E/10</v>
      </c>
      <c r="R2421" s="2" t="s">
        <v>4823</v>
      </c>
      <c r="S2421" s="2" t="s">
        <v>4823</v>
      </c>
      <c r="T2421" s="2">
        <v>1</v>
      </c>
      <c r="U2421" s="2" t="s">
        <v>79</v>
      </c>
      <c r="V2421" s="2">
        <v>1</v>
      </c>
      <c r="W2421" s="2" t="s">
        <v>80</v>
      </c>
      <c r="X2421" s="2">
        <v>1</v>
      </c>
      <c r="Y2421" s="2" t="s">
        <v>81</v>
      </c>
      <c r="Z2421" s="2">
        <v>1</v>
      </c>
      <c r="AA2421" s="2" t="s">
        <v>82</v>
      </c>
      <c r="AB2421" s="2">
        <v>6</v>
      </c>
      <c r="AC2421" s="2" t="s">
        <v>83</v>
      </c>
      <c r="AD2421" s="3">
        <v>40339</v>
      </c>
      <c r="AE2421" s="4">
        <v>0.47916666666666669</v>
      </c>
      <c r="AF2421" s="2"/>
      <c r="AG2421" s="2"/>
      <c r="AH2421" s="2">
        <v>2</v>
      </c>
      <c r="AI2421" s="2" t="s">
        <v>84</v>
      </c>
      <c r="AJ2421" s="2">
        <v>9</v>
      </c>
      <c r="AK2421" s="2" t="s">
        <v>103</v>
      </c>
      <c r="AL2421" s="2">
        <v>29</v>
      </c>
      <c r="AM2421" s="2" t="s">
        <v>5416</v>
      </c>
      <c r="AN2421" s="2" t="s">
        <v>8211</v>
      </c>
      <c r="AO2421" s="2" t="s">
        <v>8212</v>
      </c>
      <c r="AP2421" s="2">
        <v>11</v>
      </c>
      <c r="AQ2421" s="2" t="s">
        <v>82</v>
      </c>
      <c r="AR2421" s="2"/>
      <c r="AS2421" s="2"/>
      <c r="AT2421" s="2" t="s">
        <v>8213</v>
      </c>
      <c r="AU2421" s="2"/>
      <c r="AV2421" s="2"/>
      <c r="AW2421" s="2">
        <v>3</v>
      </c>
      <c r="AX2421" s="2"/>
      <c r="AY2421" s="2">
        <v>41</v>
      </c>
      <c r="AZ2421" s="2" t="s">
        <v>82</v>
      </c>
      <c r="BA2421" s="2">
        <v>41</v>
      </c>
      <c r="BB2421" s="2" t="s">
        <v>82</v>
      </c>
      <c r="BC2421" s="2">
        <v>41</v>
      </c>
      <c r="BD2421" s="2" t="s">
        <v>82</v>
      </c>
      <c r="BE2421" s="2">
        <v>41</v>
      </c>
      <c r="BF2421" s="2" t="s">
        <v>82</v>
      </c>
      <c r="BG2421" s="2"/>
      <c r="BH2421" s="2"/>
      <c r="BI2421" s="2"/>
      <c r="BJ2421" s="2">
        <v>241</v>
      </c>
      <c r="BK2421" s="2" t="s">
        <v>82</v>
      </c>
      <c r="BL2421" s="2"/>
      <c r="BM2421" s="2">
        <v>241</v>
      </c>
      <c r="BN2421" s="2" t="s">
        <v>82</v>
      </c>
      <c r="BO2421" s="2"/>
      <c r="BP2421" s="2">
        <v>241</v>
      </c>
      <c r="BQ2421" s="2" t="s">
        <v>82</v>
      </c>
      <c r="BR2421" s="2" t="s">
        <v>185</v>
      </c>
      <c r="BS2421" s="3">
        <v>40339</v>
      </c>
      <c r="BT2421" s="4">
        <v>0.79873842592592592</v>
      </c>
    </row>
    <row r="2422" spans="1:72" x14ac:dyDescent="0.25">
      <c r="A2422" s="2">
        <v>3546</v>
      </c>
      <c r="B2422" s="2">
        <v>2010</v>
      </c>
      <c r="C2422" s="2" t="s">
        <v>1568</v>
      </c>
      <c r="D2422" s="2" t="s">
        <v>122</v>
      </c>
      <c r="E2422" s="2"/>
      <c r="F2422" s="2">
        <v>425</v>
      </c>
      <c r="G2422" s="2" t="s">
        <v>286</v>
      </c>
      <c r="H2422" s="2">
        <v>39</v>
      </c>
      <c r="I2422" s="2" t="s">
        <v>1117</v>
      </c>
      <c r="J2422" s="2">
        <v>310</v>
      </c>
      <c r="K2422" s="2" t="s">
        <v>288</v>
      </c>
      <c r="L2422" s="2" t="s">
        <v>289</v>
      </c>
      <c r="M2422" s="3">
        <v>40339</v>
      </c>
      <c r="N2422" s="2" t="s">
        <v>2049</v>
      </c>
      <c r="O2422" s="2"/>
      <c r="P2422" s="2"/>
      <c r="Q2422" s="2" t="str">
        <f>"068"</f>
        <v>068</v>
      </c>
      <c r="R2422" s="2"/>
      <c r="S2422" s="2" t="s">
        <v>822</v>
      </c>
      <c r="T2422" s="2">
        <v>1</v>
      </c>
      <c r="U2422" s="2" t="s">
        <v>79</v>
      </c>
      <c r="V2422" s="2">
        <v>1</v>
      </c>
      <c r="W2422" s="2" t="s">
        <v>80</v>
      </c>
      <c r="X2422" s="2">
        <v>1</v>
      </c>
      <c r="Y2422" s="2" t="s">
        <v>81</v>
      </c>
      <c r="Z2422" s="2">
        <v>10</v>
      </c>
      <c r="AA2422" s="2" t="s">
        <v>236</v>
      </c>
      <c r="AB2422" s="2">
        <v>4</v>
      </c>
      <c r="AC2422" s="2" t="s">
        <v>1569</v>
      </c>
      <c r="AD2422" s="3">
        <v>40339</v>
      </c>
      <c r="AE2422" s="4">
        <v>0.90277777777777779</v>
      </c>
      <c r="AF2422" s="2"/>
      <c r="AG2422" s="2"/>
      <c r="AH2422" s="2">
        <v>4</v>
      </c>
      <c r="AI2422" s="2" t="s">
        <v>125</v>
      </c>
      <c r="AJ2422" s="2">
        <v>29</v>
      </c>
      <c r="AK2422" s="2" t="s">
        <v>227</v>
      </c>
      <c r="AL2422" s="2">
        <v>10</v>
      </c>
      <c r="AM2422" s="2" t="s">
        <v>200</v>
      </c>
      <c r="AN2422" s="2" t="s">
        <v>6207</v>
      </c>
      <c r="AO2422" s="2" t="s">
        <v>6863</v>
      </c>
      <c r="AP2422" s="2">
        <v>12</v>
      </c>
      <c r="AQ2422" s="2" t="s">
        <v>322</v>
      </c>
      <c r="AR2422" s="2" t="s">
        <v>824</v>
      </c>
      <c r="AS2422" s="2" t="s">
        <v>884</v>
      </c>
      <c r="AT2422" s="2" t="s">
        <v>8214</v>
      </c>
      <c r="AU2422" s="2"/>
      <c r="AV2422" s="2"/>
      <c r="AW2422" s="2"/>
      <c r="AX2422" s="2"/>
      <c r="AY2422" s="2">
        <v>41</v>
      </c>
      <c r="AZ2422" s="2" t="s">
        <v>82</v>
      </c>
      <c r="BA2422" s="2">
        <v>41</v>
      </c>
      <c r="BB2422" s="2" t="s">
        <v>82</v>
      </c>
      <c r="BC2422" s="2">
        <v>51</v>
      </c>
      <c r="BD2422" s="2" t="s">
        <v>827</v>
      </c>
      <c r="BE2422" s="2">
        <v>13</v>
      </c>
      <c r="BF2422" s="2" t="s">
        <v>108</v>
      </c>
      <c r="BG2422" s="2">
        <v>1459</v>
      </c>
      <c r="BH2422" s="4">
        <v>0.90625</v>
      </c>
      <c r="BI2422" s="4">
        <v>0.92708333333333337</v>
      </c>
      <c r="BJ2422" s="2">
        <v>13</v>
      </c>
      <c r="BK2422" s="2" t="s">
        <v>91</v>
      </c>
      <c r="BL2422" s="2" t="s">
        <v>828</v>
      </c>
      <c r="BM2422" s="2">
        <v>241</v>
      </c>
      <c r="BN2422" s="2" t="s">
        <v>82</v>
      </c>
      <c r="BO2422" s="2" t="s">
        <v>82</v>
      </c>
      <c r="BP2422" s="2">
        <v>13</v>
      </c>
      <c r="BQ2422" s="2" t="s">
        <v>91</v>
      </c>
      <c r="BR2422" s="2" t="s">
        <v>185</v>
      </c>
      <c r="BS2422" s="3">
        <v>40339</v>
      </c>
      <c r="BT2422" s="4">
        <v>0.94677083333333334</v>
      </c>
    </row>
    <row r="2423" spans="1:72" x14ac:dyDescent="0.25">
      <c r="A2423" s="2">
        <v>3547</v>
      </c>
      <c r="B2423" s="2">
        <v>2010</v>
      </c>
      <c r="C2423" s="2" t="s">
        <v>171</v>
      </c>
      <c r="D2423" s="2" t="s">
        <v>73</v>
      </c>
      <c r="E2423" s="2"/>
      <c r="F2423" s="2">
        <v>396</v>
      </c>
      <c r="G2423" s="2" t="s">
        <v>2159</v>
      </c>
      <c r="H2423" s="2">
        <v>8</v>
      </c>
      <c r="I2423" s="2" t="s">
        <v>3451</v>
      </c>
      <c r="J2423" s="2">
        <v>243</v>
      </c>
      <c r="K2423" s="2" t="s">
        <v>2160</v>
      </c>
      <c r="L2423" s="2" t="s">
        <v>2145</v>
      </c>
      <c r="M2423" s="3">
        <v>40340</v>
      </c>
      <c r="N2423" s="2" t="s">
        <v>6110</v>
      </c>
      <c r="O2423" s="2"/>
      <c r="P2423" s="2"/>
      <c r="Q2423" s="2" t="str">
        <f>"312-E/10"</f>
        <v>312-E/10</v>
      </c>
      <c r="R2423" s="2" t="s">
        <v>8215</v>
      </c>
      <c r="S2423" s="2" t="s">
        <v>8215</v>
      </c>
      <c r="T2423" s="2">
        <v>1</v>
      </c>
      <c r="U2423" s="2" t="s">
        <v>79</v>
      </c>
      <c r="V2423" s="2">
        <v>1</v>
      </c>
      <c r="W2423" s="2" t="s">
        <v>80</v>
      </c>
      <c r="X2423" s="2">
        <v>1</v>
      </c>
      <c r="Y2423" s="2" t="s">
        <v>81</v>
      </c>
      <c r="Z2423" s="2">
        <v>1</v>
      </c>
      <c r="AA2423" s="2" t="s">
        <v>82</v>
      </c>
      <c r="AB2423" s="2">
        <v>1</v>
      </c>
      <c r="AC2423" s="2" t="s">
        <v>178</v>
      </c>
      <c r="AD2423" s="3">
        <v>40339</v>
      </c>
      <c r="AE2423" s="4">
        <v>0.83333333333333337</v>
      </c>
      <c r="AF2423" s="2"/>
      <c r="AG2423" s="2"/>
      <c r="AH2423" s="2">
        <v>2</v>
      </c>
      <c r="AI2423" s="2" t="s">
        <v>84</v>
      </c>
      <c r="AJ2423" s="2">
        <v>9</v>
      </c>
      <c r="AK2423" s="2" t="s">
        <v>103</v>
      </c>
      <c r="AL2423" s="2">
        <v>25</v>
      </c>
      <c r="AM2423" s="2" t="s">
        <v>3073</v>
      </c>
      <c r="AN2423" s="2" t="s">
        <v>8216</v>
      </c>
      <c r="AO2423" s="2" t="s">
        <v>590</v>
      </c>
      <c r="AP2423" s="2">
        <v>11</v>
      </c>
      <c r="AQ2423" s="2" t="s">
        <v>82</v>
      </c>
      <c r="AR2423" s="2"/>
      <c r="AS2423" s="2"/>
      <c r="AT2423" s="2" t="s">
        <v>8217</v>
      </c>
      <c r="AU2423" s="2"/>
      <c r="AV2423" s="2">
        <v>1</v>
      </c>
      <c r="AW2423" s="2"/>
      <c r="AX2423" s="2"/>
      <c r="AY2423" s="2">
        <v>41</v>
      </c>
      <c r="AZ2423" s="2" t="s">
        <v>82</v>
      </c>
      <c r="BA2423" s="2">
        <v>41</v>
      </c>
      <c r="BB2423" s="2" t="s">
        <v>82</v>
      </c>
      <c r="BC2423" s="2">
        <v>41</v>
      </c>
      <c r="BD2423" s="2" t="s">
        <v>82</v>
      </c>
      <c r="BE2423" s="2">
        <v>13</v>
      </c>
      <c r="BF2423" s="2" t="s">
        <v>108</v>
      </c>
      <c r="BG2423" s="2" t="s">
        <v>842</v>
      </c>
      <c r="BH2423" s="2"/>
      <c r="BI2423" s="4">
        <v>0.85763888888888884</v>
      </c>
      <c r="BJ2423" s="2">
        <v>13</v>
      </c>
      <c r="BK2423" s="2" t="s">
        <v>91</v>
      </c>
      <c r="BL2423" s="2" t="s">
        <v>360</v>
      </c>
      <c r="BM2423" s="2">
        <v>241</v>
      </c>
      <c r="BN2423" s="2" t="s">
        <v>82</v>
      </c>
      <c r="BO2423" s="2"/>
      <c r="BP2423" s="2">
        <v>73</v>
      </c>
      <c r="BQ2423" s="2" t="s">
        <v>186</v>
      </c>
      <c r="BR2423" s="2" t="s">
        <v>187</v>
      </c>
      <c r="BS2423" s="3">
        <v>40340</v>
      </c>
      <c r="BT2423" s="4">
        <v>8.5706018518518515E-2</v>
      </c>
    </row>
    <row r="2424" spans="1:72" x14ac:dyDescent="0.25">
      <c r="A2424" s="2">
        <v>3548</v>
      </c>
      <c r="B2424" s="2">
        <v>2010</v>
      </c>
      <c r="C2424" s="2" t="s">
        <v>93</v>
      </c>
      <c r="D2424" s="2" t="s">
        <v>122</v>
      </c>
      <c r="E2424" s="2" t="s">
        <v>8218</v>
      </c>
      <c r="F2424" s="2">
        <v>637</v>
      </c>
      <c r="G2424" s="2" t="s">
        <v>8109</v>
      </c>
      <c r="H2424" s="2">
        <v>124</v>
      </c>
      <c r="I2424" s="2" t="s">
        <v>8110</v>
      </c>
      <c r="J2424" s="2">
        <v>580</v>
      </c>
      <c r="K2424" s="2" t="s">
        <v>1791</v>
      </c>
      <c r="L2424" s="2" t="s">
        <v>8111</v>
      </c>
      <c r="M2424" s="3">
        <v>40340</v>
      </c>
      <c r="N2424" s="2" t="s">
        <v>8112</v>
      </c>
      <c r="O2424" s="2" t="s">
        <v>8113</v>
      </c>
      <c r="P2424" s="2" t="s">
        <v>8114</v>
      </c>
      <c r="Q2424" s="2" t="str">
        <f>"N/C"</f>
        <v>N/C</v>
      </c>
      <c r="R2424" s="2" t="s">
        <v>82</v>
      </c>
      <c r="S2424" s="2"/>
      <c r="T2424" s="2">
        <v>1</v>
      </c>
      <c r="U2424" s="2" t="s">
        <v>79</v>
      </c>
      <c r="V2424" s="2">
        <v>1</v>
      </c>
      <c r="W2424" s="2" t="s">
        <v>80</v>
      </c>
      <c r="X2424" s="2">
        <v>10</v>
      </c>
      <c r="Y2424" s="2" t="s">
        <v>226</v>
      </c>
      <c r="Z2424" s="2">
        <v>6</v>
      </c>
      <c r="AA2424" s="2" t="s">
        <v>101</v>
      </c>
      <c r="AB2424" s="2">
        <v>2</v>
      </c>
      <c r="AC2424" s="2" t="s">
        <v>102</v>
      </c>
      <c r="AD2424" s="3">
        <v>40340</v>
      </c>
      <c r="AE2424" s="4">
        <v>0.20833333333333334</v>
      </c>
      <c r="AF2424" s="2"/>
      <c r="AG2424" s="2"/>
      <c r="AH2424" s="2">
        <v>2</v>
      </c>
      <c r="AI2424" s="2" t="s">
        <v>84</v>
      </c>
      <c r="AJ2424" s="2">
        <v>9</v>
      </c>
      <c r="AK2424" s="2" t="s">
        <v>103</v>
      </c>
      <c r="AL2424" s="2">
        <v>14</v>
      </c>
      <c r="AM2424" s="2" t="s">
        <v>216</v>
      </c>
      <c r="AN2424" s="2" t="s">
        <v>987</v>
      </c>
      <c r="AO2424" s="2" t="s">
        <v>8219</v>
      </c>
      <c r="AP2424" s="2">
        <v>11</v>
      </c>
      <c r="AQ2424" s="2" t="s">
        <v>82</v>
      </c>
      <c r="AR2424" s="2"/>
      <c r="AS2424" s="2"/>
      <c r="AT2424" s="2" t="s">
        <v>8220</v>
      </c>
      <c r="AU2424" s="2">
        <v>1</v>
      </c>
      <c r="AV2424" s="2"/>
      <c r="AW2424" s="2"/>
      <c r="AX2424" s="2"/>
      <c r="AY2424" s="2">
        <v>41</v>
      </c>
      <c r="AZ2424" s="2" t="s">
        <v>82</v>
      </c>
      <c r="BA2424" s="2">
        <v>41</v>
      </c>
      <c r="BB2424" s="2" t="s">
        <v>82</v>
      </c>
      <c r="BC2424" s="2">
        <v>41</v>
      </c>
      <c r="BD2424" s="2" t="s">
        <v>82</v>
      </c>
      <c r="BE2424" s="2">
        <v>39</v>
      </c>
      <c r="BF2424" s="2" t="s">
        <v>440</v>
      </c>
      <c r="BG2424" s="2" t="s">
        <v>8116</v>
      </c>
      <c r="BH2424" s="4">
        <v>0.91666666666666663</v>
      </c>
      <c r="BI2424" s="2"/>
      <c r="BJ2424" s="2">
        <v>33</v>
      </c>
      <c r="BK2424" s="2" t="s">
        <v>361</v>
      </c>
      <c r="BL2424" s="2" t="s">
        <v>2723</v>
      </c>
      <c r="BM2424" s="2">
        <v>241</v>
      </c>
      <c r="BN2424" s="2" t="s">
        <v>82</v>
      </c>
      <c r="BO2424" s="2"/>
      <c r="BP2424" s="2">
        <v>13</v>
      </c>
      <c r="BQ2424" s="2" t="s">
        <v>91</v>
      </c>
      <c r="BR2424" s="2" t="s">
        <v>185</v>
      </c>
      <c r="BS2424" s="3">
        <v>40340</v>
      </c>
      <c r="BT2424" s="4">
        <v>0.21878472222222223</v>
      </c>
    </row>
    <row r="2425" spans="1:72" x14ac:dyDescent="0.25">
      <c r="A2425" s="2">
        <v>3549</v>
      </c>
      <c r="B2425" s="2">
        <v>2010</v>
      </c>
      <c r="C2425" s="2" t="s">
        <v>121</v>
      </c>
      <c r="D2425" s="2" t="s">
        <v>122</v>
      </c>
      <c r="E2425" s="2"/>
      <c r="F2425" s="2">
        <v>1</v>
      </c>
      <c r="G2425" s="2" t="s">
        <v>82</v>
      </c>
      <c r="H2425" s="2">
        <v>1</v>
      </c>
      <c r="I2425" s="2" t="s">
        <v>82</v>
      </c>
      <c r="J2425" s="2">
        <v>1</v>
      </c>
      <c r="K2425" s="2" t="s">
        <v>107</v>
      </c>
      <c r="L2425" s="2" t="s">
        <v>107</v>
      </c>
      <c r="M2425" s="3">
        <v>40340</v>
      </c>
      <c r="N2425" s="2"/>
      <c r="O2425" s="2"/>
      <c r="P2425" s="2"/>
      <c r="Q2425" s="2" t="str">
        <f>""</f>
        <v/>
      </c>
      <c r="R2425" s="2"/>
      <c r="S2425" s="2"/>
      <c r="T2425" s="2">
        <v>2</v>
      </c>
      <c r="U2425" s="2" t="s">
        <v>123</v>
      </c>
      <c r="V2425" s="2">
        <v>1</v>
      </c>
      <c r="W2425" s="2" t="s">
        <v>80</v>
      </c>
      <c r="X2425" s="2">
        <v>11</v>
      </c>
      <c r="Y2425" s="2" t="s">
        <v>1920</v>
      </c>
      <c r="Z2425" s="2">
        <v>1</v>
      </c>
      <c r="AA2425" s="2" t="s">
        <v>82</v>
      </c>
      <c r="AB2425" s="2">
        <v>9</v>
      </c>
      <c r="AC2425" s="2" t="s">
        <v>124</v>
      </c>
      <c r="AD2425" s="3">
        <v>40339</v>
      </c>
      <c r="AE2425" s="4">
        <v>0.875</v>
      </c>
      <c r="AF2425" s="2"/>
      <c r="AG2425" s="2"/>
      <c r="AH2425" s="2">
        <v>2</v>
      </c>
      <c r="AI2425" s="2" t="s">
        <v>84</v>
      </c>
      <c r="AJ2425" s="2">
        <v>9</v>
      </c>
      <c r="AK2425" s="2" t="s">
        <v>103</v>
      </c>
      <c r="AL2425" s="2">
        <v>14</v>
      </c>
      <c r="AM2425" s="2" t="s">
        <v>216</v>
      </c>
      <c r="AN2425" s="2" t="s">
        <v>8221</v>
      </c>
      <c r="AO2425" s="2"/>
      <c r="AP2425" s="2">
        <v>11</v>
      </c>
      <c r="AQ2425" s="2" t="s">
        <v>82</v>
      </c>
      <c r="AR2425" s="2"/>
      <c r="AS2425" s="2"/>
      <c r="AT2425" s="2" t="s">
        <v>8222</v>
      </c>
      <c r="AU2425" s="2"/>
      <c r="AV2425" s="2"/>
      <c r="AW2425" s="2"/>
      <c r="AX2425" s="2"/>
      <c r="AY2425" s="2">
        <v>41</v>
      </c>
      <c r="AZ2425" s="2" t="s">
        <v>82</v>
      </c>
      <c r="BA2425" s="2">
        <v>41</v>
      </c>
      <c r="BB2425" s="2" t="s">
        <v>82</v>
      </c>
      <c r="BC2425" s="2">
        <v>41</v>
      </c>
      <c r="BD2425" s="2" t="s">
        <v>82</v>
      </c>
      <c r="BE2425" s="2">
        <v>9</v>
      </c>
      <c r="BF2425" s="2" t="s">
        <v>966</v>
      </c>
      <c r="BG2425" s="2" t="s">
        <v>1979</v>
      </c>
      <c r="BH2425" s="4">
        <v>0.875</v>
      </c>
      <c r="BI2425" s="2"/>
      <c r="BJ2425" s="2">
        <v>170</v>
      </c>
      <c r="BK2425" s="2" t="s">
        <v>968</v>
      </c>
      <c r="BL2425" s="2" t="s">
        <v>1390</v>
      </c>
      <c r="BM2425" s="2">
        <v>241</v>
      </c>
      <c r="BN2425" s="2" t="s">
        <v>82</v>
      </c>
      <c r="BO2425" s="2"/>
      <c r="BP2425" s="2">
        <v>13</v>
      </c>
      <c r="BQ2425" s="2" t="s">
        <v>91</v>
      </c>
      <c r="BR2425" s="2" t="s">
        <v>185</v>
      </c>
      <c r="BS2425" s="3">
        <v>40340</v>
      </c>
      <c r="BT2425" s="4">
        <v>0.22778935185185187</v>
      </c>
    </row>
    <row r="2426" spans="1:72" x14ac:dyDescent="0.25">
      <c r="A2426" s="2">
        <v>3550</v>
      </c>
      <c r="B2426" s="2">
        <v>2010</v>
      </c>
      <c r="C2426" s="2" t="s">
        <v>1660</v>
      </c>
      <c r="D2426" s="2" t="s">
        <v>122</v>
      </c>
      <c r="E2426" s="2" t="s">
        <v>8223</v>
      </c>
      <c r="F2426" s="2">
        <v>389</v>
      </c>
      <c r="G2426" s="2" t="s">
        <v>1819</v>
      </c>
      <c r="H2426" s="2">
        <v>4</v>
      </c>
      <c r="I2426" s="2" t="s">
        <v>173</v>
      </c>
      <c r="J2426" s="2">
        <v>399</v>
      </c>
      <c r="K2426" s="2" t="s">
        <v>1820</v>
      </c>
      <c r="L2426" s="2" t="s">
        <v>1821</v>
      </c>
      <c r="M2426" s="3">
        <v>40340</v>
      </c>
      <c r="N2426" s="2" t="s">
        <v>2621</v>
      </c>
      <c r="O2426" s="2"/>
      <c r="P2426" s="2"/>
      <c r="Q2426" s="2" t="str">
        <f>"310-E/10"</f>
        <v>310-E/10</v>
      </c>
      <c r="R2426" s="2" t="s">
        <v>8202</v>
      </c>
      <c r="S2426" s="2" t="s">
        <v>8202</v>
      </c>
      <c r="T2426" s="2">
        <v>1</v>
      </c>
      <c r="U2426" s="2" t="s">
        <v>79</v>
      </c>
      <c r="V2426" s="2">
        <v>1</v>
      </c>
      <c r="W2426" s="2" t="s">
        <v>80</v>
      </c>
      <c r="X2426" s="2">
        <v>12</v>
      </c>
      <c r="Y2426" s="2" t="s">
        <v>148</v>
      </c>
      <c r="Z2426" s="2">
        <v>1</v>
      </c>
      <c r="AA2426" s="2" t="s">
        <v>82</v>
      </c>
      <c r="AB2426" s="2">
        <v>3</v>
      </c>
      <c r="AC2426" s="2" t="s">
        <v>1663</v>
      </c>
      <c r="AD2426" s="3">
        <v>40340</v>
      </c>
      <c r="AE2426" s="4">
        <v>0.29166666666666669</v>
      </c>
      <c r="AF2426" s="2"/>
      <c r="AG2426" s="2"/>
      <c r="AH2426" s="2">
        <v>2</v>
      </c>
      <c r="AI2426" s="2" t="s">
        <v>84</v>
      </c>
      <c r="AJ2426" s="2">
        <v>9</v>
      </c>
      <c r="AK2426" s="2" t="s">
        <v>103</v>
      </c>
      <c r="AL2426" s="2">
        <v>14</v>
      </c>
      <c r="AM2426" s="2" t="s">
        <v>216</v>
      </c>
      <c r="AN2426" s="2" t="s">
        <v>3322</v>
      </c>
      <c r="AO2426" s="2" t="s">
        <v>6409</v>
      </c>
      <c r="AP2426" s="2">
        <v>11</v>
      </c>
      <c r="AQ2426" s="2" t="s">
        <v>82</v>
      </c>
      <c r="AR2426" s="2"/>
      <c r="AS2426" s="2"/>
      <c r="AT2426" s="2" t="s">
        <v>8224</v>
      </c>
      <c r="AU2426" s="2"/>
      <c r="AV2426" s="2">
        <v>1</v>
      </c>
      <c r="AW2426" s="2"/>
      <c r="AX2426" s="2"/>
      <c r="AY2426" s="2">
        <v>41</v>
      </c>
      <c r="AZ2426" s="2" t="s">
        <v>82</v>
      </c>
      <c r="BA2426" s="2">
        <v>41</v>
      </c>
      <c r="BB2426" s="2" t="s">
        <v>82</v>
      </c>
      <c r="BC2426" s="2">
        <v>41</v>
      </c>
      <c r="BD2426" s="2" t="s">
        <v>82</v>
      </c>
      <c r="BE2426" s="2">
        <v>27</v>
      </c>
      <c r="BF2426" s="2" t="s">
        <v>2197</v>
      </c>
      <c r="BG2426" s="2" t="s">
        <v>8204</v>
      </c>
      <c r="BH2426" s="4">
        <v>0.29166666666666669</v>
      </c>
      <c r="BI2426" s="4">
        <v>0</v>
      </c>
      <c r="BJ2426" s="2">
        <v>112</v>
      </c>
      <c r="BK2426" s="2" t="s">
        <v>110</v>
      </c>
      <c r="BL2426" s="2" t="s">
        <v>111</v>
      </c>
      <c r="BM2426" s="2">
        <v>241</v>
      </c>
      <c r="BN2426" s="2" t="s">
        <v>82</v>
      </c>
      <c r="BO2426" s="2"/>
      <c r="BP2426" s="2">
        <v>13</v>
      </c>
      <c r="BQ2426" s="2" t="s">
        <v>91</v>
      </c>
      <c r="BR2426" s="2" t="s">
        <v>1084</v>
      </c>
      <c r="BS2426" s="3">
        <v>40340</v>
      </c>
      <c r="BT2426" s="4">
        <v>0.29333333333333333</v>
      </c>
    </row>
    <row r="2427" spans="1:72" x14ac:dyDescent="0.25">
      <c r="A2427" s="2">
        <v>3551</v>
      </c>
      <c r="B2427" s="2">
        <v>2010</v>
      </c>
      <c r="C2427" s="2" t="s">
        <v>72</v>
      </c>
      <c r="D2427" s="2" t="s">
        <v>122</v>
      </c>
      <c r="E2427" s="2" t="s">
        <v>8225</v>
      </c>
      <c r="F2427" s="2">
        <v>3</v>
      </c>
      <c r="G2427" s="2" t="s">
        <v>1041</v>
      </c>
      <c r="H2427" s="2">
        <v>108</v>
      </c>
      <c r="I2427" s="2" t="s">
        <v>1096</v>
      </c>
      <c r="J2427" s="2">
        <v>368</v>
      </c>
      <c r="K2427" s="2" t="s">
        <v>1042</v>
      </c>
      <c r="L2427" s="2" t="s">
        <v>1043</v>
      </c>
      <c r="M2427" s="3">
        <v>40340</v>
      </c>
      <c r="N2427" s="2" t="s">
        <v>107</v>
      </c>
      <c r="O2427" s="2"/>
      <c r="P2427" s="2" t="s">
        <v>107</v>
      </c>
      <c r="Q2427" s="2" t="str">
        <f>"311-E/10"</f>
        <v>311-E/10</v>
      </c>
      <c r="R2427" s="2" t="s">
        <v>4823</v>
      </c>
      <c r="S2427" s="2" t="s">
        <v>4823</v>
      </c>
      <c r="T2427" s="2">
        <v>1</v>
      </c>
      <c r="U2427" s="2" t="s">
        <v>79</v>
      </c>
      <c r="V2427" s="2">
        <v>1</v>
      </c>
      <c r="W2427" s="2" t="s">
        <v>80</v>
      </c>
      <c r="X2427" s="2">
        <v>1</v>
      </c>
      <c r="Y2427" s="2" t="s">
        <v>81</v>
      </c>
      <c r="Z2427" s="2">
        <v>1</v>
      </c>
      <c r="AA2427" s="2" t="s">
        <v>82</v>
      </c>
      <c r="AB2427" s="2">
        <v>6</v>
      </c>
      <c r="AC2427" s="2" t="s">
        <v>83</v>
      </c>
      <c r="AD2427" s="3">
        <v>40370</v>
      </c>
      <c r="AE2427" s="4">
        <v>0.29166666666666669</v>
      </c>
      <c r="AF2427" s="2"/>
      <c r="AG2427" s="2"/>
      <c r="AH2427" s="2">
        <v>2</v>
      </c>
      <c r="AI2427" s="2" t="s">
        <v>84</v>
      </c>
      <c r="AJ2427" s="2">
        <v>9</v>
      </c>
      <c r="AK2427" s="2" t="s">
        <v>103</v>
      </c>
      <c r="AL2427" s="2">
        <v>12</v>
      </c>
      <c r="AM2427" s="2" t="s">
        <v>86</v>
      </c>
      <c r="AN2427" s="2" t="s">
        <v>8226</v>
      </c>
      <c r="AO2427" s="2"/>
      <c r="AP2427" s="2">
        <v>11</v>
      </c>
      <c r="AQ2427" s="2" t="s">
        <v>82</v>
      </c>
      <c r="AR2427" s="2"/>
      <c r="AS2427" s="2"/>
      <c r="AT2427" s="2" t="s">
        <v>8227</v>
      </c>
      <c r="AU2427" s="2"/>
      <c r="AV2427" s="2"/>
      <c r="AW2427" s="2">
        <v>3</v>
      </c>
      <c r="AX2427" s="2"/>
      <c r="AY2427" s="2">
        <v>41</v>
      </c>
      <c r="AZ2427" s="2" t="s">
        <v>82</v>
      </c>
      <c r="BA2427" s="2">
        <v>41</v>
      </c>
      <c r="BB2427" s="2" t="s">
        <v>82</v>
      </c>
      <c r="BC2427" s="2">
        <v>41</v>
      </c>
      <c r="BD2427" s="2" t="s">
        <v>82</v>
      </c>
      <c r="BE2427" s="2">
        <v>8</v>
      </c>
      <c r="BF2427" s="2" t="s">
        <v>3465</v>
      </c>
      <c r="BG2427" s="2" t="s">
        <v>3466</v>
      </c>
      <c r="BH2427" s="4">
        <v>0.45833333333333331</v>
      </c>
      <c r="BI2427" s="2"/>
      <c r="BJ2427" s="2">
        <v>244</v>
      </c>
      <c r="BK2427" s="2" t="s">
        <v>1236</v>
      </c>
      <c r="BL2427" s="2" t="s">
        <v>1237</v>
      </c>
      <c r="BM2427" s="2">
        <v>241</v>
      </c>
      <c r="BN2427" s="2" t="s">
        <v>82</v>
      </c>
      <c r="BO2427" s="2"/>
      <c r="BP2427" s="2">
        <v>13</v>
      </c>
      <c r="BQ2427" s="2" t="s">
        <v>91</v>
      </c>
      <c r="BR2427" s="2" t="s">
        <v>185</v>
      </c>
      <c r="BS2427" s="3">
        <v>40340</v>
      </c>
      <c r="BT2427" s="4">
        <v>0.2949074074074074</v>
      </c>
    </row>
    <row r="2428" spans="1:72" x14ac:dyDescent="0.25">
      <c r="A2428" s="2">
        <v>3552</v>
      </c>
      <c r="B2428" s="2">
        <v>2010</v>
      </c>
      <c r="C2428" s="2" t="s">
        <v>171</v>
      </c>
      <c r="D2428" s="2" t="s">
        <v>122</v>
      </c>
      <c r="E2428" s="2" t="s">
        <v>8228</v>
      </c>
      <c r="F2428" s="2">
        <v>396</v>
      </c>
      <c r="G2428" s="2" t="s">
        <v>2159</v>
      </c>
      <c r="H2428" s="2">
        <v>8</v>
      </c>
      <c r="I2428" s="2" t="s">
        <v>3451</v>
      </c>
      <c r="J2428" s="2">
        <v>243</v>
      </c>
      <c r="K2428" s="2" t="s">
        <v>2160</v>
      </c>
      <c r="L2428" s="2" t="s">
        <v>2145</v>
      </c>
      <c r="M2428" s="3">
        <v>40340</v>
      </c>
      <c r="N2428" s="2" t="s">
        <v>6110</v>
      </c>
      <c r="O2428" s="2"/>
      <c r="P2428" s="2"/>
      <c r="Q2428" s="2" t="str">
        <f>"312-E/10"</f>
        <v>312-E/10</v>
      </c>
      <c r="R2428" s="2" t="s">
        <v>8215</v>
      </c>
      <c r="S2428" s="2" t="s">
        <v>8215</v>
      </c>
      <c r="T2428" s="2">
        <v>1</v>
      </c>
      <c r="U2428" s="2" t="s">
        <v>79</v>
      </c>
      <c r="V2428" s="2">
        <v>1</v>
      </c>
      <c r="W2428" s="2" t="s">
        <v>80</v>
      </c>
      <c r="X2428" s="2">
        <v>1</v>
      </c>
      <c r="Y2428" s="2" t="s">
        <v>81</v>
      </c>
      <c r="Z2428" s="2">
        <v>1</v>
      </c>
      <c r="AA2428" s="2" t="s">
        <v>82</v>
      </c>
      <c r="AB2428" s="2">
        <v>1</v>
      </c>
      <c r="AC2428" s="2" t="s">
        <v>178</v>
      </c>
      <c r="AD2428" s="3">
        <v>40340</v>
      </c>
      <c r="AE2428" s="4">
        <v>0.29166666666666669</v>
      </c>
      <c r="AF2428" s="2"/>
      <c r="AG2428" s="2"/>
      <c r="AH2428" s="2">
        <v>2</v>
      </c>
      <c r="AI2428" s="2" t="s">
        <v>84</v>
      </c>
      <c r="AJ2428" s="2">
        <v>9</v>
      </c>
      <c r="AK2428" s="2" t="s">
        <v>103</v>
      </c>
      <c r="AL2428" s="2">
        <v>15</v>
      </c>
      <c r="AM2428" s="2" t="s">
        <v>104</v>
      </c>
      <c r="AN2428" s="2"/>
      <c r="AO2428" s="2" t="s">
        <v>179</v>
      </c>
      <c r="AP2428" s="2">
        <v>11</v>
      </c>
      <c r="AQ2428" s="2" t="s">
        <v>82</v>
      </c>
      <c r="AR2428" s="2"/>
      <c r="AS2428" s="2"/>
      <c r="AT2428" s="2" t="s">
        <v>8229</v>
      </c>
      <c r="AU2428" s="2"/>
      <c r="AV2428" s="2">
        <v>1</v>
      </c>
      <c r="AW2428" s="2"/>
      <c r="AX2428" s="2"/>
      <c r="AY2428" s="2">
        <v>41</v>
      </c>
      <c r="AZ2428" s="2" t="s">
        <v>82</v>
      </c>
      <c r="BA2428" s="2">
        <v>41</v>
      </c>
      <c r="BB2428" s="2" t="s">
        <v>82</v>
      </c>
      <c r="BC2428" s="2">
        <v>41</v>
      </c>
      <c r="BD2428" s="2" t="s">
        <v>82</v>
      </c>
      <c r="BE2428" s="2">
        <v>13</v>
      </c>
      <c r="BF2428" s="2" t="s">
        <v>108</v>
      </c>
      <c r="BG2428" s="2" t="s">
        <v>842</v>
      </c>
      <c r="BH2428" s="2"/>
      <c r="BI2428" s="4">
        <v>0.85763888888888884</v>
      </c>
      <c r="BJ2428" s="2">
        <v>13</v>
      </c>
      <c r="BK2428" s="2" t="s">
        <v>91</v>
      </c>
      <c r="BL2428" s="2" t="s">
        <v>185</v>
      </c>
      <c r="BM2428" s="2">
        <v>241</v>
      </c>
      <c r="BN2428" s="2" t="s">
        <v>82</v>
      </c>
      <c r="BO2428" s="2"/>
      <c r="BP2428" s="2">
        <v>73</v>
      </c>
      <c r="BQ2428" s="2" t="s">
        <v>186</v>
      </c>
      <c r="BR2428" s="2" t="s">
        <v>187</v>
      </c>
      <c r="BS2428" s="3">
        <v>40340</v>
      </c>
      <c r="BT2428" s="4">
        <v>0.30015046296296294</v>
      </c>
    </row>
    <row r="2429" spans="1:72" x14ac:dyDescent="0.25">
      <c r="A2429" s="2">
        <v>3553</v>
      </c>
      <c r="B2429" s="2">
        <v>2010</v>
      </c>
      <c r="C2429" s="2" t="s">
        <v>171</v>
      </c>
      <c r="D2429" s="2" t="s">
        <v>73</v>
      </c>
      <c r="E2429" s="2"/>
      <c r="F2429" s="2">
        <v>393</v>
      </c>
      <c r="G2429" s="2" t="s">
        <v>3660</v>
      </c>
      <c r="H2429" s="2">
        <v>3</v>
      </c>
      <c r="I2429" s="2" t="s">
        <v>315</v>
      </c>
      <c r="J2429" s="2">
        <v>2</v>
      </c>
      <c r="K2429" s="2" t="s">
        <v>3661</v>
      </c>
      <c r="L2429" s="2" t="s">
        <v>3662</v>
      </c>
      <c r="M2429" s="3">
        <v>40340</v>
      </c>
      <c r="N2429" s="2" t="s">
        <v>3663</v>
      </c>
      <c r="O2429" s="2" t="s">
        <v>8230</v>
      </c>
      <c r="P2429" s="2">
        <v>5745</v>
      </c>
      <c r="Q2429" s="2" t="str">
        <f>""</f>
        <v/>
      </c>
      <c r="R2429" s="2"/>
      <c r="S2429" s="2"/>
      <c r="T2429" s="2">
        <v>1</v>
      </c>
      <c r="U2429" s="2" t="s">
        <v>79</v>
      </c>
      <c r="V2429" s="2">
        <v>1</v>
      </c>
      <c r="W2429" s="2" t="s">
        <v>80</v>
      </c>
      <c r="X2429" s="2">
        <v>7</v>
      </c>
      <c r="Y2429" s="2" t="s">
        <v>1964</v>
      </c>
      <c r="Z2429" s="2">
        <v>1</v>
      </c>
      <c r="AA2429" s="2" t="s">
        <v>82</v>
      </c>
      <c r="AB2429" s="2">
        <v>1</v>
      </c>
      <c r="AC2429" s="2" t="s">
        <v>178</v>
      </c>
      <c r="AD2429" s="3">
        <v>40340</v>
      </c>
      <c r="AE2429" s="4">
        <v>1.0416666666666666E-2</v>
      </c>
      <c r="AF2429" s="2"/>
      <c r="AG2429" s="2"/>
      <c r="AH2429" s="2">
        <v>2</v>
      </c>
      <c r="AI2429" s="2" t="s">
        <v>84</v>
      </c>
      <c r="AJ2429" s="2">
        <v>6</v>
      </c>
      <c r="AK2429" s="2" t="s">
        <v>453</v>
      </c>
      <c r="AL2429" s="2">
        <v>23</v>
      </c>
      <c r="AM2429" s="2" t="s">
        <v>251</v>
      </c>
      <c r="AN2429" s="2" t="s">
        <v>8231</v>
      </c>
      <c r="AO2429" s="2" t="s">
        <v>1226</v>
      </c>
      <c r="AP2429" s="2">
        <v>11</v>
      </c>
      <c r="AQ2429" s="2" t="s">
        <v>82</v>
      </c>
      <c r="AR2429" s="2"/>
      <c r="AS2429" s="2"/>
      <c r="AT2429" s="2" t="s">
        <v>8232</v>
      </c>
      <c r="AU2429" s="2"/>
      <c r="AV2429" s="2">
        <v>1</v>
      </c>
      <c r="AW2429" s="2"/>
      <c r="AX2429" s="2"/>
      <c r="AY2429" s="2">
        <v>42</v>
      </c>
      <c r="AZ2429" s="2" t="s">
        <v>182</v>
      </c>
      <c r="BA2429" s="2">
        <v>41</v>
      </c>
      <c r="BB2429" s="2" t="s">
        <v>82</v>
      </c>
      <c r="BC2429" s="2">
        <v>41</v>
      </c>
      <c r="BD2429" s="2" t="s">
        <v>82</v>
      </c>
      <c r="BE2429" s="2">
        <v>41</v>
      </c>
      <c r="BF2429" s="2" t="s">
        <v>82</v>
      </c>
      <c r="BG2429" s="2"/>
      <c r="BH2429" s="2"/>
      <c r="BI2429" s="2"/>
      <c r="BJ2429" s="2">
        <v>241</v>
      </c>
      <c r="BK2429" s="2" t="s">
        <v>82</v>
      </c>
      <c r="BL2429" s="2"/>
      <c r="BM2429" s="2">
        <v>241</v>
      </c>
      <c r="BN2429" s="2" t="s">
        <v>82</v>
      </c>
      <c r="BO2429" s="2"/>
      <c r="BP2429" s="2">
        <v>241</v>
      </c>
      <c r="BQ2429" s="2" t="s">
        <v>82</v>
      </c>
      <c r="BR2429" s="2"/>
      <c r="BS2429" s="3">
        <v>40340</v>
      </c>
      <c r="BT2429" s="4">
        <v>0.43056712962962962</v>
      </c>
    </row>
    <row r="2430" spans="1:72" x14ac:dyDescent="0.25">
      <c r="A2430" s="2">
        <v>3554</v>
      </c>
      <c r="B2430" s="2">
        <v>2010</v>
      </c>
      <c r="C2430" s="2" t="s">
        <v>5621</v>
      </c>
      <c r="D2430" s="2" t="s">
        <v>122</v>
      </c>
      <c r="E2430" s="2"/>
      <c r="F2430" s="2">
        <v>1</v>
      </c>
      <c r="G2430" s="2" t="s">
        <v>82</v>
      </c>
      <c r="H2430" s="2">
        <v>1</v>
      </c>
      <c r="I2430" s="2" t="s">
        <v>82</v>
      </c>
      <c r="J2430" s="2">
        <v>1</v>
      </c>
      <c r="K2430" s="2" t="s">
        <v>107</v>
      </c>
      <c r="L2430" s="2" t="s">
        <v>107</v>
      </c>
      <c r="M2430" s="3">
        <v>40340</v>
      </c>
      <c r="N2430" s="2" t="s">
        <v>82</v>
      </c>
      <c r="O2430" s="2" t="s">
        <v>82</v>
      </c>
      <c r="P2430" s="2" t="s">
        <v>82</v>
      </c>
      <c r="Q2430" s="2" t="str">
        <f>"N/C"</f>
        <v>N/C</v>
      </c>
      <c r="R2430" s="2" t="s">
        <v>82</v>
      </c>
      <c r="S2430" s="2" t="s">
        <v>82</v>
      </c>
      <c r="T2430" s="2">
        <v>2</v>
      </c>
      <c r="U2430" s="2" t="s">
        <v>123</v>
      </c>
      <c r="V2430" s="2">
        <v>1</v>
      </c>
      <c r="W2430" s="2" t="s">
        <v>80</v>
      </c>
      <c r="X2430" s="2">
        <v>5</v>
      </c>
      <c r="Y2430" s="2" t="s">
        <v>82</v>
      </c>
      <c r="Z2430" s="2">
        <v>1</v>
      </c>
      <c r="AA2430" s="2" t="s">
        <v>82</v>
      </c>
      <c r="AB2430" s="2">
        <v>9</v>
      </c>
      <c r="AC2430" s="2" t="s">
        <v>124</v>
      </c>
      <c r="AD2430" s="3">
        <v>40340</v>
      </c>
      <c r="AE2430" s="4">
        <v>0.32291666666666669</v>
      </c>
      <c r="AF2430" s="2"/>
      <c r="AG2430" s="2"/>
      <c r="AH2430" s="2">
        <v>2</v>
      </c>
      <c r="AI2430" s="2" t="s">
        <v>84</v>
      </c>
      <c r="AJ2430" s="2">
        <v>8</v>
      </c>
      <c r="AK2430" s="2" t="s">
        <v>436</v>
      </c>
      <c r="AL2430" s="2">
        <v>2</v>
      </c>
      <c r="AM2430" s="2" t="s">
        <v>163</v>
      </c>
      <c r="AN2430" s="2"/>
      <c r="AO2430" s="2" t="s">
        <v>8233</v>
      </c>
      <c r="AP2430" s="2">
        <v>11</v>
      </c>
      <c r="AQ2430" s="2" t="s">
        <v>82</v>
      </c>
      <c r="AR2430" s="2" t="s">
        <v>82</v>
      </c>
      <c r="AS2430" s="2" t="s">
        <v>82</v>
      </c>
      <c r="AT2430" s="2" t="s">
        <v>8234</v>
      </c>
      <c r="AU2430" s="2"/>
      <c r="AV2430" s="2"/>
      <c r="AW2430" s="2"/>
      <c r="AX2430" s="2"/>
      <c r="AY2430" s="2">
        <v>13</v>
      </c>
      <c r="AZ2430" s="2" t="s">
        <v>108</v>
      </c>
      <c r="BA2430" s="2">
        <v>41</v>
      </c>
      <c r="BB2430" s="2" t="s">
        <v>82</v>
      </c>
      <c r="BC2430" s="2">
        <v>41</v>
      </c>
      <c r="BD2430" s="2" t="s">
        <v>82</v>
      </c>
      <c r="BE2430" s="2">
        <v>13</v>
      </c>
      <c r="BF2430" s="2" t="s">
        <v>108</v>
      </c>
      <c r="BG2430" s="2" t="s">
        <v>8235</v>
      </c>
      <c r="BH2430" s="4">
        <v>0.3347222222222222</v>
      </c>
      <c r="BI2430" s="4">
        <v>0.39930555555555558</v>
      </c>
      <c r="BJ2430" s="2">
        <v>13</v>
      </c>
      <c r="BK2430" s="2" t="s">
        <v>91</v>
      </c>
      <c r="BL2430" s="2" t="s">
        <v>647</v>
      </c>
      <c r="BM2430" s="2">
        <v>241</v>
      </c>
      <c r="BN2430" s="2" t="s">
        <v>82</v>
      </c>
      <c r="BO2430" s="2" t="s">
        <v>82</v>
      </c>
      <c r="BP2430" s="2">
        <v>13</v>
      </c>
      <c r="BQ2430" s="2" t="s">
        <v>91</v>
      </c>
      <c r="BR2430" s="2" t="s">
        <v>185</v>
      </c>
      <c r="BS2430" s="3">
        <v>40340</v>
      </c>
      <c r="BT2430" s="4">
        <v>0.44445601851851851</v>
      </c>
    </row>
    <row r="2431" spans="1:72" x14ac:dyDescent="0.25">
      <c r="A2431" s="2">
        <v>3555</v>
      </c>
      <c r="B2431" s="2">
        <v>2010</v>
      </c>
      <c r="C2431" s="2" t="s">
        <v>806</v>
      </c>
      <c r="D2431" s="2" t="s">
        <v>73</v>
      </c>
      <c r="E2431" s="2"/>
      <c r="F2431" s="2">
        <v>530</v>
      </c>
      <c r="G2431" s="2" t="s">
        <v>3315</v>
      </c>
      <c r="H2431" s="2">
        <v>61</v>
      </c>
      <c r="I2431" s="2" t="s">
        <v>3043</v>
      </c>
      <c r="J2431" s="2">
        <v>461</v>
      </c>
      <c r="K2431" s="2" t="s">
        <v>3316</v>
      </c>
      <c r="L2431" s="2" t="s">
        <v>3317</v>
      </c>
      <c r="M2431" s="3">
        <v>40340</v>
      </c>
      <c r="N2431" s="2" t="s">
        <v>8236</v>
      </c>
      <c r="O2431" s="2" t="s">
        <v>8237</v>
      </c>
      <c r="P2431" s="2" t="s">
        <v>8238</v>
      </c>
      <c r="Q2431" s="2" t="str">
        <f>"N/C"</f>
        <v>N/C</v>
      </c>
      <c r="R2431" s="2" t="s">
        <v>82</v>
      </c>
      <c r="S2431" s="2" t="s">
        <v>82</v>
      </c>
      <c r="T2431" s="2">
        <v>1</v>
      </c>
      <c r="U2431" s="2" t="s">
        <v>79</v>
      </c>
      <c r="V2431" s="2">
        <v>3</v>
      </c>
      <c r="W2431" s="2" t="s">
        <v>225</v>
      </c>
      <c r="X2431" s="2">
        <v>6</v>
      </c>
      <c r="Y2431" s="2" t="s">
        <v>249</v>
      </c>
      <c r="Z2431" s="2">
        <v>1</v>
      </c>
      <c r="AA2431" s="2" t="s">
        <v>82</v>
      </c>
      <c r="AB2431" s="2">
        <v>9</v>
      </c>
      <c r="AC2431" s="2" t="s">
        <v>124</v>
      </c>
      <c r="AD2431" s="2"/>
      <c r="AE2431" s="2"/>
      <c r="AF2431" s="3">
        <v>40340</v>
      </c>
      <c r="AG2431" s="4">
        <v>0.375</v>
      </c>
      <c r="AH2431" s="2">
        <v>7</v>
      </c>
      <c r="AI2431" s="2" t="s">
        <v>801</v>
      </c>
      <c r="AJ2431" s="2">
        <v>3</v>
      </c>
      <c r="AK2431" s="2" t="s">
        <v>802</v>
      </c>
      <c r="AL2431" s="2">
        <v>23</v>
      </c>
      <c r="AM2431" s="2" t="s">
        <v>251</v>
      </c>
      <c r="AN2431" s="2" t="s">
        <v>107</v>
      </c>
      <c r="AO2431" s="2" t="s">
        <v>8239</v>
      </c>
      <c r="AP2431" s="2">
        <v>11</v>
      </c>
      <c r="AQ2431" s="2" t="s">
        <v>82</v>
      </c>
      <c r="AR2431" s="2" t="s">
        <v>107</v>
      </c>
      <c r="AS2431" s="2" t="s">
        <v>107</v>
      </c>
      <c r="AT2431" s="2" t="s">
        <v>8240</v>
      </c>
      <c r="AU2431" s="2"/>
      <c r="AV2431" s="2"/>
      <c r="AW2431" s="2"/>
      <c r="AX2431" s="2"/>
      <c r="AY2431" s="2">
        <v>1</v>
      </c>
      <c r="AZ2431" s="2" t="s">
        <v>107</v>
      </c>
      <c r="BA2431" s="2">
        <v>1</v>
      </c>
      <c r="BB2431" s="2" t="s">
        <v>107</v>
      </c>
      <c r="BC2431" s="2">
        <v>1</v>
      </c>
      <c r="BD2431" s="2" t="s">
        <v>107</v>
      </c>
      <c r="BE2431" s="2">
        <v>1</v>
      </c>
      <c r="BF2431" s="2" t="s">
        <v>107</v>
      </c>
      <c r="BG2431" s="2" t="s">
        <v>107</v>
      </c>
      <c r="BH2431" s="2"/>
      <c r="BI2431" s="2"/>
      <c r="BJ2431" s="2">
        <v>242</v>
      </c>
      <c r="BK2431" s="2" t="s">
        <v>107</v>
      </c>
      <c r="BL2431" s="2" t="s">
        <v>107</v>
      </c>
      <c r="BM2431" s="2">
        <v>242</v>
      </c>
      <c r="BN2431" s="2" t="s">
        <v>107</v>
      </c>
      <c r="BO2431" s="2" t="s">
        <v>107</v>
      </c>
      <c r="BP2431" s="2">
        <v>242</v>
      </c>
      <c r="BQ2431" s="2" t="s">
        <v>107</v>
      </c>
      <c r="BR2431" s="2" t="s">
        <v>107</v>
      </c>
      <c r="BS2431" s="3">
        <v>40340</v>
      </c>
      <c r="BT2431" s="4">
        <v>0.48194444444444445</v>
      </c>
    </row>
    <row r="2432" spans="1:72" x14ac:dyDescent="0.25">
      <c r="A2432" s="2">
        <v>3556</v>
      </c>
      <c r="B2432" s="2">
        <v>2010</v>
      </c>
      <c r="C2432" s="2" t="s">
        <v>819</v>
      </c>
      <c r="D2432" s="2" t="s">
        <v>122</v>
      </c>
      <c r="E2432" s="2" t="s">
        <v>8241</v>
      </c>
      <c r="F2432" s="2">
        <v>425</v>
      </c>
      <c r="G2432" s="2" t="s">
        <v>286</v>
      </c>
      <c r="H2432" s="2">
        <v>39</v>
      </c>
      <c r="I2432" s="2" t="s">
        <v>1117</v>
      </c>
      <c r="J2432" s="2">
        <v>310</v>
      </c>
      <c r="K2432" s="2" t="s">
        <v>288</v>
      </c>
      <c r="L2432" s="2" t="s">
        <v>289</v>
      </c>
      <c r="M2432" s="3">
        <v>40340</v>
      </c>
      <c r="N2432" s="2" t="s">
        <v>2049</v>
      </c>
      <c r="O2432" s="2"/>
      <c r="P2432" s="2"/>
      <c r="Q2432" s="2" t="str">
        <f>"067/10"</f>
        <v>067/10</v>
      </c>
      <c r="R2432" s="2" t="s">
        <v>822</v>
      </c>
      <c r="S2432" s="2"/>
      <c r="T2432" s="2">
        <v>1</v>
      </c>
      <c r="U2432" s="2" t="s">
        <v>79</v>
      </c>
      <c r="V2432" s="2">
        <v>1</v>
      </c>
      <c r="W2432" s="2" t="s">
        <v>80</v>
      </c>
      <c r="X2432" s="2">
        <v>1</v>
      </c>
      <c r="Y2432" s="2" t="s">
        <v>81</v>
      </c>
      <c r="Z2432" s="2">
        <v>10</v>
      </c>
      <c r="AA2432" s="2" t="s">
        <v>236</v>
      </c>
      <c r="AB2432" s="2">
        <v>9</v>
      </c>
      <c r="AC2432" s="2" t="s">
        <v>124</v>
      </c>
      <c r="AD2432" s="3">
        <v>40340</v>
      </c>
      <c r="AE2432" s="4">
        <v>0.3888888888888889</v>
      </c>
      <c r="AF2432" s="2"/>
      <c r="AG2432" s="2"/>
      <c r="AH2432" s="2">
        <v>4</v>
      </c>
      <c r="AI2432" s="2" t="s">
        <v>125</v>
      </c>
      <c r="AJ2432" s="2">
        <v>29</v>
      </c>
      <c r="AK2432" s="2" t="s">
        <v>227</v>
      </c>
      <c r="AL2432" s="2">
        <v>16</v>
      </c>
      <c r="AM2432" s="2" t="s">
        <v>392</v>
      </c>
      <c r="AN2432" s="2" t="s">
        <v>3040</v>
      </c>
      <c r="AO2432" s="2" t="s">
        <v>3176</v>
      </c>
      <c r="AP2432" s="2">
        <v>12</v>
      </c>
      <c r="AQ2432" s="2" t="s">
        <v>322</v>
      </c>
      <c r="AR2432" s="2" t="s">
        <v>824</v>
      </c>
      <c r="AS2432" s="2" t="s">
        <v>825</v>
      </c>
      <c r="AT2432" s="2" t="s">
        <v>8242</v>
      </c>
      <c r="AU2432" s="2"/>
      <c r="AV2432" s="2"/>
      <c r="AW2432" s="2"/>
      <c r="AX2432" s="2"/>
      <c r="AY2432" s="2">
        <v>41</v>
      </c>
      <c r="AZ2432" s="2" t="s">
        <v>82</v>
      </c>
      <c r="BA2432" s="2">
        <v>41</v>
      </c>
      <c r="BB2432" s="2" t="s">
        <v>82</v>
      </c>
      <c r="BC2432" s="2">
        <v>51</v>
      </c>
      <c r="BD2432" s="2" t="s">
        <v>827</v>
      </c>
      <c r="BE2432" s="2">
        <v>47</v>
      </c>
      <c r="BF2432" s="2" t="s">
        <v>167</v>
      </c>
      <c r="BG2432" s="2">
        <v>2451</v>
      </c>
      <c r="BH2432" s="4">
        <v>0.375</v>
      </c>
      <c r="BI2432" s="4">
        <v>0.4236111111111111</v>
      </c>
      <c r="BJ2432" s="2">
        <v>13</v>
      </c>
      <c r="BK2432" s="2" t="s">
        <v>91</v>
      </c>
      <c r="BL2432" s="2" t="s">
        <v>828</v>
      </c>
      <c r="BM2432" s="2">
        <v>241</v>
      </c>
      <c r="BN2432" s="2" t="s">
        <v>82</v>
      </c>
      <c r="BO2432" s="2"/>
      <c r="BP2432" s="2">
        <v>13</v>
      </c>
      <c r="BQ2432" s="2" t="s">
        <v>91</v>
      </c>
      <c r="BR2432" s="2" t="s">
        <v>185</v>
      </c>
      <c r="BS2432" s="3">
        <v>40340</v>
      </c>
      <c r="BT2432" s="4">
        <v>0.49902777777777779</v>
      </c>
    </row>
    <row r="2433" spans="1:72" x14ac:dyDescent="0.25">
      <c r="A2433" s="2">
        <v>3557</v>
      </c>
      <c r="B2433" s="2">
        <v>2010</v>
      </c>
      <c r="C2433" s="2" t="s">
        <v>1568</v>
      </c>
      <c r="D2433" s="2" t="s">
        <v>122</v>
      </c>
      <c r="E2433" s="2" t="s">
        <v>8243</v>
      </c>
      <c r="F2433" s="2">
        <v>425</v>
      </c>
      <c r="G2433" s="2" t="s">
        <v>286</v>
      </c>
      <c r="H2433" s="2">
        <v>39</v>
      </c>
      <c r="I2433" s="2" t="s">
        <v>1117</v>
      </c>
      <c r="J2433" s="2">
        <v>310</v>
      </c>
      <c r="K2433" s="2" t="s">
        <v>288</v>
      </c>
      <c r="L2433" s="2" t="s">
        <v>289</v>
      </c>
      <c r="M2433" s="3">
        <v>40340</v>
      </c>
      <c r="N2433" s="2" t="s">
        <v>2049</v>
      </c>
      <c r="O2433" s="2"/>
      <c r="P2433" s="2"/>
      <c r="Q2433" s="2" t="str">
        <f>"068"</f>
        <v>068</v>
      </c>
      <c r="R2433" s="2" t="s">
        <v>822</v>
      </c>
      <c r="S2433" s="2"/>
      <c r="T2433" s="2">
        <v>1</v>
      </c>
      <c r="U2433" s="2" t="s">
        <v>79</v>
      </c>
      <c r="V2433" s="2">
        <v>1</v>
      </c>
      <c r="W2433" s="2" t="s">
        <v>80</v>
      </c>
      <c r="X2433" s="2">
        <v>1</v>
      </c>
      <c r="Y2433" s="2" t="s">
        <v>81</v>
      </c>
      <c r="Z2433" s="2">
        <v>10</v>
      </c>
      <c r="AA2433" s="2" t="s">
        <v>236</v>
      </c>
      <c r="AB2433" s="2">
        <v>4</v>
      </c>
      <c r="AC2433" s="2" t="s">
        <v>1569</v>
      </c>
      <c r="AD2433" s="3">
        <v>40340</v>
      </c>
      <c r="AE2433" s="4">
        <v>0.40625</v>
      </c>
      <c r="AF2433" s="2"/>
      <c r="AG2433" s="2"/>
      <c r="AH2433" s="2">
        <v>4</v>
      </c>
      <c r="AI2433" s="2" t="s">
        <v>125</v>
      </c>
      <c r="AJ2433" s="2">
        <v>29</v>
      </c>
      <c r="AK2433" s="2" t="s">
        <v>227</v>
      </c>
      <c r="AL2433" s="2">
        <v>10</v>
      </c>
      <c r="AM2433" s="2" t="s">
        <v>200</v>
      </c>
      <c r="AN2433" s="2" t="s">
        <v>3040</v>
      </c>
      <c r="AO2433" s="2" t="s">
        <v>3176</v>
      </c>
      <c r="AP2433" s="2">
        <v>12</v>
      </c>
      <c r="AQ2433" s="2" t="s">
        <v>322</v>
      </c>
      <c r="AR2433" s="2" t="s">
        <v>824</v>
      </c>
      <c r="AS2433" s="2" t="s">
        <v>884</v>
      </c>
      <c r="AT2433" s="2" t="s">
        <v>8244</v>
      </c>
      <c r="AU2433" s="2"/>
      <c r="AV2433" s="2"/>
      <c r="AW2433" s="2"/>
      <c r="AX2433" s="2"/>
      <c r="AY2433" s="2">
        <v>41</v>
      </c>
      <c r="AZ2433" s="2" t="s">
        <v>82</v>
      </c>
      <c r="BA2433" s="2">
        <v>41</v>
      </c>
      <c r="BB2433" s="2" t="s">
        <v>82</v>
      </c>
      <c r="BC2433" s="2">
        <v>51</v>
      </c>
      <c r="BD2433" s="2" t="s">
        <v>827</v>
      </c>
      <c r="BE2433" s="2">
        <v>13</v>
      </c>
      <c r="BF2433" s="2" t="s">
        <v>108</v>
      </c>
      <c r="BG2433" s="2">
        <v>1459</v>
      </c>
      <c r="BH2433" s="4">
        <v>0.90625</v>
      </c>
      <c r="BI2433" s="4">
        <v>0.92708333333333337</v>
      </c>
      <c r="BJ2433" s="2">
        <v>13</v>
      </c>
      <c r="BK2433" s="2" t="s">
        <v>91</v>
      </c>
      <c r="BL2433" s="2" t="s">
        <v>828</v>
      </c>
      <c r="BM2433" s="2">
        <v>241</v>
      </c>
      <c r="BN2433" s="2" t="s">
        <v>82</v>
      </c>
      <c r="BO2433" s="2" t="s">
        <v>82</v>
      </c>
      <c r="BP2433" s="2">
        <v>13</v>
      </c>
      <c r="BQ2433" s="2" t="s">
        <v>91</v>
      </c>
      <c r="BR2433" s="2" t="s">
        <v>185</v>
      </c>
      <c r="BS2433" s="3">
        <v>40340</v>
      </c>
      <c r="BT2433" s="4">
        <v>0.53710648148148155</v>
      </c>
    </row>
    <row r="2434" spans="1:72" x14ac:dyDescent="0.25">
      <c r="A2434" s="2">
        <v>3559</v>
      </c>
      <c r="B2434" s="2">
        <v>2010</v>
      </c>
      <c r="C2434" s="2" t="s">
        <v>72</v>
      </c>
      <c r="D2434" s="2" t="s">
        <v>73</v>
      </c>
      <c r="E2434" s="2"/>
      <c r="F2434" s="2">
        <v>358</v>
      </c>
      <c r="G2434" s="2" t="s">
        <v>829</v>
      </c>
      <c r="H2434" s="2">
        <v>22</v>
      </c>
      <c r="I2434" s="2" t="s">
        <v>75</v>
      </c>
      <c r="J2434" s="2">
        <v>582</v>
      </c>
      <c r="K2434" s="2" t="s">
        <v>8245</v>
      </c>
      <c r="L2434" s="2" t="s">
        <v>8246</v>
      </c>
      <c r="M2434" s="3">
        <v>40340</v>
      </c>
      <c r="N2434" s="2" t="s">
        <v>8247</v>
      </c>
      <c r="O2434" s="2" t="s">
        <v>107</v>
      </c>
      <c r="P2434" s="2" t="s">
        <v>107</v>
      </c>
      <c r="Q2434" s="2" t="str">
        <f>"0005/2010"</f>
        <v>0005/2010</v>
      </c>
      <c r="R2434" s="2" t="s">
        <v>107</v>
      </c>
      <c r="S2434" s="2" t="s">
        <v>116</v>
      </c>
      <c r="T2434" s="2">
        <v>1</v>
      </c>
      <c r="U2434" s="2" t="s">
        <v>79</v>
      </c>
      <c r="V2434" s="2">
        <v>1</v>
      </c>
      <c r="W2434" s="2" t="s">
        <v>80</v>
      </c>
      <c r="X2434" s="2">
        <v>12</v>
      </c>
      <c r="Y2434" s="2" t="s">
        <v>148</v>
      </c>
      <c r="Z2434" s="2">
        <v>1</v>
      </c>
      <c r="AA2434" s="2" t="s">
        <v>82</v>
      </c>
      <c r="AB2434" s="2">
        <v>6</v>
      </c>
      <c r="AC2434" s="2" t="s">
        <v>83</v>
      </c>
      <c r="AD2434" s="3">
        <v>40332</v>
      </c>
      <c r="AE2434" s="2"/>
      <c r="AF2434" s="3">
        <v>40340</v>
      </c>
      <c r="AG2434" s="4">
        <v>0.50694444444444442</v>
      </c>
      <c r="AH2434" s="2">
        <v>5</v>
      </c>
      <c r="AI2434" s="2" t="s">
        <v>274</v>
      </c>
      <c r="AJ2434" s="2">
        <v>45</v>
      </c>
      <c r="AK2434" s="2" t="s">
        <v>834</v>
      </c>
      <c r="AL2434" s="2">
        <v>25</v>
      </c>
      <c r="AM2434" s="2" t="s">
        <v>3073</v>
      </c>
      <c r="AN2434" s="2"/>
      <c r="AO2434" s="2" t="s">
        <v>8248</v>
      </c>
      <c r="AP2434" s="2">
        <v>11</v>
      </c>
      <c r="AQ2434" s="2" t="s">
        <v>82</v>
      </c>
      <c r="AR2434" s="2" t="s">
        <v>82</v>
      </c>
      <c r="AS2434" s="2" t="s">
        <v>82</v>
      </c>
      <c r="AT2434" s="2" t="s">
        <v>8249</v>
      </c>
      <c r="AU2434" s="2"/>
      <c r="AV2434" s="2"/>
      <c r="AW2434" s="2"/>
      <c r="AX2434" s="2"/>
      <c r="AY2434" s="2">
        <v>45</v>
      </c>
      <c r="AZ2434" s="2" t="s">
        <v>1855</v>
      </c>
      <c r="BA2434" s="2">
        <v>45</v>
      </c>
      <c r="BB2434" s="2" t="s">
        <v>1855</v>
      </c>
      <c r="BC2434" s="2">
        <v>41</v>
      </c>
      <c r="BD2434" s="2" t="s">
        <v>82</v>
      </c>
      <c r="BE2434" s="2">
        <v>41</v>
      </c>
      <c r="BF2434" s="2" t="s">
        <v>82</v>
      </c>
      <c r="BG2434" s="2" t="s">
        <v>82</v>
      </c>
      <c r="BH2434" s="2"/>
      <c r="BI2434" s="2"/>
      <c r="BJ2434" s="2">
        <v>241</v>
      </c>
      <c r="BK2434" s="2" t="s">
        <v>82</v>
      </c>
      <c r="BL2434" s="2" t="s">
        <v>82</v>
      </c>
      <c r="BM2434" s="2">
        <v>241</v>
      </c>
      <c r="BN2434" s="2" t="s">
        <v>82</v>
      </c>
      <c r="BO2434" s="2" t="s">
        <v>82</v>
      </c>
      <c r="BP2434" s="2">
        <v>241</v>
      </c>
      <c r="BQ2434" s="2" t="s">
        <v>82</v>
      </c>
      <c r="BR2434" s="2" t="s">
        <v>82</v>
      </c>
      <c r="BS2434" s="3">
        <v>40340</v>
      </c>
      <c r="BT2434" s="4">
        <v>0.60240740740740739</v>
      </c>
    </row>
    <row r="2435" spans="1:72" x14ac:dyDescent="0.25">
      <c r="A2435" s="2">
        <v>3560</v>
      </c>
      <c r="B2435" s="2">
        <v>2010</v>
      </c>
      <c r="C2435" s="2" t="s">
        <v>72</v>
      </c>
      <c r="D2435" s="2" t="s">
        <v>73</v>
      </c>
      <c r="E2435" s="2"/>
      <c r="F2435" s="2">
        <v>389</v>
      </c>
      <c r="G2435" s="2" t="s">
        <v>1819</v>
      </c>
      <c r="H2435" s="2">
        <v>4</v>
      </c>
      <c r="I2435" s="2" t="s">
        <v>173</v>
      </c>
      <c r="J2435" s="2">
        <v>399</v>
      </c>
      <c r="K2435" s="2" t="s">
        <v>1820</v>
      </c>
      <c r="L2435" s="2" t="s">
        <v>1821</v>
      </c>
      <c r="M2435" s="3">
        <v>40340</v>
      </c>
      <c r="N2435" s="2" t="s">
        <v>2621</v>
      </c>
      <c r="O2435" s="2" t="s">
        <v>107</v>
      </c>
      <c r="P2435" s="2" t="s">
        <v>107</v>
      </c>
      <c r="Q2435" s="2" t="str">
        <f>"313-E/10"</f>
        <v>313-E/10</v>
      </c>
      <c r="R2435" s="2" t="s">
        <v>78</v>
      </c>
      <c r="S2435" s="2" t="s">
        <v>78</v>
      </c>
      <c r="T2435" s="2">
        <v>1</v>
      </c>
      <c r="U2435" s="2" t="s">
        <v>79</v>
      </c>
      <c r="V2435" s="2">
        <v>1</v>
      </c>
      <c r="W2435" s="2" t="s">
        <v>80</v>
      </c>
      <c r="X2435" s="2">
        <v>12</v>
      </c>
      <c r="Y2435" s="2" t="s">
        <v>148</v>
      </c>
      <c r="Z2435" s="2">
        <v>1</v>
      </c>
      <c r="AA2435" s="2" t="s">
        <v>82</v>
      </c>
      <c r="AB2435" s="2">
        <v>6</v>
      </c>
      <c r="AC2435" s="2" t="s">
        <v>83</v>
      </c>
      <c r="AD2435" s="3">
        <v>40340</v>
      </c>
      <c r="AE2435" s="2"/>
      <c r="AF2435" s="3">
        <v>40340</v>
      </c>
      <c r="AG2435" s="4">
        <v>0.52083333333333337</v>
      </c>
      <c r="AH2435" s="2">
        <v>2</v>
      </c>
      <c r="AI2435" s="2" t="s">
        <v>84</v>
      </c>
      <c r="AJ2435" s="2">
        <v>9</v>
      </c>
      <c r="AK2435" s="2" t="s">
        <v>103</v>
      </c>
      <c r="AL2435" s="2">
        <v>2</v>
      </c>
      <c r="AM2435" s="2" t="s">
        <v>163</v>
      </c>
      <c r="AN2435" s="2" t="s">
        <v>8250</v>
      </c>
      <c r="AO2435" s="2"/>
      <c r="AP2435" s="2">
        <v>11</v>
      </c>
      <c r="AQ2435" s="2" t="s">
        <v>82</v>
      </c>
      <c r="AR2435" s="2"/>
      <c r="AS2435" s="2"/>
      <c r="AT2435" s="2" t="s">
        <v>8251</v>
      </c>
      <c r="AU2435" s="2"/>
      <c r="AV2435" s="2"/>
      <c r="AW2435" s="2"/>
      <c r="AX2435" s="2"/>
      <c r="AY2435" s="2">
        <v>41</v>
      </c>
      <c r="AZ2435" s="2" t="s">
        <v>82</v>
      </c>
      <c r="BA2435" s="2">
        <v>41</v>
      </c>
      <c r="BB2435" s="2" t="s">
        <v>82</v>
      </c>
      <c r="BC2435" s="2">
        <v>41</v>
      </c>
      <c r="BD2435" s="2" t="s">
        <v>82</v>
      </c>
      <c r="BE2435" s="2">
        <v>23</v>
      </c>
      <c r="BF2435" s="2" t="s">
        <v>183</v>
      </c>
      <c r="BG2435" s="2" t="s">
        <v>2624</v>
      </c>
      <c r="BH2435" s="4">
        <v>0.39583333333333331</v>
      </c>
      <c r="BI2435" s="2"/>
      <c r="BJ2435" s="2">
        <v>73</v>
      </c>
      <c r="BK2435" s="2" t="s">
        <v>186</v>
      </c>
      <c r="BL2435" s="2" t="s">
        <v>187</v>
      </c>
      <c r="BM2435" s="2">
        <v>241</v>
      </c>
      <c r="BN2435" s="2" t="s">
        <v>82</v>
      </c>
      <c r="BO2435" s="2"/>
      <c r="BP2435" s="2">
        <v>13</v>
      </c>
      <c r="BQ2435" s="2" t="s">
        <v>91</v>
      </c>
      <c r="BR2435" s="2" t="s">
        <v>360</v>
      </c>
      <c r="BS2435" s="3">
        <v>40340</v>
      </c>
      <c r="BT2435" s="4">
        <v>0.62966435185185188</v>
      </c>
    </row>
    <row r="2436" spans="1:72" x14ac:dyDescent="0.25">
      <c r="A2436" s="2">
        <v>3563</v>
      </c>
      <c r="B2436" s="2">
        <v>2010</v>
      </c>
      <c r="C2436" s="2" t="s">
        <v>171</v>
      </c>
      <c r="D2436" s="2" t="s">
        <v>73</v>
      </c>
      <c r="E2436" s="2" t="s">
        <v>5266</v>
      </c>
      <c r="F2436" s="2">
        <v>425</v>
      </c>
      <c r="G2436" s="2" t="s">
        <v>286</v>
      </c>
      <c r="H2436" s="2">
        <v>30</v>
      </c>
      <c r="I2436" s="2" t="s">
        <v>912</v>
      </c>
      <c r="J2436" s="2">
        <v>310</v>
      </c>
      <c r="K2436" s="2" t="s">
        <v>288</v>
      </c>
      <c r="L2436" s="2" t="s">
        <v>289</v>
      </c>
      <c r="M2436" s="3">
        <v>40340</v>
      </c>
      <c r="N2436" s="2" t="s">
        <v>1917</v>
      </c>
      <c r="O2436" s="2" t="s">
        <v>4718</v>
      </c>
      <c r="P2436" s="2" t="s">
        <v>4719</v>
      </c>
      <c r="Q2436" s="2" t="str">
        <f>"84/09"</f>
        <v>84/09</v>
      </c>
      <c r="R2436" s="2"/>
      <c r="S2436" s="2"/>
      <c r="T2436" s="2">
        <v>1</v>
      </c>
      <c r="U2436" s="2" t="s">
        <v>79</v>
      </c>
      <c r="V2436" s="2">
        <v>3</v>
      </c>
      <c r="W2436" s="2" t="s">
        <v>225</v>
      </c>
      <c r="X2436" s="2">
        <v>6</v>
      </c>
      <c r="Y2436" s="2" t="s">
        <v>249</v>
      </c>
      <c r="Z2436" s="2">
        <v>1</v>
      </c>
      <c r="AA2436" s="2" t="s">
        <v>82</v>
      </c>
      <c r="AB2436" s="2">
        <v>9</v>
      </c>
      <c r="AC2436" s="2" t="s">
        <v>124</v>
      </c>
      <c r="AD2436" s="2"/>
      <c r="AE2436" s="2"/>
      <c r="AF2436" s="2"/>
      <c r="AG2436" s="2"/>
      <c r="AH2436" s="2">
        <v>4</v>
      </c>
      <c r="AI2436" s="2" t="s">
        <v>125</v>
      </c>
      <c r="AJ2436" s="2">
        <v>26</v>
      </c>
      <c r="AK2436" s="2" t="s">
        <v>293</v>
      </c>
      <c r="AL2436" s="2">
        <v>23</v>
      </c>
      <c r="AM2436" s="2" t="s">
        <v>251</v>
      </c>
      <c r="AN2436" s="2"/>
      <c r="AO2436" s="2" t="s">
        <v>7578</v>
      </c>
      <c r="AP2436" s="2">
        <v>11</v>
      </c>
      <c r="AQ2436" s="2" t="s">
        <v>82</v>
      </c>
      <c r="AR2436" s="2"/>
      <c r="AS2436" s="2"/>
      <c r="AT2436" s="2" t="s">
        <v>8252</v>
      </c>
      <c r="AU2436" s="2"/>
      <c r="AV2436" s="2"/>
      <c r="AW2436" s="2"/>
      <c r="AX2436" s="2"/>
      <c r="AY2436" s="2">
        <v>1</v>
      </c>
      <c r="AZ2436" s="2" t="s">
        <v>107</v>
      </c>
      <c r="BA2436" s="2">
        <v>1</v>
      </c>
      <c r="BB2436" s="2" t="s">
        <v>107</v>
      </c>
      <c r="BC2436" s="2">
        <v>1</v>
      </c>
      <c r="BD2436" s="2" t="s">
        <v>107</v>
      </c>
      <c r="BE2436" s="2">
        <v>1</v>
      </c>
      <c r="BF2436" s="2" t="s">
        <v>107</v>
      </c>
      <c r="BG2436" s="2"/>
      <c r="BH2436" s="2"/>
      <c r="BI2436" s="2"/>
      <c r="BJ2436" s="2">
        <v>242</v>
      </c>
      <c r="BK2436" s="2" t="s">
        <v>107</v>
      </c>
      <c r="BL2436" s="2"/>
      <c r="BM2436" s="2">
        <v>242</v>
      </c>
      <c r="BN2436" s="2" t="s">
        <v>107</v>
      </c>
      <c r="BO2436" s="2"/>
      <c r="BP2436" s="2">
        <v>242</v>
      </c>
      <c r="BQ2436" s="2" t="s">
        <v>107</v>
      </c>
      <c r="BR2436" s="2"/>
      <c r="BS2436" s="3">
        <v>40340</v>
      </c>
      <c r="BT2436" s="4">
        <v>0.67219907407407409</v>
      </c>
    </row>
    <row r="2437" spans="1:72" x14ac:dyDescent="0.25">
      <c r="A2437" s="2">
        <v>3564</v>
      </c>
      <c r="B2437" s="2">
        <v>2010</v>
      </c>
      <c r="C2437" s="2" t="s">
        <v>93</v>
      </c>
      <c r="D2437" s="2" t="s">
        <v>73</v>
      </c>
      <c r="E2437" s="2"/>
      <c r="F2437" s="2">
        <v>483</v>
      </c>
      <c r="G2437" s="2" t="s">
        <v>1477</v>
      </c>
      <c r="H2437" s="2">
        <v>10</v>
      </c>
      <c r="I2437" s="2" t="s">
        <v>1031</v>
      </c>
      <c r="J2437" s="2">
        <v>167</v>
      </c>
      <c r="K2437" s="2" t="s">
        <v>1032</v>
      </c>
      <c r="L2437" s="2" t="s">
        <v>1033</v>
      </c>
      <c r="M2437" s="3">
        <v>40340</v>
      </c>
      <c r="N2437" s="2" t="s">
        <v>8253</v>
      </c>
      <c r="O2437" s="2" t="s">
        <v>5485</v>
      </c>
      <c r="P2437" s="2">
        <v>7200</v>
      </c>
      <c r="Q2437" s="2" t="str">
        <f>"0080/2010"</f>
        <v>0080/2010</v>
      </c>
      <c r="R2437" s="2" t="s">
        <v>7393</v>
      </c>
      <c r="S2437" s="2"/>
      <c r="T2437" s="2">
        <v>1</v>
      </c>
      <c r="U2437" s="2" t="s">
        <v>79</v>
      </c>
      <c r="V2437" s="2">
        <v>1</v>
      </c>
      <c r="W2437" s="2" t="s">
        <v>80</v>
      </c>
      <c r="X2437" s="2">
        <v>3</v>
      </c>
      <c r="Y2437" s="2" t="s">
        <v>698</v>
      </c>
      <c r="Z2437" s="2">
        <v>9</v>
      </c>
      <c r="AA2437" s="2" t="s">
        <v>1119</v>
      </c>
      <c r="AB2437" s="2">
        <v>2</v>
      </c>
      <c r="AC2437" s="2" t="s">
        <v>102</v>
      </c>
      <c r="AD2437" s="3">
        <v>40340</v>
      </c>
      <c r="AE2437" s="4">
        <v>0.64583333333333337</v>
      </c>
      <c r="AF2437" s="2"/>
      <c r="AG2437" s="2"/>
      <c r="AH2437" s="2">
        <v>5</v>
      </c>
      <c r="AI2437" s="2" t="s">
        <v>274</v>
      </c>
      <c r="AJ2437" s="2">
        <v>38</v>
      </c>
      <c r="AK2437" s="2" t="s">
        <v>1120</v>
      </c>
      <c r="AL2437" s="2">
        <v>14</v>
      </c>
      <c r="AM2437" s="2" t="s">
        <v>216</v>
      </c>
      <c r="AN2437" s="2"/>
      <c r="AO2437" s="2" t="s">
        <v>5741</v>
      </c>
      <c r="AP2437" s="2">
        <v>11</v>
      </c>
      <c r="AQ2437" s="2" t="s">
        <v>82</v>
      </c>
      <c r="AR2437" s="2"/>
      <c r="AS2437" s="2"/>
      <c r="AT2437" s="2" t="s">
        <v>8254</v>
      </c>
      <c r="AU2437" s="2"/>
      <c r="AV2437" s="2"/>
      <c r="AW2437" s="2"/>
      <c r="AX2437" s="2"/>
      <c r="AY2437" s="2">
        <v>41</v>
      </c>
      <c r="AZ2437" s="2" t="s">
        <v>82</v>
      </c>
      <c r="BA2437" s="2">
        <v>41</v>
      </c>
      <c r="BB2437" s="2" t="s">
        <v>82</v>
      </c>
      <c r="BC2437" s="2">
        <v>41</v>
      </c>
      <c r="BD2437" s="2" t="s">
        <v>82</v>
      </c>
      <c r="BE2437" s="2">
        <v>4</v>
      </c>
      <c r="BF2437" s="2" t="s">
        <v>90</v>
      </c>
      <c r="BG2437" s="2">
        <v>4029</v>
      </c>
      <c r="BH2437" s="4">
        <v>0.63541666666666663</v>
      </c>
      <c r="BI2437" s="4">
        <v>0.67708333333333337</v>
      </c>
      <c r="BJ2437" s="2">
        <v>13</v>
      </c>
      <c r="BK2437" s="2" t="s">
        <v>91</v>
      </c>
      <c r="BL2437" s="2" t="s">
        <v>1697</v>
      </c>
      <c r="BM2437" s="2">
        <v>241</v>
      </c>
      <c r="BN2437" s="2" t="s">
        <v>82</v>
      </c>
      <c r="BO2437" s="2"/>
      <c r="BP2437" s="2">
        <v>13</v>
      </c>
      <c r="BQ2437" s="2" t="s">
        <v>91</v>
      </c>
      <c r="BR2437" s="2" t="s">
        <v>170</v>
      </c>
      <c r="BS2437" s="3">
        <v>40340</v>
      </c>
      <c r="BT2437" s="4">
        <v>0.69011574074074078</v>
      </c>
    </row>
    <row r="2438" spans="1:72" x14ac:dyDescent="0.25">
      <c r="A2438" s="2">
        <v>3566</v>
      </c>
      <c r="B2438" s="2">
        <v>2010</v>
      </c>
      <c r="C2438" s="2" t="s">
        <v>171</v>
      </c>
      <c r="D2438" s="2" t="s">
        <v>73</v>
      </c>
      <c r="E2438" s="2" t="s">
        <v>8255</v>
      </c>
      <c r="F2438" s="2">
        <v>425</v>
      </c>
      <c r="G2438" s="2" t="s">
        <v>286</v>
      </c>
      <c r="H2438" s="2">
        <v>39</v>
      </c>
      <c r="I2438" s="2" t="s">
        <v>1117</v>
      </c>
      <c r="J2438" s="2">
        <v>310</v>
      </c>
      <c r="K2438" s="2" t="s">
        <v>288</v>
      </c>
      <c r="L2438" s="2" t="s">
        <v>289</v>
      </c>
      <c r="M2438" s="3">
        <v>40340</v>
      </c>
      <c r="N2438" s="2"/>
      <c r="O2438" s="2" t="s">
        <v>8127</v>
      </c>
      <c r="P2438" s="2" t="s">
        <v>8128</v>
      </c>
      <c r="Q2438" s="2" t="str">
        <f>"98/10"</f>
        <v>98/10</v>
      </c>
      <c r="R2438" s="2"/>
      <c r="S2438" s="2"/>
      <c r="T2438" s="2">
        <v>1</v>
      </c>
      <c r="U2438" s="2" t="s">
        <v>79</v>
      </c>
      <c r="V2438" s="2">
        <v>3</v>
      </c>
      <c r="W2438" s="2" t="s">
        <v>225</v>
      </c>
      <c r="X2438" s="2">
        <v>6</v>
      </c>
      <c r="Y2438" s="2" t="s">
        <v>249</v>
      </c>
      <c r="Z2438" s="2">
        <v>1</v>
      </c>
      <c r="AA2438" s="2" t="s">
        <v>82</v>
      </c>
      <c r="AB2438" s="2">
        <v>9</v>
      </c>
      <c r="AC2438" s="2" t="s">
        <v>124</v>
      </c>
      <c r="AD2438" s="2"/>
      <c r="AE2438" s="2"/>
      <c r="AF2438" s="2"/>
      <c r="AG2438" s="2"/>
      <c r="AH2438" s="2">
        <v>4</v>
      </c>
      <c r="AI2438" s="2" t="s">
        <v>125</v>
      </c>
      <c r="AJ2438" s="2">
        <v>26</v>
      </c>
      <c r="AK2438" s="2" t="s">
        <v>293</v>
      </c>
      <c r="AL2438" s="2">
        <v>23</v>
      </c>
      <c r="AM2438" s="2" t="s">
        <v>251</v>
      </c>
      <c r="AN2438" s="2"/>
      <c r="AO2438" s="2" t="s">
        <v>7578</v>
      </c>
      <c r="AP2438" s="2">
        <v>11</v>
      </c>
      <c r="AQ2438" s="2" t="s">
        <v>82</v>
      </c>
      <c r="AR2438" s="2"/>
      <c r="AS2438" s="2"/>
      <c r="AT2438" s="2" t="s">
        <v>8256</v>
      </c>
      <c r="AU2438" s="2"/>
      <c r="AV2438" s="2"/>
      <c r="AW2438" s="2"/>
      <c r="AX2438" s="2"/>
      <c r="AY2438" s="2">
        <v>1</v>
      </c>
      <c r="AZ2438" s="2" t="s">
        <v>107</v>
      </c>
      <c r="BA2438" s="2">
        <v>1</v>
      </c>
      <c r="BB2438" s="2" t="s">
        <v>107</v>
      </c>
      <c r="BC2438" s="2">
        <v>1</v>
      </c>
      <c r="BD2438" s="2" t="s">
        <v>107</v>
      </c>
      <c r="BE2438" s="2">
        <v>1</v>
      </c>
      <c r="BF2438" s="2" t="s">
        <v>107</v>
      </c>
      <c r="BG2438" s="2"/>
      <c r="BH2438" s="2"/>
      <c r="BI2438" s="2"/>
      <c r="BJ2438" s="2">
        <v>242</v>
      </c>
      <c r="BK2438" s="2" t="s">
        <v>107</v>
      </c>
      <c r="BL2438" s="2"/>
      <c r="BM2438" s="2">
        <v>242</v>
      </c>
      <c r="BN2438" s="2" t="s">
        <v>107</v>
      </c>
      <c r="BO2438" s="2"/>
      <c r="BP2438" s="2">
        <v>242</v>
      </c>
      <c r="BQ2438" s="2" t="s">
        <v>107</v>
      </c>
      <c r="BR2438" s="2"/>
      <c r="BS2438" s="3">
        <v>40340</v>
      </c>
      <c r="BT2438" s="4">
        <v>0.7003935185185185</v>
      </c>
    </row>
    <row r="2439" spans="1:72" x14ac:dyDescent="0.25">
      <c r="A2439" s="2">
        <v>3568</v>
      </c>
      <c r="B2439" s="2">
        <v>2010</v>
      </c>
      <c r="C2439" s="2" t="s">
        <v>4543</v>
      </c>
      <c r="D2439" s="2" t="s">
        <v>122</v>
      </c>
      <c r="E2439" s="2"/>
      <c r="F2439" s="2">
        <v>1</v>
      </c>
      <c r="G2439" s="2" t="s">
        <v>82</v>
      </c>
      <c r="H2439" s="2">
        <v>1</v>
      </c>
      <c r="I2439" s="2" t="s">
        <v>82</v>
      </c>
      <c r="J2439" s="2">
        <v>1</v>
      </c>
      <c r="K2439" s="2" t="s">
        <v>107</v>
      </c>
      <c r="L2439" s="2" t="s">
        <v>107</v>
      </c>
      <c r="M2439" s="3">
        <v>40340</v>
      </c>
      <c r="N2439" s="2"/>
      <c r="O2439" s="2"/>
      <c r="P2439" s="2"/>
      <c r="Q2439" s="2" t="str">
        <f>"0081/2010"</f>
        <v>0081/2010</v>
      </c>
      <c r="R2439" s="2" t="s">
        <v>8257</v>
      </c>
      <c r="S2439" s="2"/>
      <c r="T2439" s="2">
        <v>2</v>
      </c>
      <c r="U2439" s="2" t="s">
        <v>123</v>
      </c>
      <c r="V2439" s="2">
        <v>1</v>
      </c>
      <c r="W2439" s="2" t="s">
        <v>80</v>
      </c>
      <c r="X2439" s="2">
        <v>12</v>
      </c>
      <c r="Y2439" s="2" t="s">
        <v>148</v>
      </c>
      <c r="Z2439" s="2">
        <v>1</v>
      </c>
      <c r="AA2439" s="2" t="s">
        <v>82</v>
      </c>
      <c r="AB2439" s="2">
        <v>9</v>
      </c>
      <c r="AC2439" s="2" t="s">
        <v>124</v>
      </c>
      <c r="AD2439" s="2"/>
      <c r="AE2439" s="2"/>
      <c r="AF2439" s="3">
        <v>40340</v>
      </c>
      <c r="AG2439" s="4">
        <v>0.65277777777777779</v>
      </c>
      <c r="AH2439" s="2">
        <v>5</v>
      </c>
      <c r="AI2439" s="2" t="s">
        <v>274</v>
      </c>
      <c r="AJ2439" s="2">
        <v>38</v>
      </c>
      <c r="AK2439" s="2" t="s">
        <v>1120</v>
      </c>
      <c r="AL2439" s="2">
        <v>12</v>
      </c>
      <c r="AM2439" s="2" t="s">
        <v>86</v>
      </c>
      <c r="AN2439" s="2" t="s">
        <v>3520</v>
      </c>
      <c r="AO2439" s="2"/>
      <c r="AP2439" s="2">
        <v>11</v>
      </c>
      <c r="AQ2439" s="2" t="s">
        <v>82</v>
      </c>
      <c r="AR2439" s="2"/>
      <c r="AS2439" s="2"/>
      <c r="AT2439" s="2" t="s">
        <v>8258</v>
      </c>
      <c r="AU2439" s="2"/>
      <c r="AV2439" s="2"/>
      <c r="AW2439" s="2"/>
      <c r="AX2439" s="2"/>
      <c r="AY2439" s="2">
        <v>41</v>
      </c>
      <c r="AZ2439" s="2" t="s">
        <v>82</v>
      </c>
      <c r="BA2439" s="2">
        <v>41</v>
      </c>
      <c r="BB2439" s="2" t="s">
        <v>82</v>
      </c>
      <c r="BC2439" s="2">
        <v>41</v>
      </c>
      <c r="BD2439" s="2" t="s">
        <v>82</v>
      </c>
      <c r="BE2439" s="2">
        <v>41</v>
      </c>
      <c r="BF2439" s="2" t="s">
        <v>82</v>
      </c>
      <c r="BG2439" s="2"/>
      <c r="BH2439" s="2"/>
      <c r="BI2439" s="2"/>
      <c r="BJ2439" s="2">
        <v>241</v>
      </c>
      <c r="BK2439" s="2" t="s">
        <v>82</v>
      </c>
      <c r="BL2439" s="2"/>
      <c r="BM2439" s="2">
        <v>241</v>
      </c>
      <c r="BN2439" s="2" t="s">
        <v>82</v>
      </c>
      <c r="BO2439" s="2"/>
      <c r="BP2439" s="2">
        <v>241</v>
      </c>
      <c r="BQ2439" s="2" t="s">
        <v>82</v>
      </c>
      <c r="BR2439" s="2"/>
      <c r="BS2439" s="3">
        <v>40340</v>
      </c>
      <c r="BT2439" s="4">
        <v>0.70782407407407411</v>
      </c>
    </row>
    <row r="2440" spans="1:72" x14ac:dyDescent="0.25">
      <c r="A2440" s="2">
        <v>3569</v>
      </c>
      <c r="B2440" s="2">
        <v>2010</v>
      </c>
      <c r="C2440" s="2" t="s">
        <v>385</v>
      </c>
      <c r="D2440" s="2" t="s">
        <v>122</v>
      </c>
      <c r="E2440" s="2"/>
      <c r="F2440" s="2">
        <v>570</v>
      </c>
      <c r="G2440" s="2" t="s">
        <v>4486</v>
      </c>
      <c r="H2440" s="2">
        <v>17</v>
      </c>
      <c r="I2440" s="2" t="s">
        <v>3602</v>
      </c>
      <c r="J2440" s="2">
        <v>316</v>
      </c>
      <c r="K2440" s="2" t="s">
        <v>574</v>
      </c>
      <c r="L2440" s="2" t="s">
        <v>575</v>
      </c>
      <c r="M2440" s="3">
        <v>40340</v>
      </c>
      <c r="N2440" s="2" t="s">
        <v>3603</v>
      </c>
      <c r="O2440" s="2" t="s">
        <v>8259</v>
      </c>
      <c r="P2440" s="2">
        <v>9961</v>
      </c>
      <c r="Q2440" s="2" t="str">
        <f>""</f>
        <v/>
      </c>
      <c r="R2440" s="2"/>
      <c r="S2440" s="2"/>
      <c r="T2440" s="2">
        <v>1</v>
      </c>
      <c r="U2440" s="2" t="s">
        <v>79</v>
      </c>
      <c r="V2440" s="2">
        <v>1</v>
      </c>
      <c r="W2440" s="2" t="s">
        <v>80</v>
      </c>
      <c r="X2440" s="2">
        <v>5</v>
      </c>
      <c r="Y2440" s="2" t="s">
        <v>82</v>
      </c>
      <c r="Z2440" s="2">
        <v>1</v>
      </c>
      <c r="AA2440" s="2" t="s">
        <v>82</v>
      </c>
      <c r="AB2440" s="2">
        <v>9</v>
      </c>
      <c r="AC2440" s="2" t="s">
        <v>124</v>
      </c>
      <c r="AD2440" s="3">
        <v>40340</v>
      </c>
      <c r="AE2440" s="4">
        <v>0.40625</v>
      </c>
      <c r="AF2440" s="2"/>
      <c r="AG2440" s="2"/>
      <c r="AH2440" s="2">
        <v>2</v>
      </c>
      <c r="AI2440" s="2" t="s">
        <v>84</v>
      </c>
      <c r="AJ2440" s="2">
        <v>12</v>
      </c>
      <c r="AK2440" s="2" t="s">
        <v>85</v>
      </c>
      <c r="AL2440" s="2">
        <v>19</v>
      </c>
      <c r="AM2440" s="2" t="s">
        <v>107</v>
      </c>
      <c r="AN2440" s="2" t="s">
        <v>923</v>
      </c>
      <c r="AO2440" s="2" t="s">
        <v>8260</v>
      </c>
      <c r="AP2440" s="2">
        <v>11</v>
      </c>
      <c r="AQ2440" s="2" t="s">
        <v>82</v>
      </c>
      <c r="AR2440" s="2"/>
      <c r="AS2440" s="2"/>
      <c r="AT2440" s="2" t="s">
        <v>8261</v>
      </c>
      <c r="AU2440" s="2"/>
      <c r="AV2440" s="2">
        <v>1</v>
      </c>
      <c r="AW2440" s="2"/>
      <c r="AX2440" s="2"/>
      <c r="AY2440" s="2">
        <v>41</v>
      </c>
      <c r="AZ2440" s="2" t="s">
        <v>82</v>
      </c>
      <c r="BA2440" s="2">
        <v>41</v>
      </c>
      <c r="BB2440" s="2" t="s">
        <v>82</v>
      </c>
      <c r="BC2440" s="2">
        <v>41</v>
      </c>
      <c r="BD2440" s="2" t="s">
        <v>82</v>
      </c>
      <c r="BE2440" s="2">
        <v>41</v>
      </c>
      <c r="BF2440" s="2" t="s">
        <v>82</v>
      </c>
      <c r="BG2440" s="2"/>
      <c r="BH2440" s="2"/>
      <c r="BI2440" s="2"/>
      <c r="BJ2440" s="2">
        <v>241</v>
      </c>
      <c r="BK2440" s="2" t="s">
        <v>82</v>
      </c>
      <c r="BL2440" s="2"/>
      <c r="BM2440" s="2">
        <v>241</v>
      </c>
      <c r="BN2440" s="2" t="s">
        <v>82</v>
      </c>
      <c r="BO2440" s="2"/>
      <c r="BP2440" s="2">
        <v>241</v>
      </c>
      <c r="BQ2440" s="2" t="s">
        <v>82</v>
      </c>
      <c r="BR2440" s="2"/>
      <c r="BS2440" s="3">
        <v>40340</v>
      </c>
      <c r="BT2440" s="4">
        <v>0.73273148148148148</v>
      </c>
    </row>
    <row r="2441" spans="1:72" x14ac:dyDescent="0.25">
      <c r="A2441" s="2">
        <v>3570</v>
      </c>
      <c r="B2441" s="2">
        <v>2010</v>
      </c>
      <c r="C2441" s="2" t="s">
        <v>171</v>
      </c>
      <c r="D2441" s="2" t="s">
        <v>73</v>
      </c>
      <c r="E2441" s="2"/>
      <c r="F2441" s="2">
        <v>393</v>
      </c>
      <c r="G2441" s="2" t="s">
        <v>3660</v>
      </c>
      <c r="H2441" s="2">
        <v>3</v>
      </c>
      <c r="I2441" s="2" t="s">
        <v>315</v>
      </c>
      <c r="J2441" s="2">
        <v>2</v>
      </c>
      <c r="K2441" s="2" t="s">
        <v>3661</v>
      </c>
      <c r="L2441" s="2" t="s">
        <v>3662</v>
      </c>
      <c r="M2441" s="3">
        <v>40340</v>
      </c>
      <c r="N2441" s="2" t="s">
        <v>3663</v>
      </c>
      <c r="O2441" s="2" t="s">
        <v>8262</v>
      </c>
      <c r="P2441" s="2">
        <v>5745</v>
      </c>
      <c r="Q2441" s="2" t="str">
        <f>"465E/08"</f>
        <v>465E/08</v>
      </c>
      <c r="R2441" s="2"/>
      <c r="S2441" s="2" t="s">
        <v>4868</v>
      </c>
      <c r="T2441" s="2">
        <v>1</v>
      </c>
      <c r="U2441" s="2" t="s">
        <v>79</v>
      </c>
      <c r="V2441" s="2">
        <v>1</v>
      </c>
      <c r="W2441" s="2" t="s">
        <v>80</v>
      </c>
      <c r="X2441" s="2">
        <v>8</v>
      </c>
      <c r="Y2441" s="2" t="s">
        <v>375</v>
      </c>
      <c r="Z2441" s="2">
        <v>1</v>
      </c>
      <c r="AA2441" s="2" t="s">
        <v>82</v>
      </c>
      <c r="AB2441" s="2">
        <v>1</v>
      </c>
      <c r="AC2441" s="2" t="s">
        <v>178</v>
      </c>
      <c r="AD2441" s="3">
        <v>40340</v>
      </c>
      <c r="AE2441" s="4">
        <v>0.64583333333333337</v>
      </c>
      <c r="AF2441" s="2"/>
      <c r="AG2441" s="2"/>
      <c r="AH2441" s="2">
        <v>2</v>
      </c>
      <c r="AI2441" s="2" t="s">
        <v>84</v>
      </c>
      <c r="AJ2441" s="2">
        <v>6</v>
      </c>
      <c r="AK2441" s="2" t="s">
        <v>453</v>
      </c>
      <c r="AL2441" s="2">
        <v>23</v>
      </c>
      <c r="AM2441" s="2" t="s">
        <v>251</v>
      </c>
      <c r="AN2441" s="2" t="s">
        <v>8263</v>
      </c>
      <c r="AO2441" s="2" t="s">
        <v>1394</v>
      </c>
      <c r="AP2441" s="2">
        <v>11</v>
      </c>
      <c r="AQ2441" s="2" t="s">
        <v>82</v>
      </c>
      <c r="AR2441" s="2"/>
      <c r="AS2441" s="2"/>
      <c r="AT2441" s="2" t="s">
        <v>8264</v>
      </c>
      <c r="AU2441" s="2"/>
      <c r="AV2441" s="2"/>
      <c r="AW2441" s="2"/>
      <c r="AX2441" s="2"/>
      <c r="AY2441" s="2">
        <v>42</v>
      </c>
      <c r="AZ2441" s="2" t="s">
        <v>182</v>
      </c>
      <c r="BA2441" s="2">
        <v>41</v>
      </c>
      <c r="BB2441" s="2" t="s">
        <v>82</v>
      </c>
      <c r="BC2441" s="2">
        <v>41</v>
      </c>
      <c r="BD2441" s="2" t="s">
        <v>82</v>
      </c>
      <c r="BE2441" s="2">
        <v>41</v>
      </c>
      <c r="BF2441" s="2" t="s">
        <v>82</v>
      </c>
      <c r="BG2441" s="2"/>
      <c r="BH2441" s="2"/>
      <c r="BI2441" s="2"/>
      <c r="BJ2441" s="2">
        <v>241</v>
      </c>
      <c r="BK2441" s="2" t="s">
        <v>82</v>
      </c>
      <c r="BL2441" s="2"/>
      <c r="BM2441" s="2">
        <v>241</v>
      </c>
      <c r="BN2441" s="2" t="s">
        <v>82</v>
      </c>
      <c r="BO2441" s="2"/>
      <c r="BP2441" s="2">
        <v>241</v>
      </c>
      <c r="BQ2441" s="2" t="s">
        <v>82</v>
      </c>
      <c r="BR2441" s="2"/>
      <c r="BS2441" s="3">
        <v>40340</v>
      </c>
      <c r="BT2441" s="4">
        <v>0.74707175925925917</v>
      </c>
    </row>
    <row r="2442" spans="1:72" x14ac:dyDescent="0.25">
      <c r="A2442" s="2">
        <v>3571</v>
      </c>
      <c r="B2442" s="2">
        <v>2010</v>
      </c>
      <c r="C2442" s="2" t="s">
        <v>171</v>
      </c>
      <c r="D2442" s="2" t="s">
        <v>73</v>
      </c>
      <c r="E2442" s="2"/>
      <c r="F2442" s="2">
        <v>152</v>
      </c>
      <c r="G2442" s="2" t="s">
        <v>7866</v>
      </c>
      <c r="H2442" s="2">
        <v>5</v>
      </c>
      <c r="I2442" s="2" t="s">
        <v>634</v>
      </c>
      <c r="J2442" s="2">
        <v>451</v>
      </c>
      <c r="K2442" s="2" t="s">
        <v>3028</v>
      </c>
      <c r="L2442" s="2" t="s">
        <v>3029</v>
      </c>
      <c r="M2442" s="3">
        <v>40340</v>
      </c>
      <c r="N2442" s="2" t="s">
        <v>8265</v>
      </c>
      <c r="O2442" s="2"/>
      <c r="P2442" s="2"/>
      <c r="Q2442" s="2" t="str">
        <f>"208-A/10"</f>
        <v>208-A/10</v>
      </c>
      <c r="R2442" s="2"/>
      <c r="S2442" s="2" t="s">
        <v>489</v>
      </c>
      <c r="T2442" s="2">
        <v>1</v>
      </c>
      <c r="U2442" s="2" t="s">
        <v>79</v>
      </c>
      <c r="V2442" s="2">
        <v>1</v>
      </c>
      <c r="W2442" s="2" t="s">
        <v>80</v>
      </c>
      <c r="X2442" s="2">
        <v>1</v>
      </c>
      <c r="Y2442" s="2" t="s">
        <v>81</v>
      </c>
      <c r="Z2442" s="2">
        <v>1</v>
      </c>
      <c r="AA2442" s="2" t="s">
        <v>82</v>
      </c>
      <c r="AB2442" s="2">
        <v>1</v>
      </c>
      <c r="AC2442" s="2" t="s">
        <v>178</v>
      </c>
      <c r="AD2442" s="3">
        <v>40340</v>
      </c>
      <c r="AE2442" s="4">
        <v>0.40277777777777773</v>
      </c>
      <c r="AF2442" s="2"/>
      <c r="AG2442" s="2"/>
      <c r="AH2442" s="2">
        <v>2</v>
      </c>
      <c r="AI2442" s="2" t="s">
        <v>84</v>
      </c>
      <c r="AJ2442" s="2">
        <v>12</v>
      </c>
      <c r="AK2442" s="2" t="s">
        <v>85</v>
      </c>
      <c r="AL2442" s="2">
        <v>11</v>
      </c>
      <c r="AM2442" s="2" t="s">
        <v>137</v>
      </c>
      <c r="AN2442" s="2" t="s">
        <v>3841</v>
      </c>
      <c r="AO2442" s="2" t="s">
        <v>8266</v>
      </c>
      <c r="AP2442" s="2">
        <v>11</v>
      </c>
      <c r="AQ2442" s="2" t="s">
        <v>82</v>
      </c>
      <c r="AR2442" s="2"/>
      <c r="AS2442" s="2"/>
      <c r="AT2442" s="2" t="s">
        <v>8267</v>
      </c>
      <c r="AU2442" s="2">
        <v>1</v>
      </c>
      <c r="AV2442" s="2"/>
      <c r="AW2442" s="2"/>
      <c r="AX2442" s="2"/>
      <c r="AY2442" s="2">
        <v>41</v>
      </c>
      <c r="AZ2442" s="2" t="s">
        <v>82</v>
      </c>
      <c r="BA2442" s="2">
        <v>41</v>
      </c>
      <c r="BB2442" s="2" t="s">
        <v>82</v>
      </c>
      <c r="BC2442" s="2">
        <v>41</v>
      </c>
      <c r="BD2442" s="2" t="s">
        <v>82</v>
      </c>
      <c r="BE2442" s="2">
        <v>4</v>
      </c>
      <c r="BF2442" s="2" t="s">
        <v>90</v>
      </c>
      <c r="BG2442" s="2" t="s">
        <v>8268</v>
      </c>
      <c r="BH2442" s="2"/>
      <c r="BI2442" s="4">
        <v>0.42708333333333331</v>
      </c>
      <c r="BJ2442" s="2">
        <v>13</v>
      </c>
      <c r="BK2442" s="2" t="s">
        <v>91</v>
      </c>
      <c r="BL2442" s="2" t="s">
        <v>564</v>
      </c>
      <c r="BM2442" s="2">
        <v>241</v>
      </c>
      <c r="BN2442" s="2" t="s">
        <v>82</v>
      </c>
      <c r="BO2442" s="2"/>
      <c r="BP2442" s="2">
        <v>13</v>
      </c>
      <c r="BQ2442" s="2" t="s">
        <v>91</v>
      </c>
      <c r="BR2442" s="2" t="s">
        <v>332</v>
      </c>
      <c r="BS2442" s="3">
        <v>40340</v>
      </c>
      <c r="BT2442" s="4">
        <v>0.75291666666666668</v>
      </c>
    </row>
    <row r="2443" spans="1:72" x14ac:dyDescent="0.25">
      <c r="A2443" s="2">
        <v>3572</v>
      </c>
      <c r="B2443" s="2">
        <v>2010</v>
      </c>
      <c r="C2443" s="2" t="s">
        <v>171</v>
      </c>
      <c r="D2443" s="2" t="s">
        <v>73</v>
      </c>
      <c r="E2443" s="2"/>
      <c r="F2443" s="2">
        <v>152</v>
      </c>
      <c r="G2443" s="2" t="s">
        <v>7866</v>
      </c>
      <c r="H2443" s="2">
        <v>5</v>
      </c>
      <c r="I2443" s="2" t="s">
        <v>634</v>
      </c>
      <c r="J2443" s="2">
        <v>451</v>
      </c>
      <c r="K2443" s="2" t="s">
        <v>3028</v>
      </c>
      <c r="L2443" s="2" t="s">
        <v>3029</v>
      </c>
      <c r="M2443" s="3">
        <v>40340</v>
      </c>
      <c r="N2443" s="2" t="s">
        <v>8265</v>
      </c>
      <c r="O2443" s="2"/>
      <c r="P2443" s="2"/>
      <c r="Q2443" s="2" t="str">
        <f>"209-A/10"</f>
        <v>209-A/10</v>
      </c>
      <c r="R2443" s="2"/>
      <c r="S2443" s="2" t="s">
        <v>489</v>
      </c>
      <c r="T2443" s="2">
        <v>1</v>
      </c>
      <c r="U2443" s="2" t="s">
        <v>79</v>
      </c>
      <c r="V2443" s="2">
        <v>1</v>
      </c>
      <c r="W2443" s="2" t="s">
        <v>80</v>
      </c>
      <c r="X2443" s="2">
        <v>1</v>
      </c>
      <c r="Y2443" s="2" t="s">
        <v>81</v>
      </c>
      <c r="Z2443" s="2">
        <v>1</v>
      </c>
      <c r="AA2443" s="2" t="s">
        <v>82</v>
      </c>
      <c r="AB2443" s="2">
        <v>1</v>
      </c>
      <c r="AC2443" s="2" t="s">
        <v>178</v>
      </c>
      <c r="AD2443" s="3">
        <v>40340</v>
      </c>
      <c r="AE2443" s="4">
        <v>0.54861111111111105</v>
      </c>
      <c r="AF2443" s="2"/>
      <c r="AG2443" s="2"/>
      <c r="AH2443" s="2">
        <v>2</v>
      </c>
      <c r="AI2443" s="2" t="s">
        <v>84</v>
      </c>
      <c r="AJ2443" s="2">
        <v>12</v>
      </c>
      <c r="AK2443" s="2" t="s">
        <v>85</v>
      </c>
      <c r="AL2443" s="2">
        <v>11</v>
      </c>
      <c r="AM2443" s="2" t="s">
        <v>137</v>
      </c>
      <c r="AN2443" s="2" t="s">
        <v>919</v>
      </c>
      <c r="AO2443" s="2" t="s">
        <v>8269</v>
      </c>
      <c r="AP2443" s="2">
        <v>11</v>
      </c>
      <c r="AQ2443" s="2" t="s">
        <v>82</v>
      </c>
      <c r="AR2443" s="2"/>
      <c r="AS2443" s="2"/>
      <c r="AT2443" s="2" t="s">
        <v>8270</v>
      </c>
      <c r="AU2443" s="2">
        <v>1</v>
      </c>
      <c r="AV2443" s="2"/>
      <c r="AW2443" s="2"/>
      <c r="AX2443" s="2"/>
      <c r="AY2443" s="2">
        <v>41</v>
      </c>
      <c r="AZ2443" s="2" t="s">
        <v>82</v>
      </c>
      <c r="BA2443" s="2">
        <v>41</v>
      </c>
      <c r="BB2443" s="2" t="s">
        <v>82</v>
      </c>
      <c r="BC2443" s="2">
        <v>41</v>
      </c>
      <c r="BD2443" s="2" t="s">
        <v>82</v>
      </c>
      <c r="BE2443" s="2">
        <v>13</v>
      </c>
      <c r="BF2443" s="2" t="s">
        <v>108</v>
      </c>
      <c r="BG2443" s="2" t="s">
        <v>8271</v>
      </c>
      <c r="BH2443" s="2"/>
      <c r="BI2443" s="4">
        <v>0.55208333333333337</v>
      </c>
      <c r="BJ2443" s="2">
        <v>13</v>
      </c>
      <c r="BK2443" s="2" t="s">
        <v>91</v>
      </c>
      <c r="BL2443" s="2" t="s">
        <v>564</v>
      </c>
      <c r="BM2443" s="2">
        <v>241</v>
      </c>
      <c r="BN2443" s="2" t="s">
        <v>82</v>
      </c>
      <c r="BO2443" s="2"/>
      <c r="BP2443" s="2">
        <v>13</v>
      </c>
      <c r="BQ2443" s="2" t="s">
        <v>91</v>
      </c>
      <c r="BR2443" s="2" t="s">
        <v>8272</v>
      </c>
      <c r="BS2443" s="3">
        <v>40340</v>
      </c>
      <c r="BT2443" s="4">
        <v>0.78668981481481481</v>
      </c>
    </row>
    <row r="2444" spans="1:72" x14ac:dyDescent="0.25">
      <c r="A2444" s="2">
        <v>3573</v>
      </c>
      <c r="B2444" s="2">
        <v>2010</v>
      </c>
      <c r="C2444" s="2" t="s">
        <v>72</v>
      </c>
      <c r="D2444" s="2" t="s">
        <v>122</v>
      </c>
      <c r="E2444" s="2" t="s">
        <v>8225</v>
      </c>
      <c r="F2444" s="2">
        <v>3</v>
      </c>
      <c r="G2444" s="2" t="s">
        <v>1041</v>
      </c>
      <c r="H2444" s="2">
        <v>108</v>
      </c>
      <c r="I2444" s="2" t="s">
        <v>1096</v>
      </c>
      <c r="J2444" s="2">
        <v>368</v>
      </c>
      <c r="K2444" s="2" t="s">
        <v>1042</v>
      </c>
      <c r="L2444" s="2" t="s">
        <v>1043</v>
      </c>
      <c r="M2444" s="3">
        <v>40340</v>
      </c>
      <c r="N2444" s="2" t="s">
        <v>107</v>
      </c>
      <c r="O2444" s="2"/>
      <c r="P2444" s="2" t="s">
        <v>107</v>
      </c>
      <c r="Q2444" s="2" t="str">
        <f>"311-E/10"</f>
        <v>311-E/10</v>
      </c>
      <c r="R2444" s="2" t="s">
        <v>4823</v>
      </c>
      <c r="S2444" s="2" t="s">
        <v>4823</v>
      </c>
      <c r="T2444" s="2">
        <v>1</v>
      </c>
      <c r="U2444" s="2" t="s">
        <v>79</v>
      </c>
      <c r="V2444" s="2">
        <v>1</v>
      </c>
      <c r="W2444" s="2" t="s">
        <v>80</v>
      </c>
      <c r="X2444" s="2">
        <v>1</v>
      </c>
      <c r="Y2444" s="2" t="s">
        <v>81</v>
      </c>
      <c r="Z2444" s="2">
        <v>1</v>
      </c>
      <c r="AA2444" s="2" t="s">
        <v>82</v>
      </c>
      <c r="AB2444" s="2">
        <v>6</v>
      </c>
      <c r="AC2444" s="2" t="s">
        <v>83</v>
      </c>
      <c r="AD2444" s="3">
        <v>40369</v>
      </c>
      <c r="AE2444" s="4">
        <v>0.47916666666666669</v>
      </c>
      <c r="AF2444" s="2"/>
      <c r="AG2444" s="2"/>
      <c r="AH2444" s="2">
        <v>2</v>
      </c>
      <c r="AI2444" s="2" t="s">
        <v>84</v>
      </c>
      <c r="AJ2444" s="2">
        <v>9</v>
      </c>
      <c r="AK2444" s="2" t="s">
        <v>103</v>
      </c>
      <c r="AL2444" s="2">
        <v>12</v>
      </c>
      <c r="AM2444" s="2" t="s">
        <v>86</v>
      </c>
      <c r="AN2444" s="2" t="s">
        <v>8226</v>
      </c>
      <c r="AO2444" s="2"/>
      <c r="AP2444" s="2">
        <v>11</v>
      </c>
      <c r="AQ2444" s="2" t="s">
        <v>82</v>
      </c>
      <c r="AR2444" s="2"/>
      <c r="AS2444" s="2"/>
      <c r="AT2444" s="2" t="s">
        <v>8273</v>
      </c>
      <c r="AU2444" s="2"/>
      <c r="AV2444" s="2"/>
      <c r="AW2444" s="2">
        <v>3</v>
      </c>
      <c r="AX2444" s="2"/>
      <c r="AY2444" s="2">
        <v>41</v>
      </c>
      <c r="AZ2444" s="2" t="s">
        <v>82</v>
      </c>
      <c r="BA2444" s="2">
        <v>41</v>
      </c>
      <c r="BB2444" s="2" t="s">
        <v>82</v>
      </c>
      <c r="BC2444" s="2">
        <v>41</v>
      </c>
      <c r="BD2444" s="2" t="s">
        <v>82</v>
      </c>
      <c r="BE2444" s="2">
        <v>8</v>
      </c>
      <c r="BF2444" s="2" t="s">
        <v>3465</v>
      </c>
      <c r="BG2444" s="2" t="s">
        <v>3466</v>
      </c>
      <c r="BH2444" s="4">
        <v>0.45833333333333331</v>
      </c>
      <c r="BI2444" s="2"/>
      <c r="BJ2444" s="2">
        <v>244</v>
      </c>
      <c r="BK2444" s="2" t="s">
        <v>1236</v>
      </c>
      <c r="BL2444" s="2" t="s">
        <v>1237</v>
      </c>
      <c r="BM2444" s="2">
        <v>241</v>
      </c>
      <c r="BN2444" s="2" t="s">
        <v>82</v>
      </c>
      <c r="BO2444" s="2"/>
      <c r="BP2444" s="2">
        <v>13</v>
      </c>
      <c r="BQ2444" s="2" t="s">
        <v>91</v>
      </c>
      <c r="BR2444" s="2" t="s">
        <v>185</v>
      </c>
      <c r="BS2444" s="3">
        <v>40340</v>
      </c>
      <c r="BT2444" s="4">
        <v>0.79291666666666671</v>
      </c>
    </row>
    <row r="2445" spans="1:72" x14ac:dyDescent="0.25">
      <c r="A2445" s="2">
        <v>3574</v>
      </c>
      <c r="B2445" s="2">
        <v>2010</v>
      </c>
      <c r="C2445" s="2" t="s">
        <v>549</v>
      </c>
      <c r="D2445" s="2" t="s">
        <v>73</v>
      </c>
      <c r="E2445" s="2"/>
      <c r="F2445" s="2">
        <v>387</v>
      </c>
      <c r="G2445" s="2" t="s">
        <v>3785</v>
      </c>
      <c r="H2445" s="2">
        <v>42</v>
      </c>
      <c r="I2445" s="2" t="s">
        <v>1096</v>
      </c>
      <c r="J2445" s="2">
        <v>452</v>
      </c>
      <c r="K2445" s="2" t="s">
        <v>3115</v>
      </c>
      <c r="L2445" s="2" t="s">
        <v>3116</v>
      </c>
      <c r="M2445" s="3">
        <v>40340</v>
      </c>
      <c r="N2445" s="2" t="s">
        <v>8274</v>
      </c>
      <c r="O2445" s="2"/>
      <c r="P2445" s="2" t="s">
        <v>203</v>
      </c>
      <c r="Q2445" s="2" t="str">
        <f>"0008/2010"</f>
        <v>0008/2010</v>
      </c>
      <c r="R2445" s="2" t="s">
        <v>1044</v>
      </c>
      <c r="S2445" s="2"/>
      <c r="T2445" s="2">
        <v>1</v>
      </c>
      <c r="U2445" s="2" t="s">
        <v>79</v>
      </c>
      <c r="V2445" s="2">
        <v>1</v>
      </c>
      <c r="W2445" s="2" t="s">
        <v>80</v>
      </c>
      <c r="X2445" s="2">
        <v>1</v>
      </c>
      <c r="Y2445" s="2" t="s">
        <v>81</v>
      </c>
      <c r="Z2445" s="2">
        <v>1</v>
      </c>
      <c r="AA2445" s="2" t="s">
        <v>82</v>
      </c>
      <c r="AB2445" s="2">
        <v>9</v>
      </c>
      <c r="AC2445" s="2" t="s">
        <v>124</v>
      </c>
      <c r="AD2445" s="3">
        <v>40340</v>
      </c>
      <c r="AE2445" s="4">
        <v>0.60416666666666663</v>
      </c>
      <c r="AF2445" s="2"/>
      <c r="AG2445" s="2"/>
      <c r="AH2445" s="2">
        <v>5</v>
      </c>
      <c r="AI2445" s="2" t="s">
        <v>274</v>
      </c>
      <c r="AJ2445" s="2">
        <v>43</v>
      </c>
      <c r="AK2445" s="2" t="s">
        <v>918</v>
      </c>
      <c r="AL2445" s="2">
        <v>25</v>
      </c>
      <c r="AM2445" s="2" t="s">
        <v>3073</v>
      </c>
      <c r="AN2445" s="2" t="s">
        <v>8275</v>
      </c>
      <c r="AO2445" s="2" t="s">
        <v>8276</v>
      </c>
      <c r="AP2445" s="2">
        <v>11</v>
      </c>
      <c r="AQ2445" s="2" t="s">
        <v>82</v>
      </c>
      <c r="AR2445" s="2"/>
      <c r="AS2445" s="2"/>
      <c r="AT2445" s="2" t="s">
        <v>8277</v>
      </c>
      <c r="AU2445" s="2"/>
      <c r="AV2445" s="2"/>
      <c r="AW2445" s="2"/>
      <c r="AX2445" s="2"/>
      <c r="AY2445" s="2">
        <v>41</v>
      </c>
      <c r="AZ2445" s="2" t="s">
        <v>82</v>
      </c>
      <c r="BA2445" s="2">
        <v>41</v>
      </c>
      <c r="BB2445" s="2" t="s">
        <v>82</v>
      </c>
      <c r="BC2445" s="2">
        <v>41</v>
      </c>
      <c r="BD2445" s="2" t="s">
        <v>82</v>
      </c>
      <c r="BE2445" s="2">
        <v>41</v>
      </c>
      <c r="BF2445" s="2" t="s">
        <v>82</v>
      </c>
      <c r="BG2445" s="2"/>
      <c r="BH2445" s="2"/>
      <c r="BI2445" s="2"/>
      <c r="BJ2445" s="2">
        <v>241</v>
      </c>
      <c r="BK2445" s="2" t="s">
        <v>82</v>
      </c>
      <c r="BL2445" s="2"/>
      <c r="BM2445" s="2">
        <v>241</v>
      </c>
      <c r="BN2445" s="2" t="s">
        <v>82</v>
      </c>
      <c r="BO2445" s="2"/>
      <c r="BP2445" s="2">
        <v>241</v>
      </c>
      <c r="BQ2445" s="2" t="s">
        <v>82</v>
      </c>
      <c r="BR2445" s="2"/>
      <c r="BS2445" s="3">
        <v>40340</v>
      </c>
      <c r="BT2445" s="4">
        <v>0.82825231481481476</v>
      </c>
    </row>
    <row r="2446" spans="1:72" x14ac:dyDescent="0.25">
      <c r="A2446" s="2">
        <v>3575</v>
      </c>
      <c r="B2446" s="2">
        <v>2010</v>
      </c>
      <c r="C2446" s="2" t="s">
        <v>377</v>
      </c>
      <c r="D2446" s="2" t="s">
        <v>73</v>
      </c>
      <c r="E2446" s="2"/>
      <c r="F2446" s="2">
        <v>426</v>
      </c>
      <c r="G2446" s="2" t="s">
        <v>378</v>
      </c>
      <c r="H2446" s="2">
        <v>22</v>
      </c>
      <c r="I2446" s="2" t="s">
        <v>75</v>
      </c>
      <c r="J2446" s="2">
        <v>311</v>
      </c>
      <c r="K2446" s="2" t="s">
        <v>379</v>
      </c>
      <c r="L2446" s="2" t="s">
        <v>380</v>
      </c>
      <c r="M2446" s="3">
        <v>40340</v>
      </c>
      <c r="N2446" s="2" t="s">
        <v>5164</v>
      </c>
      <c r="O2446" s="2"/>
      <c r="P2446" s="2"/>
      <c r="Q2446" s="2" t="str">
        <f>"114-C/10"</f>
        <v>114-C/10</v>
      </c>
      <c r="R2446" s="2" t="s">
        <v>8278</v>
      </c>
      <c r="S2446" s="2"/>
      <c r="T2446" s="2">
        <v>1</v>
      </c>
      <c r="U2446" s="2" t="s">
        <v>79</v>
      </c>
      <c r="V2446" s="2">
        <v>1</v>
      </c>
      <c r="W2446" s="2" t="s">
        <v>80</v>
      </c>
      <c r="X2446" s="2">
        <v>1</v>
      </c>
      <c r="Y2446" s="2" t="s">
        <v>81</v>
      </c>
      <c r="Z2446" s="2">
        <v>1</v>
      </c>
      <c r="AA2446" s="2" t="s">
        <v>82</v>
      </c>
      <c r="AB2446" s="2">
        <v>9</v>
      </c>
      <c r="AC2446" s="2" t="s">
        <v>124</v>
      </c>
      <c r="AD2446" s="3">
        <v>40339</v>
      </c>
      <c r="AE2446" s="4">
        <v>0.4861111111111111</v>
      </c>
      <c r="AF2446" s="2"/>
      <c r="AG2446" s="2"/>
      <c r="AH2446" s="2">
        <v>2</v>
      </c>
      <c r="AI2446" s="2" t="s">
        <v>84</v>
      </c>
      <c r="AJ2446" s="2">
        <v>9</v>
      </c>
      <c r="AK2446" s="2" t="s">
        <v>103</v>
      </c>
      <c r="AL2446" s="2">
        <v>29</v>
      </c>
      <c r="AM2446" s="2" t="s">
        <v>5416</v>
      </c>
      <c r="AN2446" s="2" t="s">
        <v>1936</v>
      </c>
      <c r="AO2446" s="2" t="s">
        <v>987</v>
      </c>
      <c r="AP2446" s="2">
        <v>11</v>
      </c>
      <c r="AQ2446" s="2" t="s">
        <v>82</v>
      </c>
      <c r="AR2446" s="2"/>
      <c r="AS2446" s="2"/>
      <c r="AT2446" s="2" t="s">
        <v>8279</v>
      </c>
      <c r="AU2446" s="2"/>
      <c r="AV2446" s="2"/>
      <c r="AW2446" s="2"/>
      <c r="AX2446" s="2"/>
      <c r="AY2446" s="2">
        <v>41</v>
      </c>
      <c r="AZ2446" s="2" t="s">
        <v>82</v>
      </c>
      <c r="BA2446" s="2">
        <v>41</v>
      </c>
      <c r="BB2446" s="2" t="s">
        <v>82</v>
      </c>
      <c r="BC2446" s="2">
        <v>41</v>
      </c>
      <c r="BD2446" s="2" t="s">
        <v>82</v>
      </c>
      <c r="BE2446" s="2">
        <v>41</v>
      </c>
      <c r="BF2446" s="2" t="s">
        <v>82</v>
      </c>
      <c r="BG2446" s="2"/>
      <c r="BH2446" s="2"/>
      <c r="BI2446" s="2"/>
      <c r="BJ2446" s="2">
        <v>241</v>
      </c>
      <c r="BK2446" s="2" t="s">
        <v>82</v>
      </c>
      <c r="BL2446" s="2"/>
      <c r="BM2446" s="2">
        <v>241</v>
      </c>
      <c r="BN2446" s="2" t="s">
        <v>82</v>
      </c>
      <c r="BO2446" s="2"/>
      <c r="BP2446" s="2">
        <v>241</v>
      </c>
      <c r="BQ2446" s="2" t="s">
        <v>82</v>
      </c>
      <c r="BR2446" s="2"/>
      <c r="BS2446" s="3">
        <v>40340</v>
      </c>
      <c r="BT2446" s="4">
        <v>0.84538194444444448</v>
      </c>
    </row>
    <row r="2447" spans="1:72" x14ac:dyDescent="0.25">
      <c r="A2447" s="2">
        <v>3576</v>
      </c>
      <c r="B2447" s="2">
        <v>2010</v>
      </c>
      <c r="C2447" s="2" t="s">
        <v>377</v>
      </c>
      <c r="D2447" s="2" t="s">
        <v>73</v>
      </c>
      <c r="E2447" s="2"/>
      <c r="F2447" s="2">
        <v>426</v>
      </c>
      <c r="G2447" s="2" t="s">
        <v>378</v>
      </c>
      <c r="H2447" s="2">
        <v>22</v>
      </c>
      <c r="I2447" s="2" t="s">
        <v>75</v>
      </c>
      <c r="J2447" s="2">
        <v>311</v>
      </c>
      <c r="K2447" s="2" t="s">
        <v>379</v>
      </c>
      <c r="L2447" s="2" t="s">
        <v>380</v>
      </c>
      <c r="M2447" s="3">
        <v>40340</v>
      </c>
      <c r="N2447" s="2" t="s">
        <v>5164</v>
      </c>
      <c r="O2447" s="2"/>
      <c r="P2447" s="2"/>
      <c r="Q2447" s="2" t="str">
        <f>"115-C/10"</f>
        <v>115-C/10</v>
      </c>
      <c r="R2447" s="2" t="s">
        <v>8280</v>
      </c>
      <c r="S2447" s="2"/>
      <c r="T2447" s="2">
        <v>1</v>
      </c>
      <c r="U2447" s="2" t="s">
        <v>79</v>
      </c>
      <c r="V2447" s="2">
        <v>1</v>
      </c>
      <c r="W2447" s="2" t="s">
        <v>80</v>
      </c>
      <c r="X2447" s="2">
        <v>1</v>
      </c>
      <c r="Y2447" s="2" t="s">
        <v>81</v>
      </c>
      <c r="Z2447" s="2">
        <v>1</v>
      </c>
      <c r="AA2447" s="2" t="s">
        <v>82</v>
      </c>
      <c r="AB2447" s="2">
        <v>9</v>
      </c>
      <c r="AC2447" s="2" t="s">
        <v>124</v>
      </c>
      <c r="AD2447" s="3">
        <v>40340</v>
      </c>
      <c r="AE2447" s="4">
        <v>0.4513888888888889</v>
      </c>
      <c r="AF2447" s="2"/>
      <c r="AG2447" s="2"/>
      <c r="AH2447" s="2">
        <v>2</v>
      </c>
      <c r="AI2447" s="2" t="s">
        <v>84</v>
      </c>
      <c r="AJ2447" s="2">
        <v>9</v>
      </c>
      <c r="AK2447" s="2" t="s">
        <v>103</v>
      </c>
      <c r="AL2447" s="2">
        <v>29</v>
      </c>
      <c r="AM2447" s="2" t="s">
        <v>5416</v>
      </c>
      <c r="AN2447" s="2" t="s">
        <v>1936</v>
      </c>
      <c r="AO2447" s="2" t="s">
        <v>590</v>
      </c>
      <c r="AP2447" s="2">
        <v>11</v>
      </c>
      <c r="AQ2447" s="2" t="s">
        <v>82</v>
      </c>
      <c r="AR2447" s="2"/>
      <c r="AS2447" s="2"/>
      <c r="AT2447" s="2" t="s">
        <v>7687</v>
      </c>
      <c r="AU2447" s="2"/>
      <c r="AV2447" s="2"/>
      <c r="AW2447" s="2"/>
      <c r="AX2447" s="2"/>
      <c r="AY2447" s="2">
        <v>41</v>
      </c>
      <c r="AZ2447" s="2" t="s">
        <v>82</v>
      </c>
      <c r="BA2447" s="2">
        <v>41</v>
      </c>
      <c r="BB2447" s="2" t="s">
        <v>82</v>
      </c>
      <c r="BC2447" s="2">
        <v>41</v>
      </c>
      <c r="BD2447" s="2" t="s">
        <v>82</v>
      </c>
      <c r="BE2447" s="2">
        <v>41</v>
      </c>
      <c r="BF2447" s="2" t="s">
        <v>82</v>
      </c>
      <c r="BG2447" s="2"/>
      <c r="BH2447" s="2"/>
      <c r="BI2447" s="2"/>
      <c r="BJ2447" s="2">
        <v>241</v>
      </c>
      <c r="BK2447" s="2" t="s">
        <v>82</v>
      </c>
      <c r="BL2447" s="2"/>
      <c r="BM2447" s="2">
        <v>241</v>
      </c>
      <c r="BN2447" s="2" t="s">
        <v>82</v>
      </c>
      <c r="BO2447" s="2"/>
      <c r="BP2447" s="2">
        <v>241</v>
      </c>
      <c r="BQ2447" s="2" t="s">
        <v>82</v>
      </c>
      <c r="BR2447" s="2"/>
      <c r="BS2447" s="3">
        <v>40340</v>
      </c>
      <c r="BT2447" s="4">
        <v>0.86710648148148151</v>
      </c>
    </row>
    <row r="2448" spans="1:72" x14ac:dyDescent="0.25">
      <c r="A2448" s="2">
        <v>3577</v>
      </c>
      <c r="B2448" s="2">
        <v>2010</v>
      </c>
      <c r="C2448" s="2" t="s">
        <v>377</v>
      </c>
      <c r="D2448" s="2" t="s">
        <v>73</v>
      </c>
      <c r="E2448" s="2"/>
      <c r="F2448" s="2">
        <v>426</v>
      </c>
      <c r="G2448" s="2" t="s">
        <v>378</v>
      </c>
      <c r="H2448" s="2">
        <v>22</v>
      </c>
      <c r="I2448" s="2" t="s">
        <v>75</v>
      </c>
      <c r="J2448" s="2">
        <v>311</v>
      </c>
      <c r="K2448" s="2" t="s">
        <v>379</v>
      </c>
      <c r="L2448" s="2" t="s">
        <v>380</v>
      </c>
      <c r="M2448" s="3">
        <v>40340</v>
      </c>
      <c r="N2448" s="2" t="s">
        <v>5164</v>
      </c>
      <c r="O2448" s="2"/>
      <c r="P2448" s="2"/>
      <c r="Q2448" s="2" t="str">
        <f>"111-C/10"</f>
        <v>111-C/10</v>
      </c>
      <c r="R2448" s="2" t="s">
        <v>8278</v>
      </c>
      <c r="S2448" s="2"/>
      <c r="T2448" s="2">
        <v>1</v>
      </c>
      <c r="U2448" s="2" t="s">
        <v>79</v>
      </c>
      <c r="V2448" s="2">
        <v>1</v>
      </c>
      <c r="W2448" s="2" t="s">
        <v>80</v>
      </c>
      <c r="X2448" s="2">
        <v>1</v>
      </c>
      <c r="Y2448" s="2" t="s">
        <v>81</v>
      </c>
      <c r="Z2448" s="2">
        <v>1</v>
      </c>
      <c r="AA2448" s="2" t="s">
        <v>82</v>
      </c>
      <c r="AB2448" s="2">
        <v>9</v>
      </c>
      <c r="AC2448" s="2" t="s">
        <v>124</v>
      </c>
      <c r="AD2448" s="3">
        <v>40339</v>
      </c>
      <c r="AE2448" s="4">
        <v>0.48958333333333331</v>
      </c>
      <c r="AF2448" s="2"/>
      <c r="AG2448" s="2"/>
      <c r="AH2448" s="2">
        <v>2</v>
      </c>
      <c r="AI2448" s="2" t="s">
        <v>84</v>
      </c>
      <c r="AJ2448" s="2">
        <v>9</v>
      </c>
      <c r="AK2448" s="2" t="s">
        <v>103</v>
      </c>
      <c r="AL2448" s="2">
        <v>21</v>
      </c>
      <c r="AM2448" s="2" t="s">
        <v>1311</v>
      </c>
      <c r="AN2448" s="2"/>
      <c r="AO2448" s="2" t="s">
        <v>590</v>
      </c>
      <c r="AP2448" s="2">
        <v>11</v>
      </c>
      <c r="AQ2448" s="2" t="s">
        <v>82</v>
      </c>
      <c r="AR2448" s="2"/>
      <c r="AS2448" s="2"/>
      <c r="AT2448" s="2" t="s">
        <v>8281</v>
      </c>
      <c r="AU2448" s="2"/>
      <c r="AV2448" s="2"/>
      <c r="AW2448" s="2"/>
      <c r="AX2448" s="2"/>
      <c r="AY2448" s="2">
        <v>41</v>
      </c>
      <c r="AZ2448" s="2" t="s">
        <v>82</v>
      </c>
      <c r="BA2448" s="2">
        <v>41</v>
      </c>
      <c r="BB2448" s="2" t="s">
        <v>82</v>
      </c>
      <c r="BC2448" s="2">
        <v>41</v>
      </c>
      <c r="BD2448" s="2" t="s">
        <v>82</v>
      </c>
      <c r="BE2448" s="2">
        <v>41</v>
      </c>
      <c r="BF2448" s="2" t="s">
        <v>82</v>
      </c>
      <c r="BG2448" s="2"/>
      <c r="BH2448" s="2"/>
      <c r="BI2448" s="2"/>
      <c r="BJ2448" s="2">
        <v>241</v>
      </c>
      <c r="BK2448" s="2" t="s">
        <v>82</v>
      </c>
      <c r="BL2448" s="2"/>
      <c r="BM2448" s="2">
        <v>241</v>
      </c>
      <c r="BN2448" s="2" t="s">
        <v>82</v>
      </c>
      <c r="BO2448" s="2"/>
      <c r="BP2448" s="2">
        <v>241</v>
      </c>
      <c r="BQ2448" s="2" t="s">
        <v>82</v>
      </c>
      <c r="BR2448" s="2"/>
      <c r="BS2448" s="3">
        <v>40340</v>
      </c>
      <c r="BT2448" s="4">
        <v>0.88065972222222222</v>
      </c>
    </row>
    <row r="2449" spans="1:72" x14ac:dyDescent="0.25">
      <c r="A2449" s="2">
        <v>3578</v>
      </c>
      <c r="B2449" s="2">
        <v>2010</v>
      </c>
      <c r="C2449" s="2" t="s">
        <v>377</v>
      </c>
      <c r="D2449" s="2" t="s">
        <v>73</v>
      </c>
      <c r="E2449" s="2"/>
      <c r="F2449" s="2">
        <v>426</v>
      </c>
      <c r="G2449" s="2" t="s">
        <v>378</v>
      </c>
      <c r="H2449" s="2">
        <v>42</v>
      </c>
      <c r="I2449" s="2" t="s">
        <v>1096</v>
      </c>
      <c r="J2449" s="2">
        <v>311</v>
      </c>
      <c r="K2449" s="2" t="s">
        <v>379</v>
      </c>
      <c r="L2449" s="2" t="s">
        <v>380</v>
      </c>
      <c r="M2449" s="3">
        <v>40340</v>
      </c>
      <c r="N2449" s="2" t="s">
        <v>5164</v>
      </c>
      <c r="O2449" s="2"/>
      <c r="P2449" s="2"/>
      <c r="Q2449" s="2" t="str">
        <f>"112-C/10"</f>
        <v>112-C/10</v>
      </c>
      <c r="R2449" s="2" t="s">
        <v>8278</v>
      </c>
      <c r="S2449" s="2"/>
      <c r="T2449" s="2">
        <v>1</v>
      </c>
      <c r="U2449" s="2" t="s">
        <v>79</v>
      </c>
      <c r="V2449" s="2">
        <v>1</v>
      </c>
      <c r="W2449" s="2" t="s">
        <v>80</v>
      </c>
      <c r="X2449" s="2">
        <v>1</v>
      </c>
      <c r="Y2449" s="2" t="s">
        <v>81</v>
      </c>
      <c r="Z2449" s="2">
        <v>1</v>
      </c>
      <c r="AA2449" s="2" t="s">
        <v>82</v>
      </c>
      <c r="AB2449" s="2">
        <v>9</v>
      </c>
      <c r="AC2449" s="2" t="s">
        <v>124</v>
      </c>
      <c r="AD2449" s="3">
        <v>40339</v>
      </c>
      <c r="AE2449" s="4">
        <v>0.51388888888888895</v>
      </c>
      <c r="AF2449" s="2"/>
      <c r="AG2449" s="2"/>
      <c r="AH2449" s="2">
        <v>2</v>
      </c>
      <c r="AI2449" s="2" t="s">
        <v>84</v>
      </c>
      <c r="AJ2449" s="2">
        <v>9</v>
      </c>
      <c r="AK2449" s="2" t="s">
        <v>103</v>
      </c>
      <c r="AL2449" s="2">
        <v>29</v>
      </c>
      <c r="AM2449" s="2" t="s">
        <v>5416</v>
      </c>
      <c r="AN2449" s="2" t="s">
        <v>1936</v>
      </c>
      <c r="AO2449" s="2" t="s">
        <v>987</v>
      </c>
      <c r="AP2449" s="2">
        <v>11</v>
      </c>
      <c r="AQ2449" s="2" t="s">
        <v>82</v>
      </c>
      <c r="AR2449" s="2"/>
      <c r="AS2449" s="2"/>
      <c r="AT2449" s="2" t="s">
        <v>8282</v>
      </c>
      <c r="AU2449" s="2"/>
      <c r="AV2449" s="2"/>
      <c r="AW2449" s="2"/>
      <c r="AX2449" s="2"/>
      <c r="AY2449" s="2">
        <v>41</v>
      </c>
      <c r="AZ2449" s="2" t="s">
        <v>82</v>
      </c>
      <c r="BA2449" s="2">
        <v>41</v>
      </c>
      <c r="BB2449" s="2" t="s">
        <v>82</v>
      </c>
      <c r="BC2449" s="2">
        <v>41</v>
      </c>
      <c r="BD2449" s="2" t="s">
        <v>82</v>
      </c>
      <c r="BE2449" s="2">
        <v>41</v>
      </c>
      <c r="BF2449" s="2" t="s">
        <v>82</v>
      </c>
      <c r="BG2449" s="2"/>
      <c r="BH2449" s="2"/>
      <c r="BI2449" s="2"/>
      <c r="BJ2449" s="2">
        <v>241</v>
      </c>
      <c r="BK2449" s="2" t="s">
        <v>82</v>
      </c>
      <c r="BL2449" s="2"/>
      <c r="BM2449" s="2">
        <v>241</v>
      </c>
      <c r="BN2449" s="2" t="s">
        <v>82</v>
      </c>
      <c r="BO2449" s="2"/>
      <c r="BP2449" s="2">
        <v>241</v>
      </c>
      <c r="BQ2449" s="2" t="s">
        <v>82</v>
      </c>
      <c r="BR2449" s="2"/>
      <c r="BS2449" s="3">
        <v>40340</v>
      </c>
      <c r="BT2449" s="4">
        <v>0.88939814814814822</v>
      </c>
    </row>
    <row r="2450" spans="1:72" x14ac:dyDescent="0.25">
      <c r="A2450" s="2">
        <v>3579</v>
      </c>
      <c r="B2450" s="2">
        <v>2010</v>
      </c>
      <c r="C2450" s="2" t="s">
        <v>377</v>
      </c>
      <c r="D2450" s="2" t="s">
        <v>73</v>
      </c>
      <c r="E2450" s="2"/>
      <c r="F2450" s="2">
        <v>426</v>
      </c>
      <c r="G2450" s="2" t="s">
        <v>378</v>
      </c>
      <c r="H2450" s="2">
        <v>22</v>
      </c>
      <c r="I2450" s="2" t="s">
        <v>75</v>
      </c>
      <c r="J2450" s="2">
        <v>311</v>
      </c>
      <c r="K2450" s="2" t="s">
        <v>379</v>
      </c>
      <c r="L2450" s="2" t="s">
        <v>380</v>
      </c>
      <c r="M2450" s="3">
        <v>40340</v>
      </c>
      <c r="N2450" s="2" t="s">
        <v>5164</v>
      </c>
      <c r="O2450" s="2"/>
      <c r="P2450" s="2"/>
      <c r="Q2450" s="2" t="str">
        <f>"116-C-10"</f>
        <v>116-C-10</v>
      </c>
      <c r="R2450" s="2" t="s">
        <v>8283</v>
      </c>
      <c r="S2450" s="2"/>
      <c r="T2450" s="2">
        <v>1</v>
      </c>
      <c r="U2450" s="2" t="s">
        <v>79</v>
      </c>
      <c r="V2450" s="2">
        <v>1</v>
      </c>
      <c r="W2450" s="2" t="s">
        <v>80</v>
      </c>
      <c r="X2450" s="2">
        <v>1</v>
      </c>
      <c r="Y2450" s="2" t="s">
        <v>81</v>
      </c>
      <c r="Z2450" s="2">
        <v>1</v>
      </c>
      <c r="AA2450" s="2" t="s">
        <v>82</v>
      </c>
      <c r="AB2450" s="2">
        <v>9</v>
      </c>
      <c r="AC2450" s="2" t="s">
        <v>124</v>
      </c>
      <c r="AD2450" s="3">
        <v>40340</v>
      </c>
      <c r="AE2450" s="4">
        <v>0.74861111111111101</v>
      </c>
      <c r="AF2450" s="2"/>
      <c r="AG2450" s="2"/>
      <c r="AH2450" s="2">
        <v>2</v>
      </c>
      <c r="AI2450" s="2" t="s">
        <v>84</v>
      </c>
      <c r="AJ2450" s="2">
        <v>9</v>
      </c>
      <c r="AK2450" s="2" t="s">
        <v>103</v>
      </c>
      <c r="AL2450" s="2">
        <v>29</v>
      </c>
      <c r="AM2450" s="2" t="s">
        <v>5416</v>
      </c>
      <c r="AN2450" s="2" t="s">
        <v>1936</v>
      </c>
      <c r="AO2450" s="2" t="s">
        <v>987</v>
      </c>
      <c r="AP2450" s="2">
        <v>11</v>
      </c>
      <c r="AQ2450" s="2" t="s">
        <v>82</v>
      </c>
      <c r="AR2450" s="2"/>
      <c r="AS2450" s="2"/>
      <c r="AT2450" s="2" t="s">
        <v>8284</v>
      </c>
      <c r="AU2450" s="2"/>
      <c r="AV2450" s="2"/>
      <c r="AW2450" s="2"/>
      <c r="AX2450" s="2"/>
      <c r="AY2450" s="2">
        <v>41</v>
      </c>
      <c r="AZ2450" s="2" t="s">
        <v>82</v>
      </c>
      <c r="BA2450" s="2">
        <v>41</v>
      </c>
      <c r="BB2450" s="2" t="s">
        <v>82</v>
      </c>
      <c r="BC2450" s="2">
        <v>41</v>
      </c>
      <c r="BD2450" s="2" t="s">
        <v>82</v>
      </c>
      <c r="BE2450" s="2">
        <v>41</v>
      </c>
      <c r="BF2450" s="2" t="s">
        <v>82</v>
      </c>
      <c r="BG2450" s="2"/>
      <c r="BH2450" s="2"/>
      <c r="BI2450" s="2"/>
      <c r="BJ2450" s="2">
        <v>241</v>
      </c>
      <c r="BK2450" s="2" t="s">
        <v>82</v>
      </c>
      <c r="BL2450" s="2"/>
      <c r="BM2450" s="2">
        <v>241</v>
      </c>
      <c r="BN2450" s="2" t="s">
        <v>82</v>
      </c>
      <c r="BO2450" s="2"/>
      <c r="BP2450" s="2">
        <v>241</v>
      </c>
      <c r="BQ2450" s="2" t="s">
        <v>82</v>
      </c>
      <c r="BR2450" s="2"/>
      <c r="BS2450" s="3">
        <v>40340</v>
      </c>
      <c r="BT2450" s="4">
        <v>0.93217592592592602</v>
      </c>
    </row>
    <row r="2451" spans="1:72" x14ac:dyDescent="0.25">
      <c r="A2451" s="2">
        <v>3580</v>
      </c>
      <c r="B2451" s="2">
        <v>2010</v>
      </c>
      <c r="C2451" s="2" t="s">
        <v>377</v>
      </c>
      <c r="D2451" s="2" t="s">
        <v>73</v>
      </c>
      <c r="E2451" s="2"/>
      <c r="F2451" s="2">
        <v>426</v>
      </c>
      <c r="G2451" s="2" t="s">
        <v>378</v>
      </c>
      <c r="H2451" s="2">
        <v>22</v>
      </c>
      <c r="I2451" s="2" t="s">
        <v>75</v>
      </c>
      <c r="J2451" s="2">
        <v>311</v>
      </c>
      <c r="K2451" s="2" t="s">
        <v>379</v>
      </c>
      <c r="L2451" s="2" t="s">
        <v>380</v>
      </c>
      <c r="M2451" s="3">
        <v>40340</v>
      </c>
      <c r="N2451" s="2" t="s">
        <v>5164</v>
      </c>
      <c r="O2451" s="2"/>
      <c r="P2451" s="2"/>
      <c r="Q2451" s="2" t="str">
        <f>"113-C/10"</f>
        <v>113-C/10</v>
      </c>
      <c r="R2451" s="2" t="s">
        <v>8278</v>
      </c>
      <c r="S2451" s="2"/>
      <c r="T2451" s="2">
        <v>1</v>
      </c>
      <c r="U2451" s="2" t="s">
        <v>79</v>
      </c>
      <c r="V2451" s="2">
        <v>1</v>
      </c>
      <c r="W2451" s="2" t="s">
        <v>80</v>
      </c>
      <c r="X2451" s="2">
        <v>1</v>
      </c>
      <c r="Y2451" s="2" t="s">
        <v>81</v>
      </c>
      <c r="Z2451" s="2">
        <v>1</v>
      </c>
      <c r="AA2451" s="2" t="s">
        <v>82</v>
      </c>
      <c r="AB2451" s="2">
        <v>9</v>
      </c>
      <c r="AC2451" s="2" t="s">
        <v>124</v>
      </c>
      <c r="AD2451" s="3">
        <v>40339</v>
      </c>
      <c r="AE2451" s="4">
        <v>0.70138888888888884</v>
      </c>
      <c r="AF2451" s="2"/>
      <c r="AG2451" s="2"/>
      <c r="AH2451" s="2">
        <v>2</v>
      </c>
      <c r="AI2451" s="2" t="s">
        <v>84</v>
      </c>
      <c r="AJ2451" s="2">
        <v>9</v>
      </c>
      <c r="AK2451" s="2" t="s">
        <v>103</v>
      </c>
      <c r="AL2451" s="2">
        <v>29</v>
      </c>
      <c r="AM2451" s="2" t="s">
        <v>5416</v>
      </c>
      <c r="AN2451" s="2" t="s">
        <v>8285</v>
      </c>
      <c r="AO2451" s="2" t="s">
        <v>987</v>
      </c>
      <c r="AP2451" s="2">
        <v>11</v>
      </c>
      <c r="AQ2451" s="2" t="s">
        <v>82</v>
      </c>
      <c r="AR2451" s="2"/>
      <c r="AS2451" s="2"/>
      <c r="AT2451" s="2" t="s">
        <v>8286</v>
      </c>
      <c r="AU2451" s="2"/>
      <c r="AV2451" s="2"/>
      <c r="AW2451" s="2"/>
      <c r="AX2451" s="2"/>
      <c r="AY2451" s="2">
        <v>41</v>
      </c>
      <c r="AZ2451" s="2" t="s">
        <v>82</v>
      </c>
      <c r="BA2451" s="2">
        <v>41</v>
      </c>
      <c r="BB2451" s="2" t="s">
        <v>82</v>
      </c>
      <c r="BC2451" s="2">
        <v>41</v>
      </c>
      <c r="BD2451" s="2" t="s">
        <v>82</v>
      </c>
      <c r="BE2451" s="2">
        <v>41</v>
      </c>
      <c r="BF2451" s="2" t="s">
        <v>82</v>
      </c>
      <c r="BG2451" s="2"/>
      <c r="BH2451" s="2"/>
      <c r="BI2451" s="2"/>
      <c r="BJ2451" s="2">
        <v>241</v>
      </c>
      <c r="BK2451" s="2" t="s">
        <v>82</v>
      </c>
      <c r="BL2451" s="2"/>
      <c r="BM2451" s="2">
        <v>241</v>
      </c>
      <c r="BN2451" s="2" t="s">
        <v>82</v>
      </c>
      <c r="BO2451" s="2"/>
      <c r="BP2451" s="2">
        <v>241</v>
      </c>
      <c r="BQ2451" s="2" t="s">
        <v>82</v>
      </c>
      <c r="BR2451" s="2"/>
      <c r="BS2451" s="3">
        <v>40340</v>
      </c>
      <c r="BT2451" s="4">
        <v>0.94024305555555554</v>
      </c>
    </row>
    <row r="2452" spans="1:72" x14ac:dyDescent="0.25">
      <c r="A2452" s="2">
        <v>3581</v>
      </c>
      <c r="B2452" s="2">
        <v>2010</v>
      </c>
      <c r="C2452" s="2" t="s">
        <v>819</v>
      </c>
      <c r="D2452" s="2" t="s">
        <v>122</v>
      </c>
      <c r="E2452" s="2"/>
      <c r="F2452" s="2">
        <v>425</v>
      </c>
      <c r="G2452" s="2" t="s">
        <v>286</v>
      </c>
      <c r="H2452" s="2">
        <v>30</v>
      </c>
      <c r="I2452" s="2" t="s">
        <v>912</v>
      </c>
      <c r="J2452" s="2">
        <v>310</v>
      </c>
      <c r="K2452" s="2" t="s">
        <v>288</v>
      </c>
      <c r="L2452" s="2" t="s">
        <v>289</v>
      </c>
      <c r="M2452" s="3">
        <v>40340</v>
      </c>
      <c r="N2452" s="2" t="s">
        <v>2049</v>
      </c>
      <c r="O2452" s="2"/>
      <c r="P2452" s="2"/>
      <c r="Q2452" s="2" t="str">
        <f>"069/10"</f>
        <v>069/10</v>
      </c>
      <c r="R2452" s="2" t="s">
        <v>822</v>
      </c>
      <c r="S2452" s="2"/>
      <c r="T2452" s="2">
        <v>1</v>
      </c>
      <c r="U2452" s="2" t="s">
        <v>79</v>
      </c>
      <c r="V2452" s="2">
        <v>1</v>
      </c>
      <c r="W2452" s="2" t="s">
        <v>80</v>
      </c>
      <c r="X2452" s="2">
        <v>1</v>
      </c>
      <c r="Y2452" s="2" t="s">
        <v>81</v>
      </c>
      <c r="Z2452" s="2">
        <v>10</v>
      </c>
      <c r="AA2452" s="2" t="s">
        <v>236</v>
      </c>
      <c r="AB2452" s="2">
        <v>9</v>
      </c>
      <c r="AC2452" s="2" t="s">
        <v>124</v>
      </c>
      <c r="AD2452" s="3">
        <v>40340</v>
      </c>
      <c r="AE2452" s="4">
        <v>0.91666666666666663</v>
      </c>
      <c r="AF2452" s="2"/>
      <c r="AG2452" s="2"/>
      <c r="AH2452" s="2">
        <v>4</v>
      </c>
      <c r="AI2452" s="2" t="s">
        <v>125</v>
      </c>
      <c r="AJ2452" s="2">
        <v>29</v>
      </c>
      <c r="AK2452" s="2" t="s">
        <v>227</v>
      </c>
      <c r="AL2452" s="2">
        <v>16</v>
      </c>
      <c r="AM2452" s="2" t="s">
        <v>392</v>
      </c>
      <c r="AN2452" s="2" t="s">
        <v>1015</v>
      </c>
      <c r="AO2452" s="2"/>
      <c r="AP2452" s="2">
        <v>12</v>
      </c>
      <c r="AQ2452" s="2" t="s">
        <v>322</v>
      </c>
      <c r="AR2452" s="2" t="s">
        <v>824</v>
      </c>
      <c r="AS2452" s="2" t="s">
        <v>825</v>
      </c>
      <c r="AT2452" s="2" t="s">
        <v>8287</v>
      </c>
      <c r="AU2452" s="2"/>
      <c r="AV2452" s="2"/>
      <c r="AW2452" s="2"/>
      <c r="AX2452" s="2"/>
      <c r="AY2452" s="2">
        <v>41</v>
      </c>
      <c r="AZ2452" s="2" t="s">
        <v>82</v>
      </c>
      <c r="BA2452" s="2">
        <v>41</v>
      </c>
      <c r="BB2452" s="2" t="s">
        <v>82</v>
      </c>
      <c r="BC2452" s="2">
        <v>51</v>
      </c>
      <c r="BD2452" s="2" t="s">
        <v>827</v>
      </c>
      <c r="BE2452" s="2">
        <v>47</v>
      </c>
      <c r="BF2452" s="2" t="s">
        <v>167</v>
      </c>
      <c r="BG2452" s="2">
        <v>2459</v>
      </c>
      <c r="BH2452" s="4">
        <v>0.92708333333333337</v>
      </c>
      <c r="BI2452" s="4">
        <v>0.96527777777777779</v>
      </c>
      <c r="BJ2452" s="2">
        <v>13</v>
      </c>
      <c r="BK2452" s="2" t="s">
        <v>91</v>
      </c>
      <c r="BL2452" s="2" t="s">
        <v>828</v>
      </c>
      <c r="BM2452" s="2">
        <v>241</v>
      </c>
      <c r="BN2452" s="2" t="s">
        <v>82</v>
      </c>
      <c r="BO2452" s="2"/>
      <c r="BP2452" s="2">
        <v>13</v>
      </c>
      <c r="BQ2452" s="2" t="s">
        <v>91</v>
      </c>
      <c r="BR2452" s="2" t="s">
        <v>185</v>
      </c>
      <c r="BS2452" s="3">
        <v>40340</v>
      </c>
      <c r="BT2452" s="4">
        <v>0.97423611111111119</v>
      </c>
    </row>
    <row r="2453" spans="1:72" x14ac:dyDescent="0.25">
      <c r="A2453" s="2">
        <v>3582</v>
      </c>
      <c r="B2453" s="2">
        <v>2010</v>
      </c>
      <c r="C2453" s="2" t="s">
        <v>72</v>
      </c>
      <c r="D2453" s="2" t="s">
        <v>73</v>
      </c>
      <c r="E2453" s="2"/>
      <c r="F2453" s="2">
        <v>638</v>
      </c>
      <c r="G2453" s="2" t="s">
        <v>8288</v>
      </c>
      <c r="H2453" s="2">
        <v>3</v>
      </c>
      <c r="I2453" s="2" t="s">
        <v>315</v>
      </c>
      <c r="J2453" s="2">
        <v>583</v>
      </c>
      <c r="K2453" s="2" t="s">
        <v>8289</v>
      </c>
      <c r="L2453" s="2" t="s">
        <v>8290</v>
      </c>
      <c r="M2453" s="3">
        <v>40341</v>
      </c>
      <c r="N2453" s="2" t="s">
        <v>8291</v>
      </c>
      <c r="O2453" s="2" t="s">
        <v>107</v>
      </c>
      <c r="P2453" s="2" t="s">
        <v>107</v>
      </c>
      <c r="Q2453" s="2" t="str">
        <f>"29/10"</f>
        <v>29/10</v>
      </c>
      <c r="R2453" s="2" t="s">
        <v>116</v>
      </c>
      <c r="S2453" s="2" t="s">
        <v>116</v>
      </c>
      <c r="T2453" s="2">
        <v>1</v>
      </c>
      <c r="U2453" s="2" t="s">
        <v>79</v>
      </c>
      <c r="V2453" s="2">
        <v>1</v>
      </c>
      <c r="W2453" s="2" t="s">
        <v>80</v>
      </c>
      <c r="X2453" s="2">
        <v>12</v>
      </c>
      <c r="Y2453" s="2" t="s">
        <v>148</v>
      </c>
      <c r="Z2453" s="2">
        <v>1</v>
      </c>
      <c r="AA2453" s="2" t="s">
        <v>82</v>
      </c>
      <c r="AB2453" s="2">
        <v>6</v>
      </c>
      <c r="AC2453" s="2" t="s">
        <v>83</v>
      </c>
      <c r="AD2453" s="3">
        <v>40340</v>
      </c>
      <c r="AE2453" s="2"/>
      <c r="AF2453" s="3">
        <v>40340</v>
      </c>
      <c r="AG2453" s="4">
        <v>0.96180555555555547</v>
      </c>
      <c r="AH2453" s="2">
        <v>3</v>
      </c>
      <c r="AI2453" s="2" t="s">
        <v>214</v>
      </c>
      <c r="AJ2453" s="2">
        <v>24</v>
      </c>
      <c r="AK2453" s="2" t="s">
        <v>215</v>
      </c>
      <c r="AL2453" s="2">
        <v>25</v>
      </c>
      <c r="AM2453" s="2" t="s">
        <v>3073</v>
      </c>
      <c r="AN2453" s="2" t="s">
        <v>8292</v>
      </c>
      <c r="AO2453" s="2"/>
      <c r="AP2453" s="2">
        <v>11</v>
      </c>
      <c r="AQ2453" s="2" t="s">
        <v>82</v>
      </c>
      <c r="AR2453" s="2"/>
      <c r="AS2453" s="2"/>
      <c r="AT2453" s="2" t="s">
        <v>8293</v>
      </c>
      <c r="AU2453" s="2"/>
      <c r="AV2453" s="2"/>
      <c r="AW2453" s="2"/>
      <c r="AX2453" s="2"/>
      <c r="AY2453" s="2">
        <v>41</v>
      </c>
      <c r="AZ2453" s="2" t="s">
        <v>82</v>
      </c>
      <c r="BA2453" s="2">
        <v>41</v>
      </c>
      <c r="BB2453" s="2" t="s">
        <v>82</v>
      </c>
      <c r="BC2453" s="2">
        <v>41</v>
      </c>
      <c r="BD2453" s="2" t="s">
        <v>82</v>
      </c>
      <c r="BE2453" s="2">
        <v>41</v>
      </c>
      <c r="BF2453" s="2" t="s">
        <v>82</v>
      </c>
      <c r="BG2453" s="2"/>
      <c r="BH2453" s="2"/>
      <c r="BI2453" s="2"/>
      <c r="BJ2453" s="2">
        <v>241</v>
      </c>
      <c r="BK2453" s="2" t="s">
        <v>82</v>
      </c>
      <c r="BL2453" s="2"/>
      <c r="BM2453" s="2">
        <v>241</v>
      </c>
      <c r="BN2453" s="2" t="s">
        <v>82</v>
      </c>
      <c r="BO2453" s="2"/>
      <c r="BP2453" s="2">
        <v>241</v>
      </c>
      <c r="BQ2453" s="2" t="s">
        <v>82</v>
      </c>
      <c r="BR2453" s="2"/>
      <c r="BS2453" s="3">
        <v>40341</v>
      </c>
      <c r="BT2453" s="4">
        <v>3.4097222222222223E-2</v>
      </c>
    </row>
    <row r="2454" spans="1:72" x14ac:dyDescent="0.25">
      <c r="A2454" s="2">
        <v>3583</v>
      </c>
      <c r="B2454" s="2">
        <v>2010</v>
      </c>
      <c r="C2454" s="2" t="s">
        <v>549</v>
      </c>
      <c r="D2454" s="2" t="s">
        <v>122</v>
      </c>
      <c r="E2454" s="2" t="s">
        <v>8294</v>
      </c>
      <c r="F2454" s="2">
        <v>1</v>
      </c>
      <c r="G2454" s="2" t="s">
        <v>82</v>
      </c>
      <c r="H2454" s="2">
        <v>1</v>
      </c>
      <c r="I2454" s="2" t="s">
        <v>82</v>
      </c>
      <c r="J2454" s="2">
        <v>1</v>
      </c>
      <c r="K2454" s="2" t="s">
        <v>107</v>
      </c>
      <c r="L2454" s="2" t="s">
        <v>107</v>
      </c>
      <c r="M2454" s="3">
        <v>40341</v>
      </c>
      <c r="N2454" s="2"/>
      <c r="O2454" s="2"/>
      <c r="P2454" s="2"/>
      <c r="Q2454" s="2" t="str">
        <f>""</f>
        <v/>
      </c>
      <c r="R2454" s="2"/>
      <c r="S2454" s="2"/>
      <c r="T2454" s="2">
        <v>1</v>
      </c>
      <c r="U2454" s="2" t="s">
        <v>79</v>
      </c>
      <c r="V2454" s="2">
        <v>1</v>
      </c>
      <c r="W2454" s="2" t="s">
        <v>80</v>
      </c>
      <c r="X2454" s="2">
        <v>5</v>
      </c>
      <c r="Y2454" s="2" t="s">
        <v>82</v>
      </c>
      <c r="Z2454" s="2">
        <v>1</v>
      </c>
      <c r="AA2454" s="2" t="s">
        <v>82</v>
      </c>
      <c r="AB2454" s="2">
        <v>9</v>
      </c>
      <c r="AC2454" s="2" t="s">
        <v>124</v>
      </c>
      <c r="AD2454" s="3">
        <v>40340</v>
      </c>
      <c r="AE2454" s="4">
        <v>0.60416666666666663</v>
      </c>
      <c r="AF2454" s="2"/>
      <c r="AG2454" s="2"/>
      <c r="AH2454" s="2">
        <v>5</v>
      </c>
      <c r="AI2454" s="2" t="s">
        <v>274</v>
      </c>
      <c r="AJ2454" s="2">
        <v>43</v>
      </c>
      <c r="AK2454" s="2" t="s">
        <v>918</v>
      </c>
      <c r="AL2454" s="2">
        <v>25</v>
      </c>
      <c r="AM2454" s="2" t="s">
        <v>3073</v>
      </c>
      <c r="AN2454" s="2" t="s">
        <v>8275</v>
      </c>
      <c r="AO2454" s="2" t="s">
        <v>8276</v>
      </c>
      <c r="AP2454" s="2">
        <v>11</v>
      </c>
      <c r="AQ2454" s="2" t="s">
        <v>82</v>
      </c>
      <c r="AR2454" s="2"/>
      <c r="AS2454" s="2"/>
      <c r="AT2454" s="2" t="s">
        <v>8295</v>
      </c>
      <c r="AU2454" s="2"/>
      <c r="AV2454" s="2"/>
      <c r="AW2454" s="2"/>
      <c r="AX2454" s="2"/>
      <c r="AY2454" s="2">
        <v>41</v>
      </c>
      <c r="AZ2454" s="2" t="s">
        <v>82</v>
      </c>
      <c r="BA2454" s="2">
        <v>41</v>
      </c>
      <c r="BB2454" s="2" t="s">
        <v>82</v>
      </c>
      <c r="BC2454" s="2">
        <v>41</v>
      </c>
      <c r="BD2454" s="2" t="s">
        <v>82</v>
      </c>
      <c r="BE2454" s="2">
        <v>41</v>
      </c>
      <c r="BF2454" s="2" t="s">
        <v>82</v>
      </c>
      <c r="BG2454" s="2"/>
      <c r="BH2454" s="2"/>
      <c r="BI2454" s="2"/>
      <c r="BJ2454" s="2">
        <v>241</v>
      </c>
      <c r="BK2454" s="2" t="s">
        <v>82</v>
      </c>
      <c r="BL2454" s="2"/>
      <c r="BM2454" s="2">
        <v>241</v>
      </c>
      <c r="BN2454" s="2" t="s">
        <v>82</v>
      </c>
      <c r="BO2454" s="2"/>
      <c r="BP2454" s="2">
        <v>241</v>
      </c>
      <c r="BQ2454" s="2" t="s">
        <v>82</v>
      </c>
      <c r="BR2454" s="2"/>
      <c r="BS2454" s="3">
        <v>40341</v>
      </c>
      <c r="BT2454" s="4">
        <v>3.5347222222222217E-2</v>
      </c>
    </row>
    <row r="2455" spans="1:72" x14ac:dyDescent="0.25">
      <c r="A2455" s="2">
        <v>3584</v>
      </c>
      <c r="B2455" s="2">
        <v>2010</v>
      </c>
      <c r="C2455" s="2" t="s">
        <v>121</v>
      </c>
      <c r="D2455" s="2" t="s">
        <v>122</v>
      </c>
      <c r="E2455" s="2"/>
      <c r="F2455" s="2">
        <v>1</v>
      </c>
      <c r="G2455" s="2" t="s">
        <v>82</v>
      </c>
      <c r="H2455" s="2">
        <v>1</v>
      </c>
      <c r="I2455" s="2" t="s">
        <v>82</v>
      </c>
      <c r="J2455" s="2">
        <v>1</v>
      </c>
      <c r="K2455" s="2" t="s">
        <v>107</v>
      </c>
      <c r="L2455" s="2" t="s">
        <v>107</v>
      </c>
      <c r="M2455" s="3">
        <v>40341</v>
      </c>
      <c r="N2455" s="2" t="s">
        <v>82</v>
      </c>
      <c r="O2455" s="2" t="s">
        <v>82</v>
      </c>
      <c r="P2455" s="2" t="s">
        <v>82</v>
      </c>
      <c r="Q2455" s="2" t="str">
        <f>"N/C"</f>
        <v>N/C</v>
      </c>
      <c r="R2455" s="2" t="s">
        <v>82</v>
      </c>
      <c r="S2455" s="2" t="s">
        <v>82</v>
      </c>
      <c r="T2455" s="2">
        <v>2</v>
      </c>
      <c r="U2455" s="2" t="s">
        <v>123</v>
      </c>
      <c r="V2455" s="2">
        <v>1</v>
      </c>
      <c r="W2455" s="2" t="s">
        <v>80</v>
      </c>
      <c r="X2455" s="2">
        <v>11</v>
      </c>
      <c r="Y2455" s="2" t="s">
        <v>1920</v>
      </c>
      <c r="Z2455" s="2">
        <v>1</v>
      </c>
      <c r="AA2455" s="2" t="s">
        <v>82</v>
      </c>
      <c r="AB2455" s="2">
        <v>9</v>
      </c>
      <c r="AC2455" s="2" t="s">
        <v>124</v>
      </c>
      <c r="AD2455" s="3">
        <v>40340</v>
      </c>
      <c r="AE2455" s="4">
        <v>0.41666666666666669</v>
      </c>
      <c r="AF2455" s="2"/>
      <c r="AG2455" s="2"/>
      <c r="AH2455" s="2">
        <v>2</v>
      </c>
      <c r="AI2455" s="2" t="s">
        <v>84</v>
      </c>
      <c r="AJ2455" s="2">
        <v>12</v>
      </c>
      <c r="AK2455" s="2" t="s">
        <v>85</v>
      </c>
      <c r="AL2455" s="2">
        <v>10</v>
      </c>
      <c r="AM2455" s="2" t="s">
        <v>200</v>
      </c>
      <c r="AN2455" s="2" t="s">
        <v>107</v>
      </c>
      <c r="AO2455" s="2" t="s">
        <v>8296</v>
      </c>
      <c r="AP2455" s="2">
        <v>11</v>
      </c>
      <c r="AQ2455" s="2" t="s">
        <v>82</v>
      </c>
      <c r="AR2455" s="2" t="s">
        <v>82</v>
      </c>
      <c r="AS2455" s="2" t="s">
        <v>82</v>
      </c>
      <c r="AT2455" s="2" t="s">
        <v>8297</v>
      </c>
      <c r="AU2455" s="2"/>
      <c r="AV2455" s="2"/>
      <c r="AW2455" s="2"/>
      <c r="AX2455" s="2"/>
      <c r="AY2455" s="2">
        <v>41</v>
      </c>
      <c r="AZ2455" s="2" t="s">
        <v>82</v>
      </c>
      <c r="BA2455" s="2">
        <v>41</v>
      </c>
      <c r="BB2455" s="2" t="s">
        <v>82</v>
      </c>
      <c r="BC2455" s="2">
        <v>41</v>
      </c>
      <c r="BD2455" s="2" t="s">
        <v>82</v>
      </c>
      <c r="BE2455" s="2">
        <v>10</v>
      </c>
      <c r="BF2455" s="2" t="s">
        <v>901</v>
      </c>
      <c r="BG2455" s="2" t="s">
        <v>8298</v>
      </c>
      <c r="BH2455" s="4">
        <v>0.43958333333333338</v>
      </c>
      <c r="BI2455" s="4">
        <v>0.39930555555555558</v>
      </c>
      <c r="BJ2455" s="2">
        <v>229</v>
      </c>
      <c r="BK2455" s="2" t="s">
        <v>300</v>
      </c>
      <c r="BL2455" s="2" t="s">
        <v>8299</v>
      </c>
      <c r="BM2455" s="2">
        <v>241</v>
      </c>
      <c r="BN2455" s="2" t="s">
        <v>82</v>
      </c>
      <c r="BO2455" s="2" t="s">
        <v>82</v>
      </c>
      <c r="BP2455" s="2">
        <v>13</v>
      </c>
      <c r="BQ2455" s="2" t="s">
        <v>91</v>
      </c>
      <c r="BR2455" s="2" t="s">
        <v>185</v>
      </c>
      <c r="BS2455" s="3">
        <v>40341</v>
      </c>
      <c r="BT2455" s="4">
        <v>0.56464120370370374</v>
      </c>
    </row>
    <row r="2456" spans="1:72" x14ac:dyDescent="0.25">
      <c r="A2456" s="2">
        <v>3585</v>
      </c>
      <c r="B2456" s="2">
        <v>2010</v>
      </c>
      <c r="C2456" s="2" t="s">
        <v>549</v>
      </c>
      <c r="D2456" s="2" t="s">
        <v>122</v>
      </c>
      <c r="E2456" s="2" t="s">
        <v>8300</v>
      </c>
      <c r="F2456" s="2">
        <v>1</v>
      </c>
      <c r="G2456" s="2" t="s">
        <v>82</v>
      </c>
      <c r="H2456" s="2">
        <v>1</v>
      </c>
      <c r="I2456" s="2" t="s">
        <v>82</v>
      </c>
      <c r="J2456" s="2">
        <v>1</v>
      </c>
      <c r="K2456" s="2" t="s">
        <v>107</v>
      </c>
      <c r="L2456" s="2" t="s">
        <v>107</v>
      </c>
      <c r="M2456" s="3">
        <v>40341</v>
      </c>
      <c r="N2456" s="2"/>
      <c r="O2456" s="2"/>
      <c r="P2456" s="2"/>
      <c r="Q2456" s="2" t="str">
        <f>""</f>
        <v/>
      </c>
      <c r="R2456" s="2"/>
      <c r="S2456" s="2"/>
      <c r="T2456" s="2">
        <v>1</v>
      </c>
      <c r="U2456" s="2" t="s">
        <v>79</v>
      </c>
      <c r="V2456" s="2">
        <v>1</v>
      </c>
      <c r="W2456" s="2" t="s">
        <v>80</v>
      </c>
      <c r="X2456" s="2">
        <v>5</v>
      </c>
      <c r="Y2456" s="2" t="s">
        <v>82</v>
      </c>
      <c r="Z2456" s="2">
        <v>1</v>
      </c>
      <c r="AA2456" s="2" t="s">
        <v>82</v>
      </c>
      <c r="AB2456" s="2">
        <v>9</v>
      </c>
      <c r="AC2456" s="2" t="s">
        <v>124</v>
      </c>
      <c r="AD2456" s="3">
        <v>40340</v>
      </c>
      <c r="AE2456" s="4">
        <v>0.60416666666666663</v>
      </c>
      <c r="AF2456" s="2"/>
      <c r="AG2456" s="2"/>
      <c r="AH2456" s="2">
        <v>5</v>
      </c>
      <c r="AI2456" s="2" t="s">
        <v>274</v>
      </c>
      <c r="AJ2456" s="2">
        <v>43</v>
      </c>
      <c r="AK2456" s="2" t="s">
        <v>918</v>
      </c>
      <c r="AL2456" s="2">
        <v>25</v>
      </c>
      <c r="AM2456" s="2" t="s">
        <v>3073</v>
      </c>
      <c r="AN2456" s="2" t="s">
        <v>8275</v>
      </c>
      <c r="AO2456" s="2" t="s">
        <v>8276</v>
      </c>
      <c r="AP2456" s="2">
        <v>11</v>
      </c>
      <c r="AQ2456" s="2" t="s">
        <v>82</v>
      </c>
      <c r="AR2456" s="2"/>
      <c r="AS2456" s="2"/>
      <c r="AT2456" s="2" t="s">
        <v>8301</v>
      </c>
      <c r="AU2456" s="2"/>
      <c r="AV2456" s="2"/>
      <c r="AW2456" s="2"/>
      <c r="AX2456" s="2"/>
      <c r="AY2456" s="2">
        <v>41</v>
      </c>
      <c r="AZ2456" s="2" t="s">
        <v>82</v>
      </c>
      <c r="BA2456" s="2">
        <v>41</v>
      </c>
      <c r="BB2456" s="2" t="s">
        <v>82</v>
      </c>
      <c r="BC2456" s="2">
        <v>41</v>
      </c>
      <c r="BD2456" s="2" t="s">
        <v>82</v>
      </c>
      <c r="BE2456" s="2">
        <v>41</v>
      </c>
      <c r="BF2456" s="2" t="s">
        <v>82</v>
      </c>
      <c r="BG2456" s="2"/>
      <c r="BH2456" s="2"/>
      <c r="BI2456" s="2"/>
      <c r="BJ2456" s="2">
        <v>241</v>
      </c>
      <c r="BK2456" s="2" t="s">
        <v>82</v>
      </c>
      <c r="BL2456" s="2"/>
      <c r="BM2456" s="2">
        <v>241</v>
      </c>
      <c r="BN2456" s="2" t="s">
        <v>82</v>
      </c>
      <c r="BO2456" s="2"/>
      <c r="BP2456" s="2">
        <v>241</v>
      </c>
      <c r="BQ2456" s="2" t="s">
        <v>82</v>
      </c>
      <c r="BR2456" s="2"/>
      <c r="BS2456" s="3">
        <v>40341</v>
      </c>
      <c r="BT2456" s="4">
        <v>0.62456018518518519</v>
      </c>
    </row>
    <row r="2457" spans="1:72" x14ac:dyDescent="0.25">
      <c r="A2457" s="2">
        <v>3586</v>
      </c>
      <c r="B2457" s="2">
        <v>2010</v>
      </c>
      <c r="C2457" s="2" t="s">
        <v>93</v>
      </c>
      <c r="D2457" s="2" t="s">
        <v>73</v>
      </c>
      <c r="E2457" s="2"/>
      <c r="F2457" s="2">
        <v>192</v>
      </c>
      <c r="G2457" s="2" t="s">
        <v>8302</v>
      </c>
      <c r="H2457" s="2">
        <v>63</v>
      </c>
      <c r="I2457" s="2" t="s">
        <v>2911</v>
      </c>
      <c r="J2457" s="2">
        <v>585</v>
      </c>
      <c r="K2457" s="2" t="s">
        <v>8303</v>
      </c>
      <c r="L2457" s="2" t="s">
        <v>575</v>
      </c>
      <c r="M2457" s="3">
        <v>40341</v>
      </c>
      <c r="N2457" s="2" t="s">
        <v>2914</v>
      </c>
      <c r="O2457" s="2" t="s">
        <v>8304</v>
      </c>
      <c r="P2457" s="2">
        <v>116553</v>
      </c>
      <c r="Q2457" s="2" t="str">
        <f>"0083/2010"</f>
        <v>0083/2010</v>
      </c>
      <c r="R2457" s="2" t="s">
        <v>8305</v>
      </c>
      <c r="S2457" s="2"/>
      <c r="T2457" s="2">
        <v>1</v>
      </c>
      <c r="U2457" s="2" t="s">
        <v>79</v>
      </c>
      <c r="V2457" s="2">
        <v>1</v>
      </c>
      <c r="W2457" s="2" t="s">
        <v>80</v>
      </c>
      <c r="X2457" s="2">
        <v>3</v>
      </c>
      <c r="Y2457" s="2" t="s">
        <v>698</v>
      </c>
      <c r="Z2457" s="2">
        <v>9</v>
      </c>
      <c r="AA2457" s="2" t="s">
        <v>1119</v>
      </c>
      <c r="AB2457" s="2">
        <v>2</v>
      </c>
      <c r="AC2457" s="2" t="s">
        <v>102</v>
      </c>
      <c r="AD2457" s="3">
        <v>40341</v>
      </c>
      <c r="AE2457" s="4">
        <v>0.55208333333333337</v>
      </c>
      <c r="AF2457" s="2"/>
      <c r="AG2457" s="2"/>
      <c r="AH2457" s="2">
        <v>5</v>
      </c>
      <c r="AI2457" s="2" t="s">
        <v>274</v>
      </c>
      <c r="AJ2457" s="2">
        <v>38</v>
      </c>
      <c r="AK2457" s="2" t="s">
        <v>1120</v>
      </c>
      <c r="AL2457" s="2">
        <v>14</v>
      </c>
      <c r="AM2457" s="2" t="s">
        <v>216</v>
      </c>
      <c r="AN2457" s="2"/>
      <c r="AO2457" s="2" t="s">
        <v>5741</v>
      </c>
      <c r="AP2457" s="2">
        <v>11</v>
      </c>
      <c r="AQ2457" s="2" t="s">
        <v>82</v>
      </c>
      <c r="AR2457" s="2"/>
      <c r="AS2457" s="2"/>
      <c r="AT2457" s="2" t="s">
        <v>8306</v>
      </c>
      <c r="AU2457" s="2"/>
      <c r="AV2457" s="2"/>
      <c r="AW2457" s="2"/>
      <c r="AX2457" s="2"/>
      <c r="AY2457" s="2">
        <v>41</v>
      </c>
      <c r="AZ2457" s="2" t="s">
        <v>82</v>
      </c>
      <c r="BA2457" s="2">
        <v>41</v>
      </c>
      <c r="BB2457" s="2" t="s">
        <v>82</v>
      </c>
      <c r="BC2457" s="2">
        <v>41</v>
      </c>
      <c r="BD2457" s="2" t="s">
        <v>82</v>
      </c>
      <c r="BE2457" s="2">
        <v>4</v>
      </c>
      <c r="BF2457" s="2" t="s">
        <v>90</v>
      </c>
      <c r="BG2457" s="2">
        <v>4025</v>
      </c>
      <c r="BH2457" s="4">
        <v>0.55208333333333337</v>
      </c>
      <c r="BI2457" s="4">
        <v>0.57986111111111105</v>
      </c>
      <c r="BJ2457" s="2">
        <v>13</v>
      </c>
      <c r="BK2457" s="2" t="s">
        <v>91</v>
      </c>
      <c r="BL2457" s="2" t="s">
        <v>8307</v>
      </c>
      <c r="BM2457" s="2">
        <v>241</v>
      </c>
      <c r="BN2457" s="2" t="s">
        <v>82</v>
      </c>
      <c r="BO2457" s="2"/>
      <c r="BP2457" s="2">
        <v>13</v>
      </c>
      <c r="BQ2457" s="2" t="s">
        <v>91</v>
      </c>
      <c r="BR2457" s="2" t="s">
        <v>170</v>
      </c>
      <c r="BS2457" s="3">
        <v>40341</v>
      </c>
      <c r="BT2457" s="4">
        <v>0.65828703703703706</v>
      </c>
    </row>
    <row r="2458" spans="1:72" x14ac:dyDescent="0.25">
      <c r="A2458" s="2">
        <v>3587</v>
      </c>
      <c r="B2458" s="2">
        <v>2010</v>
      </c>
      <c r="C2458" s="2" t="s">
        <v>72</v>
      </c>
      <c r="D2458" s="2" t="s">
        <v>73</v>
      </c>
      <c r="E2458" s="2"/>
      <c r="F2458" s="2">
        <v>3</v>
      </c>
      <c r="G2458" s="2" t="s">
        <v>1041</v>
      </c>
      <c r="H2458" s="2">
        <v>50</v>
      </c>
      <c r="I2458" s="2" t="s">
        <v>107</v>
      </c>
      <c r="J2458" s="2">
        <v>368</v>
      </c>
      <c r="K2458" s="2" t="s">
        <v>1042</v>
      </c>
      <c r="L2458" s="2" t="s">
        <v>1043</v>
      </c>
      <c r="M2458" s="3">
        <v>40341</v>
      </c>
      <c r="N2458" s="2" t="s">
        <v>82</v>
      </c>
      <c r="O2458" s="2"/>
      <c r="P2458" s="2" t="s">
        <v>107</v>
      </c>
      <c r="Q2458" s="2" t="str">
        <f>"314-E/10"</f>
        <v>314-E/10</v>
      </c>
      <c r="R2458" s="2" t="s">
        <v>116</v>
      </c>
      <c r="S2458" s="2" t="s">
        <v>116</v>
      </c>
      <c r="T2458" s="2">
        <v>1</v>
      </c>
      <c r="U2458" s="2" t="s">
        <v>79</v>
      </c>
      <c r="V2458" s="2">
        <v>1</v>
      </c>
      <c r="W2458" s="2" t="s">
        <v>80</v>
      </c>
      <c r="X2458" s="2">
        <v>12</v>
      </c>
      <c r="Y2458" s="2" t="s">
        <v>148</v>
      </c>
      <c r="Z2458" s="2">
        <v>1</v>
      </c>
      <c r="AA2458" s="2" t="s">
        <v>82</v>
      </c>
      <c r="AB2458" s="2">
        <v>6</v>
      </c>
      <c r="AC2458" s="2" t="s">
        <v>83</v>
      </c>
      <c r="AD2458" s="3">
        <v>40339</v>
      </c>
      <c r="AE2458" s="4">
        <v>0.35416666666666669</v>
      </c>
      <c r="AF2458" s="3">
        <v>40341</v>
      </c>
      <c r="AG2458" s="4">
        <v>0.5</v>
      </c>
      <c r="AH2458" s="2">
        <v>2</v>
      </c>
      <c r="AI2458" s="2" t="s">
        <v>84</v>
      </c>
      <c r="AJ2458" s="2">
        <v>9</v>
      </c>
      <c r="AK2458" s="2" t="s">
        <v>103</v>
      </c>
      <c r="AL2458" s="2">
        <v>23</v>
      </c>
      <c r="AM2458" s="2" t="s">
        <v>251</v>
      </c>
      <c r="AN2458" s="2" t="s">
        <v>8308</v>
      </c>
      <c r="AO2458" s="2" t="s">
        <v>8309</v>
      </c>
      <c r="AP2458" s="2">
        <v>11</v>
      </c>
      <c r="AQ2458" s="2" t="s">
        <v>82</v>
      </c>
      <c r="AR2458" s="2"/>
      <c r="AS2458" s="2"/>
      <c r="AT2458" s="2" t="s">
        <v>8310</v>
      </c>
      <c r="AU2458" s="2"/>
      <c r="AV2458" s="2"/>
      <c r="AW2458" s="2"/>
      <c r="AX2458" s="2"/>
      <c r="AY2458" s="2">
        <v>41</v>
      </c>
      <c r="AZ2458" s="2" t="s">
        <v>82</v>
      </c>
      <c r="BA2458" s="2">
        <v>41</v>
      </c>
      <c r="BB2458" s="2" t="s">
        <v>82</v>
      </c>
      <c r="BC2458" s="2">
        <v>41</v>
      </c>
      <c r="BD2458" s="2" t="s">
        <v>82</v>
      </c>
      <c r="BE2458" s="2">
        <v>41</v>
      </c>
      <c r="BF2458" s="2" t="s">
        <v>82</v>
      </c>
      <c r="BG2458" s="2"/>
      <c r="BH2458" s="2"/>
      <c r="BI2458" s="2"/>
      <c r="BJ2458" s="2">
        <v>241</v>
      </c>
      <c r="BK2458" s="2" t="s">
        <v>82</v>
      </c>
      <c r="BL2458" s="2"/>
      <c r="BM2458" s="2">
        <v>241</v>
      </c>
      <c r="BN2458" s="2" t="s">
        <v>82</v>
      </c>
      <c r="BO2458" s="2"/>
      <c r="BP2458" s="2">
        <v>241</v>
      </c>
      <c r="BQ2458" s="2" t="s">
        <v>82</v>
      </c>
      <c r="BR2458" s="2"/>
      <c r="BS2458" s="3">
        <v>40341</v>
      </c>
      <c r="BT2458" s="4">
        <v>0.68240740740740735</v>
      </c>
    </row>
    <row r="2459" spans="1:72" x14ac:dyDescent="0.25">
      <c r="A2459" s="2">
        <v>3588</v>
      </c>
      <c r="B2459" s="2">
        <v>2010</v>
      </c>
      <c r="C2459" s="2" t="s">
        <v>1660</v>
      </c>
      <c r="D2459" s="2" t="s">
        <v>73</v>
      </c>
      <c r="E2459" s="2"/>
      <c r="F2459" s="2">
        <v>389</v>
      </c>
      <c r="G2459" s="2" t="s">
        <v>1819</v>
      </c>
      <c r="H2459" s="2">
        <v>4</v>
      </c>
      <c r="I2459" s="2" t="s">
        <v>173</v>
      </c>
      <c r="J2459" s="2">
        <v>399</v>
      </c>
      <c r="K2459" s="2" t="s">
        <v>1820</v>
      </c>
      <c r="L2459" s="2" t="s">
        <v>1821</v>
      </c>
      <c r="M2459" s="3">
        <v>40341</v>
      </c>
      <c r="N2459" s="2" t="s">
        <v>2621</v>
      </c>
      <c r="O2459" s="2" t="s">
        <v>107</v>
      </c>
      <c r="P2459" s="2" t="s">
        <v>107</v>
      </c>
      <c r="Q2459" s="2" t="str">
        <f>"315-E/10"</f>
        <v>315-E/10</v>
      </c>
      <c r="R2459" s="2" t="s">
        <v>8311</v>
      </c>
      <c r="S2459" s="2"/>
      <c r="T2459" s="2">
        <v>1</v>
      </c>
      <c r="U2459" s="2" t="s">
        <v>79</v>
      </c>
      <c r="V2459" s="2">
        <v>1</v>
      </c>
      <c r="W2459" s="2" t="s">
        <v>80</v>
      </c>
      <c r="X2459" s="2">
        <v>10</v>
      </c>
      <c r="Y2459" s="2" t="s">
        <v>226</v>
      </c>
      <c r="Z2459" s="2">
        <v>6</v>
      </c>
      <c r="AA2459" s="2" t="s">
        <v>101</v>
      </c>
      <c r="AB2459" s="2">
        <v>3</v>
      </c>
      <c r="AC2459" s="2" t="s">
        <v>1663</v>
      </c>
      <c r="AD2459" s="3">
        <v>40341</v>
      </c>
      <c r="AE2459" s="4">
        <v>0.39583333333333331</v>
      </c>
      <c r="AF2459" s="3">
        <v>40341</v>
      </c>
      <c r="AG2459" s="4">
        <v>0.54166666666666663</v>
      </c>
      <c r="AH2459" s="2">
        <v>2</v>
      </c>
      <c r="AI2459" s="2" t="s">
        <v>84</v>
      </c>
      <c r="AJ2459" s="2">
        <v>9</v>
      </c>
      <c r="AK2459" s="2" t="s">
        <v>103</v>
      </c>
      <c r="AL2459" s="2">
        <v>14</v>
      </c>
      <c r="AM2459" s="2" t="s">
        <v>216</v>
      </c>
      <c r="AN2459" s="2" t="s">
        <v>8312</v>
      </c>
      <c r="AO2459" s="2" t="s">
        <v>7664</v>
      </c>
      <c r="AP2459" s="2">
        <v>11</v>
      </c>
      <c r="AQ2459" s="2" t="s">
        <v>82</v>
      </c>
      <c r="AR2459" s="2"/>
      <c r="AS2459" s="2"/>
      <c r="AT2459" s="2" t="s">
        <v>8313</v>
      </c>
      <c r="AU2459" s="2"/>
      <c r="AV2459" s="2">
        <v>1</v>
      </c>
      <c r="AW2459" s="2"/>
      <c r="AX2459" s="2"/>
      <c r="AY2459" s="2">
        <v>41</v>
      </c>
      <c r="AZ2459" s="2" t="s">
        <v>82</v>
      </c>
      <c r="BA2459" s="2">
        <v>115</v>
      </c>
      <c r="BB2459" s="2" t="s">
        <v>101</v>
      </c>
      <c r="BC2459" s="2">
        <v>41</v>
      </c>
      <c r="BD2459" s="2" t="s">
        <v>82</v>
      </c>
      <c r="BE2459" s="2">
        <v>23</v>
      </c>
      <c r="BF2459" s="2" t="s">
        <v>183</v>
      </c>
      <c r="BG2459" s="2" t="s">
        <v>1375</v>
      </c>
      <c r="BH2459" s="4">
        <v>0.39930555555555558</v>
      </c>
      <c r="BI2459" s="2"/>
      <c r="BJ2459" s="2">
        <v>73</v>
      </c>
      <c r="BK2459" s="2" t="s">
        <v>186</v>
      </c>
      <c r="BL2459" s="2" t="s">
        <v>187</v>
      </c>
      <c r="BM2459" s="2">
        <v>241</v>
      </c>
      <c r="BN2459" s="2" t="s">
        <v>82</v>
      </c>
      <c r="BO2459" s="2"/>
      <c r="BP2459" s="2">
        <v>13</v>
      </c>
      <c r="BQ2459" s="2" t="s">
        <v>91</v>
      </c>
      <c r="BR2459" s="2" t="s">
        <v>360</v>
      </c>
      <c r="BS2459" s="3">
        <v>40341</v>
      </c>
      <c r="BT2459" s="4">
        <v>0.70628472222222216</v>
      </c>
    </row>
    <row r="2460" spans="1:72" x14ac:dyDescent="0.25">
      <c r="A2460" s="2">
        <v>3589</v>
      </c>
      <c r="B2460" s="2">
        <v>2010</v>
      </c>
      <c r="C2460" s="2" t="s">
        <v>121</v>
      </c>
      <c r="D2460" s="2" t="s">
        <v>122</v>
      </c>
      <c r="E2460" s="2"/>
      <c r="F2460" s="2">
        <v>1</v>
      </c>
      <c r="G2460" s="2" t="s">
        <v>82</v>
      </c>
      <c r="H2460" s="2">
        <v>1</v>
      </c>
      <c r="I2460" s="2" t="s">
        <v>82</v>
      </c>
      <c r="J2460" s="2">
        <v>1</v>
      </c>
      <c r="K2460" s="2" t="s">
        <v>107</v>
      </c>
      <c r="L2460" s="2" t="s">
        <v>107</v>
      </c>
      <c r="M2460" s="3">
        <v>40341</v>
      </c>
      <c r="N2460" s="2" t="s">
        <v>82</v>
      </c>
      <c r="O2460" s="2" t="s">
        <v>82</v>
      </c>
      <c r="P2460" s="2" t="s">
        <v>82</v>
      </c>
      <c r="Q2460" s="2" t="str">
        <f>"N/C"</f>
        <v>N/C</v>
      </c>
      <c r="R2460" s="2" t="s">
        <v>82</v>
      </c>
      <c r="S2460" s="2" t="s">
        <v>82</v>
      </c>
      <c r="T2460" s="2">
        <v>2</v>
      </c>
      <c r="U2460" s="2" t="s">
        <v>123</v>
      </c>
      <c r="V2460" s="2">
        <v>1</v>
      </c>
      <c r="W2460" s="2" t="s">
        <v>80</v>
      </c>
      <c r="X2460" s="2">
        <v>11</v>
      </c>
      <c r="Y2460" s="2" t="s">
        <v>1920</v>
      </c>
      <c r="Z2460" s="2">
        <v>1</v>
      </c>
      <c r="AA2460" s="2" t="s">
        <v>82</v>
      </c>
      <c r="AB2460" s="2">
        <v>9</v>
      </c>
      <c r="AC2460" s="2" t="s">
        <v>124</v>
      </c>
      <c r="AD2460" s="3">
        <v>40341</v>
      </c>
      <c r="AE2460" s="4">
        <v>0.64583333333333337</v>
      </c>
      <c r="AF2460" s="2"/>
      <c r="AG2460" s="2"/>
      <c r="AH2460" s="2">
        <v>2</v>
      </c>
      <c r="AI2460" s="2" t="s">
        <v>84</v>
      </c>
      <c r="AJ2460" s="2">
        <v>12</v>
      </c>
      <c r="AK2460" s="2" t="s">
        <v>85</v>
      </c>
      <c r="AL2460" s="2">
        <v>10</v>
      </c>
      <c r="AM2460" s="2" t="s">
        <v>200</v>
      </c>
      <c r="AN2460" s="2" t="s">
        <v>107</v>
      </c>
      <c r="AO2460" s="2" t="s">
        <v>8296</v>
      </c>
      <c r="AP2460" s="2">
        <v>11</v>
      </c>
      <c r="AQ2460" s="2" t="s">
        <v>82</v>
      </c>
      <c r="AR2460" s="2"/>
      <c r="AS2460" s="2"/>
      <c r="AT2460" s="2" t="s">
        <v>8314</v>
      </c>
      <c r="AU2460" s="2"/>
      <c r="AV2460" s="2"/>
      <c r="AW2460" s="2"/>
      <c r="AX2460" s="2"/>
      <c r="AY2460" s="2">
        <v>41</v>
      </c>
      <c r="AZ2460" s="2" t="s">
        <v>82</v>
      </c>
      <c r="BA2460" s="2">
        <v>41</v>
      </c>
      <c r="BB2460" s="2" t="s">
        <v>82</v>
      </c>
      <c r="BC2460" s="2">
        <v>41</v>
      </c>
      <c r="BD2460" s="2" t="s">
        <v>82</v>
      </c>
      <c r="BE2460" s="2">
        <v>13</v>
      </c>
      <c r="BF2460" s="2" t="s">
        <v>108</v>
      </c>
      <c r="BG2460" s="2">
        <v>1256</v>
      </c>
      <c r="BH2460" s="2"/>
      <c r="BI2460" s="4">
        <v>0.71875</v>
      </c>
      <c r="BJ2460" s="2">
        <v>13</v>
      </c>
      <c r="BK2460" s="2" t="s">
        <v>91</v>
      </c>
      <c r="BL2460" s="2" t="s">
        <v>185</v>
      </c>
      <c r="BM2460" s="2">
        <v>241</v>
      </c>
      <c r="BN2460" s="2" t="s">
        <v>82</v>
      </c>
      <c r="BO2460" s="2" t="s">
        <v>82</v>
      </c>
      <c r="BP2460" s="2">
        <v>33</v>
      </c>
      <c r="BQ2460" s="2" t="s">
        <v>361</v>
      </c>
      <c r="BR2460" s="2" t="s">
        <v>2723</v>
      </c>
      <c r="BS2460" s="3">
        <v>40341</v>
      </c>
      <c r="BT2460" s="4">
        <v>0.74810185185185185</v>
      </c>
    </row>
    <row r="2461" spans="1:72" x14ac:dyDescent="0.25">
      <c r="A2461" s="2">
        <v>3590</v>
      </c>
      <c r="B2461" s="2">
        <v>2010</v>
      </c>
      <c r="C2461" s="2" t="s">
        <v>171</v>
      </c>
      <c r="D2461" s="2" t="s">
        <v>73</v>
      </c>
      <c r="E2461" s="2"/>
      <c r="F2461" s="2">
        <v>396</v>
      </c>
      <c r="G2461" s="2" t="s">
        <v>2159</v>
      </c>
      <c r="H2461" s="2">
        <v>9</v>
      </c>
      <c r="I2461" s="2" t="s">
        <v>794</v>
      </c>
      <c r="J2461" s="2">
        <v>243</v>
      </c>
      <c r="K2461" s="2" t="s">
        <v>2160</v>
      </c>
      <c r="L2461" s="2" t="s">
        <v>2145</v>
      </c>
      <c r="M2461" s="3">
        <v>40341</v>
      </c>
      <c r="N2461" s="2" t="s">
        <v>2245</v>
      </c>
      <c r="O2461" s="2"/>
      <c r="P2461" s="2"/>
      <c r="Q2461" s="2" t="str">
        <f>"316-E/10"</f>
        <v>316-E/10</v>
      </c>
      <c r="R2461" s="2"/>
      <c r="S2461" s="2" t="s">
        <v>391</v>
      </c>
      <c r="T2461" s="2">
        <v>1</v>
      </c>
      <c r="U2461" s="2" t="s">
        <v>79</v>
      </c>
      <c r="V2461" s="2">
        <v>1</v>
      </c>
      <c r="W2461" s="2" t="s">
        <v>80</v>
      </c>
      <c r="X2461" s="2">
        <v>1</v>
      </c>
      <c r="Y2461" s="2" t="s">
        <v>81</v>
      </c>
      <c r="Z2461" s="2">
        <v>1</v>
      </c>
      <c r="AA2461" s="2" t="s">
        <v>82</v>
      </c>
      <c r="AB2461" s="2">
        <v>1</v>
      </c>
      <c r="AC2461" s="2" t="s">
        <v>178</v>
      </c>
      <c r="AD2461" s="3">
        <v>40341</v>
      </c>
      <c r="AE2461" s="4">
        <v>0.50694444444444442</v>
      </c>
      <c r="AF2461" s="2"/>
      <c r="AG2461" s="2"/>
      <c r="AH2461" s="2">
        <v>2</v>
      </c>
      <c r="AI2461" s="2" t="s">
        <v>84</v>
      </c>
      <c r="AJ2461" s="2">
        <v>9</v>
      </c>
      <c r="AK2461" s="2" t="s">
        <v>103</v>
      </c>
      <c r="AL2461" s="2">
        <v>11</v>
      </c>
      <c r="AM2461" s="2" t="s">
        <v>137</v>
      </c>
      <c r="AN2461" s="2" t="s">
        <v>8315</v>
      </c>
      <c r="AO2461" s="2" t="s">
        <v>8316</v>
      </c>
      <c r="AP2461" s="2">
        <v>11</v>
      </c>
      <c r="AQ2461" s="2" t="s">
        <v>82</v>
      </c>
      <c r="AR2461" s="2"/>
      <c r="AS2461" s="2"/>
      <c r="AT2461" s="2" t="s">
        <v>8317</v>
      </c>
      <c r="AU2461" s="2"/>
      <c r="AV2461" s="2">
        <v>1</v>
      </c>
      <c r="AW2461" s="2"/>
      <c r="AX2461" s="2"/>
      <c r="AY2461" s="2">
        <v>41</v>
      </c>
      <c r="AZ2461" s="2" t="s">
        <v>82</v>
      </c>
      <c r="BA2461" s="2">
        <v>41</v>
      </c>
      <c r="BB2461" s="2" t="s">
        <v>82</v>
      </c>
      <c r="BC2461" s="2">
        <v>41</v>
      </c>
      <c r="BD2461" s="2" t="s">
        <v>82</v>
      </c>
      <c r="BE2461" s="2">
        <v>31</v>
      </c>
      <c r="BF2461" s="2" t="s">
        <v>398</v>
      </c>
      <c r="BG2461" s="2" t="s">
        <v>399</v>
      </c>
      <c r="BH2461" s="2"/>
      <c r="BI2461" s="4">
        <v>0.52777777777777779</v>
      </c>
      <c r="BJ2461" s="2">
        <v>13</v>
      </c>
      <c r="BK2461" s="2" t="s">
        <v>91</v>
      </c>
      <c r="BL2461" s="2" t="s">
        <v>360</v>
      </c>
      <c r="BM2461" s="2">
        <v>241</v>
      </c>
      <c r="BN2461" s="2" t="s">
        <v>82</v>
      </c>
      <c r="BO2461" s="2"/>
      <c r="BP2461" s="2">
        <v>73</v>
      </c>
      <c r="BQ2461" s="2" t="s">
        <v>186</v>
      </c>
      <c r="BR2461" s="2" t="s">
        <v>187</v>
      </c>
      <c r="BS2461" s="3">
        <v>40341</v>
      </c>
      <c r="BT2461" s="4">
        <v>0.92923611111111104</v>
      </c>
    </row>
    <row r="2462" spans="1:72" x14ac:dyDescent="0.25">
      <c r="A2462" s="2">
        <v>3591</v>
      </c>
      <c r="B2462" s="2">
        <v>2010</v>
      </c>
      <c r="C2462" s="2" t="s">
        <v>93</v>
      </c>
      <c r="D2462" s="2" t="s">
        <v>73</v>
      </c>
      <c r="E2462" s="2"/>
      <c r="F2462" s="2">
        <v>639</v>
      </c>
      <c r="G2462" s="2" t="s">
        <v>8318</v>
      </c>
      <c r="H2462" s="2">
        <v>50</v>
      </c>
      <c r="I2462" s="2" t="s">
        <v>107</v>
      </c>
      <c r="J2462" s="2">
        <v>586</v>
      </c>
      <c r="K2462" s="2" t="s">
        <v>8319</v>
      </c>
      <c r="L2462" s="2" t="s">
        <v>8320</v>
      </c>
      <c r="M2462" s="3">
        <v>40342</v>
      </c>
      <c r="N2462" s="2" t="s">
        <v>82</v>
      </c>
      <c r="O2462" s="2" t="s">
        <v>8321</v>
      </c>
      <c r="P2462" s="2" t="s">
        <v>8322</v>
      </c>
      <c r="Q2462" s="2" t="str">
        <f>"N/C"</f>
        <v>N/C</v>
      </c>
      <c r="R2462" s="2" t="s">
        <v>602</v>
      </c>
      <c r="S2462" s="2"/>
      <c r="T2462" s="2">
        <v>1</v>
      </c>
      <c r="U2462" s="2" t="s">
        <v>79</v>
      </c>
      <c r="V2462" s="2">
        <v>1</v>
      </c>
      <c r="W2462" s="2" t="s">
        <v>80</v>
      </c>
      <c r="X2462" s="2">
        <v>10</v>
      </c>
      <c r="Y2462" s="2" t="s">
        <v>226</v>
      </c>
      <c r="Z2462" s="2">
        <v>6</v>
      </c>
      <c r="AA2462" s="2" t="s">
        <v>101</v>
      </c>
      <c r="AB2462" s="2">
        <v>2</v>
      </c>
      <c r="AC2462" s="2" t="s">
        <v>102</v>
      </c>
      <c r="AD2462" s="3">
        <v>40342</v>
      </c>
      <c r="AE2462" s="4">
        <v>0.1875</v>
      </c>
      <c r="AF2462" s="3">
        <v>40342</v>
      </c>
      <c r="AG2462" s="4">
        <v>0.20138888888888887</v>
      </c>
      <c r="AH2462" s="2">
        <v>2</v>
      </c>
      <c r="AI2462" s="2" t="s">
        <v>84</v>
      </c>
      <c r="AJ2462" s="2">
        <v>9</v>
      </c>
      <c r="AK2462" s="2" t="s">
        <v>103</v>
      </c>
      <c r="AL2462" s="2">
        <v>14</v>
      </c>
      <c r="AM2462" s="2" t="s">
        <v>216</v>
      </c>
      <c r="AN2462" s="2" t="s">
        <v>4116</v>
      </c>
      <c r="AO2462" s="2" t="s">
        <v>7664</v>
      </c>
      <c r="AP2462" s="2">
        <v>11</v>
      </c>
      <c r="AQ2462" s="2" t="s">
        <v>82</v>
      </c>
      <c r="AR2462" s="2"/>
      <c r="AS2462" s="2"/>
      <c r="AT2462" s="2" t="s">
        <v>8323</v>
      </c>
      <c r="AU2462" s="2">
        <v>1</v>
      </c>
      <c r="AV2462" s="2"/>
      <c r="AW2462" s="2"/>
      <c r="AX2462" s="2"/>
      <c r="AY2462" s="2">
        <v>41</v>
      </c>
      <c r="AZ2462" s="2" t="s">
        <v>82</v>
      </c>
      <c r="BA2462" s="2">
        <v>41</v>
      </c>
      <c r="BB2462" s="2" t="s">
        <v>82</v>
      </c>
      <c r="BC2462" s="2">
        <v>41</v>
      </c>
      <c r="BD2462" s="2" t="s">
        <v>82</v>
      </c>
      <c r="BE2462" s="2">
        <v>20</v>
      </c>
      <c r="BF2462" s="2" t="s">
        <v>1681</v>
      </c>
      <c r="BG2462" s="2" t="s">
        <v>8324</v>
      </c>
      <c r="BH2462" s="2"/>
      <c r="BI2462" s="2"/>
      <c r="BJ2462" s="2">
        <v>173</v>
      </c>
      <c r="BK2462" s="2" t="s">
        <v>223</v>
      </c>
      <c r="BL2462" s="2" t="s">
        <v>224</v>
      </c>
      <c r="BM2462" s="2">
        <v>241</v>
      </c>
      <c r="BN2462" s="2" t="s">
        <v>82</v>
      </c>
      <c r="BO2462" s="2" t="s">
        <v>82</v>
      </c>
      <c r="BP2462" s="2">
        <v>13</v>
      </c>
      <c r="BQ2462" s="2" t="s">
        <v>91</v>
      </c>
      <c r="BR2462" s="2" t="s">
        <v>360</v>
      </c>
      <c r="BS2462" s="3">
        <v>40342</v>
      </c>
      <c r="BT2462" s="4">
        <v>0.39135416666666667</v>
      </c>
    </row>
    <row r="2463" spans="1:72" x14ac:dyDescent="0.25">
      <c r="A2463" s="2">
        <v>3592</v>
      </c>
      <c r="B2463" s="2">
        <v>2010</v>
      </c>
      <c r="C2463" s="2" t="s">
        <v>121</v>
      </c>
      <c r="D2463" s="2" t="s">
        <v>122</v>
      </c>
      <c r="E2463" s="2"/>
      <c r="F2463" s="2">
        <v>1</v>
      </c>
      <c r="G2463" s="2" t="s">
        <v>82</v>
      </c>
      <c r="H2463" s="2">
        <v>1</v>
      </c>
      <c r="I2463" s="2" t="s">
        <v>82</v>
      </c>
      <c r="J2463" s="2">
        <v>1</v>
      </c>
      <c r="K2463" s="2" t="s">
        <v>107</v>
      </c>
      <c r="L2463" s="2" t="s">
        <v>107</v>
      </c>
      <c r="M2463" s="3">
        <v>40342</v>
      </c>
      <c r="N2463" s="2"/>
      <c r="O2463" s="2"/>
      <c r="P2463" s="2"/>
      <c r="Q2463" s="2" t="str">
        <f>""</f>
        <v/>
      </c>
      <c r="R2463" s="2"/>
      <c r="S2463" s="2"/>
      <c r="T2463" s="2">
        <v>2</v>
      </c>
      <c r="U2463" s="2" t="s">
        <v>123</v>
      </c>
      <c r="V2463" s="2">
        <v>1</v>
      </c>
      <c r="W2463" s="2" t="s">
        <v>80</v>
      </c>
      <c r="X2463" s="2">
        <v>11</v>
      </c>
      <c r="Y2463" s="2" t="s">
        <v>1920</v>
      </c>
      <c r="Z2463" s="2">
        <v>10</v>
      </c>
      <c r="AA2463" s="2" t="s">
        <v>236</v>
      </c>
      <c r="AB2463" s="2">
        <v>9</v>
      </c>
      <c r="AC2463" s="2" t="s">
        <v>124</v>
      </c>
      <c r="AD2463" s="3">
        <v>40342</v>
      </c>
      <c r="AE2463" s="4">
        <v>0.375</v>
      </c>
      <c r="AF2463" s="2"/>
      <c r="AG2463" s="2"/>
      <c r="AH2463" s="2">
        <v>5</v>
      </c>
      <c r="AI2463" s="2" t="s">
        <v>274</v>
      </c>
      <c r="AJ2463" s="2">
        <v>36</v>
      </c>
      <c r="AK2463" s="2" t="s">
        <v>8325</v>
      </c>
      <c r="AL2463" s="2">
        <v>25</v>
      </c>
      <c r="AM2463" s="2" t="s">
        <v>3073</v>
      </c>
      <c r="AN2463" s="2" t="s">
        <v>473</v>
      </c>
      <c r="AO2463" s="2" t="s">
        <v>200</v>
      </c>
      <c r="AP2463" s="2">
        <v>11</v>
      </c>
      <c r="AQ2463" s="2" t="s">
        <v>82</v>
      </c>
      <c r="AR2463" s="2" t="s">
        <v>82</v>
      </c>
      <c r="AS2463" s="2" t="s">
        <v>82</v>
      </c>
      <c r="AT2463" s="2" t="s">
        <v>8326</v>
      </c>
      <c r="AU2463" s="2"/>
      <c r="AV2463" s="2"/>
      <c r="AW2463" s="2"/>
      <c r="AX2463" s="2"/>
      <c r="AY2463" s="2">
        <v>1</v>
      </c>
      <c r="AZ2463" s="2" t="s">
        <v>107</v>
      </c>
      <c r="BA2463" s="2">
        <v>1</v>
      </c>
      <c r="BB2463" s="2" t="s">
        <v>107</v>
      </c>
      <c r="BC2463" s="2">
        <v>1</v>
      </c>
      <c r="BD2463" s="2" t="s">
        <v>107</v>
      </c>
      <c r="BE2463" s="2">
        <v>41</v>
      </c>
      <c r="BF2463" s="2" t="s">
        <v>82</v>
      </c>
      <c r="BG2463" s="2" t="s">
        <v>8327</v>
      </c>
      <c r="BH2463" s="4">
        <v>0.375</v>
      </c>
      <c r="BI2463" s="4">
        <v>8.3333333333333329E-2</v>
      </c>
      <c r="BJ2463" s="2">
        <v>33</v>
      </c>
      <c r="BK2463" s="2" t="s">
        <v>361</v>
      </c>
      <c r="BL2463" s="2" t="s">
        <v>8328</v>
      </c>
      <c r="BM2463" s="2">
        <v>13</v>
      </c>
      <c r="BN2463" s="2" t="s">
        <v>91</v>
      </c>
      <c r="BO2463" s="2" t="s">
        <v>607</v>
      </c>
      <c r="BP2463" s="2">
        <v>13</v>
      </c>
      <c r="BQ2463" s="2" t="s">
        <v>91</v>
      </c>
      <c r="BR2463" s="2" t="s">
        <v>3140</v>
      </c>
      <c r="BS2463" s="3">
        <v>40342</v>
      </c>
      <c r="BT2463" s="4">
        <v>0.43275462962962963</v>
      </c>
    </row>
    <row r="2464" spans="1:72" x14ac:dyDescent="0.25">
      <c r="A2464" s="2">
        <v>3593</v>
      </c>
      <c r="B2464" s="2">
        <v>2010</v>
      </c>
      <c r="C2464" s="2" t="s">
        <v>4543</v>
      </c>
      <c r="D2464" s="2" t="s">
        <v>122</v>
      </c>
      <c r="E2464" s="2"/>
      <c r="F2464" s="2">
        <v>146</v>
      </c>
      <c r="G2464" s="2" t="s">
        <v>753</v>
      </c>
      <c r="H2464" s="2">
        <v>39</v>
      </c>
      <c r="I2464" s="2" t="s">
        <v>1117</v>
      </c>
      <c r="J2464" s="2">
        <v>161</v>
      </c>
      <c r="K2464" s="2" t="s">
        <v>1900</v>
      </c>
      <c r="L2464" s="2" t="s">
        <v>1901</v>
      </c>
      <c r="M2464" s="3">
        <v>40342</v>
      </c>
      <c r="N2464" s="2" t="s">
        <v>5044</v>
      </c>
      <c r="O2464" s="2" t="s">
        <v>8329</v>
      </c>
      <c r="P2464" s="2" t="s">
        <v>8330</v>
      </c>
      <c r="Q2464" s="2" t="str">
        <f>"N/C"</f>
        <v>N/C</v>
      </c>
      <c r="R2464" s="2" t="s">
        <v>82</v>
      </c>
      <c r="S2464" s="2" t="s">
        <v>82</v>
      </c>
      <c r="T2464" s="2">
        <v>2</v>
      </c>
      <c r="U2464" s="2" t="s">
        <v>123</v>
      </c>
      <c r="V2464" s="2">
        <v>1</v>
      </c>
      <c r="W2464" s="2" t="s">
        <v>80</v>
      </c>
      <c r="X2464" s="2">
        <v>4</v>
      </c>
      <c r="Y2464" s="2" t="s">
        <v>463</v>
      </c>
      <c r="Z2464" s="2">
        <v>10</v>
      </c>
      <c r="AA2464" s="2" t="s">
        <v>236</v>
      </c>
      <c r="AB2464" s="2">
        <v>9</v>
      </c>
      <c r="AC2464" s="2" t="s">
        <v>124</v>
      </c>
      <c r="AD2464" s="3">
        <v>40342</v>
      </c>
      <c r="AE2464" s="4">
        <v>0.47222222222222227</v>
      </c>
      <c r="AF2464" s="2"/>
      <c r="AG2464" s="2"/>
      <c r="AH2464" s="2">
        <v>6</v>
      </c>
      <c r="AI2464" s="2" t="s">
        <v>197</v>
      </c>
      <c r="AJ2464" s="2">
        <v>60</v>
      </c>
      <c r="AK2464" s="2" t="s">
        <v>543</v>
      </c>
      <c r="AL2464" s="2">
        <v>19</v>
      </c>
      <c r="AM2464" s="2" t="s">
        <v>107</v>
      </c>
      <c r="AN2464" s="2" t="s">
        <v>82</v>
      </c>
      <c r="AO2464" s="2" t="s">
        <v>2249</v>
      </c>
      <c r="AP2464" s="2">
        <v>11</v>
      </c>
      <c r="AQ2464" s="2" t="s">
        <v>82</v>
      </c>
      <c r="AR2464" s="2"/>
      <c r="AS2464" s="2"/>
      <c r="AT2464" s="2" t="s">
        <v>8331</v>
      </c>
      <c r="AU2464" s="2"/>
      <c r="AV2464" s="2"/>
      <c r="AW2464" s="2"/>
      <c r="AX2464" s="2"/>
      <c r="AY2464" s="2">
        <v>41</v>
      </c>
      <c r="AZ2464" s="2" t="s">
        <v>82</v>
      </c>
      <c r="BA2464" s="2">
        <v>41</v>
      </c>
      <c r="BB2464" s="2" t="s">
        <v>82</v>
      </c>
      <c r="BC2464" s="2">
        <v>41</v>
      </c>
      <c r="BD2464" s="2" t="s">
        <v>82</v>
      </c>
      <c r="BE2464" s="2">
        <v>49</v>
      </c>
      <c r="BF2464" s="2" t="s">
        <v>1254</v>
      </c>
      <c r="BG2464" s="2" t="s">
        <v>8332</v>
      </c>
      <c r="BH2464" s="4">
        <v>0.4236111111111111</v>
      </c>
      <c r="BI2464" s="4">
        <v>0.47222222222222227</v>
      </c>
      <c r="BJ2464" s="2">
        <v>13</v>
      </c>
      <c r="BK2464" s="2" t="s">
        <v>91</v>
      </c>
      <c r="BL2464" s="2" t="s">
        <v>895</v>
      </c>
      <c r="BM2464" s="2">
        <v>13</v>
      </c>
      <c r="BN2464" s="2" t="s">
        <v>91</v>
      </c>
      <c r="BO2464" s="2" t="s">
        <v>6083</v>
      </c>
      <c r="BP2464" s="2">
        <v>13</v>
      </c>
      <c r="BQ2464" s="2" t="s">
        <v>91</v>
      </c>
      <c r="BR2464" s="2" t="s">
        <v>353</v>
      </c>
      <c r="BS2464" s="3">
        <v>40342</v>
      </c>
      <c r="BT2464" s="4">
        <v>0.49619212962962966</v>
      </c>
    </row>
    <row r="2465" spans="1:72" x14ac:dyDescent="0.25">
      <c r="A2465" s="2">
        <v>3594</v>
      </c>
      <c r="B2465" s="2">
        <v>2010</v>
      </c>
      <c r="C2465" s="2" t="s">
        <v>819</v>
      </c>
      <c r="D2465" s="2" t="s">
        <v>73</v>
      </c>
      <c r="E2465" s="2"/>
      <c r="F2465" s="2">
        <v>310</v>
      </c>
      <c r="G2465" s="2" t="s">
        <v>3186</v>
      </c>
      <c r="H2465" s="2">
        <v>2</v>
      </c>
      <c r="I2465" s="2" t="s">
        <v>267</v>
      </c>
      <c r="J2465" s="2">
        <v>371</v>
      </c>
      <c r="K2465" s="2" t="s">
        <v>1138</v>
      </c>
      <c r="L2465" s="2" t="s">
        <v>1139</v>
      </c>
      <c r="M2465" s="3">
        <v>40342</v>
      </c>
      <c r="N2465" s="2" t="s">
        <v>5441</v>
      </c>
      <c r="O2465" s="2"/>
      <c r="P2465" s="2"/>
      <c r="Q2465" s="2" t="str">
        <f>"0084/2010"</f>
        <v>0084/2010</v>
      </c>
      <c r="R2465" s="2"/>
      <c r="S2465" s="2" t="s">
        <v>2003</v>
      </c>
      <c r="T2465" s="2">
        <v>1</v>
      </c>
      <c r="U2465" s="2" t="s">
        <v>79</v>
      </c>
      <c r="V2465" s="2">
        <v>1</v>
      </c>
      <c r="W2465" s="2" t="s">
        <v>80</v>
      </c>
      <c r="X2465" s="2">
        <v>1</v>
      </c>
      <c r="Y2465" s="2" t="s">
        <v>81</v>
      </c>
      <c r="Z2465" s="2">
        <v>1</v>
      </c>
      <c r="AA2465" s="2" t="s">
        <v>82</v>
      </c>
      <c r="AB2465" s="2">
        <v>9</v>
      </c>
      <c r="AC2465" s="2" t="s">
        <v>124</v>
      </c>
      <c r="AD2465" s="3">
        <v>40342</v>
      </c>
      <c r="AE2465" s="4">
        <v>0.43055555555555558</v>
      </c>
      <c r="AF2465" s="2"/>
      <c r="AG2465" s="2"/>
      <c r="AH2465" s="2">
        <v>5</v>
      </c>
      <c r="AI2465" s="2" t="s">
        <v>274</v>
      </c>
      <c r="AJ2465" s="2">
        <v>38</v>
      </c>
      <c r="AK2465" s="2" t="s">
        <v>1120</v>
      </c>
      <c r="AL2465" s="2">
        <v>14</v>
      </c>
      <c r="AM2465" s="2" t="s">
        <v>216</v>
      </c>
      <c r="AN2465" s="2"/>
      <c r="AO2465" s="2" t="s">
        <v>8333</v>
      </c>
      <c r="AP2465" s="2">
        <v>11</v>
      </c>
      <c r="AQ2465" s="2" t="s">
        <v>82</v>
      </c>
      <c r="AR2465" s="2"/>
      <c r="AS2465" s="2"/>
      <c r="AT2465" s="2" t="s">
        <v>8334</v>
      </c>
      <c r="AU2465" s="2"/>
      <c r="AV2465" s="2"/>
      <c r="AW2465" s="2"/>
      <c r="AX2465" s="2"/>
      <c r="AY2465" s="2">
        <v>41</v>
      </c>
      <c r="AZ2465" s="2" t="s">
        <v>82</v>
      </c>
      <c r="BA2465" s="2">
        <v>41</v>
      </c>
      <c r="BB2465" s="2" t="s">
        <v>82</v>
      </c>
      <c r="BC2465" s="2">
        <v>41</v>
      </c>
      <c r="BD2465" s="2" t="s">
        <v>82</v>
      </c>
      <c r="BE2465" s="2">
        <v>47</v>
      </c>
      <c r="BF2465" s="2" t="s">
        <v>167</v>
      </c>
      <c r="BG2465" s="2">
        <v>2721</v>
      </c>
      <c r="BH2465" s="4">
        <v>0.40972222222222227</v>
      </c>
      <c r="BI2465" s="4">
        <v>0.4375</v>
      </c>
      <c r="BJ2465" s="2">
        <v>13</v>
      </c>
      <c r="BK2465" s="2" t="s">
        <v>91</v>
      </c>
      <c r="BL2465" s="2" t="s">
        <v>8307</v>
      </c>
      <c r="BM2465" s="2">
        <v>241</v>
      </c>
      <c r="BN2465" s="2" t="s">
        <v>82</v>
      </c>
      <c r="BO2465" s="2"/>
      <c r="BP2465" s="2">
        <v>13</v>
      </c>
      <c r="BQ2465" s="2" t="s">
        <v>91</v>
      </c>
      <c r="BR2465" s="2" t="s">
        <v>170</v>
      </c>
      <c r="BS2465" s="3">
        <v>40342</v>
      </c>
      <c r="BT2465" s="4">
        <v>0.50288194444444445</v>
      </c>
    </row>
    <row r="2466" spans="1:72" x14ac:dyDescent="0.25">
      <c r="A2466" s="2">
        <v>3595</v>
      </c>
      <c r="B2466" s="2">
        <v>2010</v>
      </c>
      <c r="C2466" s="2" t="s">
        <v>4543</v>
      </c>
      <c r="D2466" s="2" t="s">
        <v>122</v>
      </c>
      <c r="E2466" s="2"/>
      <c r="F2466" s="2">
        <v>146</v>
      </c>
      <c r="G2466" s="2" t="s">
        <v>753</v>
      </c>
      <c r="H2466" s="2">
        <v>24</v>
      </c>
      <c r="I2466" s="2" t="s">
        <v>287</v>
      </c>
      <c r="J2466" s="2">
        <v>161</v>
      </c>
      <c r="K2466" s="2" t="s">
        <v>1900</v>
      </c>
      <c r="L2466" s="2" t="s">
        <v>1901</v>
      </c>
      <c r="M2466" s="3">
        <v>40342</v>
      </c>
      <c r="N2466" s="2" t="s">
        <v>5044</v>
      </c>
      <c r="O2466" s="2" t="s">
        <v>8335</v>
      </c>
      <c r="P2466" s="2" t="s">
        <v>8336</v>
      </c>
      <c r="Q2466" s="2" t="str">
        <f>"N/C"</f>
        <v>N/C</v>
      </c>
      <c r="R2466" s="2" t="s">
        <v>82</v>
      </c>
      <c r="S2466" s="2" t="s">
        <v>82</v>
      </c>
      <c r="T2466" s="2">
        <v>2</v>
      </c>
      <c r="U2466" s="2" t="s">
        <v>123</v>
      </c>
      <c r="V2466" s="2">
        <v>1</v>
      </c>
      <c r="W2466" s="2" t="s">
        <v>80</v>
      </c>
      <c r="X2466" s="2">
        <v>4</v>
      </c>
      <c r="Y2466" s="2" t="s">
        <v>463</v>
      </c>
      <c r="Z2466" s="2">
        <v>10</v>
      </c>
      <c r="AA2466" s="2" t="s">
        <v>236</v>
      </c>
      <c r="AB2466" s="2">
        <v>9</v>
      </c>
      <c r="AC2466" s="2" t="s">
        <v>124</v>
      </c>
      <c r="AD2466" s="3">
        <v>40342</v>
      </c>
      <c r="AE2466" s="4">
        <v>0.47222222222222227</v>
      </c>
      <c r="AF2466" s="2"/>
      <c r="AG2466" s="2"/>
      <c r="AH2466" s="2">
        <v>6</v>
      </c>
      <c r="AI2466" s="2" t="s">
        <v>197</v>
      </c>
      <c r="AJ2466" s="2">
        <v>60</v>
      </c>
      <c r="AK2466" s="2" t="s">
        <v>543</v>
      </c>
      <c r="AL2466" s="2">
        <v>19</v>
      </c>
      <c r="AM2466" s="2" t="s">
        <v>107</v>
      </c>
      <c r="AN2466" s="2" t="s">
        <v>82</v>
      </c>
      <c r="AO2466" s="2" t="s">
        <v>2249</v>
      </c>
      <c r="AP2466" s="2">
        <v>11</v>
      </c>
      <c r="AQ2466" s="2" t="s">
        <v>82</v>
      </c>
      <c r="AR2466" s="2"/>
      <c r="AS2466" s="2"/>
      <c r="AT2466" s="2" t="s">
        <v>8337</v>
      </c>
      <c r="AU2466" s="2"/>
      <c r="AV2466" s="2"/>
      <c r="AW2466" s="2"/>
      <c r="AX2466" s="2"/>
      <c r="AY2466" s="2">
        <v>41</v>
      </c>
      <c r="AZ2466" s="2" t="s">
        <v>82</v>
      </c>
      <c r="BA2466" s="2">
        <v>41</v>
      </c>
      <c r="BB2466" s="2" t="s">
        <v>82</v>
      </c>
      <c r="BC2466" s="2">
        <v>41</v>
      </c>
      <c r="BD2466" s="2" t="s">
        <v>82</v>
      </c>
      <c r="BE2466" s="2">
        <v>49</v>
      </c>
      <c r="BF2466" s="2" t="s">
        <v>1254</v>
      </c>
      <c r="BG2466" s="2" t="s">
        <v>8338</v>
      </c>
      <c r="BH2466" s="4">
        <v>0.4236111111111111</v>
      </c>
      <c r="BI2466" s="4">
        <v>0.47222222222222227</v>
      </c>
      <c r="BJ2466" s="2">
        <v>13</v>
      </c>
      <c r="BK2466" s="2" t="s">
        <v>91</v>
      </c>
      <c r="BL2466" s="2" t="s">
        <v>895</v>
      </c>
      <c r="BM2466" s="2">
        <v>13</v>
      </c>
      <c r="BN2466" s="2" t="s">
        <v>91</v>
      </c>
      <c r="BO2466" s="2" t="s">
        <v>6083</v>
      </c>
      <c r="BP2466" s="2">
        <v>13</v>
      </c>
      <c r="BQ2466" s="2" t="s">
        <v>91</v>
      </c>
      <c r="BR2466" s="2" t="s">
        <v>353</v>
      </c>
      <c r="BS2466" s="3">
        <v>40342</v>
      </c>
      <c r="BT2466" s="4">
        <v>0.50813657407407409</v>
      </c>
    </row>
    <row r="2467" spans="1:72" x14ac:dyDescent="0.25">
      <c r="A2467" s="2">
        <v>3596</v>
      </c>
      <c r="B2467" s="2">
        <v>2010</v>
      </c>
      <c r="C2467" s="2" t="s">
        <v>1094</v>
      </c>
      <c r="D2467" s="2" t="s">
        <v>73</v>
      </c>
      <c r="E2467" s="2"/>
      <c r="F2467" s="2">
        <v>3</v>
      </c>
      <c r="G2467" s="2" t="s">
        <v>1041</v>
      </c>
      <c r="H2467" s="2">
        <v>1</v>
      </c>
      <c r="I2467" s="2" t="s">
        <v>82</v>
      </c>
      <c r="J2467" s="2">
        <v>368</v>
      </c>
      <c r="K2467" s="2" t="s">
        <v>1042</v>
      </c>
      <c r="L2467" s="2" t="s">
        <v>1043</v>
      </c>
      <c r="M2467" s="3">
        <v>40342</v>
      </c>
      <c r="N2467" s="2" t="s">
        <v>107</v>
      </c>
      <c r="O2467" s="2" t="s">
        <v>107</v>
      </c>
      <c r="P2467" s="2" t="s">
        <v>107</v>
      </c>
      <c r="Q2467" s="2" t="str">
        <f>"317-E/10"</f>
        <v>317-E/10</v>
      </c>
      <c r="R2467" s="2" t="s">
        <v>8339</v>
      </c>
      <c r="S2467" s="2"/>
      <c r="T2467" s="2">
        <v>1</v>
      </c>
      <c r="U2467" s="2" t="s">
        <v>79</v>
      </c>
      <c r="V2467" s="2">
        <v>1</v>
      </c>
      <c r="W2467" s="2" t="s">
        <v>80</v>
      </c>
      <c r="X2467" s="2">
        <v>12</v>
      </c>
      <c r="Y2467" s="2" t="s">
        <v>148</v>
      </c>
      <c r="Z2467" s="2">
        <v>1</v>
      </c>
      <c r="AA2467" s="2" t="s">
        <v>82</v>
      </c>
      <c r="AB2467" s="2">
        <v>9</v>
      </c>
      <c r="AC2467" s="2" t="s">
        <v>124</v>
      </c>
      <c r="AD2467" s="3">
        <v>40342</v>
      </c>
      <c r="AE2467" s="4">
        <v>0.27083333333333331</v>
      </c>
      <c r="AF2467" s="3">
        <v>40342</v>
      </c>
      <c r="AG2467" s="4">
        <v>0.40625</v>
      </c>
      <c r="AH2467" s="2">
        <v>2</v>
      </c>
      <c r="AI2467" s="2" t="s">
        <v>84</v>
      </c>
      <c r="AJ2467" s="2">
        <v>9</v>
      </c>
      <c r="AK2467" s="2" t="s">
        <v>103</v>
      </c>
      <c r="AL2467" s="2">
        <v>14</v>
      </c>
      <c r="AM2467" s="2" t="s">
        <v>216</v>
      </c>
      <c r="AN2467" s="2" t="s">
        <v>8340</v>
      </c>
      <c r="AO2467" s="2" t="s">
        <v>8341</v>
      </c>
      <c r="AP2467" s="2">
        <v>11</v>
      </c>
      <c r="AQ2467" s="2" t="s">
        <v>82</v>
      </c>
      <c r="AR2467" s="2"/>
      <c r="AS2467" s="2"/>
      <c r="AT2467" s="2" t="s">
        <v>8342</v>
      </c>
      <c r="AU2467" s="2"/>
      <c r="AV2467" s="2"/>
      <c r="AW2467" s="2"/>
      <c r="AX2467" s="2"/>
      <c r="AY2467" s="2">
        <v>41</v>
      </c>
      <c r="AZ2467" s="2" t="s">
        <v>82</v>
      </c>
      <c r="BA2467" s="2">
        <v>41</v>
      </c>
      <c r="BB2467" s="2" t="s">
        <v>82</v>
      </c>
      <c r="BC2467" s="2">
        <v>41</v>
      </c>
      <c r="BD2467" s="2" t="s">
        <v>82</v>
      </c>
      <c r="BE2467" s="2">
        <v>41</v>
      </c>
      <c r="BF2467" s="2" t="s">
        <v>82</v>
      </c>
      <c r="BG2467" s="2"/>
      <c r="BH2467" s="2"/>
      <c r="BI2467" s="2"/>
      <c r="BJ2467" s="2">
        <v>241</v>
      </c>
      <c r="BK2467" s="2" t="s">
        <v>82</v>
      </c>
      <c r="BL2467" s="2"/>
      <c r="BM2467" s="2">
        <v>241</v>
      </c>
      <c r="BN2467" s="2" t="s">
        <v>82</v>
      </c>
      <c r="BO2467" s="2"/>
      <c r="BP2467" s="2">
        <v>241</v>
      </c>
      <c r="BQ2467" s="2" t="s">
        <v>82</v>
      </c>
      <c r="BR2467" s="2"/>
      <c r="BS2467" s="3">
        <v>40342</v>
      </c>
      <c r="BT2467" s="4">
        <v>0.5433217592592593</v>
      </c>
    </row>
    <row r="2468" spans="1:72" x14ac:dyDescent="0.25">
      <c r="A2468" s="2">
        <v>3597</v>
      </c>
      <c r="B2468" s="2">
        <v>2010</v>
      </c>
      <c r="C2468" s="2" t="s">
        <v>72</v>
      </c>
      <c r="D2468" s="2" t="s">
        <v>73</v>
      </c>
      <c r="E2468" s="2"/>
      <c r="F2468" s="2">
        <v>389</v>
      </c>
      <c r="G2468" s="2" t="s">
        <v>1819</v>
      </c>
      <c r="H2468" s="2">
        <v>4</v>
      </c>
      <c r="I2468" s="2" t="s">
        <v>173</v>
      </c>
      <c r="J2468" s="2">
        <v>399</v>
      </c>
      <c r="K2468" s="2" t="s">
        <v>1820</v>
      </c>
      <c r="L2468" s="2" t="s">
        <v>1821</v>
      </c>
      <c r="M2468" s="3">
        <v>40342</v>
      </c>
      <c r="N2468" s="2" t="s">
        <v>8343</v>
      </c>
      <c r="O2468" s="2"/>
      <c r="P2468" s="2"/>
      <c r="Q2468" s="2" t="str">
        <f>"318-E/10"</f>
        <v>318-E/10</v>
      </c>
      <c r="R2468" s="2" t="s">
        <v>8344</v>
      </c>
      <c r="S2468" s="2" t="s">
        <v>8344</v>
      </c>
      <c r="T2468" s="2">
        <v>1</v>
      </c>
      <c r="U2468" s="2" t="s">
        <v>79</v>
      </c>
      <c r="V2468" s="2">
        <v>1</v>
      </c>
      <c r="W2468" s="2" t="s">
        <v>80</v>
      </c>
      <c r="X2468" s="2">
        <v>12</v>
      </c>
      <c r="Y2468" s="2" t="s">
        <v>148</v>
      </c>
      <c r="Z2468" s="2">
        <v>1</v>
      </c>
      <c r="AA2468" s="2" t="s">
        <v>82</v>
      </c>
      <c r="AB2468" s="2">
        <v>6</v>
      </c>
      <c r="AC2468" s="2" t="s">
        <v>83</v>
      </c>
      <c r="AD2468" s="3">
        <v>40298</v>
      </c>
      <c r="AE2468" s="2"/>
      <c r="AF2468" s="3">
        <v>40342</v>
      </c>
      <c r="AG2468" s="4">
        <v>0.52083333333333337</v>
      </c>
      <c r="AH2468" s="2">
        <v>2</v>
      </c>
      <c r="AI2468" s="2" t="s">
        <v>84</v>
      </c>
      <c r="AJ2468" s="2">
        <v>9</v>
      </c>
      <c r="AK2468" s="2" t="s">
        <v>103</v>
      </c>
      <c r="AL2468" s="2">
        <v>22</v>
      </c>
      <c r="AM2468" s="2" t="s">
        <v>1853</v>
      </c>
      <c r="AN2468" s="2"/>
      <c r="AO2468" s="2" t="s">
        <v>7625</v>
      </c>
      <c r="AP2468" s="2">
        <v>11</v>
      </c>
      <c r="AQ2468" s="2" t="s">
        <v>82</v>
      </c>
      <c r="AR2468" s="2"/>
      <c r="AS2468" s="2"/>
      <c r="AT2468" s="2" t="s">
        <v>8345</v>
      </c>
      <c r="AU2468" s="2"/>
      <c r="AV2468" s="2"/>
      <c r="AW2468" s="2"/>
      <c r="AX2468" s="2"/>
      <c r="AY2468" s="2">
        <v>41</v>
      </c>
      <c r="AZ2468" s="2" t="s">
        <v>82</v>
      </c>
      <c r="BA2468" s="2">
        <v>41</v>
      </c>
      <c r="BB2468" s="2" t="s">
        <v>82</v>
      </c>
      <c r="BC2468" s="2">
        <v>41</v>
      </c>
      <c r="BD2468" s="2" t="s">
        <v>82</v>
      </c>
      <c r="BE2468" s="2">
        <v>27</v>
      </c>
      <c r="BF2468" s="2" t="s">
        <v>2197</v>
      </c>
      <c r="BG2468" s="2" t="s">
        <v>8346</v>
      </c>
      <c r="BH2468" s="2"/>
      <c r="BI2468" s="2"/>
      <c r="BJ2468" s="2">
        <v>112</v>
      </c>
      <c r="BK2468" s="2" t="s">
        <v>110</v>
      </c>
      <c r="BL2468" s="2" t="s">
        <v>111</v>
      </c>
      <c r="BM2468" s="2">
        <v>241</v>
      </c>
      <c r="BN2468" s="2" t="s">
        <v>82</v>
      </c>
      <c r="BO2468" s="2"/>
      <c r="BP2468" s="2">
        <v>13</v>
      </c>
      <c r="BQ2468" s="2" t="s">
        <v>91</v>
      </c>
      <c r="BR2468" s="2" t="s">
        <v>360</v>
      </c>
      <c r="BS2468" s="3">
        <v>40342</v>
      </c>
      <c r="BT2468" s="4">
        <v>0.6532175925925926</v>
      </c>
    </row>
    <row r="2469" spans="1:72" x14ac:dyDescent="0.25">
      <c r="A2469" s="2">
        <v>3598</v>
      </c>
      <c r="B2469" s="2">
        <v>2010</v>
      </c>
      <c r="C2469" s="2" t="s">
        <v>121</v>
      </c>
      <c r="D2469" s="2" t="s">
        <v>122</v>
      </c>
      <c r="E2469" s="2" t="s">
        <v>8347</v>
      </c>
      <c r="F2469" s="2">
        <v>1</v>
      </c>
      <c r="G2469" s="2" t="s">
        <v>82</v>
      </c>
      <c r="H2469" s="2">
        <v>1</v>
      </c>
      <c r="I2469" s="2" t="s">
        <v>82</v>
      </c>
      <c r="J2469" s="2">
        <v>1</v>
      </c>
      <c r="K2469" s="2" t="s">
        <v>107</v>
      </c>
      <c r="L2469" s="2" t="s">
        <v>107</v>
      </c>
      <c r="M2469" s="3">
        <v>40342</v>
      </c>
      <c r="N2469" s="2"/>
      <c r="O2469" s="2"/>
      <c r="P2469" s="2"/>
      <c r="Q2469" s="2" t="str">
        <f>""</f>
        <v/>
      </c>
      <c r="R2469" s="2"/>
      <c r="S2469" s="2"/>
      <c r="T2469" s="2">
        <v>2</v>
      </c>
      <c r="U2469" s="2" t="s">
        <v>123</v>
      </c>
      <c r="V2469" s="2">
        <v>1</v>
      </c>
      <c r="W2469" s="2" t="s">
        <v>80</v>
      </c>
      <c r="X2469" s="2">
        <v>11</v>
      </c>
      <c r="Y2469" s="2" t="s">
        <v>1920</v>
      </c>
      <c r="Z2469" s="2">
        <v>10</v>
      </c>
      <c r="AA2469" s="2" t="s">
        <v>236</v>
      </c>
      <c r="AB2469" s="2">
        <v>9</v>
      </c>
      <c r="AC2469" s="2" t="s">
        <v>124</v>
      </c>
      <c r="AD2469" s="3">
        <v>40342</v>
      </c>
      <c r="AE2469" s="4">
        <v>0.375</v>
      </c>
      <c r="AF2469" s="2"/>
      <c r="AG2469" s="2"/>
      <c r="AH2469" s="2">
        <v>5</v>
      </c>
      <c r="AI2469" s="2" t="s">
        <v>274</v>
      </c>
      <c r="AJ2469" s="2">
        <v>36</v>
      </c>
      <c r="AK2469" s="2" t="s">
        <v>8325</v>
      </c>
      <c r="AL2469" s="2">
        <v>25</v>
      </c>
      <c r="AM2469" s="2" t="s">
        <v>3073</v>
      </c>
      <c r="AN2469" s="2" t="s">
        <v>473</v>
      </c>
      <c r="AO2469" s="2" t="s">
        <v>200</v>
      </c>
      <c r="AP2469" s="2">
        <v>11</v>
      </c>
      <c r="AQ2469" s="2" t="s">
        <v>82</v>
      </c>
      <c r="AR2469" s="2" t="s">
        <v>82</v>
      </c>
      <c r="AS2469" s="2" t="s">
        <v>82</v>
      </c>
      <c r="AT2469" s="2" t="s">
        <v>8348</v>
      </c>
      <c r="AU2469" s="2"/>
      <c r="AV2469" s="2"/>
      <c r="AW2469" s="2"/>
      <c r="AX2469" s="2"/>
      <c r="AY2469" s="2">
        <v>1</v>
      </c>
      <c r="AZ2469" s="2" t="s">
        <v>107</v>
      </c>
      <c r="BA2469" s="2">
        <v>1</v>
      </c>
      <c r="BB2469" s="2" t="s">
        <v>107</v>
      </c>
      <c r="BC2469" s="2">
        <v>1</v>
      </c>
      <c r="BD2469" s="2" t="s">
        <v>107</v>
      </c>
      <c r="BE2469" s="2">
        <v>41</v>
      </c>
      <c r="BF2469" s="2" t="s">
        <v>82</v>
      </c>
      <c r="BG2469" s="2" t="s">
        <v>8327</v>
      </c>
      <c r="BH2469" s="4">
        <v>0.82291666666666663</v>
      </c>
      <c r="BI2469" s="4">
        <v>0.76388888888888884</v>
      </c>
      <c r="BJ2469" s="2">
        <v>13</v>
      </c>
      <c r="BK2469" s="2" t="s">
        <v>91</v>
      </c>
      <c r="BL2469" s="2" t="s">
        <v>3140</v>
      </c>
      <c r="BM2469" s="2">
        <v>13</v>
      </c>
      <c r="BN2469" s="2" t="s">
        <v>91</v>
      </c>
      <c r="BO2469" s="2" t="s">
        <v>607</v>
      </c>
      <c r="BP2469" s="2">
        <v>13</v>
      </c>
      <c r="BQ2469" s="2" t="s">
        <v>91</v>
      </c>
      <c r="BR2469" s="2" t="s">
        <v>185</v>
      </c>
      <c r="BS2469" s="3">
        <v>40342</v>
      </c>
      <c r="BT2469" s="4">
        <v>0.77681712962962957</v>
      </c>
    </row>
    <row r="2470" spans="1:72" x14ac:dyDescent="0.25">
      <c r="A2470" s="2">
        <v>3599</v>
      </c>
      <c r="B2470" s="2">
        <v>2010</v>
      </c>
      <c r="C2470" s="2" t="s">
        <v>171</v>
      </c>
      <c r="D2470" s="2" t="s">
        <v>73</v>
      </c>
      <c r="E2470" s="2"/>
      <c r="F2470" s="2">
        <v>571</v>
      </c>
      <c r="G2470" s="2" t="s">
        <v>8061</v>
      </c>
      <c r="H2470" s="2">
        <v>47</v>
      </c>
      <c r="I2470" s="2" t="s">
        <v>1409</v>
      </c>
      <c r="J2470" s="2">
        <v>119</v>
      </c>
      <c r="K2470" s="2" t="s">
        <v>325</v>
      </c>
      <c r="L2470" s="2" t="s">
        <v>326</v>
      </c>
      <c r="M2470" s="3">
        <v>40342</v>
      </c>
      <c r="N2470" s="2" t="s">
        <v>8349</v>
      </c>
      <c r="O2470" s="2"/>
      <c r="P2470" s="2"/>
      <c r="Q2470" s="2" t="str">
        <f>"0017"</f>
        <v>0017</v>
      </c>
      <c r="R2470" s="2" t="s">
        <v>8350</v>
      </c>
      <c r="S2470" s="2" t="s">
        <v>8350</v>
      </c>
      <c r="T2470" s="2">
        <v>1</v>
      </c>
      <c r="U2470" s="2" t="s">
        <v>79</v>
      </c>
      <c r="V2470" s="2">
        <v>1</v>
      </c>
      <c r="W2470" s="2" t="s">
        <v>80</v>
      </c>
      <c r="X2470" s="2">
        <v>1</v>
      </c>
      <c r="Y2470" s="2" t="s">
        <v>81</v>
      </c>
      <c r="Z2470" s="2">
        <v>1</v>
      </c>
      <c r="AA2470" s="2" t="s">
        <v>82</v>
      </c>
      <c r="AB2470" s="2">
        <v>1</v>
      </c>
      <c r="AC2470" s="2" t="s">
        <v>178</v>
      </c>
      <c r="AD2470" s="3">
        <v>40342</v>
      </c>
      <c r="AE2470" s="4">
        <v>0.63194444444444442</v>
      </c>
      <c r="AF2470" s="2"/>
      <c r="AG2470" s="2"/>
      <c r="AH2470" s="2">
        <v>6</v>
      </c>
      <c r="AI2470" s="2" t="s">
        <v>197</v>
      </c>
      <c r="AJ2470" s="2">
        <v>50</v>
      </c>
      <c r="AK2470" s="2" t="s">
        <v>330</v>
      </c>
      <c r="AL2470" s="2">
        <v>11</v>
      </c>
      <c r="AM2470" s="2" t="s">
        <v>137</v>
      </c>
      <c r="AN2470" s="2"/>
      <c r="AO2470" s="2" t="s">
        <v>8351</v>
      </c>
      <c r="AP2470" s="2">
        <v>11</v>
      </c>
      <c r="AQ2470" s="2" t="s">
        <v>82</v>
      </c>
      <c r="AR2470" s="2"/>
      <c r="AS2470" s="2"/>
      <c r="AT2470" s="2" t="s">
        <v>8352</v>
      </c>
      <c r="AU2470" s="2"/>
      <c r="AV2470" s="2"/>
      <c r="AW2470" s="2"/>
      <c r="AX2470" s="2"/>
      <c r="AY2470" s="2">
        <v>41</v>
      </c>
      <c r="AZ2470" s="2" t="s">
        <v>82</v>
      </c>
      <c r="BA2470" s="2">
        <v>41</v>
      </c>
      <c r="BB2470" s="2" t="s">
        <v>82</v>
      </c>
      <c r="BC2470" s="2">
        <v>70</v>
      </c>
      <c r="BD2470" s="2" t="s">
        <v>236</v>
      </c>
      <c r="BE2470" s="2">
        <v>47</v>
      </c>
      <c r="BF2470" s="2" t="s">
        <v>167</v>
      </c>
      <c r="BG2470" s="2" t="s">
        <v>8353</v>
      </c>
      <c r="BH2470" s="4">
        <v>0.61111111111111105</v>
      </c>
      <c r="BI2470" s="4">
        <v>0.65972222222222221</v>
      </c>
      <c r="BJ2470" s="2">
        <v>13</v>
      </c>
      <c r="BK2470" s="2" t="s">
        <v>91</v>
      </c>
      <c r="BL2470" s="2" t="s">
        <v>1199</v>
      </c>
      <c r="BM2470" s="2">
        <v>241</v>
      </c>
      <c r="BN2470" s="2" t="s">
        <v>82</v>
      </c>
      <c r="BO2470" s="2"/>
      <c r="BP2470" s="2">
        <v>13</v>
      </c>
      <c r="BQ2470" s="2" t="s">
        <v>91</v>
      </c>
      <c r="BR2470" s="2" t="s">
        <v>6817</v>
      </c>
      <c r="BS2470" s="3">
        <v>40342</v>
      </c>
      <c r="BT2470" s="4">
        <v>0.81614583333333324</v>
      </c>
    </row>
    <row r="2471" spans="1:72" x14ac:dyDescent="0.25">
      <c r="A2471" s="2">
        <v>3600</v>
      </c>
      <c r="B2471" s="2">
        <v>2010</v>
      </c>
      <c r="C2471" s="2" t="s">
        <v>377</v>
      </c>
      <c r="D2471" s="2" t="s">
        <v>73</v>
      </c>
      <c r="E2471" s="2"/>
      <c r="F2471" s="2">
        <v>426</v>
      </c>
      <c r="G2471" s="2" t="s">
        <v>378</v>
      </c>
      <c r="H2471" s="2">
        <v>22</v>
      </c>
      <c r="I2471" s="2" t="s">
        <v>75</v>
      </c>
      <c r="J2471" s="2">
        <v>311</v>
      </c>
      <c r="K2471" s="2" t="s">
        <v>379</v>
      </c>
      <c r="L2471" s="2" t="s">
        <v>380</v>
      </c>
      <c r="M2471" s="3">
        <v>40342</v>
      </c>
      <c r="N2471" s="2" t="s">
        <v>8354</v>
      </c>
      <c r="O2471" s="2"/>
      <c r="P2471" s="2"/>
      <c r="Q2471" s="2" t="str">
        <f>"117-C/10"</f>
        <v>117-C/10</v>
      </c>
      <c r="R2471" s="2" t="s">
        <v>3458</v>
      </c>
      <c r="S2471" s="2"/>
      <c r="T2471" s="2">
        <v>1</v>
      </c>
      <c r="U2471" s="2" t="s">
        <v>79</v>
      </c>
      <c r="V2471" s="2">
        <v>1</v>
      </c>
      <c r="W2471" s="2" t="s">
        <v>80</v>
      </c>
      <c r="X2471" s="2">
        <v>1</v>
      </c>
      <c r="Y2471" s="2" t="s">
        <v>81</v>
      </c>
      <c r="Z2471" s="2">
        <v>1</v>
      </c>
      <c r="AA2471" s="2" t="s">
        <v>82</v>
      </c>
      <c r="AB2471" s="2">
        <v>9</v>
      </c>
      <c r="AC2471" s="2" t="s">
        <v>124</v>
      </c>
      <c r="AD2471" s="3">
        <v>40342</v>
      </c>
      <c r="AE2471" s="4">
        <v>0.71180555555555547</v>
      </c>
      <c r="AF2471" s="2"/>
      <c r="AG2471" s="2"/>
      <c r="AH2471" s="2">
        <v>2</v>
      </c>
      <c r="AI2471" s="2" t="s">
        <v>84</v>
      </c>
      <c r="AJ2471" s="2">
        <v>9</v>
      </c>
      <c r="AK2471" s="2" t="s">
        <v>103</v>
      </c>
      <c r="AL2471" s="2">
        <v>21</v>
      </c>
      <c r="AM2471" s="2" t="s">
        <v>1311</v>
      </c>
      <c r="AN2471" s="2"/>
      <c r="AO2471" s="2" t="s">
        <v>987</v>
      </c>
      <c r="AP2471" s="2">
        <v>11</v>
      </c>
      <c r="AQ2471" s="2" t="s">
        <v>82</v>
      </c>
      <c r="AR2471" s="2"/>
      <c r="AS2471" s="2"/>
      <c r="AT2471" s="2" t="s">
        <v>8355</v>
      </c>
      <c r="AU2471" s="2"/>
      <c r="AV2471" s="2"/>
      <c r="AW2471" s="2"/>
      <c r="AX2471" s="2"/>
      <c r="AY2471" s="2">
        <v>41</v>
      </c>
      <c r="AZ2471" s="2" t="s">
        <v>82</v>
      </c>
      <c r="BA2471" s="2">
        <v>41</v>
      </c>
      <c r="BB2471" s="2" t="s">
        <v>82</v>
      </c>
      <c r="BC2471" s="2">
        <v>41</v>
      </c>
      <c r="BD2471" s="2" t="s">
        <v>82</v>
      </c>
      <c r="BE2471" s="2">
        <v>41</v>
      </c>
      <c r="BF2471" s="2" t="s">
        <v>82</v>
      </c>
      <c r="BG2471" s="2"/>
      <c r="BH2471" s="2"/>
      <c r="BI2471" s="2"/>
      <c r="BJ2471" s="2">
        <v>241</v>
      </c>
      <c r="BK2471" s="2" t="s">
        <v>82</v>
      </c>
      <c r="BL2471" s="2"/>
      <c r="BM2471" s="2">
        <v>241</v>
      </c>
      <c r="BN2471" s="2" t="s">
        <v>82</v>
      </c>
      <c r="BO2471" s="2"/>
      <c r="BP2471" s="2">
        <v>241</v>
      </c>
      <c r="BQ2471" s="2" t="s">
        <v>82</v>
      </c>
      <c r="BR2471" s="2"/>
      <c r="BS2471" s="3">
        <v>40342</v>
      </c>
      <c r="BT2471" s="4">
        <v>0.87857638888888889</v>
      </c>
    </row>
    <row r="2472" spans="1:72" x14ac:dyDescent="0.25">
      <c r="A2472" s="2">
        <v>3601</v>
      </c>
      <c r="B2472" s="2">
        <v>2010</v>
      </c>
      <c r="C2472" s="2" t="s">
        <v>196</v>
      </c>
      <c r="D2472" s="2" t="s">
        <v>122</v>
      </c>
      <c r="E2472" s="2"/>
      <c r="F2472" s="2">
        <v>1</v>
      </c>
      <c r="G2472" s="2" t="s">
        <v>82</v>
      </c>
      <c r="H2472" s="2">
        <v>1</v>
      </c>
      <c r="I2472" s="2" t="s">
        <v>82</v>
      </c>
      <c r="J2472" s="2">
        <v>1</v>
      </c>
      <c r="K2472" s="2" t="s">
        <v>107</v>
      </c>
      <c r="L2472" s="2" t="s">
        <v>107</v>
      </c>
      <c r="M2472" s="3">
        <v>40342</v>
      </c>
      <c r="N2472" s="2"/>
      <c r="O2472" s="2"/>
      <c r="P2472" s="2"/>
      <c r="Q2472" s="2" t="str">
        <f>""</f>
        <v/>
      </c>
      <c r="R2472" s="2"/>
      <c r="S2472" s="2"/>
      <c r="T2472" s="2">
        <v>2</v>
      </c>
      <c r="U2472" s="2" t="s">
        <v>123</v>
      </c>
      <c r="V2472" s="2">
        <v>1</v>
      </c>
      <c r="W2472" s="2" t="s">
        <v>80</v>
      </c>
      <c r="X2472" s="2">
        <v>5</v>
      </c>
      <c r="Y2472" s="2" t="s">
        <v>82</v>
      </c>
      <c r="Z2472" s="2">
        <v>1</v>
      </c>
      <c r="AA2472" s="2" t="s">
        <v>82</v>
      </c>
      <c r="AB2472" s="2">
        <v>9</v>
      </c>
      <c r="AC2472" s="2" t="s">
        <v>124</v>
      </c>
      <c r="AD2472" s="3">
        <v>40342</v>
      </c>
      <c r="AE2472" s="4">
        <v>0.8125</v>
      </c>
      <c r="AF2472" s="2"/>
      <c r="AG2472" s="2"/>
      <c r="AH2472" s="2">
        <v>2</v>
      </c>
      <c r="AI2472" s="2" t="s">
        <v>84</v>
      </c>
      <c r="AJ2472" s="2">
        <v>9</v>
      </c>
      <c r="AK2472" s="2" t="s">
        <v>103</v>
      </c>
      <c r="AL2472" s="2">
        <v>18</v>
      </c>
      <c r="AM2472" s="2" t="s">
        <v>82</v>
      </c>
      <c r="AN2472" s="2" t="s">
        <v>8356</v>
      </c>
      <c r="AO2472" s="2" t="s">
        <v>8357</v>
      </c>
      <c r="AP2472" s="2">
        <v>11</v>
      </c>
      <c r="AQ2472" s="2" t="s">
        <v>82</v>
      </c>
      <c r="AR2472" s="2" t="s">
        <v>82</v>
      </c>
      <c r="AS2472" s="2" t="s">
        <v>82</v>
      </c>
      <c r="AT2472" s="2" t="s">
        <v>8358</v>
      </c>
      <c r="AU2472" s="2"/>
      <c r="AV2472" s="2"/>
      <c r="AW2472" s="2"/>
      <c r="AX2472" s="2"/>
      <c r="AY2472" s="2">
        <v>1</v>
      </c>
      <c r="AZ2472" s="2" t="s">
        <v>107</v>
      </c>
      <c r="BA2472" s="2">
        <v>1</v>
      </c>
      <c r="BB2472" s="2" t="s">
        <v>107</v>
      </c>
      <c r="BC2472" s="2">
        <v>1</v>
      </c>
      <c r="BD2472" s="2" t="s">
        <v>107</v>
      </c>
      <c r="BE2472" s="2">
        <v>1</v>
      </c>
      <c r="BF2472" s="2" t="s">
        <v>107</v>
      </c>
      <c r="BG2472" s="2" t="s">
        <v>82</v>
      </c>
      <c r="BH2472" s="4">
        <v>0.84375</v>
      </c>
      <c r="BI2472" s="2"/>
      <c r="BJ2472" s="2">
        <v>242</v>
      </c>
      <c r="BK2472" s="2" t="s">
        <v>107</v>
      </c>
      <c r="BL2472" s="2" t="s">
        <v>8359</v>
      </c>
      <c r="BM2472" s="2">
        <v>242</v>
      </c>
      <c r="BN2472" s="2" t="s">
        <v>107</v>
      </c>
      <c r="BO2472" s="2" t="s">
        <v>107</v>
      </c>
      <c r="BP2472" s="2">
        <v>241</v>
      </c>
      <c r="BQ2472" s="2" t="s">
        <v>82</v>
      </c>
      <c r="BR2472" s="2" t="s">
        <v>82</v>
      </c>
      <c r="BS2472" s="3">
        <v>40342</v>
      </c>
      <c r="BT2472" s="4">
        <v>0.91393518518518524</v>
      </c>
    </row>
    <row r="2473" spans="1:72" x14ac:dyDescent="0.25">
      <c r="A2473" s="2">
        <v>3602</v>
      </c>
      <c r="B2473" s="2">
        <v>2010</v>
      </c>
      <c r="C2473" s="2" t="s">
        <v>72</v>
      </c>
      <c r="D2473" s="2" t="s">
        <v>73</v>
      </c>
      <c r="E2473" s="2"/>
      <c r="F2473" s="2">
        <v>95</v>
      </c>
      <c r="G2473" s="2" t="s">
        <v>8360</v>
      </c>
      <c r="H2473" s="2">
        <v>40</v>
      </c>
      <c r="I2473" s="2" t="s">
        <v>2101</v>
      </c>
      <c r="J2473" s="2">
        <v>122</v>
      </c>
      <c r="K2473" s="2" t="s">
        <v>8361</v>
      </c>
      <c r="L2473" s="2" t="s">
        <v>8362</v>
      </c>
      <c r="M2473" s="3">
        <v>40342</v>
      </c>
      <c r="N2473" s="2" t="s">
        <v>8363</v>
      </c>
      <c r="O2473" s="2" t="s">
        <v>8364</v>
      </c>
      <c r="P2473" s="2" t="s">
        <v>107</v>
      </c>
      <c r="Q2473" s="2" t="str">
        <f>"0018/2010"</f>
        <v>0018/2010</v>
      </c>
      <c r="R2473" s="2" t="s">
        <v>8365</v>
      </c>
      <c r="S2473" s="2" t="s">
        <v>107</v>
      </c>
      <c r="T2473" s="2">
        <v>1</v>
      </c>
      <c r="U2473" s="2" t="s">
        <v>79</v>
      </c>
      <c r="V2473" s="2">
        <v>1</v>
      </c>
      <c r="W2473" s="2" t="s">
        <v>80</v>
      </c>
      <c r="X2473" s="2">
        <v>12</v>
      </c>
      <c r="Y2473" s="2" t="s">
        <v>148</v>
      </c>
      <c r="Z2473" s="2">
        <v>1</v>
      </c>
      <c r="AA2473" s="2" t="s">
        <v>82</v>
      </c>
      <c r="AB2473" s="2">
        <v>6</v>
      </c>
      <c r="AC2473" s="2" t="s">
        <v>83</v>
      </c>
      <c r="AD2473" s="3">
        <v>40341</v>
      </c>
      <c r="AE2473" s="2"/>
      <c r="AF2473" s="3">
        <v>40342</v>
      </c>
      <c r="AG2473" s="4">
        <v>0.8125</v>
      </c>
      <c r="AH2473" s="2">
        <v>6</v>
      </c>
      <c r="AI2473" s="2" t="s">
        <v>197</v>
      </c>
      <c r="AJ2473" s="2">
        <v>50</v>
      </c>
      <c r="AK2473" s="2" t="s">
        <v>330</v>
      </c>
      <c r="AL2473" s="2">
        <v>22</v>
      </c>
      <c r="AM2473" s="2" t="s">
        <v>1853</v>
      </c>
      <c r="AN2473" s="2" t="s">
        <v>8366</v>
      </c>
      <c r="AO2473" s="2" t="s">
        <v>7600</v>
      </c>
      <c r="AP2473" s="2">
        <v>11</v>
      </c>
      <c r="AQ2473" s="2" t="s">
        <v>82</v>
      </c>
      <c r="AR2473" s="2"/>
      <c r="AS2473" s="2"/>
      <c r="AT2473" s="2" t="s">
        <v>8367</v>
      </c>
      <c r="AU2473" s="2"/>
      <c r="AV2473" s="2"/>
      <c r="AW2473" s="2"/>
      <c r="AX2473" s="2"/>
      <c r="AY2473" s="2">
        <v>41</v>
      </c>
      <c r="AZ2473" s="2" t="s">
        <v>82</v>
      </c>
      <c r="BA2473" s="2">
        <v>41</v>
      </c>
      <c r="BB2473" s="2" t="s">
        <v>82</v>
      </c>
      <c r="BC2473" s="2">
        <v>41</v>
      </c>
      <c r="BD2473" s="2" t="s">
        <v>82</v>
      </c>
      <c r="BE2473" s="2">
        <v>4</v>
      </c>
      <c r="BF2473" s="2" t="s">
        <v>90</v>
      </c>
      <c r="BG2473" s="2">
        <v>4344</v>
      </c>
      <c r="BH2473" s="4">
        <v>0.47916666666666669</v>
      </c>
      <c r="BI2473" s="2"/>
      <c r="BJ2473" s="2">
        <v>13</v>
      </c>
      <c r="BK2473" s="2" t="s">
        <v>91</v>
      </c>
      <c r="BL2473" s="2" t="s">
        <v>185</v>
      </c>
      <c r="BM2473" s="2">
        <v>241</v>
      </c>
      <c r="BN2473" s="2" t="s">
        <v>82</v>
      </c>
      <c r="BO2473" s="2"/>
      <c r="BP2473" s="2">
        <v>13</v>
      </c>
      <c r="BQ2473" s="2" t="s">
        <v>91</v>
      </c>
      <c r="BR2473" s="2" t="s">
        <v>1199</v>
      </c>
      <c r="BS2473" s="3">
        <v>40342</v>
      </c>
      <c r="BT2473" s="4">
        <v>0.95502314814814815</v>
      </c>
    </row>
    <row r="2474" spans="1:72" x14ac:dyDescent="0.25">
      <c r="A2474" s="2">
        <v>3603</v>
      </c>
      <c r="B2474" s="2">
        <v>2010</v>
      </c>
      <c r="C2474" s="2" t="s">
        <v>93</v>
      </c>
      <c r="D2474" s="2" t="s">
        <v>73</v>
      </c>
      <c r="E2474" s="2"/>
      <c r="F2474" s="2">
        <v>536</v>
      </c>
      <c r="G2474" s="2" t="s">
        <v>3746</v>
      </c>
      <c r="H2474" s="2">
        <v>68</v>
      </c>
      <c r="I2474" s="2" t="s">
        <v>3747</v>
      </c>
      <c r="J2474" s="2">
        <v>507</v>
      </c>
      <c r="K2474" s="2" t="s">
        <v>4188</v>
      </c>
      <c r="L2474" s="2" t="s">
        <v>4189</v>
      </c>
      <c r="M2474" s="3">
        <v>40343</v>
      </c>
      <c r="N2474" s="2" t="s">
        <v>4190</v>
      </c>
      <c r="O2474" s="2" t="s">
        <v>8368</v>
      </c>
      <c r="P2474" s="2" t="s">
        <v>8369</v>
      </c>
      <c r="Q2474" s="2" t="str">
        <f>""</f>
        <v/>
      </c>
      <c r="R2474" s="2"/>
      <c r="S2474" s="2" t="s">
        <v>100</v>
      </c>
      <c r="T2474" s="2">
        <v>1</v>
      </c>
      <c r="U2474" s="2" t="s">
        <v>79</v>
      </c>
      <c r="V2474" s="2">
        <v>1</v>
      </c>
      <c r="W2474" s="2" t="s">
        <v>80</v>
      </c>
      <c r="X2474" s="2">
        <v>10</v>
      </c>
      <c r="Y2474" s="2" t="s">
        <v>226</v>
      </c>
      <c r="Z2474" s="2">
        <v>6</v>
      </c>
      <c r="AA2474" s="2" t="s">
        <v>101</v>
      </c>
      <c r="AB2474" s="2">
        <v>2</v>
      </c>
      <c r="AC2474" s="2" t="s">
        <v>102</v>
      </c>
      <c r="AD2474" s="3">
        <v>40342</v>
      </c>
      <c r="AE2474" s="4">
        <v>0.90625</v>
      </c>
      <c r="AF2474" s="2"/>
      <c r="AG2474" s="2"/>
      <c r="AH2474" s="2">
        <v>2</v>
      </c>
      <c r="AI2474" s="2" t="s">
        <v>84</v>
      </c>
      <c r="AJ2474" s="2">
        <v>9</v>
      </c>
      <c r="AK2474" s="2" t="s">
        <v>103</v>
      </c>
      <c r="AL2474" s="2">
        <v>14</v>
      </c>
      <c r="AM2474" s="2" t="s">
        <v>216</v>
      </c>
      <c r="AN2474" s="2"/>
      <c r="AO2474" s="2" t="s">
        <v>7664</v>
      </c>
      <c r="AP2474" s="2">
        <v>11</v>
      </c>
      <c r="AQ2474" s="2" t="s">
        <v>82</v>
      </c>
      <c r="AR2474" s="2"/>
      <c r="AS2474" s="2"/>
      <c r="AT2474" s="2" t="s">
        <v>8370</v>
      </c>
      <c r="AU2474" s="2">
        <v>1</v>
      </c>
      <c r="AV2474" s="2"/>
      <c r="AW2474" s="2"/>
      <c r="AX2474" s="2"/>
      <c r="AY2474" s="2">
        <v>41</v>
      </c>
      <c r="AZ2474" s="2" t="s">
        <v>82</v>
      </c>
      <c r="BA2474" s="2">
        <v>115</v>
      </c>
      <c r="BB2474" s="2" t="s">
        <v>101</v>
      </c>
      <c r="BC2474" s="2">
        <v>70</v>
      </c>
      <c r="BD2474" s="2" t="s">
        <v>236</v>
      </c>
      <c r="BE2474" s="2">
        <v>17</v>
      </c>
      <c r="BF2474" s="2" t="s">
        <v>508</v>
      </c>
      <c r="BG2474" s="2" t="s">
        <v>8371</v>
      </c>
      <c r="BH2474" s="2"/>
      <c r="BI2474" s="4">
        <v>0.90625</v>
      </c>
      <c r="BJ2474" s="2">
        <v>13</v>
      </c>
      <c r="BK2474" s="2" t="s">
        <v>91</v>
      </c>
      <c r="BL2474" s="2" t="s">
        <v>360</v>
      </c>
      <c r="BM2474" s="2">
        <v>241</v>
      </c>
      <c r="BN2474" s="2" t="s">
        <v>82</v>
      </c>
      <c r="BO2474" s="2"/>
      <c r="BP2474" s="2">
        <v>75</v>
      </c>
      <c r="BQ2474" s="2" t="s">
        <v>1264</v>
      </c>
      <c r="BR2474" s="2" t="s">
        <v>1361</v>
      </c>
      <c r="BS2474" s="3">
        <v>40343</v>
      </c>
      <c r="BT2474" s="4">
        <v>9.2199074074074072E-2</v>
      </c>
    </row>
    <row r="2475" spans="1:72" x14ac:dyDescent="0.25">
      <c r="A2475" s="2">
        <v>3604</v>
      </c>
      <c r="B2475" s="2">
        <v>2010</v>
      </c>
      <c r="C2475" s="2" t="s">
        <v>549</v>
      </c>
      <c r="D2475" s="2" t="s">
        <v>73</v>
      </c>
      <c r="E2475" s="2"/>
      <c r="F2475" s="2">
        <v>169</v>
      </c>
      <c r="G2475" s="2" t="s">
        <v>1009</v>
      </c>
      <c r="H2475" s="2">
        <v>121</v>
      </c>
      <c r="I2475" s="2" t="s">
        <v>7931</v>
      </c>
      <c r="J2475" s="2">
        <v>453</v>
      </c>
      <c r="K2475" s="2" t="s">
        <v>1775</v>
      </c>
      <c r="L2475" s="2" t="s">
        <v>7925</v>
      </c>
      <c r="M2475" s="3">
        <v>40343</v>
      </c>
      <c r="N2475" s="2" t="s">
        <v>8372</v>
      </c>
      <c r="O2475" s="2"/>
      <c r="P2475" s="2" t="s">
        <v>82</v>
      </c>
      <c r="Q2475" s="2" t="str">
        <f>"210-A/10"</f>
        <v>210-A/10</v>
      </c>
      <c r="R2475" s="2" t="s">
        <v>8373</v>
      </c>
      <c r="S2475" s="2"/>
      <c r="T2475" s="2">
        <v>1</v>
      </c>
      <c r="U2475" s="2" t="s">
        <v>79</v>
      </c>
      <c r="V2475" s="2">
        <v>1</v>
      </c>
      <c r="W2475" s="2" t="s">
        <v>80</v>
      </c>
      <c r="X2475" s="2">
        <v>1</v>
      </c>
      <c r="Y2475" s="2" t="s">
        <v>81</v>
      </c>
      <c r="Z2475" s="2">
        <v>1</v>
      </c>
      <c r="AA2475" s="2" t="s">
        <v>82</v>
      </c>
      <c r="AB2475" s="2">
        <v>9</v>
      </c>
      <c r="AC2475" s="2" t="s">
        <v>124</v>
      </c>
      <c r="AD2475" s="3">
        <v>40342</v>
      </c>
      <c r="AE2475" s="4">
        <v>0.95138888888888884</v>
      </c>
      <c r="AF2475" s="2"/>
      <c r="AG2475" s="2"/>
      <c r="AH2475" s="2">
        <v>2</v>
      </c>
      <c r="AI2475" s="2" t="s">
        <v>84</v>
      </c>
      <c r="AJ2475" s="2">
        <v>12</v>
      </c>
      <c r="AK2475" s="2" t="s">
        <v>85</v>
      </c>
      <c r="AL2475" s="2">
        <v>11</v>
      </c>
      <c r="AM2475" s="2" t="s">
        <v>137</v>
      </c>
      <c r="AN2475" s="2" t="s">
        <v>5322</v>
      </c>
      <c r="AO2475" s="2" t="s">
        <v>1869</v>
      </c>
      <c r="AP2475" s="2">
        <v>11</v>
      </c>
      <c r="AQ2475" s="2" t="s">
        <v>82</v>
      </c>
      <c r="AR2475" s="2" t="s">
        <v>82</v>
      </c>
      <c r="AS2475" s="2" t="s">
        <v>82</v>
      </c>
      <c r="AT2475" s="2" t="s">
        <v>8374</v>
      </c>
      <c r="AU2475" s="2">
        <v>1</v>
      </c>
      <c r="AV2475" s="2"/>
      <c r="AW2475" s="2"/>
      <c r="AX2475" s="2"/>
      <c r="AY2475" s="2">
        <v>41</v>
      </c>
      <c r="AZ2475" s="2" t="s">
        <v>82</v>
      </c>
      <c r="BA2475" s="2">
        <v>41</v>
      </c>
      <c r="BB2475" s="2" t="s">
        <v>82</v>
      </c>
      <c r="BC2475" s="2">
        <v>41</v>
      </c>
      <c r="BD2475" s="2" t="s">
        <v>82</v>
      </c>
      <c r="BE2475" s="2">
        <v>4</v>
      </c>
      <c r="BF2475" s="2" t="s">
        <v>90</v>
      </c>
      <c r="BG2475" s="2" t="s">
        <v>8375</v>
      </c>
      <c r="BH2475" s="2"/>
      <c r="BI2475" s="4">
        <v>0.95833333333333337</v>
      </c>
      <c r="BJ2475" s="2">
        <v>13</v>
      </c>
      <c r="BK2475" s="2" t="s">
        <v>91</v>
      </c>
      <c r="BL2475" s="2" t="s">
        <v>185</v>
      </c>
      <c r="BM2475" s="2">
        <v>241</v>
      </c>
      <c r="BN2475" s="2" t="s">
        <v>82</v>
      </c>
      <c r="BO2475" s="2" t="s">
        <v>82</v>
      </c>
      <c r="BP2475" s="2">
        <v>13</v>
      </c>
      <c r="BQ2475" s="2" t="s">
        <v>91</v>
      </c>
      <c r="BR2475" s="2" t="s">
        <v>1199</v>
      </c>
      <c r="BS2475" s="3">
        <v>40343</v>
      </c>
      <c r="BT2475" s="4">
        <v>0.25071759259259258</v>
      </c>
    </row>
    <row r="2476" spans="1:72" x14ac:dyDescent="0.25">
      <c r="A2476" s="2">
        <v>3605</v>
      </c>
      <c r="B2476" s="2">
        <v>2010</v>
      </c>
      <c r="C2476" s="2" t="s">
        <v>4543</v>
      </c>
      <c r="D2476" s="2" t="s">
        <v>122</v>
      </c>
      <c r="E2476" s="2"/>
      <c r="F2476" s="2">
        <v>1</v>
      </c>
      <c r="G2476" s="2" t="s">
        <v>82</v>
      </c>
      <c r="H2476" s="2">
        <v>1</v>
      </c>
      <c r="I2476" s="2" t="s">
        <v>82</v>
      </c>
      <c r="J2476" s="2">
        <v>1</v>
      </c>
      <c r="K2476" s="2" t="s">
        <v>107</v>
      </c>
      <c r="L2476" s="2" t="s">
        <v>107</v>
      </c>
      <c r="M2476" s="3">
        <v>40343</v>
      </c>
      <c r="N2476" s="2"/>
      <c r="O2476" s="2"/>
      <c r="P2476" s="2"/>
      <c r="Q2476" s="2" t="str">
        <f>""</f>
        <v/>
      </c>
      <c r="R2476" s="2"/>
      <c r="S2476" s="2"/>
      <c r="T2476" s="2">
        <v>2</v>
      </c>
      <c r="U2476" s="2" t="s">
        <v>123</v>
      </c>
      <c r="V2476" s="2">
        <v>1</v>
      </c>
      <c r="W2476" s="2" t="s">
        <v>80</v>
      </c>
      <c r="X2476" s="2">
        <v>11</v>
      </c>
      <c r="Y2476" s="2" t="s">
        <v>1920</v>
      </c>
      <c r="Z2476" s="2">
        <v>1</v>
      </c>
      <c r="AA2476" s="2" t="s">
        <v>82</v>
      </c>
      <c r="AB2476" s="2">
        <v>9</v>
      </c>
      <c r="AC2476" s="2" t="s">
        <v>124</v>
      </c>
      <c r="AD2476" s="3">
        <v>40343</v>
      </c>
      <c r="AE2476" s="4">
        <v>0.27083333333333331</v>
      </c>
      <c r="AF2476" s="2"/>
      <c r="AG2476" s="2"/>
      <c r="AH2476" s="2">
        <v>6</v>
      </c>
      <c r="AI2476" s="2" t="s">
        <v>197</v>
      </c>
      <c r="AJ2476" s="2">
        <v>54</v>
      </c>
      <c r="AK2476" s="2" t="s">
        <v>348</v>
      </c>
      <c r="AL2476" s="2">
        <v>18</v>
      </c>
      <c r="AM2476" s="2" t="s">
        <v>82</v>
      </c>
      <c r="AN2476" s="2" t="s">
        <v>595</v>
      </c>
      <c r="AO2476" s="2" t="s">
        <v>200</v>
      </c>
      <c r="AP2476" s="2">
        <v>12</v>
      </c>
      <c r="AQ2476" s="2" t="s">
        <v>322</v>
      </c>
      <c r="AR2476" s="2" t="s">
        <v>596</v>
      </c>
      <c r="AS2476" s="2" t="s">
        <v>596</v>
      </c>
      <c r="AT2476" s="2" t="s">
        <v>8376</v>
      </c>
      <c r="AU2476" s="2"/>
      <c r="AV2476" s="2"/>
      <c r="AW2476" s="2"/>
      <c r="AX2476" s="2"/>
      <c r="AY2476" s="2">
        <v>1</v>
      </c>
      <c r="AZ2476" s="2" t="s">
        <v>107</v>
      </c>
      <c r="BA2476" s="2">
        <v>1</v>
      </c>
      <c r="BB2476" s="2" t="s">
        <v>107</v>
      </c>
      <c r="BC2476" s="2">
        <v>1</v>
      </c>
      <c r="BD2476" s="2" t="s">
        <v>107</v>
      </c>
      <c r="BE2476" s="2">
        <v>47</v>
      </c>
      <c r="BF2476" s="2" t="s">
        <v>167</v>
      </c>
      <c r="BG2476" s="2" t="s">
        <v>1165</v>
      </c>
      <c r="BH2476" s="2"/>
      <c r="BI2476" s="4">
        <v>0.26944444444444443</v>
      </c>
      <c r="BJ2476" s="2">
        <v>13</v>
      </c>
      <c r="BK2476" s="2" t="s">
        <v>91</v>
      </c>
      <c r="BL2476" s="2" t="s">
        <v>2764</v>
      </c>
      <c r="BM2476" s="2">
        <v>242</v>
      </c>
      <c r="BN2476" s="2" t="s">
        <v>107</v>
      </c>
      <c r="BO2476" s="2"/>
      <c r="BP2476" s="2">
        <v>13</v>
      </c>
      <c r="BQ2476" s="2" t="s">
        <v>91</v>
      </c>
      <c r="BR2476" s="2" t="s">
        <v>2168</v>
      </c>
      <c r="BS2476" s="3">
        <v>40343</v>
      </c>
      <c r="BT2476" s="4">
        <v>0.28326388888888893</v>
      </c>
    </row>
    <row r="2477" spans="1:72" x14ac:dyDescent="0.25">
      <c r="A2477" s="2">
        <v>3606</v>
      </c>
      <c r="B2477" s="2">
        <v>2010</v>
      </c>
      <c r="C2477" s="2" t="s">
        <v>171</v>
      </c>
      <c r="D2477" s="2" t="s">
        <v>122</v>
      </c>
      <c r="E2477" s="2" t="s">
        <v>8377</v>
      </c>
      <c r="F2477" s="2">
        <v>396</v>
      </c>
      <c r="G2477" s="2" t="s">
        <v>2159</v>
      </c>
      <c r="H2477" s="2">
        <v>9</v>
      </c>
      <c r="I2477" s="2" t="s">
        <v>794</v>
      </c>
      <c r="J2477" s="2">
        <v>243</v>
      </c>
      <c r="K2477" s="2" t="s">
        <v>2160</v>
      </c>
      <c r="L2477" s="2" t="s">
        <v>2145</v>
      </c>
      <c r="M2477" s="3">
        <v>40343</v>
      </c>
      <c r="N2477" s="2" t="s">
        <v>2245</v>
      </c>
      <c r="O2477" s="2"/>
      <c r="P2477" s="2"/>
      <c r="Q2477" s="2" t="str">
        <f>"316-E/10"</f>
        <v>316-E/10</v>
      </c>
      <c r="R2477" s="2" t="s">
        <v>391</v>
      </c>
      <c r="S2477" s="2"/>
      <c r="T2477" s="2">
        <v>1</v>
      </c>
      <c r="U2477" s="2" t="s">
        <v>79</v>
      </c>
      <c r="V2477" s="2">
        <v>1</v>
      </c>
      <c r="W2477" s="2" t="s">
        <v>80</v>
      </c>
      <c r="X2477" s="2">
        <v>1</v>
      </c>
      <c r="Y2477" s="2" t="s">
        <v>81</v>
      </c>
      <c r="Z2477" s="2">
        <v>1</v>
      </c>
      <c r="AA2477" s="2" t="s">
        <v>82</v>
      </c>
      <c r="AB2477" s="2">
        <v>1</v>
      </c>
      <c r="AC2477" s="2" t="s">
        <v>178</v>
      </c>
      <c r="AD2477" s="3">
        <v>40341</v>
      </c>
      <c r="AE2477" s="4">
        <v>0.50694444444444442</v>
      </c>
      <c r="AF2477" s="2"/>
      <c r="AG2477" s="2"/>
      <c r="AH2477" s="2">
        <v>2</v>
      </c>
      <c r="AI2477" s="2" t="s">
        <v>84</v>
      </c>
      <c r="AJ2477" s="2">
        <v>9</v>
      </c>
      <c r="AK2477" s="2" t="s">
        <v>103</v>
      </c>
      <c r="AL2477" s="2">
        <v>14</v>
      </c>
      <c r="AM2477" s="2" t="s">
        <v>216</v>
      </c>
      <c r="AN2477" s="2" t="s">
        <v>720</v>
      </c>
      <c r="AO2477" s="2" t="s">
        <v>4974</v>
      </c>
      <c r="AP2477" s="2">
        <v>11</v>
      </c>
      <c r="AQ2477" s="2" t="s">
        <v>82</v>
      </c>
      <c r="AR2477" s="2"/>
      <c r="AS2477" s="2"/>
      <c r="AT2477" s="2" t="s">
        <v>8378</v>
      </c>
      <c r="AU2477" s="2"/>
      <c r="AV2477" s="2">
        <v>1</v>
      </c>
      <c r="AW2477" s="2"/>
      <c r="AX2477" s="2"/>
      <c r="AY2477" s="2">
        <v>41</v>
      </c>
      <c r="AZ2477" s="2" t="s">
        <v>82</v>
      </c>
      <c r="BA2477" s="2">
        <v>41</v>
      </c>
      <c r="BB2477" s="2" t="s">
        <v>82</v>
      </c>
      <c r="BC2477" s="2">
        <v>41</v>
      </c>
      <c r="BD2477" s="2" t="s">
        <v>82</v>
      </c>
      <c r="BE2477" s="2">
        <v>31</v>
      </c>
      <c r="BF2477" s="2" t="s">
        <v>398</v>
      </c>
      <c r="BG2477" s="2" t="s">
        <v>399</v>
      </c>
      <c r="BH2477" s="2"/>
      <c r="BI2477" s="4">
        <v>0.52777777777777779</v>
      </c>
      <c r="BJ2477" s="2">
        <v>13</v>
      </c>
      <c r="BK2477" s="2" t="s">
        <v>91</v>
      </c>
      <c r="BL2477" s="2" t="s">
        <v>8379</v>
      </c>
      <c r="BM2477" s="2">
        <v>241</v>
      </c>
      <c r="BN2477" s="2" t="s">
        <v>82</v>
      </c>
      <c r="BO2477" s="2"/>
      <c r="BP2477" s="2">
        <v>73</v>
      </c>
      <c r="BQ2477" s="2" t="s">
        <v>186</v>
      </c>
      <c r="BR2477" s="2" t="s">
        <v>187</v>
      </c>
      <c r="BS2477" s="3">
        <v>40343</v>
      </c>
      <c r="BT2477" s="4">
        <v>0.33629629629629632</v>
      </c>
    </row>
    <row r="2478" spans="1:72" x14ac:dyDescent="0.25">
      <c r="A2478" s="2">
        <v>3607</v>
      </c>
      <c r="B2478" s="2">
        <v>2010</v>
      </c>
      <c r="C2478" s="2" t="s">
        <v>1660</v>
      </c>
      <c r="D2478" s="2" t="s">
        <v>122</v>
      </c>
      <c r="E2478" s="2" t="s">
        <v>8380</v>
      </c>
      <c r="F2478" s="2">
        <v>389</v>
      </c>
      <c r="G2478" s="2" t="s">
        <v>1819</v>
      </c>
      <c r="H2478" s="2">
        <v>4</v>
      </c>
      <c r="I2478" s="2" t="s">
        <v>173</v>
      </c>
      <c r="J2478" s="2">
        <v>399</v>
      </c>
      <c r="K2478" s="2" t="s">
        <v>1820</v>
      </c>
      <c r="L2478" s="2" t="s">
        <v>1821</v>
      </c>
      <c r="M2478" s="3">
        <v>40343</v>
      </c>
      <c r="N2478" s="2" t="s">
        <v>2621</v>
      </c>
      <c r="O2478" s="2" t="s">
        <v>107</v>
      </c>
      <c r="P2478" s="2" t="s">
        <v>107</v>
      </c>
      <c r="Q2478" s="2" t="str">
        <f>"315-E/10"</f>
        <v>315-E/10</v>
      </c>
      <c r="R2478" s="2" t="s">
        <v>8311</v>
      </c>
      <c r="S2478" s="2"/>
      <c r="T2478" s="2">
        <v>1</v>
      </c>
      <c r="U2478" s="2" t="s">
        <v>79</v>
      </c>
      <c r="V2478" s="2">
        <v>1</v>
      </c>
      <c r="W2478" s="2" t="s">
        <v>80</v>
      </c>
      <c r="X2478" s="2">
        <v>12</v>
      </c>
      <c r="Y2478" s="2" t="s">
        <v>148</v>
      </c>
      <c r="Z2478" s="2">
        <v>6</v>
      </c>
      <c r="AA2478" s="2" t="s">
        <v>101</v>
      </c>
      <c r="AB2478" s="2">
        <v>3</v>
      </c>
      <c r="AC2478" s="2" t="s">
        <v>1663</v>
      </c>
      <c r="AD2478" s="3">
        <v>40341</v>
      </c>
      <c r="AE2478" s="4">
        <v>0.39583333333333331</v>
      </c>
      <c r="AF2478" s="3">
        <v>40341</v>
      </c>
      <c r="AG2478" s="4">
        <v>0.54166666666666663</v>
      </c>
      <c r="AH2478" s="2">
        <v>2</v>
      </c>
      <c r="AI2478" s="2" t="s">
        <v>84</v>
      </c>
      <c r="AJ2478" s="2">
        <v>9</v>
      </c>
      <c r="AK2478" s="2" t="s">
        <v>103</v>
      </c>
      <c r="AL2478" s="2">
        <v>14</v>
      </c>
      <c r="AM2478" s="2" t="s">
        <v>216</v>
      </c>
      <c r="AN2478" s="2" t="s">
        <v>8312</v>
      </c>
      <c r="AO2478" s="2" t="s">
        <v>8381</v>
      </c>
      <c r="AP2478" s="2">
        <v>11</v>
      </c>
      <c r="AQ2478" s="2" t="s">
        <v>82</v>
      </c>
      <c r="AR2478" s="2"/>
      <c r="AS2478" s="2"/>
      <c r="AT2478" s="2" t="s">
        <v>8382</v>
      </c>
      <c r="AU2478" s="2"/>
      <c r="AV2478" s="2">
        <v>1</v>
      </c>
      <c r="AW2478" s="2"/>
      <c r="AX2478" s="2"/>
      <c r="AY2478" s="2">
        <v>42</v>
      </c>
      <c r="AZ2478" s="2" t="s">
        <v>182</v>
      </c>
      <c r="BA2478" s="2">
        <v>115</v>
      </c>
      <c r="BB2478" s="2" t="s">
        <v>101</v>
      </c>
      <c r="BC2478" s="2">
        <v>70</v>
      </c>
      <c r="BD2478" s="2" t="s">
        <v>236</v>
      </c>
      <c r="BE2478" s="2">
        <v>23</v>
      </c>
      <c r="BF2478" s="2" t="s">
        <v>183</v>
      </c>
      <c r="BG2478" s="2" t="s">
        <v>1375</v>
      </c>
      <c r="BH2478" s="4">
        <v>0.39097222222222222</v>
      </c>
      <c r="BI2478" s="4">
        <v>8.4027777777777771E-2</v>
      </c>
      <c r="BJ2478" s="2">
        <v>73</v>
      </c>
      <c r="BK2478" s="2" t="s">
        <v>186</v>
      </c>
      <c r="BL2478" s="2"/>
      <c r="BM2478" s="2">
        <v>241</v>
      </c>
      <c r="BN2478" s="2" t="s">
        <v>82</v>
      </c>
      <c r="BO2478" s="2"/>
      <c r="BP2478" s="2">
        <v>13</v>
      </c>
      <c r="BQ2478" s="2" t="s">
        <v>91</v>
      </c>
      <c r="BR2478" s="2" t="s">
        <v>8383</v>
      </c>
      <c r="BS2478" s="3">
        <v>40343</v>
      </c>
      <c r="BT2478" s="4">
        <v>0.34013888888888894</v>
      </c>
    </row>
    <row r="2479" spans="1:72" x14ac:dyDescent="0.25">
      <c r="A2479" s="2">
        <v>3608</v>
      </c>
      <c r="B2479" s="2">
        <v>2010</v>
      </c>
      <c r="C2479" s="2" t="s">
        <v>418</v>
      </c>
      <c r="D2479" s="2" t="s">
        <v>122</v>
      </c>
      <c r="E2479" s="2"/>
      <c r="F2479" s="2">
        <v>1</v>
      </c>
      <c r="G2479" s="2" t="s">
        <v>82</v>
      </c>
      <c r="H2479" s="2">
        <v>1</v>
      </c>
      <c r="I2479" s="2" t="s">
        <v>82</v>
      </c>
      <c r="J2479" s="2">
        <v>1</v>
      </c>
      <c r="K2479" s="2" t="s">
        <v>107</v>
      </c>
      <c r="L2479" s="2" t="s">
        <v>107</v>
      </c>
      <c r="M2479" s="3">
        <v>40343</v>
      </c>
      <c r="N2479" s="2"/>
      <c r="O2479" s="2"/>
      <c r="P2479" s="2"/>
      <c r="Q2479" s="2" t="str">
        <f>""</f>
        <v/>
      </c>
      <c r="R2479" s="2"/>
      <c r="S2479" s="2"/>
      <c r="T2479" s="2">
        <v>2</v>
      </c>
      <c r="U2479" s="2" t="s">
        <v>123</v>
      </c>
      <c r="V2479" s="2">
        <v>1</v>
      </c>
      <c r="W2479" s="2" t="s">
        <v>80</v>
      </c>
      <c r="X2479" s="2">
        <v>5</v>
      </c>
      <c r="Y2479" s="2" t="s">
        <v>82</v>
      </c>
      <c r="Z2479" s="2">
        <v>1</v>
      </c>
      <c r="AA2479" s="2" t="s">
        <v>82</v>
      </c>
      <c r="AB2479" s="2">
        <v>9</v>
      </c>
      <c r="AC2479" s="2" t="s">
        <v>124</v>
      </c>
      <c r="AD2479" s="2"/>
      <c r="AE2479" s="2"/>
      <c r="AF2479" s="2"/>
      <c r="AG2479" s="2"/>
      <c r="AH2479" s="2">
        <v>4</v>
      </c>
      <c r="AI2479" s="2" t="s">
        <v>125</v>
      </c>
      <c r="AJ2479" s="2">
        <v>28</v>
      </c>
      <c r="AK2479" s="2" t="s">
        <v>741</v>
      </c>
      <c r="AL2479" s="2">
        <v>18</v>
      </c>
      <c r="AM2479" s="2" t="s">
        <v>82</v>
      </c>
      <c r="AN2479" s="2"/>
      <c r="AO2479" s="2"/>
      <c r="AP2479" s="2">
        <v>11</v>
      </c>
      <c r="AQ2479" s="2" t="s">
        <v>82</v>
      </c>
      <c r="AR2479" s="2"/>
      <c r="AS2479" s="2"/>
      <c r="AT2479" s="2" t="s">
        <v>8384</v>
      </c>
      <c r="AU2479" s="2"/>
      <c r="AV2479" s="2"/>
      <c r="AW2479" s="2"/>
      <c r="AX2479" s="2"/>
      <c r="AY2479" s="2">
        <v>1</v>
      </c>
      <c r="AZ2479" s="2" t="s">
        <v>107</v>
      </c>
      <c r="BA2479" s="2">
        <v>1</v>
      </c>
      <c r="BB2479" s="2" t="s">
        <v>107</v>
      </c>
      <c r="BC2479" s="2">
        <v>1</v>
      </c>
      <c r="BD2479" s="2" t="s">
        <v>107</v>
      </c>
      <c r="BE2479" s="2">
        <v>4</v>
      </c>
      <c r="BF2479" s="2" t="s">
        <v>90</v>
      </c>
      <c r="BG2479" s="2" t="s">
        <v>8385</v>
      </c>
      <c r="BH2479" s="4">
        <v>0.31597222222222221</v>
      </c>
      <c r="BI2479" s="4">
        <v>0.34027777777777773</v>
      </c>
      <c r="BJ2479" s="2">
        <v>13</v>
      </c>
      <c r="BK2479" s="2" t="s">
        <v>91</v>
      </c>
      <c r="BL2479" s="2" t="s">
        <v>185</v>
      </c>
      <c r="BM2479" s="2">
        <v>13</v>
      </c>
      <c r="BN2479" s="2" t="s">
        <v>91</v>
      </c>
      <c r="BO2479" s="2" t="s">
        <v>744</v>
      </c>
      <c r="BP2479" s="2">
        <v>13</v>
      </c>
      <c r="BQ2479" s="2" t="s">
        <v>91</v>
      </c>
      <c r="BR2479" s="2" t="s">
        <v>185</v>
      </c>
      <c r="BS2479" s="3">
        <v>40343</v>
      </c>
      <c r="BT2479" s="4">
        <v>0.40656249999999999</v>
      </c>
    </row>
    <row r="2480" spans="1:72" x14ac:dyDescent="0.25">
      <c r="A2480" s="2">
        <v>3609</v>
      </c>
      <c r="B2480" s="2">
        <v>2010</v>
      </c>
      <c r="C2480" s="2" t="s">
        <v>196</v>
      </c>
      <c r="D2480" s="2" t="s">
        <v>122</v>
      </c>
      <c r="E2480" s="2"/>
      <c r="F2480" s="2">
        <v>1</v>
      </c>
      <c r="G2480" s="2" t="s">
        <v>82</v>
      </c>
      <c r="H2480" s="2">
        <v>1</v>
      </c>
      <c r="I2480" s="2" t="s">
        <v>82</v>
      </c>
      <c r="J2480" s="2">
        <v>1</v>
      </c>
      <c r="K2480" s="2" t="s">
        <v>107</v>
      </c>
      <c r="L2480" s="2" t="s">
        <v>107</v>
      </c>
      <c r="M2480" s="3">
        <v>40343</v>
      </c>
      <c r="N2480" s="2"/>
      <c r="O2480" s="2"/>
      <c r="P2480" s="2"/>
      <c r="Q2480" s="2" t="str">
        <f>""</f>
        <v/>
      </c>
      <c r="R2480" s="2"/>
      <c r="S2480" s="2"/>
      <c r="T2480" s="2">
        <v>2</v>
      </c>
      <c r="U2480" s="2" t="s">
        <v>123</v>
      </c>
      <c r="V2480" s="2">
        <v>1</v>
      </c>
      <c r="W2480" s="2" t="s">
        <v>80</v>
      </c>
      <c r="X2480" s="2">
        <v>11</v>
      </c>
      <c r="Y2480" s="2" t="s">
        <v>1920</v>
      </c>
      <c r="Z2480" s="2">
        <v>10</v>
      </c>
      <c r="AA2480" s="2" t="s">
        <v>236</v>
      </c>
      <c r="AB2480" s="2">
        <v>9</v>
      </c>
      <c r="AC2480" s="2" t="s">
        <v>124</v>
      </c>
      <c r="AD2480" s="3">
        <v>40343</v>
      </c>
      <c r="AE2480" s="4">
        <v>0.375</v>
      </c>
      <c r="AF2480" s="2"/>
      <c r="AG2480" s="2"/>
      <c r="AH2480" s="2">
        <v>2</v>
      </c>
      <c r="AI2480" s="2" t="s">
        <v>84</v>
      </c>
      <c r="AJ2480" s="2">
        <v>12</v>
      </c>
      <c r="AK2480" s="2" t="s">
        <v>85</v>
      </c>
      <c r="AL2480" s="2">
        <v>20</v>
      </c>
      <c r="AM2480" s="2" t="s">
        <v>992</v>
      </c>
      <c r="AN2480" s="2" t="s">
        <v>82</v>
      </c>
      <c r="AO2480" s="2" t="s">
        <v>8386</v>
      </c>
      <c r="AP2480" s="2">
        <v>11</v>
      </c>
      <c r="AQ2480" s="2" t="s">
        <v>82</v>
      </c>
      <c r="AR2480" s="2" t="s">
        <v>82</v>
      </c>
      <c r="AS2480" s="2" t="s">
        <v>82</v>
      </c>
      <c r="AT2480" s="2" t="s">
        <v>8387</v>
      </c>
      <c r="AU2480" s="2"/>
      <c r="AV2480" s="2"/>
      <c r="AW2480" s="2"/>
      <c r="AX2480" s="2"/>
      <c r="AY2480" s="2">
        <v>1</v>
      </c>
      <c r="AZ2480" s="2" t="s">
        <v>107</v>
      </c>
      <c r="BA2480" s="2">
        <v>1</v>
      </c>
      <c r="BB2480" s="2" t="s">
        <v>107</v>
      </c>
      <c r="BC2480" s="2">
        <v>1</v>
      </c>
      <c r="BD2480" s="2" t="s">
        <v>107</v>
      </c>
      <c r="BE2480" s="2">
        <v>1</v>
      </c>
      <c r="BF2480" s="2" t="s">
        <v>107</v>
      </c>
      <c r="BG2480" s="2"/>
      <c r="BH2480" s="4">
        <v>0.51041666666666663</v>
      </c>
      <c r="BI2480" s="4">
        <v>0.45833333333333331</v>
      </c>
      <c r="BJ2480" s="2">
        <v>242</v>
      </c>
      <c r="BK2480" s="2" t="s">
        <v>107</v>
      </c>
      <c r="BL2480" s="2" t="s">
        <v>185</v>
      </c>
      <c r="BM2480" s="2">
        <v>242</v>
      </c>
      <c r="BN2480" s="2" t="s">
        <v>107</v>
      </c>
      <c r="BO2480" s="2" t="s">
        <v>82</v>
      </c>
      <c r="BP2480" s="2">
        <v>242</v>
      </c>
      <c r="BQ2480" s="2" t="s">
        <v>107</v>
      </c>
      <c r="BR2480" s="2" t="s">
        <v>6582</v>
      </c>
      <c r="BS2480" s="3">
        <v>40343</v>
      </c>
      <c r="BT2480" s="4">
        <v>0.41792824074074075</v>
      </c>
    </row>
    <row r="2481" spans="1:72" x14ac:dyDescent="0.25">
      <c r="A2481" s="2">
        <v>3610</v>
      </c>
      <c r="B2481" s="2">
        <v>2010</v>
      </c>
      <c r="C2481" s="2" t="s">
        <v>93</v>
      </c>
      <c r="D2481" s="2" t="s">
        <v>122</v>
      </c>
      <c r="E2481" s="2" t="s">
        <v>8388</v>
      </c>
      <c r="F2481" s="2">
        <v>639</v>
      </c>
      <c r="G2481" s="2" t="s">
        <v>8318</v>
      </c>
      <c r="H2481" s="2">
        <v>50</v>
      </c>
      <c r="I2481" s="2" t="s">
        <v>107</v>
      </c>
      <c r="J2481" s="2">
        <v>586</v>
      </c>
      <c r="K2481" s="2" t="s">
        <v>8319</v>
      </c>
      <c r="L2481" s="2" t="s">
        <v>8320</v>
      </c>
      <c r="M2481" s="3">
        <v>40343</v>
      </c>
      <c r="N2481" s="2" t="s">
        <v>82</v>
      </c>
      <c r="O2481" s="2" t="s">
        <v>8321</v>
      </c>
      <c r="P2481" s="2" t="s">
        <v>8322</v>
      </c>
      <c r="Q2481" s="2" t="str">
        <f>"N/C"</f>
        <v>N/C</v>
      </c>
      <c r="R2481" s="2" t="s">
        <v>100</v>
      </c>
      <c r="S2481" s="2" t="s">
        <v>82</v>
      </c>
      <c r="T2481" s="2">
        <v>1</v>
      </c>
      <c r="U2481" s="2" t="s">
        <v>79</v>
      </c>
      <c r="V2481" s="2">
        <v>1</v>
      </c>
      <c r="W2481" s="2" t="s">
        <v>80</v>
      </c>
      <c r="X2481" s="2">
        <v>10</v>
      </c>
      <c r="Y2481" s="2" t="s">
        <v>226</v>
      </c>
      <c r="Z2481" s="2">
        <v>6</v>
      </c>
      <c r="AA2481" s="2" t="s">
        <v>101</v>
      </c>
      <c r="AB2481" s="2">
        <v>2</v>
      </c>
      <c r="AC2481" s="2" t="s">
        <v>102</v>
      </c>
      <c r="AD2481" s="3">
        <v>40343</v>
      </c>
      <c r="AE2481" s="4">
        <v>0.4201388888888889</v>
      </c>
      <c r="AF2481" s="3">
        <v>40342</v>
      </c>
      <c r="AG2481" s="4">
        <v>0.20138888888888887</v>
      </c>
      <c r="AH2481" s="2">
        <v>2</v>
      </c>
      <c r="AI2481" s="2" t="s">
        <v>84</v>
      </c>
      <c r="AJ2481" s="2">
        <v>9</v>
      </c>
      <c r="AK2481" s="2" t="s">
        <v>103</v>
      </c>
      <c r="AL2481" s="2">
        <v>14</v>
      </c>
      <c r="AM2481" s="2" t="s">
        <v>216</v>
      </c>
      <c r="AN2481" s="2"/>
      <c r="AO2481" s="2" t="s">
        <v>4248</v>
      </c>
      <c r="AP2481" s="2">
        <v>11</v>
      </c>
      <c r="AQ2481" s="2" t="s">
        <v>82</v>
      </c>
      <c r="AR2481" s="2"/>
      <c r="AS2481" s="2"/>
      <c r="AT2481" s="2" t="s">
        <v>8389</v>
      </c>
      <c r="AU2481" s="2">
        <v>1</v>
      </c>
      <c r="AV2481" s="2"/>
      <c r="AW2481" s="2"/>
      <c r="AX2481" s="2"/>
      <c r="AY2481" s="2">
        <v>41</v>
      </c>
      <c r="AZ2481" s="2" t="s">
        <v>82</v>
      </c>
      <c r="BA2481" s="2">
        <v>41</v>
      </c>
      <c r="BB2481" s="2" t="s">
        <v>82</v>
      </c>
      <c r="BC2481" s="2">
        <v>41</v>
      </c>
      <c r="BD2481" s="2" t="s">
        <v>82</v>
      </c>
      <c r="BE2481" s="2">
        <v>20</v>
      </c>
      <c r="BF2481" s="2" t="s">
        <v>1681</v>
      </c>
      <c r="BG2481" s="2" t="s">
        <v>8324</v>
      </c>
      <c r="BH2481" s="4">
        <v>0.16666666666666666</v>
      </c>
      <c r="BI2481" s="2"/>
      <c r="BJ2481" s="2">
        <v>173</v>
      </c>
      <c r="BK2481" s="2" t="s">
        <v>223</v>
      </c>
      <c r="BL2481" s="2" t="s">
        <v>224</v>
      </c>
      <c r="BM2481" s="2">
        <v>241</v>
      </c>
      <c r="BN2481" s="2" t="s">
        <v>82</v>
      </c>
      <c r="BO2481" s="2" t="s">
        <v>82</v>
      </c>
      <c r="BP2481" s="2">
        <v>13</v>
      </c>
      <c r="BQ2481" s="2" t="s">
        <v>91</v>
      </c>
      <c r="BR2481" s="2" t="s">
        <v>185</v>
      </c>
      <c r="BS2481" s="3">
        <v>40343</v>
      </c>
      <c r="BT2481" s="4">
        <v>0.42124999999999996</v>
      </c>
    </row>
    <row r="2482" spans="1:72" x14ac:dyDescent="0.25">
      <c r="A2482" s="2">
        <v>3611</v>
      </c>
      <c r="B2482" s="2">
        <v>2010</v>
      </c>
      <c r="C2482" s="2" t="s">
        <v>93</v>
      </c>
      <c r="D2482" s="2" t="s">
        <v>122</v>
      </c>
      <c r="E2482" s="2" t="s">
        <v>8390</v>
      </c>
      <c r="F2482" s="2">
        <v>536</v>
      </c>
      <c r="G2482" s="2" t="s">
        <v>3746</v>
      </c>
      <c r="H2482" s="2">
        <v>68</v>
      </c>
      <c r="I2482" s="2" t="s">
        <v>3747</v>
      </c>
      <c r="J2482" s="2">
        <v>507</v>
      </c>
      <c r="K2482" s="2" t="s">
        <v>4188</v>
      </c>
      <c r="L2482" s="2" t="s">
        <v>4189</v>
      </c>
      <c r="M2482" s="3">
        <v>40343</v>
      </c>
      <c r="N2482" s="2" t="s">
        <v>4190</v>
      </c>
      <c r="O2482" s="2" t="s">
        <v>8368</v>
      </c>
      <c r="P2482" s="2" t="s">
        <v>8369</v>
      </c>
      <c r="Q2482" s="2" t="str">
        <f>""</f>
        <v/>
      </c>
      <c r="R2482" s="2" t="s">
        <v>100</v>
      </c>
      <c r="S2482" s="2"/>
      <c r="T2482" s="2">
        <v>1</v>
      </c>
      <c r="U2482" s="2" t="s">
        <v>79</v>
      </c>
      <c r="V2482" s="2">
        <v>1</v>
      </c>
      <c r="W2482" s="2" t="s">
        <v>80</v>
      </c>
      <c r="X2482" s="2">
        <v>10</v>
      </c>
      <c r="Y2482" s="2" t="s">
        <v>226</v>
      </c>
      <c r="Z2482" s="2">
        <v>10</v>
      </c>
      <c r="AA2482" s="2" t="s">
        <v>236</v>
      </c>
      <c r="AB2482" s="2">
        <v>2</v>
      </c>
      <c r="AC2482" s="2" t="s">
        <v>102</v>
      </c>
      <c r="AD2482" s="3">
        <v>40343</v>
      </c>
      <c r="AE2482" s="4">
        <v>0.41666666666666669</v>
      </c>
      <c r="AF2482" s="2"/>
      <c r="AG2482" s="2"/>
      <c r="AH2482" s="2">
        <v>2</v>
      </c>
      <c r="AI2482" s="2" t="s">
        <v>84</v>
      </c>
      <c r="AJ2482" s="2">
        <v>9</v>
      </c>
      <c r="AK2482" s="2" t="s">
        <v>103</v>
      </c>
      <c r="AL2482" s="2">
        <v>14</v>
      </c>
      <c r="AM2482" s="2" t="s">
        <v>216</v>
      </c>
      <c r="AN2482" s="2" t="s">
        <v>2409</v>
      </c>
      <c r="AO2482" s="2"/>
      <c r="AP2482" s="2">
        <v>11</v>
      </c>
      <c r="AQ2482" s="2" t="s">
        <v>82</v>
      </c>
      <c r="AR2482" s="2"/>
      <c r="AS2482" s="2"/>
      <c r="AT2482" s="2" t="s">
        <v>8391</v>
      </c>
      <c r="AU2482" s="2">
        <v>1</v>
      </c>
      <c r="AV2482" s="2"/>
      <c r="AW2482" s="2"/>
      <c r="AX2482" s="2"/>
      <c r="AY2482" s="2">
        <v>41</v>
      </c>
      <c r="AZ2482" s="2" t="s">
        <v>82</v>
      </c>
      <c r="BA2482" s="2">
        <v>115</v>
      </c>
      <c r="BB2482" s="2" t="s">
        <v>101</v>
      </c>
      <c r="BC2482" s="2">
        <v>70</v>
      </c>
      <c r="BD2482" s="2" t="s">
        <v>236</v>
      </c>
      <c r="BE2482" s="2">
        <v>17</v>
      </c>
      <c r="BF2482" s="2" t="s">
        <v>508</v>
      </c>
      <c r="BG2482" s="2" t="s">
        <v>8371</v>
      </c>
      <c r="BH2482" s="2"/>
      <c r="BI2482" s="4">
        <v>0.90625</v>
      </c>
      <c r="BJ2482" s="2">
        <v>13</v>
      </c>
      <c r="BK2482" s="2" t="s">
        <v>91</v>
      </c>
      <c r="BL2482" s="2" t="s">
        <v>360</v>
      </c>
      <c r="BM2482" s="2">
        <v>241</v>
      </c>
      <c r="BN2482" s="2" t="s">
        <v>82</v>
      </c>
      <c r="BO2482" s="2"/>
      <c r="BP2482" s="2">
        <v>75</v>
      </c>
      <c r="BQ2482" s="2" t="s">
        <v>1264</v>
      </c>
      <c r="BR2482" s="2" t="s">
        <v>1361</v>
      </c>
      <c r="BS2482" s="3">
        <v>40343</v>
      </c>
      <c r="BT2482" s="4">
        <v>0.42488425925925927</v>
      </c>
    </row>
    <row r="2483" spans="1:72" x14ac:dyDescent="0.25">
      <c r="A2483" s="2">
        <v>3612</v>
      </c>
      <c r="B2483" s="2">
        <v>2010</v>
      </c>
      <c r="C2483" s="2" t="s">
        <v>4543</v>
      </c>
      <c r="D2483" s="2" t="s">
        <v>122</v>
      </c>
      <c r="E2483" s="2"/>
      <c r="F2483" s="2">
        <v>1</v>
      </c>
      <c r="G2483" s="2" t="s">
        <v>82</v>
      </c>
      <c r="H2483" s="2">
        <v>1</v>
      </c>
      <c r="I2483" s="2" t="s">
        <v>82</v>
      </c>
      <c r="J2483" s="2">
        <v>1</v>
      </c>
      <c r="K2483" s="2" t="s">
        <v>107</v>
      </c>
      <c r="L2483" s="2" t="s">
        <v>107</v>
      </c>
      <c r="M2483" s="3">
        <v>40343</v>
      </c>
      <c r="N2483" s="2"/>
      <c r="O2483" s="2"/>
      <c r="P2483" s="2"/>
      <c r="Q2483" s="2" t="str">
        <f>""</f>
        <v/>
      </c>
      <c r="R2483" s="2"/>
      <c r="S2483" s="2"/>
      <c r="T2483" s="2">
        <v>2</v>
      </c>
      <c r="U2483" s="2" t="s">
        <v>123</v>
      </c>
      <c r="V2483" s="2">
        <v>1</v>
      </c>
      <c r="W2483" s="2" t="s">
        <v>80</v>
      </c>
      <c r="X2483" s="2">
        <v>5</v>
      </c>
      <c r="Y2483" s="2" t="s">
        <v>82</v>
      </c>
      <c r="Z2483" s="2">
        <v>1</v>
      </c>
      <c r="AA2483" s="2" t="s">
        <v>82</v>
      </c>
      <c r="AB2483" s="2">
        <v>9</v>
      </c>
      <c r="AC2483" s="2" t="s">
        <v>124</v>
      </c>
      <c r="AD2483" s="3">
        <v>40343</v>
      </c>
      <c r="AE2483" s="4">
        <v>0.36458333333333331</v>
      </c>
      <c r="AF2483" s="2"/>
      <c r="AG2483" s="2"/>
      <c r="AH2483" s="2">
        <v>4</v>
      </c>
      <c r="AI2483" s="2" t="s">
        <v>125</v>
      </c>
      <c r="AJ2483" s="2">
        <v>29</v>
      </c>
      <c r="AK2483" s="2" t="s">
        <v>227</v>
      </c>
      <c r="AL2483" s="2">
        <v>18</v>
      </c>
      <c r="AM2483" s="2" t="s">
        <v>82</v>
      </c>
      <c r="AN2483" s="2" t="s">
        <v>8392</v>
      </c>
      <c r="AO2483" s="2"/>
      <c r="AP2483" s="2">
        <v>11</v>
      </c>
      <c r="AQ2483" s="2" t="s">
        <v>82</v>
      </c>
      <c r="AR2483" s="2"/>
      <c r="AS2483" s="2"/>
      <c r="AT2483" s="2" t="s">
        <v>8393</v>
      </c>
      <c r="AU2483" s="2"/>
      <c r="AV2483" s="2"/>
      <c r="AW2483" s="2"/>
      <c r="AX2483" s="2"/>
      <c r="AY2483" s="2">
        <v>1</v>
      </c>
      <c r="AZ2483" s="2" t="s">
        <v>107</v>
      </c>
      <c r="BA2483" s="2">
        <v>1</v>
      </c>
      <c r="BB2483" s="2" t="s">
        <v>107</v>
      </c>
      <c r="BC2483" s="2">
        <v>1</v>
      </c>
      <c r="BD2483" s="2" t="s">
        <v>107</v>
      </c>
      <c r="BE2483" s="2">
        <v>1</v>
      </c>
      <c r="BF2483" s="2" t="s">
        <v>107</v>
      </c>
      <c r="BG2483" s="2"/>
      <c r="BH2483" s="2"/>
      <c r="BI2483" s="2"/>
      <c r="BJ2483" s="2">
        <v>242</v>
      </c>
      <c r="BK2483" s="2" t="s">
        <v>107</v>
      </c>
      <c r="BL2483" s="2"/>
      <c r="BM2483" s="2">
        <v>242</v>
      </c>
      <c r="BN2483" s="2" t="s">
        <v>107</v>
      </c>
      <c r="BO2483" s="2"/>
      <c r="BP2483" s="2">
        <v>242</v>
      </c>
      <c r="BQ2483" s="2" t="s">
        <v>107</v>
      </c>
      <c r="BR2483" s="2"/>
      <c r="BS2483" s="3">
        <v>40343</v>
      </c>
      <c r="BT2483" s="4">
        <v>0.42601851851851852</v>
      </c>
    </row>
    <row r="2484" spans="1:72" x14ac:dyDescent="0.25">
      <c r="A2484" s="2">
        <v>3613</v>
      </c>
      <c r="B2484" s="2">
        <v>2010</v>
      </c>
      <c r="C2484" s="2" t="s">
        <v>819</v>
      </c>
      <c r="D2484" s="2" t="s">
        <v>122</v>
      </c>
      <c r="E2484" s="2" t="s">
        <v>8394</v>
      </c>
      <c r="F2484" s="2">
        <v>425</v>
      </c>
      <c r="G2484" s="2" t="s">
        <v>286</v>
      </c>
      <c r="H2484" s="2">
        <v>30</v>
      </c>
      <c r="I2484" s="2" t="s">
        <v>912</v>
      </c>
      <c r="J2484" s="2">
        <v>310</v>
      </c>
      <c r="K2484" s="2" t="s">
        <v>288</v>
      </c>
      <c r="L2484" s="2" t="s">
        <v>289</v>
      </c>
      <c r="M2484" s="3">
        <v>40343</v>
      </c>
      <c r="N2484" s="2" t="s">
        <v>2049</v>
      </c>
      <c r="O2484" s="2"/>
      <c r="P2484" s="2"/>
      <c r="Q2484" s="2" t="str">
        <f>"069/10"</f>
        <v>069/10</v>
      </c>
      <c r="R2484" s="2"/>
      <c r="S2484" s="2" t="s">
        <v>822</v>
      </c>
      <c r="T2484" s="2">
        <v>1</v>
      </c>
      <c r="U2484" s="2" t="s">
        <v>79</v>
      </c>
      <c r="V2484" s="2">
        <v>1</v>
      </c>
      <c r="W2484" s="2" t="s">
        <v>80</v>
      </c>
      <c r="X2484" s="2">
        <v>1</v>
      </c>
      <c r="Y2484" s="2" t="s">
        <v>81</v>
      </c>
      <c r="Z2484" s="2">
        <v>10</v>
      </c>
      <c r="AA2484" s="2" t="s">
        <v>236</v>
      </c>
      <c r="AB2484" s="2">
        <v>9</v>
      </c>
      <c r="AC2484" s="2" t="s">
        <v>124</v>
      </c>
      <c r="AD2484" s="3">
        <v>40343</v>
      </c>
      <c r="AE2484" s="4">
        <v>0.41666666666666669</v>
      </c>
      <c r="AF2484" s="2"/>
      <c r="AG2484" s="2"/>
      <c r="AH2484" s="2">
        <v>4</v>
      </c>
      <c r="AI2484" s="2" t="s">
        <v>125</v>
      </c>
      <c r="AJ2484" s="2">
        <v>29</v>
      </c>
      <c r="AK2484" s="2" t="s">
        <v>227</v>
      </c>
      <c r="AL2484" s="2">
        <v>16</v>
      </c>
      <c r="AM2484" s="2" t="s">
        <v>392</v>
      </c>
      <c r="AN2484" s="2" t="s">
        <v>3040</v>
      </c>
      <c r="AO2484" s="2" t="s">
        <v>5095</v>
      </c>
      <c r="AP2484" s="2">
        <v>12</v>
      </c>
      <c r="AQ2484" s="2" t="s">
        <v>322</v>
      </c>
      <c r="AR2484" s="2" t="s">
        <v>824</v>
      </c>
      <c r="AS2484" s="2" t="s">
        <v>825</v>
      </c>
      <c r="AT2484" s="2" t="s">
        <v>8395</v>
      </c>
      <c r="AU2484" s="2"/>
      <c r="AV2484" s="2"/>
      <c r="AW2484" s="2"/>
      <c r="AX2484" s="2"/>
      <c r="AY2484" s="2">
        <v>41</v>
      </c>
      <c r="AZ2484" s="2" t="s">
        <v>82</v>
      </c>
      <c r="BA2484" s="2">
        <v>41</v>
      </c>
      <c r="BB2484" s="2" t="s">
        <v>82</v>
      </c>
      <c r="BC2484" s="2">
        <v>51</v>
      </c>
      <c r="BD2484" s="2" t="s">
        <v>827</v>
      </c>
      <c r="BE2484" s="2">
        <v>47</v>
      </c>
      <c r="BF2484" s="2" t="s">
        <v>167</v>
      </c>
      <c r="BG2484" s="2">
        <v>2459</v>
      </c>
      <c r="BH2484" s="4">
        <v>0.92708333333333337</v>
      </c>
      <c r="BI2484" s="4">
        <v>0.96527777777777779</v>
      </c>
      <c r="BJ2484" s="2">
        <v>13</v>
      </c>
      <c r="BK2484" s="2" t="s">
        <v>91</v>
      </c>
      <c r="BL2484" s="2" t="s">
        <v>828</v>
      </c>
      <c r="BM2484" s="2">
        <v>241</v>
      </c>
      <c r="BN2484" s="2" t="s">
        <v>82</v>
      </c>
      <c r="BO2484" s="2"/>
      <c r="BP2484" s="2">
        <v>13</v>
      </c>
      <c r="BQ2484" s="2" t="s">
        <v>91</v>
      </c>
      <c r="BR2484" s="2" t="s">
        <v>185</v>
      </c>
      <c r="BS2484" s="3">
        <v>40343</v>
      </c>
      <c r="BT2484" s="4">
        <v>0.46770833333333334</v>
      </c>
    </row>
    <row r="2485" spans="1:72" x14ac:dyDescent="0.25">
      <c r="A2485" s="2">
        <v>3615</v>
      </c>
      <c r="B2485" s="2">
        <v>2010</v>
      </c>
      <c r="C2485" s="2" t="s">
        <v>1094</v>
      </c>
      <c r="D2485" s="2" t="s">
        <v>122</v>
      </c>
      <c r="E2485" s="2" t="s">
        <v>8396</v>
      </c>
      <c r="F2485" s="2">
        <v>110</v>
      </c>
      <c r="G2485" s="2" t="s">
        <v>7444</v>
      </c>
      <c r="H2485" s="2">
        <v>47</v>
      </c>
      <c r="I2485" s="2" t="s">
        <v>1409</v>
      </c>
      <c r="J2485" s="2">
        <v>126</v>
      </c>
      <c r="K2485" s="2" t="s">
        <v>7445</v>
      </c>
      <c r="L2485" s="2" t="s">
        <v>7446</v>
      </c>
      <c r="M2485" s="3">
        <v>40343</v>
      </c>
      <c r="N2485" s="2" t="s">
        <v>7832</v>
      </c>
      <c r="O2485" s="2" t="s">
        <v>7833</v>
      </c>
      <c r="P2485" s="2" t="s">
        <v>7834</v>
      </c>
      <c r="Q2485" s="2" t="str">
        <f>"0004/2010"</f>
        <v>0004/2010</v>
      </c>
      <c r="R2485" s="2" t="s">
        <v>107</v>
      </c>
      <c r="S2485" s="2" t="s">
        <v>7835</v>
      </c>
      <c r="T2485" s="2">
        <v>1</v>
      </c>
      <c r="U2485" s="2" t="s">
        <v>79</v>
      </c>
      <c r="V2485" s="2">
        <v>1</v>
      </c>
      <c r="W2485" s="2" t="s">
        <v>80</v>
      </c>
      <c r="X2485" s="2">
        <v>12</v>
      </c>
      <c r="Y2485" s="2" t="s">
        <v>148</v>
      </c>
      <c r="Z2485" s="2">
        <v>1</v>
      </c>
      <c r="AA2485" s="2" t="s">
        <v>82</v>
      </c>
      <c r="AB2485" s="2">
        <v>9</v>
      </c>
      <c r="AC2485" s="2" t="s">
        <v>124</v>
      </c>
      <c r="AD2485" s="3">
        <v>40332</v>
      </c>
      <c r="AE2485" s="4">
        <v>0.61111111111111105</v>
      </c>
      <c r="AF2485" s="2"/>
      <c r="AG2485" s="2"/>
      <c r="AH2485" s="2">
        <v>6</v>
      </c>
      <c r="AI2485" s="2" t="s">
        <v>197</v>
      </c>
      <c r="AJ2485" s="2">
        <v>57</v>
      </c>
      <c r="AK2485" s="2" t="s">
        <v>2344</v>
      </c>
      <c r="AL2485" s="2">
        <v>19</v>
      </c>
      <c r="AM2485" s="2" t="s">
        <v>107</v>
      </c>
      <c r="AN2485" s="2"/>
      <c r="AO2485" s="2"/>
      <c r="AP2485" s="2">
        <v>11</v>
      </c>
      <c r="AQ2485" s="2" t="s">
        <v>82</v>
      </c>
      <c r="AR2485" s="2"/>
      <c r="AS2485" s="2"/>
      <c r="AT2485" s="2" t="s">
        <v>8397</v>
      </c>
      <c r="AU2485" s="2"/>
      <c r="AV2485" s="2"/>
      <c r="AW2485" s="2"/>
      <c r="AX2485" s="2"/>
      <c r="AY2485" s="2">
        <v>1</v>
      </c>
      <c r="AZ2485" s="2" t="s">
        <v>107</v>
      </c>
      <c r="BA2485" s="2">
        <v>1</v>
      </c>
      <c r="BB2485" s="2" t="s">
        <v>107</v>
      </c>
      <c r="BC2485" s="2">
        <v>1</v>
      </c>
      <c r="BD2485" s="2" t="s">
        <v>107</v>
      </c>
      <c r="BE2485" s="2">
        <v>1</v>
      </c>
      <c r="BF2485" s="2" t="s">
        <v>107</v>
      </c>
      <c r="BG2485" s="2"/>
      <c r="BH2485" s="2"/>
      <c r="BI2485" s="2"/>
      <c r="BJ2485" s="2">
        <v>242</v>
      </c>
      <c r="BK2485" s="2" t="s">
        <v>107</v>
      </c>
      <c r="BL2485" s="2"/>
      <c r="BM2485" s="2">
        <v>242</v>
      </c>
      <c r="BN2485" s="2" t="s">
        <v>107</v>
      </c>
      <c r="BO2485" s="2"/>
      <c r="BP2485" s="2">
        <v>242</v>
      </c>
      <c r="BQ2485" s="2" t="s">
        <v>107</v>
      </c>
      <c r="BR2485" s="2"/>
      <c r="BS2485" s="3">
        <v>40343</v>
      </c>
      <c r="BT2485" s="4">
        <v>0.47131944444444446</v>
      </c>
    </row>
    <row r="2486" spans="1:72" x14ac:dyDescent="0.25">
      <c r="A2486" s="2">
        <v>3616</v>
      </c>
      <c r="B2486" s="2">
        <v>2010</v>
      </c>
      <c r="C2486" s="2" t="s">
        <v>4543</v>
      </c>
      <c r="D2486" s="2" t="s">
        <v>122</v>
      </c>
      <c r="E2486" s="2"/>
      <c r="F2486" s="2">
        <v>146</v>
      </c>
      <c r="G2486" s="2" t="s">
        <v>753</v>
      </c>
      <c r="H2486" s="2">
        <v>39</v>
      </c>
      <c r="I2486" s="2" t="s">
        <v>1117</v>
      </c>
      <c r="J2486" s="2">
        <v>161</v>
      </c>
      <c r="K2486" s="2" t="s">
        <v>1900</v>
      </c>
      <c r="L2486" s="2" t="s">
        <v>1901</v>
      </c>
      <c r="M2486" s="3">
        <v>40343</v>
      </c>
      <c r="N2486" s="2" t="s">
        <v>5044</v>
      </c>
      <c r="O2486" s="2" t="s">
        <v>8398</v>
      </c>
      <c r="P2486" s="2" t="s">
        <v>8399</v>
      </c>
      <c r="Q2486" s="2" t="str">
        <f>"S/D"</f>
        <v>S/D</v>
      </c>
      <c r="R2486" s="2" t="s">
        <v>107</v>
      </c>
      <c r="S2486" s="2" t="s">
        <v>107</v>
      </c>
      <c r="T2486" s="2">
        <v>2</v>
      </c>
      <c r="U2486" s="2" t="s">
        <v>123</v>
      </c>
      <c r="V2486" s="2">
        <v>1</v>
      </c>
      <c r="W2486" s="2" t="s">
        <v>80</v>
      </c>
      <c r="X2486" s="2">
        <v>5</v>
      </c>
      <c r="Y2486" s="2" t="s">
        <v>82</v>
      </c>
      <c r="Z2486" s="2">
        <v>1</v>
      </c>
      <c r="AA2486" s="2" t="s">
        <v>82</v>
      </c>
      <c r="AB2486" s="2">
        <v>9</v>
      </c>
      <c r="AC2486" s="2" t="s">
        <v>124</v>
      </c>
      <c r="AD2486" s="3">
        <v>40343</v>
      </c>
      <c r="AE2486" s="4">
        <v>0.42708333333333331</v>
      </c>
      <c r="AF2486" s="2"/>
      <c r="AG2486" s="2"/>
      <c r="AH2486" s="2">
        <v>6</v>
      </c>
      <c r="AI2486" s="2" t="s">
        <v>197</v>
      </c>
      <c r="AJ2486" s="2">
        <v>54</v>
      </c>
      <c r="AK2486" s="2" t="s">
        <v>348</v>
      </c>
      <c r="AL2486" s="2">
        <v>18</v>
      </c>
      <c r="AM2486" s="2" t="s">
        <v>82</v>
      </c>
      <c r="AN2486" s="2" t="s">
        <v>107</v>
      </c>
      <c r="AO2486" s="2" t="s">
        <v>2691</v>
      </c>
      <c r="AP2486" s="2">
        <v>11</v>
      </c>
      <c r="AQ2486" s="2" t="s">
        <v>82</v>
      </c>
      <c r="AR2486" s="2" t="s">
        <v>107</v>
      </c>
      <c r="AS2486" s="2" t="s">
        <v>107</v>
      </c>
      <c r="AT2486" s="2" t="s">
        <v>8400</v>
      </c>
      <c r="AU2486" s="2"/>
      <c r="AV2486" s="2"/>
      <c r="AW2486" s="2"/>
      <c r="AX2486" s="2"/>
      <c r="AY2486" s="2">
        <v>1</v>
      </c>
      <c r="AZ2486" s="2" t="s">
        <v>107</v>
      </c>
      <c r="BA2486" s="2">
        <v>1</v>
      </c>
      <c r="BB2486" s="2" t="s">
        <v>107</v>
      </c>
      <c r="BC2486" s="2">
        <v>1</v>
      </c>
      <c r="BD2486" s="2" t="s">
        <v>107</v>
      </c>
      <c r="BE2486" s="2">
        <v>1</v>
      </c>
      <c r="BF2486" s="2" t="s">
        <v>107</v>
      </c>
      <c r="BG2486" s="2" t="s">
        <v>107</v>
      </c>
      <c r="BH2486" s="2"/>
      <c r="BI2486" s="2"/>
      <c r="BJ2486" s="2">
        <v>242</v>
      </c>
      <c r="BK2486" s="2" t="s">
        <v>107</v>
      </c>
      <c r="BL2486" s="2" t="s">
        <v>107</v>
      </c>
      <c r="BM2486" s="2">
        <v>242</v>
      </c>
      <c r="BN2486" s="2" t="s">
        <v>107</v>
      </c>
      <c r="BO2486" s="2" t="s">
        <v>107</v>
      </c>
      <c r="BP2486" s="2">
        <v>242</v>
      </c>
      <c r="BQ2486" s="2" t="s">
        <v>107</v>
      </c>
      <c r="BR2486" s="2" t="s">
        <v>107</v>
      </c>
      <c r="BS2486" s="3">
        <v>40343</v>
      </c>
      <c r="BT2486" s="4">
        <v>0.47192129629629626</v>
      </c>
    </row>
    <row r="2487" spans="1:72" x14ac:dyDescent="0.25">
      <c r="A2487" s="2">
        <v>3617</v>
      </c>
      <c r="B2487" s="2">
        <v>2010</v>
      </c>
      <c r="C2487" s="2" t="s">
        <v>4543</v>
      </c>
      <c r="D2487" s="2" t="s">
        <v>122</v>
      </c>
      <c r="E2487" s="2" t="s">
        <v>8401</v>
      </c>
      <c r="F2487" s="2">
        <v>1</v>
      </c>
      <c r="G2487" s="2" t="s">
        <v>82</v>
      </c>
      <c r="H2487" s="2">
        <v>1</v>
      </c>
      <c r="I2487" s="2" t="s">
        <v>82</v>
      </c>
      <c r="J2487" s="2">
        <v>1</v>
      </c>
      <c r="K2487" s="2" t="s">
        <v>107</v>
      </c>
      <c r="L2487" s="2" t="s">
        <v>107</v>
      </c>
      <c r="M2487" s="3">
        <v>40343</v>
      </c>
      <c r="N2487" s="2"/>
      <c r="O2487" s="2"/>
      <c r="P2487" s="2"/>
      <c r="Q2487" s="2" t="str">
        <f>""</f>
        <v/>
      </c>
      <c r="R2487" s="2"/>
      <c r="S2487" s="2"/>
      <c r="T2487" s="2">
        <v>2</v>
      </c>
      <c r="U2487" s="2" t="s">
        <v>123</v>
      </c>
      <c r="V2487" s="2">
        <v>1</v>
      </c>
      <c r="W2487" s="2" t="s">
        <v>80</v>
      </c>
      <c r="X2487" s="2">
        <v>5</v>
      </c>
      <c r="Y2487" s="2" t="s">
        <v>82</v>
      </c>
      <c r="Z2487" s="2">
        <v>1</v>
      </c>
      <c r="AA2487" s="2" t="s">
        <v>82</v>
      </c>
      <c r="AB2487" s="2">
        <v>9</v>
      </c>
      <c r="AC2487" s="2" t="s">
        <v>124</v>
      </c>
      <c r="AD2487" s="3">
        <v>40343</v>
      </c>
      <c r="AE2487" s="4">
        <v>0.46527777777777773</v>
      </c>
      <c r="AF2487" s="2"/>
      <c r="AG2487" s="2"/>
      <c r="AH2487" s="2">
        <v>4</v>
      </c>
      <c r="AI2487" s="2" t="s">
        <v>125</v>
      </c>
      <c r="AJ2487" s="2">
        <v>29</v>
      </c>
      <c r="AK2487" s="2" t="s">
        <v>227</v>
      </c>
      <c r="AL2487" s="2">
        <v>19</v>
      </c>
      <c r="AM2487" s="2" t="s">
        <v>107</v>
      </c>
      <c r="AN2487" s="2" t="s">
        <v>8392</v>
      </c>
      <c r="AO2487" s="2"/>
      <c r="AP2487" s="2">
        <v>11</v>
      </c>
      <c r="AQ2487" s="2" t="s">
        <v>82</v>
      </c>
      <c r="AR2487" s="2"/>
      <c r="AS2487" s="2"/>
      <c r="AT2487" s="2" t="s">
        <v>8402</v>
      </c>
      <c r="AU2487" s="2"/>
      <c r="AV2487" s="2"/>
      <c r="AW2487" s="2"/>
      <c r="AX2487" s="2"/>
      <c r="AY2487" s="2">
        <v>1</v>
      </c>
      <c r="AZ2487" s="2" t="s">
        <v>107</v>
      </c>
      <c r="BA2487" s="2">
        <v>1</v>
      </c>
      <c r="BB2487" s="2" t="s">
        <v>107</v>
      </c>
      <c r="BC2487" s="2">
        <v>1</v>
      </c>
      <c r="BD2487" s="2" t="s">
        <v>107</v>
      </c>
      <c r="BE2487" s="2">
        <v>1</v>
      </c>
      <c r="BF2487" s="2" t="s">
        <v>107</v>
      </c>
      <c r="BG2487" s="2"/>
      <c r="BH2487" s="2"/>
      <c r="BI2487" s="2"/>
      <c r="BJ2487" s="2">
        <v>242</v>
      </c>
      <c r="BK2487" s="2" t="s">
        <v>107</v>
      </c>
      <c r="BL2487" s="2"/>
      <c r="BM2487" s="2">
        <v>242</v>
      </c>
      <c r="BN2487" s="2" t="s">
        <v>107</v>
      </c>
      <c r="BO2487" s="2"/>
      <c r="BP2487" s="2">
        <v>242</v>
      </c>
      <c r="BQ2487" s="2" t="s">
        <v>107</v>
      </c>
      <c r="BR2487" s="2"/>
      <c r="BS2487" s="3">
        <v>40343</v>
      </c>
      <c r="BT2487" s="4">
        <v>0.49380787037037038</v>
      </c>
    </row>
    <row r="2488" spans="1:72" x14ac:dyDescent="0.25">
      <c r="A2488" s="2">
        <v>3620</v>
      </c>
      <c r="B2488" s="2">
        <v>2010</v>
      </c>
      <c r="C2488" s="2" t="s">
        <v>171</v>
      </c>
      <c r="D2488" s="2" t="s">
        <v>122</v>
      </c>
      <c r="E2488" s="2" t="s">
        <v>8403</v>
      </c>
      <c r="F2488" s="2">
        <v>393</v>
      </c>
      <c r="G2488" s="2" t="s">
        <v>3660</v>
      </c>
      <c r="H2488" s="2">
        <v>3</v>
      </c>
      <c r="I2488" s="2" t="s">
        <v>315</v>
      </c>
      <c r="J2488" s="2">
        <v>2</v>
      </c>
      <c r="K2488" s="2" t="s">
        <v>3661</v>
      </c>
      <c r="L2488" s="2" t="s">
        <v>3662</v>
      </c>
      <c r="M2488" s="3">
        <v>40343</v>
      </c>
      <c r="N2488" s="2" t="s">
        <v>3663</v>
      </c>
      <c r="O2488" s="2" t="s">
        <v>8230</v>
      </c>
      <c r="P2488" s="2">
        <v>5745</v>
      </c>
      <c r="Q2488" s="2" t="str">
        <f>""</f>
        <v/>
      </c>
      <c r="R2488" s="2"/>
      <c r="S2488" s="2"/>
      <c r="T2488" s="2">
        <v>1</v>
      </c>
      <c r="U2488" s="2" t="s">
        <v>79</v>
      </c>
      <c r="V2488" s="2">
        <v>1</v>
      </c>
      <c r="W2488" s="2" t="s">
        <v>80</v>
      </c>
      <c r="X2488" s="2">
        <v>11</v>
      </c>
      <c r="Y2488" s="2" t="s">
        <v>1920</v>
      </c>
      <c r="Z2488" s="2">
        <v>10</v>
      </c>
      <c r="AA2488" s="2" t="s">
        <v>236</v>
      </c>
      <c r="AB2488" s="2">
        <v>1</v>
      </c>
      <c r="AC2488" s="2" t="s">
        <v>178</v>
      </c>
      <c r="AD2488" s="3">
        <v>40343</v>
      </c>
      <c r="AE2488" s="4">
        <v>0.29166666666666669</v>
      </c>
      <c r="AF2488" s="2"/>
      <c r="AG2488" s="2"/>
      <c r="AH2488" s="2">
        <v>2</v>
      </c>
      <c r="AI2488" s="2" t="s">
        <v>84</v>
      </c>
      <c r="AJ2488" s="2">
        <v>6</v>
      </c>
      <c r="AK2488" s="2" t="s">
        <v>453</v>
      </c>
      <c r="AL2488" s="2">
        <v>23</v>
      </c>
      <c r="AM2488" s="2" t="s">
        <v>251</v>
      </c>
      <c r="AN2488" s="2" t="s">
        <v>8404</v>
      </c>
      <c r="AO2488" s="2" t="s">
        <v>1394</v>
      </c>
      <c r="AP2488" s="2">
        <v>11</v>
      </c>
      <c r="AQ2488" s="2" t="s">
        <v>82</v>
      </c>
      <c r="AR2488" s="2"/>
      <c r="AS2488" s="2"/>
      <c r="AT2488" s="2" t="s">
        <v>8405</v>
      </c>
      <c r="AU2488" s="2"/>
      <c r="AV2488" s="2">
        <v>1</v>
      </c>
      <c r="AW2488" s="2"/>
      <c r="AX2488" s="2"/>
      <c r="AY2488" s="2">
        <v>42</v>
      </c>
      <c r="AZ2488" s="2" t="s">
        <v>182</v>
      </c>
      <c r="BA2488" s="2">
        <v>70</v>
      </c>
      <c r="BB2488" s="2" t="s">
        <v>236</v>
      </c>
      <c r="BC2488" s="2">
        <v>70</v>
      </c>
      <c r="BD2488" s="2" t="s">
        <v>236</v>
      </c>
      <c r="BE2488" s="2">
        <v>41</v>
      </c>
      <c r="BF2488" s="2" t="s">
        <v>82</v>
      </c>
      <c r="BG2488" s="2"/>
      <c r="BH2488" s="2"/>
      <c r="BI2488" s="2"/>
      <c r="BJ2488" s="2">
        <v>241</v>
      </c>
      <c r="BK2488" s="2" t="s">
        <v>82</v>
      </c>
      <c r="BL2488" s="2"/>
      <c r="BM2488" s="2">
        <v>241</v>
      </c>
      <c r="BN2488" s="2" t="s">
        <v>82</v>
      </c>
      <c r="BO2488" s="2"/>
      <c r="BP2488" s="2">
        <v>241</v>
      </c>
      <c r="BQ2488" s="2" t="s">
        <v>82</v>
      </c>
      <c r="BR2488" s="2"/>
      <c r="BS2488" s="3">
        <v>40343</v>
      </c>
      <c r="BT2488" s="4">
        <v>0.53307870370370369</v>
      </c>
    </row>
    <row r="2489" spans="1:72" x14ac:dyDescent="0.25">
      <c r="A2489" s="2">
        <v>3623</v>
      </c>
      <c r="B2489" s="2">
        <v>2010</v>
      </c>
      <c r="C2489" s="2" t="s">
        <v>72</v>
      </c>
      <c r="D2489" s="2" t="s">
        <v>73</v>
      </c>
      <c r="E2489" s="2"/>
      <c r="F2489" s="2">
        <v>170</v>
      </c>
      <c r="G2489" s="2" t="s">
        <v>7892</v>
      </c>
      <c r="H2489" s="2">
        <v>22</v>
      </c>
      <c r="I2489" s="2" t="s">
        <v>75</v>
      </c>
      <c r="J2489" s="2">
        <v>550</v>
      </c>
      <c r="K2489" s="2" t="s">
        <v>6744</v>
      </c>
      <c r="L2489" s="2" t="s">
        <v>6745</v>
      </c>
      <c r="M2489" s="3">
        <v>40343</v>
      </c>
      <c r="N2489" s="2" t="s">
        <v>8406</v>
      </c>
      <c r="O2489" s="2" t="s">
        <v>107</v>
      </c>
      <c r="P2489" s="2" t="s">
        <v>107</v>
      </c>
      <c r="Q2489" s="2" t="str">
        <f>"211-A/10"</f>
        <v>211-A/10</v>
      </c>
      <c r="R2489" s="2" t="s">
        <v>107</v>
      </c>
      <c r="S2489" s="2" t="s">
        <v>78</v>
      </c>
      <c r="T2489" s="2">
        <v>1</v>
      </c>
      <c r="U2489" s="2" t="s">
        <v>79</v>
      </c>
      <c r="V2489" s="2">
        <v>1</v>
      </c>
      <c r="W2489" s="2" t="s">
        <v>80</v>
      </c>
      <c r="X2489" s="2">
        <v>12</v>
      </c>
      <c r="Y2489" s="2" t="s">
        <v>148</v>
      </c>
      <c r="Z2489" s="2">
        <v>1</v>
      </c>
      <c r="AA2489" s="2" t="s">
        <v>82</v>
      </c>
      <c r="AB2489" s="2">
        <v>6</v>
      </c>
      <c r="AC2489" s="2" t="s">
        <v>83</v>
      </c>
      <c r="AD2489" s="3">
        <v>40343</v>
      </c>
      <c r="AE2489" s="2"/>
      <c r="AF2489" s="3">
        <v>40343</v>
      </c>
      <c r="AG2489" s="4">
        <v>0.54166666666666663</v>
      </c>
      <c r="AH2489" s="2">
        <v>2</v>
      </c>
      <c r="AI2489" s="2" t="s">
        <v>84</v>
      </c>
      <c r="AJ2489" s="2">
        <v>12</v>
      </c>
      <c r="AK2489" s="2" t="s">
        <v>85</v>
      </c>
      <c r="AL2489" s="2">
        <v>14</v>
      </c>
      <c r="AM2489" s="2" t="s">
        <v>216</v>
      </c>
      <c r="AN2489" s="2" t="s">
        <v>8407</v>
      </c>
      <c r="AO2489" s="2" t="s">
        <v>8408</v>
      </c>
      <c r="AP2489" s="2">
        <v>11</v>
      </c>
      <c r="AQ2489" s="2" t="s">
        <v>82</v>
      </c>
      <c r="AR2489" s="2"/>
      <c r="AS2489" s="2"/>
      <c r="AT2489" s="2" t="s">
        <v>8409</v>
      </c>
      <c r="AU2489" s="2"/>
      <c r="AV2489" s="2"/>
      <c r="AW2489" s="2"/>
      <c r="AX2489" s="2"/>
      <c r="AY2489" s="2">
        <v>41</v>
      </c>
      <c r="AZ2489" s="2" t="s">
        <v>82</v>
      </c>
      <c r="BA2489" s="2">
        <v>41</v>
      </c>
      <c r="BB2489" s="2" t="s">
        <v>82</v>
      </c>
      <c r="BC2489" s="2">
        <v>41</v>
      </c>
      <c r="BD2489" s="2" t="s">
        <v>82</v>
      </c>
      <c r="BE2489" s="2">
        <v>13</v>
      </c>
      <c r="BF2489" s="2" t="s">
        <v>108</v>
      </c>
      <c r="BG2489" s="2" t="s">
        <v>8410</v>
      </c>
      <c r="BH2489" s="4">
        <v>0.66666666666666663</v>
      </c>
      <c r="BI2489" s="4">
        <v>0.60416666666666663</v>
      </c>
      <c r="BJ2489" s="2">
        <v>13</v>
      </c>
      <c r="BK2489" s="2" t="s">
        <v>91</v>
      </c>
      <c r="BL2489" s="2" t="s">
        <v>185</v>
      </c>
      <c r="BM2489" s="2">
        <v>241</v>
      </c>
      <c r="BN2489" s="2" t="s">
        <v>82</v>
      </c>
      <c r="BO2489" s="2"/>
      <c r="BP2489" s="2">
        <v>13</v>
      </c>
      <c r="BQ2489" s="2" t="s">
        <v>91</v>
      </c>
      <c r="BR2489" s="2" t="s">
        <v>1199</v>
      </c>
      <c r="BS2489" s="3">
        <v>40343</v>
      </c>
      <c r="BT2489" s="4">
        <v>0.70803240740740747</v>
      </c>
    </row>
    <row r="2490" spans="1:72" x14ac:dyDescent="0.25">
      <c r="A2490" s="2">
        <v>3625</v>
      </c>
      <c r="B2490" s="2">
        <v>2010</v>
      </c>
      <c r="C2490" s="2" t="s">
        <v>255</v>
      </c>
      <c r="D2490" s="2" t="s">
        <v>73</v>
      </c>
      <c r="E2490" s="2"/>
      <c r="F2490" s="2">
        <v>638</v>
      </c>
      <c r="G2490" s="2" t="s">
        <v>8288</v>
      </c>
      <c r="H2490" s="2">
        <v>4</v>
      </c>
      <c r="I2490" s="2" t="s">
        <v>173</v>
      </c>
      <c r="J2490" s="2">
        <v>587</v>
      </c>
      <c r="K2490" s="2" t="s">
        <v>8411</v>
      </c>
      <c r="L2490" s="2" t="s">
        <v>8412</v>
      </c>
      <c r="M2490" s="3">
        <v>40343</v>
      </c>
      <c r="N2490" s="2" t="s">
        <v>8413</v>
      </c>
      <c r="O2490" s="2" t="s">
        <v>107</v>
      </c>
      <c r="P2490" s="2" t="s">
        <v>107</v>
      </c>
      <c r="Q2490" s="2" t="str">
        <f>"30 /2010"</f>
        <v>30 /2010</v>
      </c>
      <c r="R2490" s="2" t="s">
        <v>6961</v>
      </c>
      <c r="S2490" s="2" t="s">
        <v>6961</v>
      </c>
      <c r="T2490" s="2">
        <v>1</v>
      </c>
      <c r="U2490" s="2" t="s">
        <v>79</v>
      </c>
      <c r="V2490" s="2">
        <v>1</v>
      </c>
      <c r="W2490" s="2" t="s">
        <v>80</v>
      </c>
      <c r="X2490" s="2">
        <v>12</v>
      </c>
      <c r="Y2490" s="2" t="s">
        <v>148</v>
      </c>
      <c r="Z2490" s="2">
        <v>1</v>
      </c>
      <c r="AA2490" s="2" t="s">
        <v>82</v>
      </c>
      <c r="AB2490" s="2">
        <v>9</v>
      </c>
      <c r="AC2490" s="2" t="s">
        <v>124</v>
      </c>
      <c r="AD2490" s="3">
        <v>40336</v>
      </c>
      <c r="AE2490" s="4">
        <v>0.39583333333333331</v>
      </c>
      <c r="AF2490" s="3">
        <v>40343</v>
      </c>
      <c r="AG2490" s="4">
        <v>0.66666666666666663</v>
      </c>
      <c r="AH2490" s="2">
        <v>3</v>
      </c>
      <c r="AI2490" s="2" t="s">
        <v>214</v>
      </c>
      <c r="AJ2490" s="2">
        <v>24</v>
      </c>
      <c r="AK2490" s="2" t="s">
        <v>215</v>
      </c>
      <c r="AL2490" s="2">
        <v>25</v>
      </c>
      <c r="AM2490" s="2" t="s">
        <v>3073</v>
      </c>
      <c r="AN2490" s="2" t="s">
        <v>8414</v>
      </c>
      <c r="AO2490" s="2"/>
      <c r="AP2490" s="2">
        <v>11</v>
      </c>
      <c r="AQ2490" s="2" t="s">
        <v>82</v>
      </c>
      <c r="AR2490" s="2" t="s">
        <v>82</v>
      </c>
      <c r="AS2490" s="2" t="s">
        <v>82</v>
      </c>
      <c r="AT2490" s="2" t="s">
        <v>8415</v>
      </c>
      <c r="AU2490" s="2"/>
      <c r="AV2490" s="2"/>
      <c r="AW2490" s="2"/>
      <c r="AX2490" s="2"/>
      <c r="AY2490" s="2">
        <v>65</v>
      </c>
      <c r="AZ2490" s="2" t="s">
        <v>3652</v>
      </c>
      <c r="BA2490" s="2">
        <v>65</v>
      </c>
      <c r="BB2490" s="2" t="s">
        <v>3652</v>
      </c>
      <c r="BC2490" s="2">
        <v>41</v>
      </c>
      <c r="BD2490" s="2" t="s">
        <v>82</v>
      </c>
      <c r="BE2490" s="2">
        <v>41</v>
      </c>
      <c r="BF2490" s="2" t="s">
        <v>82</v>
      </c>
      <c r="BG2490" s="2"/>
      <c r="BH2490" s="2"/>
      <c r="BI2490" s="2"/>
      <c r="BJ2490" s="2">
        <v>241</v>
      </c>
      <c r="BK2490" s="2" t="s">
        <v>82</v>
      </c>
      <c r="BL2490" s="2"/>
      <c r="BM2490" s="2">
        <v>241</v>
      </c>
      <c r="BN2490" s="2" t="s">
        <v>82</v>
      </c>
      <c r="BO2490" s="2"/>
      <c r="BP2490" s="2">
        <v>241</v>
      </c>
      <c r="BQ2490" s="2" t="s">
        <v>82</v>
      </c>
      <c r="BR2490" s="2" t="s">
        <v>107</v>
      </c>
      <c r="BS2490" s="3">
        <v>40343</v>
      </c>
      <c r="BT2490" s="4">
        <v>0.74446759259259254</v>
      </c>
    </row>
    <row r="2491" spans="1:72" x14ac:dyDescent="0.25">
      <c r="A2491" s="2">
        <v>3626</v>
      </c>
      <c r="B2491" s="2">
        <v>2010</v>
      </c>
      <c r="C2491" s="2" t="s">
        <v>819</v>
      </c>
      <c r="D2491" s="2" t="s">
        <v>73</v>
      </c>
      <c r="E2491" s="2" t="s">
        <v>8416</v>
      </c>
      <c r="F2491" s="2">
        <v>451</v>
      </c>
      <c r="G2491" s="2" t="s">
        <v>879</v>
      </c>
      <c r="H2491" s="2">
        <v>31</v>
      </c>
      <c r="I2491" s="2" t="s">
        <v>880</v>
      </c>
      <c r="J2491" s="2">
        <v>326</v>
      </c>
      <c r="K2491" s="2" t="s">
        <v>881</v>
      </c>
      <c r="L2491" s="2" t="s">
        <v>882</v>
      </c>
      <c r="M2491" s="3">
        <v>40343</v>
      </c>
      <c r="N2491" s="2" t="s">
        <v>1072</v>
      </c>
      <c r="O2491" s="2" t="s">
        <v>8417</v>
      </c>
      <c r="P2491" s="2" t="s">
        <v>8418</v>
      </c>
      <c r="Q2491" s="2" t="str">
        <f>"063/10"</f>
        <v>063/10</v>
      </c>
      <c r="R2491" s="2"/>
      <c r="S2491" s="2" t="s">
        <v>822</v>
      </c>
      <c r="T2491" s="2">
        <v>1</v>
      </c>
      <c r="U2491" s="2" t="s">
        <v>79</v>
      </c>
      <c r="V2491" s="2">
        <v>1</v>
      </c>
      <c r="W2491" s="2" t="s">
        <v>80</v>
      </c>
      <c r="X2491" s="2">
        <v>1</v>
      </c>
      <c r="Y2491" s="2" t="s">
        <v>81</v>
      </c>
      <c r="Z2491" s="2">
        <v>1</v>
      </c>
      <c r="AA2491" s="2" t="s">
        <v>82</v>
      </c>
      <c r="AB2491" s="2">
        <v>9</v>
      </c>
      <c r="AC2491" s="2" t="s">
        <v>124</v>
      </c>
      <c r="AD2491" s="3">
        <v>40343</v>
      </c>
      <c r="AE2491" s="4">
        <v>0.72916666666666663</v>
      </c>
      <c r="AF2491" s="2"/>
      <c r="AG2491" s="2"/>
      <c r="AH2491" s="2">
        <v>4</v>
      </c>
      <c r="AI2491" s="2" t="s">
        <v>125</v>
      </c>
      <c r="AJ2491" s="2">
        <v>29</v>
      </c>
      <c r="AK2491" s="2" t="s">
        <v>227</v>
      </c>
      <c r="AL2491" s="2">
        <v>16</v>
      </c>
      <c r="AM2491" s="2" t="s">
        <v>392</v>
      </c>
      <c r="AN2491" s="2" t="s">
        <v>6877</v>
      </c>
      <c r="AO2491" s="2"/>
      <c r="AP2491" s="2">
        <v>12</v>
      </c>
      <c r="AQ2491" s="2" t="s">
        <v>322</v>
      </c>
      <c r="AR2491" s="2" t="s">
        <v>824</v>
      </c>
      <c r="AS2491" s="2" t="s">
        <v>825</v>
      </c>
      <c r="AT2491" s="2" t="s">
        <v>8419</v>
      </c>
      <c r="AU2491" s="2"/>
      <c r="AV2491" s="2"/>
      <c r="AW2491" s="2"/>
      <c r="AX2491" s="2"/>
      <c r="AY2491" s="2">
        <v>41</v>
      </c>
      <c r="AZ2491" s="2" t="s">
        <v>82</v>
      </c>
      <c r="BA2491" s="2">
        <v>41</v>
      </c>
      <c r="BB2491" s="2" t="s">
        <v>82</v>
      </c>
      <c r="BC2491" s="2">
        <v>51</v>
      </c>
      <c r="BD2491" s="2" t="s">
        <v>827</v>
      </c>
      <c r="BE2491" s="2">
        <v>47</v>
      </c>
      <c r="BF2491" s="2" t="s">
        <v>167</v>
      </c>
      <c r="BG2491" s="2">
        <v>2459</v>
      </c>
      <c r="BH2491" s="4">
        <v>0.90972222222222221</v>
      </c>
      <c r="BI2491" s="4">
        <v>0.94444444444444453</v>
      </c>
      <c r="BJ2491" s="2">
        <v>13</v>
      </c>
      <c r="BK2491" s="2" t="s">
        <v>91</v>
      </c>
      <c r="BL2491" s="2" t="s">
        <v>828</v>
      </c>
      <c r="BM2491" s="2">
        <v>241</v>
      </c>
      <c r="BN2491" s="2" t="s">
        <v>82</v>
      </c>
      <c r="BO2491" s="2" t="s">
        <v>82</v>
      </c>
      <c r="BP2491" s="2">
        <v>13</v>
      </c>
      <c r="BQ2491" s="2" t="s">
        <v>91</v>
      </c>
      <c r="BR2491" s="2" t="s">
        <v>185</v>
      </c>
      <c r="BS2491" s="3">
        <v>40343</v>
      </c>
      <c r="BT2491" s="4">
        <v>0.7560069444444445</v>
      </c>
    </row>
    <row r="2492" spans="1:72" x14ac:dyDescent="0.25">
      <c r="A2492" s="2">
        <v>3628</v>
      </c>
      <c r="B2492" s="2">
        <v>2010</v>
      </c>
      <c r="C2492" s="2" t="s">
        <v>93</v>
      </c>
      <c r="D2492" s="2" t="s">
        <v>73</v>
      </c>
      <c r="E2492" s="2"/>
      <c r="F2492" s="2">
        <v>484</v>
      </c>
      <c r="G2492" s="2" t="s">
        <v>1492</v>
      </c>
      <c r="H2492" s="2">
        <v>1</v>
      </c>
      <c r="I2492" s="2" t="s">
        <v>82</v>
      </c>
      <c r="J2492" s="2">
        <v>1</v>
      </c>
      <c r="K2492" s="2" t="s">
        <v>107</v>
      </c>
      <c r="L2492" s="2" t="s">
        <v>107</v>
      </c>
      <c r="M2492" s="3">
        <v>40343</v>
      </c>
      <c r="N2492" s="2" t="s">
        <v>82</v>
      </c>
      <c r="O2492" s="2" t="s">
        <v>8420</v>
      </c>
      <c r="P2492" s="2"/>
      <c r="Q2492" s="2" t="str">
        <f>"N/C"</f>
        <v>N/C</v>
      </c>
      <c r="R2492" s="2" t="s">
        <v>82</v>
      </c>
      <c r="S2492" s="2" t="s">
        <v>82</v>
      </c>
      <c r="T2492" s="2">
        <v>1</v>
      </c>
      <c r="U2492" s="2" t="s">
        <v>79</v>
      </c>
      <c r="V2492" s="2">
        <v>1</v>
      </c>
      <c r="W2492" s="2" t="s">
        <v>80</v>
      </c>
      <c r="X2492" s="2">
        <v>1</v>
      </c>
      <c r="Y2492" s="2" t="s">
        <v>81</v>
      </c>
      <c r="Z2492" s="2">
        <v>1</v>
      </c>
      <c r="AA2492" s="2" t="s">
        <v>82</v>
      </c>
      <c r="AB2492" s="2">
        <v>2</v>
      </c>
      <c r="AC2492" s="2" t="s">
        <v>102</v>
      </c>
      <c r="AD2492" s="3">
        <v>40343</v>
      </c>
      <c r="AE2492" s="4">
        <v>0.54166666666666663</v>
      </c>
      <c r="AF2492" s="2"/>
      <c r="AG2492" s="2"/>
      <c r="AH2492" s="2">
        <v>6</v>
      </c>
      <c r="AI2492" s="2" t="s">
        <v>197</v>
      </c>
      <c r="AJ2492" s="2">
        <v>61</v>
      </c>
      <c r="AK2492" s="2" t="s">
        <v>686</v>
      </c>
      <c r="AL2492" s="2">
        <v>11</v>
      </c>
      <c r="AM2492" s="2" t="s">
        <v>137</v>
      </c>
      <c r="AN2492" s="2" t="s">
        <v>2949</v>
      </c>
      <c r="AO2492" s="2"/>
      <c r="AP2492" s="2">
        <v>11</v>
      </c>
      <c r="AQ2492" s="2" t="s">
        <v>82</v>
      </c>
      <c r="AR2492" s="2"/>
      <c r="AS2492" s="2"/>
      <c r="AT2492" s="2" t="s">
        <v>8421</v>
      </c>
      <c r="AU2492" s="2"/>
      <c r="AV2492" s="2"/>
      <c r="AW2492" s="2"/>
      <c r="AX2492" s="2"/>
      <c r="AY2492" s="2">
        <v>1</v>
      </c>
      <c r="AZ2492" s="2" t="s">
        <v>107</v>
      </c>
      <c r="BA2492" s="2">
        <v>1</v>
      </c>
      <c r="BB2492" s="2" t="s">
        <v>107</v>
      </c>
      <c r="BC2492" s="2">
        <v>1</v>
      </c>
      <c r="BD2492" s="2" t="s">
        <v>107</v>
      </c>
      <c r="BE2492" s="2">
        <v>42</v>
      </c>
      <c r="BF2492" s="2" t="s">
        <v>182</v>
      </c>
      <c r="BG2492" s="2">
        <v>474</v>
      </c>
      <c r="BH2492" s="2"/>
      <c r="BI2492" s="4">
        <v>0.5625</v>
      </c>
      <c r="BJ2492" s="2">
        <v>13</v>
      </c>
      <c r="BK2492" s="2" t="s">
        <v>91</v>
      </c>
      <c r="BL2492" s="2" t="s">
        <v>690</v>
      </c>
      <c r="BM2492" s="2">
        <v>242</v>
      </c>
      <c r="BN2492" s="2" t="s">
        <v>107</v>
      </c>
      <c r="BO2492" s="2"/>
      <c r="BP2492" s="2">
        <v>13</v>
      </c>
      <c r="BQ2492" s="2" t="s">
        <v>91</v>
      </c>
      <c r="BR2492" s="2" t="s">
        <v>353</v>
      </c>
      <c r="BS2492" s="3">
        <v>40343</v>
      </c>
      <c r="BT2492" s="4">
        <v>0.80655092592592592</v>
      </c>
    </row>
    <row r="2493" spans="1:72" x14ac:dyDescent="0.25">
      <c r="A2493" s="2">
        <v>3629</v>
      </c>
      <c r="B2493" s="2">
        <v>2010</v>
      </c>
      <c r="C2493" s="2" t="s">
        <v>93</v>
      </c>
      <c r="D2493" s="2" t="s">
        <v>73</v>
      </c>
      <c r="E2493" s="2"/>
      <c r="F2493" s="2">
        <v>221</v>
      </c>
      <c r="G2493" s="2" t="s">
        <v>8422</v>
      </c>
      <c r="H2493" s="2">
        <v>78</v>
      </c>
      <c r="I2493" s="2" t="s">
        <v>4147</v>
      </c>
      <c r="J2493" s="2">
        <v>234</v>
      </c>
      <c r="K2493" s="2" t="s">
        <v>8423</v>
      </c>
      <c r="L2493" s="2" t="s">
        <v>8424</v>
      </c>
      <c r="M2493" s="3">
        <v>40343</v>
      </c>
      <c r="N2493" s="2" t="s">
        <v>8425</v>
      </c>
      <c r="O2493" s="2" t="s">
        <v>601</v>
      </c>
      <c r="P2493" s="2">
        <v>81015</v>
      </c>
      <c r="Q2493" s="2" t="str">
        <f>"0086/2010"</f>
        <v>0086/2010</v>
      </c>
      <c r="R2493" s="2"/>
      <c r="S2493" s="2" t="s">
        <v>1695</v>
      </c>
      <c r="T2493" s="2">
        <v>1</v>
      </c>
      <c r="U2493" s="2" t="s">
        <v>79</v>
      </c>
      <c r="V2493" s="2">
        <v>1</v>
      </c>
      <c r="W2493" s="2" t="s">
        <v>80</v>
      </c>
      <c r="X2493" s="2">
        <v>3</v>
      </c>
      <c r="Y2493" s="2" t="s">
        <v>698</v>
      </c>
      <c r="Z2493" s="2">
        <v>9</v>
      </c>
      <c r="AA2493" s="2" t="s">
        <v>1119</v>
      </c>
      <c r="AB2493" s="2">
        <v>2</v>
      </c>
      <c r="AC2493" s="2" t="s">
        <v>102</v>
      </c>
      <c r="AD2493" s="3">
        <v>40343</v>
      </c>
      <c r="AE2493" s="4">
        <v>0.78125</v>
      </c>
      <c r="AF2493" s="2"/>
      <c r="AG2493" s="2"/>
      <c r="AH2493" s="2">
        <v>5</v>
      </c>
      <c r="AI2493" s="2" t="s">
        <v>274</v>
      </c>
      <c r="AJ2493" s="2">
        <v>38</v>
      </c>
      <c r="AK2493" s="2" t="s">
        <v>1120</v>
      </c>
      <c r="AL2493" s="2">
        <v>14</v>
      </c>
      <c r="AM2493" s="2" t="s">
        <v>216</v>
      </c>
      <c r="AN2493" s="2"/>
      <c r="AO2493" s="2" t="s">
        <v>5741</v>
      </c>
      <c r="AP2493" s="2">
        <v>11</v>
      </c>
      <c r="AQ2493" s="2" t="s">
        <v>82</v>
      </c>
      <c r="AR2493" s="2"/>
      <c r="AS2493" s="2"/>
      <c r="AT2493" s="2" t="s">
        <v>8426</v>
      </c>
      <c r="AU2493" s="2"/>
      <c r="AV2493" s="2"/>
      <c r="AW2493" s="2"/>
      <c r="AX2493" s="2"/>
      <c r="AY2493" s="2">
        <v>41</v>
      </c>
      <c r="AZ2493" s="2" t="s">
        <v>82</v>
      </c>
      <c r="BA2493" s="2">
        <v>41</v>
      </c>
      <c r="BB2493" s="2" t="s">
        <v>82</v>
      </c>
      <c r="BC2493" s="2">
        <v>41</v>
      </c>
      <c r="BD2493" s="2" t="s">
        <v>82</v>
      </c>
      <c r="BE2493" s="2">
        <v>47</v>
      </c>
      <c r="BF2493" s="2" t="s">
        <v>167</v>
      </c>
      <c r="BG2493" s="2">
        <v>2729</v>
      </c>
      <c r="BH2493" s="4">
        <v>0.77083333333333337</v>
      </c>
      <c r="BI2493" s="4">
        <v>0.79166666666666663</v>
      </c>
      <c r="BJ2493" s="2">
        <v>13</v>
      </c>
      <c r="BK2493" s="2" t="s">
        <v>91</v>
      </c>
      <c r="BL2493" s="2" t="s">
        <v>1697</v>
      </c>
      <c r="BM2493" s="2">
        <v>13</v>
      </c>
      <c r="BN2493" s="2" t="s">
        <v>91</v>
      </c>
      <c r="BO2493" s="2"/>
      <c r="BP2493" s="2">
        <v>13</v>
      </c>
      <c r="BQ2493" s="2" t="s">
        <v>91</v>
      </c>
      <c r="BR2493" s="2" t="s">
        <v>170</v>
      </c>
      <c r="BS2493" s="3">
        <v>40343</v>
      </c>
      <c r="BT2493" s="4">
        <v>0.81370370370370371</v>
      </c>
    </row>
    <row r="2494" spans="1:72" x14ac:dyDescent="0.25">
      <c r="A2494" s="2">
        <v>3630</v>
      </c>
      <c r="B2494" s="2">
        <v>2010</v>
      </c>
      <c r="C2494" s="2" t="s">
        <v>72</v>
      </c>
      <c r="D2494" s="2" t="s">
        <v>73</v>
      </c>
      <c r="E2494" s="2"/>
      <c r="F2494" s="2">
        <v>169</v>
      </c>
      <c r="G2494" s="2" t="s">
        <v>1009</v>
      </c>
      <c r="H2494" s="2">
        <v>121</v>
      </c>
      <c r="I2494" s="2" t="s">
        <v>7931</v>
      </c>
      <c r="J2494" s="2">
        <v>305</v>
      </c>
      <c r="K2494" s="2" t="s">
        <v>160</v>
      </c>
      <c r="L2494" s="2" t="s">
        <v>161</v>
      </c>
      <c r="M2494" s="3">
        <v>40343</v>
      </c>
      <c r="N2494" s="2" t="s">
        <v>8427</v>
      </c>
      <c r="O2494" s="2"/>
      <c r="P2494" s="2" t="s">
        <v>107</v>
      </c>
      <c r="Q2494" s="2" t="str">
        <f>"212-A/10"</f>
        <v>212-A/10</v>
      </c>
      <c r="R2494" s="2" t="s">
        <v>116</v>
      </c>
      <c r="S2494" s="2" t="s">
        <v>116</v>
      </c>
      <c r="T2494" s="2">
        <v>1</v>
      </c>
      <c r="U2494" s="2" t="s">
        <v>79</v>
      </c>
      <c r="V2494" s="2">
        <v>1</v>
      </c>
      <c r="W2494" s="2" t="s">
        <v>80</v>
      </c>
      <c r="X2494" s="2">
        <v>1</v>
      </c>
      <c r="Y2494" s="2" t="s">
        <v>81</v>
      </c>
      <c r="Z2494" s="2">
        <v>1</v>
      </c>
      <c r="AA2494" s="2" t="s">
        <v>82</v>
      </c>
      <c r="AB2494" s="2">
        <v>6</v>
      </c>
      <c r="AC2494" s="2" t="s">
        <v>83</v>
      </c>
      <c r="AD2494" s="3">
        <v>40343</v>
      </c>
      <c r="AE2494" s="4">
        <v>0.63541666666666663</v>
      </c>
      <c r="AF2494" s="2"/>
      <c r="AG2494" s="2"/>
      <c r="AH2494" s="2">
        <v>2</v>
      </c>
      <c r="AI2494" s="2" t="s">
        <v>84</v>
      </c>
      <c r="AJ2494" s="2">
        <v>12</v>
      </c>
      <c r="AK2494" s="2" t="s">
        <v>85</v>
      </c>
      <c r="AL2494" s="2">
        <v>23</v>
      </c>
      <c r="AM2494" s="2" t="s">
        <v>251</v>
      </c>
      <c r="AN2494" s="2" t="s">
        <v>8428</v>
      </c>
      <c r="AO2494" s="2" t="s">
        <v>8429</v>
      </c>
      <c r="AP2494" s="2">
        <v>11</v>
      </c>
      <c r="AQ2494" s="2" t="s">
        <v>82</v>
      </c>
      <c r="AR2494" s="2"/>
      <c r="AS2494" s="2"/>
      <c r="AT2494" s="2" t="s">
        <v>8430</v>
      </c>
      <c r="AU2494" s="2">
        <v>2</v>
      </c>
      <c r="AV2494" s="2"/>
      <c r="AW2494" s="2"/>
      <c r="AX2494" s="2"/>
      <c r="AY2494" s="2">
        <v>41</v>
      </c>
      <c r="AZ2494" s="2" t="s">
        <v>82</v>
      </c>
      <c r="BA2494" s="2">
        <v>41</v>
      </c>
      <c r="BB2494" s="2" t="s">
        <v>82</v>
      </c>
      <c r="BC2494" s="2">
        <v>41</v>
      </c>
      <c r="BD2494" s="2" t="s">
        <v>82</v>
      </c>
      <c r="BE2494" s="2">
        <v>41</v>
      </c>
      <c r="BF2494" s="2" t="s">
        <v>82</v>
      </c>
      <c r="BG2494" s="2"/>
      <c r="BH2494" s="2"/>
      <c r="BI2494" s="2"/>
      <c r="BJ2494" s="2">
        <v>241</v>
      </c>
      <c r="BK2494" s="2" t="s">
        <v>82</v>
      </c>
      <c r="BL2494" s="2"/>
      <c r="BM2494" s="2">
        <v>241</v>
      </c>
      <c r="BN2494" s="2" t="s">
        <v>82</v>
      </c>
      <c r="BO2494" s="2"/>
      <c r="BP2494" s="2">
        <v>241</v>
      </c>
      <c r="BQ2494" s="2" t="s">
        <v>82</v>
      </c>
      <c r="BR2494" s="2"/>
      <c r="BS2494" s="3">
        <v>40343</v>
      </c>
      <c r="BT2494" s="4">
        <v>0.92672453703703705</v>
      </c>
    </row>
    <row r="2495" spans="1:72" x14ac:dyDescent="0.25">
      <c r="A2495" s="2">
        <v>3631</v>
      </c>
      <c r="B2495" s="2">
        <v>2010</v>
      </c>
      <c r="C2495" s="2" t="s">
        <v>819</v>
      </c>
      <c r="D2495" s="2" t="s">
        <v>122</v>
      </c>
      <c r="E2495" s="2"/>
      <c r="F2495" s="2">
        <v>425</v>
      </c>
      <c r="G2495" s="2" t="s">
        <v>286</v>
      </c>
      <c r="H2495" s="2">
        <v>122</v>
      </c>
      <c r="I2495" s="2" t="s">
        <v>8431</v>
      </c>
      <c r="J2495" s="2">
        <v>310</v>
      </c>
      <c r="K2495" s="2" t="s">
        <v>288</v>
      </c>
      <c r="L2495" s="2" t="s">
        <v>289</v>
      </c>
      <c r="M2495" s="3">
        <v>40343</v>
      </c>
      <c r="N2495" s="2" t="s">
        <v>2049</v>
      </c>
      <c r="O2495" s="2"/>
      <c r="P2495" s="2"/>
      <c r="Q2495" s="2" t="str">
        <f>"070/10"</f>
        <v>070/10</v>
      </c>
      <c r="R2495" s="2"/>
      <c r="S2495" s="2" t="s">
        <v>822</v>
      </c>
      <c r="T2495" s="2">
        <v>1</v>
      </c>
      <c r="U2495" s="2" t="s">
        <v>79</v>
      </c>
      <c r="V2495" s="2">
        <v>1</v>
      </c>
      <c r="W2495" s="2" t="s">
        <v>80</v>
      </c>
      <c r="X2495" s="2">
        <v>1</v>
      </c>
      <c r="Y2495" s="2" t="s">
        <v>81</v>
      </c>
      <c r="Z2495" s="2">
        <v>10</v>
      </c>
      <c r="AA2495" s="2" t="s">
        <v>236</v>
      </c>
      <c r="AB2495" s="2">
        <v>9</v>
      </c>
      <c r="AC2495" s="2" t="s">
        <v>124</v>
      </c>
      <c r="AD2495" s="3">
        <v>40343</v>
      </c>
      <c r="AE2495" s="4">
        <v>0.91666666666666663</v>
      </c>
      <c r="AF2495" s="2"/>
      <c r="AG2495" s="2"/>
      <c r="AH2495" s="2">
        <v>4</v>
      </c>
      <c r="AI2495" s="2" t="s">
        <v>125</v>
      </c>
      <c r="AJ2495" s="2">
        <v>29</v>
      </c>
      <c r="AK2495" s="2" t="s">
        <v>227</v>
      </c>
      <c r="AL2495" s="2">
        <v>10</v>
      </c>
      <c r="AM2495" s="2" t="s">
        <v>200</v>
      </c>
      <c r="AN2495" s="2" t="s">
        <v>1073</v>
      </c>
      <c r="AO2495" s="2" t="s">
        <v>6863</v>
      </c>
      <c r="AP2495" s="2">
        <v>12</v>
      </c>
      <c r="AQ2495" s="2" t="s">
        <v>322</v>
      </c>
      <c r="AR2495" s="2" t="s">
        <v>824</v>
      </c>
      <c r="AS2495" s="2" t="s">
        <v>825</v>
      </c>
      <c r="AT2495" s="2" t="s">
        <v>8432</v>
      </c>
      <c r="AU2495" s="2"/>
      <c r="AV2495" s="2"/>
      <c r="AW2495" s="2"/>
      <c r="AX2495" s="2"/>
      <c r="AY2495" s="2">
        <v>41</v>
      </c>
      <c r="AZ2495" s="2" t="s">
        <v>82</v>
      </c>
      <c r="BA2495" s="2">
        <v>41</v>
      </c>
      <c r="BB2495" s="2" t="s">
        <v>82</v>
      </c>
      <c r="BC2495" s="2">
        <v>51</v>
      </c>
      <c r="BD2495" s="2" t="s">
        <v>827</v>
      </c>
      <c r="BE2495" s="2">
        <v>47</v>
      </c>
      <c r="BF2495" s="2" t="s">
        <v>167</v>
      </c>
      <c r="BG2495" s="2">
        <v>2459</v>
      </c>
      <c r="BH2495" s="4">
        <v>0.96180555555555547</v>
      </c>
      <c r="BI2495" s="4">
        <v>0.98611111111111116</v>
      </c>
      <c r="BJ2495" s="2">
        <v>13</v>
      </c>
      <c r="BK2495" s="2" t="s">
        <v>91</v>
      </c>
      <c r="BL2495" s="2" t="s">
        <v>828</v>
      </c>
      <c r="BM2495" s="2">
        <v>241</v>
      </c>
      <c r="BN2495" s="2" t="s">
        <v>82</v>
      </c>
      <c r="BO2495" s="2" t="s">
        <v>82</v>
      </c>
      <c r="BP2495" s="2">
        <v>13</v>
      </c>
      <c r="BQ2495" s="2" t="s">
        <v>91</v>
      </c>
      <c r="BR2495" s="2" t="s">
        <v>185</v>
      </c>
      <c r="BS2495" s="3">
        <v>40343</v>
      </c>
      <c r="BT2495" s="4">
        <v>0.95907407407407408</v>
      </c>
    </row>
    <row r="2496" spans="1:72" x14ac:dyDescent="0.25">
      <c r="A2496" s="2">
        <v>3632</v>
      </c>
      <c r="B2496" s="2">
        <v>2010</v>
      </c>
      <c r="C2496" s="2" t="s">
        <v>171</v>
      </c>
      <c r="D2496" s="2" t="s">
        <v>122</v>
      </c>
      <c r="E2496" s="2" t="s">
        <v>8433</v>
      </c>
      <c r="F2496" s="2">
        <v>393</v>
      </c>
      <c r="G2496" s="2" t="s">
        <v>3660</v>
      </c>
      <c r="H2496" s="2">
        <v>3</v>
      </c>
      <c r="I2496" s="2" t="s">
        <v>315</v>
      </c>
      <c r="J2496" s="2">
        <v>2</v>
      </c>
      <c r="K2496" s="2" t="s">
        <v>3661</v>
      </c>
      <c r="L2496" s="2" t="s">
        <v>3662</v>
      </c>
      <c r="M2496" s="3">
        <v>40343</v>
      </c>
      <c r="N2496" s="2" t="s">
        <v>3663</v>
      </c>
      <c r="O2496" s="2" t="s">
        <v>8230</v>
      </c>
      <c r="P2496" s="2">
        <v>5745</v>
      </c>
      <c r="Q2496" s="2" t="str">
        <f>""</f>
        <v/>
      </c>
      <c r="R2496" s="2"/>
      <c r="S2496" s="2"/>
      <c r="T2496" s="2">
        <v>1</v>
      </c>
      <c r="U2496" s="2" t="s">
        <v>79</v>
      </c>
      <c r="V2496" s="2">
        <v>1</v>
      </c>
      <c r="W2496" s="2" t="s">
        <v>80</v>
      </c>
      <c r="X2496" s="2">
        <v>11</v>
      </c>
      <c r="Y2496" s="2" t="s">
        <v>1920</v>
      </c>
      <c r="Z2496" s="2">
        <v>10</v>
      </c>
      <c r="AA2496" s="2" t="s">
        <v>236</v>
      </c>
      <c r="AB2496" s="2">
        <v>1</v>
      </c>
      <c r="AC2496" s="2" t="s">
        <v>178</v>
      </c>
      <c r="AD2496" s="3">
        <v>40343</v>
      </c>
      <c r="AE2496" s="4">
        <v>0.79166666666666663</v>
      </c>
      <c r="AF2496" s="2"/>
      <c r="AG2496" s="2"/>
      <c r="AH2496" s="2">
        <v>2</v>
      </c>
      <c r="AI2496" s="2" t="s">
        <v>84</v>
      </c>
      <c r="AJ2496" s="2">
        <v>6</v>
      </c>
      <c r="AK2496" s="2" t="s">
        <v>453</v>
      </c>
      <c r="AL2496" s="2">
        <v>23</v>
      </c>
      <c r="AM2496" s="2" t="s">
        <v>251</v>
      </c>
      <c r="AN2496" s="2" t="s">
        <v>8404</v>
      </c>
      <c r="AO2496" s="2" t="s">
        <v>1394</v>
      </c>
      <c r="AP2496" s="2">
        <v>11</v>
      </c>
      <c r="AQ2496" s="2" t="s">
        <v>82</v>
      </c>
      <c r="AR2496" s="2"/>
      <c r="AS2496" s="2"/>
      <c r="AT2496" s="2" t="s">
        <v>8434</v>
      </c>
      <c r="AU2496" s="2"/>
      <c r="AV2496" s="2">
        <v>1</v>
      </c>
      <c r="AW2496" s="2"/>
      <c r="AX2496" s="2"/>
      <c r="AY2496" s="2">
        <v>42</v>
      </c>
      <c r="AZ2496" s="2" t="s">
        <v>182</v>
      </c>
      <c r="BA2496" s="2">
        <v>70</v>
      </c>
      <c r="BB2496" s="2" t="s">
        <v>236</v>
      </c>
      <c r="BC2496" s="2">
        <v>70</v>
      </c>
      <c r="BD2496" s="2" t="s">
        <v>236</v>
      </c>
      <c r="BE2496" s="2">
        <v>41</v>
      </c>
      <c r="BF2496" s="2" t="s">
        <v>82</v>
      </c>
      <c r="BG2496" s="2"/>
      <c r="BH2496" s="2"/>
      <c r="BI2496" s="2"/>
      <c r="BJ2496" s="2">
        <v>241</v>
      </c>
      <c r="BK2496" s="2" t="s">
        <v>82</v>
      </c>
      <c r="BL2496" s="2"/>
      <c r="BM2496" s="2">
        <v>241</v>
      </c>
      <c r="BN2496" s="2" t="s">
        <v>82</v>
      </c>
      <c r="BO2496" s="2"/>
      <c r="BP2496" s="2">
        <v>241</v>
      </c>
      <c r="BQ2496" s="2" t="s">
        <v>82</v>
      </c>
      <c r="BR2496" s="2"/>
      <c r="BS2496" s="3">
        <v>40343</v>
      </c>
      <c r="BT2496" s="4">
        <v>0.97748842592592589</v>
      </c>
    </row>
    <row r="2497" spans="1:72" x14ac:dyDescent="0.25">
      <c r="A2497" s="2">
        <v>3633</v>
      </c>
      <c r="B2497" s="2">
        <v>2010</v>
      </c>
      <c r="C2497" s="2" t="s">
        <v>549</v>
      </c>
      <c r="D2497" s="2" t="s">
        <v>73</v>
      </c>
      <c r="E2497" s="2"/>
      <c r="F2497" s="2">
        <v>3</v>
      </c>
      <c r="G2497" s="2" t="s">
        <v>1041</v>
      </c>
      <c r="H2497" s="2">
        <v>1</v>
      </c>
      <c r="I2497" s="2" t="s">
        <v>82</v>
      </c>
      <c r="J2497" s="2">
        <v>368</v>
      </c>
      <c r="K2497" s="2" t="s">
        <v>1042</v>
      </c>
      <c r="L2497" s="2" t="s">
        <v>1043</v>
      </c>
      <c r="M2497" s="3">
        <v>40344</v>
      </c>
      <c r="N2497" s="2"/>
      <c r="O2497" s="2"/>
      <c r="P2497" s="2"/>
      <c r="Q2497" s="2" t="str">
        <f>"319-E/10"</f>
        <v>319-E/10</v>
      </c>
      <c r="R2497" s="2" t="s">
        <v>550</v>
      </c>
      <c r="S2497" s="2"/>
      <c r="T2497" s="2">
        <v>1</v>
      </c>
      <c r="U2497" s="2" t="s">
        <v>79</v>
      </c>
      <c r="V2497" s="2">
        <v>1</v>
      </c>
      <c r="W2497" s="2" t="s">
        <v>80</v>
      </c>
      <c r="X2497" s="2">
        <v>1</v>
      </c>
      <c r="Y2497" s="2" t="s">
        <v>81</v>
      </c>
      <c r="Z2497" s="2">
        <v>1</v>
      </c>
      <c r="AA2497" s="2" t="s">
        <v>82</v>
      </c>
      <c r="AB2497" s="2">
        <v>9</v>
      </c>
      <c r="AC2497" s="2" t="s">
        <v>124</v>
      </c>
      <c r="AD2497" s="3">
        <v>40343</v>
      </c>
      <c r="AE2497" s="4">
        <v>0.73611111111111116</v>
      </c>
      <c r="AF2497" s="2"/>
      <c r="AG2497" s="2"/>
      <c r="AH2497" s="2">
        <v>2</v>
      </c>
      <c r="AI2497" s="2" t="s">
        <v>84</v>
      </c>
      <c r="AJ2497" s="2">
        <v>9</v>
      </c>
      <c r="AK2497" s="2" t="s">
        <v>103</v>
      </c>
      <c r="AL2497" s="2">
        <v>28</v>
      </c>
      <c r="AM2497" s="2" t="s">
        <v>5969</v>
      </c>
      <c r="AN2497" s="2" t="s">
        <v>8435</v>
      </c>
      <c r="AO2497" s="2" t="s">
        <v>8436</v>
      </c>
      <c r="AP2497" s="2">
        <v>11</v>
      </c>
      <c r="AQ2497" s="2" t="s">
        <v>82</v>
      </c>
      <c r="AR2497" s="2"/>
      <c r="AS2497" s="2"/>
      <c r="AT2497" s="2" t="s">
        <v>8437</v>
      </c>
      <c r="AU2497" s="2"/>
      <c r="AV2497" s="2"/>
      <c r="AW2497" s="2"/>
      <c r="AX2497" s="2"/>
      <c r="AY2497" s="2">
        <v>41</v>
      </c>
      <c r="AZ2497" s="2" t="s">
        <v>82</v>
      </c>
      <c r="BA2497" s="2">
        <v>41</v>
      </c>
      <c r="BB2497" s="2" t="s">
        <v>82</v>
      </c>
      <c r="BC2497" s="2">
        <v>41</v>
      </c>
      <c r="BD2497" s="2" t="s">
        <v>82</v>
      </c>
      <c r="BE2497" s="2">
        <v>41</v>
      </c>
      <c r="BF2497" s="2" t="s">
        <v>82</v>
      </c>
      <c r="BG2497" s="2"/>
      <c r="BH2497" s="2"/>
      <c r="BI2497" s="2"/>
      <c r="BJ2497" s="2">
        <v>241</v>
      </c>
      <c r="BK2497" s="2" t="s">
        <v>82</v>
      </c>
      <c r="BL2497" s="2"/>
      <c r="BM2497" s="2">
        <v>241</v>
      </c>
      <c r="BN2497" s="2" t="s">
        <v>82</v>
      </c>
      <c r="BO2497" s="2"/>
      <c r="BP2497" s="2">
        <v>241</v>
      </c>
      <c r="BQ2497" s="2" t="s">
        <v>82</v>
      </c>
      <c r="BR2497" s="2"/>
      <c r="BS2497" s="3">
        <v>40344</v>
      </c>
      <c r="BT2497" s="4">
        <v>1.0995370370370371E-3</v>
      </c>
    </row>
    <row r="2498" spans="1:72" x14ac:dyDescent="0.25">
      <c r="A2498" s="2">
        <v>3634</v>
      </c>
      <c r="B2498" s="2">
        <v>2010</v>
      </c>
      <c r="C2498" s="2" t="s">
        <v>819</v>
      </c>
      <c r="D2498" s="2" t="s">
        <v>73</v>
      </c>
      <c r="E2498" s="2"/>
      <c r="F2498" s="2">
        <v>396</v>
      </c>
      <c r="G2498" s="2" t="s">
        <v>2159</v>
      </c>
      <c r="H2498" s="2">
        <v>9</v>
      </c>
      <c r="I2498" s="2" t="s">
        <v>794</v>
      </c>
      <c r="J2498" s="2">
        <v>243</v>
      </c>
      <c r="K2498" s="2" t="s">
        <v>2160</v>
      </c>
      <c r="L2498" s="2" t="s">
        <v>2145</v>
      </c>
      <c r="M2498" s="3">
        <v>40344</v>
      </c>
      <c r="N2498" s="2" t="s">
        <v>2245</v>
      </c>
      <c r="O2498" s="2" t="s">
        <v>107</v>
      </c>
      <c r="P2498" s="2" t="s">
        <v>107</v>
      </c>
      <c r="Q2498" s="2" t="str">
        <f>"320-E/10"</f>
        <v>320-E/10</v>
      </c>
      <c r="R2498" s="2" t="s">
        <v>8438</v>
      </c>
      <c r="S2498" s="2"/>
      <c r="T2498" s="2">
        <v>1</v>
      </c>
      <c r="U2498" s="2" t="s">
        <v>79</v>
      </c>
      <c r="V2498" s="2">
        <v>1</v>
      </c>
      <c r="W2498" s="2" t="s">
        <v>80</v>
      </c>
      <c r="X2498" s="2">
        <v>1</v>
      </c>
      <c r="Y2498" s="2" t="s">
        <v>81</v>
      </c>
      <c r="Z2498" s="2">
        <v>1</v>
      </c>
      <c r="AA2498" s="2" t="s">
        <v>82</v>
      </c>
      <c r="AB2498" s="2">
        <v>9</v>
      </c>
      <c r="AC2498" s="2" t="s">
        <v>124</v>
      </c>
      <c r="AD2498" s="3">
        <v>40343</v>
      </c>
      <c r="AE2498" s="4">
        <v>0.83333333333333337</v>
      </c>
      <c r="AF2498" s="2"/>
      <c r="AG2498" s="2"/>
      <c r="AH2498" s="2">
        <v>2</v>
      </c>
      <c r="AI2498" s="2" t="s">
        <v>84</v>
      </c>
      <c r="AJ2498" s="2">
        <v>9</v>
      </c>
      <c r="AK2498" s="2" t="s">
        <v>103</v>
      </c>
      <c r="AL2498" s="2">
        <v>11</v>
      </c>
      <c r="AM2498" s="2" t="s">
        <v>137</v>
      </c>
      <c r="AN2498" s="2" t="s">
        <v>919</v>
      </c>
      <c r="AO2498" s="2" t="s">
        <v>590</v>
      </c>
      <c r="AP2498" s="2">
        <v>11</v>
      </c>
      <c r="AQ2498" s="2" t="s">
        <v>82</v>
      </c>
      <c r="AR2498" s="2"/>
      <c r="AS2498" s="2"/>
      <c r="AT2498" s="2" t="s">
        <v>8439</v>
      </c>
      <c r="AU2498" s="2"/>
      <c r="AV2498" s="2"/>
      <c r="AW2498" s="2"/>
      <c r="AX2498" s="2"/>
      <c r="AY2498" s="2">
        <v>41</v>
      </c>
      <c r="AZ2498" s="2" t="s">
        <v>82</v>
      </c>
      <c r="BA2498" s="2">
        <v>41</v>
      </c>
      <c r="BB2498" s="2" t="s">
        <v>82</v>
      </c>
      <c r="BC2498" s="2">
        <v>41</v>
      </c>
      <c r="BD2498" s="2" t="s">
        <v>82</v>
      </c>
      <c r="BE2498" s="2">
        <v>13</v>
      </c>
      <c r="BF2498" s="2" t="s">
        <v>108</v>
      </c>
      <c r="BG2498" s="2" t="s">
        <v>842</v>
      </c>
      <c r="BH2498" s="2"/>
      <c r="BI2498" s="4">
        <v>0.875</v>
      </c>
      <c r="BJ2498" s="2">
        <v>13</v>
      </c>
      <c r="BK2498" s="2" t="s">
        <v>91</v>
      </c>
      <c r="BL2498" s="2" t="s">
        <v>360</v>
      </c>
      <c r="BM2498" s="2">
        <v>241</v>
      </c>
      <c r="BN2498" s="2" t="s">
        <v>82</v>
      </c>
      <c r="BO2498" s="2"/>
      <c r="BP2498" s="2">
        <v>73</v>
      </c>
      <c r="BQ2498" s="2" t="s">
        <v>186</v>
      </c>
      <c r="BR2498" s="2" t="s">
        <v>187</v>
      </c>
      <c r="BS2498" s="3">
        <v>40344</v>
      </c>
      <c r="BT2498" s="4">
        <v>7.5613425925925917E-2</v>
      </c>
    </row>
    <row r="2499" spans="1:72" x14ac:dyDescent="0.25">
      <c r="A2499" s="2">
        <v>3635</v>
      </c>
      <c r="B2499" s="2">
        <v>2010</v>
      </c>
      <c r="C2499" s="2" t="s">
        <v>72</v>
      </c>
      <c r="D2499" s="2" t="s">
        <v>122</v>
      </c>
      <c r="E2499" s="2" t="s">
        <v>8440</v>
      </c>
      <c r="F2499" s="2">
        <v>3</v>
      </c>
      <c r="G2499" s="2" t="s">
        <v>1041</v>
      </c>
      <c r="H2499" s="2">
        <v>108</v>
      </c>
      <c r="I2499" s="2" t="s">
        <v>1096</v>
      </c>
      <c r="J2499" s="2">
        <v>368</v>
      </c>
      <c r="K2499" s="2" t="s">
        <v>1042</v>
      </c>
      <c r="L2499" s="2" t="s">
        <v>1043</v>
      </c>
      <c r="M2499" s="3">
        <v>40344</v>
      </c>
      <c r="N2499" s="2" t="s">
        <v>107</v>
      </c>
      <c r="O2499" s="2"/>
      <c r="P2499" s="2" t="s">
        <v>107</v>
      </c>
      <c r="Q2499" s="2" t="str">
        <f>"311-E/10"</f>
        <v>311-E/10</v>
      </c>
      <c r="R2499" s="2" t="s">
        <v>4823</v>
      </c>
      <c r="S2499" s="2" t="s">
        <v>4823</v>
      </c>
      <c r="T2499" s="2">
        <v>1</v>
      </c>
      <c r="U2499" s="2" t="s">
        <v>79</v>
      </c>
      <c r="V2499" s="2">
        <v>1</v>
      </c>
      <c r="W2499" s="2" t="s">
        <v>80</v>
      </c>
      <c r="X2499" s="2">
        <v>1</v>
      </c>
      <c r="Y2499" s="2" t="s">
        <v>81</v>
      </c>
      <c r="Z2499" s="2">
        <v>1</v>
      </c>
      <c r="AA2499" s="2" t="s">
        <v>82</v>
      </c>
      <c r="AB2499" s="2">
        <v>6</v>
      </c>
      <c r="AC2499" s="2" t="s">
        <v>83</v>
      </c>
      <c r="AD2499" s="3">
        <v>40374</v>
      </c>
      <c r="AE2499" s="4">
        <v>0.27083333333333331</v>
      </c>
      <c r="AF2499" s="2"/>
      <c r="AG2499" s="2"/>
      <c r="AH2499" s="2">
        <v>2</v>
      </c>
      <c r="AI2499" s="2" t="s">
        <v>84</v>
      </c>
      <c r="AJ2499" s="2">
        <v>9</v>
      </c>
      <c r="AK2499" s="2" t="s">
        <v>103</v>
      </c>
      <c r="AL2499" s="2">
        <v>12</v>
      </c>
      <c r="AM2499" s="2" t="s">
        <v>86</v>
      </c>
      <c r="AN2499" s="2" t="s">
        <v>8226</v>
      </c>
      <c r="AO2499" s="2"/>
      <c r="AP2499" s="2">
        <v>11</v>
      </c>
      <c r="AQ2499" s="2" t="s">
        <v>82</v>
      </c>
      <c r="AR2499" s="2"/>
      <c r="AS2499" s="2"/>
      <c r="AT2499" s="2" t="s">
        <v>8441</v>
      </c>
      <c r="AU2499" s="2"/>
      <c r="AV2499" s="2"/>
      <c r="AW2499" s="2">
        <v>2</v>
      </c>
      <c r="AX2499" s="2"/>
      <c r="AY2499" s="2">
        <v>41</v>
      </c>
      <c r="AZ2499" s="2" t="s">
        <v>82</v>
      </c>
      <c r="BA2499" s="2">
        <v>41</v>
      </c>
      <c r="BB2499" s="2" t="s">
        <v>82</v>
      </c>
      <c r="BC2499" s="2">
        <v>41</v>
      </c>
      <c r="BD2499" s="2" t="s">
        <v>82</v>
      </c>
      <c r="BE2499" s="2">
        <v>8</v>
      </c>
      <c r="BF2499" s="2" t="s">
        <v>3465</v>
      </c>
      <c r="BG2499" s="2" t="s">
        <v>3466</v>
      </c>
      <c r="BH2499" s="4">
        <v>0.45833333333333331</v>
      </c>
      <c r="BI2499" s="2"/>
      <c r="BJ2499" s="2">
        <v>244</v>
      </c>
      <c r="BK2499" s="2" t="s">
        <v>1236</v>
      </c>
      <c r="BL2499" s="2" t="s">
        <v>1237</v>
      </c>
      <c r="BM2499" s="2">
        <v>241</v>
      </c>
      <c r="BN2499" s="2" t="s">
        <v>82</v>
      </c>
      <c r="BO2499" s="2"/>
      <c r="BP2499" s="2">
        <v>13</v>
      </c>
      <c r="BQ2499" s="2" t="s">
        <v>91</v>
      </c>
      <c r="BR2499" s="2" t="s">
        <v>185</v>
      </c>
      <c r="BS2499" s="3">
        <v>40344</v>
      </c>
      <c r="BT2499" s="4">
        <v>0.35210648148148144</v>
      </c>
    </row>
    <row r="2500" spans="1:72" x14ac:dyDescent="0.25">
      <c r="A2500" s="2">
        <v>3636</v>
      </c>
      <c r="B2500" s="2">
        <v>2010</v>
      </c>
      <c r="C2500" s="2" t="s">
        <v>171</v>
      </c>
      <c r="D2500" s="2" t="s">
        <v>122</v>
      </c>
      <c r="E2500" s="2" t="s">
        <v>8442</v>
      </c>
      <c r="F2500" s="2">
        <v>393</v>
      </c>
      <c r="G2500" s="2" t="s">
        <v>3660</v>
      </c>
      <c r="H2500" s="2">
        <v>3</v>
      </c>
      <c r="I2500" s="2" t="s">
        <v>315</v>
      </c>
      <c r="J2500" s="2">
        <v>2</v>
      </c>
      <c r="K2500" s="2" t="s">
        <v>3661</v>
      </c>
      <c r="L2500" s="2" t="s">
        <v>3662</v>
      </c>
      <c r="M2500" s="3">
        <v>40344</v>
      </c>
      <c r="N2500" s="2" t="s">
        <v>3663</v>
      </c>
      <c r="O2500" s="2" t="s">
        <v>8230</v>
      </c>
      <c r="P2500" s="2">
        <v>5745</v>
      </c>
      <c r="Q2500" s="2" t="str">
        <f>""</f>
        <v/>
      </c>
      <c r="R2500" s="2"/>
      <c r="S2500" s="2"/>
      <c r="T2500" s="2">
        <v>1</v>
      </c>
      <c r="U2500" s="2" t="s">
        <v>79</v>
      </c>
      <c r="V2500" s="2">
        <v>1</v>
      </c>
      <c r="W2500" s="2" t="s">
        <v>80</v>
      </c>
      <c r="X2500" s="2">
        <v>11</v>
      </c>
      <c r="Y2500" s="2" t="s">
        <v>1920</v>
      </c>
      <c r="Z2500" s="2">
        <v>10</v>
      </c>
      <c r="AA2500" s="2" t="s">
        <v>236</v>
      </c>
      <c r="AB2500" s="2">
        <v>1</v>
      </c>
      <c r="AC2500" s="2" t="s">
        <v>178</v>
      </c>
      <c r="AD2500" s="3">
        <v>40344</v>
      </c>
      <c r="AE2500" s="4">
        <v>0.35416666666666669</v>
      </c>
      <c r="AF2500" s="2"/>
      <c r="AG2500" s="2"/>
      <c r="AH2500" s="2">
        <v>2</v>
      </c>
      <c r="AI2500" s="2" t="s">
        <v>84</v>
      </c>
      <c r="AJ2500" s="2">
        <v>6</v>
      </c>
      <c r="AK2500" s="2" t="s">
        <v>453</v>
      </c>
      <c r="AL2500" s="2">
        <v>23</v>
      </c>
      <c r="AM2500" s="2" t="s">
        <v>251</v>
      </c>
      <c r="AN2500" s="2" t="s">
        <v>8404</v>
      </c>
      <c r="AO2500" s="2" t="s">
        <v>1394</v>
      </c>
      <c r="AP2500" s="2">
        <v>11</v>
      </c>
      <c r="AQ2500" s="2" t="s">
        <v>82</v>
      </c>
      <c r="AR2500" s="2"/>
      <c r="AS2500" s="2"/>
      <c r="AT2500" s="2" t="s">
        <v>8443</v>
      </c>
      <c r="AU2500" s="2"/>
      <c r="AV2500" s="2">
        <v>1</v>
      </c>
      <c r="AW2500" s="2"/>
      <c r="AX2500" s="2"/>
      <c r="AY2500" s="2">
        <v>42</v>
      </c>
      <c r="AZ2500" s="2" t="s">
        <v>182</v>
      </c>
      <c r="BA2500" s="2">
        <v>70</v>
      </c>
      <c r="BB2500" s="2" t="s">
        <v>236</v>
      </c>
      <c r="BC2500" s="2">
        <v>70</v>
      </c>
      <c r="BD2500" s="2" t="s">
        <v>236</v>
      </c>
      <c r="BE2500" s="2">
        <v>41</v>
      </c>
      <c r="BF2500" s="2" t="s">
        <v>82</v>
      </c>
      <c r="BG2500" s="2"/>
      <c r="BH2500" s="2"/>
      <c r="BI2500" s="2"/>
      <c r="BJ2500" s="2">
        <v>241</v>
      </c>
      <c r="BK2500" s="2" t="s">
        <v>82</v>
      </c>
      <c r="BL2500" s="2"/>
      <c r="BM2500" s="2">
        <v>241</v>
      </c>
      <c r="BN2500" s="2" t="s">
        <v>82</v>
      </c>
      <c r="BO2500" s="2"/>
      <c r="BP2500" s="2">
        <v>241</v>
      </c>
      <c r="BQ2500" s="2" t="s">
        <v>82</v>
      </c>
      <c r="BR2500" s="2"/>
      <c r="BS2500" s="3">
        <v>40344</v>
      </c>
      <c r="BT2500" s="4">
        <v>0.43438657407407405</v>
      </c>
    </row>
    <row r="2501" spans="1:72" x14ac:dyDescent="0.25">
      <c r="A2501" s="2">
        <v>3637</v>
      </c>
      <c r="B2501" s="2">
        <v>2010</v>
      </c>
      <c r="C2501" s="2" t="s">
        <v>171</v>
      </c>
      <c r="D2501" s="2" t="s">
        <v>73</v>
      </c>
      <c r="E2501" s="2"/>
      <c r="F2501" s="2">
        <v>424</v>
      </c>
      <c r="G2501" s="2" t="s">
        <v>266</v>
      </c>
      <c r="H2501" s="2">
        <v>2</v>
      </c>
      <c r="I2501" s="2" t="s">
        <v>267</v>
      </c>
      <c r="J2501" s="2">
        <v>309</v>
      </c>
      <c r="K2501" s="2" t="s">
        <v>268</v>
      </c>
      <c r="L2501" s="2" t="s">
        <v>269</v>
      </c>
      <c r="M2501" s="3">
        <v>40344</v>
      </c>
      <c r="N2501" s="2" t="s">
        <v>8444</v>
      </c>
      <c r="O2501" s="2" t="s">
        <v>8445</v>
      </c>
      <c r="P2501" s="2" t="s">
        <v>8446</v>
      </c>
      <c r="Q2501" s="2" t="str">
        <f>"0011/2010"</f>
        <v>0011/2010</v>
      </c>
      <c r="R2501" s="2"/>
      <c r="S2501" s="2" t="s">
        <v>8447</v>
      </c>
      <c r="T2501" s="2">
        <v>1</v>
      </c>
      <c r="U2501" s="2" t="s">
        <v>79</v>
      </c>
      <c r="V2501" s="2">
        <v>3</v>
      </c>
      <c r="W2501" s="2" t="s">
        <v>225</v>
      </c>
      <c r="X2501" s="2">
        <v>6</v>
      </c>
      <c r="Y2501" s="2" t="s">
        <v>249</v>
      </c>
      <c r="Z2501" s="2">
        <v>1</v>
      </c>
      <c r="AA2501" s="2" t="s">
        <v>82</v>
      </c>
      <c r="AB2501" s="2">
        <v>9</v>
      </c>
      <c r="AC2501" s="2" t="s">
        <v>124</v>
      </c>
      <c r="AD2501" s="3">
        <v>40344</v>
      </c>
      <c r="AE2501" s="2"/>
      <c r="AF2501" s="2"/>
      <c r="AG2501" s="2"/>
      <c r="AH2501" s="2">
        <v>5</v>
      </c>
      <c r="AI2501" s="2" t="s">
        <v>274</v>
      </c>
      <c r="AJ2501" s="2">
        <v>35</v>
      </c>
      <c r="AK2501" s="2" t="s">
        <v>275</v>
      </c>
      <c r="AL2501" s="2">
        <v>23</v>
      </c>
      <c r="AM2501" s="2" t="s">
        <v>251</v>
      </c>
      <c r="AN2501" s="2" t="s">
        <v>8448</v>
      </c>
      <c r="AO2501" s="2"/>
      <c r="AP2501" s="2">
        <v>11</v>
      </c>
      <c r="AQ2501" s="2" t="s">
        <v>82</v>
      </c>
      <c r="AR2501" s="2"/>
      <c r="AS2501" s="2"/>
      <c r="AT2501" s="2" t="s">
        <v>8449</v>
      </c>
      <c r="AU2501" s="2"/>
      <c r="AV2501" s="2"/>
      <c r="AW2501" s="2"/>
      <c r="AX2501" s="2"/>
      <c r="AY2501" s="2">
        <v>1</v>
      </c>
      <c r="AZ2501" s="2" t="s">
        <v>107</v>
      </c>
      <c r="BA2501" s="2">
        <v>1</v>
      </c>
      <c r="BB2501" s="2" t="s">
        <v>107</v>
      </c>
      <c r="BC2501" s="2">
        <v>1</v>
      </c>
      <c r="BD2501" s="2" t="s">
        <v>107</v>
      </c>
      <c r="BE2501" s="2">
        <v>1</v>
      </c>
      <c r="BF2501" s="2" t="s">
        <v>107</v>
      </c>
      <c r="BG2501" s="2"/>
      <c r="BH2501" s="2"/>
      <c r="BI2501" s="2"/>
      <c r="BJ2501" s="2">
        <v>242</v>
      </c>
      <c r="BK2501" s="2" t="s">
        <v>107</v>
      </c>
      <c r="BL2501" s="2"/>
      <c r="BM2501" s="2">
        <v>242</v>
      </c>
      <c r="BN2501" s="2" t="s">
        <v>107</v>
      </c>
      <c r="BO2501" s="2"/>
      <c r="BP2501" s="2">
        <v>242</v>
      </c>
      <c r="BQ2501" s="2" t="s">
        <v>107</v>
      </c>
      <c r="BR2501" s="2"/>
      <c r="BS2501" s="3">
        <v>40344</v>
      </c>
      <c r="BT2501" s="4">
        <v>0.47136574074074072</v>
      </c>
    </row>
    <row r="2502" spans="1:72" x14ac:dyDescent="0.25">
      <c r="A2502" s="2">
        <v>3638</v>
      </c>
      <c r="B2502" s="2">
        <v>2010</v>
      </c>
      <c r="C2502" s="2" t="s">
        <v>4543</v>
      </c>
      <c r="D2502" s="2" t="s">
        <v>122</v>
      </c>
      <c r="E2502" s="2"/>
      <c r="F2502" s="2">
        <v>1</v>
      </c>
      <c r="G2502" s="2" t="s">
        <v>82</v>
      </c>
      <c r="H2502" s="2">
        <v>1</v>
      </c>
      <c r="I2502" s="2" t="s">
        <v>82</v>
      </c>
      <c r="J2502" s="2">
        <v>1</v>
      </c>
      <c r="K2502" s="2" t="s">
        <v>107</v>
      </c>
      <c r="L2502" s="2" t="s">
        <v>107</v>
      </c>
      <c r="M2502" s="3">
        <v>40344</v>
      </c>
      <c r="N2502" s="2"/>
      <c r="O2502" s="2"/>
      <c r="P2502" s="2"/>
      <c r="Q2502" s="2" t="str">
        <f>""</f>
        <v/>
      </c>
      <c r="R2502" s="2"/>
      <c r="S2502" s="2"/>
      <c r="T2502" s="2">
        <v>2</v>
      </c>
      <c r="U2502" s="2" t="s">
        <v>123</v>
      </c>
      <c r="V2502" s="2">
        <v>1</v>
      </c>
      <c r="W2502" s="2" t="s">
        <v>80</v>
      </c>
      <c r="X2502" s="2">
        <v>1</v>
      </c>
      <c r="Y2502" s="2" t="s">
        <v>81</v>
      </c>
      <c r="Z2502" s="2">
        <v>10</v>
      </c>
      <c r="AA2502" s="2" t="s">
        <v>236</v>
      </c>
      <c r="AB2502" s="2">
        <v>9</v>
      </c>
      <c r="AC2502" s="2" t="s">
        <v>124</v>
      </c>
      <c r="AD2502" s="3">
        <v>40344</v>
      </c>
      <c r="AE2502" s="4">
        <v>0.41666666666666669</v>
      </c>
      <c r="AF2502" s="2"/>
      <c r="AG2502" s="2"/>
      <c r="AH2502" s="2">
        <v>2</v>
      </c>
      <c r="AI2502" s="2" t="s">
        <v>84</v>
      </c>
      <c r="AJ2502" s="2">
        <v>12</v>
      </c>
      <c r="AK2502" s="2" t="s">
        <v>85</v>
      </c>
      <c r="AL2502" s="2">
        <v>12</v>
      </c>
      <c r="AM2502" s="2" t="s">
        <v>86</v>
      </c>
      <c r="AN2502" s="2" t="s">
        <v>8450</v>
      </c>
      <c r="AO2502" s="2" t="s">
        <v>8451</v>
      </c>
      <c r="AP2502" s="2">
        <v>11</v>
      </c>
      <c r="AQ2502" s="2" t="s">
        <v>82</v>
      </c>
      <c r="AR2502" s="2"/>
      <c r="AS2502" s="2"/>
      <c r="AT2502" s="2" t="s">
        <v>8452</v>
      </c>
      <c r="AU2502" s="2"/>
      <c r="AV2502" s="2"/>
      <c r="AW2502" s="2"/>
      <c r="AX2502" s="2"/>
      <c r="AY2502" s="2">
        <v>41</v>
      </c>
      <c r="AZ2502" s="2" t="s">
        <v>82</v>
      </c>
      <c r="BA2502" s="2">
        <v>41</v>
      </c>
      <c r="BB2502" s="2" t="s">
        <v>82</v>
      </c>
      <c r="BC2502" s="2">
        <v>41</v>
      </c>
      <c r="BD2502" s="2" t="s">
        <v>82</v>
      </c>
      <c r="BE2502" s="2">
        <v>41</v>
      </c>
      <c r="BF2502" s="2" t="s">
        <v>82</v>
      </c>
      <c r="BG2502" s="2"/>
      <c r="BH2502" s="2"/>
      <c r="BI2502" s="2"/>
      <c r="BJ2502" s="2">
        <v>241</v>
      </c>
      <c r="BK2502" s="2" t="s">
        <v>82</v>
      </c>
      <c r="BL2502" s="2"/>
      <c r="BM2502" s="2">
        <v>241</v>
      </c>
      <c r="BN2502" s="2" t="s">
        <v>82</v>
      </c>
      <c r="BO2502" s="2"/>
      <c r="BP2502" s="2">
        <v>241</v>
      </c>
      <c r="BQ2502" s="2" t="s">
        <v>82</v>
      </c>
      <c r="BR2502" s="2"/>
      <c r="BS2502" s="3">
        <v>40344</v>
      </c>
      <c r="BT2502" s="4">
        <v>0.48465277777777777</v>
      </c>
    </row>
    <row r="2503" spans="1:72" x14ac:dyDescent="0.25">
      <c r="A2503" s="2">
        <v>3640</v>
      </c>
      <c r="B2503" s="2">
        <v>2010</v>
      </c>
      <c r="C2503" s="2" t="s">
        <v>1568</v>
      </c>
      <c r="D2503" s="2" t="s">
        <v>122</v>
      </c>
      <c r="E2503" s="2" t="s">
        <v>8453</v>
      </c>
      <c r="F2503" s="2">
        <v>425</v>
      </c>
      <c r="G2503" s="2" t="s">
        <v>286</v>
      </c>
      <c r="H2503" s="2">
        <v>39</v>
      </c>
      <c r="I2503" s="2" t="s">
        <v>1117</v>
      </c>
      <c r="J2503" s="2">
        <v>310</v>
      </c>
      <c r="K2503" s="2" t="s">
        <v>288</v>
      </c>
      <c r="L2503" s="2" t="s">
        <v>289</v>
      </c>
      <c r="M2503" s="3">
        <v>40344</v>
      </c>
      <c r="N2503" s="2" t="s">
        <v>2049</v>
      </c>
      <c r="O2503" s="2"/>
      <c r="P2503" s="2"/>
      <c r="Q2503" s="2" t="str">
        <f>"068"</f>
        <v>068</v>
      </c>
      <c r="R2503" s="2"/>
      <c r="S2503" s="2" t="s">
        <v>822</v>
      </c>
      <c r="T2503" s="2">
        <v>1</v>
      </c>
      <c r="U2503" s="2" t="s">
        <v>79</v>
      </c>
      <c r="V2503" s="2">
        <v>1</v>
      </c>
      <c r="W2503" s="2" t="s">
        <v>80</v>
      </c>
      <c r="X2503" s="2">
        <v>1</v>
      </c>
      <c r="Y2503" s="2" t="s">
        <v>81</v>
      </c>
      <c r="Z2503" s="2">
        <v>10</v>
      </c>
      <c r="AA2503" s="2" t="s">
        <v>236</v>
      </c>
      <c r="AB2503" s="2">
        <v>4</v>
      </c>
      <c r="AC2503" s="2" t="s">
        <v>1569</v>
      </c>
      <c r="AD2503" s="3">
        <v>40344</v>
      </c>
      <c r="AE2503" s="4">
        <v>0.41666666666666669</v>
      </c>
      <c r="AF2503" s="2"/>
      <c r="AG2503" s="2"/>
      <c r="AH2503" s="2">
        <v>4</v>
      </c>
      <c r="AI2503" s="2" t="s">
        <v>125</v>
      </c>
      <c r="AJ2503" s="2">
        <v>29</v>
      </c>
      <c r="AK2503" s="2" t="s">
        <v>227</v>
      </c>
      <c r="AL2503" s="2">
        <v>10</v>
      </c>
      <c r="AM2503" s="2" t="s">
        <v>200</v>
      </c>
      <c r="AN2503" s="2" t="s">
        <v>3040</v>
      </c>
      <c r="AO2503" s="2" t="s">
        <v>8454</v>
      </c>
      <c r="AP2503" s="2">
        <v>12</v>
      </c>
      <c r="AQ2503" s="2" t="s">
        <v>322</v>
      </c>
      <c r="AR2503" s="2" t="s">
        <v>824</v>
      </c>
      <c r="AS2503" s="2" t="s">
        <v>884</v>
      </c>
      <c r="AT2503" s="2" t="s">
        <v>8455</v>
      </c>
      <c r="AU2503" s="2"/>
      <c r="AV2503" s="2"/>
      <c r="AW2503" s="2"/>
      <c r="AX2503" s="2"/>
      <c r="AY2503" s="2">
        <v>41</v>
      </c>
      <c r="AZ2503" s="2" t="s">
        <v>82</v>
      </c>
      <c r="BA2503" s="2">
        <v>41</v>
      </c>
      <c r="BB2503" s="2" t="s">
        <v>82</v>
      </c>
      <c r="BC2503" s="2">
        <v>51</v>
      </c>
      <c r="BD2503" s="2" t="s">
        <v>827</v>
      </c>
      <c r="BE2503" s="2">
        <v>13</v>
      </c>
      <c r="BF2503" s="2" t="s">
        <v>108</v>
      </c>
      <c r="BG2503" s="2">
        <v>1459</v>
      </c>
      <c r="BH2503" s="4">
        <v>0.90625</v>
      </c>
      <c r="BI2503" s="4">
        <v>0.92708333333333337</v>
      </c>
      <c r="BJ2503" s="2">
        <v>13</v>
      </c>
      <c r="BK2503" s="2" t="s">
        <v>91</v>
      </c>
      <c r="BL2503" s="2" t="s">
        <v>828</v>
      </c>
      <c r="BM2503" s="2">
        <v>241</v>
      </c>
      <c r="BN2503" s="2" t="s">
        <v>82</v>
      </c>
      <c r="BO2503" s="2" t="s">
        <v>82</v>
      </c>
      <c r="BP2503" s="2">
        <v>13</v>
      </c>
      <c r="BQ2503" s="2" t="s">
        <v>91</v>
      </c>
      <c r="BR2503" s="2" t="s">
        <v>185</v>
      </c>
      <c r="BS2503" s="3">
        <v>40344</v>
      </c>
      <c r="BT2503" s="4">
        <v>0.51719907407407406</v>
      </c>
    </row>
    <row r="2504" spans="1:72" x14ac:dyDescent="0.25">
      <c r="A2504" s="2">
        <v>3642</v>
      </c>
      <c r="B2504" s="2">
        <v>2010</v>
      </c>
      <c r="C2504" s="2" t="s">
        <v>72</v>
      </c>
      <c r="D2504" s="2" t="s">
        <v>73</v>
      </c>
      <c r="E2504" s="2"/>
      <c r="F2504" s="2">
        <v>389</v>
      </c>
      <c r="G2504" s="2" t="s">
        <v>1819</v>
      </c>
      <c r="H2504" s="2">
        <v>4</v>
      </c>
      <c r="I2504" s="2" t="s">
        <v>173</v>
      </c>
      <c r="J2504" s="2">
        <v>399</v>
      </c>
      <c r="K2504" s="2" t="s">
        <v>1820</v>
      </c>
      <c r="L2504" s="2" t="s">
        <v>1821</v>
      </c>
      <c r="M2504" s="3">
        <v>40344</v>
      </c>
      <c r="N2504" s="2" t="s">
        <v>2621</v>
      </c>
      <c r="O2504" s="2" t="s">
        <v>107</v>
      </c>
      <c r="P2504" s="2" t="s">
        <v>107</v>
      </c>
      <c r="Q2504" s="2" t="str">
        <f>"321-E/10"</f>
        <v>321-E/10</v>
      </c>
      <c r="R2504" s="2" t="s">
        <v>480</v>
      </c>
      <c r="S2504" s="2" t="s">
        <v>480</v>
      </c>
      <c r="T2504" s="2">
        <v>1</v>
      </c>
      <c r="U2504" s="2" t="s">
        <v>79</v>
      </c>
      <c r="V2504" s="2">
        <v>1</v>
      </c>
      <c r="W2504" s="2" t="s">
        <v>80</v>
      </c>
      <c r="X2504" s="2">
        <v>12</v>
      </c>
      <c r="Y2504" s="2" t="s">
        <v>148</v>
      </c>
      <c r="Z2504" s="2">
        <v>1</v>
      </c>
      <c r="AA2504" s="2" t="s">
        <v>82</v>
      </c>
      <c r="AB2504" s="2">
        <v>6</v>
      </c>
      <c r="AC2504" s="2" t="s">
        <v>83</v>
      </c>
      <c r="AD2504" s="3">
        <v>40344</v>
      </c>
      <c r="AE2504" s="2"/>
      <c r="AF2504" s="3">
        <v>40344</v>
      </c>
      <c r="AG2504" s="4">
        <v>0.375</v>
      </c>
      <c r="AH2504" s="2">
        <v>2</v>
      </c>
      <c r="AI2504" s="2" t="s">
        <v>84</v>
      </c>
      <c r="AJ2504" s="2">
        <v>9</v>
      </c>
      <c r="AK2504" s="2" t="s">
        <v>103</v>
      </c>
      <c r="AL2504" s="2">
        <v>22</v>
      </c>
      <c r="AM2504" s="2" t="s">
        <v>1853</v>
      </c>
      <c r="AN2504" s="2"/>
      <c r="AO2504" s="2" t="s">
        <v>8456</v>
      </c>
      <c r="AP2504" s="2">
        <v>11</v>
      </c>
      <c r="AQ2504" s="2" t="s">
        <v>82</v>
      </c>
      <c r="AR2504" s="2"/>
      <c r="AS2504" s="2"/>
      <c r="AT2504" s="2" t="s">
        <v>8457</v>
      </c>
      <c r="AU2504" s="2"/>
      <c r="AV2504" s="2"/>
      <c r="AW2504" s="2"/>
      <c r="AX2504" s="2"/>
      <c r="AY2504" s="2">
        <v>41</v>
      </c>
      <c r="AZ2504" s="2" t="s">
        <v>82</v>
      </c>
      <c r="BA2504" s="2">
        <v>41</v>
      </c>
      <c r="BB2504" s="2" t="s">
        <v>82</v>
      </c>
      <c r="BC2504" s="2">
        <v>41</v>
      </c>
      <c r="BD2504" s="2" t="s">
        <v>82</v>
      </c>
      <c r="BE2504" s="2">
        <v>4</v>
      </c>
      <c r="BF2504" s="2" t="s">
        <v>90</v>
      </c>
      <c r="BG2504" s="2" t="s">
        <v>3994</v>
      </c>
      <c r="BH2504" s="4">
        <v>0.28472222222222221</v>
      </c>
      <c r="BI2504" s="2"/>
      <c r="BJ2504" s="2">
        <v>75</v>
      </c>
      <c r="BK2504" s="2" t="s">
        <v>1264</v>
      </c>
      <c r="BL2504" s="2" t="s">
        <v>1361</v>
      </c>
      <c r="BM2504" s="2">
        <v>241</v>
      </c>
      <c r="BN2504" s="2" t="s">
        <v>82</v>
      </c>
      <c r="BO2504" s="2"/>
      <c r="BP2504" s="2">
        <v>13</v>
      </c>
      <c r="BQ2504" s="2" t="s">
        <v>91</v>
      </c>
      <c r="BR2504" s="2" t="s">
        <v>360</v>
      </c>
      <c r="BS2504" s="3">
        <v>40344</v>
      </c>
      <c r="BT2504" s="4">
        <v>0.52028935185185188</v>
      </c>
    </row>
    <row r="2505" spans="1:72" x14ac:dyDescent="0.25">
      <c r="A2505" s="2">
        <v>3644</v>
      </c>
      <c r="B2505" s="2">
        <v>2010</v>
      </c>
      <c r="C2505" s="2" t="s">
        <v>377</v>
      </c>
      <c r="D2505" s="2" t="s">
        <v>73</v>
      </c>
      <c r="E2505" s="2"/>
      <c r="F2505" s="2">
        <v>426</v>
      </c>
      <c r="G2505" s="2" t="s">
        <v>378</v>
      </c>
      <c r="H2505" s="2">
        <v>42</v>
      </c>
      <c r="I2505" s="2" t="s">
        <v>1096</v>
      </c>
      <c r="J2505" s="2">
        <v>311</v>
      </c>
      <c r="K2505" s="2" t="s">
        <v>379</v>
      </c>
      <c r="L2505" s="2" t="s">
        <v>380</v>
      </c>
      <c r="M2505" s="3">
        <v>40344</v>
      </c>
      <c r="N2505" s="2" t="s">
        <v>4007</v>
      </c>
      <c r="O2505" s="2"/>
      <c r="P2505" s="2"/>
      <c r="Q2505" s="2" t="str">
        <f>"118-C/10"</f>
        <v>118-C/10</v>
      </c>
      <c r="R2505" s="2" t="s">
        <v>3458</v>
      </c>
      <c r="S2505" s="2"/>
      <c r="T2505" s="2">
        <v>1</v>
      </c>
      <c r="U2505" s="2" t="s">
        <v>79</v>
      </c>
      <c r="V2505" s="2">
        <v>1</v>
      </c>
      <c r="W2505" s="2" t="s">
        <v>80</v>
      </c>
      <c r="X2505" s="2">
        <v>1</v>
      </c>
      <c r="Y2505" s="2" t="s">
        <v>81</v>
      </c>
      <c r="Z2505" s="2">
        <v>1</v>
      </c>
      <c r="AA2505" s="2" t="s">
        <v>82</v>
      </c>
      <c r="AB2505" s="2">
        <v>9</v>
      </c>
      <c r="AC2505" s="2" t="s">
        <v>124</v>
      </c>
      <c r="AD2505" s="3">
        <v>40344</v>
      </c>
      <c r="AE2505" s="4">
        <v>0.40277777777777773</v>
      </c>
      <c r="AF2505" s="2"/>
      <c r="AG2505" s="2"/>
      <c r="AH2505" s="2">
        <v>2</v>
      </c>
      <c r="AI2505" s="2" t="s">
        <v>84</v>
      </c>
      <c r="AJ2505" s="2">
        <v>9</v>
      </c>
      <c r="AK2505" s="2" t="s">
        <v>103</v>
      </c>
      <c r="AL2505" s="2">
        <v>29</v>
      </c>
      <c r="AM2505" s="2" t="s">
        <v>5416</v>
      </c>
      <c r="AN2505" s="2" t="s">
        <v>1936</v>
      </c>
      <c r="AO2505" s="2" t="s">
        <v>987</v>
      </c>
      <c r="AP2505" s="2">
        <v>11</v>
      </c>
      <c r="AQ2505" s="2" t="s">
        <v>82</v>
      </c>
      <c r="AR2505" s="2"/>
      <c r="AS2505" s="2"/>
      <c r="AT2505" s="2" t="s">
        <v>7550</v>
      </c>
      <c r="AU2505" s="2"/>
      <c r="AV2505" s="2"/>
      <c r="AW2505" s="2"/>
      <c r="AX2505" s="2"/>
      <c r="AY2505" s="2">
        <v>41</v>
      </c>
      <c r="AZ2505" s="2" t="s">
        <v>82</v>
      </c>
      <c r="BA2505" s="2">
        <v>41</v>
      </c>
      <c r="BB2505" s="2" t="s">
        <v>82</v>
      </c>
      <c r="BC2505" s="2">
        <v>41</v>
      </c>
      <c r="BD2505" s="2" t="s">
        <v>82</v>
      </c>
      <c r="BE2505" s="2">
        <v>41</v>
      </c>
      <c r="BF2505" s="2" t="s">
        <v>82</v>
      </c>
      <c r="BG2505" s="2"/>
      <c r="BH2505" s="2"/>
      <c r="BI2505" s="2"/>
      <c r="BJ2505" s="2">
        <v>241</v>
      </c>
      <c r="BK2505" s="2" t="s">
        <v>82</v>
      </c>
      <c r="BL2505" s="2"/>
      <c r="BM2505" s="2">
        <v>241</v>
      </c>
      <c r="BN2505" s="2" t="s">
        <v>82</v>
      </c>
      <c r="BO2505" s="2"/>
      <c r="BP2505" s="2">
        <v>241</v>
      </c>
      <c r="BQ2505" s="2" t="s">
        <v>82</v>
      </c>
      <c r="BR2505" s="2"/>
      <c r="BS2505" s="3">
        <v>40344</v>
      </c>
      <c r="BT2505" s="4">
        <v>0.56125000000000003</v>
      </c>
    </row>
    <row r="2506" spans="1:72" x14ac:dyDescent="0.25">
      <c r="A2506" s="2">
        <v>3645</v>
      </c>
      <c r="B2506" s="2">
        <v>2010</v>
      </c>
      <c r="C2506" s="2" t="s">
        <v>72</v>
      </c>
      <c r="D2506" s="2" t="s">
        <v>73</v>
      </c>
      <c r="E2506" s="2"/>
      <c r="F2506" s="2">
        <v>37</v>
      </c>
      <c r="G2506" s="2" t="s">
        <v>1790</v>
      </c>
      <c r="H2506" s="2">
        <v>42</v>
      </c>
      <c r="I2506" s="2" t="s">
        <v>1096</v>
      </c>
      <c r="J2506" s="2">
        <v>328</v>
      </c>
      <c r="K2506" s="2" t="s">
        <v>1791</v>
      </c>
      <c r="L2506" s="2" t="s">
        <v>1792</v>
      </c>
      <c r="M2506" s="3">
        <v>40344</v>
      </c>
      <c r="N2506" s="2" t="s">
        <v>3716</v>
      </c>
      <c r="O2506" s="2"/>
      <c r="P2506" s="2"/>
      <c r="Q2506" s="2" t="str">
        <f>"071/10"</f>
        <v>071/10</v>
      </c>
      <c r="R2506" s="2"/>
      <c r="S2506" s="2" t="s">
        <v>657</v>
      </c>
      <c r="T2506" s="2">
        <v>1</v>
      </c>
      <c r="U2506" s="2" t="s">
        <v>79</v>
      </c>
      <c r="V2506" s="2">
        <v>1</v>
      </c>
      <c r="W2506" s="2" t="s">
        <v>80</v>
      </c>
      <c r="X2506" s="2">
        <v>12</v>
      </c>
      <c r="Y2506" s="2" t="s">
        <v>148</v>
      </c>
      <c r="Z2506" s="2">
        <v>1</v>
      </c>
      <c r="AA2506" s="2" t="s">
        <v>82</v>
      </c>
      <c r="AB2506" s="2">
        <v>6</v>
      </c>
      <c r="AC2506" s="2" t="s">
        <v>83</v>
      </c>
      <c r="AD2506" s="3">
        <v>40344</v>
      </c>
      <c r="AE2506" s="2"/>
      <c r="AF2506" s="3">
        <v>40344</v>
      </c>
      <c r="AG2506" s="4">
        <v>0.42569444444444443</v>
      </c>
      <c r="AH2506" s="2">
        <v>4</v>
      </c>
      <c r="AI2506" s="2" t="s">
        <v>125</v>
      </c>
      <c r="AJ2506" s="2">
        <v>29</v>
      </c>
      <c r="AK2506" s="2" t="s">
        <v>227</v>
      </c>
      <c r="AL2506" s="2">
        <v>22</v>
      </c>
      <c r="AM2506" s="2" t="s">
        <v>1853</v>
      </c>
      <c r="AN2506" s="2"/>
      <c r="AO2506" s="2"/>
      <c r="AP2506" s="2">
        <v>12</v>
      </c>
      <c r="AQ2506" s="2" t="s">
        <v>322</v>
      </c>
      <c r="AR2506" s="2" t="s">
        <v>8458</v>
      </c>
      <c r="AS2506" s="2" t="s">
        <v>8459</v>
      </c>
      <c r="AT2506" s="2" t="s">
        <v>8460</v>
      </c>
      <c r="AU2506" s="2"/>
      <c r="AV2506" s="2"/>
      <c r="AW2506" s="2"/>
      <c r="AX2506" s="2"/>
      <c r="AY2506" s="2">
        <v>129</v>
      </c>
      <c r="AZ2506" s="2" t="s">
        <v>322</v>
      </c>
      <c r="BA2506" s="2">
        <v>129</v>
      </c>
      <c r="BB2506" s="2" t="s">
        <v>322</v>
      </c>
      <c r="BC2506" s="2">
        <v>41</v>
      </c>
      <c r="BD2506" s="2" t="s">
        <v>82</v>
      </c>
      <c r="BE2506" s="2">
        <v>47</v>
      </c>
      <c r="BF2506" s="2" t="s">
        <v>167</v>
      </c>
      <c r="BG2506" s="2">
        <v>2450</v>
      </c>
      <c r="BH2506" s="4">
        <v>0.36805555555555558</v>
      </c>
      <c r="BI2506" s="4">
        <v>0.39583333333333331</v>
      </c>
      <c r="BJ2506" s="2">
        <v>13</v>
      </c>
      <c r="BK2506" s="2" t="s">
        <v>91</v>
      </c>
      <c r="BL2506" s="2" t="s">
        <v>185</v>
      </c>
      <c r="BM2506" s="2">
        <v>241</v>
      </c>
      <c r="BN2506" s="2" t="s">
        <v>82</v>
      </c>
      <c r="BO2506" s="2" t="s">
        <v>82</v>
      </c>
      <c r="BP2506" s="2">
        <v>13</v>
      </c>
      <c r="BQ2506" s="2" t="s">
        <v>91</v>
      </c>
      <c r="BR2506" s="2" t="s">
        <v>828</v>
      </c>
      <c r="BS2506" s="3">
        <v>40344</v>
      </c>
      <c r="BT2506" s="4">
        <v>0.58136574074074077</v>
      </c>
    </row>
    <row r="2507" spans="1:72" x14ac:dyDescent="0.25">
      <c r="A2507" s="2">
        <v>3647</v>
      </c>
      <c r="B2507" s="2">
        <v>2010</v>
      </c>
      <c r="C2507" s="2" t="s">
        <v>128</v>
      </c>
      <c r="D2507" s="2" t="s">
        <v>73</v>
      </c>
      <c r="E2507" s="2"/>
      <c r="F2507" s="2">
        <v>34</v>
      </c>
      <c r="G2507" s="2" t="s">
        <v>334</v>
      </c>
      <c r="H2507" s="2">
        <v>71</v>
      </c>
      <c r="I2507" s="2" t="s">
        <v>335</v>
      </c>
      <c r="J2507" s="2">
        <v>43</v>
      </c>
      <c r="K2507" s="2" t="s">
        <v>2059</v>
      </c>
      <c r="L2507" s="2" t="s">
        <v>2060</v>
      </c>
      <c r="M2507" s="3">
        <v>40344</v>
      </c>
      <c r="N2507" s="2" t="s">
        <v>8461</v>
      </c>
      <c r="O2507" s="2" t="s">
        <v>8462</v>
      </c>
      <c r="P2507" s="2" t="s">
        <v>8463</v>
      </c>
      <c r="Q2507" s="2" t="str">
        <f>"13/2010"</f>
        <v>13/2010</v>
      </c>
      <c r="R2507" s="2" t="s">
        <v>82</v>
      </c>
      <c r="S2507" s="2" t="s">
        <v>82</v>
      </c>
      <c r="T2507" s="2">
        <v>1</v>
      </c>
      <c r="U2507" s="2" t="s">
        <v>79</v>
      </c>
      <c r="V2507" s="2">
        <v>3</v>
      </c>
      <c r="W2507" s="2" t="s">
        <v>225</v>
      </c>
      <c r="X2507" s="2">
        <v>2</v>
      </c>
      <c r="Y2507" s="2" t="s">
        <v>136</v>
      </c>
      <c r="Z2507" s="2">
        <v>1</v>
      </c>
      <c r="AA2507" s="2" t="s">
        <v>82</v>
      </c>
      <c r="AB2507" s="2">
        <v>9</v>
      </c>
      <c r="AC2507" s="2" t="s">
        <v>124</v>
      </c>
      <c r="AD2507" s="3">
        <v>40344</v>
      </c>
      <c r="AE2507" s="4">
        <v>0.52083333333333337</v>
      </c>
      <c r="AF2507" s="2"/>
      <c r="AG2507" s="2"/>
      <c r="AH2507" s="2">
        <v>3</v>
      </c>
      <c r="AI2507" s="2" t="s">
        <v>214</v>
      </c>
      <c r="AJ2507" s="2">
        <v>14</v>
      </c>
      <c r="AK2507" s="2" t="s">
        <v>342</v>
      </c>
      <c r="AL2507" s="2">
        <v>23</v>
      </c>
      <c r="AM2507" s="2" t="s">
        <v>251</v>
      </c>
      <c r="AN2507" s="2" t="s">
        <v>8464</v>
      </c>
      <c r="AO2507" s="2"/>
      <c r="AP2507" s="2">
        <v>11</v>
      </c>
      <c r="AQ2507" s="2" t="s">
        <v>82</v>
      </c>
      <c r="AR2507" s="2"/>
      <c r="AS2507" s="2"/>
      <c r="AT2507" s="2" t="s">
        <v>8465</v>
      </c>
      <c r="AU2507" s="2"/>
      <c r="AV2507" s="2"/>
      <c r="AW2507" s="2"/>
      <c r="AX2507" s="2"/>
      <c r="AY2507" s="2">
        <v>41</v>
      </c>
      <c r="AZ2507" s="2" t="s">
        <v>82</v>
      </c>
      <c r="BA2507" s="2">
        <v>41</v>
      </c>
      <c r="BB2507" s="2" t="s">
        <v>82</v>
      </c>
      <c r="BC2507" s="2">
        <v>41</v>
      </c>
      <c r="BD2507" s="2" t="s">
        <v>82</v>
      </c>
      <c r="BE2507" s="2">
        <v>41</v>
      </c>
      <c r="BF2507" s="2" t="s">
        <v>82</v>
      </c>
      <c r="BG2507" s="2"/>
      <c r="BH2507" s="2"/>
      <c r="BI2507" s="2"/>
      <c r="BJ2507" s="2">
        <v>241</v>
      </c>
      <c r="BK2507" s="2" t="s">
        <v>82</v>
      </c>
      <c r="BL2507" s="2"/>
      <c r="BM2507" s="2">
        <v>241</v>
      </c>
      <c r="BN2507" s="2" t="s">
        <v>82</v>
      </c>
      <c r="BO2507" s="2"/>
      <c r="BP2507" s="2">
        <v>241</v>
      </c>
      <c r="BQ2507" s="2" t="s">
        <v>82</v>
      </c>
      <c r="BR2507" s="2"/>
      <c r="BS2507" s="3">
        <v>40344</v>
      </c>
      <c r="BT2507" s="4">
        <v>0.59843750000000007</v>
      </c>
    </row>
    <row r="2508" spans="1:72" x14ac:dyDescent="0.25">
      <c r="A2508" s="2">
        <v>3649</v>
      </c>
      <c r="B2508" s="2">
        <v>2010</v>
      </c>
      <c r="C2508" s="2" t="s">
        <v>72</v>
      </c>
      <c r="D2508" s="2" t="s">
        <v>122</v>
      </c>
      <c r="E2508" s="2" t="s">
        <v>8466</v>
      </c>
      <c r="F2508" s="2">
        <v>169</v>
      </c>
      <c r="G2508" s="2" t="s">
        <v>1009</v>
      </c>
      <c r="H2508" s="2">
        <v>121</v>
      </c>
      <c r="I2508" s="2" t="s">
        <v>7931</v>
      </c>
      <c r="J2508" s="2">
        <v>305</v>
      </c>
      <c r="K2508" s="2" t="s">
        <v>160</v>
      </c>
      <c r="L2508" s="2" t="s">
        <v>161</v>
      </c>
      <c r="M2508" s="3">
        <v>40344</v>
      </c>
      <c r="N2508" s="2" t="s">
        <v>8467</v>
      </c>
      <c r="O2508" s="2"/>
      <c r="P2508" s="2"/>
      <c r="Q2508" s="2" t="str">
        <f>"212-A/10"</f>
        <v>212-A/10</v>
      </c>
      <c r="R2508" s="2" t="s">
        <v>116</v>
      </c>
      <c r="S2508" s="2"/>
      <c r="T2508" s="2">
        <v>1</v>
      </c>
      <c r="U2508" s="2" t="s">
        <v>79</v>
      </c>
      <c r="V2508" s="2">
        <v>1</v>
      </c>
      <c r="W2508" s="2" t="s">
        <v>80</v>
      </c>
      <c r="X2508" s="2">
        <v>1</v>
      </c>
      <c r="Y2508" s="2" t="s">
        <v>81</v>
      </c>
      <c r="Z2508" s="2">
        <v>1</v>
      </c>
      <c r="AA2508" s="2" t="s">
        <v>82</v>
      </c>
      <c r="AB2508" s="2">
        <v>6</v>
      </c>
      <c r="AC2508" s="2" t="s">
        <v>83</v>
      </c>
      <c r="AD2508" s="3">
        <v>40343</v>
      </c>
      <c r="AE2508" s="4">
        <v>0.63194444444444442</v>
      </c>
      <c r="AF2508" s="2"/>
      <c r="AG2508" s="2"/>
      <c r="AH2508" s="2">
        <v>2</v>
      </c>
      <c r="AI2508" s="2" t="s">
        <v>84</v>
      </c>
      <c r="AJ2508" s="2">
        <v>12</v>
      </c>
      <c r="AK2508" s="2" t="s">
        <v>85</v>
      </c>
      <c r="AL2508" s="2">
        <v>9</v>
      </c>
      <c r="AM2508" s="2" t="s">
        <v>259</v>
      </c>
      <c r="AN2508" s="2" t="s">
        <v>8428</v>
      </c>
      <c r="AO2508" s="2" t="s">
        <v>8468</v>
      </c>
      <c r="AP2508" s="2">
        <v>11</v>
      </c>
      <c r="AQ2508" s="2" t="s">
        <v>82</v>
      </c>
      <c r="AR2508" s="2"/>
      <c r="AS2508" s="2"/>
      <c r="AT2508" s="2" t="s">
        <v>8469</v>
      </c>
      <c r="AU2508" s="2">
        <v>2</v>
      </c>
      <c r="AV2508" s="2"/>
      <c r="AW2508" s="2"/>
      <c r="AX2508" s="2"/>
      <c r="AY2508" s="2">
        <v>41</v>
      </c>
      <c r="AZ2508" s="2" t="s">
        <v>82</v>
      </c>
      <c r="BA2508" s="2">
        <v>41</v>
      </c>
      <c r="BB2508" s="2" t="s">
        <v>82</v>
      </c>
      <c r="BC2508" s="2">
        <v>41</v>
      </c>
      <c r="BD2508" s="2" t="s">
        <v>82</v>
      </c>
      <c r="BE2508" s="2">
        <v>41</v>
      </c>
      <c r="BF2508" s="2" t="s">
        <v>82</v>
      </c>
      <c r="BG2508" s="2"/>
      <c r="BH2508" s="2"/>
      <c r="BI2508" s="2"/>
      <c r="BJ2508" s="2">
        <v>241</v>
      </c>
      <c r="BK2508" s="2" t="s">
        <v>82</v>
      </c>
      <c r="BL2508" s="2"/>
      <c r="BM2508" s="2">
        <v>241</v>
      </c>
      <c r="BN2508" s="2" t="s">
        <v>82</v>
      </c>
      <c r="BO2508" s="2"/>
      <c r="BP2508" s="2">
        <v>241</v>
      </c>
      <c r="BQ2508" s="2" t="s">
        <v>82</v>
      </c>
      <c r="BR2508" s="2"/>
      <c r="BS2508" s="3">
        <v>40344</v>
      </c>
      <c r="BT2508" s="4">
        <v>0.63824074074074078</v>
      </c>
    </row>
    <row r="2509" spans="1:72" x14ac:dyDescent="0.25">
      <c r="A2509" s="2">
        <v>3650</v>
      </c>
      <c r="B2509" s="2">
        <v>2010</v>
      </c>
      <c r="C2509" s="2" t="s">
        <v>255</v>
      </c>
      <c r="D2509" s="2" t="s">
        <v>73</v>
      </c>
      <c r="E2509" s="2"/>
      <c r="F2509" s="2">
        <v>45</v>
      </c>
      <c r="G2509" s="2" t="s">
        <v>1408</v>
      </c>
      <c r="H2509" s="2">
        <v>47</v>
      </c>
      <c r="I2509" s="2" t="s">
        <v>1409</v>
      </c>
      <c r="J2509" s="2">
        <v>77</v>
      </c>
      <c r="K2509" s="2" t="s">
        <v>2517</v>
      </c>
      <c r="L2509" s="2" t="s">
        <v>2518</v>
      </c>
      <c r="M2509" s="3">
        <v>40344</v>
      </c>
      <c r="N2509" s="2" t="s">
        <v>2795</v>
      </c>
      <c r="O2509" s="2"/>
      <c r="P2509" s="2"/>
      <c r="Q2509" s="2" t="str">
        <f>"015/10"</f>
        <v>015/10</v>
      </c>
      <c r="R2509" s="2" t="s">
        <v>2926</v>
      </c>
      <c r="S2509" s="2"/>
      <c r="T2509" s="2">
        <v>1</v>
      </c>
      <c r="U2509" s="2" t="s">
        <v>79</v>
      </c>
      <c r="V2509" s="2">
        <v>1</v>
      </c>
      <c r="W2509" s="2" t="s">
        <v>80</v>
      </c>
      <c r="X2509" s="2">
        <v>12</v>
      </c>
      <c r="Y2509" s="2" t="s">
        <v>148</v>
      </c>
      <c r="Z2509" s="2">
        <v>3</v>
      </c>
      <c r="AA2509" s="2" t="s">
        <v>257</v>
      </c>
      <c r="AB2509" s="2">
        <v>9</v>
      </c>
      <c r="AC2509" s="2" t="s">
        <v>124</v>
      </c>
      <c r="AD2509" s="3">
        <v>40344</v>
      </c>
      <c r="AE2509" s="2"/>
      <c r="AF2509" s="3">
        <v>40344</v>
      </c>
      <c r="AG2509" s="4">
        <v>0.49305555555555558</v>
      </c>
      <c r="AH2509" s="2">
        <v>4</v>
      </c>
      <c r="AI2509" s="2" t="s">
        <v>125</v>
      </c>
      <c r="AJ2509" s="2">
        <v>31</v>
      </c>
      <c r="AK2509" s="2" t="s">
        <v>1413</v>
      </c>
      <c r="AL2509" s="2">
        <v>9</v>
      </c>
      <c r="AM2509" s="2" t="s">
        <v>259</v>
      </c>
      <c r="AN2509" s="2" t="s">
        <v>8470</v>
      </c>
      <c r="AO2509" s="2"/>
      <c r="AP2509" s="2">
        <v>11</v>
      </c>
      <c r="AQ2509" s="2" t="s">
        <v>82</v>
      </c>
      <c r="AR2509" s="2"/>
      <c r="AS2509" s="2"/>
      <c r="AT2509" s="2" t="s">
        <v>8471</v>
      </c>
      <c r="AU2509" s="2"/>
      <c r="AV2509" s="2"/>
      <c r="AW2509" s="2"/>
      <c r="AX2509" s="2"/>
      <c r="AY2509" s="2">
        <v>44</v>
      </c>
      <c r="AZ2509" s="2" t="s">
        <v>262</v>
      </c>
      <c r="BA2509" s="2">
        <v>44</v>
      </c>
      <c r="BB2509" s="2" t="s">
        <v>262</v>
      </c>
      <c r="BC2509" s="2">
        <v>44</v>
      </c>
      <c r="BD2509" s="2" t="s">
        <v>262</v>
      </c>
      <c r="BE2509" s="2">
        <v>41</v>
      </c>
      <c r="BF2509" s="2" t="s">
        <v>82</v>
      </c>
      <c r="BG2509" s="2"/>
      <c r="BH2509" s="2"/>
      <c r="BI2509" s="2"/>
      <c r="BJ2509" s="2">
        <v>241</v>
      </c>
      <c r="BK2509" s="2" t="s">
        <v>82</v>
      </c>
      <c r="BL2509" s="2"/>
      <c r="BM2509" s="2">
        <v>241</v>
      </c>
      <c r="BN2509" s="2" t="s">
        <v>82</v>
      </c>
      <c r="BO2509" s="2"/>
      <c r="BP2509" s="2">
        <v>241</v>
      </c>
      <c r="BQ2509" s="2" t="s">
        <v>82</v>
      </c>
      <c r="BR2509" s="2"/>
      <c r="BS2509" s="3">
        <v>40344</v>
      </c>
      <c r="BT2509" s="4">
        <v>0.63927083333333334</v>
      </c>
    </row>
    <row r="2510" spans="1:72" x14ac:dyDescent="0.25">
      <c r="A2510" s="2">
        <v>3652</v>
      </c>
      <c r="B2510" s="2">
        <v>2010</v>
      </c>
      <c r="C2510" s="2" t="s">
        <v>121</v>
      </c>
      <c r="D2510" s="2" t="s">
        <v>122</v>
      </c>
      <c r="E2510" s="2"/>
      <c r="F2510" s="2">
        <v>1</v>
      </c>
      <c r="G2510" s="2" t="s">
        <v>82</v>
      </c>
      <c r="H2510" s="2">
        <v>1</v>
      </c>
      <c r="I2510" s="2" t="s">
        <v>82</v>
      </c>
      <c r="J2510" s="2">
        <v>1</v>
      </c>
      <c r="K2510" s="2" t="s">
        <v>107</v>
      </c>
      <c r="L2510" s="2" t="s">
        <v>107</v>
      </c>
      <c r="M2510" s="3">
        <v>40344</v>
      </c>
      <c r="N2510" s="2"/>
      <c r="O2510" s="2"/>
      <c r="P2510" s="2"/>
      <c r="Q2510" s="2" t="str">
        <f>""</f>
        <v/>
      </c>
      <c r="R2510" s="2"/>
      <c r="S2510" s="2"/>
      <c r="T2510" s="2">
        <v>2</v>
      </c>
      <c r="U2510" s="2" t="s">
        <v>123</v>
      </c>
      <c r="V2510" s="2">
        <v>1</v>
      </c>
      <c r="W2510" s="2" t="s">
        <v>80</v>
      </c>
      <c r="X2510" s="2">
        <v>11</v>
      </c>
      <c r="Y2510" s="2" t="s">
        <v>1920</v>
      </c>
      <c r="Z2510" s="2">
        <v>1</v>
      </c>
      <c r="AA2510" s="2" t="s">
        <v>82</v>
      </c>
      <c r="AB2510" s="2">
        <v>9</v>
      </c>
      <c r="AC2510" s="2" t="s">
        <v>124</v>
      </c>
      <c r="AD2510" s="3">
        <v>40344</v>
      </c>
      <c r="AE2510" s="4">
        <v>0.625</v>
      </c>
      <c r="AF2510" s="2"/>
      <c r="AG2510" s="2"/>
      <c r="AH2510" s="2">
        <v>2</v>
      </c>
      <c r="AI2510" s="2" t="s">
        <v>84</v>
      </c>
      <c r="AJ2510" s="2">
        <v>9</v>
      </c>
      <c r="AK2510" s="2" t="s">
        <v>103</v>
      </c>
      <c r="AL2510" s="2">
        <v>25</v>
      </c>
      <c r="AM2510" s="2" t="s">
        <v>3073</v>
      </c>
      <c r="AN2510" s="2" t="s">
        <v>8472</v>
      </c>
      <c r="AO2510" s="2" t="s">
        <v>230</v>
      </c>
      <c r="AP2510" s="2">
        <v>11</v>
      </c>
      <c r="AQ2510" s="2" t="s">
        <v>82</v>
      </c>
      <c r="AR2510" s="2"/>
      <c r="AS2510" s="2"/>
      <c r="AT2510" s="2" t="s">
        <v>8473</v>
      </c>
      <c r="AU2510" s="2"/>
      <c r="AV2510" s="2"/>
      <c r="AW2510" s="2"/>
      <c r="AX2510" s="2"/>
      <c r="AY2510" s="2">
        <v>1</v>
      </c>
      <c r="AZ2510" s="2" t="s">
        <v>107</v>
      </c>
      <c r="BA2510" s="2">
        <v>1</v>
      </c>
      <c r="BB2510" s="2" t="s">
        <v>107</v>
      </c>
      <c r="BC2510" s="2">
        <v>1</v>
      </c>
      <c r="BD2510" s="2" t="s">
        <v>107</v>
      </c>
      <c r="BE2510" s="2">
        <v>41</v>
      </c>
      <c r="BF2510" s="2" t="s">
        <v>82</v>
      </c>
      <c r="BG2510" s="2"/>
      <c r="BH2510" s="2"/>
      <c r="BI2510" s="2"/>
      <c r="BJ2510" s="2">
        <v>242</v>
      </c>
      <c r="BK2510" s="2" t="s">
        <v>107</v>
      </c>
      <c r="BL2510" s="2"/>
      <c r="BM2510" s="2">
        <v>242</v>
      </c>
      <c r="BN2510" s="2" t="s">
        <v>107</v>
      </c>
      <c r="BO2510" s="2"/>
      <c r="BP2510" s="2">
        <v>242</v>
      </c>
      <c r="BQ2510" s="2" t="s">
        <v>107</v>
      </c>
      <c r="BR2510" s="2"/>
      <c r="BS2510" s="3">
        <v>40344</v>
      </c>
      <c r="BT2510" s="4">
        <v>0.66888888888888898</v>
      </c>
    </row>
    <row r="2511" spans="1:72" x14ac:dyDescent="0.25">
      <c r="A2511" s="2">
        <v>3653</v>
      </c>
      <c r="B2511" s="2">
        <v>2010</v>
      </c>
      <c r="C2511" s="2" t="s">
        <v>72</v>
      </c>
      <c r="D2511" s="2" t="s">
        <v>122</v>
      </c>
      <c r="E2511" s="2" t="s">
        <v>8474</v>
      </c>
      <c r="F2511" s="2">
        <v>3</v>
      </c>
      <c r="G2511" s="2" t="s">
        <v>1041</v>
      </c>
      <c r="H2511" s="2">
        <v>108</v>
      </c>
      <c r="I2511" s="2" t="s">
        <v>1096</v>
      </c>
      <c r="J2511" s="2">
        <v>368</v>
      </c>
      <c r="K2511" s="2" t="s">
        <v>1042</v>
      </c>
      <c r="L2511" s="2" t="s">
        <v>1043</v>
      </c>
      <c r="M2511" s="3">
        <v>40344</v>
      </c>
      <c r="N2511" s="2" t="s">
        <v>107</v>
      </c>
      <c r="O2511" s="2"/>
      <c r="P2511" s="2" t="s">
        <v>107</v>
      </c>
      <c r="Q2511" s="2" t="str">
        <f>"311-E/10"</f>
        <v>311-E/10</v>
      </c>
      <c r="R2511" s="2" t="s">
        <v>4823</v>
      </c>
      <c r="S2511" s="2" t="s">
        <v>4823</v>
      </c>
      <c r="T2511" s="2">
        <v>1</v>
      </c>
      <c r="U2511" s="2" t="s">
        <v>79</v>
      </c>
      <c r="V2511" s="2">
        <v>1</v>
      </c>
      <c r="W2511" s="2" t="s">
        <v>80</v>
      </c>
      <c r="X2511" s="2">
        <v>1</v>
      </c>
      <c r="Y2511" s="2" t="s">
        <v>81</v>
      </c>
      <c r="Z2511" s="2">
        <v>1</v>
      </c>
      <c r="AA2511" s="2" t="s">
        <v>82</v>
      </c>
      <c r="AB2511" s="2">
        <v>6</v>
      </c>
      <c r="AC2511" s="2" t="s">
        <v>83</v>
      </c>
      <c r="AD2511" s="3">
        <v>40374</v>
      </c>
      <c r="AE2511" s="4">
        <v>0.27083333333333331</v>
      </c>
      <c r="AF2511" s="2"/>
      <c r="AG2511" s="2"/>
      <c r="AH2511" s="2">
        <v>2</v>
      </c>
      <c r="AI2511" s="2" t="s">
        <v>84</v>
      </c>
      <c r="AJ2511" s="2">
        <v>9</v>
      </c>
      <c r="AK2511" s="2" t="s">
        <v>103</v>
      </c>
      <c r="AL2511" s="2">
        <v>12</v>
      </c>
      <c r="AM2511" s="2" t="s">
        <v>86</v>
      </c>
      <c r="AN2511" s="2" t="s">
        <v>8226</v>
      </c>
      <c r="AO2511" s="2"/>
      <c r="AP2511" s="2">
        <v>11</v>
      </c>
      <c r="AQ2511" s="2" t="s">
        <v>82</v>
      </c>
      <c r="AR2511" s="2"/>
      <c r="AS2511" s="2"/>
      <c r="AT2511" s="2" t="s">
        <v>8475</v>
      </c>
      <c r="AU2511" s="2"/>
      <c r="AV2511" s="2"/>
      <c r="AW2511" s="2">
        <v>1</v>
      </c>
      <c r="AX2511" s="2"/>
      <c r="AY2511" s="2">
        <v>41</v>
      </c>
      <c r="AZ2511" s="2" t="s">
        <v>82</v>
      </c>
      <c r="BA2511" s="2">
        <v>41</v>
      </c>
      <c r="BB2511" s="2" t="s">
        <v>82</v>
      </c>
      <c r="BC2511" s="2">
        <v>41</v>
      </c>
      <c r="BD2511" s="2" t="s">
        <v>82</v>
      </c>
      <c r="BE2511" s="2">
        <v>8</v>
      </c>
      <c r="BF2511" s="2" t="s">
        <v>3465</v>
      </c>
      <c r="BG2511" s="2" t="s">
        <v>3466</v>
      </c>
      <c r="BH2511" s="4">
        <v>0.45833333333333331</v>
      </c>
      <c r="BI2511" s="2"/>
      <c r="BJ2511" s="2">
        <v>244</v>
      </c>
      <c r="BK2511" s="2" t="s">
        <v>1236</v>
      </c>
      <c r="BL2511" s="2" t="s">
        <v>1237</v>
      </c>
      <c r="BM2511" s="2">
        <v>241</v>
      </c>
      <c r="BN2511" s="2" t="s">
        <v>82</v>
      </c>
      <c r="BO2511" s="2"/>
      <c r="BP2511" s="2">
        <v>13</v>
      </c>
      <c r="BQ2511" s="2" t="s">
        <v>91</v>
      </c>
      <c r="BR2511" s="2" t="s">
        <v>185</v>
      </c>
      <c r="BS2511" s="3">
        <v>40344</v>
      </c>
      <c r="BT2511" s="4">
        <v>0.67952546296296301</v>
      </c>
    </row>
    <row r="2512" spans="1:72" x14ac:dyDescent="0.25">
      <c r="A2512" s="2">
        <v>3655</v>
      </c>
      <c r="B2512" s="2">
        <v>2010</v>
      </c>
      <c r="C2512" s="2" t="s">
        <v>255</v>
      </c>
      <c r="D2512" s="2" t="s">
        <v>73</v>
      </c>
      <c r="E2512" s="2"/>
      <c r="F2512" s="2">
        <v>24</v>
      </c>
      <c r="G2512" s="2" t="s">
        <v>532</v>
      </c>
      <c r="H2512" s="2">
        <v>22</v>
      </c>
      <c r="I2512" s="2" t="s">
        <v>75</v>
      </c>
      <c r="J2512" s="2">
        <v>34</v>
      </c>
      <c r="K2512" s="2" t="s">
        <v>8476</v>
      </c>
      <c r="L2512" s="2" t="s">
        <v>8477</v>
      </c>
      <c r="M2512" s="3">
        <v>40344</v>
      </c>
      <c r="N2512" s="2" t="s">
        <v>8478</v>
      </c>
      <c r="O2512" s="2"/>
      <c r="P2512" s="2"/>
      <c r="Q2512" s="2" t="str">
        <f>"013-M/10"</f>
        <v>013-M/10</v>
      </c>
      <c r="R2512" s="2" t="s">
        <v>947</v>
      </c>
      <c r="S2512" s="2"/>
      <c r="T2512" s="2">
        <v>1</v>
      </c>
      <c r="U2512" s="2" t="s">
        <v>79</v>
      </c>
      <c r="V2512" s="2">
        <v>1</v>
      </c>
      <c r="W2512" s="2" t="s">
        <v>80</v>
      </c>
      <c r="X2512" s="2">
        <v>12</v>
      </c>
      <c r="Y2512" s="2" t="s">
        <v>148</v>
      </c>
      <c r="Z2512" s="2">
        <v>1</v>
      </c>
      <c r="AA2512" s="2" t="s">
        <v>82</v>
      </c>
      <c r="AB2512" s="2">
        <v>9</v>
      </c>
      <c r="AC2512" s="2" t="s">
        <v>124</v>
      </c>
      <c r="AD2512" s="3">
        <v>40343</v>
      </c>
      <c r="AE2512" s="2"/>
      <c r="AF2512" s="3">
        <v>40343</v>
      </c>
      <c r="AG2512" s="4">
        <v>0.66666666666666663</v>
      </c>
      <c r="AH2512" s="2">
        <v>2</v>
      </c>
      <c r="AI2512" s="2" t="s">
        <v>84</v>
      </c>
      <c r="AJ2512" s="2">
        <v>8</v>
      </c>
      <c r="AK2512" s="2" t="s">
        <v>436</v>
      </c>
      <c r="AL2512" s="2">
        <v>21</v>
      </c>
      <c r="AM2512" s="2" t="s">
        <v>1311</v>
      </c>
      <c r="AN2512" s="2"/>
      <c r="AO2512" s="2" t="s">
        <v>8479</v>
      </c>
      <c r="AP2512" s="2">
        <v>11</v>
      </c>
      <c r="AQ2512" s="2" t="s">
        <v>82</v>
      </c>
      <c r="AR2512" s="2"/>
      <c r="AS2512" s="2"/>
      <c r="AT2512" s="2" t="s">
        <v>8480</v>
      </c>
      <c r="AU2512" s="2"/>
      <c r="AV2512" s="2"/>
      <c r="AW2512" s="2"/>
      <c r="AX2512" s="2"/>
      <c r="AY2512" s="2">
        <v>41</v>
      </c>
      <c r="AZ2512" s="2" t="s">
        <v>82</v>
      </c>
      <c r="BA2512" s="2">
        <v>41</v>
      </c>
      <c r="BB2512" s="2" t="s">
        <v>82</v>
      </c>
      <c r="BC2512" s="2">
        <v>41</v>
      </c>
      <c r="BD2512" s="2" t="s">
        <v>82</v>
      </c>
      <c r="BE2512" s="2">
        <v>41</v>
      </c>
      <c r="BF2512" s="2" t="s">
        <v>82</v>
      </c>
      <c r="BG2512" s="2"/>
      <c r="BH2512" s="2"/>
      <c r="BI2512" s="2"/>
      <c r="BJ2512" s="2">
        <v>241</v>
      </c>
      <c r="BK2512" s="2" t="s">
        <v>82</v>
      </c>
      <c r="BL2512" s="2"/>
      <c r="BM2512" s="2">
        <v>241</v>
      </c>
      <c r="BN2512" s="2" t="s">
        <v>82</v>
      </c>
      <c r="BO2512" s="2"/>
      <c r="BP2512" s="2">
        <v>241</v>
      </c>
      <c r="BQ2512" s="2" t="s">
        <v>82</v>
      </c>
      <c r="BR2512" s="2"/>
      <c r="BS2512" s="3">
        <v>40344</v>
      </c>
      <c r="BT2512" s="4">
        <v>0.72667824074074072</v>
      </c>
    </row>
    <row r="2513" spans="1:72" x14ac:dyDescent="0.25">
      <c r="A2513" s="2">
        <v>3656</v>
      </c>
      <c r="B2513" s="2">
        <v>2010</v>
      </c>
      <c r="C2513" s="2" t="s">
        <v>8160</v>
      </c>
      <c r="D2513" s="2" t="s">
        <v>73</v>
      </c>
      <c r="E2513" s="2"/>
      <c r="F2513" s="2">
        <v>308</v>
      </c>
      <c r="G2513" s="2" t="s">
        <v>8481</v>
      </c>
      <c r="H2513" s="2">
        <v>4</v>
      </c>
      <c r="I2513" s="2" t="s">
        <v>173</v>
      </c>
      <c r="J2513" s="2">
        <v>399</v>
      </c>
      <c r="K2513" s="2" t="s">
        <v>1820</v>
      </c>
      <c r="L2513" s="2" t="s">
        <v>1821</v>
      </c>
      <c r="M2513" s="3">
        <v>40344</v>
      </c>
      <c r="N2513" s="2" t="s">
        <v>2621</v>
      </c>
      <c r="O2513" s="2"/>
      <c r="P2513" s="2"/>
      <c r="Q2513" s="2" t="str">
        <f>"322-E/10"</f>
        <v>322-E/10</v>
      </c>
      <c r="R2513" s="2" t="s">
        <v>8482</v>
      </c>
      <c r="S2513" s="2"/>
      <c r="T2513" s="2">
        <v>1</v>
      </c>
      <c r="U2513" s="2" t="s">
        <v>79</v>
      </c>
      <c r="V2513" s="2">
        <v>1</v>
      </c>
      <c r="W2513" s="2" t="s">
        <v>80</v>
      </c>
      <c r="X2513" s="2">
        <v>1</v>
      </c>
      <c r="Y2513" s="2" t="s">
        <v>81</v>
      </c>
      <c r="Z2513" s="2">
        <v>1</v>
      </c>
      <c r="AA2513" s="2" t="s">
        <v>82</v>
      </c>
      <c r="AB2513" s="2">
        <v>9</v>
      </c>
      <c r="AC2513" s="2" t="s">
        <v>124</v>
      </c>
      <c r="AD2513" s="3">
        <v>40344</v>
      </c>
      <c r="AE2513" s="4">
        <v>6.25E-2</v>
      </c>
      <c r="AF2513" s="2"/>
      <c r="AG2513" s="2"/>
      <c r="AH2513" s="2">
        <v>2</v>
      </c>
      <c r="AI2513" s="2" t="s">
        <v>84</v>
      </c>
      <c r="AJ2513" s="2">
        <v>9</v>
      </c>
      <c r="AK2513" s="2" t="s">
        <v>103</v>
      </c>
      <c r="AL2513" s="2">
        <v>14</v>
      </c>
      <c r="AM2513" s="2" t="s">
        <v>216</v>
      </c>
      <c r="AN2513" s="2" t="s">
        <v>987</v>
      </c>
      <c r="AO2513" s="2" t="s">
        <v>8483</v>
      </c>
      <c r="AP2513" s="2">
        <v>11</v>
      </c>
      <c r="AQ2513" s="2" t="s">
        <v>82</v>
      </c>
      <c r="AR2513" s="2"/>
      <c r="AS2513" s="2"/>
      <c r="AT2513" s="2" t="s">
        <v>8484</v>
      </c>
      <c r="AU2513" s="2"/>
      <c r="AV2513" s="2"/>
      <c r="AW2513" s="2"/>
      <c r="AX2513" s="2"/>
      <c r="AY2513" s="2">
        <v>41</v>
      </c>
      <c r="AZ2513" s="2" t="s">
        <v>82</v>
      </c>
      <c r="BA2513" s="2">
        <v>41</v>
      </c>
      <c r="BB2513" s="2" t="s">
        <v>82</v>
      </c>
      <c r="BC2513" s="2">
        <v>41</v>
      </c>
      <c r="BD2513" s="2" t="s">
        <v>82</v>
      </c>
      <c r="BE2513" s="2">
        <v>41</v>
      </c>
      <c r="BF2513" s="2" t="s">
        <v>82</v>
      </c>
      <c r="BG2513" s="2"/>
      <c r="BH2513" s="2"/>
      <c r="BI2513" s="2"/>
      <c r="BJ2513" s="2">
        <v>241</v>
      </c>
      <c r="BK2513" s="2" t="s">
        <v>82</v>
      </c>
      <c r="BL2513" s="2"/>
      <c r="BM2513" s="2">
        <v>241</v>
      </c>
      <c r="BN2513" s="2" t="s">
        <v>82</v>
      </c>
      <c r="BO2513" s="2"/>
      <c r="BP2513" s="2">
        <v>241</v>
      </c>
      <c r="BQ2513" s="2" t="s">
        <v>82</v>
      </c>
      <c r="BR2513" s="2"/>
      <c r="BS2513" s="3">
        <v>40344</v>
      </c>
      <c r="BT2513" s="4">
        <v>0.73766203703703714</v>
      </c>
    </row>
    <row r="2514" spans="1:72" x14ac:dyDescent="0.25">
      <c r="A2514" s="2">
        <v>3658</v>
      </c>
      <c r="B2514" s="2">
        <v>2010</v>
      </c>
      <c r="C2514" s="2" t="s">
        <v>72</v>
      </c>
      <c r="D2514" s="2" t="s">
        <v>73</v>
      </c>
      <c r="E2514" s="2"/>
      <c r="F2514" s="2">
        <v>77</v>
      </c>
      <c r="G2514" s="2" t="s">
        <v>2425</v>
      </c>
      <c r="H2514" s="2">
        <v>22</v>
      </c>
      <c r="I2514" s="2" t="s">
        <v>75</v>
      </c>
      <c r="J2514" s="2">
        <v>109</v>
      </c>
      <c r="K2514" s="2" t="s">
        <v>2426</v>
      </c>
      <c r="L2514" s="2" t="s">
        <v>2427</v>
      </c>
      <c r="M2514" s="3">
        <v>40344</v>
      </c>
      <c r="N2514" s="2" t="s">
        <v>8485</v>
      </c>
      <c r="O2514" s="2" t="s">
        <v>107</v>
      </c>
      <c r="P2514" s="2" t="s">
        <v>107</v>
      </c>
      <c r="Q2514" s="2" t="str">
        <f>"006/2010"</f>
        <v>006/2010</v>
      </c>
      <c r="R2514" s="2" t="s">
        <v>107</v>
      </c>
      <c r="S2514" s="2" t="s">
        <v>8486</v>
      </c>
      <c r="T2514" s="2">
        <v>1</v>
      </c>
      <c r="U2514" s="2" t="s">
        <v>79</v>
      </c>
      <c r="V2514" s="2">
        <v>1</v>
      </c>
      <c r="W2514" s="2" t="s">
        <v>80</v>
      </c>
      <c r="X2514" s="2">
        <v>12</v>
      </c>
      <c r="Y2514" s="2" t="s">
        <v>148</v>
      </c>
      <c r="Z2514" s="2">
        <v>1</v>
      </c>
      <c r="AA2514" s="2" t="s">
        <v>82</v>
      </c>
      <c r="AB2514" s="2">
        <v>6</v>
      </c>
      <c r="AC2514" s="2" t="s">
        <v>83</v>
      </c>
      <c r="AD2514" s="3">
        <v>40343</v>
      </c>
      <c r="AE2514" s="2"/>
      <c r="AF2514" s="3">
        <v>40344</v>
      </c>
      <c r="AG2514" s="4">
        <v>0.64583333333333337</v>
      </c>
      <c r="AH2514" s="2">
        <v>6</v>
      </c>
      <c r="AI2514" s="2" t="s">
        <v>197</v>
      </c>
      <c r="AJ2514" s="2">
        <v>51</v>
      </c>
      <c r="AK2514" s="2" t="s">
        <v>238</v>
      </c>
      <c r="AL2514" s="2">
        <v>1</v>
      </c>
      <c r="AM2514" s="2" t="s">
        <v>2148</v>
      </c>
      <c r="AN2514" s="2" t="s">
        <v>8487</v>
      </c>
      <c r="AO2514" s="2" t="s">
        <v>8488</v>
      </c>
      <c r="AP2514" s="2">
        <v>11</v>
      </c>
      <c r="AQ2514" s="2" t="s">
        <v>82</v>
      </c>
      <c r="AR2514" s="2" t="s">
        <v>82</v>
      </c>
      <c r="AS2514" s="2" t="s">
        <v>82</v>
      </c>
      <c r="AT2514" s="2" t="s">
        <v>8489</v>
      </c>
      <c r="AU2514" s="2"/>
      <c r="AV2514" s="2"/>
      <c r="AW2514" s="2"/>
      <c r="AX2514" s="2"/>
      <c r="AY2514" s="2">
        <v>41</v>
      </c>
      <c r="AZ2514" s="2" t="s">
        <v>82</v>
      </c>
      <c r="BA2514" s="2">
        <v>41</v>
      </c>
      <c r="BB2514" s="2" t="s">
        <v>82</v>
      </c>
      <c r="BC2514" s="2">
        <v>41</v>
      </c>
      <c r="BD2514" s="2" t="s">
        <v>82</v>
      </c>
      <c r="BE2514" s="2">
        <v>17</v>
      </c>
      <c r="BF2514" s="2" t="s">
        <v>508</v>
      </c>
      <c r="BG2514" s="2">
        <v>4631</v>
      </c>
      <c r="BH2514" s="4">
        <v>0.57291666666666663</v>
      </c>
      <c r="BI2514" s="2"/>
      <c r="BJ2514" s="2">
        <v>46</v>
      </c>
      <c r="BK2514" s="2" t="s">
        <v>307</v>
      </c>
      <c r="BL2514" s="2" t="s">
        <v>308</v>
      </c>
      <c r="BM2514" s="2">
        <v>241</v>
      </c>
      <c r="BN2514" s="2" t="s">
        <v>82</v>
      </c>
      <c r="BO2514" s="2" t="s">
        <v>82</v>
      </c>
      <c r="BP2514" s="2">
        <v>13</v>
      </c>
      <c r="BQ2514" s="2" t="s">
        <v>91</v>
      </c>
      <c r="BR2514" s="2" t="s">
        <v>170</v>
      </c>
      <c r="BS2514" s="3">
        <v>40344</v>
      </c>
      <c r="BT2514" s="4">
        <v>0.798761574074074</v>
      </c>
    </row>
    <row r="2515" spans="1:72" x14ac:dyDescent="0.25">
      <c r="A2515" s="2">
        <v>3659</v>
      </c>
      <c r="B2515" s="2">
        <v>2010</v>
      </c>
      <c r="C2515" s="2" t="s">
        <v>72</v>
      </c>
      <c r="D2515" s="2" t="s">
        <v>73</v>
      </c>
      <c r="E2515" s="2"/>
      <c r="F2515" s="2">
        <v>631</v>
      </c>
      <c r="G2515" s="2" t="s">
        <v>7688</v>
      </c>
      <c r="H2515" s="2">
        <v>22</v>
      </c>
      <c r="I2515" s="2" t="s">
        <v>75</v>
      </c>
      <c r="J2515" s="2">
        <v>570</v>
      </c>
      <c r="K2515" s="2" t="s">
        <v>7689</v>
      </c>
      <c r="L2515" s="2" t="s">
        <v>946</v>
      </c>
      <c r="M2515" s="3">
        <v>40344</v>
      </c>
      <c r="N2515" s="2" t="s">
        <v>7977</v>
      </c>
      <c r="O2515" s="2" t="s">
        <v>107</v>
      </c>
      <c r="P2515" s="2" t="s">
        <v>107</v>
      </c>
      <c r="Q2515" s="2" t="str">
        <f>"213-A/10"</f>
        <v>213-A/10</v>
      </c>
      <c r="R2515" s="2" t="s">
        <v>107</v>
      </c>
      <c r="S2515" s="2" t="s">
        <v>156</v>
      </c>
      <c r="T2515" s="2">
        <v>1</v>
      </c>
      <c r="U2515" s="2" t="s">
        <v>79</v>
      </c>
      <c r="V2515" s="2">
        <v>1</v>
      </c>
      <c r="W2515" s="2" t="s">
        <v>80</v>
      </c>
      <c r="X2515" s="2">
        <v>12</v>
      </c>
      <c r="Y2515" s="2" t="s">
        <v>148</v>
      </c>
      <c r="Z2515" s="2">
        <v>1</v>
      </c>
      <c r="AA2515" s="2" t="s">
        <v>82</v>
      </c>
      <c r="AB2515" s="2">
        <v>6</v>
      </c>
      <c r="AC2515" s="2" t="s">
        <v>83</v>
      </c>
      <c r="AD2515" s="2"/>
      <c r="AE2515" s="2"/>
      <c r="AF2515" s="3">
        <v>40344</v>
      </c>
      <c r="AG2515" s="4">
        <v>0.70694444444444438</v>
      </c>
      <c r="AH2515" s="2">
        <v>2</v>
      </c>
      <c r="AI2515" s="2" t="s">
        <v>84</v>
      </c>
      <c r="AJ2515" s="2">
        <v>12</v>
      </c>
      <c r="AK2515" s="2" t="s">
        <v>85</v>
      </c>
      <c r="AL2515" s="2">
        <v>7</v>
      </c>
      <c r="AM2515" s="2" t="s">
        <v>1450</v>
      </c>
      <c r="AN2515" s="2" t="s">
        <v>8490</v>
      </c>
      <c r="AO2515" s="2" t="s">
        <v>8491</v>
      </c>
      <c r="AP2515" s="2">
        <v>11</v>
      </c>
      <c r="AQ2515" s="2" t="s">
        <v>82</v>
      </c>
      <c r="AR2515" s="2"/>
      <c r="AS2515" s="2"/>
      <c r="AT2515" s="2" t="s">
        <v>8492</v>
      </c>
      <c r="AU2515" s="2"/>
      <c r="AV2515" s="2"/>
      <c r="AW2515" s="2"/>
      <c r="AX2515" s="2"/>
      <c r="AY2515" s="2">
        <v>41</v>
      </c>
      <c r="AZ2515" s="2" t="s">
        <v>82</v>
      </c>
      <c r="BA2515" s="2">
        <v>41</v>
      </c>
      <c r="BB2515" s="2" t="s">
        <v>82</v>
      </c>
      <c r="BC2515" s="2">
        <v>41</v>
      </c>
      <c r="BD2515" s="2" t="s">
        <v>82</v>
      </c>
      <c r="BE2515" s="2">
        <v>41</v>
      </c>
      <c r="BF2515" s="2" t="s">
        <v>82</v>
      </c>
      <c r="BG2515" s="2"/>
      <c r="BH2515" s="2"/>
      <c r="BI2515" s="2"/>
      <c r="BJ2515" s="2">
        <v>241</v>
      </c>
      <c r="BK2515" s="2" t="s">
        <v>82</v>
      </c>
      <c r="BL2515" s="2"/>
      <c r="BM2515" s="2">
        <v>241</v>
      </c>
      <c r="BN2515" s="2" t="s">
        <v>82</v>
      </c>
      <c r="BO2515" s="2"/>
      <c r="BP2515" s="2">
        <v>241</v>
      </c>
      <c r="BQ2515" s="2" t="s">
        <v>82</v>
      </c>
      <c r="BR2515" s="2"/>
      <c r="BS2515" s="3">
        <v>40344</v>
      </c>
      <c r="BT2515" s="4">
        <v>0.92881944444444453</v>
      </c>
    </row>
    <row r="2516" spans="1:72" x14ac:dyDescent="0.25">
      <c r="A2516" s="2">
        <v>3660</v>
      </c>
      <c r="B2516" s="2">
        <v>2010</v>
      </c>
      <c r="C2516" s="2" t="s">
        <v>819</v>
      </c>
      <c r="D2516" s="2" t="s">
        <v>73</v>
      </c>
      <c r="E2516" s="2"/>
      <c r="F2516" s="2">
        <v>11</v>
      </c>
      <c r="G2516" s="2" t="s">
        <v>2454</v>
      </c>
      <c r="H2516" s="2">
        <v>56</v>
      </c>
      <c r="I2516" s="2" t="s">
        <v>3372</v>
      </c>
      <c r="J2516" s="2">
        <v>19</v>
      </c>
      <c r="K2516" s="2" t="s">
        <v>2144</v>
      </c>
      <c r="L2516" s="2" t="s">
        <v>2145</v>
      </c>
      <c r="M2516" s="3">
        <v>40344</v>
      </c>
      <c r="N2516" s="2" t="s">
        <v>3648</v>
      </c>
      <c r="O2516" s="2"/>
      <c r="P2516" s="2"/>
      <c r="Q2516" s="2" t="str">
        <f>"31/10"</f>
        <v>31/10</v>
      </c>
      <c r="R2516" s="2"/>
      <c r="S2516" s="2" t="s">
        <v>8493</v>
      </c>
      <c r="T2516" s="2">
        <v>1</v>
      </c>
      <c r="U2516" s="2" t="s">
        <v>79</v>
      </c>
      <c r="V2516" s="2">
        <v>1</v>
      </c>
      <c r="W2516" s="2" t="s">
        <v>80</v>
      </c>
      <c r="X2516" s="2">
        <v>1</v>
      </c>
      <c r="Y2516" s="2" t="s">
        <v>81</v>
      </c>
      <c r="Z2516" s="2">
        <v>1</v>
      </c>
      <c r="AA2516" s="2" t="s">
        <v>82</v>
      </c>
      <c r="AB2516" s="2">
        <v>9</v>
      </c>
      <c r="AC2516" s="2" t="s">
        <v>124</v>
      </c>
      <c r="AD2516" s="3">
        <v>40344</v>
      </c>
      <c r="AE2516" s="4">
        <v>0.67708333333333337</v>
      </c>
      <c r="AF2516" s="2"/>
      <c r="AG2516" s="2"/>
      <c r="AH2516" s="2">
        <v>3</v>
      </c>
      <c r="AI2516" s="2" t="s">
        <v>214</v>
      </c>
      <c r="AJ2516" s="2">
        <v>24</v>
      </c>
      <c r="AK2516" s="2" t="s">
        <v>215</v>
      </c>
      <c r="AL2516" s="2">
        <v>11</v>
      </c>
      <c r="AM2516" s="2" t="s">
        <v>137</v>
      </c>
      <c r="AN2516" s="2"/>
      <c r="AO2516" s="2"/>
      <c r="AP2516" s="2">
        <v>11</v>
      </c>
      <c r="AQ2516" s="2" t="s">
        <v>82</v>
      </c>
      <c r="AR2516" s="2"/>
      <c r="AS2516" s="2"/>
      <c r="AT2516" s="2" t="s">
        <v>8494</v>
      </c>
      <c r="AU2516" s="2"/>
      <c r="AV2516" s="2"/>
      <c r="AW2516" s="2"/>
      <c r="AX2516" s="2"/>
      <c r="AY2516" s="2">
        <v>42</v>
      </c>
      <c r="AZ2516" s="2" t="s">
        <v>182</v>
      </c>
      <c r="BA2516" s="2">
        <v>41</v>
      </c>
      <c r="BB2516" s="2" t="s">
        <v>82</v>
      </c>
      <c r="BC2516" s="2">
        <v>41</v>
      </c>
      <c r="BD2516" s="2" t="s">
        <v>82</v>
      </c>
      <c r="BE2516" s="2">
        <v>17</v>
      </c>
      <c r="BF2516" s="2" t="s">
        <v>508</v>
      </c>
      <c r="BG2516" s="2">
        <v>943</v>
      </c>
      <c r="BH2516" s="4">
        <v>0.78472222222222221</v>
      </c>
      <c r="BI2516" s="4">
        <v>0.72222222222222221</v>
      </c>
      <c r="BJ2516" s="2">
        <v>13</v>
      </c>
      <c r="BK2516" s="2" t="s">
        <v>91</v>
      </c>
      <c r="BL2516" s="2" t="s">
        <v>169</v>
      </c>
      <c r="BM2516" s="2">
        <v>241</v>
      </c>
      <c r="BN2516" s="2" t="s">
        <v>82</v>
      </c>
      <c r="BO2516" s="2" t="s">
        <v>82</v>
      </c>
      <c r="BP2516" s="2">
        <v>46</v>
      </c>
      <c r="BQ2516" s="2" t="s">
        <v>307</v>
      </c>
      <c r="BR2516" s="2" t="s">
        <v>308</v>
      </c>
      <c r="BS2516" s="3">
        <v>40344</v>
      </c>
      <c r="BT2516" s="4">
        <v>0.95946759259259251</v>
      </c>
    </row>
    <row r="2517" spans="1:72" x14ac:dyDescent="0.25">
      <c r="A2517" s="2">
        <v>3661</v>
      </c>
      <c r="B2517" s="2">
        <v>2010</v>
      </c>
      <c r="C2517" s="2" t="s">
        <v>819</v>
      </c>
      <c r="D2517" s="2" t="s">
        <v>122</v>
      </c>
      <c r="E2517" s="2"/>
      <c r="F2517" s="2">
        <v>425</v>
      </c>
      <c r="G2517" s="2" t="s">
        <v>286</v>
      </c>
      <c r="H2517" s="2">
        <v>30</v>
      </c>
      <c r="I2517" s="2" t="s">
        <v>912</v>
      </c>
      <c r="J2517" s="2">
        <v>310</v>
      </c>
      <c r="K2517" s="2" t="s">
        <v>288</v>
      </c>
      <c r="L2517" s="2" t="s">
        <v>289</v>
      </c>
      <c r="M2517" s="3">
        <v>40344</v>
      </c>
      <c r="N2517" s="2" t="s">
        <v>2049</v>
      </c>
      <c r="O2517" s="2"/>
      <c r="P2517" s="2"/>
      <c r="Q2517" s="2" t="str">
        <f>"072/10"</f>
        <v>072/10</v>
      </c>
      <c r="R2517" s="2" t="s">
        <v>822</v>
      </c>
      <c r="S2517" s="2"/>
      <c r="T2517" s="2">
        <v>1</v>
      </c>
      <c r="U2517" s="2" t="s">
        <v>79</v>
      </c>
      <c r="V2517" s="2">
        <v>1</v>
      </c>
      <c r="W2517" s="2" t="s">
        <v>80</v>
      </c>
      <c r="X2517" s="2">
        <v>1</v>
      </c>
      <c r="Y2517" s="2" t="s">
        <v>81</v>
      </c>
      <c r="Z2517" s="2">
        <v>10</v>
      </c>
      <c r="AA2517" s="2" t="s">
        <v>236</v>
      </c>
      <c r="AB2517" s="2">
        <v>9</v>
      </c>
      <c r="AC2517" s="2" t="s">
        <v>124</v>
      </c>
      <c r="AD2517" s="3">
        <v>40344</v>
      </c>
      <c r="AE2517" s="4">
        <v>0.93055555555555547</v>
      </c>
      <c r="AF2517" s="2"/>
      <c r="AG2517" s="2"/>
      <c r="AH2517" s="2">
        <v>4</v>
      </c>
      <c r="AI2517" s="2" t="s">
        <v>125</v>
      </c>
      <c r="AJ2517" s="2">
        <v>29</v>
      </c>
      <c r="AK2517" s="2" t="s">
        <v>227</v>
      </c>
      <c r="AL2517" s="2">
        <v>10</v>
      </c>
      <c r="AM2517" s="2" t="s">
        <v>200</v>
      </c>
      <c r="AN2517" s="2" t="s">
        <v>1073</v>
      </c>
      <c r="AO2517" s="2" t="s">
        <v>6863</v>
      </c>
      <c r="AP2517" s="2">
        <v>12</v>
      </c>
      <c r="AQ2517" s="2" t="s">
        <v>322</v>
      </c>
      <c r="AR2517" s="2" t="s">
        <v>824</v>
      </c>
      <c r="AS2517" s="2" t="s">
        <v>825</v>
      </c>
      <c r="AT2517" s="2" t="s">
        <v>8495</v>
      </c>
      <c r="AU2517" s="2"/>
      <c r="AV2517" s="2"/>
      <c r="AW2517" s="2"/>
      <c r="AX2517" s="2"/>
      <c r="AY2517" s="2">
        <v>41</v>
      </c>
      <c r="AZ2517" s="2" t="s">
        <v>82</v>
      </c>
      <c r="BA2517" s="2">
        <v>41</v>
      </c>
      <c r="BB2517" s="2" t="s">
        <v>82</v>
      </c>
      <c r="BC2517" s="2">
        <v>51</v>
      </c>
      <c r="BD2517" s="2" t="s">
        <v>827</v>
      </c>
      <c r="BE2517" s="2">
        <v>13</v>
      </c>
      <c r="BF2517" s="2" t="s">
        <v>108</v>
      </c>
      <c r="BG2517" s="2">
        <v>1459</v>
      </c>
      <c r="BH2517" s="4">
        <v>0.92013888888888884</v>
      </c>
      <c r="BI2517" s="4">
        <v>0.95833333333333337</v>
      </c>
      <c r="BJ2517" s="2">
        <v>13</v>
      </c>
      <c r="BK2517" s="2" t="s">
        <v>91</v>
      </c>
      <c r="BL2517" s="2" t="s">
        <v>828</v>
      </c>
      <c r="BM2517" s="2">
        <v>241</v>
      </c>
      <c r="BN2517" s="2" t="s">
        <v>82</v>
      </c>
      <c r="BO2517" s="2"/>
      <c r="BP2517" s="2">
        <v>13</v>
      </c>
      <c r="BQ2517" s="2" t="s">
        <v>91</v>
      </c>
      <c r="BR2517" s="2" t="s">
        <v>185</v>
      </c>
      <c r="BS2517" s="3">
        <v>40344</v>
      </c>
      <c r="BT2517" s="4">
        <v>0.97305555555555545</v>
      </c>
    </row>
    <row r="2518" spans="1:72" x14ac:dyDescent="0.25">
      <c r="A2518" s="2">
        <v>3662</v>
      </c>
      <c r="B2518" s="2">
        <v>2010</v>
      </c>
      <c r="C2518" s="2" t="s">
        <v>549</v>
      </c>
      <c r="D2518" s="2" t="s">
        <v>73</v>
      </c>
      <c r="E2518" s="2"/>
      <c r="F2518" s="2">
        <v>640</v>
      </c>
      <c r="G2518" s="2" t="s">
        <v>8496</v>
      </c>
      <c r="H2518" s="2">
        <v>1</v>
      </c>
      <c r="I2518" s="2" t="s">
        <v>82</v>
      </c>
      <c r="J2518" s="2">
        <v>589</v>
      </c>
      <c r="K2518" s="2" t="s">
        <v>8497</v>
      </c>
      <c r="L2518" s="2" t="s">
        <v>8498</v>
      </c>
      <c r="M2518" s="3">
        <v>40345</v>
      </c>
      <c r="N2518" s="2" t="s">
        <v>82</v>
      </c>
      <c r="O2518" s="2" t="s">
        <v>107</v>
      </c>
      <c r="P2518" s="2" t="s">
        <v>107</v>
      </c>
      <c r="Q2518" s="2" t="str">
        <f>"214-A/10"</f>
        <v>214-A/10</v>
      </c>
      <c r="R2518" s="2" t="s">
        <v>8499</v>
      </c>
      <c r="S2518" s="2"/>
      <c r="T2518" s="2">
        <v>1</v>
      </c>
      <c r="U2518" s="2" t="s">
        <v>79</v>
      </c>
      <c r="V2518" s="2">
        <v>1</v>
      </c>
      <c r="W2518" s="2" t="s">
        <v>80</v>
      </c>
      <c r="X2518" s="2">
        <v>12</v>
      </c>
      <c r="Y2518" s="2" t="s">
        <v>148</v>
      </c>
      <c r="Z2518" s="2">
        <v>1</v>
      </c>
      <c r="AA2518" s="2" t="s">
        <v>82</v>
      </c>
      <c r="AB2518" s="2">
        <v>9</v>
      </c>
      <c r="AC2518" s="2" t="s">
        <v>124</v>
      </c>
      <c r="AD2518" s="3">
        <v>40343</v>
      </c>
      <c r="AE2518" s="4">
        <v>0.84375</v>
      </c>
      <c r="AF2518" s="3">
        <v>40345</v>
      </c>
      <c r="AG2518" s="4">
        <v>2.4305555555555556E-2</v>
      </c>
      <c r="AH2518" s="2">
        <v>2</v>
      </c>
      <c r="AI2518" s="2" t="s">
        <v>84</v>
      </c>
      <c r="AJ2518" s="2">
        <v>12</v>
      </c>
      <c r="AK2518" s="2" t="s">
        <v>85</v>
      </c>
      <c r="AL2518" s="2">
        <v>14</v>
      </c>
      <c r="AM2518" s="2" t="s">
        <v>216</v>
      </c>
      <c r="AN2518" s="2" t="s">
        <v>8500</v>
      </c>
      <c r="AO2518" s="2" t="s">
        <v>8501</v>
      </c>
      <c r="AP2518" s="2">
        <v>11</v>
      </c>
      <c r="AQ2518" s="2" t="s">
        <v>82</v>
      </c>
      <c r="AR2518" s="2"/>
      <c r="AS2518" s="2"/>
      <c r="AT2518" s="2" t="s">
        <v>8502</v>
      </c>
      <c r="AU2518" s="2"/>
      <c r="AV2518" s="2"/>
      <c r="AW2518" s="2"/>
      <c r="AX2518" s="2"/>
      <c r="AY2518" s="2">
        <v>41</v>
      </c>
      <c r="AZ2518" s="2" t="s">
        <v>82</v>
      </c>
      <c r="BA2518" s="2">
        <v>41</v>
      </c>
      <c r="BB2518" s="2" t="s">
        <v>82</v>
      </c>
      <c r="BC2518" s="2">
        <v>41</v>
      </c>
      <c r="BD2518" s="2" t="s">
        <v>82</v>
      </c>
      <c r="BE2518" s="2">
        <v>41</v>
      </c>
      <c r="BF2518" s="2" t="s">
        <v>82</v>
      </c>
      <c r="BG2518" s="2"/>
      <c r="BH2518" s="2"/>
      <c r="BI2518" s="2"/>
      <c r="BJ2518" s="2">
        <v>241</v>
      </c>
      <c r="BK2518" s="2" t="s">
        <v>82</v>
      </c>
      <c r="BL2518" s="2"/>
      <c r="BM2518" s="2">
        <v>241</v>
      </c>
      <c r="BN2518" s="2" t="s">
        <v>82</v>
      </c>
      <c r="BO2518" s="2"/>
      <c r="BP2518" s="2">
        <v>241</v>
      </c>
      <c r="BQ2518" s="2" t="s">
        <v>82</v>
      </c>
      <c r="BR2518" s="2"/>
      <c r="BS2518" s="3">
        <v>40345</v>
      </c>
      <c r="BT2518" s="4">
        <v>0.32359953703703703</v>
      </c>
    </row>
    <row r="2519" spans="1:72" x14ac:dyDescent="0.25">
      <c r="A2519" s="2">
        <v>3663</v>
      </c>
      <c r="B2519" s="2">
        <v>2010</v>
      </c>
      <c r="C2519" s="2" t="s">
        <v>4543</v>
      </c>
      <c r="D2519" s="2" t="s">
        <v>122</v>
      </c>
      <c r="E2519" s="2"/>
      <c r="F2519" s="2">
        <v>1</v>
      </c>
      <c r="G2519" s="2" t="s">
        <v>82</v>
      </c>
      <c r="H2519" s="2">
        <v>1</v>
      </c>
      <c r="I2519" s="2" t="s">
        <v>82</v>
      </c>
      <c r="J2519" s="2">
        <v>1</v>
      </c>
      <c r="K2519" s="2" t="s">
        <v>107</v>
      </c>
      <c r="L2519" s="2" t="s">
        <v>107</v>
      </c>
      <c r="M2519" s="3">
        <v>40345</v>
      </c>
      <c r="N2519" s="2"/>
      <c r="O2519" s="2"/>
      <c r="P2519" s="2"/>
      <c r="Q2519" s="2" t="str">
        <f>""</f>
        <v/>
      </c>
      <c r="R2519" s="2"/>
      <c r="S2519" s="2"/>
      <c r="T2519" s="2">
        <v>2</v>
      </c>
      <c r="U2519" s="2" t="s">
        <v>123</v>
      </c>
      <c r="V2519" s="2">
        <v>1</v>
      </c>
      <c r="W2519" s="2" t="s">
        <v>80</v>
      </c>
      <c r="X2519" s="2">
        <v>11</v>
      </c>
      <c r="Y2519" s="2" t="s">
        <v>1920</v>
      </c>
      <c r="Z2519" s="2">
        <v>1</v>
      </c>
      <c r="AA2519" s="2" t="s">
        <v>82</v>
      </c>
      <c r="AB2519" s="2">
        <v>9</v>
      </c>
      <c r="AC2519" s="2" t="s">
        <v>124</v>
      </c>
      <c r="AD2519" s="3">
        <v>40345</v>
      </c>
      <c r="AE2519" s="4">
        <v>0.37152777777777773</v>
      </c>
      <c r="AF2519" s="2"/>
      <c r="AG2519" s="2"/>
      <c r="AH2519" s="2">
        <v>6</v>
      </c>
      <c r="AI2519" s="2" t="s">
        <v>197</v>
      </c>
      <c r="AJ2519" s="2">
        <v>54</v>
      </c>
      <c r="AK2519" s="2" t="s">
        <v>348</v>
      </c>
      <c r="AL2519" s="2">
        <v>18</v>
      </c>
      <c r="AM2519" s="2" t="s">
        <v>82</v>
      </c>
      <c r="AN2519" s="2" t="s">
        <v>595</v>
      </c>
      <c r="AO2519" s="2" t="s">
        <v>200</v>
      </c>
      <c r="AP2519" s="2">
        <v>14</v>
      </c>
      <c r="AQ2519" s="2" t="s">
        <v>3301</v>
      </c>
      <c r="AR2519" s="2" t="s">
        <v>596</v>
      </c>
      <c r="AS2519" s="2" t="s">
        <v>596</v>
      </c>
      <c r="AT2519" s="2" t="s">
        <v>8503</v>
      </c>
      <c r="AU2519" s="2"/>
      <c r="AV2519" s="2"/>
      <c r="AW2519" s="2"/>
      <c r="AX2519" s="2"/>
      <c r="AY2519" s="2">
        <v>1</v>
      </c>
      <c r="AZ2519" s="2" t="s">
        <v>107</v>
      </c>
      <c r="BA2519" s="2">
        <v>1</v>
      </c>
      <c r="BB2519" s="2" t="s">
        <v>107</v>
      </c>
      <c r="BC2519" s="2">
        <v>1</v>
      </c>
      <c r="BD2519" s="2" t="s">
        <v>107</v>
      </c>
      <c r="BE2519" s="2">
        <v>4</v>
      </c>
      <c r="BF2519" s="2" t="s">
        <v>90</v>
      </c>
      <c r="BG2519" s="2" t="s">
        <v>598</v>
      </c>
      <c r="BH2519" s="4">
        <v>0.31597222222222221</v>
      </c>
      <c r="BI2519" s="4">
        <v>0.37152777777777773</v>
      </c>
      <c r="BJ2519" s="2">
        <v>13</v>
      </c>
      <c r="BK2519" s="2" t="s">
        <v>91</v>
      </c>
      <c r="BL2519" s="2" t="s">
        <v>7629</v>
      </c>
      <c r="BM2519" s="2">
        <v>242</v>
      </c>
      <c r="BN2519" s="2" t="s">
        <v>107</v>
      </c>
      <c r="BO2519" s="2" t="s">
        <v>107</v>
      </c>
      <c r="BP2519" s="2">
        <v>13</v>
      </c>
      <c r="BQ2519" s="2" t="s">
        <v>91</v>
      </c>
      <c r="BR2519" s="2" t="s">
        <v>984</v>
      </c>
      <c r="BS2519" s="3">
        <v>40345</v>
      </c>
      <c r="BT2519" s="4">
        <v>0.38519675925925928</v>
      </c>
    </row>
    <row r="2520" spans="1:72" x14ac:dyDescent="0.25">
      <c r="A2520" s="2">
        <v>3666</v>
      </c>
      <c r="B2520" s="2">
        <v>2010</v>
      </c>
      <c r="C2520" s="2" t="s">
        <v>819</v>
      </c>
      <c r="D2520" s="2" t="s">
        <v>122</v>
      </c>
      <c r="E2520" s="2" t="s">
        <v>8504</v>
      </c>
      <c r="F2520" s="2">
        <v>425</v>
      </c>
      <c r="G2520" s="2" t="s">
        <v>286</v>
      </c>
      <c r="H2520" s="2">
        <v>122</v>
      </c>
      <c r="I2520" s="2" t="s">
        <v>8431</v>
      </c>
      <c r="J2520" s="2">
        <v>310</v>
      </c>
      <c r="K2520" s="2" t="s">
        <v>288</v>
      </c>
      <c r="L2520" s="2" t="s">
        <v>289</v>
      </c>
      <c r="M2520" s="3">
        <v>40345</v>
      </c>
      <c r="N2520" s="2" t="s">
        <v>2049</v>
      </c>
      <c r="O2520" s="2"/>
      <c r="P2520" s="2"/>
      <c r="Q2520" s="2" t="str">
        <f>"070/10"</f>
        <v>070/10</v>
      </c>
      <c r="R2520" s="2" t="s">
        <v>822</v>
      </c>
      <c r="S2520" s="2"/>
      <c r="T2520" s="2">
        <v>1</v>
      </c>
      <c r="U2520" s="2" t="s">
        <v>79</v>
      </c>
      <c r="V2520" s="2">
        <v>1</v>
      </c>
      <c r="W2520" s="2" t="s">
        <v>80</v>
      </c>
      <c r="X2520" s="2">
        <v>1</v>
      </c>
      <c r="Y2520" s="2" t="s">
        <v>81</v>
      </c>
      <c r="Z2520" s="2">
        <v>10</v>
      </c>
      <c r="AA2520" s="2" t="s">
        <v>236</v>
      </c>
      <c r="AB2520" s="2">
        <v>9</v>
      </c>
      <c r="AC2520" s="2" t="s">
        <v>124</v>
      </c>
      <c r="AD2520" s="3">
        <v>40345</v>
      </c>
      <c r="AE2520" s="4">
        <v>0.41666666666666669</v>
      </c>
      <c r="AF2520" s="2"/>
      <c r="AG2520" s="2"/>
      <c r="AH2520" s="2">
        <v>4</v>
      </c>
      <c r="AI2520" s="2" t="s">
        <v>125</v>
      </c>
      <c r="AJ2520" s="2">
        <v>29</v>
      </c>
      <c r="AK2520" s="2" t="s">
        <v>227</v>
      </c>
      <c r="AL2520" s="2">
        <v>16</v>
      </c>
      <c r="AM2520" s="2" t="s">
        <v>392</v>
      </c>
      <c r="AN2520" s="2" t="s">
        <v>3040</v>
      </c>
      <c r="AO2520" s="2" t="s">
        <v>5383</v>
      </c>
      <c r="AP2520" s="2">
        <v>12</v>
      </c>
      <c r="AQ2520" s="2" t="s">
        <v>322</v>
      </c>
      <c r="AR2520" s="2" t="s">
        <v>824</v>
      </c>
      <c r="AS2520" s="2" t="s">
        <v>825</v>
      </c>
      <c r="AT2520" s="2" t="s">
        <v>8505</v>
      </c>
      <c r="AU2520" s="2"/>
      <c r="AV2520" s="2"/>
      <c r="AW2520" s="2"/>
      <c r="AX2520" s="2"/>
      <c r="AY2520" s="2">
        <v>41</v>
      </c>
      <c r="AZ2520" s="2" t="s">
        <v>82</v>
      </c>
      <c r="BA2520" s="2">
        <v>41</v>
      </c>
      <c r="BB2520" s="2" t="s">
        <v>82</v>
      </c>
      <c r="BC2520" s="2">
        <v>51</v>
      </c>
      <c r="BD2520" s="2" t="s">
        <v>827</v>
      </c>
      <c r="BE2520" s="2">
        <v>47</v>
      </c>
      <c r="BF2520" s="2" t="s">
        <v>167</v>
      </c>
      <c r="BG2520" s="2">
        <v>2459</v>
      </c>
      <c r="BH2520" s="4">
        <v>0.96180555555555547</v>
      </c>
      <c r="BI2520" s="4">
        <v>0.98611111111111116</v>
      </c>
      <c r="BJ2520" s="2">
        <v>13</v>
      </c>
      <c r="BK2520" s="2" t="s">
        <v>91</v>
      </c>
      <c r="BL2520" s="2" t="s">
        <v>828</v>
      </c>
      <c r="BM2520" s="2">
        <v>241</v>
      </c>
      <c r="BN2520" s="2" t="s">
        <v>82</v>
      </c>
      <c r="BO2520" s="2" t="s">
        <v>82</v>
      </c>
      <c r="BP2520" s="2">
        <v>13</v>
      </c>
      <c r="BQ2520" s="2" t="s">
        <v>91</v>
      </c>
      <c r="BR2520" s="2" t="s">
        <v>185</v>
      </c>
      <c r="BS2520" s="3">
        <v>40345</v>
      </c>
      <c r="BT2520" s="4">
        <v>0.44829861111111113</v>
      </c>
    </row>
    <row r="2521" spans="1:72" x14ac:dyDescent="0.25">
      <c r="A2521" s="2">
        <v>3670</v>
      </c>
      <c r="B2521" s="2">
        <v>2010</v>
      </c>
      <c r="C2521" s="2" t="s">
        <v>819</v>
      </c>
      <c r="D2521" s="2" t="s">
        <v>122</v>
      </c>
      <c r="E2521" s="2" t="s">
        <v>8506</v>
      </c>
      <c r="F2521" s="2">
        <v>425</v>
      </c>
      <c r="G2521" s="2" t="s">
        <v>286</v>
      </c>
      <c r="H2521" s="2">
        <v>30</v>
      </c>
      <c r="I2521" s="2" t="s">
        <v>912</v>
      </c>
      <c r="J2521" s="2">
        <v>310</v>
      </c>
      <c r="K2521" s="2" t="s">
        <v>288</v>
      </c>
      <c r="L2521" s="2" t="s">
        <v>289</v>
      </c>
      <c r="M2521" s="3">
        <v>40345</v>
      </c>
      <c r="N2521" s="2" t="s">
        <v>2049</v>
      </c>
      <c r="O2521" s="2"/>
      <c r="P2521" s="2"/>
      <c r="Q2521" s="2" t="str">
        <f>"072/10"</f>
        <v>072/10</v>
      </c>
      <c r="R2521" s="2"/>
      <c r="S2521" s="2" t="s">
        <v>822</v>
      </c>
      <c r="T2521" s="2">
        <v>1</v>
      </c>
      <c r="U2521" s="2" t="s">
        <v>79</v>
      </c>
      <c r="V2521" s="2">
        <v>1</v>
      </c>
      <c r="W2521" s="2" t="s">
        <v>80</v>
      </c>
      <c r="X2521" s="2">
        <v>1</v>
      </c>
      <c r="Y2521" s="2" t="s">
        <v>81</v>
      </c>
      <c r="Z2521" s="2">
        <v>10</v>
      </c>
      <c r="AA2521" s="2" t="s">
        <v>236</v>
      </c>
      <c r="AB2521" s="2">
        <v>9</v>
      </c>
      <c r="AC2521" s="2" t="s">
        <v>124</v>
      </c>
      <c r="AD2521" s="3">
        <v>40344</v>
      </c>
      <c r="AE2521" s="4">
        <v>0.93055555555555547</v>
      </c>
      <c r="AF2521" s="2"/>
      <c r="AG2521" s="2"/>
      <c r="AH2521" s="2">
        <v>4</v>
      </c>
      <c r="AI2521" s="2" t="s">
        <v>125</v>
      </c>
      <c r="AJ2521" s="2">
        <v>29</v>
      </c>
      <c r="AK2521" s="2" t="s">
        <v>227</v>
      </c>
      <c r="AL2521" s="2">
        <v>16</v>
      </c>
      <c r="AM2521" s="2" t="s">
        <v>392</v>
      </c>
      <c r="AN2521" s="2" t="s">
        <v>3040</v>
      </c>
      <c r="AO2521" s="2" t="s">
        <v>5383</v>
      </c>
      <c r="AP2521" s="2">
        <v>12</v>
      </c>
      <c r="AQ2521" s="2" t="s">
        <v>322</v>
      </c>
      <c r="AR2521" s="2" t="s">
        <v>824</v>
      </c>
      <c r="AS2521" s="2" t="s">
        <v>825</v>
      </c>
      <c r="AT2521" s="2" t="s">
        <v>8507</v>
      </c>
      <c r="AU2521" s="2"/>
      <c r="AV2521" s="2"/>
      <c r="AW2521" s="2"/>
      <c r="AX2521" s="2"/>
      <c r="AY2521" s="2">
        <v>41</v>
      </c>
      <c r="AZ2521" s="2" t="s">
        <v>82</v>
      </c>
      <c r="BA2521" s="2">
        <v>41</v>
      </c>
      <c r="BB2521" s="2" t="s">
        <v>82</v>
      </c>
      <c r="BC2521" s="2">
        <v>51</v>
      </c>
      <c r="BD2521" s="2" t="s">
        <v>827</v>
      </c>
      <c r="BE2521" s="2">
        <v>13</v>
      </c>
      <c r="BF2521" s="2" t="s">
        <v>108</v>
      </c>
      <c r="BG2521" s="2">
        <v>1459</v>
      </c>
      <c r="BH2521" s="4">
        <v>0.92013888888888884</v>
      </c>
      <c r="BI2521" s="4">
        <v>0.95833333333333337</v>
      </c>
      <c r="BJ2521" s="2">
        <v>13</v>
      </c>
      <c r="BK2521" s="2" t="s">
        <v>91</v>
      </c>
      <c r="BL2521" s="2" t="s">
        <v>828</v>
      </c>
      <c r="BM2521" s="2">
        <v>241</v>
      </c>
      <c r="BN2521" s="2" t="s">
        <v>82</v>
      </c>
      <c r="BO2521" s="2"/>
      <c r="BP2521" s="2">
        <v>13</v>
      </c>
      <c r="BQ2521" s="2" t="s">
        <v>91</v>
      </c>
      <c r="BR2521" s="2" t="s">
        <v>185</v>
      </c>
      <c r="BS2521" s="3">
        <v>40345</v>
      </c>
      <c r="BT2521" s="4">
        <v>0.52452546296296299</v>
      </c>
    </row>
    <row r="2522" spans="1:72" x14ac:dyDescent="0.25">
      <c r="A2522" s="2">
        <v>3671</v>
      </c>
      <c r="B2522" s="2">
        <v>2010</v>
      </c>
      <c r="C2522" s="2" t="s">
        <v>196</v>
      </c>
      <c r="D2522" s="2" t="s">
        <v>122</v>
      </c>
      <c r="E2522" s="2"/>
      <c r="F2522" s="2">
        <v>1</v>
      </c>
      <c r="G2522" s="2" t="s">
        <v>82</v>
      </c>
      <c r="H2522" s="2">
        <v>1</v>
      </c>
      <c r="I2522" s="2" t="s">
        <v>82</v>
      </c>
      <c r="J2522" s="2">
        <v>1</v>
      </c>
      <c r="K2522" s="2" t="s">
        <v>107</v>
      </c>
      <c r="L2522" s="2" t="s">
        <v>107</v>
      </c>
      <c r="M2522" s="3">
        <v>40345</v>
      </c>
      <c r="N2522" s="2"/>
      <c r="O2522" s="2"/>
      <c r="P2522" s="2"/>
      <c r="Q2522" s="2" t="str">
        <f>""</f>
        <v/>
      </c>
      <c r="R2522" s="2"/>
      <c r="S2522" s="2"/>
      <c r="T2522" s="2">
        <v>2</v>
      </c>
      <c r="U2522" s="2" t="s">
        <v>123</v>
      </c>
      <c r="V2522" s="2">
        <v>1</v>
      </c>
      <c r="W2522" s="2" t="s">
        <v>80</v>
      </c>
      <c r="X2522" s="2">
        <v>11</v>
      </c>
      <c r="Y2522" s="2" t="s">
        <v>1920</v>
      </c>
      <c r="Z2522" s="2">
        <v>10</v>
      </c>
      <c r="AA2522" s="2" t="s">
        <v>236</v>
      </c>
      <c r="AB2522" s="2">
        <v>9</v>
      </c>
      <c r="AC2522" s="2" t="s">
        <v>124</v>
      </c>
      <c r="AD2522" s="3">
        <v>40345</v>
      </c>
      <c r="AE2522" s="4">
        <v>0.375</v>
      </c>
      <c r="AF2522" s="2"/>
      <c r="AG2522" s="2"/>
      <c r="AH2522" s="2">
        <v>2</v>
      </c>
      <c r="AI2522" s="2" t="s">
        <v>84</v>
      </c>
      <c r="AJ2522" s="2">
        <v>12</v>
      </c>
      <c r="AK2522" s="2" t="s">
        <v>85</v>
      </c>
      <c r="AL2522" s="2">
        <v>20</v>
      </c>
      <c r="AM2522" s="2" t="s">
        <v>992</v>
      </c>
      <c r="AN2522" s="2" t="s">
        <v>200</v>
      </c>
      <c r="AO2522" s="2"/>
      <c r="AP2522" s="2">
        <v>11</v>
      </c>
      <c r="AQ2522" s="2" t="s">
        <v>82</v>
      </c>
      <c r="AR2522" s="2"/>
      <c r="AS2522" s="2"/>
      <c r="AT2522" s="2" t="s">
        <v>8508</v>
      </c>
      <c r="AU2522" s="2"/>
      <c r="AV2522" s="2"/>
      <c r="AW2522" s="2"/>
      <c r="AX2522" s="2"/>
      <c r="AY2522" s="2">
        <v>1</v>
      </c>
      <c r="AZ2522" s="2" t="s">
        <v>107</v>
      </c>
      <c r="BA2522" s="2">
        <v>1</v>
      </c>
      <c r="BB2522" s="2" t="s">
        <v>107</v>
      </c>
      <c r="BC2522" s="2">
        <v>1</v>
      </c>
      <c r="BD2522" s="2" t="s">
        <v>107</v>
      </c>
      <c r="BE2522" s="2">
        <v>1</v>
      </c>
      <c r="BF2522" s="2" t="s">
        <v>107</v>
      </c>
      <c r="BG2522" s="2"/>
      <c r="BH2522" s="4">
        <v>0.48819444444444443</v>
      </c>
      <c r="BI2522" s="4">
        <v>0.4993055555555555</v>
      </c>
      <c r="BJ2522" s="2">
        <v>13</v>
      </c>
      <c r="BK2522" s="2" t="s">
        <v>91</v>
      </c>
      <c r="BL2522" s="2"/>
      <c r="BM2522" s="2">
        <v>242</v>
      </c>
      <c r="BN2522" s="2" t="s">
        <v>107</v>
      </c>
      <c r="BO2522" s="2"/>
      <c r="BP2522" s="2">
        <v>13</v>
      </c>
      <c r="BQ2522" s="2" t="s">
        <v>91</v>
      </c>
      <c r="BR2522" s="2" t="s">
        <v>8509</v>
      </c>
      <c r="BS2522" s="3">
        <v>40345</v>
      </c>
      <c r="BT2522" s="4">
        <v>0.5408680555555555</v>
      </c>
    </row>
    <row r="2523" spans="1:72" x14ac:dyDescent="0.25">
      <c r="A2523" s="2">
        <v>3672</v>
      </c>
      <c r="B2523" s="2">
        <v>2010</v>
      </c>
      <c r="C2523" s="2" t="s">
        <v>121</v>
      </c>
      <c r="D2523" s="2" t="s">
        <v>122</v>
      </c>
      <c r="E2523" s="2"/>
      <c r="F2523" s="2">
        <v>1</v>
      </c>
      <c r="G2523" s="2" t="s">
        <v>82</v>
      </c>
      <c r="H2523" s="2">
        <v>1</v>
      </c>
      <c r="I2523" s="2" t="s">
        <v>82</v>
      </c>
      <c r="J2523" s="2">
        <v>1</v>
      </c>
      <c r="K2523" s="2" t="s">
        <v>107</v>
      </c>
      <c r="L2523" s="2" t="s">
        <v>107</v>
      </c>
      <c r="M2523" s="3">
        <v>40345</v>
      </c>
      <c r="N2523" s="2" t="s">
        <v>82</v>
      </c>
      <c r="O2523" s="2" t="s">
        <v>82</v>
      </c>
      <c r="P2523" s="2" t="s">
        <v>82</v>
      </c>
      <c r="Q2523" s="2" t="str">
        <f>"N/C"</f>
        <v>N/C</v>
      </c>
      <c r="R2523" s="2" t="s">
        <v>82</v>
      </c>
      <c r="S2523" s="2" t="s">
        <v>82</v>
      </c>
      <c r="T2523" s="2">
        <v>2</v>
      </c>
      <c r="U2523" s="2" t="s">
        <v>123</v>
      </c>
      <c r="V2523" s="2">
        <v>1</v>
      </c>
      <c r="W2523" s="2" t="s">
        <v>80</v>
      </c>
      <c r="X2523" s="2">
        <v>11</v>
      </c>
      <c r="Y2523" s="2" t="s">
        <v>1920</v>
      </c>
      <c r="Z2523" s="2">
        <v>10</v>
      </c>
      <c r="AA2523" s="2" t="s">
        <v>236</v>
      </c>
      <c r="AB2523" s="2">
        <v>9</v>
      </c>
      <c r="AC2523" s="2" t="s">
        <v>124</v>
      </c>
      <c r="AD2523" s="3">
        <v>40345</v>
      </c>
      <c r="AE2523" s="4">
        <v>0.35416666666666669</v>
      </c>
      <c r="AF2523" s="2"/>
      <c r="AG2523" s="2"/>
      <c r="AH2523" s="2">
        <v>5</v>
      </c>
      <c r="AI2523" s="2" t="s">
        <v>274</v>
      </c>
      <c r="AJ2523" s="2">
        <v>45</v>
      </c>
      <c r="AK2523" s="2" t="s">
        <v>834</v>
      </c>
      <c r="AL2523" s="2">
        <v>25</v>
      </c>
      <c r="AM2523" s="2" t="s">
        <v>3073</v>
      </c>
      <c r="AN2523" s="2" t="s">
        <v>82</v>
      </c>
      <c r="AO2523" s="2" t="s">
        <v>8510</v>
      </c>
      <c r="AP2523" s="2">
        <v>11</v>
      </c>
      <c r="AQ2523" s="2" t="s">
        <v>82</v>
      </c>
      <c r="AR2523" s="2" t="s">
        <v>82</v>
      </c>
      <c r="AS2523" s="2" t="s">
        <v>82</v>
      </c>
      <c r="AT2523" s="2" t="s">
        <v>8511</v>
      </c>
      <c r="AU2523" s="2"/>
      <c r="AV2523" s="2"/>
      <c r="AW2523" s="2"/>
      <c r="AX2523" s="2"/>
      <c r="AY2523" s="2">
        <v>41</v>
      </c>
      <c r="AZ2523" s="2" t="s">
        <v>82</v>
      </c>
      <c r="BA2523" s="2">
        <v>41</v>
      </c>
      <c r="BB2523" s="2" t="s">
        <v>82</v>
      </c>
      <c r="BC2523" s="2">
        <v>41</v>
      </c>
      <c r="BD2523" s="2" t="s">
        <v>82</v>
      </c>
      <c r="BE2523" s="2">
        <v>42</v>
      </c>
      <c r="BF2523" s="2" t="s">
        <v>182</v>
      </c>
      <c r="BG2523" s="2" t="s">
        <v>8512</v>
      </c>
      <c r="BH2523" s="4">
        <v>0.44722222222222219</v>
      </c>
      <c r="BI2523" s="4">
        <v>0.4993055555555555</v>
      </c>
      <c r="BJ2523" s="2">
        <v>13</v>
      </c>
      <c r="BK2523" s="2" t="s">
        <v>91</v>
      </c>
      <c r="BL2523" s="2" t="s">
        <v>5180</v>
      </c>
      <c r="BM2523" s="2">
        <v>241</v>
      </c>
      <c r="BN2523" s="2" t="s">
        <v>82</v>
      </c>
      <c r="BO2523" s="2" t="s">
        <v>82</v>
      </c>
      <c r="BP2523" s="2">
        <v>13</v>
      </c>
      <c r="BQ2523" s="2" t="s">
        <v>91</v>
      </c>
      <c r="BR2523" s="2" t="s">
        <v>647</v>
      </c>
      <c r="BS2523" s="3">
        <v>40345</v>
      </c>
      <c r="BT2523" s="4">
        <v>0.55266203703703709</v>
      </c>
    </row>
    <row r="2524" spans="1:72" x14ac:dyDescent="0.25">
      <c r="A2524" s="2">
        <v>3674</v>
      </c>
      <c r="B2524" s="2">
        <v>2010</v>
      </c>
      <c r="C2524" s="2" t="s">
        <v>1568</v>
      </c>
      <c r="D2524" s="2" t="s">
        <v>122</v>
      </c>
      <c r="E2524" s="2" t="s">
        <v>8513</v>
      </c>
      <c r="F2524" s="2">
        <v>425</v>
      </c>
      <c r="G2524" s="2" t="s">
        <v>286</v>
      </c>
      <c r="H2524" s="2">
        <v>39</v>
      </c>
      <c r="I2524" s="2" t="s">
        <v>1117</v>
      </c>
      <c r="J2524" s="2">
        <v>310</v>
      </c>
      <c r="K2524" s="2" t="s">
        <v>288</v>
      </c>
      <c r="L2524" s="2" t="s">
        <v>289</v>
      </c>
      <c r="M2524" s="3">
        <v>40345</v>
      </c>
      <c r="N2524" s="2" t="s">
        <v>2049</v>
      </c>
      <c r="O2524" s="2"/>
      <c r="P2524" s="2"/>
      <c r="Q2524" s="2" t="str">
        <f>"068"</f>
        <v>068</v>
      </c>
      <c r="R2524" s="2" t="s">
        <v>822</v>
      </c>
      <c r="S2524" s="2"/>
      <c r="T2524" s="2">
        <v>1</v>
      </c>
      <c r="U2524" s="2" t="s">
        <v>79</v>
      </c>
      <c r="V2524" s="2">
        <v>1</v>
      </c>
      <c r="W2524" s="2" t="s">
        <v>80</v>
      </c>
      <c r="X2524" s="2">
        <v>1</v>
      </c>
      <c r="Y2524" s="2" t="s">
        <v>81</v>
      </c>
      <c r="Z2524" s="2">
        <v>10</v>
      </c>
      <c r="AA2524" s="2" t="s">
        <v>236</v>
      </c>
      <c r="AB2524" s="2">
        <v>4</v>
      </c>
      <c r="AC2524" s="2" t="s">
        <v>1569</v>
      </c>
      <c r="AD2524" s="3">
        <v>40345</v>
      </c>
      <c r="AE2524" s="4">
        <v>0.51041666666666663</v>
      </c>
      <c r="AF2524" s="2"/>
      <c r="AG2524" s="2"/>
      <c r="AH2524" s="2">
        <v>4</v>
      </c>
      <c r="AI2524" s="2" t="s">
        <v>125</v>
      </c>
      <c r="AJ2524" s="2">
        <v>29</v>
      </c>
      <c r="AK2524" s="2" t="s">
        <v>227</v>
      </c>
      <c r="AL2524" s="2">
        <v>16</v>
      </c>
      <c r="AM2524" s="2" t="s">
        <v>392</v>
      </c>
      <c r="AN2524" s="2" t="s">
        <v>3040</v>
      </c>
      <c r="AO2524" s="2" t="s">
        <v>8454</v>
      </c>
      <c r="AP2524" s="2">
        <v>12</v>
      </c>
      <c r="AQ2524" s="2" t="s">
        <v>322</v>
      </c>
      <c r="AR2524" s="2" t="s">
        <v>824</v>
      </c>
      <c r="AS2524" s="2" t="s">
        <v>884</v>
      </c>
      <c r="AT2524" s="2" t="s">
        <v>8514</v>
      </c>
      <c r="AU2524" s="2"/>
      <c r="AV2524" s="2"/>
      <c r="AW2524" s="2"/>
      <c r="AX2524" s="2"/>
      <c r="AY2524" s="2">
        <v>41</v>
      </c>
      <c r="AZ2524" s="2" t="s">
        <v>82</v>
      </c>
      <c r="BA2524" s="2">
        <v>41</v>
      </c>
      <c r="BB2524" s="2" t="s">
        <v>82</v>
      </c>
      <c r="BC2524" s="2">
        <v>51</v>
      </c>
      <c r="BD2524" s="2" t="s">
        <v>827</v>
      </c>
      <c r="BE2524" s="2">
        <v>13</v>
      </c>
      <c r="BF2524" s="2" t="s">
        <v>108</v>
      </c>
      <c r="BG2524" s="2">
        <v>1459</v>
      </c>
      <c r="BH2524" s="4">
        <v>0.90625</v>
      </c>
      <c r="BI2524" s="4">
        <v>0.92708333333333337</v>
      </c>
      <c r="BJ2524" s="2">
        <v>13</v>
      </c>
      <c r="BK2524" s="2" t="s">
        <v>91</v>
      </c>
      <c r="BL2524" s="2" t="s">
        <v>828</v>
      </c>
      <c r="BM2524" s="2">
        <v>241</v>
      </c>
      <c r="BN2524" s="2" t="s">
        <v>82</v>
      </c>
      <c r="BO2524" s="2" t="s">
        <v>82</v>
      </c>
      <c r="BP2524" s="2">
        <v>13</v>
      </c>
      <c r="BQ2524" s="2" t="s">
        <v>91</v>
      </c>
      <c r="BR2524" s="2" t="s">
        <v>185</v>
      </c>
      <c r="BS2524" s="3">
        <v>40345</v>
      </c>
      <c r="BT2524" s="4">
        <v>0.57377314814814817</v>
      </c>
    </row>
    <row r="2525" spans="1:72" x14ac:dyDescent="0.25">
      <c r="A2525" s="2">
        <v>3676</v>
      </c>
      <c r="B2525" s="2">
        <v>2010</v>
      </c>
      <c r="C2525" s="2" t="s">
        <v>171</v>
      </c>
      <c r="D2525" s="2" t="s">
        <v>122</v>
      </c>
      <c r="E2525" s="2"/>
      <c r="F2525" s="2">
        <v>424</v>
      </c>
      <c r="G2525" s="2" t="s">
        <v>266</v>
      </c>
      <c r="H2525" s="2">
        <v>23</v>
      </c>
      <c r="I2525" s="2" t="s">
        <v>422</v>
      </c>
      <c r="J2525" s="2">
        <v>309</v>
      </c>
      <c r="K2525" s="2" t="s">
        <v>268</v>
      </c>
      <c r="L2525" s="2" t="s">
        <v>269</v>
      </c>
      <c r="M2525" s="3">
        <v>40345</v>
      </c>
      <c r="N2525" s="2" t="s">
        <v>8515</v>
      </c>
      <c r="O2525" s="2" t="s">
        <v>8516</v>
      </c>
      <c r="P2525" s="2" t="s">
        <v>8517</v>
      </c>
      <c r="Q2525" s="2" t="str">
        <f>"332/09"</f>
        <v>332/09</v>
      </c>
      <c r="R2525" s="2"/>
      <c r="S2525" s="2" t="s">
        <v>8516</v>
      </c>
      <c r="T2525" s="2">
        <v>1</v>
      </c>
      <c r="U2525" s="2" t="s">
        <v>79</v>
      </c>
      <c r="V2525" s="2">
        <v>3</v>
      </c>
      <c r="W2525" s="2" t="s">
        <v>225</v>
      </c>
      <c r="X2525" s="2">
        <v>6</v>
      </c>
      <c r="Y2525" s="2" t="s">
        <v>249</v>
      </c>
      <c r="Z2525" s="2">
        <v>1</v>
      </c>
      <c r="AA2525" s="2" t="s">
        <v>82</v>
      </c>
      <c r="AB2525" s="2">
        <v>9</v>
      </c>
      <c r="AC2525" s="2" t="s">
        <v>124</v>
      </c>
      <c r="AD2525" s="2"/>
      <c r="AE2525" s="2"/>
      <c r="AF2525" s="2"/>
      <c r="AG2525" s="2"/>
      <c r="AH2525" s="2">
        <v>5</v>
      </c>
      <c r="AI2525" s="2" t="s">
        <v>274</v>
      </c>
      <c r="AJ2525" s="2">
        <v>35</v>
      </c>
      <c r="AK2525" s="2" t="s">
        <v>275</v>
      </c>
      <c r="AL2525" s="2">
        <v>18</v>
      </c>
      <c r="AM2525" s="2" t="s">
        <v>82</v>
      </c>
      <c r="AN2525" s="2" t="s">
        <v>8518</v>
      </c>
      <c r="AO2525" s="2" t="s">
        <v>6998</v>
      </c>
      <c r="AP2525" s="2">
        <v>11</v>
      </c>
      <c r="AQ2525" s="2" t="s">
        <v>82</v>
      </c>
      <c r="AR2525" s="2"/>
      <c r="AS2525" s="2"/>
      <c r="AT2525" s="2" t="s">
        <v>8519</v>
      </c>
      <c r="AU2525" s="2"/>
      <c r="AV2525" s="2"/>
      <c r="AW2525" s="2"/>
      <c r="AX2525" s="2"/>
      <c r="AY2525" s="2">
        <v>1</v>
      </c>
      <c r="AZ2525" s="2" t="s">
        <v>107</v>
      </c>
      <c r="BA2525" s="2">
        <v>1</v>
      </c>
      <c r="BB2525" s="2" t="s">
        <v>107</v>
      </c>
      <c r="BC2525" s="2">
        <v>1</v>
      </c>
      <c r="BD2525" s="2" t="s">
        <v>107</v>
      </c>
      <c r="BE2525" s="2">
        <v>1</v>
      </c>
      <c r="BF2525" s="2" t="s">
        <v>107</v>
      </c>
      <c r="BG2525" s="2"/>
      <c r="BH2525" s="2"/>
      <c r="BI2525" s="2"/>
      <c r="BJ2525" s="2">
        <v>242</v>
      </c>
      <c r="BK2525" s="2" t="s">
        <v>107</v>
      </c>
      <c r="BL2525" s="2"/>
      <c r="BM2525" s="2">
        <v>242</v>
      </c>
      <c r="BN2525" s="2" t="s">
        <v>107</v>
      </c>
      <c r="BO2525" s="2"/>
      <c r="BP2525" s="2">
        <v>242</v>
      </c>
      <c r="BQ2525" s="2" t="s">
        <v>107</v>
      </c>
      <c r="BR2525" s="2"/>
      <c r="BS2525" s="3">
        <v>40345</v>
      </c>
      <c r="BT2525" s="4">
        <v>0.60597222222222225</v>
      </c>
    </row>
    <row r="2526" spans="1:72" x14ac:dyDescent="0.25">
      <c r="A2526" s="2">
        <v>3680</v>
      </c>
      <c r="B2526" s="2">
        <v>2010</v>
      </c>
      <c r="C2526" s="2" t="s">
        <v>457</v>
      </c>
      <c r="D2526" s="2" t="s">
        <v>73</v>
      </c>
      <c r="E2526" s="2"/>
      <c r="F2526" s="2">
        <v>641</v>
      </c>
      <c r="G2526" s="2" t="s">
        <v>8520</v>
      </c>
      <c r="H2526" s="2">
        <v>50</v>
      </c>
      <c r="I2526" s="2" t="s">
        <v>107</v>
      </c>
      <c r="J2526" s="2">
        <v>1</v>
      </c>
      <c r="K2526" s="2" t="s">
        <v>107</v>
      </c>
      <c r="L2526" s="2" t="s">
        <v>107</v>
      </c>
      <c r="M2526" s="3">
        <v>40345</v>
      </c>
      <c r="N2526" s="2" t="s">
        <v>107</v>
      </c>
      <c r="O2526" s="2" t="s">
        <v>107</v>
      </c>
      <c r="P2526" s="2" t="s">
        <v>107</v>
      </c>
      <c r="Q2526" s="2" t="str">
        <f>"S/D"</f>
        <v>S/D</v>
      </c>
      <c r="R2526" s="2" t="s">
        <v>107</v>
      </c>
      <c r="S2526" s="2" t="s">
        <v>107</v>
      </c>
      <c r="T2526" s="2">
        <v>1</v>
      </c>
      <c r="U2526" s="2" t="s">
        <v>79</v>
      </c>
      <c r="V2526" s="2">
        <v>1</v>
      </c>
      <c r="W2526" s="2" t="s">
        <v>80</v>
      </c>
      <c r="X2526" s="2">
        <v>11</v>
      </c>
      <c r="Y2526" s="2" t="s">
        <v>1920</v>
      </c>
      <c r="Z2526" s="2">
        <v>1</v>
      </c>
      <c r="AA2526" s="2" t="s">
        <v>82</v>
      </c>
      <c r="AB2526" s="2">
        <v>9</v>
      </c>
      <c r="AC2526" s="2" t="s">
        <v>124</v>
      </c>
      <c r="AD2526" s="3">
        <v>40345</v>
      </c>
      <c r="AE2526" s="4">
        <v>0.45833333333333331</v>
      </c>
      <c r="AF2526" s="2"/>
      <c r="AG2526" s="2"/>
      <c r="AH2526" s="2">
        <v>2</v>
      </c>
      <c r="AI2526" s="2" t="s">
        <v>84</v>
      </c>
      <c r="AJ2526" s="2">
        <v>12</v>
      </c>
      <c r="AK2526" s="2" t="s">
        <v>85</v>
      </c>
      <c r="AL2526" s="2">
        <v>27</v>
      </c>
      <c r="AM2526" s="2" t="s">
        <v>6225</v>
      </c>
      <c r="AN2526" s="2" t="s">
        <v>107</v>
      </c>
      <c r="AO2526" s="2" t="s">
        <v>8521</v>
      </c>
      <c r="AP2526" s="2">
        <v>11</v>
      </c>
      <c r="AQ2526" s="2" t="s">
        <v>82</v>
      </c>
      <c r="AR2526" s="2" t="s">
        <v>82</v>
      </c>
      <c r="AS2526" s="2" t="s">
        <v>82</v>
      </c>
      <c r="AT2526" s="2" t="s">
        <v>8522</v>
      </c>
      <c r="AU2526" s="2"/>
      <c r="AV2526" s="2"/>
      <c r="AW2526" s="2"/>
      <c r="AX2526" s="2"/>
      <c r="AY2526" s="2">
        <v>41</v>
      </c>
      <c r="AZ2526" s="2" t="s">
        <v>82</v>
      </c>
      <c r="BA2526" s="2">
        <v>41</v>
      </c>
      <c r="BB2526" s="2" t="s">
        <v>82</v>
      </c>
      <c r="BC2526" s="2">
        <v>41</v>
      </c>
      <c r="BD2526" s="2" t="s">
        <v>82</v>
      </c>
      <c r="BE2526" s="2">
        <v>13</v>
      </c>
      <c r="BF2526" s="2" t="s">
        <v>108</v>
      </c>
      <c r="BG2526" s="2" t="s">
        <v>4530</v>
      </c>
      <c r="BH2526" s="4">
        <v>0.65625</v>
      </c>
      <c r="BI2526" s="4">
        <v>0.56597222222222221</v>
      </c>
      <c r="BJ2526" s="2">
        <v>13</v>
      </c>
      <c r="BK2526" s="2" t="s">
        <v>91</v>
      </c>
      <c r="BL2526" s="2" t="s">
        <v>185</v>
      </c>
      <c r="BM2526" s="2">
        <v>241</v>
      </c>
      <c r="BN2526" s="2" t="s">
        <v>82</v>
      </c>
      <c r="BO2526" s="2" t="s">
        <v>82</v>
      </c>
      <c r="BP2526" s="2">
        <v>172</v>
      </c>
      <c r="BQ2526" s="2" t="s">
        <v>843</v>
      </c>
      <c r="BR2526" s="2" t="s">
        <v>844</v>
      </c>
      <c r="BS2526" s="3">
        <v>40345</v>
      </c>
      <c r="BT2526" s="4">
        <v>0.72560185185185189</v>
      </c>
    </row>
    <row r="2527" spans="1:72" x14ac:dyDescent="0.25">
      <c r="A2527" s="2">
        <v>3681</v>
      </c>
      <c r="B2527" s="2">
        <v>2010</v>
      </c>
      <c r="C2527" s="2" t="s">
        <v>196</v>
      </c>
      <c r="D2527" s="2" t="s">
        <v>122</v>
      </c>
      <c r="E2527" s="2"/>
      <c r="F2527" s="2">
        <v>1</v>
      </c>
      <c r="G2527" s="2" t="s">
        <v>82</v>
      </c>
      <c r="H2527" s="2">
        <v>1</v>
      </c>
      <c r="I2527" s="2" t="s">
        <v>82</v>
      </c>
      <c r="J2527" s="2">
        <v>1</v>
      </c>
      <c r="K2527" s="2" t="s">
        <v>107</v>
      </c>
      <c r="L2527" s="2" t="s">
        <v>107</v>
      </c>
      <c r="M2527" s="3">
        <v>40345</v>
      </c>
      <c r="N2527" s="2"/>
      <c r="O2527" s="2"/>
      <c r="P2527" s="2"/>
      <c r="Q2527" s="2" t="str">
        <f>""</f>
        <v/>
      </c>
      <c r="R2527" s="2"/>
      <c r="S2527" s="2"/>
      <c r="T2527" s="2">
        <v>2</v>
      </c>
      <c r="U2527" s="2" t="s">
        <v>123</v>
      </c>
      <c r="V2527" s="2">
        <v>1</v>
      </c>
      <c r="W2527" s="2" t="s">
        <v>80</v>
      </c>
      <c r="X2527" s="2">
        <v>11</v>
      </c>
      <c r="Y2527" s="2" t="s">
        <v>1920</v>
      </c>
      <c r="Z2527" s="2">
        <v>10</v>
      </c>
      <c r="AA2527" s="2" t="s">
        <v>236</v>
      </c>
      <c r="AB2527" s="2">
        <v>9</v>
      </c>
      <c r="AC2527" s="2" t="s">
        <v>124</v>
      </c>
      <c r="AD2527" s="3">
        <v>40345</v>
      </c>
      <c r="AE2527" s="4">
        <v>0.60416666666666663</v>
      </c>
      <c r="AF2527" s="2"/>
      <c r="AG2527" s="2"/>
      <c r="AH2527" s="2">
        <v>2</v>
      </c>
      <c r="AI2527" s="2" t="s">
        <v>84</v>
      </c>
      <c r="AJ2527" s="2">
        <v>12</v>
      </c>
      <c r="AK2527" s="2" t="s">
        <v>85</v>
      </c>
      <c r="AL2527" s="2">
        <v>20</v>
      </c>
      <c r="AM2527" s="2" t="s">
        <v>992</v>
      </c>
      <c r="AN2527" s="2"/>
      <c r="AO2527" s="2" t="s">
        <v>993</v>
      </c>
      <c r="AP2527" s="2">
        <v>11</v>
      </c>
      <c r="AQ2527" s="2" t="s">
        <v>82</v>
      </c>
      <c r="AR2527" s="2"/>
      <c r="AS2527" s="2"/>
      <c r="AT2527" s="2" t="s">
        <v>8523</v>
      </c>
      <c r="AU2527" s="2"/>
      <c r="AV2527" s="2"/>
      <c r="AW2527" s="2"/>
      <c r="AX2527" s="2"/>
      <c r="AY2527" s="2">
        <v>1</v>
      </c>
      <c r="AZ2527" s="2" t="s">
        <v>107</v>
      </c>
      <c r="BA2527" s="2">
        <v>1</v>
      </c>
      <c r="BB2527" s="2" t="s">
        <v>107</v>
      </c>
      <c r="BC2527" s="2">
        <v>1</v>
      </c>
      <c r="BD2527" s="2" t="s">
        <v>107</v>
      </c>
      <c r="BE2527" s="2">
        <v>1</v>
      </c>
      <c r="BF2527" s="2" t="s">
        <v>107</v>
      </c>
      <c r="BG2527" s="2"/>
      <c r="BH2527" s="4">
        <v>0.69444444444444453</v>
      </c>
      <c r="BI2527" s="2"/>
      <c r="BJ2527" s="2">
        <v>13</v>
      </c>
      <c r="BK2527" s="2" t="s">
        <v>91</v>
      </c>
      <c r="BL2527" s="2" t="s">
        <v>8509</v>
      </c>
      <c r="BM2527" s="2">
        <v>242</v>
      </c>
      <c r="BN2527" s="2" t="s">
        <v>107</v>
      </c>
      <c r="BO2527" s="2"/>
      <c r="BP2527" s="2">
        <v>242</v>
      </c>
      <c r="BQ2527" s="2" t="s">
        <v>107</v>
      </c>
      <c r="BR2527" s="2"/>
      <c r="BS2527" s="3">
        <v>40345</v>
      </c>
      <c r="BT2527" s="4">
        <v>0.75697916666666665</v>
      </c>
    </row>
    <row r="2528" spans="1:72" x14ac:dyDescent="0.25">
      <c r="A2528" s="2">
        <v>3684</v>
      </c>
      <c r="B2528" s="2">
        <v>2010</v>
      </c>
      <c r="C2528" s="2" t="s">
        <v>414</v>
      </c>
      <c r="D2528" s="2" t="s">
        <v>122</v>
      </c>
      <c r="E2528" s="2"/>
      <c r="F2528" s="2">
        <v>1</v>
      </c>
      <c r="G2528" s="2" t="s">
        <v>82</v>
      </c>
      <c r="H2528" s="2">
        <v>1</v>
      </c>
      <c r="I2528" s="2" t="s">
        <v>82</v>
      </c>
      <c r="J2528" s="2">
        <v>1</v>
      </c>
      <c r="K2528" s="2" t="s">
        <v>107</v>
      </c>
      <c r="L2528" s="2" t="s">
        <v>107</v>
      </c>
      <c r="M2528" s="3">
        <v>40345</v>
      </c>
      <c r="N2528" s="2" t="s">
        <v>82</v>
      </c>
      <c r="O2528" s="2" t="s">
        <v>82</v>
      </c>
      <c r="P2528" s="2" t="s">
        <v>82</v>
      </c>
      <c r="Q2528" s="2" t="str">
        <f>"N/C"</f>
        <v>N/C</v>
      </c>
      <c r="R2528" s="2" t="s">
        <v>82</v>
      </c>
      <c r="S2528" s="2" t="s">
        <v>82</v>
      </c>
      <c r="T2528" s="2">
        <v>1</v>
      </c>
      <c r="U2528" s="2" t="s">
        <v>79</v>
      </c>
      <c r="V2528" s="2">
        <v>1</v>
      </c>
      <c r="W2528" s="2" t="s">
        <v>80</v>
      </c>
      <c r="X2528" s="2">
        <v>1</v>
      </c>
      <c r="Y2528" s="2" t="s">
        <v>81</v>
      </c>
      <c r="Z2528" s="2">
        <v>1</v>
      </c>
      <c r="AA2528" s="2" t="s">
        <v>82</v>
      </c>
      <c r="AB2528" s="2">
        <v>9</v>
      </c>
      <c r="AC2528" s="2" t="s">
        <v>124</v>
      </c>
      <c r="AD2528" s="3">
        <v>40345</v>
      </c>
      <c r="AE2528" s="4">
        <v>0.43402777777777773</v>
      </c>
      <c r="AF2528" s="2"/>
      <c r="AG2528" s="2"/>
      <c r="AH2528" s="2">
        <v>2</v>
      </c>
      <c r="AI2528" s="2" t="s">
        <v>84</v>
      </c>
      <c r="AJ2528" s="2">
        <v>12</v>
      </c>
      <c r="AK2528" s="2" t="s">
        <v>85</v>
      </c>
      <c r="AL2528" s="2">
        <v>12</v>
      </c>
      <c r="AM2528" s="2" t="s">
        <v>86</v>
      </c>
      <c r="AN2528" s="2" t="s">
        <v>107</v>
      </c>
      <c r="AO2528" s="2" t="s">
        <v>8524</v>
      </c>
      <c r="AP2528" s="2">
        <v>11</v>
      </c>
      <c r="AQ2528" s="2" t="s">
        <v>82</v>
      </c>
      <c r="AR2528" s="2" t="s">
        <v>82</v>
      </c>
      <c r="AS2528" s="2" t="s">
        <v>82</v>
      </c>
      <c r="AT2528" s="2" t="s">
        <v>8525</v>
      </c>
      <c r="AU2528" s="2"/>
      <c r="AV2528" s="2"/>
      <c r="AW2528" s="2"/>
      <c r="AX2528" s="2"/>
      <c r="AY2528" s="2">
        <v>41</v>
      </c>
      <c r="AZ2528" s="2" t="s">
        <v>82</v>
      </c>
      <c r="BA2528" s="2">
        <v>41</v>
      </c>
      <c r="BB2528" s="2" t="s">
        <v>82</v>
      </c>
      <c r="BC2528" s="2">
        <v>41</v>
      </c>
      <c r="BD2528" s="2" t="s">
        <v>82</v>
      </c>
      <c r="BE2528" s="2">
        <v>41</v>
      </c>
      <c r="BF2528" s="2" t="s">
        <v>82</v>
      </c>
      <c r="BG2528" s="2" t="s">
        <v>82</v>
      </c>
      <c r="BH2528" s="2"/>
      <c r="BI2528" s="2"/>
      <c r="BJ2528" s="2">
        <v>241</v>
      </c>
      <c r="BK2528" s="2" t="s">
        <v>82</v>
      </c>
      <c r="BL2528" s="2" t="s">
        <v>82</v>
      </c>
      <c r="BM2528" s="2">
        <v>241</v>
      </c>
      <c r="BN2528" s="2" t="s">
        <v>82</v>
      </c>
      <c r="BO2528" s="2" t="s">
        <v>82</v>
      </c>
      <c r="BP2528" s="2">
        <v>241</v>
      </c>
      <c r="BQ2528" s="2" t="s">
        <v>82</v>
      </c>
      <c r="BR2528" s="2" t="s">
        <v>82</v>
      </c>
      <c r="BS2528" s="3">
        <v>40345</v>
      </c>
      <c r="BT2528" s="4">
        <v>0.86993055555555554</v>
      </c>
    </row>
    <row r="2529" spans="1:72" x14ac:dyDescent="0.25">
      <c r="A2529" s="2">
        <v>3687</v>
      </c>
      <c r="B2529" s="2">
        <v>2010</v>
      </c>
      <c r="C2529" s="2" t="s">
        <v>377</v>
      </c>
      <c r="D2529" s="2" t="s">
        <v>73</v>
      </c>
      <c r="E2529" s="2"/>
      <c r="F2529" s="2">
        <v>426</v>
      </c>
      <c r="G2529" s="2" t="s">
        <v>378</v>
      </c>
      <c r="H2529" s="2">
        <v>22</v>
      </c>
      <c r="I2529" s="2" t="s">
        <v>75</v>
      </c>
      <c r="J2529" s="2">
        <v>311</v>
      </c>
      <c r="K2529" s="2" t="s">
        <v>379</v>
      </c>
      <c r="L2529" s="2" t="s">
        <v>380</v>
      </c>
      <c r="M2529" s="3">
        <v>40345</v>
      </c>
      <c r="N2529" s="2" t="s">
        <v>4427</v>
      </c>
      <c r="O2529" s="2"/>
      <c r="P2529" s="2"/>
      <c r="Q2529" s="2" t="str">
        <f>"120-C/10"</f>
        <v>120-C/10</v>
      </c>
      <c r="R2529" s="2" t="s">
        <v>8526</v>
      </c>
      <c r="S2529" s="2"/>
      <c r="T2529" s="2">
        <v>1</v>
      </c>
      <c r="U2529" s="2" t="s">
        <v>79</v>
      </c>
      <c r="V2529" s="2">
        <v>1</v>
      </c>
      <c r="W2529" s="2" t="s">
        <v>80</v>
      </c>
      <c r="X2529" s="2">
        <v>1</v>
      </c>
      <c r="Y2529" s="2" t="s">
        <v>81</v>
      </c>
      <c r="Z2529" s="2">
        <v>1</v>
      </c>
      <c r="AA2529" s="2" t="s">
        <v>82</v>
      </c>
      <c r="AB2529" s="2">
        <v>9</v>
      </c>
      <c r="AC2529" s="2" t="s">
        <v>124</v>
      </c>
      <c r="AD2529" s="3">
        <v>40345</v>
      </c>
      <c r="AE2529" s="4">
        <v>0.2638888888888889</v>
      </c>
      <c r="AF2529" s="2"/>
      <c r="AG2529" s="2"/>
      <c r="AH2529" s="2">
        <v>2</v>
      </c>
      <c r="AI2529" s="2" t="s">
        <v>84</v>
      </c>
      <c r="AJ2529" s="2">
        <v>9</v>
      </c>
      <c r="AK2529" s="2" t="s">
        <v>103</v>
      </c>
      <c r="AL2529" s="2">
        <v>14</v>
      </c>
      <c r="AM2529" s="2" t="s">
        <v>216</v>
      </c>
      <c r="AN2529" s="2"/>
      <c r="AO2529" s="2" t="s">
        <v>8527</v>
      </c>
      <c r="AP2529" s="2">
        <v>11</v>
      </c>
      <c r="AQ2529" s="2" t="s">
        <v>82</v>
      </c>
      <c r="AR2529" s="2"/>
      <c r="AS2529" s="2"/>
      <c r="AT2529" s="2" t="s">
        <v>8528</v>
      </c>
      <c r="AU2529" s="2"/>
      <c r="AV2529" s="2"/>
      <c r="AW2529" s="2"/>
      <c r="AX2529" s="2"/>
      <c r="AY2529" s="2">
        <v>41</v>
      </c>
      <c r="AZ2529" s="2" t="s">
        <v>82</v>
      </c>
      <c r="BA2529" s="2">
        <v>41</v>
      </c>
      <c r="BB2529" s="2" t="s">
        <v>82</v>
      </c>
      <c r="BC2529" s="2">
        <v>41</v>
      </c>
      <c r="BD2529" s="2" t="s">
        <v>82</v>
      </c>
      <c r="BE2529" s="2">
        <v>41</v>
      </c>
      <c r="BF2529" s="2" t="s">
        <v>82</v>
      </c>
      <c r="BG2529" s="2"/>
      <c r="BH2529" s="2"/>
      <c r="BI2529" s="2"/>
      <c r="BJ2529" s="2">
        <v>241</v>
      </c>
      <c r="BK2529" s="2" t="s">
        <v>82</v>
      </c>
      <c r="BL2529" s="2"/>
      <c r="BM2529" s="2">
        <v>241</v>
      </c>
      <c r="BN2529" s="2" t="s">
        <v>82</v>
      </c>
      <c r="BO2529" s="2"/>
      <c r="BP2529" s="2">
        <v>241</v>
      </c>
      <c r="BQ2529" s="2" t="s">
        <v>82</v>
      </c>
      <c r="BR2529" s="2"/>
      <c r="BS2529" s="3">
        <v>40345</v>
      </c>
      <c r="BT2529" s="4">
        <v>0.88590277777777782</v>
      </c>
    </row>
    <row r="2530" spans="1:72" x14ac:dyDescent="0.25">
      <c r="A2530" s="2">
        <v>3688</v>
      </c>
      <c r="B2530" s="2">
        <v>2010</v>
      </c>
      <c r="C2530" s="2" t="s">
        <v>377</v>
      </c>
      <c r="D2530" s="2" t="s">
        <v>73</v>
      </c>
      <c r="E2530" s="2"/>
      <c r="F2530" s="2">
        <v>426</v>
      </c>
      <c r="G2530" s="2" t="s">
        <v>378</v>
      </c>
      <c r="H2530" s="2">
        <v>22</v>
      </c>
      <c r="I2530" s="2" t="s">
        <v>75</v>
      </c>
      <c r="J2530" s="2">
        <v>311</v>
      </c>
      <c r="K2530" s="2" t="s">
        <v>379</v>
      </c>
      <c r="L2530" s="2" t="s">
        <v>380</v>
      </c>
      <c r="M2530" s="3">
        <v>40345</v>
      </c>
      <c r="N2530" s="2" t="s">
        <v>4427</v>
      </c>
      <c r="O2530" s="2"/>
      <c r="P2530" s="2"/>
      <c r="Q2530" s="2" t="str">
        <f>"121-C/10"</f>
        <v>121-C/10</v>
      </c>
      <c r="R2530" s="2" t="s">
        <v>5773</v>
      </c>
      <c r="S2530" s="2"/>
      <c r="T2530" s="2">
        <v>1</v>
      </c>
      <c r="U2530" s="2" t="s">
        <v>79</v>
      </c>
      <c r="V2530" s="2">
        <v>1</v>
      </c>
      <c r="W2530" s="2" t="s">
        <v>80</v>
      </c>
      <c r="X2530" s="2">
        <v>1</v>
      </c>
      <c r="Y2530" s="2" t="s">
        <v>81</v>
      </c>
      <c r="Z2530" s="2">
        <v>1</v>
      </c>
      <c r="AA2530" s="2" t="s">
        <v>82</v>
      </c>
      <c r="AB2530" s="2">
        <v>9</v>
      </c>
      <c r="AC2530" s="2" t="s">
        <v>124</v>
      </c>
      <c r="AD2530" s="3">
        <v>40345</v>
      </c>
      <c r="AE2530" s="4">
        <v>0.28472222222222221</v>
      </c>
      <c r="AF2530" s="2"/>
      <c r="AG2530" s="2"/>
      <c r="AH2530" s="2">
        <v>2</v>
      </c>
      <c r="AI2530" s="2" t="s">
        <v>84</v>
      </c>
      <c r="AJ2530" s="2">
        <v>9</v>
      </c>
      <c r="AK2530" s="2" t="s">
        <v>103</v>
      </c>
      <c r="AL2530" s="2">
        <v>14</v>
      </c>
      <c r="AM2530" s="2" t="s">
        <v>216</v>
      </c>
      <c r="AN2530" s="2"/>
      <c r="AO2530" s="2" t="s">
        <v>8529</v>
      </c>
      <c r="AP2530" s="2">
        <v>11</v>
      </c>
      <c r="AQ2530" s="2" t="s">
        <v>82</v>
      </c>
      <c r="AR2530" s="2"/>
      <c r="AS2530" s="2"/>
      <c r="AT2530" s="2" t="s">
        <v>8528</v>
      </c>
      <c r="AU2530" s="2"/>
      <c r="AV2530" s="2"/>
      <c r="AW2530" s="2"/>
      <c r="AX2530" s="2"/>
      <c r="AY2530" s="2">
        <v>41</v>
      </c>
      <c r="AZ2530" s="2" t="s">
        <v>82</v>
      </c>
      <c r="BA2530" s="2">
        <v>41</v>
      </c>
      <c r="BB2530" s="2" t="s">
        <v>82</v>
      </c>
      <c r="BC2530" s="2">
        <v>41</v>
      </c>
      <c r="BD2530" s="2" t="s">
        <v>82</v>
      </c>
      <c r="BE2530" s="2">
        <v>41</v>
      </c>
      <c r="BF2530" s="2" t="s">
        <v>82</v>
      </c>
      <c r="BG2530" s="2"/>
      <c r="BH2530" s="2"/>
      <c r="BI2530" s="2"/>
      <c r="BJ2530" s="2">
        <v>241</v>
      </c>
      <c r="BK2530" s="2" t="s">
        <v>82</v>
      </c>
      <c r="BL2530" s="2"/>
      <c r="BM2530" s="2">
        <v>241</v>
      </c>
      <c r="BN2530" s="2" t="s">
        <v>82</v>
      </c>
      <c r="BO2530" s="2"/>
      <c r="BP2530" s="2">
        <v>241</v>
      </c>
      <c r="BQ2530" s="2" t="s">
        <v>82</v>
      </c>
      <c r="BR2530" s="2"/>
      <c r="BS2530" s="3">
        <v>40345</v>
      </c>
      <c r="BT2530" s="4">
        <v>0.89295138888888881</v>
      </c>
    </row>
    <row r="2531" spans="1:72" x14ac:dyDescent="0.25">
      <c r="A2531" s="2">
        <v>3689</v>
      </c>
      <c r="B2531" s="2">
        <v>2010</v>
      </c>
      <c r="C2531" s="2" t="s">
        <v>377</v>
      </c>
      <c r="D2531" s="2" t="s">
        <v>73</v>
      </c>
      <c r="E2531" s="2"/>
      <c r="F2531" s="2">
        <v>426</v>
      </c>
      <c r="G2531" s="2" t="s">
        <v>378</v>
      </c>
      <c r="H2531" s="2">
        <v>22</v>
      </c>
      <c r="I2531" s="2" t="s">
        <v>75</v>
      </c>
      <c r="J2531" s="2">
        <v>311</v>
      </c>
      <c r="K2531" s="2" t="s">
        <v>379</v>
      </c>
      <c r="L2531" s="2" t="s">
        <v>380</v>
      </c>
      <c r="M2531" s="3">
        <v>40345</v>
      </c>
      <c r="N2531" s="2" t="s">
        <v>4427</v>
      </c>
      <c r="O2531" s="2"/>
      <c r="P2531" s="2"/>
      <c r="Q2531" s="2" t="str">
        <f>"122-C/10"</f>
        <v>122-C/10</v>
      </c>
      <c r="R2531" s="2" t="s">
        <v>8526</v>
      </c>
      <c r="S2531" s="2"/>
      <c r="T2531" s="2">
        <v>1</v>
      </c>
      <c r="U2531" s="2" t="s">
        <v>79</v>
      </c>
      <c r="V2531" s="2">
        <v>1</v>
      </c>
      <c r="W2531" s="2" t="s">
        <v>80</v>
      </c>
      <c r="X2531" s="2">
        <v>1</v>
      </c>
      <c r="Y2531" s="2" t="s">
        <v>81</v>
      </c>
      <c r="Z2531" s="2">
        <v>1</v>
      </c>
      <c r="AA2531" s="2" t="s">
        <v>82</v>
      </c>
      <c r="AB2531" s="2">
        <v>9</v>
      </c>
      <c r="AC2531" s="2" t="s">
        <v>124</v>
      </c>
      <c r="AD2531" s="3">
        <v>40345</v>
      </c>
      <c r="AE2531" s="4">
        <v>0.30555555555555552</v>
      </c>
      <c r="AF2531" s="2"/>
      <c r="AG2531" s="2"/>
      <c r="AH2531" s="2">
        <v>2</v>
      </c>
      <c r="AI2531" s="2" t="s">
        <v>84</v>
      </c>
      <c r="AJ2531" s="2">
        <v>9</v>
      </c>
      <c r="AK2531" s="2" t="s">
        <v>103</v>
      </c>
      <c r="AL2531" s="2">
        <v>14</v>
      </c>
      <c r="AM2531" s="2" t="s">
        <v>216</v>
      </c>
      <c r="AN2531" s="2"/>
      <c r="AO2531" s="2" t="s">
        <v>8529</v>
      </c>
      <c r="AP2531" s="2">
        <v>11</v>
      </c>
      <c r="AQ2531" s="2" t="s">
        <v>82</v>
      </c>
      <c r="AR2531" s="2"/>
      <c r="AS2531" s="2"/>
      <c r="AT2531" s="2" t="s">
        <v>8530</v>
      </c>
      <c r="AU2531" s="2"/>
      <c r="AV2531" s="2"/>
      <c r="AW2531" s="2"/>
      <c r="AX2531" s="2"/>
      <c r="AY2531" s="2">
        <v>41</v>
      </c>
      <c r="AZ2531" s="2" t="s">
        <v>82</v>
      </c>
      <c r="BA2531" s="2">
        <v>41</v>
      </c>
      <c r="BB2531" s="2" t="s">
        <v>82</v>
      </c>
      <c r="BC2531" s="2">
        <v>41</v>
      </c>
      <c r="BD2531" s="2" t="s">
        <v>82</v>
      </c>
      <c r="BE2531" s="2">
        <v>41</v>
      </c>
      <c r="BF2531" s="2" t="s">
        <v>82</v>
      </c>
      <c r="BG2531" s="2"/>
      <c r="BH2531" s="2"/>
      <c r="BI2531" s="2"/>
      <c r="BJ2531" s="2">
        <v>241</v>
      </c>
      <c r="BK2531" s="2" t="s">
        <v>82</v>
      </c>
      <c r="BL2531" s="2"/>
      <c r="BM2531" s="2">
        <v>241</v>
      </c>
      <c r="BN2531" s="2" t="s">
        <v>82</v>
      </c>
      <c r="BO2531" s="2"/>
      <c r="BP2531" s="2">
        <v>241</v>
      </c>
      <c r="BQ2531" s="2" t="s">
        <v>82</v>
      </c>
      <c r="BR2531" s="2"/>
      <c r="BS2531" s="3">
        <v>40345</v>
      </c>
      <c r="BT2531" s="4">
        <v>0.89951388888888895</v>
      </c>
    </row>
    <row r="2532" spans="1:72" x14ac:dyDescent="0.25">
      <c r="A2532" s="2">
        <v>3690</v>
      </c>
      <c r="B2532" s="2">
        <v>2010</v>
      </c>
      <c r="C2532" s="2" t="s">
        <v>377</v>
      </c>
      <c r="D2532" s="2" t="s">
        <v>73</v>
      </c>
      <c r="E2532" s="2"/>
      <c r="F2532" s="2">
        <v>426</v>
      </c>
      <c r="G2532" s="2" t="s">
        <v>378</v>
      </c>
      <c r="H2532" s="2">
        <v>42</v>
      </c>
      <c r="I2532" s="2" t="s">
        <v>1096</v>
      </c>
      <c r="J2532" s="2">
        <v>311</v>
      </c>
      <c r="K2532" s="2" t="s">
        <v>379</v>
      </c>
      <c r="L2532" s="2" t="s">
        <v>380</v>
      </c>
      <c r="M2532" s="3">
        <v>40345</v>
      </c>
      <c r="N2532" s="2" t="s">
        <v>4427</v>
      </c>
      <c r="O2532" s="2"/>
      <c r="P2532" s="2"/>
      <c r="Q2532" s="2" t="str">
        <f>"123-C/10"</f>
        <v>123-C/10</v>
      </c>
      <c r="R2532" s="2" t="s">
        <v>4428</v>
      </c>
      <c r="S2532" s="2"/>
      <c r="T2532" s="2">
        <v>1</v>
      </c>
      <c r="U2532" s="2" t="s">
        <v>79</v>
      </c>
      <c r="V2532" s="2">
        <v>1</v>
      </c>
      <c r="W2532" s="2" t="s">
        <v>80</v>
      </c>
      <c r="X2532" s="2">
        <v>1</v>
      </c>
      <c r="Y2532" s="2" t="s">
        <v>81</v>
      </c>
      <c r="Z2532" s="2">
        <v>1</v>
      </c>
      <c r="AA2532" s="2" t="s">
        <v>82</v>
      </c>
      <c r="AB2532" s="2">
        <v>9</v>
      </c>
      <c r="AC2532" s="2" t="s">
        <v>124</v>
      </c>
      <c r="AD2532" s="3">
        <v>40345</v>
      </c>
      <c r="AE2532" s="4">
        <v>0.36805555555555558</v>
      </c>
      <c r="AF2532" s="2"/>
      <c r="AG2532" s="2"/>
      <c r="AH2532" s="2">
        <v>2</v>
      </c>
      <c r="AI2532" s="2" t="s">
        <v>84</v>
      </c>
      <c r="AJ2532" s="2">
        <v>9</v>
      </c>
      <c r="AK2532" s="2" t="s">
        <v>103</v>
      </c>
      <c r="AL2532" s="2">
        <v>29</v>
      </c>
      <c r="AM2532" s="2" t="s">
        <v>5416</v>
      </c>
      <c r="AN2532" s="2" t="s">
        <v>1936</v>
      </c>
      <c r="AO2532" s="2" t="s">
        <v>987</v>
      </c>
      <c r="AP2532" s="2">
        <v>11</v>
      </c>
      <c r="AQ2532" s="2" t="s">
        <v>82</v>
      </c>
      <c r="AR2532" s="2"/>
      <c r="AS2532" s="2"/>
      <c r="AT2532" s="2" t="s">
        <v>8531</v>
      </c>
      <c r="AU2532" s="2"/>
      <c r="AV2532" s="2"/>
      <c r="AW2532" s="2"/>
      <c r="AX2532" s="2"/>
      <c r="AY2532" s="2">
        <v>41</v>
      </c>
      <c r="AZ2532" s="2" t="s">
        <v>82</v>
      </c>
      <c r="BA2532" s="2">
        <v>41</v>
      </c>
      <c r="BB2532" s="2" t="s">
        <v>82</v>
      </c>
      <c r="BC2532" s="2">
        <v>41</v>
      </c>
      <c r="BD2532" s="2" t="s">
        <v>82</v>
      </c>
      <c r="BE2532" s="2">
        <v>41</v>
      </c>
      <c r="BF2532" s="2" t="s">
        <v>82</v>
      </c>
      <c r="BG2532" s="2"/>
      <c r="BH2532" s="2"/>
      <c r="BI2532" s="2"/>
      <c r="BJ2532" s="2">
        <v>241</v>
      </c>
      <c r="BK2532" s="2" t="s">
        <v>82</v>
      </c>
      <c r="BL2532" s="2"/>
      <c r="BM2532" s="2">
        <v>241</v>
      </c>
      <c r="BN2532" s="2" t="s">
        <v>82</v>
      </c>
      <c r="BO2532" s="2"/>
      <c r="BP2532" s="2">
        <v>241</v>
      </c>
      <c r="BQ2532" s="2" t="s">
        <v>82</v>
      </c>
      <c r="BR2532" s="2"/>
      <c r="BS2532" s="3">
        <v>40345</v>
      </c>
      <c r="BT2532" s="4">
        <v>0.90883101851851855</v>
      </c>
    </row>
    <row r="2533" spans="1:72" x14ac:dyDescent="0.25">
      <c r="A2533" s="2">
        <v>3691</v>
      </c>
      <c r="B2533" s="2">
        <v>2010</v>
      </c>
      <c r="C2533" s="2" t="s">
        <v>377</v>
      </c>
      <c r="D2533" s="2" t="s">
        <v>73</v>
      </c>
      <c r="E2533" s="2"/>
      <c r="F2533" s="2">
        <v>426</v>
      </c>
      <c r="G2533" s="2" t="s">
        <v>378</v>
      </c>
      <c r="H2533" s="2">
        <v>22</v>
      </c>
      <c r="I2533" s="2" t="s">
        <v>75</v>
      </c>
      <c r="J2533" s="2">
        <v>311</v>
      </c>
      <c r="K2533" s="2" t="s">
        <v>379</v>
      </c>
      <c r="L2533" s="2" t="s">
        <v>380</v>
      </c>
      <c r="M2533" s="3">
        <v>40345</v>
      </c>
      <c r="N2533" s="2" t="s">
        <v>4427</v>
      </c>
      <c r="O2533" s="2"/>
      <c r="P2533" s="2"/>
      <c r="Q2533" s="2" t="str">
        <f>"124-C/10"</f>
        <v>124-C/10</v>
      </c>
      <c r="R2533" s="2" t="s">
        <v>5773</v>
      </c>
      <c r="S2533" s="2"/>
      <c r="T2533" s="2">
        <v>1</v>
      </c>
      <c r="U2533" s="2" t="s">
        <v>79</v>
      </c>
      <c r="V2533" s="2">
        <v>1</v>
      </c>
      <c r="W2533" s="2" t="s">
        <v>80</v>
      </c>
      <c r="X2533" s="2">
        <v>1</v>
      </c>
      <c r="Y2533" s="2" t="s">
        <v>81</v>
      </c>
      <c r="Z2533" s="2">
        <v>1</v>
      </c>
      <c r="AA2533" s="2" t="s">
        <v>82</v>
      </c>
      <c r="AB2533" s="2">
        <v>9</v>
      </c>
      <c r="AC2533" s="2" t="s">
        <v>124</v>
      </c>
      <c r="AD2533" s="3">
        <v>40345</v>
      </c>
      <c r="AE2533" s="4">
        <v>0.38541666666666669</v>
      </c>
      <c r="AF2533" s="2"/>
      <c r="AG2533" s="2"/>
      <c r="AH2533" s="2">
        <v>2</v>
      </c>
      <c r="AI2533" s="2" t="s">
        <v>84</v>
      </c>
      <c r="AJ2533" s="2">
        <v>9</v>
      </c>
      <c r="AK2533" s="2" t="s">
        <v>103</v>
      </c>
      <c r="AL2533" s="2">
        <v>29</v>
      </c>
      <c r="AM2533" s="2" t="s">
        <v>5416</v>
      </c>
      <c r="AN2533" s="2" t="s">
        <v>1345</v>
      </c>
      <c r="AO2533" s="2" t="s">
        <v>987</v>
      </c>
      <c r="AP2533" s="2">
        <v>11</v>
      </c>
      <c r="AQ2533" s="2" t="s">
        <v>82</v>
      </c>
      <c r="AR2533" s="2"/>
      <c r="AS2533" s="2"/>
      <c r="AT2533" s="2" t="s">
        <v>8532</v>
      </c>
      <c r="AU2533" s="2"/>
      <c r="AV2533" s="2"/>
      <c r="AW2533" s="2"/>
      <c r="AX2533" s="2"/>
      <c r="AY2533" s="2">
        <v>41</v>
      </c>
      <c r="AZ2533" s="2" t="s">
        <v>82</v>
      </c>
      <c r="BA2533" s="2">
        <v>41</v>
      </c>
      <c r="BB2533" s="2" t="s">
        <v>82</v>
      </c>
      <c r="BC2533" s="2">
        <v>41</v>
      </c>
      <c r="BD2533" s="2" t="s">
        <v>82</v>
      </c>
      <c r="BE2533" s="2">
        <v>41</v>
      </c>
      <c r="BF2533" s="2" t="s">
        <v>82</v>
      </c>
      <c r="BG2533" s="2"/>
      <c r="BH2533" s="2"/>
      <c r="BI2533" s="2"/>
      <c r="BJ2533" s="2">
        <v>241</v>
      </c>
      <c r="BK2533" s="2" t="s">
        <v>82</v>
      </c>
      <c r="BL2533" s="2"/>
      <c r="BM2533" s="2">
        <v>241</v>
      </c>
      <c r="BN2533" s="2" t="s">
        <v>82</v>
      </c>
      <c r="BO2533" s="2"/>
      <c r="BP2533" s="2">
        <v>241</v>
      </c>
      <c r="BQ2533" s="2" t="s">
        <v>82</v>
      </c>
      <c r="BR2533" s="2"/>
      <c r="BS2533" s="3">
        <v>40345</v>
      </c>
      <c r="BT2533" s="4">
        <v>0.91797453703703702</v>
      </c>
    </row>
    <row r="2534" spans="1:72" x14ac:dyDescent="0.25">
      <c r="A2534" s="2">
        <v>3692</v>
      </c>
      <c r="B2534" s="2">
        <v>2010</v>
      </c>
      <c r="C2534" s="2" t="s">
        <v>93</v>
      </c>
      <c r="D2534" s="2" t="s">
        <v>73</v>
      </c>
      <c r="E2534" s="2"/>
      <c r="F2534" s="2">
        <v>24</v>
      </c>
      <c r="G2534" s="2" t="s">
        <v>532</v>
      </c>
      <c r="H2534" s="2">
        <v>22</v>
      </c>
      <c r="I2534" s="2" t="s">
        <v>75</v>
      </c>
      <c r="J2534" s="2">
        <v>300</v>
      </c>
      <c r="K2534" s="2" t="s">
        <v>114</v>
      </c>
      <c r="L2534" s="2" t="s">
        <v>115</v>
      </c>
      <c r="M2534" s="3">
        <v>40346</v>
      </c>
      <c r="N2534" s="2"/>
      <c r="O2534" s="2" t="s">
        <v>671</v>
      </c>
      <c r="P2534" s="2" t="s">
        <v>8533</v>
      </c>
      <c r="Q2534" s="2" t="str">
        <f>""</f>
        <v/>
      </c>
      <c r="R2534" s="2"/>
      <c r="S2534" s="2"/>
      <c r="T2534" s="2">
        <v>1</v>
      </c>
      <c r="U2534" s="2" t="s">
        <v>79</v>
      </c>
      <c r="V2534" s="2">
        <v>1</v>
      </c>
      <c r="W2534" s="2" t="s">
        <v>80</v>
      </c>
      <c r="X2534" s="2">
        <v>10</v>
      </c>
      <c r="Y2534" s="2" t="s">
        <v>226</v>
      </c>
      <c r="Z2534" s="2">
        <v>6</v>
      </c>
      <c r="AA2534" s="2" t="s">
        <v>101</v>
      </c>
      <c r="AB2534" s="2">
        <v>2</v>
      </c>
      <c r="AC2534" s="2" t="s">
        <v>102</v>
      </c>
      <c r="AD2534" s="3">
        <v>40345</v>
      </c>
      <c r="AE2534" s="4">
        <v>0.60416666666666663</v>
      </c>
      <c r="AF2534" s="2"/>
      <c r="AG2534" s="2"/>
      <c r="AH2534" s="2">
        <v>2</v>
      </c>
      <c r="AI2534" s="2" t="s">
        <v>84</v>
      </c>
      <c r="AJ2534" s="2">
        <v>12</v>
      </c>
      <c r="AK2534" s="2" t="s">
        <v>85</v>
      </c>
      <c r="AL2534" s="2">
        <v>14</v>
      </c>
      <c r="AM2534" s="2" t="s">
        <v>216</v>
      </c>
      <c r="AN2534" s="2"/>
      <c r="AO2534" s="2" t="s">
        <v>7664</v>
      </c>
      <c r="AP2534" s="2">
        <v>11</v>
      </c>
      <c r="AQ2534" s="2" t="s">
        <v>82</v>
      </c>
      <c r="AR2534" s="2"/>
      <c r="AS2534" s="2"/>
      <c r="AT2534" s="2" t="s">
        <v>8534</v>
      </c>
      <c r="AU2534" s="2"/>
      <c r="AV2534" s="2"/>
      <c r="AW2534" s="2">
        <v>1</v>
      </c>
      <c r="AX2534" s="2"/>
      <c r="AY2534" s="2">
        <v>41</v>
      </c>
      <c r="AZ2534" s="2" t="s">
        <v>82</v>
      </c>
      <c r="BA2534" s="2">
        <v>41</v>
      </c>
      <c r="BB2534" s="2" t="s">
        <v>82</v>
      </c>
      <c r="BC2534" s="2">
        <v>41</v>
      </c>
      <c r="BD2534" s="2" t="s">
        <v>82</v>
      </c>
      <c r="BE2534" s="2">
        <v>4</v>
      </c>
      <c r="BF2534" s="2" t="s">
        <v>90</v>
      </c>
      <c r="BG2534" s="2" t="s">
        <v>8535</v>
      </c>
      <c r="BH2534" s="2"/>
      <c r="BI2534" s="2"/>
      <c r="BJ2534" s="2">
        <v>46</v>
      </c>
      <c r="BK2534" s="2" t="s">
        <v>307</v>
      </c>
      <c r="BL2534" s="2" t="s">
        <v>308</v>
      </c>
      <c r="BM2534" s="2">
        <v>241</v>
      </c>
      <c r="BN2534" s="2" t="s">
        <v>82</v>
      </c>
      <c r="BO2534" s="2"/>
      <c r="BP2534" s="2">
        <v>13</v>
      </c>
      <c r="BQ2534" s="2" t="s">
        <v>91</v>
      </c>
      <c r="BR2534" s="2" t="s">
        <v>185</v>
      </c>
      <c r="BS2534" s="3">
        <v>40346</v>
      </c>
      <c r="BT2534" s="4">
        <v>2.1539351851851851E-2</v>
      </c>
    </row>
    <row r="2535" spans="1:72" x14ac:dyDescent="0.25">
      <c r="A2535" s="2">
        <v>3694</v>
      </c>
      <c r="B2535" s="2">
        <v>2010</v>
      </c>
      <c r="C2535" s="2" t="s">
        <v>4543</v>
      </c>
      <c r="D2535" s="2" t="s">
        <v>122</v>
      </c>
      <c r="E2535" s="2"/>
      <c r="F2535" s="2">
        <v>1</v>
      </c>
      <c r="G2535" s="2" t="s">
        <v>82</v>
      </c>
      <c r="H2535" s="2">
        <v>1</v>
      </c>
      <c r="I2535" s="2" t="s">
        <v>82</v>
      </c>
      <c r="J2535" s="2">
        <v>1</v>
      </c>
      <c r="K2535" s="2" t="s">
        <v>107</v>
      </c>
      <c r="L2535" s="2" t="s">
        <v>107</v>
      </c>
      <c r="M2535" s="3">
        <v>40346</v>
      </c>
      <c r="N2535" s="2"/>
      <c r="O2535" s="2"/>
      <c r="P2535" s="2"/>
      <c r="Q2535" s="2" t="str">
        <f>""</f>
        <v/>
      </c>
      <c r="R2535" s="2"/>
      <c r="S2535" s="2"/>
      <c r="T2535" s="2">
        <v>2</v>
      </c>
      <c r="U2535" s="2" t="s">
        <v>123</v>
      </c>
      <c r="V2535" s="2">
        <v>1</v>
      </c>
      <c r="W2535" s="2" t="s">
        <v>80</v>
      </c>
      <c r="X2535" s="2">
        <v>11</v>
      </c>
      <c r="Y2535" s="2" t="s">
        <v>1920</v>
      </c>
      <c r="Z2535" s="2">
        <v>1</v>
      </c>
      <c r="AA2535" s="2" t="s">
        <v>82</v>
      </c>
      <c r="AB2535" s="2">
        <v>9</v>
      </c>
      <c r="AC2535" s="2" t="s">
        <v>124</v>
      </c>
      <c r="AD2535" s="3">
        <v>40346</v>
      </c>
      <c r="AE2535" s="4">
        <v>0.13194444444444445</v>
      </c>
      <c r="AF2535" s="2"/>
      <c r="AG2535" s="2"/>
      <c r="AH2535" s="2">
        <v>6</v>
      </c>
      <c r="AI2535" s="2" t="s">
        <v>197</v>
      </c>
      <c r="AJ2535" s="2">
        <v>54</v>
      </c>
      <c r="AK2535" s="2" t="s">
        <v>348</v>
      </c>
      <c r="AL2535" s="2">
        <v>18</v>
      </c>
      <c r="AM2535" s="2" t="s">
        <v>82</v>
      </c>
      <c r="AN2535" s="2" t="s">
        <v>595</v>
      </c>
      <c r="AO2535" s="2" t="s">
        <v>200</v>
      </c>
      <c r="AP2535" s="2">
        <v>14</v>
      </c>
      <c r="AQ2535" s="2" t="s">
        <v>3301</v>
      </c>
      <c r="AR2535" s="2" t="s">
        <v>596</v>
      </c>
      <c r="AS2535" s="2" t="s">
        <v>596</v>
      </c>
      <c r="AT2535" s="2" t="s">
        <v>8536</v>
      </c>
      <c r="AU2535" s="2"/>
      <c r="AV2535" s="2"/>
      <c r="AW2535" s="2"/>
      <c r="AX2535" s="2"/>
      <c r="AY2535" s="2">
        <v>1</v>
      </c>
      <c r="AZ2535" s="2" t="s">
        <v>107</v>
      </c>
      <c r="BA2535" s="2">
        <v>1</v>
      </c>
      <c r="BB2535" s="2" t="s">
        <v>107</v>
      </c>
      <c r="BC2535" s="2">
        <v>1</v>
      </c>
      <c r="BD2535" s="2" t="s">
        <v>107</v>
      </c>
      <c r="BE2535" s="2">
        <v>4</v>
      </c>
      <c r="BF2535" s="2" t="s">
        <v>90</v>
      </c>
      <c r="BG2535" s="2" t="s">
        <v>598</v>
      </c>
      <c r="BH2535" s="4">
        <v>6.3888888888888884E-2</v>
      </c>
      <c r="BI2535" s="4">
        <v>0.13194444444444445</v>
      </c>
      <c r="BJ2535" s="2">
        <v>13</v>
      </c>
      <c r="BK2535" s="2" t="s">
        <v>91</v>
      </c>
      <c r="BL2535" s="2" t="s">
        <v>7629</v>
      </c>
      <c r="BM2535" s="2">
        <v>242</v>
      </c>
      <c r="BN2535" s="2" t="s">
        <v>107</v>
      </c>
      <c r="BO2535" s="2" t="s">
        <v>107</v>
      </c>
      <c r="BP2535" s="2">
        <v>13</v>
      </c>
      <c r="BQ2535" s="2" t="s">
        <v>91</v>
      </c>
      <c r="BR2535" s="2" t="s">
        <v>905</v>
      </c>
      <c r="BS2535" s="3">
        <v>40346</v>
      </c>
      <c r="BT2535" s="4">
        <v>0.36584490740740744</v>
      </c>
    </row>
    <row r="2536" spans="1:72" x14ac:dyDescent="0.25">
      <c r="A2536" s="2">
        <v>3698</v>
      </c>
      <c r="B2536" s="2">
        <v>2010</v>
      </c>
      <c r="C2536" s="2" t="s">
        <v>196</v>
      </c>
      <c r="D2536" s="2" t="s">
        <v>122</v>
      </c>
      <c r="E2536" s="2"/>
      <c r="F2536" s="2">
        <v>1</v>
      </c>
      <c r="G2536" s="2" t="s">
        <v>82</v>
      </c>
      <c r="H2536" s="2">
        <v>1</v>
      </c>
      <c r="I2536" s="2" t="s">
        <v>82</v>
      </c>
      <c r="J2536" s="2">
        <v>1</v>
      </c>
      <c r="K2536" s="2" t="s">
        <v>107</v>
      </c>
      <c r="L2536" s="2" t="s">
        <v>107</v>
      </c>
      <c r="M2536" s="3">
        <v>40346</v>
      </c>
      <c r="N2536" s="2"/>
      <c r="O2536" s="2"/>
      <c r="P2536" s="2"/>
      <c r="Q2536" s="2" t="str">
        <f>""</f>
        <v/>
      </c>
      <c r="R2536" s="2"/>
      <c r="S2536" s="2"/>
      <c r="T2536" s="2">
        <v>2</v>
      </c>
      <c r="U2536" s="2" t="s">
        <v>123</v>
      </c>
      <c r="V2536" s="2">
        <v>1</v>
      </c>
      <c r="W2536" s="2" t="s">
        <v>80</v>
      </c>
      <c r="X2536" s="2">
        <v>11</v>
      </c>
      <c r="Y2536" s="2" t="s">
        <v>1920</v>
      </c>
      <c r="Z2536" s="2">
        <v>10</v>
      </c>
      <c r="AA2536" s="2" t="s">
        <v>236</v>
      </c>
      <c r="AB2536" s="2">
        <v>9</v>
      </c>
      <c r="AC2536" s="2" t="s">
        <v>124</v>
      </c>
      <c r="AD2536" s="3">
        <v>40346</v>
      </c>
      <c r="AE2536" s="4">
        <v>0.4861111111111111</v>
      </c>
      <c r="AF2536" s="2"/>
      <c r="AG2536" s="2"/>
      <c r="AH2536" s="2">
        <v>2</v>
      </c>
      <c r="AI2536" s="2" t="s">
        <v>84</v>
      </c>
      <c r="AJ2536" s="2">
        <v>12</v>
      </c>
      <c r="AK2536" s="2" t="s">
        <v>85</v>
      </c>
      <c r="AL2536" s="2">
        <v>20</v>
      </c>
      <c r="AM2536" s="2" t="s">
        <v>992</v>
      </c>
      <c r="AN2536" s="2" t="s">
        <v>993</v>
      </c>
      <c r="AO2536" s="2"/>
      <c r="AP2536" s="2">
        <v>11</v>
      </c>
      <c r="AQ2536" s="2" t="s">
        <v>82</v>
      </c>
      <c r="AR2536" s="2"/>
      <c r="AS2536" s="2"/>
      <c r="AT2536" s="2" t="s">
        <v>8537</v>
      </c>
      <c r="AU2536" s="2"/>
      <c r="AV2536" s="2"/>
      <c r="AW2536" s="2"/>
      <c r="AX2536" s="2"/>
      <c r="AY2536" s="2">
        <v>41</v>
      </c>
      <c r="AZ2536" s="2" t="s">
        <v>82</v>
      </c>
      <c r="BA2536" s="2">
        <v>41</v>
      </c>
      <c r="BB2536" s="2" t="s">
        <v>82</v>
      </c>
      <c r="BC2536" s="2">
        <v>41</v>
      </c>
      <c r="BD2536" s="2" t="s">
        <v>82</v>
      </c>
      <c r="BE2536" s="2">
        <v>41</v>
      </c>
      <c r="BF2536" s="2" t="s">
        <v>82</v>
      </c>
      <c r="BG2536" s="2"/>
      <c r="BH2536" s="2"/>
      <c r="BI2536" s="2"/>
      <c r="BJ2536" s="2">
        <v>13</v>
      </c>
      <c r="BK2536" s="2" t="s">
        <v>91</v>
      </c>
      <c r="BL2536" s="2" t="s">
        <v>185</v>
      </c>
      <c r="BM2536" s="2">
        <v>241</v>
      </c>
      <c r="BN2536" s="2" t="s">
        <v>82</v>
      </c>
      <c r="BO2536" s="2"/>
      <c r="BP2536" s="2">
        <v>13</v>
      </c>
      <c r="BQ2536" s="2" t="s">
        <v>91</v>
      </c>
      <c r="BR2536" s="2" t="s">
        <v>6582</v>
      </c>
      <c r="BS2536" s="3">
        <v>40346</v>
      </c>
      <c r="BT2536" s="4">
        <v>0.52349537037037031</v>
      </c>
    </row>
    <row r="2537" spans="1:72" x14ac:dyDescent="0.25">
      <c r="A2537" s="2">
        <v>3699</v>
      </c>
      <c r="B2537" s="2">
        <v>2010</v>
      </c>
      <c r="C2537" s="2" t="s">
        <v>171</v>
      </c>
      <c r="D2537" s="2" t="s">
        <v>122</v>
      </c>
      <c r="E2537" s="2" t="s">
        <v>7815</v>
      </c>
      <c r="F2537" s="2">
        <v>229</v>
      </c>
      <c r="G2537" s="2" t="s">
        <v>2244</v>
      </c>
      <c r="H2537" s="2">
        <v>9</v>
      </c>
      <c r="I2537" s="2" t="s">
        <v>794</v>
      </c>
      <c r="J2537" s="2">
        <v>243</v>
      </c>
      <c r="K2537" s="2" t="s">
        <v>2160</v>
      </c>
      <c r="L2537" s="2" t="s">
        <v>2145</v>
      </c>
      <c r="M2537" s="3">
        <v>40346</v>
      </c>
      <c r="N2537" s="2" t="s">
        <v>2245</v>
      </c>
      <c r="O2537" s="2"/>
      <c r="P2537" s="2"/>
      <c r="Q2537" s="2" t="str">
        <f>"295-E/10"</f>
        <v>295-E/10</v>
      </c>
      <c r="R2537" s="2" t="s">
        <v>391</v>
      </c>
      <c r="S2537" s="2" t="s">
        <v>391</v>
      </c>
      <c r="T2537" s="2">
        <v>1</v>
      </c>
      <c r="U2537" s="2" t="s">
        <v>79</v>
      </c>
      <c r="V2537" s="2">
        <v>1</v>
      </c>
      <c r="W2537" s="2" t="s">
        <v>80</v>
      </c>
      <c r="X2537" s="2">
        <v>1</v>
      </c>
      <c r="Y2537" s="2" t="s">
        <v>81</v>
      </c>
      <c r="Z2537" s="2">
        <v>1</v>
      </c>
      <c r="AA2537" s="2" t="s">
        <v>82</v>
      </c>
      <c r="AB2537" s="2">
        <v>1</v>
      </c>
      <c r="AC2537" s="2" t="s">
        <v>178</v>
      </c>
      <c r="AD2537" s="3">
        <v>40331</v>
      </c>
      <c r="AE2537" s="4">
        <v>0.70833333333333337</v>
      </c>
      <c r="AF2537" s="2"/>
      <c r="AG2537" s="2"/>
      <c r="AH2537" s="2">
        <v>2</v>
      </c>
      <c r="AI2537" s="2" t="s">
        <v>84</v>
      </c>
      <c r="AJ2537" s="2">
        <v>9</v>
      </c>
      <c r="AK2537" s="2" t="s">
        <v>103</v>
      </c>
      <c r="AL2537" s="2">
        <v>11</v>
      </c>
      <c r="AM2537" s="2" t="s">
        <v>137</v>
      </c>
      <c r="AN2537" s="2"/>
      <c r="AO2537" s="5">
        <v>42370</v>
      </c>
      <c r="AP2537" s="2">
        <v>11</v>
      </c>
      <c r="AQ2537" s="2" t="s">
        <v>82</v>
      </c>
      <c r="AR2537" s="2"/>
      <c r="AS2537" s="2"/>
      <c r="AT2537" s="2" t="s">
        <v>8538</v>
      </c>
      <c r="AU2537" s="2"/>
      <c r="AV2537" s="2">
        <v>1</v>
      </c>
      <c r="AW2537" s="2"/>
      <c r="AX2537" s="2"/>
      <c r="AY2537" s="2">
        <v>41</v>
      </c>
      <c r="AZ2537" s="2" t="s">
        <v>82</v>
      </c>
      <c r="BA2537" s="2">
        <v>41</v>
      </c>
      <c r="BB2537" s="2" t="s">
        <v>82</v>
      </c>
      <c r="BC2537" s="2">
        <v>41</v>
      </c>
      <c r="BD2537" s="2" t="s">
        <v>82</v>
      </c>
      <c r="BE2537" s="2">
        <v>33</v>
      </c>
      <c r="BF2537" s="2" t="s">
        <v>1083</v>
      </c>
      <c r="BG2537" s="2" t="s">
        <v>2165</v>
      </c>
      <c r="BH2537" s="2"/>
      <c r="BI2537" s="4">
        <v>0.75</v>
      </c>
      <c r="BJ2537" s="2">
        <v>13</v>
      </c>
      <c r="BK2537" s="2" t="s">
        <v>91</v>
      </c>
      <c r="BL2537" s="2" t="s">
        <v>185</v>
      </c>
      <c r="BM2537" s="2">
        <v>241</v>
      </c>
      <c r="BN2537" s="2" t="s">
        <v>82</v>
      </c>
      <c r="BO2537" s="2"/>
      <c r="BP2537" s="2">
        <v>205</v>
      </c>
      <c r="BQ2537" s="2" t="s">
        <v>1085</v>
      </c>
      <c r="BR2537" s="2" t="s">
        <v>1086</v>
      </c>
      <c r="BS2537" s="3">
        <v>40346</v>
      </c>
      <c r="BT2537" s="4">
        <v>0.54952546296296301</v>
      </c>
    </row>
    <row r="2538" spans="1:72" x14ac:dyDescent="0.25">
      <c r="A2538" s="2">
        <v>3700</v>
      </c>
      <c r="B2538" s="2">
        <v>2010</v>
      </c>
      <c r="C2538" s="2" t="s">
        <v>93</v>
      </c>
      <c r="D2538" s="2" t="s">
        <v>122</v>
      </c>
      <c r="E2538" s="2" t="s">
        <v>8539</v>
      </c>
      <c r="F2538" s="2">
        <v>24</v>
      </c>
      <c r="G2538" s="2" t="s">
        <v>532</v>
      </c>
      <c r="H2538" s="2">
        <v>22</v>
      </c>
      <c r="I2538" s="2" t="s">
        <v>75</v>
      </c>
      <c r="J2538" s="2">
        <v>300</v>
      </c>
      <c r="K2538" s="2" t="s">
        <v>114</v>
      </c>
      <c r="L2538" s="2" t="s">
        <v>115</v>
      </c>
      <c r="M2538" s="3">
        <v>40346</v>
      </c>
      <c r="N2538" s="2"/>
      <c r="O2538" s="2"/>
      <c r="P2538" s="2"/>
      <c r="Q2538" s="2" t="str">
        <f>""</f>
        <v/>
      </c>
      <c r="R2538" s="2"/>
      <c r="S2538" s="2"/>
      <c r="T2538" s="2">
        <v>1</v>
      </c>
      <c r="U2538" s="2" t="s">
        <v>79</v>
      </c>
      <c r="V2538" s="2">
        <v>1</v>
      </c>
      <c r="W2538" s="2" t="s">
        <v>80</v>
      </c>
      <c r="X2538" s="2">
        <v>10</v>
      </c>
      <c r="Y2538" s="2" t="s">
        <v>226</v>
      </c>
      <c r="Z2538" s="2">
        <v>10</v>
      </c>
      <c r="AA2538" s="2" t="s">
        <v>236</v>
      </c>
      <c r="AB2538" s="2">
        <v>2</v>
      </c>
      <c r="AC2538" s="2" t="s">
        <v>102</v>
      </c>
      <c r="AD2538" s="3">
        <v>40346</v>
      </c>
      <c r="AE2538" s="4">
        <v>0.4861111111111111</v>
      </c>
      <c r="AF2538" s="2"/>
      <c r="AG2538" s="2"/>
      <c r="AH2538" s="2">
        <v>2</v>
      </c>
      <c r="AI2538" s="2" t="s">
        <v>84</v>
      </c>
      <c r="AJ2538" s="2">
        <v>12</v>
      </c>
      <c r="AK2538" s="2" t="s">
        <v>85</v>
      </c>
      <c r="AL2538" s="2">
        <v>27</v>
      </c>
      <c r="AM2538" s="2" t="s">
        <v>6225</v>
      </c>
      <c r="AN2538" s="2" t="s">
        <v>1971</v>
      </c>
      <c r="AO2538" s="2"/>
      <c r="AP2538" s="2">
        <v>11</v>
      </c>
      <c r="AQ2538" s="2" t="s">
        <v>82</v>
      </c>
      <c r="AR2538" s="2"/>
      <c r="AS2538" s="2"/>
      <c r="AT2538" s="2" t="s">
        <v>8540</v>
      </c>
      <c r="AU2538" s="2"/>
      <c r="AV2538" s="2"/>
      <c r="AW2538" s="2">
        <v>1</v>
      </c>
      <c r="AX2538" s="2"/>
      <c r="AY2538" s="2">
        <v>41</v>
      </c>
      <c r="AZ2538" s="2" t="s">
        <v>82</v>
      </c>
      <c r="BA2538" s="2">
        <v>41</v>
      </c>
      <c r="BB2538" s="2" t="s">
        <v>82</v>
      </c>
      <c r="BC2538" s="2">
        <v>41</v>
      </c>
      <c r="BD2538" s="2" t="s">
        <v>82</v>
      </c>
      <c r="BE2538" s="2">
        <v>4</v>
      </c>
      <c r="BF2538" s="2" t="s">
        <v>90</v>
      </c>
      <c r="BG2538" s="2" t="s">
        <v>8535</v>
      </c>
      <c r="BH2538" s="4">
        <v>0.59375</v>
      </c>
      <c r="BI2538" s="2"/>
      <c r="BJ2538" s="2">
        <v>46</v>
      </c>
      <c r="BK2538" s="2" t="s">
        <v>307</v>
      </c>
      <c r="BL2538" s="2" t="s">
        <v>308</v>
      </c>
      <c r="BM2538" s="2">
        <v>241</v>
      </c>
      <c r="BN2538" s="2" t="s">
        <v>82</v>
      </c>
      <c r="BO2538" s="2"/>
      <c r="BP2538" s="2">
        <v>13</v>
      </c>
      <c r="BQ2538" s="2" t="s">
        <v>91</v>
      </c>
      <c r="BR2538" s="2" t="s">
        <v>185</v>
      </c>
      <c r="BS2538" s="3">
        <v>40346</v>
      </c>
      <c r="BT2538" s="4">
        <v>0.56733796296296302</v>
      </c>
    </row>
    <row r="2539" spans="1:72" x14ac:dyDescent="0.25">
      <c r="A2539" s="2">
        <v>3701</v>
      </c>
      <c r="B2539" s="2">
        <v>2010</v>
      </c>
      <c r="C2539" s="2" t="s">
        <v>196</v>
      </c>
      <c r="D2539" s="2" t="s">
        <v>122</v>
      </c>
      <c r="E2539" s="2"/>
      <c r="F2539" s="2">
        <v>1</v>
      </c>
      <c r="G2539" s="2" t="s">
        <v>82</v>
      </c>
      <c r="H2539" s="2">
        <v>1</v>
      </c>
      <c r="I2539" s="2" t="s">
        <v>82</v>
      </c>
      <c r="J2539" s="2">
        <v>1</v>
      </c>
      <c r="K2539" s="2" t="s">
        <v>107</v>
      </c>
      <c r="L2539" s="2" t="s">
        <v>107</v>
      </c>
      <c r="M2539" s="3">
        <v>40346</v>
      </c>
      <c r="N2539" s="2"/>
      <c r="O2539" s="2"/>
      <c r="P2539" s="2"/>
      <c r="Q2539" s="2" t="str">
        <f>""</f>
        <v/>
      </c>
      <c r="R2539" s="2"/>
      <c r="S2539" s="2"/>
      <c r="T2539" s="2">
        <v>2</v>
      </c>
      <c r="U2539" s="2" t="s">
        <v>123</v>
      </c>
      <c r="V2539" s="2">
        <v>1</v>
      </c>
      <c r="W2539" s="2" t="s">
        <v>80</v>
      </c>
      <c r="X2539" s="2">
        <v>5</v>
      </c>
      <c r="Y2539" s="2" t="s">
        <v>82</v>
      </c>
      <c r="Z2539" s="2">
        <v>1</v>
      </c>
      <c r="AA2539" s="2" t="s">
        <v>82</v>
      </c>
      <c r="AB2539" s="2">
        <v>9</v>
      </c>
      <c r="AC2539" s="2" t="s">
        <v>124</v>
      </c>
      <c r="AD2539" s="3">
        <v>40346</v>
      </c>
      <c r="AE2539" s="4">
        <v>0.55972222222222223</v>
      </c>
      <c r="AF2539" s="2"/>
      <c r="AG2539" s="2"/>
      <c r="AH2539" s="2">
        <v>4</v>
      </c>
      <c r="AI2539" s="2" t="s">
        <v>125</v>
      </c>
      <c r="AJ2539" s="2">
        <v>33</v>
      </c>
      <c r="AK2539" s="2" t="s">
        <v>126</v>
      </c>
      <c r="AL2539" s="2">
        <v>19</v>
      </c>
      <c r="AM2539" s="2" t="s">
        <v>107</v>
      </c>
      <c r="AN2539" s="2"/>
      <c r="AO2539" s="2"/>
      <c r="AP2539" s="2">
        <v>11</v>
      </c>
      <c r="AQ2539" s="2" t="s">
        <v>82</v>
      </c>
      <c r="AR2539" s="2"/>
      <c r="AS2539" s="2"/>
      <c r="AT2539" s="2" t="s">
        <v>8541</v>
      </c>
      <c r="AU2539" s="2"/>
      <c r="AV2539" s="2"/>
      <c r="AW2539" s="2"/>
      <c r="AX2539" s="2"/>
      <c r="AY2539" s="2">
        <v>1</v>
      </c>
      <c r="AZ2539" s="2" t="s">
        <v>107</v>
      </c>
      <c r="BA2539" s="2">
        <v>1</v>
      </c>
      <c r="BB2539" s="2" t="s">
        <v>107</v>
      </c>
      <c r="BC2539" s="2">
        <v>1</v>
      </c>
      <c r="BD2539" s="2" t="s">
        <v>107</v>
      </c>
      <c r="BE2539" s="2">
        <v>1</v>
      </c>
      <c r="BF2539" s="2" t="s">
        <v>107</v>
      </c>
      <c r="BG2539" s="2" t="s">
        <v>265</v>
      </c>
      <c r="BH2539" s="4">
        <v>0.55972222222222223</v>
      </c>
      <c r="BI2539" s="2"/>
      <c r="BJ2539" s="2">
        <v>242</v>
      </c>
      <c r="BK2539" s="2" t="s">
        <v>107</v>
      </c>
      <c r="BL2539" s="2" t="s">
        <v>185</v>
      </c>
      <c r="BM2539" s="2">
        <v>242</v>
      </c>
      <c r="BN2539" s="2" t="s">
        <v>107</v>
      </c>
      <c r="BO2539" s="2"/>
      <c r="BP2539" s="2">
        <v>242</v>
      </c>
      <c r="BQ2539" s="2" t="s">
        <v>107</v>
      </c>
      <c r="BR2539" s="2" t="s">
        <v>6582</v>
      </c>
      <c r="BS2539" s="3">
        <v>40346</v>
      </c>
      <c r="BT2539" s="4">
        <v>0.59192129629629631</v>
      </c>
    </row>
    <row r="2540" spans="1:72" x14ac:dyDescent="0.25">
      <c r="A2540" s="2">
        <v>3702</v>
      </c>
      <c r="B2540" s="2">
        <v>2010</v>
      </c>
      <c r="C2540" s="2" t="s">
        <v>147</v>
      </c>
      <c r="D2540" s="2" t="s">
        <v>73</v>
      </c>
      <c r="E2540" s="2"/>
      <c r="F2540" s="2">
        <v>1</v>
      </c>
      <c r="G2540" s="2" t="s">
        <v>82</v>
      </c>
      <c r="H2540" s="2">
        <v>1</v>
      </c>
      <c r="I2540" s="2" t="s">
        <v>82</v>
      </c>
      <c r="J2540" s="2">
        <v>1</v>
      </c>
      <c r="K2540" s="2" t="s">
        <v>107</v>
      </c>
      <c r="L2540" s="2" t="s">
        <v>107</v>
      </c>
      <c r="M2540" s="3">
        <v>40346</v>
      </c>
      <c r="N2540" s="2"/>
      <c r="O2540" s="2"/>
      <c r="P2540" s="2"/>
      <c r="Q2540" s="2" t="str">
        <f>""</f>
        <v/>
      </c>
      <c r="R2540" s="2"/>
      <c r="S2540" s="2"/>
      <c r="T2540" s="2">
        <v>2</v>
      </c>
      <c r="U2540" s="2" t="s">
        <v>123</v>
      </c>
      <c r="V2540" s="2">
        <v>1</v>
      </c>
      <c r="W2540" s="2" t="s">
        <v>80</v>
      </c>
      <c r="X2540" s="2">
        <v>12</v>
      </c>
      <c r="Y2540" s="2" t="s">
        <v>148</v>
      </c>
      <c r="Z2540" s="2">
        <v>1</v>
      </c>
      <c r="AA2540" s="2" t="s">
        <v>82</v>
      </c>
      <c r="AB2540" s="2">
        <v>9</v>
      </c>
      <c r="AC2540" s="2" t="s">
        <v>124</v>
      </c>
      <c r="AD2540" s="2"/>
      <c r="AE2540" s="2"/>
      <c r="AF2540" s="3">
        <v>40346</v>
      </c>
      <c r="AG2540" s="4">
        <v>0.45833333333333331</v>
      </c>
      <c r="AH2540" s="2">
        <v>2</v>
      </c>
      <c r="AI2540" s="2" t="s">
        <v>84</v>
      </c>
      <c r="AJ2540" s="2">
        <v>11</v>
      </c>
      <c r="AK2540" s="2" t="s">
        <v>751</v>
      </c>
      <c r="AL2540" s="2">
        <v>24</v>
      </c>
      <c r="AM2540" s="2" t="s">
        <v>1540</v>
      </c>
      <c r="AN2540" s="2"/>
      <c r="AO2540" s="2" t="s">
        <v>8542</v>
      </c>
      <c r="AP2540" s="2">
        <v>11</v>
      </c>
      <c r="AQ2540" s="2" t="s">
        <v>82</v>
      </c>
      <c r="AR2540" s="2"/>
      <c r="AS2540" s="2"/>
      <c r="AT2540" s="2" t="s">
        <v>8543</v>
      </c>
      <c r="AU2540" s="2"/>
      <c r="AV2540" s="2"/>
      <c r="AW2540" s="2"/>
      <c r="AX2540" s="2"/>
      <c r="AY2540" s="2">
        <v>41</v>
      </c>
      <c r="AZ2540" s="2" t="s">
        <v>82</v>
      </c>
      <c r="BA2540" s="2">
        <v>41</v>
      </c>
      <c r="BB2540" s="2" t="s">
        <v>82</v>
      </c>
      <c r="BC2540" s="2">
        <v>41</v>
      </c>
      <c r="BD2540" s="2" t="s">
        <v>82</v>
      </c>
      <c r="BE2540" s="2">
        <v>41</v>
      </c>
      <c r="BF2540" s="2" t="s">
        <v>82</v>
      </c>
      <c r="BG2540" s="2"/>
      <c r="BH2540" s="2"/>
      <c r="BI2540" s="2"/>
      <c r="BJ2540" s="2">
        <v>241</v>
      </c>
      <c r="BK2540" s="2" t="s">
        <v>82</v>
      </c>
      <c r="BL2540" s="2"/>
      <c r="BM2540" s="2">
        <v>241</v>
      </c>
      <c r="BN2540" s="2" t="s">
        <v>82</v>
      </c>
      <c r="BO2540" s="2"/>
      <c r="BP2540" s="2">
        <v>241</v>
      </c>
      <c r="BQ2540" s="2" t="s">
        <v>82</v>
      </c>
      <c r="BR2540" s="2"/>
      <c r="BS2540" s="3">
        <v>40346</v>
      </c>
      <c r="BT2540" s="4">
        <v>0.62179398148148146</v>
      </c>
    </row>
    <row r="2541" spans="1:72" x14ac:dyDescent="0.25">
      <c r="A2541" s="2">
        <v>3705</v>
      </c>
      <c r="B2541" s="2">
        <v>2010</v>
      </c>
      <c r="C2541" s="2" t="s">
        <v>147</v>
      </c>
      <c r="D2541" s="2" t="s">
        <v>73</v>
      </c>
      <c r="E2541" s="2"/>
      <c r="F2541" s="2">
        <v>1</v>
      </c>
      <c r="G2541" s="2" t="s">
        <v>82</v>
      </c>
      <c r="H2541" s="2">
        <v>1</v>
      </c>
      <c r="I2541" s="2" t="s">
        <v>82</v>
      </c>
      <c r="J2541" s="2">
        <v>1</v>
      </c>
      <c r="K2541" s="2" t="s">
        <v>107</v>
      </c>
      <c r="L2541" s="2" t="s">
        <v>107</v>
      </c>
      <c r="M2541" s="3">
        <v>40346</v>
      </c>
      <c r="N2541" s="2"/>
      <c r="O2541" s="2"/>
      <c r="P2541" s="2"/>
      <c r="Q2541" s="2" t="str">
        <f>""</f>
        <v/>
      </c>
      <c r="R2541" s="2"/>
      <c r="S2541" s="2"/>
      <c r="T2541" s="2">
        <v>2</v>
      </c>
      <c r="U2541" s="2" t="s">
        <v>123</v>
      </c>
      <c r="V2541" s="2">
        <v>1</v>
      </c>
      <c r="W2541" s="2" t="s">
        <v>80</v>
      </c>
      <c r="X2541" s="2">
        <v>12</v>
      </c>
      <c r="Y2541" s="2" t="s">
        <v>148</v>
      </c>
      <c r="Z2541" s="2">
        <v>1</v>
      </c>
      <c r="AA2541" s="2" t="s">
        <v>82</v>
      </c>
      <c r="AB2541" s="2">
        <v>9</v>
      </c>
      <c r="AC2541" s="2" t="s">
        <v>124</v>
      </c>
      <c r="AD2541" s="3">
        <v>40346</v>
      </c>
      <c r="AE2541" s="4">
        <v>0.625</v>
      </c>
      <c r="AF2541" s="3">
        <v>40346</v>
      </c>
      <c r="AG2541" s="4">
        <v>0.64583333333333337</v>
      </c>
      <c r="AH2541" s="2">
        <v>3</v>
      </c>
      <c r="AI2541" s="2" t="s">
        <v>214</v>
      </c>
      <c r="AJ2541" s="2">
        <v>17</v>
      </c>
      <c r="AK2541" s="2" t="s">
        <v>309</v>
      </c>
      <c r="AL2541" s="2">
        <v>21</v>
      </c>
      <c r="AM2541" s="2" t="s">
        <v>1311</v>
      </c>
      <c r="AN2541" s="2" t="s">
        <v>8544</v>
      </c>
      <c r="AO2541" s="2"/>
      <c r="AP2541" s="2">
        <v>11</v>
      </c>
      <c r="AQ2541" s="2" t="s">
        <v>82</v>
      </c>
      <c r="AR2541" s="2" t="s">
        <v>82</v>
      </c>
      <c r="AS2541" s="2" t="s">
        <v>82</v>
      </c>
      <c r="AT2541" s="2" t="s">
        <v>8545</v>
      </c>
      <c r="AU2541" s="2"/>
      <c r="AV2541" s="2"/>
      <c r="AW2541" s="2"/>
      <c r="AX2541" s="2"/>
      <c r="AY2541" s="2">
        <v>70</v>
      </c>
      <c r="AZ2541" s="2" t="s">
        <v>236</v>
      </c>
      <c r="BA2541" s="2">
        <v>41</v>
      </c>
      <c r="BB2541" s="2" t="s">
        <v>82</v>
      </c>
      <c r="BC2541" s="2">
        <v>41</v>
      </c>
      <c r="BD2541" s="2" t="s">
        <v>82</v>
      </c>
      <c r="BE2541" s="2">
        <v>41</v>
      </c>
      <c r="BF2541" s="2" t="s">
        <v>82</v>
      </c>
      <c r="BG2541" s="2" t="s">
        <v>82</v>
      </c>
      <c r="BH2541" s="2"/>
      <c r="BI2541" s="2"/>
      <c r="BJ2541" s="2">
        <v>241</v>
      </c>
      <c r="BK2541" s="2" t="s">
        <v>82</v>
      </c>
      <c r="BL2541" s="2" t="s">
        <v>82</v>
      </c>
      <c r="BM2541" s="2">
        <v>241</v>
      </c>
      <c r="BN2541" s="2" t="s">
        <v>82</v>
      </c>
      <c r="BO2541" s="2" t="s">
        <v>82</v>
      </c>
      <c r="BP2541" s="2">
        <v>241</v>
      </c>
      <c r="BQ2541" s="2" t="s">
        <v>82</v>
      </c>
      <c r="BR2541" s="2" t="s">
        <v>82</v>
      </c>
      <c r="BS2541" s="3">
        <v>40346</v>
      </c>
      <c r="BT2541" s="4">
        <v>0.70898148148148143</v>
      </c>
    </row>
    <row r="2542" spans="1:72" x14ac:dyDescent="0.25">
      <c r="A2542" s="2">
        <v>3707</v>
      </c>
      <c r="B2542" s="2">
        <v>2010</v>
      </c>
      <c r="C2542" s="2" t="s">
        <v>196</v>
      </c>
      <c r="D2542" s="2" t="s">
        <v>122</v>
      </c>
      <c r="E2542" s="2" t="s">
        <v>8546</v>
      </c>
      <c r="F2542" s="2">
        <v>1</v>
      </c>
      <c r="G2542" s="2" t="s">
        <v>82</v>
      </c>
      <c r="H2542" s="2">
        <v>1</v>
      </c>
      <c r="I2542" s="2" t="s">
        <v>82</v>
      </c>
      <c r="J2542" s="2">
        <v>1</v>
      </c>
      <c r="K2542" s="2" t="s">
        <v>107</v>
      </c>
      <c r="L2542" s="2" t="s">
        <v>107</v>
      </c>
      <c r="M2542" s="3">
        <v>40346</v>
      </c>
      <c r="N2542" s="2"/>
      <c r="O2542" s="2"/>
      <c r="P2542" s="2"/>
      <c r="Q2542" s="2" t="str">
        <f>""</f>
        <v/>
      </c>
      <c r="R2542" s="2"/>
      <c r="S2542" s="2"/>
      <c r="T2542" s="2">
        <v>2</v>
      </c>
      <c r="U2542" s="2" t="s">
        <v>123</v>
      </c>
      <c r="V2542" s="2">
        <v>1</v>
      </c>
      <c r="W2542" s="2" t="s">
        <v>80</v>
      </c>
      <c r="X2542" s="2">
        <v>5</v>
      </c>
      <c r="Y2542" s="2" t="s">
        <v>82</v>
      </c>
      <c r="Z2542" s="2">
        <v>1</v>
      </c>
      <c r="AA2542" s="2" t="s">
        <v>82</v>
      </c>
      <c r="AB2542" s="2">
        <v>9</v>
      </c>
      <c r="AC2542" s="2" t="s">
        <v>124</v>
      </c>
      <c r="AD2542" s="3">
        <v>40346</v>
      </c>
      <c r="AE2542" s="4">
        <v>0.55972222222222223</v>
      </c>
      <c r="AF2542" s="2"/>
      <c r="AG2542" s="2"/>
      <c r="AH2542" s="2">
        <v>4</v>
      </c>
      <c r="AI2542" s="2" t="s">
        <v>125</v>
      </c>
      <c r="AJ2542" s="2">
        <v>33</v>
      </c>
      <c r="AK2542" s="2" t="s">
        <v>126</v>
      </c>
      <c r="AL2542" s="2">
        <v>19</v>
      </c>
      <c r="AM2542" s="2" t="s">
        <v>107</v>
      </c>
      <c r="AN2542" s="2"/>
      <c r="AO2542" s="2"/>
      <c r="AP2542" s="2">
        <v>11</v>
      </c>
      <c r="AQ2542" s="2" t="s">
        <v>82</v>
      </c>
      <c r="AR2542" s="2"/>
      <c r="AS2542" s="2"/>
      <c r="AT2542" s="2" t="s">
        <v>8547</v>
      </c>
      <c r="AU2542" s="2"/>
      <c r="AV2542" s="2"/>
      <c r="AW2542" s="2"/>
      <c r="AX2542" s="2"/>
      <c r="AY2542" s="2">
        <v>1</v>
      </c>
      <c r="AZ2542" s="2" t="s">
        <v>107</v>
      </c>
      <c r="BA2542" s="2">
        <v>1</v>
      </c>
      <c r="BB2542" s="2" t="s">
        <v>107</v>
      </c>
      <c r="BC2542" s="2">
        <v>1</v>
      </c>
      <c r="BD2542" s="2" t="s">
        <v>107</v>
      </c>
      <c r="BE2542" s="2">
        <v>1</v>
      </c>
      <c r="BF2542" s="2" t="s">
        <v>107</v>
      </c>
      <c r="BG2542" s="2" t="s">
        <v>265</v>
      </c>
      <c r="BH2542" s="4">
        <v>0.55972222222222223</v>
      </c>
      <c r="BI2542" s="4">
        <v>0.73055555555555562</v>
      </c>
      <c r="BJ2542" s="2">
        <v>242</v>
      </c>
      <c r="BK2542" s="2" t="s">
        <v>107</v>
      </c>
      <c r="BL2542" s="2" t="s">
        <v>185</v>
      </c>
      <c r="BM2542" s="2">
        <v>242</v>
      </c>
      <c r="BN2542" s="2" t="s">
        <v>107</v>
      </c>
      <c r="BO2542" s="2"/>
      <c r="BP2542" s="2">
        <v>242</v>
      </c>
      <c r="BQ2542" s="2" t="s">
        <v>107</v>
      </c>
      <c r="BR2542" s="2" t="s">
        <v>6582</v>
      </c>
      <c r="BS2542" s="3">
        <v>40346</v>
      </c>
      <c r="BT2542" s="4">
        <v>0.73002314814814817</v>
      </c>
    </row>
    <row r="2543" spans="1:72" x14ac:dyDescent="0.25">
      <c r="A2543" s="2">
        <v>3708</v>
      </c>
      <c r="B2543" s="2">
        <v>2010</v>
      </c>
      <c r="C2543" s="2" t="s">
        <v>377</v>
      </c>
      <c r="D2543" s="2" t="s">
        <v>73</v>
      </c>
      <c r="E2543" s="2"/>
      <c r="F2543" s="2">
        <v>426</v>
      </c>
      <c r="G2543" s="2" t="s">
        <v>378</v>
      </c>
      <c r="H2543" s="2">
        <v>42</v>
      </c>
      <c r="I2543" s="2" t="s">
        <v>1096</v>
      </c>
      <c r="J2543" s="2">
        <v>311</v>
      </c>
      <c r="K2543" s="2" t="s">
        <v>379</v>
      </c>
      <c r="L2543" s="2" t="s">
        <v>380</v>
      </c>
      <c r="M2543" s="3">
        <v>40346</v>
      </c>
      <c r="N2543" s="2" t="s">
        <v>5164</v>
      </c>
      <c r="O2543" s="2"/>
      <c r="P2543" s="2"/>
      <c r="Q2543" s="2" t="str">
        <f>"125-C/10"</f>
        <v>125-C/10</v>
      </c>
      <c r="R2543" s="2" t="s">
        <v>8548</v>
      </c>
      <c r="S2543" s="2"/>
      <c r="T2543" s="2">
        <v>1</v>
      </c>
      <c r="U2543" s="2" t="s">
        <v>79</v>
      </c>
      <c r="V2543" s="2">
        <v>1</v>
      </c>
      <c r="W2543" s="2" t="s">
        <v>80</v>
      </c>
      <c r="X2543" s="2">
        <v>1</v>
      </c>
      <c r="Y2543" s="2" t="s">
        <v>81</v>
      </c>
      <c r="Z2543" s="2">
        <v>1</v>
      </c>
      <c r="AA2543" s="2" t="s">
        <v>82</v>
      </c>
      <c r="AB2543" s="2">
        <v>9</v>
      </c>
      <c r="AC2543" s="2" t="s">
        <v>124</v>
      </c>
      <c r="AD2543" s="3">
        <v>40346</v>
      </c>
      <c r="AE2543" s="4">
        <v>0.68055555555555547</v>
      </c>
      <c r="AF2543" s="2"/>
      <c r="AG2543" s="2"/>
      <c r="AH2543" s="2">
        <v>2</v>
      </c>
      <c r="AI2543" s="2" t="s">
        <v>84</v>
      </c>
      <c r="AJ2543" s="2">
        <v>9</v>
      </c>
      <c r="AK2543" s="2" t="s">
        <v>103</v>
      </c>
      <c r="AL2543" s="2">
        <v>29</v>
      </c>
      <c r="AM2543" s="2" t="s">
        <v>5416</v>
      </c>
      <c r="AN2543" s="2" t="s">
        <v>1345</v>
      </c>
      <c r="AO2543" s="2" t="s">
        <v>987</v>
      </c>
      <c r="AP2543" s="2">
        <v>11</v>
      </c>
      <c r="AQ2543" s="2" t="s">
        <v>82</v>
      </c>
      <c r="AR2543" s="2"/>
      <c r="AS2543" s="2"/>
      <c r="AT2543" s="2" t="s">
        <v>7518</v>
      </c>
      <c r="AU2543" s="2"/>
      <c r="AV2543" s="2"/>
      <c r="AW2543" s="2"/>
      <c r="AX2543" s="2"/>
      <c r="AY2543" s="2">
        <v>41</v>
      </c>
      <c r="AZ2543" s="2" t="s">
        <v>82</v>
      </c>
      <c r="BA2543" s="2">
        <v>41</v>
      </c>
      <c r="BB2543" s="2" t="s">
        <v>82</v>
      </c>
      <c r="BC2543" s="2">
        <v>41</v>
      </c>
      <c r="BD2543" s="2" t="s">
        <v>82</v>
      </c>
      <c r="BE2543" s="2">
        <v>41</v>
      </c>
      <c r="BF2543" s="2" t="s">
        <v>82</v>
      </c>
      <c r="BG2543" s="2"/>
      <c r="BH2543" s="2"/>
      <c r="BI2543" s="2"/>
      <c r="BJ2543" s="2">
        <v>241</v>
      </c>
      <c r="BK2543" s="2" t="s">
        <v>82</v>
      </c>
      <c r="BL2543" s="2"/>
      <c r="BM2543" s="2">
        <v>241</v>
      </c>
      <c r="BN2543" s="2" t="s">
        <v>82</v>
      </c>
      <c r="BO2543" s="2"/>
      <c r="BP2543" s="2">
        <v>241</v>
      </c>
      <c r="BQ2543" s="2" t="s">
        <v>82</v>
      </c>
      <c r="BR2543" s="2"/>
      <c r="BS2543" s="3">
        <v>40346</v>
      </c>
      <c r="BT2543" s="4">
        <v>0.7833796296296297</v>
      </c>
    </row>
    <row r="2544" spans="1:72" x14ac:dyDescent="0.25">
      <c r="A2544" s="2">
        <v>3709</v>
      </c>
      <c r="B2544" s="2">
        <v>2010</v>
      </c>
      <c r="C2544" s="2" t="s">
        <v>196</v>
      </c>
      <c r="D2544" s="2" t="s">
        <v>122</v>
      </c>
      <c r="E2544" s="2"/>
      <c r="F2544" s="2">
        <v>1</v>
      </c>
      <c r="G2544" s="2" t="s">
        <v>82</v>
      </c>
      <c r="H2544" s="2">
        <v>1</v>
      </c>
      <c r="I2544" s="2" t="s">
        <v>82</v>
      </c>
      <c r="J2544" s="2">
        <v>1</v>
      </c>
      <c r="K2544" s="2" t="s">
        <v>107</v>
      </c>
      <c r="L2544" s="2" t="s">
        <v>107</v>
      </c>
      <c r="M2544" s="3">
        <v>40346</v>
      </c>
      <c r="N2544" s="2"/>
      <c r="O2544" s="2"/>
      <c r="P2544" s="2"/>
      <c r="Q2544" s="2" t="str">
        <f>""</f>
        <v/>
      </c>
      <c r="R2544" s="2"/>
      <c r="S2544" s="2"/>
      <c r="T2544" s="2">
        <v>2</v>
      </c>
      <c r="U2544" s="2" t="s">
        <v>123</v>
      </c>
      <c r="V2544" s="2">
        <v>1</v>
      </c>
      <c r="W2544" s="2" t="s">
        <v>80</v>
      </c>
      <c r="X2544" s="2">
        <v>11</v>
      </c>
      <c r="Y2544" s="2" t="s">
        <v>1920</v>
      </c>
      <c r="Z2544" s="2">
        <v>10</v>
      </c>
      <c r="AA2544" s="2" t="s">
        <v>236</v>
      </c>
      <c r="AB2544" s="2">
        <v>9</v>
      </c>
      <c r="AC2544" s="2" t="s">
        <v>124</v>
      </c>
      <c r="AD2544" s="3">
        <v>40346</v>
      </c>
      <c r="AE2544" s="4">
        <v>0.78125</v>
      </c>
      <c r="AF2544" s="2"/>
      <c r="AG2544" s="2"/>
      <c r="AH2544" s="2">
        <v>2</v>
      </c>
      <c r="AI2544" s="2" t="s">
        <v>84</v>
      </c>
      <c r="AJ2544" s="2">
        <v>12</v>
      </c>
      <c r="AK2544" s="2" t="s">
        <v>85</v>
      </c>
      <c r="AL2544" s="2">
        <v>20</v>
      </c>
      <c r="AM2544" s="2" t="s">
        <v>992</v>
      </c>
      <c r="AN2544" s="2" t="s">
        <v>993</v>
      </c>
      <c r="AO2544" s="2"/>
      <c r="AP2544" s="2">
        <v>11</v>
      </c>
      <c r="AQ2544" s="2" t="s">
        <v>82</v>
      </c>
      <c r="AR2544" s="2"/>
      <c r="AS2544" s="2"/>
      <c r="AT2544" s="2" t="s">
        <v>8549</v>
      </c>
      <c r="AU2544" s="2"/>
      <c r="AV2544" s="2"/>
      <c r="AW2544" s="2"/>
      <c r="AX2544" s="2"/>
      <c r="AY2544" s="2">
        <v>41</v>
      </c>
      <c r="AZ2544" s="2" t="s">
        <v>82</v>
      </c>
      <c r="BA2544" s="2">
        <v>41</v>
      </c>
      <c r="BB2544" s="2" t="s">
        <v>82</v>
      </c>
      <c r="BC2544" s="2">
        <v>41</v>
      </c>
      <c r="BD2544" s="2" t="s">
        <v>82</v>
      </c>
      <c r="BE2544" s="2">
        <v>41</v>
      </c>
      <c r="BF2544" s="2" t="s">
        <v>82</v>
      </c>
      <c r="BG2544" s="2"/>
      <c r="BH2544" s="2"/>
      <c r="BI2544" s="2"/>
      <c r="BJ2544" s="2">
        <v>13</v>
      </c>
      <c r="BK2544" s="2" t="s">
        <v>91</v>
      </c>
      <c r="BL2544" s="2" t="s">
        <v>6582</v>
      </c>
      <c r="BM2544" s="2">
        <v>241</v>
      </c>
      <c r="BN2544" s="2" t="s">
        <v>82</v>
      </c>
      <c r="BO2544" s="2"/>
      <c r="BP2544" s="2">
        <v>13</v>
      </c>
      <c r="BQ2544" s="2" t="s">
        <v>91</v>
      </c>
      <c r="BR2544" s="2" t="s">
        <v>185</v>
      </c>
      <c r="BS2544" s="3">
        <v>40346</v>
      </c>
      <c r="BT2544" s="4">
        <v>0.80273148148148143</v>
      </c>
    </row>
    <row r="2545" spans="1:72" x14ac:dyDescent="0.25">
      <c r="A2545" s="2">
        <v>3710</v>
      </c>
      <c r="B2545" s="2">
        <v>2010</v>
      </c>
      <c r="C2545" s="2" t="s">
        <v>93</v>
      </c>
      <c r="D2545" s="2" t="s">
        <v>122</v>
      </c>
      <c r="E2545" s="2" t="s">
        <v>8550</v>
      </c>
      <c r="F2545" s="2">
        <v>24</v>
      </c>
      <c r="G2545" s="2" t="s">
        <v>532</v>
      </c>
      <c r="H2545" s="2">
        <v>22</v>
      </c>
      <c r="I2545" s="2" t="s">
        <v>75</v>
      </c>
      <c r="J2545" s="2">
        <v>300</v>
      </c>
      <c r="K2545" s="2" t="s">
        <v>114</v>
      </c>
      <c r="L2545" s="2" t="s">
        <v>115</v>
      </c>
      <c r="M2545" s="3">
        <v>40346</v>
      </c>
      <c r="N2545" s="2"/>
      <c r="O2545" s="2"/>
      <c r="P2545" s="2"/>
      <c r="Q2545" s="2" t="str">
        <f>""</f>
        <v/>
      </c>
      <c r="R2545" s="2"/>
      <c r="S2545" s="2"/>
      <c r="T2545" s="2">
        <v>1</v>
      </c>
      <c r="U2545" s="2" t="s">
        <v>79</v>
      </c>
      <c r="V2545" s="2">
        <v>1</v>
      </c>
      <c r="W2545" s="2" t="s">
        <v>80</v>
      </c>
      <c r="X2545" s="2">
        <v>10</v>
      </c>
      <c r="Y2545" s="2" t="s">
        <v>226</v>
      </c>
      <c r="Z2545" s="2">
        <v>10</v>
      </c>
      <c r="AA2545" s="2" t="s">
        <v>236</v>
      </c>
      <c r="AB2545" s="2">
        <v>2</v>
      </c>
      <c r="AC2545" s="2" t="s">
        <v>102</v>
      </c>
      <c r="AD2545" s="3">
        <v>40346</v>
      </c>
      <c r="AE2545" s="4">
        <v>0.8125</v>
      </c>
      <c r="AF2545" s="2"/>
      <c r="AG2545" s="2"/>
      <c r="AH2545" s="2">
        <v>2</v>
      </c>
      <c r="AI2545" s="2" t="s">
        <v>84</v>
      </c>
      <c r="AJ2545" s="2">
        <v>12</v>
      </c>
      <c r="AK2545" s="2" t="s">
        <v>85</v>
      </c>
      <c r="AL2545" s="2">
        <v>27</v>
      </c>
      <c r="AM2545" s="2" t="s">
        <v>6225</v>
      </c>
      <c r="AN2545" s="2" t="s">
        <v>1971</v>
      </c>
      <c r="AO2545" s="2"/>
      <c r="AP2545" s="2">
        <v>11</v>
      </c>
      <c r="AQ2545" s="2" t="s">
        <v>82</v>
      </c>
      <c r="AR2545" s="2"/>
      <c r="AS2545" s="2"/>
      <c r="AT2545" s="2" t="s">
        <v>8551</v>
      </c>
      <c r="AU2545" s="2"/>
      <c r="AV2545" s="2"/>
      <c r="AW2545" s="2">
        <v>1</v>
      </c>
      <c r="AX2545" s="2"/>
      <c r="AY2545" s="2">
        <v>41</v>
      </c>
      <c r="AZ2545" s="2" t="s">
        <v>82</v>
      </c>
      <c r="BA2545" s="2">
        <v>41</v>
      </c>
      <c r="BB2545" s="2" t="s">
        <v>82</v>
      </c>
      <c r="BC2545" s="2">
        <v>41</v>
      </c>
      <c r="BD2545" s="2" t="s">
        <v>82</v>
      </c>
      <c r="BE2545" s="2">
        <v>4</v>
      </c>
      <c r="BF2545" s="2" t="s">
        <v>90</v>
      </c>
      <c r="BG2545" s="2" t="s">
        <v>8535</v>
      </c>
      <c r="BH2545" s="4">
        <v>0.59375</v>
      </c>
      <c r="BI2545" s="2"/>
      <c r="BJ2545" s="2">
        <v>46</v>
      </c>
      <c r="BK2545" s="2" t="s">
        <v>307</v>
      </c>
      <c r="BL2545" s="2" t="s">
        <v>308</v>
      </c>
      <c r="BM2545" s="2">
        <v>241</v>
      </c>
      <c r="BN2545" s="2" t="s">
        <v>82</v>
      </c>
      <c r="BO2545" s="2"/>
      <c r="BP2545" s="2">
        <v>13</v>
      </c>
      <c r="BQ2545" s="2" t="s">
        <v>91</v>
      </c>
      <c r="BR2545" s="2" t="s">
        <v>185</v>
      </c>
      <c r="BS2545" s="3">
        <v>40346</v>
      </c>
      <c r="BT2545" s="4">
        <v>0.82277777777777772</v>
      </c>
    </row>
    <row r="2546" spans="1:72" x14ac:dyDescent="0.25">
      <c r="A2546" s="2">
        <v>3711</v>
      </c>
      <c r="B2546" s="2">
        <v>2010</v>
      </c>
      <c r="C2546" s="2" t="s">
        <v>171</v>
      </c>
      <c r="D2546" s="2" t="s">
        <v>73</v>
      </c>
      <c r="E2546" s="2" t="s">
        <v>8552</v>
      </c>
      <c r="F2546" s="2">
        <v>451</v>
      </c>
      <c r="G2546" s="2" t="s">
        <v>879</v>
      </c>
      <c r="H2546" s="2">
        <v>31</v>
      </c>
      <c r="I2546" s="2" t="s">
        <v>880</v>
      </c>
      <c r="J2546" s="2">
        <v>326</v>
      </c>
      <c r="K2546" s="2" t="s">
        <v>881</v>
      </c>
      <c r="L2546" s="2" t="s">
        <v>882</v>
      </c>
      <c r="M2546" s="3">
        <v>40346</v>
      </c>
      <c r="N2546" s="2" t="s">
        <v>1072</v>
      </c>
      <c r="O2546" s="2" t="s">
        <v>8553</v>
      </c>
      <c r="P2546" s="2" t="s">
        <v>8554</v>
      </c>
      <c r="Q2546" s="2" t="str">
        <f>"058/10"</f>
        <v>058/10</v>
      </c>
      <c r="R2546" s="2"/>
      <c r="S2546" s="2" t="s">
        <v>822</v>
      </c>
      <c r="T2546" s="2">
        <v>1</v>
      </c>
      <c r="U2546" s="2" t="s">
        <v>79</v>
      </c>
      <c r="V2546" s="2">
        <v>1</v>
      </c>
      <c r="W2546" s="2" t="s">
        <v>80</v>
      </c>
      <c r="X2546" s="2">
        <v>1</v>
      </c>
      <c r="Y2546" s="2" t="s">
        <v>81</v>
      </c>
      <c r="Z2546" s="2">
        <v>1</v>
      </c>
      <c r="AA2546" s="2" t="s">
        <v>82</v>
      </c>
      <c r="AB2546" s="2">
        <v>1</v>
      </c>
      <c r="AC2546" s="2" t="s">
        <v>178</v>
      </c>
      <c r="AD2546" s="3">
        <v>40346</v>
      </c>
      <c r="AE2546" s="4">
        <v>0.77777777777777779</v>
      </c>
      <c r="AF2546" s="2"/>
      <c r="AG2546" s="2"/>
      <c r="AH2546" s="2">
        <v>4</v>
      </c>
      <c r="AI2546" s="2" t="s">
        <v>125</v>
      </c>
      <c r="AJ2546" s="2">
        <v>29</v>
      </c>
      <c r="AK2546" s="2" t="s">
        <v>227</v>
      </c>
      <c r="AL2546" s="2">
        <v>16</v>
      </c>
      <c r="AM2546" s="2" t="s">
        <v>392</v>
      </c>
      <c r="AN2546" s="2" t="s">
        <v>6877</v>
      </c>
      <c r="AO2546" s="2"/>
      <c r="AP2546" s="2">
        <v>12</v>
      </c>
      <c r="AQ2546" s="2" t="s">
        <v>322</v>
      </c>
      <c r="AR2546" s="2" t="s">
        <v>824</v>
      </c>
      <c r="AS2546" s="2" t="s">
        <v>825</v>
      </c>
      <c r="AT2546" s="2" t="s">
        <v>8555</v>
      </c>
      <c r="AU2546" s="2"/>
      <c r="AV2546" s="2"/>
      <c r="AW2546" s="2"/>
      <c r="AX2546" s="2"/>
      <c r="AY2546" s="2">
        <v>41</v>
      </c>
      <c r="AZ2546" s="2" t="s">
        <v>82</v>
      </c>
      <c r="BA2546" s="2">
        <v>41</v>
      </c>
      <c r="BB2546" s="2" t="s">
        <v>82</v>
      </c>
      <c r="BC2546" s="2">
        <v>51</v>
      </c>
      <c r="BD2546" s="2" t="s">
        <v>827</v>
      </c>
      <c r="BE2546" s="2">
        <v>13</v>
      </c>
      <c r="BF2546" s="2" t="s">
        <v>108</v>
      </c>
      <c r="BG2546" s="2">
        <v>1459</v>
      </c>
      <c r="BH2546" s="4">
        <v>0.88888888888888884</v>
      </c>
      <c r="BI2546" s="4">
        <v>0.92361111111111116</v>
      </c>
      <c r="BJ2546" s="2">
        <v>13</v>
      </c>
      <c r="BK2546" s="2" t="s">
        <v>91</v>
      </c>
      <c r="BL2546" s="2" t="s">
        <v>828</v>
      </c>
      <c r="BM2546" s="2">
        <v>241</v>
      </c>
      <c r="BN2546" s="2" t="s">
        <v>82</v>
      </c>
      <c r="BO2546" s="2" t="s">
        <v>82</v>
      </c>
      <c r="BP2546" s="2">
        <v>13</v>
      </c>
      <c r="BQ2546" s="2" t="s">
        <v>91</v>
      </c>
      <c r="BR2546" s="2" t="s">
        <v>185</v>
      </c>
      <c r="BS2546" s="3">
        <v>40346</v>
      </c>
      <c r="BT2546" s="4">
        <v>0.85099537037037043</v>
      </c>
    </row>
    <row r="2547" spans="1:72" x14ac:dyDescent="0.25">
      <c r="A2547" s="2">
        <v>3712</v>
      </c>
      <c r="B2547" s="2">
        <v>2010</v>
      </c>
      <c r="C2547" s="2" t="s">
        <v>4543</v>
      </c>
      <c r="D2547" s="2" t="s">
        <v>73</v>
      </c>
      <c r="E2547" s="2"/>
      <c r="F2547" s="2">
        <v>14</v>
      </c>
      <c r="G2547" s="2" t="s">
        <v>2848</v>
      </c>
      <c r="H2547" s="2">
        <v>56</v>
      </c>
      <c r="I2547" s="2" t="s">
        <v>3372</v>
      </c>
      <c r="J2547" s="2">
        <v>19</v>
      </c>
      <c r="K2547" s="2" t="s">
        <v>2144</v>
      </c>
      <c r="L2547" s="2" t="s">
        <v>2145</v>
      </c>
      <c r="M2547" s="3">
        <v>40346</v>
      </c>
      <c r="N2547" s="2" t="s">
        <v>8556</v>
      </c>
      <c r="O2547" s="2" t="s">
        <v>480</v>
      </c>
      <c r="P2547" s="2" t="s">
        <v>107</v>
      </c>
      <c r="Q2547" s="2" t="str">
        <f>"32/2010"</f>
        <v>32/2010</v>
      </c>
      <c r="R2547" s="2"/>
      <c r="S2547" s="2" t="s">
        <v>480</v>
      </c>
      <c r="T2547" s="2">
        <v>2</v>
      </c>
      <c r="U2547" s="2" t="s">
        <v>123</v>
      </c>
      <c r="V2547" s="2">
        <v>1</v>
      </c>
      <c r="W2547" s="2" t="s">
        <v>80</v>
      </c>
      <c r="X2547" s="2">
        <v>1</v>
      </c>
      <c r="Y2547" s="2" t="s">
        <v>81</v>
      </c>
      <c r="Z2547" s="2">
        <v>1</v>
      </c>
      <c r="AA2547" s="2" t="s">
        <v>82</v>
      </c>
      <c r="AB2547" s="2">
        <v>9</v>
      </c>
      <c r="AC2547" s="2" t="s">
        <v>124</v>
      </c>
      <c r="AD2547" s="3">
        <v>40346</v>
      </c>
      <c r="AE2547" s="4">
        <v>0.6</v>
      </c>
      <c r="AF2547" s="3">
        <v>40346</v>
      </c>
      <c r="AG2547" s="4">
        <v>0.60277777777777775</v>
      </c>
      <c r="AH2547" s="2">
        <v>3</v>
      </c>
      <c r="AI2547" s="2" t="s">
        <v>214</v>
      </c>
      <c r="AJ2547" s="2">
        <v>24</v>
      </c>
      <c r="AK2547" s="2" t="s">
        <v>215</v>
      </c>
      <c r="AL2547" s="2">
        <v>14</v>
      </c>
      <c r="AM2547" s="2" t="s">
        <v>216</v>
      </c>
      <c r="AN2547" s="2" t="s">
        <v>8557</v>
      </c>
      <c r="AO2547" s="2"/>
      <c r="AP2547" s="2">
        <v>11</v>
      </c>
      <c r="AQ2547" s="2" t="s">
        <v>82</v>
      </c>
      <c r="AR2547" s="2" t="s">
        <v>82</v>
      </c>
      <c r="AS2547" s="2" t="s">
        <v>82</v>
      </c>
      <c r="AT2547" s="2" t="s">
        <v>8558</v>
      </c>
      <c r="AU2547" s="2"/>
      <c r="AV2547" s="2"/>
      <c r="AW2547" s="2"/>
      <c r="AX2547" s="2"/>
      <c r="AY2547" s="2">
        <v>41</v>
      </c>
      <c r="AZ2547" s="2" t="s">
        <v>82</v>
      </c>
      <c r="BA2547" s="2">
        <v>41</v>
      </c>
      <c r="BB2547" s="2" t="s">
        <v>82</v>
      </c>
      <c r="BC2547" s="2">
        <v>41</v>
      </c>
      <c r="BD2547" s="2" t="s">
        <v>82</v>
      </c>
      <c r="BE2547" s="2">
        <v>4</v>
      </c>
      <c r="BF2547" s="2" t="s">
        <v>90</v>
      </c>
      <c r="BG2547" s="2">
        <v>4212</v>
      </c>
      <c r="BH2547" s="4">
        <v>0.66666666666666663</v>
      </c>
      <c r="BI2547" s="4">
        <v>0.62152777777777779</v>
      </c>
      <c r="BJ2547" s="2">
        <v>13</v>
      </c>
      <c r="BK2547" s="2" t="s">
        <v>91</v>
      </c>
      <c r="BL2547" s="2" t="s">
        <v>170</v>
      </c>
      <c r="BM2547" s="2">
        <v>241</v>
      </c>
      <c r="BN2547" s="2" t="s">
        <v>82</v>
      </c>
      <c r="BO2547" s="2" t="s">
        <v>82</v>
      </c>
      <c r="BP2547" s="2">
        <v>13</v>
      </c>
      <c r="BQ2547" s="2" t="s">
        <v>91</v>
      </c>
      <c r="BR2547" s="2" t="s">
        <v>5609</v>
      </c>
      <c r="BS2547" s="3">
        <v>40346</v>
      </c>
      <c r="BT2547" s="4">
        <v>0.87538194444444439</v>
      </c>
    </row>
    <row r="2548" spans="1:72" x14ac:dyDescent="0.25">
      <c r="A2548" s="2">
        <v>3713</v>
      </c>
      <c r="B2548" s="2">
        <v>2010</v>
      </c>
      <c r="C2548" s="2" t="s">
        <v>377</v>
      </c>
      <c r="D2548" s="2" t="s">
        <v>73</v>
      </c>
      <c r="E2548" s="2"/>
      <c r="F2548" s="2">
        <v>426</v>
      </c>
      <c r="G2548" s="2" t="s">
        <v>378</v>
      </c>
      <c r="H2548" s="2">
        <v>22</v>
      </c>
      <c r="I2548" s="2" t="s">
        <v>75</v>
      </c>
      <c r="J2548" s="2">
        <v>311</v>
      </c>
      <c r="K2548" s="2" t="s">
        <v>379</v>
      </c>
      <c r="L2548" s="2" t="s">
        <v>380</v>
      </c>
      <c r="M2548" s="3">
        <v>40346</v>
      </c>
      <c r="N2548" s="2" t="s">
        <v>5164</v>
      </c>
      <c r="O2548" s="2"/>
      <c r="P2548" s="2"/>
      <c r="Q2548" s="2" t="str">
        <f>"126-C/10"</f>
        <v>126-C/10</v>
      </c>
      <c r="R2548" s="2" t="s">
        <v>8278</v>
      </c>
      <c r="S2548" s="2"/>
      <c r="T2548" s="2">
        <v>1</v>
      </c>
      <c r="U2548" s="2" t="s">
        <v>79</v>
      </c>
      <c r="V2548" s="2">
        <v>1</v>
      </c>
      <c r="W2548" s="2" t="s">
        <v>80</v>
      </c>
      <c r="X2548" s="2">
        <v>1</v>
      </c>
      <c r="Y2548" s="2" t="s">
        <v>81</v>
      </c>
      <c r="Z2548" s="2">
        <v>1</v>
      </c>
      <c r="AA2548" s="2" t="s">
        <v>82</v>
      </c>
      <c r="AB2548" s="2">
        <v>9</v>
      </c>
      <c r="AC2548" s="2" t="s">
        <v>124</v>
      </c>
      <c r="AD2548" s="3">
        <v>40346</v>
      </c>
      <c r="AE2548" s="4">
        <v>0.77777777777777779</v>
      </c>
      <c r="AF2548" s="2"/>
      <c r="AG2548" s="2"/>
      <c r="AH2548" s="2">
        <v>2</v>
      </c>
      <c r="AI2548" s="2" t="s">
        <v>84</v>
      </c>
      <c r="AJ2548" s="2">
        <v>9</v>
      </c>
      <c r="AK2548" s="2" t="s">
        <v>103</v>
      </c>
      <c r="AL2548" s="2">
        <v>29</v>
      </c>
      <c r="AM2548" s="2" t="s">
        <v>5416</v>
      </c>
      <c r="AN2548" s="2" t="s">
        <v>8559</v>
      </c>
      <c r="AO2548" s="2" t="s">
        <v>987</v>
      </c>
      <c r="AP2548" s="2">
        <v>11</v>
      </c>
      <c r="AQ2548" s="2" t="s">
        <v>82</v>
      </c>
      <c r="AR2548" s="2"/>
      <c r="AS2548" s="2"/>
      <c r="AT2548" s="2" t="s">
        <v>8560</v>
      </c>
      <c r="AU2548" s="2"/>
      <c r="AV2548" s="2"/>
      <c r="AW2548" s="2"/>
      <c r="AX2548" s="2"/>
      <c r="AY2548" s="2">
        <v>41</v>
      </c>
      <c r="AZ2548" s="2" t="s">
        <v>82</v>
      </c>
      <c r="BA2548" s="2">
        <v>41</v>
      </c>
      <c r="BB2548" s="2" t="s">
        <v>82</v>
      </c>
      <c r="BC2548" s="2">
        <v>41</v>
      </c>
      <c r="BD2548" s="2" t="s">
        <v>82</v>
      </c>
      <c r="BE2548" s="2">
        <v>41</v>
      </c>
      <c r="BF2548" s="2" t="s">
        <v>82</v>
      </c>
      <c r="BG2548" s="2"/>
      <c r="BH2548" s="2"/>
      <c r="BI2548" s="2"/>
      <c r="BJ2548" s="2">
        <v>241</v>
      </c>
      <c r="BK2548" s="2" t="s">
        <v>82</v>
      </c>
      <c r="BL2548" s="2"/>
      <c r="BM2548" s="2">
        <v>241</v>
      </c>
      <c r="BN2548" s="2" t="s">
        <v>82</v>
      </c>
      <c r="BO2548" s="2"/>
      <c r="BP2548" s="2">
        <v>241</v>
      </c>
      <c r="BQ2548" s="2" t="s">
        <v>82</v>
      </c>
      <c r="BR2548" s="2"/>
      <c r="BS2548" s="3">
        <v>40346</v>
      </c>
      <c r="BT2548" s="4">
        <v>0.87949074074074074</v>
      </c>
    </row>
    <row r="2549" spans="1:72" x14ac:dyDescent="0.25">
      <c r="A2549" s="2">
        <v>3714</v>
      </c>
      <c r="B2549" s="2">
        <v>2010</v>
      </c>
      <c r="C2549" s="2" t="s">
        <v>377</v>
      </c>
      <c r="D2549" s="2" t="s">
        <v>73</v>
      </c>
      <c r="E2549" s="2"/>
      <c r="F2549" s="2">
        <v>426</v>
      </c>
      <c r="G2549" s="2" t="s">
        <v>378</v>
      </c>
      <c r="H2549" s="2">
        <v>42</v>
      </c>
      <c r="I2549" s="2" t="s">
        <v>1096</v>
      </c>
      <c r="J2549" s="2">
        <v>311</v>
      </c>
      <c r="K2549" s="2" t="s">
        <v>379</v>
      </c>
      <c r="L2549" s="2" t="s">
        <v>380</v>
      </c>
      <c r="M2549" s="3">
        <v>40346</v>
      </c>
      <c r="N2549" s="2" t="s">
        <v>5164</v>
      </c>
      <c r="O2549" s="2"/>
      <c r="P2549" s="2"/>
      <c r="Q2549" s="2" t="str">
        <f>"119-C/10"</f>
        <v>119-C/10</v>
      </c>
      <c r="R2549" s="2" t="s">
        <v>8278</v>
      </c>
      <c r="S2549" s="2"/>
      <c r="T2549" s="2">
        <v>1</v>
      </c>
      <c r="U2549" s="2" t="s">
        <v>79</v>
      </c>
      <c r="V2549" s="2">
        <v>1</v>
      </c>
      <c r="W2549" s="2" t="s">
        <v>80</v>
      </c>
      <c r="X2549" s="2">
        <v>1</v>
      </c>
      <c r="Y2549" s="2" t="s">
        <v>81</v>
      </c>
      <c r="Z2549" s="2">
        <v>1</v>
      </c>
      <c r="AA2549" s="2" t="s">
        <v>82</v>
      </c>
      <c r="AB2549" s="2">
        <v>9</v>
      </c>
      <c r="AC2549" s="2" t="s">
        <v>124</v>
      </c>
      <c r="AD2549" s="3">
        <v>40344</v>
      </c>
      <c r="AE2549" s="4">
        <v>0.72916666666666663</v>
      </c>
      <c r="AF2549" s="2"/>
      <c r="AG2549" s="2"/>
      <c r="AH2549" s="2">
        <v>2</v>
      </c>
      <c r="AI2549" s="2" t="s">
        <v>84</v>
      </c>
      <c r="AJ2549" s="2">
        <v>9</v>
      </c>
      <c r="AK2549" s="2" t="s">
        <v>103</v>
      </c>
      <c r="AL2549" s="2">
        <v>29</v>
      </c>
      <c r="AM2549" s="2" t="s">
        <v>5416</v>
      </c>
      <c r="AN2549" s="2"/>
      <c r="AO2549" s="2" t="s">
        <v>987</v>
      </c>
      <c r="AP2549" s="2">
        <v>11</v>
      </c>
      <c r="AQ2549" s="2" t="s">
        <v>82</v>
      </c>
      <c r="AR2549" s="2"/>
      <c r="AS2549" s="2"/>
      <c r="AT2549" s="2" t="s">
        <v>8531</v>
      </c>
      <c r="AU2549" s="2"/>
      <c r="AV2549" s="2"/>
      <c r="AW2549" s="2"/>
      <c r="AX2549" s="2"/>
      <c r="AY2549" s="2">
        <v>41</v>
      </c>
      <c r="AZ2549" s="2" t="s">
        <v>82</v>
      </c>
      <c r="BA2549" s="2">
        <v>41</v>
      </c>
      <c r="BB2549" s="2" t="s">
        <v>82</v>
      </c>
      <c r="BC2549" s="2">
        <v>41</v>
      </c>
      <c r="BD2549" s="2" t="s">
        <v>82</v>
      </c>
      <c r="BE2549" s="2">
        <v>41</v>
      </c>
      <c r="BF2549" s="2" t="s">
        <v>82</v>
      </c>
      <c r="BG2549" s="2"/>
      <c r="BH2549" s="2"/>
      <c r="BI2549" s="2"/>
      <c r="BJ2549" s="2">
        <v>241</v>
      </c>
      <c r="BK2549" s="2" t="s">
        <v>82</v>
      </c>
      <c r="BL2549" s="2"/>
      <c r="BM2549" s="2">
        <v>241</v>
      </c>
      <c r="BN2549" s="2" t="s">
        <v>82</v>
      </c>
      <c r="BO2549" s="2"/>
      <c r="BP2549" s="2">
        <v>241</v>
      </c>
      <c r="BQ2549" s="2" t="s">
        <v>82</v>
      </c>
      <c r="BR2549" s="2"/>
      <c r="BS2549" s="3">
        <v>40346</v>
      </c>
      <c r="BT2549" s="4">
        <v>0.9008680555555556</v>
      </c>
    </row>
    <row r="2550" spans="1:72" x14ac:dyDescent="0.25">
      <c r="A2550" s="2">
        <v>3715</v>
      </c>
      <c r="B2550" s="2">
        <v>2010</v>
      </c>
      <c r="C2550" s="2" t="s">
        <v>763</v>
      </c>
      <c r="D2550" s="2" t="s">
        <v>73</v>
      </c>
      <c r="E2550" s="2"/>
      <c r="F2550" s="2">
        <v>425</v>
      </c>
      <c r="G2550" s="2" t="s">
        <v>286</v>
      </c>
      <c r="H2550" s="2">
        <v>39</v>
      </c>
      <c r="I2550" s="2" t="s">
        <v>1117</v>
      </c>
      <c r="J2550" s="2">
        <v>310</v>
      </c>
      <c r="K2550" s="2" t="s">
        <v>288</v>
      </c>
      <c r="L2550" s="2" t="s">
        <v>289</v>
      </c>
      <c r="M2550" s="3">
        <v>40346</v>
      </c>
      <c r="N2550" s="2" t="s">
        <v>2049</v>
      </c>
      <c r="O2550" s="2"/>
      <c r="P2550" s="2"/>
      <c r="Q2550" s="2" t="str">
        <f>"073/10"</f>
        <v>073/10</v>
      </c>
      <c r="R2550" s="2"/>
      <c r="S2550" s="2" t="s">
        <v>822</v>
      </c>
      <c r="T2550" s="2">
        <v>1</v>
      </c>
      <c r="U2550" s="2" t="s">
        <v>79</v>
      </c>
      <c r="V2550" s="2">
        <v>1</v>
      </c>
      <c r="W2550" s="2" t="s">
        <v>80</v>
      </c>
      <c r="X2550" s="2">
        <v>12</v>
      </c>
      <c r="Y2550" s="2" t="s">
        <v>148</v>
      </c>
      <c r="Z2550" s="2">
        <v>1</v>
      </c>
      <c r="AA2550" s="2" t="s">
        <v>82</v>
      </c>
      <c r="AB2550" s="2">
        <v>9</v>
      </c>
      <c r="AC2550" s="2" t="s">
        <v>124</v>
      </c>
      <c r="AD2550" s="3">
        <v>40346</v>
      </c>
      <c r="AE2550" s="4">
        <v>0.8125</v>
      </c>
      <c r="AF2550" s="3">
        <v>40346</v>
      </c>
      <c r="AG2550" s="4">
        <v>0.81944444444444453</v>
      </c>
      <c r="AH2550" s="2">
        <v>4</v>
      </c>
      <c r="AI2550" s="2" t="s">
        <v>125</v>
      </c>
      <c r="AJ2550" s="2">
        <v>29</v>
      </c>
      <c r="AK2550" s="2" t="s">
        <v>227</v>
      </c>
      <c r="AL2550" s="2">
        <v>2</v>
      </c>
      <c r="AM2550" s="2" t="s">
        <v>163</v>
      </c>
      <c r="AN2550" s="2"/>
      <c r="AO2550" s="2"/>
      <c r="AP2550" s="2">
        <v>11</v>
      </c>
      <c r="AQ2550" s="2" t="s">
        <v>82</v>
      </c>
      <c r="AR2550" s="2"/>
      <c r="AS2550" s="2"/>
      <c r="AT2550" s="2" t="s">
        <v>8561</v>
      </c>
      <c r="AU2550" s="2"/>
      <c r="AV2550" s="2"/>
      <c r="AW2550" s="2"/>
      <c r="AX2550" s="2"/>
      <c r="AY2550" s="2">
        <v>41</v>
      </c>
      <c r="AZ2550" s="2" t="s">
        <v>82</v>
      </c>
      <c r="BA2550" s="2">
        <v>41</v>
      </c>
      <c r="BB2550" s="2" t="s">
        <v>82</v>
      </c>
      <c r="BC2550" s="2">
        <v>41</v>
      </c>
      <c r="BD2550" s="2" t="s">
        <v>82</v>
      </c>
      <c r="BE2550" s="2">
        <v>4</v>
      </c>
      <c r="BF2550" s="2" t="s">
        <v>90</v>
      </c>
      <c r="BG2550" s="2">
        <v>4134</v>
      </c>
      <c r="BH2550" s="4">
        <v>0.8125</v>
      </c>
      <c r="BI2550" s="4">
        <v>0.875</v>
      </c>
      <c r="BJ2550" s="2">
        <v>13</v>
      </c>
      <c r="BK2550" s="2" t="s">
        <v>91</v>
      </c>
      <c r="BL2550" s="2" t="s">
        <v>1108</v>
      </c>
      <c r="BM2550" s="2">
        <v>241</v>
      </c>
      <c r="BN2550" s="2" t="s">
        <v>82</v>
      </c>
      <c r="BO2550" s="2" t="s">
        <v>82</v>
      </c>
      <c r="BP2550" s="2">
        <v>13</v>
      </c>
      <c r="BQ2550" s="2" t="s">
        <v>91</v>
      </c>
      <c r="BR2550" s="2" t="s">
        <v>828</v>
      </c>
      <c r="BS2550" s="3">
        <v>40346</v>
      </c>
      <c r="BT2550" s="4">
        <v>0.91410879629629627</v>
      </c>
    </row>
    <row r="2551" spans="1:72" x14ac:dyDescent="0.25">
      <c r="A2551" s="2">
        <v>3716</v>
      </c>
      <c r="B2551" s="2">
        <v>2010</v>
      </c>
      <c r="C2551" s="2" t="s">
        <v>763</v>
      </c>
      <c r="D2551" s="2" t="s">
        <v>73</v>
      </c>
      <c r="E2551" s="2"/>
      <c r="F2551" s="2">
        <v>100</v>
      </c>
      <c r="G2551" s="2" t="s">
        <v>517</v>
      </c>
      <c r="H2551" s="2">
        <v>42</v>
      </c>
      <c r="I2551" s="2" t="s">
        <v>1096</v>
      </c>
      <c r="J2551" s="2">
        <v>119</v>
      </c>
      <c r="K2551" s="2" t="s">
        <v>325</v>
      </c>
      <c r="L2551" s="2" t="s">
        <v>326</v>
      </c>
      <c r="M2551" s="3">
        <v>40347</v>
      </c>
      <c r="N2551" s="2" t="s">
        <v>8562</v>
      </c>
      <c r="O2551" s="2"/>
      <c r="P2551" s="2"/>
      <c r="Q2551" s="2" t="str">
        <f>"0019/2010"</f>
        <v>0019/2010</v>
      </c>
      <c r="R2551" s="2" t="s">
        <v>5485</v>
      </c>
      <c r="S2551" s="2" t="s">
        <v>5485</v>
      </c>
      <c r="T2551" s="2">
        <v>1</v>
      </c>
      <c r="U2551" s="2" t="s">
        <v>79</v>
      </c>
      <c r="V2551" s="2">
        <v>1</v>
      </c>
      <c r="W2551" s="2" t="s">
        <v>80</v>
      </c>
      <c r="X2551" s="2">
        <v>12</v>
      </c>
      <c r="Y2551" s="2" t="s">
        <v>148</v>
      </c>
      <c r="Z2551" s="2">
        <v>1</v>
      </c>
      <c r="AA2551" s="2" t="s">
        <v>82</v>
      </c>
      <c r="AB2551" s="2">
        <v>9</v>
      </c>
      <c r="AC2551" s="2" t="s">
        <v>124</v>
      </c>
      <c r="AD2551" s="3">
        <v>40346</v>
      </c>
      <c r="AE2551" s="4">
        <v>0.89583333333333337</v>
      </c>
      <c r="AF2551" s="3">
        <v>40346</v>
      </c>
      <c r="AG2551" s="4">
        <v>0.97916666666666663</v>
      </c>
      <c r="AH2551" s="2">
        <v>6</v>
      </c>
      <c r="AI2551" s="2" t="s">
        <v>197</v>
      </c>
      <c r="AJ2551" s="2">
        <v>50</v>
      </c>
      <c r="AK2551" s="2" t="s">
        <v>330</v>
      </c>
      <c r="AL2551" s="2">
        <v>2</v>
      </c>
      <c r="AM2551" s="2" t="s">
        <v>163</v>
      </c>
      <c r="AN2551" s="2" t="s">
        <v>8563</v>
      </c>
      <c r="AO2551" s="2"/>
      <c r="AP2551" s="2">
        <v>11</v>
      </c>
      <c r="AQ2551" s="2" t="s">
        <v>82</v>
      </c>
      <c r="AR2551" s="2"/>
      <c r="AS2551" s="2"/>
      <c r="AT2551" s="2" t="s">
        <v>8564</v>
      </c>
      <c r="AU2551" s="2"/>
      <c r="AV2551" s="2"/>
      <c r="AW2551" s="2"/>
      <c r="AX2551" s="2"/>
      <c r="AY2551" s="2">
        <v>41</v>
      </c>
      <c r="AZ2551" s="2" t="s">
        <v>82</v>
      </c>
      <c r="BA2551" s="2">
        <v>41</v>
      </c>
      <c r="BB2551" s="2" t="s">
        <v>82</v>
      </c>
      <c r="BC2551" s="2">
        <v>41</v>
      </c>
      <c r="BD2551" s="2" t="s">
        <v>82</v>
      </c>
      <c r="BE2551" s="2">
        <v>47</v>
      </c>
      <c r="BF2551" s="2" t="s">
        <v>167</v>
      </c>
      <c r="BG2551" s="2">
        <v>2688</v>
      </c>
      <c r="BH2551" s="4">
        <v>0.95138888888888884</v>
      </c>
      <c r="BI2551" s="4">
        <v>0.89583333333333337</v>
      </c>
      <c r="BJ2551" s="2">
        <v>13</v>
      </c>
      <c r="BK2551" s="2" t="s">
        <v>91</v>
      </c>
      <c r="BL2551" s="2" t="s">
        <v>170</v>
      </c>
      <c r="BM2551" s="2">
        <v>13</v>
      </c>
      <c r="BN2551" s="2" t="s">
        <v>91</v>
      </c>
      <c r="BO2551" s="2" t="s">
        <v>353</v>
      </c>
      <c r="BP2551" s="2">
        <v>13</v>
      </c>
      <c r="BQ2551" s="2" t="s">
        <v>91</v>
      </c>
      <c r="BR2551" s="2" t="s">
        <v>332</v>
      </c>
      <c r="BS2551" s="3">
        <v>40347</v>
      </c>
      <c r="BT2551" s="4">
        <v>9.5590277777777774E-2</v>
      </c>
    </row>
    <row r="2552" spans="1:72" x14ac:dyDescent="0.25">
      <c r="A2552" s="2">
        <v>3718</v>
      </c>
      <c r="B2552" s="2">
        <v>2010</v>
      </c>
      <c r="C2552" s="2" t="s">
        <v>72</v>
      </c>
      <c r="D2552" s="2" t="s">
        <v>73</v>
      </c>
      <c r="E2552" s="2"/>
      <c r="F2552" s="2">
        <v>3</v>
      </c>
      <c r="G2552" s="2" t="s">
        <v>1041</v>
      </c>
      <c r="H2552" s="2">
        <v>42</v>
      </c>
      <c r="I2552" s="2" t="s">
        <v>1096</v>
      </c>
      <c r="J2552" s="2">
        <v>368</v>
      </c>
      <c r="K2552" s="2" t="s">
        <v>1042</v>
      </c>
      <c r="L2552" s="2" t="s">
        <v>1043</v>
      </c>
      <c r="M2552" s="3">
        <v>40347</v>
      </c>
      <c r="N2552" s="2"/>
      <c r="O2552" s="2" t="s">
        <v>107</v>
      </c>
      <c r="P2552" s="2" t="s">
        <v>107</v>
      </c>
      <c r="Q2552" s="2" t="str">
        <f>"323-E/10"</f>
        <v>323-E/10</v>
      </c>
      <c r="R2552" s="2" t="s">
        <v>78</v>
      </c>
      <c r="S2552" s="2" t="s">
        <v>78</v>
      </c>
      <c r="T2552" s="2">
        <v>1</v>
      </c>
      <c r="U2552" s="2" t="s">
        <v>79</v>
      </c>
      <c r="V2552" s="2">
        <v>1</v>
      </c>
      <c r="W2552" s="2" t="s">
        <v>80</v>
      </c>
      <c r="X2552" s="2">
        <v>12</v>
      </c>
      <c r="Y2552" s="2" t="s">
        <v>148</v>
      </c>
      <c r="Z2552" s="2">
        <v>1</v>
      </c>
      <c r="AA2552" s="2" t="s">
        <v>82</v>
      </c>
      <c r="AB2552" s="2">
        <v>6</v>
      </c>
      <c r="AC2552" s="2" t="s">
        <v>83</v>
      </c>
      <c r="AD2552" s="3">
        <v>40346</v>
      </c>
      <c r="AE2552" s="2"/>
      <c r="AF2552" s="3">
        <v>40346</v>
      </c>
      <c r="AG2552" s="4">
        <v>0.75</v>
      </c>
      <c r="AH2552" s="2">
        <v>2</v>
      </c>
      <c r="AI2552" s="2" t="s">
        <v>84</v>
      </c>
      <c r="AJ2552" s="2">
        <v>9</v>
      </c>
      <c r="AK2552" s="2" t="s">
        <v>103</v>
      </c>
      <c r="AL2552" s="2">
        <v>12</v>
      </c>
      <c r="AM2552" s="2" t="s">
        <v>86</v>
      </c>
      <c r="AN2552" s="2" t="s">
        <v>8565</v>
      </c>
      <c r="AO2552" s="2" t="s">
        <v>8566</v>
      </c>
      <c r="AP2552" s="2">
        <v>11</v>
      </c>
      <c r="AQ2552" s="2" t="s">
        <v>82</v>
      </c>
      <c r="AR2552" s="2"/>
      <c r="AS2552" s="2"/>
      <c r="AT2552" s="2" t="s">
        <v>8567</v>
      </c>
      <c r="AU2552" s="2"/>
      <c r="AV2552" s="2"/>
      <c r="AW2552" s="2"/>
      <c r="AX2552" s="2"/>
      <c r="AY2552" s="2">
        <v>41</v>
      </c>
      <c r="AZ2552" s="2" t="s">
        <v>82</v>
      </c>
      <c r="BA2552" s="2">
        <v>41</v>
      </c>
      <c r="BB2552" s="2" t="s">
        <v>82</v>
      </c>
      <c r="BC2552" s="2">
        <v>41</v>
      </c>
      <c r="BD2552" s="2" t="s">
        <v>82</v>
      </c>
      <c r="BE2552" s="2">
        <v>41</v>
      </c>
      <c r="BF2552" s="2" t="s">
        <v>82</v>
      </c>
      <c r="BG2552" s="2"/>
      <c r="BH2552" s="2"/>
      <c r="BI2552" s="2"/>
      <c r="BJ2552" s="2">
        <v>241</v>
      </c>
      <c r="BK2552" s="2" t="s">
        <v>82</v>
      </c>
      <c r="BL2552" s="2"/>
      <c r="BM2552" s="2">
        <v>241</v>
      </c>
      <c r="BN2552" s="2" t="s">
        <v>82</v>
      </c>
      <c r="BO2552" s="2"/>
      <c r="BP2552" s="2">
        <v>241</v>
      </c>
      <c r="BQ2552" s="2" t="s">
        <v>82</v>
      </c>
      <c r="BR2552" s="2"/>
      <c r="BS2552" s="3">
        <v>40347</v>
      </c>
      <c r="BT2552" s="4">
        <v>0.48929398148148145</v>
      </c>
    </row>
    <row r="2553" spans="1:72" x14ac:dyDescent="0.25">
      <c r="A2553" s="2">
        <v>3719</v>
      </c>
      <c r="B2553" s="2">
        <v>2010</v>
      </c>
      <c r="C2553" s="2" t="s">
        <v>72</v>
      </c>
      <c r="D2553" s="2" t="s">
        <v>73</v>
      </c>
      <c r="E2553" s="2"/>
      <c r="F2553" s="2">
        <v>638</v>
      </c>
      <c r="G2553" s="2" t="s">
        <v>8288</v>
      </c>
      <c r="H2553" s="2">
        <v>3</v>
      </c>
      <c r="I2553" s="2" t="s">
        <v>315</v>
      </c>
      <c r="J2553" s="2">
        <v>587</v>
      </c>
      <c r="K2553" s="2" t="s">
        <v>8411</v>
      </c>
      <c r="L2553" s="2" t="s">
        <v>8412</v>
      </c>
      <c r="M2553" s="3">
        <v>40347</v>
      </c>
      <c r="N2553" s="2" t="s">
        <v>8568</v>
      </c>
      <c r="O2553" s="2" t="s">
        <v>107</v>
      </c>
      <c r="P2553" s="2" t="s">
        <v>107</v>
      </c>
      <c r="Q2553" s="2" t="str">
        <f>"33/10"</f>
        <v>33/10</v>
      </c>
      <c r="R2553" s="2"/>
      <c r="S2553" s="2" t="s">
        <v>601</v>
      </c>
      <c r="T2553" s="2">
        <v>1</v>
      </c>
      <c r="U2553" s="2" t="s">
        <v>79</v>
      </c>
      <c r="V2553" s="2">
        <v>1</v>
      </c>
      <c r="W2553" s="2" t="s">
        <v>80</v>
      </c>
      <c r="X2553" s="2">
        <v>12</v>
      </c>
      <c r="Y2553" s="2" t="s">
        <v>148</v>
      </c>
      <c r="Z2553" s="2">
        <v>1</v>
      </c>
      <c r="AA2553" s="2" t="s">
        <v>82</v>
      </c>
      <c r="AB2553" s="2">
        <v>6</v>
      </c>
      <c r="AC2553" s="2" t="s">
        <v>83</v>
      </c>
      <c r="AD2553" s="3">
        <v>40346</v>
      </c>
      <c r="AE2553" s="2"/>
      <c r="AF2553" s="3">
        <v>40347</v>
      </c>
      <c r="AG2553" s="4">
        <v>0.44444444444444442</v>
      </c>
      <c r="AH2553" s="2">
        <v>3</v>
      </c>
      <c r="AI2553" s="2" t="s">
        <v>214</v>
      </c>
      <c r="AJ2553" s="2">
        <v>24</v>
      </c>
      <c r="AK2553" s="2" t="s">
        <v>215</v>
      </c>
      <c r="AL2553" s="2">
        <v>22</v>
      </c>
      <c r="AM2553" s="2" t="s">
        <v>1853</v>
      </c>
      <c r="AN2553" s="2"/>
      <c r="AO2553" s="2"/>
      <c r="AP2553" s="2">
        <v>11</v>
      </c>
      <c r="AQ2553" s="2" t="s">
        <v>82</v>
      </c>
      <c r="AR2553" s="2"/>
      <c r="AS2553" s="2"/>
      <c r="AT2553" s="2" t="s">
        <v>8569</v>
      </c>
      <c r="AU2553" s="2"/>
      <c r="AV2553" s="2"/>
      <c r="AW2553" s="2"/>
      <c r="AX2553" s="2"/>
      <c r="AY2553" s="2">
        <v>41</v>
      </c>
      <c r="AZ2553" s="2" t="s">
        <v>82</v>
      </c>
      <c r="BA2553" s="2">
        <v>41</v>
      </c>
      <c r="BB2553" s="2" t="s">
        <v>82</v>
      </c>
      <c r="BC2553" s="2">
        <v>41</v>
      </c>
      <c r="BD2553" s="2" t="s">
        <v>82</v>
      </c>
      <c r="BE2553" s="2">
        <v>4</v>
      </c>
      <c r="BF2553" s="2" t="s">
        <v>90</v>
      </c>
      <c r="BG2553" s="2">
        <v>4222</v>
      </c>
      <c r="BH2553" s="4">
        <v>0.93402777777777779</v>
      </c>
      <c r="BI2553" s="4">
        <v>0.87152777777777779</v>
      </c>
      <c r="BJ2553" s="2">
        <v>13</v>
      </c>
      <c r="BK2553" s="2" t="s">
        <v>91</v>
      </c>
      <c r="BL2553" s="2" t="s">
        <v>185</v>
      </c>
      <c r="BM2553" s="2">
        <v>241</v>
      </c>
      <c r="BN2553" s="2" t="s">
        <v>82</v>
      </c>
      <c r="BO2553" s="2" t="s">
        <v>82</v>
      </c>
      <c r="BP2553" s="2">
        <v>13</v>
      </c>
      <c r="BQ2553" s="2" t="s">
        <v>91</v>
      </c>
      <c r="BR2553" s="2" t="s">
        <v>169</v>
      </c>
      <c r="BS2553" s="3">
        <v>40347</v>
      </c>
      <c r="BT2553" s="4">
        <v>0.51723379629629629</v>
      </c>
    </row>
    <row r="2554" spans="1:72" x14ac:dyDescent="0.25">
      <c r="A2554" s="2">
        <v>3720</v>
      </c>
      <c r="B2554" s="2">
        <v>2010</v>
      </c>
      <c r="C2554" s="2" t="s">
        <v>819</v>
      </c>
      <c r="D2554" s="2" t="s">
        <v>122</v>
      </c>
      <c r="E2554" s="2"/>
      <c r="F2554" s="2">
        <v>518</v>
      </c>
      <c r="G2554" s="2" t="s">
        <v>4664</v>
      </c>
      <c r="H2554" s="2">
        <v>22</v>
      </c>
      <c r="I2554" s="2" t="s">
        <v>75</v>
      </c>
      <c r="J2554" s="2">
        <v>436</v>
      </c>
      <c r="K2554" s="2" t="s">
        <v>4665</v>
      </c>
      <c r="L2554" s="2" t="s">
        <v>4666</v>
      </c>
      <c r="M2554" s="3">
        <v>40347</v>
      </c>
      <c r="N2554" s="2" t="s">
        <v>4667</v>
      </c>
      <c r="O2554" s="2" t="s">
        <v>8570</v>
      </c>
      <c r="P2554" s="2" t="s">
        <v>8571</v>
      </c>
      <c r="Q2554" s="2" t="str">
        <f>"N/C"</f>
        <v>N/C</v>
      </c>
      <c r="R2554" s="2" t="s">
        <v>82</v>
      </c>
      <c r="S2554" s="2" t="s">
        <v>82</v>
      </c>
      <c r="T2554" s="2">
        <v>1</v>
      </c>
      <c r="U2554" s="2" t="s">
        <v>79</v>
      </c>
      <c r="V2554" s="2">
        <v>3</v>
      </c>
      <c r="W2554" s="2" t="s">
        <v>225</v>
      </c>
      <c r="X2554" s="2">
        <v>5</v>
      </c>
      <c r="Y2554" s="2" t="s">
        <v>82</v>
      </c>
      <c r="Z2554" s="2">
        <v>4</v>
      </c>
      <c r="AA2554" s="2" t="s">
        <v>182</v>
      </c>
      <c r="AB2554" s="2">
        <v>9</v>
      </c>
      <c r="AC2554" s="2" t="s">
        <v>124</v>
      </c>
      <c r="AD2554" s="3">
        <v>40347</v>
      </c>
      <c r="AE2554" s="4">
        <v>0.41666666666666669</v>
      </c>
      <c r="AF2554" s="2"/>
      <c r="AG2554" s="2"/>
      <c r="AH2554" s="2">
        <v>5</v>
      </c>
      <c r="AI2554" s="2" t="s">
        <v>274</v>
      </c>
      <c r="AJ2554" s="2">
        <v>45</v>
      </c>
      <c r="AK2554" s="2" t="s">
        <v>834</v>
      </c>
      <c r="AL2554" s="2">
        <v>19</v>
      </c>
      <c r="AM2554" s="2" t="s">
        <v>107</v>
      </c>
      <c r="AN2554" s="2" t="s">
        <v>82</v>
      </c>
      <c r="AO2554" s="2" t="s">
        <v>82</v>
      </c>
      <c r="AP2554" s="2">
        <v>11</v>
      </c>
      <c r="AQ2554" s="2" t="s">
        <v>82</v>
      </c>
      <c r="AR2554" s="2" t="s">
        <v>82</v>
      </c>
      <c r="AS2554" s="2" t="s">
        <v>82</v>
      </c>
      <c r="AT2554" s="2" t="s">
        <v>8572</v>
      </c>
      <c r="AU2554" s="2"/>
      <c r="AV2554" s="2"/>
      <c r="AW2554" s="2"/>
      <c r="AX2554" s="2"/>
      <c r="AY2554" s="2">
        <v>42</v>
      </c>
      <c r="AZ2554" s="2" t="s">
        <v>182</v>
      </c>
      <c r="BA2554" s="2">
        <v>42</v>
      </c>
      <c r="BB2554" s="2" t="s">
        <v>182</v>
      </c>
      <c r="BC2554" s="2">
        <v>41</v>
      </c>
      <c r="BD2554" s="2" t="s">
        <v>82</v>
      </c>
      <c r="BE2554" s="2">
        <v>41</v>
      </c>
      <c r="BF2554" s="2" t="s">
        <v>82</v>
      </c>
      <c r="BG2554" s="2" t="s">
        <v>82</v>
      </c>
      <c r="BH2554" s="2"/>
      <c r="BI2554" s="2"/>
      <c r="BJ2554" s="2">
        <v>241</v>
      </c>
      <c r="BK2554" s="2" t="s">
        <v>82</v>
      </c>
      <c r="BL2554" s="2" t="s">
        <v>82</v>
      </c>
      <c r="BM2554" s="2">
        <v>241</v>
      </c>
      <c r="BN2554" s="2" t="s">
        <v>82</v>
      </c>
      <c r="BO2554" s="2" t="s">
        <v>82</v>
      </c>
      <c r="BP2554" s="2">
        <v>241</v>
      </c>
      <c r="BQ2554" s="2" t="s">
        <v>82</v>
      </c>
      <c r="BR2554" s="2" t="s">
        <v>82</v>
      </c>
      <c r="BS2554" s="3">
        <v>40347</v>
      </c>
      <c r="BT2554" s="4">
        <v>0.64254629629629634</v>
      </c>
    </row>
    <row r="2555" spans="1:72" x14ac:dyDescent="0.25">
      <c r="A2555" s="2">
        <v>3723</v>
      </c>
      <c r="B2555" s="2">
        <v>2010</v>
      </c>
      <c r="C2555" s="2" t="s">
        <v>385</v>
      </c>
      <c r="D2555" s="2" t="s">
        <v>122</v>
      </c>
      <c r="E2555" s="2"/>
      <c r="F2555" s="2">
        <v>470</v>
      </c>
      <c r="G2555" s="2" t="s">
        <v>2979</v>
      </c>
      <c r="H2555" s="2">
        <v>3</v>
      </c>
      <c r="I2555" s="2" t="s">
        <v>315</v>
      </c>
      <c r="J2555" s="2">
        <v>371</v>
      </c>
      <c r="K2555" s="2" t="s">
        <v>1138</v>
      </c>
      <c r="L2555" s="2" t="s">
        <v>1139</v>
      </c>
      <c r="M2555" s="3">
        <v>40347</v>
      </c>
      <c r="N2555" s="2" t="s">
        <v>5686</v>
      </c>
      <c r="O2555" s="2" t="s">
        <v>8573</v>
      </c>
      <c r="P2555" s="2" t="s">
        <v>8574</v>
      </c>
      <c r="Q2555" s="2" t="str">
        <f>"067/10"</f>
        <v>067/10</v>
      </c>
      <c r="R2555" s="2"/>
      <c r="S2555" s="2"/>
      <c r="T2555" s="2">
        <v>1</v>
      </c>
      <c r="U2555" s="2" t="s">
        <v>79</v>
      </c>
      <c r="V2555" s="2">
        <v>1</v>
      </c>
      <c r="W2555" s="2" t="s">
        <v>80</v>
      </c>
      <c r="X2555" s="2">
        <v>5</v>
      </c>
      <c r="Y2555" s="2" t="s">
        <v>82</v>
      </c>
      <c r="Z2555" s="2">
        <v>1</v>
      </c>
      <c r="AA2555" s="2" t="s">
        <v>82</v>
      </c>
      <c r="AB2555" s="2">
        <v>9</v>
      </c>
      <c r="AC2555" s="2" t="s">
        <v>124</v>
      </c>
      <c r="AD2555" s="3">
        <v>40347</v>
      </c>
      <c r="AE2555" s="4">
        <v>0.41666666666666669</v>
      </c>
      <c r="AF2555" s="2"/>
      <c r="AG2555" s="2"/>
      <c r="AH2555" s="2">
        <v>5</v>
      </c>
      <c r="AI2555" s="2" t="s">
        <v>274</v>
      </c>
      <c r="AJ2555" s="2">
        <v>38</v>
      </c>
      <c r="AK2555" s="2" t="s">
        <v>1120</v>
      </c>
      <c r="AL2555" s="2">
        <v>23</v>
      </c>
      <c r="AM2555" s="2" t="s">
        <v>251</v>
      </c>
      <c r="AN2555" s="2"/>
      <c r="AO2555" s="2"/>
      <c r="AP2555" s="2">
        <v>11</v>
      </c>
      <c r="AQ2555" s="2" t="s">
        <v>82</v>
      </c>
      <c r="AR2555" s="2"/>
      <c r="AS2555" s="2"/>
      <c r="AT2555" s="2" t="s">
        <v>8575</v>
      </c>
      <c r="AU2555" s="2">
        <v>1</v>
      </c>
      <c r="AV2555" s="2"/>
      <c r="AW2555" s="2"/>
      <c r="AX2555" s="2"/>
      <c r="AY2555" s="2">
        <v>1</v>
      </c>
      <c r="AZ2555" s="2" t="s">
        <v>107</v>
      </c>
      <c r="BA2555" s="2">
        <v>1</v>
      </c>
      <c r="BB2555" s="2" t="s">
        <v>107</v>
      </c>
      <c r="BC2555" s="2">
        <v>1</v>
      </c>
      <c r="BD2555" s="2" t="s">
        <v>107</v>
      </c>
      <c r="BE2555" s="2">
        <v>1</v>
      </c>
      <c r="BF2555" s="2" t="s">
        <v>107</v>
      </c>
      <c r="BG2555" s="2"/>
      <c r="BH2555" s="2"/>
      <c r="BI2555" s="2"/>
      <c r="BJ2555" s="2">
        <v>242</v>
      </c>
      <c r="BK2555" s="2" t="s">
        <v>107</v>
      </c>
      <c r="BL2555" s="2"/>
      <c r="BM2555" s="2">
        <v>242</v>
      </c>
      <c r="BN2555" s="2" t="s">
        <v>107</v>
      </c>
      <c r="BO2555" s="2"/>
      <c r="BP2555" s="2">
        <v>242</v>
      </c>
      <c r="BQ2555" s="2" t="s">
        <v>107</v>
      </c>
      <c r="BR2555" s="2"/>
      <c r="BS2555" s="3">
        <v>40347</v>
      </c>
      <c r="BT2555" s="4">
        <v>0.71609953703703699</v>
      </c>
    </row>
    <row r="2556" spans="1:72" x14ac:dyDescent="0.25">
      <c r="A2556" s="2">
        <v>3724</v>
      </c>
      <c r="B2556" s="2">
        <v>2010</v>
      </c>
      <c r="C2556" s="2" t="s">
        <v>72</v>
      </c>
      <c r="D2556" s="2" t="s">
        <v>73</v>
      </c>
      <c r="E2556" s="2"/>
      <c r="F2556" s="2">
        <v>642</v>
      </c>
      <c r="G2556" s="2" t="s">
        <v>8576</v>
      </c>
      <c r="H2556" s="2">
        <v>22</v>
      </c>
      <c r="I2556" s="2" t="s">
        <v>75</v>
      </c>
      <c r="J2556" s="2">
        <v>590</v>
      </c>
      <c r="K2556" s="2" t="s">
        <v>8577</v>
      </c>
      <c r="L2556" s="2" t="s">
        <v>7265</v>
      </c>
      <c r="M2556" s="3">
        <v>40347</v>
      </c>
      <c r="N2556" s="2" t="s">
        <v>8578</v>
      </c>
      <c r="O2556" s="2" t="s">
        <v>107</v>
      </c>
      <c r="P2556" s="2" t="s">
        <v>107</v>
      </c>
      <c r="Q2556" s="2" t="str">
        <f>"215-A/10"</f>
        <v>215-A/10</v>
      </c>
      <c r="R2556" s="2" t="s">
        <v>1547</v>
      </c>
      <c r="S2556" s="2" t="s">
        <v>1547</v>
      </c>
      <c r="T2556" s="2">
        <v>1</v>
      </c>
      <c r="U2556" s="2" t="s">
        <v>79</v>
      </c>
      <c r="V2556" s="2">
        <v>1</v>
      </c>
      <c r="W2556" s="2" t="s">
        <v>80</v>
      </c>
      <c r="X2556" s="2">
        <v>12</v>
      </c>
      <c r="Y2556" s="2" t="s">
        <v>148</v>
      </c>
      <c r="Z2556" s="2">
        <v>1</v>
      </c>
      <c r="AA2556" s="2" t="s">
        <v>82</v>
      </c>
      <c r="AB2556" s="2">
        <v>6</v>
      </c>
      <c r="AC2556" s="2" t="s">
        <v>83</v>
      </c>
      <c r="AD2556" s="3">
        <v>40347</v>
      </c>
      <c r="AE2556" s="2"/>
      <c r="AF2556" s="3">
        <v>40347</v>
      </c>
      <c r="AG2556" s="4">
        <v>0.52430555555555558</v>
      </c>
      <c r="AH2556" s="2">
        <v>2</v>
      </c>
      <c r="AI2556" s="2" t="s">
        <v>84</v>
      </c>
      <c r="AJ2556" s="2">
        <v>12</v>
      </c>
      <c r="AK2556" s="2" t="s">
        <v>85</v>
      </c>
      <c r="AL2556" s="2">
        <v>17</v>
      </c>
      <c r="AM2556" s="2" t="s">
        <v>232</v>
      </c>
      <c r="AN2556" s="2"/>
      <c r="AO2556" s="2" t="s">
        <v>8579</v>
      </c>
      <c r="AP2556" s="2">
        <v>11</v>
      </c>
      <c r="AQ2556" s="2" t="s">
        <v>82</v>
      </c>
      <c r="AR2556" s="2"/>
      <c r="AS2556" s="2"/>
      <c r="AT2556" s="2" t="s">
        <v>8580</v>
      </c>
      <c r="AU2556" s="2"/>
      <c r="AV2556" s="2"/>
      <c r="AW2556" s="2"/>
      <c r="AX2556" s="2"/>
      <c r="AY2556" s="2">
        <v>41</v>
      </c>
      <c r="AZ2556" s="2" t="s">
        <v>82</v>
      </c>
      <c r="BA2556" s="2">
        <v>41</v>
      </c>
      <c r="BB2556" s="2" t="s">
        <v>82</v>
      </c>
      <c r="BC2556" s="2">
        <v>41</v>
      </c>
      <c r="BD2556" s="2" t="s">
        <v>82</v>
      </c>
      <c r="BE2556" s="2">
        <v>41</v>
      </c>
      <c r="BF2556" s="2" t="s">
        <v>82</v>
      </c>
      <c r="BG2556" s="2"/>
      <c r="BH2556" s="2"/>
      <c r="BI2556" s="2"/>
      <c r="BJ2556" s="2">
        <v>241</v>
      </c>
      <c r="BK2556" s="2" t="s">
        <v>82</v>
      </c>
      <c r="BL2556" s="2"/>
      <c r="BM2556" s="2">
        <v>241</v>
      </c>
      <c r="BN2556" s="2" t="s">
        <v>82</v>
      </c>
      <c r="BO2556" s="2"/>
      <c r="BP2556" s="2">
        <v>241</v>
      </c>
      <c r="BQ2556" s="2" t="s">
        <v>82</v>
      </c>
      <c r="BR2556" s="2"/>
      <c r="BS2556" s="3">
        <v>40347</v>
      </c>
      <c r="BT2556" s="4">
        <v>0.74656250000000002</v>
      </c>
    </row>
    <row r="2557" spans="1:72" x14ac:dyDescent="0.25">
      <c r="A2557" s="2">
        <v>3727</v>
      </c>
      <c r="B2557" s="2">
        <v>2010</v>
      </c>
      <c r="C2557" s="2" t="s">
        <v>147</v>
      </c>
      <c r="D2557" s="2" t="s">
        <v>73</v>
      </c>
      <c r="E2557" s="2"/>
      <c r="F2557" s="2">
        <v>1</v>
      </c>
      <c r="G2557" s="2" t="s">
        <v>82</v>
      </c>
      <c r="H2557" s="2">
        <v>1</v>
      </c>
      <c r="I2557" s="2" t="s">
        <v>82</v>
      </c>
      <c r="J2557" s="2">
        <v>1</v>
      </c>
      <c r="K2557" s="2" t="s">
        <v>107</v>
      </c>
      <c r="L2557" s="2" t="s">
        <v>107</v>
      </c>
      <c r="M2557" s="3">
        <v>40347</v>
      </c>
      <c r="N2557" s="2"/>
      <c r="O2557" s="2"/>
      <c r="P2557" s="2"/>
      <c r="Q2557" s="2" t="str">
        <f>""</f>
        <v/>
      </c>
      <c r="R2557" s="2"/>
      <c r="S2557" s="2"/>
      <c r="T2557" s="2">
        <v>2</v>
      </c>
      <c r="U2557" s="2" t="s">
        <v>123</v>
      </c>
      <c r="V2557" s="2">
        <v>1</v>
      </c>
      <c r="W2557" s="2" t="s">
        <v>80</v>
      </c>
      <c r="X2557" s="2">
        <v>12</v>
      </c>
      <c r="Y2557" s="2" t="s">
        <v>148</v>
      </c>
      <c r="Z2557" s="2">
        <v>1</v>
      </c>
      <c r="AA2557" s="2" t="s">
        <v>82</v>
      </c>
      <c r="AB2557" s="2">
        <v>9</v>
      </c>
      <c r="AC2557" s="2" t="s">
        <v>124</v>
      </c>
      <c r="AD2557" s="3">
        <v>40347</v>
      </c>
      <c r="AE2557" s="4">
        <v>0.54166666666666663</v>
      </c>
      <c r="AF2557" s="3">
        <v>40347</v>
      </c>
      <c r="AG2557" s="4">
        <v>0.67708333333333337</v>
      </c>
      <c r="AH2557" s="2">
        <v>3</v>
      </c>
      <c r="AI2557" s="2" t="s">
        <v>214</v>
      </c>
      <c r="AJ2557" s="2">
        <v>17</v>
      </c>
      <c r="AK2557" s="2" t="s">
        <v>309</v>
      </c>
      <c r="AL2557" s="2">
        <v>10</v>
      </c>
      <c r="AM2557" s="2" t="s">
        <v>200</v>
      </c>
      <c r="AN2557" s="2" t="s">
        <v>230</v>
      </c>
      <c r="AO2557" s="2"/>
      <c r="AP2557" s="2">
        <v>11</v>
      </c>
      <c r="AQ2557" s="2" t="s">
        <v>82</v>
      </c>
      <c r="AR2557" s="2" t="s">
        <v>82</v>
      </c>
      <c r="AS2557" s="2" t="s">
        <v>82</v>
      </c>
      <c r="AT2557" s="2" t="s">
        <v>8581</v>
      </c>
      <c r="AU2557" s="2"/>
      <c r="AV2557" s="2"/>
      <c r="AW2557" s="2"/>
      <c r="AX2557" s="2"/>
      <c r="AY2557" s="2">
        <v>70</v>
      </c>
      <c r="AZ2557" s="2" t="s">
        <v>236</v>
      </c>
      <c r="BA2557" s="2">
        <v>41</v>
      </c>
      <c r="BB2557" s="2" t="s">
        <v>82</v>
      </c>
      <c r="BC2557" s="2">
        <v>41</v>
      </c>
      <c r="BD2557" s="2" t="s">
        <v>82</v>
      </c>
      <c r="BE2557" s="2">
        <v>41</v>
      </c>
      <c r="BF2557" s="2" t="s">
        <v>82</v>
      </c>
      <c r="BG2557" s="2" t="s">
        <v>82</v>
      </c>
      <c r="BH2557" s="2"/>
      <c r="BI2557" s="2"/>
      <c r="BJ2557" s="2">
        <v>241</v>
      </c>
      <c r="BK2557" s="2" t="s">
        <v>82</v>
      </c>
      <c r="BL2557" s="2" t="s">
        <v>82</v>
      </c>
      <c r="BM2557" s="2">
        <v>241</v>
      </c>
      <c r="BN2557" s="2" t="s">
        <v>82</v>
      </c>
      <c r="BO2557" s="2" t="s">
        <v>82</v>
      </c>
      <c r="BP2557" s="2">
        <v>241</v>
      </c>
      <c r="BQ2557" s="2" t="s">
        <v>82</v>
      </c>
      <c r="BR2557" s="2" t="s">
        <v>82</v>
      </c>
      <c r="BS2557" s="3">
        <v>40347</v>
      </c>
      <c r="BT2557" s="4">
        <v>0.76244212962962965</v>
      </c>
    </row>
    <row r="2558" spans="1:72" x14ac:dyDescent="0.25">
      <c r="A2558" s="2">
        <v>3729</v>
      </c>
      <c r="B2558" s="2">
        <v>2010</v>
      </c>
      <c r="C2558" s="2" t="s">
        <v>72</v>
      </c>
      <c r="D2558" s="2" t="s">
        <v>73</v>
      </c>
      <c r="E2558" s="2"/>
      <c r="F2558" s="2">
        <v>106</v>
      </c>
      <c r="G2558" s="2" t="s">
        <v>7444</v>
      </c>
      <c r="H2558" s="2">
        <v>99</v>
      </c>
      <c r="I2558" s="2" t="s">
        <v>6285</v>
      </c>
      <c r="J2558" s="2">
        <v>126</v>
      </c>
      <c r="K2558" s="2" t="s">
        <v>7445</v>
      </c>
      <c r="L2558" s="2" t="s">
        <v>7446</v>
      </c>
      <c r="M2558" s="3">
        <v>40347</v>
      </c>
      <c r="N2558" s="2" t="s">
        <v>8582</v>
      </c>
      <c r="O2558" s="2"/>
      <c r="P2558" s="2"/>
      <c r="Q2558" s="2" t="str">
        <f>"002/2010"</f>
        <v>002/2010</v>
      </c>
      <c r="R2558" s="2"/>
      <c r="S2558" s="2" t="s">
        <v>8583</v>
      </c>
      <c r="T2558" s="2">
        <v>1</v>
      </c>
      <c r="U2558" s="2" t="s">
        <v>79</v>
      </c>
      <c r="V2558" s="2">
        <v>1</v>
      </c>
      <c r="W2558" s="2" t="s">
        <v>80</v>
      </c>
      <c r="X2558" s="2">
        <v>12</v>
      </c>
      <c r="Y2558" s="2" t="s">
        <v>148</v>
      </c>
      <c r="Z2558" s="2">
        <v>1</v>
      </c>
      <c r="AA2558" s="2" t="s">
        <v>82</v>
      </c>
      <c r="AB2558" s="2">
        <v>6</v>
      </c>
      <c r="AC2558" s="2" t="s">
        <v>83</v>
      </c>
      <c r="AD2558" s="3">
        <v>40347</v>
      </c>
      <c r="AE2558" s="2"/>
      <c r="AF2558" s="3">
        <v>40347</v>
      </c>
      <c r="AG2558" s="4">
        <v>0.62777777777777777</v>
      </c>
      <c r="AH2558" s="2">
        <v>6</v>
      </c>
      <c r="AI2558" s="2" t="s">
        <v>197</v>
      </c>
      <c r="AJ2558" s="2">
        <v>56</v>
      </c>
      <c r="AK2558" s="2" t="s">
        <v>7719</v>
      </c>
      <c r="AL2558" s="2">
        <v>22</v>
      </c>
      <c r="AM2558" s="2" t="s">
        <v>1853</v>
      </c>
      <c r="AN2558" s="2"/>
      <c r="AO2558" s="2" t="s">
        <v>179</v>
      </c>
      <c r="AP2558" s="2">
        <v>11</v>
      </c>
      <c r="AQ2558" s="2" t="s">
        <v>82</v>
      </c>
      <c r="AR2558" s="2"/>
      <c r="AS2558" s="2"/>
      <c r="AT2558" s="2" t="s">
        <v>8584</v>
      </c>
      <c r="AU2558" s="2"/>
      <c r="AV2558" s="2"/>
      <c r="AW2558" s="2"/>
      <c r="AX2558" s="2"/>
      <c r="AY2558" s="2">
        <v>41</v>
      </c>
      <c r="AZ2558" s="2" t="s">
        <v>82</v>
      </c>
      <c r="BA2558" s="2">
        <v>41</v>
      </c>
      <c r="BB2558" s="2" t="s">
        <v>82</v>
      </c>
      <c r="BC2558" s="2">
        <v>41</v>
      </c>
      <c r="BD2558" s="2" t="s">
        <v>82</v>
      </c>
      <c r="BE2558" s="2">
        <v>48</v>
      </c>
      <c r="BF2558" s="2" t="s">
        <v>1123</v>
      </c>
      <c r="BG2558" s="2">
        <v>864</v>
      </c>
      <c r="BH2558" s="4">
        <v>0.59027777777777779</v>
      </c>
      <c r="BI2558" s="4">
        <v>0.625</v>
      </c>
      <c r="BJ2558" s="2">
        <v>13</v>
      </c>
      <c r="BK2558" s="2" t="s">
        <v>91</v>
      </c>
      <c r="BL2558" s="2" t="s">
        <v>170</v>
      </c>
      <c r="BM2558" s="2">
        <v>241</v>
      </c>
      <c r="BN2558" s="2" t="s">
        <v>82</v>
      </c>
      <c r="BO2558" s="2"/>
      <c r="BP2558" s="2">
        <v>13</v>
      </c>
      <c r="BQ2558" s="2" t="s">
        <v>91</v>
      </c>
      <c r="BR2558" s="2" t="s">
        <v>8585</v>
      </c>
      <c r="BS2558" s="3">
        <v>40347</v>
      </c>
      <c r="BT2558" s="4">
        <v>0.81239583333333332</v>
      </c>
    </row>
    <row r="2559" spans="1:72" x14ac:dyDescent="0.25">
      <c r="A2559" s="2">
        <v>3730</v>
      </c>
      <c r="B2559" s="2">
        <v>2010</v>
      </c>
      <c r="C2559" s="2" t="s">
        <v>171</v>
      </c>
      <c r="D2559" s="2" t="s">
        <v>73</v>
      </c>
      <c r="E2559" s="2"/>
      <c r="F2559" s="2">
        <v>499</v>
      </c>
      <c r="G2559" s="2" t="s">
        <v>2177</v>
      </c>
      <c r="H2559" s="2">
        <v>6</v>
      </c>
      <c r="I2559" s="2" t="s">
        <v>1088</v>
      </c>
      <c r="J2559" s="2">
        <v>165</v>
      </c>
      <c r="K2559" s="2" t="s">
        <v>8586</v>
      </c>
      <c r="L2559" s="2" t="s">
        <v>8587</v>
      </c>
      <c r="M2559" s="3">
        <v>40347</v>
      </c>
      <c r="N2559" s="2" t="s">
        <v>8588</v>
      </c>
      <c r="O2559" s="2" t="s">
        <v>107</v>
      </c>
      <c r="P2559" s="2" t="s">
        <v>107</v>
      </c>
      <c r="Q2559" s="2" t="str">
        <f>"216-A/10"</f>
        <v>216-A/10</v>
      </c>
      <c r="R2559" s="2" t="s">
        <v>107</v>
      </c>
      <c r="S2559" s="2" t="s">
        <v>489</v>
      </c>
      <c r="T2559" s="2">
        <v>1</v>
      </c>
      <c r="U2559" s="2" t="s">
        <v>79</v>
      </c>
      <c r="V2559" s="2">
        <v>1</v>
      </c>
      <c r="W2559" s="2" t="s">
        <v>80</v>
      </c>
      <c r="X2559" s="2">
        <v>1</v>
      </c>
      <c r="Y2559" s="2" t="s">
        <v>81</v>
      </c>
      <c r="Z2559" s="2">
        <v>1</v>
      </c>
      <c r="AA2559" s="2" t="s">
        <v>82</v>
      </c>
      <c r="AB2559" s="2">
        <v>1</v>
      </c>
      <c r="AC2559" s="2" t="s">
        <v>178</v>
      </c>
      <c r="AD2559" s="3">
        <v>40347</v>
      </c>
      <c r="AE2559" s="4">
        <v>0.52083333333333337</v>
      </c>
      <c r="AF2559" s="2"/>
      <c r="AG2559" s="2"/>
      <c r="AH2559" s="2">
        <v>2</v>
      </c>
      <c r="AI2559" s="2" t="s">
        <v>84</v>
      </c>
      <c r="AJ2559" s="2">
        <v>12</v>
      </c>
      <c r="AK2559" s="2" t="s">
        <v>85</v>
      </c>
      <c r="AL2559" s="2">
        <v>11</v>
      </c>
      <c r="AM2559" s="2" t="s">
        <v>137</v>
      </c>
      <c r="AN2559" s="2" t="s">
        <v>919</v>
      </c>
      <c r="AO2559" s="2" t="s">
        <v>1059</v>
      </c>
      <c r="AP2559" s="2">
        <v>11</v>
      </c>
      <c r="AQ2559" s="2" t="s">
        <v>82</v>
      </c>
      <c r="AR2559" s="2"/>
      <c r="AS2559" s="2"/>
      <c r="AT2559" s="2" t="s">
        <v>8589</v>
      </c>
      <c r="AU2559" s="2">
        <v>1</v>
      </c>
      <c r="AV2559" s="2"/>
      <c r="AW2559" s="2"/>
      <c r="AX2559" s="2"/>
      <c r="AY2559" s="2">
        <v>41</v>
      </c>
      <c r="AZ2559" s="2" t="s">
        <v>82</v>
      </c>
      <c r="BA2559" s="2">
        <v>41</v>
      </c>
      <c r="BB2559" s="2" t="s">
        <v>82</v>
      </c>
      <c r="BC2559" s="2">
        <v>41</v>
      </c>
      <c r="BD2559" s="2" t="s">
        <v>82</v>
      </c>
      <c r="BE2559" s="2">
        <v>13</v>
      </c>
      <c r="BF2559" s="2" t="s">
        <v>108</v>
      </c>
      <c r="BG2559" s="2" t="s">
        <v>6372</v>
      </c>
      <c r="BH2559" s="4">
        <v>0.59027777777777779</v>
      </c>
      <c r="BI2559" s="4">
        <v>0.54513888888888895</v>
      </c>
      <c r="BJ2559" s="2">
        <v>13</v>
      </c>
      <c r="BK2559" s="2" t="s">
        <v>91</v>
      </c>
      <c r="BL2559" s="2" t="s">
        <v>8590</v>
      </c>
      <c r="BM2559" s="2">
        <v>241</v>
      </c>
      <c r="BN2559" s="2" t="s">
        <v>82</v>
      </c>
      <c r="BO2559" s="2"/>
      <c r="BP2559" s="2">
        <v>229</v>
      </c>
      <c r="BQ2559" s="2" t="s">
        <v>300</v>
      </c>
      <c r="BR2559" s="2" t="s">
        <v>573</v>
      </c>
      <c r="BS2559" s="3">
        <v>40347</v>
      </c>
      <c r="BT2559" s="4">
        <v>0.82945601851851858</v>
      </c>
    </row>
    <row r="2560" spans="1:72" x14ac:dyDescent="0.25">
      <c r="A2560" s="2">
        <v>3731</v>
      </c>
      <c r="B2560" s="2">
        <v>2010</v>
      </c>
      <c r="C2560" s="2" t="s">
        <v>377</v>
      </c>
      <c r="D2560" s="2" t="s">
        <v>73</v>
      </c>
      <c r="E2560" s="2"/>
      <c r="F2560" s="2">
        <v>426</v>
      </c>
      <c r="G2560" s="2" t="s">
        <v>378</v>
      </c>
      <c r="H2560" s="2">
        <v>108</v>
      </c>
      <c r="I2560" s="2" t="s">
        <v>1096</v>
      </c>
      <c r="J2560" s="2">
        <v>311</v>
      </c>
      <c r="K2560" s="2" t="s">
        <v>379</v>
      </c>
      <c r="L2560" s="2" t="s">
        <v>380</v>
      </c>
      <c r="M2560" s="3">
        <v>40347</v>
      </c>
      <c r="N2560" s="2" t="s">
        <v>4007</v>
      </c>
      <c r="O2560" s="2"/>
      <c r="P2560" s="2"/>
      <c r="Q2560" s="2" t="str">
        <f>"127-C/10"</f>
        <v>127-C/10</v>
      </c>
      <c r="R2560" s="2" t="s">
        <v>3458</v>
      </c>
      <c r="S2560" s="2"/>
      <c r="T2560" s="2">
        <v>1</v>
      </c>
      <c r="U2560" s="2" t="s">
        <v>79</v>
      </c>
      <c r="V2560" s="2">
        <v>1</v>
      </c>
      <c r="W2560" s="2" t="s">
        <v>80</v>
      </c>
      <c r="X2560" s="2">
        <v>1</v>
      </c>
      <c r="Y2560" s="2" t="s">
        <v>81</v>
      </c>
      <c r="Z2560" s="2">
        <v>1</v>
      </c>
      <c r="AA2560" s="2" t="s">
        <v>82</v>
      </c>
      <c r="AB2560" s="2">
        <v>9</v>
      </c>
      <c r="AC2560" s="2" t="s">
        <v>124</v>
      </c>
      <c r="AD2560" s="3">
        <v>40347</v>
      </c>
      <c r="AE2560" s="4">
        <v>0.42708333333333331</v>
      </c>
      <c r="AF2560" s="2"/>
      <c r="AG2560" s="2"/>
      <c r="AH2560" s="2">
        <v>2</v>
      </c>
      <c r="AI2560" s="2" t="s">
        <v>84</v>
      </c>
      <c r="AJ2560" s="2">
        <v>9</v>
      </c>
      <c r="AK2560" s="2" t="s">
        <v>103</v>
      </c>
      <c r="AL2560" s="2">
        <v>29</v>
      </c>
      <c r="AM2560" s="2" t="s">
        <v>5416</v>
      </c>
      <c r="AN2560" s="2"/>
      <c r="AO2560" s="2" t="s">
        <v>6587</v>
      </c>
      <c r="AP2560" s="2">
        <v>11</v>
      </c>
      <c r="AQ2560" s="2" t="s">
        <v>82</v>
      </c>
      <c r="AR2560" s="2"/>
      <c r="AS2560" s="2"/>
      <c r="AT2560" s="2" t="s">
        <v>8591</v>
      </c>
      <c r="AU2560" s="2"/>
      <c r="AV2560" s="2"/>
      <c r="AW2560" s="2"/>
      <c r="AX2560" s="2"/>
      <c r="AY2560" s="2">
        <v>41</v>
      </c>
      <c r="AZ2560" s="2" t="s">
        <v>82</v>
      </c>
      <c r="BA2560" s="2">
        <v>41</v>
      </c>
      <c r="BB2560" s="2" t="s">
        <v>82</v>
      </c>
      <c r="BC2560" s="2">
        <v>41</v>
      </c>
      <c r="BD2560" s="2" t="s">
        <v>82</v>
      </c>
      <c r="BE2560" s="2">
        <v>41</v>
      </c>
      <c r="BF2560" s="2" t="s">
        <v>82</v>
      </c>
      <c r="BG2560" s="2"/>
      <c r="BH2560" s="2"/>
      <c r="BI2560" s="2"/>
      <c r="BJ2560" s="2">
        <v>241</v>
      </c>
      <c r="BK2560" s="2" t="s">
        <v>82</v>
      </c>
      <c r="BL2560" s="2"/>
      <c r="BM2560" s="2">
        <v>241</v>
      </c>
      <c r="BN2560" s="2" t="s">
        <v>82</v>
      </c>
      <c r="BO2560" s="2"/>
      <c r="BP2560" s="2">
        <v>241</v>
      </c>
      <c r="BQ2560" s="2" t="s">
        <v>82</v>
      </c>
      <c r="BR2560" s="2"/>
      <c r="BS2560" s="3">
        <v>40347</v>
      </c>
      <c r="BT2560" s="4">
        <v>0.86888888888888882</v>
      </c>
    </row>
    <row r="2561" spans="1:72" x14ac:dyDescent="0.25">
      <c r="A2561" s="2">
        <v>3732</v>
      </c>
      <c r="B2561" s="2">
        <v>2010</v>
      </c>
      <c r="C2561" s="2" t="s">
        <v>377</v>
      </c>
      <c r="D2561" s="2" t="s">
        <v>73</v>
      </c>
      <c r="E2561" s="2"/>
      <c r="F2561" s="2">
        <v>426</v>
      </c>
      <c r="G2561" s="2" t="s">
        <v>378</v>
      </c>
      <c r="H2561" s="2">
        <v>42</v>
      </c>
      <c r="I2561" s="2" t="s">
        <v>1096</v>
      </c>
      <c r="J2561" s="2">
        <v>311</v>
      </c>
      <c r="K2561" s="2" t="s">
        <v>379</v>
      </c>
      <c r="L2561" s="2" t="s">
        <v>380</v>
      </c>
      <c r="M2561" s="3">
        <v>40347</v>
      </c>
      <c r="N2561" s="2" t="s">
        <v>4007</v>
      </c>
      <c r="O2561" s="2"/>
      <c r="P2561" s="2"/>
      <c r="Q2561" s="2" t="str">
        <f>"128-C/10"</f>
        <v>128-C/10</v>
      </c>
      <c r="R2561" s="2" t="s">
        <v>3458</v>
      </c>
      <c r="S2561" s="2"/>
      <c r="T2561" s="2">
        <v>1</v>
      </c>
      <c r="U2561" s="2" t="s">
        <v>79</v>
      </c>
      <c r="V2561" s="2">
        <v>1</v>
      </c>
      <c r="W2561" s="2" t="s">
        <v>80</v>
      </c>
      <c r="X2561" s="2">
        <v>1</v>
      </c>
      <c r="Y2561" s="2" t="s">
        <v>81</v>
      </c>
      <c r="Z2561" s="2">
        <v>1</v>
      </c>
      <c r="AA2561" s="2" t="s">
        <v>82</v>
      </c>
      <c r="AB2561" s="2">
        <v>9</v>
      </c>
      <c r="AC2561" s="2" t="s">
        <v>124</v>
      </c>
      <c r="AD2561" s="3">
        <v>40347</v>
      </c>
      <c r="AE2561" s="4">
        <v>0.61805555555555558</v>
      </c>
      <c r="AF2561" s="2"/>
      <c r="AG2561" s="2"/>
      <c r="AH2561" s="2">
        <v>2</v>
      </c>
      <c r="AI2561" s="2" t="s">
        <v>84</v>
      </c>
      <c r="AJ2561" s="2">
        <v>9</v>
      </c>
      <c r="AK2561" s="2" t="s">
        <v>103</v>
      </c>
      <c r="AL2561" s="2">
        <v>29</v>
      </c>
      <c r="AM2561" s="2" t="s">
        <v>5416</v>
      </c>
      <c r="AN2561" s="2"/>
      <c r="AO2561" s="2" t="s">
        <v>3166</v>
      </c>
      <c r="AP2561" s="2">
        <v>11</v>
      </c>
      <c r="AQ2561" s="2" t="s">
        <v>82</v>
      </c>
      <c r="AR2561" s="2"/>
      <c r="AS2561" s="2"/>
      <c r="AT2561" s="2" t="s">
        <v>8592</v>
      </c>
      <c r="AU2561" s="2"/>
      <c r="AV2561" s="2"/>
      <c r="AW2561" s="2"/>
      <c r="AX2561" s="2"/>
      <c r="AY2561" s="2">
        <v>41</v>
      </c>
      <c r="AZ2561" s="2" t="s">
        <v>82</v>
      </c>
      <c r="BA2561" s="2">
        <v>41</v>
      </c>
      <c r="BB2561" s="2" t="s">
        <v>82</v>
      </c>
      <c r="BC2561" s="2">
        <v>41</v>
      </c>
      <c r="BD2561" s="2" t="s">
        <v>82</v>
      </c>
      <c r="BE2561" s="2">
        <v>41</v>
      </c>
      <c r="BF2561" s="2" t="s">
        <v>82</v>
      </c>
      <c r="BG2561" s="2"/>
      <c r="BH2561" s="2"/>
      <c r="BI2561" s="2"/>
      <c r="BJ2561" s="2">
        <v>241</v>
      </c>
      <c r="BK2561" s="2" t="s">
        <v>82</v>
      </c>
      <c r="BL2561" s="2"/>
      <c r="BM2561" s="2">
        <v>241</v>
      </c>
      <c r="BN2561" s="2" t="s">
        <v>82</v>
      </c>
      <c r="BO2561" s="2"/>
      <c r="BP2561" s="2">
        <v>241</v>
      </c>
      <c r="BQ2561" s="2" t="s">
        <v>82</v>
      </c>
      <c r="BR2561" s="2"/>
      <c r="BS2561" s="3">
        <v>40347</v>
      </c>
      <c r="BT2561" s="4">
        <v>0.88459490740740743</v>
      </c>
    </row>
    <row r="2562" spans="1:72" x14ac:dyDescent="0.25">
      <c r="A2562" s="2">
        <v>3733</v>
      </c>
      <c r="B2562" s="2">
        <v>2010</v>
      </c>
      <c r="C2562" s="2" t="s">
        <v>377</v>
      </c>
      <c r="D2562" s="2" t="s">
        <v>73</v>
      </c>
      <c r="E2562" s="2"/>
      <c r="F2562" s="2">
        <v>426</v>
      </c>
      <c r="G2562" s="2" t="s">
        <v>378</v>
      </c>
      <c r="H2562" s="2">
        <v>108</v>
      </c>
      <c r="I2562" s="2" t="s">
        <v>1096</v>
      </c>
      <c r="J2562" s="2">
        <v>311</v>
      </c>
      <c r="K2562" s="2" t="s">
        <v>379</v>
      </c>
      <c r="L2562" s="2" t="s">
        <v>380</v>
      </c>
      <c r="M2562" s="3">
        <v>40347</v>
      </c>
      <c r="N2562" s="2" t="s">
        <v>4007</v>
      </c>
      <c r="O2562" s="2"/>
      <c r="P2562" s="2"/>
      <c r="Q2562" s="2" t="str">
        <f>"129-C/10"</f>
        <v>129-C/10</v>
      </c>
      <c r="R2562" s="2" t="s">
        <v>5997</v>
      </c>
      <c r="S2562" s="2"/>
      <c r="T2562" s="2">
        <v>1</v>
      </c>
      <c r="U2562" s="2" t="s">
        <v>79</v>
      </c>
      <c r="V2562" s="2">
        <v>1</v>
      </c>
      <c r="W2562" s="2" t="s">
        <v>80</v>
      </c>
      <c r="X2562" s="2">
        <v>1</v>
      </c>
      <c r="Y2562" s="2" t="s">
        <v>81</v>
      </c>
      <c r="Z2562" s="2">
        <v>1</v>
      </c>
      <c r="AA2562" s="2" t="s">
        <v>82</v>
      </c>
      <c r="AB2562" s="2">
        <v>9</v>
      </c>
      <c r="AC2562" s="2" t="s">
        <v>124</v>
      </c>
      <c r="AD2562" s="3">
        <v>40347</v>
      </c>
      <c r="AE2562" s="4">
        <v>0.63888888888888895</v>
      </c>
      <c r="AF2562" s="2"/>
      <c r="AG2562" s="2"/>
      <c r="AH2562" s="2">
        <v>2</v>
      </c>
      <c r="AI2562" s="2" t="s">
        <v>84</v>
      </c>
      <c r="AJ2562" s="2">
        <v>9</v>
      </c>
      <c r="AK2562" s="2" t="s">
        <v>103</v>
      </c>
      <c r="AL2562" s="2">
        <v>12</v>
      </c>
      <c r="AM2562" s="2" t="s">
        <v>86</v>
      </c>
      <c r="AN2562" s="2"/>
      <c r="AO2562" s="2" t="s">
        <v>8593</v>
      </c>
      <c r="AP2562" s="2">
        <v>11</v>
      </c>
      <c r="AQ2562" s="2" t="s">
        <v>82</v>
      </c>
      <c r="AR2562" s="2"/>
      <c r="AS2562" s="2"/>
      <c r="AT2562" s="2" t="s">
        <v>8594</v>
      </c>
      <c r="AU2562" s="2"/>
      <c r="AV2562" s="2"/>
      <c r="AW2562" s="2"/>
      <c r="AX2562" s="2"/>
      <c r="AY2562" s="2">
        <v>41</v>
      </c>
      <c r="AZ2562" s="2" t="s">
        <v>82</v>
      </c>
      <c r="BA2562" s="2">
        <v>41</v>
      </c>
      <c r="BB2562" s="2" t="s">
        <v>82</v>
      </c>
      <c r="BC2562" s="2">
        <v>41</v>
      </c>
      <c r="BD2562" s="2" t="s">
        <v>82</v>
      </c>
      <c r="BE2562" s="2">
        <v>41</v>
      </c>
      <c r="BF2562" s="2" t="s">
        <v>82</v>
      </c>
      <c r="BG2562" s="2"/>
      <c r="BH2562" s="2"/>
      <c r="BI2562" s="2"/>
      <c r="BJ2562" s="2">
        <v>241</v>
      </c>
      <c r="BK2562" s="2" t="s">
        <v>82</v>
      </c>
      <c r="BL2562" s="2"/>
      <c r="BM2562" s="2">
        <v>241</v>
      </c>
      <c r="BN2562" s="2" t="s">
        <v>82</v>
      </c>
      <c r="BO2562" s="2"/>
      <c r="BP2562" s="2">
        <v>241</v>
      </c>
      <c r="BQ2562" s="2" t="s">
        <v>82</v>
      </c>
      <c r="BR2562" s="2"/>
      <c r="BS2562" s="3">
        <v>40347</v>
      </c>
      <c r="BT2562" s="4">
        <v>0.89778935185185194</v>
      </c>
    </row>
    <row r="2563" spans="1:72" x14ac:dyDescent="0.25">
      <c r="A2563" s="2">
        <v>3734</v>
      </c>
      <c r="B2563" s="2">
        <v>2010</v>
      </c>
      <c r="C2563" s="2" t="s">
        <v>4543</v>
      </c>
      <c r="D2563" s="2" t="s">
        <v>122</v>
      </c>
      <c r="E2563" s="2"/>
      <c r="F2563" s="2">
        <v>1</v>
      </c>
      <c r="G2563" s="2" t="s">
        <v>82</v>
      </c>
      <c r="H2563" s="2">
        <v>1</v>
      </c>
      <c r="I2563" s="2" t="s">
        <v>82</v>
      </c>
      <c r="J2563" s="2">
        <v>1</v>
      </c>
      <c r="K2563" s="2" t="s">
        <v>107</v>
      </c>
      <c r="L2563" s="2" t="s">
        <v>107</v>
      </c>
      <c r="M2563" s="3">
        <v>40348</v>
      </c>
      <c r="N2563" s="2"/>
      <c r="O2563" s="2"/>
      <c r="P2563" s="2"/>
      <c r="Q2563" s="2" t="str">
        <f>""</f>
        <v/>
      </c>
      <c r="R2563" s="2"/>
      <c r="S2563" s="2"/>
      <c r="T2563" s="2">
        <v>2</v>
      </c>
      <c r="U2563" s="2" t="s">
        <v>123</v>
      </c>
      <c r="V2563" s="2">
        <v>1</v>
      </c>
      <c r="W2563" s="2" t="s">
        <v>80</v>
      </c>
      <c r="X2563" s="2">
        <v>5</v>
      </c>
      <c r="Y2563" s="2" t="s">
        <v>82</v>
      </c>
      <c r="Z2563" s="2">
        <v>1</v>
      </c>
      <c r="AA2563" s="2" t="s">
        <v>82</v>
      </c>
      <c r="AB2563" s="2">
        <v>9</v>
      </c>
      <c r="AC2563" s="2" t="s">
        <v>124</v>
      </c>
      <c r="AD2563" s="3">
        <v>40348</v>
      </c>
      <c r="AE2563" s="4">
        <v>1.3888888888888889E-3</v>
      </c>
      <c r="AF2563" s="2"/>
      <c r="AG2563" s="2"/>
      <c r="AH2563" s="2">
        <v>3</v>
      </c>
      <c r="AI2563" s="2" t="s">
        <v>214</v>
      </c>
      <c r="AJ2563" s="2">
        <v>24</v>
      </c>
      <c r="AK2563" s="2" t="s">
        <v>215</v>
      </c>
      <c r="AL2563" s="2">
        <v>18</v>
      </c>
      <c r="AM2563" s="2" t="s">
        <v>82</v>
      </c>
      <c r="AN2563" s="2"/>
      <c r="AO2563" s="2"/>
      <c r="AP2563" s="2">
        <v>11</v>
      </c>
      <c r="AQ2563" s="2" t="s">
        <v>82</v>
      </c>
      <c r="AR2563" s="2"/>
      <c r="AS2563" s="2"/>
      <c r="AT2563" s="2" t="s">
        <v>8595</v>
      </c>
      <c r="AU2563" s="2"/>
      <c r="AV2563" s="2"/>
      <c r="AW2563" s="2"/>
      <c r="AX2563" s="2"/>
      <c r="AY2563" s="2">
        <v>1</v>
      </c>
      <c r="AZ2563" s="2" t="s">
        <v>107</v>
      </c>
      <c r="BA2563" s="2">
        <v>1</v>
      </c>
      <c r="BB2563" s="2" t="s">
        <v>107</v>
      </c>
      <c r="BC2563" s="2">
        <v>1</v>
      </c>
      <c r="BD2563" s="2" t="s">
        <v>107</v>
      </c>
      <c r="BE2563" s="2">
        <v>1</v>
      </c>
      <c r="BF2563" s="2" t="s">
        <v>107</v>
      </c>
      <c r="BG2563" s="2"/>
      <c r="BH2563" s="2"/>
      <c r="BI2563" s="2"/>
      <c r="BJ2563" s="2">
        <v>242</v>
      </c>
      <c r="BK2563" s="2" t="s">
        <v>107</v>
      </c>
      <c r="BL2563" s="2"/>
      <c r="BM2563" s="2">
        <v>242</v>
      </c>
      <c r="BN2563" s="2" t="s">
        <v>107</v>
      </c>
      <c r="BO2563" s="2"/>
      <c r="BP2563" s="2">
        <v>242</v>
      </c>
      <c r="BQ2563" s="2" t="s">
        <v>107</v>
      </c>
      <c r="BR2563" s="2"/>
      <c r="BS2563" s="3">
        <v>40348</v>
      </c>
      <c r="BT2563" s="4">
        <v>3.6307870370370372E-2</v>
      </c>
    </row>
    <row r="2564" spans="1:72" x14ac:dyDescent="0.25">
      <c r="A2564" s="2">
        <v>3735</v>
      </c>
      <c r="B2564" s="2">
        <v>2010</v>
      </c>
      <c r="C2564" s="2" t="s">
        <v>4543</v>
      </c>
      <c r="D2564" s="2" t="s">
        <v>122</v>
      </c>
      <c r="E2564" s="2"/>
      <c r="F2564" s="2">
        <v>1</v>
      </c>
      <c r="G2564" s="2" t="s">
        <v>82</v>
      </c>
      <c r="H2564" s="2">
        <v>1</v>
      </c>
      <c r="I2564" s="2" t="s">
        <v>82</v>
      </c>
      <c r="J2564" s="2">
        <v>1</v>
      </c>
      <c r="K2564" s="2" t="s">
        <v>107</v>
      </c>
      <c r="L2564" s="2" t="s">
        <v>107</v>
      </c>
      <c r="M2564" s="3">
        <v>40348</v>
      </c>
      <c r="N2564" s="2" t="s">
        <v>82</v>
      </c>
      <c r="O2564" s="2" t="s">
        <v>82</v>
      </c>
      <c r="P2564" s="2" t="s">
        <v>82</v>
      </c>
      <c r="Q2564" s="2" t="str">
        <f>"N/C"</f>
        <v>N/C</v>
      </c>
      <c r="R2564" s="2" t="s">
        <v>82</v>
      </c>
      <c r="S2564" s="2" t="s">
        <v>82</v>
      </c>
      <c r="T2564" s="2">
        <v>2</v>
      </c>
      <c r="U2564" s="2" t="s">
        <v>123</v>
      </c>
      <c r="V2564" s="2">
        <v>1</v>
      </c>
      <c r="W2564" s="2" t="s">
        <v>80</v>
      </c>
      <c r="X2564" s="2">
        <v>5</v>
      </c>
      <c r="Y2564" s="2" t="s">
        <v>82</v>
      </c>
      <c r="Z2564" s="2">
        <v>1</v>
      </c>
      <c r="AA2564" s="2" t="s">
        <v>82</v>
      </c>
      <c r="AB2564" s="2">
        <v>9</v>
      </c>
      <c r="AC2564" s="2" t="s">
        <v>124</v>
      </c>
      <c r="AD2564" s="3">
        <v>40348</v>
      </c>
      <c r="AE2564" s="4">
        <v>8.3333333333333329E-2</v>
      </c>
      <c r="AF2564" s="2"/>
      <c r="AG2564" s="2"/>
      <c r="AH2564" s="2">
        <v>3</v>
      </c>
      <c r="AI2564" s="2" t="s">
        <v>214</v>
      </c>
      <c r="AJ2564" s="2">
        <v>17</v>
      </c>
      <c r="AK2564" s="2" t="s">
        <v>309</v>
      </c>
      <c r="AL2564" s="2">
        <v>18</v>
      </c>
      <c r="AM2564" s="2" t="s">
        <v>82</v>
      </c>
      <c r="AN2564" s="2" t="s">
        <v>82</v>
      </c>
      <c r="AO2564" s="2" t="s">
        <v>82</v>
      </c>
      <c r="AP2564" s="2">
        <v>11</v>
      </c>
      <c r="AQ2564" s="2" t="s">
        <v>82</v>
      </c>
      <c r="AR2564" s="2" t="s">
        <v>82</v>
      </c>
      <c r="AS2564" s="2" t="s">
        <v>82</v>
      </c>
      <c r="AT2564" s="2" t="s">
        <v>8596</v>
      </c>
      <c r="AU2564" s="2"/>
      <c r="AV2564" s="2"/>
      <c r="AW2564" s="2"/>
      <c r="AX2564" s="2"/>
      <c r="AY2564" s="2">
        <v>1</v>
      </c>
      <c r="AZ2564" s="2" t="s">
        <v>107</v>
      </c>
      <c r="BA2564" s="2">
        <v>1</v>
      </c>
      <c r="BB2564" s="2" t="s">
        <v>107</v>
      </c>
      <c r="BC2564" s="2">
        <v>1</v>
      </c>
      <c r="BD2564" s="2" t="s">
        <v>107</v>
      </c>
      <c r="BE2564" s="2">
        <v>1</v>
      </c>
      <c r="BF2564" s="2" t="s">
        <v>107</v>
      </c>
      <c r="BG2564" s="2" t="s">
        <v>107</v>
      </c>
      <c r="BH2564" s="4">
        <v>8.3333333333333329E-2</v>
      </c>
      <c r="BI2564" s="4">
        <v>0</v>
      </c>
      <c r="BJ2564" s="2">
        <v>242</v>
      </c>
      <c r="BK2564" s="2" t="s">
        <v>107</v>
      </c>
      <c r="BL2564" s="2" t="s">
        <v>169</v>
      </c>
      <c r="BM2564" s="2">
        <v>242</v>
      </c>
      <c r="BN2564" s="2" t="s">
        <v>107</v>
      </c>
      <c r="BO2564" s="2" t="s">
        <v>82</v>
      </c>
      <c r="BP2564" s="2">
        <v>242</v>
      </c>
      <c r="BQ2564" s="2" t="s">
        <v>107</v>
      </c>
      <c r="BR2564" s="2" t="s">
        <v>445</v>
      </c>
      <c r="BS2564" s="3">
        <v>40348</v>
      </c>
      <c r="BT2564" s="4">
        <v>0.1004050925925926</v>
      </c>
    </row>
    <row r="2565" spans="1:72" x14ac:dyDescent="0.25">
      <c r="A2565" s="2">
        <v>3736</v>
      </c>
      <c r="B2565" s="2">
        <v>2010</v>
      </c>
      <c r="C2565" s="2" t="s">
        <v>72</v>
      </c>
      <c r="D2565" s="2" t="s">
        <v>73</v>
      </c>
      <c r="E2565" s="2"/>
      <c r="F2565" s="2">
        <v>642</v>
      </c>
      <c r="G2565" s="2" t="s">
        <v>8576</v>
      </c>
      <c r="H2565" s="2">
        <v>22</v>
      </c>
      <c r="I2565" s="2" t="s">
        <v>75</v>
      </c>
      <c r="J2565" s="2">
        <v>590</v>
      </c>
      <c r="K2565" s="2" t="s">
        <v>8577</v>
      </c>
      <c r="L2565" s="2" t="s">
        <v>7265</v>
      </c>
      <c r="M2565" s="3">
        <v>40348</v>
      </c>
      <c r="N2565" s="2" t="s">
        <v>8597</v>
      </c>
      <c r="O2565" s="2" t="s">
        <v>107</v>
      </c>
      <c r="P2565" s="2" t="s">
        <v>107</v>
      </c>
      <c r="Q2565" s="2" t="str">
        <f>"217-A/10"</f>
        <v>217-A/10</v>
      </c>
      <c r="R2565" s="2" t="s">
        <v>156</v>
      </c>
      <c r="S2565" s="2" t="s">
        <v>156</v>
      </c>
      <c r="T2565" s="2">
        <v>1</v>
      </c>
      <c r="U2565" s="2" t="s">
        <v>79</v>
      </c>
      <c r="V2565" s="2">
        <v>1</v>
      </c>
      <c r="W2565" s="2" t="s">
        <v>80</v>
      </c>
      <c r="X2565" s="2">
        <v>12</v>
      </c>
      <c r="Y2565" s="2" t="s">
        <v>148</v>
      </c>
      <c r="Z2565" s="2">
        <v>1</v>
      </c>
      <c r="AA2565" s="2" t="s">
        <v>82</v>
      </c>
      <c r="AB2565" s="2">
        <v>6</v>
      </c>
      <c r="AC2565" s="2" t="s">
        <v>83</v>
      </c>
      <c r="AD2565" s="3">
        <v>40347</v>
      </c>
      <c r="AE2565" s="4">
        <v>0.8125</v>
      </c>
      <c r="AF2565" s="3">
        <v>40347</v>
      </c>
      <c r="AG2565" s="4">
        <v>0.84722222222222221</v>
      </c>
      <c r="AH2565" s="2">
        <v>2</v>
      </c>
      <c r="AI2565" s="2" t="s">
        <v>84</v>
      </c>
      <c r="AJ2565" s="2">
        <v>12</v>
      </c>
      <c r="AK2565" s="2" t="s">
        <v>85</v>
      </c>
      <c r="AL2565" s="2">
        <v>23</v>
      </c>
      <c r="AM2565" s="2" t="s">
        <v>251</v>
      </c>
      <c r="AN2565" s="2" t="s">
        <v>8598</v>
      </c>
      <c r="AO2565" s="2" t="s">
        <v>8599</v>
      </c>
      <c r="AP2565" s="2">
        <v>11</v>
      </c>
      <c r="AQ2565" s="2" t="s">
        <v>82</v>
      </c>
      <c r="AR2565" s="2"/>
      <c r="AS2565" s="2"/>
      <c r="AT2565" s="2" t="s">
        <v>8600</v>
      </c>
      <c r="AU2565" s="2"/>
      <c r="AV2565" s="2"/>
      <c r="AW2565" s="2"/>
      <c r="AX2565" s="2"/>
      <c r="AY2565" s="2">
        <v>41</v>
      </c>
      <c r="AZ2565" s="2" t="s">
        <v>82</v>
      </c>
      <c r="BA2565" s="2">
        <v>41</v>
      </c>
      <c r="BB2565" s="2" t="s">
        <v>82</v>
      </c>
      <c r="BC2565" s="2">
        <v>41</v>
      </c>
      <c r="BD2565" s="2" t="s">
        <v>82</v>
      </c>
      <c r="BE2565" s="2">
        <v>41</v>
      </c>
      <c r="BF2565" s="2" t="s">
        <v>82</v>
      </c>
      <c r="BG2565" s="2"/>
      <c r="BH2565" s="2"/>
      <c r="BI2565" s="2"/>
      <c r="BJ2565" s="2">
        <v>241</v>
      </c>
      <c r="BK2565" s="2" t="s">
        <v>82</v>
      </c>
      <c r="BL2565" s="2"/>
      <c r="BM2565" s="2">
        <v>241</v>
      </c>
      <c r="BN2565" s="2" t="s">
        <v>82</v>
      </c>
      <c r="BO2565" s="2"/>
      <c r="BP2565" s="2">
        <v>241</v>
      </c>
      <c r="BQ2565" s="2" t="s">
        <v>82</v>
      </c>
      <c r="BR2565" s="2"/>
      <c r="BS2565" s="3">
        <v>40348</v>
      </c>
      <c r="BT2565" s="4">
        <v>0.10798611111111112</v>
      </c>
    </row>
    <row r="2566" spans="1:72" x14ac:dyDescent="0.25">
      <c r="A2566" s="2">
        <v>3737</v>
      </c>
      <c r="B2566" s="2">
        <v>2010</v>
      </c>
      <c r="C2566" s="2" t="s">
        <v>171</v>
      </c>
      <c r="D2566" s="2" t="s">
        <v>73</v>
      </c>
      <c r="E2566" s="2"/>
      <c r="F2566" s="2">
        <v>499</v>
      </c>
      <c r="G2566" s="2" t="s">
        <v>2177</v>
      </c>
      <c r="H2566" s="2">
        <v>6</v>
      </c>
      <c r="I2566" s="2" t="s">
        <v>1088</v>
      </c>
      <c r="J2566" s="2">
        <v>165</v>
      </c>
      <c r="K2566" s="2" t="s">
        <v>8586</v>
      </c>
      <c r="L2566" s="2" t="s">
        <v>8587</v>
      </c>
      <c r="M2566" s="3">
        <v>40348</v>
      </c>
      <c r="N2566" s="2" t="s">
        <v>8601</v>
      </c>
      <c r="O2566" s="2"/>
      <c r="P2566" s="2"/>
      <c r="Q2566" s="2" t="str">
        <f>"218-A/10"</f>
        <v>218-A/10</v>
      </c>
      <c r="R2566" s="2"/>
      <c r="S2566" s="2" t="s">
        <v>1035</v>
      </c>
      <c r="T2566" s="2">
        <v>1</v>
      </c>
      <c r="U2566" s="2" t="s">
        <v>79</v>
      </c>
      <c r="V2566" s="2">
        <v>1</v>
      </c>
      <c r="W2566" s="2" t="s">
        <v>80</v>
      </c>
      <c r="X2566" s="2">
        <v>1</v>
      </c>
      <c r="Y2566" s="2" t="s">
        <v>81</v>
      </c>
      <c r="Z2566" s="2">
        <v>1</v>
      </c>
      <c r="AA2566" s="2" t="s">
        <v>82</v>
      </c>
      <c r="AB2566" s="2">
        <v>1</v>
      </c>
      <c r="AC2566" s="2" t="s">
        <v>178</v>
      </c>
      <c r="AD2566" s="3">
        <v>40347</v>
      </c>
      <c r="AE2566" s="4">
        <v>0.88888888888888884</v>
      </c>
      <c r="AF2566" s="2"/>
      <c r="AG2566" s="2"/>
      <c r="AH2566" s="2">
        <v>2</v>
      </c>
      <c r="AI2566" s="2" t="s">
        <v>84</v>
      </c>
      <c r="AJ2566" s="2">
        <v>12</v>
      </c>
      <c r="AK2566" s="2" t="s">
        <v>85</v>
      </c>
      <c r="AL2566" s="2">
        <v>11</v>
      </c>
      <c r="AM2566" s="2" t="s">
        <v>137</v>
      </c>
      <c r="AN2566" s="2" t="s">
        <v>919</v>
      </c>
      <c r="AO2566" s="2" t="s">
        <v>1424</v>
      </c>
      <c r="AP2566" s="2">
        <v>11</v>
      </c>
      <c r="AQ2566" s="2" t="s">
        <v>82</v>
      </c>
      <c r="AR2566" s="2"/>
      <c r="AS2566" s="2"/>
      <c r="AT2566" s="2" t="s">
        <v>8602</v>
      </c>
      <c r="AU2566" s="2">
        <v>1</v>
      </c>
      <c r="AV2566" s="2"/>
      <c r="AW2566" s="2"/>
      <c r="AX2566" s="2"/>
      <c r="AY2566" s="2">
        <v>41</v>
      </c>
      <c r="AZ2566" s="2" t="s">
        <v>82</v>
      </c>
      <c r="BA2566" s="2">
        <v>41</v>
      </c>
      <c r="BB2566" s="2" t="s">
        <v>82</v>
      </c>
      <c r="BC2566" s="2">
        <v>41</v>
      </c>
      <c r="BD2566" s="2" t="s">
        <v>82</v>
      </c>
      <c r="BE2566" s="2">
        <v>47</v>
      </c>
      <c r="BF2566" s="2" t="s">
        <v>167</v>
      </c>
      <c r="BG2566" s="2" t="s">
        <v>8603</v>
      </c>
      <c r="BH2566" s="4">
        <v>0.95833333333333337</v>
      </c>
      <c r="BI2566" s="4">
        <v>0.91666666666666663</v>
      </c>
      <c r="BJ2566" s="2">
        <v>13</v>
      </c>
      <c r="BK2566" s="2" t="s">
        <v>91</v>
      </c>
      <c r="BL2566" s="2" t="s">
        <v>564</v>
      </c>
      <c r="BM2566" s="2">
        <v>241</v>
      </c>
      <c r="BN2566" s="2" t="s">
        <v>82</v>
      </c>
      <c r="BO2566" s="2" t="s">
        <v>82</v>
      </c>
      <c r="BP2566" s="2">
        <v>13</v>
      </c>
      <c r="BQ2566" s="2" t="s">
        <v>91</v>
      </c>
      <c r="BR2566" s="2" t="s">
        <v>445</v>
      </c>
      <c r="BS2566" s="3">
        <v>40348</v>
      </c>
      <c r="BT2566" s="4">
        <v>0.11494212962962963</v>
      </c>
    </row>
    <row r="2567" spans="1:72" x14ac:dyDescent="0.25">
      <c r="A2567" s="2">
        <v>3738</v>
      </c>
      <c r="B2567" s="2">
        <v>2010</v>
      </c>
      <c r="C2567" s="2" t="s">
        <v>554</v>
      </c>
      <c r="D2567" s="2" t="s">
        <v>73</v>
      </c>
      <c r="E2567" s="2"/>
      <c r="F2567" s="2">
        <v>389</v>
      </c>
      <c r="G2567" s="2" t="s">
        <v>1819</v>
      </c>
      <c r="H2567" s="2">
        <v>2</v>
      </c>
      <c r="I2567" s="2" t="s">
        <v>267</v>
      </c>
      <c r="J2567" s="2">
        <v>399</v>
      </c>
      <c r="K2567" s="2" t="s">
        <v>1820</v>
      </c>
      <c r="L2567" s="2" t="s">
        <v>1821</v>
      </c>
      <c r="M2567" s="3">
        <v>40348</v>
      </c>
      <c r="N2567" s="2" t="s">
        <v>5653</v>
      </c>
      <c r="O2567" s="2"/>
      <c r="P2567" s="2"/>
      <c r="Q2567" s="2" t="str">
        <f>"324-E/10"</f>
        <v>324-E/10</v>
      </c>
      <c r="R2567" s="2" t="s">
        <v>1130</v>
      </c>
      <c r="S2567" s="2"/>
      <c r="T2567" s="2">
        <v>1</v>
      </c>
      <c r="U2567" s="2" t="s">
        <v>79</v>
      </c>
      <c r="V2567" s="2">
        <v>1</v>
      </c>
      <c r="W2567" s="2" t="s">
        <v>80</v>
      </c>
      <c r="X2567" s="2">
        <v>12</v>
      </c>
      <c r="Y2567" s="2" t="s">
        <v>148</v>
      </c>
      <c r="Z2567" s="2">
        <v>1</v>
      </c>
      <c r="AA2567" s="2" t="s">
        <v>82</v>
      </c>
      <c r="AB2567" s="2">
        <v>5</v>
      </c>
      <c r="AC2567" s="2" t="s">
        <v>559</v>
      </c>
      <c r="AD2567" s="3">
        <v>40347</v>
      </c>
      <c r="AE2567" s="4">
        <v>0.85416666666666663</v>
      </c>
      <c r="AF2567" s="3">
        <v>40348</v>
      </c>
      <c r="AG2567" s="4">
        <v>4.1666666666666664E-2</v>
      </c>
      <c r="AH2567" s="2">
        <v>2</v>
      </c>
      <c r="AI2567" s="2" t="s">
        <v>84</v>
      </c>
      <c r="AJ2567" s="2">
        <v>9</v>
      </c>
      <c r="AK2567" s="2" t="s">
        <v>103</v>
      </c>
      <c r="AL2567" s="2">
        <v>17</v>
      </c>
      <c r="AM2567" s="2" t="s">
        <v>232</v>
      </c>
      <c r="AN2567" s="2" t="s">
        <v>1936</v>
      </c>
      <c r="AO2567" s="2" t="s">
        <v>8604</v>
      </c>
      <c r="AP2567" s="2">
        <v>11</v>
      </c>
      <c r="AQ2567" s="2" t="s">
        <v>82</v>
      </c>
      <c r="AR2567" s="2"/>
      <c r="AS2567" s="2"/>
      <c r="AT2567" s="2" t="s">
        <v>8605</v>
      </c>
      <c r="AU2567" s="2"/>
      <c r="AV2567" s="2"/>
      <c r="AW2567" s="2"/>
      <c r="AX2567" s="2"/>
      <c r="AY2567" s="2">
        <v>41</v>
      </c>
      <c r="AZ2567" s="2" t="s">
        <v>82</v>
      </c>
      <c r="BA2567" s="2">
        <v>41</v>
      </c>
      <c r="BB2567" s="2" t="s">
        <v>82</v>
      </c>
      <c r="BC2567" s="2">
        <v>41</v>
      </c>
      <c r="BD2567" s="2" t="s">
        <v>82</v>
      </c>
      <c r="BE2567" s="2">
        <v>41</v>
      </c>
      <c r="BF2567" s="2" t="s">
        <v>82</v>
      </c>
      <c r="BG2567" s="2"/>
      <c r="BH2567" s="2"/>
      <c r="BI2567" s="2"/>
      <c r="BJ2567" s="2">
        <v>241</v>
      </c>
      <c r="BK2567" s="2" t="s">
        <v>82</v>
      </c>
      <c r="BL2567" s="2"/>
      <c r="BM2567" s="2">
        <v>241</v>
      </c>
      <c r="BN2567" s="2" t="s">
        <v>82</v>
      </c>
      <c r="BO2567" s="2"/>
      <c r="BP2567" s="2">
        <v>241</v>
      </c>
      <c r="BQ2567" s="2" t="s">
        <v>82</v>
      </c>
      <c r="BR2567" s="2"/>
      <c r="BS2567" s="3">
        <v>40348</v>
      </c>
      <c r="BT2567" s="4">
        <v>0.20135416666666664</v>
      </c>
    </row>
    <row r="2568" spans="1:72" x14ac:dyDescent="0.25">
      <c r="A2568" s="2">
        <v>3739</v>
      </c>
      <c r="B2568" s="2">
        <v>2010</v>
      </c>
      <c r="C2568" s="2" t="s">
        <v>171</v>
      </c>
      <c r="D2568" s="2" t="s">
        <v>122</v>
      </c>
      <c r="E2568" s="2" t="s">
        <v>8606</v>
      </c>
      <c r="F2568" s="2">
        <v>499</v>
      </c>
      <c r="G2568" s="2" t="s">
        <v>2177</v>
      </c>
      <c r="H2568" s="2">
        <v>6</v>
      </c>
      <c r="I2568" s="2" t="s">
        <v>1088</v>
      </c>
      <c r="J2568" s="2">
        <v>165</v>
      </c>
      <c r="K2568" s="2" t="s">
        <v>8586</v>
      </c>
      <c r="L2568" s="2" t="s">
        <v>8587</v>
      </c>
      <c r="M2568" s="3">
        <v>40348</v>
      </c>
      <c r="N2568" s="2" t="s">
        <v>8601</v>
      </c>
      <c r="O2568" s="2"/>
      <c r="P2568" s="2"/>
      <c r="Q2568" s="2" t="str">
        <f>"218-A/10"</f>
        <v>218-A/10</v>
      </c>
      <c r="R2568" s="2" t="s">
        <v>1035</v>
      </c>
      <c r="S2568" s="2"/>
      <c r="T2568" s="2">
        <v>1</v>
      </c>
      <c r="U2568" s="2" t="s">
        <v>79</v>
      </c>
      <c r="V2568" s="2">
        <v>1</v>
      </c>
      <c r="W2568" s="2" t="s">
        <v>80</v>
      </c>
      <c r="X2568" s="2">
        <v>1</v>
      </c>
      <c r="Y2568" s="2" t="s">
        <v>81</v>
      </c>
      <c r="Z2568" s="2">
        <v>10</v>
      </c>
      <c r="AA2568" s="2" t="s">
        <v>236</v>
      </c>
      <c r="AB2568" s="2">
        <v>1</v>
      </c>
      <c r="AC2568" s="2" t="s">
        <v>178</v>
      </c>
      <c r="AD2568" s="3">
        <v>40348</v>
      </c>
      <c r="AE2568" s="4">
        <v>0.29166666666666669</v>
      </c>
      <c r="AF2568" s="2"/>
      <c r="AG2568" s="2"/>
      <c r="AH2568" s="2">
        <v>2</v>
      </c>
      <c r="AI2568" s="2" t="s">
        <v>84</v>
      </c>
      <c r="AJ2568" s="2">
        <v>12</v>
      </c>
      <c r="AK2568" s="2" t="s">
        <v>85</v>
      </c>
      <c r="AL2568" s="2">
        <v>11</v>
      </c>
      <c r="AM2568" s="2" t="s">
        <v>137</v>
      </c>
      <c r="AN2568" s="2" t="s">
        <v>1971</v>
      </c>
      <c r="AO2568" s="2"/>
      <c r="AP2568" s="2">
        <v>11</v>
      </c>
      <c r="AQ2568" s="2" t="s">
        <v>82</v>
      </c>
      <c r="AR2568" s="2"/>
      <c r="AS2568" s="2"/>
      <c r="AT2568" s="2" t="s">
        <v>8607</v>
      </c>
      <c r="AU2568" s="2">
        <v>1</v>
      </c>
      <c r="AV2568" s="2"/>
      <c r="AW2568" s="2"/>
      <c r="AX2568" s="2"/>
      <c r="AY2568" s="2">
        <v>41</v>
      </c>
      <c r="AZ2568" s="2" t="s">
        <v>82</v>
      </c>
      <c r="BA2568" s="2">
        <v>41</v>
      </c>
      <c r="BB2568" s="2" t="s">
        <v>82</v>
      </c>
      <c r="BC2568" s="2">
        <v>41</v>
      </c>
      <c r="BD2568" s="2" t="s">
        <v>82</v>
      </c>
      <c r="BE2568" s="2">
        <v>13</v>
      </c>
      <c r="BF2568" s="2" t="s">
        <v>108</v>
      </c>
      <c r="BG2568" s="2" t="s">
        <v>8608</v>
      </c>
      <c r="BH2568" s="4">
        <v>0.95833333333333337</v>
      </c>
      <c r="BI2568" s="4">
        <v>0.91666666666666663</v>
      </c>
      <c r="BJ2568" s="2">
        <v>13</v>
      </c>
      <c r="BK2568" s="2" t="s">
        <v>91</v>
      </c>
      <c r="BL2568" s="2" t="s">
        <v>185</v>
      </c>
      <c r="BM2568" s="2">
        <v>241</v>
      </c>
      <c r="BN2568" s="2" t="s">
        <v>82</v>
      </c>
      <c r="BO2568" s="2" t="s">
        <v>82</v>
      </c>
      <c r="BP2568" s="2">
        <v>13</v>
      </c>
      <c r="BQ2568" s="2" t="s">
        <v>91</v>
      </c>
      <c r="BR2568" s="2" t="s">
        <v>445</v>
      </c>
      <c r="BS2568" s="3">
        <v>40348</v>
      </c>
      <c r="BT2568" s="4">
        <v>0.31435185185185183</v>
      </c>
    </row>
    <row r="2569" spans="1:72" x14ac:dyDescent="0.25">
      <c r="A2569" s="2">
        <v>3740</v>
      </c>
      <c r="B2569" s="2">
        <v>2010</v>
      </c>
      <c r="C2569" s="2" t="s">
        <v>171</v>
      </c>
      <c r="D2569" s="2" t="s">
        <v>73</v>
      </c>
      <c r="E2569" s="2"/>
      <c r="F2569" s="2">
        <v>397</v>
      </c>
      <c r="G2569" s="2" t="s">
        <v>2522</v>
      </c>
      <c r="H2569" s="2">
        <v>10</v>
      </c>
      <c r="I2569" s="2" t="s">
        <v>1031</v>
      </c>
      <c r="J2569" s="2">
        <v>377</v>
      </c>
      <c r="K2569" s="2" t="s">
        <v>1223</v>
      </c>
      <c r="L2569" s="2" t="s">
        <v>1224</v>
      </c>
      <c r="M2569" s="3">
        <v>40348</v>
      </c>
      <c r="N2569" s="2" t="s">
        <v>2873</v>
      </c>
      <c r="O2569" s="2"/>
      <c r="P2569" s="2"/>
      <c r="Q2569" s="2" t="str">
        <f>"325-E/10"</f>
        <v>325-E/10</v>
      </c>
      <c r="R2569" s="2" t="s">
        <v>391</v>
      </c>
      <c r="S2569" s="2" t="s">
        <v>391</v>
      </c>
      <c r="T2569" s="2">
        <v>1</v>
      </c>
      <c r="U2569" s="2" t="s">
        <v>79</v>
      </c>
      <c r="V2569" s="2">
        <v>1</v>
      </c>
      <c r="W2569" s="2" t="s">
        <v>80</v>
      </c>
      <c r="X2569" s="2">
        <v>3</v>
      </c>
      <c r="Y2569" s="2" t="s">
        <v>698</v>
      </c>
      <c r="Z2569" s="2">
        <v>2</v>
      </c>
      <c r="AA2569" s="2" t="s">
        <v>2148</v>
      </c>
      <c r="AB2569" s="2">
        <v>1</v>
      </c>
      <c r="AC2569" s="2" t="s">
        <v>178</v>
      </c>
      <c r="AD2569" s="3">
        <v>40348</v>
      </c>
      <c r="AE2569" s="4">
        <v>8.3333333333333329E-2</v>
      </c>
      <c r="AF2569" s="2"/>
      <c r="AG2569" s="2"/>
      <c r="AH2569" s="2">
        <v>2</v>
      </c>
      <c r="AI2569" s="2" t="s">
        <v>84</v>
      </c>
      <c r="AJ2569" s="2">
        <v>9</v>
      </c>
      <c r="AK2569" s="2" t="s">
        <v>103</v>
      </c>
      <c r="AL2569" s="2">
        <v>16</v>
      </c>
      <c r="AM2569" s="2" t="s">
        <v>392</v>
      </c>
      <c r="AN2569" s="2" t="s">
        <v>8609</v>
      </c>
      <c r="AO2569" s="2" t="s">
        <v>8179</v>
      </c>
      <c r="AP2569" s="2">
        <v>6</v>
      </c>
      <c r="AQ2569" s="2" t="s">
        <v>394</v>
      </c>
      <c r="AR2569" s="2" t="s">
        <v>8610</v>
      </c>
      <c r="AS2569" s="2" t="s">
        <v>8611</v>
      </c>
      <c r="AT2569" s="2" t="s">
        <v>8612</v>
      </c>
      <c r="AU2569" s="2"/>
      <c r="AV2569" s="2"/>
      <c r="AW2569" s="2"/>
      <c r="AX2569" s="2"/>
      <c r="AY2569" s="2">
        <v>1</v>
      </c>
      <c r="AZ2569" s="2" t="s">
        <v>107</v>
      </c>
      <c r="BA2569" s="2">
        <v>1</v>
      </c>
      <c r="BB2569" s="2" t="s">
        <v>107</v>
      </c>
      <c r="BC2569" s="2">
        <v>1</v>
      </c>
      <c r="BD2569" s="2" t="s">
        <v>107</v>
      </c>
      <c r="BE2569" s="2">
        <v>31</v>
      </c>
      <c r="BF2569" s="2" t="s">
        <v>398</v>
      </c>
      <c r="BG2569" s="2" t="s">
        <v>399</v>
      </c>
      <c r="BH2569" s="2"/>
      <c r="BI2569" s="4">
        <v>0.54166666666666663</v>
      </c>
      <c r="BJ2569" s="2">
        <v>13</v>
      </c>
      <c r="BK2569" s="2" t="s">
        <v>91</v>
      </c>
      <c r="BL2569" s="2" t="s">
        <v>360</v>
      </c>
      <c r="BM2569" s="2">
        <v>242</v>
      </c>
      <c r="BN2569" s="2" t="s">
        <v>107</v>
      </c>
      <c r="BO2569" s="2"/>
      <c r="BP2569" s="2">
        <v>73</v>
      </c>
      <c r="BQ2569" s="2" t="s">
        <v>186</v>
      </c>
      <c r="BR2569" s="2" t="s">
        <v>187</v>
      </c>
      <c r="BS2569" s="3">
        <v>40348</v>
      </c>
      <c r="BT2569" s="4">
        <v>0.3722569444444444</v>
      </c>
    </row>
    <row r="2570" spans="1:72" x14ac:dyDescent="0.25">
      <c r="A2570" s="2">
        <v>3741</v>
      </c>
      <c r="B2570" s="2">
        <v>2010</v>
      </c>
      <c r="C2570" s="2" t="s">
        <v>171</v>
      </c>
      <c r="D2570" s="2" t="s">
        <v>73</v>
      </c>
      <c r="E2570" s="2"/>
      <c r="F2570" s="2">
        <v>397</v>
      </c>
      <c r="G2570" s="2" t="s">
        <v>2522</v>
      </c>
      <c r="H2570" s="2">
        <v>10</v>
      </c>
      <c r="I2570" s="2" t="s">
        <v>1031</v>
      </c>
      <c r="J2570" s="2">
        <v>377</v>
      </c>
      <c r="K2570" s="2" t="s">
        <v>1223</v>
      </c>
      <c r="L2570" s="2" t="s">
        <v>1224</v>
      </c>
      <c r="M2570" s="3">
        <v>40348</v>
      </c>
      <c r="N2570" s="2" t="s">
        <v>2873</v>
      </c>
      <c r="O2570" s="2"/>
      <c r="P2570" s="2"/>
      <c r="Q2570" s="2" t="str">
        <f>"326-E/10"</f>
        <v>326-E/10</v>
      </c>
      <c r="R2570" s="2" t="s">
        <v>5361</v>
      </c>
      <c r="S2570" s="2"/>
      <c r="T2570" s="2">
        <v>1</v>
      </c>
      <c r="U2570" s="2" t="s">
        <v>79</v>
      </c>
      <c r="V2570" s="2">
        <v>1</v>
      </c>
      <c r="W2570" s="2" t="s">
        <v>80</v>
      </c>
      <c r="X2570" s="2">
        <v>3</v>
      </c>
      <c r="Y2570" s="2" t="s">
        <v>698</v>
      </c>
      <c r="Z2570" s="2">
        <v>2</v>
      </c>
      <c r="AA2570" s="2" t="s">
        <v>2148</v>
      </c>
      <c r="AB2570" s="2">
        <v>1</v>
      </c>
      <c r="AC2570" s="2" t="s">
        <v>178</v>
      </c>
      <c r="AD2570" s="3">
        <v>40348</v>
      </c>
      <c r="AE2570" s="4">
        <v>0.14583333333333334</v>
      </c>
      <c r="AF2570" s="2"/>
      <c r="AG2570" s="2"/>
      <c r="AH2570" s="2">
        <v>2</v>
      </c>
      <c r="AI2570" s="2" t="s">
        <v>84</v>
      </c>
      <c r="AJ2570" s="2">
        <v>9</v>
      </c>
      <c r="AK2570" s="2" t="s">
        <v>103</v>
      </c>
      <c r="AL2570" s="2">
        <v>16</v>
      </c>
      <c r="AM2570" s="2" t="s">
        <v>392</v>
      </c>
      <c r="AN2570" s="2" t="s">
        <v>8609</v>
      </c>
      <c r="AO2570" s="2" t="s">
        <v>8179</v>
      </c>
      <c r="AP2570" s="2">
        <v>10</v>
      </c>
      <c r="AQ2570" s="2" t="s">
        <v>8613</v>
      </c>
      <c r="AR2570" s="2" t="s">
        <v>8614</v>
      </c>
      <c r="AS2570" s="2" t="s">
        <v>8615</v>
      </c>
      <c r="AT2570" s="2" t="s">
        <v>8616</v>
      </c>
      <c r="AU2570" s="2"/>
      <c r="AV2570" s="2"/>
      <c r="AW2570" s="2"/>
      <c r="AX2570" s="2"/>
      <c r="AY2570" s="2">
        <v>41</v>
      </c>
      <c r="AZ2570" s="2" t="s">
        <v>82</v>
      </c>
      <c r="BA2570" s="2">
        <v>41</v>
      </c>
      <c r="BB2570" s="2" t="s">
        <v>82</v>
      </c>
      <c r="BC2570" s="2">
        <v>41</v>
      </c>
      <c r="BD2570" s="2" t="s">
        <v>82</v>
      </c>
      <c r="BE2570" s="2">
        <v>62</v>
      </c>
      <c r="BF2570" s="2" t="s">
        <v>8613</v>
      </c>
      <c r="BG2570" s="2" t="s">
        <v>8617</v>
      </c>
      <c r="BH2570" s="2"/>
      <c r="BI2570" s="2"/>
      <c r="BJ2570" s="2">
        <v>13</v>
      </c>
      <c r="BK2570" s="2" t="s">
        <v>91</v>
      </c>
      <c r="BL2570" s="2" t="s">
        <v>360</v>
      </c>
      <c r="BM2570" s="2">
        <v>241</v>
      </c>
      <c r="BN2570" s="2" t="s">
        <v>82</v>
      </c>
      <c r="BO2570" s="2"/>
      <c r="BP2570" s="2">
        <v>75</v>
      </c>
      <c r="BQ2570" s="2" t="s">
        <v>1264</v>
      </c>
      <c r="BR2570" s="2" t="s">
        <v>1361</v>
      </c>
      <c r="BS2570" s="3">
        <v>40348</v>
      </c>
      <c r="BT2570" s="4">
        <v>0.55056712962962961</v>
      </c>
    </row>
    <row r="2571" spans="1:72" x14ac:dyDescent="0.25">
      <c r="A2571" s="2">
        <v>3744</v>
      </c>
      <c r="B2571" s="2">
        <v>2010</v>
      </c>
      <c r="C2571" s="2" t="s">
        <v>819</v>
      </c>
      <c r="D2571" s="2" t="s">
        <v>122</v>
      </c>
      <c r="E2571" s="2"/>
      <c r="F2571" s="2">
        <v>425</v>
      </c>
      <c r="G2571" s="2" t="s">
        <v>286</v>
      </c>
      <c r="H2571" s="2">
        <v>39</v>
      </c>
      <c r="I2571" s="2" t="s">
        <v>1117</v>
      </c>
      <c r="J2571" s="2">
        <v>310</v>
      </c>
      <c r="K2571" s="2" t="s">
        <v>288</v>
      </c>
      <c r="L2571" s="2" t="s">
        <v>289</v>
      </c>
      <c r="M2571" s="3">
        <v>40348</v>
      </c>
      <c r="N2571" s="2" t="s">
        <v>290</v>
      </c>
      <c r="O2571" s="2"/>
      <c r="P2571" s="2"/>
      <c r="Q2571" s="2" t="str">
        <f>"074/10"</f>
        <v>074/10</v>
      </c>
      <c r="R2571" s="2"/>
      <c r="S2571" s="2" t="s">
        <v>822</v>
      </c>
      <c r="T2571" s="2">
        <v>1</v>
      </c>
      <c r="U2571" s="2" t="s">
        <v>79</v>
      </c>
      <c r="V2571" s="2">
        <v>1</v>
      </c>
      <c r="W2571" s="2" t="s">
        <v>80</v>
      </c>
      <c r="X2571" s="2">
        <v>1</v>
      </c>
      <c r="Y2571" s="2" t="s">
        <v>81</v>
      </c>
      <c r="Z2571" s="2">
        <v>10</v>
      </c>
      <c r="AA2571" s="2" t="s">
        <v>236</v>
      </c>
      <c r="AB2571" s="2">
        <v>9</v>
      </c>
      <c r="AC2571" s="2" t="s">
        <v>124</v>
      </c>
      <c r="AD2571" s="3">
        <v>40348</v>
      </c>
      <c r="AE2571" s="4">
        <v>0.40972222222222227</v>
      </c>
      <c r="AF2571" s="2"/>
      <c r="AG2571" s="2"/>
      <c r="AH2571" s="2">
        <v>4</v>
      </c>
      <c r="AI2571" s="2" t="s">
        <v>125</v>
      </c>
      <c r="AJ2571" s="2">
        <v>29</v>
      </c>
      <c r="AK2571" s="2" t="s">
        <v>227</v>
      </c>
      <c r="AL2571" s="2">
        <v>16</v>
      </c>
      <c r="AM2571" s="2" t="s">
        <v>392</v>
      </c>
      <c r="AN2571" s="2" t="s">
        <v>1015</v>
      </c>
      <c r="AO2571" s="2"/>
      <c r="AP2571" s="2">
        <v>12</v>
      </c>
      <c r="AQ2571" s="2" t="s">
        <v>322</v>
      </c>
      <c r="AR2571" s="2" t="s">
        <v>824</v>
      </c>
      <c r="AS2571" s="2" t="s">
        <v>825</v>
      </c>
      <c r="AT2571" s="2" t="s">
        <v>8618</v>
      </c>
      <c r="AU2571" s="2"/>
      <c r="AV2571" s="2"/>
      <c r="AW2571" s="2"/>
      <c r="AX2571" s="2"/>
      <c r="AY2571" s="2">
        <v>41</v>
      </c>
      <c r="AZ2571" s="2" t="s">
        <v>82</v>
      </c>
      <c r="BA2571" s="2">
        <v>41</v>
      </c>
      <c r="BB2571" s="2" t="s">
        <v>82</v>
      </c>
      <c r="BC2571" s="2">
        <v>51</v>
      </c>
      <c r="BD2571" s="2" t="s">
        <v>827</v>
      </c>
      <c r="BE2571" s="2">
        <v>47</v>
      </c>
      <c r="BF2571" s="2" t="s">
        <v>167</v>
      </c>
      <c r="BG2571" s="2">
        <v>2451</v>
      </c>
      <c r="BH2571" s="4">
        <v>0.39444444444444443</v>
      </c>
      <c r="BI2571" s="4">
        <v>0.43402777777777773</v>
      </c>
      <c r="BJ2571" s="2">
        <v>13</v>
      </c>
      <c r="BK2571" s="2" t="s">
        <v>91</v>
      </c>
      <c r="BL2571" s="2" t="s">
        <v>828</v>
      </c>
      <c r="BM2571" s="2">
        <v>241</v>
      </c>
      <c r="BN2571" s="2" t="s">
        <v>82</v>
      </c>
      <c r="BO2571" s="2" t="s">
        <v>82</v>
      </c>
      <c r="BP2571" s="2">
        <v>13</v>
      </c>
      <c r="BQ2571" s="2" t="s">
        <v>91</v>
      </c>
      <c r="BR2571" s="2" t="s">
        <v>185</v>
      </c>
      <c r="BS2571" s="3">
        <v>40348</v>
      </c>
      <c r="BT2571" s="4">
        <v>0.57501157407407411</v>
      </c>
    </row>
    <row r="2572" spans="1:72" x14ac:dyDescent="0.25">
      <c r="A2572" s="2">
        <v>3745</v>
      </c>
      <c r="B2572" s="2">
        <v>2010</v>
      </c>
      <c r="C2572" s="2" t="s">
        <v>121</v>
      </c>
      <c r="D2572" s="2" t="s">
        <v>122</v>
      </c>
      <c r="E2572" s="2"/>
      <c r="F2572" s="2">
        <v>1</v>
      </c>
      <c r="G2572" s="2" t="s">
        <v>82</v>
      </c>
      <c r="H2572" s="2">
        <v>1</v>
      </c>
      <c r="I2572" s="2" t="s">
        <v>82</v>
      </c>
      <c r="J2572" s="2">
        <v>1</v>
      </c>
      <c r="K2572" s="2" t="s">
        <v>107</v>
      </c>
      <c r="L2572" s="2" t="s">
        <v>107</v>
      </c>
      <c r="M2572" s="3">
        <v>40348</v>
      </c>
      <c r="N2572" s="2"/>
      <c r="O2572" s="2"/>
      <c r="P2572" s="2"/>
      <c r="Q2572" s="2" t="str">
        <f>""</f>
        <v/>
      </c>
      <c r="R2572" s="2"/>
      <c r="S2572" s="2"/>
      <c r="T2572" s="2">
        <v>2</v>
      </c>
      <c r="U2572" s="2" t="s">
        <v>123</v>
      </c>
      <c r="V2572" s="2">
        <v>1</v>
      </c>
      <c r="W2572" s="2" t="s">
        <v>80</v>
      </c>
      <c r="X2572" s="2">
        <v>1</v>
      </c>
      <c r="Y2572" s="2" t="s">
        <v>81</v>
      </c>
      <c r="Z2572" s="2">
        <v>1</v>
      </c>
      <c r="AA2572" s="2" t="s">
        <v>82</v>
      </c>
      <c r="AB2572" s="2">
        <v>9</v>
      </c>
      <c r="AC2572" s="2" t="s">
        <v>124</v>
      </c>
      <c r="AD2572" s="3">
        <v>40348</v>
      </c>
      <c r="AE2572" s="4">
        <v>0.35416666666666669</v>
      </c>
      <c r="AF2572" s="2"/>
      <c r="AG2572" s="2"/>
      <c r="AH2572" s="2">
        <v>2</v>
      </c>
      <c r="AI2572" s="2" t="s">
        <v>84</v>
      </c>
      <c r="AJ2572" s="2">
        <v>9</v>
      </c>
      <c r="AK2572" s="2" t="s">
        <v>103</v>
      </c>
      <c r="AL2572" s="2">
        <v>25</v>
      </c>
      <c r="AM2572" s="2" t="s">
        <v>3073</v>
      </c>
      <c r="AN2572" s="2" t="s">
        <v>8619</v>
      </c>
      <c r="AO2572" s="2" t="s">
        <v>8620</v>
      </c>
      <c r="AP2572" s="2">
        <v>11</v>
      </c>
      <c r="AQ2572" s="2" t="s">
        <v>82</v>
      </c>
      <c r="AR2572" s="2"/>
      <c r="AS2572" s="2"/>
      <c r="AT2572" s="2" t="s">
        <v>8621</v>
      </c>
      <c r="AU2572" s="2"/>
      <c r="AV2572" s="2"/>
      <c r="AW2572" s="2"/>
      <c r="AX2572" s="2"/>
      <c r="AY2572" s="2">
        <v>41</v>
      </c>
      <c r="AZ2572" s="2" t="s">
        <v>82</v>
      </c>
      <c r="BA2572" s="2">
        <v>41</v>
      </c>
      <c r="BB2572" s="2" t="s">
        <v>82</v>
      </c>
      <c r="BC2572" s="2">
        <v>41</v>
      </c>
      <c r="BD2572" s="2" t="s">
        <v>82</v>
      </c>
      <c r="BE2572" s="2">
        <v>41</v>
      </c>
      <c r="BF2572" s="2" t="s">
        <v>82</v>
      </c>
      <c r="BG2572" s="2"/>
      <c r="BH2572" s="2"/>
      <c r="BI2572" s="2"/>
      <c r="BJ2572" s="2">
        <v>242</v>
      </c>
      <c r="BK2572" s="2" t="s">
        <v>107</v>
      </c>
      <c r="BL2572" s="2"/>
      <c r="BM2572" s="2">
        <v>242</v>
      </c>
      <c r="BN2572" s="2" t="s">
        <v>107</v>
      </c>
      <c r="BO2572" s="2"/>
      <c r="BP2572" s="2">
        <v>242</v>
      </c>
      <c r="BQ2572" s="2" t="s">
        <v>107</v>
      </c>
      <c r="BR2572" s="2"/>
      <c r="BS2572" s="3">
        <v>40348</v>
      </c>
      <c r="BT2572" s="4">
        <v>0.63042824074074078</v>
      </c>
    </row>
    <row r="2573" spans="1:72" x14ac:dyDescent="0.25">
      <c r="A2573" s="2">
        <v>3746</v>
      </c>
      <c r="B2573" s="2">
        <v>2010</v>
      </c>
      <c r="C2573" s="2" t="s">
        <v>377</v>
      </c>
      <c r="D2573" s="2" t="s">
        <v>73</v>
      </c>
      <c r="E2573" s="2"/>
      <c r="F2573" s="2">
        <v>426</v>
      </c>
      <c r="G2573" s="2" t="s">
        <v>378</v>
      </c>
      <c r="H2573" s="2">
        <v>22</v>
      </c>
      <c r="I2573" s="2" t="s">
        <v>75</v>
      </c>
      <c r="J2573" s="2">
        <v>311</v>
      </c>
      <c r="K2573" s="2" t="s">
        <v>379</v>
      </c>
      <c r="L2573" s="2" t="s">
        <v>380</v>
      </c>
      <c r="M2573" s="3">
        <v>40348</v>
      </c>
      <c r="N2573" s="2" t="s">
        <v>4427</v>
      </c>
      <c r="O2573" s="2"/>
      <c r="P2573" s="2"/>
      <c r="Q2573" s="2" t="str">
        <f>"130-C/10"</f>
        <v>130-C/10</v>
      </c>
      <c r="R2573" s="2" t="s">
        <v>4428</v>
      </c>
      <c r="S2573" s="2"/>
      <c r="T2573" s="2">
        <v>1</v>
      </c>
      <c r="U2573" s="2" t="s">
        <v>79</v>
      </c>
      <c r="V2573" s="2">
        <v>1</v>
      </c>
      <c r="W2573" s="2" t="s">
        <v>80</v>
      </c>
      <c r="X2573" s="2">
        <v>1</v>
      </c>
      <c r="Y2573" s="2" t="s">
        <v>81</v>
      </c>
      <c r="Z2573" s="2">
        <v>1</v>
      </c>
      <c r="AA2573" s="2" t="s">
        <v>82</v>
      </c>
      <c r="AB2573" s="2">
        <v>9</v>
      </c>
      <c r="AC2573" s="2" t="s">
        <v>124</v>
      </c>
      <c r="AD2573" s="3">
        <v>40348</v>
      </c>
      <c r="AE2573" s="4">
        <v>0.33680555555555558</v>
      </c>
      <c r="AF2573" s="2"/>
      <c r="AG2573" s="2"/>
      <c r="AH2573" s="2">
        <v>2</v>
      </c>
      <c r="AI2573" s="2" t="s">
        <v>84</v>
      </c>
      <c r="AJ2573" s="2">
        <v>9</v>
      </c>
      <c r="AK2573" s="2" t="s">
        <v>103</v>
      </c>
      <c r="AL2573" s="2">
        <v>29</v>
      </c>
      <c r="AM2573" s="2" t="s">
        <v>5416</v>
      </c>
      <c r="AN2573" s="2"/>
      <c r="AO2573" s="2" t="s">
        <v>8622</v>
      </c>
      <c r="AP2573" s="2">
        <v>11</v>
      </c>
      <c r="AQ2573" s="2" t="s">
        <v>82</v>
      </c>
      <c r="AR2573" s="2"/>
      <c r="AS2573" s="2"/>
      <c r="AT2573" s="2" t="s">
        <v>8623</v>
      </c>
      <c r="AU2573" s="2"/>
      <c r="AV2573" s="2"/>
      <c r="AW2573" s="2"/>
      <c r="AX2573" s="2"/>
      <c r="AY2573" s="2">
        <v>41</v>
      </c>
      <c r="AZ2573" s="2" t="s">
        <v>82</v>
      </c>
      <c r="BA2573" s="2">
        <v>41</v>
      </c>
      <c r="BB2573" s="2" t="s">
        <v>82</v>
      </c>
      <c r="BC2573" s="2">
        <v>41</v>
      </c>
      <c r="BD2573" s="2" t="s">
        <v>82</v>
      </c>
      <c r="BE2573" s="2">
        <v>41</v>
      </c>
      <c r="BF2573" s="2" t="s">
        <v>82</v>
      </c>
      <c r="BG2573" s="2"/>
      <c r="BH2573" s="2"/>
      <c r="BI2573" s="2"/>
      <c r="BJ2573" s="2">
        <v>241</v>
      </c>
      <c r="BK2573" s="2" t="s">
        <v>82</v>
      </c>
      <c r="BL2573" s="2"/>
      <c r="BM2573" s="2">
        <v>241</v>
      </c>
      <c r="BN2573" s="2" t="s">
        <v>82</v>
      </c>
      <c r="BO2573" s="2"/>
      <c r="BP2573" s="2">
        <v>241</v>
      </c>
      <c r="BQ2573" s="2" t="s">
        <v>82</v>
      </c>
      <c r="BR2573" s="2"/>
      <c r="BS2573" s="3">
        <v>40348</v>
      </c>
      <c r="BT2573" s="4">
        <v>0.64056712962962969</v>
      </c>
    </row>
    <row r="2574" spans="1:72" x14ac:dyDescent="0.25">
      <c r="A2574" s="2">
        <v>3747</v>
      </c>
      <c r="B2574" s="2">
        <v>2010</v>
      </c>
      <c r="C2574" s="2" t="s">
        <v>377</v>
      </c>
      <c r="D2574" s="2" t="s">
        <v>73</v>
      </c>
      <c r="E2574" s="2"/>
      <c r="F2574" s="2">
        <v>426</v>
      </c>
      <c r="G2574" s="2" t="s">
        <v>378</v>
      </c>
      <c r="H2574" s="2">
        <v>42</v>
      </c>
      <c r="I2574" s="2" t="s">
        <v>1096</v>
      </c>
      <c r="J2574" s="2">
        <v>311</v>
      </c>
      <c r="K2574" s="2" t="s">
        <v>379</v>
      </c>
      <c r="L2574" s="2" t="s">
        <v>380</v>
      </c>
      <c r="M2574" s="3">
        <v>40348</v>
      </c>
      <c r="N2574" s="2" t="s">
        <v>4427</v>
      </c>
      <c r="O2574" s="2"/>
      <c r="P2574" s="2"/>
      <c r="Q2574" s="2" t="str">
        <f>"131-C/10"</f>
        <v>131-C/10</v>
      </c>
      <c r="R2574" s="2" t="s">
        <v>5773</v>
      </c>
      <c r="S2574" s="2"/>
      <c r="T2574" s="2">
        <v>1</v>
      </c>
      <c r="U2574" s="2" t="s">
        <v>79</v>
      </c>
      <c r="V2574" s="2">
        <v>1</v>
      </c>
      <c r="W2574" s="2" t="s">
        <v>80</v>
      </c>
      <c r="X2574" s="2">
        <v>1</v>
      </c>
      <c r="Y2574" s="2" t="s">
        <v>81</v>
      </c>
      <c r="Z2574" s="2">
        <v>1</v>
      </c>
      <c r="AA2574" s="2" t="s">
        <v>82</v>
      </c>
      <c r="AB2574" s="2">
        <v>9</v>
      </c>
      <c r="AC2574" s="2" t="s">
        <v>124</v>
      </c>
      <c r="AD2574" s="3">
        <v>40348</v>
      </c>
      <c r="AE2574" s="4">
        <v>0.3611111111111111</v>
      </c>
      <c r="AF2574" s="2"/>
      <c r="AG2574" s="2"/>
      <c r="AH2574" s="2">
        <v>2</v>
      </c>
      <c r="AI2574" s="2" t="s">
        <v>84</v>
      </c>
      <c r="AJ2574" s="2">
        <v>9</v>
      </c>
      <c r="AK2574" s="2" t="s">
        <v>103</v>
      </c>
      <c r="AL2574" s="2">
        <v>29</v>
      </c>
      <c r="AM2574" s="2" t="s">
        <v>5416</v>
      </c>
      <c r="AN2574" s="2"/>
      <c r="AO2574" s="2" t="s">
        <v>8624</v>
      </c>
      <c r="AP2574" s="2">
        <v>11</v>
      </c>
      <c r="AQ2574" s="2" t="s">
        <v>82</v>
      </c>
      <c r="AR2574" s="2"/>
      <c r="AS2574" s="2"/>
      <c r="AT2574" s="2" t="s">
        <v>8625</v>
      </c>
      <c r="AU2574" s="2"/>
      <c r="AV2574" s="2"/>
      <c r="AW2574" s="2"/>
      <c r="AX2574" s="2"/>
      <c r="AY2574" s="2">
        <v>41</v>
      </c>
      <c r="AZ2574" s="2" t="s">
        <v>82</v>
      </c>
      <c r="BA2574" s="2">
        <v>41</v>
      </c>
      <c r="BB2574" s="2" t="s">
        <v>82</v>
      </c>
      <c r="BC2574" s="2">
        <v>41</v>
      </c>
      <c r="BD2574" s="2" t="s">
        <v>82</v>
      </c>
      <c r="BE2574" s="2">
        <v>41</v>
      </c>
      <c r="BF2574" s="2" t="s">
        <v>82</v>
      </c>
      <c r="BG2574" s="2"/>
      <c r="BH2574" s="2"/>
      <c r="BI2574" s="2"/>
      <c r="BJ2574" s="2">
        <v>241</v>
      </c>
      <c r="BK2574" s="2" t="s">
        <v>82</v>
      </c>
      <c r="BL2574" s="2"/>
      <c r="BM2574" s="2">
        <v>241</v>
      </c>
      <c r="BN2574" s="2" t="s">
        <v>82</v>
      </c>
      <c r="BO2574" s="2"/>
      <c r="BP2574" s="2">
        <v>241</v>
      </c>
      <c r="BQ2574" s="2" t="s">
        <v>82</v>
      </c>
      <c r="BR2574" s="2"/>
      <c r="BS2574" s="3">
        <v>40348</v>
      </c>
      <c r="BT2574" s="4">
        <v>0.64908564814814818</v>
      </c>
    </row>
    <row r="2575" spans="1:72" x14ac:dyDescent="0.25">
      <c r="A2575" s="2">
        <v>3748</v>
      </c>
      <c r="B2575" s="2">
        <v>2010</v>
      </c>
      <c r="C2575" s="2" t="s">
        <v>819</v>
      </c>
      <c r="D2575" s="2" t="s">
        <v>122</v>
      </c>
      <c r="E2575" s="2" t="s">
        <v>8626</v>
      </c>
      <c r="F2575" s="2">
        <v>425</v>
      </c>
      <c r="G2575" s="2" t="s">
        <v>286</v>
      </c>
      <c r="H2575" s="2">
        <v>39</v>
      </c>
      <c r="I2575" s="2" t="s">
        <v>1117</v>
      </c>
      <c r="J2575" s="2">
        <v>310</v>
      </c>
      <c r="K2575" s="2" t="s">
        <v>288</v>
      </c>
      <c r="L2575" s="2" t="s">
        <v>289</v>
      </c>
      <c r="M2575" s="3">
        <v>40348</v>
      </c>
      <c r="N2575" s="2" t="s">
        <v>290</v>
      </c>
      <c r="O2575" s="2"/>
      <c r="P2575" s="2"/>
      <c r="Q2575" s="2" t="str">
        <f>"074/10"</f>
        <v>074/10</v>
      </c>
      <c r="R2575" s="2" t="s">
        <v>822</v>
      </c>
      <c r="S2575" s="2"/>
      <c r="T2575" s="2">
        <v>1</v>
      </c>
      <c r="U2575" s="2" t="s">
        <v>79</v>
      </c>
      <c r="V2575" s="2">
        <v>1</v>
      </c>
      <c r="W2575" s="2" t="s">
        <v>80</v>
      </c>
      <c r="X2575" s="2">
        <v>1</v>
      </c>
      <c r="Y2575" s="2" t="s">
        <v>81</v>
      </c>
      <c r="Z2575" s="2">
        <v>10</v>
      </c>
      <c r="AA2575" s="2" t="s">
        <v>236</v>
      </c>
      <c r="AB2575" s="2">
        <v>9</v>
      </c>
      <c r="AC2575" s="2" t="s">
        <v>124</v>
      </c>
      <c r="AD2575" s="3">
        <v>40348</v>
      </c>
      <c r="AE2575" s="4">
        <v>0.54166666666666663</v>
      </c>
      <c r="AF2575" s="2"/>
      <c r="AG2575" s="2"/>
      <c r="AH2575" s="2">
        <v>4</v>
      </c>
      <c r="AI2575" s="2" t="s">
        <v>125</v>
      </c>
      <c r="AJ2575" s="2">
        <v>29</v>
      </c>
      <c r="AK2575" s="2" t="s">
        <v>227</v>
      </c>
      <c r="AL2575" s="2">
        <v>16</v>
      </c>
      <c r="AM2575" s="2" t="s">
        <v>392</v>
      </c>
      <c r="AN2575" s="2" t="s">
        <v>3040</v>
      </c>
      <c r="AO2575" s="2" t="s">
        <v>5095</v>
      </c>
      <c r="AP2575" s="2">
        <v>12</v>
      </c>
      <c r="AQ2575" s="2" t="s">
        <v>322</v>
      </c>
      <c r="AR2575" s="2" t="s">
        <v>824</v>
      </c>
      <c r="AS2575" s="2" t="s">
        <v>825</v>
      </c>
      <c r="AT2575" s="2" t="s">
        <v>8627</v>
      </c>
      <c r="AU2575" s="2"/>
      <c r="AV2575" s="2"/>
      <c r="AW2575" s="2"/>
      <c r="AX2575" s="2"/>
      <c r="AY2575" s="2">
        <v>41</v>
      </c>
      <c r="AZ2575" s="2" t="s">
        <v>82</v>
      </c>
      <c r="BA2575" s="2">
        <v>41</v>
      </c>
      <c r="BB2575" s="2" t="s">
        <v>82</v>
      </c>
      <c r="BC2575" s="2">
        <v>51</v>
      </c>
      <c r="BD2575" s="2" t="s">
        <v>827</v>
      </c>
      <c r="BE2575" s="2">
        <v>47</v>
      </c>
      <c r="BF2575" s="2" t="s">
        <v>167</v>
      </c>
      <c r="BG2575" s="2">
        <v>2451</v>
      </c>
      <c r="BH2575" s="4">
        <v>0.39444444444444443</v>
      </c>
      <c r="BI2575" s="4">
        <v>0.43402777777777773</v>
      </c>
      <c r="BJ2575" s="2">
        <v>13</v>
      </c>
      <c r="BK2575" s="2" t="s">
        <v>91</v>
      </c>
      <c r="BL2575" s="2" t="s">
        <v>828</v>
      </c>
      <c r="BM2575" s="2">
        <v>241</v>
      </c>
      <c r="BN2575" s="2" t="s">
        <v>82</v>
      </c>
      <c r="BO2575" s="2" t="s">
        <v>82</v>
      </c>
      <c r="BP2575" s="2">
        <v>13</v>
      </c>
      <c r="BQ2575" s="2" t="s">
        <v>91</v>
      </c>
      <c r="BR2575" s="2" t="s">
        <v>185</v>
      </c>
      <c r="BS2575" s="3">
        <v>40348</v>
      </c>
      <c r="BT2575" s="4">
        <v>0.7211805555555556</v>
      </c>
    </row>
    <row r="2576" spans="1:72" x14ac:dyDescent="0.25">
      <c r="A2576" s="2">
        <v>3749</v>
      </c>
      <c r="B2576" s="2">
        <v>2010</v>
      </c>
      <c r="C2576" s="2" t="s">
        <v>93</v>
      </c>
      <c r="D2576" s="2" t="s">
        <v>73</v>
      </c>
      <c r="E2576" s="2"/>
      <c r="F2576" s="2">
        <v>152</v>
      </c>
      <c r="G2576" s="2" t="s">
        <v>7866</v>
      </c>
      <c r="H2576" s="2">
        <v>5</v>
      </c>
      <c r="I2576" s="2" t="s">
        <v>634</v>
      </c>
      <c r="J2576" s="2">
        <v>164</v>
      </c>
      <c r="K2576" s="2" t="s">
        <v>3254</v>
      </c>
      <c r="L2576" s="2" t="s">
        <v>946</v>
      </c>
      <c r="M2576" s="3">
        <v>40348</v>
      </c>
      <c r="N2576" s="2" t="s">
        <v>8628</v>
      </c>
      <c r="O2576" s="2" t="s">
        <v>148</v>
      </c>
      <c r="P2576" s="2">
        <v>13102</v>
      </c>
      <c r="Q2576" s="2" t="str">
        <f>"0087/2010"</f>
        <v>0087/2010</v>
      </c>
      <c r="R2576" s="2" t="s">
        <v>1695</v>
      </c>
      <c r="S2576" s="2"/>
      <c r="T2576" s="2">
        <v>1</v>
      </c>
      <c r="U2576" s="2" t="s">
        <v>79</v>
      </c>
      <c r="V2576" s="2">
        <v>1</v>
      </c>
      <c r="W2576" s="2" t="s">
        <v>80</v>
      </c>
      <c r="X2576" s="2">
        <v>3</v>
      </c>
      <c r="Y2576" s="2" t="s">
        <v>698</v>
      </c>
      <c r="Z2576" s="2">
        <v>9</v>
      </c>
      <c r="AA2576" s="2" t="s">
        <v>1119</v>
      </c>
      <c r="AB2576" s="2">
        <v>2</v>
      </c>
      <c r="AC2576" s="2" t="s">
        <v>102</v>
      </c>
      <c r="AD2576" s="3">
        <v>40348</v>
      </c>
      <c r="AE2576" s="4">
        <v>0.71875</v>
      </c>
      <c r="AF2576" s="2"/>
      <c r="AG2576" s="2"/>
      <c r="AH2576" s="2">
        <v>5</v>
      </c>
      <c r="AI2576" s="2" t="s">
        <v>274</v>
      </c>
      <c r="AJ2576" s="2">
        <v>38</v>
      </c>
      <c r="AK2576" s="2" t="s">
        <v>1120</v>
      </c>
      <c r="AL2576" s="2">
        <v>14</v>
      </c>
      <c r="AM2576" s="2" t="s">
        <v>216</v>
      </c>
      <c r="AN2576" s="2"/>
      <c r="AO2576" s="2" t="s">
        <v>8629</v>
      </c>
      <c r="AP2576" s="2">
        <v>11</v>
      </c>
      <c r="AQ2576" s="2" t="s">
        <v>82</v>
      </c>
      <c r="AR2576" s="2"/>
      <c r="AS2576" s="2"/>
      <c r="AT2576" s="2" t="s">
        <v>8630</v>
      </c>
      <c r="AU2576" s="2"/>
      <c r="AV2576" s="2"/>
      <c r="AW2576" s="2"/>
      <c r="AX2576" s="2"/>
      <c r="AY2576" s="2">
        <v>41</v>
      </c>
      <c r="AZ2576" s="2" t="s">
        <v>82</v>
      </c>
      <c r="BA2576" s="2">
        <v>41</v>
      </c>
      <c r="BB2576" s="2" t="s">
        <v>82</v>
      </c>
      <c r="BC2576" s="2">
        <v>41</v>
      </c>
      <c r="BD2576" s="2" t="s">
        <v>82</v>
      </c>
      <c r="BE2576" s="2">
        <v>47</v>
      </c>
      <c r="BF2576" s="2" t="s">
        <v>167</v>
      </c>
      <c r="BG2576" s="2">
        <v>2729</v>
      </c>
      <c r="BH2576" s="4">
        <v>0.70833333333333337</v>
      </c>
      <c r="BI2576" s="4">
        <v>0.72916666666666663</v>
      </c>
      <c r="BJ2576" s="2">
        <v>13</v>
      </c>
      <c r="BK2576" s="2" t="s">
        <v>91</v>
      </c>
      <c r="BL2576" s="2" t="s">
        <v>1697</v>
      </c>
      <c r="BM2576" s="2">
        <v>241</v>
      </c>
      <c r="BN2576" s="2" t="s">
        <v>82</v>
      </c>
      <c r="BO2576" s="2"/>
      <c r="BP2576" s="2">
        <v>13</v>
      </c>
      <c r="BQ2576" s="2" t="s">
        <v>91</v>
      </c>
      <c r="BR2576" s="2" t="s">
        <v>170</v>
      </c>
      <c r="BS2576" s="3">
        <v>40348</v>
      </c>
      <c r="BT2576" s="4">
        <v>0.75758101851851845</v>
      </c>
    </row>
    <row r="2577" spans="1:72" x14ac:dyDescent="0.25">
      <c r="A2577" s="2">
        <v>3750</v>
      </c>
      <c r="B2577" s="2">
        <v>2010</v>
      </c>
      <c r="C2577" s="2" t="s">
        <v>72</v>
      </c>
      <c r="D2577" s="2" t="s">
        <v>73</v>
      </c>
      <c r="E2577" s="2"/>
      <c r="F2577" s="2">
        <v>389</v>
      </c>
      <c r="G2577" s="2" t="s">
        <v>1819</v>
      </c>
      <c r="H2577" s="2">
        <v>2</v>
      </c>
      <c r="I2577" s="2" t="s">
        <v>267</v>
      </c>
      <c r="J2577" s="2">
        <v>399</v>
      </c>
      <c r="K2577" s="2" t="s">
        <v>1820</v>
      </c>
      <c r="L2577" s="2" t="s">
        <v>1821</v>
      </c>
      <c r="M2577" s="3">
        <v>40348</v>
      </c>
      <c r="N2577" s="2" t="s">
        <v>5653</v>
      </c>
      <c r="O2577" s="2" t="s">
        <v>107</v>
      </c>
      <c r="P2577" s="2" t="s">
        <v>107</v>
      </c>
      <c r="Q2577" s="2" t="str">
        <f>"327-E/10"</f>
        <v>327-E/10</v>
      </c>
      <c r="R2577" s="2" t="s">
        <v>78</v>
      </c>
      <c r="S2577" s="2" t="s">
        <v>78</v>
      </c>
      <c r="T2577" s="2">
        <v>1</v>
      </c>
      <c r="U2577" s="2" t="s">
        <v>79</v>
      </c>
      <c r="V2577" s="2">
        <v>1</v>
      </c>
      <c r="W2577" s="2" t="s">
        <v>80</v>
      </c>
      <c r="X2577" s="2">
        <v>12</v>
      </c>
      <c r="Y2577" s="2" t="s">
        <v>148</v>
      </c>
      <c r="Z2577" s="2">
        <v>1</v>
      </c>
      <c r="AA2577" s="2" t="s">
        <v>82</v>
      </c>
      <c r="AB2577" s="2">
        <v>6</v>
      </c>
      <c r="AC2577" s="2" t="s">
        <v>83</v>
      </c>
      <c r="AD2577" s="3">
        <v>40348</v>
      </c>
      <c r="AE2577" s="2"/>
      <c r="AF2577" s="3">
        <v>40348</v>
      </c>
      <c r="AG2577" s="4">
        <v>0.39583333333333331</v>
      </c>
      <c r="AH2577" s="2">
        <v>2</v>
      </c>
      <c r="AI2577" s="2" t="s">
        <v>84</v>
      </c>
      <c r="AJ2577" s="2">
        <v>9</v>
      </c>
      <c r="AK2577" s="2" t="s">
        <v>103</v>
      </c>
      <c r="AL2577" s="2">
        <v>22</v>
      </c>
      <c r="AM2577" s="2" t="s">
        <v>1853</v>
      </c>
      <c r="AN2577" s="2"/>
      <c r="AO2577" s="2" t="s">
        <v>7625</v>
      </c>
      <c r="AP2577" s="2">
        <v>11</v>
      </c>
      <c r="AQ2577" s="2" t="s">
        <v>82</v>
      </c>
      <c r="AR2577" s="2"/>
      <c r="AS2577" s="2"/>
      <c r="AT2577" s="2" t="s">
        <v>8631</v>
      </c>
      <c r="AU2577" s="2"/>
      <c r="AV2577" s="2"/>
      <c r="AW2577" s="2"/>
      <c r="AX2577" s="2"/>
      <c r="AY2577" s="2">
        <v>41</v>
      </c>
      <c r="AZ2577" s="2" t="s">
        <v>82</v>
      </c>
      <c r="BA2577" s="2">
        <v>41</v>
      </c>
      <c r="BB2577" s="2" t="s">
        <v>82</v>
      </c>
      <c r="BC2577" s="2">
        <v>41</v>
      </c>
      <c r="BD2577" s="2" t="s">
        <v>82</v>
      </c>
      <c r="BE2577" s="2">
        <v>4</v>
      </c>
      <c r="BF2577" s="2" t="s">
        <v>90</v>
      </c>
      <c r="BG2577" s="2" t="s">
        <v>3994</v>
      </c>
      <c r="BH2577" s="4">
        <v>0.27083333333333331</v>
      </c>
      <c r="BI2577" s="2"/>
      <c r="BJ2577" s="2">
        <v>19</v>
      </c>
      <c r="BK2577" s="2" t="s">
        <v>8632</v>
      </c>
      <c r="BL2577" s="2" t="s">
        <v>8633</v>
      </c>
      <c r="BM2577" s="2">
        <v>75</v>
      </c>
      <c r="BN2577" s="2" t="s">
        <v>1264</v>
      </c>
      <c r="BO2577" s="2" t="s">
        <v>1361</v>
      </c>
      <c r="BP2577" s="2">
        <v>13</v>
      </c>
      <c r="BQ2577" s="2" t="s">
        <v>91</v>
      </c>
      <c r="BR2577" s="2" t="s">
        <v>360</v>
      </c>
      <c r="BS2577" s="3">
        <v>40348</v>
      </c>
      <c r="BT2577" s="4">
        <v>0.76601851851851854</v>
      </c>
    </row>
    <row r="2578" spans="1:72" x14ac:dyDescent="0.25">
      <c r="A2578" s="2">
        <v>3752</v>
      </c>
      <c r="B2578" s="2">
        <v>2010</v>
      </c>
      <c r="C2578" s="2" t="s">
        <v>377</v>
      </c>
      <c r="D2578" s="2" t="s">
        <v>73</v>
      </c>
      <c r="E2578" s="2"/>
      <c r="F2578" s="2">
        <v>426</v>
      </c>
      <c r="G2578" s="2" t="s">
        <v>378</v>
      </c>
      <c r="H2578" s="2">
        <v>22</v>
      </c>
      <c r="I2578" s="2" t="s">
        <v>75</v>
      </c>
      <c r="J2578" s="2">
        <v>311</v>
      </c>
      <c r="K2578" s="2" t="s">
        <v>379</v>
      </c>
      <c r="L2578" s="2" t="s">
        <v>380</v>
      </c>
      <c r="M2578" s="3">
        <v>40348</v>
      </c>
      <c r="N2578" s="2" t="s">
        <v>4427</v>
      </c>
      <c r="O2578" s="2"/>
      <c r="P2578" s="2"/>
      <c r="Q2578" s="2" t="str">
        <f>"132-C/10"</f>
        <v>132-C/10</v>
      </c>
      <c r="R2578" s="2" t="s">
        <v>4428</v>
      </c>
      <c r="S2578" s="2"/>
      <c r="T2578" s="2">
        <v>1</v>
      </c>
      <c r="U2578" s="2" t="s">
        <v>79</v>
      </c>
      <c r="V2578" s="2">
        <v>1</v>
      </c>
      <c r="W2578" s="2" t="s">
        <v>80</v>
      </c>
      <c r="X2578" s="2">
        <v>1</v>
      </c>
      <c r="Y2578" s="2" t="s">
        <v>81</v>
      </c>
      <c r="Z2578" s="2">
        <v>1</v>
      </c>
      <c r="AA2578" s="2" t="s">
        <v>82</v>
      </c>
      <c r="AB2578" s="2">
        <v>9</v>
      </c>
      <c r="AC2578" s="2" t="s">
        <v>124</v>
      </c>
      <c r="AD2578" s="3">
        <v>40348</v>
      </c>
      <c r="AE2578" s="4">
        <v>0.75694444444444453</v>
      </c>
      <c r="AF2578" s="2"/>
      <c r="AG2578" s="2"/>
      <c r="AH2578" s="2">
        <v>2</v>
      </c>
      <c r="AI2578" s="2" t="s">
        <v>84</v>
      </c>
      <c r="AJ2578" s="2">
        <v>9</v>
      </c>
      <c r="AK2578" s="2" t="s">
        <v>103</v>
      </c>
      <c r="AL2578" s="2">
        <v>29</v>
      </c>
      <c r="AM2578" s="2" t="s">
        <v>5416</v>
      </c>
      <c r="AN2578" s="2"/>
      <c r="AO2578" s="2" t="s">
        <v>3460</v>
      </c>
      <c r="AP2578" s="2">
        <v>11</v>
      </c>
      <c r="AQ2578" s="2" t="s">
        <v>82</v>
      </c>
      <c r="AR2578" s="2"/>
      <c r="AS2578" s="2"/>
      <c r="AT2578" s="2" t="s">
        <v>8634</v>
      </c>
      <c r="AU2578" s="2"/>
      <c r="AV2578" s="2"/>
      <c r="AW2578" s="2"/>
      <c r="AX2578" s="2"/>
      <c r="AY2578" s="2">
        <v>41</v>
      </c>
      <c r="AZ2578" s="2" t="s">
        <v>82</v>
      </c>
      <c r="BA2578" s="2">
        <v>41</v>
      </c>
      <c r="BB2578" s="2" t="s">
        <v>82</v>
      </c>
      <c r="BC2578" s="2">
        <v>41</v>
      </c>
      <c r="BD2578" s="2" t="s">
        <v>82</v>
      </c>
      <c r="BE2578" s="2">
        <v>41</v>
      </c>
      <c r="BF2578" s="2" t="s">
        <v>82</v>
      </c>
      <c r="BG2578" s="2"/>
      <c r="BH2578" s="2"/>
      <c r="BI2578" s="2"/>
      <c r="BJ2578" s="2">
        <v>241</v>
      </c>
      <c r="BK2578" s="2" t="s">
        <v>82</v>
      </c>
      <c r="BL2578" s="2"/>
      <c r="BM2578" s="2">
        <v>241</v>
      </c>
      <c r="BN2578" s="2" t="s">
        <v>82</v>
      </c>
      <c r="BO2578" s="2"/>
      <c r="BP2578" s="2">
        <v>241</v>
      </c>
      <c r="BQ2578" s="2" t="s">
        <v>82</v>
      </c>
      <c r="BR2578" s="2"/>
      <c r="BS2578" s="3">
        <v>40348</v>
      </c>
      <c r="BT2578" s="4">
        <v>0.91997685185185185</v>
      </c>
    </row>
    <row r="2579" spans="1:72" x14ac:dyDescent="0.25">
      <c r="A2579" s="2">
        <v>3753</v>
      </c>
      <c r="B2579" s="2">
        <v>2010</v>
      </c>
      <c r="C2579" s="2" t="s">
        <v>72</v>
      </c>
      <c r="D2579" s="2" t="s">
        <v>73</v>
      </c>
      <c r="E2579" s="2"/>
      <c r="F2579" s="2">
        <v>170</v>
      </c>
      <c r="G2579" s="2" t="s">
        <v>7892</v>
      </c>
      <c r="H2579" s="2">
        <v>22</v>
      </c>
      <c r="I2579" s="2" t="s">
        <v>75</v>
      </c>
      <c r="J2579" s="2">
        <v>550</v>
      </c>
      <c r="K2579" s="2" t="s">
        <v>6744</v>
      </c>
      <c r="L2579" s="2" t="s">
        <v>6745</v>
      </c>
      <c r="M2579" s="3">
        <v>40348</v>
      </c>
      <c r="N2579" s="2" t="s">
        <v>7893</v>
      </c>
      <c r="O2579" s="2" t="s">
        <v>107</v>
      </c>
      <c r="P2579" s="2" t="s">
        <v>107</v>
      </c>
      <c r="Q2579" s="2" t="str">
        <f>"219-A/10"</f>
        <v>219-A/10</v>
      </c>
      <c r="R2579" s="2" t="s">
        <v>78</v>
      </c>
      <c r="S2579" s="2" t="s">
        <v>78</v>
      </c>
      <c r="T2579" s="2">
        <v>1</v>
      </c>
      <c r="U2579" s="2" t="s">
        <v>79</v>
      </c>
      <c r="V2579" s="2">
        <v>1</v>
      </c>
      <c r="W2579" s="2" t="s">
        <v>80</v>
      </c>
      <c r="X2579" s="2">
        <v>12</v>
      </c>
      <c r="Y2579" s="2" t="s">
        <v>148</v>
      </c>
      <c r="Z2579" s="2">
        <v>1</v>
      </c>
      <c r="AA2579" s="2" t="s">
        <v>82</v>
      </c>
      <c r="AB2579" s="2">
        <v>6</v>
      </c>
      <c r="AC2579" s="2" t="s">
        <v>83</v>
      </c>
      <c r="AD2579" s="3">
        <v>40348</v>
      </c>
      <c r="AE2579" s="2"/>
      <c r="AF2579" s="3">
        <v>40348</v>
      </c>
      <c r="AG2579" s="4">
        <v>0.8125</v>
      </c>
      <c r="AH2579" s="2">
        <v>2</v>
      </c>
      <c r="AI2579" s="2" t="s">
        <v>84</v>
      </c>
      <c r="AJ2579" s="2">
        <v>12</v>
      </c>
      <c r="AK2579" s="2" t="s">
        <v>85</v>
      </c>
      <c r="AL2579" s="2">
        <v>12</v>
      </c>
      <c r="AM2579" s="2" t="s">
        <v>86</v>
      </c>
      <c r="AN2579" s="2" t="s">
        <v>8635</v>
      </c>
      <c r="AO2579" s="2" t="s">
        <v>8636</v>
      </c>
      <c r="AP2579" s="2">
        <v>11</v>
      </c>
      <c r="AQ2579" s="2" t="s">
        <v>82</v>
      </c>
      <c r="AR2579" s="2"/>
      <c r="AS2579" s="2"/>
      <c r="AT2579" s="2" t="s">
        <v>8637</v>
      </c>
      <c r="AU2579" s="2"/>
      <c r="AV2579" s="2"/>
      <c r="AW2579" s="2"/>
      <c r="AX2579" s="2"/>
      <c r="AY2579" s="2">
        <v>41</v>
      </c>
      <c r="AZ2579" s="2" t="s">
        <v>82</v>
      </c>
      <c r="BA2579" s="2">
        <v>41</v>
      </c>
      <c r="BB2579" s="2" t="s">
        <v>82</v>
      </c>
      <c r="BC2579" s="2">
        <v>41</v>
      </c>
      <c r="BD2579" s="2" t="s">
        <v>82</v>
      </c>
      <c r="BE2579" s="2">
        <v>41</v>
      </c>
      <c r="BF2579" s="2" t="s">
        <v>82</v>
      </c>
      <c r="BG2579" s="2"/>
      <c r="BH2579" s="2"/>
      <c r="BI2579" s="2"/>
      <c r="BJ2579" s="2">
        <v>241</v>
      </c>
      <c r="BK2579" s="2" t="s">
        <v>82</v>
      </c>
      <c r="BL2579" s="2"/>
      <c r="BM2579" s="2">
        <v>241</v>
      </c>
      <c r="BN2579" s="2" t="s">
        <v>82</v>
      </c>
      <c r="BO2579" s="2"/>
      <c r="BP2579" s="2">
        <v>241</v>
      </c>
      <c r="BQ2579" s="2" t="s">
        <v>82</v>
      </c>
      <c r="BR2579" s="2"/>
      <c r="BS2579" s="3">
        <v>40348</v>
      </c>
      <c r="BT2579" s="4">
        <v>0.92690972222222223</v>
      </c>
    </row>
    <row r="2580" spans="1:72" x14ac:dyDescent="0.25">
      <c r="A2580" s="2">
        <v>3754</v>
      </c>
      <c r="B2580" s="2">
        <v>2010</v>
      </c>
      <c r="C2580" s="2" t="s">
        <v>93</v>
      </c>
      <c r="D2580" s="2" t="s">
        <v>73</v>
      </c>
      <c r="E2580" s="2"/>
      <c r="F2580" s="2">
        <v>540</v>
      </c>
      <c r="G2580" s="2" t="s">
        <v>7178</v>
      </c>
      <c r="H2580" s="2">
        <v>5</v>
      </c>
      <c r="I2580" s="2" t="s">
        <v>634</v>
      </c>
      <c r="J2580" s="2">
        <v>451</v>
      </c>
      <c r="K2580" s="2" t="s">
        <v>3028</v>
      </c>
      <c r="L2580" s="2" t="s">
        <v>3029</v>
      </c>
      <c r="M2580" s="3">
        <v>40348</v>
      </c>
      <c r="N2580" s="2" t="s">
        <v>8265</v>
      </c>
      <c r="O2580" s="2" t="s">
        <v>8638</v>
      </c>
      <c r="P2580" s="2"/>
      <c r="Q2580" s="2" t="str">
        <f>""</f>
        <v/>
      </c>
      <c r="R2580" s="2" t="s">
        <v>100</v>
      </c>
      <c r="S2580" s="2"/>
      <c r="T2580" s="2">
        <v>1</v>
      </c>
      <c r="U2580" s="2" t="s">
        <v>79</v>
      </c>
      <c r="V2580" s="2">
        <v>1</v>
      </c>
      <c r="W2580" s="2" t="s">
        <v>80</v>
      </c>
      <c r="X2580" s="2">
        <v>10</v>
      </c>
      <c r="Y2580" s="2" t="s">
        <v>226</v>
      </c>
      <c r="Z2580" s="2">
        <v>6</v>
      </c>
      <c r="AA2580" s="2" t="s">
        <v>101</v>
      </c>
      <c r="AB2580" s="2">
        <v>2</v>
      </c>
      <c r="AC2580" s="2" t="s">
        <v>102</v>
      </c>
      <c r="AD2580" s="3">
        <v>40348</v>
      </c>
      <c r="AE2580" s="4">
        <v>0.52083333333333337</v>
      </c>
      <c r="AF2580" s="2"/>
      <c r="AG2580" s="2"/>
      <c r="AH2580" s="2">
        <v>2</v>
      </c>
      <c r="AI2580" s="2" t="s">
        <v>84</v>
      </c>
      <c r="AJ2580" s="2">
        <v>9</v>
      </c>
      <c r="AK2580" s="2" t="s">
        <v>103</v>
      </c>
      <c r="AL2580" s="2">
        <v>14</v>
      </c>
      <c r="AM2580" s="2" t="s">
        <v>216</v>
      </c>
      <c r="AN2580" s="2"/>
      <c r="AO2580" s="2" t="s">
        <v>7664</v>
      </c>
      <c r="AP2580" s="2">
        <v>11</v>
      </c>
      <c r="AQ2580" s="2" t="s">
        <v>82</v>
      </c>
      <c r="AR2580" s="2"/>
      <c r="AS2580" s="2"/>
      <c r="AT2580" s="2" t="s">
        <v>8639</v>
      </c>
      <c r="AU2580" s="2"/>
      <c r="AV2580" s="2"/>
      <c r="AW2580" s="2"/>
      <c r="AX2580" s="2"/>
      <c r="AY2580" s="2">
        <v>41</v>
      </c>
      <c r="AZ2580" s="2" t="s">
        <v>82</v>
      </c>
      <c r="BA2580" s="2">
        <v>41</v>
      </c>
      <c r="BB2580" s="2" t="s">
        <v>82</v>
      </c>
      <c r="BC2580" s="2">
        <v>41</v>
      </c>
      <c r="BD2580" s="2" t="s">
        <v>82</v>
      </c>
      <c r="BE2580" s="2">
        <v>27</v>
      </c>
      <c r="BF2580" s="2" t="s">
        <v>2197</v>
      </c>
      <c r="BG2580" s="2" t="s">
        <v>8204</v>
      </c>
      <c r="BH2580" s="2"/>
      <c r="BI2580" s="2"/>
      <c r="BJ2580" s="2">
        <v>13</v>
      </c>
      <c r="BK2580" s="2" t="s">
        <v>91</v>
      </c>
      <c r="BL2580" s="2" t="s">
        <v>360</v>
      </c>
      <c r="BM2580" s="2">
        <v>241</v>
      </c>
      <c r="BN2580" s="2" t="s">
        <v>82</v>
      </c>
      <c r="BO2580" s="2"/>
      <c r="BP2580" s="2">
        <v>112</v>
      </c>
      <c r="BQ2580" s="2" t="s">
        <v>110</v>
      </c>
      <c r="BR2580" s="2" t="s">
        <v>111</v>
      </c>
      <c r="BS2580" s="3">
        <v>40348</v>
      </c>
      <c r="BT2580" s="4">
        <v>0.97042824074074074</v>
      </c>
    </row>
    <row r="2581" spans="1:72" x14ac:dyDescent="0.25">
      <c r="A2581" s="2">
        <v>3755</v>
      </c>
      <c r="B2581" s="2">
        <v>2010</v>
      </c>
      <c r="C2581" s="2" t="s">
        <v>72</v>
      </c>
      <c r="D2581" s="2" t="s">
        <v>73</v>
      </c>
      <c r="E2581" s="2"/>
      <c r="F2581" s="2">
        <v>169</v>
      </c>
      <c r="G2581" s="2" t="s">
        <v>1009</v>
      </c>
      <c r="H2581" s="2">
        <v>126</v>
      </c>
      <c r="I2581" s="2" t="s">
        <v>8640</v>
      </c>
      <c r="J2581" s="2">
        <v>591</v>
      </c>
      <c r="K2581" s="2" t="s">
        <v>1775</v>
      </c>
      <c r="L2581" s="2" t="s">
        <v>8641</v>
      </c>
      <c r="M2581" s="3">
        <v>40349</v>
      </c>
      <c r="N2581" s="2" t="s">
        <v>8642</v>
      </c>
      <c r="O2581" s="2" t="s">
        <v>107</v>
      </c>
      <c r="P2581" s="2" t="s">
        <v>107</v>
      </c>
      <c r="Q2581" s="2" t="str">
        <f>"220-A/10"</f>
        <v>220-A/10</v>
      </c>
      <c r="R2581" s="2" t="s">
        <v>116</v>
      </c>
      <c r="S2581" s="2" t="s">
        <v>116</v>
      </c>
      <c r="T2581" s="2">
        <v>1</v>
      </c>
      <c r="U2581" s="2" t="s">
        <v>79</v>
      </c>
      <c r="V2581" s="2">
        <v>1</v>
      </c>
      <c r="W2581" s="2" t="s">
        <v>80</v>
      </c>
      <c r="X2581" s="2">
        <v>1</v>
      </c>
      <c r="Y2581" s="2" t="s">
        <v>81</v>
      </c>
      <c r="Z2581" s="2">
        <v>1</v>
      </c>
      <c r="AA2581" s="2" t="s">
        <v>82</v>
      </c>
      <c r="AB2581" s="2">
        <v>6</v>
      </c>
      <c r="AC2581" s="2" t="s">
        <v>83</v>
      </c>
      <c r="AD2581" s="3">
        <v>40349</v>
      </c>
      <c r="AE2581" s="2"/>
      <c r="AF2581" s="3">
        <v>40349</v>
      </c>
      <c r="AG2581" s="4">
        <v>6.9444444444444434E-2</v>
      </c>
      <c r="AH2581" s="2">
        <v>2</v>
      </c>
      <c r="AI2581" s="2" t="s">
        <v>84</v>
      </c>
      <c r="AJ2581" s="2">
        <v>12</v>
      </c>
      <c r="AK2581" s="2" t="s">
        <v>85</v>
      </c>
      <c r="AL2581" s="2">
        <v>14</v>
      </c>
      <c r="AM2581" s="2" t="s">
        <v>216</v>
      </c>
      <c r="AN2581" s="2" t="s">
        <v>8643</v>
      </c>
      <c r="AO2581" s="2" t="s">
        <v>8644</v>
      </c>
      <c r="AP2581" s="2">
        <v>11</v>
      </c>
      <c r="AQ2581" s="2" t="s">
        <v>82</v>
      </c>
      <c r="AR2581" s="2"/>
      <c r="AS2581" s="2"/>
      <c r="AT2581" s="2" t="s">
        <v>8645</v>
      </c>
      <c r="AU2581" s="2">
        <v>1</v>
      </c>
      <c r="AV2581" s="2"/>
      <c r="AW2581" s="2"/>
      <c r="AX2581" s="2"/>
      <c r="AY2581" s="2">
        <v>41</v>
      </c>
      <c r="AZ2581" s="2" t="s">
        <v>82</v>
      </c>
      <c r="BA2581" s="2">
        <v>41</v>
      </c>
      <c r="BB2581" s="2" t="s">
        <v>82</v>
      </c>
      <c r="BC2581" s="2">
        <v>41</v>
      </c>
      <c r="BD2581" s="2" t="s">
        <v>82</v>
      </c>
      <c r="BE2581" s="2">
        <v>41</v>
      </c>
      <c r="BF2581" s="2" t="s">
        <v>82</v>
      </c>
      <c r="BG2581" s="2"/>
      <c r="BH2581" s="2"/>
      <c r="BI2581" s="2"/>
      <c r="BJ2581" s="2">
        <v>241</v>
      </c>
      <c r="BK2581" s="2" t="s">
        <v>82</v>
      </c>
      <c r="BL2581" s="2"/>
      <c r="BM2581" s="2">
        <v>241</v>
      </c>
      <c r="BN2581" s="2" t="s">
        <v>82</v>
      </c>
      <c r="BO2581" s="2"/>
      <c r="BP2581" s="2">
        <v>241</v>
      </c>
      <c r="BQ2581" s="2" t="s">
        <v>82</v>
      </c>
      <c r="BR2581" s="2"/>
      <c r="BS2581" s="3">
        <v>40349</v>
      </c>
      <c r="BT2581" s="4">
        <v>0.34934027777777782</v>
      </c>
    </row>
    <row r="2582" spans="1:72" x14ac:dyDescent="0.25">
      <c r="A2582" s="2">
        <v>3756</v>
      </c>
      <c r="B2582" s="2">
        <v>2010</v>
      </c>
      <c r="C2582" s="2" t="s">
        <v>819</v>
      </c>
      <c r="D2582" s="2" t="s">
        <v>73</v>
      </c>
      <c r="E2582" s="2"/>
      <c r="F2582" s="2">
        <v>397</v>
      </c>
      <c r="G2582" s="2" t="s">
        <v>2522</v>
      </c>
      <c r="H2582" s="2">
        <v>10</v>
      </c>
      <c r="I2582" s="2" t="s">
        <v>1031</v>
      </c>
      <c r="J2582" s="2">
        <v>377</v>
      </c>
      <c r="K2582" s="2" t="s">
        <v>1223</v>
      </c>
      <c r="L2582" s="2" t="s">
        <v>1224</v>
      </c>
      <c r="M2582" s="3">
        <v>40349</v>
      </c>
      <c r="N2582" s="2" t="s">
        <v>2873</v>
      </c>
      <c r="O2582" s="2"/>
      <c r="P2582" s="2"/>
      <c r="Q2582" s="2" t="str">
        <f>"329-E/10"</f>
        <v>329-E/10</v>
      </c>
      <c r="R2582" s="2"/>
      <c r="S2582" s="2" t="s">
        <v>8646</v>
      </c>
      <c r="T2582" s="2">
        <v>1</v>
      </c>
      <c r="U2582" s="2" t="s">
        <v>79</v>
      </c>
      <c r="V2582" s="2">
        <v>1</v>
      </c>
      <c r="W2582" s="2" t="s">
        <v>80</v>
      </c>
      <c r="X2582" s="2">
        <v>1</v>
      </c>
      <c r="Y2582" s="2" t="s">
        <v>81</v>
      </c>
      <c r="Z2582" s="2">
        <v>1</v>
      </c>
      <c r="AA2582" s="2" t="s">
        <v>82</v>
      </c>
      <c r="AB2582" s="2">
        <v>9</v>
      </c>
      <c r="AC2582" s="2" t="s">
        <v>124</v>
      </c>
      <c r="AD2582" s="3">
        <v>40348</v>
      </c>
      <c r="AE2582" s="4">
        <v>0.94444444444444453</v>
      </c>
      <c r="AF2582" s="2"/>
      <c r="AG2582" s="2"/>
      <c r="AH2582" s="2">
        <v>2</v>
      </c>
      <c r="AI2582" s="2" t="s">
        <v>84</v>
      </c>
      <c r="AJ2582" s="2">
        <v>9</v>
      </c>
      <c r="AK2582" s="2" t="s">
        <v>103</v>
      </c>
      <c r="AL2582" s="2">
        <v>11</v>
      </c>
      <c r="AM2582" s="2" t="s">
        <v>137</v>
      </c>
      <c r="AN2582" s="2" t="s">
        <v>6519</v>
      </c>
      <c r="AO2582" s="2" t="s">
        <v>590</v>
      </c>
      <c r="AP2582" s="2">
        <v>11</v>
      </c>
      <c r="AQ2582" s="2" t="s">
        <v>82</v>
      </c>
      <c r="AR2582" s="2"/>
      <c r="AS2582" s="2"/>
      <c r="AT2582" s="2" t="s">
        <v>8647</v>
      </c>
      <c r="AU2582" s="2"/>
      <c r="AV2582" s="2"/>
      <c r="AW2582" s="2"/>
      <c r="AX2582" s="2"/>
      <c r="AY2582" s="2">
        <v>41</v>
      </c>
      <c r="AZ2582" s="2" t="s">
        <v>82</v>
      </c>
      <c r="BA2582" s="2">
        <v>41</v>
      </c>
      <c r="BB2582" s="2" t="s">
        <v>82</v>
      </c>
      <c r="BC2582" s="2">
        <v>41</v>
      </c>
      <c r="BD2582" s="2" t="s">
        <v>82</v>
      </c>
      <c r="BE2582" s="2">
        <v>13</v>
      </c>
      <c r="BF2582" s="2" t="s">
        <v>108</v>
      </c>
      <c r="BG2582" s="2" t="s">
        <v>8648</v>
      </c>
      <c r="BH2582" s="2"/>
      <c r="BI2582" s="4">
        <v>0</v>
      </c>
      <c r="BJ2582" s="2">
        <v>13</v>
      </c>
      <c r="BK2582" s="2" t="s">
        <v>91</v>
      </c>
      <c r="BL2582" s="2" t="s">
        <v>360</v>
      </c>
      <c r="BM2582" s="2">
        <v>241</v>
      </c>
      <c r="BN2582" s="2" t="s">
        <v>82</v>
      </c>
      <c r="BO2582" s="2"/>
      <c r="BP2582" s="2">
        <v>75</v>
      </c>
      <c r="BQ2582" s="2" t="s">
        <v>1264</v>
      </c>
      <c r="BR2582" s="2" t="s">
        <v>1361</v>
      </c>
      <c r="BS2582" s="3">
        <v>40349</v>
      </c>
      <c r="BT2582" s="4">
        <v>0.40234953703703707</v>
      </c>
    </row>
    <row r="2583" spans="1:72" x14ac:dyDescent="0.25">
      <c r="A2583" s="2">
        <v>3757</v>
      </c>
      <c r="B2583" s="2">
        <v>2010</v>
      </c>
      <c r="C2583" s="2" t="s">
        <v>549</v>
      </c>
      <c r="D2583" s="2" t="s">
        <v>73</v>
      </c>
      <c r="E2583" s="2"/>
      <c r="F2583" s="2">
        <v>389</v>
      </c>
      <c r="G2583" s="2" t="s">
        <v>1819</v>
      </c>
      <c r="H2583" s="2">
        <v>2</v>
      </c>
      <c r="I2583" s="2" t="s">
        <v>267</v>
      </c>
      <c r="J2583" s="2">
        <v>399</v>
      </c>
      <c r="K2583" s="2" t="s">
        <v>1820</v>
      </c>
      <c r="L2583" s="2" t="s">
        <v>1821</v>
      </c>
      <c r="M2583" s="3">
        <v>40349</v>
      </c>
      <c r="N2583" s="2" t="s">
        <v>5653</v>
      </c>
      <c r="O2583" s="2"/>
      <c r="P2583" s="2"/>
      <c r="Q2583" s="2" t="str">
        <f>"330-E/10"</f>
        <v>330-E/10</v>
      </c>
      <c r="R2583" s="2" t="s">
        <v>8649</v>
      </c>
      <c r="S2583" s="2"/>
      <c r="T2583" s="2">
        <v>1</v>
      </c>
      <c r="U2583" s="2" t="s">
        <v>79</v>
      </c>
      <c r="V2583" s="2">
        <v>1</v>
      </c>
      <c r="W2583" s="2" t="s">
        <v>80</v>
      </c>
      <c r="X2583" s="2">
        <v>1</v>
      </c>
      <c r="Y2583" s="2" t="s">
        <v>81</v>
      </c>
      <c r="Z2583" s="2">
        <v>1</v>
      </c>
      <c r="AA2583" s="2" t="s">
        <v>82</v>
      </c>
      <c r="AB2583" s="2">
        <v>9</v>
      </c>
      <c r="AC2583" s="2" t="s">
        <v>124</v>
      </c>
      <c r="AD2583" s="3">
        <v>40348</v>
      </c>
      <c r="AE2583" s="4">
        <v>0.94444444444444453</v>
      </c>
      <c r="AF2583" s="2"/>
      <c r="AG2583" s="2"/>
      <c r="AH2583" s="2">
        <v>2</v>
      </c>
      <c r="AI2583" s="2" t="s">
        <v>84</v>
      </c>
      <c r="AJ2583" s="2">
        <v>9</v>
      </c>
      <c r="AK2583" s="2" t="s">
        <v>103</v>
      </c>
      <c r="AL2583" s="2">
        <v>11</v>
      </c>
      <c r="AM2583" s="2" t="s">
        <v>137</v>
      </c>
      <c r="AN2583" s="2"/>
      <c r="AO2583" s="2" t="s">
        <v>590</v>
      </c>
      <c r="AP2583" s="2">
        <v>11</v>
      </c>
      <c r="AQ2583" s="2" t="s">
        <v>82</v>
      </c>
      <c r="AR2583" s="2"/>
      <c r="AS2583" s="2"/>
      <c r="AT2583" s="2" t="s">
        <v>8650</v>
      </c>
      <c r="AU2583" s="2"/>
      <c r="AV2583" s="2">
        <v>2</v>
      </c>
      <c r="AW2583" s="2"/>
      <c r="AX2583" s="2"/>
      <c r="AY2583" s="2">
        <v>41</v>
      </c>
      <c r="AZ2583" s="2" t="s">
        <v>82</v>
      </c>
      <c r="BA2583" s="2">
        <v>41</v>
      </c>
      <c r="BB2583" s="2" t="s">
        <v>82</v>
      </c>
      <c r="BC2583" s="2">
        <v>41</v>
      </c>
      <c r="BD2583" s="2" t="s">
        <v>82</v>
      </c>
      <c r="BE2583" s="2">
        <v>41</v>
      </c>
      <c r="BF2583" s="2" t="s">
        <v>82</v>
      </c>
      <c r="BG2583" s="2"/>
      <c r="BH2583" s="2"/>
      <c r="BI2583" s="2"/>
      <c r="BJ2583" s="2">
        <v>241</v>
      </c>
      <c r="BK2583" s="2" t="s">
        <v>82</v>
      </c>
      <c r="BL2583" s="2"/>
      <c r="BM2583" s="2">
        <v>241</v>
      </c>
      <c r="BN2583" s="2" t="s">
        <v>82</v>
      </c>
      <c r="BO2583" s="2"/>
      <c r="BP2583" s="2">
        <v>241</v>
      </c>
      <c r="BQ2583" s="2" t="s">
        <v>82</v>
      </c>
      <c r="BR2583" s="2"/>
      <c r="BS2583" s="3">
        <v>40349</v>
      </c>
      <c r="BT2583" s="4">
        <v>0.41245370370370371</v>
      </c>
    </row>
    <row r="2584" spans="1:72" x14ac:dyDescent="0.25">
      <c r="A2584" s="2">
        <v>3757</v>
      </c>
      <c r="B2584" s="2">
        <v>2010</v>
      </c>
      <c r="C2584" s="2" t="s">
        <v>2219</v>
      </c>
      <c r="D2584" s="2" t="s">
        <v>73</v>
      </c>
      <c r="E2584" s="2"/>
      <c r="F2584" s="2">
        <v>389</v>
      </c>
      <c r="G2584" s="2" t="s">
        <v>1819</v>
      </c>
      <c r="H2584" s="2">
        <v>2</v>
      </c>
      <c r="I2584" s="2" t="s">
        <v>267</v>
      </c>
      <c r="J2584" s="2">
        <v>399</v>
      </c>
      <c r="K2584" s="2" t="s">
        <v>1820</v>
      </c>
      <c r="L2584" s="2" t="s">
        <v>1821</v>
      </c>
      <c r="M2584" s="3">
        <v>40349</v>
      </c>
      <c r="N2584" s="2" t="s">
        <v>5653</v>
      </c>
      <c r="O2584" s="2"/>
      <c r="P2584" s="2"/>
      <c r="Q2584" s="2" t="str">
        <f>"330-E/10"</f>
        <v>330-E/10</v>
      </c>
      <c r="R2584" s="2" t="s">
        <v>8649</v>
      </c>
      <c r="S2584" s="2"/>
      <c r="T2584" s="2">
        <v>1</v>
      </c>
      <c r="U2584" s="2" t="s">
        <v>79</v>
      </c>
      <c r="V2584" s="2">
        <v>1</v>
      </c>
      <c r="W2584" s="2" t="s">
        <v>80</v>
      </c>
      <c r="X2584" s="2">
        <v>1</v>
      </c>
      <c r="Y2584" s="2" t="s">
        <v>81</v>
      </c>
      <c r="Z2584" s="2">
        <v>1</v>
      </c>
      <c r="AA2584" s="2" t="s">
        <v>82</v>
      </c>
      <c r="AB2584" s="2">
        <v>9</v>
      </c>
      <c r="AC2584" s="2" t="s">
        <v>124</v>
      </c>
      <c r="AD2584" s="3">
        <v>40348</v>
      </c>
      <c r="AE2584" s="4">
        <v>0.94444444444444453</v>
      </c>
      <c r="AF2584" s="2"/>
      <c r="AG2584" s="2"/>
      <c r="AH2584" s="2">
        <v>2</v>
      </c>
      <c r="AI2584" s="2" t="s">
        <v>84</v>
      </c>
      <c r="AJ2584" s="2">
        <v>9</v>
      </c>
      <c r="AK2584" s="2" t="s">
        <v>103</v>
      </c>
      <c r="AL2584" s="2">
        <v>11</v>
      </c>
      <c r="AM2584" s="2" t="s">
        <v>137</v>
      </c>
      <c r="AN2584" s="2"/>
      <c r="AO2584" s="2" t="s">
        <v>590</v>
      </c>
      <c r="AP2584" s="2">
        <v>11</v>
      </c>
      <c r="AQ2584" s="2" t="s">
        <v>82</v>
      </c>
      <c r="AR2584" s="2"/>
      <c r="AS2584" s="2"/>
      <c r="AT2584" s="2" t="s">
        <v>8650</v>
      </c>
      <c r="AU2584" s="2"/>
      <c r="AV2584" s="2">
        <v>2</v>
      </c>
      <c r="AW2584" s="2"/>
      <c r="AX2584" s="2"/>
      <c r="AY2584" s="2">
        <v>41</v>
      </c>
      <c r="AZ2584" s="2" t="s">
        <v>82</v>
      </c>
      <c r="BA2584" s="2">
        <v>41</v>
      </c>
      <c r="BB2584" s="2" t="s">
        <v>82</v>
      </c>
      <c r="BC2584" s="2">
        <v>41</v>
      </c>
      <c r="BD2584" s="2" t="s">
        <v>82</v>
      </c>
      <c r="BE2584" s="2">
        <v>41</v>
      </c>
      <c r="BF2584" s="2" t="s">
        <v>82</v>
      </c>
      <c r="BG2584" s="2"/>
      <c r="BH2584" s="2"/>
      <c r="BI2584" s="2"/>
      <c r="BJ2584" s="2">
        <v>241</v>
      </c>
      <c r="BK2584" s="2" t="s">
        <v>82</v>
      </c>
      <c r="BL2584" s="2"/>
      <c r="BM2584" s="2">
        <v>241</v>
      </c>
      <c r="BN2584" s="2" t="s">
        <v>82</v>
      </c>
      <c r="BO2584" s="2"/>
      <c r="BP2584" s="2">
        <v>241</v>
      </c>
      <c r="BQ2584" s="2" t="s">
        <v>82</v>
      </c>
      <c r="BR2584" s="2"/>
      <c r="BS2584" s="3">
        <v>40349</v>
      </c>
      <c r="BT2584" s="4">
        <v>0.41245370370370371</v>
      </c>
    </row>
    <row r="2585" spans="1:72" x14ac:dyDescent="0.25">
      <c r="A2585" s="2">
        <v>3758</v>
      </c>
      <c r="B2585" s="2">
        <v>2010</v>
      </c>
      <c r="C2585" s="2" t="s">
        <v>196</v>
      </c>
      <c r="D2585" s="2" t="s">
        <v>122</v>
      </c>
      <c r="E2585" s="2"/>
      <c r="F2585" s="2">
        <v>1</v>
      </c>
      <c r="G2585" s="2" t="s">
        <v>82</v>
      </c>
      <c r="H2585" s="2">
        <v>1</v>
      </c>
      <c r="I2585" s="2" t="s">
        <v>82</v>
      </c>
      <c r="J2585" s="2">
        <v>1</v>
      </c>
      <c r="K2585" s="2" t="s">
        <v>107</v>
      </c>
      <c r="L2585" s="2" t="s">
        <v>107</v>
      </c>
      <c r="M2585" s="3">
        <v>40349</v>
      </c>
      <c r="N2585" s="2"/>
      <c r="O2585" s="2"/>
      <c r="P2585" s="2"/>
      <c r="Q2585" s="2" t="str">
        <f>""</f>
        <v/>
      </c>
      <c r="R2585" s="2"/>
      <c r="S2585" s="2"/>
      <c r="T2585" s="2">
        <v>2</v>
      </c>
      <c r="U2585" s="2" t="s">
        <v>123</v>
      </c>
      <c r="V2585" s="2">
        <v>1</v>
      </c>
      <c r="W2585" s="2" t="s">
        <v>80</v>
      </c>
      <c r="X2585" s="2">
        <v>5</v>
      </c>
      <c r="Y2585" s="2" t="s">
        <v>82</v>
      </c>
      <c r="Z2585" s="2">
        <v>1</v>
      </c>
      <c r="AA2585" s="2" t="s">
        <v>82</v>
      </c>
      <c r="AB2585" s="2">
        <v>9</v>
      </c>
      <c r="AC2585" s="2" t="s">
        <v>124</v>
      </c>
      <c r="AD2585" s="3">
        <v>40349</v>
      </c>
      <c r="AE2585" s="4">
        <v>0.33333333333333331</v>
      </c>
      <c r="AF2585" s="2"/>
      <c r="AG2585" s="2"/>
      <c r="AH2585" s="2">
        <v>2</v>
      </c>
      <c r="AI2585" s="2" t="s">
        <v>84</v>
      </c>
      <c r="AJ2585" s="2">
        <v>12</v>
      </c>
      <c r="AK2585" s="2" t="s">
        <v>85</v>
      </c>
      <c r="AL2585" s="2">
        <v>18</v>
      </c>
      <c r="AM2585" s="2" t="s">
        <v>82</v>
      </c>
      <c r="AN2585" s="2" t="s">
        <v>993</v>
      </c>
      <c r="AO2585" s="2" t="s">
        <v>992</v>
      </c>
      <c r="AP2585" s="2">
        <v>11</v>
      </c>
      <c r="AQ2585" s="2" t="s">
        <v>82</v>
      </c>
      <c r="AR2585" s="2"/>
      <c r="AS2585" s="2"/>
      <c r="AT2585" s="2" t="s">
        <v>8651</v>
      </c>
      <c r="AU2585" s="2"/>
      <c r="AV2585" s="2"/>
      <c r="AW2585" s="2"/>
      <c r="AX2585" s="2"/>
      <c r="AY2585" s="2">
        <v>1</v>
      </c>
      <c r="AZ2585" s="2" t="s">
        <v>107</v>
      </c>
      <c r="BA2585" s="2">
        <v>1</v>
      </c>
      <c r="BB2585" s="2" t="s">
        <v>107</v>
      </c>
      <c r="BC2585" s="2">
        <v>1</v>
      </c>
      <c r="BD2585" s="2" t="s">
        <v>107</v>
      </c>
      <c r="BE2585" s="2">
        <v>1</v>
      </c>
      <c r="BF2585" s="2" t="s">
        <v>107</v>
      </c>
      <c r="BG2585" s="2"/>
      <c r="BH2585" s="2"/>
      <c r="BI2585" s="2"/>
      <c r="BJ2585" s="2">
        <v>242</v>
      </c>
      <c r="BK2585" s="2" t="s">
        <v>107</v>
      </c>
      <c r="BL2585" s="2" t="s">
        <v>1705</v>
      </c>
      <c r="BM2585" s="2">
        <v>242</v>
      </c>
      <c r="BN2585" s="2" t="s">
        <v>107</v>
      </c>
      <c r="BO2585" s="2"/>
      <c r="BP2585" s="2">
        <v>242</v>
      </c>
      <c r="BQ2585" s="2" t="s">
        <v>107</v>
      </c>
      <c r="BR2585" s="2"/>
      <c r="BS2585" s="3">
        <v>40349</v>
      </c>
      <c r="BT2585" s="4">
        <v>0.46229166666666671</v>
      </c>
    </row>
    <row r="2586" spans="1:72" x14ac:dyDescent="0.25">
      <c r="A2586" s="2">
        <v>3759</v>
      </c>
      <c r="B2586" s="2">
        <v>2010</v>
      </c>
      <c r="C2586" s="2" t="s">
        <v>196</v>
      </c>
      <c r="D2586" s="2" t="s">
        <v>122</v>
      </c>
      <c r="E2586" s="2"/>
      <c r="F2586" s="2">
        <v>1</v>
      </c>
      <c r="G2586" s="2" t="s">
        <v>82</v>
      </c>
      <c r="H2586" s="2">
        <v>1</v>
      </c>
      <c r="I2586" s="2" t="s">
        <v>82</v>
      </c>
      <c r="J2586" s="2">
        <v>1</v>
      </c>
      <c r="K2586" s="2" t="s">
        <v>107</v>
      </c>
      <c r="L2586" s="2" t="s">
        <v>107</v>
      </c>
      <c r="M2586" s="3">
        <v>40349</v>
      </c>
      <c r="N2586" s="2" t="s">
        <v>82</v>
      </c>
      <c r="O2586" s="2" t="s">
        <v>82</v>
      </c>
      <c r="P2586" s="2" t="s">
        <v>82</v>
      </c>
      <c r="Q2586" s="2" t="str">
        <f>"N/C"</f>
        <v>N/C</v>
      </c>
      <c r="R2586" s="2" t="s">
        <v>82</v>
      </c>
      <c r="S2586" s="2" t="s">
        <v>82</v>
      </c>
      <c r="T2586" s="2">
        <v>2</v>
      </c>
      <c r="U2586" s="2" t="s">
        <v>123</v>
      </c>
      <c r="V2586" s="2">
        <v>1</v>
      </c>
      <c r="W2586" s="2" t="s">
        <v>80</v>
      </c>
      <c r="X2586" s="2">
        <v>11</v>
      </c>
      <c r="Y2586" s="2" t="s">
        <v>1920</v>
      </c>
      <c r="Z2586" s="2">
        <v>4</v>
      </c>
      <c r="AA2586" s="2" t="s">
        <v>182</v>
      </c>
      <c r="AB2586" s="2">
        <v>9</v>
      </c>
      <c r="AC2586" s="2" t="s">
        <v>124</v>
      </c>
      <c r="AD2586" s="3">
        <v>40349</v>
      </c>
      <c r="AE2586" s="4">
        <v>0.33333333333333331</v>
      </c>
      <c r="AF2586" s="2"/>
      <c r="AG2586" s="2"/>
      <c r="AH2586" s="2">
        <v>5</v>
      </c>
      <c r="AI2586" s="2" t="s">
        <v>274</v>
      </c>
      <c r="AJ2586" s="2">
        <v>45</v>
      </c>
      <c r="AK2586" s="2" t="s">
        <v>834</v>
      </c>
      <c r="AL2586" s="2">
        <v>25</v>
      </c>
      <c r="AM2586" s="2" t="s">
        <v>3073</v>
      </c>
      <c r="AN2586" s="2" t="s">
        <v>82</v>
      </c>
      <c r="AO2586" s="2" t="s">
        <v>8652</v>
      </c>
      <c r="AP2586" s="2">
        <v>11</v>
      </c>
      <c r="AQ2586" s="2" t="s">
        <v>82</v>
      </c>
      <c r="AR2586" s="2" t="s">
        <v>82</v>
      </c>
      <c r="AS2586" s="2" t="s">
        <v>82</v>
      </c>
      <c r="AT2586" s="2" t="s">
        <v>8653</v>
      </c>
      <c r="AU2586" s="2"/>
      <c r="AV2586" s="2"/>
      <c r="AW2586" s="2"/>
      <c r="AX2586" s="2"/>
      <c r="AY2586" s="2">
        <v>41</v>
      </c>
      <c r="AZ2586" s="2" t="s">
        <v>82</v>
      </c>
      <c r="BA2586" s="2">
        <v>41</v>
      </c>
      <c r="BB2586" s="2" t="s">
        <v>82</v>
      </c>
      <c r="BC2586" s="2">
        <v>41</v>
      </c>
      <c r="BD2586" s="2" t="s">
        <v>82</v>
      </c>
      <c r="BE2586" s="2">
        <v>42</v>
      </c>
      <c r="BF2586" s="2" t="s">
        <v>182</v>
      </c>
      <c r="BG2586" s="2" t="s">
        <v>265</v>
      </c>
      <c r="BH2586" s="4">
        <v>0.4548611111111111</v>
      </c>
      <c r="BI2586" s="2"/>
      <c r="BJ2586" s="2">
        <v>13</v>
      </c>
      <c r="BK2586" s="2" t="s">
        <v>91</v>
      </c>
      <c r="BL2586" s="2" t="s">
        <v>534</v>
      </c>
      <c r="BM2586" s="2">
        <v>13</v>
      </c>
      <c r="BN2586" s="2" t="s">
        <v>91</v>
      </c>
      <c r="BO2586" s="2" t="s">
        <v>1705</v>
      </c>
      <c r="BP2586" s="2">
        <v>13</v>
      </c>
      <c r="BQ2586" s="2" t="s">
        <v>91</v>
      </c>
      <c r="BR2586" s="2" t="s">
        <v>534</v>
      </c>
      <c r="BS2586" s="3">
        <v>40349</v>
      </c>
      <c r="BT2586" s="4">
        <v>0.48461805555555554</v>
      </c>
    </row>
    <row r="2587" spans="1:72" x14ac:dyDescent="0.25">
      <c r="A2587" s="2">
        <v>3761</v>
      </c>
      <c r="B2587" s="2">
        <v>2010</v>
      </c>
      <c r="C2587" s="2" t="s">
        <v>72</v>
      </c>
      <c r="D2587" s="2" t="s">
        <v>73</v>
      </c>
      <c r="E2587" s="2"/>
      <c r="F2587" s="2">
        <v>2</v>
      </c>
      <c r="G2587" s="2" t="s">
        <v>113</v>
      </c>
      <c r="H2587" s="2">
        <v>1</v>
      </c>
      <c r="I2587" s="2" t="s">
        <v>82</v>
      </c>
      <c r="J2587" s="2">
        <v>300</v>
      </c>
      <c r="K2587" s="2" t="s">
        <v>114</v>
      </c>
      <c r="L2587" s="2" t="s">
        <v>115</v>
      </c>
      <c r="M2587" s="3">
        <v>40349</v>
      </c>
      <c r="N2587" s="2" t="s">
        <v>82</v>
      </c>
      <c r="O2587" s="2" t="s">
        <v>107</v>
      </c>
      <c r="P2587" s="2" t="s">
        <v>107</v>
      </c>
      <c r="Q2587" s="2" t="str">
        <f>"331-E/10"</f>
        <v>331-E/10</v>
      </c>
      <c r="R2587" s="2" t="s">
        <v>78</v>
      </c>
      <c r="S2587" s="2" t="s">
        <v>78</v>
      </c>
      <c r="T2587" s="2">
        <v>1</v>
      </c>
      <c r="U2587" s="2" t="s">
        <v>79</v>
      </c>
      <c r="V2587" s="2">
        <v>1</v>
      </c>
      <c r="W2587" s="2" t="s">
        <v>80</v>
      </c>
      <c r="X2587" s="2">
        <v>12</v>
      </c>
      <c r="Y2587" s="2" t="s">
        <v>148</v>
      </c>
      <c r="Z2587" s="2">
        <v>1</v>
      </c>
      <c r="AA2587" s="2" t="s">
        <v>82</v>
      </c>
      <c r="AB2587" s="2">
        <v>6</v>
      </c>
      <c r="AC2587" s="2" t="s">
        <v>83</v>
      </c>
      <c r="AD2587" s="3">
        <v>40349</v>
      </c>
      <c r="AE2587" s="2"/>
      <c r="AF2587" s="3">
        <v>40349</v>
      </c>
      <c r="AG2587" s="4">
        <v>0.375</v>
      </c>
      <c r="AH2587" s="2">
        <v>2</v>
      </c>
      <c r="AI2587" s="2" t="s">
        <v>84</v>
      </c>
      <c r="AJ2587" s="2">
        <v>9</v>
      </c>
      <c r="AK2587" s="2" t="s">
        <v>103</v>
      </c>
      <c r="AL2587" s="2">
        <v>21</v>
      </c>
      <c r="AM2587" s="2" t="s">
        <v>1311</v>
      </c>
      <c r="AN2587" s="2" t="s">
        <v>8654</v>
      </c>
      <c r="AO2587" s="2" t="s">
        <v>6912</v>
      </c>
      <c r="AP2587" s="2">
        <v>11</v>
      </c>
      <c r="AQ2587" s="2" t="s">
        <v>82</v>
      </c>
      <c r="AR2587" s="2"/>
      <c r="AS2587" s="2"/>
      <c r="AT2587" s="2" t="s">
        <v>8655</v>
      </c>
      <c r="AU2587" s="2"/>
      <c r="AV2587" s="2"/>
      <c r="AW2587" s="2"/>
      <c r="AX2587" s="2"/>
      <c r="AY2587" s="2">
        <v>41</v>
      </c>
      <c r="AZ2587" s="2" t="s">
        <v>82</v>
      </c>
      <c r="BA2587" s="2">
        <v>41</v>
      </c>
      <c r="BB2587" s="2" t="s">
        <v>82</v>
      </c>
      <c r="BC2587" s="2">
        <v>41</v>
      </c>
      <c r="BD2587" s="2" t="s">
        <v>82</v>
      </c>
      <c r="BE2587" s="2">
        <v>41</v>
      </c>
      <c r="BF2587" s="2" t="s">
        <v>82</v>
      </c>
      <c r="BG2587" s="2"/>
      <c r="BH2587" s="2"/>
      <c r="BI2587" s="2"/>
      <c r="BJ2587" s="2">
        <v>241</v>
      </c>
      <c r="BK2587" s="2" t="s">
        <v>82</v>
      </c>
      <c r="BL2587" s="2"/>
      <c r="BM2587" s="2">
        <v>241</v>
      </c>
      <c r="BN2587" s="2" t="s">
        <v>82</v>
      </c>
      <c r="BO2587" s="2"/>
      <c r="BP2587" s="2">
        <v>241</v>
      </c>
      <c r="BQ2587" s="2" t="s">
        <v>82</v>
      </c>
      <c r="BR2587" s="2"/>
      <c r="BS2587" s="3">
        <v>40349</v>
      </c>
      <c r="BT2587" s="4">
        <v>0.57737268518518514</v>
      </c>
    </row>
    <row r="2588" spans="1:72" x14ac:dyDescent="0.25">
      <c r="A2588" s="2">
        <v>3763</v>
      </c>
      <c r="B2588" s="2">
        <v>2010</v>
      </c>
      <c r="C2588" s="2" t="s">
        <v>93</v>
      </c>
      <c r="D2588" s="2" t="s">
        <v>73</v>
      </c>
      <c r="E2588" s="2"/>
      <c r="F2588" s="2">
        <v>342</v>
      </c>
      <c r="G2588" s="2" t="s">
        <v>4003</v>
      </c>
      <c r="H2588" s="2">
        <v>22</v>
      </c>
      <c r="I2588" s="2" t="s">
        <v>75</v>
      </c>
      <c r="J2588" s="2">
        <v>472</v>
      </c>
      <c r="K2588" s="2" t="s">
        <v>7277</v>
      </c>
      <c r="L2588" s="2" t="s">
        <v>7278</v>
      </c>
      <c r="M2588" s="3">
        <v>40349</v>
      </c>
      <c r="N2588" s="2" t="s">
        <v>7612</v>
      </c>
      <c r="O2588" s="2" t="s">
        <v>7325</v>
      </c>
      <c r="P2588" s="2" t="s">
        <v>8656</v>
      </c>
      <c r="Q2588" s="2" t="str">
        <f>"AP-0030/10"</f>
        <v>AP-0030/10</v>
      </c>
      <c r="R2588" s="2" t="s">
        <v>8657</v>
      </c>
      <c r="S2588" s="2" t="s">
        <v>82</v>
      </c>
      <c r="T2588" s="2">
        <v>1</v>
      </c>
      <c r="U2588" s="2" t="s">
        <v>79</v>
      </c>
      <c r="V2588" s="2">
        <v>1</v>
      </c>
      <c r="W2588" s="2" t="s">
        <v>80</v>
      </c>
      <c r="X2588" s="2">
        <v>1</v>
      </c>
      <c r="Y2588" s="2" t="s">
        <v>81</v>
      </c>
      <c r="Z2588" s="2">
        <v>1</v>
      </c>
      <c r="AA2588" s="2" t="s">
        <v>82</v>
      </c>
      <c r="AB2588" s="2">
        <v>2</v>
      </c>
      <c r="AC2588" s="2" t="s">
        <v>102</v>
      </c>
      <c r="AD2588" s="3">
        <v>40349</v>
      </c>
      <c r="AE2588" s="4">
        <v>0.59027777777777779</v>
      </c>
      <c r="AF2588" s="2"/>
      <c r="AG2588" s="2"/>
      <c r="AH2588" s="2">
        <v>6</v>
      </c>
      <c r="AI2588" s="2" t="s">
        <v>197</v>
      </c>
      <c r="AJ2588" s="2">
        <v>60</v>
      </c>
      <c r="AK2588" s="2" t="s">
        <v>543</v>
      </c>
      <c r="AL2588" s="2">
        <v>11</v>
      </c>
      <c r="AM2588" s="2" t="s">
        <v>137</v>
      </c>
      <c r="AN2588" s="2" t="s">
        <v>82</v>
      </c>
      <c r="AO2588" s="2" t="s">
        <v>8658</v>
      </c>
      <c r="AP2588" s="2">
        <v>11</v>
      </c>
      <c r="AQ2588" s="2" t="s">
        <v>82</v>
      </c>
      <c r="AR2588" s="2"/>
      <c r="AS2588" s="2"/>
      <c r="AT2588" s="2" t="s">
        <v>8659</v>
      </c>
      <c r="AU2588" s="2"/>
      <c r="AV2588" s="2"/>
      <c r="AW2588" s="2"/>
      <c r="AX2588" s="2"/>
      <c r="AY2588" s="2">
        <v>41</v>
      </c>
      <c r="AZ2588" s="2" t="s">
        <v>82</v>
      </c>
      <c r="BA2588" s="2">
        <v>41</v>
      </c>
      <c r="BB2588" s="2" t="s">
        <v>82</v>
      </c>
      <c r="BC2588" s="2">
        <v>41</v>
      </c>
      <c r="BD2588" s="2" t="s">
        <v>82</v>
      </c>
      <c r="BE2588" s="2">
        <v>13</v>
      </c>
      <c r="BF2588" s="2" t="s">
        <v>108</v>
      </c>
      <c r="BG2588" s="2" t="s">
        <v>8086</v>
      </c>
      <c r="BH2588" s="2"/>
      <c r="BI2588" s="4">
        <v>0.63194444444444442</v>
      </c>
      <c r="BJ2588" s="2">
        <v>13</v>
      </c>
      <c r="BK2588" s="2" t="s">
        <v>91</v>
      </c>
      <c r="BL2588" s="2" t="s">
        <v>895</v>
      </c>
      <c r="BM2588" s="2">
        <v>241</v>
      </c>
      <c r="BN2588" s="2" t="s">
        <v>82</v>
      </c>
      <c r="BO2588" s="2" t="s">
        <v>82</v>
      </c>
      <c r="BP2588" s="2">
        <v>13</v>
      </c>
      <c r="BQ2588" s="2" t="s">
        <v>91</v>
      </c>
      <c r="BR2588" s="2" t="s">
        <v>170</v>
      </c>
      <c r="BS2588" s="3">
        <v>40349</v>
      </c>
      <c r="BT2588" s="4">
        <v>0.64997685185185183</v>
      </c>
    </row>
    <row r="2589" spans="1:72" x14ac:dyDescent="0.25">
      <c r="A2589" s="2">
        <v>3764</v>
      </c>
      <c r="B2589" s="2">
        <v>2010</v>
      </c>
      <c r="C2589" s="2" t="s">
        <v>72</v>
      </c>
      <c r="D2589" s="2" t="s">
        <v>122</v>
      </c>
      <c r="E2589" s="2" t="s">
        <v>8660</v>
      </c>
      <c r="F2589" s="2">
        <v>169</v>
      </c>
      <c r="G2589" s="2" t="s">
        <v>1009</v>
      </c>
      <c r="H2589" s="2">
        <v>126</v>
      </c>
      <c r="I2589" s="2" t="s">
        <v>8640</v>
      </c>
      <c r="J2589" s="2">
        <v>591</v>
      </c>
      <c r="K2589" s="2" t="s">
        <v>1775</v>
      </c>
      <c r="L2589" s="2" t="s">
        <v>8641</v>
      </c>
      <c r="M2589" s="3">
        <v>40349</v>
      </c>
      <c r="N2589" s="2" t="s">
        <v>8642</v>
      </c>
      <c r="O2589" s="2" t="s">
        <v>107</v>
      </c>
      <c r="P2589" s="2" t="s">
        <v>107</v>
      </c>
      <c r="Q2589" s="2" t="str">
        <f>"220-A/10"</f>
        <v>220-A/10</v>
      </c>
      <c r="R2589" s="2" t="s">
        <v>116</v>
      </c>
      <c r="S2589" s="2" t="s">
        <v>107</v>
      </c>
      <c r="T2589" s="2">
        <v>1</v>
      </c>
      <c r="U2589" s="2" t="s">
        <v>79</v>
      </c>
      <c r="V2589" s="2">
        <v>1</v>
      </c>
      <c r="W2589" s="2" t="s">
        <v>80</v>
      </c>
      <c r="X2589" s="2">
        <v>5</v>
      </c>
      <c r="Y2589" s="2" t="s">
        <v>82</v>
      </c>
      <c r="Z2589" s="2">
        <v>10</v>
      </c>
      <c r="AA2589" s="2" t="s">
        <v>236</v>
      </c>
      <c r="AB2589" s="2">
        <v>6</v>
      </c>
      <c r="AC2589" s="2" t="s">
        <v>83</v>
      </c>
      <c r="AD2589" s="3">
        <v>40349</v>
      </c>
      <c r="AE2589" s="4">
        <v>6.25E-2</v>
      </c>
      <c r="AF2589" s="2"/>
      <c r="AG2589" s="2"/>
      <c r="AH2589" s="2">
        <v>2</v>
      </c>
      <c r="AI2589" s="2" t="s">
        <v>84</v>
      </c>
      <c r="AJ2589" s="2">
        <v>12</v>
      </c>
      <c r="AK2589" s="2" t="s">
        <v>85</v>
      </c>
      <c r="AL2589" s="2">
        <v>25</v>
      </c>
      <c r="AM2589" s="2" t="s">
        <v>3073</v>
      </c>
      <c r="AN2589" s="2" t="s">
        <v>8661</v>
      </c>
      <c r="AO2589" s="2" t="s">
        <v>8662</v>
      </c>
      <c r="AP2589" s="2">
        <v>11</v>
      </c>
      <c r="AQ2589" s="2" t="s">
        <v>82</v>
      </c>
      <c r="AR2589" s="2"/>
      <c r="AS2589" s="2"/>
      <c r="AT2589" s="2" t="s">
        <v>8663</v>
      </c>
      <c r="AU2589" s="2">
        <v>1</v>
      </c>
      <c r="AV2589" s="2"/>
      <c r="AW2589" s="2"/>
      <c r="AX2589" s="2"/>
      <c r="AY2589" s="2">
        <v>41</v>
      </c>
      <c r="AZ2589" s="2" t="s">
        <v>82</v>
      </c>
      <c r="BA2589" s="2">
        <v>41</v>
      </c>
      <c r="BB2589" s="2" t="s">
        <v>82</v>
      </c>
      <c r="BC2589" s="2">
        <v>41</v>
      </c>
      <c r="BD2589" s="2" t="s">
        <v>82</v>
      </c>
      <c r="BE2589" s="2">
        <v>41</v>
      </c>
      <c r="BF2589" s="2" t="s">
        <v>82</v>
      </c>
      <c r="BG2589" s="2"/>
      <c r="BH2589" s="2"/>
      <c r="BI2589" s="2"/>
      <c r="BJ2589" s="2">
        <v>241</v>
      </c>
      <c r="BK2589" s="2" t="s">
        <v>82</v>
      </c>
      <c r="BL2589" s="2"/>
      <c r="BM2589" s="2">
        <v>241</v>
      </c>
      <c r="BN2589" s="2" t="s">
        <v>82</v>
      </c>
      <c r="BO2589" s="2"/>
      <c r="BP2589" s="2">
        <v>241</v>
      </c>
      <c r="BQ2589" s="2" t="s">
        <v>82</v>
      </c>
      <c r="BR2589" s="2"/>
      <c r="BS2589" s="3">
        <v>40349</v>
      </c>
      <c r="BT2589" s="4">
        <v>0.65408564814814818</v>
      </c>
    </row>
    <row r="2590" spans="1:72" x14ac:dyDescent="0.25">
      <c r="A2590" s="2">
        <v>3765</v>
      </c>
      <c r="B2590" s="2">
        <v>2010</v>
      </c>
      <c r="C2590" s="2" t="s">
        <v>196</v>
      </c>
      <c r="D2590" s="2" t="s">
        <v>122</v>
      </c>
      <c r="E2590" s="2" t="s">
        <v>8664</v>
      </c>
      <c r="F2590" s="2">
        <v>1</v>
      </c>
      <c r="G2590" s="2" t="s">
        <v>82</v>
      </c>
      <c r="H2590" s="2">
        <v>1</v>
      </c>
      <c r="I2590" s="2" t="s">
        <v>82</v>
      </c>
      <c r="J2590" s="2">
        <v>1</v>
      </c>
      <c r="K2590" s="2" t="s">
        <v>107</v>
      </c>
      <c r="L2590" s="2" t="s">
        <v>107</v>
      </c>
      <c r="M2590" s="3">
        <v>40349</v>
      </c>
      <c r="N2590" s="2" t="s">
        <v>82</v>
      </c>
      <c r="O2590" s="2" t="s">
        <v>82</v>
      </c>
      <c r="P2590" s="2" t="s">
        <v>82</v>
      </c>
      <c r="Q2590" s="2" t="str">
        <f>"N/C"</f>
        <v>N/C</v>
      </c>
      <c r="R2590" s="2" t="s">
        <v>82</v>
      </c>
      <c r="S2590" s="2" t="s">
        <v>82</v>
      </c>
      <c r="T2590" s="2">
        <v>2</v>
      </c>
      <c r="U2590" s="2" t="s">
        <v>123</v>
      </c>
      <c r="V2590" s="2">
        <v>1</v>
      </c>
      <c r="W2590" s="2" t="s">
        <v>80</v>
      </c>
      <c r="X2590" s="2">
        <v>11</v>
      </c>
      <c r="Y2590" s="2" t="s">
        <v>1920</v>
      </c>
      <c r="Z2590" s="2">
        <v>4</v>
      </c>
      <c r="AA2590" s="2" t="s">
        <v>182</v>
      </c>
      <c r="AB2590" s="2">
        <v>9</v>
      </c>
      <c r="AC2590" s="2" t="s">
        <v>124</v>
      </c>
      <c r="AD2590" s="3">
        <v>40349</v>
      </c>
      <c r="AE2590" s="4">
        <v>0.33333333333333331</v>
      </c>
      <c r="AF2590" s="2"/>
      <c r="AG2590" s="2"/>
      <c r="AH2590" s="2">
        <v>5</v>
      </c>
      <c r="AI2590" s="2" t="s">
        <v>274</v>
      </c>
      <c r="AJ2590" s="2">
        <v>45</v>
      </c>
      <c r="AK2590" s="2" t="s">
        <v>834</v>
      </c>
      <c r="AL2590" s="2">
        <v>25</v>
      </c>
      <c r="AM2590" s="2" t="s">
        <v>3073</v>
      </c>
      <c r="AN2590" s="2" t="s">
        <v>82</v>
      </c>
      <c r="AO2590" s="2" t="s">
        <v>8652</v>
      </c>
      <c r="AP2590" s="2">
        <v>11</v>
      </c>
      <c r="AQ2590" s="2" t="s">
        <v>82</v>
      </c>
      <c r="AR2590" s="2" t="s">
        <v>82</v>
      </c>
      <c r="AS2590" s="2" t="s">
        <v>82</v>
      </c>
      <c r="AT2590" s="2" t="s">
        <v>8665</v>
      </c>
      <c r="AU2590" s="2"/>
      <c r="AV2590" s="2"/>
      <c r="AW2590" s="2"/>
      <c r="AX2590" s="2"/>
      <c r="AY2590" s="2">
        <v>41</v>
      </c>
      <c r="AZ2590" s="2" t="s">
        <v>82</v>
      </c>
      <c r="BA2590" s="2">
        <v>41</v>
      </c>
      <c r="BB2590" s="2" t="s">
        <v>82</v>
      </c>
      <c r="BC2590" s="2">
        <v>41</v>
      </c>
      <c r="BD2590" s="2" t="s">
        <v>82</v>
      </c>
      <c r="BE2590" s="2">
        <v>42</v>
      </c>
      <c r="BF2590" s="2" t="s">
        <v>182</v>
      </c>
      <c r="BG2590" s="2" t="s">
        <v>265</v>
      </c>
      <c r="BH2590" s="4">
        <v>0.4548611111111111</v>
      </c>
      <c r="BI2590" s="4">
        <v>0.64930555555555558</v>
      </c>
      <c r="BJ2590" s="2">
        <v>13</v>
      </c>
      <c r="BK2590" s="2" t="s">
        <v>91</v>
      </c>
      <c r="BL2590" s="2" t="s">
        <v>534</v>
      </c>
      <c r="BM2590" s="2">
        <v>13</v>
      </c>
      <c r="BN2590" s="2" t="s">
        <v>91</v>
      </c>
      <c r="BO2590" s="2" t="s">
        <v>1705</v>
      </c>
      <c r="BP2590" s="2">
        <v>13</v>
      </c>
      <c r="BQ2590" s="2" t="s">
        <v>91</v>
      </c>
      <c r="BR2590" s="2" t="s">
        <v>534</v>
      </c>
      <c r="BS2590" s="3">
        <v>40349</v>
      </c>
      <c r="BT2590" s="4">
        <v>0.65869212962962964</v>
      </c>
    </row>
    <row r="2591" spans="1:72" x14ac:dyDescent="0.25">
      <c r="A2591" s="2">
        <v>3766</v>
      </c>
      <c r="B2591" s="2">
        <v>2010</v>
      </c>
      <c r="C2591" s="2" t="s">
        <v>196</v>
      </c>
      <c r="D2591" s="2" t="s">
        <v>122</v>
      </c>
      <c r="E2591" s="2"/>
      <c r="F2591" s="2">
        <v>1</v>
      </c>
      <c r="G2591" s="2" t="s">
        <v>82</v>
      </c>
      <c r="H2591" s="2">
        <v>1</v>
      </c>
      <c r="I2591" s="2" t="s">
        <v>82</v>
      </c>
      <c r="J2591" s="2">
        <v>1</v>
      </c>
      <c r="K2591" s="2" t="s">
        <v>107</v>
      </c>
      <c r="L2591" s="2" t="s">
        <v>107</v>
      </c>
      <c r="M2591" s="3">
        <v>40349</v>
      </c>
      <c r="N2591" s="2"/>
      <c r="O2591" s="2"/>
      <c r="P2591" s="2"/>
      <c r="Q2591" s="2" t="str">
        <f>""</f>
        <v/>
      </c>
      <c r="R2591" s="2"/>
      <c r="S2591" s="2"/>
      <c r="T2591" s="2">
        <v>2</v>
      </c>
      <c r="U2591" s="2" t="s">
        <v>123</v>
      </c>
      <c r="V2591" s="2">
        <v>1</v>
      </c>
      <c r="W2591" s="2" t="s">
        <v>80</v>
      </c>
      <c r="X2591" s="2">
        <v>11</v>
      </c>
      <c r="Y2591" s="2" t="s">
        <v>1920</v>
      </c>
      <c r="Z2591" s="2">
        <v>10</v>
      </c>
      <c r="AA2591" s="2" t="s">
        <v>236</v>
      </c>
      <c r="AB2591" s="2">
        <v>9</v>
      </c>
      <c r="AC2591" s="2" t="s">
        <v>124</v>
      </c>
      <c r="AD2591" s="3">
        <v>40349</v>
      </c>
      <c r="AE2591" s="4">
        <v>0.625</v>
      </c>
      <c r="AF2591" s="2"/>
      <c r="AG2591" s="2"/>
      <c r="AH2591" s="2">
        <v>2</v>
      </c>
      <c r="AI2591" s="2" t="s">
        <v>84</v>
      </c>
      <c r="AJ2591" s="2">
        <v>12</v>
      </c>
      <c r="AK2591" s="2" t="s">
        <v>85</v>
      </c>
      <c r="AL2591" s="2">
        <v>18</v>
      </c>
      <c r="AM2591" s="2" t="s">
        <v>82</v>
      </c>
      <c r="AN2591" s="2" t="s">
        <v>993</v>
      </c>
      <c r="AO2591" s="2" t="s">
        <v>992</v>
      </c>
      <c r="AP2591" s="2">
        <v>11</v>
      </c>
      <c r="AQ2591" s="2" t="s">
        <v>82</v>
      </c>
      <c r="AR2591" s="2"/>
      <c r="AS2591" s="2"/>
      <c r="AT2591" s="2" t="s">
        <v>8666</v>
      </c>
      <c r="AU2591" s="2"/>
      <c r="AV2591" s="2"/>
      <c r="AW2591" s="2"/>
      <c r="AX2591" s="2"/>
      <c r="AY2591" s="2">
        <v>1</v>
      </c>
      <c r="AZ2591" s="2" t="s">
        <v>107</v>
      </c>
      <c r="BA2591" s="2">
        <v>1</v>
      </c>
      <c r="BB2591" s="2" t="s">
        <v>107</v>
      </c>
      <c r="BC2591" s="2">
        <v>1</v>
      </c>
      <c r="BD2591" s="2" t="s">
        <v>107</v>
      </c>
      <c r="BE2591" s="2">
        <v>1</v>
      </c>
      <c r="BF2591" s="2" t="s">
        <v>107</v>
      </c>
      <c r="BG2591" s="2"/>
      <c r="BH2591" s="2"/>
      <c r="BI2591" s="2"/>
      <c r="BJ2591" s="2">
        <v>242</v>
      </c>
      <c r="BK2591" s="2" t="s">
        <v>107</v>
      </c>
      <c r="BL2591" s="2" t="s">
        <v>1705</v>
      </c>
      <c r="BM2591" s="2">
        <v>242</v>
      </c>
      <c r="BN2591" s="2" t="s">
        <v>107</v>
      </c>
      <c r="BO2591" s="2"/>
      <c r="BP2591" s="2">
        <v>242</v>
      </c>
      <c r="BQ2591" s="2" t="s">
        <v>107</v>
      </c>
      <c r="BR2591" s="2"/>
      <c r="BS2591" s="3">
        <v>40349</v>
      </c>
      <c r="BT2591" s="4">
        <v>0.70006944444444441</v>
      </c>
    </row>
    <row r="2592" spans="1:72" x14ac:dyDescent="0.25">
      <c r="A2592" s="2">
        <v>3767</v>
      </c>
      <c r="B2592" s="2">
        <v>2010</v>
      </c>
      <c r="C2592" s="2" t="s">
        <v>72</v>
      </c>
      <c r="D2592" s="2" t="s">
        <v>73</v>
      </c>
      <c r="E2592" s="2"/>
      <c r="F2592" s="2">
        <v>170</v>
      </c>
      <c r="G2592" s="2" t="s">
        <v>7892</v>
      </c>
      <c r="H2592" s="2">
        <v>22</v>
      </c>
      <c r="I2592" s="2" t="s">
        <v>75</v>
      </c>
      <c r="J2592" s="2">
        <v>550</v>
      </c>
      <c r="K2592" s="2" t="s">
        <v>6744</v>
      </c>
      <c r="L2592" s="2" t="s">
        <v>6745</v>
      </c>
      <c r="M2592" s="3">
        <v>40349</v>
      </c>
      <c r="N2592" s="2" t="s">
        <v>7893</v>
      </c>
      <c r="O2592" s="2" t="s">
        <v>107</v>
      </c>
      <c r="P2592" s="2" t="s">
        <v>107</v>
      </c>
      <c r="Q2592" s="2" t="str">
        <f>"222-A/10"</f>
        <v>222-A/10</v>
      </c>
      <c r="R2592" s="2" t="s">
        <v>78</v>
      </c>
      <c r="S2592" s="2" t="s">
        <v>78</v>
      </c>
      <c r="T2592" s="2">
        <v>1</v>
      </c>
      <c r="U2592" s="2" t="s">
        <v>79</v>
      </c>
      <c r="V2592" s="2">
        <v>1</v>
      </c>
      <c r="W2592" s="2" t="s">
        <v>80</v>
      </c>
      <c r="X2592" s="2">
        <v>12</v>
      </c>
      <c r="Y2592" s="2" t="s">
        <v>148</v>
      </c>
      <c r="Z2592" s="2">
        <v>1</v>
      </c>
      <c r="AA2592" s="2" t="s">
        <v>82</v>
      </c>
      <c r="AB2592" s="2">
        <v>6</v>
      </c>
      <c r="AC2592" s="2" t="s">
        <v>83</v>
      </c>
      <c r="AD2592" s="3">
        <v>40349</v>
      </c>
      <c r="AE2592" s="2"/>
      <c r="AF2592" s="3">
        <v>40349</v>
      </c>
      <c r="AG2592" s="4">
        <v>0.51736111111111105</v>
      </c>
      <c r="AH2592" s="2">
        <v>2</v>
      </c>
      <c r="AI2592" s="2" t="s">
        <v>84</v>
      </c>
      <c r="AJ2592" s="2">
        <v>12</v>
      </c>
      <c r="AK2592" s="2" t="s">
        <v>85</v>
      </c>
      <c r="AL2592" s="2">
        <v>12</v>
      </c>
      <c r="AM2592" s="2" t="s">
        <v>86</v>
      </c>
      <c r="AN2592" s="2" t="s">
        <v>8667</v>
      </c>
      <c r="AO2592" s="2" t="s">
        <v>1945</v>
      </c>
      <c r="AP2592" s="2">
        <v>11</v>
      </c>
      <c r="AQ2592" s="2" t="s">
        <v>82</v>
      </c>
      <c r="AR2592" s="2" t="s">
        <v>82</v>
      </c>
      <c r="AS2592" s="2" t="s">
        <v>82</v>
      </c>
      <c r="AT2592" s="2" t="s">
        <v>8668</v>
      </c>
      <c r="AU2592" s="2"/>
      <c r="AV2592" s="2"/>
      <c r="AW2592" s="2"/>
      <c r="AX2592" s="2"/>
      <c r="AY2592" s="2">
        <v>41</v>
      </c>
      <c r="AZ2592" s="2" t="s">
        <v>82</v>
      </c>
      <c r="BA2592" s="2">
        <v>41</v>
      </c>
      <c r="BB2592" s="2" t="s">
        <v>82</v>
      </c>
      <c r="BC2592" s="2">
        <v>41</v>
      </c>
      <c r="BD2592" s="2" t="s">
        <v>82</v>
      </c>
      <c r="BE2592" s="2">
        <v>41</v>
      </c>
      <c r="BF2592" s="2" t="s">
        <v>82</v>
      </c>
      <c r="BG2592" s="2"/>
      <c r="BH2592" s="2"/>
      <c r="BI2592" s="2"/>
      <c r="BJ2592" s="2">
        <v>241</v>
      </c>
      <c r="BK2592" s="2" t="s">
        <v>82</v>
      </c>
      <c r="BL2592" s="2"/>
      <c r="BM2592" s="2">
        <v>241</v>
      </c>
      <c r="BN2592" s="2" t="s">
        <v>82</v>
      </c>
      <c r="BO2592" s="2" t="s">
        <v>82</v>
      </c>
      <c r="BP2592" s="2">
        <v>241</v>
      </c>
      <c r="BQ2592" s="2" t="s">
        <v>82</v>
      </c>
      <c r="BR2592" s="2"/>
      <c r="BS2592" s="3">
        <v>40349</v>
      </c>
      <c r="BT2592" s="4">
        <v>0.70351851851851854</v>
      </c>
    </row>
    <row r="2593" spans="1:72" x14ac:dyDescent="0.25">
      <c r="A2593" s="2">
        <v>3768</v>
      </c>
      <c r="B2593" s="2">
        <v>2010</v>
      </c>
      <c r="C2593" s="2" t="s">
        <v>2138</v>
      </c>
      <c r="D2593" s="2" t="s">
        <v>73</v>
      </c>
      <c r="E2593" s="2"/>
      <c r="F2593" s="2">
        <v>644</v>
      </c>
      <c r="G2593" s="2" t="s">
        <v>8669</v>
      </c>
      <c r="H2593" s="2">
        <v>22</v>
      </c>
      <c r="I2593" s="2" t="s">
        <v>75</v>
      </c>
      <c r="J2593" s="2">
        <v>592</v>
      </c>
      <c r="K2593" s="2" t="s">
        <v>8670</v>
      </c>
      <c r="L2593" s="2" t="s">
        <v>8671</v>
      </c>
      <c r="M2593" s="3">
        <v>40349</v>
      </c>
      <c r="N2593" s="2" t="s">
        <v>8672</v>
      </c>
      <c r="O2593" s="2"/>
      <c r="P2593" s="2"/>
      <c r="Q2593" s="2" t="str">
        <f>"223-A/10"</f>
        <v>223-A/10</v>
      </c>
      <c r="R2593" s="2" t="s">
        <v>8673</v>
      </c>
      <c r="S2593" s="2"/>
      <c r="T2593" s="2">
        <v>1</v>
      </c>
      <c r="U2593" s="2" t="s">
        <v>79</v>
      </c>
      <c r="V2593" s="2">
        <v>1</v>
      </c>
      <c r="W2593" s="2" t="s">
        <v>80</v>
      </c>
      <c r="X2593" s="2">
        <v>1</v>
      </c>
      <c r="Y2593" s="2" t="s">
        <v>81</v>
      </c>
      <c r="Z2593" s="2">
        <v>1</v>
      </c>
      <c r="AA2593" s="2" t="s">
        <v>82</v>
      </c>
      <c r="AB2593" s="2">
        <v>9</v>
      </c>
      <c r="AC2593" s="2" t="s">
        <v>124</v>
      </c>
      <c r="AD2593" s="3">
        <v>40349</v>
      </c>
      <c r="AE2593" s="4">
        <v>0.60416666666666663</v>
      </c>
      <c r="AF2593" s="2"/>
      <c r="AG2593" s="2"/>
      <c r="AH2593" s="2">
        <v>2</v>
      </c>
      <c r="AI2593" s="2" t="s">
        <v>84</v>
      </c>
      <c r="AJ2593" s="2">
        <v>12</v>
      </c>
      <c r="AK2593" s="2" t="s">
        <v>85</v>
      </c>
      <c r="AL2593" s="2">
        <v>10</v>
      </c>
      <c r="AM2593" s="2" t="s">
        <v>200</v>
      </c>
      <c r="AN2593" s="2" t="s">
        <v>8674</v>
      </c>
      <c r="AO2593" s="2" t="s">
        <v>909</v>
      </c>
      <c r="AP2593" s="2">
        <v>11</v>
      </c>
      <c r="AQ2593" s="2" t="s">
        <v>82</v>
      </c>
      <c r="AR2593" s="2"/>
      <c r="AS2593" s="2"/>
      <c r="AT2593" s="2" t="s">
        <v>8675</v>
      </c>
      <c r="AU2593" s="2"/>
      <c r="AV2593" s="2"/>
      <c r="AW2593" s="2"/>
      <c r="AX2593" s="2"/>
      <c r="AY2593" s="2">
        <v>41</v>
      </c>
      <c r="AZ2593" s="2" t="s">
        <v>82</v>
      </c>
      <c r="BA2593" s="2">
        <v>41</v>
      </c>
      <c r="BB2593" s="2" t="s">
        <v>82</v>
      </c>
      <c r="BC2593" s="2">
        <v>41</v>
      </c>
      <c r="BD2593" s="2" t="s">
        <v>82</v>
      </c>
      <c r="BE2593" s="2">
        <v>41</v>
      </c>
      <c r="BF2593" s="2" t="s">
        <v>82</v>
      </c>
      <c r="BG2593" s="2"/>
      <c r="BH2593" s="2"/>
      <c r="BI2593" s="2"/>
      <c r="BJ2593" s="2">
        <v>241</v>
      </c>
      <c r="BK2593" s="2" t="s">
        <v>82</v>
      </c>
      <c r="BL2593" s="2"/>
      <c r="BM2593" s="2">
        <v>241</v>
      </c>
      <c r="BN2593" s="2" t="s">
        <v>82</v>
      </c>
      <c r="BO2593" s="2"/>
      <c r="BP2593" s="2">
        <v>241</v>
      </c>
      <c r="BQ2593" s="2" t="s">
        <v>82</v>
      </c>
      <c r="BR2593" s="2"/>
      <c r="BS2593" s="3">
        <v>40349</v>
      </c>
      <c r="BT2593" s="4">
        <v>0.88706018518518526</v>
      </c>
    </row>
    <row r="2594" spans="1:72" x14ac:dyDescent="0.25">
      <c r="A2594" s="2">
        <v>3769</v>
      </c>
      <c r="B2594" s="2">
        <v>2010</v>
      </c>
      <c r="C2594" s="2" t="s">
        <v>93</v>
      </c>
      <c r="D2594" s="2" t="s">
        <v>73</v>
      </c>
      <c r="E2594" s="2"/>
      <c r="F2594" s="2">
        <v>389</v>
      </c>
      <c r="G2594" s="2" t="s">
        <v>1819</v>
      </c>
      <c r="H2594" s="2">
        <v>2</v>
      </c>
      <c r="I2594" s="2" t="s">
        <v>267</v>
      </c>
      <c r="J2594" s="2">
        <v>399</v>
      </c>
      <c r="K2594" s="2" t="s">
        <v>1820</v>
      </c>
      <c r="L2594" s="2" t="s">
        <v>1821</v>
      </c>
      <c r="M2594" s="3">
        <v>40350</v>
      </c>
      <c r="N2594" s="2" t="s">
        <v>5653</v>
      </c>
      <c r="O2594" s="2" t="s">
        <v>3762</v>
      </c>
      <c r="P2594" s="2" t="s">
        <v>8676</v>
      </c>
      <c r="Q2594" s="2" t="str">
        <f>"N/C"</f>
        <v>N/C</v>
      </c>
      <c r="R2594" s="2" t="s">
        <v>100</v>
      </c>
      <c r="S2594" s="2"/>
      <c r="T2594" s="2">
        <v>1</v>
      </c>
      <c r="U2594" s="2" t="s">
        <v>79</v>
      </c>
      <c r="V2594" s="2">
        <v>1</v>
      </c>
      <c r="W2594" s="2" t="s">
        <v>80</v>
      </c>
      <c r="X2594" s="2">
        <v>10</v>
      </c>
      <c r="Y2594" s="2" t="s">
        <v>226</v>
      </c>
      <c r="Z2594" s="2">
        <v>6</v>
      </c>
      <c r="AA2594" s="2" t="s">
        <v>101</v>
      </c>
      <c r="AB2594" s="2">
        <v>2</v>
      </c>
      <c r="AC2594" s="2" t="s">
        <v>102</v>
      </c>
      <c r="AD2594" s="3">
        <v>40349</v>
      </c>
      <c r="AE2594" s="4">
        <v>0.89583333333333337</v>
      </c>
      <c r="AF2594" s="2"/>
      <c r="AG2594" s="2"/>
      <c r="AH2594" s="2">
        <v>2</v>
      </c>
      <c r="AI2594" s="2" t="s">
        <v>84</v>
      </c>
      <c r="AJ2594" s="2">
        <v>9</v>
      </c>
      <c r="AK2594" s="2" t="s">
        <v>103</v>
      </c>
      <c r="AL2594" s="2">
        <v>15</v>
      </c>
      <c r="AM2594" s="2" t="s">
        <v>104</v>
      </c>
      <c r="AN2594" s="2"/>
      <c r="AO2594" s="2" t="s">
        <v>7664</v>
      </c>
      <c r="AP2594" s="2">
        <v>11</v>
      </c>
      <c r="AQ2594" s="2" t="s">
        <v>82</v>
      </c>
      <c r="AR2594" s="2"/>
      <c r="AS2594" s="2"/>
      <c r="AT2594" s="2" t="s">
        <v>8677</v>
      </c>
      <c r="AU2594" s="2">
        <v>1</v>
      </c>
      <c r="AV2594" s="2"/>
      <c r="AW2594" s="2"/>
      <c r="AX2594" s="2"/>
      <c r="AY2594" s="2">
        <v>41</v>
      </c>
      <c r="AZ2594" s="2" t="s">
        <v>82</v>
      </c>
      <c r="BA2594" s="2">
        <v>41</v>
      </c>
      <c r="BB2594" s="2" t="s">
        <v>82</v>
      </c>
      <c r="BC2594" s="2">
        <v>41</v>
      </c>
      <c r="BD2594" s="2" t="s">
        <v>82</v>
      </c>
      <c r="BE2594" s="2">
        <v>13</v>
      </c>
      <c r="BF2594" s="2" t="s">
        <v>108</v>
      </c>
      <c r="BG2594" s="2" t="s">
        <v>1994</v>
      </c>
      <c r="BH2594" s="2"/>
      <c r="BI2594" s="2"/>
      <c r="BJ2594" s="2">
        <v>13</v>
      </c>
      <c r="BK2594" s="2" t="s">
        <v>91</v>
      </c>
      <c r="BL2594" s="2" t="s">
        <v>360</v>
      </c>
      <c r="BM2594" s="2">
        <v>241</v>
      </c>
      <c r="BN2594" s="2" t="s">
        <v>82</v>
      </c>
      <c r="BO2594" s="2"/>
      <c r="BP2594" s="2">
        <v>173</v>
      </c>
      <c r="BQ2594" s="2" t="s">
        <v>223</v>
      </c>
      <c r="BR2594" s="2" t="s">
        <v>224</v>
      </c>
      <c r="BS2594" s="3">
        <v>40350</v>
      </c>
      <c r="BT2594" s="4">
        <v>8.3333333333333332E-3</v>
      </c>
    </row>
    <row r="2595" spans="1:72" x14ac:dyDescent="0.25">
      <c r="A2595" s="2">
        <v>3770</v>
      </c>
      <c r="B2595" s="2">
        <v>2010</v>
      </c>
      <c r="C2595" s="2" t="s">
        <v>72</v>
      </c>
      <c r="D2595" s="2" t="s">
        <v>73</v>
      </c>
      <c r="E2595" s="2"/>
      <c r="F2595" s="2">
        <v>642</v>
      </c>
      <c r="G2595" s="2" t="s">
        <v>8576</v>
      </c>
      <c r="H2595" s="2">
        <v>125</v>
      </c>
      <c r="I2595" s="2" t="s">
        <v>8170</v>
      </c>
      <c r="J2595" s="2">
        <v>590</v>
      </c>
      <c r="K2595" s="2" t="s">
        <v>8577</v>
      </c>
      <c r="L2595" s="2" t="s">
        <v>7265</v>
      </c>
      <c r="M2595" s="3">
        <v>40350</v>
      </c>
      <c r="N2595" s="2" t="s">
        <v>8578</v>
      </c>
      <c r="O2595" s="2" t="s">
        <v>107</v>
      </c>
      <c r="P2595" s="2" t="s">
        <v>107</v>
      </c>
      <c r="Q2595" s="2" t="str">
        <f>"221-A/10"</f>
        <v>221-A/10</v>
      </c>
      <c r="R2595" s="2" t="s">
        <v>156</v>
      </c>
      <c r="S2595" s="2" t="s">
        <v>156</v>
      </c>
      <c r="T2595" s="2">
        <v>1</v>
      </c>
      <c r="U2595" s="2" t="s">
        <v>79</v>
      </c>
      <c r="V2595" s="2">
        <v>1</v>
      </c>
      <c r="W2595" s="2" t="s">
        <v>80</v>
      </c>
      <c r="X2595" s="2">
        <v>12</v>
      </c>
      <c r="Y2595" s="2" t="s">
        <v>148</v>
      </c>
      <c r="Z2595" s="2">
        <v>1</v>
      </c>
      <c r="AA2595" s="2" t="s">
        <v>82</v>
      </c>
      <c r="AB2595" s="2">
        <v>6</v>
      </c>
      <c r="AC2595" s="2" t="s">
        <v>83</v>
      </c>
      <c r="AD2595" s="2"/>
      <c r="AE2595" s="2"/>
      <c r="AF2595" s="3">
        <v>40349</v>
      </c>
      <c r="AG2595" s="4">
        <v>0.27777777777777779</v>
      </c>
      <c r="AH2595" s="2">
        <v>2</v>
      </c>
      <c r="AI2595" s="2" t="s">
        <v>84</v>
      </c>
      <c r="AJ2595" s="2">
        <v>12</v>
      </c>
      <c r="AK2595" s="2" t="s">
        <v>85</v>
      </c>
      <c r="AL2595" s="2">
        <v>25</v>
      </c>
      <c r="AM2595" s="2" t="s">
        <v>3073</v>
      </c>
      <c r="AN2595" s="2" t="s">
        <v>8678</v>
      </c>
      <c r="AO2595" s="2" t="s">
        <v>8679</v>
      </c>
      <c r="AP2595" s="2">
        <v>11</v>
      </c>
      <c r="AQ2595" s="2" t="s">
        <v>82</v>
      </c>
      <c r="AR2595" s="2"/>
      <c r="AS2595" s="2"/>
      <c r="AT2595" s="2" t="s">
        <v>8680</v>
      </c>
      <c r="AU2595" s="2"/>
      <c r="AV2595" s="2"/>
      <c r="AW2595" s="2"/>
      <c r="AX2595" s="2"/>
      <c r="AY2595" s="2">
        <v>62</v>
      </c>
      <c r="AZ2595" s="2" t="s">
        <v>120</v>
      </c>
      <c r="BA2595" s="2">
        <v>41</v>
      </c>
      <c r="BB2595" s="2" t="s">
        <v>82</v>
      </c>
      <c r="BC2595" s="2">
        <v>41</v>
      </c>
      <c r="BD2595" s="2" t="s">
        <v>82</v>
      </c>
      <c r="BE2595" s="2">
        <v>41</v>
      </c>
      <c r="BF2595" s="2" t="s">
        <v>82</v>
      </c>
      <c r="BG2595" s="2"/>
      <c r="BH2595" s="2"/>
      <c r="BI2595" s="2"/>
      <c r="BJ2595" s="2">
        <v>241</v>
      </c>
      <c r="BK2595" s="2" t="s">
        <v>82</v>
      </c>
      <c r="BL2595" s="2"/>
      <c r="BM2595" s="2">
        <v>241</v>
      </c>
      <c r="BN2595" s="2" t="s">
        <v>82</v>
      </c>
      <c r="BO2595" s="2"/>
      <c r="BP2595" s="2">
        <v>241</v>
      </c>
      <c r="BQ2595" s="2" t="s">
        <v>82</v>
      </c>
      <c r="BR2595" s="2"/>
      <c r="BS2595" s="3">
        <v>40350</v>
      </c>
      <c r="BT2595" s="4">
        <v>0.24188657407407407</v>
      </c>
    </row>
    <row r="2596" spans="1:72" x14ac:dyDescent="0.25">
      <c r="A2596" s="2">
        <v>3771</v>
      </c>
      <c r="B2596" s="2">
        <v>2010</v>
      </c>
      <c r="C2596" s="2" t="s">
        <v>72</v>
      </c>
      <c r="D2596" s="2" t="s">
        <v>73</v>
      </c>
      <c r="E2596" s="2"/>
      <c r="F2596" s="2">
        <v>170</v>
      </c>
      <c r="G2596" s="2" t="s">
        <v>7892</v>
      </c>
      <c r="H2596" s="2">
        <v>22</v>
      </c>
      <c r="I2596" s="2" t="s">
        <v>75</v>
      </c>
      <c r="J2596" s="2">
        <v>550</v>
      </c>
      <c r="K2596" s="2" t="s">
        <v>6744</v>
      </c>
      <c r="L2596" s="2" t="s">
        <v>6745</v>
      </c>
      <c r="M2596" s="3">
        <v>40350</v>
      </c>
      <c r="N2596" s="2" t="s">
        <v>7926</v>
      </c>
      <c r="O2596" s="2" t="s">
        <v>107</v>
      </c>
      <c r="P2596" s="2" t="s">
        <v>107</v>
      </c>
      <c r="Q2596" s="2" t="str">
        <f>"224-A/10"</f>
        <v>224-A/10</v>
      </c>
      <c r="R2596" s="2" t="s">
        <v>78</v>
      </c>
      <c r="S2596" s="2" t="s">
        <v>78</v>
      </c>
      <c r="T2596" s="2">
        <v>1</v>
      </c>
      <c r="U2596" s="2" t="s">
        <v>79</v>
      </c>
      <c r="V2596" s="2">
        <v>1</v>
      </c>
      <c r="W2596" s="2" t="s">
        <v>80</v>
      </c>
      <c r="X2596" s="2">
        <v>12</v>
      </c>
      <c r="Y2596" s="2" t="s">
        <v>148</v>
      </c>
      <c r="Z2596" s="2">
        <v>1</v>
      </c>
      <c r="AA2596" s="2" t="s">
        <v>82</v>
      </c>
      <c r="AB2596" s="2">
        <v>6</v>
      </c>
      <c r="AC2596" s="2" t="s">
        <v>83</v>
      </c>
      <c r="AD2596" s="3">
        <v>40346</v>
      </c>
      <c r="AE2596" s="2"/>
      <c r="AF2596" s="3">
        <v>40349</v>
      </c>
      <c r="AG2596" s="4">
        <v>0.96875</v>
      </c>
      <c r="AH2596" s="2">
        <v>2</v>
      </c>
      <c r="AI2596" s="2" t="s">
        <v>84</v>
      </c>
      <c r="AJ2596" s="2">
        <v>12</v>
      </c>
      <c r="AK2596" s="2" t="s">
        <v>85</v>
      </c>
      <c r="AL2596" s="2">
        <v>12</v>
      </c>
      <c r="AM2596" s="2" t="s">
        <v>86</v>
      </c>
      <c r="AN2596" s="2" t="s">
        <v>8681</v>
      </c>
      <c r="AO2596" s="2" t="s">
        <v>8682</v>
      </c>
      <c r="AP2596" s="2">
        <v>11</v>
      </c>
      <c r="AQ2596" s="2" t="s">
        <v>82</v>
      </c>
      <c r="AR2596" s="2"/>
      <c r="AS2596" s="2"/>
      <c r="AT2596" s="2" t="s">
        <v>8683</v>
      </c>
      <c r="AU2596" s="2"/>
      <c r="AV2596" s="2"/>
      <c r="AW2596" s="2"/>
      <c r="AX2596" s="2"/>
      <c r="AY2596" s="2">
        <v>41</v>
      </c>
      <c r="AZ2596" s="2" t="s">
        <v>82</v>
      </c>
      <c r="BA2596" s="2">
        <v>41</v>
      </c>
      <c r="BB2596" s="2" t="s">
        <v>82</v>
      </c>
      <c r="BC2596" s="2">
        <v>41</v>
      </c>
      <c r="BD2596" s="2" t="s">
        <v>82</v>
      </c>
      <c r="BE2596" s="2">
        <v>41</v>
      </c>
      <c r="BF2596" s="2" t="s">
        <v>82</v>
      </c>
      <c r="BG2596" s="2"/>
      <c r="BH2596" s="2"/>
      <c r="BI2596" s="2"/>
      <c r="BJ2596" s="2">
        <v>241</v>
      </c>
      <c r="BK2596" s="2" t="s">
        <v>82</v>
      </c>
      <c r="BL2596" s="2"/>
      <c r="BM2596" s="2">
        <v>241</v>
      </c>
      <c r="BN2596" s="2" t="s">
        <v>82</v>
      </c>
      <c r="BO2596" s="2"/>
      <c r="BP2596" s="2">
        <v>241</v>
      </c>
      <c r="BQ2596" s="2" t="s">
        <v>82</v>
      </c>
      <c r="BR2596" s="2"/>
      <c r="BS2596" s="3">
        <v>40350</v>
      </c>
      <c r="BT2596" s="4">
        <v>0.25746527777777778</v>
      </c>
    </row>
    <row r="2597" spans="1:72" x14ac:dyDescent="0.25">
      <c r="A2597" s="2">
        <v>3772</v>
      </c>
      <c r="B2597" s="2">
        <v>2010</v>
      </c>
      <c r="C2597" s="2" t="s">
        <v>93</v>
      </c>
      <c r="D2597" s="2" t="s">
        <v>122</v>
      </c>
      <c r="E2597" s="2" t="s">
        <v>8684</v>
      </c>
      <c r="F2597" s="2">
        <v>389</v>
      </c>
      <c r="G2597" s="2" t="s">
        <v>1819</v>
      </c>
      <c r="H2597" s="2">
        <v>2</v>
      </c>
      <c r="I2597" s="2" t="s">
        <v>267</v>
      </c>
      <c r="J2597" s="2">
        <v>399</v>
      </c>
      <c r="K2597" s="2" t="s">
        <v>1820</v>
      </c>
      <c r="L2597" s="2" t="s">
        <v>1821</v>
      </c>
      <c r="M2597" s="3">
        <v>40350</v>
      </c>
      <c r="N2597" s="2" t="s">
        <v>5653</v>
      </c>
      <c r="O2597" s="2" t="s">
        <v>3762</v>
      </c>
      <c r="P2597" s="2" t="s">
        <v>8685</v>
      </c>
      <c r="Q2597" s="2" t="str">
        <f>"N/C"</f>
        <v>N/C</v>
      </c>
      <c r="R2597" s="2" t="s">
        <v>100</v>
      </c>
      <c r="S2597" s="2" t="s">
        <v>100</v>
      </c>
      <c r="T2597" s="2">
        <v>1</v>
      </c>
      <c r="U2597" s="2" t="s">
        <v>79</v>
      </c>
      <c r="V2597" s="2">
        <v>1</v>
      </c>
      <c r="W2597" s="2" t="s">
        <v>80</v>
      </c>
      <c r="X2597" s="2">
        <v>10</v>
      </c>
      <c r="Y2597" s="2" t="s">
        <v>226</v>
      </c>
      <c r="Z2597" s="2">
        <v>6</v>
      </c>
      <c r="AA2597" s="2" t="s">
        <v>101</v>
      </c>
      <c r="AB2597" s="2">
        <v>2</v>
      </c>
      <c r="AC2597" s="2" t="s">
        <v>102</v>
      </c>
      <c r="AD2597" s="3">
        <v>40349</v>
      </c>
      <c r="AE2597" s="4">
        <v>0.875</v>
      </c>
      <c r="AF2597" s="2"/>
      <c r="AG2597" s="2"/>
      <c r="AH2597" s="2">
        <v>2</v>
      </c>
      <c r="AI2597" s="2" t="s">
        <v>84</v>
      </c>
      <c r="AJ2597" s="2">
        <v>9</v>
      </c>
      <c r="AK2597" s="2" t="s">
        <v>103</v>
      </c>
      <c r="AL2597" s="2">
        <v>15</v>
      </c>
      <c r="AM2597" s="2" t="s">
        <v>104</v>
      </c>
      <c r="AN2597" s="2"/>
      <c r="AO2597" s="2" t="s">
        <v>8686</v>
      </c>
      <c r="AP2597" s="2">
        <v>11</v>
      </c>
      <c r="AQ2597" s="2" t="s">
        <v>82</v>
      </c>
      <c r="AR2597" s="2"/>
      <c r="AS2597" s="2"/>
      <c r="AT2597" s="2" t="s">
        <v>8687</v>
      </c>
      <c r="AU2597" s="2">
        <v>1</v>
      </c>
      <c r="AV2597" s="2"/>
      <c r="AW2597" s="2"/>
      <c r="AX2597" s="2"/>
      <c r="AY2597" s="2">
        <v>42</v>
      </c>
      <c r="AZ2597" s="2" t="s">
        <v>182</v>
      </c>
      <c r="BA2597" s="2">
        <v>115</v>
      </c>
      <c r="BB2597" s="2" t="s">
        <v>101</v>
      </c>
      <c r="BC2597" s="2">
        <v>70</v>
      </c>
      <c r="BD2597" s="2" t="s">
        <v>236</v>
      </c>
      <c r="BE2597" s="2">
        <v>13</v>
      </c>
      <c r="BF2597" s="2" t="s">
        <v>108</v>
      </c>
      <c r="BG2597" s="2" t="s">
        <v>1994</v>
      </c>
      <c r="BH2597" s="4">
        <v>0</v>
      </c>
      <c r="BI2597" s="4">
        <v>0.93055555555555547</v>
      </c>
      <c r="BJ2597" s="2">
        <v>13</v>
      </c>
      <c r="BK2597" s="2" t="s">
        <v>91</v>
      </c>
      <c r="BL2597" s="2" t="s">
        <v>1801</v>
      </c>
      <c r="BM2597" s="2">
        <v>241</v>
      </c>
      <c r="BN2597" s="2" t="s">
        <v>82</v>
      </c>
      <c r="BO2597" s="2"/>
      <c r="BP2597" s="2">
        <v>173</v>
      </c>
      <c r="BQ2597" s="2" t="s">
        <v>223</v>
      </c>
      <c r="BR2597" s="2" t="s">
        <v>224</v>
      </c>
      <c r="BS2597" s="3">
        <v>40350</v>
      </c>
      <c r="BT2597" s="4">
        <v>0.39770833333333333</v>
      </c>
    </row>
    <row r="2598" spans="1:72" x14ac:dyDescent="0.25">
      <c r="A2598" s="2">
        <v>3773</v>
      </c>
      <c r="B2598" s="2">
        <v>2010</v>
      </c>
      <c r="C2598" s="2" t="s">
        <v>8688</v>
      </c>
      <c r="D2598" s="2" t="s">
        <v>122</v>
      </c>
      <c r="E2598" s="2" t="s">
        <v>8689</v>
      </c>
      <c r="F2598" s="2">
        <v>389</v>
      </c>
      <c r="G2598" s="2" t="s">
        <v>1819</v>
      </c>
      <c r="H2598" s="2">
        <v>2</v>
      </c>
      <c r="I2598" s="2" t="s">
        <v>267</v>
      </c>
      <c r="J2598" s="2">
        <v>399</v>
      </c>
      <c r="K2598" s="2" t="s">
        <v>1820</v>
      </c>
      <c r="L2598" s="2" t="s">
        <v>1821</v>
      </c>
      <c r="M2598" s="3">
        <v>40350</v>
      </c>
      <c r="N2598" s="2" t="s">
        <v>5653</v>
      </c>
      <c r="O2598" s="2"/>
      <c r="P2598" s="2"/>
      <c r="Q2598" s="2" t="str">
        <f>"330-E/10"</f>
        <v>330-E/10</v>
      </c>
      <c r="R2598" s="2" t="s">
        <v>8690</v>
      </c>
      <c r="S2598" s="2"/>
      <c r="T2598" s="2">
        <v>1</v>
      </c>
      <c r="U2598" s="2" t="s">
        <v>79</v>
      </c>
      <c r="V2598" s="2">
        <v>1</v>
      </c>
      <c r="W2598" s="2" t="s">
        <v>80</v>
      </c>
      <c r="X2598" s="2">
        <v>1</v>
      </c>
      <c r="Y2598" s="2" t="s">
        <v>81</v>
      </c>
      <c r="Z2598" s="2">
        <v>1</v>
      </c>
      <c r="AA2598" s="2" t="s">
        <v>82</v>
      </c>
      <c r="AB2598" s="2">
        <v>9</v>
      </c>
      <c r="AC2598" s="2" t="s">
        <v>124</v>
      </c>
      <c r="AD2598" s="3">
        <v>40348</v>
      </c>
      <c r="AE2598" s="4">
        <v>0.95138888888888884</v>
      </c>
      <c r="AF2598" s="2"/>
      <c r="AG2598" s="2"/>
      <c r="AH2598" s="2">
        <v>2</v>
      </c>
      <c r="AI2598" s="2" t="s">
        <v>84</v>
      </c>
      <c r="AJ2598" s="2">
        <v>9</v>
      </c>
      <c r="AK2598" s="2" t="s">
        <v>103</v>
      </c>
      <c r="AL2598" s="2">
        <v>15</v>
      </c>
      <c r="AM2598" s="2" t="s">
        <v>104</v>
      </c>
      <c r="AN2598" s="2" t="s">
        <v>8691</v>
      </c>
      <c r="AO2598" s="2"/>
      <c r="AP2598" s="2">
        <v>11</v>
      </c>
      <c r="AQ2598" s="2" t="s">
        <v>82</v>
      </c>
      <c r="AR2598" s="2"/>
      <c r="AS2598" s="2"/>
      <c r="AT2598" s="2" t="s">
        <v>8692</v>
      </c>
      <c r="AU2598" s="2"/>
      <c r="AV2598" s="2">
        <v>1</v>
      </c>
      <c r="AW2598" s="2"/>
      <c r="AX2598" s="2"/>
      <c r="AY2598" s="2">
        <v>41</v>
      </c>
      <c r="AZ2598" s="2" t="s">
        <v>82</v>
      </c>
      <c r="BA2598" s="2">
        <v>41</v>
      </c>
      <c r="BB2598" s="2" t="s">
        <v>82</v>
      </c>
      <c r="BC2598" s="2">
        <v>41</v>
      </c>
      <c r="BD2598" s="2" t="s">
        <v>82</v>
      </c>
      <c r="BE2598" s="2">
        <v>41</v>
      </c>
      <c r="BF2598" s="2" t="s">
        <v>82</v>
      </c>
      <c r="BG2598" s="2"/>
      <c r="BH2598" s="2"/>
      <c r="BI2598" s="2"/>
      <c r="BJ2598" s="2">
        <v>241</v>
      </c>
      <c r="BK2598" s="2" t="s">
        <v>82</v>
      </c>
      <c r="BL2598" s="2"/>
      <c r="BM2598" s="2">
        <v>241</v>
      </c>
      <c r="BN2598" s="2" t="s">
        <v>82</v>
      </c>
      <c r="BO2598" s="2"/>
      <c r="BP2598" s="2">
        <v>241</v>
      </c>
      <c r="BQ2598" s="2" t="s">
        <v>82</v>
      </c>
      <c r="BR2598" s="2"/>
      <c r="BS2598" s="3">
        <v>40350</v>
      </c>
      <c r="BT2598" s="4">
        <v>0.40114583333333331</v>
      </c>
    </row>
    <row r="2599" spans="1:72" x14ac:dyDescent="0.25">
      <c r="A2599" s="2">
        <v>3774</v>
      </c>
      <c r="B2599" s="2">
        <v>2010</v>
      </c>
      <c r="C2599" s="2" t="s">
        <v>171</v>
      </c>
      <c r="D2599" s="2" t="s">
        <v>73</v>
      </c>
      <c r="E2599" s="2"/>
      <c r="F2599" s="2">
        <v>499</v>
      </c>
      <c r="G2599" s="2" t="s">
        <v>2177</v>
      </c>
      <c r="H2599" s="2">
        <v>6</v>
      </c>
      <c r="I2599" s="2" t="s">
        <v>1088</v>
      </c>
      <c r="J2599" s="2">
        <v>165</v>
      </c>
      <c r="K2599" s="2" t="s">
        <v>8586</v>
      </c>
      <c r="L2599" s="2" t="s">
        <v>8587</v>
      </c>
      <c r="M2599" s="3">
        <v>40350</v>
      </c>
      <c r="N2599" s="2" t="s">
        <v>8601</v>
      </c>
      <c r="O2599" s="2"/>
      <c r="P2599" s="2"/>
      <c r="Q2599" s="2" t="str">
        <f>"225-A/10"</f>
        <v>225-A/10</v>
      </c>
      <c r="R2599" s="2" t="s">
        <v>1035</v>
      </c>
      <c r="S2599" s="2"/>
      <c r="T2599" s="2">
        <v>1</v>
      </c>
      <c r="U2599" s="2" t="s">
        <v>79</v>
      </c>
      <c r="V2599" s="2">
        <v>1</v>
      </c>
      <c r="W2599" s="2" t="s">
        <v>80</v>
      </c>
      <c r="X2599" s="2">
        <v>1</v>
      </c>
      <c r="Y2599" s="2" t="s">
        <v>81</v>
      </c>
      <c r="Z2599" s="2">
        <v>1</v>
      </c>
      <c r="AA2599" s="2" t="s">
        <v>82</v>
      </c>
      <c r="AB2599" s="2">
        <v>1</v>
      </c>
      <c r="AC2599" s="2" t="s">
        <v>178</v>
      </c>
      <c r="AD2599" s="3">
        <v>40350</v>
      </c>
      <c r="AE2599" s="4">
        <v>0.3576388888888889</v>
      </c>
      <c r="AF2599" s="2"/>
      <c r="AG2599" s="2"/>
      <c r="AH2599" s="2">
        <v>2</v>
      </c>
      <c r="AI2599" s="2" t="s">
        <v>84</v>
      </c>
      <c r="AJ2599" s="2">
        <v>12</v>
      </c>
      <c r="AK2599" s="2" t="s">
        <v>85</v>
      </c>
      <c r="AL2599" s="2">
        <v>11</v>
      </c>
      <c r="AM2599" s="2" t="s">
        <v>137</v>
      </c>
      <c r="AN2599" s="2" t="s">
        <v>919</v>
      </c>
      <c r="AO2599" s="2" t="s">
        <v>8693</v>
      </c>
      <c r="AP2599" s="2">
        <v>11</v>
      </c>
      <c r="AQ2599" s="2" t="s">
        <v>82</v>
      </c>
      <c r="AR2599" s="2"/>
      <c r="AS2599" s="2"/>
      <c r="AT2599" s="2" t="s">
        <v>8694</v>
      </c>
      <c r="AU2599" s="2">
        <v>1</v>
      </c>
      <c r="AV2599" s="2"/>
      <c r="AW2599" s="2"/>
      <c r="AX2599" s="2"/>
      <c r="AY2599" s="2">
        <v>41</v>
      </c>
      <c r="AZ2599" s="2" t="s">
        <v>82</v>
      </c>
      <c r="BA2599" s="2">
        <v>41</v>
      </c>
      <c r="BB2599" s="2" t="s">
        <v>82</v>
      </c>
      <c r="BC2599" s="2">
        <v>41</v>
      </c>
      <c r="BD2599" s="2" t="s">
        <v>82</v>
      </c>
      <c r="BE2599" s="2">
        <v>47</v>
      </c>
      <c r="BF2599" s="2" t="s">
        <v>167</v>
      </c>
      <c r="BG2599" s="2" t="s">
        <v>8695</v>
      </c>
      <c r="BH2599" s="4">
        <v>0.54166666666666663</v>
      </c>
      <c r="BI2599" s="4">
        <v>0.38541666666666669</v>
      </c>
      <c r="BJ2599" s="2">
        <v>13</v>
      </c>
      <c r="BK2599" s="2" t="s">
        <v>91</v>
      </c>
      <c r="BL2599" s="2" t="s">
        <v>564</v>
      </c>
      <c r="BM2599" s="2">
        <v>241</v>
      </c>
      <c r="BN2599" s="2" t="s">
        <v>82</v>
      </c>
      <c r="BO2599" s="2" t="s">
        <v>82</v>
      </c>
      <c r="BP2599" s="2">
        <v>13</v>
      </c>
      <c r="BQ2599" s="2" t="s">
        <v>91</v>
      </c>
      <c r="BR2599" s="2" t="s">
        <v>353</v>
      </c>
      <c r="BS2599" s="3">
        <v>40350</v>
      </c>
      <c r="BT2599" s="4">
        <v>0.51258101851851856</v>
      </c>
    </row>
    <row r="2600" spans="1:72" x14ac:dyDescent="0.25">
      <c r="A2600" s="2">
        <v>3776</v>
      </c>
      <c r="B2600" s="2">
        <v>2010</v>
      </c>
      <c r="C2600" s="2" t="s">
        <v>1660</v>
      </c>
      <c r="D2600" s="2" t="s">
        <v>122</v>
      </c>
      <c r="E2600" s="2"/>
      <c r="F2600" s="2">
        <v>389</v>
      </c>
      <c r="G2600" s="2" t="s">
        <v>1819</v>
      </c>
      <c r="H2600" s="2">
        <v>2</v>
      </c>
      <c r="I2600" s="2" t="s">
        <v>267</v>
      </c>
      <c r="J2600" s="2">
        <v>399</v>
      </c>
      <c r="K2600" s="2" t="s">
        <v>1820</v>
      </c>
      <c r="L2600" s="2" t="s">
        <v>1821</v>
      </c>
      <c r="M2600" s="3">
        <v>40350</v>
      </c>
      <c r="N2600" s="2" t="s">
        <v>5653</v>
      </c>
      <c r="O2600" s="2" t="s">
        <v>82</v>
      </c>
      <c r="P2600" s="2" t="s">
        <v>82</v>
      </c>
      <c r="Q2600" s="2" t="str">
        <f>"N/C"</f>
        <v>N/C</v>
      </c>
      <c r="R2600" s="2" t="s">
        <v>82</v>
      </c>
      <c r="S2600" s="2" t="s">
        <v>82</v>
      </c>
      <c r="T2600" s="2">
        <v>1</v>
      </c>
      <c r="U2600" s="2" t="s">
        <v>79</v>
      </c>
      <c r="V2600" s="2">
        <v>1</v>
      </c>
      <c r="W2600" s="2" t="s">
        <v>80</v>
      </c>
      <c r="X2600" s="2">
        <v>12</v>
      </c>
      <c r="Y2600" s="2" t="s">
        <v>148</v>
      </c>
      <c r="Z2600" s="2">
        <v>1</v>
      </c>
      <c r="AA2600" s="2" t="s">
        <v>82</v>
      </c>
      <c r="AB2600" s="2">
        <v>3</v>
      </c>
      <c r="AC2600" s="2" t="s">
        <v>1663</v>
      </c>
      <c r="AD2600" s="3">
        <v>40350</v>
      </c>
      <c r="AE2600" s="4">
        <v>0.375</v>
      </c>
      <c r="AF2600" s="3">
        <v>40350</v>
      </c>
      <c r="AG2600" s="4">
        <v>0.39583333333333331</v>
      </c>
      <c r="AH2600" s="2">
        <v>2</v>
      </c>
      <c r="AI2600" s="2" t="s">
        <v>84</v>
      </c>
      <c r="AJ2600" s="2">
        <v>9</v>
      </c>
      <c r="AK2600" s="2" t="s">
        <v>103</v>
      </c>
      <c r="AL2600" s="2">
        <v>14</v>
      </c>
      <c r="AM2600" s="2" t="s">
        <v>216</v>
      </c>
      <c r="AN2600" s="2"/>
      <c r="AO2600" s="2" t="s">
        <v>8696</v>
      </c>
      <c r="AP2600" s="2">
        <v>11</v>
      </c>
      <c r="AQ2600" s="2" t="s">
        <v>82</v>
      </c>
      <c r="AR2600" s="2"/>
      <c r="AS2600" s="2"/>
      <c r="AT2600" s="2" t="s">
        <v>8697</v>
      </c>
      <c r="AU2600" s="2"/>
      <c r="AV2600" s="2"/>
      <c r="AW2600" s="2"/>
      <c r="AX2600" s="2"/>
      <c r="AY2600" s="2">
        <v>41</v>
      </c>
      <c r="AZ2600" s="2" t="s">
        <v>82</v>
      </c>
      <c r="BA2600" s="2">
        <v>115</v>
      </c>
      <c r="BB2600" s="2" t="s">
        <v>101</v>
      </c>
      <c r="BC2600" s="2">
        <v>41</v>
      </c>
      <c r="BD2600" s="2" t="s">
        <v>82</v>
      </c>
      <c r="BE2600" s="2">
        <v>14</v>
      </c>
      <c r="BF2600" s="2" t="s">
        <v>484</v>
      </c>
      <c r="BG2600" s="2" t="s">
        <v>8698</v>
      </c>
      <c r="BH2600" s="4">
        <v>0.375</v>
      </c>
      <c r="BI2600" s="2"/>
      <c r="BJ2600" s="2">
        <v>82</v>
      </c>
      <c r="BK2600" s="2" t="s">
        <v>487</v>
      </c>
      <c r="BL2600" s="2" t="s">
        <v>488</v>
      </c>
      <c r="BM2600" s="2">
        <v>242</v>
      </c>
      <c r="BN2600" s="2" t="s">
        <v>107</v>
      </c>
      <c r="BO2600" s="2"/>
      <c r="BP2600" s="2">
        <v>13</v>
      </c>
      <c r="BQ2600" s="2" t="s">
        <v>91</v>
      </c>
      <c r="BR2600" s="2" t="s">
        <v>4251</v>
      </c>
      <c r="BS2600" s="3">
        <v>40350</v>
      </c>
      <c r="BT2600" s="4">
        <v>0.62850694444444444</v>
      </c>
    </row>
    <row r="2601" spans="1:72" x14ac:dyDescent="0.25">
      <c r="A2601" s="2">
        <v>3777</v>
      </c>
      <c r="B2601" s="2">
        <v>2010</v>
      </c>
      <c r="C2601" s="2" t="s">
        <v>549</v>
      </c>
      <c r="D2601" s="2" t="s">
        <v>73</v>
      </c>
      <c r="E2601" s="2"/>
      <c r="F2601" s="2">
        <v>2</v>
      </c>
      <c r="G2601" s="2" t="s">
        <v>113</v>
      </c>
      <c r="H2601" s="2">
        <v>1</v>
      </c>
      <c r="I2601" s="2" t="s">
        <v>82</v>
      </c>
      <c r="J2601" s="2">
        <v>300</v>
      </c>
      <c r="K2601" s="2" t="s">
        <v>114</v>
      </c>
      <c r="L2601" s="2" t="s">
        <v>115</v>
      </c>
      <c r="M2601" s="3">
        <v>40350</v>
      </c>
      <c r="N2601" s="2" t="s">
        <v>82</v>
      </c>
      <c r="O2601" s="2" t="s">
        <v>107</v>
      </c>
      <c r="P2601" s="2" t="s">
        <v>107</v>
      </c>
      <c r="Q2601" s="2" t="str">
        <f>"332-E/10"</f>
        <v>332-E/10</v>
      </c>
      <c r="R2601" s="2" t="s">
        <v>107</v>
      </c>
      <c r="S2601" s="2" t="s">
        <v>8699</v>
      </c>
      <c r="T2601" s="2">
        <v>1</v>
      </c>
      <c r="U2601" s="2" t="s">
        <v>79</v>
      </c>
      <c r="V2601" s="2">
        <v>1</v>
      </c>
      <c r="W2601" s="2" t="s">
        <v>80</v>
      </c>
      <c r="X2601" s="2">
        <v>12</v>
      </c>
      <c r="Y2601" s="2" t="s">
        <v>148</v>
      </c>
      <c r="Z2601" s="2">
        <v>1</v>
      </c>
      <c r="AA2601" s="2" t="s">
        <v>82</v>
      </c>
      <c r="AB2601" s="2">
        <v>9</v>
      </c>
      <c r="AC2601" s="2" t="s">
        <v>124</v>
      </c>
      <c r="AD2601" s="3">
        <v>40715</v>
      </c>
      <c r="AE2601" s="4">
        <v>0.52083333333333337</v>
      </c>
      <c r="AF2601" s="3">
        <v>40350</v>
      </c>
      <c r="AG2601" s="4">
        <v>0.58333333333333337</v>
      </c>
      <c r="AH2601" s="2">
        <v>2</v>
      </c>
      <c r="AI2601" s="2" t="s">
        <v>84</v>
      </c>
      <c r="AJ2601" s="2">
        <v>9</v>
      </c>
      <c r="AK2601" s="2" t="s">
        <v>103</v>
      </c>
      <c r="AL2601" s="2">
        <v>12</v>
      </c>
      <c r="AM2601" s="2" t="s">
        <v>86</v>
      </c>
      <c r="AN2601" s="2" t="s">
        <v>107</v>
      </c>
      <c r="AO2601" s="2" t="s">
        <v>8700</v>
      </c>
      <c r="AP2601" s="2">
        <v>11</v>
      </c>
      <c r="AQ2601" s="2" t="s">
        <v>82</v>
      </c>
      <c r="AR2601" s="2"/>
      <c r="AS2601" s="2"/>
      <c r="AT2601" s="2" t="s">
        <v>8701</v>
      </c>
      <c r="AU2601" s="2"/>
      <c r="AV2601" s="2"/>
      <c r="AW2601" s="2"/>
      <c r="AX2601" s="2"/>
      <c r="AY2601" s="2">
        <v>41</v>
      </c>
      <c r="AZ2601" s="2" t="s">
        <v>82</v>
      </c>
      <c r="BA2601" s="2">
        <v>41</v>
      </c>
      <c r="BB2601" s="2" t="s">
        <v>82</v>
      </c>
      <c r="BC2601" s="2">
        <v>41</v>
      </c>
      <c r="BD2601" s="2" t="s">
        <v>82</v>
      </c>
      <c r="BE2601" s="2">
        <v>41</v>
      </c>
      <c r="BF2601" s="2" t="s">
        <v>82</v>
      </c>
      <c r="BG2601" s="2" t="s">
        <v>82</v>
      </c>
      <c r="BH2601" s="2"/>
      <c r="BI2601" s="2"/>
      <c r="BJ2601" s="2">
        <v>241</v>
      </c>
      <c r="BK2601" s="2" t="s">
        <v>82</v>
      </c>
      <c r="BL2601" s="2"/>
      <c r="BM2601" s="2">
        <v>241</v>
      </c>
      <c r="BN2601" s="2" t="s">
        <v>82</v>
      </c>
      <c r="BO2601" s="2"/>
      <c r="BP2601" s="2">
        <v>241</v>
      </c>
      <c r="BQ2601" s="2" t="s">
        <v>82</v>
      </c>
      <c r="BR2601" s="2"/>
      <c r="BS2601" s="3">
        <v>40350</v>
      </c>
      <c r="BT2601" s="4">
        <v>0.6526967592592593</v>
      </c>
    </row>
    <row r="2602" spans="1:72" x14ac:dyDescent="0.25">
      <c r="A2602" s="2">
        <v>3778</v>
      </c>
      <c r="B2602" s="2">
        <v>2010</v>
      </c>
      <c r="C2602" s="2" t="s">
        <v>121</v>
      </c>
      <c r="D2602" s="2" t="s">
        <v>122</v>
      </c>
      <c r="E2602" s="2"/>
      <c r="F2602" s="2">
        <v>1</v>
      </c>
      <c r="G2602" s="2" t="s">
        <v>82</v>
      </c>
      <c r="H2602" s="2">
        <v>1</v>
      </c>
      <c r="I2602" s="2" t="s">
        <v>82</v>
      </c>
      <c r="J2602" s="2">
        <v>1</v>
      </c>
      <c r="K2602" s="2" t="s">
        <v>107</v>
      </c>
      <c r="L2602" s="2" t="s">
        <v>107</v>
      </c>
      <c r="M2602" s="3">
        <v>40350</v>
      </c>
      <c r="N2602" s="2"/>
      <c r="O2602" s="2"/>
      <c r="P2602" s="2"/>
      <c r="Q2602" s="2" t="str">
        <f>""</f>
        <v/>
      </c>
      <c r="R2602" s="2"/>
      <c r="S2602" s="2"/>
      <c r="T2602" s="2">
        <v>2</v>
      </c>
      <c r="U2602" s="2" t="s">
        <v>123</v>
      </c>
      <c r="V2602" s="2">
        <v>1</v>
      </c>
      <c r="W2602" s="2" t="s">
        <v>80</v>
      </c>
      <c r="X2602" s="2">
        <v>11</v>
      </c>
      <c r="Y2602" s="2" t="s">
        <v>1920</v>
      </c>
      <c r="Z2602" s="2">
        <v>10</v>
      </c>
      <c r="AA2602" s="2" t="s">
        <v>236</v>
      </c>
      <c r="AB2602" s="2">
        <v>9</v>
      </c>
      <c r="AC2602" s="2" t="s">
        <v>124</v>
      </c>
      <c r="AD2602" s="3">
        <v>40350</v>
      </c>
      <c r="AE2602" s="4">
        <v>0.58333333333333337</v>
      </c>
      <c r="AF2602" s="2"/>
      <c r="AG2602" s="2"/>
      <c r="AH2602" s="2">
        <v>2</v>
      </c>
      <c r="AI2602" s="2" t="s">
        <v>84</v>
      </c>
      <c r="AJ2602" s="2">
        <v>9</v>
      </c>
      <c r="AK2602" s="2" t="s">
        <v>103</v>
      </c>
      <c r="AL2602" s="2">
        <v>25</v>
      </c>
      <c r="AM2602" s="2" t="s">
        <v>3073</v>
      </c>
      <c r="AN2602" s="2"/>
      <c r="AO2602" s="2" t="s">
        <v>8702</v>
      </c>
      <c r="AP2602" s="2">
        <v>11</v>
      </c>
      <c r="AQ2602" s="2" t="s">
        <v>82</v>
      </c>
      <c r="AR2602" s="2"/>
      <c r="AS2602" s="2"/>
      <c r="AT2602" s="2" t="s">
        <v>8703</v>
      </c>
      <c r="AU2602" s="2"/>
      <c r="AV2602" s="2"/>
      <c r="AW2602" s="2"/>
      <c r="AX2602" s="2"/>
      <c r="AY2602" s="2">
        <v>41</v>
      </c>
      <c r="AZ2602" s="2" t="s">
        <v>82</v>
      </c>
      <c r="BA2602" s="2">
        <v>41</v>
      </c>
      <c r="BB2602" s="2" t="s">
        <v>82</v>
      </c>
      <c r="BC2602" s="2">
        <v>70</v>
      </c>
      <c r="BD2602" s="2" t="s">
        <v>236</v>
      </c>
      <c r="BE2602" s="2">
        <v>41</v>
      </c>
      <c r="BF2602" s="2" t="s">
        <v>82</v>
      </c>
      <c r="BG2602" s="2"/>
      <c r="BH2602" s="2"/>
      <c r="BI2602" s="2"/>
      <c r="BJ2602" s="2">
        <v>241</v>
      </c>
      <c r="BK2602" s="2" t="s">
        <v>82</v>
      </c>
      <c r="BL2602" s="2"/>
      <c r="BM2602" s="2">
        <v>241</v>
      </c>
      <c r="BN2602" s="2" t="s">
        <v>82</v>
      </c>
      <c r="BO2602" s="2"/>
      <c r="BP2602" s="2">
        <v>241</v>
      </c>
      <c r="BQ2602" s="2" t="s">
        <v>82</v>
      </c>
      <c r="BR2602" s="2"/>
      <c r="BS2602" s="3">
        <v>40350</v>
      </c>
      <c r="BT2602" s="4">
        <v>0.70004629629629633</v>
      </c>
    </row>
    <row r="2603" spans="1:72" x14ac:dyDescent="0.25">
      <c r="A2603" s="2">
        <v>3779</v>
      </c>
      <c r="B2603" s="2">
        <v>2010</v>
      </c>
      <c r="C2603" s="2" t="s">
        <v>8688</v>
      </c>
      <c r="D2603" s="2" t="s">
        <v>122</v>
      </c>
      <c r="E2603" s="2" t="s">
        <v>8704</v>
      </c>
      <c r="F2603" s="2">
        <v>389</v>
      </c>
      <c r="G2603" s="2" t="s">
        <v>1819</v>
      </c>
      <c r="H2603" s="2">
        <v>2</v>
      </c>
      <c r="I2603" s="2" t="s">
        <v>267</v>
      </c>
      <c r="J2603" s="2">
        <v>399</v>
      </c>
      <c r="K2603" s="2" t="s">
        <v>1820</v>
      </c>
      <c r="L2603" s="2" t="s">
        <v>1821</v>
      </c>
      <c r="M2603" s="3">
        <v>40350</v>
      </c>
      <c r="N2603" s="2" t="s">
        <v>5653</v>
      </c>
      <c r="O2603" s="2"/>
      <c r="P2603" s="2"/>
      <c r="Q2603" s="2" t="str">
        <f>"330-E/10"</f>
        <v>330-E/10</v>
      </c>
      <c r="R2603" s="2"/>
      <c r="S2603" s="2" t="s">
        <v>8690</v>
      </c>
      <c r="T2603" s="2">
        <v>1</v>
      </c>
      <c r="U2603" s="2" t="s">
        <v>79</v>
      </c>
      <c r="V2603" s="2">
        <v>1</v>
      </c>
      <c r="W2603" s="2" t="s">
        <v>80</v>
      </c>
      <c r="X2603" s="2">
        <v>1</v>
      </c>
      <c r="Y2603" s="2" t="s">
        <v>81</v>
      </c>
      <c r="Z2603" s="2">
        <v>1</v>
      </c>
      <c r="AA2603" s="2" t="s">
        <v>82</v>
      </c>
      <c r="AB2603" s="2">
        <v>9</v>
      </c>
      <c r="AC2603" s="2" t="s">
        <v>124</v>
      </c>
      <c r="AD2603" s="3">
        <v>40348</v>
      </c>
      <c r="AE2603" s="4">
        <v>0.95138888888888884</v>
      </c>
      <c r="AF2603" s="2"/>
      <c r="AG2603" s="2"/>
      <c r="AH2603" s="2">
        <v>2</v>
      </c>
      <c r="AI2603" s="2" t="s">
        <v>84</v>
      </c>
      <c r="AJ2603" s="2">
        <v>9</v>
      </c>
      <c r="AK2603" s="2" t="s">
        <v>103</v>
      </c>
      <c r="AL2603" s="2">
        <v>15</v>
      </c>
      <c r="AM2603" s="2" t="s">
        <v>104</v>
      </c>
      <c r="AN2603" s="2" t="s">
        <v>8691</v>
      </c>
      <c r="AO2603" s="2"/>
      <c r="AP2603" s="2">
        <v>11</v>
      </c>
      <c r="AQ2603" s="2" t="s">
        <v>82</v>
      </c>
      <c r="AR2603" s="2"/>
      <c r="AS2603" s="2"/>
      <c r="AT2603" s="2" t="s">
        <v>8705</v>
      </c>
      <c r="AU2603" s="2"/>
      <c r="AV2603" s="2">
        <v>1</v>
      </c>
      <c r="AW2603" s="2"/>
      <c r="AX2603" s="2"/>
      <c r="AY2603" s="2">
        <v>41</v>
      </c>
      <c r="AZ2603" s="2" t="s">
        <v>82</v>
      </c>
      <c r="BA2603" s="2">
        <v>41</v>
      </c>
      <c r="BB2603" s="2" t="s">
        <v>82</v>
      </c>
      <c r="BC2603" s="2">
        <v>41</v>
      </c>
      <c r="BD2603" s="2" t="s">
        <v>82</v>
      </c>
      <c r="BE2603" s="2">
        <v>41</v>
      </c>
      <c r="BF2603" s="2" t="s">
        <v>82</v>
      </c>
      <c r="BG2603" s="2"/>
      <c r="BH2603" s="2"/>
      <c r="BI2603" s="2"/>
      <c r="BJ2603" s="2">
        <v>241</v>
      </c>
      <c r="BK2603" s="2" t="s">
        <v>82</v>
      </c>
      <c r="BL2603" s="2"/>
      <c r="BM2603" s="2">
        <v>241</v>
      </c>
      <c r="BN2603" s="2" t="s">
        <v>82</v>
      </c>
      <c r="BO2603" s="2"/>
      <c r="BP2603" s="2">
        <v>241</v>
      </c>
      <c r="BQ2603" s="2" t="s">
        <v>82</v>
      </c>
      <c r="BR2603" s="2"/>
      <c r="BS2603" s="3">
        <v>40350</v>
      </c>
      <c r="BT2603" s="4">
        <v>0.71912037037037047</v>
      </c>
    </row>
    <row r="2604" spans="1:72" x14ac:dyDescent="0.25">
      <c r="A2604" s="2">
        <v>3780</v>
      </c>
      <c r="B2604" s="2">
        <v>2010</v>
      </c>
      <c r="C2604" s="2" t="s">
        <v>171</v>
      </c>
      <c r="D2604" s="2" t="s">
        <v>122</v>
      </c>
      <c r="E2604" s="2" t="s">
        <v>8706</v>
      </c>
      <c r="F2604" s="2">
        <v>499</v>
      </c>
      <c r="G2604" s="2" t="s">
        <v>2177</v>
      </c>
      <c r="H2604" s="2">
        <v>6</v>
      </c>
      <c r="I2604" s="2" t="s">
        <v>1088</v>
      </c>
      <c r="J2604" s="2">
        <v>165</v>
      </c>
      <c r="K2604" s="2" t="s">
        <v>8586</v>
      </c>
      <c r="L2604" s="2" t="s">
        <v>8587</v>
      </c>
      <c r="M2604" s="3">
        <v>40350</v>
      </c>
      <c r="N2604" s="2" t="s">
        <v>8601</v>
      </c>
      <c r="O2604" s="2"/>
      <c r="P2604" s="2"/>
      <c r="Q2604" s="2" t="str">
        <f>"225-A/10"</f>
        <v>225-A/10</v>
      </c>
      <c r="R2604" s="2"/>
      <c r="S2604" s="2" t="s">
        <v>1035</v>
      </c>
      <c r="T2604" s="2">
        <v>1</v>
      </c>
      <c r="U2604" s="2" t="s">
        <v>79</v>
      </c>
      <c r="V2604" s="2">
        <v>1</v>
      </c>
      <c r="W2604" s="2" t="s">
        <v>80</v>
      </c>
      <c r="X2604" s="2">
        <v>1</v>
      </c>
      <c r="Y2604" s="2" t="s">
        <v>81</v>
      </c>
      <c r="Z2604" s="2">
        <v>10</v>
      </c>
      <c r="AA2604" s="2" t="s">
        <v>236</v>
      </c>
      <c r="AB2604" s="2">
        <v>1</v>
      </c>
      <c r="AC2604" s="2" t="s">
        <v>178</v>
      </c>
      <c r="AD2604" s="3">
        <v>40350</v>
      </c>
      <c r="AE2604" s="4">
        <v>0.73263888888888884</v>
      </c>
      <c r="AF2604" s="2"/>
      <c r="AG2604" s="2"/>
      <c r="AH2604" s="2">
        <v>2</v>
      </c>
      <c r="AI2604" s="2" t="s">
        <v>84</v>
      </c>
      <c r="AJ2604" s="2">
        <v>12</v>
      </c>
      <c r="AK2604" s="2" t="s">
        <v>85</v>
      </c>
      <c r="AL2604" s="2">
        <v>27</v>
      </c>
      <c r="AM2604" s="2" t="s">
        <v>6225</v>
      </c>
      <c r="AN2604" s="2" t="s">
        <v>1971</v>
      </c>
      <c r="AO2604" s="2"/>
      <c r="AP2604" s="2">
        <v>11</v>
      </c>
      <c r="AQ2604" s="2" t="s">
        <v>82</v>
      </c>
      <c r="AR2604" s="2"/>
      <c r="AS2604" s="2"/>
      <c r="AT2604" s="2" t="s">
        <v>8707</v>
      </c>
      <c r="AU2604" s="2">
        <v>1</v>
      </c>
      <c r="AV2604" s="2"/>
      <c r="AW2604" s="2"/>
      <c r="AX2604" s="2"/>
      <c r="AY2604" s="2">
        <v>41</v>
      </c>
      <c r="AZ2604" s="2" t="s">
        <v>82</v>
      </c>
      <c r="BA2604" s="2">
        <v>41</v>
      </c>
      <c r="BB2604" s="2" t="s">
        <v>82</v>
      </c>
      <c r="BC2604" s="2">
        <v>41</v>
      </c>
      <c r="BD2604" s="2" t="s">
        <v>82</v>
      </c>
      <c r="BE2604" s="2">
        <v>13</v>
      </c>
      <c r="BF2604" s="2" t="s">
        <v>108</v>
      </c>
      <c r="BG2604" s="2" t="s">
        <v>8708</v>
      </c>
      <c r="BH2604" s="4">
        <v>0.54166666666666663</v>
      </c>
      <c r="BI2604" s="4">
        <v>0.38541666666666669</v>
      </c>
      <c r="BJ2604" s="2">
        <v>13</v>
      </c>
      <c r="BK2604" s="2" t="s">
        <v>91</v>
      </c>
      <c r="BL2604" s="2" t="s">
        <v>185</v>
      </c>
      <c r="BM2604" s="2">
        <v>241</v>
      </c>
      <c r="BN2604" s="2" t="s">
        <v>82</v>
      </c>
      <c r="BO2604" s="2" t="s">
        <v>82</v>
      </c>
      <c r="BP2604" s="2">
        <v>13</v>
      </c>
      <c r="BQ2604" s="2" t="s">
        <v>91</v>
      </c>
      <c r="BR2604" s="2" t="s">
        <v>353</v>
      </c>
      <c r="BS2604" s="3">
        <v>40350</v>
      </c>
      <c r="BT2604" s="4">
        <v>0.75377314814814822</v>
      </c>
    </row>
    <row r="2605" spans="1:72" x14ac:dyDescent="0.25">
      <c r="A2605" s="2">
        <v>3781</v>
      </c>
      <c r="B2605" s="2">
        <v>2010</v>
      </c>
      <c r="C2605" s="2" t="s">
        <v>554</v>
      </c>
      <c r="D2605" s="2" t="s">
        <v>73</v>
      </c>
      <c r="E2605" s="2"/>
      <c r="F2605" s="2">
        <v>24</v>
      </c>
      <c r="G2605" s="2" t="s">
        <v>532</v>
      </c>
      <c r="H2605" s="2">
        <v>22</v>
      </c>
      <c r="I2605" s="2" t="s">
        <v>75</v>
      </c>
      <c r="J2605" s="2">
        <v>300</v>
      </c>
      <c r="K2605" s="2" t="s">
        <v>114</v>
      </c>
      <c r="L2605" s="2" t="s">
        <v>115</v>
      </c>
      <c r="M2605" s="3">
        <v>40350</v>
      </c>
      <c r="N2605" s="2"/>
      <c r="O2605" s="2"/>
      <c r="P2605" s="2"/>
      <c r="Q2605" s="2" t="str">
        <f>"333-E/10"</f>
        <v>333-E/10</v>
      </c>
      <c r="R2605" s="2" t="s">
        <v>1130</v>
      </c>
      <c r="S2605" s="2"/>
      <c r="T2605" s="2">
        <v>1</v>
      </c>
      <c r="U2605" s="2" t="s">
        <v>79</v>
      </c>
      <c r="V2605" s="2">
        <v>1</v>
      </c>
      <c r="W2605" s="2" t="s">
        <v>80</v>
      </c>
      <c r="X2605" s="2">
        <v>12</v>
      </c>
      <c r="Y2605" s="2" t="s">
        <v>148</v>
      </c>
      <c r="Z2605" s="2">
        <v>1</v>
      </c>
      <c r="AA2605" s="2" t="s">
        <v>82</v>
      </c>
      <c r="AB2605" s="2">
        <v>5</v>
      </c>
      <c r="AC2605" s="2" t="s">
        <v>559</v>
      </c>
      <c r="AD2605" s="3">
        <v>40350</v>
      </c>
      <c r="AE2605" s="4">
        <v>0.54166666666666663</v>
      </c>
      <c r="AF2605" s="3">
        <v>40350</v>
      </c>
      <c r="AG2605" s="4">
        <v>0.66666666666666663</v>
      </c>
      <c r="AH2605" s="2">
        <v>2</v>
      </c>
      <c r="AI2605" s="2" t="s">
        <v>84</v>
      </c>
      <c r="AJ2605" s="2">
        <v>9</v>
      </c>
      <c r="AK2605" s="2" t="s">
        <v>103</v>
      </c>
      <c r="AL2605" s="2">
        <v>29</v>
      </c>
      <c r="AM2605" s="2" t="s">
        <v>5416</v>
      </c>
      <c r="AN2605" s="2" t="s">
        <v>8709</v>
      </c>
      <c r="AO2605" s="2" t="s">
        <v>8710</v>
      </c>
      <c r="AP2605" s="2">
        <v>11</v>
      </c>
      <c r="AQ2605" s="2" t="s">
        <v>82</v>
      </c>
      <c r="AR2605" s="2"/>
      <c r="AS2605" s="2"/>
      <c r="AT2605" s="2" t="s">
        <v>8711</v>
      </c>
      <c r="AU2605" s="2"/>
      <c r="AV2605" s="2"/>
      <c r="AW2605" s="2"/>
      <c r="AX2605" s="2"/>
      <c r="AY2605" s="2">
        <v>41</v>
      </c>
      <c r="AZ2605" s="2" t="s">
        <v>82</v>
      </c>
      <c r="BA2605" s="2">
        <v>41</v>
      </c>
      <c r="BB2605" s="2" t="s">
        <v>82</v>
      </c>
      <c r="BC2605" s="2">
        <v>41</v>
      </c>
      <c r="BD2605" s="2" t="s">
        <v>82</v>
      </c>
      <c r="BE2605" s="2">
        <v>41</v>
      </c>
      <c r="BF2605" s="2" t="s">
        <v>82</v>
      </c>
      <c r="BG2605" s="2"/>
      <c r="BH2605" s="2"/>
      <c r="BI2605" s="2"/>
      <c r="BJ2605" s="2">
        <v>241</v>
      </c>
      <c r="BK2605" s="2" t="s">
        <v>82</v>
      </c>
      <c r="BL2605" s="2"/>
      <c r="BM2605" s="2">
        <v>241</v>
      </c>
      <c r="BN2605" s="2" t="s">
        <v>82</v>
      </c>
      <c r="BO2605" s="2"/>
      <c r="BP2605" s="2">
        <v>241</v>
      </c>
      <c r="BQ2605" s="2" t="s">
        <v>82</v>
      </c>
      <c r="BR2605" s="2"/>
      <c r="BS2605" s="3">
        <v>40350</v>
      </c>
      <c r="BT2605" s="4">
        <v>0.80906250000000002</v>
      </c>
    </row>
    <row r="2606" spans="1:72" x14ac:dyDescent="0.25">
      <c r="A2606" s="2">
        <v>3782</v>
      </c>
      <c r="B2606" s="2">
        <v>2010</v>
      </c>
      <c r="C2606" s="2" t="s">
        <v>255</v>
      </c>
      <c r="D2606" s="2" t="s">
        <v>73</v>
      </c>
      <c r="E2606" s="2"/>
      <c r="F2606" s="2">
        <v>54</v>
      </c>
      <c r="G2606" s="2" t="s">
        <v>2963</v>
      </c>
      <c r="H2606" s="2">
        <v>99</v>
      </c>
      <c r="I2606" s="2" t="s">
        <v>6285</v>
      </c>
      <c r="J2606" s="2">
        <v>87</v>
      </c>
      <c r="K2606" s="2" t="s">
        <v>2964</v>
      </c>
      <c r="L2606" s="2" t="s">
        <v>2534</v>
      </c>
      <c r="M2606" s="3">
        <v>40350</v>
      </c>
      <c r="N2606" s="2" t="s">
        <v>8712</v>
      </c>
      <c r="O2606" s="2"/>
      <c r="P2606" s="2"/>
      <c r="Q2606" s="2" t="str">
        <f>"021/10"</f>
        <v>021/10</v>
      </c>
      <c r="R2606" s="2" t="s">
        <v>8713</v>
      </c>
      <c r="S2606" s="2"/>
      <c r="T2606" s="2">
        <v>1</v>
      </c>
      <c r="U2606" s="2" t="s">
        <v>79</v>
      </c>
      <c r="V2606" s="2">
        <v>1</v>
      </c>
      <c r="W2606" s="2" t="s">
        <v>80</v>
      </c>
      <c r="X2606" s="2">
        <v>12</v>
      </c>
      <c r="Y2606" s="2" t="s">
        <v>148</v>
      </c>
      <c r="Z2606" s="2">
        <v>11</v>
      </c>
      <c r="AA2606" s="2" t="s">
        <v>859</v>
      </c>
      <c r="AB2606" s="2">
        <v>9</v>
      </c>
      <c r="AC2606" s="2" t="s">
        <v>124</v>
      </c>
      <c r="AD2606" s="3">
        <v>40350</v>
      </c>
      <c r="AE2606" s="4">
        <v>0.67361111111111116</v>
      </c>
      <c r="AF2606" s="3">
        <v>40350</v>
      </c>
      <c r="AG2606" s="4">
        <v>0.73611111111111116</v>
      </c>
      <c r="AH2606" s="2">
        <v>4</v>
      </c>
      <c r="AI2606" s="2" t="s">
        <v>125</v>
      </c>
      <c r="AJ2606" s="2">
        <v>28</v>
      </c>
      <c r="AK2606" s="2" t="s">
        <v>741</v>
      </c>
      <c r="AL2606" s="2">
        <v>9</v>
      </c>
      <c r="AM2606" s="2" t="s">
        <v>259</v>
      </c>
      <c r="AN2606" s="2"/>
      <c r="AO2606" s="2" t="s">
        <v>8714</v>
      </c>
      <c r="AP2606" s="2">
        <v>11</v>
      </c>
      <c r="AQ2606" s="2" t="s">
        <v>82</v>
      </c>
      <c r="AR2606" s="2"/>
      <c r="AS2606" s="2"/>
      <c r="AT2606" s="2" t="s">
        <v>8715</v>
      </c>
      <c r="AU2606" s="2"/>
      <c r="AV2606" s="2"/>
      <c r="AW2606" s="2"/>
      <c r="AX2606" s="2"/>
      <c r="AY2606" s="2">
        <v>114</v>
      </c>
      <c r="AZ2606" s="2" t="s">
        <v>7510</v>
      </c>
      <c r="BA2606" s="2">
        <v>114</v>
      </c>
      <c r="BB2606" s="2" t="s">
        <v>7510</v>
      </c>
      <c r="BC2606" s="2">
        <v>114</v>
      </c>
      <c r="BD2606" s="2" t="s">
        <v>7510</v>
      </c>
      <c r="BE2606" s="2">
        <v>41</v>
      </c>
      <c r="BF2606" s="2" t="s">
        <v>82</v>
      </c>
      <c r="BG2606" s="2"/>
      <c r="BH2606" s="2"/>
      <c r="BI2606" s="2"/>
      <c r="BJ2606" s="2">
        <v>241</v>
      </c>
      <c r="BK2606" s="2" t="s">
        <v>82</v>
      </c>
      <c r="BL2606" s="2"/>
      <c r="BM2606" s="2">
        <v>241</v>
      </c>
      <c r="BN2606" s="2" t="s">
        <v>82</v>
      </c>
      <c r="BO2606" s="2"/>
      <c r="BP2606" s="2">
        <v>241</v>
      </c>
      <c r="BQ2606" s="2" t="s">
        <v>82</v>
      </c>
      <c r="BR2606" s="2"/>
      <c r="BS2606" s="3">
        <v>40350</v>
      </c>
      <c r="BT2606" s="4">
        <v>0.8105902777777777</v>
      </c>
    </row>
    <row r="2607" spans="1:72" x14ac:dyDescent="0.25">
      <c r="A2607" s="2">
        <v>3783</v>
      </c>
      <c r="B2607" s="2">
        <v>2010</v>
      </c>
      <c r="C2607" s="2" t="s">
        <v>93</v>
      </c>
      <c r="D2607" s="2" t="s">
        <v>122</v>
      </c>
      <c r="E2607" s="2" t="s">
        <v>8716</v>
      </c>
      <c r="F2607" s="2">
        <v>389</v>
      </c>
      <c r="G2607" s="2" t="s">
        <v>1819</v>
      </c>
      <c r="H2607" s="2">
        <v>2</v>
      </c>
      <c r="I2607" s="2" t="s">
        <v>267</v>
      </c>
      <c r="J2607" s="2">
        <v>399</v>
      </c>
      <c r="K2607" s="2" t="s">
        <v>1820</v>
      </c>
      <c r="L2607" s="2" t="s">
        <v>1821</v>
      </c>
      <c r="M2607" s="3">
        <v>40350</v>
      </c>
      <c r="N2607" s="2" t="s">
        <v>5653</v>
      </c>
      <c r="O2607" s="2" t="s">
        <v>3762</v>
      </c>
      <c r="P2607" s="2" t="s">
        <v>8685</v>
      </c>
      <c r="Q2607" s="2" t="str">
        <f>"N/C"</f>
        <v>N/C</v>
      </c>
      <c r="R2607" s="2" t="s">
        <v>100</v>
      </c>
      <c r="S2607" s="2" t="s">
        <v>100</v>
      </c>
      <c r="T2607" s="2">
        <v>1</v>
      </c>
      <c r="U2607" s="2" t="s">
        <v>79</v>
      </c>
      <c r="V2607" s="2">
        <v>1</v>
      </c>
      <c r="W2607" s="2" t="s">
        <v>80</v>
      </c>
      <c r="X2607" s="2">
        <v>10</v>
      </c>
      <c r="Y2607" s="2" t="s">
        <v>226</v>
      </c>
      <c r="Z2607" s="2">
        <v>6</v>
      </c>
      <c r="AA2607" s="2" t="s">
        <v>101</v>
      </c>
      <c r="AB2607" s="2">
        <v>2</v>
      </c>
      <c r="AC2607" s="2" t="s">
        <v>102</v>
      </c>
      <c r="AD2607" s="3">
        <v>40349</v>
      </c>
      <c r="AE2607" s="4">
        <v>0.875</v>
      </c>
      <c r="AF2607" s="2"/>
      <c r="AG2607" s="2"/>
      <c r="AH2607" s="2">
        <v>2</v>
      </c>
      <c r="AI2607" s="2" t="s">
        <v>84</v>
      </c>
      <c r="AJ2607" s="2">
        <v>9</v>
      </c>
      <c r="AK2607" s="2" t="s">
        <v>103</v>
      </c>
      <c r="AL2607" s="2">
        <v>15</v>
      </c>
      <c r="AM2607" s="2" t="s">
        <v>104</v>
      </c>
      <c r="AN2607" s="2"/>
      <c r="AO2607" s="2" t="s">
        <v>8686</v>
      </c>
      <c r="AP2607" s="2">
        <v>11</v>
      </c>
      <c r="AQ2607" s="2" t="s">
        <v>82</v>
      </c>
      <c r="AR2607" s="2"/>
      <c r="AS2607" s="2"/>
      <c r="AT2607" s="2" t="s">
        <v>8717</v>
      </c>
      <c r="AU2607" s="2">
        <v>1</v>
      </c>
      <c r="AV2607" s="2"/>
      <c r="AW2607" s="2"/>
      <c r="AX2607" s="2"/>
      <c r="AY2607" s="2">
        <v>42</v>
      </c>
      <c r="AZ2607" s="2" t="s">
        <v>182</v>
      </c>
      <c r="BA2607" s="2">
        <v>115</v>
      </c>
      <c r="BB2607" s="2" t="s">
        <v>101</v>
      </c>
      <c r="BC2607" s="2">
        <v>70</v>
      </c>
      <c r="BD2607" s="2" t="s">
        <v>236</v>
      </c>
      <c r="BE2607" s="2">
        <v>13</v>
      </c>
      <c r="BF2607" s="2" t="s">
        <v>108</v>
      </c>
      <c r="BG2607" s="2" t="s">
        <v>1994</v>
      </c>
      <c r="BH2607" s="4">
        <v>0</v>
      </c>
      <c r="BI2607" s="4">
        <v>0.93055555555555547</v>
      </c>
      <c r="BJ2607" s="2">
        <v>13</v>
      </c>
      <c r="BK2607" s="2" t="s">
        <v>91</v>
      </c>
      <c r="BL2607" s="2" t="s">
        <v>1801</v>
      </c>
      <c r="BM2607" s="2">
        <v>241</v>
      </c>
      <c r="BN2607" s="2" t="s">
        <v>82</v>
      </c>
      <c r="BO2607" s="2"/>
      <c r="BP2607" s="2">
        <v>173</v>
      </c>
      <c r="BQ2607" s="2" t="s">
        <v>223</v>
      </c>
      <c r="BR2607" s="2" t="s">
        <v>224</v>
      </c>
      <c r="BS2607" s="3">
        <v>40350</v>
      </c>
      <c r="BT2607" s="4">
        <v>0.81210648148148146</v>
      </c>
    </row>
    <row r="2608" spans="1:72" x14ac:dyDescent="0.25">
      <c r="A2608" s="2">
        <v>3784</v>
      </c>
      <c r="B2608" s="2">
        <v>2010</v>
      </c>
      <c r="C2608" s="2" t="s">
        <v>377</v>
      </c>
      <c r="D2608" s="2" t="s">
        <v>73</v>
      </c>
      <c r="E2608" s="2"/>
      <c r="F2608" s="2">
        <v>426</v>
      </c>
      <c r="G2608" s="2" t="s">
        <v>378</v>
      </c>
      <c r="H2608" s="2">
        <v>108</v>
      </c>
      <c r="I2608" s="2" t="s">
        <v>1096</v>
      </c>
      <c r="J2608" s="2">
        <v>311</v>
      </c>
      <c r="K2608" s="2" t="s">
        <v>379</v>
      </c>
      <c r="L2608" s="2" t="s">
        <v>380</v>
      </c>
      <c r="M2608" s="3">
        <v>40350</v>
      </c>
      <c r="N2608" s="2" t="s">
        <v>4007</v>
      </c>
      <c r="O2608" s="2"/>
      <c r="P2608" s="2"/>
      <c r="Q2608" s="2" t="str">
        <f>"133-C/10"</f>
        <v>133-C/10</v>
      </c>
      <c r="R2608" s="2" t="s">
        <v>3458</v>
      </c>
      <c r="S2608" s="2"/>
      <c r="T2608" s="2">
        <v>1</v>
      </c>
      <c r="U2608" s="2" t="s">
        <v>79</v>
      </c>
      <c r="V2608" s="2">
        <v>1</v>
      </c>
      <c r="W2608" s="2" t="s">
        <v>80</v>
      </c>
      <c r="X2608" s="2">
        <v>1</v>
      </c>
      <c r="Y2608" s="2" t="s">
        <v>81</v>
      </c>
      <c r="Z2608" s="2">
        <v>1</v>
      </c>
      <c r="AA2608" s="2" t="s">
        <v>82</v>
      </c>
      <c r="AB2608" s="2">
        <v>9</v>
      </c>
      <c r="AC2608" s="2" t="s">
        <v>124</v>
      </c>
      <c r="AD2608" s="3">
        <v>40350</v>
      </c>
      <c r="AE2608" s="4">
        <v>0.6875</v>
      </c>
      <c r="AF2608" s="2"/>
      <c r="AG2608" s="2"/>
      <c r="AH2608" s="2">
        <v>2</v>
      </c>
      <c r="AI2608" s="2" t="s">
        <v>84</v>
      </c>
      <c r="AJ2608" s="2">
        <v>9</v>
      </c>
      <c r="AK2608" s="2" t="s">
        <v>103</v>
      </c>
      <c r="AL2608" s="2">
        <v>12</v>
      </c>
      <c r="AM2608" s="2" t="s">
        <v>86</v>
      </c>
      <c r="AN2608" s="2"/>
      <c r="AO2608" s="2" t="s">
        <v>2573</v>
      </c>
      <c r="AP2608" s="2">
        <v>11</v>
      </c>
      <c r="AQ2608" s="2" t="s">
        <v>82</v>
      </c>
      <c r="AR2608" s="2"/>
      <c r="AS2608" s="2"/>
      <c r="AT2608" s="2" t="s">
        <v>7550</v>
      </c>
      <c r="AU2608" s="2"/>
      <c r="AV2608" s="2"/>
      <c r="AW2608" s="2"/>
      <c r="AX2608" s="2"/>
      <c r="AY2608" s="2">
        <v>41</v>
      </c>
      <c r="AZ2608" s="2" t="s">
        <v>82</v>
      </c>
      <c r="BA2608" s="2">
        <v>41</v>
      </c>
      <c r="BB2608" s="2" t="s">
        <v>82</v>
      </c>
      <c r="BC2608" s="2">
        <v>41</v>
      </c>
      <c r="BD2608" s="2" t="s">
        <v>82</v>
      </c>
      <c r="BE2608" s="2">
        <v>41</v>
      </c>
      <c r="BF2608" s="2" t="s">
        <v>82</v>
      </c>
      <c r="BG2608" s="2"/>
      <c r="BH2608" s="2"/>
      <c r="BI2608" s="2"/>
      <c r="BJ2608" s="2">
        <v>241</v>
      </c>
      <c r="BK2608" s="2" t="s">
        <v>82</v>
      </c>
      <c r="BL2608" s="2"/>
      <c r="BM2608" s="2">
        <v>241</v>
      </c>
      <c r="BN2608" s="2" t="s">
        <v>82</v>
      </c>
      <c r="BO2608" s="2"/>
      <c r="BP2608" s="2">
        <v>241</v>
      </c>
      <c r="BQ2608" s="2" t="s">
        <v>82</v>
      </c>
      <c r="BR2608" s="2"/>
      <c r="BS2608" s="3">
        <v>40350</v>
      </c>
      <c r="BT2608" s="4">
        <v>0.93428240740740742</v>
      </c>
    </row>
    <row r="2609" spans="1:72" x14ac:dyDescent="0.25">
      <c r="A2609" s="2">
        <v>3785</v>
      </c>
      <c r="B2609" s="2">
        <v>2010</v>
      </c>
      <c r="C2609" s="2" t="s">
        <v>72</v>
      </c>
      <c r="D2609" s="2" t="s">
        <v>73</v>
      </c>
      <c r="E2609" s="2"/>
      <c r="F2609" s="2">
        <v>389</v>
      </c>
      <c r="G2609" s="2" t="s">
        <v>1819</v>
      </c>
      <c r="H2609" s="2">
        <v>2</v>
      </c>
      <c r="I2609" s="2" t="s">
        <v>267</v>
      </c>
      <c r="J2609" s="2">
        <v>399</v>
      </c>
      <c r="K2609" s="2" t="s">
        <v>1820</v>
      </c>
      <c r="L2609" s="2" t="s">
        <v>1821</v>
      </c>
      <c r="M2609" s="3">
        <v>40350</v>
      </c>
      <c r="N2609" s="2" t="s">
        <v>5653</v>
      </c>
      <c r="O2609" s="2" t="s">
        <v>107</v>
      </c>
      <c r="P2609" s="2" t="s">
        <v>107</v>
      </c>
      <c r="Q2609" s="2" t="str">
        <f>"334-E/10"</f>
        <v>334-E/10</v>
      </c>
      <c r="R2609" s="2" t="s">
        <v>156</v>
      </c>
      <c r="S2609" s="2" t="s">
        <v>156</v>
      </c>
      <c r="T2609" s="2">
        <v>1</v>
      </c>
      <c r="U2609" s="2" t="s">
        <v>79</v>
      </c>
      <c r="V2609" s="2">
        <v>1</v>
      </c>
      <c r="W2609" s="2" t="s">
        <v>80</v>
      </c>
      <c r="X2609" s="2">
        <v>12</v>
      </c>
      <c r="Y2609" s="2" t="s">
        <v>148</v>
      </c>
      <c r="Z2609" s="2">
        <v>1</v>
      </c>
      <c r="AA2609" s="2" t="s">
        <v>82</v>
      </c>
      <c r="AB2609" s="2">
        <v>6</v>
      </c>
      <c r="AC2609" s="2" t="s">
        <v>83</v>
      </c>
      <c r="AD2609" s="3">
        <v>40350</v>
      </c>
      <c r="AE2609" s="2"/>
      <c r="AF2609" s="3">
        <v>40350</v>
      </c>
      <c r="AG2609" s="4">
        <v>0.88888888888888884</v>
      </c>
      <c r="AH2609" s="2">
        <v>2</v>
      </c>
      <c r="AI2609" s="2" t="s">
        <v>84</v>
      </c>
      <c r="AJ2609" s="2">
        <v>9</v>
      </c>
      <c r="AK2609" s="2" t="s">
        <v>103</v>
      </c>
      <c r="AL2609" s="2">
        <v>22</v>
      </c>
      <c r="AM2609" s="2" t="s">
        <v>1853</v>
      </c>
      <c r="AN2609" s="2"/>
      <c r="AO2609" s="2" t="s">
        <v>8456</v>
      </c>
      <c r="AP2609" s="2">
        <v>11</v>
      </c>
      <c r="AQ2609" s="2" t="s">
        <v>82</v>
      </c>
      <c r="AR2609" s="2"/>
      <c r="AS2609" s="2"/>
      <c r="AT2609" s="2" t="s">
        <v>8718</v>
      </c>
      <c r="AU2609" s="2"/>
      <c r="AV2609" s="2"/>
      <c r="AW2609" s="2"/>
      <c r="AX2609" s="2"/>
      <c r="AY2609" s="2">
        <v>41</v>
      </c>
      <c r="AZ2609" s="2" t="s">
        <v>82</v>
      </c>
      <c r="BA2609" s="2">
        <v>41</v>
      </c>
      <c r="BB2609" s="2" t="s">
        <v>82</v>
      </c>
      <c r="BC2609" s="2">
        <v>41</v>
      </c>
      <c r="BD2609" s="2" t="s">
        <v>82</v>
      </c>
      <c r="BE2609" s="2">
        <v>6</v>
      </c>
      <c r="BF2609" s="2" t="s">
        <v>616</v>
      </c>
      <c r="BG2609" s="2" t="s">
        <v>2782</v>
      </c>
      <c r="BH2609" s="4">
        <v>0.79166666666666663</v>
      </c>
      <c r="BI2609" s="2"/>
      <c r="BJ2609" s="2">
        <v>17</v>
      </c>
      <c r="BK2609" s="2" t="s">
        <v>8719</v>
      </c>
      <c r="BL2609" s="2" t="s">
        <v>8720</v>
      </c>
      <c r="BM2609" s="2">
        <v>4</v>
      </c>
      <c r="BN2609" s="2" t="s">
        <v>618</v>
      </c>
      <c r="BO2609" s="2" t="s">
        <v>619</v>
      </c>
      <c r="BP2609" s="2">
        <v>13</v>
      </c>
      <c r="BQ2609" s="2" t="s">
        <v>91</v>
      </c>
      <c r="BR2609" s="2" t="s">
        <v>360</v>
      </c>
      <c r="BS2609" s="3">
        <v>40350</v>
      </c>
      <c r="BT2609" s="4">
        <v>0.95155092592592594</v>
      </c>
    </row>
    <row r="2610" spans="1:72" x14ac:dyDescent="0.25">
      <c r="A2610" s="2">
        <v>3786</v>
      </c>
      <c r="B2610" s="2">
        <v>2010</v>
      </c>
      <c r="C2610" s="2" t="s">
        <v>4543</v>
      </c>
      <c r="D2610" s="2" t="s">
        <v>122</v>
      </c>
      <c r="E2610" s="2"/>
      <c r="F2610" s="2">
        <v>1</v>
      </c>
      <c r="G2610" s="2" t="s">
        <v>82</v>
      </c>
      <c r="H2610" s="2">
        <v>1</v>
      </c>
      <c r="I2610" s="2" t="s">
        <v>82</v>
      </c>
      <c r="J2610" s="2">
        <v>1</v>
      </c>
      <c r="K2610" s="2" t="s">
        <v>107</v>
      </c>
      <c r="L2610" s="2" t="s">
        <v>107</v>
      </c>
      <c r="M2610" s="3">
        <v>40351</v>
      </c>
      <c r="N2610" s="2"/>
      <c r="O2610" s="2"/>
      <c r="P2610" s="2"/>
      <c r="Q2610" s="2" t="str">
        <f>""</f>
        <v/>
      </c>
      <c r="R2610" s="2"/>
      <c r="S2610" s="2"/>
      <c r="T2610" s="2">
        <v>2</v>
      </c>
      <c r="U2610" s="2" t="s">
        <v>123</v>
      </c>
      <c r="V2610" s="2">
        <v>1</v>
      </c>
      <c r="W2610" s="2" t="s">
        <v>80</v>
      </c>
      <c r="X2610" s="2">
        <v>11</v>
      </c>
      <c r="Y2610" s="2" t="s">
        <v>1920</v>
      </c>
      <c r="Z2610" s="2">
        <v>1</v>
      </c>
      <c r="AA2610" s="2" t="s">
        <v>82</v>
      </c>
      <c r="AB2610" s="2">
        <v>9</v>
      </c>
      <c r="AC2610" s="2" t="s">
        <v>124</v>
      </c>
      <c r="AD2610" s="3">
        <v>40351</v>
      </c>
      <c r="AE2610" s="4">
        <v>0.13125000000000001</v>
      </c>
      <c r="AF2610" s="2"/>
      <c r="AG2610" s="2"/>
      <c r="AH2610" s="2">
        <v>6</v>
      </c>
      <c r="AI2610" s="2" t="s">
        <v>197</v>
      </c>
      <c r="AJ2610" s="2">
        <v>54</v>
      </c>
      <c r="AK2610" s="2" t="s">
        <v>348</v>
      </c>
      <c r="AL2610" s="2">
        <v>18</v>
      </c>
      <c r="AM2610" s="2" t="s">
        <v>82</v>
      </c>
      <c r="AN2610" s="2" t="s">
        <v>595</v>
      </c>
      <c r="AO2610" s="2" t="s">
        <v>200</v>
      </c>
      <c r="AP2610" s="2">
        <v>14</v>
      </c>
      <c r="AQ2610" s="2" t="s">
        <v>3301</v>
      </c>
      <c r="AR2610" s="2" t="s">
        <v>596</v>
      </c>
      <c r="AS2610" s="2" t="s">
        <v>596</v>
      </c>
      <c r="AT2610" s="2" t="s">
        <v>8721</v>
      </c>
      <c r="AU2610" s="2"/>
      <c r="AV2610" s="2"/>
      <c r="AW2610" s="2"/>
      <c r="AX2610" s="2"/>
      <c r="AY2610" s="2">
        <v>1</v>
      </c>
      <c r="AZ2610" s="2" t="s">
        <v>107</v>
      </c>
      <c r="BA2610" s="2">
        <v>1</v>
      </c>
      <c r="BB2610" s="2" t="s">
        <v>107</v>
      </c>
      <c r="BC2610" s="2">
        <v>1</v>
      </c>
      <c r="BD2610" s="2" t="s">
        <v>107</v>
      </c>
      <c r="BE2610" s="2">
        <v>4</v>
      </c>
      <c r="BF2610" s="2" t="s">
        <v>90</v>
      </c>
      <c r="BG2610" s="2" t="s">
        <v>598</v>
      </c>
      <c r="BH2610" s="4">
        <v>5.4166666666666669E-2</v>
      </c>
      <c r="BI2610" s="4">
        <v>0.13125000000000001</v>
      </c>
      <c r="BJ2610" s="2">
        <v>13</v>
      </c>
      <c r="BK2610" s="2" t="s">
        <v>91</v>
      </c>
      <c r="BL2610" s="2" t="s">
        <v>7629</v>
      </c>
      <c r="BM2610" s="2">
        <v>242</v>
      </c>
      <c r="BN2610" s="2" t="s">
        <v>107</v>
      </c>
      <c r="BO2610" s="2" t="s">
        <v>107</v>
      </c>
      <c r="BP2610" s="2">
        <v>13</v>
      </c>
      <c r="BQ2610" s="2" t="s">
        <v>91</v>
      </c>
      <c r="BR2610" s="2" t="s">
        <v>905</v>
      </c>
      <c r="BS2610" s="3">
        <v>40351</v>
      </c>
      <c r="BT2610" s="4">
        <v>0.39466435185185184</v>
      </c>
    </row>
    <row r="2611" spans="1:72" x14ac:dyDescent="0.25">
      <c r="A2611" s="2">
        <v>3787</v>
      </c>
      <c r="B2611" s="2">
        <v>2010</v>
      </c>
      <c r="C2611" s="2" t="s">
        <v>72</v>
      </c>
      <c r="D2611" s="2" t="s">
        <v>73</v>
      </c>
      <c r="E2611" s="2"/>
      <c r="F2611" s="2">
        <v>2</v>
      </c>
      <c r="G2611" s="2" t="s">
        <v>113</v>
      </c>
      <c r="H2611" s="2">
        <v>22</v>
      </c>
      <c r="I2611" s="2" t="s">
        <v>75</v>
      </c>
      <c r="J2611" s="2">
        <v>300</v>
      </c>
      <c r="K2611" s="2" t="s">
        <v>114</v>
      </c>
      <c r="L2611" s="2" t="s">
        <v>115</v>
      </c>
      <c r="M2611" s="3">
        <v>40351</v>
      </c>
      <c r="N2611" s="2"/>
      <c r="O2611" s="2"/>
      <c r="P2611" s="2"/>
      <c r="Q2611" s="2" t="str">
        <f>"328-E/10"</f>
        <v>328-E/10</v>
      </c>
      <c r="R2611" s="2" t="s">
        <v>116</v>
      </c>
      <c r="S2611" s="2" t="s">
        <v>116</v>
      </c>
      <c r="T2611" s="2">
        <v>1</v>
      </c>
      <c r="U2611" s="2" t="s">
        <v>79</v>
      </c>
      <c r="V2611" s="2">
        <v>1</v>
      </c>
      <c r="W2611" s="2" t="s">
        <v>80</v>
      </c>
      <c r="X2611" s="2">
        <v>12</v>
      </c>
      <c r="Y2611" s="2" t="s">
        <v>148</v>
      </c>
      <c r="Z2611" s="2">
        <v>1</v>
      </c>
      <c r="AA2611" s="2" t="s">
        <v>82</v>
      </c>
      <c r="AB2611" s="2">
        <v>6</v>
      </c>
      <c r="AC2611" s="2" t="s">
        <v>83</v>
      </c>
      <c r="AD2611" s="3">
        <v>40348</v>
      </c>
      <c r="AE2611" s="2"/>
      <c r="AF2611" s="3">
        <v>40348</v>
      </c>
      <c r="AG2611" s="4">
        <v>0.80555555555555547</v>
      </c>
      <c r="AH2611" s="2">
        <v>2</v>
      </c>
      <c r="AI2611" s="2" t="s">
        <v>84</v>
      </c>
      <c r="AJ2611" s="2">
        <v>9</v>
      </c>
      <c r="AK2611" s="2" t="s">
        <v>103</v>
      </c>
      <c r="AL2611" s="2">
        <v>13</v>
      </c>
      <c r="AM2611" s="2" t="s">
        <v>117</v>
      </c>
      <c r="AN2611" s="2" t="s">
        <v>8722</v>
      </c>
      <c r="AO2611" s="2"/>
      <c r="AP2611" s="2">
        <v>11</v>
      </c>
      <c r="AQ2611" s="2" t="s">
        <v>82</v>
      </c>
      <c r="AR2611" s="2"/>
      <c r="AS2611" s="2"/>
      <c r="AT2611" s="2" t="s">
        <v>8723</v>
      </c>
      <c r="AU2611" s="2"/>
      <c r="AV2611" s="2"/>
      <c r="AW2611" s="2"/>
      <c r="AX2611" s="2"/>
      <c r="AY2611" s="2">
        <v>41</v>
      </c>
      <c r="AZ2611" s="2" t="s">
        <v>82</v>
      </c>
      <c r="BA2611" s="2">
        <v>41</v>
      </c>
      <c r="BB2611" s="2" t="s">
        <v>82</v>
      </c>
      <c r="BC2611" s="2">
        <v>41</v>
      </c>
      <c r="BD2611" s="2" t="s">
        <v>82</v>
      </c>
      <c r="BE2611" s="2">
        <v>41</v>
      </c>
      <c r="BF2611" s="2" t="s">
        <v>82</v>
      </c>
      <c r="BG2611" s="2"/>
      <c r="BH2611" s="2"/>
      <c r="BI2611" s="2"/>
      <c r="BJ2611" s="2">
        <v>241</v>
      </c>
      <c r="BK2611" s="2" t="s">
        <v>82</v>
      </c>
      <c r="BL2611" s="2"/>
      <c r="BM2611" s="2">
        <v>241</v>
      </c>
      <c r="BN2611" s="2" t="s">
        <v>82</v>
      </c>
      <c r="BO2611" s="2"/>
      <c r="BP2611" s="2">
        <v>241</v>
      </c>
      <c r="BQ2611" s="2" t="s">
        <v>82</v>
      </c>
      <c r="BR2611" s="2"/>
      <c r="BS2611" s="3">
        <v>40351</v>
      </c>
      <c r="BT2611" s="4">
        <v>0.41265046296296298</v>
      </c>
    </row>
    <row r="2612" spans="1:72" x14ac:dyDescent="0.25">
      <c r="A2612" s="2">
        <v>3792</v>
      </c>
      <c r="B2612" s="2">
        <v>2010</v>
      </c>
      <c r="C2612" s="2" t="s">
        <v>4543</v>
      </c>
      <c r="D2612" s="2" t="s">
        <v>122</v>
      </c>
      <c r="E2612" s="2"/>
      <c r="F2612" s="2">
        <v>52</v>
      </c>
      <c r="G2612" s="2" t="s">
        <v>2963</v>
      </c>
      <c r="H2612" s="2">
        <v>39</v>
      </c>
      <c r="I2612" s="2" t="s">
        <v>1117</v>
      </c>
      <c r="J2612" s="2">
        <v>87</v>
      </c>
      <c r="K2612" s="2" t="s">
        <v>2964</v>
      </c>
      <c r="L2612" s="2" t="s">
        <v>2534</v>
      </c>
      <c r="M2612" s="3">
        <v>40351</v>
      </c>
      <c r="N2612" s="2" t="s">
        <v>8724</v>
      </c>
      <c r="O2612" s="2"/>
      <c r="P2612" s="2"/>
      <c r="Q2612" s="2" t="str">
        <f>""</f>
        <v/>
      </c>
      <c r="R2612" s="2"/>
      <c r="S2612" s="2"/>
      <c r="T2612" s="2">
        <v>2</v>
      </c>
      <c r="U2612" s="2" t="s">
        <v>123</v>
      </c>
      <c r="V2612" s="2">
        <v>1</v>
      </c>
      <c r="W2612" s="2" t="s">
        <v>80</v>
      </c>
      <c r="X2612" s="2">
        <v>3</v>
      </c>
      <c r="Y2612" s="2" t="s">
        <v>698</v>
      </c>
      <c r="Z2612" s="2">
        <v>22</v>
      </c>
      <c r="AA2612" s="2" t="s">
        <v>4417</v>
      </c>
      <c r="AB2612" s="2">
        <v>9</v>
      </c>
      <c r="AC2612" s="2" t="s">
        <v>124</v>
      </c>
      <c r="AD2612" s="3">
        <v>40351</v>
      </c>
      <c r="AE2612" s="4">
        <v>0.34722222222222227</v>
      </c>
      <c r="AF2612" s="2"/>
      <c r="AG2612" s="2"/>
      <c r="AH2612" s="2">
        <v>4</v>
      </c>
      <c r="AI2612" s="2" t="s">
        <v>125</v>
      </c>
      <c r="AJ2612" s="2">
        <v>28</v>
      </c>
      <c r="AK2612" s="2" t="s">
        <v>741</v>
      </c>
      <c r="AL2612" s="2">
        <v>24</v>
      </c>
      <c r="AM2612" s="2" t="s">
        <v>1540</v>
      </c>
      <c r="AN2612" s="2"/>
      <c r="AO2612" s="2" t="s">
        <v>2047</v>
      </c>
      <c r="AP2612" s="2">
        <v>11</v>
      </c>
      <c r="AQ2612" s="2" t="s">
        <v>82</v>
      </c>
      <c r="AR2612" s="2"/>
      <c r="AS2612" s="2"/>
      <c r="AT2612" s="2" t="s">
        <v>8725</v>
      </c>
      <c r="AU2612" s="2"/>
      <c r="AV2612" s="2"/>
      <c r="AW2612" s="2"/>
      <c r="AX2612" s="2"/>
      <c r="AY2612" s="2">
        <v>41</v>
      </c>
      <c r="AZ2612" s="2" t="s">
        <v>82</v>
      </c>
      <c r="BA2612" s="2">
        <v>41</v>
      </c>
      <c r="BB2612" s="2" t="s">
        <v>82</v>
      </c>
      <c r="BC2612" s="2">
        <v>41</v>
      </c>
      <c r="BD2612" s="2" t="s">
        <v>82</v>
      </c>
      <c r="BE2612" s="2">
        <v>41</v>
      </c>
      <c r="BF2612" s="2" t="s">
        <v>82</v>
      </c>
      <c r="BG2612" s="2"/>
      <c r="BH2612" s="2"/>
      <c r="BI2612" s="2"/>
      <c r="BJ2612" s="2">
        <v>241</v>
      </c>
      <c r="BK2612" s="2" t="s">
        <v>82</v>
      </c>
      <c r="BL2612" s="2"/>
      <c r="BM2612" s="2">
        <v>241</v>
      </c>
      <c r="BN2612" s="2" t="s">
        <v>82</v>
      </c>
      <c r="BO2612" s="2"/>
      <c r="BP2612" s="2">
        <v>241</v>
      </c>
      <c r="BQ2612" s="2" t="s">
        <v>82</v>
      </c>
      <c r="BR2612" s="2"/>
      <c r="BS2612" s="3">
        <v>40351</v>
      </c>
      <c r="BT2612" s="4">
        <v>0.47413194444444445</v>
      </c>
    </row>
    <row r="2613" spans="1:72" x14ac:dyDescent="0.25">
      <c r="A2613" s="2">
        <v>3794</v>
      </c>
      <c r="B2613" s="2">
        <v>2010</v>
      </c>
      <c r="C2613" s="2" t="s">
        <v>1660</v>
      </c>
      <c r="D2613" s="2" t="s">
        <v>73</v>
      </c>
      <c r="E2613" s="2"/>
      <c r="F2613" s="2">
        <v>499</v>
      </c>
      <c r="G2613" s="2" t="s">
        <v>2177</v>
      </c>
      <c r="H2613" s="2">
        <v>6</v>
      </c>
      <c r="I2613" s="2" t="s">
        <v>1088</v>
      </c>
      <c r="J2613" s="2">
        <v>165</v>
      </c>
      <c r="K2613" s="2" t="s">
        <v>8586</v>
      </c>
      <c r="L2613" s="2" t="s">
        <v>8587</v>
      </c>
      <c r="M2613" s="3">
        <v>40351</v>
      </c>
      <c r="N2613" s="2" t="s">
        <v>8726</v>
      </c>
      <c r="O2613" s="2" t="s">
        <v>107</v>
      </c>
      <c r="P2613" s="2" t="s">
        <v>107</v>
      </c>
      <c r="Q2613" s="2" t="str">
        <f>"226-A/10"</f>
        <v>226-A/10</v>
      </c>
      <c r="R2613" s="2" t="s">
        <v>8727</v>
      </c>
      <c r="S2613" s="2"/>
      <c r="T2613" s="2">
        <v>1</v>
      </c>
      <c r="U2613" s="2" t="s">
        <v>79</v>
      </c>
      <c r="V2613" s="2">
        <v>1</v>
      </c>
      <c r="W2613" s="2" t="s">
        <v>80</v>
      </c>
      <c r="X2613" s="2">
        <v>10</v>
      </c>
      <c r="Y2613" s="2" t="s">
        <v>226</v>
      </c>
      <c r="Z2613" s="2">
        <v>6</v>
      </c>
      <c r="AA2613" s="2" t="s">
        <v>101</v>
      </c>
      <c r="AB2613" s="2">
        <v>3</v>
      </c>
      <c r="AC2613" s="2" t="s">
        <v>1663</v>
      </c>
      <c r="AD2613" s="3">
        <v>40350</v>
      </c>
      <c r="AE2613" s="4">
        <v>0.96527777777777779</v>
      </c>
      <c r="AF2613" s="2"/>
      <c r="AG2613" s="2"/>
      <c r="AH2613" s="2">
        <v>2</v>
      </c>
      <c r="AI2613" s="2" t="s">
        <v>84</v>
      </c>
      <c r="AJ2613" s="2">
        <v>12</v>
      </c>
      <c r="AK2613" s="2" t="s">
        <v>85</v>
      </c>
      <c r="AL2613" s="2">
        <v>14</v>
      </c>
      <c r="AM2613" s="2" t="s">
        <v>216</v>
      </c>
      <c r="AN2613" s="2" t="s">
        <v>8728</v>
      </c>
      <c r="AO2613" s="2" t="s">
        <v>7664</v>
      </c>
      <c r="AP2613" s="2">
        <v>11</v>
      </c>
      <c r="AQ2613" s="2" t="s">
        <v>82</v>
      </c>
      <c r="AR2613" s="2"/>
      <c r="AS2613" s="2"/>
      <c r="AT2613" s="2" t="s">
        <v>8729</v>
      </c>
      <c r="AU2613" s="2"/>
      <c r="AV2613" s="2">
        <v>2</v>
      </c>
      <c r="AW2613" s="2"/>
      <c r="AX2613" s="2"/>
      <c r="AY2613" s="2">
        <v>41</v>
      </c>
      <c r="AZ2613" s="2" t="s">
        <v>82</v>
      </c>
      <c r="BA2613" s="2">
        <v>41</v>
      </c>
      <c r="BB2613" s="2" t="s">
        <v>82</v>
      </c>
      <c r="BC2613" s="2">
        <v>41</v>
      </c>
      <c r="BD2613" s="2" t="s">
        <v>82</v>
      </c>
      <c r="BE2613" s="2">
        <v>13</v>
      </c>
      <c r="BF2613" s="2" t="s">
        <v>108</v>
      </c>
      <c r="BG2613" s="2" t="s">
        <v>8730</v>
      </c>
      <c r="BH2613" s="2"/>
      <c r="BI2613" s="2"/>
      <c r="BJ2613" s="2">
        <v>46</v>
      </c>
      <c r="BK2613" s="2" t="s">
        <v>307</v>
      </c>
      <c r="BL2613" s="2" t="s">
        <v>308</v>
      </c>
      <c r="BM2613" s="2">
        <v>241</v>
      </c>
      <c r="BN2613" s="2" t="s">
        <v>82</v>
      </c>
      <c r="BO2613" s="2"/>
      <c r="BP2613" s="2">
        <v>13</v>
      </c>
      <c r="BQ2613" s="2" t="s">
        <v>91</v>
      </c>
      <c r="BR2613" s="2" t="s">
        <v>3520</v>
      </c>
      <c r="BS2613" s="3">
        <v>40351</v>
      </c>
      <c r="BT2613" s="4">
        <v>0.47598379629629628</v>
      </c>
    </row>
    <row r="2614" spans="1:72" x14ac:dyDescent="0.25">
      <c r="A2614" s="2">
        <v>3796</v>
      </c>
      <c r="B2614" s="2">
        <v>2010</v>
      </c>
      <c r="C2614" s="2" t="s">
        <v>4543</v>
      </c>
      <c r="D2614" s="2" t="s">
        <v>122</v>
      </c>
      <c r="E2614" s="2"/>
      <c r="F2614" s="2">
        <v>293</v>
      </c>
      <c r="G2614" s="2" t="s">
        <v>8731</v>
      </c>
      <c r="H2614" s="2">
        <v>44</v>
      </c>
      <c r="I2614" s="2" t="s">
        <v>1272</v>
      </c>
      <c r="J2614" s="2">
        <v>593</v>
      </c>
      <c r="K2614" s="2" t="s">
        <v>8732</v>
      </c>
      <c r="L2614" s="2" t="s">
        <v>8733</v>
      </c>
      <c r="M2614" s="3">
        <v>40351</v>
      </c>
      <c r="N2614" s="2" t="s">
        <v>8734</v>
      </c>
      <c r="O2614" s="2" t="s">
        <v>8735</v>
      </c>
      <c r="P2614" s="2" t="s">
        <v>8736</v>
      </c>
      <c r="Q2614" s="2" t="str">
        <f>""</f>
        <v/>
      </c>
      <c r="R2614" s="2"/>
      <c r="S2614" s="2"/>
      <c r="T2614" s="2">
        <v>2</v>
      </c>
      <c r="U2614" s="2" t="s">
        <v>123</v>
      </c>
      <c r="V2614" s="2">
        <v>1</v>
      </c>
      <c r="W2614" s="2" t="s">
        <v>80</v>
      </c>
      <c r="X2614" s="2">
        <v>5</v>
      </c>
      <c r="Y2614" s="2" t="s">
        <v>82</v>
      </c>
      <c r="Z2614" s="2">
        <v>1</v>
      </c>
      <c r="AA2614" s="2" t="s">
        <v>82</v>
      </c>
      <c r="AB2614" s="2">
        <v>9</v>
      </c>
      <c r="AC2614" s="2" t="s">
        <v>124</v>
      </c>
      <c r="AD2614" s="3">
        <v>40351</v>
      </c>
      <c r="AE2614" s="4">
        <v>0.45833333333333331</v>
      </c>
      <c r="AF2614" s="2"/>
      <c r="AG2614" s="2"/>
      <c r="AH2614" s="2">
        <v>5</v>
      </c>
      <c r="AI2614" s="2" t="s">
        <v>274</v>
      </c>
      <c r="AJ2614" s="2">
        <v>39</v>
      </c>
      <c r="AK2614" s="2" t="s">
        <v>8737</v>
      </c>
      <c r="AL2614" s="2">
        <v>18</v>
      </c>
      <c r="AM2614" s="2" t="s">
        <v>82</v>
      </c>
      <c r="AN2614" s="2"/>
      <c r="AO2614" s="2"/>
      <c r="AP2614" s="2">
        <v>11</v>
      </c>
      <c r="AQ2614" s="2" t="s">
        <v>82</v>
      </c>
      <c r="AR2614" s="2"/>
      <c r="AS2614" s="2"/>
      <c r="AT2614" s="2" t="s">
        <v>8738</v>
      </c>
      <c r="AU2614" s="2"/>
      <c r="AV2614" s="2"/>
      <c r="AW2614" s="2"/>
      <c r="AX2614" s="2"/>
      <c r="AY2614" s="2">
        <v>1</v>
      </c>
      <c r="AZ2614" s="2" t="s">
        <v>107</v>
      </c>
      <c r="BA2614" s="2">
        <v>1</v>
      </c>
      <c r="BB2614" s="2" t="s">
        <v>107</v>
      </c>
      <c r="BC2614" s="2">
        <v>1</v>
      </c>
      <c r="BD2614" s="2" t="s">
        <v>107</v>
      </c>
      <c r="BE2614" s="2">
        <v>1</v>
      </c>
      <c r="BF2614" s="2" t="s">
        <v>107</v>
      </c>
      <c r="BG2614" s="2"/>
      <c r="BH2614" s="2"/>
      <c r="BI2614" s="2"/>
      <c r="BJ2614" s="2">
        <v>242</v>
      </c>
      <c r="BK2614" s="2" t="s">
        <v>107</v>
      </c>
      <c r="BL2614" s="2"/>
      <c r="BM2614" s="2">
        <v>242</v>
      </c>
      <c r="BN2614" s="2" t="s">
        <v>107</v>
      </c>
      <c r="BO2614" s="2"/>
      <c r="BP2614" s="2">
        <v>242</v>
      </c>
      <c r="BQ2614" s="2" t="s">
        <v>107</v>
      </c>
      <c r="BR2614" s="2"/>
      <c r="BS2614" s="3">
        <v>40351</v>
      </c>
      <c r="BT2614" s="4">
        <v>0.54702546296296295</v>
      </c>
    </row>
    <row r="2615" spans="1:72" x14ac:dyDescent="0.25">
      <c r="A2615" s="2">
        <v>3797</v>
      </c>
      <c r="B2615" s="2">
        <v>2010</v>
      </c>
      <c r="C2615" s="2" t="s">
        <v>128</v>
      </c>
      <c r="D2615" s="2" t="s">
        <v>73</v>
      </c>
      <c r="E2615" s="2"/>
      <c r="F2615" s="2">
        <v>121</v>
      </c>
      <c r="G2615" s="2" t="s">
        <v>2501</v>
      </c>
      <c r="H2615" s="2">
        <v>2</v>
      </c>
      <c r="I2615" s="2" t="s">
        <v>267</v>
      </c>
      <c r="J2615" s="2">
        <v>135</v>
      </c>
      <c r="K2615" s="2" t="s">
        <v>2502</v>
      </c>
      <c r="L2615" s="2" t="s">
        <v>2503</v>
      </c>
      <c r="M2615" s="3">
        <v>40351</v>
      </c>
      <c r="N2615" s="2" t="s">
        <v>8739</v>
      </c>
      <c r="O2615" s="2" t="s">
        <v>82</v>
      </c>
      <c r="P2615" s="2" t="s">
        <v>82</v>
      </c>
      <c r="Q2615" s="2" t="str">
        <f>"0005/2010"</f>
        <v>0005/2010</v>
      </c>
      <c r="R2615" s="2" t="s">
        <v>82</v>
      </c>
      <c r="S2615" s="2" t="s">
        <v>8740</v>
      </c>
      <c r="T2615" s="2">
        <v>1</v>
      </c>
      <c r="U2615" s="2" t="s">
        <v>79</v>
      </c>
      <c r="V2615" s="2">
        <v>1</v>
      </c>
      <c r="W2615" s="2" t="s">
        <v>80</v>
      </c>
      <c r="X2615" s="2">
        <v>4</v>
      </c>
      <c r="Y2615" s="2" t="s">
        <v>463</v>
      </c>
      <c r="Z2615" s="2">
        <v>2</v>
      </c>
      <c r="AA2615" s="2" t="s">
        <v>2148</v>
      </c>
      <c r="AB2615" s="2">
        <v>9</v>
      </c>
      <c r="AC2615" s="2" t="s">
        <v>124</v>
      </c>
      <c r="AD2615" s="3">
        <v>40351</v>
      </c>
      <c r="AE2615" s="4">
        <v>0.40972222222222227</v>
      </c>
      <c r="AF2615" s="2"/>
      <c r="AG2615" s="2"/>
      <c r="AH2615" s="2">
        <v>6</v>
      </c>
      <c r="AI2615" s="2" t="s">
        <v>197</v>
      </c>
      <c r="AJ2615" s="2">
        <v>58</v>
      </c>
      <c r="AK2615" s="2" t="s">
        <v>406</v>
      </c>
      <c r="AL2615" s="2">
        <v>16</v>
      </c>
      <c r="AM2615" s="2" t="s">
        <v>392</v>
      </c>
      <c r="AN2615" s="2" t="s">
        <v>82</v>
      </c>
      <c r="AO2615" s="2" t="s">
        <v>179</v>
      </c>
      <c r="AP2615" s="2">
        <v>5</v>
      </c>
      <c r="AQ2615" s="2" t="s">
        <v>827</v>
      </c>
      <c r="AR2615" s="2" t="s">
        <v>827</v>
      </c>
      <c r="AS2615" s="2" t="s">
        <v>82</v>
      </c>
      <c r="AT2615" s="2" t="s">
        <v>8741</v>
      </c>
      <c r="AU2615" s="2"/>
      <c r="AV2615" s="2"/>
      <c r="AW2615" s="2"/>
      <c r="AX2615" s="2"/>
      <c r="AY2615" s="2">
        <v>41</v>
      </c>
      <c r="AZ2615" s="2" t="s">
        <v>82</v>
      </c>
      <c r="BA2615" s="2">
        <v>41</v>
      </c>
      <c r="BB2615" s="2" t="s">
        <v>82</v>
      </c>
      <c r="BC2615" s="2">
        <v>51</v>
      </c>
      <c r="BD2615" s="2" t="s">
        <v>827</v>
      </c>
      <c r="BE2615" s="2">
        <v>41</v>
      </c>
      <c r="BF2615" s="2" t="s">
        <v>82</v>
      </c>
      <c r="BG2615" s="2" t="s">
        <v>82</v>
      </c>
      <c r="BH2615" s="2"/>
      <c r="BI2615" s="2"/>
      <c r="BJ2615" s="2">
        <v>241</v>
      </c>
      <c r="BK2615" s="2" t="s">
        <v>82</v>
      </c>
      <c r="BL2615" s="2" t="s">
        <v>82</v>
      </c>
      <c r="BM2615" s="2">
        <v>241</v>
      </c>
      <c r="BN2615" s="2" t="s">
        <v>82</v>
      </c>
      <c r="BO2615" s="2"/>
      <c r="BP2615" s="2">
        <v>241</v>
      </c>
      <c r="BQ2615" s="2" t="s">
        <v>82</v>
      </c>
      <c r="BR2615" s="2"/>
      <c r="BS2615" s="3">
        <v>40351</v>
      </c>
      <c r="BT2615" s="4">
        <v>0.61260416666666673</v>
      </c>
    </row>
    <row r="2616" spans="1:72" x14ac:dyDescent="0.25">
      <c r="A2616" s="2">
        <v>3798</v>
      </c>
      <c r="B2616" s="2">
        <v>2010</v>
      </c>
      <c r="C2616" s="2" t="s">
        <v>171</v>
      </c>
      <c r="D2616" s="2" t="s">
        <v>73</v>
      </c>
      <c r="E2616" s="2" t="s">
        <v>8742</v>
      </c>
      <c r="F2616" s="2">
        <v>451</v>
      </c>
      <c r="G2616" s="2" t="s">
        <v>879</v>
      </c>
      <c r="H2616" s="2">
        <v>31</v>
      </c>
      <c r="I2616" s="2" t="s">
        <v>880</v>
      </c>
      <c r="J2616" s="2">
        <v>326</v>
      </c>
      <c r="K2616" s="2" t="s">
        <v>881</v>
      </c>
      <c r="L2616" s="2" t="s">
        <v>882</v>
      </c>
      <c r="M2616" s="3">
        <v>40351</v>
      </c>
      <c r="N2616" s="2" t="s">
        <v>1072</v>
      </c>
      <c r="O2616" s="2" t="s">
        <v>8743</v>
      </c>
      <c r="P2616" s="2" t="s">
        <v>8744</v>
      </c>
      <c r="Q2616" s="2" t="str">
        <f>"059/10"</f>
        <v>059/10</v>
      </c>
      <c r="R2616" s="2" t="s">
        <v>822</v>
      </c>
      <c r="S2616" s="2"/>
      <c r="T2616" s="2">
        <v>1</v>
      </c>
      <c r="U2616" s="2" t="s">
        <v>79</v>
      </c>
      <c r="V2616" s="2">
        <v>1</v>
      </c>
      <c r="W2616" s="2" t="s">
        <v>80</v>
      </c>
      <c r="X2616" s="2">
        <v>1</v>
      </c>
      <c r="Y2616" s="2" t="s">
        <v>81</v>
      </c>
      <c r="Z2616" s="2">
        <v>1</v>
      </c>
      <c r="AA2616" s="2" t="s">
        <v>82</v>
      </c>
      <c r="AB2616" s="2">
        <v>1</v>
      </c>
      <c r="AC2616" s="2" t="s">
        <v>178</v>
      </c>
      <c r="AD2616" s="3">
        <v>40351</v>
      </c>
      <c r="AE2616" s="4">
        <v>0.60416666666666663</v>
      </c>
      <c r="AF2616" s="2"/>
      <c r="AG2616" s="2"/>
      <c r="AH2616" s="2">
        <v>4</v>
      </c>
      <c r="AI2616" s="2" t="s">
        <v>125</v>
      </c>
      <c r="AJ2616" s="2">
        <v>29</v>
      </c>
      <c r="AK2616" s="2" t="s">
        <v>227</v>
      </c>
      <c r="AL2616" s="2">
        <v>16</v>
      </c>
      <c r="AM2616" s="2" t="s">
        <v>392</v>
      </c>
      <c r="AN2616" s="2" t="s">
        <v>8745</v>
      </c>
      <c r="AO2616" s="2"/>
      <c r="AP2616" s="2">
        <v>12</v>
      </c>
      <c r="AQ2616" s="2" t="s">
        <v>322</v>
      </c>
      <c r="AR2616" s="2" t="s">
        <v>824</v>
      </c>
      <c r="AS2616" s="2" t="s">
        <v>825</v>
      </c>
      <c r="AT2616" s="2" t="s">
        <v>8746</v>
      </c>
      <c r="AU2616" s="2"/>
      <c r="AV2616" s="2"/>
      <c r="AW2616" s="2"/>
      <c r="AX2616" s="2"/>
      <c r="AY2616" s="2">
        <v>41</v>
      </c>
      <c r="AZ2616" s="2" t="s">
        <v>82</v>
      </c>
      <c r="BA2616" s="2">
        <v>41</v>
      </c>
      <c r="BB2616" s="2" t="s">
        <v>82</v>
      </c>
      <c r="BC2616" s="2">
        <v>41</v>
      </c>
      <c r="BD2616" s="2" t="s">
        <v>82</v>
      </c>
      <c r="BE2616" s="2">
        <v>47</v>
      </c>
      <c r="BF2616" s="2" t="s">
        <v>167</v>
      </c>
      <c r="BG2616" s="2">
        <v>2459</v>
      </c>
      <c r="BH2616" s="4">
        <v>0.90277777777777779</v>
      </c>
      <c r="BI2616" s="4">
        <v>0.93055555555555547</v>
      </c>
      <c r="BJ2616" s="2">
        <v>13</v>
      </c>
      <c r="BK2616" s="2" t="s">
        <v>91</v>
      </c>
      <c r="BL2616" s="2" t="s">
        <v>828</v>
      </c>
      <c r="BM2616" s="2">
        <v>241</v>
      </c>
      <c r="BN2616" s="2" t="s">
        <v>82</v>
      </c>
      <c r="BO2616" s="2" t="s">
        <v>82</v>
      </c>
      <c r="BP2616" s="2">
        <v>13</v>
      </c>
      <c r="BQ2616" s="2" t="s">
        <v>91</v>
      </c>
      <c r="BR2616" s="2" t="s">
        <v>185</v>
      </c>
      <c r="BS2616" s="3">
        <v>40351</v>
      </c>
      <c r="BT2616" s="4">
        <v>0.64537037037037037</v>
      </c>
    </row>
    <row r="2617" spans="1:72" x14ac:dyDescent="0.25">
      <c r="A2617" s="2">
        <v>3799</v>
      </c>
      <c r="B2617" s="2">
        <v>2010</v>
      </c>
      <c r="C2617" s="2" t="s">
        <v>385</v>
      </c>
      <c r="D2617" s="2" t="s">
        <v>122</v>
      </c>
      <c r="E2617" s="2"/>
      <c r="F2617" s="2">
        <v>470</v>
      </c>
      <c r="G2617" s="2" t="s">
        <v>2979</v>
      </c>
      <c r="H2617" s="2">
        <v>3</v>
      </c>
      <c r="I2617" s="2" t="s">
        <v>315</v>
      </c>
      <c r="J2617" s="2">
        <v>371</v>
      </c>
      <c r="K2617" s="2" t="s">
        <v>1138</v>
      </c>
      <c r="L2617" s="2" t="s">
        <v>1139</v>
      </c>
      <c r="M2617" s="3">
        <v>40351</v>
      </c>
      <c r="N2617" s="2" t="s">
        <v>8747</v>
      </c>
      <c r="O2617" s="2" t="s">
        <v>8573</v>
      </c>
      <c r="P2617" s="2" t="s">
        <v>8748</v>
      </c>
      <c r="Q2617" s="2" t="str">
        <f>"067/2010"</f>
        <v>067/2010</v>
      </c>
      <c r="R2617" s="2"/>
      <c r="S2617" s="2"/>
      <c r="T2617" s="2">
        <v>1</v>
      </c>
      <c r="U2617" s="2" t="s">
        <v>79</v>
      </c>
      <c r="V2617" s="2">
        <v>1</v>
      </c>
      <c r="W2617" s="2" t="s">
        <v>80</v>
      </c>
      <c r="X2617" s="2">
        <v>5</v>
      </c>
      <c r="Y2617" s="2" t="s">
        <v>82</v>
      </c>
      <c r="Z2617" s="2">
        <v>1</v>
      </c>
      <c r="AA2617" s="2" t="s">
        <v>82</v>
      </c>
      <c r="AB2617" s="2">
        <v>9</v>
      </c>
      <c r="AC2617" s="2" t="s">
        <v>124</v>
      </c>
      <c r="AD2617" s="3">
        <v>40351</v>
      </c>
      <c r="AE2617" s="4">
        <v>0.25</v>
      </c>
      <c r="AF2617" s="2"/>
      <c r="AG2617" s="2"/>
      <c r="AH2617" s="2">
        <v>5</v>
      </c>
      <c r="AI2617" s="2" t="s">
        <v>274</v>
      </c>
      <c r="AJ2617" s="2">
        <v>38</v>
      </c>
      <c r="AK2617" s="2" t="s">
        <v>1120</v>
      </c>
      <c r="AL2617" s="2">
        <v>23</v>
      </c>
      <c r="AM2617" s="2" t="s">
        <v>251</v>
      </c>
      <c r="AN2617" s="2"/>
      <c r="AO2617" s="2"/>
      <c r="AP2617" s="2">
        <v>11</v>
      </c>
      <c r="AQ2617" s="2" t="s">
        <v>82</v>
      </c>
      <c r="AR2617" s="2"/>
      <c r="AS2617" s="2"/>
      <c r="AT2617" s="2" t="s">
        <v>8749</v>
      </c>
      <c r="AU2617" s="2">
        <v>1</v>
      </c>
      <c r="AV2617" s="2"/>
      <c r="AW2617" s="2"/>
      <c r="AX2617" s="2"/>
      <c r="AY2617" s="2">
        <v>41</v>
      </c>
      <c r="AZ2617" s="2" t="s">
        <v>82</v>
      </c>
      <c r="BA2617" s="2">
        <v>41</v>
      </c>
      <c r="BB2617" s="2" t="s">
        <v>82</v>
      </c>
      <c r="BC2617" s="2">
        <v>41</v>
      </c>
      <c r="BD2617" s="2" t="s">
        <v>82</v>
      </c>
      <c r="BE2617" s="2">
        <v>41</v>
      </c>
      <c r="BF2617" s="2" t="s">
        <v>82</v>
      </c>
      <c r="BG2617" s="2"/>
      <c r="BH2617" s="2"/>
      <c r="BI2617" s="2"/>
      <c r="BJ2617" s="2">
        <v>241</v>
      </c>
      <c r="BK2617" s="2" t="s">
        <v>82</v>
      </c>
      <c r="BL2617" s="2"/>
      <c r="BM2617" s="2">
        <v>241</v>
      </c>
      <c r="BN2617" s="2" t="s">
        <v>82</v>
      </c>
      <c r="BO2617" s="2"/>
      <c r="BP2617" s="2">
        <v>241</v>
      </c>
      <c r="BQ2617" s="2" t="s">
        <v>82</v>
      </c>
      <c r="BR2617" s="2"/>
      <c r="BS2617" s="3">
        <v>40351</v>
      </c>
      <c r="BT2617" s="4">
        <v>0.69383101851851858</v>
      </c>
    </row>
    <row r="2618" spans="1:72" x14ac:dyDescent="0.25">
      <c r="A2618" s="2">
        <v>3801</v>
      </c>
      <c r="B2618" s="2">
        <v>2010</v>
      </c>
      <c r="C2618" s="2" t="s">
        <v>819</v>
      </c>
      <c r="D2618" s="2" t="s">
        <v>122</v>
      </c>
      <c r="E2618" s="2" t="s">
        <v>8750</v>
      </c>
      <c r="F2618" s="2">
        <v>425</v>
      </c>
      <c r="G2618" s="2" t="s">
        <v>286</v>
      </c>
      <c r="H2618" s="2">
        <v>39</v>
      </c>
      <c r="I2618" s="2" t="s">
        <v>1117</v>
      </c>
      <c r="J2618" s="2">
        <v>310</v>
      </c>
      <c r="K2618" s="2" t="s">
        <v>288</v>
      </c>
      <c r="L2618" s="2" t="s">
        <v>289</v>
      </c>
      <c r="M2618" s="3">
        <v>40351</v>
      </c>
      <c r="N2618" s="2" t="s">
        <v>290</v>
      </c>
      <c r="O2618" s="2" t="s">
        <v>7103</v>
      </c>
      <c r="P2618" s="2" t="s">
        <v>8751</v>
      </c>
      <c r="Q2618" s="2" t="str">
        <f>"074/10"</f>
        <v>074/10</v>
      </c>
      <c r="R2618" s="2"/>
      <c r="S2618" s="2" t="s">
        <v>822</v>
      </c>
      <c r="T2618" s="2">
        <v>1</v>
      </c>
      <c r="U2618" s="2" t="s">
        <v>79</v>
      </c>
      <c r="V2618" s="2">
        <v>1</v>
      </c>
      <c r="W2618" s="2" t="s">
        <v>80</v>
      </c>
      <c r="X2618" s="2">
        <v>1</v>
      </c>
      <c r="Y2618" s="2" t="s">
        <v>81</v>
      </c>
      <c r="Z2618" s="2">
        <v>10</v>
      </c>
      <c r="AA2618" s="2" t="s">
        <v>236</v>
      </c>
      <c r="AB2618" s="2">
        <v>9</v>
      </c>
      <c r="AC2618" s="2" t="s">
        <v>124</v>
      </c>
      <c r="AD2618" s="3">
        <v>40351</v>
      </c>
      <c r="AE2618" s="4">
        <v>0.77083333333333337</v>
      </c>
      <c r="AF2618" s="2"/>
      <c r="AG2618" s="2"/>
      <c r="AH2618" s="2">
        <v>4</v>
      </c>
      <c r="AI2618" s="2" t="s">
        <v>125</v>
      </c>
      <c r="AJ2618" s="2">
        <v>29</v>
      </c>
      <c r="AK2618" s="2" t="s">
        <v>227</v>
      </c>
      <c r="AL2618" s="2">
        <v>16</v>
      </c>
      <c r="AM2618" s="2" t="s">
        <v>392</v>
      </c>
      <c r="AN2618" s="2" t="s">
        <v>883</v>
      </c>
      <c r="AO2618" s="2"/>
      <c r="AP2618" s="2">
        <v>12</v>
      </c>
      <c r="AQ2618" s="2" t="s">
        <v>322</v>
      </c>
      <c r="AR2618" s="2" t="s">
        <v>824</v>
      </c>
      <c r="AS2618" s="2" t="s">
        <v>825</v>
      </c>
      <c r="AT2618" s="2" t="s">
        <v>8752</v>
      </c>
      <c r="AU2618" s="2"/>
      <c r="AV2618" s="2"/>
      <c r="AW2618" s="2"/>
      <c r="AX2618" s="2"/>
      <c r="AY2618" s="2">
        <v>41</v>
      </c>
      <c r="AZ2618" s="2" t="s">
        <v>82</v>
      </c>
      <c r="BA2618" s="2">
        <v>41</v>
      </c>
      <c r="BB2618" s="2" t="s">
        <v>82</v>
      </c>
      <c r="BC2618" s="2">
        <v>51</v>
      </c>
      <c r="BD2618" s="2" t="s">
        <v>827</v>
      </c>
      <c r="BE2618" s="2">
        <v>47</v>
      </c>
      <c r="BF2618" s="2" t="s">
        <v>167</v>
      </c>
      <c r="BG2618" s="2">
        <v>2451</v>
      </c>
      <c r="BH2618" s="4">
        <v>0.39444444444444443</v>
      </c>
      <c r="BI2618" s="4">
        <v>0.43402777777777773</v>
      </c>
      <c r="BJ2618" s="2">
        <v>13</v>
      </c>
      <c r="BK2618" s="2" t="s">
        <v>91</v>
      </c>
      <c r="BL2618" s="2" t="s">
        <v>828</v>
      </c>
      <c r="BM2618" s="2">
        <v>241</v>
      </c>
      <c r="BN2618" s="2" t="s">
        <v>82</v>
      </c>
      <c r="BO2618" s="2" t="s">
        <v>82</v>
      </c>
      <c r="BP2618" s="2">
        <v>13</v>
      </c>
      <c r="BQ2618" s="2" t="s">
        <v>91</v>
      </c>
      <c r="BR2618" s="2" t="s">
        <v>185</v>
      </c>
      <c r="BS2618" s="3">
        <v>40351</v>
      </c>
      <c r="BT2618" s="4">
        <v>0.79784722222222226</v>
      </c>
    </row>
    <row r="2619" spans="1:72" x14ac:dyDescent="0.25">
      <c r="A2619" s="2">
        <v>3802</v>
      </c>
      <c r="B2619" s="2">
        <v>2010</v>
      </c>
      <c r="C2619" s="2" t="s">
        <v>72</v>
      </c>
      <c r="D2619" s="2" t="s">
        <v>73</v>
      </c>
      <c r="E2619" s="2"/>
      <c r="F2619" s="2">
        <v>170</v>
      </c>
      <c r="G2619" s="2" t="s">
        <v>7892</v>
      </c>
      <c r="H2619" s="2">
        <v>108</v>
      </c>
      <c r="I2619" s="2" t="s">
        <v>1096</v>
      </c>
      <c r="J2619" s="2">
        <v>550</v>
      </c>
      <c r="K2619" s="2" t="s">
        <v>6744</v>
      </c>
      <c r="L2619" s="2" t="s">
        <v>6745</v>
      </c>
      <c r="M2619" s="3">
        <v>40351</v>
      </c>
      <c r="N2619" s="2" t="s">
        <v>8753</v>
      </c>
      <c r="O2619" s="2" t="s">
        <v>107</v>
      </c>
      <c r="P2619" s="2" t="s">
        <v>107</v>
      </c>
      <c r="Q2619" s="2" t="str">
        <f>"227-A/10"</f>
        <v>227-A/10</v>
      </c>
      <c r="R2619" s="2" t="s">
        <v>78</v>
      </c>
      <c r="S2619" s="2" t="s">
        <v>78</v>
      </c>
      <c r="T2619" s="2">
        <v>1</v>
      </c>
      <c r="U2619" s="2" t="s">
        <v>79</v>
      </c>
      <c r="V2619" s="2">
        <v>1</v>
      </c>
      <c r="W2619" s="2" t="s">
        <v>80</v>
      </c>
      <c r="X2619" s="2">
        <v>12</v>
      </c>
      <c r="Y2619" s="2" t="s">
        <v>148</v>
      </c>
      <c r="Z2619" s="2">
        <v>1</v>
      </c>
      <c r="AA2619" s="2" t="s">
        <v>82</v>
      </c>
      <c r="AB2619" s="2">
        <v>6</v>
      </c>
      <c r="AC2619" s="2" t="s">
        <v>83</v>
      </c>
      <c r="AD2619" s="3">
        <v>40351</v>
      </c>
      <c r="AE2619" s="2"/>
      <c r="AF2619" s="3">
        <v>40351</v>
      </c>
      <c r="AG2619" s="4">
        <v>0.38541666666666669</v>
      </c>
      <c r="AH2619" s="2">
        <v>2</v>
      </c>
      <c r="AI2619" s="2" t="s">
        <v>84</v>
      </c>
      <c r="AJ2619" s="2">
        <v>12</v>
      </c>
      <c r="AK2619" s="2" t="s">
        <v>85</v>
      </c>
      <c r="AL2619" s="2">
        <v>2</v>
      </c>
      <c r="AM2619" s="2" t="s">
        <v>163</v>
      </c>
      <c r="AN2619" s="2" t="s">
        <v>8754</v>
      </c>
      <c r="AO2619" s="2" t="s">
        <v>2437</v>
      </c>
      <c r="AP2619" s="2">
        <v>11</v>
      </c>
      <c r="AQ2619" s="2" t="s">
        <v>82</v>
      </c>
      <c r="AR2619" s="2"/>
      <c r="AS2619" s="2"/>
      <c r="AT2619" s="2" t="s">
        <v>8755</v>
      </c>
      <c r="AU2619" s="2"/>
      <c r="AV2619" s="2"/>
      <c r="AW2619" s="2"/>
      <c r="AX2619" s="2"/>
      <c r="AY2619" s="2">
        <v>41</v>
      </c>
      <c r="AZ2619" s="2" t="s">
        <v>82</v>
      </c>
      <c r="BA2619" s="2">
        <v>41</v>
      </c>
      <c r="BB2619" s="2" t="s">
        <v>82</v>
      </c>
      <c r="BC2619" s="2">
        <v>41</v>
      </c>
      <c r="BD2619" s="2" t="s">
        <v>82</v>
      </c>
      <c r="BE2619" s="2">
        <v>47</v>
      </c>
      <c r="BF2619" s="2" t="s">
        <v>167</v>
      </c>
      <c r="BG2619" s="2" t="s">
        <v>8756</v>
      </c>
      <c r="BH2619" s="4">
        <v>0.32291666666666669</v>
      </c>
      <c r="BI2619" s="4">
        <v>0.25</v>
      </c>
      <c r="BJ2619" s="2">
        <v>13</v>
      </c>
      <c r="BK2619" s="2" t="s">
        <v>91</v>
      </c>
      <c r="BL2619" s="2" t="s">
        <v>445</v>
      </c>
      <c r="BM2619" s="2">
        <v>241</v>
      </c>
      <c r="BN2619" s="2" t="s">
        <v>82</v>
      </c>
      <c r="BO2619" s="2"/>
      <c r="BP2619" s="2">
        <v>13</v>
      </c>
      <c r="BQ2619" s="2" t="s">
        <v>91</v>
      </c>
      <c r="BR2619" s="2" t="s">
        <v>185</v>
      </c>
      <c r="BS2619" s="3">
        <v>40351</v>
      </c>
      <c r="BT2619" s="4">
        <v>0.83988425925925936</v>
      </c>
    </row>
    <row r="2620" spans="1:72" x14ac:dyDescent="0.25">
      <c r="A2620" s="2">
        <v>3803</v>
      </c>
      <c r="B2620" s="2">
        <v>2010</v>
      </c>
      <c r="C2620" s="2" t="s">
        <v>93</v>
      </c>
      <c r="D2620" s="2" t="s">
        <v>122</v>
      </c>
      <c r="E2620" s="2" t="s">
        <v>8757</v>
      </c>
      <c r="F2620" s="2">
        <v>389</v>
      </c>
      <c r="G2620" s="2" t="s">
        <v>1819</v>
      </c>
      <c r="H2620" s="2">
        <v>2</v>
      </c>
      <c r="I2620" s="2" t="s">
        <v>267</v>
      </c>
      <c r="J2620" s="2">
        <v>399</v>
      </c>
      <c r="K2620" s="2" t="s">
        <v>1820</v>
      </c>
      <c r="L2620" s="2" t="s">
        <v>1821</v>
      </c>
      <c r="M2620" s="3">
        <v>40351</v>
      </c>
      <c r="N2620" s="2" t="s">
        <v>5653</v>
      </c>
      <c r="O2620" s="2" t="s">
        <v>3762</v>
      </c>
      <c r="P2620" s="2" t="s">
        <v>8685</v>
      </c>
      <c r="Q2620" s="2" t="str">
        <f>"N/C"</f>
        <v>N/C</v>
      </c>
      <c r="R2620" s="2" t="s">
        <v>100</v>
      </c>
      <c r="S2620" s="2" t="s">
        <v>100</v>
      </c>
      <c r="T2620" s="2">
        <v>1</v>
      </c>
      <c r="U2620" s="2" t="s">
        <v>79</v>
      </c>
      <c r="V2620" s="2">
        <v>1</v>
      </c>
      <c r="W2620" s="2" t="s">
        <v>80</v>
      </c>
      <c r="X2620" s="2">
        <v>10</v>
      </c>
      <c r="Y2620" s="2" t="s">
        <v>226</v>
      </c>
      <c r="Z2620" s="2">
        <v>6</v>
      </c>
      <c r="AA2620" s="2" t="s">
        <v>101</v>
      </c>
      <c r="AB2620" s="2">
        <v>2</v>
      </c>
      <c r="AC2620" s="2" t="s">
        <v>102</v>
      </c>
      <c r="AD2620" s="3">
        <v>40349</v>
      </c>
      <c r="AE2620" s="4">
        <v>0.875</v>
      </c>
      <c r="AF2620" s="2"/>
      <c r="AG2620" s="2"/>
      <c r="AH2620" s="2">
        <v>2</v>
      </c>
      <c r="AI2620" s="2" t="s">
        <v>84</v>
      </c>
      <c r="AJ2620" s="2">
        <v>9</v>
      </c>
      <c r="AK2620" s="2" t="s">
        <v>103</v>
      </c>
      <c r="AL2620" s="2">
        <v>15</v>
      </c>
      <c r="AM2620" s="2" t="s">
        <v>104</v>
      </c>
      <c r="AN2620" s="2"/>
      <c r="AO2620" s="2" t="s">
        <v>8686</v>
      </c>
      <c r="AP2620" s="2">
        <v>11</v>
      </c>
      <c r="AQ2620" s="2" t="s">
        <v>82</v>
      </c>
      <c r="AR2620" s="2"/>
      <c r="AS2620" s="2"/>
      <c r="AT2620" s="2" t="s">
        <v>8758</v>
      </c>
      <c r="AU2620" s="2">
        <v>1</v>
      </c>
      <c r="AV2620" s="2"/>
      <c r="AW2620" s="2"/>
      <c r="AX2620" s="2"/>
      <c r="AY2620" s="2">
        <v>42</v>
      </c>
      <c r="AZ2620" s="2" t="s">
        <v>182</v>
      </c>
      <c r="BA2620" s="2">
        <v>115</v>
      </c>
      <c r="BB2620" s="2" t="s">
        <v>101</v>
      </c>
      <c r="BC2620" s="2">
        <v>70</v>
      </c>
      <c r="BD2620" s="2" t="s">
        <v>236</v>
      </c>
      <c r="BE2620" s="2">
        <v>13</v>
      </c>
      <c r="BF2620" s="2" t="s">
        <v>108</v>
      </c>
      <c r="BG2620" s="2" t="s">
        <v>1994</v>
      </c>
      <c r="BH2620" s="4">
        <v>0</v>
      </c>
      <c r="BI2620" s="4">
        <v>0.93055555555555547</v>
      </c>
      <c r="BJ2620" s="2">
        <v>13</v>
      </c>
      <c r="BK2620" s="2" t="s">
        <v>91</v>
      </c>
      <c r="BL2620" s="2" t="s">
        <v>1801</v>
      </c>
      <c r="BM2620" s="2">
        <v>241</v>
      </c>
      <c r="BN2620" s="2" t="s">
        <v>82</v>
      </c>
      <c r="BO2620" s="2"/>
      <c r="BP2620" s="2">
        <v>173</v>
      </c>
      <c r="BQ2620" s="2" t="s">
        <v>223</v>
      </c>
      <c r="BR2620" s="2" t="s">
        <v>224</v>
      </c>
      <c r="BS2620" s="3">
        <v>40351</v>
      </c>
      <c r="BT2620" s="4">
        <v>0.87731481481481488</v>
      </c>
    </row>
    <row r="2621" spans="1:72" x14ac:dyDescent="0.25">
      <c r="A2621" s="2">
        <v>3804</v>
      </c>
      <c r="B2621" s="2">
        <v>2010</v>
      </c>
      <c r="C2621" s="2" t="s">
        <v>72</v>
      </c>
      <c r="D2621" s="2" t="s">
        <v>73</v>
      </c>
      <c r="E2621" s="2"/>
      <c r="F2621" s="2">
        <v>170</v>
      </c>
      <c r="G2621" s="2" t="s">
        <v>7892</v>
      </c>
      <c r="H2621" s="2">
        <v>108</v>
      </c>
      <c r="I2621" s="2" t="s">
        <v>1096</v>
      </c>
      <c r="J2621" s="2">
        <v>550</v>
      </c>
      <c r="K2621" s="2" t="s">
        <v>6744</v>
      </c>
      <c r="L2621" s="2" t="s">
        <v>6745</v>
      </c>
      <c r="M2621" s="3">
        <v>40351</v>
      </c>
      <c r="N2621" s="2" t="s">
        <v>8759</v>
      </c>
      <c r="O2621" s="2" t="s">
        <v>107</v>
      </c>
      <c r="P2621" s="2" t="s">
        <v>107</v>
      </c>
      <c r="Q2621" s="2" t="str">
        <f>"228-A/10"</f>
        <v>228-A/10</v>
      </c>
      <c r="R2621" s="2" t="s">
        <v>78</v>
      </c>
      <c r="S2621" s="2" t="s">
        <v>78</v>
      </c>
      <c r="T2621" s="2">
        <v>1</v>
      </c>
      <c r="U2621" s="2" t="s">
        <v>79</v>
      </c>
      <c r="V2621" s="2">
        <v>1</v>
      </c>
      <c r="W2621" s="2" t="s">
        <v>80</v>
      </c>
      <c r="X2621" s="2">
        <v>12</v>
      </c>
      <c r="Y2621" s="2" t="s">
        <v>148</v>
      </c>
      <c r="Z2621" s="2">
        <v>1</v>
      </c>
      <c r="AA2621" s="2" t="s">
        <v>82</v>
      </c>
      <c r="AB2621" s="2">
        <v>6</v>
      </c>
      <c r="AC2621" s="2" t="s">
        <v>83</v>
      </c>
      <c r="AD2621" s="3">
        <v>40351</v>
      </c>
      <c r="AE2621" s="2"/>
      <c r="AF2621" s="3">
        <v>40351</v>
      </c>
      <c r="AG2621" s="4">
        <v>0.625</v>
      </c>
      <c r="AH2621" s="2">
        <v>2</v>
      </c>
      <c r="AI2621" s="2" t="s">
        <v>84</v>
      </c>
      <c r="AJ2621" s="2">
        <v>12</v>
      </c>
      <c r="AK2621" s="2" t="s">
        <v>85</v>
      </c>
      <c r="AL2621" s="2">
        <v>29</v>
      </c>
      <c r="AM2621" s="2" t="s">
        <v>5416</v>
      </c>
      <c r="AN2621" s="2" t="s">
        <v>560</v>
      </c>
      <c r="AO2621" s="2" t="s">
        <v>8760</v>
      </c>
      <c r="AP2621" s="2">
        <v>11</v>
      </c>
      <c r="AQ2621" s="2" t="s">
        <v>82</v>
      </c>
      <c r="AR2621" s="2"/>
      <c r="AS2621" s="2"/>
      <c r="AT2621" s="2" t="s">
        <v>8761</v>
      </c>
      <c r="AU2621" s="2"/>
      <c r="AV2621" s="2"/>
      <c r="AW2621" s="2"/>
      <c r="AX2621" s="2"/>
      <c r="AY2621" s="2">
        <v>41</v>
      </c>
      <c r="AZ2621" s="2" t="s">
        <v>82</v>
      </c>
      <c r="BA2621" s="2">
        <v>41</v>
      </c>
      <c r="BB2621" s="2" t="s">
        <v>82</v>
      </c>
      <c r="BC2621" s="2">
        <v>41</v>
      </c>
      <c r="BD2621" s="2" t="s">
        <v>82</v>
      </c>
      <c r="BE2621" s="2">
        <v>13</v>
      </c>
      <c r="BF2621" s="2" t="s">
        <v>108</v>
      </c>
      <c r="BG2621" s="2" t="s">
        <v>3766</v>
      </c>
      <c r="BH2621" s="4">
        <v>0.54861111111111105</v>
      </c>
      <c r="BI2621" s="4">
        <v>0.41666666666666669</v>
      </c>
      <c r="BJ2621" s="2">
        <v>33</v>
      </c>
      <c r="BK2621" s="2" t="s">
        <v>361</v>
      </c>
      <c r="BL2621" s="2" t="s">
        <v>1739</v>
      </c>
      <c r="BM2621" s="2">
        <v>241</v>
      </c>
      <c r="BN2621" s="2" t="s">
        <v>82</v>
      </c>
      <c r="BO2621" s="2"/>
      <c r="BP2621" s="2">
        <v>13</v>
      </c>
      <c r="BQ2621" s="2" t="s">
        <v>91</v>
      </c>
      <c r="BR2621" s="2" t="s">
        <v>185</v>
      </c>
      <c r="BS2621" s="3">
        <v>40351</v>
      </c>
      <c r="BT2621" s="4">
        <v>0.91660879629629621</v>
      </c>
    </row>
    <row r="2622" spans="1:72" x14ac:dyDescent="0.25">
      <c r="A2622" s="2">
        <v>3805</v>
      </c>
      <c r="B2622" s="2">
        <v>2010</v>
      </c>
      <c r="C2622" s="2" t="s">
        <v>255</v>
      </c>
      <c r="D2622" s="2" t="s">
        <v>73</v>
      </c>
      <c r="E2622" s="2"/>
      <c r="F2622" s="2">
        <v>638</v>
      </c>
      <c r="G2622" s="2" t="s">
        <v>8288</v>
      </c>
      <c r="H2622" s="2">
        <v>4</v>
      </c>
      <c r="I2622" s="2" t="s">
        <v>173</v>
      </c>
      <c r="J2622" s="2">
        <v>594</v>
      </c>
      <c r="K2622" s="2" t="s">
        <v>8762</v>
      </c>
      <c r="L2622" s="2" t="s">
        <v>4666</v>
      </c>
      <c r="M2622" s="3">
        <v>40351</v>
      </c>
      <c r="N2622" s="2" t="s">
        <v>8763</v>
      </c>
      <c r="O2622" s="2" t="s">
        <v>107</v>
      </c>
      <c r="P2622" s="2" t="s">
        <v>107</v>
      </c>
      <c r="Q2622" s="2" t="str">
        <f>"34/2010"</f>
        <v>34/2010</v>
      </c>
      <c r="R2622" s="2" t="s">
        <v>947</v>
      </c>
      <c r="S2622" s="2" t="s">
        <v>947</v>
      </c>
      <c r="T2622" s="2">
        <v>1</v>
      </c>
      <c r="U2622" s="2" t="s">
        <v>79</v>
      </c>
      <c r="V2622" s="2">
        <v>1</v>
      </c>
      <c r="W2622" s="2" t="s">
        <v>80</v>
      </c>
      <c r="X2622" s="2">
        <v>12</v>
      </c>
      <c r="Y2622" s="2" t="s">
        <v>148</v>
      </c>
      <c r="Z2622" s="2">
        <v>1</v>
      </c>
      <c r="AA2622" s="2" t="s">
        <v>82</v>
      </c>
      <c r="AB2622" s="2">
        <v>9</v>
      </c>
      <c r="AC2622" s="2" t="s">
        <v>124</v>
      </c>
      <c r="AD2622" s="3">
        <v>40351</v>
      </c>
      <c r="AE2622" s="2"/>
      <c r="AF2622" s="3">
        <v>40351</v>
      </c>
      <c r="AG2622" s="4">
        <v>0.88194444444444453</v>
      </c>
      <c r="AH2622" s="2">
        <v>3</v>
      </c>
      <c r="AI2622" s="2" t="s">
        <v>214</v>
      </c>
      <c r="AJ2622" s="2">
        <v>24</v>
      </c>
      <c r="AK2622" s="2" t="s">
        <v>215</v>
      </c>
      <c r="AL2622" s="2">
        <v>22</v>
      </c>
      <c r="AM2622" s="2" t="s">
        <v>1853</v>
      </c>
      <c r="AN2622" s="2" t="s">
        <v>107</v>
      </c>
      <c r="AO2622" s="2" t="s">
        <v>107</v>
      </c>
      <c r="AP2622" s="2">
        <v>11</v>
      </c>
      <c r="AQ2622" s="2" t="s">
        <v>82</v>
      </c>
      <c r="AR2622" s="2" t="s">
        <v>82</v>
      </c>
      <c r="AS2622" s="2" t="s">
        <v>82</v>
      </c>
      <c r="AT2622" s="2" t="s">
        <v>8764</v>
      </c>
      <c r="AU2622" s="2"/>
      <c r="AV2622" s="2"/>
      <c r="AW2622" s="2"/>
      <c r="AX2622" s="2"/>
      <c r="AY2622" s="2">
        <v>41</v>
      </c>
      <c r="AZ2622" s="2" t="s">
        <v>82</v>
      </c>
      <c r="BA2622" s="2">
        <v>41</v>
      </c>
      <c r="BB2622" s="2" t="s">
        <v>82</v>
      </c>
      <c r="BC2622" s="2">
        <v>41</v>
      </c>
      <c r="BD2622" s="2" t="s">
        <v>82</v>
      </c>
      <c r="BE2622" s="2">
        <v>4</v>
      </c>
      <c r="BF2622" s="2" t="s">
        <v>90</v>
      </c>
      <c r="BG2622" s="2" t="s">
        <v>8765</v>
      </c>
      <c r="BH2622" s="4">
        <v>0.83333333333333337</v>
      </c>
      <c r="BI2622" s="4">
        <v>0.78819444444444453</v>
      </c>
      <c r="BJ2622" s="2">
        <v>13</v>
      </c>
      <c r="BK2622" s="2" t="s">
        <v>91</v>
      </c>
      <c r="BL2622" s="2" t="s">
        <v>170</v>
      </c>
      <c r="BM2622" s="2">
        <v>242</v>
      </c>
      <c r="BN2622" s="2" t="s">
        <v>107</v>
      </c>
      <c r="BO2622" s="2" t="s">
        <v>107</v>
      </c>
      <c r="BP2622" s="2">
        <v>13</v>
      </c>
      <c r="BQ2622" s="2" t="s">
        <v>91</v>
      </c>
      <c r="BR2622" s="2" t="s">
        <v>169</v>
      </c>
      <c r="BS2622" s="3">
        <v>40351</v>
      </c>
      <c r="BT2622" s="4">
        <v>0.92615740740740737</v>
      </c>
    </row>
    <row r="2623" spans="1:72" x14ac:dyDescent="0.25">
      <c r="A2623" s="2">
        <v>3806</v>
      </c>
      <c r="B2623" s="2">
        <v>2010</v>
      </c>
      <c r="C2623" s="2" t="s">
        <v>377</v>
      </c>
      <c r="D2623" s="2" t="s">
        <v>73</v>
      </c>
      <c r="E2623" s="2"/>
      <c r="F2623" s="2">
        <v>426</v>
      </c>
      <c r="G2623" s="2" t="s">
        <v>378</v>
      </c>
      <c r="H2623" s="2">
        <v>22</v>
      </c>
      <c r="I2623" s="2" t="s">
        <v>75</v>
      </c>
      <c r="J2623" s="2">
        <v>311</v>
      </c>
      <c r="K2623" s="2" t="s">
        <v>379</v>
      </c>
      <c r="L2623" s="2" t="s">
        <v>380</v>
      </c>
      <c r="M2623" s="3">
        <v>40351</v>
      </c>
      <c r="N2623" s="2" t="s">
        <v>4427</v>
      </c>
      <c r="O2623" s="2"/>
      <c r="P2623" s="2"/>
      <c r="Q2623" s="2" t="str">
        <f>"134-C/10"</f>
        <v>134-C/10</v>
      </c>
      <c r="R2623" s="2" t="s">
        <v>8766</v>
      </c>
      <c r="S2623" s="2"/>
      <c r="T2623" s="2">
        <v>1</v>
      </c>
      <c r="U2623" s="2" t="s">
        <v>79</v>
      </c>
      <c r="V2623" s="2">
        <v>1</v>
      </c>
      <c r="W2623" s="2" t="s">
        <v>80</v>
      </c>
      <c r="X2623" s="2">
        <v>1</v>
      </c>
      <c r="Y2623" s="2" t="s">
        <v>81</v>
      </c>
      <c r="Z2623" s="2">
        <v>1</v>
      </c>
      <c r="AA2623" s="2" t="s">
        <v>82</v>
      </c>
      <c r="AB2623" s="2">
        <v>9</v>
      </c>
      <c r="AC2623" s="2" t="s">
        <v>124</v>
      </c>
      <c r="AD2623" s="3">
        <v>40351</v>
      </c>
      <c r="AE2623" s="4">
        <v>0.75</v>
      </c>
      <c r="AF2623" s="2"/>
      <c r="AG2623" s="2"/>
      <c r="AH2623" s="2">
        <v>2</v>
      </c>
      <c r="AI2623" s="2" t="s">
        <v>84</v>
      </c>
      <c r="AJ2623" s="2">
        <v>9</v>
      </c>
      <c r="AK2623" s="2" t="s">
        <v>103</v>
      </c>
      <c r="AL2623" s="2">
        <v>29</v>
      </c>
      <c r="AM2623" s="2" t="s">
        <v>5416</v>
      </c>
      <c r="AN2623" s="2" t="s">
        <v>1345</v>
      </c>
      <c r="AO2623" s="2" t="s">
        <v>987</v>
      </c>
      <c r="AP2623" s="2">
        <v>11</v>
      </c>
      <c r="AQ2623" s="2" t="s">
        <v>82</v>
      </c>
      <c r="AR2623" s="2"/>
      <c r="AS2623" s="2"/>
      <c r="AT2623" s="2" t="s">
        <v>8767</v>
      </c>
      <c r="AU2623" s="2"/>
      <c r="AV2623" s="2"/>
      <c r="AW2623" s="2"/>
      <c r="AX2623" s="2"/>
      <c r="AY2623" s="2">
        <v>41</v>
      </c>
      <c r="AZ2623" s="2" t="s">
        <v>82</v>
      </c>
      <c r="BA2623" s="2">
        <v>41</v>
      </c>
      <c r="BB2623" s="2" t="s">
        <v>82</v>
      </c>
      <c r="BC2623" s="2">
        <v>41</v>
      </c>
      <c r="BD2623" s="2" t="s">
        <v>82</v>
      </c>
      <c r="BE2623" s="2">
        <v>41</v>
      </c>
      <c r="BF2623" s="2" t="s">
        <v>82</v>
      </c>
      <c r="BG2623" s="2"/>
      <c r="BH2623" s="2"/>
      <c r="BI2623" s="2"/>
      <c r="BJ2623" s="2">
        <v>241</v>
      </c>
      <c r="BK2623" s="2" t="s">
        <v>82</v>
      </c>
      <c r="BL2623" s="2"/>
      <c r="BM2623" s="2">
        <v>241</v>
      </c>
      <c r="BN2623" s="2" t="s">
        <v>82</v>
      </c>
      <c r="BO2623" s="2"/>
      <c r="BP2623" s="2">
        <v>241</v>
      </c>
      <c r="BQ2623" s="2" t="s">
        <v>82</v>
      </c>
      <c r="BR2623" s="2"/>
      <c r="BS2623" s="3">
        <v>40351</v>
      </c>
      <c r="BT2623" s="4">
        <v>0.93049768518518527</v>
      </c>
    </row>
    <row r="2624" spans="1:72" x14ac:dyDescent="0.25">
      <c r="A2624" s="2">
        <v>3807</v>
      </c>
      <c r="B2624" s="2">
        <v>2010</v>
      </c>
      <c r="C2624" s="2" t="s">
        <v>377</v>
      </c>
      <c r="D2624" s="2" t="s">
        <v>73</v>
      </c>
      <c r="E2624" s="2"/>
      <c r="F2624" s="2">
        <v>426</v>
      </c>
      <c r="G2624" s="2" t="s">
        <v>378</v>
      </c>
      <c r="H2624" s="2">
        <v>22</v>
      </c>
      <c r="I2624" s="2" t="s">
        <v>75</v>
      </c>
      <c r="J2624" s="2">
        <v>311</v>
      </c>
      <c r="K2624" s="2" t="s">
        <v>379</v>
      </c>
      <c r="L2624" s="2" t="s">
        <v>380</v>
      </c>
      <c r="M2624" s="3">
        <v>40351</v>
      </c>
      <c r="N2624" s="2" t="s">
        <v>4427</v>
      </c>
      <c r="O2624" s="2"/>
      <c r="P2624" s="2"/>
      <c r="Q2624" s="2" t="str">
        <f>"135-C/10"</f>
        <v>135-C/10</v>
      </c>
      <c r="R2624" s="2" t="s">
        <v>8766</v>
      </c>
      <c r="S2624" s="2"/>
      <c r="T2624" s="2">
        <v>1</v>
      </c>
      <c r="U2624" s="2" t="s">
        <v>79</v>
      </c>
      <c r="V2624" s="2">
        <v>1</v>
      </c>
      <c r="W2624" s="2" t="s">
        <v>80</v>
      </c>
      <c r="X2624" s="2">
        <v>1</v>
      </c>
      <c r="Y2624" s="2" t="s">
        <v>81</v>
      </c>
      <c r="Z2624" s="2">
        <v>1</v>
      </c>
      <c r="AA2624" s="2" t="s">
        <v>82</v>
      </c>
      <c r="AB2624" s="2">
        <v>9</v>
      </c>
      <c r="AC2624" s="2" t="s">
        <v>124</v>
      </c>
      <c r="AD2624" s="3">
        <v>40351</v>
      </c>
      <c r="AE2624" s="4">
        <v>0.82638888888888884</v>
      </c>
      <c r="AF2624" s="2"/>
      <c r="AG2624" s="2"/>
      <c r="AH2624" s="2">
        <v>2</v>
      </c>
      <c r="AI2624" s="2" t="s">
        <v>84</v>
      </c>
      <c r="AJ2624" s="2">
        <v>9</v>
      </c>
      <c r="AK2624" s="2" t="s">
        <v>103</v>
      </c>
      <c r="AL2624" s="2">
        <v>29</v>
      </c>
      <c r="AM2624" s="2" t="s">
        <v>5416</v>
      </c>
      <c r="AN2624" s="2"/>
      <c r="AO2624" s="2" t="s">
        <v>8768</v>
      </c>
      <c r="AP2624" s="2">
        <v>11</v>
      </c>
      <c r="AQ2624" s="2" t="s">
        <v>82</v>
      </c>
      <c r="AR2624" s="2"/>
      <c r="AS2624" s="2"/>
      <c r="AT2624" s="2" t="s">
        <v>8769</v>
      </c>
      <c r="AU2624" s="2"/>
      <c r="AV2624" s="2"/>
      <c r="AW2624" s="2"/>
      <c r="AX2624" s="2"/>
      <c r="AY2624" s="2">
        <v>41</v>
      </c>
      <c r="AZ2624" s="2" t="s">
        <v>82</v>
      </c>
      <c r="BA2624" s="2">
        <v>41</v>
      </c>
      <c r="BB2624" s="2" t="s">
        <v>82</v>
      </c>
      <c r="BC2624" s="2">
        <v>41</v>
      </c>
      <c r="BD2624" s="2" t="s">
        <v>82</v>
      </c>
      <c r="BE2624" s="2">
        <v>41</v>
      </c>
      <c r="BF2624" s="2" t="s">
        <v>82</v>
      </c>
      <c r="BG2624" s="2"/>
      <c r="BH2624" s="2"/>
      <c r="BI2624" s="2"/>
      <c r="BJ2624" s="2">
        <v>241</v>
      </c>
      <c r="BK2624" s="2" t="s">
        <v>82</v>
      </c>
      <c r="BL2624" s="2"/>
      <c r="BM2624" s="2">
        <v>241</v>
      </c>
      <c r="BN2624" s="2" t="s">
        <v>82</v>
      </c>
      <c r="BO2624" s="2"/>
      <c r="BP2624" s="2">
        <v>241</v>
      </c>
      <c r="BQ2624" s="2" t="s">
        <v>82</v>
      </c>
      <c r="BR2624" s="2"/>
      <c r="BS2624" s="3">
        <v>40351</v>
      </c>
      <c r="BT2624" s="4">
        <v>0.94123842592592588</v>
      </c>
    </row>
    <row r="2625" spans="1:72" x14ac:dyDescent="0.25">
      <c r="A2625" s="2">
        <v>3808</v>
      </c>
      <c r="B2625" s="2">
        <v>2010</v>
      </c>
      <c r="C2625" s="2" t="s">
        <v>72</v>
      </c>
      <c r="D2625" s="2" t="s">
        <v>73</v>
      </c>
      <c r="E2625" s="2"/>
      <c r="F2625" s="2">
        <v>638</v>
      </c>
      <c r="G2625" s="2" t="s">
        <v>8288</v>
      </c>
      <c r="H2625" s="2">
        <v>4</v>
      </c>
      <c r="I2625" s="2" t="s">
        <v>173</v>
      </c>
      <c r="J2625" s="2">
        <v>594</v>
      </c>
      <c r="K2625" s="2" t="s">
        <v>8762</v>
      </c>
      <c r="L2625" s="2" t="s">
        <v>4666</v>
      </c>
      <c r="M2625" s="3">
        <v>40351</v>
      </c>
      <c r="N2625" s="2" t="s">
        <v>8770</v>
      </c>
      <c r="O2625" s="2" t="s">
        <v>107</v>
      </c>
      <c r="P2625" s="2" t="s">
        <v>107</v>
      </c>
      <c r="Q2625" s="2" t="str">
        <f>"35/2010"</f>
        <v>35/2010</v>
      </c>
      <c r="R2625" s="2" t="s">
        <v>601</v>
      </c>
      <c r="S2625" s="2" t="s">
        <v>601</v>
      </c>
      <c r="T2625" s="2">
        <v>1</v>
      </c>
      <c r="U2625" s="2" t="s">
        <v>79</v>
      </c>
      <c r="V2625" s="2">
        <v>1</v>
      </c>
      <c r="W2625" s="2" t="s">
        <v>80</v>
      </c>
      <c r="X2625" s="2">
        <v>12</v>
      </c>
      <c r="Y2625" s="2" t="s">
        <v>148</v>
      </c>
      <c r="Z2625" s="2">
        <v>1</v>
      </c>
      <c r="AA2625" s="2" t="s">
        <v>82</v>
      </c>
      <c r="AB2625" s="2">
        <v>6</v>
      </c>
      <c r="AC2625" s="2" t="s">
        <v>83</v>
      </c>
      <c r="AD2625" s="3">
        <v>40351</v>
      </c>
      <c r="AE2625" s="4">
        <v>0.92361111111111116</v>
      </c>
      <c r="AF2625" s="3">
        <v>40351</v>
      </c>
      <c r="AG2625" s="4">
        <v>0.9784722222222223</v>
      </c>
      <c r="AH2625" s="2">
        <v>3</v>
      </c>
      <c r="AI2625" s="2" t="s">
        <v>214</v>
      </c>
      <c r="AJ2625" s="2">
        <v>24</v>
      </c>
      <c r="AK2625" s="2" t="s">
        <v>215</v>
      </c>
      <c r="AL2625" s="2">
        <v>29</v>
      </c>
      <c r="AM2625" s="2" t="s">
        <v>5416</v>
      </c>
      <c r="AN2625" s="2" t="s">
        <v>107</v>
      </c>
      <c r="AO2625" s="2"/>
      <c r="AP2625" s="2">
        <v>11</v>
      </c>
      <c r="AQ2625" s="2" t="s">
        <v>82</v>
      </c>
      <c r="AR2625" s="2" t="s">
        <v>82</v>
      </c>
      <c r="AS2625" s="2" t="s">
        <v>82</v>
      </c>
      <c r="AT2625" s="2" t="s">
        <v>8771</v>
      </c>
      <c r="AU2625" s="2"/>
      <c r="AV2625" s="2"/>
      <c r="AW2625" s="2"/>
      <c r="AX2625" s="2"/>
      <c r="AY2625" s="2">
        <v>41</v>
      </c>
      <c r="AZ2625" s="2" t="s">
        <v>82</v>
      </c>
      <c r="BA2625" s="2">
        <v>41</v>
      </c>
      <c r="BB2625" s="2" t="s">
        <v>82</v>
      </c>
      <c r="BC2625" s="2">
        <v>41</v>
      </c>
      <c r="BD2625" s="2" t="s">
        <v>82</v>
      </c>
      <c r="BE2625" s="2">
        <v>41</v>
      </c>
      <c r="BF2625" s="2" t="s">
        <v>82</v>
      </c>
      <c r="BG2625" s="2" t="s">
        <v>82</v>
      </c>
      <c r="BH2625" s="2"/>
      <c r="BI2625" s="2"/>
      <c r="BJ2625" s="2">
        <v>241</v>
      </c>
      <c r="BK2625" s="2" t="s">
        <v>82</v>
      </c>
      <c r="BL2625" s="2"/>
      <c r="BM2625" s="2">
        <v>241</v>
      </c>
      <c r="BN2625" s="2" t="s">
        <v>82</v>
      </c>
      <c r="BO2625" s="2" t="s">
        <v>82</v>
      </c>
      <c r="BP2625" s="2">
        <v>241</v>
      </c>
      <c r="BQ2625" s="2" t="s">
        <v>82</v>
      </c>
      <c r="BR2625" s="2" t="s">
        <v>82</v>
      </c>
      <c r="BS2625" s="3">
        <v>40351</v>
      </c>
      <c r="BT2625" s="4">
        <v>0.9830902777777778</v>
      </c>
    </row>
    <row r="2626" spans="1:72" x14ac:dyDescent="0.25">
      <c r="A2626" s="2">
        <v>3809</v>
      </c>
      <c r="B2626" s="2">
        <v>2010</v>
      </c>
      <c r="C2626" s="2" t="s">
        <v>72</v>
      </c>
      <c r="D2626" s="2" t="s">
        <v>73</v>
      </c>
      <c r="E2626" s="2"/>
      <c r="F2626" s="2">
        <v>642</v>
      </c>
      <c r="G2626" s="2" t="s">
        <v>8576</v>
      </c>
      <c r="H2626" s="2">
        <v>42</v>
      </c>
      <c r="I2626" s="2" t="s">
        <v>1096</v>
      </c>
      <c r="J2626" s="2">
        <v>590</v>
      </c>
      <c r="K2626" s="2" t="s">
        <v>8577</v>
      </c>
      <c r="L2626" s="2" t="s">
        <v>7265</v>
      </c>
      <c r="M2626" s="3">
        <v>40352</v>
      </c>
      <c r="N2626" s="2" t="s">
        <v>8772</v>
      </c>
      <c r="O2626" s="2" t="s">
        <v>107</v>
      </c>
      <c r="P2626" s="2" t="s">
        <v>107</v>
      </c>
      <c r="Q2626" s="2" t="str">
        <f>"229-A/10"</f>
        <v>229-A/10</v>
      </c>
      <c r="R2626" s="2" t="s">
        <v>1547</v>
      </c>
      <c r="S2626" s="2" t="s">
        <v>1547</v>
      </c>
      <c r="T2626" s="2">
        <v>1</v>
      </c>
      <c r="U2626" s="2" t="s">
        <v>79</v>
      </c>
      <c r="V2626" s="2">
        <v>1</v>
      </c>
      <c r="W2626" s="2" t="s">
        <v>80</v>
      </c>
      <c r="X2626" s="2">
        <v>12</v>
      </c>
      <c r="Y2626" s="2" t="s">
        <v>148</v>
      </c>
      <c r="Z2626" s="2">
        <v>1</v>
      </c>
      <c r="AA2626" s="2" t="s">
        <v>82</v>
      </c>
      <c r="AB2626" s="2">
        <v>6</v>
      </c>
      <c r="AC2626" s="2" t="s">
        <v>83</v>
      </c>
      <c r="AD2626" s="3">
        <v>40348</v>
      </c>
      <c r="AE2626" s="2"/>
      <c r="AF2626" s="3">
        <v>40352</v>
      </c>
      <c r="AG2626" s="4">
        <v>1.1111111111111112E-2</v>
      </c>
      <c r="AH2626" s="2">
        <v>2</v>
      </c>
      <c r="AI2626" s="2" t="s">
        <v>84</v>
      </c>
      <c r="AJ2626" s="2">
        <v>12</v>
      </c>
      <c r="AK2626" s="2" t="s">
        <v>85</v>
      </c>
      <c r="AL2626" s="2">
        <v>22</v>
      </c>
      <c r="AM2626" s="2" t="s">
        <v>1853</v>
      </c>
      <c r="AN2626" s="2" t="s">
        <v>8773</v>
      </c>
      <c r="AO2626" s="2" t="s">
        <v>8456</v>
      </c>
      <c r="AP2626" s="2">
        <v>11</v>
      </c>
      <c r="AQ2626" s="2" t="s">
        <v>82</v>
      </c>
      <c r="AR2626" s="2"/>
      <c r="AS2626" s="2"/>
      <c r="AT2626" s="2" t="s">
        <v>8774</v>
      </c>
      <c r="AU2626" s="2"/>
      <c r="AV2626" s="2"/>
      <c r="AW2626" s="2"/>
      <c r="AX2626" s="2"/>
      <c r="AY2626" s="2">
        <v>41</v>
      </c>
      <c r="AZ2626" s="2" t="s">
        <v>82</v>
      </c>
      <c r="BA2626" s="2">
        <v>41</v>
      </c>
      <c r="BB2626" s="2" t="s">
        <v>82</v>
      </c>
      <c r="BC2626" s="2">
        <v>41</v>
      </c>
      <c r="BD2626" s="2" t="s">
        <v>82</v>
      </c>
      <c r="BE2626" s="2">
        <v>47</v>
      </c>
      <c r="BF2626" s="2" t="s">
        <v>167</v>
      </c>
      <c r="BG2626" s="2" t="s">
        <v>8775</v>
      </c>
      <c r="BH2626" s="4">
        <v>3.4722222222222224E-2</v>
      </c>
      <c r="BI2626" s="4">
        <v>0.95833333333333337</v>
      </c>
      <c r="BJ2626" s="2">
        <v>13</v>
      </c>
      <c r="BK2626" s="2" t="s">
        <v>91</v>
      </c>
      <c r="BL2626" s="2" t="s">
        <v>185</v>
      </c>
      <c r="BM2626" s="2">
        <v>241</v>
      </c>
      <c r="BN2626" s="2" t="s">
        <v>82</v>
      </c>
      <c r="BO2626" s="2"/>
      <c r="BP2626" s="2">
        <v>13</v>
      </c>
      <c r="BQ2626" s="2" t="s">
        <v>91</v>
      </c>
      <c r="BR2626" s="2" t="s">
        <v>445</v>
      </c>
      <c r="BS2626" s="3">
        <v>40352</v>
      </c>
      <c r="BT2626" s="4">
        <v>0.13134259259259259</v>
      </c>
    </row>
    <row r="2627" spans="1:72" x14ac:dyDescent="0.25">
      <c r="A2627" s="2">
        <v>3810</v>
      </c>
      <c r="B2627" s="2">
        <v>2010</v>
      </c>
      <c r="C2627" s="2" t="s">
        <v>72</v>
      </c>
      <c r="D2627" s="2" t="s">
        <v>73</v>
      </c>
      <c r="E2627" s="2"/>
      <c r="F2627" s="2">
        <v>2</v>
      </c>
      <c r="G2627" s="2" t="s">
        <v>113</v>
      </c>
      <c r="H2627" s="2">
        <v>22</v>
      </c>
      <c r="I2627" s="2" t="s">
        <v>75</v>
      </c>
      <c r="J2627" s="2">
        <v>300</v>
      </c>
      <c r="K2627" s="2" t="s">
        <v>114</v>
      </c>
      <c r="L2627" s="2" t="s">
        <v>115</v>
      </c>
      <c r="M2627" s="3">
        <v>40352</v>
      </c>
      <c r="N2627" s="2"/>
      <c r="O2627" s="2" t="s">
        <v>107</v>
      </c>
      <c r="P2627" s="2" t="s">
        <v>107</v>
      </c>
      <c r="Q2627" s="2" t="str">
        <f>"335-E/10"</f>
        <v>335-E/10</v>
      </c>
      <c r="R2627" s="2" t="s">
        <v>480</v>
      </c>
      <c r="S2627" s="2" t="s">
        <v>480</v>
      </c>
      <c r="T2627" s="2">
        <v>1</v>
      </c>
      <c r="U2627" s="2" t="s">
        <v>79</v>
      </c>
      <c r="V2627" s="2">
        <v>1</v>
      </c>
      <c r="W2627" s="2" t="s">
        <v>80</v>
      </c>
      <c r="X2627" s="2">
        <v>12</v>
      </c>
      <c r="Y2627" s="2" t="s">
        <v>148</v>
      </c>
      <c r="Z2627" s="2">
        <v>1</v>
      </c>
      <c r="AA2627" s="2" t="s">
        <v>82</v>
      </c>
      <c r="AB2627" s="2">
        <v>6</v>
      </c>
      <c r="AC2627" s="2" t="s">
        <v>83</v>
      </c>
      <c r="AD2627" s="3">
        <v>40352</v>
      </c>
      <c r="AE2627" s="2"/>
      <c r="AF2627" s="3">
        <v>40352</v>
      </c>
      <c r="AG2627" s="4">
        <v>0.3125</v>
      </c>
      <c r="AH2627" s="2">
        <v>2</v>
      </c>
      <c r="AI2627" s="2" t="s">
        <v>84</v>
      </c>
      <c r="AJ2627" s="2">
        <v>9</v>
      </c>
      <c r="AK2627" s="2" t="s">
        <v>103</v>
      </c>
      <c r="AL2627" s="2">
        <v>29</v>
      </c>
      <c r="AM2627" s="2" t="s">
        <v>5416</v>
      </c>
      <c r="AN2627" s="2"/>
      <c r="AO2627" s="2" t="s">
        <v>8776</v>
      </c>
      <c r="AP2627" s="2">
        <v>11</v>
      </c>
      <c r="AQ2627" s="2" t="s">
        <v>82</v>
      </c>
      <c r="AR2627" s="2"/>
      <c r="AS2627" s="2"/>
      <c r="AT2627" s="2" t="s">
        <v>8777</v>
      </c>
      <c r="AU2627" s="2"/>
      <c r="AV2627" s="2"/>
      <c r="AW2627" s="2"/>
      <c r="AX2627" s="2"/>
      <c r="AY2627" s="2">
        <v>41</v>
      </c>
      <c r="AZ2627" s="2" t="s">
        <v>82</v>
      </c>
      <c r="BA2627" s="2">
        <v>41</v>
      </c>
      <c r="BB2627" s="2" t="s">
        <v>82</v>
      </c>
      <c r="BC2627" s="2">
        <v>41</v>
      </c>
      <c r="BD2627" s="2" t="s">
        <v>82</v>
      </c>
      <c r="BE2627" s="2">
        <v>41</v>
      </c>
      <c r="BF2627" s="2" t="s">
        <v>82</v>
      </c>
      <c r="BG2627" s="2"/>
      <c r="BH2627" s="2"/>
      <c r="BI2627" s="2"/>
      <c r="BJ2627" s="2">
        <v>241</v>
      </c>
      <c r="BK2627" s="2" t="s">
        <v>82</v>
      </c>
      <c r="BL2627" s="2"/>
      <c r="BM2627" s="2">
        <v>241</v>
      </c>
      <c r="BN2627" s="2" t="s">
        <v>82</v>
      </c>
      <c r="BO2627" s="2"/>
      <c r="BP2627" s="2">
        <v>241</v>
      </c>
      <c r="BQ2627" s="2" t="s">
        <v>82</v>
      </c>
      <c r="BR2627" s="2"/>
      <c r="BS2627" s="3">
        <v>40352</v>
      </c>
      <c r="BT2627" s="4">
        <v>0.36298611111111106</v>
      </c>
    </row>
    <row r="2628" spans="1:72" x14ac:dyDescent="0.25">
      <c r="A2628" s="2">
        <v>3815</v>
      </c>
      <c r="B2628" s="2">
        <v>2010</v>
      </c>
      <c r="C2628" s="2" t="s">
        <v>819</v>
      </c>
      <c r="D2628" s="2" t="s">
        <v>122</v>
      </c>
      <c r="E2628" s="2" t="s">
        <v>8778</v>
      </c>
      <c r="F2628" s="2">
        <v>518</v>
      </c>
      <c r="G2628" s="2" t="s">
        <v>4664</v>
      </c>
      <c r="H2628" s="2">
        <v>22</v>
      </c>
      <c r="I2628" s="2" t="s">
        <v>75</v>
      </c>
      <c r="J2628" s="2">
        <v>436</v>
      </c>
      <c r="K2628" s="2" t="s">
        <v>4665</v>
      </c>
      <c r="L2628" s="2" t="s">
        <v>4666</v>
      </c>
      <c r="M2628" s="3">
        <v>40352</v>
      </c>
      <c r="N2628" s="2" t="s">
        <v>4667</v>
      </c>
      <c r="O2628" s="2" t="s">
        <v>8570</v>
      </c>
      <c r="P2628" s="2" t="s">
        <v>8571</v>
      </c>
      <c r="Q2628" s="2" t="str">
        <f>"N/C"</f>
        <v>N/C</v>
      </c>
      <c r="R2628" s="2" t="s">
        <v>82</v>
      </c>
      <c r="S2628" s="2" t="s">
        <v>82</v>
      </c>
      <c r="T2628" s="2">
        <v>1</v>
      </c>
      <c r="U2628" s="2" t="s">
        <v>79</v>
      </c>
      <c r="V2628" s="2">
        <v>3</v>
      </c>
      <c r="W2628" s="2" t="s">
        <v>225</v>
      </c>
      <c r="X2628" s="2">
        <v>5</v>
      </c>
      <c r="Y2628" s="2" t="s">
        <v>82</v>
      </c>
      <c r="Z2628" s="2">
        <v>4</v>
      </c>
      <c r="AA2628" s="2" t="s">
        <v>182</v>
      </c>
      <c r="AB2628" s="2">
        <v>9</v>
      </c>
      <c r="AC2628" s="2" t="s">
        <v>124</v>
      </c>
      <c r="AD2628" s="3">
        <v>40347</v>
      </c>
      <c r="AE2628" s="4">
        <v>0.41666666666666669</v>
      </c>
      <c r="AF2628" s="2"/>
      <c r="AG2628" s="2"/>
      <c r="AH2628" s="2">
        <v>5</v>
      </c>
      <c r="AI2628" s="2" t="s">
        <v>274</v>
      </c>
      <c r="AJ2628" s="2">
        <v>45</v>
      </c>
      <c r="AK2628" s="2" t="s">
        <v>834</v>
      </c>
      <c r="AL2628" s="2">
        <v>19</v>
      </c>
      <c r="AM2628" s="2" t="s">
        <v>107</v>
      </c>
      <c r="AN2628" s="2" t="s">
        <v>82</v>
      </c>
      <c r="AO2628" s="2" t="s">
        <v>82</v>
      </c>
      <c r="AP2628" s="2">
        <v>11</v>
      </c>
      <c r="AQ2628" s="2" t="s">
        <v>82</v>
      </c>
      <c r="AR2628" s="2" t="s">
        <v>82</v>
      </c>
      <c r="AS2628" s="2" t="s">
        <v>82</v>
      </c>
      <c r="AT2628" s="2" t="s">
        <v>8779</v>
      </c>
      <c r="AU2628" s="2"/>
      <c r="AV2628" s="2"/>
      <c r="AW2628" s="2"/>
      <c r="AX2628" s="2"/>
      <c r="AY2628" s="2">
        <v>42</v>
      </c>
      <c r="AZ2628" s="2" t="s">
        <v>182</v>
      </c>
      <c r="BA2628" s="2">
        <v>42</v>
      </c>
      <c r="BB2628" s="2" t="s">
        <v>182</v>
      </c>
      <c r="BC2628" s="2">
        <v>41</v>
      </c>
      <c r="BD2628" s="2" t="s">
        <v>82</v>
      </c>
      <c r="BE2628" s="2">
        <v>41</v>
      </c>
      <c r="BF2628" s="2" t="s">
        <v>82</v>
      </c>
      <c r="BG2628" s="2" t="s">
        <v>82</v>
      </c>
      <c r="BH2628" s="2"/>
      <c r="BI2628" s="2"/>
      <c r="BJ2628" s="2">
        <v>241</v>
      </c>
      <c r="BK2628" s="2" t="s">
        <v>82</v>
      </c>
      <c r="BL2628" s="2" t="s">
        <v>82</v>
      </c>
      <c r="BM2628" s="2">
        <v>241</v>
      </c>
      <c r="BN2628" s="2" t="s">
        <v>82</v>
      </c>
      <c r="BO2628" s="2" t="s">
        <v>82</v>
      </c>
      <c r="BP2628" s="2">
        <v>241</v>
      </c>
      <c r="BQ2628" s="2" t="s">
        <v>82</v>
      </c>
      <c r="BR2628" s="2" t="s">
        <v>82</v>
      </c>
      <c r="BS2628" s="3">
        <v>40352</v>
      </c>
      <c r="BT2628" s="4">
        <v>0.52837962962962959</v>
      </c>
    </row>
    <row r="2629" spans="1:72" x14ac:dyDescent="0.25">
      <c r="A2629" s="2">
        <v>3817</v>
      </c>
      <c r="B2629" s="2">
        <v>2010</v>
      </c>
      <c r="C2629" s="2" t="s">
        <v>4543</v>
      </c>
      <c r="D2629" s="2" t="s">
        <v>122</v>
      </c>
      <c r="E2629" s="2"/>
      <c r="F2629" s="2">
        <v>293</v>
      </c>
      <c r="G2629" s="2" t="s">
        <v>8731</v>
      </c>
      <c r="H2629" s="2">
        <v>44</v>
      </c>
      <c r="I2629" s="2" t="s">
        <v>1272</v>
      </c>
      <c r="J2629" s="2">
        <v>593</v>
      </c>
      <c r="K2629" s="2" t="s">
        <v>8732</v>
      </c>
      <c r="L2629" s="2" t="s">
        <v>8733</v>
      </c>
      <c r="M2629" s="3">
        <v>40352</v>
      </c>
      <c r="N2629" s="2" t="s">
        <v>8734</v>
      </c>
      <c r="O2629" s="2" t="s">
        <v>8780</v>
      </c>
      <c r="P2629" s="2" t="s">
        <v>8736</v>
      </c>
      <c r="Q2629" s="2" t="str">
        <f>""</f>
        <v/>
      </c>
      <c r="R2629" s="2"/>
      <c r="S2629" s="2"/>
      <c r="T2629" s="2">
        <v>2</v>
      </c>
      <c r="U2629" s="2" t="s">
        <v>123</v>
      </c>
      <c r="V2629" s="2">
        <v>1</v>
      </c>
      <c r="W2629" s="2" t="s">
        <v>80</v>
      </c>
      <c r="X2629" s="2">
        <v>5</v>
      </c>
      <c r="Y2629" s="2" t="s">
        <v>82</v>
      </c>
      <c r="Z2629" s="2">
        <v>1</v>
      </c>
      <c r="AA2629" s="2" t="s">
        <v>82</v>
      </c>
      <c r="AB2629" s="2">
        <v>9</v>
      </c>
      <c r="AC2629" s="2" t="s">
        <v>124</v>
      </c>
      <c r="AD2629" s="3">
        <v>40352</v>
      </c>
      <c r="AE2629" s="4">
        <v>0.52083333333333337</v>
      </c>
      <c r="AF2629" s="2"/>
      <c r="AG2629" s="2"/>
      <c r="AH2629" s="2">
        <v>5</v>
      </c>
      <c r="AI2629" s="2" t="s">
        <v>274</v>
      </c>
      <c r="AJ2629" s="2">
        <v>39</v>
      </c>
      <c r="AK2629" s="2" t="s">
        <v>8737</v>
      </c>
      <c r="AL2629" s="2">
        <v>18</v>
      </c>
      <c r="AM2629" s="2" t="s">
        <v>82</v>
      </c>
      <c r="AN2629" s="2"/>
      <c r="AO2629" s="2"/>
      <c r="AP2629" s="2">
        <v>11</v>
      </c>
      <c r="AQ2629" s="2" t="s">
        <v>82</v>
      </c>
      <c r="AR2629" s="2"/>
      <c r="AS2629" s="2"/>
      <c r="AT2629" s="2" t="s">
        <v>8781</v>
      </c>
      <c r="AU2629" s="2"/>
      <c r="AV2629" s="2"/>
      <c r="AW2629" s="2"/>
      <c r="AX2629" s="2"/>
      <c r="AY2629" s="2">
        <v>1</v>
      </c>
      <c r="AZ2629" s="2" t="s">
        <v>107</v>
      </c>
      <c r="BA2629" s="2">
        <v>1</v>
      </c>
      <c r="BB2629" s="2" t="s">
        <v>107</v>
      </c>
      <c r="BC2629" s="2">
        <v>1</v>
      </c>
      <c r="BD2629" s="2" t="s">
        <v>107</v>
      </c>
      <c r="BE2629" s="2">
        <v>1</v>
      </c>
      <c r="BF2629" s="2" t="s">
        <v>107</v>
      </c>
      <c r="BG2629" s="2"/>
      <c r="BH2629" s="2"/>
      <c r="BI2629" s="2"/>
      <c r="BJ2629" s="2">
        <v>242</v>
      </c>
      <c r="BK2629" s="2" t="s">
        <v>107</v>
      </c>
      <c r="BL2629" s="2"/>
      <c r="BM2629" s="2">
        <v>242</v>
      </c>
      <c r="BN2629" s="2" t="s">
        <v>107</v>
      </c>
      <c r="BO2629" s="2"/>
      <c r="BP2629" s="2">
        <v>242</v>
      </c>
      <c r="BQ2629" s="2" t="s">
        <v>107</v>
      </c>
      <c r="BR2629" s="2"/>
      <c r="BS2629" s="3">
        <v>40352</v>
      </c>
      <c r="BT2629" s="4">
        <v>0.58363425925925927</v>
      </c>
    </row>
    <row r="2630" spans="1:72" x14ac:dyDescent="0.25">
      <c r="A2630" s="2">
        <v>3819</v>
      </c>
      <c r="B2630" s="2">
        <v>2010</v>
      </c>
      <c r="C2630" s="2" t="s">
        <v>457</v>
      </c>
      <c r="D2630" s="2" t="s">
        <v>73</v>
      </c>
      <c r="E2630" s="2"/>
      <c r="F2630" s="2">
        <v>618</v>
      </c>
      <c r="G2630" s="2" t="s">
        <v>6969</v>
      </c>
      <c r="H2630" s="2">
        <v>22</v>
      </c>
      <c r="I2630" s="2" t="s">
        <v>75</v>
      </c>
      <c r="J2630" s="2">
        <v>552</v>
      </c>
      <c r="K2630" s="2" t="s">
        <v>6970</v>
      </c>
      <c r="L2630" s="2" t="s">
        <v>3921</v>
      </c>
      <c r="M2630" s="3">
        <v>40352</v>
      </c>
      <c r="N2630" s="2" t="s">
        <v>8782</v>
      </c>
      <c r="O2630" s="2" t="s">
        <v>8783</v>
      </c>
      <c r="P2630" s="2" t="s">
        <v>8784</v>
      </c>
      <c r="Q2630" s="2" t="str">
        <f>""</f>
        <v/>
      </c>
      <c r="R2630" s="2"/>
      <c r="S2630" s="2"/>
      <c r="T2630" s="2">
        <v>1</v>
      </c>
      <c r="U2630" s="2" t="s">
        <v>79</v>
      </c>
      <c r="V2630" s="2">
        <v>1</v>
      </c>
      <c r="W2630" s="2" t="s">
        <v>80</v>
      </c>
      <c r="X2630" s="2">
        <v>10</v>
      </c>
      <c r="Y2630" s="2" t="s">
        <v>226</v>
      </c>
      <c r="Z2630" s="2">
        <v>6</v>
      </c>
      <c r="AA2630" s="2" t="s">
        <v>101</v>
      </c>
      <c r="AB2630" s="2">
        <v>9</v>
      </c>
      <c r="AC2630" s="2" t="s">
        <v>124</v>
      </c>
      <c r="AD2630" s="3">
        <v>40352</v>
      </c>
      <c r="AE2630" s="4">
        <v>0.54166666666666663</v>
      </c>
      <c r="AF2630" s="2"/>
      <c r="AG2630" s="2"/>
      <c r="AH2630" s="2">
        <v>4</v>
      </c>
      <c r="AI2630" s="2" t="s">
        <v>125</v>
      </c>
      <c r="AJ2630" s="2">
        <v>29</v>
      </c>
      <c r="AK2630" s="2" t="s">
        <v>227</v>
      </c>
      <c r="AL2630" s="2">
        <v>11</v>
      </c>
      <c r="AM2630" s="2" t="s">
        <v>137</v>
      </c>
      <c r="AN2630" s="2" t="s">
        <v>8785</v>
      </c>
      <c r="AO2630" s="2"/>
      <c r="AP2630" s="2">
        <v>11</v>
      </c>
      <c r="AQ2630" s="2" t="s">
        <v>82</v>
      </c>
      <c r="AR2630" s="2"/>
      <c r="AS2630" s="2"/>
      <c r="AT2630" s="2" t="s">
        <v>8786</v>
      </c>
      <c r="AU2630" s="2"/>
      <c r="AV2630" s="2"/>
      <c r="AW2630" s="2"/>
      <c r="AX2630" s="2"/>
      <c r="AY2630" s="2">
        <v>41</v>
      </c>
      <c r="AZ2630" s="2" t="s">
        <v>82</v>
      </c>
      <c r="BA2630" s="2">
        <v>41</v>
      </c>
      <c r="BB2630" s="2" t="s">
        <v>82</v>
      </c>
      <c r="BC2630" s="2">
        <v>41</v>
      </c>
      <c r="BD2630" s="2" t="s">
        <v>82</v>
      </c>
      <c r="BE2630" s="2">
        <v>19</v>
      </c>
      <c r="BF2630" s="2" t="s">
        <v>1061</v>
      </c>
      <c r="BG2630" s="2">
        <v>251</v>
      </c>
      <c r="BH2630" s="4">
        <v>0.53819444444444442</v>
      </c>
      <c r="BI2630" s="4">
        <v>0.57291666666666663</v>
      </c>
      <c r="BJ2630" s="2">
        <v>13</v>
      </c>
      <c r="BK2630" s="2" t="s">
        <v>91</v>
      </c>
      <c r="BL2630" s="2" t="s">
        <v>828</v>
      </c>
      <c r="BM2630" s="2">
        <v>241</v>
      </c>
      <c r="BN2630" s="2" t="s">
        <v>82</v>
      </c>
      <c r="BO2630" s="2" t="s">
        <v>82</v>
      </c>
      <c r="BP2630" s="2">
        <v>29</v>
      </c>
      <c r="BQ2630" s="2" t="s">
        <v>962</v>
      </c>
      <c r="BR2630" s="2" t="s">
        <v>963</v>
      </c>
      <c r="BS2630" s="3">
        <v>40352</v>
      </c>
      <c r="BT2630" s="4">
        <v>0.64445601851851853</v>
      </c>
    </row>
    <row r="2631" spans="1:72" x14ac:dyDescent="0.25">
      <c r="A2631" s="2">
        <v>3820</v>
      </c>
      <c r="B2631" s="2">
        <v>2010</v>
      </c>
      <c r="C2631" s="2" t="s">
        <v>457</v>
      </c>
      <c r="D2631" s="2" t="s">
        <v>73</v>
      </c>
      <c r="E2631" s="2"/>
      <c r="F2631" s="2">
        <v>467</v>
      </c>
      <c r="G2631" s="2" t="s">
        <v>1053</v>
      </c>
      <c r="H2631" s="2">
        <v>22</v>
      </c>
      <c r="I2631" s="2" t="s">
        <v>75</v>
      </c>
      <c r="J2631" s="2">
        <v>369</v>
      </c>
      <c r="K2631" s="2" t="s">
        <v>1054</v>
      </c>
      <c r="L2631" s="2" t="s">
        <v>1055</v>
      </c>
      <c r="M2631" s="3">
        <v>40352</v>
      </c>
      <c r="N2631" s="2" t="s">
        <v>3617</v>
      </c>
      <c r="O2631" s="2" t="s">
        <v>8787</v>
      </c>
      <c r="P2631" s="2" t="s">
        <v>8788</v>
      </c>
      <c r="Q2631" s="2" t="str">
        <f>""</f>
        <v/>
      </c>
      <c r="R2631" s="2"/>
      <c r="S2631" s="2"/>
      <c r="T2631" s="2">
        <v>1</v>
      </c>
      <c r="U2631" s="2" t="s">
        <v>79</v>
      </c>
      <c r="V2631" s="2">
        <v>1</v>
      </c>
      <c r="W2631" s="2" t="s">
        <v>80</v>
      </c>
      <c r="X2631" s="2">
        <v>10</v>
      </c>
      <c r="Y2631" s="2" t="s">
        <v>226</v>
      </c>
      <c r="Z2631" s="2">
        <v>6</v>
      </c>
      <c r="AA2631" s="2" t="s">
        <v>101</v>
      </c>
      <c r="AB2631" s="2">
        <v>9</v>
      </c>
      <c r="AC2631" s="2" t="s">
        <v>124</v>
      </c>
      <c r="AD2631" s="3">
        <v>40352</v>
      </c>
      <c r="AE2631" s="4">
        <v>0.54166666666666663</v>
      </c>
      <c r="AF2631" s="2"/>
      <c r="AG2631" s="2"/>
      <c r="AH2631" s="2">
        <v>4</v>
      </c>
      <c r="AI2631" s="2" t="s">
        <v>125</v>
      </c>
      <c r="AJ2631" s="2">
        <v>29</v>
      </c>
      <c r="AK2631" s="2" t="s">
        <v>227</v>
      </c>
      <c r="AL2631" s="2">
        <v>11</v>
      </c>
      <c r="AM2631" s="2" t="s">
        <v>137</v>
      </c>
      <c r="AN2631" s="2" t="s">
        <v>8789</v>
      </c>
      <c r="AO2631" s="2"/>
      <c r="AP2631" s="2">
        <v>11</v>
      </c>
      <c r="AQ2631" s="2" t="s">
        <v>82</v>
      </c>
      <c r="AR2631" s="2"/>
      <c r="AS2631" s="2"/>
      <c r="AT2631" s="2" t="s">
        <v>8790</v>
      </c>
      <c r="AU2631" s="2"/>
      <c r="AV2631" s="2"/>
      <c r="AW2631" s="2"/>
      <c r="AX2631" s="2"/>
      <c r="AY2631" s="2">
        <v>41</v>
      </c>
      <c r="AZ2631" s="2" t="s">
        <v>82</v>
      </c>
      <c r="BA2631" s="2">
        <v>41</v>
      </c>
      <c r="BB2631" s="2" t="s">
        <v>82</v>
      </c>
      <c r="BC2631" s="2">
        <v>41</v>
      </c>
      <c r="BD2631" s="2" t="s">
        <v>82</v>
      </c>
      <c r="BE2631" s="2">
        <v>19</v>
      </c>
      <c r="BF2631" s="2" t="s">
        <v>1061</v>
      </c>
      <c r="BG2631" s="2">
        <v>251</v>
      </c>
      <c r="BH2631" s="4">
        <v>0.53819444444444442</v>
      </c>
      <c r="BI2631" s="4">
        <v>0.57291666666666663</v>
      </c>
      <c r="BJ2631" s="2">
        <v>13</v>
      </c>
      <c r="BK2631" s="2" t="s">
        <v>91</v>
      </c>
      <c r="BL2631" s="2" t="s">
        <v>828</v>
      </c>
      <c r="BM2631" s="2">
        <v>241</v>
      </c>
      <c r="BN2631" s="2" t="s">
        <v>82</v>
      </c>
      <c r="BO2631" s="2" t="s">
        <v>82</v>
      </c>
      <c r="BP2631" s="2">
        <v>29</v>
      </c>
      <c r="BQ2631" s="2" t="s">
        <v>962</v>
      </c>
      <c r="BR2631" s="2" t="s">
        <v>963</v>
      </c>
      <c r="BS2631" s="3">
        <v>40352</v>
      </c>
      <c r="BT2631" s="4">
        <v>0.65901620370370373</v>
      </c>
    </row>
    <row r="2632" spans="1:72" x14ac:dyDescent="0.25">
      <c r="A2632" s="2">
        <v>3821</v>
      </c>
      <c r="B2632" s="2">
        <v>2010</v>
      </c>
      <c r="C2632" s="2" t="s">
        <v>1660</v>
      </c>
      <c r="D2632" s="2" t="s">
        <v>122</v>
      </c>
      <c r="E2632" s="2" t="s">
        <v>8791</v>
      </c>
      <c r="F2632" s="2">
        <v>499</v>
      </c>
      <c r="G2632" s="2" t="s">
        <v>2177</v>
      </c>
      <c r="H2632" s="2">
        <v>6</v>
      </c>
      <c r="I2632" s="2" t="s">
        <v>1088</v>
      </c>
      <c r="J2632" s="2">
        <v>165</v>
      </c>
      <c r="K2632" s="2" t="s">
        <v>8586</v>
      </c>
      <c r="L2632" s="2" t="s">
        <v>8587</v>
      </c>
      <c r="M2632" s="3">
        <v>40352</v>
      </c>
      <c r="N2632" s="2" t="s">
        <v>8726</v>
      </c>
      <c r="O2632" s="2" t="s">
        <v>107</v>
      </c>
      <c r="P2632" s="2" t="s">
        <v>107</v>
      </c>
      <c r="Q2632" s="2" t="str">
        <f>"226-A/10"</f>
        <v>226-A/10</v>
      </c>
      <c r="R2632" s="2" t="s">
        <v>8727</v>
      </c>
      <c r="S2632" s="2" t="s">
        <v>107</v>
      </c>
      <c r="T2632" s="2">
        <v>1</v>
      </c>
      <c r="U2632" s="2" t="s">
        <v>79</v>
      </c>
      <c r="V2632" s="2">
        <v>1</v>
      </c>
      <c r="W2632" s="2" t="s">
        <v>80</v>
      </c>
      <c r="X2632" s="2">
        <v>10</v>
      </c>
      <c r="Y2632" s="2" t="s">
        <v>226</v>
      </c>
      <c r="Z2632" s="2">
        <v>6</v>
      </c>
      <c r="AA2632" s="2" t="s">
        <v>101</v>
      </c>
      <c r="AB2632" s="2">
        <v>3</v>
      </c>
      <c r="AC2632" s="2" t="s">
        <v>1663</v>
      </c>
      <c r="AD2632" s="3">
        <v>40352</v>
      </c>
      <c r="AE2632" s="4">
        <v>0.42708333333333331</v>
      </c>
      <c r="AF2632" s="2"/>
      <c r="AG2632" s="2"/>
      <c r="AH2632" s="2">
        <v>2</v>
      </c>
      <c r="AI2632" s="2" t="s">
        <v>84</v>
      </c>
      <c r="AJ2632" s="2">
        <v>12</v>
      </c>
      <c r="AK2632" s="2" t="s">
        <v>85</v>
      </c>
      <c r="AL2632" s="2">
        <v>25</v>
      </c>
      <c r="AM2632" s="2" t="s">
        <v>3073</v>
      </c>
      <c r="AN2632" s="2" t="s">
        <v>8792</v>
      </c>
      <c r="AO2632" s="2" t="s">
        <v>7295</v>
      </c>
      <c r="AP2632" s="2">
        <v>11</v>
      </c>
      <c r="AQ2632" s="2" t="s">
        <v>82</v>
      </c>
      <c r="AR2632" s="2"/>
      <c r="AS2632" s="2"/>
      <c r="AT2632" s="2" t="s">
        <v>8793</v>
      </c>
      <c r="AU2632" s="2"/>
      <c r="AV2632" s="2">
        <v>2</v>
      </c>
      <c r="AW2632" s="2"/>
      <c r="AX2632" s="2"/>
      <c r="AY2632" s="2">
        <v>41</v>
      </c>
      <c r="AZ2632" s="2" t="s">
        <v>82</v>
      </c>
      <c r="BA2632" s="2">
        <v>115</v>
      </c>
      <c r="BB2632" s="2" t="s">
        <v>101</v>
      </c>
      <c r="BC2632" s="2">
        <v>41</v>
      </c>
      <c r="BD2632" s="2" t="s">
        <v>82</v>
      </c>
      <c r="BE2632" s="2">
        <v>13</v>
      </c>
      <c r="BF2632" s="2" t="s">
        <v>108</v>
      </c>
      <c r="BG2632" s="2" t="s">
        <v>8730</v>
      </c>
      <c r="BH2632" s="4">
        <v>0.8125</v>
      </c>
      <c r="BI2632" s="4">
        <v>0.74652777777777779</v>
      </c>
      <c r="BJ2632" s="2">
        <v>46</v>
      </c>
      <c r="BK2632" s="2" t="s">
        <v>307</v>
      </c>
      <c r="BL2632" s="2" t="s">
        <v>308</v>
      </c>
      <c r="BM2632" s="2">
        <v>241</v>
      </c>
      <c r="BN2632" s="2" t="s">
        <v>82</v>
      </c>
      <c r="BO2632" s="2"/>
      <c r="BP2632" s="2">
        <v>13</v>
      </c>
      <c r="BQ2632" s="2" t="s">
        <v>91</v>
      </c>
      <c r="BR2632" s="2" t="s">
        <v>185</v>
      </c>
      <c r="BS2632" s="3">
        <v>40352</v>
      </c>
      <c r="BT2632" s="4">
        <v>0.67326388888888899</v>
      </c>
    </row>
    <row r="2633" spans="1:72" x14ac:dyDescent="0.25">
      <c r="A2633" s="2">
        <v>3822</v>
      </c>
      <c r="B2633" s="2">
        <v>2010</v>
      </c>
      <c r="C2633" s="2" t="s">
        <v>72</v>
      </c>
      <c r="D2633" s="2" t="s">
        <v>73</v>
      </c>
      <c r="E2633" s="2"/>
      <c r="F2633" s="2">
        <v>389</v>
      </c>
      <c r="G2633" s="2" t="s">
        <v>1819</v>
      </c>
      <c r="H2633" s="2">
        <v>2</v>
      </c>
      <c r="I2633" s="2" t="s">
        <v>267</v>
      </c>
      <c r="J2633" s="2">
        <v>399</v>
      </c>
      <c r="K2633" s="2" t="s">
        <v>1820</v>
      </c>
      <c r="L2633" s="2" t="s">
        <v>1821</v>
      </c>
      <c r="M2633" s="3">
        <v>40352</v>
      </c>
      <c r="N2633" s="2" t="s">
        <v>5653</v>
      </c>
      <c r="O2633" s="2" t="s">
        <v>107</v>
      </c>
      <c r="P2633" s="2" t="s">
        <v>107</v>
      </c>
      <c r="Q2633" s="2" t="str">
        <f>"336-E/10"</f>
        <v>336-E/10</v>
      </c>
      <c r="R2633" s="2" t="s">
        <v>116</v>
      </c>
      <c r="S2633" s="2" t="s">
        <v>116</v>
      </c>
      <c r="T2633" s="2">
        <v>1</v>
      </c>
      <c r="U2633" s="2" t="s">
        <v>79</v>
      </c>
      <c r="V2633" s="2">
        <v>1</v>
      </c>
      <c r="W2633" s="2" t="s">
        <v>80</v>
      </c>
      <c r="X2633" s="2">
        <v>12</v>
      </c>
      <c r="Y2633" s="2" t="s">
        <v>148</v>
      </c>
      <c r="Z2633" s="2">
        <v>1</v>
      </c>
      <c r="AA2633" s="2" t="s">
        <v>82</v>
      </c>
      <c r="AB2633" s="2">
        <v>6</v>
      </c>
      <c r="AC2633" s="2" t="s">
        <v>83</v>
      </c>
      <c r="AD2633" s="3">
        <v>40349</v>
      </c>
      <c r="AE2633" s="2"/>
      <c r="AF2633" s="3">
        <v>40352</v>
      </c>
      <c r="AG2633" s="4">
        <v>0.47916666666666669</v>
      </c>
      <c r="AH2633" s="2">
        <v>2</v>
      </c>
      <c r="AI2633" s="2" t="s">
        <v>84</v>
      </c>
      <c r="AJ2633" s="2">
        <v>9</v>
      </c>
      <c r="AK2633" s="2" t="s">
        <v>103</v>
      </c>
      <c r="AL2633" s="2">
        <v>15</v>
      </c>
      <c r="AM2633" s="2" t="s">
        <v>104</v>
      </c>
      <c r="AN2633" s="2" t="s">
        <v>8794</v>
      </c>
      <c r="AO2633" s="2" t="s">
        <v>8795</v>
      </c>
      <c r="AP2633" s="2">
        <v>11</v>
      </c>
      <c r="AQ2633" s="2" t="s">
        <v>82</v>
      </c>
      <c r="AR2633" s="2"/>
      <c r="AS2633" s="2"/>
      <c r="AT2633" s="2" t="s">
        <v>8796</v>
      </c>
      <c r="AU2633" s="2"/>
      <c r="AV2633" s="2"/>
      <c r="AW2633" s="2"/>
      <c r="AX2633" s="2"/>
      <c r="AY2633" s="2">
        <v>41</v>
      </c>
      <c r="AZ2633" s="2" t="s">
        <v>82</v>
      </c>
      <c r="BA2633" s="2">
        <v>41</v>
      </c>
      <c r="BB2633" s="2" t="s">
        <v>82</v>
      </c>
      <c r="BC2633" s="2">
        <v>41</v>
      </c>
      <c r="BD2633" s="2" t="s">
        <v>82</v>
      </c>
      <c r="BE2633" s="2">
        <v>41</v>
      </c>
      <c r="BF2633" s="2" t="s">
        <v>82</v>
      </c>
      <c r="BG2633" s="2"/>
      <c r="BH2633" s="2"/>
      <c r="BI2633" s="2"/>
      <c r="BJ2633" s="2">
        <v>241</v>
      </c>
      <c r="BK2633" s="2" t="s">
        <v>82</v>
      </c>
      <c r="BL2633" s="2"/>
      <c r="BM2633" s="2">
        <v>241</v>
      </c>
      <c r="BN2633" s="2" t="s">
        <v>82</v>
      </c>
      <c r="BO2633" s="2"/>
      <c r="BP2633" s="2">
        <v>241</v>
      </c>
      <c r="BQ2633" s="2" t="s">
        <v>82</v>
      </c>
      <c r="BR2633" s="2"/>
      <c r="BS2633" s="3">
        <v>40352</v>
      </c>
      <c r="BT2633" s="4">
        <v>0.71305555555555555</v>
      </c>
    </row>
    <row r="2634" spans="1:72" x14ac:dyDescent="0.25">
      <c r="A2634" s="2">
        <v>3823</v>
      </c>
      <c r="B2634" s="2">
        <v>2010</v>
      </c>
      <c r="C2634" s="2" t="s">
        <v>121</v>
      </c>
      <c r="D2634" s="2" t="s">
        <v>122</v>
      </c>
      <c r="E2634" s="2"/>
      <c r="F2634" s="2">
        <v>1</v>
      </c>
      <c r="G2634" s="2" t="s">
        <v>82</v>
      </c>
      <c r="H2634" s="2">
        <v>1</v>
      </c>
      <c r="I2634" s="2" t="s">
        <v>82</v>
      </c>
      <c r="J2634" s="2">
        <v>1</v>
      </c>
      <c r="K2634" s="2" t="s">
        <v>107</v>
      </c>
      <c r="L2634" s="2" t="s">
        <v>107</v>
      </c>
      <c r="M2634" s="3">
        <v>40352</v>
      </c>
      <c r="N2634" s="2"/>
      <c r="O2634" s="2"/>
      <c r="P2634" s="2"/>
      <c r="Q2634" s="2" t="str">
        <f>""</f>
        <v/>
      </c>
      <c r="R2634" s="2"/>
      <c r="S2634" s="2"/>
      <c r="T2634" s="2">
        <v>2</v>
      </c>
      <c r="U2634" s="2" t="s">
        <v>123</v>
      </c>
      <c r="V2634" s="2">
        <v>1</v>
      </c>
      <c r="W2634" s="2" t="s">
        <v>80</v>
      </c>
      <c r="X2634" s="2">
        <v>5</v>
      </c>
      <c r="Y2634" s="2" t="s">
        <v>82</v>
      </c>
      <c r="Z2634" s="2">
        <v>1</v>
      </c>
      <c r="AA2634" s="2" t="s">
        <v>82</v>
      </c>
      <c r="AB2634" s="2">
        <v>9</v>
      </c>
      <c r="AC2634" s="2" t="s">
        <v>124</v>
      </c>
      <c r="AD2634" s="3">
        <v>40352</v>
      </c>
      <c r="AE2634" s="4">
        <v>0.55555555555555558</v>
      </c>
      <c r="AF2634" s="2"/>
      <c r="AG2634" s="2"/>
      <c r="AH2634" s="2">
        <v>4</v>
      </c>
      <c r="AI2634" s="2" t="s">
        <v>125</v>
      </c>
      <c r="AJ2634" s="2">
        <v>28</v>
      </c>
      <c r="AK2634" s="2" t="s">
        <v>741</v>
      </c>
      <c r="AL2634" s="2">
        <v>10</v>
      </c>
      <c r="AM2634" s="2" t="s">
        <v>200</v>
      </c>
      <c r="AN2634" s="2" t="s">
        <v>8797</v>
      </c>
      <c r="AO2634" s="2" t="s">
        <v>200</v>
      </c>
      <c r="AP2634" s="2">
        <v>11</v>
      </c>
      <c r="AQ2634" s="2" t="s">
        <v>82</v>
      </c>
      <c r="AR2634" s="2"/>
      <c r="AS2634" s="2"/>
      <c r="AT2634" s="2" t="s">
        <v>8798</v>
      </c>
      <c r="AU2634" s="2"/>
      <c r="AV2634" s="2"/>
      <c r="AW2634" s="2"/>
      <c r="AX2634" s="2"/>
      <c r="AY2634" s="2">
        <v>1</v>
      </c>
      <c r="AZ2634" s="2" t="s">
        <v>107</v>
      </c>
      <c r="BA2634" s="2">
        <v>1</v>
      </c>
      <c r="BB2634" s="2" t="s">
        <v>107</v>
      </c>
      <c r="BC2634" s="2">
        <v>1</v>
      </c>
      <c r="BD2634" s="2" t="s">
        <v>107</v>
      </c>
      <c r="BE2634" s="2">
        <v>42</v>
      </c>
      <c r="BF2634" s="2" t="s">
        <v>182</v>
      </c>
      <c r="BG2634" s="2" t="s">
        <v>8799</v>
      </c>
      <c r="BH2634" s="4">
        <v>0.59722222222222221</v>
      </c>
      <c r="BI2634" s="4">
        <v>0.64583333333333337</v>
      </c>
      <c r="BJ2634" s="2">
        <v>13</v>
      </c>
      <c r="BK2634" s="2" t="s">
        <v>91</v>
      </c>
      <c r="BL2634" s="2" t="s">
        <v>5180</v>
      </c>
      <c r="BM2634" s="2">
        <v>13</v>
      </c>
      <c r="BN2634" s="2" t="s">
        <v>91</v>
      </c>
      <c r="BO2634" s="2" t="s">
        <v>744</v>
      </c>
      <c r="BP2634" s="2">
        <v>13</v>
      </c>
      <c r="BQ2634" s="2" t="s">
        <v>91</v>
      </c>
      <c r="BR2634" s="2" t="s">
        <v>5180</v>
      </c>
      <c r="BS2634" s="3">
        <v>40352</v>
      </c>
      <c r="BT2634" s="4">
        <v>0.71740740740740738</v>
      </c>
    </row>
    <row r="2635" spans="1:72" x14ac:dyDescent="0.25">
      <c r="A2635" s="2">
        <v>3824</v>
      </c>
      <c r="B2635" s="2">
        <v>2010</v>
      </c>
      <c r="C2635" s="2" t="s">
        <v>93</v>
      </c>
      <c r="D2635" s="2" t="s">
        <v>122</v>
      </c>
      <c r="E2635" s="2" t="s">
        <v>8757</v>
      </c>
      <c r="F2635" s="2">
        <v>389</v>
      </c>
      <c r="G2635" s="2" t="s">
        <v>1819</v>
      </c>
      <c r="H2635" s="2">
        <v>2</v>
      </c>
      <c r="I2635" s="2" t="s">
        <v>267</v>
      </c>
      <c r="J2635" s="2">
        <v>399</v>
      </c>
      <c r="K2635" s="2" t="s">
        <v>1820</v>
      </c>
      <c r="L2635" s="2" t="s">
        <v>1821</v>
      </c>
      <c r="M2635" s="3">
        <v>40352</v>
      </c>
      <c r="N2635" s="2" t="s">
        <v>5653</v>
      </c>
      <c r="O2635" s="2" t="s">
        <v>3762</v>
      </c>
      <c r="P2635" s="2" t="s">
        <v>8685</v>
      </c>
      <c r="Q2635" s="2" t="str">
        <f>"N/C"</f>
        <v>N/C</v>
      </c>
      <c r="R2635" s="2" t="s">
        <v>100</v>
      </c>
      <c r="S2635" s="2" t="s">
        <v>100</v>
      </c>
      <c r="T2635" s="2">
        <v>1</v>
      </c>
      <c r="U2635" s="2" t="s">
        <v>79</v>
      </c>
      <c r="V2635" s="2">
        <v>1</v>
      </c>
      <c r="W2635" s="2" t="s">
        <v>80</v>
      </c>
      <c r="X2635" s="2">
        <v>10</v>
      </c>
      <c r="Y2635" s="2" t="s">
        <v>226</v>
      </c>
      <c r="Z2635" s="2">
        <v>6</v>
      </c>
      <c r="AA2635" s="2" t="s">
        <v>101</v>
      </c>
      <c r="AB2635" s="2">
        <v>2</v>
      </c>
      <c r="AC2635" s="2" t="s">
        <v>102</v>
      </c>
      <c r="AD2635" s="3">
        <v>40349</v>
      </c>
      <c r="AE2635" s="4">
        <v>0.875</v>
      </c>
      <c r="AF2635" s="2"/>
      <c r="AG2635" s="2"/>
      <c r="AH2635" s="2">
        <v>2</v>
      </c>
      <c r="AI2635" s="2" t="s">
        <v>84</v>
      </c>
      <c r="AJ2635" s="2">
        <v>9</v>
      </c>
      <c r="AK2635" s="2" t="s">
        <v>103</v>
      </c>
      <c r="AL2635" s="2">
        <v>15</v>
      </c>
      <c r="AM2635" s="2" t="s">
        <v>104</v>
      </c>
      <c r="AN2635" s="2"/>
      <c r="AO2635" s="2" t="s">
        <v>8686</v>
      </c>
      <c r="AP2635" s="2">
        <v>11</v>
      </c>
      <c r="AQ2635" s="2" t="s">
        <v>82</v>
      </c>
      <c r="AR2635" s="2"/>
      <c r="AS2635" s="2"/>
      <c r="AT2635" s="2" t="s">
        <v>8800</v>
      </c>
      <c r="AU2635" s="2">
        <v>1</v>
      </c>
      <c r="AV2635" s="2"/>
      <c r="AW2635" s="2"/>
      <c r="AX2635" s="2"/>
      <c r="AY2635" s="2">
        <v>42</v>
      </c>
      <c r="AZ2635" s="2" t="s">
        <v>182</v>
      </c>
      <c r="BA2635" s="2">
        <v>115</v>
      </c>
      <c r="BB2635" s="2" t="s">
        <v>101</v>
      </c>
      <c r="BC2635" s="2">
        <v>70</v>
      </c>
      <c r="BD2635" s="2" t="s">
        <v>236</v>
      </c>
      <c r="BE2635" s="2">
        <v>13</v>
      </c>
      <c r="BF2635" s="2" t="s">
        <v>108</v>
      </c>
      <c r="BG2635" s="2" t="s">
        <v>1994</v>
      </c>
      <c r="BH2635" s="4">
        <v>0</v>
      </c>
      <c r="BI2635" s="4">
        <v>0.93055555555555547</v>
      </c>
      <c r="BJ2635" s="2">
        <v>13</v>
      </c>
      <c r="BK2635" s="2" t="s">
        <v>91</v>
      </c>
      <c r="BL2635" s="2" t="s">
        <v>1801</v>
      </c>
      <c r="BM2635" s="2">
        <v>241</v>
      </c>
      <c r="BN2635" s="2" t="s">
        <v>82</v>
      </c>
      <c r="BO2635" s="2"/>
      <c r="BP2635" s="2">
        <v>173</v>
      </c>
      <c r="BQ2635" s="2" t="s">
        <v>223</v>
      </c>
      <c r="BR2635" s="2" t="s">
        <v>224</v>
      </c>
      <c r="BS2635" s="3">
        <v>40352</v>
      </c>
      <c r="BT2635" s="4">
        <v>0.7259606481481482</v>
      </c>
    </row>
    <row r="2636" spans="1:72" x14ac:dyDescent="0.25">
      <c r="A2636" s="2">
        <v>3826</v>
      </c>
      <c r="B2636" s="2">
        <v>2010</v>
      </c>
      <c r="C2636" s="2" t="s">
        <v>4543</v>
      </c>
      <c r="D2636" s="2" t="s">
        <v>122</v>
      </c>
      <c r="E2636" s="2"/>
      <c r="F2636" s="2">
        <v>1</v>
      </c>
      <c r="G2636" s="2" t="s">
        <v>82</v>
      </c>
      <c r="H2636" s="2">
        <v>1</v>
      </c>
      <c r="I2636" s="2" t="s">
        <v>82</v>
      </c>
      <c r="J2636" s="2">
        <v>1</v>
      </c>
      <c r="K2636" s="2" t="s">
        <v>107</v>
      </c>
      <c r="L2636" s="2" t="s">
        <v>107</v>
      </c>
      <c r="M2636" s="3">
        <v>40352</v>
      </c>
      <c r="N2636" s="2"/>
      <c r="O2636" s="2"/>
      <c r="P2636" s="2"/>
      <c r="Q2636" s="2" t="str">
        <f>""</f>
        <v/>
      </c>
      <c r="R2636" s="2"/>
      <c r="S2636" s="2"/>
      <c r="T2636" s="2">
        <v>2</v>
      </c>
      <c r="U2636" s="2" t="s">
        <v>123</v>
      </c>
      <c r="V2636" s="2">
        <v>1</v>
      </c>
      <c r="W2636" s="2" t="s">
        <v>80</v>
      </c>
      <c r="X2636" s="2">
        <v>11</v>
      </c>
      <c r="Y2636" s="2" t="s">
        <v>1920</v>
      </c>
      <c r="Z2636" s="2">
        <v>1</v>
      </c>
      <c r="AA2636" s="2" t="s">
        <v>82</v>
      </c>
      <c r="AB2636" s="2">
        <v>9</v>
      </c>
      <c r="AC2636" s="2" t="s">
        <v>124</v>
      </c>
      <c r="AD2636" s="2"/>
      <c r="AE2636" s="2"/>
      <c r="AF2636" s="2"/>
      <c r="AG2636" s="2"/>
      <c r="AH2636" s="2">
        <v>2</v>
      </c>
      <c r="AI2636" s="2" t="s">
        <v>84</v>
      </c>
      <c r="AJ2636" s="2">
        <v>9</v>
      </c>
      <c r="AK2636" s="2" t="s">
        <v>103</v>
      </c>
      <c r="AL2636" s="2">
        <v>12</v>
      </c>
      <c r="AM2636" s="2" t="s">
        <v>86</v>
      </c>
      <c r="AN2636" s="2"/>
      <c r="AO2636" s="2" t="s">
        <v>8801</v>
      </c>
      <c r="AP2636" s="2">
        <v>11</v>
      </c>
      <c r="AQ2636" s="2" t="s">
        <v>82</v>
      </c>
      <c r="AR2636" s="2"/>
      <c r="AS2636" s="2"/>
      <c r="AT2636" s="2" t="s">
        <v>8802</v>
      </c>
      <c r="AU2636" s="2"/>
      <c r="AV2636" s="2"/>
      <c r="AW2636" s="2"/>
      <c r="AX2636" s="2"/>
      <c r="AY2636" s="2">
        <v>41</v>
      </c>
      <c r="AZ2636" s="2" t="s">
        <v>82</v>
      </c>
      <c r="BA2636" s="2">
        <v>41</v>
      </c>
      <c r="BB2636" s="2" t="s">
        <v>82</v>
      </c>
      <c r="BC2636" s="2">
        <v>41</v>
      </c>
      <c r="BD2636" s="2" t="s">
        <v>82</v>
      </c>
      <c r="BE2636" s="2">
        <v>33</v>
      </c>
      <c r="BF2636" s="2" t="s">
        <v>1083</v>
      </c>
      <c r="BG2636" s="2" t="s">
        <v>3495</v>
      </c>
      <c r="BH2636" s="4">
        <v>0.67708333333333337</v>
      </c>
      <c r="BI2636" s="2"/>
      <c r="BJ2636" s="2">
        <v>205</v>
      </c>
      <c r="BK2636" s="2" t="s">
        <v>1085</v>
      </c>
      <c r="BL2636" s="2" t="s">
        <v>1086</v>
      </c>
      <c r="BM2636" s="2">
        <v>241</v>
      </c>
      <c r="BN2636" s="2" t="s">
        <v>82</v>
      </c>
      <c r="BO2636" s="2"/>
      <c r="BP2636" s="2">
        <v>13</v>
      </c>
      <c r="BQ2636" s="2" t="s">
        <v>91</v>
      </c>
      <c r="BR2636" s="2" t="s">
        <v>8803</v>
      </c>
      <c r="BS2636" s="3">
        <v>40352</v>
      </c>
      <c r="BT2636" s="4">
        <v>0.80665509259259249</v>
      </c>
    </row>
    <row r="2637" spans="1:72" x14ac:dyDescent="0.25">
      <c r="A2637" s="2">
        <v>3827</v>
      </c>
      <c r="B2637" s="2">
        <v>2010</v>
      </c>
      <c r="C2637" s="2" t="s">
        <v>2754</v>
      </c>
      <c r="D2637" s="2" t="s">
        <v>73</v>
      </c>
      <c r="E2637" s="2"/>
      <c r="F2637" s="2">
        <v>11</v>
      </c>
      <c r="G2637" s="2" t="s">
        <v>2454</v>
      </c>
      <c r="H2637" s="2">
        <v>4</v>
      </c>
      <c r="I2637" s="2" t="s">
        <v>173</v>
      </c>
      <c r="J2637" s="2">
        <v>19</v>
      </c>
      <c r="K2637" s="2" t="s">
        <v>2144</v>
      </c>
      <c r="L2637" s="2" t="s">
        <v>2145</v>
      </c>
      <c r="M2637" s="3">
        <v>40352</v>
      </c>
      <c r="N2637" s="2" t="s">
        <v>2455</v>
      </c>
      <c r="O2637" s="2" t="s">
        <v>107</v>
      </c>
      <c r="P2637" s="2" t="s">
        <v>107</v>
      </c>
      <c r="Q2637" s="2" t="str">
        <f>"36-10"</f>
        <v>36-10</v>
      </c>
      <c r="R2637" s="2" t="s">
        <v>107</v>
      </c>
      <c r="S2637" s="2" t="s">
        <v>8804</v>
      </c>
      <c r="T2637" s="2">
        <v>1</v>
      </c>
      <c r="U2637" s="2" t="s">
        <v>79</v>
      </c>
      <c r="V2637" s="2">
        <v>1</v>
      </c>
      <c r="W2637" s="2" t="s">
        <v>80</v>
      </c>
      <c r="X2637" s="2">
        <v>1</v>
      </c>
      <c r="Y2637" s="2" t="s">
        <v>81</v>
      </c>
      <c r="Z2637" s="2">
        <v>1</v>
      </c>
      <c r="AA2637" s="2" t="s">
        <v>82</v>
      </c>
      <c r="AB2637" s="2">
        <v>8</v>
      </c>
      <c r="AC2637" s="2" t="s">
        <v>2760</v>
      </c>
      <c r="AD2637" s="3">
        <v>40351</v>
      </c>
      <c r="AE2637" s="4">
        <v>0.70833333333333337</v>
      </c>
      <c r="AF2637" s="2"/>
      <c r="AG2637" s="2"/>
      <c r="AH2637" s="2">
        <v>3</v>
      </c>
      <c r="AI2637" s="2" t="s">
        <v>214</v>
      </c>
      <c r="AJ2637" s="2">
        <v>24</v>
      </c>
      <c r="AK2637" s="2" t="s">
        <v>215</v>
      </c>
      <c r="AL2637" s="2">
        <v>22</v>
      </c>
      <c r="AM2637" s="2" t="s">
        <v>1853</v>
      </c>
      <c r="AN2637" s="2" t="s">
        <v>3835</v>
      </c>
      <c r="AO2637" s="2" t="s">
        <v>107</v>
      </c>
      <c r="AP2637" s="2">
        <v>11</v>
      </c>
      <c r="AQ2637" s="2" t="s">
        <v>82</v>
      </c>
      <c r="AR2637" s="2"/>
      <c r="AS2637" s="2"/>
      <c r="AT2637" s="2" t="s">
        <v>8805</v>
      </c>
      <c r="AU2637" s="2"/>
      <c r="AV2637" s="2"/>
      <c r="AW2637" s="2"/>
      <c r="AX2637" s="2"/>
      <c r="AY2637" s="2">
        <v>42</v>
      </c>
      <c r="AZ2637" s="2" t="s">
        <v>182</v>
      </c>
      <c r="BA2637" s="2">
        <v>42</v>
      </c>
      <c r="BB2637" s="2" t="s">
        <v>182</v>
      </c>
      <c r="BC2637" s="2">
        <v>41</v>
      </c>
      <c r="BD2637" s="2" t="s">
        <v>82</v>
      </c>
      <c r="BE2637" s="2">
        <v>17</v>
      </c>
      <c r="BF2637" s="2" t="s">
        <v>508</v>
      </c>
      <c r="BG2637" s="2">
        <v>943</v>
      </c>
      <c r="BH2637" s="4">
        <v>0.66666666666666663</v>
      </c>
      <c r="BI2637" s="4">
        <v>0.72916666666666663</v>
      </c>
      <c r="BJ2637" s="2">
        <v>13</v>
      </c>
      <c r="BK2637" s="2" t="s">
        <v>91</v>
      </c>
      <c r="BL2637" s="2" t="s">
        <v>169</v>
      </c>
      <c r="BM2637" s="2">
        <v>241</v>
      </c>
      <c r="BN2637" s="2" t="s">
        <v>82</v>
      </c>
      <c r="BO2637" s="2"/>
      <c r="BP2637" s="2">
        <v>46</v>
      </c>
      <c r="BQ2637" s="2" t="s">
        <v>307</v>
      </c>
      <c r="BR2637" s="2" t="s">
        <v>308</v>
      </c>
      <c r="BS2637" s="3">
        <v>40352</v>
      </c>
      <c r="BT2637" s="4">
        <v>0.81001157407407398</v>
      </c>
    </row>
    <row r="2638" spans="1:72" x14ac:dyDescent="0.25">
      <c r="A2638" s="2">
        <v>3828</v>
      </c>
      <c r="B2638" s="2">
        <v>2010</v>
      </c>
      <c r="C2638" s="2" t="s">
        <v>93</v>
      </c>
      <c r="D2638" s="2" t="s">
        <v>73</v>
      </c>
      <c r="E2638" s="2"/>
      <c r="F2638" s="2">
        <v>131</v>
      </c>
      <c r="G2638" s="2" t="s">
        <v>8806</v>
      </c>
      <c r="H2638" s="2">
        <v>108</v>
      </c>
      <c r="I2638" s="2" t="s">
        <v>1096</v>
      </c>
      <c r="J2638" s="2">
        <v>140</v>
      </c>
      <c r="K2638" s="2" t="s">
        <v>864</v>
      </c>
      <c r="L2638" s="2" t="s">
        <v>865</v>
      </c>
      <c r="M2638" s="3">
        <v>40352</v>
      </c>
      <c r="N2638" s="2" t="s">
        <v>8807</v>
      </c>
      <c r="O2638" s="2" t="s">
        <v>8808</v>
      </c>
      <c r="P2638" s="2" t="s">
        <v>8809</v>
      </c>
      <c r="Q2638" s="2" t="str">
        <f>"AP_0024_10"</f>
        <v>AP_0024_10</v>
      </c>
      <c r="R2638" s="2" t="s">
        <v>8810</v>
      </c>
      <c r="S2638" s="2" t="s">
        <v>82</v>
      </c>
      <c r="T2638" s="2">
        <v>1</v>
      </c>
      <c r="U2638" s="2" t="s">
        <v>79</v>
      </c>
      <c r="V2638" s="2">
        <v>1</v>
      </c>
      <c r="W2638" s="2" t="s">
        <v>80</v>
      </c>
      <c r="X2638" s="2">
        <v>1</v>
      </c>
      <c r="Y2638" s="2" t="s">
        <v>81</v>
      </c>
      <c r="Z2638" s="2">
        <v>1</v>
      </c>
      <c r="AA2638" s="2" t="s">
        <v>82</v>
      </c>
      <c r="AB2638" s="2">
        <v>2</v>
      </c>
      <c r="AC2638" s="2" t="s">
        <v>102</v>
      </c>
      <c r="AD2638" s="3">
        <v>40352</v>
      </c>
      <c r="AE2638" s="4">
        <v>0.77083333333333337</v>
      </c>
      <c r="AF2638" s="2"/>
      <c r="AG2638" s="2"/>
      <c r="AH2638" s="2">
        <v>6</v>
      </c>
      <c r="AI2638" s="2" t="s">
        <v>197</v>
      </c>
      <c r="AJ2638" s="2">
        <v>61</v>
      </c>
      <c r="AK2638" s="2" t="s">
        <v>686</v>
      </c>
      <c r="AL2638" s="2">
        <v>11</v>
      </c>
      <c r="AM2638" s="2" t="s">
        <v>137</v>
      </c>
      <c r="AN2638" s="2" t="s">
        <v>82</v>
      </c>
      <c r="AO2638" s="2" t="s">
        <v>2949</v>
      </c>
      <c r="AP2638" s="2">
        <v>11</v>
      </c>
      <c r="AQ2638" s="2" t="s">
        <v>82</v>
      </c>
      <c r="AR2638" s="2" t="s">
        <v>82</v>
      </c>
      <c r="AS2638" s="2" t="s">
        <v>82</v>
      </c>
      <c r="AT2638" s="2" t="s">
        <v>8811</v>
      </c>
      <c r="AU2638" s="2"/>
      <c r="AV2638" s="2"/>
      <c r="AW2638" s="2"/>
      <c r="AX2638" s="2"/>
      <c r="AY2638" s="2">
        <v>41</v>
      </c>
      <c r="AZ2638" s="2" t="s">
        <v>82</v>
      </c>
      <c r="BA2638" s="2">
        <v>41</v>
      </c>
      <c r="BB2638" s="2" t="s">
        <v>82</v>
      </c>
      <c r="BC2638" s="2">
        <v>41</v>
      </c>
      <c r="BD2638" s="2" t="s">
        <v>82</v>
      </c>
      <c r="BE2638" s="2">
        <v>47</v>
      </c>
      <c r="BF2638" s="2" t="s">
        <v>167</v>
      </c>
      <c r="BG2638" s="2" t="s">
        <v>2951</v>
      </c>
      <c r="BH2638" s="2"/>
      <c r="BI2638" s="4">
        <v>0.79999999999999993</v>
      </c>
      <c r="BJ2638" s="2">
        <v>13</v>
      </c>
      <c r="BK2638" s="2" t="s">
        <v>91</v>
      </c>
      <c r="BL2638" s="2" t="s">
        <v>690</v>
      </c>
      <c r="BM2638" s="2">
        <v>241</v>
      </c>
      <c r="BN2638" s="2" t="s">
        <v>82</v>
      </c>
      <c r="BO2638" s="2" t="s">
        <v>82</v>
      </c>
      <c r="BP2638" s="2">
        <v>13</v>
      </c>
      <c r="BQ2638" s="2" t="s">
        <v>91</v>
      </c>
      <c r="BR2638" s="2" t="s">
        <v>185</v>
      </c>
      <c r="BS2638" s="3">
        <v>40352</v>
      </c>
      <c r="BT2638" s="4">
        <v>0.82090277777777787</v>
      </c>
    </row>
    <row r="2639" spans="1:72" x14ac:dyDescent="0.25">
      <c r="A2639" s="2">
        <v>3829</v>
      </c>
      <c r="B2639" s="2">
        <v>2010</v>
      </c>
      <c r="C2639" s="2" t="s">
        <v>377</v>
      </c>
      <c r="D2639" s="2" t="s">
        <v>73</v>
      </c>
      <c r="E2639" s="2"/>
      <c r="F2639" s="2">
        <v>426</v>
      </c>
      <c r="G2639" s="2" t="s">
        <v>378</v>
      </c>
      <c r="H2639" s="2">
        <v>108</v>
      </c>
      <c r="I2639" s="2" t="s">
        <v>1096</v>
      </c>
      <c r="J2639" s="2">
        <v>311</v>
      </c>
      <c r="K2639" s="2" t="s">
        <v>379</v>
      </c>
      <c r="L2639" s="2" t="s">
        <v>380</v>
      </c>
      <c r="M2639" s="3">
        <v>40352</v>
      </c>
      <c r="N2639" s="2" t="s">
        <v>5164</v>
      </c>
      <c r="O2639" s="2"/>
      <c r="P2639" s="2"/>
      <c r="Q2639" s="2" t="str">
        <f>"136-C/10"</f>
        <v>136-C/10</v>
      </c>
      <c r="R2639" s="2" t="s">
        <v>8812</v>
      </c>
      <c r="S2639" s="2"/>
      <c r="T2639" s="2">
        <v>1</v>
      </c>
      <c r="U2639" s="2" t="s">
        <v>79</v>
      </c>
      <c r="V2639" s="2">
        <v>1</v>
      </c>
      <c r="W2639" s="2" t="s">
        <v>80</v>
      </c>
      <c r="X2639" s="2">
        <v>1</v>
      </c>
      <c r="Y2639" s="2" t="s">
        <v>81</v>
      </c>
      <c r="Z2639" s="2">
        <v>1</v>
      </c>
      <c r="AA2639" s="2" t="s">
        <v>82</v>
      </c>
      <c r="AB2639" s="2">
        <v>9</v>
      </c>
      <c r="AC2639" s="2" t="s">
        <v>124</v>
      </c>
      <c r="AD2639" s="3">
        <v>40352</v>
      </c>
      <c r="AE2639" s="4">
        <v>0.4861111111111111</v>
      </c>
      <c r="AF2639" s="2"/>
      <c r="AG2639" s="2"/>
      <c r="AH2639" s="2">
        <v>2</v>
      </c>
      <c r="AI2639" s="2" t="s">
        <v>84</v>
      </c>
      <c r="AJ2639" s="2">
        <v>9</v>
      </c>
      <c r="AK2639" s="2" t="s">
        <v>103</v>
      </c>
      <c r="AL2639" s="2">
        <v>12</v>
      </c>
      <c r="AM2639" s="2" t="s">
        <v>86</v>
      </c>
      <c r="AN2639" s="2"/>
      <c r="AO2639" s="2" t="s">
        <v>2887</v>
      </c>
      <c r="AP2639" s="2">
        <v>11</v>
      </c>
      <c r="AQ2639" s="2" t="s">
        <v>82</v>
      </c>
      <c r="AR2639" s="2"/>
      <c r="AS2639" s="2"/>
      <c r="AT2639" s="2" t="s">
        <v>8813</v>
      </c>
      <c r="AU2639" s="2"/>
      <c r="AV2639" s="2"/>
      <c r="AW2639" s="2"/>
      <c r="AX2639" s="2"/>
      <c r="AY2639" s="2">
        <v>41</v>
      </c>
      <c r="AZ2639" s="2" t="s">
        <v>82</v>
      </c>
      <c r="BA2639" s="2">
        <v>41</v>
      </c>
      <c r="BB2639" s="2" t="s">
        <v>82</v>
      </c>
      <c r="BC2639" s="2">
        <v>41</v>
      </c>
      <c r="BD2639" s="2" t="s">
        <v>82</v>
      </c>
      <c r="BE2639" s="2">
        <v>41</v>
      </c>
      <c r="BF2639" s="2" t="s">
        <v>82</v>
      </c>
      <c r="BG2639" s="2"/>
      <c r="BH2639" s="2"/>
      <c r="BI2639" s="2"/>
      <c r="BJ2639" s="2">
        <v>241</v>
      </c>
      <c r="BK2639" s="2" t="s">
        <v>82</v>
      </c>
      <c r="BL2639" s="2"/>
      <c r="BM2639" s="2">
        <v>241</v>
      </c>
      <c r="BN2639" s="2" t="s">
        <v>82</v>
      </c>
      <c r="BO2639" s="2"/>
      <c r="BP2639" s="2">
        <v>241</v>
      </c>
      <c r="BQ2639" s="2" t="s">
        <v>82</v>
      </c>
      <c r="BR2639" s="2"/>
      <c r="BS2639" s="3">
        <v>40352</v>
      </c>
      <c r="BT2639" s="4">
        <v>0.88962962962962966</v>
      </c>
    </row>
    <row r="2640" spans="1:72" x14ac:dyDescent="0.25">
      <c r="A2640" s="2">
        <v>3830</v>
      </c>
      <c r="B2640" s="2">
        <v>2010</v>
      </c>
      <c r="C2640" s="2" t="s">
        <v>377</v>
      </c>
      <c r="D2640" s="2" t="s">
        <v>73</v>
      </c>
      <c r="E2640" s="2"/>
      <c r="F2640" s="2">
        <v>426</v>
      </c>
      <c r="G2640" s="2" t="s">
        <v>378</v>
      </c>
      <c r="H2640" s="2">
        <v>108</v>
      </c>
      <c r="I2640" s="2" t="s">
        <v>1096</v>
      </c>
      <c r="J2640" s="2">
        <v>311</v>
      </c>
      <c r="K2640" s="2" t="s">
        <v>379</v>
      </c>
      <c r="L2640" s="2" t="s">
        <v>380</v>
      </c>
      <c r="M2640" s="3">
        <v>40352</v>
      </c>
      <c r="N2640" s="2" t="s">
        <v>5164</v>
      </c>
      <c r="O2640" s="2"/>
      <c r="P2640" s="2"/>
      <c r="Q2640" s="2" t="str">
        <f>"137-C/10"</f>
        <v>137-C/10</v>
      </c>
      <c r="R2640" s="2" t="s">
        <v>8278</v>
      </c>
      <c r="S2640" s="2"/>
      <c r="T2640" s="2">
        <v>1</v>
      </c>
      <c r="U2640" s="2" t="s">
        <v>79</v>
      </c>
      <c r="V2640" s="2">
        <v>1</v>
      </c>
      <c r="W2640" s="2" t="s">
        <v>80</v>
      </c>
      <c r="X2640" s="2">
        <v>1</v>
      </c>
      <c r="Y2640" s="2" t="s">
        <v>81</v>
      </c>
      <c r="Z2640" s="2">
        <v>1</v>
      </c>
      <c r="AA2640" s="2" t="s">
        <v>82</v>
      </c>
      <c r="AB2640" s="2">
        <v>9</v>
      </c>
      <c r="AC2640" s="2" t="s">
        <v>124</v>
      </c>
      <c r="AD2640" s="3">
        <v>40352</v>
      </c>
      <c r="AE2640" s="4">
        <v>0.4861111111111111</v>
      </c>
      <c r="AF2640" s="2"/>
      <c r="AG2640" s="2"/>
      <c r="AH2640" s="2">
        <v>2</v>
      </c>
      <c r="AI2640" s="2" t="s">
        <v>84</v>
      </c>
      <c r="AJ2640" s="2">
        <v>9</v>
      </c>
      <c r="AK2640" s="2" t="s">
        <v>103</v>
      </c>
      <c r="AL2640" s="2">
        <v>12</v>
      </c>
      <c r="AM2640" s="2" t="s">
        <v>86</v>
      </c>
      <c r="AN2640" s="2"/>
      <c r="AO2640" s="2" t="s">
        <v>2887</v>
      </c>
      <c r="AP2640" s="2">
        <v>11</v>
      </c>
      <c r="AQ2640" s="2" t="s">
        <v>82</v>
      </c>
      <c r="AR2640" s="2"/>
      <c r="AS2640" s="2"/>
      <c r="AT2640" s="2" t="s">
        <v>8813</v>
      </c>
      <c r="AU2640" s="2"/>
      <c r="AV2640" s="2"/>
      <c r="AW2640" s="2"/>
      <c r="AX2640" s="2"/>
      <c r="AY2640" s="2">
        <v>41</v>
      </c>
      <c r="AZ2640" s="2" t="s">
        <v>82</v>
      </c>
      <c r="BA2640" s="2">
        <v>41</v>
      </c>
      <c r="BB2640" s="2" t="s">
        <v>82</v>
      </c>
      <c r="BC2640" s="2">
        <v>41</v>
      </c>
      <c r="BD2640" s="2" t="s">
        <v>82</v>
      </c>
      <c r="BE2640" s="2">
        <v>41</v>
      </c>
      <c r="BF2640" s="2" t="s">
        <v>82</v>
      </c>
      <c r="BG2640" s="2"/>
      <c r="BH2640" s="2"/>
      <c r="BI2640" s="2"/>
      <c r="BJ2640" s="2">
        <v>241</v>
      </c>
      <c r="BK2640" s="2" t="s">
        <v>82</v>
      </c>
      <c r="BL2640" s="2"/>
      <c r="BM2640" s="2">
        <v>241</v>
      </c>
      <c r="BN2640" s="2" t="s">
        <v>82</v>
      </c>
      <c r="BO2640" s="2"/>
      <c r="BP2640" s="2">
        <v>241</v>
      </c>
      <c r="BQ2640" s="2" t="s">
        <v>82</v>
      </c>
      <c r="BR2640" s="2"/>
      <c r="BS2640" s="3">
        <v>40352</v>
      </c>
      <c r="BT2640" s="4">
        <v>0.8979166666666667</v>
      </c>
    </row>
    <row r="2641" spans="1:72" x14ac:dyDescent="0.25">
      <c r="A2641" s="2">
        <v>3831</v>
      </c>
      <c r="B2641" s="2">
        <v>2010</v>
      </c>
      <c r="C2641" s="2" t="s">
        <v>377</v>
      </c>
      <c r="D2641" s="2" t="s">
        <v>73</v>
      </c>
      <c r="E2641" s="2"/>
      <c r="F2641" s="2">
        <v>426</v>
      </c>
      <c r="G2641" s="2" t="s">
        <v>378</v>
      </c>
      <c r="H2641" s="2">
        <v>108</v>
      </c>
      <c r="I2641" s="2" t="s">
        <v>1096</v>
      </c>
      <c r="J2641" s="2">
        <v>311</v>
      </c>
      <c r="K2641" s="2" t="s">
        <v>379</v>
      </c>
      <c r="L2641" s="2" t="s">
        <v>380</v>
      </c>
      <c r="M2641" s="3">
        <v>40352</v>
      </c>
      <c r="N2641" s="2" t="s">
        <v>5164</v>
      </c>
      <c r="O2641" s="2"/>
      <c r="P2641" s="2"/>
      <c r="Q2641" s="2" t="str">
        <f>"138-C/10"</f>
        <v>138-C/10</v>
      </c>
      <c r="R2641" s="2" t="s">
        <v>8278</v>
      </c>
      <c r="S2641" s="2"/>
      <c r="T2641" s="2">
        <v>1</v>
      </c>
      <c r="U2641" s="2" t="s">
        <v>79</v>
      </c>
      <c r="V2641" s="2">
        <v>1</v>
      </c>
      <c r="W2641" s="2" t="s">
        <v>80</v>
      </c>
      <c r="X2641" s="2">
        <v>1</v>
      </c>
      <c r="Y2641" s="2" t="s">
        <v>81</v>
      </c>
      <c r="Z2641" s="2">
        <v>1</v>
      </c>
      <c r="AA2641" s="2" t="s">
        <v>82</v>
      </c>
      <c r="AB2641" s="2">
        <v>9</v>
      </c>
      <c r="AC2641" s="2" t="s">
        <v>124</v>
      </c>
      <c r="AD2641" s="3">
        <v>40352</v>
      </c>
      <c r="AE2641" s="4">
        <v>0.65277777777777779</v>
      </c>
      <c r="AF2641" s="2"/>
      <c r="AG2641" s="2"/>
      <c r="AH2641" s="2">
        <v>2</v>
      </c>
      <c r="AI2641" s="2" t="s">
        <v>84</v>
      </c>
      <c r="AJ2641" s="2">
        <v>9</v>
      </c>
      <c r="AK2641" s="2" t="s">
        <v>103</v>
      </c>
      <c r="AL2641" s="2">
        <v>12</v>
      </c>
      <c r="AM2641" s="2" t="s">
        <v>86</v>
      </c>
      <c r="AN2641" s="2"/>
      <c r="AO2641" s="2" t="s">
        <v>3322</v>
      </c>
      <c r="AP2641" s="2">
        <v>11</v>
      </c>
      <c r="AQ2641" s="2" t="s">
        <v>82</v>
      </c>
      <c r="AR2641" s="2"/>
      <c r="AS2641" s="2"/>
      <c r="AT2641" s="2" t="s">
        <v>8814</v>
      </c>
      <c r="AU2641" s="2"/>
      <c r="AV2641" s="2"/>
      <c r="AW2641" s="2"/>
      <c r="AX2641" s="2"/>
      <c r="AY2641" s="2">
        <v>41</v>
      </c>
      <c r="AZ2641" s="2" t="s">
        <v>82</v>
      </c>
      <c r="BA2641" s="2">
        <v>41</v>
      </c>
      <c r="BB2641" s="2" t="s">
        <v>82</v>
      </c>
      <c r="BC2641" s="2">
        <v>41</v>
      </c>
      <c r="BD2641" s="2" t="s">
        <v>82</v>
      </c>
      <c r="BE2641" s="2">
        <v>41</v>
      </c>
      <c r="BF2641" s="2" t="s">
        <v>82</v>
      </c>
      <c r="BG2641" s="2"/>
      <c r="BH2641" s="2"/>
      <c r="BI2641" s="2"/>
      <c r="BJ2641" s="2">
        <v>241</v>
      </c>
      <c r="BK2641" s="2" t="s">
        <v>82</v>
      </c>
      <c r="BL2641" s="2"/>
      <c r="BM2641" s="2">
        <v>241</v>
      </c>
      <c r="BN2641" s="2" t="s">
        <v>82</v>
      </c>
      <c r="BO2641" s="2"/>
      <c r="BP2641" s="2">
        <v>241</v>
      </c>
      <c r="BQ2641" s="2" t="s">
        <v>82</v>
      </c>
      <c r="BR2641" s="2"/>
      <c r="BS2641" s="3">
        <v>40352</v>
      </c>
      <c r="BT2641" s="4">
        <v>0.90881944444444451</v>
      </c>
    </row>
    <row r="2642" spans="1:72" x14ac:dyDescent="0.25">
      <c r="A2642" s="2">
        <v>3832</v>
      </c>
      <c r="B2642" s="2">
        <v>2010</v>
      </c>
      <c r="C2642" s="2" t="s">
        <v>196</v>
      </c>
      <c r="D2642" s="2" t="s">
        <v>122</v>
      </c>
      <c r="E2642" s="2"/>
      <c r="F2642" s="2">
        <v>1</v>
      </c>
      <c r="G2642" s="2" t="s">
        <v>82</v>
      </c>
      <c r="H2642" s="2">
        <v>1</v>
      </c>
      <c r="I2642" s="2" t="s">
        <v>82</v>
      </c>
      <c r="J2642" s="2">
        <v>1</v>
      </c>
      <c r="K2642" s="2" t="s">
        <v>107</v>
      </c>
      <c r="L2642" s="2" t="s">
        <v>107</v>
      </c>
      <c r="M2642" s="3">
        <v>40353</v>
      </c>
      <c r="N2642" s="2"/>
      <c r="O2642" s="2"/>
      <c r="P2642" s="2"/>
      <c r="Q2642" s="2" t="str">
        <f>""</f>
        <v/>
      </c>
      <c r="R2642" s="2"/>
      <c r="S2642" s="2"/>
      <c r="T2642" s="2">
        <v>2</v>
      </c>
      <c r="U2642" s="2" t="s">
        <v>123</v>
      </c>
      <c r="V2642" s="2">
        <v>1</v>
      </c>
      <c r="W2642" s="2" t="s">
        <v>80</v>
      </c>
      <c r="X2642" s="2">
        <v>11</v>
      </c>
      <c r="Y2642" s="2" t="s">
        <v>1920</v>
      </c>
      <c r="Z2642" s="2">
        <v>10</v>
      </c>
      <c r="AA2642" s="2" t="s">
        <v>236</v>
      </c>
      <c r="AB2642" s="2">
        <v>9</v>
      </c>
      <c r="AC2642" s="2" t="s">
        <v>124</v>
      </c>
      <c r="AD2642" s="3">
        <v>40352</v>
      </c>
      <c r="AE2642" s="4">
        <v>0.83333333333333337</v>
      </c>
      <c r="AF2642" s="2"/>
      <c r="AG2642" s="2"/>
      <c r="AH2642" s="2">
        <v>2</v>
      </c>
      <c r="AI2642" s="2" t="s">
        <v>84</v>
      </c>
      <c r="AJ2642" s="2">
        <v>12</v>
      </c>
      <c r="AK2642" s="2" t="s">
        <v>85</v>
      </c>
      <c r="AL2642" s="2">
        <v>20</v>
      </c>
      <c r="AM2642" s="2" t="s">
        <v>992</v>
      </c>
      <c r="AN2642" s="2"/>
      <c r="AO2642" s="2"/>
      <c r="AP2642" s="2">
        <v>11</v>
      </c>
      <c r="AQ2642" s="2" t="s">
        <v>82</v>
      </c>
      <c r="AR2642" s="2"/>
      <c r="AS2642" s="2"/>
      <c r="AT2642" s="2" t="s">
        <v>8815</v>
      </c>
      <c r="AU2642" s="2"/>
      <c r="AV2642" s="2"/>
      <c r="AW2642" s="2"/>
      <c r="AX2642" s="2"/>
      <c r="AY2642" s="2">
        <v>41</v>
      </c>
      <c r="AZ2642" s="2" t="s">
        <v>82</v>
      </c>
      <c r="BA2642" s="2">
        <v>41</v>
      </c>
      <c r="BB2642" s="2" t="s">
        <v>82</v>
      </c>
      <c r="BC2642" s="2">
        <v>70</v>
      </c>
      <c r="BD2642" s="2" t="s">
        <v>236</v>
      </c>
      <c r="BE2642" s="2">
        <v>41</v>
      </c>
      <c r="BF2642" s="2" t="s">
        <v>82</v>
      </c>
      <c r="BG2642" s="2" t="s">
        <v>265</v>
      </c>
      <c r="BH2642" s="2"/>
      <c r="BI2642" s="4">
        <v>0.96527777777777779</v>
      </c>
      <c r="BJ2642" s="2">
        <v>13</v>
      </c>
      <c r="BK2642" s="2" t="s">
        <v>91</v>
      </c>
      <c r="BL2642" s="2" t="s">
        <v>185</v>
      </c>
      <c r="BM2642" s="2">
        <v>241</v>
      </c>
      <c r="BN2642" s="2" t="s">
        <v>82</v>
      </c>
      <c r="BO2642" s="2"/>
      <c r="BP2642" s="2">
        <v>42</v>
      </c>
      <c r="BQ2642" s="2" t="s">
        <v>1234</v>
      </c>
      <c r="BR2642" s="2" t="s">
        <v>8816</v>
      </c>
      <c r="BS2642" s="3">
        <v>40353</v>
      </c>
      <c r="BT2642" s="4">
        <v>1.3796296296296298E-2</v>
      </c>
    </row>
    <row r="2643" spans="1:72" x14ac:dyDescent="0.25">
      <c r="A2643" s="2">
        <v>3833</v>
      </c>
      <c r="B2643" s="2">
        <v>2010</v>
      </c>
      <c r="C2643" s="2" t="s">
        <v>819</v>
      </c>
      <c r="D2643" s="2" t="s">
        <v>122</v>
      </c>
      <c r="E2643" s="2"/>
      <c r="F2643" s="2">
        <v>425</v>
      </c>
      <c r="G2643" s="2" t="s">
        <v>286</v>
      </c>
      <c r="H2643" s="2">
        <v>30</v>
      </c>
      <c r="I2643" s="2" t="s">
        <v>912</v>
      </c>
      <c r="J2643" s="2">
        <v>310</v>
      </c>
      <c r="K2643" s="2" t="s">
        <v>288</v>
      </c>
      <c r="L2643" s="2" t="s">
        <v>289</v>
      </c>
      <c r="M2643" s="3">
        <v>40353</v>
      </c>
      <c r="N2643" s="2" t="s">
        <v>1882</v>
      </c>
      <c r="O2643" s="2"/>
      <c r="P2643" s="2"/>
      <c r="Q2643" s="2" t="str">
        <f>"075/10"</f>
        <v>075/10</v>
      </c>
      <c r="R2643" s="2"/>
      <c r="S2643" s="2" t="s">
        <v>822</v>
      </c>
      <c r="T2643" s="2">
        <v>1</v>
      </c>
      <c r="U2643" s="2" t="s">
        <v>79</v>
      </c>
      <c r="V2643" s="2">
        <v>1</v>
      </c>
      <c r="W2643" s="2" t="s">
        <v>80</v>
      </c>
      <c r="X2643" s="2">
        <v>1</v>
      </c>
      <c r="Y2643" s="2" t="s">
        <v>81</v>
      </c>
      <c r="Z2643" s="2">
        <v>10</v>
      </c>
      <c r="AA2643" s="2" t="s">
        <v>236</v>
      </c>
      <c r="AB2643" s="2">
        <v>9</v>
      </c>
      <c r="AC2643" s="2" t="s">
        <v>124</v>
      </c>
      <c r="AD2643" s="3">
        <v>40352</v>
      </c>
      <c r="AE2643" s="4">
        <v>0.91666666666666663</v>
      </c>
      <c r="AF2643" s="2"/>
      <c r="AG2643" s="2"/>
      <c r="AH2643" s="2">
        <v>4</v>
      </c>
      <c r="AI2643" s="2" t="s">
        <v>125</v>
      </c>
      <c r="AJ2643" s="2">
        <v>29</v>
      </c>
      <c r="AK2643" s="2" t="s">
        <v>227</v>
      </c>
      <c r="AL2643" s="2">
        <v>10</v>
      </c>
      <c r="AM2643" s="2" t="s">
        <v>200</v>
      </c>
      <c r="AN2643" s="2" t="s">
        <v>1015</v>
      </c>
      <c r="AO2643" s="2" t="s">
        <v>8817</v>
      </c>
      <c r="AP2643" s="2">
        <v>12</v>
      </c>
      <c r="AQ2643" s="2" t="s">
        <v>322</v>
      </c>
      <c r="AR2643" s="2" t="s">
        <v>824</v>
      </c>
      <c r="AS2643" s="2" t="s">
        <v>825</v>
      </c>
      <c r="AT2643" s="2" t="s">
        <v>8818</v>
      </c>
      <c r="AU2643" s="2"/>
      <c r="AV2643" s="2"/>
      <c r="AW2643" s="2"/>
      <c r="AX2643" s="2"/>
      <c r="AY2643" s="2">
        <v>41</v>
      </c>
      <c r="AZ2643" s="2" t="s">
        <v>82</v>
      </c>
      <c r="BA2643" s="2">
        <v>41</v>
      </c>
      <c r="BB2643" s="2" t="s">
        <v>82</v>
      </c>
      <c r="BC2643" s="2">
        <v>51</v>
      </c>
      <c r="BD2643" s="2" t="s">
        <v>827</v>
      </c>
      <c r="BE2643" s="2">
        <v>47</v>
      </c>
      <c r="BF2643" s="2" t="s">
        <v>167</v>
      </c>
      <c r="BG2643" s="2">
        <v>2459</v>
      </c>
      <c r="BH2643" s="4">
        <v>0.91666666666666663</v>
      </c>
      <c r="BI2643" s="4">
        <v>0.94097222222222221</v>
      </c>
      <c r="BJ2643" s="2">
        <v>13</v>
      </c>
      <c r="BK2643" s="2" t="s">
        <v>91</v>
      </c>
      <c r="BL2643" s="2" t="s">
        <v>828</v>
      </c>
      <c r="BM2643" s="2">
        <v>241</v>
      </c>
      <c r="BN2643" s="2" t="s">
        <v>82</v>
      </c>
      <c r="BO2643" s="2"/>
      <c r="BP2643" s="2">
        <v>13</v>
      </c>
      <c r="BQ2643" s="2" t="s">
        <v>91</v>
      </c>
      <c r="BR2643" s="2" t="s">
        <v>185</v>
      </c>
      <c r="BS2643" s="3">
        <v>40353</v>
      </c>
      <c r="BT2643" s="4">
        <v>3.3101851851851848E-2</v>
      </c>
    </row>
    <row r="2644" spans="1:72" x14ac:dyDescent="0.25">
      <c r="A2644" s="2">
        <v>3834</v>
      </c>
      <c r="B2644" s="2">
        <v>2010</v>
      </c>
      <c r="C2644" s="2" t="s">
        <v>171</v>
      </c>
      <c r="D2644" s="2" t="s">
        <v>73</v>
      </c>
      <c r="E2644" s="2"/>
      <c r="F2644" s="2">
        <v>390</v>
      </c>
      <c r="G2644" s="2" t="s">
        <v>475</v>
      </c>
      <c r="H2644" s="2">
        <v>71</v>
      </c>
      <c r="I2644" s="2" t="s">
        <v>335</v>
      </c>
      <c r="J2644" s="2">
        <v>533</v>
      </c>
      <c r="K2644" s="2" t="s">
        <v>6511</v>
      </c>
      <c r="L2644" s="2" t="s">
        <v>478</v>
      </c>
      <c r="M2644" s="3">
        <v>40353</v>
      </c>
      <c r="N2644" s="2" t="s">
        <v>7806</v>
      </c>
      <c r="O2644" s="2" t="s">
        <v>7845</v>
      </c>
      <c r="P2644" s="2">
        <v>1090</v>
      </c>
      <c r="Q2644" s="2" t="str">
        <f>""</f>
        <v/>
      </c>
      <c r="R2644" s="2"/>
      <c r="S2644" s="2"/>
      <c r="T2644" s="2">
        <v>1</v>
      </c>
      <c r="U2644" s="2" t="s">
        <v>79</v>
      </c>
      <c r="V2644" s="2">
        <v>1</v>
      </c>
      <c r="W2644" s="2" t="s">
        <v>80</v>
      </c>
      <c r="X2644" s="2">
        <v>9</v>
      </c>
      <c r="Y2644" s="2" t="s">
        <v>3393</v>
      </c>
      <c r="Z2644" s="2">
        <v>1</v>
      </c>
      <c r="AA2644" s="2" t="s">
        <v>82</v>
      </c>
      <c r="AB2644" s="2">
        <v>1</v>
      </c>
      <c r="AC2644" s="2" t="s">
        <v>178</v>
      </c>
      <c r="AD2644" s="3">
        <v>40352</v>
      </c>
      <c r="AE2644" s="4">
        <v>0.85416666666666663</v>
      </c>
      <c r="AF2644" s="2"/>
      <c r="AG2644" s="2"/>
      <c r="AH2644" s="2">
        <v>2</v>
      </c>
      <c r="AI2644" s="2" t="s">
        <v>84</v>
      </c>
      <c r="AJ2644" s="2">
        <v>6</v>
      </c>
      <c r="AK2644" s="2" t="s">
        <v>453</v>
      </c>
      <c r="AL2644" s="2">
        <v>23</v>
      </c>
      <c r="AM2644" s="2" t="s">
        <v>251</v>
      </c>
      <c r="AN2644" s="2" t="s">
        <v>8819</v>
      </c>
      <c r="AO2644" s="2" t="s">
        <v>1226</v>
      </c>
      <c r="AP2644" s="2">
        <v>11</v>
      </c>
      <c r="AQ2644" s="2" t="s">
        <v>82</v>
      </c>
      <c r="AR2644" s="2"/>
      <c r="AS2644" s="2"/>
      <c r="AT2644" s="2" t="s">
        <v>8820</v>
      </c>
      <c r="AU2644" s="2"/>
      <c r="AV2644" s="2">
        <v>2</v>
      </c>
      <c r="AW2644" s="2"/>
      <c r="AX2644" s="2"/>
      <c r="AY2644" s="2">
        <v>42</v>
      </c>
      <c r="AZ2644" s="2" t="s">
        <v>182</v>
      </c>
      <c r="BA2644" s="2">
        <v>41</v>
      </c>
      <c r="BB2644" s="2" t="s">
        <v>82</v>
      </c>
      <c r="BC2644" s="2">
        <v>41</v>
      </c>
      <c r="BD2644" s="2" t="s">
        <v>82</v>
      </c>
      <c r="BE2644" s="2">
        <v>41</v>
      </c>
      <c r="BF2644" s="2" t="s">
        <v>82</v>
      </c>
      <c r="BG2644" s="2"/>
      <c r="BH2644" s="2"/>
      <c r="BI2644" s="2"/>
      <c r="BJ2644" s="2">
        <v>241</v>
      </c>
      <c r="BK2644" s="2" t="s">
        <v>82</v>
      </c>
      <c r="BL2644" s="2"/>
      <c r="BM2644" s="2">
        <v>241</v>
      </c>
      <c r="BN2644" s="2" t="s">
        <v>82</v>
      </c>
      <c r="BO2644" s="2"/>
      <c r="BP2644" s="2">
        <v>241</v>
      </c>
      <c r="BQ2644" s="2" t="s">
        <v>82</v>
      </c>
      <c r="BR2644" s="2"/>
      <c r="BS2644" s="3">
        <v>40353</v>
      </c>
      <c r="BT2644" s="4">
        <v>0.10776620370370371</v>
      </c>
    </row>
    <row r="2645" spans="1:72" x14ac:dyDescent="0.25">
      <c r="A2645" s="2">
        <v>3835</v>
      </c>
      <c r="B2645" s="2">
        <v>2010</v>
      </c>
      <c r="C2645" s="2" t="s">
        <v>72</v>
      </c>
      <c r="D2645" s="2" t="s">
        <v>73</v>
      </c>
      <c r="E2645" s="2"/>
      <c r="F2645" s="2">
        <v>2</v>
      </c>
      <c r="G2645" s="2" t="s">
        <v>113</v>
      </c>
      <c r="H2645" s="2">
        <v>22</v>
      </c>
      <c r="I2645" s="2" t="s">
        <v>75</v>
      </c>
      <c r="J2645" s="2">
        <v>300</v>
      </c>
      <c r="K2645" s="2" t="s">
        <v>114</v>
      </c>
      <c r="L2645" s="2" t="s">
        <v>115</v>
      </c>
      <c r="M2645" s="3">
        <v>40353</v>
      </c>
      <c r="N2645" s="2"/>
      <c r="O2645" s="2"/>
      <c r="P2645" s="2"/>
      <c r="Q2645" s="2" t="str">
        <f>"338-E/10"</f>
        <v>338-E/10</v>
      </c>
      <c r="R2645" s="2" t="s">
        <v>601</v>
      </c>
      <c r="S2645" s="2" t="s">
        <v>601</v>
      </c>
      <c r="T2645" s="2">
        <v>1</v>
      </c>
      <c r="U2645" s="2" t="s">
        <v>79</v>
      </c>
      <c r="V2645" s="2">
        <v>1</v>
      </c>
      <c r="W2645" s="2" t="s">
        <v>80</v>
      </c>
      <c r="X2645" s="2">
        <v>12</v>
      </c>
      <c r="Y2645" s="2" t="s">
        <v>148</v>
      </c>
      <c r="Z2645" s="2">
        <v>1</v>
      </c>
      <c r="AA2645" s="2" t="s">
        <v>82</v>
      </c>
      <c r="AB2645" s="2">
        <v>6</v>
      </c>
      <c r="AC2645" s="2" t="s">
        <v>83</v>
      </c>
      <c r="AD2645" s="3">
        <v>40352</v>
      </c>
      <c r="AE2645" s="2"/>
      <c r="AF2645" s="3">
        <v>40353</v>
      </c>
      <c r="AG2645" s="4">
        <v>2.0833333333333332E-2</v>
      </c>
      <c r="AH2645" s="2">
        <v>2</v>
      </c>
      <c r="AI2645" s="2" t="s">
        <v>84</v>
      </c>
      <c r="AJ2645" s="2">
        <v>9</v>
      </c>
      <c r="AK2645" s="2" t="s">
        <v>103</v>
      </c>
      <c r="AL2645" s="2">
        <v>23</v>
      </c>
      <c r="AM2645" s="2" t="s">
        <v>251</v>
      </c>
      <c r="AN2645" s="2" t="s">
        <v>8821</v>
      </c>
      <c r="AO2645" s="2" t="s">
        <v>1934</v>
      </c>
      <c r="AP2645" s="2">
        <v>11</v>
      </c>
      <c r="AQ2645" s="2" t="s">
        <v>82</v>
      </c>
      <c r="AR2645" s="2"/>
      <c r="AS2645" s="2"/>
      <c r="AT2645" s="2" t="s">
        <v>8822</v>
      </c>
      <c r="AU2645" s="2"/>
      <c r="AV2645" s="2"/>
      <c r="AW2645" s="2"/>
      <c r="AX2645" s="2"/>
      <c r="AY2645" s="2">
        <v>41</v>
      </c>
      <c r="AZ2645" s="2" t="s">
        <v>82</v>
      </c>
      <c r="BA2645" s="2">
        <v>41</v>
      </c>
      <c r="BB2645" s="2" t="s">
        <v>82</v>
      </c>
      <c r="BC2645" s="2">
        <v>41</v>
      </c>
      <c r="BD2645" s="2" t="s">
        <v>82</v>
      </c>
      <c r="BE2645" s="2">
        <v>41</v>
      </c>
      <c r="BF2645" s="2" t="s">
        <v>82</v>
      </c>
      <c r="BG2645" s="2"/>
      <c r="BH2645" s="2"/>
      <c r="BI2645" s="2"/>
      <c r="BJ2645" s="2">
        <v>241</v>
      </c>
      <c r="BK2645" s="2" t="s">
        <v>82</v>
      </c>
      <c r="BL2645" s="2"/>
      <c r="BM2645" s="2">
        <v>241</v>
      </c>
      <c r="BN2645" s="2" t="s">
        <v>82</v>
      </c>
      <c r="BO2645" s="2"/>
      <c r="BP2645" s="2">
        <v>241</v>
      </c>
      <c r="BQ2645" s="2" t="s">
        <v>82</v>
      </c>
      <c r="BR2645" s="2"/>
      <c r="BS2645" s="3">
        <v>40353</v>
      </c>
      <c r="BT2645" s="4">
        <v>0.18263888888888891</v>
      </c>
    </row>
    <row r="2646" spans="1:72" x14ac:dyDescent="0.25">
      <c r="A2646" s="2">
        <v>3836</v>
      </c>
      <c r="B2646" s="2">
        <v>2010</v>
      </c>
      <c r="C2646" s="2" t="s">
        <v>93</v>
      </c>
      <c r="D2646" s="2" t="s">
        <v>122</v>
      </c>
      <c r="E2646" s="2" t="s">
        <v>8716</v>
      </c>
      <c r="F2646" s="2">
        <v>389</v>
      </c>
      <c r="G2646" s="2" t="s">
        <v>1819</v>
      </c>
      <c r="H2646" s="2">
        <v>2</v>
      </c>
      <c r="I2646" s="2" t="s">
        <v>267</v>
      </c>
      <c r="J2646" s="2">
        <v>399</v>
      </c>
      <c r="K2646" s="2" t="s">
        <v>1820</v>
      </c>
      <c r="L2646" s="2" t="s">
        <v>1821</v>
      </c>
      <c r="M2646" s="3">
        <v>40353</v>
      </c>
      <c r="N2646" s="2" t="s">
        <v>5653</v>
      </c>
      <c r="O2646" s="2" t="s">
        <v>3762</v>
      </c>
      <c r="P2646" s="2" t="s">
        <v>8685</v>
      </c>
      <c r="Q2646" s="2" t="str">
        <f>"N/C"</f>
        <v>N/C</v>
      </c>
      <c r="R2646" s="2" t="s">
        <v>100</v>
      </c>
      <c r="S2646" s="2" t="s">
        <v>100</v>
      </c>
      <c r="T2646" s="2">
        <v>1</v>
      </c>
      <c r="U2646" s="2" t="s">
        <v>79</v>
      </c>
      <c r="V2646" s="2">
        <v>1</v>
      </c>
      <c r="W2646" s="2" t="s">
        <v>80</v>
      </c>
      <c r="X2646" s="2">
        <v>10</v>
      </c>
      <c r="Y2646" s="2" t="s">
        <v>226</v>
      </c>
      <c r="Z2646" s="2">
        <v>6</v>
      </c>
      <c r="AA2646" s="2" t="s">
        <v>101</v>
      </c>
      <c r="AB2646" s="2">
        <v>2</v>
      </c>
      <c r="AC2646" s="2" t="s">
        <v>102</v>
      </c>
      <c r="AD2646" s="3">
        <v>40349</v>
      </c>
      <c r="AE2646" s="4">
        <v>0.875</v>
      </c>
      <c r="AF2646" s="2"/>
      <c r="AG2646" s="2"/>
      <c r="AH2646" s="2">
        <v>2</v>
      </c>
      <c r="AI2646" s="2" t="s">
        <v>84</v>
      </c>
      <c r="AJ2646" s="2">
        <v>9</v>
      </c>
      <c r="AK2646" s="2" t="s">
        <v>103</v>
      </c>
      <c r="AL2646" s="2">
        <v>15</v>
      </c>
      <c r="AM2646" s="2" t="s">
        <v>104</v>
      </c>
      <c r="AN2646" s="2"/>
      <c r="AO2646" s="2" t="s">
        <v>8686</v>
      </c>
      <c r="AP2646" s="2">
        <v>11</v>
      </c>
      <c r="AQ2646" s="2" t="s">
        <v>82</v>
      </c>
      <c r="AR2646" s="2"/>
      <c r="AS2646" s="2"/>
      <c r="AT2646" s="2" t="s">
        <v>8823</v>
      </c>
      <c r="AU2646" s="2">
        <v>1</v>
      </c>
      <c r="AV2646" s="2"/>
      <c r="AW2646" s="2"/>
      <c r="AX2646" s="2"/>
      <c r="AY2646" s="2">
        <v>42</v>
      </c>
      <c r="AZ2646" s="2" t="s">
        <v>182</v>
      </c>
      <c r="BA2646" s="2">
        <v>115</v>
      </c>
      <c r="BB2646" s="2" t="s">
        <v>101</v>
      </c>
      <c r="BC2646" s="2">
        <v>70</v>
      </c>
      <c r="BD2646" s="2" t="s">
        <v>236</v>
      </c>
      <c r="BE2646" s="2">
        <v>13</v>
      </c>
      <c r="BF2646" s="2" t="s">
        <v>108</v>
      </c>
      <c r="BG2646" s="2" t="s">
        <v>1994</v>
      </c>
      <c r="BH2646" s="4">
        <v>0</v>
      </c>
      <c r="BI2646" s="4">
        <v>0.93055555555555547</v>
      </c>
      <c r="BJ2646" s="2">
        <v>13</v>
      </c>
      <c r="BK2646" s="2" t="s">
        <v>91</v>
      </c>
      <c r="BL2646" s="2" t="s">
        <v>1801</v>
      </c>
      <c r="BM2646" s="2">
        <v>241</v>
      </c>
      <c r="BN2646" s="2" t="s">
        <v>82</v>
      </c>
      <c r="BO2646" s="2"/>
      <c r="BP2646" s="2">
        <v>173</v>
      </c>
      <c r="BQ2646" s="2" t="s">
        <v>223</v>
      </c>
      <c r="BR2646" s="2" t="s">
        <v>224</v>
      </c>
      <c r="BS2646" s="3">
        <v>40353</v>
      </c>
      <c r="BT2646" s="4">
        <v>0.33582175925925922</v>
      </c>
    </row>
    <row r="2647" spans="1:72" x14ac:dyDescent="0.25">
      <c r="A2647" s="2">
        <v>3839</v>
      </c>
      <c r="B2647" s="2">
        <v>2010</v>
      </c>
      <c r="C2647" s="2" t="s">
        <v>819</v>
      </c>
      <c r="D2647" s="2" t="s">
        <v>122</v>
      </c>
      <c r="E2647" s="2" t="s">
        <v>8824</v>
      </c>
      <c r="F2647" s="2">
        <v>425</v>
      </c>
      <c r="G2647" s="2" t="s">
        <v>286</v>
      </c>
      <c r="H2647" s="2">
        <v>30</v>
      </c>
      <c r="I2647" s="2" t="s">
        <v>912</v>
      </c>
      <c r="J2647" s="2">
        <v>310</v>
      </c>
      <c r="K2647" s="2" t="s">
        <v>288</v>
      </c>
      <c r="L2647" s="2" t="s">
        <v>289</v>
      </c>
      <c r="M2647" s="3">
        <v>40353</v>
      </c>
      <c r="N2647" s="2" t="s">
        <v>1882</v>
      </c>
      <c r="O2647" s="2"/>
      <c r="P2647" s="2"/>
      <c r="Q2647" s="2" t="str">
        <f>"075/10"</f>
        <v>075/10</v>
      </c>
      <c r="R2647" s="2" t="s">
        <v>822</v>
      </c>
      <c r="S2647" s="2"/>
      <c r="T2647" s="2">
        <v>1</v>
      </c>
      <c r="U2647" s="2" t="s">
        <v>79</v>
      </c>
      <c r="V2647" s="2">
        <v>1</v>
      </c>
      <c r="W2647" s="2" t="s">
        <v>80</v>
      </c>
      <c r="X2647" s="2">
        <v>1</v>
      </c>
      <c r="Y2647" s="2" t="s">
        <v>81</v>
      </c>
      <c r="Z2647" s="2">
        <v>10</v>
      </c>
      <c r="AA2647" s="2" t="s">
        <v>236</v>
      </c>
      <c r="AB2647" s="2">
        <v>9</v>
      </c>
      <c r="AC2647" s="2" t="s">
        <v>124</v>
      </c>
      <c r="AD2647" s="3">
        <v>40353</v>
      </c>
      <c r="AE2647" s="4">
        <v>0.41666666666666669</v>
      </c>
      <c r="AF2647" s="2"/>
      <c r="AG2647" s="2"/>
      <c r="AH2647" s="2">
        <v>4</v>
      </c>
      <c r="AI2647" s="2" t="s">
        <v>125</v>
      </c>
      <c r="AJ2647" s="2">
        <v>29</v>
      </c>
      <c r="AK2647" s="2" t="s">
        <v>227</v>
      </c>
      <c r="AL2647" s="2">
        <v>16</v>
      </c>
      <c r="AM2647" s="2" t="s">
        <v>392</v>
      </c>
      <c r="AN2647" s="2" t="s">
        <v>3040</v>
      </c>
      <c r="AO2647" s="2" t="s">
        <v>3176</v>
      </c>
      <c r="AP2647" s="2">
        <v>12</v>
      </c>
      <c r="AQ2647" s="2" t="s">
        <v>322</v>
      </c>
      <c r="AR2647" s="2" t="s">
        <v>824</v>
      </c>
      <c r="AS2647" s="2" t="s">
        <v>825</v>
      </c>
      <c r="AT2647" s="2" t="s">
        <v>8825</v>
      </c>
      <c r="AU2647" s="2"/>
      <c r="AV2647" s="2"/>
      <c r="AW2647" s="2"/>
      <c r="AX2647" s="2"/>
      <c r="AY2647" s="2">
        <v>41</v>
      </c>
      <c r="AZ2647" s="2" t="s">
        <v>82</v>
      </c>
      <c r="BA2647" s="2">
        <v>41</v>
      </c>
      <c r="BB2647" s="2" t="s">
        <v>82</v>
      </c>
      <c r="BC2647" s="2">
        <v>51</v>
      </c>
      <c r="BD2647" s="2" t="s">
        <v>827</v>
      </c>
      <c r="BE2647" s="2">
        <v>47</v>
      </c>
      <c r="BF2647" s="2" t="s">
        <v>167</v>
      </c>
      <c r="BG2647" s="2">
        <v>2459</v>
      </c>
      <c r="BH2647" s="4">
        <v>0.91666666666666663</v>
      </c>
      <c r="BI2647" s="4">
        <v>0.94097222222222221</v>
      </c>
      <c r="BJ2647" s="2">
        <v>13</v>
      </c>
      <c r="BK2647" s="2" t="s">
        <v>91</v>
      </c>
      <c r="BL2647" s="2" t="s">
        <v>828</v>
      </c>
      <c r="BM2647" s="2">
        <v>241</v>
      </c>
      <c r="BN2647" s="2" t="s">
        <v>82</v>
      </c>
      <c r="BO2647" s="2" t="s">
        <v>82</v>
      </c>
      <c r="BP2647" s="2">
        <v>13</v>
      </c>
      <c r="BQ2647" s="2" t="s">
        <v>91</v>
      </c>
      <c r="BR2647" s="2" t="s">
        <v>185</v>
      </c>
      <c r="BS2647" s="3">
        <v>40353</v>
      </c>
      <c r="BT2647" s="4">
        <v>0.47998842592592594</v>
      </c>
    </row>
    <row r="2648" spans="1:72" x14ac:dyDescent="0.25">
      <c r="A2648" s="2">
        <v>3840</v>
      </c>
      <c r="B2648" s="2">
        <v>2010</v>
      </c>
      <c r="C2648" s="2" t="s">
        <v>72</v>
      </c>
      <c r="D2648" s="2" t="s">
        <v>73</v>
      </c>
      <c r="E2648" s="2"/>
      <c r="F2648" s="2">
        <v>389</v>
      </c>
      <c r="G2648" s="2" t="s">
        <v>1819</v>
      </c>
      <c r="H2648" s="2">
        <v>2</v>
      </c>
      <c r="I2648" s="2" t="s">
        <v>267</v>
      </c>
      <c r="J2648" s="2">
        <v>399</v>
      </c>
      <c r="K2648" s="2" t="s">
        <v>1820</v>
      </c>
      <c r="L2648" s="2" t="s">
        <v>1821</v>
      </c>
      <c r="M2648" s="3">
        <v>40353</v>
      </c>
      <c r="N2648" s="2" t="s">
        <v>5653</v>
      </c>
      <c r="O2648" s="2" t="s">
        <v>107</v>
      </c>
      <c r="P2648" s="2" t="s">
        <v>107</v>
      </c>
      <c r="Q2648" s="2" t="str">
        <f>"339-E/10"</f>
        <v>339-E/10</v>
      </c>
      <c r="R2648" s="2" t="s">
        <v>601</v>
      </c>
      <c r="S2648" s="2" t="s">
        <v>601</v>
      </c>
      <c r="T2648" s="2">
        <v>1</v>
      </c>
      <c r="U2648" s="2" t="s">
        <v>79</v>
      </c>
      <c r="V2648" s="2">
        <v>1</v>
      </c>
      <c r="W2648" s="2" t="s">
        <v>80</v>
      </c>
      <c r="X2648" s="2">
        <v>12</v>
      </c>
      <c r="Y2648" s="2" t="s">
        <v>148</v>
      </c>
      <c r="Z2648" s="2">
        <v>1</v>
      </c>
      <c r="AA2648" s="2" t="s">
        <v>82</v>
      </c>
      <c r="AB2648" s="2">
        <v>6</v>
      </c>
      <c r="AC2648" s="2" t="s">
        <v>83</v>
      </c>
      <c r="AD2648" s="3">
        <v>40353</v>
      </c>
      <c r="AE2648" s="2"/>
      <c r="AF2648" s="3">
        <v>40353</v>
      </c>
      <c r="AG2648" s="4">
        <v>0.40972222222222227</v>
      </c>
      <c r="AH2648" s="2">
        <v>2</v>
      </c>
      <c r="AI2648" s="2" t="s">
        <v>84</v>
      </c>
      <c r="AJ2648" s="2">
        <v>9</v>
      </c>
      <c r="AK2648" s="2" t="s">
        <v>103</v>
      </c>
      <c r="AL2648" s="2">
        <v>22</v>
      </c>
      <c r="AM2648" s="2" t="s">
        <v>1853</v>
      </c>
      <c r="AN2648" s="2"/>
      <c r="AO2648" s="2" t="s">
        <v>7625</v>
      </c>
      <c r="AP2648" s="2">
        <v>11</v>
      </c>
      <c r="AQ2648" s="2" t="s">
        <v>82</v>
      </c>
      <c r="AR2648" s="2"/>
      <c r="AS2648" s="2"/>
      <c r="AT2648" s="2" t="s">
        <v>8826</v>
      </c>
      <c r="AU2648" s="2"/>
      <c r="AV2648" s="2"/>
      <c r="AW2648" s="2"/>
      <c r="AX2648" s="2"/>
      <c r="AY2648" s="2">
        <v>41</v>
      </c>
      <c r="AZ2648" s="2" t="s">
        <v>82</v>
      </c>
      <c r="BA2648" s="2">
        <v>41</v>
      </c>
      <c r="BB2648" s="2" t="s">
        <v>82</v>
      </c>
      <c r="BC2648" s="2">
        <v>41</v>
      </c>
      <c r="BD2648" s="2" t="s">
        <v>82</v>
      </c>
      <c r="BE2648" s="2">
        <v>31</v>
      </c>
      <c r="BF2648" s="2" t="s">
        <v>398</v>
      </c>
      <c r="BG2648" s="2" t="s">
        <v>1800</v>
      </c>
      <c r="BH2648" s="4">
        <v>0.34375</v>
      </c>
      <c r="BI2648" s="2"/>
      <c r="BJ2648" s="2">
        <v>82</v>
      </c>
      <c r="BK2648" s="2" t="s">
        <v>487</v>
      </c>
      <c r="BL2648" s="2" t="s">
        <v>8827</v>
      </c>
      <c r="BM2648" s="2">
        <v>73</v>
      </c>
      <c r="BN2648" s="2" t="s">
        <v>186</v>
      </c>
      <c r="BO2648" s="2" t="s">
        <v>187</v>
      </c>
      <c r="BP2648" s="2">
        <v>13</v>
      </c>
      <c r="BQ2648" s="2" t="s">
        <v>91</v>
      </c>
      <c r="BR2648" s="2" t="s">
        <v>360</v>
      </c>
      <c r="BS2648" s="3">
        <v>40353</v>
      </c>
      <c r="BT2648" s="4">
        <v>0.49975694444444446</v>
      </c>
    </row>
    <row r="2649" spans="1:72" x14ac:dyDescent="0.25">
      <c r="A2649" s="2">
        <v>3842</v>
      </c>
      <c r="B2649" s="2">
        <v>2010</v>
      </c>
      <c r="C2649" s="2" t="s">
        <v>72</v>
      </c>
      <c r="D2649" s="2" t="s">
        <v>73</v>
      </c>
      <c r="E2649" s="2"/>
      <c r="F2649" s="2">
        <v>106</v>
      </c>
      <c r="G2649" s="2" t="s">
        <v>7444</v>
      </c>
      <c r="H2649" s="2">
        <v>22</v>
      </c>
      <c r="I2649" s="2" t="s">
        <v>75</v>
      </c>
      <c r="J2649" s="2">
        <v>126</v>
      </c>
      <c r="K2649" s="2" t="s">
        <v>7445</v>
      </c>
      <c r="L2649" s="2" t="s">
        <v>7446</v>
      </c>
      <c r="M2649" s="3">
        <v>40353</v>
      </c>
      <c r="N2649" s="2" t="s">
        <v>8828</v>
      </c>
      <c r="O2649" s="2" t="s">
        <v>107</v>
      </c>
      <c r="P2649" s="2" t="s">
        <v>107</v>
      </c>
      <c r="Q2649" s="2" t="str">
        <f>"0005/10"</f>
        <v>0005/10</v>
      </c>
      <c r="R2649" s="2" t="s">
        <v>302</v>
      </c>
      <c r="S2649" s="2" t="s">
        <v>302</v>
      </c>
      <c r="T2649" s="2">
        <v>1</v>
      </c>
      <c r="U2649" s="2" t="s">
        <v>79</v>
      </c>
      <c r="V2649" s="2">
        <v>1</v>
      </c>
      <c r="W2649" s="2" t="s">
        <v>80</v>
      </c>
      <c r="X2649" s="2">
        <v>1</v>
      </c>
      <c r="Y2649" s="2" t="s">
        <v>81</v>
      </c>
      <c r="Z2649" s="2">
        <v>1</v>
      </c>
      <c r="AA2649" s="2" t="s">
        <v>82</v>
      </c>
      <c r="AB2649" s="2">
        <v>6</v>
      </c>
      <c r="AC2649" s="2" t="s">
        <v>83</v>
      </c>
      <c r="AD2649" s="3">
        <v>40353</v>
      </c>
      <c r="AE2649" s="4">
        <v>0.4375</v>
      </c>
      <c r="AF2649" s="2"/>
      <c r="AG2649" s="2"/>
      <c r="AH2649" s="2">
        <v>6</v>
      </c>
      <c r="AI2649" s="2" t="s">
        <v>197</v>
      </c>
      <c r="AJ2649" s="2">
        <v>57</v>
      </c>
      <c r="AK2649" s="2" t="s">
        <v>2344</v>
      </c>
      <c r="AL2649" s="2">
        <v>11</v>
      </c>
      <c r="AM2649" s="2" t="s">
        <v>137</v>
      </c>
      <c r="AN2649" s="2"/>
      <c r="AO2649" s="2"/>
      <c r="AP2649" s="2">
        <v>11</v>
      </c>
      <c r="AQ2649" s="2" t="s">
        <v>82</v>
      </c>
      <c r="AR2649" s="2"/>
      <c r="AS2649" s="2"/>
      <c r="AT2649" s="2" t="s">
        <v>8829</v>
      </c>
      <c r="AU2649" s="2"/>
      <c r="AV2649" s="2"/>
      <c r="AW2649" s="2"/>
      <c r="AX2649" s="2"/>
      <c r="AY2649" s="2">
        <v>41</v>
      </c>
      <c r="AZ2649" s="2" t="s">
        <v>82</v>
      </c>
      <c r="BA2649" s="2">
        <v>41</v>
      </c>
      <c r="BB2649" s="2" t="s">
        <v>82</v>
      </c>
      <c r="BC2649" s="2">
        <v>41</v>
      </c>
      <c r="BD2649" s="2" t="s">
        <v>82</v>
      </c>
      <c r="BE2649" s="2">
        <v>13</v>
      </c>
      <c r="BF2649" s="2" t="s">
        <v>108</v>
      </c>
      <c r="BG2649" s="2">
        <v>1863</v>
      </c>
      <c r="BH2649" s="2"/>
      <c r="BI2649" s="4">
        <v>0.4375</v>
      </c>
      <c r="BJ2649" s="2">
        <v>13</v>
      </c>
      <c r="BK2649" s="2" t="s">
        <v>91</v>
      </c>
      <c r="BL2649" s="2" t="s">
        <v>1014</v>
      </c>
      <c r="BM2649" s="2">
        <v>241</v>
      </c>
      <c r="BN2649" s="2" t="s">
        <v>82</v>
      </c>
      <c r="BO2649" s="2"/>
      <c r="BP2649" s="2">
        <v>13</v>
      </c>
      <c r="BQ2649" s="2" t="s">
        <v>91</v>
      </c>
      <c r="BR2649" s="2" t="s">
        <v>170</v>
      </c>
      <c r="BS2649" s="3">
        <v>40353</v>
      </c>
      <c r="BT2649" s="4">
        <v>0.58579861111111109</v>
      </c>
    </row>
    <row r="2650" spans="1:72" x14ac:dyDescent="0.25">
      <c r="A2650" s="2">
        <v>3843</v>
      </c>
      <c r="B2650" s="2">
        <v>2010</v>
      </c>
      <c r="C2650" s="2" t="s">
        <v>171</v>
      </c>
      <c r="D2650" s="2" t="s">
        <v>73</v>
      </c>
      <c r="E2650" s="2"/>
      <c r="F2650" s="2">
        <v>471</v>
      </c>
      <c r="G2650" s="2" t="s">
        <v>6201</v>
      </c>
      <c r="H2650" s="2">
        <v>66</v>
      </c>
      <c r="I2650" s="2" t="s">
        <v>3190</v>
      </c>
      <c r="J2650" s="2">
        <v>374</v>
      </c>
      <c r="K2650" s="2" t="s">
        <v>1191</v>
      </c>
      <c r="L2650" s="2" t="s">
        <v>132</v>
      </c>
      <c r="M2650" s="3">
        <v>40353</v>
      </c>
      <c r="N2650" s="2" t="s">
        <v>1192</v>
      </c>
      <c r="O2650" s="2" t="s">
        <v>8830</v>
      </c>
      <c r="P2650" s="2" t="s">
        <v>8831</v>
      </c>
      <c r="Q2650" s="2" t="str">
        <f>"0012/2010"</f>
        <v>0012/2010</v>
      </c>
      <c r="R2650" s="2"/>
      <c r="S2650" s="2" t="s">
        <v>8832</v>
      </c>
      <c r="T2650" s="2">
        <v>1</v>
      </c>
      <c r="U2650" s="2" t="s">
        <v>79</v>
      </c>
      <c r="V2650" s="2">
        <v>3</v>
      </c>
      <c r="W2650" s="2" t="s">
        <v>225</v>
      </c>
      <c r="X2650" s="2">
        <v>6</v>
      </c>
      <c r="Y2650" s="2" t="s">
        <v>249</v>
      </c>
      <c r="Z2650" s="2">
        <v>1</v>
      </c>
      <c r="AA2650" s="2" t="s">
        <v>82</v>
      </c>
      <c r="AB2650" s="2">
        <v>9</v>
      </c>
      <c r="AC2650" s="2" t="s">
        <v>124</v>
      </c>
      <c r="AD2650" s="2"/>
      <c r="AE2650" s="2"/>
      <c r="AF2650" s="2"/>
      <c r="AG2650" s="2"/>
      <c r="AH2650" s="2">
        <v>5</v>
      </c>
      <c r="AI2650" s="2" t="s">
        <v>274</v>
      </c>
      <c r="AJ2650" s="2">
        <v>35</v>
      </c>
      <c r="AK2650" s="2" t="s">
        <v>275</v>
      </c>
      <c r="AL2650" s="2">
        <v>23</v>
      </c>
      <c r="AM2650" s="2" t="s">
        <v>251</v>
      </c>
      <c r="AN2650" s="2" t="s">
        <v>4800</v>
      </c>
      <c r="AO2650" s="2" t="s">
        <v>6998</v>
      </c>
      <c r="AP2650" s="2">
        <v>11</v>
      </c>
      <c r="AQ2650" s="2" t="s">
        <v>82</v>
      </c>
      <c r="AR2650" s="2"/>
      <c r="AS2650" s="2"/>
      <c r="AT2650" s="2" t="s">
        <v>8833</v>
      </c>
      <c r="AU2650" s="2"/>
      <c r="AV2650" s="2"/>
      <c r="AW2650" s="2"/>
      <c r="AX2650" s="2"/>
      <c r="AY2650" s="2">
        <v>1</v>
      </c>
      <c r="AZ2650" s="2" t="s">
        <v>107</v>
      </c>
      <c r="BA2650" s="2">
        <v>1</v>
      </c>
      <c r="BB2650" s="2" t="s">
        <v>107</v>
      </c>
      <c r="BC2650" s="2">
        <v>1</v>
      </c>
      <c r="BD2650" s="2" t="s">
        <v>107</v>
      </c>
      <c r="BE2650" s="2">
        <v>1</v>
      </c>
      <c r="BF2650" s="2" t="s">
        <v>107</v>
      </c>
      <c r="BG2650" s="2"/>
      <c r="BH2650" s="2"/>
      <c r="BI2650" s="2"/>
      <c r="BJ2650" s="2">
        <v>242</v>
      </c>
      <c r="BK2650" s="2" t="s">
        <v>107</v>
      </c>
      <c r="BL2650" s="2"/>
      <c r="BM2650" s="2">
        <v>242</v>
      </c>
      <c r="BN2650" s="2" t="s">
        <v>107</v>
      </c>
      <c r="BO2650" s="2"/>
      <c r="BP2650" s="2">
        <v>242</v>
      </c>
      <c r="BQ2650" s="2" t="s">
        <v>107</v>
      </c>
      <c r="BR2650" s="2"/>
      <c r="BS2650" s="3">
        <v>40353</v>
      </c>
      <c r="BT2650" s="4">
        <v>0.60798611111111112</v>
      </c>
    </row>
    <row r="2651" spans="1:72" x14ac:dyDescent="0.25">
      <c r="A2651" s="2">
        <v>3846</v>
      </c>
      <c r="B2651" s="2">
        <v>2010</v>
      </c>
      <c r="C2651" s="2" t="s">
        <v>93</v>
      </c>
      <c r="D2651" s="2" t="s">
        <v>73</v>
      </c>
      <c r="E2651" s="2"/>
      <c r="F2651" s="2">
        <v>134</v>
      </c>
      <c r="G2651" s="2" t="s">
        <v>8834</v>
      </c>
      <c r="H2651" s="2">
        <v>22</v>
      </c>
      <c r="I2651" s="2" t="s">
        <v>75</v>
      </c>
      <c r="J2651" s="2">
        <v>151</v>
      </c>
      <c r="K2651" s="2" t="s">
        <v>1485</v>
      </c>
      <c r="L2651" s="2" t="s">
        <v>1626</v>
      </c>
      <c r="M2651" s="3">
        <v>40353</v>
      </c>
      <c r="N2651" s="2" t="s">
        <v>8835</v>
      </c>
      <c r="O2651" s="2" t="s">
        <v>8836</v>
      </c>
      <c r="P2651" s="2" t="s">
        <v>8837</v>
      </c>
      <c r="Q2651" s="2" t="str">
        <f>"AP_0025_10"</f>
        <v>AP_0025_10</v>
      </c>
      <c r="R2651" s="2" t="s">
        <v>8838</v>
      </c>
      <c r="S2651" s="2" t="s">
        <v>82</v>
      </c>
      <c r="T2651" s="2">
        <v>1</v>
      </c>
      <c r="U2651" s="2" t="s">
        <v>79</v>
      </c>
      <c r="V2651" s="2">
        <v>1</v>
      </c>
      <c r="W2651" s="2" t="s">
        <v>80</v>
      </c>
      <c r="X2651" s="2">
        <v>1</v>
      </c>
      <c r="Y2651" s="2" t="s">
        <v>81</v>
      </c>
      <c r="Z2651" s="2">
        <v>1</v>
      </c>
      <c r="AA2651" s="2" t="s">
        <v>82</v>
      </c>
      <c r="AB2651" s="2">
        <v>2</v>
      </c>
      <c r="AC2651" s="2" t="s">
        <v>102</v>
      </c>
      <c r="AD2651" s="3">
        <v>40353</v>
      </c>
      <c r="AE2651" s="4">
        <v>0.75694444444444453</v>
      </c>
      <c r="AF2651" s="2"/>
      <c r="AG2651" s="2"/>
      <c r="AH2651" s="2">
        <v>6</v>
      </c>
      <c r="AI2651" s="2" t="s">
        <v>197</v>
      </c>
      <c r="AJ2651" s="2">
        <v>61</v>
      </c>
      <c r="AK2651" s="2" t="s">
        <v>686</v>
      </c>
      <c r="AL2651" s="2">
        <v>11</v>
      </c>
      <c r="AM2651" s="2" t="s">
        <v>137</v>
      </c>
      <c r="AN2651" s="2" t="s">
        <v>82</v>
      </c>
      <c r="AO2651" s="2" t="s">
        <v>8839</v>
      </c>
      <c r="AP2651" s="2">
        <v>11</v>
      </c>
      <c r="AQ2651" s="2" t="s">
        <v>82</v>
      </c>
      <c r="AR2651" s="2" t="s">
        <v>82</v>
      </c>
      <c r="AS2651" s="2" t="s">
        <v>82</v>
      </c>
      <c r="AT2651" s="2" t="s">
        <v>8840</v>
      </c>
      <c r="AU2651" s="2"/>
      <c r="AV2651" s="2"/>
      <c r="AW2651" s="2"/>
      <c r="AX2651" s="2"/>
      <c r="AY2651" s="2">
        <v>41</v>
      </c>
      <c r="AZ2651" s="2" t="s">
        <v>82</v>
      </c>
      <c r="BA2651" s="2">
        <v>41</v>
      </c>
      <c r="BB2651" s="2" t="s">
        <v>82</v>
      </c>
      <c r="BC2651" s="2">
        <v>41</v>
      </c>
      <c r="BD2651" s="2" t="s">
        <v>82</v>
      </c>
      <c r="BE2651" s="2">
        <v>47</v>
      </c>
      <c r="BF2651" s="2" t="s">
        <v>167</v>
      </c>
      <c r="BG2651" s="2" t="s">
        <v>2951</v>
      </c>
      <c r="BH2651" s="2"/>
      <c r="BI2651" s="4">
        <v>0.79513888888888884</v>
      </c>
      <c r="BJ2651" s="2">
        <v>13</v>
      </c>
      <c r="BK2651" s="2" t="s">
        <v>91</v>
      </c>
      <c r="BL2651" s="2" t="s">
        <v>690</v>
      </c>
      <c r="BM2651" s="2">
        <v>241</v>
      </c>
      <c r="BN2651" s="2" t="s">
        <v>82</v>
      </c>
      <c r="BO2651" s="2" t="s">
        <v>82</v>
      </c>
      <c r="BP2651" s="2">
        <v>13</v>
      </c>
      <c r="BQ2651" s="2" t="s">
        <v>91</v>
      </c>
      <c r="BR2651" s="2" t="s">
        <v>185</v>
      </c>
      <c r="BS2651" s="3">
        <v>40353</v>
      </c>
      <c r="BT2651" s="4">
        <v>0.81065972222222227</v>
      </c>
    </row>
    <row r="2652" spans="1:72" x14ac:dyDescent="0.25">
      <c r="A2652" s="2">
        <v>3847</v>
      </c>
      <c r="B2652" s="2">
        <v>2010</v>
      </c>
      <c r="C2652" s="2" t="s">
        <v>72</v>
      </c>
      <c r="D2652" s="2" t="s">
        <v>73</v>
      </c>
      <c r="E2652" s="2"/>
      <c r="F2652" s="2">
        <v>285</v>
      </c>
      <c r="G2652" s="2" t="s">
        <v>1949</v>
      </c>
      <c r="H2652" s="2">
        <v>108</v>
      </c>
      <c r="I2652" s="2" t="s">
        <v>1096</v>
      </c>
      <c r="J2652" s="2">
        <v>122</v>
      </c>
      <c r="K2652" s="2" t="s">
        <v>8361</v>
      </c>
      <c r="L2652" s="2" t="s">
        <v>8362</v>
      </c>
      <c r="M2652" s="3">
        <v>40353</v>
      </c>
      <c r="N2652" s="2" t="s">
        <v>8841</v>
      </c>
      <c r="O2652" s="2" t="s">
        <v>107</v>
      </c>
      <c r="P2652" s="2" t="s">
        <v>82</v>
      </c>
      <c r="Q2652" s="2" t="str">
        <f>"019/10"</f>
        <v>019/10</v>
      </c>
      <c r="R2652" s="2" t="s">
        <v>8842</v>
      </c>
      <c r="S2652" s="2"/>
      <c r="T2652" s="2">
        <v>1</v>
      </c>
      <c r="U2652" s="2" t="s">
        <v>79</v>
      </c>
      <c r="V2652" s="2">
        <v>1</v>
      </c>
      <c r="W2652" s="2" t="s">
        <v>80</v>
      </c>
      <c r="X2652" s="2">
        <v>12</v>
      </c>
      <c r="Y2652" s="2" t="s">
        <v>148</v>
      </c>
      <c r="Z2652" s="2">
        <v>1</v>
      </c>
      <c r="AA2652" s="2" t="s">
        <v>82</v>
      </c>
      <c r="AB2652" s="2">
        <v>6</v>
      </c>
      <c r="AC2652" s="2" t="s">
        <v>83</v>
      </c>
      <c r="AD2652" s="3">
        <v>40347</v>
      </c>
      <c r="AE2652" s="2"/>
      <c r="AF2652" s="3">
        <v>40353</v>
      </c>
      <c r="AG2652" s="4">
        <v>0.88194444444444453</v>
      </c>
      <c r="AH2652" s="2">
        <v>6</v>
      </c>
      <c r="AI2652" s="2" t="s">
        <v>197</v>
      </c>
      <c r="AJ2652" s="2">
        <v>50</v>
      </c>
      <c r="AK2652" s="2" t="s">
        <v>330</v>
      </c>
      <c r="AL2652" s="2">
        <v>21</v>
      </c>
      <c r="AM2652" s="2" t="s">
        <v>1311</v>
      </c>
      <c r="AN2652" s="2"/>
      <c r="AO2652" s="2" t="s">
        <v>8843</v>
      </c>
      <c r="AP2652" s="2">
        <v>11</v>
      </c>
      <c r="AQ2652" s="2" t="s">
        <v>82</v>
      </c>
      <c r="AR2652" s="2"/>
      <c r="AS2652" s="2"/>
      <c r="AT2652" s="2" t="s">
        <v>8844</v>
      </c>
      <c r="AU2652" s="2"/>
      <c r="AV2652" s="2"/>
      <c r="AW2652" s="2"/>
      <c r="AX2652" s="2"/>
      <c r="AY2652" s="2">
        <v>41</v>
      </c>
      <c r="AZ2652" s="2" t="s">
        <v>82</v>
      </c>
      <c r="BA2652" s="2">
        <v>41</v>
      </c>
      <c r="BB2652" s="2" t="s">
        <v>82</v>
      </c>
      <c r="BC2652" s="2">
        <v>41</v>
      </c>
      <c r="BD2652" s="2" t="s">
        <v>82</v>
      </c>
      <c r="BE2652" s="2">
        <v>41</v>
      </c>
      <c r="BF2652" s="2" t="s">
        <v>82</v>
      </c>
      <c r="BG2652" s="2"/>
      <c r="BH2652" s="2"/>
      <c r="BI2652" s="2"/>
      <c r="BJ2652" s="2">
        <v>241</v>
      </c>
      <c r="BK2652" s="2" t="s">
        <v>82</v>
      </c>
      <c r="BL2652" s="2"/>
      <c r="BM2652" s="2">
        <v>241</v>
      </c>
      <c r="BN2652" s="2" t="s">
        <v>82</v>
      </c>
      <c r="BO2652" s="2"/>
      <c r="BP2652" s="2">
        <v>241</v>
      </c>
      <c r="BQ2652" s="2" t="s">
        <v>82</v>
      </c>
      <c r="BR2652" s="2"/>
      <c r="BS2652" s="3">
        <v>40353</v>
      </c>
      <c r="BT2652" s="4">
        <v>0.97210648148148149</v>
      </c>
    </row>
    <row r="2653" spans="1:72" x14ac:dyDescent="0.25">
      <c r="A2653" s="2">
        <v>3848</v>
      </c>
      <c r="B2653" s="2">
        <v>2010</v>
      </c>
      <c r="C2653" s="2" t="s">
        <v>72</v>
      </c>
      <c r="D2653" s="2" t="s">
        <v>73</v>
      </c>
      <c r="E2653" s="2"/>
      <c r="F2653" s="2">
        <v>2</v>
      </c>
      <c r="G2653" s="2" t="s">
        <v>113</v>
      </c>
      <c r="H2653" s="2">
        <v>108</v>
      </c>
      <c r="I2653" s="2" t="s">
        <v>1096</v>
      </c>
      <c r="J2653" s="2">
        <v>300</v>
      </c>
      <c r="K2653" s="2" t="s">
        <v>114</v>
      </c>
      <c r="L2653" s="2" t="s">
        <v>115</v>
      </c>
      <c r="M2653" s="3">
        <v>40354</v>
      </c>
      <c r="N2653" s="2" t="s">
        <v>107</v>
      </c>
      <c r="O2653" s="2" t="s">
        <v>107</v>
      </c>
      <c r="P2653" s="2" t="s">
        <v>107</v>
      </c>
      <c r="Q2653" s="2" t="str">
        <f>"337-E/10"</f>
        <v>337-E/10</v>
      </c>
      <c r="R2653" s="2"/>
      <c r="S2653" s="2" t="s">
        <v>116</v>
      </c>
      <c r="T2653" s="2">
        <v>1</v>
      </c>
      <c r="U2653" s="2" t="s">
        <v>79</v>
      </c>
      <c r="V2653" s="2">
        <v>1</v>
      </c>
      <c r="W2653" s="2" t="s">
        <v>80</v>
      </c>
      <c r="X2653" s="2">
        <v>12</v>
      </c>
      <c r="Y2653" s="2" t="s">
        <v>148</v>
      </c>
      <c r="Z2653" s="2">
        <v>1</v>
      </c>
      <c r="AA2653" s="2" t="s">
        <v>82</v>
      </c>
      <c r="AB2653" s="2">
        <v>6</v>
      </c>
      <c r="AC2653" s="2" t="s">
        <v>83</v>
      </c>
      <c r="AD2653" s="3">
        <v>40352</v>
      </c>
      <c r="AE2653" s="2"/>
      <c r="AF2653" s="3">
        <v>40352</v>
      </c>
      <c r="AG2653" s="4">
        <v>0.75347222222222221</v>
      </c>
      <c r="AH2653" s="2">
        <v>2</v>
      </c>
      <c r="AI2653" s="2" t="s">
        <v>84</v>
      </c>
      <c r="AJ2653" s="2">
        <v>9</v>
      </c>
      <c r="AK2653" s="2" t="s">
        <v>103</v>
      </c>
      <c r="AL2653" s="2">
        <v>23</v>
      </c>
      <c r="AM2653" s="2" t="s">
        <v>251</v>
      </c>
      <c r="AN2653" s="2" t="s">
        <v>8845</v>
      </c>
      <c r="AO2653" s="2" t="s">
        <v>8846</v>
      </c>
      <c r="AP2653" s="2">
        <v>11</v>
      </c>
      <c r="AQ2653" s="2" t="s">
        <v>82</v>
      </c>
      <c r="AR2653" s="2"/>
      <c r="AS2653" s="2"/>
      <c r="AT2653" s="2" t="s">
        <v>8847</v>
      </c>
      <c r="AU2653" s="2"/>
      <c r="AV2653" s="2"/>
      <c r="AW2653" s="2"/>
      <c r="AX2653" s="2"/>
      <c r="AY2653" s="2">
        <v>41</v>
      </c>
      <c r="AZ2653" s="2" t="s">
        <v>82</v>
      </c>
      <c r="BA2653" s="2">
        <v>41</v>
      </c>
      <c r="BB2653" s="2" t="s">
        <v>82</v>
      </c>
      <c r="BC2653" s="2">
        <v>41</v>
      </c>
      <c r="BD2653" s="2" t="s">
        <v>82</v>
      </c>
      <c r="BE2653" s="2">
        <v>41</v>
      </c>
      <c r="BF2653" s="2" t="s">
        <v>82</v>
      </c>
      <c r="BG2653" s="2"/>
      <c r="BH2653" s="2"/>
      <c r="BI2653" s="2"/>
      <c r="BJ2653" s="2">
        <v>241</v>
      </c>
      <c r="BK2653" s="2" t="s">
        <v>82</v>
      </c>
      <c r="BL2653" s="2"/>
      <c r="BM2653" s="2">
        <v>241</v>
      </c>
      <c r="BN2653" s="2" t="s">
        <v>82</v>
      </c>
      <c r="BO2653" s="2"/>
      <c r="BP2653" s="2">
        <v>241</v>
      </c>
      <c r="BQ2653" s="2" t="s">
        <v>82</v>
      </c>
      <c r="BR2653" s="2"/>
      <c r="BS2653" s="3">
        <v>40354</v>
      </c>
      <c r="BT2653" s="4">
        <v>8.2384259259259254E-2</v>
      </c>
    </row>
    <row r="2654" spans="1:72" x14ac:dyDescent="0.25">
      <c r="A2654" s="2">
        <v>3849</v>
      </c>
      <c r="B2654" s="2">
        <v>2010</v>
      </c>
      <c r="C2654" s="2" t="s">
        <v>93</v>
      </c>
      <c r="D2654" s="2" t="s">
        <v>73</v>
      </c>
      <c r="E2654" s="2"/>
      <c r="F2654" s="2">
        <v>645</v>
      </c>
      <c r="G2654" s="2" t="s">
        <v>8848</v>
      </c>
      <c r="H2654" s="2">
        <v>127</v>
      </c>
      <c r="I2654" s="2" t="s">
        <v>8849</v>
      </c>
      <c r="J2654" s="2">
        <v>182</v>
      </c>
      <c r="K2654" s="2" t="s">
        <v>8850</v>
      </c>
      <c r="L2654" s="2" t="s">
        <v>8851</v>
      </c>
      <c r="M2654" s="3">
        <v>40354</v>
      </c>
      <c r="N2654" s="2" t="s">
        <v>8852</v>
      </c>
      <c r="O2654" s="2" t="s">
        <v>671</v>
      </c>
      <c r="P2654" s="7">
        <v>16784</v>
      </c>
      <c r="Q2654" s="2" t="str">
        <f>""</f>
        <v/>
      </c>
      <c r="R2654" s="2" t="s">
        <v>100</v>
      </c>
      <c r="S2654" s="2"/>
      <c r="T2654" s="2">
        <v>1</v>
      </c>
      <c r="U2654" s="2" t="s">
        <v>79</v>
      </c>
      <c r="V2654" s="2">
        <v>1</v>
      </c>
      <c r="W2654" s="2" t="s">
        <v>80</v>
      </c>
      <c r="X2654" s="2">
        <v>10</v>
      </c>
      <c r="Y2654" s="2" t="s">
        <v>226</v>
      </c>
      <c r="Z2654" s="2">
        <v>6</v>
      </c>
      <c r="AA2654" s="2" t="s">
        <v>101</v>
      </c>
      <c r="AB2654" s="2">
        <v>2</v>
      </c>
      <c r="AC2654" s="2" t="s">
        <v>102</v>
      </c>
      <c r="AD2654" s="3">
        <v>40353</v>
      </c>
      <c r="AE2654" s="4">
        <v>0.83333333333333337</v>
      </c>
      <c r="AF2654" s="2"/>
      <c r="AG2654" s="2"/>
      <c r="AH2654" s="2">
        <v>2</v>
      </c>
      <c r="AI2654" s="2" t="s">
        <v>84</v>
      </c>
      <c r="AJ2654" s="2">
        <v>9</v>
      </c>
      <c r="AK2654" s="2" t="s">
        <v>103</v>
      </c>
      <c r="AL2654" s="2">
        <v>14</v>
      </c>
      <c r="AM2654" s="2" t="s">
        <v>216</v>
      </c>
      <c r="AN2654" s="2"/>
      <c r="AO2654" s="2" t="s">
        <v>7664</v>
      </c>
      <c r="AP2654" s="2">
        <v>11</v>
      </c>
      <c r="AQ2654" s="2" t="s">
        <v>82</v>
      </c>
      <c r="AR2654" s="2"/>
      <c r="AS2654" s="2"/>
      <c r="AT2654" s="2" t="s">
        <v>8853</v>
      </c>
      <c r="AU2654" s="2"/>
      <c r="AV2654" s="2"/>
      <c r="AW2654" s="2"/>
      <c r="AX2654" s="2"/>
      <c r="AY2654" s="2">
        <v>41</v>
      </c>
      <c r="AZ2654" s="2" t="s">
        <v>82</v>
      </c>
      <c r="BA2654" s="2">
        <v>41</v>
      </c>
      <c r="BB2654" s="2" t="s">
        <v>82</v>
      </c>
      <c r="BC2654" s="2">
        <v>41</v>
      </c>
      <c r="BD2654" s="2" t="s">
        <v>82</v>
      </c>
      <c r="BE2654" s="2">
        <v>13</v>
      </c>
      <c r="BF2654" s="2" t="s">
        <v>108</v>
      </c>
      <c r="BG2654" s="2" t="s">
        <v>8854</v>
      </c>
      <c r="BH2654" s="2"/>
      <c r="BI2654" s="2"/>
      <c r="BJ2654" s="2">
        <v>205</v>
      </c>
      <c r="BK2654" s="2" t="s">
        <v>1085</v>
      </c>
      <c r="BL2654" s="2" t="s">
        <v>1086</v>
      </c>
      <c r="BM2654" s="2">
        <v>241</v>
      </c>
      <c r="BN2654" s="2" t="s">
        <v>82</v>
      </c>
      <c r="BO2654" s="2"/>
      <c r="BP2654" s="2">
        <v>13</v>
      </c>
      <c r="BQ2654" s="2" t="s">
        <v>91</v>
      </c>
      <c r="BR2654" s="2" t="s">
        <v>360</v>
      </c>
      <c r="BS2654" s="3">
        <v>40354</v>
      </c>
      <c r="BT2654" s="4">
        <v>0.14405092592592592</v>
      </c>
    </row>
    <row r="2655" spans="1:72" x14ac:dyDescent="0.25">
      <c r="A2655" s="2">
        <v>3850</v>
      </c>
      <c r="B2655" s="2">
        <v>2010</v>
      </c>
      <c r="C2655" s="2" t="s">
        <v>8160</v>
      </c>
      <c r="D2655" s="2" t="s">
        <v>73</v>
      </c>
      <c r="E2655" s="2"/>
      <c r="F2655" s="2">
        <v>389</v>
      </c>
      <c r="G2655" s="2" t="s">
        <v>1819</v>
      </c>
      <c r="H2655" s="2">
        <v>2</v>
      </c>
      <c r="I2655" s="2" t="s">
        <v>267</v>
      </c>
      <c r="J2655" s="2">
        <v>399</v>
      </c>
      <c r="K2655" s="2" t="s">
        <v>1820</v>
      </c>
      <c r="L2655" s="2" t="s">
        <v>1821</v>
      </c>
      <c r="M2655" s="3">
        <v>40354</v>
      </c>
      <c r="N2655" s="2" t="s">
        <v>5653</v>
      </c>
      <c r="O2655" s="2"/>
      <c r="P2655" s="2"/>
      <c r="Q2655" s="2" t="str">
        <f>"340-E/10"</f>
        <v>340-E/10</v>
      </c>
      <c r="R2655" s="2" t="s">
        <v>8855</v>
      </c>
      <c r="S2655" s="2"/>
      <c r="T2655" s="2">
        <v>1</v>
      </c>
      <c r="U2655" s="2" t="s">
        <v>79</v>
      </c>
      <c r="V2655" s="2">
        <v>1</v>
      </c>
      <c r="W2655" s="2" t="s">
        <v>80</v>
      </c>
      <c r="X2655" s="2">
        <v>1</v>
      </c>
      <c r="Y2655" s="2" t="s">
        <v>81</v>
      </c>
      <c r="Z2655" s="2">
        <v>1</v>
      </c>
      <c r="AA2655" s="2" t="s">
        <v>82</v>
      </c>
      <c r="AB2655" s="2">
        <v>9</v>
      </c>
      <c r="AC2655" s="2" t="s">
        <v>124</v>
      </c>
      <c r="AD2655" s="3">
        <v>40353</v>
      </c>
      <c r="AE2655" s="4">
        <v>0.75</v>
      </c>
      <c r="AF2655" s="2"/>
      <c r="AG2655" s="2"/>
      <c r="AH2655" s="2">
        <v>2</v>
      </c>
      <c r="AI2655" s="2" t="s">
        <v>84</v>
      </c>
      <c r="AJ2655" s="2">
        <v>9</v>
      </c>
      <c r="AK2655" s="2" t="s">
        <v>103</v>
      </c>
      <c r="AL2655" s="2">
        <v>12</v>
      </c>
      <c r="AM2655" s="2" t="s">
        <v>86</v>
      </c>
      <c r="AN2655" s="2"/>
      <c r="AO2655" s="2" t="s">
        <v>1319</v>
      </c>
      <c r="AP2655" s="2">
        <v>11</v>
      </c>
      <c r="AQ2655" s="2" t="s">
        <v>82</v>
      </c>
      <c r="AR2655" s="2"/>
      <c r="AS2655" s="2"/>
      <c r="AT2655" s="2" t="s">
        <v>8856</v>
      </c>
      <c r="AU2655" s="2"/>
      <c r="AV2655" s="2"/>
      <c r="AW2655" s="2"/>
      <c r="AX2655" s="2"/>
      <c r="AY2655" s="2">
        <v>41</v>
      </c>
      <c r="AZ2655" s="2" t="s">
        <v>82</v>
      </c>
      <c r="BA2655" s="2">
        <v>41</v>
      </c>
      <c r="BB2655" s="2" t="s">
        <v>82</v>
      </c>
      <c r="BC2655" s="2">
        <v>41</v>
      </c>
      <c r="BD2655" s="2" t="s">
        <v>82</v>
      </c>
      <c r="BE2655" s="2">
        <v>1</v>
      </c>
      <c r="BF2655" s="2" t="s">
        <v>107</v>
      </c>
      <c r="BG2655" s="2"/>
      <c r="BH2655" s="2"/>
      <c r="BI2655" s="2"/>
      <c r="BJ2655" s="2">
        <v>241</v>
      </c>
      <c r="BK2655" s="2" t="s">
        <v>82</v>
      </c>
      <c r="BL2655" s="2"/>
      <c r="BM2655" s="2">
        <v>241</v>
      </c>
      <c r="BN2655" s="2" t="s">
        <v>82</v>
      </c>
      <c r="BO2655" s="2"/>
      <c r="BP2655" s="2">
        <v>241</v>
      </c>
      <c r="BQ2655" s="2" t="s">
        <v>82</v>
      </c>
      <c r="BR2655" s="2"/>
      <c r="BS2655" s="3">
        <v>40354</v>
      </c>
      <c r="BT2655" s="4">
        <v>0.16648148148148148</v>
      </c>
    </row>
    <row r="2656" spans="1:72" x14ac:dyDescent="0.25">
      <c r="A2656" s="2">
        <v>3851</v>
      </c>
      <c r="B2656" s="2">
        <v>2010</v>
      </c>
      <c r="C2656" s="2" t="s">
        <v>4543</v>
      </c>
      <c r="D2656" s="2" t="s">
        <v>122</v>
      </c>
      <c r="E2656" s="2"/>
      <c r="F2656" s="2">
        <v>1</v>
      </c>
      <c r="G2656" s="2" t="s">
        <v>82</v>
      </c>
      <c r="H2656" s="2">
        <v>1</v>
      </c>
      <c r="I2656" s="2" t="s">
        <v>82</v>
      </c>
      <c r="J2656" s="2">
        <v>1</v>
      </c>
      <c r="K2656" s="2" t="s">
        <v>107</v>
      </c>
      <c r="L2656" s="2" t="s">
        <v>107</v>
      </c>
      <c r="M2656" s="3">
        <v>40354</v>
      </c>
      <c r="N2656" s="2"/>
      <c r="O2656" s="2"/>
      <c r="P2656" s="2"/>
      <c r="Q2656" s="2" t="str">
        <f>""</f>
        <v/>
      </c>
      <c r="R2656" s="2"/>
      <c r="S2656" s="2"/>
      <c r="T2656" s="2">
        <v>2</v>
      </c>
      <c r="U2656" s="2" t="s">
        <v>123</v>
      </c>
      <c r="V2656" s="2">
        <v>1</v>
      </c>
      <c r="W2656" s="2" t="s">
        <v>80</v>
      </c>
      <c r="X2656" s="2">
        <v>11</v>
      </c>
      <c r="Y2656" s="2" t="s">
        <v>1920</v>
      </c>
      <c r="Z2656" s="2">
        <v>1</v>
      </c>
      <c r="AA2656" s="2" t="s">
        <v>82</v>
      </c>
      <c r="AB2656" s="2">
        <v>9</v>
      </c>
      <c r="AC2656" s="2" t="s">
        <v>124</v>
      </c>
      <c r="AD2656" s="3">
        <v>40354</v>
      </c>
      <c r="AE2656" s="4">
        <v>0.35486111111111113</v>
      </c>
      <c r="AF2656" s="2"/>
      <c r="AG2656" s="2"/>
      <c r="AH2656" s="2">
        <v>6</v>
      </c>
      <c r="AI2656" s="2" t="s">
        <v>197</v>
      </c>
      <c r="AJ2656" s="2">
        <v>54</v>
      </c>
      <c r="AK2656" s="2" t="s">
        <v>348</v>
      </c>
      <c r="AL2656" s="2">
        <v>18</v>
      </c>
      <c r="AM2656" s="2" t="s">
        <v>82</v>
      </c>
      <c r="AN2656" s="2" t="s">
        <v>595</v>
      </c>
      <c r="AO2656" s="2" t="s">
        <v>200</v>
      </c>
      <c r="AP2656" s="2">
        <v>14</v>
      </c>
      <c r="AQ2656" s="2" t="s">
        <v>3301</v>
      </c>
      <c r="AR2656" s="2" t="s">
        <v>596</v>
      </c>
      <c r="AS2656" s="2" t="s">
        <v>596</v>
      </c>
      <c r="AT2656" s="2" t="s">
        <v>8857</v>
      </c>
      <c r="AU2656" s="2"/>
      <c r="AV2656" s="2"/>
      <c r="AW2656" s="2"/>
      <c r="AX2656" s="2"/>
      <c r="AY2656" s="2">
        <v>1</v>
      </c>
      <c r="AZ2656" s="2" t="s">
        <v>107</v>
      </c>
      <c r="BA2656" s="2">
        <v>1</v>
      </c>
      <c r="BB2656" s="2" t="s">
        <v>107</v>
      </c>
      <c r="BC2656" s="2">
        <v>1</v>
      </c>
      <c r="BD2656" s="2" t="s">
        <v>107</v>
      </c>
      <c r="BE2656" s="2">
        <v>4</v>
      </c>
      <c r="BF2656" s="2" t="s">
        <v>90</v>
      </c>
      <c r="BG2656" s="2" t="s">
        <v>5619</v>
      </c>
      <c r="BH2656" s="4">
        <v>0.31597222222222221</v>
      </c>
      <c r="BI2656" s="4">
        <v>0.35486111111111113</v>
      </c>
      <c r="BJ2656" s="2">
        <v>13</v>
      </c>
      <c r="BK2656" s="2" t="s">
        <v>91</v>
      </c>
      <c r="BL2656" s="2" t="s">
        <v>7629</v>
      </c>
      <c r="BM2656" s="2">
        <v>242</v>
      </c>
      <c r="BN2656" s="2" t="s">
        <v>107</v>
      </c>
      <c r="BO2656" s="2" t="s">
        <v>107</v>
      </c>
      <c r="BP2656" s="2">
        <v>13</v>
      </c>
      <c r="BQ2656" s="2" t="s">
        <v>91</v>
      </c>
      <c r="BR2656" s="2" t="s">
        <v>905</v>
      </c>
      <c r="BS2656" s="3">
        <v>40354</v>
      </c>
      <c r="BT2656" s="4">
        <v>0.38043981481481487</v>
      </c>
    </row>
    <row r="2657" spans="1:72" x14ac:dyDescent="0.25">
      <c r="A2657" s="2">
        <v>3856</v>
      </c>
      <c r="B2657" s="2">
        <v>2010</v>
      </c>
      <c r="C2657" s="2" t="s">
        <v>72</v>
      </c>
      <c r="D2657" s="2" t="s">
        <v>73</v>
      </c>
      <c r="E2657" s="2"/>
      <c r="F2657" s="2">
        <v>170</v>
      </c>
      <c r="G2657" s="2" t="s">
        <v>7892</v>
      </c>
      <c r="H2657" s="2">
        <v>42</v>
      </c>
      <c r="I2657" s="2" t="s">
        <v>1096</v>
      </c>
      <c r="J2657" s="2">
        <v>550</v>
      </c>
      <c r="K2657" s="2" t="s">
        <v>6744</v>
      </c>
      <c r="L2657" s="2" t="s">
        <v>6745</v>
      </c>
      <c r="M2657" s="3">
        <v>40354</v>
      </c>
      <c r="N2657" s="2" t="s">
        <v>8858</v>
      </c>
      <c r="O2657" s="2" t="s">
        <v>107</v>
      </c>
      <c r="P2657" s="2" t="s">
        <v>107</v>
      </c>
      <c r="Q2657" s="2" t="str">
        <f>"230-A/10"</f>
        <v>230-A/10</v>
      </c>
      <c r="R2657" s="2" t="s">
        <v>78</v>
      </c>
      <c r="S2657" s="2" t="s">
        <v>78</v>
      </c>
      <c r="T2657" s="2">
        <v>1</v>
      </c>
      <c r="U2657" s="2" t="s">
        <v>79</v>
      </c>
      <c r="V2657" s="2">
        <v>1</v>
      </c>
      <c r="W2657" s="2" t="s">
        <v>80</v>
      </c>
      <c r="X2657" s="2">
        <v>12</v>
      </c>
      <c r="Y2657" s="2" t="s">
        <v>148</v>
      </c>
      <c r="Z2657" s="2">
        <v>1</v>
      </c>
      <c r="AA2657" s="2" t="s">
        <v>82</v>
      </c>
      <c r="AB2657" s="2">
        <v>6</v>
      </c>
      <c r="AC2657" s="2" t="s">
        <v>83</v>
      </c>
      <c r="AD2657" s="3">
        <v>40354</v>
      </c>
      <c r="AE2657" s="2"/>
      <c r="AF2657" s="3">
        <v>40354</v>
      </c>
      <c r="AG2657" s="4">
        <v>0.42708333333333331</v>
      </c>
      <c r="AH2657" s="2">
        <v>2</v>
      </c>
      <c r="AI2657" s="2" t="s">
        <v>84</v>
      </c>
      <c r="AJ2657" s="2">
        <v>12</v>
      </c>
      <c r="AK2657" s="2" t="s">
        <v>85</v>
      </c>
      <c r="AL2657" s="2">
        <v>23</v>
      </c>
      <c r="AM2657" s="2" t="s">
        <v>251</v>
      </c>
      <c r="AN2657" s="2" t="s">
        <v>8859</v>
      </c>
      <c r="AO2657" s="2"/>
      <c r="AP2657" s="2">
        <v>11</v>
      </c>
      <c r="AQ2657" s="2" t="s">
        <v>82</v>
      </c>
      <c r="AR2657" s="2"/>
      <c r="AS2657" s="2"/>
      <c r="AT2657" s="2" t="s">
        <v>8860</v>
      </c>
      <c r="AU2657" s="2"/>
      <c r="AV2657" s="2"/>
      <c r="AW2657" s="2"/>
      <c r="AX2657" s="2"/>
      <c r="AY2657" s="2">
        <v>41</v>
      </c>
      <c r="AZ2657" s="2" t="s">
        <v>82</v>
      </c>
      <c r="BA2657" s="2">
        <v>41</v>
      </c>
      <c r="BB2657" s="2" t="s">
        <v>82</v>
      </c>
      <c r="BC2657" s="2">
        <v>41</v>
      </c>
      <c r="BD2657" s="2" t="s">
        <v>82</v>
      </c>
      <c r="BE2657" s="2">
        <v>41</v>
      </c>
      <c r="BF2657" s="2" t="s">
        <v>82</v>
      </c>
      <c r="BG2657" s="2"/>
      <c r="BH2657" s="2"/>
      <c r="BI2657" s="2"/>
      <c r="BJ2657" s="2">
        <v>241</v>
      </c>
      <c r="BK2657" s="2" t="s">
        <v>82</v>
      </c>
      <c r="BL2657" s="2"/>
      <c r="BM2657" s="2">
        <v>241</v>
      </c>
      <c r="BN2657" s="2" t="s">
        <v>82</v>
      </c>
      <c r="BO2657" s="2"/>
      <c r="BP2657" s="2">
        <v>241</v>
      </c>
      <c r="BQ2657" s="2" t="s">
        <v>82</v>
      </c>
      <c r="BR2657" s="2"/>
      <c r="BS2657" s="3">
        <v>40354</v>
      </c>
      <c r="BT2657" s="4">
        <v>0.50335648148148149</v>
      </c>
    </row>
    <row r="2658" spans="1:72" x14ac:dyDescent="0.25">
      <c r="A2658" s="2">
        <v>3860</v>
      </c>
      <c r="B2658" s="2">
        <v>2010</v>
      </c>
      <c r="C2658" s="2" t="s">
        <v>72</v>
      </c>
      <c r="D2658" s="2" t="s">
        <v>73</v>
      </c>
      <c r="E2658" s="2"/>
      <c r="F2658" s="2">
        <v>438</v>
      </c>
      <c r="G2658" s="2" t="s">
        <v>7090</v>
      </c>
      <c r="H2658" s="2">
        <v>108</v>
      </c>
      <c r="I2658" s="2" t="s">
        <v>1096</v>
      </c>
      <c r="J2658" s="2">
        <v>327</v>
      </c>
      <c r="K2658" s="2" t="s">
        <v>7091</v>
      </c>
      <c r="L2658" s="2" t="s">
        <v>7092</v>
      </c>
      <c r="M2658" s="3">
        <v>40354</v>
      </c>
      <c r="N2658" s="2" t="s">
        <v>7093</v>
      </c>
      <c r="O2658" s="2"/>
      <c r="P2658" s="2"/>
      <c r="Q2658" s="2" t="str">
        <f>"076"</f>
        <v>076</v>
      </c>
      <c r="R2658" s="2" t="s">
        <v>8861</v>
      </c>
      <c r="S2658" s="2" t="s">
        <v>822</v>
      </c>
      <c r="T2658" s="2">
        <v>1</v>
      </c>
      <c r="U2658" s="2" t="s">
        <v>79</v>
      </c>
      <c r="V2658" s="2">
        <v>1</v>
      </c>
      <c r="W2658" s="2" t="s">
        <v>80</v>
      </c>
      <c r="X2658" s="2">
        <v>12</v>
      </c>
      <c r="Y2658" s="2" t="s">
        <v>148</v>
      </c>
      <c r="Z2658" s="2">
        <v>1</v>
      </c>
      <c r="AA2658" s="2" t="s">
        <v>82</v>
      </c>
      <c r="AB2658" s="2">
        <v>6</v>
      </c>
      <c r="AC2658" s="2" t="s">
        <v>83</v>
      </c>
      <c r="AD2658" s="3">
        <v>40354</v>
      </c>
      <c r="AE2658" s="2"/>
      <c r="AF2658" s="3">
        <v>40354</v>
      </c>
      <c r="AG2658" s="4">
        <v>0.46875</v>
      </c>
      <c r="AH2658" s="2">
        <v>4</v>
      </c>
      <c r="AI2658" s="2" t="s">
        <v>125</v>
      </c>
      <c r="AJ2658" s="2">
        <v>29</v>
      </c>
      <c r="AK2658" s="2" t="s">
        <v>227</v>
      </c>
      <c r="AL2658" s="2">
        <v>9</v>
      </c>
      <c r="AM2658" s="2" t="s">
        <v>259</v>
      </c>
      <c r="AN2658" s="2" t="s">
        <v>8862</v>
      </c>
      <c r="AO2658" s="2" t="s">
        <v>8863</v>
      </c>
      <c r="AP2658" s="2">
        <v>11</v>
      </c>
      <c r="AQ2658" s="2" t="s">
        <v>82</v>
      </c>
      <c r="AR2658" s="2" t="s">
        <v>82</v>
      </c>
      <c r="AS2658" s="2" t="s">
        <v>82</v>
      </c>
      <c r="AT2658" s="2" t="s">
        <v>8864</v>
      </c>
      <c r="AU2658" s="2"/>
      <c r="AV2658" s="2"/>
      <c r="AW2658" s="2"/>
      <c r="AX2658" s="2"/>
      <c r="AY2658" s="2">
        <v>44</v>
      </c>
      <c r="AZ2658" s="2" t="s">
        <v>262</v>
      </c>
      <c r="BA2658" s="2">
        <v>44</v>
      </c>
      <c r="BB2658" s="2" t="s">
        <v>262</v>
      </c>
      <c r="BC2658" s="2">
        <v>44</v>
      </c>
      <c r="BD2658" s="2" t="s">
        <v>262</v>
      </c>
      <c r="BE2658" s="2">
        <v>41</v>
      </c>
      <c r="BF2658" s="2" t="s">
        <v>82</v>
      </c>
      <c r="BG2658" s="2" t="s">
        <v>82</v>
      </c>
      <c r="BH2658" s="2"/>
      <c r="BI2658" s="2"/>
      <c r="BJ2658" s="2">
        <v>241</v>
      </c>
      <c r="BK2658" s="2" t="s">
        <v>82</v>
      </c>
      <c r="BL2658" s="2" t="s">
        <v>82</v>
      </c>
      <c r="BM2658" s="2">
        <v>241</v>
      </c>
      <c r="BN2658" s="2" t="s">
        <v>82</v>
      </c>
      <c r="BO2658" s="2" t="s">
        <v>82</v>
      </c>
      <c r="BP2658" s="2">
        <v>241</v>
      </c>
      <c r="BQ2658" s="2" t="s">
        <v>82</v>
      </c>
      <c r="BR2658" s="2" t="s">
        <v>82</v>
      </c>
      <c r="BS2658" s="3">
        <v>40354</v>
      </c>
      <c r="BT2658" s="4">
        <v>0.55577546296296299</v>
      </c>
    </row>
    <row r="2659" spans="1:72" x14ac:dyDescent="0.25">
      <c r="A2659" s="2">
        <v>3864</v>
      </c>
      <c r="B2659" s="2">
        <v>2010</v>
      </c>
      <c r="C2659" s="2" t="s">
        <v>72</v>
      </c>
      <c r="D2659" s="2" t="s">
        <v>73</v>
      </c>
      <c r="E2659" s="2"/>
      <c r="F2659" s="2">
        <v>361</v>
      </c>
      <c r="G2659" s="2" t="s">
        <v>8865</v>
      </c>
      <c r="H2659" s="2">
        <v>108</v>
      </c>
      <c r="I2659" s="2" t="s">
        <v>1096</v>
      </c>
      <c r="J2659" s="2">
        <v>598</v>
      </c>
      <c r="K2659" s="2" t="s">
        <v>8866</v>
      </c>
      <c r="L2659" s="2" t="s">
        <v>8867</v>
      </c>
      <c r="M2659" s="3">
        <v>40354</v>
      </c>
      <c r="N2659" s="2" t="s">
        <v>8868</v>
      </c>
      <c r="O2659" s="2" t="s">
        <v>107</v>
      </c>
      <c r="P2659" s="2" t="s">
        <v>107</v>
      </c>
      <c r="Q2659" s="2" t="str">
        <f>"0008/10"</f>
        <v>0008/10</v>
      </c>
      <c r="R2659" s="2" t="s">
        <v>107</v>
      </c>
      <c r="S2659" s="2" t="s">
        <v>8869</v>
      </c>
      <c r="T2659" s="2">
        <v>1</v>
      </c>
      <c r="U2659" s="2" t="s">
        <v>79</v>
      </c>
      <c r="V2659" s="2">
        <v>1</v>
      </c>
      <c r="W2659" s="2" t="s">
        <v>80</v>
      </c>
      <c r="X2659" s="2">
        <v>12</v>
      </c>
      <c r="Y2659" s="2" t="s">
        <v>148</v>
      </c>
      <c r="Z2659" s="2">
        <v>1</v>
      </c>
      <c r="AA2659" s="2" t="s">
        <v>82</v>
      </c>
      <c r="AB2659" s="2">
        <v>6</v>
      </c>
      <c r="AC2659" s="2" t="s">
        <v>83</v>
      </c>
      <c r="AD2659" s="3">
        <v>40077</v>
      </c>
      <c r="AE2659" s="4">
        <v>0.34722222222222227</v>
      </c>
      <c r="AF2659" s="3">
        <v>40354</v>
      </c>
      <c r="AG2659" s="4">
        <v>0.55208333333333337</v>
      </c>
      <c r="AH2659" s="2">
        <v>5</v>
      </c>
      <c r="AI2659" s="2" t="s">
        <v>274</v>
      </c>
      <c r="AJ2659" s="2">
        <v>45</v>
      </c>
      <c r="AK2659" s="2" t="s">
        <v>834</v>
      </c>
      <c r="AL2659" s="2">
        <v>22</v>
      </c>
      <c r="AM2659" s="2" t="s">
        <v>1853</v>
      </c>
      <c r="AN2659" s="2" t="s">
        <v>8870</v>
      </c>
      <c r="AO2659" s="2" t="s">
        <v>8871</v>
      </c>
      <c r="AP2659" s="2">
        <v>11</v>
      </c>
      <c r="AQ2659" s="2" t="s">
        <v>82</v>
      </c>
      <c r="AR2659" s="2" t="s">
        <v>82</v>
      </c>
      <c r="AS2659" s="2" t="s">
        <v>82</v>
      </c>
      <c r="AT2659" s="2" t="s">
        <v>8872</v>
      </c>
      <c r="AU2659" s="2"/>
      <c r="AV2659" s="2"/>
      <c r="AW2659" s="2"/>
      <c r="AX2659" s="2"/>
      <c r="AY2659" s="2">
        <v>41</v>
      </c>
      <c r="AZ2659" s="2" t="s">
        <v>82</v>
      </c>
      <c r="BA2659" s="2">
        <v>41</v>
      </c>
      <c r="BB2659" s="2" t="s">
        <v>82</v>
      </c>
      <c r="BC2659" s="2">
        <v>23</v>
      </c>
      <c r="BD2659" s="2" t="s">
        <v>183</v>
      </c>
      <c r="BE2659" s="2">
        <v>23</v>
      </c>
      <c r="BF2659" s="2" t="s">
        <v>183</v>
      </c>
      <c r="BG2659" s="2" t="s">
        <v>8873</v>
      </c>
      <c r="BH2659" s="4">
        <v>0.33333333333333331</v>
      </c>
      <c r="BI2659" s="4">
        <v>0.76388888888888884</v>
      </c>
      <c r="BJ2659" s="2">
        <v>112</v>
      </c>
      <c r="BK2659" s="2" t="s">
        <v>110</v>
      </c>
      <c r="BL2659" s="2" t="s">
        <v>111</v>
      </c>
      <c r="BM2659" s="2">
        <v>73</v>
      </c>
      <c r="BN2659" s="2" t="s">
        <v>186</v>
      </c>
      <c r="BO2659" s="2" t="s">
        <v>187</v>
      </c>
      <c r="BP2659" s="2">
        <v>13</v>
      </c>
      <c r="BQ2659" s="2" t="s">
        <v>91</v>
      </c>
      <c r="BR2659" s="2" t="s">
        <v>360</v>
      </c>
      <c r="BS2659" s="3">
        <v>40354</v>
      </c>
      <c r="BT2659" s="4">
        <v>0.64831018518518524</v>
      </c>
    </row>
    <row r="2660" spans="1:72" x14ac:dyDescent="0.25">
      <c r="A2660" s="2">
        <v>3865</v>
      </c>
      <c r="B2660" s="2">
        <v>2010</v>
      </c>
      <c r="C2660" s="2" t="s">
        <v>377</v>
      </c>
      <c r="D2660" s="2" t="s">
        <v>73</v>
      </c>
      <c r="E2660" s="2"/>
      <c r="F2660" s="2">
        <v>426</v>
      </c>
      <c r="G2660" s="2" t="s">
        <v>378</v>
      </c>
      <c r="H2660" s="2">
        <v>108</v>
      </c>
      <c r="I2660" s="2" t="s">
        <v>1096</v>
      </c>
      <c r="J2660" s="2">
        <v>311</v>
      </c>
      <c r="K2660" s="2" t="s">
        <v>379</v>
      </c>
      <c r="L2660" s="2" t="s">
        <v>380</v>
      </c>
      <c r="M2660" s="3">
        <v>40354</v>
      </c>
      <c r="N2660" s="2" t="s">
        <v>4427</v>
      </c>
      <c r="O2660" s="2"/>
      <c r="P2660" s="2"/>
      <c r="Q2660" s="2" t="str">
        <f>"139-C/10"</f>
        <v>139-C/10</v>
      </c>
      <c r="R2660" s="2" t="s">
        <v>8874</v>
      </c>
      <c r="S2660" s="2"/>
      <c r="T2660" s="2">
        <v>1</v>
      </c>
      <c r="U2660" s="2" t="s">
        <v>79</v>
      </c>
      <c r="V2660" s="2">
        <v>1</v>
      </c>
      <c r="W2660" s="2" t="s">
        <v>80</v>
      </c>
      <c r="X2660" s="2">
        <v>1</v>
      </c>
      <c r="Y2660" s="2" t="s">
        <v>81</v>
      </c>
      <c r="Z2660" s="2">
        <v>1</v>
      </c>
      <c r="AA2660" s="2" t="s">
        <v>82</v>
      </c>
      <c r="AB2660" s="2">
        <v>9</v>
      </c>
      <c r="AC2660" s="2" t="s">
        <v>124</v>
      </c>
      <c r="AD2660" s="3">
        <v>40354</v>
      </c>
      <c r="AE2660" s="4">
        <v>0.4513888888888889</v>
      </c>
      <c r="AF2660" s="2"/>
      <c r="AG2660" s="2"/>
      <c r="AH2660" s="2">
        <v>2</v>
      </c>
      <c r="AI2660" s="2" t="s">
        <v>84</v>
      </c>
      <c r="AJ2660" s="2">
        <v>9</v>
      </c>
      <c r="AK2660" s="2" t="s">
        <v>103</v>
      </c>
      <c r="AL2660" s="2">
        <v>29</v>
      </c>
      <c r="AM2660" s="2" t="s">
        <v>5416</v>
      </c>
      <c r="AN2660" s="2"/>
      <c r="AO2660" s="2" t="s">
        <v>4220</v>
      </c>
      <c r="AP2660" s="2">
        <v>11</v>
      </c>
      <c r="AQ2660" s="2" t="s">
        <v>82</v>
      </c>
      <c r="AR2660" s="2"/>
      <c r="AS2660" s="2"/>
      <c r="AT2660" s="2" t="s">
        <v>8875</v>
      </c>
      <c r="AU2660" s="2"/>
      <c r="AV2660" s="2"/>
      <c r="AW2660" s="2"/>
      <c r="AX2660" s="2"/>
      <c r="AY2660" s="2">
        <v>41</v>
      </c>
      <c r="AZ2660" s="2" t="s">
        <v>82</v>
      </c>
      <c r="BA2660" s="2">
        <v>41</v>
      </c>
      <c r="BB2660" s="2" t="s">
        <v>82</v>
      </c>
      <c r="BC2660" s="2">
        <v>41</v>
      </c>
      <c r="BD2660" s="2" t="s">
        <v>82</v>
      </c>
      <c r="BE2660" s="2">
        <v>41</v>
      </c>
      <c r="BF2660" s="2" t="s">
        <v>82</v>
      </c>
      <c r="BG2660" s="2"/>
      <c r="BH2660" s="2"/>
      <c r="BI2660" s="2"/>
      <c r="BJ2660" s="2">
        <v>241</v>
      </c>
      <c r="BK2660" s="2" t="s">
        <v>82</v>
      </c>
      <c r="BL2660" s="2"/>
      <c r="BM2660" s="2">
        <v>241</v>
      </c>
      <c r="BN2660" s="2" t="s">
        <v>82</v>
      </c>
      <c r="BO2660" s="2"/>
      <c r="BP2660" s="2">
        <v>241</v>
      </c>
      <c r="BQ2660" s="2" t="s">
        <v>82</v>
      </c>
      <c r="BR2660" s="2"/>
      <c r="BS2660" s="3">
        <v>40354</v>
      </c>
      <c r="BT2660" s="4">
        <v>0.67957175925925928</v>
      </c>
    </row>
    <row r="2661" spans="1:72" x14ac:dyDescent="0.25">
      <c r="A2661" s="2">
        <v>3866</v>
      </c>
      <c r="B2661" s="2">
        <v>2010</v>
      </c>
      <c r="C2661" s="2" t="s">
        <v>255</v>
      </c>
      <c r="D2661" s="2" t="s">
        <v>73</v>
      </c>
      <c r="E2661" s="2"/>
      <c r="F2661" s="2">
        <v>481</v>
      </c>
      <c r="G2661" s="2" t="s">
        <v>1438</v>
      </c>
      <c r="H2661" s="2">
        <v>1</v>
      </c>
      <c r="I2661" s="2" t="s">
        <v>82</v>
      </c>
      <c r="J2661" s="2">
        <v>58</v>
      </c>
      <c r="K2661" s="2" t="s">
        <v>3405</v>
      </c>
      <c r="L2661" s="2" t="s">
        <v>1692</v>
      </c>
      <c r="M2661" s="3">
        <v>40354</v>
      </c>
      <c r="N2661" s="2" t="s">
        <v>8876</v>
      </c>
      <c r="O2661" s="2" t="s">
        <v>8877</v>
      </c>
      <c r="P2661" s="2" t="s">
        <v>107</v>
      </c>
      <c r="Q2661" s="2" t="str">
        <f>"30/10"</f>
        <v>30/10</v>
      </c>
      <c r="R2661" s="2" t="s">
        <v>107</v>
      </c>
      <c r="S2661" s="2" t="s">
        <v>8877</v>
      </c>
      <c r="T2661" s="2">
        <v>1</v>
      </c>
      <c r="U2661" s="2" t="s">
        <v>79</v>
      </c>
      <c r="V2661" s="2">
        <v>1</v>
      </c>
      <c r="W2661" s="2" t="s">
        <v>80</v>
      </c>
      <c r="X2661" s="2">
        <v>12</v>
      </c>
      <c r="Y2661" s="2" t="s">
        <v>148</v>
      </c>
      <c r="Z2661" s="2">
        <v>1</v>
      </c>
      <c r="AA2661" s="2" t="s">
        <v>82</v>
      </c>
      <c r="AB2661" s="2">
        <v>9</v>
      </c>
      <c r="AC2661" s="2" t="s">
        <v>124</v>
      </c>
      <c r="AD2661" s="3">
        <v>40354</v>
      </c>
      <c r="AE2661" s="2"/>
      <c r="AF2661" s="3">
        <v>40354</v>
      </c>
      <c r="AG2661" s="4">
        <v>0.54166666666666663</v>
      </c>
      <c r="AH2661" s="2">
        <v>3</v>
      </c>
      <c r="AI2661" s="2" t="s">
        <v>214</v>
      </c>
      <c r="AJ2661" s="2">
        <v>17</v>
      </c>
      <c r="AK2661" s="2" t="s">
        <v>309</v>
      </c>
      <c r="AL2661" s="2">
        <v>21</v>
      </c>
      <c r="AM2661" s="2" t="s">
        <v>1311</v>
      </c>
      <c r="AN2661" s="2" t="s">
        <v>8878</v>
      </c>
      <c r="AO2661" s="2" t="s">
        <v>8879</v>
      </c>
      <c r="AP2661" s="2">
        <v>11</v>
      </c>
      <c r="AQ2661" s="2" t="s">
        <v>82</v>
      </c>
      <c r="AR2661" s="2" t="s">
        <v>82</v>
      </c>
      <c r="AS2661" s="2" t="s">
        <v>82</v>
      </c>
      <c r="AT2661" s="2" t="s">
        <v>8880</v>
      </c>
      <c r="AU2661" s="2"/>
      <c r="AV2661" s="2"/>
      <c r="AW2661" s="2"/>
      <c r="AX2661" s="2"/>
      <c r="AY2661" s="2">
        <v>41</v>
      </c>
      <c r="AZ2661" s="2" t="s">
        <v>82</v>
      </c>
      <c r="BA2661" s="2">
        <v>41</v>
      </c>
      <c r="BB2661" s="2" t="s">
        <v>82</v>
      </c>
      <c r="BC2661" s="2">
        <v>41</v>
      </c>
      <c r="BD2661" s="2" t="s">
        <v>82</v>
      </c>
      <c r="BE2661" s="2">
        <v>41</v>
      </c>
      <c r="BF2661" s="2" t="s">
        <v>82</v>
      </c>
      <c r="BG2661" s="2" t="s">
        <v>82</v>
      </c>
      <c r="BH2661" s="2"/>
      <c r="BI2661" s="2"/>
      <c r="BJ2661" s="2">
        <v>241</v>
      </c>
      <c r="BK2661" s="2" t="s">
        <v>82</v>
      </c>
      <c r="BL2661" s="2" t="s">
        <v>82</v>
      </c>
      <c r="BM2661" s="2">
        <v>241</v>
      </c>
      <c r="BN2661" s="2" t="s">
        <v>82</v>
      </c>
      <c r="BO2661" s="2" t="s">
        <v>82</v>
      </c>
      <c r="BP2661" s="2">
        <v>241</v>
      </c>
      <c r="BQ2661" s="2" t="s">
        <v>82</v>
      </c>
      <c r="BR2661" s="2" t="s">
        <v>82</v>
      </c>
      <c r="BS2661" s="3">
        <v>40354</v>
      </c>
      <c r="BT2661" s="4">
        <v>0.68935185185185188</v>
      </c>
    </row>
    <row r="2662" spans="1:72" x14ac:dyDescent="0.25">
      <c r="A2662" s="2">
        <v>3868</v>
      </c>
      <c r="B2662" s="2">
        <v>2010</v>
      </c>
      <c r="C2662" s="2" t="s">
        <v>171</v>
      </c>
      <c r="D2662" s="2" t="s">
        <v>73</v>
      </c>
      <c r="E2662" s="2"/>
      <c r="F2662" s="2">
        <v>646</v>
      </c>
      <c r="G2662" s="2" t="s">
        <v>8881</v>
      </c>
      <c r="H2662" s="2">
        <v>99</v>
      </c>
      <c r="I2662" s="2" t="s">
        <v>6285</v>
      </c>
      <c r="J2662" s="2">
        <v>599</v>
      </c>
      <c r="K2662" s="2" t="s">
        <v>8882</v>
      </c>
      <c r="L2662" s="2" t="s">
        <v>8883</v>
      </c>
      <c r="M2662" s="3">
        <v>40354</v>
      </c>
      <c r="N2662" s="2" t="s">
        <v>8884</v>
      </c>
      <c r="O2662" s="2" t="s">
        <v>8885</v>
      </c>
      <c r="P2662" s="2" t="s">
        <v>8886</v>
      </c>
      <c r="Q2662" s="2" t="str">
        <f>"0013/2010"</f>
        <v>0013/2010</v>
      </c>
      <c r="R2662" s="2"/>
      <c r="S2662" s="2" t="s">
        <v>8887</v>
      </c>
      <c r="T2662" s="2">
        <v>1</v>
      </c>
      <c r="U2662" s="2" t="s">
        <v>79</v>
      </c>
      <c r="V2662" s="2">
        <v>3</v>
      </c>
      <c r="W2662" s="2" t="s">
        <v>225</v>
      </c>
      <c r="X2662" s="2">
        <v>6</v>
      </c>
      <c r="Y2662" s="2" t="s">
        <v>249</v>
      </c>
      <c r="Z2662" s="2">
        <v>22</v>
      </c>
      <c r="AA2662" s="2" t="s">
        <v>4417</v>
      </c>
      <c r="AB2662" s="2">
        <v>9</v>
      </c>
      <c r="AC2662" s="2" t="s">
        <v>124</v>
      </c>
      <c r="AD2662" s="3">
        <v>40354</v>
      </c>
      <c r="AE2662" s="2"/>
      <c r="AF2662" s="2"/>
      <c r="AG2662" s="2"/>
      <c r="AH2662" s="2">
        <v>5</v>
      </c>
      <c r="AI2662" s="2" t="s">
        <v>274</v>
      </c>
      <c r="AJ2662" s="2">
        <v>35</v>
      </c>
      <c r="AK2662" s="2" t="s">
        <v>275</v>
      </c>
      <c r="AL2662" s="2">
        <v>23</v>
      </c>
      <c r="AM2662" s="2" t="s">
        <v>251</v>
      </c>
      <c r="AN2662" s="2"/>
      <c r="AO2662" s="2" t="s">
        <v>8888</v>
      </c>
      <c r="AP2662" s="2">
        <v>11</v>
      </c>
      <c r="AQ2662" s="2" t="s">
        <v>82</v>
      </c>
      <c r="AR2662" s="2"/>
      <c r="AS2662" s="2"/>
      <c r="AT2662" s="2" t="s">
        <v>8889</v>
      </c>
      <c r="AU2662" s="2"/>
      <c r="AV2662" s="2"/>
      <c r="AW2662" s="2"/>
      <c r="AX2662" s="2"/>
      <c r="AY2662" s="2">
        <v>1</v>
      </c>
      <c r="AZ2662" s="2" t="s">
        <v>107</v>
      </c>
      <c r="BA2662" s="2">
        <v>1</v>
      </c>
      <c r="BB2662" s="2" t="s">
        <v>107</v>
      </c>
      <c r="BC2662" s="2">
        <v>1</v>
      </c>
      <c r="BD2662" s="2" t="s">
        <v>107</v>
      </c>
      <c r="BE2662" s="2">
        <v>1</v>
      </c>
      <c r="BF2662" s="2" t="s">
        <v>107</v>
      </c>
      <c r="BG2662" s="2"/>
      <c r="BH2662" s="2"/>
      <c r="BI2662" s="2"/>
      <c r="BJ2662" s="2">
        <v>242</v>
      </c>
      <c r="BK2662" s="2" t="s">
        <v>107</v>
      </c>
      <c r="BL2662" s="2"/>
      <c r="BM2662" s="2">
        <v>242</v>
      </c>
      <c r="BN2662" s="2" t="s">
        <v>107</v>
      </c>
      <c r="BO2662" s="2"/>
      <c r="BP2662" s="2">
        <v>242</v>
      </c>
      <c r="BQ2662" s="2" t="s">
        <v>107</v>
      </c>
      <c r="BR2662" s="2"/>
      <c r="BS2662" s="3">
        <v>40354</v>
      </c>
      <c r="BT2662" s="4">
        <v>0.70013888888888898</v>
      </c>
    </row>
    <row r="2663" spans="1:72" x14ac:dyDescent="0.25">
      <c r="A2663" s="2">
        <v>3869</v>
      </c>
      <c r="B2663" s="2">
        <v>2010</v>
      </c>
      <c r="C2663" s="2" t="s">
        <v>121</v>
      </c>
      <c r="D2663" s="2" t="s">
        <v>122</v>
      </c>
      <c r="E2663" s="2"/>
      <c r="F2663" s="2">
        <v>1</v>
      </c>
      <c r="G2663" s="2" t="s">
        <v>82</v>
      </c>
      <c r="H2663" s="2">
        <v>1</v>
      </c>
      <c r="I2663" s="2" t="s">
        <v>82</v>
      </c>
      <c r="J2663" s="2">
        <v>1</v>
      </c>
      <c r="K2663" s="2" t="s">
        <v>107</v>
      </c>
      <c r="L2663" s="2" t="s">
        <v>107</v>
      </c>
      <c r="M2663" s="3">
        <v>40354</v>
      </c>
      <c r="N2663" s="2" t="s">
        <v>82</v>
      </c>
      <c r="O2663" s="2" t="s">
        <v>82</v>
      </c>
      <c r="P2663" s="2" t="s">
        <v>82</v>
      </c>
      <c r="Q2663" s="2" t="str">
        <f>"N/C"</f>
        <v>N/C</v>
      </c>
      <c r="R2663" s="2" t="s">
        <v>82</v>
      </c>
      <c r="S2663" s="2" t="s">
        <v>82</v>
      </c>
      <c r="T2663" s="2">
        <v>2</v>
      </c>
      <c r="U2663" s="2" t="s">
        <v>123</v>
      </c>
      <c r="V2663" s="2">
        <v>1</v>
      </c>
      <c r="W2663" s="2" t="s">
        <v>80</v>
      </c>
      <c r="X2663" s="2">
        <v>11</v>
      </c>
      <c r="Y2663" s="2" t="s">
        <v>1920</v>
      </c>
      <c r="Z2663" s="2">
        <v>4</v>
      </c>
      <c r="AA2663" s="2" t="s">
        <v>182</v>
      </c>
      <c r="AB2663" s="2">
        <v>9</v>
      </c>
      <c r="AC2663" s="2" t="s">
        <v>124</v>
      </c>
      <c r="AD2663" s="3">
        <v>40354</v>
      </c>
      <c r="AE2663" s="4">
        <v>0.33333333333333331</v>
      </c>
      <c r="AF2663" s="2"/>
      <c r="AG2663" s="2"/>
      <c r="AH2663" s="2">
        <v>5</v>
      </c>
      <c r="AI2663" s="2" t="s">
        <v>274</v>
      </c>
      <c r="AJ2663" s="2">
        <v>45</v>
      </c>
      <c r="AK2663" s="2" t="s">
        <v>834</v>
      </c>
      <c r="AL2663" s="2">
        <v>10</v>
      </c>
      <c r="AM2663" s="2" t="s">
        <v>200</v>
      </c>
      <c r="AN2663" s="2" t="s">
        <v>82</v>
      </c>
      <c r="AO2663" s="2" t="s">
        <v>8890</v>
      </c>
      <c r="AP2663" s="2">
        <v>11</v>
      </c>
      <c r="AQ2663" s="2" t="s">
        <v>82</v>
      </c>
      <c r="AR2663" s="2" t="s">
        <v>82</v>
      </c>
      <c r="AS2663" s="2" t="s">
        <v>82</v>
      </c>
      <c r="AT2663" s="2" t="s">
        <v>8891</v>
      </c>
      <c r="AU2663" s="2"/>
      <c r="AV2663" s="2"/>
      <c r="AW2663" s="2"/>
      <c r="AX2663" s="2"/>
      <c r="AY2663" s="2">
        <v>41</v>
      </c>
      <c r="AZ2663" s="2" t="s">
        <v>82</v>
      </c>
      <c r="BA2663" s="2">
        <v>41</v>
      </c>
      <c r="BB2663" s="2" t="s">
        <v>82</v>
      </c>
      <c r="BC2663" s="2">
        <v>41</v>
      </c>
      <c r="BD2663" s="2" t="s">
        <v>82</v>
      </c>
      <c r="BE2663" s="2">
        <v>42</v>
      </c>
      <c r="BF2663" s="2" t="s">
        <v>182</v>
      </c>
      <c r="BG2663" s="2" t="s">
        <v>6921</v>
      </c>
      <c r="BH2663" s="4">
        <v>0.43055555555555558</v>
      </c>
      <c r="BI2663" s="4">
        <v>0.6875</v>
      </c>
      <c r="BJ2663" s="2">
        <v>13</v>
      </c>
      <c r="BK2663" s="2" t="s">
        <v>91</v>
      </c>
      <c r="BL2663" s="2" t="s">
        <v>534</v>
      </c>
      <c r="BM2663" s="2">
        <v>13</v>
      </c>
      <c r="BN2663" s="2" t="s">
        <v>91</v>
      </c>
      <c r="BO2663" s="2" t="s">
        <v>1705</v>
      </c>
      <c r="BP2663" s="2">
        <v>13</v>
      </c>
      <c r="BQ2663" s="2" t="s">
        <v>91</v>
      </c>
      <c r="BR2663" s="2" t="s">
        <v>6909</v>
      </c>
      <c r="BS2663" s="3">
        <v>40354</v>
      </c>
      <c r="BT2663" s="4">
        <v>0.71319444444444446</v>
      </c>
    </row>
    <row r="2664" spans="1:72" x14ac:dyDescent="0.25">
      <c r="A2664" s="2">
        <v>3870</v>
      </c>
      <c r="B2664" s="2">
        <v>2010</v>
      </c>
      <c r="C2664" s="2" t="s">
        <v>72</v>
      </c>
      <c r="D2664" s="2" t="s">
        <v>73</v>
      </c>
      <c r="E2664" s="2"/>
      <c r="F2664" s="2">
        <v>24</v>
      </c>
      <c r="G2664" s="2" t="s">
        <v>532</v>
      </c>
      <c r="H2664" s="2">
        <v>22</v>
      </c>
      <c r="I2664" s="2" t="s">
        <v>75</v>
      </c>
      <c r="J2664" s="2">
        <v>300</v>
      </c>
      <c r="K2664" s="2" t="s">
        <v>114</v>
      </c>
      <c r="L2664" s="2" t="s">
        <v>115</v>
      </c>
      <c r="M2664" s="3">
        <v>40354</v>
      </c>
      <c r="N2664" s="2" t="s">
        <v>107</v>
      </c>
      <c r="O2664" s="2" t="s">
        <v>107</v>
      </c>
      <c r="P2664" s="2" t="s">
        <v>107</v>
      </c>
      <c r="Q2664" s="2" t="str">
        <f>"341-E/10"</f>
        <v>341-E/10</v>
      </c>
      <c r="R2664" s="2" t="s">
        <v>4823</v>
      </c>
      <c r="S2664" s="2" t="s">
        <v>4823</v>
      </c>
      <c r="T2664" s="2">
        <v>1</v>
      </c>
      <c r="U2664" s="2" t="s">
        <v>79</v>
      </c>
      <c r="V2664" s="2">
        <v>1</v>
      </c>
      <c r="W2664" s="2" t="s">
        <v>80</v>
      </c>
      <c r="X2664" s="2">
        <v>12</v>
      </c>
      <c r="Y2664" s="2" t="s">
        <v>148</v>
      </c>
      <c r="Z2664" s="2">
        <v>1</v>
      </c>
      <c r="AA2664" s="2" t="s">
        <v>82</v>
      </c>
      <c r="AB2664" s="2">
        <v>6</v>
      </c>
      <c r="AC2664" s="2" t="s">
        <v>83</v>
      </c>
      <c r="AD2664" s="3">
        <v>40354</v>
      </c>
      <c r="AE2664" s="2"/>
      <c r="AF2664" s="3">
        <v>40354</v>
      </c>
      <c r="AG2664" s="4">
        <v>0.52083333333333337</v>
      </c>
      <c r="AH2664" s="2">
        <v>2</v>
      </c>
      <c r="AI2664" s="2" t="s">
        <v>84</v>
      </c>
      <c r="AJ2664" s="2">
        <v>9</v>
      </c>
      <c r="AK2664" s="2" t="s">
        <v>103</v>
      </c>
      <c r="AL2664" s="2">
        <v>17</v>
      </c>
      <c r="AM2664" s="2" t="s">
        <v>232</v>
      </c>
      <c r="AN2664" s="2" t="s">
        <v>8892</v>
      </c>
      <c r="AO2664" s="2"/>
      <c r="AP2664" s="2">
        <v>11</v>
      </c>
      <c r="AQ2664" s="2" t="s">
        <v>82</v>
      </c>
      <c r="AR2664" s="2"/>
      <c r="AS2664" s="2"/>
      <c r="AT2664" s="2" t="s">
        <v>8893</v>
      </c>
      <c r="AU2664" s="2">
        <v>1</v>
      </c>
      <c r="AV2664" s="2"/>
      <c r="AW2664" s="2"/>
      <c r="AX2664" s="2"/>
      <c r="AY2664" s="2">
        <v>41</v>
      </c>
      <c r="AZ2664" s="2" t="s">
        <v>82</v>
      </c>
      <c r="BA2664" s="2">
        <v>41</v>
      </c>
      <c r="BB2664" s="2" t="s">
        <v>82</v>
      </c>
      <c r="BC2664" s="2">
        <v>41</v>
      </c>
      <c r="BD2664" s="2" t="s">
        <v>82</v>
      </c>
      <c r="BE2664" s="2">
        <v>41</v>
      </c>
      <c r="BF2664" s="2" t="s">
        <v>82</v>
      </c>
      <c r="BG2664" s="2"/>
      <c r="BH2664" s="2"/>
      <c r="BI2664" s="2"/>
      <c r="BJ2664" s="2">
        <v>241</v>
      </c>
      <c r="BK2664" s="2" t="s">
        <v>82</v>
      </c>
      <c r="BL2664" s="2"/>
      <c r="BM2664" s="2">
        <v>241</v>
      </c>
      <c r="BN2664" s="2" t="s">
        <v>82</v>
      </c>
      <c r="BO2664" s="2"/>
      <c r="BP2664" s="2">
        <v>241</v>
      </c>
      <c r="BQ2664" s="2" t="s">
        <v>82</v>
      </c>
      <c r="BR2664" s="2"/>
      <c r="BS2664" s="3">
        <v>40354</v>
      </c>
      <c r="BT2664" s="4">
        <v>0.71774305555555562</v>
      </c>
    </row>
    <row r="2665" spans="1:72" x14ac:dyDescent="0.25">
      <c r="A2665" s="2">
        <v>3871</v>
      </c>
      <c r="B2665" s="2">
        <v>2010</v>
      </c>
      <c r="C2665" s="2" t="s">
        <v>171</v>
      </c>
      <c r="D2665" s="2" t="s">
        <v>122</v>
      </c>
      <c r="E2665" s="2" t="s">
        <v>8894</v>
      </c>
      <c r="F2665" s="2">
        <v>390</v>
      </c>
      <c r="G2665" s="2" t="s">
        <v>475</v>
      </c>
      <c r="H2665" s="2">
        <v>71</v>
      </c>
      <c r="I2665" s="2" t="s">
        <v>335</v>
      </c>
      <c r="J2665" s="2">
        <v>533</v>
      </c>
      <c r="K2665" s="2" t="s">
        <v>6511</v>
      </c>
      <c r="L2665" s="2" t="s">
        <v>478</v>
      </c>
      <c r="M2665" s="3">
        <v>40354</v>
      </c>
      <c r="N2665" s="2" t="s">
        <v>7806</v>
      </c>
      <c r="O2665" s="2" t="s">
        <v>7845</v>
      </c>
      <c r="P2665" s="2">
        <v>1090</v>
      </c>
      <c r="Q2665" s="2" t="str">
        <f>""</f>
        <v/>
      </c>
      <c r="R2665" s="2"/>
      <c r="S2665" s="2"/>
      <c r="T2665" s="2">
        <v>1</v>
      </c>
      <c r="U2665" s="2" t="s">
        <v>79</v>
      </c>
      <c r="V2665" s="2">
        <v>1</v>
      </c>
      <c r="W2665" s="2" t="s">
        <v>80</v>
      </c>
      <c r="X2665" s="2">
        <v>9</v>
      </c>
      <c r="Y2665" s="2" t="s">
        <v>3393</v>
      </c>
      <c r="Z2665" s="2">
        <v>10</v>
      </c>
      <c r="AA2665" s="2" t="s">
        <v>236</v>
      </c>
      <c r="AB2665" s="2">
        <v>1</v>
      </c>
      <c r="AC2665" s="2" t="s">
        <v>178</v>
      </c>
      <c r="AD2665" s="3">
        <v>40353</v>
      </c>
      <c r="AE2665" s="4">
        <v>0.63541666666666663</v>
      </c>
      <c r="AF2665" s="2"/>
      <c r="AG2665" s="2"/>
      <c r="AH2665" s="2">
        <v>2</v>
      </c>
      <c r="AI2665" s="2" t="s">
        <v>84</v>
      </c>
      <c r="AJ2665" s="2">
        <v>6</v>
      </c>
      <c r="AK2665" s="2" t="s">
        <v>453</v>
      </c>
      <c r="AL2665" s="2">
        <v>23</v>
      </c>
      <c r="AM2665" s="2" t="s">
        <v>251</v>
      </c>
      <c r="AN2665" s="2" t="s">
        <v>8819</v>
      </c>
      <c r="AO2665" s="2" t="s">
        <v>1226</v>
      </c>
      <c r="AP2665" s="2">
        <v>11</v>
      </c>
      <c r="AQ2665" s="2" t="s">
        <v>82</v>
      </c>
      <c r="AR2665" s="2"/>
      <c r="AS2665" s="2"/>
      <c r="AT2665" s="2" t="s">
        <v>8895</v>
      </c>
      <c r="AU2665" s="2"/>
      <c r="AV2665" s="2">
        <v>2</v>
      </c>
      <c r="AW2665" s="2"/>
      <c r="AX2665" s="2"/>
      <c r="AY2665" s="2">
        <v>42</v>
      </c>
      <c r="AZ2665" s="2" t="s">
        <v>182</v>
      </c>
      <c r="BA2665" s="2">
        <v>70</v>
      </c>
      <c r="BB2665" s="2" t="s">
        <v>236</v>
      </c>
      <c r="BC2665" s="2">
        <v>70</v>
      </c>
      <c r="BD2665" s="2" t="s">
        <v>236</v>
      </c>
      <c r="BE2665" s="2">
        <v>41</v>
      </c>
      <c r="BF2665" s="2" t="s">
        <v>82</v>
      </c>
      <c r="BG2665" s="2"/>
      <c r="BH2665" s="2"/>
      <c r="BI2665" s="2"/>
      <c r="BJ2665" s="2">
        <v>241</v>
      </c>
      <c r="BK2665" s="2" t="s">
        <v>82</v>
      </c>
      <c r="BL2665" s="2"/>
      <c r="BM2665" s="2">
        <v>241</v>
      </c>
      <c r="BN2665" s="2" t="s">
        <v>82</v>
      </c>
      <c r="BO2665" s="2"/>
      <c r="BP2665" s="2">
        <v>241</v>
      </c>
      <c r="BQ2665" s="2" t="s">
        <v>82</v>
      </c>
      <c r="BR2665" s="2"/>
      <c r="BS2665" s="3">
        <v>40354</v>
      </c>
      <c r="BT2665" s="4">
        <v>0.76368055555555558</v>
      </c>
    </row>
    <row r="2666" spans="1:72" x14ac:dyDescent="0.25">
      <c r="A2666" s="2">
        <v>3872</v>
      </c>
      <c r="B2666" s="2">
        <v>2010</v>
      </c>
      <c r="C2666" s="2" t="s">
        <v>72</v>
      </c>
      <c r="D2666" s="2" t="s">
        <v>73</v>
      </c>
      <c r="E2666" s="2"/>
      <c r="F2666" s="2">
        <v>647</v>
      </c>
      <c r="G2666" s="2" t="s">
        <v>8896</v>
      </c>
      <c r="H2666" s="2">
        <v>126</v>
      </c>
      <c r="I2666" s="2" t="s">
        <v>8640</v>
      </c>
      <c r="J2666" s="2">
        <v>591</v>
      </c>
      <c r="K2666" s="2" t="s">
        <v>1775</v>
      </c>
      <c r="L2666" s="2" t="s">
        <v>8641</v>
      </c>
      <c r="M2666" s="3">
        <v>40354</v>
      </c>
      <c r="N2666" s="2" t="s">
        <v>8897</v>
      </c>
      <c r="O2666" s="2"/>
      <c r="P2666" s="2"/>
      <c r="Q2666" s="2" t="str">
        <f>"231-A/10"</f>
        <v>231-A/10</v>
      </c>
      <c r="R2666" s="2" t="s">
        <v>116</v>
      </c>
      <c r="S2666" s="2" t="s">
        <v>116</v>
      </c>
      <c r="T2666" s="2">
        <v>1</v>
      </c>
      <c r="U2666" s="2" t="s">
        <v>79</v>
      </c>
      <c r="V2666" s="2">
        <v>1</v>
      </c>
      <c r="W2666" s="2" t="s">
        <v>80</v>
      </c>
      <c r="X2666" s="2">
        <v>1</v>
      </c>
      <c r="Y2666" s="2" t="s">
        <v>81</v>
      </c>
      <c r="Z2666" s="2">
        <v>1</v>
      </c>
      <c r="AA2666" s="2" t="s">
        <v>82</v>
      </c>
      <c r="AB2666" s="2">
        <v>6</v>
      </c>
      <c r="AC2666" s="2" t="s">
        <v>83</v>
      </c>
      <c r="AD2666" s="3">
        <v>40354</v>
      </c>
      <c r="AE2666" s="4">
        <v>0.54861111111111105</v>
      </c>
      <c r="AF2666" s="3">
        <v>40354</v>
      </c>
      <c r="AG2666" s="2"/>
      <c r="AH2666" s="2">
        <v>2</v>
      </c>
      <c r="AI2666" s="2" t="s">
        <v>84</v>
      </c>
      <c r="AJ2666" s="2">
        <v>12</v>
      </c>
      <c r="AK2666" s="2" t="s">
        <v>85</v>
      </c>
      <c r="AL2666" s="2">
        <v>29</v>
      </c>
      <c r="AM2666" s="2" t="s">
        <v>5416</v>
      </c>
      <c r="AN2666" s="2" t="s">
        <v>2156</v>
      </c>
      <c r="AO2666" s="2" t="s">
        <v>8898</v>
      </c>
      <c r="AP2666" s="2">
        <v>11</v>
      </c>
      <c r="AQ2666" s="2" t="s">
        <v>82</v>
      </c>
      <c r="AR2666" s="2"/>
      <c r="AS2666" s="2"/>
      <c r="AT2666" s="2" t="s">
        <v>8899</v>
      </c>
      <c r="AU2666" s="2">
        <v>1</v>
      </c>
      <c r="AV2666" s="2"/>
      <c r="AW2666" s="2"/>
      <c r="AX2666" s="2"/>
      <c r="AY2666" s="2">
        <v>41</v>
      </c>
      <c r="AZ2666" s="2" t="s">
        <v>82</v>
      </c>
      <c r="BA2666" s="2">
        <v>41</v>
      </c>
      <c r="BB2666" s="2" t="s">
        <v>82</v>
      </c>
      <c r="BC2666" s="2">
        <v>41</v>
      </c>
      <c r="BD2666" s="2" t="s">
        <v>82</v>
      </c>
      <c r="BE2666" s="2">
        <v>41</v>
      </c>
      <c r="BF2666" s="2" t="s">
        <v>82</v>
      </c>
      <c r="BG2666" s="2"/>
      <c r="BH2666" s="2"/>
      <c r="BI2666" s="2"/>
      <c r="BJ2666" s="2">
        <v>241</v>
      </c>
      <c r="BK2666" s="2" t="s">
        <v>82</v>
      </c>
      <c r="BL2666" s="2"/>
      <c r="BM2666" s="2">
        <v>241</v>
      </c>
      <c r="BN2666" s="2" t="s">
        <v>82</v>
      </c>
      <c r="BO2666" s="2"/>
      <c r="BP2666" s="2">
        <v>241</v>
      </c>
      <c r="BQ2666" s="2" t="s">
        <v>82</v>
      </c>
      <c r="BR2666" s="2"/>
      <c r="BS2666" s="3">
        <v>40354</v>
      </c>
      <c r="BT2666" s="4">
        <v>0.80253472222222222</v>
      </c>
    </row>
    <row r="2667" spans="1:72" x14ac:dyDescent="0.25">
      <c r="A2667" s="2">
        <v>3873</v>
      </c>
      <c r="B2667" s="2">
        <v>2010</v>
      </c>
      <c r="C2667" s="2" t="s">
        <v>72</v>
      </c>
      <c r="D2667" s="2" t="s">
        <v>73</v>
      </c>
      <c r="E2667" s="2"/>
      <c r="F2667" s="2">
        <v>24</v>
      </c>
      <c r="G2667" s="2" t="s">
        <v>532</v>
      </c>
      <c r="H2667" s="2">
        <v>22</v>
      </c>
      <c r="I2667" s="2" t="s">
        <v>75</v>
      </c>
      <c r="J2667" s="2">
        <v>300</v>
      </c>
      <c r="K2667" s="2" t="s">
        <v>114</v>
      </c>
      <c r="L2667" s="2" t="s">
        <v>115</v>
      </c>
      <c r="M2667" s="3">
        <v>40354</v>
      </c>
      <c r="N2667" s="2"/>
      <c r="O2667" s="2"/>
      <c r="P2667" s="2"/>
      <c r="Q2667" s="2" t="str">
        <f>"342-E/10"</f>
        <v>342-E/10</v>
      </c>
      <c r="R2667" s="2" t="s">
        <v>480</v>
      </c>
      <c r="S2667" s="2" t="s">
        <v>480</v>
      </c>
      <c r="T2667" s="2">
        <v>1</v>
      </c>
      <c r="U2667" s="2" t="s">
        <v>79</v>
      </c>
      <c r="V2667" s="2">
        <v>1</v>
      </c>
      <c r="W2667" s="2" t="s">
        <v>80</v>
      </c>
      <c r="X2667" s="2">
        <v>12</v>
      </c>
      <c r="Y2667" s="2" t="s">
        <v>148</v>
      </c>
      <c r="Z2667" s="2">
        <v>1</v>
      </c>
      <c r="AA2667" s="2" t="s">
        <v>82</v>
      </c>
      <c r="AB2667" s="2">
        <v>6</v>
      </c>
      <c r="AC2667" s="2" t="s">
        <v>83</v>
      </c>
      <c r="AD2667" s="3">
        <v>40349</v>
      </c>
      <c r="AE2667" s="2"/>
      <c r="AF2667" s="3">
        <v>40354</v>
      </c>
      <c r="AG2667" s="4">
        <v>0.75</v>
      </c>
      <c r="AH2667" s="2">
        <v>2</v>
      </c>
      <c r="AI2667" s="2" t="s">
        <v>84</v>
      </c>
      <c r="AJ2667" s="2">
        <v>9</v>
      </c>
      <c r="AK2667" s="2" t="s">
        <v>103</v>
      </c>
      <c r="AL2667" s="2">
        <v>17</v>
      </c>
      <c r="AM2667" s="2" t="s">
        <v>232</v>
      </c>
      <c r="AN2667" s="2" t="s">
        <v>8900</v>
      </c>
      <c r="AO2667" s="2" t="s">
        <v>8901</v>
      </c>
      <c r="AP2667" s="2">
        <v>11</v>
      </c>
      <c r="AQ2667" s="2" t="s">
        <v>82</v>
      </c>
      <c r="AR2667" s="2"/>
      <c r="AS2667" s="2"/>
      <c r="AT2667" s="2" t="s">
        <v>8902</v>
      </c>
      <c r="AU2667" s="2"/>
      <c r="AV2667" s="2"/>
      <c r="AW2667" s="2"/>
      <c r="AX2667" s="2"/>
      <c r="AY2667" s="2">
        <v>41</v>
      </c>
      <c r="AZ2667" s="2" t="s">
        <v>82</v>
      </c>
      <c r="BA2667" s="2">
        <v>41</v>
      </c>
      <c r="BB2667" s="2" t="s">
        <v>82</v>
      </c>
      <c r="BC2667" s="2">
        <v>41</v>
      </c>
      <c r="BD2667" s="2" t="s">
        <v>82</v>
      </c>
      <c r="BE2667" s="2">
        <v>41</v>
      </c>
      <c r="BF2667" s="2" t="s">
        <v>82</v>
      </c>
      <c r="BG2667" s="2"/>
      <c r="BH2667" s="2"/>
      <c r="BI2667" s="2"/>
      <c r="BJ2667" s="2">
        <v>241</v>
      </c>
      <c r="BK2667" s="2" t="s">
        <v>82</v>
      </c>
      <c r="BL2667" s="2"/>
      <c r="BM2667" s="2">
        <v>241</v>
      </c>
      <c r="BN2667" s="2" t="s">
        <v>82</v>
      </c>
      <c r="BO2667" s="2"/>
      <c r="BP2667" s="2">
        <v>241</v>
      </c>
      <c r="BQ2667" s="2" t="s">
        <v>82</v>
      </c>
      <c r="BR2667" s="2"/>
      <c r="BS2667" s="3">
        <v>40354</v>
      </c>
      <c r="BT2667" s="4">
        <v>0.80599537037037028</v>
      </c>
    </row>
    <row r="2668" spans="1:72" x14ac:dyDescent="0.25">
      <c r="A2668" s="2">
        <v>3874</v>
      </c>
      <c r="B2668" s="2">
        <v>2010</v>
      </c>
      <c r="C2668" s="2" t="s">
        <v>377</v>
      </c>
      <c r="D2668" s="2" t="s">
        <v>73</v>
      </c>
      <c r="E2668" s="2"/>
      <c r="F2668" s="2">
        <v>426</v>
      </c>
      <c r="G2668" s="2" t="s">
        <v>378</v>
      </c>
      <c r="H2668" s="2">
        <v>108</v>
      </c>
      <c r="I2668" s="2" t="s">
        <v>1096</v>
      </c>
      <c r="J2668" s="2">
        <v>311</v>
      </c>
      <c r="K2668" s="2" t="s">
        <v>379</v>
      </c>
      <c r="L2668" s="2" t="s">
        <v>380</v>
      </c>
      <c r="M2668" s="3">
        <v>40354</v>
      </c>
      <c r="N2668" s="2" t="s">
        <v>4427</v>
      </c>
      <c r="O2668" s="2"/>
      <c r="P2668" s="2"/>
      <c r="Q2668" s="2" t="str">
        <f>"140-C/10"</f>
        <v>140-C/10</v>
      </c>
      <c r="R2668" s="2" t="s">
        <v>5773</v>
      </c>
      <c r="S2668" s="2" t="s">
        <v>5773</v>
      </c>
      <c r="T2668" s="2">
        <v>1</v>
      </c>
      <c r="U2668" s="2" t="s">
        <v>79</v>
      </c>
      <c r="V2668" s="2">
        <v>1</v>
      </c>
      <c r="W2668" s="2" t="s">
        <v>80</v>
      </c>
      <c r="X2668" s="2">
        <v>1</v>
      </c>
      <c r="Y2668" s="2" t="s">
        <v>81</v>
      </c>
      <c r="Z2668" s="2">
        <v>1</v>
      </c>
      <c r="AA2668" s="2" t="s">
        <v>82</v>
      </c>
      <c r="AB2668" s="2">
        <v>9</v>
      </c>
      <c r="AC2668" s="2" t="s">
        <v>124</v>
      </c>
      <c r="AD2668" s="3">
        <v>40354</v>
      </c>
      <c r="AE2668" s="4">
        <v>0.92708333333333337</v>
      </c>
      <c r="AF2668" s="2"/>
      <c r="AG2668" s="2"/>
      <c r="AH2668" s="2">
        <v>2</v>
      </c>
      <c r="AI2668" s="2" t="s">
        <v>84</v>
      </c>
      <c r="AJ2668" s="2">
        <v>9</v>
      </c>
      <c r="AK2668" s="2" t="s">
        <v>103</v>
      </c>
      <c r="AL2668" s="2">
        <v>28</v>
      </c>
      <c r="AM2668" s="2" t="s">
        <v>5969</v>
      </c>
      <c r="AN2668" s="2" t="s">
        <v>8903</v>
      </c>
      <c r="AO2668" s="2" t="s">
        <v>8904</v>
      </c>
      <c r="AP2668" s="2">
        <v>11</v>
      </c>
      <c r="AQ2668" s="2" t="s">
        <v>82</v>
      </c>
      <c r="AR2668" s="2"/>
      <c r="AS2668" s="2"/>
      <c r="AT2668" s="2" t="s">
        <v>8905</v>
      </c>
      <c r="AU2668" s="2"/>
      <c r="AV2668" s="2"/>
      <c r="AW2668" s="2"/>
      <c r="AX2668" s="2"/>
      <c r="AY2668" s="2">
        <v>41</v>
      </c>
      <c r="AZ2668" s="2" t="s">
        <v>82</v>
      </c>
      <c r="BA2668" s="2">
        <v>41</v>
      </c>
      <c r="BB2668" s="2" t="s">
        <v>82</v>
      </c>
      <c r="BC2668" s="2">
        <v>41</v>
      </c>
      <c r="BD2668" s="2" t="s">
        <v>82</v>
      </c>
      <c r="BE2668" s="2">
        <v>41</v>
      </c>
      <c r="BF2668" s="2" t="s">
        <v>82</v>
      </c>
      <c r="BG2668" s="2"/>
      <c r="BH2668" s="2"/>
      <c r="BI2668" s="2"/>
      <c r="BJ2668" s="2">
        <v>241</v>
      </c>
      <c r="BK2668" s="2" t="s">
        <v>82</v>
      </c>
      <c r="BL2668" s="2"/>
      <c r="BM2668" s="2">
        <v>241</v>
      </c>
      <c r="BN2668" s="2" t="s">
        <v>82</v>
      </c>
      <c r="BO2668" s="2"/>
      <c r="BP2668" s="2">
        <v>241</v>
      </c>
      <c r="BQ2668" s="2" t="s">
        <v>82</v>
      </c>
      <c r="BR2668" s="2"/>
      <c r="BS2668" s="3">
        <v>40354</v>
      </c>
      <c r="BT2668" s="4">
        <v>0.9819675925925927</v>
      </c>
    </row>
    <row r="2669" spans="1:72" x14ac:dyDescent="0.25">
      <c r="A2669" s="2">
        <v>3875</v>
      </c>
      <c r="B2669" s="2">
        <v>2010</v>
      </c>
      <c r="C2669" s="2" t="s">
        <v>72</v>
      </c>
      <c r="D2669" s="2" t="s">
        <v>73</v>
      </c>
      <c r="E2669" s="2"/>
      <c r="F2669" s="2">
        <v>56</v>
      </c>
      <c r="G2669" s="2" t="s">
        <v>2578</v>
      </c>
      <c r="H2669" s="2">
        <v>108</v>
      </c>
      <c r="I2669" s="2" t="s">
        <v>1096</v>
      </c>
      <c r="J2669" s="2">
        <v>327</v>
      </c>
      <c r="K2669" s="2" t="s">
        <v>7091</v>
      </c>
      <c r="L2669" s="2" t="s">
        <v>7092</v>
      </c>
      <c r="M2669" s="3">
        <v>40355</v>
      </c>
      <c r="N2669" s="2" t="s">
        <v>7093</v>
      </c>
      <c r="O2669" s="2" t="s">
        <v>3620</v>
      </c>
      <c r="P2669" s="2"/>
      <c r="Q2669" s="2" t="str">
        <f>"077"</f>
        <v>077</v>
      </c>
      <c r="R2669" s="2" t="s">
        <v>822</v>
      </c>
      <c r="S2669" s="2" t="s">
        <v>3296</v>
      </c>
      <c r="T2669" s="2">
        <v>1</v>
      </c>
      <c r="U2669" s="2" t="s">
        <v>79</v>
      </c>
      <c r="V2669" s="2">
        <v>1</v>
      </c>
      <c r="W2669" s="2" t="s">
        <v>80</v>
      </c>
      <c r="X2669" s="2">
        <v>12</v>
      </c>
      <c r="Y2669" s="2" t="s">
        <v>148</v>
      </c>
      <c r="Z2669" s="2">
        <v>1</v>
      </c>
      <c r="AA2669" s="2" t="s">
        <v>82</v>
      </c>
      <c r="AB2669" s="2">
        <v>6</v>
      </c>
      <c r="AC2669" s="2" t="s">
        <v>83</v>
      </c>
      <c r="AD2669" s="2"/>
      <c r="AE2669" s="2"/>
      <c r="AF2669" s="3">
        <v>40355</v>
      </c>
      <c r="AG2669" s="4">
        <v>5.2083333333333336E-2</v>
      </c>
      <c r="AH2669" s="2">
        <v>4</v>
      </c>
      <c r="AI2669" s="2" t="s">
        <v>125</v>
      </c>
      <c r="AJ2669" s="2">
        <v>29</v>
      </c>
      <c r="AK2669" s="2" t="s">
        <v>227</v>
      </c>
      <c r="AL2669" s="2">
        <v>21</v>
      </c>
      <c r="AM2669" s="2" t="s">
        <v>1311</v>
      </c>
      <c r="AN2669" s="2" t="s">
        <v>8906</v>
      </c>
      <c r="AO2669" s="2"/>
      <c r="AP2669" s="2">
        <v>11</v>
      </c>
      <c r="AQ2669" s="2" t="s">
        <v>82</v>
      </c>
      <c r="AR2669" s="2" t="s">
        <v>3296</v>
      </c>
      <c r="AS2669" s="2" t="s">
        <v>2957</v>
      </c>
      <c r="AT2669" s="2" t="s">
        <v>8907</v>
      </c>
      <c r="AU2669" s="2"/>
      <c r="AV2669" s="2"/>
      <c r="AW2669" s="2"/>
      <c r="AX2669" s="2"/>
      <c r="AY2669" s="2">
        <v>41</v>
      </c>
      <c r="AZ2669" s="2" t="s">
        <v>82</v>
      </c>
      <c r="BA2669" s="2">
        <v>41</v>
      </c>
      <c r="BB2669" s="2" t="s">
        <v>82</v>
      </c>
      <c r="BC2669" s="2">
        <v>41</v>
      </c>
      <c r="BD2669" s="2" t="s">
        <v>82</v>
      </c>
      <c r="BE2669" s="2">
        <v>41</v>
      </c>
      <c r="BF2669" s="2" t="s">
        <v>82</v>
      </c>
      <c r="BG2669" s="2" t="s">
        <v>3620</v>
      </c>
      <c r="BH2669" s="2"/>
      <c r="BI2669" s="2"/>
      <c r="BJ2669" s="2">
        <v>241</v>
      </c>
      <c r="BK2669" s="2" t="s">
        <v>82</v>
      </c>
      <c r="BL2669" s="2" t="s">
        <v>82</v>
      </c>
      <c r="BM2669" s="2">
        <v>241</v>
      </c>
      <c r="BN2669" s="2" t="s">
        <v>82</v>
      </c>
      <c r="BO2669" s="2" t="s">
        <v>2104</v>
      </c>
      <c r="BP2669" s="2">
        <v>241</v>
      </c>
      <c r="BQ2669" s="2" t="s">
        <v>82</v>
      </c>
      <c r="BR2669" s="2" t="s">
        <v>2104</v>
      </c>
      <c r="BS2669" s="3">
        <v>40355</v>
      </c>
      <c r="BT2669" s="4">
        <v>0.12472222222222222</v>
      </c>
    </row>
    <row r="2670" spans="1:72" x14ac:dyDescent="0.25">
      <c r="A2670" s="2">
        <v>3876</v>
      </c>
      <c r="B2670" s="2">
        <v>2010</v>
      </c>
      <c r="C2670" s="2" t="s">
        <v>72</v>
      </c>
      <c r="D2670" s="2" t="s">
        <v>73</v>
      </c>
      <c r="E2670" s="2"/>
      <c r="F2670" s="2">
        <v>224</v>
      </c>
      <c r="G2670" s="2" t="s">
        <v>8908</v>
      </c>
      <c r="H2670" s="2">
        <v>42</v>
      </c>
      <c r="I2670" s="2" t="s">
        <v>1096</v>
      </c>
      <c r="J2670" s="2">
        <v>193</v>
      </c>
      <c r="K2670" s="2" t="s">
        <v>8171</v>
      </c>
      <c r="L2670" s="2" t="s">
        <v>8172</v>
      </c>
      <c r="M2670" s="3">
        <v>40355</v>
      </c>
      <c r="N2670" s="2" t="s">
        <v>8909</v>
      </c>
      <c r="O2670" s="2" t="s">
        <v>107</v>
      </c>
      <c r="P2670" s="2" t="s">
        <v>107</v>
      </c>
      <c r="Q2670" s="2" t="str">
        <f>"232-A/10"</f>
        <v>232-A/10</v>
      </c>
      <c r="R2670" s="2" t="s">
        <v>156</v>
      </c>
      <c r="S2670" s="2" t="s">
        <v>156</v>
      </c>
      <c r="T2670" s="2">
        <v>1</v>
      </c>
      <c r="U2670" s="2" t="s">
        <v>79</v>
      </c>
      <c r="V2670" s="2">
        <v>1</v>
      </c>
      <c r="W2670" s="2" t="s">
        <v>80</v>
      </c>
      <c r="X2670" s="2">
        <v>12</v>
      </c>
      <c r="Y2670" s="2" t="s">
        <v>148</v>
      </c>
      <c r="Z2670" s="2">
        <v>1</v>
      </c>
      <c r="AA2670" s="2" t="s">
        <v>82</v>
      </c>
      <c r="AB2670" s="2">
        <v>6</v>
      </c>
      <c r="AC2670" s="2" t="s">
        <v>83</v>
      </c>
      <c r="AD2670" s="3">
        <v>40354</v>
      </c>
      <c r="AE2670" s="2"/>
      <c r="AF2670" s="3">
        <v>40354</v>
      </c>
      <c r="AG2670" s="4">
        <v>0.90625</v>
      </c>
      <c r="AH2670" s="2">
        <v>2</v>
      </c>
      <c r="AI2670" s="2" t="s">
        <v>84</v>
      </c>
      <c r="AJ2670" s="2">
        <v>12</v>
      </c>
      <c r="AK2670" s="2" t="s">
        <v>85</v>
      </c>
      <c r="AL2670" s="2">
        <v>22</v>
      </c>
      <c r="AM2670" s="2" t="s">
        <v>1853</v>
      </c>
      <c r="AN2670" s="2"/>
      <c r="AO2670" s="2" t="s">
        <v>7625</v>
      </c>
      <c r="AP2670" s="2">
        <v>11</v>
      </c>
      <c r="AQ2670" s="2" t="s">
        <v>82</v>
      </c>
      <c r="AR2670" s="2" t="s">
        <v>82</v>
      </c>
      <c r="AS2670" s="2" t="s">
        <v>82</v>
      </c>
      <c r="AT2670" s="2" t="s">
        <v>8910</v>
      </c>
      <c r="AU2670" s="2"/>
      <c r="AV2670" s="2"/>
      <c r="AW2670" s="2"/>
      <c r="AX2670" s="2"/>
      <c r="AY2670" s="2">
        <v>41</v>
      </c>
      <c r="AZ2670" s="2" t="s">
        <v>82</v>
      </c>
      <c r="BA2670" s="2">
        <v>41</v>
      </c>
      <c r="BB2670" s="2" t="s">
        <v>82</v>
      </c>
      <c r="BC2670" s="2">
        <v>41</v>
      </c>
      <c r="BD2670" s="2" t="s">
        <v>82</v>
      </c>
      <c r="BE2670" s="2">
        <v>10</v>
      </c>
      <c r="BF2670" s="2" t="s">
        <v>901</v>
      </c>
      <c r="BG2670" s="2" t="s">
        <v>8911</v>
      </c>
      <c r="BH2670" s="4">
        <v>0.85416666666666663</v>
      </c>
      <c r="BI2670" s="4">
        <v>0.81944444444444453</v>
      </c>
      <c r="BJ2670" s="2">
        <v>229</v>
      </c>
      <c r="BK2670" s="2" t="s">
        <v>300</v>
      </c>
      <c r="BL2670" s="2" t="s">
        <v>573</v>
      </c>
      <c r="BM2670" s="2">
        <v>241</v>
      </c>
      <c r="BN2670" s="2" t="s">
        <v>82</v>
      </c>
      <c r="BO2670" s="2" t="s">
        <v>82</v>
      </c>
      <c r="BP2670" s="2">
        <v>13</v>
      </c>
      <c r="BQ2670" s="2" t="s">
        <v>91</v>
      </c>
      <c r="BR2670" s="2" t="s">
        <v>185</v>
      </c>
      <c r="BS2670" s="3">
        <v>40355</v>
      </c>
      <c r="BT2670" s="4">
        <v>0.12706018518518519</v>
      </c>
    </row>
    <row r="2671" spans="1:72" x14ac:dyDescent="0.25">
      <c r="A2671" s="2">
        <v>3877</v>
      </c>
      <c r="B2671" s="2">
        <v>2010</v>
      </c>
      <c r="C2671" s="2" t="s">
        <v>72</v>
      </c>
      <c r="D2671" s="2" t="s">
        <v>122</v>
      </c>
      <c r="E2671" s="2" t="s">
        <v>8912</v>
      </c>
      <c r="F2671" s="2">
        <v>647</v>
      </c>
      <c r="G2671" s="2" t="s">
        <v>8896</v>
      </c>
      <c r="H2671" s="2">
        <v>126</v>
      </c>
      <c r="I2671" s="2" t="s">
        <v>8640</v>
      </c>
      <c r="J2671" s="2">
        <v>591</v>
      </c>
      <c r="K2671" s="2" t="s">
        <v>1775</v>
      </c>
      <c r="L2671" s="2" t="s">
        <v>8641</v>
      </c>
      <c r="M2671" s="3">
        <v>40355</v>
      </c>
      <c r="N2671" s="2" t="s">
        <v>8897</v>
      </c>
      <c r="O2671" s="2"/>
      <c r="P2671" s="2"/>
      <c r="Q2671" s="2" t="str">
        <f>"231-A/10"</f>
        <v>231-A/10</v>
      </c>
      <c r="R2671" s="2" t="s">
        <v>116</v>
      </c>
      <c r="S2671" s="2"/>
      <c r="T2671" s="2">
        <v>1</v>
      </c>
      <c r="U2671" s="2" t="s">
        <v>79</v>
      </c>
      <c r="V2671" s="2">
        <v>1</v>
      </c>
      <c r="W2671" s="2" t="s">
        <v>80</v>
      </c>
      <c r="X2671" s="2">
        <v>12</v>
      </c>
      <c r="Y2671" s="2" t="s">
        <v>148</v>
      </c>
      <c r="Z2671" s="2">
        <v>10</v>
      </c>
      <c r="AA2671" s="2" t="s">
        <v>236</v>
      </c>
      <c r="AB2671" s="2">
        <v>6</v>
      </c>
      <c r="AC2671" s="2" t="s">
        <v>83</v>
      </c>
      <c r="AD2671" s="3">
        <v>40354</v>
      </c>
      <c r="AE2671" s="4">
        <v>0.54861111111111105</v>
      </c>
      <c r="AF2671" s="3">
        <v>40354</v>
      </c>
      <c r="AG2671" s="4">
        <v>0.625</v>
      </c>
      <c r="AH2671" s="2">
        <v>2</v>
      </c>
      <c r="AI2671" s="2" t="s">
        <v>84</v>
      </c>
      <c r="AJ2671" s="2">
        <v>12</v>
      </c>
      <c r="AK2671" s="2" t="s">
        <v>85</v>
      </c>
      <c r="AL2671" s="2">
        <v>29</v>
      </c>
      <c r="AM2671" s="2" t="s">
        <v>5416</v>
      </c>
      <c r="AN2671" s="2" t="s">
        <v>7545</v>
      </c>
      <c r="AO2671" s="2"/>
      <c r="AP2671" s="2">
        <v>11</v>
      </c>
      <c r="AQ2671" s="2" t="s">
        <v>82</v>
      </c>
      <c r="AR2671" s="2"/>
      <c r="AS2671" s="2"/>
      <c r="AT2671" s="2" t="s">
        <v>8913</v>
      </c>
      <c r="AU2671" s="2">
        <v>1</v>
      </c>
      <c r="AV2671" s="2"/>
      <c r="AW2671" s="2"/>
      <c r="AX2671" s="2"/>
      <c r="AY2671" s="2">
        <v>41</v>
      </c>
      <c r="AZ2671" s="2" t="s">
        <v>82</v>
      </c>
      <c r="BA2671" s="2">
        <v>41</v>
      </c>
      <c r="BB2671" s="2" t="s">
        <v>82</v>
      </c>
      <c r="BC2671" s="2">
        <v>41</v>
      </c>
      <c r="BD2671" s="2" t="s">
        <v>82</v>
      </c>
      <c r="BE2671" s="2">
        <v>13</v>
      </c>
      <c r="BF2671" s="2" t="s">
        <v>108</v>
      </c>
      <c r="BG2671" s="2" t="s">
        <v>6698</v>
      </c>
      <c r="BH2671" s="4">
        <v>0.82291666666666663</v>
      </c>
      <c r="BI2671" s="4">
        <v>0.67708333333333337</v>
      </c>
      <c r="BJ2671" s="2">
        <v>13</v>
      </c>
      <c r="BK2671" s="2" t="s">
        <v>91</v>
      </c>
      <c r="BL2671" s="2" t="s">
        <v>185</v>
      </c>
      <c r="BM2671" s="2">
        <v>241</v>
      </c>
      <c r="BN2671" s="2" t="s">
        <v>82</v>
      </c>
      <c r="BO2671" s="2"/>
      <c r="BP2671" s="2">
        <v>13</v>
      </c>
      <c r="BQ2671" s="2" t="s">
        <v>91</v>
      </c>
      <c r="BR2671" s="2" t="s">
        <v>895</v>
      </c>
      <c r="BS2671" s="3">
        <v>40355</v>
      </c>
      <c r="BT2671" s="4">
        <v>0.34888888888888886</v>
      </c>
    </row>
    <row r="2672" spans="1:72" x14ac:dyDescent="0.25">
      <c r="A2672" s="2">
        <v>3878</v>
      </c>
      <c r="B2672" s="2">
        <v>2010</v>
      </c>
      <c r="C2672" s="2" t="s">
        <v>72</v>
      </c>
      <c r="D2672" s="2" t="s">
        <v>122</v>
      </c>
      <c r="E2672" s="2" t="s">
        <v>8914</v>
      </c>
      <c r="F2672" s="2">
        <v>24</v>
      </c>
      <c r="G2672" s="2" t="s">
        <v>532</v>
      </c>
      <c r="H2672" s="2">
        <v>22</v>
      </c>
      <c r="I2672" s="2" t="s">
        <v>75</v>
      </c>
      <c r="J2672" s="2">
        <v>300</v>
      </c>
      <c r="K2672" s="2" t="s">
        <v>114</v>
      </c>
      <c r="L2672" s="2" t="s">
        <v>115</v>
      </c>
      <c r="M2672" s="3">
        <v>40355</v>
      </c>
      <c r="N2672" s="2"/>
      <c r="O2672" s="2"/>
      <c r="P2672" s="2"/>
      <c r="Q2672" s="2" t="str">
        <f>"341-E/10"</f>
        <v>341-E/10</v>
      </c>
      <c r="R2672" s="2" t="s">
        <v>480</v>
      </c>
      <c r="S2672" s="2" t="s">
        <v>480</v>
      </c>
      <c r="T2672" s="2">
        <v>1</v>
      </c>
      <c r="U2672" s="2" t="s">
        <v>79</v>
      </c>
      <c r="V2672" s="2">
        <v>1</v>
      </c>
      <c r="W2672" s="2" t="s">
        <v>80</v>
      </c>
      <c r="X2672" s="2">
        <v>12</v>
      </c>
      <c r="Y2672" s="2" t="s">
        <v>148</v>
      </c>
      <c r="Z2672" s="2">
        <v>1</v>
      </c>
      <c r="AA2672" s="2" t="s">
        <v>82</v>
      </c>
      <c r="AB2672" s="2">
        <v>6</v>
      </c>
      <c r="AC2672" s="2" t="s">
        <v>83</v>
      </c>
      <c r="AD2672" s="3">
        <v>40354</v>
      </c>
      <c r="AE2672" s="4">
        <v>0.3263888888888889</v>
      </c>
      <c r="AF2672" s="3">
        <v>40354</v>
      </c>
      <c r="AG2672" s="4">
        <v>0.52083333333333337</v>
      </c>
      <c r="AH2672" s="2">
        <v>2</v>
      </c>
      <c r="AI2672" s="2" t="s">
        <v>84</v>
      </c>
      <c r="AJ2672" s="2">
        <v>9</v>
      </c>
      <c r="AK2672" s="2" t="s">
        <v>103</v>
      </c>
      <c r="AL2672" s="2">
        <v>24</v>
      </c>
      <c r="AM2672" s="2" t="s">
        <v>1540</v>
      </c>
      <c r="AN2672" s="2"/>
      <c r="AO2672" s="2" t="s">
        <v>7214</v>
      </c>
      <c r="AP2672" s="2">
        <v>11</v>
      </c>
      <c r="AQ2672" s="2" t="s">
        <v>82</v>
      </c>
      <c r="AR2672" s="2"/>
      <c r="AS2672" s="2"/>
      <c r="AT2672" s="2" t="s">
        <v>8915</v>
      </c>
      <c r="AU2672" s="2"/>
      <c r="AV2672" s="2"/>
      <c r="AW2672" s="2"/>
      <c r="AX2672" s="2"/>
      <c r="AY2672" s="2">
        <v>41</v>
      </c>
      <c r="AZ2672" s="2" t="s">
        <v>82</v>
      </c>
      <c r="BA2672" s="2">
        <v>41</v>
      </c>
      <c r="BB2672" s="2" t="s">
        <v>82</v>
      </c>
      <c r="BC2672" s="2">
        <v>41</v>
      </c>
      <c r="BD2672" s="2" t="s">
        <v>82</v>
      </c>
      <c r="BE2672" s="2">
        <v>41</v>
      </c>
      <c r="BF2672" s="2" t="s">
        <v>82</v>
      </c>
      <c r="BG2672" s="2" t="s">
        <v>8916</v>
      </c>
      <c r="BH2672" s="2"/>
      <c r="BI2672" s="4">
        <v>0.33333333333333331</v>
      </c>
      <c r="BJ2672" s="2">
        <v>13</v>
      </c>
      <c r="BK2672" s="2" t="s">
        <v>91</v>
      </c>
      <c r="BL2672" s="2" t="s">
        <v>185</v>
      </c>
      <c r="BM2672" s="2">
        <v>241</v>
      </c>
      <c r="BN2672" s="2" t="s">
        <v>82</v>
      </c>
      <c r="BO2672" s="2"/>
      <c r="BP2672" s="2">
        <v>232</v>
      </c>
      <c r="BQ2672" s="2" t="s">
        <v>4351</v>
      </c>
      <c r="BR2672" s="2" t="s">
        <v>4411</v>
      </c>
      <c r="BS2672" s="3">
        <v>40355</v>
      </c>
      <c r="BT2672" s="4">
        <v>0.36819444444444444</v>
      </c>
    </row>
    <row r="2673" spans="1:72" x14ac:dyDescent="0.25">
      <c r="A2673" s="2">
        <v>3879</v>
      </c>
      <c r="B2673" s="2">
        <v>2010</v>
      </c>
      <c r="C2673" s="2" t="s">
        <v>255</v>
      </c>
      <c r="D2673" s="2" t="s">
        <v>73</v>
      </c>
      <c r="E2673" s="2"/>
      <c r="F2673" s="2">
        <v>279</v>
      </c>
      <c r="G2673" s="2" t="s">
        <v>4464</v>
      </c>
      <c r="H2673" s="2">
        <v>108</v>
      </c>
      <c r="I2673" s="2" t="s">
        <v>1096</v>
      </c>
      <c r="J2673" s="2">
        <v>284</v>
      </c>
      <c r="K2673" s="2" t="s">
        <v>4465</v>
      </c>
      <c r="L2673" s="2" t="s">
        <v>4466</v>
      </c>
      <c r="M2673" s="3">
        <v>40355</v>
      </c>
      <c r="N2673" s="2" t="s">
        <v>8917</v>
      </c>
      <c r="O2673" s="2" t="s">
        <v>107</v>
      </c>
      <c r="P2673" s="2" t="s">
        <v>107</v>
      </c>
      <c r="Q2673" s="2" t="str">
        <f>"005/2010"</f>
        <v>005/2010</v>
      </c>
      <c r="R2673" s="2" t="s">
        <v>947</v>
      </c>
      <c r="S2673" s="2" t="s">
        <v>947</v>
      </c>
      <c r="T2673" s="2">
        <v>1</v>
      </c>
      <c r="U2673" s="2" t="s">
        <v>79</v>
      </c>
      <c r="V2673" s="2">
        <v>1</v>
      </c>
      <c r="W2673" s="2" t="s">
        <v>80</v>
      </c>
      <c r="X2673" s="2">
        <v>1</v>
      </c>
      <c r="Y2673" s="2" t="s">
        <v>81</v>
      </c>
      <c r="Z2673" s="2">
        <v>1</v>
      </c>
      <c r="AA2673" s="2" t="s">
        <v>82</v>
      </c>
      <c r="AB2673" s="2">
        <v>9</v>
      </c>
      <c r="AC2673" s="2" t="s">
        <v>124</v>
      </c>
      <c r="AD2673" s="3">
        <v>40355</v>
      </c>
      <c r="AE2673" s="2"/>
      <c r="AF2673" s="2"/>
      <c r="AG2673" s="2"/>
      <c r="AH2673" s="2">
        <v>3</v>
      </c>
      <c r="AI2673" s="2" t="s">
        <v>214</v>
      </c>
      <c r="AJ2673" s="2">
        <v>18</v>
      </c>
      <c r="AK2673" s="2" t="s">
        <v>4469</v>
      </c>
      <c r="AL2673" s="2">
        <v>9</v>
      </c>
      <c r="AM2673" s="2" t="s">
        <v>259</v>
      </c>
      <c r="AN2673" s="2" t="s">
        <v>8918</v>
      </c>
      <c r="AO2673" s="2"/>
      <c r="AP2673" s="2">
        <v>11</v>
      </c>
      <c r="AQ2673" s="2" t="s">
        <v>82</v>
      </c>
      <c r="AR2673" s="2"/>
      <c r="AS2673" s="2"/>
      <c r="AT2673" s="2" t="s">
        <v>8919</v>
      </c>
      <c r="AU2673" s="2"/>
      <c r="AV2673" s="2"/>
      <c r="AW2673" s="2"/>
      <c r="AX2673" s="2"/>
      <c r="AY2673" s="2">
        <v>44</v>
      </c>
      <c r="AZ2673" s="2" t="s">
        <v>262</v>
      </c>
      <c r="BA2673" s="2">
        <v>41</v>
      </c>
      <c r="BB2673" s="2" t="s">
        <v>82</v>
      </c>
      <c r="BC2673" s="2">
        <v>41</v>
      </c>
      <c r="BD2673" s="2" t="s">
        <v>82</v>
      </c>
      <c r="BE2673" s="2">
        <v>41</v>
      </c>
      <c r="BF2673" s="2" t="s">
        <v>82</v>
      </c>
      <c r="BG2673" s="2"/>
      <c r="BH2673" s="2"/>
      <c r="BI2673" s="2"/>
      <c r="BJ2673" s="2">
        <v>241</v>
      </c>
      <c r="BK2673" s="2" t="s">
        <v>82</v>
      </c>
      <c r="BL2673" s="2"/>
      <c r="BM2673" s="2">
        <v>241</v>
      </c>
      <c r="BN2673" s="2" t="s">
        <v>82</v>
      </c>
      <c r="BO2673" s="2"/>
      <c r="BP2673" s="2">
        <v>241</v>
      </c>
      <c r="BQ2673" s="2" t="s">
        <v>82</v>
      </c>
      <c r="BR2673" s="2"/>
      <c r="BS2673" s="3">
        <v>40355</v>
      </c>
      <c r="BT2673" s="4">
        <v>0.49435185185185188</v>
      </c>
    </row>
    <row r="2674" spans="1:72" x14ac:dyDescent="0.25">
      <c r="A2674" s="2">
        <v>3880</v>
      </c>
      <c r="B2674" s="2">
        <v>2010</v>
      </c>
      <c r="C2674" s="2" t="s">
        <v>377</v>
      </c>
      <c r="D2674" s="2" t="s">
        <v>73</v>
      </c>
      <c r="E2674" s="2"/>
      <c r="F2674" s="2">
        <v>426</v>
      </c>
      <c r="G2674" s="2" t="s">
        <v>378</v>
      </c>
      <c r="H2674" s="2">
        <v>108</v>
      </c>
      <c r="I2674" s="2" t="s">
        <v>1096</v>
      </c>
      <c r="J2674" s="2">
        <v>311</v>
      </c>
      <c r="K2674" s="2" t="s">
        <v>379</v>
      </c>
      <c r="L2674" s="2" t="s">
        <v>380</v>
      </c>
      <c r="M2674" s="3">
        <v>40355</v>
      </c>
      <c r="N2674" s="2" t="s">
        <v>5164</v>
      </c>
      <c r="O2674" s="2"/>
      <c r="P2674" s="2"/>
      <c r="Q2674" s="2" t="str">
        <f>"141-C/10"</f>
        <v>141-C/10</v>
      </c>
      <c r="R2674" s="2" t="s">
        <v>8920</v>
      </c>
      <c r="S2674" s="2"/>
      <c r="T2674" s="2">
        <v>1</v>
      </c>
      <c r="U2674" s="2" t="s">
        <v>79</v>
      </c>
      <c r="V2674" s="2">
        <v>1</v>
      </c>
      <c r="W2674" s="2" t="s">
        <v>80</v>
      </c>
      <c r="X2674" s="2">
        <v>1</v>
      </c>
      <c r="Y2674" s="2" t="s">
        <v>81</v>
      </c>
      <c r="Z2674" s="2">
        <v>1</v>
      </c>
      <c r="AA2674" s="2" t="s">
        <v>82</v>
      </c>
      <c r="AB2674" s="2">
        <v>9</v>
      </c>
      <c r="AC2674" s="2" t="s">
        <v>124</v>
      </c>
      <c r="AD2674" s="3">
        <v>40355</v>
      </c>
      <c r="AE2674" s="4">
        <v>0.3263888888888889</v>
      </c>
      <c r="AF2674" s="2"/>
      <c r="AG2674" s="2"/>
      <c r="AH2674" s="2">
        <v>2</v>
      </c>
      <c r="AI2674" s="2" t="s">
        <v>84</v>
      </c>
      <c r="AJ2674" s="2">
        <v>9</v>
      </c>
      <c r="AK2674" s="2" t="s">
        <v>103</v>
      </c>
      <c r="AL2674" s="2">
        <v>13</v>
      </c>
      <c r="AM2674" s="2" t="s">
        <v>117</v>
      </c>
      <c r="AN2674" s="2"/>
      <c r="AO2674" s="2" t="s">
        <v>3322</v>
      </c>
      <c r="AP2674" s="2">
        <v>11</v>
      </c>
      <c r="AQ2674" s="2" t="s">
        <v>82</v>
      </c>
      <c r="AR2674" s="2"/>
      <c r="AS2674" s="2"/>
      <c r="AT2674" s="2" t="s">
        <v>8921</v>
      </c>
      <c r="AU2674" s="2"/>
      <c r="AV2674" s="2"/>
      <c r="AW2674" s="2"/>
      <c r="AX2674" s="2"/>
      <c r="AY2674" s="2">
        <v>41</v>
      </c>
      <c r="AZ2674" s="2" t="s">
        <v>82</v>
      </c>
      <c r="BA2674" s="2">
        <v>41</v>
      </c>
      <c r="BB2674" s="2" t="s">
        <v>82</v>
      </c>
      <c r="BC2674" s="2">
        <v>41</v>
      </c>
      <c r="BD2674" s="2" t="s">
        <v>82</v>
      </c>
      <c r="BE2674" s="2">
        <v>41</v>
      </c>
      <c r="BF2674" s="2" t="s">
        <v>82</v>
      </c>
      <c r="BG2674" s="2"/>
      <c r="BH2674" s="2"/>
      <c r="BI2674" s="2"/>
      <c r="BJ2674" s="2">
        <v>241</v>
      </c>
      <c r="BK2674" s="2" t="s">
        <v>82</v>
      </c>
      <c r="BL2674" s="2"/>
      <c r="BM2674" s="2">
        <v>241</v>
      </c>
      <c r="BN2674" s="2" t="s">
        <v>82</v>
      </c>
      <c r="BO2674" s="2"/>
      <c r="BP2674" s="2">
        <v>241</v>
      </c>
      <c r="BQ2674" s="2" t="s">
        <v>82</v>
      </c>
      <c r="BR2674" s="2"/>
      <c r="BS2674" s="3">
        <v>40355</v>
      </c>
      <c r="BT2674" s="4">
        <v>0.57583333333333331</v>
      </c>
    </row>
    <row r="2675" spans="1:72" x14ac:dyDescent="0.25">
      <c r="A2675" s="2">
        <v>3881</v>
      </c>
      <c r="B2675" s="2">
        <v>2010</v>
      </c>
      <c r="C2675" s="2" t="s">
        <v>377</v>
      </c>
      <c r="D2675" s="2" t="s">
        <v>73</v>
      </c>
      <c r="E2675" s="2"/>
      <c r="F2675" s="2">
        <v>426</v>
      </c>
      <c r="G2675" s="2" t="s">
        <v>378</v>
      </c>
      <c r="H2675" s="2">
        <v>108</v>
      </c>
      <c r="I2675" s="2" t="s">
        <v>1096</v>
      </c>
      <c r="J2675" s="2">
        <v>311</v>
      </c>
      <c r="K2675" s="2" t="s">
        <v>379</v>
      </c>
      <c r="L2675" s="2" t="s">
        <v>380</v>
      </c>
      <c r="M2675" s="3">
        <v>40355</v>
      </c>
      <c r="N2675" s="2" t="s">
        <v>5164</v>
      </c>
      <c r="O2675" s="2"/>
      <c r="P2675" s="2"/>
      <c r="Q2675" s="2" t="str">
        <f>"142-C/10"</f>
        <v>142-C/10</v>
      </c>
      <c r="R2675" s="2" t="s">
        <v>5161</v>
      </c>
      <c r="S2675" s="2"/>
      <c r="T2675" s="2">
        <v>1</v>
      </c>
      <c r="U2675" s="2" t="s">
        <v>79</v>
      </c>
      <c r="V2675" s="2">
        <v>1</v>
      </c>
      <c r="W2675" s="2" t="s">
        <v>80</v>
      </c>
      <c r="X2675" s="2">
        <v>1</v>
      </c>
      <c r="Y2675" s="2" t="s">
        <v>81</v>
      </c>
      <c r="Z2675" s="2">
        <v>1</v>
      </c>
      <c r="AA2675" s="2" t="s">
        <v>82</v>
      </c>
      <c r="AB2675" s="2">
        <v>9</v>
      </c>
      <c r="AC2675" s="2" t="s">
        <v>124</v>
      </c>
      <c r="AD2675" s="3">
        <v>40355</v>
      </c>
      <c r="AE2675" s="4">
        <v>0.3611111111111111</v>
      </c>
      <c r="AF2675" s="2"/>
      <c r="AG2675" s="2"/>
      <c r="AH2675" s="2">
        <v>2</v>
      </c>
      <c r="AI2675" s="2" t="s">
        <v>84</v>
      </c>
      <c r="AJ2675" s="2">
        <v>9</v>
      </c>
      <c r="AK2675" s="2" t="s">
        <v>103</v>
      </c>
      <c r="AL2675" s="2">
        <v>29</v>
      </c>
      <c r="AM2675" s="2" t="s">
        <v>5416</v>
      </c>
      <c r="AN2675" s="2"/>
      <c r="AO2675" s="2" t="s">
        <v>8922</v>
      </c>
      <c r="AP2675" s="2">
        <v>11</v>
      </c>
      <c r="AQ2675" s="2" t="s">
        <v>82</v>
      </c>
      <c r="AR2675" s="2"/>
      <c r="AS2675" s="2"/>
      <c r="AT2675" s="2" t="s">
        <v>8923</v>
      </c>
      <c r="AU2675" s="2"/>
      <c r="AV2675" s="2"/>
      <c r="AW2675" s="2"/>
      <c r="AX2675" s="2"/>
      <c r="AY2675" s="2">
        <v>41</v>
      </c>
      <c r="AZ2675" s="2" t="s">
        <v>82</v>
      </c>
      <c r="BA2675" s="2">
        <v>41</v>
      </c>
      <c r="BB2675" s="2" t="s">
        <v>82</v>
      </c>
      <c r="BC2675" s="2">
        <v>41</v>
      </c>
      <c r="BD2675" s="2" t="s">
        <v>82</v>
      </c>
      <c r="BE2675" s="2">
        <v>41</v>
      </c>
      <c r="BF2675" s="2" t="s">
        <v>82</v>
      </c>
      <c r="BG2675" s="2"/>
      <c r="BH2675" s="2"/>
      <c r="BI2675" s="2"/>
      <c r="BJ2675" s="2">
        <v>241</v>
      </c>
      <c r="BK2675" s="2" t="s">
        <v>82</v>
      </c>
      <c r="BL2675" s="2"/>
      <c r="BM2675" s="2">
        <v>241</v>
      </c>
      <c r="BN2675" s="2" t="s">
        <v>82</v>
      </c>
      <c r="BO2675" s="2"/>
      <c r="BP2675" s="2">
        <v>241</v>
      </c>
      <c r="BQ2675" s="2" t="s">
        <v>82</v>
      </c>
      <c r="BR2675" s="2"/>
      <c r="BS2675" s="3">
        <v>40355</v>
      </c>
      <c r="BT2675" s="4">
        <v>0.58813657407407405</v>
      </c>
    </row>
    <row r="2676" spans="1:72" x14ac:dyDescent="0.25">
      <c r="A2676" s="2">
        <v>3882</v>
      </c>
      <c r="B2676" s="2">
        <v>2010</v>
      </c>
      <c r="C2676" s="2" t="s">
        <v>171</v>
      </c>
      <c r="D2676" s="2" t="s">
        <v>73</v>
      </c>
      <c r="E2676" s="2"/>
      <c r="F2676" s="2">
        <v>92</v>
      </c>
      <c r="G2676" s="2" t="s">
        <v>1432</v>
      </c>
      <c r="H2676" s="2">
        <v>47</v>
      </c>
      <c r="I2676" s="2" t="s">
        <v>1409</v>
      </c>
      <c r="J2676" s="2">
        <v>119</v>
      </c>
      <c r="K2676" s="2" t="s">
        <v>325</v>
      </c>
      <c r="L2676" s="2" t="s">
        <v>326</v>
      </c>
      <c r="M2676" s="3">
        <v>40355</v>
      </c>
      <c r="N2676" s="2" t="s">
        <v>4106</v>
      </c>
      <c r="O2676" s="2" t="s">
        <v>107</v>
      </c>
      <c r="P2676" s="2" t="s">
        <v>107</v>
      </c>
      <c r="Q2676" s="2" t="str">
        <f>"021-10"</f>
        <v>021-10</v>
      </c>
      <c r="R2676" s="2" t="s">
        <v>107</v>
      </c>
      <c r="S2676" s="2" t="s">
        <v>8924</v>
      </c>
      <c r="T2676" s="2">
        <v>1</v>
      </c>
      <c r="U2676" s="2" t="s">
        <v>79</v>
      </c>
      <c r="V2676" s="2">
        <v>1</v>
      </c>
      <c r="W2676" s="2" t="s">
        <v>80</v>
      </c>
      <c r="X2676" s="2">
        <v>1</v>
      </c>
      <c r="Y2676" s="2" t="s">
        <v>81</v>
      </c>
      <c r="Z2676" s="2">
        <v>1</v>
      </c>
      <c r="AA2676" s="2" t="s">
        <v>82</v>
      </c>
      <c r="AB2676" s="2">
        <v>1</v>
      </c>
      <c r="AC2676" s="2" t="s">
        <v>178</v>
      </c>
      <c r="AD2676" s="3">
        <v>40355</v>
      </c>
      <c r="AE2676" s="4">
        <v>0.5</v>
      </c>
      <c r="AF2676" s="2"/>
      <c r="AG2676" s="2"/>
      <c r="AH2676" s="2">
        <v>6</v>
      </c>
      <c r="AI2676" s="2" t="s">
        <v>197</v>
      </c>
      <c r="AJ2676" s="2">
        <v>50</v>
      </c>
      <c r="AK2676" s="2" t="s">
        <v>330</v>
      </c>
      <c r="AL2676" s="2">
        <v>22</v>
      </c>
      <c r="AM2676" s="2" t="s">
        <v>1853</v>
      </c>
      <c r="AN2676" s="2" t="s">
        <v>8925</v>
      </c>
      <c r="AO2676" s="2" t="s">
        <v>137</v>
      </c>
      <c r="AP2676" s="2">
        <v>11</v>
      </c>
      <c r="AQ2676" s="2" t="s">
        <v>82</v>
      </c>
      <c r="AR2676" s="2"/>
      <c r="AS2676" s="2"/>
      <c r="AT2676" s="2" t="s">
        <v>8926</v>
      </c>
      <c r="AU2676" s="2"/>
      <c r="AV2676" s="2"/>
      <c r="AW2676" s="2"/>
      <c r="AX2676" s="2"/>
      <c r="AY2676" s="2">
        <v>41</v>
      </c>
      <c r="AZ2676" s="2" t="s">
        <v>82</v>
      </c>
      <c r="BA2676" s="2">
        <v>41</v>
      </c>
      <c r="BB2676" s="2" t="s">
        <v>82</v>
      </c>
      <c r="BC2676" s="2">
        <v>41</v>
      </c>
      <c r="BD2676" s="2" t="s">
        <v>82</v>
      </c>
      <c r="BE2676" s="2">
        <v>4</v>
      </c>
      <c r="BF2676" s="2" t="s">
        <v>90</v>
      </c>
      <c r="BG2676" s="2">
        <v>4345</v>
      </c>
      <c r="BH2676" s="2"/>
      <c r="BI2676" s="4">
        <v>0.52777777777777779</v>
      </c>
      <c r="BJ2676" s="2">
        <v>13</v>
      </c>
      <c r="BK2676" s="2" t="s">
        <v>91</v>
      </c>
      <c r="BL2676" s="2" t="s">
        <v>1199</v>
      </c>
      <c r="BM2676" s="2">
        <v>241</v>
      </c>
      <c r="BN2676" s="2" t="s">
        <v>82</v>
      </c>
      <c r="BO2676" s="2"/>
      <c r="BP2676" s="2">
        <v>13</v>
      </c>
      <c r="BQ2676" s="2" t="s">
        <v>91</v>
      </c>
      <c r="BR2676" s="2" t="s">
        <v>170</v>
      </c>
      <c r="BS2676" s="3">
        <v>40355</v>
      </c>
      <c r="BT2676" s="4">
        <v>0.74690972222222218</v>
      </c>
    </row>
    <row r="2677" spans="1:72" x14ac:dyDescent="0.25">
      <c r="A2677" s="2">
        <v>3883</v>
      </c>
      <c r="B2677" s="2">
        <v>2010</v>
      </c>
      <c r="C2677" s="2" t="s">
        <v>93</v>
      </c>
      <c r="D2677" s="2" t="s">
        <v>73</v>
      </c>
      <c r="E2677" s="2"/>
      <c r="F2677" s="2">
        <v>157</v>
      </c>
      <c r="G2677" s="2" t="s">
        <v>3011</v>
      </c>
      <c r="H2677" s="2">
        <v>15</v>
      </c>
      <c r="I2677" s="2" t="s">
        <v>130</v>
      </c>
      <c r="J2677" s="2">
        <v>167</v>
      </c>
      <c r="K2677" s="2" t="s">
        <v>1032</v>
      </c>
      <c r="L2677" s="2" t="s">
        <v>1033</v>
      </c>
      <c r="M2677" s="3">
        <v>40355</v>
      </c>
      <c r="N2677" s="2" t="s">
        <v>8927</v>
      </c>
      <c r="O2677" s="2" t="s">
        <v>8928</v>
      </c>
      <c r="P2677" s="2">
        <v>1326</v>
      </c>
      <c r="Q2677" s="2" t="str">
        <f>"0088/10"</f>
        <v>0088/10</v>
      </c>
      <c r="R2677" s="2" t="s">
        <v>3812</v>
      </c>
      <c r="S2677" s="2"/>
      <c r="T2677" s="2">
        <v>1</v>
      </c>
      <c r="U2677" s="2" t="s">
        <v>79</v>
      </c>
      <c r="V2677" s="2">
        <v>1</v>
      </c>
      <c r="W2677" s="2" t="s">
        <v>80</v>
      </c>
      <c r="X2677" s="2">
        <v>10</v>
      </c>
      <c r="Y2677" s="2" t="s">
        <v>226</v>
      </c>
      <c r="Z2677" s="2">
        <v>9</v>
      </c>
      <c r="AA2677" s="2" t="s">
        <v>1119</v>
      </c>
      <c r="AB2677" s="2">
        <v>2</v>
      </c>
      <c r="AC2677" s="2" t="s">
        <v>102</v>
      </c>
      <c r="AD2677" s="3">
        <v>40355</v>
      </c>
      <c r="AE2677" s="4">
        <v>0.5625</v>
      </c>
      <c r="AF2677" s="2"/>
      <c r="AG2677" s="2"/>
      <c r="AH2677" s="2">
        <v>5</v>
      </c>
      <c r="AI2677" s="2" t="s">
        <v>274</v>
      </c>
      <c r="AJ2677" s="2">
        <v>38</v>
      </c>
      <c r="AK2677" s="2" t="s">
        <v>1120</v>
      </c>
      <c r="AL2677" s="2">
        <v>14</v>
      </c>
      <c r="AM2677" s="2" t="s">
        <v>216</v>
      </c>
      <c r="AN2677" s="2"/>
      <c r="AO2677" s="2" t="s">
        <v>7650</v>
      </c>
      <c r="AP2677" s="2">
        <v>11</v>
      </c>
      <c r="AQ2677" s="2" t="s">
        <v>82</v>
      </c>
      <c r="AR2677" s="2"/>
      <c r="AS2677" s="2"/>
      <c r="AT2677" s="2" t="s">
        <v>8929</v>
      </c>
      <c r="AU2677" s="2"/>
      <c r="AV2677" s="2"/>
      <c r="AW2677" s="2"/>
      <c r="AX2677" s="2"/>
      <c r="AY2677" s="2">
        <v>41</v>
      </c>
      <c r="AZ2677" s="2" t="s">
        <v>82</v>
      </c>
      <c r="BA2677" s="2">
        <v>41</v>
      </c>
      <c r="BB2677" s="2" t="s">
        <v>82</v>
      </c>
      <c r="BC2677" s="2">
        <v>41</v>
      </c>
      <c r="BD2677" s="2" t="s">
        <v>82</v>
      </c>
      <c r="BE2677" s="2">
        <v>13</v>
      </c>
      <c r="BF2677" s="2" t="s">
        <v>108</v>
      </c>
      <c r="BG2677" s="2">
        <v>1725</v>
      </c>
      <c r="BH2677" s="4">
        <v>0.52083333333333337</v>
      </c>
      <c r="BI2677" s="4">
        <v>0.54861111111111105</v>
      </c>
      <c r="BJ2677" s="2">
        <v>13</v>
      </c>
      <c r="BK2677" s="2" t="s">
        <v>91</v>
      </c>
      <c r="BL2677" s="2" t="s">
        <v>8930</v>
      </c>
      <c r="BM2677" s="2">
        <v>13</v>
      </c>
      <c r="BN2677" s="2" t="s">
        <v>91</v>
      </c>
      <c r="BO2677" s="2"/>
      <c r="BP2677" s="2">
        <v>13</v>
      </c>
      <c r="BQ2677" s="2" t="s">
        <v>91</v>
      </c>
      <c r="BR2677" s="2" t="s">
        <v>170</v>
      </c>
      <c r="BS2677" s="3">
        <v>40355</v>
      </c>
      <c r="BT2677" s="4">
        <v>0.75270833333333342</v>
      </c>
    </row>
    <row r="2678" spans="1:72" x14ac:dyDescent="0.25">
      <c r="A2678" s="2">
        <v>3884</v>
      </c>
      <c r="B2678" s="2">
        <v>2010</v>
      </c>
      <c r="C2678" s="2" t="s">
        <v>2219</v>
      </c>
      <c r="D2678" s="2" t="s">
        <v>73</v>
      </c>
      <c r="E2678" s="2"/>
      <c r="F2678" s="2">
        <v>209</v>
      </c>
      <c r="G2678" s="2" t="s">
        <v>8169</v>
      </c>
      <c r="H2678" s="2">
        <v>125</v>
      </c>
      <c r="I2678" s="2" t="s">
        <v>8170</v>
      </c>
      <c r="J2678" s="2">
        <v>193</v>
      </c>
      <c r="K2678" s="2" t="s">
        <v>8171</v>
      </c>
      <c r="L2678" s="2" t="s">
        <v>8172</v>
      </c>
      <c r="M2678" s="3">
        <v>40355</v>
      </c>
      <c r="N2678" s="2" t="s">
        <v>8931</v>
      </c>
      <c r="O2678" s="2" t="s">
        <v>107</v>
      </c>
      <c r="P2678" s="2" t="s">
        <v>107</v>
      </c>
      <c r="Q2678" s="2" t="str">
        <f>"233-A/10"</f>
        <v>233-A/10</v>
      </c>
      <c r="R2678" s="2" t="s">
        <v>8932</v>
      </c>
      <c r="S2678" s="2"/>
      <c r="T2678" s="2">
        <v>1</v>
      </c>
      <c r="U2678" s="2" t="s">
        <v>79</v>
      </c>
      <c r="V2678" s="2">
        <v>1</v>
      </c>
      <c r="W2678" s="2" t="s">
        <v>80</v>
      </c>
      <c r="X2678" s="2">
        <v>1</v>
      </c>
      <c r="Y2678" s="2" t="s">
        <v>81</v>
      </c>
      <c r="Z2678" s="2">
        <v>1</v>
      </c>
      <c r="AA2678" s="2" t="s">
        <v>82</v>
      </c>
      <c r="AB2678" s="2">
        <v>9</v>
      </c>
      <c r="AC2678" s="2" t="s">
        <v>124</v>
      </c>
      <c r="AD2678" s="3">
        <v>40355</v>
      </c>
      <c r="AE2678" s="4">
        <v>0.46180555555555558</v>
      </c>
      <c r="AF2678" s="2"/>
      <c r="AG2678" s="2"/>
      <c r="AH2678" s="2">
        <v>2</v>
      </c>
      <c r="AI2678" s="2" t="s">
        <v>84</v>
      </c>
      <c r="AJ2678" s="2">
        <v>12</v>
      </c>
      <c r="AK2678" s="2" t="s">
        <v>85</v>
      </c>
      <c r="AL2678" s="2">
        <v>29</v>
      </c>
      <c r="AM2678" s="2" t="s">
        <v>5416</v>
      </c>
      <c r="AN2678" s="2" t="s">
        <v>8933</v>
      </c>
      <c r="AO2678" s="2" t="s">
        <v>8934</v>
      </c>
      <c r="AP2678" s="2">
        <v>11</v>
      </c>
      <c r="AQ2678" s="2" t="s">
        <v>82</v>
      </c>
      <c r="AR2678" s="2"/>
      <c r="AS2678" s="2"/>
      <c r="AT2678" s="2" t="s">
        <v>8935</v>
      </c>
      <c r="AU2678" s="2">
        <v>1</v>
      </c>
      <c r="AV2678" s="2"/>
      <c r="AW2678" s="2"/>
      <c r="AX2678" s="2"/>
      <c r="AY2678" s="2">
        <v>41</v>
      </c>
      <c r="AZ2678" s="2" t="s">
        <v>82</v>
      </c>
      <c r="BA2678" s="2">
        <v>41</v>
      </c>
      <c r="BB2678" s="2" t="s">
        <v>82</v>
      </c>
      <c r="BC2678" s="2">
        <v>41</v>
      </c>
      <c r="BD2678" s="2" t="s">
        <v>82</v>
      </c>
      <c r="BE2678" s="2">
        <v>41</v>
      </c>
      <c r="BF2678" s="2" t="s">
        <v>82</v>
      </c>
      <c r="BG2678" s="2"/>
      <c r="BH2678" s="2"/>
      <c r="BI2678" s="2"/>
      <c r="BJ2678" s="2">
        <v>241</v>
      </c>
      <c r="BK2678" s="2" t="s">
        <v>82</v>
      </c>
      <c r="BL2678" s="2"/>
      <c r="BM2678" s="2">
        <v>241</v>
      </c>
      <c r="BN2678" s="2" t="s">
        <v>82</v>
      </c>
      <c r="BO2678" s="2"/>
      <c r="BP2678" s="2">
        <v>241</v>
      </c>
      <c r="BQ2678" s="2" t="s">
        <v>82</v>
      </c>
      <c r="BR2678" s="2"/>
      <c r="BS2678" s="3">
        <v>40355</v>
      </c>
      <c r="BT2678" s="4">
        <v>0.76986111111111111</v>
      </c>
    </row>
    <row r="2679" spans="1:72" x14ac:dyDescent="0.25">
      <c r="A2679" s="2">
        <v>3885</v>
      </c>
      <c r="B2679" s="2">
        <v>2010</v>
      </c>
      <c r="C2679" s="2" t="s">
        <v>128</v>
      </c>
      <c r="D2679" s="2" t="s">
        <v>122</v>
      </c>
      <c r="E2679" s="2" t="s">
        <v>8936</v>
      </c>
      <c r="F2679" s="2">
        <v>209</v>
      </c>
      <c r="G2679" s="2" t="s">
        <v>8169</v>
      </c>
      <c r="H2679" s="2">
        <v>125</v>
      </c>
      <c r="I2679" s="2" t="s">
        <v>8170</v>
      </c>
      <c r="J2679" s="2">
        <v>193</v>
      </c>
      <c r="K2679" s="2" t="s">
        <v>8171</v>
      </c>
      <c r="L2679" s="2" t="s">
        <v>8172</v>
      </c>
      <c r="M2679" s="3">
        <v>40355</v>
      </c>
      <c r="N2679" s="2" t="s">
        <v>8931</v>
      </c>
      <c r="O2679" s="2" t="s">
        <v>107</v>
      </c>
      <c r="P2679" s="2" t="s">
        <v>107</v>
      </c>
      <c r="Q2679" s="2" t="str">
        <f>"233-A/10"</f>
        <v>233-A/10</v>
      </c>
      <c r="R2679" s="2" t="s">
        <v>8932</v>
      </c>
      <c r="S2679" s="2" t="s">
        <v>107</v>
      </c>
      <c r="T2679" s="2">
        <v>1</v>
      </c>
      <c r="U2679" s="2" t="s">
        <v>79</v>
      </c>
      <c r="V2679" s="2">
        <v>1</v>
      </c>
      <c r="W2679" s="2" t="s">
        <v>80</v>
      </c>
      <c r="X2679" s="2">
        <v>1</v>
      </c>
      <c r="Y2679" s="2" t="s">
        <v>81</v>
      </c>
      <c r="Z2679" s="2">
        <v>10</v>
      </c>
      <c r="AA2679" s="2" t="s">
        <v>236</v>
      </c>
      <c r="AB2679" s="2">
        <v>9</v>
      </c>
      <c r="AC2679" s="2" t="s">
        <v>124</v>
      </c>
      <c r="AD2679" s="3">
        <v>40355</v>
      </c>
      <c r="AE2679" s="4">
        <v>0.82291666666666663</v>
      </c>
      <c r="AF2679" s="2"/>
      <c r="AG2679" s="2"/>
      <c r="AH2679" s="2">
        <v>2</v>
      </c>
      <c r="AI2679" s="2" t="s">
        <v>84</v>
      </c>
      <c r="AJ2679" s="2">
        <v>12</v>
      </c>
      <c r="AK2679" s="2" t="s">
        <v>85</v>
      </c>
      <c r="AL2679" s="2">
        <v>24</v>
      </c>
      <c r="AM2679" s="2" t="s">
        <v>1540</v>
      </c>
      <c r="AN2679" s="2" t="s">
        <v>8937</v>
      </c>
      <c r="AO2679" s="2"/>
      <c r="AP2679" s="2">
        <v>11</v>
      </c>
      <c r="AQ2679" s="2" t="s">
        <v>82</v>
      </c>
      <c r="AR2679" s="2"/>
      <c r="AS2679" s="2"/>
      <c r="AT2679" s="2" t="s">
        <v>8938</v>
      </c>
      <c r="AU2679" s="2">
        <v>1</v>
      </c>
      <c r="AV2679" s="2"/>
      <c r="AW2679" s="2"/>
      <c r="AX2679" s="2"/>
      <c r="AY2679" s="2">
        <v>41</v>
      </c>
      <c r="AZ2679" s="2" t="s">
        <v>82</v>
      </c>
      <c r="BA2679" s="2">
        <v>41</v>
      </c>
      <c r="BB2679" s="2" t="s">
        <v>82</v>
      </c>
      <c r="BC2679" s="2">
        <v>41</v>
      </c>
      <c r="BD2679" s="2" t="s">
        <v>82</v>
      </c>
      <c r="BE2679" s="2">
        <v>41</v>
      </c>
      <c r="BF2679" s="2" t="s">
        <v>82</v>
      </c>
      <c r="BG2679" s="2"/>
      <c r="BH2679" s="2"/>
      <c r="BI2679" s="2"/>
      <c r="BJ2679" s="2">
        <v>241</v>
      </c>
      <c r="BK2679" s="2" t="s">
        <v>82</v>
      </c>
      <c r="BL2679" s="2"/>
      <c r="BM2679" s="2">
        <v>241</v>
      </c>
      <c r="BN2679" s="2" t="s">
        <v>82</v>
      </c>
      <c r="BO2679" s="2"/>
      <c r="BP2679" s="2">
        <v>241</v>
      </c>
      <c r="BQ2679" s="2" t="s">
        <v>82</v>
      </c>
      <c r="BR2679" s="2"/>
      <c r="BS2679" s="3">
        <v>40355</v>
      </c>
      <c r="BT2679" s="4">
        <v>0.88275462962962958</v>
      </c>
    </row>
    <row r="2680" spans="1:72" x14ac:dyDescent="0.25">
      <c r="A2680" s="2">
        <v>3887</v>
      </c>
      <c r="B2680" s="2">
        <v>2010</v>
      </c>
      <c r="C2680" s="2" t="s">
        <v>171</v>
      </c>
      <c r="D2680" s="2" t="s">
        <v>73</v>
      </c>
      <c r="E2680" s="2"/>
      <c r="F2680" s="2">
        <v>92</v>
      </c>
      <c r="G2680" s="2" t="s">
        <v>1432</v>
      </c>
      <c r="H2680" s="2">
        <v>47</v>
      </c>
      <c r="I2680" s="2" t="s">
        <v>1409</v>
      </c>
      <c r="J2680" s="2">
        <v>119</v>
      </c>
      <c r="K2680" s="2" t="s">
        <v>325</v>
      </c>
      <c r="L2680" s="2" t="s">
        <v>326</v>
      </c>
      <c r="M2680" s="3">
        <v>40355</v>
      </c>
      <c r="N2680" s="2" t="s">
        <v>4106</v>
      </c>
      <c r="O2680" s="2" t="s">
        <v>107</v>
      </c>
      <c r="P2680" s="2" t="s">
        <v>107</v>
      </c>
      <c r="Q2680" s="2" t="str">
        <f>"0022-10"</f>
        <v>0022-10</v>
      </c>
      <c r="R2680" s="2"/>
      <c r="S2680" s="2" t="s">
        <v>6814</v>
      </c>
      <c r="T2680" s="2">
        <v>1</v>
      </c>
      <c r="U2680" s="2" t="s">
        <v>79</v>
      </c>
      <c r="V2680" s="2">
        <v>1</v>
      </c>
      <c r="W2680" s="2" t="s">
        <v>80</v>
      </c>
      <c r="X2680" s="2">
        <v>1</v>
      </c>
      <c r="Y2680" s="2" t="s">
        <v>81</v>
      </c>
      <c r="Z2680" s="2">
        <v>1</v>
      </c>
      <c r="AA2680" s="2" t="s">
        <v>82</v>
      </c>
      <c r="AB2680" s="2">
        <v>1</v>
      </c>
      <c r="AC2680" s="2" t="s">
        <v>178</v>
      </c>
      <c r="AD2680" s="3">
        <v>40355</v>
      </c>
      <c r="AE2680" s="4">
        <v>0.84027777777777779</v>
      </c>
      <c r="AF2680" s="2"/>
      <c r="AG2680" s="2"/>
      <c r="AH2680" s="2">
        <v>6</v>
      </c>
      <c r="AI2680" s="2" t="s">
        <v>197</v>
      </c>
      <c r="AJ2680" s="2">
        <v>50</v>
      </c>
      <c r="AK2680" s="2" t="s">
        <v>330</v>
      </c>
      <c r="AL2680" s="2">
        <v>11</v>
      </c>
      <c r="AM2680" s="2" t="s">
        <v>137</v>
      </c>
      <c r="AN2680" s="2" t="s">
        <v>6881</v>
      </c>
      <c r="AO2680" s="2" t="s">
        <v>416</v>
      </c>
      <c r="AP2680" s="2">
        <v>11</v>
      </c>
      <c r="AQ2680" s="2" t="s">
        <v>82</v>
      </c>
      <c r="AR2680" s="2" t="s">
        <v>82</v>
      </c>
      <c r="AS2680" s="2" t="s">
        <v>82</v>
      </c>
      <c r="AT2680" s="2" t="s">
        <v>8939</v>
      </c>
      <c r="AU2680" s="2"/>
      <c r="AV2680" s="2"/>
      <c r="AW2680" s="2"/>
      <c r="AX2680" s="2"/>
      <c r="AY2680" s="2">
        <v>41</v>
      </c>
      <c r="AZ2680" s="2" t="s">
        <v>82</v>
      </c>
      <c r="BA2680" s="2">
        <v>41</v>
      </c>
      <c r="BB2680" s="2" t="s">
        <v>82</v>
      </c>
      <c r="BC2680" s="2">
        <v>41</v>
      </c>
      <c r="BD2680" s="2" t="s">
        <v>82</v>
      </c>
      <c r="BE2680" s="2">
        <v>47</v>
      </c>
      <c r="BF2680" s="2" t="s">
        <v>167</v>
      </c>
      <c r="BG2680" s="2">
        <v>2689</v>
      </c>
      <c r="BH2680" s="2"/>
      <c r="BI2680" s="4">
        <v>0.85416666666666663</v>
      </c>
      <c r="BJ2680" s="2">
        <v>13</v>
      </c>
      <c r="BK2680" s="2" t="s">
        <v>91</v>
      </c>
      <c r="BL2680" s="2" t="s">
        <v>1199</v>
      </c>
      <c r="BM2680" s="2">
        <v>241</v>
      </c>
      <c r="BN2680" s="2" t="s">
        <v>82</v>
      </c>
      <c r="BO2680" s="2"/>
      <c r="BP2680" s="2">
        <v>13</v>
      </c>
      <c r="BQ2680" s="2" t="s">
        <v>91</v>
      </c>
      <c r="BR2680" s="2" t="s">
        <v>170</v>
      </c>
      <c r="BS2680" s="3">
        <v>40355</v>
      </c>
      <c r="BT2680" s="4">
        <v>0.9483449074074074</v>
      </c>
    </row>
    <row r="2681" spans="1:72" x14ac:dyDescent="0.25">
      <c r="A2681" s="2">
        <v>3888</v>
      </c>
      <c r="B2681" s="2">
        <v>2010</v>
      </c>
      <c r="C2681" s="2" t="s">
        <v>72</v>
      </c>
      <c r="D2681" s="2" t="s">
        <v>73</v>
      </c>
      <c r="E2681" s="2"/>
      <c r="F2681" s="2">
        <v>389</v>
      </c>
      <c r="G2681" s="2" t="s">
        <v>1819</v>
      </c>
      <c r="H2681" s="2">
        <v>2</v>
      </c>
      <c r="I2681" s="2" t="s">
        <v>267</v>
      </c>
      <c r="J2681" s="2">
        <v>399</v>
      </c>
      <c r="K2681" s="2" t="s">
        <v>1820</v>
      </c>
      <c r="L2681" s="2" t="s">
        <v>1821</v>
      </c>
      <c r="M2681" s="3">
        <v>40356</v>
      </c>
      <c r="N2681" s="2" t="s">
        <v>5653</v>
      </c>
      <c r="O2681" s="2" t="s">
        <v>107</v>
      </c>
      <c r="P2681" s="2" t="s">
        <v>107</v>
      </c>
      <c r="Q2681" s="2" t="str">
        <f>"343-E/10"</f>
        <v>343-E/10</v>
      </c>
      <c r="R2681" s="2" t="s">
        <v>116</v>
      </c>
      <c r="S2681" s="2" t="s">
        <v>116</v>
      </c>
      <c r="T2681" s="2">
        <v>1</v>
      </c>
      <c r="U2681" s="2" t="s">
        <v>79</v>
      </c>
      <c r="V2681" s="2">
        <v>1</v>
      </c>
      <c r="W2681" s="2" t="s">
        <v>80</v>
      </c>
      <c r="X2681" s="2">
        <v>12</v>
      </c>
      <c r="Y2681" s="2" t="s">
        <v>148</v>
      </c>
      <c r="Z2681" s="2">
        <v>1</v>
      </c>
      <c r="AA2681" s="2" t="s">
        <v>82</v>
      </c>
      <c r="AB2681" s="2">
        <v>6</v>
      </c>
      <c r="AC2681" s="2" t="s">
        <v>83</v>
      </c>
      <c r="AD2681" s="3">
        <v>40356</v>
      </c>
      <c r="AE2681" s="2"/>
      <c r="AF2681" s="3">
        <v>40356</v>
      </c>
      <c r="AG2681" s="4">
        <v>0.40972222222222227</v>
      </c>
      <c r="AH2681" s="2">
        <v>2</v>
      </c>
      <c r="AI2681" s="2" t="s">
        <v>84</v>
      </c>
      <c r="AJ2681" s="2">
        <v>9</v>
      </c>
      <c r="AK2681" s="2" t="s">
        <v>103</v>
      </c>
      <c r="AL2681" s="2">
        <v>22</v>
      </c>
      <c r="AM2681" s="2" t="s">
        <v>1853</v>
      </c>
      <c r="AN2681" s="2"/>
      <c r="AO2681" s="2" t="s">
        <v>8456</v>
      </c>
      <c r="AP2681" s="2">
        <v>11</v>
      </c>
      <c r="AQ2681" s="2" t="s">
        <v>82</v>
      </c>
      <c r="AR2681" s="2"/>
      <c r="AS2681" s="2"/>
      <c r="AT2681" s="2" t="s">
        <v>8940</v>
      </c>
      <c r="AU2681" s="2"/>
      <c r="AV2681" s="2"/>
      <c r="AW2681" s="2"/>
      <c r="AX2681" s="2"/>
      <c r="AY2681" s="2">
        <v>41</v>
      </c>
      <c r="AZ2681" s="2" t="s">
        <v>82</v>
      </c>
      <c r="BA2681" s="2">
        <v>41</v>
      </c>
      <c r="BB2681" s="2" t="s">
        <v>82</v>
      </c>
      <c r="BC2681" s="2">
        <v>41</v>
      </c>
      <c r="BD2681" s="2" t="s">
        <v>82</v>
      </c>
      <c r="BE2681" s="2">
        <v>13</v>
      </c>
      <c r="BF2681" s="2" t="s">
        <v>108</v>
      </c>
      <c r="BG2681" s="2" t="s">
        <v>2323</v>
      </c>
      <c r="BH2681" s="4">
        <v>0.27083333333333331</v>
      </c>
      <c r="BI2681" s="2"/>
      <c r="BJ2681" s="2">
        <v>173</v>
      </c>
      <c r="BK2681" s="2" t="s">
        <v>223</v>
      </c>
      <c r="BL2681" s="2" t="s">
        <v>224</v>
      </c>
      <c r="BM2681" s="2">
        <v>241</v>
      </c>
      <c r="BN2681" s="2" t="s">
        <v>82</v>
      </c>
      <c r="BO2681" s="2"/>
      <c r="BP2681" s="2">
        <v>13</v>
      </c>
      <c r="BQ2681" s="2" t="s">
        <v>91</v>
      </c>
      <c r="BR2681" s="2" t="s">
        <v>360</v>
      </c>
      <c r="BS2681" s="3">
        <v>40356</v>
      </c>
      <c r="BT2681" s="4">
        <v>0.48177083333333331</v>
      </c>
    </row>
    <row r="2682" spans="1:72" x14ac:dyDescent="0.25">
      <c r="A2682" s="2">
        <v>3889</v>
      </c>
      <c r="B2682" s="2">
        <v>2010</v>
      </c>
      <c r="C2682" s="2" t="s">
        <v>377</v>
      </c>
      <c r="D2682" s="2" t="s">
        <v>73</v>
      </c>
      <c r="E2682" s="2"/>
      <c r="F2682" s="2">
        <v>426</v>
      </c>
      <c r="G2682" s="2" t="s">
        <v>378</v>
      </c>
      <c r="H2682" s="2">
        <v>108</v>
      </c>
      <c r="I2682" s="2" t="s">
        <v>1096</v>
      </c>
      <c r="J2682" s="2">
        <v>311</v>
      </c>
      <c r="K2682" s="2" t="s">
        <v>379</v>
      </c>
      <c r="L2682" s="2" t="s">
        <v>380</v>
      </c>
      <c r="M2682" s="3">
        <v>40356</v>
      </c>
      <c r="N2682" s="2" t="s">
        <v>8941</v>
      </c>
      <c r="O2682" s="2"/>
      <c r="P2682" s="2"/>
      <c r="Q2682" s="2" t="str">
        <f>"143-C/10"</f>
        <v>143-C/10</v>
      </c>
      <c r="R2682" s="2" t="s">
        <v>3458</v>
      </c>
      <c r="S2682" s="2"/>
      <c r="T2682" s="2">
        <v>1</v>
      </c>
      <c r="U2682" s="2" t="s">
        <v>79</v>
      </c>
      <c r="V2682" s="2">
        <v>1</v>
      </c>
      <c r="W2682" s="2" t="s">
        <v>80</v>
      </c>
      <c r="X2682" s="2">
        <v>1</v>
      </c>
      <c r="Y2682" s="2" t="s">
        <v>81</v>
      </c>
      <c r="Z2682" s="2">
        <v>1</v>
      </c>
      <c r="AA2682" s="2" t="s">
        <v>82</v>
      </c>
      <c r="AB2682" s="2">
        <v>9</v>
      </c>
      <c r="AC2682" s="2" t="s">
        <v>124</v>
      </c>
      <c r="AD2682" s="3">
        <v>40356</v>
      </c>
      <c r="AE2682" s="4">
        <v>0.45833333333333331</v>
      </c>
      <c r="AF2682" s="2"/>
      <c r="AG2682" s="2"/>
      <c r="AH2682" s="2">
        <v>2</v>
      </c>
      <c r="AI2682" s="2" t="s">
        <v>84</v>
      </c>
      <c r="AJ2682" s="2">
        <v>9</v>
      </c>
      <c r="AK2682" s="2" t="s">
        <v>103</v>
      </c>
      <c r="AL2682" s="2">
        <v>29</v>
      </c>
      <c r="AM2682" s="2" t="s">
        <v>5416</v>
      </c>
      <c r="AN2682" s="2"/>
      <c r="AO2682" s="2" t="s">
        <v>8942</v>
      </c>
      <c r="AP2682" s="2">
        <v>11</v>
      </c>
      <c r="AQ2682" s="2" t="s">
        <v>82</v>
      </c>
      <c r="AR2682" s="2"/>
      <c r="AS2682" s="2"/>
      <c r="AT2682" s="2" t="s">
        <v>8943</v>
      </c>
      <c r="AU2682" s="2"/>
      <c r="AV2682" s="2"/>
      <c r="AW2682" s="2"/>
      <c r="AX2682" s="2"/>
      <c r="AY2682" s="2">
        <v>41</v>
      </c>
      <c r="AZ2682" s="2" t="s">
        <v>82</v>
      </c>
      <c r="BA2682" s="2">
        <v>41</v>
      </c>
      <c r="BB2682" s="2" t="s">
        <v>82</v>
      </c>
      <c r="BC2682" s="2">
        <v>41</v>
      </c>
      <c r="BD2682" s="2" t="s">
        <v>82</v>
      </c>
      <c r="BE2682" s="2">
        <v>41</v>
      </c>
      <c r="BF2682" s="2" t="s">
        <v>82</v>
      </c>
      <c r="BG2682" s="2"/>
      <c r="BH2682" s="2"/>
      <c r="BI2682" s="2"/>
      <c r="BJ2682" s="2">
        <v>241</v>
      </c>
      <c r="BK2682" s="2" t="s">
        <v>82</v>
      </c>
      <c r="BL2682" s="2"/>
      <c r="BM2682" s="2">
        <v>241</v>
      </c>
      <c r="BN2682" s="2" t="s">
        <v>82</v>
      </c>
      <c r="BO2682" s="2"/>
      <c r="BP2682" s="2">
        <v>241</v>
      </c>
      <c r="BQ2682" s="2" t="s">
        <v>82</v>
      </c>
      <c r="BR2682" s="2"/>
      <c r="BS2682" s="3">
        <v>40356</v>
      </c>
      <c r="BT2682" s="4">
        <v>0.74229166666666668</v>
      </c>
    </row>
    <row r="2683" spans="1:72" x14ac:dyDescent="0.25">
      <c r="A2683" s="2">
        <v>3890</v>
      </c>
      <c r="B2683" s="2">
        <v>2010</v>
      </c>
      <c r="C2683" s="2" t="s">
        <v>1094</v>
      </c>
      <c r="D2683" s="2" t="s">
        <v>73</v>
      </c>
      <c r="E2683" s="2"/>
      <c r="F2683" s="2">
        <v>209</v>
      </c>
      <c r="G2683" s="2" t="s">
        <v>8169</v>
      </c>
      <c r="H2683" s="2">
        <v>125</v>
      </c>
      <c r="I2683" s="2" t="s">
        <v>8170</v>
      </c>
      <c r="J2683" s="2">
        <v>193</v>
      </c>
      <c r="K2683" s="2" t="s">
        <v>8171</v>
      </c>
      <c r="L2683" s="2" t="s">
        <v>8172</v>
      </c>
      <c r="M2683" s="3">
        <v>40357</v>
      </c>
      <c r="N2683" s="2" t="s">
        <v>8944</v>
      </c>
      <c r="O2683" s="2" t="s">
        <v>107</v>
      </c>
      <c r="P2683" s="2" t="s">
        <v>107</v>
      </c>
      <c r="Q2683" s="2" t="str">
        <f>"234-A/10"</f>
        <v>234-A/10</v>
      </c>
      <c r="R2683" s="2" t="s">
        <v>7603</v>
      </c>
      <c r="S2683" s="2"/>
      <c r="T2683" s="2">
        <v>1</v>
      </c>
      <c r="U2683" s="2" t="s">
        <v>79</v>
      </c>
      <c r="V2683" s="2">
        <v>1</v>
      </c>
      <c r="W2683" s="2" t="s">
        <v>80</v>
      </c>
      <c r="X2683" s="2">
        <v>12</v>
      </c>
      <c r="Y2683" s="2" t="s">
        <v>148</v>
      </c>
      <c r="Z2683" s="2">
        <v>1</v>
      </c>
      <c r="AA2683" s="2" t="s">
        <v>82</v>
      </c>
      <c r="AB2683" s="2">
        <v>9</v>
      </c>
      <c r="AC2683" s="2" t="s">
        <v>124</v>
      </c>
      <c r="AD2683" s="3">
        <v>40356</v>
      </c>
      <c r="AE2683" s="4">
        <v>0.88541666666666663</v>
      </c>
      <c r="AF2683" s="3">
        <v>40356</v>
      </c>
      <c r="AG2683" s="4">
        <v>0.90277777777777779</v>
      </c>
      <c r="AH2683" s="2">
        <v>2</v>
      </c>
      <c r="AI2683" s="2" t="s">
        <v>84</v>
      </c>
      <c r="AJ2683" s="2">
        <v>12</v>
      </c>
      <c r="AK2683" s="2" t="s">
        <v>85</v>
      </c>
      <c r="AL2683" s="2">
        <v>23</v>
      </c>
      <c r="AM2683" s="2" t="s">
        <v>251</v>
      </c>
      <c r="AN2683" s="2"/>
      <c r="AO2683" s="2" t="s">
        <v>8945</v>
      </c>
      <c r="AP2683" s="2">
        <v>11</v>
      </c>
      <c r="AQ2683" s="2" t="s">
        <v>82</v>
      </c>
      <c r="AR2683" s="2"/>
      <c r="AS2683" s="2"/>
      <c r="AT2683" s="2" t="s">
        <v>8946</v>
      </c>
      <c r="AU2683" s="2">
        <v>1</v>
      </c>
      <c r="AV2683" s="2"/>
      <c r="AW2683" s="2"/>
      <c r="AX2683" s="2"/>
      <c r="AY2683" s="2">
        <v>41</v>
      </c>
      <c r="AZ2683" s="2" t="s">
        <v>82</v>
      </c>
      <c r="BA2683" s="2">
        <v>41</v>
      </c>
      <c r="BB2683" s="2" t="s">
        <v>82</v>
      </c>
      <c r="BC2683" s="2">
        <v>41</v>
      </c>
      <c r="BD2683" s="2" t="s">
        <v>82</v>
      </c>
      <c r="BE2683" s="2">
        <v>41</v>
      </c>
      <c r="BF2683" s="2" t="s">
        <v>82</v>
      </c>
      <c r="BG2683" s="2"/>
      <c r="BH2683" s="2"/>
      <c r="BI2683" s="2"/>
      <c r="BJ2683" s="2">
        <v>241</v>
      </c>
      <c r="BK2683" s="2" t="s">
        <v>82</v>
      </c>
      <c r="BL2683" s="2"/>
      <c r="BM2683" s="2">
        <v>241</v>
      </c>
      <c r="BN2683" s="2" t="s">
        <v>82</v>
      </c>
      <c r="BO2683" s="2"/>
      <c r="BP2683" s="2">
        <v>241</v>
      </c>
      <c r="BQ2683" s="2" t="s">
        <v>82</v>
      </c>
      <c r="BR2683" s="2"/>
      <c r="BS2683" s="3">
        <v>40357</v>
      </c>
      <c r="BT2683" s="4">
        <v>0.13571759259259261</v>
      </c>
    </row>
    <row r="2684" spans="1:72" x14ac:dyDescent="0.25">
      <c r="A2684" s="2">
        <v>3892</v>
      </c>
      <c r="B2684" s="2">
        <v>2010</v>
      </c>
      <c r="C2684" s="2" t="s">
        <v>196</v>
      </c>
      <c r="D2684" s="2" t="s">
        <v>122</v>
      </c>
      <c r="E2684" s="2"/>
      <c r="F2684" s="2">
        <v>1</v>
      </c>
      <c r="G2684" s="2" t="s">
        <v>82</v>
      </c>
      <c r="H2684" s="2">
        <v>1</v>
      </c>
      <c r="I2684" s="2" t="s">
        <v>82</v>
      </c>
      <c r="J2684" s="2">
        <v>1</v>
      </c>
      <c r="K2684" s="2" t="s">
        <v>107</v>
      </c>
      <c r="L2684" s="2" t="s">
        <v>107</v>
      </c>
      <c r="M2684" s="3">
        <v>40357</v>
      </c>
      <c r="N2684" s="2" t="s">
        <v>82</v>
      </c>
      <c r="O2684" s="2" t="s">
        <v>82</v>
      </c>
      <c r="P2684" s="2" t="s">
        <v>82</v>
      </c>
      <c r="Q2684" s="2" t="str">
        <f>"N/C"</f>
        <v>N/C</v>
      </c>
      <c r="R2684" s="2" t="s">
        <v>82</v>
      </c>
      <c r="S2684" s="2" t="s">
        <v>82</v>
      </c>
      <c r="T2684" s="2">
        <v>2</v>
      </c>
      <c r="U2684" s="2" t="s">
        <v>123</v>
      </c>
      <c r="V2684" s="2">
        <v>1</v>
      </c>
      <c r="W2684" s="2" t="s">
        <v>80</v>
      </c>
      <c r="X2684" s="2">
        <v>11</v>
      </c>
      <c r="Y2684" s="2" t="s">
        <v>1920</v>
      </c>
      <c r="Z2684" s="2">
        <v>1</v>
      </c>
      <c r="AA2684" s="2" t="s">
        <v>82</v>
      </c>
      <c r="AB2684" s="2">
        <v>9</v>
      </c>
      <c r="AC2684" s="2" t="s">
        <v>124</v>
      </c>
      <c r="AD2684" s="3">
        <v>40357</v>
      </c>
      <c r="AE2684" s="4">
        <v>0.3125</v>
      </c>
      <c r="AF2684" s="2"/>
      <c r="AG2684" s="2"/>
      <c r="AH2684" s="2">
        <v>2</v>
      </c>
      <c r="AI2684" s="2" t="s">
        <v>84</v>
      </c>
      <c r="AJ2684" s="2">
        <v>12</v>
      </c>
      <c r="AK2684" s="2" t="s">
        <v>85</v>
      </c>
      <c r="AL2684" s="2">
        <v>20</v>
      </c>
      <c r="AM2684" s="2" t="s">
        <v>992</v>
      </c>
      <c r="AN2684" s="2" t="s">
        <v>82</v>
      </c>
      <c r="AO2684" s="2" t="s">
        <v>993</v>
      </c>
      <c r="AP2684" s="2">
        <v>11</v>
      </c>
      <c r="AQ2684" s="2" t="s">
        <v>82</v>
      </c>
      <c r="AR2684" s="2" t="s">
        <v>82</v>
      </c>
      <c r="AS2684" s="2" t="s">
        <v>82</v>
      </c>
      <c r="AT2684" s="2" t="s">
        <v>8947</v>
      </c>
      <c r="AU2684" s="2"/>
      <c r="AV2684" s="2"/>
      <c r="AW2684" s="2"/>
      <c r="AX2684" s="2"/>
      <c r="AY2684" s="2">
        <v>41</v>
      </c>
      <c r="AZ2684" s="2" t="s">
        <v>82</v>
      </c>
      <c r="BA2684" s="2">
        <v>41</v>
      </c>
      <c r="BB2684" s="2" t="s">
        <v>82</v>
      </c>
      <c r="BC2684" s="2">
        <v>41</v>
      </c>
      <c r="BD2684" s="2" t="s">
        <v>82</v>
      </c>
      <c r="BE2684" s="2">
        <v>41</v>
      </c>
      <c r="BF2684" s="2" t="s">
        <v>82</v>
      </c>
      <c r="BG2684" s="2" t="s">
        <v>82</v>
      </c>
      <c r="BH2684" s="4">
        <v>0.3840277777777778</v>
      </c>
      <c r="BI2684" s="4">
        <v>0.38819444444444445</v>
      </c>
      <c r="BJ2684" s="2">
        <v>42</v>
      </c>
      <c r="BK2684" s="2" t="s">
        <v>1234</v>
      </c>
      <c r="BL2684" s="2" t="s">
        <v>107</v>
      </c>
      <c r="BM2684" s="2">
        <v>241</v>
      </c>
      <c r="BN2684" s="2" t="s">
        <v>82</v>
      </c>
      <c r="BO2684" s="2" t="s">
        <v>82</v>
      </c>
      <c r="BP2684" s="2">
        <v>13</v>
      </c>
      <c r="BQ2684" s="2" t="s">
        <v>91</v>
      </c>
      <c r="BR2684" s="2" t="s">
        <v>185</v>
      </c>
      <c r="BS2684" s="3">
        <v>40357</v>
      </c>
      <c r="BT2684" s="4">
        <v>0.4337037037037037</v>
      </c>
    </row>
    <row r="2685" spans="1:72" x14ac:dyDescent="0.25">
      <c r="A2685" s="2">
        <v>3895</v>
      </c>
      <c r="B2685" s="2">
        <v>2010</v>
      </c>
      <c r="C2685" s="2" t="s">
        <v>1094</v>
      </c>
      <c r="D2685" s="2" t="s">
        <v>122</v>
      </c>
      <c r="E2685" s="2" t="s">
        <v>8948</v>
      </c>
      <c r="F2685" s="2">
        <v>209</v>
      </c>
      <c r="G2685" s="2" t="s">
        <v>8169</v>
      </c>
      <c r="H2685" s="2">
        <v>125</v>
      </c>
      <c r="I2685" s="2" t="s">
        <v>8170</v>
      </c>
      <c r="J2685" s="2">
        <v>193</v>
      </c>
      <c r="K2685" s="2" t="s">
        <v>8171</v>
      </c>
      <c r="L2685" s="2" t="s">
        <v>8172</v>
      </c>
      <c r="M2685" s="3">
        <v>40357</v>
      </c>
      <c r="N2685" s="2" t="s">
        <v>8944</v>
      </c>
      <c r="O2685" s="2" t="s">
        <v>107</v>
      </c>
      <c r="P2685" s="2" t="s">
        <v>107</v>
      </c>
      <c r="Q2685" s="2" t="str">
        <f>"234-A/10"</f>
        <v>234-A/10</v>
      </c>
      <c r="R2685" s="2" t="s">
        <v>7603</v>
      </c>
      <c r="S2685" s="2" t="s">
        <v>107</v>
      </c>
      <c r="T2685" s="2">
        <v>1</v>
      </c>
      <c r="U2685" s="2" t="s">
        <v>79</v>
      </c>
      <c r="V2685" s="2">
        <v>1</v>
      </c>
      <c r="W2685" s="2" t="s">
        <v>80</v>
      </c>
      <c r="X2685" s="2">
        <v>12</v>
      </c>
      <c r="Y2685" s="2" t="s">
        <v>148</v>
      </c>
      <c r="Z2685" s="2">
        <v>1</v>
      </c>
      <c r="AA2685" s="2" t="s">
        <v>82</v>
      </c>
      <c r="AB2685" s="2">
        <v>9</v>
      </c>
      <c r="AC2685" s="2" t="s">
        <v>124</v>
      </c>
      <c r="AD2685" s="3">
        <v>40356</v>
      </c>
      <c r="AE2685" s="4">
        <v>0.88541666666666663</v>
      </c>
      <c r="AF2685" s="3">
        <v>40356</v>
      </c>
      <c r="AG2685" s="4">
        <v>0.90277777777777779</v>
      </c>
      <c r="AH2685" s="2">
        <v>2</v>
      </c>
      <c r="AI2685" s="2" t="s">
        <v>84</v>
      </c>
      <c r="AJ2685" s="2">
        <v>12</v>
      </c>
      <c r="AK2685" s="2" t="s">
        <v>85</v>
      </c>
      <c r="AL2685" s="2">
        <v>23</v>
      </c>
      <c r="AM2685" s="2" t="s">
        <v>251</v>
      </c>
      <c r="AN2685" s="2" t="s">
        <v>8945</v>
      </c>
      <c r="AO2685" s="2" t="s">
        <v>8949</v>
      </c>
      <c r="AP2685" s="2">
        <v>11</v>
      </c>
      <c r="AQ2685" s="2" t="s">
        <v>82</v>
      </c>
      <c r="AR2685" s="2"/>
      <c r="AS2685" s="2"/>
      <c r="AT2685" s="2" t="s">
        <v>8950</v>
      </c>
      <c r="AU2685" s="2">
        <v>1</v>
      </c>
      <c r="AV2685" s="2"/>
      <c r="AW2685" s="2"/>
      <c r="AX2685" s="2"/>
      <c r="AY2685" s="2">
        <v>41</v>
      </c>
      <c r="AZ2685" s="2" t="s">
        <v>82</v>
      </c>
      <c r="BA2685" s="2">
        <v>41</v>
      </c>
      <c r="BB2685" s="2" t="s">
        <v>82</v>
      </c>
      <c r="BC2685" s="2">
        <v>41</v>
      </c>
      <c r="BD2685" s="2" t="s">
        <v>82</v>
      </c>
      <c r="BE2685" s="2">
        <v>41</v>
      </c>
      <c r="BF2685" s="2" t="s">
        <v>82</v>
      </c>
      <c r="BG2685" s="2"/>
      <c r="BH2685" s="2"/>
      <c r="BI2685" s="2"/>
      <c r="BJ2685" s="2">
        <v>241</v>
      </c>
      <c r="BK2685" s="2" t="s">
        <v>82</v>
      </c>
      <c r="BL2685" s="2"/>
      <c r="BM2685" s="2">
        <v>241</v>
      </c>
      <c r="BN2685" s="2" t="s">
        <v>82</v>
      </c>
      <c r="BO2685" s="2"/>
      <c r="BP2685" s="2">
        <v>241</v>
      </c>
      <c r="BQ2685" s="2" t="s">
        <v>82</v>
      </c>
      <c r="BR2685" s="2"/>
      <c r="BS2685" s="3">
        <v>40357</v>
      </c>
      <c r="BT2685" s="4">
        <v>0.50418981481481484</v>
      </c>
    </row>
    <row r="2686" spans="1:72" x14ac:dyDescent="0.25">
      <c r="A2686" s="2">
        <v>3899</v>
      </c>
      <c r="B2686" s="2">
        <v>2010</v>
      </c>
      <c r="C2686" s="2" t="s">
        <v>377</v>
      </c>
      <c r="D2686" s="2" t="s">
        <v>73</v>
      </c>
      <c r="E2686" s="2"/>
      <c r="F2686" s="2">
        <v>426</v>
      </c>
      <c r="G2686" s="2" t="s">
        <v>378</v>
      </c>
      <c r="H2686" s="2">
        <v>108</v>
      </c>
      <c r="I2686" s="2" t="s">
        <v>1096</v>
      </c>
      <c r="J2686" s="2">
        <v>311</v>
      </c>
      <c r="K2686" s="2" t="s">
        <v>379</v>
      </c>
      <c r="L2686" s="2" t="s">
        <v>380</v>
      </c>
      <c r="M2686" s="3">
        <v>40357</v>
      </c>
      <c r="N2686" s="2" t="s">
        <v>7171</v>
      </c>
      <c r="O2686" s="2"/>
      <c r="P2686" s="2"/>
      <c r="Q2686" s="2" t="str">
        <f>"144-C/10"</f>
        <v>144-C/10</v>
      </c>
      <c r="R2686" s="2" t="s">
        <v>3160</v>
      </c>
      <c r="S2686" s="2"/>
      <c r="T2686" s="2">
        <v>1</v>
      </c>
      <c r="U2686" s="2" t="s">
        <v>79</v>
      </c>
      <c r="V2686" s="2">
        <v>1</v>
      </c>
      <c r="W2686" s="2" t="s">
        <v>80</v>
      </c>
      <c r="X2686" s="2">
        <v>1</v>
      </c>
      <c r="Y2686" s="2" t="s">
        <v>81</v>
      </c>
      <c r="Z2686" s="2">
        <v>1</v>
      </c>
      <c r="AA2686" s="2" t="s">
        <v>82</v>
      </c>
      <c r="AB2686" s="2">
        <v>9</v>
      </c>
      <c r="AC2686" s="2" t="s">
        <v>124</v>
      </c>
      <c r="AD2686" s="3">
        <v>40357</v>
      </c>
      <c r="AE2686" s="4">
        <v>0.4548611111111111</v>
      </c>
      <c r="AF2686" s="2"/>
      <c r="AG2686" s="2"/>
      <c r="AH2686" s="2">
        <v>2</v>
      </c>
      <c r="AI2686" s="2" t="s">
        <v>84</v>
      </c>
      <c r="AJ2686" s="2">
        <v>9</v>
      </c>
      <c r="AK2686" s="2" t="s">
        <v>103</v>
      </c>
      <c r="AL2686" s="2">
        <v>29</v>
      </c>
      <c r="AM2686" s="2" t="s">
        <v>5416</v>
      </c>
      <c r="AN2686" s="2"/>
      <c r="AO2686" s="2" t="s">
        <v>6798</v>
      </c>
      <c r="AP2686" s="2">
        <v>11</v>
      </c>
      <c r="AQ2686" s="2" t="s">
        <v>82</v>
      </c>
      <c r="AR2686" s="2"/>
      <c r="AS2686" s="2"/>
      <c r="AT2686" s="2" t="s">
        <v>8951</v>
      </c>
      <c r="AU2686" s="2"/>
      <c r="AV2686" s="2"/>
      <c r="AW2686" s="2"/>
      <c r="AX2686" s="2"/>
      <c r="AY2686" s="2">
        <v>41</v>
      </c>
      <c r="AZ2686" s="2" t="s">
        <v>82</v>
      </c>
      <c r="BA2686" s="2">
        <v>41</v>
      </c>
      <c r="BB2686" s="2" t="s">
        <v>82</v>
      </c>
      <c r="BC2686" s="2">
        <v>41</v>
      </c>
      <c r="BD2686" s="2" t="s">
        <v>82</v>
      </c>
      <c r="BE2686" s="2">
        <v>41</v>
      </c>
      <c r="BF2686" s="2" t="s">
        <v>82</v>
      </c>
      <c r="BG2686" s="2"/>
      <c r="BH2686" s="2"/>
      <c r="BI2686" s="2"/>
      <c r="BJ2686" s="2">
        <v>241</v>
      </c>
      <c r="BK2686" s="2" t="s">
        <v>82</v>
      </c>
      <c r="BL2686" s="2"/>
      <c r="BM2686" s="2">
        <v>241</v>
      </c>
      <c r="BN2686" s="2" t="s">
        <v>82</v>
      </c>
      <c r="BO2686" s="2"/>
      <c r="BP2686" s="2">
        <v>241</v>
      </c>
      <c r="BQ2686" s="2" t="s">
        <v>82</v>
      </c>
      <c r="BR2686" s="2"/>
      <c r="BS2686" s="3">
        <v>40357</v>
      </c>
      <c r="BT2686" s="4">
        <v>0.62331018518518522</v>
      </c>
    </row>
    <row r="2687" spans="1:72" x14ac:dyDescent="0.25">
      <c r="A2687" s="2">
        <v>3902</v>
      </c>
      <c r="B2687" s="2">
        <v>2010</v>
      </c>
      <c r="C2687" s="2" t="s">
        <v>171</v>
      </c>
      <c r="D2687" s="2" t="s">
        <v>73</v>
      </c>
      <c r="E2687" s="2"/>
      <c r="F2687" s="2">
        <v>425</v>
      </c>
      <c r="G2687" s="2" t="s">
        <v>286</v>
      </c>
      <c r="H2687" s="2">
        <v>3</v>
      </c>
      <c r="I2687" s="2" t="s">
        <v>315</v>
      </c>
      <c r="J2687" s="2">
        <v>310</v>
      </c>
      <c r="K2687" s="2" t="s">
        <v>288</v>
      </c>
      <c r="L2687" s="2" t="s">
        <v>289</v>
      </c>
      <c r="M2687" s="3">
        <v>40357</v>
      </c>
      <c r="N2687" s="2" t="s">
        <v>8952</v>
      </c>
      <c r="O2687" s="2" t="s">
        <v>8953</v>
      </c>
      <c r="P2687" s="2" t="s">
        <v>8954</v>
      </c>
      <c r="Q2687" s="2" t="str">
        <f>""</f>
        <v/>
      </c>
      <c r="R2687" s="2"/>
      <c r="S2687" s="2"/>
      <c r="T2687" s="2">
        <v>1</v>
      </c>
      <c r="U2687" s="2" t="s">
        <v>79</v>
      </c>
      <c r="V2687" s="2">
        <v>3</v>
      </c>
      <c r="W2687" s="2" t="s">
        <v>225</v>
      </c>
      <c r="X2687" s="2">
        <v>6</v>
      </c>
      <c r="Y2687" s="2" t="s">
        <v>249</v>
      </c>
      <c r="Z2687" s="2">
        <v>1</v>
      </c>
      <c r="AA2687" s="2" t="s">
        <v>82</v>
      </c>
      <c r="AB2687" s="2">
        <v>9</v>
      </c>
      <c r="AC2687" s="2" t="s">
        <v>124</v>
      </c>
      <c r="AD2687" s="3">
        <v>40135</v>
      </c>
      <c r="AE2687" s="2"/>
      <c r="AF2687" s="2"/>
      <c r="AG2687" s="2"/>
      <c r="AH2687" s="2">
        <v>4</v>
      </c>
      <c r="AI2687" s="2" t="s">
        <v>125</v>
      </c>
      <c r="AJ2687" s="2">
        <v>26</v>
      </c>
      <c r="AK2687" s="2" t="s">
        <v>293</v>
      </c>
      <c r="AL2687" s="2">
        <v>23</v>
      </c>
      <c r="AM2687" s="2" t="s">
        <v>251</v>
      </c>
      <c r="AN2687" s="2"/>
      <c r="AO2687" s="2" t="s">
        <v>7578</v>
      </c>
      <c r="AP2687" s="2">
        <v>11</v>
      </c>
      <c r="AQ2687" s="2" t="s">
        <v>82</v>
      </c>
      <c r="AR2687" s="2"/>
      <c r="AS2687" s="2"/>
      <c r="AT2687" s="2" t="s">
        <v>8955</v>
      </c>
      <c r="AU2687" s="2"/>
      <c r="AV2687" s="2"/>
      <c r="AW2687" s="2"/>
      <c r="AX2687" s="2"/>
      <c r="AY2687" s="2">
        <v>1</v>
      </c>
      <c r="AZ2687" s="2" t="s">
        <v>107</v>
      </c>
      <c r="BA2687" s="2">
        <v>1</v>
      </c>
      <c r="BB2687" s="2" t="s">
        <v>107</v>
      </c>
      <c r="BC2687" s="2">
        <v>1</v>
      </c>
      <c r="BD2687" s="2" t="s">
        <v>107</v>
      </c>
      <c r="BE2687" s="2">
        <v>1</v>
      </c>
      <c r="BF2687" s="2" t="s">
        <v>107</v>
      </c>
      <c r="BG2687" s="2"/>
      <c r="BH2687" s="2"/>
      <c r="BI2687" s="2"/>
      <c r="BJ2687" s="2">
        <v>242</v>
      </c>
      <c r="BK2687" s="2" t="s">
        <v>107</v>
      </c>
      <c r="BL2687" s="2"/>
      <c r="BM2687" s="2">
        <v>242</v>
      </c>
      <c r="BN2687" s="2" t="s">
        <v>107</v>
      </c>
      <c r="BO2687" s="2"/>
      <c r="BP2687" s="2">
        <v>242</v>
      </c>
      <c r="BQ2687" s="2" t="s">
        <v>107</v>
      </c>
      <c r="BR2687" s="2"/>
      <c r="BS2687" s="3">
        <v>40357</v>
      </c>
      <c r="BT2687" s="4">
        <v>0.7528125</v>
      </c>
    </row>
    <row r="2688" spans="1:72" x14ac:dyDescent="0.25">
      <c r="A2688" s="2">
        <v>3905</v>
      </c>
      <c r="B2688" s="2">
        <v>2010</v>
      </c>
      <c r="C2688" s="2" t="s">
        <v>171</v>
      </c>
      <c r="D2688" s="2" t="s">
        <v>73</v>
      </c>
      <c r="E2688" s="2"/>
      <c r="F2688" s="2">
        <v>425</v>
      </c>
      <c r="G2688" s="2" t="s">
        <v>286</v>
      </c>
      <c r="H2688" s="2">
        <v>3</v>
      </c>
      <c r="I2688" s="2" t="s">
        <v>315</v>
      </c>
      <c r="J2688" s="2">
        <v>310</v>
      </c>
      <c r="K2688" s="2" t="s">
        <v>288</v>
      </c>
      <c r="L2688" s="2" t="s">
        <v>289</v>
      </c>
      <c r="M2688" s="3">
        <v>40357</v>
      </c>
      <c r="N2688" s="2" t="s">
        <v>8956</v>
      </c>
      <c r="O2688" s="2" t="s">
        <v>8957</v>
      </c>
      <c r="P2688" s="2" t="s">
        <v>8958</v>
      </c>
      <c r="Q2688" s="2" t="str">
        <f>""</f>
        <v/>
      </c>
      <c r="R2688" s="2"/>
      <c r="S2688" s="2"/>
      <c r="T2688" s="2">
        <v>1</v>
      </c>
      <c r="U2688" s="2" t="s">
        <v>79</v>
      </c>
      <c r="V2688" s="2">
        <v>3</v>
      </c>
      <c r="W2688" s="2" t="s">
        <v>225</v>
      </c>
      <c r="X2688" s="2">
        <v>6</v>
      </c>
      <c r="Y2688" s="2" t="s">
        <v>249</v>
      </c>
      <c r="Z2688" s="2">
        <v>1</v>
      </c>
      <c r="AA2688" s="2" t="s">
        <v>82</v>
      </c>
      <c r="AB2688" s="2">
        <v>9</v>
      </c>
      <c r="AC2688" s="2" t="s">
        <v>124</v>
      </c>
      <c r="AD2688" s="3">
        <v>40137</v>
      </c>
      <c r="AE2688" s="2"/>
      <c r="AF2688" s="2"/>
      <c r="AG2688" s="2"/>
      <c r="AH2688" s="2">
        <v>4</v>
      </c>
      <c r="AI2688" s="2" t="s">
        <v>125</v>
      </c>
      <c r="AJ2688" s="2">
        <v>26</v>
      </c>
      <c r="AK2688" s="2" t="s">
        <v>293</v>
      </c>
      <c r="AL2688" s="2">
        <v>23</v>
      </c>
      <c r="AM2688" s="2" t="s">
        <v>251</v>
      </c>
      <c r="AN2688" s="2"/>
      <c r="AO2688" s="2" t="s">
        <v>7578</v>
      </c>
      <c r="AP2688" s="2">
        <v>11</v>
      </c>
      <c r="AQ2688" s="2" t="s">
        <v>82</v>
      </c>
      <c r="AR2688" s="2"/>
      <c r="AS2688" s="2"/>
      <c r="AT2688" s="2" t="s">
        <v>8959</v>
      </c>
      <c r="AU2688" s="2"/>
      <c r="AV2688" s="2"/>
      <c r="AW2688" s="2"/>
      <c r="AX2688" s="2"/>
      <c r="AY2688" s="2">
        <v>1</v>
      </c>
      <c r="AZ2688" s="2" t="s">
        <v>107</v>
      </c>
      <c r="BA2688" s="2">
        <v>1</v>
      </c>
      <c r="BB2688" s="2" t="s">
        <v>107</v>
      </c>
      <c r="BC2688" s="2">
        <v>1</v>
      </c>
      <c r="BD2688" s="2" t="s">
        <v>107</v>
      </c>
      <c r="BE2688" s="2">
        <v>1</v>
      </c>
      <c r="BF2688" s="2" t="s">
        <v>107</v>
      </c>
      <c r="BG2688" s="2"/>
      <c r="BH2688" s="2"/>
      <c r="BI2688" s="2"/>
      <c r="BJ2688" s="2">
        <v>242</v>
      </c>
      <c r="BK2688" s="2" t="s">
        <v>107</v>
      </c>
      <c r="BL2688" s="2"/>
      <c r="BM2688" s="2">
        <v>242</v>
      </c>
      <c r="BN2688" s="2" t="s">
        <v>107</v>
      </c>
      <c r="BO2688" s="2"/>
      <c r="BP2688" s="2">
        <v>242</v>
      </c>
      <c r="BQ2688" s="2" t="s">
        <v>107</v>
      </c>
      <c r="BR2688" s="2"/>
      <c r="BS2688" s="3">
        <v>40357</v>
      </c>
      <c r="BT2688" s="4">
        <v>0.79407407407407404</v>
      </c>
    </row>
    <row r="2689" spans="1:72" x14ac:dyDescent="0.25">
      <c r="A2689" s="2">
        <v>3908</v>
      </c>
      <c r="B2689" s="2">
        <v>2010</v>
      </c>
      <c r="C2689" s="2" t="s">
        <v>72</v>
      </c>
      <c r="D2689" s="2" t="s">
        <v>73</v>
      </c>
      <c r="E2689" s="2"/>
      <c r="F2689" s="2">
        <v>170</v>
      </c>
      <c r="G2689" s="2" t="s">
        <v>7892</v>
      </c>
      <c r="H2689" s="2">
        <v>42</v>
      </c>
      <c r="I2689" s="2" t="s">
        <v>1096</v>
      </c>
      <c r="J2689" s="2">
        <v>550</v>
      </c>
      <c r="K2689" s="2" t="s">
        <v>6744</v>
      </c>
      <c r="L2689" s="2" t="s">
        <v>6745</v>
      </c>
      <c r="M2689" s="3">
        <v>40357</v>
      </c>
      <c r="N2689" s="2" t="s">
        <v>7893</v>
      </c>
      <c r="O2689" s="2" t="s">
        <v>107</v>
      </c>
      <c r="P2689" s="2" t="s">
        <v>107</v>
      </c>
      <c r="Q2689" s="2" t="str">
        <f>"235-A/10"</f>
        <v>235-A/10</v>
      </c>
      <c r="R2689" s="2" t="s">
        <v>78</v>
      </c>
      <c r="S2689" s="2" t="s">
        <v>78</v>
      </c>
      <c r="T2689" s="2">
        <v>1</v>
      </c>
      <c r="U2689" s="2" t="s">
        <v>79</v>
      </c>
      <c r="V2689" s="2">
        <v>1</v>
      </c>
      <c r="W2689" s="2" t="s">
        <v>80</v>
      </c>
      <c r="X2689" s="2">
        <v>12</v>
      </c>
      <c r="Y2689" s="2" t="s">
        <v>148</v>
      </c>
      <c r="Z2689" s="2">
        <v>1</v>
      </c>
      <c r="AA2689" s="2" t="s">
        <v>82</v>
      </c>
      <c r="AB2689" s="2">
        <v>6</v>
      </c>
      <c r="AC2689" s="2" t="s">
        <v>83</v>
      </c>
      <c r="AD2689" s="3">
        <v>40357</v>
      </c>
      <c r="AE2689" s="2"/>
      <c r="AF2689" s="3">
        <v>40357</v>
      </c>
      <c r="AG2689" s="4">
        <v>0.72916666666666663</v>
      </c>
      <c r="AH2689" s="2">
        <v>2</v>
      </c>
      <c r="AI2689" s="2" t="s">
        <v>84</v>
      </c>
      <c r="AJ2689" s="2">
        <v>12</v>
      </c>
      <c r="AK2689" s="2" t="s">
        <v>85</v>
      </c>
      <c r="AL2689" s="2">
        <v>12</v>
      </c>
      <c r="AM2689" s="2" t="s">
        <v>86</v>
      </c>
      <c r="AN2689" s="2" t="s">
        <v>8960</v>
      </c>
      <c r="AO2689" s="2" t="s">
        <v>1341</v>
      </c>
      <c r="AP2689" s="2">
        <v>11</v>
      </c>
      <c r="AQ2689" s="2" t="s">
        <v>82</v>
      </c>
      <c r="AR2689" s="2"/>
      <c r="AS2689" s="2"/>
      <c r="AT2689" s="2" t="s">
        <v>8961</v>
      </c>
      <c r="AU2689" s="2"/>
      <c r="AV2689" s="2"/>
      <c r="AW2689" s="2"/>
      <c r="AX2689" s="2"/>
      <c r="AY2689" s="2">
        <v>41</v>
      </c>
      <c r="AZ2689" s="2" t="s">
        <v>82</v>
      </c>
      <c r="BA2689" s="2">
        <v>41</v>
      </c>
      <c r="BB2689" s="2" t="s">
        <v>82</v>
      </c>
      <c r="BC2689" s="2">
        <v>41</v>
      </c>
      <c r="BD2689" s="2" t="s">
        <v>82</v>
      </c>
      <c r="BE2689" s="2">
        <v>41</v>
      </c>
      <c r="BF2689" s="2" t="s">
        <v>82</v>
      </c>
      <c r="BG2689" s="2"/>
      <c r="BH2689" s="2"/>
      <c r="BI2689" s="2"/>
      <c r="BJ2689" s="2">
        <v>241</v>
      </c>
      <c r="BK2689" s="2" t="s">
        <v>82</v>
      </c>
      <c r="BL2689" s="2"/>
      <c r="BM2689" s="2">
        <v>241</v>
      </c>
      <c r="BN2689" s="2" t="s">
        <v>82</v>
      </c>
      <c r="BO2689" s="2"/>
      <c r="BP2689" s="2">
        <v>241</v>
      </c>
      <c r="BQ2689" s="2" t="s">
        <v>82</v>
      </c>
      <c r="BR2689" s="2"/>
      <c r="BS2689" s="3">
        <v>40357</v>
      </c>
      <c r="BT2689" s="4">
        <v>0.86428240740740747</v>
      </c>
    </row>
    <row r="2690" spans="1:72" x14ac:dyDescent="0.25">
      <c r="A2690" s="2">
        <v>3909</v>
      </c>
      <c r="B2690" s="2">
        <v>2010</v>
      </c>
      <c r="C2690" s="2" t="s">
        <v>819</v>
      </c>
      <c r="D2690" s="2" t="s">
        <v>122</v>
      </c>
      <c r="E2690" s="2"/>
      <c r="F2690" s="2">
        <v>425</v>
      </c>
      <c r="G2690" s="2" t="s">
        <v>286</v>
      </c>
      <c r="H2690" s="2">
        <v>39</v>
      </c>
      <c r="I2690" s="2" t="s">
        <v>1117</v>
      </c>
      <c r="J2690" s="2">
        <v>310</v>
      </c>
      <c r="K2690" s="2" t="s">
        <v>288</v>
      </c>
      <c r="L2690" s="2" t="s">
        <v>289</v>
      </c>
      <c r="M2690" s="3">
        <v>40357</v>
      </c>
      <c r="N2690" s="2" t="s">
        <v>2049</v>
      </c>
      <c r="O2690" s="2"/>
      <c r="P2690" s="2"/>
      <c r="Q2690" s="2" t="str">
        <f>"078/10"</f>
        <v>078/10</v>
      </c>
      <c r="R2690" s="2"/>
      <c r="S2690" s="2" t="s">
        <v>822</v>
      </c>
      <c r="T2690" s="2">
        <v>1</v>
      </c>
      <c r="U2690" s="2" t="s">
        <v>79</v>
      </c>
      <c r="V2690" s="2">
        <v>1</v>
      </c>
      <c r="W2690" s="2" t="s">
        <v>80</v>
      </c>
      <c r="X2690" s="2">
        <v>1</v>
      </c>
      <c r="Y2690" s="2" t="s">
        <v>81</v>
      </c>
      <c r="Z2690" s="2">
        <v>10</v>
      </c>
      <c r="AA2690" s="2" t="s">
        <v>236</v>
      </c>
      <c r="AB2690" s="2">
        <v>9</v>
      </c>
      <c r="AC2690" s="2" t="s">
        <v>124</v>
      </c>
      <c r="AD2690" s="3">
        <v>40357</v>
      </c>
      <c r="AE2690" s="4">
        <v>0.91666666666666663</v>
      </c>
      <c r="AF2690" s="2"/>
      <c r="AG2690" s="2"/>
      <c r="AH2690" s="2">
        <v>4</v>
      </c>
      <c r="AI2690" s="2" t="s">
        <v>125</v>
      </c>
      <c r="AJ2690" s="2">
        <v>29</v>
      </c>
      <c r="AK2690" s="2" t="s">
        <v>227</v>
      </c>
      <c r="AL2690" s="2">
        <v>16</v>
      </c>
      <c r="AM2690" s="2" t="s">
        <v>392</v>
      </c>
      <c r="AN2690" s="2" t="s">
        <v>1015</v>
      </c>
      <c r="AO2690" s="2"/>
      <c r="AP2690" s="2">
        <v>12</v>
      </c>
      <c r="AQ2690" s="2" t="s">
        <v>322</v>
      </c>
      <c r="AR2690" s="2" t="s">
        <v>824</v>
      </c>
      <c r="AS2690" s="2" t="s">
        <v>825</v>
      </c>
      <c r="AT2690" s="2" t="s">
        <v>8962</v>
      </c>
      <c r="AU2690" s="2"/>
      <c r="AV2690" s="2"/>
      <c r="AW2690" s="2"/>
      <c r="AX2690" s="2"/>
      <c r="AY2690" s="2">
        <v>41</v>
      </c>
      <c r="AZ2690" s="2" t="s">
        <v>82</v>
      </c>
      <c r="BA2690" s="2">
        <v>41</v>
      </c>
      <c r="BB2690" s="2" t="s">
        <v>82</v>
      </c>
      <c r="BC2690" s="2">
        <v>51</v>
      </c>
      <c r="BD2690" s="2" t="s">
        <v>827</v>
      </c>
      <c r="BE2690" s="2">
        <v>47</v>
      </c>
      <c r="BF2690" s="2" t="s">
        <v>167</v>
      </c>
      <c r="BG2690" s="2">
        <v>2459</v>
      </c>
      <c r="BH2690" s="4">
        <v>0.92361111111111116</v>
      </c>
      <c r="BI2690" s="4">
        <v>0.94791666666666663</v>
      </c>
      <c r="BJ2690" s="2">
        <v>13</v>
      </c>
      <c r="BK2690" s="2" t="s">
        <v>91</v>
      </c>
      <c r="BL2690" s="2" t="s">
        <v>828</v>
      </c>
      <c r="BM2690" s="2">
        <v>241</v>
      </c>
      <c r="BN2690" s="2" t="s">
        <v>82</v>
      </c>
      <c r="BO2690" s="2" t="s">
        <v>82</v>
      </c>
      <c r="BP2690" s="2">
        <v>13</v>
      </c>
      <c r="BQ2690" s="2" t="s">
        <v>91</v>
      </c>
      <c r="BR2690" s="2" t="s">
        <v>185</v>
      </c>
      <c r="BS2690" s="3">
        <v>40357</v>
      </c>
      <c r="BT2690" s="4">
        <v>0.97048611111111116</v>
      </c>
    </row>
    <row r="2691" spans="1:72" x14ac:dyDescent="0.25">
      <c r="A2691" s="2">
        <v>3910</v>
      </c>
      <c r="B2691" s="2">
        <v>2010</v>
      </c>
      <c r="C2691" s="2" t="s">
        <v>819</v>
      </c>
      <c r="D2691" s="2" t="s">
        <v>73</v>
      </c>
      <c r="E2691" s="2"/>
      <c r="F2691" s="2">
        <v>310</v>
      </c>
      <c r="G2691" s="2" t="s">
        <v>3186</v>
      </c>
      <c r="H2691" s="2">
        <v>41</v>
      </c>
      <c r="I2691" s="2" t="s">
        <v>1906</v>
      </c>
      <c r="J2691" s="2">
        <v>371</v>
      </c>
      <c r="K2691" s="2" t="s">
        <v>1138</v>
      </c>
      <c r="L2691" s="2" t="s">
        <v>1139</v>
      </c>
      <c r="M2691" s="3">
        <v>40358</v>
      </c>
      <c r="N2691" s="2" t="s">
        <v>8747</v>
      </c>
      <c r="O2691" s="2"/>
      <c r="P2691" s="2"/>
      <c r="Q2691" s="2" t="str">
        <f>"0089/10"</f>
        <v>0089/10</v>
      </c>
      <c r="R2691" s="2" t="s">
        <v>2003</v>
      </c>
      <c r="S2691" s="2"/>
      <c r="T2691" s="2">
        <v>1</v>
      </c>
      <c r="U2691" s="2" t="s">
        <v>79</v>
      </c>
      <c r="V2691" s="2">
        <v>1</v>
      </c>
      <c r="W2691" s="2" t="s">
        <v>80</v>
      </c>
      <c r="X2691" s="2">
        <v>1</v>
      </c>
      <c r="Y2691" s="2" t="s">
        <v>81</v>
      </c>
      <c r="Z2691" s="2">
        <v>1</v>
      </c>
      <c r="AA2691" s="2" t="s">
        <v>82</v>
      </c>
      <c r="AB2691" s="2">
        <v>9</v>
      </c>
      <c r="AC2691" s="2" t="s">
        <v>124</v>
      </c>
      <c r="AD2691" s="3">
        <v>40357</v>
      </c>
      <c r="AE2691" s="4">
        <v>0.94444444444444453</v>
      </c>
      <c r="AF2691" s="2"/>
      <c r="AG2691" s="2"/>
      <c r="AH2691" s="2">
        <v>5</v>
      </c>
      <c r="AI2691" s="2" t="s">
        <v>274</v>
      </c>
      <c r="AJ2691" s="2">
        <v>38</v>
      </c>
      <c r="AK2691" s="2" t="s">
        <v>1120</v>
      </c>
      <c r="AL2691" s="2">
        <v>10</v>
      </c>
      <c r="AM2691" s="2" t="s">
        <v>200</v>
      </c>
      <c r="AN2691" s="2"/>
      <c r="AO2691" s="2" t="s">
        <v>8963</v>
      </c>
      <c r="AP2691" s="2">
        <v>11</v>
      </c>
      <c r="AQ2691" s="2" t="s">
        <v>82</v>
      </c>
      <c r="AR2691" s="2"/>
      <c r="AS2691" s="2"/>
      <c r="AT2691" s="2" t="s">
        <v>8964</v>
      </c>
      <c r="AU2691" s="2"/>
      <c r="AV2691" s="2"/>
      <c r="AW2691" s="2"/>
      <c r="AX2691" s="2"/>
      <c r="AY2691" s="2">
        <v>41</v>
      </c>
      <c r="AZ2691" s="2" t="s">
        <v>82</v>
      </c>
      <c r="BA2691" s="2">
        <v>41</v>
      </c>
      <c r="BB2691" s="2" t="s">
        <v>82</v>
      </c>
      <c r="BC2691" s="2">
        <v>41</v>
      </c>
      <c r="BD2691" s="2" t="s">
        <v>82</v>
      </c>
      <c r="BE2691" s="2">
        <v>47</v>
      </c>
      <c r="BF2691" s="2" t="s">
        <v>167</v>
      </c>
      <c r="BG2691" s="2">
        <v>2737</v>
      </c>
      <c r="BH2691" s="4">
        <v>0.89583333333333337</v>
      </c>
      <c r="BI2691" s="4">
        <v>0.92361111111111116</v>
      </c>
      <c r="BJ2691" s="2">
        <v>13</v>
      </c>
      <c r="BK2691" s="2" t="s">
        <v>91</v>
      </c>
      <c r="BL2691" s="2" t="s">
        <v>2005</v>
      </c>
      <c r="BM2691" s="2">
        <v>241</v>
      </c>
      <c r="BN2691" s="2" t="s">
        <v>82</v>
      </c>
      <c r="BO2691" s="2"/>
      <c r="BP2691" s="2">
        <v>13</v>
      </c>
      <c r="BQ2691" s="2" t="s">
        <v>91</v>
      </c>
      <c r="BR2691" s="2" t="s">
        <v>170</v>
      </c>
      <c r="BS2691" s="3">
        <v>40358</v>
      </c>
      <c r="BT2691" s="4">
        <v>2.2060185185185183E-2</v>
      </c>
    </row>
    <row r="2692" spans="1:72" x14ac:dyDescent="0.25">
      <c r="A2692" s="2">
        <v>3911</v>
      </c>
      <c r="B2692" s="2">
        <v>2010</v>
      </c>
      <c r="C2692" s="2" t="s">
        <v>72</v>
      </c>
      <c r="D2692" s="2" t="s">
        <v>73</v>
      </c>
      <c r="E2692" s="2"/>
      <c r="F2692" s="2">
        <v>170</v>
      </c>
      <c r="G2692" s="2" t="s">
        <v>7892</v>
      </c>
      <c r="H2692" s="2">
        <v>108</v>
      </c>
      <c r="I2692" s="2" t="s">
        <v>1096</v>
      </c>
      <c r="J2692" s="2">
        <v>550</v>
      </c>
      <c r="K2692" s="2" t="s">
        <v>6744</v>
      </c>
      <c r="L2692" s="2" t="s">
        <v>6745</v>
      </c>
      <c r="M2692" s="3">
        <v>40358</v>
      </c>
      <c r="N2692" s="2" t="s">
        <v>7893</v>
      </c>
      <c r="O2692" s="2" t="s">
        <v>107</v>
      </c>
      <c r="P2692" s="2" t="s">
        <v>107</v>
      </c>
      <c r="Q2692" s="2" t="str">
        <f>"236-A/10"</f>
        <v>236-A/10</v>
      </c>
      <c r="R2692" s="2" t="s">
        <v>78</v>
      </c>
      <c r="S2692" s="2" t="s">
        <v>78</v>
      </c>
      <c r="T2692" s="2">
        <v>1</v>
      </c>
      <c r="U2692" s="2" t="s">
        <v>79</v>
      </c>
      <c r="V2692" s="2">
        <v>1</v>
      </c>
      <c r="W2692" s="2" t="s">
        <v>80</v>
      </c>
      <c r="X2692" s="2">
        <v>12</v>
      </c>
      <c r="Y2692" s="2" t="s">
        <v>148</v>
      </c>
      <c r="Z2692" s="2">
        <v>1</v>
      </c>
      <c r="AA2692" s="2" t="s">
        <v>82</v>
      </c>
      <c r="AB2692" s="2">
        <v>6</v>
      </c>
      <c r="AC2692" s="2" t="s">
        <v>83</v>
      </c>
      <c r="AD2692" s="3">
        <v>40357</v>
      </c>
      <c r="AE2692" s="2"/>
      <c r="AF2692" s="3">
        <v>40357</v>
      </c>
      <c r="AG2692" s="4">
        <v>0.90625</v>
      </c>
      <c r="AH2692" s="2">
        <v>2</v>
      </c>
      <c r="AI2692" s="2" t="s">
        <v>84</v>
      </c>
      <c r="AJ2692" s="2">
        <v>12</v>
      </c>
      <c r="AK2692" s="2" t="s">
        <v>85</v>
      </c>
      <c r="AL2692" s="2">
        <v>12</v>
      </c>
      <c r="AM2692" s="2" t="s">
        <v>86</v>
      </c>
      <c r="AN2692" s="2" t="s">
        <v>8965</v>
      </c>
      <c r="AO2692" s="2" t="s">
        <v>816</v>
      </c>
      <c r="AP2692" s="2">
        <v>11</v>
      </c>
      <c r="AQ2692" s="2" t="s">
        <v>82</v>
      </c>
      <c r="AR2692" s="2"/>
      <c r="AS2692" s="2"/>
      <c r="AT2692" s="2" t="s">
        <v>8966</v>
      </c>
      <c r="AU2692" s="2"/>
      <c r="AV2692" s="2"/>
      <c r="AW2692" s="2"/>
      <c r="AX2692" s="2"/>
      <c r="AY2692" s="2">
        <v>41</v>
      </c>
      <c r="AZ2692" s="2" t="s">
        <v>82</v>
      </c>
      <c r="BA2692" s="2">
        <v>41</v>
      </c>
      <c r="BB2692" s="2" t="s">
        <v>82</v>
      </c>
      <c r="BC2692" s="2">
        <v>41</v>
      </c>
      <c r="BD2692" s="2" t="s">
        <v>82</v>
      </c>
      <c r="BE2692" s="2">
        <v>41</v>
      </c>
      <c r="BF2692" s="2" t="s">
        <v>82</v>
      </c>
      <c r="BG2692" s="2"/>
      <c r="BH2692" s="2"/>
      <c r="BI2692" s="2"/>
      <c r="BJ2692" s="2">
        <v>241</v>
      </c>
      <c r="BK2692" s="2" t="s">
        <v>82</v>
      </c>
      <c r="BL2692" s="2"/>
      <c r="BM2692" s="2">
        <v>241</v>
      </c>
      <c r="BN2692" s="2" t="s">
        <v>82</v>
      </c>
      <c r="BO2692" s="2"/>
      <c r="BP2692" s="2">
        <v>241</v>
      </c>
      <c r="BQ2692" s="2" t="s">
        <v>82</v>
      </c>
      <c r="BR2692" s="2"/>
      <c r="BS2692" s="3">
        <v>40358</v>
      </c>
      <c r="BT2692" s="4">
        <v>3.4444444444444444E-2</v>
      </c>
    </row>
    <row r="2693" spans="1:72" x14ac:dyDescent="0.25">
      <c r="A2693" s="2">
        <v>3912</v>
      </c>
      <c r="B2693" s="2">
        <v>2010</v>
      </c>
      <c r="C2693" s="2" t="s">
        <v>819</v>
      </c>
      <c r="D2693" s="2" t="s">
        <v>73</v>
      </c>
      <c r="E2693" s="2"/>
      <c r="F2693" s="2">
        <v>310</v>
      </c>
      <c r="G2693" s="2" t="s">
        <v>3186</v>
      </c>
      <c r="H2693" s="2">
        <v>3</v>
      </c>
      <c r="I2693" s="2" t="s">
        <v>315</v>
      </c>
      <c r="J2693" s="2">
        <v>371</v>
      </c>
      <c r="K2693" s="2" t="s">
        <v>1138</v>
      </c>
      <c r="L2693" s="2" t="s">
        <v>1139</v>
      </c>
      <c r="M2693" s="3">
        <v>40358</v>
      </c>
      <c r="N2693" s="2" t="s">
        <v>2980</v>
      </c>
      <c r="O2693" s="2"/>
      <c r="P2693" s="2"/>
      <c r="Q2693" s="2" t="str">
        <f>"0090/10"</f>
        <v>0090/10</v>
      </c>
      <c r="R2693" s="2"/>
      <c r="S2693" s="2" t="s">
        <v>2003</v>
      </c>
      <c r="T2693" s="2">
        <v>1</v>
      </c>
      <c r="U2693" s="2" t="s">
        <v>79</v>
      </c>
      <c r="V2693" s="2">
        <v>1</v>
      </c>
      <c r="W2693" s="2" t="s">
        <v>80</v>
      </c>
      <c r="X2693" s="2">
        <v>1</v>
      </c>
      <c r="Y2693" s="2" t="s">
        <v>81</v>
      </c>
      <c r="Z2693" s="2">
        <v>1</v>
      </c>
      <c r="AA2693" s="2" t="s">
        <v>82</v>
      </c>
      <c r="AB2693" s="2">
        <v>9</v>
      </c>
      <c r="AC2693" s="2" t="s">
        <v>124</v>
      </c>
      <c r="AD2693" s="3">
        <v>40357</v>
      </c>
      <c r="AE2693" s="4">
        <v>0.95138888888888884</v>
      </c>
      <c r="AF2693" s="2"/>
      <c r="AG2693" s="2"/>
      <c r="AH2693" s="2">
        <v>5</v>
      </c>
      <c r="AI2693" s="2" t="s">
        <v>274</v>
      </c>
      <c r="AJ2693" s="2">
        <v>38</v>
      </c>
      <c r="AK2693" s="2" t="s">
        <v>1120</v>
      </c>
      <c r="AL2693" s="2">
        <v>10</v>
      </c>
      <c r="AM2693" s="2" t="s">
        <v>200</v>
      </c>
      <c r="AN2693" s="2"/>
      <c r="AO2693" s="2" t="s">
        <v>8967</v>
      </c>
      <c r="AP2693" s="2">
        <v>11</v>
      </c>
      <c r="AQ2693" s="2" t="s">
        <v>82</v>
      </c>
      <c r="AR2693" s="2"/>
      <c r="AS2693" s="2"/>
      <c r="AT2693" s="2" t="s">
        <v>8968</v>
      </c>
      <c r="AU2693" s="2"/>
      <c r="AV2693" s="2"/>
      <c r="AW2693" s="2"/>
      <c r="AX2693" s="2"/>
      <c r="AY2693" s="2">
        <v>41</v>
      </c>
      <c r="AZ2693" s="2" t="s">
        <v>82</v>
      </c>
      <c r="BA2693" s="2">
        <v>41</v>
      </c>
      <c r="BB2693" s="2" t="s">
        <v>82</v>
      </c>
      <c r="BC2693" s="2">
        <v>41</v>
      </c>
      <c r="BD2693" s="2" t="s">
        <v>82</v>
      </c>
      <c r="BE2693" s="2">
        <v>47</v>
      </c>
      <c r="BF2693" s="2" t="s">
        <v>167</v>
      </c>
      <c r="BG2693" s="2">
        <v>2737</v>
      </c>
      <c r="BH2693" s="4">
        <v>0.89583333333333337</v>
      </c>
      <c r="BI2693" s="4">
        <v>0.92361111111111116</v>
      </c>
      <c r="BJ2693" s="2">
        <v>13</v>
      </c>
      <c r="BK2693" s="2" t="s">
        <v>91</v>
      </c>
      <c r="BL2693" s="2" t="s">
        <v>2005</v>
      </c>
      <c r="BM2693" s="2">
        <v>241</v>
      </c>
      <c r="BN2693" s="2" t="s">
        <v>82</v>
      </c>
      <c r="BO2693" s="2"/>
      <c r="BP2693" s="2">
        <v>13</v>
      </c>
      <c r="BQ2693" s="2" t="s">
        <v>91</v>
      </c>
      <c r="BR2693" s="2" t="s">
        <v>170</v>
      </c>
      <c r="BS2693" s="3">
        <v>40358</v>
      </c>
      <c r="BT2693" s="4">
        <v>4.8784722222222222E-2</v>
      </c>
    </row>
    <row r="2694" spans="1:72" x14ac:dyDescent="0.25">
      <c r="A2694" s="2">
        <v>3913</v>
      </c>
      <c r="B2694" s="2">
        <v>2010</v>
      </c>
      <c r="C2694" s="2" t="s">
        <v>819</v>
      </c>
      <c r="D2694" s="2" t="s">
        <v>122</v>
      </c>
      <c r="E2694" s="2" t="s">
        <v>8969</v>
      </c>
      <c r="F2694" s="2">
        <v>310</v>
      </c>
      <c r="G2694" s="2" t="s">
        <v>3186</v>
      </c>
      <c r="H2694" s="2">
        <v>41</v>
      </c>
      <c r="I2694" s="2" t="s">
        <v>1906</v>
      </c>
      <c r="J2694" s="2">
        <v>371</v>
      </c>
      <c r="K2694" s="2" t="s">
        <v>1138</v>
      </c>
      <c r="L2694" s="2" t="s">
        <v>1139</v>
      </c>
      <c r="M2694" s="3">
        <v>40358</v>
      </c>
      <c r="N2694" s="2" t="s">
        <v>8747</v>
      </c>
      <c r="O2694" s="2"/>
      <c r="P2694" s="2"/>
      <c r="Q2694" s="2" t="str">
        <f>"089"</f>
        <v>089</v>
      </c>
      <c r="R2694" s="2"/>
      <c r="S2694" s="2" t="s">
        <v>2003</v>
      </c>
      <c r="T2694" s="2">
        <v>1</v>
      </c>
      <c r="U2694" s="2" t="s">
        <v>79</v>
      </c>
      <c r="V2694" s="2">
        <v>1</v>
      </c>
      <c r="W2694" s="2" t="s">
        <v>80</v>
      </c>
      <c r="X2694" s="2">
        <v>1</v>
      </c>
      <c r="Y2694" s="2" t="s">
        <v>81</v>
      </c>
      <c r="Z2694" s="2">
        <v>1</v>
      </c>
      <c r="AA2694" s="2" t="s">
        <v>82</v>
      </c>
      <c r="AB2694" s="2">
        <v>9</v>
      </c>
      <c r="AC2694" s="2" t="s">
        <v>124</v>
      </c>
      <c r="AD2694" s="3">
        <v>40357</v>
      </c>
      <c r="AE2694" s="4">
        <v>0.94444444444444453</v>
      </c>
      <c r="AF2694" s="2"/>
      <c r="AG2694" s="2"/>
      <c r="AH2694" s="2">
        <v>5</v>
      </c>
      <c r="AI2694" s="2" t="s">
        <v>274</v>
      </c>
      <c r="AJ2694" s="2">
        <v>38</v>
      </c>
      <c r="AK2694" s="2" t="s">
        <v>1120</v>
      </c>
      <c r="AL2694" s="2">
        <v>10</v>
      </c>
      <c r="AM2694" s="2" t="s">
        <v>200</v>
      </c>
      <c r="AN2694" s="2"/>
      <c r="AO2694" s="2" t="s">
        <v>8963</v>
      </c>
      <c r="AP2694" s="2">
        <v>11</v>
      </c>
      <c r="AQ2694" s="2" t="s">
        <v>82</v>
      </c>
      <c r="AR2694" s="2"/>
      <c r="AS2694" s="2"/>
      <c r="AT2694" s="2" t="s">
        <v>8970</v>
      </c>
      <c r="AU2694" s="2"/>
      <c r="AV2694" s="2"/>
      <c r="AW2694" s="2"/>
      <c r="AX2694" s="2"/>
      <c r="AY2694" s="2">
        <v>41</v>
      </c>
      <c r="AZ2694" s="2" t="s">
        <v>82</v>
      </c>
      <c r="BA2694" s="2">
        <v>41</v>
      </c>
      <c r="BB2694" s="2" t="s">
        <v>82</v>
      </c>
      <c r="BC2694" s="2">
        <v>41</v>
      </c>
      <c r="BD2694" s="2" t="s">
        <v>82</v>
      </c>
      <c r="BE2694" s="2">
        <v>47</v>
      </c>
      <c r="BF2694" s="2" t="s">
        <v>167</v>
      </c>
      <c r="BG2694" s="2">
        <v>2737</v>
      </c>
      <c r="BH2694" s="4">
        <v>0.89583333333333337</v>
      </c>
      <c r="BI2694" s="4">
        <v>0.92361111111111116</v>
      </c>
      <c r="BJ2694" s="2">
        <v>13</v>
      </c>
      <c r="BK2694" s="2" t="s">
        <v>91</v>
      </c>
      <c r="BL2694" s="2" t="s">
        <v>2005</v>
      </c>
      <c r="BM2694" s="2">
        <v>241</v>
      </c>
      <c r="BN2694" s="2" t="s">
        <v>82</v>
      </c>
      <c r="BO2694" s="2"/>
      <c r="BP2694" s="2">
        <v>13</v>
      </c>
      <c r="BQ2694" s="2" t="s">
        <v>91</v>
      </c>
      <c r="BR2694" s="2" t="s">
        <v>170</v>
      </c>
      <c r="BS2694" s="3">
        <v>40358</v>
      </c>
      <c r="BT2694" s="4">
        <v>7.930555555555556E-2</v>
      </c>
    </row>
    <row r="2695" spans="1:72" x14ac:dyDescent="0.25">
      <c r="A2695" s="2">
        <v>3914</v>
      </c>
      <c r="B2695" s="2">
        <v>2010</v>
      </c>
      <c r="C2695" s="2" t="s">
        <v>72</v>
      </c>
      <c r="D2695" s="2" t="s">
        <v>73</v>
      </c>
      <c r="E2695" s="2"/>
      <c r="F2695" s="2">
        <v>66</v>
      </c>
      <c r="G2695" s="2" t="s">
        <v>8971</v>
      </c>
      <c r="H2695" s="2">
        <v>99</v>
      </c>
      <c r="I2695" s="2" t="s">
        <v>6285</v>
      </c>
      <c r="J2695" s="2">
        <v>98</v>
      </c>
      <c r="K2695" s="2" t="s">
        <v>8972</v>
      </c>
      <c r="L2695" s="2" t="s">
        <v>8973</v>
      </c>
      <c r="M2695" s="3">
        <v>40358</v>
      </c>
      <c r="N2695" s="2" t="s">
        <v>8974</v>
      </c>
      <c r="O2695" s="2"/>
      <c r="P2695" s="2"/>
      <c r="Q2695" s="2" t="str">
        <f>"0022/10"</f>
        <v>0022/10</v>
      </c>
      <c r="R2695" s="2" t="s">
        <v>657</v>
      </c>
      <c r="S2695" s="2"/>
      <c r="T2695" s="2">
        <v>1</v>
      </c>
      <c r="U2695" s="2" t="s">
        <v>79</v>
      </c>
      <c r="V2695" s="2">
        <v>1</v>
      </c>
      <c r="W2695" s="2" t="s">
        <v>80</v>
      </c>
      <c r="X2695" s="2">
        <v>12</v>
      </c>
      <c r="Y2695" s="2" t="s">
        <v>148</v>
      </c>
      <c r="Z2695" s="2">
        <v>1</v>
      </c>
      <c r="AA2695" s="2" t="s">
        <v>82</v>
      </c>
      <c r="AB2695" s="2">
        <v>6</v>
      </c>
      <c r="AC2695" s="2" t="s">
        <v>83</v>
      </c>
      <c r="AD2695" s="3">
        <v>40335</v>
      </c>
      <c r="AE2695" s="2"/>
      <c r="AF2695" s="3">
        <v>40357</v>
      </c>
      <c r="AG2695" s="4">
        <v>0.86805555555555547</v>
      </c>
      <c r="AH2695" s="2">
        <v>4</v>
      </c>
      <c r="AI2695" s="2" t="s">
        <v>125</v>
      </c>
      <c r="AJ2695" s="2">
        <v>28</v>
      </c>
      <c r="AK2695" s="2" t="s">
        <v>741</v>
      </c>
      <c r="AL2695" s="2">
        <v>22</v>
      </c>
      <c r="AM2695" s="2" t="s">
        <v>1853</v>
      </c>
      <c r="AN2695" s="2"/>
      <c r="AO2695" s="2"/>
      <c r="AP2695" s="2">
        <v>11</v>
      </c>
      <c r="AQ2695" s="2" t="s">
        <v>82</v>
      </c>
      <c r="AR2695" s="2"/>
      <c r="AS2695" s="2"/>
      <c r="AT2695" s="2" t="s">
        <v>8975</v>
      </c>
      <c r="AU2695" s="2"/>
      <c r="AV2695" s="2"/>
      <c r="AW2695" s="2"/>
      <c r="AX2695" s="2"/>
      <c r="AY2695" s="2">
        <v>41</v>
      </c>
      <c r="AZ2695" s="2" t="s">
        <v>82</v>
      </c>
      <c r="BA2695" s="2">
        <v>41</v>
      </c>
      <c r="BB2695" s="2" t="s">
        <v>82</v>
      </c>
      <c r="BC2695" s="2">
        <v>41</v>
      </c>
      <c r="BD2695" s="2" t="s">
        <v>82</v>
      </c>
      <c r="BE2695" s="2">
        <v>13</v>
      </c>
      <c r="BF2695" s="2" t="s">
        <v>108</v>
      </c>
      <c r="BG2695" s="2">
        <v>1476</v>
      </c>
      <c r="BH2695" s="4">
        <v>0.84027777777777779</v>
      </c>
      <c r="BI2695" s="4">
        <v>0.77777777777777779</v>
      </c>
      <c r="BJ2695" s="2">
        <v>13</v>
      </c>
      <c r="BK2695" s="2" t="s">
        <v>91</v>
      </c>
      <c r="BL2695" s="2" t="s">
        <v>185</v>
      </c>
      <c r="BM2695" s="2">
        <v>241</v>
      </c>
      <c r="BN2695" s="2" t="s">
        <v>82</v>
      </c>
      <c r="BO2695" s="2"/>
      <c r="BP2695" s="2">
        <v>13</v>
      </c>
      <c r="BQ2695" s="2" t="s">
        <v>91</v>
      </c>
      <c r="BR2695" s="2" t="s">
        <v>744</v>
      </c>
      <c r="BS2695" s="3">
        <v>40358</v>
      </c>
      <c r="BT2695" s="4">
        <v>0.14406250000000001</v>
      </c>
    </row>
    <row r="2696" spans="1:72" x14ac:dyDescent="0.25">
      <c r="A2696" s="2">
        <v>3915</v>
      </c>
      <c r="B2696" s="2">
        <v>2010</v>
      </c>
      <c r="C2696" s="2" t="s">
        <v>171</v>
      </c>
      <c r="D2696" s="2" t="s">
        <v>73</v>
      </c>
      <c r="E2696" s="2"/>
      <c r="F2696" s="2">
        <v>397</v>
      </c>
      <c r="G2696" s="2" t="s">
        <v>2522</v>
      </c>
      <c r="H2696" s="2">
        <v>11</v>
      </c>
      <c r="I2696" s="2" t="s">
        <v>1397</v>
      </c>
      <c r="J2696" s="2">
        <v>377</v>
      </c>
      <c r="K2696" s="2" t="s">
        <v>1223</v>
      </c>
      <c r="L2696" s="2" t="s">
        <v>1224</v>
      </c>
      <c r="M2696" s="3">
        <v>40358</v>
      </c>
      <c r="N2696" s="2" t="s">
        <v>8976</v>
      </c>
      <c r="O2696" s="2" t="s">
        <v>82</v>
      </c>
      <c r="P2696" s="2" t="s">
        <v>82</v>
      </c>
      <c r="Q2696" s="2" t="str">
        <f>"344-E-10"</f>
        <v>344-E-10</v>
      </c>
      <c r="R2696" s="2" t="s">
        <v>82</v>
      </c>
      <c r="S2696" s="2" t="s">
        <v>391</v>
      </c>
      <c r="T2696" s="2">
        <v>1</v>
      </c>
      <c r="U2696" s="2" t="s">
        <v>79</v>
      </c>
      <c r="V2696" s="2">
        <v>1</v>
      </c>
      <c r="W2696" s="2" t="s">
        <v>80</v>
      </c>
      <c r="X2696" s="2">
        <v>1</v>
      </c>
      <c r="Y2696" s="2" t="s">
        <v>81</v>
      </c>
      <c r="Z2696" s="2">
        <v>1</v>
      </c>
      <c r="AA2696" s="2" t="s">
        <v>82</v>
      </c>
      <c r="AB2696" s="2">
        <v>1</v>
      </c>
      <c r="AC2696" s="2" t="s">
        <v>178</v>
      </c>
      <c r="AD2696" s="3">
        <v>40357</v>
      </c>
      <c r="AE2696" s="4">
        <v>0.85416666666666663</v>
      </c>
      <c r="AF2696" s="2"/>
      <c r="AG2696" s="2"/>
      <c r="AH2696" s="2">
        <v>2</v>
      </c>
      <c r="AI2696" s="2" t="s">
        <v>84</v>
      </c>
      <c r="AJ2696" s="2">
        <v>9</v>
      </c>
      <c r="AK2696" s="2" t="s">
        <v>103</v>
      </c>
      <c r="AL2696" s="2">
        <v>11</v>
      </c>
      <c r="AM2696" s="2" t="s">
        <v>137</v>
      </c>
      <c r="AN2696" s="2" t="s">
        <v>6519</v>
      </c>
      <c r="AO2696" s="2" t="s">
        <v>590</v>
      </c>
      <c r="AP2696" s="2">
        <v>11</v>
      </c>
      <c r="AQ2696" s="2" t="s">
        <v>82</v>
      </c>
      <c r="AR2696" s="2"/>
      <c r="AS2696" s="2"/>
      <c r="AT2696" s="2" t="s">
        <v>8977</v>
      </c>
      <c r="AU2696" s="2"/>
      <c r="AV2696" s="2">
        <v>1</v>
      </c>
      <c r="AW2696" s="2"/>
      <c r="AX2696" s="2"/>
      <c r="AY2696" s="2">
        <v>41</v>
      </c>
      <c r="AZ2696" s="2" t="s">
        <v>82</v>
      </c>
      <c r="BA2696" s="2">
        <v>41</v>
      </c>
      <c r="BB2696" s="2" t="s">
        <v>82</v>
      </c>
      <c r="BC2696" s="2">
        <v>41</v>
      </c>
      <c r="BD2696" s="2" t="s">
        <v>82</v>
      </c>
      <c r="BE2696" s="2">
        <v>13</v>
      </c>
      <c r="BF2696" s="2" t="s">
        <v>108</v>
      </c>
      <c r="BG2696" s="2" t="s">
        <v>842</v>
      </c>
      <c r="BH2696" s="2"/>
      <c r="BI2696" s="4">
        <v>0.875</v>
      </c>
      <c r="BJ2696" s="2">
        <v>13</v>
      </c>
      <c r="BK2696" s="2" t="s">
        <v>91</v>
      </c>
      <c r="BL2696" s="2" t="s">
        <v>360</v>
      </c>
      <c r="BM2696" s="2">
        <v>241</v>
      </c>
      <c r="BN2696" s="2" t="s">
        <v>82</v>
      </c>
      <c r="BO2696" s="2" t="s">
        <v>82</v>
      </c>
      <c r="BP2696" s="2">
        <v>73</v>
      </c>
      <c r="BQ2696" s="2" t="s">
        <v>186</v>
      </c>
      <c r="BR2696" s="2" t="s">
        <v>187</v>
      </c>
      <c r="BS2696" s="3">
        <v>40358</v>
      </c>
      <c r="BT2696" s="4">
        <v>0.17432870370370371</v>
      </c>
    </row>
    <row r="2697" spans="1:72" x14ac:dyDescent="0.25">
      <c r="A2697" s="2">
        <v>3916</v>
      </c>
      <c r="B2697" s="2">
        <v>2010</v>
      </c>
      <c r="C2697" s="2" t="s">
        <v>171</v>
      </c>
      <c r="D2697" s="2" t="s">
        <v>73</v>
      </c>
      <c r="E2697" s="2"/>
      <c r="F2697" s="2">
        <v>397</v>
      </c>
      <c r="G2697" s="2" t="s">
        <v>2522</v>
      </c>
      <c r="H2697" s="2">
        <v>11</v>
      </c>
      <c r="I2697" s="2" t="s">
        <v>1397</v>
      </c>
      <c r="J2697" s="2">
        <v>377</v>
      </c>
      <c r="K2697" s="2" t="s">
        <v>1223</v>
      </c>
      <c r="L2697" s="2" t="s">
        <v>1224</v>
      </c>
      <c r="M2697" s="3">
        <v>40358</v>
      </c>
      <c r="N2697" s="2" t="s">
        <v>2952</v>
      </c>
      <c r="O2697" s="2"/>
      <c r="P2697" s="2"/>
      <c r="Q2697" s="2" t="str">
        <f>"345-E/10"</f>
        <v>345-E/10</v>
      </c>
      <c r="R2697" s="2"/>
      <c r="S2697" s="2" t="s">
        <v>391</v>
      </c>
      <c r="T2697" s="2">
        <v>1</v>
      </c>
      <c r="U2697" s="2" t="s">
        <v>79</v>
      </c>
      <c r="V2697" s="2">
        <v>1</v>
      </c>
      <c r="W2697" s="2" t="s">
        <v>80</v>
      </c>
      <c r="X2697" s="2">
        <v>1</v>
      </c>
      <c r="Y2697" s="2" t="s">
        <v>81</v>
      </c>
      <c r="Z2697" s="2">
        <v>1</v>
      </c>
      <c r="AA2697" s="2" t="s">
        <v>82</v>
      </c>
      <c r="AB2697" s="2">
        <v>1</v>
      </c>
      <c r="AC2697" s="2" t="s">
        <v>178</v>
      </c>
      <c r="AD2697" s="3">
        <v>40357</v>
      </c>
      <c r="AE2697" s="4">
        <v>0.85416666666666663</v>
      </c>
      <c r="AF2697" s="2"/>
      <c r="AG2697" s="2"/>
      <c r="AH2697" s="2">
        <v>2</v>
      </c>
      <c r="AI2697" s="2" t="s">
        <v>84</v>
      </c>
      <c r="AJ2697" s="2">
        <v>9</v>
      </c>
      <c r="AK2697" s="2" t="s">
        <v>103</v>
      </c>
      <c r="AL2697" s="2">
        <v>25</v>
      </c>
      <c r="AM2697" s="2" t="s">
        <v>3073</v>
      </c>
      <c r="AN2697" s="2" t="s">
        <v>179</v>
      </c>
      <c r="AO2697" s="2" t="s">
        <v>987</v>
      </c>
      <c r="AP2697" s="2">
        <v>11</v>
      </c>
      <c r="AQ2697" s="2" t="s">
        <v>82</v>
      </c>
      <c r="AR2697" s="2"/>
      <c r="AS2697" s="2"/>
      <c r="AT2697" s="2" t="s">
        <v>8978</v>
      </c>
      <c r="AU2697" s="2"/>
      <c r="AV2697" s="2">
        <v>1</v>
      </c>
      <c r="AW2697" s="2"/>
      <c r="AX2697" s="2"/>
      <c r="AY2697" s="2">
        <v>42</v>
      </c>
      <c r="AZ2697" s="2" t="s">
        <v>182</v>
      </c>
      <c r="BA2697" s="2">
        <v>41</v>
      </c>
      <c r="BB2697" s="2" t="s">
        <v>82</v>
      </c>
      <c r="BC2697" s="2">
        <v>41</v>
      </c>
      <c r="BD2697" s="2" t="s">
        <v>82</v>
      </c>
      <c r="BE2697" s="2">
        <v>6</v>
      </c>
      <c r="BF2697" s="2" t="s">
        <v>616</v>
      </c>
      <c r="BG2697" s="2" t="s">
        <v>1599</v>
      </c>
      <c r="BH2697" s="4">
        <v>0</v>
      </c>
      <c r="BI2697" s="4">
        <v>0.87152777777777779</v>
      </c>
      <c r="BJ2697" s="2">
        <v>13</v>
      </c>
      <c r="BK2697" s="2" t="s">
        <v>91</v>
      </c>
      <c r="BL2697" s="2" t="s">
        <v>360</v>
      </c>
      <c r="BM2697" s="2">
        <v>4</v>
      </c>
      <c r="BN2697" s="2" t="s">
        <v>618</v>
      </c>
      <c r="BO2697" s="2" t="s">
        <v>619</v>
      </c>
      <c r="BP2697" s="2">
        <v>24</v>
      </c>
      <c r="BQ2697" s="2" t="s">
        <v>6738</v>
      </c>
      <c r="BR2697" s="2" t="s">
        <v>6739</v>
      </c>
      <c r="BS2697" s="3">
        <v>40358</v>
      </c>
      <c r="BT2697" s="4">
        <v>0.25305555555555553</v>
      </c>
    </row>
    <row r="2698" spans="1:72" x14ac:dyDescent="0.25">
      <c r="A2698" s="2">
        <v>3917</v>
      </c>
      <c r="B2698" s="2">
        <v>2010</v>
      </c>
      <c r="C2698" s="2" t="s">
        <v>171</v>
      </c>
      <c r="D2698" s="2" t="s">
        <v>122</v>
      </c>
      <c r="E2698" s="2" t="s">
        <v>8979</v>
      </c>
      <c r="F2698" s="2">
        <v>397</v>
      </c>
      <c r="G2698" s="2" t="s">
        <v>2522</v>
      </c>
      <c r="H2698" s="2">
        <v>11</v>
      </c>
      <c r="I2698" s="2" t="s">
        <v>1397</v>
      </c>
      <c r="J2698" s="2">
        <v>377</v>
      </c>
      <c r="K2698" s="2" t="s">
        <v>1223</v>
      </c>
      <c r="L2698" s="2" t="s">
        <v>1224</v>
      </c>
      <c r="M2698" s="3">
        <v>40358</v>
      </c>
      <c r="N2698" s="2" t="s">
        <v>8976</v>
      </c>
      <c r="O2698" s="2" t="s">
        <v>82</v>
      </c>
      <c r="P2698" s="2" t="s">
        <v>82</v>
      </c>
      <c r="Q2698" s="2" t="str">
        <f>"344-E-10"</f>
        <v>344-E-10</v>
      </c>
      <c r="R2698" s="2" t="s">
        <v>391</v>
      </c>
      <c r="S2698" s="2" t="s">
        <v>82</v>
      </c>
      <c r="T2698" s="2">
        <v>1</v>
      </c>
      <c r="U2698" s="2" t="s">
        <v>79</v>
      </c>
      <c r="V2698" s="2">
        <v>1</v>
      </c>
      <c r="W2698" s="2" t="s">
        <v>80</v>
      </c>
      <c r="X2698" s="2">
        <v>1</v>
      </c>
      <c r="Y2698" s="2" t="s">
        <v>81</v>
      </c>
      <c r="Z2698" s="2">
        <v>1</v>
      </c>
      <c r="AA2698" s="2" t="s">
        <v>82</v>
      </c>
      <c r="AB2698" s="2">
        <v>1</v>
      </c>
      <c r="AC2698" s="2" t="s">
        <v>178</v>
      </c>
      <c r="AD2698" s="3">
        <v>40387</v>
      </c>
      <c r="AE2698" s="4">
        <v>0.84375</v>
      </c>
      <c r="AF2698" s="2"/>
      <c r="AG2698" s="2"/>
      <c r="AH2698" s="2">
        <v>2</v>
      </c>
      <c r="AI2698" s="2" t="s">
        <v>84</v>
      </c>
      <c r="AJ2698" s="2">
        <v>9</v>
      </c>
      <c r="AK2698" s="2" t="s">
        <v>103</v>
      </c>
      <c r="AL2698" s="2">
        <v>11</v>
      </c>
      <c r="AM2698" s="2" t="s">
        <v>137</v>
      </c>
      <c r="AN2698" s="2"/>
      <c r="AO2698" s="2" t="s">
        <v>590</v>
      </c>
      <c r="AP2698" s="2">
        <v>11</v>
      </c>
      <c r="AQ2698" s="2" t="s">
        <v>82</v>
      </c>
      <c r="AR2698" s="2"/>
      <c r="AS2698" s="2"/>
      <c r="AT2698" s="2" t="s">
        <v>8980</v>
      </c>
      <c r="AU2698" s="2"/>
      <c r="AV2698" s="2">
        <v>1</v>
      </c>
      <c r="AW2698" s="2"/>
      <c r="AX2698" s="2"/>
      <c r="AY2698" s="2">
        <v>41</v>
      </c>
      <c r="AZ2698" s="2" t="s">
        <v>82</v>
      </c>
      <c r="BA2698" s="2">
        <v>41</v>
      </c>
      <c r="BB2698" s="2" t="s">
        <v>82</v>
      </c>
      <c r="BC2698" s="2">
        <v>41</v>
      </c>
      <c r="BD2698" s="2" t="s">
        <v>82</v>
      </c>
      <c r="BE2698" s="2">
        <v>13</v>
      </c>
      <c r="BF2698" s="2" t="s">
        <v>108</v>
      </c>
      <c r="BG2698" s="2" t="s">
        <v>842</v>
      </c>
      <c r="BH2698" s="2"/>
      <c r="BI2698" s="4">
        <v>0.875</v>
      </c>
      <c r="BJ2698" s="2">
        <v>13</v>
      </c>
      <c r="BK2698" s="2" t="s">
        <v>91</v>
      </c>
      <c r="BL2698" s="2" t="s">
        <v>185</v>
      </c>
      <c r="BM2698" s="2">
        <v>241</v>
      </c>
      <c r="BN2698" s="2" t="s">
        <v>82</v>
      </c>
      <c r="BO2698" s="2" t="s">
        <v>82</v>
      </c>
      <c r="BP2698" s="2">
        <v>73</v>
      </c>
      <c r="BQ2698" s="2" t="s">
        <v>186</v>
      </c>
      <c r="BR2698" s="2" t="s">
        <v>187</v>
      </c>
      <c r="BS2698" s="3">
        <v>40358</v>
      </c>
      <c r="BT2698" s="4">
        <v>0.3626388888888889</v>
      </c>
    </row>
    <row r="2699" spans="1:72" x14ac:dyDescent="0.25">
      <c r="A2699" s="2">
        <v>3918</v>
      </c>
      <c r="B2699" s="2">
        <v>2010</v>
      </c>
      <c r="C2699" s="2" t="s">
        <v>171</v>
      </c>
      <c r="D2699" s="2" t="s">
        <v>122</v>
      </c>
      <c r="E2699" s="2" t="s">
        <v>8981</v>
      </c>
      <c r="F2699" s="2">
        <v>397</v>
      </c>
      <c r="G2699" s="2" t="s">
        <v>2522</v>
      </c>
      <c r="H2699" s="2">
        <v>11</v>
      </c>
      <c r="I2699" s="2" t="s">
        <v>1397</v>
      </c>
      <c r="J2699" s="2">
        <v>377</v>
      </c>
      <c r="K2699" s="2" t="s">
        <v>1223</v>
      </c>
      <c r="L2699" s="2" t="s">
        <v>1224</v>
      </c>
      <c r="M2699" s="3">
        <v>40358</v>
      </c>
      <c r="N2699" s="2" t="s">
        <v>2952</v>
      </c>
      <c r="O2699" s="2"/>
      <c r="P2699" s="2"/>
      <c r="Q2699" s="2" t="str">
        <f>"345-E/10"</f>
        <v>345-E/10</v>
      </c>
      <c r="R2699" s="2" t="s">
        <v>391</v>
      </c>
      <c r="S2699" s="2"/>
      <c r="T2699" s="2">
        <v>1</v>
      </c>
      <c r="U2699" s="2" t="s">
        <v>79</v>
      </c>
      <c r="V2699" s="2">
        <v>1</v>
      </c>
      <c r="W2699" s="2" t="s">
        <v>80</v>
      </c>
      <c r="X2699" s="2">
        <v>1</v>
      </c>
      <c r="Y2699" s="2" t="s">
        <v>81</v>
      </c>
      <c r="Z2699" s="2">
        <v>10</v>
      </c>
      <c r="AA2699" s="2" t="s">
        <v>236</v>
      </c>
      <c r="AB2699" s="2">
        <v>1</v>
      </c>
      <c r="AC2699" s="2" t="s">
        <v>178</v>
      </c>
      <c r="AD2699" s="3">
        <v>40357</v>
      </c>
      <c r="AE2699" s="4">
        <v>0.89583333333333337</v>
      </c>
      <c r="AF2699" s="2"/>
      <c r="AG2699" s="2"/>
      <c r="AH2699" s="2">
        <v>2</v>
      </c>
      <c r="AI2699" s="2" t="s">
        <v>84</v>
      </c>
      <c r="AJ2699" s="2">
        <v>9</v>
      </c>
      <c r="AK2699" s="2" t="s">
        <v>103</v>
      </c>
      <c r="AL2699" s="2">
        <v>14</v>
      </c>
      <c r="AM2699" s="2" t="s">
        <v>216</v>
      </c>
      <c r="AN2699" s="2" t="s">
        <v>8982</v>
      </c>
      <c r="AO2699" s="2" t="s">
        <v>8983</v>
      </c>
      <c r="AP2699" s="2">
        <v>11</v>
      </c>
      <c r="AQ2699" s="2" t="s">
        <v>82</v>
      </c>
      <c r="AR2699" s="2"/>
      <c r="AS2699" s="2"/>
      <c r="AT2699" s="2" t="s">
        <v>8984</v>
      </c>
      <c r="AU2699" s="2"/>
      <c r="AV2699" s="2">
        <v>1</v>
      </c>
      <c r="AW2699" s="2"/>
      <c r="AX2699" s="2"/>
      <c r="AY2699" s="2">
        <v>42</v>
      </c>
      <c r="AZ2699" s="2" t="s">
        <v>182</v>
      </c>
      <c r="BA2699" s="2">
        <v>70</v>
      </c>
      <c r="BB2699" s="2" t="s">
        <v>236</v>
      </c>
      <c r="BC2699" s="2">
        <v>70</v>
      </c>
      <c r="BD2699" s="2" t="s">
        <v>236</v>
      </c>
      <c r="BE2699" s="2">
        <v>6</v>
      </c>
      <c r="BF2699" s="2" t="s">
        <v>616</v>
      </c>
      <c r="BG2699" s="2" t="s">
        <v>1599</v>
      </c>
      <c r="BH2699" s="4">
        <v>0</v>
      </c>
      <c r="BI2699" s="4">
        <v>0.91319444444444453</v>
      </c>
      <c r="BJ2699" s="2">
        <v>13</v>
      </c>
      <c r="BK2699" s="2" t="s">
        <v>91</v>
      </c>
      <c r="BL2699" s="2"/>
      <c r="BM2699" s="2">
        <v>241</v>
      </c>
      <c r="BN2699" s="2" t="s">
        <v>82</v>
      </c>
      <c r="BO2699" s="2"/>
      <c r="BP2699" s="2">
        <v>4</v>
      </c>
      <c r="BQ2699" s="2" t="s">
        <v>618</v>
      </c>
      <c r="BR2699" s="2" t="s">
        <v>8985</v>
      </c>
      <c r="BS2699" s="3">
        <v>40358</v>
      </c>
      <c r="BT2699" s="4">
        <v>0.36450231481481482</v>
      </c>
    </row>
    <row r="2700" spans="1:72" x14ac:dyDescent="0.25">
      <c r="A2700" s="2">
        <v>3920</v>
      </c>
      <c r="B2700" s="2">
        <v>2010</v>
      </c>
      <c r="C2700" s="2" t="s">
        <v>819</v>
      </c>
      <c r="D2700" s="2" t="s">
        <v>122</v>
      </c>
      <c r="E2700" s="2" t="s">
        <v>8986</v>
      </c>
      <c r="F2700" s="2">
        <v>425</v>
      </c>
      <c r="G2700" s="2" t="s">
        <v>286</v>
      </c>
      <c r="H2700" s="2">
        <v>39</v>
      </c>
      <c r="I2700" s="2" t="s">
        <v>1117</v>
      </c>
      <c r="J2700" s="2">
        <v>310</v>
      </c>
      <c r="K2700" s="2" t="s">
        <v>288</v>
      </c>
      <c r="L2700" s="2" t="s">
        <v>289</v>
      </c>
      <c r="M2700" s="3">
        <v>40358</v>
      </c>
      <c r="N2700" s="2" t="s">
        <v>2049</v>
      </c>
      <c r="O2700" s="2"/>
      <c r="P2700" s="2"/>
      <c r="Q2700" s="2" t="str">
        <f>"078/10"</f>
        <v>078/10</v>
      </c>
      <c r="R2700" s="2" t="s">
        <v>822</v>
      </c>
      <c r="S2700" s="2"/>
      <c r="T2700" s="2">
        <v>1</v>
      </c>
      <c r="U2700" s="2" t="s">
        <v>79</v>
      </c>
      <c r="V2700" s="2">
        <v>1</v>
      </c>
      <c r="W2700" s="2" t="s">
        <v>80</v>
      </c>
      <c r="X2700" s="2">
        <v>1</v>
      </c>
      <c r="Y2700" s="2" t="s">
        <v>81</v>
      </c>
      <c r="Z2700" s="2">
        <v>10</v>
      </c>
      <c r="AA2700" s="2" t="s">
        <v>236</v>
      </c>
      <c r="AB2700" s="2">
        <v>9</v>
      </c>
      <c r="AC2700" s="2" t="s">
        <v>124</v>
      </c>
      <c r="AD2700" s="3">
        <v>40358</v>
      </c>
      <c r="AE2700" s="4">
        <v>0.41666666666666669</v>
      </c>
      <c r="AF2700" s="2"/>
      <c r="AG2700" s="2"/>
      <c r="AH2700" s="2">
        <v>4</v>
      </c>
      <c r="AI2700" s="2" t="s">
        <v>125</v>
      </c>
      <c r="AJ2700" s="2">
        <v>29</v>
      </c>
      <c r="AK2700" s="2" t="s">
        <v>227</v>
      </c>
      <c r="AL2700" s="2">
        <v>16</v>
      </c>
      <c r="AM2700" s="2" t="s">
        <v>392</v>
      </c>
      <c r="AN2700" s="2" t="s">
        <v>3040</v>
      </c>
      <c r="AO2700" s="2" t="s">
        <v>5383</v>
      </c>
      <c r="AP2700" s="2">
        <v>12</v>
      </c>
      <c r="AQ2700" s="2" t="s">
        <v>322</v>
      </c>
      <c r="AR2700" s="2" t="s">
        <v>824</v>
      </c>
      <c r="AS2700" s="2" t="s">
        <v>825</v>
      </c>
      <c r="AT2700" s="2" t="s">
        <v>8987</v>
      </c>
      <c r="AU2700" s="2"/>
      <c r="AV2700" s="2"/>
      <c r="AW2700" s="2"/>
      <c r="AX2700" s="2"/>
      <c r="AY2700" s="2">
        <v>41</v>
      </c>
      <c r="AZ2700" s="2" t="s">
        <v>82</v>
      </c>
      <c r="BA2700" s="2">
        <v>41</v>
      </c>
      <c r="BB2700" s="2" t="s">
        <v>82</v>
      </c>
      <c r="BC2700" s="2">
        <v>51</v>
      </c>
      <c r="BD2700" s="2" t="s">
        <v>827</v>
      </c>
      <c r="BE2700" s="2">
        <v>47</v>
      </c>
      <c r="BF2700" s="2" t="s">
        <v>167</v>
      </c>
      <c r="BG2700" s="2">
        <v>2459</v>
      </c>
      <c r="BH2700" s="4">
        <v>0.92361111111111116</v>
      </c>
      <c r="BI2700" s="4">
        <v>0.94791666666666663</v>
      </c>
      <c r="BJ2700" s="2">
        <v>13</v>
      </c>
      <c r="BK2700" s="2" t="s">
        <v>91</v>
      </c>
      <c r="BL2700" s="2" t="s">
        <v>828</v>
      </c>
      <c r="BM2700" s="2">
        <v>241</v>
      </c>
      <c r="BN2700" s="2" t="s">
        <v>82</v>
      </c>
      <c r="BO2700" s="2" t="s">
        <v>82</v>
      </c>
      <c r="BP2700" s="2">
        <v>13</v>
      </c>
      <c r="BQ2700" s="2" t="s">
        <v>91</v>
      </c>
      <c r="BR2700" s="2" t="s">
        <v>185</v>
      </c>
      <c r="BS2700" s="3">
        <v>40358</v>
      </c>
      <c r="BT2700" s="4">
        <v>0.42237268518518517</v>
      </c>
    </row>
    <row r="2701" spans="1:72" x14ac:dyDescent="0.25">
      <c r="A2701" s="2">
        <v>3921</v>
      </c>
      <c r="B2701" s="2">
        <v>2010</v>
      </c>
      <c r="C2701" s="2" t="s">
        <v>171</v>
      </c>
      <c r="D2701" s="2" t="s">
        <v>73</v>
      </c>
      <c r="E2701" s="2"/>
      <c r="F2701" s="2">
        <v>499</v>
      </c>
      <c r="G2701" s="2" t="s">
        <v>2177</v>
      </c>
      <c r="H2701" s="2">
        <v>7</v>
      </c>
      <c r="I2701" s="2" t="s">
        <v>476</v>
      </c>
      <c r="J2701" s="2">
        <v>165</v>
      </c>
      <c r="K2701" s="2" t="s">
        <v>8586</v>
      </c>
      <c r="L2701" s="2" t="s">
        <v>8587</v>
      </c>
      <c r="M2701" s="3">
        <v>40358</v>
      </c>
      <c r="N2701" s="2" t="s">
        <v>8988</v>
      </c>
      <c r="O2701" s="2"/>
      <c r="P2701" s="2"/>
      <c r="Q2701" s="2" t="str">
        <f>"237-A/10"</f>
        <v>237-A/10</v>
      </c>
      <c r="R2701" s="2"/>
      <c r="S2701" s="2" t="s">
        <v>1035</v>
      </c>
      <c r="T2701" s="2">
        <v>1</v>
      </c>
      <c r="U2701" s="2" t="s">
        <v>79</v>
      </c>
      <c r="V2701" s="2">
        <v>1</v>
      </c>
      <c r="W2701" s="2" t="s">
        <v>80</v>
      </c>
      <c r="X2701" s="2">
        <v>1</v>
      </c>
      <c r="Y2701" s="2" t="s">
        <v>81</v>
      </c>
      <c r="Z2701" s="2">
        <v>1</v>
      </c>
      <c r="AA2701" s="2" t="s">
        <v>82</v>
      </c>
      <c r="AB2701" s="2">
        <v>1</v>
      </c>
      <c r="AC2701" s="2" t="s">
        <v>178</v>
      </c>
      <c r="AD2701" s="3">
        <v>40358</v>
      </c>
      <c r="AE2701" s="4">
        <v>0.375</v>
      </c>
      <c r="AF2701" s="2"/>
      <c r="AG2701" s="2"/>
      <c r="AH2701" s="2">
        <v>2</v>
      </c>
      <c r="AI2701" s="2" t="s">
        <v>84</v>
      </c>
      <c r="AJ2701" s="2">
        <v>12</v>
      </c>
      <c r="AK2701" s="2" t="s">
        <v>85</v>
      </c>
      <c r="AL2701" s="2">
        <v>11</v>
      </c>
      <c r="AM2701" s="2" t="s">
        <v>137</v>
      </c>
      <c r="AN2701" s="2" t="s">
        <v>919</v>
      </c>
      <c r="AO2701" s="2" t="s">
        <v>8693</v>
      </c>
      <c r="AP2701" s="2">
        <v>11</v>
      </c>
      <c r="AQ2701" s="2" t="s">
        <v>82</v>
      </c>
      <c r="AR2701" s="2"/>
      <c r="AS2701" s="2"/>
      <c r="AT2701" s="2" t="s">
        <v>8989</v>
      </c>
      <c r="AU2701" s="2">
        <v>1</v>
      </c>
      <c r="AV2701" s="2"/>
      <c r="AW2701" s="2"/>
      <c r="AX2701" s="2"/>
      <c r="AY2701" s="2">
        <v>41</v>
      </c>
      <c r="AZ2701" s="2" t="s">
        <v>82</v>
      </c>
      <c r="BA2701" s="2">
        <v>41</v>
      </c>
      <c r="BB2701" s="2" t="s">
        <v>82</v>
      </c>
      <c r="BC2701" s="2">
        <v>41</v>
      </c>
      <c r="BD2701" s="2" t="s">
        <v>82</v>
      </c>
      <c r="BE2701" s="2">
        <v>47</v>
      </c>
      <c r="BF2701" s="2" t="s">
        <v>167</v>
      </c>
      <c r="BG2701" s="2" t="s">
        <v>8990</v>
      </c>
      <c r="BH2701" s="4">
        <v>0.54166666666666663</v>
      </c>
      <c r="BI2701" s="4">
        <v>0.38194444444444442</v>
      </c>
      <c r="BJ2701" s="2">
        <v>13</v>
      </c>
      <c r="BK2701" s="2" t="s">
        <v>91</v>
      </c>
      <c r="BL2701" s="2" t="s">
        <v>564</v>
      </c>
      <c r="BM2701" s="2">
        <v>241</v>
      </c>
      <c r="BN2701" s="2" t="s">
        <v>82</v>
      </c>
      <c r="BO2701" s="2" t="s">
        <v>82</v>
      </c>
      <c r="BP2701" s="2">
        <v>13</v>
      </c>
      <c r="BQ2701" s="2" t="s">
        <v>91</v>
      </c>
      <c r="BR2701" s="2" t="s">
        <v>895</v>
      </c>
      <c r="BS2701" s="3">
        <v>40358</v>
      </c>
      <c r="BT2701" s="4">
        <v>0.51142361111111112</v>
      </c>
    </row>
    <row r="2702" spans="1:72" x14ac:dyDescent="0.25">
      <c r="A2702" s="2">
        <v>3922</v>
      </c>
      <c r="B2702" s="2">
        <v>2010</v>
      </c>
      <c r="C2702" s="2" t="s">
        <v>819</v>
      </c>
      <c r="D2702" s="2" t="s">
        <v>122</v>
      </c>
      <c r="E2702" s="2" t="s">
        <v>8991</v>
      </c>
      <c r="F2702" s="2">
        <v>518</v>
      </c>
      <c r="G2702" s="2" t="s">
        <v>4664</v>
      </c>
      <c r="H2702" s="2">
        <v>22</v>
      </c>
      <c r="I2702" s="2" t="s">
        <v>75</v>
      </c>
      <c r="J2702" s="2">
        <v>436</v>
      </c>
      <c r="K2702" s="2" t="s">
        <v>4665</v>
      </c>
      <c r="L2702" s="2" t="s">
        <v>4666</v>
      </c>
      <c r="M2702" s="3">
        <v>40358</v>
      </c>
      <c r="N2702" s="2" t="s">
        <v>4667</v>
      </c>
      <c r="O2702" s="2" t="s">
        <v>8570</v>
      </c>
      <c r="P2702" s="2" t="s">
        <v>8571</v>
      </c>
      <c r="Q2702" s="2" t="str">
        <f>"N/C"</f>
        <v>N/C</v>
      </c>
      <c r="R2702" s="2" t="s">
        <v>82</v>
      </c>
      <c r="S2702" s="2" t="s">
        <v>82</v>
      </c>
      <c r="T2702" s="2">
        <v>1</v>
      </c>
      <c r="U2702" s="2" t="s">
        <v>79</v>
      </c>
      <c r="V2702" s="2">
        <v>3</v>
      </c>
      <c r="W2702" s="2" t="s">
        <v>225</v>
      </c>
      <c r="X2702" s="2">
        <v>5</v>
      </c>
      <c r="Y2702" s="2" t="s">
        <v>82</v>
      </c>
      <c r="Z2702" s="2">
        <v>4</v>
      </c>
      <c r="AA2702" s="2" t="s">
        <v>182</v>
      </c>
      <c r="AB2702" s="2">
        <v>9</v>
      </c>
      <c r="AC2702" s="2" t="s">
        <v>124</v>
      </c>
      <c r="AD2702" s="3">
        <v>40357</v>
      </c>
      <c r="AE2702" s="4">
        <v>0.41666666666666669</v>
      </c>
      <c r="AF2702" s="2"/>
      <c r="AG2702" s="2"/>
      <c r="AH2702" s="2">
        <v>5</v>
      </c>
      <c r="AI2702" s="2" t="s">
        <v>274</v>
      </c>
      <c r="AJ2702" s="2">
        <v>45</v>
      </c>
      <c r="AK2702" s="2" t="s">
        <v>834</v>
      </c>
      <c r="AL2702" s="2">
        <v>19</v>
      </c>
      <c r="AM2702" s="2" t="s">
        <v>107</v>
      </c>
      <c r="AN2702" s="2" t="s">
        <v>82</v>
      </c>
      <c r="AO2702" s="2" t="s">
        <v>82</v>
      </c>
      <c r="AP2702" s="2">
        <v>11</v>
      </c>
      <c r="AQ2702" s="2" t="s">
        <v>82</v>
      </c>
      <c r="AR2702" s="2" t="s">
        <v>82</v>
      </c>
      <c r="AS2702" s="2" t="s">
        <v>82</v>
      </c>
      <c r="AT2702" s="2" t="s">
        <v>8992</v>
      </c>
      <c r="AU2702" s="2"/>
      <c r="AV2702" s="2"/>
      <c r="AW2702" s="2"/>
      <c r="AX2702" s="2"/>
      <c r="AY2702" s="2">
        <v>42</v>
      </c>
      <c r="AZ2702" s="2" t="s">
        <v>182</v>
      </c>
      <c r="BA2702" s="2">
        <v>42</v>
      </c>
      <c r="BB2702" s="2" t="s">
        <v>182</v>
      </c>
      <c r="BC2702" s="2">
        <v>41</v>
      </c>
      <c r="BD2702" s="2" t="s">
        <v>82</v>
      </c>
      <c r="BE2702" s="2">
        <v>41</v>
      </c>
      <c r="BF2702" s="2" t="s">
        <v>82</v>
      </c>
      <c r="BG2702" s="2" t="s">
        <v>82</v>
      </c>
      <c r="BH2702" s="2"/>
      <c r="BI2702" s="2"/>
      <c r="BJ2702" s="2">
        <v>241</v>
      </c>
      <c r="BK2702" s="2" t="s">
        <v>82</v>
      </c>
      <c r="BL2702" s="2" t="s">
        <v>82</v>
      </c>
      <c r="BM2702" s="2">
        <v>241</v>
      </c>
      <c r="BN2702" s="2" t="s">
        <v>82</v>
      </c>
      <c r="BO2702" s="2" t="s">
        <v>82</v>
      </c>
      <c r="BP2702" s="2">
        <v>241</v>
      </c>
      <c r="BQ2702" s="2" t="s">
        <v>82</v>
      </c>
      <c r="BR2702" s="2" t="s">
        <v>82</v>
      </c>
      <c r="BS2702" s="3">
        <v>40358</v>
      </c>
      <c r="BT2702" s="4">
        <v>0.54552083333333334</v>
      </c>
    </row>
    <row r="2703" spans="1:72" x14ac:dyDescent="0.25">
      <c r="A2703" s="2">
        <v>3923</v>
      </c>
      <c r="B2703" s="2">
        <v>2010</v>
      </c>
      <c r="C2703" s="2" t="s">
        <v>72</v>
      </c>
      <c r="D2703" s="2" t="s">
        <v>122</v>
      </c>
      <c r="E2703" s="2" t="s">
        <v>8993</v>
      </c>
      <c r="F2703" s="2">
        <v>3</v>
      </c>
      <c r="G2703" s="2" t="s">
        <v>1041</v>
      </c>
      <c r="H2703" s="2">
        <v>108</v>
      </c>
      <c r="I2703" s="2" t="s">
        <v>1096</v>
      </c>
      <c r="J2703" s="2">
        <v>368</v>
      </c>
      <c r="K2703" s="2" t="s">
        <v>1042</v>
      </c>
      <c r="L2703" s="2" t="s">
        <v>1043</v>
      </c>
      <c r="M2703" s="3">
        <v>40358</v>
      </c>
      <c r="N2703" s="2" t="s">
        <v>107</v>
      </c>
      <c r="O2703" s="2"/>
      <c r="P2703" s="2" t="s">
        <v>107</v>
      </c>
      <c r="Q2703" s="2" t="str">
        <f>"311-E/10"</f>
        <v>311-E/10</v>
      </c>
      <c r="R2703" s="2" t="s">
        <v>4823</v>
      </c>
      <c r="S2703" s="2" t="s">
        <v>4823</v>
      </c>
      <c r="T2703" s="2">
        <v>1</v>
      </c>
      <c r="U2703" s="2" t="s">
        <v>79</v>
      </c>
      <c r="V2703" s="2">
        <v>1</v>
      </c>
      <c r="W2703" s="2" t="s">
        <v>80</v>
      </c>
      <c r="X2703" s="2">
        <v>1</v>
      </c>
      <c r="Y2703" s="2" t="s">
        <v>81</v>
      </c>
      <c r="Z2703" s="2">
        <v>1</v>
      </c>
      <c r="AA2703" s="2" t="s">
        <v>82</v>
      </c>
      <c r="AB2703" s="2">
        <v>6</v>
      </c>
      <c r="AC2703" s="2" t="s">
        <v>83</v>
      </c>
      <c r="AD2703" s="3">
        <v>40374</v>
      </c>
      <c r="AE2703" s="4">
        <v>0.27083333333333331</v>
      </c>
      <c r="AF2703" s="2"/>
      <c r="AG2703" s="2"/>
      <c r="AH2703" s="2">
        <v>2</v>
      </c>
      <c r="AI2703" s="2" t="s">
        <v>84</v>
      </c>
      <c r="AJ2703" s="2">
        <v>9</v>
      </c>
      <c r="AK2703" s="2" t="s">
        <v>103</v>
      </c>
      <c r="AL2703" s="2">
        <v>12</v>
      </c>
      <c r="AM2703" s="2" t="s">
        <v>86</v>
      </c>
      <c r="AN2703" s="2" t="s">
        <v>8226</v>
      </c>
      <c r="AO2703" s="2"/>
      <c r="AP2703" s="2">
        <v>11</v>
      </c>
      <c r="AQ2703" s="2" t="s">
        <v>82</v>
      </c>
      <c r="AR2703" s="2"/>
      <c r="AS2703" s="2"/>
      <c r="AT2703" s="2" t="s">
        <v>8994</v>
      </c>
      <c r="AU2703" s="2"/>
      <c r="AV2703" s="2"/>
      <c r="AW2703" s="2">
        <v>1</v>
      </c>
      <c r="AX2703" s="2"/>
      <c r="AY2703" s="2">
        <v>41</v>
      </c>
      <c r="AZ2703" s="2" t="s">
        <v>82</v>
      </c>
      <c r="BA2703" s="2">
        <v>41</v>
      </c>
      <c r="BB2703" s="2" t="s">
        <v>82</v>
      </c>
      <c r="BC2703" s="2">
        <v>41</v>
      </c>
      <c r="BD2703" s="2" t="s">
        <v>82</v>
      </c>
      <c r="BE2703" s="2">
        <v>8</v>
      </c>
      <c r="BF2703" s="2" t="s">
        <v>3465</v>
      </c>
      <c r="BG2703" s="2" t="s">
        <v>3466</v>
      </c>
      <c r="BH2703" s="4">
        <v>0.45833333333333331</v>
      </c>
      <c r="BI2703" s="2"/>
      <c r="BJ2703" s="2">
        <v>244</v>
      </c>
      <c r="BK2703" s="2" t="s">
        <v>1236</v>
      </c>
      <c r="BL2703" s="2" t="s">
        <v>1237</v>
      </c>
      <c r="BM2703" s="2">
        <v>241</v>
      </c>
      <c r="BN2703" s="2" t="s">
        <v>82</v>
      </c>
      <c r="BO2703" s="2"/>
      <c r="BP2703" s="2">
        <v>13</v>
      </c>
      <c r="BQ2703" s="2" t="s">
        <v>91</v>
      </c>
      <c r="BR2703" s="2" t="s">
        <v>185</v>
      </c>
      <c r="BS2703" s="3">
        <v>40358</v>
      </c>
      <c r="BT2703" s="4">
        <v>0.55078703703703702</v>
      </c>
    </row>
    <row r="2704" spans="1:72" x14ac:dyDescent="0.25">
      <c r="A2704" s="2">
        <v>3925</v>
      </c>
      <c r="B2704" s="2">
        <v>2010</v>
      </c>
      <c r="C2704" s="2" t="s">
        <v>4543</v>
      </c>
      <c r="D2704" s="2" t="s">
        <v>122</v>
      </c>
      <c r="E2704" s="2"/>
      <c r="F2704" s="2">
        <v>49</v>
      </c>
      <c r="G2704" s="2" t="s">
        <v>4412</v>
      </c>
      <c r="H2704" s="2">
        <v>42</v>
      </c>
      <c r="I2704" s="2" t="s">
        <v>1096</v>
      </c>
      <c r="J2704" s="2">
        <v>85</v>
      </c>
      <c r="K2704" s="2" t="s">
        <v>4413</v>
      </c>
      <c r="L2704" s="2" t="s">
        <v>4414</v>
      </c>
      <c r="M2704" s="3">
        <v>40358</v>
      </c>
      <c r="N2704" s="2" t="s">
        <v>8995</v>
      </c>
      <c r="O2704" s="2" t="s">
        <v>8996</v>
      </c>
      <c r="P2704" s="2" t="s">
        <v>8997</v>
      </c>
      <c r="Q2704" s="2" t="str">
        <f>"EXPTE N° P2-33842/10"</f>
        <v>EXPTE N° P2-33842/10</v>
      </c>
      <c r="R2704" s="2"/>
      <c r="S2704" s="2" t="s">
        <v>8998</v>
      </c>
      <c r="T2704" s="2">
        <v>2</v>
      </c>
      <c r="U2704" s="2" t="s">
        <v>123</v>
      </c>
      <c r="V2704" s="2">
        <v>1</v>
      </c>
      <c r="W2704" s="2" t="s">
        <v>80</v>
      </c>
      <c r="X2704" s="2">
        <v>5</v>
      </c>
      <c r="Y2704" s="2" t="s">
        <v>82</v>
      </c>
      <c r="Z2704" s="2">
        <v>1</v>
      </c>
      <c r="AA2704" s="2" t="s">
        <v>82</v>
      </c>
      <c r="AB2704" s="2">
        <v>9</v>
      </c>
      <c r="AC2704" s="2" t="s">
        <v>124</v>
      </c>
      <c r="AD2704" s="3">
        <v>40358</v>
      </c>
      <c r="AE2704" s="4">
        <v>0.625</v>
      </c>
      <c r="AF2704" s="2"/>
      <c r="AG2704" s="2"/>
      <c r="AH2704" s="2">
        <v>3</v>
      </c>
      <c r="AI2704" s="2" t="s">
        <v>214</v>
      </c>
      <c r="AJ2704" s="2">
        <v>22</v>
      </c>
      <c r="AK2704" s="2" t="s">
        <v>4818</v>
      </c>
      <c r="AL2704" s="2">
        <v>19</v>
      </c>
      <c r="AM2704" s="2" t="s">
        <v>107</v>
      </c>
      <c r="AN2704" s="2"/>
      <c r="AO2704" s="2"/>
      <c r="AP2704" s="2">
        <v>11</v>
      </c>
      <c r="AQ2704" s="2" t="s">
        <v>82</v>
      </c>
      <c r="AR2704" s="2"/>
      <c r="AS2704" s="2"/>
      <c r="AT2704" s="2" t="s">
        <v>8999</v>
      </c>
      <c r="AU2704" s="2"/>
      <c r="AV2704" s="2">
        <v>1</v>
      </c>
      <c r="AW2704" s="2"/>
      <c r="AX2704" s="2"/>
      <c r="AY2704" s="2">
        <v>1</v>
      </c>
      <c r="AZ2704" s="2" t="s">
        <v>107</v>
      </c>
      <c r="BA2704" s="2">
        <v>1</v>
      </c>
      <c r="BB2704" s="2" t="s">
        <v>107</v>
      </c>
      <c r="BC2704" s="2">
        <v>1</v>
      </c>
      <c r="BD2704" s="2" t="s">
        <v>107</v>
      </c>
      <c r="BE2704" s="2">
        <v>13</v>
      </c>
      <c r="BF2704" s="2" t="s">
        <v>108</v>
      </c>
      <c r="BG2704" s="2">
        <v>1481</v>
      </c>
      <c r="BH2704" s="4">
        <v>0.71875</v>
      </c>
      <c r="BI2704" s="4">
        <v>0.66319444444444442</v>
      </c>
      <c r="BJ2704" s="2">
        <v>13</v>
      </c>
      <c r="BK2704" s="2" t="s">
        <v>91</v>
      </c>
      <c r="BL2704" s="2" t="s">
        <v>9000</v>
      </c>
      <c r="BM2704" s="2">
        <v>242</v>
      </c>
      <c r="BN2704" s="2" t="s">
        <v>107</v>
      </c>
      <c r="BO2704" s="2"/>
      <c r="BP2704" s="2">
        <v>13</v>
      </c>
      <c r="BQ2704" s="2" t="s">
        <v>91</v>
      </c>
      <c r="BR2704" s="2" t="s">
        <v>5296</v>
      </c>
      <c r="BS2704" s="3">
        <v>40358</v>
      </c>
      <c r="BT2704" s="4">
        <v>0.65118055555555554</v>
      </c>
    </row>
    <row r="2705" spans="1:72" x14ac:dyDescent="0.25">
      <c r="A2705" s="2">
        <v>3930</v>
      </c>
      <c r="B2705" s="2">
        <v>2010</v>
      </c>
      <c r="C2705" s="2" t="s">
        <v>255</v>
      </c>
      <c r="D2705" s="2" t="s">
        <v>73</v>
      </c>
      <c r="E2705" s="2"/>
      <c r="F2705" s="2">
        <v>24</v>
      </c>
      <c r="G2705" s="2" t="s">
        <v>532</v>
      </c>
      <c r="H2705" s="2">
        <v>22</v>
      </c>
      <c r="I2705" s="2" t="s">
        <v>75</v>
      </c>
      <c r="J2705" s="2">
        <v>300</v>
      </c>
      <c r="K2705" s="2" t="s">
        <v>114</v>
      </c>
      <c r="L2705" s="2" t="s">
        <v>115</v>
      </c>
      <c r="M2705" s="3">
        <v>40358</v>
      </c>
      <c r="N2705" s="2"/>
      <c r="O2705" s="2"/>
      <c r="P2705" s="2"/>
      <c r="Q2705" s="2" t="str">
        <f>"346-E/10"</f>
        <v>346-E/10</v>
      </c>
      <c r="R2705" s="2" t="s">
        <v>9001</v>
      </c>
      <c r="S2705" s="2"/>
      <c r="T2705" s="2">
        <v>1</v>
      </c>
      <c r="U2705" s="2" t="s">
        <v>79</v>
      </c>
      <c r="V2705" s="2">
        <v>1</v>
      </c>
      <c r="W2705" s="2" t="s">
        <v>80</v>
      </c>
      <c r="X2705" s="2">
        <v>12</v>
      </c>
      <c r="Y2705" s="2" t="s">
        <v>148</v>
      </c>
      <c r="Z2705" s="2">
        <v>1</v>
      </c>
      <c r="AA2705" s="2" t="s">
        <v>82</v>
      </c>
      <c r="AB2705" s="2">
        <v>9</v>
      </c>
      <c r="AC2705" s="2" t="s">
        <v>124</v>
      </c>
      <c r="AD2705" s="2"/>
      <c r="AE2705" s="2"/>
      <c r="AF2705" s="3">
        <v>40358</v>
      </c>
      <c r="AG2705" s="4">
        <v>0.64583333333333337</v>
      </c>
      <c r="AH2705" s="2">
        <v>2</v>
      </c>
      <c r="AI2705" s="2" t="s">
        <v>84</v>
      </c>
      <c r="AJ2705" s="2">
        <v>9</v>
      </c>
      <c r="AK2705" s="2" t="s">
        <v>103</v>
      </c>
      <c r="AL2705" s="2">
        <v>21</v>
      </c>
      <c r="AM2705" s="2" t="s">
        <v>1311</v>
      </c>
      <c r="AN2705" s="2"/>
      <c r="AO2705" s="2" t="s">
        <v>9002</v>
      </c>
      <c r="AP2705" s="2">
        <v>11</v>
      </c>
      <c r="AQ2705" s="2" t="s">
        <v>82</v>
      </c>
      <c r="AR2705" s="2"/>
      <c r="AS2705" s="2"/>
      <c r="AT2705" s="2" t="s">
        <v>9003</v>
      </c>
      <c r="AU2705" s="2"/>
      <c r="AV2705" s="2"/>
      <c r="AW2705" s="2"/>
      <c r="AX2705" s="2"/>
      <c r="AY2705" s="2">
        <v>41</v>
      </c>
      <c r="AZ2705" s="2" t="s">
        <v>82</v>
      </c>
      <c r="BA2705" s="2">
        <v>41</v>
      </c>
      <c r="BB2705" s="2" t="s">
        <v>82</v>
      </c>
      <c r="BC2705" s="2">
        <v>41</v>
      </c>
      <c r="BD2705" s="2" t="s">
        <v>82</v>
      </c>
      <c r="BE2705" s="2">
        <v>41</v>
      </c>
      <c r="BF2705" s="2" t="s">
        <v>82</v>
      </c>
      <c r="BG2705" s="2"/>
      <c r="BH2705" s="2"/>
      <c r="BI2705" s="2"/>
      <c r="BJ2705" s="2">
        <v>241</v>
      </c>
      <c r="BK2705" s="2" t="s">
        <v>82</v>
      </c>
      <c r="BL2705" s="2"/>
      <c r="BM2705" s="2">
        <v>241</v>
      </c>
      <c r="BN2705" s="2" t="s">
        <v>82</v>
      </c>
      <c r="BO2705" s="2"/>
      <c r="BP2705" s="2">
        <v>241</v>
      </c>
      <c r="BQ2705" s="2" t="s">
        <v>82</v>
      </c>
      <c r="BR2705" s="2"/>
      <c r="BS2705" s="3">
        <v>40358</v>
      </c>
      <c r="BT2705" s="4">
        <v>0.73259259259259257</v>
      </c>
    </row>
    <row r="2706" spans="1:72" x14ac:dyDescent="0.25">
      <c r="A2706" s="2">
        <v>3932</v>
      </c>
      <c r="B2706" s="2">
        <v>2010</v>
      </c>
      <c r="C2706" s="2" t="s">
        <v>819</v>
      </c>
      <c r="D2706" s="2" t="s">
        <v>122</v>
      </c>
      <c r="E2706" s="2" t="s">
        <v>9004</v>
      </c>
      <c r="F2706" s="2">
        <v>451</v>
      </c>
      <c r="G2706" s="2" t="s">
        <v>879</v>
      </c>
      <c r="H2706" s="2">
        <v>31</v>
      </c>
      <c r="I2706" s="2" t="s">
        <v>880</v>
      </c>
      <c r="J2706" s="2">
        <v>326</v>
      </c>
      <c r="K2706" s="2" t="s">
        <v>881</v>
      </c>
      <c r="L2706" s="2" t="s">
        <v>882</v>
      </c>
      <c r="M2706" s="3">
        <v>40358</v>
      </c>
      <c r="N2706" s="2" t="s">
        <v>7596</v>
      </c>
      <c r="O2706" s="2" t="s">
        <v>3239</v>
      </c>
      <c r="P2706" s="2" t="s">
        <v>1522</v>
      </c>
      <c r="Q2706" s="2" t="str">
        <f>"062/10"</f>
        <v>062/10</v>
      </c>
      <c r="R2706" s="2"/>
      <c r="S2706" s="2" t="s">
        <v>822</v>
      </c>
      <c r="T2706" s="2">
        <v>1</v>
      </c>
      <c r="U2706" s="2" t="s">
        <v>79</v>
      </c>
      <c r="V2706" s="2">
        <v>1</v>
      </c>
      <c r="W2706" s="2" t="s">
        <v>80</v>
      </c>
      <c r="X2706" s="2">
        <v>1</v>
      </c>
      <c r="Y2706" s="2" t="s">
        <v>81</v>
      </c>
      <c r="Z2706" s="2">
        <v>10</v>
      </c>
      <c r="AA2706" s="2" t="s">
        <v>236</v>
      </c>
      <c r="AB2706" s="2">
        <v>9</v>
      </c>
      <c r="AC2706" s="2" t="s">
        <v>124</v>
      </c>
      <c r="AD2706" s="3">
        <v>40358</v>
      </c>
      <c r="AE2706" s="4">
        <v>0.6875</v>
      </c>
      <c r="AF2706" s="2"/>
      <c r="AG2706" s="2"/>
      <c r="AH2706" s="2">
        <v>4</v>
      </c>
      <c r="AI2706" s="2" t="s">
        <v>125</v>
      </c>
      <c r="AJ2706" s="2">
        <v>29</v>
      </c>
      <c r="AK2706" s="2" t="s">
        <v>227</v>
      </c>
      <c r="AL2706" s="2">
        <v>16</v>
      </c>
      <c r="AM2706" s="2" t="s">
        <v>392</v>
      </c>
      <c r="AN2706" s="2" t="s">
        <v>3592</v>
      </c>
      <c r="AO2706" s="2"/>
      <c r="AP2706" s="2">
        <v>12</v>
      </c>
      <c r="AQ2706" s="2" t="s">
        <v>322</v>
      </c>
      <c r="AR2706" s="2" t="s">
        <v>824</v>
      </c>
      <c r="AS2706" s="2" t="s">
        <v>825</v>
      </c>
      <c r="AT2706" s="2" t="s">
        <v>9005</v>
      </c>
      <c r="AU2706" s="2"/>
      <c r="AV2706" s="2"/>
      <c r="AW2706" s="2"/>
      <c r="AX2706" s="2"/>
      <c r="AY2706" s="2">
        <v>41</v>
      </c>
      <c r="AZ2706" s="2" t="s">
        <v>82</v>
      </c>
      <c r="BA2706" s="2">
        <v>41</v>
      </c>
      <c r="BB2706" s="2" t="s">
        <v>82</v>
      </c>
      <c r="BC2706" s="2">
        <v>51</v>
      </c>
      <c r="BD2706" s="2" t="s">
        <v>827</v>
      </c>
      <c r="BE2706" s="2">
        <v>47</v>
      </c>
      <c r="BF2706" s="2" t="s">
        <v>167</v>
      </c>
      <c r="BG2706" s="2">
        <v>2451</v>
      </c>
      <c r="BH2706" s="4">
        <v>0.38194444444444442</v>
      </c>
      <c r="BI2706" s="4">
        <v>0.4236111111111111</v>
      </c>
      <c r="BJ2706" s="2">
        <v>13</v>
      </c>
      <c r="BK2706" s="2" t="s">
        <v>91</v>
      </c>
      <c r="BL2706" s="2" t="s">
        <v>828</v>
      </c>
      <c r="BM2706" s="2">
        <v>241</v>
      </c>
      <c r="BN2706" s="2" t="s">
        <v>82</v>
      </c>
      <c r="BO2706" s="2" t="s">
        <v>82</v>
      </c>
      <c r="BP2706" s="2">
        <v>13</v>
      </c>
      <c r="BQ2706" s="2" t="s">
        <v>91</v>
      </c>
      <c r="BR2706" s="2" t="s">
        <v>1108</v>
      </c>
      <c r="BS2706" s="3">
        <v>40358</v>
      </c>
      <c r="BT2706" s="4">
        <v>0.74135416666666665</v>
      </c>
    </row>
    <row r="2707" spans="1:72" x14ac:dyDescent="0.25">
      <c r="A2707" s="2">
        <v>3934</v>
      </c>
      <c r="B2707" s="2">
        <v>2010</v>
      </c>
      <c r="C2707" s="2" t="s">
        <v>171</v>
      </c>
      <c r="D2707" s="2" t="s">
        <v>73</v>
      </c>
      <c r="E2707" s="2" t="s">
        <v>9006</v>
      </c>
      <c r="F2707" s="2">
        <v>451</v>
      </c>
      <c r="G2707" s="2" t="s">
        <v>879</v>
      </c>
      <c r="H2707" s="2">
        <v>31</v>
      </c>
      <c r="I2707" s="2" t="s">
        <v>880</v>
      </c>
      <c r="J2707" s="2">
        <v>326</v>
      </c>
      <c r="K2707" s="2" t="s">
        <v>881</v>
      </c>
      <c r="L2707" s="2" t="s">
        <v>882</v>
      </c>
      <c r="M2707" s="3">
        <v>40358</v>
      </c>
      <c r="N2707" s="2" t="s">
        <v>3096</v>
      </c>
      <c r="O2707" s="2" t="s">
        <v>3239</v>
      </c>
      <c r="P2707" s="2" t="s">
        <v>9007</v>
      </c>
      <c r="Q2707" s="2" t="str">
        <f>"060/10"</f>
        <v>060/10</v>
      </c>
      <c r="R2707" s="2" t="s">
        <v>822</v>
      </c>
      <c r="S2707" s="2"/>
      <c r="T2707" s="2">
        <v>1</v>
      </c>
      <c r="U2707" s="2" t="s">
        <v>79</v>
      </c>
      <c r="V2707" s="2">
        <v>1</v>
      </c>
      <c r="W2707" s="2" t="s">
        <v>80</v>
      </c>
      <c r="X2707" s="2">
        <v>1</v>
      </c>
      <c r="Y2707" s="2" t="s">
        <v>81</v>
      </c>
      <c r="Z2707" s="2">
        <v>1</v>
      </c>
      <c r="AA2707" s="2" t="s">
        <v>82</v>
      </c>
      <c r="AB2707" s="2">
        <v>1</v>
      </c>
      <c r="AC2707" s="2" t="s">
        <v>178</v>
      </c>
      <c r="AD2707" s="3">
        <v>40358</v>
      </c>
      <c r="AE2707" s="4">
        <v>0.72916666666666663</v>
      </c>
      <c r="AF2707" s="2"/>
      <c r="AG2707" s="2"/>
      <c r="AH2707" s="2">
        <v>4</v>
      </c>
      <c r="AI2707" s="2" t="s">
        <v>125</v>
      </c>
      <c r="AJ2707" s="2">
        <v>29</v>
      </c>
      <c r="AK2707" s="2" t="s">
        <v>227</v>
      </c>
      <c r="AL2707" s="2">
        <v>16</v>
      </c>
      <c r="AM2707" s="2" t="s">
        <v>392</v>
      </c>
      <c r="AN2707" s="2" t="s">
        <v>6877</v>
      </c>
      <c r="AO2707" s="2"/>
      <c r="AP2707" s="2">
        <v>12</v>
      </c>
      <c r="AQ2707" s="2" t="s">
        <v>322</v>
      </c>
      <c r="AR2707" s="2" t="s">
        <v>824</v>
      </c>
      <c r="AS2707" s="2" t="s">
        <v>6942</v>
      </c>
      <c r="AT2707" s="2" t="s">
        <v>9008</v>
      </c>
      <c r="AU2707" s="2"/>
      <c r="AV2707" s="2"/>
      <c r="AW2707" s="2"/>
      <c r="AX2707" s="2"/>
      <c r="AY2707" s="2">
        <v>41</v>
      </c>
      <c r="AZ2707" s="2" t="s">
        <v>82</v>
      </c>
      <c r="BA2707" s="2">
        <v>41</v>
      </c>
      <c r="BB2707" s="2" t="s">
        <v>82</v>
      </c>
      <c r="BC2707" s="2">
        <v>41</v>
      </c>
      <c r="BD2707" s="2" t="s">
        <v>82</v>
      </c>
      <c r="BE2707" s="2">
        <v>13</v>
      </c>
      <c r="BF2707" s="2" t="s">
        <v>108</v>
      </c>
      <c r="BG2707" s="2">
        <v>2459</v>
      </c>
      <c r="BH2707" s="4">
        <v>0.89583333333333337</v>
      </c>
      <c r="BI2707" s="4">
        <v>0.93402777777777779</v>
      </c>
      <c r="BJ2707" s="2">
        <v>13</v>
      </c>
      <c r="BK2707" s="2" t="s">
        <v>91</v>
      </c>
      <c r="BL2707" s="2" t="s">
        <v>828</v>
      </c>
      <c r="BM2707" s="2">
        <v>241</v>
      </c>
      <c r="BN2707" s="2" t="s">
        <v>82</v>
      </c>
      <c r="BO2707" s="2" t="s">
        <v>82</v>
      </c>
      <c r="BP2707" s="2">
        <v>13</v>
      </c>
      <c r="BQ2707" s="2" t="s">
        <v>91</v>
      </c>
      <c r="BR2707" s="2" t="s">
        <v>6944</v>
      </c>
      <c r="BS2707" s="3">
        <v>40358</v>
      </c>
      <c r="BT2707" s="4">
        <v>0.75466435185185177</v>
      </c>
    </row>
    <row r="2708" spans="1:72" x14ac:dyDescent="0.25">
      <c r="A2708" s="2">
        <v>3935</v>
      </c>
      <c r="B2708" s="2">
        <v>2010</v>
      </c>
      <c r="C2708" s="2" t="s">
        <v>93</v>
      </c>
      <c r="D2708" s="2" t="s">
        <v>73</v>
      </c>
      <c r="E2708" s="2"/>
      <c r="F2708" s="2">
        <v>139</v>
      </c>
      <c r="G2708" s="2" t="s">
        <v>9009</v>
      </c>
      <c r="H2708" s="2">
        <v>22</v>
      </c>
      <c r="I2708" s="2" t="s">
        <v>75</v>
      </c>
      <c r="J2708" s="2">
        <v>155</v>
      </c>
      <c r="K2708" s="2" t="s">
        <v>9010</v>
      </c>
      <c r="L2708" s="2" t="s">
        <v>9011</v>
      </c>
      <c r="M2708" s="3">
        <v>40358</v>
      </c>
      <c r="N2708" s="2" t="s">
        <v>9012</v>
      </c>
      <c r="O2708" s="2" t="s">
        <v>9013</v>
      </c>
      <c r="P2708" s="2" t="s">
        <v>9014</v>
      </c>
      <c r="Q2708" s="2" t="str">
        <f>"AP 0031/10"</f>
        <v>AP 0031/10</v>
      </c>
      <c r="R2708" s="2" t="s">
        <v>82</v>
      </c>
      <c r="S2708" s="2" t="s">
        <v>9015</v>
      </c>
      <c r="T2708" s="2">
        <v>1</v>
      </c>
      <c r="U2708" s="2" t="s">
        <v>79</v>
      </c>
      <c r="V2708" s="2">
        <v>1</v>
      </c>
      <c r="W2708" s="2" t="s">
        <v>80</v>
      </c>
      <c r="X2708" s="2">
        <v>1</v>
      </c>
      <c r="Y2708" s="2" t="s">
        <v>81</v>
      </c>
      <c r="Z2708" s="2">
        <v>1</v>
      </c>
      <c r="AA2708" s="2" t="s">
        <v>82</v>
      </c>
      <c r="AB2708" s="2">
        <v>2</v>
      </c>
      <c r="AC2708" s="2" t="s">
        <v>102</v>
      </c>
      <c r="AD2708" s="3">
        <v>40358</v>
      </c>
      <c r="AE2708" s="4">
        <v>0.66666666666666663</v>
      </c>
      <c r="AF2708" s="2"/>
      <c r="AG2708" s="2"/>
      <c r="AH2708" s="2">
        <v>6</v>
      </c>
      <c r="AI2708" s="2" t="s">
        <v>197</v>
      </c>
      <c r="AJ2708" s="2">
        <v>60</v>
      </c>
      <c r="AK2708" s="2" t="s">
        <v>543</v>
      </c>
      <c r="AL2708" s="2">
        <v>11</v>
      </c>
      <c r="AM2708" s="2" t="s">
        <v>137</v>
      </c>
      <c r="AN2708" s="2" t="s">
        <v>9016</v>
      </c>
      <c r="AO2708" s="2" t="s">
        <v>6881</v>
      </c>
      <c r="AP2708" s="2">
        <v>11</v>
      </c>
      <c r="AQ2708" s="2" t="s">
        <v>82</v>
      </c>
      <c r="AR2708" s="2" t="s">
        <v>82</v>
      </c>
      <c r="AS2708" s="2" t="s">
        <v>82</v>
      </c>
      <c r="AT2708" s="2" t="s">
        <v>9017</v>
      </c>
      <c r="AU2708" s="2"/>
      <c r="AV2708" s="2"/>
      <c r="AW2708" s="2"/>
      <c r="AX2708" s="2"/>
      <c r="AY2708" s="2">
        <v>41</v>
      </c>
      <c r="AZ2708" s="2" t="s">
        <v>82</v>
      </c>
      <c r="BA2708" s="2">
        <v>41</v>
      </c>
      <c r="BB2708" s="2" t="s">
        <v>82</v>
      </c>
      <c r="BC2708" s="2">
        <v>41</v>
      </c>
      <c r="BD2708" s="2" t="s">
        <v>82</v>
      </c>
      <c r="BE2708" s="2">
        <v>13</v>
      </c>
      <c r="BF2708" s="2" t="s">
        <v>108</v>
      </c>
      <c r="BG2708" s="2" t="s">
        <v>8086</v>
      </c>
      <c r="BH2708" s="2"/>
      <c r="BI2708" s="4">
        <v>0.69791666666666663</v>
      </c>
      <c r="BJ2708" s="2">
        <v>13</v>
      </c>
      <c r="BK2708" s="2" t="s">
        <v>91</v>
      </c>
      <c r="BL2708" s="2" t="s">
        <v>895</v>
      </c>
      <c r="BM2708" s="2">
        <v>241</v>
      </c>
      <c r="BN2708" s="2" t="s">
        <v>82</v>
      </c>
      <c r="BO2708" s="2" t="s">
        <v>82</v>
      </c>
      <c r="BP2708" s="2">
        <v>13</v>
      </c>
      <c r="BQ2708" s="2" t="s">
        <v>91</v>
      </c>
      <c r="BR2708" s="2" t="s">
        <v>170</v>
      </c>
      <c r="BS2708" s="3">
        <v>40358</v>
      </c>
      <c r="BT2708" s="4">
        <v>0.75930555555555557</v>
      </c>
    </row>
    <row r="2709" spans="1:72" x14ac:dyDescent="0.25">
      <c r="A2709" s="2">
        <v>3937</v>
      </c>
      <c r="B2709" s="2">
        <v>2010</v>
      </c>
      <c r="C2709" s="2" t="s">
        <v>72</v>
      </c>
      <c r="D2709" s="2" t="s">
        <v>73</v>
      </c>
      <c r="E2709" s="2"/>
      <c r="F2709" s="2">
        <v>170</v>
      </c>
      <c r="G2709" s="2" t="s">
        <v>7892</v>
      </c>
      <c r="H2709" s="2">
        <v>42</v>
      </c>
      <c r="I2709" s="2" t="s">
        <v>1096</v>
      </c>
      <c r="J2709" s="2">
        <v>550</v>
      </c>
      <c r="K2709" s="2" t="s">
        <v>6744</v>
      </c>
      <c r="L2709" s="2" t="s">
        <v>6745</v>
      </c>
      <c r="M2709" s="3">
        <v>40358</v>
      </c>
      <c r="N2709" s="2" t="s">
        <v>8753</v>
      </c>
      <c r="O2709" s="2" t="s">
        <v>107</v>
      </c>
      <c r="P2709" s="2" t="s">
        <v>107</v>
      </c>
      <c r="Q2709" s="2" t="str">
        <f>"238-A/10"</f>
        <v>238-A/10</v>
      </c>
      <c r="R2709" s="2" t="s">
        <v>78</v>
      </c>
      <c r="S2709" s="2" t="s">
        <v>78</v>
      </c>
      <c r="T2709" s="2">
        <v>1</v>
      </c>
      <c r="U2709" s="2" t="s">
        <v>79</v>
      </c>
      <c r="V2709" s="2">
        <v>1</v>
      </c>
      <c r="W2709" s="2" t="s">
        <v>80</v>
      </c>
      <c r="X2709" s="2">
        <v>12</v>
      </c>
      <c r="Y2709" s="2" t="s">
        <v>148</v>
      </c>
      <c r="Z2709" s="2">
        <v>1</v>
      </c>
      <c r="AA2709" s="2" t="s">
        <v>82</v>
      </c>
      <c r="AB2709" s="2">
        <v>6</v>
      </c>
      <c r="AC2709" s="2" t="s">
        <v>83</v>
      </c>
      <c r="AD2709" s="3">
        <v>40358</v>
      </c>
      <c r="AE2709" s="2"/>
      <c r="AF2709" s="3">
        <v>40358</v>
      </c>
      <c r="AG2709" s="4">
        <v>0.61458333333333337</v>
      </c>
      <c r="AH2709" s="2">
        <v>2</v>
      </c>
      <c r="AI2709" s="2" t="s">
        <v>84</v>
      </c>
      <c r="AJ2709" s="2">
        <v>12</v>
      </c>
      <c r="AK2709" s="2" t="s">
        <v>85</v>
      </c>
      <c r="AL2709" s="2">
        <v>29</v>
      </c>
      <c r="AM2709" s="2" t="s">
        <v>5416</v>
      </c>
      <c r="AN2709" s="2" t="s">
        <v>9018</v>
      </c>
      <c r="AO2709" s="2"/>
      <c r="AP2709" s="2">
        <v>11</v>
      </c>
      <c r="AQ2709" s="2" t="s">
        <v>82</v>
      </c>
      <c r="AR2709" s="2"/>
      <c r="AS2709" s="2"/>
      <c r="AT2709" s="2" t="s">
        <v>9019</v>
      </c>
      <c r="AU2709" s="2"/>
      <c r="AV2709" s="2"/>
      <c r="AW2709" s="2"/>
      <c r="AX2709" s="2"/>
      <c r="AY2709" s="2">
        <v>41</v>
      </c>
      <c r="AZ2709" s="2" t="s">
        <v>82</v>
      </c>
      <c r="BA2709" s="2">
        <v>41</v>
      </c>
      <c r="BB2709" s="2" t="s">
        <v>82</v>
      </c>
      <c r="BC2709" s="2">
        <v>41</v>
      </c>
      <c r="BD2709" s="2" t="s">
        <v>82</v>
      </c>
      <c r="BE2709" s="2">
        <v>41</v>
      </c>
      <c r="BF2709" s="2" t="s">
        <v>82</v>
      </c>
      <c r="BG2709" s="2"/>
      <c r="BH2709" s="2"/>
      <c r="BI2709" s="2"/>
      <c r="BJ2709" s="2">
        <v>241</v>
      </c>
      <c r="BK2709" s="2" t="s">
        <v>82</v>
      </c>
      <c r="BL2709" s="2"/>
      <c r="BM2709" s="2">
        <v>241</v>
      </c>
      <c r="BN2709" s="2" t="s">
        <v>82</v>
      </c>
      <c r="BO2709" s="2"/>
      <c r="BP2709" s="2">
        <v>241</v>
      </c>
      <c r="BQ2709" s="2" t="s">
        <v>82</v>
      </c>
      <c r="BR2709" s="2"/>
      <c r="BS2709" s="3">
        <v>40358</v>
      </c>
      <c r="BT2709" s="4">
        <v>0.80282407407407408</v>
      </c>
    </row>
    <row r="2710" spans="1:72" x14ac:dyDescent="0.25">
      <c r="A2710" s="2">
        <v>3938</v>
      </c>
      <c r="B2710" s="2">
        <v>2010</v>
      </c>
      <c r="C2710" s="2" t="s">
        <v>171</v>
      </c>
      <c r="D2710" s="2" t="s">
        <v>122</v>
      </c>
      <c r="E2710" s="2" t="s">
        <v>9020</v>
      </c>
      <c r="F2710" s="2">
        <v>499</v>
      </c>
      <c r="G2710" s="2" t="s">
        <v>2177</v>
      </c>
      <c r="H2710" s="2">
        <v>7</v>
      </c>
      <c r="I2710" s="2" t="s">
        <v>476</v>
      </c>
      <c r="J2710" s="2">
        <v>165</v>
      </c>
      <c r="K2710" s="2" t="s">
        <v>8586</v>
      </c>
      <c r="L2710" s="2" t="s">
        <v>8587</v>
      </c>
      <c r="M2710" s="3">
        <v>40358</v>
      </c>
      <c r="N2710" s="2" t="s">
        <v>8988</v>
      </c>
      <c r="O2710" s="2"/>
      <c r="P2710" s="2"/>
      <c r="Q2710" s="2" t="str">
        <f>"237-A/10"</f>
        <v>237-A/10</v>
      </c>
      <c r="R2710" s="2" t="s">
        <v>1035</v>
      </c>
      <c r="S2710" s="2"/>
      <c r="T2710" s="2">
        <v>1</v>
      </c>
      <c r="U2710" s="2" t="s">
        <v>79</v>
      </c>
      <c r="V2710" s="2">
        <v>1</v>
      </c>
      <c r="W2710" s="2" t="s">
        <v>80</v>
      </c>
      <c r="X2710" s="2">
        <v>1</v>
      </c>
      <c r="Y2710" s="2" t="s">
        <v>81</v>
      </c>
      <c r="Z2710" s="2">
        <v>10</v>
      </c>
      <c r="AA2710" s="2" t="s">
        <v>236</v>
      </c>
      <c r="AB2710" s="2">
        <v>1</v>
      </c>
      <c r="AC2710" s="2" t="s">
        <v>178</v>
      </c>
      <c r="AD2710" s="3">
        <v>40358</v>
      </c>
      <c r="AE2710" s="4">
        <v>0.77430555555555547</v>
      </c>
      <c r="AF2710" s="2"/>
      <c r="AG2710" s="2"/>
      <c r="AH2710" s="2">
        <v>2</v>
      </c>
      <c r="AI2710" s="2" t="s">
        <v>84</v>
      </c>
      <c r="AJ2710" s="2">
        <v>12</v>
      </c>
      <c r="AK2710" s="2" t="s">
        <v>85</v>
      </c>
      <c r="AL2710" s="2">
        <v>27</v>
      </c>
      <c r="AM2710" s="2" t="s">
        <v>6225</v>
      </c>
      <c r="AN2710" s="2" t="s">
        <v>9021</v>
      </c>
      <c r="AO2710" s="2"/>
      <c r="AP2710" s="2">
        <v>11</v>
      </c>
      <c r="AQ2710" s="2" t="s">
        <v>82</v>
      </c>
      <c r="AR2710" s="2"/>
      <c r="AS2710" s="2"/>
      <c r="AT2710" s="2" t="s">
        <v>9022</v>
      </c>
      <c r="AU2710" s="2">
        <v>1</v>
      </c>
      <c r="AV2710" s="2"/>
      <c r="AW2710" s="2"/>
      <c r="AX2710" s="2"/>
      <c r="AY2710" s="2">
        <v>41</v>
      </c>
      <c r="AZ2710" s="2" t="s">
        <v>82</v>
      </c>
      <c r="BA2710" s="2">
        <v>41</v>
      </c>
      <c r="BB2710" s="2" t="s">
        <v>82</v>
      </c>
      <c r="BC2710" s="2">
        <v>41</v>
      </c>
      <c r="BD2710" s="2" t="s">
        <v>82</v>
      </c>
      <c r="BE2710" s="2">
        <v>13</v>
      </c>
      <c r="BF2710" s="2" t="s">
        <v>108</v>
      </c>
      <c r="BG2710" s="2" t="s">
        <v>3968</v>
      </c>
      <c r="BH2710" s="4">
        <v>0.54166666666666663</v>
      </c>
      <c r="BI2710" s="4">
        <v>0.4375</v>
      </c>
      <c r="BJ2710" s="2">
        <v>13</v>
      </c>
      <c r="BK2710" s="2" t="s">
        <v>91</v>
      </c>
      <c r="BL2710" s="2" t="s">
        <v>185</v>
      </c>
      <c r="BM2710" s="2">
        <v>241</v>
      </c>
      <c r="BN2710" s="2" t="s">
        <v>82</v>
      </c>
      <c r="BO2710" s="2" t="s">
        <v>82</v>
      </c>
      <c r="BP2710" s="2">
        <v>13</v>
      </c>
      <c r="BQ2710" s="2" t="s">
        <v>91</v>
      </c>
      <c r="BR2710" s="2" t="s">
        <v>895</v>
      </c>
      <c r="BS2710" s="3">
        <v>40358</v>
      </c>
      <c r="BT2710" s="4">
        <v>0.80572916666666661</v>
      </c>
    </row>
    <row r="2711" spans="1:72" x14ac:dyDescent="0.25">
      <c r="A2711" s="2">
        <v>3939</v>
      </c>
      <c r="B2711" s="2">
        <v>2010</v>
      </c>
      <c r="C2711" s="2" t="s">
        <v>554</v>
      </c>
      <c r="D2711" s="2" t="s">
        <v>73</v>
      </c>
      <c r="E2711" s="2"/>
      <c r="F2711" s="2">
        <v>100</v>
      </c>
      <c r="G2711" s="2" t="s">
        <v>517</v>
      </c>
      <c r="H2711" s="2">
        <v>47</v>
      </c>
      <c r="I2711" s="2" t="s">
        <v>1409</v>
      </c>
      <c r="J2711" s="2">
        <v>119</v>
      </c>
      <c r="K2711" s="2" t="s">
        <v>325</v>
      </c>
      <c r="L2711" s="2" t="s">
        <v>326</v>
      </c>
      <c r="M2711" s="3">
        <v>40359</v>
      </c>
      <c r="N2711" s="2" t="s">
        <v>9023</v>
      </c>
      <c r="O2711" s="2" t="s">
        <v>9024</v>
      </c>
      <c r="P2711" s="2" t="s">
        <v>9025</v>
      </c>
      <c r="Q2711" s="2" t="str">
        <f>""</f>
        <v/>
      </c>
      <c r="R2711" s="2"/>
      <c r="S2711" s="2"/>
      <c r="T2711" s="2">
        <v>1</v>
      </c>
      <c r="U2711" s="2" t="s">
        <v>79</v>
      </c>
      <c r="V2711" s="2">
        <v>1</v>
      </c>
      <c r="W2711" s="2" t="s">
        <v>80</v>
      </c>
      <c r="X2711" s="2">
        <v>8</v>
      </c>
      <c r="Y2711" s="2" t="s">
        <v>375</v>
      </c>
      <c r="Z2711" s="2">
        <v>1</v>
      </c>
      <c r="AA2711" s="2" t="s">
        <v>82</v>
      </c>
      <c r="AB2711" s="2">
        <v>5</v>
      </c>
      <c r="AC2711" s="2" t="s">
        <v>559</v>
      </c>
      <c r="AD2711" s="3">
        <v>40359</v>
      </c>
      <c r="AE2711" s="4">
        <v>0.51388888888888895</v>
      </c>
      <c r="AF2711" s="2"/>
      <c r="AG2711" s="2"/>
      <c r="AH2711" s="2">
        <v>6</v>
      </c>
      <c r="AI2711" s="2" t="s">
        <v>197</v>
      </c>
      <c r="AJ2711" s="2">
        <v>47</v>
      </c>
      <c r="AK2711" s="2" t="s">
        <v>250</v>
      </c>
      <c r="AL2711" s="2">
        <v>23</v>
      </c>
      <c r="AM2711" s="2" t="s">
        <v>251</v>
      </c>
      <c r="AN2711" s="2" t="s">
        <v>9026</v>
      </c>
      <c r="AO2711" s="2" t="s">
        <v>9027</v>
      </c>
      <c r="AP2711" s="2">
        <v>11</v>
      </c>
      <c r="AQ2711" s="2" t="s">
        <v>82</v>
      </c>
      <c r="AR2711" s="2"/>
      <c r="AS2711" s="2"/>
      <c r="AT2711" s="2" t="s">
        <v>9028</v>
      </c>
      <c r="AU2711" s="2"/>
      <c r="AV2711" s="2"/>
      <c r="AW2711" s="2"/>
      <c r="AX2711" s="2"/>
      <c r="AY2711" s="2">
        <v>41</v>
      </c>
      <c r="AZ2711" s="2" t="s">
        <v>82</v>
      </c>
      <c r="BA2711" s="2">
        <v>41</v>
      </c>
      <c r="BB2711" s="2" t="s">
        <v>82</v>
      </c>
      <c r="BC2711" s="2">
        <v>41</v>
      </c>
      <c r="BD2711" s="2" t="s">
        <v>82</v>
      </c>
      <c r="BE2711" s="2">
        <v>41</v>
      </c>
      <c r="BF2711" s="2" t="s">
        <v>82</v>
      </c>
      <c r="BG2711" s="2"/>
      <c r="BH2711" s="2"/>
      <c r="BI2711" s="2"/>
      <c r="BJ2711" s="2">
        <v>241</v>
      </c>
      <c r="BK2711" s="2" t="s">
        <v>82</v>
      </c>
      <c r="BL2711" s="2"/>
      <c r="BM2711" s="2">
        <v>241</v>
      </c>
      <c r="BN2711" s="2" t="s">
        <v>82</v>
      </c>
      <c r="BO2711" s="2"/>
      <c r="BP2711" s="2">
        <v>241</v>
      </c>
      <c r="BQ2711" s="2" t="s">
        <v>82</v>
      </c>
      <c r="BR2711" s="2"/>
      <c r="BS2711" s="3">
        <v>40359</v>
      </c>
      <c r="BT2711" s="4">
        <v>0.43502314814814813</v>
      </c>
    </row>
    <row r="2712" spans="1:72" x14ac:dyDescent="0.25">
      <c r="A2712" s="2">
        <v>3943</v>
      </c>
      <c r="B2712" s="2">
        <v>2010</v>
      </c>
      <c r="C2712" s="2" t="s">
        <v>72</v>
      </c>
      <c r="D2712" s="2" t="s">
        <v>73</v>
      </c>
      <c r="E2712" s="2"/>
      <c r="F2712" s="2">
        <v>170</v>
      </c>
      <c r="G2712" s="2" t="s">
        <v>7892</v>
      </c>
      <c r="H2712" s="2">
        <v>108</v>
      </c>
      <c r="I2712" s="2" t="s">
        <v>1096</v>
      </c>
      <c r="J2712" s="2">
        <v>550</v>
      </c>
      <c r="K2712" s="2" t="s">
        <v>6744</v>
      </c>
      <c r="L2712" s="2" t="s">
        <v>6745</v>
      </c>
      <c r="M2712" s="3">
        <v>40359</v>
      </c>
      <c r="N2712" s="2" t="s">
        <v>7926</v>
      </c>
      <c r="O2712" s="2" t="s">
        <v>107</v>
      </c>
      <c r="P2712" s="2" t="s">
        <v>107</v>
      </c>
      <c r="Q2712" s="2" t="str">
        <f>"239-A/10"</f>
        <v>239-A/10</v>
      </c>
      <c r="R2712" s="2" t="s">
        <v>78</v>
      </c>
      <c r="S2712" s="2" t="s">
        <v>78</v>
      </c>
      <c r="T2712" s="2">
        <v>1</v>
      </c>
      <c r="U2712" s="2" t="s">
        <v>79</v>
      </c>
      <c r="V2712" s="2">
        <v>1</v>
      </c>
      <c r="W2712" s="2" t="s">
        <v>80</v>
      </c>
      <c r="X2712" s="2">
        <v>12</v>
      </c>
      <c r="Y2712" s="2" t="s">
        <v>148</v>
      </c>
      <c r="Z2712" s="2">
        <v>1</v>
      </c>
      <c r="AA2712" s="2" t="s">
        <v>82</v>
      </c>
      <c r="AB2712" s="2">
        <v>6</v>
      </c>
      <c r="AC2712" s="2" t="s">
        <v>83</v>
      </c>
      <c r="AD2712" s="3">
        <v>40359</v>
      </c>
      <c r="AE2712" s="2"/>
      <c r="AF2712" s="3">
        <v>40359</v>
      </c>
      <c r="AG2712" s="4">
        <v>0.47569444444444442</v>
      </c>
      <c r="AH2712" s="2">
        <v>2</v>
      </c>
      <c r="AI2712" s="2" t="s">
        <v>84</v>
      </c>
      <c r="AJ2712" s="2">
        <v>12</v>
      </c>
      <c r="AK2712" s="2" t="s">
        <v>85</v>
      </c>
      <c r="AL2712" s="2">
        <v>2</v>
      </c>
      <c r="AM2712" s="2" t="s">
        <v>163</v>
      </c>
      <c r="AN2712" s="2" t="s">
        <v>9029</v>
      </c>
      <c r="AO2712" s="2"/>
      <c r="AP2712" s="2">
        <v>11</v>
      </c>
      <c r="AQ2712" s="2" t="s">
        <v>82</v>
      </c>
      <c r="AR2712" s="2"/>
      <c r="AS2712" s="2"/>
      <c r="AT2712" s="2" t="s">
        <v>9030</v>
      </c>
      <c r="AU2712" s="2"/>
      <c r="AV2712" s="2"/>
      <c r="AW2712" s="2"/>
      <c r="AX2712" s="2"/>
      <c r="AY2712" s="2">
        <v>41</v>
      </c>
      <c r="AZ2712" s="2" t="s">
        <v>82</v>
      </c>
      <c r="BA2712" s="2">
        <v>41</v>
      </c>
      <c r="BB2712" s="2" t="s">
        <v>82</v>
      </c>
      <c r="BC2712" s="2">
        <v>41</v>
      </c>
      <c r="BD2712" s="2" t="s">
        <v>82</v>
      </c>
      <c r="BE2712" s="2">
        <v>4</v>
      </c>
      <c r="BF2712" s="2" t="s">
        <v>90</v>
      </c>
      <c r="BG2712" s="2" t="s">
        <v>9031</v>
      </c>
      <c r="BH2712" s="4">
        <v>0.43055555555555558</v>
      </c>
      <c r="BI2712" s="4">
        <v>0.37847222222222227</v>
      </c>
      <c r="BJ2712" s="2">
        <v>13</v>
      </c>
      <c r="BK2712" s="2" t="s">
        <v>91</v>
      </c>
      <c r="BL2712" s="2" t="s">
        <v>169</v>
      </c>
      <c r="BM2712" s="2">
        <v>241</v>
      </c>
      <c r="BN2712" s="2" t="s">
        <v>82</v>
      </c>
      <c r="BO2712" s="2"/>
      <c r="BP2712" s="2">
        <v>13</v>
      </c>
      <c r="BQ2712" s="2" t="s">
        <v>91</v>
      </c>
      <c r="BR2712" s="2" t="s">
        <v>564</v>
      </c>
      <c r="BS2712" s="3">
        <v>40359</v>
      </c>
      <c r="BT2712" s="4">
        <v>0.57565972222222228</v>
      </c>
    </row>
    <row r="2713" spans="1:72" x14ac:dyDescent="0.25">
      <c r="A2713" s="2">
        <v>3947</v>
      </c>
      <c r="B2713" s="2">
        <v>2010</v>
      </c>
      <c r="C2713" s="2" t="s">
        <v>72</v>
      </c>
      <c r="D2713" s="2" t="s">
        <v>122</v>
      </c>
      <c r="E2713" s="2" t="s">
        <v>9032</v>
      </c>
      <c r="F2713" s="2">
        <v>106</v>
      </c>
      <c r="G2713" s="2" t="s">
        <v>7444</v>
      </c>
      <c r="H2713" s="2">
        <v>22</v>
      </c>
      <c r="I2713" s="2" t="s">
        <v>75</v>
      </c>
      <c r="J2713" s="2">
        <v>126</v>
      </c>
      <c r="K2713" s="2" t="s">
        <v>7445</v>
      </c>
      <c r="L2713" s="2" t="s">
        <v>7446</v>
      </c>
      <c r="M2713" s="3">
        <v>40359</v>
      </c>
      <c r="N2713" s="2" t="s">
        <v>8828</v>
      </c>
      <c r="O2713" s="2" t="s">
        <v>9033</v>
      </c>
      <c r="P2713" s="2" t="s">
        <v>9034</v>
      </c>
      <c r="Q2713" s="2" t="str">
        <f>"0005/10"</f>
        <v>0005/10</v>
      </c>
      <c r="R2713" s="2" t="s">
        <v>302</v>
      </c>
      <c r="S2713" s="2" t="s">
        <v>302</v>
      </c>
      <c r="T2713" s="2">
        <v>1</v>
      </c>
      <c r="U2713" s="2" t="s">
        <v>79</v>
      </c>
      <c r="V2713" s="2">
        <v>1</v>
      </c>
      <c r="W2713" s="2" t="s">
        <v>80</v>
      </c>
      <c r="X2713" s="2">
        <v>1</v>
      </c>
      <c r="Y2713" s="2" t="s">
        <v>81</v>
      </c>
      <c r="Z2713" s="2">
        <v>1</v>
      </c>
      <c r="AA2713" s="2" t="s">
        <v>82</v>
      </c>
      <c r="AB2713" s="2">
        <v>6</v>
      </c>
      <c r="AC2713" s="2" t="s">
        <v>83</v>
      </c>
      <c r="AD2713" s="3">
        <v>40353</v>
      </c>
      <c r="AE2713" s="4">
        <v>0.4375</v>
      </c>
      <c r="AF2713" s="2"/>
      <c r="AG2713" s="2"/>
      <c r="AH2713" s="2">
        <v>6</v>
      </c>
      <c r="AI2713" s="2" t="s">
        <v>197</v>
      </c>
      <c r="AJ2713" s="2">
        <v>57</v>
      </c>
      <c r="AK2713" s="2" t="s">
        <v>2344</v>
      </c>
      <c r="AL2713" s="2">
        <v>11</v>
      </c>
      <c r="AM2713" s="2" t="s">
        <v>137</v>
      </c>
      <c r="AN2713" s="2"/>
      <c r="AO2713" s="2"/>
      <c r="AP2713" s="2">
        <v>11</v>
      </c>
      <c r="AQ2713" s="2" t="s">
        <v>82</v>
      </c>
      <c r="AR2713" s="2"/>
      <c r="AS2713" s="2"/>
      <c r="AT2713" s="2" t="s">
        <v>9035</v>
      </c>
      <c r="AU2713" s="2"/>
      <c r="AV2713" s="2"/>
      <c r="AW2713" s="2"/>
      <c r="AX2713" s="2"/>
      <c r="AY2713" s="2">
        <v>41</v>
      </c>
      <c r="AZ2713" s="2" t="s">
        <v>82</v>
      </c>
      <c r="BA2713" s="2">
        <v>70</v>
      </c>
      <c r="BB2713" s="2" t="s">
        <v>236</v>
      </c>
      <c r="BC2713" s="2">
        <v>41</v>
      </c>
      <c r="BD2713" s="2" t="s">
        <v>82</v>
      </c>
      <c r="BE2713" s="2">
        <v>13</v>
      </c>
      <c r="BF2713" s="2" t="s">
        <v>108</v>
      </c>
      <c r="BG2713" s="2">
        <v>1863</v>
      </c>
      <c r="BH2713" s="4">
        <v>0.51041666666666663</v>
      </c>
      <c r="BI2713" s="4">
        <v>0.4375</v>
      </c>
      <c r="BJ2713" s="2">
        <v>13</v>
      </c>
      <c r="BK2713" s="2" t="s">
        <v>91</v>
      </c>
      <c r="BL2713" s="2" t="s">
        <v>1014</v>
      </c>
      <c r="BM2713" s="2">
        <v>241</v>
      </c>
      <c r="BN2713" s="2" t="s">
        <v>82</v>
      </c>
      <c r="BO2713" s="2"/>
      <c r="BP2713" s="2">
        <v>13</v>
      </c>
      <c r="BQ2713" s="2" t="s">
        <v>91</v>
      </c>
      <c r="BR2713" s="2" t="s">
        <v>534</v>
      </c>
      <c r="BS2713" s="3">
        <v>40359</v>
      </c>
      <c r="BT2713" s="4">
        <v>0.70225694444444453</v>
      </c>
    </row>
    <row r="2714" spans="1:72" x14ac:dyDescent="0.25">
      <c r="A2714" s="2">
        <v>3948</v>
      </c>
      <c r="B2714" s="2">
        <v>2010</v>
      </c>
      <c r="C2714" s="2" t="s">
        <v>255</v>
      </c>
      <c r="D2714" s="2" t="s">
        <v>122</v>
      </c>
      <c r="E2714" s="2" t="s">
        <v>9036</v>
      </c>
      <c r="F2714" s="2">
        <v>100</v>
      </c>
      <c r="G2714" s="2" t="s">
        <v>517</v>
      </c>
      <c r="H2714" s="2">
        <v>47</v>
      </c>
      <c r="I2714" s="2" t="s">
        <v>1409</v>
      </c>
      <c r="J2714" s="2">
        <v>119</v>
      </c>
      <c r="K2714" s="2" t="s">
        <v>325</v>
      </c>
      <c r="L2714" s="2" t="s">
        <v>326</v>
      </c>
      <c r="M2714" s="3">
        <v>40359</v>
      </c>
      <c r="N2714" s="2" t="s">
        <v>9023</v>
      </c>
      <c r="O2714" s="2" t="s">
        <v>9024</v>
      </c>
      <c r="P2714" s="2" t="s">
        <v>9025</v>
      </c>
      <c r="Q2714" s="2" t="str">
        <f>""</f>
        <v/>
      </c>
      <c r="R2714" s="2"/>
      <c r="S2714" s="2"/>
      <c r="T2714" s="2">
        <v>1</v>
      </c>
      <c r="U2714" s="2" t="s">
        <v>79</v>
      </c>
      <c r="V2714" s="2">
        <v>1</v>
      </c>
      <c r="W2714" s="2" t="s">
        <v>80</v>
      </c>
      <c r="X2714" s="2">
        <v>8</v>
      </c>
      <c r="Y2714" s="2" t="s">
        <v>375</v>
      </c>
      <c r="Z2714" s="2">
        <v>1</v>
      </c>
      <c r="AA2714" s="2" t="s">
        <v>82</v>
      </c>
      <c r="AB2714" s="2">
        <v>9</v>
      </c>
      <c r="AC2714" s="2" t="s">
        <v>124</v>
      </c>
      <c r="AD2714" s="3">
        <v>40359</v>
      </c>
      <c r="AE2714" s="4">
        <v>0.35416666666666669</v>
      </c>
      <c r="AF2714" s="2"/>
      <c r="AG2714" s="2"/>
      <c r="AH2714" s="2">
        <v>6</v>
      </c>
      <c r="AI2714" s="2" t="s">
        <v>197</v>
      </c>
      <c r="AJ2714" s="2">
        <v>47</v>
      </c>
      <c r="AK2714" s="2" t="s">
        <v>250</v>
      </c>
      <c r="AL2714" s="2">
        <v>23</v>
      </c>
      <c r="AM2714" s="2" t="s">
        <v>251</v>
      </c>
      <c r="AN2714" s="2" t="s">
        <v>9037</v>
      </c>
      <c r="AO2714" s="2" t="s">
        <v>9027</v>
      </c>
      <c r="AP2714" s="2">
        <v>11</v>
      </c>
      <c r="AQ2714" s="2" t="s">
        <v>82</v>
      </c>
      <c r="AR2714" s="2"/>
      <c r="AS2714" s="2"/>
      <c r="AT2714" s="2" t="s">
        <v>9038</v>
      </c>
      <c r="AU2714" s="2"/>
      <c r="AV2714" s="2"/>
      <c r="AW2714" s="2"/>
      <c r="AX2714" s="2"/>
      <c r="AY2714" s="2">
        <v>41</v>
      </c>
      <c r="AZ2714" s="2" t="s">
        <v>82</v>
      </c>
      <c r="BA2714" s="2">
        <v>41</v>
      </c>
      <c r="BB2714" s="2" t="s">
        <v>82</v>
      </c>
      <c r="BC2714" s="2">
        <v>41</v>
      </c>
      <c r="BD2714" s="2" t="s">
        <v>82</v>
      </c>
      <c r="BE2714" s="2">
        <v>41</v>
      </c>
      <c r="BF2714" s="2" t="s">
        <v>82</v>
      </c>
      <c r="BG2714" s="2"/>
      <c r="BH2714" s="2"/>
      <c r="BI2714" s="2"/>
      <c r="BJ2714" s="2">
        <v>241</v>
      </c>
      <c r="BK2714" s="2" t="s">
        <v>82</v>
      </c>
      <c r="BL2714" s="2"/>
      <c r="BM2714" s="2">
        <v>241</v>
      </c>
      <c r="BN2714" s="2" t="s">
        <v>82</v>
      </c>
      <c r="BO2714" s="2"/>
      <c r="BP2714" s="2">
        <v>241</v>
      </c>
      <c r="BQ2714" s="2" t="s">
        <v>82</v>
      </c>
      <c r="BR2714" s="2"/>
      <c r="BS2714" s="3">
        <v>40359</v>
      </c>
      <c r="BT2714" s="4">
        <v>0.71103009259259264</v>
      </c>
    </row>
    <row r="2715" spans="1:72" x14ac:dyDescent="0.25">
      <c r="A2715" s="2">
        <v>3949</v>
      </c>
      <c r="B2715" s="2">
        <v>2010</v>
      </c>
      <c r="C2715" s="2" t="s">
        <v>1568</v>
      </c>
      <c r="D2715" s="2" t="s">
        <v>122</v>
      </c>
      <c r="E2715" s="2"/>
      <c r="F2715" s="2">
        <v>209</v>
      </c>
      <c r="G2715" s="2" t="s">
        <v>8169</v>
      </c>
      <c r="H2715" s="2">
        <v>125</v>
      </c>
      <c r="I2715" s="2" t="s">
        <v>8170</v>
      </c>
      <c r="J2715" s="2">
        <v>193</v>
      </c>
      <c r="K2715" s="2" t="s">
        <v>8171</v>
      </c>
      <c r="L2715" s="2" t="s">
        <v>8172</v>
      </c>
      <c r="M2715" s="3">
        <v>40359</v>
      </c>
      <c r="N2715" s="2" t="s">
        <v>9039</v>
      </c>
      <c r="O2715" s="2"/>
      <c r="P2715" s="2"/>
      <c r="Q2715" s="2" t="str">
        <f>"240-A/10"</f>
        <v>240-A/10</v>
      </c>
      <c r="R2715" s="2"/>
      <c r="S2715" s="2"/>
      <c r="T2715" s="2">
        <v>1</v>
      </c>
      <c r="U2715" s="2" t="s">
        <v>79</v>
      </c>
      <c r="V2715" s="2">
        <v>1</v>
      </c>
      <c r="W2715" s="2" t="s">
        <v>80</v>
      </c>
      <c r="X2715" s="2">
        <v>11</v>
      </c>
      <c r="Y2715" s="2" t="s">
        <v>1920</v>
      </c>
      <c r="Z2715" s="2">
        <v>1</v>
      </c>
      <c r="AA2715" s="2" t="s">
        <v>82</v>
      </c>
      <c r="AB2715" s="2">
        <v>4</v>
      </c>
      <c r="AC2715" s="2" t="s">
        <v>1569</v>
      </c>
      <c r="AD2715" s="3">
        <v>40359</v>
      </c>
      <c r="AE2715" s="4">
        <v>0.63888888888888895</v>
      </c>
      <c r="AF2715" s="2"/>
      <c r="AG2715" s="2"/>
      <c r="AH2715" s="2">
        <v>4</v>
      </c>
      <c r="AI2715" s="2" t="s">
        <v>125</v>
      </c>
      <c r="AJ2715" s="2">
        <v>28</v>
      </c>
      <c r="AK2715" s="2" t="s">
        <v>741</v>
      </c>
      <c r="AL2715" s="2">
        <v>19</v>
      </c>
      <c r="AM2715" s="2" t="s">
        <v>107</v>
      </c>
      <c r="AN2715" s="2"/>
      <c r="AO2715" s="2"/>
      <c r="AP2715" s="2">
        <v>11</v>
      </c>
      <c r="AQ2715" s="2" t="s">
        <v>82</v>
      </c>
      <c r="AR2715" s="2"/>
      <c r="AS2715" s="2"/>
      <c r="AT2715" s="2" t="s">
        <v>9040</v>
      </c>
      <c r="AU2715" s="2"/>
      <c r="AV2715" s="2"/>
      <c r="AW2715" s="2"/>
      <c r="AX2715" s="2"/>
      <c r="AY2715" s="2">
        <v>1</v>
      </c>
      <c r="AZ2715" s="2" t="s">
        <v>107</v>
      </c>
      <c r="BA2715" s="2">
        <v>1</v>
      </c>
      <c r="BB2715" s="2" t="s">
        <v>107</v>
      </c>
      <c r="BC2715" s="2">
        <v>1</v>
      </c>
      <c r="BD2715" s="2" t="s">
        <v>107</v>
      </c>
      <c r="BE2715" s="2">
        <v>1</v>
      </c>
      <c r="BF2715" s="2" t="s">
        <v>107</v>
      </c>
      <c r="BG2715" s="2"/>
      <c r="BH2715" s="2"/>
      <c r="BI2715" s="2"/>
      <c r="BJ2715" s="2">
        <v>242</v>
      </c>
      <c r="BK2715" s="2" t="s">
        <v>107</v>
      </c>
      <c r="BL2715" s="2"/>
      <c r="BM2715" s="2">
        <v>242</v>
      </c>
      <c r="BN2715" s="2" t="s">
        <v>107</v>
      </c>
      <c r="BO2715" s="2"/>
      <c r="BP2715" s="2">
        <v>242</v>
      </c>
      <c r="BQ2715" s="2" t="s">
        <v>107</v>
      </c>
      <c r="BR2715" s="2"/>
      <c r="BS2715" s="3">
        <v>40359</v>
      </c>
      <c r="BT2715" s="4">
        <v>0.74932870370370364</v>
      </c>
    </row>
    <row r="2716" spans="1:72" x14ac:dyDescent="0.25">
      <c r="A2716" s="2">
        <v>3950</v>
      </c>
      <c r="B2716" s="2">
        <v>2010</v>
      </c>
      <c r="C2716" s="2" t="s">
        <v>72</v>
      </c>
      <c r="D2716" s="2" t="s">
        <v>73</v>
      </c>
      <c r="E2716" s="2"/>
      <c r="F2716" s="2">
        <v>2</v>
      </c>
      <c r="G2716" s="2" t="s">
        <v>113</v>
      </c>
      <c r="H2716" s="2">
        <v>108</v>
      </c>
      <c r="I2716" s="2" t="s">
        <v>1096</v>
      </c>
      <c r="J2716" s="2">
        <v>300</v>
      </c>
      <c r="K2716" s="2" t="s">
        <v>114</v>
      </c>
      <c r="L2716" s="2" t="s">
        <v>115</v>
      </c>
      <c r="M2716" s="3">
        <v>40359</v>
      </c>
      <c r="N2716" s="2"/>
      <c r="O2716" s="2"/>
      <c r="P2716" s="2"/>
      <c r="Q2716" s="2" t="str">
        <f>"347-E/10"</f>
        <v>347-E/10</v>
      </c>
      <c r="R2716" s="2" t="s">
        <v>601</v>
      </c>
      <c r="S2716" s="2" t="s">
        <v>601</v>
      </c>
      <c r="T2716" s="2">
        <v>1</v>
      </c>
      <c r="U2716" s="2" t="s">
        <v>79</v>
      </c>
      <c r="V2716" s="2">
        <v>1</v>
      </c>
      <c r="W2716" s="2" t="s">
        <v>80</v>
      </c>
      <c r="X2716" s="2">
        <v>12</v>
      </c>
      <c r="Y2716" s="2" t="s">
        <v>148</v>
      </c>
      <c r="Z2716" s="2">
        <v>1</v>
      </c>
      <c r="AA2716" s="2" t="s">
        <v>82</v>
      </c>
      <c r="AB2716" s="2">
        <v>6</v>
      </c>
      <c r="AC2716" s="2" t="s">
        <v>83</v>
      </c>
      <c r="AD2716" s="2"/>
      <c r="AE2716" s="2"/>
      <c r="AF2716" s="3">
        <v>40359</v>
      </c>
      <c r="AG2716" s="4">
        <v>0.61111111111111105</v>
      </c>
      <c r="AH2716" s="2">
        <v>2</v>
      </c>
      <c r="AI2716" s="2" t="s">
        <v>84</v>
      </c>
      <c r="AJ2716" s="2">
        <v>9</v>
      </c>
      <c r="AK2716" s="2" t="s">
        <v>103</v>
      </c>
      <c r="AL2716" s="2">
        <v>26</v>
      </c>
      <c r="AM2716" s="2" t="s">
        <v>6036</v>
      </c>
      <c r="AN2716" s="2"/>
      <c r="AO2716" s="2" t="s">
        <v>9041</v>
      </c>
      <c r="AP2716" s="2">
        <v>11</v>
      </c>
      <c r="AQ2716" s="2" t="s">
        <v>82</v>
      </c>
      <c r="AR2716" s="2"/>
      <c r="AS2716" s="2"/>
      <c r="AT2716" s="2" t="s">
        <v>9042</v>
      </c>
      <c r="AU2716" s="2"/>
      <c r="AV2716" s="2"/>
      <c r="AW2716" s="2"/>
      <c r="AX2716" s="2"/>
      <c r="AY2716" s="2">
        <v>41</v>
      </c>
      <c r="AZ2716" s="2" t="s">
        <v>82</v>
      </c>
      <c r="BA2716" s="2">
        <v>41</v>
      </c>
      <c r="BB2716" s="2" t="s">
        <v>82</v>
      </c>
      <c r="BC2716" s="2">
        <v>41</v>
      </c>
      <c r="BD2716" s="2" t="s">
        <v>82</v>
      </c>
      <c r="BE2716" s="2">
        <v>23</v>
      </c>
      <c r="BF2716" s="2" t="s">
        <v>183</v>
      </c>
      <c r="BG2716" s="2" t="s">
        <v>9043</v>
      </c>
      <c r="BH2716" s="4">
        <v>0.95833333333333337</v>
      </c>
      <c r="BI2716" s="2"/>
      <c r="BJ2716" s="2">
        <v>73</v>
      </c>
      <c r="BK2716" s="2" t="s">
        <v>186</v>
      </c>
      <c r="BL2716" s="2" t="s">
        <v>675</v>
      </c>
      <c r="BM2716" s="2">
        <v>73</v>
      </c>
      <c r="BN2716" s="2" t="s">
        <v>186</v>
      </c>
      <c r="BO2716" s="2" t="s">
        <v>187</v>
      </c>
      <c r="BP2716" s="2">
        <v>13</v>
      </c>
      <c r="BQ2716" s="2" t="s">
        <v>91</v>
      </c>
      <c r="BR2716" s="2" t="s">
        <v>360</v>
      </c>
      <c r="BS2716" s="3">
        <v>40359</v>
      </c>
      <c r="BT2716" s="4">
        <v>0.79758101851851848</v>
      </c>
    </row>
    <row r="2717" spans="1:72" x14ac:dyDescent="0.25">
      <c r="A2717" s="2">
        <v>3951</v>
      </c>
      <c r="B2717" s="2">
        <v>2010</v>
      </c>
      <c r="C2717" s="2" t="s">
        <v>819</v>
      </c>
      <c r="D2717" s="2" t="s">
        <v>73</v>
      </c>
      <c r="E2717" s="2"/>
      <c r="F2717" s="2">
        <v>499</v>
      </c>
      <c r="G2717" s="2" t="s">
        <v>2177</v>
      </c>
      <c r="H2717" s="2">
        <v>56</v>
      </c>
      <c r="I2717" s="2" t="s">
        <v>3372</v>
      </c>
      <c r="J2717" s="2">
        <v>538</v>
      </c>
      <c r="K2717" s="2" t="s">
        <v>7264</v>
      </c>
      <c r="L2717" s="2" t="s">
        <v>7265</v>
      </c>
      <c r="M2717" s="3">
        <v>40359</v>
      </c>
      <c r="N2717" s="2" t="s">
        <v>8556</v>
      </c>
      <c r="O2717" s="2" t="s">
        <v>107</v>
      </c>
      <c r="P2717" s="2" t="s">
        <v>107</v>
      </c>
      <c r="Q2717" s="2" t="str">
        <f>"37/10"</f>
        <v>37/10</v>
      </c>
      <c r="R2717" s="2" t="s">
        <v>9044</v>
      </c>
      <c r="S2717" s="2" t="s">
        <v>9044</v>
      </c>
      <c r="T2717" s="2">
        <v>1</v>
      </c>
      <c r="U2717" s="2" t="s">
        <v>79</v>
      </c>
      <c r="V2717" s="2">
        <v>1</v>
      </c>
      <c r="W2717" s="2" t="s">
        <v>80</v>
      </c>
      <c r="X2717" s="2">
        <v>1</v>
      </c>
      <c r="Y2717" s="2" t="s">
        <v>81</v>
      </c>
      <c r="Z2717" s="2">
        <v>1</v>
      </c>
      <c r="AA2717" s="2" t="s">
        <v>82</v>
      </c>
      <c r="AB2717" s="2">
        <v>9</v>
      </c>
      <c r="AC2717" s="2" t="s">
        <v>124</v>
      </c>
      <c r="AD2717" s="3">
        <v>40359</v>
      </c>
      <c r="AE2717" s="4">
        <v>0.70138888888888884</v>
      </c>
      <c r="AF2717" s="2"/>
      <c r="AG2717" s="2"/>
      <c r="AH2717" s="2">
        <v>3</v>
      </c>
      <c r="AI2717" s="2" t="s">
        <v>214</v>
      </c>
      <c r="AJ2717" s="2">
        <v>24</v>
      </c>
      <c r="AK2717" s="2" t="s">
        <v>215</v>
      </c>
      <c r="AL2717" s="2">
        <v>25</v>
      </c>
      <c r="AM2717" s="2" t="s">
        <v>3073</v>
      </c>
      <c r="AN2717" s="2"/>
      <c r="AO2717" s="2" t="s">
        <v>9045</v>
      </c>
      <c r="AP2717" s="2">
        <v>11</v>
      </c>
      <c r="AQ2717" s="2" t="s">
        <v>82</v>
      </c>
      <c r="AR2717" s="2" t="s">
        <v>82</v>
      </c>
      <c r="AS2717" s="2" t="s">
        <v>82</v>
      </c>
      <c r="AT2717" s="2" t="s">
        <v>9046</v>
      </c>
      <c r="AU2717" s="2"/>
      <c r="AV2717" s="2"/>
      <c r="AW2717" s="2"/>
      <c r="AX2717" s="2"/>
      <c r="AY2717" s="2">
        <v>41</v>
      </c>
      <c r="AZ2717" s="2" t="s">
        <v>82</v>
      </c>
      <c r="BA2717" s="2">
        <v>41</v>
      </c>
      <c r="BB2717" s="2" t="s">
        <v>82</v>
      </c>
      <c r="BC2717" s="2">
        <v>41</v>
      </c>
      <c r="BD2717" s="2" t="s">
        <v>82</v>
      </c>
      <c r="BE2717" s="2">
        <v>17</v>
      </c>
      <c r="BF2717" s="2" t="s">
        <v>508</v>
      </c>
      <c r="BG2717" s="2">
        <v>943</v>
      </c>
      <c r="BH2717" s="4">
        <v>0.77430555555555547</v>
      </c>
      <c r="BI2717" s="4">
        <v>0.72222222222222221</v>
      </c>
      <c r="BJ2717" s="2">
        <v>13</v>
      </c>
      <c r="BK2717" s="2" t="s">
        <v>91</v>
      </c>
      <c r="BL2717" s="2" t="s">
        <v>169</v>
      </c>
      <c r="BM2717" s="2">
        <v>241</v>
      </c>
      <c r="BN2717" s="2" t="s">
        <v>82</v>
      </c>
      <c r="BO2717" s="2" t="s">
        <v>82</v>
      </c>
      <c r="BP2717" s="2">
        <v>46</v>
      </c>
      <c r="BQ2717" s="2" t="s">
        <v>307</v>
      </c>
      <c r="BR2717" s="2" t="s">
        <v>308</v>
      </c>
      <c r="BS2717" s="3">
        <v>40359</v>
      </c>
      <c r="BT2717" s="4">
        <v>0.81613425925925931</v>
      </c>
    </row>
    <row r="2718" spans="1:72" x14ac:dyDescent="0.25">
      <c r="A2718" s="2">
        <v>3954</v>
      </c>
      <c r="B2718" s="2">
        <v>2010</v>
      </c>
      <c r="C2718" s="2" t="s">
        <v>128</v>
      </c>
      <c r="D2718" s="2" t="s">
        <v>73</v>
      </c>
      <c r="E2718" s="2"/>
      <c r="F2718" s="2">
        <v>153</v>
      </c>
      <c r="G2718" s="2" t="s">
        <v>9047</v>
      </c>
      <c r="H2718" s="2">
        <v>7</v>
      </c>
      <c r="I2718" s="2" t="s">
        <v>476</v>
      </c>
      <c r="J2718" s="2">
        <v>165</v>
      </c>
      <c r="K2718" s="2" t="s">
        <v>8586</v>
      </c>
      <c r="L2718" s="2" t="s">
        <v>8587</v>
      </c>
      <c r="M2718" s="3">
        <v>40359</v>
      </c>
      <c r="N2718" s="2" t="s">
        <v>8988</v>
      </c>
      <c r="O2718" s="2" t="s">
        <v>82</v>
      </c>
      <c r="P2718" s="2" t="s">
        <v>82</v>
      </c>
      <c r="Q2718" s="2" t="str">
        <f>"241-A/10"</f>
        <v>241-A/10</v>
      </c>
      <c r="R2718" s="2" t="s">
        <v>9048</v>
      </c>
      <c r="S2718" s="2"/>
      <c r="T2718" s="2">
        <v>1</v>
      </c>
      <c r="U2718" s="2" t="s">
        <v>79</v>
      </c>
      <c r="V2718" s="2">
        <v>1</v>
      </c>
      <c r="W2718" s="2" t="s">
        <v>80</v>
      </c>
      <c r="X2718" s="2">
        <v>12</v>
      </c>
      <c r="Y2718" s="2" t="s">
        <v>148</v>
      </c>
      <c r="Z2718" s="2">
        <v>1</v>
      </c>
      <c r="AA2718" s="2" t="s">
        <v>82</v>
      </c>
      <c r="AB2718" s="2">
        <v>9</v>
      </c>
      <c r="AC2718" s="2" t="s">
        <v>124</v>
      </c>
      <c r="AD2718" s="3">
        <v>40357</v>
      </c>
      <c r="AE2718" s="2"/>
      <c r="AF2718" s="3">
        <v>40359</v>
      </c>
      <c r="AG2718" s="4">
        <v>0.60416666666666663</v>
      </c>
      <c r="AH2718" s="2">
        <v>2</v>
      </c>
      <c r="AI2718" s="2" t="s">
        <v>84</v>
      </c>
      <c r="AJ2718" s="2">
        <v>12</v>
      </c>
      <c r="AK2718" s="2" t="s">
        <v>85</v>
      </c>
      <c r="AL2718" s="2">
        <v>23</v>
      </c>
      <c r="AM2718" s="2" t="s">
        <v>251</v>
      </c>
      <c r="AN2718" s="2"/>
      <c r="AO2718" s="2" t="s">
        <v>9049</v>
      </c>
      <c r="AP2718" s="2">
        <v>11</v>
      </c>
      <c r="AQ2718" s="2" t="s">
        <v>82</v>
      </c>
      <c r="AR2718" s="2"/>
      <c r="AS2718" s="2"/>
      <c r="AT2718" s="2" t="s">
        <v>9050</v>
      </c>
      <c r="AU2718" s="2"/>
      <c r="AV2718" s="2"/>
      <c r="AW2718" s="2"/>
      <c r="AX2718" s="2"/>
      <c r="AY2718" s="2">
        <v>41</v>
      </c>
      <c r="AZ2718" s="2" t="s">
        <v>82</v>
      </c>
      <c r="BA2718" s="2">
        <v>41</v>
      </c>
      <c r="BB2718" s="2" t="s">
        <v>82</v>
      </c>
      <c r="BC2718" s="2">
        <v>41</v>
      </c>
      <c r="BD2718" s="2" t="s">
        <v>82</v>
      </c>
      <c r="BE2718" s="2">
        <v>41</v>
      </c>
      <c r="BF2718" s="2" t="s">
        <v>82</v>
      </c>
      <c r="BG2718" s="2"/>
      <c r="BH2718" s="2"/>
      <c r="BI2718" s="2"/>
      <c r="BJ2718" s="2">
        <v>241</v>
      </c>
      <c r="BK2718" s="2" t="s">
        <v>82</v>
      </c>
      <c r="BL2718" s="2"/>
      <c r="BM2718" s="2">
        <v>241</v>
      </c>
      <c r="BN2718" s="2" t="s">
        <v>82</v>
      </c>
      <c r="BO2718" s="2"/>
      <c r="BP2718" s="2">
        <v>241</v>
      </c>
      <c r="BQ2718" s="2" t="s">
        <v>82</v>
      </c>
      <c r="BR2718" s="2"/>
      <c r="BS2718" s="3">
        <v>40359</v>
      </c>
      <c r="BT2718" s="4">
        <v>0.85827546296296298</v>
      </c>
    </row>
    <row r="2719" spans="1:72" x14ac:dyDescent="0.25">
      <c r="A2719" s="2">
        <v>3955</v>
      </c>
      <c r="B2719" s="2">
        <v>2010</v>
      </c>
      <c r="C2719" s="2" t="s">
        <v>1568</v>
      </c>
      <c r="D2719" s="2" t="s">
        <v>73</v>
      </c>
      <c r="E2719" s="2"/>
      <c r="F2719" s="2">
        <v>209</v>
      </c>
      <c r="G2719" s="2" t="s">
        <v>8169</v>
      </c>
      <c r="H2719" s="2">
        <v>125</v>
      </c>
      <c r="I2719" s="2" t="s">
        <v>8170</v>
      </c>
      <c r="J2719" s="2">
        <v>193</v>
      </c>
      <c r="K2719" s="2" t="s">
        <v>8171</v>
      </c>
      <c r="L2719" s="2" t="s">
        <v>8172</v>
      </c>
      <c r="M2719" s="3">
        <v>40359</v>
      </c>
      <c r="N2719" s="2" t="s">
        <v>9051</v>
      </c>
      <c r="O2719" s="2" t="s">
        <v>107</v>
      </c>
      <c r="P2719" s="2" t="s">
        <v>107</v>
      </c>
      <c r="Q2719" s="2" t="str">
        <f>"240-A/10"</f>
        <v>240-A/10</v>
      </c>
      <c r="R2719" s="2" t="s">
        <v>9052</v>
      </c>
      <c r="S2719" s="2"/>
      <c r="T2719" s="2">
        <v>1</v>
      </c>
      <c r="U2719" s="2" t="s">
        <v>79</v>
      </c>
      <c r="V2719" s="2">
        <v>1</v>
      </c>
      <c r="W2719" s="2" t="s">
        <v>80</v>
      </c>
      <c r="X2719" s="2">
        <v>1</v>
      </c>
      <c r="Y2719" s="2" t="s">
        <v>81</v>
      </c>
      <c r="Z2719" s="2">
        <v>1</v>
      </c>
      <c r="AA2719" s="2" t="s">
        <v>82</v>
      </c>
      <c r="AB2719" s="2">
        <v>4</v>
      </c>
      <c r="AC2719" s="2" t="s">
        <v>1569</v>
      </c>
      <c r="AD2719" s="3">
        <v>40359</v>
      </c>
      <c r="AE2719" s="4">
        <v>0.50347222222222221</v>
      </c>
      <c r="AF2719" s="2"/>
      <c r="AG2719" s="2"/>
      <c r="AH2719" s="2">
        <v>2</v>
      </c>
      <c r="AI2719" s="2" t="s">
        <v>84</v>
      </c>
      <c r="AJ2719" s="2">
        <v>12</v>
      </c>
      <c r="AK2719" s="2" t="s">
        <v>85</v>
      </c>
      <c r="AL2719" s="2">
        <v>14</v>
      </c>
      <c r="AM2719" s="2" t="s">
        <v>216</v>
      </c>
      <c r="AN2719" s="2" t="s">
        <v>9053</v>
      </c>
      <c r="AO2719" s="2" t="s">
        <v>6746</v>
      </c>
      <c r="AP2719" s="2">
        <v>11</v>
      </c>
      <c r="AQ2719" s="2" t="s">
        <v>82</v>
      </c>
      <c r="AR2719" s="2"/>
      <c r="AS2719" s="2"/>
      <c r="AT2719" s="2" t="s">
        <v>9054</v>
      </c>
      <c r="AU2719" s="2">
        <v>1</v>
      </c>
      <c r="AV2719" s="2"/>
      <c r="AW2719" s="2"/>
      <c r="AX2719" s="2"/>
      <c r="AY2719" s="2">
        <v>41</v>
      </c>
      <c r="AZ2719" s="2" t="s">
        <v>82</v>
      </c>
      <c r="BA2719" s="2">
        <v>41</v>
      </c>
      <c r="BB2719" s="2" t="s">
        <v>82</v>
      </c>
      <c r="BC2719" s="2">
        <v>41</v>
      </c>
      <c r="BD2719" s="2" t="s">
        <v>82</v>
      </c>
      <c r="BE2719" s="2">
        <v>4</v>
      </c>
      <c r="BF2719" s="2" t="s">
        <v>90</v>
      </c>
      <c r="BG2719" s="2" t="s">
        <v>7694</v>
      </c>
      <c r="BH2719" s="2"/>
      <c r="BI2719" s="2"/>
      <c r="BJ2719" s="2">
        <v>13</v>
      </c>
      <c r="BK2719" s="2" t="s">
        <v>91</v>
      </c>
      <c r="BL2719" s="2" t="s">
        <v>744</v>
      </c>
      <c r="BM2719" s="2">
        <v>241</v>
      </c>
      <c r="BN2719" s="2" t="s">
        <v>82</v>
      </c>
      <c r="BO2719" s="2"/>
      <c r="BP2719" s="2">
        <v>13</v>
      </c>
      <c r="BQ2719" s="2" t="s">
        <v>91</v>
      </c>
      <c r="BR2719" s="2" t="s">
        <v>984</v>
      </c>
      <c r="BS2719" s="3">
        <v>40359</v>
      </c>
      <c r="BT2719" s="4">
        <v>0.8586111111111111</v>
      </c>
    </row>
    <row r="2720" spans="1:72" x14ac:dyDescent="0.25">
      <c r="A2720" s="2">
        <v>3956</v>
      </c>
      <c r="B2720" s="2">
        <v>2010</v>
      </c>
      <c r="C2720" s="2" t="s">
        <v>72</v>
      </c>
      <c r="D2720" s="2" t="s">
        <v>73</v>
      </c>
      <c r="E2720" s="2"/>
      <c r="F2720" s="2">
        <v>170</v>
      </c>
      <c r="G2720" s="2" t="s">
        <v>7892</v>
      </c>
      <c r="H2720" s="2">
        <v>42</v>
      </c>
      <c r="I2720" s="2" t="s">
        <v>1096</v>
      </c>
      <c r="J2720" s="2">
        <v>550</v>
      </c>
      <c r="K2720" s="2" t="s">
        <v>6744</v>
      </c>
      <c r="L2720" s="2" t="s">
        <v>6745</v>
      </c>
      <c r="M2720" s="3">
        <v>40359</v>
      </c>
      <c r="N2720" s="2" t="s">
        <v>9055</v>
      </c>
      <c r="O2720" s="2" t="s">
        <v>107</v>
      </c>
      <c r="P2720" s="2" t="s">
        <v>107</v>
      </c>
      <c r="Q2720" s="2" t="str">
        <f>"242-A/10"</f>
        <v>242-A/10</v>
      </c>
      <c r="R2720" s="2" t="s">
        <v>116</v>
      </c>
      <c r="S2720" s="2" t="s">
        <v>116</v>
      </c>
      <c r="T2720" s="2">
        <v>1</v>
      </c>
      <c r="U2720" s="2" t="s">
        <v>79</v>
      </c>
      <c r="V2720" s="2">
        <v>1</v>
      </c>
      <c r="W2720" s="2" t="s">
        <v>80</v>
      </c>
      <c r="X2720" s="2">
        <v>12</v>
      </c>
      <c r="Y2720" s="2" t="s">
        <v>148</v>
      </c>
      <c r="Z2720" s="2">
        <v>1</v>
      </c>
      <c r="AA2720" s="2" t="s">
        <v>82</v>
      </c>
      <c r="AB2720" s="2">
        <v>6</v>
      </c>
      <c r="AC2720" s="2" t="s">
        <v>83</v>
      </c>
      <c r="AD2720" s="3">
        <v>40359</v>
      </c>
      <c r="AE2720" s="2"/>
      <c r="AF2720" s="3">
        <v>40359</v>
      </c>
      <c r="AG2720" s="4">
        <v>0.79166666666666663</v>
      </c>
      <c r="AH2720" s="2">
        <v>2</v>
      </c>
      <c r="AI2720" s="2" t="s">
        <v>84</v>
      </c>
      <c r="AJ2720" s="2">
        <v>12</v>
      </c>
      <c r="AK2720" s="2" t="s">
        <v>85</v>
      </c>
      <c r="AL2720" s="2">
        <v>11</v>
      </c>
      <c r="AM2720" s="2" t="s">
        <v>137</v>
      </c>
      <c r="AN2720" s="2" t="s">
        <v>9056</v>
      </c>
      <c r="AO2720" s="2"/>
      <c r="AP2720" s="2">
        <v>11</v>
      </c>
      <c r="AQ2720" s="2" t="s">
        <v>82</v>
      </c>
      <c r="AR2720" s="2"/>
      <c r="AS2720" s="2"/>
      <c r="AT2720" s="2" t="s">
        <v>9057</v>
      </c>
      <c r="AU2720" s="2"/>
      <c r="AV2720" s="2"/>
      <c r="AW2720" s="2"/>
      <c r="AX2720" s="2"/>
      <c r="AY2720" s="2">
        <v>41</v>
      </c>
      <c r="AZ2720" s="2" t="s">
        <v>82</v>
      </c>
      <c r="BA2720" s="2">
        <v>41</v>
      </c>
      <c r="BB2720" s="2" t="s">
        <v>82</v>
      </c>
      <c r="BC2720" s="2">
        <v>41</v>
      </c>
      <c r="BD2720" s="2" t="s">
        <v>82</v>
      </c>
      <c r="BE2720" s="2">
        <v>41</v>
      </c>
      <c r="BF2720" s="2" t="s">
        <v>82</v>
      </c>
      <c r="BG2720" s="2"/>
      <c r="BH2720" s="2"/>
      <c r="BI2720" s="2"/>
      <c r="BJ2720" s="2">
        <v>241</v>
      </c>
      <c r="BK2720" s="2" t="s">
        <v>82</v>
      </c>
      <c r="BL2720" s="2"/>
      <c r="BM2720" s="2">
        <v>241</v>
      </c>
      <c r="BN2720" s="2" t="s">
        <v>82</v>
      </c>
      <c r="BO2720" s="2"/>
      <c r="BP2720" s="2">
        <v>241</v>
      </c>
      <c r="BQ2720" s="2" t="s">
        <v>82</v>
      </c>
      <c r="BR2720" s="2"/>
      <c r="BS2720" s="3">
        <v>40359</v>
      </c>
      <c r="BT2720" s="4">
        <v>0.98211805555555554</v>
      </c>
    </row>
    <row r="2721" spans="1:72" x14ac:dyDescent="0.25">
      <c r="A2721" s="2">
        <v>3957</v>
      </c>
      <c r="B2721" s="2">
        <v>2010</v>
      </c>
      <c r="C2721" s="2" t="s">
        <v>4543</v>
      </c>
      <c r="D2721" s="2" t="s">
        <v>122</v>
      </c>
      <c r="E2721" s="2"/>
      <c r="F2721" s="2">
        <v>146</v>
      </c>
      <c r="G2721" s="2" t="s">
        <v>753</v>
      </c>
      <c r="H2721" s="2">
        <v>44</v>
      </c>
      <c r="I2721" s="2" t="s">
        <v>1272</v>
      </c>
      <c r="J2721" s="2">
        <v>161</v>
      </c>
      <c r="K2721" s="2" t="s">
        <v>1900</v>
      </c>
      <c r="L2721" s="2" t="s">
        <v>1901</v>
      </c>
      <c r="M2721" s="3">
        <v>40360</v>
      </c>
      <c r="N2721" s="2" t="s">
        <v>9058</v>
      </c>
      <c r="O2721" s="2" t="s">
        <v>9059</v>
      </c>
      <c r="P2721" s="2">
        <v>19124</v>
      </c>
      <c r="Q2721" s="2" t="str">
        <f>"N/C"</f>
        <v>N/C</v>
      </c>
      <c r="R2721" s="2" t="s">
        <v>82</v>
      </c>
      <c r="S2721" s="2" t="s">
        <v>82</v>
      </c>
      <c r="T2721" s="2">
        <v>2</v>
      </c>
      <c r="U2721" s="2" t="s">
        <v>123</v>
      </c>
      <c r="V2721" s="2">
        <v>1</v>
      </c>
      <c r="W2721" s="2" t="s">
        <v>80</v>
      </c>
      <c r="X2721" s="2">
        <v>4</v>
      </c>
      <c r="Y2721" s="2" t="s">
        <v>463</v>
      </c>
      <c r="Z2721" s="2">
        <v>1</v>
      </c>
      <c r="AA2721" s="2" t="s">
        <v>82</v>
      </c>
      <c r="AB2721" s="2">
        <v>9</v>
      </c>
      <c r="AC2721" s="2" t="s">
        <v>124</v>
      </c>
      <c r="AD2721" s="3">
        <v>40360</v>
      </c>
      <c r="AE2721" s="4">
        <v>0.48958333333333331</v>
      </c>
      <c r="AF2721" s="2"/>
      <c r="AG2721" s="2"/>
      <c r="AH2721" s="2">
        <v>6</v>
      </c>
      <c r="AI2721" s="2" t="s">
        <v>197</v>
      </c>
      <c r="AJ2721" s="2">
        <v>60</v>
      </c>
      <c r="AK2721" s="2" t="s">
        <v>543</v>
      </c>
      <c r="AL2721" s="2">
        <v>19</v>
      </c>
      <c r="AM2721" s="2" t="s">
        <v>107</v>
      </c>
      <c r="AN2721" s="2" t="s">
        <v>82</v>
      </c>
      <c r="AO2721" s="2" t="s">
        <v>2249</v>
      </c>
      <c r="AP2721" s="2">
        <v>11</v>
      </c>
      <c r="AQ2721" s="2" t="s">
        <v>82</v>
      </c>
      <c r="AR2721" s="2"/>
      <c r="AS2721" s="2"/>
      <c r="AT2721" s="2" t="s">
        <v>9060</v>
      </c>
      <c r="AU2721" s="2"/>
      <c r="AV2721" s="2"/>
      <c r="AW2721" s="2"/>
      <c r="AX2721" s="2"/>
      <c r="AY2721" s="2">
        <v>1</v>
      </c>
      <c r="AZ2721" s="2" t="s">
        <v>107</v>
      </c>
      <c r="BA2721" s="2">
        <v>1</v>
      </c>
      <c r="BB2721" s="2" t="s">
        <v>107</v>
      </c>
      <c r="BC2721" s="2">
        <v>1</v>
      </c>
      <c r="BD2721" s="2" t="s">
        <v>107</v>
      </c>
      <c r="BE2721" s="2">
        <v>49</v>
      </c>
      <c r="BF2721" s="2" t="s">
        <v>1254</v>
      </c>
      <c r="BG2721" s="2" t="s">
        <v>9061</v>
      </c>
      <c r="BH2721" s="4">
        <v>0.47916666666666669</v>
      </c>
      <c r="BI2721" s="4">
        <v>0.66666666666666663</v>
      </c>
      <c r="BJ2721" s="2">
        <v>13</v>
      </c>
      <c r="BK2721" s="2" t="s">
        <v>91</v>
      </c>
      <c r="BL2721" s="2"/>
      <c r="BM2721" s="2">
        <v>13</v>
      </c>
      <c r="BN2721" s="2" t="s">
        <v>91</v>
      </c>
      <c r="BO2721" s="2"/>
      <c r="BP2721" s="2">
        <v>13</v>
      </c>
      <c r="BQ2721" s="2" t="s">
        <v>91</v>
      </c>
      <c r="BR2721" s="2"/>
      <c r="BS2721" s="3">
        <v>40360</v>
      </c>
      <c r="BT2721" s="4">
        <v>0.51142361111111112</v>
      </c>
    </row>
    <row r="2722" spans="1:72" x14ac:dyDescent="0.25">
      <c r="A2722" s="2">
        <v>3959</v>
      </c>
      <c r="B2722" s="2">
        <v>2010</v>
      </c>
      <c r="C2722" s="2" t="s">
        <v>171</v>
      </c>
      <c r="D2722" s="2" t="s">
        <v>73</v>
      </c>
      <c r="E2722" s="2"/>
      <c r="F2722" s="2">
        <v>154</v>
      </c>
      <c r="G2722" s="2" t="s">
        <v>793</v>
      </c>
      <c r="H2722" s="2">
        <v>8</v>
      </c>
      <c r="I2722" s="2" t="s">
        <v>3451</v>
      </c>
      <c r="J2722" s="2">
        <v>166</v>
      </c>
      <c r="K2722" s="2" t="s">
        <v>795</v>
      </c>
      <c r="L2722" s="2" t="s">
        <v>796</v>
      </c>
      <c r="M2722" s="3">
        <v>40360</v>
      </c>
      <c r="N2722" s="2" t="s">
        <v>9062</v>
      </c>
      <c r="O2722" s="2"/>
      <c r="P2722" s="2"/>
      <c r="Q2722" s="2" t="str">
        <f>"244-A/10"</f>
        <v>244-A/10</v>
      </c>
      <c r="R2722" s="2"/>
      <c r="S2722" s="2" t="s">
        <v>489</v>
      </c>
      <c r="T2722" s="2">
        <v>1</v>
      </c>
      <c r="U2722" s="2" t="s">
        <v>79</v>
      </c>
      <c r="V2722" s="2">
        <v>1</v>
      </c>
      <c r="W2722" s="2" t="s">
        <v>80</v>
      </c>
      <c r="X2722" s="2">
        <v>1</v>
      </c>
      <c r="Y2722" s="2" t="s">
        <v>81</v>
      </c>
      <c r="Z2722" s="2">
        <v>1</v>
      </c>
      <c r="AA2722" s="2" t="s">
        <v>82</v>
      </c>
      <c r="AB2722" s="2">
        <v>1</v>
      </c>
      <c r="AC2722" s="2" t="s">
        <v>178</v>
      </c>
      <c r="AD2722" s="3">
        <v>40360</v>
      </c>
      <c r="AE2722" s="4">
        <v>0.35416666666666669</v>
      </c>
      <c r="AF2722" s="2"/>
      <c r="AG2722" s="2"/>
      <c r="AH2722" s="2">
        <v>2</v>
      </c>
      <c r="AI2722" s="2" t="s">
        <v>84</v>
      </c>
      <c r="AJ2722" s="2">
        <v>12</v>
      </c>
      <c r="AK2722" s="2" t="s">
        <v>85</v>
      </c>
      <c r="AL2722" s="2">
        <v>11</v>
      </c>
      <c r="AM2722" s="2" t="s">
        <v>137</v>
      </c>
      <c r="AN2722" s="2" t="s">
        <v>919</v>
      </c>
      <c r="AO2722" s="2" t="s">
        <v>9063</v>
      </c>
      <c r="AP2722" s="2">
        <v>11</v>
      </c>
      <c r="AQ2722" s="2" t="s">
        <v>82</v>
      </c>
      <c r="AR2722" s="2"/>
      <c r="AS2722" s="2"/>
      <c r="AT2722" s="2" t="s">
        <v>9064</v>
      </c>
      <c r="AU2722" s="2">
        <v>1</v>
      </c>
      <c r="AV2722" s="2"/>
      <c r="AW2722" s="2"/>
      <c r="AX2722" s="2"/>
      <c r="AY2722" s="2">
        <v>41</v>
      </c>
      <c r="AZ2722" s="2" t="s">
        <v>82</v>
      </c>
      <c r="BA2722" s="2">
        <v>41</v>
      </c>
      <c r="BB2722" s="2" t="s">
        <v>82</v>
      </c>
      <c r="BC2722" s="2">
        <v>41</v>
      </c>
      <c r="BD2722" s="2" t="s">
        <v>82</v>
      </c>
      <c r="BE2722" s="2">
        <v>47</v>
      </c>
      <c r="BF2722" s="2" t="s">
        <v>167</v>
      </c>
      <c r="BG2722" s="2" t="s">
        <v>9065</v>
      </c>
      <c r="BH2722" s="2"/>
      <c r="BI2722" s="4">
        <v>0.37152777777777773</v>
      </c>
      <c r="BJ2722" s="2">
        <v>13</v>
      </c>
      <c r="BK2722" s="2" t="s">
        <v>91</v>
      </c>
      <c r="BL2722" s="2" t="s">
        <v>564</v>
      </c>
      <c r="BM2722" s="2">
        <v>241</v>
      </c>
      <c r="BN2722" s="2" t="s">
        <v>82</v>
      </c>
      <c r="BO2722" s="2" t="s">
        <v>82</v>
      </c>
      <c r="BP2722" s="2">
        <v>13</v>
      </c>
      <c r="BQ2722" s="2" t="s">
        <v>91</v>
      </c>
      <c r="BR2722" s="2" t="s">
        <v>492</v>
      </c>
      <c r="BS2722" s="3">
        <v>40360</v>
      </c>
      <c r="BT2722" s="4">
        <v>0.55458333333333332</v>
      </c>
    </row>
    <row r="2723" spans="1:72" x14ac:dyDescent="0.25">
      <c r="A2723" s="2">
        <v>3966</v>
      </c>
      <c r="B2723" s="2">
        <v>2010</v>
      </c>
      <c r="C2723" s="2" t="s">
        <v>4543</v>
      </c>
      <c r="D2723" s="2" t="s">
        <v>122</v>
      </c>
      <c r="E2723" s="2"/>
      <c r="F2723" s="2">
        <v>1</v>
      </c>
      <c r="G2723" s="2" t="s">
        <v>82</v>
      </c>
      <c r="H2723" s="2">
        <v>1</v>
      </c>
      <c r="I2723" s="2" t="s">
        <v>82</v>
      </c>
      <c r="J2723" s="2">
        <v>1</v>
      </c>
      <c r="K2723" s="2" t="s">
        <v>107</v>
      </c>
      <c r="L2723" s="2" t="s">
        <v>107</v>
      </c>
      <c r="M2723" s="3">
        <v>40360</v>
      </c>
      <c r="N2723" s="2"/>
      <c r="O2723" s="2"/>
      <c r="P2723" s="2"/>
      <c r="Q2723" s="2" t="str">
        <f>""</f>
        <v/>
      </c>
      <c r="R2723" s="2"/>
      <c r="S2723" s="2"/>
      <c r="T2723" s="2">
        <v>2</v>
      </c>
      <c r="U2723" s="2" t="s">
        <v>123</v>
      </c>
      <c r="V2723" s="2">
        <v>1</v>
      </c>
      <c r="W2723" s="2" t="s">
        <v>80</v>
      </c>
      <c r="X2723" s="2">
        <v>1</v>
      </c>
      <c r="Y2723" s="2" t="s">
        <v>81</v>
      </c>
      <c r="Z2723" s="2">
        <v>1</v>
      </c>
      <c r="AA2723" s="2" t="s">
        <v>82</v>
      </c>
      <c r="AB2723" s="2">
        <v>9</v>
      </c>
      <c r="AC2723" s="2" t="s">
        <v>124</v>
      </c>
      <c r="AD2723" s="3">
        <v>40360</v>
      </c>
      <c r="AE2723" s="4">
        <v>0.33333333333333331</v>
      </c>
      <c r="AF2723" s="2"/>
      <c r="AG2723" s="2"/>
      <c r="AH2723" s="2">
        <v>2</v>
      </c>
      <c r="AI2723" s="2" t="s">
        <v>84</v>
      </c>
      <c r="AJ2723" s="2">
        <v>12</v>
      </c>
      <c r="AK2723" s="2" t="s">
        <v>85</v>
      </c>
      <c r="AL2723" s="2">
        <v>28</v>
      </c>
      <c r="AM2723" s="2" t="s">
        <v>5969</v>
      </c>
      <c r="AN2723" s="2" t="s">
        <v>9066</v>
      </c>
      <c r="AO2723" s="2" t="s">
        <v>8949</v>
      </c>
      <c r="AP2723" s="2">
        <v>11</v>
      </c>
      <c r="AQ2723" s="2" t="s">
        <v>82</v>
      </c>
      <c r="AR2723" s="2"/>
      <c r="AS2723" s="2"/>
      <c r="AT2723" s="2" t="s">
        <v>9067</v>
      </c>
      <c r="AU2723" s="2"/>
      <c r="AV2723" s="2"/>
      <c r="AW2723" s="2"/>
      <c r="AX2723" s="2"/>
      <c r="AY2723" s="2">
        <v>41</v>
      </c>
      <c r="AZ2723" s="2" t="s">
        <v>82</v>
      </c>
      <c r="BA2723" s="2">
        <v>41</v>
      </c>
      <c r="BB2723" s="2" t="s">
        <v>82</v>
      </c>
      <c r="BC2723" s="2">
        <v>41</v>
      </c>
      <c r="BD2723" s="2" t="s">
        <v>82</v>
      </c>
      <c r="BE2723" s="2">
        <v>41</v>
      </c>
      <c r="BF2723" s="2" t="s">
        <v>82</v>
      </c>
      <c r="BG2723" s="2"/>
      <c r="BH2723" s="2"/>
      <c r="BI2723" s="2"/>
      <c r="BJ2723" s="2">
        <v>241</v>
      </c>
      <c r="BK2723" s="2" t="s">
        <v>82</v>
      </c>
      <c r="BL2723" s="2"/>
      <c r="BM2723" s="2">
        <v>241</v>
      </c>
      <c r="BN2723" s="2" t="s">
        <v>82</v>
      </c>
      <c r="BO2723" s="2"/>
      <c r="BP2723" s="2">
        <v>241</v>
      </c>
      <c r="BQ2723" s="2" t="s">
        <v>82</v>
      </c>
      <c r="BR2723" s="2"/>
      <c r="BS2723" s="3">
        <v>40360</v>
      </c>
      <c r="BT2723" s="4">
        <v>0.68998842592592602</v>
      </c>
    </row>
    <row r="2724" spans="1:72" x14ac:dyDescent="0.25">
      <c r="A2724" s="2">
        <v>3967</v>
      </c>
      <c r="B2724" s="2">
        <v>2010</v>
      </c>
      <c r="C2724" s="2" t="s">
        <v>72</v>
      </c>
      <c r="D2724" s="2" t="s">
        <v>73</v>
      </c>
      <c r="E2724" s="2"/>
      <c r="F2724" s="2">
        <v>191</v>
      </c>
      <c r="G2724" s="2" t="s">
        <v>5531</v>
      </c>
      <c r="H2724" s="2">
        <v>108</v>
      </c>
      <c r="I2724" s="2" t="s">
        <v>1096</v>
      </c>
      <c r="J2724" s="2">
        <v>606</v>
      </c>
      <c r="K2724" s="2" t="s">
        <v>9068</v>
      </c>
      <c r="L2724" s="2" t="s">
        <v>9069</v>
      </c>
      <c r="M2724" s="3">
        <v>40360</v>
      </c>
      <c r="N2724" s="2" t="s">
        <v>9070</v>
      </c>
      <c r="O2724" s="2" t="s">
        <v>107</v>
      </c>
      <c r="P2724" s="2" t="s">
        <v>107</v>
      </c>
      <c r="Q2724" s="2" t="str">
        <f>"243-A/10"</f>
        <v>243-A/10</v>
      </c>
      <c r="R2724" s="2" t="s">
        <v>601</v>
      </c>
      <c r="S2724" s="2" t="s">
        <v>601</v>
      </c>
      <c r="T2724" s="2">
        <v>1</v>
      </c>
      <c r="U2724" s="2" t="s">
        <v>79</v>
      </c>
      <c r="V2724" s="2">
        <v>1</v>
      </c>
      <c r="W2724" s="2" t="s">
        <v>80</v>
      </c>
      <c r="X2724" s="2">
        <v>12</v>
      </c>
      <c r="Y2724" s="2" t="s">
        <v>148</v>
      </c>
      <c r="Z2724" s="2">
        <v>1</v>
      </c>
      <c r="AA2724" s="2" t="s">
        <v>82</v>
      </c>
      <c r="AB2724" s="2">
        <v>6</v>
      </c>
      <c r="AC2724" s="2" t="s">
        <v>83</v>
      </c>
      <c r="AD2724" s="3">
        <v>40360</v>
      </c>
      <c r="AE2724" s="2"/>
      <c r="AF2724" s="3">
        <v>40360</v>
      </c>
      <c r="AG2724" s="4">
        <v>0.21527777777777779</v>
      </c>
      <c r="AH2724" s="2">
        <v>2</v>
      </c>
      <c r="AI2724" s="2" t="s">
        <v>84</v>
      </c>
      <c r="AJ2724" s="2">
        <v>12</v>
      </c>
      <c r="AK2724" s="2" t="s">
        <v>85</v>
      </c>
      <c r="AL2724" s="2">
        <v>22</v>
      </c>
      <c r="AM2724" s="2" t="s">
        <v>1853</v>
      </c>
      <c r="AN2724" s="2"/>
      <c r="AO2724" s="2" t="s">
        <v>7625</v>
      </c>
      <c r="AP2724" s="2">
        <v>11</v>
      </c>
      <c r="AQ2724" s="2" t="s">
        <v>82</v>
      </c>
      <c r="AR2724" s="2"/>
      <c r="AS2724" s="2"/>
      <c r="AT2724" s="2" t="s">
        <v>9071</v>
      </c>
      <c r="AU2724" s="2"/>
      <c r="AV2724" s="2"/>
      <c r="AW2724" s="2"/>
      <c r="AX2724" s="2"/>
      <c r="AY2724" s="2">
        <v>41</v>
      </c>
      <c r="AZ2724" s="2" t="s">
        <v>82</v>
      </c>
      <c r="BA2724" s="2">
        <v>41</v>
      </c>
      <c r="BB2724" s="2" t="s">
        <v>82</v>
      </c>
      <c r="BC2724" s="2">
        <v>41</v>
      </c>
      <c r="BD2724" s="2" t="s">
        <v>82</v>
      </c>
      <c r="BE2724" s="2">
        <v>47</v>
      </c>
      <c r="BF2724" s="2" t="s">
        <v>167</v>
      </c>
      <c r="BG2724" s="2" t="s">
        <v>9072</v>
      </c>
      <c r="BH2724" s="4">
        <v>0.15972222222222224</v>
      </c>
      <c r="BI2724" s="2"/>
      <c r="BJ2724" s="2">
        <v>13</v>
      </c>
      <c r="BK2724" s="2" t="s">
        <v>91</v>
      </c>
      <c r="BL2724" s="2" t="s">
        <v>445</v>
      </c>
      <c r="BM2724" s="2">
        <v>241</v>
      </c>
      <c r="BN2724" s="2" t="s">
        <v>82</v>
      </c>
      <c r="BO2724" s="2"/>
      <c r="BP2724" s="2">
        <v>13</v>
      </c>
      <c r="BQ2724" s="2" t="s">
        <v>91</v>
      </c>
      <c r="BR2724" s="2" t="s">
        <v>564</v>
      </c>
      <c r="BS2724" s="3">
        <v>40360</v>
      </c>
      <c r="BT2724" s="4">
        <v>0.73284722222222232</v>
      </c>
    </row>
    <row r="2725" spans="1:72" x14ac:dyDescent="0.25">
      <c r="A2725" s="2">
        <v>3969</v>
      </c>
      <c r="B2725" s="2">
        <v>2010</v>
      </c>
      <c r="C2725" s="2" t="s">
        <v>385</v>
      </c>
      <c r="D2725" s="2" t="s">
        <v>122</v>
      </c>
      <c r="E2725" s="2"/>
      <c r="F2725" s="2">
        <v>1</v>
      </c>
      <c r="G2725" s="2" t="s">
        <v>82</v>
      </c>
      <c r="H2725" s="2">
        <v>1</v>
      </c>
      <c r="I2725" s="2" t="s">
        <v>82</v>
      </c>
      <c r="J2725" s="2">
        <v>1</v>
      </c>
      <c r="K2725" s="2" t="s">
        <v>107</v>
      </c>
      <c r="L2725" s="2" t="s">
        <v>107</v>
      </c>
      <c r="M2725" s="3">
        <v>40360</v>
      </c>
      <c r="N2725" s="2"/>
      <c r="O2725" s="2"/>
      <c r="P2725" s="2"/>
      <c r="Q2725" s="2" t="str">
        <f>""</f>
        <v/>
      </c>
      <c r="R2725" s="2"/>
      <c r="S2725" s="2"/>
      <c r="T2725" s="2">
        <v>1</v>
      </c>
      <c r="U2725" s="2" t="s">
        <v>79</v>
      </c>
      <c r="V2725" s="2">
        <v>1</v>
      </c>
      <c r="W2725" s="2" t="s">
        <v>80</v>
      </c>
      <c r="X2725" s="2">
        <v>11</v>
      </c>
      <c r="Y2725" s="2" t="s">
        <v>1920</v>
      </c>
      <c r="Z2725" s="2">
        <v>1</v>
      </c>
      <c r="AA2725" s="2" t="s">
        <v>82</v>
      </c>
      <c r="AB2725" s="2">
        <v>9</v>
      </c>
      <c r="AC2725" s="2" t="s">
        <v>124</v>
      </c>
      <c r="AD2725" s="3">
        <v>40360</v>
      </c>
      <c r="AE2725" s="4">
        <v>0.63541666666666663</v>
      </c>
      <c r="AF2725" s="2"/>
      <c r="AG2725" s="2"/>
      <c r="AH2725" s="2">
        <v>4</v>
      </c>
      <c r="AI2725" s="2" t="s">
        <v>125</v>
      </c>
      <c r="AJ2725" s="2">
        <v>28</v>
      </c>
      <c r="AK2725" s="2" t="s">
        <v>741</v>
      </c>
      <c r="AL2725" s="2">
        <v>10</v>
      </c>
      <c r="AM2725" s="2" t="s">
        <v>200</v>
      </c>
      <c r="AN2725" s="2" t="s">
        <v>2437</v>
      </c>
      <c r="AO2725" s="2" t="s">
        <v>9073</v>
      </c>
      <c r="AP2725" s="2">
        <v>11</v>
      </c>
      <c r="AQ2725" s="2" t="s">
        <v>82</v>
      </c>
      <c r="AR2725" s="2"/>
      <c r="AS2725" s="2"/>
      <c r="AT2725" s="2" t="s">
        <v>9074</v>
      </c>
      <c r="AU2725" s="2"/>
      <c r="AV2725" s="2"/>
      <c r="AW2725" s="2"/>
      <c r="AX2725" s="2"/>
      <c r="AY2725" s="2">
        <v>41</v>
      </c>
      <c r="AZ2725" s="2" t="s">
        <v>82</v>
      </c>
      <c r="BA2725" s="2">
        <v>41</v>
      </c>
      <c r="BB2725" s="2" t="s">
        <v>82</v>
      </c>
      <c r="BC2725" s="2">
        <v>41</v>
      </c>
      <c r="BD2725" s="2" t="s">
        <v>82</v>
      </c>
      <c r="BE2725" s="2">
        <v>41</v>
      </c>
      <c r="BF2725" s="2" t="s">
        <v>82</v>
      </c>
      <c r="BG2725" s="2">
        <v>5415</v>
      </c>
      <c r="BH2725" s="4">
        <v>0.70833333333333337</v>
      </c>
      <c r="BI2725" s="4">
        <v>0.72777777777777775</v>
      </c>
      <c r="BJ2725" s="2">
        <v>13</v>
      </c>
      <c r="BK2725" s="2" t="s">
        <v>91</v>
      </c>
      <c r="BL2725" s="2" t="s">
        <v>169</v>
      </c>
      <c r="BM2725" s="2">
        <v>13</v>
      </c>
      <c r="BN2725" s="2" t="s">
        <v>91</v>
      </c>
      <c r="BO2725" s="2" t="s">
        <v>744</v>
      </c>
      <c r="BP2725" s="2">
        <v>13</v>
      </c>
      <c r="BQ2725" s="2" t="s">
        <v>91</v>
      </c>
      <c r="BR2725" s="2" t="s">
        <v>169</v>
      </c>
      <c r="BS2725" s="3">
        <v>40360</v>
      </c>
      <c r="BT2725" s="4">
        <v>0.77700231481481474</v>
      </c>
    </row>
    <row r="2726" spans="1:72" x14ac:dyDescent="0.25">
      <c r="A2726" s="2">
        <v>3970</v>
      </c>
      <c r="B2726" s="2">
        <v>2010</v>
      </c>
      <c r="C2726" s="2" t="s">
        <v>1402</v>
      </c>
      <c r="D2726" s="2" t="s">
        <v>73</v>
      </c>
      <c r="E2726" s="2"/>
      <c r="F2726" s="2">
        <v>390</v>
      </c>
      <c r="G2726" s="2" t="s">
        <v>475</v>
      </c>
      <c r="H2726" s="2">
        <v>71</v>
      </c>
      <c r="I2726" s="2" t="s">
        <v>335</v>
      </c>
      <c r="J2726" s="2">
        <v>533</v>
      </c>
      <c r="K2726" s="2" t="s">
        <v>6511</v>
      </c>
      <c r="L2726" s="2" t="s">
        <v>478</v>
      </c>
      <c r="M2726" s="3">
        <v>40360</v>
      </c>
      <c r="N2726" s="2" t="s">
        <v>9075</v>
      </c>
      <c r="O2726" s="2" t="s">
        <v>9076</v>
      </c>
      <c r="P2726" s="2">
        <v>1367</v>
      </c>
      <c r="Q2726" s="2" t="str">
        <f>"349-E/10"</f>
        <v>349-E/10</v>
      </c>
      <c r="R2726" s="2" t="s">
        <v>9077</v>
      </c>
      <c r="S2726" s="2" t="s">
        <v>107</v>
      </c>
      <c r="T2726" s="2">
        <v>1</v>
      </c>
      <c r="U2726" s="2" t="s">
        <v>79</v>
      </c>
      <c r="V2726" s="2">
        <v>1</v>
      </c>
      <c r="W2726" s="2" t="s">
        <v>80</v>
      </c>
      <c r="X2726" s="2">
        <v>12</v>
      </c>
      <c r="Y2726" s="2" t="s">
        <v>148</v>
      </c>
      <c r="Z2726" s="2">
        <v>1</v>
      </c>
      <c r="AA2726" s="2" t="s">
        <v>82</v>
      </c>
      <c r="AB2726" s="2">
        <v>9</v>
      </c>
      <c r="AC2726" s="2" t="s">
        <v>124</v>
      </c>
      <c r="AD2726" s="3">
        <v>40360</v>
      </c>
      <c r="AE2726" s="4">
        <v>0.29166666666666669</v>
      </c>
      <c r="AF2726" s="3">
        <v>40360</v>
      </c>
      <c r="AG2726" s="4">
        <v>0.33333333333333331</v>
      </c>
      <c r="AH2726" s="2">
        <v>2</v>
      </c>
      <c r="AI2726" s="2" t="s">
        <v>84</v>
      </c>
      <c r="AJ2726" s="2">
        <v>9</v>
      </c>
      <c r="AK2726" s="2" t="s">
        <v>103</v>
      </c>
      <c r="AL2726" s="2">
        <v>2</v>
      </c>
      <c r="AM2726" s="2" t="s">
        <v>163</v>
      </c>
      <c r="AN2726" s="2" t="s">
        <v>9078</v>
      </c>
      <c r="AO2726" s="2" t="s">
        <v>9079</v>
      </c>
      <c r="AP2726" s="2">
        <v>11</v>
      </c>
      <c r="AQ2726" s="2" t="s">
        <v>82</v>
      </c>
      <c r="AR2726" s="2"/>
      <c r="AS2726" s="2"/>
      <c r="AT2726" s="2" t="s">
        <v>9080</v>
      </c>
      <c r="AU2726" s="2"/>
      <c r="AV2726" s="2"/>
      <c r="AW2726" s="2"/>
      <c r="AX2726" s="2"/>
      <c r="AY2726" s="2">
        <v>41</v>
      </c>
      <c r="AZ2726" s="2" t="s">
        <v>82</v>
      </c>
      <c r="BA2726" s="2">
        <v>41</v>
      </c>
      <c r="BB2726" s="2" t="s">
        <v>82</v>
      </c>
      <c r="BC2726" s="2">
        <v>41</v>
      </c>
      <c r="BD2726" s="2" t="s">
        <v>82</v>
      </c>
      <c r="BE2726" s="2">
        <v>41</v>
      </c>
      <c r="BF2726" s="2" t="s">
        <v>82</v>
      </c>
      <c r="BG2726" s="2"/>
      <c r="BH2726" s="2"/>
      <c r="BI2726" s="2"/>
      <c r="BJ2726" s="2">
        <v>241</v>
      </c>
      <c r="BK2726" s="2" t="s">
        <v>82</v>
      </c>
      <c r="BL2726" s="2"/>
      <c r="BM2726" s="2">
        <v>241</v>
      </c>
      <c r="BN2726" s="2" t="s">
        <v>82</v>
      </c>
      <c r="BO2726" s="2"/>
      <c r="BP2726" s="2">
        <v>241</v>
      </c>
      <c r="BQ2726" s="2" t="s">
        <v>82</v>
      </c>
      <c r="BR2726" s="2"/>
      <c r="BS2726" s="3">
        <v>40360</v>
      </c>
      <c r="BT2726" s="4">
        <v>0.81877314814814817</v>
      </c>
    </row>
    <row r="2727" spans="1:72" x14ac:dyDescent="0.25">
      <c r="A2727" s="2">
        <v>3971</v>
      </c>
      <c r="B2727" s="2">
        <v>2010</v>
      </c>
      <c r="C2727" s="2" t="s">
        <v>4543</v>
      </c>
      <c r="D2727" s="2" t="s">
        <v>122</v>
      </c>
      <c r="E2727" s="2"/>
      <c r="F2727" s="2">
        <v>433</v>
      </c>
      <c r="G2727" s="2" t="s">
        <v>504</v>
      </c>
      <c r="H2727" s="2">
        <v>99</v>
      </c>
      <c r="I2727" s="2" t="s">
        <v>6285</v>
      </c>
      <c r="J2727" s="2">
        <v>600</v>
      </c>
      <c r="K2727" s="2" t="s">
        <v>9081</v>
      </c>
      <c r="L2727" s="2" t="s">
        <v>9082</v>
      </c>
      <c r="M2727" s="3">
        <v>40360</v>
      </c>
      <c r="N2727" s="2" t="s">
        <v>9083</v>
      </c>
      <c r="O2727" s="2" t="s">
        <v>9084</v>
      </c>
      <c r="P2727" s="2" t="s">
        <v>9085</v>
      </c>
      <c r="Q2727" s="2" t="str">
        <f>"S/D"</f>
        <v>S/D</v>
      </c>
      <c r="R2727" s="2" t="s">
        <v>107</v>
      </c>
      <c r="S2727" s="2" t="s">
        <v>107</v>
      </c>
      <c r="T2727" s="2">
        <v>2</v>
      </c>
      <c r="U2727" s="2" t="s">
        <v>123</v>
      </c>
      <c r="V2727" s="2">
        <v>1</v>
      </c>
      <c r="W2727" s="2" t="s">
        <v>80</v>
      </c>
      <c r="X2727" s="2">
        <v>4</v>
      </c>
      <c r="Y2727" s="2" t="s">
        <v>463</v>
      </c>
      <c r="Z2727" s="2">
        <v>30</v>
      </c>
      <c r="AA2727" s="2" t="s">
        <v>5975</v>
      </c>
      <c r="AB2727" s="2">
        <v>9</v>
      </c>
      <c r="AC2727" s="2" t="s">
        <v>124</v>
      </c>
      <c r="AD2727" s="3">
        <v>40360</v>
      </c>
      <c r="AE2727" s="4">
        <v>0.77777777777777779</v>
      </c>
      <c r="AF2727" s="2"/>
      <c r="AG2727" s="2"/>
      <c r="AH2727" s="2">
        <v>3</v>
      </c>
      <c r="AI2727" s="2" t="s">
        <v>214</v>
      </c>
      <c r="AJ2727" s="2">
        <v>24</v>
      </c>
      <c r="AK2727" s="2" t="s">
        <v>215</v>
      </c>
      <c r="AL2727" s="2">
        <v>10</v>
      </c>
      <c r="AM2727" s="2" t="s">
        <v>200</v>
      </c>
      <c r="AN2727" s="2" t="s">
        <v>9086</v>
      </c>
      <c r="AO2727" s="2" t="s">
        <v>82</v>
      </c>
      <c r="AP2727" s="2">
        <v>11</v>
      </c>
      <c r="AQ2727" s="2" t="s">
        <v>82</v>
      </c>
      <c r="AR2727" s="2"/>
      <c r="AS2727" s="2"/>
      <c r="AT2727" s="2" t="s">
        <v>9087</v>
      </c>
      <c r="AU2727" s="2">
        <v>1</v>
      </c>
      <c r="AV2727" s="2"/>
      <c r="AW2727" s="2"/>
      <c r="AX2727" s="2"/>
      <c r="AY2727" s="2">
        <v>41</v>
      </c>
      <c r="AZ2727" s="2" t="s">
        <v>82</v>
      </c>
      <c r="BA2727" s="2">
        <v>41</v>
      </c>
      <c r="BB2727" s="2" t="s">
        <v>82</v>
      </c>
      <c r="BC2727" s="2">
        <v>41</v>
      </c>
      <c r="BD2727" s="2" t="s">
        <v>82</v>
      </c>
      <c r="BE2727" s="2">
        <v>45</v>
      </c>
      <c r="BF2727" s="2" t="s">
        <v>1855</v>
      </c>
      <c r="BG2727" s="2">
        <v>5415</v>
      </c>
      <c r="BH2727" s="4">
        <v>0.77777777777777779</v>
      </c>
      <c r="BI2727" s="2"/>
      <c r="BJ2727" s="2">
        <v>13</v>
      </c>
      <c r="BK2727" s="2" t="s">
        <v>91</v>
      </c>
      <c r="BL2727" s="2" t="s">
        <v>744</v>
      </c>
      <c r="BM2727" s="2">
        <v>241</v>
      </c>
      <c r="BN2727" s="2" t="s">
        <v>82</v>
      </c>
      <c r="BO2727" s="2"/>
      <c r="BP2727" s="2">
        <v>13</v>
      </c>
      <c r="BQ2727" s="2" t="s">
        <v>91</v>
      </c>
      <c r="BR2727" s="2" t="s">
        <v>169</v>
      </c>
      <c r="BS2727" s="3">
        <v>40360</v>
      </c>
      <c r="BT2727" s="4">
        <v>0.84392361111111114</v>
      </c>
    </row>
    <row r="2728" spans="1:72" x14ac:dyDescent="0.25">
      <c r="A2728" s="2">
        <v>3972</v>
      </c>
      <c r="B2728" s="2">
        <v>2010</v>
      </c>
      <c r="C2728" s="2" t="s">
        <v>171</v>
      </c>
      <c r="D2728" s="2" t="s">
        <v>122</v>
      </c>
      <c r="E2728" s="2" t="s">
        <v>9088</v>
      </c>
      <c r="F2728" s="2">
        <v>154</v>
      </c>
      <c r="G2728" s="2" t="s">
        <v>793</v>
      </c>
      <c r="H2728" s="2">
        <v>8</v>
      </c>
      <c r="I2728" s="2" t="s">
        <v>3451</v>
      </c>
      <c r="J2728" s="2">
        <v>166</v>
      </c>
      <c r="K2728" s="2" t="s">
        <v>795</v>
      </c>
      <c r="L2728" s="2" t="s">
        <v>796</v>
      </c>
      <c r="M2728" s="3">
        <v>40360</v>
      </c>
      <c r="N2728" s="2" t="s">
        <v>9062</v>
      </c>
      <c r="O2728" s="2"/>
      <c r="P2728" s="2"/>
      <c r="Q2728" s="2" t="str">
        <f>"244-A/10"</f>
        <v>244-A/10</v>
      </c>
      <c r="R2728" s="2" t="s">
        <v>489</v>
      </c>
      <c r="S2728" s="2"/>
      <c r="T2728" s="2">
        <v>1</v>
      </c>
      <c r="U2728" s="2" t="s">
        <v>79</v>
      </c>
      <c r="V2728" s="2">
        <v>1</v>
      </c>
      <c r="W2728" s="2" t="s">
        <v>80</v>
      </c>
      <c r="X2728" s="2">
        <v>1</v>
      </c>
      <c r="Y2728" s="2" t="s">
        <v>81</v>
      </c>
      <c r="Z2728" s="2">
        <v>1</v>
      </c>
      <c r="AA2728" s="2" t="s">
        <v>82</v>
      </c>
      <c r="AB2728" s="2">
        <v>1</v>
      </c>
      <c r="AC2728" s="2" t="s">
        <v>178</v>
      </c>
      <c r="AD2728" s="3">
        <v>40360</v>
      </c>
      <c r="AE2728" s="4">
        <v>0.3576388888888889</v>
      </c>
      <c r="AF2728" s="2"/>
      <c r="AG2728" s="2"/>
      <c r="AH2728" s="2">
        <v>2</v>
      </c>
      <c r="AI2728" s="2" t="s">
        <v>84</v>
      </c>
      <c r="AJ2728" s="2">
        <v>12</v>
      </c>
      <c r="AK2728" s="2" t="s">
        <v>85</v>
      </c>
      <c r="AL2728" s="2">
        <v>11</v>
      </c>
      <c r="AM2728" s="2" t="s">
        <v>137</v>
      </c>
      <c r="AN2728" s="2" t="s">
        <v>5079</v>
      </c>
      <c r="AO2728" s="2" t="s">
        <v>9063</v>
      </c>
      <c r="AP2728" s="2">
        <v>11</v>
      </c>
      <c r="AQ2728" s="2" t="s">
        <v>82</v>
      </c>
      <c r="AR2728" s="2"/>
      <c r="AS2728" s="2"/>
      <c r="AT2728" s="2" t="s">
        <v>9089</v>
      </c>
      <c r="AU2728" s="2"/>
      <c r="AV2728" s="2"/>
      <c r="AW2728" s="2"/>
      <c r="AX2728" s="2"/>
      <c r="AY2728" s="2">
        <v>41</v>
      </c>
      <c r="AZ2728" s="2" t="s">
        <v>82</v>
      </c>
      <c r="BA2728" s="2">
        <v>41</v>
      </c>
      <c r="BB2728" s="2" t="s">
        <v>82</v>
      </c>
      <c r="BC2728" s="2">
        <v>41</v>
      </c>
      <c r="BD2728" s="2" t="s">
        <v>82</v>
      </c>
      <c r="BE2728" s="2">
        <v>13</v>
      </c>
      <c r="BF2728" s="2" t="s">
        <v>108</v>
      </c>
      <c r="BG2728" s="2" t="s">
        <v>8086</v>
      </c>
      <c r="BH2728" s="2"/>
      <c r="BI2728" s="4">
        <v>0.37152777777777773</v>
      </c>
      <c r="BJ2728" s="2">
        <v>13</v>
      </c>
      <c r="BK2728" s="2" t="s">
        <v>91</v>
      </c>
      <c r="BL2728" s="2" t="s">
        <v>185</v>
      </c>
      <c r="BM2728" s="2">
        <v>241</v>
      </c>
      <c r="BN2728" s="2" t="s">
        <v>82</v>
      </c>
      <c r="BO2728" s="2"/>
      <c r="BP2728" s="2">
        <v>13</v>
      </c>
      <c r="BQ2728" s="2" t="s">
        <v>91</v>
      </c>
      <c r="BR2728" s="2" t="s">
        <v>492</v>
      </c>
      <c r="BS2728" s="3">
        <v>40360</v>
      </c>
      <c r="BT2728" s="4">
        <v>0.86185185185185187</v>
      </c>
    </row>
    <row r="2729" spans="1:72" x14ac:dyDescent="0.25">
      <c r="A2729" s="2">
        <v>3974</v>
      </c>
      <c r="B2729" s="2">
        <v>2010</v>
      </c>
      <c r="C2729" s="2" t="s">
        <v>72</v>
      </c>
      <c r="D2729" s="2" t="s">
        <v>73</v>
      </c>
      <c r="E2729" s="2"/>
      <c r="F2729" s="2">
        <v>174</v>
      </c>
      <c r="G2729" s="2" t="s">
        <v>9090</v>
      </c>
      <c r="H2729" s="2">
        <v>42</v>
      </c>
      <c r="I2729" s="2" t="s">
        <v>1096</v>
      </c>
      <c r="J2729" s="2">
        <v>602</v>
      </c>
      <c r="K2729" s="2" t="s">
        <v>9091</v>
      </c>
      <c r="L2729" s="2" t="s">
        <v>9092</v>
      </c>
      <c r="M2729" s="3">
        <v>40360</v>
      </c>
      <c r="N2729" s="2" t="s">
        <v>9093</v>
      </c>
      <c r="O2729" s="2" t="s">
        <v>107</v>
      </c>
      <c r="P2729" s="2" t="s">
        <v>107</v>
      </c>
      <c r="Q2729" s="2" t="str">
        <f>"245-A/10"</f>
        <v>245-A/10</v>
      </c>
      <c r="R2729" s="2" t="s">
        <v>78</v>
      </c>
      <c r="S2729" s="2" t="s">
        <v>78</v>
      </c>
      <c r="T2729" s="2">
        <v>1</v>
      </c>
      <c r="U2729" s="2" t="s">
        <v>79</v>
      </c>
      <c r="V2729" s="2">
        <v>1</v>
      </c>
      <c r="W2729" s="2" t="s">
        <v>80</v>
      </c>
      <c r="X2729" s="2">
        <v>12</v>
      </c>
      <c r="Y2729" s="2" t="s">
        <v>148</v>
      </c>
      <c r="Z2729" s="2">
        <v>1</v>
      </c>
      <c r="AA2729" s="2" t="s">
        <v>82</v>
      </c>
      <c r="AB2729" s="2">
        <v>6</v>
      </c>
      <c r="AC2729" s="2" t="s">
        <v>83</v>
      </c>
      <c r="AD2729" s="3">
        <v>40360</v>
      </c>
      <c r="AE2729" s="2"/>
      <c r="AF2729" s="3">
        <v>40360</v>
      </c>
      <c r="AG2729" s="4">
        <v>0.70833333333333337</v>
      </c>
      <c r="AH2729" s="2">
        <v>2</v>
      </c>
      <c r="AI2729" s="2" t="s">
        <v>84</v>
      </c>
      <c r="AJ2729" s="2">
        <v>12</v>
      </c>
      <c r="AK2729" s="2" t="s">
        <v>85</v>
      </c>
      <c r="AL2729" s="2">
        <v>12</v>
      </c>
      <c r="AM2729" s="2" t="s">
        <v>86</v>
      </c>
      <c r="AN2729" s="2" t="s">
        <v>9094</v>
      </c>
      <c r="AO2729" s="2" t="s">
        <v>9095</v>
      </c>
      <c r="AP2729" s="2">
        <v>11</v>
      </c>
      <c r="AQ2729" s="2" t="s">
        <v>82</v>
      </c>
      <c r="AR2729" s="2"/>
      <c r="AS2729" s="2"/>
      <c r="AT2729" s="2" t="s">
        <v>9096</v>
      </c>
      <c r="AU2729" s="2"/>
      <c r="AV2729" s="2"/>
      <c r="AW2729" s="2"/>
      <c r="AX2729" s="2"/>
      <c r="AY2729" s="2">
        <v>41</v>
      </c>
      <c r="AZ2729" s="2" t="s">
        <v>82</v>
      </c>
      <c r="BA2729" s="2">
        <v>41</v>
      </c>
      <c r="BB2729" s="2" t="s">
        <v>82</v>
      </c>
      <c r="BC2729" s="2">
        <v>41</v>
      </c>
      <c r="BD2729" s="2" t="s">
        <v>82</v>
      </c>
      <c r="BE2729" s="2">
        <v>41</v>
      </c>
      <c r="BF2729" s="2" t="s">
        <v>82</v>
      </c>
      <c r="BG2729" s="2"/>
      <c r="BH2729" s="2"/>
      <c r="BI2729" s="2"/>
      <c r="BJ2729" s="2">
        <v>241</v>
      </c>
      <c r="BK2729" s="2" t="s">
        <v>82</v>
      </c>
      <c r="BL2729" s="2"/>
      <c r="BM2729" s="2">
        <v>241</v>
      </c>
      <c r="BN2729" s="2" t="s">
        <v>82</v>
      </c>
      <c r="BO2729" s="2"/>
      <c r="BP2729" s="2">
        <v>241</v>
      </c>
      <c r="BQ2729" s="2" t="s">
        <v>82</v>
      </c>
      <c r="BR2729" s="2"/>
      <c r="BS2729" s="3">
        <v>40360</v>
      </c>
      <c r="BT2729" s="4">
        <v>0.91540509259259262</v>
      </c>
    </row>
    <row r="2730" spans="1:72" x14ac:dyDescent="0.25">
      <c r="A2730" s="2">
        <v>3975</v>
      </c>
      <c r="B2730" s="2">
        <v>2010</v>
      </c>
      <c r="C2730" s="2" t="s">
        <v>4543</v>
      </c>
      <c r="D2730" s="2" t="s">
        <v>122</v>
      </c>
      <c r="E2730" s="2"/>
      <c r="F2730" s="2">
        <v>397</v>
      </c>
      <c r="G2730" s="2" t="s">
        <v>2522</v>
      </c>
      <c r="H2730" s="2">
        <v>10</v>
      </c>
      <c r="I2730" s="2" t="s">
        <v>1031</v>
      </c>
      <c r="J2730" s="2">
        <v>377</v>
      </c>
      <c r="K2730" s="2" t="s">
        <v>1223</v>
      </c>
      <c r="L2730" s="2" t="s">
        <v>1224</v>
      </c>
      <c r="M2730" s="3">
        <v>40360</v>
      </c>
      <c r="N2730" s="2" t="s">
        <v>2523</v>
      </c>
      <c r="O2730" s="2" t="s">
        <v>107</v>
      </c>
      <c r="P2730" s="2">
        <v>12820</v>
      </c>
      <c r="Q2730" s="2" t="str">
        <f>"S/D"</f>
        <v>S/D</v>
      </c>
      <c r="R2730" s="2" t="s">
        <v>107</v>
      </c>
      <c r="S2730" s="2" t="s">
        <v>107</v>
      </c>
      <c r="T2730" s="2">
        <v>2</v>
      </c>
      <c r="U2730" s="2" t="s">
        <v>123</v>
      </c>
      <c r="V2730" s="2">
        <v>1</v>
      </c>
      <c r="W2730" s="2" t="s">
        <v>80</v>
      </c>
      <c r="X2730" s="2">
        <v>4</v>
      </c>
      <c r="Y2730" s="2" t="s">
        <v>463</v>
      </c>
      <c r="Z2730" s="2">
        <v>7</v>
      </c>
      <c r="AA2730" s="2" t="s">
        <v>1462</v>
      </c>
      <c r="AB2730" s="2">
        <v>9</v>
      </c>
      <c r="AC2730" s="2" t="s">
        <v>124</v>
      </c>
      <c r="AD2730" s="3">
        <v>40360</v>
      </c>
      <c r="AE2730" s="4">
        <v>0.54166666666666663</v>
      </c>
      <c r="AF2730" s="2"/>
      <c r="AG2730" s="2"/>
      <c r="AH2730" s="2">
        <v>2</v>
      </c>
      <c r="AI2730" s="2" t="s">
        <v>84</v>
      </c>
      <c r="AJ2730" s="2">
        <v>9</v>
      </c>
      <c r="AK2730" s="2" t="s">
        <v>103</v>
      </c>
      <c r="AL2730" s="2">
        <v>14</v>
      </c>
      <c r="AM2730" s="2" t="s">
        <v>216</v>
      </c>
      <c r="AN2730" s="2"/>
      <c r="AO2730" s="2" t="s">
        <v>9097</v>
      </c>
      <c r="AP2730" s="2">
        <v>11</v>
      </c>
      <c r="AQ2730" s="2" t="s">
        <v>82</v>
      </c>
      <c r="AR2730" s="2"/>
      <c r="AS2730" s="2"/>
      <c r="AT2730" s="2" t="s">
        <v>9098</v>
      </c>
      <c r="AU2730" s="2"/>
      <c r="AV2730" s="2"/>
      <c r="AW2730" s="2"/>
      <c r="AX2730" s="2"/>
      <c r="AY2730" s="2">
        <v>41</v>
      </c>
      <c r="AZ2730" s="2" t="s">
        <v>82</v>
      </c>
      <c r="BA2730" s="2">
        <v>41</v>
      </c>
      <c r="BB2730" s="2" t="s">
        <v>82</v>
      </c>
      <c r="BC2730" s="2">
        <v>41</v>
      </c>
      <c r="BD2730" s="2" t="s">
        <v>82</v>
      </c>
      <c r="BE2730" s="2">
        <v>23</v>
      </c>
      <c r="BF2730" s="2" t="s">
        <v>183</v>
      </c>
      <c r="BG2730" s="2" t="s">
        <v>184</v>
      </c>
      <c r="BH2730" s="2"/>
      <c r="BI2730" s="4">
        <v>0.59722222222222221</v>
      </c>
      <c r="BJ2730" s="2">
        <v>13</v>
      </c>
      <c r="BK2730" s="2" t="s">
        <v>91</v>
      </c>
      <c r="BL2730" s="2" t="s">
        <v>360</v>
      </c>
      <c r="BM2730" s="2">
        <v>73</v>
      </c>
      <c r="BN2730" s="2" t="s">
        <v>186</v>
      </c>
      <c r="BO2730" s="2" t="s">
        <v>187</v>
      </c>
      <c r="BP2730" s="2">
        <v>112</v>
      </c>
      <c r="BQ2730" s="2" t="s">
        <v>110</v>
      </c>
      <c r="BR2730" s="2" t="s">
        <v>6257</v>
      </c>
      <c r="BS2730" s="3">
        <v>40360</v>
      </c>
      <c r="BT2730" s="4">
        <v>0.98814814814814811</v>
      </c>
    </row>
    <row r="2731" spans="1:72" x14ac:dyDescent="0.25">
      <c r="A2731" s="2">
        <v>3976</v>
      </c>
      <c r="B2731" s="2">
        <v>2010</v>
      </c>
      <c r="C2731" s="2" t="s">
        <v>171</v>
      </c>
      <c r="D2731" s="2" t="s">
        <v>73</v>
      </c>
      <c r="E2731" s="2" t="s">
        <v>8255</v>
      </c>
      <c r="F2731" s="2">
        <v>425</v>
      </c>
      <c r="G2731" s="2" t="s">
        <v>286</v>
      </c>
      <c r="H2731" s="2">
        <v>39</v>
      </c>
      <c r="I2731" s="2" t="s">
        <v>1117</v>
      </c>
      <c r="J2731" s="2">
        <v>310</v>
      </c>
      <c r="K2731" s="2" t="s">
        <v>288</v>
      </c>
      <c r="L2731" s="2" t="s">
        <v>289</v>
      </c>
      <c r="M2731" s="3">
        <v>40361</v>
      </c>
      <c r="N2731" s="2"/>
      <c r="O2731" s="2" t="s">
        <v>8127</v>
      </c>
      <c r="P2731" s="2" t="s">
        <v>8128</v>
      </c>
      <c r="Q2731" s="2" t="str">
        <f>"0098/10"</f>
        <v>0098/10</v>
      </c>
      <c r="R2731" s="2" t="s">
        <v>7745</v>
      </c>
      <c r="S2731" s="2"/>
      <c r="T2731" s="2">
        <v>1</v>
      </c>
      <c r="U2731" s="2" t="s">
        <v>79</v>
      </c>
      <c r="V2731" s="2">
        <v>3</v>
      </c>
      <c r="W2731" s="2" t="s">
        <v>225</v>
      </c>
      <c r="X2731" s="2">
        <v>6</v>
      </c>
      <c r="Y2731" s="2" t="s">
        <v>249</v>
      </c>
      <c r="Z2731" s="2">
        <v>1</v>
      </c>
      <c r="AA2731" s="2" t="s">
        <v>82</v>
      </c>
      <c r="AB2731" s="2">
        <v>9</v>
      </c>
      <c r="AC2731" s="2" t="s">
        <v>124</v>
      </c>
      <c r="AD2731" s="2"/>
      <c r="AE2731" s="2"/>
      <c r="AF2731" s="2"/>
      <c r="AG2731" s="2"/>
      <c r="AH2731" s="2">
        <v>4</v>
      </c>
      <c r="AI2731" s="2" t="s">
        <v>125</v>
      </c>
      <c r="AJ2731" s="2">
        <v>26</v>
      </c>
      <c r="AK2731" s="2" t="s">
        <v>293</v>
      </c>
      <c r="AL2731" s="2">
        <v>23</v>
      </c>
      <c r="AM2731" s="2" t="s">
        <v>251</v>
      </c>
      <c r="AN2731" s="2"/>
      <c r="AO2731" s="2" t="s">
        <v>7578</v>
      </c>
      <c r="AP2731" s="2">
        <v>11</v>
      </c>
      <c r="AQ2731" s="2" t="s">
        <v>82</v>
      </c>
      <c r="AR2731" s="2"/>
      <c r="AS2731" s="2"/>
      <c r="AT2731" s="2" t="s">
        <v>9099</v>
      </c>
      <c r="AU2731" s="2"/>
      <c r="AV2731" s="2"/>
      <c r="AW2731" s="2"/>
      <c r="AX2731" s="2"/>
      <c r="AY2731" s="2">
        <v>1</v>
      </c>
      <c r="AZ2731" s="2" t="s">
        <v>107</v>
      </c>
      <c r="BA2731" s="2">
        <v>1</v>
      </c>
      <c r="BB2731" s="2" t="s">
        <v>107</v>
      </c>
      <c r="BC2731" s="2">
        <v>1</v>
      </c>
      <c r="BD2731" s="2" t="s">
        <v>107</v>
      </c>
      <c r="BE2731" s="2">
        <v>1</v>
      </c>
      <c r="BF2731" s="2" t="s">
        <v>107</v>
      </c>
      <c r="BG2731" s="2"/>
      <c r="BH2731" s="2"/>
      <c r="BI2731" s="2"/>
      <c r="BJ2731" s="2">
        <v>242</v>
      </c>
      <c r="BK2731" s="2" t="s">
        <v>107</v>
      </c>
      <c r="BL2731" s="2"/>
      <c r="BM2731" s="2">
        <v>242</v>
      </c>
      <c r="BN2731" s="2" t="s">
        <v>107</v>
      </c>
      <c r="BO2731" s="2"/>
      <c r="BP2731" s="2">
        <v>242</v>
      </c>
      <c r="BQ2731" s="2" t="s">
        <v>107</v>
      </c>
      <c r="BR2731" s="2"/>
      <c r="BS2731" s="3">
        <v>40361</v>
      </c>
      <c r="BT2731" s="4">
        <v>0.3925925925925926</v>
      </c>
    </row>
    <row r="2732" spans="1:72" x14ac:dyDescent="0.25">
      <c r="A2732" s="2">
        <v>3977</v>
      </c>
      <c r="B2732" s="2">
        <v>2010</v>
      </c>
      <c r="C2732" s="2" t="s">
        <v>4543</v>
      </c>
      <c r="D2732" s="2" t="s">
        <v>122</v>
      </c>
      <c r="E2732" s="2"/>
      <c r="F2732" s="2">
        <v>146</v>
      </c>
      <c r="G2732" s="2" t="s">
        <v>753</v>
      </c>
      <c r="H2732" s="2">
        <v>44</v>
      </c>
      <c r="I2732" s="2" t="s">
        <v>1272</v>
      </c>
      <c r="J2732" s="2">
        <v>161</v>
      </c>
      <c r="K2732" s="2" t="s">
        <v>1900</v>
      </c>
      <c r="L2732" s="2" t="s">
        <v>1901</v>
      </c>
      <c r="M2732" s="3">
        <v>40361</v>
      </c>
      <c r="N2732" s="2" t="s">
        <v>9100</v>
      </c>
      <c r="O2732" s="2" t="s">
        <v>9101</v>
      </c>
      <c r="P2732" s="2">
        <v>19124</v>
      </c>
      <c r="Q2732" s="2" t="str">
        <f>"S/D"</f>
        <v>S/D</v>
      </c>
      <c r="R2732" s="2" t="s">
        <v>107</v>
      </c>
      <c r="S2732" s="2" t="s">
        <v>107</v>
      </c>
      <c r="T2732" s="2">
        <v>2</v>
      </c>
      <c r="U2732" s="2" t="s">
        <v>123</v>
      </c>
      <c r="V2732" s="2">
        <v>1</v>
      </c>
      <c r="W2732" s="2" t="s">
        <v>80</v>
      </c>
      <c r="X2732" s="2">
        <v>5</v>
      </c>
      <c r="Y2732" s="2" t="s">
        <v>82</v>
      </c>
      <c r="Z2732" s="2">
        <v>1</v>
      </c>
      <c r="AA2732" s="2" t="s">
        <v>82</v>
      </c>
      <c r="AB2732" s="2">
        <v>9</v>
      </c>
      <c r="AC2732" s="2" t="s">
        <v>124</v>
      </c>
      <c r="AD2732" s="3">
        <v>40361</v>
      </c>
      <c r="AE2732" s="4">
        <v>0.42708333333333331</v>
      </c>
      <c r="AF2732" s="2"/>
      <c r="AG2732" s="2"/>
      <c r="AH2732" s="2">
        <v>6</v>
      </c>
      <c r="AI2732" s="2" t="s">
        <v>197</v>
      </c>
      <c r="AJ2732" s="2">
        <v>54</v>
      </c>
      <c r="AK2732" s="2" t="s">
        <v>348</v>
      </c>
      <c r="AL2732" s="2">
        <v>18</v>
      </c>
      <c r="AM2732" s="2" t="s">
        <v>82</v>
      </c>
      <c r="AN2732" s="2" t="s">
        <v>9102</v>
      </c>
      <c r="AO2732" s="2" t="s">
        <v>9103</v>
      </c>
      <c r="AP2732" s="2">
        <v>11</v>
      </c>
      <c r="AQ2732" s="2" t="s">
        <v>82</v>
      </c>
      <c r="AR2732" s="2" t="s">
        <v>107</v>
      </c>
      <c r="AS2732" s="2" t="s">
        <v>107</v>
      </c>
      <c r="AT2732" s="2" t="s">
        <v>9104</v>
      </c>
      <c r="AU2732" s="2"/>
      <c r="AV2732" s="2"/>
      <c r="AW2732" s="2"/>
      <c r="AX2732" s="2"/>
      <c r="AY2732" s="2">
        <v>1</v>
      </c>
      <c r="AZ2732" s="2" t="s">
        <v>107</v>
      </c>
      <c r="BA2732" s="2">
        <v>1</v>
      </c>
      <c r="BB2732" s="2" t="s">
        <v>107</v>
      </c>
      <c r="BC2732" s="2">
        <v>1</v>
      </c>
      <c r="BD2732" s="2" t="s">
        <v>107</v>
      </c>
      <c r="BE2732" s="2">
        <v>1</v>
      </c>
      <c r="BF2732" s="2" t="s">
        <v>107</v>
      </c>
      <c r="BG2732" s="2" t="s">
        <v>107</v>
      </c>
      <c r="BH2732" s="2"/>
      <c r="BI2732" s="2"/>
      <c r="BJ2732" s="2">
        <v>242</v>
      </c>
      <c r="BK2732" s="2" t="s">
        <v>107</v>
      </c>
      <c r="BL2732" s="2" t="s">
        <v>107</v>
      </c>
      <c r="BM2732" s="2">
        <v>242</v>
      </c>
      <c r="BN2732" s="2" t="s">
        <v>107</v>
      </c>
      <c r="BO2732" s="2" t="s">
        <v>107</v>
      </c>
      <c r="BP2732" s="2">
        <v>242</v>
      </c>
      <c r="BQ2732" s="2" t="s">
        <v>107</v>
      </c>
      <c r="BR2732" s="2" t="s">
        <v>107</v>
      </c>
      <c r="BS2732" s="3">
        <v>40361</v>
      </c>
      <c r="BT2732" s="4">
        <v>0.46234953703703702</v>
      </c>
    </row>
    <row r="2733" spans="1:72" x14ac:dyDescent="0.25">
      <c r="A2733" s="2">
        <v>3978</v>
      </c>
      <c r="B2733" s="2">
        <v>2010</v>
      </c>
      <c r="C2733" s="2" t="s">
        <v>4543</v>
      </c>
      <c r="D2733" s="2" t="s">
        <v>122</v>
      </c>
      <c r="E2733" s="2"/>
      <c r="F2733" s="2">
        <v>1</v>
      </c>
      <c r="G2733" s="2" t="s">
        <v>82</v>
      </c>
      <c r="H2733" s="2">
        <v>1</v>
      </c>
      <c r="I2733" s="2" t="s">
        <v>82</v>
      </c>
      <c r="J2733" s="2">
        <v>1</v>
      </c>
      <c r="K2733" s="2" t="s">
        <v>107</v>
      </c>
      <c r="L2733" s="2" t="s">
        <v>107</v>
      </c>
      <c r="M2733" s="3">
        <v>40361</v>
      </c>
      <c r="N2733" s="2" t="s">
        <v>82</v>
      </c>
      <c r="O2733" s="2" t="s">
        <v>82</v>
      </c>
      <c r="P2733" s="2" t="s">
        <v>82</v>
      </c>
      <c r="Q2733" s="2" t="str">
        <f>"N/C"</f>
        <v>N/C</v>
      </c>
      <c r="R2733" s="2" t="s">
        <v>82</v>
      </c>
      <c r="S2733" s="2" t="s">
        <v>82</v>
      </c>
      <c r="T2733" s="2">
        <v>2</v>
      </c>
      <c r="U2733" s="2" t="s">
        <v>123</v>
      </c>
      <c r="V2733" s="2">
        <v>1</v>
      </c>
      <c r="W2733" s="2" t="s">
        <v>80</v>
      </c>
      <c r="X2733" s="2">
        <v>1</v>
      </c>
      <c r="Y2733" s="2" t="s">
        <v>81</v>
      </c>
      <c r="Z2733" s="2">
        <v>1</v>
      </c>
      <c r="AA2733" s="2" t="s">
        <v>82</v>
      </c>
      <c r="AB2733" s="2">
        <v>9</v>
      </c>
      <c r="AC2733" s="2" t="s">
        <v>124</v>
      </c>
      <c r="AD2733" s="3">
        <v>40361</v>
      </c>
      <c r="AE2733" s="4">
        <v>0.34375</v>
      </c>
      <c r="AF2733" s="2"/>
      <c r="AG2733" s="2"/>
      <c r="AH2733" s="2">
        <v>2</v>
      </c>
      <c r="AI2733" s="2" t="s">
        <v>84</v>
      </c>
      <c r="AJ2733" s="2">
        <v>12</v>
      </c>
      <c r="AK2733" s="2" t="s">
        <v>85</v>
      </c>
      <c r="AL2733" s="2">
        <v>28</v>
      </c>
      <c r="AM2733" s="2" t="s">
        <v>5969</v>
      </c>
      <c r="AN2733" s="2" t="s">
        <v>9105</v>
      </c>
      <c r="AO2733" s="2" t="s">
        <v>8949</v>
      </c>
      <c r="AP2733" s="2">
        <v>11</v>
      </c>
      <c r="AQ2733" s="2" t="s">
        <v>82</v>
      </c>
      <c r="AR2733" s="2" t="s">
        <v>82</v>
      </c>
      <c r="AS2733" s="2" t="s">
        <v>82</v>
      </c>
      <c r="AT2733" s="2" t="s">
        <v>9106</v>
      </c>
      <c r="AU2733" s="2"/>
      <c r="AV2733" s="2"/>
      <c r="AW2733" s="2"/>
      <c r="AX2733" s="2"/>
      <c r="AY2733" s="2">
        <v>41</v>
      </c>
      <c r="AZ2733" s="2" t="s">
        <v>82</v>
      </c>
      <c r="BA2733" s="2">
        <v>41</v>
      </c>
      <c r="BB2733" s="2" t="s">
        <v>82</v>
      </c>
      <c r="BC2733" s="2">
        <v>41</v>
      </c>
      <c r="BD2733" s="2" t="s">
        <v>82</v>
      </c>
      <c r="BE2733" s="2">
        <v>41</v>
      </c>
      <c r="BF2733" s="2" t="s">
        <v>82</v>
      </c>
      <c r="BG2733" s="2" t="s">
        <v>82</v>
      </c>
      <c r="BH2733" s="2"/>
      <c r="BI2733" s="2"/>
      <c r="BJ2733" s="2">
        <v>241</v>
      </c>
      <c r="BK2733" s="2" t="s">
        <v>82</v>
      </c>
      <c r="BL2733" s="2" t="s">
        <v>82</v>
      </c>
      <c r="BM2733" s="2">
        <v>241</v>
      </c>
      <c r="BN2733" s="2" t="s">
        <v>82</v>
      </c>
      <c r="BO2733" s="2" t="s">
        <v>82</v>
      </c>
      <c r="BP2733" s="2">
        <v>241</v>
      </c>
      <c r="BQ2733" s="2" t="s">
        <v>82</v>
      </c>
      <c r="BR2733" s="2" t="s">
        <v>82</v>
      </c>
      <c r="BS2733" s="3">
        <v>40361</v>
      </c>
      <c r="BT2733" s="4">
        <v>0.48937499999999995</v>
      </c>
    </row>
    <row r="2734" spans="1:72" x14ac:dyDescent="0.25">
      <c r="A2734" s="2">
        <v>3981</v>
      </c>
      <c r="B2734" s="2">
        <v>2010</v>
      </c>
      <c r="C2734" s="2" t="s">
        <v>121</v>
      </c>
      <c r="D2734" s="2" t="s">
        <v>122</v>
      </c>
      <c r="E2734" s="2"/>
      <c r="F2734" s="2">
        <v>1</v>
      </c>
      <c r="G2734" s="2" t="s">
        <v>82</v>
      </c>
      <c r="H2734" s="2">
        <v>1</v>
      </c>
      <c r="I2734" s="2" t="s">
        <v>82</v>
      </c>
      <c r="J2734" s="2">
        <v>1</v>
      </c>
      <c r="K2734" s="2" t="s">
        <v>107</v>
      </c>
      <c r="L2734" s="2" t="s">
        <v>107</v>
      </c>
      <c r="M2734" s="3">
        <v>40361</v>
      </c>
      <c r="N2734" s="2"/>
      <c r="O2734" s="2"/>
      <c r="P2734" s="2"/>
      <c r="Q2734" s="2" t="str">
        <f>""</f>
        <v/>
      </c>
      <c r="R2734" s="2"/>
      <c r="S2734" s="2"/>
      <c r="T2734" s="2">
        <v>2</v>
      </c>
      <c r="U2734" s="2" t="s">
        <v>123</v>
      </c>
      <c r="V2734" s="2">
        <v>1</v>
      </c>
      <c r="W2734" s="2" t="s">
        <v>80</v>
      </c>
      <c r="X2734" s="2">
        <v>11</v>
      </c>
      <c r="Y2734" s="2" t="s">
        <v>1920</v>
      </c>
      <c r="Z2734" s="2">
        <v>1</v>
      </c>
      <c r="AA2734" s="2" t="s">
        <v>82</v>
      </c>
      <c r="AB2734" s="2">
        <v>9</v>
      </c>
      <c r="AC2734" s="2" t="s">
        <v>124</v>
      </c>
      <c r="AD2734" s="3">
        <v>40361</v>
      </c>
      <c r="AE2734" s="4">
        <v>0.47916666666666669</v>
      </c>
      <c r="AF2734" s="2"/>
      <c r="AG2734" s="2"/>
      <c r="AH2734" s="2">
        <v>2</v>
      </c>
      <c r="AI2734" s="2" t="s">
        <v>84</v>
      </c>
      <c r="AJ2734" s="2">
        <v>9</v>
      </c>
      <c r="AK2734" s="2" t="s">
        <v>103</v>
      </c>
      <c r="AL2734" s="2">
        <v>10</v>
      </c>
      <c r="AM2734" s="2" t="s">
        <v>200</v>
      </c>
      <c r="AN2734" s="2" t="s">
        <v>9107</v>
      </c>
      <c r="AO2734" s="2" t="s">
        <v>9107</v>
      </c>
      <c r="AP2734" s="2">
        <v>11</v>
      </c>
      <c r="AQ2734" s="2" t="s">
        <v>82</v>
      </c>
      <c r="AR2734" s="2" t="s">
        <v>82</v>
      </c>
      <c r="AS2734" s="2" t="s">
        <v>82</v>
      </c>
      <c r="AT2734" s="2" t="s">
        <v>9108</v>
      </c>
      <c r="AU2734" s="2"/>
      <c r="AV2734" s="2"/>
      <c r="AW2734" s="2"/>
      <c r="AX2734" s="2"/>
      <c r="AY2734" s="2">
        <v>41</v>
      </c>
      <c r="AZ2734" s="2" t="s">
        <v>82</v>
      </c>
      <c r="BA2734" s="2">
        <v>41</v>
      </c>
      <c r="BB2734" s="2" t="s">
        <v>82</v>
      </c>
      <c r="BC2734" s="2">
        <v>41</v>
      </c>
      <c r="BD2734" s="2" t="s">
        <v>82</v>
      </c>
      <c r="BE2734" s="2">
        <v>41</v>
      </c>
      <c r="BF2734" s="2" t="s">
        <v>82</v>
      </c>
      <c r="BG2734" s="2" t="s">
        <v>9109</v>
      </c>
      <c r="BH2734" s="4">
        <v>0.47916666666666669</v>
      </c>
      <c r="BI2734" s="2"/>
      <c r="BJ2734" s="2">
        <v>11</v>
      </c>
      <c r="BK2734" s="2" t="s">
        <v>146</v>
      </c>
      <c r="BL2734" s="2" t="s">
        <v>9110</v>
      </c>
      <c r="BM2734" s="2">
        <v>241</v>
      </c>
      <c r="BN2734" s="2" t="s">
        <v>82</v>
      </c>
      <c r="BO2734" s="2" t="s">
        <v>82</v>
      </c>
      <c r="BP2734" s="2">
        <v>13</v>
      </c>
      <c r="BQ2734" s="2" t="s">
        <v>91</v>
      </c>
      <c r="BR2734" s="2" t="s">
        <v>9111</v>
      </c>
      <c r="BS2734" s="3">
        <v>40361</v>
      </c>
      <c r="BT2734" s="4">
        <v>0.60164351851851849</v>
      </c>
    </row>
    <row r="2735" spans="1:72" x14ac:dyDescent="0.25">
      <c r="A2735" s="2">
        <v>3983</v>
      </c>
      <c r="B2735" s="2">
        <v>2010</v>
      </c>
      <c r="C2735" s="2" t="s">
        <v>72</v>
      </c>
      <c r="D2735" s="2" t="s">
        <v>73</v>
      </c>
      <c r="E2735" s="2"/>
      <c r="F2735" s="2">
        <v>345</v>
      </c>
      <c r="G2735" s="2" t="s">
        <v>9112</v>
      </c>
      <c r="H2735" s="2">
        <v>108</v>
      </c>
      <c r="I2735" s="2" t="s">
        <v>1096</v>
      </c>
      <c r="J2735" s="2">
        <v>604</v>
      </c>
      <c r="K2735" s="2" t="s">
        <v>9113</v>
      </c>
      <c r="L2735" s="2" t="s">
        <v>9114</v>
      </c>
      <c r="M2735" s="3">
        <v>40361</v>
      </c>
      <c r="N2735" s="2" t="s">
        <v>9115</v>
      </c>
      <c r="O2735" s="2" t="s">
        <v>9116</v>
      </c>
      <c r="P2735" s="2"/>
      <c r="Q2735" s="2" t="str">
        <f>"0007/2010"</f>
        <v>0007/2010</v>
      </c>
      <c r="R2735" s="2"/>
      <c r="S2735" s="2"/>
      <c r="T2735" s="2">
        <v>1</v>
      </c>
      <c r="U2735" s="2" t="s">
        <v>79</v>
      </c>
      <c r="V2735" s="2">
        <v>1</v>
      </c>
      <c r="W2735" s="2" t="s">
        <v>80</v>
      </c>
      <c r="X2735" s="2">
        <v>12</v>
      </c>
      <c r="Y2735" s="2" t="s">
        <v>148</v>
      </c>
      <c r="Z2735" s="2">
        <v>1</v>
      </c>
      <c r="AA2735" s="2" t="s">
        <v>82</v>
      </c>
      <c r="AB2735" s="2">
        <v>6</v>
      </c>
      <c r="AC2735" s="2" t="s">
        <v>83</v>
      </c>
      <c r="AD2735" s="2"/>
      <c r="AE2735" s="2"/>
      <c r="AF2735" s="3">
        <v>40361</v>
      </c>
      <c r="AG2735" s="4">
        <v>0.45833333333333331</v>
      </c>
      <c r="AH2735" s="2">
        <v>5</v>
      </c>
      <c r="AI2735" s="2" t="s">
        <v>274</v>
      </c>
      <c r="AJ2735" s="2">
        <v>41</v>
      </c>
      <c r="AK2735" s="2" t="s">
        <v>2751</v>
      </c>
      <c r="AL2735" s="2">
        <v>24</v>
      </c>
      <c r="AM2735" s="2" t="s">
        <v>1540</v>
      </c>
      <c r="AN2735" s="2"/>
      <c r="AO2735" s="2" t="s">
        <v>9117</v>
      </c>
      <c r="AP2735" s="2">
        <v>11</v>
      </c>
      <c r="AQ2735" s="2" t="s">
        <v>82</v>
      </c>
      <c r="AR2735" s="2"/>
      <c r="AS2735" s="2"/>
      <c r="AT2735" s="2" t="s">
        <v>9118</v>
      </c>
      <c r="AU2735" s="2"/>
      <c r="AV2735" s="2"/>
      <c r="AW2735" s="2"/>
      <c r="AX2735" s="2"/>
      <c r="AY2735" s="2">
        <v>43</v>
      </c>
      <c r="AZ2735" s="2" t="s">
        <v>220</v>
      </c>
      <c r="BA2735" s="2">
        <v>43</v>
      </c>
      <c r="BB2735" s="2" t="s">
        <v>220</v>
      </c>
      <c r="BC2735" s="2">
        <v>43</v>
      </c>
      <c r="BD2735" s="2" t="s">
        <v>220</v>
      </c>
      <c r="BE2735" s="2">
        <v>41</v>
      </c>
      <c r="BF2735" s="2" t="s">
        <v>82</v>
      </c>
      <c r="BG2735" s="2"/>
      <c r="BH2735" s="2"/>
      <c r="BI2735" s="2"/>
      <c r="BJ2735" s="2">
        <v>241</v>
      </c>
      <c r="BK2735" s="2" t="s">
        <v>82</v>
      </c>
      <c r="BL2735" s="2"/>
      <c r="BM2735" s="2">
        <v>241</v>
      </c>
      <c r="BN2735" s="2" t="s">
        <v>82</v>
      </c>
      <c r="BO2735" s="2"/>
      <c r="BP2735" s="2">
        <v>241</v>
      </c>
      <c r="BQ2735" s="2" t="s">
        <v>82</v>
      </c>
      <c r="BR2735" s="2"/>
      <c r="BS2735" s="3">
        <v>40361</v>
      </c>
      <c r="BT2735" s="4">
        <v>0.63728009259259266</v>
      </c>
    </row>
    <row r="2736" spans="1:72" x14ac:dyDescent="0.25">
      <c r="A2736" s="2">
        <v>3984</v>
      </c>
      <c r="B2736" s="2">
        <v>2010</v>
      </c>
      <c r="C2736" s="2" t="s">
        <v>171</v>
      </c>
      <c r="D2736" s="2" t="s">
        <v>73</v>
      </c>
      <c r="E2736" s="2" t="s">
        <v>9119</v>
      </c>
      <c r="F2736" s="2">
        <v>425</v>
      </c>
      <c r="G2736" s="2" t="s">
        <v>286</v>
      </c>
      <c r="H2736" s="2">
        <v>39</v>
      </c>
      <c r="I2736" s="2" t="s">
        <v>1117</v>
      </c>
      <c r="J2736" s="2">
        <v>310</v>
      </c>
      <c r="K2736" s="2" t="s">
        <v>288</v>
      </c>
      <c r="L2736" s="2" t="s">
        <v>289</v>
      </c>
      <c r="M2736" s="3">
        <v>40361</v>
      </c>
      <c r="N2736" s="2" t="s">
        <v>2049</v>
      </c>
      <c r="O2736" s="2" t="s">
        <v>2490</v>
      </c>
      <c r="P2736" s="2" t="s">
        <v>9120</v>
      </c>
      <c r="Q2736" s="2" t="str">
        <f>"064/10"</f>
        <v>064/10</v>
      </c>
      <c r="R2736" s="2"/>
      <c r="S2736" s="2" t="s">
        <v>822</v>
      </c>
      <c r="T2736" s="2">
        <v>1</v>
      </c>
      <c r="U2736" s="2" t="s">
        <v>79</v>
      </c>
      <c r="V2736" s="2">
        <v>1</v>
      </c>
      <c r="W2736" s="2" t="s">
        <v>80</v>
      </c>
      <c r="X2736" s="2">
        <v>1</v>
      </c>
      <c r="Y2736" s="2" t="s">
        <v>81</v>
      </c>
      <c r="Z2736" s="2">
        <v>1</v>
      </c>
      <c r="AA2736" s="2" t="s">
        <v>82</v>
      </c>
      <c r="AB2736" s="2">
        <v>1</v>
      </c>
      <c r="AC2736" s="2" t="s">
        <v>178</v>
      </c>
      <c r="AD2736" s="3">
        <v>40361</v>
      </c>
      <c r="AE2736" s="4">
        <v>0.60416666666666663</v>
      </c>
      <c r="AF2736" s="2"/>
      <c r="AG2736" s="2"/>
      <c r="AH2736" s="2">
        <v>4</v>
      </c>
      <c r="AI2736" s="2" t="s">
        <v>125</v>
      </c>
      <c r="AJ2736" s="2">
        <v>29</v>
      </c>
      <c r="AK2736" s="2" t="s">
        <v>227</v>
      </c>
      <c r="AL2736" s="2">
        <v>16</v>
      </c>
      <c r="AM2736" s="2" t="s">
        <v>392</v>
      </c>
      <c r="AN2736" s="2" t="s">
        <v>6877</v>
      </c>
      <c r="AO2736" s="2"/>
      <c r="AP2736" s="2">
        <v>12</v>
      </c>
      <c r="AQ2736" s="2" t="s">
        <v>322</v>
      </c>
      <c r="AR2736" s="2" t="s">
        <v>824</v>
      </c>
      <c r="AS2736" s="2" t="s">
        <v>825</v>
      </c>
      <c r="AT2736" s="2" t="s">
        <v>9121</v>
      </c>
      <c r="AU2736" s="2"/>
      <c r="AV2736" s="2"/>
      <c r="AW2736" s="2"/>
      <c r="AX2736" s="2"/>
      <c r="AY2736" s="2">
        <v>41</v>
      </c>
      <c r="AZ2736" s="2" t="s">
        <v>82</v>
      </c>
      <c r="BA2736" s="2">
        <v>41</v>
      </c>
      <c r="BB2736" s="2" t="s">
        <v>82</v>
      </c>
      <c r="BC2736" s="2">
        <v>41</v>
      </c>
      <c r="BD2736" s="2" t="s">
        <v>82</v>
      </c>
      <c r="BE2736" s="2">
        <v>47</v>
      </c>
      <c r="BF2736" s="2" t="s">
        <v>167</v>
      </c>
      <c r="BG2736" s="2">
        <v>2459</v>
      </c>
      <c r="BH2736" s="4">
        <v>0.97569444444444453</v>
      </c>
      <c r="BI2736" s="4">
        <v>6.9444444444444441E-3</v>
      </c>
      <c r="BJ2736" s="2">
        <v>13</v>
      </c>
      <c r="BK2736" s="2" t="s">
        <v>91</v>
      </c>
      <c r="BL2736" s="2" t="s">
        <v>828</v>
      </c>
      <c r="BM2736" s="2">
        <v>241</v>
      </c>
      <c r="BN2736" s="2" t="s">
        <v>82</v>
      </c>
      <c r="BO2736" s="2" t="s">
        <v>82</v>
      </c>
      <c r="BP2736" s="2">
        <v>13</v>
      </c>
      <c r="BQ2736" s="2" t="s">
        <v>91</v>
      </c>
      <c r="BR2736" s="2" t="s">
        <v>185</v>
      </c>
      <c r="BS2736" s="3">
        <v>40361</v>
      </c>
      <c r="BT2736" s="4">
        <v>0.640625</v>
      </c>
    </row>
    <row r="2737" spans="1:72" x14ac:dyDescent="0.25">
      <c r="A2737" s="2">
        <v>3985</v>
      </c>
      <c r="B2737" s="2">
        <v>2010</v>
      </c>
      <c r="C2737" s="2" t="s">
        <v>171</v>
      </c>
      <c r="D2737" s="2" t="s">
        <v>73</v>
      </c>
      <c r="E2737" s="2" t="s">
        <v>9122</v>
      </c>
      <c r="F2737" s="2">
        <v>425</v>
      </c>
      <c r="G2737" s="2" t="s">
        <v>286</v>
      </c>
      <c r="H2737" s="2">
        <v>39</v>
      </c>
      <c r="I2737" s="2" t="s">
        <v>1117</v>
      </c>
      <c r="J2737" s="2">
        <v>310</v>
      </c>
      <c r="K2737" s="2" t="s">
        <v>288</v>
      </c>
      <c r="L2737" s="2" t="s">
        <v>289</v>
      </c>
      <c r="M2737" s="3">
        <v>40361</v>
      </c>
      <c r="N2737" s="2" t="s">
        <v>2049</v>
      </c>
      <c r="O2737" s="2" t="s">
        <v>2490</v>
      </c>
      <c r="P2737" s="2" t="s">
        <v>9123</v>
      </c>
      <c r="Q2737" s="2" t="str">
        <f>"042/10"</f>
        <v>042/10</v>
      </c>
      <c r="R2737" s="2"/>
      <c r="S2737" s="2" t="s">
        <v>822</v>
      </c>
      <c r="T2737" s="2">
        <v>1</v>
      </c>
      <c r="U2737" s="2" t="s">
        <v>79</v>
      </c>
      <c r="V2737" s="2">
        <v>1</v>
      </c>
      <c r="W2737" s="2" t="s">
        <v>80</v>
      </c>
      <c r="X2737" s="2">
        <v>1</v>
      </c>
      <c r="Y2737" s="2" t="s">
        <v>81</v>
      </c>
      <c r="Z2737" s="2">
        <v>1</v>
      </c>
      <c r="AA2737" s="2" t="s">
        <v>82</v>
      </c>
      <c r="AB2737" s="2">
        <v>1</v>
      </c>
      <c r="AC2737" s="2" t="s">
        <v>178</v>
      </c>
      <c r="AD2737" s="3">
        <v>40361</v>
      </c>
      <c r="AE2737" s="4">
        <v>0.64583333333333337</v>
      </c>
      <c r="AF2737" s="2"/>
      <c r="AG2737" s="2"/>
      <c r="AH2737" s="2">
        <v>4</v>
      </c>
      <c r="AI2737" s="2" t="s">
        <v>125</v>
      </c>
      <c r="AJ2737" s="2">
        <v>29</v>
      </c>
      <c r="AK2737" s="2" t="s">
        <v>227</v>
      </c>
      <c r="AL2737" s="2">
        <v>16</v>
      </c>
      <c r="AM2737" s="2" t="s">
        <v>392</v>
      </c>
      <c r="AN2737" s="2" t="s">
        <v>6877</v>
      </c>
      <c r="AO2737" s="2"/>
      <c r="AP2737" s="2">
        <v>12</v>
      </c>
      <c r="AQ2737" s="2" t="s">
        <v>322</v>
      </c>
      <c r="AR2737" s="2" t="s">
        <v>824</v>
      </c>
      <c r="AS2737" s="2" t="s">
        <v>825</v>
      </c>
      <c r="AT2737" s="2" t="s">
        <v>9124</v>
      </c>
      <c r="AU2737" s="2"/>
      <c r="AV2737" s="2"/>
      <c r="AW2737" s="2"/>
      <c r="AX2737" s="2"/>
      <c r="AY2737" s="2">
        <v>41</v>
      </c>
      <c r="AZ2737" s="2" t="s">
        <v>82</v>
      </c>
      <c r="BA2737" s="2">
        <v>41</v>
      </c>
      <c r="BB2737" s="2" t="s">
        <v>82</v>
      </c>
      <c r="BC2737" s="2">
        <v>51</v>
      </c>
      <c r="BD2737" s="2" t="s">
        <v>827</v>
      </c>
      <c r="BE2737" s="2">
        <v>13</v>
      </c>
      <c r="BF2737" s="2" t="s">
        <v>108</v>
      </c>
      <c r="BG2737" s="2">
        <v>1459</v>
      </c>
      <c r="BH2737" s="4">
        <v>0.88888888888888884</v>
      </c>
      <c r="BI2737" s="4">
        <v>0.93055555555555547</v>
      </c>
      <c r="BJ2737" s="2">
        <v>13</v>
      </c>
      <c r="BK2737" s="2" t="s">
        <v>91</v>
      </c>
      <c r="BL2737" s="2" t="s">
        <v>828</v>
      </c>
      <c r="BM2737" s="2">
        <v>241</v>
      </c>
      <c r="BN2737" s="2" t="s">
        <v>82</v>
      </c>
      <c r="BO2737" s="2" t="s">
        <v>82</v>
      </c>
      <c r="BP2737" s="2">
        <v>13</v>
      </c>
      <c r="BQ2737" s="2" t="s">
        <v>91</v>
      </c>
      <c r="BR2737" s="2" t="s">
        <v>185</v>
      </c>
      <c r="BS2737" s="3">
        <v>40361</v>
      </c>
      <c r="BT2737" s="4">
        <v>0.66500000000000004</v>
      </c>
    </row>
    <row r="2738" spans="1:72" x14ac:dyDescent="0.25">
      <c r="A2738" s="2">
        <v>3986</v>
      </c>
      <c r="B2738" s="2">
        <v>2010</v>
      </c>
      <c r="C2738" s="2" t="s">
        <v>171</v>
      </c>
      <c r="D2738" s="2" t="s">
        <v>73</v>
      </c>
      <c r="E2738" s="2" t="s">
        <v>5266</v>
      </c>
      <c r="F2738" s="2">
        <v>425</v>
      </c>
      <c r="G2738" s="2" t="s">
        <v>286</v>
      </c>
      <c r="H2738" s="2">
        <v>30</v>
      </c>
      <c r="I2738" s="2" t="s">
        <v>912</v>
      </c>
      <c r="J2738" s="2">
        <v>310</v>
      </c>
      <c r="K2738" s="2" t="s">
        <v>288</v>
      </c>
      <c r="L2738" s="2" t="s">
        <v>289</v>
      </c>
      <c r="M2738" s="3">
        <v>40361</v>
      </c>
      <c r="N2738" s="2" t="s">
        <v>1917</v>
      </c>
      <c r="O2738" s="2" t="s">
        <v>4718</v>
      </c>
      <c r="P2738" s="2" t="s">
        <v>4719</v>
      </c>
      <c r="Q2738" s="2" t="str">
        <f>"84"</f>
        <v>84</v>
      </c>
      <c r="R2738" s="2"/>
      <c r="S2738" s="2"/>
      <c r="T2738" s="2">
        <v>1</v>
      </c>
      <c r="U2738" s="2" t="s">
        <v>79</v>
      </c>
      <c r="V2738" s="2">
        <v>3</v>
      </c>
      <c r="W2738" s="2" t="s">
        <v>225</v>
      </c>
      <c r="X2738" s="2">
        <v>6</v>
      </c>
      <c r="Y2738" s="2" t="s">
        <v>249</v>
      </c>
      <c r="Z2738" s="2">
        <v>1</v>
      </c>
      <c r="AA2738" s="2" t="s">
        <v>82</v>
      </c>
      <c r="AB2738" s="2">
        <v>9</v>
      </c>
      <c r="AC2738" s="2" t="s">
        <v>124</v>
      </c>
      <c r="AD2738" s="2"/>
      <c r="AE2738" s="2"/>
      <c r="AF2738" s="2"/>
      <c r="AG2738" s="2"/>
      <c r="AH2738" s="2">
        <v>4</v>
      </c>
      <c r="AI2738" s="2" t="s">
        <v>125</v>
      </c>
      <c r="AJ2738" s="2">
        <v>26</v>
      </c>
      <c r="AK2738" s="2" t="s">
        <v>293</v>
      </c>
      <c r="AL2738" s="2">
        <v>23</v>
      </c>
      <c r="AM2738" s="2" t="s">
        <v>251</v>
      </c>
      <c r="AN2738" s="2"/>
      <c r="AO2738" s="2" t="s">
        <v>7578</v>
      </c>
      <c r="AP2738" s="2">
        <v>11</v>
      </c>
      <c r="AQ2738" s="2" t="s">
        <v>82</v>
      </c>
      <c r="AR2738" s="2"/>
      <c r="AS2738" s="2"/>
      <c r="AT2738" s="2" t="s">
        <v>9125</v>
      </c>
      <c r="AU2738" s="2"/>
      <c r="AV2738" s="2"/>
      <c r="AW2738" s="2"/>
      <c r="AX2738" s="2"/>
      <c r="AY2738" s="2">
        <v>1</v>
      </c>
      <c r="AZ2738" s="2" t="s">
        <v>107</v>
      </c>
      <c r="BA2738" s="2">
        <v>1</v>
      </c>
      <c r="BB2738" s="2" t="s">
        <v>107</v>
      </c>
      <c r="BC2738" s="2">
        <v>1</v>
      </c>
      <c r="BD2738" s="2" t="s">
        <v>107</v>
      </c>
      <c r="BE2738" s="2">
        <v>1</v>
      </c>
      <c r="BF2738" s="2" t="s">
        <v>107</v>
      </c>
      <c r="BG2738" s="2"/>
      <c r="BH2738" s="2"/>
      <c r="BI2738" s="2"/>
      <c r="BJ2738" s="2">
        <v>242</v>
      </c>
      <c r="BK2738" s="2" t="s">
        <v>107</v>
      </c>
      <c r="BL2738" s="2"/>
      <c r="BM2738" s="2">
        <v>242</v>
      </c>
      <c r="BN2738" s="2" t="s">
        <v>107</v>
      </c>
      <c r="BO2738" s="2"/>
      <c r="BP2738" s="2">
        <v>242</v>
      </c>
      <c r="BQ2738" s="2" t="s">
        <v>107</v>
      </c>
      <c r="BR2738" s="2"/>
      <c r="BS2738" s="3">
        <v>40361</v>
      </c>
      <c r="BT2738" s="4">
        <v>0.724675925925926</v>
      </c>
    </row>
    <row r="2739" spans="1:72" x14ac:dyDescent="0.25">
      <c r="A2739" s="2">
        <v>3991</v>
      </c>
      <c r="B2739" s="2">
        <v>2010</v>
      </c>
      <c r="C2739" s="2" t="s">
        <v>72</v>
      </c>
      <c r="D2739" s="2" t="s">
        <v>73</v>
      </c>
      <c r="E2739" s="2"/>
      <c r="F2739" s="2">
        <v>2</v>
      </c>
      <c r="G2739" s="2" t="s">
        <v>113</v>
      </c>
      <c r="H2739" s="2">
        <v>1</v>
      </c>
      <c r="I2739" s="2" t="s">
        <v>82</v>
      </c>
      <c r="J2739" s="2">
        <v>300</v>
      </c>
      <c r="K2739" s="2" t="s">
        <v>114</v>
      </c>
      <c r="L2739" s="2" t="s">
        <v>115</v>
      </c>
      <c r="M2739" s="3">
        <v>40361</v>
      </c>
      <c r="N2739" s="2" t="s">
        <v>107</v>
      </c>
      <c r="O2739" s="2" t="s">
        <v>107</v>
      </c>
      <c r="P2739" s="2" t="s">
        <v>107</v>
      </c>
      <c r="Q2739" s="2" t="str">
        <f>"350-E/10"</f>
        <v>350-E/10</v>
      </c>
      <c r="R2739" s="2" t="s">
        <v>601</v>
      </c>
      <c r="S2739" s="2" t="s">
        <v>601</v>
      </c>
      <c r="T2739" s="2">
        <v>1</v>
      </c>
      <c r="U2739" s="2" t="s">
        <v>79</v>
      </c>
      <c r="V2739" s="2">
        <v>1</v>
      </c>
      <c r="W2739" s="2" t="s">
        <v>80</v>
      </c>
      <c r="X2739" s="2">
        <v>12</v>
      </c>
      <c r="Y2739" s="2" t="s">
        <v>148</v>
      </c>
      <c r="Z2739" s="2">
        <v>1</v>
      </c>
      <c r="AA2739" s="2" t="s">
        <v>82</v>
      </c>
      <c r="AB2739" s="2">
        <v>6</v>
      </c>
      <c r="AC2739" s="2" t="s">
        <v>83</v>
      </c>
      <c r="AD2739" s="2"/>
      <c r="AE2739" s="2"/>
      <c r="AF2739" s="3">
        <v>40361</v>
      </c>
      <c r="AG2739" s="4">
        <v>0.5</v>
      </c>
      <c r="AH2739" s="2">
        <v>2</v>
      </c>
      <c r="AI2739" s="2" t="s">
        <v>84</v>
      </c>
      <c r="AJ2739" s="2">
        <v>9</v>
      </c>
      <c r="AK2739" s="2" t="s">
        <v>103</v>
      </c>
      <c r="AL2739" s="2">
        <v>26</v>
      </c>
      <c r="AM2739" s="2" t="s">
        <v>6036</v>
      </c>
      <c r="AN2739" s="2"/>
      <c r="AO2739" s="2" t="s">
        <v>9126</v>
      </c>
      <c r="AP2739" s="2">
        <v>11</v>
      </c>
      <c r="AQ2739" s="2" t="s">
        <v>82</v>
      </c>
      <c r="AR2739" s="2"/>
      <c r="AS2739" s="2"/>
      <c r="AT2739" s="2" t="s">
        <v>9127</v>
      </c>
      <c r="AU2739" s="2"/>
      <c r="AV2739" s="2"/>
      <c r="AW2739" s="2"/>
      <c r="AX2739" s="2"/>
      <c r="AY2739" s="2">
        <v>41</v>
      </c>
      <c r="AZ2739" s="2" t="s">
        <v>82</v>
      </c>
      <c r="BA2739" s="2">
        <v>41</v>
      </c>
      <c r="BB2739" s="2" t="s">
        <v>82</v>
      </c>
      <c r="BC2739" s="2">
        <v>41</v>
      </c>
      <c r="BD2739" s="2" t="s">
        <v>82</v>
      </c>
      <c r="BE2739" s="2">
        <v>23</v>
      </c>
      <c r="BF2739" s="2" t="s">
        <v>183</v>
      </c>
      <c r="BG2739" s="2" t="s">
        <v>1375</v>
      </c>
      <c r="BH2739" s="4">
        <v>0.39583333333333331</v>
      </c>
      <c r="BI2739" s="2"/>
      <c r="BJ2739" s="2">
        <v>73</v>
      </c>
      <c r="BK2739" s="2" t="s">
        <v>186</v>
      </c>
      <c r="BL2739" s="2" t="s">
        <v>9128</v>
      </c>
      <c r="BM2739" s="2">
        <v>73</v>
      </c>
      <c r="BN2739" s="2" t="s">
        <v>186</v>
      </c>
      <c r="BO2739" s="2" t="s">
        <v>187</v>
      </c>
      <c r="BP2739" s="2">
        <v>13</v>
      </c>
      <c r="BQ2739" s="2" t="s">
        <v>91</v>
      </c>
      <c r="BR2739" s="2" t="s">
        <v>360</v>
      </c>
      <c r="BS2739" s="3">
        <v>40361</v>
      </c>
      <c r="BT2739" s="4">
        <v>0.80155092592592592</v>
      </c>
    </row>
    <row r="2740" spans="1:72" x14ac:dyDescent="0.25">
      <c r="A2740" s="2">
        <v>3992</v>
      </c>
      <c r="B2740" s="2">
        <v>2010</v>
      </c>
      <c r="C2740" s="2" t="s">
        <v>4543</v>
      </c>
      <c r="D2740" s="2" t="s">
        <v>122</v>
      </c>
      <c r="E2740" s="2"/>
      <c r="F2740" s="2">
        <v>125</v>
      </c>
      <c r="G2740" s="2" t="s">
        <v>1483</v>
      </c>
      <c r="H2740" s="2">
        <v>47</v>
      </c>
      <c r="I2740" s="2" t="s">
        <v>1409</v>
      </c>
      <c r="J2740" s="2">
        <v>139</v>
      </c>
      <c r="K2740" s="2" t="s">
        <v>1485</v>
      </c>
      <c r="L2740" s="2" t="s">
        <v>1486</v>
      </c>
      <c r="M2740" s="3">
        <v>40361</v>
      </c>
      <c r="N2740" s="2" t="s">
        <v>9129</v>
      </c>
      <c r="O2740" s="2" t="s">
        <v>107</v>
      </c>
      <c r="P2740" s="2" t="s">
        <v>203</v>
      </c>
      <c r="Q2740" s="2" t="str">
        <f>"0018-2010"</f>
        <v>0018-2010</v>
      </c>
      <c r="R2740" s="2" t="s">
        <v>9130</v>
      </c>
      <c r="S2740" s="2" t="s">
        <v>9130</v>
      </c>
      <c r="T2740" s="2">
        <v>2</v>
      </c>
      <c r="U2740" s="2" t="s">
        <v>123</v>
      </c>
      <c r="V2740" s="2">
        <v>1</v>
      </c>
      <c r="W2740" s="2" t="s">
        <v>80</v>
      </c>
      <c r="X2740" s="2">
        <v>5</v>
      </c>
      <c r="Y2740" s="2" t="s">
        <v>82</v>
      </c>
      <c r="Z2740" s="2">
        <v>10</v>
      </c>
      <c r="AA2740" s="2" t="s">
        <v>236</v>
      </c>
      <c r="AB2740" s="2">
        <v>9</v>
      </c>
      <c r="AC2740" s="2" t="s">
        <v>124</v>
      </c>
      <c r="AD2740" s="3">
        <v>40360</v>
      </c>
      <c r="AE2740" s="4">
        <v>0.41666666666666669</v>
      </c>
      <c r="AF2740" s="3">
        <v>40361</v>
      </c>
      <c r="AG2740" s="4">
        <v>0.79166666666666663</v>
      </c>
      <c r="AH2740" s="2">
        <v>6</v>
      </c>
      <c r="AI2740" s="2" t="s">
        <v>197</v>
      </c>
      <c r="AJ2740" s="2">
        <v>61</v>
      </c>
      <c r="AK2740" s="2" t="s">
        <v>686</v>
      </c>
      <c r="AL2740" s="2">
        <v>23</v>
      </c>
      <c r="AM2740" s="2" t="s">
        <v>251</v>
      </c>
      <c r="AN2740" s="2" t="s">
        <v>107</v>
      </c>
      <c r="AO2740" s="2" t="s">
        <v>107</v>
      </c>
      <c r="AP2740" s="2">
        <v>11</v>
      </c>
      <c r="AQ2740" s="2" t="s">
        <v>82</v>
      </c>
      <c r="AR2740" s="2" t="s">
        <v>107</v>
      </c>
      <c r="AS2740" s="2" t="s">
        <v>107</v>
      </c>
      <c r="AT2740" s="2" t="s">
        <v>9131</v>
      </c>
      <c r="AU2740" s="2"/>
      <c r="AV2740" s="2"/>
      <c r="AW2740" s="2"/>
      <c r="AX2740" s="2"/>
      <c r="AY2740" s="2">
        <v>1</v>
      </c>
      <c r="AZ2740" s="2" t="s">
        <v>107</v>
      </c>
      <c r="BA2740" s="2">
        <v>1</v>
      </c>
      <c r="BB2740" s="2" t="s">
        <v>107</v>
      </c>
      <c r="BC2740" s="2">
        <v>1</v>
      </c>
      <c r="BD2740" s="2" t="s">
        <v>107</v>
      </c>
      <c r="BE2740" s="2">
        <v>41</v>
      </c>
      <c r="BF2740" s="2" t="s">
        <v>82</v>
      </c>
      <c r="BG2740" s="2" t="s">
        <v>107</v>
      </c>
      <c r="BH2740" s="2"/>
      <c r="BI2740" s="2"/>
      <c r="BJ2740" s="2">
        <v>242</v>
      </c>
      <c r="BK2740" s="2" t="s">
        <v>107</v>
      </c>
      <c r="BL2740" s="2"/>
      <c r="BM2740" s="2">
        <v>242</v>
      </c>
      <c r="BN2740" s="2" t="s">
        <v>107</v>
      </c>
      <c r="BO2740" s="2"/>
      <c r="BP2740" s="2">
        <v>242</v>
      </c>
      <c r="BQ2740" s="2" t="s">
        <v>107</v>
      </c>
      <c r="BR2740" s="2"/>
      <c r="BS2740" s="3">
        <v>40361</v>
      </c>
      <c r="BT2740" s="4">
        <v>0.8359375</v>
      </c>
    </row>
    <row r="2741" spans="1:72" x14ac:dyDescent="0.25">
      <c r="A2741" s="2">
        <v>3993</v>
      </c>
      <c r="B2741" s="2">
        <v>2010</v>
      </c>
      <c r="C2741" s="2" t="s">
        <v>377</v>
      </c>
      <c r="D2741" s="2" t="s">
        <v>73</v>
      </c>
      <c r="E2741" s="2"/>
      <c r="F2741" s="2">
        <v>426</v>
      </c>
      <c r="G2741" s="2" t="s">
        <v>378</v>
      </c>
      <c r="H2741" s="2">
        <v>22</v>
      </c>
      <c r="I2741" s="2" t="s">
        <v>75</v>
      </c>
      <c r="J2741" s="2">
        <v>311</v>
      </c>
      <c r="K2741" s="2" t="s">
        <v>379</v>
      </c>
      <c r="L2741" s="2" t="s">
        <v>380</v>
      </c>
      <c r="M2741" s="3">
        <v>40361</v>
      </c>
      <c r="N2741" s="2" t="s">
        <v>9132</v>
      </c>
      <c r="O2741" s="2"/>
      <c r="P2741" s="2"/>
      <c r="Q2741" s="2" t="str">
        <f>"145-C/10"</f>
        <v>145-C/10</v>
      </c>
      <c r="R2741" s="2" t="s">
        <v>3458</v>
      </c>
      <c r="S2741" s="2"/>
      <c r="T2741" s="2">
        <v>1</v>
      </c>
      <c r="U2741" s="2" t="s">
        <v>79</v>
      </c>
      <c r="V2741" s="2">
        <v>1</v>
      </c>
      <c r="W2741" s="2" t="s">
        <v>80</v>
      </c>
      <c r="X2741" s="2">
        <v>1</v>
      </c>
      <c r="Y2741" s="2" t="s">
        <v>81</v>
      </c>
      <c r="Z2741" s="2">
        <v>1</v>
      </c>
      <c r="AA2741" s="2" t="s">
        <v>82</v>
      </c>
      <c r="AB2741" s="2">
        <v>9</v>
      </c>
      <c r="AC2741" s="2" t="s">
        <v>124</v>
      </c>
      <c r="AD2741" s="3">
        <v>40361</v>
      </c>
      <c r="AE2741" s="4">
        <v>0.63541666666666663</v>
      </c>
      <c r="AF2741" s="2"/>
      <c r="AG2741" s="2"/>
      <c r="AH2741" s="2">
        <v>2</v>
      </c>
      <c r="AI2741" s="2" t="s">
        <v>84</v>
      </c>
      <c r="AJ2741" s="2">
        <v>9</v>
      </c>
      <c r="AK2741" s="2" t="s">
        <v>103</v>
      </c>
      <c r="AL2741" s="2">
        <v>29</v>
      </c>
      <c r="AM2741" s="2" t="s">
        <v>5416</v>
      </c>
      <c r="AN2741" s="2" t="s">
        <v>1345</v>
      </c>
      <c r="AO2741" s="2" t="s">
        <v>987</v>
      </c>
      <c r="AP2741" s="2">
        <v>11</v>
      </c>
      <c r="AQ2741" s="2" t="s">
        <v>82</v>
      </c>
      <c r="AR2741" s="2"/>
      <c r="AS2741" s="2"/>
      <c r="AT2741" s="2" t="s">
        <v>9133</v>
      </c>
      <c r="AU2741" s="2"/>
      <c r="AV2741" s="2"/>
      <c r="AW2741" s="2"/>
      <c r="AX2741" s="2"/>
      <c r="AY2741" s="2">
        <v>41</v>
      </c>
      <c r="AZ2741" s="2" t="s">
        <v>82</v>
      </c>
      <c r="BA2741" s="2">
        <v>41</v>
      </c>
      <c r="BB2741" s="2" t="s">
        <v>82</v>
      </c>
      <c r="BC2741" s="2">
        <v>41</v>
      </c>
      <c r="BD2741" s="2" t="s">
        <v>82</v>
      </c>
      <c r="BE2741" s="2">
        <v>41</v>
      </c>
      <c r="BF2741" s="2" t="s">
        <v>82</v>
      </c>
      <c r="BG2741" s="2"/>
      <c r="BH2741" s="2"/>
      <c r="BI2741" s="2"/>
      <c r="BJ2741" s="2">
        <v>241</v>
      </c>
      <c r="BK2741" s="2" t="s">
        <v>82</v>
      </c>
      <c r="BL2741" s="2"/>
      <c r="BM2741" s="2">
        <v>241</v>
      </c>
      <c r="BN2741" s="2" t="s">
        <v>82</v>
      </c>
      <c r="BO2741" s="2"/>
      <c r="BP2741" s="2">
        <v>241</v>
      </c>
      <c r="BQ2741" s="2" t="s">
        <v>82</v>
      </c>
      <c r="BR2741" s="2"/>
      <c r="BS2741" s="3">
        <v>40361</v>
      </c>
      <c r="BT2741" s="4">
        <v>0.8393518518518519</v>
      </c>
    </row>
    <row r="2742" spans="1:72" x14ac:dyDescent="0.25">
      <c r="A2742" s="2">
        <v>3994</v>
      </c>
      <c r="B2742" s="2">
        <v>2010</v>
      </c>
      <c r="C2742" s="2" t="s">
        <v>4543</v>
      </c>
      <c r="D2742" s="2" t="s">
        <v>122</v>
      </c>
      <c r="E2742" s="2"/>
      <c r="F2742" s="2">
        <v>34</v>
      </c>
      <c r="G2742" s="2" t="s">
        <v>334</v>
      </c>
      <c r="H2742" s="2">
        <v>60</v>
      </c>
      <c r="I2742" s="2" t="s">
        <v>2704</v>
      </c>
      <c r="J2742" s="2">
        <v>43</v>
      </c>
      <c r="K2742" s="2" t="s">
        <v>2059</v>
      </c>
      <c r="L2742" s="2" t="s">
        <v>2060</v>
      </c>
      <c r="M2742" s="3">
        <v>40361</v>
      </c>
      <c r="N2742" s="2" t="s">
        <v>9134</v>
      </c>
      <c r="O2742" s="2" t="s">
        <v>9135</v>
      </c>
      <c r="P2742" s="2" t="s">
        <v>9136</v>
      </c>
      <c r="Q2742" s="2" t="str">
        <f>"N/C"</f>
        <v>N/C</v>
      </c>
      <c r="R2742" s="2" t="s">
        <v>82</v>
      </c>
      <c r="S2742" s="2" t="s">
        <v>82</v>
      </c>
      <c r="T2742" s="2">
        <v>2</v>
      </c>
      <c r="U2742" s="2" t="s">
        <v>123</v>
      </c>
      <c r="V2742" s="2">
        <v>1</v>
      </c>
      <c r="W2742" s="2" t="s">
        <v>80</v>
      </c>
      <c r="X2742" s="2">
        <v>4</v>
      </c>
      <c r="Y2742" s="2" t="s">
        <v>463</v>
      </c>
      <c r="Z2742" s="2">
        <v>10</v>
      </c>
      <c r="AA2742" s="2" t="s">
        <v>236</v>
      </c>
      <c r="AB2742" s="2">
        <v>9</v>
      </c>
      <c r="AC2742" s="2" t="s">
        <v>124</v>
      </c>
      <c r="AD2742" s="3">
        <v>40361</v>
      </c>
      <c r="AE2742" s="4">
        <v>0.84375</v>
      </c>
      <c r="AF2742" s="2"/>
      <c r="AG2742" s="2"/>
      <c r="AH2742" s="2">
        <v>6</v>
      </c>
      <c r="AI2742" s="2" t="s">
        <v>197</v>
      </c>
      <c r="AJ2742" s="2">
        <v>60</v>
      </c>
      <c r="AK2742" s="2" t="s">
        <v>543</v>
      </c>
      <c r="AL2742" s="2">
        <v>11</v>
      </c>
      <c r="AM2742" s="2" t="s">
        <v>137</v>
      </c>
      <c r="AN2742" s="2" t="s">
        <v>82</v>
      </c>
      <c r="AO2742" s="2" t="s">
        <v>2249</v>
      </c>
      <c r="AP2742" s="2">
        <v>11</v>
      </c>
      <c r="AQ2742" s="2" t="s">
        <v>82</v>
      </c>
      <c r="AR2742" s="2" t="s">
        <v>82</v>
      </c>
      <c r="AS2742" s="2" t="s">
        <v>82</v>
      </c>
      <c r="AT2742" s="2" t="s">
        <v>9137</v>
      </c>
      <c r="AU2742" s="2"/>
      <c r="AV2742" s="2"/>
      <c r="AW2742" s="2"/>
      <c r="AX2742" s="2"/>
      <c r="AY2742" s="2">
        <v>41</v>
      </c>
      <c r="AZ2742" s="2" t="s">
        <v>82</v>
      </c>
      <c r="BA2742" s="2">
        <v>41</v>
      </c>
      <c r="BB2742" s="2" t="s">
        <v>82</v>
      </c>
      <c r="BC2742" s="2">
        <v>41</v>
      </c>
      <c r="BD2742" s="2" t="s">
        <v>82</v>
      </c>
      <c r="BE2742" s="2">
        <v>13</v>
      </c>
      <c r="BF2742" s="2" t="s">
        <v>108</v>
      </c>
      <c r="BG2742" s="2" t="s">
        <v>6397</v>
      </c>
      <c r="BH2742" s="4">
        <v>0.82638888888888884</v>
      </c>
      <c r="BI2742" s="4">
        <v>0.85763888888888884</v>
      </c>
      <c r="BJ2742" s="2">
        <v>13</v>
      </c>
      <c r="BK2742" s="2" t="s">
        <v>91</v>
      </c>
      <c r="BL2742" s="2" t="s">
        <v>9138</v>
      </c>
      <c r="BM2742" s="2">
        <v>13</v>
      </c>
      <c r="BN2742" s="2" t="s">
        <v>91</v>
      </c>
      <c r="BO2742" s="2" t="s">
        <v>82</v>
      </c>
      <c r="BP2742" s="2">
        <v>13</v>
      </c>
      <c r="BQ2742" s="2" t="s">
        <v>91</v>
      </c>
      <c r="BR2742" s="2" t="s">
        <v>895</v>
      </c>
      <c r="BS2742" s="3">
        <v>40361</v>
      </c>
      <c r="BT2742" s="4">
        <v>0.87050925925925926</v>
      </c>
    </row>
    <row r="2743" spans="1:72" x14ac:dyDescent="0.25">
      <c r="A2743" s="2">
        <v>3997</v>
      </c>
      <c r="B2743" s="2">
        <v>2010</v>
      </c>
      <c r="C2743" s="2" t="s">
        <v>418</v>
      </c>
      <c r="D2743" s="2" t="s">
        <v>122</v>
      </c>
      <c r="E2743" s="2"/>
      <c r="F2743" s="2">
        <v>9</v>
      </c>
      <c r="G2743" s="2" t="s">
        <v>364</v>
      </c>
      <c r="H2743" s="2">
        <v>38</v>
      </c>
      <c r="I2743" s="2" t="s">
        <v>1272</v>
      </c>
      <c r="J2743" s="2">
        <v>18</v>
      </c>
      <c r="K2743" s="2" t="s">
        <v>365</v>
      </c>
      <c r="L2743" s="2" t="s">
        <v>115</v>
      </c>
      <c r="M2743" s="3">
        <v>40362</v>
      </c>
      <c r="N2743" s="2" t="s">
        <v>423</v>
      </c>
      <c r="O2743" s="2"/>
      <c r="P2743" s="2"/>
      <c r="Q2743" s="2" t="str">
        <f>""</f>
        <v/>
      </c>
      <c r="R2743" s="2"/>
      <c r="S2743" s="2"/>
      <c r="T2743" s="2">
        <v>2</v>
      </c>
      <c r="U2743" s="2" t="s">
        <v>123</v>
      </c>
      <c r="V2743" s="2">
        <v>1</v>
      </c>
      <c r="W2743" s="2" t="s">
        <v>80</v>
      </c>
      <c r="X2743" s="2">
        <v>5</v>
      </c>
      <c r="Y2743" s="2" t="s">
        <v>82</v>
      </c>
      <c r="Z2743" s="2">
        <v>1</v>
      </c>
      <c r="AA2743" s="2" t="s">
        <v>82</v>
      </c>
      <c r="AB2743" s="2">
        <v>9</v>
      </c>
      <c r="AC2743" s="2" t="s">
        <v>124</v>
      </c>
      <c r="AD2743" s="3">
        <v>40361</v>
      </c>
      <c r="AE2743" s="4">
        <v>0.79166666666666663</v>
      </c>
      <c r="AF2743" s="2"/>
      <c r="AG2743" s="2"/>
      <c r="AH2743" s="2">
        <v>3</v>
      </c>
      <c r="AI2743" s="2" t="s">
        <v>214</v>
      </c>
      <c r="AJ2743" s="2">
        <v>24</v>
      </c>
      <c r="AK2743" s="2" t="s">
        <v>215</v>
      </c>
      <c r="AL2743" s="2">
        <v>18</v>
      </c>
      <c r="AM2743" s="2" t="s">
        <v>82</v>
      </c>
      <c r="AN2743" s="2"/>
      <c r="AO2743" s="2"/>
      <c r="AP2743" s="2">
        <v>11</v>
      </c>
      <c r="AQ2743" s="2" t="s">
        <v>82</v>
      </c>
      <c r="AR2743" s="2"/>
      <c r="AS2743" s="2"/>
      <c r="AT2743" s="2" t="s">
        <v>9139</v>
      </c>
      <c r="AU2743" s="2"/>
      <c r="AV2743" s="2"/>
      <c r="AW2743" s="2"/>
      <c r="AX2743" s="2"/>
      <c r="AY2743" s="2">
        <v>13</v>
      </c>
      <c r="AZ2743" s="2" t="s">
        <v>108</v>
      </c>
      <c r="BA2743" s="2">
        <v>1</v>
      </c>
      <c r="BB2743" s="2" t="s">
        <v>107</v>
      </c>
      <c r="BC2743" s="2">
        <v>1</v>
      </c>
      <c r="BD2743" s="2" t="s">
        <v>107</v>
      </c>
      <c r="BE2743" s="2">
        <v>13</v>
      </c>
      <c r="BF2743" s="2" t="s">
        <v>108</v>
      </c>
      <c r="BG2743" s="2"/>
      <c r="BH2743" s="4">
        <v>0.79166666666666663</v>
      </c>
      <c r="BI2743" s="2"/>
      <c r="BJ2743" s="2">
        <v>13</v>
      </c>
      <c r="BK2743" s="2" t="s">
        <v>91</v>
      </c>
      <c r="BL2743" s="2" t="s">
        <v>3140</v>
      </c>
      <c r="BM2743" s="2">
        <v>242</v>
      </c>
      <c r="BN2743" s="2" t="s">
        <v>107</v>
      </c>
      <c r="BO2743" s="2"/>
      <c r="BP2743" s="2">
        <v>242</v>
      </c>
      <c r="BQ2743" s="2" t="s">
        <v>107</v>
      </c>
      <c r="BR2743" s="2" t="s">
        <v>564</v>
      </c>
      <c r="BS2743" s="3">
        <v>40362</v>
      </c>
      <c r="BT2743" s="4">
        <v>2.9317129629629634E-2</v>
      </c>
    </row>
    <row r="2744" spans="1:72" x14ac:dyDescent="0.25">
      <c r="A2744" s="2">
        <v>3998</v>
      </c>
      <c r="B2744" s="2">
        <v>2010</v>
      </c>
      <c r="C2744" s="2" t="s">
        <v>171</v>
      </c>
      <c r="D2744" s="2" t="s">
        <v>73</v>
      </c>
      <c r="E2744" s="2"/>
      <c r="F2744" s="2">
        <v>397</v>
      </c>
      <c r="G2744" s="2" t="s">
        <v>2522</v>
      </c>
      <c r="H2744" s="2">
        <v>11</v>
      </c>
      <c r="I2744" s="2" t="s">
        <v>1397</v>
      </c>
      <c r="J2744" s="2">
        <v>377</v>
      </c>
      <c r="K2744" s="2" t="s">
        <v>1223</v>
      </c>
      <c r="L2744" s="2" t="s">
        <v>1224</v>
      </c>
      <c r="M2744" s="3">
        <v>40362</v>
      </c>
      <c r="N2744" s="2" t="s">
        <v>2952</v>
      </c>
      <c r="O2744" s="2"/>
      <c r="P2744" s="2"/>
      <c r="Q2744" s="2" t="str">
        <f>"348-E/10"</f>
        <v>348-E/10</v>
      </c>
      <c r="R2744" s="2" t="s">
        <v>391</v>
      </c>
      <c r="S2744" s="2" t="s">
        <v>391</v>
      </c>
      <c r="T2744" s="2">
        <v>1</v>
      </c>
      <c r="U2744" s="2" t="s">
        <v>79</v>
      </c>
      <c r="V2744" s="2">
        <v>1</v>
      </c>
      <c r="W2744" s="2" t="s">
        <v>80</v>
      </c>
      <c r="X2744" s="2">
        <v>1</v>
      </c>
      <c r="Y2744" s="2" t="s">
        <v>81</v>
      </c>
      <c r="Z2744" s="2">
        <v>1</v>
      </c>
      <c r="AA2744" s="2" t="s">
        <v>82</v>
      </c>
      <c r="AB2744" s="2">
        <v>1</v>
      </c>
      <c r="AC2744" s="2" t="s">
        <v>178</v>
      </c>
      <c r="AD2744" s="3">
        <v>40359</v>
      </c>
      <c r="AE2744" s="4">
        <v>0.84722222222222221</v>
      </c>
      <c r="AF2744" s="2"/>
      <c r="AG2744" s="2"/>
      <c r="AH2744" s="2">
        <v>2</v>
      </c>
      <c r="AI2744" s="2" t="s">
        <v>84</v>
      </c>
      <c r="AJ2744" s="2">
        <v>9</v>
      </c>
      <c r="AK2744" s="2" t="s">
        <v>103</v>
      </c>
      <c r="AL2744" s="2">
        <v>25</v>
      </c>
      <c r="AM2744" s="2" t="s">
        <v>3073</v>
      </c>
      <c r="AN2744" s="2" t="s">
        <v>8216</v>
      </c>
      <c r="AO2744" s="2" t="s">
        <v>590</v>
      </c>
      <c r="AP2744" s="2">
        <v>11</v>
      </c>
      <c r="AQ2744" s="2" t="s">
        <v>82</v>
      </c>
      <c r="AR2744" s="2"/>
      <c r="AS2744" s="2"/>
      <c r="AT2744" s="2" t="s">
        <v>9140</v>
      </c>
      <c r="AU2744" s="2"/>
      <c r="AV2744" s="2">
        <v>1</v>
      </c>
      <c r="AW2744" s="2"/>
      <c r="AX2744" s="2"/>
      <c r="AY2744" s="2">
        <v>42</v>
      </c>
      <c r="AZ2744" s="2" t="s">
        <v>182</v>
      </c>
      <c r="BA2744" s="2">
        <v>41</v>
      </c>
      <c r="BB2744" s="2" t="s">
        <v>82</v>
      </c>
      <c r="BC2744" s="2">
        <v>41</v>
      </c>
      <c r="BD2744" s="2" t="s">
        <v>82</v>
      </c>
      <c r="BE2744" s="2">
        <v>13</v>
      </c>
      <c r="BF2744" s="2" t="s">
        <v>108</v>
      </c>
      <c r="BG2744" s="2" t="s">
        <v>842</v>
      </c>
      <c r="BH2744" s="4">
        <v>0</v>
      </c>
      <c r="BI2744" s="4">
        <v>0.875</v>
      </c>
      <c r="BJ2744" s="2">
        <v>13</v>
      </c>
      <c r="BK2744" s="2" t="s">
        <v>91</v>
      </c>
      <c r="BL2744" s="2" t="s">
        <v>360</v>
      </c>
      <c r="BM2744" s="2">
        <v>241</v>
      </c>
      <c r="BN2744" s="2" t="s">
        <v>82</v>
      </c>
      <c r="BO2744" s="2"/>
      <c r="BP2744" s="2">
        <v>73</v>
      </c>
      <c r="BQ2744" s="2" t="s">
        <v>186</v>
      </c>
      <c r="BR2744" s="2" t="s">
        <v>187</v>
      </c>
      <c r="BS2744" s="3">
        <v>40362</v>
      </c>
      <c r="BT2744" s="4">
        <v>9.8831018518518512E-2</v>
      </c>
    </row>
    <row r="2745" spans="1:72" x14ac:dyDescent="0.25">
      <c r="A2745" s="2">
        <v>3999</v>
      </c>
      <c r="B2745" s="2">
        <v>2010</v>
      </c>
      <c r="C2745" s="2" t="s">
        <v>72</v>
      </c>
      <c r="D2745" s="2" t="s">
        <v>73</v>
      </c>
      <c r="E2745" s="2"/>
      <c r="F2745" s="2">
        <v>649</v>
      </c>
      <c r="G2745" s="2" t="s">
        <v>9141</v>
      </c>
      <c r="H2745" s="2">
        <v>42</v>
      </c>
      <c r="I2745" s="2" t="s">
        <v>1096</v>
      </c>
      <c r="J2745" s="2">
        <v>602</v>
      </c>
      <c r="K2745" s="2" t="s">
        <v>9091</v>
      </c>
      <c r="L2745" s="2" t="s">
        <v>9092</v>
      </c>
      <c r="M2745" s="3">
        <v>40362</v>
      </c>
      <c r="N2745" s="2" t="s">
        <v>9093</v>
      </c>
      <c r="O2745" s="2" t="s">
        <v>107</v>
      </c>
      <c r="P2745" s="2" t="s">
        <v>107</v>
      </c>
      <c r="Q2745" s="2" t="str">
        <f>"246-A/10"</f>
        <v>246-A/10</v>
      </c>
      <c r="R2745" s="2" t="s">
        <v>78</v>
      </c>
      <c r="S2745" s="2" t="s">
        <v>78</v>
      </c>
      <c r="T2745" s="2">
        <v>1</v>
      </c>
      <c r="U2745" s="2" t="s">
        <v>79</v>
      </c>
      <c r="V2745" s="2">
        <v>1</v>
      </c>
      <c r="W2745" s="2" t="s">
        <v>80</v>
      </c>
      <c r="X2745" s="2">
        <v>12</v>
      </c>
      <c r="Y2745" s="2" t="s">
        <v>148</v>
      </c>
      <c r="Z2745" s="2">
        <v>1</v>
      </c>
      <c r="AA2745" s="2" t="s">
        <v>82</v>
      </c>
      <c r="AB2745" s="2">
        <v>6</v>
      </c>
      <c r="AC2745" s="2" t="s">
        <v>83</v>
      </c>
      <c r="AD2745" s="3">
        <v>40362</v>
      </c>
      <c r="AE2745" s="2"/>
      <c r="AF2745" s="3">
        <v>40362</v>
      </c>
      <c r="AG2745" s="4">
        <v>0.29166666666666669</v>
      </c>
      <c r="AH2745" s="2">
        <v>2</v>
      </c>
      <c r="AI2745" s="2" t="s">
        <v>84</v>
      </c>
      <c r="AJ2745" s="2">
        <v>12</v>
      </c>
      <c r="AK2745" s="2" t="s">
        <v>85</v>
      </c>
      <c r="AL2745" s="2">
        <v>29</v>
      </c>
      <c r="AM2745" s="2" t="s">
        <v>5416</v>
      </c>
      <c r="AN2745" s="2" t="s">
        <v>9142</v>
      </c>
      <c r="AO2745" s="2"/>
      <c r="AP2745" s="2">
        <v>11</v>
      </c>
      <c r="AQ2745" s="2" t="s">
        <v>82</v>
      </c>
      <c r="AR2745" s="2"/>
      <c r="AS2745" s="2"/>
      <c r="AT2745" s="2" t="s">
        <v>9143</v>
      </c>
      <c r="AU2745" s="2"/>
      <c r="AV2745" s="2"/>
      <c r="AW2745" s="2"/>
      <c r="AX2745" s="2"/>
      <c r="AY2745" s="2">
        <v>41</v>
      </c>
      <c r="AZ2745" s="2" t="s">
        <v>82</v>
      </c>
      <c r="BA2745" s="2">
        <v>41</v>
      </c>
      <c r="BB2745" s="2" t="s">
        <v>82</v>
      </c>
      <c r="BC2745" s="2">
        <v>41</v>
      </c>
      <c r="BD2745" s="2" t="s">
        <v>82</v>
      </c>
      <c r="BE2745" s="2">
        <v>41</v>
      </c>
      <c r="BF2745" s="2" t="s">
        <v>82</v>
      </c>
      <c r="BG2745" s="2"/>
      <c r="BH2745" s="2"/>
      <c r="BI2745" s="2"/>
      <c r="BJ2745" s="2">
        <v>241</v>
      </c>
      <c r="BK2745" s="2" t="s">
        <v>82</v>
      </c>
      <c r="BL2745" s="2"/>
      <c r="BM2745" s="2">
        <v>241</v>
      </c>
      <c r="BN2745" s="2" t="s">
        <v>82</v>
      </c>
      <c r="BO2745" s="2"/>
      <c r="BP2745" s="2">
        <v>241</v>
      </c>
      <c r="BQ2745" s="2" t="s">
        <v>82</v>
      </c>
      <c r="BR2745" s="2"/>
      <c r="BS2745" s="3">
        <v>40362</v>
      </c>
      <c r="BT2745" s="4">
        <v>0.41106481481481483</v>
      </c>
    </row>
    <row r="2746" spans="1:72" x14ac:dyDescent="0.25">
      <c r="A2746" s="2">
        <v>4001</v>
      </c>
      <c r="B2746" s="2">
        <v>2010</v>
      </c>
      <c r="C2746" s="2" t="s">
        <v>377</v>
      </c>
      <c r="D2746" s="2" t="s">
        <v>73</v>
      </c>
      <c r="E2746" s="2"/>
      <c r="F2746" s="2">
        <v>426</v>
      </c>
      <c r="G2746" s="2" t="s">
        <v>378</v>
      </c>
      <c r="H2746" s="2">
        <v>108</v>
      </c>
      <c r="I2746" s="2" t="s">
        <v>1096</v>
      </c>
      <c r="J2746" s="2">
        <v>311</v>
      </c>
      <c r="K2746" s="2" t="s">
        <v>379</v>
      </c>
      <c r="L2746" s="2" t="s">
        <v>380</v>
      </c>
      <c r="M2746" s="3">
        <v>40362</v>
      </c>
      <c r="N2746" s="2" t="s">
        <v>7171</v>
      </c>
      <c r="O2746" s="2"/>
      <c r="P2746" s="2"/>
      <c r="Q2746" s="2" t="str">
        <f>"146-C/10"</f>
        <v>146-C/10</v>
      </c>
      <c r="R2746" s="2" t="s">
        <v>7074</v>
      </c>
      <c r="S2746" s="2"/>
      <c r="T2746" s="2">
        <v>1</v>
      </c>
      <c r="U2746" s="2" t="s">
        <v>79</v>
      </c>
      <c r="V2746" s="2">
        <v>1</v>
      </c>
      <c r="W2746" s="2" t="s">
        <v>80</v>
      </c>
      <c r="X2746" s="2">
        <v>1</v>
      </c>
      <c r="Y2746" s="2" t="s">
        <v>81</v>
      </c>
      <c r="Z2746" s="2">
        <v>1</v>
      </c>
      <c r="AA2746" s="2" t="s">
        <v>82</v>
      </c>
      <c r="AB2746" s="2">
        <v>9</v>
      </c>
      <c r="AC2746" s="2" t="s">
        <v>124</v>
      </c>
      <c r="AD2746" s="3">
        <v>40361</v>
      </c>
      <c r="AE2746" s="4">
        <v>0.94444444444444453</v>
      </c>
      <c r="AF2746" s="2"/>
      <c r="AG2746" s="2"/>
      <c r="AH2746" s="2">
        <v>2</v>
      </c>
      <c r="AI2746" s="2" t="s">
        <v>84</v>
      </c>
      <c r="AJ2746" s="2">
        <v>9</v>
      </c>
      <c r="AK2746" s="2" t="s">
        <v>103</v>
      </c>
      <c r="AL2746" s="2">
        <v>28</v>
      </c>
      <c r="AM2746" s="2" t="s">
        <v>5969</v>
      </c>
      <c r="AN2746" s="2"/>
      <c r="AO2746" s="2" t="s">
        <v>5705</v>
      </c>
      <c r="AP2746" s="2">
        <v>11</v>
      </c>
      <c r="AQ2746" s="2" t="s">
        <v>82</v>
      </c>
      <c r="AR2746" s="2"/>
      <c r="AS2746" s="2"/>
      <c r="AT2746" s="2" t="s">
        <v>9144</v>
      </c>
      <c r="AU2746" s="2"/>
      <c r="AV2746" s="2"/>
      <c r="AW2746" s="2"/>
      <c r="AX2746" s="2"/>
      <c r="AY2746" s="2">
        <v>41</v>
      </c>
      <c r="AZ2746" s="2" t="s">
        <v>82</v>
      </c>
      <c r="BA2746" s="2">
        <v>41</v>
      </c>
      <c r="BB2746" s="2" t="s">
        <v>82</v>
      </c>
      <c r="BC2746" s="2">
        <v>41</v>
      </c>
      <c r="BD2746" s="2" t="s">
        <v>82</v>
      </c>
      <c r="BE2746" s="2">
        <v>41</v>
      </c>
      <c r="BF2746" s="2" t="s">
        <v>82</v>
      </c>
      <c r="BG2746" s="2"/>
      <c r="BH2746" s="2"/>
      <c r="BI2746" s="2"/>
      <c r="BJ2746" s="2">
        <v>241</v>
      </c>
      <c r="BK2746" s="2" t="s">
        <v>82</v>
      </c>
      <c r="BL2746" s="2"/>
      <c r="BM2746" s="2">
        <v>13</v>
      </c>
      <c r="BN2746" s="2" t="s">
        <v>91</v>
      </c>
      <c r="BO2746" s="2"/>
      <c r="BP2746" s="2">
        <v>241</v>
      </c>
      <c r="BQ2746" s="2" t="s">
        <v>82</v>
      </c>
      <c r="BR2746" s="2"/>
      <c r="BS2746" s="3">
        <v>40362</v>
      </c>
      <c r="BT2746" s="4">
        <v>0.59039351851851851</v>
      </c>
    </row>
    <row r="2747" spans="1:72" x14ac:dyDescent="0.25">
      <c r="A2747" s="2">
        <v>4002</v>
      </c>
      <c r="B2747" s="2">
        <v>2010</v>
      </c>
      <c r="C2747" s="2" t="s">
        <v>121</v>
      </c>
      <c r="D2747" s="2" t="s">
        <v>122</v>
      </c>
      <c r="E2747" s="2"/>
      <c r="F2747" s="2">
        <v>1</v>
      </c>
      <c r="G2747" s="2" t="s">
        <v>82</v>
      </c>
      <c r="H2747" s="2">
        <v>1</v>
      </c>
      <c r="I2747" s="2" t="s">
        <v>82</v>
      </c>
      <c r="J2747" s="2">
        <v>1</v>
      </c>
      <c r="K2747" s="2" t="s">
        <v>107</v>
      </c>
      <c r="L2747" s="2" t="s">
        <v>107</v>
      </c>
      <c r="M2747" s="3">
        <v>40362</v>
      </c>
      <c r="N2747" s="2"/>
      <c r="O2747" s="2"/>
      <c r="P2747" s="2"/>
      <c r="Q2747" s="2" t="str">
        <f>""</f>
        <v/>
      </c>
      <c r="R2747" s="2"/>
      <c r="S2747" s="2"/>
      <c r="T2747" s="2">
        <v>2</v>
      </c>
      <c r="U2747" s="2" t="s">
        <v>123</v>
      </c>
      <c r="V2747" s="2">
        <v>1</v>
      </c>
      <c r="W2747" s="2" t="s">
        <v>80</v>
      </c>
      <c r="X2747" s="2">
        <v>11</v>
      </c>
      <c r="Y2747" s="2" t="s">
        <v>1920</v>
      </c>
      <c r="Z2747" s="2">
        <v>1</v>
      </c>
      <c r="AA2747" s="2" t="s">
        <v>82</v>
      </c>
      <c r="AB2747" s="2">
        <v>9</v>
      </c>
      <c r="AC2747" s="2" t="s">
        <v>124</v>
      </c>
      <c r="AD2747" s="3">
        <v>40362</v>
      </c>
      <c r="AE2747" s="4">
        <v>0.67708333333333337</v>
      </c>
      <c r="AF2747" s="2"/>
      <c r="AG2747" s="2"/>
      <c r="AH2747" s="2">
        <v>2</v>
      </c>
      <c r="AI2747" s="2" t="s">
        <v>84</v>
      </c>
      <c r="AJ2747" s="2">
        <v>9</v>
      </c>
      <c r="AK2747" s="2" t="s">
        <v>103</v>
      </c>
      <c r="AL2747" s="2">
        <v>10</v>
      </c>
      <c r="AM2747" s="2" t="s">
        <v>200</v>
      </c>
      <c r="AN2747" s="2"/>
      <c r="AO2747" s="2"/>
      <c r="AP2747" s="2">
        <v>11</v>
      </c>
      <c r="AQ2747" s="2" t="s">
        <v>82</v>
      </c>
      <c r="AR2747" s="2"/>
      <c r="AS2747" s="2"/>
      <c r="AT2747" s="2" t="s">
        <v>9145</v>
      </c>
      <c r="AU2747" s="2"/>
      <c r="AV2747" s="2"/>
      <c r="AW2747" s="2"/>
      <c r="AX2747" s="2"/>
      <c r="AY2747" s="2">
        <v>1</v>
      </c>
      <c r="AZ2747" s="2" t="s">
        <v>107</v>
      </c>
      <c r="BA2747" s="2">
        <v>1</v>
      </c>
      <c r="BB2747" s="2" t="s">
        <v>107</v>
      </c>
      <c r="BC2747" s="2">
        <v>1</v>
      </c>
      <c r="BD2747" s="2" t="s">
        <v>107</v>
      </c>
      <c r="BE2747" s="2">
        <v>1</v>
      </c>
      <c r="BF2747" s="2" t="s">
        <v>107</v>
      </c>
      <c r="BG2747" s="2" t="s">
        <v>9109</v>
      </c>
      <c r="BH2747" s="2"/>
      <c r="BI2747" s="4">
        <v>0.67708333333333337</v>
      </c>
      <c r="BJ2747" s="2">
        <v>13</v>
      </c>
      <c r="BK2747" s="2" t="s">
        <v>91</v>
      </c>
      <c r="BL2747" s="2" t="s">
        <v>185</v>
      </c>
      <c r="BM2747" s="2">
        <v>242</v>
      </c>
      <c r="BN2747" s="2" t="s">
        <v>107</v>
      </c>
      <c r="BO2747" s="2"/>
      <c r="BP2747" s="2">
        <v>73</v>
      </c>
      <c r="BQ2747" s="2" t="s">
        <v>186</v>
      </c>
      <c r="BR2747" s="2" t="s">
        <v>187</v>
      </c>
      <c r="BS2747" s="3">
        <v>40362</v>
      </c>
      <c r="BT2747" s="4">
        <v>0.71539351851851851</v>
      </c>
    </row>
    <row r="2748" spans="1:72" x14ac:dyDescent="0.25">
      <c r="A2748" s="2">
        <v>4003</v>
      </c>
      <c r="B2748" s="2">
        <v>2010</v>
      </c>
      <c r="C2748" s="2" t="s">
        <v>377</v>
      </c>
      <c r="D2748" s="2" t="s">
        <v>73</v>
      </c>
      <c r="E2748" s="2"/>
      <c r="F2748" s="2">
        <v>426</v>
      </c>
      <c r="G2748" s="2" t="s">
        <v>378</v>
      </c>
      <c r="H2748" s="2">
        <v>108</v>
      </c>
      <c r="I2748" s="2" t="s">
        <v>1096</v>
      </c>
      <c r="J2748" s="2">
        <v>311</v>
      </c>
      <c r="K2748" s="2" t="s">
        <v>379</v>
      </c>
      <c r="L2748" s="2" t="s">
        <v>380</v>
      </c>
      <c r="M2748" s="3">
        <v>40363</v>
      </c>
      <c r="N2748" s="2" t="s">
        <v>5164</v>
      </c>
      <c r="O2748" s="2"/>
      <c r="P2748" s="2"/>
      <c r="Q2748" s="2" t="str">
        <f>"147-C/10"</f>
        <v>147-C/10</v>
      </c>
      <c r="R2748" s="2" t="s">
        <v>4000</v>
      </c>
      <c r="S2748" s="2"/>
      <c r="T2748" s="2">
        <v>1</v>
      </c>
      <c r="U2748" s="2" t="s">
        <v>79</v>
      </c>
      <c r="V2748" s="2">
        <v>1</v>
      </c>
      <c r="W2748" s="2" t="s">
        <v>80</v>
      </c>
      <c r="X2748" s="2">
        <v>1</v>
      </c>
      <c r="Y2748" s="2" t="s">
        <v>81</v>
      </c>
      <c r="Z2748" s="2">
        <v>1</v>
      </c>
      <c r="AA2748" s="2" t="s">
        <v>82</v>
      </c>
      <c r="AB2748" s="2">
        <v>9</v>
      </c>
      <c r="AC2748" s="2" t="s">
        <v>124</v>
      </c>
      <c r="AD2748" s="3">
        <v>40363</v>
      </c>
      <c r="AE2748" s="4">
        <v>0.33680555555555558</v>
      </c>
      <c r="AF2748" s="2"/>
      <c r="AG2748" s="2"/>
      <c r="AH2748" s="2">
        <v>2</v>
      </c>
      <c r="AI2748" s="2" t="s">
        <v>84</v>
      </c>
      <c r="AJ2748" s="2">
        <v>9</v>
      </c>
      <c r="AK2748" s="2" t="s">
        <v>103</v>
      </c>
      <c r="AL2748" s="2">
        <v>29</v>
      </c>
      <c r="AM2748" s="2" t="s">
        <v>5416</v>
      </c>
      <c r="AN2748" s="2" t="s">
        <v>7075</v>
      </c>
      <c r="AO2748" s="2" t="s">
        <v>987</v>
      </c>
      <c r="AP2748" s="2">
        <v>11</v>
      </c>
      <c r="AQ2748" s="2" t="s">
        <v>82</v>
      </c>
      <c r="AR2748" s="2"/>
      <c r="AS2748" s="2"/>
      <c r="AT2748" s="2" t="s">
        <v>9146</v>
      </c>
      <c r="AU2748" s="2"/>
      <c r="AV2748" s="2"/>
      <c r="AW2748" s="2"/>
      <c r="AX2748" s="2"/>
      <c r="AY2748" s="2">
        <v>41</v>
      </c>
      <c r="AZ2748" s="2" t="s">
        <v>82</v>
      </c>
      <c r="BA2748" s="2">
        <v>41</v>
      </c>
      <c r="BB2748" s="2" t="s">
        <v>82</v>
      </c>
      <c r="BC2748" s="2">
        <v>41</v>
      </c>
      <c r="BD2748" s="2" t="s">
        <v>82</v>
      </c>
      <c r="BE2748" s="2">
        <v>41</v>
      </c>
      <c r="BF2748" s="2" t="s">
        <v>82</v>
      </c>
      <c r="BG2748" s="2"/>
      <c r="BH2748" s="2"/>
      <c r="BI2748" s="2"/>
      <c r="BJ2748" s="2">
        <v>241</v>
      </c>
      <c r="BK2748" s="2" t="s">
        <v>82</v>
      </c>
      <c r="BL2748" s="2"/>
      <c r="BM2748" s="2">
        <v>241</v>
      </c>
      <c r="BN2748" s="2" t="s">
        <v>82</v>
      </c>
      <c r="BO2748" s="2"/>
      <c r="BP2748" s="2">
        <v>241</v>
      </c>
      <c r="BQ2748" s="2" t="s">
        <v>82</v>
      </c>
      <c r="BR2748" s="2"/>
      <c r="BS2748" s="3">
        <v>40363</v>
      </c>
      <c r="BT2748" s="4">
        <v>0.45833333333333331</v>
      </c>
    </row>
    <row r="2749" spans="1:72" x14ac:dyDescent="0.25">
      <c r="A2749" s="2">
        <v>4006</v>
      </c>
      <c r="B2749" s="2">
        <v>2010</v>
      </c>
      <c r="C2749" s="2" t="s">
        <v>2011</v>
      </c>
      <c r="D2749" s="2" t="s">
        <v>73</v>
      </c>
      <c r="E2749" s="2"/>
      <c r="F2749" s="2">
        <v>125</v>
      </c>
      <c r="G2749" s="2" t="s">
        <v>1483</v>
      </c>
      <c r="H2749" s="2">
        <v>47</v>
      </c>
      <c r="I2749" s="2" t="s">
        <v>1409</v>
      </c>
      <c r="J2749" s="2">
        <v>139</v>
      </c>
      <c r="K2749" s="2" t="s">
        <v>1485</v>
      </c>
      <c r="L2749" s="2" t="s">
        <v>1486</v>
      </c>
      <c r="M2749" s="3">
        <v>40363</v>
      </c>
      <c r="N2749" s="2" t="s">
        <v>9147</v>
      </c>
      <c r="O2749" s="2" t="s">
        <v>82</v>
      </c>
      <c r="P2749" s="2" t="s">
        <v>82</v>
      </c>
      <c r="Q2749" s="2" t="str">
        <f>"0019/2010"</f>
        <v>0019/2010</v>
      </c>
      <c r="R2749" s="2" t="s">
        <v>9148</v>
      </c>
      <c r="S2749" s="2" t="s">
        <v>9148</v>
      </c>
      <c r="T2749" s="2">
        <v>1</v>
      </c>
      <c r="U2749" s="2" t="s">
        <v>79</v>
      </c>
      <c r="V2749" s="2">
        <v>1</v>
      </c>
      <c r="W2749" s="2" t="s">
        <v>80</v>
      </c>
      <c r="X2749" s="2">
        <v>1</v>
      </c>
      <c r="Y2749" s="2" t="s">
        <v>81</v>
      </c>
      <c r="Z2749" s="2">
        <v>10</v>
      </c>
      <c r="AA2749" s="2" t="s">
        <v>236</v>
      </c>
      <c r="AB2749" s="2">
        <v>9</v>
      </c>
      <c r="AC2749" s="2" t="s">
        <v>124</v>
      </c>
      <c r="AD2749" s="3">
        <v>40363</v>
      </c>
      <c r="AE2749" s="4">
        <v>0.56944444444444442</v>
      </c>
      <c r="AF2749" s="2"/>
      <c r="AG2749" s="2"/>
      <c r="AH2749" s="2">
        <v>6</v>
      </c>
      <c r="AI2749" s="2" t="s">
        <v>197</v>
      </c>
      <c r="AJ2749" s="2">
        <v>61</v>
      </c>
      <c r="AK2749" s="2" t="s">
        <v>686</v>
      </c>
      <c r="AL2749" s="2">
        <v>7</v>
      </c>
      <c r="AM2749" s="2" t="s">
        <v>1450</v>
      </c>
      <c r="AN2749" s="2" t="s">
        <v>9149</v>
      </c>
      <c r="AO2749" s="2" t="s">
        <v>9150</v>
      </c>
      <c r="AP2749" s="2">
        <v>11</v>
      </c>
      <c r="AQ2749" s="2" t="s">
        <v>82</v>
      </c>
      <c r="AR2749" s="2" t="s">
        <v>82</v>
      </c>
      <c r="AS2749" s="2" t="s">
        <v>82</v>
      </c>
      <c r="AT2749" s="2" t="s">
        <v>9151</v>
      </c>
      <c r="AU2749" s="2"/>
      <c r="AV2749" s="2"/>
      <c r="AW2749" s="2"/>
      <c r="AX2749" s="2"/>
      <c r="AY2749" s="2">
        <v>139</v>
      </c>
      <c r="AZ2749" s="2" t="s">
        <v>9152</v>
      </c>
      <c r="BA2749" s="2">
        <v>1</v>
      </c>
      <c r="BB2749" s="2" t="s">
        <v>107</v>
      </c>
      <c r="BC2749" s="2">
        <v>1</v>
      </c>
      <c r="BD2749" s="2" t="s">
        <v>107</v>
      </c>
      <c r="BE2749" s="2">
        <v>41</v>
      </c>
      <c r="BF2749" s="2" t="s">
        <v>82</v>
      </c>
      <c r="BG2749" s="2" t="s">
        <v>82</v>
      </c>
      <c r="BH2749" s="2"/>
      <c r="BI2749" s="2"/>
      <c r="BJ2749" s="2">
        <v>242</v>
      </c>
      <c r="BK2749" s="2" t="s">
        <v>107</v>
      </c>
      <c r="BL2749" s="2" t="s">
        <v>82</v>
      </c>
      <c r="BM2749" s="2">
        <v>242</v>
      </c>
      <c r="BN2749" s="2" t="s">
        <v>107</v>
      </c>
      <c r="BO2749" s="2" t="s">
        <v>82</v>
      </c>
      <c r="BP2749" s="2">
        <v>242</v>
      </c>
      <c r="BQ2749" s="2" t="s">
        <v>107</v>
      </c>
      <c r="BR2749" s="2" t="s">
        <v>82</v>
      </c>
      <c r="BS2749" s="3">
        <v>40363</v>
      </c>
      <c r="BT2749" s="4">
        <v>0.69284722222222228</v>
      </c>
    </row>
    <row r="2750" spans="1:72" x14ac:dyDescent="0.25">
      <c r="A2750" s="2">
        <v>4007</v>
      </c>
      <c r="B2750" s="2">
        <v>2010</v>
      </c>
      <c r="C2750" s="2" t="s">
        <v>93</v>
      </c>
      <c r="D2750" s="2" t="s">
        <v>73</v>
      </c>
      <c r="E2750" s="2"/>
      <c r="F2750" s="2">
        <v>343</v>
      </c>
      <c r="G2750" s="2" t="s">
        <v>7030</v>
      </c>
      <c r="H2750" s="2">
        <v>108</v>
      </c>
      <c r="I2750" s="2" t="s">
        <v>1096</v>
      </c>
      <c r="J2750" s="2">
        <v>141</v>
      </c>
      <c r="K2750" s="2" t="s">
        <v>680</v>
      </c>
      <c r="L2750" s="2" t="s">
        <v>681</v>
      </c>
      <c r="M2750" s="3">
        <v>40363</v>
      </c>
      <c r="N2750" s="2" t="s">
        <v>9153</v>
      </c>
      <c r="O2750" s="2" t="s">
        <v>9154</v>
      </c>
      <c r="P2750" s="2" t="s">
        <v>9155</v>
      </c>
      <c r="Q2750" s="2" t="str">
        <f>"AP_0028_10"</f>
        <v>AP_0028_10</v>
      </c>
      <c r="R2750" s="2" t="s">
        <v>9156</v>
      </c>
      <c r="S2750" s="2" t="s">
        <v>107</v>
      </c>
      <c r="T2750" s="2">
        <v>1</v>
      </c>
      <c r="U2750" s="2" t="s">
        <v>79</v>
      </c>
      <c r="V2750" s="2">
        <v>1</v>
      </c>
      <c r="W2750" s="2" t="s">
        <v>80</v>
      </c>
      <c r="X2750" s="2">
        <v>1</v>
      </c>
      <c r="Y2750" s="2" t="s">
        <v>81</v>
      </c>
      <c r="Z2750" s="2">
        <v>1</v>
      </c>
      <c r="AA2750" s="2" t="s">
        <v>82</v>
      </c>
      <c r="AB2750" s="2">
        <v>2</v>
      </c>
      <c r="AC2750" s="2" t="s">
        <v>102</v>
      </c>
      <c r="AD2750" s="3">
        <v>40363</v>
      </c>
      <c r="AE2750" s="4">
        <v>0.79513888888888884</v>
      </c>
      <c r="AF2750" s="2"/>
      <c r="AG2750" s="2"/>
      <c r="AH2750" s="2">
        <v>6</v>
      </c>
      <c r="AI2750" s="2" t="s">
        <v>197</v>
      </c>
      <c r="AJ2750" s="2">
        <v>61</v>
      </c>
      <c r="AK2750" s="2" t="s">
        <v>686</v>
      </c>
      <c r="AL2750" s="2">
        <v>11</v>
      </c>
      <c r="AM2750" s="2" t="s">
        <v>137</v>
      </c>
      <c r="AN2750" s="2" t="s">
        <v>107</v>
      </c>
      <c r="AO2750" s="2" t="s">
        <v>9016</v>
      </c>
      <c r="AP2750" s="2">
        <v>11</v>
      </c>
      <c r="AQ2750" s="2" t="s">
        <v>82</v>
      </c>
      <c r="AR2750" s="2" t="s">
        <v>82</v>
      </c>
      <c r="AS2750" s="2" t="s">
        <v>82</v>
      </c>
      <c r="AT2750" s="2" t="s">
        <v>9157</v>
      </c>
      <c r="AU2750" s="2"/>
      <c r="AV2750" s="2"/>
      <c r="AW2750" s="2"/>
      <c r="AX2750" s="2"/>
      <c r="AY2750" s="2">
        <v>41</v>
      </c>
      <c r="AZ2750" s="2" t="s">
        <v>82</v>
      </c>
      <c r="BA2750" s="2">
        <v>41</v>
      </c>
      <c r="BB2750" s="2" t="s">
        <v>82</v>
      </c>
      <c r="BC2750" s="2">
        <v>41</v>
      </c>
      <c r="BD2750" s="2" t="s">
        <v>82</v>
      </c>
      <c r="BE2750" s="2">
        <v>47</v>
      </c>
      <c r="BF2750" s="2" t="s">
        <v>167</v>
      </c>
      <c r="BG2750" s="2">
        <v>1849</v>
      </c>
      <c r="BH2750" s="2"/>
      <c r="BI2750" s="4">
        <v>0.80208333333333337</v>
      </c>
      <c r="BJ2750" s="2">
        <v>13</v>
      </c>
      <c r="BK2750" s="2" t="s">
        <v>91</v>
      </c>
      <c r="BL2750" s="2" t="s">
        <v>690</v>
      </c>
      <c r="BM2750" s="2">
        <v>241</v>
      </c>
      <c r="BN2750" s="2" t="s">
        <v>82</v>
      </c>
      <c r="BO2750" s="2" t="s">
        <v>82</v>
      </c>
      <c r="BP2750" s="2">
        <v>13</v>
      </c>
      <c r="BQ2750" s="2" t="s">
        <v>91</v>
      </c>
      <c r="BR2750" s="2" t="s">
        <v>170</v>
      </c>
      <c r="BS2750" s="3">
        <v>40363</v>
      </c>
      <c r="BT2750" s="4">
        <v>0.95237268518518514</v>
      </c>
    </row>
    <row r="2751" spans="1:72" x14ac:dyDescent="0.25">
      <c r="A2751" s="2">
        <v>4008</v>
      </c>
      <c r="B2751" s="2">
        <v>2010</v>
      </c>
      <c r="C2751" s="2" t="s">
        <v>72</v>
      </c>
      <c r="D2751" s="2" t="s">
        <v>73</v>
      </c>
      <c r="E2751" s="2"/>
      <c r="F2751" s="2">
        <v>650</v>
      </c>
      <c r="G2751" s="2" t="s">
        <v>9158</v>
      </c>
      <c r="H2751" s="2">
        <v>42</v>
      </c>
      <c r="I2751" s="2" t="s">
        <v>1096</v>
      </c>
      <c r="J2751" s="2">
        <v>605</v>
      </c>
      <c r="K2751" s="2" t="s">
        <v>9159</v>
      </c>
      <c r="L2751" s="2" t="s">
        <v>9069</v>
      </c>
      <c r="M2751" s="3">
        <v>40363</v>
      </c>
      <c r="N2751" s="2" t="s">
        <v>9160</v>
      </c>
      <c r="O2751" s="2" t="s">
        <v>107</v>
      </c>
      <c r="P2751" s="2" t="s">
        <v>107</v>
      </c>
      <c r="Q2751" s="2" t="str">
        <f>"247-A/10"</f>
        <v>247-A/10</v>
      </c>
      <c r="R2751" s="2" t="s">
        <v>156</v>
      </c>
      <c r="S2751" s="2" t="s">
        <v>156</v>
      </c>
      <c r="T2751" s="2">
        <v>1</v>
      </c>
      <c r="U2751" s="2" t="s">
        <v>79</v>
      </c>
      <c r="V2751" s="2">
        <v>1</v>
      </c>
      <c r="W2751" s="2" t="s">
        <v>80</v>
      </c>
      <c r="X2751" s="2">
        <v>12</v>
      </c>
      <c r="Y2751" s="2" t="s">
        <v>148</v>
      </c>
      <c r="Z2751" s="2">
        <v>1</v>
      </c>
      <c r="AA2751" s="2" t="s">
        <v>82</v>
      </c>
      <c r="AB2751" s="2">
        <v>6</v>
      </c>
      <c r="AC2751" s="2" t="s">
        <v>83</v>
      </c>
      <c r="AD2751" s="3">
        <v>40363</v>
      </c>
      <c r="AE2751" s="2"/>
      <c r="AF2751" s="3">
        <v>40363</v>
      </c>
      <c r="AG2751" s="4">
        <v>0.47916666666666669</v>
      </c>
      <c r="AH2751" s="2">
        <v>2</v>
      </c>
      <c r="AI2751" s="2" t="s">
        <v>84</v>
      </c>
      <c r="AJ2751" s="2">
        <v>12</v>
      </c>
      <c r="AK2751" s="2" t="s">
        <v>85</v>
      </c>
      <c r="AL2751" s="2">
        <v>22</v>
      </c>
      <c r="AM2751" s="2" t="s">
        <v>1853</v>
      </c>
      <c r="AN2751" s="2" t="s">
        <v>9161</v>
      </c>
      <c r="AO2751" s="2"/>
      <c r="AP2751" s="2">
        <v>11</v>
      </c>
      <c r="AQ2751" s="2" t="s">
        <v>82</v>
      </c>
      <c r="AR2751" s="2"/>
      <c r="AS2751" s="2"/>
      <c r="AT2751" s="2" t="s">
        <v>9162</v>
      </c>
      <c r="AU2751" s="2"/>
      <c r="AV2751" s="2"/>
      <c r="AW2751" s="2"/>
      <c r="AX2751" s="2"/>
      <c r="AY2751" s="2">
        <v>41</v>
      </c>
      <c r="AZ2751" s="2" t="s">
        <v>82</v>
      </c>
      <c r="BA2751" s="2">
        <v>41</v>
      </c>
      <c r="BB2751" s="2" t="s">
        <v>82</v>
      </c>
      <c r="BC2751" s="2">
        <v>41</v>
      </c>
      <c r="BD2751" s="2" t="s">
        <v>82</v>
      </c>
      <c r="BE2751" s="2">
        <v>47</v>
      </c>
      <c r="BF2751" s="2" t="s">
        <v>167</v>
      </c>
      <c r="BG2751" s="2" t="s">
        <v>9163</v>
      </c>
      <c r="BH2751" s="4">
        <v>0.56944444444444442</v>
      </c>
      <c r="BI2751" s="4">
        <v>0.48958333333333331</v>
      </c>
      <c r="BJ2751" s="2">
        <v>13</v>
      </c>
      <c r="BK2751" s="2" t="s">
        <v>91</v>
      </c>
      <c r="BL2751" s="2" t="s">
        <v>564</v>
      </c>
      <c r="BM2751" s="2">
        <v>241</v>
      </c>
      <c r="BN2751" s="2" t="s">
        <v>82</v>
      </c>
      <c r="BO2751" s="2"/>
      <c r="BP2751" s="2">
        <v>13</v>
      </c>
      <c r="BQ2751" s="2" t="s">
        <v>91</v>
      </c>
      <c r="BR2751" s="2" t="s">
        <v>828</v>
      </c>
      <c r="BS2751" s="3">
        <v>40363</v>
      </c>
      <c r="BT2751" s="4">
        <v>0.96003472222222219</v>
      </c>
    </row>
    <row r="2752" spans="1:72" x14ac:dyDescent="0.25">
      <c r="A2752" s="2">
        <v>4009</v>
      </c>
      <c r="B2752" s="2">
        <v>2010</v>
      </c>
      <c r="C2752" s="2" t="s">
        <v>93</v>
      </c>
      <c r="D2752" s="2" t="s">
        <v>73</v>
      </c>
      <c r="E2752" s="2"/>
      <c r="F2752" s="2">
        <v>142</v>
      </c>
      <c r="G2752" s="2" t="s">
        <v>1618</v>
      </c>
      <c r="H2752" s="2">
        <v>22</v>
      </c>
      <c r="I2752" s="2" t="s">
        <v>75</v>
      </c>
      <c r="J2752" s="2">
        <v>146</v>
      </c>
      <c r="K2752" s="2" t="s">
        <v>9164</v>
      </c>
      <c r="L2752" s="2" t="s">
        <v>9165</v>
      </c>
      <c r="M2752" s="3">
        <v>40363</v>
      </c>
      <c r="N2752" s="2" t="s">
        <v>9166</v>
      </c>
      <c r="O2752" s="2" t="s">
        <v>9167</v>
      </c>
      <c r="P2752" s="2" t="s">
        <v>107</v>
      </c>
      <c r="Q2752" s="2" t="str">
        <f>"AP_0029_10"</f>
        <v>AP_0029_10</v>
      </c>
      <c r="R2752" s="2" t="s">
        <v>9168</v>
      </c>
      <c r="S2752" s="2" t="s">
        <v>107</v>
      </c>
      <c r="T2752" s="2">
        <v>1</v>
      </c>
      <c r="U2752" s="2" t="s">
        <v>79</v>
      </c>
      <c r="V2752" s="2">
        <v>1</v>
      </c>
      <c r="W2752" s="2" t="s">
        <v>80</v>
      </c>
      <c r="X2752" s="2">
        <v>1</v>
      </c>
      <c r="Y2752" s="2" t="s">
        <v>81</v>
      </c>
      <c r="Z2752" s="2">
        <v>1</v>
      </c>
      <c r="AA2752" s="2" t="s">
        <v>82</v>
      </c>
      <c r="AB2752" s="2">
        <v>2</v>
      </c>
      <c r="AC2752" s="2" t="s">
        <v>102</v>
      </c>
      <c r="AD2752" s="3">
        <v>40363</v>
      </c>
      <c r="AE2752" s="4">
        <v>0.78333333333333333</v>
      </c>
      <c r="AF2752" s="2"/>
      <c r="AG2752" s="2"/>
      <c r="AH2752" s="2">
        <v>6</v>
      </c>
      <c r="AI2752" s="2" t="s">
        <v>197</v>
      </c>
      <c r="AJ2752" s="2">
        <v>61</v>
      </c>
      <c r="AK2752" s="2" t="s">
        <v>686</v>
      </c>
      <c r="AL2752" s="2">
        <v>11</v>
      </c>
      <c r="AM2752" s="2" t="s">
        <v>137</v>
      </c>
      <c r="AN2752" s="2" t="s">
        <v>82</v>
      </c>
      <c r="AO2752" s="2" t="s">
        <v>9016</v>
      </c>
      <c r="AP2752" s="2">
        <v>11</v>
      </c>
      <c r="AQ2752" s="2" t="s">
        <v>82</v>
      </c>
      <c r="AR2752" s="2" t="s">
        <v>82</v>
      </c>
      <c r="AS2752" s="2" t="s">
        <v>82</v>
      </c>
      <c r="AT2752" s="2" t="s">
        <v>9169</v>
      </c>
      <c r="AU2752" s="2"/>
      <c r="AV2752" s="2"/>
      <c r="AW2752" s="2"/>
      <c r="AX2752" s="2"/>
      <c r="AY2752" s="2">
        <v>41</v>
      </c>
      <c r="AZ2752" s="2" t="s">
        <v>82</v>
      </c>
      <c r="BA2752" s="2">
        <v>41</v>
      </c>
      <c r="BB2752" s="2" t="s">
        <v>82</v>
      </c>
      <c r="BC2752" s="2">
        <v>41</v>
      </c>
      <c r="BD2752" s="2" t="s">
        <v>82</v>
      </c>
      <c r="BE2752" s="2">
        <v>47</v>
      </c>
      <c r="BF2752" s="2" t="s">
        <v>167</v>
      </c>
      <c r="BG2752" s="2" t="s">
        <v>9170</v>
      </c>
      <c r="BH2752" s="2"/>
      <c r="BI2752" s="4">
        <v>0.80208333333333337</v>
      </c>
      <c r="BJ2752" s="2">
        <v>13</v>
      </c>
      <c r="BK2752" s="2" t="s">
        <v>91</v>
      </c>
      <c r="BL2752" s="2" t="s">
        <v>82</v>
      </c>
      <c r="BM2752" s="2">
        <v>241</v>
      </c>
      <c r="BN2752" s="2" t="s">
        <v>82</v>
      </c>
      <c r="BO2752" s="2" t="s">
        <v>82</v>
      </c>
      <c r="BP2752" s="2">
        <v>13</v>
      </c>
      <c r="BQ2752" s="2" t="s">
        <v>91</v>
      </c>
      <c r="BR2752" s="2" t="s">
        <v>170</v>
      </c>
      <c r="BS2752" s="3">
        <v>40363</v>
      </c>
      <c r="BT2752" s="4">
        <v>0.9900000000000001</v>
      </c>
    </row>
    <row r="2753" spans="1:72" x14ac:dyDescent="0.25">
      <c r="A2753" s="2">
        <v>4010</v>
      </c>
      <c r="B2753" s="2">
        <v>2010</v>
      </c>
      <c r="C2753" s="2" t="s">
        <v>121</v>
      </c>
      <c r="D2753" s="2" t="s">
        <v>122</v>
      </c>
      <c r="E2753" s="2"/>
      <c r="F2753" s="2">
        <v>1</v>
      </c>
      <c r="G2753" s="2" t="s">
        <v>82</v>
      </c>
      <c r="H2753" s="2">
        <v>1</v>
      </c>
      <c r="I2753" s="2" t="s">
        <v>82</v>
      </c>
      <c r="J2753" s="2">
        <v>1</v>
      </c>
      <c r="K2753" s="2" t="s">
        <v>107</v>
      </c>
      <c r="L2753" s="2" t="s">
        <v>107</v>
      </c>
      <c r="M2753" s="3">
        <v>40364</v>
      </c>
      <c r="N2753" s="2"/>
      <c r="O2753" s="2"/>
      <c r="P2753" s="2"/>
      <c r="Q2753" s="2" t="str">
        <f>""</f>
        <v/>
      </c>
      <c r="R2753" s="2"/>
      <c r="S2753" s="2"/>
      <c r="T2753" s="2">
        <v>2</v>
      </c>
      <c r="U2753" s="2" t="s">
        <v>123</v>
      </c>
      <c r="V2753" s="2">
        <v>1</v>
      </c>
      <c r="W2753" s="2" t="s">
        <v>80</v>
      </c>
      <c r="X2753" s="2">
        <v>11</v>
      </c>
      <c r="Y2753" s="2" t="s">
        <v>1920</v>
      </c>
      <c r="Z2753" s="2">
        <v>1</v>
      </c>
      <c r="AA2753" s="2" t="s">
        <v>82</v>
      </c>
      <c r="AB2753" s="2">
        <v>9</v>
      </c>
      <c r="AC2753" s="2" t="s">
        <v>124</v>
      </c>
      <c r="AD2753" s="3">
        <v>40333</v>
      </c>
      <c r="AE2753" s="4">
        <v>0.72916666666666663</v>
      </c>
      <c r="AF2753" s="2"/>
      <c r="AG2753" s="2"/>
      <c r="AH2753" s="2">
        <v>2</v>
      </c>
      <c r="AI2753" s="2" t="s">
        <v>84</v>
      </c>
      <c r="AJ2753" s="2">
        <v>9</v>
      </c>
      <c r="AK2753" s="2" t="s">
        <v>103</v>
      </c>
      <c r="AL2753" s="2">
        <v>19</v>
      </c>
      <c r="AM2753" s="2" t="s">
        <v>107</v>
      </c>
      <c r="AN2753" s="2" t="s">
        <v>9171</v>
      </c>
      <c r="AO2753" s="2"/>
      <c r="AP2753" s="2">
        <v>11</v>
      </c>
      <c r="AQ2753" s="2" t="s">
        <v>82</v>
      </c>
      <c r="AR2753" s="2"/>
      <c r="AS2753" s="2"/>
      <c r="AT2753" s="2" t="s">
        <v>9172</v>
      </c>
      <c r="AU2753" s="2"/>
      <c r="AV2753" s="2"/>
      <c r="AW2753" s="2"/>
      <c r="AX2753" s="2"/>
      <c r="AY2753" s="2">
        <v>41</v>
      </c>
      <c r="AZ2753" s="2" t="s">
        <v>82</v>
      </c>
      <c r="BA2753" s="2">
        <v>41</v>
      </c>
      <c r="BB2753" s="2" t="s">
        <v>82</v>
      </c>
      <c r="BC2753" s="2">
        <v>41</v>
      </c>
      <c r="BD2753" s="2" t="s">
        <v>82</v>
      </c>
      <c r="BE2753" s="2">
        <v>13</v>
      </c>
      <c r="BF2753" s="2" t="s">
        <v>108</v>
      </c>
      <c r="BG2753" s="2" t="s">
        <v>9173</v>
      </c>
      <c r="BH2753" s="4">
        <v>0.72916666666666663</v>
      </c>
      <c r="BI2753" s="2"/>
      <c r="BJ2753" s="2">
        <v>205</v>
      </c>
      <c r="BK2753" s="2" t="s">
        <v>1085</v>
      </c>
      <c r="BL2753" s="2"/>
      <c r="BM2753" s="2">
        <v>242</v>
      </c>
      <c r="BN2753" s="2" t="s">
        <v>107</v>
      </c>
      <c r="BO2753" s="2"/>
      <c r="BP2753" s="2">
        <v>13</v>
      </c>
      <c r="BQ2753" s="2" t="s">
        <v>91</v>
      </c>
      <c r="BR2753" s="2" t="s">
        <v>185</v>
      </c>
      <c r="BS2753" s="3">
        <v>40364</v>
      </c>
      <c r="BT2753" s="4">
        <v>0.28144675925925927</v>
      </c>
    </row>
    <row r="2754" spans="1:72" x14ac:dyDescent="0.25">
      <c r="A2754" s="2">
        <v>4011</v>
      </c>
      <c r="B2754" s="2">
        <v>2010</v>
      </c>
      <c r="C2754" s="2" t="s">
        <v>72</v>
      </c>
      <c r="D2754" s="2" t="s">
        <v>73</v>
      </c>
      <c r="E2754" s="2"/>
      <c r="F2754" s="2">
        <v>2</v>
      </c>
      <c r="G2754" s="2" t="s">
        <v>113</v>
      </c>
      <c r="H2754" s="2">
        <v>108</v>
      </c>
      <c r="I2754" s="2" t="s">
        <v>1096</v>
      </c>
      <c r="J2754" s="2">
        <v>300</v>
      </c>
      <c r="K2754" s="2" t="s">
        <v>114</v>
      </c>
      <c r="L2754" s="2" t="s">
        <v>115</v>
      </c>
      <c r="M2754" s="3">
        <v>40364</v>
      </c>
      <c r="N2754" s="2" t="s">
        <v>107</v>
      </c>
      <c r="O2754" s="2" t="s">
        <v>107</v>
      </c>
      <c r="P2754" s="2" t="s">
        <v>107</v>
      </c>
      <c r="Q2754" s="2" t="str">
        <f>"351-E/10"</f>
        <v>351-E/10</v>
      </c>
      <c r="R2754" s="2" t="s">
        <v>116</v>
      </c>
      <c r="S2754" s="2" t="s">
        <v>116</v>
      </c>
      <c r="T2754" s="2">
        <v>1</v>
      </c>
      <c r="U2754" s="2" t="s">
        <v>79</v>
      </c>
      <c r="V2754" s="2">
        <v>1</v>
      </c>
      <c r="W2754" s="2" t="s">
        <v>80</v>
      </c>
      <c r="X2754" s="2">
        <v>12</v>
      </c>
      <c r="Y2754" s="2" t="s">
        <v>148</v>
      </c>
      <c r="Z2754" s="2">
        <v>1</v>
      </c>
      <c r="AA2754" s="2" t="s">
        <v>82</v>
      </c>
      <c r="AB2754" s="2">
        <v>6</v>
      </c>
      <c r="AC2754" s="2" t="s">
        <v>83</v>
      </c>
      <c r="AD2754" s="3">
        <v>40363</v>
      </c>
      <c r="AE2754" s="2"/>
      <c r="AF2754" s="3">
        <v>40363</v>
      </c>
      <c r="AG2754" s="4">
        <v>0.76041666666666663</v>
      </c>
      <c r="AH2754" s="2">
        <v>2</v>
      </c>
      <c r="AI2754" s="2" t="s">
        <v>84</v>
      </c>
      <c r="AJ2754" s="2">
        <v>9</v>
      </c>
      <c r="AK2754" s="2" t="s">
        <v>103</v>
      </c>
      <c r="AL2754" s="2">
        <v>29</v>
      </c>
      <c r="AM2754" s="2" t="s">
        <v>5416</v>
      </c>
      <c r="AN2754" s="2" t="s">
        <v>2585</v>
      </c>
      <c r="AO2754" s="2"/>
      <c r="AP2754" s="2">
        <v>11</v>
      </c>
      <c r="AQ2754" s="2" t="s">
        <v>82</v>
      </c>
      <c r="AR2754" s="2"/>
      <c r="AS2754" s="2"/>
      <c r="AT2754" s="2" t="s">
        <v>9174</v>
      </c>
      <c r="AU2754" s="2"/>
      <c r="AV2754" s="2"/>
      <c r="AW2754" s="2"/>
      <c r="AX2754" s="2"/>
      <c r="AY2754" s="2">
        <v>41</v>
      </c>
      <c r="AZ2754" s="2" t="s">
        <v>82</v>
      </c>
      <c r="BA2754" s="2">
        <v>41</v>
      </c>
      <c r="BB2754" s="2" t="s">
        <v>82</v>
      </c>
      <c r="BC2754" s="2">
        <v>41</v>
      </c>
      <c r="BD2754" s="2" t="s">
        <v>82</v>
      </c>
      <c r="BE2754" s="2">
        <v>41</v>
      </c>
      <c r="BF2754" s="2" t="s">
        <v>82</v>
      </c>
      <c r="BG2754" s="2"/>
      <c r="BH2754" s="2"/>
      <c r="BI2754" s="2"/>
      <c r="BJ2754" s="2">
        <v>241</v>
      </c>
      <c r="BK2754" s="2" t="s">
        <v>82</v>
      </c>
      <c r="BL2754" s="2"/>
      <c r="BM2754" s="2">
        <v>241</v>
      </c>
      <c r="BN2754" s="2" t="s">
        <v>82</v>
      </c>
      <c r="BO2754" s="2"/>
      <c r="BP2754" s="2">
        <v>241</v>
      </c>
      <c r="BQ2754" s="2" t="s">
        <v>82</v>
      </c>
      <c r="BR2754" s="2"/>
      <c r="BS2754" s="3">
        <v>40364</v>
      </c>
      <c r="BT2754" s="4">
        <v>0.30998842592592596</v>
      </c>
    </row>
    <row r="2755" spans="1:72" x14ac:dyDescent="0.25">
      <c r="A2755" s="2">
        <v>4012</v>
      </c>
      <c r="B2755" s="2">
        <v>2010</v>
      </c>
      <c r="C2755" s="2" t="s">
        <v>171</v>
      </c>
      <c r="D2755" s="2" t="s">
        <v>73</v>
      </c>
      <c r="E2755" s="2"/>
      <c r="F2755" s="2">
        <v>390</v>
      </c>
      <c r="G2755" s="2" t="s">
        <v>475</v>
      </c>
      <c r="H2755" s="2">
        <v>71</v>
      </c>
      <c r="I2755" s="2" t="s">
        <v>335</v>
      </c>
      <c r="J2755" s="2">
        <v>533</v>
      </c>
      <c r="K2755" s="2" t="s">
        <v>6511</v>
      </c>
      <c r="L2755" s="2" t="s">
        <v>478</v>
      </c>
      <c r="M2755" s="3">
        <v>40364</v>
      </c>
      <c r="N2755" s="2" t="s">
        <v>9075</v>
      </c>
      <c r="O2755" s="2"/>
      <c r="P2755" s="2" t="s">
        <v>107</v>
      </c>
      <c r="Q2755" s="2" t="str">
        <f>"352-E/10"</f>
        <v>352-E/10</v>
      </c>
      <c r="R2755" s="2" t="s">
        <v>9175</v>
      </c>
      <c r="S2755" s="2" t="s">
        <v>9175</v>
      </c>
      <c r="T2755" s="2">
        <v>1</v>
      </c>
      <c r="U2755" s="2" t="s">
        <v>79</v>
      </c>
      <c r="V2755" s="2">
        <v>1</v>
      </c>
      <c r="W2755" s="2" t="s">
        <v>80</v>
      </c>
      <c r="X2755" s="2">
        <v>1</v>
      </c>
      <c r="Y2755" s="2" t="s">
        <v>81</v>
      </c>
      <c r="Z2755" s="2">
        <v>1</v>
      </c>
      <c r="AA2755" s="2" t="s">
        <v>82</v>
      </c>
      <c r="AB2755" s="2">
        <v>1</v>
      </c>
      <c r="AC2755" s="2" t="s">
        <v>178</v>
      </c>
      <c r="AD2755" s="3">
        <v>40363</v>
      </c>
      <c r="AE2755" s="4">
        <v>0.86458333333333337</v>
      </c>
      <c r="AF2755" s="2"/>
      <c r="AG2755" s="2"/>
      <c r="AH2755" s="2">
        <v>2</v>
      </c>
      <c r="AI2755" s="2" t="s">
        <v>84</v>
      </c>
      <c r="AJ2755" s="2">
        <v>9</v>
      </c>
      <c r="AK2755" s="2" t="s">
        <v>103</v>
      </c>
      <c r="AL2755" s="2">
        <v>25</v>
      </c>
      <c r="AM2755" s="2" t="s">
        <v>3073</v>
      </c>
      <c r="AN2755" s="2" t="s">
        <v>8216</v>
      </c>
      <c r="AO2755" s="2" t="s">
        <v>590</v>
      </c>
      <c r="AP2755" s="2">
        <v>11</v>
      </c>
      <c r="AQ2755" s="2" t="s">
        <v>82</v>
      </c>
      <c r="AR2755" s="2"/>
      <c r="AS2755" s="2"/>
      <c r="AT2755" s="2" t="s">
        <v>9176</v>
      </c>
      <c r="AU2755" s="2"/>
      <c r="AV2755" s="2">
        <v>1</v>
      </c>
      <c r="AW2755" s="2"/>
      <c r="AX2755" s="2"/>
      <c r="AY2755" s="2">
        <v>41</v>
      </c>
      <c r="AZ2755" s="2" t="s">
        <v>82</v>
      </c>
      <c r="BA2755" s="2">
        <v>41</v>
      </c>
      <c r="BB2755" s="2" t="s">
        <v>82</v>
      </c>
      <c r="BC2755" s="2">
        <v>41</v>
      </c>
      <c r="BD2755" s="2" t="s">
        <v>82</v>
      </c>
      <c r="BE2755" s="2">
        <v>13</v>
      </c>
      <c r="BF2755" s="2" t="s">
        <v>108</v>
      </c>
      <c r="BG2755" s="2" t="s">
        <v>842</v>
      </c>
      <c r="BH2755" s="2"/>
      <c r="BI2755" s="4">
        <v>0.875</v>
      </c>
      <c r="BJ2755" s="2">
        <v>29</v>
      </c>
      <c r="BK2755" s="2" t="s">
        <v>962</v>
      </c>
      <c r="BL2755" s="2" t="s">
        <v>9177</v>
      </c>
      <c r="BM2755" s="2">
        <v>13</v>
      </c>
      <c r="BN2755" s="2" t="s">
        <v>91</v>
      </c>
      <c r="BO2755" s="2" t="s">
        <v>9178</v>
      </c>
      <c r="BP2755" s="2">
        <v>73</v>
      </c>
      <c r="BQ2755" s="2" t="s">
        <v>186</v>
      </c>
      <c r="BR2755" s="2" t="s">
        <v>675</v>
      </c>
      <c r="BS2755" s="3">
        <v>40364</v>
      </c>
      <c r="BT2755" s="4">
        <v>0.35006944444444449</v>
      </c>
    </row>
    <row r="2756" spans="1:72" x14ac:dyDescent="0.25">
      <c r="A2756" s="2">
        <v>4015</v>
      </c>
      <c r="B2756" s="2">
        <v>2010</v>
      </c>
      <c r="C2756" s="2" t="s">
        <v>819</v>
      </c>
      <c r="D2756" s="2" t="s">
        <v>73</v>
      </c>
      <c r="E2756" s="2"/>
      <c r="F2756" s="2">
        <v>9</v>
      </c>
      <c r="G2756" s="2" t="s">
        <v>364</v>
      </c>
      <c r="H2756" s="2">
        <v>2</v>
      </c>
      <c r="I2756" s="2" t="s">
        <v>267</v>
      </c>
      <c r="J2756" s="2">
        <v>18</v>
      </c>
      <c r="K2756" s="2" t="s">
        <v>365</v>
      </c>
      <c r="L2756" s="2" t="s">
        <v>115</v>
      </c>
      <c r="M2756" s="3">
        <v>40364</v>
      </c>
      <c r="N2756" s="2" t="s">
        <v>423</v>
      </c>
      <c r="O2756" s="2" t="s">
        <v>107</v>
      </c>
      <c r="P2756" s="2" t="s">
        <v>107</v>
      </c>
      <c r="Q2756" s="2" t="str">
        <f>"38-10"</f>
        <v>38-10</v>
      </c>
      <c r="R2756" s="2" t="s">
        <v>107</v>
      </c>
      <c r="S2756" s="2" t="s">
        <v>9179</v>
      </c>
      <c r="T2756" s="2">
        <v>1</v>
      </c>
      <c r="U2756" s="2" t="s">
        <v>79</v>
      </c>
      <c r="V2756" s="2">
        <v>1</v>
      </c>
      <c r="W2756" s="2" t="s">
        <v>80</v>
      </c>
      <c r="X2756" s="2">
        <v>1</v>
      </c>
      <c r="Y2756" s="2" t="s">
        <v>81</v>
      </c>
      <c r="Z2756" s="2">
        <v>1</v>
      </c>
      <c r="AA2756" s="2" t="s">
        <v>82</v>
      </c>
      <c r="AB2756" s="2">
        <v>9</v>
      </c>
      <c r="AC2756" s="2" t="s">
        <v>124</v>
      </c>
      <c r="AD2756" s="3">
        <v>40363</v>
      </c>
      <c r="AE2756" s="4">
        <v>0.70138888888888884</v>
      </c>
      <c r="AF2756" s="2"/>
      <c r="AG2756" s="2"/>
      <c r="AH2756" s="2">
        <v>3</v>
      </c>
      <c r="AI2756" s="2" t="s">
        <v>214</v>
      </c>
      <c r="AJ2756" s="2">
        <v>24</v>
      </c>
      <c r="AK2756" s="2" t="s">
        <v>215</v>
      </c>
      <c r="AL2756" s="2">
        <v>25</v>
      </c>
      <c r="AM2756" s="2" t="s">
        <v>3073</v>
      </c>
      <c r="AN2756" s="2" t="s">
        <v>179</v>
      </c>
      <c r="AO2756" s="2" t="s">
        <v>107</v>
      </c>
      <c r="AP2756" s="2">
        <v>11</v>
      </c>
      <c r="AQ2756" s="2" t="s">
        <v>82</v>
      </c>
      <c r="AR2756" s="2"/>
      <c r="AS2756" s="2"/>
      <c r="AT2756" s="2" t="s">
        <v>9180</v>
      </c>
      <c r="AU2756" s="2"/>
      <c r="AV2756" s="2"/>
      <c r="AW2756" s="2"/>
      <c r="AX2756" s="2"/>
      <c r="AY2756" s="2">
        <v>42</v>
      </c>
      <c r="AZ2756" s="2" t="s">
        <v>182</v>
      </c>
      <c r="BA2756" s="2">
        <v>41</v>
      </c>
      <c r="BB2756" s="2" t="s">
        <v>82</v>
      </c>
      <c r="BC2756" s="2">
        <v>41</v>
      </c>
      <c r="BD2756" s="2" t="s">
        <v>82</v>
      </c>
      <c r="BE2756" s="2">
        <v>13</v>
      </c>
      <c r="BF2756" s="2" t="s">
        <v>108</v>
      </c>
      <c r="BG2756" s="2" t="s">
        <v>9181</v>
      </c>
      <c r="BH2756" s="4">
        <v>0.63194444444444442</v>
      </c>
      <c r="BI2756" s="4">
        <v>0.69791666666666663</v>
      </c>
      <c r="BJ2756" s="2">
        <v>13</v>
      </c>
      <c r="BK2756" s="2" t="s">
        <v>91</v>
      </c>
      <c r="BL2756" s="2" t="s">
        <v>169</v>
      </c>
      <c r="BM2756" s="2">
        <v>241</v>
      </c>
      <c r="BN2756" s="2" t="s">
        <v>82</v>
      </c>
      <c r="BO2756" s="2" t="s">
        <v>82</v>
      </c>
      <c r="BP2756" s="2">
        <v>13</v>
      </c>
      <c r="BQ2756" s="2" t="s">
        <v>91</v>
      </c>
      <c r="BR2756" s="2" t="s">
        <v>112</v>
      </c>
      <c r="BS2756" s="3">
        <v>40364</v>
      </c>
      <c r="BT2756" s="4">
        <v>0.43488425925925928</v>
      </c>
    </row>
    <row r="2757" spans="1:72" x14ac:dyDescent="0.25">
      <c r="A2757" s="2">
        <v>4016</v>
      </c>
      <c r="B2757" s="2">
        <v>2010</v>
      </c>
      <c r="C2757" s="2" t="s">
        <v>554</v>
      </c>
      <c r="D2757" s="2" t="s">
        <v>73</v>
      </c>
      <c r="E2757" s="2"/>
      <c r="F2757" s="2">
        <v>2</v>
      </c>
      <c r="G2757" s="2" t="s">
        <v>113</v>
      </c>
      <c r="H2757" s="2">
        <v>108</v>
      </c>
      <c r="I2757" s="2" t="s">
        <v>1096</v>
      </c>
      <c r="J2757" s="2">
        <v>300</v>
      </c>
      <c r="K2757" s="2" t="s">
        <v>114</v>
      </c>
      <c r="L2757" s="2" t="s">
        <v>115</v>
      </c>
      <c r="M2757" s="3">
        <v>40364</v>
      </c>
      <c r="N2757" s="2" t="s">
        <v>107</v>
      </c>
      <c r="O2757" s="2" t="s">
        <v>107</v>
      </c>
      <c r="P2757" s="2" t="s">
        <v>107</v>
      </c>
      <c r="Q2757" s="2" t="str">
        <f>"353-E/10"</f>
        <v>353-E/10</v>
      </c>
      <c r="R2757" s="2" t="s">
        <v>1130</v>
      </c>
      <c r="S2757" s="2"/>
      <c r="T2757" s="2">
        <v>1</v>
      </c>
      <c r="U2757" s="2" t="s">
        <v>79</v>
      </c>
      <c r="V2757" s="2">
        <v>1</v>
      </c>
      <c r="W2757" s="2" t="s">
        <v>80</v>
      </c>
      <c r="X2757" s="2">
        <v>12</v>
      </c>
      <c r="Y2757" s="2" t="s">
        <v>148</v>
      </c>
      <c r="Z2757" s="2">
        <v>1</v>
      </c>
      <c r="AA2757" s="2" t="s">
        <v>82</v>
      </c>
      <c r="AB2757" s="2">
        <v>5</v>
      </c>
      <c r="AC2757" s="2" t="s">
        <v>559</v>
      </c>
      <c r="AD2757" s="3">
        <v>40363</v>
      </c>
      <c r="AE2757" s="4">
        <v>0.875</v>
      </c>
      <c r="AF2757" s="3">
        <v>40363</v>
      </c>
      <c r="AG2757" s="4">
        <v>0.90972222222222221</v>
      </c>
      <c r="AH2757" s="2">
        <v>2</v>
      </c>
      <c r="AI2757" s="2" t="s">
        <v>84</v>
      </c>
      <c r="AJ2757" s="2">
        <v>9</v>
      </c>
      <c r="AK2757" s="2" t="s">
        <v>103</v>
      </c>
      <c r="AL2757" s="2">
        <v>17</v>
      </c>
      <c r="AM2757" s="2" t="s">
        <v>232</v>
      </c>
      <c r="AN2757" s="2" t="s">
        <v>9182</v>
      </c>
      <c r="AO2757" s="2" t="s">
        <v>9183</v>
      </c>
      <c r="AP2757" s="2">
        <v>11</v>
      </c>
      <c r="AQ2757" s="2" t="s">
        <v>82</v>
      </c>
      <c r="AR2757" s="2"/>
      <c r="AS2757" s="2"/>
      <c r="AT2757" s="2" t="s">
        <v>9184</v>
      </c>
      <c r="AU2757" s="2"/>
      <c r="AV2757" s="2"/>
      <c r="AW2757" s="2">
        <v>1</v>
      </c>
      <c r="AX2757" s="2"/>
      <c r="AY2757" s="2">
        <v>41</v>
      </c>
      <c r="AZ2757" s="2" t="s">
        <v>82</v>
      </c>
      <c r="BA2757" s="2">
        <v>41</v>
      </c>
      <c r="BB2757" s="2" t="s">
        <v>82</v>
      </c>
      <c r="BC2757" s="2">
        <v>41</v>
      </c>
      <c r="BD2757" s="2" t="s">
        <v>82</v>
      </c>
      <c r="BE2757" s="2">
        <v>1</v>
      </c>
      <c r="BF2757" s="2" t="s">
        <v>107</v>
      </c>
      <c r="BG2757" s="2"/>
      <c r="BH2757" s="2"/>
      <c r="BI2757" s="2"/>
      <c r="BJ2757" s="2">
        <v>242</v>
      </c>
      <c r="BK2757" s="2" t="s">
        <v>107</v>
      </c>
      <c r="BL2757" s="2"/>
      <c r="BM2757" s="2">
        <v>241</v>
      </c>
      <c r="BN2757" s="2" t="s">
        <v>82</v>
      </c>
      <c r="BO2757" s="2"/>
      <c r="BP2757" s="2">
        <v>242</v>
      </c>
      <c r="BQ2757" s="2" t="s">
        <v>107</v>
      </c>
      <c r="BR2757" s="2"/>
      <c r="BS2757" s="3">
        <v>40364</v>
      </c>
      <c r="BT2757" s="4">
        <v>0.44252314814814814</v>
      </c>
    </row>
    <row r="2758" spans="1:72" x14ac:dyDescent="0.25">
      <c r="A2758" s="2">
        <v>4019</v>
      </c>
      <c r="B2758" s="2">
        <v>2010</v>
      </c>
      <c r="C2758" s="2" t="s">
        <v>128</v>
      </c>
      <c r="D2758" s="2" t="s">
        <v>122</v>
      </c>
      <c r="E2758" s="2"/>
      <c r="F2758" s="2">
        <v>1</v>
      </c>
      <c r="G2758" s="2" t="s">
        <v>82</v>
      </c>
      <c r="H2758" s="2">
        <v>1</v>
      </c>
      <c r="I2758" s="2" t="s">
        <v>82</v>
      </c>
      <c r="J2758" s="2">
        <v>1</v>
      </c>
      <c r="K2758" s="2" t="s">
        <v>107</v>
      </c>
      <c r="L2758" s="2" t="s">
        <v>107</v>
      </c>
      <c r="M2758" s="3">
        <v>40364</v>
      </c>
      <c r="N2758" s="2"/>
      <c r="O2758" s="2"/>
      <c r="P2758" s="2"/>
      <c r="Q2758" s="2" t="str">
        <f>""</f>
        <v/>
      </c>
      <c r="R2758" s="2"/>
      <c r="S2758" s="2"/>
      <c r="T2758" s="2">
        <v>1</v>
      </c>
      <c r="U2758" s="2" t="s">
        <v>79</v>
      </c>
      <c r="V2758" s="2">
        <v>1</v>
      </c>
      <c r="W2758" s="2" t="s">
        <v>80</v>
      </c>
      <c r="X2758" s="2">
        <v>5</v>
      </c>
      <c r="Y2758" s="2" t="s">
        <v>82</v>
      </c>
      <c r="Z2758" s="2">
        <v>1</v>
      </c>
      <c r="AA2758" s="2" t="s">
        <v>82</v>
      </c>
      <c r="AB2758" s="2">
        <v>9</v>
      </c>
      <c r="AC2758" s="2" t="s">
        <v>124</v>
      </c>
      <c r="AD2758" s="3">
        <v>40363</v>
      </c>
      <c r="AE2758" s="4">
        <v>0.79166666666666663</v>
      </c>
      <c r="AF2758" s="3">
        <v>40364</v>
      </c>
      <c r="AG2758" s="4">
        <v>0.45833333333333331</v>
      </c>
      <c r="AH2758" s="2">
        <v>2</v>
      </c>
      <c r="AI2758" s="2" t="s">
        <v>84</v>
      </c>
      <c r="AJ2758" s="2">
        <v>8</v>
      </c>
      <c r="AK2758" s="2" t="s">
        <v>436</v>
      </c>
      <c r="AL2758" s="2">
        <v>19</v>
      </c>
      <c r="AM2758" s="2" t="s">
        <v>107</v>
      </c>
      <c r="AN2758" s="2"/>
      <c r="AO2758" s="2"/>
      <c r="AP2758" s="2">
        <v>11</v>
      </c>
      <c r="AQ2758" s="2" t="s">
        <v>82</v>
      </c>
      <c r="AR2758" s="2"/>
      <c r="AS2758" s="2"/>
      <c r="AT2758" s="2" t="s">
        <v>9185</v>
      </c>
      <c r="AU2758" s="2"/>
      <c r="AV2758" s="2"/>
      <c r="AW2758" s="2"/>
      <c r="AX2758" s="2"/>
      <c r="AY2758" s="2">
        <v>41</v>
      </c>
      <c r="AZ2758" s="2" t="s">
        <v>82</v>
      </c>
      <c r="BA2758" s="2">
        <v>41</v>
      </c>
      <c r="BB2758" s="2" t="s">
        <v>82</v>
      </c>
      <c r="BC2758" s="2">
        <v>41</v>
      </c>
      <c r="BD2758" s="2" t="s">
        <v>82</v>
      </c>
      <c r="BE2758" s="2">
        <v>41</v>
      </c>
      <c r="BF2758" s="2" t="s">
        <v>82</v>
      </c>
      <c r="BG2758" s="2"/>
      <c r="BH2758" s="2"/>
      <c r="BI2758" s="2"/>
      <c r="BJ2758" s="2">
        <v>241</v>
      </c>
      <c r="BK2758" s="2" t="s">
        <v>82</v>
      </c>
      <c r="BL2758" s="2"/>
      <c r="BM2758" s="2">
        <v>241</v>
      </c>
      <c r="BN2758" s="2" t="s">
        <v>82</v>
      </c>
      <c r="BO2758" s="2"/>
      <c r="BP2758" s="2">
        <v>241</v>
      </c>
      <c r="BQ2758" s="2" t="s">
        <v>82</v>
      </c>
      <c r="BR2758" s="2"/>
      <c r="BS2758" s="3">
        <v>40364</v>
      </c>
      <c r="BT2758" s="4">
        <v>0.59255787037037033</v>
      </c>
    </row>
    <row r="2759" spans="1:72" x14ac:dyDescent="0.25">
      <c r="A2759" s="2">
        <v>4020</v>
      </c>
      <c r="B2759" s="2">
        <v>2010</v>
      </c>
      <c r="C2759" s="2" t="s">
        <v>377</v>
      </c>
      <c r="D2759" s="2" t="s">
        <v>73</v>
      </c>
      <c r="E2759" s="2"/>
      <c r="F2759" s="2">
        <v>426</v>
      </c>
      <c r="G2759" s="2" t="s">
        <v>378</v>
      </c>
      <c r="H2759" s="2">
        <v>108</v>
      </c>
      <c r="I2759" s="2" t="s">
        <v>1096</v>
      </c>
      <c r="J2759" s="2">
        <v>311</v>
      </c>
      <c r="K2759" s="2" t="s">
        <v>379</v>
      </c>
      <c r="L2759" s="2" t="s">
        <v>380</v>
      </c>
      <c r="M2759" s="3">
        <v>40364</v>
      </c>
      <c r="N2759" s="2" t="s">
        <v>5164</v>
      </c>
      <c r="O2759" s="2"/>
      <c r="P2759" s="2"/>
      <c r="Q2759" s="2" t="str">
        <f>"148-C/10"</f>
        <v>148-C/10</v>
      </c>
      <c r="R2759" s="2" t="s">
        <v>9186</v>
      </c>
      <c r="S2759" s="2"/>
      <c r="T2759" s="2">
        <v>1</v>
      </c>
      <c r="U2759" s="2" t="s">
        <v>79</v>
      </c>
      <c r="V2759" s="2">
        <v>1</v>
      </c>
      <c r="W2759" s="2" t="s">
        <v>80</v>
      </c>
      <c r="X2759" s="2">
        <v>1</v>
      </c>
      <c r="Y2759" s="2" t="s">
        <v>81</v>
      </c>
      <c r="Z2759" s="2">
        <v>1</v>
      </c>
      <c r="AA2759" s="2" t="s">
        <v>82</v>
      </c>
      <c r="AB2759" s="2">
        <v>9</v>
      </c>
      <c r="AC2759" s="2" t="s">
        <v>124</v>
      </c>
      <c r="AD2759" s="3">
        <v>40364</v>
      </c>
      <c r="AE2759" s="4">
        <v>0.41666666666666669</v>
      </c>
      <c r="AF2759" s="2"/>
      <c r="AG2759" s="2"/>
      <c r="AH2759" s="2">
        <v>2</v>
      </c>
      <c r="AI2759" s="2" t="s">
        <v>84</v>
      </c>
      <c r="AJ2759" s="2">
        <v>9</v>
      </c>
      <c r="AK2759" s="2" t="s">
        <v>103</v>
      </c>
      <c r="AL2759" s="2">
        <v>14</v>
      </c>
      <c r="AM2759" s="2" t="s">
        <v>216</v>
      </c>
      <c r="AN2759" s="2"/>
      <c r="AO2759" s="2" t="s">
        <v>1346</v>
      </c>
      <c r="AP2759" s="2">
        <v>11</v>
      </c>
      <c r="AQ2759" s="2" t="s">
        <v>82</v>
      </c>
      <c r="AR2759" s="2"/>
      <c r="AS2759" s="2"/>
      <c r="AT2759" s="2" t="s">
        <v>9187</v>
      </c>
      <c r="AU2759" s="2"/>
      <c r="AV2759" s="2"/>
      <c r="AW2759" s="2"/>
      <c r="AX2759" s="2"/>
      <c r="AY2759" s="2">
        <v>41</v>
      </c>
      <c r="AZ2759" s="2" t="s">
        <v>82</v>
      </c>
      <c r="BA2759" s="2">
        <v>41</v>
      </c>
      <c r="BB2759" s="2" t="s">
        <v>82</v>
      </c>
      <c r="BC2759" s="2">
        <v>41</v>
      </c>
      <c r="BD2759" s="2" t="s">
        <v>82</v>
      </c>
      <c r="BE2759" s="2">
        <v>41</v>
      </c>
      <c r="BF2759" s="2" t="s">
        <v>82</v>
      </c>
      <c r="BG2759" s="2"/>
      <c r="BH2759" s="2"/>
      <c r="BI2759" s="2"/>
      <c r="BJ2759" s="2">
        <v>241</v>
      </c>
      <c r="BK2759" s="2" t="s">
        <v>82</v>
      </c>
      <c r="BL2759" s="2"/>
      <c r="BM2759" s="2">
        <v>241</v>
      </c>
      <c r="BN2759" s="2" t="s">
        <v>82</v>
      </c>
      <c r="BO2759" s="2"/>
      <c r="BP2759" s="2">
        <v>241</v>
      </c>
      <c r="BQ2759" s="2" t="s">
        <v>82</v>
      </c>
      <c r="BR2759" s="2"/>
      <c r="BS2759" s="3">
        <v>40364</v>
      </c>
      <c r="BT2759" s="4">
        <v>0.63906249999999998</v>
      </c>
    </row>
    <row r="2760" spans="1:72" x14ac:dyDescent="0.25">
      <c r="A2760" s="2">
        <v>4024</v>
      </c>
      <c r="B2760" s="2">
        <v>2010</v>
      </c>
      <c r="C2760" s="2" t="s">
        <v>171</v>
      </c>
      <c r="D2760" s="2" t="s">
        <v>73</v>
      </c>
      <c r="E2760" s="2"/>
      <c r="F2760" s="2">
        <v>118</v>
      </c>
      <c r="G2760" s="2" t="s">
        <v>4266</v>
      </c>
      <c r="H2760" s="2">
        <v>24</v>
      </c>
      <c r="I2760" s="2" t="s">
        <v>287</v>
      </c>
      <c r="J2760" s="2">
        <v>135</v>
      </c>
      <c r="K2760" s="2" t="s">
        <v>2502</v>
      </c>
      <c r="L2760" s="2" t="s">
        <v>2503</v>
      </c>
      <c r="M2760" s="3">
        <v>40364</v>
      </c>
      <c r="N2760" s="2" t="s">
        <v>9188</v>
      </c>
      <c r="O2760" s="2" t="s">
        <v>9189</v>
      </c>
      <c r="P2760" s="2" t="s">
        <v>9190</v>
      </c>
      <c r="Q2760" s="2" t="str">
        <f>""</f>
        <v/>
      </c>
      <c r="R2760" s="2"/>
      <c r="S2760" s="2"/>
      <c r="T2760" s="2">
        <v>1</v>
      </c>
      <c r="U2760" s="2" t="s">
        <v>79</v>
      </c>
      <c r="V2760" s="2">
        <v>3</v>
      </c>
      <c r="W2760" s="2" t="s">
        <v>225</v>
      </c>
      <c r="X2760" s="2">
        <v>6</v>
      </c>
      <c r="Y2760" s="2" t="s">
        <v>249</v>
      </c>
      <c r="Z2760" s="2">
        <v>1</v>
      </c>
      <c r="AA2760" s="2" t="s">
        <v>82</v>
      </c>
      <c r="AB2760" s="2">
        <v>9</v>
      </c>
      <c r="AC2760" s="2" t="s">
        <v>124</v>
      </c>
      <c r="AD2760" s="3">
        <v>40364</v>
      </c>
      <c r="AE2760" s="4">
        <v>0.4694444444444445</v>
      </c>
      <c r="AF2760" s="2"/>
      <c r="AG2760" s="2"/>
      <c r="AH2760" s="2">
        <v>6</v>
      </c>
      <c r="AI2760" s="2" t="s">
        <v>197</v>
      </c>
      <c r="AJ2760" s="2">
        <v>47</v>
      </c>
      <c r="AK2760" s="2" t="s">
        <v>250</v>
      </c>
      <c r="AL2760" s="2">
        <v>19</v>
      </c>
      <c r="AM2760" s="2" t="s">
        <v>107</v>
      </c>
      <c r="AN2760" s="2"/>
      <c r="AO2760" s="2"/>
      <c r="AP2760" s="2">
        <v>11</v>
      </c>
      <c r="AQ2760" s="2" t="s">
        <v>82</v>
      </c>
      <c r="AR2760" s="2"/>
      <c r="AS2760" s="2"/>
      <c r="AT2760" s="2" t="s">
        <v>9191</v>
      </c>
      <c r="AU2760" s="2"/>
      <c r="AV2760" s="2"/>
      <c r="AW2760" s="2"/>
      <c r="AX2760" s="2"/>
      <c r="AY2760" s="2">
        <v>41</v>
      </c>
      <c r="AZ2760" s="2" t="s">
        <v>82</v>
      </c>
      <c r="BA2760" s="2">
        <v>41</v>
      </c>
      <c r="BB2760" s="2" t="s">
        <v>82</v>
      </c>
      <c r="BC2760" s="2">
        <v>41</v>
      </c>
      <c r="BD2760" s="2" t="s">
        <v>82</v>
      </c>
      <c r="BE2760" s="2">
        <v>41</v>
      </c>
      <c r="BF2760" s="2" t="s">
        <v>82</v>
      </c>
      <c r="BG2760" s="2"/>
      <c r="BH2760" s="2"/>
      <c r="BI2760" s="2"/>
      <c r="BJ2760" s="2">
        <v>241</v>
      </c>
      <c r="BK2760" s="2" t="s">
        <v>82</v>
      </c>
      <c r="BL2760" s="2"/>
      <c r="BM2760" s="2">
        <v>241</v>
      </c>
      <c r="BN2760" s="2" t="s">
        <v>82</v>
      </c>
      <c r="BO2760" s="2"/>
      <c r="BP2760" s="2">
        <v>241</v>
      </c>
      <c r="BQ2760" s="2" t="s">
        <v>82</v>
      </c>
      <c r="BR2760" s="2"/>
      <c r="BS2760" s="3">
        <v>40364</v>
      </c>
      <c r="BT2760" s="4">
        <v>0.65771990740740738</v>
      </c>
    </row>
    <row r="2761" spans="1:72" x14ac:dyDescent="0.25">
      <c r="A2761" s="2">
        <v>4025</v>
      </c>
      <c r="B2761" s="2">
        <v>2010</v>
      </c>
      <c r="C2761" s="2" t="s">
        <v>377</v>
      </c>
      <c r="D2761" s="2" t="s">
        <v>73</v>
      </c>
      <c r="E2761" s="2"/>
      <c r="F2761" s="2">
        <v>426</v>
      </c>
      <c r="G2761" s="2" t="s">
        <v>378</v>
      </c>
      <c r="H2761" s="2">
        <v>108</v>
      </c>
      <c r="I2761" s="2" t="s">
        <v>1096</v>
      </c>
      <c r="J2761" s="2">
        <v>311</v>
      </c>
      <c r="K2761" s="2" t="s">
        <v>379</v>
      </c>
      <c r="L2761" s="2" t="s">
        <v>380</v>
      </c>
      <c r="M2761" s="3">
        <v>40364</v>
      </c>
      <c r="N2761" s="2" t="s">
        <v>5164</v>
      </c>
      <c r="O2761" s="2"/>
      <c r="P2761" s="2"/>
      <c r="Q2761" s="2" t="str">
        <f>"149-C/10"</f>
        <v>149-C/10</v>
      </c>
      <c r="R2761" s="2" t="s">
        <v>9186</v>
      </c>
      <c r="S2761" s="2"/>
      <c r="T2761" s="2">
        <v>1</v>
      </c>
      <c r="U2761" s="2" t="s">
        <v>79</v>
      </c>
      <c r="V2761" s="2">
        <v>1</v>
      </c>
      <c r="W2761" s="2" t="s">
        <v>80</v>
      </c>
      <c r="X2761" s="2">
        <v>1</v>
      </c>
      <c r="Y2761" s="2" t="s">
        <v>81</v>
      </c>
      <c r="Z2761" s="2">
        <v>1</v>
      </c>
      <c r="AA2761" s="2" t="s">
        <v>82</v>
      </c>
      <c r="AB2761" s="2">
        <v>9</v>
      </c>
      <c r="AC2761" s="2" t="s">
        <v>124</v>
      </c>
      <c r="AD2761" s="3">
        <v>40364</v>
      </c>
      <c r="AE2761" s="4">
        <v>0.41666666666666669</v>
      </c>
      <c r="AF2761" s="2"/>
      <c r="AG2761" s="2"/>
      <c r="AH2761" s="2">
        <v>2</v>
      </c>
      <c r="AI2761" s="2" t="s">
        <v>84</v>
      </c>
      <c r="AJ2761" s="2">
        <v>9</v>
      </c>
      <c r="AK2761" s="2" t="s">
        <v>103</v>
      </c>
      <c r="AL2761" s="2">
        <v>14</v>
      </c>
      <c r="AM2761" s="2" t="s">
        <v>216</v>
      </c>
      <c r="AN2761" s="2"/>
      <c r="AO2761" s="2" t="s">
        <v>1346</v>
      </c>
      <c r="AP2761" s="2">
        <v>11</v>
      </c>
      <c r="AQ2761" s="2" t="s">
        <v>82</v>
      </c>
      <c r="AR2761" s="2"/>
      <c r="AS2761" s="2"/>
      <c r="AT2761" s="2" t="s">
        <v>9187</v>
      </c>
      <c r="AU2761" s="2"/>
      <c r="AV2761" s="2"/>
      <c r="AW2761" s="2"/>
      <c r="AX2761" s="2"/>
      <c r="AY2761" s="2">
        <v>41</v>
      </c>
      <c r="AZ2761" s="2" t="s">
        <v>82</v>
      </c>
      <c r="BA2761" s="2">
        <v>41</v>
      </c>
      <c r="BB2761" s="2" t="s">
        <v>82</v>
      </c>
      <c r="BC2761" s="2">
        <v>41</v>
      </c>
      <c r="BD2761" s="2" t="s">
        <v>82</v>
      </c>
      <c r="BE2761" s="2">
        <v>41</v>
      </c>
      <c r="BF2761" s="2" t="s">
        <v>82</v>
      </c>
      <c r="BG2761" s="2"/>
      <c r="BH2761" s="2"/>
      <c r="BI2761" s="2"/>
      <c r="BJ2761" s="2">
        <v>241</v>
      </c>
      <c r="BK2761" s="2" t="s">
        <v>82</v>
      </c>
      <c r="BL2761" s="2"/>
      <c r="BM2761" s="2">
        <v>241</v>
      </c>
      <c r="BN2761" s="2" t="s">
        <v>82</v>
      </c>
      <c r="BO2761" s="2"/>
      <c r="BP2761" s="2">
        <v>241</v>
      </c>
      <c r="BQ2761" s="2" t="s">
        <v>82</v>
      </c>
      <c r="BR2761" s="2"/>
      <c r="BS2761" s="3">
        <v>40364</v>
      </c>
      <c r="BT2761" s="4">
        <v>0.66109953703703705</v>
      </c>
    </row>
    <row r="2762" spans="1:72" x14ac:dyDescent="0.25">
      <c r="A2762" s="2">
        <v>4028</v>
      </c>
      <c r="B2762" s="2">
        <v>2010</v>
      </c>
      <c r="C2762" s="2" t="s">
        <v>72</v>
      </c>
      <c r="D2762" s="2" t="s">
        <v>73</v>
      </c>
      <c r="E2762" s="2"/>
      <c r="F2762" s="2">
        <v>37</v>
      </c>
      <c r="G2762" s="2" t="s">
        <v>1790</v>
      </c>
      <c r="H2762" s="2">
        <v>108</v>
      </c>
      <c r="I2762" s="2" t="s">
        <v>1096</v>
      </c>
      <c r="J2762" s="2">
        <v>328</v>
      </c>
      <c r="K2762" s="2" t="s">
        <v>1791</v>
      </c>
      <c r="L2762" s="2" t="s">
        <v>1792</v>
      </c>
      <c r="M2762" s="3">
        <v>40364</v>
      </c>
      <c r="N2762" s="2" t="s">
        <v>3716</v>
      </c>
      <c r="O2762" s="2"/>
      <c r="P2762" s="2"/>
      <c r="Q2762" s="2" t="str">
        <f>"079/10"</f>
        <v>079/10</v>
      </c>
      <c r="R2762" s="2" t="s">
        <v>9192</v>
      </c>
      <c r="S2762" s="2"/>
      <c r="T2762" s="2">
        <v>1</v>
      </c>
      <c r="U2762" s="2" t="s">
        <v>79</v>
      </c>
      <c r="V2762" s="2">
        <v>1</v>
      </c>
      <c r="W2762" s="2" t="s">
        <v>80</v>
      </c>
      <c r="X2762" s="2">
        <v>12</v>
      </c>
      <c r="Y2762" s="2" t="s">
        <v>148</v>
      </c>
      <c r="Z2762" s="2">
        <v>1</v>
      </c>
      <c r="AA2762" s="2" t="s">
        <v>82</v>
      </c>
      <c r="AB2762" s="2">
        <v>6</v>
      </c>
      <c r="AC2762" s="2" t="s">
        <v>83</v>
      </c>
      <c r="AD2762" s="3">
        <v>40360</v>
      </c>
      <c r="AE2762" s="2"/>
      <c r="AF2762" s="3">
        <v>40364</v>
      </c>
      <c r="AG2762" s="4">
        <v>0.50694444444444442</v>
      </c>
      <c r="AH2762" s="2">
        <v>4</v>
      </c>
      <c r="AI2762" s="2" t="s">
        <v>125</v>
      </c>
      <c r="AJ2762" s="2">
        <v>29</v>
      </c>
      <c r="AK2762" s="2" t="s">
        <v>227</v>
      </c>
      <c r="AL2762" s="2">
        <v>22</v>
      </c>
      <c r="AM2762" s="2" t="s">
        <v>1853</v>
      </c>
      <c r="AN2762" s="2"/>
      <c r="AO2762" s="2"/>
      <c r="AP2762" s="2">
        <v>11</v>
      </c>
      <c r="AQ2762" s="2" t="s">
        <v>82</v>
      </c>
      <c r="AR2762" s="2"/>
      <c r="AS2762" s="2"/>
      <c r="AT2762" s="2" t="s">
        <v>9193</v>
      </c>
      <c r="AU2762" s="2"/>
      <c r="AV2762" s="2"/>
      <c r="AW2762" s="2"/>
      <c r="AX2762" s="2"/>
      <c r="AY2762" s="2">
        <v>41</v>
      </c>
      <c r="AZ2762" s="2" t="s">
        <v>82</v>
      </c>
      <c r="BA2762" s="2">
        <v>41</v>
      </c>
      <c r="BB2762" s="2" t="s">
        <v>82</v>
      </c>
      <c r="BC2762" s="2">
        <v>41</v>
      </c>
      <c r="BD2762" s="2" t="s">
        <v>82</v>
      </c>
      <c r="BE2762" s="2">
        <v>4</v>
      </c>
      <c r="BF2762" s="2" t="s">
        <v>90</v>
      </c>
      <c r="BG2762" s="2">
        <v>4135</v>
      </c>
      <c r="BH2762" s="2"/>
      <c r="BI2762" s="4">
        <v>0.83680555555555547</v>
      </c>
      <c r="BJ2762" s="2">
        <v>13</v>
      </c>
      <c r="BK2762" s="2" t="s">
        <v>91</v>
      </c>
      <c r="BL2762" s="2" t="s">
        <v>828</v>
      </c>
      <c r="BM2762" s="2">
        <v>241</v>
      </c>
      <c r="BN2762" s="2" t="s">
        <v>82</v>
      </c>
      <c r="BO2762" s="2"/>
      <c r="BP2762" s="2">
        <v>13</v>
      </c>
      <c r="BQ2762" s="2" t="s">
        <v>91</v>
      </c>
      <c r="BR2762" s="2" t="s">
        <v>1108</v>
      </c>
      <c r="BS2762" s="3">
        <v>40364</v>
      </c>
      <c r="BT2762" s="4">
        <v>0.69622685185185185</v>
      </c>
    </row>
    <row r="2763" spans="1:72" x14ac:dyDescent="0.25">
      <c r="A2763" s="2">
        <v>4030</v>
      </c>
      <c r="B2763" s="2">
        <v>2010</v>
      </c>
      <c r="C2763" s="2" t="s">
        <v>171</v>
      </c>
      <c r="D2763" s="2" t="s">
        <v>122</v>
      </c>
      <c r="E2763" s="2"/>
      <c r="F2763" s="2">
        <v>293</v>
      </c>
      <c r="G2763" s="2" t="s">
        <v>8731</v>
      </c>
      <c r="H2763" s="2">
        <v>23</v>
      </c>
      <c r="I2763" s="2" t="s">
        <v>422</v>
      </c>
      <c r="J2763" s="2">
        <v>608</v>
      </c>
      <c r="K2763" s="2" t="s">
        <v>9194</v>
      </c>
      <c r="L2763" s="2" t="s">
        <v>9195</v>
      </c>
      <c r="M2763" s="3">
        <v>40364</v>
      </c>
      <c r="N2763" s="2" t="s">
        <v>9196</v>
      </c>
      <c r="O2763" s="2" t="s">
        <v>9197</v>
      </c>
      <c r="P2763" s="2" t="s">
        <v>9198</v>
      </c>
      <c r="Q2763" s="2" t="str">
        <f>"0014/2010"</f>
        <v>0014/2010</v>
      </c>
      <c r="R2763" s="2"/>
      <c r="S2763" s="2"/>
      <c r="T2763" s="2">
        <v>1</v>
      </c>
      <c r="U2763" s="2" t="s">
        <v>79</v>
      </c>
      <c r="V2763" s="2">
        <v>3</v>
      </c>
      <c r="W2763" s="2" t="s">
        <v>225</v>
      </c>
      <c r="X2763" s="2">
        <v>8</v>
      </c>
      <c r="Y2763" s="2" t="s">
        <v>375</v>
      </c>
      <c r="Z2763" s="2">
        <v>1</v>
      </c>
      <c r="AA2763" s="2" t="s">
        <v>82</v>
      </c>
      <c r="AB2763" s="2">
        <v>9</v>
      </c>
      <c r="AC2763" s="2" t="s">
        <v>124</v>
      </c>
      <c r="AD2763" s="3">
        <v>40364</v>
      </c>
      <c r="AE2763" s="4">
        <v>0.66666666666666663</v>
      </c>
      <c r="AF2763" s="2"/>
      <c r="AG2763" s="2"/>
      <c r="AH2763" s="2">
        <v>5</v>
      </c>
      <c r="AI2763" s="2" t="s">
        <v>274</v>
      </c>
      <c r="AJ2763" s="2">
        <v>35</v>
      </c>
      <c r="AK2763" s="2" t="s">
        <v>275</v>
      </c>
      <c r="AL2763" s="2">
        <v>23</v>
      </c>
      <c r="AM2763" s="2" t="s">
        <v>251</v>
      </c>
      <c r="AN2763" s="2"/>
      <c r="AO2763" s="2" t="s">
        <v>9199</v>
      </c>
      <c r="AP2763" s="2">
        <v>11</v>
      </c>
      <c r="AQ2763" s="2" t="s">
        <v>82</v>
      </c>
      <c r="AR2763" s="2"/>
      <c r="AS2763" s="2"/>
      <c r="AT2763" s="2" t="s">
        <v>9200</v>
      </c>
      <c r="AU2763" s="2"/>
      <c r="AV2763" s="2"/>
      <c r="AW2763" s="2"/>
      <c r="AX2763" s="2"/>
      <c r="AY2763" s="2">
        <v>1</v>
      </c>
      <c r="AZ2763" s="2" t="s">
        <v>107</v>
      </c>
      <c r="BA2763" s="2">
        <v>1</v>
      </c>
      <c r="BB2763" s="2" t="s">
        <v>107</v>
      </c>
      <c r="BC2763" s="2">
        <v>1</v>
      </c>
      <c r="BD2763" s="2" t="s">
        <v>107</v>
      </c>
      <c r="BE2763" s="2">
        <v>1</v>
      </c>
      <c r="BF2763" s="2" t="s">
        <v>107</v>
      </c>
      <c r="BG2763" s="2"/>
      <c r="BH2763" s="2"/>
      <c r="BI2763" s="2"/>
      <c r="BJ2763" s="2">
        <v>242</v>
      </c>
      <c r="BK2763" s="2" t="s">
        <v>107</v>
      </c>
      <c r="BL2763" s="2"/>
      <c r="BM2763" s="2">
        <v>242</v>
      </c>
      <c r="BN2763" s="2" t="s">
        <v>107</v>
      </c>
      <c r="BO2763" s="2"/>
      <c r="BP2763" s="2">
        <v>242</v>
      </c>
      <c r="BQ2763" s="2" t="s">
        <v>107</v>
      </c>
      <c r="BR2763" s="2"/>
      <c r="BS2763" s="3">
        <v>40364</v>
      </c>
      <c r="BT2763" s="4">
        <v>0.77012731481481478</v>
      </c>
    </row>
    <row r="2764" spans="1:72" x14ac:dyDescent="0.25">
      <c r="A2764" s="2">
        <v>4031</v>
      </c>
      <c r="B2764" s="2">
        <v>2010</v>
      </c>
      <c r="C2764" s="2" t="s">
        <v>554</v>
      </c>
      <c r="D2764" s="2" t="s">
        <v>122</v>
      </c>
      <c r="E2764" s="2" t="s">
        <v>9201</v>
      </c>
      <c r="F2764" s="2">
        <v>2</v>
      </c>
      <c r="G2764" s="2" t="s">
        <v>113</v>
      </c>
      <c r="H2764" s="2">
        <v>108</v>
      </c>
      <c r="I2764" s="2" t="s">
        <v>1096</v>
      </c>
      <c r="J2764" s="2">
        <v>300</v>
      </c>
      <c r="K2764" s="2" t="s">
        <v>114</v>
      </c>
      <c r="L2764" s="2" t="s">
        <v>115</v>
      </c>
      <c r="M2764" s="3">
        <v>40364</v>
      </c>
      <c r="N2764" s="2" t="s">
        <v>107</v>
      </c>
      <c r="O2764" s="2" t="s">
        <v>107</v>
      </c>
      <c r="P2764" s="2" t="s">
        <v>107</v>
      </c>
      <c r="Q2764" s="2" t="str">
        <f>"353-E/10"</f>
        <v>353-E/10</v>
      </c>
      <c r="R2764" s="2" t="s">
        <v>1130</v>
      </c>
      <c r="S2764" s="2" t="s">
        <v>1130</v>
      </c>
      <c r="T2764" s="2">
        <v>1</v>
      </c>
      <c r="U2764" s="2" t="s">
        <v>79</v>
      </c>
      <c r="V2764" s="2">
        <v>1</v>
      </c>
      <c r="W2764" s="2" t="s">
        <v>80</v>
      </c>
      <c r="X2764" s="2">
        <v>12</v>
      </c>
      <c r="Y2764" s="2" t="s">
        <v>148</v>
      </c>
      <c r="Z2764" s="2">
        <v>1</v>
      </c>
      <c r="AA2764" s="2" t="s">
        <v>82</v>
      </c>
      <c r="AB2764" s="2">
        <v>5</v>
      </c>
      <c r="AC2764" s="2" t="s">
        <v>559</v>
      </c>
      <c r="AD2764" s="3">
        <v>40333</v>
      </c>
      <c r="AE2764" s="4">
        <v>0.89583333333333337</v>
      </c>
      <c r="AF2764" s="3">
        <v>40333</v>
      </c>
      <c r="AG2764" s="4">
        <v>0.91666666666666663</v>
      </c>
      <c r="AH2764" s="2">
        <v>2</v>
      </c>
      <c r="AI2764" s="2" t="s">
        <v>84</v>
      </c>
      <c r="AJ2764" s="2">
        <v>9</v>
      </c>
      <c r="AK2764" s="2" t="s">
        <v>103</v>
      </c>
      <c r="AL2764" s="2">
        <v>21</v>
      </c>
      <c r="AM2764" s="2" t="s">
        <v>1311</v>
      </c>
      <c r="AN2764" s="2" t="s">
        <v>9202</v>
      </c>
      <c r="AO2764" s="2"/>
      <c r="AP2764" s="2">
        <v>11</v>
      </c>
      <c r="AQ2764" s="2" t="s">
        <v>82</v>
      </c>
      <c r="AR2764" s="2"/>
      <c r="AS2764" s="2"/>
      <c r="AT2764" s="2" t="s">
        <v>9203</v>
      </c>
      <c r="AU2764" s="2"/>
      <c r="AV2764" s="2"/>
      <c r="AW2764" s="2"/>
      <c r="AX2764" s="2"/>
      <c r="AY2764" s="2">
        <v>41</v>
      </c>
      <c r="AZ2764" s="2" t="s">
        <v>82</v>
      </c>
      <c r="BA2764" s="2">
        <v>41</v>
      </c>
      <c r="BB2764" s="2" t="s">
        <v>82</v>
      </c>
      <c r="BC2764" s="2">
        <v>41</v>
      </c>
      <c r="BD2764" s="2" t="s">
        <v>82</v>
      </c>
      <c r="BE2764" s="2">
        <v>31</v>
      </c>
      <c r="BF2764" s="2" t="s">
        <v>398</v>
      </c>
      <c r="BG2764" s="2" t="s">
        <v>7568</v>
      </c>
      <c r="BH2764" s="4">
        <v>0.875</v>
      </c>
      <c r="BI2764" s="2"/>
      <c r="BJ2764" s="2">
        <v>73</v>
      </c>
      <c r="BK2764" s="2" t="s">
        <v>186</v>
      </c>
      <c r="BL2764" s="2" t="s">
        <v>187</v>
      </c>
      <c r="BM2764" s="2">
        <v>241</v>
      </c>
      <c r="BN2764" s="2" t="s">
        <v>82</v>
      </c>
      <c r="BO2764" s="2"/>
      <c r="BP2764" s="2">
        <v>13</v>
      </c>
      <c r="BQ2764" s="2" t="s">
        <v>91</v>
      </c>
      <c r="BR2764" s="2" t="s">
        <v>2655</v>
      </c>
      <c r="BS2764" s="3">
        <v>40364</v>
      </c>
      <c r="BT2764" s="4">
        <v>0.77844907407407404</v>
      </c>
    </row>
    <row r="2765" spans="1:72" x14ac:dyDescent="0.25">
      <c r="A2765" s="2">
        <v>4032</v>
      </c>
      <c r="B2765" s="2">
        <v>2010</v>
      </c>
      <c r="C2765" s="2" t="s">
        <v>72</v>
      </c>
      <c r="D2765" s="2" t="s">
        <v>73</v>
      </c>
      <c r="E2765" s="2"/>
      <c r="F2765" s="2">
        <v>191</v>
      </c>
      <c r="G2765" s="2" t="s">
        <v>5531</v>
      </c>
      <c r="H2765" s="2">
        <v>22</v>
      </c>
      <c r="I2765" s="2" t="s">
        <v>75</v>
      </c>
      <c r="J2765" s="2">
        <v>606</v>
      </c>
      <c r="K2765" s="2" t="s">
        <v>9068</v>
      </c>
      <c r="L2765" s="2" t="s">
        <v>9069</v>
      </c>
      <c r="M2765" s="3">
        <v>40364</v>
      </c>
      <c r="N2765" s="2" t="s">
        <v>9204</v>
      </c>
      <c r="O2765" s="2" t="s">
        <v>107</v>
      </c>
      <c r="P2765" s="2" t="s">
        <v>107</v>
      </c>
      <c r="Q2765" s="2" t="str">
        <f>"248-A/10"</f>
        <v>248-A/10</v>
      </c>
      <c r="R2765" s="2" t="s">
        <v>9205</v>
      </c>
      <c r="S2765" s="2" t="s">
        <v>9205</v>
      </c>
      <c r="T2765" s="2">
        <v>1</v>
      </c>
      <c r="U2765" s="2" t="s">
        <v>79</v>
      </c>
      <c r="V2765" s="2">
        <v>1</v>
      </c>
      <c r="W2765" s="2" t="s">
        <v>80</v>
      </c>
      <c r="X2765" s="2">
        <v>12</v>
      </c>
      <c r="Y2765" s="2" t="s">
        <v>148</v>
      </c>
      <c r="Z2765" s="2">
        <v>1</v>
      </c>
      <c r="AA2765" s="2" t="s">
        <v>82</v>
      </c>
      <c r="AB2765" s="2">
        <v>6</v>
      </c>
      <c r="AC2765" s="2" t="s">
        <v>83</v>
      </c>
      <c r="AD2765" s="2"/>
      <c r="AE2765" s="2"/>
      <c r="AF2765" s="3">
        <v>40364</v>
      </c>
      <c r="AG2765" s="4">
        <v>0.5</v>
      </c>
      <c r="AH2765" s="2">
        <v>2</v>
      </c>
      <c r="AI2765" s="2" t="s">
        <v>84</v>
      </c>
      <c r="AJ2765" s="2">
        <v>12</v>
      </c>
      <c r="AK2765" s="2" t="s">
        <v>85</v>
      </c>
      <c r="AL2765" s="2">
        <v>22</v>
      </c>
      <c r="AM2765" s="2" t="s">
        <v>1853</v>
      </c>
      <c r="AN2765" s="2"/>
      <c r="AO2765" s="2" t="s">
        <v>7625</v>
      </c>
      <c r="AP2765" s="2">
        <v>11</v>
      </c>
      <c r="AQ2765" s="2" t="s">
        <v>82</v>
      </c>
      <c r="AR2765" s="2"/>
      <c r="AS2765" s="2"/>
      <c r="AT2765" s="2" t="s">
        <v>9206</v>
      </c>
      <c r="AU2765" s="2"/>
      <c r="AV2765" s="2"/>
      <c r="AW2765" s="2"/>
      <c r="AX2765" s="2"/>
      <c r="AY2765" s="2">
        <v>41</v>
      </c>
      <c r="AZ2765" s="2" t="s">
        <v>82</v>
      </c>
      <c r="BA2765" s="2">
        <v>10</v>
      </c>
      <c r="BB2765" s="2" t="s">
        <v>901</v>
      </c>
      <c r="BC2765" s="2">
        <v>41</v>
      </c>
      <c r="BD2765" s="2" t="s">
        <v>82</v>
      </c>
      <c r="BE2765" s="2">
        <v>41</v>
      </c>
      <c r="BF2765" s="2" t="s">
        <v>82</v>
      </c>
      <c r="BG2765" s="2"/>
      <c r="BH2765" s="2"/>
      <c r="BI2765" s="2"/>
      <c r="BJ2765" s="2">
        <v>241</v>
      </c>
      <c r="BK2765" s="2" t="s">
        <v>82</v>
      </c>
      <c r="BL2765" s="2"/>
      <c r="BM2765" s="2">
        <v>241</v>
      </c>
      <c r="BN2765" s="2" t="s">
        <v>82</v>
      </c>
      <c r="BO2765" s="2"/>
      <c r="BP2765" s="2">
        <v>241</v>
      </c>
      <c r="BQ2765" s="2" t="s">
        <v>82</v>
      </c>
      <c r="BR2765" s="2"/>
      <c r="BS2765" s="3">
        <v>40364</v>
      </c>
      <c r="BT2765" s="4">
        <v>0.87785879629629626</v>
      </c>
    </row>
    <row r="2766" spans="1:72" x14ac:dyDescent="0.25">
      <c r="A2766" s="2">
        <v>4033</v>
      </c>
      <c r="B2766" s="2">
        <v>2010</v>
      </c>
      <c r="C2766" s="2" t="s">
        <v>72</v>
      </c>
      <c r="D2766" s="2" t="s">
        <v>73</v>
      </c>
      <c r="E2766" s="2"/>
      <c r="F2766" s="2">
        <v>35</v>
      </c>
      <c r="G2766" s="2" t="s">
        <v>2057</v>
      </c>
      <c r="H2766" s="2">
        <v>55</v>
      </c>
      <c r="I2766" s="2" t="s">
        <v>2058</v>
      </c>
      <c r="J2766" s="2">
        <v>43</v>
      </c>
      <c r="K2766" s="2" t="s">
        <v>2059</v>
      </c>
      <c r="L2766" s="2" t="s">
        <v>2060</v>
      </c>
      <c r="M2766" s="3">
        <v>40364</v>
      </c>
      <c r="N2766" s="2" t="s">
        <v>9207</v>
      </c>
      <c r="O2766" s="2" t="s">
        <v>601</v>
      </c>
      <c r="P2766" s="2"/>
      <c r="Q2766" s="2" t="str">
        <f>"31"</f>
        <v>31</v>
      </c>
      <c r="R2766" s="2"/>
      <c r="S2766" s="2" t="s">
        <v>601</v>
      </c>
      <c r="T2766" s="2">
        <v>1</v>
      </c>
      <c r="U2766" s="2" t="s">
        <v>79</v>
      </c>
      <c r="V2766" s="2">
        <v>1</v>
      </c>
      <c r="W2766" s="2" t="s">
        <v>80</v>
      </c>
      <c r="X2766" s="2">
        <v>1</v>
      </c>
      <c r="Y2766" s="2" t="s">
        <v>81</v>
      </c>
      <c r="Z2766" s="2">
        <v>1</v>
      </c>
      <c r="AA2766" s="2" t="s">
        <v>82</v>
      </c>
      <c r="AB2766" s="2">
        <v>6</v>
      </c>
      <c r="AC2766" s="2" t="s">
        <v>83</v>
      </c>
      <c r="AD2766" s="3">
        <v>40364</v>
      </c>
      <c r="AE2766" s="4">
        <v>0.81666666666666676</v>
      </c>
      <c r="AF2766" s="2"/>
      <c r="AG2766" s="2"/>
      <c r="AH2766" s="2">
        <v>3</v>
      </c>
      <c r="AI2766" s="2" t="s">
        <v>214</v>
      </c>
      <c r="AJ2766" s="2">
        <v>17</v>
      </c>
      <c r="AK2766" s="2" t="s">
        <v>309</v>
      </c>
      <c r="AL2766" s="2">
        <v>9</v>
      </c>
      <c r="AM2766" s="2" t="s">
        <v>259</v>
      </c>
      <c r="AN2766" s="2" t="s">
        <v>9208</v>
      </c>
      <c r="AO2766" s="2"/>
      <c r="AP2766" s="2">
        <v>11</v>
      </c>
      <c r="AQ2766" s="2" t="s">
        <v>82</v>
      </c>
      <c r="AR2766" s="2"/>
      <c r="AS2766" s="2"/>
      <c r="AT2766" s="2" t="s">
        <v>9209</v>
      </c>
      <c r="AU2766" s="2"/>
      <c r="AV2766" s="2"/>
      <c r="AW2766" s="2"/>
      <c r="AX2766" s="2"/>
      <c r="AY2766" s="2">
        <v>44</v>
      </c>
      <c r="AZ2766" s="2" t="s">
        <v>262</v>
      </c>
      <c r="BA2766" s="2">
        <v>41</v>
      </c>
      <c r="BB2766" s="2" t="s">
        <v>82</v>
      </c>
      <c r="BC2766" s="2">
        <v>41</v>
      </c>
      <c r="BD2766" s="2" t="s">
        <v>82</v>
      </c>
      <c r="BE2766" s="2">
        <v>41</v>
      </c>
      <c r="BF2766" s="2" t="s">
        <v>82</v>
      </c>
      <c r="BG2766" s="2"/>
      <c r="BH2766" s="2"/>
      <c r="BI2766" s="2"/>
      <c r="BJ2766" s="2">
        <v>241</v>
      </c>
      <c r="BK2766" s="2" t="s">
        <v>82</v>
      </c>
      <c r="BL2766" s="2"/>
      <c r="BM2766" s="2">
        <v>241</v>
      </c>
      <c r="BN2766" s="2" t="s">
        <v>82</v>
      </c>
      <c r="BO2766" s="2"/>
      <c r="BP2766" s="2">
        <v>241</v>
      </c>
      <c r="BQ2766" s="2" t="s">
        <v>82</v>
      </c>
      <c r="BR2766" s="2"/>
      <c r="BS2766" s="3">
        <v>40364</v>
      </c>
      <c r="BT2766" s="4">
        <v>0.91383101851851845</v>
      </c>
    </row>
    <row r="2767" spans="1:72" x14ac:dyDescent="0.25">
      <c r="A2767" s="2">
        <v>4034</v>
      </c>
      <c r="B2767" s="2">
        <v>2010</v>
      </c>
      <c r="C2767" s="2" t="s">
        <v>819</v>
      </c>
      <c r="D2767" s="2" t="s">
        <v>122</v>
      </c>
      <c r="E2767" s="2"/>
      <c r="F2767" s="2">
        <v>451</v>
      </c>
      <c r="G2767" s="2" t="s">
        <v>879</v>
      </c>
      <c r="H2767" s="2">
        <v>31</v>
      </c>
      <c r="I2767" s="2" t="s">
        <v>880</v>
      </c>
      <c r="J2767" s="2">
        <v>326</v>
      </c>
      <c r="K2767" s="2" t="s">
        <v>881</v>
      </c>
      <c r="L2767" s="2" t="s">
        <v>882</v>
      </c>
      <c r="M2767" s="3">
        <v>40364</v>
      </c>
      <c r="N2767" s="2" t="s">
        <v>1072</v>
      </c>
      <c r="O2767" s="2"/>
      <c r="P2767" s="2"/>
      <c r="Q2767" s="2" t="str">
        <f>"080/10"</f>
        <v>080/10</v>
      </c>
      <c r="R2767" s="2" t="s">
        <v>822</v>
      </c>
      <c r="S2767" s="2"/>
      <c r="T2767" s="2">
        <v>1</v>
      </c>
      <c r="U2767" s="2" t="s">
        <v>79</v>
      </c>
      <c r="V2767" s="2">
        <v>1</v>
      </c>
      <c r="W2767" s="2" t="s">
        <v>80</v>
      </c>
      <c r="X2767" s="2">
        <v>1</v>
      </c>
      <c r="Y2767" s="2" t="s">
        <v>81</v>
      </c>
      <c r="Z2767" s="2">
        <v>10</v>
      </c>
      <c r="AA2767" s="2" t="s">
        <v>236</v>
      </c>
      <c r="AB2767" s="2">
        <v>9</v>
      </c>
      <c r="AC2767" s="2" t="s">
        <v>124</v>
      </c>
      <c r="AD2767" s="3">
        <v>40364</v>
      </c>
      <c r="AE2767" s="4">
        <v>0.93055555555555547</v>
      </c>
      <c r="AF2767" s="2"/>
      <c r="AG2767" s="2"/>
      <c r="AH2767" s="2">
        <v>4</v>
      </c>
      <c r="AI2767" s="2" t="s">
        <v>125</v>
      </c>
      <c r="AJ2767" s="2">
        <v>29</v>
      </c>
      <c r="AK2767" s="2" t="s">
        <v>227</v>
      </c>
      <c r="AL2767" s="2">
        <v>10</v>
      </c>
      <c r="AM2767" s="2" t="s">
        <v>200</v>
      </c>
      <c r="AN2767" s="2" t="s">
        <v>1073</v>
      </c>
      <c r="AO2767" s="2" t="s">
        <v>6863</v>
      </c>
      <c r="AP2767" s="2">
        <v>12</v>
      </c>
      <c r="AQ2767" s="2" t="s">
        <v>322</v>
      </c>
      <c r="AR2767" s="2" t="s">
        <v>824</v>
      </c>
      <c r="AS2767" s="2" t="s">
        <v>825</v>
      </c>
      <c r="AT2767" s="2" t="s">
        <v>9210</v>
      </c>
      <c r="AU2767" s="2"/>
      <c r="AV2767" s="2"/>
      <c r="AW2767" s="2"/>
      <c r="AX2767" s="2"/>
      <c r="AY2767" s="2">
        <v>41</v>
      </c>
      <c r="AZ2767" s="2" t="s">
        <v>82</v>
      </c>
      <c r="BA2767" s="2">
        <v>41</v>
      </c>
      <c r="BB2767" s="2" t="s">
        <v>82</v>
      </c>
      <c r="BC2767" s="2">
        <v>51</v>
      </c>
      <c r="BD2767" s="2" t="s">
        <v>827</v>
      </c>
      <c r="BE2767" s="2">
        <v>13</v>
      </c>
      <c r="BF2767" s="2" t="s">
        <v>108</v>
      </c>
      <c r="BG2767" s="2">
        <v>1459</v>
      </c>
      <c r="BH2767" s="4">
        <v>0.9375</v>
      </c>
      <c r="BI2767" s="4">
        <v>0.95486111111111116</v>
      </c>
      <c r="BJ2767" s="2">
        <v>13</v>
      </c>
      <c r="BK2767" s="2" t="s">
        <v>91</v>
      </c>
      <c r="BL2767" s="2" t="s">
        <v>828</v>
      </c>
      <c r="BM2767" s="2">
        <v>241</v>
      </c>
      <c r="BN2767" s="2" t="s">
        <v>82</v>
      </c>
      <c r="BO2767" s="2"/>
      <c r="BP2767" s="2">
        <v>13</v>
      </c>
      <c r="BQ2767" s="2" t="s">
        <v>91</v>
      </c>
      <c r="BR2767" s="2" t="s">
        <v>185</v>
      </c>
      <c r="BS2767" s="3">
        <v>40364</v>
      </c>
      <c r="BT2767" s="4">
        <v>0.98910879629629633</v>
      </c>
    </row>
    <row r="2768" spans="1:72" x14ac:dyDescent="0.25">
      <c r="A2768" s="2">
        <v>4035</v>
      </c>
      <c r="B2768" s="2">
        <v>2010</v>
      </c>
      <c r="C2768" s="2" t="s">
        <v>72</v>
      </c>
      <c r="D2768" s="2" t="s">
        <v>73</v>
      </c>
      <c r="E2768" s="2"/>
      <c r="F2768" s="2">
        <v>53</v>
      </c>
      <c r="G2768" s="2" t="s">
        <v>2755</v>
      </c>
      <c r="H2768" s="2">
        <v>24</v>
      </c>
      <c r="I2768" s="2" t="s">
        <v>287</v>
      </c>
      <c r="J2768" s="2">
        <v>88</v>
      </c>
      <c r="K2768" s="2" t="s">
        <v>2756</v>
      </c>
      <c r="L2768" s="2" t="s">
        <v>2757</v>
      </c>
      <c r="M2768" s="3">
        <v>40365</v>
      </c>
      <c r="N2768" s="2" t="s">
        <v>9211</v>
      </c>
      <c r="O2768" s="2"/>
      <c r="P2768" s="2"/>
      <c r="Q2768" s="2" t="str">
        <f>"023/10"</f>
        <v>023/10</v>
      </c>
      <c r="R2768" s="2"/>
      <c r="S2768" s="2" t="s">
        <v>657</v>
      </c>
      <c r="T2768" s="2">
        <v>1</v>
      </c>
      <c r="U2768" s="2" t="s">
        <v>79</v>
      </c>
      <c r="V2768" s="2">
        <v>1</v>
      </c>
      <c r="W2768" s="2" t="s">
        <v>80</v>
      </c>
      <c r="X2768" s="2">
        <v>12</v>
      </c>
      <c r="Y2768" s="2" t="s">
        <v>148</v>
      </c>
      <c r="Z2768" s="2">
        <v>1</v>
      </c>
      <c r="AA2768" s="2" t="s">
        <v>82</v>
      </c>
      <c r="AB2768" s="2">
        <v>6</v>
      </c>
      <c r="AC2768" s="2" t="s">
        <v>83</v>
      </c>
      <c r="AD2768" s="3">
        <v>40364</v>
      </c>
      <c r="AE2768" s="2"/>
      <c r="AF2768" s="3">
        <v>40364</v>
      </c>
      <c r="AG2768" s="4">
        <v>0.99305555555555547</v>
      </c>
      <c r="AH2768" s="2">
        <v>4</v>
      </c>
      <c r="AI2768" s="2" t="s">
        <v>125</v>
      </c>
      <c r="AJ2768" s="2">
        <v>28</v>
      </c>
      <c r="AK2768" s="2" t="s">
        <v>741</v>
      </c>
      <c r="AL2768" s="2">
        <v>2</v>
      </c>
      <c r="AM2768" s="2" t="s">
        <v>163</v>
      </c>
      <c r="AN2768" s="2" t="s">
        <v>9212</v>
      </c>
      <c r="AO2768" s="2"/>
      <c r="AP2768" s="2">
        <v>11</v>
      </c>
      <c r="AQ2768" s="2" t="s">
        <v>82</v>
      </c>
      <c r="AR2768" s="2"/>
      <c r="AS2768" s="2"/>
      <c r="AT2768" s="2" t="s">
        <v>9213</v>
      </c>
      <c r="AU2768" s="2"/>
      <c r="AV2768" s="2"/>
      <c r="AW2768" s="2"/>
      <c r="AX2768" s="2"/>
      <c r="AY2768" s="2">
        <v>41</v>
      </c>
      <c r="AZ2768" s="2" t="s">
        <v>82</v>
      </c>
      <c r="BA2768" s="2">
        <v>41</v>
      </c>
      <c r="BB2768" s="2" t="s">
        <v>82</v>
      </c>
      <c r="BC2768" s="2">
        <v>41</v>
      </c>
      <c r="BD2768" s="2" t="s">
        <v>82</v>
      </c>
      <c r="BE2768" s="2">
        <v>13</v>
      </c>
      <c r="BF2768" s="2" t="s">
        <v>108</v>
      </c>
      <c r="BG2768" s="2" t="s">
        <v>9214</v>
      </c>
      <c r="BH2768" s="4">
        <v>0.95138888888888884</v>
      </c>
      <c r="BI2768" s="4">
        <v>0.98958333333333337</v>
      </c>
      <c r="BJ2768" s="2">
        <v>13</v>
      </c>
      <c r="BK2768" s="2" t="s">
        <v>91</v>
      </c>
      <c r="BL2768" s="2" t="s">
        <v>185</v>
      </c>
      <c r="BM2768" s="2">
        <v>241</v>
      </c>
      <c r="BN2768" s="2" t="s">
        <v>82</v>
      </c>
      <c r="BO2768" s="2" t="s">
        <v>82</v>
      </c>
      <c r="BP2768" s="2">
        <v>13</v>
      </c>
      <c r="BQ2768" s="2" t="s">
        <v>91</v>
      </c>
      <c r="BR2768" s="2" t="s">
        <v>744</v>
      </c>
      <c r="BS2768" s="3">
        <v>40365</v>
      </c>
      <c r="BT2768" s="4">
        <v>7.1597222222222215E-2</v>
      </c>
    </row>
    <row r="2769" spans="1:72" x14ac:dyDescent="0.25">
      <c r="A2769" s="2">
        <v>4037</v>
      </c>
      <c r="B2769" s="2">
        <v>2010</v>
      </c>
      <c r="C2769" s="2" t="s">
        <v>418</v>
      </c>
      <c r="D2769" s="2" t="s">
        <v>122</v>
      </c>
      <c r="E2769" s="2"/>
      <c r="F2769" s="2">
        <v>1</v>
      </c>
      <c r="G2769" s="2" t="s">
        <v>82</v>
      </c>
      <c r="H2769" s="2">
        <v>1</v>
      </c>
      <c r="I2769" s="2" t="s">
        <v>82</v>
      </c>
      <c r="J2769" s="2">
        <v>1</v>
      </c>
      <c r="K2769" s="2" t="s">
        <v>107</v>
      </c>
      <c r="L2769" s="2" t="s">
        <v>107</v>
      </c>
      <c r="M2769" s="3">
        <v>40365</v>
      </c>
      <c r="N2769" s="2"/>
      <c r="O2769" s="2"/>
      <c r="P2769" s="2"/>
      <c r="Q2769" s="2" t="str">
        <f>""</f>
        <v/>
      </c>
      <c r="R2769" s="2"/>
      <c r="S2769" s="2"/>
      <c r="T2769" s="2">
        <v>2</v>
      </c>
      <c r="U2769" s="2" t="s">
        <v>123</v>
      </c>
      <c r="V2769" s="2">
        <v>1</v>
      </c>
      <c r="W2769" s="2" t="s">
        <v>80</v>
      </c>
      <c r="X2769" s="2">
        <v>5</v>
      </c>
      <c r="Y2769" s="2" t="s">
        <v>82</v>
      </c>
      <c r="Z2769" s="2">
        <v>1</v>
      </c>
      <c r="AA2769" s="2" t="s">
        <v>82</v>
      </c>
      <c r="AB2769" s="2">
        <v>9</v>
      </c>
      <c r="AC2769" s="2" t="s">
        <v>124</v>
      </c>
      <c r="AD2769" s="2"/>
      <c r="AE2769" s="2"/>
      <c r="AF2769" s="2"/>
      <c r="AG2769" s="2"/>
      <c r="AH2769" s="2">
        <v>4</v>
      </c>
      <c r="AI2769" s="2" t="s">
        <v>125</v>
      </c>
      <c r="AJ2769" s="2">
        <v>28</v>
      </c>
      <c r="AK2769" s="2" t="s">
        <v>741</v>
      </c>
      <c r="AL2769" s="2">
        <v>18</v>
      </c>
      <c r="AM2769" s="2" t="s">
        <v>82</v>
      </c>
      <c r="AN2769" s="2"/>
      <c r="AO2769" s="2"/>
      <c r="AP2769" s="2">
        <v>11</v>
      </c>
      <c r="AQ2769" s="2" t="s">
        <v>82</v>
      </c>
      <c r="AR2769" s="2"/>
      <c r="AS2769" s="2"/>
      <c r="AT2769" s="2" t="s">
        <v>9215</v>
      </c>
      <c r="AU2769" s="2"/>
      <c r="AV2769" s="2"/>
      <c r="AW2769" s="2"/>
      <c r="AX2769" s="2"/>
      <c r="AY2769" s="2">
        <v>1</v>
      </c>
      <c r="AZ2769" s="2" t="s">
        <v>107</v>
      </c>
      <c r="BA2769" s="2">
        <v>1</v>
      </c>
      <c r="BB2769" s="2" t="s">
        <v>107</v>
      </c>
      <c r="BC2769" s="2">
        <v>1</v>
      </c>
      <c r="BD2769" s="2" t="s">
        <v>107</v>
      </c>
      <c r="BE2769" s="2">
        <v>13</v>
      </c>
      <c r="BF2769" s="2" t="s">
        <v>108</v>
      </c>
      <c r="BG2769" s="2" t="s">
        <v>9216</v>
      </c>
      <c r="BH2769" s="4">
        <v>0.4201388888888889</v>
      </c>
      <c r="BI2769" s="4">
        <v>0.34027777777777773</v>
      </c>
      <c r="BJ2769" s="2">
        <v>13</v>
      </c>
      <c r="BK2769" s="2" t="s">
        <v>91</v>
      </c>
      <c r="BL2769" s="2" t="s">
        <v>170</v>
      </c>
      <c r="BM2769" s="2">
        <v>242</v>
      </c>
      <c r="BN2769" s="2" t="s">
        <v>107</v>
      </c>
      <c r="BO2769" s="2"/>
      <c r="BP2769" s="2">
        <v>13</v>
      </c>
      <c r="BQ2769" s="2" t="s">
        <v>91</v>
      </c>
      <c r="BR2769" s="2" t="s">
        <v>9217</v>
      </c>
      <c r="BS2769" s="3">
        <v>40365</v>
      </c>
      <c r="BT2769" s="4">
        <v>0.45164351851851853</v>
      </c>
    </row>
    <row r="2770" spans="1:72" x14ac:dyDescent="0.25">
      <c r="A2770" s="2">
        <v>4038</v>
      </c>
      <c r="B2770" s="2">
        <v>2010</v>
      </c>
      <c r="C2770" s="2" t="s">
        <v>147</v>
      </c>
      <c r="D2770" s="2" t="s">
        <v>73</v>
      </c>
      <c r="E2770" s="2"/>
      <c r="F2770" s="2">
        <v>1</v>
      </c>
      <c r="G2770" s="2" t="s">
        <v>82</v>
      </c>
      <c r="H2770" s="2">
        <v>1</v>
      </c>
      <c r="I2770" s="2" t="s">
        <v>82</v>
      </c>
      <c r="J2770" s="2">
        <v>1</v>
      </c>
      <c r="K2770" s="2" t="s">
        <v>107</v>
      </c>
      <c r="L2770" s="2" t="s">
        <v>107</v>
      </c>
      <c r="M2770" s="3">
        <v>40365</v>
      </c>
      <c r="N2770" s="2"/>
      <c r="O2770" s="2"/>
      <c r="P2770" s="2"/>
      <c r="Q2770" s="2" t="str">
        <f>"AP 0007/2010"</f>
        <v>AP 0007/2010</v>
      </c>
      <c r="R2770" s="2"/>
      <c r="S2770" s="2"/>
      <c r="T2770" s="2">
        <v>2</v>
      </c>
      <c r="U2770" s="2" t="s">
        <v>123</v>
      </c>
      <c r="V2770" s="2">
        <v>1</v>
      </c>
      <c r="W2770" s="2" t="s">
        <v>80</v>
      </c>
      <c r="X2770" s="2">
        <v>12</v>
      </c>
      <c r="Y2770" s="2" t="s">
        <v>148</v>
      </c>
      <c r="Z2770" s="2">
        <v>1</v>
      </c>
      <c r="AA2770" s="2" t="s">
        <v>82</v>
      </c>
      <c r="AB2770" s="2">
        <v>9</v>
      </c>
      <c r="AC2770" s="2" t="s">
        <v>124</v>
      </c>
      <c r="AD2770" s="3">
        <v>40365</v>
      </c>
      <c r="AE2770" s="4">
        <v>0.33333333333333331</v>
      </c>
      <c r="AF2770" s="3">
        <v>40365</v>
      </c>
      <c r="AG2770" s="4">
        <v>0.39583333333333331</v>
      </c>
      <c r="AH2770" s="2">
        <v>5</v>
      </c>
      <c r="AI2770" s="2" t="s">
        <v>274</v>
      </c>
      <c r="AJ2770" s="2">
        <v>44</v>
      </c>
      <c r="AK2770" s="2" t="s">
        <v>667</v>
      </c>
      <c r="AL2770" s="2">
        <v>23</v>
      </c>
      <c r="AM2770" s="2" t="s">
        <v>251</v>
      </c>
      <c r="AN2770" s="2"/>
      <c r="AO2770" s="2" t="s">
        <v>9218</v>
      </c>
      <c r="AP2770" s="2">
        <v>11</v>
      </c>
      <c r="AQ2770" s="2" t="s">
        <v>82</v>
      </c>
      <c r="AR2770" s="2"/>
      <c r="AS2770" s="2"/>
      <c r="AT2770" s="2" t="s">
        <v>9219</v>
      </c>
      <c r="AU2770" s="2"/>
      <c r="AV2770" s="2"/>
      <c r="AW2770" s="2"/>
      <c r="AX2770" s="2"/>
      <c r="AY2770" s="2">
        <v>1</v>
      </c>
      <c r="AZ2770" s="2" t="s">
        <v>107</v>
      </c>
      <c r="BA2770" s="2">
        <v>1</v>
      </c>
      <c r="BB2770" s="2" t="s">
        <v>107</v>
      </c>
      <c r="BC2770" s="2">
        <v>1</v>
      </c>
      <c r="BD2770" s="2" t="s">
        <v>107</v>
      </c>
      <c r="BE2770" s="2">
        <v>1</v>
      </c>
      <c r="BF2770" s="2" t="s">
        <v>107</v>
      </c>
      <c r="BG2770" s="2"/>
      <c r="BH2770" s="2"/>
      <c r="BI2770" s="2"/>
      <c r="BJ2770" s="2">
        <v>242</v>
      </c>
      <c r="BK2770" s="2" t="s">
        <v>107</v>
      </c>
      <c r="BL2770" s="2"/>
      <c r="BM2770" s="2">
        <v>242</v>
      </c>
      <c r="BN2770" s="2" t="s">
        <v>107</v>
      </c>
      <c r="BO2770" s="2"/>
      <c r="BP2770" s="2">
        <v>242</v>
      </c>
      <c r="BQ2770" s="2" t="s">
        <v>107</v>
      </c>
      <c r="BR2770" s="2"/>
      <c r="BS2770" s="3">
        <v>40365</v>
      </c>
      <c r="BT2770" s="4">
        <v>0.5028125</v>
      </c>
    </row>
    <row r="2771" spans="1:72" x14ac:dyDescent="0.25">
      <c r="A2771" s="2">
        <v>4039</v>
      </c>
      <c r="B2771" s="2">
        <v>2010</v>
      </c>
      <c r="C2771" s="2" t="s">
        <v>4543</v>
      </c>
      <c r="D2771" s="2" t="s">
        <v>122</v>
      </c>
      <c r="E2771" s="2"/>
      <c r="F2771" s="2">
        <v>1</v>
      </c>
      <c r="G2771" s="2" t="s">
        <v>82</v>
      </c>
      <c r="H2771" s="2">
        <v>1</v>
      </c>
      <c r="I2771" s="2" t="s">
        <v>82</v>
      </c>
      <c r="J2771" s="2">
        <v>1</v>
      </c>
      <c r="K2771" s="2" t="s">
        <v>107</v>
      </c>
      <c r="L2771" s="2" t="s">
        <v>107</v>
      </c>
      <c r="M2771" s="3">
        <v>40365</v>
      </c>
      <c r="N2771" s="2" t="s">
        <v>82</v>
      </c>
      <c r="O2771" s="2" t="s">
        <v>82</v>
      </c>
      <c r="P2771" s="2" t="s">
        <v>82</v>
      </c>
      <c r="Q2771" s="2" t="str">
        <f>"N/C"</f>
        <v>N/C</v>
      </c>
      <c r="R2771" s="2" t="s">
        <v>82</v>
      </c>
      <c r="S2771" s="2" t="s">
        <v>82</v>
      </c>
      <c r="T2771" s="2">
        <v>2</v>
      </c>
      <c r="U2771" s="2" t="s">
        <v>123</v>
      </c>
      <c r="V2771" s="2">
        <v>1</v>
      </c>
      <c r="W2771" s="2" t="s">
        <v>80</v>
      </c>
      <c r="X2771" s="2">
        <v>1</v>
      </c>
      <c r="Y2771" s="2" t="s">
        <v>81</v>
      </c>
      <c r="Z2771" s="2">
        <v>1</v>
      </c>
      <c r="AA2771" s="2" t="s">
        <v>82</v>
      </c>
      <c r="AB2771" s="2">
        <v>9</v>
      </c>
      <c r="AC2771" s="2" t="s">
        <v>124</v>
      </c>
      <c r="AD2771" s="3">
        <v>40365</v>
      </c>
      <c r="AE2771" s="4">
        <v>0.25347222222222221</v>
      </c>
      <c r="AF2771" s="2"/>
      <c r="AG2771" s="2"/>
      <c r="AH2771" s="2">
        <v>2</v>
      </c>
      <c r="AI2771" s="2" t="s">
        <v>84</v>
      </c>
      <c r="AJ2771" s="2">
        <v>12</v>
      </c>
      <c r="AK2771" s="2" t="s">
        <v>85</v>
      </c>
      <c r="AL2771" s="2">
        <v>25</v>
      </c>
      <c r="AM2771" s="2" t="s">
        <v>3073</v>
      </c>
      <c r="AN2771" s="2" t="s">
        <v>107</v>
      </c>
      <c r="AO2771" s="2" t="s">
        <v>9220</v>
      </c>
      <c r="AP2771" s="2">
        <v>11</v>
      </c>
      <c r="AQ2771" s="2" t="s">
        <v>82</v>
      </c>
      <c r="AR2771" s="2" t="s">
        <v>82</v>
      </c>
      <c r="AS2771" s="2" t="s">
        <v>82</v>
      </c>
      <c r="AT2771" s="2" t="s">
        <v>9221</v>
      </c>
      <c r="AU2771" s="2"/>
      <c r="AV2771" s="2"/>
      <c r="AW2771" s="2"/>
      <c r="AX2771" s="2"/>
      <c r="AY2771" s="2">
        <v>41</v>
      </c>
      <c r="AZ2771" s="2" t="s">
        <v>82</v>
      </c>
      <c r="BA2771" s="2">
        <v>41</v>
      </c>
      <c r="BB2771" s="2" t="s">
        <v>82</v>
      </c>
      <c r="BC2771" s="2">
        <v>41</v>
      </c>
      <c r="BD2771" s="2" t="s">
        <v>82</v>
      </c>
      <c r="BE2771" s="2">
        <v>41</v>
      </c>
      <c r="BF2771" s="2" t="s">
        <v>82</v>
      </c>
      <c r="BG2771" s="2" t="s">
        <v>82</v>
      </c>
      <c r="BH2771" s="2"/>
      <c r="BI2771" s="2"/>
      <c r="BJ2771" s="2">
        <v>241</v>
      </c>
      <c r="BK2771" s="2" t="s">
        <v>82</v>
      </c>
      <c r="BL2771" s="2" t="s">
        <v>82</v>
      </c>
      <c r="BM2771" s="2">
        <v>241</v>
      </c>
      <c r="BN2771" s="2" t="s">
        <v>82</v>
      </c>
      <c r="BO2771" s="2" t="s">
        <v>82</v>
      </c>
      <c r="BP2771" s="2">
        <v>241</v>
      </c>
      <c r="BQ2771" s="2" t="s">
        <v>82</v>
      </c>
      <c r="BR2771" s="2" t="s">
        <v>82</v>
      </c>
      <c r="BS2771" s="3">
        <v>40365</v>
      </c>
      <c r="BT2771" s="4">
        <v>0.53303240740740743</v>
      </c>
    </row>
    <row r="2772" spans="1:72" x14ac:dyDescent="0.25">
      <c r="A2772" s="2">
        <v>4040</v>
      </c>
      <c r="B2772" s="2">
        <v>2010</v>
      </c>
      <c r="C2772" s="2" t="s">
        <v>255</v>
      </c>
      <c r="D2772" s="2" t="s">
        <v>73</v>
      </c>
      <c r="E2772" s="2"/>
      <c r="F2772" s="2">
        <v>279</v>
      </c>
      <c r="G2772" s="2" t="s">
        <v>4464</v>
      </c>
      <c r="H2772" s="2">
        <v>108</v>
      </c>
      <c r="I2772" s="2" t="s">
        <v>1096</v>
      </c>
      <c r="J2772" s="2">
        <v>284</v>
      </c>
      <c r="K2772" s="2" t="s">
        <v>4465</v>
      </c>
      <c r="L2772" s="2" t="s">
        <v>4466</v>
      </c>
      <c r="M2772" s="3">
        <v>40365</v>
      </c>
      <c r="N2772" s="2" t="s">
        <v>9222</v>
      </c>
      <c r="O2772" s="2" t="s">
        <v>947</v>
      </c>
      <c r="P2772" s="2"/>
      <c r="Q2772" s="2" t="str">
        <f>"006/2010"</f>
        <v>006/2010</v>
      </c>
      <c r="R2772" s="2" t="s">
        <v>947</v>
      </c>
      <c r="S2772" s="2" t="s">
        <v>947</v>
      </c>
      <c r="T2772" s="2">
        <v>1</v>
      </c>
      <c r="U2772" s="2" t="s">
        <v>79</v>
      </c>
      <c r="V2772" s="2">
        <v>1</v>
      </c>
      <c r="W2772" s="2" t="s">
        <v>80</v>
      </c>
      <c r="X2772" s="2">
        <v>1</v>
      </c>
      <c r="Y2772" s="2" t="s">
        <v>81</v>
      </c>
      <c r="Z2772" s="2">
        <v>1</v>
      </c>
      <c r="AA2772" s="2" t="s">
        <v>82</v>
      </c>
      <c r="AB2772" s="2">
        <v>9</v>
      </c>
      <c r="AC2772" s="2" t="s">
        <v>124</v>
      </c>
      <c r="AD2772" s="3">
        <v>40365</v>
      </c>
      <c r="AE2772" s="4">
        <v>0.46527777777777773</v>
      </c>
      <c r="AF2772" s="2"/>
      <c r="AG2772" s="2"/>
      <c r="AH2772" s="2">
        <v>3</v>
      </c>
      <c r="AI2772" s="2" t="s">
        <v>214</v>
      </c>
      <c r="AJ2772" s="2">
        <v>18</v>
      </c>
      <c r="AK2772" s="2" t="s">
        <v>4469</v>
      </c>
      <c r="AL2772" s="2">
        <v>9</v>
      </c>
      <c r="AM2772" s="2" t="s">
        <v>259</v>
      </c>
      <c r="AN2772" s="2" t="s">
        <v>9223</v>
      </c>
      <c r="AO2772" s="2"/>
      <c r="AP2772" s="2">
        <v>11</v>
      </c>
      <c r="AQ2772" s="2" t="s">
        <v>82</v>
      </c>
      <c r="AR2772" s="2"/>
      <c r="AS2772" s="2"/>
      <c r="AT2772" s="2" t="s">
        <v>9224</v>
      </c>
      <c r="AU2772" s="2"/>
      <c r="AV2772" s="2"/>
      <c r="AW2772" s="2"/>
      <c r="AX2772" s="2"/>
      <c r="AY2772" s="2">
        <v>44</v>
      </c>
      <c r="AZ2772" s="2" t="s">
        <v>262</v>
      </c>
      <c r="BA2772" s="2">
        <v>41</v>
      </c>
      <c r="BB2772" s="2" t="s">
        <v>82</v>
      </c>
      <c r="BC2772" s="2">
        <v>41</v>
      </c>
      <c r="BD2772" s="2" t="s">
        <v>82</v>
      </c>
      <c r="BE2772" s="2">
        <v>41</v>
      </c>
      <c r="BF2772" s="2" t="s">
        <v>82</v>
      </c>
      <c r="BG2772" s="2"/>
      <c r="BH2772" s="2"/>
      <c r="BI2772" s="2"/>
      <c r="BJ2772" s="2">
        <v>241</v>
      </c>
      <c r="BK2772" s="2" t="s">
        <v>82</v>
      </c>
      <c r="BL2772" s="2"/>
      <c r="BM2772" s="2">
        <v>241</v>
      </c>
      <c r="BN2772" s="2" t="s">
        <v>82</v>
      </c>
      <c r="BO2772" s="2"/>
      <c r="BP2772" s="2">
        <v>241</v>
      </c>
      <c r="BQ2772" s="2" t="s">
        <v>82</v>
      </c>
      <c r="BR2772" s="2"/>
      <c r="BS2772" s="3">
        <v>40365</v>
      </c>
      <c r="BT2772" s="4">
        <v>0.58608796296296295</v>
      </c>
    </row>
    <row r="2773" spans="1:72" x14ac:dyDescent="0.25">
      <c r="A2773" s="2">
        <v>4041</v>
      </c>
      <c r="B2773" s="2">
        <v>2010</v>
      </c>
      <c r="C2773" s="2" t="s">
        <v>418</v>
      </c>
      <c r="D2773" s="2" t="s">
        <v>122</v>
      </c>
      <c r="E2773" s="2"/>
      <c r="F2773" s="2">
        <v>1</v>
      </c>
      <c r="G2773" s="2" t="s">
        <v>82</v>
      </c>
      <c r="H2773" s="2">
        <v>1</v>
      </c>
      <c r="I2773" s="2" t="s">
        <v>82</v>
      </c>
      <c r="J2773" s="2">
        <v>1</v>
      </c>
      <c r="K2773" s="2" t="s">
        <v>107</v>
      </c>
      <c r="L2773" s="2" t="s">
        <v>107</v>
      </c>
      <c r="M2773" s="3">
        <v>40365</v>
      </c>
      <c r="N2773" s="2"/>
      <c r="O2773" s="2"/>
      <c r="P2773" s="2"/>
      <c r="Q2773" s="2" t="str">
        <f>""</f>
        <v/>
      </c>
      <c r="R2773" s="2"/>
      <c r="S2773" s="2"/>
      <c r="T2773" s="2">
        <v>2</v>
      </c>
      <c r="U2773" s="2" t="s">
        <v>123</v>
      </c>
      <c r="V2773" s="2">
        <v>1</v>
      </c>
      <c r="W2773" s="2" t="s">
        <v>80</v>
      </c>
      <c r="X2773" s="2">
        <v>5</v>
      </c>
      <c r="Y2773" s="2" t="s">
        <v>82</v>
      </c>
      <c r="Z2773" s="2">
        <v>10</v>
      </c>
      <c r="AA2773" s="2" t="s">
        <v>236</v>
      </c>
      <c r="AB2773" s="2">
        <v>9</v>
      </c>
      <c r="AC2773" s="2" t="s">
        <v>124</v>
      </c>
      <c r="AD2773" s="3">
        <v>40365</v>
      </c>
      <c r="AE2773" s="4">
        <v>0.38194444444444442</v>
      </c>
      <c r="AF2773" s="2"/>
      <c r="AG2773" s="2"/>
      <c r="AH2773" s="2">
        <v>4</v>
      </c>
      <c r="AI2773" s="2" t="s">
        <v>125</v>
      </c>
      <c r="AJ2773" s="2">
        <v>29</v>
      </c>
      <c r="AK2773" s="2" t="s">
        <v>227</v>
      </c>
      <c r="AL2773" s="2">
        <v>19</v>
      </c>
      <c r="AM2773" s="2" t="s">
        <v>107</v>
      </c>
      <c r="AN2773" s="2"/>
      <c r="AO2773" s="2"/>
      <c r="AP2773" s="2">
        <v>11</v>
      </c>
      <c r="AQ2773" s="2" t="s">
        <v>82</v>
      </c>
      <c r="AR2773" s="2"/>
      <c r="AS2773" s="2"/>
      <c r="AT2773" s="2" t="s">
        <v>9225</v>
      </c>
      <c r="AU2773" s="2"/>
      <c r="AV2773" s="2"/>
      <c r="AW2773" s="2"/>
      <c r="AX2773" s="2"/>
      <c r="AY2773" s="2">
        <v>41</v>
      </c>
      <c r="AZ2773" s="2" t="s">
        <v>82</v>
      </c>
      <c r="BA2773" s="2">
        <v>41</v>
      </c>
      <c r="BB2773" s="2" t="s">
        <v>82</v>
      </c>
      <c r="BC2773" s="2">
        <v>13</v>
      </c>
      <c r="BD2773" s="2" t="s">
        <v>108</v>
      </c>
      <c r="BE2773" s="2">
        <v>13</v>
      </c>
      <c r="BF2773" s="2" t="s">
        <v>108</v>
      </c>
      <c r="BG2773" s="2">
        <v>2451</v>
      </c>
      <c r="BH2773" s="4">
        <v>0.36458333333333331</v>
      </c>
      <c r="BI2773" s="4">
        <v>0.3923611111111111</v>
      </c>
      <c r="BJ2773" s="2">
        <v>13</v>
      </c>
      <c r="BK2773" s="2" t="s">
        <v>91</v>
      </c>
      <c r="BL2773" s="2" t="s">
        <v>828</v>
      </c>
      <c r="BM2773" s="2">
        <v>241</v>
      </c>
      <c r="BN2773" s="2" t="s">
        <v>82</v>
      </c>
      <c r="BO2773" s="2" t="s">
        <v>82</v>
      </c>
      <c r="BP2773" s="2">
        <v>13</v>
      </c>
      <c r="BQ2773" s="2" t="s">
        <v>91</v>
      </c>
      <c r="BR2773" s="2" t="s">
        <v>185</v>
      </c>
      <c r="BS2773" s="3">
        <v>40365</v>
      </c>
      <c r="BT2773" s="4">
        <v>0.5879861111111111</v>
      </c>
    </row>
    <row r="2774" spans="1:72" x14ac:dyDescent="0.25">
      <c r="A2774" s="2">
        <v>4044</v>
      </c>
      <c r="B2774" s="2">
        <v>2010</v>
      </c>
      <c r="C2774" s="2" t="s">
        <v>819</v>
      </c>
      <c r="D2774" s="2" t="s">
        <v>122</v>
      </c>
      <c r="E2774" s="2" t="s">
        <v>9226</v>
      </c>
      <c r="F2774" s="2">
        <v>281</v>
      </c>
      <c r="G2774" s="2" t="s">
        <v>7482</v>
      </c>
      <c r="H2774" s="2">
        <v>4</v>
      </c>
      <c r="I2774" s="2" t="s">
        <v>173</v>
      </c>
      <c r="J2774" s="2">
        <v>350</v>
      </c>
      <c r="K2774" s="2" t="s">
        <v>9227</v>
      </c>
      <c r="L2774" s="2" t="s">
        <v>9228</v>
      </c>
      <c r="M2774" s="3">
        <v>40365</v>
      </c>
      <c r="N2774" s="2" t="s">
        <v>7484</v>
      </c>
      <c r="O2774" s="2" t="s">
        <v>9229</v>
      </c>
      <c r="P2774" s="2" t="s">
        <v>9230</v>
      </c>
      <c r="Q2774" s="2" t="str">
        <f>""</f>
        <v/>
      </c>
      <c r="R2774" s="2" t="s">
        <v>7485</v>
      </c>
      <c r="S2774" s="2" t="s">
        <v>9231</v>
      </c>
      <c r="T2774" s="2">
        <v>1</v>
      </c>
      <c r="U2774" s="2" t="s">
        <v>79</v>
      </c>
      <c r="V2774" s="2">
        <v>1</v>
      </c>
      <c r="W2774" s="2" t="s">
        <v>80</v>
      </c>
      <c r="X2774" s="2">
        <v>5</v>
      </c>
      <c r="Y2774" s="2" t="s">
        <v>82</v>
      </c>
      <c r="Z2774" s="2">
        <v>1</v>
      </c>
      <c r="AA2774" s="2" t="s">
        <v>82</v>
      </c>
      <c r="AB2774" s="2">
        <v>9</v>
      </c>
      <c r="AC2774" s="2" t="s">
        <v>124</v>
      </c>
      <c r="AD2774" s="3">
        <v>40365</v>
      </c>
      <c r="AE2774" s="4">
        <v>0.33333333333333331</v>
      </c>
      <c r="AF2774" s="2"/>
      <c r="AG2774" s="2"/>
      <c r="AH2774" s="2">
        <v>5</v>
      </c>
      <c r="AI2774" s="2" t="s">
        <v>274</v>
      </c>
      <c r="AJ2774" s="2">
        <v>37</v>
      </c>
      <c r="AK2774" s="2" t="s">
        <v>497</v>
      </c>
      <c r="AL2774" s="2">
        <v>23</v>
      </c>
      <c r="AM2774" s="2" t="s">
        <v>251</v>
      </c>
      <c r="AN2774" s="2" t="s">
        <v>9232</v>
      </c>
      <c r="AO2774" s="2" t="s">
        <v>9233</v>
      </c>
      <c r="AP2774" s="2">
        <v>11</v>
      </c>
      <c r="AQ2774" s="2" t="s">
        <v>82</v>
      </c>
      <c r="AR2774" s="2"/>
      <c r="AS2774" s="2"/>
      <c r="AT2774" s="2" t="s">
        <v>9234</v>
      </c>
      <c r="AU2774" s="2"/>
      <c r="AV2774" s="2"/>
      <c r="AW2774" s="2"/>
      <c r="AX2774" s="2"/>
      <c r="AY2774" s="2">
        <v>1</v>
      </c>
      <c r="AZ2774" s="2" t="s">
        <v>107</v>
      </c>
      <c r="BA2774" s="2">
        <v>70</v>
      </c>
      <c r="BB2774" s="2" t="s">
        <v>236</v>
      </c>
      <c r="BC2774" s="2">
        <v>1</v>
      </c>
      <c r="BD2774" s="2" t="s">
        <v>107</v>
      </c>
      <c r="BE2774" s="2">
        <v>41</v>
      </c>
      <c r="BF2774" s="2" t="s">
        <v>82</v>
      </c>
      <c r="BG2774" s="2"/>
      <c r="BH2774" s="2"/>
      <c r="BI2774" s="2"/>
      <c r="BJ2774" s="2">
        <v>241</v>
      </c>
      <c r="BK2774" s="2" t="s">
        <v>82</v>
      </c>
      <c r="BL2774" s="2"/>
      <c r="BM2774" s="2">
        <v>241</v>
      </c>
      <c r="BN2774" s="2" t="s">
        <v>82</v>
      </c>
      <c r="BO2774" s="2"/>
      <c r="BP2774" s="2">
        <v>241</v>
      </c>
      <c r="BQ2774" s="2" t="s">
        <v>82</v>
      </c>
      <c r="BR2774" s="2"/>
      <c r="BS2774" s="3">
        <v>40365</v>
      </c>
      <c r="BT2774" s="4">
        <v>0.59986111111111107</v>
      </c>
    </row>
    <row r="2775" spans="1:72" x14ac:dyDescent="0.25">
      <c r="A2775" s="2">
        <v>4045</v>
      </c>
      <c r="B2775" s="2">
        <v>2010</v>
      </c>
      <c r="C2775" s="2" t="s">
        <v>72</v>
      </c>
      <c r="D2775" s="2" t="s">
        <v>73</v>
      </c>
      <c r="E2775" s="2"/>
      <c r="F2775" s="2">
        <v>550</v>
      </c>
      <c r="G2775" s="2" t="s">
        <v>4883</v>
      </c>
      <c r="H2775" s="2">
        <v>2</v>
      </c>
      <c r="I2775" s="2" t="s">
        <v>267</v>
      </c>
      <c r="J2775" s="2">
        <v>510</v>
      </c>
      <c r="K2775" s="2" t="s">
        <v>4884</v>
      </c>
      <c r="L2775" s="2" t="s">
        <v>4885</v>
      </c>
      <c r="M2775" s="3">
        <v>40365</v>
      </c>
      <c r="N2775" s="2" t="s">
        <v>4886</v>
      </c>
      <c r="O2775" s="2" t="s">
        <v>9235</v>
      </c>
      <c r="P2775" s="2" t="s">
        <v>82</v>
      </c>
      <c r="Q2775" s="2" t="str">
        <f>"0022/2010"</f>
        <v>0022/2010</v>
      </c>
      <c r="R2775" s="2" t="s">
        <v>9235</v>
      </c>
      <c r="S2775" s="2" t="s">
        <v>9235</v>
      </c>
      <c r="T2775" s="2">
        <v>1</v>
      </c>
      <c r="U2775" s="2" t="s">
        <v>79</v>
      </c>
      <c r="V2775" s="2">
        <v>1</v>
      </c>
      <c r="W2775" s="2" t="s">
        <v>80</v>
      </c>
      <c r="X2775" s="2">
        <v>12</v>
      </c>
      <c r="Y2775" s="2" t="s">
        <v>148</v>
      </c>
      <c r="Z2775" s="2">
        <v>1</v>
      </c>
      <c r="AA2775" s="2" t="s">
        <v>82</v>
      </c>
      <c r="AB2775" s="2">
        <v>6</v>
      </c>
      <c r="AC2775" s="2" t="s">
        <v>83</v>
      </c>
      <c r="AD2775" s="3">
        <v>40365</v>
      </c>
      <c r="AE2775" s="4">
        <v>0.46875</v>
      </c>
      <c r="AF2775" s="3">
        <v>40365</v>
      </c>
      <c r="AG2775" s="4">
        <v>0.48958333333333331</v>
      </c>
      <c r="AH2775" s="2">
        <v>5</v>
      </c>
      <c r="AI2775" s="2" t="s">
        <v>274</v>
      </c>
      <c r="AJ2775" s="2">
        <v>42</v>
      </c>
      <c r="AK2775" s="2" t="s">
        <v>660</v>
      </c>
      <c r="AL2775" s="2">
        <v>9</v>
      </c>
      <c r="AM2775" s="2" t="s">
        <v>259</v>
      </c>
      <c r="AN2775" s="2" t="s">
        <v>9236</v>
      </c>
      <c r="AO2775" s="2" t="s">
        <v>1000</v>
      </c>
      <c r="AP2775" s="2">
        <v>11</v>
      </c>
      <c r="AQ2775" s="2" t="s">
        <v>82</v>
      </c>
      <c r="AR2775" s="2" t="s">
        <v>82</v>
      </c>
      <c r="AS2775" s="2" t="s">
        <v>82</v>
      </c>
      <c r="AT2775" s="2" t="s">
        <v>9237</v>
      </c>
      <c r="AU2775" s="2"/>
      <c r="AV2775" s="2"/>
      <c r="AW2775" s="2"/>
      <c r="AX2775" s="2"/>
      <c r="AY2775" s="2">
        <v>41</v>
      </c>
      <c r="AZ2775" s="2" t="s">
        <v>82</v>
      </c>
      <c r="BA2775" s="2">
        <v>41</v>
      </c>
      <c r="BB2775" s="2" t="s">
        <v>82</v>
      </c>
      <c r="BC2775" s="2">
        <v>41</v>
      </c>
      <c r="BD2775" s="2" t="s">
        <v>82</v>
      </c>
      <c r="BE2775" s="2">
        <v>41</v>
      </c>
      <c r="BF2775" s="2" t="s">
        <v>82</v>
      </c>
      <c r="BG2775" s="2" t="s">
        <v>82</v>
      </c>
      <c r="BH2775" s="2"/>
      <c r="BI2775" s="2"/>
      <c r="BJ2775" s="2">
        <v>241</v>
      </c>
      <c r="BK2775" s="2" t="s">
        <v>82</v>
      </c>
      <c r="BL2775" s="2" t="s">
        <v>82</v>
      </c>
      <c r="BM2775" s="2">
        <v>241</v>
      </c>
      <c r="BN2775" s="2" t="s">
        <v>82</v>
      </c>
      <c r="BO2775" s="2" t="s">
        <v>82</v>
      </c>
      <c r="BP2775" s="2">
        <v>241</v>
      </c>
      <c r="BQ2775" s="2" t="s">
        <v>82</v>
      </c>
      <c r="BR2775" s="2" t="s">
        <v>82</v>
      </c>
      <c r="BS2775" s="3">
        <v>40365</v>
      </c>
      <c r="BT2775" s="4">
        <v>0.61365740740740737</v>
      </c>
    </row>
    <row r="2776" spans="1:72" x14ac:dyDescent="0.25">
      <c r="A2776" s="2">
        <v>4047</v>
      </c>
      <c r="B2776" s="2">
        <v>2010</v>
      </c>
      <c r="C2776" s="2" t="s">
        <v>819</v>
      </c>
      <c r="D2776" s="2" t="s">
        <v>122</v>
      </c>
      <c r="E2776" s="2" t="s">
        <v>9238</v>
      </c>
      <c r="F2776" s="2">
        <v>451</v>
      </c>
      <c r="G2776" s="2" t="s">
        <v>879</v>
      </c>
      <c r="H2776" s="2">
        <v>31</v>
      </c>
      <c r="I2776" s="2" t="s">
        <v>880</v>
      </c>
      <c r="J2776" s="2">
        <v>326</v>
      </c>
      <c r="K2776" s="2" t="s">
        <v>881</v>
      </c>
      <c r="L2776" s="2" t="s">
        <v>882</v>
      </c>
      <c r="M2776" s="3">
        <v>40365</v>
      </c>
      <c r="N2776" s="2" t="s">
        <v>1072</v>
      </c>
      <c r="O2776" s="2"/>
      <c r="P2776" s="2"/>
      <c r="Q2776" s="2" t="str">
        <f>"080/10"</f>
        <v>080/10</v>
      </c>
      <c r="R2776" s="2"/>
      <c r="S2776" s="2" t="s">
        <v>822</v>
      </c>
      <c r="T2776" s="2">
        <v>1</v>
      </c>
      <c r="U2776" s="2" t="s">
        <v>79</v>
      </c>
      <c r="V2776" s="2">
        <v>1</v>
      </c>
      <c r="W2776" s="2" t="s">
        <v>80</v>
      </c>
      <c r="X2776" s="2">
        <v>1</v>
      </c>
      <c r="Y2776" s="2" t="s">
        <v>81</v>
      </c>
      <c r="Z2776" s="2">
        <v>10</v>
      </c>
      <c r="AA2776" s="2" t="s">
        <v>236</v>
      </c>
      <c r="AB2776" s="2">
        <v>9</v>
      </c>
      <c r="AC2776" s="2" t="s">
        <v>124</v>
      </c>
      <c r="AD2776" s="3">
        <v>40365</v>
      </c>
      <c r="AE2776" s="4">
        <v>0.4375</v>
      </c>
      <c r="AF2776" s="2"/>
      <c r="AG2776" s="2"/>
      <c r="AH2776" s="2">
        <v>4</v>
      </c>
      <c r="AI2776" s="2" t="s">
        <v>125</v>
      </c>
      <c r="AJ2776" s="2">
        <v>29</v>
      </c>
      <c r="AK2776" s="2" t="s">
        <v>227</v>
      </c>
      <c r="AL2776" s="2">
        <v>10</v>
      </c>
      <c r="AM2776" s="2" t="s">
        <v>200</v>
      </c>
      <c r="AN2776" s="2" t="s">
        <v>3040</v>
      </c>
      <c r="AO2776" s="2" t="s">
        <v>5383</v>
      </c>
      <c r="AP2776" s="2">
        <v>12</v>
      </c>
      <c r="AQ2776" s="2" t="s">
        <v>322</v>
      </c>
      <c r="AR2776" s="2" t="s">
        <v>824</v>
      </c>
      <c r="AS2776" s="2" t="s">
        <v>825</v>
      </c>
      <c r="AT2776" s="2" t="s">
        <v>9239</v>
      </c>
      <c r="AU2776" s="2"/>
      <c r="AV2776" s="2"/>
      <c r="AW2776" s="2"/>
      <c r="AX2776" s="2"/>
      <c r="AY2776" s="2">
        <v>41</v>
      </c>
      <c r="AZ2776" s="2" t="s">
        <v>82</v>
      </c>
      <c r="BA2776" s="2">
        <v>41</v>
      </c>
      <c r="BB2776" s="2" t="s">
        <v>82</v>
      </c>
      <c r="BC2776" s="2">
        <v>51</v>
      </c>
      <c r="BD2776" s="2" t="s">
        <v>827</v>
      </c>
      <c r="BE2776" s="2">
        <v>13</v>
      </c>
      <c r="BF2776" s="2" t="s">
        <v>108</v>
      </c>
      <c r="BG2776" s="2">
        <v>1459</v>
      </c>
      <c r="BH2776" s="4">
        <v>0.9375</v>
      </c>
      <c r="BI2776" s="4">
        <v>0.95486111111111116</v>
      </c>
      <c r="BJ2776" s="2">
        <v>13</v>
      </c>
      <c r="BK2776" s="2" t="s">
        <v>91</v>
      </c>
      <c r="BL2776" s="2" t="s">
        <v>828</v>
      </c>
      <c r="BM2776" s="2">
        <v>241</v>
      </c>
      <c r="BN2776" s="2" t="s">
        <v>82</v>
      </c>
      <c r="BO2776" s="2"/>
      <c r="BP2776" s="2">
        <v>13</v>
      </c>
      <c r="BQ2776" s="2" t="s">
        <v>91</v>
      </c>
      <c r="BR2776" s="2" t="s">
        <v>185</v>
      </c>
      <c r="BS2776" s="3">
        <v>40365</v>
      </c>
      <c r="BT2776" s="4">
        <v>0.63275462962962969</v>
      </c>
    </row>
    <row r="2777" spans="1:72" x14ac:dyDescent="0.25">
      <c r="A2777" s="2">
        <v>4049</v>
      </c>
      <c r="B2777" s="2">
        <v>2010</v>
      </c>
      <c r="C2777" s="2" t="s">
        <v>4543</v>
      </c>
      <c r="D2777" s="2" t="s">
        <v>122</v>
      </c>
      <c r="E2777" s="2"/>
      <c r="F2777" s="2">
        <v>648</v>
      </c>
      <c r="G2777" s="2" t="s">
        <v>9240</v>
      </c>
      <c r="H2777" s="2">
        <v>99</v>
      </c>
      <c r="I2777" s="2" t="s">
        <v>6285</v>
      </c>
      <c r="J2777" s="2">
        <v>600</v>
      </c>
      <c r="K2777" s="2" t="s">
        <v>9081</v>
      </c>
      <c r="L2777" s="2" t="s">
        <v>9082</v>
      </c>
      <c r="M2777" s="3">
        <v>40365</v>
      </c>
      <c r="N2777" s="2" t="s">
        <v>9241</v>
      </c>
      <c r="O2777" s="2" t="s">
        <v>9242</v>
      </c>
      <c r="P2777" s="2"/>
      <c r="Q2777" s="2" t="str">
        <f>"S/D"</f>
        <v>S/D</v>
      </c>
      <c r="R2777" s="2" t="s">
        <v>107</v>
      </c>
      <c r="S2777" s="2" t="s">
        <v>107</v>
      </c>
      <c r="T2777" s="2">
        <v>2</v>
      </c>
      <c r="U2777" s="2" t="s">
        <v>123</v>
      </c>
      <c r="V2777" s="2">
        <v>1</v>
      </c>
      <c r="W2777" s="2" t="s">
        <v>80</v>
      </c>
      <c r="X2777" s="2">
        <v>4</v>
      </c>
      <c r="Y2777" s="2" t="s">
        <v>463</v>
      </c>
      <c r="Z2777" s="2">
        <v>30</v>
      </c>
      <c r="AA2777" s="2" t="s">
        <v>5975</v>
      </c>
      <c r="AB2777" s="2">
        <v>9</v>
      </c>
      <c r="AC2777" s="2" t="s">
        <v>124</v>
      </c>
      <c r="AD2777" s="3">
        <v>40365</v>
      </c>
      <c r="AE2777" s="4">
        <v>0.65972222222222221</v>
      </c>
      <c r="AF2777" s="2"/>
      <c r="AG2777" s="2"/>
      <c r="AH2777" s="2">
        <v>3</v>
      </c>
      <c r="AI2777" s="2" t="s">
        <v>214</v>
      </c>
      <c r="AJ2777" s="2">
        <v>24</v>
      </c>
      <c r="AK2777" s="2" t="s">
        <v>215</v>
      </c>
      <c r="AL2777" s="2">
        <v>10</v>
      </c>
      <c r="AM2777" s="2" t="s">
        <v>200</v>
      </c>
      <c r="AN2777" s="2" t="s">
        <v>200</v>
      </c>
      <c r="AO2777" s="2" t="s">
        <v>82</v>
      </c>
      <c r="AP2777" s="2">
        <v>11</v>
      </c>
      <c r="AQ2777" s="2" t="s">
        <v>82</v>
      </c>
      <c r="AR2777" s="2"/>
      <c r="AS2777" s="2"/>
      <c r="AT2777" s="2" t="s">
        <v>9243</v>
      </c>
      <c r="AU2777" s="2">
        <v>1</v>
      </c>
      <c r="AV2777" s="2"/>
      <c r="AW2777" s="2"/>
      <c r="AX2777" s="2"/>
      <c r="AY2777" s="2">
        <v>41</v>
      </c>
      <c r="AZ2777" s="2" t="s">
        <v>82</v>
      </c>
      <c r="BA2777" s="2">
        <v>41</v>
      </c>
      <c r="BB2777" s="2" t="s">
        <v>82</v>
      </c>
      <c r="BC2777" s="2">
        <v>41</v>
      </c>
      <c r="BD2777" s="2" t="s">
        <v>82</v>
      </c>
      <c r="BE2777" s="2">
        <v>45</v>
      </c>
      <c r="BF2777" s="2" t="s">
        <v>1855</v>
      </c>
      <c r="BG2777" s="2">
        <v>5506</v>
      </c>
      <c r="BH2777" s="4">
        <v>0.70138888888888884</v>
      </c>
      <c r="BI2777" s="4">
        <v>0.64583333333333337</v>
      </c>
      <c r="BJ2777" s="2">
        <v>13</v>
      </c>
      <c r="BK2777" s="2" t="s">
        <v>91</v>
      </c>
      <c r="BL2777" s="2" t="s">
        <v>169</v>
      </c>
      <c r="BM2777" s="2">
        <v>241</v>
      </c>
      <c r="BN2777" s="2" t="s">
        <v>82</v>
      </c>
      <c r="BO2777" s="2" t="s">
        <v>82</v>
      </c>
      <c r="BP2777" s="2">
        <v>13</v>
      </c>
      <c r="BQ2777" s="2" t="s">
        <v>91</v>
      </c>
      <c r="BR2777" s="2" t="s">
        <v>744</v>
      </c>
      <c r="BS2777" s="3">
        <v>40365</v>
      </c>
      <c r="BT2777" s="4">
        <v>0.6473726851851852</v>
      </c>
    </row>
    <row r="2778" spans="1:72" x14ac:dyDescent="0.25">
      <c r="A2778" s="2">
        <v>4050</v>
      </c>
      <c r="B2778" s="2">
        <v>2010</v>
      </c>
      <c r="C2778" s="2" t="s">
        <v>171</v>
      </c>
      <c r="D2778" s="2" t="s">
        <v>73</v>
      </c>
      <c r="E2778" s="2" t="s">
        <v>9244</v>
      </c>
      <c r="F2778" s="2">
        <v>146</v>
      </c>
      <c r="G2778" s="2" t="s">
        <v>753</v>
      </c>
      <c r="H2778" s="2">
        <v>44</v>
      </c>
      <c r="I2778" s="2" t="s">
        <v>1272</v>
      </c>
      <c r="J2778" s="2">
        <v>161</v>
      </c>
      <c r="K2778" s="2" t="s">
        <v>1900</v>
      </c>
      <c r="L2778" s="2" t="s">
        <v>1901</v>
      </c>
      <c r="M2778" s="3">
        <v>40365</v>
      </c>
      <c r="N2778" s="2" t="s">
        <v>9245</v>
      </c>
      <c r="O2778" s="2" t="s">
        <v>9246</v>
      </c>
      <c r="P2778" s="2" t="s">
        <v>9247</v>
      </c>
      <c r="Q2778" s="2" t="str">
        <f>""</f>
        <v/>
      </c>
      <c r="R2778" s="2" t="s">
        <v>9248</v>
      </c>
      <c r="S2778" s="2"/>
      <c r="T2778" s="2">
        <v>1</v>
      </c>
      <c r="U2778" s="2" t="s">
        <v>79</v>
      </c>
      <c r="V2778" s="2">
        <v>3</v>
      </c>
      <c r="W2778" s="2" t="s">
        <v>225</v>
      </c>
      <c r="X2778" s="2">
        <v>2</v>
      </c>
      <c r="Y2778" s="2" t="s">
        <v>136</v>
      </c>
      <c r="Z2778" s="2">
        <v>1</v>
      </c>
      <c r="AA2778" s="2" t="s">
        <v>82</v>
      </c>
      <c r="AB2778" s="2">
        <v>9</v>
      </c>
      <c r="AC2778" s="2" t="s">
        <v>124</v>
      </c>
      <c r="AD2778" s="3">
        <v>40365</v>
      </c>
      <c r="AE2778" s="2"/>
      <c r="AF2778" s="2"/>
      <c r="AG2778" s="2"/>
      <c r="AH2778" s="2">
        <v>6</v>
      </c>
      <c r="AI2778" s="2" t="s">
        <v>197</v>
      </c>
      <c r="AJ2778" s="2">
        <v>47</v>
      </c>
      <c r="AK2778" s="2" t="s">
        <v>250</v>
      </c>
      <c r="AL2778" s="2">
        <v>23</v>
      </c>
      <c r="AM2778" s="2" t="s">
        <v>251</v>
      </c>
      <c r="AN2778" s="2"/>
      <c r="AO2778" s="2" t="s">
        <v>4913</v>
      </c>
      <c r="AP2778" s="2">
        <v>11</v>
      </c>
      <c r="AQ2778" s="2" t="s">
        <v>82</v>
      </c>
      <c r="AR2778" s="2"/>
      <c r="AS2778" s="2"/>
      <c r="AT2778" s="2" t="s">
        <v>9249</v>
      </c>
      <c r="AU2778" s="2"/>
      <c r="AV2778" s="2"/>
      <c r="AW2778" s="2"/>
      <c r="AX2778" s="2"/>
      <c r="AY2778" s="2">
        <v>41</v>
      </c>
      <c r="AZ2778" s="2" t="s">
        <v>82</v>
      </c>
      <c r="BA2778" s="2">
        <v>41</v>
      </c>
      <c r="BB2778" s="2" t="s">
        <v>82</v>
      </c>
      <c r="BC2778" s="2">
        <v>41</v>
      </c>
      <c r="BD2778" s="2" t="s">
        <v>82</v>
      </c>
      <c r="BE2778" s="2">
        <v>41</v>
      </c>
      <c r="BF2778" s="2" t="s">
        <v>82</v>
      </c>
      <c r="BG2778" s="2"/>
      <c r="BH2778" s="2"/>
      <c r="BI2778" s="2"/>
      <c r="BJ2778" s="2">
        <v>241</v>
      </c>
      <c r="BK2778" s="2" t="s">
        <v>82</v>
      </c>
      <c r="BL2778" s="2"/>
      <c r="BM2778" s="2">
        <v>241</v>
      </c>
      <c r="BN2778" s="2" t="s">
        <v>82</v>
      </c>
      <c r="BO2778" s="2"/>
      <c r="BP2778" s="2">
        <v>241</v>
      </c>
      <c r="BQ2778" s="2" t="s">
        <v>82</v>
      </c>
      <c r="BR2778" s="2"/>
      <c r="BS2778" s="3">
        <v>40365</v>
      </c>
      <c r="BT2778" s="4">
        <v>0.72089120370370363</v>
      </c>
    </row>
    <row r="2779" spans="1:72" x14ac:dyDescent="0.25">
      <c r="A2779" s="2">
        <v>4051</v>
      </c>
      <c r="B2779" s="2">
        <v>2010</v>
      </c>
      <c r="C2779" s="2" t="s">
        <v>255</v>
      </c>
      <c r="D2779" s="2" t="s">
        <v>73</v>
      </c>
      <c r="E2779" s="2"/>
      <c r="F2779" s="2">
        <v>20</v>
      </c>
      <c r="G2779" s="2" t="s">
        <v>2532</v>
      </c>
      <c r="H2779" s="2">
        <v>99</v>
      </c>
      <c r="I2779" s="2" t="s">
        <v>6285</v>
      </c>
      <c r="J2779" s="2">
        <v>29</v>
      </c>
      <c r="K2779" s="2" t="s">
        <v>2533</v>
      </c>
      <c r="L2779" s="2" t="s">
        <v>2534</v>
      </c>
      <c r="M2779" s="3">
        <v>40365</v>
      </c>
      <c r="N2779" s="2" t="s">
        <v>6214</v>
      </c>
      <c r="O2779" s="2"/>
      <c r="P2779" s="2"/>
      <c r="Q2779" s="2" t="str">
        <f>"0004/10"</f>
        <v>0004/10</v>
      </c>
      <c r="R2779" s="2" t="s">
        <v>6961</v>
      </c>
      <c r="S2779" s="2"/>
      <c r="T2779" s="2">
        <v>1</v>
      </c>
      <c r="U2779" s="2" t="s">
        <v>79</v>
      </c>
      <c r="V2779" s="2">
        <v>1</v>
      </c>
      <c r="W2779" s="2" t="s">
        <v>80</v>
      </c>
      <c r="X2779" s="2">
        <v>12</v>
      </c>
      <c r="Y2779" s="2" t="s">
        <v>148</v>
      </c>
      <c r="Z2779" s="2">
        <v>3</v>
      </c>
      <c r="AA2779" s="2" t="s">
        <v>257</v>
      </c>
      <c r="AB2779" s="2">
        <v>9</v>
      </c>
      <c r="AC2779" s="2" t="s">
        <v>124</v>
      </c>
      <c r="AD2779" s="3">
        <v>40365</v>
      </c>
      <c r="AE2779" s="2"/>
      <c r="AF2779" s="3">
        <v>40365</v>
      </c>
      <c r="AG2779" s="4">
        <v>0.60416666666666663</v>
      </c>
      <c r="AH2779" s="2">
        <v>4</v>
      </c>
      <c r="AI2779" s="2" t="s">
        <v>125</v>
      </c>
      <c r="AJ2779" s="2">
        <v>33</v>
      </c>
      <c r="AK2779" s="2" t="s">
        <v>126</v>
      </c>
      <c r="AL2779" s="2">
        <v>9</v>
      </c>
      <c r="AM2779" s="2" t="s">
        <v>259</v>
      </c>
      <c r="AN2779" s="2" t="s">
        <v>9250</v>
      </c>
      <c r="AO2779" s="2"/>
      <c r="AP2779" s="2">
        <v>11</v>
      </c>
      <c r="AQ2779" s="2" t="s">
        <v>82</v>
      </c>
      <c r="AR2779" s="2"/>
      <c r="AS2779" s="2"/>
      <c r="AT2779" s="2" t="s">
        <v>9251</v>
      </c>
      <c r="AU2779" s="2"/>
      <c r="AV2779" s="2"/>
      <c r="AW2779" s="2"/>
      <c r="AX2779" s="2"/>
      <c r="AY2779" s="2">
        <v>44</v>
      </c>
      <c r="AZ2779" s="2" t="s">
        <v>262</v>
      </c>
      <c r="BA2779" s="2">
        <v>44</v>
      </c>
      <c r="BB2779" s="2" t="s">
        <v>262</v>
      </c>
      <c r="BC2779" s="2">
        <v>44</v>
      </c>
      <c r="BD2779" s="2" t="s">
        <v>262</v>
      </c>
      <c r="BE2779" s="2">
        <v>1</v>
      </c>
      <c r="BF2779" s="2" t="s">
        <v>107</v>
      </c>
      <c r="BG2779" s="2"/>
      <c r="BH2779" s="2"/>
      <c r="BI2779" s="2"/>
      <c r="BJ2779" s="2">
        <v>242</v>
      </c>
      <c r="BK2779" s="2" t="s">
        <v>107</v>
      </c>
      <c r="BL2779" s="2"/>
      <c r="BM2779" s="2">
        <v>242</v>
      </c>
      <c r="BN2779" s="2" t="s">
        <v>107</v>
      </c>
      <c r="BO2779" s="2"/>
      <c r="BP2779" s="2">
        <v>242</v>
      </c>
      <c r="BQ2779" s="2" t="s">
        <v>107</v>
      </c>
      <c r="BR2779" s="2"/>
      <c r="BS2779" s="3">
        <v>40365</v>
      </c>
      <c r="BT2779" s="4">
        <v>0.72428240740740746</v>
      </c>
    </row>
    <row r="2780" spans="1:72" x14ac:dyDescent="0.25">
      <c r="A2780" s="2">
        <v>4052</v>
      </c>
      <c r="B2780" s="2">
        <v>2010</v>
      </c>
      <c r="C2780" s="2" t="s">
        <v>385</v>
      </c>
      <c r="D2780" s="2" t="s">
        <v>122</v>
      </c>
      <c r="E2780" s="2"/>
      <c r="F2780" s="2">
        <v>1</v>
      </c>
      <c r="G2780" s="2" t="s">
        <v>82</v>
      </c>
      <c r="H2780" s="2">
        <v>1</v>
      </c>
      <c r="I2780" s="2" t="s">
        <v>82</v>
      </c>
      <c r="J2780" s="2">
        <v>1</v>
      </c>
      <c r="K2780" s="2" t="s">
        <v>107</v>
      </c>
      <c r="L2780" s="2" t="s">
        <v>107</v>
      </c>
      <c r="M2780" s="3">
        <v>40365</v>
      </c>
      <c r="N2780" s="2"/>
      <c r="O2780" s="2"/>
      <c r="P2780" s="2"/>
      <c r="Q2780" s="2" t="str">
        <f>""</f>
        <v/>
      </c>
      <c r="R2780" s="2"/>
      <c r="S2780" s="2"/>
      <c r="T2780" s="2">
        <v>1</v>
      </c>
      <c r="U2780" s="2" t="s">
        <v>79</v>
      </c>
      <c r="V2780" s="2">
        <v>1</v>
      </c>
      <c r="W2780" s="2" t="s">
        <v>80</v>
      </c>
      <c r="X2780" s="2">
        <v>11</v>
      </c>
      <c r="Y2780" s="2" t="s">
        <v>1920</v>
      </c>
      <c r="Z2780" s="2">
        <v>1</v>
      </c>
      <c r="AA2780" s="2" t="s">
        <v>82</v>
      </c>
      <c r="AB2780" s="2">
        <v>9</v>
      </c>
      <c r="AC2780" s="2" t="s">
        <v>124</v>
      </c>
      <c r="AD2780" s="3">
        <v>40365</v>
      </c>
      <c r="AE2780" s="4">
        <v>0.625</v>
      </c>
      <c r="AF2780" s="2"/>
      <c r="AG2780" s="2"/>
      <c r="AH2780" s="2">
        <v>4</v>
      </c>
      <c r="AI2780" s="2" t="s">
        <v>125</v>
      </c>
      <c r="AJ2780" s="2">
        <v>28</v>
      </c>
      <c r="AK2780" s="2" t="s">
        <v>741</v>
      </c>
      <c r="AL2780" s="2">
        <v>10</v>
      </c>
      <c r="AM2780" s="2" t="s">
        <v>200</v>
      </c>
      <c r="AN2780" s="2"/>
      <c r="AO2780" s="2"/>
      <c r="AP2780" s="2">
        <v>11</v>
      </c>
      <c r="AQ2780" s="2" t="s">
        <v>82</v>
      </c>
      <c r="AR2780" s="2"/>
      <c r="AS2780" s="2"/>
      <c r="AT2780" s="2" t="s">
        <v>9252</v>
      </c>
      <c r="AU2780" s="2"/>
      <c r="AV2780" s="2"/>
      <c r="AW2780" s="2"/>
      <c r="AX2780" s="2"/>
      <c r="AY2780" s="2">
        <v>1</v>
      </c>
      <c r="AZ2780" s="2" t="s">
        <v>107</v>
      </c>
      <c r="BA2780" s="2">
        <v>1</v>
      </c>
      <c r="BB2780" s="2" t="s">
        <v>107</v>
      </c>
      <c r="BC2780" s="2">
        <v>1</v>
      </c>
      <c r="BD2780" s="2" t="s">
        <v>107</v>
      </c>
      <c r="BE2780" s="2">
        <v>45</v>
      </c>
      <c r="BF2780" s="2" t="s">
        <v>1855</v>
      </c>
      <c r="BG2780" s="2">
        <v>5506</v>
      </c>
      <c r="BH2780" s="4">
        <v>0.70833333333333337</v>
      </c>
      <c r="BI2780" s="4">
        <v>0.71875</v>
      </c>
      <c r="BJ2780" s="2">
        <v>13</v>
      </c>
      <c r="BK2780" s="2" t="s">
        <v>91</v>
      </c>
      <c r="BL2780" s="2" t="s">
        <v>169</v>
      </c>
      <c r="BM2780" s="2">
        <v>242</v>
      </c>
      <c r="BN2780" s="2" t="s">
        <v>107</v>
      </c>
      <c r="BO2780" s="2"/>
      <c r="BP2780" s="2">
        <v>13</v>
      </c>
      <c r="BQ2780" s="2" t="s">
        <v>91</v>
      </c>
      <c r="BR2780" s="2" t="s">
        <v>744</v>
      </c>
      <c r="BS2780" s="3">
        <v>40365</v>
      </c>
      <c r="BT2780" s="4">
        <v>0.75199074074074079</v>
      </c>
    </row>
    <row r="2781" spans="1:72" x14ac:dyDescent="0.25">
      <c r="A2781" s="2">
        <v>4054</v>
      </c>
      <c r="B2781" s="2">
        <v>2010</v>
      </c>
      <c r="C2781" s="2" t="s">
        <v>806</v>
      </c>
      <c r="D2781" s="2" t="s">
        <v>73</v>
      </c>
      <c r="E2781" s="2"/>
      <c r="F2781" s="2">
        <v>11</v>
      </c>
      <c r="G2781" s="2" t="s">
        <v>2454</v>
      </c>
      <c r="H2781" s="2">
        <v>89</v>
      </c>
      <c r="I2781" s="2" t="s">
        <v>5137</v>
      </c>
      <c r="J2781" s="2">
        <v>19</v>
      </c>
      <c r="K2781" s="2" t="s">
        <v>2144</v>
      </c>
      <c r="L2781" s="2" t="s">
        <v>2145</v>
      </c>
      <c r="M2781" s="3">
        <v>40365</v>
      </c>
      <c r="N2781" s="2" t="s">
        <v>9253</v>
      </c>
      <c r="O2781" s="2" t="s">
        <v>9254</v>
      </c>
      <c r="P2781" s="7">
        <v>14573</v>
      </c>
      <c r="Q2781" s="2" t="str">
        <f>"S/D"</f>
        <v>S/D</v>
      </c>
      <c r="R2781" s="2" t="s">
        <v>107</v>
      </c>
      <c r="S2781" s="2" t="s">
        <v>107</v>
      </c>
      <c r="T2781" s="2">
        <v>1</v>
      </c>
      <c r="U2781" s="2" t="s">
        <v>79</v>
      </c>
      <c r="V2781" s="2">
        <v>1</v>
      </c>
      <c r="W2781" s="2" t="s">
        <v>80</v>
      </c>
      <c r="X2781" s="2">
        <v>9</v>
      </c>
      <c r="Y2781" s="2" t="s">
        <v>3393</v>
      </c>
      <c r="Z2781" s="2">
        <v>1</v>
      </c>
      <c r="AA2781" s="2" t="s">
        <v>82</v>
      </c>
      <c r="AB2781" s="2">
        <v>9</v>
      </c>
      <c r="AC2781" s="2" t="s">
        <v>124</v>
      </c>
      <c r="AD2781" s="3">
        <v>40365</v>
      </c>
      <c r="AE2781" s="4">
        <v>0.53472222222222221</v>
      </c>
      <c r="AF2781" s="2"/>
      <c r="AG2781" s="2"/>
      <c r="AH2781" s="2">
        <v>7</v>
      </c>
      <c r="AI2781" s="2" t="s">
        <v>801</v>
      </c>
      <c r="AJ2781" s="2">
        <v>3</v>
      </c>
      <c r="AK2781" s="2" t="s">
        <v>802</v>
      </c>
      <c r="AL2781" s="2">
        <v>23</v>
      </c>
      <c r="AM2781" s="2" t="s">
        <v>251</v>
      </c>
      <c r="AN2781" s="2" t="s">
        <v>107</v>
      </c>
      <c r="AO2781" s="2" t="s">
        <v>9255</v>
      </c>
      <c r="AP2781" s="2">
        <v>11</v>
      </c>
      <c r="AQ2781" s="2" t="s">
        <v>82</v>
      </c>
      <c r="AR2781" s="2" t="s">
        <v>107</v>
      </c>
      <c r="AS2781" s="2" t="s">
        <v>107</v>
      </c>
      <c r="AT2781" s="2" t="s">
        <v>9256</v>
      </c>
      <c r="AU2781" s="2">
        <v>1</v>
      </c>
      <c r="AV2781" s="2"/>
      <c r="AW2781" s="2"/>
      <c r="AX2781" s="2"/>
      <c r="AY2781" s="2">
        <v>1</v>
      </c>
      <c r="AZ2781" s="2" t="s">
        <v>107</v>
      </c>
      <c r="BA2781" s="2">
        <v>1</v>
      </c>
      <c r="BB2781" s="2" t="s">
        <v>107</v>
      </c>
      <c r="BC2781" s="2">
        <v>1</v>
      </c>
      <c r="BD2781" s="2" t="s">
        <v>107</v>
      </c>
      <c r="BE2781" s="2">
        <v>1</v>
      </c>
      <c r="BF2781" s="2" t="s">
        <v>107</v>
      </c>
      <c r="BG2781" s="2" t="s">
        <v>107</v>
      </c>
      <c r="BH2781" s="2"/>
      <c r="BI2781" s="2"/>
      <c r="BJ2781" s="2">
        <v>242</v>
      </c>
      <c r="BK2781" s="2" t="s">
        <v>107</v>
      </c>
      <c r="BL2781" s="2" t="s">
        <v>107</v>
      </c>
      <c r="BM2781" s="2">
        <v>242</v>
      </c>
      <c r="BN2781" s="2" t="s">
        <v>107</v>
      </c>
      <c r="BO2781" s="2" t="s">
        <v>107</v>
      </c>
      <c r="BP2781" s="2">
        <v>242</v>
      </c>
      <c r="BQ2781" s="2" t="s">
        <v>107</v>
      </c>
      <c r="BR2781" s="2" t="s">
        <v>107</v>
      </c>
      <c r="BS2781" s="3">
        <v>40365</v>
      </c>
      <c r="BT2781" s="4">
        <v>0.77229166666666671</v>
      </c>
    </row>
    <row r="2782" spans="1:72" x14ac:dyDescent="0.25">
      <c r="A2782" s="2">
        <v>4063</v>
      </c>
      <c r="B2782" s="2">
        <v>2010</v>
      </c>
      <c r="C2782" s="2" t="s">
        <v>171</v>
      </c>
      <c r="D2782" s="2" t="s">
        <v>73</v>
      </c>
      <c r="E2782" s="2"/>
      <c r="F2782" s="2">
        <v>9</v>
      </c>
      <c r="G2782" s="2" t="s">
        <v>364</v>
      </c>
      <c r="H2782" s="2">
        <v>38</v>
      </c>
      <c r="I2782" s="2" t="s">
        <v>1272</v>
      </c>
      <c r="J2782" s="2">
        <v>18</v>
      </c>
      <c r="K2782" s="2" t="s">
        <v>365</v>
      </c>
      <c r="L2782" s="2" t="s">
        <v>115</v>
      </c>
      <c r="M2782" s="3">
        <v>40366</v>
      </c>
      <c r="N2782" s="2" t="s">
        <v>423</v>
      </c>
      <c r="O2782" s="2" t="s">
        <v>107</v>
      </c>
      <c r="P2782" s="2" t="s">
        <v>107</v>
      </c>
      <c r="Q2782" s="2" t="str">
        <f>"N/C"</f>
        <v>N/C</v>
      </c>
      <c r="R2782" s="2" t="s">
        <v>107</v>
      </c>
      <c r="S2782" s="2" t="s">
        <v>82</v>
      </c>
      <c r="T2782" s="2">
        <v>1</v>
      </c>
      <c r="U2782" s="2" t="s">
        <v>79</v>
      </c>
      <c r="V2782" s="2">
        <v>1</v>
      </c>
      <c r="W2782" s="2" t="s">
        <v>80</v>
      </c>
      <c r="X2782" s="2">
        <v>4</v>
      </c>
      <c r="Y2782" s="2" t="s">
        <v>463</v>
      </c>
      <c r="Z2782" s="2">
        <v>2</v>
      </c>
      <c r="AA2782" s="2" t="s">
        <v>2148</v>
      </c>
      <c r="AB2782" s="2">
        <v>1</v>
      </c>
      <c r="AC2782" s="2" t="s">
        <v>178</v>
      </c>
      <c r="AD2782" s="3">
        <v>40365</v>
      </c>
      <c r="AE2782" s="4">
        <v>0.6875</v>
      </c>
      <c r="AF2782" s="3">
        <v>40365</v>
      </c>
      <c r="AG2782" s="4">
        <v>0.69791666666666663</v>
      </c>
      <c r="AH2782" s="2">
        <v>3</v>
      </c>
      <c r="AI2782" s="2" t="s">
        <v>214</v>
      </c>
      <c r="AJ2782" s="2">
        <v>24</v>
      </c>
      <c r="AK2782" s="2" t="s">
        <v>215</v>
      </c>
      <c r="AL2782" s="2">
        <v>14</v>
      </c>
      <c r="AM2782" s="2" t="s">
        <v>216</v>
      </c>
      <c r="AN2782" s="2" t="s">
        <v>9257</v>
      </c>
      <c r="AO2782" s="2" t="s">
        <v>82</v>
      </c>
      <c r="AP2782" s="2">
        <v>11</v>
      </c>
      <c r="AQ2782" s="2" t="s">
        <v>82</v>
      </c>
      <c r="AR2782" s="2"/>
      <c r="AS2782" s="2"/>
      <c r="AT2782" s="2" t="s">
        <v>9258</v>
      </c>
      <c r="AU2782" s="2"/>
      <c r="AV2782" s="2">
        <v>1</v>
      </c>
      <c r="AW2782" s="2"/>
      <c r="AX2782" s="2"/>
      <c r="AY2782" s="2">
        <v>42</v>
      </c>
      <c r="AZ2782" s="2" t="s">
        <v>182</v>
      </c>
      <c r="BA2782" s="2">
        <v>99</v>
      </c>
      <c r="BB2782" s="2" t="s">
        <v>2148</v>
      </c>
      <c r="BC2782" s="2">
        <v>99</v>
      </c>
      <c r="BD2782" s="2" t="s">
        <v>2148</v>
      </c>
      <c r="BE2782" s="2">
        <v>17</v>
      </c>
      <c r="BF2782" s="2" t="s">
        <v>508</v>
      </c>
      <c r="BG2782" s="2">
        <v>942</v>
      </c>
      <c r="BH2782" s="4">
        <v>0.68402777777777779</v>
      </c>
      <c r="BI2782" s="4">
        <v>0.59027777777777779</v>
      </c>
      <c r="BJ2782" s="2">
        <v>46</v>
      </c>
      <c r="BK2782" s="2" t="s">
        <v>307</v>
      </c>
      <c r="BL2782" s="2" t="s">
        <v>4628</v>
      </c>
      <c r="BM2782" s="2">
        <v>241</v>
      </c>
      <c r="BN2782" s="2" t="s">
        <v>82</v>
      </c>
      <c r="BO2782" s="2" t="s">
        <v>82</v>
      </c>
      <c r="BP2782" s="2">
        <v>13</v>
      </c>
      <c r="BQ2782" s="2" t="s">
        <v>91</v>
      </c>
      <c r="BR2782" s="2" t="s">
        <v>169</v>
      </c>
      <c r="BS2782" s="3">
        <v>40366</v>
      </c>
      <c r="BT2782" s="4">
        <v>2.7291666666666662E-2</v>
      </c>
    </row>
    <row r="2783" spans="1:72" x14ac:dyDescent="0.25">
      <c r="A2783" s="2">
        <v>4064</v>
      </c>
      <c r="B2783" s="2">
        <v>2010</v>
      </c>
      <c r="C2783" s="2" t="s">
        <v>385</v>
      </c>
      <c r="D2783" s="2" t="s">
        <v>122</v>
      </c>
      <c r="E2783" s="2"/>
      <c r="F2783" s="2">
        <v>9</v>
      </c>
      <c r="G2783" s="2" t="s">
        <v>364</v>
      </c>
      <c r="H2783" s="2">
        <v>38</v>
      </c>
      <c r="I2783" s="2" t="s">
        <v>1272</v>
      </c>
      <c r="J2783" s="2">
        <v>18</v>
      </c>
      <c r="K2783" s="2" t="s">
        <v>365</v>
      </c>
      <c r="L2783" s="2" t="s">
        <v>115</v>
      </c>
      <c r="M2783" s="3">
        <v>40366</v>
      </c>
      <c r="N2783" s="2" t="s">
        <v>423</v>
      </c>
      <c r="O2783" s="2" t="s">
        <v>107</v>
      </c>
      <c r="P2783" s="2" t="s">
        <v>107</v>
      </c>
      <c r="Q2783" s="2" t="str">
        <f>"N/C"</f>
        <v>N/C</v>
      </c>
      <c r="R2783" s="2" t="s">
        <v>107</v>
      </c>
      <c r="S2783" s="2" t="s">
        <v>82</v>
      </c>
      <c r="T2783" s="2">
        <v>1</v>
      </c>
      <c r="U2783" s="2" t="s">
        <v>79</v>
      </c>
      <c r="V2783" s="2">
        <v>1</v>
      </c>
      <c r="W2783" s="2" t="s">
        <v>80</v>
      </c>
      <c r="X2783" s="2">
        <v>11</v>
      </c>
      <c r="Y2783" s="2" t="s">
        <v>1920</v>
      </c>
      <c r="Z2783" s="2">
        <v>10</v>
      </c>
      <c r="AA2783" s="2" t="s">
        <v>236</v>
      </c>
      <c r="AB2783" s="2">
        <v>9</v>
      </c>
      <c r="AC2783" s="2" t="s">
        <v>124</v>
      </c>
      <c r="AD2783" s="3">
        <v>40365</v>
      </c>
      <c r="AE2783" s="4">
        <v>0.98958333333333337</v>
      </c>
      <c r="AF2783" s="2"/>
      <c r="AG2783" s="2"/>
      <c r="AH2783" s="2">
        <v>3</v>
      </c>
      <c r="AI2783" s="2" t="s">
        <v>214</v>
      </c>
      <c r="AJ2783" s="2">
        <v>24</v>
      </c>
      <c r="AK2783" s="2" t="s">
        <v>215</v>
      </c>
      <c r="AL2783" s="2">
        <v>23</v>
      </c>
      <c r="AM2783" s="2" t="s">
        <v>251</v>
      </c>
      <c r="AN2783" s="2"/>
      <c r="AO2783" s="2"/>
      <c r="AP2783" s="2">
        <v>11</v>
      </c>
      <c r="AQ2783" s="2" t="s">
        <v>82</v>
      </c>
      <c r="AR2783" s="2"/>
      <c r="AS2783" s="2"/>
      <c r="AT2783" s="2" t="s">
        <v>9259</v>
      </c>
      <c r="AU2783" s="2"/>
      <c r="AV2783" s="2">
        <v>1</v>
      </c>
      <c r="AW2783" s="2"/>
      <c r="AX2783" s="2"/>
      <c r="AY2783" s="2">
        <v>41</v>
      </c>
      <c r="AZ2783" s="2" t="s">
        <v>82</v>
      </c>
      <c r="BA2783" s="2">
        <v>41</v>
      </c>
      <c r="BB2783" s="2" t="s">
        <v>82</v>
      </c>
      <c r="BC2783" s="2">
        <v>70</v>
      </c>
      <c r="BD2783" s="2" t="s">
        <v>236</v>
      </c>
      <c r="BE2783" s="2">
        <v>41</v>
      </c>
      <c r="BF2783" s="2" t="s">
        <v>82</v>
      </c>
      <c r="BG2783" s="2"/>
      <c r="BH2783" s="2"/>
      <c r="BI2783" s="2"/>
      <c r="BJ2783" s="2">
        <v>241</v>
      </c>
      <c r="BK2783" s="2" t="s">
        <v>82</v>
      </c>
      <c r="BL2783" s="2"/>
      <c r="BM2783" s="2">
        <v>241</v>
      </c>
      <c r="BN2783" s="2" t="s">
        <v>82</v>
      </c>
      <c r="BO2783" s="2"/>
      <c r="BP2783" s="2">
        <v>241</v>
      </c>
      <c r="BQ2783" s="2" t="s">
        <v>82</v>
      </c>
      <c r="BR2783" s="2"/>
      <c r="BS2783" s="3">
        <v>40366</v>
      </c>
      <c r="BT2783" s="4">
        <v>6.6145833333333334E-2</v>
      </c>
    </row>
    <row r="2784" spans="1:72" x14ac:dyDescent="0.25">
      <c r="A2784" s="2">
        <v>4065</v>
      </c>
      <c r="B2784" s="2">
        <v>2010</v>
      </c>
      <c r="C2784" s="2" t="s">
        <v>171</v>
      </c>
      <c r="D2784" s="2" t="s">
        <v>73</v>
      </c>
      <c r="E2784" s="2"/>
      <c r="F2784" s="2">
        <v>398</v>
      </c>
      <c r="G2784" s="2" t="s">
        <v>94</v>
      </c>
      <c r="H2784" s="2">
        <v>13</v>
      </c>
      <c r="I2784" s="2" t="s">
        <v>2229</v>
      </c>
      <c r="J2784" s="2">
        <v>245</v>
      </c>
      <c r="K2784" s="2" t="s">
        <v>96</v>
      </c>
      <c r="L2784" s="2" t="s">
        <v>97</v>
      </c>
      <c r="M2784" s="3">
        <v>40366</v>
      </c>
      <c r="N2784" s="2" t="s">
        <v>3767</v>
      </c>
      <c r="O2784" s="2"/>
      <c r="P2784" s="2"/>
      <c r="Q2784" s="2" t="str">
        <f>"354-E/10"</f>
        <v>354-E/10</v>
      </c>
      <c r="R2784" s="2"/>
      <c r="S2784" s="2" t="s">
        <v>391</v>
      </c>
      <c r="T2784" s="2">
        <v>1</v>
      </c>
      <c r="U2784" s="2" t="s">
        <v>79</v>
      </c>
      <c r="V2784" s="2">
        <v>1</v>
      </c>
      <c r="W2784" s="2" t="s">
        <v>80</v>
      </c>
      <c r="X2784" s="2">
        <v>1</v>
      </c>
      <c r="Y2784" s="2" t="s">
        <v>81</v>
      </c>
      <c r="Z2784" s="2">
        <v>1</v>
      </c>
      <c r="AA2784" s="2" t="s">
        <v>82</v>
      </c>
      <c r="AB2784" s="2">
        <v>1</v>
      </c>
      <c r="AC2784" s="2" t="s">
        <v>178</v>
      </c>
      <c r="AD2784" s="3">
        <v>40365</v>
      </c>
      <c r="AE2784" s="4">
        <v>0.48958333333333331</v>
      </c>
      <c r="AF2784" s="2"/>
      <c r="AG2784" s="2"/>
      <c r="AH2784" s="2">
        <v>2</v>
      </c>
      <c r="AI2784" s="2" t="s">
        <v>84</v>
      </c>
      <c r="AJ2784" s="2">
        <v>9</v>
      </c>
      <c r="AK2784" s="2" t="s">
        <v>103</v>
      </c>
      <c r="AL2784" s="2">
        <v>11</v>
      </c>
      <c r="AM2784" s="2" t="s">
        <v>137</v>
      </c>
      <c r="AN2784" s="2" t="s">
        <v>919</v>
      </c>
      <c r="AO2784" s="2" t="s">
        <v>9260</v>
      </c>
      <c r="AP2784" s="2">
        <v>11</v>
      </c>
      <c r="AQ2784" s="2" t="s">
        <v>82</v>
      </c>
      <c r="AR2784" s="2"/>
      <c r="AS2784" s="2"/>
      <c r="AT2784" s="2" t="s">
        <v>9261</v>
      </c>
      <c r="AU2784" s="2"/>
      <c r="AV2784" s="2">
        <v>2</v>
      </c>
      <c r="AW2784" s="2"/>
      <c r="AX2784" s="2"/>
      <c r="AY2784" s="2">
        <v>41</v>
      </c>
      <c r="AZ2784" s="2" t="s">
        <v>82</v>
      </c>
      <c r="BA2784" s="2">
        <v>41</v>
      </c>
      <c r="BB2784" s="2" t="s">
        <v>82</v>
      </c>
      <c r="BC2784" s="2">
        <v>41</v>
      </c>
      <c r="BD2784" s="2" t="s">
        <v>82</v>
      </c>
      <c r="BE2784" s="2">
        <v>23</v>
      </c>
      <c r="BF2784" s="2" t="s">
        <v>183</v>
      </c>
      <c r="BG2784" s="2" t="s">
        <v>184</v>
      </c>
      <c r="BH2784" s="2"/>
      <c r="BI2784" s="4">
        <v>0.53125</v>
      </c>
      <c r="BJ2784" s="2">
        <v>13</v>
      </c>
      <c r="BK2784" s="2" t="s">
        <v>91</v>
      </c>
      <c r="BL2784" s="2" t="s">
        <v>360</v>
      </c>
      <c r="BM2784" s="2">
        <v>241</v>
      </c>
      <c r="BN2784" s="2" t="s">
        <v>82</v>
      </c>
      <c r="BO2784" s="2"/>
      <c r="BP2784" s="2">
        <v>73</v>
      </c>
      <c r="BQ2784" s="2" t="s">
        <v>186</v>
      </c>
      <c r="BR2784" s="2" t="s">
        <v>187</v>
      </c>
      <c r="BS2784" s="3">
        <v>40366</v>
      </c>
      <c r="BT2784" s="4">
        <v>0.11557870370370371</v>
      </c>
    </row>
    <row r="2785" spans="1:72" x14ac:dyDescent="0.25">
      <c r="A2785" s="2">
        <v>4066</v>
      </c>
      <c r="B2785" s="2">
        <v>2010</v>
      </c>
      <c r="C2785" s="2" t="s">
        <v>72</v>
      </c>
      <c r="D2785" s="2" t="s">
        <v>73</v>
      </c>
      <c r="E2785" s="2"/>
      <c r="F2785" s="2">
        <v>173</v>
      </c>
      <c r="G2785" s="2" t="s">
        <v>9262</v>
      </c>
      <c r="H2785" s="2">
        <v>128</v>
      </c>
      <c r="I2785" s="2" t="s">
        <v>9263</v>
      </c>
      <c r="J2785" s="2">
        <v>611</v>
      </c>
      <c r="K2785" s="2" t="s">
        <v>9264</v>
      </c>
      <c r="L2785" s="2" t="s">
        <v>2393</v>
      </c>
      <c r="M2785" s="3">
        <v>40366</v>
      </c>
      <c r="N2785" s="2" t="s">
        <v>9265</v>
      </c>
      <c r="O2785" s="2" t="s">
        <v>107</v>
      </c>
      <c r="P2785" s="2" t="s">
        <v>107</v>
      </c>
      <c r="Q2785" s="2" t="str">
        <f>"249-A/10"</f>
        <v>249-A/10</v>
      </c>
      <c r="R2785" s="2" t="s">
        <v>116</v>
      </c>
      <c r="S2785" s="2" t="s">
        <v>116</v>
      </c>
      <c r="T2785" s="2">
        <v>1</v>
      </c>
      <c r="U2785" s="2" t="s">
        <v>79</v>
      </c>
      <c r="V2785" s="2">
        <v>1</v>
      </c>
      <c r="W2785" s="2" t="s">
        <v>80</v>
      </c>
      <c r="X2785" s="2">
        <v>12</v>
      </c>
      <c r="Y2785" s="2" t="s">
        <v>148</v>
      </c>
      <c r="Z2785" s="2">
        <v>1</v>
      </c>
      <c r="AA2785" s="2" t="s">
        <v>82</v>
      </c>
      <c r="AB2785" s="2">
        <v>6</v>
      </c>
      <c r="AC2785" s="2" t="s">
        <v>83</v>
      </c>
      <c r="AD2785" s="3">
        <v>40365</v>
      </c>
      <c r="AE2785" s="2"/>
      <c r="AF2785" s="3">
        <v>40365</v>
      </c>
      <c r="AG2785" s="4">
        <v>0.75</v>
      </c>
      <c r="AH2785" s="2">
        <v>2</v>
      </c>
      <c r="AI2785" s="2" t="s">
        <v>84</v>
      </c>
      <c r="AJ2785" s="2">
        <v>12</v>
      </c>
      <c r="AK2785" s="2" t="s">
        <v>85</v>
      </c>
      <c r="AL2785" s="2">
        <v>14</v>
      </c>
      <c r="AM2785" s="2" t="s">
        <v>216</v>
      </c>
      <c r="AN2785" s="2" t="s">
        <v>9266</v>
      </c>
      <c r="AO2785" s="2" t="s">
        <v>9267</v>
      </c>
      <c r="AP2785" s="2">
        <v>11</v>
      </c>
      <c r="AQ2785" s="2" t="s">
        <v>82</v>
      </c>
      <c r="AR2785" s="2"/>
      <c r="AS2785" s="2"/>
      <c r="AT2785" s="2" t="s">
        <v>9268</v>
      </c>
      <c r="AU2785" s="2">
        <v>1</v>
      </c>
      <c r="AV2785" s="2"/>
      <c r="AW2785" s="2"/>
      <c r="AX2785" s="2"/>
      <c r="AY2785" s="2">
        <v>119</v>
      </c>
      <c r="AZ2785" s="2" t="s">
        <v>9269</v>
      </c>
      <c r="BA2785" s="2">
        <v>41</v>
      </c>
      <c r="BB2785" s="2" t="s">
        <v>82</v>
      </c>
      <c r="BC2785" s="2">
        <v>41</v>
      </c>
      <c r="BD2785" s="2" t="s">
        <v>82</v>
      </c>
      <c r="BE2785" s="2">
        <v>41</v>
      </c>
      <c r="BF2785" s="2" t="s">
        <v>82</v>
      </c>
      <c r="BG2785" s="2"/>
      <c r="BH2785" s="2"/>
      <c r="BI2785" s="2"/>
      <c r="BJ2785" s="2">
        <v>241</v>
      </c>
      <c r="BK2785" s="2" t="s">
        <v>82</v>
      </c>
      <c r="BL2785" s="2"/>
      <c r="BM2785" s="2">
        <v>241</v>
      </c>
      <c r="BN2785" s="2" t="s">
        <v>82</v>
      </c>
      <c r="BO2785" s="2"/>
      <c r="BP2785" s="2">
        <v>241</v>
      </c>
      <c r="BQ2785" s="2" t="s">
        <v>82</v>
      </c>
      <c r="BR2785" s="2"/>
      <c r="BS2785" s="3">
        <v>40366</v>
      </c>
      <c r="BT2785" s="4">
        <v>0.19969907407407406</v>
      </c>
    </row>
    <row r="2786" spans="1:72" x14ac:dyDescent="0.25">
      <c r="A2786" s="2">
        <v>4067</v>
      </c>
      <c r="B2786" s="2">
        <v>2010</v>
      </c>
      <c r="C2786" s="2" t="s">
        <v>171</v>
      </c>
      <c r="D2786" s="2" t="s">
        <v>73</v>
      </c>
      <c r="E2786" s="2"/>
      <c r="F2786" s="2">
        <v>398</v>
      </c>
      <c r="G2786" s="2" t="s">
        <v>94</v>
      </c>
      <c r="H2786" s="2">
        <v>13</v>
      </c>
      <c r="I2786" s="2" t="s">
        <v>2229</v>
      </c>
      <c r="J2786" s="2">
        <v>245</v>
      </c>
      <c r="K2786" s="2" t="s">
        <v>96</v>
      </c>
      <c r="L2786" s="2" t="s">
        <v>97</v>
      </c>
      <c r="M2786" s="3">
        <v>40366</v>
      </c>
      <c r="N2786" s="2" t="s">
        <v>3767</v>
      </c>
      <c r="O2786" s="2"/>
      <c r="P2786" s="2"/>
      <c r="Q2786" s="2" t="str">
        <f>"355-E/10"</f>
        <v>355-E/10</v>
      </c>
      <c r="R2786" s="2"/>
      <c r="S2786" s="2" t="s">
        <v>391</v>
      </c>
      <c r="T2786" s="2">
        <v>1</v>
      </c>
      <c r="U2786" s="2" t="s">
        <v>79</v>
      </c>
      <c r="V2786" s="2">
        <v>1</v>
      </c>
      <c r="W2786" s="2" t="s">
        <v>80</v>
      </c>
      <c r="X2786" s="2">
        <v>1</v>
      </c>
      <c r="Y2786" s="2" t="s">
        <v>81</v>
      </c>
      <c r="Z2786" s="2">
        <v>1</v>
      </c>
      <c r="AA2786" s="2" t="s">
        <v>82</v>
      </c>
      <c r="AB2786" s="2">
        <v>1</v>
      </c>
      <c r="AC2786" s="2" t="s">
        <v>178</v>
      </c>
      <c r="AD2786" s="3">
        <v>40365</v>
      </c>
      <c r="AE2786" s="4">
        <v>0.50694444444444442</v>
      </c>
      <c r="AF2786" s="2"/>
      <c r="AG2786" s="2"/>
      <c r="AH2786" s="2">
        <v>2</v>
      </c>
      <c r="AI2786" s="2" t="s">
        <v>84</v>
      </c>
      <c r="AJ2786" s="2">
        <v>9</v>
      </c>
      <c r="AK2786" s="2" t="s">
        <v>103</v>
      </c>
      <c r="AL2786" s="2">
        <v>25</v>
      </c>
      <c r="AM2786" s="2" t="s">
        <v>3073</v>
      </c>
      <c r="AN2786" s="2" t="s">
        <v>179</v>
      </c>
      <c r="AO2786" s="2" t="s">
        <v>987</v>
      </c>
      <c r="AP2786" s="2">
        <v>11</v>
      </c>
      <c r="AQ2786" s="2" t="s">
        <v>82</v>
      </c>
      <c r="AR2786" s="2"/>
      <c r="AS2786" s="2"/>
      <c r="AT2786" s="2" t="s">
        <v>9270</v>
      </c>
      <c r="AU2786" s="2"/>
      <c r="AV2786" s="2">
        <v>2</v>
      </c>
      <c r="AW2786" s="2"/>
      <c r="AX2786" s="2"/>
      <c r="AY2786" s="2">
        <v>41</v>
      </c>
      <c r="AZ2786" s="2" t="s">
        <v>82</v>
      </c>
      <c r="BA2786" s="2">
        <v>41</v>
      </c>
      <c r="BB2786" s="2" t="s">
        <v>82</v>
      </c>
      <c r="BC2786" s="2">
        <v>41</v>
      </c>
      <c r="BD2786" s="2" t="s">
        <v>82</v>
      </c>
      <c r="BE2786" s="2">
        <v>27</v>
      </c>
      <c r="BF2786" s="2" t="s">
        <v>2197</v>
      </c>
      <c r="BG2786" s="2" t="s">
        <v>9271</v>
      </c>
      <c r="BH2786" s="2"/>
      <c r="BI2786" s="4">
        <v>0.5625</v>
      </c>
      <c r="BJ2786" s="2">
        <v>13</v>
      </c>
      <c r="BK2786" s="2" t="s">
        <v>91</v>
      </c>
      <c r="BL2786" s="2" t="s">
        <v>360</v>
      </c>
      <c r="BM2786" s="2">
        <v>112</v>
      </c>
      <c r="BN2786" s="2" t="s">
        <v>110</v>
      </c>
      <c r="BO2786" s="2" t="s">
        <v>111</v>
      </c>
      <c r="BP2786" s="2">
        <v>227</v>
      </c>
      <c r="BQ2786" s="2" t="s">
        <v>9272</v>
      </c>
      <c r="BR2786" s="2" t="s">
        <v>9273</v>
      </c>
      <c r="BS2786" s="3">
        <v>40366</v>
      </c>
      <c r="BT2786" s="4">
        <v>0.2021412037037037</v>
      </c>
    </row>
    <row r="2787" spans="1:72" x14ac:dyDescent="0.25">
      <c r="A2787" s="2">
        <v>4068</v>
      </c>
      <c r="B2787" s="2">
        <v>2010</v>
      </c>
      <c r="C2787" s="2" t="s">
        <v>549</v>
      </c>
      <c r="D2787" s="2" t="s">
        <v>73</v>
      </c>
      <c r="E2787" s="2"/>
      <c r="F2787" s="2">
        <v>173</v>
      </c>
      <c r="G2787" s="2" t="s">
        <v>9262</v>
      </c>
      <c r="H2787" s="2">
        <v>128</v>
      </c>
      <c r="I2787" s="2" t="s">
        <v>9263</v>
      </c>
      <c r="J2787" s="2">
        <v>611</v>
      </c>
      <c r="K2787" s="2" t="s">
        <v>9264</v>
      </c>
      <c r="L2787" s="2" t="s">
        <v>2393</v>
      </c>
      <c r="M2787" s="3">
        <v>40366</v>
      </c>
      <c r="N2787" s="2" t="s">
        <v>9265</v>
      </c>
      <c r="O2787" s="2" t="s">
        <v>107</v>
      </c>
      <c r="P2787" s="2" t="s">
        <v>107</v>
      </c>
      <c r="Q2787" s="2" t="str">
        <f>"250-A/10"</f>
        <v>250-A/10</v>
      </c>
      <c r="R2787" s="2" t="s">
        <v>3743</v>
      </c>
      <c r="S2787" s="2"/>
      <c r="T2787" s="2">
        <v>1</v>
      </c>
      <c r="U2787" s="2" t="s">
        <v>79</v>
      </c>
      <c r="V2787" s="2">
        <v>1</v>
      </c>
      <c r="W2787" s="2" t="s">
        <v>80</v>
      </c>
      <c r="X2787" s="2">
        <v>1</v>
      </c>
      <c r="Y2787" s="2" t="s">
        <v>81</v>
      </c>
      <c r="Z2787" s="2">
        <v>1</v>
      </c>
      <c r="AA2787" s="2" t="s">
        <v>82</v>
      </c>
      <c r="AB2787" s="2">
        <v>9</v>
      </c>
      <c r="AC2787" s="2" t="s">
        <v>124</v>
      </c>
      <c r="AD2787" s="3">
        <v>40365</v>
      </c>
      <c r="AE2787" s="4">
        <v>0.61805555555555558</v>
      </c>
      <c r="AF2787" s="2"/>
      <c r="AG2787" s="2"/>
      <c r="AH2787" s="2">
        <v>2</v>
      </c>
      <c r="AI2787" s="2" t="s">
        <v>84</v>
      </c>
      <c r="AJ2787" s="2">
        <v>12</v>
      </c>
      <c r="AK2787" s="2" t="s">
        <v>85</v>
      </c>
      <c r="AL2787" s="2">
        <v>12</v>
      </c>
      <c r="AM2787" s="2" t="s">
        <v>86</v>
      </c>
      <c r="AN2787" s="2"/>
      <c r="AO2787" s="2" t="s">
        <v>9274</v>
      </c>
      <c r="AP2787" s="2">
        <v>11</v>
      </c>
      <c r="AQ2787" s="2" t="s">
        <v>82</v>
      </c>
      <c r="AR2787" s="2"/>
      <c r="AS2787" s="2"/>
      <c r="AT2787" s="2" t="s">
        <v>9275</v>
      </c>
      <c r="AU2787" s="2">
        <v>2</v>
      </c>
      <c r="AV2787" s="2"/>
      <c r="AW2787" s="2"/>
      <c r="AX2787" s="2"/>
      <c r="AY2787" s="2">
        <v>41</v>
      </c>
      <c r="AZ2787" s="2" t="s">
        <v>82</v>
      </c>
      <c r="BA2787" s="2">
        <v>41</v>
      </c>
      <c r="BB2787" s="2" t="s">
        <v>82</v>
      </c>
      <c r="BC2787" s="2">
        <v>41</v>
      </c>
      <c r="BD2787" s="2" t="s">
        <v>82</v>
      </c>
      <c r="BE2787" s="2">
        <v>41</v>
      </c>
      <c r="BF2787" s="2" t="s">
        <v>82</v>
      </c>
      <c r="BG2787" s="2"/>
      <c r="BH2787" s="2"/>
      <c r="BI2787" s="2"/>
      <c r="BJ2787" s="2">
        <v>241</v>
      </c>
      <c r="BK2787" s="2" t="s">
        <v>82</v>
      </c>
      <c r="BL2787" s="2"/>
      <c r="BM2787" s="2">
        <v>241</v>
      </c>
      <c r="BN2787" s="2" t="s">
        <v>82</v>
      </c>
      <c r="BO2787" s="2"/>
      <c r="BP2787" s="2">
        <v>241</v>
      </c>
      <c r="BQ2787" s="2" t="s">
        <v>82</v>
      </c>
      <c r="BR2787" s="2"/>
      <c r="BS2787" s="3">
        <v>40366</v>
      </c>
      <c r="BT2787" s="4">
        <v>0.24319444444444446</v>
      </c>
    </row>
    <row r="2788" spans="1:72" x14ac:dyDescent="0.25">
      <c r="A2788" s="2">
        <v>4069</v>
      </c>
      <c r="B2788" s="2">
        <v>2010</v>
      </c>
      <c r="C2788" s="2" t="s">
        <v>171</v>
      </c>
      <c r="D2788" s="2" t="s">
        <v>122</v>
      </c>
      <c r="E2788" s="2" t="s">
        <v>9276</v>
      </c>
      <c r="F2788" s="2">
        <v>398</v>
      </c>
      <c r="G2788" s="2" t="s">
        <v>94</v>
      </c>
      <c r="H2788" s="2">
        <v>13</v>
      </c>
      <c r="I2788" s="2" t="s">
        <v>2229</v>
      </c>
      <c r="J2788" s="2">
        <v>245</v>
      </c>
      <c r="K2788" s="2" t="s">
        <v>96</v>
      </c>
      <c r="L2788" s="2" t="s">
        <v>97</v>
      </c>
      <c r="M2788" s="3">
        <v>40366</v>
      </c>
      <c r="N2788" s="2" t="s">
        <v>3767</v>
      </c>
      <c r="O2788" s="2"/>
      <c r="P2788" s="2"/>
      <c r="Q2788" s="2" t="str">
        <f>"354-E/10"</f>
        <v>354-E/10</v>
      </c>
      <c r="R2788" s="2" t="s">
        <v>391</v>
      </c>
      <c r="S2788" s="2"/>
      <c r="T2788" s="2">
        <v>1</v>
      </c>
      <c r="U2788" s="2" t="s">
        <v>79</v>
      </c>
      <c r="V2788" s="2">
        <v>1</v>
      </c>
      <c r="W2788" s="2" t="s">
        <v>80</v>
      </c>
      <c r="X2788" s="2">
        <v>1</v>
      </c>
      <c r="Y2788" s="2" t="s">
        <v>81</v>
      </c>
      <c r="Z2788" s="2">
        <v>1</v>
      </c>
      <c r="AA2788" s="2" t="s">
        <v>82</v>
      </c>
      <c r="AB2788" s="2">
        <v>1</v>
      </c>
      <c r="AC2788" s="2" t="s">
        <v>178</v>
      </c>
      <c r="AD2788" s="3">
        <v>40365</v>
      </c>
      <c r="AE2788" s="4">
        <v>0.44791666666666669</v>
      </c>
      <c r="AF2788" s="2"/>
      <c r="AG2788" s="2"/>
      <c r="AH2788" s="2">
        <v>2</v>
      </c>
      <c r="AI2788" s="2" t="s">
        <v>84</v>
      </c>
      <c r="AJ2788" s="2">
        <v>9</v>
      </c>
      <c r="AK2788" s="2" t="s">
        <v>103</v>
      </c>
      <c r="AL2788" s="2">
        <v>14</v>
      </c>
      <c r="AM2788" s="2" t="s">
        <v>216</v>
      </c>
      <c r="AN2788" s="2" t="s">
        <v>4974</v>
      </c>
      <c r="AO2788" s="2" t="s">
        <v>1340</v>
      </c>
      <c r="AP2788" s="2">
        <v>11</v>
      </c>
      <c r="AQ2788" s="2" t="s">
        <v>82</v>
      </c>
      <c r="AR2788" s="2"/>
      <c r="AS2788" s="2"/>
      <c r="AT2788" s="2" t="s">
        <v>9277</v>
      </c>
      <c r="AU2788" s="2"/>
      <c r="AV2788" s="2">
        <v>2</v>
      </c>
      <c r="AW2788" s="2"/>
      <c r="AX2788" s="2"/>
      <c r="AY2788" s="2">
        <v>41</v>
      </c>
      <c r="AZ2788" s="2" t="s">
        <v>82</v>
      </c>
      <c r="BA2788" s="2">
        <v>41</v>
      </c>
      <c r="BB2788" s="2" t="s">
        <v>82</v>
      </c>
      <c r="BC2788" s="2">
        <v>41</v>
      </c>
      <c r="BD2788" s="2" t="s">
        <v>82</v>
      </c>
      <c r="BE2788" s="2">
        <v>23</v>
      </c>
      <c r="BF2788" s="2" t="s">
        <v>183</v>
      </c>
      <c r="BG2788" s="2" t="s">
        <v>184</v>
      </c>
      <c r="BH2788" s="2"/>
      <c r="BI2788" s="4">
        <v>0.53125</v>
      </c>
      <c r="BJ2788" s="2">
        <v>13</v>
      </c>
      <c r="BK2788" s="2" t="s">
        <v>91</v>
      </c>
      <c r="BL2788" s="2" t="s">
        <v>2592</v>
      </c>
      <c r="BM2788" s="2">
        <v>241</v>
      </c>
      <c r="BN2788" s="2" t="s">
        <v>82</v>
      </c>
      <c r="BO2788" s="2"/>
      <c r="BP2788" s="2">
        <v>73</v>
      </c>
      <c r="BQ2788" s="2" t="s">
        <v>186</v>
      </c>
      <c r="BR2788" s="2" t="s">
        <v>187</v>
      </c>
      <c r="BS2788" s="3">
        <v>40366</v>
      </c>
      <c r="BT2788" s="4">
        <v>0.33501157407407406</v>
      </c>
    </row>
    <row r="2789" spans="1:72" x14ac:dyDescent="0.25">
      <c r="A2789" s="2">
        <v>4070</v>
      </c>
      <c r="B2789" s="2">
        <v>2010</v>
      </c>
      <c r="C2789" s="2" t="s">
        <v>171</v>
      </c>
      <c r="D2789" s="2" t="s">
        <v>122</v>
      </c>
      <c r="E2789" s="2" t="s">
        <v>9278</v>
      </c>
      <c r="F2789" s="2">
        <v>398</v>
      </c>
      <c r="G2789" s="2" t="s">
        <v>94</v>
      </c>
      <c r="H2789" s="2">
        <v>13</v>
      </c>
      <c r="I2789" s="2" t="s">
        <v>2229</v>
      </c>
      <c r="J2789" s="2">
        <v>245</v>
      </c>
      <c r="K2789" s="2" t="s">
        <v>96</v>
      </c>
      <c r="L2789" s="2" t="s">
        <v>97</v>
      </c>
      <c r="M2789" s="3">
        <v>40366</v>
      </c>
      <c r="N2789" s="2" t="s">
        <v>3767</v>
      </c>
      <c r="O2789" s="2"/>
      <c r="P2789" s="2"/>
      <c r="Q2789" s="2" t="str">
        <f>"355-E/10"</f>
        <v>355-E/10</v>
      </c>
      <c r="R2789" s="2" t="s">
        <v>391</v>
      </c>
      <c r="S2789" s="2"/>
      <c r="T2789" s="2">
        <v>1</v>
      </c>
      <c r="U2789" s="2" t="s">
        <v>79</v>
      </c>
      <c r="V2789" s="2">
        <v>1</v>
      </c>
      <c r="W2789" s="2" t="s">
        <v>80</v>
      </c>
      <c r="X2789" s="2">
        <v>1</v>
      </c>
      <c r="Y2789" s="2" t="s">
        <v>81</v>
      </c>
      <c r="Z2789" s="2">
        <v>1</v>
      </c>
      <c r="AA2789" s="2" t="s">
        <v>82</v>
      </c>
      <c r="AB2789" s="2">
        <v>1</v>
      </c>
      <c r="AC2789" s="2" t="s">
        <v>178</v>
      </c>
      <c r="AD2789" s="3">
        <v>40365</v>
      </c>
      <c r="AE2789" s="4">
        <v>0.50694444444444442</v>
      </c>
      <c r="AF2789" s="2"/>
      <c r="AG2789" s="2"/>
      <c r="AH2789" s="2">
        <v>2</v>
      </c>
      <c r="AI2789" s="2" t="s">
        <v>84</v>
      </c>
      <c r="AJ2789" s="2">
        <v>9</v>
      </c>
      <c r="AK2789" s="2" t="s">
        <v>103</v>
      </c>
      <c r="AL2789" s="2">
        <v>14</v>
      </c>
      <c r="AM2789" s="2" t="s">
        <v>216</v>
      </c>
      <c r="AN2789" s="2" t="s">
        <v>987</v>
      </c>
      <c r="AO2789" s="2" t="s">
        <v>179</v>
      </c>
      <c r="AP2789" s="2">
        <v>11</v>
      </c>
      <c r="AQ2789" s="2" t="s">
        <v>82</v>
      </c>
      <c r="AR2789" s="2"/>
      <c r="AS2789" s="2"/>
      <c r="AT2789" s="2" t="s">
        <v>9279</v>
      </c>
      <c r="AU2789" s="2"/>
      <c r="AV2789" s="2">
        <v>2</v>
      </c>
      <c r="AW2789" s="2"/>
      <c r="AX2789" s="2"/>
      <c r="AY2789" s="2">
        <v>41</v>
      </c>
      <c r="AZ2789" s="2" t="s">
        <v>82</v>
      </c>
      <c r="BA2789" s="2">
        <v>41</v>
      </c>
      <c r="BB2789" s="2" t="s">
        <v>82</v>
      </c>
      <c r="BC2789" s="2">
        <v>41</v>
      </c>
      <c r="BD2789" s="2" t="s">
        <v>82</v>
      </c>
      <c r="BE2789" s="2">
        <v>27</v>
      </c>
      <c r="BF2789" s="2" t="s">
        <v>2197</v>
      </c>
      <c r="BG2789" s="2" t="s">
        <v>9271</v>
      </c>
      <c r="BH2789" s="2"/>
      <c r="BI2789" s="4">
        <v>0.5625</v>
      </c>
      <c r="BJ2789" s="2">
        <v>13</v>
      </c>
      <c r="BK2789" s="2" t="s">
        <v>91</v>
      </c>
      <c r="BL2789" s="2" t="s">
        <v>2592</v>
      </c>
      <c r="BM2789" s="2">
        <v>241</v>
      </c>
      <c r="BN2789" s="2" t="s">
        <v>82</v>
      </c>
      <c r="BO2789" s="2"/>
      <c r="BP2789" s="2">
        <v>112</v>
      </c>
      <c r="BQ2789" s="2" t="s">
        <v>110</v>
      </c>
      <c r="BR2789" s="2" t="s">
        <v>111</v>
      </c>
      <c r="BS2789" s="3">
        <v>40366</v>
      </c>
      <c r="BT2789" s="4">
        <v>0.33701388888888889</v>
      </c>
    </row>
    <row r="2790" spans="1:72" x14ac:dyDescent="0.25">
      <c r="A2790" s="2">
        <v>4071</v>
      </c>
      <c r="B2790" s="2">
        <v>2010</v>
      </c>
      <c r="C2790" s="2" t="s">
        <v>4543</v>
      </c>
      <c r="D2790" s="2" t="s">
        <v>122</v>
      </c>
      <c r="E2790" s="2"/>
      <c r="F2790" s="2">
        <v>1</v>
      </c>
      <c r="G2790" s="2" t="s">
        <v>82</v>
      </c>
      <c r="H2790" s="2">
        <v>1</v>
      </c>
      <c r="I2790" s="2" t="s">
        <v>82</v>
      </c>
      <c r="J2790" s="2">
        <v>1</v>
      </c>
      <c r="K2790" s="2" t="s">
        <v>107</v>
      </c>
      <c r="L2790" s="2" t="s">
        <v>107</v>
      </c>
      <c r="M2790" s="3">
        <v>40366</v>
      </c>
      <c r="N2790" s="2" t="s">
        <v>82</v>
      </c>
      <c r="O2790" s="2"/>
      <c r="P2790" s="2" t="s">
        <v>82</v>
      </c>
      <c r="Q2790" s="2" t="str">
        <f>"N/C"</f>
        <v>N/C</v>
      </c>
      <c r="R2790" s="2"/>
      <c r="S2790" s="2" t="s">
        <v>82</v>
      </c>
      <c r="T2790" s="2">
        <v>2</v>
      </c>
      <c r="U2790" s="2" t="s">
        <v>123</v>
      </c>
      <c r="V2790" s="2">
        <v>1</v>
      </c>
      <c r="W2790" s="2" t="s">
        <v>80</v>
      </c>
      <c r="X2790" s="2">
        <v>5</v>
      </c>
      <c r="Y2790" s="2" t="s">
        <v>82</v>
      </c>
      <c r="Z2790" s="2">
        <v>10</v>
      </c>
      <c r="AA2790" s="2" t="s">
        <v>236</v>
      </c>
      <c r="AB2790" s="2">
        <v>9</v>
      </c>
      <c r="AC2790" s="2" t="s">
        <v>124</v>
      </c>
      <c r="AD2790" s="3">
        <v>40366</v>
      </c>
      <c r="AE2790" s="4">
        <v>0.27083333333333331</v>
      </c>
      <c r="AF2790" s="2"/>
      <c r="AG2790" s="2"/>
      <c r="AH2790" s="2">
        <v>4</v>
      </c>
      <c r="AI2790" s="2" t="s">
        <v>125</v>
      </c>
      <c r="AJ2790" s="2">
        <v>29</v>
      </c>
      <c r="AK2790" s="2" t="s">
        <v>227</v>
      </c>
      <c r="AL2790" s="2">
        <v>10</v>
      </c>
      <c r="AM2790" s="2" t="s">
        <v>200</v>
      </c>
      <c r="AN2790" s="2" t="s">
        <v>9280</v>
      </c>
      <c r="AO2790" s="2" t="s">
        <v>9281</v>
      </c>
      <c r="AP2790" s="2">
        <v>11</v>
      </c>
      <c r="AQ2790" s="2" t="s">
        <v>82</v>
      </c>
      <c r="AR2790" s="2"/>
      <c r="AS2790" s="2"/>
      <c r="AT2790" s="2" t="s">
        <v>9282</v>
      </c>
      <c r="AU2790" s="2"/>
      <c r="AV2790" s="2"/>
      <c r="AW2790" s="2"/>
      <c r="AX2790" s="2"/>
      <c r="AY2790" s="2">
        <v>41</v>
      </c>
      <c r="AZ2790" s="2" t="s">
        <v>82</v>
      </c>
      <c r="BA2790" s="2">
        <v>41</v>
      </c>
      <c r="BB2790" s="2" t="s">
        <v>82</v>
      </c>
      <c r="BC2790" s="2">
        <v>41</v>
      </c>
      <c r="BD2790" s="2" t="s">
        <v>82</v>
      </c>
      <c r="BE2790" s="2">
        <v>41</v>
      </c>
      <c r="BF2790" s="2" t="s">
        <v>82</v>
      </c>
      <c r="BG2790" s="2"/>
      <c r="BH2790" s="2"/>
      <c r="BI2790" s="2"/>
      <c r="BJ2790" s="2">
        <v>241</v>
      </c>
      <c r="BK2790" s="2" t="s">
        <v>82</v>
      </c>
      <c r="BL2790" s="2"/>
      <c r="BM2790" s="2">
        <v>241</v>
      </c>
      <c r="BN2790" s="2" t="s">
        <v>82</v>
      </c>
      <c r="BO2790" s="2"/>
      <c r="BP2790" s="2">
        <v>241</v>
      </c>
      <c r="BQ2790" s="2" t="s">
        <v>82</v>
      </c>
      <c r="BR2790" s="2"/>
      <c r="BS2790" s="3">
        <v>40366</v>
      </c>
      <c r="BT2790" s="4">
        <v>0.36662037037037037</v>
      </c>
    </row>
    <row r="2791" spans="1:72" x14ac:dyDescent="0.25">
      <c r="A2791" s="2">
        <v>4072</v>
      </c>
      <c r="B2791" s="2">
        <v>2010</v>
      </c>
      <c r="C2791" s="2" t="s">
        <v>4543</v>
      </c>
      <c r="D2791" s="2" t="s">
        <v>122</v>
      </c>
      <c r="E2791" s="2"/>
      <c r="F2791" s="2">
        <v>1</v>
      </c>
      <c r="G2791" s="2" t="s">
        <v>82</v>
      </c>
      <c r="H2791" s="2">
        <v>1</v>
      </c>
      <c r="I2791" s="2" t="s">
        <v>82</v>
      </c>
      <c r="J2791" s="2">
        <v>1</v>
      </c>
      <c r="K2791" s="2" t="s">
        <v>107</v>
      </c>
      <c r="L2791" s="2" t="s">
        <v>107</v>
      </c>
      <c r="M2791" s="3">
        <v>40366</v>
      </c>
      <c r="N2791" s="2"/>
      <c r="O2791" s="2"/>
      <c r="P2791" s="2"/>
      <c r="Q2791" s="2" t="str">
        <f>""</f>
        <v/>
      </c>
      <c r="R2791" s="2"/>
      <c r="S2791" s="2"/>
      <c r="T2791" s="2">
        <v>2</v>
      </c>
      <c r="U2791" s="2" t="s">
        <v>123</v>
      </c>
      <c r="V2791" s="2">
        <v>1</v>
      </c>
      <c r="W2791" s="2" t="s">
        <v>80</v>
      </c>
      <c r="X2791" s="2">
        <v>11</v>
      </c>
      <c r="Y2791" s="2" t="s">
        <v>1920</v>
      </c>
      <c r="Z2791" s="2">
        <v>1</v>
      </c>
      <c r="AA2791" s="2" t="s">
        <v>82</v>
      </c>
      <c r="AB2791" s="2">
        <v>9</v>
      </c>
      <c r="AC2791" s="2" t="s">
        <v>124</v>
      </c>
      <c r="AD2791" s="3">
        <v>40366</v>
      </c>
      <c r="AE2791" s="4">
        <v>0.3666666666666667</v>
      </c>
      <c r="AF2791" s="2"/>
      <c r="AG2791" s="2"/>
      <c r="AH2791" s="2">
        <v>6</v>
      </c>
      <c r="AI2791" s="2" t="s">
        <v>197</v>
      </c>
      <c r="AJ2791" s="2">
        <v>54</v>
      </c>
      <c r="AK2791" s="2" t="s">
        <v>348</v>
      </c>
      <c r="AL2791" s="2">
        <v>19</v>
      </c>
      <c r="AM2791" s="2" t="s">
        <v>107</v>
      </c>
      <c r="AN2791" s="2" t="s">
        <v>595</v>
      </c>
      <c r="AO2791" s="2" t="s">
        <v>200</v>
      </c>
      <c r="AP2791" s="2">
        <v>14</v>
      </c>
      <c r="AQ2791" s="2" t="s">
        <v>3301</v>
      </c>
      <c r="AR2791" s="2" t="s">
        <v>596</v>
      </c>
      <c r="AS2791" s="2" t="s">
        <v>596</v>
      </c>
      <c r="AT2791" s="2" t="s">
        <v>9283</v>
      </c>
      <c r="AU2791" s="2"/>
      <c r="AV2791" s="2"/>
      <c r="AW2791" s="2"/>
      <c r="AX2791" s="2"/>
      <c r="AY2791" s="2">
        <v>1</v>
      </c>
      <c r="AZ2791" s="2" t="s">
        <v>107</v>
      </c>
      <c r="BA2791" s="2">
        <v>1</v>
      </c>
      <c r="BB2791" s="2" t="s">
        <v>107</v>
      </c>
      <c r="BC2791" s="2">
        <v>1</v>
      </c>
      <c r="BD2791" s="2" t="s">
        <v>107</v>
      </c>
      <c r="BE2791" s="2">
        <v>1</v>
      </c>
      <c r="BF2791" s="2" t="s">
        <v>107</v>
      </c>
      <c r="BG2791" s="2" t="s">
        <v>9284</v>
      </c>
      <c r="BH2791" s="4">
        <v>0.31597222222222221</v>
      </c>
      <c r="BI2791" s="4">
        <v>0.3666666666666667</v>
      </c>
      <c r="BJ2791" s="2">
        <v>13</v>
      </c>
      <c r="BK2791" s="2" t="s">
        <v>91</v>
      </c>
      <c r="BL2791" s="2" t="s">
        <v>7629</v>
      </c>
      <c r="BM2791" s="2">
        <v>242</v>
      </c>
      <c r="BN2791" s="2" t="s">
        <v>107</v>
      </c>
      <c r="BO2791" s="2" t="s">
        <v>107</v>
      </c>
      <c r="BP2791" s="2">
        <v>242</v>
      </c>
      <c r="BQ2791" s="2" t="s">
        <v>107</v>
      </c>
      <c r="BR2791" s="2" t="s">
        <v>905</v>
      </c>
      <c r="BS2791" s="3">
        <v>40366</v>
      </c>
      <c r="BT2791" s="4">
        <v>0.37341435185185184</v>
      </c>
    </row>
    <row r="2792" spans="1:72" x14ac:dyDescent="0.25">
      <c r="A2792" s="2">
        <v>4074</v>
      </c>
      <c r="B2792" s="2">
        <v>2010</v>
      </c>
      <c r="C2792" s="2" t="s">
        <v>377</v>
      </c>
      <c r="D2792" s="2" t="s">
        <v>73</v>
      </c>
      <c r="E2792" s="2"/>
      <c r="F2792" s="2">
        <v>426</v>
      </c>
      <c r="G2792" s="2" t="s">
        <v>378</v>
      </c>
      <c r="H2792" s="2">
        <v>42</v>
      </c>
      <c r="I2792" s="2" t="s">
        <v>1096</v>
      </c>
      <c r="J2792" s="2">
        <v>311</v>
      </c>
      <c r="K2792" s="2" t="s">
        <v>379</v>
      </c>
      <c r="L2792" s="2" t="s">
        <v>380</v>
      </c>
      <c r="M2792" s="3">
        <v>40366</v>
      </c>
      <c r="N2792" s="2" t="s">
        <v>5164</v>
      </c>
      <c r="O2792" s="2"/>
      <c r="P2792" s="2"/>
      <c r="Q2792" s="2" t="str">
        <f>"150-C/10"</f>
        <v>150-C/10</v>
      </c>
      <c r="R2792" s="2" t="s">
        <v>4000</v>
      </c>
      <c r="S2792" s="2"/>
      <c r="T2792" s="2">
        <v>1</v>
      </c>
      <c r="U2792" s="2" t="s">
        <v>79</v>
      </c>
      <c r="V2792" s="2">
        <v>1</v>
      </c>
      <c r="W2792" s="2" t="s">
        <v>80</v>
      </c>
      <c r="X2792" s="2">
        <v>1</v>
      </c>
      <c r="Y2792" s="2" t="s">
        <v>81</v>
      </c>
      <c r="Z2792" s="2">
        <v>1</v>
      </c>
      <c r="AA2792" s="2" t="s">
        <v>82</v>
      </c>
      <c r="AB2792" s="2">
        <v>9</v>
      </c>
      <c r="AC2792" s="2" t="s">
        <v>124</v>
      </c>
      <c r="AD2792" s="3">
        <v>40365</v>
      </c>
      <c r="AE2792" s="4">
        <v>0.4513888888888889</v>
      </c>
      <c r="AF2792" s="2"/>
      <c r="AG2792" s="2"/>
      <c r="AH2792" s="2">
        <v>2</v>
      </c>
      <c r="AI2792" s="2" t="s">
        <v>84</v>
      </c>
      <c r="AJ2792" s="2">
        <v>9</v>
      </c>
      <c r="AK2792" s="2" t="s">
        <v>103</v>
      </c>
      <c r="AL2792" s="2">
        <v>29</v>
      </c>
      <c r="AM2792" s="2" t="s">
        <v>5416</v>
      </c>
      <c r="AN2792" s="2"/>
      <c r="AO2792" s="2" t="s">
        <v>9285</v>
      </c>
      <c r="AP2792" s="2">
        <v>11</v>
      </c>
      <c r="AQ2792" s="2" t="s">
        <v>82</v>
      </c>
      <c r="AR2792" s="2"/>
      <c r="AS2792" s="2"/>
      <c r="AT2792" s="2" t="s">
        <v>9286</v>
      </c>
      <c r="AU2792" s="2"/>
      <c r="AV2792" s="2"/>
      <c r="AW2792" s="2"/>
      <c r="AX2792" s="2"/>
      <c r="AY2792" s="2">
        <v>41</v>
      </c>
      <c r="AZ2792" s="2" t="s">
        <v>82</v>
      </c>
      <c r="BA2792" s="2">
        <v>41</v>
      </c>
      <c r="BB2792" s="2" t="s">
        <v>82</v>
      </c>
      <c r="BC2792" s="2">
        <v>41</v>
      </c>
      <c r="BD2792" s="2" t="s">
        <v>82</v>
      </c>
      <c r="BE2792" s="2">
        <v>41</v>
      </c>
      <c r="BF2792" s="2" t="s">
        <v>82</v>
      </c>
      <c r="BG2792" s="2"/>
      <c r="BH2792" s="2"/>
      <c r="BI2792" s="2"/>
      <c r="BJ2792" s="2">
        <v>241</v>
      </c>
      <c r="BK2792" s="2" t="s">
        <v>82</v>
      </c>
      <c r="BL2792" s="2"/>
      <c r="BM2792" s="2">
        <v>241</v>
      </c>
      <c r="BN2792" s="2" t="s">
        <v>82</v>
      </c>
      <c r="BO2792" s="2"/>
      <c r="BP2792" s="2">
        <v>241</v>
      </c>
      <c r="BQ2792" s="2" t="s">
        <v>82</v>
      </c>
      <c r="BR2792" s="2"/>
      <c r="BS2792" s="3">
        <v>40366</v>
      </c>
      <c r="BT2792" s="4">
        <v>0.43938657407407411</v>
      </c>
    </row>
    <row r="2793" spans="1:72" x14ac:dyDescent="0.25">
      <c r="A2793" s="2">
        <v>4076</v>
      </c>
      <c r="B2793" s="2">
        <v>2010</v>
      </c>
      <c r="C2793" s="2" t="s">
        <v>4543</v>
      </c>
      <c r="D2793" s="2" t="s">
        <v>122</v>
      </c>
      <c r="E2793" s="2"/>
      <c r="F2793" s="2">
        <v>1</v>
      </c>
      <c r="G2793" s="2" t="s">
        <v>82</v>
      </c>
      <c r="H2793" s="2">
        <v>1</v>
      </c>
      <c r="I2793" s="2" t="s">
        <v>82</v>
      </c>
      <c r="J2793" s="2">
        <v>1</v>
      </c>
      <c r="K2793" s="2" t="s">
        <v>107</v>
      </c>
      <c r="L2793" s="2" t="s">
        <v>107</v>
      </c>
      <c r="M2793" s="3">
        <v>40366</v>
      </c>
      <c r="N2793" s="2"/>
      <c r="O2793" s="2"/>
      <c r="P2793" s="2"/>
      <c r="Q2793" s="2" t="str">
        <f>""</f>
        <v/>
      </c>
      <c r="R2793" s="2"/>
      <c r="S2793" s="2"/>
      <c r="T2793" s="2">
        <v>2</v>
      </c>
      <c r="U2793" s="2" t="s">
        <v>123</v>
      </c>
      <c r="V2793" s="2">
        <v>1</v>
      </c>
      <c r="W2793" s="2" t="s">
        <v>80</v>
      </c>
      <c r="X2793" s="2">
        <v>5</v>
      </c>
      <c r="Y2793" s="2" t="s">
        <v>82</v>
      </c>
      <c r="Z2793" s="2">
        <v>1</v>
      </c>
      <c r="AA2793" s="2" t="s">
        <v>82</v>
      </c>
      <c r="AB2793" s="2">
        <v>9</v>
      </c>
      <c r="AC2793" s="2" t="s">
        <v>124</v>
      </c>
      <c r="AD2793" s="3">
        <v>40366</v>
      </c>
      <c r="AE2793" s="4">
        <v>0.44444444444444442</v>
      </c>
      <c r="AF2793" s="2"/>
      <c r="AG2793" s="2"/>
      <c r="AH2793" s="2">
        <v>6</v>
      </c>
      <c r="AI2793" s="2" t="s">
        <v>197</v>
      </c>
      <c r="AJ2793" s="2">
        <v>57</v>
      </c>
      <c r="AK2793" s="2" t="s">
        <v>2344</v>
      </c>
      <c r="AL2793" s="2">
        <v>2</v>
      </c>
      <c r="AM2793" s="2" t="s">
        <v>163</v>
      </c>
      <c r="AN2793" s="2"/>
      <c r="AO2793" s="2"/>
      <c r="AP2793" s="2">
        <v>11</v>
      </c>
      <c r="AQ2793" s="2" t="s">
        <v>82</v>
      </c>
      <c r="AR2793" s="2"/>
      <c r="AS2793" s="2"/>
      <c r="AT2793" s="2" t="s">
        <v>9287</v>
      </c>
      <c r="AU2793" s="2"/>
      <c r="AV2793" s="2"/>
      <c r="AW2793" s="2"/>
      <c r="AX2793" s="2"/>
      <c r="AY2793" s="2">
        <v>1</v>
      </c>
      <c r="AZ2793" s="2" t="s">
        <v>107</v>
      </c>
      <c r="BA2793" s="2">
        <v>13</v>
      </c>
      <c r="BB2793" s="2" t="s">
        <v>108</v>
      </c>
      <c r="BC2793" s="2">
        <v>1</v>
      </c>
      <c r="BD2793" s="2" t="s">
        <v>107</v>
      </c>
      <c r="BE2793" s="2">
        <v>13</v>
      </c>
      <c r="BF2793" s="2" t="s">
        <v>108</v>
      </c>
      <c r="BG2793" s="2">
        <v>2863</v>
      </c>
      <c r="BH2793" s="4">
        <v>0.53472222222222221</v>
      </c>
      <c r="BI2793" s="4">
        <v>0.44444444444444442</v>
      </c>
      <c r="BJ2793" s="2">
        <v>13</v>
      </c>
      <c r="BK2793" s="2" t="s">
        <v>91</v>
      </c>
      <c r="BL2793" s="2" t="s">
        <v>1014</v>
      </c>
      <c r="BM2793" s="2">
        <v>242</v>
      </c>
      <c r="BN2793" s="2" t="s">
        <v>107</v>
      </c>
      <c r="BO2793" s="2"/>
      <c r="BP2793" s="2">
        <v>13</v>
      </c>
      <c r="BQ2793" s="2" t="s">
        <v>91</v>
      </c>
      <c r="BR2793" s="2" t="s">
        <v>185</v>
      </c>
      <c r="BS2793" s="3">
        <v>40366</v>
      </c>
      <c r="BT2793" s="4">
        <v>0.56652777777777774</v>
      </c>
    </row>
    <row r="2794" spans="1:72" x14ac:dyDescent="0.25">
      <c r="A2794" s="2">
        <v>4077</v>
      </c>
      <c r="B2794" s="2">
        <v>2010</v>
      </c>
      <c r="C2794" s="2" t="s">
        <v>72</v>
      </c>
      <c r="D2794" s="2" t="s">
        <v>73</v>
      </c>
      <c r="E2794" s="2"/>
      <c r="F2794" s="2">
        <v>2</v>
      </c>
      <c r="G2794" s="2" t="s">
        <v>113</v>
      </c>
      <c r="H2794" s="2">
        <v>1</v>
      </c>
      <c r="I2794" s="2" t="s">
        <v>82</v>
      </c>
      <c r="J2794" s="2">
        <v>300</v>
      </c>
      <c r="K2794" s="2" t="s">
        <v>114</v>
      </c>
      <c r="L2794" s="2" t="s">
        <v>115</v>
      </c>
      <c r="M2794" s="3">
        <v>40366</v>
      </c>
      <c r="N2794" s="2" t="s">
        <v>107</v>
      </c>
      <c r="O2794" s="2" t="s">
        <v>107</v>
      </c>
      <c r="P2794" s="2" t="s">
        <v>107</v>
      </c>
      <c r="Q2794" s="2" t="str">
        <f>"356-E/10"</f>
        <v>356-E/10</v>
      </c>
      <c r="R2794" s="2" t="s">
        <v>116</v>
      </c>
      <c r="S2794" s="2" t="s">
        <v>116</v>
      </c>
      <c r="T2794" s="2">
        <v>1</v>
      </c>
      <c r="U2794" s="2" t="s">
        <v>79</v>
      </c>
      <c r="V2794" s="2">
        <v>1</v>
      </c>
      <c r="W2794" s="2" t="s">
        <v>80</v>
      </c>
      <c r="X2794" s="2">
        <v>12</v>
      </c>
      <c r="Y2794" s="2" t="s">
        <v>148</v>
      </c>
      <c r="Z2794" s="2">
        <v>1</v>
      </c>
      <c r="AA2794" s="2" t="s">
        <v>82</v>
      </c>
      <c r="AB2794" s="2">
        <v>6</v>
      </c>
      <c r="AC2794" s="2" t="s">
        <v>83</v>
      </c>
      <c r="AD2794" s="3">
        <v>40366</v>
      </c>
      <c r="AE2794" s="2"/>
      <c r="AF2794" s="3">
        <v>40366</v>
      </c>
      <c r="AG2794" s="4">
        <v>0.47916666666666669</v>
      </c>
      <c r="AH2794" s="2">
        <v>2</v>
      </c>
      <c r="AI2794" s="2" t="s">
        <v>84</v>
      </c>
      <c r="AJ2794" s="2">
        <v>9</v>
      </c>
      <c r="AK2794" s="2" t="s">
        <v>103</v>
      </c>
      <c r="AL2794" s="2">
        <v>29</v>
      </c>
      <c r="AM2794" s="2" t="s">
        <v>5416</v>
      </c>
      <c r="AN2794" s="2" t="s">
        <v>9288</v>
      </c>
      <c r="AO2794" s="2"/>
      <c r="AP2794" s="2">
        <v>11</v>
      </c>
      <c r="AQ2794" s="2" t="s">
        <v>82</v>
      </c>
      <c r="AR2794" s="2"/>
      <c r="AS2794" s="2"/>
      <c r="AT2794" s="2" t="s">
        <v>9289</v>
      </c>
      <c r="AU2794" s="2"/>
      <c r="AV2794" s="2"/>
      <c r="AW2794" s="2"/>
      <c r="AX2794" s="2"/>
      <c r="AY2794" s="2">
        <v>41</v>
      </c>
      <c r="AZ2794" s="2" t="s">
        <v>82</v>
      </c>
      <c r="BA2794" s="2">
        <v>41</v>
      </c>
      <c r="BB2794" s="2" t="s">
        <v>82</v>
      </c>
      <c r="BC2794" s="2">
        <v>41</v>
      </c>
      <c r="BD2794" s="2" t="s">
        <v>82</v>
      </c>
      <c r="BE2794" s="2">
        <v>41</v>
      </c>
      <c r="BF2794" s="2" t="s">
        <v>82</v>
      </c>
      <c r="BG2794" s="2"/>
      <c r="BH2794" s="2"/>
      <c r="BI2794" s="2"/>
      <c r="BJ2794" s="2">
        <v>241</v>
      </c>
      <c r="BK2794" s="2" t="s">
        <v>82</v>
      </c>
      <c r="BL2794" s="2"/>
      <c r="BM2794" s="2">
        <v>241</v>
      </c>
      <c r="BN2794" s="2" t="s">
        <v>82</v>
      </c>
      <c r="BO2794" s="2"/>
      <c r="BP2794" s="2">
        <v>241</v>
      </c>
      <c r="BQ2794" s="2" t="s">
        <v>82</v>
      </c>
      <c r="BR2794" s="2"/>
      <c r="BS2794" s="3">
        <v>40366</v>
      </c>
      <c r="BT2794" s="4">
        <v>0.57976851851851852</v>
      </c>
    </row>
    <row r="2795" spans="1:72" x14ac:dyDescent="0.25">
      <c r="A2795" s="2">
        <v>4079</v>
      </c>
      <c r="B2795" s="2">
        <v>2010</v>
      </c>
      <c r="C2795" s="2" t="s">
        <v>72</v>
      </c>
      <c r="D2795" s="2" t="s">
        <v>73</v>
      </c>
      <c r="E2795" s="2"/>
      <c r="F2795" s="2">
        <v>540</v>
      </c>
      <c r="G2795" s="2" t="s">
        <v>7178</v>
      </c>
      <c r="H2795" s="2">
        <v>71</v>
      </c>
      <c r="I2795" s="2" t="s">
        <v>335</v>
      </c>
      <c r="J2795" s="2">
        <v>314</v>
      </c>
      <c r="K2795" s="2" t="s">
        <v>477</v>
      </c>
      <c r="L2795" s="2" t="s">
        <v>478</v>
      </c>
      <c r="M2795" s="3">
        <v>40366</v>
      </c>
      <c r="N2795" s="2" t="s">
        <v>9075</v>
      </c>
      <c r="O2795" s="2" t="s">
        <v>107</v>
      </c>
      <c r="P2795" s="2" t="s">
        <v>107</v>
      </c>
      <c r="Q2795" s="2" t="str">
        <f>"357-E/10"</f>
        <v>357-E/10</v>
      </c>
      <c r="R2795" s="2" t="s">
        <v>601</v>
      </c>
      <c r="S2795" s="2" t="s">
        <v>601</v>
      </c>
      <c r="T2795" s="2">
        <v>1</v>
      </c>
      <c r="U2795" s="2" t="s">
        <v>79</v>
      </c>
      <c r="V2795" s="2">
        <v>1</v>
      </c>
      <c r="W2795" s="2" t="s">
        <v>80</v>
      </c>
      <c r="X2795" s="2">
        <v>12</v>
      </c>
      <c r="Y2795" s="2" t="s">
        <v>148</v>
      </c>
      <c r="Z2795" s="2">
        <v>1</v>
      </c>
      <c r="AA2795" s="2" t="s">
        <v>82</v>
      </c>
      <c r="AB2795" s="2">
        <v>6</v>
      </c>
      <c r="AC2795" s="2" t="s">
        <v>83</v>
      </c>
      <c r="AD2795" s="3">
        <v>40366</v>
      </c>
      <c r="AE2795" s="2"/>
      <c r="AF2795" s="3">
        <v>40366</v>
      </c>
      <c r="AG2795" s="4">
        <v>0.52083333333333337</v>
      </c>
      <c r="AH2795" s="2">
        <v>2</v>
      </c>
      <c r="AI2795" s="2" t="s">
        <v>84</v>
      </c>
      <c r="AJ2795" s="2">
        <v>9</v>
      </c>
      <c r="AK2795" s="2" t="s">
        <v>103</v>
      </c>
      <c r="AL2795" s="2">
        <v>22</v>
      </c>
      <c r="AM2795" s="2" t="s">
        <v>1853</v>
      </c>
      <c r="AN2795" s="2"/>
      <c r="AO2795" s="2" t="s">
        <v>7625</v>
      </c>
      <c r="AP2795" s="2">
        <v>11</v>
      </c>
      <c r="AQ2795" s="2" t="s">
        <v>82</v>
      </c>
      <c r="AR2795" s="2"/>
      <c r="AS2795" s="2"/>
      <c r="AT2795" s="2" t="s">
        <v>9290</v>
      </c>
      <c r="AU2795" s="2"/>
      <c r="AV2795" s="2"/>
      <c r="AW2795" s="2"/>
      <c r="AX2795" s="2"/>
      <c r="AY2795" s="2">
        <v>41</v>
      </c>
      <c r="AZ2795" s="2" t="s">
        <v>82</v>
      </c>
      <c r="BA2795" s="2">
        <v>41</v>
      </c>
      <c r="BB2795" s="2" t="s">
        <v>82</v>
      </c>
      <c r="BC2795" s="2">
        <v>41</v>
      </c>
      <c r="BD2795" s="2" t="s">
        <v>82</v>
      </c>
      <c r="BE2795" s="2">
        <v>31</v>
      </c>
      <c r="BF2795" s="2" t="s">
        <v>398</v>
      </c>
      <c r="BG2795" s="2" t="s">
        <v>1800</v>
      </c>
      <c r="BH2795" s="4">
        <v>0.45833333333333331</v>
      </c>
      <c r="BI2795" s="2"/>
      <c r="BJ2795" s="2">
        <v>73</v>
      </c>
      <c r="BK2795" s="2" t="s">
        <v>186</v>
      </c>
      <c r="BL2795" s="2" t="s">
        <v>675</v>
      </c>
      <c r="BM2795" s="2">
        <v>73</v>
      </c>
      <c r="BN2795" s="2" t="s">
        <v>186</v>
      </c>
      <c r="BO2795" s="2" t="s">
        <v>187</v>
      </c>
      <c r="BP2795" s="2">
        <v>13</v>
      </c>
      <c r="BQ2795" s="2" t="s">
        <v>91</v>
      </c>
      <c r="BR2795" s="2" t="s">
        <v>360</v>
      </c>
      <c r="BS2795" s="3">
        <v>40366</v>
      </c>
      <c r="BT2795" s="4">
        <v>0.60078703703703706</v>
      </c>
    </row>
    <row r="2796" spans="1:72" x14ac:dyDescent="0.25">
      <c r="A2796" s="2">
        <v>4080</v>
      </c>
      <c r="B2796" s="2">
        <v>2010</v>
      </c>
      <c r="C2796" s="2" t="s">
        <v>121</v>
      </c>
      <c r="D2796" s="2" t="s">
        <v>122</v>
      </c>
      <c r="E2796" s="2"/>
      <c r="F2796" s="2">
        <v>1</v>
      </c>
      <c r="G2796" s="2" t="s">
        <v>82</v>
      </c>
      <c r="H2796" s="2">
        <v>1</v>
      </c>
      <c r="I2796" s="2" t="s">
        <v>82</v>
      </c>
      <c r="J2796" s="2">
        <v>1</v>
      </c>
      <c r="K2796" s="2" t="s">
        <v>107</v>
      </c>
      <c r="L2796" s="2" t="s">
        <v>107</v>
      </c>
      <c r="M2796" s="3">
        <v>40366</v>
      </c>
      <c r="N2796" s="2"/>
      <c r="O2796" s="2"/>
      <c r="P2796" s="2"/>
      <c r="Q2796" s="2" t="str">
        <f>""</f>
        <v/>
      </c>
      <c r="R2796" s="2"/>
      <c r="S2796" s="2"/>
      <c r="T2796" s="2">
        <v>2</v>
      </c>
      <c r="U2796" s="2" t="s">
        <v>123</v>
      </c>
      <c r="V2796" s="2">
        <v>1</v>
      </c>
      <c r="W2796" s="2" t="s">
        <v>80</v>
      </c>
      <c r="X2796" s="2">
        <v>1</v>
      </c>
      <c r="Y2796" s="2" t="s">
        <v>81</v>
      </c>
      <c r="Z2796" s="2">
        <v>13</v>
      </c>
      <c r="AA2796" s="2" t="s">
        <v>3158</v>
      </c>
      <c r="AB2796" s="2">
        <v>9</v>
      </c>
      <c r="AC2796" s="2" t="s">
        <v>124</v>
      </c>
      <c r="AD2796" s="3">
        <v>40366</v>
      </c>
      <c r="AE2796" s="4">
        <v>0.57638888888888895</v>
      </c>
      <c r="AF2796" s="2"/>
      <c r="AG2796" s="2"/>
      <c r="AH2796" s="2">
        <v>4</v>
      </c>
      <c r="AI2796" s="2" t="s">
        <v>125</v>
      </c>
      <c r="AJ2796" s="2">
        <v>33</v>
      </c>
      <c r="AK2796" s="2" t="s">
        <v>126</v>
      </c>
      <c r="AL2796" s="2">
        <v>10</v>
      </c>
      <c r="AM2796" s="2" t="s">
        <v>200</v>
      </c>
      <c r="AN2796" s="2"/>
      <c r="AO2796" s="2"/>
      <c r="AP2796" s="2">
        <v>11</v>
      </c>
      <c r="AQ2796" s="2" t="s">
        <v>82</v>
      </c>
      <c r="AR2796" s="2"/>
      <c r="AS2796" s="2"/>
      <c r="AT2796" s="2" t="s">
        <v>9291</v>
      </c>
      <c r="AU2796" s="2"/>
      <c r="AV2796" s="2"/>
      <c r="AW2796" s="2"/>
      <c r="AX2796" s="2"/>
      <c r="AY2796" s="2">
        <v>1</v>
      </c>
      <c r="AZ2796" s="2" t="s">
        <v>107</v>
      </c>
      <c r="BA2796" s="2">
        <v>1</v>
      </c>
      <c r="BB2796" s="2" t="s">
        <v>107</v>
      </c>
      <c r="BC2796" s="2">
        <v>1</v>
      </c>
      <c r="BD2796" s="2" t="s">
        <v>107</v>
      </c>
      <c r="BE2796" s="2">
        <v>41</v>
      </c>
      <c r="BF2796" s="2" t="s">
        <v>82</v>
      </c>
      <c r="BG2796" s="2" t="s">
        <v>6779</v>
      </c>
      <c r="BH2796" s="4">
        <v>0.52777777777777779</v>
      </c>
      <c r="BI2796" s="4">
        <v>0.56111111111111112</v>
      </c>
      <c r="BJ2796" s="2">
        <v>13</v>
      </c>
      <c r="BK2796" s="2" t="s">
        <v>91</v>
      </c>
      <c r="BL2796" s="2" t="s">
        <v>185</v>
      </c>
      <c r="BM2796" s="2">
        <v>242</v>
      </c>
      <c r="BN2796" s="2" t="s">
        <v>107</v>
      </c>
      <c r="BO2796" s="2"/>
      <c r="BP2796" s="2">
        <v>13</v>
      </c>
      <c r="BQ2796" s="2" t="s">
        <v>91</v>
      </c>
      <c r="BR2796" s="2" t="s">
        <v>828</v>
      </c>
      <c r="BS2796" s="3">
        <v>40366</v>
      </c>
      <c r="BT2796" s="4">
        <v>0.6008796296296296</v>
      </c>
    </row>
    <row r="2797" spans="1:72" x14ac:dyDescent="0.25">
      <c r="A2797" s="2">
        <v>4082</v>
      </c>
      <c r="B2797" s="2">
        <v>2010</v>
      </c>
      <c r="C2797" s="2" t="s">
        <v>72</v>
      </c>
      <c r="D2797" s="2" t="s">
        <v>73</v>
      </c>
      <c r="E2797" s="2"/>
      <c r="F2797" s="2">
        <v>24</v>
      </c>
      <c r="G2797" s="2" t="s">
        <v>532</v>
      </c>
      <c r="H2797" s="2">
        <v>22</v>
      </c>
      <c r="I2797" s="2" t="s">
        <v>75</v>
      </c>
      <c r="J2797" s="2">
        <v>300</v>
      </c>
      <c r="K2797" s="2" t="s">
        <v>114</v>
      </c>
      <c r="L2797" s="2" t="s">
        <v>115</v>
      </c>
      <c r="M2797" s="3">
        <v>40366</v>
      </c>
      <c r="N2797" s="2" t="s">
        <v>107</v>
      </c>
      <c r="O2797" s="2" t="s">
        <v>107</v>
      </c>
      <c r="P2797" s="2" t="s">
        <v>107</v>
      </c>
      <c r="Q2797" s="2" t="str">
        <f>"358-E/10"</f>
        <v>358-E/10</v>
      </c>
      <c r="R2797" s="2" t="s">
        <v>116</v>
      </c>
      <c r="S2797" s="2" t="s">
        <v>116</v>
      </c>
      <c r="T2797" s="2">
        <v>1</v>
      </c>
      <c r="U2797" s="2" t="s">
        <v>79</v>
      </c>
      <c r="V2797" s="2">
        <v>1</v>
      </c>
      <c r="W2797" s="2" t="s">
        <v>80</v>
      </c>
      <c r="X2797" s="2">
        <v>12</v>
      </c>
      <c r="Y2797" s="2" t="s">
        <v>148</v>
      </c>
      <c r="Z2797" s="2">
        <v>1</v>
      </c>
      <c r="AA2797" s="2" t="s">
        <v>82</v>
      </c>
      <c r="AB2797" s="2">
        <v>6</v>
      </c>
      <c r="AC2797" s="2" t="s">
        <v>83</v>
      </c>
      <c r="AD2797" s="3">
        <v>40366</v>
      </c>
      <c r="AE2797" s="2"/>
      <c r="AF2797" s="3">
        <v>40366</v>
      </c>
      <c r="AG2797" s="4">
        <v>0.5625</v>
      </c>
      <c r="AH2797" s="2">
        <v>2</v>
      </c>
      <c r="AI2797" s="2" t="s">
        <v>84</v>
      </c>
      <c r="AJ2797" s="2">
        <v>9</v>
      </c>
      <c r="AK2797" s="2" t="s">
        <v>103</v>
      </c>
      <c r="AL2797" s="2">
        <v>12</v>
      </c>
      <c r="AM2797" s="2" t="s">
        <v>86</v>
      </c>
      <c r="AN2797" s="2" t="s">
        <v>9292</v>
      </c>
      <c r="AO2797" s="2"/>
      <c r="AP2797" s="2">
        <v>11</v>
      </c>
      <c r="AQ2797" s="2" t="s">
        <v>82</v>
      </c>
      <c r="AR2797" s="2"/>
      <c r="AS2797" s="2"/>
      <c r="AT2797" s="2" t="s">
        <v>9293</v>
      </c>
      <c r="AU2797" s="2"/>
      <c r="AV2797" s="2"/>
      <c r="AW2797" s="2"/>
      <c r="AX2797" s="2"/>
      <c r="AY2797" s="2">
        <v>41</v>
      </c>
      <c r="AZ2797" s="2" t="s">
        <v>82</v>
      </c>
      <c r="BA2797" s="2">
        <v>41</v>
      </c>
      <c r="BB2797" s="2" t="s">
        <v>82</v>
      </c>
      <c r="BC2797" s="2">
        <v>41</v>
      </c>
      <c r="BD2797" s="2" t="s">
        <v>82</v>
      </c>
      <c r="BE2797" s="2">
        <v>41</v>
      </c>
      <c r="BF2797" s="2" t="s">
        <v>82</v>
      </c>
      <c r="BG2797" s="2"/>
      <c r="BH2797" s="2"/>
      <c r="BI2797" s="2"/>
      <c r="BJ2797" s="2">
        <v>241</v>
      </c>
      <c r="BK2797" s="2" t="s">
        <v>82</v>
      </c>
      <c r="BL2797" s="2"/>
      <c r="BM2797" s="2">
        <v>241</v>
      </c>
      <c r="BN2797" s="2" t="s">
        <v>82</v>
      </c>
      <c r="BO2797" s="2"/>
      <c r="BP2797" s="2">
        <v>241</v>
      </c>
      <c r="BQ2797" s="2" t="s">
        <v>82</v>
      </c>
      <c r="BR2797" s="2"/>
      <c r="BS2797" s="3">
        <v>40366</v>
      </c>
      <c r="BT2797" s="4">
        <v>0.6177083333333333</v>
      </c>
    </row>
    <row r="2798" spans="1:72" x14ac:dyDescent="0.25">
      <c r="A2798" s="2">
        <v>4083</v>
      </c>
      <c r="B2798" s="2">
        <v>2010</v>
      </c>
      <c r="C2798" s="2" t="s">
        <v>72</v>
      </c>
      <c r="D2798" s="2" t="s">
        <v>73</v>
      </c>
      <c r="E2798" s="2"/>
      <c r="F2798" s="2">
        <v>650</v>
      </c>
      <c r="G2798" s="2" t="s">
        <v>9158</v>
      </c>
      <c r="H2798" s="2">
        <v>22</v>
      </c>
      <c r="I2798" s="2" t="s">
        <v>75</v>
      </c>
      <c r="J2798" s="2">
        <v>606</v>
      </c>
      <c r="K2798" s="2" t="s">
        <v>9068</v>
      </c>
      <c r="L2798" s="2" t="s">
        <v>9069</v>
      </c>
      <c r="M2798" s="3">
        <v>40366</v>
      </c>
      <c r="N2798" s="2" t="s">
        <v>9294</v>
      </c>
      <c r="O2798" s="2" t="s">
        <v>107</v>
      </c>
      <c r="P2798" s="2" t="s">
        <v>107</v>
      </c>
      <c r="Q2798" s="2" t="str">
        <f>"251-A/10"</f>
        <v>251-A/10</v>
      </c>
      <c r="R2798" s="2" t="s">
        <v>601</v>
      </c>
      <c r="S2798" s="2" t="s">
        <v>601</v>
      </c>
      <c r="T2798" s="2">
        <v>1</v>
      </c>
      <c r="U2798" s="2" t="s">
        <v>79</v>
      </c>
      <c r="V2798" s="2">
        <v>1</v>
      </c>
      <c r="W2798" s="2" t="s">
        <v>80</v>
      </c>
      <c r="X2798" s="2">
        <v>12</v>
      </c>
      <c r="Y2798" s="2" t="s">
        <v>148</v>
      </c>
      <c r="Z2798" s="2">
        <v>1</v>
      </c>
      <c r="AA2798" s="2" t="s">
        <v>82</v>
      </c>
      <c r="AB2798" s="2">
        <v>6</v>
      </c>
      <c r="AC2798" s="2" t="s">
        <v>83</v>
      </c>
      <c r="AD2798" s="3">
        <v>40365</v>
      </c>
      <c r="AE2798" s="2"/>
      <c r="AF2798" s="3">
        <v>40366</v>
      </c>
      <c r="AG2798" s="4">
        <v>0.5</v>
      </c>
      <c r="AH2798" s="2">
        <v>2</v>
      </c>
      <c r="AI2798" s="2" t="s">
        <v>84</v>
      </c>
      <c r="AJ2798" s="2">
        <v>12</v>
      </c>
      <c r="AK2798" s="2" t="s">
        <v>85</v>
      </c>
      <c r="AL2798" s="2">
        <v>23</v>
      </c>
      <c r="AM2798" s="2" t="s">
        <v>251</v>
      </c>
      <c r="AN2798" s="2" t="s">
        <v>9295</v>
      </c>
      <c r="AO2798" s="2" t="s">
        <v>9296</v>
      </c>
      <c r="AP2798" s="2">
        <v>11</v>
      </c>
      <c r="AQ2798" s="2" t="s">
        <v>82</v>
      </c>
      <c r="AR2798" s="2"/>
      <c r="AS2798" s="2"/>
      <c r="AT2798" s="2" t="s">
        <v>9297</v>
      </c>
      <c r="AU2798" s="2"/>
      <c r="AV2798" s="2"/>
      <c r="AW2798" s="2"/>
      <c r="AX2798" s="2"/>
      <c r="AY2798" s="2">
        <v>41</v>
      </c>
      <c r="AZ2798" s="2" t="s">
        <v>82</v>
      </c>
      <c r="BA2798" s="2">
        <v>41</v>
      </c>
      <c r="BB2798" s="2" t="s">
        <v>82</v>
      </c>
      <c r="BC2798" s="2">
        <v>41</v>
      </c>
      <c r="BD2798" s="2" t="s">
        <v>82</v>
      </c>
      <c r="BE2798" s="2">
        <v>41</v>
      </c>
      <c r="BF2798" s="2" t="s">
        <v>82</v>
      </c>
      <c r="BG2798" s="2"/>
      <c r="BH2798" s="2"/>
      <c r="BI2798" s="2"/>
      <c r="BJ2798" s="2">
        <v>241</v>
      </c>
      <c r="BK2798" s="2" t="s">
        <v>82</v>
      </c>
      <c r="BL2798" s="2"/>
      <c r="BM2798" s="2">
        <v>241</v>
      </c>
      <c r="BN2798" s="2" t="s">
        <v>82</v>
      </c>
      <c r="BO2798" s="2"/>
      <c r="BP2798" s="2">
        <v>241</v>
      </c>
      <c r="BQ2798" s="2" t="s">
        <v>82</v>
      </c>
      <c r="BR2798" s="2"/>
      <c r="BS2798" s="3">
        <v>40366</v>
      </c>
      <c r="BT2798" s="4">
        <v>0.61984953703703705</v>
      </c>
    </row>
    <row r="2799" spans="1:72" x14ac:dyDescent="0.25">
      <c r="A2799" s="2">
        <v>4085</v>
      </c>
      <c r="B2799" s="2">
        <v>2010</v>
      </c>
      <c r="C2799" s="2" t="s">
        <v>121</v>
      </c>
      <c r="D2799" s="2" t="s">
        <v>122</v>
      </c>
      <c r="E2799" s="2"/>
      <c r="F2799" s="2">
        <v>1</v>
      </c>
      <c r="G2799" s="2" t="s">
        <v>82</v>
      </c>
      <c r="H2799" s="2">
        <v>1</v>
      </c>
      <c r="I2799" s="2" t="s">
        <v>82</v>
      </c>
      <c r="J2799" s="2">
        <v>1</v>
      </c>
      <c r="K2799" s="2" t="s">
        <v>107</v>
      </c>
      <c r="L2799" s="2" t="s">
        <v>107</v>
      </c>
      <c r="M2799" s="3">
        <v>40366</v>
      </c>
      <c r="N2799" s="2" t="s">
        <v>82</v>
      </c>
      <c r="O2799" s="2"/>
      <c r="P2799" s="2" t="s">
        <v>82</v>
      </c>
      <c r="Q2799" s="2" t="str">
        <f>"N/C"</f>
        <v>N/C</v>
      </c>
      <c r="R2799" s="2"/>
      <c r="S2799" s="2" t="s">
        <v>82</v>
      </c>
      <c r="T2799" s="2">
        <v>2</v>
      </c>
      <c r="U2799" s="2" t="s">
        <v>123</v>
      </c>
      <c r="V2799" s="2">
        <v>1</v>
      </c>
      <c r="W2799" s="2" t="s">
        <v>80</v>
      </c>
      <c r="X2799" s="2">
        <v>1</v>
      </c>
      <c r="Y2799" s="2" t="s">
        <v>81</v>
      </c>
      <c r="Z2799" s="2">
        <v>10</v>
      </c>
      <c r="AA2799" s="2" t="s">
        <v>236</v>
      </c>
      <c r="AB2799" s="2">
        <v>9</v>
      </c>
      <c r="AC2799" s="2" t="s">
        <v>124</v>
      </c>
      <c r="AD2799" s="3">
        <v>40366</v>
      </c>
      <c r="AE2799" s="4">
        <v>0.65625</v>
      </c>
      <c r="AF2799" s="2"/>
      <c r="AG2799" s="2"/>
      <c r="AH2799" s="2">
        <v>4</v>
      </c>
      <c r="AI2799" s="2" t="s">
        <v>125</v>
      </c>
      <c r="AJ2799" s="2">
        <v>29</v>
      </c>
      <c r="AK2799" s="2" t="s">
        <v>227</v>
      </c>
      <c r="AL2799" s="2">
        <v>10</v>
      </c>
      <c r="AM2799" s="2" t="s">
        <v>200</v>
      </c>
      <c r="AN2799" s="2" t="s">
        <v>230</v>
      </c>
      <c r="AO2799" s="2"/>
      <c r="AP2799" s="2">
        <v>11</v>
      </c>
      <c r="AQ2799" s="2" t="s">
        <v>82</v>
      </c>
      <c r="AR2799" s="2" t="s">
        <v>82</v>
      </c>
      <c r="AS2799" s="2" t="s">
        <v>82</v>
      </c>
      <c r="AT2799" s="2" t="s">
        <v>9298</v>
      </c>
      <c r="AU2799" s="2"/>
      <c r="AV2799" s="2"/>
      <c r="AW2799" s="2"/>
      <c r="AX2799" s="2"/>
      <c r="AY2799" s="2">
        <v>41</v>
      </c>
      <c r="AZ2799" s="2" t="s">
        <v>82</v>
      </c>
      <c r="BA2799" s="2">
        <v>41</v>
      </c>
      <c r="BB2799" s="2" t="s">
        <v>82</v>
      </c>
      <c r="BC2799" s="2">
        <v>42</v>
      </c>
      <c r="BD2799" s="2" t="s">
        <v>182</v>
      </c>
      <c r="BE2799" s="2">
        <v>42</v>
      </c>
      <c r="BF2799" s="2" t="s">
        <v>182</v>
      </c>
      <c r="BG2799" s="2" t="s">
        <v>9299</v>
      </c>
      <c r="BH2799" s="4">
        <v>0.61111111111111105</v>
      </c>
      <c r="BI2799" s="4">
        <v>0.65972222222222221</v>
      </c>
      <c r="BJ2799" s="2">
        <v>13</v>
      </c>
      <c r="BK2799" s="2" t="s">
        <v>91</v>
      </c>
      <c r="BL2799" s="2" t="s">
        <v>828</v>
      </c>
      <c r="BM2799" s="2">
        <v>241</v>
      </c>
      <c r="BN2799" s="2" t="s">
        <v>82</v>
      </c>
      <c r="BO2799" s="2" t="s">
        <v>82</v>
      </c>
      <c r="BP2799" s="2">
        <v>13</v>
      </c>
      <c r="BQ2799" s="2" t="s">
        <v>91</v>
      </c>
      <c r="BR2799" s="2" t="s">
        <v>1108</v>
      </c>
      <c r="BS2799" s="3">
        <v>40366</v>
      </c>
      <c r="BT2799" s="4">
        <v>0.68521990740740746</v>
      </c>
    </row>
    <row r="2800" spans="1:72" x14ac:dyDescent="0.25">
      <c r="A2800" s="2">
        <v>4090</v>
      </c>
      <c r="B2800" s="2">
        <v>2010</v>
      </c>
      <c r="C2800" s="2" t="s">
        <v>377</v>
      </c>
      <c r="D2800" s="2" t="s">
        <v>73</v>
      </c>
      <c r="E2800" s="2"/>
      <c r="F2800" s="2">
        <v>426</v>
      </c>
      <c r="G2800" s="2" t="s">
        <v>378</v>
      </c>
      <c r="H2800" s="2">
        <v>22</v>
      </c>
      <c r="I2800" s="2" t="s">
        <v>75</v>
      </c>
      <c r="J2800" s="2">
        <v>311</v>
      </c>
      <c r="K2800" s="2" t="s">
        <v>379</v>
      </c>
      <c r="L2800" s="2" t="s">
        <v>380</v>
      </c>
      <c r="M2800" s="3">
        <v>40366</v>
      </c>
      <c r="N2800" s="2" t="s">
        <v>7171</v>
      </c>
      <c r="O2800" s="2"/>
      <c r="P2800" s="2"/>
      <c r="Q2800" s="2" t="str">
        <f>"152-C/10"</f>
        <v>152-C/10</v>
      </c>
      <c r="R2800" s="2" t="s">
        <v>5997</v>
      </c>
      <c r="S2800" s="2"/>
      <c r="T2800" s="2">
        <v>1</v>
      </c>
      <c r="U2800" s="2" t="s">
        <v>79</v>
      </c>
      <c r="V2800" s="2">
        <v>1</v>
      </c>
      <c r="W2800" s="2" t="s">
        <v>80</v>
      </c>
      <c r="X2800" s="2">
        <v>1</v>
      </c>
      <c r="Y2800" s="2" t="s">
        <v>81</v>
      </c>
      <c r="Z2800" s="2">
        <v>1</v>
      </c>
      <c r="AA2800" s="2" t="s">
        <v>82</v>
      </c>
      <c r="AB2800" s="2">
        <v>9</v>
      </c>
      <c r="AC2800" s="2" t="s">
        <v>124</v>
      </c>
      <c r="AD2800" s="3">
        <v>40366</v>
      </c>
      <c r="AE2800" s="4">
        <v>0.61111111111111105</v>
      </c>
      <c r="AF2800" s="2"/>
      <c r="AG2800" s="2"/>
      <c r="AH2800" s="2">
        <v>2</v>
      </c>
      <c r="AI2800" s="2" t="s">
        <v>84</v>
      </c>
      <c r="AJ2800" s="2">
        <v>9</v>
      </c>
      <c r="AK2800" s="2" t="s">
        <v>103</v>
      </c>
      <c r="AL2800" s="2">
        <v>29</v>
      </c>
      <c r="AM2800" s="2" t="s">
        <v>5416</v>
      </c>
      <c r="AN2800" s="2" t="s">
        <v>1345</v>
      </c>
      <c r="AO2800" s="2" t="s">
        <v>9300</v>
      </c>
      <c r="AP2800" s="2">
        <v>11</v>
      </c>
      <c r="AQ2800" s="2" t="s">
        <v>82</v>
      </c>
      <c r="AR2800" s="2"/>
      <c r="AS2800" s="2"/>
      <c r="AT2800" s="2" t="s">
        <v>9301</v>
      </c>
      <c r="AU2800" s="2"/>
      <c r="AV2800" s="2"/>
      <c r="AW2800" s="2"/>
      <c r="AX2800" s="2"/>
      <c r="AY2800" s="2">
        <v>41</v>
      </c>
      <c r="AZ2800" s="2" t="s">
        <v>82</v>
      </c>
      <c r="BA2800" s="2">
        <v>41</v>
      </c>
      <c r="BB2800" s="2" t="s">
        <v>82</v>
      </c>
      <c r="BC2800" s="2">
        <v>41</v>
      </c>
      <c r="BD2800" s="2" t="s">
        <v>82</v>
      </c>
      <c r="BE2800" s="2">
        <v>41</v>
      </c>
      <c r="BF2800" s="2" t="s">
        <v>82</v>
      </c>
      <c r="BG2800" s="2"/>
      <c r="BH2800" s="2"/>
      <c r="BI2800" s="2"/>
      <c r="BJ2800" s="2">
        <v>241</v>
      </c>
      <c r="BK2800" s="2" t="s">
        <v>82</v>
      </c>
      <c r="BL2800" s="2"/>
      <c r="BM2800" s="2">
        <v>241</v>
      </c>
      <c r="BN2800" s="2" t="s">
        <v>82</v>
      </c>
      <c r="BO2800" s="2"/>
      <c r="BP2800" s="2">
        <v>241</v>
      </c>
      <c r="BQ2800" s="2" t="s">
        <v>82</v>
      </c>
      <c r="BR2800" s="2"/>
      <c r="BS2800" s="3">
        <v>40366</v>
      </c>
      <c r="BT2800" s="4">
        <v>0.84309027777777779</v>
      </c>
    </row>
    <row r="2801" spans="1:72" x14ac:dyDescent="0.25">
      <c r="A2801" s="2">
        <v>4091</v>
      </c>
      <c r="B2801" s="2">
        <v>2010</v>
      </c>
      <c r="C2801" s="2" t="s">
        <v>93</v>
      </c>
      <c r="D2801" s="2" t="s">
        <v>73</v>
      </c>
      <c r="E2801" s="2"/>
      <c r="F2801" s="2">
        <v>390</v>
      </c>
      <c r="G2801" s="2" t="s">
        <v>475</v>
      </c>
      <c r="H2801" s="2">
        <v>71</v>
      </c>
      <c r="I2801" s="2" t="s">
        <v>335</v>
      </c>
      <c r="J2801" s="2">
        <v>533</v>
      </c>
      <c r="K2801" s="2" t="s">
        <v>6511</v>
      </c>
      <c r="L2801" s="2" t="s">
        <v>478</v>
      </c>
      <c r="M2801" s="3">
        <v>40367</v>
      </c>
      <c r="N2801" s="2" t="s">
        <v>9302</v>
      </c>
      <c r="O2801" s="2" t="s">
        <v>82</v>
      </c>
      <c r="P2801" s="2" t="s">
        <v>82</v>
      </c>
      <c r="Q2801" s="2" t="str">
        <f>"N/C"</f>
        <v>N/C</v>
      </c>
      <c r="R2801" s="2" t="s">
        <v>82</v>
      </c>
      <c r="S2801" s="2" t="s">
        <v>9303</v>
      </c>
      <c r="T2801" s="2">
        <v>1</v>
      </c>
      <c r="U2801" s="2" t="s">
        <v>79</v>
      </c>
      <c r="V2801" s="2">
        <v>1</v>
      </c>
      <c r="W2801" s="2" t="s">
        <v>80</v>
      </c>
      <c r="X2801" s="2">
        <v>10</v>
      </c>
      <c r="Y2801" s="2" t="s">
        <v>226</v>
      </c>
      <c r="Z2801" s="2">
        <v>6</v>
      </c>
      <c r="AA2801" s="2" t="s">
        <v>101</v>
      </c>
      <c r="AB2801" s="2">
        <v>2</v>
      </c>
      <c r="AC2801" s="2" t="s">
        <v>102</v>
      </c>
      <c r="AD2801" s="3">
        <v>40366</v>
      </c>
      <c r="AE2801" s="4">
        <v>0.13541666666666666</v>
      </c>
      <c r="AF2801" s="2"/>
      <c r="AG2801" s="2"/>
      <c r="AH2801" s="2">
        <v>2</v>
      </c>
      <c r="AI2801" s="2" t="s">
        <v>84</v>
      </c>
      <c r="AJ2801" s="2">
        <v>9</v>
      </c>
      <c r="AK2801" s="2" t="s">
        <v>103</v>
      </c>
      <c r="AL2801" s="2">
        <v>14</v>
      </c>
      <c r="AM2801" s="2" t="s">
        <v>216</v>
      </c>
      <c r="AN2801" s="2" t="s">
        <v>107</v>
      </c>
      <c r="AO2801" s="2" t="s">
        <v>9304</v>
      </c>
      <c r="AP2801" s="2">
        <v>11</v>
      </c>
      <c r="AQ2801" s="2" t="s">
        <v>82</v>
      </c>
      <c r="AR2801" s="2"/>
      <c r="AS2801" s="2"/>
      <c r="AT2801" s="2" t="s">
        <v>9305</v>
      </c>
      <c r="AU2801" s="2">
        <v>1</v>
      </c>
      <c r="AV2801" s="2"/>
      <c r="AW2801" s="2"/>
      <c r="AX2801" s="2"/>
      <c r="AY2801" s="2">
        <v>41</v>
      </c>
      <c r="AZ2801" s="2" t="s">
        <v>82</v>
      </c>
      <c r="BA2801" s="2">
        <v>41</v>
      </c>
      <c r="BB2801" s="2" t="s">
        <v>82</v>
      </c>
      <c r="BC2801" s="2">
        <v>41</v>
      </c>
      <c r="BD2801" s="2" t="s">
        <v>82</v>
      </c>
      <c r="BE2801" s="2">
        <v>39</v>
      </c>
      <c r="BF2801" s="2" t="s">
        <v>440</v>
      </c>
      <c r="BG2801" s="2" t="s">
        <v>9306</v>
      </c>
      <c r="BH2801" s="4">
        <v>0.125</v>
      </c>
      <c r="BI2801" s="2"/>
      <c r="BJ2801" s="2">
        <v>33</v>
      </c>
      <c r="BK2801" s="2" t="s">
        <v>361</v>
      </c>
      <c r="BL2801" s="2" t="s">
        <v>1739</v>
      </c>
      <c r="BM2801" s="2">
        <v>241</v>
      </c>
      <c r="BN2801" s="2" t="s">
        <v>82</v>
      </c>
      <c r="BO2801" s="2" t="s">
        <v>82</v>
      </c>
      <c r="BP2801" s="2">
        <v>13</v>
      </c>
      <c r="BQ2801" s="2" t="s">
        <v>91</v>
      </c>
      <c r="BR2801" s="2" t="s">
        <v>360</v>
      </c>
      <c r="BS2801" s="3">
        <v>40367</v>
      </c>
      <c r="BT2801" s="4">
        <v>0.1162962962962963</v>
      </c>
    </row>
    <row r="2802" spans="1:72" x14ac:dyDescent="0.25">
      <c r="A2802" s="2">
        <v>4092</v>
      </c>
      <c r="B2802" s="2">
        <v>2010</v>
      </c>
      <c r="C2802" s="2" t="s">
        <v>171</v>
      </c>
      <c r="D2802" s="2" t="s">
        <v>73</v>
      </c>
      <c r="E2802" s="2"/>
      <c r="F2802" s="2">
        <v>398</v>
      </c>
      <c r="G2802" s="2" t="s">
        <v>94</v>
      </c>
      <c r="H2802" s="2">
        <v>12</v>
      </c>
      <c r="I2802" s="2" t="s">
        <v>95</v>
      </c>
      <c r="J2802" s="2">
        <v>245</v>
      </c>
      <c r="K2802" s="2" t="s">
        <v>96</v>
      </c>
      <c r="L2802" s="2" t="s">
        <v>97</v>
      </c>
      <c r="M2802" s="3">
        <v>40367</v>
      </c>
      <c r="N2802" s="2" t="s">
        <v>3691</v>
      </c>
      <c r="O2802" s="2"/>
      <c r="P2802" s="2"/>
      <c r="Q2802" s="2" t="str">
        <f>"359-E/10"</f>
        <v>359-E/10</v>
      </c>
      <c r="R2802" s="2"/>
      <c r="S2802" s="2" t="s">
        <v>391</v>
      </c>
      <c r="T2802" s="2">
        <v>1</v>
      </c>
      <c r="U2802" s="2" t="s">
        <v>79</v>
      </c>
      <c r="V2802" s="2">
        <v>1</v>
      </c>
      <c r="W2802" s="2" t="s">
        <v>80</v>
      </c>
      <c r="X2802" s="2">
        <v>1</v>
      </c>
      <c r="Y2802" s="2" t="s">
        <v>81</v>
      </c>
      <c r="Z2802" s="2">
        <v>1</v>
      </c>
      <c r="AA2802" s="2" t="s">
        <v>82</v>
      </c>
      <c r="AB2802" s="2">
        <v>1</v>
      </c>
      <c r="AC2802" s="2" t="s">
        <v>178</v>
      </c>
      <c r="AD2802" s="3">
        <v>40366</v>
      </c>
      <c r="AE2802" s="4">
        <v>0.6875</v>
      </c>
      <c r="AF2802" s="2"/>
      <c r="AG2802" s="2"/>
      <c r="AH2802" s="2">
        <v>2</v>
      </c>
      <c r="AI2802" s="2" t="s">
        <v>84</v>
      </c>
      <c r="AJ2802" s="2">
        <v>9</v>
      </c>
      <c r="AK2802" s="2" t="s">
        <v>103</v>
      </c>
      <c r="AL2802" s="2">
        <v>25</v>
      </c>
      <c r="AM2802" s="2" t="s">
        <v>3073</v>
      </c>
      <c r="AN2802" s="2" t="s">
        <v>179</v>
      </c>
      <c r="AO2802" s="2" t="s">
        <v>987</v>
      </c>
      <c r="AP2802" s="2">
        <v>11</v>
      </c>
      <c r="AQ2802" s="2" t="s">
        <v>82</v>
      </c>
      <c r="AR2802" s="2"/>
      <c r="AS2802" s="2"/>
      <c r="AT2802" s="2" t="s">
        <v>9307</v>
      </c>
      <c r="AU2802" s="2"/>
      <c r="AV2802" s="2">
        <v>1</v>
      </c>
      <c r="AW2802" s="2"/>
      <c r="AX2802" s="2"/>
      <c r="AY2802" s="2">
        <v>42</v>
      </c>
      <c r="AZ2802" s="2" t="s">
        <v>182</v>
      </c>
      <c r="BA2802" s="2">
        <v>41</v>
      </c>
      <c r="BB2802" s="2" t="s">
        <v>82</v>
      </c>
      <c r="BC2802" s="2">
        <v>41</v>
      </c>
      <c r="BD2802" s="2" t="s">
        <v>82</v>
      </c>
      <c r="BE2802" s="2">
        <v>33</v>
      </c>
      <c r="BF2802" s="2" t="s">
        <v>1083</v>
      </c>
      <c r="BG2802" s="2" t="s">
        <v>9308</v>
      </c>
      <c r="BH2802" s="2"/>
      <c r="BI2802" s="4">
        <v>0.75694444444444453</v>
      </c>
      <c r="BJ2802" s="2">
        <v>13</v>
      </c>
      <c r="BK2802" s="2" t="s">
        <v>91</v>
      </c>
      <c r="BL2802" s="2" t="s">
        <v>360</v>
      </c>
      <c r="BM2802" s="2">
        <v>205</v>
      </c>
      <c r="BN2802" s="2" t="s">
        <v>1085</v>
      </c>
      <c r="BO2802" s="2" t="s">
        <v>9309</v>
      </c>
      <c r="BP2802" s="2">
        <v>205</v>
      </c>
      <c r="BQ2802" s="2" t="s">
        <v>1085</v>
      </c>
      <c r="BR2802" s="2" t="s">
        <v>8184</v>
      </c>
      <c r="BS2802" s="3">
        <v>40367</v>
      </c>
      <c r="BT2802" s="4">
        <v>0.17063657407407407</v>
      </c>
    </row>
    <row r="2803" spans="1:72" x14ac:dyDescent="0.25">
      <c r="A2803" s="2">
        <v>4093</v>
      </c>
      <c r="B2803" s="2">
        <v>2010</v>
      </c>
      <c r="C2803" s="2" t="s">
        <v>171</v>
      </c>
      <c r="D2803" s="2" t="s">
        <v>73</v>
      </c>
      <c r="E2803" s="2"/>
      <c r="F2803" s="2">
        <v>390</v>
      </c>
      <c r="G2803" s="2" t="s">
        <v>475</v>
      </c>
      <c r="H2803" s="2">
        <v>71</v>
      </c>
      <c r="I2803" s="2" t="s">
        <v>335</v>
      </c>
      <c r="J2803" s="2">
        <v>314</v>
      </c>
      <c r="K2803" s="2" t="s">
        <v>477</v>
      </c>
      <c r="L2803" s="2" t="s">
        <v>478</v>
      </c>
      <c r="M2803" s="3">
        <v>40367</v>
      </c>
      <c r="N2803" s="2" t="s">
        <v>9075</v>
      </c>
      <c r="O2803" s="2"/>
      <c r="P2803" s="2"/>
      <c r="Q2803" s="2" t="str">
        <f>"360-E/10"</f>
        <v>360-E/10</v>
      </c>
      <c r="R2803" s="2"/>
      <c r="S2803" s="2" t="s">
        <v>9310</v>
      </c>
      <c r="T2803" s="2">
        <v>1</v>
      </c>
      <c r="U2803" s="2" t="s">
        <v>79</v>
      </c>
      <c r="V2803" s="2">
        <v>1</v>
      </c>
      <c r="W2803" s="2" t="s">
        <v>80</v>
      </c>
      <c r="X2803" s="2">
        <v>1</v>
      </c>
      <c r="Y2803" s="2" t="s">
        <v>81</v>
      </c>
      <c r="Z2803" s="2">
        <v>1</v>
      </c>
      <c r="AA2803" s="2" t="s">
        <v>82</v>
      </c>
      <c r="AB2803" s="2">
        <v>1</v>
      </c>
      <c r="AC2803" s="2" t="s">
        <v>178</v>
      </c>
      <c r="AD2803" s="3">
        <v>40366</v>
      </c>
      <c r="AE2803" s="4">
        <v>0.75</v>
      </c>
      <c r="AF2803" s="2"/>
      <c r="AG2803" s="2"/>
      <c r="AH2803" s="2">
        <v>2</v>
      </c>
      <c r="AI2803" s="2" t="s">
        <v>84</v>
      </c>
      <c r="AJ2803" s="2">
        <v>9</v>
      </c>
      <c r="AK2803" s="2" t="s">
        <v>103</v>
      </c>
      <c r="AL2803" s="2">
        <v>25</v>
      </c>
      <c r="AM2803" s="2" t="s">
        <v>3073</v>
      </c>
      <c r="AN2803" s="2" t="s">
        <v>179</v>
      </c>
      <c r="AO2803" s="2" t="s">
        <v>987</v>
      </c>
      <c r="AP2803" s="2">
        <v>11</v>
      </c>
      <c r="AQ2803" s="2" t="s">
        <v>82</v>
      </c>
      <c r="AR2803" s="2"/>
      <c r="AS2803" s="2"/>
      <c r="AT2803" s="2" t="s">
        <v>9311</v>
      </c>
      <c r="AU2803" s="2"/>
      <c r="AV2803" s="2">
        <v>1</v>
      </c>
      <c r="AW2803" s="2"/>
      <c r="AX2803" s="2"/>
      <c r="AY2803" s="2">
        <v>42</v>
      </c>
      <c r="AZ2803" s="2" t="s">
        <v>182</v>
      </c>
      <c r="BA2803" s="2">
        <v>41</v>
      </c>
      <c r="BB2803" s="2" t="s">
        <v>82</v>
      </c>
      <c r="BC2803" s="2">
        <v>41</v>
      </c>
      <c r="BD2803" s="2" t="s">
        <v>82</v>
      </c>
      <c r="BE2803" s="2">
        <v>33</v>
      </c>
      <c r="BF2803" s="2" t="s">
        <v>1083</v>
      </c>
      <c r="BG2803" s="2" t="s">
        <v>9308</v>
      </c>
      <c r="BH2803" s="2"/>
      <c r="BI2803" s="4">
        <v>0.75694444444444453</v>
      </c>
      <c r="BJ2803" s="2">
        <v>29</v>
      </c>
      <c r="BK2803" s="2" t="s">
        <v>962</v>
      </c>
      <c r="BL2803" s="2" t="s">
        <v>9312</v>
      </c>
      <c r="BM2803" s="2">
        <v>173</v>
      </c>
      <c r="BN2803" s="2" t="s">
        <v>223</v>
      </c>
      <c r="BO2803" s="2" t="s">
        <v>9313</v>
      </c>
      <c r="BP2803" s="2">
        <v>205</v>
      </c>
      <c r="BQ2803" s="2" t="s">
        <v>1085</v>
      </c>
      <c r="BR2803" s="2" t="s">
        <v>1086</v>
      </c>
      <c r="BS2803" s="3">
        <v>40367</v>
      </c>
      <c r="BT2803" s="4">
        <v>0.20046296296296295</v>
      </c>
    </row>
    <row r="2804" spans="1:72" x14ac:dyDescent="0.25">
      <c r="A2804" s="2">
        <v>4094</v>
      </c>
      <c r="B2804" s="2">
        <v>2010</v>
      </c>
      <c r="C2804" s="2" t="s">
        <v>4543</v>
      </c>
      <c r="D2804" s="2" t="s">
        <v>122</v>
      </c>
      <c r="E2804" s="2"/>
      <c r="F2804" s="2">
        <v>1</v>
      </c>
      <c r="G2804" s="2" t="s">
        <v>82</v>
      </c>
      <c r="H2804" s="2">
        <v>1</v>
      </c>
      <c r="I2804" s="2" t="s">
        <v>82</v>
      </c>
      <c r="J2804" s="2">
        <v>1</v>
      </c>
      <c r="K2804" s="2" t="s">
        <v>107</v>
      </c>
      <c r="L2804" s="2" t="s">
        <v>107</v>
      </c>
      <c r="M2804" s="3">
        <v>40367</v>
      </c>
      <c r="N2804" s="2"/>
      <c r="O2804" s="2"/>
      <c r="P2804" s="2"/>
      <c r="Q2804" s="2" t="str">
        <f>""</f>
        <v/>
      </c>
      <c r="R2804" s="2"/>
      <c r="S2804" s="2"/>
      <c r="T2804" s="2">
        <v>2</v>
      </c>
      <c r="U2804" s="2" t="s">
        <v>123</v>
      </c>
      <c r="V2804" s="2">
        <v>1</v>
      </c>
      <c r="W2804" s="2" t="s">
        <v>80</v>
      </c>
      <c r="X2804" s="2">
        <v>11</v>
      </c>
      <c r="Y2804" s="2" t="s">
        <v>1920</v>
      </c>
      <c r="Z2804" s="2">
        <v>1</v>
      </c>
      <c r="AA2804" s="2" t="s">
        <v>82</v>
      </c>
      <c r="AB2804" s="2">
        <v>9</v>
      </c>
      <c r="AC2804" s="2" t="s">
        <v>124</v>
      </c>
      <c r="AD2804" s="3">
        <v>40367</v>
      </c>
      <c r="AE2804" s="4">
        <v>0.13819444444444443</v>
      </c>
      <c r="AF2804" s="2"/>
      <c r="AG2804" s="2"/>
      <c r="AH2804" s="2">
        <v>6</v>
      </c>
      <c r="AI2804" s="2" t="s">
        <v>197</v>
      </c>
      <c r="AJ2804" s="2">
        <v>54</v>
      </c>
      <c r="AK2804" s="2" t="s">
        <v>348</v>
      </c>
      <c r="AL2804" s="2">
        <v>18</v>
      </c>
      <c r="AM2804" s="2" t="s">
        <v>82</v>
      </c>
      <c r="AN2804" s="2" t="s">
        <v>595</v>
      </c>
      <c r="AO2804" s="2" t="s">
        <v>200</v>
      </c>
      <c r="AP2804" s="2">
        <v>14</v>
      </c>
      <c r="AQ2804" s="2" t="s">
        <v>3301</v>
      </c>
      <c r="AR2804" s="2" t="s">
        <v>596</v>
      </c>
      <c r="AS2804" s="2" t="s">
        <v>596</v>
      </c>
      <c r="AT2804" s="2" t="s">
        <v>9314</v>
      </c>
      <c r="AU2804" s="2"/>
      <c r="AV2804" s="2"/>
      <c r="AW2804" s="2"/>
      <c r="AX2804" s="2"/>
      <c r="AY2804" s="2">
        <v>1</v>
      </c>
      <c r="AZ2804" s="2" t="s">
        <v>107</v>
      </c>
      <c r="BA2804" s="2">
        <v>1</v>
      </c>
      <c r="BB2804" s="2" t="s">
        <v>107</v>
      </c>
      <c r="BC2804" s="2">
        <v>1</v>
      </c>
      <c r="BD2804" s="2" t="s">
        <v>107</v>
      </c>
      <c r="BE2804" s="2">
        <v>4</v>
      </c>
      <c r="BF2804" s="2" t="s">
        <v>90</v>
      </c>
      <c r="BG2804" s="2" t="s">
        <v>598</v>
      </c>
      <c r="BH2804" s="4">
        <v>5.9027777777777783E-2</v>
      </c>
      <c r="BI2804" s="4">
        <v>0.13819444444444443</v>
      </c>
      <c r="BJ2804" s="2">
        <v>13</v>
      </c>
      <c r="BK2804" s="2" t="s">
        <v>91</v>
      </c>
      <c r="BL2804" s="2" t="s">
        <v>7629</v>
      </c>
      <c r="BM2804" s="2">
        <v>242</v>
      </c>
      <c r="BN2804" s="2" t="s">
        <v>107</v>
      </c>
      <c r="BO2804" s="2" t="s">
        <v>107</v>
      </c>
      <c r="BP2804" s="2">
        <v>13</v>
      </c>
      <c r="BQ2804" s="2" t="s">
        <v>91</v>
      </c>
      <c r="BR2804" s="2" t="s">
        <v>905</v>
      </c>
      <c r="BS2804" s="3">
        <v>40367</v>
      </c>
      <c r="BT2804" s="4">
        <v>0.34656250000000005</v>
      </c>
    </row>
    <row r="2805" spans="1:72" x14ac:dyDescent="0.25">
      <c r="A2805" s="2">
        <v>4097</v>
      </c>
      <c r="B2805" s="2">
        <v>2010</v>
      </c>
      <c r="C2805" s="2" t="s">
        <v>457</v>
      </c>
      <c r="D2805" s="2" t="s">
        <v>73</v>
      </c>
      <c r="E2805" s="2"/>
      <c r="F2805" s="2">
        <v>1</v>
      </c>
      <c r="G2805" s="2" t="s">
        <v>82</v>
      </c>
      <c r="H2805" s="2">
        <v>50</v>
      </c>
      <c r="I2805" s="2" t="s">
        <v>107</v>
      </c>
      <c r="J2805" s="2">
        <v>1</v>
      </c>
      <c r="K2805" s="2" t="s">
        <v>107</v>
      </c>
      <c r="L2805" s="2" t="s">
        <v>107</v>
      </c>
      <c r="M2805" s="3">
        <v>40367</v>
      </c>
      <c r="N2805" s="2" t="s">
        <v>107</v>
      </c>
      <c r="O2805" s="2" t="s">
        <v>107</v>
      </c>
      <c r="P2805" s="2" t="s">
        <v>107</v>
      </c>
      <c r="Q2805" s="2" t="str">
        <f>"N/C"</f>
        <v>N/C</v>
      </c>
      <c r="R2805" s="2" t="s">
        <v>107</v>
      </c>
      <c r="S2805" s="2" t="s">
        <v>82</v>
      </c>
      <c r="T2805" s="2">
        <v>1</v>
      </c>
      <c r="U2805" s="2" t="s">
        <v>79</v>
      </c>
      <c r="V2805" s="2">
        <v>1</v>
      </c>
      <c r="W2805" s="2" t="s">
        <v>80</v>
      </c>
      <c r="X2805" s="2">
        <v>11</v>
      </c>
      <c r="Y2805" s="2" t="s">
        <v>1920</v>
      </c>
      <c r="Z2805" s="2">
        <v>6</v>
      </c>
      <c r="AA2805" s="2" t="s">
        <v>101</v>
      </c>
      <c r="AB2805" s="2">
        <v>9</v>
      </c>
      <c r="AC2805" s="2" t="s">
        <v>124</v>
      </c>
      <c r="AD2805" s="3">
        <v>40367</v>
      </c>
      <c r="AE2805" s="4">
        <v>0.27083333333333331</v>
      </c>
      <c r="AF2805" s="2"/>
      <c r="AG2805" s="2"/>
      <c r="AH2805" s="2">
        <v>3</v>
      </c>
      <c r="AI2805" s="2" t="s">
        <v>214</v>
      </c>
      <c r="AJ2805" s="2">
        <v>24</v>
      </c>
      <c r="AK2805" s="2" t="s">
        <v>215</v>
      </c>
      <c r="AL2805" s="2">
        <v>14</v>
      </c>
      <c r="AM2805" s="2" t="s">
        <v>216</v>
      </c>
      <c r="AN2805" s="2"/>
      <c r="AO2805" s="2"/>
      <c r="AP2805" s="2">
        <v>11</v>
      </c>
      <c r="AQ2805" s="2" t="s">
        <v>82</v>
      </c>
      <c r="AR2805" s="2"/>
      <c r="AS2805" s="2"/>
      <c r="AT2805" s="2" t="s">
        <v>9315</v>
      </c>
      <c r="AU2805" s="2"/>
      <c r="AV2805" s="2"/>
      <c r="AW2805" s="2"/>
      <c r="AX2805" s="2"/>
      <c r="AY2805" s="2">
        <v>41</v>
      </c>
      <c r="AZ2805" s="2" t="s">
        <v>82</v>
      </c>
      <c r="BA2805" s="2">
        <v>41</v>
      </c>
      <c r="BB2805" s="2" t="s">
        <v>82</v>
      </c>
      <c r="BC2805" s="2">
        <v>115</v>
      </c>
      <c r="BD2805" s="2" t="s">
        <v>101</v>
      </c>
      <c r="BE2805" s="2">
        <v>38</v>
      </c>
      <c r="BF2805" s="2" t="s">
        <v>221</v>
      </c>
      <c r="BG2805" s="2">
        <v>2422</v>
      </c>
      <c r="BH2805" s="4">
        <v>0.26041666666666669</v>
      </c>
      <c r="BI2805" s="4">
        <v>0.39930555555555558</v>
      </c>
      <c r="BJ2805" s="2">
        <v>13</v>
      </c>
      <c r="BK2805" s="2" t="s">
        <v>91</v>
      </c>
      <c r="BL2805" s="2" t="s">
        <v>169</v>
      </c>
      <c r="BM2805" s="2">
        <v>241</v>
      </c>
      <c r="BN2805" s="2" t="s">
        <v>82</v>
      </c>
      <c r="BO2805" s="2"/>
      <c r="BP2805" s="2">
        <v>173</v>
      </c>
      <c r="BQ2805" s="2" t="s">
        <v>223</v>
      </c>
      <c r="BR2805" s="2" t="s">
        <v>224</v>
      </c>
      <c r="BS2805" s="3">
        <v>40367</v>
      </c>
      <c r="BT2805" s="4">
        <v>0.47901620370370374</v>
      </c>
    </row>
    <row r="2806" spans="1:72" x14ac:dyDescent="0.25">
      <c r="A2806" s="2">
        <v>4099</v>
      </c>
      <c r="B2806" s="2">
        <v>2010</v>
      </c>
      <c r="C2806" s="2" t="s">
        <v>4543</v>
      </c>
      <c r="D2806" s="2" t="s">
        <v>122</v>
      </c>
      <c r="E2806" s="2"/>
      <c r="F2806" s="2">
        <v>293</v>
      </c>
      <c r="G2806" s="2" t="s">
        <v>8731</v>
      </c>
      <c r="H2806" s="2">
        <v>44</v>
      </c>
      <c r="I2806" s="2" t="s">
        <v>1272</v>
      </c>
      <c r="J2806" s="2">
        <v>593</v>
      </c>
      <c r="K2806" s="2" t="s">
        <v>8732</v>
      </c>
      <c r="L2806" s="2" t="s">
        <v>8733</v>
      </c>
      <c r="M2806" s="3">
        <v>40367</v>
      </c>
      <c r="N2806" s="2" t="s">
        <v>8734</v>
      </c>
      <c r="O2806" s="2" t="s">
        <v>9316</v>
      </c>
      <c r="P2806" s="2" t="s">
        <v>8736</v>
      </c>
      <c r="Q2806" s="2" t="str">
        <f>""</f>
        <v/>
      </c>
      <c r="R2806" s="2"/>
      <c r="S2806" s="2"/>
      <c r="T2806" s="2">
        <v>2</v>
      </c>
      <c r="U2806" s="2" t="s">
        <v>123</v>
      </c>
      <c r="V2806" s="2">
        <v>1</v>
      </c>
      <c r="W2806" s="2" t="s">
        <v>80</v>
      </c>
      <c r="X2806" s="2">
        <v>5</v>
      </c>
      <c r="Y2806" s="2" t="s">
        <v>82</v>
      </c>
      <c r="Z2806" s="2">
        <v>1</v>
      </c>
      <c r="AA2806" s="2" t="s">
        <v>82</v>
      </c>
      <c r="AB2806" s="2">
        <v>9</v>
      </c>
      <c r="AC2806" s="2" t="s">
        <v>124</v>
      </c>
      <c r="AD2806" s="3">
        <v>40367</v>
      </c>
      <c r="AE2806" s="4">
        <v>0.5</v>
      </c>
      <c r="AF2806" s="2"/>
      <c r="AG2806" s="2"/>
      <c r="AH2806" s="2">
        <v>5</v>
      </c>
      <c r="AI2806" s="2" t="s">
        <v>274</v>
      </c>
      <c r="AJ2806" s="2">
        <v>39</v>
      </c>
      <c r="AK2806" s="2" t="s">
        <v>8737</v>
      </c>
      <c r="AL2806" s="2">
        <v>18</v>
      </c>
      <c r="AM2806" s="2" t="s">
        <v>82</v>
      </c>
      <c r="AN2806" s="2"/>
      <c r="AO2806" s="2"/>
      <c r="AP2806" s="2">
        <v>11</v>
      </c>
      <c r="AQ2806" s="2" t="s">
        <v>82</v>
      </c>
      <c r="AR2806" s="2"/>
      <c r="AS2806" s="2"/>
      <c r="AT2806" s="2" t="s">
        <v>9317</v>
      </c>
      <c r="AU2806" s="2"/>
      <c r="AV2806" s="2"/>
      <c r="AW2806" s="2"/>
      <c r="AX2806" s="2"/>
      <c r="AY2806" s="2">
        <v>1</v>
      </c>
      <c r="AZ2806" s="2" t="s">
        <v>107</v>
      </c>
      <c r="BA2806" s="2">
        <v>1</v>
      </c>
      <c r="BB2806" s="2" t="s">
        <v>107</v>
      </c>
      <c r="BC2806" s="2">
        <v>1</v>
      </c>
      <c r="BD2806" s="2" t="s">
        <v>107</v>
      </c>
      <c r="BE2806" s="2">
        <v>1</v>
      </c>
      <c r="BF2806" s="2" t="s">
        <v>107</v>
      </c>
      <c r="BG2806" s="2"/>
      <c r="BH2806" s="2"/>
      <c r="BI2806" s="2"/>
      <c r="BJ2806" s="2">
        <v>242</v>
      </c>
      <c r="BK2806" s="2" t="s">
        <v>107</v>
      </c>
      <c r="BL2806" s="2"/>
      <c r="BM2806" s="2">
        <v>242</v>
      </c>
      <c r="BN2806" s="2" t="s">
        <v>107</v>
      </c>
      <c r="BO2806" s="2"/>
      <c r="BP2806" s="2">
        <v>242</v>
      </c>
      <c r="BQ2806" s="2" t="s">
        <v>107</v>
      </c>
      <c r="BR2806" s="2"/>
      <c r="BS2806" s="3">
        <v>40367</v>
      </c>
      <c r="BT2806" s="4">
        <v>0.51082175925925932</v>
      </c>
    </row>
    <row r="2807" spans="1:72" x14ac:dyDescent="0.25">
      <c r="A2807" s="2">
        <v>4104</v>
      </c>
      <c r="B2807" s="2">
        <v>2010</v>
      </c>
      <c r="C2807" s="2" t="s">
        <v>93</v>
      </c>
      <c r="D2807" s="2" t="s">
        <v>122</v>
      </c>
      <c r="E2807" s="2" t="s">
        <v>9318</v>
      </c>
      <c r="F2807" s="2">
        <v>390</v>
      </c>
      <c r="G2807" s="2" t="s">
        <v>475</v>
      </c>
      <c r="H2807" s="2">
        <v>71</v>
      </c>
      <c r="I2807" s="2" t="s">
        <v>335</v>
      </c>
      <c r="J2807" s="2">
        <v>533</v>
      </c>
      <c r="K2807" s="2" t="s">
        <v>6511</v>
      </c>
      <c r="L2807" s="2" t="s">
        <v>478</v>
      </c>
      <c r="M2807" s="3">
        <v>40367</v>
      </c>
      <c r="N2807" s="2" t="s">
        <v>9302</v>
      </c>
      <c r="O2807" s="2" t="s">
        <v>82</v>
      </c>
      <c r="P2807" s="2" t="s">
        <v>82</v>
      </c>
      <c r="Q2807" s="2" t="str">
        <f>"N/C"</f>
        <v>N/C</v>
      </c>
      <c r="R2807" s="2" t="s">
        <v>9303</v>
      </c>
      <c r="S2807" s="2" t="s">
        <v>82</v>
      </c>
      <c r="T2807" s="2">
        <v>1</v>
      </c>
      <c r="U2807" s="2" t="s">
        <v>79</v>
      </c>
      <c r="V2807" s="2">
        <v>1</v>
      </c>
      <c r="W2807" s="2" t="s">
        <v>80</v>
      </c>
      <c r="X2807" s="2">
        <v>10</v>
      </c>
      <c r="Y2807" s="2" t="s">
        <v>226</v>
      </c>
      <c r="Z2807" s="2">
        <v>6</v>
      </c>
      <c r="AA2807" s="2" t="s">
        <v>101</v>
      </c>
      <c r="AB2807" s="2">
        <v>2</v>
      </c>
      <c r="AC2807" s="2" t="s">
        <v>102</v>
      </c>
      <c r="AD2807" s="3">
        <v>40366</v>
      </c>
      <c r="AE2807" s="4">
        <v>0.13541666666666666</v>
      </c>
      <c r="AF2807" s="2"/>
      <c r="AG2807" s="2"/>
      <c r="AH2807" s="2">
        <v>2</v>
      </c>
      <c r="AI2807" s="2" t="s">
        <v>84</v>
      </c>
      <c r="AJ2807" s="2">
        <v>9</v>
      </c>
      <c r="AK2807" s="2" t="s">
        <v>103</v>
      </c>
      <c r="AL2807" s="2">
        <v>14</v>
      </c>
      <c r="AM2807" s="2" t="s">
        <v>216</v>
      </c>
      <c r="AN2807" s="2" t="s">
        <v>107</v>
      </c>
      <c r="AO2807" s="2" t="s">
        <v>9304</v>
      </c>
      <c r="AP2807" s="2">
        <v>11</v>
      </c>
      <c r="AQ2807" s="2" t="s">
        <v>82</v>
      </c>
      <c r="AR2807" s="2"/>
      <c r="AS2807" s="2"/>
      <c r="AT2807" s="2" t="s">
        <v>9319</v>
      </c>
      <c r="AU2807" s="2">
        <v>1</v>
      </c>
      <c r="AV2807" s="2"/>
      <c r="AW2807" s="2"/>
      <c r="AX2807" s="2"/>
      <c r="AY2807" s="2">
        <v>94</v>
      </c>
      <c r="AZ2807" s="2" t="s">
        <v>9320</v>
      </c>
      <c r="BA2807" s="2">
        <v>41</v>
      </c>
      <c r="BB2807" s="2" t="s">
        <v>82</v>
      </c>
      <c r="BC2807" s="2">
        <v>41</v>
      </c>
      <c r="BD2807" s="2" t="s">
        <v>82</v>
      </c>
      <c r="BE2807" s="2">
        <v>39</v>
      </c>
      <c r="BF2807" s="2" t="s">
        <v>440</v>
      </c>
      <c r="BG2807" s="2" t="s">
        <v>9306</v>
      </c>
      <c r="BH2807" s="4">
        <v>0.125</v>
      </c>
      <c r="BI2807" s="2"/>
      <c r="BJ2807" s="2">
        <v>33</v>
      </c>
      <c r="BK2807" s="2" t="s">
        <v>361</v>
      </c>
      <c r="BL2807" s="2" t="s">
        <v>1739</v>
      </c>
      <c r="BM2807" s="2">
        <v>241</v>
      </c>
      <c r="BN2807" s="2" t="s">
        <v>82</v>
      </c>
      <c r="BO2807" s="2" t="s">
        <v>82</v>
      </c>
      <c r="BP2807" s="2">
        <v>13</v>
      </c>
      <c r="BQ2807" s="2" t="s">
        <v>91</v>
      </c>
      <c r="BR2807" s="2" t="s">
        <v>4251</v>
      </c>
      <c r="BS2807" s="3">
        <v>40367</v>
      </c>
      <c r="BT2807" s="4">
        <v>0.58250000000000002</v>
      </c>
    </row>
    <row r="2808" spans="1:72" x14ac:dyDescent="0.25">
      <c r="A2808" s="2">
        <v>4105</v>
      </c>
      <c r="B2808" s="2">
        <v>2010</v>
      </c>
      <c r="C2808" s="2" t="s">
        <v>171</v>
      </c>
      <c r="D2808" s="2" t="s">
        <v>122</v>
      </c>
      <c r="E2808" s="2" t="s">
        <v>9321</v>
      </c>
      <c r="F2808" s="2">
        <v>406</v>
      </c>
      <c r="G2808" s="2" t="s">
        <v>922</v>
      </c>
      <c r="H2808" s="2">
        <v>12</v>
      </c>
      <c r="I2808" s="2" t="s">
        <v>95</v>
      </c>
      <c r="J2808" s="2">
        <v>245</v>
      </c>
      <c r="K2808" s="2" t="s">
        <v>96</v>
      </c>
      <c r="L2808" s="2" t="s">
        <v>97</v>
      </c>
      <c r="M2808" s="3">
        <v>40367</v>
      </c>
      <c r="N2808" s="2" t="s">
        <v>3691</v>
      </c>
      <c r="O2808" s="2"/>
      <c r="P2808" s="2"/>
      <c r="Q2808" s="2" t="str">
        <f>"359-E/10"</f>
        <v>359-E/10</v>
      </c>
      <c r="R2808" s="2" t="s">
        <v>391</v>
      </c>
      <c r="S2808" s="2"/>
      <c r="T2808" s="2">
        <v>1</v>
      </c>
      <c r="U2808" s="2" t="s">
        <v>79</v>
      </c>
      <c r="V2808" s="2">
        <v>1</v>
      </c>
      <c r="W2808" s="2" t="s">
        <v>80</v>
      </c>
      <c r="X2808" s="2">
        <v>1</v>
      </c>
      <c r="Y2808" s="2" t="s">
        <v>81</v>
      </c>
      <c r="Z2808" s="2">
        <v>10</v>
      </c>
      <c r="AA2808" s="2" t="s">
        <v>236</v>
      </c>
      <c r="AB2808" s="2">
        <v>1</v>
      </c>
      <c r="AC2808" s="2" t="s">
        <v>178</v>
      </c>
      <c r="AD2808" s="3">
        <v>40366</v>
      </c>
      <c r="AE2808" s="4">
        <v>0.6875</v>
      </c>
      <c r="AF2808" s="2"/>
      <c r="AG2808" s="2"/>
      <c r="AH2808" s="2">
        <v>2</v>
      </c>
      <c r="AI2808" s="2" t="s">
        <v>84</v>
      </c>
      <c r="AJ2808" s="2">
        <v>9</v>
      </c>
      <c r="AK2808" s="2" t="s">
        <v>103</v>
      </c>
      <c r="AL2808" s="2">
        <v>14</v>
      </c>
      <c r="AM2808" s="2" t="s">
        <v>216</v>
      </c>
      <c r="AN2808" s="2" t="s">
        <v>179</v>
      </c>
      <c r="AO2808" s="2"/>
      <c r="AP2808" s="2">
        <v>11</v>
      </c>
      <c r="AQ2808" s="2" t="s">
        <v>82</v>
      </c>
      <c r="AR2808" s="2"/>
      <c r="AS2808" s="2"/>
      <c r="AT2808" s="2" t="s">
        <v>9322</v>
      </c>
      <c r="AU2808" s="2"/>
      <c r="AV2808" s="2">
        <v>1</v>
      </c>
      <c r="AW2808" s="2"/>
      <c r="AX2808" s="2"/>
      <c r="AY2808" s="2">
        <v>42</v>
      </c>
      <c r="AZ2808" s="2" t="s">
        <v>182</v>
      </c>
      <c r="BA2808" s="2">
        <v>41</v>
      </c>
      <c r="BB2808" s="2" t="s">
        <v>82</v>
      </c>
      <c r="BC2808" s="2">
        <v>70</v>
      </c>
      <c r="BD2808" s="2" t="s">
        <v>236</v>
      </c>
      <c r="BE2808" s="2">
        <v>33</v>
      </c>
      <c r="BF2808" s="2" t="s">
        <v>1083</v>
      </c>
      <c r="BG2808" s="2" t="s">
        <v>9308</v>
      </c>
      <c r="BH2808" s="2"/>
      <c r="BI2808" s="4">
        <v>0.76388888888888884</v>
      </c>
      <c r="BJ2808" s="2">
        <v>13</v>
      </c>
      <c r="BK2808" s="2" t="s">
        <v>91</v>
      </c>
      <c r="BL2808" s="2" t="s">
        <v>360</v>
      </c>
      <c r="BM2808" s="2">
        <v>241</v>
      </c>
      <c r="BN2808" s="2" t="s">
        <v>82</v>
      </c>
      <c r="BO2808" s="2"/>
      <c r="BP2808" s="2">
        <v>205</v>
      </c>
      <c r="BQ2808" s="2" t="s">
        <v>1085</v>
      </c>
      <c r="BR2808" s="2" t="s">
        <v>8184</v>
      </c>
      <c r="BS2808" s="3">
        <v>40367</v>
      </c>
      <c r="BT2808" s="4">
        <v>0.58605324074074072</v>
      </c>
    </row>
    <row r="2809" spans="1:72" x14ac:dyDescent="0.25">
      <c r="A2809" s="2">
        <v>4106</v>
      </c>
      <c r="B2809" s="2">
        <v>2010</v>
      </c>
      <c r="C2809" s="2" t="s">
        <v>171</v>
      </c>
      <c r="D2809" s="2" t="s">
        <v>122</v>
      </c>
      <c r="E2809" s="2" t="s">
        <v>9323</v>
      </c>
      <c r="F2809" s="2">
        <v>390</v>
      </c>
      <c r="G2809" s="2" t="s">
        <v>475</v>
      </c>
      <c r="H2809" s="2">
        <v>71</v>
      </c>
      <c r="I2809" s="2" t="s">
        <v>335</v>
      </c>
      <c r="J2809" s="2">
        <v>314</v>
      </c>
      <c r="K2809" s="2" t="s">
        <v>477</v>
      </c>
      <c r="L2809" s="2" t="s">
        <v>478</v>
      </c>
      <c r="M2809" s="3">
        <v>40367</v>
      </c>
      <c r="N2809" s="2" t="s">
        <v>9075</v>
      </c>
      <c r="O2809" s="2"/>
      <c r="P2809" s="2"/>
      <c r="Q2809" s="2" t="str">
        <f>"360-E/10"</f>
        <v>360-E/10</v>
      </c>
      <c r="R2809" s="2" t="s">
        <v>9310</v>
      </c>
      <c r="S2809" s="2"/>
      <c r="T2809" s="2">
        <v>1</v>
      </c>
      <c r="U2809" s="2" t="s">
        <v>79</v>
      </c>
      <c r="V2809" s="2">
        <v>1</v>
      </c>
      <c r="W2809" s="2" t="s">
        <v>80</v>
      </c>
      <c r="X2809" s="2">
        <v>1</v>
      </c>
      <c r="Y2809" s="2" t="s">
        <v>81</v>
      </c>
      <c r="Z2809" s="2">
        <v>10</v>
      </c>
      <c r="AA2809" s="2" t="s">
        <v>236</v>
      </c>
      <c r="AB2809" s="2">
        <v>1</v>
      </c>
      <c r="AC2809" s="2" t="s">
        <v>178</v>
      </c>
      <c r="AD2809" s="3">
        <v>40366</v>
      </c>
      <c r="AE2809" s="4">
        <v>0.75</v>
      </c>
      <c r="AF2809" s="2"/>
      <c r="AG2809" s="2"/>
      <c r="AH2809" s="2">
        <v>2</v>
      </c>
      <c r="AI2809" s="2" t="s">
        <v>84</v>
      </c>
      <c r="AJ2809" s="2">
        <v>9</v>
      </c>
      <c r="AK2809" s="2" t="s">
        <v>103</v>
      </c>
      <c r="AL2809" s="2">
        <v>14</v>
      </c>
      <c r="AM2809" s="2" t="s">
        <v>216</v>
      </c>
      <c r="AN2809" s="2" t="s">
        <v>179</v>
      </c>
      <c r="AO2809" s="2"/>
      <c r="AP2809" s="2">
        <v>11</v>
      </c>
      <c r="AQ2809" s="2" t="s">
        <v>82</v>
      </c>
      <c r="AR2809" s="2"/>
      <c r="AS2809" s="2"/>
      <c r="AT2809" s="2" t="s">
        <v>9324</v>
      </c>
      <c r="AU2809" s="2"/>
      <c r="AV2809" s="2">
        <v>1</v>
      </c>
      <c r="AW2809" s="2"/>
      <c r="AX2809" s="2"/>
      <c r="AY2809" s="2">
        <v>42</v>
      </c>
      <c r="AZ2809" s="2" t="s">
        <v>182</v>
      </c>
      <c r="BA2809" s="2">
        <v>41</v>
      </c>
      <c r="BB2809" s="2" t="s">
        <v>82</v>
      </c>
      <c r="BC2809" s="2">
        <v>70</v>
      </c>
      <c r="BD2809" s="2" t="s">
        <v>236</v>
      </c>
      <c r="BE2809" s="2">
        <v>33</v>
      </c>
      <c r="BF2809" s="2" t="s">
        <v>1083</v>
      </c>
      <c r="BG2809" s="2" t="s">
        <v>9308</v>
      </c>
      <c r="BH2809" s="2"/>
      <c r="BI2809" s="4">
        <v>0.76388888888888884</v>
      </c>
      <c r="BJ2809" s="2">
        <v>29</v>
      </c>
      <c r="BK2809" s="2" t="s">
        <v>962</v>
      </c>
      <c r="BL2809" s="2" t="s">
        <v>963</v>
      </c>
      <c r="BM2809" s="2">
        <v>13</v>
      </c>
      <c r="BN2809" s="2" t="s">
        <v>91</v>
      </c>
      <c r="BO2809" s="2" t="s">
        <v>360</v>
      </c>
      <c r="BP2809" s="2">
        <v>205</v>
      </c>
      <c r="BQ2809" s="2" t="s">
        <v>1085</v>
      </c>
      <c r="BR2809" s="2" t="s">
        <v>1086</v>
      </c>
      <c r="BS2809" s="3">
        <v>40367</v>
      </c>
      <c r="BT2809" s="4">
        <v>0.58854166666666663</v>
      </c>
    </row>
    <row r="2810" spans="1:72" x14ac:dyDescent="0.25">
      <c r="A2810" s="2">
        <v>4107</v>
      </c>
      <c r="B2810" s="2">
        <v>2010</v>
      </c>
      <c r="C2810" s="2" t="s">
        <v>72</v>
      </c>
      <c r="D2810" s="2" t="s">
        <v>73</v>
      </c>
      <c r="E2810" s="2"/>
      <c r="F2810" s="2">
        <v>650</v>
      </c>
      <c r="G2810" s="2" t="s">
        <v>9158</v>
      </c>
      <c r="H2810" s="2">
        <v>42</v>
      </c>
      <c r="I2810" s="2" t="s">
        <v>1096</v>
      </c>
      <c r="J2810" s="2">
        <v>606</v>
      </c>
      <c r="K2810" s="2" t="s">
        <v>9068</v>
      </c>
      <c r="L2810" s="2" t="s">
        <v>9069</v>
      </c>
      <c r="M2810" s="3">
        <v>40367</v>
      </c>
      <c r="N2810" s="2" t="s">
        <v>9325</v>
      </c>
      <c r="O2810" s="2" t="s">
        <v>107</v>
      </c>
      <c r="P2810" s="2" t="s">
        <v>107</v>
      </c>
      <c r="Q2810" s="2" t="str">
        <f>"252-A/10"</f>
        <v>252-A/10</v>
      </c>
      <c r="R2810" s="2" t="s">
        <v>156</v>
      </c>
      <c r="S2810" s="2" t="s">
        <v>156</v>
      </c>
      <c r="T2810" s="2">
        <v>1</v>
      </c>
      <c r="U2810" s="2" t="s">
        <v>79</v>
      </c>
      <c r="V2810" s="2">
        <v>1</v>
      </c>
      <c r="W2810" s="2" t="s">
        <v>80</v>
      </c>
      <c r="X2810" s="2">
        <v>12</v>
      </c>
      <c r="Y2810" s="2" t="s">
        <v>148</v>
      </c>
      <c r="Z2810" s="2">
        <v>1</v>
      </c>
      <c r="AA2810" s="2" t="s">
        <v>82</v>
      </c>
      <c r="AB2810" s="2">
        <v>6</v>
      </c>
      <c r="AC2810" s="2" t="s">
        <v>83</v>
      </c>
      <c r="AD2810" s="2"/>
      <c r="AE2810" s="2"/>
      <c r="AF2810" s="3">
        <v>40367</v>
      </c>
      <c r="AG2810" s="4">
        <v>0.5</v>
      </c>
      <c r="AH2810" s="2">
        <v>2</v>
      </c>
      <c r="AI2810" s="2" t="s">
        <v>84</v>
      </c>
      <c r="AJ2810" s="2">
        <v>12</v>
      </c>
      <c r="AK2810" s="2" t="s">
        <v>85</v>
      </c>
      <c r="AL2810" s="2">
        <v>22</v>
      </c>
      <c r="AM2810" s="2" t="s">
        <v>1853</v>
      </c>
      <c r="AN2810" s="2"/>
      <c r="AO2810" s="2" t="s">
        <v>7625</v>
      </c>
      <c r="AP2810" s="2">
        <v>11</v>
      </c>
      <c r="AQ2810" s="2" t="s">
        <v>82</v>
      </c>
      <c r="AR2810" s="2"/>
      <c r="AS2810" s="2"/>
      <c r="AT2810" s="2" t="s">
        <v>9326</v>
      </c>
      <c r="AU2810" s="2"/>
      <c r="AV2810" s="2"/>
      <c r="AW2810" s="2"/>
      <c r="AX2810" s="2"/>
      <c r="AY2810" s="2">
        <v>41</v>
      </c>
      <c r="AZ2810" s="2" t="s">
        <v>82</v>
      </c>
      <c r="BA2810" s="2">
        <v>41</v>
      </c>
      <c r="BB2810" s="2" t="s">
        <v>82</v>
      </c>
      <c r="BC2810" s="2">
        <v>41</v>
      </c>
      <c r="BD2810" s="2" t="s">
        <v>82</v>
      </c>
      <c r="BE2810" s="2">
        <v>23</v>
      </c>
      <c r="BF2810" s="2" t="s">
        <v>183</v>
      </c>
      <c r="BG2810" s="2" t="s">
        <v>1375</v>
      </c>
      <c r="BH2810" s="4">
        <v>0.35416666666666669</v>
      </c>
      <c r="BI2810" s="2"/>
      <c r="BJ2810" s="2">
        <v>244</v>
      </c>
      <c r="BK2810" s="2" t="s">
        <v>1236</v>
      </c>
      <c r="BL2810" s="2" t="s">
        <v>1237</v>
      </c>
      <c r="BM2810" s="2">
        <v>73</v>
      </c>
      <c r="BN2810" s="2" t="s">
        <v>186</v>
      </c>
      <c r="BO2810" s="2" t="s">
        <v>187</v>
      </c>
      <c r="BP2810" s="2">
        <v>13</v>
      </c>
      <c r="BQ2810" s="2" t="s">
        <v>91</v>
      </c>
      <c r="BR2810" s="2" t="s">
        <v>360</v>
      </c>
      <c r="BS2810" s="3">
        <v>40367</v>
      </c>
      <c r="BT2810" s="4">
        <v>0.61027777777777781</v>
      </c>
    </row>
    <row r="2811" spans="1:72" x14ac:dyDescent="0.25">
      <c r="A2811" s="2">
        <v>4109</v>
      </c>
      <c r="B2811" s="2">
        <v>2010</v>
      </c>
      <c r="C2811" s="2" t="s">
        <v>377</v>
      </c>
      <c r="D2811" s="2" t="s">
        <v>73</v>
      </c>
      <c r="E2811" s="2"/>
      <c r="F2811" s="2">
        <v>426</v>
      </c>
      <c r="G2811" s="2" t="s">
        <v>378</v>
      </c>
      <c r="H2811" s="2">
        <v>42</v>
      </c>
      <c r="I2811" s="2" t="s">
        <v>1096</v>
      </c>
      <c r="J2811" s="2">
        <v>311</v>
      </c>
      <c r="K2811" s="2" t="s">
        <v>379</v>
      </c>
      <c r="L2811" s="2" t="s">
        <v>380</v>
      </c>
      <c r="M2811" s="3">
        <v>40367</v>
      </c>
      <c r="N2811" s="2" t="s">
        <v>7171</v>
      </c>
      <c r="O2811" s="2"/>
      <c r="P2811" s="2"/>
      <c r="Q2811" s="2" t="str">
        <f>"151-C/10"</f>
        <v>151-C/10</v>
      </c>
      <c r="R2811" s="2" t="s">
        <v>3458</v>
      </c>
      <c r="S2811" s="2"/>
      <c r="T2811" s="2">
        <v>1</v>
      </c>
      <c r="U2811" s="2" t="s">
        <v>79</v>
      </c>
      <c r="V2811" s="2">
        <v>1</v>
      </c>
      <c r="W2811" s="2" t="s">
        <v>80</v>
      </c>
      <c r="X2811" s="2">
        <v>1</v>
      </c>
      <c r="Y2811" s="2" t="s">
        <v>81</v>
      </c>
      <c r="Z2811" s="2">
        <v>1</v>
      </c>
      <c r="AA2811" s="2" t="s">
        <v>82</v>
      </c>
      <c r="AB2811" s="2">
        <v>9</v>
      </c>
      <c r="AC2811" s="2" t="s">
        <v>124</v>
      </c>
      <c r="AD2811" s="3">
        <v>40365</v>
      </c>
      <c r="AE2811" s="4">
        <v>0.66666666666666663</v>
      </c>
      <c r="AF2811" s="2"/>
      <c r="AG2811" s="2"/>
      <c r="AH2811" s="2">
        <v>2</v>
      </c>
      <c r="AI2811" s="2" t="s">
        <v>84</v>
      </c>
      <c r="AJ2811" s="2">
        <v>9</v>
      </c>
      <c r="AK2811" s="2" t="s">
        <v>103</v>
      </c>
      <c r="AL2811" s="2">
        <v>12</v>
      </c>
      <c r="AM2811" s="2" t="s">
        <v>86</v>
      </c>
      <c r="AN2811" s="2"/>
      <c r="AO2811" s="2" t="s">
        <v>1505</v>
      </c>
      <c r="AP2811" s="2">
        <v>11</v>
      </c>
      <c r="AQ2811" s="2" t="s">
        <v>82</v>
      </c>
      <c r="AR2811" s="2"/>
      <c r="AS2811" s="2"/>
      <c r="AT2811" s="2" t="s">
        <v>9327</v>
      </c>
      <c r="AU2811" s="2"/>
      <c r="AV2811" s="2"/>
      <c r="AW2811" s="2"/>
      <c r="AX2811" s="2"/>
      <c r="AY2811" s="2">
        <v>41</v>
      </c>
      <c r="AZ2811" s="2" t="s">
        <v>82</v>
      </c>
      <c r="BA2811" s="2">
        <v>41</v>
      </c>
      <c r="BB2811" s="2" t="s">
        <v>82</v>
      </c>
      <c r="BC2811" s="2">
        <v>41</v>
      </c>
      <c r="BD2811" s="2" t="s">
        <v>82</v>
      </c>
      <c r="BE2811" s="2">
        <v>41</v>
      </c>
      <c r="BF2811" s="2" t="s">
        <v>82</v>
      </c>
      <c r="BG2811" s="2"/>
      <c r="BH2811" s="2"/>
      <c r="BI2811" s="2"/>
      <c r="BJ2811" s="2">
        <v>241</v>
      </c>
      <c r="BK2811" s="2" t="s">
        <v>82</v>
      </c>
      <c r="BL2811" s="2"/>
      <c r="BM2811" s="2">
        <v>241</v>
      </c>
      <c r="BN2811" s="2" t="s">
        <v>82</v>
      </c>
      <c r="BO2811" s="2"/>
      <c r="BP2811" s="2">
        <v>241</v>
      </c>
      <c r="BQ2811" s="2" t="s">
        <v>82</v>
      </c>
      <c r="BR2811" s="2"/>
      <c r="BS2811" s="3">
        <v>40367</v>
      </c>
      <c r="BT2811" s="4">
        <v>0.64490740740740737</v>
      </c>
    </row>
    <row r="2812" spans="1:72" x14ac:dyDescent="0.25">
      <c r="A2812" s="2">
        <v>4115</v>
      </c>
      <c r="B2812" s="2">
        <v>2010</v>
      </c>
      <c r="C2812" s="2" t="s">
        <v>72</v>
      </c>
      <c r="D2812" s="2" t="s">
        <v>73</v>
      </c>
      <c r="E2812" s="2"/>
      <c r="F2812" s="2">
        <v>649</v>
      </c>
      <c r="G2812" s="2" t="s">
        <v>9141</v>
      </c>
      <c r="H2812" s="2">
        <v>42</v>
      </c>
      <c r="I2812" s="2" t="s">
        <v>1096</v>
      </c>
      <c r="J2812" s="2">
        <v>602</v>
      </c>
      <c r="K2812" s="2" t="s">
        <v>9091</v>
      </c>
      <c r="L2812" s="2" t="s">
        <v>9092</v>
      </c>
      <c r="M2812" s="3">
        <v>40367</v>
      </c>
      <c r="N2812" s="2" t="s">
        <v>9093</v>
      </c>
      <c r="O2812" s="2" t="s">
        <v>107</v>
      </c>
      <c r="P2812" s="2" t="s">
        <v>107</v>
      </c>
      <c r="Q2812" s="2" t="str">
        <f>"253-A/10"</f>
        <v>253-A/10</v>
      </c>
      <c r="R2812" s="2" t="s">
        <v>78</v>
      </c>
      <c r="S2812" s="2" t="s">
        <v>78</v>
      </c>
      <c r="T2812" s="2">
        <v>1</v>
      </c>
      <c r="U2812" s="2" t="s">
        <v>79</v>
      </c>
      <c r="V2812" s="2">
        <v>1</v>
      </c>
      <c r="W2812" s="2" t="s">
        <v>80</v>
      </c>
      <c r="X2812" s="2">
        <v>12</v>
      </c>
      <c r="Y2812" s="2" t="s">
        <v>148</v>
      </c>
      <c r="Z2812" s="2">
        <v>1</v>
      </c>
      <c r="AA2812" s="2" t="s">
        <v>82</v>
      </c>
      <c r="AB2812" s="2">
        <v>6</v>
      </c>
      <c r="AC2812" s="2" t="s">
        <v>83</v>
      </c>
      <c r="AD2812" s="3">
        <v>40367</v>
      </c>
      <c r="AE2812" s="2"/>
      <c r="AF2812" s="3">
        <v>40367</v>
      </c>
      <c r="AG2812" s="4">
        <v>0.66319444444444442</v>
      </c>
      <c r="AH2812" s="2">
        <v>2</v>
      </c>
      <c r="AI2812" s="2" t="s">
        <v>84</v>
      </c>
      <c r="AJ2812" s="2">
        <v>12</v>
      </c>
      <c r="AK2812" s="2" t="s">
        <v>85</v>
      </c>
      <c r="AL2812" s="2">
        <v>12</v>
      </c>
      <c r="AM2812" s="2" t="s">
        <v>86</v>
      </c>
      <c r="AN2812" s="2" t="s">
        <v>9328</v>
      </c>
      <c r="AO2812" s="2" t="s">
        <v>9329</v>
      </c>
      <c r="AP2812" s="2">
        <v>11</v>
      </c>
      <c r="AQ2812" s="2" t="s">
        <v>82</v>
      </c>
      <c r="AR2812" s="2"/>
      <c r="AS2812" s="2"/>
      <c r="AT2812" s="2" t="s">
        <v>9330</v>
      </c>
      <c r="AU2812" s="2"/>
      <c r="AV2812" s="2"/>
      <c r="AW2812" s="2"/>
      <c r="AX2812" s="2"/>
      <c r="AY2812" s="2">
        <v>41</v>
      </c>
      <c r="AZ2812" s="2" t="s">
        <v>82</v>
      </c>
      <c r="BA2812" s="2">
        <v>41</v>
      </c>
      <c r="BB2812" s="2" t="s">
        <v>82</v>
      </c>
      <c r="BC2812" s="2">
        <v>41</v>
      </c>
      <c r="BD2812" s="2" t="s">
        <v>82</v>
      </c>
      <c r="BE2812" s="2">
        <v>41</v>
      </c>
      <c r="BF2812" s="2" t="s">
        <v>82</v>
      </c>
      <c r="BG2812" s="2"/>
      <c r="BH2812" s="2"/>
      <c r="BI2812" s="2"/>
      <c r="BJ2812" s="2">
        <v>241</v>
      </c>
      <c r="BK2812" s="2" t="s">
        <v>82</v>
      </c>
      <c r="BL2812" s="2"/>
      <c r="BM2812" s="2">
        <v>241</v>
      </c>
      <c r="BN2812" s="2" t="s">
        <v>82</v>
      </c>
      <c r="BO2812" s="2"/>
      <c r="BP2812" s="2">
        <v>241</v>
      </c>
      <c r="BQ2812" s="2" t="s">
        <v>82</v>
      </c>
      <c r="BR2812" s="2"/>
      <c r="BS2812" s="3">
        <v>40367</v>
      </c>
      <c r="BT2812" s="4">
        <v>0.83939814814814817</v>
      </c>
    </row>
    <row r="2813" spans="1:72" x14ac:dyDescent="0.25">
      <c r="A2813" s="2">
        <v>4116</v>
      </c>
      <c r="B2813" s="2">
        <v>2010</v>
      </c>
      <c r="C2813" s="2" t="s">
        <v>8688</v>
      </c>
      <c r="D2813" s="2" t="s">
        <v>122</v>
      </c>
      <c r="E2813" s="2"/>
      <c r="F2813" s="2">
        <v>390</v>
      </c>
      <c r="G2813" s="2" t="s">
        <v>475</v>
      </c>
      <c r="H2813" s="2">
        <v>71</v>
      </c>
      <c r="I2813" s="2" t="s">
        <v>335</v>
      </c>
      <c r="J2813" s="2">
        <v>399</v>
      </c>
      <c r="K2813" s="2" t="s">
        <v>1820</v>
      </c>
      <c r="L2813" s="2" t="s">
        <v>1821</v>
      </c>
      <c r="M2813" s="3">
        <v>40367</v>
      </c>
      <c r="N2813" s="2" t="s">
        <v>9075</v>
      </c>
      <c r="O2813" s="2" t="s">
        <v>82</v>
      </c>
      <c r="P2813" s="2" t="s">
        <v>82</v>
      </c>
      <c r="Q2813" s="2" t="str">
        <f>"N/C"</f>
        <v>N/C</v>
      </c>
      <c r="R2813" s="2" t="s">
        <v>82</v>
      </c>
      <c r="S2813" s="2" t="s">
        <v>82</v>
      </c>
      <c r="T2813" s="2">
        <v>1</v>
      </c>
      <c r="U2813" s="2" t="s">
        <v>79</v>
      </c>
      <c r="V2813" s="2">
        <v>1</v>
      </c>
      <c r="W2813" s="2" t="s">
        <v>80</v>
      </c>
      <c r="X2813" s="2">
        <v>1</v>
      </c>
      <c r="Y2813" s="2" t="s">
        <v>81</v>
      </c>
      <c r="Z2813" s="2">
        <v>1</v>
      </c>
      <c r="AA2813" s="2" t="s">
        <v>82</v>
      </c>
      <c r="AB2813" s="2">
        <v>9</v>
      </c>
      <c r="AC2813" s="2" t="s">
        <v>124</v>
      </c>
      <c r="AD2813" s="3">
        <v>40367</v>
      </c>
      <c r="AE2813" s="4">
        <v>0.4375</v>
      </c>
      <c r="AF2813" s="2"/>
      <c r="AG2813" s="2"/>
      <c r="AH2813" s="2">
        <v>2</v>
      </c>
      <c r="AI2813" s="2" t="s">
        <v>84</v>
      </c>
      <c r="AJ2813" s="2">
        <v>9</v>
      </c>
      <c r="AK2813" s="2" t="s">
        <v>103</v>
      </c>
      <c r="AL2813" s="2">
        <v>28</v>
      </c>
      <c r="AM2813" s="2" t="s">
        <v>5969</v>
      </c>
      <c r="AN2813" s="2"/>
      <c r="AO2813" s="2" t="s">
        <v>9331</v>
      </c>
      <c r="AP2813" s="2">
        <v>11</v>
      </c>
      <c r="AQ2813" s="2" t="s">
        <v>82</v>
      </c>
      <c r="AR2813" s="2"/>
      <c r="AS2813" s="2"/>
      <c r="AT2813" s="2" t="s">
        <v>9332</v>
      </c>
      <c r="AU2813" s="2"/>
      <c r="AV2813" s="2"/>
      <c r="AW2813" s="2"/>
      <c r="AX2813" s="2"/>
      <c r="AY2813" s="2">
        <v>41</v>
      </c>
      <c r="AZ2813" s="2" t="s">
        <v>82</v>
      </c>
      <c r="BA2813" s="2">
        <v>41</v>
      </c>
      <c r="BB2813" s="2" t="s">
        <v>82</v>
      </c>
      <c r="BC2813" s="2">
        <v>41</v>
      </c>
      <c r="BD2813" s="2" t="s">
        <v>82</v>
      </c>
      <c r="BE2813" s="2">
        <v>41</v>
      </c>
      <c r="BF2813" s="2" t="s">
        <v>82</v>
      </c>
      <c r="BG2813" s="2"/>
      <c r="BH2813" s="2"/>
      <c r="BI2813" s="2"/>
      <c r="BJ2813" s="2">
        <v>241</v>
      </c>
      <c r="BK2813" s="2" t="s">
        <v>82</v>
      </c>
      <c r="BL2813" s="2"/>
      <c r="BM2813" s="2">
        <v>241</v>
      </c>
      <c r="BN2813" s="2" t="s">
        <v>82</v>
      </c>
      <c r="BO2813" s="2"/>
      <c r="BP2813" s="2">
        <v>241</v>
      </c>
      <c r="BQ2813" s="2" t="s">
        <v>82</v>
      </c>
      <c r="BR2813" s="2"/>
      <c r="BS2813" s="3">
        <v>40367</v>
      </c>
      <c r="BT2813" s="4">
        <v>0.8982175925925926</v>
      </c>
    </row>
    <row r="2814" spans="1:72" x14ac:dyDescent="0.25">
      <c r="A2814" s="2">
        <v>4117</v>
      </c>
      <c r="B2814" s="2">
        <v>2010</v>
      </c>
      <c r="C2814" s="2" t="s">
        <v>457</v>
      </c>
      <c r="D2814" s="2" t="s">
        <v>73</v>
      </c>
      <c r="E2814" s="2"/>
      <c r="F2814" s="2">
        <v>602</v>
      </c>
      <c r="G2814" s="2" t="s">
        <v>5972</v>
      </c>
      <c r="H2814" s="2">
        <v>50</v>
      </c>
      <c r="I2814" s="2" t="s">
        <v>107</v>
      </c>
      <c r="J2814" s="2">
        <v>1</v>
      </c>
      <c r="K2814" s="2" t="s">
        <v>107</v>
      </c>
      <c r="L2814" s="2" t="s">
        <v>107</v>
      </c>
      <c r="M2814" s="3">
        <v>40368</v>
      </c>
      <c r="N2814" s="2" t="s">
        <v>107</v>
      </c>
      <c r="O2814" s="2"/>
      <c r="P2814" s="2"/>
      <c r="Q2814" s="2" t="str">
        <f>""</f>
        <v/>
      </c>
      <c r="R2814" s="2"/>
      <c r="S2814" s="2"/>
      <c r="T2814" s="2">
        <v>1</v>
      </c>
      <c r="U2814" s="2" t="s">
        <v>79</v>
      </c>
      <c r="V2814" s="2">
        <v>1</v>
      </c>
      <c r="W2814" s="2" t="s">
        <v>80</v>
      </c>
      <c r="X2814" s="2">
        <v>11</v>
      </c>
      <c r="Y2814" s="2" t="s">
        <v>1920</v>
      </c>
      <c r="Z2814" s="2">
        <v>1</v>
      </c>
      <c r="AA2814" s="2" t="s">
        <v>82</v>
      </c>
      <c r="AB2814" s="2">
        <v>9</v>
      </c>
      <c r="AC2814" s="2" t="s">
        <v>124</v>
      </c>
      <c r="AD2814" s="3">
        <v>40368</v>
      </c>
      <c r="AE2814" s="4">
        <v>0.23958333333333334</v>
      </c>
      <c r="AF2814" s="2"/>
      <c r="AG2814" s="2"/>
      <c r="AH2814" s="2">
        <v>2</v>
      </c>
      <c r="AI2814" s="2" t="s">
        <v>84</v>
      </c>
      <c r="AJ2814" s="2">
        <v>12</v>
      </c>
      <c r="AK2814" s="2" t="s">
        <v>85</v>
      </c>
      <c r="AL2814" s="2">
        <v>2</v>
      </c>
      <c r="AM2814" s="2" t="s">
        <v>163</v>
      </c>
      <c r="AN2814" s="2"/>
      <c r="AO2814" s="2" t="s">
        <v>9333</v>
      </c>
      <c r="AP2814" s="2">
        <v>11</v>
      </c>
      <c r="AQ2814" s="2" t="s">
        <v>82</v>
      </c>
      <c r="AR2814" s="2"/>
      <c r="AS2814" s="2"/>
      <c r="AT2814" s="2" t="s">
        <v>9334</v>
      </c>
      <c r="AU2814" s="2"/>
      <c r="AV2814" s="2"/>
      <c r="AW2814" s="2"/>
      <c r="AX2814" s="2"/>
      <c r="AY2814" s="2">
        <v>41</v>
      </c>
      <c r="AZ2814" s="2" t="s">
        <v>82</v>
      </c>
      <c r="BA2814" s="2">
        <v>41</v>
      </c>
      <c r="BB2814" s="2" t="s">
        <v>82</v>
      </c>
      <c r="BC2814" s="2">
        <v>41</v>
      </c>
      <c r="BD2814" s="2" t="s">
        <v>82</v>
      </c>
      <c r="BE2814" s="2">
        <v>13</v>
      </c>
      <c r="BF2814" s="2" t="s">
        <v>108</v>
      </c>
      <c r="BG2814" s="2">
        <v>1250</v>
      </c>
      <c r="BH2814" s="2"/>
      <c r="BI2814" s="4">
        <v>0.3125</v>
      </c>
      <c r="BJ2814" s="2">
        <v>13</v>
      </c>
      <c r="BK2814" s="2" t="s">
        <v>91</v>
      </c>
      <c r="BL2814" s="2" t="s">
        <v>3520</v>
      </c>
      <c r="BM2814" s="2">
        <v>241</v>
      </c>
      <c r="BN2814" s="2" t="s">
        <v>82</v>
      </c>
      <c r="BO2814" s="2"/>
      <c r="BP2814" s="2">
        <v>33</v>
      </c>
      <c r="BQ2814" s="2" t="s">
        <v>361</v>
      </c>
      <c r="BR2814" s="2" t="s">
        <v>2723</v>
      </c>
      <c r="BS2814" s="3">
        <v>40368</v>
      </c>
      <c r="BT2814" s="4">
        <v>0.33346064814814813</v>
      </c>
    </row>
    <row r="2815" spans="1:72" x14ac:dyDescent="0.25">
      <c r="A2815" s="2">
        <v>4120</v>
      </c>
      <c r="B2815" s="2">
        <v>2010</v>
      </c>
      <c r="C2815" s="2" t="s">
        <v>196</v>
      </c>
      <c r="D2815" s="2" t="s">
        <v>122</v>
      </c>
      <c r="E2815" s="2"/>
      <c r="F2815" s="2">
        <v>1</v>
      </c>
      <c r="G2815" s="2" t="s">
        <v>82</v>
      </c>
      <c r="H2815" s="2">
        <v>1</v>
      </c>
      <c r="I2815" s="2" t="s">
        <v>82</v>
      </c>
      <c r="J2815" s="2">
        <v>1</v>
      </c>
      <c r="K2815" s="2" t="s">
        <v>107</v>
      </c>
      <c r="L2815" s="2" t="s">
        <v>107</v>
      </c>
      <c r="M2815" s="3">
        <v>40368</v>
      </c>
      <c r="N2815" s="2"/>
      <c r="O2815" s="2"/>
      <c r="P2815" s="2"/>
      <c r="Q2815" s="2" t="str">
        <f>""</f>
        <v/>
      </c>
      <c r="R2815" s="2"/>
      <c r="S2815" s="2"/>
      <c r="T2815" s="2">
        <v>2</v>
      </c>
      <c r="U2815" s="2" t="s">
        <v>123</v>
      </c>
      <c r="V2815" s="2">
        <v>1</v>
      </c>
      <c r="W2815" s="2" t="s">
        <v>80</v>
      </c>
      <c r="X2815" s="2">
        <v>11</v>
      </c>
      <c r="Y2815" s="2" t="s">
        <v>1920</v>
      </c>
      <c r="Z2815" s="2">
        <v>1</v>
      </c>
      <c r="AA2815" s="2" t="s">
        <v>82</v>
      </c>
      <c r="AB2815" s="2">
        <v>9</v>
      </c>
      <c r="AC2815" s="2" t="s">
        <v>124</v>
      </c>
      <c r="AD2815" s="3">
        <v>40368</v>
      </c>
      <c r="AE2815" s="4">
        <v>0.34375</v>
      </c>
      <c r="AF2815" s="2"/>
      <c r="AG2815" s="2"/>
      <c r="AH2815" s="2">
        <v>2</v>
      </c>
      <c r="AI2815" s="2" t="s">
        <v>84</v>
      </c>
      <c r="AJ2815" s="2">
        <v>12</v>
      </c>
      <c r="AK2815" s="2" t="s">
        <v>85</v>
      </c>
      <c r="AL2815" s="2">
        <v>20</v>
      </c>
      <c r="AM2815" s="2" t="s">
        <v>992</v>
      </c>
      <c r="AN2815" s="2"/>
      <c r="AO2815" s="2" t="s">
        <v>6749</v>
      </c>
      <c r="AP2815" s="2">
        <v>11</v>
      </c>
      <c r="AQ2815" s="2" t="s">
        <v>82</v>
      </c>
      <c r="AR2815" s="2"/>
      <c r="AS2815" s="2"/>
      <c r="AT2815" s="2" t="s">
        <v>9335</v>
      </c>
      <c r="AU2815" s="2"/>
      <c r="AV2815" s="2"/>
      <c r="AW2815" s="2"/>
      <c r="AX2815" s="2"/>
      <c r="AY2815" s="2">
        <v>41</v>
      </c>
      <c r="AZ2815" s="2" t="s">
        <v>82</v>
      </c>
      <c r="BA2815" s="2">
        <v>41</v>
      </c>
      <c r="BB2815" s="2" t="s">
        <v>82</v>
      </c>
      <c r="BC2815" s="2">
        <v>41</v>
      </c>
      <c r="BD2815" s="2" t="s">
        <v>82</v>
      </c>
      <c r="BE2815" s="2">
        <v>41</v>
      </c>
      <c r="BF2815" s="2" t="s">
        <v>82</v>
      </c>
      <c r="BG2815" s="2" t="s">
        <v>3783</v>
      </c>
      <c r="BH2815" s="2"/>
      <c r="BI2815" s="4">
        <v>0.4458333333333333</v>
      </c>
      <c r="BJ2815" s="2">
        <v>13</v>
      </c>
      <c r="BK2815" s="2" t="s">
        <v>91</v>
      </c>
      <c r="BL2815" s="2" t="s">
        <v>185</v>
      </c>
      <c r="BM2815" s="2">
        <v>241</v>
      </c>
      <c r="BN2815" s="2" t="s">
        <v>82</v>
      </c>
      <c r="BO2815" s="2"/>
      <c r="BP2815" s="2">
        <v>13</v>
      </c>
      <c r="BQ2815" s="2" t="s">
        <v>91</v>
      </c>
      <c r="BR2815" s="2" t="s">
        <v>744</v>
      </c>
      <c r="BS2815" s="3">
        <v>40368</v>
      </c>
      <c r="BT2815" s="4">
        <v>0.47503472222222221</v>
      </c>
    </row>
    <row r="2816" spans="1:72" x14ac:dyDescent="0.25">
      <c r="A2816" s="2">
        <v>4124</v>
      </c>
      <c r="B2816" s="2">
        <v>2010</v>
      </c>
      <c r="C2816" s="2" t="s">
        <v>128</v>
      </c>
      <c r="D2816" s="2" t="s">
        <v>73</v>
      </c>
      <c r="E2816" s="2"/>
      <c r="F2816" s="2">
        <v>67</v>
      </c>
      <c r="G2816" s="2" t="s">
        <v>3220</v>
      </c>
      <c r="H2816" s="2">
        <v>108</v>
      </c>
      <c r="I2816" s="2" t="s">
        <v>1096</v>
      </c>
      <c r="J2816" s="2">
        <v>99</v>
      </c>
      <c r="K2816" s="2" t="s">
        <v>3221</v>
      </c>
      <c r="L2816" s="2" t="s">
        <v>3222</v>
      </c>
      <c r="M2816" s="3">
        <v>40368</v>
      </c>
      <c r="N2816" s="2" t="s">
        <v>9336</v>
      </c>
      <c r="O2816" s="2" t="s">
        <v>107</v>
      </c>
      <c r="P2816" s="2" t="s">
        <v>82</v>
      </c>
      <c r="Q2816" s="2" t="str">
        <f>"024/10"</f>
        <v>024/10</v>
      </c>
      <c r="R2816" s="2" t="s">
        <v>9337</v>
      </c>
      <c r="S2816" s="2" t="s">
        <v>107</v>
      </c>
      <c r="T2816" s="2">
        <v>1</v>
      </c>
      <c r="U2816" s="2" t="s">
        <v>79</v>
      </c>
      <c r="V2816" s="2">
        <v>1</v>
      </c>
      <c r="W2816" s="2" t="s">
        <v>80</v>
      </c>
      <c r="X2816" s="2">
        <v>1</v>
      </c>
      <c r="Y2816" s="2" t="s">
        <v>81</v>
      </c>
      <c r="Z2816" s="2">
        <v>1</v>
      </c>
      <c r="AA2816" s="2" t="s">
        <v>82</v>
      </c>
      <c r="AB2816" s="2">
        <v>9</v>
      </c>
      <c r="AC2816" s="2" t="s">
        <v>124</v>
      </c>
      <c r="AD2816" s="3">
        <v>40368</v>
      </c>
      <c r="AE2816" s="4">
        <v>0.40972222222222227</v>
      </c>
      <c r="AF2816" s="2"/>
      <c r="AG2816" s="2"/>
      <c r="AH2816" s="2">
        <v>4</v>
      </c>
      <c r="AI2816" s="2" t="s">
        <v>125</v>
      </c>
      <c r="AJ2816" s="2">
        <v>28</v>
      </c>
      <c r="AK2816" s="2" t="s">
        <v>741</v>
      </c>
      <c r="AL2816" s="2">
        <v>11</v>
      </c>
      <c r="AM2816" s="2" t="s">
        <v>137</v>
      </c>
      <c r="AN2816" s="2" t="s">
        <v>9338</v>
      </c>
      <c r="AO2816" s="2" t="s">
        <v>9339</v>
      </c>
      <c r="AP2816" s="2">
        <v>11</v>
      </c>
      <c r="AQ2816" s="2" t="s">
        <v>82</v>
      </c>
      <c r="AR2816" s="2"/>
      <c r="AS2816" s="2"/>
      <c r="AT2816" s="2" t="s">
        <v>9340</v>
      </c>
      <c r="AU2816" s="2"/>
      <c r="AV2816" s="2"/>
      <c r="AW2816" s="2"/>
      <c r="AX2816" s="2"/>
      <c r="AY2816" s="2">
        <v>1</v>
      </c>
      <c r="AZ2816" s="2" t="s">
        <v>107</v>
      </c>
      <c r="BA2816" s="2">
        <v>1</v>
      </c>
      <c r="BB2816" s="2" t="s">
        <v>107</v>
      </c>
      <c r="BC2816" s="2">
        <v>1</v>
      </c>
      <c r="BD2816" s="2" t="s">
        <v>107</v>
      </c>
      <c r="BE2816" s="2">
        <v>13</v>
      </c>
      <c r="BF2816" s="2" t="s">
        <v>108</v>
      </c>
      <c r="BG2816" s="2">
        <v>2473</v>
      </c>
      <c r="BH2816" s="4">
        <v>0.52777777777777779</v>
      </c>
      <c r="BI2816" s="4">
        <v>0.57638888888888895</v>
      </c>
      <c r="BJ2816" s="2">
        <v>13</v>
      </c>
      <c r="BK2816" s="2" t="s">
        <v>91</v>
      </c>
      <c r="BL2816" s="2" t="s">
        <v>744</v>
      </c>
      <c r="BM2816" s="2">
        <v>13</v>
      </c>
      <c r="BN2816" s="2" t="s">
        <v>91</v>
      </c>
      <c r="BO2816" s="2" t="s">
        <v>82</v>
      </c>
      <c r="BP2816" s="2">
        <v>13</v>
      </c>
      <c r="BQ2816" s="2" t="s">
        <v>91</v>
      </c>
      <c r="BR2816" s="2" t="s">
        <v>564</v>
      </c>
      <c r="BS2816" s="3">
        <v>40368</v>
      </c>
      <c r="BT2816" s="4">
        <v>0.58561342592592591</v>
      </c>
    </row>
    <row r="2817" spans="1:72" x14ac:dyDescent="0.25">
      <c r="A2817" s="2">
        <v>4125</v>
      </c>
      <c r="B2817" s="2">
        <v>2010</v>
      </c>
      <c r="C2817" s="2" t="s">
        <v>196</v>
      </c>
      <c r="D2817" s="2" t="s">
        <v>122</v>
      </c>
      <c r="E2817" s="2"/>
      <c r="F2817" s="2">
        <v>1</v>
      </c>
      <c r="G2817" s="2" t="s">
        <v>82</v>
      </c>
      <c r="H2817" s="2">
        <v>1</v>
      </c>
      <c r="I2817" s="2" t="s">
        <v>82</v>
      </c>
      <c r="J2817" s="2">
        <v>1</v>
      </c>
      <c r="K2817" s="2" t="s">
        <v>107</v>
      </c>
      <c r="L2817" s="2" t="s">
        <v>107</v>
      </c>
      <c r="M2817" s="3">
        <v>40368</v>
      </c>
      <c r="N2817" s="2"/>
      <c r="O2817" s="2"/>
      <c r="P2817" s="2"/>
      <c r="Q2817" s="2" t="str">
        <f>""</f>
        <v/>
      </c>
      <c r="R2817" s="2"/>
      <c r="S2817" s="2"/>
      <c r="T2817" s="2">
        <v>2</v>
      </c>
      <c r="U2817" s="2" t="s">
        <v>123</v>
      </c>
      <c r="V2817" s="2">
        <v>1</v>
      </c>
      <c r="W2817" s="2" t="s">
        <v>80</v>
      </c>
      <c r="X2817" s="2">
        <v>11</v>
      </c>
      <c r="Y2817" s="2" t="s">
        <v>1920</v>
      </c>
      <c r="Z2817" s="2">
        <v>1</v>
      </c>
      <c r="AA2817" s="2" t="s">
        <v>82</v>
      </c>
      <c r="AB2817" s="2">
        <v>9</v>
      </c>
      <c r="AC2817" s="2" t="s">
        <v>124</v>
      </c>
      <c r="AD2817" s="3">
        <v>40368</v>
      </c>
      <c r="AE2817" s="4">
        <v>0.35416666666666669</v>
      </c>
      <c r="AF2817" s="2"/>
      <c r="AG2817" s="2"/>
      <c r="AH2817" s="2">
        <v>4</v>
      </c>
      <c r="AI2817" s="2" t="s">
        <v>125</v>
      </c>
      <c r="AJ2817" s="2">
        <v>28</v>
      </c>
      <c r="AK2817" s="2" t="s">
        <v>741</v>
      </c>
      <c r="AL2817" s="2">
        <v>10</v>
      </c>
      <c r="AM2817" s="2" t="s">
        <v>200</v>
      </c>
      <c r="AN2817" s="2"/>
      <c r="AO2817" s="2"/>
      <c r="AP2817" s="2">
        <v>11</v>
      </c>
      <c r="AQ2817" s="2" t="s">
        <v>82</v>
      </c>
      <c r="AR2817" s="2"/>
      <c r="AS2817" s="2"/>
      <c r="AT2817" s="2" t="s">
        <v>9341</v>
      </c>
      <c r="AU2817" s="2"/>
      <c r="AV2817" s="2"/>
      <c r="AW2817" s="2"/>
      <c r="AX2817" s="2"/>
      <c r="AY2817" s="2">
        <v>1</v>
      </c>
      <c r="AZ2817" s="2" t="s">
        <v>107</v>
      </c>
      <c r="BA2817" s="2">
        <v>1</v>
      </c>
      <c r="BB2817" s="2" t="s">
        <v>107</v>
      </c>
      <c r="BC2817" s="2">
        <v>1</v>
      </c>
      <c r="BD2817" s="2" t="s">
        <v>107</v>
      </c>
      <c r="BE2817" s="2">
        <v>1</v>
      </c>
      <c r="BF2817" s="2" t="s">
        <v>107</v>
      </c>
      <c r="BG2817" s="2"/>
      <c r="BH2817" s="2"/>
      <c r="BI2817" s="2"/>
      <c r="BJ2817" s="2">
        <v>241</v>
      </c>
      <c r="BK2817" s="2" t="s">
        <v>82</v>
      </c>
      <c r="BL2817" s="2"/>
      <c r="BM2817" s="2">
        <v>242</v>
      </c>
      <c r="BN2817" s="2" t="s">
        <v>107</v>
      </c>
      <c r="BO2817" s="2"/>
      <c r="BP2817" s="2">
        <v>242</v>
      </c>
      <c r="BQ2817" s="2" t="s">
        <v>107</v>
      </c>
      <c r="BR2817" s="2"/>
      <c r="BS2817" s="3">
        <v>40368</v>
      </c>
      <c r="BT2817" s="4">
        <v>0.61269675925925926</v>
      </c>
    </row>
    <row r="2818" spans="1:72" x14ac:dyDescent="0.25">
      <c r="A2818" s="2">
        <v>4125</v>
      </c>
      <c r="B2818" s="2">
        <v>2010</v>
      </c>
      <c r="C2818" s="2" t="s">
        <v>121</v>
      </c>
      <c r="D2818" s="2" t="s">
        <v>122</v>
      </c>
      <c r="E2818" s="2"/>
      <c r="F2818" s="2">
        <v>1</v>
      </c>
      <c r="G2818" s="2" t="s">
        <v>82</v>
      </c>
      <c r="H2818" s="2">
        <v>1</v>
      </c>
      <c r="I2818" s="2" t="s">
        <v>82</v>
      </c>
      <c r="J2818" s="2">
        <v>1</v>
      </c>
      <c r="K2818" s="2" t="s">
        <v>107</v>
      </c>
      <c r="L2818" s="2" t="s">
        <v>107</v>
      </c>
      <c r="M2818" s="3">
        <v>40368</v>
      </c>
      <c r="N2818" s="2"/>
      <c r="O2818" s="2"/>
      <c r="P2818" s="2"/>
      <c r="Q2818" s="2" t="str">
        <f>""</f>
        <v/>
      </c>
      <c r="R2818" s="2"/>
      <c r="S2818" s="2"/>
      <c r="T2818" s="2">
        <v>2</v>
      </c>
      <c r="U2818" s="2" t="s">
        <v>123</v>
      </c>
      <c r="V2818" s="2">
        <v>1</v>
      </c>
      <c r="W2818" s="2" t="s">
        <v>80</v>
      </c>
      <c r="X2818" s="2">
        <v>11</v>
      </c>
      <c r="Y2818" s="2" t="s">
        <v>1920</v>
      </c>
      <c r="Z2818" s="2">
        <v>1</v>
      </c>
      <c r="AA2818" s="2" t="s">
        <v>82</v>
      </c>
      <c r="AB2818" s="2">
        <v>9</v>
      </c>
      <c r="AC2818" s="2" t="s">
        <v>124</v>
      </c>
      <c r="AD2818" s="3">
        <v>40368</v>
      </c>
      <c r="AE2818" s="4">
        <v>0.35416666666666669</v>
      </c>
      <c r="AF2818" s="2"/>
      <c r="AG2818" s="2"/>
      <c r="AH2818" s="2">
        <v>4</v>
      </c>
      <c r="AI2818" s="2" t="s">
        <v>125</v>
      </c>
      <c r="AJ2818" s="2">
        <v>28</v>
      </c>
      <c r="AK2818" s="2" t="s">
        <v>741</v>
      </c>
      <c r="AL2818" s="2">
        <v>10</v>
      </c>
      <c r="AM2818" s="2" t="s">
        <v>200</v>
      </c>
      <c r="AN2818" s="2"/>
      <c r="AO2818" s="2"/>
      <c r="AP2818" s="2">
        <v>11</v>
      </c>
      <c r="AQ2818" s="2" t="s">
        <v>82</v>
      </c>
      <c r="AR2818" s="2"/>
      <c r="AS2818" s="2"/>
      <c r="AT2818" s="2" t="s">
        <v>9341</v>
      </c>
      <c r="AU2818" s="2"/>
      <c r="AV2818" s="2"/>
      <c r="AW2818" s="2"/>
      <c r="AX2818" s="2"/>
      <c r="AY2818" s="2">
        <v>1</v>
      </c>
      <c r="AZ2818" s="2" t="s">
        <v>107</v>
      </c>
      <c r="BA2818" s="2">
        <v>1</v>
      </c>
      <c r="BB2818" s="2" t="s">
        <v>107</v>
      </c>
      <c r="BC2818" s="2">
        <v>1</v>
      </c>
      <c r="BD2818" s="2" t="s">
        <v>107</v>
      </c>
      <c r="BE2818" s="2">
        <v>1</v>
      </c>
      <c r="BF2818" s="2" t="s">
        <v>107</v>
      </c>
      <c r="BG2818" s="2"/>
      <c r="BH2818" s="2"/>
      <c r="BI2818" s="2"/>
      <c r="BJ2818" s="2">
        <v>241</v>
      </c>
      <c r="BK2818" s="2" t="s">
        <v>82</v>
      </c>
      <c r="BL2818" s="2"/>
      <c r="BM2818" s="2">
        <v>242</v>
      </c>
      <c r="BN2818" s="2" t="s">
        <v>107</v>
      </c>
      <c r="BO2818" s="2"/>
      <c r="BP2818" s="2">
        <v>242</v>
      </c>
      <c r="BQ2818" s="2" t="s">
        <v>107</v>
      </c>
      <c r="BR2818" s="2"/>
      <c r="BS2818" s="3">
        <v>40368</v>
      </c>
      <c r="BT2818" s="4">
        <v>0.61269675925925926</v>
      </c>
    </row>
    <row r="2819" spans="1:72" x14ac:dyDescent="0.25">
      <c r="A2819" s="2">
        <v>4128</v>
      </c>
      <c r="B2819" s="2">
        <v>2010</v>
      </c>
      <c r="C2819" s="2" t="s">
        <v>171</v>
      </c>
      <c r="D2819" s="2" t="s">
        <v>122</v>
      </c>
      <c r="E2819" s="2" t="s">
        <v>9342</v>
      </c>
      <c r="F2819" s="2">
        <v>293</v>
      </c>
      <c r="G2819" s="2" t="s">
        <v>8731</v>
      </c>
      <c r="H2819" s="2">
        <v>23</v>
      </c>
      <c r="I2819" s="2" t="s">
        <v>422</v>
      </c>
      <c r="J2819" s="2">
        <v>608</v>
      </c>
      <c r="K2819" s="2" t="s">
        <v>9194</v>
      </c>
      <c r="L2819" s="2" t="s">
        <v>9195</v>
      </c>
      <c r="M2819" s="3">
        <v>40368</v>
      </c>
      <c r="N2819" s="2" t="s">
        <v>9343</v>
      </c>
      <c r="O2819" s="2" t="s">
        <v>9197</v>
      </c>
      <c r="P2819" s="2" t="s">
        <v>9198</v>
      </c>
      <c r="Q2819" s="2" t="str">
        <f>"014/10"</f>
        <v>014/10</v>
      </c>
      <c r="R2819" s="2"/>
      <c r="S2819" s="2"/>
      <c r="T2819" s="2">
        <v>1</v>
      </c>
      <c r="U2819" s="2" t="s">
        <v>79</v>
      </c>
      <c r="V2819" s="2">
        <v>3</v>
      </c>
      <c r="W2819" s="2" t="s">
        <v>225</v>
      </c>
      <c r="X2819" s="2">
        <v>5</v>
      </c>
      <c r="Y2819" s="2" t="s">
        <v>82</v>
      </c>
      <c r="Z2819" s="2">
        <v>1</v>
      </c>
      <c r="AA2819" s="2" t="s">
        <v>82</v>
      </c>
      <c r="AB2819" s="2">
        <v>9</v>
      </c>
      <c r="AC2819" s="2" t="s">
        <v>124</v>
      </c>
      <c r="AD2819" s="2"/>
      <c r="AE2819" s="2"/>
      <c r="AF2819" s="3">
        <v>40368</v>
      </c>
      <c r="AG2819" s="4">
        <v>0.77638888888888891</v>
      </c>
      <c r="AH2819" s="2">
        <v>5</v>
      </c>
      <c r="AI2819" s="2" t="s">
        <v>274</v>
      </c>
      <c r="AJ2819" s="2">
        <v>35</v>
      </c>
      <c r="AK2819" s="2" t="s">
        <v>275</v>
      </c>
      <c r="AL2819" s="2">
        <v>18</v>
      </c>
      <c r="AM2819" s="2" t="s">
        <v>82</v>
      </c>
      <c r="AN2819" s="2" t="s">
        <v>9344</v>
      </c>
      <c r="AO2819" s="2" t="s">
        <v>6998</v>
      </c>
      <c r="AP2819" s="2">
        <v>11</v>
      </c>
      <c r="AQ2819" s="2" t="s">
        <v>82</v>
      </c>
      <c r="AR2819" s="2"/>
      <c r="AS2819" s="2"/>
      <c r="AT2819" s="2" t="s">
        <v>9345</v>
      </c>
      <c r="AU2819" s="2"/>
      <c r="AV2819" s="2"/>
      <c r="AW2819" s="2"/>
      <c r="AX2819" s="2"/>
      <c r="AY2819" s="2">
        <v>1</v>
      </c>
      <c r="AZ2819" s="2" t="s">
        <v>107</v>
      </c>
      <c r="BA2819" s="2">
        <v>1</v>
      </c>
      <c r="BB2819" s="2" t="s">
        <v>107</v>
      </c>
      <c r="BC2819" s="2">
        <v>1</v>
      </c>
      <c r="BD2819" s="2" t="s">
        <v>107</v>
      </c>
      <c r="BE2819" s="2">
        <v>1</v>
      </c>
      <c r="BF2819" s="2" t="s">
        <v>107</v>
      </c>
      <c r="BG2819" s="2"/>
      <c r="BH2819" s="2"/>
      <c r="BI2819" s="2"/>
      <c r="BJ2819" s="2">
        <v>242</v>
      </c>
      <c r="BK2819" s="2" t="s">
        <v>107</v>
      </c>
      <c r="BL2819" s="2"/>
      <c r="BM2819" s="2">
        <v>242</v>
      </c>
      <c r="BN2819" s="2" t="s">
        <v>107</v>
      </c>
      <c r="BO2819" s="2"/>
      <c r="BP2819" s="2">
        <v>242</v>
      </c>
      <c r="BQ2819" s="2" t="s">
        <v>107</v>
      </c>
      <c r="BR2819" s="2"/>
      <c r="BS2819" s="3">
        <v>40368</v>
      </c>
      <c r="BT2819" s="4">
        <v>0.80211805555555549</v>
      </c>
    </row>
    <row r="2820" spans="1:72" x14ac:dyDescent="0.25">
      <c r="A2820" s="2">
        <v>4129</v>
      </c>
      <c r="B2820" s="2">
        <v>2010</v>
      </c>
      <c r="C2820" s="2" t="s">
        <v>377</v>
      </c>
      <c r="D2820" s="2" t="s">
        <v>73</v>
      </c>
      <c r="E2820" s="2"/>
      <c r="F2820" s="2">
        <v>426</v>
      </c>
      <c r="G2820" s="2" t="s">
        <v>378</v>
      </c>
      <c r="H2820" s="2">
        <v>42</v>
      </c>
      <c r="I2820" s="2" t="s">
        <v>1096</v>
      </c>
      <c r="J2820" s="2">
        <v>311</v>
      </c>
      <c r="K2820" s="2" t="s">
        <v>379</v>
      </c>
      <c r="L2820" s="2" t="s">
        <v>380</v>
      </c>
      <c r="M2820" s="3">
        <v>40368</v>
      </c>
      <c r="N2820" s="2" t="s">
        <v>5164</v>
      </c>
      <c r="O2820" s="2"/>
      <c r="P2820" s="2"/>
      <c r="Q2820" s="2" t="str">
        <f>"153-C/10"</f>
        <v>153-C/10</v>
      </c>
      <c r="R2820" s="2" t="s">
        <v>9346</v>
      </c>
      <c r="S2820" s="2"/>
      <c r="T2820" s="2">
        <v>1</v>
      </c>
      <c r="U2820" s="2" t="s">
        <v>79</v>
      </c>
      <c r="V2820" s="2">
        <v>1</v>
      </c>
      <c r="W2820" s="2" t="s">
        <v>80</v>
      </c>
      <c r="X2820" s="2">
        <v>1</v>
      </c>
      <c r="Y2820" s="2" t="s">
        <v>81</v>
      </c>
      <c r="Z2820" s="2">
        <v>1</v>
      </c>
      <c r="AA2820" s="2" t="s">
        <v>82</v>
      </c>
      <c r="AB2820" s="2">
        <v>9</v>
      </c>
      <c r="AC2820" s="2" t="s">
        <v>124</v>
      </c>
      <c r="AD2820" s="3">
        <v>40368</v>
      </c>
      <c r="AE2820" s="4">
        <v>0.66666666666666663</v>
      </c>
      <c r="AF2820" s="2"/>
      <c r="AG2820" s="2"/>
      <c r="AH2820" s="2">
        <v>2</v>
      </c>
      <c r="AI2820" s="2" t="s">
        <v>84</v>
      </c>
      <c r="AJ2820" s="2">
        <v>9</v>
      </c>
      <c r="AK2820" s="2" t="s">
        <v>103</v>
      </c>
      <c r="AL2820" s="2">
        <v>29</v>
      </c>
      <c r="AM2820" s="2" t="s">
        <v>5416</v>
      </c>
      <c r="AN2820" s="2"/>
      <c r="AO2820" s="2" t="s">
        <v>9347</v>
      </c>
      <c r="AP2820" s="2">
        <v>11</v>
      </c>
      <c r="AQ2820" s="2" t="s">
        <v>82</v>
      </c>
      <c r="AR2820" s="2"/>
      <c r="AS2820" s="2"/>
      <c r="AT2820" s="2" t="s">
        <v>9348</v>
      </c>
      <c r="AU2820" s="2"/>
      <c r="AV2820" s="2"/>
      <c r="AW2820" s="2"/>
      <c r="AX2820" s="2"/>
      <c r="AY2820" s="2">
        <v>41</v>
      </c>
      <c r="AZ2820" s="2" t="s">
        <v>82</v>
      </c>
      <c r="BA2820" s="2">
        <v>41</v>
      </c>
      <c r="BB2820" s="2" t="s">
        <v>82</v>
      </c>
      <c r="BC2820" s="2">
        <v>41</v>
      </c>
      <c r="BD2820" s="2" t="s">
        <v>82</v>
      </c>
      <c r="BE2820" s="2">
        <v>41</v>
      </c>
      <c r="BF2820" s="2" t="s">
        <v>82</v>
      </c>
      <c r="BG2820" s="2"/>
      <c r="BH2820" s="2"/>
      <c r="BI2820" s="2"/>
      <c r="BJ2820" s="2">
        <v>241</v>
      </c>
      <c r="BK2820" s="2" t="s">
        <v>82</v>
      </c>
      <c r="BL2820" s="2"/>
      <c r="BM2820" s="2">
        <v>241</v>
      </c>
      <c r="BN2820" s="2" t="s">
        <v>82</v>
      </c>
      <c r="BO2820" s="2"/>
      <c r="BP2820" s="2">
        <v>241</v>
      </c>
      <c r="BQ2820" s="2" t="s">
        <v>82</v>
      </c>
      <c r="BR2820" s="2"/>
      <c r="BS2820" s="3">
        <v>40368</v>
      </c>
      <c r="BT2820" s="4">
        <v>0.85494212962962957</v>
      </c>
    </row>
    <row r="2821" spans="1:72" x14ac:dyDescent="0.25">
      <c r="A2821" s="2">
        <v>4130</v>
      </c>
      <c r="B2821" s="2">
        <v>2010</v>
      </c>
      <c r="C2821" s="2" t="s">
        <v>819</v>
      </c>
      <c r="D2821" s="2" t="s">
        <v>73</v>
      </c>
      <c r="E2821" s="2"/>
      <c r="F2821" s="2">
        <v>470</v>
      </c>
      <c r="G2821" s="2" t="s">
        <v>2979</v>
      </c>
      <c r="H2821" s="2">
        <v>2</v>
      </c>
      <c r="I2821" s="2" t="s">
        <v>267</v>
      </c>
      <c r="J2821" s="2">
        <v>371</v>
      </c>
      <c r="K2821" s="2" t="s">
        <v>1138</v>
      </c>
      <c r="L2821" s="2" t="s">
        <v>1139</v>
      </c>
      <c r="M2821" s="3">
        <v>40368</v>
      </c>
      <c r="N2821" s="2" t="s">
        <v>9349</v>
      </c>
      <c r="O2821" s="2"/>
      <c r="P2821" s="2"/>
      <c r="Q2821" s="2" t="str">
        <f>"0091/2010"</f>
        <v>0091/2010</v>
      </c>
      <c r="R2821" s="2" t="s">
        <v>2003</v>
      </c>
      <c r="S2821" s="2"/>
      <c r="T2821" s="2">
        <v>1</v>
      </c>
      <c r="U2821" s="2" t="s">
        <v>79</v>
      </c>
      <c r="V2821" s="2">
        <v>1</v>
      </c>
      <c r="W2821" s="2" t="s">
        <v>80</v>
      </c>
      <c r="X2821" s="2">
        <v>1</v>
      </c>
      <c r="Y2821" s="2" t="s">
        <v>81</v>
      </c>
      <c r="Z2821" s="2">
        <v>1</v>
      </c>
      <c r="AA2821" s="2" t="s">
        <v>82</v>
      </c>
      <c r="AB2821" s="2">
        <v>9</v>
      </c>
      <c r="AC2821" s="2" t="s">
        <v>124</v>
      </c>
      <c r="AD2821" s="3">
        <v>40368</v>
      </c>
      <c r="AE2821" s="4">
        <v>0.77083333333333337</v>
      </c>
      <c r="AF2821" s="2"/>
      <c r="AG2821" s="2"/>
      <c r="AH2821" s="2">
        <v>5</v>
      </c>
      <c r="AI2821" s="2" t="s">
        <v>274</v>
      </c>
      <c r="AJ2821" s="2">
        <v>38</v>
      </c>
      <c r="AK2821" s="2" t="s">
        <v>1120</v>
      </c>
      <c r="AL2821" s="2">
        <v>25</v>
      </c>
      <c r="AM2821" s="2" t="s">
        <v>3073</v>
      </c>
      <c r="AN2821" s="2"/>
      <c r="AO2821" s="2" t="s">
        <v>230</v>
      </c>
      <c r="AP2821" s="2">
        <v>11</v>
      </c>
      <c r="AQ2821" s="2" t="s">
        <v>82</v>
      </c>
      <c r="AR2821" s="2"/>
      <c r="AS2821" s="2"/>
      <c r="AT2821" s="2" t="s">
        <v>9350</v>
      </c>
      <c r="AU2821" s="2"/>
      <c r="AV2821" s="2"/>
      <c r="AW2821" s="2"/>
      <c r="AX2821" s="2"/>
      <c r="AY2821" s="2">
        <v>41</v>
      </c>
      <c r="AZ2821" s="2" t="s">
        <v>82</v>
      </c>
      <c r="BA2821" s="2">
        <v>41</v>
      </c>
      <c r="BB2821" s="2" t="s">
        <v>82</v>
      </c>
      <c r="BC2821" s="2">
        <v>41</v>
      </c>
      <c r="BD2821" s="2" t="s">
        <v>82</v>
      </c>
      <c r="BE2821" s="2">
        <v>47</v>
      </c>
      <c r="BF2821" s="2" t="s">
        <v>167</v>
      </c>
      <c r="BG2821" s="2">
        <v>2735</v>
      </c>
      <c r="BH2821" s="4">
        <v>0.75138888888888899</v>
      </c>
      <c r="BI2821" s="4">
        <v>0.79375000000000007</v>
      </c>
      <c r="BJ2821" s="2">
        <v>13</v>
      </c>
      <c r="BK2821" s="2" t="s">
        <v>91</v>
      </c>
      <c r="BL2821" s="2" t="s">
        <v>1697</v>
      </c>
      <c r="BM2821" s="2">
        <v>241</v>
      </c>
      <c r="BN2821" s="2" t="s">
        <v>82</v>
      </c>
      <c r="BO2821" s="2" t="s">
        <v>82</v>
      </c>
      <c r="BP2821" s="2">
        <v>13</v>
      </c>
      <c r="BQ2821" s="2" t="s">
        <v>91</v>
      </c>
      <c r="BR2821" s="2" t="s">
        <v>170</v>
      </c>
      <c r="BS2821" s="3">
        <v>40368</v>
      </c>
      <c r="BT2821" s="4">
        <v>0.88140046296296293</v>
      </c>
    </row>
    <row r="2822" spans="1:72" x14ac:dyDescent="0.25">
      <c r="A2822" s="2">
        <v>4131</v>
      </c>
      <c r="B2822" s="2">
        <v>2010</v>
      </c>
      <c r="C2822" s="2" t="s">
        <v>196</v>
      </c>
      <c r="D2822" s="2" t="s">
        <v>122</v>
      </c>
      <c r="E2822" s="2" t="s">
        <v>9351</v>
      </c>
      <c r="F2822" s="2">
        <v>1</v>
      </c>
      <c r="G2822" s="2" t="s">
        <v>82</v>
      </c>
      <c r="H2822" s="2">
        <v>1</v>
      </c>
      <c r="I2822" s="2" t="s">
        <v>82</v>
      </c>
      <c r="J2822" s="2">
        <v>1</v>
      </c>
      <c r="K2822" s="2" t="s">
        <v>107</v>
      </c>
      <c r="L2822" s="2" t="s">
        <v>107</v>
      </c>
      <c r="M2822" s="3">
        <v>40368</v>
      </c>
      <c r="N2822" s="2"/>
      <c r="O2822" s="2"/>
      <c r="P2822" s="2"/>
      <c r="Q2822" s="2" t="str">
        <f>""</f>
        <v/>
      </c>
      <c r="R2822" s="2"/>
      <c r="S2822" s="2"/>
      <c r="T2822" s="2">
        <v>2</v>
      </c>
      <c r="U2822" s="2" t="s">
        <v>123</v>
      </c>
      <c r="V2822" s="2">
        <v>1</v>
      </c>
      <c r="W2822" s="2" t="s">
        <v>80</v>
      </c>
      <c r="X2822" s="2">
        <v>11</v>
      </c>
      <c r="Y2822" s="2" t="s">
        <v>1920</v>
      </c>
      <c r="Z2822" s="2">
        <v>1</v>
      </c>
      <c r="AA2822" s="2" t="s">
        <v>82</v>
      </c>
      <c r="AB2822" s="2">
        <v>9</v>
      </c>
      <c r="AC2822" s="2" t="s">
        <v>124</v>
      </c>
      <c r="AD2822" s="3">
        <v>40368</v>
      </c>
      <c r="AE2822" s="4">
        <v>0.35416666666666669</v>
      </c>
      <c r="AF2822" s="2"/>
      <c r="AG2822" s="2"/>
      <c r="AH2822" s="2">
        <v>4</v>
      </c>
      <c r="AI2822" s="2" t="s">
        <v>125</v>
      </c>
      <c r="AJ2822" s="2">
        <v>28</v>
      </c>
      <c r="AK2822" s="2" t="s">
        <v>741</v>
      </c>
      <c r="AL2822" s="2">
        <v>10</v>
      </c>
      <c r="AM2822" s="2" t="s">
        <v>200</v>
      </c>
      <c r="AN2822" s="2"/>
      <c r="AO2822" s="2"/>
      <c r="AP2822" s="2">
        <v>11</v>
      </c>
      <c r="AQ2822" s="2" t="s">
        <v>82</v>
      </c>
      <c r="AR2822" s="2"/>
      <c r="AS2822" s="2"/>
      <c r="AT2822" s="2" t="s">
        <v>9352</v>
      </c>
      <c r="AU2822" s="2"/>
      <c r="AV2822" s="2"/>
      <c r="AW2822" s="2"/>
      <c r="AX2822" s="2"/>
      <c r="AY2822" s="2">
        <v>1</v>
      </c>
      <c r="AZ2822" s="2" t="s">
        <v>107</v>
      </c>
      <c r="BA2822" s="2">
        <v>1</v>
      </c>
      <c r="BB2822" s="2" t="s">
        <v>107</v>
      </c>
      <c r="BC2822" s="2">
        <v>1</v>
      </c>
      <c r="BD2822" s="2" t="s">
        <v>107</v>
      </c>
      <c r="BE2822" s="2">
        <v>1</v>
      </c>
      <c r="BF2822" s="2" t="s">
        <v>107</v>
      </c>
      <c r="BG2822" s="2"/>
      <c r="BH2822" s="2"/>
      <c r="BI2822" s="2"/>
      <c r="BJ2822" s="2">
        <v>241</v>
      </c>
      <c r="BK2822" s="2" t="s">
        <v>82</v>
      </c>
      <c r="BL2822" s="2"/>
      <c r="BM2822" s="2">
        <v>242</v>
      </c>
      <c r="BN2822" s="2" t="s">
        <v>107</v>
      </c>
      <c r="BO2822" s="2"/>
      <c r="BP2822" s="2">
        <v>242</v>
      </c>
      <c r="BQ2822" s="2" t="s">
        <v>107</v>
      </c>
      <c r="BR2822" s="2"/>
      <c r="BS2822" s="3">
        <v>40368</v>
      </c>
      <c r="BT2822" s="4">
        <v>0.92991898148148155</v>
      </c>
    </row>
    <row r="2823" spans="1:72" x14ac:dyDescent="0.25">
      <c r="A2823" s="2">
        <v>4131</v>
      </c>
      <c r="B2823" s="2">
        <v>2010</v>
      </c>
      <c r="C2823" s="2" t="s">
        <v>121</v>
      </c>
      <c r="D2823" s="2" t="s">
        <v>122</v>
      </c>
      <c r="E2823" s="2" t="s">
        <v>9351</v>
      </c>
      <c r="F2823" s="2">
        <v>1</v>
      </c>
      <c r="G2823" s="2" t="s">
        <v>82</v>
      </c>
      <c r="H2823" s="2">
        <v>1</v>
      </c>
      <c r="I2823" s="2" t="s">
        <v>82</v>
      </c>
      <c r="J2823" s="2">
        <v>1</v>
      </c>
      <c r="K2823" s="2" t="s">
        <v>107</v>
      </c>
      <c r="L2823" s="2" t="s">
        <v>107</v>
      </c>
      <c r="M2823" s="3">
        <v>40368</v>
      </c>
      <c r="N2823" s="2"/>
      <c r="O2823" s="2"/>
      <c r="P2823" s="2"/>
      <c r="Q2823" s="2" t="str">
        <f>""</f>
        <v/>
      </c>
      <c r="R2823" s="2"/>
      <c r="S2823" s="2"/>
      <c r="T2823" s="2">
        <v>2</v>
      </c>
      <c r="U2823" s="2" t="s">
        <v>123</v>
      </c>
      <c r="V2823" s="2">
        <v>1</v>
      </c>
      <c r="W2823" s="2" t="s">
        <v>80</v>
      </c>
      <c r="X2823" s="2">
        <v>11</v>
      </c>
      <c r="Y2823" s="2" t="s">
        <v>1920</v>
      </c>
      <c r="Z2823" s="2">
        <v>1</v>
      </c>
      <c r="AA2823" s="2" t="s">
        <v>82</v>
      </c>
      <c r="AB2823" s="2">
        <v>9</v>
      </c>
      <c r="AC2823" s="2" t="s">
        <v>124</v>
      </c>
      <c r="AD2823" s="3">
        <v>40368</v>
      </c>
      <c r="AE2823" s="4">
        <v>0.35416666666666669</v>
      </c>
      <c r="AF2823" s="2"/>
      <c r="AG2823" s="2"/>
      <c r="AH2823" s="2">
        <v>4</v>
      </c>
      <c r="AI2823" s="2" t="s">
        <v>125</v>
      </c>
      <c r="AJ2823" s="2">
        <v>28</v>
      </c>
      <c r="AK2823" s="2" t="s">
        <v>741</v>
      </c>
      <c r="AL2823" s="2">
        <v>10</v>
      </c>
      <c r="AM2823" s="2" t="s">
        <v>200</v>
      </c>
      <c r="AN2823" s="2"/>
      <c r="AO2823" s="2"/>
      <c r="AP2823" s="2">
        <v>11</v>
      </c>
      <c r="AQ2823" s="2" t="s">
        <v>82</v>
      </c>
      <c r="AR2823" s="2"/>
      <c r="AS2823" s="2"/>
      <c r="AT2823" s="2" t="s">
        <v>9352</v>
      </c>
      <c r="AU2823" s="2"/>
      <c r="AV2823" s="2"/>
      <c r="AW2823" s="2"/>
      <c r="AX2823" s="2"/>
      <c r="AY2823" s="2">
        <v>1</v>
      </c>
      <c r="AZ2823" s="2" t="s">
        <v>107</v>
      </c>
      <c r="BA2823" s="2">
        <v>1</v>
      </c>
      <c r="BB2823" s="2" t="s">
        <v>107</v>
      </c>
      <c r="BC2823" s="2">
        <v>1</v>
      </c>
      <c r="BD2823" s="2" t="s">
        <v>107</v>
      </c>
      <c r="BE2823" s="2">
        <v>1</v>
      </c>
      <c r="BF2823" s="2" t="s">
        <v>107</v>
      </c>
      <c r="BG2823" s="2"/>
      <c r="BH2823" s="2"/>
      <c r="BI2823" s="2"/>
      <c r="BJ2823" s="2">
        <v>241</v>
      </c>
      <c r="BK2823" s="2" t="s">
        <v>82</v>
      </c>
      <c r="BL2823" s="2"/>
      <c r="BM2823" s="2">
        <v>242</v>
      </c>
      <c r="BN2823" s="2" t="s">
        <v>107</v>
      </c>
      <c r="BO2823" s="2"/>
      <c r="BP2823" s="2">
        <v>242</v>
      </c>
      <c r="BQ2823" s="2" t="s">
        <v>107</v>
      </c>
      <c r="BR2823" s="2"/>
      <c r="BS2823" s="3">
        <v>40368</v>
      </c>
      <c r="BT2823" s="4">
        <v>0.92991898148148155</v>
      </c>
    </row>
    <row r="2824" spans="1:72" x14ac:dyDescent="0.25">
      <c r="A2824" s="2">
        <v>4133</v>
      </c>
      <c r="B2824" s="2">
        <v>2010</v>
      </c>
      <c r="C2824" s="2" t="s">
        <v>72</v>
      </c>
      <c r="D2824" s="2" t="s">
        <v>73</v>
      </c>
      <c r="E2824" s="2"/>
      <c r="F2824" s="2">
        <v>35</v>
      </c>
      <c r="G2824" s="2" t="s">
        <v>2057</v>
      </c>
      <c r="H2824" s="2">
        <v>55</v>
      </c>
      <c r="I2824" s="2" t="s">
        <v>2058</v>
      </c>
      <c r="J2824" s="2">
        <v>409</v>
      </c>
      <c r="K2824" s="2" t="s">
        <v>3638</v>
      </c>
      <c r="L2824" s="2" t="s">
        <v>3639</v>
      </c>
      <c r="M2824" s="3">
        <v>40369</v>
      </c>
      <c r="N2824" s="2" t="s">
        <v>9353</v>
      </c>
      <c r="O2824" s="2" t="s">
        <v>601</v>
      </c>
      <c r="P2824" s="2" t="s">
        <v>601</v>
      </c>
      <c r="Q2824" s="2" t="str">
        <f>"32"</f>
        <v>32</v>
      </c>
      <c r="R2824" s="2" t="s">
        <v>4578</v>
      </c>
      <c r="S2824" s="2" t="s">
        <v>601</v>
      </c>
      <c r="T2824" s="2">
        <v>1</v>
      </c>
      <c r="U2824" s="2" t="s">
        <v>79</v>
      </c>
      <c r="V2824" s="2">
        <v>1</v>
      </c>
      <c r="W2824" s="2" t="s">
        <v>80</v>
      </c>
      <c r="X2824" s="2">
        <v>12</v>
      </c>
      <c r="Y2824" s="2" t="s">
        <v>148</v>
      </c>
      <c r="Z2824" s="2">
        <v>1</v>
      </c>
      <c r="AA2824" s="2" t="s">
        <v>82</v>
      </c>
      <c r="AB2824" s="2">
        <v>6</v>
      </c>
      <c r="AC2824" s="2" t="s">
        <v>83</v>
      </c>
      <c r="AD2824" s="3">
        <v>40368</v>
      </c>
      <c r="AE2824" s="2"/>
      <c r="AF2824" s="3">
        <v>40369</v>
      </c>
      <c r="AG2824" s="4">
        <v>3.4722222222222224E-2</v>
      </c>
      <c r="AH2824" s="2">
        <v>3</v>
      </c>
      <c r="AI2824" s="2" t="s">
        <v>214</v>
      </c>
      <c r="AJ2824" s="2">
        <v>17</v>
      </c>
      <c r="AK2824" s="2" t="s">
        <v>309</v>
      </c>
      <c r="AL2824" s="2">
        <v>10</v>
      </c>
      <c r="AM2824" s="2" t="s">
        <v>200</v>
      </c>
      <c r="AN2824" s="2" t="s">
        <v>9354</v>
      </c>
      <c r="AO2824" s="2"/>
      <c r="AP2824" s="2">
        <v>11</v>
      </c>
      <c r="AQ2824" s="2" t="s">
        <v>82</v>
      </c>
      <c r="AR2824" s="2" t="s">
        <v>82</v>
      </c>
      <c r="AS2824" s="2" t="s">
        <v>82</v>
      </c>
      <c r="AT2824" s="2" t="s">
        <v>9355</v>
      </c>
      <c r="AU2824" s="2"/>
      <c r="AV2824" s="2"/>
      <c r="AW2824" s="2"/>
      <c r="AX2824" s="2"/>
      <c r="AY2824" s="2">
        <v>44</v>
      </c>
      <c r="AZ2824" s="2" t="s">
        <v>262</v>
      </c>
      <c r="BA2824" s="2">
        <v>44</v>
      </c>
      <c r="BB2824" s="2" t="s">
        <v>262</v>
      </c>
      <c r="BC2824" s="2">
        <v>41</v>
      </c>
      <c r="BD2824" s="2" t="s">
        <v>82</v>
      </c>
      <c r="BE2824" s="2">
        <v>41</v>
      </c>
      <c r="BF2824" s="2" t="s">
        <v>82</v>
      </c>
      <c r="BG2824" s="2"/>
      <c r="BH2824" s="2"/>
      <c r="BI2824" s="2"/>
      <c r="BJ2824" s="2">
        <v>241</v>
      </c>
      <c r="BK2824" s="2" t="s">
        <v>82</v>
      </c>
      <c r="BL2824" s="2" t="s">
        <v>82</v>
      </c>
      <c r="BM2824" s="2">
        <v>241</v>
      </c>
      <c r="BN2824" s="2" t="s">
        <v>82</v>
      </c>
      <c r="BO2824" s="2" t="s">
        <v>82</v>
      </c>
      <c r="BP2824" s="2">
        <v>241</v>
      </c>
      <c r="BQ2824" s="2" t="s">
        <v>82</v>
      </c>
      <c r="BR2824" s="2" t="s">
        <v>82</v>
      </c>
      <c r="BS2824" s="3">
        <v>40369</v>
      </c>
      <c r="BT2824" s="4">
        <v>7.5856481481481483E-2</v>
      </c>
    </row>
    <row r="2825" spans="1:72" x14ac:dyDescent="0.25">
      <c r="A2825" s="2">
        <v>4134</v>
      </c>
      <c r="B2825" s="2">
        <v>2010</v>
      </c>
      <c r="C2825" s="2" t="s">
        <v>72</v>
      </c>
      <c r="D2825" s="2" t="s">
        <v>73</v>
      </c>
      <c r="E2825" s="2"/>
      <c r="F2825" s="2">
        <v>24</v>
      </c>
      <c r="G2825" s="2" t="s">
        <v>532</v>
      </c>
      <c r="H2825" s="2">
        <v>42</v>
      </c>
      <c r="I2825" s="2" t="s">
        <v>1096</v>
      </c>
      <c r="J2825" s="2">
        <v>300</v>
      </c>
      <c r="K2825" s="2" t="s">
        <v>114</v>
      </c>
      <c r="L2825" s="2" t="s">
        <v>115</v>
      </c>
      <c r="M2825" s="3">
        <v>40369</v>
      </c>
      <c r="N2825" s="2" t="s">
        <v>107</v>
      </c>
      <c r="O2825" s="2" t="s">
        <v>107</v>
      </c>
      <c r="P2825" s="2" t="s">
        <v>107</v>
      </c>
      <c r="Q2825" s="2" t="str">
        <f>"361-E/10"</f>
        <v>361-E/10</v>
      </c>
      <c r="R2825" s="2" t="s">
        <v>601</v>
      </c>
      <c r="S2825" s="2" t="s">
        <v>601</v>
      </c>
      <c r="T2825" s="2">
        <v>1</v>
      </c>
      <c r="U2825" s="2" t="s">
        <v>79</v>
      </c>
      <c r="V2825" s="2">
        <v>1</v>
      </c>
      <c r="W2825" s="2" t="s">
        <v>80</v>
      </c>
      <c r="X2825" s="2">
        <v>12</v>
      </c>
      <c r="Y2825" s="2" t="s">
        <v>148</v>
      </c>
      <c r="Z2825" s="2">
        <v>1</v>
      </c>
      <c r="AA2825" s="2" t="s">
        <v>82</v>
      </c>
      <c r="AB2825" s="2">
        <v>6</v>
      </c>
      <c r="AC2825" s="2" t="s">
        <v>83</v>
      </c>
      <c r="AD2825" s="2"/>
      <c r="AE2825" s="2"/>
      <c r="AF2825" s="3">
        <v>40369</v>
      </c>
      <c r="AG2825" s="4">
        <v>0.40277777777777773</v>
      </c>
      <c r="AH2825" s="2">
        <v>2</v>
      </c>
      <c r="AI2825" s="2" t="s">
        <v>84</v>
      </c>
      <c r="AJ2825" s="2">
        <v>9</v>
      </c>
      <c r="AK2825" s="2" t="s">
        <v>103</v>
      </c>
      <c r="AL2825" s="2">
        <v>26</v>
      </c>
      <c r="AM2825" s="2" t="s">
        <v>6036</v>
      </c>
      <c r="AN2825" s="2" t="s">
        <v>9356</v>
      </c>
      <c r="AO2825" s="2" t="s">
        <v>9357</v>
      </c>
      <c r="AP2825" s="2">
        <v>11</v>
      </c>
      <c r="AQ2825" s="2" t="s">
        <v>82</v>
      </c>
      <c r="AR2825" s="2"/>
      <c r="AS2825" s="2"/>
      <c r="AT2825" s="2" t="s">
        <v>9358</v>
      </c>
      <c r="AU2825" s="2"/>
      <c r="AV2825" s="2"/>
      <c r="AW2825" s="2"/>
      <c r="AX2825" s="2"/>
      <c r="AY2825" s="2">
        <v>41</v>
      </c>
      <c r="AZ2825" s="2" t="s">
        <v>82</v>
      </c>
      <c r="BA2825" s="2">
        <v>41</v>
      </c>
      <c r="BB2825" s="2" t="s">
        <v>82</v>
      </c>
      <c r="BC2825" s="2">
        <v>41</v>
      </c>
      <c r="BD2825" s="2" t="s">
        <v>82</v>
      </c>
      <c r="BE2825" s="2">
        <v>25</v>
      </c>
      <c r="BF2825" s="2" t="s">
        <v>358</v>
      </c>
      <c r="BG2825" s="2" t="s">
        <v>9359</v>
      </c>
      <c r="BH2825" s="4">
        <v>0.83333333333333337</v>
      </c>
      <c r="BI2825" s="2"/>
      <c r="BJ2825" s="2">
        <v>33</v>
      </c>
      <c r="BK2825" s="2" t="s">
        <v>361</v>
      </c>
      <c r="BL2825" s="2" t="s">
        <v>1739</v>
      </c>
      <c r="BM2825" s="2">
        <v>241</v>
      </c>
      <c r="BN2825" s="2" t="s">
        <v>82</v>
      </c>
      <c r="BO2825" s="2" t="s">
        <v>82</v>
      </c>
      <c r="BP2825" s="2">
        <v>13</v>
      </c>
      <c r="BQ2825" s="2" t="s">
        <v>91</v>
      </c>
      <c r="BR2825" s="2" t="s">
        <v>360</v>
      </c>
      <c r="BS2825" s="3">
        <v>40369</v>
      </c>
      <c r="BT2825" s="4">
        <v>0.49668981481481483</v>
      </c>
    </row>
    <row r="2826" spans="1:72" x14ac:dyDescent="0.25">
      <c r="A2826" s="2">
        <v>4135</v>
      </c>
      <c r="B2826" s="2">
        <v>2010</v>
      </c>
      <c r="C2826" s="2" t="s">
        <v>171</v>
      </c>
      <c r="D2826" s="2" t="s">
        <v>73</v>
      </c>
      <c r="E2826" s="2"/>
      <c r="F2826" s="2">
        <v>398</v>
      </c>
      <c r="G2826" s="2" t="s">
        <v>94</v>
      </c>
      <c r="H2826" s="2">
        <v>13</v>
      </c>
      <c r="I2826" s="2" t="s">
        <v>2229</v>
      </c>
      <c r="J2826" s="2">
        <v>245</v>
      </c>
      <c r="K2826" s="2" t="s">
        <v>96</v>
      </c>
      <c r="L2826" s="2" t="s">
        <v>97</v>
      </c>
      <c r="M2826" s="3">
        <v>40369</v>
      </c>
      <c r="N2826" s="2" t="s">
        <v>3767</v>
      </c>
      <c r="O2826" s="2"/>
      <c r="P2826" s="2"/>
      <c r="Q2826" s="2" t="str">
        <f>"362-E/10"</f>
        <v>362-E/10</v>
      </c>
      <c r="R2826" s="2"/>
      <c r="S2826" s="2" t="s">
        <v>391</v>
      </c>
      <c r="T2826" s="2">
        <v>1</v>
      </c>
      <c r="U2826" s="2" t="s">
        <v>79</v>
      </c>
      <c r="V2826" s="2">
        <v>1</v>
      </c>
      <c r="W2826" s="2" t="s">
        <v>80</v>
      </c>
      <c r="X2826" s="2">
        <v>1</v>
      </c>
      <c r="Y2826" s="2" t="s">
        <v>81</v>
      </c>
      <c r="Z2826" s="2">
        <v>1</v>
      </c>
      <c r="AA2826" s="2" t="s">
        <v>82</v>
      </c>
      <c r="AB2826" s="2">
        <v>1</v>
      </c>
      <c r="AC2826" s="2" t="s">
        <v>178</v>
      </c>
      <c r="AD2826" s="3">
        <v>40369</v>
      </c>
      <c r="AE2826" s="4">
        <v>0.47916666666666669</v>
      </c>
      <c r="AF2826" s="2"/>
      <c r="AG2826" s="2"/>
      <c r="AH2826" s="2">
        <v>2</v>
      </c>
      <c r="AI2826" s="2" t="s">
        <v>84</v>
      </c>
      <c r="AJ2826" s="2">
        <v>9</v>
      </c>
      <c r="AK2826" s="2" t="s">
        <v>103</v>
      </c>
      <c r="AL2826" s="2">
        <v>25</v>
      </c>
      <c r="AM2826" s="2" t="s">
        <v>3073</v>
      </c>
      <c r="AN2826" s="2" t="s">
        <v>179</v>
      </c>
      <c r="AO2826" s="2" t="s">
        <v>987</v>
      </c>
      <c r="AP2826" s="2">
        <v>11</v>
      </c>
      <c r="AQ2826" s="2" t="s">
        <v>82</v>
      </c>
      <c r="AR2826" s="2"/>
      <c r="AS2826" s="2"/>
      <c r="AT2826" s="2" t="s">
        <v>9360</v>
      </c>
      <c r="AU2826" s="2"/>
      <c r="AV2826" s="2">
        <v>1</v>
      </c>
      <c r="AW2826" s="2"/>
      <c r="AX2826" s="2"/>
      <c r="AY2826" s="2">
        <v>41</v>
      </c>
      <c r="AZ2826" s="2" t="s">
        <v>82</v>
      </c>
      <c r="BA2826" s="2">
        <v>41</v>
      </c>
      <c r="BB2826" s="2" t="s">
        <v>82</v>
      </c>
      <c r="BC2826" s="2">
        <v>41</v>
      </c>
      <c r="BD2826" s="2" t="s">
        <v>82</v>
      </c>
      <c r="BE2826" s="2">
        <v>23</v>
      </c>
      <c r="BF2826" s="2" t="s">
        <v>183</v>
      </c>
      <c r="BG2826" s="2" t="s">
        <v>4595</v>
      </c>
      <c r="BH2826" s="2"/>
      <c r="BI2826" s="4">
        <v>0.52083333333333337</v>
      </c>
      <c r="BJ2826" s="2">
        <v>13</v>
      </c>
      <c r="BK2826" s="2" t="s">
        <v>91</v>
      </c>
      <c r="BL2826" s="2" t="s">
        <v>360</v>
      </c>
      <c r="BM2826" s="2">
        <v>241</v>
      </c>
      <c r="BN2826" s="2" t="s">
        <v>82</v>
      </c>
      <c r="BO2826" s="2"/>
      <c r="BP2826" s="2">
        <v>73</v>
      </c>
      <c r="BQ2826" s="2" t="s">
        <v>186</v>
      </c>
      <c r="BR2826" s="2" t="s">
        <v>187</v>
      </c>
      <c r="BS2826" s="3">
        <v>40369</v>
      </c>
      <c r="BT2826" s="4">
        <v>0.75245370370370368</v>
      </c>
    </row>
    <row r="2827" spans="1:72" x14ac:dyDescent="0.25">
      <c r="A2827" s="2">
        <v>4136</v>
      </c>
      <c r="B2827" s="2">
        <v>2010</v>
      </c>
      <c r="C2827" s="2" t="s">
        <v>1568</v>
      </c>
      <c r="D2827" s="2" t="s">
        <v>73</v>
      </c>
      <c r="E2827" s="2"/>
      <c r="F2827" s="2">
        <v>464</v>
      </c>
      <c r="G2827" s="2" t="s">
        <v>978</v>
      </c>
      <c r="H2827" s="2">
        <v>99</v>
      </c>
      <c r="I2827" s="2" t="s">
        <v>6285</v>
      </c>
      <c r="J2827" s="2">
        <v>158</v>
      </c>
      <c r="K2827" s="2" t="s">
        <v>7200</v>
      </c>
      <c r="L2827" s="2" t="s">
        <v>7201</v>
      </c>
      <c r="M2827" s="3">
        <v>40369</v>
      </c>
      <c r="N2827" s="2" t="s">
        <v>9361</v>
      </c>
      <c r="O2827" s="2" t="s">
        <v>82</v>
      </c>
      <c r="P2827" s="2" t="s">
        <v>82</v>
      </c>
      <c r="Q2827" s="2" t="str">
        <f>"AP-0032/2010"</f>
        <v>AP-0032/2010</v>
      </c>
      <c r="R2827" s="2" t="s">
        <v>82</v>
      </c>
      <c r="S2827" s="2" t="s">
        <v>9362</v>
      </c>
      <c r="T2827" s="2">
        <v>1</v>
      </c>
      <c r="U2827" s="2" t="s">
        <v>79</v>
      </c>
      <c r="V2827" s="2">
        <v>1</v>
      </c>
      <c r="W2827" s="2" t="s">
        <v>80</v>
      </c>
      <c r="X2827" s="2">
        <v>1</v>
      </c>
      <c r="Y2827" s="2" t="s">
        <v>81</v>
      </c>
      <c r="Z2827" s="2">
        <v>1</v>
      </c>
      <c r="AA2827" s="2" t="s">
        <v>82</v>
      </c>
      <c r="AB2827" s="2">
        <v>4</v>
      </c>
      <c r="AC2827" s="2" t="s">
        <v>1569</v>
      </c>
      <c r="AD2827" s="3">
        <v>40369</v>
      </c>
      <c r="AE2827" s="4">
        <v>0.59722222222222221</v>
      </c>
      <c r="AF2827" s="2"/>
      <c r="AG2827" s="2"/>
      <c r="AH2827" s="2">
        <v>6</v>
      </c>
      <c r="AI2827" s="2" t="s">
        <v>197</v>
      </c>
      <c r="AJ2827" s="2">
        <v>60</v>
      </c>
      <c r="AK2827" s="2" t="s">
        <v>543</v>
      </c>
      <c r="AL2827" s="2">
        <v>22</v>
      </c>
      <c r="AM2827" s="2" t="s">
        <v>1853</v>
      </c>
      <c r="AN2827" s="2" t="s">
        <v>82</v>
      </c>
      <c r="AO2827" s="2" t="s">
        <v>9363</v>
      </c>
      <c r="AP2827" s="2">
        <v>11</v>
      </c>
      <c r="AQ2827" s="2" t="s">
        <v>82</v>
      </c>
      <c r="AR2827" s="2" t="s">
        <v>82</v>
      </c>
      <c r="AS2827" s="2" t="s">
        <v>82</v>
      </c>
      <c r="AT2827" s="2" t="s">
        <v>9364</v>
      </c>
      <c r="AU2827" s="2"/>
      <c r="AV2827" s="2"/>
      <c r="AW2827" s="2"/>
      <c r="AX2827" s="2"/>
      <c r="AY2827" s="2">
        <v>41</v>
      </c>
      <c r="AZ2827" s="2" t="s">
        <v>82</v>
      </c>
      <c r="BA2827" s="2">
        <v>41</v>
      </c>
      <c r="BB2827" s="2" t="s">
        <v>82</v>
      </c>
      <c r="BC2827" s="2">
        <v>41</v>
      </c>
      <c r="BD2827" s="2" t="s">
        <v>82</v>
      </c>
      <c r="BE2827" s="2">
        <v>13</v>
      </c>
      <c r="BF2827" s="2" t="s">
        <v>108</v>
      </c>
      <c r="BG2827" s="2" t="s">
        <v>9365</v>
      </c>
      <c r="BH2827" s="2"/>
      <c r="BI2827" s="4">
        <v>0.6381944444444444</v>
      </c>
      <c r="BJ2827" s="2">
        <v>13</v>
      </c>
      <c r="BK2827" s="2" t="s">
        <v>91</v>
      </c>
      <c r="BL2827" s="2" t="s">
        <v>895</v>
      </c>
      <c r="BM2827" s="2">
        <v>13</v>
      </c>
      <c r="BN2827" s="2" t="s">
        <v>91</v>
      </c>
      <c r="BO2827" s="2" t="s">
        <v>204</v>
      </c>
      <c r="BP2827" s="2">
        <v>13</v>
      </c>
      <c r="BQ2827" s="2" t="s">
        <v>91</v>
      </c>
      <c r="BR2827" s="2" t="s">
        <v>170</v>
      </c>
      <c r="BS2827" s="3">
        <v>40369</v>
      </c>
      <c r="BT2827" s="4">
        <v>0.75457175925925923</v>
      </c>
    </row>
    <row r="2828" spans="1:72" x14ac:dyDescent="0.25">
      <c r="A2828" s="2">
        <v>4137</v>
      </c>
      <c r="B2828" s="2">
        <v>2010</v>
      </c>
      <c r="C2828" s="2" t="s">
        <v>171</v>
      </c>
      <c r="D2828" s="2" t="s">
        <v>73</v>
      </c>
      <c r="E2828" s="2"/>
      <c r="F2828" s="2">
        <v>398</v>
      </c>
      <c r="G2828" s="2" t="s">
        <v>94</v>
      </c>
      <c r="H2828" s="2">
        <v>13</v>
      </c>
      <c r="I2828" s="2" t="s">
        <v>2229</v>
      </c>
      <c r="J2828" s="2">
        <v>245</v>
      </c>
      <c r="K2828" s="2" t="s">
        <v>96</v>
      </c>
      <c r="L2828" s="2" t="s">
        <v>97</v>
      </c>
      <c r="M2828" s="3">
        <v>40370</v>
      </c>
      <c r="N2828" s="2" t="s">
        <v>3767</v>
      </c>
      <c r="O2828" s="2"/>
      <c r="P2828" s="2"/>
      <c r="Q2828" s="2" t="str">
        <f>"363-E/10"</f>
        <v>363-E/10</v>
      </c>
      <c r="R2828" s="2"/>
      <c r="S2828" s="2" t="s">
        <v>391</v>
      </c>
      <c r="T2828" s="2">
        <v>1</v>
      </c>
      <c r="U2828" s="2" t="s">
        <v>79</v>
      </c>
      <c r="V2828" s="2">
        <v>1</v>
      </c>
      <c r="W2828" s="2" t="s">
        <v>80</v>
      </c>
      <c r="X2828" s="2">
        <v>1</v>
      </c>
      <c r="Y2828" s="2" t="s">
        <v>81</v>
      </c>
      <c r="Z2828" s="2">
        <v>1</v>
      </c>
      <c r="AA2828" s="2" t="s">
        <v>82</v>
      </c>
      <c r="AB2828" s="2">
        <v>1</v>
      </c>
      <c r="AC2828" s="2" t="s">
        <v>178</v>
      </c>
      <c r="AD2828" s="3">
        <v>40369</v>
      </c>
      <c r="AE2828" s="4">
        <v>0.81944444444444453</v>
      </c>
      <c r="AF2828" s="2"/>
      <c r="AG2828" s="2"/>
      <c r="AH2828" s="2">
        <v>2</v>
      </c>
      <c r="AI2828" s="2" t="s">
        <v>84</v>
      </c>
      <c r="AJ2828" s="2">
        <v>9</v>
      </c>
      <c r="AK2828" s="2" t="s">
        <v>103</v>
      </c>
      <c r="AL2828" s="2">
        <v>11</v>
      </c>
      <c r="AM2828" s="2" t="s">
        <v>137</v>
      </c>
      <c r="AN2828" s="2" t="s">
        <v>590</v>
      </c>
      <c r="AO2828" s="2" t="s">
        <v>919</v>
      </c>
      <c r="AP2828" s="2">
        <v>11</v>
      </c>
      <c r="AQ2828" s="2" t="s">
        <v>82</v>
      </c>
      <c r="AR2828" s="2"/>
      <c r="AS2828" s="2"/>
      <c r="AT2828" s="2" t="s">
        <v>9366</v>
      </c>
      <c r="AU2828" s="2"/>
      <c r="AV2828" s="2">
        <v>1</v>
      </c>
      <c r="AW2828" s="2"/>
      <c r="AX2828" s="2"/>
      <c r="AY2828" s="2">
        <v>41</v>
      </c>
      <c r="AZ2828" s="2" t="s">
        <v>82</v>
      </c>
      <c r="BA2828" s="2">
        <v>41</v>
      </c>
      <c r="BB2828" s="2" t="s">
        <v>82</v>
      </c>
      <c r="BC2828" s="2">
        <v>41</v>
      </c>
      <c r="BD2828" s="2" t="s">
        <v>82</v>
      </c>
      <c r="BE2828" s="2">
        <v>13</v>
      </c>
      <c r="BF2828" s="2" t="s">
        <v>108</v>
      </c>
      <c r="BG2828" s="2" t="s">
        <v>5713</v>
      </c>
      <c r="BH2828" s="2"/>
      <c r="BI2828" s="4">
        <v>0.875</v>
      </c>
      <c r="BJ2828" s="2">
        <v>13</v>
      </c>
      <c r="BK2828" s="2" t="s">
        <v>91</v>
      </c>
      <c r="BL2828" s="2" t="s">
        <v>360</v>
      </c>
      <c r="BM2828" s="2">
        <v>241</v>
      </c>
      <c r="BN2828" s="2" t="s">
        <v>82</v>
      </c>
      <c r="BO2828" s="2"/>
      <c r="BP2828" s="2">
        <v>73</v>
      </c>
      <c r="BQ2828" s="2" t="s">
        <v>186</v>
      </c>
      <c r="BR2828" s="2" t="s">
        <v>187</v>
      </c>
      <c r="BS2828" s="3">
        <v>40370</v>
      </c>
      <c r="BT2828" s="4">
        <v>9.2037037037037028E-2</v>
      </c>
    </row>
    <row r="2829" spans="1:72" x14ac:dyDescent="0.25">
      <c r="A2829" s="2">
        <v>4138</v>
      </c>
      <c r="B2829" s="2">
        <v>2010</v>
      </c>
      <c r="C2829" s="2" t="s">
        <v>764</v>
      </c>
      <c r="D2829" s="2" t="s">
        <v>73</v>
      </c>
      <c r="E2829" s="2"/>
      <c r="F2829" s="2">
        <v>154</v>
      </c>
      <c r="G2829" s="2" t="s">
        <v>793</v>
      </c>
      <c r="H2829" s="2">
        <v>9</v>
      </c>
      <c r="I2829" s="2" t="s">
        <v>794</v>
      </c>
      <c r="J2829" s="2">
        <v>166</v>
      </c>
      <c r="K2829" s="2" t="s">
        <v>795</v>
      </c>
      <c r="L2829" s="2" t="s">
        <v>796</v>
      </c>
      <c r="M2829" s="3">
        <v>40370</v>
      </c>
      <c r="N2829" s="2" t="s">
        <v>9367</v>
      </c>
      <c r="O2829" s="2" t="s">
        <v>107</v>
      </c>
      <c r="P2829" s="2" t="s">
        <v>107</v>
      </c>
      <c r="Q2829" s="2" t="str">
        <f>"254-A/10"</f>
        <v>254-A/10</v>
      </c>
      <c r="R2829" s="2" t="s">
        <v>9368</v>
      </c>
      <c r="S2829" s="2" t="s">
        <v>9368</v>
      </c>
      <c r="T2829" s="2">
        <v>1</v>
      </c>
      <c r="U2829" s="2" t="s">
        <v>79</v>
      </c>
      <c r="V2829" s="2">
        <v>1</v>
      </c>
      <c r="W2829" s="2" t="s">
        <v>80</v>
      </c>
      <c r="X2829" s="2">
        <v>1</v>
      </c>
      <c r="Y2829" s="2" t="s">
        <v>81</v>
      </c>
      <c r="Z2829" s="2">
        <v>1</v>
      </c>
      <c r="AA2829" s="2" t="s">
        <v>82</v>
      </c>
      <c r="AB2829" s="2">
        <v>9</v>
      </c>
      <c r="AC2829" s="2" t="s">
        <v>124</v>
      </c>
      <c r="AD2829" s="3">
        <v>40370</v>
      </c>
      <c r="AE2829" s="4">
        <v>0.24305555555555555</v>
      </c>
      <c r="AF2829" s="2"/>
      <c r="AG2829" s="2"/>
      <c r="AH2829" s="2">
        <v>2</v>
      </c>
      <c r="AI2829" s="2" t="s">
        <v>84</v>
      </c>
      <c r="AJ2829" s="2">
        <v>12</v>
      </c>
      <c r="AK2829" s="2" t="s">
        <v>85</v>
      </c>
      <c r="AL2829" s="2">
        <v>25</v>
      </c>
      <c r="AM2829" s="2" t="s">
        <v>3073</v>
      </c>
      <c r="AN2829" s="2" t="s">
        <v>9369</v>
      </c>
      <c r="AO2829" s="2" t="s">
        <v>7529</v>
      </c>
      <c r="AP2829" s="2">
        <v>11</v>
      </c>
      <c r="AQ2829" s="2" t="s">
        <v>82</v>
      </c>
      <c r="AR2829" s="2"/>
      <c r="AS2829" s="2"/>
      <c r="AT2829" s="2" t="s">
        <v>9370</v>
      </c>
      <c r="AU2829" s="2">
        <v>1</v>
      </c>
      <c r="AV2829" s="2"/>
      <c r="AW2829" s="2"/>
      <c r="AX2829" s="2"/>
      <c r="AY2829" s="2">
        <v>41</v>
      </c>
      <c r="AZ2829" s="2" t="s">
        <v>82</v>
      </c>
      <c r="BA2829" s="2">
        <v>41</v>
      </c>
      <c r="BB2829" s="2" t="s">
        <v>82</v>
      </c>
      <c r="BC2829" s="2">
        <v>41</v>
      </c>
      <c r="BD2829" s="2" t="s">
        <v>82</v>
      </c>
      <c r="BE2829" s="2">
        <v>41</v>
      </c>
      <c r="BF2829" s="2" t="s">
        <v>82</v>
      </c>
      <c r="BG2829" s="2"/>
      <c r="BH2829" s="2"/>
      <c r="BI2829" s="2"/>
      <c r="BJ2829" s="2">
        <v>241</v>
      </c>
      <c r="BK2829" s="2" t="s">
        <v>82</v>
      </c>
      <c r="BL2829" s="2"/>
      <c r="BM2829" s="2">
        <v>241</v>
      </c>
      <c r="BN2829" s="2" t="s">
        <v>82</v>
      </c>
      <c r="BO2829" s="2"/>
      <c r="BP2829" s="2">
        <v>241</v>
      </c>
      <c r="BQ2829" s="2" t="s">
        <v>82</v>
      </c>
      <c r="BR2829" s="2"/>
      <c r="BS2829" s="3">
        <v>40370</v>
      </c>
      <c r="BT2829" s="4">
        <v>0.3445023148148148</v>
      </c>
    </row>
    <row r="2830" spans="1:72" x14ac:dyDescent="0.25">
      <c r="A2830" s="2">
        <v>4139</v>
      </c>
      <c r="B2830" s="2">
        <v>2010</v>
      </c>
      <c r="C2830" s="2" t="s">
        <v>171</v>
      </c>
      <c r="D2830" s="2" t="s">
        <v>73</v>
      </c>
      <c r="E2830" s="2"/>
      <c r="F2830" s="2">
        <v>293</v>
      </c>
      <c r="G2830" s="2" t="s">
        <v>8731</v>
      </c>
      <c r="H2830" s="2">
        <v>44</v>
      </c>
      <c r="I2830" s="2" t="s">
        <v>1272</v>
      </c>
      <c r="J2830" s="2">
        <v>612</v>
      </c>
      <c r="K2830" s="2" t="s">
        <v>9371</v>
      </c>
      <c r="L2830" s="2" t="s">
        <v>9372</v>
      </c>
      <c r="M2830" s="3">
        <v>40370</v>
      </c>
      <c r="N2830" s="2" t="s">
        <v>9373</v>
      </c>
      <c r="O2830" s="2" t="s">
        <v>9374</v>
      </c>
      <c r="P2830" s="2" t="s">
        <v>9375</v>
      </c>
      <c r="Q2830" s="2" t="str">
        <f>"0014/2010"</f>
        <v>0014/2010</v>
      </c>
      <c r="R2830" s="2"/>
      <c r="S2830" s="2"/>
      <c r="T2830" s="2">
        <v>1</v>
      </c>
      <c r="U2830" s="2" t="s">
        <v>79</v>
      </c>
      <c r="V2830" s="2">
        <v>1</v>
      </c>
      <c r="W2830" s="2" t="s">
        <v>80</v>
      </c>
      <c r="X2830" s="2">
        <v>9</v>
      </c>
      <c r="Y2830" s="2" t="s">
        <v>3393</v>
      </c>
      <c r="Z2830" s="2">
        <v>1</v>
      </c>
      <c r="AA2830" s="2" t="s">
        <v>82</v>
      </c>
      <c r="AB2830" s="2">
        <v>1</v>
      </c>
      <c r="AC2830" s="2" t="s">
        <v>178</v>
      </c>
      <c r="AD2830" s="3">
        <v>40370</v>
      </c>
      <c r="AE2830" s="4">
        <v>4.1666666666666664E-2</v>
      </c>
      <c r="AF2830" s="2"/>
      <c r="AG2830" s="2"/>
      <c r="AH2830" s="2">
        <v>5</v>
      </c>
      <c r="AI2830" s="2" t="s">
        <v>274</v>
      </c>
      <c r="AJ2830" s="2">
        <v>39</v>
      </c>
      <c r="AK2830" s="2" t="s">
        <v>8737</v>
      </c>
      <c r="AL2830" s="2">
        <v>23</v>
      </c>
      <c r="AM2830" s="2" t="s">
        <v>251</v>
      </c>
      <c r="AN2830" s="2"/>
      <c r="AO2830" s="2" t="s">
        <v>9376</v>
      </c>
      <c r="AP2830" s="2">
        <v>11</v>
      </c>
      <c r="AQ2830" s="2" t="s">
        <v>82</v>
      </c>
      <c r="AR2830" s="2"/>
      <c r="AS2830" s="2"/>
      <c r="AT2830" s="2" t="s">
        <v>9377</v>
      </c>
      <c r="AU2830" s="2"/>
      <c r="AV2830" s="2">
        <v>1</v>
      </c>
      <c r="AW2830" s="2"/>
      <c r="AX2830" s="2"/>
      <c r="AY2830" s="2">
        <v>1</v>
      </c>
      <c r="AZ2830" s="2" t="s">
        <v>107</v>
      </c>
      <c r="BA2830" s="2">
        <v>1</v>
      </c>
      <c r="BB2830" s="2" t="s">
        <v>107</v>
      </c>
      <c r="BC2830" s="2">
        <v>1</v>
      </c>
      <c r="BD2830" s="2" t="s">
        <v>107</v>
      </c>
      <c r="BE2830" s="2">
        <v>1</v>
      </c>
      <c r="BF2830" s="2" t="s">
        <v>107</v>
      </c>
      <c r="BG2830" s="2"/>
      <c r="BH2830" s="2"/>
      <c r="BI2830" s="2"/>
      <c r="BJ2830" s="2">
        <v>242</v>
      </c>
      <c r="BK2830" s="2" t="s">
        <v>107</v>
      </c>
      <c r="BL2830" s="2"/>
      <c r="BM2830" s="2">
        <v>242</v>
      </c>
      <c r="BN2830" s="2" t="s">
        <v>107</v>
      </c>
      <c r="BO2830" s="2"/>
      <c r="BP2830" s="2">
        <v>242</v>
      </c>
      <c r="BQ2830" s="2" t="s">
        <v>107</v>
      </c>
      <c r="BR2830" s="2"/>
      <c r="BS2830" s="3">
        <v>40370</v>
      </c>
      <c r="BT2830" s="4">
        <v>0.39877314814814818</v>
      </c>
    </row>
    <row r="2831" spans="1:72" x14ac:dyDescent="0.25">
      <c r="A2831" s="2">
        <v>4140</v>
      </c>
      <c r="B2831" s="2">
        <v>2010</v>
      </c>
      <c r="C2831" s="2" t="s">
        <v>171</v>
      </c>
      <c r="D2831" s="2" t="s">
        <v>73</v>
      </c>
      <c r="E2831" s="2"/>
      <c r="F2831" s="2">
        <v>293</v>
      </c>
      <c r="G2831" s="2" t="s">
        <v>8731</v>
      </c>
      <c r="H2831" s="2">
        <v>44</v>
      </c>
      <c r="I2831" s="2" t="s">
        <v>1272</v>
      </c>
      <c r="J2831" s="2">
        <v>612</v>
      </c>
      <c r="K2831" s="2" t="s">
        <v>9371</v>
      </c>
      <c r="L2831" s="2" t="s">
        <v>9372</v>
      </c>
      <c r="M2831" s="3">
        <v>40370</v>
      </c>
      <c r="N2831" s="2" t="s">
        <v>9373</v>
      </c>
      <c r="O2831" s="2" t="s">
        <v>9378</v>
      </c>
      <c r="P2831" s="2" t="s">
        <v>9375</v>
      </c>
      <c r="Q2831" s="2" t="str">
        <f>"0014/2010"</f>
        <v>0014/2010</v>
      </c>
      <c r="R2831" s="2"/>
      <c r="S2831" s="2"/>
      <c r="T2831" s="2">
        <v>1</v>
      </c>
      <c r="U2831" s="2" t="s">
        <v>79</v>
      </c>
      <c r="V2831" s="2">
        <v>1</v>
      </c>
      <c r="W2831" s="2" t="s">
        <v>80</v>
      </c>
      <c r="X2831" s="2">
        <v>9</v>
      </c>
      <c r="Y2831" s="2" t="s">
        <v>3393</v>
      </c>
      <c r="Z2831" s="2">
        <v>1</v>
      </c>
      <c r="AA2831" s="2" t="s">
        <v>82</v>
      </c>
      <c r="AB2831" s="2">
        <v>1</v>
      </c>
      <c r="AC2831" s="2" t="s">
        <v>178</v>
      </c>
      <c r="AD2831" s="3">
        <v>40370</v>
      </c>
      <c r="AE2831" s="4">
        <v>3.125E-2</v>
      </c>
      <c r="AF2831" s="2"/>
      <c r="AG2831" s="2"/>
      <c r="AH2831" s="2">
        <v>5</v>
      </c>
      <c r="AI2831" s="2" t="s">
        <v>274</v>
      </c>
      <c r="AJ2831" s="2">
        <v>39</v>
      </c>
      <c r="AK2831" s="2" t="s">
        <v>8737</v>
      </c>
      <c r="AL2831" s="2">
        <v>23</v>
      </c>
      <c r="AM2831" s="2" t="s">
        <v>251</v>
      </c>
      <c r="AN2831" s="2"/>
      <c r="AO2831" s="2" t="s">
        <v>9379</v>
      </c>
      <c r="AP2831" s="2">
        <v>11</v>
      </c>
      <c r="AQ2831" s="2" t="s">
        <v>82</v>
      </c>
      <c r="AR2831" s="2"/>
      <c r="AS2831" s="2"/>
      <c r="AT2831" s="2" t="s">
        <v>9380</v>
      </c>
      <c r="AU2831" s="2"/>
      <c r="AV2831" s="2"/>
      <c r="AW2831" s="2"/>
      <c r="AX2831" s="2"/>
      <c r="AY2831" s="2">
        <v>1</v>
      </c>
      <c r="AZ2831" s="2" t="s">
        <v>107</v>
      </c>
      <c r="BA2831" s="2">
        <v>1</v>
      </c>
      <c r="BB2831" s="2" t="s">
        <v>107</v>
      </c>
      <c r="BC2831" s="2">
        <v>1</v>
      </c>
      <c r="BD2831" s="2" t="s">
        <v>107</v>
      </c>
      <c r="BE2831" s="2">
        <v>1</v>
      </c>
      <c r="BF2831" s="2" t="s">
        <v>107</v>
      </c>
      <c r="BG2831" s="2"/>
      <c r="BH2831" s="2"/>
      <c r="BI2831" s="2"/>
      <c r="BJ2831" s="2">
        <v>242</v>
      </c>
      <c r="BK2831" s="2" t="s">
        <v>107</v>
      </c>
      <c r="BL2831" s="2"/>
      <c r="BM2831" s="2">
        <v>242</v>
      </c>
      <c r="BN2831" s="2" t="s">
        <v>107</v>
      </c>
      <c r="BO2831" s="2"/>
      <c r="BP2831" s="2">
        <v>242</v>
      </c>
      <c r="BQ2831" s="2" t="s">
        <v>107</v>
      </c>
      <c r="BR2831" s="2"/>
      <c r="BS2831" s="3">
        <v>40370</v>
      </c>
      <c r="BT2831" s="4">
        <v>0.43973379629629633</v>
      </c>
    </row>
    <row r="2832" spans="1:72" x14ac:dyDescent="0.25">
      <c r="A2832" s="2">
        <v>4141</v>
      </c>
      <c r="B2832" s="2">
        <v>2010</v>
      </c>
      <c r="C2832" s="2" t="s">
        <v>171</v>
      </c>
      <c r="D2832" s="2" t="s">
        <v>73</v>
      </c>
      <c r="E2832" s="2"/>
      <c r="F2832" s="2">
        <v>293</v>
      </c>
      <c r="G2832" s="2" t="s">
        <v>8731</v>
      </c>
      <c r="H2832" s="2">
        <v>44</v>
      </c>
      <c r="I2832" s="2" t="s">
        <v>1272</v>
      </c>
      <c r="J2832" s="2">
        <v>612</v>
      </c>
      <c r="K2832" s="2" t="s">
        <v>9371</v>
      </c>
      <c r="L2832" s="2" t="s">
        <v>9372</v>
      </c>
      <c r="M2832" s="3">
        <v>40370</v>
      </c>
      <c r="N2832" s="2" t="s">
        <v>9373</v>
      </c>
      <c r="O2832" s="2" t="s">
        <v>9378</v>
      </c>
      <c r="P2832" s="2" t="s">
        <v>9375</v>
      </c>
      <c r="Q2832" s="2" t="str">
        <f>"0014/2010"</f>
        <v>0014/2010</v>
      </c>
      <c r="R2832" s="2"/>
      <c r="S2832" s="2"/>
      <c r="T2832" s="2">
        <v>1</v>
      </c>
      <c r="U2832" s="2" t="s">
        <v>79</v>
      </c>
      <c r="V2832" s="2">
        <v>1</v>
      </c>
      <c r="W2832" s="2" t="s">
        <v>80</v>
      </c>
      <c r="X2832" s="2">
        <v>9</v>
      </c>
      <c r="Y2832" s="2" t="s">
        <v>3393</v>
      </c>
      <c r="Z2832" s="2">
        <v>1</v>
      </c>
      <c r="AA2832" s="2" t="s">
        <v>82</v>
      </c>
      <c r="AB2832" s="2">
        <v>1</v>
      </c>
      <c r="AC2832" s="2" t="s">
        <v>178</v>
      </c>
      <c r="AD2832" s="3">
        <v>40370</v>
      </c>
      <c r="AE2832" s="4">
        <v>2.0833333333333332E-2</v>
      </c>
      <c r="AF2832" s="2"/>
      <c r="AG2832" s="2"/>
      <c r="AH2832" s="2">
        <v>5</v>
      </c>
      <c r="AI2832" s="2" t="s">
        <v>274</v>
      </c>
      <c r="AJ2832" s="2">
        <v>39</v>
      </c>
      <c r="AK2832" s="2" t="s">
        <v>8737</v>
      </c>
      <c r="AL2832" s="2">
        <v>23</v>
      </c>
      <c r="AM2832" s="2" t="s">
        <v>251</v>
      </c>
      <c r="AN2832" s="2"/>
      <c r="AO2832" s="2" t="s">
        <v>9381</v>
      </c>
      <c r="AP2832" s="2">
        <v>11</v>
      </c>
      <c r="AQ2832" s="2" t="s">
        <v>82</v>
      </c>
      <c r="AR2832" s="2"/>
      <c r="AS2832" s="2"/>
      <c r="AT2832" s="2" t="s">
        <v>9382</v>
      </c>
      <c r="AU2832" s="2"/>
      <c r="AV2832" s="2"/>
      <c r="AW2832" s="2"/>
      <c r="AX2832" s="2"/>
      <c r="AY2832" s="2">
        <v>41</v>
      </c>
      <c r="AZ2832" s="2" t="s">
        <v>82</v>
      </c>
      <c r="BA2832" s="2">
        <v>41</v>
      </c>
      <c r="BB2832" s="2" t="s">
        <v>82</v>
      </c>
      <c r="BC2832" s="2">
        <v>41</v>
      </c>
      <c r="BD2832" s="2" t="s">
        <v>82</v>
      </c>
      <c r="BE2832" s="2">
        <v>41</v>
      </c>
      <c r="BF2832" s="2" t="s">
        <v>82</v>
      </c>
      <c r="BG2832" s="2"/>
      <c r="BH2832" s="2"/>
      <c r="BI2832" s="2"/>
      <c r="BJ2832" s="2">
        <v>241</v>
      </c>
      <c r="BK2832" s="2" t="s">
        <v>82</v>
      </c>
      <c r="BL2832" s="2"/>
      <c r="BM2832" s="2">
        <v>241</v>
      </c>
      <c r="BN2832" s="2" t="s">
        <v>82</v>
      </c>
      <c r="BO2832" s="2"/>
      <c r="BP2832" s="2">
        <v>241</v>
      </c>
      <c r="BQ2832" s="2" t="s">
        <v>82</v>
      </c>
      <c r="BR2832" s="2"/>
      <c r="BS2832" s="3">
        <v>40370</v>
      </c>
      <c r="BT2832" s="4">
        <v>0.47214120370370366</v>
      </c>
    </row>
    <row r="2833" spans="1:72" x14ac:dyDescent="0.25">
      <c r="A2833" s="2">
        <v>4143</v>
      </c>
      <c r="B2833" s="2">
        <v>2010</v>
      </c>
      <c r="C2833" s="2" t="s">
        <v>93</v>
      </c>
      <c r="D2833" s="2" t="s">
        <v>73</v>
      </c>
      <c r="E2833" s="2"/>
      <c r="F2833" s="2">
        <v>133</v>
      </c>
      <c r="G2833" s="2" t="s">
        <v>9383</v>
      </c>
      <c r="H2833" s="2">
        <v>42</v>
      </c>
      <c r="I2833" s="2" t="s">
        <v>1096</v>
      </c>
      <c r="J2833" s="2">
        <v>150</v>
      </c>
      <c r="K2833" s="2" t="s">
        <v>9384</v>
      </c>
      <c r="L2833" s="2" t="s">
        <v>9385</v>
      </c>
      <c r="M2833" s="3">
        <v>40370</v>
      </c>
      <c r="N2833" s="2" t="s">
        <v>9386</v>
      </c>
      <c r="O2833" s="2" t="s">
        <v>9387</v>
      </c>
      <c r="P2833" s="2" t="s">
        <v>9388</v>
      </c>
      <c r="Q2833" s="2" t="str">
        <f>"AP 0033/2010"</f>
        <v>AP 0033/2010</v>
      </c>
      <c r="R2833" s="2" t="s">
        <v>82</v>
      </c>
      <c r="S2833" s="2" t="s">
        <v>9389</v>
      </c>
      <c r="T2833" s="2">
        <v>1</v>
      </c>
      <c r="U2833" s="2" t="s">
        <v>79</v>
      </c>
      <c r="V2833" s="2">
        <v>1</v>
      </c>
      <c r="W2833" s="2" t="s">
        <v>80</v>
      </c>
      <c r="X2833" s="2">
        <v>1</v>
      </c>
      <c r="Y2833" s="2" t="s">
        <v>81</v>
      </c>
      <c r="Z2833" s="2">
        <v>1</v>
      </c>
      <c r="AA2833" s="2" t="s">
        <v>82</v>
      </c>
      <c r="AB2833" s="2">
        <v>2</v>
      </c>
      <c r="AC2833" s="2" t="s">
        <v>102</v>
      </c>
      <c r="AD2833" s="3">
        <v>40370</v>
      </c>
      <c r="AE2833" s="4">
        <v>0.59722222222222221</v>
      </c>
      <c r="AF2833" s="2"/>
      <c r="AG2833" s="2"/>
      <c r="AH2833" s="2">
        <v>6</v>
      </c>
      <c r="AI2833" s="2" t="s">
        <v>197</v>
      </c>
      <c r="AJ2833" s="2">
        <v>60</v>
      </c>
      <c r="AK2833" s="2" t="s">
        <v>543</v>
      </c>
      <c r="AL2833" s="2">
        <v>11</v>
      </c>
      <c r="AM2833" s="2" t="s">
        <v>137</v>
      </c>
      <c r="AN2833" s="2" t="s">
        <v>82</v>
      </c>
      <c r="AO2833" s="2" t="s">
        <v>9390</v>
      </c>
      <c r="AP2833" s="2">
        <v>11</v>
      </c>
      <c r="AQ2833" s="2" t="s">
        <v>82</v>
      </c>
      <c r="AR2833" s="2" t="s">
        <v>82</v>
      </c>
      <c r="AS2833" s="2" t="s">
        <v>82</v>
      </c>
      <c r="AT2833" s="2" t="s">
        <v>9391</v>
      </c>
      <c r="AU2833" s="2"/>
      <c r="AV2833" s="2"/>
      <c r="AW2833" s="2"/>
      <c r="AX2833" s="2"/>
      <c r="AY2833" s="2">
        <v>41</v>
      </c>
      <c r="AZ2833" s="2" t="s">
        <v>82</v>
      </c>
      <c r="BA2833" s="2">
        <v>41</v>
      </c>
      <c r="BB2833" s="2" t="s">
        <v>82</v>
      </c>
      <c r="BC2833" s="2">
        <v>41</v>
      </c>
      <c r="BD2833" s="2" t="s">
        <v>82</v>
      </c>
      <c r="BE2833" s="2">
        <v>13</v>
      </c>
      <c r="BF2833" s="2" t="s">
        <v>108</v>
      </c>
      <c r="BG2833" s="2" t="s">
        <v>5331</v>
      </c>
      <c r="BH2833" s="2"/>
      <c r="BI2833" s="4">
        <v>0.62847222222222221</v>
      </c>
      <c r="BJ2833" s="2">
        <v>13</v>
      </c>
      <c r="BK2833" s="2" t="s">
        <v>91</v>
      </c>
      <c r="BL2833" s="2" t="s">
        <v>895</v>
      </c>
      <c r="BM2833" s="2">
        <v>241</v>
      </c>
      <c r="BN2833" s="2" t="s">
        <v>82</v>
      </c>
      <c r="BO2833" s="2" t="s">
        <v>82</v>
      </c>
      <c r="BP2833" s="2">
        <v>13</v>
      </c>
      <c r="BQ2833" s="2" t="s">
        <v>91</v>
      </c>
      <c r="BR2833" s="2" t="s">
        <v>185</v>
      </c>
      <c r="BS2833" s="3">
        <v>40370</v>
      </c>
      <c r="BT2833" s="4">
        <v>0.63869212962962962</v>
      </c>
    </row>
    <row r="2834" spans="1:72" x14ac:dyDescent="0.25">
      <c r="A2834" s="2">
        <v>4144</v>
      </c>
      <c r="B2834" s="2">
        <v>2010</v>
      </c>
      <c r="C2834" s="2" t="s">
        <v>1017</v>
      </c>
      <c r="D2834" s="2" t="s">
        <v>73</v>
      </c>
      <c r="E2834" s="2"/>
      <c r="F2834" s="2">
        <v>451</v>
      </c>
      <c r="G2834" s="2" t="s">
        <v>879</v>
      </c>
      <c r="H2834" s="2">
        <v>31</v>
      </c>
      <c r="I2834" s="2" t="s">
        <v>880</v>
      </c>
      <c r="J2834" s="2">
        <v>326</v>
      </c>
      <c r="K2834" s="2" t="s">
        <v>881</v>
      </c>
      <c r="L2834" s="2" t="s">
        <v>882</v>
      </c>
      <c r="M2834" s="3">
        <v>40370</v>
      </c>
      <c r="N2834" s="2" t="s">
        <v>1072</v>
      </c>
      <c r="O2834" s="2"/>
      <c r="P2834" s="2"/>
      <c r="Q2834" s="2" t="str">
        <f>"081/10"</f>
        <v>081/10</v>
      </c>
      <c r="R2834" s="2"/>
      <c r="S2834" s="2" t="s">
        <v>822</v>
      </c>
      <c r="T2834" s="2">
        <v>1</v>
      </c>
      <c r="U2834" s="2" t="s">
        <v>79</v>
      </c>
      <c r="V2834" s="2">
        <v>1</v>
      </c>
      <c r="W2834" s="2" t="s">
        <v>80</v>
      </c>
      <c r="X2834" s="2">
        <v>1</v>
      </c>
      <c r="Y2834" s="2" t="s">
        <v>81</v>
      </c>
      <c r="Z2834" s="2">
        <v>1</v>
      </c>
      <c r="AA2834" s="2" t="s">
        <v>82</v>
      </c>
      <c r="AB2834" s="2">
        <v>7</v>
      </c>
      <c r="AC2834" s="2" t="s">
        <v>1023</v>
      </c>
      <c r="AD2834" s="3">
        <v>40370</v>
      </c>
      <c r="AE2834" s="4">
        <v>0.61458333333333337</v>
      </c>
      <c r="AF2834" s="2"/>
      <c r="AG2834" s="2"/>
      <c r="AH2834" s="2">
        <v>4</v>
      </c>
      <c r="AI2834" s="2" t="s">
        <v>125</v>
      </c>
      <c r="AJ2834" s="2">
        <v>29</v>
      </c>
      <c r="AK2834" s="2" t="s">
        <v>227</v>
      </c>
      <c r="AL2834" s="2">
        <v>25</v>
      </c>
      <c r="AM2834" s="2" t="s">
        <v>3073</v>
      </c>
      <c r="AN2834" s="2" t="s">
        <v>6207</v>
      </c>
      <c r="AO2834" s="2" t="s">
        <v>6863</v>
      </c>
      <c r="AP2834" s="2">
        <v>11</v>
      </c>
      <c r="AQ2834" s="2" t="s">
        <v>82</v>
      </c>
      <c r="AR2834" s="2" t="s">
        <v>9392</v>
      </c>
      <c r="AS2834" s="2" t="s">
        <v>9392</v>
      </c>
      <c r="AT2834" s="2" t="s">
        <v>9393</v>
      </c>
      <c r="AU2834" s="2"/>
      <c r="AV2834" s="2"/>
      <c r="AW2834" s="2"/>
      <c r="AX2834" s="2"/>
      <c r="AY2834" s="2">
        <v>41</v>
      </c>
      <c r="AZ2834" s="2" t="s">
        <v>82</v>
      </c>
      <c r="BA2834" s="2">
        <v>41</v>
      </c>
      <c r="BB2834" s="2" t="s">
        <v>82</v>
      </c>
      <c r="BC2834" s="2">
        <v>41</v>
      </c>
      <c r="BD2834" s="2" t="s">
        <v>82</v>
      </c>
      <c r="BE2834" s="2">
        <v>13</v>
      </c>
      <c r="BF2834" s="2" t="s">
        <v>108</v>
      </c>
      <c r="BG2834" s="2">
        <v>1455</v>
      </c>
      <c r="BH2834" s="4">
        <v>0.56597222222222221</v>
      </c>
      <c r="BI2834" s="4">
        <v>0.61805555555555558</v>
      </c>
      <c r="BJ2834" s="2">
        <v>13</v>
      </c>
      <c r="BK2834" s="2" t="s">
        <v>91</v>
      </c>
      <c r="BL2834" s="2" t="s">
        <v>828</v>
      </c>
      <c r="BM2834" s="2">
        <v>241</v>
      </c>
      <c r="BN2834" s="2" t="s">
        <v>82</v>
      </c>
      <c r="BO2834" s="2" t="s">
        <v>82</v>
      </c>
      <c r="BP2834" s="2">
        <v>13</v>
      </c>
      <c r="BQ2834" s="2" t="s">
        <v>91</v>
      </c>
      <c r="BR2834" s="2" t="s">
        <v>185</v>
      </c>
      <c r="BS2834" s="3">
        <v>40370</v>
      </c>
      <c r="BT2834" s="4">
        <v>0.66841435185185183</v>
      </c>
    </row>
    <row r="2835" spans="1:72" x14ac:dyDescent="0.25">
      <c r="A2835" s="2">
        <v>4145</v>
      </c>
      <c r="B2835" s="2">
        <v>2010</v>
      </c>
      <c r="C2835" s="2" t="s">
        <v>72</v>
      </c>
      <c r="D2835" s="2" t="s">
        <v>73</v>
      </c>
      <c r="E2835" s="2"/>
      <c r="F2835" s="2">
        <v>390</v>
      </c>
      <c r="G2835" s="2" t="s">
        <v>475</v>
      </c>
      <c r="H2835" s="2">
        <v>71</v>
      </c>
      <c r="I2835" s="2" t="s">
        <v>335</v>
      </c>
      <c r="J2835" s="2">
        <v>399</v>
      </c>
      <c r="K2835" s="2" t="s">
        <v>1820</v>
      </c>
      <c r="L2835" s="2" t="s">
        <v>1821</v>
      </c>
      <c r="M2835" s="3">
        <v>40370</v>
      </c>
      <c r="N2835" s="2" t="s">
        <v>9394</v>
      </c>
      <c r="O2835" s="2" t="s">
        <v>107</v>
      </c>
      <c r="P2835" s="2" t="s">
        <v>107</v>
      </c>
      <c r="Q2835" s="2" t="str">
        <f>"364-E/10"</f>
        <v>364-E/10</v>
      </c>
      <c r="R2835" s="2" t="s">
        <v>9395</v>
      </c>
      <c r="S2835" s="2" t="s">
        <v>9395</v>
      </c>
      <c r="T2835" s="2">
        <v>1</v>
      </c>
      <c r="U2835" s="2" t="s">
        <v>79</v>
      </c>
      <c r="V2835" s="2">
        <v>1</v>
      </c>
      <c r="W2835" s="2" t="s">
        <v>80</v>
      </c>
      <c r="X2835" s="2">
        <v>12</v>
      </c>
      <c r="Y2835" s="2" t="s">
        <v>148</v>
      </c>
      <c r="Z2835" s="2">
        <v>1</v>
      </c>
      <c r="AA2835" s="2" t="s">
        <v>82</v>
      </c>
      <c r="AB2835" s="2">
        <v>6</v>
      </c>
      <c r="AC2835" s="2" t="s">
        <v>83</v>
      </c>
      <c r="AD2835" s="2"/>
      <c r="AE2835" s="2"/>
      <c r="AF2835" s="3">
        <v>40370</v>
      </c>
      <c r="AG2835" s="4">
        <v>0.625</v>
      </c>
      <c r="AH2835" s="2">
        <v>2</v>
      </c>
      <c r="AI2835" s="2" t="s">
        <v>84</v>
      </c>
      <c r="AJ2835" s="2">
        <v>9</v>
      </c>
      <c r="AK2835" s="2" t="s">
        <v>103</v>
      </c>
      <c r="AL2835" s="2">
        <v>22</v>
      </c>
      <c r="AM2835" s="2" t="s">
        <v>1853</v>
      </c>
      <c r="AN2835" s="2" t="s">
        <v>107</v>
      </c>
      <c r="AO2835" s="2" t="s">
        <v>7625</v>
      </c>
      <c r="AP2835" s="2">
        <v>11</v>
      </c>
      <c r="AQ2835" s="2" t="s">
        <v>82</v>
      </c>
      <c r="AR2835" s="2"/>
      <c r="AS2835" s="2"/>
      <c r="AT2835" s="2" t="s">
        <v>9396</v>
      </c>
      <c r="AU2835" s="2"/>
      <c r="AV2835" s="2"/>
      <c r="AW2835" s="2"/>
      <c r="AX2835" s="2"/>
      <c r="AY2835" s="2">
        <v>41</v>
      </c>
      <c r="AZ2835" s="2" t="s">
        <v>82</v>
      </c>
      <c r="BA2835" s="2">
        <v>41</v>
      </c>
      <c r="BB2835" s="2" t="s">
        <v>82</v>
      </c>
      <c r="BC2835" s="2">
        <v>41</v>
      </c>
      <c r="BD2835" s="2" t="s">
        <v>82</v>
      </c>
      <c r="BE2835" s="2">
        <v>38</v>
      </c>
      <c r="BF2835" s="2" t="s">
        <v>221</v>
      </c>
      <c r="BG2835" s="2" t="s">
        <v>701</v>
      </c>
      <c r="BH2835" s="4">
        <v>0.60416666666666663</v>
      </c>
      <c r="BI2835" s="2"/>
      <c r="BJ2835" s="2">
        <v>173</v>
      </c>
      <c r="BK2835" s="2" t="s">
        <v>223</v>
      </c>
      <c r="BL2835" s="2" t="s">
        <v>224</v>
      </c>
      <c r="BM2835" s="2">
        <v>241</v>
      </c>
      <c r="BN2835" s="2" t="s">
        <v>82</v>
      </c>
      <c r="BO2835" s="2"/>
      <c r="BP2835" s="2">
        <v>13</v>
      </c>
      <c r="BQ2835" s="2" t="s">
        <v>91</v>
      </c>
      <c r="BR2835" s="2" t="s">
        <v>360</v>
      </c>
      <c r="BS2835" s="3">
        <v>40370</v>
      </c>
      <c r="BT2835" s="4">
        <v>0.70894675925925921</v>
      </c>
    </row>
    <row r="2836" spans="1:72" x14ac:dyDescent="0.25">
      <c r="A2836" s="2">
        <v>4146</v>
      </c>
      <c r="B2836" s="2">
        <v>2010</v>
      </c>
      <c r="C2836" s="2" t="s">
        <v>377</v>
      </c>
      <c r="D2836" s="2" t="s">
        <v>73</v>
      </c>
      <c r="E2836" s="2"/>
      <c r="F2836" s="2">
        <v>426</v>
      </c>
      <c r="G2836" s="2" t="s">
        <v>378</v>
      </c>
      <c r="H2836" s="2">
        <v>42</v>
      </c>
      <c r="I2836" s="2" t="s">
        <v>1096</v>
      </c>
      <c r="J2836" s="2">
        <v>311</v>
      </c>
      <c r="K2836" s="2" t="s">
        <v>379</v>
      </c>
      <c r="L2836" s="2" t="s">
        <v>380</v>
      </c>
      <c r="M2836" s="3">
        <v>40370</v>
      </c>
      <c r="N2836" s="2" t="s">
        <v>9397</v>
      </c>
      <c r="O2836" s="2"/>
      <c r="P2836" s="2"/>
      <c r="Q2836" s="2" t="str">
        <f>"154-C/10"</f>
        <v>154-C/10</v>
      </c>
      <c r="R2836" s="2" t="s">
        <v>5997</v>
      </c>
      <c r="S2836" s="2"/>
      <c r="T2836" s="2">
        <v>1</v>
      </c>
      <c r="U2836" s="2" t="s">
        <v>79</v>
      </c>
      <c r="V2836" s="2">
        <v>1</v>
      </c>
      <c r="W2836" s="2" t="s">
        <v>80</v>
      </c>
      <c r="X2836" s="2">
        <v>1</v>
      </c>
      <c r="Y2836" s="2" t="s">
        <v>81</v>
      </c>
      <c r="Z2836" s="2">
        <v>1</v>
      </c>
      <c r="AA2836" s="2" t="s">
        <v>82</v>
      </c>
      <c r="AB2836" s="2">
        <v>9</v>
      </c>
      <c r="AC2836" s="2" t="s">
        <v>124</v>
      </c>
      <c r="AD2836" s="3">
        <v>40370</v>
      </c>
      <c r="AE2836" s="4">
        <v>0.40972222222222227</v>
      </c>
      <c r="AF2836" s="2"/>
      <c r="AG2836" s="2"/>
      <c r="AH2836" s="2">
        <v>2</v>
      </c>
      <c r="AI2836" s="2" t="s">
        <v>84</v>
      </c>
      <c r="AJ2836" s="2">
        <v>9</v>
      </c>
      <c r="AK2836" s="2" t="s">
        <v>103</v>
      </c>
      <c r="AL2836" s="2">
        <v>29</v>
      </c>
      <c r="AM2836" s="2" t="s">
        <v>5416</v>
      </c>
      <c r="AN2836" s="2"/>
      <c r="AO2836" s="2" t="s">
        <v>590</v>
      </c>
      <c r="AP2836" s="2">
        <v>11</v>
      </c>
      <c r="AQ2836" s="2" t="s">
        <v>82</v>
      </c>
      <c r="AR2836" s="2"/>
      <c r="AS2836" s="2"/>
      <c r="AT2836" s="2" t="s">
        <v>9398</v>
      </c>
      <c r="AU2836" s="2"/>
      <c r="AV2836" s="2"/>
      <c r="AW2836" s="2"/>
      <c r="AX2836" s="2"/>
      <c r="AY2836" s="2">
        <v>41</v>
      </c>
      <c r="AZ2836" s="2" t="s">
        <v>82</v>
      </c>
      <c r="BA2836" s="2">
        <v>41</v>
      </c>
      <c r="BB2836" s="2" t="s">
        <v>82</v>
      </c>
      <c r="BC2836" s="2">
        <v>41</v>
      </c>
      <c r="BD2836" s="2" t="s">
        <v>82</v>
      </c>
      <c r="BE2836" s="2">
        <v>41</v>
      </c>
      <c r="BF2836" s="2" t="s">
        <v>82</v>
      </c>
      <c r="BG2836" s="2"/>
      <c r="BH2836" s="2"/>
      <c r="BI2836" s="2"/>
      <c r="BJ2836" s="2">
        <v>241</v>
      </c>
      <c r="BK2836" s="2" t="s">
        <v>82</v>
      </c>
      <c r="BL2836" s="2"/>
      <c r="BM2836" s="2">
        <v>241</v>
      </c>
      <c r="BN2836" s="2" t="s">
        <v>82</v>
      </c>
      <c r="BO2836" s="2"/>
      <c r="BP2836" s="2">
        <v>241</v>
      </c>
      <c r="BQ2836" s="2" t="s">
        <v>82</v>
      </c>
      <c r="BR2836" s="2"/>
      <c r="BS2836" s="3">
        <v>40370</v>
      </c>
      <c r="BT2836" s="4">
        <v>0.72309027777777779</v>
      </c>
    </row>
    <row r="2837" spans="1:72" x14ac:dyDescent="0.25">
      <c r="A2837" s="2">
        <v>4147</v>
      </c>
      <c r="B2837" s="2">
        <v>2010</v>
      </c>
      <c r="C2837" s="2" t="s">
        <v>377</v>
      </c>
      <c r="D2837" s="2" t="s">
        <v>73</v>
      </c>
      <c r="E2837" s="2"/>
      <c r="F2837" s="2">
        <v>426</v>
      </c>
      <c r="G2837" s="2" t="s">
        <v>378</v>
      </c>
      <c r="H2837" s="2">
        <v>42</v>
      </c>
      <c r="I2837" s="2" t="s">
        <v>1096</v>
      </c>
      <c r="J2837" s="2">
        <v>311</v>
      </c>
      <c r="K2837" s="2" t="s">
        <v>379</v>
      </c>
      <c r="L2837" s="2" t="s">
        <v>380</v>
      </c>
      <c r="M2837" s="3">
        <v>40370</v>
      </c>
      <c r="N2837" s="2" t="s">
        <v>7171</v>
      </c>
      <c r="O2837" s="2"/>
      <c r="P2837" s="2"/>
      <c r="Q2837" s="2" t="str">
        <f>"155-C/10"</f>
        <v>155-C/10</v>
      </c>
      <c r="R2837" s="2" t="s">
        <v>5997</v>
      </c>
      <c r="S2837" s="2"/>
      <c r="T2837" s="2">
        <v>1</v>
      </c>
      <c r="U2837" s="2" t="s">
        <v>79</v>
      </c>
      <c r="V2837" s="2">
        <v>1</v>
      </c>
      <c r="W2837" s="2" t="s">
        <v>80</v>
      </c>
      <c r="X2837" s="2">
        <v>1</v>
      </c>
      <c r="Y2837" s="2" t="s">
        <v>81</v>
      </c>
      <c r="Z2837" s="2">
        <v>1</v>
      </c>
      <c r="AA2837" s="2" t="s">
        <v>82</v>
      </c>
      <c r="AB2837" s="2">
        <v>9</v>
      </c>
      <c r="AC2837" s="2" t="s">
        <v>124</v>
      </c>
      <c r="AD2837" s="3">
        <v>40370</v>
      </c>
      <c r="AE2837" s="4">
        <v>0.44791666666666669</v>
      </c>
      <c r="AF2837" s="2"/>
      <c r="AG2837" s="2"/>
      <c r="AH2837" s="2">
        <v>2</v>
      </c>
      <c r="AI2837" s="2" t="s">
        <v>84</v>
      </c>
      <c r="AJ2837" s="2">
        <v>9</v>
      </c>
      <c r="AK2837" s="2" t="s">
        <v>103</v>
      </c>
      <c r="AL2837" s="2">
        <v>29</v>
      </c>
      <c r="AM2837" s="2" t="s">
        <v>5416</v>
      </c>
      <c r="AN2837" s="2" t="s">
        <v>9399</v>
      </c>
      <c r="AO2837" s="2" t="s">
        <v>987</v>
      </c>
      <c r="AP2837" s="2">
        <v>11</v>
      </c>
      <c r="AQ2837" s="2" t="s">
        <v>82</v>
      </c>
      <c r="AR2837" s="2"/>
      <c r="AS2837" s="2"/>
      <c r="AT2837" s="2" t="s">
        <v>9400</v>
      </c>
      <c r="AU2837" s="2"/>
      <c r="AV2837" s="2"/>
      <c r="AW2837" s="2"/>
      <c r="AX2837" s="2"/>
      <c r="AY2837" s="2">
        <v>41</v>
      </c>
      <c r="AZ2837" s="2" t="s">
        <v>82</v>
      </c>
      <c r="BA2837" s="2">
        <v>41</v>
      </c>
      <c r="BB2837" s="2" t="s">
        <v>82</v>
      </c>
      <c r="BC2837" s="2">
        <v>41</v>
      </c>
      <c r="BD2837" s="2" t="s">
        <v>82</v>
      </c>
      <c r="BE2837" s="2">
        <v>41</v>
      </c>
      <c r="BF2837" s="2" t="s">
        <v>82</v>
      </c>
      <c r="BG2837" s="2"/>
      <c r="BH2837" s="2"/>
      <c r="BI2837" s="2"/>
      <c r="BJ2837" s="2">
        <v>241</v>
      </c>
      <c r="BK2837" s="2" t="s">
        <v>82</v>
      </c>
      <c r="BL2837" s="2"/>
      <c r="BM2837" s="2">
        <v>241</v>
      </c>
      <c r="BN2837" s="2" t="s">
        <v>82</v>
      </c>
      <c r="BO2837" s="2"/>
      <c r="BP2837" s="2">
        <v>241</v>
      </c>
      <c r="BQ2837" s="2" t="s">
        <v>82</v>
      </c>
      <c r="BR2837" s="2"/>
      <c r="BS2837" s="3">
        <v>40370</v>
      </c>
      <c r="BT2837" s="4">
        <v>0.74100694444444448</v>
      </c>
    </row>
    <row r="2838" spans="1:72" x14ac:dyDescent="0.25">
      <c r="A2838" s="2">
        <v>4148</v>
      </c>
      <c r="B2838" s="2">
        <v>2010</v>
      </c>
      <c r="C2838" s="2" t="s">
        <v>2011</v>
      </c>
      <c r="D2838" s="2" t="s">
        <v>73</v>
      </c>
      <c r="E2838" s="2"/>
      <c r="F2838" s="2">
        <v>1</v>
      </c>
      <c r="G2838" s="2" t="s">
        <v>82</v>
      </c>
      <c r="H2838" s="2">
        <v>1</v>
      </c>
      <c r="I2838" s="2" t="s">
        <v>82</v>
      </c>
      <c r="J2838" s="2">
        <v>1</v>
      </c>
      <c r="K2838" s="2" t="s">
        <v>107</v>
      </c>
      <c r="L2838" s="2" t="s">
        <v>107</v>
      </c>
      <c r="M2838" s="3">
        <v>40370</v>
      </c>
      <c r="N2838" s="2"/>
      <c r="O2838" s="2"/>
      <c r="P2838" s="2"/>
      <c r="Q2838" s="2" t="str">
        <f>""</f>
        <v/>
      </c>
      <c r="R2838" s="2"/>
      <c r="S2838" s="2"/>
      <c r="T2838" s="2">
        <v>1</v>
      </c>
      <c r="U2838" s="2" t="s">
        <v>79</v>
      </c>
      <c r="V2838" s="2">
        <v>1</v>
      </c>
      <c r="W2838" s="2" t="s">
        <v>80</v>
      </c>
      <c r="X2838" s="2">
        <v>1</v>
      </c>
      <c r="Y2838" s="2" t="s">
        <v>81</v>
      </c>
      <c r="Z2838" s="2">
        <v>1</v>
      </c>
      <c r="AA2838" s="2" t="s">
        <v>82</v>
      </c>
      <c r="AB2838" s="2">
        <v>9</v>
      </c>
      <c r="AC2838" s="2" t="s">
        <v>124</v>
      </c>
      <c r="AD2838" s="3">
        <v>40370</v>
      </c>
      <c r="AE2838" s="4">
        <v>0.65625</v>
      </c>
      <c r="AF2838" s="2"/>
      <c r="AG2838" s="2"/>
      <c r="AH2838" s="2">
        <v>4</v>
      </c>
      <c r="AI2838" s="2" t="s">
        <v>125</v>
      </c>
      <c r="AJ2838" s="2">
        <v>31</v>
      </c>
      <c r="AK2838" s="2" t="s">
        <v>1413</v>
      </c>
      <c r="AL2838" s="2">
        <v>9</v>
      </c>
      <c r="AM2838" s="2" t="s">
        <v>259</v>
      </c>
      <c r="AN2838" s="2" t="s">
        <v>9401</v>
      </c>
      <c r="AO2838" s="2" t="s">
        <v>5433</v>
      </c>
      <c r="AP2838" s="2">
        <v>11</v>
      </c>
      <c r="AQ2838" s="2" t="s">
        <v>82</v>
      </c>
      <c r="AR2838" s="2"/>
      <c r="AS2838" s="2"/>
      <c r="AT2838" s="2" t="s">
        <v>9402</v>
      </c>
      <c r="AU2838" s="2"/>
      <c r="AV2838" s="2"/>
      <c r="AW2838" s="2"/>
      <c r="AX2838" s="2"/>
      <c r="AY2838" s="2">
        <v>1</v>
      </c>
      <c r="AZ2838" s="2" t="s">
        <v>107</v>
      </c>
      <c r="BA2838" s="2">
        <v>1</v>
      </c>
      <c r="BB2838" s="2" t="s">
        <v>107</v>
      </c>
      <c r="BC2838" s="2">
        <v>1</v>
      </c>
      <c r="BD2838" s="2" t="s">
        <v>107</v>
      </c>
      <c r="BE2838" s="2">
        <v>41</v>
      </c>
      <c r="BF2838" s="2" t="s">
        <v>82</v>
      </c>
      <c r="BG2838" s="2"/>
      <c r="BH2838" s="2"/>
      <c r="BI2838" s="2"/>
      <c r="BJ2838" s="2">
        <v>241</v>
      </c>
      <c r="BK2838" s="2" t="s">
        <v>82</v>
      </c>
      <c r="BL2838" s="2"/>
      <c r="BM2838" s="2">
        <v>241</v>
      </c>
      <c r="BN2838" s="2" t="s">
        <v>82</v>
      </c>
      <c r="BO2838" s="2"/>
      <c r="BP2838" s="2">
        <v>241</v>
      </c>
      <c r="BQ2838" s="2" t="s">
        <v>82</v>
      </c>
      <c r="BR2838" s="2"/>
      <c r="BS2838" s="3">
        <v>40370</v>
      </c>
      <c r="BT2838" s="4">
        <v>0.74883101851851863</v>
      </c>
    </row>
    <row r="2839" spans="1:72" x14ac:dyDescent="0.25">
      <c r="A2839" s="2">
        <v>4149</v>
      </c>
      <c r="B2839" s="2">
        <v>2010</v>
      </c>
      <c r="C2839" s="2" t="s">
        <v>819</v>
      </c>
      <c r="D2839" s="2" t="s">
        <v>73</v>
      </c>
      <c r="E2839" s="2"/>
      <c r="F2839" s="2">
        <v>470</v>
      </c>
      <c r="G2839" s="2" t="s">
        <v>2979</v>
      </c>
      <c r="H2839" s="2">
        <v>3</v>
      </c>
      <c r="I2839" s="2" t="s">
        <v>315</v>
      </c>
      <c r="J2839" s="2">
        <v>371</v>
      </c>
      <c r="K2839" s="2" t="s">
        <v>1138</v>
      </c>
      <c r="L2839" s="2" t="s">
        <v>1139</v>
      </c>
      <c r="M2839" s="3">
        <v>40370</v>
      </c>
      <c r="N2839" s="2" t="s">
        <v>8747</v>
      </c>
      <c r="O2839" s="2"/>
      <c r="P2839" s="2"/>
      <c r="Q2839" s="2" t="str">
        <f>"0092/2010"</f>
        <v>0092/2010</v>
      </c>
      <c r="R2839" s="2"/>
      <c r="S2839" s="2" t="s">
        <v>2003</v>
      </c>
      <c r="T2839" s="2">
        <v>1</v>
      </c>
      <c r="U2839" s="2" t="s">
        <v>79</v>
      </c>
      <c r="V2839" s="2">
        <v>1</v>
      </c>
      <c r="W2839" s="2" t="s">
        <v>80</v>
      </c>
      <c r="X2839" s="2">
        <v>1</v>
      </c>
      <c r="Y2839" s="2" t="s">
        <v>81</v>
      </c>
      <c r="Z2839" s="2">
        <v>1</v>
      </c>
      <c r="AA2839" s="2" t="s">
        <v>82</v>
      </c>
      <c r="AB2839" s="2">
        <v>9</v>
      </c>
      <c r="AC2839" s="2" t="s">
        <v>124</v>
      </c>
      <c r="AD2839" s="3">
        <v>40370</v>
      </c>
      <c r="AE2839" s="4">
        <v>0.72222222222222221</v>
      </c>
      <c r="AF2839" s="2"/>
      <c r="AG2839" s="2"/>
      <c r="AH2839" s="2">
        <v>5</v>
      </c>
      <c r="AI2839" s="2" t="s">
        <v>274</v>
      </c>
      <c r="AJ2839" s="2">
        <v>38</v>
      </c>
      <c r="AK2839" s="2" t="s">
        <v>1120</v>
      </c>
      <c r="AL2839" s="2">
        <v>14</v>
      </c>
      <c r="AM2839" s="2" t="s">
        <v>216</v>
      </c>
      <c r="AN2839" s="2"/>
      <c r="AO2839" s="2" t="s">
        <v>7650</v>
      </c>
      <c r="AP2839" s="2">
        <v>11</v>
      </c>
      <c r="AQ2839" s="2" t="s">
        <v>82</v>
      </c>
      <c r="AR2839" s="2"/>
      <c r="AS2839" s="2"/>
      <c r="AT2839" s="2" t="s">
        <v>9403</v>
      </c>
      <c r="AU2839" s="2"/>
      <c r="AV2839" s="2"/>
      <c r="AW2839" s="2"/>
      <c r="AX2839" s="2"/>
      <c r="AY2839" s="2">
        <v>41</v>
      </c>
      <c r="AZ2839" s="2" t="s">
        <v>82</v>
      </c>
      <c r="BA2839" s="2">
        <v>41</v>
      </c>
      <c r="BB2839" s="2" t="s">
        <v>82</v>
      </c>
      <c r="BC2839" s="2">
        <v>41</v>
      </c>
      <c r="BD2839" s="2" t="s">
        <v>82</v>
      </c>
      <c r="BE2839" s="2">
        <v>47</v>
      </c>
      <c r="BF2839" s="2" t="s">
        <v>167</v>
      </c>
      <c r="BG2839" s="2">
        <v>2729</v>
      </c>
      <c r="BH2839" s="4">
        <v>0.72222222222222221</v>
      </c>
      <c r="BI2839" s="4">
        <v>0.75</v>
      </c>
      <c r="BJ2839" s="2">
        <v>13</v>
      </c>
      <c r="BK2839" s="2" t="s">
        <v>91</v>
      </c>
      <c r="BL2839" s="2" t="s">
        <v>3140</v>
      </c>
      <c r="BM2839" s="2">
        <v>150</v>
      </c>
      <c r="BN2839" s="2" t="s">
        <v>9404</v>
      </c>
      <c r="BO2839" s="2" t="s">
        <v>82</v>
      </c>
      <c r="BP2839" s="2">
        <v>13</v>
      </c>
      <c r="BQ2839" s="2" t="s">
        <v>91</v>
      </c>
      <c r="BR2839" s="2" t="s">
        <v>185</v>
      </c>
      <c r="BS2839" s="3">
        <v>40370</v>
      </c>
      <c r="BT2839" s="4">
        <v>0.76312500000000005</v>
      </c>
    </row>
    <row r="2840" spans="1:72" x14ac:dyDescent="0.25">
      <c r="A2840" s="2">
        <v>4150</v>
      </c>
      <c r="B2840" s="2">
        <v>2010</v>
      </c>
      <c r="C2840" s="2" t="s">
        <v>1660</v>
      </c>
      <c r="D2840" s="2" t="s">
        <v>73</v>
      </c>
      <c r="E2840" s="2"/>
      <c r="F2840" s="2">
        <v>390</v>
      </c>
      <c r="G2840" s="2" t="s">
        <v>475</v>
      </c>
      <c r="H2840" s="2">
        <v>71</v>
      </c>
      <c r="I2840" s="2" t="s">
        <v>335</v>
      </c>
      <c r="J2840" s="2">
        <v>399</v>
      </c>
      <c r="K2840" s="2" t="s">
        <v>1820</v>
      </c>
      <c r="L2840" s="2" t="s">
        <v>1821</v>
      </c>
      <c r="M2840" s="3">
        <v>40370</v>
      </c>
      <c r="N2840" s="2" t="s">
        <v>9075</v>
      </c>
      <c r="O2840" s="2"/>
      <c r="P2840" s="2"/>
      <c r="Q2840" s="2" t="str">
        <f>""</f>
        <v/>
      </c>
      <c r="R2840" s="2"/>
      <c r="S2840" s="2"/>
      <c r="T2840" s="2">
        <v>1</v>
      </c>
      <c r="U2840" s="2" t="s">
        <v>79</v>
      </c>
      <c r="V2840" s="2">
        <v>1</v>
      </c>
      <c r="W2840" s="2" t="s">
        <v>80</v>
      </c>
      <c r="X2840" s="2">
        <v>10</v>
      </c>
      <c r="Y2840" s="2" t="s">
        <v>226</v>
      </c>
      <c r="Z2840" s="2">
        <v>6</v>
      </c>
      <c r="AA2840" s="2" t="s">
        <v>101</v>
      </c>
      <c r="AB2840" s="2">
        <v>3</v>
      </c>
      <c r="AC2840" s="2" t="s">
        <v>1663</v>
      </c>
      <c r="AD2840" s="3">
        <v>40370</v>
      </c>
      <c r="AE2840" s="4">
        <v>0.61041666666666672</v>
      </c>
      <c r="AF2840" s="3">
        <v>40370</v>
      </c>
      <c r="AG2840" s="4">
        <v>0.66666666666666663</v>
      </c>
      <c r="AH2840" s="2">
        <v>2</v>
      </c>
      <c r="AI2840" s="2" t="s">
        <v>84</v>
      </c>
      <c r="AJ2840" s="2">
        <v>9</v>
      </c>
      <c r="AK2840" s="2" t="s">
        <v>103</v>
      </c>
      <c r="AL2840" s="2">
        <v>15</v>
      </c>
      <c r="AM2840" s="2" t="s">
        <v>104</v>
      </c>
      <c r="AN2840" s="2"/>
      <c r="AO2840" s="2" t="s">
        <v>105</v>
      </c>
      <c r="AP2840" s="2">
        <v>11</v>
      </c>
      <c r="AQ2840" s="2" t="s">
        <v>82</v>
      </c>
      <c r="AR2840" s="2"/>
      <c r="AS2840" s="2"/>
      <c r="AT2840" s="2" t="s">
        <v>9405</v>
      </c>
      <c r="AU2840" s="2"/>
      <c r="AV2840" s="2"/>
      <c r="AW2840" s="2"/>
      <c r="AX2840" s="2"/>
      <c r="AY2840" s="2">
        <v>41</v>
      </c>
      <c r="AZ2840" s="2" t="s">
        <v>82</v>
      </c>
      <c r="BA2840" s="2">
        <v>115</v>
      </c>
      <c r="BB2840" s="2" t="s">
        <v>101</v>
      </c>
      <c r="BC2840" s="2">
        <v>41</v>
      </c>
      <c r="BD2840" s="2" t="s">
        <v>82</v>
      </c>
      <c r="BE2840" s="2">
        <v>41</v>
      </c>
      <c r="BF2840" s="2" t="s">
        <v>82</v>
      </c>
      <c r="BG2840" s="2"/>
      <c r="BH2840" s="2"/>
      <c r="BI2840" s="2"/>
      <c r="BJ2840" s="2">
        <v>241</v>
      </c>
      <c r="BK2840" s="2" t="s">
        <v>82</v>
      </c>
      <c r="BL2840" s="2"/>
      <c r="BM2840" s="2">
        <v>241</v>
      </c>
      <c r="BN2840" s="2" t="s">
        <v>82</v>
      </c>
      <c r="BO2840" s="2"/>
      <c r="BP2840" s="2">
        <v>241</v>
      </c>
      <c r="BQ2840" s="2" t="s">
        <v>82</v>
      </c>
      <c r="BR2840" s="2"/>
      <c r="BS2840" s="3">
        <v>40370</v>
      </c>
      <c r="BT2840" s="4">
        <v>0.81156249999999996</v>
      </c>
    </row>
    <row r="2841" spans="1:72" x14ac:dyDescent="0.25">
      <c r="A2841" s="2">
        <v>4151</v>
      </c>
      <c r="B2841" s="2">
        <v>2010</v>
      </c>
      <c r="C2841" s="2" t="s">
        <v>171</v>
      </c>
      <c r="D2841" s="2" t="s">
        <v>122</v>
      </c>
      <c r="E2841" s="2" t="s">
        <v>9406</v>
      </c>
      <c r="F2841" s="2">
        <v>293</v>
      </c>
      <c r="G2841" s="2" t="s">
        <v>8731</v>
      </c>
      <c r="H2841" s="2">
        <v>44</v>
      </c>
      <c r="I2841" s="2" t="s">
        <v>1272</v>
      </c>
      <c r="J2841" s="2">
        <v>612</v>
      </c>
      <c r="K2841" s="2" t="s">
        <v>9371</v>
      </c>
      <c r="L2841" s="2" t="s">
        <v>9372</v>
      </c>
      <c r="M2841" s="3">
        <v>40370</v>
      </c>
      <c r="N2841" s="2" t="s">
        <v>9373</v>
      </c>
      <c r="O2841" s="2" t="s">
        <v>9374</v>
      </c>
      <c r="P2841" s="2" t="s">
        <v>9375</v>
      </c>
      <c r="Q2841" s="2" t="str">
        <f>"014/10 UOCN Y DC IV"</f>
        <v>014/10 UOCN Y DC IV</v>
      </c>
      <c r="R2841" s="2"/>
      <c r="S2841" s="2"/>
      <c r="T2841" s="2">
        <v>1</v>
      </c>
      <c r="U2841" s="2" t="s">
        <v>79</v>
      </c>
      <c r="V2841" s="2">
        <v>1</v>
      </c>
      <c r="W2841" s="2" t="s">
        <v>80</v>
      </c>
      <c r="X2841" s="2">
        <v>5</v>
      </c>
      <c r="Y2841" s="2" t="s">
        <v>82</v>
      </c>
      <c r="Z2841" s="2">
        <v>1</v>
      </c>
      <c r="AA2841" s="2" t="s">
        <v>82</v>
      </c>
      <c r="AB2841" s="2">
        <v>1</v>
      </c>
      <c r="AC2841" s="2" t="s">
        <v>178</v>
      </c>
      <c r="AD2841" s="3">
        <v>40370</v>
      </c>
      <c r="AE2841" s="4">
        <v>0.54166666666666663</v>
      </c>
      <c r="AF2841" s="2"/>
      <c r="AG2841" s="2"/>
      <c r="AH2841" s="2">
        <v>5</v>
      </c>
      <c r="AI2841" s="2" t="s">
        <v>274</v>
      </c>
      <c r="AJ2841" s="2">
        <v>39</v>
      </c>
      <c r="AK2841" s="2" t="s">
        <v>8737</v>
      </c>
      <c r="AL2841" s="2">
        <v>23</v>
      </c>
      <c r="AM2841" s="2" t="s">
        <v>251</v>
      </c>
      <c r="AN2841" s="2"/>
      <c r="AO2841" s="2" t="s">
        <v>9407</v>
      </c>
      <c r="AP2841" s="2">
        <v>11</v>
      </c>
      <c r="AQ2841" s="2" t="s">
        <v>82</v>
      </c>
      <c r="AR2841" s="2"/>
      <c r="AS2841" s="2"/>
      <c r="AT2841" s="2" t="s">
        <v>9408</v>
      </c>
      <c r="AU2841" s="2"/>
      <c r="AV2841" s="2">
        <v>1</v>
      </c>
      <c r="AW2841" s="2"/>
      <c r="AX2841" s="2"/>
      <c r="AY2841" s="2">
        <v>1</v>
      </c>
      <c r="AZ2841" s="2" t="s">
        <v>107</v>
      </c>
      <c r="BA2841" s="2">
        <v>1</v>
      </c>
      <c r="BB2841" s="2" t="s">
        <v>107</v>
      </c>
      <c r="BC2841" s="2">
        <v>1</v>
      </c>
      <c r="BD2841" s="2" t="s">
        <v>107</v>
      </c>
      <c r="BE2841" s="2">
        <v>1</v>
      </c>
      <c r="BF2841" s="2" t="s">
        <v>107</v>
      </c>
      <c r="BG2841" s="2"/>
      <c r="BH2841" s="2"/>
      <c r="BI2841" s="2"/>
      <c r="BJ2841" s="2">
        <v>242</v>
      </c>
      <c r="BK2841" s="2" t="s">
        <v>107</v>
      </c>
      <c r="BL2841" s="2"/>
      <c r="BM2841" s="2">
        <v>242</v>
      </c>
      <c r="BN2841" s="2" t="s">
        <v>107</v>
      </c>
      <c r="BO2841" s="2"/>
      <c r="BP2841" s="2">
        <v>242</v>
      </c>
      <c r="BQ2841" s="2" t="s">
        <v>107</v>
      </c>
      <c r="BR2841" s="2"/>
      <c r="BS2841" s="3">
        <v>40370</v>
      </c>
      <c r="BT2841" s="4">
        <v>0.8822106481481482</v>
      </c>
    </row>
    <row r="2842" spans="1:72" x14ac:dyDescent="0.25">
      <c r="A2842" s="2">
        <v>4152</v>
      </c>
      <c r="B2842" s="2">
        <v>2010</v>
      </c>
      <c r="C2842" s="2" t="s">
        <v>1094</v>
      </c>
      <c r="D2842" s="2" t="s">
        <v>73</v>
      </c>
      <c r="E2842" s="2"/>
      <c r="F2842" s="2">
        <v>94</v>
      </c>
      <c r="G2842" s="2" t="s">
        <v>7722</v>
      </c>
      <c r="H2842" s="2">
        <v>13</v>
      </c>
      <c r="I2842" s="2" t="s">
        <v>2229</v>
      </c>
      <c r="J2842" s="2">
        <v>121</v>
      </c>
      <c r="K2842" s="2" t="s">
        <v>7723</v>
      </c>
      <c r="L2842" s="2" t="s">
        <v>7724</v>
      </c>
      <c r="M2842" s="3">
        <v>40371</v>
      </c>
      <c r="N2842" s="2" t="s">
        <v>9409</v>
      </c>
      <c r="O2842" s="2"/>
      <c r="P2842" s="2"/>
      <c r="Q2842" s="2" t="str">
        <f>"023-10"</f>
        <v>023-10</v>
      </c>
      <c r="R2842" s="2" t="s">
        <v>9410</v>
      </c>
      <c r="S2842" s="2" t="s">
        <v>9410</v>
      </c>
      <c r="T2842" s="2">
        <v>1</v>
      </c>
      <c r="U2842" s="2" t="s">
        <v>79</v>
      </c>
      <c r="V2842" s="2">
        <v>1</v>
      </c>
      <c r="W2842" s="2" t="s">
        <v>80</v>
      </c>
      <c r="X2842" s="2">
        <v>12</v>
      </c>
      <c r="Y2842" s="2" t="s">
        <v>148</v>
      </c>
      <c r="Z2842" s="2">
        <v>1</v>
      </c>
      <c r="AA2842" s="2" t="s">
        <v>82</v>
      </c>
      <c r="AB2842" s="2">
        <v>9</v>
      </c>
      <c r="AC2842" s="2" t="s">
        <v>124</v>
      </c>
      <c r="AD2842" s="3">
        <v>40370</v>
      </c>
      <c r="AE2842" s="2"/>
      <c r="AF2842" s="3">
        <v>40370</v>
      </c>
      <c r="AG2842" s="4">
        <v>0.76736111111111116</v>
      </c>
      <c r="AH2842" s="2">
        <v>6</v>
      </c>
      <c r="AI2842" s="2" t="s">
        <v>197</v>
      </c>
      <c r="AJ2842" s="2">
        <v>50</v>
      </c>
      <c r="AK2842" s="2" t="s">
        <v>330</v>
      </c>
      <c r="AL2842" s="2">
        <v>24</v>
      </c>
      <c r="AM2842" s="2" t="s">
        <v>1540</v>
      </c>
      <c r="AN2842" s="2" t="s">
        <v>9411</v>
      </c>
      <c r="AO2842" s="2" t="s">
        <v>9412</v>
      </c>
      <c r="AP2842" s="2">
        <v>11</v>
      </c>
      <c r="AQ2842" s="2" t="s">
        <v>82</v>
      </c>
      <c r="AR2842" s="2"/>
      <c r="AS2842" s="2"/>
      <c r="AT2842" s="2" t="s">
        <v>9413</v>
      </c>
      <c r="AU2842" s="2"/>
      <c r="AV2842" s="2"/>
      <c r="AW2842" s="2"/>
      <c r="AX2842" s="2"/>
      <c r="AY2842" s="2">
        <v>41</v>
      </c>
      <c r="AZ2842" s="2" t="s">
        <v>82</v>
      </c>
      <c r="BA2842" s="2">
        <v>41</v>
      </c>
      <c r="BB2842" s="2" t="s">
        <v>82</v>
      </c>
      <c r="BC2842" s="2">
        <v>41</v>
      </c>
      <c r="BD2842" s="2" t="s">
        <v>82</v>
      </c>
      <c r="BE2842" s="2">
        <v>41</v>
      </c>
      <c r="BF2842" s="2" t="s">
        <v>82</v>
      </c>
      <c r="BG2842" s="2"/>
      <c r="BH2842" s="2"/>
      <c r="BI2842" s="2"/>
      <c r="BJ2842" s="2">
        <v>241</v>
      </c>
      <c r="BK2842" s="2" t="s">
        <v>82</v>
      </c>
      <c r="BL2842" s="2"/>
      <c r="BM2842" s="2">
        <v>241</v>
      </c>
      <c r="BN2842" s="2" t="s">
        <v>82</v>
      </c>
      <c r="BO2842" s="2"/>
      <c r="BP2842" s="2">
        <v>241</v>
      </c>
      <c r="BQ2842" s="2" t="s">
        <v>82</v>
      </c>
      <c r="BR2842" s="2"/>
      <c r="BS2842" s="3">
        <v>40371</v>
      </c>
      <c r="BT2842" s="4">
        <v>1.9398148148148147E-2</v>
      </c>
    </row>
    <row r="2843" spans="1:72" x14ac:dyDescent="0.25">
      <c r="A2843" s="2">
        <v>4153</v>
      </c>
      <c r="B2843" s="2">
        <v>2010</v>
      </c>
      <c r="C2843" s="2" t="s">
        <v>1094</v>
      </c>
      <c r="D2843" s="2" t="s">
        <v>73</v>
      </c>
      <c r="E2843" s="2"/>
      <c r="F2843" s="2">
        <v>94</v>
      </c>
      <c r="G2843" s="2" t="s">
        <v>7722</v>
      </c>
      <c r="H2843" s="2">
        <v>13</v>
      </c>
      <c r="I2843" s="2" t="s">
        <v>2229</v>
      </c>
      <c r="J2843" s="2">
        <v>121</v>
      </c>
      <c r="K2843" s="2" t="s">
        <v>7723</v>
      </c>
      <c r="L2843" s="2" t="s">
        <v>7724</v>
      </c>
      <c r="M2843" s="3">
        <v>40371</v>
      </c>
      <c r="N2843" s="2" t="s">
        <v>9409</v>
      </c>
      <c r="O2843" s="2"/>
      <c r="P2843" s="2" t="s">
        <v>107</v>
      </c>
      <c r="Q2843" s="2" t="str">
        <f>"023-10"</f>
        <v>023-10</v>
      </c>
      <c r="R2843" s="2" t="s">
        <v>9414</v>
      </c>
      <c r="S2843" s="2" t="s">
        <v>9414</v>
      </c>
      <c r="T2843" s="2">
        <v>1</v>
      </c>
      <c r="U2843" s="2" t="s">
        <v>79</v>
      </c>
      <c r="V2843" s="2">
        <v>1</v>
      </c>
      <c r="W2843" s="2" t="s">
        <v>80</v>
      </c>
      <c r="X2843" s="2">
        <v>12</v>
      </c>
      <c r="Y2843" s="2" t="s">
        <v>148</v>
      </c>
      <c r="Z2843" s="2">
        <v>1</v>
      </c>
      <c r="AA2843" s="2" t="s">
        <v>82</v>
      </c>
      <c r="AB2843" s="2">
        <v>9</v>
      </c>
      <c r="AC2843" s="2" t="s">
        <v>124</v>
      </c>
      <c r="AD2843" s="3">
        <v>40370</v>
      </c>
      <c r="AE2843" s="2"/>
      <c r="AF2843" s="3">
        <v>40370</v>
      </c>
      <c r="AG2843" s="4">
        <v>0.87152777777777779</v>
      </c>
      <c r="AH2843" s="2">
        <v>6</v>
      </c>
      <c r="AI2843" s="2" t="s">
        <v>197</v>
      </c>
      <c r="AJ2843" s="2">
        <v>50</v>
      </c>
      <c r="AK2843" s="2" t="s">
        <v>330</v>
      </c>
      <c r="AL2843" s="2">
        <v>24</v>
      </c>
      <c r="AM2843" s="2" t="s">
        <v>1540</v>
      </c>
      <c r="AN2843" s="2" t="s">
        <v>9411</v>
      </c>
      <c r="AO2843" s="2" t="s">
        <v>9412</v>
      </c>
      <c r="AP2843" s="2">
        <v>11</v>
      </c>
      <c r="AQ2843" s="2" t="s">
        <v>82</v>
      </c>
      <c r="AR2843" s="2"/>
      <c r="AS2843" s="2"/>
      <c r="AT2843" s="2" t="s">
        <v>9415</v>
      </c>
      <c r="AU2843" s="2"/>
      <c r="AV2843" s="2"/>
      <c r="AW2843" s="2"/>
      <c r="AX2843" s="2"/>
      <c r="AY2843" s="2">
        <v>41</v>
      </c>
      <c r="AZ2843" s="2" t="s">
        <v>82</v>
      </c>
      <c r="BA2843" s="2">
        <v>41</v>
      </c>
      <c r="BB2843" s="2" t="s">
        <v>82</v>
      </c>
      <c r="BC2843" s="2">
        <v>41</v>
      </c>
      <c r="BD2843" s="2" t="s">
        <v>82</v>
      </c>
      <c r="BE2843" s="2">
        <v>41</v>
      </c>
      <c r="BF2843" s="2" t="s">
        <v>82</v>
      </c>
      <c r="BG2843" s="2"/>
      <c r="BH2843" s="2"/>
      <c r="BI2843" s="2"/>
      <c r="BJ2843" s="2">
        <v>241</v>
      </c>
      <c r="BK2843" s="2" t="s">
        <v>82</v>
      </c>
      <c r="BL2843" s="2"/>
      <c r="BM2843" s="2">
        <v>241</v>
      </c>
      <c r="BN2843" s="2" t="s">
        <v>82</v>
      </c>
      <c r="BO2843" s="2"/>
      <c r="BP2843" s="2">
        <v>241</v>
      </c>
      <c r="BQ2843" s="2" t="s">
        <v>82</v>
      </c>
      <c r="BR2843" s="2"/>
      <c r="BS2843" s="3">
        <v>40371</v>
      </c>
      <c r="BT2843" s="4">
        <v>2.9259259259259259E-2</v>
      </c>
    </row>
    <row r="2844" spans="1:72" x14ac:dyDescent="0.25">
      <c r="A2844" s="2">
        <v>4154</v>
      </c>
      <c r="B2844" s="2">
        <v>2010</v>
      </c>
      <c r="C2844" s="2" t="s">
        <v>171</v>
      </c>
      <c r="D2844" s="2" t="s">
        <v>122</v>
      </c>
      <c r="E2844" s="2" t="s">
        <v>9416</v>
      </c>
      <c r="F2844" s="2">
        <v>398</v>
      </c>
      <c r="G2844" s="2" t="s">
        <v>94</v>
      </c>
      <c r="H2844" s="2">
        <v>13</v>
      </c>
      <c r="I2844" s="2" t="s">
        <v>2229</v>
      </c>
      <c r="J2844" s="2">
        <v>245</v>
      </c>
      <c r="K2844" s="2" t="s">
        <v>96</v>
      </c>
      <c r="L2844" s="2" t="s">
        <v>97</v>
      </c>
      <c r="M2844" s="3">
        <v>40371</v>
      </c>
      <c r="N2844" s="2" t="s">
        <v>3767</v>
      </c>
      <c r="O2844" s="2"/>
      <c r="P2844" s="2"/>
      <c r="Q2844" s="2" t="str">
        <f>"362-E/10"</f>
        <v>362-E/10</v>
      </c>
      <c r="R2844" s="2" t="s">
        <v>391</v>
      </c>
      <c r="S2844" s="2"/>
      <c r="T2844" s="2">
        <v>1</v>
      </c>
      <c r="U2844" s="2" t="s">
        <v>79</v>
      </c>
      <c r="V2844" s="2">
        <v>1</v>
      </c>
      <c r="W2844" s="2" t="s">
        <v>80</v>
      </c>
      <c r="X2844" s="2">
        <v>1</v>
      </c>
      <c r="Y2844" s="2" t="s">
        <v>81</v>
      </c>
      <c r="Z2844" s="2">
        <v>1</v>
      </c>
      <c r="AA2844" s="2" t="s">
        <v>82</v>
      </c>
      <c r="AB2844" s="2">
        <v>1</v>
      </c>
      <c r="AC2844" s="2" t="s">
        <v>178</v>
      </c>
      <c r="AD2844" s="3">
        <v>40371</v>
      </c>
      <c r="AE2844" s="4">
        <v>0.29166666666666669</v>
      </c>
      <c r="AF2844" s="2"/>
      <c r="AG2844" s="2"/>
      <c r="AH2844" s="2">
        <v>2</v>
      </c>
      <c r="AI2844" s="2" t="s">
        <v>84</v>
      </c>
      <c r="AJ2844" s="2">
        <v>9</v>
      </c>
      <c r="AK2844" s="2" t="s">
        <v>103</v>
      </c>
      <c r="AL2844" s="2">
        <v>14</v>
      </c>
      <c r="AM2844" s="2" t="s">
        <v>216</v>
      </c>
      <c r="AN2844" s="2" t="s">
        <v>9417</v>
      </c>
      <c r="AO2844" s="2"/>
      <c r="AP2844" s="2">
        <v>11</v>
      </c>
      <c r="AQ2844" s="2" t="s">
        <v>82</v>
      </c>
      <c r="AR2844" s="2"/>
      <c r="AS2844" s="2"/>
      <c r="AT2844" s="2" t="s">
        <v>9418</v>
      </c>
      <c r="AU2844" s="2"/>
      <c r="AV2844" s="2">
        <v>1</v>
      </c>
      <c r="AW2844" s="2"/>
      <c r="AX2844" s="2"/>
      <c r="AY2844" s="2">
        <v>41</v>
      </c>
      <c r="AZ2844" s="2" t="s">
        <v>82</v>
      </c>
      <c r="BA2844" s="2">
        <v>41</v>
      </c>
      <c r="BB2844" s="2" t="s">
        <v>82</v>
      </c>
      <c r="BC2844" s="2">
        <v>41</v>
      </c>
      <c r="BD2844" s="2" t="s">
        <v>82</v>
      </c>
      <c r="BE2844" s="2">
        <v>23</v>
      </c>
      <c r="BF2844" s="2" t="s">
        <v>183</v>
      </c>
      <c r="BG2844" s="2" t="s">
        <v>4595</v>
      </c>
      <c r="BH2844" s="2"/>
      <c r="BI2844" s="4">
        <v>0.52083333333333337</v>
      </c>
      <c r="BJ2844" s="2">
        <v>13</v>
      </c>
      <c r="BK2844" s="2" t="s">
        <v>91</v>
      </c>
      <c r="BL2844" s="2" t="s">
        <v>2592</v>
      </c>
      <c r="BM2844" s="2">
        <v>241</v>
      </c>
      <c r="BN2844" s="2" t="s">
        <v>82</v>
      </c>
      <c r="BO2844" s="2"/>
      <c r="BP2844" s="2">
        <v>73</v>
      </c>
      <c r="BQ2844" s="2" t="s">
        <v>186</v>
      </c>
      <c r="BR2844" s="2" t="s">
        <v>187</v>
      </c>
      <c r="BS2844" s="3">
        <v>40371</v>
      </c>
      <c r="BT2844" s="4">
        <v>0.3140162037037037</v>
      </c>
    </row>
    <row r="2845" spans="1:72" x14ac:dyDescent="0.25">
      <c r="A2845" s="2">
        <v>4155</v>
      </c>
      <c r="B2845" s="2">
        <v>2010</v>
      </c>
      <c r="C2845" s="2" t="s">
        <v>171</v>
      </c>
      <c r="D2845" s="2" t="s">
        <v>122</v>
      </c>
      <c r="E2845" s="2" t="s">
        <v>9419</v>
      </c>
      <c r="F2845" s="2">
        <v>398</v>
      </c>
      <c r="G2845" s="2" t="s">
        <v>94</v>
      </c>
      <c r="H2845" s="2">
        <v>13</v>
      </c>
      <c r="I2845" s="2" t="s">
        <v>2229</v>
      </c>
      <c r="J2845" s="2">
        <v>245</v>
      </c>
      <c r="K2845" s="2" t="s">
        <v>96</v>
      </c>
      <c r="L2845" s="2" t="s">
        <v>97</v>
      </c>
      <c r="M2845" s="3">
        <v>40371</v>
      </c>
      <c r="N2845" s="2" t="s">
        <v>3767</v>
      </c>
      <c r="O2845" s="2"/>
      <c r="P2845" s="2"/>
      <c r="Q2845" s="2" t="str">
        <f>"363-E/10"</f>
        <v>363-E/10</v>
      </c>
      <c r="R2845" s="2" t="s">
        <v>391</v>
      </c>
      <c r="S2845" s="2"/>
      <c r="T2845" s="2">
        <v>1</v>
      </c>
      <c r="U2845" s="2" t="s">
        <v>79</v>
      </c>
      <c r="V2845" s="2">
        <v>1</v>
      </c>
      <c r="W2845" s="2" t="s">
        <v>80</v>
      </c>
      <c r="X2845" s="2">
        <v>1</v>
      </c>
      <c r="Y2845" s="2" t="s">
        <v>81</v>
      </c>
      <c r="Z2845" s="2">
        <v>1</v>
      </c>
      <c r="AA2845" s="2" t="s">
        <v>82</v>
      </c>
      <c r="AB2845" s="2">
        <v>1</v>
      </c>
      <c r="AC2845" s="2" t="s">
        <v>178</v>
      </c>
      <c r="AD2845" s="3">
        <v>40370</v>
      </c>
      <c r="AE2845" s="4">
        <v>0.29166666666666669</v>
      </c>
      <c r="AF2845" s="2"/>
      <c r="AG2845" s="2"/>
      <c r="AH2845" s="2">
        <v>2</v>
      </c>
      <c r="AI2845" s="2" t="s">
        <v>84</v>
      </c>
      <c r="AJ2845" s="2">
        <v>9</v>
      </c>
      <c r="AK2845" s="2" t="s">
        <v>103</v>
      </c>
      <c r="AL2845" s="2">
        <v>15</v>
      </c>
      <c r="AM2845" s="2" t="s">
        <v>104</v>
      </c>
      <c r="AN2845" s="2" t="s">
        <v>9420</v>
      </c>
      <c r="AO2845" s="2"/>
      <c r="AP2845" s="2">
        <v>11</v>
      </c>
      <c r="AQ2845" s="2" t="s">
        <v>82</v>
      </c>
      <c r="AR2845" s="2"/>
      <c r="AS2845" s="2"/>
      <c r="AT2845" s="2" t="s">
        <v>9421</v>
      </c>
      <c r="AU2845" s="2"/>
      <c r="AV2845" s="2">
        <v>1</v>
      </c>
      <c r="AW2845" s="2"/>
      <c r="AX2845" s="2"/>
      <c r="AY2845" s="2">
        <v>41</v>
      </c>
      <c r="AZ2845" s="2" t="s">
        <v>82</v>
      </c>
      <c r="BA2845" s="2">
        <v>41</v>
      </c>
      <c r="BB2845" s="2" t="s">
        <v>82</v>
      </c>
      <c r="BC2845" s="2">
        <v>41</v>
      </c>
      <c r="BD2845" s="2" t="s">
        <v>82</v>
      </c>
      <c r="BE2845" s="2">
        <v>13</v>
      </c>
      <c r="BF2845" s="2" t="s">
        <v>108</v>
      </c>
      <c r="BG2845" s="2" t="s">
        <v>5713</v>
      </c>
      <c r="BH2845" s="2"/>
      <c r="BI2845" s="4">
        <v>0.875</v>
      </c>
      <c r="BJ2845" s="2">
        <v>13</v>
      </c>
      <c r="BK2845" s="2" t="s">
        <v>91</v>
      </c>
      <c r="BL2845" s="2" t="s">
        <v>2592</v>
      </c>
      <c r="BM2845" s="2">
        <v>241</v>
      </c>
      <c r="BN2845" s="2" t="s">
        <v>82</v>
      </c>
      <c r="BO2845" s="2"/>
      <c r="BP2845" s="2">
        <v>73</v>
      </c>
      <c r="BQ2845" s="2" t="s">
        <v>186</v>
      </c>
      <c r="BR2845" s="2" t="s">
        <v>187</v>
      </c>
      <c r="BS2845" s="3">
        <v>40371</v>
      </c>
      <c r="BT2845" s="4">
        <v>0.31571759259259258</v>
      </c>
    </row>
    <row r="2846" spans="1:72" x14ac:dyDescent="0.25">
      <c r="A2846" s="2">
        <v>4169</v>
      </c>
      <c r="B2846" s="2">
        <v>2010</v>
      </c>
      <c r="C2846" s="2" t="s">
        <v>1559</v>
      </c>
      <c r="D2846" s="2" t="s">
        <v>73</v>
      </c>
      <c r="E2846" s="2" t="s">
        <v>9422</v>
      </c>
      <c r="F2846" s="2">
        <v>135</v>
      </c>
      <c r="G2846" s="2" t="s">
        <v>2170</v>
      </c>
      <c r="H2846" s="2">
        <v>22</v>
      </c>
      <c r="I2846" s="2" t="s">
        <v>75</v>
      </c>
      <c r="J2846" s="2">
        <v>152</v>
      </c>
      <c r="K2846" s="2" t="s">
        <v>2171</v>
      </c>
      <c r="L2846" s="2" t="s">
        <v>946</v>
      </c>
      <c r="M2846" s="3">
        <v>40371</v>
      </c>
      <c r="N2846" s="2" t="s">
        <v>9423</v>
      </c>
      <c r="O2846" s="2" t="s">
        <v>6787</v>
      </c>
      <c r="P2846" s="2" t="s">
        <v>6788</v>
      </c>
      <c r="Q2846" s="2" t="str">
        <f>"N/C"</f>
        <v>N/C</v>
      </c>
      <c r="R2846" s="2" t="s">
        <v>82</v>
      </c>
      <c r="S2846" s="2" t="s">
        <v>82</v>
      </c>
      <c r="T2846" s="2">
        <v>1</v>
      </c>
      <c r="U2846" s="2" t="s">
        <v>79</v>
      </c>
      <c r="V2846" s="2">
        <v>3</v>
      </c>
      <c r="W2846" s="2" t="s">
        <v>225</v>
      </c>
      <c r="X2846" s="2">
        <v>6</v>
      </c>
      <c r="Y2846" s="2" t="s">
        <v>249</v>
      </c>
      <c r="Z2846" s="2">
        <v>1</v>
      </c>
      <c r="AA2846" s="2" t="s">
        <v>82</v>
      </c>
      <c r="AB2846" s="2">
        <v>9</v>
      </c>
      <c r="AC2846" s="2" t="s">
        <v>124</v>
      </c>
      <c r="AD2846" s="3">
        <v>40371</v>
      </c>
      <c r="AE2846" s="2"/>
      <c r="AF2846" s="2"/>
      <c r="AG2846" s="2"/>
      <c r="AH2846" s="2">
        <v>6</v>
      </c>
      <c r="AI2846" s="2" t="s">
        <v>197</v>
      </c>
      <c r="AJ2846" s="2">
        <v>61</v>
      </c>
      <c r="AK2846" s="2" t="s">
        <v>686</v>
      </c>
      <c r="AL2846" s="2">
        <v>23</v>
      </c>
      <c r="AM2846" s="2" t="s">
        <v>251</v>
      </c>
      <c r="AN2846" s="2" t="s">
        <v>6789</v>
      </c>
      <c r="AO2846" s="2" t="s">
        <v>9424</v>
      </c>
      <c r="AP2846" s="2">
        <v>11</v>
      </c>
      <c r="AQ2846" s="2" t="s">
        <v>82</v>
      </c>
      <c r="AR2846" s="2" t="s">
        <v>82</v>
      </c>
      <c r="AS2846" s="2" t="s">
        <v>82</v>
      </c>
      <c r="AT2846" s="2" t="s">
        <v>9425</v>
      </c>
      <c r="AU2846" s="2"/>
      <c r="AV2846" s="2"/>
      <c r="AW2846" s="2"/>
      <c r="AX2846" s="2"/>
      <c r="AY2846" s="2">
        <v>41</v>
      </c>
      <c r="AZ2846" s="2" t="s">
        <v>82</v>
      </c>
      <c r="BA2846" s="2">
        <v>41</v>
      </c>
      <c r="BB2846" s="2" t="s">
        <v>82</v>
      </c>
      <c r="BC2846" s="2">
        <v>41</v>
      </c>
      <c r="BD2846" s="2" t="s">
        <v>82</v>
      </c>
      <c r="BE2846" s="2">
        <v>41</v>
      </c>
      <c r="BF2846" s="2" t="s">
        <v>82</v>
      </c>
      <c r="BG2846" s="2" t="s">
        <v>82</v>
      </c>
      <c r="BH2846" s="2"/>
      <c r="BI2846" s="2"/>
      <c r="BJ2846" s="2">
        <v>241</v>
      </c>
      <c r="BK2846" s="2" t="s">
        <v>82</v>
      </c>
      <c r="BL2846" s="2" t="s">
        <v>82</v>
      </c>
      <c r="BM2846" s="2">
        <v>241</v>
      </c>
      <c r="BN2846" s="2" t="s">
        <v>82</v>
      </c>
      <c r="BO2846" s="2" t="s">
        <v>82</v>
      </c>
      <c r="BP2846" s="2">
        <v>241</v>
      </c>
      <c r="BQ2846" s="2" t="s">
        <v>82</v>
      </c>
      <c r="BR2846" s="2" t="s">
        <v>82</v>
      </c>
      <c r="BS2846" s="3">
        <v>40371</v>
      </c>
      <c r="BT2846" s="4">
        <v>0.58100694444444445</v>
      </c>
    </row>
    <row r="2847" spans="1:72" x14ac:dyDescent="0.25">
      <c r="A2847" s="2">
        <v>4170</v>
      </c>
      <c r="B2847" s="2">
        <v>2010</v>
      </c>
      <c r="C2847" s="2" t="s">
        <v>255</v>
      </c>
      <c r="D2847" s="2" t="s">
        <v>73</v>
      </c>
      <c r="E2847" s="2"/>
      <c r="F2847" s="2">
        <v>45</v>
      </c>
      <c r="G2847" s="2" t="s">
        <v>1408</v>
      </c>
      <c r="H2847" s="2">
        <v>47</v>
      </c>
      <c r="I2847" s="2" t="s">
        <v>1409</v>
      </c>
      <c r="J2847" s="2">
        <v>614</v>
      </c>
      <c r="K2847" s="2" t="s">
        <v>5197</v>
      </c>
      <c r="L2847" s="2" t="s">
        <v>9426</v>
      </c>
      <c r="M2847" s="3">
        <v>40371</v>
      </c>
      <c r="N2847" s="2" t="s">
        <v>2795</v>
      </c>
      <c r="O2847" s="2"/>
      <c r="P2847" s="2"/>
      <c r="Q2847" s="2" t="str">
        <f>"016/2010"</f>
        <v>016/2010</v>
      </c>
      <c r="R2847" s="2"/>
      <c r="S2847" s="2" t="s">
        <v>2926</v>
      </c>
      <c r="T2847" s="2">
        <v>1</v>
      </c>
      <c r="U2847" s="2" t="s">
        <v>79</v>
      </c>
      <c r="V2847" s="2">
        <v>1</v>
      </c>
      <c r="W2847" s="2" t="s">
        <v>80</v>
      </c>
      <c r="X2847" s="2">
        <v>12</v>
      </c>
      <c r="Y2847" s="2" t="s">
        <v>148</v>
      </c>
      <c r="Z2847" s="2">
        <v>3</v>
      </c>
      <c r="AA2847" s="2" t="s">
        <v>257</v>
      </c>
      <c r="AB2847" s="2">
        <v>9</v>
      </c>
      <c r="AC2847" s="2" t="s">
        <v>124</v>
      </c>
      <c r="AD2847" s="3">
        <v>40371</v>
      </c>
      <c r="AE2847" s="2"/>
      <c r="AF2847" s="3">
        <v>40371</v>
      </c>
      <c r="AG2847" s="4">
        <v>0.375</v>
      </c>
      <c r="AH2847" s="2">
        <v>4</v>
      </c>
      <c r="AI2847" s="2" t="s">
        <v>125</v>
      </c>
      <c r="AJ2847" s="2">
        <v>31</v>
      </c>
      <c r="AK2847" s="2" t="s">
        <v>1413</v>
      </c>
      <c r="AL2847" s="2">
        <v>9</v>
      </c>
      <c r="AM2847" s="2" t="s">
        <v>259</v>
      </c>
      <c r="AN2847" s="2" t="s">
        <v>9427</v>
      </c>
      <c r="AO2847" s="2"/>
      <c r="AP2847" s="2">
        <v>11</v>
      </c>
      <c r="AQ2847" s="2" t="s">
        <v>82</v>
      </c>
      <c r="AR2847" s="2"/>
      <c r="AS2847" s="2"/>
      <c r="AT2847" s="2" t="s">
        <v>9428</v>
      </c>
      <c r="AU2847" s="2"/>
      <c r="AV2847" s="2"/>
      <c r="AW2847" s="2"/>
      <c r="AX2847" s="2"/>
      <c r="AY2847" s="2">
        <v>44</v>
      </c>
      <c r="AZ2847" s="2" t="s">
        <v>262</v>
      </c>
      <c r="BA2847" s="2">
        <v>44</v>
      </c>
      <c r="BB2847" s="2" t="s">
        <v>262</v>
      </c>
      <c r="BC2847" s="2">
        <v>44</v>
      </c>
      <c r="BD2847" s="2" t="s">
        <v>262</v>
      </c>
      <c r="BE2847" s="2">
        <v>41</v>
      </c>
      <c r="BF2847" s="2" t="s">
        <v>82</v>
      </c>
      <c r="BG2847" s="2"/>
      <c r="BH2847" s="2"/>
      <c r="BI2847" s="2"/>
      <c r="BJ2847" s="2">
        <v>241</v>
      </c>
      <c r="BK2847" s="2" t="s">
        <v>82</v>
      </c>
      <c r="BL2847" s="2"/>
      <c r="BM2847" s="2">
        <v>241</v>
      </c>
      <c r="BN2847" s="2" t="s">
        <v>82</v>
      </c>
      <c r="BO2847" s="2"/>
      <c r="BP2847" s="2">
        <v>241</v>
      </c>
      <c r="BQ2847" s="2" t="s">
        <v>82</v>
      </c>
      <c r="BR2847" s="2"/>
      <c r="BS2847" s="3">
        <v>40371</v>
      </c>
      <c r="BT2847" s="4">
        <v>0.60872685185185182</v>
      </c>
    </row>
    <row r="2848" spans="1:72" x14ac:dyDescent="0.25">
      <c r="A2848" s="2">
        <v>4172</v>
      </c>
      <c r="B2848" s="2">
        <v>2010</v>
      </c>
      <c r="C2848" s="2" t="s">
        <v>72</v>
      </c>
      <c r="D2848" s="2" t="s">
        <v>73</v>
      </c>
      <c r="E2848" s="2"/>
      <c r="F2848" s="2">
        <v>649</v>
      </c>
      <c r="G2848" s="2" t="s">
        <v>9141</v>
      </c>
      <c r="H2848" s="2">
        <v>42</v>
      </c>
      <c r="I2848" s="2" t="s">
        <v>1096</v>
      </c>
      <c r="J2848" s="2">
        <v>602</v>
      </c>
      <c r="K2848" s="2" t="s">
        <v>9091</v>
      </c>
      <c r="L2848" s="2" t="s">
        <v>9092</v>
      </c>
      <c r="M2848" s="3">
        <v>40371</v>
      </c>
      <c r="N2848" s="2" t="s">
        <v>9429</v>
      </c>
      <c r="O2848" s="2" t="s">
        <v>107</v>
      </c>
      <c r="P2848" s="2" t="s">
        <v>107</v>
      </c>
      <c r="Q2848" s="2" t="str">
        <f>"255-A/10"</f>
        <v>255-A/10</v>
      </c>
      <c r="R2848" s="2" t="s">
        <v>78</v>
      </c>
      <c r="S2848" s="2" t="s">
        <v>78</v>
      </c>
      <c r="T2848" s="2">
        <v>1</v>
      </c>
      <c r="U2848" s="2" t="s">
        <v>79</v>
      </c>
      <c r="V2848" s="2">
        <v>1</v>
      </c>
      <c r="W2848" s="2" t="s">
        <v>80</v>
      </c>
      <c r="X2848" s="2">
        <v>12</v>
      </c>
      <c r="Y2848" s="2" t="s">
        <v>148</v>
      </c>
      <c r="Z2848" s="2">
        <v>1</v>
      </c>
      <c r="AA2848" s="2" t="s">
        <v>82</v>
      </c>
      <c r="AB2848" s="2">
        <v>6</v>
      </c>
      <c r="AC2848" s="2" t="s">
        <v>83</v>
      </c>
      <c r="AD2848" s="3">
        <v>40371</v>
      </c>
      <c r="AE2848" s="2"/>
      <c r="AF2848" s="3">
        <v>40371</v>
      </c>
      <c r="AG2848" s="4">
        <v>0.54166666666666663</v>
      </c>
      <c r="AH2848" s="2">
        <v>2</v>
      </c>
      <c r="AI2848" s="2" t="s">
        <v>84</v>
      </c>
      <c r="AJ2848" s="2">
        <v>12</v>
      </c>
      <c r="AK2848" s="2" t="s">
        <v>85</v>
      </c>
      <c r="AL2848" s="2">
        <v>23</v>
      </c>
      <c r="AM2848" s="2" t="s">
        <v>251</v>
      </c>
      <c r="AN2848" s="2"/>
      <c r="AO2848" s="2"/>
      <c r="AP2848" s="2">
        <v>11</v>
      </c>
      <c r="AQ2848" s="2" t="s">
        <v>82</v>
      </c>
      <c r="AR2848" s="2"/>
      <c r="AS2848" s="2"/>
      <c r="AT2848" s="2" t="s">
        <v>9430</v>
      </c>
      <c r="AU2848" s="2"/>
      <c r="AV2848" s="2"/>
      <c r="AW2848" s="2"/>
      <c r="AX2848" s="2"/>
      <c r="AY2848" s="2">
        <v>41</v>
      </c>
      <c r="AZ2848" s="2" t="s">
        <v>82</v>
      </c>
      <c r="BA2848" s="2">
        <v>41</v>
      </c>
      <c r="BB2848" s="2" t="s">
        <v>82</v>
      </c>
      <c r="BC2848" s="2">
        <v>41</v>
      </c>
      <c r="BD2848" s="2" t="s">
        <v>82</v>
      </c>
      <c r="BE2848" s="2">
        <v>41</v>
      </c>
      <c r="BF2848" s="2" t="s">
        <v>82</v>
      </c>
      <c r="BG2848" s="2"/>
      <c r="BH2848" s="2"/>
      <c r="BI2848" s="2"/>
      <c r="BJ2848" s="2">
        <v>241</v>
      </c>
      <c r="BK2848" s="2" t="s">
        <v>82</v>
      </c>
      <c r="BL2848" s="2"/>
      <c r="BM2848" s="2">
        <v>241</v>
      </c>
      <c r="BN2848" s="2" t="s">
        <v>82</v>
      </c>
      <c r="BO2848" s="2"/>
      <c r="BP2848" s="2">
        <v>241</v>
      </c>
      <c r="BQ2848" s="2" t="s">
        <v>82</v>
      </c>
      <c r="BR2848" s="2"/>
      <c r="BS2848" s="3">
        <v>40371</v>
      </c>
      <c r="BT2848" s="4">
        <v>0.66980324074074071</v>
      </c>
    </row>
    <row r="2849" spans="1:72" x14ac:dyDescent="0.25">
      <c r="A2849" s="2">
        <v>4173</v>
      </c>
      <c r="B2849" s="2">
        <v>2010</v>
      </c>
      <c r="C2849" s="2" t="s">
        <v>385</v>
      </c>
      <c r="D2849" s="2" t="s">
        <v>122</v>
      </c>
      <c r="E2849" s="2" t="s">
        <v>9431</v>
      </c>
      <c r="F2849" s="2">
        <v>293</v>
      </c>
      <c r="G2849" s="2" t="s">
        <v>8731</v>
      </c>
      <c r="H2849" s="2">
        <v>44</v>
      </c>
      <c r="I2849" s="2" t="s">
        <v>1272</v>
      </c>
      <c r="J2849" s="2">
        <v>615</v>
      </c>
      <c r="K2849" s="2" t="s">
        <v>9432</v>
      </c>
      <c r="L2849" s="2" t="s">
        <v>9433</v>
      </c>
      <c r="M2849" s="3">
        <v>40371</v>
      </c>
      <c r="N2849" s="2" t="s">
        <v>9434</v>
      </c>
      <c r="O2849" s="2" t="s">
        <v>9435</v>
      </c>
      <c r="P2849" s="6">
        <v>44835</v>
      </c>
      <c r="Q2849" s="2" t="str">
        <f>"014/10 UOCN Y DC IV"</f>
        <v>014/10 UOCN Y DC IV</v>
      </c>
      <c r="R2849" s="2"/>
      <c r="S2849" s="2"/>
      <c r="T2849" s="2">
        <v>1</v>
      </c>
      <c r="U2849" s="2" t="s">
        <v>79</v>
      </c>
      <c r="V2849" s="2">
        <v>1</v>
      </c>
      <c r="W2849" s="2" t="s">
        <v>80</v>
      </c>
      <c r="X2849" s="2">
        <v>5</v>
      </c>
      <c r="Y2849" s="2" t="s">
        <v>82</v>
      </c>
      <c r="Z2849" s="2">
        <v>1</v>
      </c>
      <c r="AA2849" s="2" t="s">
        <v>82</v>
      </c>
      <c r="AB2849" s="2">
        <v>9</v>
      </c>
      <c r="AC2849" s="2" t="s">
        <v>124</v>
      </c>
      <c r="AD2849" s="3">
        <v>40371</v>
      </c>
      <c r="AE2849" s="4">
        <v>0.66666666666666663</v>
      </c>
      <c r="AF2849" s="2"/>
      <c r="AG2849" s="2"/>
      <c r="AH2849" s="2">
        <v>5</v>
      </c>
      <c r="AI2849" s="2" t="s">
        <v>274</v>
      </c>
      <c r="AJ2849" s="2">
        <v>39</v>
      </c>
      <c r="AK2849" s="2" t="s">
        <v>8737</v>
      </c>
      <c r="AL2849" s="2">
        <v>23</v>
      </c>
      <c r="AM2849" s="2" t="s">
        <v>251</v>
      </c>
      <c r="AN2849" s="2"/>
      <c r="AO2849" s="2" t="s">
        <v>9436</v>
      </c>
      <c r="AP2849" s="2">
        <v>11</v>
      </c>
      <c r="AQ2849" s="2" t="s">
        <v>82</v>
      </c>
      <c r="AR2849" s="2"/>
      <c r="AS2849" s="2"/>
      <c r="AT2849" s="2" t="s">
        <v>9437</v>
      </c>
      <c r="AU2849" s="2"/>
      <c r="AV2849" s="2">
        <v>1</v>
      </c>
      <c r="AW2849" s="2"/>
      <c r="AX2849" s="2"/>
      <c r="AY2849" s="2">
        <v>1</v>
      </c>
      <c r="AZ2849" s="2" t="s">
        <v>107</v>
      </c>
      <c r="BA2849" s="2">
        <v>1</v>
      </c>
      <c r="BB2849" s="2" t="s">
        <v>107</v>
      </c>
      <c r="BC2849" s="2">
        <v>1</v>
      </c>
      <c r="BD2849" s="2" t="s">
        <v>107</v>
      </c>
      <c r="BE2849" s="2">
        <v>1</v>
      </c>
      <c r="BF2849" s="2" t="s">
        <v>107</v>
      </c>
      <c r="BG2849" s="2"/>
      <c r="BH2849" s="2"/>
      <c r="BI2849" s="2"/>
      <c r="BJ2849" s="2">
        <v>242</v>
      </c>
      <c r="BK2849" s="2" t="s">
        <v>107</v>
      </c>
      <c r="BL2849" s="2"/>
      <c r="BM2849" s="2">
        <v>242</v>
      </c>
      <c r="BN2849" s="2" t="s">
        <v>107</v>
      </c>
      <c r="BO2849" s="2"/>
      <c r="BP2849" s="2">
        <v>242</v>
      </c>
      <c r="BQ2849" s="2" t="s">
        <v>107</v>
      </c>
      <c r="BR2849" s="2"/>
      <c r="BS2849" s="3">
        <v>40371</v>
      </c>
      <c r="BT2849" s="4">
        <v>0.68586805555555552</v>
      </c>
    </row>
    <row r="2850" spans="1:72" x14ac:dyDescent="0.25">
      <c r="A2850" s="2">
        <v>4175</v>
      </c>
      <c r="B2850" s="2">
        <v>2010</v>
      </c>
      <c r="C2850" s="2" t="s">
        <v>255</v>
      </c>
      <c r="D2850" s="2" t="s">
        <v>73</v>
      </c>
      <c r="E2850" s="2"/>
      <c r="F2850" s="2">
        <v>535</v>
      </c>
      <c r="G2850" s="2" t="s">
        <v>9438</v>
      </c>
      <c r="H2850" s="2">
        <v>42</v>
      </c>
      <c r="I2850" s="2" t="s">
        <v>1096</v>
      </c>
      <c r="J2850" s="2">
        <v>328</v>
      </c>
      <c r="K2850" s="2" t="s">
        <v>1791</v>
      </c>
      <c r="L2850" s="2" t="s">
        <v>1792</v>
      </c>
      <c r="M2850" s="3">
        <v>40371</v>
      </c>
      <c r="N2850" s="2" t="s">
        <v>3716</v>
      </c>
      <c r="O2850" s="2"/>
      <c r="P2850" s="2"/>
      <c r="Q2850" s="2" t="str">
        <f>"082/10"</f>
        <v>082/10</v>
      </c>
      <c r="R2850" s="2"/>
      <c r="S2850" s="2" t="s">
        <v>9439</v>
      </c>
      <c r="T2850" s="2">
        <v>1</v>
      </c>
      <c r="U2850" s="2" t="s">
        <v>79</v>
      </c>
      <c r="V2850" s="2">
        <v>1</v>
      </c>
      <c r="W2850" s="2" t="s">
        <v>80</v>
      </c>
      <c r="X2850" s="2">
        <v>1</v>
      </c>
      <c r="Y2850" s="2" t="s">
        <v>81</v>
      </c>
      <c r="Z2850" s="2">
        <v>1</v>
      </c>
      <c r="AA2850" s="2" t="s">
        <v>82</v>
      </c>
      <c r="AB2850" s="2">
        <v>9</v>
      </c>
      <c r="AC2850" s="2" t="s">
        <v>124</v>
      </c>
      <c r="AD2850" s="3">
        <v>40369</v>
      </c>
      <c r="AE2850" s="4">
        <v>0.11805555555555557</v>
      </c>
      <c r="AF2850" s="2"/>
      <c r="AG2850" s="2"/>
      <c r="AH2850" s="2">
        <v>4</v>
      </c>
      <c r="AI2850" s="2" t="s">
        <v>125</v>
      </c>
      <c r="AJ2850" s="2">
        <v>29</v>
      </c>
      <c r="AK2850" s="2" t="s">
        <v>227</v>
      </c>
      <c r="AL2850" s="2">
        <v>9</v>
      </c>
      <c r="AM2850" s="2" t="s">
        <v>259</v>
      </c>
      <c r="AN2850" s="2" t="s">
        <v>9440</v>
      </c>
      <c r="AO2850" s="2" t="s">
        <v>9441</v>
      </c>
      <c r="AP2850" s="2">
        <v>11</v>
      </c>
      <c r="AQ2850" s="2" t="s">
        <v>82</v>
      </c>
      <c r="AR2850" s="2"/>
      <c r="AS2850" s="2"/>
      <c r="AT2850" s="2" t="s">
        <v>9442</v>
      </c>
      <c r="AU2850" s="2"/>
      <c r="AV2850" s="2"/>
      <c r="AW2850" s="2"/>
      <c r="AX2850" s="2"/>
      <c r="AY2850" s="2">
        <v>44</v>
      </c>
      <c r="AZ2850" s="2" t="s">
        <v>262</v>
      </c>
      <c r="BA2850" s="2">
        <v>41</v>
      </c>
      <c r="BB2850" s="2" t="s">
        <v>82</v>
      </c>
      <c r="BC2850" s="2">
        <v>41</v>
      </c>
      <c r="BD2850" s="2" t="s">
        <v>82</v>
      </c>
      <c r="BE2850" s="2">
        <v>41</v>
      </c>
      <c r="BF2850" s="2" t="s">
        <v>82</v>
      </c>
      <c r="BG2850" s="2"/>
      <c r="BH2850" s="2"/>
      <c r="BI2850" s="2"/>
      <c r="BJ2850" s="2">
        <v>241</v>
      </c>
      <c r="BK2850" s="2" t="s">
        <v>82</v>
      </c>
      <c r="BL2850" s="2"/>
      <c r="BM2850" s="2">
        <v>241</v>
      </c>
      <c r="BN2850" s="2" t="s">
        <v>82</v>
      </c>
      <c r="BO2850" s="2"/>
      <c r="BP2850" s="2">
        <v>241</v>
      </c>
      <c r="BQ2850" s="2" t="s">
        <v>82</v>
      </c>
      <c r="BR2850" s="2"/>
      <c r="BS2850" s="3">
        <v>40371</v>
      </c>
      <c r="BT2850" s="4">
        <v>0.70627314814814823</v>
      </c>
    </row>
    <row r="2851" spans="1:72" x14ac:dyDescent="0.25">
      <c r="A2851" s="2">
        <v>4176</v>
      </c>
      <c r="B2851" s="2">
        <v>2010</v>
      </c>
      <c r="C2851" s="2" t="s">
        <v>4543</v>
      </c>
      <c r="D2851" s="2" t="s">
        <v>122</v>
      </c>
      <c r="E2851" s="2"/>
      <c r="F2851" s="2">
        <v>1</v>
      </c>
      <c r="G2851" s="2" t="s">
        <v>82</v>
      </c>
      <c r="H2851" s="2">
        <v>1</v>
      </c>
      <c r="I2851" s="2" t="s">
        <v>82</v>
      </c>
      <c r="J2851" s="2">
        <v>1</v>
      </c>
      <c r="K2851" s="2" t="s">
        <v>107</v>
      </c>
      <c r="L2851" s="2" t="s">
        <v>107</v>
      </c>
      <c r="M2851" s="3">
        <v>40371</v>
      </c>
      <c r="N2851" s="2"/>
      <c r="O2851" s="2"/>
      <c r="P2851" s="2"/>
      <c r="Q2851" s="2" t="str">
        <f>""</f>
        <v/>
      </c>
      <c r="R2851" s="2"/>
      <c r="S2851" s="2"/>
      <c r="T2851" s="2">
        <v>2</v>
      </c>
      <c r="U2851" s="2" t="s">
        <v>123</v>
      </c>
      <c r="V2851" s="2">
        <v>1</v>
      </c>
      <c r="W2851" s="2" t="s">
        <v>80</v>
      </c>
      <c r="X2851" s="2">
        <v>11</v>
      </c>
      <c r="Y2851" s="2" t="s">
        <v>1920</v>
      </c>
      <c r="Z2851" s="2">
        <v>1</v>
      </c>
      <c r="AA2851" s="2" t="s">
        <v>82</v>
      </c>
      <c r="AB2851" s="2">
        <v>9</v>
      </c>
      <c r="AC2851" s="2" t="s">
        <v>124</v>
      </c>
      <c r="AD2851" s="3">
        <v>40371</v>
      </c>
      <c r="AE2851" s="4">
        <v>0.625</v>
      </c>
      <c r="AF2851" s="2"/>
      <c r="AG2851" s="2"/>
      <c r="AH2851" s="2">
        <v>4</v>
      </c>
      <c r="AI2851" s="2" t="s">
        <v>125</v>
      </c>
      <c r="AJ2851" s="2">
        <v>28</v>
      </c>
      <c r="AK2851" s="2" t="s">
        <v>741</v>
      </c>
      <c r="AL2851" s="2">
        <v>10</v>
      </c>
      <c r="AM2851" s="2" t="s">
        <v>200</v>
      </c>
      <c r="AN2851" s="2" t="s">
        <v>2437</v>
      </c>
      <c r="AO2851" s="2" t="s">
        <v>9073</v>
      </c>
      <c r="AP2851" s="2">
        <v>11</v>
      </c>
      <c r="AQ2851" s="2" t="s">
        <v>82</v>
      </c>
      <c r="AR2851" s="2"/>
      <c r="AS2851" s="2"/>
      <c r="AT2851" s="2" t="s">
        <v>9443</v>
      </c>
      <c r="AU2851" s="2"/>
      <c r="AV2851" s="2"/>
      <c r="AW2851" s="2"/>
      <c r="AX2851" s="2"/>
      <c r="AY2851" s="2">
        <v>41</v>
      </c>
      <c r="AZ2851" s="2" t="s">
        <v>82</v>
      </c>
      <c r="BA2851" s="2">
        <v>41</v>
      </c>
      <c r="BB2851" s="2" t="s">
        <v>82</v>
      </c>
      <c r="BC2851" s="2">
        <v>41</v>
      </c>
      <c r="BD2851" s="2" t="s">
        <v>82</v>
      </c>
      <c r="BE2851" s="2">
        <v>45</v>
      </c>
      <c r="BF2851" s="2" t="s">
        <v>1855</v>
      </c>
      <c r="BG2851" s="2">
        <v>5415</v>
      </c>
      <c r="BH2851" s="4">
        <v>0.66319444444444442</v>
      </c>
      <c r="BI2851" s="4">
        <v>0.69097222222222221</v>
      </c>
      <c r="BJ2851" s="2">
        <v>13</v>
      </c>
      <c r="BK2851" s="2" t="s">
        <v>91</v>
      </c>
      <c r="BL2851" s="2" t="s">
        <v>744</v>
      </c>
      <c r="BM2851" s="2">
        <v>13</v>
      </c>
      <c r="BN2851" s="2" t="s">
        <v>91</v>
      </c>
      <c r="BO2851" s="2" t="s">
        <v>169</v>
      </c>
      <c r="BP2851" s="2">
        <v>13</v>
      </c>
      <c r="BQ2851" s="2" t="s">
        <v>91</v>
      </c>
      <c r="BR2851" s="2" t="s">
        <v>1705</v>
      </c>
      <c r="BS2851" s="3">
        <v>40371</v>
      </c>
      <c r="BT2851" s="4">
        <v>0.7116203703703704</v>
      </c>
    </row>
    <row r="2852" spans="1:72" x14ac:dyDescent="0.25">
      <c r="A2852" s="2">
        <v>4179</v>
      </c>
      <c r="B2852" s="2">
        <v>2010</v>
      </c>
      <c r="C2852" s="2" t="s">
        <v>72</v>
      </c>
      <c r="D2852" s="2" t="s">
        <v>73</v>
      </c>
      <c r="E2852" s="2"/>
      <c r="F2852" s="2">
        <v>2</v>
      </c>
      <c r="G2852" s="2" t="s">
        <v>113</v>
      </c>
      <c r="H2852" s="2">
        <v>22</v>
      </c>
      <c r="I2852" s="2" t="s">
        <v>75</v>
      </c>
      <c r="J2852" s="2">
        <v>300</v>
      </c>
      <c r="K2852" s="2" t="s">
        <v>114</v>
      </c>
      <c r="L2852" s="2" t="s">
        <v>115</v>
      </c>
      <c r="M2852" s="3">
        <v>40371</v>
      </c>
      <c r="N2852" s="2" t="s">
        <v>107</v>
      </c>
      <c r="O2852" s="2" t="s">
        <v>107</v>
      </c>
      <c r="P2852" s="2" t="s">
        <v>107</v>
      </c>
      <c r="Q2852" s="2" t="str">
        <f>"365-E/10"</f>
        <v>365-E/10</v>
      </c>
      <c r="R2852" s="2" t="s">
        <v>116</v>
      </c>
      <c r="S2852" s="2" t="s">
        <v>116</v>
      </c>
      <c r="T2852" s="2">
        <v>1</v>
      </c>
      <c r="U2852" s="2" t="s">
        <v>79</v>
      </c>
      <c r="V2852" s="2">
        <v>1</v>
      </c>
      <c r="W2852" s="2" t="s">
        <v>80</v>
      </c>
      <c r="X2852" s="2">
        <v>12</v>
      </c>
      <c r="Y2852" s="2" t="s">
        <v>148</v>
      </c>
      <c r="Z2852" s="2">
        <v>1</v>
      </c>
      <c r="AA2852" s="2" t="s">
        <v>82</v>
      </c>
      <c r="AB2852" s="2">
        <v>6</v>
      </c>
      <c r="AC2852" s="2" t="s">
        <v>83</v>
      </c>
      <c r="AD2852" s="3">
        <v>40371</v>
      </c>
      <c r="AE2852" s="2"/>
      <c r="AF2852" s="3">
        <v>40371</v>
      </c>
      <c r="AG2852" s="4">
        <v>0.67361111111111116</v>
      </c>
      <c r="AH2852" s="2">
        <v>2</v>
      </c>
      <c r="AI2852" s="2" t="s">
        <v>84</v>
      </c>
      <c r="AJ2852" s="2">
        <v>9</v>
      </c>
      <c r="AK2852" s="2" t="s">
        <v>103</v>
      </c>
      <c r="AL2852" s="2">
        <v>12</v>
      </c>
      <c r="AM2852" s="2" t="s">
        <v>86</v>
      </c>
      <c r="AN2852" s="2" t="s">
        <v>9444</v>
      </c>
      <c r="AO2852" s="2"/>
      <c r="AP2852" s="2">
        <v>11</v>
      </c>
      <c r="AQ2852" s="2" t="s">
        <v>82</v>
      </c>
      <c r="AR2852" s="2"/>
      <c r="AS2852" s="2"/>
      <c r="AT2852" s="2" t="s">
        <v>9445</v>
      </c>
      <c r="AU2852" s="2"/>
      <c r="AV2852" s="2"/>
      <c r="AW2852" s="2"/>
      <c r="AX2852" s="2"/>
      <c r="AY2852" s="2">
        <v>41</v>
      </c>
      <c r="AZ2852" s="2" t="s">
        <v>82</v>
      </c>
      <c r="BA2852" s="2">
        <v>41</v>
      </c>
      <c r="BB2852" s="2" t="s">
        <v>82</v>
      </c>
      <c r="BC2852" s="2">
        <v>41</v>
      </c>
      <c r="BD2852" s="2" t="s">
        <v>82</v>
      </c>
      <c r="BE2852" s="2">
        <v>41</v>
      </c>
      <c r="BF2852" s="2" t="s">
        <v>82</v>
      </c>
      <c r="BG2852" s="2"/>
      <c r="BH2852" s="2"/>
      <c r="BI2852" s="2"/>
      <c r="BJ2852" s="2">
        <v>241</v>
      </c>
      <c r="BK2852" s="2" t="s">
        <v>82</v>
      </c>
      <c r="BL2852" s="2"/>
      <c r="BM2852" s="2">
        <v>241</v>
      </c>
      <c r="BN2852" s="2" t="s">
        <v>82</v>
      </c>
      <c r="BO2852" s="2"/>
      <c r="BP2852" s="2">
        <v>241</v>
      </c>
      <c r="BQ2852" s="2" t="s">
        <v>82</v>
      </c>
      <c r="BR2852" s="2"/>
      <c r="BS2852" s="3">
        <v>40371</v>
      </c>
      <c r="BT2852" s="4">
        <v>0.75851851851851848</v>
      </c>
    </row>
    <row r="2853" spans="1:72" x14ac:dyDescent="0.25">
      <c r="A2853" s="2">
        <v>4182</v>
      </c>
      <c r="B2853" s="2">
        <v>2010</v>
      </c>
      <c r="C2853" s="2" t="s">
        <v>4543</v>
      </c>
      <c r="D2853" s="2" t="s">
        <v>122</v>
      </c>
      <c r="E2853" s="2" t="s">
        <v>9446</v>
      </c>
      <c r="F2853" s="2">
        <v>648</v>
      </c>
      <c r="G2853" s="2" t="s">
        <v>9240</v>
      </c>
      <c r="H2853" s="2">
        <v>99</v>
      </c>
      <c r="I2853" s="2" t="s">
        <v>6285</v>
      </c>
      <c r="J2853" s="2">
        <v>600</v>
      </c>
      <c r="K2853" s="2" t="s">
        <v>9081</v>
      </c>
      <c r="L2853" s="2" t="s">
        <v>9082</v>
      </c>
      <c r="M2853" s="3">
        <v>40371</v>
      </c>
      <c r="N2853" s="2" t="s">
        <v>9241</v>
      </c>
      <c r="O2853" s="2" t="s">
        <v>9242</v>
      </c>
      <c r="P2853" s="2"/>
      <c r="Q2853" s="2" t="str">
        <f>"S/D"</f>
        <v>S/D</v>
      </c>
      <c r="R2853" s="2" t="s">
        <v>107</v>
      </c>
      <c r="S2853" s="2" t="s">
        <v>107</v>
      </c>
      <c r="T2853" s="2">
        <v>2</v>
      </c>
      <c r="U2853" s="2" t="s">
        <v>123</v>
      </c>
      <c r="V2853" s="2">
        <v>1</v>
      </c>
      <c r="W2853" s="2" t="s">
        <v>80</v>
      </c>
      <c r="X2853" s="2">
        <v>4</v>
      </c>
      <c r="Y2853" s="2" t="s">
        <v>463</v>
      </c>
      <c r="Z2853" s="2">
        <v>30</v>
      </c>
      <c r="AA2853" s="2" t="s">
        <v>5975</v>
      </c>
      <c r="AB2853" s="2">
        <v>9</v>
      </c>
      <c r="AC2853" s="2" t="s">
        <v>124</v>
      </c>
      <c r="AD2853" s="3">
        <v>40371</v>
      </c>
      <c r="AE2853" s="4">
        <v>0.69097222222222221</v>
      </c>
      <c r="AF2853" s="2"/>
      <c r="AG2853" s="2"/>
      <c r="AH2853" s="2">
        <v>3</v>
      </c>
      <c r="AI2853" s="2" t="s">
        <v>214</v>
      </c>
      <c r="AJ2853" s="2">
        <v>24</v>
      </c>
      <c r="AK2853" s="2" t="s">
        <v>215</v>
      </c>
      <c r="AL2853" s="2">
        <v>10</v>
      </c>
      <c r="AM2853" s="2" t="s">
        <v>200</v>
      </c>
      <c r="AN2853" s="2" t="s">
        <v>200</v>
      </c>
      <c r="AO2853" s="2" t="s">
        <v>82</v>
      </c>
      <c r="AP2853" s="2">
        <v>11</v>
      </c>
      <c r="AQ2853" s="2" t="s">
        <v>82</v>
      </c>
      <c r="AR2853" s="2"/>
      <c r="AS2853" s="2"/>
      <c r="AT2853" s="2" t="s">
        <v>9447</v>
      </c>
      <c r="AU2853" s="2">
        <v>1</v>
      </c>
      <c r="AV2853" s="2"/>
      <c r="AW2853" s="2"/>
      <c r="AX2853" s="2"/>
      <c r="AY2853" s="2">
        <v>41</v>
      </c>
      <c r="AZ2853" s="2" t="s">
        <v>82</v>
      </c>
      <c r="BA2853" s="2">
        <v>41</v>
      </c>
      <c r="BB2853" s="2" t="s">
        <v>82</v>
      </c>
      <c r="BC2853" s="2">
        <v>41</v>
      </c>
      <c r="BD2853" s="2" t="s">
        <v>82</v>
      </c>
      <c r="BE2853" s="2">
        <v>45</v>
      </c>
      <c r="BF2853" s="2" t="s">
        <v>1855</v>
      </c>
      <c r="BG2853" s="2">
        <v>5506</v>
      </c>
      <c r="BH2853" s="4">
        <v>0.70486111111111116</v>
      </c>
      <c r="BI2853" s="4">
        <v>0.69097222222222221</v>
      </c>
      <c r="BJ2853" s="2">
        <v>13</v>
      </c>
      <c r="BK2853" s="2" t="s">
        <v>91</v>
      </c>
      <c r="BL2853" s="2" t="s">
        <v>169</v>
      </c>
      <c r="BM2853" s="2">
        <v>241</v>
      </c>
      <c r="BN2853" s="2" t="s">
        <v>82</v>
      </c>
      <c r="BO2853" s="2" t="s">
        <v>82</v>
      </c>
      <c r="BP2853" s="2">
        <v>13</v>
      </c>
      <c r="BQ2853" s="2" t="s">
        <v>91</v>
      </c>
      <c r="BR2853" s="2" t="s">
        <v>744</v>
      </c>
      <c r="BS2853" s="3">
        <v>40371</v>
      </c>
      <c r="BT2853" s="4">
        <v>0.78623842592592597</v>
      </c>
    </row>
    <row r="2854" spans="1:72" x14ac:dyDescent="0.25">
      <c r="A2854" s="2">
        <v>4183</v>
      </c>
      <c r="B2854" s="2">
        <v>2010</v>
      </c>
      <c r="C2854" s="2" t="s">
        <v>72</v>
      </c>
      <c r="D2854" s="2" t="s">
        <v>73</v>
      </c>
      <c r="E2854" s="2"/>
      <c r="F2854" s="2">
        <v>649</v>
      </c>
      <c r="G2854" s="2" t="s">
        <v>9141</v>
      </c>
      <c r="H2854" s="2">
        <v>42</v>
      </c>
      <c r="I2854" s="2" t="s">
        <v>1096</v>
      </c>
      <c r="J2854" s="2">
        <v>602</v>
      </c>
      <c r="K2854" s="2" t="s">
        <v>9091</v>
      </c>
      <c r="L2854" s="2" t="s">
        <v>9092</v>
      </c>
      <c r="M2854" s="3">
        <v>40371</v>
      </c>
      <c r="N2854" s="2" t="s">
        <v>9448</v>
      </c>
      <c r="O2854" s="2" t="s">
        <v>107</v>
      </c>
      <c r="P2854" s="2" t="s">
        <v>107</v>
      </c>
      <c r="Q2854" s="2" t="str">
        <f>"256-A/10"</f>
        <v>256-A/10</v>
      </c>
      <c r="R2854" s="2" t="s">
        <v>78</v>
      </c>
      <c r="S2854" s="2" t="s">
        <v>78</v>
      </c>
      <c r="T2854" s="2">
        <v>1</v>
      </c>
      <c r="U2854" s="2" t="s">
        <v>79</v>
      </c>
      <c r="V2854" s="2">
        <v>1</v>
      </c>
      <c r="W2854" s="2" t="s">
        <v>80</v>
      </c>
      <c r="X2854" s="2">
        <v>12</v>
      </c>
      <c r="Y2854" s="2" t="s">
        <v>148</v>
      </c>
      <c r="Z2854" s="2">
        <v>1</v>
      </c>
      <c r="AA2854" s="2" t="s">
        <v>82</v>
      </c>
      <c r="AB2854" s="2">
        <v>6</v>
      </c>
      <c r="AC2854" s="2" t="s">
        <v>83</v>
      </c>
      <c r="AD2854" s="2"/>
      <c r="AE2854" s="2"/>
      <c r="AF2854" s="3">
        <v>40371</v>
      </c>
      <c r="AG2854" s="4">
        <v>0.71875</v>
      </c>
      <c r="AH2854" s="2">
        <v>2</v>
      </c>
      <c r="AI2854" s="2" t="s">
        <v>84</v>
      </c>
      <c r="AJ2854" s="2">
        <v>12</v>
      </c>
      <c r="AK2854" s="2" t="s">
        <v>85</v>
      </c>
      <c r="AL2854" s="2">
        <v>25</v>
      </c>
      <c r="AM2854" s="2" t="s">
        <v>3073</v>
      </c>
      <c r="AN2854" s="2" t="s">
        <v>9449</v>
      </c>
      <c r="AO2854" s="2" t="s">
        <v>9450</v>
      </c>
      <c r="AP2854" s="2">
        <v>11</v>
      </c>
      <c r="AQ2854" s="2" t="s">
        <v>82</v>
      </c>
      <c r="AR2854" s="2"/>
      <c r="AS2854" s="2"/>
      <c r="AT2854" s="2" t="s">
        <v>9451</v>
      </c>
      <c r="AU2854" s="2"/>
      <c r="AV2854" s="2"/>
      <c r="AW2854" s="2"/>
      <c r="AX2854" s="2"/>
      <c r="AY2854" s="2">
        <v>13</v>
      </c>
      <c r="AZ2854" s="2" t="s">
        <v>108</v>
      </c>
      <c r="BA2854" s="2">
        <v>41</v>
      </c>
      <c r="BB2854" s="2" t="s">
        <v>82</v>
      </c>
      <c r="BC2854" s="2">
        <v>41</v>
      </c>
      <c r="BD2854" s="2" t="s">
        <v>82</v>
      </c>
      <c r="BE2854" s="2">
        <v>41</v>
      </c>
      <c r="BF2854" s="2" t="s">
        <v>82</v>
      </c>
      <c r="BG2854" s="2"/>
      <c r="BH2854" s="2"/>
      <c r="BI2854" s="2"/>
      <c r="BJ2854" s="2">
        <v>241</v>
      </c>
      <c r="BK2854" s="2" t="s">
        <v>82</v>
      </c>
      <c r="BL2854" s="2"/>
      <c r="BM2854" s="2">
        <v>241</v>
      </c>
      <c r="BN2854" s="2" t="s">
        <v>82</v>
      </c>
      <c r="BO2854" s="2"/>
      <c r="BP2854" s="2">
        <v>241</v>
      </c>
      <c r="BQ2854" s="2" t="s">
        <v>82</v>
      </c>
      <c r="BR2854" s="2"/>
      <c r="BS2854" s="3">
        <v>40371</v>
      </c>
      <c r="BT2854" s="4">
        <v>0.8352546296296296</v>
      </c>
    </row>
    <row r="2855" spans="1:72" x14ac:dyDescent="0.25">
      <c r="A2855" s="2">
        <v>4186</v>
      </c>
      <c r="B2855" s="2">
        <v>2010</v>
      </c>
      <c r="C2855" s="2" t="s">
        <v>702</v>
      </c>
      <c r="D2855" s="2" t="s">
        <v>122</v>
      </c>
      <c r="E2855" s="2"/>
      <c r="F2855" s="2">
        <v>1</v>
      </c>
      <c r="G2855" s="2" t="s">
        <v>82</v>
      </c>
      <c r="H2855" s="2">
        <v>1</v>
      </c>
      <c r="I2855" s="2" t="s">
        <v>82</v>
      </c>
      <c r="J2855" s="2">
        <v>1</v>
      </c>
      <c r="K2855" s="2" t="s">
        <v>107</v>
      </c>
      <c r="L2855" s="2" t="s">
        <v>107</v>
      </c>
      <c r="M2855" s="3">
        <v>40371</v>
      </c>
      <c r="N2855" s="2"/>
      <c r="O2855" s="2"/>
      <c r="P2855" s="2"/>
      <c r="Q2855" s="2" t="str">
        <f>""</f>
        <v/>
      </c>
      <c r="R2855" s="2"/>
      <c r="S2855" s="2"/>
      <c r="T2855" s="2">
        <v>1</v>
      </c>
      <c r="U2855" s="2" t="s">
        <v>79</v>
      </c>
      <c r="V2855" s="2">
        <v>1</v>
      </c>
      <c r="W2855" s="2" t="s">
        <v>80</v>
      </c>
      <c r="X2855" s="2">
        <v>11</v>
      </c>
      <c r="Y2855" s="2" t="s">
        <v>1920</v>
      </c>
      <c r="Z2855" s="2">
        <v>1</v>
      </c>
      <c r="AA2855" s="2" t="s">
        <v>82</v>
      </c>
      <c r="AB2855" s="2">
        <v>9</v>
      </c>
      <c r="AC2855" s="2" t="s">
        <v>124</v>
      </c>
      <c r="AD2855" s="3">
        <v>40371</v>
      </c>
      <c r="AE2855" s="4">
        <v>0.75</v>
      </c>
      <c r="AF2855" s="2"/>
      <c r="AG2855" s="2"/>
      <c r="AH2855" s="2">
        <v>2</v>
      </c>
      <c r="AI2855" s="2" t="s">
        <v>84</v>
      </c>
      <c r="AJ2855" s="2">
        <v>9</v>
      </c>
      <c r="AK2855" s="2" t="s">
        <v>103</v>
      </c>
      <c r="AL2855" s="2">
        <v>15</v>
      </c>
      <c r="AM2855" s="2" t="s">
        <v>104</v>
      </c>
      <c r="AN2855" s="2" t="s">
        <v>137</v>
      </c>
      <c r="AO2855" s="2"/>
      <c r="AP2855" s="2">
        <v>11</v>
      </c>
      <c r="AQ2855" s="2" t="s">
        <v>82</v>
      </c>
      <c r="AR2855" s="2"/>
      <c r="AS2855" s="2"/>
      <c r="AT2855" s="2" t="s">
        <v>9452</v>
      </c>
      <c r="AU2855" s="2"/>
      <c r="AV2855" s="2"/>
      <c r="AW2855" s="2"/>
      <c r="AX2855" s="2"/>
      <c r="AY2855" s="2">
        <v>41</v>
      </c>
      <c r="AZ2855" s="2" t="s">
        <v>82</v>
      </c>
      <c r="BA2855" s="2">
        <v>41</v>
      </c>
      <c r="BB2855" s="2" t="s">
        <v>82</v>
      </c>
      <c r="BC2855" s="2">
        <v>41</v>
      </c>
      <c r="BD2855" s="2" t="s">
        <v>82</v>
      </c>
      <c r="BE2855" s="2">
        <v>13</v>
      </c>
      <c r="BF2855" s="2" t="s">
        <v>108</v>
      </c>
      <c r="BG2855" s="2" t="s">
        <v>842</v>
      </c>
      <c r="BH2855" s="2"/>
      <c r="BI2855" s="4">
        <v>0.875</v>
      </c>
      <c r="BJ2855" s="2">
        <v>13</v>
      </c>
      <c r="BK2855" s="2" t="s">
        <v>91</v>
      </c>
      <c r="BL2855" s="2" t="s">
        <v>185</v>
      </c>
      <c r="BM2855" s="2">
        <v>241</v>
      </c>
      <c r="BN2855" s="2" t="s">
        <v>82</v>
      </c>
      <c r="BO2855" s="2"/>
      <c r="BP2855" s="2">
        <v>73</v>
      </c>
      <c r="BQ2855" s="2" t="s">
        <v>186</v>
      </c>
      <c r="BR2855" s="2" t="s">
        <v>187</v>
      </c>
      <c r="BS2855" s="3">
        <v>40371</v>
      </c>
      <c r="BT2855" s="4">
        <v>0.89538194444444441</v>
      </c>
    </row>
    <row r="2856" spans="1:72" x14ac:dyDescent="0.25">
      <c r="A2856" s="2">
        <v>4187</v>
      </c>
      <c r="B2856" s="2">
        <v>2010</v>
      </c>
      <c r="C2856" s="2" t="s">
        <v>128</v>
      </c>
      <c r="D2856" s="2" t="s">
        <v>122</v>
      </c>
      <c r="E2856" s="2" t="s">
        <v>9453</v>
      </c>
      <c r="F2856" s="2">
        <v>191</v>
      </c>
      <c r="G2856" s="2" t="s">
        <v>5531</v>
      </c>
      <c r="H2856" s="2">
        <v>22</v>
      </c>
      <c r="I2856" s="2" t="s">
        <v>75</v>
      </c>
      <c r="J2856" s="2">
        <v>606</v>
      </c>
      <c r="K2856" s="2" t="s">
        <v>9068</v>
      </c>
      <c r="L2856" s="2" t="s">
        <v>9069</v>
      </c>
      <c r="M2856" s="3">
        <v>40371</v>
      </c>
      <c r="N2856" s="2" t="s">
        <v>9204</v>
      </c>
      <c r="O2856" s="2" t="s">
        <v>107</v>
      </c>
      <c r="P2856" s="2" t="s">
        <v>107</v>
      </c>
      <c r="Q2856" s="2" t="str">
        <f>"248-A/10"</f>
        <v>248-A/10</v>
      </c>
      <c r="R2856" s="2" t="s">
        <v>9205</v>
      </c>
      <c r="S2856" s="2"/>
      <c r="T2856" s="2">
        <v>1</v>
      </c>
      <c r="U2856" s="2" t="s">
        <v>79</v>
      </c>
      <c r="V2856" s="2">
        <v>1</v>
      </c>
      <c r="W2856" s="2" t="s">
        <v>80</v>
      </c>
      <c r="X2856" s="2">
        <v>12</v>
      </c>
      <c r="Y2856" s="2" t="s">
        <v>148</v>
      </c>
      <c r="Z2856" s="2">
        <v>1</v>
      </c>
      <c r="AA2856" s="2" t="s">
        <v>82</v>
      </c>
      <c r="AB2856" s="2">
        <v>9</v>
      </c>
      <c r="AC2856" s="2" t="s">
        <v>124</v>
      </c>
      <c r="AD2856" s="3">
        <v>40361</v>
      </c>
      <c r="AE2856" s="4">
        <v>0.5</v>
      </c>
      <c r="AF2856" s="3">
        <v>40364</v>
      </c>
      <c r="AG2856" s="4">
        <v>0.5</v>
      </c>
      <c r="AH2856" s="2">
        <v>2</v>
      </c>
      <c r="AI2856" s="2" t="s">
        <v>84</v>
      </c>
      <c r="AJ2856" s="2">
        <v>12</v>
      </c>
      <c r="AK2856" s="2" t="s">
        <v>85</v>
      </c>
      <c r="AL2856" s="2">
        <v>25</v>
      </c>
      <c r="AM2856" s="2" t="s">
        <v>3073</v>
      </c>
      <c r="AN2856" s="2"/>
      <c r="AO2856" s="2"/>
      <c r="AP2856" s="2">
        <v>11</v>
      </c>
      <c r="AQ2856" s="2" t="s">
        <v>82</v>
      </c>
      <c r="AR2856" s="2"/>
      <c r="AS2856" s="2"/>
      <c r="AT2856" s="2" t="s">
        <v>9454</v>
      </c>
      <c r="AU2856" s="2"/>
      <c r="AV2856" s="2"/>
      <c r="AW2856" s="2"/>
      <c r="AX2856" s="2"/>
      <c r="AY2856" s="2">
        <v>41</v>
      </c>
      <c r="AZ2856" s="2" t="s">
        <v>82</v>
      </c>
      <c r="BA2856" s="2">
        <v>10</v>
      </c>
      <c r="BB2856" s="2" t="s">
        <v>901</v>
      </c>
      <c r="BC2856" s="2">
        <v>10</v>
      </c>
      <c r="BD2856" s="2" t="s">
        <v>901</v>
      </c>
      <c r="BE2856" s="2">
        <v>10</v>
      </c>
      <c r="BF2856" s="2" t="s">
        <v>901</v>
      </c>
      <c r="BG2856" s="2"/>
      <c r="BH2856" s="2"/>
      <c r="BI2856" s="2"/>
      <c r="BJ2856" s="2">
        <v>241</v>
      </c>
      <c r="BK2856" s="2" t="s">
        <v>82</v>
      </c>
      <c r="BL2856" s="2"/>
      <c r="BM2856" s="2">
        <v>241</v>
      </c>
      <c r="BN2856" s="2" t="s">
        <v>82</v>
      </c>
      <c r="BO2856" s="2"/>
      <c r="BP2856" s="2">
        <v>241</v>
      </c>
      <c r="BQ2856" s="2" t="s">
        <v>82</v>
      </c>
      <c r="BR2856" s="2"/>
      <c r="BS2856" s="3">
        <v>40371</v>
      </c>
      <c r="BT2856" s="4">
        <v>0.90173611111111107</v>
      </c>
    </row>
    <row r="2857" spans="1:72" x14ac:dyDescent="0.25">
      <c r="A2857" s="2">
        <v>4188</v>
      </c>
      <c r="B2857" s="2">
        <v>2010</v>
      </c>
      <c r="C2857" s="2" t="s">
        <v>1094</v>
      </c>
      <c r="D2857" s="2" t="s">
        <v>73</v>
      </c>
      <c r="E2857" s="2"/>
      <c r="F2857" s="2">
        <v>2</v>
      </c>
      <c r="G2857" s="2" t="s">
        <v>113</v>
      </c>
      <c r="H2857" s="2">
        <v>22</v>
      </c>
      <c r="I2857" s="2" t="s">
        <v>75</v>
      </c>
      <c r="J2857" s="2">
        <v>300</v>
      </c>
      <c r="K2857" s="2" t="s">
        <v>114</v>
      </c>
      <c r="L2857" s="2" t="s">
        <v>115</v>
      </c>
      <c r="M2857" s="3">
        <v>40371</v>
      </c>
      <c r="N2857" s="2"/>
      <c r="O2857" s="2"/>
      <c r="P2857" s="2"/>
      <c r="Q2857" s="2" t="str">
        <f>"366-E/10"</f>
        <v>366-E/10</v>
      </c>
      <c r="R2857" s="2" t="s">
        <v>1100</v>
      </c>
      <c r="S2857" s="2"/>
      <c r="T2857" s="2">
        <v>1</v>
      </c>
      <c r="U2857" s="2" t="s">
        <v>79</v>
      </c>
      <c r="V2857" s="2">
        <v>1</v>
      </c>
      <c r="W2857" s="2" t="s">
        <v>80</v>
      </c>
      <c r="X2857" s="2">
        <v>12</v>
      </c>
      <c r="Y2857" s="2" t="s">
        <v>148</v>
      </c>
      <c r="Z2857" s="2">
        <v>1</v>
      </c>
      <c r="AA2857" s="2" t="s">
        <v>82</v>
      </c>
      <c r="AB2857" s="2">
        <v>9</v>
      </c>
      <c r="AC2857" s="2" t="s">
        <v>124</v>
      </c>
      <c r="AD2857" s="3">
        <v>40371</v>
      </c>
      <c r="AE2857" s="4">
        <v>0.55208333333333337</v>
      </c>
      <c r="AF2857" s="3">
        <v>40371</v>
      </c>
      <c r="AG2857" s="4">
        <v>0.75694444444444453</v>
      </c>
      <c r="AH2857" s="2">
        <v>2</v>
      </c>
      <c r="AI2857" s="2" t="s">
        <v>84</v>
      </c>
      <c r="AJ2857" s="2">
        <v>9</v>
      </c>
      <c r="AK2857" s="2" t="s">
        <v>103</v>
      </c>
      <c r="AL2857" s="2">
        <v>12</v>
      </c>
      <c r="AM2857" s="2" t="s">
        <v>86</v>
      </c>
      <c r="AN2857" s="2"/>
      <c r="AO2857" s="2" t="s">
        <v>1971</v>
      </c>
      <c r="AP2857" s="2">
        <v>11</v>
      </c>
      <c r="AQ2857" s="2" t="s">
        <v>82</v>
      </c>
      <c r="AR2857" s="2"/>
      <c r="AS2857" s="2"/>
      <c r="AT2857" s="2" t="s">
        <v>9455</v>
      </c>
      <c r="AU2857" s="2"/>
      <c r="AV2857" s="2"/>
      <c r="AW2857" s="2"/>
      <c r="AX2857" s="2"/>
      <c r="AY2857" s="2">
        <v>41</v>
      </c>
      <c r="AZ2857" s="2" t="s">
        <v>82</v>
      </c>
      <c r="BA2857" s="2">
        <v>41</v>
      </c>
      <c r="BB2857" s="2" t="s">
        <v>82</v>
      </c>
      <c r="BC2857" s="2">
        <v>41</v>
      </c>
      <c r="BD2857" s="2" t="s">
        <v>82</v>
      </c>
      <c r="BE2857" s="2">
        <v>41</v>
      </c>
      <c r="BF2857" s="2" t="s">
        <v>82</v>
      </c>
      <c r="BG2857" s="2"/>
      <c r="BH2857" s="2"/>
      <c r="BI2857" s="2"/>
      <c r="BJ2857" s="2">
        <v>241</v>
      </c>
      <c r="BK2857" s="2" t="s">
        <v>82</v>
      </c>
      <c r="BL2857" s="2"/>
      <c r="BM2857" s="2">
        <v>241</v>
      </c>
      <c r="BN2857" s="2" t="s">
        <v>82</v>
      </c>
      <c r="BO2857" s="2"/>
      <c r="BP2857" s="2">
        <v>241</v>
      </c>
      <c r="BQ2857" s="2" t="s">
        <v>82</v>
      </c>
      <c r="BR2857" s="2"/>
      <c r="BS2857" s="3">
        <v>40371</v>
      </c>
      <c r="BT2857" s="4">
        <v>0.9243055555555556</v>
      </c>
    </row>
    <row r="2858" spans="1:72" x14ac:dyDescent="0.25">
      <c r="A2858" s="2">
        <v>4189</v>
      </c>
      <c r="B2858" s="2">
        <v>2010</v>
      </c>
      <c r="C2858" s="2" t="s">
        <v>93</v>
      </c>
      <c r="D2858" s="2" t="s">
        <v>73</v>
      </c>
      <c r="E2858" s="2"/>
      <c r="F2858" s="2">
        <v>399</v>
      </c>
      <c r="G2858" s="2" t="s">
        <v>587</v>
      </c>
      <c r="H2858" s="2">
        <v>14</v>
      </c>
      <c r="I2858" s="2" t="s">
        <v>1458</v>
      </c>
      <c r="J2858" s="2">
        <v>242</v>
      </c>
      <c r="K2858" s="2" t="s">
        <v>1077</v>
      </c>
      <c r="L2858" s="2" t="s">
        <v>1078</v>
      </c>
      <c r="M2858" s="3">
        <v>40371</v>
      </c>
      <c r="N2858" s="2" t="s">
        <v>9456</v>
      </c>
      <c r="O2858" s="2" t="s">
        <v>9457</v>
      </c>
      <c r="P2858" s="2">
        <v>6518</v>
      </c>
      <c r="Q2858" s="2" t="str">
        <f>""</f>
        <v/>
      </c>
      <c r="R2858" s="2" t="s">
        <v>100</v>
      </c>
      <c r="S2858" s="2"/>
      <c r="T2858" s="2">
        <v>1</v>
      </c>
      <c r="U2858" s="2" t="s">
        <v>79</v>
      </c>
      <c r="V2858" s="2">
        <v>1</v>
      </c>
      <c r="W2858" s="2" t="s">
        <v>80</v>
      </c>
      <c r="X2858" s="2">
        <v>10</v>
      </c>
      <c r="Y2858" s="2" t="s">
        <v>226</v>
      </c>
      <c r="Z2858" s="2">
        <v>6</v>
      </c>
      <c r="AA2858" s="2" t="s">
        <v>101</v>
      </c>
      <c r="AB2858" s="2">
        <v>2</v>
      </c>
      <c r="AC2858" s="2" t="s">
        <v>102</v>
      </c>
      <c r="AD2858" s="3">
        <v>40371</v>
      </c>
      <c r="AE2858" s="4">
        <v>0.61805555555555558</v>
      </c>
      <c r="AF2858" s="2"/>
      <c r="AG2858" s="2"/>
      <c r="AH2858" s="2">
        <v>2</v>
      </c>
      <c r="AI2858" s="2" t="s">
        <v>84</v>
      </c>
      <c r="AJ2858" s="2">
        <v>9</v>
      </c>
      <c r="AK2858" s="2" t="s">
        <v>103</v>
      </c>
      <c r="AL2858" s="2">
        <v>14</v>
      </c>
      <c r="AM2858" s="2" t="s">
        <v>216</v>
      </c>
      <c r="AN2858" s="2"/>
      <c r="AO2858" s="2" t="s">
        <v>7664</v>
      </c>
      <c r="AP2858" s="2">
        <v>11</v>
      </c>
      <c r="AQ2858" s="2" t="s">
        <v>82</v>
      </c>
      <c r="AR2858" s="2"/>
      <c r="AS2858" s="2"/>
      <c r="AT2858" s="2" t="s">
        <v>9458</v>
      </c>
      <c r="AU2858" s="2">
        <v>1</v>
      </c>
      <c r="AV2858" s="2"/>
      <c r="AW2858" s="2"/>
      <c r="AX2858" s="2"/>
      <c r="AY2858" s="2">
        <v>41</v>
      </c>
      <c r="AZ2858" s="2" t="s">
        <v>82</v>
      </c>
      <c r="BA2858" s="2">
        <v>41</v>
      </c>
      <c r="BB2858" s="2" t="s">
        <v>82</v>
      </c>
      <c r="BC2858" s="2">
        <v>41</v>
      </c>
      <c r="BD2858" s="2" t="s">
        <v>82</v>
      </c>
      <c r="BE2858" s="2">
        <v>2</v>
      </c>
      <c r="BF2858" s="2" t="s">
        <v>1232</v>
      </c>
      <c r="BG2858" s="2" t="s">
        <v>1371</v>
      </c>
      <c r="BH2858" s="4">
        <v>0</v>
      </c>
      <c r="BI2858" s="4">
        <v>0.64583333333333337</v>
      </c>
      <c r="BJ2858" s="2">
        <v>13</v>
      </c>
      <c r="BK2858" s="2" t="s">
        <v>91</v>
      </c>
      <c r="BL2858" s="2" t="s">
        <v>360</v>
      </c>
      <c r="BM2858" s="2">
        <v>241</v>
      </c>
      <c r="BN2858" s="2" t="s">
        <v>82</v>
      </c>
      <c r="BO2858" s="2"/>
      <c r="BP2858" s="2">
        <v>42</v>
      </c>
      <c r="BQ2858" s="2" t="s">
        <v>1234</v>
      </c>
      <c r="BR2858" s="2" t="s">
        <v>1235</v>
      </c>
      <c r="BS2858" s="3">
        <v>40371</v>
      </c>
      <c r="BT2858" s="4">
        <v>0.9453125</v>
      </c>
    </row>
    <row r="2859" spans="1:72" x14ac:dyDescent="0.25">
      <c r="A2859" s="2">
        <v>4195</v>
      </c>
      <c r="B2859" s="2">
        <v>2010</v>
      </c>
      <c r="C2859" s="2" t="s">
        <v>93</v>
      </c>
      <c r="D2859" s="2" t="s">
        <v>122</v>
      </c>
      <c r="E2859" s="2" t="s">
        <v>9459</v>
      </c>
      <c r="F2859" s="2">
        <v>399</v>
      </c>
      <c r="G2859" s="2" t="s">
        <v>587</v>
      </c>
      <c r="H2859" s="2">
        <v>14</v>
      </c>
      <c r="I2859" s="2" t="s">
        <v>1458</v>
      </c>
      <c r="J2859" s="2">
        <v>242</v>
      </c>
      <c r="K2859" s="2" t="s">
        <v>1077</v>
      </c>
      <c r="L2859" s="2" t="s">
        <v>1078</v>
      </c>
      <c r="M2859" s="3">
        <v>40372</v>
      </c>
      <c r="N2859" s="2" t="s">
        <v>9456</v>
      </c>
      <c r="O2859" s="2" t="s">
        <v>9457</v>
      </c>
      <c r="P2859" s="2">
        <v>6518</v>
      </c>
      <c r="Q2859" s="2" t="str">
        <f>""</f>
        <v/>
      </c>
      <c r="R2859" s="2" t="s">
        <v>100</v>
      </c>
      <c r="S2859" s="2" t="s">
        <v>100</v>
      </c>
      <c r="T2859" s="2">
        <v>1</v>
      </c>
      <c r="U2859" s="2" t="s">
        <v>79</v>
      </c>
      <c r="V2859" s="2">
        <v>1</v>
      </c>
      <c r="W2859" s="2" t="s">
        <v>80</v>
      </c>
      <c r="X2859" s="2">
        <v>7</v>
      </c>
      <c r="Y2859" s="2" t="s">
        <v>1964</v>
      </c>
      <c r="Z2859" s="2">
        <v>1</v>
      </c>
      <c r="AA2859" s="2" t="s">
        <v>82</v>
      </c>
      <c r="AB2859" s="2">
        <v>2</v>
      </c>
      <c r="AC2859" s="2" t="s">
        <v>102</v>
      </c>
      <c r="AD2859" s="3">
        <v>40371</v>
      </c>
      <c r="AE2859" s="4">
        <v>0.64583333333333337</v>
      </c>
      <c r="AF2859" s="2"/>
      <c r="AG2859" s="2"/>
      <c r="AH2859" s="2">
        <v>2</v>
      </c>
      <c r="AI2859" s="2" t="s">
        <v>84</v>
      </c>
      <c r="AJ2859" s="2">
        <v>9</v>
      </c>
      <c r="AK2859" s="2" t="s">
        <v>103</v>
      </c>
      <c r="AL2859" s="2">
        <v>14</v>
      </c>
      <c r="AM2859" s="2" t="s">
        <v>216</v>
      </c>
      <c r="AN2859" s="2" t="s">
        <v>9460</v>
      </c>
      <c r="AO2859" s="2" t="s">
        <v>9461</v>
      </c>
      <c r="AP2859" s="2">
        <v>11</v>
      </c>
      <c r="AQ2859" s="2" t="s">
        <v>82</v>
      </c>
      <c r="AR2859" s="2"/>
      <c r="AS2859" s="2"/>
      <c r="AT2859" s="2" t="s">
        <v>9462</v>
      </c>
      <c r="AU2859" s="2">
        <v>1</v>
      </c>
      <c r="AV2859" s="2"/>
      <c r="AW2859" s="2"/>
      <c r="AX2859" s="2"/>
      <c r="AY2859" s="2">
        <v>41</v>
      </c>
      <c r="AZ2859" s="2" t="s">
        <v>82</v>
      </c>
      <c r="BA2859" s="2">
        <v>41</v>
      </c>
      <c r="BB2859" s="2" t="s">
        <v>82</v>
      </c>
      <c r="BC2859" s="2">
        <v>41</v>
      </c>
      <c r="BD2859" s="2" t="s">
        <v>82</v>
      </c>
      <c r="BE2859" s="2">
        <v>2</v>
      </c>
      <c r="BF2859" s="2" t="s">
        <v>1232</v>
      </c>
      <c r="BG2859" s="2" t="s">
        <v>1371</v>
      </c>
      <c r="BH2859" s="4">
        <v>0</v>
      </c>
      <c r="BI2859" s="4">
        <v>0.64583333333333337</v>
      </c>
      <c r="BJ2859" s="2">
        <v>13</v>
      </c>
      <c r="BK2859" s="2" t="s">
        <v>91</v>
      </c>
      <c r="BL2859" s="2" t="s">
        <v>1084</v>
      </c>
      <c r="BM2859" s="2">
        <v>241</v>
      </c>
      <c r="BN2859" s="2" t="s">
        <v>82</v>
      </c>
      <c r="BO2859" s="2"/>
      <c r="BP2859" s="2">
        <v>42</v>
      </c>
      <c r="BQ2859" s="2" t="s">
        <v>1234</v>
      </c>
      <c r="BR2859" s="2" t="s">
        <v>1235</v>
      </c>
      <c r="BS2859" s="3">
        <v>40372</v>
      </c>
      <c r="BT2859" s="4">
        <v>0.49494212962962963</v>
      </c>
    </row>
    <row r="2860" spans="1:72" x14ac:dyDescent="0.25">
      <c r="A2860" s="2">
        <v>4197</v>
      </c>
      <c r="B2860" s="2">
        <v>2010</v>
      </c>
      <c r="C2860" s="2" t="s">
        <v>171</v>
      </c>
      <c r="D2860" s="2" t="s">
        <v>73</v>
      </c>
      <c r="E2860" s="2"/>
      <c r="F2860" s="2">
        <v>22</v>
      </c>
      <c r="G2860" s="2" t="s">
        <v>9463</v>
      </c>
      <c r="H2860" s="2">
        <v>36</v>
      </c>
      <c r="I2860" s="2" t="s">
        <v>3488</v>
      </c>
      <c r="J2860" s="2">
        <v>32</v>
      </c>
      <c r="K2860" s="2" t="s">
        <v>9464</v>
      </c>
      <c r="L2860" s="2" t="s">
        <v>2145</v>
      </c>
      <c r="M2860" s="3">
        <v>40372</v>
      </c>
      <c r="N2860" s="2" t="s">
        <v>9465</v>
      </c>
      <c r="O2860" s="2" t="s">
        <v>9466</v>
      </c>
      <c r="P2860" s="7">
        <v>17042</v>
      </c>
      <c r="Q2860" s="2" t="str">
        <f>""</f>
        <v/>
      </c>
      <c r="R2860" s="2"/>
      <c r="S2860" s="2"/>
      <c r="T2860" s="2">
        <v>1</v>
      </c>
      <c r="U2860" s="2" t="s">
        <v>79</v>
      </c>
      <c r="V2860" s="2">
        <v>1</v>
      </c>
      <c r="W2860" s="2" t="s">
        <v>80</v>
      </c>
      <c r="X2860" s="2">
        <v>4</v>
      </c>
      <c r="Y2860" s="2" t="s">
        <v>463</v>
      </c>
      <c r="Z2860" s="2">
        <v>7</v>
      </c>
      <c r="AA2860" s="2" t="s">
        <v>1462</v>
      </c>
      <c r="AB2860" s="2">
        <v>1</v>
      </c>
      <c r="AC2860" s="2" t="s">
        <v>178</v>
      </c>
      <c r="AD2860" s="3">
        <v>40372</v>
      </c>
      <c r="AE2860" s="4">
        <v>0.27430555555555552</v>
      </c>
      <c r="AF2860" s="2"/>
      <c r="AG2860" s="2"/>
      <c r="AH2860" s="2">
        <v>2</v>
      </c>
      <c r="AI2860" s="2" t="s">
        <v>84</v>
      </c>
      <c r="AJ2860" s="2">
        <v>8</v>
      </c>
      <c r="AK2860" s="2" t="s">
        <v>436</v>
      </c>
      <c r="AL2860" s="2">
        <v>23</v>
      </c>
      <c r="AM2860" s="2" t="s">
        <v>251</v>
      </c>
      <c r="AN2860" s="2" t="s">
        <v>9467</v>
      </c>
      <c r="AO2860" s="2" t="s">
        <v>9468</v>
      </c>
      <c r="AP2860" s="2">
        <v>11</v>
      </c>
      <c r="AQ2860" s="2" t="s">
        <v>82</v>
      </c>
      <c r="AR2860" s="2"/>
      <c r="AS2860" s="2"/>
      <c r="AT2860" s="2" t="s">
        <v>9469</v>
      </c>
      <c r="AU2860" s="2"/>
      <c r="AV2860" s="2"/>
      <c r="AW2860" s="2"/>
      <c r="AX2860" s="2"/>
      <c r="AY2860" s="2">
        <v>41</v>
      </c>
      <c r="AZ2860" s="2" t="s">
        <v>82</v>
      </c>
      <c r="BA2860" s="2">
        <v>41</v>
      </c>
      <c r="BB2860" s="2" t="s">
        <v>82</v>
      </c>
      <c r="BC2860" s="2">
        <v>41</v>
      </c>
      <c r="BD2860" s="2" t="s">
        <v>82</v>
      </c>
      <c r="BE2860" s="2">
        <v>41</v>
      </c>
      <c r="BF2860" s="2" t="s">
        <v>82</v>
      </c>
      <c r="BG2860" s="2"/>
      <c r="BH2860" s="2"/>
      <c r="BI2860" s="2"/>
      <c r="BJ2860" s="2">
        <v>241</v>
      </c>
      <c r="BK2860" s="2" t="s">
        <v>82</v>
      </c>
      <c r="BL2860" s="2"/>
      <c r="BM2860" s="2">
        <v>241</v>
      </c>
      <c r="BN2860" s="2" t="s">
        <v>82</v>
      </c>
      <c r="BO2860" s="2"/>
      <c r="BP2860" s="2">
        <v>241</v>
      </c>
      <c r="BQ2860" s="2" t="s">
        <v>82</v>
      </c>
      <c r="BR2860" s="2"/>
      <c r="BS2860" s="3">
        <v>40372</v>
      </c>
      <c r="BT2860" s="4">
        <v>0.6355439814814815</v>
      </c>
    </row>
    <row r="2861" spans="1:72" x14ac:dyDescent="0.25">
      <c r="A2861" s="2">
        <v>4199</v>
      </c>
      <c r="B2861" s="2">
        <v>2010</v>
      </c>
      <c r="C2861" s="2" t="s">
        <v>147</v>
      </c>
      <c r="D2861" s="2" t="s">
        <v>122</v>
      </c>
      <c r="E2861" s="2"/>
      <c r="F2861" s="2">
        <v>1</v>
      </c>
      <c r="G2861" s="2" t="s">
        <v>82</v>
      </c>
      <c r="H2861" s="2">
        <v>1</v>
      </c>
      <c r="I2861" s="2" t="s">
        <v>82</v>
      </c>
      <c r="J2861" s="2">
        <v>1</v>
      </c>
      <c r="K2861" s="2" t="s">
        <v>107</v>
      </c>
      <c r="L2861" s="2" t="s">
        <v>107</v>
      </c>
      <c r="M2861" s="3">
        <v>40372</v>
      </c>
      <c r="N2861" s="2"/>
      <c r="O2861" s="2"/>
      <c r="P2861" s="2"/>
      <c r="Q2861" s="2" t="str">
        <f>""</f>
        <v/>
      </c>
      <c r="R2861" s="2"/>
      <c r="S2861" s="2"/>
      <c r="T2861" s="2">
        <v>2</v>
      </c>
      <c r="U2861" s="2" t="s">
        <v>123</v>
      </c>
      <c r="V2861" s="2">
        <v>1</v>
      </c>
      <c r="W2861" s="2" t="s">
        <v>80</v>
      </c>
      <c r="X2861" s="2">
        <v>5</v>
      </c>
      <c r="Y2861" s="2" t="s">
        <v>82</v>
      </c>
      <c r="Z2861" s="2">
        <v>1</v>
      </c>
      <c r="AA2861" s="2" t="s">
        <v>82</v>
      </c>
      <c r="AB2861" s="2">
        <v>9</v>
      </c>
      <c r="AC2861" s="2" t="s">
        <v>124</v>
      </c>
      <c r="AD2861" s="3">
        <v>40372</v>
      </c>
      <c r="AE2861" s="4">
        <v>0.375</v>
      </c>
      <c r="AF2861" s="3">
        <v>40372</v>
      </c>
      <c r="AG2861" s="4">
        <v>0.40277777777777773</v>
      </c>
      <c r="AH2861" s="2">
        <v>6</v>
      </c>
      <c r="AI2861" s="2" t="s">
        <v>197</v>
      </c>
      <c r="AJ2861" s="2">
        <v>51</v>
      </c>
      <c r="AK2861" s="2" t="s">
        <v>238</v>
      </c>
      <c r="AL2861" s="2">
        <v>23</v>
      </c>
      <c r="AM2861" s="2" t="s">
        <v>251</v>
      </c>
      <c r="AN2861" s="2"/>
      <c r="AO2861" s="2"/>
      <c r="AP2861" s="2">
        <v>11</v>
      </c>
      <c r="AQ2861" s="2" t="s">
        <v>82</v>
      </c>
      <c r="AR2861" s="2"/>
      <c r="AS2861" s="2"/>
      <c r="AT2861" s="2" t="s">
        <v>9470</v>
      </c>
      <c r="AU2861" s="2"/>
      <c r="AV2861" s="2"/>
      <c r="AW2861" s="2"/>
      <c r="AX2861" s="2"/>
      <c r="AY2861" s="2">
        <v>70</v>
      </c>
      <c r="AZ2861" s="2" t="s">
        <v>236</v>
      </c>
      <c r="BA2861" s="2">
        <v>41</v>
      </c>
      <c r="BB2861" s="2" t="s">
        <v>82</v>
      </c>
      <c r="BC2861" s="2">
        <v>41</v>
      </c>
      <c r="BD2861" s="2" t="s">
        <v>82</v>
      </c>
      <c r="BE2861" s="2">
        <v>41</v>
      </c>
      <c r="BF2861" s="2" t="s">
        <v>82</v>
      </c>
      <c r="BG2861" s="2"/>
      <c r="BH2861" s="2"/>
      <c r="BI2861" s="2"/>
      <c r="BJ2861" s="2">
        <v>241</v>
      </c>
      <c r="BK2861" s="2" t="s">
        <v>82</v>
      </c>
      <c r="BL2861" s="2"/>
      <c r="BM2861" s="2">
        <v>241</v>
      </c>
      <c r="BN2861" s="2" t="s">
        <v>82</v>
      </c>
      <c r="BO2861" s="2"/>
      <c r="BP2861" s="2">
        <v>241</v>
      </c>
      <c r="BQ2861" s="2" t="s">
        <v>82</v>
      </c>
      <c r="BR2861" s="2"/>
      <c r="BS2861" s="3">
        <v>40372</v>
      </c>
      <c r="BT2861" s="4">
        <v>0.65954861111111118</v>
      </c>
    </row>
    <row r="2862" spans="1:72" x14ac:dyDescent="0.25">
      <c r="A2862" s="2">
        <v>4201</v>
      </c>
      <c r="B2862" s="2">
        <v>2010</v>
      </c>
      <c r="C2862" s="2" t="s">
        <v>1017</v>
      </c>
      <c r="D2862" s="2" t="s">
        <v>122</v>
      </c>
      <c r="E2862" s="2" t="s">
        <v>9471</v>
      </c>
      <c r="F2862" s="2">
        <v>451</v>
      </c>
      <c r="G2862" s="2" t="s">
        <v>879</v>
      </c>
      <c r="H2862" s="2">
        <v>31</v>
      </c>
      <c r="I2862" s="2" t="s">
        <v>880</v>
      </c>
      <c r="J2862" s="2">
        <v>326</v>
      </c>
      <c r="K2862" s="2" t="s">
        <v>881</v>
      </c>
      <c r="L2862" s="2" t="s">
        <v>882</v>
      </c>
      <c r="M2862" s="3">
        <v>40372</v>
      </c>
      <c r="N2862" s="2" t="s">
        <v>1072</v>
      </c>
      <c r="O2862" s="2"/>
      <c r="P2862" s="2"/>
      <c r="Q2862" s="2" t="str">
        <f>"081/10"</f>
        <v>081/10</v>
      </c>
      <c r="R2862" s="2" t="s">
        <v>822</v>
      </c>
      <c r="S2862" s="2"/>
      <c r="T2862" s="2">
        <v>1</v>
      </c>
      <c r="U2862" s="2" t="s">
        <v>79</v>
      </c>
      <c r="V2862" s="2">
        <v>1</v>
      </c>
      <c r="W2862" s="2" t="s">
        <v>80</v>
      </c>
      <c r="X2862" s="2">
        <v>10</v>
      </c>
      <c r="Y2862" s="2" t="s">
        <v>226</v>
      </c>
      <c r="Z2862" s="2">
        <v>1</v>
      </c>
      <c r="AA2862" s="2" t="s">
        <v>82</v>
      </c>
      <c r="AB2862" s="2">
        <v>7</v>
      </c>
      <c r="AC2862" s="2" t="s">
        <v>1023</v>
      </c>
      <c r="AD2862" s="3">
        <v>40372</v>
      </c>
      <c r="AE2862" s="4">
        <v>0.51041666666666663</v>
      </c>
      <c r="AF2862" s="2"/>
      <c r="AG2862" s="2"/>
      <c r="AH2862" s="2">
        <v>4</v>
      </c>
      <c r="AI2862" s="2" t="s">
        <v>125</v>
      </c>
      <c r="AJ2862" s="2">
        <v>29</v>
      </c>
      <c r="AK2862" s="2" t="s">
        <v>227</v>
      </c>
      <c r="AL2862" s="2">
        <v>10</v>
      </c>
      <c r="AM2862" s="2" t="s">
        <v>200</v>
      </c>
      <c r="AN2862" s="2"/>
      <c r="AO2862" s="2" t="s">
        <v>883</v>
      </c>
      <c r="AP2862" s="2">
        <v>11</v>
      </c>
      <c r="AQ2862" s="2" t="s">
        <v>82</v>
      </c>
      <c r="AR2862" s="2" t="s">
        <v>9392</v>
      </c>
      <c r="AS2862" s="2" t="s">
        <v>9392</v>
      </c>
      <c r="AT2862" s="2" t="s">
        <v>9472</v>
      </c>
      <c r="AU2862" s="2"/>
      <c r="AV2862" s="2"/>
      <c r="AW2862" s="2"/>
      <c r="AX2862" s="2"/>
      <c r="AY2862" s="2">
        <v>41</v>
      </c>
      <c r="AZ2862" s="2" t="s">
        <v>82</v>
      </c>
      <c r="BA2862" s="2">
        <v>41</v>
      </c>
      <c r="BB2862" s="2" t="s">
        <v>82</v>
      </c>
      <c r="BC2862" s="2">
        <v>41</v>
      </c>
      <c r="BD2862" s="2" t="s">
        <v>82</v>
      </c>
      <c r="BE2862" s="2">
        <v>13</v>
      </c>
      <c r="BF2862" s="2" t="s">
        <v>108</v>
      </c>
      <c r="BG2862" s="2">
        <v>1455</v>
      </c>
      <c r="BH2862" s="4">
        <v>0.56597222222222221</v>
      </c>
      <c r="BI2862" s="4">
        <v>0.61805555555555558</v>
      </c>
      <c r="BJ2862" s="2">
        <v>13</v>
      </c>
      <c r="BK2862" s="2" t="s">
        <v>91</v>
      </c>
      <c r="BL2862" s="2" t="s">
        <v>828</v>
      </c>
      <c r="BM2862" s="2">
        <v>241</v>
      </c>
      <c r="BN2862" s="2" t="s">
        <v>82</v>
      </c>
      <c r="BO2862" s="2" t="s">
        <v>82</v>
      </c>
      <c r="BP2862" s="2">
        <v>13</v>
      </c>
      <c r="BQ2862" s="2" t="s">
        <v>91</v>
      </c>
      <c r="BR2862" s="2" t="s">
        <v>185</v>
      </c>
      <c r="BS2862" s="3">
        <v>40372</v>
      </c>
      <c r="BT2862" s="4">
        <v>0.69379629629629624</v>
      </c>
    </row>
    <row r="2863" spans="1:72" x14ac:dyDescent="0.25">
      <c r="A2863" s="2">
        <v>4204</v>
      </c>
      <c r="B2863" s="2">
        <v>2010</v>
      </c>
      <c r="C2863" s="2" t="s">
        <v>93</v>
      </c>
      <c r="D2863" s="2" t="s">
        <v>122</v>
      </c>
      <c r="E2863" s="2" t="s">
        <v>9459</v>
      </c>
      <c r="F2863" s="2">
        <v>399</v>
      </c>
      <c r="G2863" s="2" t="s">
        <v>587</v>
      </c>
      <c r="H2863" s="2">
        <v>14</v>
      </c>
      <c r="I2863" s="2" t="s">
        <v>1458</v>
      </c>
      <c r="J2863" s="2">
        <v>242</v>
      </c>
      <c r="K2863" s="2" t="s">
        <v>1077</v>
      </c>
      <c r="L2863" s="2" t="s">
        <v>1078</v>
      </c>
      <c r="M2863" s="3">
        <v>40372</v>
      </c>
      <c r="N2863" s="2" t="s">
        <v>9456</v>
      </c>
      <c r="O2863" s="2" t="s">
        <v>9457</v>
      </c>
      <c r="P2863" s="2">
        <v>6518</v>
      </c>
      <c r="Q2863" s="2" t="str">
        <f>""</f>
        <v/>
      </c>
      <c r="R2863" s="2" t="s">
        <v>100</v>
      </c>
      <c r="S2863" s="2" t="s">
        <v>100</v>
      </c>
      <c r="T2863" s="2">
        <v>1</v>
      </c>
      <c r="U2863" s="2" t="s">
        <v>79</v>
      </c>
      <c r="V2863" s="2">
        <v>1</v>
      </c>
      <c r="W2863" s="2" t="s">
        <v>80</v>
      </c>
      <c r="X2863" s="2">
        <v>7</v>
      </c>
      <c r="Y2863" s="2" t="s">
        <v>1964</v>
      </c>
      <c r="Z2863" s="2">
        <v>1</v>
      </c>
      <c r="AA2863" s="2" t="s">
        <v>82</v>
      </c>
      <c r="AB2863" s="2">
        <v>2</v>
      </c>
      <c r="AC2863" s="2" t="s">
        <v>102</v>
      </c>
      <c r="AD2863" s="3">
        <v>40371</v>
      </c>
      <c r="AE2863" s="4">
        <v>0.64583333333333337</v>
      </c>
      <c r="AF2863" s="2"/>
      <c r="AG2863" s="2"/>
      <c r="AH2863" s="2">
        <v>2</v>
      </c>
      <c r="AI2863" s="2" t="s">
        <v>84</v>
      </c>
      <c r="AJ2863" s="2">
        <v>9</v>
      </c>
      <c r="AK2863" s="2" t="s">
        <v>103</v>
      </c>
      <c r="AL2863" s="2">
        <v>14</v>
      </c>
      <c r="AM2863" s="2" t="s">
        <v>216</v>
      </c>
      <c r="AN2863" s="2" t="s">
        <v>9460</v>
      </c>
      <c r="AO2863" s="2" t="s">
        <v>9461</v>
      </c>
      <c r="AP2863" s="2">
        <v>11</v>
      </c>
      <c r="AQ2863" s="2" t="s">
        <v>82</v>
      </c>
      <c r="AR2863" s="2"/>
      <c r="AS2863" s="2"/>
      <c r="AT2863" s="2" t="s">
        <v>9473</v>
      </c>
      <c r="AU2863" s="2" t="s">
        <v>9474</v>
      </c>
      <c r="AV2863" s="2"/>
      <c r="AW2863" s="2"/>
      <c r="AX2863" s="2"/>
      <c r="AY2863" s="2">
        <v>41</v>
      </c>
      <c r="AZ2863" s="2" t="s">
        <v>82</v>
      </c>
      <c r="BA2863" s="2">
        <v>41</v>
      </c>
      <c r="BB2863" s="2" t="s">
        <v>82</v>
      </c>
      <c r="BC2863" s="2">
        <v>41</v>
      </c>
      <c r="BD2863" s="2" t="s">
        <v>82</v>
      </c>
      <c r="BE2863" s="2">
        <v>2</v>
      </c>
      <c r="BF2863" s="2" t="s">
        <v>1232</v>
      </c>
      <c r="BG2863" s="2" t="s">
        <v>1371</v>
      </c>
      <c r="BH2863" s="4">
        <v>0</v>
      </c>
      <c r="BI2863" s="4">
        <v>0.64583333333333337</v>
      </c>
      <c r="BJ2863" s="2">
        <v>13</v>
      </c>
      <c r="BK2863" s="2" t="s">
        <v>91</v>
      </c>
      <c r="BL2863" s="2" t="s">
        <v>1084</v>
      </c>
      <c r="BM2863" s="2">
        <v>241</v>
      </c>
      <c r="BN2863" s="2" t="s">
        <v>82</v>
      </c>
      <c r="BO2863" s="2"/>
      <c r="BP2863" s="2">
        <v>42</v>
      </c>
      <c r="BQ2863" s="2" t="s">
        <v>1234</v>
      </c>
      <c r="BR2863" s="2" t="s">
        <v>1235</v>
      </c>
      <c r="BS2863" s="3">
        <v>40372</v>
      </c>
      <c r="BT2863" s="4">
        <v>0.74643518518518526</v>
      </c>
    </row>
    <row r="2864" spans="1:72" x14ac:dyDescent="0.25">
      <c r="A2864" s="2">
        <v>4208</v>
      </c>
      <c r="B2864" s="2">
        <v>2010</v>
      </c>
      <c r="C2864" s="2" t="s">
        <v>377</v>
      </c>
      <c r="D2864" s="2" t="s">
        <v>73</v>
      </c>
      <c r="E2864" s="2"/>
      <c r="F2864" s="2">
        <v>426</v>
      </c>
      <c r="G2864" s="2" t="s">
        <v>378</v>
      </c>
      <c r="H2864" s="2">
        <v>22</v>
      </c>
      <c r="I2864" s="2" t="s">
        <v>75</v>
      </c>
      <c r="J2864" s="2">
        <v>311</v>
      </c>
      <c r="K2864" s="2" t="s">
        <v>379</v>
      </c>
      <c r="L2864" s="2" t="s">
        <v>380</v>
      </c>
      <c r="M2864" s="3">
        <v>40372</v>
      </c>
      <c r="N2864" s="2" t="s">
        <v>4427</v>
      </c>
      <c r="O2864" s="2"/>
      <c r="P2864" s="2"/>
      <c r="Q2864" s="2" t="str">
        <f>"156-C/10"</f>
        <v>156-C/10</v>
      </c>
      <c r="R2864" s="2" t="s">
        <v>4428</v>
      </c>
      <c r="S2864" s="2"/>
      <c r="T2864" s="2">
        <v>1</v>
      </c>
      <c r="U2864" s="2" t="s">
        <v>79</v>
      </c>
      <c r="V2864" s="2">
        <v>1</v>
      </c>
      <c r="W2864" s="2" t="s">
        <v>80</v>
      </c>
      <c r="X2864" s="2">
        <v>1</v>
      </c>
      <c r="Y2864" s="2" t="s">
        <v>81</v>
      </c>
      <c r="Z2864" s="2">
        <v>1</v>
      </c>
      <c r="AA2864" s="2" t="s">
        <v>82</v>
      </c>
      <c r="AB2864" s="2">
        <v>9</v>
      </c>
      <c r="AC2864" s="2" t="s">
        <v>124</v>
      </c>
      <c r="AD2864" s="3">
        <v>40372</v>
      </c>
      <c r="AE2864" s="4">
        <v>0.64583333333333337</v>
      </c>
      <c r="AF2864" s="2"/>
      <c r="AG2864" s="2"/>
      <c r="AH2864" s="2">
        <v>2</v>
      </c>
      <c r="AI2864" s="2" t="s">
        <v>84</v>
      </c>
      <c r="AJ2864" s="2">
        <v>9</v>
      </c>
      <c r="AK2864" s="2" t="s">
        <v>103</v>
      </c>
      <c r="AL2864" s="2">
        <v>29</v>
      </c>
      <c r="AM2864" s="2" t="s">
        <v>5416</v>
      </c>
      <c r="AN2864" s="2"/>
      <c r="AO2864" s="2" t="s">
        <v>3166</v>
      </c>
      <c r="AP2864" s="2">
        <v>11</v>
      </c>
      <c r="AQ2864" s="2" t="s">
        <v>82</v>
      </c>
      <c r="AR2864" s="2"/>
      <c r="AS2864" s="2"/>
      <c r="AT2864" s="2" t="s">
        <v>9475</v>
      </c>
      <c r="AU2864" s="2"/>
      <c r="AV2864" s="2"/>
      <c r="AW2864" s="2"/>
      <c r="AX2864" s="2"/>
      <c r="AY2864" s="2">
        <v>41</v>
      </c>
      <c r="AZ2864" s="2" t="s">
        <v>82</v>
      </c>
      <c r="BA2864" s="2">
        <v>41</v>
      </c>
      <c r="BB2864" s="2" t="s">
        <v>82</v>
      </c>
      <c r="BC2864" s="2">
        <v>41</v>
      </c>
      <c r="BD2864" s="2" t="s">
        <v>82</v>
      </c>
      <c r="BE2864" s="2">
        <v>41</v>
      </c>
      <c r="BF2864" s="2" t="s">
        <v>82</v>
      </c>
      <c r="BG2864" s="2"/>
      <c r="BH2864" s="2"/>
      <c r="BI2864" s="2"/>
      <c r="BJ2864" s="2">
        <v>241</v>
      </c>
      <c r="BK2864" s="2" t="s">
        <v>82</v>
      </c>
      <c r="BL2864" s="2"/>
      <c r="BM2864" s="2">
        <v>241</v>
      </c>
      <c r="BN2864" s="2" t="s">
        <v>82</v>
      </c>
      <c r="BO2864" s="2"/>
      <c r="BP2864" s="2">
        <v>241</v>
      </c>
      <c r="BQ2864" s="2" t="s">
        <v>82</v>
      </c>
      <c r="BR2864" s="2"/>
      <c r="BS2864" s="3">
        <v>40372</v>
      </c>
      <c r="BT2864" s="4">
        <v>0.85905092592592591</v>
      </c>
    </row>
    <row r="2865" spans="1:72" x14ac:dyDescent="0.25">
      <c r="A2865" s="2">
        <v>4209</v>
      </c>
      <c r="B2865" s="2">
        <v>2010</v>
      </c>
      <c r="C2865" s="2" t="s">
        <v>457</v>
      </c>
      <c r="D2865" s="2" t="s">
        <v>73</v>
      </c>
      <c r="E2865" s="2"/>
      <c r="F2865" s="2">
        <v>606</v>
      </c>
      <c r="G2865" s="2" t="s">
        <v>6368</v>
      </c>
      <c r="H2865" s="2">
        <v>1</v>
      </c>
      <c r="I2865" s="2" t="s">
        <v>82</v>
      </c>
      <c r="J2865" s="2">
        <v>1</v>
      </c>
      <c r="K2865" s="2" t="s">
        <v>107</v>
      </c>
      <c r="L2865" s="2" t="s">
        <v>107</v>
      </c>
      <c r="M2865" s="3">
        <v>40372</v>
      </c>
      <c r="N2865" s="2" t="s">
        <v>82</v>
      </c>
      <c r="O2865" s="2" t="s">
        <v>82</v>
      </c>
      <c r="P2865" s="2" t="s">
        <v>82</v>
      </c>
      <c r="Q2865" s="2" t="str">
        <f>"N/C"</f>
        <v>N/C</v>
      </c>
      <c r="R2865" s="2" t="s">
        <v>82</v>
      </c>
      <c r="S2865" s="2" t="s">
        <v>82</v>
      </c>
      <c r="T2865" s="2">
        <v>1</v>
      </c>
      <c r="U2865" s="2" t="s">
        <v>79</v>
      </c>
      <c r="V2865" s="2">
        <v>1</v>
      </c>
      <c r="W2865" s="2" t="s">
        <v>80</v>
      </c>
      <c r="X2865" s="2">
        <v>11</v>
      </c>
      <c r="Y2865" s="2" t="s">
        <v>1920</v>
      </c>
      <c r="Z2865" s="2">
        <v>1</v>
      </c>
      <c r="AA2865" s="2" t="s">
        <v>82</v>
      </c>
      <c r="AB2865" s="2">
        <v>9</v>
      </c>
      <c r="AC2865" s="2" t="s">
        <v>124</v>
      </c>
      <c r="AD2865" s="3">
        <v>40372</v>
      </c>
      <c r="AE2865" s="4">
        <v>0.47569444444444442</v>
      </c>
      <c r="AF2865" s="2"/>
      <c r="AG2865" s="2"/>
      <c r="AH2865" s="2">
        <v>2</v>
      </c>
      <c r="AI2865" s="2" t="s">
        <v>84</v>
      </c>
      <c r="AJ2865" s="2">
        <v>9</v>
      </c>
      <c r="AK2865" s="2" t="s">
        <v>103</v>
      </c>
      <c r="AL2865" s="2">
        <v>2</v>
      </c>
      <c r="AM2865" s="2" t="s">
        <v>163</v>
      </c>
      <c r="AN2865" s="2" t="s">
        <v>82</v>
      </c>
      <c r="AO2865" s="2" t="s">
        <v>9476</v>
      </c>
      <c r="AP2865" s="2">
        <v>11</v>
      </c>
      <c r="AQ2865" s="2" t="s">
        <v>82</v>
      </c>
      <c r="AR2865" s="2" t="s">
        <v>82</v>
      </c>
      <c r="AS2865" s="2" t="s">
        <v>82</v>
      </c>
      <c r="AT2865" s="2" t="s">
        <v>9477</v>
      </c>
      <c r="AU2865" s="2"/>
      <c r="AV2865" s="2"/>
      <c r="AW2865" s="2"/>
      <c r="AX2865" s="2"/>
      <c r="AY2865" s="2">
        <v>41</v>
      </c>
      <c r="AZ2865" s="2" t="s">
        <v>82</v>
      </c>
      <c r="BA2865" s="2">
        <v>41</v>
      </c>
      <c r="BB2865" s="2" t="s">
        <v>82</v>
      </c>
      <c r="BC2865" s="2">
        <v>41</v>
      </c>
      <c r="BD2865" s="2" t="s">
        <v>82</v>
      </c>
      <c r="BE2865" s="2">
        <v>25</v>
      </c>
      <c r="BF2865" s="2" t="s">
        <v>358</v>
      </c>
      <c r="BG2865" s="2" t="s">
        <v>9478</v>
      </c>
      <c r="BH2865" s="2"/>
      <c r="BI2865" s="4">
        <v>0.47916666666666669</v>
      </c>
      <c r="BJ2865" s="2">
        <v>13</v>
      </c>
      <c r="BK2865" s="2" t="s">
        <v>91</v>
      </c>
      <c r="BL2865" s="2" t="s">
        <v>360</v>
      </c>
      <c r="BM2865" s="2">
        <v>241</v>
      </c>
      <c r="BN2865" s="2" t="s">
        <v>82</v>
      </c>
      <c r="BO2865" s="2" t="s">
        <v>82</v>
      </c>
      <c r="BP2865" s="2">
        <v>33</v>
      </c>
      <c r="BQ2865" s="2" t="s">
        <v>361</v>
      </c>
      <c r="BR2865" s="2" t="s">
        <v>1739</v>
      </c>
      <c r="BS2865" s="3">
        <v>40372</v>
      </c>
      <c r="BT2865" s="4">
        <v>0.87416666666666665</v>
      </c>
    </row>
    <row r="2866" spans="1:72" x14ac:dyDescent="0.25">
      <c r="A2866" s="2">
        <v>4210</v>
      </c>
      <c r="B2866" s="2">
        <v>2010</v>
      </c>
      <c r="C2866" s="2" t="s">
        <v>4543</v>
      </c>
      <c r="D2866" s="2" t="s">
        <v>122</v>
      </c>
      <c r="E2866" s="2"/>
      <c r="F2866" s="2">
        <v>117</v>
      </c>
      <c r="G2866" s="2" t="s">
        <v>3284</v>
      </c>
      <c r="H2866" s="2">
        <v>99</v>
      </c>
      <c r="I2866" s="2" t="s">
        <v>6285</v>
      </c>
      <c r="J2866" s="2">
        <v>134</v>
      </c>
      <c r="K2866" s="2" t="s">
        <v>3285</v>
      </c>
      <c r="L2866" s="2" t="s">
        <v>3286</v>
      </c>
      <c r="M2866" s="3">
        <v>40372</v>
      </c>
      <c r="N2866" s="2" t="s">
        <v>3287</v>
      </c>
      <c r="O2866" s="2" t="s">
        <v>9479</v>
      </c>
      <c r="P2866" s="2"/>
      <c r="Q2866" s="2" t="str">
        <f>"04/10"</f>
        <v>04/10</v>
      </c>
      <c r="R2866" s="2"/>
      <c r="S2866" s="2" t="s">
        <v>9479</v>
      </c>
      <c r="T2866" s="2">
        <v>2</v>
      </c>
      <c r="U2866" s="2" t="s">
        <v>123</v>
      </c>
      <c r="V2866" s="2">
        <v>1</v>
      </c>
      <c r="W2866" s="2" t="s">
        <v>80</v>
      </c>
      <c r="X2866" s="2">
        <v>10</v>
      </c>
      <c r="Y2866" s="2" t="s">
        <v>226</v>
      </c>
      <c r="Z2866" s="2">
        <v>1</v>
      </c>
      <c r="AA2866" s="2" t="s">
        <v>82</v>
      </c>
      <c r="AB2866" s="2">
        <v>9</v>
      </c>
      <c r="AC2866" s="2" t="s">
        <v>124</v>
      </c>
      <c r="AD2866" s="3">
        <v>40372</v>
      </c>
      <c r="AE2866" s="4">
        <v>0.72916666666666663</v>
      </c>
      <c r="AF2866" s="3">
        <v>40372</v>
      </c>
      <c r="AG2866" s="4">
        <v>0.72916666666666663</v>
      </c>
      <c r="AH2866" s="2">
        <v>6</v>
      </c>
      <c r="AI2866" s="2" t="s">
        <v>197</v>
      </c>
      <c r="AJ2866" s="2">
        <v>59</v>
      </c>
      <c r="AK2866" s="2" t="s">
        <v>198</v>
      </c>
      <c r="AL2866" s="2">
        <v>2</v>
      </c>
      <c r="AM2866" s="2" t="s">
        <v>163</v>
      </c>
      <c r="AN2866" s="2"/>
      <c r="AO2866" s="2" t="s">
        <v>9480</v>
      </c>
      <c r="AP2866" s="2">
        <v>11</v>
      </c>
      <c r="AQ2866" s="2" t="s">
        <v>82</v>
      </c>
      <c r="AR2866" s="2"/>
      <c r="AS2866" s="2"/>
      <c r="AT2866" s="2" t="s">
        <v>9481</v>
      </c>
      <c r="AU2866" s="2"/>
      <c r="AV2866" s="2"/>
      <c r="AW2866" s="2"/>
      <c r="AX2866" s="2"/>
      <c r="AY2866" s="2">
        <v>47</v>
      </c>
      <c r="AZ2866" s="2" t="s">
        <v>167</v>
      </c>
      <c r="BA2866" s="2">
        <v>47</v>
      </c>
      <c r="BB2866" s="2" t="s">
        <v>167</v>
      </c>
      <c r="BC2866" s="2">
        <v>47</v>
      </c>
      <c r="BD2866" s="2" t="s">
        <v>167</v>
      </c>
      <c r="BE2866" s="2">
        <v>47</v>
      </c>
      <c r="BF2866" s="2" t="s">
        <v>167</v>
      </c>
      <c r="BG2866" s="2">
        <v>2898</v>
      </c>
      <c r="BH2866" s="4">
        <v>0.70138888888888884</v>
      </c>
      <c r="BI2866" s="4">
        <v>0.77083333333333337</v>
      </c>
      <c r="BJ2866" s="2">
        <v>13</v>
      </c>
      <c r="BK2866" s="2" t="s">
        <v>91</v>
      </c>
      <c r="BL2866" s="2" t="s">
        <v>895</v>
      </c>
      <c r="BM2866" s="2">
        <v>13</v>
      </c>
      <c r="BN2866" s="2" t="s">
        <v>91</v>
      </c>
      <c r="BO2866" s="2" t="s">
        <v>6083</v>
      </c>
      <c r="BP2866" s="2">
        <v>13</v>
      </c>
      <c r="BQ2866" s="2" t="s">
        <v>91</v>
      </c>
      <c r="BR2866" s="2" t="s">
        <v>185</v>
      </c>
      <c r="BS2866" s="3">
        <v>40372</v>
      </c>
      <c r="BT2866" s="4">
        <v>0.87859953703703697</v>
      </c>
    </row>
    <row r="2867" spans="1:72" x14ac:dyDescent="0.25">
      <c r="A2867" s="2">
        <v>4211</v>
      </c>
      <c r="B2867" s="2">
        <v>2010</v>
      </c>
      <c r="C2867" s="2" t="s">
        <v>1094</v>
      </c>
      <c r="D2867" s="2" t="s">
        <v>73</v>
      </c>
      <c r="E2867" s="2"/>
      <c r="F2867" s="2">
        <v>2</v>
      </c>
      <c r="G2867" s="2" t="s">
        <v>113</v>
      </c>
      <c r="H2867" s="2">
        <v>1</v>
      </c>
      <c r="I2867" s="2" t="s">
        <v>82</v>
      </c>
      <c r="J2867" s="2">
        <v>300</v>
      </c>
      <c r="K2867" s="2" t="s">
        <v>114</v>
      </c>
      <c r="L2867" s="2" t="s">
        <v>115</v>
      </c>
      <c r="M2867" s="3">
        <v>40372</v>
      </c>
      <c r="N2867" s="2" t="s">
        <v>82</v>
      </c>
      <c r="O2867" s="2" t="s">
        <v>82</v>
      </c>
      <c r="P2867" s="2" t="s">
        <v>82</v>
      </c>
      <c r="Q2867" s="2" t="str">
        <f>"367-E/10"</f>
        <v>367-E/10</v>
      </c>
      <c r="R2867" s="2" t="s">
        <v>1100</v>
      </c>
      <c r="S2867" s="2"/>
      <c r="T2867" s="2">
        <v>1</v>
      </c>
      <c r="U2867" s="2" t="s">
        <v>79</v>
      </c>
      <c r="V2867" s="2">
        <v>1</v>
      </c>
      <c r="W2867" s="2" t="s">
        <v>80</v>
      </c>
      <c r="X2867" s="2">
        <v>12</v>
      </c>
      <c r="Y2867" s="2" t="s">
        <v>148</v>
      </c>
      <c r="Z2867" s="2">
        <v>1</v>
      </c>
      <c r="AA2867" s="2" t="s">
        <v>82</v>
      </c>
      <c r="AB2867" s="2">
        <v>9</v>
      </c>
      <c r="AC2867" s="2" t="s">
        <v>124</v>
      </c>
      <c r="AD2867" s="3">
        <v>40364</v>
      </c>
      <c r="AE2867" s="4">
        <v>0.55208333333333337</v>
      </c>
      <c r="AF2867" s="3">
        <v>40372</v>
      </c>
      <c r="AG2867" s="4">
        <v>0.62847222222222221</v>
      </c>
      <c r="AH2867" s="2">
        <v>2</v>
      </c>
      <c r="AI2867" s="2" t="s">
        <v>84</v>
      </c>
      <c r="AJ2867" s="2">
        <v>9</v>
      </c>
      <c r="AK2867" s="2" t="s">
        <v>103</v>
      </c>
      <c r="AL2867" s="2">
        <v>25</v>
      </c>
      <c r="AM2867" s="2" t="s">
        <v>3073</v>
      </c>
      <c r="AN2867" s="2" t="s">
        <v>9482</v>
      </c>
      <c r="AO2867" s="2" t="s">
        <v>5495</v>
      </c>
      <c r="AP2867" s="2">
        <v>11</v>
      </c>
      <c r="AQ2867" s="2" t="s">
        <v>82</v>
      </c>
      <c r="AR2867" s="2" t="s">
        <v>107</v>
      </c>
      <c r="AS2867" s="2" t="s">
        <v>107</v>
      </c>
      <c r="AT2867" s="2" t="s">
        <v>9483</v>
      </c>
      <c r="AU2867" s="2"/>
      <c r="AV2867" s="2"/>
      <c r="AW2867" s="2"/>
      <c r="AX2867" s="2"/>
      <c r="AY2867" s="2">
        <v>41</v>
      </c>
      <c r="AZ2867" s="2" t="s">
        <v>82</v>
      </c>
      <c r="BA2867" s="2">
        <v>41</v>
      </c>
      <c r="BB2867" s="2" t="s">
        <v>82</v>
      </c>
      <c r="BC2867" s="2">
        <v>41</v>
      </c>
      <c r="BD2867" s="2" t="s">
        <v>82</v>
      </c>
      <c r="BE2867" s="2">
        <v>41</v>
      </c>
      <c r="BF2867" s="2" t="s">
        <v>82</v>
      </c>
      <c r="BG2867" s="2"/>
      <c r="BH2867" s="2"/>
      <c r="BI2867" s="2"/>
      <c r="BJ2867" s="2">
        <v>241</v>
      </c>
      <c r="BK2867" s="2" t="s">
        <v>82</v>
      </c>
      <c r="BL2867" s="2"/>
      <c r="BM2867" s="2">
        <v>241</v>
      </c>
      <c r="BN2867" s="2" t="s">
        <v>82</v>
      </c>
      <c r="BO2867" s="2"/>
      <c r="BP2867" s="2">
        <v>241</v>
      </c>
      <c r="BQ2867" s="2" t="s">
        <v>82</v>
      </c>
      <c r="BR2867" s="2"/>
      <c r="BS2867" s="3">
        <v>40372</v>
      </c>
      <c r="BT2867" s="4">
        <v>0.90591435185185187</v>
      </c>
    </row>
    <row r="2868" spans="1:72" x14ac:dyDescent="0.25">
      <c r="A2868" s="2">
        <v>4212</v>
      </c>
      <c r="B2868" s="2">
        <v>2010</v>
      </c>
      <c r="C2868" s="2" t="s">
        <v>457</v>
      </c>
      <c r="D2868" s="2" t="s">
        <v>73</v>
      </c>
      <c r="E2868" s="2"/>
      <c r="F2868" s="2">
        <v>602</v>
      </c>
      <c r="G2868" s="2" t="s">
        <v>5972</v>
      </c>
      <c r="H2868" s="2">
        <v>1</v>
      </c>
      <c r="I2868" s="2" t="s">
        <v>82</v>
      </c>
      <c r="J2868" s="2">
        <v>1</v>
      </c>
      <c r="K2868" s="2" t="s">
        <v>107</v>
      </c>
      <c r="L2868" s="2" t="s">
        <v>107</v>
      </c>
      <c r="M2868" s="3">
        <v>40372</v>
      </c>
      <c r="N2868" s="2" t="s">
        <v>82</v>
      </c>
      <c r="O2868" s="2" t="s">
        <v>82</v>
      </c>
      <c r="P2868" s="2" t="s">
        <v>82</v>
      </c>
      <c r="Q2868" s="2" t="str">
        <f>"N/C"</f>
        <v>N/C</v>
      </c>
      <c r="R2868" s="2" t="s">
        <v>82</v>
      </c>
      <c r="S2868" s="2" t="s">
        <v>82</v>
      </c>
      <c r="T2868" s="2">
        <v>1</v>
      </c>
      <c r="U2868" s="2" t="s">
        <v>79</v>
      </c>
      <c r="V2868" s="2">
        <v>1</v>
      </c>
      <c r="W2868" s="2" t="s">
        <v>80</v>
      </c>
      <c r="X2868" s="2">
        <v>11</v>
      </c>
      <c r="Y2868" s="2" t="s">
        <v>1920</v>
      </c>
      <c r="Z2868" s="2">
        <v>1</v>
      </c>
      <c r="AA2868" s="2" t="s">
        <v>82</v>
      </c>
      <c r="AB2868" s="2">
        <v>9</v>
      </c>
      <c r="AC2868" s="2" t="s">
        <v>124</v>
      </c>
      <c r="AD2868" s="3">
        <v>40372</v>
      </c>
      <c r="AE2868" s="2"/>
      <c r="AF2868" s="2"/>
      <c r="AG2868" s="2"/>
      <c r="AH2868" s="2">
        <v>2</v>
      </c>
      <c r="AI2868" s="2" t="s">
        <v>84</v>
      </c>
      <c r="AJ2868" s="2">
        <v>9</v>
      </c>
      <c r="AK2868" s="2" t="s">
        <v>103</v>
      </c>
      <c r="AL2868" s="2">
        <v>2</v>
      </c>
      <c r="AM2868" s="2" t="s">
        <v>163</v>
      </c>
      <c r="AN2868" s="2" t="s">
        <v>107</v>
      </c>
      <c r="AO2868" s="2" t="s">
        <v>9484</v>
      </c>
      <c r="AP2868" s="2">
        <v>11</v>
      </c>
      <c r="AQ2868" s="2" t="s">
        <v>82</v>
      </c>
      <c r="AR2868" s="2" t="s">
        <v>82</v>
      </c>
      <c r="AS2868" s="2" t="s">
        <v>82</v>
      </c>
      <c r="AT2868" s="2" t="s">
        <v>9485</v>
      </c>
      <c r="AU2868" s="2"/>
      <c r="AV2868" s="2"/>
      <c r="AW2868" s="2"/>
      <c r="AX2868" s="2"/>
      <c r="AY2868" s="2">
        <v>41</v>
      </c>
      <c r="AZ2868" s="2" t="s">
        <v>82</v>
      </c>
      <c r="BA2868" s="2">
        <v>41</v>
      </c>
      <c r="BB2868" s="2" t="s">
        <v>82</v>
      </c>
      <c r="BC2868" s="2">
        <v>41</v>
      </c>
      <c r="BD2868" s="2" t="s">
        <v>82</v>
      </c>
      <c r="BE2868" s="2">
        <v>19</v>
      </c>
      <c r="BF2868" s="2" t="s">
        <v>1061</v>
      </c>
      <c r="BG2868" s="2" t="s">
        <v>6710</v>
      </c>
      <c r="BH2868" s="2"/>
      <c r="BI2868" s="4">
        <v>0.66666666666666663</v>
      </c>
      <c r="BJ2868" s="2">
        <v>13</v>
      </c>
      <c r="BK2868" s="2" t="s">
        <v>91</v>
      </c>
      <c r="BL2868" s="2" t="s">
        <v>360</v>
      </c>
      <c r="BM2868" s="2">
        <v>241</v>
      </c>
      <c r="BN2868" s="2" t="s">
        <v>82</v>
      </c>
      <c r="BO2868" s="2" t="s">
        <v>82</v>
      </c>
      <c r="BP2868" s="2">
        <v>29</v>
      </c>
      <c r="BQ2868" s="2" t="s">
        <v>962</v>
      </c>
      <c r="BR2868" s="2" t="s">
        <v>9486</v>
      </c>
      <c r="BS2868" s="3">
        <v>40372</v>
      </c>
      <c r="BT2868" s="4">
        <v>0.92964120370370373</v>
      </c>
    </row>
    <row r="2869" spans="1:72" x14ac:dyDescent="0.25">
      <c r="A2869" s="2">
        <v>4213</v>
      </c>
      <c r="B2869" s="2">
        <v>2010</v>
      </c>
      <c r="C2869" s="2" t="s">
        <v>457</v>
      </c>
      <c r="D2869" s="2" t="s">
        <v>73</v>
      </c>
      <c r="E2869" s="2"/>
      <c r="F2869" s="2">
        <v>652</v>
      </c>
      <c r="G2869" s="2" t="s">
        <v>9487</v>
      </c>
      <c r="H2869" s="2">
        <v>1</v>
      </c>
      <c r="I2869" s="2" t="s">
        <v>82</v>
      </c>
      <c r="J2869" s="2">
        <v>1</v>
      </c>
      <c r="K2869" s="2" t="s">
        <v>107</v>
      </c>
      <c r="L2869" s="2" t="s">
        <v>107</v>
      </c>
      <c r="M2869" s="3">
        <v>40372</v>
      </c>
      <c r="N2869" s="2" t="s">
        <v>82</v>
      </c>
      <c r="O2869" s="2" t="s">
        <v>82</v>
      </c>
      <c r="P2869" s="2" t="s">
        <v>82</v>
      </c>
      <c r="Q2869" s="2" t="str">
        <f>"N/C"</f>
        <v>N/C</v>
      </c>
      <c r="R2869" s="2" t="s">
        <v>82</v>
      </c>
      <c r="S2869" s="2" t="s">
        <v>82</v>
      </c>
      <c r="T2869" s="2">
        <v>1</v>
      </c>
      <c r="U2869" s="2" t="s">
        <v>79</v>
      </c>
      <c r="V2869" s="2">
        <v>1</v>
      </c>
      <c r="W2869" s="2" t="s">
        <v>80</v>
      </c>
      <c r="X2869" s="2">
        <v>11</v>
      </c>
      <c r="Y2869" s="2" t="s">
        <v>1920</v>
      </c>
      <c r="Z2869" s="2">
        <v>1</v>
      </c>
      <c r="AA2869" s="2" t="s">
        <v>82</v>
      </c>
      <c r="AB2869" s="2">
        <v>9</v>
      </c>
      <c r="AC2869" s="2" t="s">
        <v>124</v>
      </c>
      <c r="AD2869" s="2"/>
      <c r="AE2869" s="2"/>
      <c r="AF2869" s="2"/>
      <c r="AG2869" s="2"/>
      <c r="AH2869" s="2">
        <v>2</v>
      </c>
      <c r="AI2869" s="2" t="s">
        <v>84</v>
      </c>
      <c r="AJ2869" s="2">
        <v>9</v>
      </c>
      <c r="AK2869" s="2" t="s">
        <v>103</v>
      </c>
      <c r="AL2869" s="2">
        <v>2</v>
      </c>
      <c r="AM2869" s="2" t="s">
        <v>163</v>
      </c>
      <c r="AN2869" s="2" t="s">
        <v>82</v>
      </c>
      <c r="AO2869" s="2" t="s">
        <v>9488</v>
      </c>
      <c r="AP2869" s="2">
        <v>11</v>
      </c>
      <c r="AQ2869" s="2" t="s">
        <v>82</v>
      </c>
      <c r="AR2869" s="2" t="s">
        <v>82</v>
      </c>
      <c r="AS2869" s="2" t="s">
        <v>82</v>
      </c>
      <c r="AT2869" s="2" t="s">
        <v>9489</v>
      </c>
      <c r="AU2869" s="2"/>
      <c r="AV2869" s="2"/>
      <c r="AW2869" s="2"/>
      <c r="AX2869" s="2"/>
      <c r="AY2869" s="2">
        <v>41</v>
      </c>
      <c r="AZ2869" s="2" t="s">
        <v>82</v>
      </c>
      <c r="BA2869" s="2">
        <v>41</v>
      </c>
      <c r="BB2869" s="2" t="s">
        <v>82</v>
      </c>
      <c r="BC2869" s="2">
        <v>41</v>
      </c>
      <c r="BD2869" s="2" t="s">
        <v>82</v>
      </c>
      <c r="BE2869" s="2">
        <v>19</v>
      </c>
      <c r="BF2869" s="2" t="s">
        <v>1061</v>
      </c>
      <c r="BG2869" s="2" t="s">
        <v>9490</v>
      </c>
      <c r="BH2869" s="2"/>
      <c r="BI2869" s="2"/>
      <c r="BJ2869" s="2">
        <v>13</v>
      </c>
      <c r="BK2869" s="2" t="s">
        <v>91</v>
      </c>
      <c r="BL2869" s="2" t="s">
        <v>360</v>
      </c>
      <c r="BM2869" s="2">
        <v>241</v>
      </c>
      <c r="BN2869" s="2" t="s">
        <v>82</v>
      </c>
      <c r="BO2869" s="2" t="s">
        <v>82</v>
      </c>
      <c r="BP2869" s="2">
        <v>29</v>
      </c>
      <c r="BQ2869" s="2" t="s">
        <v>962</v>
      </c>
      <c r="BR2869" s="2" t="s">
        <v>9486</v>
      </c>
      <c r="BS2869" s="3">
        <v>40372</v>
      </c>
      <c r="BT2869" s="4">
        <v>0.94542824074074072</v>
      </c>
    </row>
    <row r="2870" spans="1:72" x14ac:dyDescent="0.25">
      <c r="A2870" s="2">
        <v>4214</v>
      </c>
      <c r="B2870" s="2">
        <v>2010</v>
      </c>
      <c r="C2870" s="2" t="s">
        <v>819</v>
      </c>
      <c r="D2870" s="2" t="s">
        <v>122</v>
      </c>
      <c r="E2870" s="2"/>
      <c r="F2870" s="2">
        <v>451</v>
      </c>
      <c r="G2870" s="2" t="s">
        <v>879</v>
      </c>
      <c r="H2870" s="2">
        <v>31</v>
      </c>
      <c r="I2870" s="2" t="s">
        <v>880</v>
      </c>
      <c r="J2870" s="2">
        <v>326</v>
      </c>
      <c r="K2870" s="2" t="s">
        <v>881</v>
      </c>
      <c r="L2870" s="2" t="s">
        <v>882</v>
      </c>
      <c r="M2870" s="3">
        <v>40373</v>
      </c>
      <c r="N2870" s="2" t="s">
        <v>1072</v>
      </c>
      <c r="O2870" s="2"/>
      <c r="P2870" s="2"/>
      <c r="Q2870" s="2" t="str">
        <f>"083/10"</f>
        <v>083/10</v>
      </c>
      <c r="R2870" s="2"/>
      <c r="S2870" s="2" t="s">
        <v>822</v>
      </c>
      <c r="T2870" s="2">
        <v>1</v>
      </c>
      <c r="U2870" s="2" t="s">
        <v>79</v>
      </c>
      <c r="V2870" s="2">
        <v>1</v>
      </c>
      <c r="W2870" s="2" t="s">
        <v>80</v>
      </c>
      <c r="X2870" s="2">
        <v>1</v>
      </c>
      <c r="Y2870" s="2" t="s">
        <v>81</v>
      </c>
      <c r="Z2870" s="2">
        <v>10</v>
      </c>
      <c r="AA2870" s="2" t="s">
        <v>236</v>
      </c>
      <c r="AB2870" s="2">
        <v>9</v>
      </c>
      <c r="AC2870" s="2" t="s">
        <v>124</v>
      </c>
      <c r="AD2870" s="3">
        <v>40372</v>
      </c>
      <c r="AE2870" s="4">
        <v>0.91666666666666663</v>
      </c>
      <c r="AF2870" s="2"/>
      <c r="AG2870" s="2"/>
      <c r="AH2870" s="2">
        <v>4</v>
      </c>
      <c r="AI2870" s="2" t="s">
        <v>125</v>
      </c>
      <c r="AJ2870" s="2">
        <v>29</v>
      </c>
      <c r="AK2870" s="2" t="s">
        <v>227</v>
      </c>
      <c r="AL2870" s="2">
        <v>10</v>
      </c>
      <c r="AM2870" s="2" t="s">
        <v>200</v>
      </c>
      <c r="AN2870" s="2" t="s">
        <v>1015</v>
      </c>
      <c r="AO2870" s="2" t="s">
        <v>6863</v>
      </c>
      <c r="AP2870" s="2">
        <v>12</v>
      </c>
      <c r="AQ2870" s="2" t="s">
        <v>322</v>
      </c>
      <c r="AR2870" s="2" t="s">
        <v>824</v>
      </c>
      <c r="AS2870" s="2" t="s">
        <v>9491</v>
      </c>
      <c r="AT2870" s="2" t="s">
        <v>9492</v>
      </c>
      <c r="AU2870" s="2"/>
      <c r="AV2870" s="2"/>
      <c r="AW2870" s="2"/>
      <c r="AX2870" s="2"/>
      <c r="AY2870" s="2">
        <v>41</v>
      </c>
      <c r="AZ2870" s="2" t="s">
        <v>82</v>
      </c>
      <c r="BA2870" s="2">
        <v>41</v>
      </c>
      <c r="BB2870" s="2" t="s">
        <v>82</v>
      </c>
      <c r="BC2870" s="2">
        <v>51</v>
      </c>
      <c r="BD2870" s="2" t="s">
        <v>827</v>
      </c>
      <c r="BE2870" s="2">
        <v>13</v>
      </c>
      <c r="BF2870" s="2" t="s">
        <v>108</v>
      </c>
      <c r="BG2870" s="2">
        <v>1459</v>
      </c>
      <c r="BH2870" s="4">
        <v>0.89583333333333337</v>
      </c>
      <c r="BI2870" s="4">
        <v>0.92361111111111116</v>
      </c>
      <c r="BJ2870" s="2">
        <v>13</v>
      </c>
      <c r="BK2870" s="2" t="s">
        <v>91</v>
      </c>
      <c r="BL2870" s="2" t="s">
        <v>828</v>
      </c>
      <c r="BM2870" s="2">
        <v>241</v>
      </c>
      <c r="BN2870" s="2" t="s">
        <v>82</v>
      </c>
      <c r="BO2870" s="2"/>
      <c r="BP2870" s="2">
        <v>13</v>
      </c>
      <c r="BQ2870" s="2" t="s">
        <v>91</v>
      </c>
      <c r="BR2870" s="2" t="s">
        <v>185</v>
      </c>
      <c r="BS2870" s="3">
        <v>40373</v>
      </c>
      <c r="BT2870" s="4">
        <v>5.1817129629629623E-2</v>
      </c>
    </row>
    <row r="2871" spans="1:72" x14ac:dyDescent="0.25">
      <c r="A2871" s="2">
        <v>4215</v>
      </c>
      <c r="B2871" s="2">
        <v>2010</v>
      </c>
      <c r="C2871" s="2" t="s">
        <v>171</v>
      </c>
      <c r="D2871" s="2" t="s">
        <v>73</v>
      </c>
      <c r="E2871" s="2"/>
      <c r="F2871" s="2">
        <v>398</v>
      </c>
      <c r="G2871" s="2" t="s">
        <v>94</v>
      </c>
      <c r="H2871" s="2">
        <v>13</v>
      </c>
      <c r="I2871" s="2" t="s">
        <v>2229</v>
      </c>
      <c r="J2871" s="2">
        <v>245</v>
      </c>
      <c r="K2871" s="2" t="s">
        <v>96</v>
      </c>
      <c r="L2871" s="2" t="s">
        <v>97</v>
      </c>
      <c r="M2871" s="3">
        <v>40373</v>
      </c>
      <c r="N2871" s="2" t="s">
        <v>1938</v>
      </c>
      <c r="O2871" s="2" t="s">
        <v>9493</v>
      </c>
      <c r="P2871" s="2">
        <v>10676</v>
      </c>
      <c r="Q2871" s="2" t="str">
        <f>"363E/10"</f>
        <v>363E/10</v>
      </c>
      <c r="R2871" s="2"/>
      <c r="S2871" s="2" t="s">
        <v>2448</v>
      </c>
      <c r="T2871" s="2">
        <v>1</v>
      </c>
      <c r="U2871" s="2" t="s">
        <v>79</v>
      </c>
      <c r="V2871" s="2">
        <v>1</v>
      </c>
      <c r="W2871" s="2" t="s">
        <v>80</v>
      </c>
      <c r="X2871" s="2">
        <v>9</v>
      </c>
      <c r="Y2871" s="2" t="s">
        <v>3393</v>
      </c>
      <c r="Z2871" s="2">
        <v>1</v>
      </c>
      <c r="AA2871" s="2" t="s">
        <v>82</v>
      </c>
      <c r="AB2871" s="2">
        <v>1</v>
      </c>
      <c r="AC2871" s="2" t="s">
        <v>178</v>
      </c>
      <c r="AD2871" s="3">
        <v>40372</v>
      </c>
      <c r="AE2871" s="4">
        <v>0.9375</v>
      </c>
      <c r="AF2871" s="2"/>
      <c r="AG2871" s="2"/>
      <c r="AH2871" s="2">
        <v>2</v>
      </c>
      <c r="AI2871" s="2" t="s">
        <v>84</v>
      </c>
      <c r="AJ2871" s="2">
        <v>6</v>
      </c>
      <c r="AK2871" s="2" t="s">
        <v>453</v>
      </c>
      <c r="AL2871" s="2">
        <v>23</v>
      </c>
      <c r="AM2871" s="2" t="s">
        <v>251</v>
      </c>
      <c r="AN2871" s="2" t="s">
        <v>9494</v>
      </c>
      <c r="AO2871" s="2" t="s">
        <v>9495</v>
      </c>
      <c r="AP2871" s="2">
        <v>11</v>
      </c>
      <c r="AQ2871" s="2" t="s">
        <v>82</v>
      </c>
      <c r="AR2871" s="2"/>
      <c r="AS2871" s="2"/>
      <c r="AT2871" s="2" t="s">
        <v>9496</v>
      </c>
      <c r="AU2871" s="2"/>
      <c r="AV2871" s="2"/>
      <c r="AW2871" s="2"/>
      <c r="AX2871" s="2"/>
      <c r="AY2871" s="2">
        <v>42</v>
      </c>
      <c r="AZ2871" s="2" t="s">
        <v>182</v>
      </c>
      <c r="BA2871" s="2">
        <v>41</v>
      </c>
      <c r="BB2871" s="2" t="s">
        <v>82</v>
      </c>
      <c r="BC2871" s="2">
        <v>41</v>
      </c>
      <c r="BD2871" s="2" t="s">
        <v>82</v>
      </c>
      <c r="BE2871" s="2">
        <v>41</v>
      </c>
      <c r="BF2871" s="2" t="s">
        <v>82</v>
      </c>
      <c r="BG2871" s="2"/>
      <c r="BH2871" s="2"/>
      <c r="BI2871" s="2"/>
      <c r="BJ2871" s="2">
        <v>241</v>
      </c>
      <c r="BK2871" s="2" t="s">
        <v>82</v>
      </c>
      <c r="BL2871" s="2"/>
      <c r="BM2871" s="2">
        <v>241</v>
      </c>
      <c r="BN2871" s="2" t="s">
        <v>82</v>
      </c>
      <c r="BO2871" s="2"/>
      <c r="BP2871" s="2">
        <v>241</v>
      </c>
      <c r="BQ2871" s="2" t="s">
        <v>82</v>
      </c>
      <c r="BR2871" s="2"/>
      <c r="BS2871" s="3">
        <v>40373</v>
      </c>
      <c r="BT2871" s="4">
        <v>6.0219907407407403E-2</v>
      </c>
    </row>
    <row r="2872" spans="1:72" x14ac:dyDescent="0.25">
      <c r="A2872" s="2">
        <v>4216</v>
      </c>
      <c r="B2872" s="2">
        <v>2010</v>
      </c>
      <c r="C2872" s="2" t="s">
        <v>72</v>
      </c>
      <c r="D2872" s="2" t="s">
        <v>73</v>
      </c>
      <c r="E2872" s="2"/>
      <c r="F2872" s="2">
        <v>173</v>
      </c>
      <c r="G2872" s="2" t="s">
        <v>9262</v>
      </c>
      <c r="H2872" s="2">
        <v>128</v>
      </c>
      <c r="I2872" s="2" t="s">
        <v>9263</v>
      </c>
      <c r="J2872" s="2">
        <v>611</v>
      </c>
      <c r="K2872" s="2" t="s">
        <v>9264</v>
      </c>
      <c r="L2872" s="2" t="s">
        <v>2393</v>
      </c>
      <c r="M2872" s="3">
        <v>40373</v>
      </c>
      <c r="N2872" s="2" t="s">
        <v>9497</v>
      </c>
      <c r="O2872" s="2" t="s">
        <v>107</v>
      </c>
      <c r="P2872" s="2" t="s">
        <v>107</v>
      </c>
      <c r="Q2872" s="2" t="str">
        <f>"257-A/10"</f>
        <v>257-A/10</v>
      </c>
      <c r="R2872" s="2" t="s">
        <v>302</v>
      </c>
      <c r="S2872" s="2" t="s">
        <v>302</v>
      </c>
      <c r="T2872" s="2">
        <v>1</v>
      </c>
      <c r="U2872" s="2" t="s">
        <v>79</v>
      </c>
      <c r="V2872" s="2">
        <v>1</v>
      </c>
      <c r="W2872" s="2" t="s">
        <v>80</v>
      </c>
      <c r="X2872" s="2">
        <v>1</v>
      </c>
      <c r="Y2872" s="2" t="s">
        <v>81</v>
      </c>
      <c r="Z2872" s="2">
        <v>1</v>
      </c>
      <c r="AA2872" s="2" t="s">
        <v>82</v>
      </c>
      <c r="AB2872" s="2">
        <v>6</v>
      </c>
      <c r="AC2872" s="2" t="s">
        <v>83</v>
      </c>
      <c r="AD2872" s="3">
        <v>40372</v>
      </c>
      <c r="AE2872" s="4">
        <v>0.72569444444444453</v>
      </c>
      <c r="AF2872" s="3">
        <v>40372</v>
      </c>
      <c r="AG2872" s="4">
        <v>0.74305555555555547</v>
      </c>
      <c r="AH2872" s="2">
        <v>2</v>
      </c>
      <c r="AI2872" s="2" t="s">
        <v>84</v>
      </c>
      <c r="AJ2872" s="2">
        <v>12</v>
      </c>
      <c r="AK2872" s="2" t="s">
        <v>85</v>
      </c>
      <c r="AL2872" s="2">
        <v>12</v>
      </c>
      <c r="AM2872" s="2" t="s">
        <v>86</v>
      </c>
      <c r="AN2872" s="2" t="s">
        <v>107</v>
      </c>
      <c r="AO2872" s="2" t="s">
        <v>9498</v>
      </c>
      <c r="AP2872" s="2">
        <v>11</v>
      </c>
      <c r="AQ2872" s="2" t="s">
        <v>82</v>
      </c>
      <c r="AR2872" s="2"/>
      <c r="AS2872" s="2"/>
      <c r="AT2872" s="2" t="s">
        <v>9499</v>
      </c>
      <c r="AU2872" s="2">
        <v>3</v>
      </c>
      <c r="AV2872" s="2"/>
      <c r="AW2872" s="2"/>
      <c r="AX2872" s="2"/>
      <c r="AY2872" s="2">
        <v>41</v>
      </c>
      <c r="AZ2872" s="2" t="s">
        <v>82</v>
      </c>
      <c r="BA2872" s="2">
        <v>41</v>
      </c>
      <c r="BB2872" s="2" t="s">
        <v>82</v>
      </c>
      <c r="BC2872" s="2">
        <v>41</v>
      </c>
      <c r="BD2872" s="2" t="s">
        <v>82</v>
      </c>
      <c r="BE2872" s="2">
        <v>41</v>
      </c>
      <c r="BF2872" s="2" t="s">
        <v>82</v>
      </c>
      <c r="BG2872" s="2"/>
      <c r="BH2872" s="2"/>
      <c r="BI2872" s="2"/>
      <c r="BJ2872" s="2">
        <v>241</v>
      </c>
      <c r="BK2872" s="2" t="s">
        <v>82</v>
      </c>
      <c r="BL2872" s="2"/>
      <c r="BM2872" s="2">
        <v>241</v>
      </c>
      <c r="BN2872" s="2" t="s">
        <v>82</v>
      </c>
      <c r="BO2872" s="2"/>
      <c r="BP2872" s="2">
        <v>241</v>
      </c>
      <c r="BQ2872" s="2" t="s">
        <v>82</v>
      </c>
      <c r="BR2872" s="2"/>
      <c r="BS2872" s="3">
        <v>40373</v>
      </c>
      <c r="BT2872" s="4">
        <v>0.17628472222222222</v>
      </c>
    </row>
    <row r="2873" spans="1:72" x14ac:dyDescent="0.25">
      <c r="A2873" s="2">
        <v>4217</v>
      </c>
      <c r="B2873" s="2">
        <v>2010</v>
      </c>
      <c r="C2873" s="2" t="s">
        <v>72</v>
      </c>
      <c r="D2873" s="2" t="s">
        <v>73</v>
      </c>
      <c r="E2873" s="2"/>
      <c r="F2873" s="2">
        <v>649</v>
      </c>
      <c r="G2873" s="2" t="s">
        <v>9141</v>
      </c>
      <c r="H2873" s="2">
        <v>128</v>
      </c>
      <c r="I2873" s="2" t="s">
        <v>9263</v>
      </c>
      <c r="J2873" s="2">
        <v>602</v>
      </c>
      <c r="K2873" s="2" t="s">
        <v>9091</v>
      </c>
      <c r="L2873" s="2" t="s">
        <v>9092</v>
      </c>
      <c r="M2873" s="3">
        <v>40373</v>
      </c>
      <c r="N2873" s="2" t="s">
        <v>9497</v>
      </c>
      <c r="O2873" s="2" t="s">
        <v>107</v>
      </c>
      <c r="P2873" s="2" t="s">
        <v>107</v>
      </c>
      <c r="Q2873" s="2" t="str">
        <f>"258-A/10"</f>
        <v>258-A/10</v>
      </c>
      <c r="R2873" s="2" t="s">
        <v>78</v>
      </c>
      <c r="S2873" s="2" t="s">
        <v>78</v>
      </c>
      <c r="T2873" s="2">
        <v>1</v>
      </c>
      <c r="U2873" s="2" t="s">
        <v>79</v>
      </c>
      <c r="V2873" s="2">
        <v>1</v>
      </c>
      <c r="W2873" s="2" t="s">
        <v>80</v>
      </c>
      <c r="X2873" s="2">
        <v>12</v>
      </c>
      <c r="Y2873" s="2" t="s">
        <v>148</v>
      </c>
      <c r="Z2873" s="2">
        <v>1</v>
      </c>
      <c r="AA2873" s="2" t="s">
        <v>82</v>
      </c>
      <c r="AB2873" s="2">
        <v>6</v>
      </c>
      <c r="AC2873" s="2" t="s">
        <v>83</v>
      </c>
      <c r="AD2873" s="3">
        <v>40372</v>
      </c>
      <c r="AE2873" s="2"/>
      <c r="AF2873" s="3">
        <v>40373</v>
      </c>
      <c r="AG2873" s="4">
        <v>4.1666666666666664E-2</v>
      </c>
      <c r="AH2873" s="2">
        <v>2</v>
      </c>
      <c r="AI2873" s="2" t="s">
        <v>84</v>
      </c>
      <c r="AJ2873" s="2">
        <v>12</v>
      </c>
      <c r="AK2873" s="2" t="s">
        <v>85</v>
      </c>
      <c r="AL2873" s="2">
        <v>29</v>
      </c>
      <c r="AM2873" s="2" t="s">
        <v>5416</v>
      </c>
      <c r="AN2873" s="2" t="s">
        <v>9500</v>
      </c>
      <c r="AO2873" s="2" t="s">
        <v>8760</v>
      </c>
      <c r="AP2873" s="2">
        <v>11</v>
      </c>
      <c r="AQ2873" s="2" t="s">
        <v>82</v>
      </c>
      <c r="AR2873" s="2"/>
      <c r="AS2873" s="2"/>
      <c r="AT2873" s="2" t="s">
        <v>9501</v>
      </c>
      <c r="AU2873" s="2"/>
      <c r="AV2873" s="2"/>
      <c r="AW2873" s="2"/>
      <c r="AX2873" s="2"/>
      <c r="AY2873" s="2">
        <v>41</v>
      </c>
      <c r="AZ2873" s="2" t="s">
        <v>82</v>
      </c>
      <c r="BA2873" s="2">
        <v>41</v>
      </c>
      <c r="BB2873" s="2" t="s">
        <v>82</v>
      </c>
      <c r="BC2873" s="2">
        <v>41</v>
      </c>
      <c r="BD2873" s="2" t="s">
        <v>82</v>
      </c>
      <c r="BE2873" s="2">
        <v>41</v>
      </c>
      <c r="BF2873" s="2" t="s">
        <v>82</v>
      </c>
      <c r="BG2873" s="2"/>
      <c r="BH2873" s="2"/>
      <c r="BI2873" s="2"/>
      <c r="BJ2873" s="2">
        <v>241</v>
      </c>
      <c r="BK2873" s="2" t="s">
        <v>82</v>
      </c>
      <c r="BL2873" s="2"/>
      <c r="BM2873" s="2">
        <v>241</v>
      </c>
      <c r="BN2873" s="2" t="s">
        <v>82</v>
      </c>
      <c r="BO2873" s="2"/>
      <c r="BP2873" s="2">
        <v>241</v>
      </c>
      <c r="BQ2873" s="2" t="s">
        <v>82</v>
      </c>
      <c r="BR2873" s="2"/>
      <c r="BS2873" s="3">
        <v>40373</v>
      </c>
      <c r="BT2873" s="4">
        <v>0.24545138888888887</v>
      </c>
    </row>
    <row r="2874" spans="1:72" x14ac:dyDescent="0.25">
      <c r="A2874" s="2">
        <v>4221</v>
      </c>
      <c r="B2874" s="2">
        <v>2010</v>
      </c>
      <c r="C2874" s="2" t="s">
        <v>72</v>
      </c>
      <c r="D2874" s="2" t="s">
        <v>122</v>
      </c>
      <c r="E2874" s="2" t="s">
        <v>9502</v>
      </c>
      <c r="F2874" s="2">
        <v>649</v>
      </c>
      <c r="G2874" s="2" t="s">
        <v>9141</v>
      </c>
      <c r="H2874" s="2">
        <v>42</v>
      </c>
      <c r="I2874" s="2" t="s">
        <v>1096</v>
      </c>
      <c r="J2874" s="2">
        <v>602</v>
      </c>
      <c r="K2874" s="2" t="s">
        <v>9091</v>
      </c>
      <c r="L2874" s="2" t="s">
        <v>9092</v>
      </c>
      <c r="M2874" s="3">
        <v>40373</v>
      </c>
      <c r="N2874" s="2" t="s">
        <v>9503</v>
      </c>
      <c r="O2874" s="2" t="s">
        <v>107</v>
      </c>
      <c r="P2874" s="2" t="s">
        <v>107</v>
      </c>
      <c r="Q2874" s="2" t="str">
        <f>"257-A/10"</f>
        <v>257-A/10</v>
      </c>
      <c r="R2874" s="2" t="s">
        <v>302</v>
      </c>
      <c r="S2874" s="2" t="s">
        <v>107</v>
      </c>
      <c r="T2874" s="2">
        <v>1</v>
      </c>
      <c r="U2874" s="2" t="s">
        <v>79</v>
      </c>
      <c r="V2874" s="2">
        <v>1</v>
      </c>
      <c r="W2874" s="2" t="s">
        <v>80</v>
      </c>
      <c r="X2874" s="2">
        <v>12</v>
      </c>
      <c r="Y2874" s="2" t="s">
        <v>148</v>
      </c>
      <c r="Z2874" s="2">
        <v>10</v>
      </c>
      <c r="AA2874" s="2" t="s">
        <v>236</v>
      </c>
      <c r="AB2874" s="2">
        <v>6</v>
      </c>
      <c r="AC2874" s="2" t="s">
        <v>83</v>
      </c>
      <c r="AD2874" s="3">
        <v>40373</v>
      </c>
      <c r="AE2874" s="4">
        <v>0.4236111111111111</v>
      </c>
      <c r="AF2874" s="3">
        <v>40372</v>
      </c>
      <c r="AG2874" s="4">
        <v>0.75</v>
      </c>
      <c r="AH2874" s="2">
        <v>2</v>
      </c>
      <c r="AI2874" s="2" t="s">
        <v>84</v>
      </c>
      <c r="AJ2874" s="2">
        <v>12</v>
      </c>
      <c r="AK2874" s="2" t="s">
        <v>85</v>
      </c>
      <c r="AL2874" s="2">
        <v>24</v>
      </c>
      <c r="AM2874" s="2" t="s">
        <v>1540</v>
      </c>
      <c r="AN2874" s="2" t="s">
        <v>9504</v>
      </c>
      <c r="AO2874" s="2"/>
      <c r="AP2874" s="2">
        <v>11</v>
      </c>
      <c r="AQ2874" s="2" t="s">
        <v>82</v>
      </c>
      <c r="AR2874" s="2"/>
      <c r="AS2874" s="2"/>
      <c r="AT2874" s="2" t="s">
        <v>9505</v>
      </c>
      <c r="AU2874" s="2">
        <v>3</v>
      </c>
      <c r="AV2874" s="2"/>
      <c r="AW2874" s="2"/>
      <c r="AX2874" s="2"/>
      <c r="AY2874" s="2">
        <v>41</v>
      </c>
      <c r="AZ2874" s="2" t="s">
        <v>82</v>
      </c>
      <c r="BA2874" s="2">
        <v>41</v>
      </c>
      <c r="BB2874" s="2" t="s">
        <v>82</v>
      </c>
      <c r="BC2874" s="2">
        <v>41</v>
      </c>
      <c r="BD2874" s="2" t="s">
        <v>82</v>
      </c>
      <c r="BE2874" s="2">
        <v>13</v>
      </c>
      <c r="BF2874" s="2" t="s">
        <v>108</v>
      </c>
      <c r="BG2874" s="2" t="s">
        <v>9214</v>
      </c>
      <c r="BH2874" s="4">
        <v>0.82638888888888884</v>
      </c>
      <c r="BI2874" s="4">
        <v>0.76041666666666663</v>
      </c>
      <c r="BJ2874" s="2">
        <v>13</v>
      </c>
      <c r="BK2874" s="2" t="s">
        <v>91</v>
      </c>
      <c r="BL2874" s="2" t="s">
        <v>185</v>
      </c>
      <c r="BM2874" s="2">
        <v>241</v>
      </c>
      <c r="BN2874" s="2" t="s">
        <v>82</v>
      </c>
      <c r="BO2874" s="2"/>
      <c r="BP2874" s="2">
        <v>13</v>
      </c>
      <c r="BQ2874" s="2" t="s">
        <v>91</v>
      </c>
      <c r="BR2874" s="2" t="s">
        <v>744</v>
      </c>
      <c r="BS2874" s="3">
        <v>40373</v>
      </c>
      <c r="BT2874" s="4">
        <v>0.46108796296296295</v>
      </c>
    </row>
    <row r="2875" spans="1:72" x14ac:dyDescent="0.25">
      <c r="A2875" s="2">
        <v>4222</v>
      </c>
      <c r="B2875" s="2">
        <v>2010</v>
      </c>
      <c r="C2875" s="2" t="s">
        <v>819</v>
      </c>
      <c r="D2875" s="2" t="s">
        <v>122</v>
      </c>
      <c r="E2875" s="2" t="s">
        <v>9506</v>
      </c>
      <c r="F2875" s="2">
        <v>451</v>
      </c>
      <c r="G2875" s="2" t="s">
        <v>879</v>
      </c>
      <c r="H2875" s="2">
        <v>31</v>
      </c>
      <c r="I2875" s="2" t="s">
        <v>880</v>
      </c>
      <c r="J2875" s="2">
        <v>326</v>
      </c>
      <c r="K2875" s="2" t="s">
        <v>881</v>
      </c>
      <c r="L2875" s="2" t="s">
        <v>882</v>
      </c>
      <c r="M2875" s="3">
        <v>40373</v>
      </c>
      <c r="N2875" s="2" t="s">
        <v>1072</v>
      </c>
      <c r="O2875" s="2"/>
      <c r="P2875" s="2"/>
      <c r="Q2875" s="2" t="str">
        <f>"083/10"</f>
        <v>083/10</v>
      </c>
      <c r="R2875" s="2" t="s">
        <v>822</v>
      </c>
      <c r="S2875" s="2"/>
      <c r="T2875" s="2">
        <v>1</v>
      </c>
      <c r="U2875" s="2" t="s">
        <v>79</v>
      </c>
      <c r="V2875" s="2">
        <v>1</v>
      </c>
      <c r="W2875" s="2" t="s">
        <v>80</v>
      </c>
      <c r="X2875" s="2">
        <v>1</v>
      </c>
      <c r="Y2875" s="2" t="s">
        <v>81</v>
      </c>
      <c r="Z2875" s="2">
        <v>10</v>
      </c>
      <c r="AA2875" s="2" t="s">
        <v>236</v>
      </c>
      <c r="AB2875" s="2">
        <v>9</v>
      </c>
      <c r="AC2875" s="2" t="s">
        <v>124</v>
      </c>
      <c r="AD2875" s="3">
        <v>40373</v>
      </c>
      <c r="AE2875" s="4">
        <v>0.4375</v>
      </c>
      <c r="AF2875" s="2"/>
      <c r="AG2875" s="2"/>
      <c r="AH2875" s="2">
        <v>4</v>
      </c>
      <c r="AI2875" s="2" t="s">
        <v>125</v>
      </c>
      <c r="AJ2875" s="2">
        <v>29</v>
      </c>
      <c r="AK2875" s="2" t="s">
        <v>227</v>
      </c>
      <c r="AL2875" s="2">
        <v>16</v>
      </c>
      <c r="AM2875" s="2" t="s">
        <v>392</v>
      </c>
      <c r="AN2875" s="2" t="s">
        <v>3040</v>
      </c>
      <c r="AO2875" s="2" t="s">
        <v>3176</v>
      </c>
      <c r="AP2875" s="2">
        <v>12</v>
      </c>
      <c r="AQ2875" s="2" t="s">
        <v>322</v>
      </c>
      <c r="AR2875" s="2" t="s">
        <v>824</v>
      </c>
      <c r="AS2875" s="2" t="s">
        <v>9491</v>
      </c>
      <c r="AT2875" s="2" t="s">
        <v>9507</v>
      </c>
      <c r="AU2875" s="2"/>
      <c r="AV2875" s="2"/>
      <c r="AW2875" s="2"/>
      <c r="AX2875" s="2"/>
      <c r="AY2875" s="2">
        <v>41</v>
      </c>
      <c r="AZ2875" s="2" t="s">
        <v>82</v>
      </c>
      <c r="BA2875" s="2">
        <v>41</v>
      </c>
      <c r="BB2875" s="2" t="s">
        <v>82</v>
      </c>
      <c r="BC2875" s="2">
        <v>51</v>
      </c>
      <c r="BD2875" s="2" t="s">
        <v>827</v>
      </c>
      <c r="BE2875" s="2">
        <v>13</v>
      </c>
      <c r="BF2875" s="2" t="s">
        <v>108</v>
      </c>
      <c r="BG2875" s="2">
        <v>1459</v>
      </c>
      <c r="BH2875" s="4">
        <v>0.89583333333333337</v>
      </c>
      <c r="BI2875" s="4">
        <v>0.92361111111111116</v>
      </c>
      <c r="BJ2875" s="2">
        <v>13</v>
      </c>
      <c r="BK2875" s="2" t="s">
        <v>91</v>
      </c>
      <c r="BL2875" s="2" t="s">
        <v>828</v>
      </c>
      <c r="BM2875" s="2">
        <v>241</v>
      </c>
      <c r="BN2875" s="2" t="s">
        <v>82</v>
      </c>
      <c r="BO2875" s="2"/>
      <c r="BP2875" s="2">
        <v>13</v>
      </c>
      <c r="BQ2875" s="2" t="s">
        <v>91</v>
      </c>
      <c r="BR2875" s="2" t="s">
        <v>185</v>
      </c>
      <c r="BS2875" s="3">
        <v>40373</v>
      </c>
      <c r="BT2875" s="4">
        <v>0.4732986111111111</v>
      </c>
    </row>
    <row r="2876" spans="1:72" x14ac:dyDescent="0.25">
      <c r="A2876" s="2">
        <v>4223</v>
      </c>
      <c r="B2876" s="2">
        <v>2010</v>
      </c>
      <c r="C2876" s="2" t="s">
        <v>72</v>
      </c>
      <c r="D2876" s="2" t="s">
        <v>73</v>
      </c>
      <c r="E2876" s="2"/>
      <c r="F2876" s="2">
        <v>650</v>
      </c>
      <c r="G2876" s="2" t="s">
        <v>9158</v>
      </c>
      <c r="H2876" s="2">
        <v>22</v>
      </c>
      <c r="I2876" s="2" t="s">
        <v>75</v>
      </c>
      <c r="J2876" s="2">
        <v>606</v>
      </c>
      <c r="K2876" s="2" t="s">
        <v>9068</v>
      </c>
      <c r="L2876" s="2" t="s">
        <v>9069</v>
      </c>
      <c r="M2876" s="3">
        <v>40373</v>
      </c>
      <c r="N2876" s="2" t="s">
        <v>9508</v>
      </c>
      <c r="O2876" s="2"/>
      <c r="P2876" s="2"/>
      <c r="Q2876" s="2" t="str">
        <f>"259-A/10"</f>
        <v>259-A/10</v>
      </c>
      <c r="R2876" s="2" t="s">
        <v>156</v>
      </c>
      <c r="S2876" s="2" t="s">
        <v>156</v>
      </c>
      <c r="T2876" s="2">
        <v>1</v>
      </c>
      <c r="U2876" s="2" t="s">
        <v>79</v>
      </c>
      <c r="V2876" s="2">
        <v>1</v>
      </c>
      <c r="W2876" s="2" t="s">
        <v>80</v>
      </c>
      <c r="X2876" s="2">
        <v>12</v>
      </c>
      <c r="Y2876" s="2" t="s">
        <v>148</v>
      </c>
      <c r="Z2876" s="2">
        <v>10</v>
      </c>
      <c r="AA2876" s="2" t="s">
        <v>236</v>
      </c>
      <c r="AB2876" s="2">
        <v>6</v>
      </c>
      <c r="AC2876" s="2" t="s">
        <v>83</v>
      </c>
      <c r="AD2876" s="3">
        <v>40362</v>
      </c>
      <c r="AE2876" s="2"/>
      <c r="AF2876" s="3">
        <v>40373</v>
      </c>
      <c r="AG2876" s="4">
        <v>0.3125</v>
      </c>
      <c r="AH2876" s="2">
        <v>2</v>
      </c>
      <c r="AI2876" s="2" t="s">
        <v>84</v>
      </c>
      <c r="AJ2876" s="2">
        <v>12</v>
      </c>
      <c r="AK2876" s="2" t="s">
        <v>85</v>
      </c>
      <c r="AL2876" s="2">
        <v>22</v>
      </c>
      <c r="AM2876" s="2" t="s">
        <v>1853</v>
      </c>
      <c r="AN2876" s="2" t="s">
        <v>9509</v>
      </c>
      <c r="AO2876" s="2" t="s">
        <v>9510</v>
      </c>
      <c r="AP2876" s="2">
        <v>11</v>
      </c>
      <c r="AQ2876" s="2" t="s">
        <v>82</v>
      </c>
      <c r="AR2876" s="2"/>
      <c r="AS2876" s="2"/>
      <c r="AT2876" s="2" t="s">
        <v>9511</v>
      </c>
      <c r="AU2876" s="2"/>
      <c r="AV2876" s="2"/>
      <c r="AW2876" s="2"/>
      <c r="AX2876" s="2"/>
      <c r="AY2876" s="2">
        <v>41</v>
      </c>
      <c r="AZ2876" s="2" t="s">
        <v>82</v>
      </c>
      <c r="BA2876" s="2">
        <v>41</v>
      </c>
      <c r="BB2876" s="2" t="s">
        <v>82</v>
      </c>
      <c r="BC2876" s="2">
        <v>41</v>
      </c>
      <c r="BD2876" s="2" t="s">
        <v>82</v>
      </c>
      <c r="BE2876" s="2">
        <v>4</v>
      </c>
      <c r="BF2876" s="2" t="s">
        <v>90</v>
      </c>
      <c r="BG2876" s="2" t="s">
        <v>9512</v>
      </c>
      <c r="BH2876" s="4">
        <v>0.70833333333333337</v>
      </c>
      <c r="BI2876" s="4">
        <v>0.52083333333333337</v>
      </c>
      <c r="BJ2876" s="2">
        <v>13</v>
      </c>
      <c r="BK2876" s="2" t="s">
        <v>91</v>
      </c>
      <c r="BL2876" s="2" t="s">
        <v>185</v>
      </c>
      <c r="BM2876" s="2">
        <v>241</v>
      </c>
      <c r="BN2876" s="2" t="s">
        <v>82</v>
      </c>
      <c r="BO2876" s="2"/>
      <c r="BP2876" s="2">
        <v>13</v>
      </c>
      <c r="BQ2876" s="2" t="s">
        <v>91</v>
      </c>
      <c r="BR2876" s="2" t="s">
        <v>895</v>
      </c>
      <c r="BS2876" s="3">
        <v>40373</v>
      </c>
      <c r="BT2876" s="4">
        <v>0.50854166666666667</v>
      </c>
    </row>
    <row r="2877" spans="1:72" x14ac:dyDescent="0.25">
      <c r="A2877" s="2">
        <v>4224</v>
      </c>
      <c r="B2877" s="2">
        <v>2010</v>
      </c>
      <c r="C2877" s="2" t="s">
        <v>121</v>
      </c>
      <c r="D2877" s="2" t="s">
        <v>122</v>
      </c>
      <c r="E2877" s="2"/>
      <c r="F2877" s="2">
        <v>1</v>
      </c>
      <c r="G2877" s="2" t="s">
        <v>82</v>
      </c>
      <c r="H2877" s="2">
        <v>1</v>
      </c>
      <c r="I2877" s="2" t="s">
        <v>82</v>
      </c>
      <c r="J2877" s="2">
        <v>1</v>
      </c>
      <c r="K2877" s="2" t="s">
        <v>107</v>
      </c>
      <c r="L2877" s="2" t="s">
        <v>107</v>
      </c>
      <c r="M2877" s="3">
        <v>40373</v>
      </c>
      <c r="N2877" s="2"/>
      <c r="O2877" s="2"/>
      <c r="P2877" s="2"/>
      <c r="Q2877" s="2" t="str">
        <f>""</f>
        <v/>
      </c>
      <c r="R2877" s="2"/>
      <c r="S2877" s="2"/>
      <c r="T2877" s="2">
        <v>2</v>
      </c>
      <c r="U2877" s="2" t="s">
        <v>123</v>
      </c>
      <c r="V2877" s="2">
        <v>1</v>
      </c>
      <c r="W2877" s="2" t="s">
        <v>80</v>
      </c>
      <c r="X2877" s="2">
        <v>11</v>
      </c>
      <c r="Y2877" s="2" t="s">
        <v>1920</v>
      </c>
      <c r="Z2877" s="2">
        <v>10</v>
      </c>
      <c r="AA2877" s="2" t="s">
        <v>236</v>
      </c>
      <c r="AB2877" s="2">
        <v>9</v>
      </c>
      <c r="AC2877" s="2" t="s">
        <v>124</v>
      </c>
      <c r="AD2877" s="3">
        <v>40373</v>
      </c>
      <c r="AE2877" s="4">
        <v>0.45833333333333331</v>
      </c>
      <c r="AF2877" s="2"/>
      <c r="AG2877" s="2"/>
      <c r="AH2877" s="2">
        <v>2</v>
      </c>
      <c r="AI2877" s="2" t="s">
        <v>84</v>
      </c>
      <c r="AJ2877" s="2">
        <v>9</v>
      </c>
      <c r="AK2877" s="2" t="s">
        <v>103</v>
      </c>
      <c r="AL2877" s="2">
        <v>15</v>
      </c>
      <c r="AM2877" s="2" t="s">
        <v>104</v>
      </c>
      <c r="AN2877" s="2" t="s">
        <v>9107</v>
      </c>
      <c r="AO2877" s="2" t="s">
        <v>9107</v>
      </c>
      <c r="AP2877" s="2">
        <v>11</v>
      </c>
      <c r="AQ2877" s="2" t="s">
        <v>82</v>
      </c>
      <c r="AR2877" s="2" t="s">
        <v>82</v>
      </c>
      <c r="AS2877" s="2" t="s">
        <v>82</v>
      </c>
      <c r="AT2877" s="2" t="s">
        <v>9513</v>
      </c>
      <c r="AU2877" s="2"/>
      <c r="AV2877" s="2"/>
      <c r="AW2877" s="2"/>
      <c r="AX2877" s="2"/>
      <c r="AY2877" s="2">
        <v>41</v>
      </c>
      <c r="AZ2877" s="2" t="s">
        <v>82</v>
      </c>
      <c r="BA2877" s="2">
        <v>41</v>
      </c>
      <c r="BB2877" s="2" t="s">
        <v>82</v>
      </c>
      <c r="BC2877" s="2">
        <v>41</v>
      </c>
      <c r="BD2877" s="2" t="s">
        <v>82</v>
      </c>
      <c r="BE2877" s="2">
        <v>41</v>
      </c>
      <c r="BF2877" s="2" t="s">
        <v>82</v>
      </c>
      <c r="BG2877" s="2"/>
      <c r="BH2877" s="2"/>
      <c r="BI2877" s="2"/>
      <c r="BJ2877" s="2">
        <v>13</v>
      </c>
      <c r="BK2877" s="2" t="s">
        <v>91</v>
      </c>
      <c r="BL2877" s="2" t="s">
        <v>2592</v>
      </c>
      <c r="BM2877" s="2">
        <v>241</v>
      </c>
      <c r="BN2877" s="2" t="s">
        <v>82</v>
      </c>
      <c r="BO2877" s="2" t="s">
        <v>82</v>
      </c>
      <c r="BP2877" s="2">
        <v>75</v>
      </c>
      <c r="BQ2877" s="2" t="s">
        <v>1264</v>
      </c>
      <c r="BR2877" s="2" t="s">
        <v>107</v>
      </c>
      <c r="BS2877" s="3">
        <v>40373</v>
      </c>
      <c r="BT2877" s="4">
        <v>0.54393518518518513</v>
      </c>
    </row>
    <row r="2878" spans="1:72" x14ac:dyDescent="0.25">
      <c r="A2878" s="2">
        <v>4228</v>
      </c>
      <c r="B2878" s="2">
        <v>2010</v>
      </c>
      <c r="C2878" s="2" t="s">
        <v>171</v>
      </c>
      <c r="D2878" s="2" t="s">
        <v>73</v>
      </c>
      <c r="E2878" s="2"/>
      <c r="F2878" s="2">
        <v>398</v>
      </c>
      <c r="G2878" s="2" t="s">
        <v>94</v>
      </c>
      <c r="H2878" s="2">
        <v>13</v>
      </c>
      <c r="I2878" s="2" t="s">
        <v>2229</v>
      </c>
      <c r="J2878" s="2">
        <v>245</v>
      </c>
      <c r="K2878" s="2" t="s">
        <v>96</v>
      </c>
      <c r="L2878" s="2" t="s">
        <v>97</v>
      </c>
      <c r="M2878" s="3">
        <v>40373</v>
      </c>
      <c r="N2878" s="2" t="s">
        <v>9514</v>
      </c>
      <c r="O2878" s="2" t="s">
        <v>107</v>
      </c>
      <c r="P2878" s="2" t="s">
        <v>203</v>
      </c>
      <c r="Q2878" s="2" t="str">
        <f>"04/2010"</f>
        <v>04/2010</v>
      </c>
      <c r="R2878" s="2" t="s">
        <v>1080</v>
      </c>
      <c r="S2878" s="2" t="s">
        <v>107</v>
      </c>
      <c r="T2878" s="2">
        <v>1</v>
      </c>
      <c r="U2878" s="2" t="s">
        <v>79</v>
      </c>
      <c r="V2878" s="2">
        <v>1</v>
      </c>
      <c r="W2878" s="2" t="s">
        <v>80</v>
      </c>
      <c r="X2878" s="2">
        <v>12</v>
      </c>
      <c r="Y2878" s="2" t="s">
        <v>148</v>
      </c>
      <c r="Z2878" s="2">
        <v>1</v>
      </c>
      <c r="AA2878" s="2" t="s">
        <v>82</v>
      </c>
      <c r="AB2878" s="2">
        <v>1</v>
      </c>
      <c r="AC2878" s="2" t="s">
        <v>178</v>
      </c>
      <c r="AD2878" s="3">
        <v>40373</v>
      </c>
      <c r="AE2878" s="4">
        <v>0.54861111111111105</v>
      </c>
      <c r="AF2878" s="3">
        <v>40373</v>
      </c>
      <c r="AG2878" s="4">
        <v>0.54861111111111105</v>
      </c>
      <c r="AH2878" s="2">
        <v>7</v>
      </c>
      <c r="AI2878" s="2" t="s">
        <v>801</v>
      </c>
      <c r="AJ2878" s="2">
        <v>3</v>
      </c>
      <c r="AK2878" s="2" t="s">
        <v>802</v>
      </c>
      <c r="AL2878" s="2">
        <v>19</v>
      </c>
      <c r="AM2878" s="2" t="s">
        <v>107</v>
      </c>
      <c r="AN2878" s="2" t="s">
        <v>107</v>
      </c>
      <c r="AO2878" s="2" t="s">
        <v>9515</v>
      </c>
      <c r="AP2878" s="2">
        <v>8</v>
      </c>
      <c r="AQ2878" s="2" t="s">
        <v>9516</v>
      </c>
      <c r="AR2878" s="2" t="s">
        <v>9517</v>
      </c>
      <c r="AS2878" s="2" t="s">
        <v>9518</v>
      </c>
      <c r="AT2878" s="2" t="s">
        <v>9519</v>
      </c>
      <c r="AU2878" s="2"/>
      <c r="AV2878" s="2"/>
      <c r="AW2878" s="2"/>
      <c r="AX2878" s="2"/>
      <c r="AY2878" s="2">
        <v>1</v>
      </c>
      <c r="AZ2878" s="2" t="s">
        <v>107</v>
      </c>
      <c r="BA2878" s="2">
        <v>1</v>
      </c>
      <c r="BB2878" s="2" t="s">
        <v>107</v>
      </c>
      <c r="BC2878" s="2">
        <v>1</v>
      </c>
      <c r="BD2878" s="2" t="s">
        <v>107</v>
      </c>
      <c r="BE2878" s="2">
        <v>1</v>
      </c>
      <c r="BF2878" s="2" t="s">
        <v>107</v>
      </c>
      <c r="BG2878" s="2" t="s">
        <v>107</v>
      </c>
      <c r="BH2878" s="2"/>
      <c r="BI2878" s="2"/>
      <c r="BJ2878" s="2">
        <v>242</v>
      </c>
      <c r="BK2878" s="2" t="s">
        <v>107</v>
      </c>
      <c r="BL2878" s="2" t="s">
        <v>107</v>
      </c>
      <c r="BM2878" s="2">
        <v>242</v>
      </c>
      <c r="BN2878" s="2" t="s">
        <v>107</v>
      </c>
      <c r="BO2878" s="2" t="s">
        <v>107</v>
      </c>
      <c r="BP2878" s="2">
        <v>242</v>
      </c>
      <c r="BQ2878" s="2" t="s">
        <v>107</v>
      </c>
      <c r="BR2878" s="2" t="s">
        <v>107</v>
      </c>
      <c r="BS2878" s="3">
        <v>40373</v>
      </c>
      <c r="BT2878" s="4">
        <v>0.69010416666666663</v>
      </c>
    </row>
    <row r="2879" spans="1:72" x14ac:dyDescent="0.25">
      <c r="A2879" s="2">
        <v>4229</v>
      </c>
      <c r="B2879" s="2">
        <v>2010</v>
      </c>
      <c r="C2879" s="2" t="s">
        <v>377</v>
      </c>
      <c r="D2879" s="2" t="s">
        <v>73</v>
      </c>
      <c r="E2879" s="2"/>
      <c r="F2879" s="2">
        <v>426</v>
      </c>
      <c r="G2879" s="2" t="s">
        <v>378</v>
      </c>
      <c r="H2879" s="2">
        <v>42</v>
      </c>
      <c r="I2879" s="2" t="s">
        <v>1096</v>
      </c>
      <c r="J2879" s="2">
        <v>311</v>
      </c>
      <c r="K2879" s="2" t="s">
        <v>379</v>
      </c>
      <c r="L2879" s="2" t="s">
        <v>380</v>
      </c>
      <c r="M2879" s="3">
        <v>40373</v>
      </c>
      <c r="N2879" s="2" t="s">
        <v>7171</v>
      </c>
      <c r="O2879" s="2"/>
      <c r="P2879" s="2"/>
      <c r="Q2879" s="2" t="str">
        <f>"157-C/10"</f>
        <v>157-C/10</v>
      </c>
      <c r="R2879" s="2" t="s">
        <v>9520</v>
      </c>
      <c r="S2879" s="2"/>
      <c r="T2879" s="2">
        <v>1</v>
      </c>
      <c r="U2879" s="2" t="s">
        <v>79</v>
      </c>
      <c r="V2879" s="2">
        <v>1</v>
      </c>
      <c r="W2879" s="2" t="s">
        <v>80</v>
      </c>
      <c r="X2879" s="2">
        <v>1</v>
      </c>
      <c r="Y2879" s="2" t="s">
        <v>81</v>
      </c>
      <c r="Z2879" s="2">
        <v>1</v>
      </c>
      <c r="AA2879" s="2" t="s">
        <v>82</v>
      </c>
      <c r="AB2879" s="2">
        <v>9</v>
      </c>
      <c r="AC2879" s="2" t="s">
        <v>124</v>
      </c>
      <c r="AD2879" s="3">
        <v>40373</v>
      </c>
      <c r="AE2879" s="4">
        <v>0.43402777777777773</v>
      </c>
      <c r="AF2879" s="2"/>
      <c r="AG2879" s="2"/>
      <c r="AH2879" s="2">
        <v>2</v>
      </c>
      <c r="AI2879" s="2" t="s">
        <v>84</v>
      </c>
      <c r="AJ2879" s="2">
        <v>9</v>
      </c>
      <c r="AK2879" s="2" t="s">
        <v>103</v>
      </c>
      <c r="AL2879" s="2">
        <v>29</v>
      </c>
      <c r="AM2879" s="2" t="s">
        <v>5416</v>
      </c>
      <c r="AN2879" s="2" t="s">
        <v>7471</v>
      </c>
      <c r="AO2879" s="2" t="s">
        <v>987</v>
      </c>
      <c r="AP2879" s="2">
        <v>11</v>
      </c>
      <c r="AQ2879" s="2" t="s">
        <v>82</v>
      </c>
      <c r="AR2879" s="2"/>
      <c r="AS2879" s="2"/>
      <c r="AT2879" s="2" t="s">
        <v>9521</v>
      </c>
      <c r="AU2879" s="2"/>
      <c r="AV2879" s="2"/>
      <c r="AW2879" s="2"/>
      <c r="AX2879" s="2"/>
      <c r="AY2879" s="2">
        <v>41</v>
      </c>
      <c r="AZ2879" s="2" t="s">
        <v>82</v>
      </c>
      <c r="BA2879" s="2">
        <v>41</v>
      </c>
      <c r="BB2879" s="2" t="s">
        <v>82</v>
      </c>
      <c r="BC2879" s="2">
        <v>41</v>
      </c>
      <c r="BD2879" s="2" t="s">
        <v>82</v>
      </c>
      <c r="BE2879" s="2">
        <v>41</v>
      </c>
      <c r="BF2879" s="2" t="s">
        <v>82</v>
      </c>
      <c r="BG2879" s="2"/>
      <c r="BH2879" s="2"/>
      <c r="BI2879" s="2"/>
      <c r="BJ2879" s="2">
        <v>241</v>
      </c>
      <c r="BK2879" s="2" t="s">
        <v>82</v>
      </c>
      <c r="BL2879" s="2"/>
      <c r="BM2879" s="2">
        <v>241</v>
      </c>
      <c r="BN2879" s="2" t="s">
        <v>82</v>
      </c>
      <c r="BO2879" s="2"/>
      <c r="BP2879" s="2">
        <v>241</v>
      </c>
      <c r="BQ2879" s="2" t="s">
        <v>82</v>
      </c>
      <c r="BR2879" s="2"/>
      <c r="BS2879" s="3">
        <v>40373</v>
      </c>
      <c r="BT2879" s="4">
        <v>0.69050925925925932</v>
      </c>
    </row>
    <row r="2880" spans="1:72" x14ac:dyDescent="0.25">
      <c r="A2880" s="2">
        <v>4231</v>
      </c>
      <c r="B2880" s="2">
        <v>2010</v>
      </c>
      <c r="C2880" s="2" t="s">
        <v>377</v>
      </c>
      <c r="D2880" s="2" t="s">
        <v>73</v>
      </c>
      <c r="E2880" s="2"/>
      <c r="F2880" s="2">
        <v>426</v>
      </c>
      <c r="G2880" s="2" t="s">
        <v>378</v>
      </c>
      <c r="H2880" s="2">
        <v>42</v>
      </c>
      <c r="I2880" s="2" t="s">
        <v>1096</v>
      </c>
      <c r="J2880" s="2">
        <v>311</v>
      </c>
      <c r="K2880" s="2" t="s">
        <v>379</v>
      </c>
      <c r="L2880" s="2" t="s">
        <v>380</v>
      </c>
      <c r="M2880" s="3">
        <v>40373</v>
      </c>
      <c r="N2880" s="2" t="s">
        <v>7171</v>
      </c>
      <c r="O2880" s="2"/>
      <c r="P2880" s="2"/>
      <c r="Q2880" s="2" t="str">
        <f>"158-C/10"</f>
        <v>158-C/10</v>
      </c>
      <c r="R2880" s="2" t="s">
        <v>9522</v>
      </c>
      <c r="S2880" s="2"/>
      <c r="T2880" s="2">
        <v>1</v>
      </c>
      <c r="U2880" s="2" t="s">
        <v>79</v>
      </c>
      <c r="V2880" s="2">
        <v>1</v>
      </c>
      <c r="W2880" s="2" t="s">
        <v>80</v>
      </c>
      <c r="X2880" s="2">
        <v>1</v>
      </c>
      <c r="Y2880" s="2" t="s">
        <v>81</v>
      </c>
      <c r="Z2880" s="2">
        <v>1</v>
      </c>
      <c r="AA2880" s="2" t="s">
        <v>82</v>
      </c>
      <c r="AB2880" s="2">
        <v>9</v>
      </c>
      <c r="AC2880" s="2" t="s">
        <v>124</v>
      </c>
      <c r="AD2880" s="3">
        <v>40373</v>
      </c>
      <c r="AE2880" s="4">
        <v>0.44444444444444442</v>
      </c>
      <c r="AF2880" s="2"/>
      <c r="AG2880" s="2"/>
      <c r="AH2880" s="2">
        <v>2</v>
      </c>
      <c r="AI2880" s="2" t="s">
        <v>84</v>
      </c>
      <c r="AJ2880" s="2">
        <v>9</v>
      </c>
      <c r="AK2880" s="2" t="s">
        <v>103</v>
      </c>
      <c r="AL2880" s="2">
        <v>29</v>
      </c>
      <c r="AM2880" s="2" t="s">
        <v>5416</v>
      </c>
      <c r="AN2880" s="2" t="s">
        <v>9523</v>
      </c>
      <c r="AO2880" s="2" t="s">
        <v>987</v>
      </c>
      <c r="AP2880" s="2">
        <v>11</v>
      </c>
      <c r="AQ2880" s="2" t="s">
        <v>82</v>
      </c>
      <c r="AR2880" s="2"/>
      <c r="AS2880" s="2"/>
      <c r="AT2880" s="2" t="s">
        <v>9524</v>
      </c>
      <c r="AU2880" s="2"/>
      <c r="AV2880" s="2"/>
      <c r="AW2880" s="2"/>
      <c r="AX2880" s="2"/>
      <c r="AY2880" s="2">
        <v>41</v>
      </c>
      <c r="AZ2880" s="2" t="s">
        <v>82</v>
      </c>
      <c r="BA2880" s="2">
        <v>41</v>
      </c>
      <c r="BB2880" s="2" t="s">
        <v>82</v>
      </c>
      <c r="BC2880" s="2">
        <v>41</v>
      </c>
      <c r="BD2880" s="2" t="s">
        <v>82</v>
      </c>
      <c r="BE2880" s="2">
        <v>41</v>
      </c>
      <c r="BF2880" s="2" t="s">
        <v>82</v>
      </c>
      <c r="BG2880" s="2"/>
      <c r="BH2880" s="2"/>
      <c r="BI2880" s="2"/>
      <c r="BJ2880" s="2">
        <v>241</v>
      </c>
      <c r="BK2880" s="2" t="s">
        <v>82</v>
      </c>
      <c r="BL2880" s="2"/>
      <c r="BM2880" s="2">
        <v>241</v>
      </c>
      <c r="BN2880" s="2" t="s">
        <v>82</v>
      </c>
      <c r="BO2880" s="2"/>
      <c r="BP2880" s="2">
        <v>241</v>
      </c>
      <c r="BQ2880" s="2" t="s">
        <v>82</v>
      </c>
      <c r="BR2880" s="2"/>
      <c r="BS2880" s="3">
        <v>40373</v>
      </c>
      <c r="BT2880" s="4">
        <v>0.72089120370370363</v>
      </c>
    </row>
    <row r="2881" spans="1:72" x14ac:dyDescent="0.25">
      <c r="A2881" s="2">
        <v>4233</v>
      </c>
      <c r="B2881" s="2">
        <v>2010</v>
      </c>
      <c r="C2881" s="2" t="s">
        <v>121</v>
      </c>
      <c r="D2881" s="2" t="s">
        <v>122</v>
      </c>
      <c r="E2881" s="2"/>
      <c r="F2881" s="2">
        <v>1</v>
      </c>
      <c r="G2881" s="2" t="s">
        <v>82</v>
      </c>
      <c r="H2881" s="2">
        <v>1</v>
      </c>
      <c r="I2881" s="2" t="s">
        <v>82</v>
      </c>
      <c r="J2881" s="2">
        <v>1</v>
      </c>
      <c r="K2881" s="2" t="s">
        <v>107</v>
      </c>
      <c r="L2881" s="2" t="s">
        <v>107</v>
      </c>
      <c r="M2881" s="3">
        <v>40373</v>
      </c>
      <c r="N2881" s="2"/>
      <c r="O2881" s="2"/>
      <c r="P2881" s="2"/>
      <c r="Q2881" s="2" t="str">
        <f>""</f>
        <v/>
      </c>
      <c r="R2881" s="2"/>
      <c r="S2881" s="2"/>
      <c r="T2881" s="2">
        <v>2</v>
      </c>
      <c r="U2881" s="2" t="s">
        <v>123</v>
      </c>
      <c r="V2881" s="2">
        <v>1</v>
      </c>
      <c r="W2881" s="2" t="s">
        <v>80</v>
      </c>
      <c r="X2881" s="2">
        <v>11</v>
      </c>
      <c r="Y2881" s="2" t="s">
        <v>1920</v>
      </c>
      <c r="Z2881" s="2">
        <v>1</v>
      </c>
      <c r="AA2881" s="2" t="s">
        <v>82</v>
      </c>
      <c r="AB2881" s="2">
        <v>9</v>
      </c>
      <c r="AC2881" s="2" t="s">
        <v>124</v>
      </c>
      <c r="AD2881" s="3">
        <v>40373</v>
      </c>
      <c r="AE2881" s="4">
        <v>0.49791666666666662</v>
      </c>
      <c r="AF2881" s="2"/>
      <c r="AG2881" s="2"/>
      <c r="AH2881" s="2">
        <v>5</v>
      </c>
      <c r="AI2881" s="2" t="s">
        <v>274</v>
      </c>
      <c r="AJ2881" s="2">
        <v>44</v>
      </c>
      <c r="AK2881" s="2" t="s">
        <v>667</v>
      </c>
      <c r="AL2881" s="2">
        <v>18</v>
      </c>
      <c r="AM2881" s="2" t="s">
        <v>82</v>
      </c>
      <c r="AN2881" s="2"/>
      <c r="AO2881" s="2"/>
      <c r="AP2881" s="2">
        <v>11</v>
      </c>
      <c r="AQ2881" s="2" t="s">
        <v>82</v>
      </c>
      <c r="AR2881" s="2"/>
      <c r="AS2881" s="2"/>
      <c r="AT2881" s="2" t="s">
        <v>9525</v>
      </c>
      <c r="AU2881" s="2"/>
      <c r="AV2881" s="2"/>
      <c r="AW2881" s="2"/>
      <c r="AX2881" s="2"/>
      <c r="AY2881" s="2">
        <v>1</v>
      </c>
      <c r="AZ2881" s="2" t="s">
        <v>107</v>
      </c>
      <c r="BA2881" s="2">
        <v>1</v>
      </c>
      <c r="BB2881" s="2" t="s">
        <v>107</v>
      </c>
      <c r="BC2881" s="2">
        <v>1</v>
      </c>
      <c r="BD2881" s="2" t="s">
        <v>107</v>
      </c>
      <c r="BE2881" s="2">
        <v>1</v>
      </c>
      <c r="BF2881" s="2" t="s">
        <v>107</v>
      </c>
      <c r="BG2881" s="2" t="s">
        <v>9526</v>
      </c>
      <c r="BH2881" s="4">
        <v>0.5</v>
      </c>
      <c r="BI2881" s="4">
        <v>0.54166666666666663</v>
      </c>
      <c r="BJ2881" s="2">
        <v>242</v>
      </c>
      <c r="BK2881" s="2" t="s">
        <v>107</v>
      </c>
      <c r="BL2881" s="2" t="s">
        <v>9527</v>
      </c>
      <c r="BM2881" s="2">
        <v>242</v>
      </c>
      <c r="BN2881" s="2" t="s">
        <v>107</v>
      </c>
      <c r="BO2881" s="2" t="s">
        <v>1026</v>
      </c>
      <c r="BP2881" s="2">
        <v>242</v>
      </c>
      <c r="BQ2881" s="2" t="s">
        <v>107</v>
      </c>
      <c r="BR2881" s="2" t="s">
        <v>502</v>
      </c>
      <c r="BS2881" s="3">
        <v>40373</v>
      </c>
      <c r="BT2881" s="4">
        <v>0.72136574074074078</v>
      </c>
    </row>
    <row r="2882" spans="1:72" x14ac:dyDescent="0.25">
      <c r="A2882" s="2">
        <v>4235</v>
      </c>
      <c r="B2882" s="2">
        <v>2010</v>
      </c>
      <c r="C2882" s="2" t="s">
        <v>121</v>
      </c>
      <c r="D2882" s="2" t="s">
        <v>122</v>
      </c>
      <c r="E2882" s="2"/>
      <c r="F2882" s="2">
        <v>1</v>
      </c>
      <c r="G2882" s="2" t="s">
        <v>82</v>
      </c>
      <c r="H2882" s="2">
        <v>1</v>
      </c>
      <c r="I2882" s="2" t="s">
        <v>82</v>
      </c>
      <c r="J2882" s="2">
        <v>1</v>
      </c>
      <c r="K2882" s="2" t="s">
        <v>107</v>
      </c>
      <c r="L2882" s="2" t="s">
        <v>107</v>
      </c>
      <c r="M2882" s="3">
        <v>40373</v>
      </c>
      <c r="N2882" s="2"/>
      <c r="O2882" s="2"/>
      <c r="P2882" s="2"/>
      <c r="Q2882" s="2" t="str">
        <f>""</f>
        <v/>
      </c>
      <c r="R2882" s="2"/>
      <c r="S2882" s="2"/>
      <c r="T2882" s="2">
        <v>2</v>
      </c>
      <c r="U2882" s="2" t="s">
        <v>123</v>
      </c>
      <c r="V2882" s="2">
        <v>1</v>
      </c>
      <c r="W2882" s="2" t="s">
        <v>80</v>
      </c>
      <c r="X2882" s="2">
        <v>11</v>
      </c>
      <c r="Y2882" s="2" t="s">
        <v>1920</v>
      </c>
      <c r="Z2882" s="2">
        <v>13</v>
      </c>
      <c r="AA2882" s="2" t="s">
        <v>3158</v>
      </c>
      <c r="AB2882" s="2">
        <v>9</v>
      </c>
      <c r="AC2882" s="2" t="s">
        <v>124</v>
      </c>
      <c r="AD2882" s="3">
        <v>40373</v>
      </c>
      <c r="AE2882" s="4">
        <v>0.5625</v>
      </c>
      <c r="AF2882" s="2"/>
      <c r="AG2882" s="2"/>
      <c r="AH2882" s="2">
        <v>5</v>
      </c>
      <c r="AI2882" s="2" t="s">
        <v>274</v>
      </c>
      <c r="AJ2882" s="2">
        <v>37</v>
      </c>
      <c r="AK2882" s="2" t="s">
        <v>497</v>
      </c>
      <c r="AL2882" s="2">
        <v>25</v>
      </c>
      <c r="AM2882" s="2" t="s">
        <v>3073</v>
      </c>
      <c r="AN2882" s="2"/>
      <c r="AO2882" s="2"/>
      <c r="AP2882" s="2">
        <v>11</v>
      </c>
      <c r="AQ2882" s="2" t="s">
        <v>82</v>
      </c>
      <c r="AR2882" s="2"/>
      <c r="AS2882" s="2"/>
      <c r="AT2882" s="2" t="s">
        <v>9528</v>
      </c>
      <c r="AU2882" s="2"/>
      <c r="AV2882" s="2"/>
      <c r="AW2882" s="2"/>
      <c r="AX2882" s="2"/>
      <c r="AY2882" s="2">
        <v>1</v>
      </c>
      <c r="AZ2882" s="2" t="s">
        <v>107</v>
      </c>
      <c r="BA2882" s="2">
        <v>1</v>
      </c>
      <c r="BB2882" s="2" t="s">
        <v>107</v>
      </c>
      <c r="BC2882" s="2">
        <v>77</v>
      </c>
      <c r="BD2882" s="2" t="s">
        <v>3158</v>
      </c>
      <c r="BE2882" s="2">
        <v>42</v>
      </c>
      <c r="BF2882" s="2" t="s">
        <v>182</v>
      </c>
      <c r="BG2882" s="2" t="s">
        <v>9526</v>
      </c>
      <c r="BH2882" s="4">
        <v>0.5625</v>
      </c>
      <c r="BI2882" s="4">
        <v>0.59722222222222221</v>
      </c>
      <c r="BJ2882" s="2">
        <v>242</v>
      </c>
      <c r="BK2882" s="2" t="s">
        <v>107</v>
      </c>
      <c r="BL2882" s="2" t="s">
        <v>1026</v>
      </c>
      <c r="BM2882" s="2">
        <v>242</v>
      </c>
      <c r="BN2882" s="2" t="s">
        <v>107</v>
      </c>
      <c r="BO2882" s="2" t="s">
        <v>1552</v>
      </c>
      <c r="BP2882" s="2">
        <v>242</v>
      </c>
      <c r="BQ2882" s="2" t="s">
        <v>107</v>
      </c>
      <c r="BR2882" s="2" t="s">
        <v>9529</v>
      </c>
      <c r="BS2882" s="3">
        <v>40373</v>
      </c>
      <c r="BT2882" s="4">
        <v>0.85436342592592596</v>
      </c>
    </row>
    <row r="2883" spans="1:72" x14ac:dyDescent="0.25">
      <c r="A2883" s="2">
        <v>4236</v>
      </c>
      <c r="B2883" s="2">
        <v>2010</v>
      </c>
      <c r="C2883" s="2" t="s">
        <v>806</v>
      </c>
      <c r="D2883" s="2" t="s">
        <v>73</v>
      </c>
      <c r="E2883" s="2"/>
      <c r="F2883" s="2">
        <v>507</v>
      </c>
      <c r="G2883" s="2" t="s">
        <v>2475</v>
      </c>
      <c r="H2883" s="2">
        <v>89</v>
      </c>
      <c r="I2883" s="2" t="s">
        <v>5137</v>
      </c>
      <c r="J2883" s="2">
        <v>424</v>
      </c>
      <c r="K2883" s="2" t="s">
        <v>2476</v>
      </c>
      <c r="L2883" s="2" t="s">
        <v>2477</v>
      </c>
      <c r="M2883" s="3">
        <v>40373</v>
      </c>
      <c r="N2883" s="2" t="s">
        <v>2593</v>
      </c>
      <c r="O2883" s="2" t="s">
        <v>9530</v>
      </c>
      <c r="P2883" s="7">
        <v>16419</v>
      </c>
      <c r="Q2883" s="2" t="str">
        <f>"S/D"</f>
        <v>S/D</v>
      </c>
      <c r="R2883" s="2" t="s">
        <v>107</v>
      </c>
      <c r="S2883" s="2" t="s">
        <v>107</v>
      </c>
      <c r="T2883" s="2">
        <v>1</v>
      </c>
      <c r="U2883" s="2" t="s">
        <v>79</v>
      </c>
      <c r="V2883" s="2">
        <v>1</v>
      </c>
      <c r="W2883" s="2" t="s">
        <v>80</v>
      </c>
      <c r="X2883" s="2">
        <v>9</v>
      </c>
      <c r="Y2883" s="2" t="s">
        <v>3393</v>
      </c>
      <c r="Z2883" s="2">
        <v>1</v>
      </c>
      <c r="AA2883" s="2" t="s">
        <v>82</v>
      </c>
      <c r="AB2883" s="2">
        <v>9</v>
      </c>
      <c r="AC2883" s="2" t="s">
        <v>124</v>
      </c>
      <c r="AD2883" s="3">
        <v>40373</v>
      </c>
      <c r="AE2883" s="4">
        <v>0.61458333333333337</v>
      </c>
      <c r="AF2883" s="3">
        <v>40373</v>
      </c>
      <c r="AG2883" s="2"/>
      <c r="AH2883" s="2">
        <v>7</v>
      </c>
      <c r="AI2883" s="2" t="s">
        <v>801</v>
      </c>
      <c r="AJ2883" s="2">
        <v>3</v>
      </c>
      <c r="AK2883" s="2" t="s">
        <v>802</v>
      </c>
      <c r="AL2883" s="2">
        <v>23</v>
      </c>
      <c r="AM2883" s="2" t="s">
        <v>251</v>
      </c>
      <c r="AN2883" s="2" t="s">
        <v>9531</v>
      </c>
      <c r="AO2883" s="2" t="s">
        <v>9532</v>
      </c>
      <c r="AP2883" s="2">
        <v>11</v>
      </c>
      <c r="AQ2883" s="2" t="s">
        <v>82</v>
      </c>
      <c r="AR2883" s="2" t="s">
        <v>107</v>
      </c>
      <c r="AS2883" s="2" t="s">
        <v>107</v>
      </c>
      <c r="AT2883" s="2" t="s">
        <v>9533</v>
      </c>
      <c r="AU2883" s="2">
        <v>1</v>
      </c>
      <c r="AV2883" s="2"/>
      <c r="AW2883" s="2"/>
      <c r="AX2883" s="2"/>
      <c r="AY2883" s="2">
        <v>1</v>
      </c>
      <c r="AZ2883" s="2" t="s">
        <v>107</v>
      </c>
      <c r="BA2883" s="2">
        <v>1</v>
      </c>
      <c r="BB2883" s="2" t="s">
        <v>107</v>
      </c>
      <c r="BC2883" s="2">
        <v>1</v>
      </c>
      <c r="BD2883" s="2" t="s">
        <v>107</v>
      </c>
      <c r="BE2883" s="2">
        <v>1</v>
      </c>
      <c r="BF2883" s="2" t="s">
        <v>107</v>
      </c>
      <c r="BG2883" s="2" t="s">
        <v>107</v>
      </c>
      <c r="BH2883" s="2"/>
      <c r="BI2883" s="2"/>
      <c r="BJ2883" s="2">
        <v>242</v>
      </c>
      <c r="BK2883" s="2" t="s">
        <v>107</v>
      </c>
      <c r="BL2883" s="2" t="s">
        <v>107</v>
      </c>
      <c r="BM2883" s="2">
        <v>242</v>
      </c>
      <c r="BN2883" s="2" t="s">
        <v>107</v>
      </c>
      <c r="BO2883" s="2" t="s">
        <v>107</v>
      </c>
      <c r="BP2883" s="2">
        <v>242</v>
      </c>
      <c r="BQ2883" s="2" t="s">
        <v>107</v>
      </c>
      <c r="BR2883" s="2" t="s">
        <v>107</v>
      </c>
      <c r="BS2883" s="3">
        <v>40373</v>
      </c>
      <c r="BT2883" s="4">
        <v>0.86450231481481488</v>
      </c>
    </row>
    <row r="2884" spans="1:72" x14ac:dyDescent="0.25">
      <c r="A2884" s="2">
        <v>4237</v>
      </c>
      <c r="B2884" s="2">
        <v>2010</v>
      </c>
      <c r="C2884" s="2" t="s">
        <v>377</v>
      </c>
      <c r="D2884" s="2" t="s">
        <v>73</v>
      </c>
      <c r="E2884" s="2"/>
      <c r="F2884" s="2">
        <v>426</v>
      </c>
      <c r="G2884" s="2" t="s">
        <v>378</v>
      </c>
      <c r="H2884" s="2">
        <v>42</v>
      </c>
      <c r="I2884" s="2" t="s">
        <v>1096</v>
      </c>
      <c r="J2884" s="2">
        <v>311</v>
      </c>
      <c r="K2884" s="2" t="s">
        <v>379</v>
      </c>
      <c r="L2884" s="2" t="s">
        <v>380</v>
      </c>
      <c r="M2884" s="3">
        <v>40373</v>
      </c>
      <c r="N2884" s="2" t="s">
        <v>5164</v>
      </c>
      <c r="O2884" s="2"/>
      <c r="P2884" s="2"/>
      <c r="Q2884" s="2" t="str">
        <f>"159-C/10"</f>
        <v>159-C/10</v>
      </c>
      <c r="R2884" s="2" t="s">
        <v>3458</v>
      </c>
      <c r="S2884" s="2"/>
      <c r="T2884" s="2">
        <v>1</v>
      </c>
      <c r="U2884" s="2" t="s">
        <v>79</v>
      </c>
      <c r="V2884" s="2">
        <v>1</v>
      </c>
      <c r="W2884" s="2" t="s">
        <v>80</v>
      </c>
      <c r="X2884" s="2">
        <v>1</v>
      </c>
      <c r="Y2884" s="2" t="s">
        <v>81</v>
      </c>
      <c r="Z2884" s="2">
        <v>1</v>
      </c>
      <c r="AA2884" s="2" t="s">
        <v>82</v>
      </c>
      <c r="AB2884" s="2">
        <v>9</v>
      </c>
      <c r="AC2884" s="2" t="s">
        <v>124</v>
      </c>
      <c r="AD2884" s="3">
        <v>40373</v>
      </c>
      <c r="AE2884" s="4">
        <v>0.625</v>
      </c>
      <c r="AF2884" s="2"/>
      <c r="AG2884" s="2"/>
      <c r="AH2884" s="2">
        <v>2</v>
      </c>
      <c r="AI2884" s="2" t="s">
        <v>84</v>
      </c>
      <c r="AJ2884" s="2">
        <v>9</v>
      </c>
      <c r="AK2884" s="2" t="s">
        <v>103</v>
      </c>
      <c r="AL2884" s="2">
        <v>29</v>
      </c>
      <c r="AM2884" s="2" t="s">
        <v>5416</v>
      </c>
      <c r="AN2884" s="2" t="s">
        <v>9534</v>
      </c>
      <c r="AO2884" s="2" t="s">
        <v>987</v>
      </c>
      <c r="AP2884" s="2">
        <v>11</v>
      </c>
      <c r="AQ2884" s="2" t="s">
        <v>82</v>
      </c>
      <c r="AR2884" s="2"/>
      <c r="AS2884" s="2"/>
      <c r="AT2884" s="2" t="s">
        <v>9535</v>
      </c>
      <c r="AU2884" s="2"/>
      <c r="AV2884" s="2"/>
      <c r="AW2884" s="2"/>
      <c r="AX2884" s="2"/>
      <c r="AY2884" s="2">
        <v>41</v>
      </c>
      <c r="AZ2884" s="2" t="s">
        <v>82</v>
      </c>
      <c r="BA2884" s="2">
        <v>41</v>
      </c>
      <c r="BB2884" s="2" t="s">
        <v>82</v>
      </c>
      <c r="BC2884" s="2">
        <v>41</v>
      </c>
      <c r="BD2884" s="2" t="s">
        <v>82</v>
      </c>
      <c r="BE2884" s="2">
        <v>41</v>
      </c>
      <c r="BF2884" s="2" t="s">
        <v>82</v>
      </c>
      <c r="BG2884" s="2"/>
      <c r="BH2884" s="2"/>
      <c r="BI2884" s="2"/>
      <c r="BJ2884" s="2">
        <v>241</v>
      </c>
      <c r="BK2884" s="2" t="s">
        <v>82</v>
      </c>
      <c r="BL2884" s="2"/>
      <c r="BM2884" s="2">
        <v>241</v>
      </c>
      <c r="BN2884" s="2" t="s">
        <v>82</v>
      </c>
      <c r="BO2884" s="2"/>
      <c r="BP2884" s="2">
        <v>241</v>
      </c>
      <c r="BQ2884" s="2" t="s">
        <v>82</v>
      </c>
      <c r="BR2884" s="2"/>
      <c r="BS2884" s="3">
        <v>40373</v>
      </c>
      <c r="BT2884" s="4">
        <v>0.90361111111111114</v>
      </c>
    </row>
    <row r="2885" spans="1:72" x14ac:dyDescent="0.25">
      <c r="A2885" s="2">
        <v>4238</v>
      </c>
      <c r="B2885" s="2">
        <v>2010</v>
      </c>
      <c r="C2885" s="2" t="s">
        <v>377</v>
      </c>
      <c r="D2885" s="2" t="s">
        <v>73</v>
      </c>
      <c r="E2885" s="2"/>
      <c r="F2885" s="2">
        <v>426</v>
      </c>
      <c r="G2885" s="2" t="s">
        <v>378</v>
      </c>
      <c r="H2885" s="2">
        <v>42</v>
      </c>
      <c r="I2885" s="2" t="s">
        <v>1096</v>
      </c>
      <c r="J2885" s="2">
        <v>311</v>
      </c>
      <c r="K2885" s="2" t="s">
        <v>379</v>
      </c>
      <c r="L2885" s="2" t="s">
        <v>380</v>
      </c>
      <c r="M2885" s="3">
        <v>40373</v>
      </c>
      <c r="N2885" s="2" t="s">
        <v>7171</v>
      </c>
      <c r="O2885" s="2"/>
      <c r="P2885" s="2"/>
      <c r="Q2885" s="2" t="str">
        <f>"160-C/10"</f>
        <v>160-C/10</v>
      </c>
      <c r="R2885" s="2" t="s">
        <v>3458</v>
      </c>
      <c r="S2885" s="2"/>
      <c r="T2885" s="2">
        <v>1</v>
      </c>
      <c r="U2885" s="2" t="s">
        <v>79</v>
      </c>
      <c r="V2885" s="2">
        <v>1</v>
      </c>
      <c r="W2885" s="2" t="s">
        <v>80</v>
      </c>
      <c r="X2885" s="2">
        <v>1</v>
      </c>
      <c r="Y2885" s="2" t="s">
        <v>81</v>
      </c>
      <c r="Z2885" s="2">
        <v>1</v>
      </c>
      <c r="AA2885" s="2" t="s">
        <v>82</v>
      </c>
      <c r="AB2885" s="2">
        <v>9</v>
      </c>
      <c r="AC2885" s="2" t="s">
        <v>124</v>
      </c>
      <c r="AD2885" s="3">
        <v>40373</v>
      </c>
      <c r="AE2885" s="4">
        <v>0.63541666666666663</v>
      </c>
      <c r="AF2885" s="2"/>
      <c r="AG2885" s="2"/>
      <c r="AH2885" s="2">
        <v>2</v>
      </c>
      <c r="AI2885" s="2" t="s">
        <v>84</v>
      </c>
      <c r="AJ2885" s="2">
        <v>9</v>
      </c>
      <c r="AK2885" s="2" t="s">
        <v>103</v>
      </c>
      <c r="AL2885" s="2">
        <v>29</v>
      </c>
      <c r="AM2885" s="2" t="s">
        <v>5416</v>
      </c>
      <c r="AN2885" s="2" t="s">
        <v>9534</v>
      </c>
      <c r="AO2885" s="2" t="s">
        <v>987</v>
      </c>
      <c r="AP2885" s="2">
        <v>11</v>
      </c>
      <c r="AQ2885" s="2" t="s">
        <v>82</v>
      </c>
      <c r="AR2885" s="2"/>
      <c r="AS2885" s="2"/>
      <c r="AT2885" s="2" t="s">
        <v>9536</v>
      </c>
      <c r="AU2885" s="2"/>
      <c r="AV2885" s="2"/>
      <c r="AW2885" s="2"/>
      <c r="AX2885" s="2"/>
      <c r="AY2885" s="2">
        <v>41</v>
      </c>
      <c r="AZ2885" s="2" t="s">
        <v>82</v>
      </c>
      <c r="BA2885" s="2">
        <v>41</v>
      </c>
      <c r="BB2885" s="2" t="s">
        <v>82</v>
      </c>
      <c r="BC2885" s="2">
        <v>41</v>
      </c>
      <c r="BD2885" s="2" t="s">
        <v>82</v>
      </c>
      <c r="BE2885" s="2">
        <v>41</v>
      </c>
      <c r="BF2885" s="2" t="s">
        <v>82</v>
      </c>
      <c r="BG2885" s="2"/>
      <c r="BH2885" s="2"/>
      <c r="BI2885" s="2"/>
      <c r="BJ2885" s="2">
        <v>241</v>
      </c>
      <c r="BK2885" s="2" t="s">
        <v>82</v>
      </c>
      <c r="BL2885" s="2"/>
      <c r="BM2885" s="2">
        <v>241</v>
      </c>
      <c r="BN2885" s="2" t="s">
        <v>82</v>
      </c>
      <c r="BO2885" s="2"/>
      <c r="BP2885" s="2">
        <v>241</v>
      </c>
      <c r="BQ2885" s="2" t="s">
        <v>82</v>
      </c>
      <c r="BR2885" s="2"/>
      <c r="BS2885" s="3">
        <v>40373</v>
      </c>
      <c r="BT2885" s="4">
        <v>0.92075231481481479</v>
      </c>
    </row>
    <row r="2886" spans="1:72" x14ac:dyDescent="0.25">
      <c r="A2886" s="2">
        <v>4239</v>
      </c>
      <c r="B2886" s="2">
        <v>2010</v>
      </c>
      <c r="C2886" s="2" t="s">
        <v>93</v>
      </c>
      <c r="D2886" s="2" t="s">
        <v>73</v>
      </c>
      <c r="E2886" s="2"/>
      <c r="F2886" s="2">
        <v>653</v>
      </c>
      <c r="G2886" s="2" t="s">
        <v>9537</v>
      </c>
      <c r="H2886" s="2">
        <v>22</v>
      </c>
      <c r="I2886" s="2" t="s">
        <v>75</v>
      </c>
      <c r="J2886" s="2">
        <v>616</v>
      </c>
      <c r="K2886" s="2" t="s">
        <v>9538</v>
      </c>
      <c r="L2886" s="2" t="s">
        <v>9539</v>
      </c>
      <c r="M2886" s="3">
        <v>40373</v>
      </c>
      <c r="N2886" s="2" t="s">
        <v>9540</v>
      </c>
      <c r="O2886" s="2" t="s">
        <v>9541</v>
      </c>
      <c r="P2886" s="2" t="s">
        <v>203</v>
      </c>
      <c r="Q2886" s="2" t="str">
        <f>"N/C"</f>
        <v>N/C</v>
      </c>
      <c r="R2886" s="2"/>
      <c r="S2886" s="2" t="s">
        <v>82</v>
      </c>
      <c r="T2886" s="2">
        <v>1</v>
      </c>
      <c r="U2886" s="2" t="s">
        <v>79</v>
      </c>
      <c r="V2886" s="2">
        <v>1</v>
      </c>
      <c r="W2886" s="2" t="s">
        <v>80</v>
      </c>
      <c r="X2886" s="2">
        <v>10</v>
      </c>
      <c r="Y2886" s="2" t="s">
        <v>226</v>
      </c>
      <c r="Z2886" s="2">
        <v>6</v>
      </c>
      <c r="AA2886" s="2" t="s">
        <v>101</v>
      </c>
      <c r="AB2886" s="2">
        <v>2</v>
      </c>
      <c r="AC2886" s="2" t="s">
        <v>102</v>
      </c>
      <c r="AD2886" s="3">
        <v>40373</v>
      </c>
      <c r="AE2886" s="4">
        <v>0.70833333333333337</v>
      </c>
      <c r="AF2886" s="2"/>
      <c r="AG2886" s="2"/>
      <c r="AH2886" s="2">
        <v>2</v>
      </c>
      <c r="AI2886" s="2" t="s">
        <v>84</v>
      </c>
      <c r="AJ2886" s="2">
        <v>9</v>
      </c>
      <c r="AK2886" s="2" t="s">
        <v>103</v>
      </c>
      <c r="AL2886" s="2">
        <v>14</v>
      </c>
      <c r="AM2886" s="2" t="s">
        <v>216</v>
      </c>
      <c r="AN2886" s="2"/>
      <c r="AO2886" s="2" t="s">
        <v>105</v>
      </c>
      <c r="AP2886" s="2">
        <v>11</v>
      </c>
      <c r="AQ2886" s="2" t="s">
        <v>82</v>
      </c>
      <c r="AR2886" s="2"/>
      <c r="AS2886" s="2"/>
      <c r="AT2886" s="2" t="s">
        <v>9542</v>
      </c>
      <c r="AU2886" s="2">
        <v>1</v>
      </c>
      <c r="AV2886" s="2"/>
      <c r="AW2886" s="2"/>
      <c r="AX2886" s="2"/>
      <c r="AY2886" s="2">
        <v>41</v>
      </c>
      <c r="AZ2886" s="2" t="s">
        <v>82</v>
      </c>
      <c r="BA2886" s="2">
        <v>41</v>
      </c>
      <c r="BB2886" s="2" t="s">
        <v>82</v>
      </c>
      <c r="BC2886" s="2">
        <v>41</v>
      </c>
      <c r="BD2886" s="2" t="s">
        <v>82</v>
      </c>
      <c r="BE2886" s="2">
        <v>18</v>
      </c>
      <c r="BF2886" s="2" t="s">
        <v>1091</v>
      </c>
      <c r="BG2886" s="2" t="s">
        <v>9543</v>
      </c>
      <c r="BH2886" s="2"/>
      <c r="BI2886" s="2"/>
      <c r="BJ2886" s="2">
        <v>205</v>
      </c>
      <c r="BK2886" s="2" t="s">
        <v>1085</v>
      </c>
      <c r="BL2886" s="2" t="s">
        <v>1086</v>
      </c>
      <c r="BM2886" s="2">
        <v>241</v>
      </c>
      <c r="BN2886" s="2" t="s">
        <v>82</v>
      </c>
      <c r="BO2886" s="2"/>
      <c r="BP2886" s="2">
        <v>13</v>
      </c>
      <c r="BQ2886" s="2" t="s">
        <v>91</v>
      </c>
      <c r="BR2886" s="2" t="s">
        <v>360</v>
      </c>
      <c r="BS2886" s="3">
        <v>40373</v>
      </c>
      <c r="BT2886" s="4">
        <v>0.9665393518518518</v>
      </c>
    </row>
    <row r="2887" spans="1:72" x14ac:dyDescent="0.25">
      <c r="A2887" s="2">
        <v>4240</v>
      </c>
      <c r="B2887" s="2">
        <v>2010</v>
      </c>
      <c r="C2887" s="2" t="s">
        <v>171</v>
      </c>
      <c r="D2887" s="2" t="s">
        <v>73</v>
      </c>
      <c r="E2887" s="2"/>
      <c r="F2887" s="2">
        <v>512</v>
      </c>
      <c r="G2887" s="2" t="s">
        <v>9544</v>
      </c>
      <c r="H2887" s="2">
        <v>9</v>
      </c>
      <c r="I2887" s="2" t="s">
        <v>794</v>
      </c>
      <c r="J2887" s="2">
        <v>166</v>
      </c>
      <c r="K2887" s="2" t="s">
        <v>795</v>
      </c>
      <c r="L2887" s="2" t="s">
        <v>796</v>
      </c>
      <c r="M2887" s="3">
        <v>40374</v>
      </c>
      <c r="N2887" s="2" t="s">
        <v>9367</v>
      </c>
      <c r="O2887" s="2"/>
      <c r="P2887" s="2"/>
      <c r="Q2887" s="2" t="str">
        <f>"260-A/10"</f>
        <v>260-A/10</v>
      </c>
      <c r="R2887" s="2"/>
      <c r="S2887" s="2" t="s">
        <v>489</v>
      </c>
      <c r="T2887" s="2">
        <v>1</v>
      </c>
      <c r="U2887" s="2" t="s">
        <v>79</v>
      </c>
      <c r="V2887" s="2">
        <v>1</v>
      </c>
      <c r="W2887" s="2" t="s">
        <v>80</v>
      </c>
      <c r="X2887" s="2">
        <v>1</v>
      </c>
      <c r="Y2887" s="2" t="s">
        <v>81</v>
      </c>
      <c r="Z2887" s="2">
        <v>1</v>
      </c>
      <c r="AA2887" s="2" t="s">
        <v>82</v>
      </c>
      <c r="AB2887" s="2">
        <v>1</v>
      </c>
      <c r="AC2887" s="2" t="s">
        <v>178</v>
      </c>
      <c r="AD2887" s="3">
        <v>40373</v>
      </c>
      <c r="AE2887" s="4">
        <v>0.76388888888888884</v>
      </c>
      <c r="AF2887" s="2"/>
      <c r="AG2887" s="2"/>
      <c r="AH2887" s="2">
        <v>2</v>
      </c>
      <c r="AI2887" s="2" t="s">
        <v>84</v>
      </c>
      <c r="AJ2887" s="2">
        <v>12</v>
      </c>
      <c r="AK2887" s="2" t="s">
        <v>85</v>
      </c>
      <c r="AL2887" s="2">
        <v>11</v>
      </c>
      <c r="AM2887" s="2" t="s">
        <v>137</v>
      </c>
      <c r="AN2887" s="2" t="s">
        <v>9545</v>
      </c>
      <c r="AO2887" s="2" t="s">
        <v>788</v>
      </c>
      <c r="AP2887" s="2">
        <v>11</v>
      </c>
      <c r="AQ2887" s="2" t="s">
        <v>82</v>
      </c>
      <c r="AR2887" s="2"/>
      <c r="AS2887" s="2"/>
      <c r="AT2887" s="2" t="s">
        <v>9546</v>
      </c>
      <c r="AU2887" s="2">
        <v>1</v>
      </c>
      <c r="AV2887" s="2"/>
      <c r="AW2887" s="2"/>
      <c r="AX2887" s="2"/>
      <c r="AY2887" s="2">
        <v>41</v>
      </c>
      <c r="AZ2887" s="2" t="s">
        <v>82</v>
      </c>
      <c r="BA2887" s="2">
        <v>41</v>
      </c>
      <c r="BB2887" s="2" t="s">
        <v>82</v>
      </c>
      <c r="BC2887" s="2">
        <v>41</v>
      </c>
      <c r="BD2887" s="2" t="s">
        <v>82</v>
      </c>
      <c r="BE2887" s="2">
        <v>13</v>
      </c>
      <c r="BF2887" s="2" t="s">
        <v>108</v>
      </c>
      <c r="BG2887" s="2" t="s">
        <v>9547</v>
      </c>
      <c r="BH2887" s="2"/>
      <c r="BI2887" s="4">
        <v>0.77430555555555547</v>
      </c>
      <c r="BJ2887" s="2">
        <v>13</v>
      </c>
      <c r="BK2887" s="2" t="s">
        <v>91</v>
      </c>
      <c r="BL2887" s="2" t="s">
        <v>564</v>
      </c>
      <c r="BM2887" s="2">
        <v>241</v>
      </c>
      <c r="BN2887" s="2" t="s">
        <v>82</v>
      </c>
      <c r="BO2887" s="2"/>
      <c r="BP2887" s="2">
        <v>13</v>
      </c>
      <c r="BQ2887" s="2" t="s">
        <v>91</v>
      </c>
      <c r="BR2887" s="2" t="s">
        <v>828</v>
      </c>
      <c r="BS2887" s="3">
        <v>40374</v>
      </c>
      <c r="BT2887" s="4">
        <v>0.144375</v>
      </c>
    </row>
    <row r="2888" spans="1:72" x14ac:dyDescent="0.25">
      <c r="A2888" s="2">
        <v>4241</v>
      </c>
      <c r="B2888" s="2">
        <v>2010</v>
      </c>
      <c r="C2888" s="2" t="s">
        <v>72</v>
      </c>
      <c r="D2888" s="2" t="s">
        <v>73</v>
      </c>
      <c r="E2888" s="2"/>
      <c r="F2888" s="2">
        <v>650</v>
      </c>
      <c r="G2888" s="2" t="s">
        <v>9158</v>
      </c>
      <c r="H2888" s="2">
        <v>42</v>
      </c>
      <c r="I2888" s="2" t="s">
        <v>1096</v>
      </c>
      <c r="J2888" s="2">
        <v>606</v>
      </c>
      <c r="K2888" s="2" t="s">
        <v>9068</v>
      </c>
      <c r="L2888" s="2" t="s">
        <v>9069</v>
      </c>
      <c r="M2888" s="3">
        <v>40374</v>
      </c>
      <c r="N2888" s="2" t="s">
        <v>9548</v>
      </c>
      <c r="O2888" s="2"/>
      <c r="P2888" s="2"/>
      <c r="Q2888" s="2" t="str">
        <f>"261-A/10"</f>
        <v>261-A/10</v>
      </c>
      <c r="R2888" s="2" t="s">
        <v>78</v>
      </c>
      <c r="S2888" s="2" t="s">
        <v>78</v>
      </c>
      <c r="T2888" s="2">
        <v>1</v>
      </c>
      <c r="U2888" s="2" t="s">
        <v>79</v>
      </c>
      <c r="V2888" s="2">
        <v>1</v>
      </c>
      <c r="W2888" s="2" t="s">
        <v>80</v>
      </c>
      <c r="X2888" s="2">
        <v>12</v>
      </c>
      <c r="Y2888" s="2" t="s">
        <v>148</v>
      </c>
      <c r="Z2888" s="2">
        <v>1</v>
      </c>
      <c r="AA2888" s="2" t="s">
        <v>82</v>
      </c>
      <c r="AB2888" s="2">
        <v>6</v>
      </c>
      <c r="AC2888" s="2" t="s">
        <v>83</v>
      </c>
      <c r="AD2888" s="3">
        <v>40373</v>
      </c>
      <c r="AE2888" s="2"/>
      <c r="AF2888" s="3">
        <v>40373</v>
      </c>
      <c r="AG2888" s="4">
        <v>0.97916666666666663</v>
      </c>
      <c r="AH2888" s="2">
        <v>2</v>
      </c>
      <c r="AI2888" s="2" t="s">
        <v>84</v>
      </c>
      <c r="AJ2888" s="2">
        <v>12</v>
      </c>
      <c r="AK2888" s="2" t="s">
        <v>85</v>
      </c>
      <c r="AL2888" s="2">
        <v>22</v>
      </c>
      <c r="AM2888" s="2" t="s">
        <v>1853</v>
      </c>
      <c r="AN2888" s="2" t="s">
        <v>9549</v>
      </c>
      <c r="AO2888" s="2" t="s">
        <v>9550</v>
      </c>
      <c r="AP2888" s="2">
        <v>11</v>
      </c>
      <c r="AQ2888" s="2" t="s">
        <v>82</v>
      </c>
      <c r="AR2888" s="2"/>
      <c r="AS2888" s="2"/>
      <c r="AT2888" s="2" t="s">
        <v>9551</v>
      </c>
      <c r="AU2888" s="2"/>
      <c r="AV2888" s="2"/>
      <c r="AW2888" s="2"/>
      <c r="AX2888" s="2"/>
      <c r="AY2888" s="2">
        <v>41</v>
      </c>
      <c r="AZ2888" s="2" t="s">
        <v>82</v>
      </c>
      <c r="BA2888" s="2">
        <v>41</v>
      </c>
      <c r="BB2888" s="2" t="s">
        <v>82</v>
      </c>
      <c r="BC2888" s="2">
        <v>41</v>
      </c>
      <c r="BD2888" s="2" t="s">
        <v>82</v>
      </c>
      <c r="BE2888" s="2">
        <v>13</v>
      </c>
      <c r="BF2888" s="2" t="s">
        <v>108</v>
      </c>
      <c r="BG2888" s="2" t="s">
        <v>9552</v>
      </c>
      <c r="BH2888" s="2"/>
      <c r="BI2888" s="2"/>
      <c r="BJ2888" s="2">
        <v>13</v>
      </c>
      <c r="BK2888" s="2" t="s">
        <v>91</v>
      </c>
      <c r="BL2888" s="2" t="s">
        <v>185</v>
      </c>
      <c r="BM2888" s="2">
        <v>241</v>
      </c>
      <c r="BN2888" s="2" t="s">
        <v>82</v>
      </c>
      <c r="BO2888" s="2"/>
      <c r="BP2888" s="2">
        <v>13</v>
      </c>
      <c r="BQ2888" s="2" t="s">
        <v>91</v>
      </c>
      <c r="BR2888" s="2" t="s">
        <v>854</v>
      </c>
      <c r="BS2888" s="3">
        <v>40374</v>
      </c>
      <c r="BT2888" s="4">
        <v>0.21548611111111113</v>
      </c>
    </row>
    <row r="2889" spans="1:72" x14ac:dyDescent="0.25">
      <c r="A2889" s="2">
        <v>4242</v>
      </c>
      <c r="B2889" s="2">
        <v>2010</v>
      </c>
      <c r="C2889" s="2" t="s">
        <v>4543</v>
      </c>
      <c r="D2889" s="2" t="s">
        <v>122</v>
      </c>
      <c r="E2889" s="2"/>
      <c r="F2889" s="2">
        <v>1</v>
      </c>
      <c r="G2889" s="2" t="s">
        <v>82</v>
      </c>
      <c r="H2889" s="2">
        <v>1</v>
      </c>
      <c r="I2889" s="2" t="s">
        <v>82</v>
      </c>
      <c r="J2889" s="2">
        <v>1</v>
      </c>
      <c r="K2889" s="2" t="s">
        <v>107</v>
      </c>
      <c r="L2889" s="2" t="s">
        <v>107</v>
      </c>
      <c r="M2889" s="3">
        <v>40374</v>
      </c>
      <c r="N2889" s="2" t="s">
        <v>82</v>
      </c>
      <c r="O2889" s="2" t="s">
        <v>82</v>
      </c>
      <c r="P2889" s="2" t="s">
        <v>82</v>
      </c>
      <c r="Q2889" s="2" t="str">
        <f>"N/C"</f>
        <v>N/C</v>
      </c>
      <c r="R2889" s="2" t="s">
        <v>82</v>
      </c>
      <c r="S2889" s="2" t="s">
        <v>82</v>
      </c>
      <c r="T2889" s="2">
        <v>2</v>
      </c>
      <c r="U2889" s="2" t="s">
        <v>123</v>
      </c>
      <c r="V2889" s="2">
        <v>1</v>
      </c>
      <c r="W2889" s="2" t="s">
        <v>80</v>
      </c>
      <c r="X2889" s="2">
        <v>11</v>
      </c>
      <c r="Y2889" s="2" t="s">
        <v>1920</v>
      </c>
      <c r="Z2889" s="2">
        <v>1</v>
      </c>
      <c r="AA2889" s="2" t="s">
        <v>82</v>
      </c>
      <c r="AB2889" s="2">
        <v>9</v>
      </c>
      <c r="AC2889" s="2" t="s">
        <v>124</v>
      </c>
      <c r="AD2889" s="3">
        <v>40374</v>
      </c>
      <c r="AE2889" s="4">
        <v>0.16666666666666666</v>
      </c>
      <c r="AF2889" s="2"/>
      <c r="AG2889" s="2"/>
      <c r="AH2889" s="2">
        <v>6</v>
      </c>
      <c r="AI2889" s="2" t="s">
        <v>197</v>
      </c>
      <c r="AJ2889" s="2">
        <v>54</v>
      </c>
      <c r="AK2889" s="2" t="s">
        <v>348</v>
      </c>
      <c r="AL2889" s="2">
        <v>19</v>
      </c>
      <c r="AM2889" s="2" t="s">
        <v>107</v>
      </c>
      <c r="AN2889" s="2" t="s">
        <v>595</v>
      </c>
      <c r="AO2889" s="2" t="s">
        <v>200</v>
      </c>
      <c r="AP2889" s="2">
        <v>12</v>
      </c>
      <c r="AQ2889" s="2" t="s">
        <v>322</v>
      </c>
      <c r="AR2889" s="2" t="s">
        <v>9553</v>
      </c>
      <c r="AS2889" s="2" t="s">
        <v>9553</v>
      </c>
      <c r="AT2889" s="2" t="s">
        <v>9554</v>
      </c>
      <c r="AU2889" s="2"/>
      <c r="AV2889" s="2"/>
      <c r="AW2889" s="2"/>
      <c r="AX2889" s="2"/>
      <c r="AY2889" s="2">
        <v>41</v>
      </c>
      <c r="AZ2889" s="2" t="s">
        <v>82</v>
      </c>
      <c r="BA2889" s="2">
        <v>41</v>
      </c>
      <c r="BB2889" s="2" t="s">
        <v>82</v>
      </c>
      <c r="BC2889" s="2">
        <v>41</v>
      </c>
      <c r="BD2889" s="2" t="s">
        <v>82</v>
      </c>
      <c r="BE2889" s="2">
        <v>47</v>
      </c>
      <c r="BF2889" s="2" t="s">
        <v>167</v>
      </c>
      <c r="BG2889" s="2">
        <v>2831</v>
      </c>
      <c r="BH2889" s="4">
        <v>4.1666666666666664E-2</v>
      </c>
      <c r="BI2889" s="4">
        <v>0.2673611111111111</v>
      </c>
      <c r="BJ2889" s="2">
        <v>13</v>
      </c>
      <c r="BK2889" s="2" t="s">
        <v>91</v>
      </c>
      <c r="BL2889" s="2" t="s">
        <v>2469</v>
      </c>
      <c r="BM2889" s="2">
        <v>242</v>
      </c>
      <c r="BN2889" s="2" t="s">
        <v>107</v>
      </c>
      <c r="BO2889" s="2" t="s">
        <v>107</v>
      </c>
      <c r="BP2889" s="2">
        <v>13</v>
      </c>
      <c r="BQ2889" s="2" t="s">
        <v>91</v>
      </c>
      <c r="BR2889" s="2" t="s">
        <v>905</v>
      </c>
      <c r="BS2889" s="3">
        <v>40374</v>
      </c>
      <c r="BT2889" s="4">
        <v>0.28945601851851849</v>
      </c>
    </row>
    <row r="2890" spans="1:72" x14ac:dyDescent="0.25">
      <c r="A2890" s="2">
        <v>4243</v>
      </c>
      <c r="B2890" s="2">
        <v>2010</v>
      </c>
      <c r="C2890" s="2" t="s">
        <v>93</v>
      </c>
      <c r="D2890" s="2" t="s">
        <v>122</v>
      </c>
      <c r="E2890" s="2" t="s">
        <v>9555</v>
      </c>
      <c r="F2890" s="2">
        <v>653</v>
      </c>
      <c r="G2890" s="2" t="s">
        <v>9537</v>
      </c>
      <c r="H2890" s="2">
        <v>22</v>
      </c>
      <c r="I2890" s="2" t="s">
        <v>75</v>
      </c>
      <c r="J2890" s="2">
        <v>616</v>
      </c>
      <c r="K2890" s="2" t="s">
        <v>9538</v>
      </c>
      <c r="L2890" s="2" t="s">
        <v>9539</v>
      </c>
      <c r="M2890" s="3">
        <v>40374</v>
      </c>
      <c r="N2890" s="2" t="s">
        <v>9540</v>
      </c>
      <c r="O2890" s="2" t="s">
        <v>9541</v>
      </c>
      <c r="P2890" s="2" t="s">
        <v>203</v>
      </c>
      <c r="Q2890" s="2" t="str">
        <f>"N/C"</f>
        <v>N/C</v>
      </c>
      <c r="R2890" s="2" t="s">
        <v>82</v>
      </c>
      <c r="S2890" s="2"/>
      <c r="T2890" s="2">
        <v>1</v>
      </c>
      <c r="U2890" s="2" t="s">
        <v>79</v>
      </c>
      <c r="V2890" s="2">
        <v>1</v>
      </c>
      <c r="W2890" s="2" t="s">
        <v>80</v>
      </c>
      <c r="X2890" s="2">
        <v>10</v>
      </c>
      <c r="Y2890" s="2" t="s">
        <v>226</v>
      </c>
      <c r="Z2890" s="2">
        <v>6</v>
      </c>
      <c r="AA2890" s="2" t="s">
        <v>101</v>
      </c>
      <c r="AB2890" s="2">
        <v>2</v>
      </c>
      <c r="AC2890" s="2" t="s">
        <v>102</v>
      </c>
      <c r="AD2890" s="3">
        <v>40373</v>
      </c>
      <c r="AE2890" s="4">
        <v>0.70833333333333337</v>
      </c>
      <c r="AF2890" s="2"/>
      <c r="AG2890" s="2"/>
      <c r="AH2890" s="2">
        <v>2</v>
      </c>
      <c r="AI2890" s="2" t="s">
        <v>84</v>
      </c>
      <c r="AJ2890" s="2">
        <v>9</v>
      </c>
      <c r="AK2890" s="2" t="s">
        <v>103</v>
      </c>
      <c r="AL2890" s="2">
        <v>14</v>
      </c>
      <c r="AM2890" s="2" t="s">
        <v>216</v>
      </c>
      <c r="AN2890" s="2" t="s">
        <v>6404</v>
      </c>
      <c r="AO2890" s="2" t="s">
        <v>4220</v>
      </c>
      <c r="AP2890" s="2">
        <v>11</v>
      </c>
      <c r="AQ2890" s="2" t="s">
        <v>82</v>
      </c>
      <c r="AR2890" s="2"/>
      <c r="AS2890" s="2"/>
      <c r="AT2890" s="2" t="s">
        <v>9556</v>
      </c>
      <c r="AU2890" s="2">
        <v>1</v>
      </c>
      <c r="AV2890" s="2"/>
      <c r="AW2890" s="2"/>
      <c r="AX2890" s="2"/>
      <c r="AY2890" s="2">
        <v>41</v>
      </c>
      <c r="AZ2890" s="2" t="s">
        <v>82</v>
      </c>
      <c r="BA2890" s="2">
        <v>41</v>
      </c>
      <c r="BB2890" s="2" t="s">
        <v>82</v>
      </c>
      <c r="BC2890" s="2">
        <v>41</v>
      </c>
      <c r="BD2890" s="2" t="s">
        <v>82</v>
      </c>
      <c r="BE2890" s="2">
        <v>18</v>
      </c>
      <c r="BF2890" s="2" t="s">
        <v>1091</v>
      </c>
      <c r="BG2890" s="2" t="s">
        <v>5024</v>
      </c>
      <c r="BH2890" s="4">
        <v>0.67708333333333337</v>
      </c>
      <c r="BI2890" s="2"/>
      <c r="BJ2890" s="2">
        <v>205</v>
      </c>
      <c r="BK2890" s="2" t="s">
        <v>1085</v>
      </c>
      <c r="BL2890" s="2" t="s">
        <v>1086</v>
      </c>
      <c r="BM2890" s="2">
        <v>241</v>
      </c>
      <c r="BN2890" s="2" t="s">
        <v>82</v>
      </c>
      <c r="BO2890" s="2"/>
      <c r="BP2890" s="2">
        <v>13</v>
      </c>
      <c r="BQ2890" s="2" t="s">
        <v>91</v>
      </c>
      <c r="BR2890" s="2" t="s">
        <v>2592</v>
      </c>
      <c r="BS2890" s="3">
        <v>40374</v>
      </c>
      <c r="BT2890" s="4">
        <v>0.34368055555555554</v>
      </c>
    </row>
    <row r="2891" spans="1:72" x14ac:dyDescent="0.25">
      <c r="A2891" s="2">
        <v>4244</v>
      </c>
      <c r="B2891" s="2">
        <v>2010</v>
      </c>
      <c r="C2891" s="2" t="s">
        <v>171</v>
      </c>
      <c r="D2891" s="2" t="s">
        <v>122</v>
      </c>
      <c r="E2891" s="2" t="s">
        <v>9557</v>
      </c>
      <c r="F2891" s="2">
        <v>512</v>
      </c>
      <c r="G2891" s="2" t="s">
        <v>9544</v>
      </c>
      <c r="H2891" s="2">
        <v>9</v>
      </c>
      <c r="I2891" s="2" t="s">
        <v>794</v>
      </c>
      <c r="J2891" s="2">
        <v>166</v>
      </c>
      <c r="K2891" s="2" t="s">
        <v>795</v>
      </c>
      <c r="L2891" s="2" t="s">
        <v>796</v>
      </c>
      <c r="M2891" s="3">
        <v>40374</v>
      </c>
      <c r="N2891" s="2" t="s">
        <v>9367</v>
      </c>
      <c r="O2891" s="2"/>
      <c r="P2891" s="2"/>
      <c r="Q2891" s="2" t="str">
        <f>"260-A/10"</f>
        <v>260-A/10</v>
      </c>
      <c r="R2891" s="2" t="s">
        <v>489</v>
      </c>
      <c r="S2891" s="2"/>
      <c r="T2891" s="2">
        <v>1</v>
      </c>
      <c r="U2891" s="2" t="s">
        <v>79</v>
      </c>
      <c r="V2891" s="2">
        <v>1</v>
      </c>
      <c r="W2891" s="2" t="s">
        <v>80</v>
      </c>
      <c r="X2891" s="2">
        <v>1</v>
      </c>
      <c r="Y2891" s="2" t="s">
        <v>81</v>
      </c>
      <c r="Z2891" s="2">
        <v>1</v>
      </c>
      <c r="AA2891" s="2" t="s">
        <v>82</v>
      </c>
      <c r="AB2891" s="2">
        <v>1</v>
      </c>
      <c r="AC2891" s="2" t="s">
        <v>178</v>
      </c>
      <c r="AD2891" s="3">
        <v>40373</v>
      </c>
      <c r="AE2891" s="4">
        <v>0.76388888888888884</v>
      </c>
      <c r="AF2891" s="2"/>
      <c r="AG2891" s="2"/>
      <c r="AH2891" s="2">
        <v>2</v>
      </c>
      <c r="AI2891" s="2" t="s">
        <v>84</v>
      </c>
      <c r="AJ2891" s="2">
        <v>12</v>
      </c>
      <c r="AK2891" s="2" t="s">
        <v>85</v>
      </c>
      <c r="AL2891" s="2">
        <v>11</v>
      </c>
      <c r="AM2891" s="2" t="s">
        <v>137</v>
      </c>
      <c r="AN2891" s="2" t="s">
        <v>1424</v>
      </c>
      <c r="AO2891" s="2" t="s">
        <v>5079</v>
      </c>
      <c r="AP2891" s="2">
        <v>11</v>
      </c>
      <c r="AQ2891" s="2" t="s">
        <v>82</v>
      </c>
      <c r="AR2891" s="2"/>
      <c r="AS2891" s="2"/>
      <c r="AT2891" s="2" t="s">
        <v>9558</v>
      </c>
      <c r="AU2891" s="2">
        <v>1</v>
      </c>
      <c r="AV2891" s="2"/>
      <c r="AW2891" s="2"/>
      <c r="AX2891" s="2"/>
      <c r="AY2891" s="2">
        <v>41</v>
      </c>
      <c r="AZ2891" s="2" t="s">
        <v>82</v>
      </c>
      <c r="BA2891" s="2">
        <v>41</v>
      </c>
      <c r="BB2891" s="2" t="s">
        <v>82</v>
      </c>
      <c r="BC2891" s="2">
        <v>41</v>
      </c>
      <c r="BD2891" s="2" t="s">
        <v>82</v>
      </c>
      <c r="BE2891" s="2">
        <v>13</v>
      </c>
      <c r="BF2891" s="2" t="s">
        <v>108</v>
      </c>
      <c r="BG2891" s="2" t="s">
        <v>9547</v>
      </c>
      <c r="BH2891" s="2"/>
      <c r="BI2891" s="4">
        <v>0.79513888888888884</v>
      </c>
      <c r="BJ2891" s="2">
        <v>13</v>
      </c>
      <c r="BK2891" s="2" t="s">
        <v>91</v>
      </c>
      <c r="BL2891" s="2" t="s">
        <v>185</v>
      </c>
      <c r="BM2891" s="2">
        <v>241</v>
      </c>
      <c r="BN2891" s="2" t="s">
        <v>82</v>
      </c>
      <c r="BO2891" s="2"/>
      <c r="BP2891" s="2">
        <v>13</v>
      </c>
      <c r="BQ2891" s="2" t="s">
        <v>91</v>
      </c>
      <c r="BR2891" s="2" t="s">
        <v>828</v>
      </c>
      <c r="BS2891" s="3">
        <v>40374</v>
      </c>
      <c r="BT2891" s="4">
        <v>0.34616898148148145</v>
      </c>
    </row>
    <row r="2892" spans="1:72" x14ac:dyDescent="0.25">
      <c r="A2892" s="2">
        <v>4250</v>
      </c>
      <c r="B2892" s="2">
        <v>2010</v>
      </c>
      <c r="C2892" s="2" t="s">
        <v>554</v>
      </c>
      <c r="D2892" s="2" t="s">
        <v>73</v>
      </c>
      <c r="E2892" s="2"/>
      <c r="F2892" s="2">
        <v>650</v>
      </c>
      <c r="G2892" s="2" t="s">
        <v>9158</v>
      </c>
      <c r="H2892" s="2">
        <v>22</v>
      </c>
      <c r="I2892" s="2" t="s">
        <v>75</v>
      </c>
      <c r="J2892" s="2">
        <v>606</v>
      </c>
      <c r="K2892" s="2" t="s">
        <v>9068</v>
      </c>
      <c r="L2892" s="2" t="s">
        <v>9069</v>
      </c>
      <c r="M2892" s="3">
        <v>40374</v>
      </c>
      <c r="N2892" s="2" t="s">
        <v>9508</v>
      </c>
      <c r="O2892" s="2"/>
      <c r="P2892" s="2"/>
      <c r="Q2892" s="2" t="str">
        <f>"262-A/10"</f>
        <v>262-A/10</v>
      </c>
      <c r="R2892" s="2" t="s">
        <v>1130</v>
      </c>
      <c r="S2892" s="2"/>
      <c r="T2892" s="2">
        <v>1</v>
      </c>
      <c r="U2892" s="2" t="s">
        <v>79</v>
      </c>
      <c r="V2892" s="2">
        <v>1</v>
      </c>
      <c r="W2892" s="2" t="s">
        <v>80</v>
      </c>
      <c r="X2892" s="2">
        <v>12</v>
      </c>
      <c r="Y2892" s="2" t="s">
        <v>148</v>
      </c>
      <c r="Z2892" s="2">
        <v>1</v>
      </c>
      <c r="AA2892" s="2" t="s">
        <v>82</v>
      </c>
      <c r="AB2892" s="2">
        <v>5</v>
      </c>
      <c r="AC2892" s="2" t="s">
        <v>559</v>
      </c>
      <c r="AD2892" s="3">
        <v>40374</v>
      </c>
      <c r="AE2892" s="2"/>
      <c r="AF2892" s="3">
        <v>40374</v>
      </c>
      <c r="AG2892" s="4">
        <v>0.41666666666666669</v>
      </c>
      <c r="AH2892" s="2">
        <v>2</v>
      </c>
      <c r="AI2892" s="2" t="s">
        <v>84</v>
      </c>
      <c r="AJ2892" s="2">
        <v>12</v>
      </c>
      <c r="AK2892" s="2" t="s">
        <v>85</v>
      </c>
      <c r="AL2892" s="2">
        <v>17</v>
      </c>
      <c r="AM2892" s="2" t="s">
        <v>232</v>
      </c>
      <c r="AN2892" s="2" t="s">
        <v>9559</v>
      </c>
      <c r="AO2892" s="2"/>
      <c r="AP2892" s="2">
        <v>11</v>
      </c>
      <c r="AQ2892" s="2" t="s">
        <v>82</v>
      </c>
      <c r="AR2892" s="2"/>
      <c r="AS2892" s="2"/>
      <c r="AT2892" s="2" t="s">
        <v>9560</v>
      </c>
      <c r="AU2892" s="2"/>
      <c r="AV2892" s="2"/>
      <c r="AW2892" s="2"/>
      <c r="AX2892" s="2"/>
      <c r="AY2892" s="2">
        <v>41</v>
      </c>
      <c r="AZ2892" s="2" t="s">
        <v>82</v>
      </c>
      <c r="BA2892" s="2">
        <v>41</v>
      </c>
      <c r="BB2892" s="2" t="s">
        <v>82</v>
      </c>
      <c r="BC2892" s="2">
        <v>41</v>
      </c>
      <c r="BD2892" s="2" t="s">
        <v>82</v>
      </c>
      <c r="BE2892" s="2">
        <v>41</v>
      </c>
      <c r="BF2892" s="2" t="s">
        <v>82</v>
      </c>
      <c r="BG2892" s="2"/>
      <c r="BH2892" s="2"/>
      <c r="BI2892" s="2"/>
      <c r="BJ2892" s="2">
        <v>241</v>
      </c>
      <c r="BK2892" s="2" t="s">
        <v>82</v>
      </c>
      <c r="BL2892" s="2"/>
      <c r="BM2892" s="2">
        <v>241</v>
      </c>
      <c r="BN2892" s="2" t="s">
        <v>82</v>
      </c>
      <c r="BO2892" s="2"/>
      <c r="BP2892" s="2">
        <v>241</v>
      </c>
      <c r="BQ2892" s="2" t="s">
        <v>82</v>
      </c>
      <c r="BR2892" s="2"/>
      <c r="BS2892" s="3">
        <v>40374</v>
      </c>
      <c r="BT2892" s="4">
        <v>0.50318287037037035</v>
      </c>
    </row>
    <row r="2893" spans="1:72" x14ac:dyDescent="0.25">
      <c r="A2893" s="2">
        <v>4251</v>
      </c>
      <c r="B2893" s="2">
        <v>2010</v>
      </c>
      <c r="C2893" s="2" t="s">
        <v>4543</v>
      </c>
      <c r="D2893" s="2" t="s">
        <v>122</v>
      </c>
      <c r="E2893" s="2"/>
      <c r="F2893" s="2">
        <v>1</v>
      </c>
      <c r="G2893" s="2" t="s">
        <v>82</v>
      </c>
      <c r="H2893" s="2">
        <v>1</v>
      </c>
      <c r="I2893" s="2" t="s">
        <v>82</v>
      </c>
      <c r="J2893" s="2">
        <v>1</v>
      </c>
      <c r="K2893" s="2" t="s">
        <v>107</v>
      </c>
      <c r="L2893" s="2" t="s">
        <v>107</v>
      </c>
      <c r="M2893" s="3">
        <v>40374</v>
      </c>
      <c r="N2893" s="2" t="s">
        <v>82</v>
      </c>
      <c r="O2893" s="2" t="s">
        <v>82</v>
      </c>
      <c r="P2893" s="2" t="s">
        <v>82</v>
      </c>
      <c r="Q2893" s="2" t="str">
        <f>"N/C"</f>
        <v>N/C</v>
      </c>
      <c r="R2893" s="2" t="s">
        <v>82</v>
      </c>
      <c r="S2893" s="2" t="s">
        <v>82</v>
      </c>
      <c r="T2893" s="2">
        <v>2</v>
      </c>
      <c r="U2893" s="2" t="s">
        <v>123</v>
      </c>
      <c r="V2893" s="2">
        <v>1</v>
      </c>
      <c r="W2893" s="2" t="s">
        <v>80</v>
      </c>
      <c r="X2893" s="2">
        <v>11</v>
      </c>
      <c r="Y2893" s="2" t="s">
        <v>1920</v>
      </c>
      <c r="Z2893" s="2">
        <v>1</v>
      </c>
      <c r="AA2893" s="2" t="s">
        <v>82</v>
      </c>
      <c r="AB2893" s="2">
        <v>9</v>
      </c>
      <c r="AC2893" s="2" t="s">
        <v>124</v>
      </c>
      <c r="AD2893" s="3">
        <v>40374</v>
      </c>
      <c r="AE2893" s="4">
        <v>0.4861111111111111</v>
      </c>
      <c r="AF2893" s="2"/>
      <c r="AG2893" s="2"/>
      <c r="AH2893" s="2">
        <v>6</v>
      </c>
      <c r="AI2893" s="2" t="s">
        <v>197</v>
      </c>
      <c r="AJ2893" s="2">
        <v>54</v>
      </c>
      <c r="AK2893" s="2" t="s">
        <v>348</v>
      </c>
      <c r="AL2893" s="2">
        <v>19</v>
      </c>
      <c r="AM2893" s="2" t="s">
        <v>107</v>
      </c>
      <c r="AN2893" s="2" t="s">
        <v>2282</v>
      </c>
      <c r="AO2893" s="2" t="s">
        <v>200</v>
      </c>
      <c r="AP2893" s="2">
        <v>12</v>
      </c>
      <c r="AQ2893" s="2" t="s">
        <v>322</v>
      </c>
      <c r="AR2893" s="2" t="s">
        <v>9553</v>
      </c>
      <c r="AS2893" s="2" t="s">
        <v>9553</v>
      </c>
      <c r="AT2893" s="2" t="s">
        <v>9561</v>
      </c>
      <c r="AU2893" s="2"/>
      <c r="AV2893" s="2"/>
      <c r="AW2893" s="2"/>
      <c r="AX2893" s="2"/>
      <c r="AY2893" s="2">
        <v>41</v>
      </c>
      <c r="AZ2893" s="2" t="s">
        <v>82</v>
      </c>
      <c r="BA2893" s="2">
        <v>41</v>
      </c>
      <c r="BB2893" s="2" t="s">
        <v>82</v>
      </c>
      <c r="BC2893" s="2">
        <v>41</v>
      </c>
      <c r="BD2893" s="2" t="s">
        <v>82</v>
      </c>
      <c r="BE2893" s="2">
        <v>47</v>
      </c>
      <c r="BF2893" s="2" t="s">
        <v>167</v>
      </c>
      <c r="BG2893" s="2">
        <v>2833</v>
      </c>
      <c r="BH2893" s="4">
        <v>0.44097222222222227</v>
      </c>
      <c r="BI2893" s="4">
        <v>0.4861111111111111</v>
      </c>
      <c r="BJ2893" s="2">
        <v>13</v>
      </c>
      <c r="BK2893" s="2" t="s">
        <v>91</v>
      </c>
      <c r="BL2893" s="2" t="s">
        <v>7629</v>
      </c>
      <c r="BM2893" s="2">
        <v>242</v>
      </c>
      <c r="BN2893" s="2" t="s">
        <v>107</v>
      </c>
      <c r="BO2893" s="2" t="s">
        <v>107</v>
      </c>
      <c r="BP2893" s="2">
        <v>13</v>
      </c>
      <c r="BQ2893" s="2" t="s">
        <v>91</v>
      </c>
      <c r="BR2893" s="2" t="s">
        <v>9562</v>
      </c>
      <c r="BS2893" s="3">
        <v>40374</v>
      </c>
      <c r="BT2893" s="4">
        <v>0.50383101851851853</v>
      </c>
    </row>
    <row r="2894" spans="1:72" x14ac:dyDescent="0.25">
      <c r="A2894" s="2">
        <v>4259</v>
      </c>
      <c r="B2894" s="2">
        <v>2010</v>
      </c>
      <c r="C2894" s="2" t="s">
        <v>1568</v>
      </c>
      <c r="D2894" s="2" t="s">
        <v>73</v>
      </c>
      <c r="E2894" s="2"/>
      <c r="F2894" s="2">
        <v>284</v>
      </c>
      <c r="G2894" s="2" t="s">
        <v>5196</v>
      </c>
      <c r="H2894" s="2">
        <v>22</v>
      </c>
      <c r="I2894" s="2" t="s">
        <v>75</v>
      </c>
      <c r="J2894" s="2">
        <v>619</v>
      </c>
      <c r="K2894" s="2" t="s">
        <v>9563</v>
      </c>
      <c r="L2894" s="2" t="s">
        <v>9564</v>
      </c>
      <c r="M2894" s="3">
        <v>40374</v>
      </c>
      <c r="N2894" s="2" t="s">
        <v>9565</v>
      </c>
      <c r="O2894" s="2"/>
      <c r="P2894" s="2"/>
      <c r="Q2894" s="2" t="str">
        <f>"0009/2010"</f>
        <v>0009/2010</v>
      </c>
      <c r="R2894" s="2"/>
      <c r="S2894" s="2" t="s">
        <v>9566</v>
      </c>
      <c r="T2894" s="2">
        <v>1</v>
      </c>
      <c r="U2894" s="2" t="s">
        <v>79</v>
      </c>
      <c r="V2894" s="2">
        <v>1</v>
      </c>
      <c r="W2894" s="2" t="s">
        <v>80</v>
      </c>
      <c r="X2894" s="2">
        <v>1</v>
      </c>
      <c r="Y2894" s="2" t="s">
        <v>81</v>
      </c>
      <c r="Z2894" s="2">
        <v>1</v>
      </c>
      <c r="AA2894" s="2" t="s">
        <v>82</v>
      </c>
      <c r="AB2894" s="2">
        <v>4</v>
      </c>
      <c r="AC2894" s="2" t="s">
        <v>1569</v>
      </c>
      <c r="AD2894" s="3">
        <v>40374</v>
      </c>
      <c r="AE2894" s="4">
        <v>0.40625</v>
      </c>
      <c r="AF2894" s="2"/>
      <c r="AG2894" s="2"/>
      <c r="AH2894" s="2">
        <v>5</v>
      </c>
      <c r="AI2894" s="2" t="s">
        <v>274</v>
      </c>
      <c r="AJ2894" s="2">
        <v>43</v>
      </c>
      <c r="AK2894" s="2" t="s">
        <v>918</v>
      </c>
      <c r="AL2894" s="2">
        <v>11</v>
      </c>
      <c r="AM2894" s="2" t="s">
        <v>137</v>
      </c>
      <c r="AN2894" s="2"/>
      <c r="AO2894" s="2" t="s">
        <v>987</v>
      </c>
      <c r="AP2894" s="2">
        <v>11</v>
      </c>
      <c r="AQ2894" s="2" t="s">
        <v>82</v>
      </c>
      <c r="AR2894" s="2"/>
      <c r="AS2894" s="2"/>
      <c r="AT2894" s="2" t="s">
        <v>9567</v>
      </c>
      <c r="AU2894" s="2"/>
      <c r="AV2894" s="2"/>
      <c r="AW2894" s="2"/>
      <c r="AX2894" s="2"/>
      <c r="AY2894" s="2">
        <v>1</v>
      </c>
      <c r="AZ2894" s="2" t="s">
        <v>107</v>
      </c>
      <c r="BA2894" s="2">
        <v>1</v>
      </c>
      <c r="BB2894" s="2" t="s">
        <v>107</v>
      </c>
      <c r="BC2894" s="2">
        <v>1</v>
      </c>
      <c r="BD2894" s="2" t="s">
        <v>107</v>
      </c>
      <c r="BE2894" s="2">
        <v>13</v>
      </c>
      <c r="BF2894" s="2" t="s">
        <v>108</v>
      </c>
      <c r="BG2894" s="2">
        <v>1783</v>
      </c>
      <c r="BH2894" s="4">
        <v>0.44791666666666669</v>
      </c>
      <c r="BI2894" s="4">
        <v>0.48541666666666666</v>
      </c>
      <c r="BJ2894" s="2">
        <v>13</v>
      </c>
      <c r="BK2894" s="2" t="s">
        <v>91</v>
      </c>
      <c r="BL2894" s="2" t="s">
        <v>6130</v>
      </c>
      <c r="BM2894" s="2">
        <v>241</v>
      </c>
      <c r="BN2894" s="2" t="s">
        <v>82</v>
      </c>
      <c r="BO2894" s="2"/>
      <c r="BP2894" s="2">
        <v>13</v>
      </c>
      <c r="BQ2894" s="2" t="s">
        <v>91</v>
      </c>
      <c r="BR2894" s="2" t="s">
        <v>170</v>
      </c>
      <c r="BS2894" s="3">
        <v>40374</v>
      </c>
      <c r="BT2894" s="4">
        <v>0.62342592592592594</v>
      </c>
    </row>
    <row r="2895" spans="1:72" x14ac:dyDescent="0.25">
      <c r="A2895" s="2">
        <v>4261</v>
      </c>
      <c r="B2895" s="2">
        <v>2010</v>
      </c>
      <c r="C2895" s="2" t="s">
        <v>72</v>
      </c>
      <c r="D2895" s="2" t="s">
        <v>73</v>
      </c>
      <c r="E2895" s="2"/>
      <c r="F2895" s="2">
        <v>390</v>
      </c>
      <c r="G2895" s="2" t="s">
        <v>475</v>
      </c>
      <c r="H2895" s="2">
        <v>71</v>
      </c>
      <c r="I2895" s="2" t="s">
        <v>335</v>
      </c>
      <c r="J2895" s="2">
        <v>399</v>
      </c>
      <c r="K2895" s="2" t="s">
        <v>1820</v>
      </c>
      <c r="L2895" s="2" t="s">
        <v>1821</v>
      </c>
      <c r="M2895" s="3">
        <v>40374</v>
      </c>
      <c r="N2895" s="2" t="s">
        <v>9075</v>
      </c>
      <c r="O2895" s="2"/>
      <c r="P2895" s="2"/>
      <c r="Q2895" s="2" t="str">
        <f>"368-E/10"</f>
        <v>368-E/10</v>
      </c>
      <c r="R2895" s="2" t="s">
        <v>9568</v>
      </c>
      <c r="S2895" s="2"/>
      <c r="T2895" s="2">
        <v>1</v>
      </c>
      <c r="U2895" s="2" t="s">
        <v>79</v>
      </c>
      <c r="V2895" s="2">
        <v>1</v>
      </c>
      <c r="W2895" s="2" t="s">
        <v>80</v>
      </c>
      <c r="X2895" s="2">
        <v>12</v>
      </c>
      <c r="Y2895" s="2" t="s">
        <v>148</v>
      </c>
      <c r="Z2895" s="2">
        <v>1</v>
      </c>
      <c r="AA2895" s="2" t="s">
        <v>82</v>
      </c>
      <c r="AB2895" s="2">
        <v>6</v>
      </c>
      <c r="AC2895" s="2" t="s">
        <v>83</v>
      </c>
      <c r="AD2895" s="3">
        <v>40374</v>
      </c>
      <c r="AE2895" s="2"/>
      <c r="AF2895" s="3">
        <v>40374</v>
      </c>
      <c r="AG2895" s="4">
        <v>0.44444444444444442</v>
      </c>
      <c r="AH2895" s="2">
        <v>2</v>
      </c>
      <c r="AI2895" s="2" t="s">
        <v>84</v>
      </c>
      <c r="AJ2895" s="2">
        <v>9</v>
      </c>
      <c r="AK2895" s="2" t="s">
        <v>103</v>
      </c>
      <c r="AL2895" s="2">
        <v>22</v>
      </c>
      <c r="AM2895" s="2" t="s">
        <v>1853</v>
      </c>
      <c r="AN2895" s="2"/>
      <c r="AO2895" s="2" t="s">
        <v>9569</v>
      </c>
      <c r="AP2895" s="2">
        <v>11</v>
      </c>
      <c r="AQ2895" s="2" t="s">
        <v>82</v>
      </c>
      <c r="AR2895" s="2"/>
      <c r="AS2895" s="2"/>
      <c r="AT2895" s="2" t="s">
        <v>9570</v>
      </c>
      <c r="AU2895" s="2"/>
      <c r="AV2895" s="2"/>
      <c r="AW2895" s="2"/>
      <c r="AX2895" s="2"/>
      <c r="AY2895" s="2">
        <v>41</v>
      </c>
      <c r="AZ2895" s="2" t="s">
        <v>82</v>
      </c>
      <c r="BA2895" s="2">
        <v>41</v>
      </c>
      <c r="BB2895" s="2" t="s">
        <v>82</v>
      </c>
      <c r="BC2895" s="2">
        <v>31</v>
      </c>
      <c r="BD2895" s="2" t="s">
        <v>398</v>
      </c>
      <c r="BE2895" s="2">
        <v>31</v>
      </c>
      <c r="BF2895" s="2" t="s">
        <v>398</v>
      </c>
      <c r="BG2895" s="2" t="s">
        <v>1430</v>
      </c>
      <c r="BH2895" s="4">
        <v>0.33333333333333331</v>
      </c>
      <c r="BI2895" s="2"/>
      <c r="BJ2895" s="2">
        <v>73</v>
      </c>
      <c r="BK2895" s="2" t="s">
        <v>186</v>
      </c>
      <c r="BL2895" s="2" t="s">
        <v>187</v>
      </c>
      <c r="BM2895" s="2">
        <v>241</v>
      </c>
      <c r="BN2895" s="2" t="s">
        <v>82</v>
      </c>
      <c r="BO2895" s="2"/>
      <c r="BP2895" s="2">
        <v>13</v>
      </c>
      <c r="BQ2895" s="2" t="s">
        <v>91</v>
      </c>
      <c r="BR2895" s="2" t="s">
        <v>360</v>
      </c>
      <c r="BS2895" s="3">
        <v>40374</v>
      </c>
      <c r="BT2895" s="4">
        <v>0.63733796296296297</v>
      </c>
    </row>
    <row r="2896" spans="1:72" x14ac:dyDescent="0.25">
      <c r="A2896" s="2">
        <v>4263</v>
      </c>
      <c r="B2896" s="2">
        <v>2010</v>
      </c>
      <c r="C2896" s="2" t="s">
        <v>4543</v>
      </c>
      <c r="D2896" s="2" t="s">
        <v>122</v>
      </c>
      <c r="E2896" s="2"/>
      <c r="F2896" s="2">
        <v>385</v>
      </c>
      <c r="G2896" s="2" t="s">
        <v>990</v>
      </c>
      <c r="H2896" s="2">
        <v>30</v>
      </c>
      <c r="I2896" s="2" t="s">
        <v>912</v>
      </c>
      <c r="J2896" s="2">
        <v>332</v>
      </c>
      <c r="K2896" s="2" t="s">
        <v>913</v>
      </c>
      <c r="L2896" s="2" t="s">
        <v>914</v>
      </c>
      <c r="M2896" s="3">
        <v>40374</v>
      </c>
      <c r="N2896" s="2" t="s">
        <v>9571</v>
      </c>
      <c r="O2896" s="2"/>
      <c r="P2896" s="2"/>
      <c r="Q2896" s="2" t="str">
        <f>"10"</f>
        <v>10</v>
      </c>
      <c r="R2896" s="2" t="s">
        <v>9572</v>
      </c>
      <c r="S2896" s="2" t="s">
        <v>9572</v>
      </c>
      <c r="T2896" s="2">
        <v>2</v>
      </c>
      <c r="U2896" s="2" t="s">
        <v>123</v>
      </c>
      <c r="V2896" s="2">
        <v>1</v>
      </c>
      <c r="W2896" s="2" t="s">
        <v>80</v>
      </c>
      <c r="X2896" s="2">
        <v>1</v>
      </c>
      <c r="Y2896" s="2" t="s">
        <v>81</v>
      </c>
      <c r="Z2896" s="2">
        <v>10</v>
      </c>
      <c r="AA2896" s="2" t="s">
        <v>236</v>
      </c>
      <c r="AB2896" s="2">
        <v>9</v>
      </c>
      <c r="AC2896" s="2" t="s">
        <v>124</v>
      </c>
      <c r="AD2896" s="3">
        <v>40374</v>
      </c>
      <c r="AE2896" s="4">
        <v>0.41666666666666669</v>
      </c>
      <c r="AF2896" s="2"/>
      <c r="AG2896" s="2"/>
      <c r="AH2896" s="2">
        <v>5</v>
      </c>
      <c r="AI2896" s="2" t="s">
        <v>274</v>
      </c>
      <c r="AJ2896" s="2">
        <v>43</v>
      </c>
      <c r="AK2896" s="2" t="s">
        <v>918</v>
      </c>
      <c r="AL2896" s="2">
        <v>14</v>
      </c>
      <c r="AM2896" s="2" t="s">
        <v>216</v>
      </c>
      <c r="AN2896" s="2"/>
      <c r="AO2896" s="2" t="s">
        <v>137</v>
      </c>
      <c r="AP2896" s="2">
        <v>5</v>
      </c>
      <c r="AQ2896" s="2" t="s">
        <v>827</v>
      </c>
      <c r="AR2896" s="2"/>
      <c r="AS2896" s="2"/>
      <c r="AT2896" s="2" t="s">
        <v>9573</v>
      </c>
      <c r="AU2896" s="2"/>
      <c r="AV2896" s="2"/>
      <c r="AW2896" s="2"/>
      <c r="AX2896" s="2"/>
      <c r="AY2896" s="2">
        <v>1</v>
      </c>
      <c r="AZ2896" s="2" t="s">
        <v>107</v>
      </c>
      <c r="BA2896" s="2">
        <v>1</v>
      </c>
      <c r="BB2896" s="2" t="s">
        <v>107</v>
      </c>
      <c r="BC2896" s="2">
        <v>1</v>
      </c>
      <c r="BD2896" s="2" t="s">
        <v>107</v>
      </c>
      <c r="BE2896" s="2">
        <v>13</v>
      </c>
      <c r="BF2896" s="2" t="s">
        <v>108</v>
      </c>
      <c r="BG2896" s="2">
        <v>1783</v>
      </c>
      <c r="BH2896" s="4">
        <v>0.44791666666666669</v>
      </c>
      <c r="BI2896" s="4">
        <v>0.48541666666666666</v>
      </c>
      <c r="BJ2896" s="2">
        <v>13</v>
      </c>
      <c r="BK2896" s="2" t="s">
        <v>91</v>
      </c>
      <c r="BL2896" s="2" t="s">
        <v>170</v>
      </c>
      <c r="BM2896" s="2">
        <v>13</v>
      </c>
      <c r="BN2896" s="2" t="s">
        <v>91</v>
      </c>
      <c r="BO2896" s="2" t="s">
        <v>3387</v>
      </c>
      <c r="BP2896" s="2">
        <v>13</v>
      </c>
      <c r="BQ2896" s="2" t="s">
        <v>91</v>
      </c>
      <c r="BR2896" s="2" t="s">
        <v>170</v>
      </c>
      <c r="BS2896" s="3">
        <v>40374</v>
      </c>
      <c r="BT2896" s="4">
        <v>0.7298958333333333</v>
      </c>
    </row>
    <row r="2897" spans="1:72" x14ac:dyDescent="0.25">
      <c r="A2897" s="2">
        <v>4269</v>
      </c>
      <c r="B2897" s="2">
        <v>2010</v>
      </c>
      <c r="C2897" s="2" t="s">
        <v>171</v>
      </c>
      <c r="D2897" s="2" t="s">
        <v>73</v>
      </c>
      <c r="E2897" s="2"/>
      <c r="F2897" s="2">
        <v>9</v>
      </c>
      <c r="G2897" s="2" t="s">
        <v>364</v>
      </c>
      <c r="H2897" s="2">
        <v>44</v>
      </c>
      <c r="I2897" s="2" t="s">
        <v>1272</v>
      </c>
      <c r="J2897" s="2">
        <v>18</v>
      </c>
      <c r="K2897" s="2" t="s">
        <v>365</v>
      </c>
      <c r="L2897" s="2" t="s">
        <v>115</v>
      </c>
      <c r="M2897" s="3">
        <v>40374</v>
      </c>
      <c r="N2897" s="2" t="s">
        <v>5465</v>
      </c>
      <c r="O2897" s="2" t="s">
        <v>9574</v>
      </c>
      <c r="P2897" s="2"/>
      <c r="Q2897" s="2" t="str">
        <f>"39/2010"</f>
        <v>39/2010</v>
      </c>
      <c r="R2897" s="2"/>
      <c r="S2897" s="2" t="s">
        <v>9574</v>
      </c>
      <c r="T2897" s="2">
        <v>1</v>
      </c>
      <c r="U2897" s="2" t="s">
        <v>79</v>
      </c>
      <c r="V2897" s="2">
        <v>1</v>
      </c>
      <c r="W2897" s="2" t="s">
        <v>80</v>
      </c>
      <c r="X2897" s="2">
        <v>1</v>
      </c>
      <c r="Y2897" s="2" t="s">
        <v>81</v>
      </c>
      <c r="Z2897" s="2">
        <v>1</v>
      </c>
      <c r="AA2897" s="2" t="s">
        <v>82</v>
      </c>
      <c r="AB2897" s="2">
        <v>1</v>
      </c>
      <c r="AC2897" s="2" t="s">
        <v>178</v>
      </c>
      <c r="AD2897" s="3">
        <v>40374</v>
      </c>
      <c r="AE2897" s="4">
        <v>0.68055555555555547</v>
      </c>
      <c r="AF2897" s="2"/>
      <c r="AG2897" s="2"/>
      <c r="AH2897" s="2">
        <v>3</v>
      </c>
      <c r="AI2897" s="2" t="s">
        <v>214</v>
      </c>
      <c r="AJ2897" s="2">
        <v>24</v>
      </c>
      <c r="AK2897" s="2" t="s">
        <v>215</v>
      </c>
      <c r="AL2897" s="2">
        <v>25</v>
      </c>
      <c r="AM2897" s="2" t="s">
        <v>3073</v>
      </c>
      <c r="AN2897" s="2" t="s">
        <v>9045</v>
      </c>
      <c r="AO2897" s="2" t="s">
        <v>2331</v>
      </c>
      <c r="AP2897" s="2">
        <v>11</v>
      </c>
      <c r="AQ2897" s="2" t="s">
        <v>82</v>
      </c>
      <c r="AR2897" s="2" t="s">
        <v>82</v>
      </c>
      <c r="AS2897" s="2" t="s">
        <v>82</v>
      </c>
      <c r="AT2897" s="2" t="s">
        <v>9575</v>
      </c>
      <c r="AU2897" s="2">
        <v>1</v>
      </c>
      <c r="AV2897" s="2"/>
      <c r="AW2897" s="2"/>
      <c r="AX2897" s="2"/>
      <c r="AY2897" s="2">
        <v>41</v>
      </c>
      <c r="AZ2897" s="2" t="s">
        <v>82</v>
      </c>
      <c r="BA2897" s="2">
        <v>41</v>
      </c>
      <c r="BB2897" s="2" t="s">
        <v>82</v>
      </c>
      <c r="BC2897" s="2">
        <v>41</v>
      </c>
      <c r="BD2897" s="2" t="s">
        <v>82</v>
      </c>
      <c r="BE2897" s="2">
        <v>13</v>
      </c>
      <c r="BF2897" s="2" t="s">
        <v>108</v>
      </c>
      <c r="BG2897" s="2">
        <v>1419</v>
      </c>
      <c r="BH2897" s="4">
        <v>0.72916666666666663</v>
      </c>
      <c r="BI2897" s="4">
        <v>0.67708333333333337</v>
      </c>
      <c r="BJ2897" s="2">
        <v>13</v>
      </c>
      <c r="BK2897" s="2" t="s">
        <v>91</v>
      </c>
      <c r="BL2897" s="2" t="s">
        <v>169</v>
      </c>
      <c r="BM2897" s="2">
        <v>13</v>
      </c>
      <c r="BN2897" s="2" t="s">
        <v>91</v>
      </c>
      <c r="BO2897" s="2" t="s">
        <v>360</v>
      </c>
      <c r="BP2897" s="2">
        <v>73</v>
      </c>
      <c r="BQ2897" s="2" t="s">
        <v>186</v>
      </c>
      <c r="BR2897" s="2" t="s">
        <v>187</v>
      </c>
      <c r="BS2897" s="3">
        <v>40374</v>
      </c>
      <c r="BT2897" s="4">
        <v>0.82829861111111114</v>
      </c>
    </row>
    <row r="2898" spans="1:72" x14ac:dyDescent="0.25">
      <c r="A2898" s="2">
        <v>4270</v>
      </c>
      <c r="B2898" s="2">
        <v>2010</v>
      </c>
      <c r="C2898" s="2" t="s">
        <v>377</v>
      </c>
      <c r="D2898" s="2" t="s">
        <v>73</v>
      </c>
      <c r="E2898" s="2"/>
      <c r="F2898" s="2">
        <v>426</v>
      </c>
      <c r="G2898" s="2" t="s">
        <v>378</v>
      </c>
      <c r="H2898" s="2">
        <v>22</v>
      </c>
      <c r="I2898" s="2" t="s">
        <v>75</v>
      </c>
      <c r="J2898" s="2">
        <v>311</v>
      </c>
      <c r="K2898" s="2" t="s">
        <v>379</v>
      </c>
      <c r="L2898" s="2" t="s">
        <v>380</v>
      </c>
      <c r="M2898" s="3">
        <v>40374</v>
      </c>
      <c r="N2898" s="2" t="s">
        <v>5164</v>
      </c>
      <c r="O2898" s="2"/>
      <c r="P2898" s="2"/>
      <c r="Q2898" s="2" t="str">
        <f>"161-C/10"</f>
        <v>161-C/10</v>
      </c>
      <c r="R2898" s="2" t="s">
        <v>9576</v>
      </c>
      <c r="S2898" s="2"/>
      <c r="T2898" s="2">
        <v>1</v>
      </c>
      <c r="U2898" s="2" t="s">
        <v>79</v>
      </c>
      <c r="V2898" s="2">
        <v>1</v>
      </c>
      <c r="W2898" s="2" t="s">
        <v>80</v>
      </c>
      <c r="X2898" s="2">
        <v>1</v>
      </c>
      <c r="Y2898" s="2" t="s">
        <v>81</v>
      </c>
      <c r="Z2898" s="2">
        <v>1</v>
      </c>
      <c r="AA2898" s="2" t="s">
        <v>82</v>
      </c>
      <c r="AB2898" s="2">
        <v>9</v>
      </c>
      <c r="AC2898" s="2" t="s">
        <v>124</v>
      </c>
      <c r="AD2898" s="3">
        <v>40374</v>
      </c>
      <c r="AE2898" s="4">
        <v>0.43402777777777773</v>
      </c>
      <c r="AF2898" s="2"/>
      <c r="AG2898" s="2"/>
      <c r="AH2898" s="2">
        <v>2</v>
      </c>
      <c r="AI2898" s="2" t="s">
        <v>84</v>
      </c>
      <c r="AJ2898" s="2">
        <v>9</v>
      </c>
      <c r="AK2898" s="2" t="s">
        <v>103</v>
      </c>
      <c r="AL2898" s="2">
        <v>29</v>
      </c>
      <c r="AM2898" s="2" t="s">
        <v>5416</v>
      </c>
      <c r="AN2898" s="2"/>
      <c r="AO2898" s="2" t="s">
        <v>3166</v>
      </c>
      <c r="AP2898" s="2">
        <v>11</v>
      </c>
      <c r="AQ2898" s="2" t="s">
        <v>82</v>
      </c>
      <c r="AR2898" s="2"/>
      <c r="AS2898" s="2"/>
      <c r="AT2898" s="2" t="s">
        <v>9577</v>
      </c>
      <c r="AU2898" s="2"/>
      <c r="AV2898" s="2"/>
      <c r="AW2898" s="2"/>
      <c r="AX2898" s="2"/>
      <c r="AY2898" s="2">
        <v>41</v>
      </c>
      <c r="AZ2898" s="2" t="s">
        <v>82</v>
      </c>
      <c r="BA2898" s="2">
        <v>41</v>
      </c>
      <c r="BB2898" s="2" t="s">
        <v>82</v>
      </c>
      <c r="BC2898" s="2">
        <v>41</v>
      </c>
      <c r="BD2898" s="2" t="s">
        <v>82</v>
      </c>
      <c r="BE2898" s="2">
        <v>41</v>
      </c>
      <c r="BF2898" s="2" t="s">
        <v>82</v>
      </c>
      <c r="BG2898" s="2"/>
      <c r="BH2898" s="2"/>
      <c r="BI2898" s="2"/>
      <c r="BJ2898" s="2">
        <v>241</v>
      </c>
      <c r="BK2898" s="2" t="s">
        <v>82</v>
      </c>
      <c r="BL2898" s="2"/>
      <c r="BM2898" s="2">
        <v>241</v>
      </c>
      <c r="BN2898" s="2" t="s">
        <v>82</v>
      </c>
      <c r="BO2898" s="2"/>
      <c r="BP2898" s="2">
        <v>241</v>
      </c>
      <c r="BQ2898" s="2" t="s">
        <v>82</v>
      </c>
      <c r="BR2898" s="2"/>
      <c r="BS2898" s="3">
        <v>40374</v>
      </c>
      <c r="BT2898" s="4">
        <v>0.83631944444444439</v>
      </c>
    </row>
    <row r="2899" spans="1:72" x14ac:dyDescent="0.25">
      <c r="A2899" s="2">
        <v>4271</v>
      </c>
      <c r="B2899" s="2">
        <v>2010</v>
      </c>
      <c r="C2899" s="2" t="s">
        <v>377</v>
      </c>
      <c r="D2899" s="2" t="s">
        <v>73</v>
      </c>
      <c r="E2899" s="2"/>
      <c r="F2899" s="2">
        <v>426</v>
      </c>
      <c r="G2899" s="2" t="s">
        <v>378</v>
      </c>
      <c r="H2899" s="2">
        <v>22</v>
      </c>
      <c r="I2899" s="2" t="s">
        <v>75</v>
      </c>
      <c r="J2899" s="2">
        <v>311</v>
      </c>
      <c r="K2899" s="2" t="s">
        <v>379</v>
      </c>
      <c r="L2899" s="2" t="s">
        <v>380</v>
      </c>
      <c r="M2899" s="3">
        <v>40374</v>
      </c>
      <c r="N2899" s="2" t="s">
        <v>5164</v>
      </c>
      <c r="O2899" s="2"/>
      <c r="P2899" s="2"/>
      <c r="Q2899" s="2" t="str">
        <f>"162-C/10"</f>
        <v>162-C/10</v>
      </c>
      <c r="R2899" s="2" t="s">
        <v>1924</v>
      </c>
      <c r="S2899" s="2"/>
      <c r="T2899" s="2">
        <v>1</v>
      </c>
      <c r="U2899" s="2" t="s">
        <v>79</v>
      </c>
      <c r="V2899" s="2">
        <v>1</v>
      </c>
      <c r="W2899" s="2" t="s">
        <v>80</v>
      </c>
      <c r="X2899" s="2">
        <v>1</v>
      </c>
      <c r="Y2899" s="2" t="s">
        <v>81</v>
      </c>
      <c r="Z2899" s="2">
        <v>1</v>
      </c>
      <c r="AA2899" s="2" t="s">
        <v>82</v>
      </c>
      <c r="AB2899" s="2">
        <v>9</v>
      </c>
      <c r="AC2899" s="2" t="s">
        <v>124</v>
      </c>
      <c r="AD2899" s="3">
        <v>40374</v>
      </c>
      <c r="AE2899" s="4">
        <v>0.46875</v>
      </c>
      <c r="AF2899" s="2"/>
      <c r="AG2899" s="2"/>
      <c r="AH2899" s="2">
        <v>2</v>
      </c>
      <c r="AI2899" s="2" t="s">
        <v>84</v>
      </c>
      <c r="AJ2899" s="2">
        <v>9</v>
      </c>
      <c r="AK2899" s="2" t="s">
        <v>103</v>
      </c>
      <c r="AL2899" s="2">
        <v>29</v>
      </c>
      <c r="AM2899" s="2" t="s">
        <v>5416</v>
      </c>
      <c r="AN2899" s="2"/>
      <c r="AO2899" s="2" t="s">
        <v>9578</v>
      </c>
      <c r="AP2899" s="2">
        <v>11</v>
      </c>
      <c r="AQ2899" s="2" t="s">
        <v>82</v>
      </c>
      <c r="AR2899" s="2"/>
      <c r="AS2899" s="2"/>
      <c r="AT2899" s="2" t="s">
        <v>9579</v>
      </c>
      <c r="AU2899" s="2"/>
      <c r="AV2899" s="2"/>
      <c r="AW2899" s="2"/>
      <c r="AX2899" s="2"/>
      <c r="AY2899" s="2">
        <v>41</v>
      </c>
      <c r="AZ2899" s="2" t="s">
        <v>82</v>
      </c>
      <c r="BA2899" s="2">
        <v>41</v>
      </c>
      <c r="BB2899" s="2" t="s">
        <v>82</v>
      </c>
      <c r="BC2899" s="2">
        <v>41</v>
      </c>
      <c r="BD2899" s="2" t="s">
        <v>82</v>
      </c>
      <c r="BE2899" s="2">
        <v>41</v>
      </c>
      <c r="BF2899" s="2" t="s">
        <v>82</v>
      </c>
      <c r="BG2899" s="2"/>
      <c r="BH2899" s="2"/>
      <c r="BI2899" s="2"/>
      <c r="BJ2899" s="2">
        <v>241</v>
      </c>
      <c r="BK2899" s="2" t="s">
        <v>82</v>
      </c>
      <c r="BL2899" s="2"/>
      <c r="BM2899" s="2">
        <v>241</v>
      </c>
      <c r="BN2899" s="2" t="s">
        <v>82</v>
      </c>
      <c r="BO2899" s="2"/>
      <c r="BP2899" s="2">
        <v>241</v>
      </c>
      <c r="BQ2899" s="2" t="s">
        <v>82</v>
      </c>
      <c r="BR2899" s="2"/>
      <c r="BS2899" s="3">
        <v>40374</v>
      </c>
      <c r="BT2899" s="4">
        <v>0.87343749999999998</v>
      </c>
    </row>
    <row r="2900" spans="1:72" x14ac:dyDescent="0.25">
      <c r="A2900" s="2">
        <v>4272</v>
      </c>
      <c r="B2900" s="2">
        <v>2010</v>
      </c>
      <c r="C2900" s="2" t="s">
        <v>377</v>
      </c>
      <c r="D2900" s="2" t="s">
        <v>73</v>
      </c>
      <c r="E2900" s="2"/>
      <c r="F2900" s="2">
        <v>426</v>
      </c>
      <c r="G2900" s="2" t="s">
        <v>378</v>
      </c>
      <c r="H2900" s="2">
        <v>22</v>
      </c>
      <c r="I2900" s="2" t="s">
        <v>75</v>
      </c>
      <c r="J2900" s="2">
        <v>311</v>
      </c>
      <c r="K2900" s="2" t="s">
        <v>379</v>
      </c>
      <c r="L2900" s="2" t="s">
        <v>380</v>
      </c>
      <c r="M2900" s="3">
        <v>40374</v>
      </c>
      <c r="N2900" s="2" t="s">
        <v>5164</v>
      </c>
      <c r="O2900" s="2"/>
      <c r="P2900" s="2"/>
      <c r="Q2900" s="2" t="str">
        <f>"163-C/10"</f>
        <v>163-C/10</v>
      </c>
      <c r="R2900" s="2" t="s">
        <v>1924</v>
      </c>
      <c r="S2900" s="2"/>
      <c r="T2900" s="2">
        <v>1</v>
      </c>
      <c r="U2900" s="2" t="s">
        <v>79</v>
      </c>
      <c r="V2900" s="2">
        <v>1</v>
      </c>
      <c r="W2900" s="2" t="s">
        <v>80</v>
      </c>
      <c r="X2900" s="2">
        <v>1</v>
      </c>
      <c r="Y2900" s="2" t="s">
        <v>81</v>
      </c>
      <c r="Z2900" s="2">
        <v>1</v>
      </c>
      <c r="AA2900" s="2" t="s">
        <v>82</v>
      </c>
      <c r="AB2900" s="2">
        <v>9</v>
      </c>
      <c r="AC2900" s="2" t="s">
        <v>124</v>
      </c>
      <c r="AD2900" s="3">
        <v>40374</v>
      </c>
      <c r="AE2900" s="4">
        <v>0.51041666666666663</v>
      </c>
      <c r="AF2900" s="2"/>
      <c r="AG2900" s="2"/>
      <c r="AH2900" s="2">
        <v>2</v>
      </c>
      <c r="AI2900" s="2" t="s">
        <v>84</v>
      </c>
      <c r="AJ2900" s="2">
        <v>9</v>
      </c>
      <c r="AK2900" s="2" t="s">
        <v>103</v>
      </c>
      <c r="AL2900" s="2">
        <v>12</v>
      </c>
      <c r="AM2900" s="2" t="s">
        <v>86</v>
      </c>
      <c r="AN2900" s="2"/>
      <c r="AO2900" s="2" t="s">
        <v>9580</v>
      </c>
      <c r="AP2900" s="2">
        <v>11</v>
      </c>
      <c r="AQ2900" s="2" t="s">
        <v>82</v>
      </c>
      <c r="AR2900" s="2"/>
      <c r="AS2900" s="2"/>
      <c r="AT2900" s="2" t="s">
        <v>9581</v>
      </c>
      <c r="AU2900" s="2"/>
      <c r="AV2900" s="2"/>
      <c r="AW2900" s="2"/>
      <c r="AX2900" s="2"/>
      <c r="AY2900" s="2">
        <v>41</v>
      </c>
      <c r="AZ2900" s="2" t="s">
        <v>82</v>
      </c>
      <c r="BA2900" s="2">
        <v>41</v>
      </c>
      <c r="BB2900" s="2" t="s">
        <v>82</v>
      </c>
      <c r="BC2900" s="2">
        <v>41</v>
      </c>
      <c r="BD2900" s="2" t="s">
        <v>82</v>
      </c>
      <c r="BE2900" s="2">
        <v>41</v>
      </c>
      <c r="BF2900" s="2" t="s">
        <v>82</v>
      </c>
      <c r="BG2900" s="2"/>
      <c r="BH2900" s="2"/>
      <c r="BI2900" s="2"/>
      <c r="BJ2900" s="2">
        <v>241</v>
      </c>
      <c r="BK2900" s="2" t="s">
        <v>82</v>
      </c>
      <c r="BL2900" s="2"/>
      <c r="BM2900" s="2">
        <v>241</v>
      </c>
      <c r="BN2900" s="2" t="s">
        <v>82</v>
      </c>
      <c r="BO2900" s="2"/>
      <c r="BP2900" s="2">
        <v>241</v>
      </c>
      <c r="BQ2900" s="2" t="s">
        <v>82</v>
      </c>
      <c r="BR2900" s="2"/>
      <c r="BS2900" s="3">
        <v>40374</v>
      </c>
      <c r="BT2900" s="4">
        <v>0.98434027777777777</v>
      </c>
    </row>
    <row r="2901" spans="1:72" x14ac:dyDescent="0.25">
      <c r="A2901" s="2">
        <v>4274</v>
      </c>
      <c r="B2901" s="2">
        <v>2010</v>
      </c>
      <c r="C2901" s="2" t="s">
        <v>385</v>
      </c>
      <c r="D2901" s="2" t="s">
        <v>122</v>
      </c>
      <c r="E2901" s="2"/>
      <c r="F2901" s="2">
        <v>9</v>
      </c>
      <c r="G2901" s="2" t="s">
        <v>364</v>
      </c>
      <c r="H2901" s="2">
        <v>44</v>
      </c>
      <c r="I2901" s="2" t="s">
        <v>1272</v>
      </c>
      <c r="J2901" s="2">
        <v>18</v>
      </c>
      <c r="K2901" s="2" t="s">
        <v>365</v>
      </c>
      <c r="L2901" s="2" t="s">
        <v>115</v>
      </c>
      <c r="M2901" s="3">
        <v>40375</v>
      </c>
      <c r="N2901" s="2" t="s">
        <v>423</v>
      </c>
      <c r="O2901" s="2" t="s">
        <v>9574</v>
      </c>
      <c r="P2901" s="2" t="s">
        <v>107</v>
      </c>
      <c r="Q2901" s="2" t="str">
        <f>"39-2010"</f>
        <v>39-2010</v>
      </c>
      <c r="R2901" s="2" t="s">
        <v>9574</v>
      </c>
      <c r="S2901" s="2" t="s">
        <v>9574</v>
      </c>
      <c r="T2901" s="2">
        <v>1</v>
      </c>
      <c r="U2901" s="2" t="s">
        <v>79</v>
      </c>
      <c r="V2901" s="2">
        <v>1</v>
      </c>
      <c r="W2901" s="2" t="s">
        <v>80</v>
      </c>
      <c r="X2901" s="2">
        <v>11</v>
      </c>
      <c r="Y2901" s="2" t="s">
        <v>1920</v>
      </c>
      <c r="Z2901" s="2">
        <v>10</v>
      </c>
      <c r="AA2901" s="2" t="s">
        <v>236</v>
      </c>
      <c r="AB2901" s="2">
        <v>9</v>
      </c>
      <c r="AC2901" s="2" t="s">
        <v>124</v>
      </c>
      <c r="AD2901" s="3">
        <v>40374</v>
      </c>
      <c r="AE2901" s="4">
        <v>0.92708333333333337</v>
      </c>
      <c r="AF2901" s="2"/>
      <c r="AG2901" s="2"/>
      <c r="AH2901" s="2">
        <v>3</v>
      </c>
      <c r="AI2901" s="2" t="s">
        <v>214</v>
      </c>
      <c r="AJ2901" s="2">
        <v>24</v>
      </c>
      <c r="AK2901" s="2" t="s">
        <v>215</v>
      </c>
      <c r="AL2901" s="2">
        <v>23</v>
      </c>
      <c r="AM2901" s="2" t="s">
        <v>251</v>
      </c>
      <c r="AN2901" s="2" t="s">
        <v>107</v>
      </c>
      <c r="AO2901" s="2" t="s">
        <v>107</v>
      </c>
      <c r="AP2901" s="2">
        <v>11</v>
      </c>
      <c r="AQ2901" s="2" t="s">
        <v>82</v>
      </c>
      <c r="AR2901" s="2"/>
      <c r="AS2901" s="2"/>
      <c r="AT2901" s="2" t="s">
        <v>9582</v>
      </c>
      <c r="AU2901" s="2">
        <v>1</v>
      </c>
      <c r="AV2901" s="2"/>
      <c r="AW2901" s="2"/>
      <c r="AX2901" s="2"/>
      <c r="AY2901" s="2">
        <v>42</v>
      </c>
      <c r="AZ2901" s="2" t="s">
        <v>182</v>
      </c>
      <c r="BA2901" s="2">
        <v>41</v>
      </c>
      <c r="BB2901" s="2" t="s">
        <v>82</v>
      </c>
      <c r="BC2901" s="2">
        <v>41</v>
      </c>
      <c r="BD2901" s="2" t="s">
        <v>82</v>
      </c>
      <c r="BE2901" s="2">
        <v>13</v>
      </c>
      <c r="BF2901" s="2" t="s">
        <v>108</v>
      </c>
      <c r="BG2901" s="2">
        <v>1419</v>
      </c>
      <c r="BH2901" s="4">
        <v>0.72916666666666663</v>
      </c>
      <c r="BI2901" s="4">
        <v>0.67708333333333337</v>
      </c>
      <c r="BJ2901" s="2">
        <v>13</v>
      </c>
      <c r="BK2901" s="2" t="s">
        <v>91</v>
      </c>
      <c r="BL2901" s="2" t="s">
        <v>169</v>
      </c>
      <c r="BM2901" s="2">
        <v>241</v>
      </c>
      <c r="BN2901" s="2" t="s">
        <v>82</v>
      </c>
      <c r="BO2901" s="2"/>
      <c r="BP2901" s="2">
        <v>13</v>
      </c>
      <c r="BQ2901" s="2" t="s">
        <v>91</v>
      </c>
      <c r="BR2901" s="2" t="s">
        <v>360</v>
      </c>
      <c r="BS2901" s="3">
        <v>40375</v>
      </c>
      <c r="BT2901" s="4">
        <v>7.1099537037037031E-2</v>
      </c>
    </row>
    <row r="2902" spans="1:72" x14ac:dyDescent="0.25">
      <c r="A2902" s="2">
        <v>4275</v>
      </c>
      <c r="B2902" s="2">
        <v>2010</v>
      </c>
      <c r="C2902" s="2" t="s">
        <v>819</v>
      </c>
      <c r="D2902" s="2" t="s">
        <v>73</v>
      </c>
      <c r="E2902" s="2"/>
      <c r="F2902" s="2">
        <v>231</v>
      </c>
      <c r="G2902" s="2" t="s">
        <v>450</v>
      </c>
      <c r="H2902" s="2">
        <v>12</v>
      </c>
      <c r="I2902" s="2" t="s">
        <v>95</v>
      </c>
      <c r="J2902" s="2">
        <v>245</v>
      </c>
      <c r="K2902" s="2" t="s">
        <v>96</v>
      </c>
      <c r="L2902" s="2" t="s">
        <v>97</v>
      </c>
      <c r="M2902" s="3">
        <v>40375</v>
      </c>
      <c r="N2902" s="2" t="s">
        <v>446</v>
      </c>
      <c r="O2902" s="2" t="s">
        <v>107</v>
      </c>
      <c r="P2902" s="2" t="s">
        <v>107</v>
      </c>
      <c r="Q2902" s="2" t="str">
        <f>"369-E/10"</f>
        <v>369-E/10</v>
      </c>
      <c r="R2902" s="2" t="s">
        <v>9583</v>
      </c>
      <c r="S2902" s="2" t="s">
        <v>9583</v>
      </c>
      <c r="T2902" s="2">
        <v>1</v>
      </c>
      <c r="U2902" s="2" t="s">
        <v>79</v>
      </c>
      <c r="V2902" s="2">
        <v>1</v>
      </c>
      <c r="W2902" s="2" t="s">
        <v>80</v>
      </c>
      <c r="X2902" s="2">
        <v>1</v>
      </c>
      <c r="Y2902" s="2" t="s">
        <v>81</v>
      </c>
      <c r="Z2902" s="2">
        <v>1</v>
      </c>
      <c r="AA2902" s="2" t="s">
        <v>82</v>
      </c>
      <c r="AB2902" s="2">
        <v>9</v>
      </c>
      <c r="AC2902" s="2" t="s">
        <v>124</v>
      </c>
      <c r="AD2902" s="3">
        <v>40374</v>
      </c>
      <c r="AE2902" s="4">
        <v>0.77083333333333337</v>
      </c>
      <c r="AF2902" s="2"/>
      <c r="AG2902" s="2"/>
      <c r="AH2902" s="2">
        <v>2</v>
      </c>
      <c r="AI2902" s="2" t="s">
        <v>84</v>
      </c>
      <c r="AJ2902" s="2">
        <v>9</v>
      </c>
      <c r="AK2902" s="2" t="s">
        <v>103</v>
      </c>
      <c r="AL2902" s="2">
        <v>11</v>
      </c>
      <c r="AM2902" s="2" t="s">
        <v>137</v>
      </c>
      <c r="AN2902" s="2" t="s">
        <v>9584</v>
      </c>
      <c r="AO2902" s="2" t="s">
        <v>590</v>
      </c>
      <c r="AP2902" s="2">
        <v>11</v>
      </c>
      <c r="AQ2902" s="2" t="s">
        <v>82</v>
      </c>
      <c r="AR2902" s="2"/>
      <c r="AS2902" s="2"/>
      <c r="AT2902" s="2" t="s">
        <v>9585</v>
      </c>
      <c r="AU2902" s="2"/>
      <c r="AV2902" s="2"/>
      <c r="AW2902" s="2"/>
      <c r="AX2902" s="2"/>
      <c r="AY2902" s="2">
        <v>41</v>
      </c>
      <c r="AZ2902" s="2" t="s">
        <v>82</v>
      </c>
      <c r="BA2902" s="2">
        <v>41</v>
      </c>
      <c r="BB2902" s="2" t="s">
        <v>82</v>
      </c>
      <c r="BC2902" s="2">
        <v>41</v>
      </c>
      <c r="BD2902" s="2" t="s">
        <v>82</v>
      </c>
      <c r="BE2902" s="2">
        <v>13</v>
      </c>
      <c r="BF2902" s="2" t="s">
        <v>108</v>
      </c>
      <c r="BG2902" s="2" t="s">
        <v>1994</v>
      </c>
      <c r="BH2902" s="2"/>
      <c r="BI2902" s="2"/>
      <c r="BJ2902" s="2">
        <v>13</v>
      </c>
      <c r="BK2902" s="2" t="s">
        <v>91</v>
      </c>
      <c r="BL2902" s="2" t="s">
        <v>360</v>
      </c>
      <c r="BM2902" s="2">
        <v>241</v>
      </c>
      <c r="BN2902" s="2" t="s">
        <v>82</v>
      </c>
      <c r="BO2902" s="2"/>
      <c r="BP2902" s="2">
        <v>173</v>
      </c>
      <c r="BQ2902" s="2" t="s">
        <v>223</v>
      </c>
      <c r="BR2902" s="2" t="s">
        <v>224</v>
      </c>
      <c r="BS2902" s="3">
        <v>40375</v>
      </c>
      <c r="BT2902" s="4">
        <v>0.11949074074074074</v>
      </c>
    </row>
    <row r="2903" spans="1:72" x14ac:dyDescent="0.25">
      <c r="A2903" s="2">
        <v>4276</v>
      </c>
      <c r="B2903" s="2">
        <v>2010</v>
      </c>
      <c r="C2903" s="2" t="s">
        <v>72</v>
      </c>
      <c r="D2903" s="2" t="s">
        <v>73</v>
      </c>
      <c r="E2903" s="2"/>
      <c r="F2903" s="2">
        <v>173</v>
      </c>
      <c r="G2903" s="2" t="s">
        <v>9262</v>
      </c>
      <c r="H2903" s="2">
        <v>128</v>
      </c>
      <c r="I2903" s="2" t="s">
        <v>9263</v>
      </c>
      <c r="J2903" s="2">
        <v>611</v>
      </c>
      <c r="K2903" s="2" t="s">
        <v>9264</v>
      </c>
      <c r="L2903" s="2" t="s">
        <v>2393</v>
      </c>
      <c r="M2903" s="3">
        <v>40375</v>
      </c>
      <c r="N2903" s="2" t="s">
        <v>9586</v>
      </c>
      <c r="O2903" s="2"/>
      <c r="P2903" s="2"/>
      <c r="Q2903" s="2" t="str">
        <f>"263-A/10"</f>
        <v>263-A/10</v>
      </c>
      <c r="R2903" s="2" t="s">
        <v>671</v>
      </c>
      <c r="S2903" s="2" t="s">
        <v>671</v>
      </c>
      <c r="T2903" s="2">
        <v>1</v>
      </c>
      <c r="U2903" s="2" t="s">
        <v>79</v>
      </c>
      <c r="V2903" s="2">
        <v>1</v>
      </c>
      <c r="W2903" s="2" t="s">
        <v>80</v>
      </c>
      <c r="X2903" s="2">
        <v>1</v>
      </c>
      <c r="Y2903" s="2" t="s">
        <v>81</v>
      </c>
      <c r="Z2903" s="2">
        <v>1</v>
      </c>
      <c r="AA2903" s="2" t="s">
        <v>82</v>
      </c>
      <c r="AB2903" s="2">
        <v>6</v>
      </c>
      <c r="AC2903" s="2" t="s">
        <v>83</v>
      </c>
      <c r="AD2903" s="3">
        <v>40374</v>
      </c>
      <c r="AE2903" s="4">
        <v>0.72916666666666663</v>
      </c>
      <c r="AF2903" s="3">
        <v>40374</v>
      </c>
      <c r="AG2903" s="4">
        <v>0.72916666666666663</v>
      </c>
      <c r="AH2903" s="2">
        <v>2</v>
      </c>
      <c r="AI2903" s="2" t="s">
        <v>84</v>
      </c>
      <c r="AJ2903" s="2">
        <v>12</v>
      </c>
      <c r="AK2903" s="2" t="s">
        <v>85</v>
      </c>
      <c r="AL2903" s="2">
        <v>2</v>
      </c>
      <c r="AM2903" s="2" t="s">
        <v>163</v>
      </c>
      <c r="AN2903" s="2" t="s">
        <v>9587</v>
      </c>
      <c r="AO2903" s="2" t="s">
        <v>9588</v>
      </c>
      <c r="AP2903" s="2">
        <v>11</v>
      </c>
      <c r="AQ2903" s="2" t="s">
        <v>82</v>
      </c>
      <c r="AR2903" s="2"/>
      <c r="AS2903" s="2"/>
      <c r="AT2903" s="2" t="s">
        <v>9589</v>
      </c>
      <c r="AU2903" s="2">
        <v>1</v>
      </c>
      <c r="AV2903" s="2"/>
      <c r="AW2903" s="2"/>
      <c r="AX2903" s="2"/>
      <c r="AY2903" s="2">
        <v>41</v>
      </c>
      <c r="AZ2903" s="2" t="s">
        <v>82</v>
      </c>
      <c r="BA2903" s="2">
        <v>41</v>
      </c>
      <c r="BB2903" s="2" t="s">
        <v>82</v>
      </c>
      <c r="BC2903" s="2">
        <v>41</v>
      </c>
      <c r="BD2903" s="2" t="s">
        <v>82</v>
      </c>
      <c r="BE2903" s="2">
        <v>13</v>
      </c>
      <c r="BF2903" s="2" t="s">
        <v>108</v>
      </c>
      <c r="BG2903" s="2" t="s">
        <v>5081</v>
      </c>
      <c r="BH2903" s="4">
        <v>0.59027777777777779</v>
      </c>
      <c r="BI2903" s="4">
        <v>0.46180555555555558</v>
      </c>
      <c r="BJ2903" s="2">
        <v>33</v>
      </c>
      <c r="BK2903" s="2" t="s">
        <v>361</v>
      </c>
      <c r="BL2903" s="2" t="s">
        <v>2723</v>
      </c>
      <c r="BM2903" s="2">
        <v>241</v>
      </c>
      <c r="BN2903" s="2" t="s">
        <v>82</v>
      </c>
      <c r="BO2903" s="2"/>
      <c r="BP2903" s="2">
        <v>13</v>
      </c>
      <c r="BQ2903" s="2" t="s">
        <v>91</v>
      </c>
      <c r="BR2903" s="2" t="s">
        <v>185</v>
      </c>
      <c r="BS2903" s="3">
        <v>40375</v>
      </c>
      <c r="BT2903" s="4">
        <v>0.15557870370370372</v>
      </c>
    </row>
    <row r="2904" spans="1:72" x14ac:dyDescent="0.25">
      <c r="A2904" s="2">
        <v>4277</v>
      </c>
      <c r="B2904" s="2">
        <v>2010</v>
      </c>
      <c r="C2904" s="2" t="s">
        <v>72</v>
      </c>
      <c r="D2904" s="2" t="s">
        <v>73</v>
      </c>
      <c r="E2904" s="2"/>
      <c r="F2904" s="2">
        <v>649</v>
      </c>
      <c r="G2904" s="2" t="s">
        <v>9141</v>
      </c>
      <c r="H2904" s="2">
        <v>42</v>
      </c>
      <c r="I2904" s="2" t="s">
        <v>1096</v>
      </c>
      <c r="J2904" s="2">
        <v>602</v>
      </c>
      <c r="K2904" s="2" t="s">
        <v>9091</v>
      </c>
      <c r="L2904" s="2" t="s">
        <v>9092</v>
      </c>
      <c r="M2904" s="3">
        <v>40375</v>
      </c>
      <c r="N2904" s="2" t="s">
        <v>9590</v>
      </c>
      <c r="O2904" s="2" t="s">
        <v>107</v>
      </c>
      <c r="P2904" s="2" t="s">
        <v>107</v>
      </c>
      <c r="Q2904" s="2" t="str">
        <f>"264-A/10"</f>
        <v>264-A/10</v>
      </c>
      <c r="R2904" s="2" t="s">
        <v>107</v>
      </c>
      <c r="S2904" s="2" t="s">
        <v>78</v>
      </c>
      <c r="T2904" s="2">
        <v>1</v>
      </c>
      <c r="U2904" s="2" t="s">
        <v>79</v>
      </c>
      <c r="V2904" s="2">
        <v>1</v>
      </c>
      <c r="W2904" s="2" t="s">
        <v>80</v>
      </c>
      <c r="X2904" s="2">
        <v>12</v>
      </c>
      <c r="Y2904" s="2" t="s">
        <v>148</v>
      </c>
      <c r="Z2904" s="2">
        <v>1</v>
      </c>
      <c r="AA2904" s="2" t="s">
        <v>82</v>
      </c>
      <c r="AB2904" s="2">
        <v>6</v>
      </c>
      <c r="AC2904" s="2" t="s">
        <v>83</v>
      </c>
      <c r="AD2904" s="3">
        <v>40375</v>
      </c>
      <c r="AE2904" s="2"/>
      <c r="AF2904" s="3">
        <v>40375</v>
      </c>
      <c r="AG2904" s="4">
        <v>0.28472222222222221</v>
      </c>
      <c r="AH2904" s="2">
        <v>2</v>
      </c>
      <c r="AI2904" s="2" t="s">
        <v>84</v>
      </c>
      <c r="AJ2904" s="2">
        <v>12</v>
      </c>
      <c r="AK2904" s="2" t="s">
        <v>85</v>
      </c>
      <c r="AL2904" s="2">
        <v>12</v>
      </c>
      <c r="AM2904" s="2" t="s">
        <v>86</v>
      </c>
      <c r="AN2904" s="2" t="s">
        <v>9591</v>
      </c>
      <c r="AO2904" s="2" t="s">
        <v>9592</v>
      </c>
      <c r="AP2904" s="2">
        <v>11</v>
      </c>
      <c r="AQ2904" s="2" t="s">
        <v>82</v>
      </c>
      <c r="AR2904" s="2"/>
      <c r="AS2904" s="2"/>
      <c r="AT2904" s="2" t="s">
        <v>9593</v>
      </c>
      <c r="AU2904" s="2"/>
      <c r="AV2904" s="2"/>
      <c r="AW2904" s="2"/>
      <c r="AX2904" s="2"/>
      <c r="AY2904" s="2">
        <v>41</v>
      </c>
      <c r="AZ2904" s="2" t="s">
        <v>82</v>
      </c>
      <c r="BA2904" s="2">
        <v>41</v>
      </c>
      <c r="BB2904" s="2" t="s">
        <v>82</v>
      </c>
      <c r="BC2904" s="2">
        <v>41</v>
      </c>
      <c r="BD2904" s="2" t="s">
        <v>82</v>
      </c>
      <c r="BE2904" s="2">
        <v>41</v>
      </c>
      <c r="BF2904" s="2" t="s">
        <v>82</v>
      </c>
      <c r="BG2904" s="2"/>
      <c r="BH2904" s="2"/>
      <c r="BI2904" s="2"/>
      <c r="BJ2904" s="2">
        <v>241</v>
      </c>
      <c r="BK2904" s="2" t="s">
        <v>82</v>
      </c>
      <c r="BL2904" s="2"/>
      <c r="BM2904" s="2">
        <v>241</v>
      </c>
      <c r="BN2904" s="2" t="s">
        <v>82</v>
      </c>
      <c r="BO2904" s="2"/>
      <c r="BP2904" s="2">
        <v>241</v>
      </c>
      <c r="BQ2904" s="2" t="s">
        <v>82</v>
      </c>
      <c r="BR2904" s="2"/>
      <c r="BS2904" s="3">
        <v>40375</v>
      </c>
      <c r="BT2904" s="4">
        <v>0.37807870370370367</v>
      </c>
    </row>
    <row r="2905" spans="1:72" x14ac:dyDescent="0.25">
      <c r="A2905" s="2">
        <v>4279</v>
      </c>
      <c r="B2905" s="2">
        <v>2010</v>
      </c>
      <c r="C2905" s="2" t="s">
        <v>4543</v>
      </c>
      <c r="D2905" s="2" t="s">
        <v>122</v>
      </c>
      <c r="E2905" s="2"/>
      <c r="F2905" s="2">
        <v>1</v>
      </c>
      <c r="G2905" s="2" t="s">
        <v>82</v>
      </c>
      <c r="H2905" s="2">
        <v>1</v>
      </c>
      <c r="I2905" s="2" t="s">
        <v>82</v>
      </c>
      <c r="J2905" s="2">
        <v>1</v>
      </c>
      <c r="K2905" s="2" t="s">
        <v>107</v>
      </c>
      <c r="L2905" s="2" t="s">
        <v>107</v>
      </c>
      <c r="M2905" s="3">
        <v>40375</v>
      </c>
      <c r="N2905" s="2"/>
      <c r="O2905" s="2"/>
      <c r="P2905" s="2"/>
      <c r="Q2905" s="2" t="str">
        <f>""</f>
        <v/>
      </c>
      <c r="R2905" s="2"/>
      <c r="S2905" s="2"/>
      <c r="T2905" s="2">
        <v>2</v>
      </c>
      <c r="U2905" s="2" t="s">
        <v>123</v>
      </c>
      <c r="V2905" s="2">
        <v>1</v>
      </c>
      <c r="W2905" s="2" t="s">
        <v>80</v>
      </c>
      <c r="X2905" s="2">
        <v>11</v>
      </c>
      <c r="Y2905" s="2" t="s">
        <v>1920</v>
      </c>
      <c r="Z2905" s="2">
        <v>1</v>
      </c>
      <c r="AA2905" s="2" t="s">
        <v>82</v>
      </c>
      <c r="AB2905" s="2">
        <v>9</v>
      </c>
      <c r="AC2905" s="2" t="s">
        <v>124</v>
      </c>
      <c r="AD2905" s="3">
        <v>40375</v>
      </c>
      <c r="AE2905" s="4">
        <v>0.38541666666666669</v>
      </c>
      <c r="AF2905" s="2"/>
      <c r="AG2905" s="2"/>
      <c r="AH2905" s="2">
        <v>6</v>
      </c>
      <c r="AI2905" s="2" t="s">
        <v>197</v>
      </c>
      <c r="AJ2905" s="2">
        <v>54</v>
      </c>
      <c r="AK2905" s="2" t="s">
        <v>348</v>
      </c>
      <c r="AL2905" s="2">
        <v>18</v>
      </c>
      <c r="AM2905" s="2" t="s">
        <v>82</v>
      </c>
      <c r="AN2905" s="2" t="s">
        <v>2282</v>
      </c>
      <c r="AO2905" s="2" t="s">
        <v>200</v>
      </c>
      <c r="AP2905" s="2">
        <v>14</v>
      </c>
      <c r="AQ2905" s="2" t="s">
        <v>3301</v>
      </c>
      <c r="AR2905" s="2" t="s">
        <v>1261</v>
      </c>
      <c r="AS2905" s="2" t="s">
        <v>1261</v>
      </c>
      <c r="AT2905" s="2" t="s">
        <v>9594</v>
      </c>
      <c r="AU2905" s="2"/>
      <c r="AV2905" s="2"/>
      <c r="AW2905" s="2"/>
      <c r="AX2905" s="2"/>
      <c r="AY2905" s="2">
        <v>1</v>
      </c>
      <c r="AZ2905" s="2" t="s">
        <v>107</v>
      </c>
      <c r="BA2905" s="2">
        <v>1</v>
      </c>
      <c r="BB2905" s="2" t="s">
        <v>107</v>
      </c>
      <c r="BC2905" s="2">
        <v>1</v>
      </c>
      <c r="BD2905" s="2" t="s">
        <v>107</v>
      </c>
      <c r="BE2905" s="2">
        <v>4</v>
      </c>
      <c r="BF2905" s="2" t="s">
        <v>90</v>
      </c>
      <c r="BG2905" s="2" t="s">
        <v>5619</v>
      </c>
      <c r="BH2905" s="4">
        <v>0.34375</v>
      </c>
      <c r="BI2905" s="4">
        <v>0.38541666666666669</v>
      </c>
      <c r="BJ2905" s="2">
        <v>13</v>
      </c>
      <c r="BK2905" s="2" t="s">
        <v>91</v>
      </c>
      <c r="BL2905" s="2" t="s">
        <v>7629</v>
      </c>
      <c r="BM2905" s="2">
        <v>242</v>
      </c>
      <c r="BN2905" s="2" t="s">
        <v>107</v>
      </c>
      <c r="BO2905" s="2" t="s">
        <v>107</v>
      </c>
      <c r="BP2905" s="2">
        <v>13</v>
      </c>
      <c r="BQ2905" s="2" t="s">
        <v>91</v>
      </c>
      <c r="BR2905" s="2" t="s">
        <v>905</v>
      </c>
      <c r="BS2905" s="3">
        <v>40375</v>
      </c>
      <c r="BT2905" s="4">
        <v>0.38936342592592593</v>
      </c>
    </row>
    <row r="2906" spans="1:72" x14ac:dyDescent="0.25">
      <c r="A2906" s="2">
        <v>4281</v>
      </c>
      <c r="B2906" s="2">
        <v>2010</v>
      </c>
      <c r="C2906" s="2" t="s">
        <v>72</v>
      </c>
      <c r="D2906" s="2" t="s">
        <v>122</v>
      </c>
      <c r="E2906" s="2" t="s">
        <v>9595</v>
      </c>
      <c r="F2906" s="2">
        <v>173</v>
      </c>
      <c r="G2906" s="2" t="s">
        <v>9262</v>
      </c>
      <c r="H2906" s="2">
        <v>128</v>
      </c>
      <c r="I2906" s="2" t="s">
        <v>9263</v>
      </c>
      <c r="J2906" s="2">
        <v>611</v>
      </c>
      <c r="K2906" s="2" t="s">
        <v>9264</v>
      </c>
      <c r="L2906" s="2" t="s">
        <v>2393</v>
      </c>
      <c r="M2906" s="3">
        <v>40375</v>
      </c>
      <c r="N2906" s="2" t="s">
        <v>9586</v>
      </c>
      <c r="O2906" s="2"/>
      <c r="P2906" s="2"/>
      <c r="Q2906" s="2" t="str">
        <f>"263-A/10"</f>
        <v>263-A/10</v>
      </c>
      <c r="R2906" s="2" t="s">
        <v>671</v>
      </c>
      <c r="S2906" s="2"/>
      <c r="T2906" s="2">
        <v>1</v>
      </c>
      <c r="U2906" s="2" t="s">
        <v>79</v>
      </c>
      <c r="V2906" s="2">
        <v>1</v>
      </c>
      <c r="W2906" s="2" t="s">
        <v>80</v>
      </c>
      <c r="X2906" s="2">
        <v>1</v>
      </c>
      <c r="Y2906" s="2" t="s">
        <v>81</v>
      </c>
      <c r="Z2906" s="2">
        <v>10</v>
      </c>
      <c r="AA2906" s="2" t="s">
        <v>236</v>
      </c>
      <c r="AB2906" s="2">
        <v>6</v>
      </c>
      <c r="AC2906" s="2" t="s">
        <v>83</v>
      </c>
      <c r="AD2906" s="3">
        <v>40374</v>
      </c>
      <c r="AE2906" s="4">
        <v>0.72916666666666663</v>
      </c>
      <c r="AF2906" s="2"/>
      <c r="AG2906" s="2"/>
      <c r="AH2906" s="2">
        <v>2</v>
      </c>
      <c r="AI2906" s="2" t="s">
        <v>84</v>
      </c>
      <c r="AJ2906" s="2">
        <v>12</v>
      </c>
      <c r="AK2906" s="2" t="s">
        <v>85</v>
      </c>
      <c r="AL2906" s="2">
        <v>2</v>
      </c>
      <c r="AM2906" s="2" t="s">
        <v>163</v>
      </c>
      <c r="AN2906" s="2" t="s">
        <v>9596</v>
      </c>
      <c r="AO2906" s="2" t="s">
        <v>9597</v>
      </c>
      <c r="AP2906" s="2">
        <v>11</v>
      </c>
      <c r="AQ2906" s="2" t="s">
        <v>82</v>
      </c>
      <c r="AR2906" s="2"/>
      <c r="AS2906" s="2"/>
      <c r="AT2906" s="2" t="s">
        <v>9598</v>
      </c>
      <c r="AU2906" s="2">
        <v>1</v>
      </c>
      <c r="AV2906" s="2"/>
      <c r="AW2906" s="2"/>
      <c r="AX2906" s="2"/>
      <c r="AY2906" s="2">
        <v>41</v>
      </c>
      <c r="AZ2906" s="2" t="s">
        <v>82</v>
      </c>
      <c r="BA2906" s="2">
        <v>41</v>
      </c>
      <c r="BB2906" s="2" t="s">
        <v>82</v>
      </c>
      <c r="BC2906" s="2">
        <v>41</v>
      </c>
      <c r="BD2906" s="2" t="s">
        <v>82</v>
      </c>
      <c r="BE2906" s="2">
        <v>13</v>
      </c>
      <c r="BF2906" s="2" t="s">
        <v>108</v>
      </c>
      <c r="BG2906" s="2" t="s">
        <v>5081</v>
      </c>
      <c r="BH2906" s="4">
        <v>0.59027777777777779</v>
      </c>
      <c r="BI2906" s="4">
        <v>0.46180555555555558</v>
      </c>
      <c r="BJ2906" s="2">
        <v>33</v>
      </c>
      <c r="BK2906" s="2" t="s">
        <v>361</v>
      </c>
      <c r="BL2906" s="2" t="s">
        <v>2723</v>
      </c>
      <c r="BM2906" s="2">
        <v>241</v>
      </c>
      <c r="BN2906" s="2" t="s">
        <v>82</v>
      </c>
      <c r="BO2906" s="2"/>
      <c r="BP2906" s="2">
        <v>13</v>
      </c>
      <c r="BQ2906" s="2" t="s">
        <v>91</v>
      </c>
      <c r="BR2906" s="2" t="s">
        <v>185</v>
      </c>
      <c r="BS2906" s="3">
        <v>40375</v>
      </c>
      <c r="BT2906" s="4">
        <v>0.39371527777777776</v>
      </c>
    </row>
    <row r="2907" spans="1:72" x14ac:dyDescent="0.25">
      <c r="A2907" s="2">
        <v>4282</v>
      </c>
      <c r="B2907" s="2">
        <v>2010</v>
      </c>
      <c r="C2907" s="2" t="s">
        <v>385</v>
      </c>
      <c r="D2907" s="2" t="s">
        <v>122</v>
      </c>
      <c r="E2907" s="2"/>
      <c r="F2907" s="2">
        <v>74</v>
      </c>
      <c r="G2907" s="2" t="s">
        <v>2220</v>
      </c>
      <c r="H2907" s="2">
        <v>3</v>
      </c>
      <c r="I2907" s="2" t="s">
        <v>315</v>
      </c>
      <c r="J2907" s="2">
        <v>420</v>
      </c>
      <c r="K2907" s="2" t="s">
        <v>2328</v>
      </c>
      <c r="L2907" s="2" t="s">
        <v>2329</v>
      </c>
      <c r="M2907" s="3">
        <v>40375</v>
      </c>
      <c r="N2907" s="2" t="s">
        <v>9599</v>
      </c>
      <c r="O2907" s="2" t="s">
        <v>9600</v>
      </c>
      <c r="P2907" s="2" t="s">
        <v>9601</v>
      </c>
      <c r="Q2907" s="2" t="str">
        <f>"S/D"</f>
        <v>S/D</v>
      </c>
      <c r="R2907" s="2" t="s">
        <v>6789</v>
      </c>
      <c r="S2907" s="2" t="s">
        <v>107</v>
      </c>
      <c r="T2907" s="2">
        <v>1</v>
      </c>
      <c r="U2907" s="2" t="s">
        <v>79</v>
      </c>
      <c r="V2907" s="2">
        <v>1</v>
      </c>
      <c r="W2907" s="2" t="s">
        <v>80</v>
      </c>
      <c r="X2907" s="2">
        <v>11</v>
      </c>
      <c r="Y2907" s="2" t="s">
        <v>1920</v>
      </c>
      <c r="Z2907" s="2">
        <v>1</v>
      </c>
      <c r="AA2907" s="2" t="s">
        <v>82</v>
      </c>
      <c r="AB2907" s="2">
        <v>9</v>
      </c>
      <c r="AC2907" s="2" t="s">
        <v>124</v>
      </c>
      <c r="AD2907" s="3">
        <v>40375</v>
      </c>
      <c r="AE2907" s="4">
        <v>0.41319444444444442</v>
      </c>
      <c r="AF2907" s="2"/>
      <c r="AG2907" s="2"/>
      <c r="AH2907" s="2">
        <v>6</v>
      </c>
      <c r="AI2907" s="2" t="s">
        <v>197</v>
      </c>
      <c r="AJ2907" s="2">
        <v>51</v>
      </c>
      <c r="AK2907" s="2" t="s">
        <v>238</v>
      </c>
      <c r="AL2907" s="2">
        <v>10</v>
      </c>
      <c r="AM2907" s="2" t="s">
        <v>200</v>
      </c>
      <c r="AN2907" s="2" t="s">
        <v>82</v>
      </c>
      <c r="AO2907" s="2" t="s">
        <v>230</v>
      </c>
      <c r="AP2907" s="2">
        <v>11</v>
      </c>
      <c r="AQ2907" s="2" t="s">
        <v>82</v>
      </c>
      <c r="AR2907" s="2" t="s">
        <v>82</v>
      </c>
      <c r="AS2907" s="2" t="s">
        <v>82</v>
      </c>
      <c r="AT2907" s="2" t="s">
        <v>9602</v>
      </c>
      <c r="AU2907" s="2">
        <v>1</v>
      </c>
      <c r="AV2907" s="2"/>
      <c r="AW2907" s="2"/>
      <c r="AX2907" s="2"/>
      <c r="AY2907" s="2">
        <v>1</v>
      </c>
      <c r="AZ2907" s="2" t="s">
        <v>107</v>
      </c>
      <c r="BA2907" s="2">
        <v>1</v>
      </c>
      <c r="BB2907" s="2" t="s">
        <v>107</v>
      </c>
      <c r="BC2907" s="2">
        <v>1</v>
      </c>
      <c r="BD2907" s="2" t="s">
        <v>107</v>
      </c>
      <c r="BE2907" s="2">
        <v>13</v>
      </c>
      <c r="BF2907" s="2" t="s">
        <v>108</v>
      </c>
      <c r="BG2907" s="2" t="s">
        <v>9603</v>
      </c>
      <c r="BH2907" s="4">
        <v>0.41319444444444442</v>
      </c>
      <c r="BI2907" s="4">
        <v>0.3298611111111111</v>
      </c>
      <c r="BJ2907" s="2">
        <v>13</v>
      </c>
      <c r="BK2907" s="2" t="s">
        <v>91</v>
      </c>
      <c r="BL2907" s="2" t="s">
        <v>170</v>
      </c>
      <c r="BM2907" s="2">
        <v>242</v>
      </c>
      <c r="BN2907" s="2" t="s">
        <v>107</v>
      </c>
      <c r="BO2907" s="2" t="s">
        <v>107</v>
      </c>
      <c r="BP2907" s="2">
        <v>13</v>
      </c>
      <c r="BQ2907" s="2" t="s">
        <v>91</v>
      </c>
      <c r="BR2907" s="2" t="s">
        <v>9604</v>
      </c>
      <c r="BS2907" s="3">
        <v>40375</v>
      </c>
      <c r="BT2907" s="4">
        <v>0.46195601851851853</v>
      </c>
    </row>
    <row r="2908" spans="1:72" x14ac:dyDescent="0.25">
      <c r="A2908" s="2">
        <v>4287</v>
      </c>
      <c r="B2908" s="2">
        <v>2010</v>
      </c>
      <c r="C2908" s="2" t="s">
        <v>72</v>
      </c>
      <c r="D2908" s="2" t="s">
        <v>73</v>
      </c>
      <c r="E2908" s="2"/>
      <c r="F2908" s="2">
        <v>649</v>
      </c>
      <c r="G2908" s="2" t="s">
        <v>9141</v>
      </c>
      <c r="H2908" s="2">
        <v>42</v>
      </c>
      <c r="I2908" s="2" t="s">
        <v>1096</v>
      </c>
      <c r="J2908" s="2">
        <v>602</v>
      </c>
      <c r="K2908" s="2" t="s">
        <v>9091</v>
      </c>
      <c r="L2908" s="2" t="s">
        <v>9092</v>
      </c>
      <c r="M2908" s="3">
        <v>40375</v>
      </c>
      <c r="N2908" s="2" t="s">
        <v>9093</v>
      </c>
      <c r="O2908" s="2" t="s">
        <v>107</v>
      </c>
      <c r="P2908" s="2" t="s">
        <v>107</v>
      </c>
      <c r="Q2908" s="2" t="str">
        <f>"265-A/10"</f>
        <v>265-A/10</v>
      </c>
      <c r="R2908" s="2" t="s">
        <v>107</v>
      </c>
      <c r="S2908" s="2" t="s">
        <v>78</v>
      </c>
      <c r="T2908" s="2">
        <v>1</v>
      </c>
      <c r="U2908" s="2" t="s">
        <v>79</v>
      </c>
      <c r="V2908" s="2">
        <v>1</v>
      </c>
      <c r="W2908" s="2" t="s">
        <v>80</v>
      </c>
      <c r="X2908" s="2">
        <v>12</v>
      </c>
      <c r="Y2908" s="2" t="s">
        <v>148</v>
      </c>
      <c r="Z2908" s="2">
        <v>1</v>
      </c>
      <c r="AA2908" s="2" t="s">
        <v>82</v>
      </c>
      <c r="AB2908" s="2">
        <v>6</v>
      </c>
      <c r="AC2908" s="2" t="s">
        <v>83</v>
      </c>
      <c r="AD2908" s="3">
        <v>40375</v>
      </c>
      <c r="AE2908" s="2"/>
      <c r="AF2908" s="3">
        <v>40375</v>
      </c>
      <c r="AG2908" s="4">
        <v>0.3972222222222222</v>
      </c>
      <c r="AH2908" s="2">
        <v>2</v>
      </c>
      <c r="AI2908" s="2" t="s">
        <v>84</v>
      </c>
      <c r="AJ2908" s="2">
        <v>12</v>
      </c>
      <c r="AK2908" s="2" t="s">
        <v>85</v>
      </c>
      <c r="AL2908" s="2">
        <v>23</v>
      </c>
      <c r="AM2908" s="2" t="s">
        <v>251</v>
      </c>
      <c r="AN2908" s="2"/>
      <c r="AO2908" s="2"/>
      <c r="AP2908" s="2">
        <v>11</v>
      </c>
      <c r="AQ2908" s="2" t="s">
        <v>82</v>
      </c>
      <c r="AR2908" s="2"/>
      <c r="AS2908" s="2"/>
      <c r="AT2908" s="2" t="s">
        <v>9605</v>
      </c>
      <c r="AU2908" s="2"/>
      <c r="AV2908" s="2"/>
      <c r="AW2908" s="2"/>
      <c r="AX2908" s="2"/>
      <c r="AY2908" s="2">
        <v>41</v>
      </c>
      <c r="AZ2908" s="2" t="s">
        <v>82</v>
      </c>
      <c r="BA2908" s="2">
        <v>41</v>
      </c>
      <c r="BB2908" s="2" t="s">
        <v>82</v>
      </c>
      <c r="BC2908" s="2">
        <v>41</v>
      </c>
      <c r="BD2908" s="2" t="s">
        <v>82</v>
      </c>
      <c r="BE2908" s="2">
        <v>41</v>
      </c>
      <c r="BF2908" s="2" t="s">
        <v>82</v>
      </c>
      <c r="BG2908" s="2"/>
      <c r="BH2908" s="2"/>
      <c r="BI2908" s="2"/>
      <c r="BJ2908" s="2">
        <v>241</v>
      </c>
      <c r="BK2908" s="2" t="s">
        <v>82</v>
      </c>
      <c r="BL2908" s="2"/>
      <c r="BM2908" s="2">
        <v>241</v>
      </c>
      <c r="BN2908" s="2" t="s">
        <v>82</v>
      </c>
      <c r="BO2908" s="2"/>
      <c r="BP2908" s="2">
        <v>241</v>
      </c>
      <c r="BQ2908" s="2" t="s">
        <v>82</v>
      </c>
      <c r="BR2908" s="2"/>
      <c r="BS2908" s="3">
        <v>40375</v>
      </c>
      <c r="BT2908" s="4">
        <v>0.5145601851851852</v>
      </c>
    </row>
    <row r="2909" spans="1:72" x14ac:dyDescent="0.25">
      <c r="A2909" s="2">
        <v>4289</v>
      </c>
      <c r="B2909" s="2">
        <v>2010</v>
      </c>
      <c r="C2909" s="2" t="s">
        <v>72</v>
      </c>
      <c r="D2909" s="2" t="s">
        <v>122</v>
      </c>
      <c r="E2909" s="2"/>
      <c r="F2909" s="2">
        <v>481</v>
      </c>
      <c r="G2909" s="2" t="s">
        <v>1438</v>
      </c>
      <c r="H2909" s="2">
        <v>1</v>
      </c>
      <c r="I2909" s="2" t="s">
        <v>82</v>
      </c>
      <c r="J2909" s="2">
        <v>58</v>
      </c>
      <c r="K2909" s="2" t="s">
        <v>3405</v>
      </c>
      <c r="L2909" s="2" t="s">
        <v>1692</v>
      </c>
      <c r="M2909" s="3">
        <v>40375</v>
      </c>
      <c r="N2909" s="2" t="s">
        <v>82</v>
      </c>
      <c r="O2909" s="2" t="s">
        <v>9606</v>
      </c>
      <c r="P2909" s="2" t="s">
        <v>9607</v>
      </c>
      <c r="Q2909" s="2" t="str">
        <f>"33/10"</f>
        <v>33/10</v>
      </c>
      <c r="R2909" s="2" t="s">
        <v>9608</v>
      </c>
      <c r="S2909" s="2" t="s">
        <v>9606</v>
      </c>
      <c r="T2909" s="2">
        <v>1</v>
      </c>
      <c r="U2909" s="2" t="s">
        <v>79</v>
      </c>
      <c r="V2909" s="2">
        <v>1</v>
      </c>
      <c r="W2909" s="2" t="s">
        <v>80</v>
      </c>
      <c r="X2909" s="2">
        <v>1</v>
      </c>
      <c r="Y2909" s="2" t="s">
        <v>81</v>
      </c>
      <c r="Z2909" s="2">
        <v>1</v>
      </c>
      <c r="AA2909" s="2" t="s">
        <v>82</v>
      </c>
      <c r="AB2909" s="2">
        <v>6</v>
      </c>
      <c r="AC2909" s="2" t="s">
        <v>83</v>
      </c>
      <c r="AD2909" s="3">
        <v>40375</v>
      </c>
      <c r="AE2909" s="4">
        <v>0.41666666666666669</v>
      </c>
      <c r="AF2909" s="2"/>
      <c r="AG2909" s="2"/>
      <c r="AH2909" s="2">
        <v>3</v>
      </c>
      <c r="AI2909" s="2" t="s">
        <v>214</v>
      </c>
      <c r="AJ2909" s="2">
        <v>17</v>
      </c>
      <c r="AK2909" s="2" t="s">
        <v>309</v>
      </c>
      <c r="AL2909" s="2">
        <v>22</v>
      </c>
      <c r="AM2909" s="2" t="s">
        <v>1853</v>
      </c>
      <c r="AN2909" s="2"/>
      <c r="AO2909" s="2"/>
      <c r="AP2909" s="2">
        <v>11</v>
      </c>
      <c r="AQ2909" s="2" t="s">
        <v>82</v>
      </c>
      <c r="AR2909" s="2" t="s">
        <v>82</v>
      </c>
      <c r="AS2909" s="2" t="s">
        <v>82</v>
      </c>
      <c r="AT2909" s="2" t="s">
        <v>9609</v>
      </c>
      <c r="AU2909" s="2"/>
      <c r="AV2909" s="2"/>
      <c r="AW2909" s="2"/>
      <c r="AX2909" s="2"/>
      <c r="AY2909" s="2">
        <v>50</v>
      </c>
      <c r="AZ2909" s="2" t="s">
        <v>9610</v>
      </c>
      <c r="BA2909" s="2">
        <v>1</v>
      </c>
      <c r="BB2909" s="2" t="s">
        <v>107</v>
      </c>
      <c r="BC2909" s="2">
        <v>1</v>
      </c>
      <c r="BD2909" s="2" t="s">
        <v>107</v>
      </c>
      <c r="BE2909" s="2">
        <v>13</v>
      </c>
      <c r="BF2909" s="2" t="s">
        <v>108</v>
      </c>
      <c r="BG2909" s="2">
        <v>1404</v>
      </c>
      <c r="BH2909" s="4">
        <v>0.41111111111111115</v>
      </c>
      <c r="BI2909" s="4">
        <v>0.34722222222222227</v>
      </c>
      <c r="BJ2909" s="2">
        <v>13</v>
      </c>
      <c r="BK2909" s="2" t="s">
        <v>91</v>
      </c>
      <c r="BL2909" s="2" t="s">
        <v>185</v>
      </c>
      <c r="BM2909" s="2">
        <v>241</v>
      </c>
      <c r="BN2909" s="2" t="s">
        <v>82</v>
      </c>
      <c r="BO2909" s="2" t="s">
        <v>82</v>
      </c>
      <c r="BP2909" s="2">
        <v>13</v>
      </c>
      <c r="BQ2909" s="2" t="s">
        <v>91</v>
      </c>
      <c r="BR2909" s="2" t="s">
        <v>445</v>
      </c>
      <c r="BS2909" s="3">
        <v>40375</v>
      </c>
      <c r="BT2909" s="4">
        <v>0.54700231481481476</v>
      </c>
    </row>
    <row r="2910" spans="1:72" x14ac:dyDescent="0.25">
      <c r="A2910" s="2">
        <v>4291</v>
      </c>
      <c r="B2910" s="2">
        <v>2010</v>
      </c>
      <c r="C2910" s="2" t="s">
        <v>377</v>
      </c>
      <c r="D2910" s="2" t="s">
        <v>73</v>
      </c>
      <c r="E2910" s="2"/>
      <c r="F2910" s="2">
        <v>426</v>
      </c>
      <c r="G2910" s="2" t="s">
        <v>378</v>
      </c>
      <c r="H2910" s="2">
        <v>42</v>
      </c>
      <c r="I2910" s="2" t="s">
        <v>1096</v>
      </c>
      <c r="J2910" s="2">
        <v>311</v>
      </c>
      <c r="K2910" s="2" t="s">
        <v>379</v>
      </c>
      <c r="L2910" s="2" t="s">
        <v>380</v>
      </c>
      <c r="M2910" s="3">
        <v>40375</v>
      </c>
      <c r="N2910" s="2" t="s">
        <v>5164</v>
      </c>
      <c r="O2910" s="2"/>
      <c r="P2910" s="2"/>
      <c r="Q2910" s="2" t="str">
        <f>"164-C/10"</f>
        <v>164-C/10</v>
      </c>
      <c r="R2910" s="2" t="s">
        <v>3458</v>
      </c>
      <c r="S2910" s="2"/>
      <c r="T2910" s="2">
        <v>1</v>
      </c>
      <c r="U2910" s="2" t="s">
        <v>79</v>
      </c>
      <c r="V2910" s="2">
        <v>1</v>
      </c>
      <c r="W2910" s="2" t="s">
        <v>80</v>
      </c>
      <c r="X2910" s="2">
        <v>1</v>
      </c>
      <c r="Y2910" s="2" t="s">
        <v>81</v>
      </c>
      <c r="Z2910" s="2">
        <v>1</v>
      </c>
      <c r="AA2910" s="2" t="s">
        <v>82</v>
      </c>
      <c r="AB2910" s="2">
        <v>9</v>
      </c>
      <c r="AC2910" s="2" t="s">
        <v>124</v>
      </c>
      <c r="AD2910" s="3">
        <v>40374</v>
      </c>
      <c r="AE2910" s="4">
        <v>0.92361111111111116</v>
      </c>
      <c r="AF2910" s="2"/>
      <c r="AG2910" s="2"/>
      <c r="AH2910" s="2">
        <v>2</v>
      </c>
      <c r="AI2910" s="2" t="s">
        <v>84</v>
      </c>
      <c r="AJ2910" s="2">
        <v>9</v>
      </c>
      <c r="AK2910" s="2" t="s">
        <v>103</v>
      </c>
      <c r="AL2910" s="2">
        <v>29</v>
      </c>
      <c r="AM2910" s="2" t="s">
        <v>5416</v>
      </c>
      <c r="AN2910" s="2"/>
      <c r="AO2910" s="2" t="s">
        <v>3460</v>
      </c>
      <c r="AP2910" s="2">
        <v>11</v>
      </c>
      <c r="AQ2910" s="2" t="s">
        <v>82</v>
      </c>
      <c r="AR2910" s="2"/>
      <c r="AS2910" s="2"/>
      <c r="AT2910" s="2" t="s">
        <v>9611</v>
      </c>
      <c r="AU2910" s="2"/>
      <c r="AV2910" s="2"/>
      <c r="AW2910" s="2"/>
      <c r="AX2910" s="2"/>
      <c r="AY2910" s="2">
        <v>41</v>
      </c>
      <c r="AZ2910" s="2" t="s">
        <v>82</v>
      </c>
      <c r="BA2910" s="2">
        <v>41</v>
      </c>
      <c r="BB2910" s="2" t="s">
        <v>82</v>
      </c>
      <c r="BC2910" s="2">
        <v>41</v>
      </c>
      <c r="BD2910" s="2" t="s">
        <v>82</v>
      </c>
      <c r="BE2910" s="2">
        <v>41</v>
      </c>
      <c r="BF2910" s="2" t="s">
        <v>82</v>
      </c>
      <c r="BG2910" s="2"/>
      <c r="BH2910" s="2"/>
      <c r="BI2910" s="2"/>
      <c r="BJ2910" s="2">
        <v>241</v>
      </c>
      <c r="BK2910" s="2" t="s">
        <v>82</v>
      </c>
      <c r="BL2910" s="2"/>
      <c r="BM2910" s="2">
        <v>241</v>
      </c>
      <c r="BN2910" s="2" t="s">
        <v>82</v>
      </c>
      <c r="BO2910" s="2"/>
      <c r="BP2910" s="2">
        <v>241</v>
      </c>
      <c r="BQ2910" s="2" t="s">
        <v>82</v>
      </c>
      <c r="BR2910" s="2"/>
      <c r="BS2910" s="3">
        <v>40375</v>
      </c>
      <c r="BT2910" s="4">
        <v>0.55634259259259256</v>
      </c>
    </row>
    <row r="2911" spans="1:72" x14ac:dyDescent="0.25">
      <c r="A2911" s="2">
        <v>4298</v>
      </c>
      <c r="B2911" s="2">
        <v>2010</v>
      </c>
      <c r="C2911" s="2" t="s">
        <v>377</v>
      </c>
      <c r="D2911" s="2" t="s">
        <v>73</v>
      </c>
      <c r="E2911" s="2"/>
      <c r="F2911" s="2">
        <v>426</v>
      </c>
      <c r="G2911" s="2" t="s">
        <v>378</v>
      </c>
      <c r="H2911" s="2">
        <v>42</v>
      </c>
      <c r="I2911" s="2" t="s">
        <v>1096</v>
      </c>
      <c r="J2911" s="2">
        <v>311</v>
      </c>
      <c r="K2911" s="2" t="s">
        <v>379</v>
      </c>
      <c r="L2911" s="2" t="s">
        <v>380</v>
      </c>
      <c r="M2911" s="3">
        <v>40375</v>
      </c>
      <c r="N2911" s="2" t="s">
        <v>5164</v>
      </c>
      <c r="O2911" s="2"/>
      <c r="P2911" s="2"/>
      <c r="Q2911" s="2" t="str">
        <f>"165-C/10"</f>
        <v>165-C/10</v>
      </c>
      <c r="R2911" s="2" t="s">
        <v>4428</v>
      </c>
      <c r="S2911" s="2"/>
      <c r="T2911" s="2">
        <v>1</v>
      </c>
      <c r="U2911" s="2" t="s">
        <v>79</v>
      </c>
      <c r="V2911" s="2">
        <v>1</v>
      </c>
      <c r="W2911" s="2" t="s">
        <v>80</v>
      </c>
      <c r="X2911" s="2">
        <v>1</v>
      </c>
      <c r="Y2911" s="2" t="s">
        <v>81</v>
      </c>
      <c r="Z2911" s="2">
        <v>1</v>
      </c>
      <c r="AA2911" s="2" t="s">
        <v>82</v>
      </c>
      <c r="AB2911" s="2">
        <v>9</v>
      </c>
      <c r="AC2911" s="2" t="s">
        <v>124</v>
      </c>
      <c r="AD2911" s="3">
        <v>40375</v>
      </c>
      <c r="AE2911" s="4">
        <v>0.45833333333333331</v>
      </c>
      <c r="AF2911" s="2"/>
      <c r="AG2911" s="2"/>
      <c r="AH2911" s="2">
        <v>2</v>
      </c>
      <c r="AI2911" s="2" t="s">
        <v>84</v>
      </c>
      <c r="AJ2911" s="2">
        <v>9</v>
      </c>
      <c r="AK2911" s="2" t="s">
        <v>103</v>
      </c>
      <c r="AL2911" s="2">
        <v>29</v>
      </c>
      <c r="AM2911" s="2" t="s">
        <v>5416</v>
      </c>
      <c r="AN2911" s="2"/>
      <c r="AO2911" s="2" t="s">
        <v>8768</v>
      </c>
      <c r="AP2911" s="2">
        <v>11</v>
      </c>
      <c r="AQ2911" s="2" t="s">
        <v>82</v>
      </c>
      <c r="AR2911" s="2"/>
      <c r="AS2911" s="2"/>
      <c r="AT2911" s="2" t="s">
        <v>9612</v>
      </c>
      <c r="AU2911" s="2"/>
      <c r="AV2911" s="2"/>
      <c r="AW2911" s="2"/>
      <c r="AX2911" s="2"/>
      <c r="AY2911" s="2">
        <v>41</v>
      </c>
      <c r="AZ2911" s="2" t="s">
        <v>82</v>
      </c>
      <c r="BA2911" s="2">
        <v>41</v>
      </c>
      <c r="BB2911" s="2" t="s">
        <v>82</v>
      </c>
      <c r="BC2911" s="2">
        <v>41</v>
      </c>
      <c r="BD2911" s="2" t="s">
        <v>82</v>
      </c>
      <c r="BE2911" s="2">
        <v>41</v>
      </c>
      <c r="BF2911" s="2" t="s">
        <v>82</v>
      </c>
      <c r="BG2911" s="2"/>
      <c r="BH2911" s="2"/>
      <c r="BI2911" s="2"/>
      <c r="BJ2911" s="2">
        <v>241</v>
      </c>
      <c r="BK2911" s="2" t="s">
        <v>82</v>
      </c>
      <c r="BL2911" s="2"/>
      <c r="BM2911" s="2">
        <v>241</v>
      </c>
      <c r="BN2911" s="2" t="s">
        <v>82</v>
      </c>
      <c r="BO2911" s="2"/>
      <c r="BP2911" s="2">
        <v>241</v>
      </c>
      <c r="BQ2911" s="2" t="s">
        <v>82</v>
      </c>
      <c r="BR2911" s="2"/>
      <c r="BS2911" s="3">
        <v>40375</v>
      </c>
      <c r="BT2911" s="4">
        <v>0.6896874999999999</v>
      </c>
    </row>
    <row r="2912" spans="1:72" x14ac:dyDescent="0.25">
      <c r="A2912" s="2">
        <v>4299</v>
      </c>
      <c r="B2912" s="2">
        <v>2010</v>
      </c>
      <c r="C2912" s="2" t="s">
        <v>377</v>
      </c>
      <c r="D2912" s="2" t="s">
        <v>73</v>
      </c>
      <c r="E2912" s="2"/>
      <c r="F2912" s="2">
        <v>426</v>
      </c>
      <c r="G2912" s="2" t="s">
        <v>378</v>
      </c>
      <c r="H2912" s="2">
        <v>42</v>
      </c>
      <c r="I2912" s="2" t="s">
        <v>1096</v>
      </c>
      <c r="J2912" s="2">
        <v>311</v>
      </c>
      <c r="K2912" s="2" t="s">
        <v>379</v>
      </c>
      <c r="L2912" s="2" t="s">
        <v>380</v>
      </c>
      <c r="M2912" s="3">
        <v>40375</v>
      </c>
      <c r="N2912" s="2" t="s">
        <v>5164</v>
      </c>
      <c r="O2912" s="2"/>
      <c r="P2912" s="2"/>
      <c r="Q2912" s="2" t="str">
        <f>"166-C/10"</f>
        <v>166-C/10</v>
      </c>
      <c r="R2912" s="2" t="s">
        <v>5997</v>
      </c>
      <c r="S2912" s="2"/>
      <c r="T2912" s="2">
        <v>1</v>
      </c>
      <c r="U2912" s="2" t="s">
        <v>79</v>
      </c>
      <c r="V2912" s="2">
        <v>1</v>
      </c>
      <c r="W2912" s="2" t="s">
        <v>80</v>
      </c>
      <c r="X2912" s="2">
        <v>1</v>
      </c>
      <c r="Y2912" s="2" t="s">
        <v>81</v>
      </c>
      <c r="Z2912" s="2">
        <v>1</v>
      </c>
      <c r="AA2912" s="2" t="s">
        <v>82</v>
      </c>
      <c r="AB2912" s="2">
        <v>9</v>
      </c>
      <c r="AC2912" s="2" t="s">
        <v>124</v>
      </c>
      <c r="AD2912" s="3">
        <v>40375</v>
      </c>
      <c r="AE2912" s="4">
        <v>0.46180555555555558</v>
      </c>
      <c r="AF2912" s="2"/>
      <c r="AG2912" s="2"/>
      <c r="AH2912" s="2">
        <v>2</v>
      </c>
      <c r="AI2912" s="2" t="s">
        <v>84</v>
      </c>
      <c r="AJ2912" s="2">
        <v>9</v>
      </c>
      <c r="AK2912" s="2" t="s">
        <v>103</v>
      </c>
      <c r="AL2912" s="2">
        <v>29</v>
      </c>
      <c r="AM2912" s="2" t="s">
        <v>5416</v>
      </c>
      <c r="AN2912" s="2"/>
      <c r="AO2912" s="2" t="s">
        <v>9613</v>
      </c>
      <c r="AP2912" s="2">
        <v>11</v>
      </c>
      <c r="AQ2912" s="2" t="s">
        <v>82</v>
      </c>
      <c r="AR2912" s="2"/>
      <c r="AS2912" s="2"/>
      <c r="AT2912" s="2" t="s">
        <v>9614</v>
      </c>
      <c r="AU2912" s="2"/>
      <c r="AV2912" s="2"/>
      <c r="AW2912" s="2"/>
      <c r="AX2912" s="2"/>
      <c r="AY2912" s="2">
        <v>41</v>
      </c>
      <c r="AZ2912" s="2" t="s">
        <v>82</v>
      </c>
      <c r="BA2912" s="2">
        <v>41</v>
      </c>
      <c r="BB2912" s="2" t="s">
        <v>82</v>
      </c>
      <c r="BC2912" s="2">
        <v>41</v>
      </c>
      <c r="BD2912" s="2" t="s">
        <v>82</v>
      </c>
      <c r="BE2912" s="2">
        <v>41</v>
      </c>
      <c r="BF2912" s="2" t="s">
        <v>82</v>
      </c>
      <c r="BG2912" s="2"/>
      <c r="BH2912" s="2"/>
      <c r="BI2912" s="2"/>
      <c r="BJ2912" s="2">
        <v>241</v>
      </c>
      <c r="BK2912" s="2" t="s">
        <v>82</v>
      </c>
      <c r="BL2912" s="2"/>
      <c r="BM2912" s="2">
        <v>241</v>
      </c>
      <c r="BN2912" s="2" t="s">
        <v>82</v>
      </c>
      <c r="BO2912" s="2"/>
      <c r="BP2912" s="2">
        <v>241</v>
      </c>
      <c r="BQ2912" s="2" t="s">
        <v>82</v>
      </c>
      <c r="BR2912" s="2"/>
      <c r="BS2912" s="3">
        <v>40375</v>
      </c>
      <c r="BT2912" s="4">
        <v>0.69914351851851853</v>
      </c>
    </row>
    <row r="2913" spans="1:72" x14ac:dyDescent="0.25">
      <c r="A2913" s="2">
        <v>4302</v>
      </c>
      <c r="B2913" s="2">
        <v>2010</v>
      </c>
      <c r="C2913" s="2" t="s">
        <v>72</v>
      </c>
      <c r="D2913" s="2" t="s">
        <v>73</v>
      </c>
      <c r="E2913" s="2"/>
      <c r="F2913" s="2">
        <v>3</v>
      </c>
      <c r="G2913" s="2" t="s">
        <v>1041</v>
      </c>
      <c r="H2913" s="2">
        <v>42</v>
      </c>
      <c r="I2913" s="2" t="s">
        <v>1096</v>
      </c>
      <c r="J2913" s="2">
        <v>368</v>
      </c>
      <c r="K2913" s="2" t="s">
        <v>1042</v>
      </c>
      <c r="L2913" s="2" t="s">
        <v>1043</v>
      </c>
      <c r="M2913" s="3">
        <v>40375</v>
      </c>
      <c r="N2913" s="2" t="s">
        <v>107</v>
      </c>
      <c r="O2913" s="2" t="s">
        <v>107</v>
      </c>
      <c r="P2913" s="2" t="s">
        <v>107</v>
      </c>
      <c r="Q2913" s="2" t="str">
        <f>"370-E/10"</f>
        <v>370-E/10</v>
      </c>
      <c r="R2913" s="2" t="s">
        <v>480</v>
      </c>
      <c r="S2913" s="2" t="s">
        <v>480</v>
      </c>
      <c r="T2913" s="2">
        <v>1</v>
      </c>
      <c r="U2913" s="2" t="s">
        <v>79</v>
      </c>
      <c r="V2913" s="2">
        <v>1</v>
      </c>
      <c r="W2913" s="2" t="s">
        <v>80</v>
      </c>
      <c r="X2913" s="2">
        <v>12</v>
      </c>
      <c r="Y2913" s="2" t="s">
        <v>148</v>
      </c>
      <c r="Z2913" s="2">
        <v>1</v>
      </c>
      <c r="AA2913" s="2" t="s">
        <v>82</v>
      </c>
      <c r="AB2913" s="2">
        <v>6</v>
      </c>
      <c r="AC2913" s="2" t="s">
        <v>83</v>
      </c>
      <c r="AD2913" s="3">
        <v>40372</v>
      </c>
      <c r="AE2913" s="2"/>
      <c r="AF2913" s="3">
        <v>40375</v>
      </c>
      <c r="AG2913" s="4">
        <v>0.69791666666666663</v>
      </c>
      <c r="AH2913" s="2">
        <v>2</v>
      </c>
      <c r="AI2913" s="2" t="s">
        <v>84</v>
      </c>
      <c r="AJ2913" s="2">
        <v>9</v>
      </c>
      <c r="AK2913" s="2" t="s">
        <v>103</v>
      </c>
      <c r="AL2913" s="2">
        <v>12</v>
      </c>
      <c r="AM2913" s="2" t="s">
        <v>86</v>
      </c>
      <c r="AN2913" s="2" t="s">
        <v>9615</v>
      </c>
      <c r="AO2913" s="2"/>
      <c r="AP2913" s="2">
        <v>11</v>
      </c>
      <c r="AQ2913" s="2" t="s">
        <v>82</v>
      </c>
      <c r="AR2913" s="2"/>
      <c r="AS2913" s="2"/>
      <c r="AT2913" s="2" t="s">
        <v>9616</v>
      </c>
      <c r="AU2913" s="2"/>
      <c r="AV2913" s="2"/>
      <c r="AW2913" s="2"/>
      <c r="AX2913" s="2"/>
      <c r="AY2913" s="2">
        <v>41</v>
      </c>
      <c r="AZ2913" s="2" t="s">
        <v>82</v>
      </c>
      <c r="BA2913" s="2">
        <v>41</v>
      </c>
      <c r="BB2913" s="2" t="s">
        <v>82</v>
      </c>
      <c r="BC2913" s="2">
        <v>41</v>
      </c>
      <c r="BD2913" s="2" t="s">
        <v>82</v>
      </c>
      <c r="BE2913" s="2">
        <v>41</v>
      </c>
      <c r="BF2913" s="2" t="s">
        <v>82</v>
      </c>
      <c r="BG2913" s="2"/>
      <c r="BH2913" s="2"/>
      <c r="BI2913" s="2"/>
      <c r="BJ2913" s="2">
        <v>241</v>
      </c>
      <c r="BK2913" s="2" t="s">
        <v>82</v>
      </c>
      <c r="BL2913" s="2"/>
      <c r="BM2913" s="2">
        <v>241</v>
      </c>
      <c r="BN2913" s="2" t="s">
        <v>82</v>
      </c>
      <c r="BO2913" s="2" t="s">
        <v>82</v>
      </c>
      <c r="BP2913" s="2">
        <v>241</v>
      </c>
      <c r="BQ2913" s="2" t="s">
        <v>82</v>
      </c>
      <c r="BR2913" s="2"/>
      <c r="BS2913" s="3">
        <v>40375</v>
      </c>
      <c r="BT2913" s="4">
        <v>0.79762731481481486</v>
      </c>
    </row>
    <row r="2914" spans="1:72" x14ac:dyDescent="0.25">
      <c r="A2914" s="2">
        <v>4303</v>
      </c>
      <c r="B2914" s="2">
        <v>2010</v>
      </c>
      <c r="C2914" s="2" t="s">
        <v>72</v>
      </c>
      <c r="D2914" s="2" t="s">
        <v>73</v>
      </c>
      <c r="E2914" s="2"/>
      <c r="F2914" s="2">
        <v>221</v>
      </c>
      <c r="G2914" s="2" t="s">
        <v>8422</v>
      </c>
      <c r="H2914" s="2">
        <v>42</v>
      </c>
      <c r="I2914" s="2" t="s">
        <v>1096</v>
      </c>
      <c r="J2914" s="2">
        <v>620</v>
      </c>
      <c r="K2914" s="2" t="s">
        <v>9617</v>
      </c>
      <c r="L2914" s="2" t="s">
        <v>9618</v>
      </c>
      <c r="M2914" s="3">
        <v>40375</v>
      </c>
      <c r="N2914" s="2" t="s">
        <v>9619</v>
      </c>
      <c r="O2914" s="2" t="s">
        <v>107</v>
      </c>
      <c r="P2914" s="2" t="s">
        <v>107</v>
      </c>
      <c r="Q2914" s="2" t="str">
        <f>"266-A/10"</f>
        <v>266-A/10</v>
      </c>
      <c r="R2914" s="2" t="s">
        <v>107</v>
      </c>
      <c r="S2914" s="2" t="s">
        <v>2987</v>
      </c>
      <c r="T2914" s="2">
        <v>1</v>
      </c>
      <c r="U2914" s="2" t="s">
        <v>79</v>
      </c>
      <c r="V2914" s="2">
        <v>1</v>
      </c>
      <c r="W2914" s="2" t="s">
        <v>80</v>
      </c>
      <c r="X2914" s="2">
        <v>12</v>
      </c>
      <c r="Y2914" s="2" t="s">
        <v>148</v>
      </c>
      <c r="Z2914" s="2">
        <v>1</v>
      </c>
      <c r="AA2914" s="2" t="s">
        <v>82</v>
      </c>
      <c r="AB2914" s="2">
        <v>6</v>
      </c>
      <c r="AC2914" s="2" t="s">
        <v>83</v>
      </c>
      <c r="AD2914" s="3">
        <v>40375</v>
      </c>
      <c r="AE2914" s="2"/>
      <c r="AF2914" s="3">
        <v>40375</v>
      </c>
      <c r="AG2914" s="4">
        <v>0.4375</v>
      </c>
      <c r="AH2914" s="2">
        <v>2</v>
      </c>
      <c r="AI2914" s="2" t="s">
        <v>84</v>
      </c>
      <c r="AJ2914" s="2">
        <v>12</v>
      </c>
      <c r="AK2914" s="2" t="s">
        <v>85</v>
      </c>
      <c r="AL2914" s="2">
        <v>22</v>
      </c>
      <c r="AM2914" s="2" t="s">
        <v>1853</v>
      </c>
      <c r="AN2914" s="2"/>
      <c r="AO2914" s="2" t="s">
        <v>7557</v>
      </c>
      <c r="AP2914" s="2">
        <v>11</v>
      </c>
      <c r="AQ2914" s="2" t="s">
        <v>82</v>
      </c>
      <c r="AR2914" s="2"/>
      <c r="AS2914" s="2"/>
      <c r="AT2914" s="2" t="s">
        <v>9620</v>
      </c>
      <c r="AU2914" s="2"/>
      <c r="AV2914" s="2"/>
      <c r="AW2914" s="2"/>
      <c r="AX2914" s="2"/>
      <c r="AY2914" s="2">
        <v>50</v>
      </c>
      <c r="AZ2914" s="2" t="s">
        <v>9610</v>
      </c>
      <c r="BA2914" s="2">
        <v>50</v>
      </c>
      <c r="BB2914" s="2" t="s">
        <v>9610</v>
      </c>
      <c r="BC2914" s="2">
        <v>41</v>
      </c>
      <c r="BD2914" s="2" t="s">
        <v>82</v>
      </c>
      <c r="BE2914" s="2">
        <v>13</v>
      </c>
      <c r="BF2914" s="2" t="s">
        <v>108</v>
      </c>
      <c r="BG2914" s="2" t="s">
        <v>9621</v>
      </c>
      <c r="BH2914" s="4">
        <v>0.41666666666666669</v>
      </c>
      <c r="BI2914" s="4">
        <v>0.33680555555555558</v>
      </c>
      <c r="BJ2914" s="2">
        <v>13</v>
      </c>
      <c r="BK2914" s="2" t="s">
        <v>91</v>
      </c>
      <c r="BL2914" s="2" t="s">
        <v>564</v>
      </c>
      <c r="BM2914" s="2">
        <v>241</v>
      </c>
      <c r="BN2914" s="2" t="s">
        <v>82</v>
      </c>
      <c r="BO2914" s="2" t="s">
        <v>82</v>
      </c>
      <c r="BP2914" s="2">
        <v>13</v>
      </c>
      <c r="BQ2914" s="2" t="s">
        <v>91</v>
      </c>
      <c r="BR2914" s="2" t="s">
        <v>445</v>
      </c>
      <c r="BS2914" s="3">
        <v>40375</v>
      </c>
      <c r="BT2914" s="4">
        <v>0.80483796296296306</v>
      </c>
    </row>
    <row r="2915" spans="1:72" x14ac:dyDescent="0.25">
      <c r="A2915" s="2">
        <v>4304</v>
      </c>
      <c r="B2915" s="2">
        <v>2010</v>
      </c>
      <c r="C2915" s="2" t="s">
        <v>72</v>
      </c>
      <c r="D2915" s="2" t="s">
        <v>122</v>
      </c>
      <c r="E2915" s="2" t="s">
        <v>9622</v>
      </c>
      <c r="F2915" s="2">
        <v>649</v>
      </c>
      <c r="G2915" s="2" t="s">
        <v>9141</v>
      </c>
      <c r="H2915" s="2">
        <v>42</v>
      </c>
      <c r="I2915" s="2" t="s">
        <v>1096</v>
      </c>
      <c r="J2915" s="2">
        <v>602</v>
      </c>
      <c r="K2915" s="2" t="s">
        <v>9091</v>
      </c>
      <c r="L2915" s="2" t="s">
        <v>9092</v>
      </c>
      <c r="M2915" s="3">
        <v>40375</v>
      </c>
      <c r="N2915" s="2" t="s">
        <v>9429</v>
      </c>
      <c r="O2915" s="2" t="s">
        <v>107</v>
      </c>
      <c r="P2915" s="2" t="s">
        <v>107</v>
      </c>
      <c r="Q2915" s="2" t="str">
        <f>"255-A/10"</f>
        <v>255-A/10</v>
      </c>
      <c r="R2915" s="2" t="s">
        <v>78</v>
      </c>
      <c r="S2915" s="2" t="s">
        <v>107</v>
      </c>
      <c r="T2915" s="2">
        <v>1</v>
      </c>
      <c r="U2915" s="2" t="s">
        <v>79</v>
      </c>
      <c r="V2915" s="2">
        <v>1</v>
      </c>
      <c r="W2915" s="2" t="s">
        <v>80</v>
      </c>
      <c r="X2915" s="2">
        <v>12</v>
      </c>
      <c r="Y2915" s="2" t="s">
        <v>148</v>
      </c>
      <c r="Z2915" s="2">
        <v>1</v>
      </c>
      <c r="AA2915" s="2" t="s">
        <v>82</v>
      </c>
      <c r="AB2915" s="2">
        <v>6</v>
      </c>
      <c r="AC2915" s="2" t="s">
        <v>83</v>
      </c>
      <c r="AD2915" s="3">
        <v>40371</v>
      </c>
      <c r="AE2915" s="4">
        <v>3.4722222222222224E-2</v>
      </c>
      <c r="AF2915" s="3">
        <v>40371</v>
      </c>
      <c r="AG2915" s="4">
        <v>0.54166666666666663</v>
      </c>
      <c r="AH2915" s="2">
        <v>2</v>
      </c>
      <c r="AI2915" s="2" t="s">
        <v>84</v>
      </c>
      <c r="AJ2915" s="2">
        <v>12</v>
      </c>
      <c r="AK2915" s="2" t="s">
        <v>85</v>
      </c>
      <c r="AL2915" s="2">
        <v>21</v>
      </c>
      <c r="AM2915" s="2" t="s">
        <v>1311</v>
      </c>
      <c r="AN2915" s="2" t="s">
        <v>6068</v>
      </c>
      <c r="AO2915" s="2" t="s">
        <v>9623</v>
      </c>
      <c r="AP2915" s="2">
        <v>11</v>
      </c>
      <c r="AQ2915" s="2" t="s">
        <v>82</v>
      </c>
      <c r="AR2915" s="2"/>
      <c r="AS2915" s="2"/>
      <c r="AT2915" s="2" t="s">
        <v>9624</v>
      </c>
      <c r="AU2915" s="2"/>
      <c r="AV2915" s="2"/>
      <c r="AW2915" s="2"/>
      <c r="AX2915" s="2"/>
      <c r="AY2915" s="2">
        <v>41</v>
      </c>
      <c r="AZ2915" s="2" t="s">
        <v>82</v>
      </c>
      <c r="BA2915" s="2">
        <v>41</v>
      </c>
      <c r="BB2915" s="2" t="s">
        <v>82</v>
      </c>
      <c r="BC2915" s="2">
        <v>41</v>
      </c>
      <c r="BD2915" s="2" t="s">
        <v>82</v>
      </c>
      <c r="BE2915" s="2">
        <v>13</v>
      </c>
      <c r="BF2915" s="2" t="s">
        <v>108</v>
      </c>
      <c r="BG2915" s="2" t="s">
        <v>6332</v>
      </c>
      <c r="BH2915" s="4">
        <v>3.125E-2</v>
      </c>
      <c r="BI2915" s="4">
        <v>0.97222222222222221</v>
      </c>
      <c r="BJ2915" s="2">
        <v>13</v>
      </c>
      <c r="BK2915" s="2" t="s">
        <v>91</v>
      </c>
      <c r="BL2915" s="2" t="s">
        <v>92</v>
      </c>
      <c r="BM2915" s="2">
        <v>241</v>
      </c>
      <c r="BN2915" s="2" t="s">
        <v>82</v>
      </c>
      <c r="BO2915" s="2"/>
      <c r="BP2915" s="2">
        <v>13</v>
      </c>
      <c r="BQ2915" s="2" t="s">
        <v>91</v>
      </c>
      <c r="BR2915" s="2" t="s">
        <v>185</v>
      </c>
      <c r="BS2915" s="3">
        <v>40375</v>
      </c>
      <c r="BT2915" s="4">
        <v>0.84798611111111111</v>
      </c>
    </row>
    <row r="2916" spans="1:72" x14ac:dyDescent="0.25">
      <c r="A2916" s="2">
        <v>4306</v>
      </c>
      <c r="B2916" s="2">
        <v>2010</v>
      </c>
      <c r="C2916" s="2" t="s">
        <v>377</v>
      </c>
      <c r="D2916" s="2" t="s">
        <v>73</v>
      </c>
      <c r="E2916" s="2"/>
      <c r="F2916" s="2">
        <v>426</v>
      </c>
      <c r="G2916" s="2" t="s">
        <v>378</v>
      </c>
      <c r="H2916" s="2">
        <v>42</v>
      </c>
      <c r="I2916" s="2" t="s">
        <v>1096</v>
      </c>
      <c r="J2916" s="2">
        <v>311</v>
      </c>
      <c r="K2916" s="2" t="s">
        <v>379</v>
      </c>
      <c r="L2916" s="2" t="s">
        <v>380</v>
      </c>
      <c r="M2916" s="3">
        <v>40375</v>
      </c>
      <c r="N2916" s="2" t="s">
        <v>5164</v>
      </c>
      <c r="O2916" s="2"/>
      <c r="P2916" s="2"/>
      <c r="Q2916" s="2" t="str">
        <f>"168-C/10"</f>
        <v>168-C/10</v>
      </c>
      <c r="R2916" s="2" t="s">
        <v>5773</v>
      </c>
      <c r="S2916" s="2"/>
      <c r="T2916" s="2">
        <v>1</v>
      </c>
      <c r="U2916" s="2" t="s">
        <v>79</v>
      </c>
      <c r="V2916" s="2">
        <v>1</v>
      </c>
      <c r="W2916" s="2" t="s">
        <v>80</v>
      </c>
      <c r="X2916" s="2">
        <v>1</v>
      </c>
      <c r="Y2916" s="2" t="s">
        <v>81</v>
      </c>
      <c r="Z2916" s="2">
        <v>1</v>
      </c>
      <c r="AA2916" s="2" t="s">
        <v>82</v>
      </c>
      <c r="AB2916" s="2">
        <v>9</v>
      </c>
      <c r="AC2916" s="2" t="s">
        <v>124</v>
      </c>
      <c r="AD2916" s="3">
        <v>40375</v>
      </c>
      <c r="AE2916" s="4">
        <v>0.65625</v>
      </c>
      <c r="AF2916" s="2"/>
      <c r="AG2916" s="2"/>
      <c r="AH2916" s="2">
        <v>2</v>
      </c>
      <c r="AI2916" s="2" t="s">
        <v>84</v>
      </c>
      <c r="AJ2916" s="2">
        <v>9</v>
      </c>
      <c r="AK2916" s="2" t="s">
        <v>103</v>
      </c>
      <c r="AL2916" s="2">
        <v>21</v>
      </c>
      <c r="AM2916" s="2" t="s">
        <v>1311</v>
      </c>
      <c r="AN2916" s="2"/>
      <c r="AO2916" s="2" t="s">
        <v>9625</v>
      </c>
      <c r="AP2916" s="2">
        <v>11</v>
      </c>
      <c r="AQ2916" s="2" t="s">
        <v>82</v>
      </c>
      <c r="AR2916" s="2"/>
      <c r="AS2916" s="2"/>
      <c r="AT2916" s="2" t="s">
        <v>9626</v>
      </c>
      <c r="AU2916" s="2"/>
      <c r="AV2916" s="2"/>
      <c r="AW2916" s="2"/>
      <c r="AX2916" s="2"/>
      <c r="AY2916" s="2">
        <v>41</v>
      </c>
      <c r="AZ2916" s="2" t="s">
        <v>82</v>
      </c>
      <c r="BA2916" s="2">
        <v>41</v>
      </c>
      <c r="BB2916" s="2" t="s">
        <v>82</v>
      </c>
      <c r="BC2916" s="2">
        <v>41</v>
      </c>
      <c r="BD2916" s="2" t="s">
        <v>82</v>
      </c>
      <c r="BE2916" s="2">
        <v>41</v>
      </c>
      <c r="BF2916" s="2" t="s">
        <v>82</v>
      </c>
      <c r="BG2916" s="2"/>
      <c r="BH2916" s="2"/>
      <c r="BI2916" s="2"/>
      <c r="BJ2916" s="2">
        <v>241</v>
      </c>
      <c r="BK2916" s="2" t="s">
        <v>82</v>
      </c>
      <c r="BL2916" s="2"/>
      <c r="BM2916" s="2">
        <v>241</v>
      </c>
      <c r="BN2916" s="2" t="s">
        <v>82</v>
      </c>
      <c r="BO2916" s="2"/>
      <c r="BP2916" s="2">
        <v>241</v>
      </c>
      <c r="BQ2916" s="2" t="s">
        <v>82</v>
      </c>
      <c r="BR2916" s="2"/>
      <c r="BS2916" s="3">
        <v>40375</v>
      </c>
      <c r="BT2916" s="4">
        <v>0.87149305555555545</v>
      </c>
    </row>
    <row r="2917" spans="1:72" x14ac:dyDescent="0.25">
      <c r="A2917" s="2">
        <v>4307</v>
      </c>
      <c r="B2917" s="2">
        <v>2010</v>
      </c>
      <c r="C2917" s="2" t="s">
        <v>93</v>
      </c>
      <c r="D2917" s="2" t="s">
        <v>73</v>
      </c>
      <c r="E2917" s="2"/>
      <c r="F2917" s="2">
        <v>146</v>
      </c>
      <c r="G2917" s="2" t="s">
        <v>753</v>
      </c>
      <c r="H2917" s="2">
        <v>38</v>
      </c>
      <c r="I2917" s="2" t="s">
        <v>1272</v>
      </c>
      <c r="J2917" s="2">
        <v>161</v>
      </c>
      <c r="K2917" s="2" t="s">
        <v>1900</v>
      </c>
      <c r="L2917" s="2" t="s">
        <v>1901</v>
      </c>
      <c r="M2917" s="3">
        <v>40375</v>
      </c>
      <c r="N2917" s="2" t="s">
        <v>9627</v>
      </c>
      <c r="O2917" s="2" t="s">
        <v>9628</v>
      </c>
      <c r="P2917" s="7">
        <v>19140</v>
      </c>
      <c r="Q2917" s="2" t="str">
        <f>"AP0034-10UO-USU"</f>
        <v>AP0034-10UO-USU</v>
      </c>
      <c r="R2917" s="2"/>
      <c r="S2917" s="2"/>
      <c r="T2917" s="2">
        <v>1</v>
      </c>
      <c r="U2917" s="2" t="s">
        <v>79</v>
      </c>
      <c r="V2917" s="2">
        <v>1</v>
      </c>
      <c r="W2917" s="2" t="s">
        <v>80</v>
      </c>
      <c r="X2917" s="2">
        <v>1</v>
      </c>
      <c r="Y2917" s="2" t="s">
        <v>81</v>
      </c>
      <c r="Z2917" s="2">
        <v>1</v>
      </c>
      <c r="AA2917" s="2" t="s">
        <v>82</v>
      </c>
      <c r="AB2917" s="2">
        <v>2</v>
      </c>
      <c r="AC2917" s="2" t="s">
        <v>102</v>
      </c>
      <c r="AD2917" s="3">
        <v>40375</v>
      </c>
      <c r="AE2917" s="4">
        <v>0.59375</v>
      </c>
      <c r="AF2917" s="2"/>
      <c r="AG2917" s="2"/>
      <c r="AH2917" s="2">
        <v>6</v>
      </c>
      <c r="AI2917" s="2" t="s">
        <v>197</v>
      </c>
      <c r="AJ2917" s="2">
        <v>46</v>
      </c>
      <c r="AK2917" s="2" t="s">
        <v>197</v>
      </c>
      <c r="AL2917" s="2">
        <v>11</v>
      </c>
      <c r="AM2917" s="2" t="s">
        <v>137</v>
      </c>
      <c r="AN2917" s="2" t="s">
        <v>82</v>
      </c>
      <c r="AO2917" s="2" t="s">
        <v>5183</v>
      </c>
      <c r="AP2917" s="2">
        <v>11</v>
      </c>
      <c r="AQ2917" s="2" t="s">
        <v>82</v>
      </c>
      <c r="AR2917" s="2"/>
      <c r="AS2917" s="2"/>
      <c r="AT2917" s="2" t="s">
        <v>9629</v>
      </c>
      <c r="AU2917" s="2"/>
      <c r="AV2917" s="2"/>
      <c r="AW2917" s="2"/>
      <c r="AX2917" s="2"/>
      <c r="AY2917" s="2">
        <v>41</v>
      </c>
      <c r="AZ2917" s="2" t="s">
        <v>82</v>
      </c>
      <c r="BA2917" s="2">
        <v>41</v>
      </c>
      <c r="BB2917" s="2" t="s">
        <v>82</v>
      </c>
      <c r="BC2917" s="2">
        <v>41</v>
      </c>
      <c r="BD2917" s="2" t="s">
        <v>82</v>
      </c>
      <c r="BE2917" s="2">
        <v>4</v>
      </c>
      <c r="BF2917" s="2" t="s">
        <v>90</v>
      </c>
      <c r="BG2917" s="2" t="s">
        <v>9630</v>
      </c>
      <c r="BH2917" s="2"/>
      <c r="BI2917" s="4">
        <v>0.62847222222222221</v>
      </c>
      <c r="BJ2917" s="2">
        <v>13</v>
      </c>
      <c r="BK2917" s="2" t="s">
        <v>91</v>
      </c>
      <c r="BL2917" s="2" t="s">
        <v>895</v>
      </c>
      <c r="BM2917" s="2">
        <v>241</v>
      </c>
      <c r="BN2917" s="2" t="s">
        <v>82</v>
      </c>
      <c r="BO2917" s="2" t="s">
        <v>82</v>
      </c>
      <c r="BP2917" s="2">
        <v>13</v>
      </c>
      <c r="BQ2917" s="2" t="s">
        <v>91</v>
      </c>
      <c r="BR2917" s="2" t="s">
        <v>170</v>
      </c>
      <c r="BS2917" s="3">
        <v>40375</v>
      </c>
      <c r="BT2917" s="4">
        <v>0.88186342592592604</v>
      </c>
    </row>
    <row r="2918" spans="1:72" x14ac:dyDescent="0.25">
      <c r="A2918" s="2">
        <v>4308</v>
      </c>
      <c r="B2918" s="2">
        <v>2010</v>
      </c>
      <c r="C2918" s="2" t="s">
        <v>377</v>
      </c>
      <c r="D2918" s="2" t="s">
        <v>73</v>
      </c>
      <c r="E2918" s="2"/>
      <c r="F2918" s="2">
        <v>426</v>
      </c>
      <c r="G2918" s="2" t="s">
        <v>378</v>
      </c>
      <c r="H2918" s="2">
        <v>22</v>
      </c>
      <c r="I2918" s="2" t="s">
        <v>75</v>
      </c>
      <c r="J2918" s="2">
        <v>311</v>
      </c>
      <c r="K2918" s="2" t="s">
        <v>379</v>
      </c>
      <c r="L2918" s="2" t="s">
        <v>380</v>
      </c>
      <c r="M2918" s="3">
        <v>40375</v>
      </c>
      <c r="N2918" s="2" t="s">
        <v>5164</v>
      </c>
      <c r="O2918" s="2"/>
      <c r="P2918" s="2"/>
      <c r="Q2918" s="2" t="str">
        <f>"167-C/10"</f>
        <v>167-C/10</v>
      </c>
      <c r="R2918" s="2" t="s">
        <v>5773</v>
      </c>
      <c r="S2918" s="2"/>
      <c r="T2918" s="2">
        <v>1</v>
      </c>
      <c r="U2918" s="2" t="s">
        <v>79</v>
      </c>
      <c r="V2918" s="2">
        <v>1</v>
      </c>
      <c r="W2918" s="2" t="s">
        <v>80</v>
      </c>
      <c r="X2918" s="2">
        <v>1</v>
      </c>
      <c r="Y2918" s="2" t="s">
        <v>81</v>
      </c>
      <c r="Z2918" s="2">
        <v>1</v>
      </c>
      <c r="AA2918" s="2" t="s">
        <v>82</v>
      </c>
      <c r="AB2918" s="2">
        <v>9</v>
      </c>
      <c r="AC2918" s="2" t="s">
        <v>124</v>
      </c>
      <c r="AD2918" s="3">
        <v>40375</v>
      </c>
      <c r="AE2918" s="4">
        <v>0.65625</v>
      </c>
      <c r="AF2918" s="2"/>
      <c r="AG2918" s="2"/>
      <c r="AH2918" s="2">
        <v>2</v>
      </c>
      <c r="AI2918" s="2" t="s">
        <v>84</v>
      </c>
      <c r="AJ2918" s="2">
        <v>9</v>
      </c>
      <c r="AK2918" s="2" t="s">
        <v>103</v>
      </c>
      <c r="AL2918" s="2">
        <v>21</v>
      </c>
      <c r="AM2918" s="2" t="s">
        <v>1311</v>
      </c>
      <c r="AN2918" s="2"/>
      <c r="AO2918" s="2" t="s">
        <v>9631</v>
      </c>
      <c r="AP2918" s="2">
        <v>11</v>
      </c>
      <c r="AQ2918" s="2" t="s">
        <v>82</v>
      </c>
      <c r="AR2918" s="2"/>
      <c r="AS2918" s="2"/>
      <c r="AT2918" s="2" t="s">
        <v>9626</v>
      </c>
      <c r="AU2918" s="2"/>
      <c r="AV2918" s="2"/>
      <c r="AW2918" s="2"/>
      <c r="AX2918" s="2"/>
      <c r="AY2918" s="2">
        <v>41</v>
      </c>
      <c r="AZ2918" s="2" t="s">
        <v>82</v>
      </c>
      <c r="BA2918" s="2">
        <v>41</v>
      </c>
      <c r="BB2918" s="2" t="s">
        <v>82</v>
      </c>
      <c r="BC2918" s="2">
        <v>41</v>
      </c>
      <c r="BD2918" s="2" t="s">
        <v>82</v>
      </c>
      <c r="BE2918" s="2">
        <v>41</v>
      </c>
      <c r="BF2918" s="2" t="s">
        <v>82</v>
      </c>
      <c r="BG2918" s="2"/>
      <c r="BH2918" s="2"/>
      <c r="BI2918" s="2"/>
      <c r="BJ2918" s="2">
        <v>241</v>
      </c>
      <c r="BK2918" s="2" t="s">
        <v>82</v>
      </c>
      <c r="BL2918" s="2"/>
      <c r="BM2918" s="2">
        <v>241</v>
      </c>
      <c r="BN2918" s="2" t="s">
        <v>82</v>
      </c>
      <c r="BO2918" s="2"/>
      <c r="BP2918" s="2">
        <v>241</v>
      </c>
      <c r="BQ2918" s="2" t="s">
        <v>82</v>
      </c>
      <c r="BR2918" s="2"/>
      <c r="BS2918" s="3">
        <v>40375</v>
      </c>
      <c r="BT2918" s="4">
        <v>0.88324074074074066</v>
      </c>
    </row>
    <row r="2919" spans="1:72" x14ac:dyDescent="0.25">
      <c r="A2919" s="2">
        <v>4309</v>
      </c>
      <c r="B2919" s="2">
        <v>2010</v>
      </c>
      <c r="C2919" s="2" t="s">
        <v>377</v>
      </c>
      <c r="D2919" s="2" t="s">
        <v>73</v>
      </c>
      <c r="E2919" s="2"/>
      <c r="F2919" s="2">
        <v>426</v>
      </c>
      <c r="G2919" s="2" t="s">
        <v>378</v>
      </c>
      <c r="H2919" s="2">
        <v>42</v>
      </c>
      <c r="I2919" s="2" t="s">
        <v>1096</v>
      </c>
      <c r="J2919" s="2">
        <v>311</v>
      </c>
      <c r="K2919" s="2" t="s">
        <v>379</v>
      </c>
      <c r="L2919" s="2" t="s">
        <v>380</v>
      </c>
      <c r="M2919" s="3">
        <v>40375</v>
      </c>
      <c r="N2919" s="2" t="s">
        <v>5164</v>
      </c>
      <c r="O2919" s="2"/>
      <c r="P2919" s="2"/>
      <c r="Q2919" s="2" t="str">
        <f>"169-C/10"</f>
        <v>169-C/10</v>
      </c>
      <c r="R2919" s="2" t="s">
        <v>4428</v>
      </c>
      <c r="S2919" s="2"/>
      <c r="T2919" s="2">
        <v>1</v>
      </c>
      <c r="U2919" s="2" t="s">
        <v>79</v>
      </c>
      <c r="V2919" s="2">
        <v>1</v>
      </c>
      <c r="W2919" s="2" t="s">
        <v>80</v>
      </c>
      <c r="X2919" s="2">
        <v>1</v>
      </c>
      <c r="Y2919" s="2" t="s">
        <v>81</v>
      </c>
      <c r="Z2919" s="2">
        <v>1</v>
      </c>
      <c r="AA2919" s="2" t="s">
        <v>82</v>
      </c>
      <c r="AB2919" s="2">
        <v>9</v>
      </c>
      <c r="AC2919" s="2" t="s">
        <v>124</v>
      </c>
      <c r="AD2919" s="3">
        <v>40375</v>
      </c>
      <c r="AE2919" s="4">
        <v>0.65972222222222221</v>
      </c>
      <c r="AF2919" s="2"/>
      <c r="AG2919" s="2"/>
      <c r="AH2919" s="2">
        <v>2</v>
      </c>
      <c r="AI2919" s="2" t="s">
        <v>84</v>
      </c>
      <c r="AJ2919" s="2">
        <v>9</v>
      </c>
      <c r="AK2919" s="2" t="s">
        <v>103</v>
      </c>
      <c r="AL2919" s="2">
        <v>12</v>
      </c>
      <c r="AM2919" s="2" t="s">
        <v>86</v>
      </c>
      <c r="AN2919" s="2"/>
      <c r="AO2919" s="2" t="s">
        <v>3322</v>
      </c>
      <c r="AP2919" s="2">
        <v>11</v>
      </c>
      <c r="AQ2919" s="2" t="s">
        <v>82</v>
      </c>
      <c r="AR2919" s="2"/>
      <c r="AS2919" s="2"/>
      <c r="AT2919" s="2" t="s">
        <v>9612</v>
      </c>
      <c r="AU2919" s="2"/>
      <c r="AV2919" s="2"/>
      <c r="AW2919" s="2"/>
      <c r="AX2919" s="2"/>
      <c r="AY2919" s="2">
        <v>41</v>
      </c>
      <c r="AZ2919" s="2" t="s">
        <v>82</v>
      </c>
      <c r="BA2919" s="2">
        <v>41</v>
      </c>
      <c r="BB2919" s="2" t="s">
        <v>82</v>
      </c>
      <c r="BC2919" s="2">
        <v>41</v>
      </c>
      <c r="BD2919" s="2" t="s">
        <v>82</v>
      </c>
      <c r="BE2919" s="2">
        <v>41</v>
      </c>
      <c r="BF2919" s="2" t="s">
        <v>82</v>
      </c>
      <c r="BG2919" s="2"/>
      <c r="BH2919" s="2"/>
      <c r="BI2919" s="2"/>
      <c r="BJ2919" s="2">
        <v>241</v>
      </c>
      <c r="BK2919" s="2" t="s">
        <v>82</v>
      </c>
      <c r="BL2919" s="2"/>
      <c r="BM2919" s="2">
        <v>241</v>
      </c>
      <c r="BN2919" s="2" t="s">
        <v>82</v>
      </c>
      <c r="BO2919" s="2"/>
      <c r="BP2919" s="2">
        <v>241</v>
      </c>
      <c r="BQ2919" s="2" t="s">
        <v>82</v>
      </c>
      <c r="BR2919" s="2"/>
      <c r="BS2919" s="3">
        <v>40375</v>
      </c>
      <c r="BT2919" s="4">
        <v>0.89165509259259268</v>
      </c>
    </row>
    <row r="2920" spans="1:72" x14ac:dyDescent="0.25">
      <c r="A2920" s="2">
        <v>4310</v>
      </c>
      <c r="B2920" s="2">
        <v>2010</v>
      </c>
      <c r="C2920" s="2" t="s">
        <v>72</v>
      </c>
      <c r="D2920" s="2" t="s">
        <v>73</v>
      </c>
      <c r="E2920" s="2"/>
      <c r="F2920" s="2">
        <v>45</v>
      </c>
      <c r="G2920" s="2" t="s">
        <v>1408</v>
      </c>
      <c r="H2920" s="2">
        <v>47</v>
      </c>
      <c r="I2920" s="2" t="s">
        <v>1409</v>
      </c>
      <c r="J2920" s="2">
        <v>614</v>
      </c>
      <c r="K2920" s="2" t="s">
        <v>5197</v>
      </c>
      <c r="L2920" s="2" t="s">
        <v>9426</v>
      </c>
      <c r="M2920" s="3">
        <v>40375</v>
      </c>
      <c r="N2920" s="2" t="s">
        <v>2795</v>
      </c>
      <c r="O2920" s="2"/>
      <c r="P2920" s="2"/>
      <c r="Q2920" s="2" t="str">
        <f>"17/10"</f>
        <v>17/10</v>
      </c>
      <c r="R2920" s="2"/>
      <c r="S2920" s="2" t="s">
        <v>9632</v>
      </c>
      <c r="T2920" s="2">
        <v>1</v>
      </c>
      <c r="U2920" s="2" t="s">
        <v>79</v>
      </c>
      <c r="V2920" s="2">
        <v>1</v>
      </c>
      <c r="W2920" s="2" t="s">
        <v>80</v>
      </c>
      <c r="X2920" s="2">
        <v>12</v>
      </c>
      <c r="Y2920" s="2" t="s">
        <v>148</v>
      </c>
      <c r="Z2920" s="2">
        <v>1</v>
      </c>
      <c r="AA2920" s="2" t="s">
        <v>82</v>
      </c>
      <c r="AB2920" s="2">
        <v>6</v>
      </c>
      <c r="AC2920" s="2" t="s">
        <v>83</v>
      </c>
      <c r="AD2920" s="3">
        <v>40375</v>
      </c>
      <c r="AE2920" s="4">
        <v>0.64583333333333337</v>
      </c>
      <c r="AF2920" s="3">
        <v>40375</v>
      </c>
      <c r="AG2920" s="4">
        <v>0.80555555555555547</v>
      </c>
      <c r="AH2920" s="2">
        <v>4</v>
      </c>
      <c r="AI2920" s="2" t="s">
        <v>125</v>
      </c>
      <c r="AJ2920" s="2">
        <v>31</v>
      </c>
      <c r="AK2920" s="2" t="s">
        <v>1413</v>
      </c>
      <c r="AL2920" s="2">
        <v>25</v>
      </c>
      <c r="AM2920" s="2" t="s">
        <v>3073</v>
      </c>
      <c r="AN2920" s="2" t="s">
        <v>9633</v>
      </c>
      <c r="AO2920" s="2" t="s">
        <v>9634</v>
      </c>
      <c r="AP2920" s="2">
        <v>11</v>
      </c>
      <c r="AQ2920" s="2" t="s">
        <v>82</v>
      </c>
      <c r="AR2920" s="2"/>
      <c r="AS2920" s="2"/>
      <c r="AT2920" s="2" t="s">
        <v>9635</v>
      </c>
      <c r="AU2920" s="2"/>
      <c r="AV2920" s="2"/>
      <c r="AW2920" s="2"/>
      <c r="AX2920" s="2"/>
      <c r="AY2920" s="2">
        <v>44</v>
      </c>
      <c r="AZ2920" s="2" t="s">
        <v>262</v>
      </c>
      <c r="BA2920" s="2">
        <v>44</v>
      </c>
      <c r="BB2920" s="2" t="s">
        <v>262</v>
      </c>
      <c r="BC2920" s="2">
        <v>41</v>
      </c>
      <c r="BD2920" s="2" t="s">
        <v>82</v>
      </c>
      <c r="BE2920" s="2">
        <v>41</v>
      </c>
      <c r="BF2920" s="2" t="s">
        <v>82</v>
      </c>
      <c r="BG2920" s="2"/>
      <c r="BH2920" s="2"/>
      <c r="BI2920" s="2"/>
      <c r="BJ2920" s="2">
        <v>241</v>
      </c>
      <c r="BK2920" s="2" t="s">
        <v>82</v>
      </c>
      <c r="BL2920" s="2"/>
      <c r="BM2920" s="2">
        <v>241</v>
      </c>
      <c r="BN2920" s="2" t="s">
        <v>82</v>
      </c>
      <c r="BO2920" s="2"/>
      <c r="BP2920" s="2">
        <v>241</v>
      </c>
      <c r="BQ2920" s="2" t="s">
        <v>82</v>
      </c>
      <c r="BR2920" s="2"/>
      <c r="BS2920" s="3">
        <v>40375</v>
      </c>
      <c r="BT2920" s="4">
        <v>0.95623842592592589</v>
      </c>
    </row>
    <row r="2921" spans="1:72" x14ac:dyDescent="0.25">
      <c r="A2921" s="2">
        <v>4311</v>
      </c>
      <c r="B2921" s="2">
        <v>2010</v>
      </c>
      <c r="C2921" s="2" t="s">
        <v>196</v>
      </c>
      <c r="D2921" s="2" t="s">
        <v>122</v>
      </c>
      <c r="E2921" s="2"/>
      <c r="F2921" s="2">
        <v>1</v>
      </c>
      <c r="G2921" s="2" t="s">
        <v>82</v>
      </c>
      <c r="H2921" s="2">
        <v>1</v>
      </c>
      <c r="I2921" s="2" t="s">
        <v>82</v>
      </c>
      <c r="J2921" s="2">
        <v>1</v>
      </c>
      <c r="K2921" s="2" t="s">
        <v>107</v>
      </c>
      <c r="L2921" s="2" t="s">
        <v>107</v>
      </c>
      <c r="M2921" s="3">
        <v>40376</v>
      </c>
      <c r="N2921" s="2"/>
      <c r="O2921" s="2"/>
      <c r="P2921" s="2"/>
      <c r="Q2921" s="2" t="str">
        <f>""</f>
        <v/>
      </c>
      <c r="R2921" s="2"/>
      <c r="S2921" s="2"/>
      <c r="T2921" s="2">
        <v>2</v>
      </c>
      <c r="U2921" s="2" t="s">
        <v>123</v>
      </c>
      <c r="V2921" s="2">
        <v>1</v>
      </c>
      <c r="W2921" s="2" t="s">
        <v>80</v>
      </c>
      <c r="X2921" s="2">
        <v>11</v>
      </c>
      <c r="Y2921" s="2" t="s">
        <v>1920</v>
      </c>
      <c r="Z2921" s="2">
        <v>10</v>
      </c>
      <c r="AA2921" s="2" t="s">
        <v>236</v>
      </c>
      <c r="AB2921" s="2">
        <v>9</v>
      </c>
      <c r="AC2921" s="2" t="s">
        <v>124</v>
      </c>
      <c r="AD2921" s="3">
        <v>40376</v>
      </c>
      <c r="AE2921" s="4">
        <v>0.22916666666666666</v>
      </c>
      <c r="AF2921" s="2"/>
      <c r="AG2921" s="2"/>
      <c r="AH2921" s="2">
        <v>2</v>
      </c>
      <c r="AI2921" s="2" t="s">
        <v>84</v>
      </c>
      <c r="AJ2921" s="2">
        <v>12</v>
      </c>
      <c r="AK2921" s="2" t="s">
        <v>85</v>
      </c>
      <c r="AL2921" s="2">
        <v>20</v>
      </c>
      <c r="AM2921" s="2" t="s">
        <v>992</v>
      </c>
      <c r="AN2921" s="2"/>
      <c r="AO2921" s="2" t="s">
        <v>993</v>
      </c>
      <c r="AP2921" s="2">
        <v>11</v>
      </c>
      <c r="AQ2921" s="2" t="s">
        <v>82</v>
      </c>
      <c r="AR2921" s="2"/>
      <c r="AS2921" s="2"/>
      <c r="AT2921" s="2" t="s">
        <v>9636</v>
      </c>
      <c r="AU2921" s="2"/>
      <c r="AV2921" s="2"/>
      <c r="AW2921" s="2"/>
      <c r="AX2921" s="2"/>
      <c r="AY2921" s="2">
        <v>41</v>
      </c>
      <c r="AZ2921" s="2" t="s">
        <v>82</v>
      </c>
      <c r="BA2921" s="2">
        <v>41</v>
      </c>
      <c r="BB2921" s="2" t="s">
        <v>82</v>
      </c>
      <c r="BC2921" s="2">
        <v>41</v>
      </c>
      <c r="BD2921" s="2" t="s">
        <v>82</v>
      </c>
      <c r="BE2921" s="2">
        <v>41</v>
      </c>
      <c r="BF2921" s="2" t="s">
        <v>82</v>
      </c>
      <c r="BG2921" s="2"/>
      <c r="BH2921" s="2"/>
      <c r="BI2921" s="2"/>
      <c r="BJ2921" s="2">
        <v>241</v>
      </c>
      <c r="BK2921" s="2" t="s">
        <v>82</v>
      </c>
      <c r="BL2921" s="2"/>
      <c r="BM2921" s="2">
        <v>241</v>
      </c>
      <c r="BN2921" s="2" t="s">
        <v>82</v>
      </c>
      <c r="BO2921" s="2"/>
      <c r="BP2921" s="2">
        <v>241</v>
      </c>
      <c r="BQ2921" s="2" t="s">
        <v>82</v>
      </c>
      <c r="BR2921" s="2"/>
      <c r="BS2921" s="3">
        <v>40376</v>
      </c>
      <c r="BT2921" s="4">
        <v>0.4213541666666667</v>
      </c>
    </row>
    <row r="2922" spans="1:72" x14ac:dyDescent="0.25">
      <c r="A2922" s="2">
        <v>4312</v>
      </c>
      <c r="B2922" s="2">
        <v>2010</v>
      </c>
      <c r="C2922" s="2" t="s">
        <v>377</v>
      </c>
      <c r="D2922" s="2" t="s">
        <v>73</v>
      </c>
      <c r="E2922" s="2"/>
      <c r="F2922" s="2">
        <v>426</v>
      </c>
      <c r="G2922" s="2" t="s">
        <v>378</v>
      </c>
      <c r="H2922" s="2">
        <v>42</v>
      </c>
      <c r="I2922" s="2" t="s">
        <v>1096</v>
      </c>
      <c r="J2922" s="2">
        <v>311</v>
      </c>
      <c r="K2922" s="2" t="s">
        <v>379</v>
      </c>
      <c r="L2922" s="2" t="s">
        <v>380</v>
      </c>
      <c r="M2922" s="3">
        <v>40376</v>
      </c>
      <c r="N2922" s="2" t="s">
        <v>4427</v>
      </c>
      <c r="O2922" s="2"/>
      <c r="P2922" s="2"/>
      <c r="Q2922" s="2" t="str">
        <f>"170-C/10"</f>
        <v>170-C/10</v>
      </c>
      <c r="R2922" s="2" t="s">
        <v>4072</v>
      </c>
      <c r="S2922" s="2"/>
      <c r="T2922" s="2">
        <v>1</v>
      </c>
      <c r="U2922" s="2" t="s">
        <v>79</v>
      </c>
      <c r="V2922" s="2">
        <v>1</v>
      </c>
      <c r="W2922" s="2" t="s">
        <v>80</v>
      </c>
      <c r="X2922" s="2">
        <v>1</v>
      </c>
      <c r="Y2922" s="2" t="s">
        <v>81</v>
      </c>
      <c r="Z2922" s="2">
        <v>1</v>
      </c>
      <c r="AA2922" s="2" t="s">
        <v>82</v>
      </c>
      <c r="AB2922" s="2">
        <v>9</v>
      </c>
      <c r="AC2922" s="2" t="s">
        <v>124</v>
      </c>
      <c r="AD2922" s="3">
        <v>40376</v>
      </c>
      <c r="AE2922" s="4">
        <v>0.41666666666666669</v>
      </c>
      <c r="AF2922" s="2"/>
      <c r="AG2922" s="2"/>
      <c r="AH2922" s="2">
        <v>2</v>
      </c>
      <c r="AI2922" s="2" t="s">
        <v>84</v>
      </c>
      <c r="AJ2922" s="2">
        <v>9</v>
      </c>
      <c r="AK2922" s="2" t="s">
        <v>103</v>
      </c>
      <c r="AL2922" s="2">
        <v>29</v>
      </c>
      <c r="AM2922" s="2" t="s">
        <v>5416</v>
      </c>
      <c r="AN2922" s="2" t="s">
        <v>1345</v>
      </c>
      <c r="AO2922" s="2" t="s">
        <v>987</v>
      </c>
      <c r="AP2922" s="2">
        <v>11</v>
      </c>
      <c r="AQ2922" s="2" t="s">
        <v>82</v>
      </c>
      <c r="AR2922" s="2"/>
      <c r="AS2922" s="2"/>
      <c r="AT2922" s="2" t="s">
        <v>9637</v>
      </c>
      <c r="AU2922" s="2"/>
      <c r="AV2922" s="2"/>
      <c r="AW2922" s="2"/>
      <c r="AX2922" s="2"/>
      <c r="AY2922" s="2">
        <v>41</v>
      </c>
      <c r="AZ2922" s="2" t="s">
        <v>82</v>
      </c>
      <c r="BA2922" s="2">
        <v>41</v>
      </c>
      <c r="BB2922" s="2" t="s">
        <v>82</v>
      </c>
      <c r="BC2922" s="2">
        <v>41</v>
      </c>
      <c r="BD2922" s="2" t="s">
        <v>82</v>
      </c>
      <c r="BE2922" s="2">
        <v>41</v>
      </c>
      <c r="BF2922" s="2" t="s">
        <v>82</v>
      </c>
      <c r="BG2922" s="2"/>
      <c r="BH2922" s="2"/>
      <c r="BI2922" s="2"/>
      <c r="BJ2922" s="2">
        <v>241</v>
      </c>
      <c r="BK2922" s="2" t="s">
        <v>82</v>
      </c>
      <c r="BL2922" s="2"/>
      <c r="BM2922" s="2">
        <v>241</v>
      </c>
      <c r="BN2922" s="2" t="s">
        <v>82</v>
      </c>
      <c r="BO2922" s="2"/>
      <c r="BP2922" s="2">
        <v>241</v>
      </c>
      <c r="BQ2922" s="2" t="s">
        <v>82</v>
      </c>
      <c r="BR2922" s="2"/>
      <c r="BS2922" s="3">
        <v>40376</v>
      </c>
      <c r="BT2922" s="4">
        <v>0.50659722222222225</v>
      </c>
    </row>
    <row r="2923" spans="1:72" x14ac:dyDescent="0.25">
      <c r="A2923" s="2">
        <v>4314</v>
      </c>
      <c r="B2923" s="2">
        <v>2010</v>
      </c>
      <c r="C2923" s="2" t="s">
        <v>377</v>
      </c>
      <c r="D2923" s="2" t="s">
        <v>73</v>
      </c>
      <c r="E2923" s="2"/>
      <c r="F2923" s="2">
        <v>426</v>
      </c>
      <c r="G2923" s="2" t="s">
        <v>378</v>
      </c>
      <c r="H2923" s="2">
        <v>22</v>
      </c>
      <c r="I2923" s="2" t="s">
        <v>75</v>
      </c>
      <c r="J2923" s="2">
        <v>311</v>
      </c>
      <c r="K2923" s="2" t="s">
        <v>379</v>
      </c>
      <c r="L2923" s="2" t="s">
        <v>380</v>
      </c>
      <c r="M2923" s="3">
        <v>40376</v>
      </c>
      <c r="N2923" s="2" t="s">
        <v>8941</v>
      </c>
      <c r="O2923" s="2"/>
      <c r="P2923" s="2"/>
      <c r="Q2923" s="2" t="str">
        <f>"171-C/10"</f>
        <v>171-C/10</v>
      </c>
      <c r="R2923" s="2" t="s">
        <v>9638</v>
      </c>
      <c r="S2923" s="2"/>
      <c r="T2923" s="2">
        <v>1</v>
      </c>
      <c r="U2923" s="2" t="s">
        <v>79</v>
      </c>
      <c r="V2923" s="2">
        <v>1</v>
      </c>
      <c r="W2923" s="2" t="s">
        <v>80</v>
      </c>
      <c r="X2923" s="2">
        <v>1</v>
      </c>
      <c r="Y2923" s="2" t="s">
        <v>81</v>
      </c>
      <c r="Z2923" s="2">
        <v>1</v>
      </c>
      <c r="AA2923" s="2" t="s">
        <v>82</v>
      </c>
      <c r="AB2923" s="2">
        <v>9</v>
      </c>
      <c r="AC2923" s="2" t="s">
        <v>124</v>
      </c>
      <c r="AD2923" s="3">
        <v>40376</v>
      </c>
      <c r="AE2923" s="4">
        <v>0.64583333333333337</v>
      </c>
      <c r="AF2923" s="2"/>
      <c r="AG2923" s="2"/>
      <c r="AH2923" s="2">
        <v>2</v>
      </c>
      <c r="AI2923" s="2" t="s">
        <v>84</v>
      </c>
      <c r="AJ2923" s="2">
        <v>9</v>
      </c>
      <c r="AK2923" s="2" t="s">
        <v>103</v>
      </c>
      <c r="AL2923" s="2">
        <v>12</v>
      </c>
      <c r="AM2923" s="2" t="s">
        <v>86</v>
      </c>
      <c r="AN2923" s="2"/>
      <c r="AO2923" s="2" t="s">
        <v>3322</v>
      </c>
      <c r="AP2923" s="2">
        <v>11</v>
      </c>
      <c r="AQ2923" s="2" t="s">
        <v>82</v>
      </c>
      <c r="AR2923" s="2"/>
      <c r="AS2923" s="2"/>
      <c r="AT2923" s="2" t="s">
        <v>9639</v>
      </c>
      <c r="AU2923" s="2"/>
      <c r="AV2923" s="2"/>
      <c r="AW2923" s="2"/>
      <c r="AX2923" s="2"/>
      <c r="AY2923" s="2">
        <v>41</v>
      </c>
      <c r="AZ2923" s="2" t="s">
        <v>82</v>
      </c>
      <c r="BA2923" s="2">
        <v>41</v>
      </c>
      <c r="BB2923" s="2" t="s">
        <v>82</v>
      </c>
      <c r="BC2923" s="2">
        <v>41</v>
      </c>
      <c r="BD2923" s="2" t="s">
        <v>82</v>
      </c>
      <c r="BE2923" s="2">
        <v>41</v>
      </c>
      <c r="BF2923" s="2" t="s">
        <v>82</v>
      </c>
      <c r="BG2923" s="2"/>
      <c r="BH2923" s="2"/>
      <c r="BI2923" s="2"/>
      <c r="BJ2923" s="2">
        <v>241</v>
      </c>
      <c r="BK2923" s="2" t="s">
        <v>82</v>
      </c>
      <c r="BL2923" s="2"/>
      <c r="BM2923" s="2">
        <v>241</v>
      </c>
      <c r="BN2923" s="2" t="s">
        <v>82</v>
      </c>
      <c r="BO2923" s="2"/>
      <c r="BP2923" s="2">
        <v>241</v>
      </c>
      <c r="BQ2923" s="2" t="s">
        <v>82</v>
      </c>
      <c r="BR2923" s="2"/>
      <c r="BS2923" s="3">
        <v>40376</v>
      </c>
      <c r="BT2923" s="4">
        <v>0.76703703703703707</v>
      </c>
    </row>
    <row r="2924" spans="1:72" x14ac:dyDescent="0.25">
      <c r="A2924" s="2">
        <v>4315</v>
      </c>
      <c r="B2924" s="2">
        <v>2010</v>
      </c>
      <c r="C2924" s="2" t="s">
        <v>72</v>
      </c>
      <c r="D2924" s="2" t="s">
        <v>73</v>
      </c>
      <c r="E2924" s="2"/>
      <c r="F2924" s="2">
        <v>95</v>
      </c>
      <c r="G2924" s="2" t="s">
        <v>8360</v>
      </c>
      <c r="H2924" s="2">
        <v>42</v>
      </c>
      <c r="I2924" s="2" t="s">
        <v>1096</v>
      </c>
      <c r="J2924" s="2">
        <v>122</v>
      </c>
      <c r="K2924" s="2" t="s">
        <v>8361</v>
      </c>
      <c r="L2924" s="2" t="s">
        <v>8362</v>
      </c>
      <c r="M2924" s="3">
        <v>40376</v>
      </c>
      <c r="N2924" s="2" t="s">
        <v>8841</v>
      </c>
      <c r="O2924" s="2"/>
      <c r="P2924" s="2"/>
      <c r="Q2924" s="2" t="str">
        <f>"0024/2010"</f>
        <v>0024/2010</v>
      </c>
      <c r="R2924" s="2" t="s">
        <v>8842</v>
      </c>
      <c r="S2924" s="2" t="s">
        <v>8842</v>
      </c>
      <c r="T2924" s="2">
        <v>1</v>
      </c>
      <c r="U2924" s="2" t="s">
        <v>79</v>
      </c>
      <c r="V2924" s="2">
        <v>1</v>
      </c>
      <c r="W2924" s="2" t="s">
        <v>80</v>
      </c>
      <c r="X2924" s="2">
        <v>12</v>
      </c>
      <c r="Y2924" s="2" t="s">
        <v>148</v>
      </c>
      <c r="Z2924" s="2">
        <v>1</v>
      </c>
      <c r="AA2924" s="2" t="s">
        <v>82</v>
      </c>
      <c r="AB2924" s="2">
        <v>6</v>
      </c>
      <c r="AC2924" s="2" t="s">
        <v>83</v>
      </c>
      <c r="AD2924" s="3">
        <v>40376</v>
      </c>
      <c r="AE2924" s="4">
        <v>0.60416666666666663</v>
      </c>
      <c r="AF2924" s="3">
        <v>40376</v>
      </c>
      <c r="AG2924" s="4">
        <v>0.67708333333333337</v>
      </c>
      <c r="AH2924" s="2">
        <v>6</v>
      </c>
      <c r="AI2924" s="2" t="s">
        <v>197</v>
      </c>
      <c r="AJ2924" s="2">
        <v>50</v>
      </c>
      <c r="AK2924" s="2" t="s">
        <v>330</v>
      </c>
      <c r="AL2924" s="2">
        <v>24</v>
      </c>
      <c r="AM2924" s="2" t="s">
        <v>1540</v>
      </c>
      <c r="AN2924" s="2" t="s">
        <v>7727</v>
      </c>
      <c r="AO2924" s="2" t="s">
        <v>9640</v>
      </c>
      <c r="AP2924" s="2">
        <v>11</v>
      </c>
      <c r="AQ2924" s="2" t="s">
        <v>82</v>
      </c>
      <c r="AR2924" s="2"/>
      <c r="AS2924" s="2"/>
      <c r="AT2924" s="2" t="s">
        <v>9641</v>
      </c>
      <c r="AU2924" s="2"/>
      <c r="AV2924" s="2"/>
      <c r="AW2924" s="2"/>
      <c r="AX2924" s="2"/>
      <c r="AY2924" s="2">
        <v>41</v>
      </c>
      <c r="AZ2924" s="2" t="s">
        <v>82</v>
      </c>
      <c r="BA2924" s="2">
        <v>41</v>
      </c>
      <c r="BB2924" s="2" t="s">
        <v>82</v>
      </c>
      <c r="BC2924" s="2">
        <v>41</v>
      </c>
      <c r="BD2924" s="2" t="s">
        <v>82</v>
      </c>
      <c r="BE2924" s="2">
        <v>13</v>
      </c>
      <c r="BF2924" s="2" t="s">
        <v>108</v>
      </c>
      <c r="BG2924" s="2">
        <v>2682</v>
      </c>
      <c r="BH2924" s="4">
        <v>0.59722222222222221</v>
      </c>
      <c r="BI2924" s="2"/>
      <c r="BJ2924" s="2">
        <v>13</v>
      </c>
      <c r="BK2924" s="2" t="s">
        <v>91</v>
      </c>
      <c r="BL2924" s="2" t="s">
        <v>170</v>
      </c>
      <c r="BM2924" s="2">
        <v>241</v>
      </c>
      <c r="BN2924" s="2" t="s">
        <v>82</v>
      </c>
      <c r="BO2924" s="2"/>
      <c r="BP2924" s="2">
        <v>13</v>
      </c>
      <c r="BQ2924" s="2" t="s">
        <v>91</v>
      </c>
      <c r="BR2924" s="2" t="s">
        <v>1199</v>
      </c>
      <c r="BS2924" s="3">
        <v>40376</v>
      </c>
      <c r="BT2924" s="4">
        <v>0.78815972222222219</v>
      </c>
    </row>
    <row r="2925" spans="1:72" x14ac:dyDescent="0.25">
      <c r="A2925" s="2">
        <v>4316</v>
      </c>
      <c r="B2925" s="2">
        <v>2010</v>
      </c>
      <c r="C2925" s="2" t="s">
        <v>93</v>
      </c>
      <c r="D2925" s="2" t="s">
        <v>73</v>
      </c>
      <c r="E2925" s="2"/>
      <c r="F2925" s="2">
        <v>131</v>
      </c>
      <c r="G2925" s="2" t="s">
        <v>8806</v>
      </c>
      <c r="H2925" s="2">
        <v>108</v>
      </c>
      <c r="I2925" s="2" t="s">
        <v>1096</v>
      </c>
      <c r="J2925" s="2">
        <v>141</v>
      </c>
      <c r="K2925" s="2" t="s">
        <v>680</v>
      </c>
      <c r="L2925" s="2" t="s">
        <v>681</v>
      </c>
      <c r="M2925" s="3">
        <v>40376</v>
      </c>
      <c r="N2925" s="2" t="s">
        <v>9642</v>
      </c>
      <c r="O2925" s="2" t="s">
        <v>9643</v>
      </c>
      <c r="P2925" s="2" t="s">
        <v>107</v>
      </c>
      <c r="Q2925" s="2" t="str">
        <f>"N/C"</f>
        <v>N/C</v>
      </c>
      <c r="R2925" s="2" t="s">
        <v>82</v>
      </c>
      <c r="S2925" s="2" t="s">
        <v>82</v>
      </c>
      <c r="T2925" s="2">
        <v>1</v>
      </c>
      <c r="U2925" s="2" t="s">
        <v>79</v>
      </c>
      <c r="V2925" s="2">
        <v>1</v>
      </c>
      <c r="W2925" s="2" t="s">
        <v>80</v>
      </c>
      <c r="X2925" s="2">
        <v>1</v>
      </c>
      <c r="Y2925" s="2" t="s">
        <v>81</v>
      </c>
      <c r="Z2925" s="2">
        <v>10</v>
      </c>
      <c r="AA2925" s="2" t="s">
        <v>236</v>
      </c>
      <c r="AB2925" s="2">
        <v>2</v>
      </c>
      <c r="AC2925" s="2" t="s">
        <v>102</v>
      </c>
      <c r="AD2925" s="3">
        <v>40376</v>
      </c>
      <c r="AE2925" s="4">
        <v>0.76736111111111116</v>
      </c>
      <c r="AF2925" s="2"/>
      <c r="AG2925" s="2"/>
      <c r="AH2925" s="2">
        <v>6</v>
      </c>
      <c r="AI2925" s="2" t="s">
        <v>197</v>
      </c>
      <c r="AJ2925" s="2">
        <v>61</v>
      </c>
      <c r="AK2925" s="2" t="s">
        <v>686</v>
      </c>
      <c r="AL2925" s="2">
        <v>11</v>
      </c>
      <c r="AM2925" s="2" t="s">
        <v>137</v>
      </c>
      <c r="AN2925" s="2" t="s">
        <v>82</v>
      </c>
      <c r="AO2925" s="2" t="s">
        <v>9644</v>
      </c>
      <c r="AP2925" s="2">
        <v>11</v>
      </c>
      <c r="AQ2925" s="2" t="s">
        <v>82</v>
      </c>
      <c r="AR2925" s="2" t="s">
        <v>82</v>
      </c>
      <c r="AS2925" s="2" t="s">
        <v>82</v>
      </c>
      <c r="AT2925" s="2" t="s">
        <v>9645</v>
      </c>
      <c r="AU2925" s="2"/>
      <c r="AV2925" s="2"/>
      <c r="AW2925" s="2"/>
      <c r="AX2925" s="2"/>
      <c r="AY2925" s="2">
        <v>41</v>
      </c>
      <c r="AZ2925" s="2" t="s">
        <v>82</v>
      </c>
      <c r="BA2925" s="2">
        <v>41</v>
      </c>
      <c r="BB2925" s="2" t="s">
        <v>82</v>
      </c>
      <c r="BC2925" s="2">
        <v>41</v>
      </c>
      <c r="BD2925" s="2" t="s">
        <v>82</v>
      </c>
      <c r="BE2925" s="2">
        <v>13</v>
      </c>
      <c r="BF2925" s="2" t="s">
        <v>108</v>
      </c>
      <c r="BG2925" s="2" t="s">
        <v>9646</v>
      </c>
      <c r="BH2925" s="2"/>
      <c r="BI2925" s="4">
        <v>0.8125</v>
      </c>
      <c r="BJ2925" s="2">
        <v>13</v>
      </c>
      <c r="BK2925" s="2" t="s">
        <v>91</v>
      </c>
      <c r="BL2925" s="2" t="s">
        <v>690</v>
      </c>
      <c r="BM2925" s="2">
        <v>13</v>
      </c>
      <c r="BN2925" s="2" t="s">
        <v>91</v>
      </c>
      <c r="BO2925" s="2" t="s">
        <v>82</v>
      </c>
      <c r="BP2925" s="2">
        <v>13</v>
      </c>
      <c r="BQ2925" s="2" t="s">
        <v>91</v>
      </c>
      <c r="BR2925" s="2" t="s">
        <v>185</v>
      </c>
      <c r="BS2925" s="3">
        <v>40376</v>
      </c>
      <c r="BT2925" s="4">
        <v>0.82868055555555553</v>
      </c>
    </row>
    <row r="2926" spans="1:72" x14ac:dyDescent="0.25">
      <c r="A2926" s="2">
        <v>4317</v>
      </c>
      <c r="B2926" s="2">
        <v>2010</v>
      </c>
      <c r="C2926" s="2" t="s">
        <v>1402</v>
      </c>
      <c r="D2926" s="2" t="s">
        <v>73</v>
      </c>
      <c r="E2926" s="2"/>
      <c r="F2926" s="2">
        <v>221</v>
      </c>
      <c r="G2926" s="2" t="s">
        <v>8422</v>
      </c>
      <c r="H2926" s="2">
        <v>42</v>
      </c>
      <c r="I2926" s="2" t="s">
        <v>1096</v>
      </c>
      <c r="J2926" s="2">
        <v>620</v>
      </c>
      <c r="K2926" s="2" t="s">
        <v>9617</v>
      </c>
      <c r="L2926" s="2" t="s">
        <v>9618</v>
      </c>
      <c r="M2926" s="3">
        <v>40377</v>
      </c>
      <c r="N2926" s="2" t="s">
        <v>9619</v>
      </c>
      <c r="O2926" s="2" t="s">
        <v>107</v>
      </c>
      <c r="P2926" s="2" t="s">
        <v>107</v>
      </c>
      <c r="Q2926" s="2" t="str">
        <f>"267-A/10"</f>
        <v>267-A/10</v>
      </c>
      <c r="R2926" s="2" t="s">
        <v>107</v>
      </c>
      <c r="S2926" s="2" t="s">
        <v>9647</v>
      </c>
      <c r="T2926" s="2">
        <v>1</v>
      </c>
      <c r="U2926" s="2" t="s">
        <v>79</v>
      </c>
      <c r="V2926" s="2">
        <v>1</v>
      </c>
      <c r="W2926" s="2" t="s">
        <v>80</v>
      </c>
      <c r="X2926" s="2">
        <v>1</v>
      </c>
      <c r="Y2926" s="2" t="s">
        <v>81</v>
      </c>
      <c r="Z2926" s="2">
        <v>1</v>
      </c>
      <c r="AA2926" s="2" t="s">
        <v>82</v>
      </c>
      <c r="AB2926" s="2">
        <v>9</v>
      </c>
      <c r="AC2926" s="2" t="s">
        <v>124</v>
      </c>
      <c r="AD2926" s="3">
        <v>40376</v>
      </c>
      <c r="AE2926" s="4">
        <v>0.85763888888888884</v>
      </c>
      <c r="AF2926" s="2"/>
      <c r="AG2926" s="2"/>
      <c r="AH2926" s="2">
        <v>2</v>
      </c>
      <c r="AI2926" s="2" t="s">
        <v>84</v>
      </c>
      <c r="AJ2926" s="2">
        <v>12</v>
      </c>
      <c r="AK2926" s="2" t="s">
        <v>85</v>
      </c>
      <c r="AL2926" s="2">
        <v>25</v>
      </c>
      <c r="AM2926" s="2" t="s">
        <v>3073</v>
      </c>
      <c r="AN2926" s="2" t="s">
        <v>9648</v>
      </c>
      <c r="AO2926" s="2" t="s">
        <v>9649</v>
      </c>
      <c r="AP2926" s="2">
        <v>11</v>
      </c>
      <c r="AQ2926" s="2" t="s">
        <v>82</v>
      </c>
      <c r="AR2926" s="2"/>
      <c r="AS2926" s="2"/>
      <c r="AT2926" s="2" t="s">
        <v>9650</v>
      </c>
      <c r="AU2926" s="2"/>
      <c r="AV2926" s="2"/>
      <c r="AW2926" s="2"/>
      <c r="AX2926" s="2"/>
      <c r="AY2926" s="2">
        <v>41</v>
      </c>
      <c r="AZ2926" s="2" t="s">
        <v>82</v>
      </c>
      <c r="BA2926" s="2">
        <v>41</v>
      </c>
      <c r="BB2926" s="2" t="s">
        <v>82</v>
      </c>
      <c r="BC2926" s="2">
        <v>41</v>
      </c>
      <c r="BD2926" s="2" t="s">
        <v>82</v>
      </c>
      <c r="BE2926" s="2">
        <v>41</v>
      </c>
      <c r="BF2926" s="2" t="s">
        <v>82</v>
      </c>
      <c r="BG2926" s="2"/>
      <c r="BH2926" s="2"/>
      <c r="BI2926" s="2"/>
      <c r="BJ2926" s="2">
        <v>241</v>
      </c>
      <c r="BK2926" s="2" t="s">
        <v>82</v>
      </c>
      <c r="BL2926" s="2"/>
      <c r="BM2926" s="2">
        <v>241</v>
      </c>
      <c r="BN2926" s="2" t="s">
        <v>82</v>
      </c>
      <c r="BO2926" s="2"/>
      <c r="BP2926" s="2">
        <v>241</v>
      </c>
      <c r="BQ2926" s="2" t="s">
        <v>82</v>
      </c>
      <c r="BR2926" s="2"/>
      <c r="BS2926" s="3">
        <v>40377</v>
      </c>
      <c r="BT2926" s="4">
        <v>0.24611111111111109</v>
      </c>
    </row>
    <row r="2927" spans="1:72" x14ac:dyDescent="0.25">
      <c r="A2927" s="2">
        <v>4318</v>
      </c>
      <c r="B2927" s="2">
        <v>2010</v>
      </c>
      <c r="C2927" s="2" t="s">
        <v>554</v>
      </c>
      <c r="D2927" s="2" t="s">
        <v>73</v>
      </c>
      <c r="E2927" s="2"/>
      <c r="F2927" s="2">
        <v>221</v>
      </c>
      <c r="G2927" s="2" t="s">
        <v>8422</v>
      </c>
      <c r="H2927" s="2">
        <v>42</v>
      </c>
      <c r="I2927" s="2" t="s">
        <v>1096</v>
      </c>
      <c r="J2927" s="2">
        <v>620</v>
      </c>
      <c r="K2927" s="2" t="s">
        <v>9617</v>
      </c>
      <c r="L2927" s="2" t="s">
        <v>9618</v>
      </c>
      <c r="M2927" s="3">
        <v>40377</v>
      </c>
      <c r="N2927" s="2" t="s">
        <v>9619</v>
      </c>
      <c r="O2927" s="2" t="s">
        <v>107</v>
      </c>
      <c r="P2927" s="2" t="s">
        <v>107</v>
      </c>
      <c r="Q2927" s="2" t="str">
        <f>"268-A/10"</f>
        <v>268-A/10</v>
      </c>
      <c r="R2927" s="2" t="s">
        <v>107</v>
      </c>
      <c r="S2927" s="2" t="s">
        <v>9651</v>
      </c>
      <c r="T2927" s="2">
        <v>1</v>
      </c>
      <c r="U2927" s="2" t="s">
        <v>79</v>
      </c>
      <c r="V2927" s="2">
        <v>1</v>
      </c>
      <c r="W2927" s="2" t="s">
        <v>80</v>
      </c>
      <c r="X2927" s="2">
        <v>12</v>
      </c>
      <c r="Y2927" s="2" t="s">
        <v>148</v>
      </c>
      <c r="Z2927" s="2">
        <v>1</v>
      </c>
      <c r="AA2927" s="2" t="s">
        <v>82</v>
      </c>
      <c r="AB2927" s="2">
        <v>5</v>
      </c>
      <c r="AC2927" s="2" t="s">
        <v>559</v>
      </c>
      <c r="AD2927" s="3">
        <v>40376</v>
      </c>
      <c r="AE2927" s="2"/>
      <c r="AF2927" s="3">
        <v>40376</v>
      </c>
      <c r="AG2927" s="4">
        <v>0.9375</v>
      </c>
      <c r="AH2927" s="2">
        <v>2</v>
      </c>
      <c r="AI2927" s="2" t="s">
        <v>84</v>
      </c>
      <c r="AJ2927" s="2">
        <v>12</v>
      </c>
      <c r="AK2927" s="2" t="s">
        <v>85</v>
      </c>
      <c r="AL2927" s="2">
        <v>12</v>
      </c>
      <c r="AM2927" s="2" t="s">
        <v>86</v>
      </c>
      <c r="AN2927" s="2" t="s">
        <v>9652</v>
      </c>
      <c r="AO2927" s="2" t="s">
        <v>1945</v>
      </c>
      <c r="AP2927" s="2">
        <v>11</v>
      </c>
      <c r="AQ2927" s="2" t="s">
        <v>82</v>
      </c>
      <c r="AR2927" s="2"/>
      <c r="AS2927" s="2"/>
      <c r="AT2927" s="2" t="s">
        <v>9653</v>
      </c>
      <c r="AU2927" s="2"/>
      <c r="AV2927" s="2"/>
      <c r="AW2927" s="2"/>
      <c r="AX2927" s="2"/>
      <c r="AY2927" s="2">
        <v>41</v>
      </c>
      <c r="AZ2927" s="2" t="s">
        <v>82</v>
      </c>
      <c r="BA2927" s="2">
        <v>41</v>
      </c>
      <c r="BB2927" s="2" t="s">
        <v>82</v>
      </c>
      <c r="BC2927" s="2">
        <v>13</v>
      </c>
      <c r="BD2927" s="2" t="s">
        <v>108</v>
      </c>
      <c r="BE2927" s="2">
        <v>41</v>
      </c>
      <c r="BF2927" s="2" t="s">
        <v>82</v>
      </c>
      <c r="BG2927" s="2"/>
      <c r="BH2927" s="2"/>
      <c r="BI2927" s="2"/>
      <c r="BJ2927" s="2">
        <v>241</v>
      </c>
      <c r="BK2927" s="2" t="s">
        <v>82</v>
      </c>
      <c r="BL2927" s="2"/>
      <c r="BM2927" s="2">
        <v>241</v>
      </c>
      <c r="BN2927" s="2" t="s">
        <v>82</v>
      </c>
      <c r="BO2927" s="2"/>
      <c r="BP2927" s="2">
        <v>241</v>
      </c>
      <c r="BQ2927" s="2" t="s">
        <v>82</v>
      </c>
      <c r="BR2927" s="2"/>
      <c r="BS2927" s="3">
        <v>40377</v>
      </c>
      <c r="BT2927" s="4">
        <v>0.30659722222222224</v>
      </c>
    </row>
    <row r="2928" spans="1:72" x14ac:dyDescent="0.25">
      <c r="A2928" s="2">
        <v>4319</v>
      </c>
      <c r="B2928" s="2">
        <v>2010</v>
      </c>
      <c r="C2928" s="2" t="s">
        <v>554</v>
      </c>
      <c r="D2928" s="2" t="s">
        <v>73</v>
      </c>
      <c r="E2928" s="2"/>
      <c r="F2928" s="2">
        <v>221</v>
      </c>
      <c r="G2928" s="2" t="s">
        <v>8422</v>
      </c>
      <c r="H2928" s="2">
        <v>42</v>
      </c>
      <c r="I2928" s="2" t="s">
        <v>1096</v>
      </c>
      <c r="J2928" s="2">
        <v>620</v>
      </c>
      <c r="K2928" s="2" t="s">
        <v>9617</v>
      </c>
      <c r="L2928" s="2" t="s">
        <v>9618</v>
      </c>
      <c r="M2928" s="3">
        <v>40377</v>
      </c>
      <c r="N2928" s="2" t="s">
        <v>9619</v>
      </c>
      <c r="O2928" s="2" t="s">
        <v>107</v>
      </c>
      <c r="P2928" s="2" t="s">
        <v>107</v>
      </c>
      <c r="Q2928" s="2" t="str">
        <f>"269-A/10"</f>
        <v>269-A/10</v>
      </c>
      <c r="R2928" s="2" t="s">
        <v>107</v>
      </c>
      <c r="S2928" s="2" t="s">
        <v>9651</v>
      </c>
      <c r="T2928" s="2">
        <v>1</v>
      </c>
      <c r="U2928" s="2" t="s">
        <v>79</v>
      </c>
      <c r="V2928" s="2">
        <v>1</v>
      </c>
      <c r="W2928" s="2" t="s">
        <v>80</v>
      </c>
      <c r="X2928" s="2">
        <v>12</v>
      </c>
      <c r="Y2928" s="2" t="s">
        <v>148</v>
      </c>
      <c r="Z2928" s="2">
        <v>1</v>
      </c>
      <c r="AA2928" s="2" t="s">
        <v>82</v>
      </c>
      <c r="AB2928" s="2">
        <v>5</v>
      </c>
      <c r="AC2928" s="2" t="s">
        <v>559</v>
      </c>
      <c r="AD2928" s="3">
        <v>40376</v>
      </c>
      <c r="AE2928" s="2"/>
      <c r="AF2928" s="3">
        <v>40377</v>
      </c>
      <c r="AG2928" s="4">
        <v>4.1666666666666664E-2</v>
      </c>
      <c r="AH2928" s="2">
        <v>2</v>
      </c>
      <c r="AI2928" s="2" t="s">
        <v>84</v>
      </c>
      <c r="AJ2928" s="2">
        <v>12</v>
      </c>
      <c r="AK2928" s="2" t="s">
        <v>85</v>
      </c>
      <c r="AL2928" s="2">
        <v>12</v>
      </c>
      <c r="AM2928" s="2" t="s">
        <v>86</v>
      </c>
      <c r="AN2928" s="2" t="s">
        <v>9652</v>
      </c>
      <c r="AO2928" s="2" t="s">
        <v>1945</v>
      </c>
      <c r="AP2928" s="2">
        <v>11</v>
      </c>
      <c r="AQ2928" s="2" t="s">
        <v>82</v>
      </c>
      <c r="AR2928" s="2"/>
      <c r="AS2928" s="2"/>
      <c r="AT2928" s="2" t="s">
        <v>9654</v>
      </c>
      <c r="AU2928" s="2"/>
      <c r="AV2928" s="2"/>
      <c r="AW2928" s="2"/>
      <c r="AX2928" s="2"/>
      <c r="AY2928" s="2">
        <v>41</v>
      </c>
      <c r="AZ2928" s="2" t="s">
        <v>82</v>
      </c>
      <c r="BA2928" s="2">
        <v>41</v>
      </c>
      <c r="BB2928" s="2" t="s">
        <v>82</v>
      </c>
      <c r="BC2928" s="2">
        <v>13</v>
      </c>
      <c r="BD2928" s="2" t="s">
        <v>108</v>
      </c>
      <c r="BE2928" s="2">
        <v>41</v>
      </c>
      <c r="BF2928" s="2" t="s">
        <v>82</v>
      </c>
      <c r="BG2928" s="2"/>
      <c r="BH2928" s="2"/>
      <c r="BI2928" s="2"/>
      <c r="BJ2928" s="2">
        <v>241</v>
      </c>
      <c r="BK2928" s="2" t="s">
        <v>82</v>
      </c>
      <c r="BL2928" s="2"/>
      <c r="BM2928" s="2">
        <v>241</v>
      </c>
      <c r="BN2928" s="2" t="s">
        <v>82</v>
      </c>
      <c r="BO2928" s="2"/>
      <c r="BP2928" s="2">
        <v>241</v>
      </c>
      <c r="BQ2928" s="2" t="s">
        <v>82</v>
      </c>
      <c r="BR2928" s="2"/>
      <c r="BS2928" s="3">
        <v>40377</v>
      </c>
      <c r="BT2928" s="4">
        <v>0.32495370370370369</v>
      </c>
    </row>
    <row r="2929" spans="1:72" x14ac:dyDescent="0.25">
      <c r="A2929" s="2">
        <v>4320</v>
      </c>
      <c r="B2929" s="2">
        <v>2010</v>
      </c>
      <c r="C2929" s="2" t="s">
        <v>554</v>
      </c>
      <c r="D2929" s="2" t="s">
        <v>73</v>
      </c>
      <c r="E2929" s="2"/>
      <c r="F2929" s="2">
        <v>221</v>
      </c>
      <c r="G2929" s="2" t="s">
        <v>8422</v>
      </c>
      <c r="H2929" s="2">
        <v>42</v>
      </c>
      <c r="I2929" s="2" t="s">
        <v>1096</v>
      </c>
      <c r="J2929" s="2">
        <v>620</v>
      </c>
      <c r="K2929" s="2" t="s">
        <v>9617</v>
      </c>
      <c r="L2929" s="2" t="s">
        <v>9618</v>
      </c>
      <c r="M2929" s="3">
        <v>40377</v>
      </c>
      <c r="N2929" s="2" t="s">
        <v>9655</v>
      </c>
      <c r="O2929" s="2" t="s">
        <v>107</v>
      </c>
      <c r="P2929" s="2" t="s">
        <v>107</v>
      </c>
      <c r="Q2929" s="2" t="str">
        <f>"270-A/10"</f>
        <v>270-A/10</v>
      </c>
      <c r="R2929" s="2" t="s">
        <v>107</v>
      </c>
      <c r="S2929" s="2" t="s">
        <v>9651</v>
      </c>
      <c r="T2929" s="2">
        <v>1</v>
      </c>
      <c r="U2929" s="2" t="s">
        <v>79</v>
      </c>
      <c r="V2929" s="2">
        <v>1</v>
      </c>
      <c r="W2929" s="2" t="s">
        <v>80</v>
      </c>
      <c r="X2929" s="2">
        <v>12</v>
      </c>
      <c r="Y2929" s="2" t="s">
        <v>148</v>
      </c>
      <c r="Z2929" s="2">
        <v>1</v>
      </c>
      <c r="AA2929" s="2" t="s">
        <v>82</v>
      </c>
      <c r="AB2929" s="2">
        <v>5</v>
      </c>
      <c r="AC2929" s="2" t="s">
        <v>559</v>
      </c>
      <c r="AD2929" s="3">
        <v>40376</v>
      </c>
      <c r="AE2929" s="4">
        <v>0.77777777777777779</v>
      </c>
      <c r="AF2929" s="3">
        <v>40377</v>
      </c>
      <c r="AG2929" s="4">
        <v>4.7222222222222221E-2</v>
      </c>
      <c r="AH2929" s="2">
        <v>2</v>
      </c>
      <c r="AI2929" s="2" t="s">
        <v>84</v>
      </c>
      <c r="AJ2929" s="2">
        <v>12</v>
      </c>
      <c r="AK2929" s="2" t="s">
        <v>85</v>
      </c>
      <c r="AL2929" s="2">
        <v>12</v>
      </c>
      <c r="AM2929" s="2" t="s">
        <v>86</v>
      </c>
      <c r="AN2929" s="2" t="s">
        <v>9656</v>
      </c>
      <c r="AO2929" s="2" t="s">
        <v>1945</v>
      </c>
      <c r="AP2929" s="2">
        <v>11</v>
      </c>
      <c r="AQ2929" s="2" t="s">
        <v>82</v>
      </c>
      <c r="AR2929" s="2"/>
      <c r="AS2929" s="2"/>
      <c r="AT2929" s="2" t="s">
        <v>9657</v>
      </c>
      <c r="AU2929" s="2"/>
      <c r="AV2929" s="2"/>
      <c r="AW2929" s="2"/>
      <c r="AX2929" s="2"/>
      <c r="AY2929" s="2">
        <v>41</v>
      </c>
      <c r="AZ2929" s="2" t="s">
        <v>82</v>
      </c>
      <c r="BA2929" s="2">
        <v>41</v>
      </c>
      <c r="BB2929" s="2" t="s">
        <v>82</v>
      </c>
      <c r="BC2929" s="2">
        <v>13</v>
      </c>
      <c r="BD2929" s="2" t="s">
        <v>108</v>
      </c>
      <c r="BE2929" s="2">
        <v>41</v>
      </c>
      <c r="BF2929" s="2" t="s">
        <v>82</v>
      </c>
      <c r="BG2929" s="2"/>
      <c r="BH2929" s="2"/>
      <c r="BI2929" s="2"/>
      <c r="BJ2929" s="2">
        <v>241</v>
      </c>
      <c r="BK2929" s="2" t="s">
        <v>82</v>
      </c>
      <c r="BL2929" s="2"/>
      <c r="BM2929" s="2">
        <v>241</v>
      </c>
      <c r="BN2929" s="2" t="s">
        <v>82</v>
      </c>
      <c r="BO2929" s="2"/>
      <c r="BP2929" s="2">
        <v>241</v>
      </c>
      <c r="BQ2929" s="2" t="s">
        <v>82</v>
      </c>
      <c r="BR2929" s="2"/>
      <c r="BS2929" s="3">
        <v>40377</v>
      </c>
      <c r="BT2929" s="4">
        <v>0.34909722222222223</v>
      </c>
    </row>
    <row r="2930" spans="1:72" x14ac:dyDescent="0.25">
      <c r="A2930" s="2">
        <v>4321</v>
      </c>
      <c r="B2930" s="2">
        <v>2010</v>
      </c>
      <c r="C2930" s="2" t="s">
        <v>72</v>
      </c>
      <c r="D2930" s="2" t="s">
        <v>73</v>
      </c>
      <c r="E2930" s="2"/>
      <c r="F2930" s="2">
        <v>221</v>
      </c>
      <c r="G2930" s="2" t="s">
        <v>8422</v>
      </c>
      <c r="H2930" s="2">
        <v>42</v>
      </c>
      <c r="I2930" s="2" t="s">
        <v>1096</v>
      </c>
      <c r="J2930" s="2">
        <v>620</v>
      </c>
      <c r="K2930" s="2" t="s">
        <v>9617</v>
      </c>
      <c r="L2930" s="2" t="s">
        <v>9618</v>
      </c>
      <c r="M2930" s="3">
        <v>40377</v>
      </c>
      <c r="N2930" s="2" t="s">
        <v>9619</v>
      </c>
      <c r="O2930" s="2" t="s">
        <v>107</v>
      </c>
      <c r="P2930" s="2" t="s">
        <v>107</v>
      </c>
      <c r="Q2930" s="2" t="str">
        <f>"271-A/10"</f>
        <v>271-A/10</v>
      </c>
      <c r="R2930" s="2" t="s">
        <v>107</v>
      </c>
      <c r="S2930" s="2" t="s">
        <v>1547</v>
      </c>
      <c r="T2930" s="2">
        <v>1</v>
      </c>
      <c r="U2930" s="2" t="s">
        <v>79</v>
      </c>
      <c r="V2930" s="2">
        <v>1</v>
      </c>
      <c r="W2930" s="2" t="s">
        <v>80</v>
      </c>
      <c r="X2930" s="2">
        <v>12</v>
      </c>
      <c r="Y2930" s="2" t="s">
        <v>148</v>
      </c>
      <c r="Z2930" s="2">
        <v>1</v>
      </c>
      <c r="AA2930" s="2" t="s">
        <v>82</v>
      </c>
      <c r="AB2930" s="2">
        <v>6</v>
      </c>
      <c r="AC2930" s="2" t="s">
        <v>83</v>
      </c>
      <c r="AD2930" s="2"/>
      <c r="AE2930" s="2"/>
      <c r="AF2930" s="3">
        <v>40377</v>
      </c>
      <c r="AG2930" s="4">
        <v>0.1076388888888889</v>
      </c>
      <c r="AH2930" s="2">
        <v>2</v>
      </c>
      <c r="AI2930" s="2" t="s">
        <v>84</v>
      </c>
      <c r="AJ2930" s="2">
        <v>12</v>
      </c>
      <c r="AK2930" s="2" t="s">
        <v>85</v>
      </c>
      <c r="AL2930" s="2">
        <v>22</v>
      </c>
      <c r="AM2930" s="2" t="s">
        <v>1853</v>
      </c>
      <c r="AN2930" s="2"/>
      <c r="AO2930" s="2" t="s">
        <v>9658</v>
      </c>
      <c r="AP2930" s="2">
        <v>11</v>
      </c>
      <c r="AQ2930" s="2" t="s">
        <v>82</v>
      </c>
      <c r="AR2930" s="2"/>
      <c r="AS2930" s="2"/>
      <c r="AT2930" s="2" t="s">
        <v>9659</v>
      </c>
      <c r="AU2930" s="2"/>
      <c r="AV2930" s="2"/>
      <c r="AW2930" s="2"/>
      <c r="AX2930" s="2"/>
      <c r="AY2930" s="2">
        <v>41</v>
      </c>
      <c r="AZ2930" s="2" t="s">
        <v>82</v>
      </c>
      <c r="BA2930" s="2">
        <v>41</v>
      </c>
      <c r="BB2930" s="2" t="s">
        <v>82</v>
      </c>
      <c r="BC2930" s="2">
        <v>41</v>
      </c>
      <c r="BD2930" s="2" t="s">
        <v>82</v>
      </c>
      <c r="BE2930" s="2">
        <v>47</v>
      </c>
      <c r="BF2930" s="2" t="s">
        <v>167</v>
      </c>
      <c r="BG2930" s="2" t="s">
        <v>8990</v>
      </c>
      <c r="BH2930" s="4">
        <v>0.81597222222222221</v>
      </c>
      <c r="BI2930" s="4">
        <v>0.69097222222222221</v>
      </c>
      <c r="BJ2930" s="2">
        <v>13</v>
      </c>
      <c r="BK2930" s="2" t="s">
        <v>91</v>
      </c>
      <c r="BL2930" s="2" t="s">
        <v>2027</v>
      </c>
      <c r="BM2930" s="2">
        <v>241</v>
      </c>
      <c r="BN2930" s="2" t="s">
        <v>82</v>
      </c>
      <c r="BO2930" s="2" t="s">
        <v>82</v>
      </c>
      <c r="BP2930" s="2">
        <v>13</v>
      </c>
      <c r="BQ2930" s="2" t="s">
        <v>91</v>
      </c>
      <c r="BR2930" s="2" t="s">
        <v>564</v>
      </c>
      <c r="BS2930" s="3">
        <v>40377</v>
      </c>
      <c r="BT2930" s="4">
        <v>0.3709027777777778</v>
      </c>
    </row>
    <row r="2931" spans="1:72" x14ac:dyDescent="0.25">
      <c r="A2931" s="2">
        <v>4322</v>
      </c>
      <c r="B2931" s="2">
        <v>2010</v>
      </c>
      <c r="C2931" s="2" t="s">
        <v>4543</v>
      </c>
      <c r="D2931" s="2" t="s">
        <v>122</v>
      </c>
      <c r="E2931" s="2"/>
      <c r="F2931" s="2">
        <v>146</v>
      </c>
      <c r="G2931" s="2" t="s">
        <v>753</v>
      </c>
      <c r="H2931" s="2">
        <v>24</v>
      </c>
      <c r="I2931" s="2" t="s">
        <v>287</v>
      </c>
      <c r="J2931" s="2">
        <v>161</v>
      </c>
      <c r="K2931" s="2" t="s">
        <v>1900</v>
      </c>
      <c r="L2931" s="2" t="s">
        <v>1901</v>
      </c>
      <c r="M2931" s="3">
        <v>40377</v>
      </c>
      <c r="N2931" s="2" t="s">
        <v>756</v>
      </c>
      <c r="O2931" s="2" t="s">
        <v>9660</v>
      </c>
      <c r="P2931" s="2">
        <v>2581</v>
      </c>
      <c r="Q2931" s="2" t="str">
        <f>"N/C"</f>
        <v>N/C</v>
      </c>
      <c r="R2931" s="2" t="s">
        <v>82</v>
      </c>
      <c r="S2931" s="2" t="s">
        <v>82</v>
      </c>
      <c r="T2931" s="2">
        <v>2</v>
      </c>
      <c r="U2931" s="2" t="s">
        <v>123</v>
      </c>
      <c r="V2931" s="2">
        <v>1</v>
      </c>
      <c r="W2931" s="2" t="s">
        <v>80</v>
      </c>
      <c r="X2931" s="2">
        <v>4</v>
      </c>
      <c r="Y2931" s="2" t="s">
        <v>463</v>
      </c>
      <c r="Z2931" s="2">
        <v>10</v>
      </c>
      <c r="AA2931" s="2" t="s">
        <v>236</v>
      </c>
      <c r="AB2931" s="2">
        <v>9</v>
      </c>
      <c r="AC2931" s="2" t="s">
        <v>124</v>
      </c>
      <c r="AD2931" s="3">
        <v>40377</v>
      </c>
      <c r="AE2931" s="4">
        <v>0.45833333333333331</v>
      </c>
      <c r="AF2931" s="2"/>
      <c r="AG2931" s="2"/>
      <c r="AH2931" s="2">
        <v>6</v>
      </c>
      <c r="AI2931" s="2" t="s">
        <v>197</v>
      </c>
      <c r="AJ2931" s="2">
        <v>60</v>
      </c>
      <c r="AK2931" s="2" t="s">
        <v>543</v>
      </c>
      <c r="AL2931" s="2">
        <v>19</v>
      </c>
      <c r="AM2931" s="2" t="s">
        <v>107</v>
      </c>
      <c r="AN2931" s="2" t="s">
        <v>82</v>
      </c>
      <c r="AO2931" s="2" t="s">
        <v>2249</v>
      </c>
      <c r="AP2931" s="2">
        <v>11</v>
      </c>
      <c r="AQ2931" s="2" t="s">
        <v>82</v>
      </c>
      <c r="AR2931" s="2"/>
      <c r="AS2931" s="2"/>
      <c r="AT2931" s="2" t="s">
        <v>9661</v>
      </c>
      <c r="AU2931" s="2"/>
      <c r="AV2931" s="2"/>
      <c r="AW2931" s="2"/>
      <c r="AX2931" s="2"/>
      <c r="AY2931" s="2">
        <v>41</v>
      </c>
      <c r="AZ2931" s="2" t="s">
        <v>82</v>
      </c>
      <c r="BA2931" s="2">
        <v>41</v>
      </c>
      <c r="BB2931" s="2" t="s">
        <v>82</v>
      </c>
      <c r="BC2931" s="2">
        <v>41</v>
      </c>
      <c r="BD2931" s="2" t="s">
        <v>82</v>
      </c>
      <c r="BE2931" s="2">
        <v>49</v>
      </c>
      <c r="BF2931" s="2" t="s">
        <v>1254</v>
      </c>
      <c r="BG2931" s="2" t="s">
        <v>9662</v>
      </c>
      <c r="BH2931" s="4">
        <v>0.4375</v>
      </c>
      <c r="BI2931" s="4">
        <v>0.45833333333333331</v>
      </c>
      <c r="BJ2931" s="2">
        <v>13</v>
      </c>
      <c r="BK2931" s="2" t="s">
        <v>91</v>
      </c>
      <c r="BL2931" s="2" t="s">
        <v>895</v>
      </c>
      <c r="BM2931" s="2">
        <v>13</v>
      </c>
      <c r="BN2931" s="2" t="s">
        <v>91</v>
      </c>
      <c r="BO2931" s="2" t="s">
        <v>204</v>
      </c>
      <c r="BP2931" s="2">
        <v>13</v>
      </c>
      <c r="BQ2931" s="2" t="s">
        <v>91</v>
      </c>
      <c r="BR2931" s="2" t="s">
        <v>353</v>
      </c>
      <c r="BS2931" s="3">
        <v>40377</v>
      </c>
      <c r="BT2931" s="4">
        <v>0.50103009259259257</v>
      </c>
    </row>
    <row r="2932" spans="1:72" x14ac:dyDescent="0.25">
      <c r="A2932" s="2">
        <v>4323</v>
      </c>
      <c r="B2932" s="2">
        <v>2010</v>
      </c>
      <c r="C2932" s="2" t="s">
        <v>4543</v>
      </c>
      <c r="D2932" s="2" t="s">
        <v>122</v>
      </c>
      <c r="E2932" s="2"/>
      <c r="F2932" s="2">
        <v>146</v>
      </c>
      <c r="G2932" s="2" t="s">
        <v>753</v>
      </c>
      <c r="H2932" s="2">
        <v>44</v>
      </c>
      <c r="I2932" s="2" t="s">
        <v>1272</v>
      </c>
      <c r="J2932" s="2">
        <v>439</v>
      </c>
      <c r="K2932" s="2" t="s">
        <v>2827</v>
      </c>
      <c r="L2932" s="2" t="s">
        <v>2828</v>
      </c>
      <c r="M2932" s="3">
        <v>40377</v>
      </c>
      <c r="N2932" s="2" t="s">
        <v>9663</v>
      </c>
      <c r="O2932" s="2" t="s">
        <v>9664</v>
      </c>
      <c r="P2932" s="7">
        <v>18490</v>
      </c>
      <c r="Q2932" s="2" t="str">
        <f>"N/C"</f>
        <v>N/C</v>
      </c>
      <c r="R2932" s="2" t="s">
        <v>2041</v>
      </c>
      <c r="S2932" s="2" t="s">
        <v>82</v>
      </c>
      <c r="T2932" s="2">
        <v>2</v>
      </c>
      <c r="U2932" s="2" t="s">
        <v>123</v>
      </c>
      <c r="V2932" s="2">
        <v>1</v>
      </c>
      <c r="W2932" s="2" t="s">
        <v>80</v>
      </c>
      <c r="X2932" s="2">
        <v>4</v>
      </c>
      <c r="Y2932" s="2" t="s">
        <v>463</v>
      </c>
      <c r="Z2932" s="2">
        <v>10</v>
      </c>
      <c r="AA2932" s="2" t="s">
        <v>236</v>
      </c>
      <c r="AB2932" s="2">
        <v>9</v>
      </c>
      <c r="AC2932" s="2" t="s">
        <v>124</v>
      </c>
      <c r="AD2932" s="3">
        <v>40377</v>
      </c>
      <c r="AE2932" s="4">
        <v>0.45833333333333331</v>
      </c>
      <c r="AF2932" s="2"/>
      <c r="AG2932" s="2"/>
      <c r="AH2932" s="2">
        <v>6</v>
      </c>
      <c r="AI2932" s="2" t="s">
        <v>197</v>
      </c>
      <c r="AJ2932" s="2">
        <v>60</v>
      </c>
      <c r="AK2932" s="2" t="s">
        <v>543</v>
      </c>
      <c r="AL2932" s="2">
        <v>19</v>
      </c>
      <c r="AM2932" s="2" t="s">
        <v>107</v>
      </c>
      <c r="AN2932" s="2" t="s">
        <v>82</v>
      </c>
      <c r="AO2932" s="2" t="s">
        <v>2249</v>
      </c>
      <c r="AP2932" s="2">
        <v>11</v>
      </c>
      <c r="AQ2932" s="2" t="s">
        <v>82</v>
      </c>
      <c r="AR2932" s="2"/>
      <c r="AS2932" s="2"/>
      <c r="AT2932" s="2" t="s">
        <v>9665</v>
      </c>
      <c r="AU2932" s="2"/>
      <c r="AV2932" s="2"/>
      <c r="AW2932" s="2"/>
      <c r="AX2932" s="2"/>
      <c r="AY2932" s="2">
        <v>41</v>
      </c>
      <c r="AZ2932" s="2" t="s">
        <v>82</v>
      </c>
      <c r="BA2932" s="2">
        <v>41</v>
      </c>
      <c r="BB2932" s="2" t="s">
        <v>82</v>
      </c>
      <c r="BC2932" s="2">
        <v>41</v>
      </c>
      <c r="BD2932" s="2" t="s">
        <v>82</v>
      </c>
      <c r="BE2932" s="2">
        <v>49</v>
      </c>
      <c r="BF2932" s="2" t="s">
        <v>1254</v>
      </c>
      <c r="BG2932" s="2" t="s">
        <v>9662</v>
      </c>
      <c r="BH2932" s="4">
        <v>0.4375</v>
      </c>
      <c r="BI2932" s="4">
        <v>0.45833333333333331</v>
      </c>
      <c r="BJ2932" s="2">
        <v>13</v>
      </c>
      <c r="BK2932" s="2" t="s">
        <v>91</v>
      </c>
      <c r="BL2932" s="2" t="s">
        <v>895</v>
      </c>
      <c r="BM2932" s="2">
        <v>13</v>
      </c>
      <c r="BN2932" s="2" t="s">
        <v>91</v>
      </c>
      <c r="BO2932" s="2" t="s">
        <v>204</v>
      </c>
      <c r="BP2932" s="2">
        <v>13</v>
      </c>
      <c r="BQ2932" s="2" t="s">
        <v>91</v>
      </c>
      <c r="BR2932" s="2" t="s">
        <v>353</v>
      </c>
      <c r="BS2932" s="3">
        <v>40377</v>
      </c>
      <c r="BT2932" s="4">
        <v>0.51589120370370367</v>
      </c>
    </row>
    <row r="2933" spans="1:72" x14ac:dyDescent="0.25">
      <c r="A2933" s="2">
        <v>4324</v>
      </c>
      <c r="B2933" s="2">
        <v>2010</v>
      </c>
      <c r="C2933" s="2" t="s">
        <v>764</v>
      </c>
      <c r="D2933" s="2" t="s">
        <v>73</v>
      </c>
      <c r="E2933" s="2"/>
      <c r="F2933" s="2">
        <v>483</v>
      </c>
      <c r="G2933" s="2" t="s">
        <v>1477</v>
      </c>
      <c r="H2933" s="2">
        <v>10</v>
      </c>
      <c r="I2933" s="2" t="s">
        <v>1031</v>
      </c>
      <c r="J2933" s="2">
        <v>167</v>
      </c>
      <c r="K2933" s="2" t="s">
        <v>1032</v>
      </c>
      <c r="L2933" s="2" t="s">
        <v>1033</v>
      </c>
      <c r="M2933" s="3">
        <v>40377</v>
      </c>
      <c r="N2933" s="2" t="s">
        <v>9666</v>
      </c>
      <c r="O2933" s="2"/>
      <c r="P2933" s="2"/>
      <c r="Q2933" s="2" t="str">
        <f>"272-A/10"</f>
        <v>272-A/10</v>
      </c>
      <c r="R2933" s="2"/>
      <c r="S2933" s="2" t="s">
        <v>9667</v>
      </c>
      <c r="T2933" s="2">
        <v>1</v>
      </c>
      <c r="U2933" s="2" t="s">
        <v>79</v>
      </c>
      <c r="V2933" s="2">
        <v>1</v>
      </c>
      <c r="W2933" s="2" t="s">
        <v>80</v>
      </c>
      <c r="X2933" s="2">
        <v>12</v>
      </c>
      <c r="Y2933" s="2" t="s">
        <v>148</v>
      </c>
      <c r="Z2933" s="2">
        <v>1</v>
      </c>
      <c r="AA2933" s="2" t="s">
        <v>82</v>
      </c>
      <c r="AB2933" s="2">
        <v>9</v>
      </c>
      <c r="AC2933" s="2" t="s">
        <v>124</v>
      </c>
      <c r="AD2933" s="3">
        <v>40377</v>
      </c>
      <c r="AE2933" s="4">
        <v>0.32291666666666669</v>
      </c>
      <c r="AF2933" s="2"/>
      <c r="AG2933" s="2"/>
      <c r="AH2933" s="2">
        <v>2</v>
      </c>
      <c r="AI2933" s="2" t="s">
        <v>84</v>
      </c>
      <c r="AJ2933" s="2">
        <v>12</v>
      </c>
      <c r="AK2933" s="2" t="s">
        <v>85</v>
      </c>
      <c r="AL2933" s="2">
        <v>25</v>
      </c>
      <c r="AM2933" s="2" t="s">
        <v>3073</v>
      </c>
      <c r="AN2933" s="2"/>
      <c r="AO2933" s="2" t="s">
        <v>6318</v>
      </c>
      <c r="AP2933" s="2">
        <v>11</v>
      </c>
      <c r="AQ2933" s="2" t="s">
        <v>82</v>
      </c>
      <c r="AR2933" s="2"/>
      <c r="AS2933" s="2"/>
      <c r="AT2933" s="2" t="s">
        <v>9668</v>
      </c>
      <c r="AU2933" s="2">
        <v>3</v>
      </c>
      <c r="AV2933" s="2"/>
      <c r="AW2933" s="2"/>
      <c r="AX2933" s="2"/>
      <c r="AY2933" s="2">
        <v>41</v>
      </c>
      <c r="AZ2933" s="2" t="s">
        <v>82</v>
      </c>
      <c r="BA2933" s="2">
        <v>44</v>
      </c>
      <c r="BB2933" s="2" t="s">
        <v>262</v>
      </c>
      <c r="BC2933" s="2">
        <v>41</v>
      </c>
      <c r="BD2933" s="2" t="s">
        <v>82</v>
      </c>
      <c r="BE2933" s="2">
        <v>41</v>
      </c>
      <c r="BF2933" s="2" t="s">
        <v>82</v>
      </c>
      <c r="BG2933" s="2"/>
      <c r="BH2933" s="2"/>
      <c r="BI2933" s="2"/>
      <c r="BJ2933" s="2">
        <v>241</v>
      </c>
      <c r="BK2933" s="2" t="s">
        <v>82</v>
      </c>
      <c r="BL2933" s="2"/>
      <c r="BM2933" s="2">
        <v>241</v>
      </c>
      <c r="BN2933" s="2" t="s">
        <v>82</v>
      </c>
      <c r="BO2933" s="2"/>
      <c r="BP2933" s="2">
        <v>241</v>
      </c>
      <c r="BQ2933" s="2" t="s">
        <v>82</v>
      </c>
      <c r="BR2933" s="2"/>
      <c r="BS2933" s="3">
        <v>40377</v>
      </c>
      <c r="BT2933" s="4">
        <v>0.7009375000000001</v>
      </c>
    </row>
    <row r="2934" spans="1:72" x14ac:dyDescent="0.25">
      <c r="A2934" s="2">
        <v>4325</v>
      </c>
      <c r="B2934" s="2">
        <v>2010</v>
      </c>
      <c r="C2934" s="2" t="s">
        <v>418</v>
      </c>
      <c r="D2934" s="2" t="s">
        <v>122</v>
      </c>
      <c r="E2934" s="2"/>
      <c r="F2934" s="2">
        <v>1</v>
      </c>
      <c r="G2934" s="2" t="s">
        <v>82</v>
      </c>
      <c r="H2934" s="2">
        <v>1</v>
      </c>
      <c r="I2934" s="2" t="s">
        <v>82</v>
      </c>
      <c r="J2934" s="2">
        <v>1</v>
      </c>
      <c r="K2934" s="2" t="s">
        <v>107</v>
      </c>
      <c r="L2934" s="2" t="s">
        <v>107</v>
      </c>
      <c r="M2934" s="3">
        <v>40377</v>
      </c>
      <c r="N2934" s="2"/>
      <c r="O2934" s="2"/>
      <c r="P2934" s="2"/>
      <c r="Q2934" s="2" t="str">
        <f>""</f>
        <v/>
      </c>
      <c r="R2934" s="2"/>
      <c r="S2934" s="2"/>
      <c r="T2934" s="2">
        <v>2</v>
      </c>
      <c r="U2934" s="2" t="s">
        <v>123</v>
      </c>
      <c r="V2934" s="2">
        <v>1</v>
      </c>
      <c r="W2934" s="2" t="s">
        <v>80</v>
      </c>
      <c r="X2934" s="2">
        <v>5</v>
      </c>
      <c r="Y2934" s="2" t="s">
        <v>82</v>
      </c>
      <c r="Z2934" s="2">
        <v>1</v>
      </c>
      <c r="AA2934" s="2" t="s">
        <v>82</v>
      </c>
      <c r="AB2934" s="2">
        <v>9</v>
      </c>
      <c r="AC2934" s="2" t="s">
        <v>124</v>
      </c>
      <c r="AD2934" s="3">
        <v>40377</v>
      </c>
      <c r="AE2934" s="4">
        <v>0.69791666666666663</v>
      </c>
      <c r="AF2934" s="2"/>
      <c r="AG2934" s="2"/>
      <c r="AH2934" s="2">
        <v>4</v>
      </c>
      <c r="AI2934" s="2" t="s">
        <v>125</v>
      </c>
      <c r="AJ2934" s="2">
        <v>31</v>
      </c>
      <c r="AK2934" s="2" t="s">
        <v>1413</v>
      </c>
      <c r="AL2934" s="2">
        <v>18</v>
      </c>
      <c r="AM2934" s="2" t="s">
        <v>82</v>
      </c>
      <c r="AN2934" s="2"/>
      <c r="AO2934" s="2"/>
      <c r="AP2934" s="2">
        <v>11</v>
      </c>
      <c r="AQ2934" s="2" t="s">
        <v>82</v>
      </c>
      <c r="AR2934" s="2"/>
      <c r="AS2934" s="2"/>
      <c r="AT2934" s="2" t="s">
        <v>9669</v>
      </c>
      <c r="AU2934" s="2"/>
      <c r="AV2934" s="2"/>
      <c r="AW2934" s="2"/>
      <c r="AX2934" s="2"/>
      <c r="AY2934" s="2">
        <v>1</v>
      </c>
      <c r="AZ2934" s="2" t="s">
        <v>107</v>
      </c>
      <c r="BA2934" s="2">
        <v>1</v>
      </c>
      <c r="BB2934" s="2" t="s">
        <v>107</v>
      </c>
      <c r="BC2934" s="2">
        <v>1</v>
      </c>
      <c r="BD2934" s="2" t="s">
        <v>107</v>
      </c>
      <c r="BE2934" s="2">
        <v>13</v>
      </c>
      <c r="BF2934" s="2" t="s">
        <v>108</v>
      </c>
      <c r="BG2934" s="2">
        <v>1494</v>
      </c>
      <c r="BH2934" s="2"/>
      <c r="BI2934" s="2"/>
      <c r="BJ2934" s="2">
        <v>13</v>
      </c>
      <c r="BK2934" s="2" t="s">
        <v>91</v>
      </c>
      <c r="BL2934" s="2" t="s">
        <v>185</v>
      </c>
      <c r="BM2934" s="2">
        <v>241</v>
      </c>
      <c r="BN2934" s="2" t="s">
        <v>82</v>
      </c>
      <c r="BO2934" s="2"/>
      <c r="BP2934" s="2">
        <v>13</v>
      </c>
      <c r="BQ2934" s="2" t="s">
        <v>91</v>
      </c>
      <c r="BR2934" s="2" t="s">
        <v>4725</v>
      </c>
      <c r="BS2934" s="3">
        <v>40377</v>
      </c>
      <c r="BT2934" s="4">
        <v>0.73864583333333333</v>
      </c>
    </row>
    <row r="2935" spans="1:72" x14ac:dyDescent="0.25">
      <c r="A2935" s="2">
        <v>4326</v>
      </c>
      <c r="B2935" s="2">
        <v>2010</v>
      </c>
      <c r="C2935" s="2" t="s">
        <v>128</v>
      </c>
      <c r="D2935" s="2" t="s">
        <v>122</v>
      </c>
      <c r="E2935" s="2" t="s">
        <v>9670</v>
      </c>
      <c r="F2935" s="2">
        <v>483</v>
      </c>
      <c r="G2935" s="2" t="s">
        <v>1477</v>
      </c>
      <c r="H2935" s="2">
        <v>10</v>
      </c>
      <c r="I2935" s="2" t="s">
        <v>1031</v>
      </c>
      <c r="J2935" s="2">
        <v>167</v>
      </c>
      <c r="K2935" s="2" t="s">
        <v>1032</v>
      </c>
      <c r="L2935" s="2" t="s">
        <v>1033</v>
      </c>
      <c r="M2935" s="3">
        <v>40377</v>
      </c>
      <c r="N2935" s="2" t="s">
        <v>9666</v>
      </c>
      <c r="O2935" s="2"/>
      <c r="P2935" s="2"/>
      <c r="Q2935" s="2" t="str">
        <f>"272-A/10"</f>
        <v>272-A/10</v>
      </c>
      <c r="R2935" s="2" t="s">
        <v>9667</v>
      </c>
      <c r="S2935" s="2"/>
      <c r="T2935" s="2">
        <v>1</v>
      </c>
      <c r="U2935" s="2" t="s">
        <v>79</v>
      </c>
      <c r="V2935" s="2">
        <v>1</v>
      </c>
      <c r="W2935" s="2" t="s">
        <v>80</v>
      </c>
      <c r="X2935" s="2">
        <v>1</v>
      </c>
      <c r="Y2935" s="2" t="s">
        <v>81</v>
      </c>
      <c r="Z2935" s="2">
        <v>10</v>
      </c>
      <c r="AA2935" s="2" t="s">
        <v>236</v>
      </c>
      <c r="AB2935" s="2">
        <v>9</v>
      </c>
      <c r="AC2935" s="2" t="s">
        <v>124</v>
      </c>
      <c r="AD2935" s="3">
        <v>40377</v>
      </c>
      <c r="AE2935" s="4">
        <v>0.82638888888888884</v>
      </c>
      <c r="AF2935" s="2"/>
      <c r="AG2935" s="2"/>
      <c r="AH2935" s="2">
        <v>2</v>
      </c>
      <c r="AI2935" s="2" t="s">
        <v>84</v>
      </c>
      <c r="AJ2935" s="2">
        <v>12</v>
      </c>
      <c r="AK2935" s="2" t="s">
        <v>85</v>
      </c>
      <c r="AL2935" s="2">
        <v>24</v>
      </c>
      <c r="AM2935" s="2" t="s">
        <v>1540</v>
      </c>
      <c r="AN2935" s="2" t="s">
        <v>1971</v>
      </c>
      <c r="AO2935" s="2" t="s">
        <v>194</v>
      </c>
      <c r="AP2935" s="2">
        <v>11</v>
      </c>
      <c r="AQ2935" s="2" t="s">
        <v>82</v>
      </c>
      <c r="AR2935" s="2"/>
      <c r="AS2935" s="2"/>
      <c r="AT2935" s="2" t="s">
        <v>9671</v>
      </c>
      <c r="AU2935" s="2">
        <v>3</v>
      </c>
      <c r="AV2935" s="2"/>
      <c r="AW2935" s="2"/>
      <c r="AX2935" s="2"/>
      <c r="AY2935" s="2">
        <v>41</v>
      </c>
      <c r="AZ2935" s="2" t="s">
        <v>82</v>
      </c>
      <c r="BA2935" s="2">
        <v>41</v>
      </c>
      <c r="BB2935" s="2" t="s">
        <v>82</v>
      </c>
      <c r="BC2935" s="2">
        <v>41</v>
      </c>
      <c r="BD2935" s="2" t="s">
        <v>82</v>
      </c>
      <c r="BE2935" s="2">
        <v>41</v>
      </c>
      <c r="BF2935" s="2" t="s">
        <v>82</v>
      </c>
      <c r="BG2935" s="2"/>
      <c r="BH2935" s="2"/>
      <c r="BI2935" s="2"/>
      <c r="BJ2935" s="2">
        <v>241</v>
      </c>
      <c r="BK2935" s="2" t="s">
        <v>82</v>
      </c>
      <c r="BL2935" s="2"/>
      <c r="BM2935" s="2">
        <v>241</v>
      </c>
      <c r="BN2935" s="2" t="s">
        <v>82</v>
      </c>
      <c r="BO2935" s="2"/>
      <c r="BP2935" s="2">
        <v>241</v>
      </c>
      <c r="BQ2935" s="2" t="s">
        <v>82</v>
      </c>
      <c r="BR2935" s="2"/>
      <c r="BS2935" s="3">
        <v>40377</v>
      </c>
      <c r="BT2935" s="4">
        <v>0.84875</v>
      </c>
    </row>
    <row r="2936" spans="1:72" x14ac:dyDescent="0.25">
      <c r="A2936" s="2">
        <v>4327</v>
      </c>
      <c r="B2936" s="2">
        <v>2010</v>
      </c>
      <c r="C2936" s="2" t="s">
        <v>128</v>
      </c>
      <c r="D2936" s="2" t="s">
        <v>73</v>
      </c>
      <c r="E2936" s="2"/>
      <c r="F2936" s="2">
        <v>155</v>
      </c>
      <c r="G2936" s="2" t="s">
        <v>1030</v>
      </c>
      <c r="H2936" s="2">
        <v>10</v>
      </c>
      <c r="I2936" s="2" t="s">
        <v>1031</v>
      </c>
      <c r="J2936" s="2">
        <v>167</v>
      </c>
      <c r="K2936" s="2" t="s">
        <v>1032</v>
      </c>
      <c r="L2936" s="2" t="s">
        <v>1033</v>
      </c>
      <c r="M2936" s="3">
        <v>40378</v>
      </c>
      <c r="N2936" s="2" t="s">
        <v>9672</v>
      </c>
      <c r="O2936" s="2"/>
      <c r="P2936" s="2"/>
      <c r="Q2936" s="2" t="str">
        <f>"273-A/10"</f>
        <v>273-A/10</v>
      </c>
      <c r="R2936" s="2" t="s">
        <v>480</v>
      </c>
      <c r="S2936" s="2"/>
      <c r="T2936" s="2">
        <v>1</v>
      </c>
      <c r="U2936" s="2" t="s">
        <v>79</v>
      </c>
      <c r="V2936" s="2">
        <v>1</v>
      </c>
      <c r="W2936" s="2" t="s">
        <v>80</v>
      </c>
      <c r="X2936" s="2">
        <v>12</v>
      </c>
      <c r="Y2936" s="2" t="s">
        <v>148</v>
      </c>
      <c r="Z2936" s="2">
        <v>1</v>
      </c>
      <c r="AA2936" s="2" t="s">
        <v>82</v>
      </c>
      <c r="AB2936" s="2">
        <v>9</v>
      </c>
      <c r="AC2936" s="2" t="s">
        <v>124</v>
      </c>
      <c r="AD2936" s="3">
        <v>40377</v>
      </c>
      <c r="AE2936" s="4">
        <v>0.69444444444444453</v>
      </c>
      <c r="AF2936" s="3">
        <v>40377</v>
      </c>
      <c r="AG2936" s="4">
        <v>0.84027777777777779</v>
      </c>
      <c r="AH2936" s="2">
        <v>2</v>
      </c>
      <c r="AI2936" s="2" t="s">
        <v>84</v>
      </c>
      <c r="AJ2936" s="2">
        <v>12</v>
      </c>
      <c r="AK2936" s="2" t="s">
        <v>85</v>
      </c>
      <c r="AL2936" s="2">
        <v>11</v>
      </c>
      <c r="AM2936" s="2" t="s">
        <v>137</v>
      </c>
      <c r="AN2936" s="2" t="s">
        <v>788</v>
      </c>
      <c r="AO2936" s="2" t="s">
        <v>9673</v>
      </c>
      <c r="AP2936" s="2">
        <v>11</v>
      </c>
      <c r="AQ2936" s="2" t="s">
        <v>82</v>
      </c>
      <c r="AR2936" s="2"/>
      <c r="AS2936" s="2"/>
      <c r="AT2936" s="2" t="s">
        <v>9674</v>
      </c>
      <c r="AU2936" s="2"/>
      <c r="AV2936" s="2"/>
      <c r="AW2936" s="2"/>
      <c r="AX2936" s="2"/>
      <c r="AY2936" s="2">
        <v>41</v>
      </c>
      <c r="AZ2936" s="2" t="s">
        <v>82</v>
      </c>
      <c r="BA2936" s="2">
        <v>41</v>
      </c>
      <c r="BB2936" s="2" t="s">
        <v>82</v>
      </c>
      <c r="BC2936" s="2">
        <v>41</v>
      </c>
      <c r="BD2936" s="2" t="s">
        <v>82</v>
      </c>
      <c r="BE2936" s="2">
        <v>13</v>
      </c>
      <c r="BF2936" s="2" t="s">
        <v>108</v>
      </c>
      <c r="BG2936" s="2" t="s">
        <v>9675</v>
      </c>
      <c r="BH2936" s="2"/>
      <c r="BI2936" s="2"/>
      <c r="BJ2936" s="2">
        <v>13</v>
      </c>
      <c r="BK2936" s="2" t="s">
        <v>91</v>
      </c>
      <c r="BL2936" s="2" t="s">
        <v>169</v>
      </c>
      <c r="BM2936" s="2">
        <v>241</v>
      </c>
      <c r="BN2936" s="2" t="s">
        <v>82</v>
      </c>
      <c r="BO2936" s="2"/>
      <c r="BP2936" s="2">
        <v>13</v>
      </c>
      <c r="BQ2936" s="2" t="s">
        <v>91</v>
      </c>
      <c r="BR2936" s="2" t="s">
        <v>564</v>
      </c>
      <c r="BS2936" s="3">
        <v>40378</v>
      </c>
      <c r="BT2936" s="4">
        <v>8.0023148148148149E-2</v>
      </c>
    </row>
    <row r="2937" spans="1:72" x14ac:dyDescent="0.25">
      <c r="A2937" s="2">
        <v>4328</v>
      </c>
      <c r="B2937" s="2">
        <v>2010</v>
      </c>
      <c r="C2937" s="2" t="s">
        <v>1568</v>
      </c>
      <c r="D2937" s="2" t="s">
        <v>73</v>
      </c>
      <c r="E2937" s="2"/>
      <c r="F2937" s="2">
        <v>95</v>
      </c>
      <c r="G2937" s="2" t="s">
        <v>8360</v>
      </c>
      <c r="H2937" s="2">
        <v>42</v>
      </c>
      <c r="I2937" s="2" t="s">
        <v>1096</v>
      </c>
      <c r="J2937" s="2">
        <v>122</v>
      </c>
      <c r="K2937" s="2" t="s">
        <v>8361</v>
      </c>
      <c r="L2937" s="2" t="s">
        <v>8362</v>
      </c>
      <c r="M2937" s="3">
        <v>40378</v>
      </c>
      <c r="N2937" s="2" t="s">
        <v>9676</v>
      </c>
      <c r="O2937" s="2"/>
      <c r="P2937" s="2"/>
      <c r="Q2937" s="2" t="str">
        <f>"0025/2010"</f>
        <v>0025/2010</v>
      </c>
      <c r="R2937" s="2"/>
      <c r="S2937" s="2" t="s">
        <v>9677</v>
      </c>
      <c r="T2937" s="2">
        <v>1</v>
      </c>
      <c r="U2937" s="2" t="s">
        <v>79</v>
      </c>
      <c r="V2937" s="2">
        <v>1</v>
      </c>
      <c r="W2937" s="2" t="s">
        <v>80</v>
      </c>
      <c r="X2937" s="2">
        <v>1</v>
      </c>
      <c r="Y2937" s="2" t="s">
        <v>81</v>
      </c>
      <c r="Z2937" s="2">
        <v>1</v>
      </c>
      <c r="AA2937" s="2" t="s">
        <v>82</v>
      </c>
      <c r="AB2937" s="2">
        <v>4</v>
      </c>
      <c r="AC2937" s="2" t="s">
        <v>1569</v>
      </c>
      <c r="AD2937" s="3">
        <v>40377</v>
      </c>
      <c r="AE2937" s="4">
        <v>0.96527777777777779</v>
      </c>
      <c r="AF2937" s="2"/>
      <c r="AG2937" s="2"/>
      <c r="AH2937" s="2">
        <v>6</v>
      </c>
      <c r="AI2937" s="2" t="s">
        <v>197</v>
      </c>
      <c r="AJ2937" s="2">
        <v>50</v>
      </c>
      <c r="AK2937" s="2" t="s">
        <v>330</v>
      </c>
      <c r="AL2937" s="2">
        <v>22</v>
      </c>
      <c r="AM2937" s="2" t="s">
        <v>1853</v>
      </c>
      <c r="AN2937" s="2"/>
      <c r="AO2937" s="2" t="s">
        <v>179</v>
      </c>
      <c r="AP2937" s="2">
        <v>11</v>
      </c>
      <c r="AQ2937" s="2" t="s">
        <v>82</v>
      </c>
      <c r="AR2937" s="2" t="s">
        <v>82</v>
      </c>
      <c r="AS2937" s="2" t="s">
        <v>82</v>
      </c>
      <c r="AT2937" s="2" t="s">
        <v>9678</v>
      </c>
      <c r="AU2937" s="2"/>
      <c r="AV2937" s="2"/>
      <c r="AW2937" s="2"/>
      <c r="AX2937" s="2"/>
      <c r="AY2937" s="2">
        <v>41</v>
      </c>
      <c r="AZ2937" s="2" t="s">
        <v>82</v>
      </c>
      <c r="BA2937" s="2">
        <v>41</v>
      </c>
      <c r="BB2937" s="2" t="s">
        <v>82</v>
      </c>
      <c r="BC2937" s="2">
        <v>41</v>
      </c>
      <c r="BD2937" s="2" t="s">
        <v>82</v>
      </c>
      <c r="BE2937" s="2">
        <v>46</v>
      </c>
      <c r="BF2937" s="2" t="s">
        <v>142</v>
      </c>
      <c r="BG2937" s="2">
        <v>7922</v>
      </c>
      <c r="BH2937" s="2"/>
      <c r="BI2937" s="4">
        <v>9.375E-2</v>
      </c>
      <c r="BJ2937" s="2">
        <v>13</v>
      </c>
      <c r="BK2937" s="2" t="s">
        <v>91</v>
      </c>
      <c r="BL2937" s="2" t="s">
        <v>1199</v>
      </c>
      <c r="BM2937" s="2">
        <v>241</v>
      </c>
      <c r="BN2937" s="2" t="s">
        <v>82</v>
      </c>
      <c r="BO2937" s="2" t="s">
        <v>82</v>
      </c>
      <c r="BP2937" s="2">
        <v>13</v>
      </c>
      <c r="BQ2937" s="2" t="s">
        <v>91</v>
      </c>
      <c r="BR2937" s="2" t="s">
        <v>5272</v>
      </c>
      <c r="BS2937" s="3">
        <v>40378</v>
      </c>
      <c r="BT2937" s="4">
        <v>0.12445601851851852</v>
      </c>
    </row>
    <row r="2938" spans="1:72" x14ac:dyDescent="0.25">
      <c r="A2938" s="2">
        <v>4329</v>
      </c>
      <c r="B2938" s="2">
        <v>2010</v>
      </c>
      <c r="C2938" s="2" t="s">
        <v>72</v>
      </c>
      <c r="D2938" s="2" t="s">
        <v>73</v>
      </c>
      <c r="E2938" s="2"/>
      <c r="F2938" s="2">
        <v>221</v>
      </c>
      <c r="G2938" s="2" t="s">
        <v>8422</v>
      </c>
      <c r="H2938" s="2">
        <v>42</v>
      </c>
      <c r="I2938" s="2" t="s">
        <v>1096</v>
      </c>
      <c r="J2938" s="2">
        <v>620</v>
      </c>
      <c r="K2938" s="2" t="s">
        <v>9617</v>
      </c>
      <c r="L2938" s="2" t="s">
        <v>9618</v>
      </c>
      <c r="M2938" s="3">
        <v>40378</v>
      </c>
      <c r="N2938" s="2" t="s">
        <v>9619</v>
      </c>
      <c r="O2938" s="2"/>
      <c r="P2938" s="2"/>
      <c r="Q2938" s="2" t="str">
        <f>"274-A/10"</f>
        <v>274-A/10</v>
      </c>
      <c r="R2938" s="2"/>
      <c r="S2938" s="2" t="s">
        <v>601</v>
      </c>
      <c r="T2938" s="2">
        <v>1</v>
      </c>
      <c r="U2938" s="2" t="s">
        <v>79</v>
      </c>
      <c r="V2938" s="2">
        <v>1</v>
      </c>
      <c r="W2938" s="2" t="s">
        <v>80</v>
      </c>
      <c r="X2938" s="2">
        <v>12</v>
      </c>
      <c r="Y2938" s="2" t="s">
        <v>148</v>
      </c>
      <c r="Z2938" s="2">
        <v>1</v>
      </c>
      <c r="AA2938" s="2" t="s">
        <v>82</v>
      </c>
      <c r="AB2938" s="2">
        <v>6</v>
      </c>
      <c r="AC2938" s="2" t="s">
        <v>83</v>
      </c>
      <c r="AD2938" s="3">
        <v>40377</v>
      </c>
      <c r="AE2938" s="2"/>
      <c r="AF2938" s="3">
        <v>40377</v>
      </c>
      <c r="AG2938" s="4">
        <v>0.9375</v>
      </c>
      <c r="AH2938" s="2">
        <v>2</v>
      </c>
      <c r="AI2938" s="2" t="s">
        <v>84</v>
      </c>
      <c r="AJ2938" s="2">
        <v>12</v>
      </c>
      <c r="AK2938" s="2" t="s">
        <v>85</v>
      </c>
      <c r="AL2938" s="2">
        <v>17</v>
      </c>
      <c r="AM2938" s="2" t="s">
        <v>232</v>
      </c>
      <c r="AN2938" s="2" t="s">
        <v>9679</v>
      </c>
      <c r="AO2938" s="2" t="s">
        <v>9680</v>
      </c>
      <c r="AP2938" s="2">
        <v>11</v>
      </c>
      <c r="AQ2938" s="2" t="s">
        <v>82</v>
      </c>
      <c r="AR2938" s="2"/>
      <c r="AS2938" s="2"/>
      <c r="AT2938" s="2" t="s">
        <v>9681</v>
      </c>
      <c r="AU2938" s="2"/>
      <c r="AV2938" s="2"/>
      <c r="AW2938" s="2"/>
      <c r="AX2938" s="2"/>
      <c r="AY2938" s="2">
        <v>41</v>
      </c>
      <c r="AZ2938" s="2" t="s">
        <v>82</v>
      </c>
      <c r="BA2938" s="2">
        <v>41</v>
      </c>
      <c r="BB2938" s="2" t="s">
        <v>82</v>
      </c>
      <c r="BC2938" s="2">
        <v>41</v>
      </c>
      <c r="BD2938" s="2" t="s">
        <v>82</v>
      </c>
      <c r="BE2938" s="2">
        <v>41</v>
      </c>
      <c r="BF2938" s="2" t="s">
        <v>82</v>
      </c>
      <c r="BG2938" s="2"/>
      <c r="BH2938" s="2"/>
      <c r="BI2938" s="2"/>
      <c r="BJ2938" s="2">
        <v>241</v>
      </c>
      <c r="BK2938" s="2" t="s">
        <v>82</v>
      </c>
      <c r="BL2938" s="2"/>
      <c r="BM2938" s="2">
        <v>241</v>
      </c>
      <c r="BN2938" s="2" t="s">
        <v>82</v>
      </c>
      <c r="BO2938" s="2"/>
      <c r="BP2938" s="2">
        <v>241</v>
      </c>
      <c r="BQ2938" s="2" t="s">
        <v>82</v>
      </c>
      <c r="BR2938" s="2"/>
      <c r="BS2938" s="3">
        <v>40378</v>
      </c>
      <c r="BT2938" s="4">
        <v>0.13328703703703704</v>
      </c>
    </row>
    <row r="2939" spans="1:72" x14ac:dyDescent="0.25">
      <c r="A2939" s="2">
        <v>4330</v>
      </c>
      <c r="B2939" s="2">
        <v>2010</v>
      </c>
      <c r="C2939" s="2" t="s">
        <v>72</v>
      </c>
      <c r="D2939" s="2" t="s">
        <v>73</v>
      </c>
      <c r="E2939" s="2"/>
      <c r="F2939" s="2">
        <v>221</v>
      </c>
      <c r="G2939" s="2" t="s">
        <v>8422</v>
      </c>
      <c r="H2939" s="2">
        <v>42</v>
      </c>
      <c r="I2939" s="2" t="s">
        <v>1096</v>
      </c>
      <c r="J2939" s="2">
        <v>620</v>
      </c>
      <c r="K2939" s="2" t="s">
        <v>9617</v>
      </c>
      <c r="L2939" s="2" t="s">
        <v>9618</v>
      </c>
      <c r="M2939" s="3">
        <v>40378</v>
      </c>
      <c r="N2939" s="2" t="s">
        <v>9619</v>
      </c>
      <c r="O2939" s="2"/>
      <c r="P2939" s="2"/>
      <c r="Q2939" s="2" t="str">
        <f>"275-A/10"</f>
        <v>275-A/10</v>
      </c>
      <c r="R2939" s="2"/>
      <c r="S2939" s="2" t="s">
        <v>156</v>
      </c>
      <c r="T2939" s="2">
        <v>1</v>
      </c>
      <c r="U2939" s="2" t="s">
        <v>79</v>
      </c>
      <c r="V2939" s="2">
        <v>1</v>
      </c>
      <c r="W2939" s="2" t="s">
        <v>80</v>
      </c>
      <c r="X2939" s="2">
        <v>12</v>
      </c>
      <c r="Y2939" s="2" t="s">
        <v>148</v>
      </c>
      <c r="Z2939" s="2">
        <v>1</v>
      </c>
      <c r="AA2939" s="2" t="s">
        <v>82</v>
      </c>
      <c r="AB2939" s="2">
        <v>6</v>
      </c>
      <c r="AC2939" s="2" t="s">
        <v>83</v>
      </c>
      <c r="AD2939" s="2"/>
      <c r="AE2939" s="2"/>
      <c r="AF2939" s="3">
        <v>40378</v>
      </c>
      <c r="AG2939" s="4">
        <v>9.0277777777777776E-2</v>
      </c>
      <c r="AH2939" s="2">
        <v>2</v>
      </c>
      <c r="AI2939" s="2" t="s">
        <v>84</v>
      </c>
      <c r="AJ2939" s="2">
        <v>12</v>
      </c>
      <c r="AK2939" s="2" t="s">
        <v>85</v>
      </c>
      <c r="AL2939" s="2">
        <v>22</v>
      </c>
      <c r="AM2939" s="2" t="s">
        <v>1853</v>
      </c>
      <c r="AN2939" s="2"/>
      <c r="AO2939" s="2" t="s">
        <v>9658</v>
      </c>
      <c r="AP2939" s="2">
        <v>11</v>
      </c>
      <c r="AQ2939" s="2" t="s">
        <v>82</v>
      </c>
      <c r="AR2939" s="2"/>
      <c r="AS2939" s="2"/>
      <c r="AT2939" s="2" t="s">
        <v>9682</v>
      </c>
      <c r="AU2939" s="2"/>
      <c r="AV2939" s="2"/>
      <c r="AW2939" s="2"/>
      <c r="AX2939" s="2"/>
      <c r="AY2939" s="2">
        <v>41</v>
      </c>
      <c r="AZ2939" s="2" t="s">
        <v>82</v>
      </c>
      <c r="BA2939" s="2">
        <v>41</v>
      </c>
      <c r="BB2939" s="2" t="s">
        <v>82</v>
      </c>
      <c r="BC2939" s="2">
        <v>41</v>
      </c>
      <c r="BD2939" s="2" t="s">
        <v>82</v>
      </c>
      <c r="BE2939" s="2">
        <v>4</v>
      </c>
      <c r="BF2939" s="2" t="s">
        <v>90</v>
      </c>
      <c r="BG2939" s="2" t="s">
        <v>9683</v>
      </c>
      <c r="BH2939" s="4">
        <v>4.1666666666666664E-2</v>
      </c>
      <c r="BI2939" s="4">
        <v>0.95833333333333337</v>
      </c>
      <c r="BJ2939" s="2">
        <v>13</v>
      </c>
      <c r="BK2939" s="2" t="s">
        <v>91</v>
      </c>
      <c r="BL2939" s="2" t="s">
        <v>828</v>
      </c>
      <c r="BM2939" s="2">
        <v>241</v>
      </c>
      <c r="BN2939" s="2" t="s">
        <v>82</v>
      </c>
      <c r="BO2939" s="2" t="s">
        <v>82</v>
      </c>
      <c r="BP2939" s="2">
        <v>13</v>
      </c>
      <c r="BQ2939" s="2" t="s">
        <v>91</v>
      </c>
      <c r="BR2939" s="2" t="s">
        <v>564</v>
      </c>
      <c r="BS2939" s="3">
        <v>40378</v>
      </c>
      <c r="BT2939" s="4">
        <v>0.24668981481481481</v>
      </c>
    </row>
    <row r="2940" spans="1:72" x14ac:dyDescent="0.25">
      <c r="A2940" s="2">
        <v>4334</v>
      </c>
      <c r="B2940" s="2">
        <v>2010</v>
      </c>
      <c r="C2940" s="2" t="s">
        <v>4543</v>
      </c>
      <c r="D2940" s="2" t="s">
        <v>122</v>
      </c>
      <c r="E2940" s="2"/>
      <c r="F2940" s="2">
        <v>146</v>
      </c>
      <c r="G2940" s="2" t="s">
        <v>753</v>
      </c>
      <c r="H2940" s="2">
        <v>39</v>
      </c>
      <c r="I2940" s="2" t="s">
        <v>1117</v>
      </c>
      <c r="J2940" s="2">
        <v>161</v>
      </c>
      <c r="K2940" s="2" t="s">
        <v>1900</v>
      </c>
      <c r="L2940" s="2" t="s">
        <v>1901</v>
      </c>
      <c r="M2940" s="3">
        <v>40378</v>
      </c>
      <c r="N2940" s="2" t="s">
        <v>9684</v>
      </c>
      <c r="O2940" s="2" t="s">
        <v>9685</v>
      </c>
      <c r="P2940" s="2">
        <v>2591</v>
      </c>
      <c r="Q2940" s="2" t="str">
        <f>"S/D"</f>
        <v>S/D</v>
      </c>
      <c r="R2940" s="2" t="s">
        <v>107</v>
      </c>
      <c r="S2940" s="2" t="s">
        <v>107</v>
      </c>
      <c r="T2940" s="2">
        <v>2</v>
      </c>
      <c r="U2940" s="2" t="s">
        <v>123</v>
      </c>
      <c r="V2940" s="2">
        <v>1</v>
      </c>
      <c r="W2940" s="2" t="s">
        <v>80</v>
      </c>
      <c r="X2940" s="2">
        <v>5</v>
      </c>
      <c r="Y2940" s="2" t="s">
        <v>82</v>
      </c>
      <c r="Z2940" s="2">
        <v>1</v>
      </c>
      <c r="AA2940" s="2" t="s">
        <v>82</v>
      </c>
      <c r="AB2940" s="2">
        <v>9</v>
      </c>
      <c r="AC2940" s="2" t="s">
        <v>124</v>
      </c>
      <c r="AD2940" s="3">
        <v>40378</v>
      </c>
      <c r="AE2940" s="4">
        <v>0.40625</v>
      </c>
      <c r="AF2940" s="2"/>
      <c r="AG2940" s="2"/>
      <c r="AH2940" s="2">
        <v>6</v>
      </c>
      <c r="AI2940" s="2" t="s">
        <v>197</v>
      </c>
      <c r="AJ2940" s="2">
        <v>54</v>
      </c>
      <c r="AK2940" s="2" t="s">
        <v>348</v>
      </c>
      <c r="AL2940" s="2">
        <v>18</v>
      </c>
      <c r="AM2940" s="2" t="s">
        <v>82</v>
      </c>
      <c r="AN2940" s="2" t="s">
        <v>9102</v>
      </c>
      <c r="AO2940" s="2" t="s">
        <v>2691</v>
      </c>
      <c r="AP2940" s="2">
        <v>11</v>
      </c>
      <c r="AQ2940" s="2" t="s">
        <v>82</v>
      </c>
      <c r="AR2940" s="2" t="s">
        <v>82</v>
      </c>
      <c r="AS2940" s="2" t="s">
        <v>82</v>
      </c>
      <c r="AT2940" s="2" t="s">
        <v>9686</v>
      </c>
      <c r="AU2940" s="2"/>
      <c r="AV2940" s="2"/>
      <c r="AW2940" s="2"/>
      <c r="AX2940" s="2"/>
      <c r="AY2940" s="2">
        <v>1</v>
      </c>
      <c r="AZ2940" s="2" t="s">
        <v>107</v>
      </c>
      <c r="BA2940" s="2">
        <v>1</v>
      </c>
      <c r="BB2940" s="2" t="s">
        <v>107</v>
      </c>
      <c r="BC2940" s="2">
        <v>1</v>
      </c>
      <c r="BD2940" s="2" t="s">
        <v>107</v>
      </c>
      <c r="BE2940" s="2">
        <v>1</v>
      </c>
      <c r="BF2940" s="2" t="s">
        <v>107</v>
      </c>
      <c r="BG2940" s="2" t="s">
        <v>107</v>
      </c>
      <c r="BH2940" s="2"/>
      <c r="BI2940" s="2"/>
      <c r="BJ2940" s="2">
        <v>242</v>
      </c>
      <c r="BK2940" s="2" t="s">
        <v>107</v>
      </c>
      <c r="BL2940" s="2" t="s">
        <v>82</v>
      </c>
      <c r="BM2940" s="2">
        <v>242</v>
      </c>
      <c r="BN2940" s="2" t="s">
        <v>107</v>
      </c>
      <c r="BO2940" s="2" t="s">
        <v>82</v>
      </c>
      <c r="BP2940" s="2">
        <v>242</v>
      </c>
      <c r="BQ2940" s="2" t="s">
        <v>107</v>
      </c>
      <c r="BR2940" s="2" t="s">
        <v>82</v>
      </c>
      <c r="BS2940" s="3">
        <v>40378</v>
      </c>
      <c r="BT2940" s="4">
        <v>0.45090277777777782</v>
      </c>
    </row>
    <row r="2941" spans="1:72" x14ac:dyDescent="0.25">
      <c r="A2941" s="2">
        <v>4335</v>
      </c>
      <c r="B2941" s="2">
        <v>2010</v>
      </c>
      <c r="C2941" s="2" t="s">
        <v>4543</v>
      </c>
      <c r="D2941" s="2" t="s">
        <v>122</v>
      </c>
      <c r="E2941" s="2"/>
      <c r="F2941" s="2">
        <v>146</v>
      </c>
      <c r="G2941" s="2" t="s">
        <v>753</v>
      </c>
      <c r="H2941" s="2">
        <v>44</v>
      </c>
      <c r="I2941" s="2" t="s">
        <v>1272</v>
      </c>
      <c r="J2941" s="2">
        <v>439</v>
      </c>
      <c r="K2941" s="2" t="s">
        <v>2827</v>
      </c>
      <c r="L2941" s="2" t="s">
        <v>2828</v>
      </c>
      <c r="M2941" s="3">
        <v>40378</v>
      </c>
      <c r="N2941" s="2" t="s">
        <v>9687</v>
      </c>
      <c r="O2941" s="2" t="s">
        <v>9688</v>
      </c>
      <c r="P2941" s="2">
        <v>18490</v>
      </c>
      <c r="Q2941" s="2" t="str">
        <f>"S/D"</f>
        <v>S/D</v>
      </c>
      <c r="R2941" s="2" t="s">
        <v>107</v>
      </c>
      <c r="S2941" s="2" t="s">
        <v>107</v>
      </c>
      <c r="T2941" s="2">
        <v>2</v>
      </c>
      <c r="U2941" s="2" t="s">
        <v>123</v>
      </c>
      <c r="V2941" s="2">
        <v>1</v>
      </c>
      <c r="W2941" s="2" t="s">
        <v>80</v>
      </c>
      <c r="X2941" s="2">
        <v>5</v>
      </c>
      <c r="Y2941" s="2" t="s">
        <v>82</v>
      </c>
      <c r="Z2941" s="2">
        <v>1</v>
      </c>
      <c r="AA2941" s="2" t="s">
        <v>82</v>
      </c>
      <c r="AB2941" s="2">
        <v>9</v>
      </c>
      <c r="AC2941" s="2" t="s">
        <v>124</v>
      </c>
      <c r="AD2941" s="3">
        <v>40378</v>
      </c>
      <c r="AE2941" s="4">
        <v>0.40625</v>
      </c>
      <c r="AF2941" s="2"/>
      <c r="AG2941" s="2"/>
      <c r="AH2941" s="2">
        <v>6</v>
      </c>
      <c r="AI2941" s="2" t="s">
        <v>197</v>
      </c>
      <c r="AJ2941" s="2">
        <v>54</v>
      </c>
      <c r="AK2941" s="2" t="s">
        <v>348</v>
      </c>
      <c r="AL2941" s="2">
        <v>18</v>
      </c>
      <c r="AM2941" s="2" t="s">
        <v>82</v>
      </c>
      <c r="AN2941" s="2" t="s">
        <v>9102</v>
      </c>
      <c r="AO2941" s="2" t="s">
        <v>9103</v>
      </c>
      <c r="AP2941" s="2">
        <v>11</v>
      </c>
      <c r="AQ2941" s="2" t="s">
        <v>82</v>
      </c>
      <c r="AR2941" s="2" t="s">
        <v>82</v>
      </c>
      <c r="AS2941" s="2" t="s">
        <v>82</v>
      </c>
      <c r="AT2941" s="2" t="s">
        <v>9689</v>
      </c>
      <c r="AU2941" s="2"/>
      <c r="AV2941" s="2"/>
      <c r="AW2941" s="2"/>
      <c r="AX2941" s="2"/>
      <c r="AY2941" s="2">
        <v>1</v>
      </c>
      <c r="AZ2941" s="2" t="s">
        <v>107</v>
      </c>
      <c r="BA2941" s="2">
        <v>1</v>
      </c>
      <c r="BB2941" s="2" t="s">
        <v>107</v>
      </c>
      <c r="BC2941" s="2">
        <v>1</v>
      </c>
      <c r="BD2941" s="2" t="s">
        <v>107</v>
      </c>
      <c r="BE2941" s="2">
        <v>1</v>
      </c>
      <c r="BF2941" s="2" t="s">
        <v>107</v>
      </c>
      <c r="BG2941" s="2" t="s">
        <v>82</v>
      </c>
      <c r="BH2941" s="2"/>
      <c r="BI2941" s="2"/>
      <c r="BJ2941" s="2">
        <v>242</v>
      </c>
      <c r="BK2941" s="2" t="s">
        <v>107</v>
      </c>
      <c r="BL2941" s="2" t="s">
        <v>82</v>
      </c>
      <c r="BM2941" s="2">
        <v>242</v>
      </c>
      <c r="BN2941" s="2" t="s">
        <v>107</v>
      </c>
      <c r="BO2941" s="2" t="s">
        <v>82</v>
      </c>
      <c r="BP2941" s="2">
        <v>242</v>
      </c>
      <c r="BQ2941" s="2" t="s">
        <v>107</v>
      </c>
      <c r="BR2941" s="2" t="s">
        <v>82</v>
      </c>
      <c r="BS2941" s="3">
        <v>40378</v>
      </c>
      <c r="BT2941" s="4">
        <v>0.46259259259259261</v>
      </c>
    </row>
    <row r="2942" spans="1:72" x14ac:dyDescent="0.25">
      <c r="A2942" s="2">
        <v>4336</v>
      </c>
      <c r="B2942" s="2">
        <v>2010</v>
      </c>
      <c r="C2942" s="2" t="s">
        <v>128</v>
      </c>
      <c r="D2942" s="2" t="s">
        <v>122</v>
      </c>
      <c r="E2942" s="2" t="s">
        <v>9670</v>
      </c>
      <c r="F2942" s="2">
        <v>483</v>
      </c>
      <c r="G2942" s="2" t="s">
        <v>1477</v>
      </c>
      <c r="H2942" s="2">
        <v>10</v>
      </c>
      <c r="I2942" s="2" t="s">
        <v>1031</v>
      </c>
      <c r="J2942" s="2">
        <v>167</v>
      </c>
      <c r="K2942" s="2" t="s">
        <v>1032</v>
      </c>
      <c r="L2942" s="2" t="s">
        <v>1033</v>
      </c>
      <c r="M2942" s="3">
        <v>40378</v>
      </c>
      <c r="N2942" s="2" t="s">
        <v>9666</v>
      </c>
      <c r="O2942" s="2"/>
      <c r="P2942" s="2"/>
      <c r="Q2942" s="2" t="str">
        <f>"272-A/10"</f>
        <v>272-A/10</v>
      </c>
      <c r="R2942" s="2" t="s">
        <v>9667</v>
      </c>
      <c r="S2942" s="2"/>
      <c r="T2942" s="2">
        <v>1</v>
      </c>
      <c r="U2942" s="2" t="s">
        <v>79</v>
      </c>
      <c r="V2942" s="2">
        <v>1</v>
      </c>
      <c r="W2942" s="2" t="s">
        <v>80</v>
      </c>
      <c r="X2942" s="2">
        <v>1</v>
      </c>
      <c r="Y2942" s="2" t="s">
        <v>81</v>
      </c>
      <c r="Z2942" s="2">
        <v>10</v>
      </c>
      <c r="AA2942" s="2" t="s">
        <v>236</v>
      </c>
      <c r="AB2942" s="2">
        <v>9</v>
      </c>
      <c r="AC2942" s="2" t="s">
        <v>124</v>
      </c>
      <c r="AD2942" s="3">
        <v>40377</v>
      </c>
      <c r="AE2942" s="4">
        <v>0.32291666666666669</v>
      </c>
      <c r="AF2942" s="2"/>
      <c r="AG2942" s="2"/>
      <c r="AH2942" s="2">
        <v>2</v>
      </c>
      <c r="AI2942" s="2" t="s">
        <v>84</v>
      </c>
      <c r="AJ2942" s="2">
        <v>12</v>
      </c>
      <c r="AK2942" s="2" t="s">
        <v>85</v>
      </c>
      <c r="AL2942" s="2">
        <v>9</v>
      </c>
      <c r="AM2942" s="2" t="s">
        <v>259</v>
      </c>
      <c r="AN2942" s="2" t="s">
        <v>9690</v>
      </c>
      <c r="AO2942" s="2"/>
      <c r="AP2942" s="2">
        <v>11</v>
      </c>
      <c r="AQ2942" s="2" t="s">
        <v>82</v>
      </c>
      <c r="AR2942" s="2"/>
      <c r="AS2942" s="2"/>
      <c r="AT2942" s="2" t="s">
        <v>9691</v>
      </c>
      <c r="AU2942" s="2">
        <v>5</v>
      </c>
      <c r="AV2942" s="2"/>
      <c r="AW2942" s="2"/>
      <c r="AX2942" s="2"/>
      <c r="AY2942" s="2">
        <v>41</v>
      </c>
      <c r="AZ2942" s="2" t="s">
        <v>82</v>
      </c>
      <c r="BA2942" s="2">
        <v>41</v>
      </c>
      <c r="BB2942" s="2" t="s">
        <v>82</v>
      </c>
      <c r="BC2942" s="2">
        <v>41</v>
      </c>
      <c r="BD2942" s="2" t="s">
        <v>82</v>
      </c>
      <c r="BE2942" s="2">
        <v>41</v>
      </c>
      <c r="BF2942" s="2" t="s">
        <v>82</v>
      </c>
      <c r="BG2942" s="2"/>
      <c r="BH2942" s="2"/>
      <c r="BI2942" s="2"/>
      <c r="BJ2942" s="2">
        <v>241</v>
      </c>
      <c r="BK2942" s="2" t="s">
        <v>82</v>
      </c>
      <c r="BL2942" s="2"/>
      <c r="BM2942" s="2">
        <v>241</v>
      </c>
      <c r="BN2942" s="2" t="s">
        <v>82</v>
      </c>
      <c r="BO2942" s="2"/>
      <c r="BP2942" s="2">
        <v>241</v>
      </c>
      <c r="BQ2942" s="2" t="s">
        <v>82</v>
      </c>
      <c r="BR2942" s="2"/>
      <c r="BS2942" s="3">
        <v>40378</v>
      </c>
      <c r="BT2942" s="4">
        <v>0.49523148148148149</v>
      </c>
    </row>
    <row r="2943" spans="1:72" x14ac:dyDescent="0.25">
      <c r="A2943" s="2">
        <v>4337</v>
      </c>
      <c r="B2943" s="2">
        <v>2010</v>
      </c>
      <c r="C2943" s="2" t="s">
        <v>147</v>
      </c>
      <c r="D2943" s="2" t="s">
        <v>73</v>
      </c>
      <c r="E2943" s="2"/>
      <c r="F2943" s="2">
        <v>1</v>
      </c>
      <c r="G2943" s="2" t="s">
        <v>82</v>
      </c>
      <c r="H2943" s="2">
        <v>1</v>
      </c>
      <c r="I2943" s="2" t="s">
        <v>82</v>
      </c>
      <c r="J2943" s="2">
        <v>1</v>
      </c>
      <c r="K2943" s="2" t="s">
        <v>107</v>
      </c>
      <c r="L2943" s="2" t="s">
        <v>107</v>
      </c>
      <c r="M2943" s="3">
        <v>40378</v>
      </c>
      <c r="N2943" s="2"/>
      <c r="O2943" s="2"/>
      <c r="P2943" s="2"/>
      <c r="Q2943" s="2" t="str">
        <f>""</f>
        <v/>
      </c>
      <c r="R2943" s="2"/>
      <c r="S2943" s="2"/>
      <c r="T2943" s="2">
        <v>2</v>
      </c>
      <c r="U2943" s="2" t="s">
        <v>123</v>
      </c>
      <c r="V2943" s="2">
        <v>1</v>
      </c>
      <c r="W2943" s="2" t="s">
        <v>80</v>
      </c>
      <c r="X2943" s="2">
        <v>12</v>
      </c>
      <c r="Y2943" s="2" t="s">
        <v>148</v>
      </c>
      <c r="Z2943" s="2">
        <v>1</v>
      </c>
      <c r="AA2943" s="2" t="s">
        <v>82</v>
      </c>
      <c r="AB2943" s="2">
        <v>9</v>
      </c>
      <c r="AC2943" s="2" t="s">
        <v>124</v>
      </c>
      <c r="AD2943" s="2"/>
      <c r="AE2943" s="2"/>
      <c r="AF2943" s="3">
        <v>40378</v>
      </c>
      <c r="AG2943" s="4">
        <v>0.48958333333333331</v>
      </c>
      <c r="AH2943" s="2">
        <v>3</v>
      </c>
      <c r="AI2943" s="2" t="s">
        <v>214</v>
      </c>
      <c r="AJ2943" s="2">
        <v>24</v>
      </c>
      <c r="AK2943" s="2" t="s">
        <v>215</v>
      </c>
      <c r="AL2943" s="2">
        <v>19</v>
      </c>
      <c r="AM2943" s="2" t="s">
        <v>107</v>
      </c>
      <c r="AN2943" s="2"/>
      <c r="AO2943" s="2"/>
      <c r="AP2943" s="2">
        <v>11</v>
      </c>
      <c r="AQ2943" s="2" t="s">
        <v>82</v>
      </c>
      <c r="AR2943" s="2"/>
      <c r="AS2943" s="2"/>
      <c r="AT2943" s="2" t="s">
        <v>9692</v>
      </c>
      <c r="AU2943" s="2"/>
      <c r="AV2943" s="2"/>
      <c r="AW2943" s="2"/>
      <c r="AX2943" s="2"/>
      <c r="AY2943" s="2">
        <v>70</v>
      </c>
      <c r="AZ2943" s="2" t="s">
        <v>236</v>
      </c>
      <c r="BA2943" s="2">
        <v>41</v>
      </c>
      <c r="BB2943" s="2" t="s">
        <v>82</v>
      </c>
      <c r="BC2943" s="2">
        <v>41</v>
      </c>
      <c r="BD2943" s="2" t="s">
        <v>82</v>
      </c>
      <c r="BE2943" s="2">
        <v>41</v>
      </c>
      <c r="BF2943" s="2" t="s">
        <v>82</v>
      </c>
      <c r="BG2943" s="2"/>
      <c r="BH2943" s="2"/>
      <c r="BI2943" s="2"/>
      <c r="BJ2943" s="2">
        <v>241</v>
      </c>
      <c r="BK2943" s="2" t="s">
        <v>82</v>
      </c>
      <c r="BL2943" s="2"/>
      <c r="BM2943" s="2">
        <v>241</v>
      </c>
      <c r="BN2943" s="2" t="s">
        <v>82</v>
      </c>
      <c r="BO2943" s="2"/>
      <c r="BP2943" s="2">
        <v>241</v>
      </c>
      <c r="BQ2943" s="2" t="s">
        <v>82</v>
      </c>
      <c r="BR2943" s="2"/>
      <c r="BS2943" s="3">
        <v>40378</v>
      </c>
      <c r="BT2943" s="4">
        <v>0.52021990740740742</v>
      </c>
    </row>
    <row r="2944" spans="1:72" x14ac:dyDescent="0.25">
      <c r="A2944" s="2">
        <v>4340</v>
      </c>
      <c r="B2944" s="2">
        <v>2010</v>
      </c>
      <c r="C2944" s="2" t="s">
        <v>72</v>
      </c>
      <c r="D2944" s="2" t="s">
        <v>122</v>
      </c>
      <c r="E2944" s="2" t="s">
        <v>9693</v>
      </c>
      <c r="F2944" s="2">
        <v>221</v>
      </c>
      <c r="G2944" s="2" t="s">
        <v>8422</v>
      </c>
      <c r="H2944" s="2">
        <v>42</v>
      </c>
      <c r="I2944" s="2" t="s">
        <v>1096</v>
      </c>
      <c r="J2944" s="2">
        <v>620</v>
      </c>
      <c r="K2944" s="2" t="s">
        <v>9617</v>
      </c>
      <c r="L2944" s="2" t="s">
        <v>9618</v>
      </c>
      <c r="M2944" s="3">
        <v>40378</v>
      </c>
      <c r="N2944" s="2" t="s">
        <v>9619</v>
      </c>
      <c r="O2944" s="2" t="s">
        <v>107</v>
      </c>
      <c r="P2944" s="2" t="s">
        <v>107</v>
      </c>
      <c r="Q2944" s="2" t="str">
        <f>"266-A/10"</f>
        <v>266-A/10</v>
      </c>
      <c r="R2944" s="2" t="s">
        <v>2987</v>
      </c>
      <c r="S2944" s="2" t="s">
        <v>107</v>
      </c>
      <c r="T2944" s="2">
        <v>1</v>
      </c>
      <c r="U2944" s="2" t="s">
        <v>79</v>
      </c>
      <c r="V2944" s="2">
        <v>1</v>
      </c>
      <c r="W2944" s="2" t="s">
        <v>80</v>
      </c>
      <c r="X2944" s="2">
        <v>3</v>
      </c>
      <c r="Y2944" s="2" t="s">
        <v>698</v>
      </c>
      <c r="Z2944" s="2">
        <v>10</v>
      </c>
      <c r="AA2944" s="2" t="s">
        <v>236</v>
      </c>
      <c r="AB2944" s="2">
        <v>6</v>
      </c>
      <c r="AC2944" s="2" t="s">
        <v>83</v>
      </c>
      <c r="AD2944" s="3">
        <v>40375</v>
      </c>
      <c r="AE2944" s="4">
        <v>0.5</v>
      </c>
      <c r="AF2944" s="2"/>
      <c r="AG2944" s="2"/>
      <c r="AH2944" s="2">
        <v>2</v>
      </c>
      <c r="AI2944" s="2" t="s">
        <v>84</v>
      </c>
      <c r="AJ2944" s="2">
        <v>12</v>
      </c>
      <c r="AK2944" s="2" t="s">
        <v>85</v>
      </c>
      <c r="AL2944" s="2">
        <v>22</v>
      </c>
      <c r="AM2944" s="2" t="s">
        <v>1853</v>
      </c>
      <c r="AN2944" s="2" t="s">
        <v>107</v>
      </c>
      <c r="AO2944" s="2" t="s">
        <v>107</v>
      </c>
      <c r="AP2944" s="2">
        <v>11</v>
      </c>
      <c r="AQ2944" s="2" t="s">
        <v>82</v>
      </c>
      <c r="AR2944" s="2"/>
      <c r="AS2944" s="2"/>
      <c r="AT2944" s="2" t="s">
        <v>9694</v>
      </c>
      <c r="AU2944" s="2"/>
      <c r="AV2944" s="2"/>
      <c r="AW2944" s="2"/>
      <c r="AX2944" s="2"/>
      <c r="AY2944" s="2">
        <v>49</v>
      </c>
      <c r="AZ2944" s="2" t="s">
        <v>2572</v>
      </c>
      <c r="BA2944" s="2">
        <v>41</v>
      </c>
      <c r="BB2944" s="2" t="s">
        <v>82</v>
      </c>
      <c r="BC2944" s="2">
        <v>41</v>
      </c>
      <c r="BD2944" s="2" t="s">
        <v>82</v>
      </c>
      <c r="BE2944" s="2">
        <v>13</v>
      </c>
      <c r="BF2944" s="2" t="s">
        <v>108</v>
      </c>
      <c r="BG2944" s="2" t="s">
        <v>9621</v>
      </c>
      <c r="BH2944" s="4">
        <v>0.41666666666666669</v>
      </c>
      <c r="BI2944" s="4">
        <v>0.33680555555555558</v>
      </c>
      <c r="BJ2944" s="2">
        <v>13</v>
      </c>
      <c r="BK2944" s="2" t="s">
        <v>91</v>
      </c>
      <c r="BL2944" s="2" t="s">
        <v>185</v>
      </c>
      <c r="BM2944" s="2">
        <v>241</v>
      </c>
      <c r="BN2944" s="2" t="s">
        <v>82</v>
      </c>
      <c r="BO2944" s="2"/>
      <c r="BP2944" s="2">
        <v>13</v>
      </c>
      <c r="BQ2944" s="2" t="s">
        <v>91</v>
      </c>
      <c r="BR2944" s="2" t="s">
        <v>445</v>
      </c>
      <c r="BS2944" s="3">
        <v>40378</v>
      </c>
      <c r="BT2944" s="4">
        <v>0.56468750000000001</v>
      </c>
    </row>
    <row r="2945" spans="1:72" x14ac:dyDescent="0.25">
      <c r="A2945" s="2">
        <v>4341</v>
      </c>
      <c r="B2945" s="2">
        <v>2010</v>
      </c>
      <c r="C2945" s="2" t="s">
        <v>72</v>
      </c>
      <c r="D2945" s="2" t="s">
        <v>73</v>
      </c>
      <c r="E2945" s="2"/>
      <c r="F2945" s="2">
        <v>481</v>
      </c>
      <c r="G2945" s="2" t="s">
        <v>1438</v>
      </c>
      <c r="H2945" s="2">
        <v>1</v>
      </c>
      <c r="I2945" s="2" t="s">
        <v>82</v>
      </c>
      <c r="J2945" s="2">
        <v>57</v>
      </c>
      <c r="K2945" s="2" t="s">
        <v>431</v>
      </c>
      <c r="L2945" s="2" t="s">
        <v>432</v>
      </c>
      <c r="M2945" s="3">
        <v>40378</v>
      </c>
      <c r="N2945" s="2" t="s">
        <v>9695</v>
      </c>
      <c r="O2945" s="2" t="s">
        <v>7781</v>
      </c>
      <c r="P2945" s="2" t="s">
        <v>107</v>
      </c>
      <c r="Q2945" s="2" t="str">
        <f>"Nº 34"</f>
        <v>Nº 34</v>
      </c>
      <c r="R2945" s="2" t="s">
        <v>7781</v>
      </c>
      <c r="S2945" s="2" t="s">
        <v>7781</v>
      </c>
      <c r="T2945" s="2">
        <v>1</v>
      </c>
      <c r="U2945" s="2" t="s">
        <v>79</v>
      </c>
      <c r="V2945" s="2">
        <v>1</v>
      </c>
      <c r="W2945" s="2" t="s">
        <v>80</v>
      </c>
      <c r="X2945" s="2">
        <v>12</v>
      </c>
      <c r="Y2945" s="2" t="s">
        <v>148</v>
      </c>
      <c r="Z2945" s="2">
        <v>1</v>
      </c>
      <c r="AA2945" s="2" t="s">
        <v>82</v>
      </c>
      <c r="AB2945" s="2">
        <v>6</v>
      </c>
      <c r="AC2945" s="2" t="s">
        <v>83</v>
      </c>
      <c r="AD2945" s="3">
        <v>40378</v>
      </c>
      <c r="AE2945" s="2"/>
      <c r="AF2945" s="3">
        <v>40378</v>
      </c>
      <c r="AG2945" s="4">
        <v>0.49305555555555558</v>
      </c>
      <c r="AH2945" s="2">
        <v>3</v>
      </c>
      <c r="AI2945" s="2" t="s">
        <v>214</v>
      </c>
      <c r="AJ2945" s="2">
        <v>17</v>
      </c>
      <c r="AK2945" s="2" t="s">
        <v>309</v>
      </c>
      <c r="AL2945" s="2">
        <v>22</v>
      </c>
      <c r="AM2945" s="2" t="s">
        <v>1853</v>
      </c>
      <c r="AN2945" s="2" t="s">
        <v>9696</v>
      </c>
      <c r="AO2945" s="2"/>
      <c r="AP2945" s="2">
        <v>5</v>
      </c>
      <c r="AQ2945" s="2" t="s">
        <v>827</v>
      </c>
      <c r="AR2945" s="2" t="s">
        <v>9697</v>
      </c>
      <c r="AS2945" s="2" t="s">
        <v>9698</v>
      </c>
      <c r="AT2945" s="2" t="s">
        <v>9699</v>
      </c>
      <c r="AU2945" s="2"/>
      <c r="AV2945" s="2"/>
      <c r="AW2945" s="2"/>
      <c r="AX2945" s="2"/>
      <c r="AY2945" s="2">
        <v>51</v>
      </c>
      <c r="AZ2945" s="2" t="s">
        <v>827</v>
      </c>
      <c r="BA2945" s="2">
        <v>51</v>
      </c>
      <c r="BB2945" s="2" t="s">
        <v>827</v>
      </c>
      <c r="BC2945" s="2">
        <v>41</v>
      </c>
      <c r="BD2945" s="2" t="s">
        <v>82</v>
      </c>
      <c r="BE2945" s="2">
        <v>13</v>
      </c>
      <c r="BF2945" s="2" t="s">
        <v>108</v>
      </c>
      <c r="BG2945" s="2">
        <v>1404</v>
      </c>
      <c r="BH2945" s="4">
        <v>0.43402777777777773</v>
      </c>
      <c r="BI2945" s="4">
        <v>0.36805555555555558</v>
      </c>
      <c r="BJ2945" s="2">
        <v>13</v>
      </c>
      <c r="BK2945" s="2" t="s">
        <v>91</v>
      </c>
      <c r="BL2945" s="2" t="s">
        <v>185</v>
      </c>
      <c r="BM2945" s="2">
        <v>241</v>
      </c>
      <c r="BN2945" s="2" t="s">
        <v>82</v>
      </c>
      <c r="BO2945" s="2" t="s">
        <v>82</v>
      </c>
      <c r="BP2945" s="2">
        <v>13</v>
      </c>
      <c r="BQ2945" s="2" t="s">
        <v>91</v>
      </c>
      <c r="BR2945" s="2" t="s">
        <v>445</v>
      </c>
      <c r="BS2945" s="3">
        <v>40378</v>
      </c>
      <c r="BT2945" s="4">
        <v>0.57309027777777777</v>
      </c>
    </row>
    <row r="2946" spans="1:72" x14ac:dyDescent="0.25">
      <c r="A2946" s="2">
        <v>4344</v>
      </c>
      <c r="B2946" s="2">
        <v>2010</v>
      </c>
      <c r="C2946" s="2" t="s">
        <v>171</v>
      </c>
      <c r="D2946" s="2" t="s">
        <v>73</v>
      </c>
      <c r="E2946" s="2" t="s">
        <v>5266</v>
      </c>
      <c r="F2946" s="2">
        <v>425</v>
      </c>
      <c r="G2946" s="2" t="s">
        <v>286</v>
      </c>
      <c r="H2946" s="2">
        <v>30</v>
      </c>
      <c r="I2946" s="2" t="s">
        <v>912</v>
      </c>
      <c r="J2946" s="2">
        <v>310</v>
      </c>
      <c r="K2946" s="2" t="s">
        <v>288</v>
      </c>
      <c r="L2946" s="2" t="s">
        <v>289</v>
      </c>
      <c r="M2946" s="3">
        <v>40378</v>
      </c>
      <c r="N2946" s="2" t="s">
        <v>1917</v>
      </c>
      <c r="O2946" s="2" t="s">
        <v>4718</v>
      </c>
      <c r="P2946" s="2" t="s">
        <v>4719</v>
      </c>
      <c r="Q2946" s="2" t="str">
        <f>"84"</f>
        <v>84</v>
      </c>
      <c r="R2946" s="2"/>
      <c r="S2946" s="2"/>
      <c r="T2946" s="2">
        <v>1</v>
      </c>
      <c r="U2946" s="2" t="s">
        <v>79</v>
      </c>
      <c r="V2946" s="2">
        <v>3</v>
      </c>
      <c r="W2946" s="2" t="s">
        <v>225</v>
      </c>
      <c r="X2946" s="2">
        <v>6</v>
      </c>
      <c r="Y2946" s="2" t="s">
        <v>249</v>
      </c>
      <c r="Z2946" s="2">
        <v>1</v>
      </c>
      <c r="AA2946" s="2" t="s">
        <v>82</v>
      </c>
      <c r="AB2946" s="2">
        <v>9</v>
      </c>
      <c r="AC2946" s="2" t="s">
        <v>124</v>
      </c>
      <c r="AD2946" s="2"/>
      <c r="AE2946" s="2"/>
      <c r="AF2946" s="2"/>
      <c r="AG2946" s="2"/>
      <c r="AH2946" s="2">
        <v>4</v>
      </c>
      <c r="AI2946" s="2" t="s">
        <v>125</v>
      </c>
      <c r="AJ2946" s="2">
        <v>26</v>
      </c>
      <c r="AK2946" s="2" t="s">
        <v>293</v>
      </c>
      <c r="AL2946" s="2">
        <v>23</v>
      </c>
      <c r="AM2946" s="2" t="s">
        <v>251</v>
      </c>
      <c r="AN2946" s="2"/>
      <c r="AO2946" s="2" t="s">
        <v>7578</v>
      </c>
      <c r="AP2946" s="2">
        <v>11</v>
      </c>
      <c r="AQ2946" s="2" t="s">
        <v>82</v>
      </c>
      <c r="AR2946" s="2"/>
      <c r="AS2946" s="2"/>
      <c r="AT2946" s="2" t="s">
        <v>9700</v>
      </c>
      <c r="AU2946" s="2"/>
      <c r="AV2946" s="2"/>
      <c r="AW2946" s="2"/>
      <c r="AX2946" s="2"/>
      <c r="AY2946" s="2">
        <v>1</v>
      </c>
      <c r="AZ2946" s="2" t="s">
        <v>107</v>
      </c>
      <c r="BA2946" s="2">
        <v>1</v>
      </c>
      <c r="BB2946" s="2" t="s">
        <v>107</v>
      </c>
      <c r="BC2946" s="2">
        <v>1</v>
      </c>
      <c r="BD2946" s="2" t="s">
        <v>107</v>
      </c>
      <c r="BE2946" s="2">
        <v>1</v>
      </c>
      <c r="BF2946" s="2" t="s">
        <v>107</v>
      </c>
      <c r="BG2946" s="2"/>
      <c r="BH2946" s="2"/>
      <c r="BI2946" s="2"/>
      <c r="BJ2946" s="2">
        <v>242</v>
      </c>
      <c r="BK2946" s="2" t="s">
        <v>107</v>
      </c>
      <c r="BL2946" s="2"/>
      <c r="BM2946" s="2">
        <v>242</v>
      </c>
      <c r="BN2946" s="2" t="s">
        <v>107</v>
      </c>
      <c r="BO2946" s="2"/>
      <c r="BP2946" s="2">
        <v>242</v>
      </c>
      <c r="BQ2946" s="2" t="s">
        <v>107</v>
      </c>
      <c r="BR2946" s="2"/>
      <c r="BS2946" s="3">
        <v>40378</v>
      </c>
      <c r="BT2946" s="4">
        <v>0.6734606481481481</v>
      </c>
    </row>
    <row r="2947" spans="1:72" x14ac:dyDescent="0.25">
      <c r="A2947" s="2">
        <v>4345</v>
      </c>
      <c r="B2947" s="2">
        <v>2010</v>
      </c>
      <c r="C2947" s="2" t="s">
        <v>377</v>
      </c>
      <c r="D2947" s="2" t="s">
        <v>73</v>
      </c>
      <c r="E2947" s="2"/>
      <c r="F2947" s="2">
        <v>426</v>
      </c>
      <c r="G2947" s="2" t="s">
        <v>378</v>
      </c>
      <c r="H2947" s="2">
        <v>22</v>
      </c>
      <c r="I2947" s="2" t="s">
        <v>75</v>
      </c>
      <c r="J2947" s="2">
        <v>311</v>
      </c>
      <c r="K2947" s="2" t="s">
        <v>379</v>
      </c>
      <c r="L2947" s="2" t="s">
        <v>380</v>
      </c>
      <c r="M2947" s="3">
        <v>40378</v>
      </c>
      <c r="N2947" s="2" t="s">
        <v>5164</v>
      </c>
      <c r="O2947" s="2"/>
      <c r="P2947" s="2"/>
      <c r="Q2947" s="2" t="str">
        <f>"172-C/10"</f>
        <v>172-C/10</v>
      </c>
      <c r="R2947" s="2" t="s">
        <v>6609</v>
      </c>
      <c r="S2947" s="2"/>
      <c r="T2947" s="2">
        <v>1</v>
      </c>
      <c r="U2947" s="2" t="s">
        <v>79</v>
      </c>
      <c r="V2947" s="2">
        <v>1</v>
      </c>
      <c r="W2947" s="2" t="s">
        <v>80</v>
      </c>
      <c r="X2947" s="2">
        <v>1</v>
      </c>
      <c r="Y2947" s="2" t="s">
        <v>81</v>
      </c>
      <c r="Z2947" s="2">
        <v>1</v>
      </c>
      <c r="AA2947" s="2" t="s">
        <v>82</v>
      </c>
      <c r="AB2947" s="2">
        <v>9</v>
      </c>
      <c r="AC2947" s="2" t="s">
        <v>124</v>
      </c>
      <c r="AD2947" s="3">
        <v>40378</v>
      </c>
      <c r="AE2947" s="4">
        <v>0.34027777777777773</v>
      </c>
      <c r="AF2947" s="2"/>
      <c r="AG2947" s="2"/>
      <c r="AH2947" s="2">
        <v>2</v>
      </c>
      <c r="AI2947" s="2" t="s">
        <v>84</v>
      </c>
      <c r="AJ2947" s="2">
        <v>9</v>
      </c>
      <c r="AK2947" s="2" t="s">
        <v>103</v>
      </c>
      <c r="AL2947" s="2">
        <v>29</v>
      </c>
      <c r="AM2947" s="2" t="s">
        <v>5416</v>
      </c>
      <c r="AN2947" s="2"/>
      <c r="AO2947" s="2" t="s">
        <v>7213</v>
      </c>
      <c r="AP2947" s="2">
        <v>11</v>
      </c>
      <c r="AQ2947" s="2" t="s">
        <v>82</v>
      </c>
      <c r="AR2947" s="2"/>
      <c r="AS2947" s="2"/>
      <c r="AT2947" s="2" t="s">
        <v>9701</v>
      </c>
      <c r="AU2947" s="2"/>
      <c r="AV2947" s="2"/>
      <c r="AW2947" s="2"/>
      <c r="AX2947" s="2"/>
      <c r="AY2947" s="2">
        <v>41</v>
      </c>
      <c r="AZ2947" s="2" t="s">
        <v>82</v>
      </c>
      <c r="BA2947" s="2">
        <v>41</v>
      </c>
      <c r="BB2947" s="2" t="s">
        <v>82</v>
      </c>
      <c r="BC2947" s="2">
        <v>41</v>
      </c>
      <c r="BD2947" s="2" t="s">
        <v>82</v>
      </c>
      <c r="BE2947" s="2">
        <v>41</v>
      </c>
      <c r="BF2947" s="2" t="s">
        <v>82</v>
      </c>
      <c r="BG2947" s="2"/>
      <c r="BH2947" s="2"/>
      <c r="BI2947" s="2"/>
      <c r="BJ2947" s="2">
        <v>241</v>
      </c>
      <c r="BK2947" s="2" t="s">
        <v>82</v>
      </c>
      <c r="BL2947" s="2"/>
      <c r="BM2947" s="2">
        <v>241</v>
      </c>
      <c r="BN2947" s="2" t="s">
        <v>82</v>
      </c>
      <c r="BO2947" s="2"/>
      <c r="BP2947" s="2">
        <v>241</v>
      </c>
      <c r="BQ2947" s="2" t="s">
        <v>82</v>
      </c>
      <c r="BR2947" s="2"/>
      <c r="BS2947" s="3">
        <v>40378</v>
      </c>
      <c r="BT2947" s="4">
        <v>0.69518518518518524</v>
      </c>
    </row>
    <row r="2948" spans="1:72" x14ac:dyDescent="0.25">
      <c r="A2948" s="2">
        <v>4346</v>
      </c>
      <c r="B2948" s="2">
        <v>2010</v>
      </c>
      <c r="C2948" s="2" t="s">
        <v>377</v>
      </c>
      <c r="D2948" s="2" t="s">
        <v>73</v>
      </c>
      <c r="E2948" s="2"/>
      <c r="F2948" s="2">
        <v>426</v>
      </c>
      <c r="G2948" s="2" t="s">
        <v>378</v>
      </c>
      <c r="H2948" s="2">
        <v>42</v>
      </c>
      <c r="I2948" s="2" t="s">
        <v>1096</v>
      </c>
      <c r="J2948" s="2">
        <v>311</v>
      </c>
      <c r="K2948" s="2" t="s">
        <v>379</v>
      </c>
      <c r="L2948" s="2" t="s">
        <v>380</v>
      </c>
      <c r="M2948" s="3">
        <v>40378</v>
      </c>
      <c r="N2948" s="2" t="s">
        <v>9702</v>
      </c>
      <c r="O2948" s="2"/>
      <c r="P2948" s="2"/>
      <c r="Q2948" s="2" t="str">
        <f>"173-C/10"</f>
        <v>173-C/10</v>
      </c>
      <c r="R2948" s="2" t="s">
        <v>5773</v>
      </c>
      <c r="S2948" s="2"/>
      <c r="T2948" s="2">
        <v>1</v>
      </c>
      <c r="U2948" s="2" t="s">
        <v>79</v>
      </c>
      <c r="V2948" s="2">
        <v>1</v>
      </c>
      <c r="W2948" s="2" t="s">
        <v>80</v>
      </c>
      <c r="X2948" s="2">
        <v>1</v>
      </c>
      <c r="Y2948" s="2" t="s">
        <v>81</v>
      </c>
      <c r="Z2948" s="2">
        <v>1</v>
      </c>
      <c r="AA2948" s="2" t="s">
        <v>82</v>
      </c>
      <c r="AB2948" s="2">
        <v>9</v>
      </c>
      <c r="AC2948" s="2" t="s">
        <v>124</v>
      </c>
      <c r="AD2948" s="3">
        <v>40378</v>
      </c>
      <c r="AE2948" s="4">
        <v>0.42708333333333331</v>
      </c>
      <c r="AF2948" s="2"/>
      <c r="AG2948" s="2"/>
      <c r="AH2948" s="2">
        <v>2</v>
      </c>
      <c r="AI2948" s="2" t="s">
        <v>84</v>
      </c>
      <c r="AJ2948" s="2">
        <v>9</v>
      </c>
      <c r="AK2948" s="2" t="s">
        <v>103</v>
      </c>
      <c r="AL2948" s="2">
        <v>29</v>
      </c>
      <c r="AM2948" s="2" t="s">
        <v>5416</v>
      </c>
      <c r="AN2948" s="2"/>
      <c r="AO2948" s="2" t="s">
        <v>9703</v>
      </c>
      <c r="AP2948" s="2">
        <v>11</v>
      </c>
      <c r="AQ2948" s="2" t="s">
        <v>82</v>
      </c>
      <c r="AR2948" s="2"/>
      <c r="AS2948" s="2"/>
      <c r="AT2948" s="2" t="s">
        <v>9704</v>
      </c>
      <c r="AU2948" s="2"/>
      <c r="AV2948" s="2"/>
      <c r="AW2948" s="2"/>
      <c r="AX2948" s="2"/>
      <c r="AY2948" s="2">
        <v>41</v>
      </c>
      <c r="AZ2948" s="2" t="s">
        <v>82</v>
      </c>
      <c r="BA2948" s="2">
        <v>41</v>
      </c>
      <c r="BB2948" s="2" t="s">
        <v>82</v>
      </c>
      <c r="BC2948" s="2">
        <v>41</v>
      </c>
      <c r="BD2948" s="2" t="s">
        <v>82</v>
      </c>
      <c r="BE2948" s="2">
        <v>41</v>
      </c>
      <c r="BF2948" s="2" t="s">
        <v>82</v>
      </c>
      <c r="BG2948" s="2"/>
      <c r="BH2948" s="2"/>
      <c r="BI2948" s="2"/>
      <c r="BJ2948" s="2">
        <v>241</v>
      </c>
      <c r="BK2948" s="2" t="s">
        <v>82</v>
      </c>
      <c r="BL2948" s="2"/>
      <c r="BM2948" s="2">
        <v>241</v>
      </c>
      <c r="BN2948" s="2" t="s">
        <v>82</v>
      </c>
      <c r="BO2948" s="2"/>
      <c r="BP2948" s="2">
        <v>241</v>
      </c>
      <c r="BQ2948" s="2" t="s">
        <v>82</v>
      </c>
      <c r="BR2948" s="2"/>
      <c r="BS2948" s="3">
        <v>40378</v>
      </c>
      <c r="BT2948" s="4">
        <v>0.70541666666666669</v>
      </c>
    </row>
    <row r="2949" spans="1:72" x14ac:dyDescent="0.25">
      <c r="A2949" s="2">
        <v>4347</v>
      </c>
      <c r="B2949" s="2">
        <v>2010</v>
      </c>
      <c r="C2949" s="2" t="s">
        <v>377</v>
      </c>
      <c r="D2949" s="2" t="s">
        <v>73</v>
      </c>
      <c r="E2949" s="2"/>
      <c r="F2949" s="2">
        <v>426</v>
      </c>
      <c r="G2949" s="2" t="s">
        <v>378</v>
      </c>
      <c r="H2949" s="2">
        <v>22</v>
      </c>
      <c r="I2949" s="2" t="s">
        <v>75</v>
      </c>
      <c r="J2949" s="2">
        <v>311</v>
      </c>
      <c r="K2949" s="2" t="s">
        <v>379</v>
      </c>
      <c r="L2949" s="2" t="s">
        <v>380</v>
      </c>
      <c r="M2949" s="3">
        <v>40378</v>
      </c>
      <c r="N2949" s="2" t="s">
        <v>5164</v>
      </c>
      <c r="O2949" s="2"/>
      <c r="P2949" s="2"/>
      <c r="Q2949" s="2" t="str">
        <f>"174-C/10"</f>
        <v>174-C/10</v>
      </c>
      <c r="R2949" s="2" t="s">
        <v>4428</v>
      </c>
      <c r="S2949" s="2"/>
      <c r="T2949" s="2">
        <v>1</v>
      </c>
      <c r="U2949" s="2" t="s">
        <v>79</v>
      </c>
      <c r="V2949" s="2">
        <v>1</v>
      </c>
      <c r="W2949" s="2" t="s">
        <v>80</v>
      </c>
      <c r="X2949" s="2">
        <v>1</v>
      </c>
      <c r="Y2949" s="2" t="s">
        <v>81</v>
      </c>
      <c r="Z2949" s="2">
        <v>1</v>
      </c>
      <c r="AA2949" s="2" t="s">
        <v>82</v>
      </c>
      <c r="AB2949" s="2">
        <v>9</v>
      </c>
      <c r="AC2949" s="2" t="s">
        <v>124</v>
      </c>
      <c r="AD2949" s="3">
        <v>40378</v>
      </c>
      <c r="AE2949" s="4">
        <v>0.43055555555555558</v>
      </c>
      <c r="AF2949" s="2"/>
      <c r="AG2949" s="2"/>
      <c r="AH2949" s="2">
        <v>2</v>
      </c>
      <c r="AI2949" s="2" t="s">
        <v>84</v>
      </c>
      <c r="AJ2949" s="2">
        <v>9</v>
      </c>
      <c r="AK2949" s="2" t="s">
        <v>103</v>
      </c>
      <c r="AL2949" s="2">
        <v>29</v>
      </c>
      <c r="AM2949" s="2" t="s">
        <v>5416</v>
      </c>
      <c r="AN2949" s="2"/>
      <c r="AO2949" s="2" t="s">
        <v>9705</v>
      </c>
      <c r="AP2949" s="2">
        <v>11</v>
      </c>
      <c r="AQ2949" s="2" t="s">
        <v>82</v>
      </c>
      <c r="AR2949" s="2"/>
      <c r="AS2949" s="2"/>
      <c r="AT2949" s="2" t="s">
        <v>9706</v>
      </c>
      <c r="AU2949" s="2"/>
      <c r="AV2949" s="2"/>
      <c r="AW2949" s="2"/>
      <c r="AX2949" s="2"/>
      <c r="AY2949" s="2">
        <v>41</v>
      </c>
      <c r="AZ2949" s="2" t="s">
        <v>82</v>
      </c>
      <c r="BA2949" s="2">
        <v>41</v>
      </c>
      <c r="BB2949" s="2" t="s">
        <v>82</v>
      </c>
      <c r="BC2949" s="2">
        <v>41</v>
      </c>
      <c r="BD2949" s="2" t="s">
        <v>82</v>
      </c>
      <c r="BE2949" s="2">
        <v>41</v>
      </c>
      <c r="BF2949" s="2" t="s">
        <v>82</v>
      </c>
      <c r="BG2949" s="2"/>
      <c r="BH2949" s="2"/>
      <c r="BI2949" s="2"/>
      <c r="BJ2949" s="2">
        <v>241</v>
      </c>
      <c r="BK2949" s="2" t="s">
        <v>82</v>
      </c>
      <c r="BL2949" s="2"/>
      <c r="BM2949" s="2">
        <v>241</v>
      </c>
      <c r="BN2949" s="2" t="s">
        <v>82</v>
      </c>
      <c r="BO2949" s="2"/>
      <c r="BP2949" s="2">
        <v>241</v>
      </c>
      <c r="BQ2949" s="2" t="s">
        <v>82</v>
      </c>
      <c r="BR2949" s="2"/>
      <c r="BS2949" s="3">
        <v>40378</v>
      </c>
      <c r="BT2949" s="4">
        <v>0.72312500000000002</v>
      </c>
    </row>
    <row r="2950" spans="1:72" x14ac:dyDescent="0.25">
      <c r="A2950" s="2">
        <v>4348</v>
      </c>
      <c r="B2950" s="2">
        <v>2010</v>
      </c>
      <c r="C2950" s="2" t="s">
        <v>377</v>
      </c>
      <c r="D2950" s="2" t="s">
        <v>73</v>
      </c>
      <c r="E2950" s="2"/>
      <c r="F2950" s="2">
        <v>426</v>
      </c>
      <c r="G2950" s="2" t="s">
        <v>378</v>
      </c>
      <c r="H2950" s="2">
        <v>42</v>
      </c>
      <c r="I2950" s="2" t="s">
        <v>1096</v>
      </c>
      <c r="J2950" s="2">
        <v>311</v>
      </c>
      <c r="K2950" s="2" t="s">
        <v>379</v>
      </c>
      <c r="L2950" s="2" t="s">
        <v>380</v>
      </c>
      <c r="M2950" s="3">
        <v>40378</v>
      </c>
      <c r="N2950" s="2" t="s">
        <v>5164</v>
      </c>
      <c r="O2950" s="2"/>
      <c r="P2950" s="2"/>
      <c r="Q2950" s="2" t="str">
        <f>"175-C/10"</f>
        <v>175-C/10</v>
      </c>
      <c r="R2950" s="2" t="s">
        <v>4428</v>
      </c>
      <c r="S2950" s="2"/>
      <c r="T2950" s="2">
        <v>1</v>
      </c>
      <c r="U2950" s="2" t="s">
        <v>79</v>
      </c>
      <c r="V2950" s="2">
        <v>1</v>
      </c>
      <c r="W2950" s="2" t="s">
        <v>80</v>
      </c>
      <c r="X2950" s="2">
        <v>1</v>
      </c>
      <c r="Y2950" s="2" t="s">
        <v>81</v>
      </c>
      <c r="Z2950" s="2">
        <v>1</v>
      </c>
      <c r="AA2950" s="2" t="s">
        <v>82</v>
      </c>
      <c r="AB2950" s="2">
        <v>9</v>
      </c>
      <c r="AC2950" s="2" t="s">
        <v>124</v>
      </c>
      <c r="AD2950" s="3">
        <v>40378</v>
      </c>
      <c r="AE2950" s="4">
        <v>0.43055555555555558</v>
      </c>
      <c r="AF2950" s="2"/>
      <c r="AG2950" s="2"/>
      <c r="AH2950" s="2">
        <v>2</v>
      </c>
      <c r="AI2950" s="2" t="s">
        <v>84</v>
      </c>
      <c r="AJ2950" s="2">
        <v>9</v>
      </c>
      <c r="AK2950" s="2" t="s">
        <v>103</v>
      </c>
      <c r="AL2950" s="2">
        <v>29</v>
      </c>
      <c r="AM2950" s="2" t="s">
        <v>5416</v>
      </c>
      <c r="AN2950" s="2"/>
      <c r="AO2950" s="2" t="s">
        <v>9703</v>
      </c>
      <c r="AP2950" s="2">
        <v>11</v>
      </c>
      <c r="AQ2950" s="2" t="s">
        <v>82</v>
      </c>
      <c r="AR2950" s="2"/>
      <c r="AS2950" s="2"/>
      <c r="AT2950" s="2" t="s">
        <v>9707</v>
      </c>
      <c r="AU2950" s="2"/>
      <c r="AV2950" s="2"/>
      <c r="AW2950" s="2"/>
      <c r="AX2950" s="2"/>
      <c r="AY2950" s="2">
        <v>41</v>
      </c>
      <c r="AZ2950" s="2" t="s">
        <v>82</v>
      </c>
      <c r="BA2950" s="2">
        <v>41</v>
      </c>
      <c r="BB2950" s="2" t="s">
        <v>82</v>
      </c>
      <c r="BC2950" s="2">
        <v>41</v>
      </c>
      <c r="BD2950" s="2" t="s">
        <v>82</v>
      </c>
      <c r="BE2950" s="2">
        <v>41</v>
      </c>
      <c r="BF2950" s="2" t="s">
        <v>82</v>
      </c>
      <c r="BG2950" s="2"/>
      <c r="BH2950" s="2"/>
      <c r="BI2950" s="2"/>
      <c r="BJ2950" s="2">
        <v>241</v>
      </c>
      <c r="BK2950" s="2" t="s">
        <v>82</v>
      </c>
      <c r="BL2950" s="2"/>
      <c r="BM2950" s="2">
        <v>241</v>
      </c>
      <c r="BN2950" s="2" t="s">
        <v>82</v>
      </c>
      <c r="BO2950" s="2"/>
      <c r="BP2950" s="2">
        <v>241</v>
      </c>
      <c r="BQ2950" s="2" t="s">
        <v>82</v>
      </c>
      <c r="BR2950" s="2"/>
      <c r="BS2950" s="3">
        <v>40378</v>
      </c>
      <c r="BT2950" s="4">
        <v>0.74940972222222213</v>
      </c>
    </row>
    <row r="2951" spans="1:72" x14ac:dyDescent="0.25">
      <c r="A2951" s="2">
        <v>4350</v>
      </c>
      <c r="B2951" s="2">
        <v>2010</v>
      </c>
      <c r="C2951" s="2" t="s">
        <v>4543</v>
      </c>
      <c r="D2951" s="2" t="s">
        <v>122</v>
      </c>
      <c r="E2951" s="2" t="s">
        <v>9708</v>
      </c>
      <c r="F2951" s="2">
        <v>385</v>
      </c>
      <c r="G2951" s="2" t="s">
        <v>990</v>
      </c>
      <c r="H2951" s="2">
        <v>30</v>
      </c>
      <c r="I2951" s="2" t="s">
        <v>912</v>
      </c>
      <c r="J2951" s="2">
        <v>332</v>
      </c>
      <c r="K2951" s="2" t="s">
        <v>913</v>
      </c>
      <c r="L2951" s="2" t="s">
        <v>914</v>
      </c>
      <c r="M2951" s="3">
        <v>40378</v>
      </c>
      <c r="N2951" s="2" t="s">
        <v>9571</v>
      </c>
      <c r="O2951" s="2"/>
      <c r="P2951" s="2"/>
      <c r="Q2951" s="2" t="str">
        <f>"10"</f>
        <v>10</v>
      </c>
      <c r="R2951" s="2" t="s">
        <v>9572</v>
      </c>
      <c r="S2951" s="2" t="s">
        <v>9572</v>
      </c>
      <c r="T2951" s="2">
        <v>2</v>
      </c>
      <c r="U2951" s="2" t="s">
        <v>123</v>
      </c>
      <c r="V2951" s="2">
        <v>1</v>
      </c>
      <c r="W2951" s="2" t="s">
        <v>80</v>
      </c>
      <c r="X2951" s="2">
        <v>1</v>
      </c>
      <c r="Y2951" s="2" t="s">
        <v>81</v>
      </c>
      <c r="Z2951" s="2">
        <v>10</v>
      </c>
      <c r="AA2951" s="2" t="s">
        <v>236</v>
      </c>
      <c r="AB2951" s="2">
        <v>9</v>
      </c>
      <c r="AC2951" s="2" t="s">
        <v>124</v>
      </c>
      <c r="AD2951" s="3">
        <v>40374</v>
      </c>
      <c r="AE2951" s="4">
        <v>0.41666666666666669</v>
      </c>
      <c r="AF2951" s="2"/>
      <c r="AG2951" s="2"/>
      <c r="AH2951" s="2">
        <v>5</v>
      </c>
      <c r="AI2951" s="2" t="s">
        <v>274</v>
      </c>
      <c r="AJ2951" s="2">
        <v>43</v>
      </c>
      <c r="AK2951" s="2" t="s">
        <v>918</v>
      </c>
      <c r="AL2951" s="2">
        <v>14</v>
      </c>
      <c r="AM2951" s="2" t="s">
        <v>216</v>
      </c>
      <c r="AN2951" s="2"/>
      <c r="AO2951" s="2" t="s">
        <v>137</v>
      </c>
      <c r="AP2951" s="2">
        <v>5</v>
      </c>
      <c r="AQ2951" s="2" t="s">
        <v>827</v>
      </c>
      <c r="AR2951" s="2"/>
      <c r="AS2951" s="2"/>
      <c r="AT2951" s="2" t="s">
        <v>9709</v>
      </c>
      <c r="AU2951" s="2"/>
      <c r="AV2951" s="2"/>
      <c r="AW2951" s="2"/>
      <c r="AX2951" s="2"/>
      <c r="AY2951" s="2">
        <v>1</v>
      </c>
      <c r="AZ2951" s="2" t="s">
        <v>107</v>
      </c>
      <c r="BA2951" s="2">
        <v>1</v>
      </c>
      <c r="BB2951" s="2" t="s">
        <v>107</v>
      </c>
      <c r="BC2951" s="2">
        <v>1</v>
      </c>
      <c r="BD2951" s="2" t="s">
        <v>107</v>
      </c>
      <c r="BE2951" s="2">
        <v>13</v>
      </c>
      <c r="BF2951" s="2" t="s">
        <v>108</v>
      </c>
      <c r="BG2951" s="2">
        <v>1783</v>
      </c>
      <c r="BH2951" s="4">
        <v>0.44791666666666669</v>
      </c>
      <c r="BI2951" s="4">
        <v>0.48541666666666666</v>
      </c>
      <c r="BJ2951" s="2">
        <v>13</v>
      </c>
      <c r="BK2951" s="2" t="s">
        <v>91</v>
      </c>
      <c r="BL2951" s="2" t="s">
        <v>170</v>
      </c>
      <c r="BM2951" s="2">
        <v>13</v>
      </c>
      <c r="BN2951" s="2" t="s">
        <v>91</v>
      </c>
      <c r="BO2951" s="2" t="s">
        <v>3387</v>
      </c>
      <c r="BP2951" s="2">
        <v>13</v>
      </c>
      <c r="BQ2951" s="2" t="s">
        <v>91</v>
      </c>
      <c r="BR2951" s="2" t="s">
        <v>170</v>
      </c>
      <c r="BS2951" s="3">
        <v>40378</v>
      </c>
      <c r="BT2951" s="4">
        <v>0.76774305555555555</v>
      </c>
    </row>
    <row r="2952" spans="1:72" x14ac:dyDescent="0.25">
      <c r="A2952" s="2">
        <v>4351</v>
      </c>
      <c r="B2952" s="2">
        <v>2010</v>
      </c>
      <c r="C2952" s="2" t="s">
        <v>377</v>
      </c>
      <c r="D2952" s="2" t="s">
        <v>73</v>
      </c>
      <c r="E2952" s="2"/>
      <c r="F2952" s="2">
        <v>426</v>
      </c>
      <c r="G2952" s="2" t="s">
        <v>378</v>
      </c>
      <c r="H2952" s="2">
        <v>42</v>
      </c>
      <c r="I2952" s="2" t="s">
        <v>1096</v>
      </c>
      <c r="J2952" s="2">
        <v>311</v>
      </c>
      <c r="K2952" s="2" t="s">
        <v>379</v>
      </c>
      <c r="L2952" s="2" t="s">
        <v>380</v>
      </c>
      <c r="M2952" s="3">
        <v>40378</v>
      </c>
      <c r="N2952" s="2" t="s">
        <v>5164</v>
      </c>
      <c r="O2952" s="2"/>
      <c r="P2952" s="2"/>
      <c r="Q2952" s="2" t="str">
        <f>"176-C/10"</f>
        <v>176-C/10</v>
      </c>
      <c r="R2952" s="2" t="s">
        <v>4428</v>
      </c>
      <c r="S2952" s="2"/>
      <c r="T2952" s="2">
        <v>1</v>
      </c>
      <c r="U2952" s="2" t="s">
        <v>79</v>
      </c>
      <c r="V2952" s="2">
        <v>1</v>
      </c>
      <c r="W2952" s="2" t="s">
        <v>80</v>
      </c>
      <c r="X2952" s="2">
        <v>1</v>
      </c>
      <c r="Y2952" s="2" t="s">
        <v>81</v>
      </c>
      <c r="Z2952" s="2">
        <v>1</v>
      </c>
      <c r="AA2952" s="2" t="s">
        <v>82</v>
      </c>
      <c r="AB2952" s="2">
        <v>9</v>
      </c>
      <c r="AC2952" s="2" t="s">
        <v>124</v>
      </c>
      <c r="AD2952" s="3">
        <v>40378</v>
      </c>
      <c r="AE2952" s="4">
        <v>0.44791666666666669</v>
      </c>
      <c r="AF2952" s="2"/>
      <c r="AG2952" s="2"/>
      <c r="AH2952" s="2">
        <v>2</v>
      </c>
      <c r="AI2952" s="2" t="s">
        <v>84</v>
      </c>
      <c r="AJ2952" s="2">
        <v>9</v>
      </c>
      <c r="AK2952" s="2" t="s">
        <v>103</v>
      </c>
      <c r="AL2952" s="2">
        <v>29</v>
      </c>
      <c r="AM2952" s="2" t="s">
        <v>5416</v>
      </c>
      <c r="AN2952" s="2"/>
      <c r="AO2952" s="2" t="s">
        <v>9710</v>
      </c>
      <c r="AP2952" s="2">
        <v>11</v>
      </c>
      <c r="AQ2952" s="2" t="s">
        <v>82</v>
      </c>
      <c r="AR2952" s="2"/>
      <c r="AS2952" s="2"/>
      <c r="AT2952" s="2" t="s">
        <v>9711</v>
      </c>
      <c r="AU2952" s="2"/>
      <c r="AV2952" s="2"/>
      <c r="AW2952" s="2"/>
      <c r="AX2952" s="2"/>
      <c r="AY2952" s="2">
        <v>41</v>
      </c>
      <c r="AZ2952" s="2" t="s">
        <v>82</v>
      </c>
      <c r="BA2952" s="2">
        <v>41</v>
      </c>
      <c r="BB2952" s="2" t="s">
        <v>82</v>
      </c>
      <c r="BC2952" s="2">
        <v>41</v>
      </c>
      <c r="BD2952" s="2" t="s">
        <v>82</v>
      </c>
      <c r="BE2952" s="2">
        <v>41</v>
      </c>
      <c r="BF2952" s="2" t="s">
        <v>82</v>
      </c>
      <c r="BG2952" s="2"/>
      <c r="BH2952" s="2"/>
      <c r="BI2952" s="2"/>
      <c r="BJ2952" s="2">
        <v>241</v>
      </c>
      <c r="BK2952" s="2" t="s">
        <v>82</v>
      </c>
      <c r="BL2952" s="2"/>
      <c r="BM2952" s="2">
        <v>241</v>
      </c>
      <c r="BN2952" s="2" t="s">
        <v>82</v>
      </c>
      <c r="BO2952" s="2"/>
      <c r="BP2952" s="2">
        <v>241</v>
      </c>
      <c r="BQ2952" s="2" t="s">
        <v>82</v>
      </c>
      <c r="BR2952" s="2"/>
      <c r="BS2952" s="3">
        <v>40378</v>
      </c>
      <c r="BT2952" s="4">
        <v>0.76943287037037045</v>
      </c>
    </row>
    <row r="2953" spans="1:72" x14ac:dyDescent="0.25">
      <c r="A2953" s="2">
        <v>4352</v>
      </c>
      <c r="B2953" s="2">
        <v>2010</v>
      </c>
      <c r="C2953" s="2" t="s">
        <v>255</v>
      </c>
      <c r="D2953" s="2" t="s">
        <v>73</v>
      </c>
      <c r="E2953" s="2"/>
      <c r="F2953" s="2">
        <v>654</v>
      </c>
      <c r="G2953" s="2" t="s">
        <v>9712</v>
      </c>
      <c r="H2953" s="2">
        <v>22</v>
      </c>
      <c r="I2953" s="2" t="s">
        <v>75</v>
      </c>
      <c r="J2953" s="2">
        <v>535</v>
      </c>
      <c r="K2953" s="2" t="s">
        <v>6311</v>
      </c>
      <c r="L2953" s="2" t="s">
        <v>5984</v>
      </c>
      <c r="M2953" s="3">
        <v>40378</v>
      </c>
      <c r="N2953" s="2" t="s">
        <v>9713</v>
      </c>
      <c r="O2953" s="2"/>
      <c r="P2953" s="2"/>
      <c r="Q2953" s="2" t="str">
        <f>"276-A-10"</f>
        <v>276-A-10</v>
      </c>
      <c r="R2953" s="2" t="s">
        <v>947</v>
      </c>
      <c r="S2953" s="2"/>
      <c r="T2953" s="2">
        <v>1</v>
      </c>
      <c r="U2953" s="2" t="s">
        <v>79</v>
      </c>
      <c r="V2953" s="2">
        <v>1</v>
      </c>
      <c r="W2953" s="2" t="s">
        <v>80</v>
      </c>
      <c r="X2953" s="2">
        <v>12</v>
      </c>
      <c r="Y2953" s="2" t="s">
        <v>148</v>
      </c>
      <c r="Z2953" s="2">
        <v>1</v>
      </c>
      <c r="AA2953" s="2" t="s">
        <v>82</v>
      </c>
      <c r="AB2953" s="2">
        <v>9</v>
      </c>
      <c r="AC2953" s="2" t="s">
        <v>124</v>
      </c>
      <c r="AD2953" s="2"/>
      <c r="AE2953" s="2"/>
      <c r="AF2953" s="3">
        <v>40378</v>
      </c>
      <c r="AG2953" s="4">
        <v>0.64236111111111105</v>
      </c>
      <c r="AH2953" s="2">
        <v>2</v>
      </c>
      <c r="AI2953" s="2" t="s">
        <v>84</v>
      </c>
      <c r="AJ2953" s="2">
        <v>12</v>
      </c>
      <c r="AK2953" s="2" t="s">
        <v>85</v>
      </c>
      <c r="AL2953" s="2">
        <v>21</v>
      </c>
      <c r="AM2953" s="2" t="s">
        <v>1311</v>
      </c>
      <c r="AN2953" s="2" t="s">
        <v>9714</v>
      </c>
      <c r="AO2953" s="2" t="s">
        <v>9715</v>
      </c>
      <c r="AP2953" s="2">
        <v>11</v>
      </c>
      <c r="AQ2953" s="2" t="s">
        <v>82</v>
      </c>
      <c r="AR2953" s="2"/>
      <c r="AS2953" s="2"/>
      <c r="AT2953" s="2" t="s">
        <v>9716</v>
      </c>
      <c r="AU2953" s="2"/>
      <c r="AV2953" s="2"/>
      <c r="AW2953" s="2"/>
      <c r="AX2953" s="2"/>
      <c r="AY2953" s="2">
        <v>41</v>
      </c>
      <c r="AZ2953" s="2" t="s">
        <v>82</v>
      </c>
      <c r="BA2953" s="2">
        <v>41</v>
      </c>
      <c r="BB2953" s="2" t="s">
        <v>82</v>
      </c>
      <c r="BC2953" s="2">
        <v>41</v>
      </c>
      <c r="BD2953" s="2" t="s">
        <v>82</v>
      </c>
      <c r="BE2953" s="2">
        <v>41</v>
      </c>
      <c r="BF2953" s="2" t="s">
        <v>82</v>
      </c>
      <c r="BG2953" s="2"/>
      <c r="BH2953" s="2"/>
      <c r="BI2953" s="2"/>
      <c r="BJ2953" s="2">
        <v>241</v>
      </c>
      <c r="BK2953" s="2" t="s">
        <v>82</v>
      </c>
      <c r="BL2953" s="2"/>
      <c r="BM2953" s="2">
        <v>241</v>
      </c>
      <c r="BN2953" s="2" t="s">
        <v>82</v>
      </c>
      <c r="BO2953" s="2"/>
      <c r="BP2953" s="2">
        <v>241</v>
      </c>
      <c r="BQ2953" s="2" t="s">
        <v>82</v>
      </c>
      <c r="BR2953" s="2"/>
      <c r="BS2953" s="3">
        <v>40378</v>
      </c>
      <c r="BT2953" s="4">
        <v>0.79214120370370367</v>
      </c>
    </row>
    <row r="2954" spans="1:72" x14ac:dyDescent="0.25">
      <c r="A2954" s="2">
        <v>4353</v>
      </c>
      <c r="B2954" s="2">
        <v>2010</v>
      </c>
      <c r="C2954" s="2" t="s">
        <v>72</v>
      </c>
      <c r="D2954" s="2" t="s">
        <v>73</v>
      </c>
      <c r="E2954" s="2"/>
      <c r="F2954" s="2">
        <v>390</v>
      </c>
      <c r="G2954" s="2" t="s">
        <v>475</v>
      </c>
      <c r="H2954" s="2">
        <v>71</v>
      </c>
      <c r="I2954" s="2" t="s">
        <v>335</v>
      </c>
      <c r="J2954" s="2">
        <v>628</v>
      </c>
      <c r="K2954" s="2" t="s">
        <v>9717</v>
      </c>
      <c r="L2954" s="2" t="s">
        <v>9718</v>
      </c>
      <c r="M2954" s="3">
        <v>40378</v>
      </c>
      <c r="N2954" s="2" t="s">
        <v>9075</v>
      </c>
      <c r="O2954" s="2"/>
      <c r="P2954" s="2"/>
      <c r="Q2954" s="2" t="str">
        <f>"371-E/10"</f>
        <v>371-E/10</v>
      </c>
      <c r="R2954" s="2" t="s">
        <v>9719</v>
      </c>
      <c r="S2954" s="2" t="s">
        <v>9719</v>
      </c>
      <c r="T2954" s="2">
        <v>1</v>
      </c>
      <c r="U2954" s="2" t="s">
        <v>79</v>
      </c>
      <c r="V2954" s="2">
        <v>1</v>
      </c>
      <c r="W2954" s="2" t="s">
        <v>80</v>
      </c>
      <c r="X2954" s="2">
        <v>12</v>
      </c>
      <c r="Y2954" s="2" t="s">
        <v>148</v>
      </c>
      <c r="Z2954" s="2">
        <v>1</v>
      </c>
      <c r="AA2954" s="2" t="s">
        <v>82</v>
      </c>
      <c r="AB2954" s="2">
        <v>6</v>
      </c>
      <c r="AC2954" s="2" t="s">
        <v>83</v>
      </c>
      <c r="AD2954" s="3">
        <v>40378</v>
      </c>
      <c r="AE2954" s="2"/>
      <c r="AF2954" s="3">
        <v>40378</v>
      </c>
      <c r="AG2954" s="4">
        <v>0.54166666666666663</v>
      </c>
      <c r="AH2954" s="2">
        <v>2</v>
      </c>
      <c r="AI2954" s="2" t="s">
        <v>84</v>
      </c>
      <c r="AJ2954" s="2">
        <v>9</v>
      </c>
      <c r="AK2954" s="2" t="s">
        <v>103</v>
      </c>
      <c r="AL2954" s="2">
        <v>14</v>
      </c>
      <c r="AM2954" s="2" t="s">
        <v>216</v>
      </c>
      <c r="AN2954" s="2"/>
      <c r="AO2954" s="2" t="s">
        <v>9720</v>
      </c>
      <c r="AP2954" s="2">
        <v>11</v>
      </c>
      <c r="AQ2954" s="2" t="s">
        <v>82</v>
      </c>
      <c r="AR2954" s="2"/>
      <c r="AS2954" s="2"/>
      <c r="AT2954" s="2" t="s">
        <v>9721</v>
      </c>
      <c r="AU2954" s="2"/>
      <c r="AV2954" s="2">
        <v>1</v>
      </c>
      <c r="AW2954" s="2"/>
      <c r="AX2954" s="2"/>
      <c r="AY2954" s="2">
        <v>41</v>
      </c>
      <c r="AZ2954" s="2" t="s">
        <v>82</v>
      </c>
      <c r="BA2954" s="2">
        <v>41</v>
      </c>
      <c r="BB2954" s="2" t="s">
        <v>82</v>
      </c>
      <c r="BC2954" s="2">
        <v>41</v>
      </c>
      <c r="BD2954" s="2" t="s">
        <v>82</v>
      </c>
      <c r="BE2954" s="2">
        <v>41</v>
      </c>
      <c r="BF2954" s="2" t="s">
        <v>82</v>
      </c>
      <c r="BG2954" s="2"/>
      <c r="BH2954" s="2"/>
      <c r="BI2954" s="2"/>
      <c r="BJ2954" s="2">
        <v>241</v>
      </c>
      <c r="BK2954" s="2" t="s">
        <v>82</v>
      </c>
      <c r="BL2954" s="2"/>
      <c r="BM2954" s="2">
        <v>241</v>
      </c>
      <c r="BN2954" s="2" t="s">
        <v>82</v>
      </c>
      <c r="BO2954" s="2"/>
      <c r="BP2954" s="2">
        <v>241</v>
      </c>
      <c r="BQ2954" s="2" t="s">
        <v>82</v>
      </c>
      <c r="BR2954" s="2"/>
      <c r="BS2954" s="3">
        <v>40378</v>
      </c>
      <c r="BT2954" s="4">
        <v>0.80912037037037043</v>
      </c>
    </row>
    <row r="2955" spans="1:72" x14ac:dyDescent="0.25">
      <c r="A2955" s="2">
        <v>4354</v>
      </c>
      <c r="B2955" s="2">
        <v>2010</v>
      </c>
      <c r="C2955" s="2" t="s">
        <v>72</v>
      </c>
      <c r="D2955" s="2" t="s">
        <v>73</v>
      </c>
      <c r="E2955" s="2"/>
      <c r="F2955" s="2">
        <v>9</v>
      </c>
      <c r="G2955" s="2" t="s">
        <v>364</v>
      </c>
      <c r="H2955" s="2">
        <v>38</v>
      </c>
      <c r="I2955" s="2" t="s">
        <v>1272</v>
      </c>
      <c r="J2955" s="2">
        <v>18</v>
      </c>
      <c r="K2955" s="2" t="s">
        <v>365</v>
      </c>
      <c r="L2955" s="2" t="s">
        <v>115</v>
      </c>
      <c r="M2955" s="3">
        <v>40378</v>
      </c>
      <c r="N2955" s="2" t="s">
        <v>366</v>
      </c>
      <c r="O2955" s="2" t="s">
        <v>107</v>
      </c>
      <c r="P2955" s="2" t="s">
        <v>107</v>
      </c>
      <c r="Q2955" s="2" t="str">
        <f>"40 - 10"</f>
        <v>40 - 10</v>
      </c>
      <c r="R2955" s="2" t="s">
        <v>107</v>
      </c>
      <c r="S2955" s="2" t="s">
        <v>116</v>
      </c>
      <c r="T2955" s="2">
        <v>1</v>
      </c>
      <c r="U2955" s="2" t="s">
        <v>79</v>
      </c>
      <c r="V2955" s="2">
        <v>1</v>
      </c>
      <c r="W2955" s="2" t="s">
        <v>80</v>
      </c>
      <c r="X2955" s="2">
        <v>12</v>
      </c>
      <c r="Y2955" s="2" t="s">
        <v>148</v>
      </c>
      <c r="Z2955" s="2">
        <v>1</v>
      </c>
      <c r="AA2955" s="2" t="s">
        <v>82</v>
      </c>
      <c r="AB2955" s="2">
        <v>6</v>
      </c>
      <c r="AC2955" s="2" t="s">
        <v>83</v>
      </c>
      <c r="AD2955" s="3">
        <v>40378</v>
      </c>
      <c r="AE2955" s="2"/>
      <c r="AF2955" s="3">
        <v>40378</v>
      </c>
      <c r="AG2955" s="4">
        <v>0.79166666666666663</v>
      </c>
      <c r="AH2955" s="2">
        <v>3</v>
      </c>
      <c r="AI2955" s="2" t="s">
        <v>214</v>
      </c>
      <c r="AJ2955" s="2">
        <v>24</v>
      </c>
      <c r="AK2955" s="2" t="s">
        <v>215</v>
      </c>
      <c r="AL2955" s="2">
        <v>2</v>
      </c>
      <c r="AM2955" s="2" t="s">
        <v>163</v>
      </c>
      <c r="AN2955" s="2" t="s">
        <v>9722</v>
      </c>
      <c r="AO2955" s="2"/>
      <c r="AP2955" s="2">
        <v>11</v>
      </c>
      <c r="AQ2955" s="2" t="s">
        <v>82</v>
      </c>
      <c r="AR2955" s="2"/>
      <c r="AS2955" s="2"/>
      <c r="AT2955" s="2" t="s">
        <v>9723</v>
      </c>
      <c r="AU2955" s="2"/>
      <c r="AV2955" s="2"/>
      <c r="AW2955" s="2"/>
      <c r="AX2955" s="2"/>
      <c r="AY2955" s="2">
        <v>41</v>
      </c>
      <c r="AZ2955" s="2" t="s">
        <v>82</v>
      </c>
      <c r="BA2955" s="2">
        <v>41</v>
      </c>
      <c r="BB2955" s="2" t="s">
        <v>82</v>
      </c>
      <c r="BC2955" s="2">
        <v>41</v>
      </c>
      <c r="BD2955" s="2" t="s">
        <v>82</v>
      </c>
      <c r="BE2955" s="2">
        <v>4</v>
      </c>
      <c r="BF2955" s="2" t="s">
        <v>90</v>
      </c>
      <c r="BG2955" s="2">
        <v>4212</v>
      </c>
      <c r="BH2955" s="4">
        <v>0.75</v>
      </c>
      <c r="BI2955" s="4">
        <v>0.69791666666666663</v>
      </c>
      <c r="BJ2955" s="2">
        <v>13</v>
      </c>
      <c r="BK2955" s="2" t="s">
        <v>91</v>
      </c>
      <c r="BL2955" s="2" t="s">
        <v>9724</v>
      </c>
      <c r="BM2955" s="2">
        <v>241</v>
      </c>
      <c r="BN2955" s="2" t="s">
        <v>82</v>
      </c>
      <c r="BO2955" s="2" t="s">
        <v>82</v>
      </c>
      <c r="BP2955" s="2">
        <v>13</v>
      </c>
      <c r="BQ2955" s="2" t="s">
        <v>91</v>
      </c>
      <c r="BR2955" s="2" t="s">
        <v>169</v>
      </c>
      <c r="BS2955" s="3">
        <v>40378</v>
      </c>
      <c r="BT2955" s="4">
        <v>0.84077546296296291</v>
      </c>
    </row>
    <row r="2956" spans="1:72" x14ac:dyDescent="0.25">
      <c r="A2956" s="2">
        <v>4355</v>
      </c>
      <c r="B2956" s="2">
        <v>2010</v>
      </c>
      <c r="C2956" s="2" t="s">
        <v>4543</v>
      </c>
      <c r="D2956" s="2" t="s">
        <v>122</v>
      </c>
      <c r="E2956" s="2"/>
      <c r="F2956" s="2">
        <v>1</v>
      </c>
      <c r="G2956" s="2" t="s">
        <v>82</v>
      </c>
      <c r="H2956" s="2">
        <v>1</v>
      </c>
      <c r="I2956" s="2" t="s">
        <v>82</v>
      </c>
      <c r="J2956" s="2">
        <v>1</v>
      </c>
      <c r="K2956" s="2" t="s">
        <v>107</v>
      </c>
      <c r="L2956" s="2" t="s">
        <v>107</v>
      </c>
      <c r="M2956" s="3">
        <v>40378</v>
      </c>
      <c r="N2956" s="2"/>
      <c r="O2956" s="2"/>
      <c r="P2956" s="2"/>
      <c r="Q2956" s="2" t="str">
        <f>""</f>
        <v/>
      </c>
      <c r="R2956" s="2"/>
      <c r="S2956" s="2"/>
      <c r="T2956" s="2">
        <v>2</v>
      </c>
      <c r="U2956" s="2" t="s">
        <v>123</v>
      </c>
      <c r="V2956" s="2">
        <v>1</v>
      </c>
      <c r="W2956" s="2" t="s">
        <v>80</v>
      </c>
      <c r="X2956" s="2">
        <v>5</v>
      </c>
      <c r="Y2956" s="2" t="s">
        <v>82</v>
      </c>
      <c r="Z2956" s="2">
        <v>1</v>
      </c>
      <c r="AA2956" s="2" t="s">
        <v>82</v>
      </c>
      <c r="AB2956" s="2">
        <v>9</v>
      </c>
      <c r="AC2956" s="2" t="s">
        <v>124</v>
      </c>
      <c r="AD2956" s="3">
        <v>40378</v>
      </c>
      <c r="AE2956" s="4">
        <v>0.79166666666666663</v>
      </c>
      <c r="AF2956" s="2"/>
      <c r="AG2956" s="2"/>
      <c r="AH2956" s="2">
        <v>2</v>
      </c>
      <c r="AI2956" s="2" t="s">
        <v>84</v>
      </c>
      <c r="AJ2956" s="2">
        <v>9</v>
      </c>
      <c r="AK2956" s="2" t="s">
        <v>103</v>
      </c>
      <c r="AL2956" s="2">
        <v>18</v>
      </c>
      <c r="AM2956" s="2" t="s">
        <v>82</v>
      </c>
      <c r="AN2956" s="2"/>
      <c r="AO2956" s="2"/>
      <c r="AP2956" s="2">
        <v>11</v>
      </c>
      <c r="AQ2956" s="2" t="s">
        <v>82</v>
      </c>
      <c r="AR2956" s="2"/>
      <c r="AS2956" s="2"/>
      <c r="AT2956" s="2" t="s">
        <v>9725</v>
      </c>
      <c r="AU2956" s="2"/>
      <c r="AV2956" s="2"/>
      <c r="AW2956" s="2"/>
      <c r="AX2956" s="2"/>
      <c r="AY2956" s="2">
        <v>1</v>
      </c>
      <c r="AZ2956" s="2" t="s">
        <v>107</v>
      </c>
      <c r="BA2956" s="2">
        <v>1</v>
      </c>
      <c r="BB2956" s="2" t="s">
        <v>107</v>
      </c>
      <c r="BC2956" s="2">
        <v>1</v>
      </c>
      <c r="BD2956" s="2" t="s">
        <v>107</v>
      </c>
      <c r="BE2956" s="2">
        <v>31</v>
      </c>
      <c r="BF2956" s="2" t="s">
        <v>398</v>
      </c>
      <c r="BG2956" s="2" t="s">
        <v>7568</v>
      </c>
      <c r="BH2956" s="4">
        <v>0.83680555555555547</v>
      </c>
      <c r="BI2956" s="2"/>
      <c r="BJ2956" s="2">
        <v>73</v>
      </c>
      <c r="BK2956" s="2" t="s">
        <v>186</v>
      </c>
      <c r="BL2956" s="2" t="s">
        <v>187</v>
      </c>
      <c r="BM2956" s="2">
        <v>242</v>
      </c>
      <c r="BN2956" s="2" t="s">
        <v>107</v>
      </c>
      <c r="BO2956" s="2"/>
      <c r="BP2956" s="2">
        <v>13</v>
      </c>
      <c r="BQ2956" s="2" t="s">
        <v>91</v>
      </c>
      <c r="BR2956" s="2" t="s">
        <v>185</v>
      </c>
      <c r="BS2956" s="3">
        <v>40378</v>
      </c>
      <c r="BT2956" s="4">
        <v>0.92167824074074067</v>
      </c>
    </row>
    <row r="2957" spans="1:72" x14ac:dyDescent="0.25">
      <c r="A2957" s="2">
        <v>4356</v>
      </c>
      <c r="B2957" s="2">
        <v>2010</v>
      </c>
      <c r="C2957" s="2" t="s">
        <v>72</v>
      </c>
      <c r="D2957" s="2" t="s">
        <v>73</v>
      </c>
      <c r="E2957" s="2"/>
      <c r="F2957" s="2">
        <v>649</v>
      </c>
      <c r="G2957" s="2" t="s">
        <v>9141</v>
      </c>
      <c r="H2957" s="2">
        <v>42</v>
      </c>
      <c r="I2957" s="2" t="s">
        <v>1096</v>
      </c>
      <c r="J2957" s="2">
        <v>602</v>
      </c>
      <c r="K2957" s="2" t="s">
        <v>9091</v>
      </c>
      <c r="L2957" s="2" t="s">
        <v>9092</v>
      </c>
      <c r="M2957" s="3">
        <v>40379</v>
      </c>
      <c r="N2957" s="2" t="s">
        <v>9726</v>
      </c>
      <c r="O2957" s="2" t="s">
        <v>107</v>
      </c>
      <c r="P2957" s="2" t="s">
        <v>107</v>
      </c>
      <c r="Q2957" s="2" t="str">
        <f>"277-A/10"</f>
        <v>277-A/10</v>
      </c>
      <c r="R2957" s="2" t="s">
        <v>107</v>
      </c>
      <c r="S2957" s="2" t="s">
        <v>78</v>
      </c>
      <c r="T2957" s="2">
        <v>1</v>
      </c>
      <c r="U2957" s="2" t="s">
        <v>79</v>
      </c>
      <c r="V2957" s="2">
        <v>1</v>
      </c>
      <c r="W2957" s="2" t="s">
        <v>80</v>
      </c>
      <c r="X2957" s="2">
        <v>12</v>
      </c>
      <c r="Y2957" s="2" t="s">
        <v>148</v>
      </c>
      <c r="Z2957" s="2">
        <v>1</v>
      </c>
      <c r="AA2957" s="2" t="s">
        <v>82</v>
      </c>
      <c r="AB2957" s="2">
        <v>6</v>
      </c>
      <c r="AC2957" s="2" t="s">
        <v>83</v>
      </c>
      <c r="AD2957" s="3">
        <v>40376</v>
      </c>
      <c r="AE2957" s="2"/>
      <c r="AF2957" s="3">
        <v>40378</v>
      </c>
      <c r="AG2957" s="4">
        <v>0.9375</v>
      </c>
      <c r="AH2957" s="2">
        <v>2</v>
      </c>
      <c r="AI2957" s="2" t="s">
        <v>84</v>
      </c>
      <c r="AJ2957" s="2">
        <v>12</v>
      </c>
      <c r="AK2957" s="2" t="s">
        <v>85</v>
      </c>
      <c r="AL2957" s="2">
        <v>14</v>
      </c>
      <c r="AM2957" s="2" t="s">
        <v>216</v>
      </c>
      <c r="AN2957" s="2" t="s">
        <v>9727</v>
      </c>
      <c r="AO2957" s="2" t="s">
        <v>9728</v>
      </c>
      <c r="AP2957" s="2">
        <v>11</v>
      </c>
      <c r="AQ2957" s="2" t="s">
        <v>82</v>
      </c>
      <c r="AR2957" s="2"/>
      <c r="AS2957" s="2"/>
      <c r="AT2957" s="2" t="s">
        <v>9729</v>
      </c>
      <c r="AU2957" s="2"/>
      <c r="AV2957" s="2"/>
      <c r="AW2957" s="2"/>
      <c r="AX2957" s="2"/>
      <c r="AY2957" s="2">
        <v>41</v>
      </c>
      <c r="AZ2957" s="2" t="s">
        <v>82</v>
      </c>
      <c r="BA2957" s="2">
        <v>41</v>
      </c>
      <c r="BB2957" s="2" t="s">
        <v>82</v>
      </c>
      <c r="BC2957" s="2">
        <v>41</v>
      </c>
      <c r="BD2957" s="2" t="s">
        <v>82</v>
      </c>
      <c r="BE2957" s="2">
        <v>41</v>
      </c>
      <c r="BF2957" s="2" t="s">
        <v>82</v>
      </c>
      <c r="BG2957" s="2"/>
      <c r="BH2957" s="2"/>
      <c r="BI2957" s="2"/>
      <c r="BJ2957" s="2">
        <v>241</v>
      </c>
      <c r="BK2957" s="2" t="s">
        <v>82</v>
      </c>
      <c r="BL2957" s="2"/>
      <c r="BM2957" s="2">
        <v>241</v>
      </c>
      <c r="BN2957" s="2" t="s">
        <v>82</v>
      </c>
      <c r="BO2957" s="2"/>
      <c r="BP2957" s="2">
        <v>241</v>
      </c>
      <c r="BQ2957" s="2" t="s">
        <v>82</v>
      </c>
      <c r="BR2957" s="2"/>
      <c r="BS2957" s="3">
        <v>40379</v>
      </c>
      <c r="BT2957" s="4">
        <v>4.8935185185185186E-2</v>
      </c>
    </row>
    <row r="2958" spans="1:72" x14ac:dyDescent="0.25">
      <c r="A2958" s="2">
        <v>4357</v>
      </c>
      <c r="B2958" s="2">
        <v>2010</v>
      </c>
      <c r="C2958" s="2" t="s">
        <v>72</v>
      </c>
      <c r="D2958" s="2" t="s">
        <v>122</v>
      </c>
      <c r="E2958" s="2" t="s">
        <v>9730</v>
      </c>
      <c r="F2958" s="2">
        <v>390</v>
      </c>
      <c r="G2958" s="2" t="s">
        <v>475</v>
      </c>
      <c r="H2958" s="2">
        <v>71</v>
      </c>
      <c r="I2958" s="2" t="s">
        <v>335</v>
      </c>
      <c r="J2958" s="2">
        <v>628</v>
      </c>
      <c r="K2958" s="2" t="s">
        <v>9717</v>
      </c>
      <c r="L2958" s="2" t="s">
        <v>9718</v>
      </c>
      <c r="M2958" s="3">
        <v>40379</v>
      </c>
      <c r="N2958" s="2" t="s">
        <v>9075</v>
      </c>
      <c r="O2958" s="2"/>
      <c r="P2958" s="2"/>
      <c r="Q2958" s="2" t="str">
        <f>"371-E/10"</f>
        <v>371-E/10</v>
      </c>
      <c r="R2958" s="2" t="s">
        <v>9719</v>
      </c>
      <c r="S2958" s="2" t="s">
        <v>9719</v>
      </c>
      <c r="T2958" s="2">
        <v>1</v>
      </c>
      <c r="U2958" s="2" t="s">
        <v>79</v>
      </c>
      <c r="V2958" s="2">
        <v>1</v>
      </c>
      <c r="W2958" s="2" t="s">
        <v>80</v>
      </c>
      <c r="X2958" s="2">
        <v>12</v>
      </c>
      <c r="Y2958" s="2" t="s">
        <v>148</v>
      </c>
      <c r="Z2958" s="2">
        <v>1</v>
      </c>
      <c r="AA2958" s="2" t="s">
        <v>82</v>
      </c>
      <c r="AB2958" s="2">
        <v>6</v>
      </c>
      <c r="AC2958" s="2" t="s">
        <v>83</v>
      </c>
      <c r="AD2958" s="3">
        <v>40379</v>
      </c>
      <c r="AE2958" s="4">
        <v>0.29166666666666669</v>
      </c>
      <c r="AF2958" s="3">
        <v>40378</v>
      </c>
      <c r="AG2958" s="4">
        <v>0.54166666666666663</v>
      </c>
      <c r="AH2958" s="2">
        <v>2</v>
      </c>
      <c r="AI2958" s="2" t="s">
        <v>84</v>
      </c>
      <c r="AJ2958" s="2">
        <v>9</v>
      </c>
      <c r="AK2958" s="2" t="s">
        <v>103</v>
      </c>
      <c r="AL2958" s="2">
        <v>14</v>
      </c>
      <c r="AM2958" s="2" t="s">
        <v>216</v>
      </c>
      <c r="AN2958" s="2"/>
      <c r="AO2958" s="2" t="s">
        <v>9731</v>
      </c>
      <c r="AP2958" s="2">
        <v>11</v>
      </c>
      <c r="AQ2958" s="2" t="s">
        <v>82</v>
      </c>
      <c r="AR2958" s="2"/>
      <c r="AS2958" s="2"/>
      <c r="AT2958" s="2" t="s">
        <v>9732</v>
      </c>
      <c r="AU2958" s="2"/>
      <c r="AV2958" s="2">
        <v>1</v>
      </c>
      <c r="AW2958" s="2"/>
      <c r="AX2958" s="2"/>
      <c r="AY2958" s="2">
        <v>41</v>
      </c>
      <c r="AZ2958" s="2" t="s">
        <v>82</v>
      </c>
      <c r="BA2958" s="2">
        <v>41</v>
      </c>
      <c r="BB2958" s="2" t="s">
        <v>82</v>
      </c>
      <c r="BC2958" s="2">
        <v>41</v>
      </c>
      <c r="BD2958" s="2" t="s">
        <v>82</v>
      </c>
      <c r="BE2958" s="2">
        <v>17</v>
      </c>
      <c r="BF2958" s="2" t="s">
        <v>508</v>
      </c>
      <c r="BG2958" s="2" t="s">
        <v>9733</v>
      </c>
      <c r="BH2958" s="2"/>
      <c r="BI2958" s="4">
        <v>0.4826388888888889</v>
      </c>
      <c r="BJ2958" s="2">
        <v>13</v>
      </c>
      <c r="BK2958" s="2" t="s">
        <v>91</v>
      </c>
      <c r="BL2958" s="2" t="s">
        <v>185</v>
      </c>
      <c r="BM2958" s="2">
        <v>241</v>
      </c>
      <c r="BN2958" s="2" t="s">
        <v>82</v>
      </c>
      <c r="BO2958" s="2"/>
      <c r="BP2958" s="2">
        <v>46</v>
      </c>
      <c r="BQ2958" s="2" t="s">
        <v>307</v>
      </c>
      <c r="BR2958" s="2" t="s">
        <v>308</v>
      </c>
      <c r="BS2958" s="3">
        <v>40379</v>
      </c>
      <c r="BT2958" s="4">
        <v>0.31422453703703707</v>
      </c>
    </row>
    <row r="2959" spans="1:72" x14ac:dyDescent="0.25">
      <c r="A2959" s="2">
        <v>4358</v>
      </c>
      <c r="B2959" s="2">
        <v>2010</v>
      </c>
      <c r="C2959" s="2" t="s">
        <v>4543</v>
      </c>
      <c r="D2959" s="2" t="s">
        <v>122</v>
      </c>
      <c r="E2959" s="2"/>
      <c r="F2959" s="2">
        <v>1</v>
      </c>
      <c r="G2959" s="2" t="s">
        <v>82</v>
      </c>
      <c r="H2959" s="2">
        <v>1</v>
      </c>
      <c r="I2959" s="2" t="s">
        <v>82</v>
      </c>
      <c r="J2959" s="2">
        <v>1</v>
      </c>
      <c r="K2959" s="2" t="s">
        <v>107</v>
      </c>
      <c r="L2959" s="2" t="s">
        <v>107</v>
      </c>
      <c r="M2959" s="3">
        <v>40379</v>
      </c>
      <c r="N2959" s="2"/>
      <c r="O2959" s="2"/>
      <c r="P2959" s="2"/>
      <c r="Q2959" s="2" t="str">
        <f>""</f>
        <v/>
      </c>
      <c r="R2959" s="2"/>
      <c r="S2959" s="2"/>
      <c r="T2959" s="2">
        <v>2</v>
      </c>
      <c r="U2959" s="2" t="s">
        <v>123</v>
      </c>
      <c r="V2959" s="2">
        <v>1</v>
      </c>
      <c r="W2959" s="2" t="s">
        <v>80</v>
      </c>
      <c r="X2959" s="2">
        <v>11</v>
      </c>
      <c r="Y2959" s="2" t="s">
        <v>1920</v>
      </c>
      <c r="Z2959" s="2">
        <v>1</v>
      </c>
      <c r="AA2959" s="2" t="s">
        <v>82</v>
      </c>
      <c r="AB2959" s="2">
        <v>9</v>
      </c>
      <c r="AC2959" s="2" t="s">
        <v>124</v>
      </c>
      <c r="AD2959" s="3">
        <v>40379</v>
      </c>
      <c r="AE2959" s="4">
        <v>0.36805555555555558</v>
      </c>
      <c r="AF2959" s="2"/>
      <c r="AG2959" s="2"/>
      <c r="AH2959" s="2">
        <v>6</v>
      </c>
      <c r="AI2959" s="2" t="s">
        <v>197</v>
      </c>
      <c r="AJ2959" s="2">
        <v>54</v>
      </c>
      <c r="AK2959" s="2" t="s">
        <v>348</v>
      </c>
      <c r="AL2959" s="2">
        <v>18</v>
      </c>
      <c r="AM2959" s="2" t="s">
        <v>82</v>
      </c>
      <c r="AN2959" s="2" t="s">
        <v>595</v>
      </c>
      <c r="AO2959" s="2" t="s">
        <v>200</v>
      </c>
      <c r="AP2959" s="2">
        <v>14</v>
      </c>
      <c r="AQ2959" s="2" t="s">
        <v>3301</v>
      </c>
      <c r="AR2959" s="2" t="s">
        <v>596</v>
      </c>
      <c r="AS2959" s="2" t="s">
        <v>596</v>
      </c>
      <c r="AT2959" s="2" t="s">
        <v>9734</v>
      </c>
      <c r="AU2959" s="2"/>
      <c r="AV2959" s="2"/>
      <c r="AW2959" s="2"/>
      <c r="AX2959" s="2"/>
      <c r="AY2959" s="2">
        <v>1</v>
      </c>
      <c r="AZ2959" s="2" t="s">
        <v>107</v>
      </c>
      <c r="BA2959" s="2">
        <v>1</v>
      </c>
      <c r="BB2959" s="2" t="s">
        <v>107</v>
      </c>
      <c r="BC2959" s="2">
        <v>1</v>
      </c>
      <c r="BD2959" s="2" t="s">
        <v>107</v>
      </c>
      <c r="BE2959" s="2">
        <v>4</v>
      </c>
      <c r="BF2959" s="2" t="s">
        <v>90</v>
      </c>
      <c r="BG2959" s="2" t="s">
        <v>598</v>
      </c>
      <c r="BH2959" s="4">
        <v>0.33333333333333331</v>
      </c>
      <c r="BI2959" s="4">
        <v>0.36805555555555558</v>
      </c>
      <c r="BJ2959" s="2">
        <v>13</v>
      </c>
      <c r="BK2959" s="2" t="s">
        <v>91</v>
      </c>
      <c r="BL2959" s="2" t="s">
        <v>7629</v>
      </c>
      <c r="BM2959" s="2">
        <v>242</v>
      </c>
      <c r="BN2959" s="2" t="s">
        <v>107</v>
      </c>
      <c r="BO2959" s="2" t="s">
        <v>107</v>
      </c>
      <c r="BP2959" s="2">
        <v>242</v>
      </c>
      <c r="BQ2959" s="2" t="s">
        <v>107</v>
      </c>
      <c r="BR2959" s="2" t="s">
        <v>905</v>
      </c>
      <c r="BS2959" s="3">
        <v>40379</v>
      </c>
      <c r="BT2959" s="4">
        <v>0.3818171296296296</v>
      </c>
    </row>
    <row r="2960" spans="1:72" x14ac:dyDescent="0.25">
      <c r="A2960" s="2">
        <v>4364</v>
      </c>
      <c r="B2960" s="2">
        <v>2010</v>
      </c>
      <c r="C2960" s="2" t="s">
        <v>255</v>
      </c>
      <c r="D2960" s="2" t="s">
        <v>73</v>
      </c>
      <c r="E2960" s="2"/>
      <c r="F2960" s="2">
        <v>45</v>
      </c>
      <c r="G2960" s="2" t="s">
        <v>1408</v>
      </c>
      <c r="H2960" s="2">
        <v>47</v>
      </c>
      <c r="I2960" s="2" t="s">
        <v>1409</v>
      </c>
      <c r="J2960" s="2">
        <v>77</v>
      </c>
      <c r="K2960" s="2" t="s">
        <v>2517</v>
      </c>
      <c r="L2960" s="2" t="s">
        <v>2518</v>
      </c>
      <c r="M2960" s="3">
        <v>40379</v>
      </c>
      <c r="N2960" s="2" t="s">
        <v>2795</v>
      </c>
      <c r="O2960" s="2"/>
      <c r="P2960" s="2"/>
      <c r="Q2960" s="2" t="str">
        <f>"18/10"</f>
        <v>18/10</v>
      </c>
      <c r="R2960" s="2"/>
      <c r="S2960" s="2" t="s">
        <v>3093</v>
      </c>
      <c r="T2960" s="2">
        <v>1</v>
      </c>
      <c r="U2960" s="2" t="s">
        <v>79</v>
      </c>
      <c r="V2960" s="2">
        <v>1</v>
      </c>
      <c r="W2960" s="2" t="s">
        <v>80</v>
      </c>
      <c r="X2960" s="2">
        <v>1</v>
      </c>
      <c r="Y2960" s="2" t="s">
        <v>81</v>
      </c>
      <c r="Z2960" s="2">
        <v>1</v>
      </c>
      <c r="AA2960" s="2" t="s">
        <v>82</v>
      </c>
      <c r="AB2960" s="2">
        <v>9</v>
      </c>
      <c r="AC2960" s="2" t="s">
        <v>124</v>
      </c>
      <c r="AD2960" s="3">
        <v>40379</v>
      </c>
      <c r="AE2960" s="2"/>
      <c r="AF2960" s="3">
        <v>40379</v>
      </c>
      <c r="AG2960" s="4">
        <v>0.30208333333333331</v>
      </c>
      <c r="AH2960" s="2">
        <v>4</v>
      </c>
      <c r="AI2960" s="2" t="s">
        <v>125</v>
      </c>
      <c r="AJ2960" s="2">
        <v>31</v>
      </c>
      <c r="AK2960" s="2" t="s">
        <v>1413</v>
      </c>
      <c r="AL2960" s="2">
        <v>9</v>
      </c>
      <c r="AM2960" s="2" t="s">
        <v>259</v>
      </c>
      <c r="AN2960" s="2" t="s">
        <v>9735</v>
      </c>
      <c r="AO2960" s="2"/>
      <c r="AP2960" s="2">
        <v>11</v>
      </c>
      <c r="AQ2960" s="2" t="s">
        <v>82</v>
      </c>
      <c r="AR2960" s="2"/>
      <c r="AS2960" s="2"/>
      <c r="AT2960" s="2" t="s">
        <v>9736</v>
      </c>
      <c r="AU2960" s="2"/>
      <c r="AV2960" s="2"/>
      <c r="AW2960" s="2"/>
      <c r="AX2960" s="2"/>
      <c r="AY2960" s="2">
        <v>44</v>
      </c>
      <c r="AZ2960" s="2" t="s">
        <v>262</v>
      </c>
      <c r="BA2960" s="2">
        <v>41</v>
      </c>
      <c r="BB2960" s="2" t="s">
        <v>82</v>
      </c>
      <c r="BC2960" s="2">
        <v>41</v>
      </c>
      <c r="BD2960" s="2" t="s">
        <v>82</v>
      </c>
      <c r="BE2960" s="2">
        <v>41</v>
      </c>
      <c r="BF2960" s="2" t="s">
        <v>82</v>
      </c>
      <c r="BG2960" s="2"/>
      <c r="BH2960" s="2"/>
      <c r="BI2960" s="2"/>
      <c r="BJ2960" s="2">
        <v>241</v>
      </c>
      <c r="BK2960" s="2" t="s">
        <v>82</v>
      </c>
      <c r="BL2960" s="2"/>
      <c r="BM2960" s="2">
        <v>241</v>
      </c>
      <c r="BN2960" s="2" t="s">
        <v>82</v>
      </c>
      <c r="BO2960" s="2"/>
      <c r="BP2960" s="2">
        <v>241</v>
      </c>
      <c r="BQ2960" s="2" t="s">
        <v>82</v>
      </c>
      <c r="BR2960" s="2"/>
      <c r="BS2960" s="3">
        <v>40379</v>
      </c>
      <c r="BT2960" s="4">
        <v>0.60310185185185183</v>
      </c>
    </row>
    <row r="2961" spans="1:72" x14ac:dyDescent="0.25">
      <c r="A2961" s="2">
        <v>4365</v>
      </c>
      <c r="B2961" s="2">
        <v>2010</v>
      </c>
      <c r="C2961" s="2" t="s">
        <v>554</v>
      </c>
      <c r="D2961" s="2" t="s">
        <v>73</v>
      </c>
      <c r="E2961" s="2" t="s">
        <v>9036</v>
      </c>
      <c r="F2961" s="2">
        <v>92</v>
      </c>
      <c r="G2961" s="2" t="s">
        <v>1432</v>
      </c>
      <c r="H2961" s="2">
        <v>47</v>
      </c>
      <c r="I2961" s="2" t="s">
        <v>1409</v>
      </c>
      <c r="J2961" s="2">
        <v>119</v>
      </c>
      <c r="K2961" s="2" t="s">
        <v>325</v>
      </c>
      <c r="L2961" s="2" t="s">
        <v>326</v>
      </c>
      <c r="M2961" s="3">
        <v>40379</v>
      </c>
      <c r="N2961" s="2" t="s">
        <v>9737</v>
      </c>
      <c r="O2961" s="2" t="s">
        <v>9738</v>
      </c>
      <c r="P2961" s="2" t="s">
        <v>9025</v>
      </c>
      <c r="Q2961" s="2" t="str">
        <f>""</f>
        <v/>
      </c>
      <c r="R2961" s="2"/>
      <c r="S2961" s="2"/>
      <c r="T2961" s="2">
        <v>1</v>
      </c>
      <c r="U2961" s="2" t="s">
        <v>79</v>
      </c>
      <c r="V2961" s="2">
        <v>3</v>
      </c>
      <c r="W2961" s="2" t="s">
        <v>225</v>
      </c>
      <c r="X2961" s="2">
        <v>2</v>
      </c>
      <c r="Y2961" s="2" t="s">
        <v>136</v>
      </c>
      <c r="Z2961" s="2">
        <v>1</v>
      </c>
      <c r="AA2961" s="2" t="s">
        <v>82</v>
      </c>
      <c r="AB2961" s="2">
        <v>9</v>
      </c>
      <c r="AC2961" s="2" t="s">
        <v>124</v>
      </c>
      <c r="AD2961" s="3">
        <v>40379</v>
      </c>
      <c r="AE2961" s="4">
        <v>0.60416666666666663</v>
      </c>
      <c r="AF2961" s="2"/>
      <c r="AG2961" s="2"/>
      <c r="AH2961" s="2">
        <v>6</v>
      </c>
      <c r="AI2961" s="2" t="s">
        <v>197</v>
      </c>
      <c r="AJ2961" s="2">
        <v>47</v>
      </c>
      <c r="AK2961" s="2" t="s">
        <v>250</v>
      </c>
      <c r="AL2961" s="2">
        <v>23</v>
      </c>
      <c r="AM2961" s="2" t="s">
        <v>251</v>
      </c>
      <c r="AN2961" s="2"/>
      <c r="AO2961" s="2"/>
      <c r="AP2961" s="2">
        <v>11</v>
      </c>
      <c r="AQ2961" s="2" t="s">
        <v>82</v>
      </c>
      <c r="AR2961" s="2"/>
      <c r="AS2961" s="2"/>
      <c r="AT2961" s="2" t="s">
        <v>9739</v>
      </c>
      <c r="AU2961" s="2"/>
      <c r="AV2961" s="2"/>
      <c r="AW2961" s="2"/>
      <c r="AX2961" s="2"/>
      <c r="AY2961" s="2">
        <v>41</v>
      </c>
      <c r="AZ2961" s="2" t="s">
        <v>82</v>
      </c>
      <c r="BA2961" s="2">
        <v>41</v>
      </c>
      <c r="BB2961" s="2" t="s">
        <v>82</v>
      </c>
      <c r="BC2961" s="2">
        <v>41</v>
      </c>
      <c r="BD2961" s="2" t="s">
        <v>82</v>
      </c>
      <c r="BE2961" s="2">
        <v>41</v>
      </c>
      <c r="BF2961" s="2" t="s">
        <v>82</v>
      </c>
      <c r="BG2961" s="2"/>
      <c r="BH2961" s="2"/>
      <c r="BI2961" s="2"/>
      <c r="BJ2961" s="2">
        <v>241</v>
      </c>
      <c r="BK2961" s="2" t="s">
        <v>82</v>
      </c>
      <c r="BL2961" s="2"/>
      <c r="BM2961" s="2">
        <v>241</v>
      </c>
      <c r="BN2961" s="2" t="s">
        <v>82</v>
      </c>
      <c r="BO2961" s="2"/>
      <c r="BP2961" s="2">
        <v>241</v>
      </c>
      <c r="BQ2961" s="2" t="s">
        <v>82</v>
      </c>
      <c r="BR2961" s="2"/>
      <c r="BS2961" s="3">
        <v>40379</v>
      </c>
      <c r="BT2961" s="4">
        <v>0.67310185185185178</v>
      </c>
    </row>
    <row r="2962" spans="1:72" x14ac:dyDescent="0.25">
      <c r="A2962" s="2">
        <v>4366</v>
      </c>
      <c r="B2962" s="2">
        <v>2010</v>
      </c>
      <c r="C2962" s="2" t="s">
        <v>72</v>
      </c>
      <c r="D2962" s="2" t="s">
        <v>73</v>
      </c>
      <c r="E2962" s="2"/>
      <c r="F2962" s="2">
        <v>174</v>
      </c>
      <c r="G2962" s="2" t="s">
        <v>9090</v>
      </c>
      <c r="H2962" s="2">
        <v>42</v>
      </c>
      <c r="I2962" s="2" t="s">
        <v>1096</v>
      </c>
      <c r="J2962" s="2">
        <v>602</v>
      </c>
      <c r="K2962" s="2" t="s">
        <v>9091</v>
      </c>
      <c r="L2962" s="2" t="s">
        <v>9092</v>
      </c>
      <c r="M2962" s="3">
        <v>40379</v>
      </c>
      <c r="N2962" s="2" t="s">
        <v>9093</v>
      </c>
      <c r="O2962" s="2" t="s">
        <v>107</v>
      </c>
      <c r="P2962" s="2" t="s">
        <v>107</v>
      </c>
      <c r="Q2962" s="2" t="str">
        <f>"279-A/10"</f>
        <v>279-A/10</v>
      </c>
      <c r="R2962" s="2" t="s">
        <v>107</v>
      </c>
      <c r="S2962" s="2" t="s">
        <v>78</v>
      </c>
      <c r="T2962" s="2">
        <v>1</v>
      </c>
      <c r="U2962" s="2" t="s">
        <v>79</v>
      </c>
      <c r="V2962" s="2">
        <v>1</v>
      </c>
      <c r="W2962" s="2" t="s">
        <v>80</v>
      </c>
      <c r="X2962" s="2">
        <v>12</v>
      </c>
      <c r="Y2962" s="2" t="s">
        <v>148</v>
      </c>
      <c r="Z2962" s="2">
        <v>1</v>
      </c>
      <c r="AA2962" s="2" t="s">
        <v>82</v>
      </c>
      <c r="AB2962" s="2">
        <v>6</v>
      </c>
      <c r="AC2962" s="2" t="s">
        <v>83</v>
      </c>
      <c r="AD2962" s="3">
        <v>40379</v>
      </c>
      <c r="AE2962" s="2"/>
      <c r="AF2962" s="3">
        <v>40379</v>
      </c>
      <c r="AG2962" s="4">
        <v>0.61805555555555558</v>
      </c>
      <c r="AH2962" s="2">
        <v>2</v>
      </c>
      <c r="AI2962" s="2" t="s">
        <v>84</v>
      </c>
      <c r="AJ2962" s="2">
        <v>12</v>
      </c>
      <c r="AK2962" s="2" t="s">
        <v>85</v>
      </c>
      <c r="AL2962" s="2">
        <v>23</v>
      </c>
      <c r="AM2962" s="2" t="s">
        <v>251</v>
      </c>
      <c r="AN2962" s="2"/>
      <c r="AO2962" s="2"/>
      <c r="AP2962" s="2">
        <v>11</v>
      </c>
      <c r="AQ2962" s="2" t="s">
        <v>82</v>
      </c>
      <c r="AR2962" s="2"/>
      <c r="AS2962" s="2"/>
      <c r="AT2962" s="2" t="s">
        <v>9740</v>
      </c>
      <c r="AU2962" s="2"/>
      <c r="AV2962" s="2"/>
      <c r="AW2962" s="2"/>
      <c r="AX2962" s="2"/>
      <c r="AY2962" s="2">
        <v>41</v>
      </c>
      <c r="AZ2962" s="2" t="s">
        <v>82</v>
      </c>
      <c r="BA2962" s="2">
        <v>41</v>
      </c>
      <c r="BB2962" s="2" t="s">
        <v>82</v>
      </c>
      <c r="BC2962" s="2">
        <v>41</v>
      </c>
      <c r="BD2962" s="2" t="s">
        <v>82</v>
      </c>
      <c r="BE2962" s="2">
        <v>41</v>
      </c>
      <c r="BF2962" s="2" t="s">
        <v>82</v>
      </c>
      <c r="BG2962" s="2"/>
      <c r="BH2962" s="2"/>
      <c r="BI2962" s="2"/>
      <c r="BJ2962" s="2">
        <v>241</v>
      </c>
      <c r="BK2962" s="2" t="s">
        <v>82</v>
      </c>
      <c r="BL2962" s="2"/>
      <c r="BM2962" s="2">
        <v>241</v>
      </c>
      <c r="BN2962" s="2" t="s">
        <v>82</v>
      </c>
      <c r="BO2962" s="2"/>
      <c r="BP2962" s="2">
        <v>241</v>
      </c>
      <c r="BQ2962" s="2" t="s">
        <v>82</v>
      </c>
      <c r="BR2962" s="2"/>
      <c r="BS2962" s="3">
        <v>40379</v>
      </c>
      <c r="BT2962" s="4">
        <v>0.7737384259259259</v>
      </c>
    </row>
    <row r="2963" spans="1:72" x14ac:dyDescent="0.25">
      <c r="A2963" s="2">
        <v>4368</v>
      </c>
      <c r="B2963" s="2">
        <v>2010</v>
      </c>
      <c r="C2963" s="2" t="s">
        <v>377</v>
      </c>
      <c r="D2963" s="2" t="s">
        <v>73</v>
      </c>
      <c r="E2963" s="2"/>
      <c r="F2963" s="2">
        <v>426</v>
      </c>
      <c r="G2963" s="2" t="s">
        <v>378</v>
      </c>
      <c r="H2963" s="2">
        <v>42</v>
      </c>
      <c r="I2963" s="2" t="s">
        <v>1096</v>
      </c>
      <c r="J2963" s="2">
        <v>311</v>
      </c>
      <c r="K2963" s="2" t="s">
        <v>379</v>
      </c>
      <c r="L2963" s="2" t="s">
        <v>380</v>
      </c>
      <c r="M2963" s="3">
        <v>40379</v>
      </c>
      <c r="N2963" s="2" t="s">
        <v>5164</v>
      </c>
      <c r="O2963" s="2"/>
      <c r="P2963" s="2"/>
      <c r="Q2963" s="2" t="str">
        <f>"177-C/10"</f>
        <v>177-C/10</v>
      </c>
      <c r="R2963" s="2" t="s">
        <v>4428</v>
      </c>
      <c r="S2963" s="2"/>
      <c r="T2963" s="2">
        <v>1</v>
      </c>
      <c r="U2963" s="2" t="s">
        <v>79</v>
      </c>
      <c r="V2963" s="2">
        <v>1</v>
      </c>
      <c r="W2963" s="2" t="s">
        <v>80</v>
      </c>
      <c r="X2963" s="2">
        <v>1</v>
      </c>
      <c r="Y2963" s="2" t="s">
        <v>81</v>
      </c>
      <c r="Z2963" s="2">
        <v>1</v>
      </c>
      <c r="AA2963" s="2" t="s">
        <v>82</v>
      </c>
      <c r="AB2963" s="2">
        <v>9</v>
      </c>
      <c r="AC2963" s="2" t="s">
        <v>124</v>
      </c>
      <c r="AD2963" s="3">
        <v>40379</v>
      </c>
      <c r="AE2963" s="4">
        <v>0.27083333333333331</v>
      </c>
      <c r="AF2963" s="2"/>
      <c r="AG2963" s="2"/>
      <c r="AH2963" s="2">
        <v>2</v>
      </c>
      <c r="AI2963" s="2" t="s">
        <v>84</v>
      </c>
      <c r="AJ2963" s="2">
        <v>9</v>
      </c>
      <c r="AK2963" s="2" t="s">
        <v>103</v>
      </c>
      <c r="AL2963" s="2">
        <v>29</v>
      </c>
      <c r="AM2963" s="2" t="s">
        <v>5416</v>
      </c>
      <c r="AN2963" s="2"/>
      <c r="AO2963" s="2" t="s">
        <v>9741</v>
      </c>
      <c r="AP2963" s="2">
        <v>11</v>
      </c>
      <c r="AQ2963" s="2" t="s">
        <v>82</v>
      </c>
      <c r="AR2963" s="2"/>
      <c r="AS2963" s="2"/>
      <c r="AT2963" s="2" t="s">
        <v>9742</v>
      </c>
      <c r="AU2963" s="2"/>
      <c r="AV2963" s="2"/>
      <c r="AW2963" s="2"/>
      <c r="AX2963" s="2"/>
      <c r="AY2963" s="2">
        <v>41</v>
      </c>
      <c r="AZ2963" s="2" t="s">
        <v>82</v>
      </c>
      <c r="BA2963" s="2">
        <v>41</v>
      </c>
      <c r="BB2963" s="2" t="s">
        <v>82</v>
      </c>
      <c r="BC2963" s="2">
        <v>41</v>
      </c>
      <c r="BD2963" s="2" t="s">
        <v>82</v>
      </c>
      <c r="BE2963" s="2">
        <v>41</v>
      </c>
      <c r="BF2963" s="2" t="s">
        <v>82</v>
      </c>
      <c r="BG2963" s="2"/>
      <c r="BH2963" s="2"/>
      <c r="BI2963" s="2"/>
      <c r="BJ2963" s="2">
        <v>241</v>
      </c>
      <c r="BK2963" s="2" t="s">
        <v>82</v>
      </c>
      <c r="BL2963" s="2"/>
      <c r="BM2963" s="2">
        <v>241</v>
      </c>
      <c r="BN2963" s="2" t="s">
        <v>82</v>
      </c>
      <c r="BO2963" s="2"/>
      <c r="BP2963" s="2">
        <v>241</v>
      </c>
      <c r="BQ2963" s="2" t="s">
        <v>82</v>
      </c>
      <c r="BR2963" s="2"/>
      <c r="BS2963" s="3">
        <v>40379</v>
      </c>
      <c r="BT2963" s="4">
        <v>0.79015046296296287</v>
      </c>
    </row>
    <row r="2964" spans="1:72" x14ac:dyDescent="0.25">
      <c r="A2964" s="2">
        <v>4369</v>
      </c>
      <c r="B2964" s="2">
        <v>2010</v>
      </c>
      <c r="C2964" s="2" t="s">
        <v>377</v>
      </c>
      <c r="D2964" s="2" t="s">
        <v>73</v>
      </c>
      <c r="E2964" s="2"/>
      <c r="F2964" s="2">
        <v>426</v>
      </c>
      <c r="G2964" s="2" t="s">
        <v>378</v>
      </c>
      <c r="H2964" s="2">
        <v>42</v>
      </c>
      <c r="I2964" s="2" t="s">
        <v>1096</v>
      </c>
      <c r="J2964" s="2">
        <v>311</v>
      </c>
      <c r="K2964" s="2" t="s">
        <v>379</v>
      </c>
      <c r="L2964" s="2" t="s">
        <v>380</v>
      </c>
      <c r="M2964" s="3">
        <v>40379</v>
      </c>
      <c r="N2964" s="2" t="s">
        <v>7171</v>
      </c>
      <c r="O2964" s="2"/>
      <c r="P2964" s="2"/>
      <c r="Q2964" s="2" t="str">
        <f>"178-C/10"</f>
        <v>178-C/10</v>
      </c>
      <c r="R2964" s="2" t="s">
        <v>5773</v>
      </c>
      <c r="S2964" s="2"/>
      <c r="T2964" s="2">
        <v>1</v>
      </c>
      <c r="U2964" s="2" t="s">
        <v>79</v>
      </c>
      <c r="V2964" s="2">
        <v>1</v>
      </c>
      <c r="W2964" s="2" t="s">
        <v>80</v>
      </c>
      <c r="X2964" s="2">
        <v>1</v>
      </c>
      <c r="Y2964" s="2" t="s">
        <v>81</v>
      </c>
      <c r="Z2964" s="2">
        <v>1</v>
      </c>
      <c r="AA2964" s="2" t="s">
        <v>82</v>
      </c>
      <c r="AB2964" s="2">
        <v>9</v>
      </c>
      <c r="AC2964" s="2" t="s">
        <v>124</v>
      </c>
      <c r="AD2964" s="3">
        <v>40379</v>
      </c>
      <c r="AE2964" s="4">
        <v>0.45833333333333331</v>
      </c>
      <c r="AF2964" s="2"/>
      <c r="AG2964" s="2"/>
      <c r="AH2964" s="2">
        <v>2</v>
      </c>
      <c r="AI2964" s="2" t="s">
        <v>84</v>
      </c>
      <c r="AJ2964" s="2">
        <v>9</v>
      </c>
      <c r="AK2964" s="2" t="s">
        <v>103</v>
      </c>
      <c r="AL2964" s="2">
        <v>29</v>
      </c>
      <c r="AM2964" s="2" t="s">
        <v>5416</v>
      </c>
      <c r="AN2964" s="2"/>
      <c r="AO2964" s="2" t="s">
        <v>9743</v>
      </c>
      <c r="AP2964" s="2">
        <v>11</v>
      </c>
      <c r="AQ2964" s="2" t="s">
        <v>82</v>
      </c>
      <c r="AR2964" s="2"/>
      <c r="AS2964" s="2"/>
      <c r="AT2964" s="2" t="s">
        <v>9744</v>
      </c>
      <c r="AU2964" s="2"/>
      <c r="AV2964" s="2"/>
      <c r="AW2964" s="2"/>
      <c r="AX2964" s="2"/>
      <c r="AY2964" s="2">
        <v>41</v>
      </c>
      <c r="AZ2964" s="2" t="s">
        <v>82</v>
      </c>
      <c r="BA2964" s="2">
        <v>41</v>
      </c>
      <c r="BB2964" s="2" t="s">
        <v>82</v>
      </c>
      <c r="BC2964" s="2">
        <v>41</v>
      </c>
      <c r="BD2964" s="2" t="s">
        <v>82</v>
      </c>
      <c r="BE2964" s="2">
        <v>41</v>
      </c>
      <c r="BF2964" s="2" t="s">
        <v>82</v>
      </c>
      <c r="BG2964" s="2"/>
      <c r="BH2964" s="2"/>
      <c r="BI2964" s="2"/>
      <c r="BJ2964" s="2">
        <v>241</v>
      </c>
      <c r="BK2964" s="2" t="s">
        <v>82</v>
      </c>
      <c r="BL2964" s="2"/>
      <c r="BM2964" s="2">
        <v>241</v>
      </c>
      <c r="BN2964" s="2" t="s">
        <v>82</v>
      </c>
      <c r="BO2964" s="2"/>
      <c r="BP2964" s="2">
        <v>241</v>
      </c>
      <c r="BQ2964" s="2" t="s">
        <v>82</v>
      </c>
      <c r="BR2964" s="2"/>
      <c r="BS2964" s="3">
        <v>40379</v>
      </c>
      <c r="BT2964" s="4">
        <v>0.80542824074074071</v>
      </c>
    </row>
    <row r="2965" spans="1:72" x14ac:dyDescent="0.25">
      <c r="A2965" s="2">
        <v>4370</v>
      </c>
      <c r="B2965" s="2">
        <v>2010</v>
      </c>
      <c r="C2965" s="2" t="s">
        <v>377</v>
      </c>
      <c r="D2965" s="2" t="s">
        <v>73</v>
      </c>
      <c r="E2965" s="2"/>
      <c r="F2965" s="2">
        <v>426</v>
      </c>
      <c r="G2965" s="2" t="s">
        <v>378</v>
      </c>
      <c r="H2965" s="2">
        <v>22</v>
      </c>
      <c r="I2965" s="2" t="s">
        <v>75</v>
      </c>
      <c r="J2965" s="2">
        <v>311</v>
      </c>
      <c r="K2965" s="2" t="s">
        <v>379</v>
      </c>
      <c r="L2965" s="2" t="s">
        <v>380</v>
      </c>
      <c r="M2965" s="3">
        <v>40379</v>
      </c>
      <c r="N2965" s="2" t="s">
        <v>7171</v>
      </c>
      <c r="O2965" s="2"/>
      <c r="P2965" s="2"/>
      <c r="Q2965" s="2" t="str">
        <f>"179-C/10"</f>
        <v>179-C/10</v>
      </c>
      <c r="R2965" s="2" t="s">
        <v>5773</v>
      </c>
      <c r="S2965" s="2"/>
      <c r="T2965" s="2">
        <v>1</v>
      </c>
      <c r="U2965" s="2" t="s">
        <v>79</v>
      </c>
      <c r="V2965" s="2">
        <v>1</v>
      </c>
      <c r="W2965" s="2" t="s">
        <v>80</v>
      </c>
      <c r="X2965" s="2">
        <v>1</v>
      </c>
      <c r="Y2965" s="2" t="s">
        <v>81</v>
      </c>
      <c r="Z2965" s="2">
        <v>1</v>
      </c>
      <c r="AA2965" s="2" t="s">
        <v>82</v>
      </c>
      <c r="AB2965" s="2">
        <v>9</v>
      </c>
      <c r="AC2965" s="2" t="s">
        <v>124</v>
      </c>
      <c r="AD2965" s="3">
        <v>40379</v>
      </c>
      <c r="AE2965" s="4">
        <v>0.45833333333333331</v>
      </c>
      <c r="AF2965" s="2"/>
      <c r="AG2965" s="2"/>
      <c r="AH2965" s="2">
        <v>2</v>
      </c>
      <c r="AI2965" s="2" t="s">
        <v>84</v>
      </c>
      <c r="AJ2965" s="2">
        <v>9</v>
      </c>
      <c r="AK2965" s="2" t="s">
        <v>103</v>
      </c>
      <c r="AL2965" s="2">
        <v>29</v>
      </c>
      <c r="AM2965" s="2" t="s">
        <v>5416</v>
      </c>
      <c r="AN2965" s="2"/>
      <c r="AO2965" s="2" t="s">
        <v>9745</v>
      </c>
      <c r="AP2965" s="2">
        <v>11</v>
      </c>
      <c r="AQ2965" s="2" t="s">
        <v>82</v>
      </c>
      <c r="AR2965" s="2"/>
      <c r="AS2965" s="2"/>
      <c r="AT2965" s="2" t="s">
        <v>9746</v>
      </c>
      <c r="AU2965" s="2"/>
      <c r="AV2965" s="2"/>
      <c r="AW2965" s="2"/>
      <c r="AX2965" s="2"/>
      <c r="AY2965" s="2">
        <v>41</v>
      </c>
      <c r="AZ2965" s="2" t="s">
        <v>82</v>
      </c>
      <c r="BA2965" s="2">
        <v>41</v>
      </c>
      <c r="BB2965" s="2" t="s">
        <v>82</v>
      </c>
      <c r="BC2965" s="2">
        <v>41</v>
      </c>
      <c r="BD2965" s="2" t="s">
        <v>82</v>
      </c>
      <c r="BE2965" s="2">
        <v>41</v>
      </c>
      <c r="BF2965" s="2" t="s">
        <v>82</v>
      </c>
      <c r="BG2965" s="2"/>
      <c r="BH2965" s="2"/>
      <c r="BI2965" s="2"/>
      <c r="BJ2965" s="2">
        <v>241</v>
      </c>
      <c r="BK2965" s="2" t="s">
        <v>82</v>
      </c>
      <c r="BL2965" s="2"/>
      <c r="BM2965" s="2">
        <v>241</v>
      </c>
      <c r="BN2965" s="2" t="s">
        <v>82</v>
      </c>
      <c r="BO2965" s="2"/>
      <c r="BP2965" s="2">
        <v>241</v>
      </c>
      <c r="BQ2965" s="2" t="s">
        <v>82</v>
      </c>
      <c r="BR2965" s="2"/>
      <c r="BS2965" s="3">
        <v>40379</v>
      </c>
      <c r="BT2965" s="4">
        <v>0.81983796296296296</v>
      </c>
    </row>
    <row r="2966" spans="1:72" x14ac:dyDescent="0.25">
      <c r="A2966" s="2">
        <v>4371</v>
      </c>
      <c r="B2966" s="2">
        <v>2010</v>
      </c>
      <c r="C2966" s="2" t="s">
        <v>72</v>
      </c>
      <c r="D2966" s="2" t="s">
        <v>73</v>
      </c>
      <c r="E2966" s="2"/>
      <c r="F2966" s="2">
        <v>174</v>
      </c>
      <c r="G2966" s="2" t="s">
        <v>9090</v>
      </c>
      <c r="H2966" s="2">
        <v>42</v>
      </c>
      <c r="I2966" s="2" t="s">
        <v>1096</v>
      </c>
      <c r="J2966" s="2">
        <v>602</v>
      </c>
      <c r="K2966" s="2" t="s">
        <v>9091</v>
      </c>
      <c r="L2966" s="2" t="s">
        <v>9092</v>
      </c>
      <c r="M2966" s="3">
        <v>40379</v>
      </c>
      <c r="N2966" s="2" t="s">
        <v>9093</v>
      </c>
      <c r="O2966" s="2" t="s">
        <v>107</v>
      </c>
      <c r="P2966" s="2" t="s">
        <v>107</v>
      </c>
      <c r="Q2966" s="2" t="str">
        <f>"278-A/10"</f>
        <v>278-A/10</v>
      </c>
      <c r="R2966" s="2" t="s">
        <v>107</v>
      </c>
      <c r="S2966" s="2" t="s">
        <v>78</v>
      </c>
      <c r="T2966" s="2">
        <v>1</v>
      </c>
      <c r="U2966" s="2" t="s">
        <v>79</v>
      </c>
      <c r="V2966" s="2">
        <v>1</v>
      </c>
      <c r="W2966" s="2" t="s">
        <v>80</v>
      </c>
      <c r="X2966" s="2">
        <v>12</v>
      </c>
      <c r="Y2966" s="2" t="s">
        <v>148</v>
      </c>
      <c r="Z2966" s="2">
        <v>1</v>
      </c>
      <c r="AA2966" s="2" t="s">
        <v>82</v>
      </c>
      <c r="AB2966" s="2">
        <v>6</v>
      </c>
      <c r="AC2966" s="2" t="s">
        <v>83</v>
      </c>
      <c r="AD2966" s="3">
        <v>40379</v>
      </c>
      <c r="AE2966" s="2"/>
      <c r="AF2966" s="3">
        <v>40379</v>
      </c>
      <c r="AG2966" s="4">
        <v>0.54513888888888895</v>
      </c>
      <c r="AH2966" s="2">
        <v>2</v>
      </c>
      <c r="AI2966" s="2" t="s">
        <v>84</v>
      </c>
      <c r="AJ2966" s="2">
        <v>12</v>
      </c>
      <c r="AK2966" s="2" t="s">
        <v>85</v>
      </c>
      <c r="AL2966" s="2">
        <v>23</v>
      </c>
      <c r="AM2966" s="2" t="s">
        <v>251</v>
      </c>
      <c r="AN2966" s="2"/>
      <c r="AO2966" s="2" t="s">
        <v>9747</v>
      </c>
      <c r="AP2966" s="2">
        <v>11</v>
      </c>
      <c r="AQ2966" s="2" t="s">
        <v>82</v>
      </c>
      <c r="AR2966" s="2"/>
      <c r="AS2966" s="2"/>
      <c r="AT2966" s="2" t="s">
        <v>9748</v>
      </c>
      <c r="AU2966" s="2"/>
      <c r="AV2966" s="2"/>
      <c r="AW2966" s="2"/>
      <c r="AX2966" s="2"/>
      <c r="AY2966" s="2">
        <v>41</v>
      </c>
      <c r="AZ2966" s="2" t="s">
        <v>82</v>
      </c>
      <c r="BA2966" s="2">
        <v>41</v>
      </c>
      <c r="BB2966" s="2" t="s">
        <v>82</v>
      </c>
      <c r="BC2966" s="2">
        <v>41</v>
      </c>
      <c r="BD2966" s="2" t="s">
        <v>82</v>
      </c>
      <c r="BE2966" s="2">
        <v>41</v>
      </c>
      <c r="BF2966" s="2" t="s">
        <v>82</v>
      </c>
      <c r="BG2966" s="2"/>
      <c r="BH2966" s="2"/>
      <c r="BI2966" s="2"/>
      <c r="BJ2966" s="2">
        <v>241</v>
      </c>
      <c r="BK2966" s="2" t="s">
        <v>82</v>
      </c>
      <c r="BL2966" s="2"/>
      <c r="BM2966" s="2">
        <v>241</v>
      </c>
      <c r="BN2966" s="2" t="s">
        <v>82</v>
      </c>
      <c r="BO2966" s="2"/>
      <c r="BP2966" s="2">
        <v>241</v>
      </c>
      <c r="BQ2966" s="2" t="s">
        <v>82</v>
      </c>
      <c r="BR2966" s="2"/>
      <c r="BS2966" s="3">
        <v>40379</v>
      </c>
      <c r="BT2966" s="4">
        <v>0.83657407407407414</v>
      </c>
    </row>
    <row r="2967" spans="1:72" x14ac:dyDescent="0.25">
      <c r="A2967" s="2">
        <v>4372</v>
      </c>
      <c r="B2967" s="2">
        <v>2010</v>
      </c>
      <c r="C2967" s="2" t="s">
        <v>171</v>
      </c>
      <c r="D2967" s="2" t="s">
        <v>73</v>
      </c>
      <c r="E2967" s="2"/>
      <c r="F2967" s="2">
        <v>399</v>
      </c>
      <c r="G2967" s="2" t="s">
        <v>587</v>
      </c>
      <c r="H2967" s="2">
        <v>14</v>
      </c>
      <c r="I2967" s="2" t="s">
        <v>1458</v>
      </c>
      <c r="J2967" s="2">
        <v>241</v>
      </c>
      <c r="K2967" s="2" t="s">
        <v>174</v>
      </c>
      <c r="L2967" s="2" t="s">
        <v>175</v>
      </c>
      <c r="M2967" s="3">
        <v>40379</v>
      </c>
      <c r="N2967" s="2" t="s">
        <v>9749</v>
      </c>
      <c r="O2967" s="2"/>
      <c r="P2967" s="2"/>
      <c r="Q2967" s="2" t="str">
        <f>"372-E/10"</f>
        <v>372-E/10</v>
      </c>
      <c r="R2967" s="2" t="s">
        <v>391</v>
      </c>
      <c r="S2967" s="2" t="s">
        <v>391</v>
      </c>
      <c r="T2967" s="2">
        <v>1</v>
      </c>
      <c r="U2967" s="2" t="s">
        <v>79</v>
      </c>
      <c r="V2967" s="2">
        <v>1</v>
      </c>
      <c r="W2967" s="2" t="s">
        <v>80</v>
      </c>
      <c r="X2967" s="2">
        <v>1</v>
      </c>
      <c r="Y2967" s="2" t="s">
        <v>81</v>
      </c>
      <c r="Z2967" s="2">
        <v>1</v>
      </c>
      <c r="AA2967" s="2" t="s">
        <v>82</v>
      </c>
      <c r="AB2967" s="2">
        <v>1</v>
      </c>
      <c r="AC2967" s="2" t="s">
        <v>178</v>
      </c>
      <c r="AD2967" s="3">
        <v>40379</v>
      </c>
      <c r="AE2967" s="4">
        <v>0.52777777777777779</v>
      </c>
      <c r="AF2967" s="2"/>
      <c r="AG2967" s="2"/>
      <c r="AH2967" s="2">
        <v>2</v>
      </c>
      <c r="AI2967" s="2" t="s">
        <v>84</v>
      </c>
      <c r="AJ2967" s="2">
        <v>9</v>
      </c>
      <c r="AK2967" s="2" t="s">
        <v>103</v>
      </c>
      <c r="AL2967" s="2">
        <v>25</v>
      </c>
      <c r="AM2967" s="2" t="s">
        <v>3073</v>
      </c>
      <c r="AN2967" s="2" t="s">
        <v>9750</v>
      </c>
      <c r="AO2967" s="2" t="s">
        <v>179</v>
      </c>
      <c r="AP2967" s="2">
        <v>11</v>
      </c>
      <c r="AQ2967" s="2" t="s">
        <v>82</v>
      </c>
      <c r="AR2967" s="2"/>
      <c r="AS2967" s="2"/>
      <c r="AT2967" s="2" t="s">
        <v>9751</v>
      </c>
      <c r="AU2967" s="2"/>
      <c r="AV2967" s="2">
        <v>1</v>
      </c>
      <c r="AW2967" s="2"/>
      <c r="AX2967" s="2"/>
      <c r="AY2967" s="2">
        <v>41</v>
      </c>
      <c r="AZ2967" s="2" t="s">
        <v>82</v>
      </c>
      <c r="BA2967" s="2">
        <v>41</v>
      </c>
      <c r="BB2967" s="2" t="s">
        <v>82</v>
      </c>
      <c r="BC2967" s="2">
        <v>41</v>
      </c>
      <c r="BD2967" s="2" t="s">
        <v>82</v>
      </c>
      <c r="BE2967" s="2">
        <v>27</v>
      </c>
      <c r="BF2967" s="2" t="s">
        <v>2197</v>
      </c>
      <c r="BG2967" s="2" t="s">
        <v>8204</v>
      </c>
      <c r="BH2967" s="4">
        <v>0</v>
      </c>
      <c r="BI2967" s="4">
        <v>0.57638888888888895</v>
      </c>
      <c r="BJ2967" s="2">
        <v>173</v>
      </c>
      <c r="BK2967" s="2" t="s">
        <v>223</v>
      </c>
      <c r="BL2967" s="2" t="s">
        <v>9752</v>
      </c>
      <c r="BM2967" s="2">
        <v>173</v>
      </c>
      <c r="BN2967" s="2" t="s">
        <v>223</v>
      </c>
      <c r="BO2967" s="2" t="s">
        <v>9753</v>
      </c>
      <c r="BP2967" s="2">
        <v>3</v>
      </c>
      <c r="BQ2967" s="2" t="s">
        <v>9754</v>
      </c>
      <c r="BR2967" s="2" t="s">
        <v>9755</v>
      </c>
      <c r="BS2967" s="3">
        <v>40379</v>
      </c>
      <c r="BT2967" s="4">
        <v>0.95116898148148143</v>
      </c>
    </row>
    <row r="2968" spans="1:72" x14ac:dyDescent="0.25">
      <c r="A2968" s="2">
        <v>4373</v>
      </c>
      <c r="B2968" s="2">
        <v>2010</v>
      </c>
      <c r="C2968" s="2" t="s">
        <v>72</v>
      </c>
      <c r="D2968" s="2" t="s">
        <v>73</v>
      </c>
      <c r="E2968" s="2"/>
      <c r="F2968" s="2">
        <v>649</v>
      </c>
      <c r="G2968" s="2" t="s">
        <v>9141</v>
      </c>
      <c r="H2968" s="2">
        <v>128</v>
      </c>
      <c r="I2968" s="2" t="s">
        <v>9263</v>
      </c>
      <c r="J2968" s="2">
        <v>602</v>
      </c>
      <c r="K2968" s="2" t="s">
        <v>9091</v>
      </c>
      <c r="L2968" s="2" t="s">
        <v>9092</v>
      </c>
      <c r="M2968" s="3">
        <v>40380</v>
      </c>
      <c r="N2968" s="2" t="s">
        <v>9093</v>
      </c>
      <c r="O2968" s="2" t="s">
        <v>107</v>
      </c>
      <c r="P2968" s="2" t="s">
        <v>107</v>
      </c>
      <c r="Q2968" s="2" t="str">
        <f>"280-A/10"</f>
        <v>280-A/10</v>
      </c>
      <c r="R2968" s="2" t="s">
        <v>78</v>
      </c>
      <c r="S2968" s="2" t="s">
        <v>78</v>
      </c>
      <c r="T2968" s="2">
        <v>1</v>
      </c>
      <c r="U2968" s="2" t="s">
        <v>79</v>
      </c>
      <c r="V2968" s="2">
        <v>1</v>
      </c>
      <c r="W2968" s="2" t="s">
        <v>80</v>
      </c>
      <c r="X2968" s="2">
        <v>12</v>
      </c>
      <c r="Y2968" s="2" t="s">
        <v>148</v>
      </c>
      <c r="Z2968" s="2">
        <v>1</v>
      </c>
      <c r="AA2968" s="2" t="s">
        <v>82</v>
      </c>
      <c r="AB2968" s="2">
        <v>6</v>
      </c>
      <c r="AC2968" s="2" t="s">
        <v>83</v>
      </c>
      <c r="AD2968" s="3">
        <v>40379</v>
      </c>
      <c r="AE2968" s="2"/>
      <c r="AF2968" s="3">
        <v>40380</v>
      </c>
      <c r="AG2968" s="4">
        <v>3.472222222222222E-3</v>
      </c>
      <c r="AH2968" s="2">
        <v>2</v>
      </c>
      <c r="AI2968" s="2" t="s">
        <v>84</v>
      </c>
      <c r="AJ2968" s="2">
        <v>12</v>
      </c>
      <c r="AK2968" s="2" t="s">
        <v>85</v>
      </c>
      <c r="AL2968" s="2">
        <v>2</v>
      </c>
      <c r="AM2968" s="2" t="s">
        <v>163</v>
      </c>
      <c r="AN2968" s="2" t="s">
        <v>9756</v>
      </c>
      <c r="AO2968" s="2"/>
      <c r="AP2968" s="2">
        <v>11</v>
      </c>
      <c r="AQ2968" s="2" t="s">
        <v>82</v>
      </c>
      <c r="AR2968" s="2"/>
      <c r="AS2968" s="2"/>
      <c r="AT2968" s="2" t="s">
        <v>9757</v>
      </c>
      <c r="AU2968" s="2"/>
      <c r="AV2968" s="2"/>
      <c r="AW2968" s="2"/>
      <c r="AX2968" s="2"/>
      <c r="AY2968" s="2">
        <v>41</v>
      </c>
      <c r="AZ2968" s="2" t="s">
        <v>82</v>
      </c>
      <c r="BA2968" s="2">
        <v>41</v>
      </c>
      <c r="BB2968" s="2" t="s">
        <v>82</v>
      </c>
      <c r="BC2968" s="2">
        <v>41</v>
      </c>
      <c r="BD2968" s="2" t="s">
        <v>82</v>
      </c>
      <c r="BE2968" s="2">
        <v>4</v>
      </c>
      <c r="BF2968" s="2" t="s">
        <v>90</v>
      </c>
      <c r="BG2968" s="2" t="s">
        <v>9758</v>
      </c>
      <c r="BH2968" s="4">
        <v>0.9375</v>
      </c>
      <c r="BI2968" s="4">
        <v>0.83333333333333337</v>
      </c>
      <c r="BJ2968" s="2">
        <v>13</v>
      </c>
      <c r="BK2968" s="2" t="s">
        <v>91</v>
      </c>
      <c r="BL2968" s="2" t="s">
        <v>828</v>
      </c>
      <c r="BM2968" s="2">
        <v>241</v>
      </c>
      <c r="BN2968" s="2" t="s">
        <v>82</v>
      </c>
      <c r="BO2968" s="2"/>
      <c r="BP2968" s="2">
        <v>13</v>
      </c>
      <c r="BQ2968" s="2" t="s">
        <v>91</v>
      </c>
      <c r="BR2968" s="2" t="s">
        <v>564</v>
      </c>
      <c r="BS2968" s="3">
        <v>40380</v>
      </c>
      <c r="BT2968" s="4">
        <v>9.869212962962963E-2</v>
      </c>
    </row>
    <row r="2969" spans="1:72" x14ac:dyDescent="0.25">
      <c r="A2969" s="2">
        <v>4374</v>
      </c>
      <c r="B2969" s="2">
        <v>2010</v>
      </c>
      <c r="C2969" s="2" t="s">
        <v>171</v>
      </c>
      <c r="D2969" s="2" t="s">
        <v>122</v>
      </c>
      <c r="E2969" s="2" t="s">
        <v>9759</v>
      </c>
      <c r="F2969" s="2">
        <v>399</v>
      </c>
      <c r="G2969" s="2" t="s">
        <v>587</v>
      </c>
      <c r="H2969" s="2">
        <v>14</v>
      </c>
      <c r="I2969" s="2" t="s">
        <v>1458</v>
      </c>
      <c r="J2969" s="2">
        <v>241</v>
      </c>
      <c r="K2969" s="2" t="s">
        <v>174</v>
      </c>
      <c r="L2969" s="2" t="s">
        <v>175</v>
      </c>
      <c r="M2969" s="3">
        <v>40380</v>
      </c>
      <c r="N2969" s="2" t="s">
        <v>9749</v>
      </c>
      <c r="O2969" s="2"/>
      <c r="P2969" s="2"/>
      <c r="Q2969" s="2" t="str">
        <f>"372-E/10"</f>
        <v>372-E/10</v>
      </c>
      <c r="R2969" s="2" t="s">
        <v>391</v>
      </c>
      <c r="S2969" s="2" t="s">
        <v>391</v>
      </c>
      <c r="T2969" s="2">
        <v>1</v>
      </c>
      <c r="U2969" s="2" t="s">
        <v>79</v>
      </c>
      <c r="V2969" s="2">
        <v>1</v>
      </c>
      <c r="W2969" s="2" t="s">
        <v>80</v>
      </c>
      <c r="X2969" s="2">
        <v>1</v>
      </c>
      <c r="Y2969" s="2" t="s">
        <v>81</v>
      </c>
      <c r="Z2969" s="2">
        <v>1</v>
      </c>
      <c r="AA2969" s="2" t="s">
        <v>82</v>
      </c>
      <c r="AB2969" s="2">
        <v>1</v>
      </c>
      <c r="AC2969" s="2" t="s">
        <v>178</v>
      </c>
      <c r="AD2969" s="3">
        <v>40379</v>
      </c>
      <c r="AE2969" s="4">
        <v>0.52777777777777779</v>
      </c>
      <c r="AF2969" s="2"/>
      <c r="AG2969" s="2"/>
      <c r="AH2969" s="2">
        <v>2</v>
      </c>
      <c r="AI2969" s="2" t="s">
        <v>84</v>
      </c>
      <c r="AJ2969" s="2">
        <v>9</v>
      </c>
      <c r="AK2969" s="2" t="s">
        <v>103</v>
      </c>
      <c r="AL2969" s="2">
        <v>14</v>
      </c>
      <c r="AM2969" s="2" t="s">
        <v>216</v>
      </c>
      <c r="AN2969" s="2" t="s">
        <v>1230</v>
      </c>
      <c r="AO2969" s="2" t="s">
        <v>179</v>
      </c>
      <c r="AP2969" s="2">
        <v>11</v>
      </c>
      <c r="AQ2969" s="2" t="s">
        <v>82</v>
      </c>
      <c r="AR2969" s="2"/>
      <c r="AS2969" s="2"/>
      <c r="AT2969" s="2" t="s">
        <v>9760</v>
      </c>
      <c r="AU2969" s="2"/>
      <c r="AV2969" s="2">
        <v>1</v>
      </c>
      <c r="AW2969" s="2"/>
      <c r="AX2969" s="2"/>
      <c r="AY2969" s="2">
        <v>41</v>
      </c>
      <c r="AZ2969" s="2" t="s">
        <v>82</v>
      </c>
      <c r="BA2969" s="2">
        <v>41</v>
      </c>
      <c r="BB2969" s="2" t="s">
        <v>82</v>
      </c>
      <c r="BC2969" s="2">
        <v>41</v>
      </c>
      <c r="BD2969" s="2" t="s">
        <v>82</v>
      </c>
      <c r="BE2969" s="2">
        <v>27</v>
      </c>
      <c r="BF2969" s="2" t="s">
        <v>2197</v>
      </c>
      <c r="BG2969" s="2" t="s">
        <v>8204</v>
      </c>
      <c r="BH2969" s="4">
        <v>0</v>
      </c>
      <c r="BI2969" s="4">
        <v>0.57638888888888895</v>
      </c>
      <c r="BJ2969" s="2">
        <v>13</v>
      </c>
      <c r="BK2969" s="2" t="s">
        <v>91</v>
      </c>
      <c r="BL2969" s="2" t="s">
        <v>360</v>
      </c>
      <c r="BM2969" s="2">
        <v>112</v>
      </c>
      <c r="BN2969" s="2" t="s">
        <v>110</v>
      </c>
      <c r="BO2969" s="2" t="s">
        <v>111</v>
      </c>
      <c r="BP2969" s="2">
        <v>3</v>
      </c>
      <c r="BQ2969" s="2" t="s">
        <v>9754</v>
      </c>
      <c r="BR2969" s="2" t="s">
        <v>9761</v>
      </c>
      <c r="BS2969" s="3">
        <v>40380</v>
      </c>
      <c r="BT2969" s="4">
        <v>0.42638888888888887</v>
      </c>
    </row>
    <row r="2970" spans="1:72" x14ac:dyDescent="0.25">
      <c r="A2970" s="2">
        <v>4380</v>
      </c>
      <c r="B2970" s="2">
        <v>2010</v>
      </c>
      <c r="C2970" s="2" t="s">
        <v>171</v>
      </c>
      <c r="D2970" s="2" t="s">
        <v>73</v>
      </c>
      <c r="E2970" s="2" t="s">
        <v>9762</v>
      </c>
      <c r="F2970" s="2">
        <v>425</v>
      </c>
      <c r="G2970" s="2" t="s">
        <v>286</v>
      </c>
      <c r="H2970" s="2">
        <v>39</v>
      </c>
      <c r="I2970" s="2" t="s">
        <v>1117</v>
      </c>
      <c r="J2970" s="2">
        <v>310</v>
      </c>
      <c r="K2970" s="2" t="s">
        <v>288</v>
      </c>
      <c r="L2970" s="2" t="s">
        <v>289</v>
      </c>
      <c r="M2970" s="3">
        <v>40380</v>
      </c>
      <c r="N2970" s="2" t="s">
        <v>2049</v>
      </c>
      <c r="O2970" s="2" t="s">
        <v>7103</v>
      </c>
      <c r="P2970" s="2" t="s">
        <v>9763</v>
      </c>
      <c r="Q2970" s="2" t="str">
        <f>"067/10"</f>
        <v>067/10</v>
      </c>
      <c r="R2970" s="2"/>
      <c r="S2970" s="2" t="s">
        <v>822</v>
      </c>
      <c r="T2970" s="2">
        <v>1</v>
      </c>
      <c r="U2970" s="2" t="s">
        <v>79</v>
      </c>
      <c r="V2970" s="2">
        <v>1</v>
      </c>
      <c r="W2970" s="2" t="s">
        <v>80</v>
      </c>
      <c r="X2970" s="2">
        <v>1</v>
      </c>
      <c r="Y2970" s="2" t="s">
        <v>81</v>
      </c>
      <c r="Z2970" s="2">
        <v>1</v>
      </c>
      <c r="AA2970" s="2" t="s">
        <v>82</v>
      </c>
      <c r="AB2970" s="2">
        <v>1</v>
      </c>
      <c r="AC2970" s="2" t="s">
        <v>178</v>
      </c>
      <c r="AD2970" s="3">
        <v>40380</v>
      </c>
      <c r="AE2970" s="4">
        <v>0.54166666666666663</v>
      </c>
      <c r="AF2970" s="2"/>
      <c r="AG2970" s="2"/>
      <c r="AH2970" s="2">
        <v>4</v>
      </c>
      <c r="AI2970" s="2" t="s">
        <v>125</v>
      </c>
      <c r="AJ2970" s="2">
        <v>29</v>
      </c>
      <c r="AK2970" s="2" t="s">
        <v>227</v>
      </c>
      <c r="AL2970" s="2">
        <v>16</v>
      </c>
      <c r="AM2970" s="2" t="s">
        <v>392</v>
      </c>
      <c r="AN2970" s="2" t="s">
        <v>9764</v>
      </c>
      <c r="AO2970" s="2"/>
      <c r="AP2970" s="2">
        <v>12</v>
      </c>
      <c r="AQ2970" s="2" t="s">
        <v>322</v>
      </c>
      <c r="AR2970" s="2" t="s">
        <v>824</v>
      </c>
      <c r="AS2970" s="2" t="s">
        <v>825</v>
      </c>
      <c r="AT2970" s="2" t="s">
        <v>9765</v>
      </c>
      <c r="AU2970" s="2"/>
      <c r="AV2970" s="2"/>
      <c r="AW2970" s="2"/>
      <c r="AX2970" s="2"/>
      <c r="AY2970" s="2">
        <v>41</v>
      </c>
      <c r="AZ2970" s="2" t="s">
        <v>82</v>
      </c>
      <c r="BA2970" s="2">
        <v>41</v>
      </c>
      <c r="BB2970" s="2" t="s">
        <v>82</v>
      </c>
      <c r="BC2970" s="2">
        <v>51</v>
      </c>
      <c r="BD2970" s="2" t="s">
        <v>827</v>
      </c>
      <c r="BE2970" s="2">
        <v>47</v>
      </c>
      <c r="BF2970" s="2" t="s">
        <v>167</v>
      </c>
      <c r="BG2970" s="2">
        <v>2451</v>
      </c>
      <c r="BH2970" s="4">
        <v>0.375</v>
      </c>
      <c r="BI2970" s="4">
        <v>0.4236111111111111</v>
      </c>
      <c r="BJ2970" s="2">
        <v>13</v>
      </c>
      <c r="BK2970" s="2" t="s">
        <v>91</v>
      </c>
      <c r="BL2970" s="2" t="s">
        <v>828</v>
      </c>
      <c r="BM2970" s="2">
        <v>241</v>
      </c>
      <c r="BN2970" s="2" t="s">
        <v>82</v>
      </c>
      <c r="BO2970" s="2"/>
      <c r="BP2970" s="2">
        <v>13</v>
      </c>
      <c r="BQ2970" s="2" t="s">
        <v>91</v>
      </c>
      <c r="BR2970" s="2" t="s">
        <v>185</v>
      </c>
      <c r="BS2970" s="3">
        <v>40380</v>
      </c>
      <c r="BT2970" s="4">
        <v>0.63424768518518515</v>
      </c>
    </row>
    <row r="2971" spans="1:72" x14ac:dyDescent="0.25">
      <c r="A2971" s="2">
        <v>4382</v>
      </c>
      <c r="B2971" s="2">
        <v>2010</v>
      </c>
      <c r="C2971" s="2" t="s">
        <v>806</v>
      </c>
      <c r="D2971" s="2" t="s">
        <v>73</v>
      </c>
      <c r="E2971" s="2"/>
      <c r="F2971" s="2">
        <v>507</v>
      </c>
      <c r="G2971" s="2" t="s">
        <v>2475</v>
      </c>
      <c r="H2971" s="2">
        <v>61</v>
      </c>
      <c r="I2971" s="2" t="s">
        <v>3043</v>
      </c>
      <c r="J2971" s="2">
        <v>424</v>
      </c>
      <c r="K2971" s="2" t="s">
        <v>2476</v>
      </c>
      <c r="L2971" s="2" t="s">
        <v>2477</v>
      </c>
      <c r="M2971" s="3">
        <v>40380</v>
      </c>
      <c r="N2971" s="2" t="s">
        <v>2593</v>
      </c>
      <c r="O2971" s="2" t="s">
        <v>9766</v>
      </c>
      <c r="P2971" s="2">
        <v>16419</v>
      </c>
      <c r="Q2971" s="2" t="str">
        <f>"N/C"</f>
        <v>N/C</v>
      </c>
      <c r="R2971" s="2" t="s">
        <v>82</v>
      </c>
      <c r="S2971" s="2" t="s">
        <v>82</v>
      </c>
      <c r="T2971" s="2">
        <v>1</v>
      </c>
      <c r="U2971" s="2" t="s">
        <v>79</v>
      </c>
      <c r="V2971" s="2">
        <v>3</v>
      </c>
      <c r="W2971" s="2" t="s">
        <v>225</v>
      </c>
      <c r="X2971" s="2">
        <v>6</v>
      </c>
      <c r="Y2971" s="2" t="s">
        <v>249</v>
      </c>
      <c r="Z2971" s="2">
        <v>1</v>
      </c>
      <c r="AA2971" s="2" t="s">
        <v>82</v>
      </c>
      <c r="AB2971" s="2">
        <v>9</v>
      </c>
      <c r="AC2971" s="2" t="s">
        <v>124</v>
      </c>
      <c r="AD2971" s="3">
        <v>40379</v>
      </c>
      <c r="AE2971" s="4">
        <v>0.625</v>
      </c>
      <c r="AF2971" s="2"/>
      <c r="AG2971" s="2"/>
      <c r="AH2971" s="2">
        <v>3</v>
      </c>
      <c r="AI2971" s="2" t="s">
        <v>214</v>
      </c>
      <c r="AJ2971" s="2">
        <v>14</v>
      </c>
      <c r="AK2971" s="2" t="s">
        <v>342</v>
      </c>
      <c r="AL2971" s="2">
        <v>23</v>
      </c>
      <c r="AM2971" s="2" t="s">
        <v>251</v>
      </c>
      <c r="AN2971" s="2" t="s">
        <v>9767</v>
      </c>
      <c r="AO2971" s="2" t="s">
        <v>82</v>
      </c>
      <c r="AP2971" s="2">
        <v>11</v>
      </c>
      <c r="AQ2971" s="2" t="s">
        <v>82</v>
      </c>
      <c r="AR2971" s="2"/>
      <c r="AS2971" s="2"/>
      <c r="AT2971" s="2" t="s">
        <v>9768</v>
      </c>
      <c r="AU2971" s="2"/>
      <c r="AV2971" s="2"/>
      <c r="AW2971" s="2"/>
      <c r="AX2971" s="2"/>
      <c r="AY2971" s="2">
        <v>41</v>
      </c>
      <c r="AZ2971" s="2" t="s">
        <v>82</v>
      </c>
      <c r="BA2971" s="2">
        <v>41</v>
      </c>
      <c r="BB2971" s="2" t="s">
        <v>82</v>
      </c>
      <c r="BC2971" s="2">
        <v>41</v>
      </c>
      <c r="BD2971" s="2" t="s">
        <v>82</v>
      </c>
      <c r="BE2971" s="2">
        <v>41</v>
      </c>
      <c r="BF2971" s="2" t="s">
        <v>82</v>
      </c>
      <c r="BG2971" s="2"/>
      <c r="BH2971" s="2"/>
      <c r="BI2971" s="2"/>
      <c r="BJ2971" s="2">
        <v>241</v>
      </c>
      <c r="BK2971" s="2" t="s">
        <v>82</v>
      </c>
      <c r="BL2971" s="2"/>
      <c r="BM2971" s="2">
        <v>241</v>
      </c>
      <c r="BN2971" s="2" t="s">
        <v>82</v>
      </c>
      <c r="BO2971" s="2"/>
      <c r="BP2971" s="2">
        <v>241</v>
      </c>
      <c r="BQ2971" s="2" t="s">
        <v>82</v>
      </c>
      <c r="BR2971" s="2"/>
      <c r="BS2971" s="3">
        <v>40380</v>
      </c>
      <c r="BT2971" s="4">
        <v>0.67980324074074072</v>
      </c>
    </row>
    <row r="2972" spans="1:72" x14ac:dyDescent="0.25">
      <c r="A2972" s="2">
        <v>4384</v>
      </c>
      <c r="B2972" s="2">
        <v>2010</v>
      </c>
      <c r="C2972" s="2" t="s">
        <v>171</v>
      </c>
      <c r="D2972" s="2" t="s">
        <v>73</v>
      </c>
      <c r="E2972" s="2" t="s">
        <v>9769</v>
      </c>
      <c r="F2972" s="2">
        <v>425</v>
      </c>
      <c r="G2972" s="2" t="s">
        <v>286</v>
      </c>
      <c r="H2972" s="2">
        <v>122</v>
      </c>
      <c r="I2972" s="2" t="s">
        <v>8431</v>
      </c>
      <c r="J2972" s="2">
        <v>310</v>
      </c>
      <c r="K2972" s="2" t="s">
        <v>288</v>
      </c>
      <c r="L2972" s="2" t="s">
        <v>289</v>
      </c>
      <c r="M2972" s="3">
        <v>40380</v>
      </c>
      <c r="N2972" s="2" t="s">
        <v>2049</v>
      </c>
      <c r="O2972" s="2" t="s">
        <v>7103</v>
      </c>
      <c r="P2972" s="2" t="s">
        <v>9770</v>
      </c>
      <c r="Q2972" s="2" t="str">
        <f>"070/10"</f>
        <v>070/10</v>
      </c>
      <c r="R2972" s="2"/>
      <c r="S2972" s="2" t="s">
        <v>822</v>
      </c>
      <c r="T2972" s="2">
        <v>1</v>
      </c>
      <c r="U2972" s="2" t="s">
        <v>79</v>
      </c>
      <c r="V2972" s="2">
        <v>1</v>
      </c>
      <c r="W2972" s="2" t="s">
        <v>80</v>
      </c>
      <c r="X2972" s="2">
        <v>1</v>
      </c>
      <c r="Y2972" s="2" t="s">
        <v>81</v>
      </c>
      <c r="Z2972" s="2">
        <v>1</v>
      </c>
      <c r="AA2972" s="2" t="s">
        <v>82</v>
      </c>
      <c r="AB2972" s="2">
        <v>1</v>
      </c>
      <c r="AC2972" s="2" t="s">
        <v>178</v>
      </c>
      <c r="AD2972" s="3">
        <v>40380</v>
      </c>
      <c r="AE2972" s="4">
        <v>0.70833333333333337</v>
      </c>
      <c r="AF2972" s="2"/>
      <c r="AG2972" s="2"/>
      <c r="AH2972" s="2">
        <v>4</v>
      </c>
      <c r="AI2972" s="2" t="s">
        <v>125</v>
      </c>
      <c r="AJ2972" s="2">
        <v>29</v>
      </c>
      <c r="AK2972" s="2" t="s">
        <v>227</v>
      </c>
      <c r="AL2972" s="2">
        <v>16</v>
      </c>
      <c r="AM2972" s="2" t="s">
        <v>392</v>
      </c>
      <c r="AN2972" s="2" t="s">
        <v>9764</v>
      </c>
      <c r="AO2972" s="2"/>
      <c r="AP2972" s="2">
        <v>12</v>
      </c>
      <c r="AQ2972" s="2" t="s">
        <v>322</v>
      </c>
      <c r="AR2972" s="2" t="s">
        <v>824</v>
      </c>
      <c r="AS2972" s="2" t="s">
        <v>825</v>
      </c>
      <c r="AT2972" s="2" t="s">
        <v>9771</v>
      </c>
      <c r="AU2972" s="2"/>
      <c r="AV2972" s="2"/>
      <c r="AW2972" s="2"/>
      <c r="AX2972" s="2"/>
      <c r="AY2972" s="2">
        <v>41</v>
      </c>
      <c r="AZ2972" s="2" t="s">
        <v>82</v>
      </c>
      <c r="BA2972" s="2">
        <v>41</v>
      </c>
      <c r="BB2972" s="2" t="s">
        <v>82</v>
      </c>
      <c r="BC2972" s="2">
        <v>51</v>
      </c>
      <c r="BD2972" s="2" t="s">
        <v>827</v>
      </c>
      <c r="BE2972" s="2">
        <v>47</v>
      </c>
      <c r="BF2972" s="2" t="s">
        <v>167</v>
      </c>
      <c r="BG2972" s="2">
        <v>2459</v>
      </c>
      <c r="BH2972" s="4">
        <v>0.96180555555555547</v>
      </c>
      <c r="BI2972" s="4">
        <v>0.98611111111111116</v>
      </c>
      <c r="BJ2972" s="2">
        <v>13</v>
      </c>
      <c r="BK2972" s="2" t="s">
        <v>91</v>
      </c>
      <c r="BL2972" s="2" t="s">
        <v>828</v>
      </c>
      <c r="BM2972" s="2">
        <v>241</v>
      </c>
      <c r="BN2972" s="2" t="s">
        <v>82</v>
      </c>
      <c r="BO2972" s="2" t="s">
        <v>82</v>
      </c>
      <c r="BP2972" s="2">
        <v>13</v>
      </c>
      <c r="BQ2972" s="2" t="s">
        <v>91</v>
      </c>
      <c r="BR2972" s="2" t="s">
        <v>185</v>
      </c>
      <c r="BS2972" s="3">
        <v>40380</v>
      </c>
      <c r="BT2972" s="4">
        <v>0.74385416666666659</v>
      </c>
    </row>
    <row r="2973" spans="1:72" x14ac:dyDescent="0.25">
      <c r="A2973" s="2">
        <v>4386</v>
      </c>
      <c r="B2973" s="2">
        <v>2010</v>
      </c>
      <c r="C2973" s="2" t="s">
        <v>377</v>
      </c>
      <c r="D2973" s="2" t="s">
        <v>73</v>
      </c>
      <c r="E2973" s="2"/>
      <c r="F2973" s="2">
        <v>426</v>
      </c>
      <c r="G2973" s="2" t="s">
        <v>378</v>
      </c>
      <c r="H2973" s="2">
        <v>22</v>
      </c>
      <c r="I2973" s="2" t="s">
        <v>75</v>
      </c>
      <c r="J2973" s="2">
        <v>311</v>
      </c>
      <c r="K2973" s="2" t="s">
        <v>379</v>
      </c>
      <c r="L2973" s="2" t="s">
        <v>380</v>
      </c>
      <c r="M2973" s="3">
        <v>40380</v>
      </c>
      <c r="N2973" s="2" t="s">
        <v>5164</v>
      </c>
      <c r="O2973" s="2"/>
      <c r="P2973" s="2"/>
      <c r="Q2973" s="2" t="str">
        <f>"180-C/10"</f>
        <v>180-C/10</v>
      </c>
      <c r="R2973" s="2" t="s">
        <v>9772</v>
      </c>
      <c r="S2973" s="2"/>
      <c r="T2973" s="2">
        <v>1</v>
      </c>
      <c r="U2973" s="2" t="s">
        <v>79</v>
      </c>
      <c r="V2973" s="2">
        <v>1</v>
      </c>
      <c r="W2973" s="2" t="s">
        <v>80</v>
      </c>
      <c r="X2973" s="2">
        <v>1</v>
      </c>
      <c r="Y2973" s="2" t="s">
        <v>81</v>
      </c>
      <c r="Z2973" s="2">
        <v>1</v>
      </c>
      <c r="AA2973" s="2" t="s">
        <v>82</v>
      </c>
      <c r="AB2973" s="2">
        <v>9</v>
      </c>
      <c r="AC2973" s="2" t="s">
        <v>124</v>
      </c>
      <c r="AD2973" s="3">
        <v>40380</v>
      </c>
      <c r="AE2973" s="4">
        <v>0.58333333333333337</v>
      </c>
      <c r="AF2973" s="2"/>
      <c r="AG2973" s="2"/>
      <c r="AH2973" s="2">
        <v>2</v>
      </c>
      <c r="AI2973" s="2" t="s">
        <v>84</v>
      </c>
      <c r="AJ2973" s="2">
        <v>9</v>
      </c>
      <c r="AK2973" s="2" t="s">
        <v>103</v>
      </c>
      <c r="AL2973" s="2">
        <v>12</v>
      </c>
      <c r="AM2973" s="2" t="s">
        <v>86</v>
      </c>
      <c r="AN2973" s="2"/>
      <c r="AO2973" s="2" t="s">
        <v>9773</v>
      </c>
      <c r="AP2973" s="2">
        <v>11</v>
      </c>
      <c r="AQ2973" s="2" t="s">
        <v>82</v>
      </c>
      <c r="AR2973" s="2"/>
      <c r="AS2973" s="2"/>
      <c r="AT2973" s="2" t="s">
        <v>9774</v>
      </c>
      <c r="AU2973" s="2"/>
      <c r="AV2973" s="2"/>
      <c r="AW2973" s="2"/>
      <c r="AX2973" s="2"/>
      <c r="AY2973" s="2">
        <v>41</v>
      </c>
      <c r="AZ2973" s="2" t="s">
        <v>82</v>
      </c>
      <c r="BA2973" s="2">
        <v>41</v>
      </c>
      <c r="BB2973" s="2" t="s">
        <v>82</v>
      </c>
      <c r="BC2973" s="2">
        <v>41</v>
      </c>
      <c r="BD2973" s="2" t="s">
        <v>82</v>
      </c>
      <c r="BE2973" s="2">
        <v>41</v>
      </c>
      <c r="BF2973" s="2" t="s">
        <v>82</v>
      </c>
      <c r="BG2973" s="2"/>
      <c r="BH2973" s="2"/>
      <c r="BI2973" s="2"/>
      <c r="BJ2973" s="2">
        <v>241</v>
      </c>
      <c r="BK2973" s="2" t="s">
        <v>82</v>
      </c>
      <c r="BL2973" s="2"/>
      <c r="BM2973" s="2">
        <v>241</v>
      </c>
      <c r="BN2973" s="2" t="s">
        <v>82</v>
      </c>
      <c r="BO2973" s="2"/>
      <c r="BP2973" s="2">
        <v>241</v>
      </c>
      <c r="BQ2973" s="2" t="s">
        <v>82</v>
      </c>
      <c r="BR2973" s="2"/>
      <c r="BS2973" s="3">
        <v>40380</v>
      </c>
      <c r="BT2973" s="4">
        <v>0.87135416666666676</v>
      </c>
    </row>
    <row r="2974" spans="1:72" x14ac:dyDescent="0.25">
      <c r="A2974" s="2">
        <v>4388</v>
      </c>
      <c r="B2974" s="2">
        <v>2010</v>
      </c>
      <c r="C2974" s="2" t="s">
        <v>377</v>
      </c>
      <c r="D2974" s="2" t="s">
        <v>73</v>
      </c>
      <c r="E2974" s="2"/>
      <c r="F2974" s="2">
        <v>426</v>
      </c>
      <c r="G2974" s="2" t="s">
        <v>378</v>
      </c>
      <c r="H2974" s="2">
        <v>42</v>
      </c>
      <c r="I2974" s="2" t="s">
        <v>1096</v>
      </c>
      <c r="J2974" s="2">
        <v>311</v>
      </c>
      <c r="K2974" s="2" t="s">
        <v>379</v>
      </c>
      <c r="L2974" s="2" t="s">
        <v>380</v>
      </c>
      <c r="M2974" s="3">
        <v>40380</v>
      </c>
      <c r="N2974" s="2" t="s">
        <v>7171</v>
      </c>
      <c r="O2974" s="2"/>
      <c r="P2974" s="2"/>
      <c r="Q2974" s="2" t="str">
        <f>"181-C-10"</f>
        <v>181-C-10</v>
      </c>
      <c r="R2974" s="2" t="s">
        <v>9775</v>
      </c>
      <c r="S2974" s="2"/>
      <c r="T2974" s="2">
        <v>1</v>
      </c>
      <c r="U2974" s="2" t="s">
        <v>79</v>
      </c>
      <c r="V2974" s="2">
        <v>1</v>
      </c>
      <c r="W2974" s="2" t="s">
        <v>80</v>
      </c>
      <c r="X2974" s="2">
        <v>1</v>
      </c>
      <c r="Y2974" s="2" t="s">
        <v>81</v>
      </c>
      <c r="Z2974" s="2">
        <v>1</v>
      </c>
      <c r="AA2974" s="2" t="s">
        <v>82</v>
      </c>
      <c r="AB2974" s="2">
        <v>9</v>
      </c>
      <c r="AC2974" s="2" t="s">
        <v>124</v>
      </c>
      <c r="AD2974" s="3">
        <v>40380</v>
      </c>
      <c r="AE2974" s="4">
        <v>0.70833333333333337</v>
      </c>
      <c r="AF2974" s="2"/>
      <c r="AG2974" s="2"/>
      <c r="AH2974" s="2">
        <v>2</v>
      </c>
      <c r="AI2974" s="2" t="s">
        <v>84</v>
      </c>
      <c r="AJ2974" s="2">
        <v>9</v>
      </c>
      <c r="AK2974" s="2" t="s">
        <v>103</v>
      </c>
      <c r="AL2974" s="2">
        <v>29</v>
      </c>
      <c r="AM2974" s="2" t="s">
        <v>5416</v>
      </c>
      <c r="AN2974" s="2"/>
      <c r="AO2974" s="2" t="s">
        <v>9776</v>
      </c>
      <c r="AP2974" s="2">
        <v>11</v>
      </c>
      <c r="AQ2974" s="2" t="s">
        <v>82</v>
      </c>
      <c r="AR2974" s="2"/>
      <c r="AS2974" s="2"/>
      <c r="AT2974" s="2" t="s">
        <v>9777</v>
      </c>
      <c r="AU2974" s="2"/>
      <c r="AV2974" s="2"/>
      <c r="AW2974" s="2"/>
      <c r="AX2974" s="2"/>
      <c r="AY2974" s="2">
        <v>41</v>
      </c>
      <c r="AZ2974" s="2" t="s">
        <v>82</v>
      </c>
      <c r="BA2974" s="2">
        <v>41</v>
      </c>
      <c r="BB2974" s="2" t="s">
        <v>82</v>
      </c>
      <c r="BC2974" s="2">
        <v>41</v>
      </c>
      <c r="BD2974" s="2" t="s">
        <v>82</v>
      </c>
      <c r="BE2974" s="2">
        <v>41</v>
      </c>
      <c r="BF2974" s="2" t="s">
        <v>82</v>
      </c>
      <c r="BG2974" s="2"/>
      <c r="BH2974" s="2"/>
      <c r="BI2974" s="2"/>
      <c r="BJ2974" s="2">
        <v>241</v>
      </c>
      <c r="BK2974" s="2" t="s">
        <v>82</v>
      </c>
      <c r="BL2974" s="2"/>
      <c r="BM2974" s="2">
        <v>241</v>
      </c>
      <c r="BN2974" s="2" t="s">
        <v>82</v>
      </c>
      <c r="BO2974" s="2"/>
      <c r="BP2974" s="2">
        <v>241</v>
      </c>
      <c r="BQ2974" s="2" t="s">
        <v>82</v>
      </c>
      <c r="BR2974" s="2"/>
      <c r="BS2974" s="3">
        <v>40380</v>
      </c>
      <c r="BT2974" s="4">
        <v>0.92519675925925926</v>
      </c>
    </row>
    <row r="2975" spans="1:72" x14ac:dyDescent="0.25">
      <c r="A2975" s="2">
        <v>4390</v>
      </c>
      <c r="B2975" s="2">
        <v>2010</v>
      </c>
      <c r="C2975" s="2" t="s">
        <v>819</v>
      </c>
      <c r="D2975" s="2" t="s">
        <v>122</v>
      </c>
      <c r="E2975" s="2"/>
      <c r="F2975" s="2">
        <v>451</v>
      </c>
      <c r="G2975" s="2" t="s">
        <v>879</v>
      </c>
      <c r="H2975" s="2">
        <v>31</v>
      </c>
      <c r="I2975" s="2" t="s">
        <v>880</v>
      </c>
      <c r="J2975" s="2">
        <v>326</v>
      </c>
      <c r="K2975" s="2" t="s">
        <v>881</v>
      </c>
      <c r="L2975" s="2" t="s">
        <v>882</v>
      </c>
      <c r="M2975" s="3">
        <v>40380</v>
      </c>
      <c r="N2975" s="2" t="s">
        <v>1072</v>
      </c>
      <c r="O2975" s="2"/>
      <c r="P2975" s="2"/>
      <c r="Q2975" s="2" t="str">
        <f>"084/10"</f>
        <v>084/10</v>
      </c>
      <c r="R2975" s="2"/>
      <c r="S2975" s="2" t="s">
        <v>822</v>
      </c>
      <c r="T2975" s="2">
        <v>1</v>
      </c>
      <c r="U2975" s="2" t="s">
        <v>79</v>
      </c>
      <c r="V2975" s="2">
        <v>1</v>
      </c>
      <c r="W2975" s="2" t="s">
        <v>80</v>
      </c>
      <c r="X2975" s="2">
        <v>1</v>
      </c>
      <c r="Y2975" s="2" t="s">
        <v>81</v>
      </c>
      <c r="Z2975" s="2">
        <v>10</v>
      </c>
      <c r="AA2975" s="2" t="s">
        <v>236</v>
      </c>
      <c r="AB2975" s="2">
        <v>9</v>
      </c>
      <c r="AC2975" s="2" t="s">
        <v>124</v>
      </c>
      <c r="AD2975" s="3">
        <v>40380</v>
      </c>
      <c r="AE2975" s="4">
        <v>0.91666666666666663</v>
      </c>
      <c r="AF2975" s="2"/>
      <c r="AG2975" s="2"/>
      <c r="AH2975" s="2">
        <v>4</v>
      </c>
      <c r="AI2975" s="2" t="s">
        <v>125</v>
      </c>
      <c r="AJ2975" s="2">
        <v>29</v>
      </c>
      <c r="AK2975" s="2" t="s">
        <v>227</v>
      </c>
      <c r="AL2975" s="2">
        <v>10</v>
      </c>
      <c r="AM2975" s="2" t="s">
        <v>200</v>
      </c>
      <c r="AN2975" s="2" t="s">
        <v>1015</v>
      </c>
      <c r="AO2975" s="2" t="s">
        <v>8817</v>
      </c>
      <c r="AP2975" s="2">
        <v>12</v>
      </c>
      <c r="AQ2975" s="2" t="s">
        <v>322</v>
      </c>
      <c r="AR2975" s="2" t="s">
        <v>824</v>
      </c>
      <c r="AS2975" s="2" t="s">
        <v>825</v>
      </c>
      <c r="AT2975" s="2" t="s">
        <v>9778</v>
      </c>
      <c r="AU2975" s="2"/>
      <c r="AV2975" s="2"/>
      <c r="AW2975" s="2"/>
      <c r="AX2975" s="2"/>
      <c r="AY2975" s="2">
        <v>41</v>
      </c>
      <c r="AZ2975" s="2" t="s">
        <v>82</v>
      </c>
      <c r="BA2975" s="2">
        <v>41</v>
      </c>
      <c r="BB2975" s="2" t="s">
        <v>82</v>
      </c>
      <c r="BC2975" s="2">
        <v>51</v>
      </c>
      <c r="BD2975" s="2" t="s">
        <v>827</v>
      </c>
      <c r="BE2975" s="2">
        <v>13</v>
      </c>
      <c r="BF2975" s="2" t="s">
        <v>108</v>
      </c>
      <c r="BG2975" s="2">
        <v>1459</v>
      </c>
      <c r="BH2975" s="4">
        <v>0.89583333333333337</v>
      </c>
      <c r="BI2975" s="4">
        <v>0.92708333333333337</v>
      </c>
      <c r="BJ2975" s="2">
        <v>13</v>
      </c>
      <c r="BK2975" s="2" t="s">
        <v>91</v>
      </c>
      <c r="BL2975" s="2" t="s">
        <v>828</v>
      </c>
      <c r="BM2975" s="2">
        <v>241</v>
      </c>
      <c r="BN2975" s="2" t="s">
        <v>82</v>
      </c>
      <c r="BO2975" s="2"/>
      <c r="BP2975" s="2">
        <v>13</v>
      </c>
      <c r="BQ2975" s="2" t="s">
        <v>91</v>
      </c>
      <c r="BR2975" s="2" t="s">
        <v>185</v>
      </c>
      <c r="BS2975" s="3">
        <v>40380</v>
      </c>
      <c r="BT2975" s="4">
        <v>0.96629629629629632</v>
      </c>
    </row>
    <row r="2976" spans="1:72" x14ac:dyDescent="0.25">
      <c r="A2976" s="2">
        <v>4391</v>
      </c>
      <c r="B2976" s="2">
        <v>2010</v>
      </c>
      <c r="C2976" s="2" t="s">
        <v>171</v>
      </c>
      <c r="D2976" s="2" t="s">
        <v>73</v>
      </c>
      <c r="E2976" s="2"/>
      <c r="F2976" s="2">
        <v>155</v>
      </c>
      <c r="G2976" s="2" t="s">
        <v>1030</v>
      </c>
      <c r="H2976" s="2">
        <v>10</v>
      </c>
      <c r="I2976" s="2" t="s">
        <v>1031</v>
      </c>
      <c r="J2976" s="2">
        <v>167</v>
      </c>
      <c r="K2976" s="2" t="s">
        <v>1032</v>
      </c>
      <c r="L2976" s="2" t="s">
        <v>1033</v>
      </c>
      <c r="M2976" s="3">
        <v>40381</v>
      </c>
      <c r="N2976" s="2" t="s">
        <v>9672</v>
      </c>
      <c r="O2976" s="2" t="s">
        <v>107</v>
      </c>
      <c r="P2976" s="2" t="s">
        <v>107</v>
      </c>
      <c r="Q2976" s="2" t="str">
        <f>"281-A/10"</f>
        <v>281-A/10</v>
      </c>
      <c r="R2976" s="2" t="s">
        <v>107</v>
      </c>
      <c r="S2976" s="2" t="s">
        <v>489</v>
      </c>
      <c r="T2976" s="2">
        <v>1</v>
      </c>
      <c r="U2976" s="2" t="s">
        <v>79</v>
      </c>
      <c r="V2976" s="2">
        <v>1</v>
      </c>
      <c r="W2976" s="2" t="s">
        <v>80</v>
      </c>
      <c r="X2976" s="2">
        <v>1</v>
      </c>
      <c r="Y2976" s="2" t="s">
        <v>81</v>
      </c>
      <c r="Z2976" s="2">
        <v>1</v>
      </c>
      <c r="AA2976" s="2" t="s">
        <v>82</v>
      </c>
      <c r="AB2976" s="2">
        <v>1</v>
      </c>
      <c r="AC2976" s="2" t="s">
        <v>178</v>
      </c>
      <c r="AD2976" s="3">
        <v>40380</v>
      </c>
      <c r="AE2976" s="4">
        <v>0.73958333333333337</v>
      </c>
      <c r="AF2976" s="2"/>
      <c r="AG2976" s="2"/>
      <c r="AH2976" s="2">
        <v>2</v>
      </c>
      <c r="AI2976" s="2" t="s">
        <v>84</v>
      </c>
      <c r="AJ2976" s="2">
        <v>12</v>
      </c>
      <c r="AK2976" s="2" t="s">
        <v>85</v>
      </c>
      <c r="AL2976" s="2">
        <v>11</v>
      </c>
      <c r="AM2976" s="2" t="s">
        <v>137</v>
      </c>
      <c r="AN2976" s="2" t="s">
        <v>9545</v>
      </c>
      <c r="AO2976" s="2" t="s">
        <v>9779</v>
      </c>
      <c r="AP2976" s="2">
        <v>11</v>
      </c>
      <c r="AQ2976" s="2" t="s">
        <v>82</v>
      </c>
      <c r="AR2976" s="2"/>
      <c r="AS2976" s="2"/>
      <c r="AT2976" s="2" t="s">
        <v>9780</v>
      </c>
      <c r="AU2976" s="2">
        <v>1</v>
      </c>
      <c r="AV2976" s="2"/>
      <c r="AW2976" s="2"/>
      <c r="AX2976" s="2"/>
      <c r="AY2976" s="2">
        <v>41</v>
      </c>
      <c r="AZ2976" s="2" t="s">
        <v>82</v>
      </c>
      <c r="BA2976" s="2">
        <v>41</v>
      </c>
      <c r="BB2976" s="2" t="s">
        <v>82</v>
      </c>
      <c r="BC2976" s="2">
        <v>41</v>
      </c>
      <c r="BD2976" s="2" t="s">
        <v>82</v>
      </c>
      <c r="BE2976" s="2">
        <v>13</v>
      </c>
      <c r="BF2976" s="2" t="s">
        <v>108</v>
      </c>
      <c r="BG2976" s="2" t="s">
        <v>9214</v>
      </c>
      <c r="BH2976" s="2"/>
      <c r="BI2976" s="4">
        <v>0.76041666666666663</v>
      </c>
      <c r="BJ2976" s="2">
        <v>13</v>
      </c>
      <c r="BK2976" s="2" t="s">
        <v>91</v>
      </c>
      <c r="BL2976" s="2" t="s">
        <v>564</v>
      </c>
      <c r="BM2976" s="2">
        <v>241</v>
      </c>
      <c r="BN2976" s="2" t="s">
        <v>82</v>
      </c>
      <c r="BO2976" s="2" t="s">
        <v>82</v>
      </c>
      <c r="BP2976" s="2">
        <v>13</v>
      </c>
      <c r="BQ2976" s="2" t="s">
        <v>91</v>
      </c>
      <c r="BR2976" s="2" t="s">
        <v>5117</v>
      </c>
      <c r="BS2976" s="3">
        <v>40381</v>
      </c>
      <c r="BT2976" s="4">
        <v>4.7685185185185183E-3</v>
      </c>
    </row>
    <row r="2977" spans="1:72" x14ac:dyDescent="0.25">
      <c r="A2977" s="2">
        <v>4392</v>
      </c>
      <c r="B2977" s="2">
        <v>2010</v>
      </c>
      <c r="C2977" s="2" t="s">
        <v>72</v>
      </c>
      <c r="D2977" s="2" t="s">
        <v>73</v>
      </c>
      <c r="E2977" s="2"/>
      <c r="F2977" s="2">
        <v>28</v>
      </c>
      <c r="G2977" s="2" t="s">
        <v>784</v>
      </c>
      <c r="H2977" s="2">
        <v>1</v>
      </c>
      <c r="I2977" s="2" t="s">
        <v>82</v>
      </c>
      <c r="J2977" s="2">
        <v>629</v>
      </c>
      <c r="K2977" s="2" t="s">
        <v>9781</v>
      </c>
      <c r="L2977" s="2" t="s">
        <v>9782</v>
      </c>
      <c r="M2977" s="3">
        <v>40381</v>
      </c>
      <c r="N2977" s="2" t="s">
        <v>82</v>
      </c>
      <c r="O2977" s="2" t="s">
        <v>9783</v>
      </c>
      <c r="P2977" s="2" t="s">
        <v>9784</v>
      </c>
      <c r="Q2977" s="2" t="str">
        <f>"35/10"</f>
        <v>35/10</v>
      </c>
      <c r="R2977" s="2" t="s">
        <v>9783</v>
      </c>
      <c r="S2977" s="2" t="s">
        <v>9783</v>
      </c>
      <c r="T2977" s="2">
        <v>1</v>
      </c>
      <c r="U2977" s="2" t="s">
        <v>79</v>
      </c>
      <c r="V2977" s="2">
        <v>1</v>
      </c>
      <c r="W2977" s="2" t="s">
        <v>80</v>
      </c>
      <c r="X2977" s="2">
        <v>12</v>
      </c>
      <c r="Y2977" s="2" t="s">
        <v>148</v>
      </c>
      <c r="Z2977" s="2">
        <v>1</v>
      </c>
      <c r="AA2977" s="2" t="s">
        <v>82</v>
      </c>
      <c r="AB2977" s="2">
        <v>6</v>
      </c>
      <c r="AC2977" s="2" t="s">
        <v>83</v>
      </c>
      <c r="AD2977" s="3">
        <v>40380</v>
      </c>
      <c r="AE2977" s="2"/>
      <c r="AF2977" s="3">
        <v>40380</v>
      </c>
      <c r="AG2977" s="2"/>
      <c r="AH2977" s="2">
        <v>3</v>
      </c>
      <c r="AI2977" s="2" t="s">
        <v>214</v>
      </c>
      <c r="AJ2977" s="2">
        <v>17</v>
      </c>
      <c r="AK2977" s="2" t="s">
        <v>309</v>
      </c>
      <c r="AL2977" s="2">
        <v>10</v>
      </c>
      <c r="AM2977" s="2" t="s">
        <v>200</v>
      </c>
      <c r="AN2977" s="2" t="s">
        <v>9785</v>
      </c>
      <c r="AO2977" s="2"/>
      <c r="AP2977" s="2">
        <v>11</v>
      </c>
      <c r="AQ2977" s="2" t="s">
        <v>82</v>
      </c>
      <c r="AR2977" s="2" t="s">
        <v>82</v>
      </c>
      <c r="AS2977" s="2" t="s">
        <v>82</v>
      </c>
      <c r="AT2977" s="2" t="s">
        <v>9786</v>
      </c>
      <c r="AU2977" s="2"/>
      <c r="AV2977" s="2"/>
      <c r="AW2977" s="2"/>
      <c r="AX2977" s="2"/>
      <c r="AY2977" s="2">
        <v>44</v>
      </c>
      <c r="AZ2977" s="2" t="s">
        <v>262</v>
      </c>
      <c r="BA2977" s="2">
        <v>44</v>
      </c>
      <c r="BB2977" s="2" t="s">
        <v>262</v>
      </c>
      <c r="BC2977" s="2">
        <v>41</v>
      </c>
      <c r="BD2977" s="2" t="s">
        <v>82</v>
      </c>
      <c r="BE2977" s="2">
        <v>41</v>
      </c>
      <c r="BF2977" s="2" t="s">
        <v>82</v>
      </c>
      <c r="BG2977" s="2"/>
      <c r="BH2977" s="2"/>
      <c r="BI2977" s="2"/>
      <c r="BJ2977" s="2">
        <v>241</v>
      </c>
      <c r="BK2977" s="2" t="s">
        <v>82</v>
      </c>
      <c r="BL2977" s="2" t="s">
        <v>82</v>
      </c>
      <c r="BM2977" s="2">
        <v>241</v>
      </c>
      <c r="BN2977" s="2" t="s">
        <v>82</v>
      </c>
      <c r="BO2977" s="2" t="s">
        <v>82</v>
      </c>
      <c r="BP2977" s="2">
        <v>241</v>
      </c>
      <c r="BQ2977" s="2" t="s">
        <v>82</v>
      </c>
      <c r="BR2977" s="2" t="s">
        <v>82</v>
      </c>
      <c r="BS2977" s="3">
        <v>40381</v>
      </c>
      <c r="BT2977" s="4">
        <v>7.5694444444444446E-3</v>
      </c>
    </row>
    <row r="2978" spans="1:72" x14ac:dyDescent="0.25">
      <c r="A2978" s="2">
        <v>4393</v>
      </c>
      <c r="B2978" s="2">
        <v>2010</v>
      </c>
      <c r="C2978" s="2" t="s">
        <v>4543</v>
      </c>
      <c r="D2978" s="2" t="s">
        <v>122</v>
      </c>
      <c r="E2978" s="2"/>
      <c r="F2978" s="2">
        <v>507</v>
      </c>
      <c r="G2978" s="2" t="s">
        <v>2475</v>
      </c>
      <c r="H2978" s="2">
        <v>44</v>
      </c>
      <c r="I2978" s="2" t="s">
        <v>1272</v>
      </c>
      <c r="J2978" s="2">
        <v>537</v>
      </c>
      <c r="K2978" s="2" t="s">
        <v>6183</v>
      </c>
      <c r="L2978" s="2" t="s">
        <v>6184</v>
      </c>
      <c r="M2978" s="3">
        <v>40381</v>
      </c>
      <c r="N2978" s="2" t="s">
        <v>9787</v>
      </c>
      <c r="O2978" s="2" t="s">
        <v>9788</v>
      </c>
      <c r="P2978" s="2">
        <v>16419</v>
      </c>
      <c r="Q2978" s="2" t="str">
        <f>""</f>
        <v/>
      </c>
      <c r="R2978" s="2"/>
      <c r="S2978" s="2"/>
      <c r="T2978" s="2">
        <v>2</v>
      </c>
      <c r="U2978" s="2" t="s">
        <v>123</v>
      </c>
      <c r="V2978" s="2">
        <v>1</v>
      </c>
      <c r="W2978" s="2" t="s">
        <v>80</v>
      </c>
      <c r="X2978" s="2">
        <v>5</v>
      </c>
      <c r="Y2978" s="2" t="s">
        <v>82</v>
      </c>
      <c r="Z2978" s="2">
        <v>1</v>
      </c>
      <c r="AA2978" s="2" t="s">
        <v>82</v>
      </c>
      <c r="AB2978" s="2">
        <v>9</v>
      </c>
      <c r="AC2978" s="2" t="s">
        <v>124</v>
      </c>
      <c r="AD2978" s="2"/>
      <c r="AE2978" s="2"/>
      <c r="AF2978" s="2"/>
      <c r="AG2978" s="2"/>
      <c r="AH2978" s="2">
        <v>3</v>
      </c>
      <c r="AI2978" s="2" t="s">
        <v>214</v>
      </c>
      <c r="AJ2978" s="2">
        <v>18</v>
      </c>
      <c r="AK2978" s="2" t="s">
        <v>4469</v>
      </c>
      <c r="AL2978" s="2">
        <v>18</v>
      </c>
      <c r="AM2978" s="2" t="s">
        <v>82</v>
      </c>
      <c r="AN2978" s="2"/>
      <c r="AO2978" s="2"/>
      <c r="AP2978" s="2">
        <v>11</v>
      </c>
      <c r="AQ2978" s="2" t="s">
        <v>82</v>
      </c>
      <c r="AR2978" s="2"/>
      <c r="AS2978" s="2"/>
      <c r="AT2978" s="2" t="s">
        <v>9789</v>
      </c>
      <c r="AU2978" s="2"/>
      <c r="AV2978" s="2"/>
      <c r="AW2978" s="2"/>
      <c r="AX2978" s="2"/>
      <c r="AY2978" s="2">
        <v>1</v>
      </c>
      <c r="AZ2978" s="2" t="s">
        <v>107</v>
      </c>
      <c r="BA2978" s="2">
        <v>1</v>
      </c>
      <c r="BB2978" s="2" t="s">
        <v>107</v>
      </c>
      <c r="BC2978" s="2">
        <v>1</v>
      </c>
      <c r="BD2978" s="2" t="s">
        <v>107</v>
      </c>
      <c r="BE2978" s="2">
        <v>1</v>
      </c>
      <c r="BF2978" s="2" t="s">
        <v>107</v>
      </c>
      <c r="BG2978" s="2"/>
      <c r="BH2978" s="2"/>
      <c r="BI2978" s="2"/>
      <c r="BJ2978" s="2">
        <v>242</v>
      </c>
      <c r="BK2978" s="2" t="s">
        <v>107</v>
      </c>
      <c r="BL2978" s="2"/>
      <c r="BM2978" s="2">
        <v>242</v>
      </c>
      <c r="BN2978" s="2" t="s">
        <v>107</v>
      </c>
      <c r="BO2978" s="2"/>
      <c r="BP2978" s="2">
        <v>242</v>
      </c>
      <c r="BQ2978" s="2" t="s">
        <v>107</v>
      </c>
      <c r="BR2978" s="2"/>
      <c r="BS2978" s="3">
        <v>40381</v>
      </c>
      <c r="BT2978" s="4">
        <v>7.2951388888888885E-2</v>
      </c>
    </row>
    <row r="2979" spans="1:72" x14ac:dyDescent="0.25">
      <c r="A2979" s="2">
        <v>4394</v>
      </c>
      <c r="B2979" s="2">
        <v>2010</v>
      </c>
      <c r="C2979" s="2" t="s">
        <v>171</v>
      </c>
      <c r="D2979" s="2" t="s">
        <v>122</v>
      </c>
      <c r="E2979" s="2" t="s">
        <v>9790</v>
      </c>
      <c r="F2979" s="2">
        <v>155</v>
      </c>
      <c r="G2979" s="2" t="s">
        <v>1030</v>
      </c>
      <c r="H2979" s="2">
        <v>10</v>
      </c>
      <c r="I2979" s="2" t="s">
        <v>1031</v>
      </c>
      <c r="J2979" s="2">
        <v>167</v>
      </c>
      <c r="K2979" s="2" t="s">
        <v>1032</v>
      </c>
      <c r="L2979" s="2" t="s">
        <v>1033</v>
      </c>
      <c r="M2979" s="3">
        <v>40381</v>
      </c>
      <c r="N2979" s="2" t="s">
        <v>9672</v>
      </c>
      <c r="O2979" s="2" t="s">
        <v>107</v>
      </c>
      <c r="P2979" s="2" t="s">
        <v>107</v>
      </c>
      <c r="Q2979" s="2" t="str">
        <f>"281-A/10"</f>
        <v>281-A/10</v>
      </c>
      <c r="R2979" s="2" t="s">
        <v>489</v>
      </c>
      <c r="S2979" s="2" t="s">
        <v>107</v>
      </c>
      <c r="T2979" s="2">
        <v>1</v>
      </c>
      <c r="U2979" s="2" t="s">
        <v>79</v>
      </c>
      <c r="V2979" s="2">
        <v>1</v>
      </c>
      <c r="W2979" s="2" t="s">
        <v>80</v>
      </c>
      <c r="X2979" s="2">
        <v>1</v>
      </c>
      <c r="Y2979" s="2" t="s">
        <v>81</v>
      </c>
      <c r="Z2979" s="2">
        <v>1</v>
      </c>
      <c r="AA2979" s="2" t="s">
        <v>82</v>
      </c>
      <c r="AB2979" s="2">
        <v>1</v>
      </c>
      <c r="AC2979" s="2" t="s">
        <v>178</v>
      </c>
      <c r="AD2979" s="3">
        <v>40380</v>
      </c>
      <c r="AE2979" s="4">
        <v>0.73958333333333337</v>
      </c>
      <c r="AF2979" s="2"/>
      <c r="AG2979" s="2"/>
      <c r="AH2979" s="2">
        <v>2</v>
      </c>
      <c r="AI2979" s="2" t="s">
        <v>84</v>
      </c>
      <c r="AJ2979" s="2">
        <v>12</v>
      </c>
      <c r="AK2979" s="2" t="s">
        <v>85</v>
      </c>
      <c r="AL2979" s="2">
        <v>25</v>
      </c>
      <c r="AM2979" s="2" t="s">
        <v>3073</v>
      </c>
      <c r="AN2979" s="2" t="s">
        <v>1869</v>
      </c>
      <c r="AO2979" s="2" t="s">
        <v>9791</v>
      </c>
      <c r="AP2979" s="2">
        <v>11</v>
      </c>
      <c r="AQ2979" s="2" t="s">
        <v>82</v>
      </c>
      <c r="AR2979" s="2"/>
      <c r="AS2979" s="2"/>
      <c r="AT2979" s="2" t="s">
        <v>9792</v>
      </c>
      <c r="AU2979" s="2">
        <v>1</v>
      </c>
      <c r="AV2979" s="2"/>
      <c r="AW2979" s="2"/>
      <c r="AX2979" s="2"/>
      <c r="AY2979" s="2">
        <v>41</v>
      </c>
      <c r="AZ2979" s="2" t="s">
        <v>82</v>
      </c>
      <c r="BA2979" s="2">
        <v>41</v>
      </c>
      <c r="BB2979" s="2" t="s">
        <v>82</v>
      </c>
      <c r="BC2979" s="2">
        <v>41</v>
      </c>
      <c r="BD2979" s="2" t="s">
        <v>82</v>
      </c>
      <c r="BE2979" s="2">
        <v>41</v>
      </c>
      <c r="BF2979" s="2" t="s">
        <v>82</v>
      </c>
      <c r="BG2979" s="2"/>
      <c r="BH2979" s="2"/>
      <c r="BI2979" s="2"/>
      <c r="BJ2979" s="2">
        <v>241</v>
      </c>
      <c r="BK2979" s="2" t="s">
        <v>82</v>
      </c>
      <c r="BL2979" s="2"/>
      <c r="BM2979" s="2">
        <v>241</v>
      </c>
      <c r="BN2979" s="2" t="s">
        <v>82</v>
      </c>
      <c r="BO2979" s="2"/>
      <c r="BP2979" s="2">
        <v>241</v>
      </c>
      <c r="BQ2979" s="2" t="s">
        <v>82</v>
      </c>
      <c r="BR2979" s="2"/>
      <c r="BS2979" s="3">
        <v>40381</v>
      </c>
      <c r="BT2979" s="4">
        <v>0.2170023148148148</v>
      </c>
    </row>
    <row r="2980" spans="1:72" x14ac:dyDescent="0.25">
      <c r="A2980" s="2">
        <v>4395</v>
      </c>
      <c r="B2980" s="2">
        <v>2010</v>
      </c>
      <c r="C2980" s="2" t="s">
        <v>4543</v>
      </c>
      <c r="D2980" s="2" t="s">
        <v>122</v>
      </c>
      <c r="E2980" s="2"/>
      <c r="F2980" s="2">
        <v>1</v>
      </c>
      <c r="G2980" s="2" t="s">
        <v>82</v>
      </c>
      <c r="H2980" s="2">
        <v>1</v>
      </c>
      <c r="I2980" s="2" t="s">
        <v>82</v>
      </c>
      <c r="J2980" s="2">
        <v>1</v>
      </c>
      <c r="K2980" s="2" t="s">
        <v>107</v>
      </c>
      <c r="L2980" s="2" t="s">
        <v>107</v>
      </c>
      <c r="M2980" s="3">
        <v>40381</v>
      </c>
      <c r="N2980" s="2"/>
      <c r="O2980" s="2"/>
      <c r="P2980" s="2"/>
      <c r="Q2980" s="2" t="str">
        <f>""</f>
        <v/>
      </c>
      <c r="R2980" s="2"/>
      <c r="S2980" s="2"/>
      <c r="T2980" s="2">
        <v>2</v>
      </c>
      <c r="U2980" s="2" t="s">
        <v>123</v>
      </c>
      <c r="V2980" s="2">
        <v>1</v>
      </c>
      <c r="W2980" s="2" t="s">
        <v>80</v>
      </c>
      <c r="X2980" s="2">
        <v>11</v>
      </c>
      <c r="Y2980" s="2" t="s">
        <v>1920</v>
      </c>
      <c r="Z2980" s="2">
        <v>1</v>
      </c>
      <c r="AA2980" s="2" t="s">
        <v>82</v>
      </c>
      <c r="AB2980" s="2">
        <v>9</v>
      </c>
      <c r="AC2980" s="2" t="s">
        <v>124</v>
      </c>
      <c r="AD2980" s="3">
        <v>40381</v>
      </c>
      <c r="AE2980" s="4">
        <v>0.13333333333333333</v>
      </c>
      <c r="AF2980" s="2"/>
      <c r="AG2980" s="2"/>
      <c r="AH2980" s="2">
        <v>6</v>
      </c>
      <c r="AI2980" s="2" t="s">
        <v>197</v>
      </c>
      <c r="AJ2980" s="2">
        <v>54</v>
      </c>
      <c r="AK2980" s="2" t="s">
        <v>348</v>
      </c>
      <c r="AL2980" s="2">
        <v>18</v>
      </c>
      <c r="AM2980" s="2" t="s">
        <v>82</v>
      </c>
      <c r="AN2980" s="2" t="s">
        <v>595</v>
      </c>
      <c r="AO2980" s="2" t="s">
        <v>200</v>
      </c>
      <c r="AP2980" s="2">
        <v>14</v>
      </c>
      <c r="AQ2980" s="2" t="s">
        <v>3301</v>
      </c>
      <c r="AR2980" s="2" t="s">
        <v>596</v>
      </c>
      <c r="AS2980" s="2" t="s">
        <v>596</v>
      </c>
      <c r="AT2980" s="2" t="s">
        <v>9793</v>
      </c>
      <c r="AU2980" s="2"/>
      <c r="AV2980" s="2"/>
      <c r="AW2980" s="2"/>
      <c r="AX2980" s="2"/>
      <c r="AY2980" s="2">
        <v>1</v>
      </c>
      <c r="AZ2980" s="2" t="s">
        <v>107</v>
      </c>
      <c r="BA2980" s="2">
        <v>1</v>
      </c>
      <c r="BB2980" s="2" t="s">
        <v>107</v>
      </c>
      <c r="BC2980" s="2">
        <v>1</v>
      </c>
      <c r="BD2980" s="2" t="s">
        <v>107</v>
      </c>
      <c r="BE2980" s="2">
        <v>4</v>
      </c>
      <c r="BF2980" s="2" t="s">
        <v>90</v>
      </c>
      <c r="BG2980" s="2" t="s">
        <v>5619</v>
      </c>
      <c r="BH2980" s="4">
        <v>5.347222222222222E-2</v>
      </c>
      <c r="BI2980" s="4">
        <v>0.13333333333333333</v>
      </c>
      <c r="BJ2980" s="2">
        <v>13</v>
      </c>
      <c r="BK2980" s="2" t="s">
        <v>91</v>
      </c>
      <c r="BL2980" s="2" t="s">
        <v>7629</v>
      </c>
      <c r="BM2980" s="2">
        <v>242</v>
      </c>
      <c r="BN2980" s="2" t="s">
        <v>107</v>
      </c>
      <c r="BO2980" s="2" t="s">
        <v>107</v>
      </c>
      <c r="BP2980" s="2">
        <v>13</v>
      </c>
      <c r="BQ2980" s="2" t="s">
        <v>91</v>
      </c>
      <c r="BR2980" s="2" t="s">
        <v>905</v>
      </c>
      <c r="BS2980" s="3">
        <v>40381</v>
      </c>
      <c r="BT2980" s="4">
        <v>0.35197916666666668</v>
      </c>
    </row>
    <row r="2981" spans="1:72" x14ac:dyDescent="0.25">
      <c r="A2981" s="2">
        <v>4396</v>
      </c>
      <c r="B2981" s="2">
        <v>2010</v>
      </c>
      <c r="C2981" s="2" t="s">
        <v>4543</v>
      </c>
      <c r="D2981" s="2" t="s">
        <v>122</v>
      </c>
      <c r="E2981" s="2"/>
      <c r="F2981" s="2">
        <v>1</v>
      </c>
      <c r="G2981" s="2" t="s">
        <v>82</v>
      </c>
      <c r="H2981" s="2">
        <v>1</v>
      </c>
      <c r="I2981" s="2" t="s">
        <v>82</v>
      </c>
      <c r="J2981" s="2">
        <v>1</v>
      </c>
      <c r="K2981" s="2" t="s">
        <v>107</v>
      </c>
      <c r="L2981" s="2" t="s">
        <v>107</v>
      </c>
      <c r="M2981" s="3">
        <v>40381</v>
      </c>
      <c r="N2981" s="2"/>
      <c r="O2981" s="2"/>
      <c r="P2981" s="2"/>
      <c r="Q2981" s="2" t="str">
        <f>""</f>
        <v/>
      </c>
      <c r="R2981" s="2"/>
      <c r="S2981" s="2"/>
      <c r="T2981" s="2">
        <v>2</v>
      </c>
      <c r="U2981" s="2" t="s">
        <v>123</v>
      </c>
      <c r="V2981" s="2">
        <v>1</v>
      </c>
      <c r="W2981" s="2" t="s">
        <v>80</v>
      </c>
      <c r="X2981" s="2">
        <v>11</v>
      </c>
      <c r="Y2981" s="2" t="s">
        <v>1920</v>
      </c>
      <c r="Z2981" s="2">
        <v>1</v>
      </c>
      <c r="AA2981" s="2" t="s">
        <v>82</v>
      </c>
      <c r="AB2981" s="2">
        <v>9</v>
      </c>
      <c r="AC2981" s="2" t="s">
        <v>124</v>
      </c>
      <c r="AD2981" s="3">
        <v>40381</v>
      </c>
      <c r="AE2981" s="4">
        <v>0.25972222222222224</v>
      </c>
      <c r="AF2981" s="2"/>
      <c r="AG2981" s="2"/>
      <c r="AH2981" s="2">
        <v>6</v>
      </c>
      <c r="AI2981" s="2" t="s">
        <v>197</v>
      </c>
      <c r="AJ2981" s="2">
        <v>54</v>
      </c>
      <c r="AK2981" s="2" t="s">
        <v>348</v>
      </c>
      <c r="AL2981" s="2">
        <v>18</v>
      </c>
      <c r="AM2981" s="2" t="s">
        <v>82</v>
      </c>
      <c r="AN2981" s="2" t="s">
        <v>595</v>
      </c>
      <c r="AO2981" s="2" t="s">
        <v>200</v>
      </c>
      <c r="AP2981" s="2">
        <v>12</v>
      </c>
      <c r="AQ2981" s="2" t="s">
        <v>322</v>
      </c>
      <c r="AR2981" s="2" t="s">
        <v>596</v>
      </c>
      <c r="AS2981" s="2" t="s">
        <v>596</v>
      </c>
      <c r="AT2981" s="2" t="s">
        <v>9794</v>
      </c>
      <c r="AU2981" s="2"/>
      <c r="AV2981" s="2"/>
      <c r="AW2981" s="2"/>
      <c r="AX2981" s="2"/>
      <c r="AY2981" s="2">
        <v>1</v>
      </c>
      <c r="AZ2981" s="2" t="s">
        <v>107</v>
      </c>
      <c r="BA2981" s="2">
        <v>1</v>
      </c>
      <c r="BB2981" s="2" t="s">
        <v>107</v>
      </c>
      <c r="BC2981" s="2">
        <v>1</v>
      </c>
      <c r="BD2981" s="2" t="s">
        <v>107</v>
      </c>
      <c r="BE2981" s="2">
        <v>47</v>
      </c>
      <c r="BF2981" s="2" t="s">
        <v>167</v>
      </c>
      <c r="BG2981" s="2" t="s">
        <v>1165</v>
      </c>
      <c r="BH2981" s="4">
        <v>0.99861111111111101</v>
      </c>
      <c r="BI2981" s="4">
        <v>0.25972222222222224</v>
      </c>
      <c r="BJ2981" s="2">
        <v>242</v>
      </c>
      <c r="BK2981" s="2" t="s">
        <v>107</v>
      </c>
      <c r="BL2981" s="2" t="s">
        <v>7629</v>
      </c>
      <c r="BM2981" s="2">
        <v>242</v>
      </c>
      <c r="BN2981" s="2" t="s">
        <v>107</v>
      </c>
      <c r="BO2981" s="2" t="s">
        <v>107</v>
      </c>
      <c r="BP2981" s="2">
        <v>13</v>
      </c>
      <c r="BQ2981" s="2" t="s">
        <v>91</v>
      </c>
      <c r="BR2981" s="2" t="s">
        <v>905</v>
      </c>
      <c r="BS2981" s="3">
        <v>40381</v>
      </c>
      <c r="BT2981" s="4">
        <v>0.35908564814814814</v>
      </c>
    </row>
    <row r="2982" spans="1:72" x14ac:dyDescent="0.25">
      <c r="A2982" s="2">
        <v>4397</v>
      </c>
      <c r="B2982" s="2">
        <v>2010</v>
      </c>
      <c r="C2982" s="2" t="s">
        <v>4543</v>
      </c>
      <c r="D2982" s="2" t="s">
        <v>122</v>
      </c>
      <c r="E2982" s="2"/>
      <c r="F2982" s="2">
        <v>1</v>
      </c>
      <c r="G2982" s="2" t="s">
        <v>82</v>
      </c>
      <c r="H2982" s="2">
        <v>1</v>
      </c>
      <c r="I2982" s="2" t="s">
        <v>82</v>
      </c>
      <c r="J2982" s="2">
        <v>1</v>
      </c>
      <c r="K2982" s="2" t="s">
        <v>107</v>
      </c>
      <c r="L2982" s="2" t="s">
        <v>107</v>
      </c>
      <c r="M2982" s="3">
        <v>40381</v>
      </c>
      <c r="N2982" s="2"/>
      <c r="O2982" s="2"/>
      <c r="P2982" s="2"/>
      <c r="Q2982" s="2" t="str">
        <f>""</f>
        <v/>
      </c>
      <c r="R2982" s="2"/>
      <c r="S2982" s="2"/>
      <c r="T2982" s="2">
        <v>2</v>
      </c>
      <c r="U2982" s="2" t="s">
        <v>123</v>
      </c>
      <c r="V2982" s="2">
        <v>1</v>
      </c>
      <c r="W2982" s="2" t="s">
        <v>80</v>
      </c>
      <c r="X2982" s="2">
        <v>11</v>
      </c>
      <c r="Y2982" s="2" t="s">
        <v>1920</v>
      </c>
      <c r="Z2982" s="2">
        <v>1</v>
      </c>
      <c r="AA2982" s="2" t="s">
        <v>82</v>
      </c>
      <c r="AB2982" s="2">
        <v>9</v>
      </c>
      <c r="AC2982" s="2" t="s">
        <v>124</v>
      </c>
      <c r="AD2982" s="3">
        <v>40381</v>
      </c>
      <c r="AE2982" s="4">
        <v>0.44027777777777777</v>
      </c>
      <c r="AF2982" s="2"/>
      <c r="AG2982" s="2"/>
      <c r="AH2982" s="2">
        <v>6</v>
      </c>
      <c r="AI2982" s="2" t="s">
        <v>197</v>
      </c>
      <c r="AJ2982" s="2">
        <v>54</v>
      </c>
      <c r="AK2982" s="2" t="s">
        <v>348</v>
      </c>
      <c r="AL2982" s="2">
        <v>18</v>
      </c>
      <c r="AM2982" s="2" t="s">
        <v>82</v>
      </c>
      <c r="AN2982" s="2" t="s">
        <v>595</v>
      </c>
      <c r="AO2982" s="2" t="s">
        <v>200</v>
      </c>
      <c r="AP2982" s="2">
        <v>12</v>
      </c>
      <c r="AQ2982" s="2" t="s">
        <v>322</v>
      </c>
      <c r="AR2982" s="2" t="s">
        <v>596</v>
      </c>
      <c r="AS2982" s="2" t="s">
        <v>596</v>
      </c>
      <c r="AT2982" s="2" t="s">
        <v>9795</v>
      </c>
      <c r="AU2982" s="2"/>
      <c r="AV2982" s="2"/>
      <c r="AW2982" s="2"/>
      <c r="AX2982" s="2"/>
      <c r="AY2982" s="2">
        <v>1</v>
      </c>
      <c r="AZ2982" s="2" t="s">
        <v>107</v>
      </c>
      <c r="BA2982" s="2">
        <v>1</v>
      </c>
      <c r="BB2982" s="2" t="s">
        <v>107</v>
      </c>
      <c r="BC2982" s="2">
        <v>1</v>
      </c>
      <c r="BD2982" s="2" t="s">
        <v>107</v>
      </c>
      <c r="BE2982" s="2">
        <v>47</v>
      </c>
      <c r="BF2982" s="2" t="s">
        <v>167</v>
      </c>
      <c r="BG2982" s="2" t="s">
        <v>4192</v>
      </c>
      <c r="BH2982" s="4">
        <v>0.4375</v>
      </c>
      <c r="BI2982" s="4">
        <v>0.48194444444444445</v>
      </c>
      <c r="BJ2982" s="2">
        <v>13</v>
      </c>
      <c r="BK2982" s="2" t="s">
        <v>91</v>
      </c>
      <c r="BL2982" s="2" t="s">
        <v>7629</v>
      </c>
      <c r="BM2982" s="2">
        <v>242</v>
      </c>
      <c r="BN2982" s="2" t="s">
        <v>107</v>
      </c>
      <c r="BO2982" s="2" t="s">
        <v>107</v>
      </c>
      <c r="BP2982" s="2">
        <v>13</v>
      </c>
      <c r="BQ2982" s="2" t="s">
        <v>91</v>
      </c>
      <c r="BR2982" s="2" t="s">
        <v>905</v>
      </c>
      <c r="BS2982" s="3">
        <v>40381</v>
      </c>
      <c r="BT2982" s="4">
        <v>0.49103009259259256</v>
      </c>
    </row>
    <row r="2983" spans="1:72" x14ac:dyDescent="0.25">
      <c r="A2983" s="2">
        <v>4398</v>
      </c>
      <c r="B2983" s="2">
        <v>2010</v>
      </c>
      <c r="C2983" s="2" t="s">
        <v>819</v>
      </c>
      <c r="D2983" s="2" t="s">
        <v>122</v>
      </c>
      <c r="E2983" s="2" t="s">
        <v>9796</v>
      </c>
      <c r="F2983" s="2">
        <v>451</v>
      </c>
      <c r="G2983" s="2" t="s">
        <v>879</v>
      </c>
      <c r="H2983" s="2">
        <v>31</v>
      </c>
      <c r="I2983" s="2" t="s">
        <v>880</v>
      </c>
      <c r="J2983" s="2">
        <v>326</v>
      </c>
      <c r="K2983" s="2" t="s">
        <v>881</v>
      </c>
      <c r="L2983" s="2" t="s">
        <v>882</v>
      </c>
      <c r="M2983" s="3">
        <v>40381</v>
      </c>
      <c r="N2983" s="2" t="s">
        <v>1072</v>
      </c>
      <c r="O2983" s="2"/>
      <c r="P2983" s="2"/>
      <c r="Q2983" s="2" t="str">
        <f>"084/10"</f>
        <v>084/10</v>
      </c>
      <c r="R2983" s="2" t="s">
        <v>822</v>
      </c>
      <c r="S2983" s="2"/>
      <c r="T2983" s="2">
        <v>1</v>
      </c>
      <c r="U2983" s="2" t="s">
        <v>79</v>
      </c>
      <c r="V2983" s="2">
        <v>1</v>
      </c>
      <c r="W2983" s="2" t="s">
        <v>80</v>
      </c>
      <c r="X2983" s="2">
        <v>1</v>
      </c>
      <c r="Y2983" s="2" t="s">
        <v>81</v>
      </c>
      <c r="Z2983" s="2">
        <v>10</v>
      </c>
      <c r="AA2983" s="2" t="s">
        <v>236</v>
      </c>
      <c r="AB2983" s="2">
        <v>9</v>
      </c>
      <c r="AC2983" s="2" t="s">
        <v>124</v>
      </c>
      <c r="AD2983" s="3">
        <v>40381</v>
      </c>
      <c r="AE2983" s="4">
        <v>0.45833333333333331</v>
      </c>
      <c r="AF2983" s="2"/>
      <c r="AG2983" s="2"/>
      <c r="AH2983" s="2">
        <v>4</v>
      </c>
      <c r="AI2983" s="2" t="s">
        <v>125</v>
      </c>
      <c r="AJ2983" s="2">
        <v>29</v>
      </c>
      <c r="AK2983" s="2" t="s">
        <v>227</v>
      </c>
      <c r="AL2983" s="2">
        <v>16</v>
      </c>
      <c r="AM2983" s="2" t="s">
        <v>392</v>
      </c>
      <c r="AN2983" s="2" t="s">
        <v>3040</v>
      </c>
      <c r="AO2983" s="2" t="s">
        <v>3176</v>
      </c>
      <c r="AP2983" s="2">
        <v>12</v>
      </c>
      <c r="AQ2983" s="2" t="s">
        <v>322</v>
      </c>
      <c r="AR2983" s="2" t="s">
        <v>824</v>
      </c>
      <c r="AS2983" s="2" t="s">
        <v>825</v>
      </c>
      <c r="AT2983" s="2" t="s">
        <v>9797</v>
      </c>
      <c r="AU2983" s="2"/>
      <c r="AV2983" s="2"/>
      <c r="AW2983" s="2"/>
      <c r="AX2983" s="2"/>
      <c r="AY2983" s="2">
        <v>41</v>
      </c>
      <c r="AZ2983" s="2" t="s">
        <v>82</v>
      </c>
      <c r="BA2983" s="2">
        <v>41</v>
      </c>
      <c r="BB2983" s="2" t="s">
        <v>82</v>
      </c>
      <c r="BC2983" s="2">
        <v>51</v>
      </c>
      <c r="BD2983" s="2" t="s">
        <v>827</v>
      </c>
      <c r="BE2983" s="2">
        <v>13</v>
      </c>
      <c r="BF2983" s="2" t="s">
        <v>108</v>
      </c>
      <c r="BG2983" s="2">
        <v>1459</v>
      </c>
      <c r="BH2983" s="4">
        <v>0.89583333333333337</v>
      </c>
      <c r="BI2983" s="4">
        <v>0.92708333333333337</v>
      </c>
      <c r="BJ2983" s="2">
        <v>13</v>
      </c>
      <c r="BK2983" s="2" t="s">
        <v>91</v>
      </c>
      <c r="BL2983" s="2" t="s">
        <v>828</v>
      </c>
      <c r="BM2983" s="2">
        <v>241</v>
      </c>
      <c r="BN2983" s="2" t="s">
        <v>82</v>
      </c>
      <c r="BO2983" s="2"/>
      <c r="BP2983" s="2">
        <v>13</v>
      </c>
      <c r="BQ2983" s="2" t="s">
        <v>91</v>
      </c>
      <c r="BR2983" s="2" t="s">
        <v>185</v>
      </c>
      <c r="BS2983" s="3">
        <v>40381</v>
      </c>
      <c r="BT2983" s="4">
        <v>0.49381944444444442</v>
      </c>
    </row>
    <row r="2984" spans="1:72" x14ac:dyDescent="0.25">
      <c r="A2984" s="2">
        <v>4400</v>
      </c>
      <c r="B2984" s="2">
        <v>2010</v>
      </c>
      <c r="C2984" s="2" t="s">
        <v>4543</v>
      </c>
      <c r="D2984" s="2" t="s">
        <v>122</v>
      </c>
      <c r="E2984" s="2" t="s">
        <v>9798</v>
      </c>
      <c r="F2984" s="2">
        <v>507</v>
      </c>
      <c r="G2984" s="2" t="s">
        <v>2475</v>
      </c>
      <c r="H2984" s="2">
        <v>44</v>
      </c>
      <c r="I2984" s="2" t="s">
        <v>1272</v>
      </c>
      <c r="J2984" s="2">
        <v>537</v>
      </c>
      <c r="K2984" s="2" t="s">
        <v>6183</v>
      </c>
      <c r="L2984" s="2" t="s">
        <v>6184</v>
      </c>
      <c r="M2984" s="3">
        <v>40381</v>
      </c>
      <c r="N2984" s="2" t="s">
        <v>9787</v>
      </c>
      <c r="O2984" s="2" t="s">
        <v>9788</v>
      </c>
      <c r="P2984" s="2">
        <v>16419</v>
      </c>
      <c r="Q2984" s="2" t="str">
        <f>""</f>
        <v/>
      </c>
      <c r="R2984" s="2"/>
      <c r="S2984" s="2"/>
      <c r="T2984" s="2">
        <v>2</v>
      </c>
      <c r="U2984" s="2" t="s">
        <v>123</v>
      </c>
      <c r="V2984" s="2">
        <v>1</v>
      </c>
      <c r="W2984" s="2" t="s">
        <v>80</v>
      </c>
      <c r="X2984" s="2">
        <v>5</v>
      </c>
      <c r="Y2984" s="2" t="s">
        <v>82</v>
      </c>
      <c r="Z2984" s="2">
        <v>1</v>
      </c>
      <c r="AA2984" s="2" t="s">
        <v>82</v>
      </c>
      <c r="AB2984" s="2">
        <v>9</v>
      </c>
      <c r="AC2984" s="2" t="s">
        <v>124</v>
      </c>
      <c r="AD2984" s="3">
        <v>40381</v>
      </c>
      <c r="AE2984" s="4">
        <v>0.4375</v>
      </c>
      <c r="AF2984" s="2"/>
      <c r="AG2984" s="2"/>
      <c r="AH2984" s="2">
        <v>3</v>
      </c>
      <c r="AI2984" s="2" t="s">
        <v>214</v>
      </c>
      <c r="AJ2984" s="2">
        <v>18</v>
      </c>
      <c r="AK2984" s="2" t="s">
        <v>4469</v>
      </c>
      <c r="AL2984" s="2">
        <v>19</v>
      </c>
      <c r="AM2984" s="2" t="s">
        <v>107</v>
      </c>
      <c r="AN2984" s="2"/>
      <c r="AO2984" s="2"/>
      <c r="AP2984" s="2">
        <v>11</v>
      </c>
      <c r="AQ2984" s="2" t="s">
        <v>82</v>
      </c>
      <c r="AR2984" s="2"/>
      <c r="AS2984" s="2"/>
      <c r="AT2984" s="2" t="s">
        <v>9799</v>
      </c>
      <c r="AU2984" s="2"/>
      <c r="AV2984" s="2"/>
      <c r="AW2984" s="2"/>
      <c r="AX2984" s="2"/>
      <c r="AY2984" s="2">
        <v>1</v>
      </c>
      <c r="AZ2984" s="2" t="s">
        <v>107</v>
      </c>
      <c r="BA2984" s="2">
        <v>1</v>
      </c>
      <c r="BB2984" s="2" t="s">
        <v>107</v>
      </c>
      <c r="BC2984" s="2">
        <v>1</v>
      </c>
      <c r="BD2984" s="2" t="s">
        <v>107</v>
      </c>
      <c r="BE2984" s="2">
        <v>1</v>
      </c>
      <c r="BF2984" s="2" t="s">
        <v>107</v>
      </c>
      <c r="BG2984" s="2"/>
      <c r="BH2984" s="2"/>
      <c r="BI2984" s="2"/>
      <c r="BJ2984" s="2">
        <v>242</v>
      </c>
      <c r="BK2984" s="2" t="s">
        <v>107</v>
      </c>
      <c r="BL2984" s="2"/>
      <c r="BM2984" s="2">
        <v>242</v>
      </c>
      <c r="BN2984" s="2" t="s">
        <v>107</v>
      </c>
      <c r="BO2984" s="2"/>
      <c r="BP2984" s="2">
        <v>242</v>
      </c>
      <c r="BQ2984" s="2" t="s">
        <v>107</v>
      </c>
      <c r="BR2984" s="2"/>
      <c r="BS2984" s="3">
        <v>40381</v>
      </c>
      <c r="BT2984" s="4">
        <v>0.61127314814814815</v>
      </c>
    </row>
    <row r="2985" spans="1:72" x14ac:dyDescent="0.25">
      <c r="A2985" s="2">
        <v>4402</v>
      </c>
      <c r="B2985" s="2">
        <v>2010</v>
      </c>
      <c r="C2985" s="2" t="s">
        <v>171</v>
      </c>
      <c r="D2985" s="2" t="s">
        <v>73</v>
      </c>
      <c r="E2985" s="2" t="s">
        <v>9800</v>
      </c>
      <c r="F2985" s="2">
        <v>425</v>
      </c>
      <c r="G2985" s="2" t="s">
        <v>286</v>
      </c>
      <c r="H2985" s="2">
        <v>30</v>
      </c>
      <c r="I2985" s="2" t="s">
        <v>912</v>
      </c>
      <c r="J2985" s="2">
        <v>310</v>
      </c>
      <c r="K2985" s="2" t="s">
        <v>288</v>
      </c>
      <c r="L2985" s="2" t="s">
        <v>289</v>
      </c>
      <c r="M2985" s="3">
        <v>40381</v>
      </c>
      <c r="N2985" s="2" t="s">
        <v>2049</v>
      </c>
      <c r="O2985" s="2" t="s">
        <v>9801</v>
      </c>
      <c r="P2985" s="2" t="s">
        <v>9802</v>
      </c>
      <c r="Q2985" s="2" t="str">
        <f>"072/10"</f>
        <v>072/10</v>
      </c>
      <c r="R2985" s="2"/>
      <c r="S2985" s="2" t="s">
        <v>822</v>
      </c>
      <c r="T2985" s="2">
        <v>1</v>
      </c>
      <c r="U2985" s="2" t="s">
        <v>79</v>
      </c>
      <c r="V2985" s="2">
        <v>1</v>
      </c>
      <c r="W2985" s="2" t="s">
        <v>80</v>
      </c>
      <c r="X2985" s="2">
        <v>1</v>
      </c>
      <c r="Y2985" s="2" t="s">
        <v>81</v>
      </c>
      <c r="Z2985" s="2">
        <v>1</v>
      </c>
      <c r="AA2985" s="2" t="s">
        <v>82</v>
      </c>
      <c r="AB2985" s="2">
        <v>1</v>
      </c>
      <c r="AC2985" s="2" t="s">
        <v>178</v>
      </c>
      <c r="AD2985" s="3">
        <v>40381</v>
      </c>
      <c r="AE2985" s="4">
        <v>0.625</v>
      </c>
      <c r="AF2985" s="2"/>
      <c r="AG2985" s="2"/>
      <c r="AH2985" s="2">
        <v>4</v>
      </c>
      <c r="AI2985" s="2" t="s">
        <v>125</v>
      </c>
      <c r="AJ2985" s="2">
        <v>29</v>
      </c>
      <c r="AK2985" s="2" t="s">
        <v>227</v>
      </c>
      <c r="AL2985" s="2">
        <v>16</v>
      </c>
      <c r="AM2985" s="2" t="s">
        <v>392</v>
      </c>
      <c r="AN2985" s="2" t="s">
        <v>6877</v>
      </c>
      <c r="AO2985" s="2"/>
      <c r="AP2985" s="2">
        <v>12</v>
      </c>
      <c r="AQ2985" s="2" t="s">
        <v>322</v>
      </c>
      <c r="AR2985" s="2" t="s">
        <v>824</v>
      </c>
      <c r="AS2985" s="2" t="s">
        <v>825</v>
      </c>
      <c r="AT2985" s="2" t="s">
        <v>9803</v>
      </c>
      <c r="AU2985" s="2"/>
      <c r="AV2985" s="2"/>
      <c r="AW2985" s="2"/>
      <c r="AX2985" s="2"/>
      <c r="AY2985" s="2">
        <v>41</v>
      </c>
      <c r="AZ2985" s="2" t="s">
        <v>82</v>
      </c>
      <c r="BA2985" s="2">
        <v>41</v>
      </c>
      <c r="BB2985" s="2" t="s">
        <v>82</v>
      </c>
      <c r="BC2985" s="2">
        <v>51</v>
      </c>
      <c r="BD2985" s="2" t="s">
        <v>827</v>
      </c>
      <c r="BE2985" s="2">
        <v>13</v>
      </c>
      <c r="BF2985" s="2" t="s">
        <v>108</v>
      </c>
      <c r="BG2985" s="2">
        <v>1459</v>
      </c>
      <c r="BH2985" s="4">
        <v>0.92013888888888884</v>
      </c>
      <c r="BI2985" s="4">
        <v>0.95833333333333337</v>
      </c>
      <c r="BJ2985" s="2">
        <v>13</v>
      </c>
      <c r="BK2985" s="2" t="s">
        <v>91</v>
      </c>
      <c r="BL2985" s="2" t="s">
        <v>828</v>
      </c>
      <c r="BM2985" s="2">
        <v>241</v>
      </c>
      <c r="BN2985" s="2" t="s">
        <v>82</v>
      </c>
      <c r="BO2985" s="2"/>
      <c r="BP2985" s="2">
        <v>13</v>
      </c>
      <c r="BQ2985" s="2" t="s">
        <v>91</v>
      </c>
      <c r="BR2985" s="2" t="s">
        <v>185</v>
      </c>
      <c r="BS2985" s="3">
        <v>40381</v>
      </c>
      <c r="BT2985" s="4">
        <v>0.64778935185185182</v>
      </c>
    </row>
    <row r="2986" spans="1:72" x14ac:dyDescent="0.25">
      <c r="A2986" s="2">
        <v>4404</v>
      </c>
      <c r="B2986" s="2">
        <v>2010</v>
      </c>
      <c r="C2986" s="2" t="s">
        <v>147</v>
      </c>
      <c r="D2986" s="2" t="s">
        <v>73</v>
      </c>
      <c r="E2986" s="2"/>
      <c r="F2986" s="2">
        <v>1</v>
      </c>
      <c r="G2986" s="2" t="s">
        <v>82</v>
      </c>
      <c r="H2986" s="2">
        <v>1</v>
      </c>
      <c r="I2986" s="2" t="s">
        <v>82</v>
      </c>
      <c r="J2986" s="2">
        <v>1</v>
      </c>
      <c r="K2986" s="2" t="s">
        <v>107</v>
      </c>
      <c r="L2986" s="2" t="s">
        <v>107</v>
      </c>
      <c r="M2986" s="3">
        <v>40381</v>
      </c>
      <c r="N2986" s="2"/>
      <c r="O2986" s="2"/>
      <c r="P2986" s="2"/>
      <c r="Q2986" s="2" t="str">
        <f>""</f>
        <v/>
      </c>
      <c r="R2986" s="2"/>
      <c r="S2986" s="2"/>
      <c r="T2986" s="2">
        <v>2</v>
      </c>
      <c r="U2986" s="2" t="s">
        <v>123</v>
      </c>
      <c r="V2986" s="2">
        <v>1</v>
      </c>
      <c r="W2986" s="2" t="s">
        <v>80</v>
      </c>
      <c r="X2986" s="2">
        <v>12</v>
      </c>
      <c r="Y2986" s="2" t="s">
        <v>148</v>
      </c>
      <c r="Z2986" s="2">
        <v>1</v>
      </c>
      <c r="AA2986" s="2" t="s">
        <v>82</v>
      </c>
      <c r="AB2986" s="2">
        <v>9</v>
      </c>
      <c r="AC2986" s="2" t="s">
        <v>124</v>
      </c>
      <c r="AD2986" s="2"/>
      <c r="AE2986" s="2"/>
      <c r="AF2986" s="3">
        <v>40381</v>
      </c>
      <c r="AG2986" s="4">
        <v>0.65069444444444446</v>
      </c>
      <c r="AH2986" s="2">
        <v>3</v>
      </c>
      <c r="AI2986" s="2" t="s">
        <v>214</v>
      </c>
      <c r="AJ2986" s="2">
        <v>24</v>
      </c>
      <c r="AK2986" s="2" t="s">
        <v>215</v>
      </c>
      <c r="AL2986" s="2">
        <v>19</v>
      </c>
      <c r="AM2986" s="2" t="s">
        <v>107</v>
      </c>
      <c r="AN2986" s="2" t="s">
        <v>107</v>
      </c>
      <c r="AO2986" s="2" t="s">
        <v>107</v>
      </c>
      <c r="AP2986" s="2">
        <v>11</v>
      </c>
      <c r="AQ2986" s="2" t="s">
        <v>82</v>
      </c>
      <c r="AR2986" s="2"/>
      <c r="AS2986" s="2"/>
      <c r="AT2986" s="2" t="s">
        <v>9804</v>
      </c>
      <c r="AU2986" s="2"/>
      <c r="AV2986" s="2"/>
      <c r="AW2986" s="2"/>
      <c r="AX2986" s="2"/>
      <c r="AY2986" s="2">
        <v>70</v>
      </c>
      <c r="AZ2986" s="2" t="s">
        <v>236</v>
      </c>
      <c r="BA2986" s="2">
        <v>41</v>
      </c>
      <c r="BB2986" s="2" t="s">
        <v>82</v>
      </c>
      <c r="BC2986" s="2">
        <v>41</v>
      </c>
      <c r="BD2986" s="2" t="s">
        <v>82</v>
      </c>
      <c r="BE2986" s="2">
        <v>41</v>
      </c>
      <c r="BF2986" s="2" t="s">
        <v>82</v>
      </c>
      <c r="BG2986" s="2"/>
      <c r="BH2986" s="2"/>
      <c r="BI2986" s="2"/>
      <c r="BJ2986" s="2">
        <v>241</v>
      </c>
      <c r="BK2986" s="2" t="s">
        <v>82</v>
      </c>
      <c r="BL2986" s="2"/>
      <c r="BM2986" s="2">
        <v>241</v>
      </c>
      <c r="BN2986" s="2" t="s">
        <v>82</v>
      </c>
      <c r="BO2986" s="2"/>
      <c r="BP2986" s="2">
        <v>241</v>
      </c>
      <c r="BQ2986" s="2" t="s">
        <v>82</v>
      </c>
      <c r="BR2986" s="2"/>
      <c r="BS2986" s="3">
        <v>40381</v>
      </c>
      <c r="BT2986" s="4">
        <v>0.67723379629629632</v>
      </c>
    </row>
    <row r="2987" spans="1:72" x14ac:dyDescent="0.25">
      <c r="A2987" s="2">
        <v>4405</v>
      </c>
      <c r="B2987" s="2">
        <v>2010</v>
      </c>
      <c r="C2987" s="2" t="s">
        <v>72</v>
      </c>
      <c r="D2987" s="2" t="s">
        <v>73</v>
      </c>
      <c r="E2987" s="2"/>
      <c r="F2987" s="2">
        <v>442</v>
      </c>
      <c r="G2987" s="2" t="s">
        <v>770</v>
      </c>
      <c r="H2987" s="2">
        <v>22</v>
      </c>
      <c r="I2987" s="2" t="s">
        <v>75</v>
      </c>
      <c r="J2987" s="2">
        <v>160</v>
      </c>
      <c r="K2987" s="2" t="s">
        <v>538</v>
      </c>
      <c r="L2987" s="2" t="s">
        <v>539</v>
      </c>
      <c r="M2987" s="3">
        <v>40381</v>
      </c>
      <c r="N2987" s="2" t="s">
        <v>540</v>
      </c>
      <c r="O2987" s="2"/>
      <c r="P2987" s="2" t="s">
        <v>82</v>
      </c>
      <c r="Q2987" s="2" t="str">
        <f>"AP_0010_10"</f>
        <v>AP_0010_10</v>
      </c>
      <c r="R2987" s="2" t="s">
        <v>82</v>
      </c>
      <c r="S2987" s="2" t="s">
        <v>9805</v>
      </c>
      <c r="T2987" s="2">
        <v>1</v>
      </c>
      <c r="U2987" s="2" t="s">
        <v>79</v>
      </c>
      <c r="V2987" s="2">
        <v>1</v>
      </c>
      <c r="W2987" s="2" t="s">
        <v>80</v>
      </c>
      <c r="X2987" s="2">
        <v>12</v>
      </c>
      <c r="Y2987" s="2" t="s">
        <v>148</v>
      </c>
      <c r="Z2987" s="2">
        <v>1</v>
      </c>
      <c r="AA2987" s="2" t="s">
        <v>82</v>
      </c>
      <c r="AB2987" s="2">
        <v>6</v>
      </c>
      <c r="AC2987" s="2" t="s">
        <v>83</v>
      </c>
      <c r="AD2987" s="3">
        <v>40375</v>
      </c>
      <c r="AE2987" s="2"/>
      <c r="AF2987" s="3">
        <v>40381</v>
      </c>
      <c r="AG2987" s="4">
        <v>0.68055555555555547</v>
      </c>
      <c r="AH2987" s="2">
        <v>6</v>
      </c>
      <c r="AI2987" s="2" t="s">
        <v>197</v>
      </c>
      <c r="AJ2987" s="2">
        <v>60</v>
      </c>
      <c r="AK2987" s="2" t="s">
        <v>543</v>
      </c>
      <c r="AL2987" s="2">
        <v>14</v>
      </c>
      <c r="AM2987" s="2" t="s">
        <v>216</v>
      </c>
      <c r="AN2987" s="2" t="s">
        <v>9806</v>
      </c>
      <c r="AO2987" s="2" t="s">
        <v>9807</v>
      </c>
      <c r="AP2987" s="2">
        <v>11</v>
      </c>
      <c r="AQ2987" s="2" t="s">
        <v>82</v>
      </c>
      <c r="AR2987" s="2" t="s">
        <v>82</v>
      </c>
      <c r="AS2987" s="2" t="s">
        <v>82</v>
      </c>
      <c r="AT2987" s="2" t="s">
        <v>9808</v>
      </c>
      <c r="AU2987" s="2"/>
      <c r="AV2987" s="2"/>
      <c r="AW2987" s="2"/>
      <c r="AX2987" s="2"/>
      <c r="AY2987" s="2">
        <v>41</v>
      </c>
      <c r="AZ2987" s="2" t="s">
        <v>82</v>
      </c>
      <c r="BA2987" s="2">
        <v>41</v>
      </c>
      <c r="BB2987" s="2" t="s">
        <v>82</v>
      </c>
      <c r="BC2987" s="2">
        <v>41</v>
      </c>
      <c r="BD2987" s="2" t="s">
        <v>82</v>
      </c>
      <c r="BE2987" s="2">
        <v>41</v>
      </c>
      <c r="BF2987" s="2" t="s">
        <v>82</v>
      </c>
      <c r="BG2987" s="2"/>
      <c r="BH2987" s="2"/>
      <c r="BI2987" s="2"/>
      <c r="BJ2987" s="2">
        <v>241</v>
      </c>
      <c r="BK2987" s="2" t="s">
        <v>82</v>
      </c>
      <c r="BL2987" s="2" t="s">
        <v>895</v>
      </c>
      <c r="BM2987" s="2">
        <v>241</v>
      </c>
      <c r="BN2987" s="2" t="s">
        <v>82</v>
      </c>
      <c r="BO2987" s="2" t="s">
        <v>82</v>
      </c>
      <c r="BP2987" s="2">
        <v>241</v>
      </c>
      <c r="BQ2987" s="2" t="s">
        <v>82</v>
      </c>
      <c r="BR2987" s="2" t="s">
        <v>170</v>
      </c>
      <c r="BS2987" s="3">
        <v>40381</v>
      </c>
      <c r="BT2987" s="4">
        <v>0.76877314814814823</v>
      </c>
    </row>
    <row r="2988" spans="1:72" x14ac:dyDescent="0.25">
      <c r="A2988" s="2">
        <v>4411</v>
      </c>
      <c r="B2988" s="2">
        <v>2010</v>
      </c>
      <c r="C2988" s="2" t="s">
        <v>819</v>
      </c>
      <c r="D2988" s="2" t="s">
        <v>73</v>
      </c>
      <c r="E2988" s="2"/>
      <c r="F2988" s="2">
        <v>310</v>
      </c>
      <c r="G2988" s="2" t="s">
        <v>3186</v>
      </c>
      <c r="H2988" s="2">
        <v>3</v>
      </c>
      <c r="I2988" s="2" t="s">
        <v>315</v>
      </c>
      <c r="J2988" s="2">
        <v>371</v>
      </c>
      <c r="K2988" s="2" t="s">
        <v>1138</v>
      </c>
      <c r="L2988" s="2" t="s">
        <v>1139</v>
      </c>
      <c r="M2988" s="3">
        <v>40381</v>
      </c>
      <c r="N2988" s="2" t="s">
        <v>9809</v>
      </c>
      <c r="O2988" s="2"/>
      <c r="P2988" s="2"/>
      <c r="Q2988" s="2" t="str">
        <f>"0094/2010"</f>
        <v>0094/2010</v>
      </c>
      <c r="R2988" s="2"/>
      <c r="S2988" s="2" t="s">
        <v>9810</v>
      </c>
      <c r="T2988" s="2">
        <v>1</v>
      </c>
      <c r="U2988" s="2" t="s">
        <v>79</v>
      </c>
      <c r="V2988" s="2">
        <v>1</v>
      </c>
      <c r="W2988" s="2" t="s">
        <v>80</v>
      </c>
      <c r="X2988" s="2">
        <v>1</v>
      </c>
      <c r="Y2988" s="2" t="s">
        <v>81</v>
      </c>
      <c r="Z2988" s="2">
        <v>1</v>
      </c>
      <c r="AA2988" s="2" t="s">
        <v>82</v>
      </c>
      <c r="AB2988" s="2">
        <v>9</v>
      </c>
      <c r="AC2988" s="2" t="s">
        <v>124</v>
      </c>
      <c r="AD2988" s="3">
        <v>40381</v>
      </c>
      <c r="AE2988" s="4">
        <v>0.75694444444444453</v>
      </c>
      <c r="AF2988" s="2"/>
      <c r="AG2988" s="2"/>
      <c r="AH2988" s="2">
        <v>5</v>
      </c>
      <c r="AI2988" s="2" t="s">
        <v>274</v>
      </c>
      <c r="AJ2988" s="2">
        <v>38</v>
      </c>
      <c r="AK2988" s="2" t="s">
        <v>1120</v>
      </c>
      <c r="AL2988" s="2">
        <v>10</v>
      </c>
      <c r="AM2988" s="2" t="s">
        <v>200</v>
      </c>
      <c r="AN2988" s="2"/>
      <c r="AO2988" s="2" t="s">
        <v>9811</v>
      </c>
      <c r="AP2988" s="2">
        <v>11</v>
      </c>
      <c r="AQ2988" s="2" t="s">
        <v>82</v>
      </c>
      <c r="AR2988" s="2"/>
      <c r="AS2988" s="2"/>
      <c r="AT2988" s="2" t="s">
        <v>9812</v>
      </c>
      <c r="AU2988" s="2"/>
      <c r="AV2988" s="2"/>
      <c r="AW2988" s="2"/>
      <c r="AX2988" s="2"/>
      <c r="AY2988" s="2">
        <v>41</v>
      </c>
      <c r="AZ2988" s="2" t="s">
        <v>82</v>
      </c>
      <c r="BA2988" s="2">
        <v>41</v>
      </c>
      <c r="BB2988" s="2" t="s">
        <v>82</v>
      </c>
      <c r="BC2988" s="2">
        <v>41</v>
      </c>
      <c r="BD2988" s="2" t="s">
        <v>82</v>
      </c>
      <c r="BE2988" s="2">
        <v>13</v>
      </c>
      <c r="BF2988" s="2" t="s">
        <v>108</v>
      </c>
      <c r="BG2988" s="2">
        <v>1919</v>
      </c>
      <c r="BH2988" s="4">
        <v>0.81944444444444453</v>
      </c>
      <c r="BI2988" s="4">
        <v>0.84722222222222221</v>
      </c>
      <c r="BJ2988" s="2">
        <v>13</v>
      </c>
      <c r="BK2988" s="2" t="s">
        <v>91</v>
      </c>
      <c r="BL2988" s="2" t="s">
        <v>8307</v>
      </c>
      <c r="BM2988" s="2">
        <v>241</v>
      </c>
      <c r="BN2988" s="2" t="s">
        <v>82</v>
      </c>
      <c r="BO2988" s="2" t="s">
        <v>82</v>
      </c>
      <c r="BP2988" s="2">
        <v>13</v>
      </c>
      <c r="BQ2988" s="2" t="s">
        <v>91</v>
      </c>
      <c r="BR2988" s="2" t="s">
        <v>170</v>
      </c>
      <c r="BS2988" s="3">
        <v>40381</v>
      </c>
      <c r="BT2988" s="4">
        <v>0.8639930555555555</v>
      </c>
    </row>
    <row r="2989" spans="1:72" x14ac:dyDescent="0.25">
      <c r="A2989" s="2">
        <v>4412</v>
      </c>
      <c r="B2989" s="2">
        <v>2010</v>
      </c>
      <c r="C2989" s="2" t="s">
        <v>171</v>
      </c>
      <c r="D2989" s="2" t="s">
        <v>73</v>
      </c>
      <c r="E2989" s="2"/>
      <c r="F2989" s="2">
        <v>399</v>
      </c>
      <c r="G2989" s="2" t="s">
        <v>587</v>
      </c>
      <c r="H2989" s="2">
        <v>14</v>
      </c>
      <c r="I2989" s="2" t="s">
        <v>1458</v>
      </c>
      <c r="J2989" s="2">
        <v>241</v>
      </c>
      <c r="K2989" s="2" t="s">
        <v>174</v>
      </c>
      <c r="L2989" s="2" t="s">
        <v>175</v>
      </c>
      <c r="M2989" s="3">
        <v>40381</v>
      </c>
      <c r="N2989" s="2" t="s">
        <v>9813</v>
      </c>
      <c r="O2989" s="2" t="s">
        <v>82</v>
      </c>
      <c r="P2989" s="2" t="s">
        <v>82</v>
      </c>
      <c r="Q2989" s="2" t="str">
        <f>"373-E/10"</f>
        <v>373-E/10</v>
      </c>
      <c r="R2989" s="2" t="s">
        <v>3768</v>
      </c>
      <c r="S2989" s="2" t="s">
        <v>391</v>
      </c>
      <c r="T2989" s="2">
        <v>1</v>
      </c>
      <c r="U2989" s="2" t="s">
        <v>79</v>
      </c>
      <c r="V2989" s="2">
        <v>1</v>
      </c>
      <c r="W2989" s="2" t="s">
        <v>80</v>
      </c>
      <c r="X2989" s="2">
        <v>1</v>
      </c>
      <c r="Y2989" s="2" t="s">
        <v>81</v>
      </c>
      <c r="Z2989" s="2">
        <v>1</v>
      </c>
      <c r="AA2989" s="2" t="s">
        <v>82</v>
      </c>
      <c r="AB2989" s="2">
        <v>1</v>
      </c>
      <c r="AC2989" s="2" t="s">
        <v>178</v>
      </c>
      <c r="AD2989" s="3">
        <v>40381</v>
      </c>
      <c r="AE2989" s="4">
        <v>0.40625</v>
      </c>
      <c r="AF2989" s="2"/>
      <c r="AG2989" s="2"/>
      <c r="AH2989" s="2">
        <v>2</v>
      </c>
      <c r="AI2989" s="2" t="s">
        <v>84</v>
      </c>
      <c r="AJ2989" s="2">
        <v>9</v>
      </c>
      <c r="AK2989" s="2" t="s">
        <v>103</v>
      </c>
      <c r="AL2989" s="2">
        <v>11</v>
      </c>
      <c r="AM2989" s="2" t="s">
        <v>137</v>
      </c>
      <c r="AN2989" s="2" t="s">
        <v>9814</v>
      </c>
      <c r="AO2989" s="2" t="s">
        <v>987</v>
      </c>
      <c r="AP2989" s="2">
        <v>11</v>
      </c>
      <c r="AQ2989" s="2" t="s">
        <v>82</v>
      </c>
      <c r="AR2989" s="2"/>
      <c r="AS2989" s="2"/>
      <c r="AT2989" s="2" t="s">
        <v>9815</v>
      </c>
      <c r="AU2989" s="2"/>
      <c r="AV2989" s="2">
        <v>1</v>
      </c>
      <c r="AW2989" s="2"/>
      <c r="AX2989" s="2"/>
      <c r="AY2989" s="2">
        <v>41</v>
      </c>
      <c r="AZ2989" s="2" t="s">
        <v>82</v>
      </c>
      <c r="BA2989" s="2">
        <v>41</v>
      </c>
      <c r="BB2989" s="2" t="s">
        <v>82</v>
      </c>
      <c r="BC2989" s="2">
        <v>41</v>
      </c>
      <c r="BD2989" s="2" t="s">
        <v>82</v>
      </c>
      <c r="BE2989" s="2">
        <v>23</v>
      </c>
      <c r="BF2989" s="2" t="s">
        <v>183</v>
      </c>
      <c r="BG2989" s="2" t="s">
        <v>184</v>
      </c>
      <c r="BH2989" s="2"/>
      <c r="BI2989" s="4">
        <v>0.5</v>
      </c>
      <c r="BJ2989" s="2">
        <v>13</v>
      </c>
      <c r="BK2989" s="2" t="s">
        <v>91</v>
      </c>
      <c r="BL2989" s="2" t="s">
        <v>360</v>
      </c>
      <c r="BM2989" s="2">
        <v>241</v>
      </c>
      <c r="BN2989" s="2" t="s">
        <v>82</v>
      </c>
      <c r="BO2989" s="2" t="s">
        <v>82</v>
      </c>
      <c r="BP2989" s="2">
        <v>73</v>
      </c>
      <c r="BQ2989" s="2" t="s">
        <v>186</v>
      </c>
      <c r="BR2989" s="2" t="s">
        <v>187</v>
      </c>
      <c r="BS2989" s="3">
        <v>40381</v>
      </c>
      <c r="BT2989" s="4">
        <v>0.90165509259259258</v>
      </c>
    </row>
    <row r="2990" spans="1:72" x14ac:dyDescent="0.25">
      <c r="A2990" s="2">
        <v>4413</v>
      </c>
      <c r="B2990" s="2">
        <v>2010</v>
      </c>
      <c r="C2990" s="2" t="s">
        <v>171</v>
      </c>
      <c r="D2990" s="2" t="s">
        <v>73</v>
      </c>
      <c r="E2990" s="2"/>
      <c r="F2990" s="2">
        <v>92</v>
      </c>
      <c r="G2990" s="2" t="s">
        <v>1432</v>
      </c>
      <c r="H2990" s="2">
        <v>47</v>
      </c>
      <c r="I2990" s="2" t="s">
        <v>1409</v>
      </c>
      <c r="J2990" s="2">
        <v>119</v>
      </c>
      <c r="K2990" s="2" t="s">
        <v>325</v>
      </c>
      <c r="L2990" s="2" t="s">
        <v>326</v>
      </c>
      <c r="M2990" s="3">
        <v>40381</v>
      </c>
      <c r="N2990" s="2" t="s">
        <v>4128</v>
      </c>
      <c r="O2990" s="2" t="s">
        <v>9816</v>
      </c>
      <c r="P2990" s="2" t="s">
        <v>519</v>
      </c>
      <c r="Q2990" s="2" t="str">
        <f>""</f>
        <v/>
      </c>
      <c r="R2990" s="2"/>
      <c r="S2990" s="2"/>
      <c r="T2990" s="2">
        <v>1</v>
      </c>
      <c r="U2990" s="2" t="s">
        <v>79</v>
      </c>
      <c r="V2990" s="2">
        <v>1</v>
      </c>
      <c r="W2990" s="2" t="s">
        <v>80</v>
      </c>
      <c r="X2990" s="2">
        <v>8</v>
      </c>
      <c r="Y2990" s="2" t="s">
        <v>375</v>
      </c>
      <c r="Z2990" s="2">
        <v>1</v>
      </c>
      <c r="AA2990" s="2" t="s">
        <v>82</v>
      </c>
      <c r="AB2990" s="2">
        <v>1</v>
      </c>
      <c r="AC2990" s="2" t="s">
        <v>178</v>
      </c>
      <c r="AD2990" s="3">
        <v>40381</v>
      </c>
      <c r="AE2990" s="4">
        <v>0.88750000000000007</v>
      </c>
      <c r="AF2990" s="2"/>
      <c r="AG2990" s="2"/>
      <c r="AH2990" s="2">
        <v>6</v>
      </c>
      <c r="AI2990" s="2" t="s">
        <v>197</v>
      </c>
      <c r="AJ2990" s="2">
        <v>47</v>
      </c>
      <c r="AK2990" s="2" t="s">
        <v>250</v>
      </c>
      <c r="AL2990" s="2">
        <v>23</v>
      </c>
      <c r="AM2990" s="2" t="s">
        <v>251</v>
      </c>
      <c r="AN2990" s="2" t="s">
        <v>9817</v>
      </c>
      <c r="AO2990" s="2" t="s">
        <v>9818</v>
      </c>
      <c r="AP2990" s="2">
        <v>11</v>
      </c>
      <c r="AQ2990" s="2" t="s">
        <v>82</v>
      </c>
      <c r="AR2990" s="2"/>
      <c r="AS2990" s="2"/>
      <c r="AT2990" s="2" t="s">
        <v>9819</v>
      </c>
      <c r="AU2990" s="2"/>
      <c r="AV2990" s="2"/>
      <c r="AW2990" s="2"/>
      <c r="AX2990" s="2"/>
      <c r="AY2990" s="2">
        <v>41</v>
      </c>
      <c r="AZ2990" s="2" t="s">
        <v>82</v>
      </c>
      <c r="BA2990" s="2">
        <v>41</v>
      </c>
      <c r="BB2990" s="2" t="s">
        <v>82</v>
      </c>
      <c r="BC2990" s="2">
        <v>41</v>
      </c>
      <c r="BD2990" s="2" t="s">
        <v>82</v>
      </c>
      <c r="BE2990" s="2">
        <v>41</v>
      </c>
      <c r="BF2990" s="2" t="s">
        <v>82</v>
      </c>
      <c r="BG2990" s="2"/>
      <c r="BH2990" s="2"/>
      <c r="BI2990" s="2"/>
      <c r="BJ2990" s="2">
        <v>241</v>
      </c>
      <c r="BK2990" s="2" t="s">
        <v>82</v>
      </c>
      <c r="BL2990" s="2"/>
      <c r="BM2990" s="2">
        <v>241</v>
      </c>
      <c r="BN2990" s="2" t="s">
        <v>82</v>
      </c>
      <c r="BO2990" s="2"/>
      <c r="BP2990" s="2">
        <v>241</v>
      </c>
      <c r="BQ2990" s="2" t="s">
        <v>82</v>
      </c>
      <c r="BR2990" s="2"/>
      <c r="BS2990" s="3">
        <v>40381</v>
      </c>
      <c r="BT2990" s="4">
        <v>0.97504629629629624</v>
      </c>
    </row>
    <row r="2991" spans="1:72" x14ac:dyDescent="0.25">
      <c r="A2991" s="2">
        <v>4414</v>
      </c>
      <c r="B2991" s="2">
        <v>2010</v>
      </c>
      <c r="C2991" s="2" t="s">
        <v>2219</v>
      </c>
      <c r="D2991" s="2" t="s">
        <v>73</v>
      </c>
      <c r="E2991" s="2"/>
      <c r="F2991" s="2">
        <v>390</v>
      </c>
      <c r="G2991" s="2" t="s">
        <v>475</v>
      </c>
      <c r="H2991" s="2">
        <v>104</v>
      </c>
      <c r="I2991" s="2" t="s">
        <v>6819</v>
      </c>
      <c r="J2991" s="2">
        <v>399</v>
      </c>
      <c r="K2991" s="2" t="s">
        <v>1820</v>
      </c>
      <c r="L2991" s="2" t="s">
        <v>1821</v>
      </c>
      <c r="M2991" s="3">
        <v>40382</v>
      </c>
      <c r="N2991" s="2" t="s">
        <v>9075</v>
      </c>
      <c r="O2991" s="2"/>
      <c r="P2991" s="2"/>
      <c r="Q2991" s="2" t="str">
        <f>"374-E/10"</f>
        <v>374-E/10</v>
      </c>
      <c r="R2991" s="2" t="s">
        <v>9820</v>
      </c>
      <c r="S2991" s="2"/>
      <c r="T2991" s="2">
        <v>1</v>
      </c>
      <c r="U2991" s="2" t="s">
        <v>79</v>
      </c>
      <c r="V2991" s="2">
        <v>1</v>
      </c>
      <c r="W2991" s="2" t="s">
        <v>80</v>
      </c>
      <c r="X2991" s="2">
        <v>5</v>
      </c>
      <c r="Y2991" s="2" t="s">
        <v>82</v>
      </c>
      <c r="Z2991" s="2">
        <v>1</v>
      </c>
      <c r="AA2991" s="2" t="s">
        <v>82</v>
      </c>
      <c r="AB2991" s="2">
        <v>9</v>
      </c>
      <c r="AC2991" s="2" t="s">
        <v>124</v>
      </c>
      <c r="AD2991" s="3">
        <v>40381</v>
      </c>
      <c r="AE2991" s="4">
        <v>0.46527777777777773</v>
      </c>
      <c r="AF2991" s="2"/>
      <c r="AG2991" s="2"/>
      <c r="AH2991" s="2">
        <v>2</v>
      </c>
      <c r="AI2991" s="2" t="s">
        <v>84</v>
      </c>
      <c r="AJ2991" s="2">
        <v>9</v>
      </c>
      <c r="AK2991" s="2" t="s">
        <v>103</v>
      </c>
      <c r="AL2991" s="2">
        <v>29</v>
      </c>
      <c r="AM2991" s="2" t="s">
        <v>5416</v>
      </c>
      <c r="AN2991" s="2" t="s">
        <v>987</v>
      </c>
      <c r="AO2991" s="2" t="s">
        <v>1345</v>
      </c>
      <c r="AP2991" s="2">
        <v>11</v>
      </c>
      <c r="AQ2991" s="2" t="s">
        <v>82</v>
      </c>
      <c r="AR2991" s="2"/>
      <c r="AS2991" s="2"/>
      <c r="AT2991" s="2" t="s">
        <v>9821</v>
      </c>
      <c r="AU2991" s="2"/>
      <c r="AV2991" s="2">
        <v>1</v>
      </c>
      <c r="AW2991" s="2"/>
      <c r="AX2991" s="2"/>
      <c r="AY2991" s="2">
        <v>41</v>
      </c>
      <c r="AZ2991" s="2" t="s">
        <v>82</v>
      </c>
      <c r="BA2991" s="2">
        <v>41</v>
      </c>
      <c r="BB2991" s="2" t="s">
        <v>82</v>
      </c>
      <c r="BC2991" s="2">
        <v>41</v>
      </c>
      <c r="BD2991" s="2" t="s">
        <v>82</v>
      </c>
      <c r="BE2991" s="2">
        <v>41</v>
      </c>
      <c r="BF2991" s="2" t="s">
        <v>82</v>
      </c>
      <c r="BG2991" s="2"/>
      <c r="BH2991" s="2"/>
      <c r="BI2991" s="2"/>
      <c r="BJ2991" s="2">
        <v>241</v>
      </c>
      <c r="BK2991" s="2" t="s">
        <v>82</v>
      </c>
      <c r="BL2991" s="2"/>
      <c r="BM2991" s="2">
        <v>241</v>
      </c>
      <c r="BN2991" s="2" t="s">
        <v>82</v>
      </c>
      <c r="BO2991" s="2"/>
      <c r="BP2991" s="2">
        <v>241</v>
      </c>
      <c r="BQ2991" s="2" t="s">
        <v>82</v>
      </c>
      <c r="BR2991" s="2"/>
      <c r="BS2991" s="3">
        <v>40382</v>
      </c>
      <c r="BT2991" s="4">
        <v>5.5787037037037038E-3</v>
      </c>
    </row>
    <row r="2992" spans="1:72" x14ac:dyDescent="0.25">
      <c r="A2992" s="2">
        <v>4415</v>
      </c>
      <c r="B2992" s="2">
        <v>2010</v>
      </c>
      <c r="C2992" s="2" t="s">
        <v>72</v>
      </c>
      <c r="D2992" s="2" t="s">
        <v>73</v>
      </c>
      <c r="E2992" s="2"/>
      <c r="F2992" s="2">
        <v>552</v>
      </c>
      <c r="G2992" s="2" t="s">
        <v>9822</v>
      </c>
      <c r="H2992" s="2">
        <v>75</v>
      </c>
      <c r="I2992" s="2" t="s">
        <v>9823</v>
      </c>
      <c r="J2992" s="2">
        <v>510</v>
      </c>
      <c r="K2992" s="2" t="s">
        <v>4884</v>
      </c>
      <c r="L2992" s="2" t="s">
        <v>4885</v>
      </c>
      <c r="M2992" s="3">
        <v>40382</v>
      </c>
      <c r="N2992" s="2" t="s">
        <v>9824</v>
      </c>
      <c r="O2992" s="2" t="s">
        <v>1454</v>
      </c>
      <c r="P2992" s="2" t="s">
        <v>607</v>
      </c>
      <c r="Q2992" s="2" t="str">
        <f>"0023/2010"</f>
        <v>0023/2010</v>
      </c>
      <c r="R2992" s="2" t="s">
        <v>1454</v>
      </c>
      <c r="S2992" s="2" t="s">
        <v>1454</v>
      </c>
      <c r="T2992" s="2">
        <v>1</v>
      </c>
      <c r="U2992" s="2" t="s">
        <v>79</v>
      </c>
      <c r="V2992" s="2">
        <v>1</v>
      </c>
      <c r="W2992" s="2" t="s">
        <v>80</v>
      </c>
      <c r="X2992" s="2">
        <v>12</v>
      </c>
      <c r="Y2992" s="2" t="s">
        <v>148</v>
      </c>
      <c r="Z2992" s="2">
        <v>1</v>
      </c>
      <c r="AA2992" s="2" t="s">
        <v>82</v>
      </c>
      <c r="AB2992" s="2">
        <v>6</v>
      </c>
      <c r="AC2992" s="2" t="s">
        <v>83</v>
      </c>
      <c r="AD2992" s="3">
        <v>40378</v>
      </c>
      <c r="AE2992" s="2"/>
      <c r="AF2992" s="3">
        <v>40381</v>
      </c>
      <c r="AG2992" s="4">
        <v>0.83680555555555547</v>
      </c>
      <c r="AH2992" s="2">
        <v>5</v>
      </c>
      <c r="AI2992" s="2" t="s">
        <v>274</v>
      </c>
      <c r="AJ2992" s="2">
        <v>42</v>
      </c>
      <c r="AK2992" s="2" t="s">
        <v>660</v>
      </c>
      <c r="AL2992" s="2">
        <v>22</v>
      </c>
      <c r="AM2992" s="2" t="s">
        <v>1853</v>
      </c>
      <c r="AN2992" s="2"/>
      <c r="AO2992" s="2"/>
      <c r="AP2992" s="2">
        <v>11</v>
      </c>
      <c r="AQ2992" s="2" t="s">
        <v>82</v>
      </c>
      <c r="AR2992" s="2" t="s">
        <v>82</v>
      </c>
      <c r="AS2992" s="2" t="s">
        <v>82</v>
      </c>
      <c r="AT2992" s="2" t="s">
        <v>9825</v>
      </c>
      <c r="AU2992" s="2"/>
      <c r="AV2992" s="2"/>
      <c r="AW2992" s="2"/>
      <c r="AX2992" s="2"/>
      <c r="AY2992" s="2">
        <v>41</v>
      </c>
      <c r="AZ2992" s="2" t="s">
        <v>82</v>
      </c>
      <c r="BA2992" s="2">
        <v>41</v>
      </c>
      <c r="BB2992" s="2" t="s">
        <v>82</v>
      </c>
      <c r="BC2992" s="2">
        <v>13</v>
      </c>
      <c r="BD2992" s="2" t="s">
        <v>108</v>
      </c>
      <c r="BE2992" s="2">
        <v>13</v>
      </c>
      <c r="BF2992" s="2" t="s">
        <v>108</v>
      </c>
      <c r="BG2992" s="2">
        <v>1788</v>
      </c>
      <c r="BH2992" s="4">
        <v>0.79166666666666663</v>
      </c>
      <c r="BI2992" s="4">
        <v>0.82291666666666663</v>
      </c>
      <c r="BJ2992" s="2">
        <v>13</v>
      </c>
      <c r="BK2992" s="2" t="s">
        <v>91</v>
      </c>
      <c r="BL2992" s="2" t="s">
        <v>170</v>
      </c>
      <c r="BM2992" s="2">
        <v>241</v>
      </c>
      <c r="BN2992" s="2" t="s">
        <v>82</v>
      </c>
      <c r="BO2992" s="2" t="s">
        <v>82</v>
      </c>
      <c r="BP2992" s="2">
        <v>13</v>
      </c>
      <c r="BQ2992" s="2" t="s">
        <v>91</v>
      </c>
      <c r="BR2992" s="2" t="s">
        <v>9826</v>
      </c>
      <c r="BS2992" s="3">
        <v>40382</v>
      </c>
      <c r="BT2992" s="4">
        <v>1.5810185185185184E-2</v>
      </c>
    </row>
    <row r="2993" spans="1:72" x14ac:dyDescent="0.25">
      <c r="A2993" s="2">
        <v>4416</v>
      </c>
      <c r="B2993" s="2">
        <v>2010</v>
      </c>
      <c r="C2993" s="2" t="s">
        <v>128</v>
      </c>
      <c r="D2993" s="2" t="s">
        <v>122</v>
      </c>
      <c r="E2993" s="2" t="s">
        <v>9827</v>
      </c>
      <c r="F2993" s="2">
        <v>390</v>
      </c>
      <c r="G2993" s="2" t="s">
        <v>475</v>
      </c>
      <c r="H2993" s="2">
        <v>104</v>
      </c>
      <c r="I2993" s="2" t="s">
        <v>6819</v>
      </c>
      <c r="J2993" s="2">
        <v>399</v>
      </c>
      <c r="K2993" s="2" t="s">
        <v>1820</v>
      </c>
      <c r="L2993" s="2" t="s">
        <v>1821</v>
      </c>
      <c r="M2993" s="3">
        <v>40382</v>
      </c>
      <c r="N2993" s="2" t="s">
        <v>9075</v>
      </c>
      <c r="O2993" s="2"/>
      <c r="P2993" s="2"/>
      <c r="Q2993" s="2" t="str">
        <f>"374-E/10"</f>
        <v>374-E/10</v>
      </c>
      <c r="R2993" s="2" t="s">
        <v>9820</v>
      </c>
      <c r="S2993" s="2"/>
      <c r="T2993" s="2">
        <v>1</v>
      </c>
      <c r="U2993" s="2" t="s">
        <v>79</v>
      </c>
      <c r="V2993" s="2">
        <v>1</v>
      </c>
      <c r="W2993" s="2" t="s">
        <v>80</v>
      </c>
      <c r="X2993" s="2">
        <v>5</v>
      </c>
      <c r="Y2993" s="2" t="s">
        <v>82</v>
      </c>
      <c r="Z2993" s="2">
        <v>1</v>
      </c>
      <c r="AA2993" s="2" t="s">
        <v>82</v>
      </c>
      <c r="AB2993" s="2">
        <v>9</v>
      </c>
      <c r="AC2993" s="2" t="s">
        <v>124</v>
      </c>
      <c r="AD2993" s="3">
        <v>40381</v>
      </c>
      <c r="AE2993" s="4">
        <v>0.46527777777777773</v>
      </c>
      <c r="AF2993" s="2"/>
      <c r="AG2993" s="2"/>
      <c r="AH2993" s="2">
        <v>2</v>
      </c>
      <c r="AI2993" s="2" t="s">
        <v>84</v>
      </c>
      <c r="AJ2993" s="2">
        <v>9</v>
      </c>
      <c r="AK2993" s="2" t="s">
        <v>103</v>
      </c>
      <c r="AL2993" s="2">
        <v>24</v>
      </c>
      <c r="AM2993" s="2" t="s">
        <v>1540</v>
      </c>
      <c r="AN2993" s="2" t="s">
        <v>9828</v>
      </c>
      <c r="AO2993" s="2" t="s">
        <v>987</v>
      </c>
      <c r="AP2993" s="2">
        <v>11</v>
      </c>
      <c r="AQ2993" s="2" t="s">
        <v>82</v>
      </c>
      <c r="AR2993" s="2"/>
      <c r="AS2993" s="2"/>
      <c r="AT2993" s="2" t="s">
        <v>9829</v>
      </c>
      <c r="AU2993" s="2"/>
      <c r="AV2993" s="2">
        <v>1</v>
      </c>
      <c r="AW2993" s="2"/>
      <c r="AX2993" s="2"/>
      <c r="AY2993" s="2">
        <v>41</v>
      </c>
      <c r="AZ2993" s="2" t="s">
        <v>82</v>
      </c>
      <c r="BA2993" s="2">
        <v>41</v>
      </c>
      <c r="BB2993" s="2" t="s">
        <v>82</v>
      </c>
      <c r="BC2993" s="2">
        <v>41</v>
      </c>
      <c r="BD2993" s="2" t="s">
        <v>82</v>
      </c>
      <c r="BE2993" s="2">
        <v>41</v>
      </c>
      <c r="BF2993" s="2" t="s">
        <v>82</v>
      </c>
      <c r="BG2993" s="2"/>
      <c r="BH2993" s="2"/>
      <c r="BI2993" s="2"/>
      <c r="BJ2993" s="2">
        <v>241</v>
      </c>
      <c r="BK2993" s="2" t="s">
        <v>82</v>
      </c>
      <c r="BL2993" s="2"/>
      <c r="BM2993" s="2">
        <v>241</v>
      </c>
      <c r="BN2993" s="2" t="s">
        <v>82</v>
      </c>
      <c r="BO2993" s="2"/>
      <c r="BP2993" s="2">
        <v>241</v>
      </c>
      <c r="BQ2993" s="2" t="s">
        <v>82</v>
      </c>
      <c r="BR2993" s="2"/>
      <c r="BS2993" s="3">
        <v>40382</v>
      </c>
      <c r="BT2993" s="4">
        <v>0.15379629629629629</v>
      </c>
    </row>
    <row r="2994" spans="1:72" x14ac:dyDescent="0.25">
      <c r="A2994" s="2">
        <v>4417</v>
      </c>
      <c r="B2994" s="2">
        <v>2010</v>
      </c>
      <c r="C2994" s="2" t="s">
        <v>171</v>
      </c>
      <c r="D2994" s="2" t="s">
        <v>122</v>
      </c>
      <c r="E2994" s="2"/>
      <c r="F2994" s="2">
        <v>100</v>
      </c>
      <c r="G2994" s="2" t="s">
        <v>517</v>
      </c>
      <c r="H2994" s="2">
        <v>47</v>
      </c>
      <c r="I2994" s="2" t="s">
        <v>1409</v>
      </c>
      <c r="J2994" s="2">
        <v>119</v>
      </c>
      <c r="K2994" s="2" t="s">
        <v>325</v>
      </c>
      <c r="L2994" s="2" t="s">
        <v>326</v>
      </c>
      <c r="M2994" s="3">
        <v>40382</v>
      </c>
      <c r="N2994" s="2" t="s">
        <v>5103</v>
      </c>
      <c r="O2994" s="2" t="s">
        <v>9830</v>
      </c>
      <c r="P2994" s="2" t="s">
        <v>519</v>
      </c>
      <c r="Q2994" s="2" t="str">
        <f>""</f>
        <v/>
      </c>
      <c r="R2994" s="2"/>
      <c r="S2994" s="2"/>
      <c r="T2994" s="2">
        <v>1</v>
      </c>
      <c r="U2994" s="2" t="s">
        <v>79</v>
      </c>
      <c r="V2994" s="2">
        <v>1</v>
      </c>
      <c r="W2994" s="2" t="s">
        <v>80</v>
      </c>
      <c r="X2994" s="2">
        <v>8</v>
      </c>
      <c r="Y2994" s="2" t="s">
        <v>375</v>
      </c>
      <c r="Z2994" s="2">
        <v>1</v>
      </c>
      <c r="AA2994" s="2" t="s">
        <v>82</v>
      </c>
      <c r="AB2994" s="2">
        <v>1</v>
      </c>
      <c r="AC2994" s="2" t="s">
        <v>178</v>
      </c>
      <c r="AD2994" s="3">
        <v>40382</v>
      </c>
      <c r="AE2994" s="4">
        <v>0.15972222222222224</v>
      </c>
      <c r="AF2994" s="2"/>
      <c r="AG2994" s="2"/>
      <c r="AH2994" s="2">
        <v>6</v>
      </c>
      <c r="AI2994" s="2" t="s">
        <v>197</v>
      </c>
      <c r="AJ2994" s="2">
        <v>47</v>
      </c>
      <c r="AK2994" s="2" t="s">
        <v>250</v>
      </c>
      <c r="AL2994" s="2">
        <v>19</v>
      </c>
      <c r="AM2994" s="2" t="s">
        <v>107</v>
      </c>
      <c r="AN2994" s="2"/>
      <c r="AO2994" s="2" t="s">
        <v>9831</v>
      </c>
      <c r="AP2994" s="2">
        <v>11</v>
      </c>
      <c r="AQ2994" s="2" t="s">
        <v>82</v>
      </c>
      <c r="AR2994" s="2"/>
      <c r="AS2994" s="2"/>
      <c r="AT2994" s="2" t="s">
        <v>9832</v>
      </c>
      <c r="AU2994" s="2"/>
      <c r="AV2994" s="2"/>
      <c r="AW2994" s="2"/>
      <c r="AX2994" s="2"/>
      <c r="AY2994" s="2">
        <v>41</v>
      </c>
      <c r="AZ2994" s="2" t="s">
        <v>82</v>
      </c>
      <c r="BA2994" s="2">
        <v>41</v>
      </c>
      <c r="BB2994" s="2" t="s">
        <v>82</v>
      </c>
      <c r="BC2994" s="2">
        <v>41</v>
      </c>
      <c r="BD2994" s="2" t="s">
        <v>82</v>
      </c>
      <c r="BE2994" s="2">
        <v>41</v>
      </c>
      <c r="BF2994" s="2" t="s">
        <v>82</v>
      </c>
      <c r="BG2994" s="2"/>
      <c r="BH2994" s="2"/>
      <c r="BI2994" s="2"/>
      <c r="BJ2994" s="2">
        <v>241</v>
      </c>
      <c r="BK2994" s="2" t="s">
        <v>82</v>
      </c>
      <c r="BL2994" s="2"/>
      <c r="BM2994" s="2">
        <v>241</v>
      </c>
      <c r="BN2994" s="2" t="s">
        <v>82</v>
      </c>
      <c r="BO2994" s="2"/>
      <c r="BP2994" s="2">
        <v>241</v>
      </c>
      <c r="BQ2994" s="2" t="s">
        <v>82</v>
      </c>
      <c r="BR2994" s="2"/>
      <c r="BS2994" s="3">
        <v>40382</v>
      </c>
      <c r="BT2994" s="4">
        <v>0.19476851851851851</v>
      </c>
    </row>
    <row r="2995" spans="1:72" x14ac:dyDescent="0.25">
      <c r="A2995" s="2">
        <v>4418</v>
      </c>
      <c r="B2995" s="2">
        <v>2010</v>
      </c>
      <c r="C2995" s="2" t="s">
        <v>72</v>
      </c>
      <c r="D2995" s="2" t="s">
        <v>73</v>
      </c>
      <c r="E2995" s="2"/>
      <c r="F2995" s="2">
        <v>649</v>
      </c>
      <c r="G2995" s="2" t="s">
        <v>9141</v>
      </c>
      <c r="H2995" s="2">
        <v>22</v>
      </c>
      <c r="I2995" s="2" t="s">
        <v>75</v>
      </c>
      <c r="J2995" s="2">
        <v>602</v>
      </c>
      <c r="K2995" s="2" t="s">
        <v>9091</v>
      </c>
      <c r="L2995" s="2" t="s">
        <v>9092</v>
      </c>
      <c r="M2995" s="3">
        <v>40382</v>
      </c>
      <c r="N2995" s="2" t="s">
        <v>9093</v>
      </c>
      <c r="O2995" s="2"/>
      <c r="P2995" s="2"/>
      <c r="Q2995" s="2" t="str">
        <f>"282-A/10"</f>
        <v>282-A/10</v>
      </c>
      <c r="R2995" s="2"/>
      <c r="S2995" s="2" t="s">
        <v>78</v>
      </c>
      <c r="T2995" s="2">
        <v>1</v>
      </c>
      <c r="U2995" s="2" t="s">
        <v>79</v>
      </c>
      <c r="V2995" s="2">
        <v>1</v>
      </c>
      <c r="W2995" s="2" t="s">
        <v>80</v>
      </c>
      <c r="X2995" s="2">
        <v>12</v>
      </c>
      <c r="Y2995" s="2" t="s">
        <v>148</v>
      </c>
      <c r="Z2995" s="2">
        <v>1</v>
      </c>
      <c r="AA2995" s="2" t="s">
        <v>82</v>
      </c>
      <c r="AB2995" s="2">
        <v>6</v>
      </c>
      <c r="AC2995" s="2" t="s">
        <v>83</v>
      </c>
      <c r="AD2995" s="3">
        <v>40382</v>
      </c>
      <c r="AE2995" s="2"/>
      <c r="AF2995" s="3">
        <v>40382</v>
      </c>
      <c r="AG2995" s="4">
        <v>4.8611111111111112E-2</v>
      </c>
      <c r="AH2995" s="2">
        <v>2</v>
      </c>
      <c r="AI2995" s="2" t="s">
        <v>84</v>
      </c>
      <c r="AJ2995" s="2">
        <v>12</v>
      </c>
      <c r="AK2995" s="2" t="s">
        <v>85</v>
      </c>
      <c r="AL2995" s="2">
        <v>12</v>
      </c>
      <c r="AM2995" s="2" t="s">
        <v>86</v>
      </c>
      <c r="AN2995" s="2" t="s">
        <v>9615</v>
      </c>
      <c r="AO2995" s="2" t="s">
        <v>9833</v>
      </c>
      <c r="AP2995" s="2">
        <v>11</v>
      </c>
      <c r="AQ2995" s="2" t="s">
        <v>82</v>
      </c>
      <c r="AR2995" s="2"/>
      <c r="AS2995" s="2"/>
      <c r="AT2995" s="2" t="s">
        <v>9834</v>
      </c>
      <c r="AU2995" s="2"/>
      <c r="AV2995" s="2"/>
      <c r="AW2995" s="2"/>
      <c r="AX2995" s="2"/>
      <c r="AY2995" s="2">
        <v>41</v>
      </c>
      <c r="AZ2995" s="2" t="s">
        <v>82</v>
      </c>
      <c r="BA2995" s="2">
        <v>41</v>
      </c>
      <c r="BB2995" s="2" t="s">
        <v>82</v>
      </c>
      <c r="BC2995" s="2">
        <v>41</v>
      </c>
      <c r="BD2995" s="2" t="s">
        <v>82</v>
      </c>
      <c r="BE2995" s="2">
        <v>41</v>
      </c>
      <c r="BF2995" s="2" t="s">
        <v>82</v>
      </c>
      <c r="BG2995" s="2"/>
      <c r="BH2995" s="2"/>
      <c r="BI2995" s="2"/>
      <c r="BJ2995" s="2">
        <v>241</v>
      </c>
      <c r="BK2995" s="2" t="s">
        <v>82</v>
      </c>
      <c r="BL2995" s="2"/>
      <c r="BM2995" s="2">
        <v>241</v>
      </c>
      <c r="BN2995" s="2" t="s">
        <v>82</v>
      </c>
      <c r="BO2995" s="2"/>
      <c r="BP2995" s="2">
        <v>241</v>
      </c>
      <c r="BQ2995" s="2" t="s">
        <v>82</v>
      </c>
      <c r="BR2995" s="2"/>
      <c r="BS2995" s="3">
        <v>40382</v>
      </c>
      <c r="BT2995" s="4">
        <v>0.2378935185185185</v>
      </c>
    </row>
    <row r="2996" spans="1:72" x14ac:dyDescent="0.25">
      <c r="A2996" s="2">
        <v>4419</v>
      </c>
      <c r="B2996" s="2">
        <v>2010</v>
      </c>
      <c r="C2996" s="2" t="s">
        <v>171</v>
      </c>
      <c r="D2996" s="2" t="s">
        <v>122</v>
      </c>
      <c r="E2996" s="2" t="s">
        <v>9835</v>
      </c>
      <c r="F2996" s="2">
        <v>399</v>
      </c>
      <c r="G2996" s="2" t="s">
        <v>587</v>
      </c>
      <c r="H2996" s="2">
        <v>14</v>
      </c>
      <c r="I2996" s="2" t="s">
        <v>1458</v>
      </c>
      <c r="J2996" s="2">
        <v>241</v>
      </c>
      <c r="K2996" s="2" t="s">
        <v>174</v>
      </c>
      <c r="L2996" s="2" t="s">
        <v>175</v>
      </c>
      <c r="M2996" s="3">
        <v>40382</v>
      </c>
      <c r="N2996" s="2" t="s">
        <v>9813</v>
      </c>
      <c r="O2996" s="2" t="s">
        <v>82</v>
      </c>
      <c r="P2996" s="2" t="s">
        <v>82</v>
      </c>
      <c r="Q2996" s="2" t="str">
        <f>"373-E/10"</f>
        <v>373-E/10</v>
      </c>
      <c r="R2996" s="2" t="s">
        <v>391</v>
      </c>
      <c r="S2996" s="2" t="s">
        <v>3768</v>
      </c>
      <c r="T2996" s="2">
        <v>1</v>
      </c>
      <c r="U2996" s="2" t="s">
        <v>79</v>
      </c>
      <c r="V2996" s="2">
        <v>1</v>
      </c>
      <c r="W2996" s="2" t="s">
        <v>80</v>
      </c>
      <c r="X2996" s="2">
        <v>1</v>
      </c>
      <c r="Y2996" s="2" t="s">
        <v>81</v>
      </c>
      <c r="Z2996" s="2">
        <v>1</v>
      </c>
      <c r="AA2996" s="2" t="s">
        <v>82</v>
      </c>
      <c r="AB2996" s="2">
        <v>1</v>
      </c>
      <c r="AC2996" s="2" t="s">
        <v>178</v>
      </c>
      <c r="AD2996" s="3">
        <v>40381</v>
      </c>
      <c r="AE2996" s="4">
        <v>0.40625</v>
      </c>
      <c r="AF2996" s="2"/>
      <c r="AG2996" s="2"/>
      <c r="AH2996" s="2">
        <v>2</v>
      </c>
      <c r="AI2996" s="2" t="s">
        <v>84</v>
      </c>
      <c r="AJ2996" s="2">
        <v>9</v>
      </c>
      <c r="AK2996" s="2" t="s">
        <v>103</v>
      </c>
      <c r="AL2996" s="2">
        <v>14</v>
      </c>
      <c r="AM2996" s="2" t="s">
        <v>216</v>
      </c>
      <c r="AN2996" s="2" t="s">
        <v>816</v>
      </c>
      <c r="AO2996" s="2" t="s">
        <v>137</v>
      </c>
      <c r="AP2996" s="2">
        <v>11</v>
      </c>
      <c r="AQ2996" s="2" t="s">
        <v>82</v>
      </c>
      <c r="AR2996" s="2"/>
      <c r="AS2996" s="2"/>
      <c r="AT2996" s="2" t="s">
        <v>9836</v>
      </c>
      <c r="AU2996" s="2"/>
      <c r="AV2996" s="2">
        <v>1</v>
      </c>
      <c r="AW2996" s="2"/>
      <c r="AX2996" s="2"/>
      <c r="AY2996" s="2">
        <v>41</v>
      </c>
      <c r="AZ2996" s="2" t="s">
        <v>82</v>
      </c>
      <c r="BA2996" s="2">
        <v>41</v>
      </c>
      <c r="BB2996" s="2" t="s">
        <v>82</v>
      </c>
      <c r="BC2996" s="2">
        <v>41</v>
      </c>
      <c r="BD2996" s="2" t="s">
        <v>82</v>
      </c>
      <c r="BE2996" s="2">
        <v>23</v>
      </c>
      <c r="BF2996" s="2" t="s">
        <v>183</v>
      </c>
      <c r="BG2996" s="2" t="s">
        <v>184</v>
      </c>
      <c r="BH2996" s="2"/>
      <c r="BI2996" s="4">
        <v>0.5</v>
      </c>
      <c r="BJ2996" s="2">
        <v>13</v>
      </c>
      <c r="BK2996" s="2" t="s">
        <v>91</v>
      </c>
      <c r="BL2996" s="2" t="s">
        <v>185</v>
      </c>
      <c r="BM2996" s="2">
        <v>241</v>
      </c>
      <c r="BN2996" s="2" t="s">
        <v>82</v>
      </c>
      <c r="BO2996" s="2" t="s">
        <v>82</v>
      </c>
      <c r="BP2996" s="2">
        <v>73</v>
      </c>
      <c r="BQ2996" s="2" t="s">
        <v>186</v>
      </c>
      <c r="BR2996" s="2" t="s">
        <v>187</v>
      </c>
      <c r="BS2996" s="3">
        <v>40382</v>
      </c>
      <c r="BT2996" s="4">
        <v>0.30834490740740744</v>
      </c>
    </row>
    <row r="2997" spans="1:72" x14ac:dyDescent="0.25">
      <c r="A2997" s="2">
        <v>4420</v>
      </c>
      <c r="B2997" s="2">
        <v>2010</v>
      </c>
      <c r="C2997" s="2" t="s">
        <v>4543</v>
      </c>
      <c r="D2997" s="2" t="s">
        <v>122</v>
      </c>
      <c r="E2997" s="2"/>
      <c r="F2997" s="2">
        <v>1</v>
      </c>
      <c r="G2997" s="2" t="s">
        <v>82</v>
      </c>
      <c r="H2997" s="2">
        <v>1</v>
      </c>
      <c r="I2997" s="2" t="s">
        <v>82</v>
      </c>
      <c r="J2997" s="2">
        <v>1</v>
      </c>
      <c r="K2997" s="2" t="s">
        <v>107</v>
      </c>
      <c r="L2997" s="2" t="s">
        <v>107</v>
      </c>
      <c r="M2997" s="3">
        <v>40382</v>
      </c>
      <c r="N2997" s="2"/>
      <c r="O2997" s="2" t="s">
        <v>82</v>
      </c>
      <c r="P2997" s="2" t="s">
        <v>82</v>
      </c>
      <c r="Q2997" s="2" t="str">
        <f>"N/C"</f>
        <v>N/C</v>
      </c>
      <c r="R2997" s="2" t="s">
        <v>82</v>
      </c>
      <c r="S2997" s="2" t="s">
        <v>82</v>
      </c>
      <c r="T2997" s="2">
        <v>2</v>
      </c>
      <c r="U2997" s="2" t="s">
        <v>123</v>
      </c>
      <c r="V2997" s="2">
        <v>1</v>
      </c>
      <c r="W2997" s="2" t="s">
        <v>80</v>
      </c>
      <c r="X2997" s="2">
        <v>11</v>
      </c>
      <c r="Y2997" s="2" t="s">
        <v>1920</v>
      </c>
      <c r="Z2997" s="2">
        <v>10</v>
      </c>
      <c r="AA2997" s="2" t="s">
        <v>236</v>
      </c>
      <c r="AB2997" s="2">
        <v>9</v>
      </c>
      <c r="AC2997" s="2" t="s">
        <v>124</v>
      </c>
      <c r="AD2997" s="3">
        <v>40382</v>
      </c>
      <c r="AE2997" s="4">
        <v>0.24652777777777779</v>
      </c>
      <c r="AF2997" s="2"/>
      <c r="AG2997" s="2"/>
      <c r="AH2997" s="2">
        <v>6</v>
      </c>
      <c r="AI2997" s="2" t="s">
        <v>197</v>
      </c>
      <c r="AJ2997" s="2">
        <v>54</v>
      </c>
      <c r="AK2997" s="2" t="s">
        <v>348</v>
      </c>
      <c r="AL2997" s="2">
        <v>10</v>
      </c>
      <c r="AM2997" s="2" t="s">
        <v>200</v>
      </c>
      <c r="AN2997" s="2"/>
      <c r="AO2997" s="2" t="s">
        <v>2282</v>
      </c>
      <c r="AP2997" s="2">
        <v>14</v>
      </c>
      <c r="AQ2997" s="2" t="s">
        <v>3301</v>
      </c>
      <c r="AR2997" s="2" t="s">
        <v>1261</v>
      </c>
      <c r="AS2997" s="2" t="s">
        <v>1261</v>
      </c>
      <c r="AT2997" s="2" t="s">
        <v>9837</v>
      </c>
      <c r="AU2997" s="2"/>
      <c r="AV2997" s="2"/>
      <c r="AW2997" s="2"/>
      <c r="AX2997" s="2"/>
      <c r="AY2997" s="2">
        <v>41</v>
      </c>
      <c r="AZ2997" s="2" t="s">
        <v>82</v>
      </c>
      <c r="BA2997" s="2">
        <v>41</v>
      </c>
      <c r="BB2997" s="2" t="s">
        <v>82</v>
      </c>
      <c r="BC2997" s="2">
        <v>41</v>
      </c>
      <c r="BD2997" s="2" t="s">
        <v>82</v>
      </c>
      <c r="BE2997" s="2">
        <v>4</v>
      </c>
      <c r="BF2997" s="2" t="s">
        <v>90</v>
      </c>
      <c r="BG2997" s="2" t="s">
        <v>5619</v>
      </c>
      <c r="BH2997" s="4">
        <v>0.36180555555555555</v>
      </c>
      <c r="BI2997" s="4">
        <v>0.40138888888888885</v>
      </c>
      <c r="BJ2997" s="2">
        <v>13</v>
      </c>
      <c r="BK2997" s="2" t="s">
        <v>91</v>
      </c>
      <c r="BL2997" s="2" t="s">
        <v>7629</v>
      </c>
      <c r="BM2997" s="2">
        <v>242</v>
      </c>
      <c r="BN2997" s="2" t="s">
        <v>107</v>
      </c>
      <c r="BO2997" s="2" t="s">
        <v>107</v>
      </c>
      <c r="BP2997" s="2">
        <v>13</v>
      </c>
      <c r="BQ2997" s="2" t="s">
        <v>91</v>
      </c>
      <c r="BR2997" s="2" t="s">
        <v>905</v>
      </c>
      <c r="BS2997" s="3">
        <v>40382</v>
      </c>
      <c r="BT2997" s="4">
        <v>0.40182870370370366</v>
      </c>
    </row>
    <row r="2998" spans="1:72" x14ac:dyDescent="0.25">
      <c r="A2998" s="2">
        <v>4421</v>
      </c>
      <c r="B2998" s="2">
        <v>2010</v>
      </c>
      <c r="C2998" s="2" t="s">
        <v>377</v>
      </c>
      <c r="D2998" s="2" t="s">
        <v>73</v>
      </c>
      <c r="E2998" s="2"/>
      <c r="F2998" s="2">
        <v>426</v>
      </c>
      <c r="G2998" s="2" t="s">
        <v>378</v>
      </c>
      <c r="H2998" s="2">
        <v>42</v>
      </c>
      <c r="I2998" s="2" t="s">
        <v>1096</v>
      </c>
      <c r="J2998" s="2">
        <v>311</v>
      </c>
      <c r="K2998" s="2" t="s">
        <v>379</v>
      </c>
      <c r="L2998" s="2" t="s">
        <v>380</v>
      </c>
      <c r="M2998" s="3">
        <v>40382</v>
      </c>
      <c r="N2998" s="2" t="s">
        <v>7171</v>
      </c>
      <c r="O2998" s="2"/>
      <c r="P2998" s="2"/>
      <c r="Q2998" s="2" t="str">
        <f>"182-C/10"</f>
        <v>182-C/10</v>
      </c>
      <c r="R2998" s="2" t="s">
        <v>3458</v>
      </c>
      <c r="S2998" s="2"/>
      <c r="T2998" s="2">
        <v>1</v>
      </c>
      <c r="U2998" s="2" t="s">
        <v>79</v>
      </c>
      <c r="V2998" s="2">
        <v>1</v>
      </c>
      <c r="W2998" s="2" t="s">
        <v>80</v>
      </c>
      <c r="X2998" s="2">
        <v>1</v>
      </c>
      <c r="Y2998" s="2" t="s">
        <v>81</v>
      </c>
      <c r="Z2998" s="2">
        <v>1</v>
      </c>
      <c r="AA2998" s="2" t="s">
        <v>82</v>
      </c>
      <c r="AB2998" s="2">
        <v>9</v>
      </c>
      <c r="AC2998" s="2" t="s">
        <v>124</v>
      </c>
      <c r="AD2998" s="3">
        <v>40381</v>
      </c>
      <c r="AE2998" s="4">
        <v>0.3263888888888889</v>
      </c>
      <c r="AF2998" s="2"/>
      <c r="AG2998" s="2"/>
      <c r="AH2998" s="2">
        <v>2</v>
      </c>
      <c r="AI2998" s="2" t="s">
        <v>84</v>
      </c>
      <c r="AJ2998" s="2">
        <v>9</v>
      </c>
      <c r="AK2998" s="2" t="s">
        <v>103</v>
      </c>
      <c r="AL2998" s="2">
        <v>12</v>
      </c>
      <c r="AM2998" s="2" t="s">
        <v>86</v>
      </c>
      <c r="AN2998" s="2"/>
      <c r="AO2998" s="2" t="s">
        <v>3322</v>
      </c>
      <c r="AP2998" s="2">
        <v>11</v>
      </c>
      <c r="AQ2998" s="2" t="s">
        <v>82</v>
      </c>
      <c r="AR2998" s="2"/>
      <c r="AS2998" s="2"/>
      <c r="AT2998" s="2" t="s">
        <v>9838</v>
      </c>
      <c r="AU2998" s="2"/>
      <c r="AV2998" s="2"/>
      <c r="AW2998" s="2"/>
      <c r="AX2998" s="2"/>
      <c r="AY2998" s="2">
        <v>41</v>
      </c>
      <c r="AZ2998" s="2" t="s">
        <v>82</v>
      </c>
      <c r="BA2998" s="2">
        <v>41</v>
      </c>
      <c r="BB2998" s="2" t="s">
        <v>82</v>
      </c>
      <c r="BC2998" s="2">
        <v>41</v>
      </c>
      <c r="BD2998" s="2" t="s">
        <v>82</v>
      </c>
      <c r="BE2998" s="2">
        <v>41</v>
      </c>
      <c r="BF2998" s="2" t="s">
        <v>82</v>
      </c>
      <c r="BG2998" s="2"/>
      <c r="BH2998" s="2"/>
      <c r="BI2998" s="2"/>
      <c r="BJ2998" s="2">
        <v>241</v>
      </c>
      <c r="BK2998" s="2" t="s">
        <v>82</v>
      </c>
      <c r="BL2998" s="2"/>
      <c r="BM2998" s="2">
        <v>241</v>
      </c>
      <c r="BN2998" s="2" t="s">
        <v>82</v>
      </c>
      <c r="BO2998" s="2"/>
      <c r="BP2998" s="2">
        <v>241</v>
      </c>
      <c r="BQ2998" s="2" t="s">
        <v>82</v>
      </c>
      <c r="BR2998" s="2"/>
      <c r="BS2998" s="3">
        <v>40382</v>
      </c>
      <c r="BT2998" s="4">
        <v>0.4588888888888889</v>
      </c>
    </row>
    <row r="2999" spans="1:72" x14ac:dyDescent="0.25">
      <c r="A2999" s="2">
        <v>4422</v>
      </c>
      <c r="B2999" s="2">
        <v>2010</v>
      </c>
      <c r="C2999" s="2" t="s">
        <v>377</v>
      </c>
      <c r="D2999" s="2" t="s">
        <v>73</v>
      </c>
      <c r="E2999" s="2"/>
      <c r="F2999" s="2">
        <v>426</v>
      </c>
      <c r="G2999" s="2" t="s">
        <v>378</v>
      </c>
      <c r="H2999" s="2">
        <v>22</v>
      </c>
      <c r="I2999" s="2" t="s">
        <v>75</v>
      </c>
      <c r="J2999" s="2">
        <v>311</v>
      </c>
      <c r="K2999" s="2" t="s">
        <v>379</v>
      </c>
      <c r="L2999" s="2" t="s">
        <v>380</v>
      </c>
      <c r="M2999" s="3">
        <v>40382</v>
      </c>
      <c r="N2999" s="2" t="s">
        <v>8941</v>
      </c>
      <c r="O2999" s="2"/>
      <c r="P2999" s="2"/>
      <c r="Q2999" s="2" t="str">
        <f>"183-C/10"</f>
        <v>183-C/10</v>
      </c>
      <c r="R2999" s="2" t="s">
        <v>3458</v>
      </c>
      <c r="S2999" s="2"/>
      <c r="T2999" s="2">
        <v>1</v>
      </c>
      <c r="U2999" s="2" t="s">
        <v>79</v>
      </c>
      <c r="V2999" s="2">
        <v>1</v>
      </c>
      <c r="W2999" s="2" t="s">
        <v>80</v>
      </c>
      <c r="X2999" s="2">
        <v>1</v>
      </c>
      <c r="Y2999" s="2" t="s">
        <v>81</v>
      </c>
      <c r="Z2999" s="2">
        <v>1</v>
      </c>
      <c r="AA2999" s="2" t="s">
        <v>82</v>
      </c>
      <c r="AB2999" s="2">
        <v>9</v>
      </c>
      <c r="AC2999" s="2" t="s">
        <v>124</v>
      </c>
      <c r="AD2999" s="3">
        <v>40381</v>
      </c>
      <c r="AE2999" s="4">
        <v>0.68055555555555547</v>
      </c>
      <c r="AF2999" s="2"/>
      <c r="AG2999" s="2"/>
      <c r="AH2999" s="2">
        <v>2</v>
      </c>
      <c r="AI2999" s="2" t="s">
        <v>84</v>
      </c>
      <c r="AJ2999" s="2">
        <v>9</v>
      </c>
      <c r="AK2999" s="2" t="s">
        <v>103</v>
      </c>
      <c r="AL2999" s="2">
        <v>29</v>
      </c>
      <c r="AM2999" s="2" t="s">
        <v>5416</v>
      </c>
      <c r="AN2999" s="2"/>
      <c r="AO2999" s="2" t="s">
        <v>9839</v>
      </c>
      <c r="AP2999" s="2">
        <v>11</v>
      </c>
      <c r="AQ2999" s="2" t="s">
        <v>82</v>
      </c>
      <c r="AR2999" s="2"/>
      <c r="AS2999" s="2"/>
      <c r="AT2999" s="2" t="s">
        <v>9840</v>
      </c>
      <c r="AU2999" s="2"/>
      <c r="AV2999" s="2"/>
      <c r="AW2999" s="2"/>
      <c r="AX2999" s="2"/>
      <c r="AY2999" s="2">
        <v>41</v>
      </c>
      <c r="AZ2999" s="2" t="s">
        <v>82</v>
      </c>
      <c r="BA2999" s="2">
        <v>41</v>
      </c>
      <c r="BB2999" s="2" t="s">
        <v>82</v>
      </c>
      <c r="BC2999" s="2">
        <v>41</v>
      </c>
      <c r="BD2999" s="2" t="s">
        <v>82</v>
      </c>
      <c r="BE2999" s="2">
        <v>41</v>
      </c>
      <c r="BF2999" s="2" t="s">
        <v>82</v>
      </c>
      <c r="BG2999" s="2"/>
      <c r="BH2999" s="2"/>
      <c r="BI2999" s="2"/>
      <c r="BJ2999" s="2">
        <v>241</v>
      </c>
      <c r="BK2999" s="2" t="s">
        <v>82</v>
      </c>
      <c r="BL2999" s="2"/>
      <c r="BM2999" s="2">
        <v>241</v>
      </c>
      <c r="BN2999" s="2" t="s">
        <v>82</v>
      </c>
      <c r="BO2999" s="2"/>
      <c r="BP2999" s="2">
        <v>241</v>
      </c>
      <c r="BQ2999" s="2" t="s">
        <v>82</v>
      </c>
      <c r="BR2999" s="2"/>
      <c r="BS2999" s="3">
        <v>40382</v>
      </c>
      <c r="BT2999" s="4">
        <v>0.48475694444444445</v>
      </c>
    </row>
    <row r="3000" spans="1:72" x14ac:dyDescent="0.25">
      <c r="A3000" s="2">
        <v>4423</v>
      </c>
      <c r="B3000" s="2">
        <v>2010</v>
      </c>
      <c r="C3000" s="2" t="s">
        <v>72</v>
      </c>
      <c r="D3000" s="2" t="s">
        <v>73</v>
      </c>
      <c r="E3000" s="2"/>
      <c r="F3000" s="2">
        <v>76</v>
      </c>
      <c r="G3000" s="2" t="s">
        <v>9841</v>
      </c>
      <c r="H3000" s="2">
        <v>42</v>
      </c>
      <c r="I3000" s="2" t="s">
        <v>1096</v>
      </c>
      <c r="J3000" s="2">
        <v>108</v>
      </c>
      <c r="K3000" s="2" t="s">
        <v>9842</v>
      </c>
      <c r="L3000" s="2" t="s">
        <v>953</v>
      </c>
      <c r="M3000" s="3">
        <v>40382</v>
      </c>
      <c r="N3000" s="2" t="s">
        <v>9843</v>
      </c>
      <c r="O3000" s="2"/>
      <c r="P3000" s="2" t="s">
        <v>107</v>
      </c>
      <c r="Q3000" s="2" t="str">
        <f>"007/2010"</f>
        <v>007/2010</v>
      </c>
      <c r="R3000" s="2" t="s">
        <v>9844</v>
      </c>
      <c r="S3000" s="2" t="s">
        <v>9844</v>
      </c>
      <c r="T3000" s="2">
        <v>1</v>
      </c>
      <c r="U3000" s="2" t="s">
        <v>79</v>
      </c>
      <c r="V3000" s="2">
        <v>1</v>
      </c>
      <c r="W3000" s="2" t="s">
        <v>80</v>
      </c>
      <c r="X3000" s="2">
        <v>12</v>
      </c>
      <c r="Y3000" s="2" t="s">
        <v>148</v>
      </c>
      <c r="Z3000" s="2">
        <v>1</v>
      </c>
      <c r="AA3000" s="2" t="s">
        <v>82</v>
      </c>
      <c r="AB3000" s="2">
        <v>6</v>
      </c>
      <c r="AC3000" s="2" t="s">
        <v>83</v>
      </c>
      <c r="AD3000" s="3">
        <v>40381</v>
      </c>
      <c r="AE3000" s="2"/>
      <c r="AF3000" s="3">
        <v>40382</v>
      </c>
      <c r="AG3000" s="4">
        <v>0.47222222222222227</v>
      </c>
      <c r="AH3000" s="2">
        <v>6</v>
      </c>
      <c r="AI3000" s="2" t="s">
        <v>197</v>
      </c>
      <c r="AJ3000" s="2">
        <v>51</v>
      </c>
      <c r="AK3000" s="2" t="s">
        <v>238</v>
      </c>
      <c r="AL3000" s="2">
        <v>22</v>
      </c>
      <c r="AM3000" s="2" t="s">
        <v>1853</v>
      </c>
      <c r="AN3000" s="2" t="s">
        <v>82</v>
      </c>
      <c r="AO3000" s="2" t="s">
        <v>9845</v>
      </c>
      <c r="AP3000" s="2">
        <v>14</v>
      </c>
      <c r="AQ3000" s="2" t="s">
        <v>3301</v>
      </c>
      <c r="AR3000" s="2" t="s">
        <v>9846</v>
      </c>
      <c r="AS3000" s="2" t="s">
        <v>9847</v>
      </c>
      <c r="AT3000" s="2" t="s">
        <v>9848</v>
      </c>
      <c r="AU3000" s="2"/>
      <c r="AV3000" s="2"/>
      <c r="AW3000" s="2"/>
      <c r="AX3000" s="2"/>
      <c r="AY3000" s="2">
        <v>41</v>
      </c>
      <c r="AZ3000" s="2" t="s">
        <v>82</v>
      </c>
      <c r="BA3000" s="2">
        <v>41</v>
      </c>
      <c r="BB3000" s="2" t="s">
        <v>82</v>
      </c>
      <c r="BC3000" s="2">
        <v>41</v>
      </c>
      <c r="BD3000" s="2" t="s">
        <v>82</v>
      </c>
      <c r="BE3000" s="2">
        <v>4</v>
      </c>
      <c r="BF3000" s="2" t="s">
        <v>90</v>
      </c>
      <c r="BG3000" s="2">
        <v>4270</v>
      </c>
      <c r="BH3000" s="4">
        <v>0.35416666666666669</v>
      </c>
      <c r="BI3000" s="2"/>
      <c r="BJ3000" s="2">
        <v>13</v>
      </c>
      <c r="BK3000" s="2" t="s">
        <v>91</v>
      </c>
      <c r="BL3000" s="2" t="s">
        <v>170</v>
      </c>
      <c r="BM3000" s="2">
        <v>241</v>
      </c>
      <c r="BN3000" s="2" t="s">
        <v>82</v>
      </c>
      <c r="BO3000" s="2" t="s">
        <v>82</v>
      </c>
      <c r="BP3000" s="2">
        <v>13</v>
      </c>
      <c r="BQ3000" s="2" t="s">
        <v>91</v>
      </c>
      <c r="BR3000" s="2" t="s">
        <v>241</v>
      </c>
      <c r="BS3000" s="3">
        <v>40382</v>
      </c>
      <c r="BT3000" s="4">
        <v>0.51489583333333333</v>
      </c>
    </row>
    <row r="3001" spans="1:72" x14ac:dyDescent="0.25">
      <c r="A3001" s="2">
        <v>4425</v>
      </c>
      <c r="B3001" s="2">
        <v>2010</v>
      </c>
      <c r="C3001" s="2" t="s">
        <v>121</v>
      </c>
      <c r="D3001" s="2" t="s">
        <v>122</v>
      </c>
      <c r="E3001" s="2"/>
      <c r="F3001" s="2">
        <v>1</v>
      </c>
      <c r="G3001" s="2" t="s">
        <v>82</v>
      </c>
      <c r="H3001" s="2">
        <v>1</v>
      </c>
      <c r="I3001" s="2" t="s">
        <v>82</v>
      </c>
      <c r="J3001" s="2">
        <v>1</v>
      </c>
      <c r="K3001" s="2" t="s">
        <v>107</v>
      </c>
      <c r="L3001" s="2" t="s">
        <v>107</v>
      </c>
      <c r="M3001" s="3">
        <v>40382</v>
      </c>
      <c r="N3001" s="2"/>
      <c r="O3001" s="2"/>
      <c r="P3001" s="2"/>
      <c r="Q3001" s="2" t="str">
        <f>""</f>
        <v/>
      </c>
      <c r="R3001" s="2"/>
      <c r="S3001" s="2"/>
      <c r="T3001" s="2">
        <v>2</v>
      </c>
      <c r="U3001" s="2" t="s">
        <v>123</v>
      </c>
      <c r="V3001" s="2">
        <v>1</v>
      </c>
      <c r="W3001" s="2" t="s">
        <v>80</v>
      </c>
      <c r="X3001" s="2">
        <v>1</v>
      </c>
      <c r="Y3001" s="2" t="s">
        <v>81</v>
      </c>
      <c r="Z3001" s="2">
        <v>10</v>
      </c>
      <c r="AA3001" s="2" t="s">
        <v>236</v>
      </c>
      <c r="AB3001" s="2">
        <v>9</v>
      </c>
      <c r="AC3001" s="2" t="s">
        <v>124</v>
      </c>
      <c r="AD3001" s="3">
        <v>40382</v>
      </c>
      <c r="AE3001" s="4">
        <v>0.48055555555555557</v>
      </c>
      <c r="AF3001" s="2"/>
      <c r="AG3001" s="2"/>
      <c r="AH3001" s="2">
        <v>4</v>
      </c>
      <c r="AI3001" s="2" t="s">
        <v>125</v>
      </c>
      <c r="AJ3001" s="2">
        <v>31</v>
      </c>
      <c r="AK3001" s="2" t="s">
        <v>1413</v>
      </c>
      <c r="AL3001" s="2">
        <v>10</v>
      </c>
      <c r="AM3001" s="2" t="s">
        <v>200</v>
      </c>
      <c r="AN3001" s="2" t="s">
        <v>230</v>
      </c>
      <c r="AO3001" s="2"/>
      <c r="AP3001" s="2">
        <v>11</v>
      </c>
      <c r="AQ3001" s="2" t="s">
        <v>82</v>
      </c>
      <c r="AR3001" s="2"/>
      <c r="AS3001" s="2"/>
      <c r="AT3001" s="2" t="s">
        <v>9849</v>
      </c>
      <c r="AU3001" s="2"/>
      <c r="AV3001" s="2"/>
      <c r="AW3001" s="2"/>
      <c r="AX3001" s="2"/>
      <c r="AY3001" s="2">
        <v>41</v>
      </c>
      <c r="AZ3001" s="2" t="s">
        <v>82</v>
      </c>
      <c r="BA3001" s="2">
        <v>41</v>
      </c>
      <c r="BB3001" s="2" t="s">
        <v>82</v>
      </c>
      <c r="BC3001" s="2">
        <v>41</v>
      </c>
      <c r="BD3001" s="2" t="s">
        <v>82</v>
      </c>
      <c r="BE3001" s="2">
        <v>42</v>
      </c>
      <c r="BF3001" s="2" t="s">
        <v>182</v>
      </c>
      <c r="BG3001" s="2" t="s">
        <v>9850</v>
      </c>
      <c r="BH3001" s="4">
        <v>0.48055555555555557</v>
      </c>
      <c r="BI3001" s="4">
        <v>0.52222222222222225</v>
      </c>
      <c r="BJ3001" s="2">
        <v>13</v>
      </c>
      <c r="BK3001" s="2" t="s">
        <v>91</v>
      </c>
      <c r="BL3001" s="2" t="s">
        <v>534</v>
      </c>
      <c r="BM3001" s="2">
        <v>13</v>
      </c>
      <c r="BN3001" s="2" t="s">
        <v>91</v>
      </c>
      <c r="BO3001" s="2" t="s">
        <v>4725</v>
      </c>
      <c r="BP3001" s="2">
        <v>13</v>
      </c>
      <c r="BQ3001" s="2" t="s">
        <v>91</v>
      </c>
      <c r="BR3001" s="2" t="s">
        <v>534</v>
      </c>
      <c r="BS3001" s="3">
        <v>40382</v>
      </c>
      <c r="BT3001" s="4">
        <v>0.52714120370370365</v>
      </c>
    </row>
    <row r="3002" spans="1:72" x14ac:dyDescent="0.25">
      <c r="A3002" s="2">
        <v>4427</v>
      </c>
      <c r="B3002" s="2">
        <v>2010</v>
      </c>
      <c r="C3002" s="2" t="s">
        <v>377</v>
      </c>
      <c r="D3002" s="2" t="s">
        <v>73</v>
      </c>
      <c r="E3002" s="2"/>
      <c r="F3002" s="2">
        <v>426</v>
      </c>
      <c r="G3002" s="2" t="s">
        <v>378</v>
      </c>
      <c r="H3002" s="2">
        <v>22</v>
      </c>
      <c r="I3002" s="2" t="s">
        <v>75</v>
      </c>
      <c r="J3002" s="2">
        <v>311</v>
      </c>
      <c r="K3002" s="2" t="s">
        <v>379</v>
      </c>
      <c r="L3002" s="2" t="s">
        <v>380</v>
      </c>
      <c r="M3002" s="3">
        <v>40382</v>
      </c>
      <c r="N3002" s="2" t="s">
        <v>8941</v>
      </c>
      <c r="O3002" s="2"/>
      <c r="P3002" s="2"/>
      <c r="Q3002" s="2" t="str">
        <f>"184-C/10"</f>
        <v>184-C/10</v>
      </c>
      <c r="R3002" s="2" t="s">
        <v>1924</v>
      </c>
      <c r="S3002" s="2"/>
      <c r="T3002" s="2">
        <v>1</v>
      </c>
      <c r="U3002" s="2" t="s">
        <v>79</v>
      </c>
      <c r="V3002" s="2">
        <v>1</v>
      </c>
      <c r="W3002" s="2" t="s">
        <v>80</v>
      </c>
      <c r="X3002" s="2">
        <v>1</v>
      </c>
      <c r="Y3002" s="2" t="s">
        <v>81</v>
      </c>
      <c r="Z3002" s="2">
        <v>1</v>
      </c>
      <c r="AA3002" s="2" t="s">
        <v>82</v>
      </c>
      <c r="AB3002" s="2">
        <v>9</v>
      </c>
      <c r="AC3002" s="2" t="s">
        <v>124</v>
      </c>
      <c r="AD3002" s="3">
        <v>40381</v>
      </c>
      <c r="AE3002" s="4">
        <v>0.46527777777777773</v>
      </c>
      <c r="AF3002" s="2"/>
      <c r="AG3002" s="2"/>
      <c r="AH3002" s="2">
        <v>2</v>
      </c>
      <c r="AI3002" s="2" t="s">
        <v>84</v>
      </c>
      <c r="AJ3002" s="2">
        <v>9</v>
      </c>
      <c r="AK3002" s="2" t="s">
        <v>103</v>
      </c>
      <c r="AL3002" s="2">
        <v>29</v>
      </c>
      <c r="AM3002" s="2" t="s">
        <v>5416</v>
      </c>
      <c r="AN3002" s="2" t="s">
        <v>1345</v>
      </c>
      <c r="AO3002" s="2" t="s">
        <v>987</v>
      </c>
      <c r="AP3002" s="2">
        <v>11</v>
      </c>
      <c r="AQ3002" s="2" t="s">
        <v>82</v>
      </c>
      <c r="AR3002" s="2"/>
      <c r="AS3002" s="2"/>
      <c r="AT3002" s="2" t="s">
        <v>9851</v>
      </c>
      <c r="AU3002" s="2"/>
      <c r="AV3002" s="2"/>
      <c r="AW3002" s="2"/>
      <c r="AX3002" s="2"/>
      <c r="AY3002" s="2">
        <v>41</v>
      </c>
      <c r="AZ3002" s="2" t="s">
        <v>82</v>
      </c>
      <c r="BA3002" s="2">
        <v>41</v>
      </c>
      <c r="BB3002" s="2" t="s">
        <v>82</v>
      </c>
      <c r="BC3002" s="2">
        <v>41</v>
      </c>
      <c r="BD3002" s="2" t="s">
        <v>82</v>
      </c>
      <c r="BE3002" s="2">
        <v>41</v>
      </c>
      <c r="BF3002" s="2" t="s">
        <v>82</v>
      </c>
      <c r="BG3002" s="2"/>
      <c r="BH3002" s="2"/>
      <c r="BI3002" s="2"/>
      <c r="BJ3002" s="2">
        <v>241</v>
      </c>
      <c r="BK3002" s="2" t="s">
        <v>82</v>
      </c>
      <c r="BL3002" s="2"/>
      <c r="BM3002" s="2">
        <v>241</v>
      </c>
      <c r="BN3002" s="2" t="s">
        <v>82</v>
      </c>
      <c r="BO3002" s="2"/>
      <c r="BP3002" s="2">
        <v>241</v>
      </c>
      <c r="BQ3002" s="2" t="s">
        <v>82</v>
      </c>
      <c r="BR3002" s="2"/>
      <c r="BS3002" s="3">
        <v>40382</v>
      </c>
      <c r="BT3002" s="4">
        <v>0.530787037037037</v>
      </c>
    </row>
    <row r="3003" spans="1:72" x14ac:dyDescent="0.25">
      <c r="A3003" s="2">
        <v>4431</v>
      </c>
      <c r="B3003" s="2">
        <v>2010</v>
      </c>
      <c r="C3003" s="2" t="s">
        <v>147</v>
      </c>
      <c r="D3003" s="2" t="s">
        <v>73</v>
      </c>
      <c r="E3003" s="2"/>
      <c r="F3003" s="2">
        <v>1</v>
      </c>
      <c r="G3003" s="2" t="s">
        <v>82</v>
      </c>
      <c r="H3003" s="2">
        <v>1</v>
      </c>
      <c r="I3003" s="2" t="s">
        <v>82</v>
      </c>
      <c r="J3003" s="2">
        <v>1</v>
      </c>
      <c r="K3003" s="2" t="s">
        <v>107</v>
      </c>
      <c r="L3003" s="2" t="s">
        <v>107</v>
      </c>
      <c r="M3003" s="3">
        <v>40382</v>
      </c>
      <c r="N3003" s="2"/>
      <c r="O3003" s="2"/>
      <c r="P3003" s="2"/>
      <c r="Q3003" s="2" t="str">
        <f>""</f>
        <v/>
      </c>
      <c r="R3003" s="2"/>
      <c r="S3003" s="2"/>
      <c r="T3003" s="2">
        <v>2</v>
      </c>
      <c r="U3003" s="2" t="s">
        <v>123</v>
      </c>
      <c r="V3003" s="2">
        <v>1</v>
      </c>
      <c r="W3003" s="2" t="s">
        <v>80</v>
      </c>
      <c r="X3003" s="2">
        <v>12</v>
      </c>
      <c r="Y3003" s="2" t="s">
        <v>148</v>
      </c>
      <c r="Z3003" s="2">
        <v>1</v>
      </c>
      <c r="AA3003" s="2" t="s">
        <v>82</v>
      </c>
      <c r="AB3003" s="2">
        <v>9</v>
      </c>
      <c r="AC3003" s="2" t="s">
        <v>124</v>
      </c>
      <c r="AD3003" s="3">
        <v>40379</v>
      </c>
      <c r="AE3003" s="2"/>
      <c r="AF3003" s="3">
        <v>40382</v>
      </c>
      <c r="AG3003" s="4">
        <v>0.41944444444444445</v>
      </c>
      <c r="AH3003" s="2">
        <v>6</v>
      </c>
      <c r="AI3003" s="2" t="s">
        <v>197</v>
      </c>
      <c r="AJ3003" s="2">
        <v>59</v>
      </c>
      <c r="AK3003" s="2" t="s">
        <v>198</v>
      </c>
      <c r="AL3003" s="2">
        <v>10</v>
      </c>
      <c r="AM3003" s="2" t="s">
        <v>200</v>
      </c>
      <c r="AN3003" s="2"/>
      <c r="AO3003" s="2" t="s">
        <v>107</v>
      </c>
      <c r="AP3003" s="2">
        <v>11</v>
      </c>
      <c r="AQ3003" s="2" t="s">
        <v>82</v>
      </c>
      <c r="AR3003" s="2"/>
      <c r="AS3003" s="2"/>
      <c r="AT3003" s="2" t="s">
        <v>9852</v>
      </c>
      <c r="AU3003" s="2"/>
      <c r="AV3003" s="2"/>
      <c r="AW3003" s="2"/>
      <c r="AX3003" s="2"/>
      <c r="AY3003" s="2">
        <v>1</v>
      </c>
      <c r="AZ3003" s="2" t="s">
        <v>107</v>
      </c>
      <c r="BA3003" s="2">
        <v>1</v>
      </c>
      <c r="BB3003" s="2" t="s">
        <v>107</v>
      </c>
      <c r="BC3003" s="2">
        <v>1</v>
      </c>
      <c r="BD3003" s="2" t="s">
        <v>107</v>
      </c>
      <c r="BE3003" s="2">
        <v>1</v>
      </c>
      <c r="BF3003" s="2" t="s">
        <v>107</v>
      </c>
      <c r="BG3003" s="2"/>
      <c r="BH3003" s="2"/>
      <c r="BI3003" s="2"/>
      <c r="BJ3003" s="2">
        <v>242</v>
      </c>
      <c r="BK3003" s="2" t="s">
        <v>107</v>
      </c>
      <c r="BL3003" s="2"/>
      <c r="BM3003" s="2">
        <v>242</v>
      </c>
      <c r="BN3003" s="2" t="s">
        <v>107</v>
      </c>
      <c r="BO3003" s="2"/>
      <c r="BP3003" s="2">
        <v>242</v>
      </c>
      <c r="BQ3003" s="2" t="s">
        <v>107</v>
      </c>
      <c r="BR3003" s="2"/>
      <c r="BS3003" s="3">
        <v>40382</v>
      </c>
      <c r="BT3003" s="4">
        <v>0.5896527777777778</v>
      </c>
    </row>
    <row r="3004" spans="1:72" x14ac:dyDescent="0.25">
      <c r="A3004" s="2">
        <v>4436</v>
      </c>
      <c r="B3004" s="2">
        <v>2010</v>
      </c>
      <c r="C3004" s="2" t="s">
        <v>121</v>
      </c>
      <c r="D3004" s="2" t="s">
        <v>122</v>
      </c>
      <c r="E3004" s="2"/>
      <c r="F3004" s="2">
        <v>1</v>
      </c>
      <c r="G3004" s="2" t="s">
        <v>82</v>
      </c>
      <c r="H3004" s="2">
        <v>1</v>
      </c>
      <c r="I3004" s="2" t="s">
        <v>82</v>
      </c>
      <c r="J3004" s="2">
        <v>1</v>
      </c>
      <c r="K3004" s="2" t="s">
        <v>107</v>
      </c>
      <c r="L3004" s="2" t="s">
        <v>107</v>
      </c>
      <c r="M3004" s="3">
        <v>40382</v>
      </c>
      <c r="N3004" s="2"/>
      <c r="O3004" s="2"/>
      <c r="P3004" s="2"/>
      <c r="Q3004" s="2" t="str">
        <f>""</f>
        <v/>
      </c>
      <c r="R3004" s="2"/>
      <c r="S3004" s="2"/>
      <c r="T3004" s="2">
        <v>2</v>
      </c>
      <c r="U3004" s="2" t="s">
        <v>123</v>
      </c>
      <c r="V3004" s="2">
        <v>1</v>
      </c>
      <c r="W3004" s="2" t="s">
        <v>80</v>
      </c>
      <c r="X3004" s="2">
        <v>1</v>
      </c>
      <c r="Y3004" s="2" t="s">
        <v>81</v>
      </c>
      <c r="Z3004" s="2">
        <v>1</v>
      </c>
      <c r="AA3004" s="2" t="s">
        <v>82</v>
      </c>
      <c r="AB3004" s="2">
        <v>9</v>
      </c>
      <c r="AC3004" s="2" t="s">
        <v>124</v>
      </c>
      <c r="AD3004" s="3">
        <v>40382</v>
      </c>
      <c r="AE3004" s="4">
        <v>0.64583333333333337</v>
      </c>
      <c r="AF3004" s="2"/>
      <c r="AG3004" s="2"/>
      <c r="AH3004" s="2">
        <v>6</v>
      </c>
      <c r="AI3004" s="2" t="s">
        <v>197</v>
      </c>
      <c r="AJ3004" s="2">
        <v>61</v>
      </c>
      <c r="AK3004" s="2" t="s">
        <v>686</v>
      </c>
      <c r="AL3004" s="2">
        <v>10</v>
      </c>
      <c r="AM3004" s="2" t="s">
        <v>200</v>
      </c>
      <c r="AN3004" s="2"/>
      <c r="AO3004" s="2" t="s">
        <v>6295</v>
      </c>
      <c r="AP3004" s="2">
        <v>11</v>
      </c>
      <c r="AQ3004" s="2" t="s">
        <v>82</v>
      </c>
      <c r="AR3004" s="2"/>
      <c r="AS3004" s="2"/>
      <c r="AT3004" s="2" t="s">
        <v>9853</v>
      </c>
      <c r="AU3004" s="2"/>
      <c r="AV3004" s="2"/>
      <c r="AW3004" s="2"/>
      <c r="AX3004" s="2"/>
      <c r="AY3004" s="2">
        <v>1</v>
      </c>
      <c r="AZ3004" s="2" t="s">
        <v>107</v>
      </c>
      <c r="BA3004" s="2">
        <v>1</v>
      </c>
      <c r="BB3004" s="2" t="s">
        <v>107</v>
      </c>
      <c r="BC3004" s="2">
        <v>1</v>
      </c>
      <c r="BD3004" s="2" t="s">
        <v>107</v>
      </c>
      <c r="BE3004" s="2">
        <v>1</v>
      </c>
      <c r="BF3004" s="2" t="s">
        <v>107</v>
      </c>
      <c r="BG3004" s="2" t="s">
        <v>3200</v>
      </c>
      <c r="BH3004" s="4">
        <v>0.64583333333333337</v>
      </c>
      <c r="BI3004" s="2"/>
      <c r="BJ3004" s="2">
        <v>13</v>
      </c>
      <c r="BK3004" s="2" t="s">
        <v>91</v>
      </c>
      <c r="BL3004" s="2" t="s">
        <v>492</v>
      </c>
      <c r="BM3004" s="2">
        <v>242</v>
      </c>
      <c r="BN3004" s="2" t="s">
        <v>107</v>
      </c>
      <c r="BO3004" s="2"/>
      <c r="BP3004" s="2">
        <v>242</v>
      </c>
      <c r="BQ3004" s="2" t="s">
        <v>107</v>
      </c>
      <c r="BR3004" s="2"/>
      <c r="BS3004" s="3">
        <v>40382</v>
      </c>
      <c r="BT3004" s="4">
        <v>0.71187500000000004</v>
      </c>
    </row>
    <row r="3005" spans="1:72" x14ac:dyDescent="0.25">
      <c r="A3005" s="2">
        <v>4437</v>
      </c>
      <c r="B3005" s="2">
        <v>2010</v>
      </c>
      <c r="C3005" s="2" t="s">
        <v>4543</v>
      </c>
      <c r="D3005" s="2" t="s">
        <v>122</v>
      </c>
      <c r="E3005" s="2"/>
      <c r="F3005" s="2">
        <v>1</v>
      </c>
      <c r="G3005" s="2" t="s">
        <v>82</v>
      </c>
      <c r="H3005" s="2">
        <v>1</v>
      </c>
      <c r="I3005" s="2" t="s">
        <v>82</v>
      </c>
      <c r="J3005" s="2">
        <v>1</v>
      </c>
      <c r="K3005" s="2" t="s">
        <v>107</v>
      </c>
      <c r="L3005" s="2" t="s">
        <v>107</v>
      </c>
      <c r="M3005" s="3">
        <v>40382</v>
      </c>
      <c r="N3005" s="2"/>
      <c r="O3005" s="2"/>
      <c r="P3005" s="2"/>
      <c r="Q3005" s="2" t="str">
        <f>""</f>
        <v/>
      </c>
      <c r="R3005" s="2"/>
      <c r="S3005" s="2"/>
      <c r="T3005" s="2">
        <v>2</v>
      </c>
      <c r="U3005" s="2" t="s">
        <v>123</v>
      </c>
      <c r="V3005" s="2">
        <v>1</v>
      </c>
      <c r="W3005" s="2" t="s">
        <v>80</v>
      </c>
      <c r="X3005" s="2">
        <v>5</v>
      </c>
      <c r="Y3005" s="2" t="s">
        <v>82</v>
      </c>
      <c r="Z3005" s="2">
        <v>1</v>
      </c>
      <c r="AA3005" s="2" t="s">
        <v>82</v>
      </c>
      <c r="AB3005" s="2">
        <v>9</v>
      </c>
      <c r="AC3005" s="2" t="s">
        <v>124</v>
      </c>
      <c r="AD3005" s="3">
        <v>40382</v>
      </c>
      <c r="AE3005" s="4">
        <v>0.61111111111111105</v>
      </c>
      <c r="AF3005" s="2"/>
      <c r="AG3005" s="2"/>
      <c r="AH3005" s="2">
        <v>6</v>
      </c>
      <c r="AI3005" s="2" t="s">
        <v>197</v>
      </c>
      <c r="AJ3005" s="2">
        <v>46</v>
      </c>
      <c r="AK3005" s="2" t="s">
        <v>197</v>
      </c>
      <c r="AL3005" s="2">
        <v>18</v>
      </c>
      <c r="AM3005" s="2" t="s">
        <v>82</v>
      </c>
      <c r="AN3005" s="2" t="s">
        <v>6309</v>
      </c>
      <c r="AO3005" s="2" t="s">
        <v>163</v>
      </c>
      <c r="AP3005" s="2">
        <v>11</v>
      </c>
      <c r="AQ3005" s="2" t="s">
        <v>82</v>
      </c>
      <c r="AR3005" s="2"/>
      <c r="AS3005" s="2"/>
      <c r="AT3005" s="2" t="s">
        <v>9854</v>
      </c>
      <c r="AU3005" s="2"/>
      <c r="AV3005" s="2"/>
      <c r="AW3005" s="2"/>
      <c r="AX3005" s="2"/>
      <c r="AY3005" s="2">
        <v>1</v>
      </c>
      <c r="AZ3005" s="2" t="s">
        <v>107</v>
      </c>
      <c r="BA3005" s="2">
        <v>1</v>
      </c>
      <c r="BB3005" s="2" t="s">
        <v>107</v>
      </c>
      <c r="BC3005" s="2">
        <v>1</v>
      </c>
      <c r="BD3005" s="2" t="s">
        <v>107</v>
      </c>
      <c r="BE3005" s="2">
        <v>1</v>
      </c>
      <c r="BF3005" s="2" t="s">
        <v>107</v>
      </c>
      <c r="BG3005" s="2"/>
      <c r="BH3005" s="2"/>
      <c r="BI3005" s="2"/>
      <c r="BJ3005" s="2">
        <v>242</v>
      </c>
      <c r="BK3005" s="2" t="s">
        <v>107</v>
      </c>
      <c r="BL3005" s="2"/>
      <c r="BM3005" s="2">
        <v>242</v>
      </c>
      <c r="BN3005" s="2" t="s">
        <v>107</v>
      </c>
      <c r="BO3005" s="2"/>
      <c r="BP3005" s="2">
        <v>242</v>
      </c>
      <c r="BQ3005" s="2" t="s">
        <v>107</v>
      </c>
      <c r="BR3005" s="2"/>
      <c r="BS3005" s="3">
        <v>40382</v>
      </c>
      <c r="BT3005" s="4">
        <v>0.71407407407407408</v>
      </c>
    </row>
    <row r="3006" spans="1:72" x14ac:dyDescent="0.25">
      <c r="A3006" s="2">
        <v>4438</v>
      </c>
      <c r="B3006" s="2">
        <v>2010</v>
      </c>
      <c r="C3006" s="2" t="s">
        <v>72</v>
      </c>
      <c r="D3006" s="2" t="s">
        <v>73</v>
      </c>
      <c r="E3006" s="2"/>
      <c r="F3006" s="2">
        <v>3</v>
      </c>
      <c r="G3006" s="2" t="s">
        <v>1041</v>
      </c>
      <c r="H3006" s="2">
        <v>1</v>
      </c>
      <c r="I3006" s="2" t="s">
        <v>82</v>
      </c>
      <c r="J3006" s="2">
        <v>368</v>
      </c>
      <c r="K3006" s="2" t="s">
        <v>1042</v>
      </c>
      <c r="L3006" s="2" t="s">
        <v>1043</v>
      </c>
      <c r="M3006" s="3">
        <v>40382</v>
      </c>
      <c r="N3006" s="2"/>
      <c r="O3006" s="2"/>
      <c r="P3006" s="2"/>
      <c r="Q3006" s="2" t="str">
        <f>"375-E/10"</f>
        <v>375-E/10</v>
      </c>
      <c r="R3006" s="2"/>
      <c r="S3006" s="2" t="s">
        <v>116</v>
      </c>
      <c r="T3006" s="2">
        <v>1</v>
      </c>
      <c r="U3006" s="2" t="s">
        <v>79</v>
      </c>
      <c r="V3006" s="2">
        <v>1</v>
      </c>
      <c r="W3006" s="2" t="s">
        <v>80</v>
      </c>
      <c r="X3006" s="2">
        <v>12</v>
      </c>
      <c r="Y3006" s="2" t="s">
        <v>148</v>
      </c>
      <c r="Z3006" s="2">
        <v>1</v>
      </c>
      <c r="AA3006" s="2" t="s">
        <v>82</v>
      </c>
      <c r="AB3006" s="2">
        <v>6</v>
      </c>
      <c r="AC3006" s="2" t="s">
        <v>83</v>
      </c>
      <c r="AD3006" s="3">
        <v>40382</v>
      </c>
      <c r="AE3006" s="2"/>
      <c r="AF3006" s="3">
        <v>40382</v>
      </c>
      <c r="AG3006" s="4">
        <v>0.61805555555555558</v>
      </c>
      <c r="AH3006" s="2">
        <v>2</v>
      </c>
      <c r="AI3006" s="2" t="s">
        <v>84</v>
      </c>
      <c r="AJ3006" s="2">
        <v>9</v>
      </c>
      <c r="AK3006" s="2" t="s">
        <v>103</v>
      </c>
      <c r="AL3006" s="2">
        <v>12</v>
      </c>
      <c r="AM3006" s="2" t="s">
        <v>86</v>
      </c>
      <c r="AN3006" s="2" t="s">
        <v>9855</v>
      </c>
      <c r="AO3006" s="2"/>
      <c r="AP3006" s="2">
        <v>11</v>
      </c>
      <c r="AQ3006" s="2" t="s">
        <v>82</v>
      </c>
      <c r="AR3006" s="2"/>
      <c r="AS3006" s="2"/>
      <c r="AT3006" s="2" t="s">
        <v>9856</v>
      </c>
      <c r="AU3006" s="2"/>
      <c r="AV3006" s="2"/>
      <c r="AW3006" s="2"/>
      <c r="AX3006" s="2"/>
      <c r="AY3006" s="2">
        <v>41</v>
      </c>
      <c r="AZ3006" s="2" t="s">
        <v>82</v>
      </c>
      <c r="BA3006" s="2">
        <v>41</v>
      </c>
      <c r="BB3006" s="2" t="s">
        <v>82</v>
      </c>
      <c r="BC3006" s="2">
        <v>41</v>
      </c>
      <c r="BD3006" s="2" t="s">
        <v>82</v>
      </c>
      <c r="BE3006" s="2">
        <v>41</v>
      </c>
      <c r="BF3006" s="2" t="s">
        <v>82</v>
      </c>
      <c r="BG3006" s="2"/>
      <c r="BH3006" s="2"/>
      <c r="BI3006" s="2"/>
      <c r="BJ3006" s="2">
        <v>241</v>
      </c>
      <c r="BK3006" s="2" t="s">
        <v>82</v>
      </c>
      <c r="BL3006" s="2"/>
      <c r="BM3006" s="2">
        <v>241</v>
      </c>
      <c r="BN3006" s="2" t="s">
        <v>82</v>
      </c>
      <c r="BO3006" s="2"/>
      <c r="BP3006" s="2">
        <v>241</v>
      </c>
      <c r="BQ3006" s="2" t="s">
        <v>82</v>
      </c>
      <c r="BR3006" s="2"/>
      <c r="BS3006" s="3">
        <v>40382</v>
      </c>
      <c r="BT3006" s="4">
        <v>0.72690972222222217</v>
      </c>
    </row>
    <row r="3007" spans="1:72" x14ac:dyDescent="0.25">
      <c r="A3007" s="2">
        <v>4439</v>
      </c>
      <c r="B3007" s="2">
        <v>2010</v>
      </c>
      <c r="C3007" s="2" t="s">
        <v>377</v>
      </c>
      <c r="D3007" s="2" t="s">
        <v>73</v>
      </c>
      <c r="E3007" s="2"/>
      <c r="F3007" s="2">
        <v>426</v>
      </c>
      <c r="G3007" s="2" t="s">
        <v>378</v>
      </c>
      <c r="H3007" s="2">
        <v>22</v>
      </c>
      <c r="I3007" s="2" t="s">
        <v>75</v>
      </c>
      <c r="J3007" s="2">
        <v>311</v>
      </c>
      <c r="K3007" s="2" t="s">
        <v>379</v>
      </c>
      <c r="L3007" s="2" t="s">
        <v>380</v>
      </c>
      <c r="M3007" s="3">
        <v>40382</v>
      </c>
      <c r="N3007" s="2" t="s">
        <v>7171</v>
      </c>
      <c r="O3007" s="2"/>
      <c r="P3007" s="2"/>
      <c r="Q3007" s="2" t="str">
        <f>"185-C/10"</f>
        <v>185-C/10</v>
      </c>
      <c r="R3007" s="2" t="s">
        <v>9857</v>
      </c>
      <c r="S3007" s="2"/>
      <c r="T3007" s="2">
        <v>1</v>
      </c>
      <c r="U3007" s="2" t="s">
        <v>79</v>
      </c>
      <c r="V3007" s="2">
        <v>1</v>
      </c>
      <c r="W3007" s="2" t="s">
        <v>80</v>
      </c>
      <c r="X3007" s="2">
        <v>1</v>
      </c>
      <c r="Y3007" s="2" t="s">
        <v>81</v>
      </c>
      <c r="Z3007" s="2">
        <v>1</v>
      </c>
      <c r="AA3007" s="2" t="s">
        <v>82</v>
      </c>
      <c r="AB3007" s="2">
        <v>9</v>
      </c>
      <c r="AC3007" s="2" t="s">
        <v>124</v>
      </c>
      <c r="AD3007" s="3">
        <v>40382</v>
      </c>
      <c r="AE3007" s="4">
        <v>0.43055555555555558</v>
      </c>
      <c r="AF3007" s="2"/>
      <c r="AG3007" s="2"/>
      <c r="AH3007" s="2">
        <v>2</v>
      </c>
      <c r="AI3007" s="2" t="s">
        <v>84</v>
      </c>
      <c r="AJ3007" s="2">
        <v>9</v>
      </c>
      <c r="AK3007" s="2" t="s">
        <v>103</v>
      </c>
      <c r="AL3007" s="2">
        <v>24</v>
      </c>
      <c r="AM3007" s="2" t="s">
        <v>1540</v>
      </c>
      <c r="AN3007" s="2"/>
      <c r="AO3007" s="2" t="s">
        <v>9858</v>
      </c>
      <c r="AP3007" s="2">
        <v>11</v>
      </c>
      <c r="AQ3007" s="2" t="s">
        <v>82</v>
      </c>
      <c r="AR3007" s="2"/>
      <c r="AS3007" s="2"/>
      <c r="AT3007" s="2" t="s">
        <v>9859</v>
      </c>
      <c r="AU3007" s="2"/>
      <c r="AV3007" s="2"/>
      <c r="AW3007" s="2"/>
      <c r="AX3007" s="2"/>
      <c r="AY3007" s="2">
        <v>41</v>
      </c>
      <c r="AZ3007" s="2" t="s">
        <v>82</v>
      </c>
      <c r="BA3007" s="2">
        <v>41</v>
      </c>
      <c r="BB3007" s="2" t="s">
        <v>82</v>
      </c>
      <c r="BC3007" s="2">
        <v>41</v>
      </c>
      <c r="BD3007" s="2" t="s">
        <v>82</v>
      </c>
      <c r="BE3007" s="2">
        <v>41</v>
      </c>
      <c r="BF3007" s="2" t="s">
        <v>82</v>
      </c>
      <c r="BG3007" s="2"/>
      <c r="BH3007" s="2"/>
      <c r="BI3007" s="2"/>
      <c r="BJ3007" s="2">
        <v>241</v>
      </c>
      <c r="BK3007" s="2" t="s">
        <v>82</v>
      </c>
      <c r="BL3007" s="2"/>
      <c r="BM3007" s="2">
        <v>241</v>
      </c>
      <c r="BN3007" s="2" t="s">
        <v>82</v>
      </c>
      <c r="BO3007" s="2"/>
      <c r="BP3007" s="2">
        <v>241</v>
      </c>
      <c r="BQ3007" s="2" t="s">
        <v>82</v>
      </c>
      <c r="BR3007" s="2"/>
      <c r="BS3007" s="3">
        <v>40382</v>
      </c>
      <c r="BT3007" s="4">
        <v>0.78944444444444439</v>
      </c>
    </row>
    <row r="3008" spans="1:72" x14ac:dyDescent="0.25">
      <c r="A3008" s="2">
        <v>4440</v>
      </c>
      <c r="B3008" s="2">
        <v>2010</v>
      </c>
      <c r="C3008" s="2" t="s">
        <v>377</v>
      </c>
      <c r="D3008" s="2" t="s">
        <v>73</v>
      </c>
      <c r="E3008" s="2"/>
      <c r="F3008" s="2">
        <v>426</v>
      </c>
      <c r="G3008" s="2" t="s">
        <v>378</v>
      </c>
      <c r="H3008" s="2">
        <v>42</v>
      </c>
      <c r="I3008" s="2" t="s">
        <v>1096</v>
      </c>
      <c r="J3008" s="2">
        <v>311</v>
      </c>
      <c r="K3008" s="2" t="s">
        <v>379</v>
      </c>
      <c r="L3008" s="2" t="s">
        <v>380</v>
      </c>
      <c r="M3008" s="3">
        <v>40382</v>
      </c>
      <c r="N3008" s="2" t="s">
        <v>5164</v>
      </c>
      <c r="O3008" s="2"/>
      <c r="P3008" s="2"/>
      <c r="Q3008" s="2" t="str">
        <f>"186-C/10"</f>
        <v>186-C/10</v>
      </c>
      <c r="R3008" s="2" t="s">
        <v>3458</v>
      </c>
      <c r="S3008" s="2"/>
      <c r="T3008" s="2">
        <v>1</v>
      </c>
      <c r="U3008" s="2" t="s">
        <v>79</v>
      </c>
      <c r="V3008" s="2">
        <v>1</v>
      </c>
      <c r="W3008" s="2" t="s">
        <v>80</v>
      </c>
      <c r="X3008" s="2">
        <v>1</v>
      </c>
      <c r="Y3008" s="2" t="s">
        <v>81</v>
      </c>
      <c r="Z3008" s="2">
        <v>1</v>
      </c>
      <c r="AA3008" s="2" t="s">
        <v>82</v>
      </c>
      <c r="AB3008" s="2">
        <v>9</v>
      </c>
      <c r="AC3008" s="2" t="s">
        <v>124</v>
      </c>
      <c r="AD3008" s="3">
        <v>40382</v>
      </c>
      <c r="AE3008" s="4">
        <v>0.6875</v>
      </c>
      <c r="AF3008" s="2"/>
      <c r="AG3008" s="2"/>
      <c r="AH3008" s="2">
        <v>2</v>
      </c>
      <c r="AI3008" s="2" t="s">
        <v>84</v>
      </c>
      <c r="AJ3008" s="2">
        <v>9</v>
      </c>
      <c r="AK3008" s="2" t="s">
        <v>103</v>
      </c>
      <c r="AL3008" s="2">
        <v>29</v>
      </c>
      <c r="AM3008" s="2" t="s">
        <v>5416</v>
      </c>
      <c r="AN3008" s="2" t="s">
        <v>1936</v>
      </c>
      <c r="AO3008" s="2" t="s">
        <v>987</v>
      </c>
      <c r="AP3008" s="2">
        <v>11</v>
      </c>
      <c r="AQ3008" s="2" t="s">
        <v>82</v>
      </c>
      <c r="AR3008" s="2"/>
      <c r="AS3008" s="2"/>
      <c r="AT3008" s="2" t="s">
        <v>9611</v>
      </c>
      <c r="AU3008" s="2"/>
      <c r="AV3008" s="2"/>
      <c r="AW3008" s="2"/>
      <c r="AX3008" s="2"/>
      <c r="AY3008" s="2">
        <v>41</v>
      </c>
      <c r="AZ3008" s="2" t="s">
        <v>82</v>
      </c>
      <c r="BA3008" s="2">
        <v>41</v>
      </c>
      <c r="BB3008" s="2" t="s">
        <v>82</v>
      </c>
      <c r="BC3008" s="2">
        <v>41</v>
      </c>
      <c r="BD3008" s="2" t="s">
        <v>82</v>
      </c>
      <c r="BE3008" s="2">
        <v>41</v>
      </c>
      <c r="BF3008" s="2" t="s">
        <v>82</v>
      </c>
      <c r="BG3008" s="2"/>
      <c r="BH3008" s="2"/>
      <c r="BI3008" s="2"/>
      <c r="BJ3008" s="2">
        <v>241</v>
      </c>
      <c r="BK3008" s="2" t="s">
        <v>82</v>
      </c>
      <c r="BL3008" s="2"/>
      <c r="BM3008" s="2">
        <v>241</v>
      </c>
      <c r="BN3008" s="2" t="s">
        <v>82</v>
      </c>
      <c r="BO3008" s="2"/>
      <c r="BP3008" s="2">
        <v>241</v>
      </c>
      <c r="BQ3008" s="2" t="s">
        <v>82</v>
      </c>
      <c r="BR3008" s="2"/>
      <c r="BS3008" s="3">
        <v>40382</v>
      </c>
      <c r="BT3008" s="4">
        <v>0.80337962962962972</v>
      </c>
    </row>
    <row r="3009" spans="1:72" x14ac:dyDescent="0.25">
      <c r="A3009" s="2">
        <v>4441</v>
      </c>
      <c r="B3009" s="2">
        <v>2010</v>
      </c>
      <c r="C3009" s="2" t="s">
        <v>72</v>
      </c>
      <c r="D3009" s="2" t="s">
        <v>73</v>
      </c>
      <c r="E3009" s="2"/>
      <c r="F3009" s="2">
        <v>649</v>
      </c>
      <c r="G3009" s="2" t="s">
        <v>9141</v>
      </c>
      <c r="H3009" s="2">
        <v>22</v>
      </c>
      <c r="I3009" s="2" t="s">
        <v>75</v>
      </c>
      <c r="J3009" s="2">
        <v>602</v>
      </c>
      <c r="K3009" s="2" t="s">
        <v>9091</v>
      </c>
      <c r="L3009" s="2" t="s">
        <v>9092</v>
      </c>
      <c r="M3009" s="3">
        <v>40382</v>
      </c>
      <c r="N3009" s="2" t="s">
        <v>9860</v>
      </c>
      <c r="O3009" s="2"/>
      <c r="P3009" s="2"/>
      <c r="Q3009" s="2" t="str">
        <f>"283-A/10"</f>
        <v>283-A/10</v>
      </c>
      <c r="R3009" s="2"/>
      <c r="S3009" s="2" t="s">
        <v>78</v>
      </c>
      <c r="T3009" s="2">
        <v>1</v>
      </c>
      <c r="U3009" s="2" t="s">
        <v>79</v>
      </c>
      <c r="V3009" s="2">
        <v>1</v>
      </c>
      <c r="W3009" s="2" t="s">
        <v>80</v>
      </c>
      <c r="X3009" s="2">
        <v>12</v>
      </c>
      <c r="Y3009" s="2" t="s">
        <v>148</v>
      </c>
      <c r="Z3009" s="2">
        <v>1</v>
      </c>
      <c r="AA3009" s="2" t="s">
        <v>82</v>
      </c>
      <c r="AB3009" s="2">
        <v>6</v>
      </c>
      <c r="AC3009" s="2" t="s">
        <v>83</v>
      </c>
      <c r="AD3009" s="3">
        <v>40382</v>
      </c>
      <c r="AE3009" s="2"/>
      <c r="AF3009" s="3">
        <v>40382</v>
      </c>
      <c r="AG3009" s="4">
        <v>0.77083333333333337</v>
      </c>
      <c r="AH3009" s="2">
        <v>2</v>
      </c>
      <c r="AI3009" s="2" t="s">
        <v>84</v>
      </c>
      <c r="AJ3009" s="2">
        <v>12</v>
      </c>
      <c r="AK3009" s="2" t="s">
        <v>85</v>
      </c>
      <c r="AL3009" s="2">
        <v>12</v>
      </c>
      <c r="AM3009" s="2" t="s">
        <v>86</v>
      </c>
      <c r="AN3009" s="2" t="s">
        <v>9861</v>
      </c>
      <c r="AO3009" s="2"/>
      <c r="AP3009" s="2">
        <v>11</v>
      </c>
      <c r="AQ3009" s="2" t="s">
        <v>82</v>
      </c>
      <c r="AR3009" s="2"/>
      <c r="AS3009" s="2"/>
      <c r="AT3009" s="2" t="s">
        <v>9862</v>
      </c>
      <c r="AU3009" s="2"/>
      <c r="AV3009" s="2"/>
      <c r="AW3009" s="2"/>
      <c r="AX3009" s="2"/>
      <c r="AY3009" s="2">
        <v>41</v>
      </c>
      <c r="AZ3009" s="2" t="s">
        <v>82</v>
      </c>
      <c r="BA3009" s="2">
        <v>41</v>
      </c>
      <c r="BB3009" s="2" t="s">
        <v>82</v>
      </c>
      <c r="BC3009" s="2">
        <v>41</v>
      </c>
      <c r="BD3009" s="2" t="s">
        <v>82</v>
      </c>
      <c r="BE3009" s="2">
        <v>41</v>
      </c>
      <c r="BF3009" s="2" t="s">
        <v>82</v>
      </c>
      <c r="BG3009" s="2"/>
      <c r="BH3009" s="2"/>
      <c r="BI3009" s="2"/>
      <c r="BJ3009" s="2">
        <v>241</v>
      </c>
      <c r="BK3009" s="2" t="s">
        <v>82</v>
      </c>
      <c r="BL3009" s="2"/>
      <c r="BM3009" s="2">
        <v>241</v>
      </c>
      <c r="BN3009" s="2" t="s">
        <v>82</v>
      </c>
      <c r="BO3009" s="2"/>
      <c r="BP3009" s="2">
        <v>241</v>
      </c>
      <c r="BQ3009" s="2" t="s">
        <v>82</v>
      </c>
      <c r="BR3009" s="2"/>
      <c r="BS3009" s="3">
        <v>40382</v>
      </c>
      <c r="BT3009" s="4">
        <v>0.8241087962962963</v>
      </c>
    </row>
    <row r="3010" spans="1:72" x14ac:dyDescent="0.25">
      <c r="A3010" s="2">
        <v>4442</v>
      </c>
      <c r="B3010" s="2">
        <v>2010</v>
      </c>
      <c r="C3010" s="2" t="s">
        <v>819</v>
      </c>
      <c r="D3010" s="2" t="s">
        <v>122</v>
      </c>
      <c r="E3010" s="2"/>
      <c r="F3010" s="2">
        <v>451</v>
      </c>
      <c r="G3010" s="2" t="s">
        <v>879</v>
      </c>
      <c r="H3010" s="2">
        <v>5</v>
      </c>
      <c r="I3010" s="2" t="s">
        <v>634</v>
      </c>
      <c r="J3010" s="2">
        <v>326</v>
      </c>
      <c r="K3010" s="2" t="s">
        <v>881</v>
      </c>
      <c r="L3010" s="2" t="s">
        <v>882</v>
      </c>
      <c r="M3010" s="3">
        <v>40382</v>
      </c>
      <c r="N3010" s="2" t="s">
        <v>3096</v>
      </c>
      <c r="O3010" s="2" t="s">
        <v>3296</v>
      </c>
      <c r="P3010" s="2" t="s">
        <v>2957</v>
      </c>
      <c r="Q3010" s="2" t="str">
        <f>"085/10"</f>
        <v>085/10</v>
      </c>
      <c r="R3010" s="2" t="s">
        <v>3299</v>
      </c>
      <c r="S3010" s="2" t="s">
        <v>822</v>
      </c>
      <c r="T3010" s="2">
        <v>1</v>
      </c>
      <c r="U3010" s="2" t="s">
        <v>79</v>
      </c>
      <c r="V3010" s="2">
        <v>1</v>
      </c>
      <c r="W3010" s="2" t="s">
        <v>80</v>
      </c>
      <c r="X3010" s="2">
        <v>1</v>
      </c>
      <c r="Y3010" s="2" t="s">
        <v>81</v>
      </c>
      <c r="Z3010" s="2">
        <v>10</v>
      </c>
      <c r="AA3010" s="2" t="s">
        <v>236</v>
      </c>
      <c r="AB3010" s="2">
        <v>9</v>
      </c>
      <c r="AC3010" s="2" t="s">
        <v>124</v>
      </c>
      <c r="AD3010" s="3">
        <v>40382</v>
      </c>
      <c r="AE3010" s="4">
        <v>0.90277777777777779</v>
      </c>
      <c r="AF3010" s="2"/>
      <c r="AG3010" s="2"/>
      <c r="AH3010" s="2">
        <v>4</v>
      </c>
      <c r="AI3010" s="2" t="s">
        <v>125</v>
      </c>
      <c r="AJ3010" s="2">
        <v>29</v>
      </c>
      <c r="AK3010" s="2" t="s">
        <v>227</v>
      </c>
      <c r="AL3010" s="2">
        <v>16</v>
      </c>
      <c r="AM3010" s="2" t="s">
        <v>392</v>
      </c>
      <c r="AN3010" s="2" t="s">
        <v>1015</v>
      </c>
      <c r="AO3010" s="2" t="s">
        <v>9863</v>
      </c>
      <c r="AP3010" s="2">
        <v>12</v>
      </c>
      <c r="AQ3010" s="2" t="s">
        <v>322</v>
      </c>
      <c r="AR3010" s="2" t="s">
        <v>824</v>
      </c>
      <c r="AS3010" s="2" t="s">
        <v>825</v>
      </c>
      <c r="AT3010" s="2" t="s">
        <v>9864</v>
      </c>
      <c r="AU3010" s="2"/>
      <c r="AV3010" s="2"/>
      <c r="AW3010" s="2"/>
      <c r="AX3010" s="2"/>
      <c r="AY3010" s="2">
        <v>41</v>
      </c>
      <c r="AZ3010" s="2" t="s">
        <v>82</v>
      </c>
      <c r="BA3010" s="2">
        <v>41</v>
      </c>
      <c r="BB3010" s="2" t="s">
        <v>82</v>
      </c>
      <c r="BC3010" s="2">
        <v>51</v>
      </c>
      <c r="BD3010" s="2" t="s">
        <v>827</v>
      </c>
      <c r="BE3010" s="2">
        <v>13</v>
      </c>
      <c r="BF3010" s="2" t="s">
        <v>108</v>
      </c>
      <c r="BG3010" s="2">
        <v>1459</v>
      </c>
      <c r="BH3010" s="4">
        <v>0.90972222222222221</v>
      </c>
      <c r="BI3010" s="4">
        <v>0.9375</v>
      </c>
      <c r="BJ3010" s="2">
        <v>13</v>
      </c>
      <c r="BK3010" s="2" t="s">
        <v>91</v>
      </c>
      <c r="BL3010" s="2" t="s">
        <v>828</v>
      </c>
      <c r="BM3010" s="2">
        <v>241</v>
      </c>
      <c r="BN3010" s="2" t="s">
        <v>82</v>
      </c>
      <c r="BO3010" s="2" t="s">
        <v>2529</v>
      </c>
      <c r="BP3010" s="2">
        <v>13</v>
      </c>
      <c r="BQ3010" s="2" t="s">
        <v>91</v>
      </c>
      <c r="BR3010" s="2" t="s">
        <v>185</v>
      </c>
      <c r="BS3010" s="3">
        <v>40382</v>
      </c>
      <c r="BT3010" s="4">
        <v>0.93765046296296306</v>
      </c>
    </row>
    <row r="3011" spans="1:72" x14ac:dyDescent="0.25">
      <c r="A3011" s="2">
        <v>4443</v>
      </c>
      <c r="B3011" s="2">
        <v>2010</v>
      </c>
      <c r="C3011" s="2" t="s">
        <v>171</v>
      </c>
      <c r="D3011" s="2" t="s">
        <v>73</v>
      </c>
      <c r="E3011" s="2"/>
      <c r="F3011" s="2">
        <v>100</v>
      </c>
      <c r="G3011" s="2" t="s">
        <v>517</v>
      </c>
      <c r="H3011" s="2">
        <v>47</v>
      </c>
      <c r="I3011" s="2" t="s">
        <v>1409</v>
      </c>
      <c r="J3011" s="2">
        <v>119</v>
      </c>
      <c r="K3011" s="2" t="s">
        <v>325</v>
      </c>
      <c r="L3011" s="2" t="s">
        <v>326</v>
      </c>
      <c r="M3011" s="3">
        <v>40383</v>
      </c>
      <c r="N3011" s="2" t="s">
        <v>9865</v>
      </c>
      <c r="O3011" s="2"/>
      <c r="P3011" s="2" t="s">
        <v>107</v>
      </c>
      <c r="Q3011" s="2" t="str">
        <f>"026-2010"</f>
        <v>026-2010</v>
      </c>
      <c r="R3011" s="2" t="s">
        <v>9866</v>
      </c>
      <c r="S3011" s="2" t="s">
        <v>9866</v>
      </c>
      <c r="T3011" s="2">
        <v>1</v>
      </c>
      <c r="U3011" s="2" t="s">
        <v>79</v>
      </c>
      <c r="V3011" s="2">
        <v>1</v>
      </c>
      <c r="W3011" s="2" t="s">
        <v>80</v>
      </c>
      <c r="X3011" s="2">
        <v>1</v>
      </c>
      <c r="Y3011" s="2" t="s">
        <v>81</v>
      </c>
      <c r="Z3011" s="2">
        <v>1</v>
      </c>
      <c r="AA3011" s="2" t="s">
        <v>82</v>
      </c>
      <c r="AB3011" s="2">
        <v>1</v>
      </c>
      <c r="AC3011" s="2" t="s">
        <v>178</v>
      </c>
      <c r="AD3011" s="3">
        <v>40382</v>
      </c>
      <c r="AE3011" s="4">
        <v>0.76388888888888884</v>
      </c>
      <c r="AF3011" s="2"/>
      <c r="AG3011" s="2"/>
      <c r="AH3011" s="2">
        <v>6</v>
      </c>
      <c r="AI3011" s="2" t="s">
        <v>197</v>
      </c>
      <c r="AJ3011" s="2">
        <v>50</v>
      </c>
      <c r="AK3011" s="2" t="s">
        <v>330</v>
      </c>
      <c r="AL3011" s="2">
        <v>22</v>
      </c>
      <c r="AM3011" s="2" t="s">
        <v>1853</v>
      </c>
      <c r="AN3011" s="2" t="s">
        <v>9867</v>
      </c>
      <c r="AO3011" s="2" t="s">
        <v>9868</v>
      </c>
      <c r="AP3011" s="2">
        <v>11</v>
      </c>
      <c r="AQ3011" s="2" t="s">
        <v>82</v>
      </c>
      <c r="AR3011" s="2" t="s">
        <v>82</v>
      </c>
      <c r="AS3011" s="2" t="s">
        <v>82</v>
      </c>
      <c r="AT3011" s="2" t="s">
        <v>9869</v>
      </c>
      <c r="AU3011" s="2"/>
      <c r="AV3011" s="2"/>
      <c r="AW3011" s="2"/>
      <c r="AX3011" s="2"/>
      <c r="AY3011" s="2">
        <v>41</v>
      </c>
      <c r="AZ3011" s="2" t="s">
        <v>82</v>
      </c>
      <c r="BA3011" s="2">
        <v>41</v>
      </c>
      <c r="BB3011" s="2" t="s">
        <v>82</v>
      </c>
      <c r="BC3011" s="2">
        <v>41</v>
      </c>
      <c r="BD3011" s="2" t="s">
        <v>82</v>
      </c>
      <c r="BE3011" s="2">
        <v>4</v>
      </c>
      <c r="BF3011" s="2" t="s">
        <v>90</v>
      </c>
      <c r="BG3011" s="2">
        <v>4351</v>
      </c>
      <c r="BH3011" s="2"/>
      <c r="BI3011" s="4">
        <v>0.77777777777777779</v>
      </c>
      <c r="BJ3011" s="2">
        <v>13</v>
      </c>
      <c r="BK3011" s="2" t="s">
        <v>91</v>
      </c>
      <c r="BL3011" s="2" t="s">
        <v>1199</v>
      </c>
      <c r="BM3011" s="2">
        <v>241</v>
      </c>
      <c r="BN3011" s="2" t="s">
        <v>82</v>
      </c>
      <c r="BO3011" s="2"/>
      <c r="BP3011" s="2">
        <v>13</v>
      </c>
      <c r="BQ3011" s="2" t="s">
        <v>91</v>
      </c>
      <c r="BR3011" s="2" t="s">
        <v>170</v>
      </c>
      <c r="BS3011" s="3">
        <v>40383</v>
      </c>
      <c r="BT3011" s="4">
        <v>8.0196759259259259E-2</v>
      </c>
    </row>
    <row r="3012" spans="1:72" x14ac:dyDescent="0.25">
      <c r="A3012" s="2">
        <v>4444</v>
      </c>
      <c r="B3012" s="2">
        <v>2010</v>
      </c>
      <c r="C3012" s="2" t="s">
        <v>72</v>
      </c>
      <c r="D3012" s="2" t="s">
        <v>73</v>
      </c>
      <c r="E3012" s="2"/>
      <c r="F3012" s="2">
        <v>390</v>
      </c>
      <c r="G3012" s="2" t="s">
        <v>475</v>
      </c>
      <c r="H3012" s="2">
        <v>71</v>
      </c>
      <c r="I3012" s="2" t="s">
        <v>335</v>
      </c>
      <c r="J3012" s="2">
        <v>399</v>
      </c>
      <c r="K3012" s="2" t="s">
        <v>1820</v>
      </c>
      <c r="L3012" s="2" t="s">
        <v>1821</v>
      </c>
      <c r="M3012" s="3">
        <v>40383</v>
      </c>
      <c r="N3012" s="2" t="s">
        <v>9870</v>
      </c>
      <c r="O3012" s="2" t="s">
        <v>9871</v>
      </c>
      <c r="P3012" s="2">
        <v>1467</v>
      </c>
      <c r="Q3012" s="2" t="str">
        <f>"376-E/10"</f>
        <v>376-E/10</v>
      </c>
      <c r="R3012" s="2"/>
      <c r="S3012" s="2" t="s">
        <v>9872</v>
      </c>
      <c r="T3012" s="2">
        <v>1</v>
      </c>
      <c r="U3012" s="2" t="s">
        <v>79</v>
      </c>
      <c r="V3012" s="2">
        <v>1</v>
      </c>
      <c r="W3012" s="2" t="s">
        <v>80</v>
      </c>
      <c r="X3012" s="2">
        <v>1</v>
      </c>
      <c r="Y3012" s="2" t="s">
        <v>81</v>
      </c>
      <c r="Z3012" s="2">
        <v>1</v>
      </c>
      <c r="AA3012" s="2" t="s">
        <v>82</v>
      </c>
      <c r="AB3012" s="2">
        <v>6</v>
      </c>
      <c r="AC3012" s="2" t="s">
        <v>83</v>
      </c>
      <c r="AD3012" s="3">
        <v>40382</v>
      </c>
      <c r="AE3012" s="4">
        <v>0.84027777777777779</v>
      </c>
      <c r="AF3012" s="2"/>
      <c r="AG3012" s="2"/>
      <c r="AH3012" s="2">
        <v>2</v>
      </c>
      <c r="AI3012" s="2" t="s">
        <v>84</v>
      </c>
      <c r="AJ3012" s="2">
        <v>9</v>
      </c>
      <c r="AK3012" s="2" t="s">
        <v>103</v>
      </c>
      <c r="AL3012" s="2">
        <v>22</v>
      </c>
      <c r="AM3012" s="2" t="s">
        <v>1853</v>
      </c>
      <c r="AN3012" s="2" t="s">
        <v>9873</v>
      </c>
      <c r="AO3012" s="2"/>
      <c r="AP3012" s="2">
        <v>14</v>
      </c>
      <c r="AQ3012" s="2" t="s">
        <v>3301</v>
      </c>
      <c r="AR3012" s="2"/>
      <c r="AS3012" s="2"/>
      <c r="AT3012" s="2" t="s">
        <v>9874</v>
      </c>
      <c r="AU3012" s="2"/>
      <c r="AV3012" s="2">
        <v>4</v>
      </c>
      <c r="AW3012" s="2"/>
      <c r="AX3012" s="2"/>
      <c r="AY3012" s="2">
        <v>41</v>
      </c>
      <c r="AZ3012" s="2" t="s">
        <v>82</v>
      </c>
      <c r="BA3012" s="2">
        <v>41</v>
      </c>
      <c r="BB3012" s="2" t="s">
        <v>82</v>
      </c>
      <c r="BC3012" s="2">
        <v>41</v>
      </c>
      <c r="BD3012" s="2" t="s">
        <v>82</v>
      </c>
      <c r="BE3012" s="2">
        <v>17</v>
      </c>
      <c r="BF3012" s="2" t="s">
        <v>508</v>
      </c>
      <c r="BG3012" s="2" t="s">
        <v>9875</v>
      </c>
      <c r="BH3012" s="2"/>
      <c r="BI3012" s="4">
        <v>0.78472222222222221</v>
      </c>
      <c r="BJ3012" s="2">
        <v>13</v>
      </c>
      <c r="BK3012" s="2" t="s">
        <v>91</v>
      </c>
      <c r="BL3012" s="2" t="s">
        <v>360</v>
      </c>
      <c r="BM3012" s="2">
        <v>241</v>
      </c>
      <c r="BN3012" s="2" t="s">
        <v>82</v>
      </c>
      <c r="BO3012" s="2"/>
      <c r="BP3012" s="2">
        <v>46</v>
      </c>
      <c r="BQ3012" s="2" t="s">
        <v>307</v>
      </c>
      <c r="BR3012" s="2" t="s">
        <v>4628</v>
      </c>
      <c r="BS3012" s="3">
        <v>40383</v>
      </c>
      <c r="BT3012" s="4">
        <v>0.41709490740740746</v>
      </c>
    </row>
    <row r="3013" spans="1:72" x14ac:dyDescent="0.25">
      <c r="A3013" s="2">
        <v>4445</v>
      </c>
      <c r="B3013" s="2">
        <v>2010</v>
      </c>
      <c r="C3013" s="2" t="s">
        <v>93</v>
      </c>
      <c r="D3013" s="2" t="s">
        <v>73</v>
      </c>
      <c r="E3013" s="2"/>
      <c r="F3013" s="2">
        <v>655</v>
      </c>
      <c r="G3013" s="2" t="s">
        <v>9876</v>
      </c>
      <c r="H3013" s="2">
        <v>50</v>
      </c>
      <c r="I3013" s="2" t="s">
        <v>107</v>
      </c>
      <c r="J3013" s="2">
        <v>630</v>
      </c>
      <c r="K3013" s="2" t="s">
        <v>9877</v>
      </c>
      <c r="L3013" s="2" t="s">
        <v>9878</v>
      </c>
      <c r="M3013" s="3">
        <v>40383</v>
      </c>
      <c r="N3013" s="2"/>
      <c r="O3013" s="2" t="s">
        <v>9879</v>
      </c>
      <c r="P3013" s="2"/>
      <c r="Q3013" s="2" t="str">
        <f>""</f>
        <v/>
      </c>
      <c r="R3013" s="2" t="s">
        <v>100</v>
      </c>
      <c r="S3013" s="2"/>
      <c r="T3013" s="2">
        <v>1</v>
      </c>
      <c r="U3013" s="2" t="s">
        <v>79</v>
      </c>
      <c r="V3013" s="2">
        <v>1</v>
      </c>
      <c r="W3013" s="2" t="s">
        <v>80</v>
      </c>
      <c r="X3013" s="2">
        <v>10</v>
      </c>
      <c r="Y3013" s="2" t="s">
        <v>226</v>
      </c>
      <c r="Z3013" s="2">
        <v>6</v>
      </c>
      <c r="AA3013" s="2" t="s">
        <v>101</v>
      </c>
      <c r="AB3013" s="2">
        <v>2</v>
      </c>
      <c r="AC3013" s="2" t="s">
        <v>102</v>
      </c>
      <c r="AD3013" s="3">
        <v>40383</v>
      </c>
      <c r="AE3013" s="4">
        <v>8.3333333333333329E-2</v>
      </c>
      <c r="AF3013" s="2"/>
      <c r="AG3013" s="2"/>
      <c r="AH3013" s="2">
        <v>2</v>
      </c>
      <c r="AI3013" s="2" t="s">
        <v>84</v>
      </c>
      <c r="AJ3013" s="2">
        <v>9</v>
      </c>
      <c r="AK3013" s="2" t="s">
        <v>103</v>
      </c>
      <c r="AL3013" s="2">
        <v>14</v>
      </c>
      <c r="AM3013" s="2" t="s">
        <v>216</v>
      </c>
      <c r="AN3013" s="2"/>
      <c r="AO3013" s="2" t="s">
        <v>105</v>
      </c>
      <c r="AP3013" s="2">
        <v>11</v>
      </c>
      <c r="AQ3013" s="2" t="s">
        <v>82</v>
      </c>
      <c r="AR3013" s="2"/>
      <c r="AS3013" s="2"/>
      <c r="AT3013" s="2" t="s">
        <v>9880</v>
      </c>
      <c r="AU3013" s="2">
        <v>1</v>
      </c>
      <c r="AV3013" s="2"/>
      <c r="AW3013" s="2"/>
      <c r="AX3013" s="2"/>
      <c r="AY3013" s="2">
        <v>41</v>
      </c>
      <c r="AZ3013" s="2" t="s">
        <v>82</v>
      </c>
      <c r="BA3013" s="2">
        <v>41</v>
      </c>
      <c r="BB3013" s="2" t="s">
        <v>82</v>
      </c>
      <c r="BC3013" s="2">
        <v>41</v>
      </c>
      <c r="BD3013" s="2" t="s">
        <v>82</v>
      </c>
      <c r="BE3013" s="2">
        <v>41</v>
      </c>
      <c r="BF3013" s="2" t="s">
        <v>82</v>
      </c>
      <c r="BG3013" s="2" t="s">
        <v>9881</v>
      </c>
      <c r="BH3013" s="2"/>
      <c r="BI3013" s="2"/>
      <c r="BJ3013" s="2">
        <v>232</v>
      </c>
      <c r="BK3013" s="2" t="s">
        <v>4351</v>
      </c>
      <c r="BL3013" s="2" t="s">
        <v>107</v>
      </c>
      <c r="BM3013" s="2">
        <v>241</v>
      </c>
      <c r="BN3013" s="2" t="s">
        <v>82</v>
      </c>
      <c r="BO3013" s="2"/>
      <c r="BP3013" s="2">
        <v>13</v>
      </c>
      <c r="BQ3013" s="2" t="s">
        <v>91</v>
      </c>
      <c r="BR3013" s="2" t="s">
        <v>360</v>
      </c>
      <c r="BS3013" s="3">
        <v>40383</v>
      </c>
      <c r="BT3013" s="4">
        <v>0.43446759259259254</v>
      </c>
    </row>
    <row r="3014" spans="1:72" x14ac:dyDescent="0.25">
      <c r="A3014" s="2">
        <v>4446</v>
      </c>
      <c r="B3014" s="2">
        <v>2010</v>
      </c>
      <c r="C3014" s="2" t="s">
        <v>72</v>
      </c>
      <c r="D3014" s="2" t="s">
        <v>73</v>
      </c>
      <c r="E3014" s="2"/>
      <c r="F3014" s="2">
        <v>438</v>
      </c>
      <c r="G3014" s="2" t="s">
        <v>7090</v>
      </c>
      <c r="H3014" s="2">
        <v>42</v>
      </c>
      <c r="I3014" s="2" t="s">
        <v>1096</v>
      </c>
      <c r="J3014" s="2">
        <v>327</v>
      </c>
      <c r="K3014" s="2" t="s">
        <v>7091</v>
      </c>
      <c r="L3014" s="2" t="s">
        <v>7092</v>
      </c>
      <c r="M3014" s="3">
        <v>40383</v>
      </c>
      <c r="N3014" s="2" t="s">
        <v>7093</v>
      </c>
      <c r="O3014" s="2"/>
      <c r="P3014" s="2"/>
      <c r="Q3014" s="2" t="str">
        <f>"086/10"</f>
        <v>086/10</v>
      </c>
      <c r="R3014" s="2"/>
      <c r="S3014" s="2" t="s">
        <v>822</v>
      </c>
      <c r="T3014" s="2">
        <v>1</v>
      </c>
      <c r="U3014" s="2" t="s">
        <v>79</v>
      </c>
      <c r="V3014" s="2">
        <v>1</v>
      </c>
      <c r="W3014" s="2" t="s">
        <v>80</v>
      </c>
      <c r="X3014" s="2">
        <v>12</v>
      </c>
      <c r="Y3014" s="2" t="s">
        <v>148</v>
      </c>
      <c r="Z3014" s="2">
        <v>1</v>
      </c>
      <c r="AA3014" s="2" t="s">
        <v>82</v>
      </c>
      <c r="AB3014" s="2">
        <v>6</v>
      </c>
      <c r="AC3014" s="2" t="s">
        <v>83</v>
      </c>
      <c r="AD3014" s="3">
        <v>40380</v>
      </c>
      <c r="AE3014" s="2"/>
      <c r="AF3014" s="3">
        <v>40383</v>
      </c>
      <c r="AG3014" s="4">
        <v>0.38541666666666669</v>
      </c>
      <c r="AH3014" s="2">
        <v>4</v>
      </c>
      <c r="AI3014" s="2" t="s">
        <v>125</v>
      </c>
      <c r="AJ3014" s="2">
        <v>29</v>
      </c>
      <c r="AK3014" s="2" t="s">
        <v>227</v>
      </c>
      <c r="AL3014" s="2">
        <v>19</v>
      </c>
      <c r="AM3014" s="2" t="s">
        <v>107</v>
      </c>
      <c r="AN3014" s="2" t="s">
        <v>82</v>
      </c>
      <c r="AO3014" s="2" t="s">
        <v>107</v>
      </c>
      <c r="AP3014" s="2">
        <v>12</v>
      </c>
      <c r="AQ3014" s="2" t="s">
        <v>322</v>
      </c>
      <c r="AR3014" s="2" t="s">
        <v>825</v>
      </c>
      <c r="AS3014" s="2" t="s">
        <v>824</v>
      </c>
      <c r="AT3014" s="2" t="s">
        <v>9882</v>
      </c>
      <c r="AU3014" s="2"/>
      <c r="AV3014" s="2"/>
      <c r="AW3014" s="2"/>
      <c r="AX3014" s="2"/>
      <c r="AY3014" s="2">
        <v>51</v>
      </c>
      <c r="AZ3014" s="2" t="s">
        <v>827</v>
      </c>
      <c r="BA3014" s="2">
        <v>51</v>
      </c>
      <c r="BB3014" s="2" t="s">
        <v>827</v>
      </c>
      <c r="BC3014" s="2">
        <v>129</v>
      </c>
      <c r="BD3014" s="2" t="s">
        <v>322</v>
      </c>
      <c r="BE3014" s="2">
        <v>13</v>
      </c>
      <c r="BF3014" s="2" t="s">
        <v>108</v>
      </c>
      <c r="BG3014" s="2">
        <v>1458</v>
      </c>
      <c r="BH3014" s="4">
        <v>0.89722222222222225</v>
      </c>
      <c r="BI3014" s="4">
        <v>0.93055555555555547</v>
      </c>
      <c r="BJ3014" s="2">
        <v>13</v>
      </c>
      <c r="BK3014" s="2" t="s">
        <v>91</v>
      </c>
      <c r="BL3014" s="2" t="s">
        <v>185</v>
      </c>
      <c r="BM3014" s="2">
        <v>241</v>
      </c>
      <c r="BN3014" s="2" t="s">
        <v>82</v>
      </c>
      <c r="BO3014" s="2"/>
      <c r="BP3014" s="2">
        <v>13</v>
      </c>
      <c r="BQ3014" s="2" t="s">
        <v>91</v>
      </c>
      <c r="BR3014" s="2" t="s">
        <v>828</v>
      </c>
      <c r="BS3014" s="3">
        <v>40383</v>
      </c>
      <c r="BT3014" s="4">
        <v>0.49535879629629626</v>
      </c>
    </row>
    <row r="3015" spans="1:72" x14ac:dyDescent="0.25">
      <c r="A3015" s="2">
        <v>4447</v>
      </c>
      <c r="B3015" s="2">
        <v>2010</v>
      </c>
      <c r="C3015" s="2" t="s">
        <v>659</v>
      </c>
      <c r="D3015" s="2" t="s">
        <v>122</v>
      </c>
      <c r="E3015" s="2"/>
      <c r="F3015" s="2">
        <v>1</v>
      </c>
      <c r="G3015" s="2" t="s">
        <v>82</v>
      </c>
      <c r="H3015" s="2">
        <v>1</v>
      </c>
      <c r="I3015" s="2" t="s">
        <v>82</v>
      </c>
      <c r="J3015" s="2">
        <v>1</v>
      </c>
      <c r="K3015" s="2" t="s">
        <v>107</v>
      </c>
      <c r="L3015" s="2" t="s">
        <v>107</v>
      </c>
      <c r="M3015" s="3">
        <v>40383</v>
      </c>
      <c r="N3015" s="2"/>
      <c r="O3015" s="2"/>
      <c r="P3015" s="2"/>
      <c r="Q3015" s="2" t="str">
        <f>""</f>
        <v/>
      </c>
      <c r="R3015" s="2"/>
      <c r="S3015" s="2"/>
      <c r="T3015" s="2">
        <v>1</v>
      </c>
      <c r="U3015" s="2" t="s">
        <v>79</v>
      </c>
      <c r="V3015" s="2">
        <v>1</v>
      </c>
      <c r="W3015" s="2" t="s">
        <v>80</v>
      </c>
      <c r="X3015" s="2">
        <v>5</v>
      </c>
      <c r="Y3015" s="2" t="s">
        <v>82</v>
      </c>
      <c r="Z3015" s="2">
        <v>1</v>
      </c>
      <c r="AA3015" s="2" t="s">
        <v>82</v>
      </c>
      <c r="AB3015" s="2">
        <v>9</v>
      </c>
      <c r="AC3015" s="2" t="s">
        <v>124</v>
      </c>
      <c r="AD3015" s="3">
        <v>40383</v>
      </c>
      <c r="AE3015" s="4">
        <v>0.23958333333333334</v>
      </c>
      <c r="AF3015" s="2"/>
      <c r="AG3015" s="2"/>
      <c r="AH3015" s="2">
        <v>5</v>
      </c>
      <c r="AI3015" s="2" t="s">
        <v>274</v>
      </c>
      <c r="AJ3015" s="2">
        <v>42</v>
      </c>
      <c r="AK3015" s="2" t="s">
        <v>660</v>
      </c>
      <c r="AL3015" s="2">
        <v>9</v>
      </c>
      <c r="AM3015" s="2" t="s">
        <v>259</v>
      </c>
      <c r="AN3015" s="2" t="s">
        <v>9883</v>
      </c>
      <c r="AO3015" s="2"/>
      <c r="AP3015" s="2">
        <v>11</v>
      </c>
      <c r="AQ3015" s="2" t="s">
        <v>82</v>
      </c>
      <c r="AR3015" s="2"/>
      <c r="AS3015" s="2"/>
      <c r="AT3015" s="2" t="s">
        <v>9884</v>
      </c>
      <c r="AU3015" s="2"/>
      <c r="AV3015" s="2"/>
      <c r="AW3015" s="2"/>
      <c r="AX3015" s="2"/>
      <c r="AY3015" s="2">
        <v>1</v>
      </c>
      <c r="AZ3015" s="2" t="s">
        <v>107</v>
      </c>
      <c r="BA3015" s="2">
        <v>1</v>
      </c>
      <c r="BB3015" s="2" t="s">
        <v>107</v>
      </c>
      <c r="BC3015" s="2">
        <v>1</v>
      </c>
      <c r="BD3015" s="2" t="s">
        <v>107</v>
      </c>
      <c r="BE3015" s="2">
        <v>1</v>
      </c>
      <c r="BF3015" s="2" t="s">
        <v>107</v>
      </c>
      <c r="BG3015" s="2"/>
      <c r="BH3015" s="2"/>
      <c r="BI3015" s="2"/>
      <c r="BJ3015" s="2">
        <v>242</v>
      </c>
      <c r="BK3015" s="2" t="s">
        <v>107</v>
      </c>
      <c r="BL3015" s="2"/>
      <c r="BM3015" s="2">
        <v>242</v>
      </c>
      <c r="BN3015" s="2" t="s">
        <v>107</v>
      </c>
      <c r="BO3015" s="2"/>
      <c r="BP3015" s="2">
        <v>242</v>
      </c>
      <c r="BQ3015" s="2" t="s">
        <v>107</v>
      </c>
      <c r="BR3015" s="2"/>
      <c r="BS3015" s="3">
        <v>40383</v>
      </c>
      <c r="BT3015" s="4">
        <v>0.57371527777777775</v>
      </c>
    </row>
    <row r="3016" spans="1:72" x14ac:dyDescent="0.25">
      <c r="A3016" s="2">
        <v>4449</v>
      </c>
      <c r="B3016" s="2">
        <v>2010</v>
      </c>
      <c r="C3016" s="2" t="s">
        <v>255</v>
      </c>
      <c r="D3016" s="2" t="s">
        <v>122</v>
      </c>
      <c r="E3016" s="2" t="s">
        <v>9885</v>
      </c>
      <c r="F3016" s="2">
        <v>279</v>
      </c>
      <c r="G3016" s="2" t="s">
        <v>4464</v>
      </c>
      <c r="H3016" s="2">
        <v>108</v>
      </c>
      <c r="I3016" s="2" t="s">
        <v>1096</v>
      </c>
      <c r="J3016" s="2">
        <v>284</v>
      </c>
      <c r="K3016" s="2" t="s">
        <v>4465</v>
      </c>
      <c r="L3016" s="2" t="s">
        <v>4466</v>
      </c>
      <c r="M3016" s="3">
        <v>40383</v>
      </c>
      <c r="N3016" s="2" t="s">
        <v>9886</v>
      </c>
      <c r="O3016" s="2" t="s">
        <v>947</v>
      </c>
      <c r="P3016" s="2"/>
      <c r="Q3016" s="2" t="str">
        <f>"006/2010"</f>
        <v>006/2010</v>
      </c>
      <c r="R3016" s="2" t="s">
        <v>947</v>
      </c>
      <c r="S3016" s="2" t="s">
        <v>947</v>
      </c>
      <c r="T3016" s="2">
        <v>1</v>
      </c>
      <c r="U3016" s="2" t="s">
        <v>79</v>
      </c>
      <c r="V3016" s="2">
        <v>1</v>
      </c>
      <c r="W3016" s="2" t="s">
        <v>80</v>
      </c>
      <c r="X3016" s="2">
        <v>1</v>
      </c>
      <c r="Y3016" s="2" t="s">
        <v>81</v>
      </c>
      <c r="Z3016" s="2">
        <v>1</v>
      </c>
      <c r="AA3016" s="2" t="s">
        <v>82</v>
      </c>
      <c r="AB3016" s="2">
        <v>9</v>
      </c>
      <c r="AC3016" s="2" t="s">
        <v>124</v>
      </c>
      <c r="AD3016" s="3">
        <v>40383</v>
      </c>
      <c r="AE3016" s="4">
        <v>0.46875</v>
      </c>
      <c r="AF3016" s="2"/>
      <c r="AG3016" s="2"/>
      <c r="AH3016" s="2">
        <v>3</v>
      </c>
      <c r="AI3016" s="2" t="s">
        <v>214</v>
      </c>
      <c r="AJ3016" s="2">
        <v>18</v>
      </c>
      <c r="AK3016" s="2" t="s">
        <v>4469</v>
      </c>
      <c r="AL3016" s="2">
        <v>9</v>
      </c>
      <c r="AM3016" s="2" t="s">
        <v>259</v>
      </c>
      <c r="AN3016" s="2" t="s">
        <v>9887</v>
      </c>
      <c r="AO3016" s="2" t="s">
        <v>9888</v>
      </c>
      <c r="AP3016" s="2">
        <v>11</v>
      </c>
      <c r="AQ3016" s="2" t="s">
        <v>82</v>
      </c>
      <c r="AR3016" s="2"/>
      <c r="AS3016" s="2"/>
      <c r="AT3016" s="2" t="s">
        <v>9889</v>
      </c>
      <c r="AU3016" s="2"/>
      <c r="AV3016" s="2"/>
      <c r="AW3016" s="2"/>
      <c r="AX3016" s="2"/>
      <c r="AY3016" s="2">
        <v>44</v>
      </c>
      <c r="AZ3016" s="2" t="s">
        <v>262</v>
      </c>
      <c r="BA3016" s="2">
        <v>41</v>
      </c>
      <c r="BB3016" s="2" t="s">
        <v>82</v>
      </c>
      <c r="BC3016" s="2">
        <v>41</v>
      </c>
      <c r="BD3016" s="2" t="s">
        <v>82</v>
      </c>
      <c r="BE3016" s="2">
        <v>41</v>
      </c>
      <c r="BF3016" s="2" t="s">
        <v>82</v>
      </c>
      <c r="BG3016" s="2"/>
      <c r="BH3016" s="2"/>
      <c r="BI3016" s="2"/>
      <c r="BJ3016" s="2">
        <v>241</v>
      </c>
      <c r="BK3016" s="2" t="s">
        <v>82</v>
      </c>
      <c r="BL3016" s="2"/>
      <c r="BM3016" s="2">
        <v>241</v>
      </c>
      <c r="BN3016" s="2" t="s">
        <v>82</v>
      </c>
      <c r="BO3016" s="2"/>
      <c r="BP3016" s="2">
        <v>241</v>
      </c>
      <c r="BQ3016" s="2" t="s">
        <v>82</v>
      </c>
      <c r="BR3016" s="2"/>
      <c r="BS3016" s="3">
        <v>40383</v>
      </c>
      <c r="BT3016" s="4">
        <v>0.5763773148148148</v>
      </c>
    </row>
    <row r="3017" spans="1:72" x14ac:dyDescent="0.25">
      <c r="A3017" s="2">
        <v>4451</v>
      </c>
      <c r="B3017" s="2">
        <v>2010</v>
      </c>
      <c r="C3017" s="2" t="s">
        <v>72</v>
      </c>
      <c r="D3017" s="2" t="s">
        <v>73</v>
      </c>
      <c r="E3017" s="2"/>
      <c r="F3017" s="2">
        <v>390</v>
      </c>
      <c r="G3017" s="2" t="s">
        <v>475</v>
      </c>
      <c r="H3017" s="2">
        <v>71</v>
      </c>
      <c r="I3017" s="2" t="s">
        <v>335</v>
      </c>
      <c r="J3017" s="2">
        <v>399</v>
      </c>
      <c r="K3017" s="2" t="s">
        <v>1820</v>
      </c>
      <c r="L3017" s="2" t="s">
        <v>1821</v>
      </c>
      <c r="M3017" s="3">
        <v>40383</v>
      </c>
      <c r="N3017" s="2" t="s">
        <v>9890</v>
      </c>
      <c r="O3017" s="2" t="s">
        <v>9891</v>
      </c>
      <c r="P3017" s="2">
        <v>1467</v>
      </c>
      <c r="Q3017" s="2" t="str">
        <f>"376E/10"</f>
        <v>376E/10</v>
      </c>
      <c r="R3017" s="2"/>
      <c r="S3017" s="2" t="s">
        <v>9892</v>
      </c>
      <c r="T3017" s="2">
        <v>1</v>
      </c>
      <c r="U3017" s="2" t="s">
        <v>79</v>
      </c>
      <c r="V3017" s="2">
        <v>1</v>
      </c>
      <c r="W3017" s="2" t="s">
        <v>80</v>
      </c>
      <c r="X3017" s="2">
        <v>8</v>
      </c>
      <c r="Y3017" s="2" t="s">
        <v>375</v>
      </c>
      <c r="Z3017" s="2">
        <v>1</v>
      </c>
      <c r="AA3017" s="2" t="s">
        <v>82</v>
      </c>
      <c r="AB3017" s="2">
        <v>6</v>
      </c>
      <c r="AC3017" s="2" t="s">
        <v>83</v>
      </c>
      <c r="AD3017" s="3">
        <v>40383</v>
      </c>
      <c r="AE3017" s="4">
        <v>0.29166666666666669</v>
      </c>
      <c r="AF3017" s="2"/>
      <c r="AG3017" s="2"/>
      <c r="AH3017" s="2">
        <v>2</v>
      </c>
      <c r="AI3017" s="2" t="s">
        <v>84</v>
      </c>
      <c r="AJ3017" s="2">
        <v>6</v>
      </c>
      <c r="AK3017" s="2" t="s">
        <v>453</v>
      </c>
      <c r="AL3017" s="2">
        <v>23</v>
      </c>
      <c r="AM3017" s="2" t="s">
        <v>251</v>
      </c>
      <c r="AN3017" s="2" t="s">
        <v>9893</v>
      </c>
      <c r="AO3017" s="2" t="s">
        <v>9894</v>
      </c>
      <c r="AP3017" s="2">
        <v>11</v>
      </c>
      <c r="AQ3017" s="2" t="s">
        <v>82</v>
      </c>
      <c r="AR3017" s="2"/>
      <c r="AS3017" s="2"/>
      <c r="AT3017" s="2" t="s">
        <v>9895</v>
      </c>
      <c r="AU3017" s="2"/>
      <c r="AV3017" s="2"/>
      <c r="AW3017" s="2"/>
      <c r="AX3017" s="2"/>
      <c r="AY3017" s="2">
        <v>41</v>
      </c>
      <c r="AZ3017" s="2" t="s">
        <v>82</v>
      </c>
      <c r="BA3017" s="2">
        <v>41</v>
      </c>
      <c r="BB3017" s="2" t="s">
        <v>82</v>
      </c>
      <c r="BC3017" s="2">
        <v>41</v>
      </c>
      <c r="BD3017" s="2" t="s">
        <v>82</v>
      </c>
      <c r="BE3017" s="2">
        <v>41</v>
      </c>
      <c r="BF3017" s="2" t="s">
        <v>82</v>
      </c>
      <c r="BG3017" s="2"/>
      <c r="BH3017" s="2"/>
      <c r="BI3017" s="2"/>
      <c r="BJ3017" s="2">
        <v>241</v>
      </c>
      <c r="BK3017" s="2" t="s">
        <v>82</v>
      </c>
      <c r="BL3017" s="2"/>
      <c r="BM3017" s="2">
        <v>241</v>
      </c>
      <c r="BN3017" s="2" t="s">
        <v>82</v>
      </c>
      <c r="BO3017" s="2"/>
      <c r="BP3017" s="2">
        <v>241</v>
      </c>
      <c r="BQ3017" s="2" t="s">
        <v>82</v>
      </c>
      <c r="BR3017" s="2"/>
      <c r="BS3017" s="3">
        <v>40383</v>
      </c>
      <c r="BT3017" s="4">
        <v>0.59476851851851853</v>
      </c>
    </row>
    <row r="3018" spans="1:72" x14ac:dyDescent="0.25">
      <c r="A3018" s="2">
        <v>4452</v>
      </c>
      <c r="B3018" s="2">
        <v>2010</v>
      </c>
      <c r="C3018" s="2" t="s">
        <v>1660</v>
      </c>
      <c r="D3018" s="2" t="s">
        <v>73</v>
      </c>
      <c r="E3018" s="2"/>
      <c r="F3018" s="2">
        <v>9</v>
      </c>
      <c r="G3018" s="2" t="s">
        <v>364</v>
      </c>
      <c r="H3018" s="2">
        <v>44</v>
      </c>
      <c r="I3018" s="2" t="s">
        <v>1272</v>
      </c>
      <c r="J3018" s="2">
        <v>18</v>
      </c>
      <c r="K3018" s="2" t="s">
        <v>365</v>
      </c>
      <c r="L3018" s="2" t="s">
        <v>115</v>
      </c>
      <c r="M3018" s="3">
        <v>40383</v>
      </c>
      <c r="N3018" s="2" t="s">
        <v>5465</v>
      </c>
      <c r="O3018" s="2"/>
      <c r="P3018" s="2"/>
      <c r="Q3018" s="2" t="str">
        <f>"41/10"</f>
        <v>41/10</v>
      </c>
      <c r="R3018" s="2" t="s">
        <v>9896</v>
      </c>
      <c r="S3018" s="2" t="s">
        <v>9896</v>
      </c>
      <c r="T3018" s="2">
        <v>1</v>
      </c>
      <c r="U3018" s="2" t="s">
        <v>79</v>
      </c>
      <c r="V3018" s="2">
        <v>1</v>
      </c>
      <c r="W3018" s="2" t="s">
        <v>80</v>
      </c>
      <c r="X3018" s="2">
        <v>10</v>
      </c>
      <c r="Y3018" s="2" t="s">
        <v>226</v>
      </c>
      <c r="Z3018" s="2">
        <v>6</v>
      </c>
      <c r="AA3018" s="2" t="s">
        <v>101</v>
      </c>
      <c r="AB3018" s="2">
        <v>3</v>
      </c>
      <c r="AC3018" s="2" t="s">
        <v>1663</v>
      </c>
      <c r="AD3018" s="3">
        <v>40383</v>
      </c>
      <c r="AE3018" s="4">
        <v>0.29166666666666669</v>
      </c>
      <c r="AF3018" s="2"/>
      <c r="AG3018" s="2"/>
      <c r="AH3018" s="2">
        <v>3</v>
      </c>
      <c r="AI3018" s="2" t="s">
        <v>214</v>
      </c>
      <c r="AJ3018" s="2">
        <v>24</v>
      </c>
      <c r="AK3018" s="2" t="s">
        <v>215</v>
      </c>
      <c r="AL3018" s="2">
        <v>14</v>
      </c>
      <c r="AM3018" s="2" t="s">
        <v>216</v>
      </c>
      <c r="AN3018" s="2" t="s">
        <v>9897</v>
      </c>
      <c r="AO3018" s="2"/>
      <c r="AP3018" s="2">
        <v>11</v>
      </c>
      <c r="AQ3018" s="2" t="s">
        <v>82</v>
      </c>
      <c r="AR3018" s="2"/>
      <c r="AS3018" s="2"/>
      <c r="AT3018" s="2" t="s">
        <v>9898</v>
      </c>
      <c r="AU3018" s="2">
        <v>1</v>
      </c>
      <c r="AV3018" s="2"/>
      <c r="AW3018" s="2"/>
      <c r="AX3018" s="2"/>
      <c r="AY3018" s="2">
        <v>42</v>
      </c>
      <c r="AZ3018" s="2" t="s">
        <v>182</v>
      </c>
      <c r="BA3018" s="2">
        <v>115</v>
      </c>
      <c r="BB3018" s="2" t="s">
        <v>101</v>
      </c>
      <c r="BC3018" s="2">
        <v>41</v>
      </c>
      <c r="BD3018" s="2" t="s">
        <v>82</v>
      </c>
      <c r="BE3018" s="2">
        <v>38</v>
      </c>
      <c r="BF3018" s="2" t="s">
        <v>221</v>
      </c>
      <c r="BG3018" s="2" t="s">
        <v>9899</v>
      </c>
      <c r="BH3018" s="4">
        <v>0.27430555555555552</v>
      </c>
      <c r="BI3018" s="2"/>
      <c r="BJ3018" s="2">
        <v>173</v>
      </c>
      <c r="BK3018" s="2" t="s">
        <v>223</v>
      </c>
      <c r="BL3018" s="2" t="s">
        <v>224</v>
      </c>
      <c r="BM3018" s="2">
        <v>241</v>
      </c>
      <c r="BN3018" s="2" t="s">
        <v>82</v>
      </c>
      <c r="BO3018" s="2"/>
      <c r="BP3018" s="2">
        <v>13</v>
      </c>
      <c r="BQ3018" s="2" t="s">
        <v>91</v>
      </c>
      <c r="BR3018" s="2" t="s">
        <v>169</v>
      </c>
      <c r="BS3018" s="3">
        <v>40383</v>
      </c>
      <c r="BT3018" s="4">
        <v>0.60737268518518517</v>
      </c>
    </row>
    <row r="3019" spans="1:72" x14ac:dyDescent="0.25">
      <c r="A3019" s="2">
        <v>4455</v>
      </c>
      <c r="B3019" s="2">
        <v>2010</v>
      </c>
      <c r="C3019" s="2" t="s">
        <v>72</v>
      </c>
      <c r="D3019" s="2" t="s">
        <v>122</v>
      </c>
      <c r="E3019" s="2" t="s">
        <v>9900</v>
      </c>
      <c r="F3019" s="2">
        <v>390</v>
      </c>
      <c r="G3019" s="2" t="s">
        <v>475</v>
      </c>
      <c r="H3019" s="2">
        <v>71</v>
      </c>
      <c r="I3019" s="2" t="s">
        <v>335</v>
      </c>
      <c r="J3019" s="2">
        <v>399</v>
      </c>
      <c r="K3019" s="2" t="s">
        <v>1820</v>
      </c>
      <c r="L3019" s="2" t="s">
        <v>1821</v>
      </c>
      <c r="M3019" s="3">
        <v>40383</v>
      </c>
      <c r="N3019" s="2" t="s">
        <v>9870</v>
      </c>
      <c r="O3019" s="2"/>
      <c r="P3019" s="2"/>
      <c r="Q3019" s="2" t="str">
        <f>"376-E/10"</f>
        <v>376-E/10</v>
      </c>
      <c r="R3019" s="2" t="s">
        <v>9872</v>
      </c>
      <c r="S3019" s="2"/>
      <c r="T3019" s="2">
        <v>1</v>
      </c>
      <c r="U3019" s="2" t="s">
        <v>79</v>
      </c>
      <c r="V3019" s="2">
        <v>1</v>
      </c>
      <c r="W3019" s="2" t="s">
        <v>80</v>
      </c>
      <c r="X3019" s="2">
        <v>1</v>
      </c>
      <c r="Y3019" s="2" t="s">
        <v>81</v>
      </c>
      <c r="Z3019" s="2">
        <v>1</v>
      </c>
      <c r="AA3019" s="2" t="s">
        <v>82</v>
      </c>
      <c r="AB3019" s="2">
        <v>6</v>
      </c>
      <c r="AC3019" s="2" t="s">
        <v>83</v>
      </c>
      <c r="AD3019" s="3">
        <v>40383</v>
      </c>
      <c r="AE3019" s="4">
        <v>0.5</v>
      </c>
      <c r="AF3019" s="2"/>
      <c r="AG3019" s="2"/>
      <c r="AH3019" s="2">
        <v>2</v>
      </c>
      <c r="AI3019" s="2" t="s">
        <v>84</v>
      </c>
      <c r="AJ3019" s="2">
        <v>9</v>
      </c>
      <c r="AK3019" s="2" t="s">
        <v>103</v>
      </c>
      <c r="AL3019" s="2">
        <v>7</v>
      </c>
      <c r="AM3019" s="2" t="s">
        <v>1450</v>
      </c>
      <c r="AN3019" s="2" t="s">
        <v>9901</v>
      </c>
      <c r="AO3019" s="2"/>
      <c r="AP3019" s="2">
        <v>14</v>
      </c>
      <c r="AQ3019" s="2" t="s">
        <v>3301</v>
      </c>
      <c r="AR3019" s="2"/>
      <c r="AS3019" s="2"/>
      <c r="AT3019" s="2" t="s">
        <v>9902</v>
      </c>
      <c r="AU3019" s="2"/>
      <c r="AV3019" s="2">
        <v>4</v>
      </c>
      <c r="AW3019" s="2"/>
      <c r="AX3019" s="2"/>
      <c r="AY3019" s="2">
        <v>108</v>
      </c>
      <c r="AZ3019" s="2" t="s">
        <v>3301</v>
      </c>
      <c r="BA3019" s="2">
        <v>41</v>
      </c>
      <c r="BB3019" s="2" t="s">
        <v>82</v>
      </c>
      <c r="BC3019" s="2">
        <v>70</v>
      </c>
      <c r="BD3019" s="2" t="s">
        <v>236</v>
      </c>
      <c r="BE3019" s="2">
        <v>17</v>
      </c>
      <c r="BF3019" s="2" t="s">
        <v>508</v>
      </c>
      <c r="BG3019" s="2" t="s">
        <v>9875</v>
      </c>
      <c r="BH3019" s="2"/>
      <c r="BI3019" s="4">
        <v>0.78472222222222221</v>
      </c>
      <c r="BJ3019" s="2">
        <v>13</v>
      </c>
      <c r="BK3019" s="2" t="s">
        <v>91</v>
      </c>
      <c r="BL3019" s="2" t="s">
        <v>360</v>
      </c>
      <c r="BM3019" s="2">
        <v>241</v>
      </c>
      <c r="BN3019" s="2" t="s">
        <v>82</v>
      </c>
      <c r="BO3019" s="2"/>
      <c r="BP3019" s="2">
        <v>46</v>
      </c>
      <c r="BQ3019" s="2" t="s">
        <v>307</v>
      </c>
      <c r="BR3019" s="2" t="s">
        <v>4628</v>
      </c>
      <c r="BS3019" s="3">
        <v>40383</v>
      </c>
      <c r="BT3019" s="4">
        <v>0.77793981481481478</v>
      </c>
    </row>
    <row r="3020" spans="1:72" x14ac:dyDescent="0.25">
      <c r="A3020" s="2">
        <v>4456</v>
      </c>
      <c r="B3020" s="2">
        <v>2010</v>
      </c>
      <c r="C3020" s="2" t="s">
        <v>196</v>
      </c>
      <c r="D3020" s="2" t="s">
        <v>122</v>
      </c>
      <c r="E3020" s="2"/>
      <c r="F3020" s="2">
        <v>1</v>
      </c>
      <c r="G3020" s="2" t="s">
        <v>82</v>
      </c>
      <c r="H3020" s="2">
        <v>1</v>
      </c>
      <c r="I3020" s="2" t="s">
        <v>82</v>
      </c>
      <c r="J3020" s="2">
        <v>1</v>
      </c>
      <c r="K3020" s="2" t="s">
        <v>107</v>
      </c>
      <c r="L3020" s="2" t="s">
        <v>107</v>
      </c>
      <c r="M3020" s="3">
        <v>40383</v>
      </c>
      <c r="N3020" s="2"/>
      <c r="O3020" s="2"/>
      <c r="P3020" s="2"/>
      <c r="Q3020" s="2" t="str">
        <f>""</f>
        <v/>
      </c>
      <c r="R3020" s="2"/>
      <c r="S3020" s="2"/>
      <c r="T3020" s="2">
        <v>2</v>
      </c>
      <c r="U3020" s="2" t="s">
        <v>123</v>
      </c>
      <c r="V3020" s="2">
        <v>1</v>
      </c>
      <c r="W3020" s="2" t="s">
        <v>80</v>
      </c>
      <c r="X3020" s="2">
        <v>11</v>
      </c>
      <c r="Y3020" s="2" t="s">
        <v>1920</v>
      </c>
      <c r="Z3020" s="2">
        <v>10</v>
      </c>
      <c r="AA3020" s="2" t="s">
        <v>236</v>
      </c>
      <c r="AB3020" s="2">
        <v>9</v>
      </c>
      <c r="AC3020" s="2" t="s">
        <v>124</v>
      </c>
      <c r="AD3020" s="3">
        <v>40383</v>
      </c>
      <c r="AE3020" s="4">
        <v>0.70833333333333337</v>
      </c>
      <c r="AF3020" s="2"/>
      <c r="AG3020" s="2"/>
      <c r="AH3020" s="2">
        <v>2</v>
      </c>
      <c r="AI3020" s="2" t="s">
        <v>84</v>
      </c>
      <c r="AJ3020" s="2">
        <v>12</v>
      </c>
      <c r="AK3020" s="2" t="s">
        <v>85</v>
      </c>
      <c r="AL3020" s="2">
        <v>20</v>
      </c>
      <c r="AM3020" s="2" t="s">
        <v>992</v>
      </c>
      <c r="AN3020" s="2" t="s">
        <v>107</v>
      </c>
      <c r="AO3020" s="2" t="s">
        <v>993</v>
      </c>
      <c r="AP3020" s="2">
        <v>11</v>
      </c>
      <c r="AQ3020" s="2" t="s">
        <v>82</v>
      </c>
      <c r="AR3020" s="2"/>
      <c r="AS3020" s="2"/>
      <c r="AT3020" s="2" t="s">
        <v>9903</v>
      </c>
      <c r="AU3020" s="2"/>
      <c r="AV3020" s="2"/>
      <c r="AW3020" s="2"/>
      <c r="AX3020" s="2"/>
      <c r="AY3020" s="2">
        <v>41</v>
      </c>
      <c r="AZ3020" s="2" t="s">
        <v>82</v>
      </c>
      <c r="BA3020" s="2">
        <v>41</v>
      </c>
      <c r="BB3020" s="2" t="s">
        <v>82</v>
      </c>
      <c r="BC3020" s="2">
        <v>41</v>
      </c>
      <c r="BD3020" s="2" t="s">
        <v>82</v>
      </c>
      <c r="BE3020" s="2">
        <v>41</v>
      </c>
      <c r="BF3020" s="2" t="s">
        <v>82</v>
      </c>
      <c r="BG3020" s="2"/>
      <c r="BH3020" s="2"/>
      <c r="BI3020" s="2"/>
      <c r="BJ3020" s="2">
        <v>241</v>
      </c>
      <c r="BK3020" s="2" t="s">
        <v>82</v>
      </c>
      <c r="BL3020" s="2"/>
      <c r="BM3020" s="2">
        <v>241</v>
      </c>
      <c r="BN3020" s="2" t="s">
        <v>82</v>
      </c>
      <c r="BO3020" s="2"/>
      <c r="BP3020" s="2">
        <v>241</v>
      </c>
      <c r="BQ3020" s="2" t="s">
        <v>82</v>
      </c>
      <c r="BR3020" s="2"/>
      <c r="BS3020" s="3">
        <v>40383</v>
      </c>
      <c r="BT3020" s="4">
        <v>0.79143518518518519</v>
      </c>
    </row>
    <row r="3021" spans="1:72" x14ac:dyDescent="0.25">
      <c r="A3021" s="2">
        <v>4458</v>
      </c>
      <c r="B3021" s="2">
        <v>2010</v>
      </c>
      <c r="C3021" s="2" t="s">
        <v>196</v>
      </c>
      <c r="D3021" s="2" t="s">
        <v>122</v>
      </c>
      <c r="E3021" s="2"/>
      <c r="F3021" s="2">
        <v>1</v>
      </c>
      <c r="G3021" s="2" t="s">
        <v>82</v>
      </c>
      <c r="H3021" s="2">
        <v>1</v>
      </c>
      <c r="I3021" s="2" t="s">
        <v>82</v>
      </c>
      <c r="J3021" s="2">
        <v>1</v>
      </c>
      <c r="K3021" s="2" t="s">
        <v>107</v>
      </c>
      <c r="L3021" s="2" t="s">
        <v>107</v>
      </c>
      <c r="M3021" s="3">
        <v>40383</v>
      </c>
      <c r="N3021" s="2"/>
      <c r="O3021" s="2"/>
      <c r="P3021" s="2"/>
      <c r="Q3021" s="2" t="str">
        <f>""</f>
        <v/>
      </c>
      <c r="R3021" s="2"/>
      <c r="S3021" s="2"/>
      <c r="T3021" s="2">
        <v>2</v>
      </c>
      <c r="U3021" s="2" t="s">
        <v>123</v>
      </c>
      <c r="V3021" s="2">
        <v>1</v>
      </c>
      <c r="W3021" s="2" t="s">
        <v>80</v>
      </c>
      <c r="X3021" s="2">
        <v>1</v>
      </c>
      <c r="Y3021" s="2" t="s">
        <v>81</v>
      </c>
      <c r="Z3021" s="2">
        <v>10</v>
      </c>
      <c r="AA3021" s="2" t="s">
        <v>236</v>
      </c>
      <c r="AB3021" s="2">
        <v>9</v>
      </c>
      <c r="AC3021" s="2" t="s">
        <v>124</v>
      </c>
      <c r="AD3021" s="3">
        <v>40383</v>
      </c>
      <c r="AE3021" s="4">
        <v>0.84236111111111101</v>
      </c>
      <c r="AF3021" s="2"/>
      <c r="AG3021" s="2"/>
      <c r="AH3021" s="2">
        <v>4</v>
      </c>
      <c r="AI3021" s="2" t="s">
        <v>125</v>
      </c>
      <c r="AJ3021" s="2">
        <v>31</v>
      </c>
      <c r="AK3021" s="2" t="s">
        <v>1413</v>
      </c>
      <c r="AL3021" s="2">
        <v>10</v>
      </c>
      <c r="AM3021" s="2" t="s">
        <v>200</v>
      </c>
      <c r="AN3021" s="2"/>
      <c r="AO3021" s="2"/>
      <c r="AP3021" s="2">
        <v>11</v>
      </c>
      <c r="AQ3021" s="2" t="s">
        <v>82</v>
      </c>
      <c r="AR3021" s="2"/>
      <c r="AS3021" s="2"/>
      <c r="AT3021" s="2" t="s">
        <v>9904</v>
      </c>
      <c r="AU3021" s="2"/>
      <c r="AV3021" s="2"/>
      <c r="AW3021" s="2"/>
      <c r="AX3021" s="2"/>
      <c r="AY3021" s="2">
        <v>41</v>
      </c>
      <c r="AZ3021" s="2" t="s">
        <v>82</v>
      </c>
      <c r="BA3021" s="2">
        <v>41</v>
      </c>
      <c r="BB3021" s="2" t="s">
        <v>82</v>
      </c>
      <c r="BC3021" s="2">
        <v>41</v>
      </c>
      <c r="BD3021" s="2" t="s">
        <v>82</v>
      </c>
      <c r="BE3021" s="2">
        <v>42</v>
      </c>
      <c r="BF3021" s="2" t="s">
        <v>182</v>
      </c>
      <c r="BG3021" s="2" t="s">
        <v>265</v>
      </c>
      <c r="BH3021" s="4">
        <v>0.84236111111111101</v>
      </c>
      <c r="BI3021" s="2"/>
      <c r="BJ3021" s="2">
        <v>13</v>
      </c>
      <c r="BK3021" s="2" t="s">
        <v>91</v>
      </c>
      <c r="BL3021" s="2" t="s">
        <v>534</v>
      </c>
      <c r="BM3021" s="2">
        <v>241</v>
      </c>
      <c r="BN3021" s="2" t="s">
        <v>82</v>
      </c>
      <c r="BO3021" s="2"/>
      <c r="BP3021" s="2">
        <v>13</v>
      </c>
      <c r="BQ3021" s="2" t="s">
        <v>91</v>
      </c>
      <c r="BR3021" s="2" t="s">
        <v>4725</v>
      </c>
      <c r="BS3021" s="3">
        <v>40383</v>
      </c>
      <c r="BT3021" s="4">
        <v>0.86537037037037035</v>
      </c>
    </row>
    <row r="3022" spans="1:72" x14ac:dyDescent="0.25">
      <c r="A3022" s="2">
        <v>4459</v>
      </c>
      <c r="B3022" s="2">
        <v>2010</v>
      </c>
      <c r="C3022" s="2" t="s">
        <v>255</v>
      </c>
      <c r="D3022" s="2" t="s">
        <v>122</v>
      </c>
      <c r="E3022" s="2" t="s">
        <v>9885</v>
      </c>
      <c r="F3022" s="2">
        <v>279</v>
      </c>
      <c r="G3022" s="2" t="s">
        <v>4464</v>
      </c>
      <c r="H3022" s="2">
        <v>108</v>
      </c>
      <c r="I3022" s="2" t="s">
        <v>1096</v>
      </c>
      <c r="J3022" s="2">
        <v>284</v>
      </c>
      <c r="K3022" s="2" t="s">
        <v>4465</v>
      </c>
      <c r="L3022" s="2" t="s">
        <v>4466</v>
      </c>
      <c r="M3022" s="3">
        <v>40383</v>
      </c>
      <c r="N3022" s="2" t="s">
        <v>9886</v>
      </c>
      <c r="O3022" s="2" t="s">
        <v>947</v>
      </c>
      <c r="P3022" s="2"/>
      <c r="Q3022" s="2" t="str">
        <f>"006/2010"</f>
        <v>006/2010</v>
      </c>
      <c r="R3022" s="2" t="s">
        <v>947</v>
      </c>
      <c r="S3022" s="2" t="s">
        <v>947</v>
      </c>
      <c r="T3022" s="2">
        <v>1</v>
      </c>
      <c r="U3022" s="2" t="s">
        <v>79</v>
      </c>
      <c r="V3022" s="2">
        <v>1</v>
      </c>
      <c r="W3022" s="2" t="s">
        <v>80</v>
      </c>
      <c r="X3022" s="2">
        <v>1</v>
      </c>
      <c r="Y3022" s="2" t="s">
        <v>81</v>
      </c>
      <c r="Z3022" s="2">
        <v>1</v>
      </c>
      <c r="AA3022" s="2" t="s">
        <v>82</v>
      </c>
      <c r="AB3022" s="2">
        <v>9</v>
      </c>
      <c r="AC3022" s="2" t="s">
        <v>124</v>
      </c>
      <c r="AD3022" s="3">
        <v>40383</v>
      </c>
      <c r="AE3022" s="4">
        <v>0.80555555555555547</v>
      </c>
      <c r="AF3022" s="2"/>
      <c r="AG3022" s="2"/>
      <c r="AH3022" s="2">
        <v>3</v>
      </c>
      <c r="AI3022" s="2" t="s">
        <v>214</v>
      </c>
      <c r="AJ3022" s="2">
        <v>18</v>
      </c>
      <c r="AK3022" s="2" t="s">
        <v>4469</v>
      </c>
      <c r="AL3022" s="2">
        <v>9</v>
      </c>
      <c r="AM3022" s="2" t="s">
        <v>259</v>
      </c>
      <c r="AN3022" s="2" t="s">
        <v>9223</v>
      </c>
      <c r="AO3022" s="2" t="s">
        <v>9905</v>
      </c>
      <c r="AP3022" s="2">
        <v>11</v>
      </c>
      <c r="AQ3022" s="2" t="s">
        <v>82</v>
      </c>
      <c r="AR3022" s="2"/>
      <c r="AS3022" s="2"/>
      <c r="AT3022" s="2" t="s">
        <v>9906</v>
      </c>
      <c r="AU3022" s="2"/>
      <c r="AV3022" s="2"/>
      <c r="AW3022" s="2"/>
      <c r="AX3022" s="2"/>
      <c r="AY3022" s="2">
        <v>44</v>
      </c>
      <c r="AZ3022" s="2" t="s">
        <v>262</v>
      </c>
      <c r="BA3022" s="2">
        <v>41</v>
      </c>
      <c r="BB3022" s="2" t="s">
        <v>82</v>
      </c>
      <c r="BC3022" s="2">
        <v>41</v>
      </c>
      <c r="BD3022" s="2" t="s">
        <v>82</v>
      </c>
      <c r="BE3022" s="2">
        <v>41</v>
      </c>
      <c r="BF3022" s="2" t="s">
        <v>82</v>
      </c>
      <c r="BG3022" s="2"/>
      <c r="BH3022" s="2"/>
      <c r="BI3022" s="2"/>
      <c r="BJ3022" s="2">
        <v>241</v>
      </c>
      <c r="BK3022" s="2" t="s">
        <v>82</v>
      </c>
      <c r="BL3022" s="2"/>
      <c r="BM3022" s="2">
        <v>241</v>
      </c>
      <c r="BN3022" s="2" t="s">
        <v>82</v>
      </c>
      <c r="BO3022" s="2"/>
      <c r="BP3022" s="2">
        <v>241</v>
      </c>
      <c r="BQ3022" s="2" t="s">
        <v>82</v>
      </c>
      <c r="BR3022" s="2"/>
      <c r="BS3022" s="3">
        <v>40383</v>
      </c>
      <c r="BT3022" s="4">
        <v>0.90248842592592593</v>
      </c>
    </row>
    <row r="3023" spans="1:72" x14ac:dyDescent="0.25">
      <c r="A3023" s="2">
        <v>4460</v>
      </c>
      <c r="B3023" s="2">
        <v>2010</v>
      </c>
      <c r="C3023" s="2" t="s">
        <v>385</v>
      </c>
      <c r="D3023" s="2" t="s">
        <v>122</v>
      </c>
      <c r="E3023" s="2" t="s">
        <v>9907</v>
      </c>
      <c r="F3023" s="2">
        <v>9</v>
      </c>
      <c r="G3023" s="2" t="s">
        <v>364</v>
      </c>
      <c r="H3023" s="2">
        <v>44</v>
      </c>
      <c r="I3023" s="2" t="s">
        <v>1272</v>
      </c>
      <c r="J3023" s="2">
        <v>18</v>
      </c>
      <c r="K3023" s="2" t="s">
        <v>365</v>
      </c>
      <c r="L3023" s="2" t="s">
        <v>115</v>
      </c>
      <c r="M3023" s="3">
        <v>40383</v>
      </c>
      <c r="N3023" s="2" t="s">
        <v>5465</v>
      </c>
      <c r="O3023" s="2"/>
      <c r="P3023" s="2"/>
      <c r="Q3023" s="2" t="str">
        <f>"41/10"</f>
        <v>41/10</v>
      </c>
      <c r="R3023" s="2" t="s">
        <v>9896</v>
      </c>
      <c r="S3023" s="2" t="s">
        <v>9896</v>
      </c>
      <c r="T3023" s="2">
        <v>1</v>
      </c>
      <c r="U3023" s="2" t="s">
        <v>79</v>
      </c>
      <c r="V3023" s="2">
        <v>1</v>
      </c>
      <c r="W3023" s="2" t="s">
        <v>80</v>
      </c>
      <c r="X3023" s="2">
        <v>5</v>
      </c>
      <c r="Y3023" s="2" t="s">
        <v>82</v>
      </c>
      <c r="Z3023" s="2">
        <v>1</v>
      </c>
      <c r="AA3023" s="2" t="s">
        <v>82</v>
      </c>
      <c r="AB3023" s="2">
        <v>9</v>
      </c>
      <c r="AC3023" s="2" t="s">
        <v>124</v>
      </c>
      <c r="AD3023" s="3">
        <v>40383</v>
      </c>
      <c r="AE3023" s="4">
        <v>0.69444444444444453</v>
      </c>
      <c r="AF3023" s="2"/>
      <c r="AG3023" s="2"/>
      <c r="AH3023" s="2">
        <v>3</v>
      </c>
      <c r="AI3023" s="2" t="s">
        <v>214</v>
      </c>
      <c r="AJ3023" s="2">
        <v>24</v>
      </c>
      <c r="AK3023" s="2" t="s">
        <v>215</v>
      </c>
      <c r="AL3023" s="2">
        <v>19</v>
      </c>
      <c r="AM3023" s="2" t="s">
        <v>107</v>
      </c>
      <c r="AN3023" s="2"/>
      <c r="AO3023" s="2"/>
      <c r="AP3023" s="2">
        <v>11</v>
      </c>
      <c r="AQ3023" s="2" t="s">
        <v>82</v>
      </c>
      <c r="AR3023" s="2"/>
      <c r="AS3023" s="2"/>
      <c r="AT3023" s="2" t="s">
        <v>9908</v>
      </c>
      <c r="AU3023" s="2">
        <v>1</v>
      </c>
      <c r="AV3023" s="2"/>
      <c r="AW3023" s="2"/>
      <c r="AX3023" s="2"/>
      <c r="AY3023" s="2">
        <v>41</v>
      </c>
      <c r="AZ3023" s="2" t="s">
        <v>82</v>
      </c>
      <c r="BA3023" s="2">
        <v>41</v>
      </c>
      <c r="BB3023" s="2" t="s">
        <v>82</v>
      </c>
      <c r="BC3023" s="2">
        <v>41</v>
      </c>
      <c r="BD3023" s="2" t="s">
        <v>82</v>
      </c>
      <c r="BE3023" s="2">
        <v>41</v>
      </c>
      <c r="BF3023" s="2" t="s">
        <v>82</v>
      </c>
      <c r="BG3023" s="2"/>
      <c r="BH3023" s="2"/>
      <c r="BI3023" s="2"/>
      <c r="BJ3023" s="2">
        <v>241</v>
      </c>
      <c r="BK3023" s="2" t="s">
        <v>82</v>
      </c>
      <c r="BL3023" s="2" t="s">
        <v>224</v>
      </c>
      <c r="BM3023" s="2">
        <v>241</v>
      </c>
      <c r="BN3023" s="2" t="s">
        <v>82</v>
      </c>
      <c r="BO3023" s="2"/>
      <c r="BP3023" s="2">
        <v>13</v>
      </c>
      <c r="BQ3023" s="2" t="s">
        <v>91</v>
      </c>
      <c r="BR3023" s="2"/>
      <c r="BS3023" s="3">
        <v>40383</v>
      </c>
      <c r="BT3023" s="4">
        <v>0.95187499999999992</v>
      </c>
    </row>
    <row r="3024" spans="1:72" x14ac:dyDescent="0.25">
      <c r="A3024" s="2">
        <v>4461</v>
      </c>
      <c r="B3024" s="2">
        <v>2010</v>
      </c>
      <c r="C3024" s="2" t="s">
        <v>72</v>
      </c>
      <c r="D3024" s="2" t="s">
        <v>73</v>
      </c>
      <c r="E3024" s="2"/>
      <c r="F3024" s="2">
        <v>656</v>
      </c>
      <c r="G3024" s="2" t="s">
        <v>9909</v>
      </c>
      <c r="H3024" s="2">
        <v>22</v>
      </c>
      <c r="I3024" s="2" t="s">
        <v>75</v>
      </c>
      <c r="J3024" s="2">
        <v>620</v>
      </c>
      <c r="K3024" s="2" t="s">
        <v>9617</v>
      </c>
      <c r="L3024" s="2" t="s">
        <v>9618</v>
      </c>
      <c r="M3024" s="3">
        <v>40384</v>
      </c>
      <c r="N3024" s="2" t="s">
        <v>9619</v>
      </c>
      <c r="O3024" s="2" t="s">
        <v>107</v>
      </c>
      <c r="P3024" s="2" t="s">
        <v>107</v>
      </c>
      <c r="Q3024" s="2" t="str">
        <f>"284-A/10"</f>
        <v>284-A/10</v>
      </c>
      <c r="R3024" s="2"/>
      <c r="S3024" s="2" t="s">
        <v>601</v>
      </c>
      <c r="T3024" s="2">
        <v>1</v>
      </c>
      <c r="U3024" s="2" t="s">
        <v>79</v>
      </c>
      <c r="V3024" s="2">
        <v>1</v>
      </c>
      <c r="W3024" s="2" t="s">
        <v>80</v>
      </c>
      <c r="X3024" s="2">
        <v>12</v>
      </c>
      <c r="Y3024" s="2" t="s">
        <v>148</v>
      </c>
      <c r="Z3024" s="2">
        <v>1</v>
      </c>
      <c r="AA3024" s="2" t="s">
        <v>82</v>
      </c>
      <c r="AB3024" s="2">
        <v>6</v>
      </c>
      <c r="AC3024" s="2" t="s">
        <v>83</v>
      </c>
      <c r="AD3024" s="3">
        <v>40383</v>
      </c>
      <c r="AE3024" s="2"/>
      <c r="AF3024" s="3">
        <v>40383</v>
      </c>
      <c r="AG3024" s="4">
        <v>0.83333333333333337</v>
      </c>
      <c r="AH3024" s="2">
        <v>2</v>
      </c>
      <c r="AI3024" s="2" t="s">
        <v>84</v>
      </c>
      <c r="AJ3024" s="2">
        <v>12</v>
      </c>
      <c r="AK3024" s="2" t="s">
        <v>85</v>
      </c>
      <c r="AL3024" s="2">
        <v>23</v>
      </c>
      <c r="AM3024" s="2" t="s">
        <v>251</v>
      </c>
      <c r="AN3024" s="2"/>
      <c r="AO3024" s="2" t="s">
        <v>9910</v>
      </c>
      <c r="AP3024" s="2">
        <v>11</v>
      </c>
      <c r="AQ3024" s="2" t="s">
        <v>82</v>
      </c>
      <c r="AR3024" s="2"/>
      <c r="AS3024" s="2"/>
      <c r="AT3024" s="2" t="s">
        <v>9911</v>
      </c>
      <c r="AU3024" s="2"/>
      <c r="AV3024" s="2"/>
      <c r="AW3024" s="2"/>
      <c r="AX3024" s="2"/>
      <c r="AY3024" s="2">
        <v>41</v>
      </c>
      <c r="AZ3024" s="2" t="s">
        <v>82</v>
      </c>
      <c r="BA3024" s="2">
        <v>41</v>
      </c>
      <c r="BB3024" s="2" t="s">
        <v>82</v>
      </c>
      <c r="BC3024" s="2">
        <v>41</v>
      </c>
      <c r="BD3024" s="2" t="s">
        <v>82</v>
      </c>
      <c r="BE3024" s="2">
        <v>41</v>
      </c>
      <c r="BF3024" s="2" t="s">
        <v>82</v>
      </c>
      <c r="BG3024" s="2"/>
      <c r="BH3024" s="2"/>
      <c r="BI3024" s="2"/>
      <c r="BJ3024" s="2">
        <v>241</v>
      </c>
      <c r="BK3024" s="2" t="s">
        <v>82</v>
      </c>
      <c r="BL3024" s="2"/>
      <c r="BM3024" s="2">
        <v>241</v>
      </c>
      <c r="BN3024" s="2" t="s">
        <v>82</v>
      </c>
      <c r="BO3024" s="2"/>
      <c r="BP3024" s="2">
        <v>241</v>
      </c>
      <c r="BQ3024" s="2" t="s">
        <v>82</v>
      </c>
      <c r="BR3024" s="2"/>
      <c r="BS3024" s="3">
        <v>40384</v>
      </c>
      <c r="BT3024" s="4">
        <v>1.3564814814814816E-2</v>
      </c>
    </row>
    <row r="3025" spans="1:72" x14ac:dyDescent="0.25">
      <c r="A3025" s="2">
        <v>4462</v>
      </c>
      <c r="B3025" s="2">
        <v>2010</v>
      </c>
      <c r="C3025" s="2" t="s">
        <v>196</v>
      </c>
      <c r="D3025" s="2" t="s">
        <v>122</v>
      </c>
      <c r="E3025" s="2" t="s">
        <v>9912</v>
      </c>
      <c r="F3025" s="2">
        <v>1</v>
      </c>
      <c r="G3025" s="2" t="s">
        <v>82</v>
      </c>
      <c r="H3025" s="2">
        <v>1</v>
      </c>
      <c r="I3025" s="2" t="s">
        <v>82</v>
      </c>
      <c r="J3025" s="2">
        <v>1</v>
      </c>
      <c r="K3025" s="2" t="s">
        <v>107</v>
      </c>
      <c r="L3025" s="2" t="s">
        <v>107</v>
      </c>
      <c r="M3025" s="3">
        <v>40384</v>
      </c>
      <c r="N3025" s="2"/>
      <c r="O3025" s="2"/>
      <c r="P3025" s="2"/>
      <c r="Q3025" s="2" t="str">
        <f>""</f>
        <v/>
      </c>
      <c r="R3025" s="2"/>
      <c r="S3025" s="2"/>
      <c r="T3025" s="2">
        <v>2</v>
      </c>
      <c r="U3025" s="2" t="s">
        <v>123</v>
      </c>
      <c r="V3025" s="2">
        <v>1</v>
      </c>
      <c r="W3025" s="2" t="s">
        <v>80</v>
      </c>
      <c r="X3025" s="2">
        <v>1</v>
      </c>
      <c r="Y3025" s="2" t="s">
        <v>81</v>
      </c>
      <c r="Z3025" s="2">
        <v>10</v>
      </c>
      <c r="AA3025" s="2" t="s">
        <v>236</v>
      </c>
      <c r="AB3025" s="2">
        <v>9</v>
      </c>
      <c r="AC3025" s="2" t="s">
        <v>124</v>
      </c>
      <c r="AD3025" s="3">
        <v>40384</v>
      </c>
      <c r="AE3025" s="4">
        <v>3.8194444444444441E-2</v>
      </c>
      <c r="AF3025" s="2"/>
      <c r="AG3025" s="2"/>
      <c r="AH3025" s="2">
        <v>4</v>
      </c>
      <c r="AI3025" s="2" t="s">
        <v>125</v>
      </c>
      <c r="AJ3025" s="2">
        <v>31</v>
      </c>
      <c r="AK3025" s="2" t="s">
        <v>1413</v>
      </c>
      <c r="AL3025" s="2">
        <v>10</v>
      </c>
      <c r="AM3025" s="2" t="s">
        <v>200</v>
      </c>
      <c r="AN3025" s="2"/>
      <c r="AO3025" s="2"/>
      <c r="AP3025" s="2">
        <v>11</v>
      </c>
      <c r="AQ3025" s="2" t="s">
        <v>82</v>
      </c>
      <c r="AR3025" s="2"/>
      <c r="AS3025" s="2"/>
      <c r="AT3025" s="2" t="s">
        <v>9913</v>
      </c>
      <c r="AU3025" s="2"/>
      <c r="AV3025" s="2"/>
      <c r="AW3025" s="2"/>
      <c r="AX3025" s="2"/>
      <c r="AY3025" s="2">
        <v>41</v>
      </c>
      <c r="AZ3025" s="2" t="s">
        <v>82</v>
      </c>
      <c r="BA3025" s="2">
        <v>41</v>
      </c>
      <c r="BB3025" s="2" t="s">
        <v>82</v>
      </c>
      <c r="BC3025" s="2">
        <v>41</v>
      </c>
      <c r="BD3025" s="2" t="s">
        <v>82</v>
      </c>
      <c r="BE3025" s="2">
        <v>42</v>
      </c>
      <c r="BF3025" s="2" t="s">
        <v>182</v>
      </c>
      <c r="BG3025" s="2" t="s">
        <v>265</v>
      </c>
      <c r="BH3025" s="2"/>
      <c r="BI3025" s="4">
        <v>3.8194444444444441E-2</v>
      </c>
      <c r="BJ3025" s="2">
        <v>13</v>
      </c>
      <c r="BK3025" s="2" t="s">
        <v>91</v>
      </c>
      <c r="BL3025" s="2" t="s">
        <v>4725</v>
      </c>
      <c r="BM3025" s="2">
        <v>241</v>
      </c>
      <c r="BN3025" s="2" t="s">
        <v>82</v>
      </c>
      <c r="BO3025" s="2"/>
      <c r="BP3025" s="2">
        <v>13</v>
      </c>
      <c r="BQ3025" s="2" t="s">
        <v>91</v>
      </c>
      <c r="BR3025" s="2" t="s">
        <v>534</v>
      </c>
      <c r="BS3025" s="3">
        <v>40384</v>
      </c>
      <c r="BT3025" s="4">
        <v>5.2569444444444446E-2</v>
      </c>
    </row>
    <row r="3026" spans="1:72" x14ac:dyDescent="0.25">
      <c r="A3026" s="2">
        <v>4463</v>
      </c>
      <c r="B3026" s="2">
        <v>2010</v>
      </c>
      <c r="C3026" s="2" t="s">
        <v>72</v>
      </c>
      <c r="D3026" s="2" t="s">
        <v>73</v>
      </c>
      <c r="E3026" s="2"/>
      <c r="F3026" s="2">
        <v>649</v>
      </c>
      <c r="G3026" s="2" t="s">
        <v>9141</v>
      </c>
      <c r="H3026" s="2">
        <v>22</v>
      </c>
      <c r="I3026" s="2" t="s">
        <v>75</v>
      </c>
      <c r="J3026" s="2">
        <v>602</v>
      </c>
      <c r="K3026" s="2" t="s">
        <v>9091</v>
      </c>
      <c r="L3026" s="2" t="s">
        <v>9092</v>
      </c>
      <c r="M3026" s="3">
        <v>40384</v>
      </c>
      <c r="N3026" s="2" t="s">
        <v>9914</v>
      </c>
      <c r="O3026" s="2"/>
      <c r="P3026" s="2"/>
      <c r="Q3026" s="2" t="str">
        <f>"286-A/10"</f>
        <v>286-A/10</v>
      </c>
      <c r="R3026" s="2"/>
      <c r="S3026" s="2" t="s">
        <v>116</v>
      </c>
      <c r="T3026" s="2">
        <v>1</v>
      </c>
      <c r="U3026" s="2" t="s">
        <v>79</v>
      </c>
      <c r="V3026" s="2">
        <v>1</v>
      </c>
      <c r="W3026" s="2" t="s">
        <v>80</v>
      </c>
      <c r="X3026" s="2">
        <v>12</v>
      </c>
      <c r="Y3026" s="2" t="s">
        <v>148</v>
      </c>
      <c r="Z3026" s="2">
        <v>1</v>
      </c>
      <c r="AA3026" s="2" t="s">
        <v>82</v>
      </c>
      <c r="AB3026" s="2">
        <v>6</v>
      </c>
      <c r="AC3026" s="2" t="s">
        <v>83</v>
      </c>
      <c r="AD3026" s="3">
        <v>40383</v>
      </c>
      <c r="AE3026" s="2"/>
      <c r="AF3026" s="3">
        <v>40383</v>
      </c>
      <c r="AG3026" s="4">
        <v>0.91666666666666663</v>
      </c>
      <c r="AH3026" s="2">
        <v>2</v>
      </c>
      <c r="AI3026" s="2" t="s">
        <v>84</v>
      </c>
      <c r="AJ3026" s="2">
        <v>12</v>
      </c>
      <c r="AK3026" s="2" t="s">
        <v>85</v>
      </c>
      <c r="AL3026" s="2">
        <v>12</v>
      </c>
      <c r="AM3026" s="2" t="s">
        <v>86</v>
      </c>
      <c r="AN3026" s="2"/>
      <c r="AO3026" s="2" t="s">
        <v>9915</v>
      </c>
      <c r="AP3026" s="2">
        <v>11</v>
      </c>
      <c r="AQ3026" s="2" t="s">
        <v>82</v>
      </c>
      <c r="AR3026" s="2"/>
      <c r="AS3026" s="2"/>
      <c r="AT3026" s="2" t="s">
        <v>9916</v>
      </c>
      <c r="AU3026" s="2"/>
      <c r="AV3026" s="2"/>
      <c r="AW3026" s="2"/>
      <c r="AX3026" s="2"/>
      <c r="AY3026" s="2">
        <v>41</v>
      </c>
      <c r="AZ3026" s="2" t="s">
        <v>82</v>
      </c>
      <c r="BA3026" s="2">
        <v>41</v>
      </c>
      <c r="BB3026" s="2" t="s">
        <v>82</v>
      </c>
      <c r="BC3026" s="2">
        <v>41</v>
      </c>
      <c r="BD3026" s="2" t="s">
        <v>82</v>
      </c>
      <c r="BE3026" s="2">
        <v>41</v>
      </c>
      <c r="BF3026" s="2" t="s">
        <v>82</v>
      </c>
      <c r="BG3026" s="2"/>
      <c r="BH3026" s="2"/>
      <c r="BI3026" s="2"/>
      <c r="BJ3026" s="2">
        <v>241</v>
      </c>
      <c r="BK3026" s="2" t="s">
        <v>82</v>
      </c>
      <c r="BL3026" s="2"/>
      <c r="BM3026" s="2">
        <v>241</v>
      </c>
      <c r="BN3026" s="2" t="s">
        <v>82</v>
      </c>
      <c r="BO3026" s="2"/>
      <c r="BP3026" s="2">
        <v>241</v>
      </c>
      <c r="BQ3026" s="2" t="s">
        <v>82</v>
      </c>
      <c r="BR3026" s="2"/>
      <c r="BS3026" s="3">
        <v>40384</v>
      </c>
      <c r="BT3026" s="4">
        <v>7.2743055555555561E-2</v>
      </c>
    </row>
    <row r="3027" spans="1:72" x14ac:dyDescent="0.25">
      <c r="A3027" s="2">
        <v>4464</v>
      </c>
      <c r="B3027" s="2">
        <v>2010</v>
      </c>
      <c r="C3027" s="2" t="s">
        <v>72</v>
      </c>
      <c r="D3027" s="2" t="s">
        <v>73</v>
      </c>
      <c r="E3027" s="2"/>
      <c r="F3027" s="2">
        <v>649</v>
      </c>
      <c r="G3027" s="2" t="s">
        <v>9141</v>
      </c>
      <c r="H3027" s="2">
        <v>22</v>
      </c>
      <c r="I3027" s="2" t="s">
        <v>75</v>
      </c>
      <c r="J3027" s="2">
        <v>602</v>
      </c>
      <c r="K3027" s="2" t="s">
        <v>9091</v>
      </c>
      <c r="L3027" s="2" t="s">
        <v>9092</v>
      </c>
      <c r="M3027" s="3">
        <v>40384</v>
      </c>
      <c r="N3027" s="2" t="s">
        <v>9914</v>
      </c>
      <c r="O3027" s="2"/>
      <c r="P3027" s="2"/>
      <c r="Q3027" s="2" t="str">
        <f>"285-A/10"</f>
        <v>285-A/10</v>
      </c>
      <c r="R3027" s="2"/>
      <c r="S3027" s="2" t="s">
        <v>78</v>
      </c>
      <c r="T3027" s="2">
        <v>1</v>
      </c>
      <c r="U3027" s="2" t="s">
        <v>79</v>
      </c>
      <c r="V3027" s="2">
        <v>1</v>
      </c>
      <c r="W3027" s="2" t="s">
        <v>80</v>
      </c>
      <c r="X3027" s="2">
        <v>12</v>
      </c>
      <c r="Y3027" s="2" t="s">
        <v>148</v>
      </c>
      <c r="Z3027" s="2">
        <v>1</v>
      </c>
      <c r="AA3027" s="2" t="s">
        <v>82</v>
      </c>
      <c r="AB3027" s="2">
        <v>6</v>
      </c>
      <c r="AC3027" s="2" t="s">
        <v>83</v>
      </c>
      <c r="AD3027" s="3">
        <v>40383</v>
      </c>
      <c r="AE3027" s="2"/>
      <c r="AF3027" s="3">
        <v>40383</v>
      </c>
      <c r="AG3027" s="4">
        <v>0.84375</v>
      </c>
      <c r="AH3027" s="2">
        <v>2</v>
      </c>
      <c r="AI3027" s="2" t="s">
        <v>84</v>
      </c>
      <c r="AJ3027" s="2">
        <v>12</v>
      </c>
      <c r="AK3027" s="2" t="s">
        <v>85</v>
      </c>
      <c r="AL3027" s="2">
        <v>23</v>
      </c>
      <c r="AM3027" s="2" t="s">
        <v>251</v>
      </c>
      <c r="AN3027" s="2" t="s">
        <v>9917</v>
      </c>
      <c r="AO3027" s="2"/>
      <c r="AP3027" s="2">
        <v>11</v>
      </c>
      <c r="AQ3027" s="2" t="s">
        <v>82</v>
      </c>
      <c r="AR3027" s="2"/>
      <c r="AS3027" s="2"/>
      <c r="AT3027" s="2" t="s">
        <v>9918</v>
      </c>
      <c r="AU3027" s="2"/>
      <c r="AV3027" s="2"/>
      <c r="AW3027" s="2"/>
      <c r="AX3027" s="2"/>
      <c r="AY3027" s="2">
        <v>41</v>
      </c>
      <c r="AZ3027" s="2" t="s">
        <v>82</v>
      </c>
      <c r="BA3027" s="2">
        <v>41</v>
      </c>
      <c r="BB3027" s="2" t="s">
        <v>82</v>
      </c>
      <c r="BC3027" s="2">
        <v>41</v>
      </c>
      <c r="BD3027" s="2" t="s">
        <v>82</v>
      </c>
      <c r="BE3027" s="2">
        <v>41</v>
      </c>
      <c r="BF3027" s="2" t="s">
        <v>82</v>
      </c>
      <c r="BG3027" s="2"/>
      <c r="BH3027" s="2"/>
      <c r="BI3027" s="2"/>
      <c r="BJ3027" s="2">
        <v>241</v>
      </c>
      <c r="BK3027" s="2" t="s">
        <v>82</v>
      </c>
      <c r="BL3027" s="2"/>
      <c r="BM3027" s="2">
        <v>241</v>
      </c>
      <c r="BN3027" s="2" t="s">
        <v>82</v>
      </c>
      <c r="BO3027" s="2"/>
      <c r="BP3027" s="2">
        <v>241</v>
      </c>
      <c r="BQ3027" s="2" t="s">
        <v>82</v>
      </c>
      <c r="BR3027" s="2"/>
      <c r="BS3027" s="3">
        <v>40384</v>
      </c>
      <c r="BT3027" s="4">
        <v>9.6504629629629635E-2</v>
      </c>
    </row>
    <row r="3028" spans="1:72" x14ac:dyDescent="0.25">
      <c r="A3028" s="2">
        <v>4465</v>
      </c>
      <c r="B3028" s="2">
        <v>2010</v>
      </c>
      <c r="C3028" s="2" t="s">
        <v>196</v>
      </c>
      <c r="D3028" s="2" t="s">
        <v>122</v>
      </c>
      <c r="E3028" s="2"/>
      <c r="F3028" s="2">
        <v>1</v>
      </c>
      <c r="G3028" s="2" t="s">
        <v>82</v>
      </c>
      <c r="H3028" s="2">
        <v>1</v>
      </c>
      <c r="I3028" s="2" t="s">
        <v>82</v>
      </c>
      <c r="J3028" s="2">
        <v>1</v>
      </c>
      <c r="K3028" s="2" t="s">
        <v>107</v>
      </c>
      <c r="L3028" s="2" t="s">
        <v>107</v>
      </c>
      <c r="M3028" s="3">
        <v>40384</v>
      </c>
      <c r="N3028" s="2"/>
      <c r="O3028" s="2"/>
      <c r="P3028" s="2"/>
      <c r="Q3028" s="2" t="str">
        <f>""</f>
        <v/>
      </c>
      <c r="R3028" s="2"/>
      <c r="S3028" s="2"/>
      <c r="T3028" s="2">
        <v>2</v>
      </c>
      <c r="U3028" s="2" t="s">
        <v>123</v>
      </c>
      <c r="V3028" s="2">
        <v>1</v>
      </c>
      <c r="W3028" s="2" t="s">
        <v>80</v>
      </c>
      <c r="X3028" s="2">
        <v>11</v>
      </c>
      <c r="Y3028" s="2" t="s">
        <v>1920</v>
      </c>
      <c r="Z3028" s="2">
        <v>1</v>
      </c>
      <c r="AA3028" s="2" t="s">
        <v>82</v>
      </c>
      <c r="AB3028" s="2">
        <v>9</v>
      </c>
      <c r="AC3028" s="2" t="s">
        <v>124</v>
      </c>
      <c r="AD3028" s="3">
        <v>40384</v>
      </c>
      <c r="AE3028" s="4">
        <v>6.25E-2</v>
      </c>
      <c r="AF3028" s="2"/>
      <c r="AG3028" s="2"/>
      <c r="AH3028" s="2">
        <v>2</v>
      </c>
      <c r="AI3028" s="2" t="s">
        <v>84</v>
      </c>
      <c r="AJ3028" s="2">
        <v>12</v>
      </c>
      <c r="AK3028" s="2" t="s">
        <v>85</v>
      </c>
      <c r="AL3028" s="2">
        <v>20</v>
      </c>
      <c r="AM3028" s="2" t="s">
        <v>992</v>
      </c>
      <c r="AN3028" s="2"/>
      <c r="AO3028" s="2"/>
      <c r="AP3028" s="2">
        <v>11</v>
      </c>
      <c r="AQ3028" s="2" t="s">
        <v>82</v>
      </c>
      <c r="AR3028" s="2"/>
      <c r="AS3028" s="2"/>
      <c r="AT3028" s="2" t="s">
        <v>9919</v>
      </c>
      <c r="AU3028" s="2"/>
      <c r="AV3028" s="2"/>
      <c r="AW3028" s="2"/>
      <c r="AX3028" s="2"/>
      <c r="AY3028" s="2">
        <v>41</v>
      </c>
      <c r="AZ3028" s="2" t="s">
        <v>82</v>
      </c>
      <c r="BA3028" s="2">
        <v>41</v>
      </c>
      <c r="BB3028" s="2" t="s">
        <v>82</v>
      </c>
      <c r="BC3028" s="2">
        <v>41</v>
      </c>
      <c r="BD3028" s="2" t="s">
        <v>82</v>
      </c>
      <c r="BE3028" s="2">
        <v>41</v>
      </c>
      <c r="BF3028" s="2" t="s">
        <v>82</v>
      </c>
      <c r="BG3028" s="2"/>
      <c r="BH3028" s="2"/>
      <c r="BI3028" s="2"/>
      <c r="BJ3028" s="2">
        <v>241</v>
      </c>
      <c r="BK3028" s="2" t="s">
        <v>82</v>
      </c>
      <c r="BL3028" s="2"/>
      <c r="BM3028" s="2">
        <v>241</v>
      </c>
      <c r="BN3028" s="2" t="s">
        <v>82</v>
      </c>
      <c r="BO3028" s="2"/>
      <c r="BP3028" s="2">
        <v>241</v>
      </c>
      <c r="BQ3028" s="2" t="s">
        <v>82</v>
      </c>
      <c r="BR3028" s="2"/>
      <c r="BS3028" s="3">
        <v>40384</v>
      </c>
      <c r="BT3028" s="4">
        <v>0.10626157407407406</v>
      </c>
    </row>
    <row r="3029" spans="1:72" x14ac:dyDescent="0.25">
      <c r="A3029" s="2">
        <v>4466</v>
      </c>
      <c r="B3029" s="2">
        <v>2010</v>
      </c>
      <c r="C3029" s="2" t="s">
        <v>72</v>
      </c>
      <c r="D3029" s="2" t="s">
        <v>73</v>
      </c>
      <c r="E3029" s="2"/>
      <c r="F3029" s="2">
        <v>390</v>
      </c>
      <c r="G3029" s="2" t="s">
        <v>475</v>
      </c>
      <c r="H3029" s="2">
        <v>71</v>
      </c>
      <c r="I3029" s="2" t="s">
        <v>335</v>
      </c>
      <c r="J3029" s="2">
        <v>399</v>
      </c>
      <c r="K3029" s="2" t="s">
        <v>1820</v>
      </c>
      <c r="L3029" s="2" t="s">
        <v>1821</v>
      </c>
      <c r="M3029" s="3">
        <v>40384</v>
      </c>
      <c r="N3029" s="2" t="s">
        <v>9075</v>
      </c>
      <c r="O3029" s="2"/>
      <c r="P3029" s="2"/>
      <c r="Q3029" s="2" t="str">
        <f>"377-E/10"</f>
        <v>377-E/10</v>
      </c>
      <c r="R3029" s="2" t="s">
        <v>9920</v>
      </c>
      <c r="S3029" s="2" t="s">
        <v>9920</v>
      </c>
      <c r="T3029" s="2">
        <v>1</v>
      </c>
      <c r="U3029" s="2" t="s">
        <v>79</v>
      </c>
      <c r="V3029" s="2">
        <v>1</v>
      </c>
      <c r="W3029" s="2" t="s">
        <v>80</v>
      </c>
      <c r="X3029" s="2">
        <v>12</v>
      </c>
      <c r="Y3029" s="2" t="s">
        <v>148</v>
      </c>
      <c r="Z3029" s="2">
        <v>1</v>
      </c>
      <c r="AA3029" s="2" t="s">
        <v>82</v>
      </c>
      <c r="AB3029" s="2">
        <v>6</v>
      </c>
      <c r="AC3029" s="2" t="s">
        <v>83</v>
      </c>
      <c r="AD3029" s="3">
        <v>40383</v>
      </c>
      <c r="AE3029" s="2"/>
      <c r="AF3029" s="3">
        <v>40383</v>
      </c>
      <c r="AG3029" s="4">
        <v>0.97569444444444453</v>
      </c>
      <c r="AH3029" s="2">
        <v>2</v>
      </c>
      <c r="AI3029" s="2" t="s">
        <v>84</v>
      </c>
      <c r="AJ3029" s="2">
        <v>9</v>
      </c>
      <c r="AK3029" s="2" t="s">
        <v>103</v>
      </c>
      <c r="AL3029" s="2">
        <v>2</v>
      </c>
      <c r="AM3029" s="2" t="s">
        <v>163</v>
      </c>
      <c r="AN3029" s="2" t="s">
        <v>9921</v>
      </c>
      <c r="AO3029" s="2"/>
      <c r="AP3029" s="2">
        <v>11</v>
      </c>
      <c r="AQ3029" s="2" t="s">
        <v>82</v>
      </c>
      <c r="AR3029" s="2"/>
      <c r="AS3029" s="2"/>
      <c r="AT3029" s="2" t="s">
        <v>9922</v>
      </c>
      <c r="AU3029" s="2"/>
      <c r="AV3029" s="2"/>
      <c r="AW3029" s="2"/>
      <c r="AX3029" s="2"/>
      <c r="AY3029" s="2">
        <v>41</v>
      </c>
      <c r="AZ3029" s="2" t="s">
        <v>82</v>
      </c>
      <c r="BA3029" s="2">
        <v>41</v>
      </c>
      <c r="BB3029" s="2" t="s">
        <v>82</v>
      </c>
      <c r="BC3029" s="2">
        <v>41</v>
      </c>
      <c r="BD3029" s="2" t="s">
        <v>82</v>
      </c>
      <c r="BE3029" s="2">
        <v>23</v>
      </c>
      <c r="BF3029" s="2" t="s">
        <v>183</v>
      </c>
      <c r="BG3029" s="2" t="s">
        <v>9043</v>
      </c>
      <c r="BH3029" s="4">
        <v>0.89930555555555547</v>
      </c>
      <c r="BI3029" s="2"/>
      <c r="BJ3029" s="2">
        <v>73</v>
      </c>
      <c r="BK3029" s="2" t="s">
        <v>186</v>
      </c>
      <c r="BL3029" s="2" t="s">
        <v>187</v>
      </c>
      <c r="BM3029" s="2">
        <v>241</v>
      </c>
      <c r="BN3029" s="2" t="s">
        <v>82</v>
      </c>
      <c r="BO3029" s="2"/>
      <c r="BP3029" s="2">
        <v>13</v>
      </c>
      <c r="BQ3029" s="2" t="s">
        <v>91</v>
      </c>
      <c r="BR3029" s="2" t="s">
        <v>360</v>
      </c>
      <c r="BS3029" s="3">
        <v>40384</v>
      </c>
      <c r="BT3029" s="4">
        <v>0.12420138888888889</v>
      </c>
    </row>
    <row r="3030" spans="1:72" x14ac:dyDescent="0.25">
      <c r="A3030" s="2">
        <v>4467</v>
      </c>
      <c r="B3030" s="2">
        <v>2010</v>
      </c>
      <c r="C3030" s="2" t="s">
        <v>93</v>
      </c>
      <c r="D3030" s="2" t="s">
        <v>122</v>
      </c>
      <c r="E3030" s="2" t="s">
        <v>9923</v>
      </c>
      <c r="F3030" s="2">
        <v>655</v>
      </c>
      <c r="G3030" s="2" t="s">
        <v>9876</v>
      </c>
      <c r="H3030" s="2">
        <v>50</v>
      </c>
      <c r="I3030" s="2" t="s">
        <v>107</v>
      </c>
      <c r="J3030" s="2">
        <v>630</v>
      </c>
      <c r="K3030" s="2" t="s">
        <v>9877</v>
      </c>
      <c r="L3030" s="2" t="s">
        <v>9878</v>
      </c>
      <c r="M3030" s="3">
        <v>40384</v>
      </c>
      <c r="N3030" s="2"/>
      <c r="O3030" s="2" t="s">
        <v>9924</v>
      </c>
      <c r="P3030" s="2"/>
      <c r="Q3030" s="2" t="str">
        <f>""</f>
        <v/>
      </c>
      <c r="R3030" s="2" t="s">
        <v>100</v>
      </c>
      <c r="S3030" s="2" t="s">
        <v>100</v>
      </c>
      <c r="T3030" s="2">
        <v>1</v>
      </c>
      <c r="U3030" s="2" t="s">
        <v>79</v>
      </c>
      <c r="V3030" s="2">
        <v>1</v>
      </c>
      <c r="W3030" s="2" t="s">
        <v>80</v>
      </c>
      <c r="X3030" s="2">
        <v>4</v>
      </c>
      <c r="Y3030" s="2" t="s">
        <v>463</v>
      </c>
      <c r="Z3030" s="2">
        <v>6</v>
      </c>
      <c r="AA3030" s="2" t="s">
        <v>101</v>
      </c>
      <c r="AB3030" s="2">
        <v>2</v>
      </c>
      <c r="AC3030" s="2" t="s">
        <v>102</v>
      </c>
      <c r="AD3030" s="3">
        <v>40383</v>
      </c>
      <c r="AE3030" s="4">
        <v>8.3333333333333329E-2</v>
      </c>
      <c r="AF3030" s="2"/>
      <c r="AG3030" s="2"/>
      <c r="AH3030" s="2">
        <v>2</v>
      </c>
      <c r="AI3030" s="2" t="s">
        <v>84</v>
      </c>
      <c r="AJ3030" s="2">
        <v>9</v>
      </c>
      <c r="AK3030" s="2" t="s">
        <v>103</v>
      </c>
      <c r="AL3030" s="2">
        <v>14</v>
      </c>
      <c r="AM3030" s="2" t="s">
        <v>216</v>
      </c>
      <c r="AN3030" s="2"/>
      <c r="AO3030" s="2" t="s">
        <v>105</v>
      </c>
      <c r="AP3030" s="2">
        <v>11</v>
      </c>
      <c r="AQ3030" s="2" t="s">
        <v>82</v>
      </c>
      <c r="AR3030" s="2"/>
      <c r="AS3030" s="2"/>
      <c r="AT3030" s="2" t="s">
        <v>9925</v>
      </c>
      <c r="AU3030" s="2">
        <v>1</v>
      </c>
      <c r="AV3030" s="2"/>
      <c r="AW3030" s="2"/>
      <c r="AX3030" s="2"/>
      <c r="AY3030" s="2">
        <v>41</v>
      </c>
      <c r="AZ3030" s="2" t="s">
        <v>82</v>
      </c>
      <c r="BA3030" s="2">
        <v>41</v>
      </c>
      <c r="BB3030" s="2" t="s">
        <v>82</v>
      </c>
      <c r="BC3030" s="2">
        <v>41</v>
      </c>
      <c r="BD3030" s="2" t="s">
        <v>82</v>
      </c>
      <c r="BE3030" s="2">
        <v>1</v>
      </c>
      <c r="BF3030" s="2" t="s">
        <v>107</v>
      </c>
      <c r="BG3030" s="2">
        <v>5000</v>
      </c>
      <c r="BH3030" s="4">
        <v>6.25E-2</v>
      </c>
      <c r="BI3030" s="2"/>
      <c r="BJ3030" s="2">
        <v>232</v>
      </c>
      <c r="BK3030" s="2" t="s">
        <v>4351</v>
      </c>
      <c r="BL3030" s="2" t="s">
        <v>4411</v>
      </c>
      <c r="BM3030" s="2">
        <v>242</v>
      </c>
      <c r="BN3030" s="2" t="s">
        <v>107</v>
      </c>
      <c r="BO3030" s="2"/>
      <c r="BP3030" s="2">
        <v>13</v>
      </c>
      <c r="BQ3030" s="2" t="s">
        <v>91</v>
      </c>
      <c r="BR3030" s="2"/>
      <c r="BS3030" s="3">
        <v>40384</v>
      </c>
      <c r="BT3030" s="4">
        <v>0.1290625</v>
      </c>
    </row>
    <row r="3031" spans="1:72" x14ac:dyDescent="0.25">
      <c r="A3031" s="2">
        <v>4468</v>
      </c>
      <c r="B3031" s="2">
        <v>2010</v>
      </c>
      <c r="C3031" s="2" t="s">
        <v>72</v>
      </c>
      <c r="D3031" s="2" t="s">
        <v>73</v>
      </c>
      <c r="E3031" s="2"/>
      <c r="F3031" s="2">
        <v>93</v>
      </c>
      <c r="G3031" s="2" t="s">
        <v>9926</v>
      </c>
      <c r="H3031" s="2">
        <v>42</v>
      </c>
      <c r="I3031" s="2" t="s">
        <v>1096</v>
      </c>
      <c r="J3031" s="2">
        <v>120</v>
      </c>
      <c r="K3031" s="2" t="s">
        <v>9927</v>
      </c>
      <c r="L3031" s="2" t="s">
        <v>115</v>
      </c>
      <c r="M3031" s="3">
        <v>40384</v>
      </c>
      <c r="N3031" s="2" t="s">
        <v>9928</v>
      </c>
      <c r="O3031" s="2"/>
      <c r="P3031" s="2"/>
      <c r="Q3031" s="2" t="str">
        <f>"027/2010"</f>
        <v>027/2010</v>
      </c>
      <c r="R3031" s="2"/>
      <c r="S3031" s="2" t="s">
        <v>9929</v>
      </c>
      <c r="T3031" s="2">
        <v>1</v>
      </c>
      <c r="U3031" s="2" t="s">
        <v>79</v>
      </c>
      <c r="V3031" s="2">
        <v>1</v>
      </c>
      <c r="W3031" s="2" t="s">
        <v>80</v>
      </c>
      <c r="X3031" s="2">
        <v>12</v>
      </c>
      <c r="Y3031" s="2" t="s">
        <v>148</v>
      </c>
      <c r="Z3031" s="2">
        <v>1</v>
      </c>
      <c r="AA3031" s="2" t="s">
        <v>82</v>
      </c>
      <c r="AB3031" s="2">
        <v>6</v>
      </c>
      <c r="AC3031" s="2" t="s">
        <v>83</v>
      </c>
      <c r="AD3031" s="3">
        <v>40384</v>
      </c>
      <c r="AE3031" s="2"/>
      <c r="AF3031" s="3">
        <v>40384</v>
      </c>
      <c r="AG3031" s="4">
        <v>0.33333333333333331</v>
      </c>
      <c r="AH3031" s="2">
        <v>6</v>
      </c>
      <c r="AI3031" s="2" t="s">
        <v>197</v>
      </c>
      <c r="AJ3031" s="2">
        <v>50</v>
      </c>
      <c r="AK3031" s="2" t="s">
        <v>330</v>
      </c>
      <c r="AL3031" s="2">
        <v>25</v>
      </c>
      <c r="AM3031" s="2" t="s">
        <v>3073</v>
      </c>
      <c r="AN3031" s="2" t="s">
        <v>9930</v>
      </c>
      <c r="AO3031" s="2" t="s">
        <v>9931</v>
      </c>
      <c r="AP3031" s="2">
        <v>11</v>
      </c>
      <c r="AQ3031" s="2" t="s">
        <v>82</v>
      </c>
      <c r="AR3031" s="2"/>
      <c r="AS3031" s="2"/>
      <c r="AT3031" s="2" t="s">
        <v>9932</v>
      </c>
      <c r="AU3031" s="2"/>
      <c r="AV3031" s="2"/>
      <c r="AW3031" s="2"/>
      <c r="AX3031" s="2"/>
      <c r="AY3031" s="2">
        <v>41</v>
      </c>
      <c r="AZ3031" s="2" t="s">
        <v>82</v>
      </c>
      <c r="BA3031" s="2">
        <v>41</v>
      </c>
      <c r="BB3031" s="2" t="s">
        <v>82</v>
      </c>
      <c r="BC3031" s="2">
        <v>41</v>
      </c>
      <c r="BD3031" s="2" t="s">
        <v>82</v>
      </c>
      <c r="BE3031" s="2">
        <v>41</v>
      </c>
      <c r="BF3031" s="2" t="s">
        <v>82</v>
      </c>
      <c r="BG3031" s="2"/>
      <c r="BH3031" s="2"/>
      <c r="BI3031" s="2"/>
      <c r="BJ3031" s="2">
        <v>241</v>
      </c>
      <c r="BK3031" s="2" t="s">
        <v>82</v>
      </c>
      <c r="BL3031" s="2"/>
      <c r="BM3031" s="2">
        <v>241</v>
      </c>
      <c r="BN3031" s="2" t="s">
        <v>82</v>
      </c>
      <c r="BO3031" s="2"/>
      <c r="BP3031" s="2">
        <v>241</v>
      </c>
      <c r="BQ3031" s="2" t="s">
        <v>82</v>
      </c>
      <c r="BR3031" s="2"/>
      <c r="BS3031" s="3">
        <v>40384</v>
      </c>
      <c r="BT3031" s="4">
        <v>0.44935185185185184</v>
      </c>
    </row>
    <row r="3032" spans="1:72" x14ac:dyDescent="0.25">
      <c r="A3032" s="2">
        <v>4469</v>
      </c>
      <c r="B3032" s="2">
        <v>2010</v>
      </c>
      <c r="C3032" s="2" t="s">
        <v>72</v>
      </c>
      <c r="D3032" s="2" t="s">
        <v>73</v>
      </c>
      <c r="E3032" s="2"/>
      <c r="F3032" s="2">
        <v>59</v>
      </c>
      <c r="G3032" s="2" t="s">
        <v>9933</v>
      </c>
      <c r="H3032" s="2">
        <v>22</v>
      </c>
      <c r="I3032" s="2" t="s">
        <v>75</v>
      </c>
      <c r="J3032" s="2">
        <v>91</v>
      </c>
      <c r="K3032" s="2" t="s">
        <v>131</v>
      </c>
      <c r="L3032" s="2" t="s">
        <v>132</v>
      </c>
      <c r="M3032" s="3">
        <v>40384</v>
      </c>
      <c r="N3032" s="2" t="s">
        <v>9934</v>
      </c>
      <c r="O3032" s="2"/>
      <c r="P3032" s="2"/>
      <c r="Q3032" s="2" t="str">
        <f>"N°025"</f>
        <v>N°025</v>
      </c>
      <c r="R3032" s="2"/>
      <c r="S3032" s="2" t="s">
        <v>657</v>
      </c>
      <c r="T3032" s="2">
        <v>1</v>
      </c>
      <c r="U3032" s="2" t="s">
        <v>79</v>
      </c>
      <c r="V3032" s="2">
        <v>1</v>
      </c>
      <c r="W3032" s="2" t="s">
        <v>80</v>
      </c>
      <c r="X3032" s="2">
        <v>12</v>
      </c>
      <c r="Y3032" s="2" t="s">
        <v>148</v>
      </c>
      <c r="Z3032" s="2">
        <v>1</v>
      </c>
      <c r="AA3032" s="2" t="s">
        <v>82</v>
      </c>
      <c r="AB3032" s="2">
        <v>6</v>
      </c>
      <c r="AC3032" s="2" t="s">
        <v>83</v>
      </c>
      <c r="AD3032" s="3">
        <v>40384</v>
      </c>
      <c r="AE3032" s="2"/>
      <c r="AF3032" s="3">
        <v>40384</v>
      </c>
      <c r="AG3032" s="4">
        <v>0.38194444444444442</v>
      </c>
      <c r="AH3032" s="2">
        <v>4</v>
      </c>
      <c r="AI3032" s="2" t="s">
        <v>125</v>
      </c>
      <c r="AJ3032" s="2">
        <v>28</v>
      </c>
      <c r="AK3032" s="2" t="s">
        <v>741</v>
      </c>
      <c r="AL3032" s="2">
        <v>12</v>
      </c>
      <c r="AM3032" s="2" t="s">
        <v>86</v>
      </c>
      <c r="AN3032" s="2"/>
      <c r="AO3032" s="2" t="s">
        <v>9935</v>
      </c>
      <c r="AP3032" s="2">
        <v>11</v>
      </c>
      <c r="AQ3032" s="2" t="s">
        <v>82</v>
      </c>
      <c r="AR3032" s="2"/>
      <c r="AS3032" s="2"/>
      <c r="AT3032" s="2" t="s">
        <v>9936</v>
      </c>
      <c r="AU3032" s="2"/>
      <c r="AV3032" s="2"/>
      <c r="AW3032" s="2"/>
      <c r="AX3032" s="2"/>
      <c r="AY3032" s="2">
        <v>41</v>
      </c>
      <c r="AZ3032" s="2" t="s">
        <v>82</v>
      </c>
      <c r="BA3032" s="2">
        <v>41</v>
      </c>
      <c r="BB3032" s="2" t="s">
        <v>82</v>
      </c>
      <c r="BC3032" s="2">
        <v>41</v>
      </c>
      <c r="BD3032" s="2" t="s">
        <v>82</v>
      </c>
      <c r="BE3032" s="2">
        <v>41</v>
      </c>
      <c r="BF3032" s="2" t="s">
        <v>82</v>
      </c>
      <c r="BG3032" s="2"/>
      <c r="BH3032" s="2"/>
      <c r="BI3032" s="2"/>
      <c r="BJ3032" s="2">
        <v>241</v>
      </c>
      <c r="BK3032" s="2" t="s">
        <v>82</v>
      </c>
      <c r="BL3032" s="2"/>
      <c r="BM3032" s="2">
        <v>241</v>
      </c>
      <c r="BN3032" s="2" t="s">
        <v>82</v>
      </c>
      <c r="BO3032" s="2"/>
      <c r="BP3032" s="2">
        <v>241</v>
      </c>
      <c r="BQ3032" s="2" t="s">
        <v>82</v>
      </c>
      <c r="BR3032" s="2"/>
      <c r="BS3032" s="3">
        <v>40384</v>
      </c>
      <c r="BT3032" s="4">
        <v>0.49046296296296293</v>
      </c>
    </row>
    <row r="3033" spans="1:72" x14ac:dyDescent="0.25">
      <c r="A3033" s="2">
        <v>4471</v>
      </c>
      <c r="B3033" s="2">
        <v>2010</v>
      </c>
      <c r="C3033" s="2" t="s">
        <v>72</v>
      </c>
      <c r="D3033" s="2" t="s">
        <v>73</v>
      </c>
      <c r="E3033" s="2"/>
      <c r="F3033" s="2">
        <v>174</v>
      </c>
      <c r="G3033" s="2" t="s">
        <v>9090</v>
      </c>
      <c r="H3033" s="2">
        <v>42</v>
      </c>
      <c r="I3033" s="2" t="s">
        <v>1096</v>
      </c>
      <c r="J3033" s="2">
        <v>602</v>
      </c>
      <c r="K3033" s="2" t="s">
        <v>9091</v>
      </c>
      <c r="L3033" s="2" t="s">
        <v>9092</v>
      </c>
      <c r="M3033" s="3">
        <v>40384</v>
      </c>
      <c r="N3033" s="2" t="s">
        <v>9937</v>
      </c>
      <c r="O3033" s="2"/>
      <c r="P3033" s="2"/>
      <c r="Q3033" s="2" t="str">
        <f>"287-A/10"</f>
        <v>287-A/10</v>
      </c>
      <c r="R3033" s="2"/>
      <c r="S3033" s="2" t="s">
        <v>78</v>
      </c>
      <c r="T3033" s="2">
        <v>1</v>
      </c>
      <c r="U3033" s="2" t="s">
        <v>79</v>
      </c>
      <c r="V3033" s="2">
        <v>1</v>
      </c>
      <c r="W3033" s="2" t="s">
        <v>80</v>
      </c>
      <c r="X3033" s="2">
        <v>12</v>
      </c>
      <c r="Y3033" s="2" t="s">
        <v>148</v>
      </c>
      <c r="Z3033" s="2">
        <v>1</v>
      </c>
      <c r="AA3033" s="2" t="s">
        <v>82</v>
      </c>
      <c r="AB3033" s="2">
        <v>6</v>
      </c>
      <c r="AC3033" s="2" t="s">
        <v>83</v>
      </c>
      <c r="AD3033" s="3">
        <v>40384</v>
      </c>
      <c r="AE3033" s="2"/>
      <c r="AF3033" s="3">
        <v>40384</v>
      </c>
      <c r="AG3033" s="4">
        <v>0.5</v>
      </c>
      <c r="AH3033" s="2">
        <v>2</v>
      </c>
      <c r="AI3033" s="2" t="s">
        <v>84</v>
      </c>
      <c r="AJ3033" s="2">
        <v>12</v>
      </c>
      <c r="AK3033" s="2" t="s">
        <v>85</v>
      </c>
      <c r="AL3033" s="2">
        <v>23</v>
      </c>
      <c r="AM3033" s="2" t="s">
        <v>251</v>
      </c>
      <c r="AN3033" s="2" t="s">
        <v>9938</v>
      </c>
      <c r="AO3033" s="2"/>
      <c r="AP3033" s="2">
        <v>11</v>
      </c>
      <c r="AQ3033" s="2" t="s">
        <v>82</v>
      </c>
      <c r="AR3033" s="2"/>
      <c r="AS3033" s="2"/>
      <c r="AT3033" s="2" t="s">
        <v>9939</v>
      </c>
      <c r="AU3033" s="2"/>
      <c r="AV3033" s="2"/>
      <c r="AW3033" s="2"/>
      <c r="AX3033" s="2"/>
      <c r="AY3033" s="2">
        <v>41</v>
      </c>
      <c r="AZ3033" s="2" t="s">
        <v>82</v>
      </c>
      <c r="BA3033" s="2">
        <v>41</v>
      </c>
      <c r="BB3033" s="2" t="s">
        <v>82</v>
      </c>
      <c r="BC3033" s="2">
        <v>41</v>
      </c>
      <c r="BD3033" s="2" t="s">
        <v>82</v>
      </c>
      <c r="BE3033" s="2">
        <v>41</v>
      </c>
      <c r="BF3033" s="2" t="s">
        <v>82</v>
      </c>
      <c r="BG3033" s="2"/>
      <c r="BH3033" s="2"/>
      <c r="BI3033" s="2"/>
      <c r="BJ3033" s="2">
        <v>241</v>
      </c>
      <c r="BK3033" s="2" t="s">
        <v>82</v>
      </c>
      <c r="BL3033" s="2"/>
      <c r="BM3033" s="2">
        <v>241</v>
      </c>
      <c r="BN3033" s="2" t="s">
        <v>82</v>
      </c>
      <c r="BO3033" s="2"/>
      <c r="BP3033" s="2">
        <v>241</v>
      </c>
      <c r="BQ3033" s="2" t="s">
        <v>82</v>
      </c>
      <c r="BR3033" s="2"/>
      <c r="BS3033" s="3">
        <v>40384</v>
      </c>
      <c r="BT3033" s="4">
        <v>0.60873842592592597</v>
      </c>
    </row>
    <row r="3034" spans="1:72" x14ac:dyDescent="0.25">
      <c r="A3034" s="2">
        <v>4472</v>
      </c>
      <c r="B3034" s="2">
        <v>2010</v>
      </c>
      <c r="C3034" s="2" t="s">
        <v>72</v>
      </c>
      <c r="D3034" s="2" t="s">
        <v>122</v>
      </c>
      <c r="E3034" s="2" t="s">
        <v>9940</v>
      </c>
      <c r="F3034" s="2">
        <v>93</v>
      </c>
      <c r="G3034" s="2" t="s">
        <v>9926</v>
      </c>
      <c r="H3034" s="2">
        <v>42</v>
      </c>
      <c r="I3034" s="2" t="s">
        <v>1096</v>
      </c>
      <c r="J3034" s="2">
        <v>120</v>
      </c>
      <c r="K3034" s="2" t="s">
        <v>9927</v>
      </c>
      <c r="L3034" s="2" t="s">
        <v>115</v>
      </c>
      <c r="M3034" s="3">
        <v>40384</v>
      </c>
      <c r="N3034" s="2" t="s">
        <v>9928</v>
      </c>
      <c r="O3034" s="2"/>
      <c r="P3034" s="2"/>
      <c r="Q3034" s="2" t="str">
        <f>"027/2010"</f>
        <v>027/2010</v>
      </c>
      <c r="R3034" s="2" t="s">
        <v>9929</v>
      </c>
      <c r="S3034" s="2"/>
      <c r="T3034" s="2">
        <v>1</v>
      </c>
      <c r="U3034" s="2" t="s">
        <v>79</v>
      </c>
      <c r="V3034" s="2">
        <v>1</v>
      </c>
      <c r="W3034" s="2" t="s">
        <v>80</v>
      </c>
      <c r="X3034" s="2">
        <v>12</v>
      </c>
      <c r="Y3034" s="2" t="s">
        <v>148</v>
      </c>
      <c r="Z3034" s="2">
        <v>1</v>
      </c>
      <c r="AA3034" s="2" t="s">
        <v>82</v>
      </c>
      <c r="AB3034" s="2">
        <v>6</v>
      </c>
      <c r="AC3034" s="2" t="s">
        <v>83</v>
      </c>
      <c r="AD3034" s="3">
        <v>40384</v>
      </c>
      <c r="AE3034" s="4">
        <v>0.1875</v>
      </c>
      <c r="AF3034" s="3">
        <v>40384</v>
      </c>
      <c r="AG3034" s="4">
        <v>0.33333333333333331</v>
      </c>
      <c r="AH3034" s="2">
        <v>6</v>
      </c>
      <c r="AI3034" s="2" t="s">
        <v>197</v>
      </c>
      <c r="AJ3034" s="2">
        <v>50</v>
      </c>
      <c r="AK3034" s="2" t="s">
        <v>330</v>
      </c>
      <c r="AL3034" s="2">
        <v>25</v>
      </c>
      <c r="AM3034" s="2" t="s">
        <v>3073</v>
      </c>
      <c r="AN3034" s="2" t="s">
        <v>9930</v>
      </c>
      <c r="AO3034" s="2" t="s">
        <v>9931</v>
      </c>
      <c r="AP3034" s="2">
        <v>11</v>
      </c>
      <c r="AQ3034" s="2" t="s">
        <v>82</v>
      </c>
      <c r="AR3034" s="2"/>
      <c r="AS3034" s="2"/>
      <c r="AT3034" s="2" t="s">
        <v>9941</v>
      </c>
      <c r="AU3034" s="2"/>
      <c r="AV3034" s="2"/>
      <c r="AW3034" s="2"/>
      <c r="AX3034" s="2"/>
      <c r="AY3034" s="2">
        <v>41</v>
      </c>
      <c r="AZ3034" s="2" t="s">
        <v>82</v>
      </c>
      <c r="BA3034" s="2">
        <v>41</v>
      </c>
      <c r="BB3034" s="2" t="s">
        <v>82</v>
      </c>
      <c r="BC3034" s="2">
        <v>41</v>
      </c>
      <c r="BD3034" s="2" t="s">
        <v>82</v>
      </c>
      <c r="BE3034" s="2">
        <v>41</v>
      </c>
      <c r="BF3034" s="2" t="s">
        <v>82</v>
      </c>
      <c r="BG3034" s="2"/>
      <c r="BH3034" s="2"/>
      <c r="BI3034" s="2"/>
      <c r="BJ3034" s="2">
        <v>241</v>
      </c>
      <c r="BK3034" s="2" t="s">
        <v>82</v>
      </c>
      <c r="BL3034" s="2"/>
      <c r="BM3034" s="2">
        <v>241</v>
      </c>
      <c r="BN3034" s="2" t="s">
        <v>82</v>
      </c>
      <c r="BO3034" s="2"/>
      <c r="BP3034" s="2">
        <v>241</v>
      </c>
      <c r="BQ3034" s="2" t="s">
        <v>82</v>
      </c>
      <c r="BR3034" s="2"/>
      <c r="BS3034" s="3">
        <v>40384</v>
      </c>
      <c r="BT3034" s="4">
        <v>0.63148148148148142</v>
      </c>
    </row>
    <row r="3035" spans="1:72" x14ac:dyDescent="0.25">
      <c r="A3035" s="2">
        <v>4474</v>
      </c>
      <c r="B3035" s="2">
        <v>2010</v>
      </c>
      <c r="C3035" s="2" t="s">
        <v>72</v>
      </c>
      <c r="D3035" s="2" t="s">
        <v>73</v>
      </c>
      <c r="E3035" s="2"/>
      <c r="F3035" s="2">
        <v>221</v>
      </c>
      <c r="G3035" s="2" t="s">
        <v>8422</v>
      </c>
      <c r="H3035" s="2">
        <v>22</v>
      </c>
      <c r="I3035" s="2" t="s">
        <v>75</v>
      </c>
      <c r="J3035" s="2">
        <v>620</v>
      </c>
      <c r="K3035" s="2" t="s">
        <v>9617</v>
      </c>
      <c r="L3035" s="2" t="s">
        <v>9618</v>
      </c>
      <c r="M3035" s="3">
        <v>40384</v>
      </c>
      <c r="N3035" s="2" t="s">
        <v>9619</v>
      </c>
      <c r="O3035" s="2"/>
      <c r="P3035" s="2"/>
      <c r="Q3035" s="2" t="str">
        <f>"288-A/10"</f>
        <v>288-A/10</v>
      </c>
      <c r="R3035" s="2"/>
      <c r="S3035" s="2" t="s">
        <v>1547</v>
      </c>
      <c r="T3035" s="2">
        <v>1</v>
      </c>
      <c r="U3035" s="2" t="s">
        <v>79</v>
      </c>
      <c r="V3035" s="2">
        <v>1</v>
      </c>
      <c r="W3035" s="2" t="s">
        <v>80</v>
      </c>
      <c r="X3035" s="2">
        <v>12</v>
      </c>
      <c r="Y3035" s="2" t="s">
        <v>148</v>
      </c>
      <c r="Z3035" s="2">
        <v>1</v>
      </c>
      <c r="AA3035" s="2" t="s">
        <v>82</v>
      </c>
      <c r="AB3035" s="2">
        <v>6</v>
      </c>
      <c r="AC3035" s="2" t="s">
        <v>83</v>
      </c>
      <c r="AD3035" s="3">
        <v>40383</v>
      </c>
      <c r="AE3035" s="2"/>
      <c r="AF3035" s="3">
        <v>40384</v>
      </c>
      <c r="AG3035" s="4">
        <v>0.54861111111111105</v>
      </c>
      <c r="AH3035" s="2">
        <v>2</v>
      </c>
      <c r="AI3035" s="2" t="s">
        <v>84</v>
      </c>
      <c r="AJ3035" s="2">
        <v>12</v>
      </c>
      <c r="AK3035" s="2" t="s">
        <v>85</v>
      </c>
      <c r="AL3035" s="2">
        <v>23</v>
      </c>
      <c r="AM3035" s="2" t="s">
        <v>251</v>
      </c>
      <c r="AN3035" s="2"/>
      <c r="AO3035" s="2"/>
      <c r="AP3035" s="2">
        <v>11</v>
      </c>
      <c r="AQ3035" s="2" t="s">
        <v>82</v>
      </c>
      <c r="AR3035" s="2"/>
      <c r="AS3035" s="2"/>
      <c r="AT3035" s="2" t="s">
        <v>9942</v>
      </c>
      <c r="AU3035" s="2"/>
      <c r="AV3035" s="2"/>
      <c r="AW3035" s="2"/>
      <c r="AX3035" s="2"/>
      <c r="AY3035" s="2">
        <v>41</v>
      </c>
      <c r="AZ3035" s="2" t="s">
        <v>82</v>
      </c>
      <c r="BA3035" s="2">
        <v>41</v>
      </c>
      <c r="BB3035" s="2" t="s">
        <v>82</v>
      </c>
      <c r="BC3035" s="2">
        <v>41</v>
      </c>
      <c r="BD3035" s="2" t="s">
        <v>82</v>
      </c>
      <c r="BE3035" s="2">
        <v>41</v>
      </c>
      <c r="BF3035" s="2" t="s">
        <v>82</v>
      </c>
      <c r="BG3035" s="2"/>
      <c r="BH3035" s="2"/>
      <c r="BI3035" s="2"/>
      <c r="BJ3035" s="2">
        <v>241</v>
      </c>
      <c r="BK3035" s="2" t="s">
        <v>82</v>
      </c>
      <c r="BL3035" s="2"/>
      <c r="BM3035" s="2">
        <v>241</v>
      </c>
      <c r="BN3035" s="2" t="s">
        <v>82</v>
      </c>
      <c r="BO3035" s="2"/>
      <c r="BP3035" s="2">
        <v>241</v>
      </c>
      <c r="BQ3035" s="2" t="s">
        <v>82</v>
      </c>
      <c r="BR3035" s="2"/>
      <c r="BS3035" s="3">
        <v>40384</v>
      </c>
      <c r="BT3035" s="4">
        <v>0.70209490740740732</v>
      </c>
    </row>
    <row r="3036" spans="1:72" x14ac:dyDescent="0.25">
      <c r="A3036" s="2">
        <v>4475</v>
      </c>
      <c r="B3036" s="2">
        <v>2010</v>
      </c>
      <c r="C3036" s="2" t="s">
        <v>4543</v>
      </c>
      <c r="D3036" s="2" t="s">
        <v>122</v>
      </c>
      <c r="E3036" s="2"/>
      <c r="F3036" s="2">
        <v>1</v>
      </c>
      <c r="G3036" s="2" t="s">
        <v>82</v>
      </c>
      <c r="H3036" s="2">
        <v>1</v>
      </c>
      <c r="I3036" s="2" t="s">
        <v>82</v>
      </c>
      <c r="J3036" s="2">
        <v>1</v>
      </c>
      <c r="K3036" s="2" t="s">
        <v>107</v>
      </c>
      <c r="L3036" s="2" t="s">
        <v>107</v>
      </c>
      <c r="M3036" s="3">
        <v>40384</v>
      </c>
      <c r="N3036" s="2"/>
      <c r="O3036" s="2"/>
      <c r="P3036" s="2"/>
      <c r="Q3036" s="2" t="str">
        <f>""</f>
        <v/>
      </c>
      <c r="R3036" s="2"/>
      <c r="S3036" s="2"/>
      <c r="T3036" s="2">
        <v>2</v>
      </c>
      <c r="U3036" s="2" t="s">
        <v>123</v>
      </c>
      <c r="V3036" s="2">
        <v>1</v>
      </c>
      <c r="W3036" s="2" t="s">
        <v>80</v>
      </c>
      <c r="X3036" s="2">
        <v>1</v>
      </c>
      <c r="Y3036" s="2" t="s">
        <v>81</v>
      </c>
      <c r="Z3036" s="2">
        <v>10</v>
      </c>
      <c r="AA3036" s="2" t="s">
        <v>236</v>
      </c>
      <c r="AB3036" s="2">
        <v>9</v>
      </c>
      <c r="AC3036" s="2" t="s">
        <v>124</v>
      </c>
      <c r="AD3036" s="3">
        <v>40384</v>
      </c>
      <c r="AE3036" s="4">
        <v>0.70833333333333337</v>
      </c>
      <c r="AF3036" s="2"/>
      <c r="AG3036" s="2"/>
      <c r="AH3036" s="2">
        <v>2</v>
      </c>
      <c r="AI3036" s="2" t="s">
        <v>84</v>
      </c>
      <c r="AJ3036" s="2">
        <v>12</v>
      </c>
      <c r="AK3036" s="2" t="s">
        <v>85</v>
      </c>
      <c r="AL3036" s="2">
        <v>21</v>
      </c>
      <c r="AM3036" s="2" t="s">
        <v>1311</v>
      </c>
      <c r="AN3036" s="2" t="s">
        <v>9943</v>
      </c>
      <c r="AO3036" s="2" t="s">
        <v>9944</v>
      </c>
      <c r="AP3036" s="2">
        <v>11</v>
      </c>
      <c r="AQ3036" s="2" t="s">
        <v>82</v>
      </c>
      <c r="AR3036" s="2"/>
      <c r="AS3036" s="2"/>
      <c r="AT3036" s="2" t="s">
        <v>9945</v>
      </c>
      <c r="AU3036" s="2"/>
      <c r="AV3036" s="2"/>
      <c r="AW3036" s="2"/>
      <c r="AX3036" s="2"/>
      <c r="AY3036" s="2">
        <v>41</v>
      </c>
      <c r="AZ3036" s="2" t="s">
        <v>82</v>
      </c>
      <c r="BA3036" s="2">
        <v>41</v>
      </c>
      <c r="BB3036" s="2" t="s">
        <v>82</v>
      </c>
      <c r="BC3036" s="2">
        <v>70</v>
      </c>
      <c r="BD3036" s="2" t="s">
        <v>236</v>
      </c>
      <c r="BE3036" s="2">
        <v>41</v>
      </c>
      <c r="BF3036" s="2" t="s">
        <v>82</v>
      </c>
      <c r="BG3036" s="2"/>
      <c r="BH3036" s="2"/>
      <c r="BI3036" s="2"/>
      <c r="BJ3036" s="2">
        <v>241</v>
      </c>
      <c r="BK3036" s="2" t="s">
        <v>82</v>
      </c>
      <c r="BL3036" s="2"/>
      <c r="BM3036" s="2">
        <v>241</v>
      </c>
      <c r="BN3036" s="2" t="s">
        <v>82</v>
      </c>
      <c r="BO3036" s="2"/>
      <c r="BP3036" s="2">
        <v>241</v>
      </c>
      <c r="BQ3036" s="2" t="s">
        <v>82</v>
      </c>
      <c r="BR3036" s="2"/>
      <c r="BS3036" s="3">
        <v>40384</v>
      </c>
      <c r="BT3036" s="4">
        <v>0.76565972222222223</v>
      </c>
    </row>
    <row r="3037" spans="1:72" x14ac:dyDescent="0.25">
      <c r="A3037" s="2">
        <v>4476</v>
      </c>
      <c r="B3037" s="2">
        <v>2010</v>
      </c>
      <c r="C3037" s="2" t="s">
        <v>72</v>
      </c>
      <c r="D3037" s="2" t="s">
        <v>73</v>
      </c>
      <c r="E3037" s="2"/>
      <c r="F3037" s="2">
        <v>9</v>
      </c>
      <c r="G3037" s="2" t="s">
        <v>364</v>
      </c>
      <c r="H3037" s="2">
        <v>44</v>
      </c>
      <c r="I3037" s="2" t="s">
        <v>1272</v>
      </c>
      <c r="J3037" s="2">
        <v>18</v>
      </c>
      <c r="K3037" s="2" t="s">
        <v>365</v>
      </c>
      <c r="L3037" s="2" t="s">
        <v>115</v>
      </c>
      <c r="M3037" s="3">
        <v>40384</v>
      </c>
      <c r="N3037" s="2" t="s">
        <v>5465</v>
      </c>
      <c r="O3037" s="2"/>
      <c r="P3037" s="2"/>
      <c r="Q3037" s="2" t="str">
        <f>"42/01"</f>
        <v>42/01</v>
      </c>
      <c r="R3037" s="2"/>
      <c r="S3037" s="2" t="s">
        <v>601</v>
      </c>
      <c r="T3037" s="2">
        <v>1</v>
      </c>
      <c r="U3037" s="2" t="s">
        <v>79</v>
      </c>
      <c r="V3037" s="2">
        <v>1</v>
      </c>
      <c r="W3037" s="2" t="s">
        <v>80</v>
      </c>
      <c r="X3037" s="2">
        <v>12</v>
      </c>
      <c r="Y3037" s="2" t="s">
        <v>148</v>
      </c>
      <c r="Z3037" s="2">
        <v>1</v>
      </c>
      <c r="AA3037" s="2" t="s">
        <v>82</v>
      </c>
      <c r="AB3037" s="2">
        <v>6</v>
      </c>
      <c r="AC3037" s="2" t="s">
        <v>83</v>
      </c>
      <c r="AD3037" s="3">
        <v>40383</v>
      </c>
      <c r="AE3037" s="2"/>
      <c r="AF3037" s="3">
        <v>40384</v>
      </c>
      <c r="AG3037" s="4">
        <v>0.73958333333333337</v>
      </c>
      <c r="AH3037" s="2">
        <v>3</v>
      </c>
      <c r="AI3037" s="2" t="s">
        <v>214</v>
      </c>
      <c r="AJ3037" s="2">
        <v>24</v>
      </c>
      <c r="AK3037" s="2" t="s">
        <v>215</v>
      </c>
      <c r="AL3037" s="2">
        <v>22</v>
      </c>
      <c r="AM3037" s="2" t="s">
        <v>1853</v>
      </c>
      <c r="AN3037" s="2"/>
      <c r="AO3037" s="2"/>
      <c r="AP3037" s="2">
        <v>11</v>
      </c>
      <c r="AQ3037" s="2" t="s">
        <v>82</v>
      </c>
      <c r="AR3037" s="2"/>
      <c r="AS3037" s="2"/>
      <c r="AT3037" s="2" t="s">
        <v>9946</v>
      </c>
      <c r="AU3037" s="2"/>
      <c r="AV3037" s="2"/>
      <c r="AW3037" s="2"/>
      <c r="AX3037" s="2"/>
      <c r="AY3037" s="2">
        <v>41</v>
      </c>
      <c r="AZ3037" s="2" t="s">
        <v>82</v>
      </c>
      <c r="BA3037" s="2">
        <v>41</v>
      </c>
      <c r="BB3037" s="2" t="s">
        <v>82</v>
      </c>
      <c r="BC3037" s="2">
        <v>41</v>
      </c>
      <c r="BD3037" s="2" t="s">
        <v>82</v>
      </c>
      <c r="BE3037" s="2">
        <v>4</v>
      </c>
      <c r="BF3037" s="2" t="s">
        <v>90</v>
      </c>
      <c r="BG3037" s="2" t="s">
        <v>9947</v>
      </c>
      <c r="BH3037" s="4">
        <v>0.9159722222222223</v>
      </c>
      <c r="BI3037" s="4">
        <v>0.86875000000000002</v>
      </c>
      <c r="BJ3037" s="2">
        <v>13</v>
      </c>
      <c r="BK3037" s="2" t="s">
        <v>91</v>
      </c>
      <c r="BL3037" s="2" t="s">
        <v>9724</v>
      </c>
      <c r="BM3037" s="2">
        <v>241</v>
      </c>
      <c r="BN3037" s="2" t="s">
        <v>82</v>
      </c>
      <c r="BO3037" s="2"/>
      <c r="BP3037" s="2">
        <v>13</v>
      </c>
      <c r="BQ3037" s="2" t="s">
        <v>91</v>
      </c>
      <c r="BR3037" s="2" t="s">
        <v>169</v>
      </c>
      <c r="BS3037" s="3">
        <v>40384</v>
      </c>
      <c r="BT3037" s="4">
        <v>0.8209143518518518</v>
      </c>
    </row>
    <row r="3038" spans="1:72" x14ac:dyDescent="0.25">
      <c r="A3038" s="2">
        <v>4477</v>
      </c>
      <c r="B3038" s="2">
        <v>2010</v>
      </c>
      <c r="C3038" s="2" t="s">
        <v>377</v>
      </c>
      <c r="D3038" s="2" t="s">
        <v>73</v>
      </c>
      <c r="E3038" s="2"/>
      <c r="F3038" s="2">
        <v>426</v>
      </c>
      <c r="G3038" s="2" t="s">
        <v>378</v>
      </c>
      <c r="H3038" s="2">
        <v>42</v>
      </c>
      <c r="I3038" s="2" t="s">
        <v>1096</v>
      </c>
      <c r="J3038" s="2">
        <v>311</v>
      </c>
      <c r="K3038" s="2" t="s">
        <v>379</v>
      </c>
      <c r="L3038" s="2" t="s">
        <v>380</v>
      </c>
      <c r="M3038" s="3">
        <v>40384</v>
      </c>
      <c r="N3038" s="2" t="s">
        <v>5164</v>
      </c>
      <c r="O3038" s="2"/>
      <c r="P3038" s="2"/>
      <c r="Q3038" s="2" t="str">
        <f>"187-C/10"</f>
        <v>187-C/10</v>
      </c>
      <c r="R3038" s="2" t="s">
        <v>4428</v>
      </c>
      <c r="S3038" s="2"/>
      <c r="T3038" s="2">
        <v>1</v>
      </c>
      <c r="U3038" s="2" t="s">
        <v>79</v>
      </c>
      <c r="V3038" s="2">
        <v>1</v>
      </c>
      <c r="W3038" s="2" t="s">
        <v>80</v>
      </c>
      <c r="X3038" s="2">
        <v>1</v>
      </c>
      <c r="Y3038" s="2" t="s">
        <v>81</v>
      </c>
      <c r="Z3038" s="2">
        <v>1</v>
      </c>
      <c r="AA3038" s="2" t="s">
        <v>82</v>
      </c>
      <c r="AB3038" s="2">
        <v>9</v>
      </c>
      <c r="AC3038" s="2" t="s">
        <v>124</v>
      </c>
      <c r="AD3038" s="3">
        <v>40384</v>
      </c>
      <c r="AE3038" s="4">
        <v>0.83333333333333337</v>
      </c>
      <c r="AF3038" s="2"/>
      <c r="AG3038" s="2"/>
      <c r="AH3038" s="2">
        <v>2</v>
      </c>
      <c r="AI3038" s="2" t="s">
        <v>84</v>
      </c>
      <c r="AJ3038" s="2">
        <v>9</v>
      </c>
      <c r="AK3038" s="2" t="s">
        <v>103</v>
      </c>
      <c r="AL3038" s="2">
        <v>29</v>
      </c>
      <c r="AM3038" s="2" t="s">
        <v>5416</v>
      </c>
      <c r="AN3038" s="2" t="s">
        <v>9948</v>
      </c>
      <c r="AO3038" s="2" t="s">
        <v>987</v>
      </c>
      <c r="AP3038" s="2">
        <v>11</v>
      </c>
      <c r="AQ3038" s="2" t="s">
        <v>82</v>
      </c>
      <c r="AR3038" s="2"/>
      <c r="AS3038" s="2"/>
      <c r="AT3038" s="2" t="s">
        <v>9949</v>
      </c>
      <c r="AU3038" s="2"/>
      <c r="AV3038" s="2"/>
      <c r="AW3038" s="2"/>
      <c r="AX3038" s="2"/>
      <c r="AY3038" s="2">
        <v>41</v>
      </c>
      <c r="AZ3038" s="2" t="s">
        <v>82</v>
      </c>
      <c r="BA3038" s="2">
        <v>41</v>
      </c>
      <c r="BB3038" s="2" t="s">
        <v>82</v>
      </c>
      <c r="BC3038" s="2">
        <v>41</v>
      </c>
      <c r="BD3038" s="2" t="s">
        <v>82</v>
      </c>
      <c r="BE3038" s="2">
        <v>41</v>
      </c>
      <c r="BF3038" s="2" t="s">
        <v>82</v>
      </c>
      <c r="BG3038" s="2"/>
      <c r="BH3038" s="2"/>
      <c r="BI3038" s="2"/>
      <c r="BJ3038" s="2">
        <v>241</v>
      </c>
      <c r="BK3038" s="2" t="s">
        <v>82</v>
      </c>
      <c r="BL3038" s="2"/>
      <c r="BM3038" s="2">
        <v>241</v>
      </c>
      <c r="BN3038" s="2" t="s">
        <v>82</v>
      </c>
      <c r="BO3038" s="2"/>
      <c r="BP3038" s="2">
        <v>241</v>
      </c>
      <c r="BQ3038" s="2" t="s">
        <v>82</v>
      </c>
      <c r="BR3038" s="2"/>
      <c r="BS3038" s="3">
        <v>40384</v>
      </c>
      <c r="BT3038" s="4">
        <v>0.92143518518518519</v>
      </c>
    </row>
    <row r="3039" spans="1:72" x14ac:dyDescent="0.25">
      <c r="A3039" s="2">
        <v>4478</v>
      </c>
      <c r="B3039" s="2">
        <v>2010</v>
      </c>
      <c r="C3039" s="2" t="s">
        <v>72</v>
      </c>
      <c r="D3039" s="2" t="s">
        <v>73</v>
      </c>
      <c r="E3039" s="2"/>
      <c r="F3039" s="2">
        <v>174</v>
      </c>
      <c r="G3039" s="2" t="s">
        <v>9090</v>
      </c>
      <c r="H3039" s="2">
        <v>42</v>
      </c>
      <c r="I3039" s="2" t="s">
        <v>1096</v>
      </c>
      <c r="J3039" s="2">
        <v>602</v>
      </c>
      <c r="K3039" s="2" t="s">
        <v>9091</v>
      </c>
      <c r="L3039" s="2" t="s">
        <v>9092</v>
      </c>
      <c r="M3039" s="3">
        <v>40385</v>
      </c>
      <c r="N3039" s="2" t="s">
        <v>9093</v>
      </c>
      <c r="O3039" s="2" t="s">
        <v>107</v>
      </c>
      <c r="P3039" s="2" t="s">
        <v>107</v>
      </c>
      <c r="Q3039" s="2" t="str">
        <f>"289-A/10"</f>
        <v>289-A/10</v>
      </c>
      <c r="R3039" s="2" t="s">
        <v>107</v>
      </c>
      <c r="S3039" s="2" t="s">
        <v>78</v>
      </c>
      <c r="T3039" s="2">
        <v>1</v>
      </c>
      <c r="U3039" s="2" t="s">
        <v>79</v>
      </c>
      <c r="V3039" s="2">
        <v>1</v>
      </c>
      <c r="W3039" s="2" t="s">
        <v>80</v>
      </c>
      <c r="X3039" s="2">
        <v>12</v>
      </c>
      <c r="Y3039" s="2" t="s">
        <v>148</v>
      </c>
      <c r="Z3039" s="2">
        <v>1</v>
      </c>
      <c r="AA3039" s="2" t="s">
        <v>82</v>
      </c>
      <c r="AB3039" s="2">
        <v>6</v>
      </c>
      <c r="AC3039" s="2" t="s">
        <v>83</v>
      </c>
      <c r="AD3039" s="3">
        <v>40384</v>
      </c>
      <c r="AE3039" s="2"/>
      <c r="AF3039" s="3">
        <v>40384</v>
      </c>
      <c r="AG3039" s="4">
        <v>0.90625</v>
      </c>
      <c r="AH3039" s="2">
        <v>2</v>
      </c>
      <c r="AI3039" s="2" t="s">
        <v>84</v>
      </c>
      <c r="AJ3039" s="2">
        <v>12</v>
      </c>
      <c r="AK3039" s="2" t="s">
        <v>85</v>
      </c>
      <c r="AL3039" s="2">
        <v>2</v>
      </c>
      <c r="AM3039" s="2" t="s">
        <v>163</v>
      </c>
      <c r="AN3039" s="2" t="s">
        <v>9950</v>
      </c>
      <c r="AO3039" s="2"/>
      <c r="AP3039" s="2">
        <v>11</v>
      </c>
      <c r="AQ3039" s="2" t="s">
        <v>82</v>
      </c>
      <c r="AR3039" s="2"/>
      <c r="AS3039" s="2"/>
      <c r="AT3039" s="2" t="s">
        <v>9951</v>
      </c>
      <c r="AU3039" s="2"/>
      <c r="AV3039" s="2"/>
      <c r="AW3039" s="2"/>
      <c r="AX3039" s="2"/>
      <c r="AY3039" s="2">
        <v>41</v>
      </c>
      <c r="AZ3039" s="2" t="s">
        <v>82</v>
      </c>
      <c r="BA3039" s="2">
        <v>41</v>
      </c>
      <c r="BB3039" s="2" t="s">
        <v>82</v>
      </c>
      <c r="BC3039" s="2">
        <v>41</v>
      </c>
      <c r="BD3039" s="2" t="s">
        <v>82</v>
      </c>
      <c r="BE3039" s="2">
        <v>13</v>
      </c>
      <c r="BF3039" s="2" t="s">
        <v>108</v>
      </c>
      <c r="BG3039" s="2" t="s">
        <v>9952</v>
      </c>
      <c r="BH3039" s="4">
        <v>0.84027777777777779</v>
      </c>
      <c r="BI3039" s="4">
        <v>0.80208333333333337</v>
      </c>
      <c r="BJ3039" s="2">
        <v>13</v>
      </c>
      <c r="BK3039" s="2" t="s">
        <v>91</v>
      </c>
      <c r="BL3039" s="2" t="s">
        <v>9953</v>
      </c>
      <c r="BM3039" s="2">
        <v>241</v>
      </c>
      <c r="BN3039" s="2" t="s">
        <v>82</v>
      </c>
      <c r="BO3039" s="2"/>
      <c r="BP3039" s="2">
        <v>13</v>
      </c>
      <c r="BQ3039" s="2" t="s">
        <v>91</v>
      </c>
      <c r="BR3039" s="2" t="s">
        <v>564</v>
      </c>
      <c r="BS3039" s="3">
        <v>40385</v>
      </c>
      <c r="BT3039" s="4">
        <v>4.3518518518518515E-3</v>
      </c>
    </row>
    <row r="3040" spans="1:72" x14ac:dyDescent="0.25">
      <c r="A3040" s="2">
        <v>4481</v>
      </c>
      <c r="B3040" s="2">
        <v>2010</v>
      </c>
      <c r="C3040" s="2" t="s">
        <v>377</v>
      </c>
      <c r="D3040" s="2" t="s">
        <v>73</v>
      </c>
      <c r="E3040" s="2"/>
      <c r="F3040" s="2">
        <v>426</v>
      </c>
      <c r="G3040" s="2" t="s">
        <v>378</v>
      </c>
      <c r="H3040" s="2">
        <v>42</v>
      </c>
      <c r="I3040" s="2" t="s">
        <v>1096</v>
      </c>
      <c r="J3040" s="2">
        <v>311</v>
      </c>
      <c r="K3040" s="2" t="s">
        <v>379</v>
      </c>
      <c r="L3040" s="2" t="s">
        <v>380</v>
      </c>
      <c r="M3040" s="3">
        <v>40385</v>
      </c>
      <c r="N3040" s="2" t="s">
        <v>4427</v>
      </c>
      <c r="O3040" s="2"/>
      <c r="P3040" s="2"/>
      <c r="Q3040" s="2" t="str">
        <f>"188-C/10"</f>
        <v>188-C/10</v>
      </c>
      <c r="R3040" s="2" t="s">
        <v>3458</v>
      </c>
      <c r="S3040" s="2"/>
      <c r="T3040" s="2">
        <v>1</v>
      </c>
      <c r="U3040" s="2" t="s">
        <v>79</v>
      </c>
      <c r="V3040" s="2">
        <v>1</v>
      </c>
      <c r="W3040" s="2" t="s">
        <v>80</v>
      </c>
      <c r="X3040" s="2">
        <v>1</v>
      </c>
      <c r="Y3040" s="2" t="s">
        <v>81</v>
      </c>
      <c r="Z3040" s="2">
        <v>1</v>
      </c>
      <c r="AA3040" s="2" t="s">
        <v>82</v>
      </c>
      <c r="AB3040" s="2">
        <v>9</v>
      </c>
      <c r="AC3040" s="2" t="s">
        <v>124</v>
      </c>
      <c r="AD3040" s="3">
        <v>40384</v>
      </c>
      <c r="AE3040" s="4">
        <v>0.89583333333333337</v>
      </c>
      <c r="AF3040" s="2"/>
      <c r="AG3040" s="2"/>
      <c r="AH3040" s="2">
        <v>2</v>
      </c>
      <c r="AI3040" s="2" t="s">
        <v>84</v>
      </c>
      <c r="AJ3040" s="2">
        <v>9</v>
      </c>
      <c r="AK3040" s="2" t="s">
        <v>103</v>
      </c>
      <c r="AL3040" s="2">
        <v>29</v>
      </c>
      <c r="AM3040" s="2" t="s">
        <v>5416</v>
      </c>
      <c r="AN3040" s="2"/>
      <c r="AO3040" s="2" t="s">
        <v>2585</v>
      </c>
      <c r="AP3040" s="2">
        <v>11</v>
      </c>
      <c r="AQ3040" s="2" t="s">
        <v>82</v>
      </c>
      <c r="AR3040" s="2"/>
      <c r="AS3040" s="2"/>
      <c r="AT3040" s="2" t="s">
        <v>9954</v>
      </c>
      <c r="AU3040" s="2"/>
      <c r="AV3040" s="2"/>
      <c r="AW3040" s="2"/>
      <c r="AX3040" s="2"/>
      <c r="AY3040" s="2">
        <v>41</v>
      </c>
      <c r="AZ3040" s="2" t="s">
        <v>82</v>
      </c>
      <c r="BA3040" s="2">
        <v>41</v>
      </c>
      <c r="BB3040" s="2" t="s">
        <v>82</v>
      </c>
      <c r="BC3040" s="2">
        <v>41</v>
      </c>
      <c r="BD3040" s="2" t="s">
        <v>82</v>
      </c>
      <c r="BE3040" s="2">
        <v>41</v>
      </c>
      <c r="BF3040" s="2" t="s">
        <v>82</v>
      </c>
      <c r="BG3040" s="2"/>
      <c r="BH3040" s="2"/>
      <c r="BI3040" s="2"/>
      <c r="BJ3040" s="2">
        <v>241</v>
      </c>
      <c r="BK3040" s="2" t="s">
        <v>82</v>
      </c>
      <c r="BL3040" s="2"/>
      <c r="BM3040" s="2">
        <v>241</v>
      </c>
      <c r="BN3040" s="2" t="s">
        <v>82</v>
      </c>
      <c r="BO3040" s="2"/>
      <c r="BP3040" s="2">
        <v>241</v>
      </c>
      <c r="BQ3040" s="2" t="s">
        <v>82</v>
      </c>
      <c r="BR3040" s="2"/>
      <c r="BS3040" s="3">
        <v>40385</v>
      </c>
      <c r="BT3040" s="4">
        <v>0.47395833333333331</v>
      </c>
    </row>
    <row r="3041" spans="1:72" x14ac:dyDescent="0.25">
      <c r="A3041" s="2">
        <v>4484</v>
      </c>
      <c r="B3041" s="2">
        <v>2010</v>
      </c>
      <c r="C3041" s="2" t="s">
        <v>385</v>
      </c>
      <c r="D3041" s="2" t="s">
        <v>122</v>
      </c>
      <c r="E3041" s="2" t="s">
        <v>9955</v>
      </c>
      <c r="F3041" s="2">
        <v>310</v>
      </c>
      <c r="G3041" s="2" t="s">
        <v>3186</v>
      </c>
      <c r="H3041" s="2">
        <v>3</v>
      </c>
      <c r="I3041" s="2" t="s">
        <v>315</v>
      </c>
      <c r="J3041" s="2">
        <v>371</v>
      </c>
      <c r="K3041" s="2" t="s">
        <v>1138</v>
      </c>
      <c r="L3041" s="2" t="s">
        <v>1139</v>
      </c>
      <c r="M3041" s="3">
        <v>40385</v>
      </c>
      <c r="N3041" s="2" t="s">
        <v>7609</v>
      </c>
      <c r="O3041" s="2" t="s">
        <v>7610</v>
      </c>
      <c r="P3041" s="2" t="s">
        <v>9956</v>
      </c>
      <c r="Q3041" s="2" t="str">
        <f>"0067/10"</f>
        <v>0067/10</v>
      </c>
      <c r="R3041" s="2"/>
      <c r="S3041" s="2"/>
      <c r="T3041" s="2">
        <v>1</v>
      </c>
      <c r="U3041" s="2" t="s">
        <v>79</v>
      </c>
      <c r="V3041" s="2">
        <v>1</v>
      </c>
      <c r="W3041" s="2" t="s">
        <v>80</v>
      </c>
      <c r="X3041" s="2">
        <v>5</v>
      </c>
      <c r="Y3041" s="2" t="s">
        <v>82</v>
      </c>
      <c r="Z3041" s="2">
        <v>1</v>
      </c>
      <c r="AA3041" s="2" t="s">
        <v>82</v>
      </c>
      <c r="AB3041" s="2">
        <v>9</v>
      </c>
      <c r="AC3041" s="2" t="s">
        <v>124</v>
      </c>
      <c r="AD3041" s="3">
        <v>40385</v>
      </c>
      <c r="AE3041" s="4">
        <v>0.54166666666666663</v>
      </c>
      <c r="AF3041" s="2"/>
      <c r="AG3041" s="2"/>
      <c r="AH3041" s="2">
        <v>5</v>
      </c>
      <c r="AI3041" s="2" t="s">
        <v>274</v>
      </c>
      <c r="AJ3041" s="2">
        <v>38</v>
      </c>
      <c r="AK3041" s="2" t="s">
        <v>1120</v>
      </c>
      <c r="AL3041" s="2">
        <v>18</v>
      </c>
      <c r="AM3041" s="2" t="s">
        <v>82</v>
      </c>
      <c r="AN3041" s="2"/>
      <c r="AO3041" s="2"/>
      <c r="AP3041" s="2">
        <v>11</v>
      </c>
      <c r="AQ3041" s="2" t="s">
        <v>82</v>
      </c>
      <c r="AR3041" s="2"/>
      <c r="AS3041" s="2"/>
      <c r="AT3041" s="2" t="s">
        <v>9957</v>
      </c>
      <c r="AU3041" s="2"/>
      <c r="AV3041" s="2"/>
      <c r="AW3041" s="2"/>
      <c r="AX3041" s="2"/>
      <c r="AY3041" s="2">
        <v>1</v>
      </c>
      <c r="AZ3041" s="2" t="s">
        <v>107</v>
      </c>
      <c r="BA3041" s="2">
        <v>1</v>
      </c>
      <c r="BB3041" s="2" t="s">
        <v>107</v>
      </c>
      <c r="BC3041" s="2">
        <v>1</v>
      </c>
      <c r="BD3041" s="2" t="s">
        <v>107</v>
      </c>
      <c r="BE3041" s="2">
        <v>1</v>
      </c>
      <c r="BF3041" s="2" t="s">
        <v>107</v>
      </c>
      <c r="BG3041" s="2"/>
      <c r="BH3041" s="2"/>
      <c r="BI3041" s="2"/>
      <c r="BJ3041" s="2">
        <v>242</v>
      </c>
      <c r="BK3041" s="2" t="s">
        <v>107</v>
      </c>
      <c r="BL3041" s="2"/>
      <c r="BM3041" s="2">
        <v>242</v>
      </c>
      <c r="BN3041" s="2" t="s">
        <v>107</v>
      </c>
      <c r="BO3041" s="2"/>
      <c r="BP3041" s="2">
        <v>242</v>
      </c>
      <c r="BQ3041" s="2" t="s">
        <v>107</v>
      </c>
      <c r="BR3041" s="2"/>
      <c r="BS3041" s="3">
        <v>40385</v>
      </c>
      <c r="BT3041" s="4">
        <v>0.5779050925925926</v>
      </c>
    </row>
    <row r="3042" spans="1:72" x14ac:dyDescent="0.25">
      <c r="A3042" s="2">
        <v>4491</v>
      </c>
      <c r="B3042" s="2">
        <v>2010</v>
      </c>
      <c r="C3042" s="2" t="s">
        <v>171</v>
      </c>
      <c r="D3042" s="2" t="s">
        <v>73</v>
      </c>
      <c r="E3042" s="2"/>
      <c r="F3042" s="2">
        <v>9</v>
      </c>
      <c r="G3042" s="2" t="s">
        <v>364</v>
      </c>
      <c r="H3042" s="2">
        <v>38</v>
      </c>
      <c r="I3042" s="2" t="s">
        <v>1272</v>
      </c>
      <c r="J3042" s="2">
        <v>18</v>
      </c>
      <c r="K3042" s="2" t="s">
        <v>365</v>
      </c>
      <c r="L3042" s="2" t="s">
        <v>115</v>
      </c>
      <c r="M3042" s="3">
        <v>40385</v>
      </c>
      <c r="N3042" s="2" t="s">
        <v>366</v>
      </c>
      <c r="O3042" s="2" t="s">
        <v>107</v>
      </c>
      <c r="P3042" s="2" t="s">
        <v>107</v>
      </c>
      <c r="Q3042" s="2" t="str">
        <f>"43/10"</f>
        <v>43/10</v>
      </c>
      <c r="R3042" s="2" t="s">
        <v>107</v>
      </c>
      <c r="S3042" s="2" t="s">
        <v>9958</v>
      </c>
      <c r="T3042" s="2">
        <v>1</v>
      </c>
      <c r="U3042" s="2" t="s">
        <v>79</v>
      </c>
      <c r="V3042" s="2">
        <v>1</v>
      </c>
      <c r="W3042" s="2" t="s">
        <v>80</v>
      </c>
      <c r="X3042" s="2">
        <v>1</v>
      </c>
      <c r="Y3042" s="2" t="s">
        <v>81</v>
      </c>
      <c r="Z3042" s="2">
        <v>1</v>
      </c>
      <c r="AA3042" s="2" t="s">
        <v>82</v>
      </c>
      <c r="AB3042" s="2">
        <v>1</v>
      </c>
      <c r="AC3042" s="2" t="s">
        <v>178</v>
      </c>
      <c r="AD3042" s="3">
        <v>40385</v>
      </c>
      <c r="AE3042" s="4">
        <v>0.52083333333333337</v>
      </c>
      <c r="AF3042" s="2"/>
      <c r="AG3042" s="2"/>
      <c r="AH3042" s="2">
        <v>3</v>
      </c>
      <c r="AI3042" s="2" t="s">
        <v>214</v>
      </c>
      <c r="AJ3042" s="2">
        <v>24</v>
      </c>
      <c r="AK3042" s="2" t="s">
        <v>215</v>
      </c>
      <c r="AL3042" s="2">
        <v>25</v>
      </c>
      <c r="AM3042" s="2" t="s">
        <v>3073</v>
      </c>
      <c r="AN3042" s="2" t="s">
        <v>9959</v>
      </c>
      <c r="AO3042" s="2" t="s">
        <v>179</v>
      </c>
      <c r="AP3042" s="2">
        <v>11</v>
      </c>
      <c r="AQ3042" s="2" t="s">
        <v>82</v>
      </c>
      <c r="AR3042" s="2"/>
      <c r="AS3042" s="2"/>
      <c r="AT3042" s="2" t="s">
        <v>9960</v>
      </c>
      <c r="AU3042" s="2"/>
      <c r="AV3042" s="2"/>
      <c r="AW3042" s="2"/>
      <c r="AX3042" s="2"/>
      <c r="AY3042" s="2">
        <v>41</v>
      </c>
      <c r="AZ3042" s="2" t="s">
        <v>82</v>
      </c>
      <c r="BA3042" s="2">
        <v>41</v>
      </c>
      <c r="BB3042" s="2" t="s">
        <v>82</v>
      </c>
      <c r="BC3042" s="2">
        <v>41</v>
      </c>
      <c r="BD3042" s="2" t="s">
        <v>82</v>
      </c>
      <c r="BE3042" s="2">
        <v>17</v>
      </c>
      <c r="BF3042" s="2" t="s">
        <v>508</v>
      </c>
      <c r="BG3042" s="2">
        <v>4531</v>
      </c>
      <c r="BH3042" s="4">
        <v>0.63888888888888895</v>
      </c>
      <c r="BI3042" s="4">
        <v>0.54513888888888895</v>
      </c>
      <c r="BJ3042" s="2">
        <v>13</v>
      </c>
      <c r="BK3042" s="2" t="s">
        <v>91</v>
      </c>
      <c r="BL3042" s="2" t="s">
        <v>169</v>
      </c>
      <c r="BM3042" s="2">
        <v>241</v>
      </c>
      <c r="BN3042" s="2" t="s">
        <v>82</v>
      </c>
      <c r="BO3042" s="2"/>
      <c r="BP3042" s="2">
        <v>46</v>
      </c>
      <c r="BQ3042" s="2" t="s">
        <v>307</v>
      </c>
      <c r="BR3042" s="2" t="s">
        <v>308</v>
      </c>
      <c r="BS3042" s="3">
        <v>40385</v>
      </c>
      <c r="BT3042" s="4">
        <v>0.64932870370370377</v>
      </c>
    </row>
    <row r="3043" spans="1:72" x14ac:dyDescent="0.25">
      <c r="A3043" s="2">
        <v>4493</v>
      </c>
      <c r="B3043" s="2">
        <v>2010</v>
      </c>
      <c r="C3043" s="2" t="s">
        <v>72</v>
      </c>
      <c r="D3043" s="2" t="s">
        <v>73</v>
      </c>
      <c r="E3043" s="2"/>
      <c r="F3043" s="2">
        <v>76</v>
      </c>
      <c r="G3043" s="2" t="s">
        <v>9841</v>
      </c>
      <c r="H3043" s="2">
        <v>42</v>
      </c>
      <c r="I3043" s="2" t="s">
        <v>1096</v>
      </c>
      <c r="J3043" s="2">
        <v>108</v>
      </c>
      <c r="K3043" s="2" t="s">
        <v>9842</v>
      </c>
      <c r="L3043" s="2" t="s">
        <v>953</v>
      </c>
      <c r="M3043" s="3">
        <v>40385</v>
      </c>
      <c r="N3043" s="2" t="s">
        <v>9961</v>
      </c>
      <c r="O3043" s="2"/>
      <c r="P3043" s="2"/>
      <c r="Q3043" s="2" t="str">
        <f>"008/2010"</f>
        <v>008/2010</v>
      </c>
      <c r="R3043" s="2" t="s">
        <v>9962</v>
      </c>
      <c r="S3043" s="2" t="s">
        <v>9962</v>
      </c>
      <c r="T3043" s="2">
        <v>1</v>
      </c>
      <c r="U3043" s="2" t="s">
        <v>79</v>
      </c>
      <c r="V3043" s="2">
        <v>1</v>
      </c>
      <c r="W3043" s="2" t="s">
        <v>80</v>
      </c>
      <c r="X3043" s="2">
        <v>12</v>
      </c>
      <c r="Y3043" s="2" t="s">
        <v>148</v>
      </c>
      <c r="Z3043" s="2">
        <v>1</v>
      </c>
      <c r="AA3043" s="2" t="s">
        <v>82</v>
      </c>
      <c r="AB3043" s="2">
        <v>6</v>
      </c>
      <c r="AC3043" s="2" t="s">
        <v>83</v>
      </c>
      <c r="AD3043" s="2"/>
      <c r="AE3043" s="2"/>
      <c r="AF3043" s="3">
        <v>40385</v>
      </c>
      <c r="AG3043" s="4">
        <v>0.60416666666666663</v>
      </c>
      <c r="AH3043" s="2">
        <v>6</v>
      </c>
      <c r="AI3043" s="2" t="s">
        <v>197</v>
      </c>
      <c r="AJ3043" s="2">
        <v>51</v>
      </c>
      <c r="AK3043" s="2" t="s">
        <v>238</v>
      </c>
      <c r="AL3043" s="2">
        <v>22</v>
      </c>
      <c r="AM3043" s="2" t="s">
        <v>1853</v>
      </c>
      <c r="AN3043" s="2" t="s">
        <v>107</v>
      </c>
      <c r="AO3043" s="2" t="s">
        <v>107</v>
      </c>
      <c r="AP3043" s="2">
        <v>11</v>
      </c>
      <c r="AQ3043" s="2" t="s">
        <v>82</v>
      </c>
      <c r="AR3043" s="2"/>
      <c r="AS3043" s="2"/>
      <c r="AT3043" s="2" t="s">
        <v>9963</v>
      </c>
      <c r="AU3043" s="2"/>
      <c r="AV3043" s="2"/>
      <c r="AW3043" s="2"/>
      <c r="AX3043" s="2"/>
      <c r="AY3043" s="2">
        <v>41</v>
      </c>
      <c r="AZ3043" s="2" t="s">
        <v>82</v>
      </c>
      <c r="BA3043" s="2">
        <v>41</v>
      </c>
      <c r="BB3043" s="2" t="s">
        <v>82</v>
      </c>
      <c r="BC3043" s="2">
        <v>41</v>
      </c>
      <c r="BD3043" s="2" t="s">
        <v>82</v>
      </c>
      <c r="BE3043" s="2">
        <v>13</v>
      </c>
      <c r="BF3043" s="2" t="s">
        <v>108</v>
      </c>
      <c r="BG3043" s="2">
        <v>1755</v>
      </c>
      <c r="BH3043" s="4">
        <v>6.9444444444444434E-2</v>
      </c>
      <c r="BI3043" s="2"/>
      <c r="BJ3043" s="2">
        <v>13</v>
      </c>
      <c r="BK3043" s="2" t="s">
        <v>91</v>
      </c>
      <c r="BL3043" s="2" t="s">
        <v>1958</v>
      </c>
      <c r="BM3043" s="2">
        <v>13</v>
      </c>
      <c r="BN3043" s="2" t="s">
        <v>91</v>
      </c>
      <c r="BO3043" s="2" t="s">
        <v>170</v>
      </c>
      <c r="BP3043" s="2">
        <v>13</v>
      </c>
      <c r="BQ3043" s="2" t="s">
        <v>91</v>
      </c>
      <c r="BR3043" s="2" t="s">
        <v>9964</v>
      </c>
      <c r="BS3043" s="3">
        <v>40385</v>
      </c>
      <c r="BT3043" s="4">
        <v>0.69332175925925921</v>
      </c>
    </row>
    <row r="3044" spans="1:72" x14ac:dyDescent="0.25">
      <c r="A3044" s="2">
        <v>4494</v>
      </c>
      <c r="B3044" s="2">
        <v>2010</v>
      </c>
      <c r="C3044" s="2" t="s">
        <v>72</v>
      </c>
      <c r="D3044" s="2" t="s">
        <v>73</v>
      </c>
      <c r="E3044" s="2"/>
      <c r="F3044" s="2">
        <v>43</v>
      </c>
      <c r="G3044" s="2" t="s">
        <v>9965</v>
      </c>
      <c r="H3044" s="2">
        <v>1</v>
      </c>
      <c r="I3044" s="2" t="s">
        <v>82</v>
      </c>
      <c r="J3044" s="2">
        <v>631</v>
      </c>
      <c r="K3044" s="2" t="s">
        <v>9966</v>
      </c>
      <c r="L3044" s="2" t="s">
        <v>9967</v>
      </c>
      <c r="M3044" s="3">
        <v>40385</v>
      </c>
      <c r="N3044" s="2" t="s">
        <v>82</v>
      </c>
      <c r="O3044" s="2" t="s">
        <v>9968</v>
      </c>
      <c r="P3044" s="2" t="s">
        <v>82</v>
      </c>
      <c r="Q3044" s="2" t="str">
        <f>"04-S/10"</f>
        <v>04-S/10</v>
      </c>
      <c r="R3044" s="2" t="s">
        <v>82</v>
      </c>
      <c r="S3044" s="2" t="s">
        <v>9968</v>
      </c>
      <c r="T3044" s="2">
        <v>1</v>
      </c>
      <c r="U3044" s="2" t="s">
        <v>79</v>
      </c>
      <c r="V3044" s="2">
        <v>1</v>
      </c>
      <c r="W3044" s="2" t="s">
        <v>80</v>
      </c>
      <c r="X3044" s="2">
        <v>12</v>
      </c>
      <c r="Y3044" s="2" t="s">
        <v>148</v>
      </c>
      <c r="Z3044" s="2">
        <v>1</v>
      </c>
      <c r="AA3044" s="2" t="s">
        <v>82</v>
      </c>
      <c r="AB3044" s="2">
        <v>6</v>
      </c>
      <c r="AC3044" s="2" t="s">
        <v>83</v>
      </c>
      <c r="AD3044" s="2"/>
      <c r="AE3044" s="2"/>
      <c r="AF3044" s="3">
        <v>40385</v>
      </c>
      <c r="AG3044" s="4">
        <v>0.4861111111111111</v>
      </c>
      <c r="AH3044" s="2">
        <v>2</v>
      </c>
      <c r="AI3044" s="2" t="s">
        <v>84</v>
      </c>
      <c r="AJ3044" s="2">
        <v>11</v>
      </c>
      <c r="AK3044" s="2" t="s">
        <v>751</v>
      </c>
      <c r="AL3044" s="2">
        <v>25</v>
      </c>
      <c r="AM3044" s="2" t="s">
        <v>3073</v>
      </c>
      <c r="AN3044" s="2" t="s">
        <v>9969</v>
      </c>
      <c r="AO3044" s="2" t="s">
        <v>9970</v>
      </c>
      <c r="AP3044" s="2">
        <v>11</v>
      </c>
      <c r="AQ3044" s="2" t="s">
        <v>82</v>
      </c>
      <c r="AR3044" s="2"/>
      <c r="AS3044" s="2"/>
      <c r="AT3044" s="2" t="s">
        <v>9971</v>
      </c>
      <c r="AU3044" s="2"/>
      <c r="AV3044" s="2"/>
      <c r="AW3044" s="2"/>
      <c r="AX3044" s="2"/>
      <c r="AY3044" s="2">
        <v>44</v>
      </c>
      <c r="AZ3044" s="2" t="s">
        <v>262</v>
      </c>
      <c r="BA3044" s="2">
        <v>41</v>
      </c>
      <c r="BB3044" s="2" t="s">
        <v>82</v>
      </c>
      <c r="BC3044" s="2">
        <v>41</v>
      </c>
      <c r="BD3044" s="2" t="s">
        <v>82</v>
      </c>
      <c r="BE3044" s="2">
        <v>41</v>
      </c>
      <c r="BF3044" s="2" t="s">
        <v>82</v>
      </c>
      <c r="BG3044" s="2"/>
      <c r="BH3044" s="2"/>
      <c r="BI3044" s="2"/>
      <c r="BJ3044" s="2">
        <v>241</v>
      </c>
      <c r="BK3044" s="2" t="s">
        <v>82</v>
      </c>
      <c r="BL3044" s="2"/>
      <c r="BM3044" s="2">
        <v>241</v>
      </c>
      <c r="BN3044" s="2" t="s">
        <v>82</v>
      </c>
      <c r="BO3044" s="2"/>
      <c r="BP3044" s="2">
        <v>241</v>
      </c>
      <c r="BQ3044" s="2" t="s">
        <v>82</v>
      </c>
      <c r="BR3044" s="2"/>
      <c r="BS3044" s="3">
        <v>40385</v>
      </c>
      <c r="BT3044" s="4">
        <v>0.70988425925925924</v>
      </c>
    </row>
    <row r="3045" spans="1:72" x14ac:dyDescent="0.25">
      <c r="A3045" s="2">
        <v>4497</v>
      </c>
      <c r="B3045" s="2">
        <v>2010</v>
      </c>
      <c r="C3045" s="2" t="s">
        <v>72</v>
      </c>
      <c r="D3045" s="2" t="s">
        <v>73</v>
      </c>
      <c r="E3045" s="2"/>
      <c r="F3045" s="2">
        <v>545</v>
      </c>
      <c r="G3045" s="2" t="s">
        <v>3969</v>
      </c>
      <c r="H3045" s="2">
        <v>99</v>
      </c>
      <c r="I3045" s="2" t="s">
        <v>6285</v>
      </c>
      <c r="J3045" s="2">
        <v>472</v>
      </c>
      <c r="K3045" s="2" t="s">
        <v>7277</v>
      </c>
      <c r="L3045" s="2" t="s">
        <v>7278</v>
      </c>
      <c r="M3045" s="3">
        <v>40385</v>
      </c>
      <c r="N3045" s="2" t="s">
        <v>7279</v>
      </c>
      <c r="O3045" s="2" t="s">
        <v>107</v>
      </c>
      <c r="P3045" s="2" t="s">
        <v>107</v>
      </c>
      <c r="Q3045" s="2" t="str">
        <f>"CAUSA N° 11/10"</f>
        <v>CAUSA N° 11/10</v>
      </c>
      <c r="R3045" s="2" t="s">
        <v>9972</v>
      </c>
      <c r="S3045" s="2" t="s">
        <v>9973</v>
      </c>
      <c r="T3045" s="2">
        <v>1</v>
      </c>
      <c r="U3045" s="2" t="s">
        <v>79</v>
      </c>
      <c r="V3045" s="2">
        <v>1</v>
      </c>
      <c r="W3045" s="2" t="s">
        <v>80</v>
      </c>
      <c r="X3045" s="2">
        <v>12</v>
      </c>
      <c r="Y3045" s="2" t="s">
        <v>148</v>
      </c>
      <c r="Z3045" s="2">
        <v>1</v>
      </c>
      <c r="AA3045" s="2" t="s">
        <v>82</v>
      </c>
      <c r="AB3045" s="2">
        <v>6</v>
      </c>
      <c r="AC3045" s="2" t="s">
        <v>83</v>
      </c>
      <c r="AD3045" s="3">
        <v>40377</v>
      </c>
      <c r="AE3045" s="2"/>
      <c r="AF3045" s="3">
        <v>40385</v>
      </c>
      <c r="AG3045" s="4">
        <v>0.625</v>
      </c>
      <c r="AH3045" s="2">
        <v>6</v>
      </c>
      <c r="AI3045" s="2" t="s">
        <v>197</v>
      </c>
      <c r="AJ3045" s="2">
        <v>60</v>
      </c>
      <c r="AK3045" s="2" t="s">
        <v>543</v>
      </c>
      <c r="AL3045" s="2">
        <v>22</v>
      </c>
      <c r="AM3045" s="2" t="s">
        <v>1853</v>
      </c>
      <c r="AN3045" s="2" t="s">
        <v>82</v>
      </c>
      <c r="AO3045" s="2" t="s">
        <v>82</v>
      </c>
      <c r="AP3045" s="2">
        <v>11</v>
      </c>
      <c r="AQ3045" s="2" t="s">
        <v>82</v>
      </c>
      <c r="AR3045" s="2"/>
      <c r="AS3045" s="2"/>
      <c r="AT3045" s="2" t="s">
        <v>9974</v>
      </c>
      <c r="AU3045" s="2"/>
      <c r="AV3045" s="2"/>
      <c r="AW3045" s="2"/>
      <c r="AX3045" s="2"/>
      <c r="AY3045" s="2">
        <v>41</v>
      </c>
      <c r="AZ3045" s="2" t="s">
        <v>82</v>
      </c>
      <c r="BA3045" s="2">
        <v>41</v>
      </c>
      <c r="BB3045" s="2" t="s">
        <v>82</v>
      </c>
      <c r="BC3045" s="2">
        <v>41</v>
      </c>
      <c r="BD3045" s="2" t="s">
        <v>82</v>
      </c>
      <c r="BE3045" s="2">
        <v>13</v>
      </c>
      <c r="BF3045" s="2" t="s">
        <v>108</v>
      </c>
      <c r="BG3045" s="2" t="s">
        <v>8086</v>
      </c>
      <c r="BH3045" s="4">
        <v>0.62152777777777779</v>
      </c>
      <c r="BI3045" s="2"/>
      <c r="BJ3045" s="2">
        <v>13</v>
      </c>
      <c r="BK3045" s="2" t="s">
        <v>91</v>
      </c>
      <c r="BL3045" s="2" t="s">
        <v>185</v>
      </c>
      <c r="BM3045" s="2">
        <v>13</v>
      </c>
      <c r="BN3045" s="2" t="s">
        <v>91</v>
      </c>
      <c r="BO3045" s="2" t="s">
        <v>204</v>
      </c>
      <c r="BP3045" s="2">
        <v>13</v>
      </c>
      <c r="BQ3045" s="2" t="s">
        <v>91</v>
      </c>
      <c r="BR3045" s="2" t="s">
        <v>895</v>
      </c>
      <c r="BS3045" s="3">
        <v>40385</v>
      </c>
      <c r="BT3045" s="4">
        <v>0.80003472222222216</v>
      </c>
    </row>
    <row r="3046" spans="1:72" x14ac:dyDescent="0.25">
      <c r="A3046" s="2">
        <v>4498</v>
      </c>
      <c r="B3046" s="2">
        <v>2010</v>
      </c>
      <c r="C3046" s="2" t="s">
        <v>377</v>
      </c>
      <c r="D3046" s="2" t="s">
        <v>73</v>
      </c>
      <c r="E3046" s="2"/>
      <c r="F3046" s="2">
        <v>426</v>
      </c>
      <c r="G3046" s="2" t="s">
        <v>378</v>
      </c>
      <c r="H3046" s="2">
        <v>42</v>
      </c>
      <c r="I3046" s="2" t="s">
        <v>1096</v>
      </c>
      <c r="J3046" s="2">
        <v>311</v>
      </c>
      <c r="K3046" s="2" t="s">
        <v>379</v>
      </c>
      <c r="L3046" s="2" t="s">
        <v>380</v>
      </c>
      <c r="M3046" s="3">
        <v>40385</v>
      </c>
      <c r="N3046" s="2" t="s">
        <v>9975</v>
      </c>
      <c r="O3046" s="2"/>
      <c r="P3046" s="2"/>
      <c r="Q3046" s="2" t="str">
        <f>"189-C/10"</f>
        <v>189-C/10</v>
      </c>
      <c r="R3046" s="2" t="s">
        <v>3458</v>
      </c>
      <c r="S3046" s="2"/>
      <c r="T3046" s="2">
        <v>1</v>
      </c>
      <c r="U3046" s="2" t="s">
        <v>79</v>
      </c>
      <c r="V3046" s="2">
        <v>1</v>
      </c>
      <c r="W3046" s="2" t="s">
        <v>80</v>
      </c>
      <c r="X3046" s="2">
        <v>1</v>
      </c>
      <c r="Y3046" s="2" t="s">
        <v>81</v>
      </c>
      <c r="Z3046" s="2">
        <v>1</v>
      </c>
      <c r="AA3046" s="2" t="s">
        <v>82</v>
      </c>
      <c r="AB3046" s="2">
        <v>9</v>
      </c>
      <c r="AC3046" s="2" t="s">
        <v>124</v>
      </c>
      <c r="AD3046" s="3">
        <v>40385</v>
      </c>
      <c r="AE3046" s="4">
        <v>0.59375</v>
      </c>
      <c r="AF3046" s="2"/>
      <c r="AG3046" s="2"/>
      <c r="AH3046" s="2">
        <v>2</v>
      </c>
      <c r="AI3046" s="2" t="s">
        <v>84</v>
      </c>
      <c r="AJ3046" s="2">
        <v>9</v>
      </c>
      <c r="AK3046" s="2" t="s">
        <v>103</v>
      </c>
      <c r="AL3046" s="2">
        <v>29</v>
      </c>
      <c r="AM3046" s="2" t="s">
        <v>5416</v>
      </c>
      <c r="AN3046" s="2" t="s">
        <v>1345</v>
      </c>
      <c r="AO3046" s="2" t="s">
        <v>987</v>
      </c>
      <c r="AP3046" s="2">
        <v>11</v>
      </c>
      <c r="AQ3046" s="2" t="s">
        <v>82</v>
      </c>
      <c r="AR3046" s="2"/>
      <c r="AS3046" s="2"/>
      <c r="AT3046" s="2" t="s">
        <v>9976</v>
      </c>
      <c r="AU3046" s="2"/>
      <c r="AV3046" s="2"/>
      <c r="AW3046" s="2"/>
      <c r="AX3046" s="2"/>
      <c r="AY3046" s="2">
        <v>41</v>
      </c>
      <c r="AZ3046" s="2" t="s">
        <v>82</v>
      </c>
      <c r="BA3046" s="2">
        <v>41</v>
      </c>
      <c r="BB3046" s="2" t="s">
        <v>82</v>
      </c>
      <c r="BC3046" s="2">
        <v>41</v>
      </c>
      <c r="BD3046" s="2" t="s">
        <v>82</v>
      </c>
      <c r="BE3046" s="2">
        <v>41</v>
      </c>
      <c r="BF3046" s="2" t="s">
        <v>82</v>
      </c>
      <c r="BG3046" s="2"/>
      <c r="BH3046" s="2"/>
      <c r="BI3046" s="2"/>
      <c r="BJ3046" s="2">
        <v>241</v>
      </c>
      <c r="BK3046" s="2" t="s">
        <v>82</v>
      </c>
      <c r="BL3046" s="2"/>
      <c r="BM3046" s="2">
        <v>241</v>
      </c>
      <c r="BN3046" s="2" t="s">
        <v>82</v>
      </c>
      <c r="BO3046" s="2"/>
      <c r="BP3046" s="2">
        <v>241</v>
      </c>
      <c r="BQ3046" s="2" t="s">
        <v>82</v>
      </c>
      <c r="BR3046" s="2"/>
      <c r="BS3046" s="3">
        <v>40385</v>
      </c>
      <c r="BT3046" s="4">
        <v>0.81401620370370376</v>
      </c>
    </row>
    <row r="3047" spans="1:72" x14ac:dyDescent="0.25">
      <c r="A3047" s="2">
        <v>4499</v>
      </c>
      <c r="B3047" s="2">
        <v>2010</v>
      </c>
      <c r="C3047" s="2" t="s">
        <v>121</v>
      </c>
      <c r="D3047" s="2" t="s">
        <v>122</v>
      </c>
      <c r="E3047" s="2"/>
      <c r="F3047" s="2">
        <v>1</v>
      </c>
      <c r="G3047" s="2" t="s">
        <v>82</v>
      </c>
      <c r="H3047" s="2">
        <v>1</v>
      </c>
      <c r="I3047" s="2" t="s">
        <v>82</v>
      </c>
      <c r="J3047" s="2">
        <v>1</v>
      </c>
      <c r="K3047" s="2" t="s">
        <v>107</v>
      </c>
      <c r="L3047" s="2" t="s">
        <v>107</v>
      </c>
      <c r="M3047" s="3">
        <v>40385</v>
      </c>
      <c r="N3047" s="2"/>
      <c r="O3047" s="2"/>
      <c r="P3047" s="2"/>
      <c r="Q3047" s="2" t="str">
        <f>""</f>
        <v/>
      </c>
      <c r="R3047" s="2"/>
      <c r="S3047" s="2"/>
      <c r="T3047" s="2">
        <v>2</v>
      </c>
      <c r="U3047" s="2" t="s">
        <v>123</v>
      </c>
      <c r="V3047" s="2">
        <v>1</v>
      </c>
      <c r="W3047" s="2" t="s">
        <v>80</v>
      </c>
      <c r="X3047" s="2">
        <v>11</v>
      </c>
      <c r="Y3047" s="2" t="s">
        <v>1920</v>
      </c>
      <c r="Z3047" s="2">
        <v>10</v>
      </c>
      <c r="AA3047" s="2" t="s">
        <v>236</v>
      </c>
      <c r="AB3047" s="2">
        <v>9</v>
      </c>
      <c r="AC3047" s="2" t="s">
        <v>124</v>
      </c>
      <c r="AD3047" s="3">
        <v>40385</v>
      </c>
      <c r="AE3047" s="4">
        <v>0.70833333333333337</v>
      </c>
      <c r="AF3047" s="2"/>
      <c r="AG3047" s="2"/>
      <c r="AH3047" s="2">
        <v>2</v>
      </c>
      <c r="AI3047" s="2" t="s">
        <v>84</v>
      </c>
      <c r="AJ3047" s="2">
        <v>12</v>
      </c>
      <c r="AK3047" s="2" t="s">
        <v>85</v>
      </c>
      <c r="AL3047" s="2">
        <v>20</v>
      </c>
      <c r="AM3047" s="2" t="s">
        <v>992</v>
      </c>
      <c r="AN3047" s="2"/>
      <c r="AO3047" s="2"/>
      <c r="AP3047" s="2">
        <v>11</v>
      </c>
      <c r="AQ3047" s="2" t="s">
        <v>82</v>
      </c>
      <c r="AR3047" s="2"/>
      <c r="AS3047" s="2"/>
      <c r="AT3047" s="2" t="s">
        <v>9977</v>
      </c>
      <c r="AU3047" s="2"/>
      <c r="AV3047" s="2"/>
      <c r="AW3047" s="2"/>
      <c r="AX3047" s="2"/>
      <c r="AY3047" s="2">
        <v>41</v>
      </c>
      <c r="AZ3047" s="2" t="s">
        <v>82</v>
      </c>
      <c r="BA3047" s="2">
        <v>41</v>
      </c>
      <c r="BB3047" s="2" t="s">
        <v>82</v>
      </c>
      <c r="BC3047" s="2">
        <v>70</v>
      </c>
      <c r="BD3047" s="2" t="s">
        <v>236</v>
      </c>
      <c r="BE3047" s="2">
        <v>41</v>
      </c>
      <c r="BF3047" s="2" t="s">
        <v>82</v>
      </c>
      <c r="BG3047" s="2" t="s">
        <v>9978</v>
      </c>
      <c r="BH3047" s="4">
        <v>0.78819444444444453</v>
      </c>
      <c r="BI3047" s="2"/>
      <c r="BJ3047" s="2">
        <v>46</v>
      </c>
      <c r="BK3047" s="2" t="s">
        <v>307</v>
      </c>
      <c r="BL3047" s="2" t="s">
        <v>308</v>
      </c>
      <c r="BM3047" s="2">
        <v>241</v>
      </c>
      <c r="BN3047" s="2" t="s">
        <v>82</v>
      </c>
      <c r="BO3047" s="2"/>
      <c r="BP3047" s="2">
        <v>13</v>
      </c>
      <c r="BQ3047" s="2" t="s">
        <v>91</v>
      </c>
      <c r="BR3047" s="2" t="s">
        <v>185</v>
      </c>
      <c r="BS3047" s="3">
        <v>40385</v>
      </c>
      <c r="BT3047" s="4">
        <v>0.8796180555555555</v>
      </c>
    </row>
    <row r="3048" spans="1:72" x14ac:dyDescent="0.25">
      <c r="A3048" s="2">
        <v>4500</v>
      </c>
      <c r="B3048" s="2">
        <v>2010</v>
      </c>
      <c r="C3048" s="2" t="s">
        <v>1568</v>
      </c>
      <c r="D3048" s="2" t="s">
        <v>73</v>
      </c>
      <c r="E3048" s="2"/>
      <c r="F3048" s="2">
        <v>390</v>
      </c>
      <c r="G3048" s="2" t="s">
        <v>475</v>
      </c>
      <c r="H3048" s="2">
        <v>71</v>
      </c>
      <c r="I3048" s="2" t="s">
        <v>335</v>
      </c>
      <c r="J3048" s="2">
        <v>399</v>
      </c>
      <c r="K3048" s="2" t="s">
        <v>1820</v>
      </c>
      <c r="L3048" s="2" t="s">
        <v>1821</v>
      </c>
      <c r="M3048" s="3">
        <v>40385</v>
      </c>
      <c r="N3048" s="2" t="s">
        <v>7806</v>
      </c>
      <c r="O3048" s="2"/>
      <c r="P3048" s="2"/>
      <c r="Q3048" s="2" t="str">
        <f>"378-E/10"</f>
        <v>378-E/10</v>
      </c>
      <c r="R3048" s="2" t="s">
        <v>9979</v>
      </c>
      <c r="S3048" s="2"/>
      <c r="T3048" s="2">
        <v>1</v>
      </c>
      <c r="U3048" s="2" t="s">
        <v>79</v>
      </c>
      <c r="V3048" s="2">
        <v>1</v>
      </c>
      <c r="W3048" s="2" t="s">
        <v>80</v>
      </c>
      <c r="X3048" s="2">
        <v>1</v>
      </c>
      <c r="Y3048" s="2" t="s">
        <v>81</v>
      </c>
      <c r="Z3048" s="2">
        <v>1</v>
      </c>
      <c r="AA3048" s="2" t="s">
        <v>82</v>
      </c>
      <c r="AB3048" s="2">
        <v>4</v>
      </c>
      <c r="AC3048" s="2" t="s">
        <v>1569</v>
      </c>
      <c r="AD3048" s="3">
        <v>40385</v>
      </c>
      <c r="AE3048" s="4">
        <v>0.84375</v>
      </c>
      <c r="AF3048" s="2"/>
      <c r="AG3048" s="2"/>
      <c r="AH3048" s="2">
        <v>2</v>
      </c>
      <c r="AI3048" s="2" t="s">
        <v>84</v>
      </c>
      <c r="AJ3048" s="2">
        <v>9</v>
      </c>
      <c r="AK3048" s="2" t="s">
        <v>103</v>
      </c>
      <c r="AL3048" s="2">
        <v>25</v>
      </c>
      <c r="AM3048" s="2" t="s">
        <v>3073</v>
      </c>
      <c r="AN3048" s="2" t="s">
        <v>9980</v>
      </c>
      <c r="AO3048" s="2" t="s">
        <v>179</v>
      </c>
      <c r="AP3048" s="2">
        <v>11</v>
      </c>
      <c r="AQ3048" s="2" t="s">
        <v>82</v>
      </c>
      <c r="AR3048" s="2"/>
      <c r="AS3048" s="2"/>
      <c r="AT3048" s="2" t="s">
        <v>9981</v>
      </c>
      <c r="AU3048" s="2">
        <v>1</v>
      </c>
      <c r="AV3048" s="2"/>
      <c r="AW3048" s="2"/>
      <c r="AX3048" s="2"/>
      <c r="AY3048" s="2">
        <v>41</v>
      </c>
      <c r="AZ3048" s="2" t="s">
        <v>82</v>
      </c>
      <c r="BA3048" s="2">
        <v>41</v>
      </c>
      <c r="BB3048" s="2" t="s">
        <v>82</v>
      </c>
      <c r="BC3048" s="2">
        <v>41</v>
      </c>
      <c r="BD3048" s="2" t="s">
        <v>82</v>
      </c>
      <c r="BE3048" s="2">
        <v>11</v>
      </c>
      <c r="BF3048" s="2" t="s">
        <v>2404</v>
      </c>
      <c r="BG3048" s="2" t="s">
        <v>9982</v>
      </c>
      <c r="BH3048" s="2"/>
      <c r="BI3048" s="2"/>
      <c r="BJ3048" s="2">
        <v>13</v>
      </c>
      <c r="BK3048" s="2" t="s">
        <v>91</v>
      </c>
      <c r="BL3048" s="2" t="s">
        <v>360</v>
      </c>
      <c r="BM3048" s="2">
        <v>241</v>
      </c>
      <c r="BN3048" s="2" t="s">
        <v>82</v>
      </c>
      <c r="BO3048" s="2"/>
      <c r="BP3048" s="2">
        <v>75</v>
      </c>
      <c r="BQ3048" s="2" t="s">
        <v>1264</v>
      </c>
      <c r="BR3048" s="2" t="s">
        <v>2406</v>
      </c>
      <c r="BS3048" s="3">
        <v>40385</v>
      </c>
      <c r="BT3048" s="4">
        <v>0.95755787037037043</v>
      </c>
    </row>
    <row r="3049" spans="1:72" x14ac:dyDescent="0.25">
      <c r="A3049" s="2">
        <v>4501</v>
      </c>
      <c r="B3049" s="2">
        <v>2010</v>
      </c>
      <c r="C3049" s="2" t="s">
        <v>819</v>
      </c>
      <c r="D3049" s="2" t="s">
        <v>122</v>
      </c>
      <c r="E3049" s="2" t="s">
        <v>9983</v>
      </c>
      <c r="F3049" s="2">
        <v>451</v>
      </c>
      <c r="G3049" s="2" t="s">
        <v>879</v>
      </c>
      <c r="H3049" s="2">
        <v>5</v>
      </c>
      <c r="I3049" s="2" t="s">
        <v>634</v>
      </c>
      <c r="J3049" s="2">
        <v>326</v>
      </c>
      <c r="K3049" s="2" t="s">
        <v>881</v>
      </c>
      <c r="L3049" s="2" t="s">
        <v>882</v>
      </c>
      <c r="M3049" s="3">
        <v>40385</v>
      </c>
      <c r="N3049" s="2" t="s">
        <v>3096</v>
      </c>
      <c r="O3049" s="2" t="s">
        <v>3296</v>
      </c>
      <c r="P3049" s="2" t="s">
        <v>2957</v>
      </c>
      <c r="Q3049" s="2" t="str">
        <f>"085/10"</f>
        <v>085/10</v>
      </c>
      <c r="R3049" s="2" t="s">
        <v>822</v>
      </c>
      <c r="S3049" s="2" t="s">
        <v>3299</v>
      </c>
      <c r="T3049" s="2">
        <v>1</v>
      </c>
      <c r="U3049" s="2" t="s">
        <v>79</v>
      </c>
      <c r="V3049" s="2">
        <v>1</v>
      </c>
      <c r="W3049" s="2" t="s">
        <v>80</v>
      </c>
      <c r="X3049" s="2">
        <v>1</v>
      </c>
      <c r="Y3049" s="2" t="s">
        <v>81</v>
      </c>
      <c r="Z3049" s="2">
        <v>10</v>
      </c>
      <c r="AA3049" s="2" t="s">
        <v>236</v>
      </c>
      <c r="AB3049" s="2">
        <v>9</v>
      </c>
      <c r="AC3049" s="2" t="s">
        <v>124</v>
      </c>
      <c r="AD3049" s="3">
        <v>40385</v>
      </c>
      <c r="AE3049" s="4">
        <v>0.83680555555555547</v>
      </c>
      <c r="AF3049" s="2"/>
      <c r="AG3049" s="2"/>
      <c r="AH3049" s="2">
        <v>4</v>
      </c>
      <c r="AI3049" s="2" t="s">
        <v>125</v>
      </c>
      <c r="AJ3049" s="2">
        <v>29</v>
      </c>
      <c r="AK3049" s="2" t="s">
        <v>227</v>
      </c>
      <c r="AL3049" s="2">
        <v>16</v>
      </c>
      <c r="AM3049" s="2" t="s">
        <v>392</v>
      </c>
      <c r="AN3049" s="2" t="s">
        <v>3040</v>
      </c>
      <c r="AO3049" s="2" t="s">
        <v>5383</v>
      </c>
      <c r="AP3049" s="2">
        <v>12</v>
      </c>
      <c r="AQ3049" s="2" t="s">
        <v>322</v>
      </c>
      <c r="AR3049" s="2" t="s">
        <v>824</v>
      </c>
      <c r="AS3049" s="2" t="s">
        <v>825</v>
      </c>
      <c r="AT3049" s="2" t="s">
        <v>9984</v>
      </c>
      <c r="AU3049" s="2"/>
      <c r="AV3049" s="2"/>
      <c r="AW3049" s="2"/>
      <c r="AX3049" s="2"/>
      <c r="AY3049" s="2">
        <v>41</v>
      </c>
      <c r="AZ3049" s="2" t="s">
        <v>82</v>
      </c>
      <c r="BA3049" s="2">
        <v>41</v>
      </c>
      <c r="BB3049" s="2" t="s">
        <v>82</v>
      </c>
      <c r="BC3049" s="2">
        <v>51</v>
      </c>
      <c r="BD3049" s="2" t="s">
        <v>827</v>
      </c>
      <c r="BE3049" s="2">
        <v>13</v>
      </c>
      <c r="BF3049" s="2" t="s">
        <v>108</v>
      </c>
      <c r="BG3049" s="2">
        <v>1459</v>
      </c>
      <c r="BH3049" s="4">
        <v>0.90972222222222221</v>
      </c>
      <c r="BI3049" s="4">
        <v>0.9375</v>
      </c>
      <c r="BJ3049" s="2">
        <v>13</v>
      </c>
      <c r="BK3049" s="2" t="s">
        <v>91</v>
      </c>
      <c r="BL3049" s="2" t="s">
        <v>828</v>
      </c>
      <c r="BM3049" s="2">
        <v>241</v>
      </c>
      <c r="BN3049" s="2" t="s">
        <v>82</v>
      </c>
      <c r="BO3049" s="2" t="s">
        <v>2529</v>
      </c>
      <c r="BP3049" s="2">
        <v>13</v>
      </c>
      <c r="BQ3049" s="2" t="s">
        <v>91</v>
      </c>
      <c r="BR3049" s="2" t="s">
        <v>185</v>
      </c>
      <c r="BS3049" s="3">
        <v>40385</v>
      </c>
      <c r="BT3049" s="4">
        <v>0.97013888888888899</v>
      </c>
    </row>
    <row r="3050" spans="1:72" x14ac:dyDescent="0.25">
      <c r="A3050" s="2">
        <v>4502</v>
      </c>
      <c r="B3050" s="2">
        <v>2010</v>
      </c>
      <c r="C3050" s="2" t="s">
        <v>72</v>
      </c>
      <c r="D3050" s="2" t="s">
        <v>73</v>
      </c>
      <c r="E3050" s="2"/>
      <c r="F3050" s="2">
        <v>390</v>
      </c>
      <c r="G3050" s="2" t="s">
        <v>475</v>
      </c>
      <c r="H3050" s="2">
        <v>71</v>
      </c>
      <c r="I3050" s="2" t="s">
        <v>335</v>
      </c>
      <c r="J3050" s="2">
        <v>399</v>
      </c>
      <c r="K3050" s="2" t="s">
        <v>1820</v>
      </c>
      <c r="L3050" s="2" t="s">
        <v>1821</v>
      </c>
      <c r="M3050" s="3">
        <v>40385</v>
      </c>
      <c r="N3050" s="2" t="s">
        <v>7806</v>
      </c>
      <c r="O3050" s="2"/>
      <c r="P3050" s="2"/>
      <c r="Q3050" s="2" t="str">
        <f>"379-E/10"</f>
        <v>379-E/10</v>
      </c>
      <c r="R3050" s="2" t="s">
        <v>9985</v>
      </c>
      <c r="S3050" s="2" t="s">
        <v>9985</v>
      </c>
      <c r="T3050" s="2">
        <v>1</v>
      </c>
      <c r="U3050" s="2" t="s">
        <v>79</v>
      </c>
      <c r="V3050" s="2">
        <v>1</v>
      </c>
      <c r="W3050" s="2" t="s">
        <v>80</v>
      </c>
      <c r="X3050" s="2">
        <v>12</v>
      </c>
      <c r="Y3050" s="2" t="s">
        <v>148</v>
      </c>
      <c r="Z3050" s="2">
        <v>1</v>
      </c>
      <c r="AA3050" s="2" t="s">
        <v>82</v>
      </c>
      <c r="AB3050" s="2">
        <v>6</v>
      </c>
      <c r="AC3050" s="2" t="s">
        <v>83</v>
      </c>
      <c r="AD3050" s="3">
        <v>40385</v>
      </c>
      <c r="AE3050" s="2"/>
      <c r="AF3050" s="3">
        <v>40385</v>
      </c>
      <c r="AG3050" s="4">
        <v>0.875</v>
      </c>
      <c r="AH3050" s="2">
        <v>2</v>
      </c>
      <c r="AI3050" s="2" t="s">
        <v>84</v>
      </c>
      <c r="AJ3050" s="2">
        <v>9</v>
      </c>
      <c r="AK3050" s="2" t="s">
        <v>103</v>
      </c>
      <c r="AL3050" s="2">
        <v>22</v>
      </c>
      <c r="AM3050" s="2" t="s">
        <v>1853</v>
      </c>
      <c r="AN3050" s="2"/>
      <c r="AO3050" s="2" t="s">
        <v>7625</v>
      </c>
      <c r="AP3050" s="2">
        <v>11</v>
      </c>
      <c r="AQ3050" s="2" t="s">
        <v>82</v>
      </c>
      <c r="AR3050" s="2"/>
      <c r="AS3050" s="2"/>
      <c r="AT3050" s="2" t="s">
        <v>9986</v>
      </c>
      <c r="AU3050" s="2"/>
      <c r="AV3050" s="2"/>
      <c r="AW3050" s="2"/>
      <c r="AX3050" s="2"/>
      <c r="AY3050" s="2">
        <v>41</v>
      </c>
      <c r="AZ3050" s="2" t="s">
        <v>82</v>
      </c>
      <c r="BA3050" s="2">
        <v>41</v>
      </c>
      <c r="BB3050" s="2" t="s">
        <v>82</v>
      </c>
      <c r="BC3050" s="2">
        <v>41</v>
      </c>
      <c r="BD3050" s="2" t="s">
        <v>82</v>
      </c>
      <c r="BE3050" s="2">
        <v>6</v>
      </c>
      <c r="BF3050" s="2" t="s">
        <v>616</v>
      </c>
      <c r="BG3050" s="2" t="s">
        <v>2782</v>
      </c>
      <c r="BH3050" s="4">
        <v>0.79513888888888884</v>
      </c>
      <c r="BI3050" s="2"/>
      <c r="BJ3050" s="2">
        <v>4</v>
      </c>
      <c r="BK3050" s="2" t="s">
        <v>618</v>
      </c>
      <c r="BL3050" s="2" t="s">
        <v>9987</v>
      </c>
      <c r="BM3050" s="2">
        <v>4</v>
      </c>
      <c r="BN3050" s="2" t="s">
        <v>618</v>
      </c>
      <c r="BO3050" s="2" t="s">
        <v>619</v>
      </c>
      <c r="BP3050" s="2">
        <v>13</v>
      </c>
      <c r="BQ3050" s="2" t="s">
        <v>91</v>
      </c>
      <c r="BR3050" s="2" t="s">
        <v>360</v>
      </c>
      <c r="BS3050" s="3">
        <v>40385</v>
      </c>
      <c r="BT3050" s="4">
        <v>0.97366898148148151</v>
      </c>
    </row>
    <row r="3051" spans="1:72" x14ac:dyDescent="0.25">
      <c r="A3051" s="2">
        <v>4503</v>
      </c>
      <c r="B3051" s="2">
        <v>2010</v>
      </c>
      <c r="C3051" s="2" t="s">
        <v>1660</v>
      </c>
      <c r="D3051" s="2" t="s">
        <v>122</v>
      </c>
      <c r="E3051" s="2" t="s">
        <v>9907</v>
      </c>
      <c r="F3051" s="2">
        <v>9</v>
      </c>
      <c r="G3051" s="2" t="s">
        <v>364</v>
      </c>
      <c r="H3051" s="2">
        <v>44</v>
      </c>
      <c r="I3051" s="2" t="s">
        <v>1272</v>
      </c>
      <c r="J3051" s="2">
        <v>18</v>
      </c>
      <c r="K3051" s="2" t="s">
        <v>365</v>
      </c>
      <c r="L3051" s="2" t="s">
        <v>115</v>
      </c>
      <c r="M3051" s="3">
        <v>40385</v>
      </c>
      <c r="N3051" s="2" t="s">
        <v>5465</v>
      </c>
      <c r="O3051" s="2"/>
      <c r="P3051" s="2"/>
      <c r="Q3051" s="2" t="str">
        <f>"41/10"</f>
        <v>41/10</v>
      </c>
      <c r="R3051" s="2" t="s">
        <v>9896</v>
      </c>
      <c r="S3051" s="2" t="s">
        <v>9896</v>
      </c>
      <c r="T3051" s="2">
        <v>1</v>
      </c>
      <c r="U3051" s="2" t="s">
        <v>79</v>
      </c>
      <c r="V3051" s="2">
        <v>1</v>
      </c>
      <c r="W3051" s="2" t="s">
        <v>80</v>
      </c>
      <c r="X3051" s="2">
        <v>10</v>
      </c>
      <c r="Y3051" s="2" t="s">
        <v>226</v>
      </c>
      <c r="Z3051" s="2">
        <v>6</v>
      </c>
      <c r="AA3051" s="2" t="s">
        <v>101</v>
      </c>
      <c r="AB3051" s="2">
        <v>3</v>
      </c>
      <c r="AC3051" s="2" t="s">
        <v>1663</v>
      </c>
      <c r="AD3051" s="3">
        <v>40385</v>
      </c>
      <c r="AE3051" s="4">
        <v>0.91666666666666663</v>
      </c>
      <c r="AF3051" s="2"/>
      <c r="AG3051" s="2"/>
      <c r="AH3051" s="2">
        <v>3</v>
      </c>
      <c r="AI3051" s="2" t="s">
        <v>214</v>
      </c>
      <c r="AJ3051" s="2">
        <v>24</v>
      </c>
      <c r="AK3051" s="2" t="s">
        <v>215</v>
      </c>
      <c r="AL3051" s="2">
        <v>25</v>
      </c>
      <c r="AM3051" s="2" t="s">
        <v>3073</v>
      </c>
      <c r="AN3051" s="2" t="s">
        <v>9897</v>
      </c>
      <c r="AO3051" s="2"/>
      <c r="AP3051" s="2">
        <v>11</v>
      </c>
      <c r="AQ3051" s="2" t="s">
        <v>82</v>
      </c>
      <c r="AR3051" s="2"/>
      <c r="AS3051" s="2"/>
      <c r="AT3051" s="2" t="s">
        <v>9988</v>
      </c>
      <c r="AU3051" s="2">
        <v>1</v>
      </c>
      <c r="AV3051" s="2"/>
      <c r="AW3051" s="2"/>
      <c r="AX3051" s="2"/>
      <c r="AY3051" s="2">
        <v>42</v>
      </c>
      <c r="AZ3051" s="2" t="s">
        <v>182</v>
      </c>
      <c r="BA3051" s="2">
        <v>115</v>
      </c>
      <c r="BB3051" s="2" t="s">
        <v>101</v>
      </c>
      <c r="BC3051" s="2">
        <v>41</v>
      </c>
      <c r="BD3051" s="2" t="s">
        <v>82</v>
      </c>
      <c r="BE3051" s="2">
        <v>38</v>
      </c>
      <c r="BF3051" s="2" t="s">
        <v>221</v>
      </c>
      <c r="BG3051" s="2" t="s">
        <v>9899</v>
      </c>
      <c r="BH3051" s="4">
        <v>0.27430555555555552</v>
      </c>
      <c r="BI3051" s="2"/>
      <c r="BJ3051" s="2">
        <v>173</v>
      </c>
      <c r="BK3051" s="2" t="s">
        <v>223</v>
      </c>
      <c r="BL3051" s="2" t="s">
        <v>224</v>
      </c>
      <c r="BM3051" s="2">
        <v>241</v>
      </c>
      <c r="BN3051" s="2" t="s">
        <v>82</v>
      </c>
      <c r="BO3051" s="2"/>
      <c r="BP3051" s="2">
        <v>13</v>
      </c>
      <c r="BQ3051" s="2" t="s">
        <v>91</v>
      </c>
      <c r="BR3051" s="2" t="s">
        <v>169</v>
      </c>
      <c r="BS3051" s="3">
        <v>40385</v>
      </c>
      <c r="BT3051" s="4">
        <v>0.97930555555555554</v>
      </c>
    </row>
    <row r="3052" spans="1:72" x14ac:dyDescent="0.25">
      <c r="A3052" s="2">
        <v>4504</v>
      </c>
      <c r="B3052" s="2">
        <v>2010</v>
      </c>
      <c r="C3052" s="2" t="s">
        <v>72</v>
      </c>
      <c r="D3052" s="2" t="s">
        <v>122</v>
      </c>
      <c r="E3052" s="2" t="s">
        <v>9989</v>
      </c>
      <c r="F3052" s="2">
        <v>649</v>
      </c>
      <c r="G3052" s="2" t="s">
        <v>9141</v>
      </c>
      <c r="H3052" s="2">
        <v>22</v>
      </c>
      <c r="I3052" s="2" t="s">
        <v>75</v>
      </c>
      <c r="J3052" s="2">
        <v>602</v>
      </c>
      <c r="K3052" s="2" t="s">
        <v>9091</v>
      </c>
      <c r="L3052" s="2" t="s">
        <v>9092</v>
      </c>
      <c r="M3052" s="3">
        <v>40386</v>
      </c>
      <c r="N3052" s="2" t="s">
        <v>9093</v>
      </c>
      <c r="O3052" s="2"/>
      <c r="P3052" s="2"/>
      <c r="Q3052" s="2" t="str">
        <f>"282-A/10"</f>
        <v>282-A/10</v>
      </c>
      <c r="R3052" s="2" t="s">
        <v>78</v>
      </c>
      <c r="S3052" s="2"/>
      <c r="T3052" s="2">
        <v>1</v>
      </c>
      <c r="U3052" s="2" t="s">
        <v>79</v>
      </c>
      <c r="V3052" s="2">
        <v>1</v>
      </c>
      <c r="W3052" s="2" t="s">
        <v>80</v>
      </c>
      <c r="X3052" s="2">
        <v>12</v>
      </c>
      <c r="Y3052" s="2" t="s">
        <v>148</v>
      </c>
      <c r="Z3052" s="2">
        <v>1</v>
      </c>
      <c r="AA3052" s="2" t="s">
        <v>82</v>
      </c>
      <c r="AB3052" s="2">
        <v>6</v>
      </c>
      <c r="AC3052" s="2" t="s">
        <v>83</v>
      </c>
      <c r="AD3052" s="3">
        <v>40382</v>
      </c>
      <c r="AE3052" s="4">
        <v>1.3194444444444444E-2</v>
      </c>
      <c r="AF3052" s="3">
        <v>40382</v>
      </c>
      <c r="AG3052" s="4">
        <v>4.8611111111111112E-2</v>
      </c>
      <c r="AH3052" s="2">
        <v>2</v>
      </c>
      <c r="AI3052" s="2" t="s">
        <v>84</v>
      </c>
      <c r="AJ3052" s="2">
        <v>12</v>
      </c>
      <c r="AK3052" s="2" t="s">
        <v>85</v>
      </c>
      <c r="AL3052" s="2">
        <v>24</v>
      </c>
      <c r="AM3052" s="2" t="s">
        <v>1540</v>
      </c>
      <c r="AN3052" s="2" t="s">
        <v>9990</v>
      </c>
      <c r="AO3052" s="2" t="s">
        <v>9991</v>
      </c>
      <c r="AP3052" s="2">
        <v>11</v>
      </c>
      <c r="AQ3052" s="2" t="s">
        <v>82</v>
      </c>
      <c r="AR3052" s="2"/>
      <c r="AS3052" s="2"/>
      <c r="AT3052" s="2" t="s">
        <v>9992</v>
      </c>
      <c r="AU3052" s="2"/>
      <c r="AV3052" s="2"/>
      <c r="AW3052" s="2"/>
      <c r="AX3052" s="2"/>
      <c r="AY3052" s="2">
        <v>41</v>
      </c>
      <c r="AZ3052" s="2" t="s">
        <v>82</v>
      </c>
      <c r="BA3052" s="2">
        <v>41</v>
      </c>
      <c r="BB3052" s="2" t="s">
        <v>82</v>
      </c>
      <c r="BC3052" s="2">
        <v>41</v>
      </c>
      <c r="BD3052" s="2" t="s">
        <v>82</v>
      </c>
      <c r="BE3052" s="2">
        <v>41</v>
      </c>
      <c r="BF3052" s="2" t="s">
        <v>82</v>
      </c>
      <c r="BG3052" s="2"/>
      <c r="BH3052" s="2"/>
      <c r="BI3052" s="2"/>
      <c r="BJ3052" s="2">
        <v>241</v>
      </c>
      <c r="BK3052" s="2" t="s">
        <v>82</v>
      </c>
      <c r="BL3052" s="2"/>
      <c r="BM3052" s="2">
        <v>241</v>
      </c>
      <c r="BN3052" s="2" t="s">
        <v>82</v>
      </c>
      <c r="BO3052" s="2"/>
      <c r="BP3052" s="2">
        <v>241</v>
      </c>
      <c r="BQ3052" s="2" t="s">
        <v>82</v>
      </c>
      <c r="BR3052" s="2"/>
      <c r="BS3052" s="3">
        <v>40386</v>
      </c>
      <c r="BT3052" s="4">
        <v>0.28728009259259263</v>
      </c>
    </row>
    <row r="3053" spans="1:72" x14ac:dyDescent="0.25">
      <c r="A3053" s="2">
        <v>4505</v>
      </c>
      <c r="B3053" s="2">
        <v>2010</v>
      </c>
      <c r="C3053" s="2" t="s">
        <v>1568</v>
      </c>
      <c r="D3053" s="2" t="s">
        <v>122</v>
      </c>
      <c r="E3053" s="2" t="s">
        <v>9993</v>
      </c>
      <c r="F3053" s="2">
        <v>390</v>
      </c>
      <c r="G3053" s="2" t="s">
        <v>475</v>
      </c>
      <c r="H3053" s="2">
        <v>71</v>
      </c>
      <c r="I3053" s="2" t="s">
        <v>335</v>
      </c>
      <c r="J3053" s="2">
        <v>399</v>
      </c>
      <c r="K3053" s="2" t="s">
        <v>1820</v>
      </c>
      <c r="L3053" s="2" t="s">
        <v>1821</v>
      </c>
      <c r="M3053" s="3">
        <v>40386</v>
      </c>
      <c r="N3053" s="2" t="s">
        <v>7806</v>
      </c>
      <c r="O3053" s="2"/>
      <c r="P3053" s="2"/>
      <c r="Q3053" s="2" t="str">
        <f>"378-E/10"</f>
        <v>378-E/10</v>
      </c>
      <c r="R3053" s="2" t="s">
        <v>9994</v>
      </c>
      <c r="S3053" s="2"/>
      <c r="T3053" s="2">
        <v>1</v>
      </c>
      <c r="U3053" s="2" t="s">
        <v>79</v>
      </c>
      <c r="V3053" s="2">
        <v>1</v>
      </c>
      <c r="W3053" s="2" t="s">
        <v>80</v>
      </c>
      <c r="X3053" s="2">
        <v>1</v>
      </c>
      <c r="Y3053" s="2" t="s">
        <v>81</v>
      </c>
      <c r="Z3053" s="2">
        <v>10</v>
      </c>
      <c r="AA3053" s="2" t="s">
        <v>236</v>
      </c>
      <c r="AB3053" s="2">
        <v>4</v>
      </c>
      <c r="AC3053" s="2" t="s">
        <v>1569</v>
      </c>
      <c r="AD3053" s="3">
        <v>40385</v>
      </c>
      <c r="AE3053" s="4">
        <v>0.875</v>
      </c>
      <c r="AF3053" s="2"/>
      <c r="AG3053" s="2"/>
      <c r="AH3053" s="2">
        <v>2</v>
      </c>
      <c r="AI3053" s="2" t="s">
        <v>84</v>
      </c>
      <c r="AJ3053" s="2">
        <v>9</v>
      </c>
      <c r="AK3053" s="2" t="s">
        <v>103</v>
      </c>
      <c r="AL3053" s="2">
        <v>14</v>
      </c>
      <c r="AM3053" s="2" t="s">
        <v>216</v>
      </c>
      <c r="AN3053" s="2"/>
      <c r="AO3053" s="2" t="s">
        <v>179</v>
      </c>
      <c r="AP3053" s="2">
        <v>11</v>
      </c>
      <c r="AQ3053" s="2" t="s">
        <v>82</v>
      </c>
      <c r="AR3053" s="2"/>
      <c r="AS3053" s="2"/>
      <c r="AT3053" s="2" t="s">
        <v>9995</v>
      </c>
      <c r="AU3053" s="2"/>
      <c r="AV3053" s="2"/>
      <c r="AW3053" s="2"/>
      <c r="AX3053" s="2"/>
      <c r="AY3053" s="2">
        <v>42</v>
      </c>
      <c r="AZ3053" s="2" t="s">
        <v>182</v>
      </c>
      <c r="BA3053" s="2">
        <v>70</v>
      </c>
      <c r="BB3053" s="2" t="s">
        <v>236</v>
      </c>
      <c r="BC3053" s="2">
        <v>70</v>
      </c>
      <c r="BD3053" s="2" t="s">
        <v>236</v>
      </c>
      <c r="BE3053" s="2">
        <v>11</v>
      </c>
      <c r="BF3053" s="2" t="s">
        <v>2404</v>
      </c>
      <c r="BG3053" s="2" t="s">
        <v>9982</v>
      </c>
      <c r="BH3053" s="2"/>
      <c r="BI3053" s="4">
        <v>0.88194444444444453</v>
      </c>
      <c r="BJ3053" s="2">
        <v>13</v>
      </c>
      <c r="BK3053" s="2" t="s">
        <v>91</v>
      </c>
      <c r="BL3053" s="2"/>
      <c r="BM3053" s="2">
        <v>241</v>
      </c>
      <c r="BN3053" s="2" t="s">
        <v>82</v>
      </c>
      <c r="BO3053" s="2"/>
      <c r="BP3053" s="2">
        <v>75</v>
      </c>
      <c r="BQ3053" s="2" t="s">
        <v>1264</v>
      </c>
      <c r="BR3053" s="2" t="s">
        <v>9996</v>
      </c>
      <c r="BS3053" s="3">
        <v>40386</v>
      </c>
      <c r="BT3053" s="4">
        <v>0.33428240740740739</v>
      </c>
    </row>
    <row r="3054" spans="1:72" x14ac:dyDescent="0.25">
      <c r="A3054" s="2">
        <v>4508</v>
      </c>
      <c r="B3054" s="2">
        <v>2010</v>
      </c>
      <c r="C3054" s="2" t="s">
        <v>4543</v>
      </c>
      <c r="D3054" s="2" t="s">
        <v>122</v>
      </c>
      <c r="E3054" s="2"/>
      <c r="F3054" s="2">
        <v>1</v>
      </c>
      <c r="G3054" s="2" t="s">
        <v>82</v>
      </c>
      <c r="H3054" s="2">
        <v>1</v>
      </c>
      <c r="I3054" s="2" t="s">
        <v>82</v>
      </c>
      <c r="J3054" s="2">
        <v>1</v>
      </c>
      <c r="K3054" s="2" t="s">
        <v>107</v>
      </c>
      <c r="L3054" s="2" t="s">
        <v>107</v>
      </c>
      <c r="M3054" s="3">
        <v>40386</v>
      </c>
      <c r="N3054" s="2"/>
      <c r="O3054" s="2"/>
      <c r="P3054" s="2"/>
      <c r="Q3054" s="2" t="str">
        <f>""</f>
        <v/>
      </c>
      <c r="R3054" s="2"/>
      <c r="S3054" s="2"/>
      <c r="T3054" s="2">
        <v>2</v>
      </c>
      <c r="U3054" s="2" t="s">
        <v>123</v>
      </c>
      <c r="V3054" s="2">
        <v>1</v>
      </c>
      <c r="W3054" s="2" t="s">
        <v>80</v>
      </c>
      <c r="X3054" s="2">
        <v>11</v>
      </c>
      <c r="Y3054" s="2" t="s">
        <v>1920</v>
      </c>
      <c r="Z3054" s="2">
        <v>1</v>
      </c>
      <c r="AA3054" s="2" t="s">
        <v>82</v>
      </c>
      <c r="AB3054" s="2">
        <v>9</v>
      </c>
      <c r="AC3054" s="2" t="s">
        <v>124</v>
      </c>
      <c r="AD3054" s="3">
        <v>40386</v>
      </c>
      <c r="AE3054" s="4">
        <v>0.36944444444444446</v>
      </c>
      <c r="AF3054" s="2"/>
      <c r="AG3054" s="2"/>
      <c r="AH3054" s="2">
        <v>6</v>
      </c>
      <c r="AI3054" s="2" t="s">
        <v>197</v>
      </c>
      <c r="AJ3054" s="2">
        <v>54</v>
      </c>
      <c r="AK3054" s="2" t="s">
        <v>348</v>
      </c>
      <c r="AL3054" s="2">
        <v>18</v>
      </c>
      <c r="AM3054" s="2" t="s">
        <v>82</v>
      </c>
      <c r="AN3054" s="2" t="s">
        <v>595</v>
      </c>
      <c r="AO3054" s="2" t="s">
        <v>200</v>
      </c>
      <c r="AP3054" s="2">
        <v>14</v>
      </c>
      <c r="AQ3054" s="2" t="s">
        <v>3301</v>
      </c>
      <c r="AR3054" s="2" t="s">
        <v>596</v>
      </c>
      <c r="AS3054" s="2" t="s">
        <v>596</v>
      </c>
      <c r="AT3054" s="2" t="s">
        <v>9997</v>
      </c>
      <c r="AU3054" s="2"/>
      <c r="AV3054" s="2"/>
      <c r="AW3054" s="2"/>
      <c r="AX3054" s="2"/>
      <c r="AY3054" s="2">
        <v>1</v>
      </c>
      <c r="AZ3054" s="2" t="s">
        <v>107</v>
      </c>
      <c r="BA3054" s="2">
        <v>1</v>
      </c>
      <c r="BB3054" s="2" t="s">
        <v>107</v>
      </c>
      <c r="BC3054" s="2">
        <v>1</v>
      </c>
      <c r="BD3054" s="2" t="s">
        <v>107</v>
      </c>
      <c r="BE3054" s="2">
        <v>4</v>
      </c>
      <c r="BF3054" s="2" t="s">
        <v>90</v>
      </c>
      <c r="BG3054" s="2" t="s">
        <v>5619</v>
      </c>
      <c r="BH3054" s="4">
        <v>0.3263888888888889</v>
      </c>
      <c r="BI3054" s="4">
        <v>0.36944444444444446</v>
      </c>
      <c r="BJ3054" s="2">
        <v>13</v>
      </c>
      <c r="BK3054" s="2" t="s">
        <v>91</v>
      </c>
      <c r="BL3054" s="2" t="s">
        <v>7629</v>
      </c>
      <c r="BM3054" s="2">
        <v>242</v>
      </c>
      <c r="BN3054" s="2" t="s">
        <v>107</v>
      </c>
      <c r="BO3054" s="2" t="s">
        <v>107</v>
      </c>
      <c r="BP3054" s="2">
        <v>242</v>
      </c>
      <c r="BQ3054" s="2" t="s">
        <v>107</v>
      </c>
      <c r="BR3054" s="2" t="s">
        <v>905</v>
      </c>
      <c r="BS3054" s="3">
        <v>40386</v>
      </c>
      <c r="BT3054" s="4">
        <v>0.37460648148148151</v>
      </c>
    </row>
    <row r="3055" spans="1:72" x14ac:dyDescent="0.25">
      <c r="A3055" s="2">
        <v>4509</v>
      </c>
      <c r="B3055" s="2">
        <v>2010</v>
      </c>
      <c r="C3055" s="2" t="s">
        <v>121</v>
      </c>
      <c r="D3055" s="2" t="s">
        <v>122</v>
      </c>
      <c r="E3055" s="2" t="s">
        <v>9998</v>
      </c>
      <c r="F3055" s="2">
        <v>1</v>
      </c>
      <c r="G3055" s="2" t="s">
        <v>82</v>
      </c>
      <c r="H3055" s="2">
        <v>1</v>
      </c>
      <c r="I3055" s="2" t="s">
        <v>82</v>
      </c>
      <c r="J3055" s="2">
        <v>1</v>
      </c>
      <c r="K3055" s="2" t="s">
        <v>107</v>
      </c>
      <c r="L3055" s="2" t="s">
        <v>107</v>
      </c>
      <c r="M3055" s="3">
        <v>40386</v>
      </c>
      <c r="N3055" s="2"/>
      <c r="O3055" s="2"/>
      <c r="P3055" s="2"/>
      <c r="Q3055" s="2" t="str">
        <f>""</f>
        <v/>
      </c>
      <c r="R3055" s="2"/>
      <c r="S3055" s="2"/>
      <c r="T3055" s="2">
        <v>2</v>
      </c>
      <c r="U3055" s="2" t="s">
        <v>123</v>
      </c>
      <c r="V3055" s="2">
        <v>1</v>
      </c>
      <c r="W3055" s="2" t="s">
        <v>80</v>
      </c>
      <c r="X3055" s="2">
        <v>11</v>
      </c>
      <c r="Y3055" s="2" t="s">
        <v>1920</v>
      </c>
      <c r="Z3055" s="2">
        <v>10</v>
      </c>
      <c r="AA3055" s="2" t="s">
        <v>236</v>
      </c>
      <c r="AB3055" s="2">
        <v>9</v>
      </c>
      <c r="AC3055" s="2" t="s">
        <v>124</v>
      </c>
      <c r="AD3055" s="3">
        <v>40386</v>
      </c>
      <c r="AE3055" s="4">
        <v>0.35833333333333334</v>
      </c>
      <c r="AF3055" s="2"/>
      <c r="AG3055" s="2"/>
      <c r="AH3055" s="2">
        <v>2</v>
      </c>
      <c r="AI3055" s="2" t="s">
        <v>84</v>
      </c>
      <c r="AJ3055" s="2">
        <v>12</v>
      </c>
      <c r="AK3055" s="2" t="s">
        <v>85</v>
      </c>
      <c r="AL3055" s="2">
        <v>20</v>
      </c>
      <c r="AM3055" s="2" t="s">
        <v>992</v>
      </c>
      <c r="AN3055" s="2" t="s">
        <v>993</v>
      </c>
      <c r="AO3055" s="2"/>
      <c r="AP3055" s="2">
        <v>11</v>
      </c>
      <c r="AQ3055" s="2" t="s">
        <v>82</v>
      </c>
      <c r="AR3055" s="2"/>
      <c r="AS3055" s="2"/>
      <c r="AT3055" s="2" t="s">
        <v>9999</v>
      </c>
      <c r="AU3055" s="2"/>
      <c r="AV3055" s="2"/>
      <c r="AW3055" s="2"/>
      <c r="AX3055" s="2"/>
      <c r="AY3055" s="2">
        <v>41</v>
      </c>
      <c r="AZ3055" s="2" t="s">
        <v>82</v>
      </c>
      <c r="BA3055" s="2">
        <v>41</v>
      </c>
      <c r="BB3055" s="2" t="s">
        <v>82</v>
      </c>
      <c r="BC3055" s="2">
        <v>70</v>
      </c>
      <c r="BD3055" s="2" t="s">
        <v>236</v>
      </c>
      <c r="BE3055" s="2">
        <v>41</v>
      </c>
      <c r="BF3055" s="2" t="s">
        <v>82</v>
      </c>
      <c r="BG3055" s="2"/>
      <c r="BH3055" s="2"/>
      <c r="BI3055" s="2"/>
      <c r="BJ3055" s="2">
        <v>13</v>
      </c>
      <c r="BK3055" s="2" t="s">
        <v>91</v>
      </c>
      <c r="BL3055" s="2" t="s">
        <v>185</v>
      </c>
      <c r="BM3055" s="2">
        <v>241</v>
      </c>
      <c r="BN3055" s="2" t="s">
        <v>82</v>
      </c>
      <c r="BO3055" s="2"/>
      <c r="BP3055" s="2">
        <v>52</v>
      </c>
      <c r="BQ3055" s="2" t="s">
        <v>3942</v>
      </c>
      <c r="BR3055" s="2" t="s">
        <v>10000</v>
      </c>
      <c r="BS3055" s="3">
        <v>40386</v>
      </c>
      <c r="BT3055" s="4">
        <v>0.38160879629629635</v>
      </c>
    </row>
    <row r="3056" spans="1:72" x14ac:dyDescent="0.25">
      <c r="A3056" s="2">
        <v>4514</v>
      </c>
      <c r="B3056" s="2">
        <v>2010</v>
      </c>
      <c r="C3056" s="2" t="s">
        <v>72</v>
      </c>
      <c r="D3056" s="2" t="s">
        <v>73</v>
      </c>
      <c r="E3056" s="2"/>
      <c r="F3056" s="2">
        <v>649</v>
      </c>
      <c r="G3056" s="2" t="s">
        <v>9141</v>
      </c>
      <c r="H3056" s="2">
        <v>22</v>
      </c>
      <c r="I3056" s="2" t="s">
        <v>75</v>
      </c>
      <c r="J3056" s="2">
        <v>602</v>
      </c>
      <c r="K3056" s="2" t="s">
        <v>9091</v>
      </c>
      <c r="L3056" s="2" t="s">
        <v>9092</v>
      </c>
      <c r="M3056" s="3">
        <v>40386</v>
      </c>
      <c r="N3056" s="2" t="s">
        <v>10001</v>
      </c>
      <c r="O3056" s="2"/>
      <c r="P3056" s="2"/>
      <c r="Q3056" s="2" t="str">
        <f>"290-A/10"</f>
        <v>290-A/10</v>
      </c>
      <c r="R3056" s="2"/>
      <c r="S3056" s="2" t="s">
        <v>78</v>
      </c>
      <c r="T3056" s="2">
        <v>1</v>
      </c>
      <c r="U3056" s="2" t="s">
        <v>79</v>
      </c>
      <c r="V3056" s="2">
        <v>1</v>
      </c>
      <c r="W3056" s="2" t="s">
        <v>80</v>
      </c>
      <c r="X3056" s="2">
        <v>12</v>
      </c>
      <c r="Y3056" s="2" t="s">
        <v>148</v>
      </c>
      <c r="Z3056" s="2">
        <v>1</v>
      </c>
      <c r="AA3056" s="2" t="s">
        <v>82</v>
      </c>
      <c r="AB3056" s="2">
        <v>6</v>
      </c>
      <c r="AC3056" s="2" t="s">
        <v>83</v>
      </c>
      <c r="AD3056" s="3">
        <v>40382</v>
      </c>
      <c r="AE3056" s="2"/>
      <c r="AF3056" s="3">
        <v>40386</v>
      </c>
      <c r="AG3056" s="4">
        <v>0.3888888888888889</v>
      </c>
      <c r="AH3056" s="2">
        <v>2</v>
      </c>
      <c r="AI3056" s="2" t="s">
        <v>84</v>
      </c>
      <c r="AJ3056" s="2">
        <v>12</v>
      </c>
      <c r="AK3056" s="2" t="s">
        <v>85</v>
      </c>
      <c r="AL3056" s="2">
        <v>12</v>
      </c>
      <c r="AM3056" s="2" t="s">
        <v>86</v>
      </c>
      <c r="AN3056" s="2" t="s">
        <v>10002</v>
      </c>
      <c r="AO3056" s="2"/>
      <c r="AP3056" s="2">
        <v>11</v>
      </c>
      <c r="AQ3056" s="2" t="s">
        <v>82</v>
      </c>
      <c r="AR3056" s="2"/>
      <c r="AS3056" s="2"/>
      <c r="AT3056" s="2" t="s">
        <v>10003</v>
      </c>
      <c r="AU3056" s="2"/>
      <c r="AV3056" s="2"/>
      <c r="AW3056" s="2"/>
      <c r="AX3056" s="2"/>
      <c r="AY3056" s="2">
        <v>41</v>
      </c>
      <c r="AZ3056" s="2" t="s">
        <v>82</v>
      </c>
      <c r="BA3056" s="2">
        <v>41</v>
      </c>
      <c r="BB3056" s="2" t="s">
        <v>82</v>
      </c>
      <c r="BC3056" s="2">
        <v>41</v>
      </c>
      <c r="BD3056" s="2" t="s">
        <v>82</v>
      </c>
      <c r="BE3056" s="2">
        <v>41</v>
      </c>
      <c r="BF3056" s="2" t="s">
        <v>82</v>
      </c>
      <c r="BG3056" s="2"/>
      <c r="BH3056" s="2"/>
      <c r="BI3056" s="2"/>
      <c r="BJ3056" s="2">
        <v>241</v>
      </c>
      <c r="BK3056" s="2" t="s">
        <v>82</v>
      </c>
      <c r="BL3056" s="2"/>
      <c r="BM3056" s="2">
        <v>241</v>
      </c>
      <c r="BN3056" s="2" t="s">
        <v>82</v>
      </c>
      <c r="BO3056" s="2"/>
      <c r="BP3056" s="2">
        <v>241</v>
      </c>
      <c r="BQ3056" s="2" t="s">
        <v>82</v>
      </c>
      <c r="BR3056" s="2"/>
      <c r="BS3056" s="3">
        <v>40386</v>
      </c>
      <c r="BT3056" s="4">
        <v>0.50946759259259256</v>
      </c>
    </row>
    <row r="3057" spans="1:72" x14ac:dyDescent="0.25">
      <c r="A3057" s="2">
        <v>4515</v>
      </c>
      <c r="B3057" s="2">
        <v>2010</v>
      </c>
      <c r="C3057" s="2" t="s">
        <v>72</v>
      </c>
      <c r="D3057" s="2" t="s">
        <v>73</v>
      </c>
      <c r="E3057" s="2"/>
      <c r="F3057" s="2">
        <v>540</v>
      </c>
      <c r="G3057" s="2" t="s">
        <v>7178</v>
      </c>
      <c r="H3057" s="2">
        <v>7</v>
      </c>
      <c r="I3057" s="2" t="s">
        <v>476</v>
      </c>
      <c r="J3057" s="2">
        <v>468</v>
      </c>
      <c r="K3057" s="2" t="s">
        <v>1619</v>
      </c>
      <c r="L3057" s="2" t="s">
        <v>1620</v>
      </c>
      <c r="M3057" s="3">
        <v>40386</v>
      </c>
      <c r="N3057" s="2" t="s">
        <v>10004</v>
      </c>
      <c r="O3057" s="2" t="s">
        <v>10005</v>
      </c>
      <c r="P3057" s="2"/>
      <c r="Q3057" s="2" t="str">
        <f>"05-S/10"</f>
        <v>05-S/10</v>
      </c>
      <c r="R3057" s="2"/>
      <c r="S3057" s="2"/>
      <c r="T3057" s="2">
        <v>1</v>
      </c>
      <c r="U3057" s="2" t="s">
        <v>79</v>
      </c>
      <c r="V3057" s="2">
        <v>1</v>
      </c>
      <c r="W3057" s="2" t="s">
        <v>80</v>
      </c>
      <c r="X3057" s="2">
        <v>12</v>
      </c>
      <c r="Y3057" s="2" t="s">
        <v>148</v>
      </c>
      <c r="Z3057" s="2">
        <v>1</v>
      </c>
      <c r="AA3057" s="2" t="s">
        <v>82</v>
      </c>
      <c r="AB3057" s="2">
        <v>6</v>
      </c>
      <c r="AC3057" s="2" t="s">
        <v>83</v>
      </c>
      <c r="AD3057" s="3">
        <v>40385</v>
      </c>
      <c r="AE3057" s="2"/>
      <c r="AF3057" s="3">
        <v>40386</v>
      </c>
      <c r="AG3057" s="4">
        <v>0.34722222222222227</v>
      </c>
      <c r="AH3057" s="2">
        <v>2</v>
      </c>
      <c r="AI3057" s="2" t="s">
        <v>84</v>
      </c>
      <c r="AJ3057" s="2">
        <v>11</v>
      </c>
      <c r="AK3057" s="2" t="s">
        <v>751</v>
      </c>
      <c r="AL3057" s="2">
        <v>25</v>
      </c>
      <c r="AM3057" s="2" t="s">
        <v>3073</v>
      </c>
      <c r="AN3057" s="2" t="s">
        <v>10006</v>
      </c>
      <c r="AO3057" s="2"/>
      <c r="AP3057" s="2">
        <v>11</v>
      </c>
      <c r="AQ3057" s="2" t="s">
        <v>82</v>
      </c>
      <c r="AR3057" s="2"/>
      <c r="AS3057" s="2"/>
      <c r="AT3057" s="2" t="s">
        <v>10007</v>
      </c>
      <c r="AU3057" s="2"/>
      <c r="AV3057" s="2"/>
      <c r="AW3057" s="2"/>
      <c r="AX3057" s="2"/>
      <c r="AY3057" s="2">
        <v>44</v>
      </c>
      <c r="AZ3057" s="2" t="s">
        <v>262</v>
      </c>
      <c r="BA3057" s="2">
        <v>41</v>
      </c>
      <c r="BB3057" s="2" t="s">
        <v>82</v>
      </c>
      <c r="BC3057" s="2">
        <v>41</v>
      </c>
      <c r="BD3057" s="2" t="s">
        <v>82</v>
      </c>
      <c r="BE3057" s="2">
        <v>41</v>
      </c>
      <c r="BF3057" s="2" t="s">
        <v>82</v>
      </c>
      <c r="BG3057" s="2" t="s">
        <v>82</v>
      </c>
      <c r="BH3057" s="2"/>
      <c r="BI3057" s="2"/>
      <c r="BJ3057" s="2">
        <v>241</v>
      </c>
      <c r="BK3057" s="2" t="s">
        <v>82</v>
      </c>
      <c r="BL3057" s="2"/>
      <c r="BM3057" s="2">
        <v>241</v>
      </c>
      <c r="BN3057" s="2" t="s">
        <v>82</v>
      </c>
      <c r="BO3057" s="2"/>
      <c r="BP3057" s="2">
        <v>241</v>
      </c>
      <c r="BQ3057" s="2" t="s">
        <v>82</v>
      </c>
      <c r="BR3057" s="2"/>
      <c r="BS3057" s="3">
        <v>40386</v>
      </c>
      <c r="BT3057" s="4">
        <v>0.51003472222222224</v>
      </c>
    </row>
    <row r="3058" spans="1:72" x14ac:dyDescent="0.25">
      <c r="A3058" s="2">
        <v>4516</v>
      </c>
      <c r="B3058" s="2">
        <v>2010</v>
      </c>
      <c r="C3058" s="2" t="s">
        <v>121</v>
      </c>
      <c r="D3058" s="2" t="s">
        <v>122</v>
      </c>
      <c r="E3058" s="2"/>
      <c r="F3058" s="2">
        <v>1</v>
      </c>
      <c r="G3058" s="2" t="s">
        <v>82</v>
      </c>
      <c r="H3058" s="2">
        <v>1</v>
      </c>
      <c r="I3058" s="2" t="s">
        <v>82</v>
      </c>
      <c r="J3058" s="2">
        <v>1</v>
      </c>
      <c r="K3058" s="2" t="s">
        <v>107</v>
      </c>
      <c r="L3058" s="2" t="s">
        <v>107</v>
      </c>
      <c r="M3058" s="3">
        <v>40386</v>
      </c>
      <c r="N3058" s="2"/>
      <c r="O3058" s="2"/>
      <c r="P3058" s="2"/>
      <c r="Q3058" s="2" t="str">
        <f>""</f>
        <v/>
      </c>
      <c r="R3058" s="2"/>
      <c r="S3058" s="2"/>
      <c r="T3058" s="2">
        <v>2</v>
      </c>
      <c r="U3058" s="2" t="s">
        <v>123</v>
      </c>
      <c r="V3058" s="2">
        <v>1</v>
      </c>
      <c r="W3058" s="2" t="s">
        <v>80</v>
      </c>
      <c r="X3058" s="2">
        <v>11</v>
      </c>
      <c r="Y3058" s="2" t="s">
        <v>1920</v>
      </c>
      <c r="Z3058" s="2">
        <v>1</v>
      </c>
      <c r="AA3058" s="2" t="s">
        <v>82</v>
      </c>
      <c r="AB3058" s="2">
        <v>9</v>
      </c>
      <c r="AC3058" s="2" t="s">
        <v>124</v>
      </c>
      <c r="AD3058" s="3">
        <v>40386</v>
      </c>
      <c r="AE3058" s="4">
        <v>0.41666666666666669</v>
      </c>
      <c r="AF3058" s="2"/>
      <c r="AG3058" s="2"/>
      <c r="AH3058" s="2">
        <v>2</v>
      </c>
      <c r="AI3058" s="2" t="s">
        <v>84</v>
      </c>
      <c r="AJ3058" s="2">
        <v>12</v>
      </c>
      <c r="AK3058" s="2" t="s">
        <v>85</v>
      </c>
      <c r="AL3058" s="2">
        <v>20</v>
      </c>
      <c r="AM3058" s="2" t="s">
        <v>992</v>
      </c>
      <c r="AN3058" s="2"/>
      <c r="AO3058" s="2"/>
      <c r="AP3058" s="2">
        <v>11</v>
      </c>
      <c r="AQ3058" s="2" t="s">
        <v>82</v>
      </c>
      <c r="AR3058" s="2"/>
      <c r="AS3058" s="2"/>
      <c r="AT3058" s="2" t="s">
        <v>10008</v>
      </c>
      <c r="AU3058" s="2"/>
      <c r="AV3058" s="2"/>
      <c r="AW3058" s="2"/>
      <c r="AX3058" s="2"/>
      <c r="AY3058" s="2">
        <v>41</v>
      </c>
      <c r="AZ3058" s="2" t="s">
        <v>82</v>
      </c>
      <c r="BA3058" s="2">
        <v>41</v>
      </c>
      <c r="BB3058" s="2" t="s">
        <v>82</v>
      </c>
      <c r="BC3058" s="2">
        <v>41</v>
      </c>
      <c r="BD3058" s="2" t="s">
        <v>82</v>
      </c>
      <c r="BE3058" s="2">
        <v>41</v>
      </c>
      <c r="BF3058" s="2" t="s">
        <v>82</v>
      </c>
      <c r="BG3058" s="2"/>
      <c r="BH3058" s="2"/>
      <c r="BI3058" s="2"/>
      <c r="BJ3058" s="2">
        <v>241</v>
      </c>
      <c r="BK3058" s="2" t="s">
        <v>82</v>
      </c>
      <c r="BL3058" s="2"/>
      <c r="BM3058" s="2">
        <v>241</v>
      </c>
      <c r="BN3058" s="2" t="s">
        <v>82</v>
      </c>
      <c r="BO3058" s="2"/>
      <c r="BP3058" s="2">
        <v>241</v>
      </c>
      <c r="BQ3058" s="2" t="s">
        <v>82</v>
      </c>
      <c r="BR3058" s="2"/>
      <c r="BS3058" s="3">
        <v>40386</v>
      </c>
      <c r="BT3058" s="4">
        <v>0.51800925925925922</v>
      </c>
    </row>
    <row r="3059" spans="1:72" x14ac:dyDescent="0.25">
      <c r="A3059" s="2">
        <v>4518</v>
      </c>
      <c r="B3059" s="2">
        <v>2010</v>
      </c>
      <c r="C3059" s="2" t="s">
        <v>171</v>
      </c>
      <c r="D3059" s="2" t="s">
        <v>73</v>
      </c>
      <c r="E3059" s="2"/>
      <c r="F3059" s="2">
        <v>399</v>
      </c>
      <c r="G3059" s="2" t="s">
        <v>587</v>
      </c>
      <c r="H3059" s="2">
        <v>15</v>
      </c>
      <c r="I3059" s="2" t="s">
        <v>130</v>
      </c>
      <c r="J3059" s="2">
        <v>241</v>
      </c>
      <c r="K3059" s="2" t="s">
        <v>174</v>
      </c>
      <c r="L3059" s="2" t="s">
        <v>175</v>
      </c>
      <c r="M3059" s="3">
        <v>40386</v>
      </c>
      <c r="N3059" s="2" t="s">
        <v>10009</v>
      </c>
      <c r="O3059" s="2"/>
      <c r="P3059" s="2"/>
      <c r="Q3059" s="2" t="str">
        <f>"380-E/10"</f>
        <v>380-E/10</v>
      </c>
      <c r="R3059" s="2" t="s">
        <v>391</v>
      </c>
      <c r="S3059" s="2" t="s">
        <v>391</v>
      </c>
      <c r="T3059" s="2">
        <v>1</v>
      </c>
      <c r="U3059" s="2" t="s">
        <v>79</v>
      </c>
      <c r="V3059" s="2">
        <v>1</v>
      </c>
      <c r="W3059" s="2" t="s">
        <v>80</v>
      </c>
      <c r="X3059" s="2">
        <v>1</v>
      </c>
      <c r="Y3059" s="2" t="s">
        <v>81</v>
      </c>
      <c r="Z3059" s="2">
        <v>1</v>
      </c>
      <c r="AA3059" s="2" t="s">
        <v>82</v>
      </c>
      <c r="AB3059" s="2">
        <v>1</v>
      </c>
      <c r="AC3059" s="2" t="s">
        <v>178</v>
      </c>
      <c r="AD3059" s="3">
        <v>40386</v>
      </c>
      <c r="AE3059" s="4">
        <v>0.50694444444444442</v>
      </c>
      <c r="AF3059" s="2"/>
      <c r="AG3059" s="2"/>
      <c r="AH3059" s="2">
        <v>2</v>
      </c>
      <c r="AI3059" s="2" t="s">
        <v>84</v>
      </c>
      <c r="AJ3059" s="2">
        <v>9</v>
      </c>
      <c r="AK3059" s="2" t="s">
        <v>103</v>
      </c>
      <c r="AL3059" s="2">
        <v>25</v>
      </c>
      <c r="AM3059" s="2" t="s">
        <v>3073</v>
      </c>
      <c r="AN3059" s="2" t="s">
        <v>10010</v>
      </c>
      <c r="AO3059" s="2" t="s">
        <v>987</v>
      </c>
      <c r="AP3059" s="2">
        <v>11</v>
      </c>
      <c r="AQ3059" s="2" t="s">
        <v>82</v>
      </c>
      <c r="AR3059" s="2"/>
      <c r="AS3059" s="2"/>
      <c r="AT3059" s="2" t="s">
        <v>10011</v>
      </c>
      <c r="AU3059" s="2"/>
      <c r="AV3059" s="2">
        <v>1</v>
      </c>
      <c r="AW3059" s="2"/>
      <c r="AX3059" s="2"/>
      <c r="AY3059" s="2">
        <v>41</v>
      </c>
      <c r="AZ3059" s="2" t="s">
        <v>82</v>
      </c>
      <c r="BA3059" s="2">
        <v>41</v>
      </c>
      <c r="BB3059" s="2" t="s">
        <v>82</v>
      </c>
      <c r="BC3059" s="2">
        <v>41</v>
      </c>
      <c r="BD3059" s="2" t="s">
        <v>82</v>
      </c>
      <c r="BE3059" s="2">
        <v>31</v>
      </c>
      <c r="BF3059" s="2" t="s">
        <v>398</v>
      </c>
      <c r="BG3059" s="2" t="s">
        <v>399</v>
      </c>
      <c r="BH3059" s="2"/>
      <c r="BI3059" s="4">
        <v>0.53472222222222221</v>
      </c>
      <c r="BJ3059" s="2">
        <v>13</v>
      </c>
      <c r="BK3059" s="2" t="s">
        <v>91</v>
      </c>
      <c r="BL3059" s="2" t="s">
        <v>360</v>
      </c>
      <c r="BM3059" s="2">
        <v>241</v>
      </c>
      <c r="BN3059" s="2" t="s">
        <v>82</v>
      </c>
      <c r="BO3059" s="2"/>
      <c r="BP3059" s="2">
        <v>73</v>
      </c>
      <c r="BQ3059" s="2" t="s">
        <v>186</v>
      </c>
      <c r="BR3059" s="2" t="s">
        <v>187</v>
      </c>
      <c r="BS3059" s="3">
        <v>40386</v>
      </c>
      <c r="BT3059" s="4">
        <v>0.60129629629629633</v>
      </c>
    </row>
    <row r="3060" spans="1:72" x14ac:dyDescent="0.25">
      <c r="A3060" s="2">
        <v>4519</v>
      </c>
      <c r="B3060" s="2">
        <v>2010</v>
      </c>
      <c r="C3060" s="2" t="s">
        <v>171</v>
      </c>
      <c r="D3060" s="2" t="s">
        <v>73</v>
      </c>
      <c r="E3060" s="2"/>
      <c r="F3060" s="2">
        <v>399</v>
      </c>
      <c r="G3060" s="2" t="s">
        <v>587</v>
      </c>
      <c r="H3060" s="2">
        <v>15</v>
      </c>
      <c r="I3060" s="2" t="s">
        <v>130</v>
      </c>
      <c r="J3060" s="2">
        <v>241</v>
      </c>
      <c r="K3060" s="2" t="s">
        <v>174</v>
      </c>
      <c r="L3060" s="2" t="s">
        <v>175</v>
      </c>
      <c r="M3060" s="3">
        <v>40386</v>
      </c>
      <c r="N3060" s="2" t="s">
        <v>10012</v>
      </c>
      <c r="O3060" s="2" t="s">
        <v>10013</v>
      </c>
      <c r="P3060" s="2" t="s">
        <v>107</v>
      </c>
      <c r="Q3060" s="2" t="str">
        <f>"0005R/10"</f>
        <v>0005R/10</v>
      </c>
      <c r="R3060" s="2" t="s">
        <v>82</v>
      </c>
      <c r="S3060" s="2" t="s">
        <v>10013</v>
      </c>
      <c r="T3060" s="2">
        <v>1</v>
      </c>
      <c r="U3060" s="2" t="s">
        <v>79</v>
      </c>
      <c r="V3060" s="2">
        <v>1</v>
      </c>
      <c r="W3060" s="2" t="s">
        <v>80</v>
      </c>
      <c r="X3060" s="2">
        <v>12</v>
      </c>
      <c r="Y3060" s="2" t="s">
        <v>148</v>
      </c>
      <c r="Z3060" s="2">
        <v>1</v>
      </c>
      <c r="AA3060" s="2" t="s">
        <v>82</v>
      </c>
      <c r="AB3060" s="2">
        <v>1</v>
      </c>
      <c r="AC3060" s="2" t="s">
        <v>178</v>
      </c>
      <c r="AD3060" s="3">
        <v>40384</v>
      </c>
      <c r="AE3060" s="2"/>
      <c r="AF3060" s="3">
        <v>40385</v>
      </c>
      <c r="AG3060" s="4">
        <v>0.86458333333333337</v>
      </c>
      <c r="AH3060" s="2">
        <v>2</v>
      </c>
      <c r="AI3060" s="2" t="s">
        <v>84</v>
      </c>
      <c r="AJ3060" s="2">
        <v>5</v>
      </c>
      <c r="AK3060" s="2" t="s">
        <v>84</v>
      </c>
      <c r="AL3060" s="2">
        <v>19</v>
      </c>
      <c r="AM3060" s="2" t="s">
        <v>107</v>
      </c>
      <c r="AN3060" s="2" t="s">
        <v>82</v>
      </c>
      <c r="AO3060" s="2" t="s">
        <v>10014</v>
      </c>
      <c r="AP3060" s="2">
        <v>11</v>
      </c>
      <c r="AQ3060" s="2" t="s">
        <v>82</v>
      </c>
      <c r="AR3060" s="2"/>
      <c r="AS3060" s="2"/>
      <c r="AT3060" s="2" t="s">
        <v>10015</v>
      </c>
      <c r="AU3060" s="2"/>
      <c r="AV3060" s="2"/>
      <c r="AW3060" s="2"/>
      <c r="AX3060" s="2"/>
      <c r="AY3060" s="2">
        <v>41</v>
      </c>
      <c r="AZ3060" s="2" t="s">
        <v>82</v>
      </c>
      <c r="BA3060" s="2">
        <v>70</v>
      </c>
      <c r="BB3060" s="2" t="s">
        <v>236</v>
      </c>
      <c r="BC3060" s="2">
        <v>41</v>
      </c>
      <c r="BD3060" s="2" t="s">
        <v>82</v>
      </c>
      <c r="BE3060" s="2">
        <v>41</v>
      </c>
      <c r="BF3060" s="2" t="s">
        <v>82</v>
      </c>
      <c r="BG3060" s="2"/>
      <c r="BH3060" s="2"/>
      <c r="BI3060" s="2"/>
      <c r="BJ3060" s="2">
        <v>241</v>
      </c>
      <c r="BK3060" s="2" t="s">
        <v>82</v>
      </c>
      <c r="BL3060" s="2"/>
      <c r="BM3060" s="2">
        <v>241</v>
      </c>
      <c r="BN3060" s="2" t="s">
        <v>82</v>
      </c>
      <c r="BO3060" s="2"/>
      <c r="BP3060" s="2">
        <v>241</v>
      </c>
      <c r="BQ3060" s="2" t="s">
        <v>82</v>
      </c>
      <c r="BR3060" s="2"/>
      <c r="BS3060" s="3">
        <v>40386</v>
      </c>
      <c r="BT3060" s="4">
        <v>0.62753472222222217</v>
      </c>
    </row>
    <row r="3061" spans="1:72" x14ac:dyDescent="0.25">
      <c r="A3061" s="2">
        <v>4525</v>
      </c>
      <c r="B3061" s="2">
        <v>2010</v>
      </c>
      <c r="C3061" s="2" t="s">
        <v>806</v>
      </c>
      <c r="D3061" s="2" t="s">
        <v>73</v>
      </c>
      <c r="E3061" s="2"/>
      <c r="F3061" s="2">
        <v>658</v>
      </c>
      <c r="G3061" s="2" t="s">
        <v>10016</v>
      </c>
      <c r="H3061" s="2">
        <v>101</v>
      </c>
      <c r="I3061" s="2" t="s">
        <v>6441</v>
      </c>
      <c r="J3061" s="2">
        <v>632</v>
      </c>
      <c r="K3061" s="2" t="s">
        <v>10017</v>
      </c>
      <c r="L3061" s="2" t="s">
        <v>10018</v>
      </c>
      <c r="M3061" s="3">
        <v>40386</v>
      </c>
      <c r="N3061" s="2"/>
      <c r="O3061" s="2" t="s">
        <v>10019</v>
      </c>
      <c r="P3061" s="2" t="s">
        <v>10020</v>
      </c>
      <c r="Q3061" s="2" t="str">
        <f>"N/C"</f>
        <v>N/C</v>
      </c>
      <c r="R3061" s="2" t="s">
        <v>82</v>
      </c>
      <c r="S3061" s="2" t="s">
        <v>82</v>
      </c>
      <c r="T3061" s="2">
        <v>1</v>
      </c>
      <c r="U3061" s="2" t="s">
        <v>79</v>
      </c>
      <c r="V3061" s="2">
        <v>3</v>
      </c>
      <c r="W3061" s="2" t="s">
        <v>225</v>
      </c>
      <c r="X3061" s="2">
        <v>6</v>
      </c>
      <c r="Y3061" s="2" t="s">
        <v>249</v>
      </c>
      <c r="Z3061" s="2">
        <v>1</v>
      </c>
      <c r="AA3061" s="2" t="s">
        <v>82</v>
      </c>
      <c r="AB3061" s="2">
        <v>9</v>
      </c>
      <c r="AC3061" s="2" t="s">
        <v>124</v>
      </c>
      <c r="AD3061" s="3">
        <v>40382</v>
      </c>
      <c r="AE3061" s="2"/>
      <c r="AF3061" s="2"/>
      <c r="AG3061" s="2"/>
      <c r="AH3061" s="2">
        <v>3</v>
      </c>
      <c r="AI3061" s="2" t="s">
        <v>214</v>
      </c>
      <c r="AJ3061" s="2">
        <v>14</v>
      </c>
      <c r="AK3061" s="2" t="s">
        <v>342</v>
      </c>
      <c r="AL3061" s="2">
        <v>23</v>
      </c>
      <c r="AM3061" s="2" t="s">
        <v>251</v>
      </c>
      <c r="AN3061" s="2" t="s">
        <v>10021</v>
      </c>
      <c r="AO3061" s="2" t="s">
        <v>82</v>
      </c>
      <c r="AP3061" s="2">
        <v>11</v>
      </c>
      <c r="AQ3061" s="2" t="s">
        <v>82</v>
      </c>
      <c r="AR3061" s="2"/>
      <c r="AS3061" s="2"/>
      <c r="AT3061" s="2" t="s">
        <v>10022</v>
      </c>
      <c r="AU3061" s="2"/>
      <c r="AV3061" s="2"/>
      <c r="AW3061" s="2"/>
      <c r="AX3061" s="2"/>
      <c r="AY3061" s="2">
        <v>41</v>
      </c>
      <c r="AZ3061" s="2" t="s">
        <v>82</v>
      </c>
      <c r="BA3061" s="2">
        <v>41</v>
      </c>
      <c r="BB3061" s="2" t="s">
        <v>82</v>
      </c>
      <c r="BC3061" s="2">
        <v>41</v>
      </c>
      <c r="BD3061" s="2" t="s">
        <v>82</v>
      </c>
      <c r="BE3061" s="2">
        <v>41</v>
      </c>
      <c r="BF3061" s="2" t="s">
        <v>82</v>
      </c>
      <c r="BG3061" s="2"/>
      <c r="BH3061" s="2"/>
      <c r="BI3061" s="2"/>
      <c r="BJ3061" s="2">
        <v>241</v>
      </c>
      <c r="BK3061" s="2" t="s">
        <v>82</v>
      </c>
      <c r="BL3061" s="2"/>
      <c r="BM3061" s="2">
        <v>241</v>
      </c>
      <c r="BN3061" s="2" t="s">
        <v>82</v>
      </c>
      <c r="BO3061" s="2"/>
      <c r="BP3061" s="2">
        <v>241</v>
      </c>
      <c r="BQ3061" s="2" t="s">
        <v>82</v>
      </c>
      <c r="BR3061" s="2"/>
      <c r="BS3061" s="3">
        <v>40386</v>
      </c>
      <c r="BT3061" s="4">
        <v>0.73621527777777773</v>
      </c>
    </row>
    <row r="3062" spans="1:72" x14ac:dyDescent="0.25">
      <c r="A3062" s="2">
        <v>4528</v>
      </c>
      <c r="B3062" s="2">
        <v>2010</v>
      </c>
      <c r="C3062" s="2" t="s">
        <v>121</v>
      </c>
      <c r="D3062" s="2" t="s">
        <v>122</v>
      </c>
      <c r="E3062" s="2"/>
      <c r="F3062" s="2">
        <v>1</v>
      </c>
      <c r="G3062" s="2" t="s">
        <v>82</v>
      </c>
      <c r="H3062" s="2">
        <v>1</v>
      </c>
      <c r="I3062" s="2" t="s">
        <v>82</v>
      </c>
      <c r="J3062" s="2">
        <v>1</v>
      </c>
      <c r="K3062" s="2" t="s">
        <v>107</v>
      </c>
      <c r="L3062" s="2" t="s">
        <v>107</v>
      </c>
      <c r="M3062" s="3">
        <v>40386</v>
      </c>
      <c r="N3062" s="2"/>
      <c r="O3062" s="2"/>
      <c r="P3062" s="2"/>
      <c r="Q3062" s="2" t="str">
        <f>""</f>
        <v/>
      </c>
      <c r="R3062" s="2"/>
      <c r="S3062" s="2"/>
      <c r="T3062" s="2">
        <v>2</v>
      </c>
      <c r="U3062" s="2" t="s">
        <v>123</v>
      </c>
      <c r="V3062" s="2">
        <v>1</v>
      </c>
      <c r="W3062" s="2" t="s">
        <v>80</v>
      </c>
      <c r="X3062" s="2">
        <v>11</v>
      </c>
      <c r="Y3062" s="2" t="s">
        <v>1920</v>
      </c>
      <c r="Z3062" s="2">
        <v>1</v>
      </c>
      <c r="AA3062" s="2" t="s">
        <v>82</v>
      </c>
      <c r="AB3062" s="2">
        <v>9</v>
      </c>
      <c r="AC3062" s="2" t="s">
        <v>124</v>
      </c>
      <c r="AD3062" s="3">
        <v>40386</v>
      </c>
      <c r="AE3062" s="2"/>
      <c r="AF3062" s="2"/>
      <c r="AG3062" s="2"/>
      <c r="AH3062" s="2">
        <v>2</v>
      </c>
      <c r="AI3062" s="2" t="s">
        <v>84</v>
      </c>
      <c r="AJ3062" s="2">
        <v>12</v>
      </c>
      <c r="AK3062" s="2" t="s">
        <v>85</v>
      </c>
      <c r="AL3062" s="2">
        <v>20</v>
      </c>
      <c r="AM3062" s="2" t="s">
        <v>992</v>
      </c>
      <c r="AN3062" s="2"/>
      <c r="AO3062" s="2"/>
      <c r="AP3062" s="2">
        <v>11</v>
      </c>
      <c r="AQ3062" s="2" t="s">
        <v>82</v>
      </c>
      <c r="AR3062" s="2"/>
      <c r="AS3062" s="2"/>
      <c r="AT3062" s="2" t="s">
        <v>10023</v>
      </c>
      <c r="AU3062" s="2"/>
      <c r="AV3062" s="2"/>
      <c r="AW3062" s="2"/>
      <c r="AX3062" s="2"/>
      <c r="AY3062" s="2">
        <v>41</v>
      </c>
      <c r="AZ3062" s="2" t="s">
        <v>82</v>
      </c>
      <c r="BA3062" s="2">
        <v>41</v>
      </c>
      <c r="BB3062" s="2" t="s">
        <v>82</v>
      </c>
      <c r="BC3062" s="2">
        <v>41</v>
      </c>
      <c r="BD3062" s="2" t="s">
        <v>82</v>
      </c>
      <c r="BE3062" s="2">
        <v>41</v>
      </c>
      <c r="BF3062" s="2" t="s">
        <v>82</v>
      </c>
      <c r="BG3062" s="2"/>
      <c r="BH3062" s="2"/>
      <c r="BI3062" s="2"/>
      <c r="BJ3062" s="2">
        <v>241</v>
      </c>
      <c r="BK3062" s="2" t="s">
        <v>82</v>
      </c>
      <c r="BL3062" s="2"/>
      <c r="BM3062" s="2">
        <v>241</v>
      </c>
      <c r="BN3062" s="2" t="s">
        <v>82</v>
      </c>
      <c r="BO3062" s="2"/>
      <c r="BP3062" s="2">
        <v>241</v>
      </c>
      <c r="BQ3062" s="2" t="s">
        <v>82</v>
      </c>
      <c r="BR3062" s="2"/>
      <c r="BS3062" s="3">
        <v>40386</v>
      </c>
      <c r="BT3062" s="4">
        <v>0.8025810185185186</v>
      </c>
    </row>
    <row r="3063" spans="1:72" x14ac:dyDescent="0.25">
      <c r="A3063" s="2">
        <v>4529</v>
      </c>
      <c r="B3063" s="2">
        <v>2010</v>
      </c>
      <c r="C3063" s="2" t="s">
        <v>4543</v>
      </c>
      <c r="D3063" s="2" t="s">
        <v>122</v>
      </c>
      <c r="E3063" s="2"/>
      <c r="F3063" s="2">
        <v>1</v>
      </c>
      <c r="G3063" s="2" t="s">
        <v>82</v>
      </c>
      <c r="H3063" s="2">
        <v>1</v>
      </c>
      <c r="I3063" s="2" t="s">
        <v>82</v>
      </c>
      <c r="J3063" s="2">
        <v>1</v>
      </c>
      <c r="K3063" s="2" t="s">
        <v>107</v>
      </c>
      <c r="L3063" s="2" t="s">
        <v>107</v>
      </c>
      <c r="M3063" s="3">
        <v>40386</v>
      </c>
      <c r="N3063" s="2"/>
      <c r="O3063" s="2"/>
      <c r="P3063" s="2"/>
      <c r="Q3063" s="2" t="str">
        <f>""</f>
        <v/>
      </c>
      <c r="R3063" s="2"/>
      <c r="S3063" s="2"/>
      <c r="T3063" s="2">
        <v>2</v>
      </c>
      <c r="U3063" s="2" t="s">
        <v>123</v>
      </c>
      <c r="V3063" s="2">
        <v>1</v>
      </c>
      <c r="W3063" s="2" t="s">
        <v>80</v>
      </c>
      <c r="X3063" s="2">
        <v>4</v>
      </c>
      <c r="Y3063" s="2" t="s">
        <v>463</v>
      </c>
      <c r="Z3063" s="2">
        <v>4</v>
      </c>
      <c r="AA3063" s="2" t="s">
        <v>182</v>
      </c>
      <c r="AB3063" s="2">
        <v>9</v>
      </c>
      <c r="AC3063" s="2" t="s">
        <v>124</v>
      </c>
      <c r="AD3063" s="3">
        <v>40386</v>
      </c>
      <c r="AE3063" s="4">
        <v>0.73611111111111116</v>
      </c>
      <c r="AF3063" s="2"/>
      <c r="AG3063" s="2"/>
      <c r="AH3063" s="2">
        <v>6</v>
      </c>
      <c r="AI3063" s="2" t="s">
        <v>197</v>
      </c>
      <c r="AJ3063" s="2">
        <v>50</v>
      </c>
      <c r="AK3063" s="2" t="s">
        <v>330</v>
      </c>
      <c r="AL3063" s="2">
        <v>11</v>
      </c>
      <c r="AM3063" s="2" t="s">
        <v>137</v>
      </c>
      <c r="AN3063" s="2"/>
      <c r="AO3063" s="2"/>
      <c r="AP3063" s="2">
        <v>11</v>
      </c>
      <c r="AQ3063" s="2" t="s">
        <v>82</v>
      </c>
      <c r="AR3063" s="2"/>
      <c r="AS3063" s="2"/>
      <c r="AT3063" s="2" t="s">
        <v>10024</v>
      </c>
      <c r="AU3063" s="2"/>
      <c r="AV3063" s="2"/>
      <c r="AW3063" s="2"/>
      <c r="AX3063" s="2"/>
      <c r="AY3063" s="2">
        <v>1</v>
      </c>
      <c r="AZ3063" s="2" t="s">
        <v>107</v>
      </c>
      <c r="BA3063" s="2">
        <v>1</v>
      </c>
      <c r="BB3063" s="2" t="s">
        <v>107</v>
      </c>
      <c r="BC3063" s="2">
        <v>1</v>
      </c>
      <c r="BD3063" s="2" t="s">
        <v>107</v>
      </c>
      <c r="BE3063" s="2">
        <v>47</v>
      </c>
      <c r="BF3063" s="2" t="s">
        <v>167</v>
      </c>
      <c r="BG3063" s="2">
        <v>2675</v>
      </c>
      <c r="BH3063" s="4">
        <v>0.70833333333333337</v>
      </c>
      <c r="BI3063" s="4">
        <v>0.73611111111111116</v>
      </c>
      <c r="BJ3063" s="2">
        <v>13</v>
      </c>
      <c r="BK3063" s="2" t="s">
        <v>91</v>
      </c>
      <c r="BL3063" s="2" t="s">
        <v>1199</v>
      </c>
      <c r="BM3063" s="2">
        <v>242</v>
      </c>
      <c r="BN3063" s="2" t="s">
        <v>107</v>
      </c>
      <c r="BO3063" s="2"/>
      <c r="BP3063" s="2">
        <v>242</v>
      </c>
      <c r="BQ3063" s="2" t="s">
        <v>107</v>
      </c>
      <c r="BR3063" s="2" t="s">
        <v>170</v>
      </c>
      <c r="BS3063" s="3">
        <v>40386</v>
      </c>
      <c r="BT3063" s="4">
        <v>0.81597222222222221</v>
      </c>
    </row>
    <row r="3064" spans="1:72" x14ac:dyDescent="0.25">
      <c r="A3064" s="2">
        <v>4532</v>
      </c>
      <c r="B3064" s="2">
        <v>2010</v>
      </c>
      <c r="C3064" s="2" t="s">
        <v>72</v>
      </c>
      <c r="D3064" s="2" t="s">
        <v>73</v>
      </c>
      <c r="E3064" s="2"/>
      <c r="F3064" s="2">
        <v>481</v>
      </c>
      <c r="G3064" s="2" t="s">
        <v>1438</v>
      </c>
      <c r="H3064" s="2">
        <v>1</v>
      </c>
      <c r="I3064" s="2" t="s">
        <v>82</v>
      </c>
      <c r="J3064" s="2">
        <v>1</v>
      </c>
      <c r="K3064" s="2" t="s">
        <v>107</v>
      </c>
      <c r="L3064" s="2" t="s">
        <v>107</v>
      </c>
      <c r="M3064" s="3">
        <v>40386</v>
      </c>
      <c r="N3064" s="2" t="s">
        <v>10025</v>
      </c>
      <c r="O3064" s="2" t="s">
        <v>107</v>
      </c>
      <c r="P3064" s="2" t="s">
        <v>107</v>
      </c>
      <c r="Q3064" s="2" t="str">
        <f>"36/10"</f>
        <v>36/10</v>
      </c>
      <c r="R3064" s="2" t="s">
        <v>7781</v>
      </c>
      <c r="S3064" s="2" t="s">
        <v>10026</v>
      </c>
      <c r="T3064" s="2">
        <v>1</v>
      </c>
      <c r="U3064" s="2" t="s">
        <v>79</v>
      </c>
      <c r="V3064" s="2">
        <v>1</v>
      </c>
      <c r="W3064" s="2" t="s">
        <v>80</v>
      </c>
      <c r="X3064" s="2">
        <v>12</v>
      </c>
      <c r="Y3064" s="2" t="s">
        <v>148</v>
      </c>
      <c r="Z3064" s="2">
        <v>1</v>
      </c>
      <c r="AA3064" s="2" t="s">
        <v>82</v>
      </c>
      <c r="AB3064" s="2">
        <v>6</v>
      </c>
      <c r="AC3064" s="2" t="s">
        <v>83</v>
      </c>
      <c r="AD3064" s="3">
        <v>40386</v>
      </c>
      <c r="AE3064" s="2"/>
      <c r="AF3064" s="3">
        <v>40386</v>
      </c>
      <c r="AG3064" s="4">
        <v>0.73888888888888893</v>
      </c>
      <c r="AH3064" s="2">
        <v>3</v>
      </c>
      <c r="AI3064" s="2" t="s">
        <v>214</v>
      </c>
      <c r="AJ3064" s="2">
        <v>17</v>
      </c>
      <c r="AK3064" s="2" t="s">
        <v>309</v>
      </c>
      <c r="AL3064" s="2">
        <v>22</v>
      </c>
      <c r="AM3064" s="2" t="s">
        <v>1853</v>
      </c>
      <c r="AN3064" s="2" t="s">
        <v>82</v>
      </c>
      <c r="AO3064" s="2" t="s">
        <v>82</v>
      </c>
      <c r="AP3064" s="2">
        <v>11</v>
      </c>
      <c r="AQ3064" s="2" t="s">
        <v>82</v>
      </c>
      <c r="AR3064" s="2" t="s">
        <v>82</v>
      </c>
      <c r="AS3064" s="2" t="s">
        <v>82</v>
      </c>
      <c r="AT3064" s="2" t="s">
        <v>10027</v>
      </c>
      <c r="AU3064" s="2"/>
      <c r="AV3064" s="2"/>
      <c r="AW3064" s="2"/>
      <c r="AX3064" s="2"/>
      <c r="AY3064" s="2">
        <v>41</v>
      </c>
      <c r="AZ3064" s="2" t="s">
        <v>82</v>
      </c>
      <c r="BA3064" s="2">
        <v>41</v>
      </c>
      <c r="BB3064" s="2" t="s">
        <v>82</v>
      </c>
      <c r="BC3064" s="2">
        <v>41</v>
      </c>
      <c r="BD3064" s="2" t="s">
        <v>82</v>
      </c>
      <c r="BE3064" s="2">
        <v>13</v>
      </c>
      <c r="BF3064" s="2" t="s">
        <v>108</v>
      </c>
      <c r="BG3064" s="2">
        <v>2408</v>
      </c>
      <c r="BH3064" s="4">
        <v>0.44097222222222227</v>
      </c>
      <c r="BI3064" s="4">
        <v>0.34375</v>
      </c>
      <c r="BJ3064" s="2">
        <v>13</v>
      </c>
      <c r="BK3064" s="2" t="s">
        <v>91</v>
      </c>
      <c r="BL3064" s="2" t="s">
        <v>9724</v>
      </c>
      <c r="BM3064" s="2">
        <v>241</v>
      </c>
      <c r="BN3064" s="2" t="s">
        <v>82</v>
      </c>
      <c r="BO3064" s="2" t="s">
        <v>82</v>
      </c>
      <c r="BP3064" s="2">
        <v>13</v>
      </c>
      <c r="BQ3064" s="2" t="s">
        <v>91</v>
      </c>
      <c r="BR3064" s="2" t="s">
        <v>445</v>
      </c>
      <c r="BS3064" s="3">
        <v>40386</v>
      </c>
      <c r="BT3064" s="4">
        <v>0.85362268518518514</v>
      </c>
    </row>
    <row r="3065" spans="1:72" x14ac:dyDescent="0.25">
      <c r="A3065" s="2">
        <v>4533</v>
      </c>
      <c r="B3065" s="2">
        <v>2010</v>
      </c>
      <c r="C3065" s="2" t="s">
        <v>121</v>
      </c>
      <c r="D3065" s="2" t="s">
        <v>122</v>
      </c>
      <c r="E3065" s="2"/>
      <c r="F3065" s="2">
        <v>1</v>
      </c>
      <c r="G3065" s="2" t="s">
        <v>82</v>
      </c>
      <c r="H3065" s="2">
        <v>1</v>
      </c>
      <c r="I3065" s="2" t="s">
        <v>82</v>
      </c>
      <c r="J3065" s="2">
        <v>1</v>
      </c>
      <c r="K3065" s="2" t="s">
        <v>107</v>
      </c>
      <c r="L3065" s="2" t="s">
        <v>107</v>
      </c>
      <c r="M3065" s="3">
        <v>40386</v>
      </c>
      <c r="N3065" s="2"/>
      <c r="O3065" s="2"/>
      <c r="P3065" s="2"/>
      <c r="Q3065" s="2" t="str">
        <f>""</f>
        <v/>
      </c>
      <c r="R3065" s="2"/>
      <c r="S3065" s="2"/>
      <c r="T3065" s="2">
        <v>2</v>
      </c>
      <c r="U3065" s="2" t="s">
        <v>123</v>
      </c>
      <c r="V3065" s="2">
        <v>1</v>
      </c>
      <c r="W3065" s="2" t="s">
        <v>80</v>
      </c>
      <c r="X3065" s="2">
        <v>11</v>
      </c>
      <c r="Y3065" s="2" t="s">
        <v>1920</v>
      </c>
      <c r="Z3065" s="2">
        <v>10</v>
      </c>
      <c r="AA3065" s="2" t="s">
        <v>236</v>
      </c>
      <c r="AB3065" s="2">
        <v>9</v>
      </c>
      <c r="AC3065" s="2" t="s">
        <v>124</v>
      </c>
      <c r="AD3065" s="3">
        <v>40386</v>
      </c>
      <c r="AE3065" s="4">
        <v>0.79166666666666663</v>
      </c>
      <c r="AF3065" s="2"/>
      <c r="AG3065" s="2"/>
      <c r="AH3065" s="2">
        <v>2</v>
      </c>
      <c r="AI3065" s="2" t="s">
        <v>84</v>
      </c>
      <c r="AJ3065" s="2">
        <v>12</v>
      </c>
      <c r="AK3065" s="2" t="s">
        <v>85</v>
      </c>
      <c r="AL3065" s="2">
        <v>10</v>
      </c>
      <c r="AM3065" s="2" t="s">
        <v>200</v>
      </c>
      <c r="AN3065" s="2" t="s">
        <v>10028</v>
      </c>
      <c r="AO3065" s="2"/>
      <c r="AP3065" s="2">
        <v>11</v>
      </c>
      <c r="AQ3065" s="2" t="s">
        <v>82</v>
      </c>
      <c r="AR3065" s="2"/>
      <c r="AS3065" s="2"/>
      <c r="AT3065" s="2" t="s">
        <v>10029</v>
      </c>
      <c r="AU3065" s="2"/>
      <c r="AV3065" s="2"/>
      <c r="AW3065" s="2"/>
      <c r="AX3065" s="2"/>
      <c r="AY3065" s="2">
        <v>41</v>
      </c>
      <c r="AZ3065" s="2" t="s">
        <v>82</v>
      </c>
      <c r="BA3065" s="2">
        <v>41</v>
      </c>
      <c r="BB3065" s="2" t="s">
        <v>82</v>
      </c>
      <c r="BC3065" s="2">
        <v>41</v>
      </c>
      <c r="BD3065" s="2" t="s">
        <v>82</v>
      </c>
      <c r="BE3065" s="2">
        <v>47</v>
      </c>
      <c r="BF3065" s="2" t="s">
        <v>167</v>
      </c>
      <c r="BG3065" s="2" t="s">
        <v>10030</v>
      </c>
      <c r="BH3065" s="4">
        <v>0.81944444444444453</v>
      </c>
      <c r="BI3065" s="2"/>
      <c r="BJ3065" s="2">
        <v>13</v>
      </c>
      <c r="BK3065" s="2" t="s">
        <v>91</v>
      </c>
      <c r="BL3065" s="2" t="s">
        <v>332</v>
      </c>
      <c r="BM3065" s="2">
        <v>241</v>
      </c>
      <c r="BN3065" s="2" t="s">
        <v>82</v>
      </c>
      <c r="BO3065" s="2"/>
      <c r="BP3065" s="2">
        <v>241</v>
      </c>
      <c r="BQ3065" s="2" t="s">
        <v>82</v>
      </c>
      <c r="BR3065" s="2"/>
      <c r="BS3065" s="3">
        <v>40386</v>
      </c>
      <c r="BT3065" s="4">
        <v>0.86493055555555554</v>
      </c>
    </row>
    <row r="3066" spans="1:72" x14ac:dyDescent="0.25">
      <c r="A3066" s="2">
        <v>4534</v>
      </c>
      <c r="B3066" s="2">
        <v>2010</v>
      </c>
      <c r="C3066" s="2" t="s">
        <v>171</v>
      </c>
      <c r="D3066" s="2" t="s">
        <v>73</v>
      </c>
      <c r="E3066" s="2"/>
      <c r="F3066" s="2">
        <v>399</v>
      </c>
      <c r="G3066" s="2" t="s">
        <v>587</v>
      </c>
      <c r="H3066" s="2">
        <v>15</v>
      </c>
      <c r="I3066" s="2" t="s">
        <v>130</v>
      </c>
      <c r="J3066" s="2">
        <v>241</v>
      </c>
      <c r="K3066" s="2" t="s">
        <v>174</v>
      </c>
      <c r="L3066" s="2" t="s">
        <v>175</v>
      </c>
      <c r="M3066" s="3">
        <v>40387</v>
      </c>
      <c r="N3066" s="2" t="s">
        <v>4076</v>
      </c>
      <c r="O3066" s="2"/>
      <c r="P3066" s="2"/>
      <c r="Q3066" s="2" t="str">
        <f>"381-E/10"</f>
        <v>381-E/10</v>
      </c>
      <c r="R3066" s="2" t="s">
        <v>391</v>
      </c>
      <c r="S3066" s="2" t="s">
        <v>391</v>
      </c>
      <c r="T3066" s="2">
        <v>1</v>
      </c>
      <c r="U3066" s="2" t="s">
        <v>79</v>
      </c>
      <c r="V3066" s="2">
        <v>1</v>
      </c>
      <c r="W3066" s="2" t="s">
        <v>80</v>
      </c>
      <c r="X3066" s="2">
        <v>1</v>
      </c>
      <c r="Y3066" s="2" t="s">
        <v>81</v>
      </c>
      <c r="Z3066" s="2">
        <v>1</v>
      </c>
      <c r="AA3066" s="2" t="s">
        <v>82</v>
      </c>
      <c r="AB3066" s="2">
        <v>1</v>
      </c>
      <c r="AC3066" s="2" t="s">
        <v>178</v>
      </c>
      <c r="AD3066" s="3">
        <v>40386</v>
      </c>
      <c r="AE3066" s="4">
        <v>0.83333333333333337</v>
      </c>
      <c r="AF3066" s="2"/>
      <c r="AG3066" s="2"/>
      <c r="AH3066" s="2">
        <v>2</v>
      </c>
      <c r="AI3066" s="2" t="s">
        <v>84</v>
      </c>
      <c r="AJ3066" s="2">
        <v>9</v>
      </c>
      <c r="AK3066" s="2" t="s">
        <v>103</v>
      </c>
      <c r="AL3066" s="2">
        <v>11</v>
      </c>
      <c r="AM3066" s="2" t="s">
        <v>137</v>
      </c>
      <c r="AN3066" s="2" t="s">
        <v>9814</v>
      </c>
      <c r="AO3066" s="2" t="s">
        <v>987</v>
      </c>
      <c r="AP3066" s="2">
        <v>11</v>
      </c>
      <c r="AQ3066" s="2" t="s">
        <v>82</v>
      </c>
      <c r="AR3066" s="2"/>
      <c r="AS3066" s="2"/>
      <c r="AT3066" s="2" t="s">
        <v>10031</v>
      </c>
      <c r="AU3066" s="2"/>
      <c r="AV3066" s="2">
        <v>1</v>
      </c>
      <c r="AW3066" s="2"/>
      <c r="AX3066" s="2"/>
      <c r="AY3066" s="2">
        <v>41</v>
      </c>
      <c r="AZ3066" s="2" t="s">
        <v>82</v>
      </c>
      <c r="BA3066" s="2">
        <v>41</v>
      </c>
      <c r="BB3066" s="2" t="s">
        <v>82</v>
      </c>
      <c r="BC3066" s="2">
        <v>41</v>
      </c>
      <c r="BD3066" s="2" t="s">
        <v>82</v>
      </c>
      <c r="BE3066" s="2">
        <v>11</v>
      </c>
      <c r="BF3066" s="2" t="s">
        <v>2404</v>
      </c>
      <c r="BG3066" s="2" t="s">
        <v>10032</v>
      </c>
      <c r="BH3066" s="2"/>
      <c r="BI3066" s="4">
        <v>0.875</v>
      </c>
      <c r="BJ3066" s="2">
        <v>13</v>
      </c>
      <c r="BK3066" s="2" t="s">
        <v>91</v>
      </c>
      <c r="BL3066" s="2" t="s">
        <v>360</v>
      </c>
      <c r="BM3066" s="2">
        <v>75</v>
      </c>
      <c r="BN3066" s="2" t="s">
        <v>1264</v>
      </c>
      <c r="BO3066" s="2" t="s">
        <v>10033</v>
      </c>
      <c r="BP3066" s="2">
        <v>244</v>
      </c>
      <c r="BQ3066" s="2" t="s">
        <v>1236</v>
      </c>
      <c r="BR3066" s="2" t="s">
        <v>1237</v>
      </c>
      <c r="BS3066" s="3">
        <v>40387</v>
      </c>
      <c r="BT3066" s="4">
        <v>5.8333333333333336E-3</v>
      </c>
    </row>
    <row r="3067" spans="1:72" x14ac:dyDescent="0.25">
      <c r="A3067" s="2">
        <v>4535</v>
      </c>
      <c r="B3067" s="2">
        <v>2010</v>
      </c>
      <c r="C3067" s="2" t="s">
        <v>171</v>
      </c>
      <c r="D3067" s="2" t="s">
        <v>122</v>
      </c>
      <c r="E3067" s="2" t="s">
        <v>10034</v>
      </c>
      <c r="F3067" s="2">
        <v>399</v>
      </c>
      <c r="G3067" s="2" t="s">
        <v>587</v>
      </c>
      <c r="H3067" s="2">
        <v>15</v>
      </c>
      <c r="I3067" s="2" t="s">
        <v>130</v>
      </c>
      <c r="J3067" s="2">
        <v>241</v>
      </c>
      <c r="K3067" s="2" t="s">
        <v>174</v>
      </c>
      <c r="L3067" s="2" t="s">
        <v>175</v>
      </c>
      <c r="M3067" s="3">
        <v>40387</v>
      </c>
      <c r="N3067" s="2" t="s">
        <v>10009</v>
      </c>
      <c r="O3067" s="2"/>
      <c r="P3067" s="2"/>
      <c r="Q3067" s="2" t="str">
        <f>"380-E/10"</f>
        <v>380-E/10</v>
      </c>
      <c r="R3067" s="2" t="s">
        <v>391</v>
      </c>
      <c r="S3067" s="2"/>
      <c r="T3067" s="2">
        <v>1</v>
      </c>
      <c r="U3067" s="2" t="s">
        <v>79</v>
      </c>
      <c r="V3067" s="2">
        <v>1</v>
      </c>
      <c r="W3067" s="2" t="s">
        <v>80</v>
      </c>
      <c r="X3067" s="2">
        <v>1</v>
      </c>
      <c r="Y3067" s="2" t="s">
        <v>81</v>
      </c>
      <c r="Z3067" s="2">
        <v>1</v>
      </c>
      <c r="AA3067" s="2" t="s">
        <v>82</v>
      </c>
      <c r="AB3067" s="2">
        <v>1</v>
      </c>
      <c r="AC3067" s="2" t="s">
        <v>178</v>
      </c>
      <c r="AD3067" s="3">
        <v>40387</v>
      </c>
      <c r="AE3067" s="4">
        <v>0.29166666666666669</v>
      </c>
      <c r="AF3067" s="2"/>
      <c r="AG3067" s="2"/>
      <c r="AH3067" s="2">
        <v>2</v>
      </c>
      <c r="AI3067" s="2" t="s">
        <v>84</v>
      </c>
      <c r="AJ3067" s="2">
        <v>9</v>
      </c>
      <c r="AK3067" s="2" t="s">
        <v>103</v>
      </c>
      <c r="AL3067" s="2">
        <v>14</v>
      </c>
      <c r="AM3067" s="2" t="s">
        <v>216</v>
      </c>
      <c r="AN3067" s="2" t="s">
        <v>179</v>
      </c>
      <c r="AO3067" s="2"/>
      <c r="AP3067" s="2">
        <v>11</v>
      </c>
      <c r="AQ3067" s="2" t="s">
        <v>82</v>
      </c>
      <c r="AR3067" s="2"/>
      <c r="AS3067" s="2"/>
      <c r="AT3067" s="2" t="s">
        <v>10035</v>
      </c>
      <c r="AU3067" s="2"/>
      <c r="AV3067" s="2">
        <v>1</v>
      </c>
      <c r="AW3067" s="2"/>
      <c r="AX3067" s="2"/>
      <c r="AY3067" s="2">
        <v>42</v>
      </c>
      <c r="AZ3067" s="2" t="s">
        <v>182</v>
      </c>
      <c r="BA3067" s="2">
        <v>41</v>
      </c>
      <c r="BB3067" s="2" t="s">
        <v>82</v>
      </c>
      <c r="BC3067" s="2">
        <v>70</v>
      </c>
      <c r="BD3067" s="2" t="s">
        <v>236</v>
      </c>
      <c r="BE3067" s="2">
        <v>31</v>
      </c>
      <c r="BF3067" s="2" t="s">
        <v>398</v>
      </c>
      <c r="BG3067" s="2" t="s">
        <v>7251</v>
      </c>
      <c r="BH3067" s="2"/>
      <c r="BI3067" s="4">
        <v>0.53472222222222221</v>
      </c>
      <c r="BJ3067" s="2">
        <v>13</v>
      </c>
      <c r="BK3067" s="2" t="s">
        <v>91</v>
      </c>
      <c r="BL3067" s="2" t="s">
        <v>360</v>
      </c>
      <c r="BM3067" s="2">
        <v>241</v>
      </c>
      <c r="BN3067" s="2" t="s">
        <v>82</v>
      </c>
      <c r="BO3067" s="2"/>
      <c r="BP3067" s="2">
        <v>73</v>
      </c>
      <c r="BQ3067" s="2" t="s">
        <v>186</v>
      </c>
      <c r="BR3067" s="2" t="s">
        <v>187</v>
      </c>
      <c r="BS3067" s="3">
        <v>40387</v>
      </c>
      <c r="BT3067" s="4">
        <v>0.31752314814814814</v>
      </c>
    </row>
    <row r="3068" spans="1:72" x14ac:dyDescent="0.25">
      <c r="A3068" s="2">
        <v>4536</v>
      </c>
      <c r="B3068" s="2">
        <v>2010</v>
      </c>
      <c r="C3068" s="2" t="s">
        <v>171</v>
      </c>
      <c r="D3068" s="2" t="s">
        <v>122</v>
      </c>
      <c r="E3068" s="2" t="s">
        <v>10036</v>
      </c>
      <c r="F3068" s="2">
        <v>399</v>
      </c>
      <c r="G3068" s="2" t="s">
        <v>587</v>
      </c>
      <c r="H3068" s="2">
        <v>15</v>
      </c>
      <c r="I3068" s="2" t="s">
        <v>130</v>
      </c>
      <c r="J3068" s="2">
        <v>241</v>
      </c>
      <c r="K3068" s="2" t="s">
        <v>174</v>
      </c>
      <c r="L3068" s="2" t="s">
        <v>175</v>
      </c>
      <c r="M3068" s="3">
        <v>40387</v>
      </c>
      <c r="N3068" s="2" t="s">
        <v>4076</v>
      </c>
      <c r="O3068" s="2"/>
      <c r="P3068" s="2"/>
      <c r="Q3068" s="2" t="str">
        <f>"381-E/10"</f>
        <v>381-E/10</v>
      </c>
      <c r="R3068" s="2" t="s">
        <v>391</v>
      </c>
      <c r="S3068" s="2"/>
      <c r="T3068" s="2">
        <v>1</v>
      </c>
      <c r="U3068" s="2" t="s">
        <v>79</v>
      </c>
      <c r="V3068" s="2">
        <v>1</v>
      </c>
      <c r="W3068" s="2" t="s">
        <v>80</v>
      </c>
      <c r="X3068" s="2">
        <v>1</v>
      </c>
      <c r="Y3068" s="2" t="s">
        <v>81</v>
      </c>
      <c r="Z3068" s="2">
        <v>1</v>
      </c>
      <c r="AA3068" s="2" t="s">
        <v>82</v>
      </c>
      <c r="AB3068" s="2">
        <v>1</v>
      </c>
      <c r="AC3068" s="2" t="s">
        <v>178</v>
      </c>
      <c r="AD3068" s="3">
        <v>40387</v>
      </c>
      <c r="AE3068" s="4">
        <v>0.29166666666666669</v>
      </c>
      <c r="AF3068" s="2"/>
      <c r="AG3068" s="2"/>
      <c r="AH3068" s="2">
        <v>2</v>
      </c>
      <c r="AI3068" s="2" t="s">
        <v>84</v>
      </c>
      <c r="AJ3068" s="2">
        <v>9</v>
      </c>
      <c r="AK3068" s="2" t="s">
        <v>103</v>
      </c>
      <c r="AL3068" s="2">
        <v>14</v>
      </c>
      <c r="AM3068" s="2" t="s">
        <v>216</v>
      </c>
      <c r="AN3068" s="2" t="s">
        <v>1340</v>
      </c>
      <c r="AO3068" s="2"/>
      <c r="AP3068" s="2">
        <v>11</v>
      </c>
      <c r="AQ3068" s="2" t="s">
        <v>82</v>
      </c>
      <c r="AR3068" s="2"/>
      <c r="AS3068" s="2"/>
      <c r="AT3068" s="2" t="s">
        <v>10037</v>
      </c>
      <c r="AU3068" s="2"/>
      <c r="AV3068" s="2">
        <v>1</v>
      </c>
      <c r="AW3068" s="2"/>
      <c r="AX3068" s="2"/>
      <c r="AY3068" s="2">
        <v>42</v>
      </c>
      <c r="AZ3068" s="2" t="s">
        <v>182</v>
      </c>
      <c r="BA3068" s="2">
        <v>41</v>
      </c>
      <c r="BB3068" s="2" t="s">
        <v>82</v>
      </c>
      <c r="BC3068" s="2">
        <v>70</v>
      </c>
      <c r="BD3068" s="2" t="s">
        <v>236</v>
      </c>
      <c r="BE3068" s="2">
        <v>11</v>
      </c>
      <c r="BF3068" s="2" t="s">
        <v>2404</v>
      </c>
      <c r="BG3068" s="2" t="s">
        <v>10032</v>
      </c>
      <c r="BH3068" s="2"/>
      <c r="BI3068" s="4">
        <v>0.875</v>
      </c>
      <c r="BJ3068" s="2">
        <v>13</v>
      </c>
      <c r="BK3068" s="2" t="s">
        <v>91</v>
      </c>
      <c r="BL3068" s="2" t="s">
        <v>360</v>
      </c>
      <c r="BM3068" s="2">
        <v>241</v>
      </c>
      <c r="BN3068" s="2" t="s">
        <v>82</v>
      </c>
      <c r="BO3068" s="2"/>
      <c r="BP3068" s="2">
        <v>75</v>
      </c>
      <c r="BQ3068" s="2" t="s">
        <v>1264</v>
      </c>
      <c r="BR3068" s="2" t="s">
        <v>2406</v>
      </c>
      <c r="BS3068" s="3">
        <v>40387</v>
      </c>
      <c r="BT3068" s="4">
        <v>0.31872685185185184</v>
      </c>
    </row>
    <row r="3069" spans="1:72" x14ac:dyDescent="0.25">
      <c r="A3069" s="2">
        <v>4538</v>
      </c>
      <c r="B3069" s="2">
        <v>2010</v>
      </c>
      <c r="C3069" s="2" t="s">
        <v>377</v>
      </c>
      <c r="D3069" s="2" t="s">
        <v>73</v>
      </c>
      <c r="E3069" s="2"/>
      <c r="F3069" s="2">
        <v>426</v>
      </c>
      <c r="G3069" s="2" t="s">
        <v>378</v>
      </c>
      <c r="H3069" s="2">
        <v>42</v>
      </c>
      <c r="I3069" s="2" t="s">
        <v>1096</v>
      </c>
      <c r="J3069" s="2">
        <v>311</v>
      </c>
      <c r="K3069" s="2" t="s">
        <v>379</v>
      </c>
      <c r="L3069" s="2" t="s">
        <v>380</v>
      </c>
      <c r="M3069" s="3">
        <v>40387</v>
      </c>
      <c r="N3069" s="2" t="s">
        <v>5164</v>
      </c>
      <c r="O3069" s="2"/>
      <c r="P3069" s="2"/>
      <c r="Q3069" s="2" t="str">
        <f>"190-C/10"</f>
        <v>190-C/10</v>
      </c>
      <c r="R3069" s="2" t="s">
        <v>3458</v>
      </c>
      <c r="S3069" s="2" t="s">
        <v>3458</v>
      </c>
      <c r="T3069" s="2">
        <v>1</v>
      </c>
      <c r="U3069" s="2" t="s">
        <v>79</v>
      </c>
      <c r="V3069" s="2">
        <v>1</v>
      </c>
      <c r="W3069" s="2" t="s">
        <v>80</v>
      </c>
      <c r="X3069" s="2">
        <v>1</v>
      </c>
      <c r="Y3069" s="2" t="s">
        <v>81</v>
      </c>
      <c r="Z3069" s="2">
        <v>1</v>
      </c>
      <c r="AA3069" s="2" t="s">
        <v>82</v>
      </c>
      <c r="AB3069" s="2">
        <v>9</v>
      </c>
      <c r="AC3069" s="2" t="s">
        <v>124</v>
      </c>
      <c r="AD3069" s="3">
        <v>40385</v>
      </c>
      <c r="AE3069" s="4">
        <v>0.87361111111111101</v>
      </c>
      <c r="AF3069" s="2"/>
      <c r="AG3069" s="2"/>
      <c r="AH3069" s="2">
        <v>2</v>
      </c>
      <c r="AI3069" s="2" t="s">
        <v>84</v>
      </c>
      <c r="AJ3069" s="2">
        <v>9</v>
      </c>
      <c r="AK3069" s="2" t="s">
        <v>103</v>
      </c>
      <c r="AL3069" s="2">
        <v>29</v>
      </c>
      <c r="AM3069" s="2" t="s">
        <v>5416</v>
      </c>
      <c r="AN3069" s="2" t="s">
        <v>1830</v>
      </c>
      <c r="AO3069" s="2" t="s">
        <v>987</v>
      </c>
      <c r="AP3069" s="2">
        <v>11</v>
      </c>
      <c r="AQ3069" s="2" t="s">
        <v>82</v>
      </c>
      <c r="AR3069" s="2"/>
      <c r="AS3069" s="2"/>
      <c r="AT3069" s="2" t="s">
        <v>10038</v>
      </c>
      <c r="AU3069" s="2"/>
      <c r="AV3069" s="2"/>
      <c r="AW3069" s="2"/>
      <c r="AX3069" s="2"/>
      <c r="AY3069" s="2">
        <v>41</v>
      </c>
      <c r="AZ3069" s="2" t="s">
        <v>82</v>
      </c>
      <c r="BA3069" s="2">
        <v>41</v>
      </c>
      <c r="BB3069" s="2" t="s">
        <v>82</v>
      </c>
      <c r="BC3069" s="2">
        <v>41</v>
      </c>
      <c r="BD3069" s="2" t="s">
        <v>82</v>
      </c>
      <c r="BE3069" s="2">
        <v>41</v>
      </c>
      <c r="BF3069" s="2" t="s">
        <v>82</v>
      </c>
      <c r="BG3069" s="2"/>
      <c r="BH3069" s="2"/>
      <c r="BI3069" s="2"/>
      <c r="BJ3069" s="2">
        <v>241</v>
      </c>
      <c r="BK3069" s="2" t="s">
        <v>82</v>
      </c>
      <c r="BL3069" s="2"/>
      <c r="BM3069" s="2">
        <v>241</v>
      </c>
      <c r="BN3069" s="2" t="s">
        <v>82</v>
      </c>
      <c r="BO3069" s="2"/>
      <c r="BP3069" s="2">
        <v>241</v>
      </c>
      <c r="BQ3069" s="2" t="s">
        <v>82</v>
      </c>
      <c r="BR3069" s="2"/>
      <c r="BS3069" s="3">
        <v>40387</v>
      </c>
      <c r="BT3069" s="4">
        <v>0.44798611111111114</v>
      </c>
    </row>
    <row r="3070" spans="1:72" x14ac:dyDescent="0.25">
      <c r="A3070" s="2">
        <v>4541</v>
      </c>
      <c r="B3070" s="2">
        <v>2010</v>
      </c>
      <c r="C3070" s="2" t="s">
        <v>147</v>
      </c>
      <c r="D3070" s="2" t="s">
        <v>73</v>
      </c>
      <c r="E3070" s="2"/>
      <c r="F3070" s="2">
        <v>1</v>
      </c>
      <c r="G3070" s="2" t="s">
        <v>82</v>
      </c>
      <c r="H3070" s="2">
        <v>1</v>
      </c>
      <c r="I3070" s="2" t="s">
        <v>82</v>
      </c>
      <c r="J3070" s="2">
        <v>1</v>
      </c>
      <c r="K3070" s="2" t="s">
        <v>107</v>
      </c>
      <c r="L3070" s="2" t="s">
        <v>107</v>
      </c>
      <c r="M3070" s="3">
        <v>40387</v>
      </c>
      <c r="N3070" s="2"/>
      <c r="O3070" s="2"/>
      <c r="P3070" s="2"/>
      <c r="Q3070" s="2" t="str">
        <f>"AP 0010/10"</f>
        <v>AP 0010/10</v>
      </c>
      <c r="R3070" s="2"/>
      <c r="S3070" s="2"/>
      <c r="T3070" s="2">
        <v>2</v>
      </c>
      <c r="U3070" s="2" t="s">
        <v>123</v>
      </c>
      <c r="V3070" s="2">
        <v>1</v>
      </c>
      <c r="W3070" s="2" t="s">
        <v>80</v>
      </c>
      <c r="X3070" s="2">
        <v>12</v>
      </c>
      <c r="Y3070" s="2" t="s">
        <v>148</v>
      </c>
      <c r="Z3070" s="2">
        <v>1</v>
      </c>
      <c r="AA3070" s="2" t="s">
        <v>82</v>
      </c>
      <c r="AB3070" s="2">
        <v>9</v>
      </c>
      <c r="AC3070" s="2" t="s">
        <v>124</v>
      </c>
      <c r="AD3070" s="2"/>
      <c r="AE3070" s="2"/>
      <c r="AF3070" s="3">
        <v>40387</v>
      </c>
      <c r="AG3070" s="4">
        <v>0.41666666666666669</v>
      </c>
      <c r="AH3070" s="2">
        <v>5</v>
      </c>
      <c r="AI3070" s="2" t="s">
        <v>274</v>
      </c>
      <c r="AJ3070" s="2">
        <v>45</v>
      </c>
      <c r="AK3070" s="2" t="s">
        <v>834</v>
      </c>
      <c r="AL3070" s="2">
        <v>19</v>
      </c>
      <c r="AM3070" s="2" t="s">
        <v>107</v>
      </c>
      <c r="AN3070" s="2"/>
      <c r="AO3070" s="2" t="s">
        <v>10039</v>
      </c>
      <c r="AP3070" s="2">
        <v>11</v>
      </c>
      <c r="AQ3070" s="2" t="s">
        <v>82</v>
      </c>
      <c r="AR3070" s="2"/>
      <c r="AS3070" s="2"/>
      <c r="AT3070" s="2" t="s">
        <v>10040</v>
      </c>
      <c r="AU3070" s="2"/>
      <c r="AV3070" s="2"/>
      <c r="AW3070" s="2"/>
      <c r="AX3070" s="2"/>
      <c r="AY3070" s="2">
        <v>41</v>
      </c>
      <c r="AZ3070" s="2" t="s">
        <v>82</v>
      </c>
      <c r="BA3070" s="2">
        <v>41</v>
      </c>
      <c r="BB3070" s="2" t="s">
        <v>82</v>
      </c>
      <c r="BC3070" s="2">
        <v>41</v>
      </c>
      <c r="BD3070" s="2" t="s">
        <v>82</v>
      </c>
      <c r="BE3070" s="2">
        <v>41</v>
      </c>
      <c r="BF3070" s="2" t="s">
        <v>82</v>
      </c>
      <c r="BG3070" s="2"/>
      <c r="BH3070" s="2"/>
      <c r="BI3070" s="2"/>
      <c r="BJ3070" s="2">
        <v>241</v>
      </c>
      <c r="BK3070" s="2" t="s">
        <v>82</v>
      </c>
      <c r="BL3070" s="2"/>
      <c r="BM3070" s="2">
        <v>241</v>
      </c>
      <c r="BN3070" s="2" t="s">
        <v>82</v>
      </c>
      <c r="BO3070" s="2"/>
      <c r="BP3070" s="2">
        <v>241</v>
      </c>
      <c r="BQ3070" s="2" t="s">
        <v>82</v>
      </c>
      <c r="BR3070" s="2"/>
      <c r="BS3070" s="3">
        <v>40387</v>
      </c>
      <c r="BT3070" s="4">
        <v>0.47343750000000001</v>
      </c>
    </row>
    <row r="3071" spans="1:72" x14ac:dyDescent="0.25">
      <c r="A3071" s="2">
        <v>4542</v>
      </c>
      <c r="B3071" s="2">
        <v>2010</v>
      </c>
      <c r="C3071" s="2" t="s">
        <v>171</v>
      </c>
      <c r="D3071" s="2" t="s">
        <v>73</v>
      </c>
      <c r="E3071" s="2"/>
      <c r="F3071" s="2">
        <v>337</v>
      </c>
      <c r="G3071" s="2" t="s">
        <v>1190</v>
      </c>
      <c r="H3071" s="2">
        <v>66</v>
      </c>
      <c r="I3071" s="2" t="s">
        <v>3190</v>
      </c>
      <c r="J3071" s="2">
        <v>374</v>
      </c>
      <c r="K3071" s="2" t="s">
        <v>1191</v>
      </c>
      <c r="L3071" s="2" t="s">
        <v>132</v>
      </c>
      <c r="M3071" s="3">
        <v>40387</v>
      </c>
      <c r="N3071" s="2" t="s">
        <v>1192</v>
      </c>
      <c r="O3071" s="2" t="s">
        <v>10041</v>
      </c>
      <c r="P3071" s="2" t="s">
        <v>10042</v>
      </c>
      <c r="Q3071" s="2" t="str">
        <f>"0015/2010"</f>
        <v>0015/2010</v>
      </c>
      <c r="R3071" s="2"/>
      <c r="S3071" s="2" t="s">
        <v>10043</v>
      </c>
      <c r="T3071" s="2">
        <v>1</v>
      </c>
      <c r="U3071" s="2" t="s">
        <v>79</v>
      </c>
      <c r="V3071" s="2">
        <v>3</v>
      </c>
      <c r="W3071" s="2" t="s">
        <v>225</v>
      </c>
      <c r="X3071" s="2">
        <v>6</v>
      </c>
      <c r="Y3071" s="2" t="s">
        <v>249</v>
      </c>
      <c r="Z3071" s="2">
        <v>1</v>
      </c>
      <c r="AA3071" s="2" t="s">
        <v>82</v>
      </c>
      <c r="AB3071" s="2">
        <v>9</v>
      </c>
      <c r="AC3071" s="2" t="s">
        <v>124</v>
      </c>
      <c r="AD3071" s="3">
        <v>40387</v>
      </c>
      <c r="AE3071" s="2"/>
      <c r="AF3071" s="2"/>
      <c r="AG3071" s="2"/>
      <c r="AH3071" s="2">
        <v>5</v>
      </c>
      <c r="AI3071" s="2" t="s">
        <v>274</v>
      </c>
      <c r="AJ3071" s="2">
        <v>35</v>
      </c>
      <c r="AK3071" s="2" t="s">
        <v>275</v>
      </c>
      <c r="AL3071" s="2">
        <v>23</v>
      </c>
      <c r="AM3071" s="2" t="s">
        <v>251</v>
      </c>
      <c r="AN3071" s="2"/>
      <c r="AO3071" s="2" t="s">
        <v>10044</v>
      </c>
      <c r="AP3071" s="2">
        <v>11</v>
      </c>
      <c r="AQ3071" s="2" t="s">
        <v>82</v>
      </c>
      <c r="AR3071" s="2"/>
      <c r="AS3071" s="2"/>
      <c r="AT3071" s="2" t="s">
        <v>10045</v>
      </c>
      <c r="AU3071" s="2"/>
      <c r="AV3071" s="2"/>
      <c r="AW3071" s="2"/>
      <c r="AX3071" s="2"/>
      <c r="AY3071" s="2">
        <v>1</v>
      </c>
      <c r="AZ3071" s="2" t="s">
        <v>107</v>
      </c>
      <c r="BA3071" s="2">
        <v>1</v>
      </c>
      <c r="BB3071" s="2" t="s">
        <v>107</v>
      </c>
      <c r="BC3071" s="2">
        <v>1</v>
      </c>
      <c r="BD3071" s="2" t="s">
        <v>107</v>
      </c>
      <c r="BE3071" s="2">
        <v>1</v>
      </c>
      <c r="BF3071" s="2" t="s">
        <v>107</v>
      </c>
      <c r="BG3071" s="2"/>
      <c r="BH3071" s="2"/>
      <c r="BI3071" s="2"/>
      <c r="BJ3071" s="2">
        <v>242</v>
      </c>
      <c r="BK3071" s="2" t="s">
        <v>107</v>
      </c>
      <c r="BL3071" s="2"/>
      <c r="BM3071" s="2">
        <v>242</v>
      </c>
      <c r="BN3071" s="2" t="s">
        <v>107</v>
      </c>
      <c r="BO3071" s="2"/>
      <c r="BP3071" s="2">
        <v>242</v>
      </c>
      <c r="BQ3071" s="2" t="s">
        <v>107</v>
      </c>
      <c r="BR3071" s="2"/>
      <c r="BS3071" s="3">
        <v>40387</v>
      </c>
      <c r="BT3071" s="4">
        <v>0.47585648148148146</v>
      </c>
    </row>
    <row r="3072" spans="1:72" x14ac:dyDescent="0.25">
      <c r="A3072" s="2">
        <v>4543</v>
      </c>
      <c r="B3072" s="2">
        <v>2010</v>
      </c>
      <c r="C3072" s="2" t="s">
        <v>171</v>
      </c>
      <c r="D3072" s="2" t="s">
        <v>73</v>
      </c>
      <c r="E3072" s="2"/>
      <c r="F3072" s="2">
        <v>471</v>
      </c>
      <c r="G3072" s="2" t="s">
        <v>6201</v>
      </c>
      <c r="H3072" s="2">
        <v>60</v>
      </c>
      <c r="I3072" s="2" t="s">
        <v>2704</v>
      </c>
      <c r="J3072" s="2">
        <v>374</v>
      </c>
      <c r="K3072" s="2" t="s">
        <v>1191</v>
      </c>
      <c r="L3072" s="2" t="s">
        <v>132</v>
      </c>
      <c r="M3072" s="3">
        <v>40387</v>
      </c>
      <c r="N3072" s="2" t="s">
        <v>10046</v>
      </c>
      <c r="O3072" s="2" t="s">
        <v>10047</v>
      </c>
      <c r="P3072" s="2" t="s">
        <v>10048</v>
      </c>
      <c r="Q3072" s="2" t="str">
        <f>"0016/2010"</f>
        <v>0016/2010</v>
      </c>
      <c r="R3072" s="2"/>
      <c r="S3072" s="2" t="s">
        <v>10049</v>
      </c>
      <c r="T3072" s="2">
        <v>1</v>
      </c>
      <c r="U3072" s="2" t="s">
        <v>79</v>
      </c>
      <c r="V3072" s="2">
        <v>3</v>
      </c>
      <c r="W3072" s="2" t="s">
        <v>225</v>
      </c>
      <c r="X3072" s="2">
        <v>6</v>
      </c>
      <c r="Y3072" s="2" t="s">
        <v>249</v>
      </c>
      <c r="Z3072" s="2">
        <v>1</v>
      </c>
      <c r="AA3072" s="2" t="s">
        <v>82</v>
      </c>
      <c r="AB3072" s="2">
        <v>9</v>
      </c>
      <c r="AC3072" s="2" t="s">
        <v>124</v>
      </c>
      <c r="AD3072" s="3">
        <v>40387</v>
      </c>
      <c r="AE3072" s="2"/>
      <c r="AF3072" s="2"/>
      <c r="AG3072" s="2"/>
      <c r="AH3072" s="2">
        <v>5</v>
      </c>
      <c r="AI3072" s="2" t="s">
        <v>274</v>
      </c>
      <c r="AJ3072" s="2">
        <v>35</v>
      </c>
      <c r="AK3072" s="2" t="s">
        <v>275</v>
      </c>
      <c r="AL3072" s="2">
        <v>23</v>
      </c>
      <c r="AM3072" s="2" t="s">
        <v>251</v>
      </c>
      <c r="AN3072" s="2"/>
      <c r="AO3072" s="2" t="s">
        <v>10050</v>
      </c>
      <c r="AP3072" s="2">
        <v>11</v>
      </c>
      <c r="AQ3072" s="2" t="s">
        <v>82</v>
      </c>
      <c r="AR3072" s="2"/>
      <c r="AS3072" s="2"/>
      <c r="AT3072" s="2" t="s">
        <v>10051</v>
      </c>
      <c r="AU3072" s="2"/>
      <c r="AV3072" s="2"/>
      <c r="AW3072" s="2"/>
      <c r="AX3072" s="2"/>
      <c r="AY3072" s="2">
        <v>1</v>
      </c>
      <c r="AZ3072" s="2" t="s">
        <v>107</v>
      </c>
      <c r="BA3072" s="2">
        <v>1</v>
      </c>
      <c r="BB3072" s="2" t="s">
        <v>107</v>
      </c>
      <c r="BC3072" s="2">
        <v>1</v>
      </c>
      <c r="BD3072" s="2" t="s">
        <v>107</v>
      </c>
      <c r="BE3072" s="2">
        <v>1</v>
      </c>
      <c r="BF3072" s="2" t="s">
        <v>107</v>
      </c>
      <c r="BG3072" s="2"/>
      <c r="BH3072" s="2"/>
      <c r="BI3072" s="2"/>
      <c r="BJ3072" s="2">
        <v>242</v>
      </c>
      <c r="BK3072" s="2" t="s">
        <v>107</v>
      </c>
      <c r="BL3072" s="2"/>
      <c r="BM3072" s="2">
        <v>242</v>
      </c>
      <c r="BN3072" s="2" t="s">
        <v>107</v>
      </c>
      <c r="BO3072" s="2"/>
      <c r="BP3072" s="2">
        <v>242</v>
      </c>
      <c r="BQ3072" s="2" t="s">
        <v>107</v>
      </c>
      <c r="BR3072" s="2"/>
      <c r="BS3072" s="3">
        <v>40387</v>
      </c>
      <c r="BT3072" s="4">
        <v>0.4856712962962963</v>
      </c>
    </row>
    <row r="3073" spans="1:72" x14ac:dyDescent="0.25">
      <c r="A3073" s="2">
        <v>4545</v>
      </c>
      <c r="B3073" s="2">
        <v>2010</v>
      </c>
      <c r="C3073" s="2" t="s">
        <v>147</v>
      </c>
      <c r="D3073" s="2" t="s">
        <v>73</v>
      </c>
      <c r="E3073" s="2"/>
      <c r="F3073" s="2">
        <v>1</v>
      </c>
      <c r="G3073" s="2" t="s">
        <v>82</v>
      </c>
      <c r="H3073" s="2">
        <v>1</v>
      </c>
      <c r="I3073" s="2" t="s">
        <v>82</v>
      </c>
      <c r="J3073" s="2">
        <v>1</v>
      </c>
      <c r="K3073" s="2" t="s">
        <v>107</v>
      </c>
      <c r="L3073" s="2" t="s">
        <v>107</v>
      </c>
      <c r="M3073" s="3">
        <v>40387</v>
      </c>
      <c r="N3073" s="2"/>
      <c r="O3073" s="2"/>
      <c r="P3073" s="2"/>
      <c r="Q3073" s="2" t="str">
        <f>""</f>
        <v/>
      </c>
      <c r="R3073" s="2"/>
      <c r="S3073" s="2"/>
      <c r="T3073" s="2">
        <v>2</v>
      </c>
      <c r="U3073" s="2" t="s">
        <v>123</v>
      </c>
      <c r="V3073" s="2">
        <v>1</v>
      </c>
      <c r="W3073" s="2" t="s">
        <v>80</v>
      </c>
      <c r="X3073" s="2">
        <v>12</v>
      </c>
      <c r="Y3073" s="2" t="s">
        <v>148</v>
      </c>
      <c r="Z3073" s="2">
        <v>10</v>
      </c>
      <c r="AA3073" s="2" t="s">
        <v>236</v>
      </c>
      <c r="AB3073" s="2">
        <v>9</v>
      </c>
      <c r="AC3073" s="2" t="s">
        <v>124</v>
      </c>
      <c r="AD3073" s="3">
        <v>40386</v>
      </c>
      <c r="AE3073" s="2"/>
      <c r="AF3073" s="3">
        <v>40387</v>
      </c>
      <c r="AG3073" s="4">
        <v>0.52083333333333337</v>
      </c>
      <c r="AH3073" s="2">
        <v>3</v>
      </c>
      <c r="AI3073" s="2" t="s">
        <v>214</v>
      </c>
      <c r="AJ3073" s="2">
        <v>24</v>
      </c>
      <c r="AK3073" s="2" t="s">
        <v>215</v>
      </c>
      <c r="AL3073" s="2">
        <v>23</v>
      </c>
      <c r="AM3073" s="2" t="s">
        <v>251</v>
      </c>
      <c r="AN3073" s="2" t="s">
        <v>9218</v>
      </c>
      <c r="AO3073" s="2"/>
      <c r="AP3073" s="2">
        <v>11</v>
      </c>
      <c r="AQ3073" s="2" t="s">
        <v>82</v>
      </c>
      <c r="AR3073" s="2" t="s">
        <v>82</v>
      </c>
      <c r="AS3073" s="2" t="s">
        <v>82</v>
      </c>
      <c r="AT3073" s="2" t="s">
        <v>10052</v>
      </c>
      <c r="AU3073" s="2"/>
      <c r="AV3073" s="2"/>
      <c r="AW3073" s="2"/>
      <c r="AX3073" s="2"/>
      <c r="AY3073" s="2">
        <v>41</v>
      </c>
      <c r="AZ3073" s="2" t="s">
        <v>82</v>
      </c>
      <c r="BA3073" s="2">
        <v>41</v>
      </c>
      <c r="BB3073" s="2" t="s">
        <v>82</v>
      </c>
      <c r="BC3073" s="2">
        <v>41</v>
      </c>
      <c r="BD3073" s="2" t="s">
        <v>82</v>
      </c>
      <c r="BE3073" s="2">
        <v>41</v>
      </c>
      <c r="BF3073" s="2" t="s">
        <v>82</v>
      </c>
      <c r="BG3073" s="2"/>
      <c r="BH3073" s="2"/>
      <c r="BI3073" s="2"/>
      <c r="BJ3073" s="2">
        <v>241</v>
      </c>
      <c r="BK3073" s="2" t="s">
        <v>82</v>
      </c>
      <c r="BL3073" s="2" t="s">
        <v>82</v>
      </c>
      <c r="BM3073" s="2">
        <v>241</v>
      </c>
      <c r="BN3073" s="2" t="s">
        <v>82</v>
      </c>
      <c r="BO3073" s="2" t="s">
        <v>82</v>
      </c>
      <c r="BP3073" s="2">
        <v>241</v>
      </c>
      <c r="BQ3073" s="2" t="s">
        <v>82</v>
      </c>
      <c r="BR3073" s="2" t="s">
        <v>82</v>
      </c>
      <c r="BS3073" s="3">
        <v>40387</v>
      </c>
      <c r="BT3073" s="4">
        <v>0.52204861111111112</v>
      </c>
    </row>
    <row r="3074" spans="1:72" x14ac:dyDescent="0.25">
      <c r="A3074" s="2">
        <v>4546</v>
      </c>
      <c r="B3074" s="2">
        <v>2010</v>
      </c>
      <c r="C3074" s="2" t="s">
        <v>121</v>
      </c>
      <c r="D3074" s="2" t="s">
        <v>122</v>
      </c>
      <c r="E3074" s="2"/>
      <c r="F3074" s="2">
        <v>1</v>
      </c>
      <c r="G3074" s="2" t="s">
        <v>82</v>
      </c>
      <c r="H3074" s="2">
        <v>1</v>
      </c>
      <c r="I3074" s="2" t="s">
        <v>82</v>
      </c>
      <c r="J3074" s="2">
        <v>1</v>
      </c>
      <c r="K3074" s="2" t="s">
        <v>107</v>
      </c>
      <c r="L3074" s="2" t="s">
        <v>107</v>
      </c>
      <c r="M3074" s="3">
        <v>40387</v>
      </c>
      <c r="N3074" s="2" t="s">
        <v>82</v>
      </c>
      <c r="O3074" s="2" t="s">
        <v>82</v>
      </c>
      <c r="P3074" s="2" t="s">
        <v>82</v>
      </c>
      <c r="Q3074" s="2" t="str">
        <f>"N/C"</f>
        <v>N/C</v>
      </c>
      <c r="R3074" s="2" t="s">
        <v>82</v>
      </c>
      <c r="S3074" s="2" t="s">
        <v>82</v>
      </c>
      <c r="T3074" s="2">
        <v>2</v>
      </c>
      <c r="U3074" s="2" t="s">
        <v>123</v>
      </c>
      <c r="V3074" s="2">
        <v>1</v>
      </c>
      <c r="W3074" s="2" t="s">
        <v>80</v>
      </c>
      <c r="X3074" s="2">
        <v>1</v>
      </c>
      <c r="Y3074" s="2" t="s">
        <v>81</v>
      </c>
      <c r="Z3074" s="2">
        <v>10</v>
      </c>
      <c r="AA3074" s="2" t="s">
        <v>236</v>
      </c>
      <c r="AB3074" s="2">
        <v>9</v>
      </c>
      <c r="AC3074" s="2" t="s">
        <v>124</v>
      </c>
      <c r="AD3074" s="3">
        <v>40385</v>
      </c>
      <c r="AE3074" s="4">
        <v>0.64583333333333337</v>
      </c>
      <c r="AF3074" s="2"/>
      <c r="AG3074" s="2"/>
      <c r="AH3074" s="2">
        <v>2</v>
      </c>
      <c r="AI3074" s="2" t="s">
        <v>84</v>
      </c>
      <c r="AJ3074" s="2">
        <v>12</v>
      </c>
      <c r="AK3074" s="2" t="s">
        <v>85</v>
      </c>
      <c r="AL3074" s="2">
        <v>20</v>
      </c>
      <c r="AM3074" s="2" t="s">
        <v>992</v>
      </c>
      <c r="AN3074" s="2" t="s">
        <v>107</v>
      </c>
      <c r="AO3074" s="2" t="s">
        <v>993</v>
      </c>
      <c r="AP3074" s="2">
        <v>11</v>
      </c>
      <c r="AQ3074" s="2" t="s">
        <v>82</v>
      </c>
      <c r="AR3074" s="2"/>
      <c r="AS3074" s="2"/>
      <c r="AT3074" s="2" t="s">
        <v>10053</v>
      </c>
      <c r="AU3074" s="2"/>
      <c r="AV3074" s="2"/>
      <c r="AW3074" s="2"/>
      <c r="AX3074" s="2"/>
      <c r="AY3074" s="2">
        <v>41</v>
      </c>
      <c r="AZ3074" s="2" t="s">
        <v>82</v>
      </c>
      <c r="BA3074" s="2">
        <v>41</v>
      </c>
      <c r="BB3074" s="2" t="s">
        <v>82</v>
      </c>
      <c r="BC3074" s="2">
        <v>41</v>
      </c>
      <c r="BD3074" s="2" t="s">
        <v>82</v>
      </c>
      <c r="BE3074" s="2">
        <v>41</v>
      </c>
      <c r="BF3074" s="2" t="s">
        <v>82</v>
      </c>
      <c r="BG3074" s="2"/>
      <c r="BH3074" s="2"/>
      <c r="BI3074" s="2"/>
      <c r="BJ3074" s="2">
        <v>241</v>
      </c>
      <c r="BK3074" s="2" t="s">
        <v>82</v>
      </c>
      <c r="BL3074" s="2"/>
      <c r="BM3074" s="2">
        <v>241</v>
      </c>
      <c r="BN3074" s="2" t="s">
        <v>82</v>
      </c>
      <c r="BO3074" s="2"/>
      <c r="BP3074" s="2">
        <v>241</v>
      </c>
      <c r="BQ3074" s="2" t="s">
        <v>82</v>
      </c>
      <c r="BR3074" s="2"/>
      <c r="BS3074" s="3">
        <v>40387</v>
      </c>
      <c r="BT3074" s="4">
        <v>0.54723379629629632</v>
      </c>
    </row>
    <row r="3075" spans="1:72" x14ac:dyDescent="0.25">
      <c r="A3075" s="2">
        <v>4547</v>
      </c>
      <c r="B3075" s="2">
        <v>2010</v>
      </c>
      <c r="C3075" s="2" t="s">
        <v>377</v>
      </c>
      <c r="D3075" s="2" t="s">
        <v>73</v>
      </c>
      <c r="E3075" s="2"/>
      <c r="F3075" s="2">
        <v>426</v>
      </c>
      <c r="G3075" s="2" t="s">
        <v>378</v>
      </c>
      <c r="H3075" s="2">
        <v>22</v>
      </c>
      <c r="I3075" s="2" t="s">
        <v>75</v>
      </c>
      <c r="J3075" s="2">
        <v>311</v>
      </c>
      <c r="K3075" s="2" t="s">
        <v>379</v>
      </c>
      <c r="L3075" s="2" t="s">
        <v>380</v>
      </c>
      <c r="M3075" s="3">
        <v>40387</v>
      </c>
      <c r="N3075" s="2" t="s">
        <v>4427</v>
      </c>
      <c r="O3075" s="2"/>
      <c r="P3075" s="2"/>
      <c r="Q3075" s="2" t="str">
        <f>"191-C/10"</f>
        <v>191-C/10</v>
      </c>
      <c r="R3075" s="2" t="s">
        <v>4072</v>
      </c>
      <c r="S3075" s="2" t="s">
        <v>4072</v>
      </c>
      <c r="T3075" s="2">
        <v>1</v>
      </c>
      <c r="U3075" s="2" t="s">
        <v>79</v>
      </c>
      <c r="V3075" s="2">
        <v>1</v>
      </c>
      <c r="W3075" s="2" t="s">
        <v>80</v>
      </c>
      <c r="X3075" s="2">
        <v>1</v>
      </c>
      <c r="Y3075" s="2" t="s">
        <v>81</v>
      </c>
      <c r="Z3075" s="2">
        <v>1</v>
      </c>
      <c r="AA3075" s="2" t="s">
        <v>82</v>
      </c>
      <c r="AB3075" s="2">
        <v>9</v>
      </c>
      <c r="AC3075" s="2" t="s">
        <v>124</v>
      </c>
      <c r="AD3075" s="3">
        <v>40386</v>
      </c>
      <c r="AE3075" s="4">
        <v>0.76041666666666663</v>
      </c>
      <c r="AF3075" s="2"/>
      <c r="AG3075" s="2"/>
      <c r="AH3075" s="2">
        <v>2</v>
      </c>
      <c r="AI3075" s="2" t="s">
        <v>84</v>
      </c>
      <c r="AJ3075" s="2">
        <v>9</v>
      </c>
      <c r="AK3075" s="2" t="s">
        <v>103</v>
      </c>
      <c r="AL3075" s="2">
        <v>29</v>
      </c>
      <c r="AM3075" s="2" t="s">
        <v>5416</v>
      </c>
      <c r="AN3075" s="2" t="s">
        <v>7471</v>
      </c>
      <c r="AO3075" s="2" t="s">
        <v>987</v>
      </c>
      <c r="AP3075" s="2">
        <v>11</v>
      </c>
      <c r="AQ3075" s="2" t="s">
        <v>82</v>
      </c>
      <c r="AR3075" s="2"/>
      <c r="AS3075" s="2"/>
      <c r="AT3075" s="2" t="s">
        <v>10054</v>
      </c>
      <c r="AU3075" s="2"/>
      <c r="AV3075" s="2"/>
      <c r="AW3075" s="2"/>
      <c r="AX3075" s="2"/>
      <c r="AY3075" s="2">
        <v>41</v>
      </c>
      <c r="AZ3075" s="2" t="s">
        <v>82</v>
      </c>
      <c r="BA3075" s="2">
        <v>41</v>
      </c>
      <c r="BB3075" s="2" t="s">
        <v>82</v>
      </c>
      <c r="BC3075" s="2">
        <v>41</v>
      </c>
      <c r="BD3075" s="2" t="s">
        <v>82</v>
      </c>
      <c r="BE3075" s="2">
        <v>41</v>
      </c>
      <c r="BF3075" s="2" t="s">
        <v>82</v>
      </c>
      <c r="BG3075" s="2"/>
      <c r="BH3075" s="2"/>
      <c r="BI3075" s="2"/>
      <c r="BJ3075" s="2">
        <v>241</v>
      </c>
      <c r="BK3075" s="2" t="s">
        <v>82</v>
      </c>
      <c r="BL3075" s="2"/>
      <c r="BM3075" s="2">
        <v>241</v>
      </c>
      <c r="BN3075" s="2" t="s">
        <v>82</v>
      </c>
      <c r="BO3075" s="2"/>
      <c r="BP3075" s="2">
        <v>241</v>
      </c>
      <c r="BQ3075" s="2" t="s">
        <v>82</v>
      </c>
      <c r="BR3075" s="2"/>
      <c r="BS3075" s="3">
        <v>40387</v>
      </c>
      <c r="BT3075" s="4">
        <v>0.56717592592592592</v>
      </c>
    </row>
    <row r="3076" spans="1:72" x14ac:dyDescent="0.25">
      <c r="A3076" s="2">
        <v>4551</v>
      </c>
      <c r="B3076" s="2">
        <v>2010</v>
      </c>
      <c r="C3076" s="2" t="s">
        <v>385</v>
      </c>
      <c r="D3076" s="2" t="s">
        <v>122</v>
      </c>
      <c r="E3076" s="2"/>
      <c r="F3076" s="2">
        <v>9</v>
      </c>
      <c r="G3076" s="2" t="s">
        <v>364</v>
      </c>
      <c r="H3076" s="2">
        <v>44</v>
      </c>
      <c r="I3076" s="2" t="s">
        <v>1272</v>
      </c>
      <c r="J3076" s="2">
        <v>18</v>
      </c>
      <c r="K3076" s="2" t="s">
        <v>365</v>
      </c>
      <c r="L3076" s="2" t="s">
        <v>115</v>
      </c>
      <c r="M3076" s="3">
        <v>40387</v>
      </c>
      <c r="N3076" s="2" t="s">
        <v>10055</v>
      </c>
      <c r="O3076" s="2" t="s">
        <v>10056</v>
      </c>
      <c r="P3076" s="2" t="s">
        <v>10057</v>
      </c>
      <c r="Q3076" s="2" t="str">
        <f>"S/D"</f>
        <v>S/D</v>
      </c>
      <c r="R3076" s="2" t="s">
        <v>107</v>
      </c>
      <c r="S3076" s="2" t="s">
        <v>107</v>
      </c>
      <c r="T3076" s="2">
        <v>1</v>
      </c>
      <c r="U3076" s="2" t="s">
        <v>79</v>
      </c>
      <c r="V3076" s="2">
        <v>1</v>
      </c>
      <c r="W3076" s="2" t="s">
        <v>80</v>
      </c>
      <c r="X3076" s="2">
        <v>11</v>
      </c>
      <c r="Y3076" s="2" t="s">
        <v>1920</v>
      </c>
      <c r="Z3076" s="2">
        <v>1</v>
      </c>
      <c r="AA3076" s="2" t="s">
        <v>82</v>
      </c>
      <c r="AB3076" s="2">
        <v>9</v>
      </c>
      <c r="AC3076" s="2" t="s">
        <v>124</v>
      </c>
      <c r="AD3076" s="3">
        <v>40387</v>
      </c>
      <c r="AE3076" s="4">
        <v>0.58333333333333337</v>
      </c>
      <c r="AF3076" s="2"/>
      <c r="AG3076" s="2"/>
      <c r="AH3076" s="2">
        <v>3</v>
      </c>
      <c r="AI3076" s="2" t="s">
        <v>214</v>
      </c>
      <c r="AJ3076" s="2">
        <v>24</v>
      </c>
      <c r="AK3076" s="2" t="s">
        <v>215</v>
      </c>
      <c r="AL3076" s="2">
        <v>19</v>
      </c>
      <c r="AM3076" s="2" t="s">
        <v>107</v>
      </c>
      <c r="AN3076" s="2" t="s">
        <v>107</v>
      </c>
      <c r="AO3076" s="2" t="s">
        <v>107</v>
      </c>
      <c r="AP3076" s="2">
        <v>11</v>
      </c>
      <c r="AQ3076" s="2" t="s">
        <v>82</v>
      </c>
      <c r="AR3076" s="2" t="s">
        <v>82</v>
      </c>
      <c r="AS3076" s="2" t="s">
        <v>82</v>
      </c>
      <c r="AT3076" s="2" t="s">
        <v>10058</v>
      </c>
      <c r="AU3076" s="2">
        <v>1</v>
      </c>
      <c r="AV3076" s="2"/>
      <c r="AW3076" s="2"/>
      <c r="AX3076" s="2"/>
      <c r="AY3076" s="2">
        <v>1</v>
      </c>
      <c r="AZ3076" s="2" t="s">
        <v>107</v>
      </c>
      <c r="BA3076" s="2">
        <v>1</v>
      </c>
      <c r="BB3076" s="2" t="s">
        <v>107</v>
      </c>
      <c r="BC3076" s="2">
        <v>1</v>
      </c>
      <c r="BD3076" s="2" t="s">
        <v>107</v>
      </c>
      <c r="BE3076" s="2">
        <v>47</v>
      </c>
      <c r="BF3076" s="2" t="s">
        <v>167</v>
      </c>
      <c r="BG3076" s="2">
        <v>2529</v>
      </c>
      <c r="BH3076" s="4">
        <v>0.63888888888888895</v>
      </c>
      <c r="BI3076" s="4">
        <v>0.58333333333333337</v>
      </c>
      <c r="BJ3076" s="2">
        <v>13</v>
      </c>
      <c r="BK3076" s="2" t="s">
        <v>91</v>
      </c>
      <c r="BL3076" s="2" t="s">
        <v>169</v>
      </c>
      <c r="BM3076" s="2">
        <v>242</v>
      </c>
      <c r="BN3076" s="2" t="s">
        <v>107</v>
      </c>
      <c r="BO3076" s="2" t="s">
        <v>107</v>
      </c>
      <c r="BP3076" s="2">
        <v>13</v>
      </c>
      <c r="BQ3076" s="2" t="s">
        <v>91</v>
      </c>
      <c r="BR3076" s="2" t="s">
        <v>170</v>
      </c>
      <c r="BS3076" s="3">
        <v>40387</v>
      </c>
      <c r="BT3076" s="4">
        <v>0.60501157407407413</v>
      </c>
    </row>
    <row r="3077" spans="1:72" x14ac:dyDescent="0.25">
      <c r="A3077" s="2">
        <v>4553</v>
      </c>
      <c r="B3077" s="2">
        <v>2010</v>
      </c>
      <c r="C3077" s="2" t="s">
        <v>93</v>
      </c>
      <c r="D3077" s="2" t="s">
        <v>122</v>
      </c>
      <c r="E3077" s="2"/>
      <c r="F3077" s="2">
        <v>659</v>
      </c>
      <c r="G3077" s="2" t="s">
        <v>10059</v>
      </c>
      <c r="H3077" s="2">
        <v>42</v>
      </c>
      <c r="I3077" s="2" t="s">
        <v>1096</v>
      </c>
      <c r="J3077" s="2">
        <v>1</v>
      </c>
      <c r="K3077" s="2" t="s">
        <v>107</v>
      </c>
      <c r="L3077" s="2" t="s">
        <v>107</v>
      </c>
      <c r="M3077" s="3">
        <v>40387</v>
      </c>
      <c r="N3077" s="2" t="s">
        <v>10060</v>
      </c>
      <c r="O3077" s="2" t="s">
        <v>10061</v>
      </c>
      <c r="P3077" s="2">
        <v>8026932009</v>
      </c>
      <c r="Q3077" s="2" t="str">
        <f>"N/C"</f>
        <v>N/C</v>
      </c>
      <c r="R3077" s="2" t="s">
        <v>107</v>
      </c>
      <c r="S3077" s="2" t="s">
        <v>82</v>
      </c>
      <c r="T3077" s="2">
        <v>1</v>
      </c>
      <c r="U3077" s="2" t="s">
        <v>79</v>
      </c>
      <c r="V3077" s="2">
        <v>1</v>
      </c>
      <c r="W3077" s="2" t="s">
        <v>80</v>
      </c>
      <c r="X3077" s="2">
        <v>10</v>
      </c>
      <c r="Y3077" s="2" t="s">
        <v>226</v>
      </c>
      <c r="Z3077" s="2">
        <v>6</v>
      </c>
      <c r="AA3077" s="2" t="s">
        <v>101</v>
      </c>
      <c r="AB3077" s="2">
        <v>2</v>
      </c>
      <c r="AC3077" s="2" t="s">
        <v>102</v>
      </c>
      <c r="AD3077" s="3">
        <v>40387</v>
      </c>
      <c r="AE3077" s="4">
        <v>0.4513888888888889</v>
      </c>
      <c r="AF3077" s="2"/>
      <c r="AG3077" s="2"/>
      <c r="AH3077" s="2">
        <v>2</v>
      </c>
      <c r="AI3077" s="2" t="s">
        <v>84</v>
      </c>
      <c r="AJ3077" s="2">
        <v>12</v>
      </c>
      <c r="AK3077" s="2" t="s">
        <v>85</v>
      </c>
      <c r="AL3077" s="2">
        <v>25</v>
      </c>
      <c r="AM3077" s="2" t="s">
        <v>3073</v>
      </c>
      <c r="AN3077" s="2" t="s">
        <v>9097</v>
      </c>
      <c r="AO3077" s="2" t="s">
        <v>1059</v>
      </c>
      <c r="AP3077" s="2">
        <v>11</v>
      </c>
      <c r="AQ3077" s="2" t="s">
        <v>82</v>
      </c>
      <c r="AR3077" s="2"/>
      <c r="AS3077" s="2"/>
      <c r="AT3077" s="2" t="s">
        <v>10062</v>
      </c>
      <c r="AU3077" s="2"/>
      <c r="AV3077" s="2"/>
      <c r="AW3077" s="2"/>
      <c r="AX3077" s="2"/>
      <c r="AY3077" s="2">
        <v>41</v>
      </c>
      <c r="AZ3077" s="2" t="s">
        <v>82</v>
      </c>
      <c r="BA3077" s="2">
        <v>41</v>
      </c>
      <c r="BB3077" s="2" t="s">
        <v>82</v>
      </c>
      <c r="BC3077" s="2">
        <v>41</v>
      </c>
      <c r="BD3077" s="2" t="s">
        <v>82</v>
      </c>
      <c r="BE3077" s="2">
        <v>41</v>
      </c>
      <c r="BF3077" s="2" t="s">
        <v>82</v>
      </c>
      <c r="BG3077" s="2"/>
      <c r="BH3077" s="2"/>
      <c r="BI3077" s="2"/>
      <c r="BJ3077" s="2">
        <v>241</v>
      </c>
      <c r="BK3077" s="2" t="s">
        <v>82</v>
      </c>
      <c r="BL3077" s="2"/>
      <c r="BM3077" s="2">
        <v>241</v>
      </c>
      <c r="BN3077" s="2" t="s">
        <v>82</v>
      </c>
      <c r="BO3077" s="2"/>
      <c r="BP3077" s="2">
        <v>241</v>
      </c>
      <c r="BQ3077" s="2" t="s">
        <v>82</v>
      </c>
      <c r="BR3077" s="2"/>
      <c r="BS3077" s="3">
        <v>40387</v>
      </c>
      <c r="BT3077" s="4">
        <v>0.65136574074074072</v>
      </c>
    </row>
    <row r="3078" spans="1:72" x14ac:dyDescent="0.25">
      <c r="A3078" s="2">
        <v>4555</v>
      </c>
      <c r="B3078" s="2">
        <v>2010</v>
      </c>
      <c r="C3078" s="2" t="s">
        <v>457</v>
      </c>
      <c r="D3078" s="2" t="s">
        <v>73</v>
      </c>
      <c r="E3078" s="2"/>
      <c r="F3078" s="2">
        <v>9</v>
      </c>
      <c r="G3078" s="2" t="s">
        <v>364</v>
      </c>
      <c r="H3078" s="2">
        <v>50</v>
      </c>
      <c r="I3078" s="2" t="s">
        <v>107</v>
      </c>
      <c r="J3078" s="2">
        <v>1</v>
      </c>
      <c r="K3078" s="2" t="s">
        <v>107</v>
      </c>
      <c r="L3078" s="2" t="s">
        <v>107</v>
      </c>
      <c r="M3078" s="3">
        <v>40387</v>
      </c>
      <c r="N3078" s="2" t="s">
        <v>10055</v>
      </c>
      <c r="O3078" s="2" t="s">
        <v>10063</v>
      </c>
      <c r="P3078" s="2" t="s">
        <v>10064</v>
      </c>
      <c r="Q3078" s="2" t="str">
        <f>"N/C"</f>
        <v>N/C</v>
      </c>
      <c r="R3078" s="2" t="s">
        <v>107</v>
      </c>
      <c r="S3078" s="2" t="s">
        <v>82</v>
      </c>
      <c r="T3078" s="2">
        <v>1</v>
      </c>
      <c r="U3078" s="2" t="s">
        <v>79</v>
      </c>
      <c r="V3078" s="2">
        <v>1</v>
      </c>
      <c r="W3078" s="2" t="s">
        <v>80</v>
      </c>
      <c r="X3078" s="2">
        <v>4</v>
      </c>
      <c r="Y3078" s="2" t="s">
        <v>463</v>
      </c>
      <c r="Z3078" s="2">
        <v>9</v>
      </c>
      <c r="AA3078" s="2" t="s">
        <v>1119</v>
      </c>
      <c r="AB3078" s="2">
        <v>9</v>
      </c>
      <c r="AC3078" s="2" t="s">
        <v>124</v>
      </c>
      <c r="AD3078" s="3">
        <v>40387</v>
      </c>
      <c r="AE3078" s="4">
        <v>0.61111111111111105</v>
      </c>
      <c r="AF3078" s="2"/>
      <c r="AG3078" s="2"/>
      <c r="AH3078" s="2">
        <v>2</v>
      </c>
      <c r="AI3078" s="2" t="s">
        <v>84</v>
      </c>
      <c r="AJ3078" s="2">
        <v>12</v>
      </c>
      <c r="AK3078" s="2" t="s">
        <v>85</v>
      </c>
      <c r="AL3078" s="2">
        <v>10</v>
      </c>
      <c r="AM3078" s="2" t="s">
        <v>200</v>
      </c>
      <c r="AN3078" s="2" t="s">
        <v>107</v>
      </c>
      <c r="AO3078" s="2" t="s">
        <v>10065</v>
      </c>
      <c r="AP3078" s="2">
        <v>11</v>
      </c>
      <c r="AQ3078" s="2" t="s">
        <v>82</v>
      </c>
      <c r="AR3078" s="2"/>
      <c r="AS3078" s="2"/>
      <c r="AT3078" s="2" t="s">
        <v>10066</v>
      </c>
      <c r="AU3078" s="2">
        <v>1</v>
      </c>
      <c r="AV3078" s="2"/>
      <c r="AW3078" s="2"/>
      <c r="AX3078" s="2"/>
      <c r="AY3078" s="2">
        <v>41</v>
      </c>
      <c r="AZ3078" s="2" t="s">
        <v>82</v>
      </c>
      <c r="BA3078" s="2">
        <v>41</v>
      </c>
      <c r="BB3078" s="2" t="s">
        <v>82</v>
      </c>
      <c r="BC3078" s="2">
        <v>41</v>
      </c>
      <c r="BD3078" s="2" t="s">
        <v>82</v>
      </c>
      <c r="BE3078" s="2">
        <v>13</v>
      </c>
      <c r="BF3078" s="2" t="s">
        <v>108</v>
      </c>
      <c r="BG3078" s="2" t="s">
        <v>10067</v>
      </c>
      <c r="BH3078" s="4">
        <v>0.61805555555555558</v>
      </c>
      <c r="BI3078" s="4">
        <v>0.59027777777777779</v>
      </c>
      <c r="BJ3078" s="2">
        <v>13</v>
      </c>
      <c r="BK3078" s="2" t="s">
        <v>91</v>
      </c>
      <c r="BL3078" s="2" t="s">
        <v>169</v>
      </c>
      <c r="BM3078" s="2">
        <v>241</v>
      </c>
      <c r="BN3078" s="2" t="s">
        <v>82</v>
      </c>
      <c r="BO3078" s="2"/>
      <c r="BP3078" s="2">
        <v>13</v>
      </c>
      <c r="BQ3078" s="2" t="s">
        <v>91</v>
      </c>
      <c r="BR3078" s="2" t="s">
        <v>185</v>
      </c>
      <c r="BS3078" s="3">
        <v>40387</v>
      </c>
      <c r="BT3078" s="4">
        <v>0.74443287037037031</v>
      </c>
    </row>
    <row r="3079" spans="1:72" x14ac:dyDescent="0.25">
      <c r="A3079" s="2">
        <v>4557</v>
      </c>
      <c r="B3079" s="2">
        <v>2010</v>
      </c>
      <c r="C3079" s="2" t="s">
        <v>171</v>
      </c>
      <c r="D3079" s="2" t="s">
        <v>122</v>
      </c>
      <c r="E3079" s="2"/>
      <c r="F3079" s="2">
        <v>337</v>
      </c>
      <c r="G3079" s="2" t="s">
        <v>1190</v>
      </c>
      <c r="H3079" s="2">
        <v>60</v>
      </c>
      <c r="I3079" s="2" t="s">
        <v>2704</v>
      </c>
      <c r="J3079" s="2">
        <v>374</v>
      </c>
      <c r="K3079" s="2" t="s">
        <v>1191</v>
      </c>
      <c r="L3079" s="2" t="s">
        <v>132</v>
      </c>
      <c r="M3079" s="3">
        <v>40387</v>
      </c>
      <c r="N3079" s="2" t="s">
        <v>6202</v>
      </c>
      <c r="O3079" s="2" t="s">
        <v>10068</v>
      </c>
      <c r="P3079" s="2" t="s">
        <v>10069</v>
      </c>
      <c r="Q3079" s="2" t="str">
        <f>"0017/2010"</f>
        <v>0017/2010</v>
      </c>
      <c r="R3079" s="2" t="s">
        <v>10068</v>
      </c>
      <c r="S3079" s="2"/>
      <c r="T3079" s="2">
        <v>1</v>
      </c>
      <c r="U3079" s="2" t="s">
        <v>79</v>
      </c>
      <c r="V3079" s="2">
        <v>1</v>
      </c>
      <c r="W3079" s="2" t="s">
        <v>80</v>
      </c>
      <c r="X3079" s="2">
        <v>11</v>
      </c>
      <c r="Y3079" s="2" t="s">
        <v>1920</v>
      </c>
      <c r="Z3079" s="2">
        <v>1</v>
      </c>
      <c r="AA3079" s="2" t="s">
        <v>82</v>
      </c>
      <c r="AB3079" s="2">
        <v>1</v>
      </c>
      <c r="AC3079" s="2" t="s">
        <v>178</v>
      </c>
      <c r="AD3079" s="2"/>
      <c r="AE3079" s="2"/>
      <c r="AF3079" s="2"/>
      <c r="AG3079" s="2"/>
      <c r="AH3079" s="2">
        <v>5</v>
      </c>
      <c r="AI3079" s="2" t="s">
        <v>274</v>
      </c>
      <c r="AJ3079" s="2">
        <v>35</v>
      </c>
      <c r="AK3079" s="2" t="s">
        <v>275</v>
      </c>
      <c r="AL3079" s="2">
        <v>23</v>
      </c>
      <c r="AM3079" s="2" t="s">
        <v>251</v>
      </c>
      <c r="AN3079" s="2"/>
      <c r="AO3079" s="2" t="s">
        <v>10070</v>
      </c>
      <c r="AP3079" s="2">
        <v>5</v>
      </c>
      <c r="AQ3079" s="2" t="s">
        <v>827</v>
      </c>
      <c r="AR3079" s="2"/>
      <c r="AS3079" s="2"/>
      <c r="AT3079" s="2" t="s">
        <v>10071</v>
      </c>
      <c r="AU3079" s="2"/>
      <c r="AV3079" s="2"/>
      <c r="AW3079" s="2"/>
      <c r="AX3079" s="2"/>
      <c r="AY3079" s="2">
        <v>1</v>
      </c>
      <c r="AZ3079" s="2" t="s">
        <v>107</v>
      </c>
      <c r="BA3079" s="2">
        <v>1</v>
      </c>
      <c r="BB3079" s="2" t="s">
        <v>107</v>
      </c>
      <c r="BC3079" s="2">
        <v>1</v>
      </c>
      <c r="BD3079" s="2" t="s">
        <v>107</v>
      </c>
      <c r="BE3079" s="2">
        <v>1</v>
      </c>
      <c r="BF3079" s="2" t="s">
        <v>107</v>
      </c>
      <c r="BG3079" s="2"/>
      <c r="BH3079" s="2"/>
      <c r="BI3079" s="2"/>
      <c r="BJ3079" s="2">
        <v>242</v>
      </c>
      <c r="BK3079" s="2" t="s">
        <v>107</v>
      </c>
      <c r="BL3079" s="2"/>
      <c r="BM3079" s="2">
        <v>242</v>
      </c>
      <c r="BN3079" s="2" t="s">
        <v>107</v>
      </c>
      <c r="BO3079" s="2"/>
      <c r="BP3079" s="2">
        <v>242</v>
      </c>
      <c r="BQ3079" s="2" t="s">
        <v>107</v>
      </c>
      <c r="BR3079" s="2"/>
      <c r="BS3079" s="3">
        <v>40387</v>
      </c>
      <c r="BT3079" s="4">
        <v>0.7565277777777778</v>
      </c>
    </row>
    <row r="3080" spans="1:72" x14ac:dyDescent="0.25">
      <c r="A3080" s="2">
        <v>4558</v>
      </c>
      <c r="B3080" s="2">
        <v>2010</v>
      </c>
      <c r="C3080" s="2" t="s">
        <v>72</v>
      </c>
      <c r="D3080" s="2" t="s">
        <v>73</v>
      </c>
      <c r="E3080" s="2"/>
      <c r="F3080" s="2">
        <v>40</v>
      </c>
      <c r="G3080" s="2" t="s">
        <v>1173</v>
      </c>
      <c r="H3080" s="2">
        <v>70</v>
      </c>
      <c r="I3080" s="2" t="s">
        <v>10072</v>
      </c>
      <c r="J3080" s="2">
        <v>468</v>
      </c>
      <c r="K3080" s="2" t="s">
        <v>1619</v>
      </c>
      <c r="L3080" s="2" t="s">
        <v>1620</v>
      </c>
      <c r="M3080" s="3">
        <v>40387</v>
      </c>
      <c r="N3080" s="2" t="s">
        <v>10073</v>
      </c>
      <c r="O3080" s="2" t="s">
        <v>10074</v>
      </c>
      <c r="P3080" s="2"/>
      <c r="Q3080" s="2" t="str">
        <f>"006S-10"</f>
        <v>006S-10</v>
      </c>
      <c r="R3080" s="2"/>
      <c r="S3080" s="2"/>
      <c r="T3080" s="2">
        <v>1</v>
      </c>
      <c r="U3080" s="2" t="s">
        <v>79</v>
      </c>
      <c r="V3080" s="2">
        <v>1</v>
      </c>
      <c r="W3080" s="2" t="s">
        <v>80</v>
      </c>
      <c r="X3080" s="2">
        <v>12</v>
      </c>
      <c r="Y3080" s="2" t="s">
        <v>148</v>
      </c>
      <c r="Z3080" s="2">
        <v>1</v>
      </c>
      <c r="AA3080" s="2" t="s">
        <v>82</v>
      </c>
      <c r="AB3080" s="2">
        <v>6</v>
      </c>
      <c r="AC3080" s="2" t="s">
        <v>83</v>
      </c>
      <c r="AD3080" s="3">
        <v>40387</v>
      </c>
      <c r="AE3080" s="2"/>
      <c r="AF3080" s="3">
        <v>40387</v>
      </c>
      <c r="AG3080" s="4">
        <v>0.90277777777777779</v>
      </c>
      <c r="AH3080" s="2">
        <v>2</v>
      </c>
      <c r="AI3080" s="2" t="s">
        <v>84</v>
      </c>
      <c r="AJ3080" s="2">
        <v>11</v>
      </c>
      <c r="AK3080" s="2" t="s">
        <v>751</v>
      </c>
      <c r="AL3080" s="2">
        <v>25</v>
      </c>
      <c r="AM3080" s="2" t="s">
        <v>3073</v>
      </c>
      <c r="AN3080" s="2" t="s">
        <v>10075</v>
      </c>
      <c r="AO3080" s="2"/>
      <c r="AP3080" s="2">
        <v>11</v>
      </c>
      <c r="AQ3080" s="2" t="s">
        <v>82</v>
      </c>
      <c r="AR3080" s="2"/>
      <c r="AS3080" s="2"/>
      <c r="AT3080" s="2" t="s">
        <v>10076</v>
      </c>
      <c r="AU3080" s="2"/>
      <c r="AV3080" s="2"/>
      <c r="AW3080" s="2"/>
      <c r="AX3080" s="2"/>
      <c r="AY3080" s="2">
        <v>44</v>
      </c>
      <c r="AZ3080" s="2" t="s">
        <v>262</v>
      </c>
      <c r="BA3080" s="2">
        <v>41</v>
      </c>
      <c r="BB3080" s="2" t="s">
        <v>82</v>
      </c>
      <c r="BC3080" s="2">
        <v>41</v>
      </c>
      <c r="BD3080" s="2" t="s">
        <v>82</v>
      </c>
      <c r="BE3080" s="2">
        <v>41</v>
      </c>
      <c r="BF3080" s="2" t="s">
        <v>82</v>
      </c>
      <c r="BG3080" s="2"/>
      <c r="BH3080" s="2"/>
      <c r="BI3080" s="2"/>
      <c r="BJ3080" s="2">
        <v>241</v>
      </c>
      <c r="BK3080" s="2" t="s">
        <v>82</v>
      </c>
      <c r="BL3080" s="2"/>
      <c r="BM3080" s="2">
        <v>241</v>
      </c>
      <c r="BN3080" s="2" t="s">
        <v>82</v>
      </c>
      <c r="BO3080" s="2"/>
      <c r="BP3080" s="2">
        <v>241</v>
      </c>
      <c r="BQ3080" s="2" t="s">
        <v>82</v>
      </c>
      <c r="BR3080" s="2"/>
      <c r="BS3080" s="3">
        <v>40387</v>
      </c>
      <c r="BT3080" s="4">
        <v>0.79063657407407406</v>
      </c>
    </row>
    <row r="3081" spans="1:72" x14ac:dyDescent="0.25">
      <c r="A3081" s="2">
        <v>4559</v>
      </c>
      <c r="B3081" s="2">
        <v>2010</v>
      </c>
      <c r="C3081" s="2" t="s">
        <v>255</v>
      </c>
      <c r="D3081" s="2" t="s">
        <v>122</v>
      </c>
      <c r="E3081" s="2"/>
      <c r="F3081" s="2">
        <v>68</v>
      </c>
      <c r="G3081" s="2" t="s">
        <v>10077</v>
      </c>
      <c r="H3081" s="2">
        <v>42</v>
      </c>
      <c r="I3081" s="2" t="s">
        <v>1096</v>
      </c>
      <c r="J3081" s="2">
        <v>284</v>
      </c>
      <c r="K3081" s="2" t="s">
        <v>4465</v>
      </c>
      <c r="L3081" s="2" t="s">
        <v>4466</v>
      </c>
      <c r="M3081" s="3">
        <v>40387</v>
      </c>
      <c r="N3081" s="2" t="s">
        <v>9222</v>
      </c>
      <c r="O3081" s="2" t="s">
        <v>947</v>
      </c>
      <c r="P3081" s="2"/>
      <c r="Q3081" s="2" t="str">
        <f>"006/2010"</f>
        <v>006/2010</v>
      </c>
      <c r="R3081" s="2" t="s">
        <v>947</v>
      </c>
      <c r="S3081" s="2" t="s">
        <v>947</v>
      </c>
      <c r="T3081" s="2">
        <v>1</v>
      </c>
      <c r="U3081" s="2" t="s">
        <v>79</v>
      </c>
      <c r="V3081" s="2">
        <v>1</v>
      </c>
      <c r="W3081" s="2" t="s">
        <v>80</v>
      </c>
      <c r="X3081" s="2">
        <v>1</v>
      </c>
      <c r="Y3081" s="2" t="s">
        <v>81</v>
      </c>
      <c r="Z3081" s="2">
        <v>1</v>
      </c>
      <c r="AA3081" s="2" t="s">
        <v>82</v>
      </c>
      <c r="AB3081" s="2">
        <v>9</v>
      </c>
      <c r="AC3081" s="2" t="s">
        <v>124</v>
      </c>
      <c r="AD3081" s="3">
        <v>40387</v>
      </c>
      <c r="AE3081" s="4">
        <v>0.76388888888888884</v>
      </c>
      <c r="AF3081" s="2"/>
      <c r="AG3081" s="2"/>
      <c r="AH3081" s="2">
        <v>3</v>
      </c>
      <c r="AI3081" s="2" t="s">
        <v>214</v>
      </c>
      <c r="AJ3081" s="2">
        <v>18</v>
      </c>
      <c r="AK3081" s="2" t="s">
        <v>4469</v>
      </c>
      <c r="AL3081" s="2">
        <v>9</v>
      </c>
      <c r="AM3081" s="2" t="s">
        <v>259</v>
      </c>
      <c r="AN3081" s="2" t="s">
        <v>10078</v>
      </c>
      <c r="AO3081" s="2" t="s">
        <v>10079</v>
      </c>
      <c r="AP3081" s="2">
        <v>11</v>
      </c>
      <c r="AQ3081" s="2" t="s">
        <v>82</v>
      </c>
      <c r="AR3081" s="2"/>
      <c r="AS3081" s="2"/>
      <c r="AT3081" s="2" t="s">
        <v>10080</v>
      </c>
      <c r="AU3081" s="2"/>
      <c r="AV3081" s="2"/>
      <c r="AW3081" s="2"/>
      <c r="AX3081" s="2"/>
      <c r="AY3081" s="2">
        <v>41</v>
      </c>
      <c r="AZ3081" s="2" t="s">
        <v>82</v>
      </c>
      <c r="BA3081" s="2">
        <v>41</v>
      </c>
      <c r="BB3081" s="2" t="s">
        <v>82</v>
      </c>
      <c r="BC3081" s="2">
        <v>41</v>
      </c>
      <c r="BD3081" s="2" t="s">
        <v>82</v>
      </c>
      <c r="BE3081" s="2">
        <v>41</v>
      </c>
      <c r="BF3081" s="2" t="s">
        <v>82</v>
      </c>
      <c r="BG3081" s="2"/>
      <c r="BH3081" s="2"/>
      <c r="BI3081" s="2"/>
      <c r="BJ3081" s="2">
        <v>241</v>
      </c>
      <c r="BK3081" s="2" t="s">
        <v>82</v>
      </c>
      <c r="BL3081" s="2"/>
      <c r="BM3081" s="2">
        <v>241</v>
      </c>
      <c r="BN3081" s="2" t="s">
        <v>82</v>
      </c>
      <c r="BO3081" s="2"/>
      <c r="BP3081" s="2">
        <v>241</v>
      </c>
      <c r="BQ3081" s="2" t="s">
        <v>82</v>
      </c>
      <c r="BR3081" s="2"/>
      <c r="BS3081" s="3">
        <v>40387</v>
      </c>
      <c r="BT3081" s="4">
        <v>0.84284722222222219</v>
      </c>
    </row>
    <row r="3082" spans="1:72" x14ac:dyDescent="0.25">
      <c r="A3082" s="2">
        <v>4560</v>
      </c>
      <c r="B3082" s="2">
        <v>2010</v>
      </c>
      <c r="C3082" s="2" t="s">
        <v>414</v>
      </c>
      <c r="D3082" s="2" t="s">
        <v>122</v>
      </c>
      <c r="E3082" s="2"/>
      <c r="F3082" s="2">
        <v>35</v>
      </c>
      <c r="G3082" s="2" t="s">
        <v>2057</v>
      </c>
      <c r="H3082" s="2">
        <v>112</v>
      </c>
      <c r="I3082" s="2" t="s">
        <v>7351</v>
      </c>
      <c r="J3082" s="2">
        <v>43</v>
      </c>
      <c r="K3082" s="2" t="s">
        <v>2059</v>
      </c>
      <c r="L3082" s="2" t="s">
        <v>2060</v>
      </c>
      <c r="M3082" s="3">
        <v>40387</v>
      </c>
      <c r="N3082" s="2" t="s">
        <v>10081</v>
      </c>
      <c r="O3082" s="2" t="s">
        <v>82</v>
      </c>
      <c r="P3082" s="2" t="s">
        <v>82</v>
      </c>
      <c r="Q3082" s="2" t="str">
        <f>"N/C"</f>
        <v>N/C</v>
      </c>
      <c r="R3082" s="2" t="s">
        <v>82</v>
      </c>
      <c r="S3082" s="2" t="s">
        <v>82</v>
      </c>
      <c r="T3082" s="2">
        <v>1</v>
      </c>
      <c r="U3082" s="2" t="s">
        <v>79</v>
      </c>
      <c r="V3082" s="2">
        <v>1</v>
      </c>
      <c r="W3082" s="2" t="s">
        <v>80</v>
      </c>
      <c r="X3082" s="2">
        <v>1</v>
      </c>
      <c r="Y3082" s="2" t="s">
        <v>81</v>
      </c>
      <c r="Z3082" s="2">
        <v>1</v>
      </c>
      <c r="AA3082" s="2" t="s">
        <v>82</v>
      </c>
      <c r="AB3082" s="2">
        <v>9</v>
      </c>
      <c r="AC3082" s="2" t="s">
        <v>124</v>
      </c>
      <c r="AD3082" s="3">
        <v>40387</v>
      </c>
      <c r="AE3082" s="4">
        <v>0.84027777777777779</v>
      </c>
      <c r="AF3082" s="3">
        <v>40387</v>
      </c>
      <c r="AG3082" s="4">
        <v>0.84027777777777779</v>
      </c>
      <c r="AH3082" s="2">
        <v>3</v>
      </c>
      <c r="AI3082" s="2" t="s">
        <v>214</v>
      </c>
      <c r="AJ3082" s="2">
        <v>17</v>
      </c>
      <c r="AK3082" s="2" t="s">
        <v>309</v>
      </c>
      <c r="AL3082" s="2">
        <v>12</v>
      </c>
      <c r="AM3082" s="2" t="s">
        <v>86</v>
      </c>
      <c r="AN3082" s="2"/>
      <c r="AO3082" s="2" t="s">
        <v>10082</v>
      </c>
      <c r="AP3082" s="2">
        <v>11</v>
      </c>
      <c r="AQ3082" s="2" t="s">
        <v>82</v>
      </c>
      <c r="AR3082" s="2" t="s">
        <v>82</v>
      </c>
      <c r="AS3082" s="2" t="s">
        <v>82</v>
      </c>
      <c r="AT3082" s="2" t="s">
        <v>10083</v>
      </c>
      <c r="AU3082" s="2"/>
      <c r="AV3082" s="2"/>
      <c r="AW3082" s="2"/>
      <c r="AX3082" s="2"/>
      <c r="AY3082" s="2">
        <v>41</v>
      </c>
      <c r="AZ3082" s="2" t="s">
        <v>82</v>
      </c>
      <c r="BA3082" s="2">
        <v>41</v>
      </c>
      <c r="BB3082" s="2" t="s">
        <v>82</v>
      </c>
      <c r="BC3082" s="2">
        <v>41</v>
      </c>
      <c r="BD3082" s="2" t="s">
        <v>82</v>
      </c>
      <c r="BE3082" s="2">
        <v>41</v>
      </c>
      <c r="BF3082" s="2" t="s">
        <v>82</v>
      </c>
      <c r="BG3082" s="2" t="s">
        <v>82</v>
      </c>
      <c r="BH3082" s="2"/>
      <c r="BI3082" s="2"/>
      <c r="BJ3082" s="2">
        <v>241</v>
      </c>
      <c r="BK3082" s="2" t="s">
        <v>82</v>
      </c>
      <c r="BL3082" s="2" t="s">
        <v>82</v>
      </c>
      <c r="BM3082" s="2">
        <v>241</v>
      </c>
      <c r="BN3082" s="2" t="s">
        <v>82</v>
      </c>
      <c r="BO3082" s="2" t="s">
        <v>82</v>
      </c>
      <c r="BP3082" s="2">
        <v>241</v>
      </c>
      <c r="BQ3082" s="2" t="s">
        <v>82</v>
      </c>
      <c r="BR3082" s="2" t="s">
        <v>82</v>
      </c>
      <c r="BS3082" s="3">
        <v>40387</v>
      </c>
      <c r="BT3082" s="4">
        <v>0.92168981481481482</v>
      </c>
    </row>
    <row r="3083" spans="1:72" x14ac:dyDescent="0.25">
      <c r="A3083" s="2">
        <v>4561</v>
      </c>
      <c r="B3083" s="2">
        <v>2010</v>
      </c>
      <c r="C3083" s="2" t="s">
        <v>255</v>
      </c>
      <c r="D3083" s="2" t="s">
        <v>73</v>
      </c>
      <c r="E3083" s="2"/>
      <c r="F3083" s="2">
        <v>45</v>
      </c>
      <c r="G3083" s="2" t="s">
        <v>1408</v>
      </c>
      <c r="H3083" s="2">
        <v>47</v>
      </c>
      <c r="I3083" s="2" t="s">
        <v>1409</v>
      </c>
      <c r="J3083" s="2">
        <v>614</v>
      </c>
      <c r="K3083" s="2" t="s">
        <v>5197</v>
      </c>
      <c r="L3083" s="2" t="s">
        <v>9426</v>
      </c>
      <c r="M3083" s="3">
        <v>40387</v>
      </c>
      <c r="N3083" s="2" t="s">
        <v>3425</v>
      </c>
      <c r="O3083" s="2"/>
      <c r="P3083" s="2"/>
      <c r="Q3083" s="2" t="str">
        <f>"019/10"</f>
        <v>019/10</v>
      </c>
      <c r="R3083" s="2" t="s">
        <v>10084</v>
      </c>
      <c r="S3083" s="2"/>
      <c r="T3083" s="2">
        <v>1</v>
      </c>
      <c r="U3083" s="2" t="s">
        <v>79</v>
      </c>
      <c r="V3083" s="2">
        <v>1</v>
      </c>
      <c r="W3083" s="2" t="s">
        <v>80</v>
      </c>
      <c r="X3083" s="2">
        <v>12</v>
      </c>
      <c r="Y3083" s="2" t="s">
        <v>148</v>
      </c>
      <c r="Z3083" s="2">
        <v>1</v>
      </c>
      <c r="AA3083" s="2" t="s">
        <v>82</v>
      </c>
      <c r="AB3083" s="2">
        <v>9</v>
      </c>
      <c r="AC3083" s="2" t="s">
        <v>124</v>
      </c>
      <c r="AD3083" s="3">
        <v>40387</v>
      </c>
      <c r="AE3083" s="2"/>
      <c r="AF3083" s="3">
        <v>40387</v>
      </c>
      <c r="AG3083" s="4">
        <v>0.69791666666666663</v>
      </c>
      <c r="AH3083" s="2">
        <v>4</v>
      </c>
      <c r="AI3083" s="2" t="s">
        <v>125</v>
      </c>
      <c r="AJ3083" s="2">
        <v>31</v>
      </c>
      <c r="AK3083" s="2" t="s">
        <v>1413</v>
      </c>
      <c r="AL3083" s="2">
        <v>28</v>
      </c>
      <c r="AM3083" s="2" t="s">
        <v>5969</v>
      </c>
      <c r="AN3083" s="2" t="s">
        <v>10085</v>
      </c>
      <c r="AO3083" s="2"/>
      <c r="AP3083" s="2">
        <v>11</v>
      </c>
      <c r="AQ3083" s="2" t="s">
        <v>82</v>
      </c>
      <c r="AR3083" s="2"/>
      <c r="AS3083" s="2"/>
      <c r="AT3083" s="2" t="s">
        <v>10086</v>
      </c>
      <c r="AU3083" s="2"/>
      <c r="AV3083" s="2"/>
      <c r="AW3083" s="2"/>
      <c r="AX3083" s="2"/>
      <c r="AY3083" s="2">
        <v>44</v>
      </c>
      <c r="AZ3083" s="2" t="s">
        <v>262</v>
      </c>
      <c r="BA3083" s="2">
        <v>70</v>
      </c>
      <c r="BB3083" s="2" t="s">
        <v>236</v>
      </c>
      <c r="BC3083" s="2">
        <v>41</v>
      </c>
      <c r="BD3083" s="2" t="s">
        <v>82</v>
      </c>
      <c r="BE3083" s="2">
        <v>41</v>
      </c>
      <c r="BF3083" s="2" t="s">
        <v>82</v>
      </c>
      <c r="BG3083" s="2"/>
      <c r="BH3083" s="2"/>
      <c r="BI3083" s="2"/>
      <c r="BJ3083" s="2">
        <v>241</v>
      </c>
      <c r="BK3083" s="2" t="s">
        <v>82</v>
      </c>
      <c r="BL3083" s="2"/>
      <c r="BM3083" s="2">
        <v>241</v>
      </c>
      <c r="BN3083" s="2" t="s">
        <v>82</v>
      </c>
      <c r="BO3083" s="2"/>
      <c r="BP3083" s="2">
        <v>241</v>
      </c>
      <c r="BQ3083" s="2" t="s">
        <v>82</v>
      </c>
      <c r="BR3083" s="2"/>
      <c r="BS3083" s="3">
        <v>40387</v>
      </c>
      <c r="BT3083" s="4">
        <v>0.92413194444444446</v>
      </c>
    </row>
    <row r="3084" spans="1:72" x14ac:dyDescent="0.25">
      <c r="A3084" s="2">
        <v>4562</v>
      </c>
      <c r="B3084" s="2">
        <v>2010</v>
      </c>
      <c r="C3084" s="2" t="s">
        <v>414</v>
      </c>
      <c r="D3084" s="2" t="s">
        <v>122</v>
      </c>
      <c r="E3084" s="2"/>
      <c r="F3084" s="2">
        <v>1</v>
      </c>
      <c r="G3084" s="2" t="s">
        <v>82</v>
      </c>
      <c r="H3084" s="2">
        <v>1</v>
      </c>
      <c r="I3084" s="2" t="s">
        <v>82</v>
      </c>
      <c r="J3084" s="2">
        <v>1</v>
      </c>
      <c r="K3084" s="2" t="s">
        <v>107</v>
      </c>
      <c r="L3084" s="2" t="s">
        <v>107</v>
      </c>
      <c r="M3084" s="3">
        <v>40388</v>
      </c>
      <c r="N3084" s="2"/>
      <c r="O3084" s="2"/>
      <c r="P3084" s="2"/>
      <c r="Q3084" s="2" t="str">
        <f>""</f>
        <v/>
      </c>
      <c r="R3084" s="2"/>
      <c r="S3084" s="2"/>
      <c r="T3084" s="2">
        <v>1</v>
      </c>
      <c r="U3084" s="2" t="s">
        <v>79</v>
      </c>
      <c r="V3084" s="2">
        <v>1</v>
      </c>
      <c r="W3084" s="2" t="s">
        <v>80</v>
      </c>
      <c r="X3084" s="2">
        <v>1</v>
      </c>
      <c r="Y3084" s="2" t="s">
        <v>81</v>
      </c>
      <c r="Z3084" s="2">
        <v>10</v>
      </c>
      <c r="AA3084" s="2" t="s">
        <v>236</v>
      </c>
      <c r="AB3084" s="2">
        <v>9</v>
      </c>
      <c r="AC3084" s="2" t="s">
        <v>124</v>
      </c>
      <c r="AD3084" s="3">
        <v>40387</v>
      </c>
      <c r="AE3084" s="4">
        <v>0.99652777777777779</v>
      </c>
      <c r="AF3084" s="2"/>
      <c r="AG3084" s="2"/>
      <c r="AH3084" s="2">
        <v>2</v>
      </c>
      <c r="AI3084" s="2" t="s">
        <v>84</v>
      </c>
      <c r="AJ3084" s="2">
        <v>12</v>
      </c>
      <c r="AK3084" s="2" t="s">
        <v>85</v>
      </c>
      <c r="AL3084" s="2">
        <v>21</v>
      </c>
      <c r="AM3084" s="2" t="s">
        <v>1311</v>
      </c>
      <c r="AN3084" s="2"/>
      <c r="AO3084" s="2" t="s">
        <v>10087</v>
      </c>
      <c r="AP3084" s="2">
        <v>11</v>
      </c>
      <c r="AQ3084" s="2" t="s">
        <v>82</v>
      </c>
      <c r="AR3084" s="2"/>
      <c r="AS3084" s="2"/>
      <c r="AT3084" s="2" t="s">
        <v>10088</v>
      </c>
      <c r="AU3084" s="2"/>
      <c r="AV3084" s="2"/>
      <c r="AW3084" s="2"/>
      <c r="AX3084" s="2"/>
      <c r="AY3084" s="2">
        <v>41</v>
      </c>
      <c r="AZ3084" s="2" t="s">
        <v>82</v>
      </c>
      <c r="BA3084" s="2">
        <v>41</v>
      </c>
      <c r="BB3084" s="2" t="s">
        <v>82</v>
      </c>
      <c r="BC3084" s="2">
        <v>41</v>
      </c>
      <c r="BD3084" s="2" t="s">
        <v>82</v>
      </c>
      <c r="BE3084" s="2">
        <v>41</v>
      </c>
      <c r="BF3084" s="2" t="s">
        <v>82</v>
      </c>
      <c r="BG3084" s="2"/>
      <c r="BH3084" s="2"/>
      <c r="BI3084" s="2"/>
      <c r="BJ3084" s="2">
        <v>241</v>
      </c>
      <c r="BK3084" s="2" t="s">
        <v>82</v>
      </c>
      <c r="BL3084" s="2"/>
      <c r="BM3084" s="2">
        <v>241</v>
      </c>
      <c r="BN3084" s="2" t="s">
        <v>82</v>
      </c>
      <c r="BO3084" s="2"/>
      <c r="BP3084" s="2">
        <v>241</v>
      </c>
      <c r="BQ3084" s="2" t="s">
        <v>82</v>
      </c>
      <c r="BR3084" s="2"/>
      <c r="BS3084" s="3">
        <v>40388</v>
      </c>
      <c r="BT3084" s="4">
        <v>3.1527777777777773E-2</v>
      </c>
    </row>
    <row r="3085" spans="1:72" x14ac:dyDescent="0.25">
      <c r="A3085" s="2">
        <v>4563</v>
      </c>
      <c r="B3085" s="2">
        <v>2010</v>
      </c>
      <c r="C3085" s="2" t="s">
        <v>93</v>
      </c>
      <c r="D3085" s="2" t="s">
        <v>73</v>
      </c>
      <c r="E3085" s="2"/>
      <c r="F3085" s="2">
        <v>389</v>
      </c>
      <c r="G3085" s="2" t="s">
        <v>1819</v>
      </c>
      <c r="H3085" s="2">
        <v>3</v>
      </c>
      <c r="I3085" s="2" t="s">
        <v>315</v>
      </c>
      <c r="J3085" s="2">
        <v>399</v>
      </c>
      <c r="K3085" s="2" t="s">
        <v>1820</v>
      </c>
      <c r="L3085" s="2" t="s">
        <v>1821</v>
      </c>
      <c r="M3085" s="3">
        <v>40388</v>
      </c>
      <c r="N3085" s="2" t="s">
        <v>4976</v>
      </c>
      <c r="O3085" s="2" t="s">
        <v>10089</v>
      </c>
      <c r="P3085" s="2">
        <v>5811</v>
      </c>
      <c r="Q3085" s="2" t="str">
        <f>""</f>
        <v/>
      </c>
      <c r="R3085" s="2" t="s">
        <v>100</v>
      </c>
      <c r="S3085" s="2"/>
      <c r="T3085" s="2">
        <v>1</v>
      </c>
      <c r="U3085" s="2" t="s">
        <v>79</v>
      </c>
      <c r="V3085" s="2">
        <v>1</v>
      </c>
      <c r="W3085" s="2" t="s">
        <v>80</v>
      </c>
      <c r="X3085" s="2">
        <v>10</v>
      </c>
      <c r="Y3085" s="2" t="s">
        <v>226</v>
      </c>
      <c r="Z3085" s="2">
        <v>6</v>
      </c>
      <c r="AA3085" s="2" t="s">
        <v>101</v>
      </c>
      <c r="AB3085" s="2">
        <v>2</v>
      </c>
      <c r="AC3085" s="2" t="s">
        <v>102</v>
      </c>
      <c r="AD3085" s="3">
        <v>40387</v>
      </c>
      <c r="AE3085" s="4">
        <v>0.67361111111111116</v>
      </c>
      <c r="AF3085" s="2"/>
      <c r="AG3085" s="2"/>
      <c r="AH3085" s="2">
        <v>2</v>
      </c>
      <c r="AI3085" s="2" t="s">
        <v>84</v>
      </c>
      <c r="AJ3085" s="2">
        <v>9</v>
      </c>
      <c r="AK3085" s="2" t="s">
        <v>103</v>
      </c>
      <c r="AL3085" s="2">
        <v>14</v>
      </c>
      <c r="AM3085" s="2" t="s">
        <v>216</v>
      </c>
      <c r="AN3085" s="2"/>
      <c r="AO3085" s="2" t="s">
        <v>7664</v>
      </c>
      <c r="AP3085" s="2">
        <v>11</v>
      </c>
      <c r="AQ3085" s="2" t="s">
        <v>82</v>
      </c>
      <c r="AR3085" s="2"/>
      <c r="AS3085" s="2"/>
      <c r="AT3085" s="2" t="s">
        <v>10090</v>
      </c>
      <c r="AU3085" s="2"/>
      <c r="AV3085" s="2">
        <v>1</v>
      </c>
      <c r="AW3085" s="2"/>
      <c r="AX3085" s="2"/>
      <c r="AY3085" s="2">
        <v>41</v>
      </c>
      <c r="AZ3085" s="2" t="s">
        <v>82</v>
      </c>
      <c r="BA3085" s="2">
        <v>41</v>
      </c>
      <c r="BB3085" s="2" t="s">
        <v>82</v>
      </c>
      <c r="BC3085" s="2">
        <v>41</v>
      </c>
      <c r="BD3085" s="2" t="s">
        <v>82</v>
      </c>
      <c r="BE3085" s="2">
        <v>18</v>
      </c>
      <c r="BF3085" s="2" t="s">
        <v>1091</v>
      </c>
      <c r="BG3085" s="2" t="s">
        <v>10091</v>
      </c>
      <c r="BH3085" s="2"/>
      <c r="BI3085" s="2"/>
      <c r="BJ3085" s="2">
        <v>133</v>
      </c>
      <c r="BK3085" s="2" t="s">
        <v>2860</v>
      </c>
      <c r="BL3085" s="2" t="s">
        <v>2861</v>
      </c>
      <c r="BM3085" s="2">
        <v>241</v>
      </c>
      <c r="BN3085" s="2" t="s">
        <v>82</v>
      </c>
      <c r="BO3085" s="2"/>
      <c r="BP3085" s="2">
        <v>13</v>
      </c>
      <c r="BQ3085" s="2" t="s">
        <v>91</v>
      </c>
      <c r="BR3085" s="2" t="s">
        <v>360</v>
      </c>
      <c r="BS3085" s="3">
        <v>40388</v>
      </c>
      <c r="BT3085" s="4">
        <v>4.880787037037037E-2</v>
      </c>
    </row>
    <row r="3086" spans="1:72" x14ac:dyDescent="0.25">
      <c r="A3086" s="2">
        <v>4564</v>
      </c>
      <c r="B3086" s="2">
        <v>2010</v>
      </c>
      <c r="C3086" s="2" t="s">
        <v>72</v>
      </c>
      <c r="D3086" s="2" t="s">
        <v>73</v>
      </c>
      <c r="E3086" s="2"/>
      <c r="F3086" s="2">
        <v>3</v>
      </c>
      <c r="G3086" s="2" t="s">
        <v>1041</v>
      </c>
      <c r="H3086" s="2">
        <v>22</v>
      </c>
      <c r="I3086" s="2" t="s">
        <v>75</v>
      </c>
      <c r="J3086" s="2">
        <v>368</v>
      </c>
      <c r="K3086" s="2" t="s">
        <v>1042</v>
      </c>
      <c r="L3086" s="2" t="s">
        <v>1043</v>
      </c>
      <c r="M3086" s="3">
        <v>40388</v>
      </c>
      <c r="N3086" s="2" t="s">
        <v>107</v>
      </c>
      <c r="O3086" s="2" t="s">
        <v>107</v>
      </c>
      <c r="P3086" s="2" t="s">
        <v>107</v>
      </c>
      <c r="Q3086" s="2" t="str">
        <f>"383-E/10"</f>
        <v>383-E/10</v>
      </c>
      <c r="R3086" s="2" t="s">
        <v>116</v>
      </c>
      <c r="S3086" s="2" t="s">
        <v>116</v>
      </c>
      <c r="T3086" s="2">
        <v>1</v>
      </c>
      <c r="U3086" s="2" t="s">
        <v>79</v>
      </c>
      <c r="V3086" s="2">
        <v>1</v>
      </c>
      <c r="W3086" s="2" t="s">
        <v>80</v>
      </c>
      <c r="X3086" s="2">
        <v>12</v>
      </c>
      <c r="Y3086" s="2" t="s">
        <v>148</v>
      </c>
      <c r="Z3086" s="2">
        <v>1</v>
      </c>
      <c r="AA3086" s="2" t="s">
        <v>82</v>
      </c>
      <c r="AB3086" s="2">
        <v>6</v>
      </c>
      <c r="AC3086" s="2" t="s">
        <v>83</v>
      </c>
      <c r="AD3086" s="3">
        <v>40387</v>
      </c>
      <c r="AE3086" s="2"/>
      <c r="AF3086" s="3">
        <v>40387</v>
      </c>
      <c r="AG3086" s="4">
        <v>0.93055555555555547</v>
      </c>
      <c r="AH3086" s="2">
        <v>2</v>
      </c>
      <c r="AI3086" s="2" t="s">
        <v>84</v>
      </c>
      <c r="AJ3086" s="2">
        <v>9</v>
      </c>
      <c r="AK3086" s="2" t="s">
        <v>103</v>
      </c>
      <c r="AL3086" s="2">
        <v>12</v>
      </c>
      <c r="AM3086" s="2" t="s">
        <v>86</v>
      </c>
      <c r="AN3086" s="2" t="s">
        <v>10092</v>
      </c>
      <c r="AO3086" s="2"/>
      <c r="AP3086" s="2">
        <v>11</v>
      </c>
      <c r="AQ3086" s="2" t="s">
        <v>82</v>
      </c>
      <c r="AR3086" s="2"/>
      <c r="AS3086" s="2"/>
      <c r="AT3086" s="2" t="s">
        <v>10093</v>
      </c>
      <c r="AU3086" s="2"/>
      <c r="AV3086" s="2"/>
      <c r="AW3086" s="2"/>
      <c r="AX3086" s="2"/>
      <c r="AY3086" s="2">
        <v>41</v>
      </c>
      <c r="AZ3086" s="2" t="s">
        <v>82</v>
      </c>
      <c r="BA3086" s="2">
        <v>41</v>
      </c>
      <c r="BB3086" s="2" t="s">
        <v>82</v>
      </c>
      <c r="BC3086" s="2">
        <v>41</v>
      </c>
      <c r="BD3086" s="2" t="s">
        <v>82</v>
      </c>
      <c r="BE3086" s="2">
        <v>41</v>
      </c>
      <c r="BF3086" s="2" t="s">
        <v>82</v>
      </c>
      <c r="BG3086" s="2"/>
      <c r="BH3086" s="2"/>
      <c r="BI3086" s="2"/>
      <c r="BJ3086" s="2">
        <v>241</v>
      </c>
      <c r="BK3086" s="2" t="s">
        <v>82</v>
      </c>
      <c r="BL3086" s="2"/>
      <c r="BM3086" s="2">
        <v>241</v>
      </c>
      <c r="BN3086" s="2" t="s">
        <v>82</v>
      </c>
      <c r="BO3086" s="2"/>
      <c r="BP3086" s="2">
        <v>241</v>
      </c>
      <c r="BQ3086" s="2" t="s">
        <v>82</v>
      </c>
      <c r="BR3086" s="2"/>
      <c r="BS3086" s="3">
        <v>40388</v>
      </c>
      <c r="BT3086" s="4">
        <v>0.10587962962962964</v>
      </c>
    </row>
    <row r="3087" spans="1:72" x14ac:dyDescent="0.25">
      <c r="A3087" s="2">
        <v>4565</v>
      </c>
      <c r="B3087" s="2">
        <v>2010</v>
      </c>
      <c r="C3087" s="2" t="s">
        <v>72</v>
      </c>
      <c r="D3087" s="2" t="s">
        <v>73</v>
      </c>
      <c r="E3087" s="2"/>
      <c r="F3087" s="2">
        <v>390</v>
      </c>
      <c r="G3087" s="2" t="s">
        <v>475</v>
      </c>
      <c r="H3087" s="2">
        <v>71</v>
      </c>
      <c r="I3087" s="2" t="s">
        <v>335</v>
      </c>
      <c r="J3087" s="2">
        <v>399</v>
      </c>
      <c r="K3087" s="2" t="s">
        <v>1820</v>
      </c>
      <c r="L3087" s="2" t="s">
        <v>1821</v>
      </c>
      <c r="M3087" s="3">
        <v>40388</v>
      </c>
      <c r="N3087" s="2" t="s">
        <v>9075</v>
      </c>
      <c r="O3087" s="2" t="s">
        <v>10094</v>
      </c>
      <c r="P3087" s="2" t="s">
        <v>107</v>
      </c>
      <c r="Q3087" s="2" t="str">
        <f>"382-E/10"</f>
        <v>382-E/10</v>
      </c>
      <c r="R3087" s="2" t="s">
        <v>10094</v>
      </c>
      <c r="S3087" s="2" t="s">
        <v>10094</v>
      </c>
      <c r="T3087" s="2">
        <v>1</v>
      </c>
      <c r="U3087" s="2" t="s">
        <v>79</v>
      </c>
      <c r="V3087" s="2">
        <v>1</v>
      </c>
      <c r="W3087" s="2" t="s">
        <v>80</v>
      </c>
      <c r="X3087" s="2">
        <v>12</v>
      </c>
      <c r="Y3087" s="2" t="s">
        <v>148</v>
      </c>
      <c r="Z3087" s="2">
        <v>1</v>
      </c>
      <c r="AA3087" s="2" t="s">
        <v>82</v>
      </c>
      <c r="AB3087" s="2">
        <v>6</v>
      </c>
      <c r="AC3087" s="2" t="s">
        <v>83</v>
      </c>
      <c r="AD3087" s="3">
        <v>40288</v>
      </c>
      <c r="AE3087" s="2"/>
      <c r="AF3087" s="3">
        <v>40387</v>
      </c>
      <c r="AG3087" s="4">
        <v>0.90277777777777779</v>
      </c>
      <c r="AH3087" s="2">
        <v>2</v>
      </c>
      <c r="AI3087" s="2" t="s">
        <v>84</v>
      </c>
      <c r="AJ3087" s="2">
        <v>9</v>
      </c>
      <c r="AK3087" s="2" t="s">
        <v>103</v>
      </c>
      <c r="AL3087" s="2">
        <v>23</v>
      </c>
      <c r="AM3087" s="2" t="s">
        <v>251</v>
      </c>
      <c r="AN3087" s="2"/>
      <c r="AO3087" s="2"/>
      <c r="AP3087" s="2">
        <v>11</v>
      </c>
      <c r="AQ3087" s="2" t="s">
        <v>82</v>
      </c>
      <c r="AR3087" s="2"/>
      <c r="AS3087" s="2"/>
      <c r="AT3087" s="2" t="s">
        <v>10095</v>
      </c>
      <c r="AU3087" s="2"/>
      <c r="AV3087" s="2"/>
      <c r="AW3087" s="2"/>
      <c r="AX3087" s="2"/>
      <c r="AY3087" s="2">
        <v>41</v>
      </c>
      <c r="AZ3087" s="2" t="s">
        <v>82</v>
      </c>
      <c r="BA3087" s="2">
        <v>41</v>
      </c>
      <c r="BB3087" s="2" t="s">
        <v>82</v>
      </c>
      <c r="BC3087" s="2">
        <v>41</v>
      </c>
      <c r="BD3087" s="2" t="s">
        <v>82</v>
      </c>
      <c r="BE3087" s="2">
        <v>9</v>
      </c>
      <c r="BF3087" s="2" t="s">
        <v>966</v>
      </c>
      <c r="BG3087" s="2" t="s">
        <v>1387</v>
      </c>
      <c r="BH3087" s="2"/>
      <c r="BI3087" s="2"/>
      <c r="BJ3087" s="2">
        <v>65</v>
      </c>
      <c r="BK3087" s="2" t="s">
        <v>2055</v>
      </c>
      <c r="BL3087" s="2" t="s">
        <v>10096</v>
      </c>
      <c r="BM3087" s="2">
        <v>170</v>
      </c>
      <c r="BN3087" s="2" t="s">
        <v>968</v>
      </c>
      <c r="BO3087" s="2" t="s">
        <v>1390</v>
      </c>
      <c r="BP3087" s="2">
        <v>13</v>
      </c>
      <c r="BQ3087" s="2" t="s">
        <v>91</v>
      </c>
      <c r="BR3087" s="2" t="s">
        <v>360</v>
      </c>
      <c r="BS3087" s="3">
        <v>40388</v>
      </c>
      <c r="BT3087" s="4">
        <v>0.2000925925925926</v>
      </c>
    </row>
    <row r="3088" spans="1:72" x14ac:dyDescent="0.25">
      <c r="A3088" s="2">
        <v>4568</v>
      </c>
      <c r="B3088" s="2">
        <v>2010</v>
      </c>
      <c r="C3088" s="2" t="s">
        <v>4543</v>
      </c>
      <c r="D3088" s="2" t="s">
        <v>122</v>
      </c>
      <c r="E3088" s="2"/>
      <c r="F3088" s="2">
        <v>146</v>
      </c>
      <c r="G3088" s="2" t="s">
        <v>753</v>
      </c>
      <c r="H3088" s="2">
        <v>39</v>
      </c>
      <c r="I3088" s="2" t="s">
        <v>1117</v>
      </c>
      <c r="J3088" s="2">
        <v>439</v>
      </c>
      <c r="K3088" s="2" t="s">
        <v>2827</v>
      </c>
      <c r="L3088" s="2" t="s">
        <v>2828</v>
      </c>
      <c r="M3088" s="3">
        <v>40388</v>
      </c>
      <c r="N3088" s="2" t="s">
        <v>10097</v>
      </c>
      <c r="O3088" s="2" t="s">
        <v>10098</v>
      </c>
      <c r="P3088" s="2" t="s">
        <v>10099</v>
      </c>
      <c r="Q3088" s="2" t="str">
        <f>"N/C"</f>
        <v>N/C</v>
      </c>
      <c r="R3088" s="2" t="s">
        <v>82</v>
      </c>
      <c r="S3088" s="2" t="s">
        <v>82</v>
      </c>
      <c r="T3088" s="2">
        <v>2</v>
      </c>
      <c r="U3088" s="2" t="s">
        <v>123</v>
      </c>
      <c r="V3088" s="2">
        <v>1</v>
      </c>
      <c r="W3088" s="2" t="s">
        <v>80</v>
      </c>
      <c r="X3088" s="2">
        <v>4</v>
      </c>
      <c r="Y3088" s="2" t="s">
        <v>463</v>
      </c>
      <c r="Z3088" s="2">
        <v>10</v>
      </c>
      <c r="AA3088" s="2" t="s">
        <v>236</v>
      </c>
      <c r="AB3088" s="2">
        <v>9</v>
      </c>
      <c r="AC3088" s="2" t="s">
        <v>124</v>
      </c>
      <c r="AD3088" s="3">
        <v>40388</v>
      </c>
      <c r="AE3088" s="4">
        <v>0.45833333333333331</v>
      </c>
      <c r="AF3088" s="2"/>
      <c r="AG3088" s="2"/>
      <c r="AH3088" s="2">
        <v>6</v>
      </c>
      <c r="AI3088" s="2" t="s">
        <v>197</v>
      </c>
      <c r="AJ3088" s="2">
        <v>60</v>
      </c>
      <c r="AK3088" s="2" t="s">
        <v>543</v>
      </c>
      <c r="AL3088" s="2">
        <v>19</v>
      </c>
      <c r="AM3088" s="2" t="s">
        <v>107</v>
      </c>
      <c r="AN3088" s="2" t="s">
        <v>82</v>
      </c>
      <c r="AO3088" s="2" t="s">
        <v>10100</v>
      </c>
      <c r="AP3088" s="2">
        <v>11</v>
      </c>
      <c r="AQ3088" s="2" t="s">
        <v>82</v>
      </c>
      <c r="AR3088" s="2" t="s">
        <v>82</v>
      </c>
      <c r="AS3088" s="2" t="s">
        <v>82</v>
      </c>
      <c r="AT3088" s="2" t="s">
        <v>10101</v>
      </c>
      <c r="AU3088" s="2"/>
      <c r="AV3088" s="2"/>
      <c r="AW3088" s="2"/>
      <c r="AX3088" s="2"/>
      <c r="AY3088" s="2">
        <v>41</v>
      </c>
      <c r="AZ3088" s="2" t="s">
        <v>82</v>
      </c>
      <c r="BA3088" s="2">
        <v>41</v>
      </c>
      <c r="BB3088" s="2" t="s">
        <v>82</v>
      </c>
      <c r="BC3088" s="2">
        <v>41</v>
      </c>
      <c r="BD3088" s="2" t="s">
        <v>82</v>
      </c>
      <c r="BE3088" s="2">
        <v>49</v>
      </c>
      <c r="BF3088" s="2" t="s">
        <v>1254</v>
      </c>
      <c r="BG3088" s="2" t="s">
        <v>4865</v>
      </c>
      <c r="BH3088" s="4">
        <v>0.43402777777777773</v>
      </c>
      <c r="BI3088" s="4">
        <v>0.47222222222222227</v>
      </c>
      <c r="BJ3088" s="2">
        <v>13</v>
      </c>
      <c r="BK3088" s="2" t="s">
        <v>91</v>
      </c>
      <c r="BL3088" s="2" t="s">
        <v>895</v>
      </c>
      <c r="BM3088" s="2">
        <v>13</v>
      </c>
      <c r="BN3088" s="2" t="s">
        <v>91</v>
      </c>
      <c r="BO3088" s="2" t="s">
        <v>204</v>
      </c>
      <c r="BP3088" s="2">
        <v>13</v>
      </c>
      <c r="BQ3088" s="2" t="s">
        <v>91</v>
      </c>
      <c r="BR3088" s="2" t="s">
        <v>353</v>
      </c>
      <c r="BS3088" s="3">
        <v>40388</v>
      </c>
      <c r="BT3088" s="4">
        <v>0.51887731481481481</v>
      </c>
    </row>
    <row r="3089" spans="1:72" x14ac:dyDescent="0.25">
      <c r="A3089" s="2">
        <v>4570</v>
      </c>
      <c r="B3089" s="2">
        <v>2010</v>
      </c>
      <c r="C3089" s="2" t="s">
        <v>377</v>
      </c>
      <c r="D3089" s="2" t="s">
        <v>73</v>
      </c>
      <c r="E3089" s="2"/>
      <c r="F3089" s="2">
        <v>426</v>
      </c>
      <c r="G3089" s="2" t="s">
        <v>378</v>
      </c>
      <c r="H3089" s="2">
        <v>22</v>
      </c>
      <c r="I3089" s="2" t="s">
        <v>75</v>
      </c>
      <c r="J3089" s="2">
        <v>311</v>
      </c>
      <c r="K3089" s="2" t="s">
        <v>379</v>
      </c>
      <c r="L3089" s="2" t="s">
        <v>380</v>
      </c>
      <c r="M3089" s="3">
        <v>40388</v>
      </c>
      <c r="N3089" s="2" t="s">
        <v>4427</v>
      </c>
      <c r="O3089" s="2" t="s">
        <v>10102</v>
      </c>
      <c r="P3089" s="2" t="s">
        <v>10103</v>
      </c>
      <c r="Q3089" s="2" t="str">
        <f>"428-C/08"</f>
        <v>428-C/08</v>
      </c>
      <c r="R3089" s="2" t="s">
        <v>10104</v>
      </c>
      <c r="S3089" s="2"/>
      <c r="T3089" s="2">
        <v>1</v>
      </c>
      <c r="U3089" s="2" t="s">
        <v>79</v>
      </c>
      <c r="V3089" s="2">
        <v>1</v>
      </c>
      <c r="W3089" s="2" t="s">
        <v>80</v>
      </c>
      <c r="X3089" s="2">
        <v>7</v>
      </c>
      <c r="Y3089" s="2" t="s">
        <v>1964</v>
      </c>
      <c r="Z3089" s="2">
        <v>1</v>
      </c>
      <c r="AA3089" s="2" t="s">
        <v>82</v>
      </c>
      <c r="AB3089" s="2">
        <v>9</v>
      </c>
      <c r="AC3089" s="2" t="s">
        <v>124</v>
      </c>
      <c r="AD3089" s="3">
        <v>40388</v>
      </c>
      <c r="AE3089" s="4">
        <v>0.28472222222222221</v>
      </c>
      <c r="AF3089" s="2"/>
      <c r="AG3089" s="2"/>
      <c r="AH3089" s="2">
        <v>2</v>
      </c>
      <c r="AI3089" s="2" t="s">
        <v>84</v>
      </c>
      <c r="AJ3089" s="2">
        <v>9</v>
      </c>
      <c r="AK3089" s="2" t="s">
        <v>103</v>
      </c>
      <c r="AL3089" s="2">
        <v>12</v>
      </c>
      <c r="AM3089" s="2" t="s">
        <v>86</v>
      </c>
      <c r="AN3089" s="2" t="s">
        <v>10105</v>
      </c>
      <c r="AO3089" s="2" t="s">
        <v>2887</v>
      </c>
      <c r="AP3089" s="2">
        <v>11</v>
      </c>
      <c r="AQ3089" s="2" t="s">
        <v>82</v>
      </c>
      <c r="AR3089" s="2"/>
      <c r="AS3089" s="2"/>
      <c r="AT3089" s="2" t="s">
        <v>10106</v>
      </c>
      <c r="AU3089" s="2">
        <v>1</v>
      </c>
      <c r="AV3089" s="2"/>
      <c r="AW3089" s="2"/>
      <c r="AX3089" s="2"/>
      <c r="AY3089" s="2">
        <v>41</v>
      </c>
      <c r="AZ3089" s="2" t="s">
        <v>82</v>
      </c>
      <c r="BA3089" s="2">
        <v>41</v>
      </c>
      <c r="BB3089" s="2" t="s">
        <v>82</v>
      </c>
      <c r="BC3089" s="2">
        <v>41</v>
      </c>
      <c r="BD3089" s="2" t="s">
        <v>82</v>
      </c>
      <c r="BE3089" s="2">
        <v>41</v>
      </c>
      <c r="BF3089" s="2" t="s">
        <v>82</v>
      </c>
      <c r="BG3089" s="2"/>
      <c r="BH3089" s="2"/>
      <c r="BI3089" s="2"/>
      <c r="BJ3089" s="2">
        <v>241</v>
      </c>
      <c r="BK3089" s="2" t="s">
        <v>82</v>
      </c>
      <c r="BL3089" s="2"/>
      <c r="BM3089" s="2">
        <v>241</v>
      </c>
      <c r="BN3089" s="2" t="s">
        <v>82</v>
      </c>
      <c r="BO3089" s="2"/>
      <c r="BP3089" s="2">
        <v>241</v>
      </c>
      <c r="BQ3089" s="2" t="s">
        <v>82</v>
      </c>
      <c r="BR3089" s="2"/>
      <c r="BS3089" s="3">
        <v>40388</v>
      </c>
      <c r="BT3089" s="4">
        <v>0.55244212962962969</v>
      </c>
    </row>
    <row r="3090" spans="1:72" x14ac:dyDescent="0.25">
      <c r="A3090" s="2">
        <v>4573</v>
      </c>
      <c r="B3090" s="2">
        <v>2010</v>
      </c>
      <c r="C3090" s="2" t="s">
        <v>121</v>
      </c>
      <c r="D3090" s="2" t="s">
        <v>122</v>
      </c>
      <c r="E3090" s="2"/>
      <c r="F3090" s="2">
        <v>1</v>
      </c>
      <c r="G3090" s="2" t="s">
        <v>82</v>
      </c>
      <c r="H3090" s="2">
        <v>1</v>
      </c>
      <c r="I3090" s="2" t="s">
        <v>82</v>
      </c>
      <c r="J3090" s="2">
        <v>1</v>
      </c>
      <c r="K3090" s="2" t="s">
        <v>107</v>
      </c>
      <c r="L3090" s="2" t="s">
        <v>107</v>
      </c>
      <c r="M3090" s="3">
        <v>40388</v>
      </c>
      <c r="N3090" s="2"/>
      <c r="O3090" s="2"/>
      <c r="P3090" s="2"/>
      <c r="Q3090" s="2" t="str">
        <f>""</f>
        <v/>
      </c>
      <c r="R3090" s="2"/>
      <c r="S3090" s="2"/>
      <c r="T3090" s="2">
        <v>2</v>
      </c>
      <c r="U3090" s="2" t="s">
        <v>123</v>
      </c>
      <c r="V3090" s="2">
        <v>1</v>
      </c>
      <c r="W3090" s="2" t="s">
        <v>80</v>
      </c>
      <c r="X3090" s="2">
        <v>11</v>
      </c>
      <c r="Y3090" s="2" t="s">
        <v>1920</v>
      </c>
      <c r="Z3090" s="2">
        <v>10</v>
      </c>
      <c r="AA3090" s="2" t="s">
        <v>236</v>
      </c>
      <c r="AB3090" s="2">
        <v>9</v>
      </c>
      <c r="AC3090" s="2" t="s">
        <v>124</v>
      </c>
      <c r="AD3090" s="3">
        <v>40388</v>
      </c>
      <c r="AE3090" s="4">
        <v>0.52430555555555558</v>
      </c>
      <c r="AF3090" s="2"/>
      <c r="AG3090" s="2"/>
      <c r="AH3090" s="2">
        <v>2</v>
      </c>
      <c r="AI3090" s="2" t="s">
        <v>84</v>
      </c>
      <c r="AJ3090" s="2">
        <v>12</v>
      </c>
      <c r="AK3090" s="2" t="s">
        <v>85</v>
      </c>
      <c r="AL3090" s="2">
        <v>20</v>
      </c>
      <c r="AM3090" s="2" t="s">
        <v>992</v>
      </c>
      <c r="AN3090" s="2"/>
      <c r="AO3090" s="2"/>
      <c r="AP3090" s="2">
        <v>11</v>
      </c>
      <c r="AQ3090" s="2" t="s">
        <v>82</v>
      </c>
      <c r="AR3090" s="2"/>
      <c r="AS3090" s="2"/>
      <c r="AT3090" s="2" t="s">
        <v>10107</v>
      </c>
      <c r="AU3090" s="2"/>
      <c r="AV3090" s="2"/>
      <c r="AW3090" s="2"/>
      <c r="AX3090" s="2"/>
      <c r="AY3090" s="2">
        <v>41</v>
      </c>
      <c r="AZ3090" s="2" t="s">
        <v>82</v>
      </c>
      <c r="BA3090" s="2">
        <v>41</v>
      </c>
      <c r="BB3090" s="2" t="s">
        <v>82</v>
      </c>
      <c r="BC3090" s="2">
        <v>70</v>
      </c>
      <c r="BD3090" s="2" t="s">
        <v>236</v>
      </c>
      <c r="BE3090" s="2">
        <v>41</v>
      </c>
      <c r="BF3090" s="2" t="s">
        <v>82</v>
      </c>
      <c r="BG3090" s="2" t="s">
        <v>10108</v>
      </c>
      <c r="BH3090" s="2"/>
      <c r="BI3090" s="4">
        <v>0.54513888888888895</v>
      </c>
      <c r="BJ3090" s="2">
        <v>13</v>
      </c>
      <c r="BK3090" s="2" t="s">
        <v>91</v>
      </c>
      <c r="BL3090" s="2" t="s">
        <v>185</v>
      </c>
      <c r="BM3090" s="2">
        <v>241</v>
      </c>
      <c r="BN3090" s="2" t="s">
        <v>82</v>
      </c>
      <c r="BO3090" s="2"/>
      <c r="BP3090" s="2">
        <v>229</v>
      </c>
      <c r="BQ3090" s="2" t="s">
        <v>300</v>
      </c>
      <c r="BR3090" s="2" t="s">
        <v>573</v>
      </c>
      <c r="BS3090" s="3">
        <v>40388</v>
      </c>
      <c r="BT3090" s="4">
        <v>0.61171296296296296</v>
      </c>
    </row>
    <row r="3091" spans="1:72" x14ac:dyDescent="0.25">
      <c r="A3091" s="2">
        <v>4576</v>
      </c>
      <c r="B3091" s="2">
        <v>2010</v>
      </c>
      <c r="C3091" s="2" t="s">
        <v>72</v>
      </c>
      <c r="D3091" s="2" t="s">
        <v>122</v>
      </c>
      <c r="E3091" s="2" t="s">
        <v>10109</v>
      </c>
      <c r="F3091" s="2">
        <v>221</v>
      </c>
      <c r="G3091" s="2" t="s">
        <v>8422</v>
      </c>
      <c r="H3091" s="2">
        <v>22</v>
      </c>
      <c r="I3091" s="2" t="s">
        <v>75</v>
      </c>
      <c r="J3091" s="2">
        <v>620</v>
      </c>
      <c r="K3091" s="2" t="s">
        <v>9617</v>
      </c>
      <c r="L3091" s="2" t="s">
        <v>9618</v>
      </c>
      <c r="M3091" s="3">
        <v>40388</v>
      </c>
      <c r="N3091" s="2" t="s">
        <v>9619</v>
      </c>
      <c r="O3091" s="2"/>
      <c r="P3091" s="2"/>
      <c r="Q3091" s="2" t="str">
        <f>"288-A/10"</f>
        <v>288-A/10</v>
      </c>
      <c r="R3091" s="2" t="s">
        <v>1547</v>
      </c>
      <c r="S3091" s="2"/>
      <c r="T3091" s="2">
        <v>1</v>
      </c>
      <c r="U3091" s="2" t="s">
        <v>79</v>
      </c>
      <c r="V3091" s="2">
        <v>1</v>
      </c>
      <c r="W3091" s="2" t="s">
        <v>80</v>
      </c>
      <c r="X3091" s="2">
        <v>12</v>
      </c>
      <c r="Y3091" s="2" t="s">
        <v>148</v>
      </c>
      <c r="Z3091" s="2">
        <v>1</v>
      </c>
      <c r="AA3091" s="2" t="s">
        <v>82</v>
      </c>
      <c r="AB3091" s="2">
        <v>6</v>
      </c>
      <c r="AC3091" s="2" t="s">
        <v>83</v>
      </c>
      <c r="AD3091" s="3">
        <v>40383</v>
      </c>
      <c r="AE3091" s="4">
        <v>0.54166666666666663</v>
      </c>
      <c r="AF3091" s="3">
        <v>40384</v>
      </c>
      <c r="AG3091" s="4">
        <v>0.55208333333333337</v>
      </c>
      <c r="AH3091" s="2">
        <v>2</v>
      </c>
      <c r="AI3091" s="2" t="s">
        <v>84</v>
      </c>
      <c r="AJ3091" s="2">
        <v>12</v>
      </c>
      <c r="AK3091" s="2" t="s">
        <v>85</v>
      </c>
      <c r="AL3091" s="2">
        <v>23</v>
      </c>
      <c r="AM3091" s="2" t="s">
        <v>251</v>
      </c>
      <c r="AN3091" s="2" t="s">
        <v>10110</v>
      </c>
      <c r="AO3091" s="2" t="s">
        <v>10111</v>
      </c>
      <c r="AP3091" s="2">
        <v>11</v>
      </c>
      <c r="AQ3091" s="2" t="s">
        <v>82</v>
      </c>
      <c r="AR3091" s="2"/>
      <c r="AS3091" s="2"/>
      <c r="AT3091" s="2" t="s">
        <v>10112</v>
      </c>
      <c r="AU3091" s="2"/>
      <c r="AV3091" s="2"/>
      <c r="AW3091" s="2"/>
      <c r="AX3091" s="2"/>
      <c r="AY3091" s="2">
        <v>41</v>
      </c>
      <c r="AZ3091" s="2" t="s">
        <v>82</v>
      </c>
      <c r="BA3091" s="2">
        <v>41</v>
      </c>
      <c r="BB3091" s="2" t="s">
        <v>82</v>
      </c>
      <c r="BC3091" s="2">
        <v>41</v>
      </c>
      <c r="BD3091" s="2" t="s">
        <v>82</v>
      </c>
      <c r="BE3091" s="2">
        <v>41</v>
      </c>
      <c r="BF3091" s="2" t="s">
        <v>82</v>
      </c>
      <c r="BG3091" s="2"/>
      <c r="BH3091" s="2"/>
      <c r="BI3091" s="2"/>
      <c r="BJ3091" s="2">
        <v>241</v>
      </c>
      <c r="BK3091" s="2" t="s">
        <v>82</v>
      </c>
      <c r="BL3091" s="2"/>
      <c r="BM3091" s="2">
        <v>241</v>
      </c>
      <c r="BN3091" s="2" t="s">
        <v>82</v>
      </c>
      <c r="BO3091" s="2"/>
      <c r="BP3091" s="2">
        <v>241</v>
      </c>
      <c r="BQ3091" s="2" t="s">
        <v>82</v>
      </c>
      <c r="BR3091" s="2"/>
      <c r="BS3091" s="3">
        <v>40388</v>
      </c>
      <c r="BT3091" s="4">
        <v>0.62824074074074077</v>
      </c>
    </row>
    <row r="3092" spans="1:72" x14ac:dyDescent="0.25">
      <c r="A3092" s="2">
        <v>4580</v>
      </c>
      <c r="B3092" s="2">
        <v>2010</v>
      </c>
      <c r="C3092" s="2" t="s">
        <v>196</v>
      </c>
      <c r="D3092" s="2" t="s">
        <v>122</v>
      </c>
      <c r="E3092" s="2"/>
      <c r="F3092" s="2">
        <v>1</v>
      </c>
      <c r="G3092" s="2" t="s">
        <v>82</v>
      </c>
      <c r="H3092" s="2">
        <v>1</v>
      </c>
      <c r="I3092" s="2" t="s">
        <v>82</v>
      </c>
      <c r="J3092" s="2">
        <v>1</v>
      </c>
      <c r="K3092" s="2" t="s">
        <v>107</v>
      </c>
      <c r="L3092" s="2" t="s">
        <v>107</v>
      </c>
      <c r="M3092" s="3">
        <v>40388</v>
      </c>
      <c r="N3092" s="2"/>
      <c r="O3092" s="2"/>
      <c r="P3092" s="2"/>
      <c r="Q3092" s="2" t="str">
        <f>""</f>
        <v/>
      </c>
      <c r="R3092" s="2"/>
      <c r="S3092" s="2"/>
      <c r="T3092" s="2">
        <v>2</v>
      </c>
      <c r="U3092" s="2" t="s">
        <v>123</v>
      </c>
      <c r="V3092" s="2">
        <v>1</v>
      </c>
      <c r="W3092" s="2" t="s">
        <v>80</v>
      </c>
      <c r="X3092" s="2">
        <v>11</v>
      </c>
      <c r="Y3092" s="2" t="s">
        <v>1920</v>
      </c>
      <c r="Z3092" s="2">
        <v>10</v>
      </c>
      <c r="AA3092" s="2" t="s">
        <v>236</v>
      </c>
      <c r="AB3092" s="2">
        <v>9</v>
      </c>
      <c r="AC3092" s="2" t="s">
        <v>124</v>
      </c>
      <c r="AD3092" s="3">
        <v>40388</v>
      </c>
      <c r="AE3092" s="4">
        <v>0.5</v>
      </c>
      <c r="AF3092" s="2"/>
      <c r="AG3092" s="2"/>
      <c r="AH3092" s="2">
        <v>2</v>
      </c>
      <c r="AI3092" s="2" t="s">
        <v>84</v>
      </c>
      <c r="AJ3092" s="2">
        <v>12</v>
      </c>
      <c r="AK3092" s="2" t="s">
        <v>85</v>
      </c>
      <c r="AL3092" s="2">
        <v>20</v>
      </c>
      <c r="AM3092" s="2" t="s">
        <v>992</v>
      </c>
      <c r="AN3092" s="2"/>
      <c r="AO3092" s="2"/>
      <c r="AP3092" s="2">
        <v>11</v>
      </c>
      <c r="AQ3092" s="2" t="s">
        <v>82</v>
      </c>
      <c r="AR3092" s="2"/>
      <c r="AS3092" s="2"/>
      <c r="AT3092" s="2" t="s">
        <v>10113</v>
      </c>
      <c r="AU3092" s="2"/>
      <c r="AV3092" s="2"/>
      <c r="AW3092" s="2"/>
      <c r="AX3092" s="2"/>
      <c r="AY3092" s="2">
        <v>41</v>
      </c>
      <c r="AZ3092" s="2" t="s">
        <v>82</v>
      </c>
      <c r="BA3092" s="2">
        <v>41</v>
      </c>
      <c r="BB3092" s="2" t="s">
        <v>82</v>
      </c>
      <c r="BC3092" s="2">
        <v>70</v>
      </c>
      <c r="BD3092" s="2" t="s">
        <v>236</v>
      </c>
      <c r="BE3092" s="2">
        <v>41</v>
      </c>
      <c r="BF3092" s="2" t="s">
        <v>82</v>
      </c>
      <c r="BG3092" s="2" t="s">
        <v>265</v>
      </c>
      <c r="BH3092" s="2"/>
      <c r="BI3092" s="4">
        <v>0.6694444444444444</v>
      </c>
      <c r="BJ3092" s="2">
        <v>13</v>
      </c>
      <c r="BK3092" s="2" t="s">
        <v>91</v>
      </c>
      <c r="BL3092" s="2" t="s">
        <v>185</v>
      </c>
      <c r="BM3092" s="2">
        <v>241</v>
      </c>
      <c r="BN3092" s="2" t="s">
        <v>82</v>
      </c>
      <c r="BO3092" s="2"/>
      <c r="BP3092" s="2">
        <v>13</v>
      </c>
      <c r="BQ3092" s="2" t="s">
        <v>91</v>
      </c>
      <c r="BR3092" s="2" t="s">
        <v>6083</v>
      </c>
      <c r="BS3092" s="3">
        <v>40388</v>
      </c>
      <c r="BT3092" s="4">
        <v>0.68009259259259258</v>
      </c>
    </row>
    <row r="3093" spans="1:72" x14ac:dyDescent="0.25">
      <c r="A3093" s="2">
        <v>4583</v>
      </c>
      <c r="B3093" s="2">
        <v>2010</v>
      </c>
      <c r="C3093" s="2" t="s">
        <v>457</v>
      </c>
      <c r="D3093" s="2" t="s">
        <v>73</v>
      </c>
      <c r="E3093" s="2"/>
      <c r="F3093" s="2">
        <v>660</v>
      </c>
      <c r="G3093" s="2" t="s">
        <v>10114</v>
      </c>
      <c r="H3093" s="2">
        <v>50</v>
      </c>
      <c r="I3093" s="2" t="s">
        <v>107</v>
      </c>
      <c r="J3093" s="2">
        <v>1</v>
      </c>
      <c r="K3093" s="2" t="s">
        <v>107</v>
      </c>
      <c r="L3093" s="2" t="s">
        <v>107</v>
      </c>
      <c r="M3093" s="3">
        <v>40388</v>
      </c>
      <c r="N3093" s="2"/>
      <c r="O3093" s="2"/>
      <c r="P3093" s="2"/>
      <c r="Q3093" s="2" t="str">
        <f>""</f>
        <v/>
      </c>
      <c r="R3093" s="2"/>
      <c r="S3093" s="2"/>
      <c r="T3093" s="2">
        <v>1</v>
      </c>
      <c r="U3093" s="2" t="s">
        <v>79</v>
      </c>
      <c r="V3093" s="2">
        <v>1</v>
      </c>
      <c r="W3093" s="2" t="s">
        <v>80</v>
      </c>
      <c r="X3093" s="2">
        <v>11</v>
      </c>
      <c r="Y3093" s="2" t="s">
        <v>1920</v>
      </c>
      <c r="Z3093" s="2">
        <v>10</v>
      </c>
      <c r="AA3093" s="2" t="s">
        <v>236</v>
      </c>
      <c r="AB3093" s="2">
        <v>9</v>
      </c>
      <c r="AC3093" s="2" t="s">
        <v>124</v>
      </c>
      <c r="AD3093" s="3">
        <v>40388</v>
      </c>
      <c r="AE3093" s="4">
        <v>0.39583333333333331</v>
      </c>
      <c r="AF3093" s="2"/>
      <c r="AG3093" s="2"/>
      <c r="AH3093" s="2">
        <v>2</v>
      </c>
      <c r="AI3093" s="2" t="s">
        <v>84</v>
      </c>
      <c r="AJ3093" s="2">
        <v>12</v>
      </c>
      <c r="AK3093" s="2" t="s">
        <v>85</v>
      </c>
      <c r="AL3093" s="2">
        <v>2</v>
      </c>
      <c r="AM3093" s="2" t="s">
        <v>163</v>
      </c>
      <c r="AN3093" s="2"/>
      <c r="AO3093" s="2" t="s">
        <v>10115</v>
      </c>
      <c r="AP3093" s="2">
        <v>11</v>
      </c>
      <c r="AQ3093" s="2" t="s">
        <v>82</v>
      </c>
      <c r="AR3093" s="2"/>
      <c r="AS3093" s="2"/>
      <c r="AT3093" s="2" t="s">
        <v>10116</v>
      </c>
      <c r="AU3093" s="2"/>
      <c r="AV3093" s="2"/>
      <c r="AW3093" s="2"/>
      <c r="AX3093" s="2"/>
      <c r="AY3093" s="2">
        <v>41</v>
      </c>
      <c r="AZ3093" s="2" t="s">
        <v>82</v>
      </c>
      <c r="BA3093" s="2">
        <v>41</v>
      </c>
      <c r="BB3093" s="2" t="s">
        <v>82</v>
      </c>
      <c r="BC3093" s="2">
        <v>41</v>
      </c>
      <c r="BD3093" s="2" t="s">
        <v>82</v>
      </c>
      <c r="BE3093" s="2">
        <v>10</v>
      </c>
      <c r="BF3093" s="2" t="s">
        <v>901</v>
      </c>
      <c r="BG3093" s="2">
        <v>8172</v>
      </c>
      <c r="BH3093" s="2"/>
      <c r="BI3093" s="4">
        <v>0.75694444444444453</v>
      </c>
      <c r="BJ3093" s="2">
        <v>13</v>
      </c>
      <c r="BK3093" s="2" t="s">
        <v>91</v>
      </c>
      <c r="BL3093" s="2" t="s">
        <v>3520</v>
      </c>
      <c r="BM3093" s="2">
        <v>241</v>
      </c>
      <c r="BN3093" s="2" t="s">
        <v>82</v>
      </c>
      <c r="BO3093" s="2"/>
      <c r="BP3093" s="2">
        <v>33</v>
      </c>
      <c r="BQ3093" s="2" t="s">
        <v>361</v>
      </c>
      <c r="BR3093" s="2" t="s">
        <v>1706</v>
      </c>
      <c r="BS3093" s="3">
        <v>40388</v>
      </c>
      <c r="BT3093" s="4">
        <v>0.79682870370370373</v>
      </c>
    </row>
    <row r="3094" spans="1:72" x14ac:dyDescent="0.25">
      <c r="A3094" s="2">
        <v>4584</v>
      </c>
      <c r="B3094" s="2">
        <v>2010</v>
      </c>
      <c r="C3094" s="2" t="s">
        <v>196</v>
      </c>
      <c r="D3094" s="2" t="s">
        <v>122</v>
      </c>
      <c r="E3094" s="2"/>
      <c r="F3094" s="2">
        <v>1</v>
      </c>
      <c r="G3094" s="2" t="s">
        <v>82</v>
      </c>
      <c r="H3094" s="2">
        <v>1</v>
      </c>
      <c r="I3094" s="2" t="s">
        <v>82</v>
      </c>
      <c r="J3094" s="2">
        <v>1</v>
      </c>
      <c r="K3094" s="2" t="s">
        <v>107</v>
      </c>
      <c r="L3094" s="2" t="s">
        <v>107</v>
      </c>
      <c r="M3094" s="3">
        <v>40388</v>
      </c>
      <c r="N3094" s="2"/>
      <c r="O3094" s="2"/>
      <c r="P3094" s="2"/>
      <c r="Q3094" s="2" t="str">
        <f>""</f>
        <v/>
      </c>
      <c r="R3094" s="2"/>
      <c r="S3094" s="2"/>
      <c r="T3094" s="2">
        <v>2</v>
      </c>
      <c r="U3094" s="2" t="s">
        <v>123</v>
      </c>
      <c r="V3094" s="2">
        <v>1</v>
      </c>
      <c r="W3094" s="2" t="s">
        <v>80</v>
      </c>
      <c r="X3094" s="2">
        <v>5</v>
      </c>
      <c r="Y3094" s="2" t="s">
        <v>82</v>
      </c>
      <c r="Z3094" s="2">
        <v>1</v>
      </c>
      <c r="AA3094" s="2" t="s">
        <v>82</v>
      </c>
      <c r="AB3094" s="2">
        <v>9</v>
      </c>
      <c r="AC3094" s="2" t="s">
        <v>124</v>
      </c>
      <c r="AD3094" s="3">
        <v>40388</v>
      </c>
      <c r="AE3094" s="4">
        <v>0.78125</v>
      </c>
      <c r="AF3094" s="2"/>
      <c r="AG3094" s="2"/>
      <c r="AH3094" s="2">
        <v>6</v>
      </c>
      <c r="AI3094" s="2" t="s">
        <v>197</v>
      </c>
      <c r="AJ3094" s="2">
        <v>59</v>
      </c>
      <c r="AK3094" s="2" t="s">
        <v>198</v>
      </c>
      <c r="AL3094" s="2">
        <v>18</v>
      </c>
      <c r="AM3094" s="2" t="s">
        <v>82</v>
      </c>
      <c r="AN3094" s="2" t="s">
        <v>259</v>
      </c>
      <c r="AO3094" s="2" t="s">
        <v>230</v>
      </c>
      <c r="AP3094" s="2">
        <v>11</v>
      </c>
      <c r="AQ3094" s="2" t="s">
        <v>82</v>
      </c>
      <c r="AR3094" s="2"/>
      <c r="AS3094" s="2"/>
      <c r="AT3094" s="2" t="s">
        <v>10117</v>
      </c>
      <c r="AU3094" s="2"/>
      <c r="AV3094" s="2"/>
      <c r="AW3094" s="2"/>
      <c r="AX3094" s="2"/>
      <c r="AY3094" s="2">
        <v>1</v>
      </c>
      <c r="AZ3094" s="2" t="s">
        <v>107</v>
      </c>
      <c r="BA3094" s="2">
        <v>1</v>
      </c>
      <c r="BB3094" s="2" t="s">
        <v>107</v>
      </c>
      <c r="BC3094" s="2">
        <v>1</v>
      </c>
      <c r="BD3094" s="2" t="s">
        <v>107</v>
      </c>
      <c r="BE3094" s="2">
        <v>1</v>
      </c>
      <c r="BF3094" s="2" t="s">
        <v>107</v>
      </c>
      <c r="BG3094" s="2"/>
      <c r="BH3094" s="4">
        <v>0.78125</v>
      </c>
      <c r="BI3094" s="2"/>
      <c r="BJ3094" s="2">
        <v>13</v>
      </c>
      <c r="BK3094" s="2" t="s">
        <v>91</v>
      </c>
      <c r="BL3094" s="2" t="s">
        <v>185</v>
      </c>
      <c r="BM3094" s="2">
        <v>242</v>
      </c>
      <c r="BN3094" s="2" t="s">
        <v>107</v>
      </c>
      <c r="BO3094" s="2"/>
      <c r="BP3094" s="2">
        <v>13</v>
      </c>
      <c r="BQ3094" s="2" t="s">
        <v>91</v>
      </c>
      <c r="BR3094" s="2" t="s">
        <v>204</v>
      </c>
      <c r="BS3094" s="3">
        <v>40388</v>
      </c>
      <c r="BT3094" s="4">
        <v>0.80172453703703705</v>
      </c>
    </row>
    <row r="3095" spans="1:72" x14ac:dyDescent="0.25">
      <c r="A3095" s="2">
        <v>4586</v>
      </c>
      <c r="B3095" s="2">
        <v>2010</v>
      </c>
      <c r="C3095" s="2" t="s">
        <v>377</v>
      </c>
      <c r="D3095" s="2" t="s">
        <v>122</v>
      </c>
      <c r="E3095" s="2" t="s">
        <v>10118</v>
      </c>
      <c r="F3095" s="2">
        <v>426</v>
      </c>
      <c r="G3095" s="2" t="s">
        <v>378</v>
      </c>
      <c r="H3095" s="2">
        <v>22</v>
      </c>
      <c r="I3095" s="2" t="s">
        <v>75</v>
      </c>
      <c r="J3095" s="2">
        <v>311</v>
      </c>
      <c r="K3095" s="2" t="s">
        <v>379</v>
      </c>
      <c r="L3095" s="2" t="s">
        <v>380</v>
      </c>
      <c r="M3095" s="3">
        <v>40388</v>
      </c>
      <c r="N3095" s="2" t="s">
        <v>4427</v>
      </c>
      <c r="O3095" s="2" t="s">
        <v>10119</v>
      </c>
      <c r="P3095" s="2" t="s">
        <v>10103</v>
      </c>
      <c r="Q3095" s="2" t="str">
        <f>"428-C/08"</f>
        <v>428-C/08</v>
      </c>
      <c r="R3095" s="2" t="s">
        <v>10120</v>
      </c>
      <c r="S3095" s="2" t="s">
        <v>10121</v>
      </c>
      <c r="T3095" s="2">
        <v>1</v>
      </c>
      <c r="U3095" s="2" t="s">
        <v>79</v>
      </c>
      <c r="V3095" s="2">
        <v>1</v>
      </c>
      <c r="W3095" s="2" t="s">
        <v>80</v>
      </c>
      <c r="X3095" s="2">
        <v>7</v>
      </c>
      <c r="Y3095" s="2" t="s">
        <v>1964</v>
      </c>
      <c r="Z3095" s="2">
        <v>10</v>
      </c>
      <c r="AA3095" s="2" t="s">
        <v>236</v>
      </c>
      <c r="AB3095" s="2">
        <v>9</v>
      </c>
      <c r="AC3095" s="2" t="s">
        <v>124</v>
      </c>
      <c r="AD3095" s="3">
        <v>40388</v>
      </c>
      <c r="AE3095" s="4">
        <v>0.28472222222222221</v>
      </c>
      <c r="AF3095" s="2"/>
      <c r="AG3095" s="2"/>
      <c r="AH3095" s="2">
        <v>2</v>
      </c>
      <c r="AI3095" s="2" t="s">
        <v>84</v>
      </c>
      <c r="AJ3095" s="2">
        <v>9</v>
      </c>
      <c r="AK3095" s="2" t="s">
        <v>103</v>
      </c>
      <c r="AL3095" s="2">
        <v>12</v>
      </c>
      <c r="AM3095" s="2" t="s">
        <v>86</v>
      </c>
      <c r="AN3095" s="2" t="s">
        <v>10122</v>
      </c>
      <c r="AO3095" s="2" t="s">
        <v>987</v>
      </c>
      <c r="AP3095" s="2">
        <v>11</v>
      </c>
      <c r="AQ3095" s="2" t="s">
        <v>82</v>
      </c>
      <c r="AR3095" s="2"/>
      <c r="AS3095" s="2"/>
      <c r="AT3095" s="2" t="s">
        <v>10123</v>
      </c>
      <c r="AU3095" s="2"/>
      <c r="AV3095" s="2"/>
      <c r="AW3095" s="2"/>
      <c r="AX3095" s="2"/>
      <c r="AY3095" s="2">
        <v>41</v>
      </c>
      <c r="AZ3095" s="2" t="s">
        <v>82</v>
      </c>
      <c r="BA3095" s="2">
        <v>41</v>
      </c>
      <c r="BB3095" s="2" t="s">
        <v>82</v>
      </c>
      <c r="BC3095" s="2">
        <v>41</v>
      </c>
      <c r="BD3095" s="2" t="s">
        <v>82</v>
      </c>
      <c r="BE3095" s="2">
        <v>41</v>
      </c>
      <c r="BF3095" s="2" t="s">
        <v>82</v>
      </c>
      <c r="BG3095" s="2"/>
      <c r="BH3095" s="2"/>
      <c r="BI3095" s="2"/>
      <c r="BJ3095" s="2">
        <v>241</v>
      </c>
      <c r="BK3095" s="2" t="s">
        <v>82</v>
      </c>
      <c r="BL3095" s="2"/>
      <c r="BM3095" s="2">
        <v>241</v>
      </c>
      <c r="BN3095" s="2" t="s">
        <v>82</v>
      </c>
      <c r="BO3095" s="2"/>
      <c r="BP3095" s="2">
        <v>241</v>
      </c>
      <c r="BQ3095" s="2" t="s">
        <v>82</v>
      </c>
      <c r="BR3095" s="2"/>
      <c r="BS3095" s="3">
        <v>40388</v>
      </c>
      <c r="BT3095" s="4">
        <v>0.82767361111111104</v>
      </c>
    </row>
    <row r="3096" spans="1:72" x14ac:dyDescent="0.25">
      <c r="A3096" s="2">
        <v>4587</v>
      </c>
      <c r="B3096" s="2">
        <v>2010</v>
      </c>
      <c r="C3096" s="2" t="s">
        <v>196</v>
      </c>
      <c r="D3096" s="2" t="s">
        <v>122</v>
      </c>
      <c r="E3096" s="2"/>
      <c r="F3096" s="2">
        <v>1</v>
      </c>
      <c r="G3096" s="2" t="s">
        <v>82</v>
      </c>
      <c r="H3096" s="2">
        <v>1</v>
      </c>
      <c r="I3096" s="2" t="s">
        <v>82</v>
      </c>
      <c r="J3096" s="2">
        <v>1</v>
      </c>
      <c r="K3096" s="2" t="s">
        <v>107</v>
      </c>
      <c r="L3096" s="2" t="s">
        <v>107</v>
      </c>
      <c r="M3096" s="3">
        <v>40388</v>
      </c>
      <c r="N3096" s="2"/>
      <c r="O3096" s="2"/>
      <c r="P3096" s="2"/>
      <c r="Q3096" s="2" t="str">
        <f>""</f>
        <v/>
      </c>
      <c r="R3096" s="2"/>
      <c r="S3096" s="2"/>
      <c r="T3096" s="2">
        <v>2</v>
      </c>
      <c r="U3096" s="2" t="s">
        <v>123</v>
      </c>
      <c r="V3096" s="2">
        <v>1</v>
      </c>
      <c r="W3096" s="2" t="s">
        <v>80</v>
      </c>
      <c r="X3096" s="2">
        <v>5</v>
      </c>
      <c r="Y3096" s="2" t="s">
        <v>82</v>
      </c>
      <c r="Z3096" s="2">
        <v>1</v>
      </c>
      <c r="AA3096" s="2" t="s">
        <v>82</v>
      </c>
      <c r="AB3096" s="2">
        <v>9</v>
      </c>
      <c r="AC3096" s="2" t="s">
        <v>124</v>
      </c>
      <c r="AD3096" s="3">
        <v>40388</v>
      </c>
      <c r="AE3096" s="4">
        <v>0.81944444444444453</v>
      </c>
      <c r="AF3096" s="2"/>
      <c r="AG3096" s="2"/>
      <c r="AH3096" s="2">
        <v>6</v>
      </c>
      <c r="AI3096" s="2" t="s">
        <v>197</v>
      </c>
      <c r="AJ3096" s="2">
        <v>58</v>
      </c>
      <c r="AK3096" s="2" t="s">
        <v>406</v>
      </c>
      <c r="AL3096" s="2">
        <v>18</v>
      </c>
      <c r="AM3096" s="2" t="s">
        <v>82</v>
      </c>
      <c r="AN3096" s="2" t="s">
        <v>230</v>
      </c>
      <c r="AO3096" s="2" t="s">
        <v>259</v>
      </c>
      <c r="AP3096" s="2">
        <v>11</v>
      </c>
      <c r="AQ3096" s="2" t="s">
        <v>82</v>
      </c>
      <c r="AR3096" s="2"/>
      <c r="AS3096" s="2"/>
      <c r="AT3096" s="2" t="s">
        <v>10124</v>
      </c>
      <c r="AU3096" s="2"/>
      <c r="AV3096" s="2"/>
      <c r="AW3096" s="2"/>
      <c r="AX3096" s="2"/>
      <c r="AY3096" s="2">
        <v>1</v>
      </c>
      <c r="AZ3096" s="2" t="s">
        <v>107</v>
      </c>
      <c r="BA3096" s="2">
        <v>1</v>
      </c>
      <c r="BB3096" s="2" t="s">
        <v>107</v>
      </c>
      <c r="BC3096" s="2">
        <v>1</v>
      </c>
      <c r="BD3096" s="2" t="s">
        <v>107</v>
      </c>
      <c r="BE3096" s="2">
        <v>1</v>
      </c>
      <c r="BF3096" s="2" t="s">
        <v>107</v>
      </c>
      <c r="BG3096" s="2" t="s">
        <v>265</v>
      </c>
      <c r="BH3096" s="4">
        <v>0.81944444444444453</v>
      </c>
      <c r="BI3096" s="2"/>
      <c r="BJ3096" s="2">
        <v>242</v>
      </c>
      <c r="BK3096" s="2" t="s">
        <v>107</v>
      </c>
      <c r="BL3096" s="2" t="s">
        <v>524</v>
      </c>
      <c r="BM3096" s="2">
        <v>242</v>
      </c>
      <c r="BN3096" s="2" t="s">
        <v>107</v>
      </c>
      <c r="BO3096" s="2" t="s">
        <v>204</v>
      </c>
      <c r="BP3096" s="2">
        <v>242</v>
      </c>
      <c r="BQ3096" s="2" t="s">
        <v>107</v>
      </c>
      <c r="BR3096" s="2" t="s">
        <v>492</v>
      </c>
      <c r="BS3096" s="3">
        <v>40388</v>
      </c>
      <c r="BT3096" s="4">
        <v>0.86214120370370362</v>
      </c>
    </row>
    <row r="3097" spans="1:72" x14ac:dyDescent="0.25">
      <c r="A3097" s="2">
        <v>4588</v>
      </c>
      <c r="B3097" s="2">
        <v>2010</v>
      </c>
      <c r="C3097" s="2" t="s">
        <v>377</v>
      </c>
      <c r="D3097" s="2" t="s">
        <v>73</v>
      </c>
      <c r="E3097" s="2"/>
      <c r="F3097" s="2">
        <v>426</v>
      </c>
      <c r="G3097" s="2" t="s">
        <v>378</v>
      </c>
      <c r="H3097" s="2">
        <v>42</v>
      </c>
      <c r="I3097" s="2" t="s">
        <v>1096</v>
      </c>
      <c r="J3097" s="2">
        <v>311</v>
      </c>
      <c r="K3097" s="2" t="s">
        <v>379</v>
      </c>
      <c r="L3097" s="2" t="s">
        <v>380</v>
      </c>
      <c r="M3097" s="3">
        <v>40388</v>
      </c>
      <c r="N3097" s="2" t="s">
        <v>7171</v>
      </c>
      <c r="O3097" s="2"/>
      <c r="P3097" s="2"/>
      <c r="Q3097" s="2" t="str">
        <f>"192-C/10"</f>
        <v>192-C/10</v>
      </c>
      <c r="R3097" s="2" t="s">
        <v>10125</v>
      </c>
      <c r="S3097" s="2"/>
      <c r="T3097" s="2">
        <v>1</v>
      </c>
      <c r="U3097" s="2" t="s">
        <v>79</v>
      </c>
      <c r="V3097" s="2">
        <v>1</v>
      </c>
      <c r="W3097" s="2" t="s">
        <v>80</v>
      </c>
      <c r="X3097" s="2">
        <v>1</v>
      </c>
      <c r="Y3097" s="2" t="s">
        <v>81</v>
      </c>
      <c r="Z3097" s="2">
        <v>1</v>
      </c>
      <c r="AA3097" s="2" t="s">
        <v>82</v>
      </c>
      <c r="AB3097" s="2">
        <v>9</v>
      </c>
      <c r="AC3097" s="2" t="s">
        <v>124</v>
      </c>
      <c r="AD3097" s="3">
        <v>40388</v>
      </c>
      <c r="AE3097" s="4">
        <v>0.63888888888888895</v>
      </c>
      <c r="AF3097" s="2"/>
      <c r="AG3097" s="2"/>
      <c r="AH3097" s="2">
        <v>2</v>
      </c>
      <c r="AI3097" s="2" t="s">
        <v>84</v>
      </c>
      <c r="AJ3097" s="2">
        <v>9</v>
      </c>
      <c r="AK3097" s="2" t="s">
        <v>103</v>
      </c>
      <c r="AL3097" s="2">
        <v>29</v>
      </c>
      <c r="AM3097" s="2" t="s">
        <v>5416</v>
      </c>
      <c r="AN3097" s="2" t="s">
        <v>1345</v>
      </c>
      <c r="AO3097" s="2" t="s">
        <v>987</v>
      </c>
      <c r="AP3097" s="2">
        <v>11</v>
      </c>
      <c r="AQ3097" s="2" t="s">
        <v>82</v>
      </c>
      <c r="AR3097" s="2"/>
      <c r="AS3097" s="2"/>
      <c r="AT3097" s="2" t="s">
        <v>10126</v>
      </c>
      <c r="AU3097" s="2"/>
      <c r="AV3097" s="2"/>
      <c r="AW3097" s="2"/>
      <c r="AX3097" s="2"/>
      <c r="AY3097" s="2">
        <v>41</v>
      </c>
      <c r="AZ3097" s="2" t="s">
        <v>82</v>
      </c>
      <c r="BA3097" s="2">
        <v>41</v>
      </c>
      <c r="BB3097" s="2" t="s">
        <v>82</v>
      </c>
      <c r="BC3097" s="2">
        <v>41</v>
      </c>
      <c r="BD3097" s="2" t="s">
        <v>82</v>
      </c>
      <c r="BE3097" s="2">
        <v>41</v>
      </c>
      <c r="BF3097" s="2" t="s">
        <v>82</v>
      </c>
      <c r="BG3097" s="2"/>
      <c r="BH3097" s="2"/>
      <c r="BI3097" s="2"/>
      <c r="BJ3097" s="2">
        <v>241</v>
      </c>
      <c r="BK3097" s="2" t="s">
        <v>82</v>
      </c>
      <c r="BL3097" s="2"/>
      <c r="BM3097" s="2">
        <v>241</v>
      </c>
      <c r="BN3097" s="2" t="s">
        <v>82</v>
      </c>
      <c r="BO3097" s="2"/>
      <c r="BP3097" s="2">
        <v>241</v>
      </c>
      <c r="BQ3097" s="2" t="s">
        <v>82</v>
      </c>
      <c r="BR3097" s="2"/>
      <c r="BS3097" s="3">
        <v>40388</v>
      </c>
      <c r="BT3097" s="4">
        <v>0.87847222222222221</v>
      </c>
    </row>
    <row r="3098" spans="1:72" x14ac:dyDescent="0.25">
      <c r="A3098" s="2">
        <v>4589</v>
      </c>
      <c r="B3098" s="2">
        <v>2010</v>
      </c>
      <c r="C3098" s="2" t="s">
        <v>2219</v>
      </c>
      <c r="D3098" s="2" t="s">
        <v>73</v>
      </c>
      <c r="E3098" s="2"/>
      <c r="F3098" s="2">
        <v>390</v>
      </c>
      <c r="G3098" s="2" t="s">
        <v>475</v>
      </c>
      <c r="H3098" s="2">
        <v>71</v>
      </c>
      <c r="I3098" s="2" t="s">
        <v>335</v>
      </c>
      <c r="J3098" s="2">
        <v>399</v>
      </c>
      <c r="K3098" s="2" t="s">
        <v>1820</v>
      </c>
      <c r="L3098" s="2" t="s">
        <v>1821</v>
      </c>
      <c r="M3098" s="3">
        <v>40388</v>
      </c>
      <c r="N3098" s="2" t="s">
        <v>9075</v>
      </c>
      <c r="O3098" s="2"/>
      <c r="P3098" s="2"/>
      <c r="Q3098" s="2" t="str">
        <f>"384-E/10"</f>
        <v>384-E/10</v>
      </c>
      <c r="R3098" s="2" t="s">
        <v>10127</v>
      </c>
      <c r="S3098" s="2"/>
      <c r="T3098" s="2">
        <v>1</v>
      </c>
      <c r="U3098" s="2" t="s">
        <v>79</v>
      </c>
      <c r="V3098" s="2">
        <v>1</v>
      </c>
      <c r="W3098" s="2" t="s">
        <v>80</v>
      </c>
      <c r="X3098" s="2">
        <v>10</v>
      </c>
      <c r="Y3098" s="2" t="s">
        <v>226</v>
      </c>
      <c r="Z3098" s="2">
        <v>6</v>
      </c>
      <c r="AA3098" s="2" t="s">
        <v>101</v>
      </c>
      <c r="AB3098" s="2">
        <v>9</v>
      </c>
      <c r="AC3098" s="2" t="s">
        <v>124</v>
      </c>
      <c r="AD3098" s="3">
        <v>40388</v>
      </c>
      <c r="AE3098" s="2"/>
      <c r="AF3098" s="2"/>
      <c r="AG3098" s="2"/>
      <c r="AH3098" s="2">
        <v>2</v>
      </c>
      <c r="AI3098" s="2" t="s">
        <v>84</v>
      </c>
      <c r="AJ3098" s="2">
        <v>9</v>
      </c>
      <c r="AK3098" s="2" t="s">
        <v>103</v>
      </c>
      <c r="AL3098" s="2">
        <v>14</v>
      </c>
      <c r="AM3098" s="2" t="s">
        <v>216</v>
      </c>
      <c r="AN3098" s="2" t="s">
        <v>10128</v>
      </c>
      <c r="AO3098" s="2" t="s">
        <v>7664</v>
      </c>
      <c r="AP3098" s="2">
        <v>11</v>
      </c>
      <c r="AQ3098" s="2" t="s">
        <v>82</v>
      </c>
      <c r="AR3098" s="2"/>
      <c r="AS3098" s="2"/>
      <c r="AT3098" s="2" t="s">
        <v>10129</v>
      </c>
      <c r="AU3098" s="2"/>
      <c r="AV3098" s="2"/>
      <c r="AW3098" s="2"/>
      <c r="AX3098" s="2"/>
      <c r="AY3098" s="2">
        <v>41</v>
      </c>
      <c r="AZ3098" s="2" t="s">
        <v>82</v>
      </c>
      <c r="BA3098" s="2">
        <v>115</v>
      </c>
      <c r="BB3098" s="2" t="s">
        <v>101</v>
      </c>
      <c r="BC3098" s="2">
        <v>41</v>
      </c>
      <c r="BD3098" s="2" t="s">
        <v>82</v>
      </c>
      <c r="BE3098" s="2">
        <v>35</v>
      </c>
      <c r="BF3098" s="2" t="s">
        <v>5816</v>
      </c>
      <c r="BG3098" s="2" t="s">
        <v>7948</v>
      </c>
      <c r="BH3098" s="4">
        <v>0.40625</v>
      </c>
      <c r="BI3098" s="2"/>
      <c r="BJ3098" s="2">
        <v>33</v>
      </c>
      <c r="BK3098" s="2" t="s">
        <v>361</v>
      </c>
      <c r="BL3098" s="2" t="s">
        <v>1739</v>
      </c>
      <c r="BM3098" s="2">
        <v>241</v>
      </c>
      <c r="BN3098" s="2" t="s">
        <v>82</v>
      </c>
      <c r="BO3098" s="2"/>
      <c r="BP3098" s="2">
        <v>13</v>
      </c>
      <c r="BQ3098" s="2" t="s">
        <v>91</v>
      </c>
      <c r="BR3098" s="2" t="s">
        <v>360</v>
      </c>
      <c r="BS3098" s="3">
        <v>40388</v>
      </c>
      <c r="BT3098" s="4">
        <v>0.88644675925925931</v>
      </c>
    </row>
    <row r="3099" spans="1:72" x14ac:dyDescent="0.25">
      <c r="A3099" s="2">
        <v>4590</v>
      </c>
      <c r="B3099" s="2">
        <v>2010</v>
      </c>
      <c r="C3099" s="2" t="s">
        <v>72</v>
      </c>
      <c r="D3099" s="2" t="s">
        <v>73</v>
      </c>
      <c r="E3099" s="2"/>
      <c r="F3099" s="2">
        <v>3</v>
      </c>
      <c r="G3099" s="2" t="s">
        <v>1041</v>
      </c>
      <c r="H3099" s="2">
        <v>42</v>
      </c>
      <c r="I3099" s="2" t="s">
        <v>1096</v>
      </c>
      <c r="J3099" s="2">
        <v>368</v>
      </c>
      <c r="K3099" s="2" t="s">
        <v>1042</v>
      </c>
      <c r="L3099" s="2" t="s">
        <v>1043</v>
      </c>
      <c r="M3099" s="3">
        <v>40388</v>
      </c>
      <c r="N3099" s="2"/>
      <c r="O3099" s="2"/>
      <c r="P3099" s="2"/>
      <c r="Q3099" s="2" t="str">
        <f>"385-E/10"</f>
        <v>385-E/10</v>
      </c>
      <c r="R3099" s="2"/>
      <c r="S3099" s="2" t="s">
        <v>116</v>
      </c>
      <c r="T3099" s="2">
        <v>1</v>
      </c>
      <c r="U3099" s="2" t="s">
        <v>79</v>
      </c>
      <c r="V3099" s="2">
        <v>1</v>
      </c>
      <c r="W3099" s="2" t="s">
        <v>80</v>
      </c>
      <c r="X3099" s="2">
        <v>12</v>
      </c>
      <c r="Y3099" s="2" t="s">
        <v>148</v>
      </c>
      <c r="Z3099" s="2">
        <v>1</v>
      </c>
      <c r="AA3099" s="2" t="s">
        <v>82</v>
      </c>
      <c r="AB3099" s="2">
        <v>6</v>
      </c>
      <c r="AC3099" s="2" t="s">
        <v>83</v>
      </c>
      <c r="AD3099" s="3">
        <v>40388</v>
      </c>
      <c r="AE3099" s="2"/>
      <c r="AF3099" s="3">
        <v>40388</v>
      </c>
      <c r="AG3099" s="4">
        <v>0.8125</v>
      </c>
      <c r="AH3099" s="2">
        <v>2</v>
      </c>
      <c r="AI3099" s="2" t="s">
        <v>84</v>
      </c>
      <c r="AJ3099" s="2">
        <v>9</v>
      </c>
      <c r="AK3099" s="2" t="s">
        <v>103</v>
      </c>
      <c r="AL3099" s="2">
        <v>12</v>
      </c>
      <c r="AM3099" s="2" t="s">
        <v>86</v>
      </c>
      <c r="AN3099" s="2" t="s">
        <v>10130</v>
      </c>
      <c r="AO3099" s="2"/>
      <c r="AP3099" s="2">
        <v>11</v>
      </c>
      <c r="AQ3099" s="2" t="s">
        <v>82</v>
      </c>
      <c r="AR3099" s="2"/>
      <c r="AS3099" s="2"/>
      <c r="AT3099" s="2" t="s">
        <v>10131</v>
      </c>
      <c r="AU3099" s="2"/>
      <c r="AV3099" s="2"/>
      <c r="AW3099" s="2"/>
      <c r="AX3099" s="2"/>
      <c r="AY3099" s="2">
        <v>41</v>
      </c>
      <c r="AZ3099" s="2" t="s">
        <v>82</v>
      </c>
      <c r="BA3099" s="2">
        <v>41</v>
      </c>
      <c r="BB3099" s="2" t="s">
        <v>82</v>
      </c>
      <c r="BC3099" s="2">
        <v>41</v>
      </c>
      <c r="BD3099" s="2" t="s">
        <v>82</v>
      </c>
      <c r="BE3099" s="2">
        <v>41</v>
      </c>
      <c r="BF3099" s="2" t="s">
        <v>82</v>
      </c>
      <c r="BG3099" s="2"/>
      <c r="BH3099" s="2"/>
      <c r="BI3099" s="2"/>
      <c r="BJ3099" s="2">
        <v>241</v>
      </c>
      <c r="BK3099" s="2" t="s">
        <v>82</v>
      </c>
      <c r="BL3099" s="2"/>
      <c r="BM3099" s="2">
        <v>241</v>
      </c>
      <c r="BN3099" s="2" t="s">
        <v>82</v>
      </c>
      <c r="BO3099" s="2"/>
      <c r="BP3099" s="2">
        <v>241</v>
      </c>
      <c r="BQ3099" s="2" t="s">
        <v>82</v>
      </c>
      <c r="BR3099" s="2"/>
      <c r="BS3099" s="3">
        <v>40388</v>
      </c>
      <c r="BT3099" s="4">
        <v>0.94674768518518526</v>
      </c>
    </row>
    <row r="3100" spans="1:72" x14ac:dyDescent="0.25">
      <c r="A3100" s="2">
        <v>4591</v>
      </c>
      <c r="B3100" s="2">
        <v>2010</v>
      </c>
      <c r="C3100" s="2" t="s">
        <v>819</v>
      </c>
      <c r="D3100" s="2" t="s">
        <v>122</v>
      </c>
      <c r="E3100" s="2"/>
      <c r="F3100" s="2">
        <v>451</v>
      </c>
      <c r="G3100" s="2" t="s">
        <v>879</v>
      </c>
      <c r="H3100" s="2">
        <v>31</v>
      </c>
      <c r="I3100" s="2" t="s">
        <v>880</v>
      </c>
      <c r="J3100" s="2">
        <v>326</v>
      </c>
      <c r="K3100" s="2" t="s">
        <v>881</v>
      </c>
      <c r="L3100" s="2" t="s">
        <v>882</v>
      </c>
      <c r="M3100" s="3">
        <v>40389</v>
      </c>
      <c r="N3100" s="2" t="s">
        <v>1072</v>
      </c>
      <c r="O3100" s="2"/>
      <c r="P3100" s="2"/>
      <c r="Q3100" s="2" t="str">
        <f>"087/10"</f>
        <v>087/10</v>
      </c>
      <c r="R3100" s="2"/>
      <c r="S3100" s="2" t="s">
        <v>822</v>
      </c>
      <c r="T3100" s="2">
        <v>1</v>
      </c>
      <c r="U3100" s="2" t="s">
        <v>79</v>
      </c>
      <c r="V3100" s="2">
        <v>1</v>
      </c>
      <c r="W3100" s="2" t="s">
        <v>80</v>
      </c>
      <c r="X3100" s="2">
        <v>1</v>
      </c>
      <c r="Y3100" s="2" t="s">
        <v>81</v>
      </c>
      <c r="Z3100" s="2">
        <v>10</v>
      </c>
      <c r="AA3100" s="2" t="s">
        <v>236</v>
      </c>
      <c r="AB3100" s="2">
        <v>9</v>
      </c>
      <c r="AC3100" s="2" t="s">
        <v>124</v>
      </c>
      <c r="AD3100" s="3">
        <v>40388</v>
      </c>
      <c r="AE3100" s="4">
        <v>0.9375</v>
      </c>
      <c r="AF3100" s="2"/>
      <c r="AG3100" s="2"/>
      <c r="AH3100" s="2">
        <v>4</v>
      </c>
      <c r="AI3100" s="2" t="s">
        <v>125</v>
      </c>
      <c r="AJ3100" s="2">
        <v>29</v>
      </c>
      <c r="AK3100" s="2" t="s">
        <v>227</v>
      </c>
      <c r="AL3100" s="2">
        <v>10</v>
      </c>
      <c r="AM3100" s="2" t="s">
        <v>200</v>
      </c>
      <c r="AN3100" s="2" t="s">
        <v>1015</v>
      </c>
      <c r="AO3100" s="2" t="s">
        <v>8817</v>
      </c>
      <c r="AP3100" s="2">
        <v>12</v>
      </c>
      <c r="AQ3100" s="2" t="s">
        <v>322</v>
      </c>
      <c r="AR3100" s="2" t="s">
        <v>824</v>
      </c>
      <c r="AS3100" s="2" t="s">
        <v>825</v>
      </c>
      <c r="AT3100" s="2" t="s">
        <v>10132</v>
      </c>
      <c r="AU3100" s="2"/>
      <c r="AV3100" s="2"/>
      <c r="AW3100" s="2"/>
      <c r="AX3100" s="2"/>
      <c r="AY3100" s="2">
        <v>41</v>
      </c>
      <c r="AZ3100" s="2" t="s">
        <v>82</v>
      </c>
      <c r="BA3100" s="2">
        <v>41</v>
      </c>
      <c r="BB3100" s="2" t="s">
        <v>82</v>
      </c>
      <c r="BC3100" s="2">
        <v>51</v>
      </c>
      <c r="BD3100" s="2" t="s">
        <v>827</v>
      </c>
      <c r="BE3100" s="2">
        <v>13</v>
      </c>
      <c r="BF3100" s="2" t="s">
        <v>108</v>
      </c>
      <c r="BG3100" s="2">
        <v>1459</v>
      </c>
      <c r="BH3100" s="4">
        <v>0.92708333333333337</v>
      </c>
      <c r="BI3100" s="4">
        <v>0.94791666666666663</v>
      </c>
      <c r="BJ3100" s="2">
        <v>13</v>
      </c>
      <c r="BK3100" s="2" t="s">
        <v>91</v>
      </c>
      <c r="BL3100" s="2" t="s">
        <v>828</v>
      </c>
      <c r="BM3100" s="2">
        <v>241</v>
      </c>
      <c r="BN3100" s="2" t="s">
        <v>82</v>
      </c>
      <c r="BO3100" s="2"/>
      <c r="BP3100" s="2">
        <v>13</v>
      </c>
      <c r="BQ3100" s="2" t="s">
        <v>91</v>
      </c>
      <c r="BR3100" s="2" t="s">
        <v>185</v>
      </c>
      <c r="BS3100" s="3">
        <v>40389</v>
      </c>
      <c r="BT3100" s="4">
        <v>1.2164351851851852E-2</v>
      </c>
    </row>
    <row r="3101" spans="1:72" x14ac:dyDescent="0.25">
      <c r="A3101" s="2">
        <v>4592</v>
      </c>
      <c r="B3101" s="2">
        <v>2010</v>
      </c>
      <c r="C3101" s="2" t="s">
        <v>554</v>
      </c>
      <c r="D3101" s="2" t="s">
        <v>73</v>
      </c>
      <c r="E3101" s="2"/>
      <c r="F3101" s="2">
        <v>221</v>
      </c>
      <c r="G3101" s="2" t="s">
        <v>8422</v>
      </c>
      <c r="H3101" s="2">
        <v>42</v>
      </c>
      <c r="I3101" s="2" t="s">
        <v>1096</v>
      </c>
      <c r="J3101" s="2">
        <v>620</v>
      </c>
      <c r="K3101" s="2" t="s">
        <v>9617</v>
      </c>
      <c r="L3101" s="2" t="s">
        <v>9618</v>
      </c>
      <c r="M3101" s="3">
        <v>40389</v>
      </c>
      <c r="N3101" s="2" t="s">
        <v>10133</v>
      </c>
      <c r="O3101" s="2"/>
      <c r="P3101" s="2"/>
      <c r="Q3101" s="2" t="str">
        <f>"291-A/10"</f>
        <v>291-A/10</v>
      </c>
      <c r="R3101" s="2" t="s">
        <v>10134</v>
      </c>
      <c r="S3101" s="2"/>
      <c r="T3101" s="2">
        <v>1</v>
      </c>
      <c r="U3101" s="2" t="s">
        <v>79</v>
      </c>
      <c r="V3101" s="2">
        <v>1</v>
      </c>
      <c r="W3101" s="2" t="s">
        <v>80</v>
      </c>
      <c r="X3101" s="2">
        <v>12</v>
      </c>
      <c r="Y3101" s="2" t="s">
        <v>148</v>
      </c>
      <c r="Z3101" s="2">
        <v>1</v>
      </c>
      <c r="AA3101" s="2" t="s">
        <v>82</v>
      </c>
      <c r="AB3101" s="2">
        <v>5</v>
      </c>
      <c r="AC3101" s="2" t="s">
        <v>559</v>
      </c>
      <c r="AD3101" s="3">
        <v>40388</v>
      </c>
      <c r="AE3101" s="2"/>
      <c r="AF3101" s="3">
        <v>40388</v>
      </c>
      <c r="AG3101" s="4">
        <v>0.99652777777777779</v>
      </c>
      <c r="AH3101" s="2">
        <v>2</v>
      </c>
      <c r="AI3101" s="2" t="s">
        <v>84</v>
      </c>
      <c r="AJ3101" s="2">
        <v>12</v>
      </c>
      <c r="AK3101" s="2" t="s">
        <v>85</v>
      </c>
      <c r="AL3101" s="2">
        <v>17</v>
      </c>
      <c r="AM3101" s="2" t="s">
        <v>232</v>
      </c>
      <c r="AN3101" s="2" t="s">
        <v>107</v>
      </c>
      <c r="AO3101" s="2" t="s">
        <v>10135</v>
      </c>
      <c r="AP3101" s="2">
        <v>11</v>
      </c>
      <c r="AQ3101" s="2" t="s">
        <v>82</v>
      </c>
      <c r="AR3101" s="2"/>
      <c r="AS3101" s="2"/>
      <c r="AT3101" s="2" t="s">
        <v>10136</v>
      </c>
      <c r="AU3101" s="2">
        <v>1</v>
      </c>
      <c r="AV3101" s="2"/>
      <c r="AW3101" s="2"/>
      <c r="AX3101" s="2"/>
      <c r="AY3101" s="2">
        <v>41</v>
      </c>
      <c r="AZ3101" s="2" t="s">
        <v>82</v>
      </c>
      <c r="BA3101" s="2">
        <v>41</v>
      </c>
      <c r="BB3101" s="2" t="s">
        <v>82</v>
      </c>
      <c r="BC3101" s="2">
        <v>41</v>
      </c>
      <c r="BD3101" s="2" t="s">
        <v>82</v>
      </c>
      <c r="BE3101" s="2">
        <v>41</v>
      </c>
      <c r="BF3101" s="2" t="s">
        <v>82</v>
      </c>
      <c r="BG3101" s="2"/>
      <c r="BH3101" s="2"/>
      <c r="BI3101" s="2"/>
      <c r="BJ3101" s="2">
        <v>241</v>
      </c>
      <c r="BK3101" s="2" t="s">
        <v>82</v>
      </c>
      <c r="BL3101" s="2"/>
      <c r="BM3101" s="2">
        <v>241</v>
      </c>
      <c r="BN3101" s="2" t="s">
        <v>82</v>
      </c>
      <c r="BO3101" s="2"/>
      <c r="BP3101" s="2">
        <v>241</v>
      </c>
      <c r="BQ3101" s="2" t="s">
        <v>82</v>
      </c>
      <c r="BR3101" s="2"/>
      <c r="BS3101" s="3">
        <v>40389</v>
      </c>
      <c r="BT3101" s="4">
        <v>0.12807870370370369</v>
      </c>
    </row>
    <row r="3102" spans="1:72" x14ac:dyDescent="0.25">
      <c r="A3102" s="2">
        <v>4593</v>
      </c>
      <c r="B3102" s="2">
        <v>2010</v>
      </c>
      <c r="C3102" s="2" t="s">
        <v>2219</v>
      </c>
      <c r="D3102" s="2" t="s">
        <v>73</v>
      </c>
      <c r="E3102" s="2"/>
      <c r="F3102" s="2">
        <v>390</v>
      </c>
      <c r="G3102" s="2" t="s">
        <v>475</v>
      </c>
      <c r="H3102" s="2">
        <v>71</v>
      </c>
      <c r="I3102" s="2" t="s">
        <v>335</v>
      </c>
      <c r="J3102" s="2">
        <v>399</v>
      </c>
      <c r="K3102" s="2" t="s">
        <v>1820</v>
      </c>
      <c r="L3102" s="2" t="s">
        <v>1821</v>
      </c>
      <c r="M3102" s="3">
        <v>40389</v>
      </c>
      <c r="N3102" s="2" t="s">
        <v>9075</v>
      </c>
      <c r="O3102" s="2"/>
      <c r="P3102" s="2"/>
      <c r="Q3102" s="2" t="str">
        <f>"386-E/10"</f>
        <v>386-E/10</v>
      </c>
      <c r="R3102" s="2" t="s">
        <v>10137</v>
      </c>
      <c r="S3102" s="2"/>
      <c r="T3102" s="2">
        <v>1</v>
      </c>
      <c r="U3102" s="2" t="s">
        <v>79</v>
      </c>
      <c r="V3102" s="2">
        <v>1</v>
      </c>
      <c r="W3102" s="2" t="s">
        <v>80</v>
      </c>
      <c r="X3102" s="2">
        <v>1</v>
      </c>
      <c r="Y3102" s="2" t="s">
        <v>81</v>
      </c>
      <c r="Z3102" s="2">
        <v>1</v>
      </c>
      <c r="AA3102" s="2" t="s">
        <v>82</v>
      </c>
      <c r="AB3102" s="2">
        <v>9</v>
      </c>
      <c r="AC3102" s="2" t="s">
        <v>124</v>
      </c>
      <c r="AD3102" s="3">
        <v>40388</v>
      </c>
      <c r="AE3102" s="4">
        <v>0.76388888888888884</v>
      </c>
      <c r="AF3102" s="2"/>
      <c r="AG3102" s="2"/>
      <c r="AH3102" s="2">
        <v>2</v>
      </c>
      <c r="AI3102" s="2" t="s">
        <v>84</v>
      </c>
      <c r="AJ3102" s="2">
        <v>9</v>
      </c>
      <c r="AK3102" s="2" t="s">
        <v>103</v>
      </c>
      <c r="AL3102" s="2">
        <v>14</v>
      </c>
      <c r="AM3102" s="2" t="s">
        <v>216</v>
      </c>
      <c r="AN3102" s="2"/>
      <c r="AO3102" s="2" t="s">
        <v>7664</v>
      </c>
      <c r="AP3102" s="2">
        <v>11</v>
      </c>
      <c r="AQ3102" s="2" t="s">
        <v>82</v>
      </c>
      <c r="AR3102" s="2"/>
      <c r="AS3102" s="2"/>
      <c r="AT3102" s="2" t="s">
        <v>10138</v>
      </c>
      <c r="AU3102" s="2"/>
      <c r="AV3102" s="2"/>
      <c r="AW3102" s="2"/>
      <c r="AX3102" s="2"/>
      <c r="AY3102" s="2">
        <v>41</v>
      </c>
      <c r="AZ3102" s="2" t="s">
        <v>82</v>
      </c>
      <c r="BA3102" s="2">
        <v>41</v>
      </c>
      <c r="BB3102" s="2" t="s">
        <v>82</v>
      </c>
      <c r="BC3102" s="2">
        <v>41</v>
      </c>
      <c r="BD3102" s="2" t="s">
        <v>82</v>
      </c>
      <c r="BE3102" s="2">
        <v>41</v>
      </c>
      <c r="BF3102" s="2" t="s">
        <v>82</v>
      </c>
      <c r="BG3102" s="2"/>
      <c r="BH3102" s="2"/>
      <c r="BI3102" s="2"/>
      <c r="BJ3102" s="2">
        <v>241</v>
      </c>
      <c r="BK3102" s="2" t="s">
        <v>82</v>
      </c>
      <c r="BL3102" s="2"/>
      <c r="BM3102" s="2">
        <v>241</v>
      </c>
      <c r="BN3102" s="2" t="s">
        <v>82</v>
      </c>
      <c r="BO3102" s="2"/>
      <c r="BP3102" s="2">
        <v>241</v>
      </c>
      <c r="BQ3102" s="2" t="s">
        <v>82</v>
      </c>
      <c r="BR3102" s="2"/>
      <c r="BS3102" s="3">
        <v>40389</v>
      </c>
      <c r="BT3102" s="4">
        <v>0.15090277777777777</v>
      </c>
    </row>
    <row r="3103" spans="1:72" x14ac:dyDescent="0.25">
      <c r="A3103" s="2">
        <v>4594</v>
      </c>
      <c r="B3103" s="2">
        <v>2010</v>
      </c>
      <c r="C3103" s="2" t="s">
        <v>377</v>
      </c>
      <c r="D3103" s="2" t="s">
        <v>73</v>
      </c>
      <c r="E3103" s="2"/>
      <c r="F3103" s="2">
        <v>426</v>
      </c>
      <c r="G3103" s="2" t="s">
        <v>378</v>
      </c>
      <c r="H3103" s="2">
        <v>22</v>
      </c>
      <c r="I3103" s="2" t="s">
        <v>75</v>
      </c>
      <c r="J3103" s="2">
        <v>311</v>
      </c>
      <c r="K3103" s="2" t="s">
        <v>379</v>
      </c>
      <c r="L3103" s="2" t="s">
        <v>380</v>
      </c>
      <c r="M3103" s="3">
        <v>40389</v>
      </c>
      <c r="N3103" s="2" t="s">
        <v>5164</v>
      </c>
      <c r="O3103" s="2"/>
      <c r="P3103" s="2"/>
      <c r="Q3103" s="2" t="str">
        <f>"193-C/10"</f>
        <v>193-C/10</v>
      </c>
      <c r="R3103" s="2" t="s">
        <v>4428</v>
      </c>
      <c r="S3103" s="2"/>
      <c r="T3103" s="2">
        <v>1</v>
      </c>
      <c r="U3103" s="2" t="s">
        <v>79</v>
      </c>
      <c r="V3103" s="2">
        <v>1</v>
      </c>
      <c r="W3103" s="2" t="s">
        <v>80</v>
      </c>
      <c r="X3103" s="2">
        <v>1</v>
      </c>
      <c r="Y3103" s="2" t="s">
        <v>81</v>
      </c>
      <c r="Z3103" s="2">
        <v>1</v>
      </c>
      <c r="AA3103" s="2" t="s">
        <v>82</v>
      </c>
      <c r="AB3103" s="2">
        <v>9</v>
      </c>
      <c r="AC3103" s="2" t="s">
        <v>124</v>
      </c>
      <c r="AD3103" s="3">
        <v>40388</v>
      </c>
      <c r="AE3103" s="4">
        <v>0.95833333333333337</v>
      </c>
      <c r="AF3103" s="2"/>
      <c r="AG3103" s="2"/>
      <c r="AH3103" s="2">
        <v>2</v>
      </c>
      <c r="AI3103" s="2" t="s">
        <v>84</v>
      </c>
      <c r="AJ3103" s="2">
        <v>9</v>
      </c>
      <c r="AK3103" s="2" t="s">
        <v>103</v>
      </c>
      <c r="AL3103" s="2">
        <v>29</v>
      </c>
      <c r="AM3103" s="2" t="s">
        <v>5416</v>
      </c>
      <c r="AN3103" s="2" t="s">
        <v>1830</v>
      </c>
      <c r="AO3103" s="2" t="s">
        <v>987</v>
      </c>
      <c r="AP3103" s="2">
        <v>11</v>
      </c>
      <c r="AQ3103" s="2" t="s">
        <v>82</v>
      </c>
      <c r="AR3103" s="2"/>
      <c r="AS3103" s="2"/>
      <c r="AT3103" s="2" t="s">
        <v>10139</v>
      </c>
      <c r="AU3103" s="2"/>
      <c r="AV3103" s="2"/>
      <c r="AW3103" s="2"/>
      <c r="AX3103" s="2"/>
      <c r="AY3103" s="2">
        <v>41</v>
      </c>
      <c r="AZ3103" s="2" t="s">
        <v>82</v>
      </c>
      <c r="BA3103" s="2">
        <v>41</v>
      </c>
      <c r="BB3103" s="2" t="s">
        <v>82</v>
      </c>
      <c r="BC3103" s="2">
        <v>41</v>
      </c>
      <c r="BD3103" s="2" t="s">
        <v>82</v>
      </c>
      <c r="BE3103" s="2">
        <v>41</v>
      </c>
      <c r="BF3103" s="2" t="s">
        <v>82</v>
      </c>
      <c r="BG3103" s="2"/>
      <c r="BH3103" s="2"/>
      <c r="BI3103" s="2"/>
      <c r="BJ3103" s="2">
        <v>241</v>
      </c>
      <c r="BK3103" s="2" t="s">
        <v>82</v>
      </c>
      <c r="BL3103" s="2"/>
      <c r="BM3103" s="2">
        <v>241</v>
      </c>
      <c r="BN3103" s="2" t="s">
        <v>82</v>
      </c>
      <c r="BO3103" s="2"/>
      <c r="BP3103" s="2">
        <v>241</v>
      </c>
      <c r="BQ3103" s="2" t="s">
        <v>82</v>
      </c>
      <c r="BR3103" s="2"/>
      <c r="BS3103" s="3">
        <v>40389</v>
      </c>
      <c r="BT3103" s="4">
        <v>0.44563657407407403</v>
      </c>
    </row>
    <row r="3104" spans="1:72" x14ac:dyDescent="0.25">
      <c r="A3104" s="2">
        <v>4595</v>
      </c>
      <c r="B3104" s="2">
        <v>2010</v>
      </c>
      <c r="C3104" s="2" t="s">
        <v>377</v>
      </c>
      <c r="D3104" s="2" t="s">
        <v>73</v>
      </c>
      <c r="E3104" s="2"/>
      <c r="F3104" s="2">
        <v>426</v>
      </c>
      <c r="G3104" s="2" t="s">
        <v>378</v>
      </c>
      <c r="H3104" s="2">
        <v>42</v>
      </c>
      <c r="I3104" s="2" t="s">
        <v>1096</v>
      </c>
      <c r="J3104" s="2">
        <v>311</v>
      </c>
      <c r="K3104" s="2" t="s">
        <v>379</v>
      </c>
      <c r="L3104" s="2" t="s">
        <v>380</v>
      </c>
      <c r="M3104" s="3">
        <v>40389</v>
      </c>
      <c r="N3104" s="2" t="s">
        <v>5164</v>
      </c>
      <c r="O3104" s="2"/>
      <c r="P3104" s="2"/>
      <c r="Q3104" s="2" t="str">
        <f>"194-C/10"</f>
        <v>194-C/10</v>
      </c>
      <c r="R3104" s="2" t="s">
        <v>4428</v>
      </c>
      <c r="S3104" s="2"/>
      <c r="T3104" s="2">
        <v>1</v>
      </c>
      <c r="U3104" s="2" t="s">
        <v>79</v>
      </c>
      <c r="V3104" s="2">
        <v>1</v>
      </c>
      <c r="W3104" s="2" t="s">
        <v>80</v>
      </c>
      <c r="X3104" s="2">
        <v>1</v>
      </c>
      <c r="Y3104" s="2" t="s">
        <v>81</v>
      </c>
      <c r="Z3104" s="2">
        <v>1</v>
      </c>
      <c r="AA3104" s="2" t="s">
        <v>82</v>
      </c>
      <c r="AB3104" s="2">
        <v>9</v>
      </c>
      <c r="AC3104" s="2" t="s">
        <v>124</v>
      </c>
      <c r="AD3104" s="3">
        <v>40388</v>
      </c>
      <c r="AE3104" s="4">
        <v>0.95833333333333337</v>
      </c>
      <c r="AF3104" s="2"/>
      <c r="AG3104" s="2"/>
      <c r="AH3104" s="2">
        <v>2</v>
      </c>
      <c r="AI3104" s="2" t="s">
        <v>84</v>
      </c>
      <c r="AJ3104" s="2">
        <v>9</v>
      </c>
      <c r="AK3104" s="2" t="s">
        <v>103</v>
      </c>
      <c r="AL3104" s="2">
        <v>29</v>
      </c>
      <c r="AM3104" s="2" t="s">
        <v>5416</v>
      </c>
      <c r="AN3104" s="2" t="s">
        <v>1830</v>
      </c>
      <c r="AO3104" s="2" t="s">
        <v>987</v>
      </c>
      <c r="AP3104" s="2">
        <v>11</v>
      </c>
      <c r="AQ3104" s="2" t="s">
        <v>82</v>
      </c>
      <c r="AR3104" s="2"/>
      <c r="AS3104" s="2"/>
      <c r="AT3104" s="2" t="s">
        <v>10140</v>
      </c>
      <c r="AU3104" s="2"/>
      <c r="AV3104" s="2"/>
      <c r="AW3104" s="2"/>
      <c r="AX3104" s="2"/>
      <c r="AY3104" s="2">
        <v>41</v>
      </c>
      <c r="AZ3104" s="2" t="s">
        <v>82</v>
      </c>
      <c r="BA3104" s="2">
        <v>41</v>
      </c>
      <c r="BB3104" s="2" t="s">
        <v>82</v>
      </c>
      <c r="BC3104" s="2">
        <v>41</v>
      </c>
      <c r="BD3104" s="2" t="s">
        <v>82</v>
      </c>
      <c r="BE3104" s="2">
        <v>41</v>
      </c>
      <c r="BF3104" s="2" t="s">
        <v>82</v>
      </c>
      <c r="BG3104" s="2"/>
      <c r="BH3104" s="2"/>
      <c r="BI3104" s="2"/>
      <c r="BJ3104" s="2">
        <v>241</v>
      </c>
      <c r="BK3104" s="2" t="s">
        <v>82</v>
      </c>
      <c r="BL3104" s="2"/>
      <c r="BM3104" s="2">
        <v>241</v>
      </c>
      <c r="BN3104" s="2" t="s">
        <v>82</v>
      </c>
      <c r="BO3104" s="2"/>
      <c r="BP3104" s="2">
        <v>241</v>
      </c>
      <c r="BQ3104" s="2" t="s">
        <v>82</v>
      </c>
      <c r="BR3104" s="2"/>
      <c r="BS3104" s="3">
        <v>40389</v>
      </c>
      <c r="BT3104" s="4">
        <v>0.45785879629629633</v>
      </c>
    </row>
    <row r="3105" spans="1:72" x14ac:dyDescent="0.25">
      <c r="A3105" s="2">
        <v>4596</v>
      </c>
      <c r="B3105" s="2">
        <v>2010</v>
      </c>
      <c r="C3105" s="2" t="s">
        <v>4543</v>
      </c>
      <c r="D3105" s="2" t="s">
        <v>122</v>
      </c>
      <c r="E3105" s="2"/>
      <c r="F3105" s="2">
        <v>146</v>
      </c>
      <c r="G3105" s="2" t="s">
        <v>753</v>
      </c>
      <c r="H3105" s="2">
        <v>39</v>
      </c>
      <c r="I3105" s="2" t="s">
        <v>1117</v>
      </c>
      <c r="J3105" s="2">
        <v>439</v>
      </c>
      <c r="K3105" s="2" t="s">
        <v>2827</v>
      </c>
      <c r="L3105" s="2" t="s">
        <v>2828</v>
      </c>
      <c r="M3105" s="3">
        <v>40389</v>
      </c>
      <c r="N3105" s="2" t="s">
        <v>9100</v>
      </c>
      <c r="O3105" s="2" t="s">
        <v>10141</v>
      </c>
      <c r="P3105" s="2">
        <v>2490</v>
      </c>
      <c r="Q3105" s="2" t="str">
        <f>"S/D"</f>
        <v>S/D</v>
      </c>
      <c r="R3105" s="2" t="s">
        <v>107</v>
      </c>
      <c r="S3105" s="2" t="s">
        <v>107</v>
      </c>
      <c r="T3105" s="2">
        <v>2</v>
      </c>
      <c r="U3105" s="2" t="s">
        <v>123</v>
      </c>
      <c r="V3105" s="2">
        <v>1</v>
      </c>
      <c r="W3105" s="2" t="s">
        <v>80</v>
      </c>
      <c r="X3105" s="2">
        <v>5</v>
      </c>
      <c r="Y3105" s="2" t="s">
        <v>82</v>
      </c>
      <c r="Z3105" s="2">
        <v>1</v>
      </c>
      <c r="AA3105" s="2" t="s">
        <v>82</v>
      </c>
      <c r="AB3105" s="2">
        <v>9</v>
      </c>
      <c r="AC3105" s="2" t="s">
        <v>124</v>
      </c>
      <c r="AD3105" s="3">
        <v>40389</v>
      </c>
      <c r="AE3105" s="4">
        <v>0.39583333333333331</v>
      </c>
      <c r="AF3105" s="2"/>
      <c r="AG3105" s="2"/>
      <c r="AH3105" s="2">
        <v>6</v>
      </c>
      <c r="AI3105" s="2" t="s">
        <v>197</v>
      </c>
      <c r="AJ3105" s="2">
        <v>54</v>
      </c>
      <c r="AK3105" s="2" t="s">
        <v>348</v>
      </c>
      <c r="AL3105" s="2">
        <v>18</v>
      </c>
      <c r="AM3105" s="2" t="s">
        <v>82</v>
      </c>
      <c r="AN3105" s="2" t="s">
        <v>9102</v>
      </c>
      <c r="AO3105" s="2" t="s">
        <v>2691</v>
      </c>
      <c r="AP3105" s="2">
        <v>11</v>
      </c>
      <c r="AQ3105" s="2" t="s">
        <v>82</v>
      </c>
      <c r="AR3105" s="2" t="s">
        <v>107</v>
      </c>
      <c r="AS3105" s="2" t="s">
        <v>107</v>
      </c>
      <c r="AT3105" s="2" t="s">
        <v>10142</v>
      </c>
      <c r="AU3105" s="2"/>
      <c r="AV3105" s="2"/>
      <c r="AW3105" s="2"/>
      <c r="AX3105" s="2"/>
      <c r="AY3105" s="2">
        <v>1</v>
      </c>
      <c r="AZ3105" s="2" t="s">
        <v>107</v>
      </c>
      <c r="BA3105" s="2">
        <v>1</v>
      </c>
      <c r="BB3105" s="2" t="s">
        <v>107</v>
      </c>
      <c r="BC3105" s="2">
        <v>1</v>
      </c>
      <c r="BD3105" s="2" t="s">
        <v>107</v>
      </c>
      <c r="BE3105" s="2">
        <v>1</v>
      </c>
      <c r="BF3105" s="2" t="s">
        <v>107</v>
      </c>
      <c r="BG3105" s="2" t="s">
        <v>107</v>
      </c>
      <c r="BH3105" s="2"/>
      <c r="BI3105" s="2"/>
      <c r="BJ3105" s="2">
        <v>242</v>
      </c>
      <c r="BK3105" s="2" t="s">
        <v>107</v>
      </c>
      <c r="BL3105" s="2" t="s">
        <v>107</v>
      </c>
      <c r="BM3105" s="2">
        <v>241</v>
      </c>
      <c r="BN3105" s="2" t="s">
        <v>82</v>
      </c>
      <c r="BO3105" s="2" t="s">
        <v>107</v>
      </c>
      <c r="BP3105" s="2">
        <v>242</v>
      </c>
      <c r="BQ3105" s="2" t="s">
        <v>107</v>
      </c>
      <c r="BR3105" s="2" t="s">
        <v>107</v>
      </c>
      <c r="BS3105" s="3">
        <v>40389</v>
      </c>
      <c r="BT3105" s="4">
        <v>0.47050925925925924</v>
      </c>
    </row>
    <row r="3106" spans="1:72" x14ac:dyDescent="0.25">
      <c r="A3106" s="2">
        <v>4597</v>
      </c>
      <c r="B3106" s="2">
        <v>2010</v>
      </c>
      <c r="C3106" s="2" t="s">
        <v>72</v>
      </c>
      <c r="D3106" s="2" t="s">
        <v>122</v>
      </c>
      <c r="E3106" s="2" t="s">
        <v>10143</v>
      </c>
      <c r="F3106" s="2">
        <v>438</v>
      </c>
      <c r="G3106" s="2" t="s">
        <v>7090</v>
      </c>
      <c r="H3106" s="2">
        <v>42</v>
      </c>
      <c r="I3106" s="2" t="s">
        <v>1096</v>
      </c>
      <c r="J3106" s="2">
        <v>327</v>
      </c>
      <c r="K3106" s="2" t="s">
        <v>7091</v>
      </c>
      <c r="L3106" s="2" t="s">
        <v>7092</v>
      </c>
      <c r="M3106" s="3">
        <v>40389</v>
      </c>
      <c r="N3106" s="2" t="s">
        <v>7093</v>
      </c>
      <c r="O3106" s="2"/>
      <c r="P3106" s="2"/>
      <c r="Q3106" s="2" t="str">
        <f>"086/10"</f>
        <v>086/10</v>
      </c>
      <c r="R3106" s="2"/>
      <c r="S3106" s="2" t="s">
        <v>822</v>
      </c>
      <c r="T3106" s="2">
        <v>1</v>
      </c>
      <c r="U3106" s="2" t="s">
        <v>79</v>
      </c>
      <c r="V3106" s="2">
        <v>1</v>
      </c>
      <c r="W3106" s="2" t="s">
        <v>80</v>
      </c>
      <c r="X3106" s="2">
        <v>12</v>
      </c>
      <c r="Y3106" s="2" t="s">
        <v>148</v>
      </c>
      <c r="Z3106" s="2">
        <v>10</v>
      </c>
      <c r="AA3106" s="2" t="s">
        <v>236</v>
      </c>
      <c r="AB3106" s="2">
        <v>6</v>
      </c>
      <c r="AC3106" s="2" t="s">
        <v>83</v>
      </c>
      <c r="AD3106" s="3">
        <v>40389</v>
      </c>
      <c r="AE3106" s="4">
        <v>0.52083333333333337</v>
      </c>
      <c r="AF3106" s="3">
        <v>40383</v>
      </c>
      <c r="AG3106" s="4">
        <v>0.38541666666666669</v>
      </c>
      <c r="AH3106" s="2">
        <v>4</v>
      </c>
      <c r="AI3106" s="2" t="s">
        <v>125</v>
      </c>
      <c r="AJ3106" s="2">
        <v>29</v>
      </c>
      <c r="AK3106" s="2" t="s">
        <v>227</v>
      </c>
      <c r="AL3106" s="2">
        <v>19</v>
      </c>
      <c r="AM3106" s="2" t="s">
        <v>107</v>
      </c>
      <c r="AN3106" s="2" t="s">
        <v>10144</v>
      </c>
      <c r="AO3106" s="2"/>
      <c r="AP3106" s="2">
        <v>12</v>
      </c>
      <c r="AQ3106" s="2" t="s">
        <v>322</v>
      </c>
      <c r="AR3106" s="2" t="s">
        <v>825</v>
      </c>
      <c r="AS3106" s="2" t="s">
        <v>824</v>
      </c>
      <c r="AT3106" s="2" t="s">
        <v>10145</v>
      </c>
      <c r="AU3106" s="2"/>
      <c r="AV3106" s="2"/>
      <c r="AW3106" s="2"/>
      <c r="AX3106" s="2"/>
      <c r="AY3106" s="2">
        <v>51</v>
      </c>
      <c r="AZ3106" s="2" t="s">
        <v>827</v>
      </c>
      <c r="BA3106" s="2">
        <v>51</v>
      </c>
      <c r="BB3106" s="2" t="s">
        <v>827</v>
      </c>
      <c r="BC3106" s="2">
        <v>129</v>
      </c>
      <c r="BD3106" s="2" t="s">
        <v>322</v>
      </c>
      <c r="BE3106" s="2">
        <v>13</v>
      </c>
      <c r="BF3106" s="2" t="s">
        <v>108</v>
      </c>
      <c r="BG3106" s="2">
        <v>1458</v>
      </c>
      <c r="BH3106" s="4">
        <v>0.89722222222222225</v>
      </c>
      <c r="BI3106" s="4">
        <v>0.93055555555555547</v>
      </c>
      <c r="BJ3106" s="2">
        <v>13</v>
      </c>
      <c r="BK3106" s="2" t="s">
        <v>91</v>
      </c>
      <c r="BL3106" s="2" t="s">
        <v>185</v>
      </c>
      <c r="BM3106" s="2">
        <v>241</v>
      </c>
      <c r="BN3106" s="2" t="s">
        <v>82</v>
      </c>
      <c r="BO3106" s="2"/>
      <c r="BP3106" s="2">
        <v>13</v>
      </c>
      <c r="BQ3106" s="2" t="s">
        <v>91</v>
      </c>
      <c r="BR3106" s="2" t="s">
        <v>828</v>
      </c>
      <c r="BS3106" s="3">
        <v>40389</v>
      </c>
      <c r="BT3106" s="4">
        <v>0.58468750000000003</v>
      </c>
    </row>
    <row r="3107" spans="1:72" x14ac:dyDescent="0.25">
      <c r="A3107" s="2">
        <v>4598</v>
      </c>
      <c r="B3107" s="2">
        <v>2010</v>
      </c>
      <c r="C3107" s="2" t="s">
        <v>93</v>
      </c>
      <c r="D3107" s="2" t="s">
        <v>122</v>
      </c>
      <c r="E3107" s="2"/>
      <c r="F3107" s="2">
        <v>232</v>
      </c>
      <c r="G3107" s="2" t="s">
        <v>4075</v>
      </c>
      <c r="H3107" s="2">
        <v>14</v>
      </c>
      <c r="I3107" s="2" t="s">
        <v>1458</v>
      </c>
      <c r="J3107" s="2">
        <v>245</v>
      </c>
      <c r="K3107" s="2" t="s">
        <v>96</v>
      </c>
      <c r="L3107" s="2" t="s">
        <v>97</v>
      </c>
      <c r="M3107" s="3">
        <v>40389</v>
      </c>
      <c r="N3107" s="2" t="s">
        <v>10146</v>
      </c>
      <c r="O3107" s="2" t="s">
        <v>10147</v>
      </c>
      <c r="P3107" s="2" t="s">
        <v>107</v>
      </c>
      <c r="Q3107" s="2" t="str">
        <f>""</f>
        <v/>
      </c>
      <c r="R3107" s="2"/>
      <c r="S3107" s="2" t="s">
        <v>10148</v>
      </c>
      <c r="T3107" s="2">
        <v>1</v>
      </c>
      <c r="U3107" s="2" t="s">
        <v>79</v>
      </c>
      <c r="V3107" s="2">
        <v>1</v>
      </c>
      <c r="W3107" s="2" t="s">
        <v>80</v>
      </c>
      <c r="X3107" s="2">
        <v>1</v>
      </c>
      <c r="Y3107" s="2" t="s">
        <v>81</v>
      </c>
      <c r="Z3107" s="2">
        <v>10</v>
      </c>
      <c r="AA3107" s="2" t="s">
        <v>236</v>
      </c>
      <c r="AB3107" s="2">
        <v>2</v>
      </c>
      <c r="AC3107" s="2" t="s">
        <v>102</v>
      </c>
      <c r="AD3107" s="3">
        <v>40389</v>
      </c>
      <c r="AE3107" s="4">
        <v>0.49305555555555558</v>
      </c>
      <c r="AF3107" s="2"/>
      <c r="AG3107" s="2"/>
      <c r="AH3107" s="2">
        <v>5</v>
      </c>
      <c r="AI3107" s="2" t="s">
        <v>274</v>
      </c>
      <c r="AJ3107" s="2">
        <v>37</v>
      </c>
      <c r="AK3107" s="2" t="s">
        <v>497</v>
      </c>
      <c r="AL3107" s="2">
        <v>14</v>
      </c>
      <c r="AM3107" s="2" t="s">
        <v>216</v>
      </c>
      <c r="AN3107" s="2" t="s">
        <v>5079</v>
      </c>
      <c r="AO3107" s="2" t="s">
        <v>10149</v>
      </c>
      <c r="AP3107" s="2">
        <v>11</v>
      </c>
      <c r="AQ3107" s="2" t="s">
        <v>82</v>
      </c>
      <c r="AR3107" s="2"/>
      <c r="AS3107" s="2"/>
      <c r="AT3107" s="2" t="s">
        <v>10150</v>
      </c>
      <c r="AU3107" s="2"/>
      <c r="AV3107" s="2"/>
      <c r="AW3107" s="2"/>
      <c r="AX3107" s="2"/>
      <c r="AY3107" s="2">
        <v>42</v>
      </c>
      <c r="AZ3107" s="2" t="s">
        <v>182</v>
      </c>
      <c r="BA3107" s="2">
        <v>41</v>
      </c>
      <c r="BB3107" s="2" t="s">
        <v>82</v>
      </c>
      <c r="BC3107" s="2">
        <v>41</v>
      </c>
      <c r="BD3107" s="2" t="s">
        <v>82</v>
      </c>
      <c r="BE3107" s="2">
        <v>13</v>
      </c>
      <c r="BF3107" s="2" t="s">
        <v>108</v>
      </c>
      <c r="BG3107" s="2">
        <v>1751</v>
      </c>
      <c r="BH3107" s="4">
        <v>0.57638888888888895</v>
      </c>
      <c r="BI3107" s="4">
        <v>0.52083333333333337</v>
      </c>
      <c r="BJ3107" s="2">
        <v>13</v>
      </c>
      <c r="BK3107" s="2" t="s">
        <v>91</v>
      </c>
      <c r="BL3107" s="2" t="s">
        <v>1552</v>
      </c>
      <c r="BM3107" s="2">
        <v>13</v>
      </c>
      <c r="BN3107" s="2" t="s">
        <v>91</v>
      </c>
      <c r="BO3107" s="2" t="s">
        <v>82</v>
      </c>
      <c r="BP3107" s="2">
        <v>13</v>
      </c>
      <c r="BQ3107" s="2" t="s">
        <v>91</v>
      </c>
      <c r="BR3107" s="2" t="s">
        <v>170</v>
      </c>
      <c r="BS3107" s="3">
        <v>40389</v>
      </c>
      <c r="BT3107" s="4">
        <v>0.61002314814814818</v>
      </c>
    </row>
    <row r="3108" spans="1:72" x14ac:dyDescent="0.25">
      <c r="A3108" s="2">
        <v>4600</v>
      </c>
      <c r="B3108" s="2">
        <v>2010</v>
      </c>
      <c r="C3108" s="2" t="s">
        <v>457</v>
      </c>
      <c r="D3108" s="2" t="s">
        <v>73</v>
      </c>
      <c r="E3108" s="2"/>
      <c r="F3108" s="2">
        <v>467</v>
      </c>
      <c r="G3108" s="2" t="s">
        <v>1053</v>
      </c>
      <c r="H3108" s="2">
        <v>42</v>
      </c>
      <c r="I3108" s="2" t="s">
        <v>1096</v>
      </c>
      <c r="J3108" s="2">
        <v>369</v>
      </c>
      <c r="K3108" s="2" t="s">
        <v>1054</v>
      </c>
      <c r="L3108" s="2" t="s">
        <v>1055</v>
      </c>
      <c r="M3108" s="3">
        <v>40389</v>
      </c>
      <c r="N3108" s="2" t="s">
        <v>3617</v>
      </c>
      <c r="O3108" s="2" t="s">
        <v>10151</v>
      </c>
      <c r="P3108" s="2" t="s">
        <v>10152</v>
      </c>
      <c r="Q3108" s="2" t="str">
        <f>"---------"</f>
        <v>---------</v>
      </c>
      <c r="R3108" s="2" t="s">
        <v>3299</v>
      </c>
      <c r="S3108" s="2" t="s">
        <v>3299</v>
      </c>
      <c r="T3108" s="2">
        <v>1</v>
      </c>
      <c r="U3108" s="2" t="s">
        <v>79</v>
      </c>
      <c r="V3108" s="2">
        <v>1</v>
      </c>
      <c r="W3108" s="2" t="s">
        <v>80</v>
      </c>
      <c r="X3108" s="2">
        <v>4</v>
      </c>
      <c r="Y3108" s="2" t="s">
        <v>463</v>
      </c>
      <c r="Z3108" s="2">
        <v>6</v>
      </c>
      <c r="AA3108" s="2" t="s">
        <v>101</v>
      </c>
      <c r="AB3108" s="2">
        <v>9</v>
      </c>
      <c r="AC3108" s="2" t="s">
        <v>124</v>
      </c>
      <c r="AD3108" s="3">
        <v>40389</v>
      </c>
      <c r="AE3108" s="4">
        <v>0.60416666666666663</v>
      </c>
      <c r="AF3108" s="2"/>
      <c r="AG3108" s="2"/>
      <c r="AH3108" s="2">
        <v>4</v>
      </c>
      <c r="AI3108" s="2" t="s">
        <v>125</v>
      </c>
      <c r="AJ3108" s="2">
        <v>29</v>
      </c>
      <c r="AK3108" s="2" t="s">
        <v>227</v>
      </c>
      <c r="AL3108" s="2">
        <v>11</v>
      </c>
      <c r="AM3108" s="2" t="s">
        <v>137</v>
      </c>
      <c r="AN3108" s="2" t="s">
        <v>2701</v>
      </c>
      <c r="AO3108" s="2" t="s">
        <v>3296</v>
      </c>
      <c r="AP3108" s="2">
        <v>11</v>
      </c>
      <c r="AQ3108" s="2" t="s">
        <v>82</v>
      </c>
      <c r="AR3108" s="2" t="s">
        <v>8067</v>
      </c>
      <c r="AS3108" s="2" t="s">
        <v>82</v>
      </c>
      <c r="AT3108" s="2" t="s">
        <v>10153</v>
      </c>
      <c r="AU3108" s="2"/>
      <c r="AV3108" s="2"/>
      <c r="AW3108" s="2"/>
      <c r="AX3108" s="2"/>
      <c r="AY3108" s="2">
        <v>41</v>
      </c>
      <c r="AZ3108" s="2" t="s">
        <v>82</v>
      </c>
      <c r="BA3108" s="2">
        <v>41</v>
      </c>
      <c r="BB3108" s="2" t="s">
        <v>82</v>
      </c>
      <c r="BC3108" s="2">
        <v>41</v>
      </c>
      <c r="BD3108" s="2" t="s">
        <v>82</v>
      </c>
      <c r="BE3108" s="2">
        <v>19</v>
      </c>
      <c r="BF3108" s="2" t="s">
        <v>1061</v>
      </c>
      <c r="BG3108" s="2">
        <v>251</v>
      </c>
      <c r="BH3108" s="4">
        <v>0.53125</v>
      </c>
      <c r="BI3108" s="4">
        <v>0.60416666666666663</v>
      </c>
      <c r="BJ3108" s="2">
        <v>13</v>
      </c>
      <c r="BK3108" s="2" t="s">
        <v>91</v>
      </c>
      <c r="BL3108" s="2" t="s">
        <v>828</v>
      </c>
      <c r="BM3108" s="2">
        <v>241</v>
      </c>
      <c r="BN3108" s="2" t="s">
        <v>82</v>
      </c>
      <c r="BO3108" s="2" t="s">
        <v>82</v>
      </c>
      <c r="BP3108" s="2">
        <v>29</v>
      </c>
      <c r="BQ3108" s="2" t="s">
        <v>962</v>
      </c>
      <c r="BR3108" s="2" t="s">
        <v>963</v>
      </c>
      <c r="BS3108" s="3">
        <v>40389</v>
      </c>
      <c r="BT3108" s="4">
        <v>0.62420138888888888</v>
      </c>
    </row>
    <row r="3109" spans="1:72" x14ac:dyDescent="0.25">
      <c r="A3109" s="2">
        <v>4604</v>
      </c>
      <c r="B3109" s="2">
        <v>2010</v>
      </c>
      <c r="C3109" s="2" t="s">
        <v>128</v>
      </c>
      <c r="D3109" s="2" t="s">
        <v>73</v>
      </c>
      <c r="E3109" s="2"/>
      <c r="F3109" s="2">
        <v>390</v>
      </c>
      <c r="G3109" s="2" t="s">
        <v>475</v>
      </c>
      <c r="H3109" s="2">
        <v>71</v>
      </c>
      <c r="I3109" s="2" t="s">
        <v>335</v>
      </c>
      <c r="J3109" s="2">
        <v>399</v>
      </c>
      <c r="K3109" s="2" t="s">
        <v>1820</v>
      </c>
      <c r="L3109" s="2" t="s">
        <v>1821</v>
      </c>
      <c r="M3109" s="3">
        <v>40389</v>
      </c>
      <c r="N3109" s="2" t="s">
        <v>9075</v>
      </c>
      <c r="O3109" s="2"/>
      <c r="P3109" s="2"/>
      <c r="Q3109" s="2" t="str">
        <f>"387-E/10"</f>
        <v>387-E/10</v>
      </c>
      <c r="R3109" s="2" t="s">
        <v>480</v>
      </c>
      <c r="S3109" s="2"/>
      <c r="T3109" s="2">
        <v>1</v>
      </c>
      <c r="U3109" s="2" t="s">
        <v>79</v>
      </c>
      <c r="V3109" s="2">
        <v>1</v>
      </c>
      <c r="W3109" s="2" t="s">
        <v>80</v>
      </c>
      <c r="X3109" s="2">
        <v>1</v>
      </c>
      <c r="Y3109" s="2" t="s">
        <v>81</v>
      </c>
      <c r="Z3109" s="2">
        <v>1</v>
      </c>
      <c r="AA3109" s="2" t="s">
        <v>82</v>
      </c>
      <c r="AB3109" s="2">
        <v>9</v>
      </c>
      <c r="AC3109" s="2" t="s">
        <v>124</v>
      </c>
      <c r="AD3109" s="3">
        <v>40389</v>
      </c>
      <c r="AE3109" s="4">
        <v>0.41666666666666669</v>
      </c>
      <c r="AF3109" s="2"/>
      <c r="AG3109" s="2"/>
      <c r="AH3109" s="2">
        <v>2</v>
      </c>
      <c r="AI3109" s="2" t="s">
        <v>84</v>
      </c>
      <c r="AJ3109" s="2">
        <v>9</v>
      </c>
      <c r="AK3109" s="2" t="s">
        <v>103</v>
      </c>
      <c r="AL3109" s="2">
        <v>25</v>
      </c>
      <c r="AM3109" s="2" t="s">
        <v>3073</v>
      </c>
      <c r="AN3109" s="2" t="s">
        <v>10154</v>
      </c>
      <c r="AO3109" s="2" t="s">
        <v>10155</v>
      </c>
      <c r="AP3109" s="2">
        <v>11</v>
      </c>
      <c r="AQ3109" s="2" t="s">
        <v>82</v>
      </c>
      <c r="AR3109" s="2"/>
      <c r="AS3109" s="2"/>
      <c r="AT3109" s="2" t="s">
        <v>10156</v>
      </c>
      <c r="AU3109" s="2"/>
      <c r="AV3109" s="2"/>
      <c r="AW3109" s="2"/>
      <c r="AX3109" s="2"/>
      <c r="AY3109" s="2">
        <v>41</v>
      </c>
      <c r="AZ3109" s="2" t="s">
        <v>82</v>
      </c>
      <c r="BA3109" s="2">
        <v>41</v>
      </c>
      <c r="BB3109" s="2" t="s">
        <v>82</v>
      </c>
      <c r="BC3109" s="2">
        <v>41</v>
      </c>
      <c r="BD3109" s="2" t="s">
        <v>82</v>
      </c>
      <c r="BE3109" s="2">
        <v>41</v>
      </c>
      <c r="BF3109" s="2" t="s">
        <v>82</v>
      </c>
      <c r="BG3109" s="2"/>
      <c r="BH3109" s="2"/>
      <c r="BI3109" s="2"/>
      <c r="BJ3109" s="2">
        <v>241</v>
      </c>
      <c r="BK3109" s="2" t="s">
        <v>82</v>
      </c>
      <c r="BL3109" s="2"/>
      <c r="BM3109" s="2">
        <v>241</v>
      </c>
      <c r="BN3109" s="2" t="s">
        <v>82</v>
      </c>
      <c r="BO3109" s="2"/>
      <c r="BP3109" s="2">
        <v>241</v>
      </c>
      <c r="BQ3109" s="2" t="s">
        <v>82</v>
      </c>
      <c r="BR3109" s="2"/>
      <c r="BS3109" s="3">
        <v>40389</v>
      </c>
      <c r="BT3109" s="4">
        <v>0.64789351851851851</v>
      </c>
    </row>
    <row r="3110" spans="1:72" x14ac:dyDescent="0.25">
      <c r="A3110" s="2">
        <v>4605</v>
      </c>
      <c r="B3110" s="2">
        <v>2010</v>
      </c>
      <c r="C3110" s="2" t="s">
        <v>457</v>
      </c>
      <c r="D3110" s="2" t="s">
        <v>73</v>
      </c>
      <c r="E3110" s="2"/>
      <c r="F3110" s="2">
        <v>467</v>
      </c>
      <c r="G3110" s="2" t="s">
        <v>1053</v>
      </c>
      <c r="H3110" s="2">
        <v>42</v>
      </c>
      <c r="I3110" s="2" t="s">
        <v>1096</v>
      </c>
      <c r="J3110" s="2">
        <v>369</v>
      </c>
      <c r="K3110" s="2" t="s">
        <v>1054</v>
      </c>
      <c r="L3110" s="2" t="s">
        <v>1055</v>
      </c>
      <c r="M3110" s="3">
        <v>40389</v>
      </c>
      <c r="N3110" s="2" t="s">
        <v>3617</v>
      </c>
      <c r="O3110" s="2" t="s">
        <v>10157</v>
      </c>
      <c r="P3110" s="2" t="s">
        <v>10158</v>
      </c>
      <c r="Q3110" s="2" t="str">
        <f>"-------"</f>
        <v>-------</v>
      </c>
      <c r="R3110" s="2" t="s">
        <v>3296</v>
      </c>
      <c r="S3110" s="2" t="s">
        <v>3299</v>
      </c>
      <c r="T3110" s="2">
        <v>1</v>
      </c>
      <c r="U3110" s="2" t="s">
        <v>79</v>
      </c>
      <c r="V3110" s="2">
        <v>1</v>
      </c>
      <c r="W3110" s="2" t="s">
        <v>80</v>
      </c>
      <c r="X3110" s="2">
        <v>4</v>
      </c>
      <c r="Y3110" s="2" t="s">
        <v>463</v>
      </c>
      <c r="Z3110" s="2">
        <v>6</v>
      </c>
      <c r="AA3110" s="2" t="s">
        <v>101</v>
      </c>
      <c r="AB3110" s="2">
        <v>9</v>
      </c>
      <c r="AC3110" s="2" t="s">
        <v>124</v>
      </c>
      <c r="AD3110" s="3">
        <v>40389</v>
      </c>
      <c r="AE3110" s="4">
        <v>0.60416666666666663</v>
      </c>
      <c r="AF3110" s="2"/>
      <c r="AG3110" s="2"/>
      <c r="AH3110" s="2">
        <v>4</v>
      </c>
      <c r="AI3110" s="2" t="s">
        <v>125</v>
      </c>
      <c r="AJ3110" s="2">
        <v>29</v>
      </c>
      <c r="AK3110" s="2" t="s">
        <v>227</v>
      </c>
      <c r="AL3110" s="2">
        <v>11</v>
      </c>
      <c r="AM3110" s="2" t="s">
        <v>137</v>
      </c>
      <c r="AN3110" s="2" t="s">
        <v>10159</v>
      </c>
      <c r="AO3110" s="2" t="s">
        <v>2529</v>
      </c>
      <c r="AP3110" s="2">
        <v>11</v>
      </c>
      <c r="AQ3110" s="2" t="s">
        <v>82</v>
      </c>
      <c r="AR3110" s="2" t="s">
        <v>8067</v>
      </c>
      <c r="AS3110" s="2" t="s">
        <v>82</v>
      </c>
      <c r="AT3110" s="2" t="s">
        <v>10160</v>
      </c>
      <c r="AU3110" s="2"/>
      <c r="AV3110" s="2"/>
      <c r="AW3110" s="2"/>
      <c r="AX3110" s="2"/>
      <c r="AY3110" s="2">
        <v>41</v>
      </c>
      <c r="AZ3110" s="2" t="s">
        <v>82</v>
      </c>
      <c r="BA3110" s="2">
        <v>41</v>
      </c>
      <c r="BB3110" s="2" t="s">
        <v>82</v>
      </c>
      <c r="BC3110" s="2">
        <v>19</v>
      </c>
      <c r="BD3110" s="2" t="s">
        <v>1061</v>
      </c>
      <c r="BE3110" s="2">
        <v>19</v>
      </c>
      <c r="BF3110" s="2" t="s">
        <v>1061</v>
      </c>
      <c r="BG3110" s="2">
        <v>251</v>
      </c>
      <c r="BH3110" s="4">
        <v>0.53125</v>
      </c>
      <c r="BI3110" s="4">
        <v>0.60416666666666663</v>
      </c>
      <c r="BJ3110" s="2">
        <v>13</v>
      </c>
      <c r="BK3110" s="2" t="s">
        <v>91</v>
      </c>
      <c r="BL3110" s="2" t="s">
        <v>828</v>
      </c>
      <c r="BM3110" s="2">
        <v>241</v>
      </c>
      <c r="BN3110" s="2" t="s">
        <v>82</v>
      </c>
      <c r="BO3110" s="2" t="s">
        <v>82</v>
      </c>
      <c r="BP3110" s="2">
        <v>29</v>
      </c>
      <c r="BQ3110" s="2" t="s">
        <v>962</v>
      </c>
      <c r="BR3110" s="2" t="s">
        <v>963</v>
      </c>
      <c r="BS3110" s="3">
        <v>40389</v>
      </c>
      <c r="BT3110" s="4">
        <v>0.64864583333333337</v>
      </c>
    </row>
    <row r="3111" spans="1:72" x14ac:dyDescent="0.25">
      <c r="A3111" s="2">
        <v>4606</v>
      </c>
      <c r="B3111" s="2">
        <v>2010</v>
      </c>
      <c r="C3111" s="2" t="s">
        <v>171</v>
      </c>
      <c r="D3111" s="2" t="s">
        <v>73</v>
      </c>
      <c r="E3111" s="2" t="s">
        <v>10161</v>
      </c>
      <c r="F3111" s="2">
        <v>125</v>
      </c>
      <c r="G3111" s="2" t="s">
        <v>1483</v>
      </c>
      <c r="H3111" s="2">
        <v>49</v>
      </c>
      <c r="I3111" s="2" t="s">
        <v>1484</v>
      </c>
      <c r="J3111" s="2">
        <v>139</v>
      </c>
      <c r="K3111" s="2" t="s">
        <v>1485</v>
      </c>
      <c r="L3111" s="2" t="s">
        <v>1486</v>
      </c>
      <c r="M3111" s="3">
        <v>40389</v>
      </c>
      <c r="N3111" s="2" t="s">
        <v>5390</v>
      </c>
      <c r="O3111" s="2" t="s">
        <v>5057</v>
      </c>
      <c r="P3111" s="2" t="s">
        <v>5054</v>
      </c>
      <c r="Q3111" s="2" t="str">
        <f>"PREV. SUM. 0013/10"</f>
        <v>PREV. SUM. 0013/10</v>
      </c>
      <c r="R3111" s="2" t="s">
        <v>5057</v>
      </c>
      <c r="S3111" s="2" t="s">
        <v>82</v>
      </c>
      <c r="T3111" s="2">
        <v>1</v>
      </c>
      <c r="U3111" s="2" t="s">
        <v>79</v>
      </c>
      <c r="V3111" s="2">
        <v>3</v>
      </c>
      <c r="W3111" s="2" t="s">
        <v>225</v>
      </c>
      <c r="X3111" s="2">
        <v>6</v>
      </c>
      <c r="Y3111" s="2" t="s">
        <v>249</v>
      </c>
      <c r="Z3111" s="2">
        <v>1</v>
      </c>
      <c r="AA3111" s="2" t="s">
        <v>82</v>
      </c>
      <c r="AB3111" s="2">
        <v>9</v>
      </c>
      <c r="AC3111" s="2" t="s">
        <v>124</v>
      </c>
      <c r="AD3111" s="3">
        <v>40389</v>
      </c>
      <c r="AE3111" s="4">
        <v>0.56597222222222221</v>
      </c>
      <c r="AF3111" s="2"/>
      <c r="AG3111" s="2"/>
      <c r="AH3111" s="2">
        <v>6</v>
      </c>
      <c r="AI3111" s="2" t="s">
        <v>197</v>
      </c>
      <c r="AJ3111" s="2">
        <v>61</v>
      </c>
      <c r="AK3111" s="2" t="s">
        <v>686</v>
      </c>
      <c r="AL3111" s="2">
        <v>23</v>
      </c>
      <c r="AM3111" s="2" t="s">
        <v>251</v>
      </c>
      <c r="AN3111" s="2" t="s">
        <v>82</v>
      </c>
      <c r="AO3111" s="2" t="s">
        <v>82</v>
      </c>
      <c r="AP3111" s="2">
        <v>11</v>
      </c>
      <c r="AQ3111" s="2" t="s">
        <v>82</v>
      </c>
      <c r="AR3111" s="2" t="s">
        <v>82</v>
      </c>
      <c r="AS3111" s="2" t="s">
        <v>82</v>
      </c>
      <c r="AT3111" s="2" t="s">
        <v>10162</v>
      </c>
      <c r="AU3111" s="2"/>
      <c r="AV3111" s="2"/>
      <c r="AW3111" s="2"/>
      <c r="AX3111" s="2"/>
      <c r="AY3111" s="2">
        <v>1</v>
      </c>
      <c r="AZ3111" s="2" t="s">
        <v>107</v>
      </c>
      <c r="BA3111" s="2">
        <v>1</v>
      </c>
      <c r="BB3111" s="2" t="s">
        <v>107</v>
      </c>
      <c r="BC3111" s="2">
        <v>1</v>
      </c>
      <c r="BD3111" s="2" t="s">
        <v>107</v>
      </c>
      <c r="BE3111" s="2">
        <v>1</v>
      </c>
      <c r="BF3111" s="2" t="s">
        <v>107</v>
      </c>
      <c r="BG3111" s="2" t="s">
        <v>82</v>
      </c>
      <c r="BH3111" s="2"/>
      <c r="BI3111" s="2"/>
      <c r="BJ3111" s="2">
        <v>242</v>
      </c>
      <c r="BK3111" s="2" t="s">
        <v>107</v>
      </c>
      <c r="BL3111" s="2" t="s">
        <v>82</v>
      </c>
      <c r="BM3111" s="2">
        <v>242</v>
      </c>
      <c r="BN3111" s="2" t="s">
        <v>107</v>
      </c>
      <c r="BO3111" s="2" t="s">
        <v>82</v>
      </c>
      <c r="BP3111" s="2">
        <v>242</v>
      </c>
      <c r="BQ3111" s="2" t="s">
        <v>107</v>
      </c>
      <c r="BR3111" s="2" t="s">
        <v>82</v>
      </c>
      <c r="BS3111" s="3">
        <v>40389</v>
      </c>
      <c r="BT3111" s="4">
        <v>0.67125000000000001</v>
      </c>
    </row>
    <row r="3112" spans="1:72" x14ac:dyDescent="0.25">
      <c r="A3112" s="2">
        <v>4608</v>
      </c>
      <c r="B3112" s="2">
        <v>2010</v>
      </c>
      <c r="C3112" s="2" t="s">
        <v>171</v>
      </c>
      <c r="D3112" s="2" t="s">
        <v>73</v>
      </c>
      <c r="E3112" s="2"/>
      <c r="F3112" s="2">
        <v>100</v>
      </c>
      <c r="G3112" s="2" t="s">
        <v>517</v>
      </c>
      <c r="H3112" s="2">
        <v>47</v>
      </c>
      <c r="I3112" s="2" t="s">
        <v>1409</v>
      </c>
      <c r="J3112" s="2">
        <v>119</v>
      </c>
      <c r="K3112" s="2" t="s">
        <v>325</v>
      </c>
      <c r="L3112" s="2" t="s">
        <v>326</v>
      </c>
      <c r="M3112" s="3">
        <v>40389</v>
      </c>
      <c r="N3112" s="2" t="s">
        <v>327</v>
      </c>
      <c r="O3112" s="2" t="s">
        <v>10163</v>
      </c>
      <c r="P3112" s="2" t="s">
        <v>10164</v>
      </c>
      <c r="Q3112" s="2" t="str">
        <f>""</f>
        <v/>
      </c>
      <c r="R3112" s="2"/>
      <c r="S3112" s="2"/>
      <c r="T3112" s="2">
        <v>1</v>
      </c>
      <c r="U3112" s="2" t="s">
        <v>79</v>
      </c>
      <c r="V3112" s="2">
        <v>3</v>
      </c>
      <c r="W3112" s="2" t="s">
        <v>225</v>
      </c>
      <c r="X3112" s="2">
        <v>6</v>
      </c>
      <c r="Y3112" s="2" t="s">
        <v>249</v>
      </c>
      <c r="Z3112" s="2">
        <v>1</v>
      </c>
      <c r="AA3112" s="2" t="s">
        <v>82</v>
      </c>
      <c r="AB3112" s="2">
        <v>9</v>
      </c>
      <c r="AC3112" s="2" t="s">
        <v>124</v>
      </c>
      <c r="AD3112" s="3">
        <v>40389</v>
      </c>
      <c r="AE3112" s="4">
        <v>0.54513888888888895</v>
      </c>
      <c r="AF3112" s="2"/>
      <c r="AG3112" s="2"/>
      <c r="AH3112" s="2">
        <v>6</v>
      </c>
      <c r="AI3112" s="2" t="s">
        <v>197</v>
      </c>
      <c r="AJ3112" s="2">
        <v>47</v>
      </c>
      <c r="AK3112" s="2" t="s">
        <v>250</v>
      </c>
      <c r="AL3112" s="2">
        <v>23</v>
      </c>
      <c r="AM3112" s="2" t="s">
        <v>251</v>
      </c>
      <c r="AN3112" s="2"/>
      <c r="AO3112" s="2"/>
      <c r="AP3112" s="2">
        <v>11</v>
      </c>
      <c r="AQ3112" s="2" t="s">
        <v>82</v>
      </c>
      <c r="AR3112" s="2"/>
      <c r="AS3112" s="2"/>
      <c r="AT3112" s="2" t="s">
        <v>10165</v>
      </c>
      <c r="AU3112" s="2"/>
      <c r="AV3112" s="2"/>
      <c r="AW3112" s="2"/>
      <c r="AX3112" s="2"/>
      <c r="AY3112" s="2">
        <v>1</v>
      </c>
      <c r="AZ3112" s="2" t="s">
        <v>107</v>
      </c>
      <c r="BA3112" s="2">
        <v>41</v>
      </c>
      <c r="BB3112" s="2" t="s">
        <v>82</v>
      </c>
      <c r="BC3112" s="2">
        <v>1</v>
      </c>
      <c r="BD3112" s="2" t="s">
        <v>107</v>
      </c>
      <c r="BE3112" s="2">
        <v>41</v>
      </c>
      <c r="BF3112" s="2" t="s">
        <v>82</v>
      </c>
      <c r="BG3112" s="2"/>
      <c r="BH3112" s="2"/>
      <c r="BI3112" s="2"/>
      <c r="BJ3112" s="2">
        <v>241</v>
      </c>
      <c r="BK3112" s="2" t="s">
        <v>82</v>
      </c>
      <c r="BL3112" s="2"/>
      <c r="BM3112" s="2">
        <v>242</v>
      </c>
      <c r="BN3112" s="2" t="s">
        <v>107</v>
      </c>
      <c r="BO3112" s="2"/>
      <c r="BP3112" s="2">
        <v>242</v>
      </c>
      <c r="BQ3112" s="2" t="s">
        <v>107</v>
      </c>
      <c r="BR3112" s="2"/>
      <c r="BS3112" s="3">
        <v>40389</v>
      </c>
      <c r="BT3112" s="4">
        <v>0.73501157407407414</v>
      </c>
    </row>
    <row r="3113" spans="1:72" x14ac:dyDescent="0.25">
      <c r="A3113" s="2">
        <v>4610</v>
      </c>
      <c r="B3113" s="2">
        <v>2010</v>
      </c>
      <c r="C3113" s="2" t="s">
        <v>4543</v>
      </c>
      <c r="D3113" s="2" t="s">
        <v>122</v>
      </c>
      <c r="E3113" s="2"/>
      <c r="F3113" s="2">
        <v>1</v>
      </c>
      <c r="G3113" s="2" t="s">
        <v>82</v>
      </c>
      <c r="H3113" s="2">
        <v>1</v>
      </c>
      <c r="I3113" s="2" t="s">
        <v>82</v>
      </c>
      <c r="J3113" s="2">
        <v>1</v>
      </c>
      <c r="K3113" s="2" t="s">
        <v>107</v>
      </c>
      <c r="L3113" s="2" t="s">
        <v>107</v>
      </c>
      <c r="M3113" s="3">
        <v>40389</v>
      </c>
      <c r="N3113" s="2"/>
      <c r="O3113" s="2"/>
      <c r="P3113" s="2"/>
      <c r="Q3113" s="2" t="str">
        <f>""</f>
        <v/>
      </c>
      <c r="R3113" s="2"/>
      <c r="S3113" s="2"/>
      <c r="T3113" s="2">
        <v>2</v>
      </c>
      <c r="U3113" s="2" t="s">
        <v>123</v>
      </c>
      <c r="V3113" s="2">
        <v>1</v>
      </c>
      <c r="W3113" s="2" t="s">
        <v>80</v>
      </c>
      <c r="X3113" s="2">
        <v>11</v>
      </c>
      <c r="Y3113" s="2" t="s">
        <v>1920</v>
      </c>
      <c r="Z3113" s="2">
        <v>10</v>
      </c>
      <c r="AA3113" s="2" t="s">
        <v>236</v>
      </c>
      <c r="AB3113" s="2">
        <v>9</v>
      </c>
      <c r="AC3113" s="2" t="s">
        <v>124</v>
      </c>
      <c r="AD3113" s="3">
        <v>40389</v>
      </c>
      <c r="AE3113" s="4">
        <v>0.66666666666666663</v>
      </c>
      <c r="AF3113" s="2"/>
      <c r="AG3113" s="2"/>
      <c r="AH3113" s="2">
        <v>2</v>
      </c>
      <c r="AI3113" s="2" t="s">
        <v>84</v>
      </c>
      <c r="AJ3113" s="2">
        <v>12</v>
      </c>
      <c r="AK3113" s="2" t="s">
        <v>85</v>
      </c>
      <c r="AL3113" s="2">
        <v>12</v>
      </c>
      <c r="AM3113" s="2" t="s">
        <v>86</v>
      </c>
      <c r="AN3113" s="2" t="s">
        <v>10166</v>
      </c>
      <c r="AO3113" s="2" t="s">
        <v>10167</v>
      </c>
      <c r="AP3113" s="2">
        <v>11</v>
      </c>
      <c r="AQ3113" s="2" t="s">
        <v>82</v>
      </c>
      <c r="AR3113" s="2"/>
      <c r="AS3113" s="2"/>
      <c r="AT3113" s="2" t="s">
        <v>10168</v>
      </c>
      <c r="AU3113" s="2"/>
      <c r="AV3113" s="2"/>
      <c r="AW3113" s="2"/>
      <c r="AX3113" s="2"/>
      <c r="AY3113" s="2">
        <v>41</v>
      </c>
      <c r="AZ3113" s="2" t="s">
        <v>82</v>
      </c>
      <c r="BA3113" s="2">
        <v>41</v>
      </c>
      <c r="BB3113" s="2" t="s">
        <v>82</v>
      </c>
      <c r="BC3113" s="2">
        <v>41</v>
      </c>
      <c r="BD3113" s="2" t="s">
        <v>82</v>
      </c>
      <c r="BE3113" s="2">
        <v>13</v>
      </c>
      <c r="BF3113" s="2" t="s">
        <v>108</v>
      </c>
      <c r="BG3113" s="2" t="s">
        <v>10169</v>
      </c>
      <c r="BH3113" s="2"/>
      <c r="BI3113" s="4">
        <v>0.75347222222222221</v>
      </c>
      <c r="BJ3113" s="2">
        <v>13</v>
      </c>
      <c r="BK3113" s="2" t="s">
        <v>91</v>
      </c>
      <c r="BL3113" s="2"/>
      <c r="BM3113" s="2">
        <v>241</v>
      </c>
      <c r="BN3113" s="2" t="s">
        <v>82</v>
      </c>
      <c r="BO3113" s="2"/>
      <c r="BP3113" s="2">
        <v>13</v>
      </c>
      <c r="BQ3113" s="2" t="s">
        <v>91</v>
      </c>
      <c r="BR3113" s="2" t="s">
        <v>332</v>
      </c>
      <c r="BS3113" s="3">
        <v>40389</v>
      </c>
      <c r="BT3113" s="4">
        <v>0.79464120370370372</v>
      </c>
    </row>
    <row r="3114" spans="1:72" x14ac:dyDescent="0.25">
      <c r="A3114" s="2">
        <v>4611</v>
      </c>
      <c r="B3114" s="2">
        <v>2010</v>
      </c>
      <c r="C3114" s="2" t="s">
        <v>243</v>
      </c>
      <c r="D3114" s="2" t="s">
        <v>73</v>
      </c>
      <c r="E3114" s="2"/>
      <c r="F3114" s="2">
        <v>390</v>
      </c>
      <c r="G3114" s="2" t="s">
        <v>475</v>
      </c>
      <c r="H3114" s="2">
        <v>104</v>
      </c>
      <c r="I3114" s="2" t="s">
        <v>6819</v>
      </c>
      <c r="J3114" s="2">
        <v>399</v>
      </c>
      <c r="K3114" s="2" t="s">
        <v>1820</v>
      </c>
      <c r="L3114" s="2" t="s">
        <v>1821</v>
      </c>
      <c r="M3114" s="3">
        <v>40389</v>
      </c>
      <c r="N3114" s="2" t="s">
        <v>9075</v>
      </c>
      <c r="O3114" s="2"/>
      <c r="P3114" s="2"/>
      <c r="Q3114" s="2" t="str">
        <f>"388-E/10"</f>
        <v>388-E/10</v>
      </c>
      <c r="R3114" s="2" t="s">
        <v>10170</v>
      </c>
      <c r="S3114" s="2"/>
      <c r="T3114" s="2">
        <v>1</v>
      </c>
      <c r="U3114" s="2" t="s">
        <v>79</v>
      </c>
      <c r="V3114" s="2">
        <v>1</v>
      </c>
      <c r="W3114" s="2" t="s">
        <v>80</v>
      </c>
      <c r="X3114" s="2">
        <v>12</v>
      </c>
      <c r="Y3114" s="2" t="s">
        <v>148</v>
      </c>
      <c r="Z3114" s="2">
        <v>1</v>
      </c>
      <c r="AA3114" s="2" t="s">
        <v>82</v>
      </c>
      <c r="AB3114" s="2">
        <v>9</v>
      </c>
      <c r="AC3114" s="2" t="s">
        <v>124</v>
      </c>
      <c r="AD3114" s="3">
        <v>40388</v>
      </c>
      <c r="AE3114" s="4">
        <v>0.97916666666666663</v>
      </c>
      <c r="AF3114" s="3">
        <v>40389</v>
      </c>
      <c r="AG3114" s="4">
        <v>0.625</v>
      </c>
      <c r="AH3114" s="2">
        <v>2</v>
      </c>
      <c r="AI3114" s="2" t="s">
        <v>84</v>
      </c>
      <c r="AJ3114" s="2">
        <v>9</v>
      </c>
      <c r="AK3114" s="2" t="s">
        <v>103</v>
      </c>
      <c r="AL3114" s="2">
        <v>23</v>
      </c>
      <c r="AM3114" s="2" t="s">
        <v>251</v>
      </c>
      <c r="AN3114" s="2"/>
      <c r="AO3114" s="2" t="s">
        <v>170</v>
      </c>
      <c r="AP3114" s="2">
        <v>11</v>
      </c>
      <c r="AQ3114" s="2" t="s">
        <v>82</v>
      </c>
      <c r="AR3114" s="2"/>
      <c r="AS3114" s="2"/>
      <c r="AT3114" s="2" t="s">
        <v>10171</v>
      </c>
      <c r="AU3114" s="2"/>
      <c r="AV3114" s="2"/>
      <c r="AW3114" s="2"/>
      <c r="AX3114" s="2"/>
      <c r="AY3114" s="2">
        <v>41</v>
      </c>
      <c r="AZ3114" s="2" t="s">
        <v>82</v>
      </c>
      <c r="BA3114" s="2">
        <v>41</v>
      </c>
      <c r="BB3114" s="2" t="s">
        <v>82</v>
      </c>
      <c r="BC3114" s="2">
        <v>41</v>
      </c>
      <c r="BD3114" s="2" t="s">
        <v>82</v>
      </c>
      <c r="BE3114" s="2">
        <v>41</v>
      </c>
      <c r="BF3114" s="2" t="s">
        <v>82</v>
      </c>
      <c r="BG3114" s="2"/>
      <c r="BH3114" s="2"/>
      <c r="BI3114" s="2"/>
      <c r="BJ3114" s="2">
        <v>241</v>
      </c>
      <c r="BK3114" s="2" t="s">
        <v>82</v>
      </c>
      <c r="BL3114" s="2"/>
      <c r="BM3114" s="2">
        <v>241</v>
      </c>
      <c r="BN3114" s="2" t="s">
        <v>82</v>
      </c>
      <c r="BO3114" s="2"/>
      <c r="BP3114" s="2">
        <v>241</v>
      </c>
      <c r="BQ3114" s="2" t="s">
        <v>82</v>
      </c>
      <c r="BR3114" s="2"/>
      <c r="BS3114" s="3">
        <v>40389</v>
      </c>
      <c r="BT3114" s="4">
        <v>0.8585532407407408</v>
      </c>
    </row>
    <row r="3115" spans="1:72" x14ac:dyDescent="0.25">
      <c r="A3115" s="2">
        <v>4612</v>
      </c>
      <c r="B3115" s="2">
        <v>2010</v>
      </c>
      <c r="C3115" s="2" t="s">
        <v>255</v>
      </c>
      <c r="D3115" s="2" t="s">
        <v>73</v>
      </c>
      <c r="E3115" s="2"/>
      <c r="F3115" s="2">
        <v>21</v>
      </c>
      <c r="G3115" s="2" t="s">
        <v>6213</v>
      </c>
      <c r="H3115" s="2">
        <v>44</v>
      </c>
      <c r="I3115" s="2" t="s">
        <v>1272</v>
      </c>
      <c r="J3115" s="2">
        <v>29</v>
      </c>
      <c r="K3115" s="2" t="s">
        <v>2533</v>
      </c>
      <c r="L3115" s="2" t="s">
        <v>2534</v>
      </c>
      <c r="M3115" s="3">
        <v>40389</v>
      </c>
      <c r="N3115" s="2" t="s">
        <v>10172</v>
      </c>
      <c r="O3115" s="2"/>
      <c r="P3115" s="2"/>
      <c r="Q3115" s="2" t="str">
        <f>"0005/10"</f>
        <v>0005/10</v>
      </c>
      <c r="R3115" s="2" t="s">
        <v>10173</v>
      </c>
      <c r="S3115" s="2"/>
      <c r="T3115" s="2">
        <v>1</v>
      </c>
      <c r="U3115" s="2" t="s">
        <v>79</v>
      </c>
      <c r="V3115" s="2">
        <v>1</v>
      </c>
      <c r="W3115" s="2" t="s">
        <v>80</v>
      </c>
      <c r="X3115" s="2">
        <v>12</v>
      </c>
      <c r="Y3115" s="2" t="s">
        <v>148</v>
      </c>
      <c r="Z3115" s="2">
        <v>1</v>
      </c>
      <c r="AA3115" s="2" t="s">
        <v>82</v>
      </c>
      <c r="AB3115" s="2">
        <v>9</v>
      </c>
      <c r="AC3115" s="2" t="s">
        <v>124</v>
      </c>
      <c r="AD3115" s="3">
        <v>40389</v>
      </c>
      <c r="AE3115" s="2"/>
      <c r="AF3115" s="3">
        <v>40389</v>
      </c>
      <c r="AG3115" s="4">
        <v>0.72916666666666663</v>
      </c>
      <c r="AH3115" s="2">
        <v>4</v>
      </c>
      <c r="AI3115" s="2" t="s">
        <v>125</v>
      </c>
      <c r="AJ3115" s="2">
        <v>33</v>
      </c>
      <c r="AK3115" s="2" t="s">
        <v>126</v>
      </c>
      <c r="AL3115" s="2">
        <v>25</v>
      </c>
      <c r="AM3115" s="2" t="s">
        <v>3073</v>
      </c>
      <c r="AN3115" s="2" t="s">
        <v>10174</v>
      </c>
      <c r="AO3115" s="2" t="s">
        <v>10175</v>
      </c>
      <c r="AP3115" s="2">
        <v>11</v>
      </c>
      <c r="AQ3115" s="2" t="s">
        <v>82</v>
      </c>
      <c r="AR3115" s="2"/>
      <c r="AS3115" s="2"/>
      <c r="AT3115" s="2" t="s">
        <v>10176</v>
      </c>
      <c r="AU3115" s="2"/>
      <c r="AV3115" s="2"/>
      <c r="AW3115" s="2"/>
      <c r="AX3115" s="2"/>
      <c r="AY3115" s="2">
        <v>44</v>
      </c>
      <c r="AZ3115" s="2" t="s">
        <v>262</v>
      </c>
      <c r="BA3115" s="2">
        <v>44</v>
      </c>
      <c r="BB3115" s="2" t="s">
        <v>262</v>
      </c>
      <c r="BC3115" s="2">
        <v>41</v>
      </c>
      <c r="BD3115" s="2" t="s">
        <v>82</v>
      </c>
      <c r="BE3115" s="2">
        <v>41</v>
      </c>
      <c r="BF3115" s="2" t="s">
        <v>82</v>
      </c>
      <c r="BG3115" s="2"/>
      <c r="BH3115" s="2"/>
      <c r="BI3115" s="2"/>
      <c r="BJ3115" s="2">
        <v>241</v>
      </c>
      <c r="BK3115" s="2" t="s">
        <v>82</v>
      </c>
      <c r="BL3115" s="2"/>
      <c r="BM3115" s="2">
        <v>241</v>
      </c>
      <c r="BN3115" s="2" t="s">
        <v>82</v>
      </c>
      <c r="BO3115" s="2"/>
      <c r="BP3115" s="2">
        <v>241</v>
      </c>
      <c r="BQ3115" s="2" t="s">
        <v>82</v>
      </c>
      <c r="BR3115" s="2"/>
      <c r="BS3115" s="3">
        <v>40389</v>
      </c>
      <c r="BT3115" s="4">
        <v>0.91869212962962965</v>
      </c>
    </row>
    <row r="3116" spans="1:72" x14ac:dyDescent="0.25">
      <c r="A3116" s="2">
        <v>4612</v>
      </c>
      <c r="B3116" s="2">
        <v>2010</v>
      </c>
      <c r="C3116" s="2" t="s">
        <v>764</v>
      </c>
      <c r="D3116" s="2" t="s">
        <v>73</v>
      </c>
      <c r="E3116" s="2"/>
      <c r="F3116" s="2">
        <v>21</v>
      </c>
      <c r="G3116" s="2" t="s">
        <v>6213</v>
      </c>
      <c r="H3116" s="2">
        <v>44</v>
      </c>
      <c r="I3116" s="2" t="s">
        <v>1272</v>
      </c>
      <c r="J3116" s="2">
        <v>29</v>
      </c>
      <c r="K3116" s="2" t="s">
        <v>2533</v>
      </c>
      <c r="L3116" s="2" t="s">
        <v>2534</v>
      </c>
      <c r="M3116" s="3">
        <v>40389</v>
      </c>
      <c r="N3116" s="2" t="s">
        <v>10172</v>
      </c>
      <c r="O3116" s="2"/>
      <c r="P3116" s="2"/>
      <c r="Q3116" s="2" t="str">
        <f>"0005/10"</f>
        <v>0005/10</v>
      </c>
      <c r="R3116" s="2" t="s">
        <v>10173</v>
      </c>
      <c r="S3116" s="2"/>
      <c r="T3116" s="2">
        <v>1</v>
      </c>
      <c r="U3116" s="2" t="s">
        <v>79</v>
      </c>
      <c r="V3116" s="2">
        <v>1</v>
      </c>
      <c r="W3116" s="2" t="s">
        <v>80</v>
      </c>
      <c r="X3116" s="2">
        <v>12</v>
      </c>
      <c r="Y3116" s="2" t="s">
        <v>148</v>
      </c>
      <c r="Z3116" s="2">
        <v>1</v>
      </c>
      <c r="AA3116" s="2" t="s">
        <v>82</v>
      </c>
      <c r="AB3116" s="2">
        <v>9</v>
      </c>
      <c r="AC3116" s="2" t="s">
        <v>124</v>
      </c>
      <c r="AD3116" s="3">
        <v>40389</v>
      </c>
      <c r="AE3116" s="2"/>
      <c r="AF3116" s="3">
        <v>40389</v>
      </c>
      <c r="AG3116" s="4">
        <v>0.72916666666666663</v>
      </c>
      <c r="AH3116" s="2">
        <v>4</v>
      </c>
      <c r="AI3116" s="2" t="s">
        <v>125</v>
      </c>
      <c r="AJ3116" s="2">
        <v>33</v>
      </c>
      <c r="AK3116" s="2" t="s">
        <v>126</v>
      </c>
      <c r="AL3116" s="2">
        <v>25</v>
      </c>
      <c r="AM3116" s="2" t="s">
        <v>3073</v>
      </c>
      <c r="AN3116" s="2" t="s">
        <v>10174</v>
      </c>
      <c r="AO3116" s="2" t="s">
        <v>10175</v>
      </c>
      <c r="AP3116" s="2">
        <v>11</v>
      </c>
      <c r="AQ3116" s="2" t="s">
        <v>82</v>
      </c>
      <c r="AR3116" s="2"/>
      <c r="AS3116" s="2"/>
      <c r="AT3116" s="2" t="s">
        <v>10176</v>
      </c>
      <c r="AU3116" s="2"/>
      <c r="AV3116" s="2"/>
      <c r="AW3116" s="2"/>
      <c r="AX3116" s="2"/>
      <c r="AY3116" s="2">
        <v>44</v>
      </c>
      <c r="AZ3116" s="2" t="s">
        <v>262</v>
      </c>
      <c r="BA3116" s="2">
        <v>44</v>
      </c>
      <c r="BB3116" s="2" t="s">
        <v>262</v>
      </c>
      <c r="BC3116" s="2">
        <v>41</v>
      </c>
      <c r="BD3116" s="2" t="s">
        <v>82</v>
      </c>
      <c r="BE3116" s="2">
        <v>41</v>
      </c>
      <c r="BF3116" s="2" t="s">
        <v>82</v>
      </c>
      <c r="BG3116" s="2"/>
      <c r="BH3116" s="2"/>
      <c r="BI3116" s="2"/>
      <c r="BJ3116" s="2">
        <v>241</v>
      </c>
      <c r="BK3116" s="2" t="s">
        <v>82</v>
      </c>
      <c r="BL3116" s="2"/>
      <c r="BM3116" s="2">
        <v>241</v>
      </c>
      <c r="BN3116" s="2" t="s">
        <v>82</v>
      </c>
      <c r="BO3116" s="2"/>
      <c r="BP3116" s="2">
        <v>241</v>
      </c>
      <c r="BQ3116" s="2" t="s">
        <v>82</v>
      </c>
      <c r="BR3116" s="2"/>
      <c r="BS3116" s="3">
        <v>40389</v>
      </c>
      <c r="BT3116" s="4">
        <v>0.91869212962962965</v>
      </c>
    </row>
    <row r="3117" spans="1:72" x14ac:dyDescent="0.25">
      <c r="A3117" s="2">
        <v>4613</v>
      </c>
      <c r="B3117" s="2">
        <v>2010</v>
      </c>
      <c r="C3117" s="2" t="s">
        <v>4543</v>
      </c>
      <c r="D3117" s="2" t="s">
        <v>122</v>
      </c>
      <c r="E3117" s="2"/>
      <c r="F3117" s="2">
        <v>1</v>
      </c>
      <c r="G3117" s="2" t="s">
        <v>82</v>
      </c>
      <c r="H3117" s="2">
        <v>1</v>
      </c>
      <c r="I3117" s="2" t="s">
        <v>82</v>
      </c>
      <c r="J3117" s="2">
        <v>1</v>
      </c>
      <c r="K3117" s="2" t="s">
        <v>107</v>
      </c>
      <c r="L3117" s="2" t="s">
        <v>107</v>
      </c>
      <c r="M3117" s="3">
        <v>40389</v>
      </c>
      <c r="N3117" s="2"/>
      <c r="O3117" s="2"/>
      <c r="P3117" s="2"/>
      <c r="Q3117" s="2" t="str">
        <f>""</f>
        <v/>
      </c>
      <c r="R3117" s="2"/>
      <c r="S3117" s="2"/>
      <c r="T3117" s="2">
        <v>2</v>
      </c>
      <c r="U3117" s="2" t="s">
        <v>123</v>
      </c>
      <c r="V3117" s="2">
        <v>1</v>
      </c>
      <c r="W3117" s="2" t="s">
        <v>80</v>
      </c>
      <c r="X3117" s="2">
        <v>4</v>
      </c>
      <c r="Y3117" s="2" t="s">
        <v>463</v>
      </c>
      <c r="Z3117" s="2">
        <v>1</v>
      </c>
      <c r="AA3117" s="2" t="s">
        <v>82</v>
      </c>
      <c r="AB3117" s="2">
        <v>9</v>
      </c>
      <c r="AC3117" s="2" t="s">
        <v>124</v>
      </c>
      <c r="AD3117" s="3">
        <v>40389</v>
      </c>
      <c r="AE3117" s="4">
        <v>0.84027777777777779</v>
      </c>
      <c r="AF3117" s="2"/>
      <c r="AG3117" s="2"/>
      <c r="AH3117" s="2">
        <v>6</v>
      </c>
      <c r="AI3117" s="2" t="s">
        <v>197</v>
      </c>
      <c r="AJ3117" s="2">
        <v>50</v>
      </c>
      <c r="AK3117" s="2" t="s">
        <v>330</v>
      </c>
      <c r="AL3117" s="2">
        <v>18</v>
      </c>
      <c r="AM3117" s="2" t="s">
        <v>82</v>
      </c>
      <c r="AN3117" s="2"/>
      <c r="AO3117" s="2"/>
      <c r="AP3117" s="2">
        <v>11</v>
      </c>
      <c r="AQ3117" s="2" t="s">
        <v>82</v>
      </c>
      <c r="AR3117" s="2"/>
      <c r="AS3117" s="2"/>
      <c r="AT3117" s="2" t="s">
        <v>10177</v>
      </c>
      <c r="AU3117" s="2"/>
      <c r="AV3117" s="2"/>
      <c r="AW3117" s="2"/>
      <c r="AX3117" s="2"/>
      <c r="AY3117" s="2">
        <v>1</v>
      </c>
      <c r="AZ3117" s="2" t="s">
        <v>107</v>
      </c>
      <c r="BA3117" s="2">
        <v>1</v>
      </c>
      <c r="BB3117" s="2" t="s">
        <v>107</v>
      </c>
      <c r="BC3117" s="2">
        <v>1</v>
      </c>
      <c r="BD3117" s="2" t="s">
        <v>107</v>
      </c>
      <c r="BE3117" s="2">
        <v>47</v>
      </c>
      <c r="BF3117" s="2" t="s">
        <v>167</v>
      </c>
      <c r="BG3117" s="2">
        <v>2688</v>
      </c>
      <c r="BH3117" s="4">
        <v>0.84027777777777779</v>
      </c>
      <c r="BI3117" s="2"/>
      <c r="BJ3117" s="2">
        <v>13</v>
      </c>
      <c r="BK3117" s="2" t="s">
        <v>91</v>
      </c>
      <c r="BL3117" s="2" t="s">
        <v>185</v>
      </c>
      <c r="BM3117" s="2">
        <v>242</v>
      </c>
      <c r="BN3117" s="2" t="s">
        <v>107</v>
      </c>
      <c r="BO3117" s="2"/>
      <c r="BP3117" s="2">
        <v>242</v>
      </c>
      <c r="BQ3117" s="2" t="s">
        <v>107</v>
      </c>
      <c r="BR3117" s="2" t="s">
        <v>1199</v>
      </c>
      <c r="BS3117" s="3">
        <v>40389</v>
      </c>
      <c r="BT3117" s="4">
        <v>0.94996527777777784</v>
      </c>
    </row>
    <row r="3118" spans="1:72" x14ac:dyDescent="0.25">
      <c r="A3118" s="2">
        <v>4614</v>
      </c>
      <c r="B3118" s="2">
        <v>2010</v>
      </c>
      <c r="C3118" s="2" t="s">
        <v>72</v>
      </c>
      <c r="D3118" s="2" t="s">
        <v>73</v>
      </c>
      <c r="E3118" s="2"/>
      <c r="F3118" s="2">
        <v>656</v>
      </c>
      <c r="G3118" s="2" t="s">
        <v>9909</v>
      </c>
      <c r="H3118" s="2">
        <v>22</v>
      </c>
      <c r="I3118" s="2" t="s">
        <v>75</v>
      </c>
      <c r="J3118" s="2">
        <v>620</v>
      </c>
      <c r="K3118" s="2" t="s">
        <v>9617</v>
      </c>
      <c r="L3118" s="2" t="s">
        <v>9618</v>
      </c>
      <c r="M3118" s="3">
        <v>40390</v>
      </c>
      <c r="N3118" s="2" t="s">
        <v>9619</v>
      </c>
      <c r="O3118" s="2"/>
      <c r="P3118" s="2"/>
      <c r="Q3118" s="2" t="str">
        <f>"292-A/10"</f>
        <v>292-A/10</v>
      </c>
      <c r="R3118" s="2"/>
      <c r="S3118" s="2" t="s">
        <v>156</v>
      </c>
      <c r="T3118" s="2">
        <v>1</v>
      </c>
      <c r="U3118" s="2" t="s">
        <v>79</v>
      </c>
      <c r="V3118" s="2">
        <v>1</v>
      </c>
      <c r="W3118" s="2" t="s">
        <v>80</v>
      </c>
      <c r="X3118" s="2">
        <v>12</v>
      </c>
      <c r="Y3118" s="2" t="s">
        <v>148</v>
      </c>
      <c r="Z3118" s="2">
        <v>1</v>
      </c>
      <c r="AA3118" s="2" t="s">
        <v>82</v>
      </c>
      <c r="AB3118" s="2">
        <v>6</v>
      </c>
      <c r="AC3118" s="2" t="s">
        <v>83</v>
      </c>
      <c r="AD3118" s="3">
        <v>40389</v>
      </c>
      <c r="AE3118" s="2"/>
      <c r="AF3118" s="3">
        <v>40389</v>
      </c>
      <c r="AG3118" s="4">
        <v>0.85763888888888884</v>
      </c>
      <c r="AH3118" s="2">
        <v>2</v>
      </c>
      <c r="AI3118" s="2" t="s">
        <v>84</v>
      </c>
      <c r="AJ3118" s="2">
        <v>12</v>
      </c>
      <c r="AK3118" s="2" t="s">
        <v>85</v>
      </c>
      <c r="AL3118" s="2">
        <v>22</v>
      </c>
      <c r="AM3118" s="2" t="s">
        <v>1853</v>
      </c>
      <c r="AN3118" s="2"/>
      <c r="AO3118" s="2" t="s">
        <v>7625</v>
      </c>
      <c r="AP3118" s="2">
        <v>11</v>
      </c>
      <c r="AQ3118" s="2" t="s">
        <v>82</v>
      </c>
      <c r="AR3118" s="2"/>
      <c r="AS3118" s="2"/>
      <c r="AT3118" s="2" t="s">
        <v>10178</v>
      </c>
      <c r="AU3118" s="2"/>
      <c r="AV3118" s="2"/>
      <c r="AW3118" s="2"/>
      <c r="AX3118" s="2"/>
      <c r="AY3118" s="2">
        <v>41</v>
      </c>
      <c r="AZ3118" s="2" t="s">
        <v>82</v>
      </c>
      <c r="BA3118" s="2">
        <v>41</v>
      </c>
      <c r="BB3118" s="2" t="s">
        <v>82</v>
      </c>
      <c r="BC3118" s="2">
        <v>41</v>
      </c>
      <c r="BD3118" s="2" t="s">
        <v>82</v>
      </c>
      <c r="BE3118" s="2">
        <v>4</v>
      </c>
      <c r="BF3118" s="2" t="s">
        <v>90</v>
      </c>
      <c r="BG3118" s="2">
        <v>4113</v>
      </c>
      <c r="BH3118" s="4">
        <v>0.8125</v>
      </c>
      <c r="BI3118" s="4">
        <v>0.72916666666666663</v>
      </c>
      <c r="BJ3118" s="2">
        <v>13</v>
      </c>
      <c r="BK3118" s="2" t="s">
        <v>91</v>
      </c>
      <c r="BL3118" s="2" t="s">
        <v>828</v>
      </c>
      <c r="BM3118" s="2">
        <v>241</v>
      </c>
      <c r="BN3118" s="2" t="s">
        <v>82</v>
      </c>
      <c r="BO3118" s="2"/>
      <c r="BP3118" s="2">
        <v>13</v>
      </c>
      <c r="BQ3118" s="2" t="s">
        <v>91</v>
      </c>
      <c r="BR3118" s="2" t="s">
        <v>564</v>
      </c>
      <c r="BS3118" s="3">
        <v>40390</v>
      </c>
      <c r="BT3118" s="4">
        <v>7.5752314814814814E-2</v>
      </c>
    </row>
    <row r="3119" spans="1:72" x14ac:dyDescent="0.25">
      <c r="A3119" s="2">
        <v>4615</v>
      </c>
      <c r="B3119" s="2">
        <v>2010</v>
      </c>
      <c r="C3119" s="2" t="s">
        <v>72</v>
      </c>
      <c r="D3119" s="2" t="s">
        <v>73</v>
      </c>
      <c r="E3119" s="2"/>
      <c r="F3119" s="2">
        <v>649</v>
      </c>
      <c r="G3119" s="2" t="s">
        <v>9141</v>
      </c>
      <c r="H3119" s="2">
        <v>42</v>
      </c>
      <c r="I3119" s="2" t="s">
        <v>1096</v>
      </c>
      <c r="J3119" s="2">
        <v>602</v>
      </c>
      <c r="K3119" s="2" t="s">
        <v>9091</v>
      </c>
      <c r="L3119" s="2" t="s">
        <v>9092</v>
      </c>
      <c r="M3119" s="3">
        <v>40390</v>
      </c>
      <c r="N3119" s="2" t="s">
        <v>9093</v>
      </c>
      <c r="O3119" s="2"/>
      <c r="P3119" s="2"/>
      <c r="Q3119" s="2" t="str">
        <f>"293-A/10"</f>
        <v>293-A/10</v>
      </c>
      <c r="R3119" s="2"/>
      <c r="S3119" s="2" t="s">
        <v>78</v>
      </c>
      <c r="T3119" s="2">
        <v>1</v>
      </c>
      <c r="U3119" s="2" t="s">
        <v>79</v>
      </c>
      <c r="V3119" s="2">
        <v>1</v>
      </c>
      <c r="W3119" s="2" t="s">
        <v>80</v>
      </c>
      <c r="X3119" s="2">
        <v>12</v>
      </c>
      <c r="Y3119" s="2" t="s">
        <v>148</v>
      </c>
      <c r="Z3119" s="2">
        <v>1</v>
      </c>
      <c r="AA3119" s="2" t="s">
        <v>82</v>
      </c>
      <c r="AB3119" s="2">
        <v>6</v>
      </c>
      <c r="AC3119" s="2" t="s">
        <v>83</v>
      </c>
      <c r="AD3119" s="3">
        <v>40389</v>
      </c>
      <c r="AE3119" s="2"/>
      <c r="AF3119" s="3">
        <v>40389</v>
      </c>
      <c r="AG3119" s="4">
        <v>0.90277777777777779</v>
      </c>
      <c r="AH3119" s="2">
        <v>2</v>
      </c>
      <c r="AI3119" s="2" t="s">
        <v>84</v>
      </c>
      <c r="AJ3119" s="2">
        <v>12</v>
      </c>
      <c r="AK3119" s="2" t="s">
        <v>85</v>
      </c>
      <c r="AL3119" s="2">
        <v>12</v>
      </c>
      <c r="AM3119" s="2" t="s">
        <v>86</v>
      </c>
      <c r="AN3119" s="2" t="s">
        <v>10179</v>
      </c>
      <c r="AO3119" s="2" t="s">
        <v>10180</v>
      </c>
      <c r="AP3119" s="2">
        <v>11</v>
      </c>
      <c r="AQ3119" s="2" t="s">
        <v>82</v>
      </c>
      <c r="AR3119" s="2"/>
      <c r="AS3119" s="2"/>
      <c r="AT3119" s="2" t="s">
        <v>10181</v>
      </c>
      <c r="AU3119" s="2"/>
      <c r="AV3119" s="2"/>
      <c r="AW3119" s="2"/>
      <c r="AX3119" s="2"/>
      <c r="AY3119" s="2">
        <v>41</v>
      </c>
      <c r="AZ3119" s="2" t="s">
        <v>82</v>
      </c>
      <c r="BA3119" s="2">
        <v>41</v>
      </c>
      <c r="BB3119" s="2" t="s">
        <v>82</v>
      </c>
      <c r="BC3119" s="2">
        <v>41</v>
      </c>
      <c r="BD3119" s="2" t="s">
        <v>82</v>
      </c>
      <c r="BE3119" s="2">
        <v>41</v>
      </c>
      <c r="BF3119" s="2" t="s">
        <v>82</v>
      </c>
      <c r="BG3119" s="2"/>
      <c r="BH3119" s="2"/>
      <c r="BI3119" s="2"/>
      <c r="BJ3119" s="2">
        <v>241</v>
      </c>
      <c r="BK3119" s="2" t="s">
        <v>82</v>
      </c>
      <c r="BL3119" s="2"/>
      <c r="BM3119" s="2">
        <v>241</v>
      </c>
      <c r="BN3119" s="2" t="s">
        <v>82</v>
      </c>
      <c r="BO3119" s="2"/>
      <c r="BP3119" s="2">
        <v>241</v>
      </c>
      <c r="BQ3119" s="2" t="s">
        <v>82</v>
      </c>
      <c r="BR3119" s="2"/>
      <c r="BS3119" s="3">
        <v>40390</v>
      </c>
      <c r="BT3119" s="4">
        <v>0.1040625</v>
      </c>
    </row>
    <row r="3120" spans="1:72" x14ac:dyDescent="0.25">
      <c r="A3120" s="2">
        <v>4616</v>
      </c>
      <c r="B3120" s="2">
        <v>2010</v>
      </c>
      <c r="C3120" s="2" t="s">
        <v>72</v>
      </c>
      <c r="D3120" s="2" t="s">
        <v>73</v>
      </c>
      <c r="E3120" s="2"/>
      <c r="F3120" s="2">
        <v>656</v>
      </c>
      <c r="G3120" s="2" t="s">
        <v>9909</v>
      </c>
      <c r="H3120" s="2">
        <v>42</v>
      </c>
      <c r="I3120" s="2" t="s">
        <v>1096</v>
      </c>
      <c r="J3120" s="2">
        <v>620</v>
      </c>
      <c r="K3120" s="2" t="s">
        <v>9617</v>
      </c>
      <c r="L3120" s="2" t="s">
        <v>9618</v>
      </c>
      <c r="M3120" s="3">
        <v>40390</v>
      </c>
      <c r="N3120" s="2" t="s">
        <v>9619</v>
      </c>
      <c r="O3120" s="2"/>
      <c r="P3120" s="2"/>
      <c r="Q3120" s="2" t="str">
        <f>"294-A/10"</f>
        <v>294-A/10</v>
      </c>
      <c r="R3120" s="2"/>
      <c r="S3120" s="2" t="s">
        <v>206</v>
      </c>
      <c r="T3120" s="2">
        <v>1</v>
      </c>
      <c r="U3120" s="2" t="s">
        <v>79</v>
      </c>
      <c r="V3120" s="2">
        <v>1</v>
      </c>
      <c r="W3120" s="2" t="s">
        <v>80</v>
      </c>
      <c r="X3120" s="2">
        <v>12</v>
      </c>
      <c r="Y3120" s="2" t="s">
        <v>148</v>
      </c>
      <c r="Z3120" s="2">
        <v>1</v>
      </c>
      <c r="AA3120" s="2" t="s">
        <v>82</v>
      </c>
      <c r="AB3120" s="2">
        <v>6</v>
      </c>
      <c r="AC3120" s="2" t="s">
        <v>83</v>
      </c>
      <c r="AD3120" s="3">
        <v>40389</v>
      </c>
      <c r="AE3120" s="2"/>
      <c r="AF3120" s="3">
        <v>40390</v>
      </c>
      <c r="AG3120" s="4">
        <v>3.4722222222222224E-2</v>
      </c>
      <c r="AH3120" s="2">
        <v>2</v>
      </c>
      <c r="AI3120" s="2" t="s">
        <v>84</v>
      </c>
      <c r="AJ3120" s="2">
        <v>12</v>
      </c>
      <c r="AK3120" s="2" t="s">
        <v>85</v>
      </c>
      <c r="AL3120" s="2">
        <v>22</v>
      </c>
      <c r="AM3120" s="2" t="s">
        <v>1853</v>
      </c>
      <c r="AN3120" s="2"/>
      <c r="AO3120" s="2" t="s">
        <v>8456</v>
      </c>
      <c r="AP3120" s="2">
        <v>11</v>
      </c>
      <c r="AQ3120" s="2" t="s">
        <v>82</v>
      </c>
      <c r="AR3120" s="2"/>
      <c r="AS3120" s="2"/>
      <c r="AT3120" s="2" t="s">
        <v>10182</v>
      </c>
      <c r="AU3120" s="2"/>
      <c r="AV3120" s="2"/>
      <c r="AW3120" s="2"/>
      <c r="AX3120" s="2"/>
      <c r="AY3120" s="2">
        <v>41</v>
      </c>
      <c r="AZ3120" s="2" t="s">
        <v>82</v>
      </c>
      <c r="BA3120" s="2">
        <v>41</v>
      </c>
      <c r="BB3120" s="2" t="s">
        <v>82</v>
      </c>
      <c r="BC3120" s="2">
        <v>41</v>
      </c>
      <c r="BD3120" s="2" t="s">
        <v>82</v>
      </c>
      <c r="BE3120" s="2">
        <v>47</v>
      </c>
      <c r="BF3120" s="2" t="s">
        <v>167</v>
      </c>
      <c r="BG3120" s="2" t="s">
        <v>10183</v>
      </c>
      <c r="BH3120" s="4">
        <v>0.99305555555555547</v>
      </c>
      <c r="BI3120" s="4">
        <v>0.93055555555555547</v>
      </c>
      <c r="BJ3120" s="2">
        <v>13</v>
      </c>
      <c r="BK3120" s="2" t="s">
        <v>91</v>
      </c>
      <c r="BL3120" s="2" t="s">
        <v>445</v>
      </c>
      <c r="BM3120" s="2">
        <v>241</v>
      </c>
      <c r="BN3120" s="2" t="s">
        <v>82</v>
      </c>
      <c r="BO3120" s="2"/>
      <c r="BP3120" s="2">
        <v>13</v>
      </c>
      <c r="BQ3120" s="2" t="s">
        <v>91</v>
      </c>
      <c r="BR3120" s="2" t="s">
        <v>564</v>
      </c>
      <c r="BS3120" s="3">
        <v>40390</v>
      </c>
      <c r="BT3120" s="4">
        <v>0.18306712962962965</v>
      </c>
    </row>
    <row r="3121" spans="1:72" x14ac:dyDescent="0.25">
      <c r="A3121" s="2">
        <v>4617</v>
      </c>
      <c r="B3121" s="2">
        <v>2010</v>
      </c>
      <c r="C3121" s="2" t="s">
        <v>171</v>
      </c>
      <c r="D3121" s="2" t="s">
        <v>73</v>
      </c>
      <c r="E3121" s="2"/>
      <c r="F3121" s="2">
        <v>399</v>
      </c>
      <c r="G3121" s="2" t="s">
        <v>587</v>
      </c>
      <c r="H3121" s="2">
        <v>15</v>
      </c>
      <c r="I3121" s="2" t="s">
        <v>130</v>
      </c>
      <c r="J3121" s="2">
        <v>241</v>
      </c>
      <c r="K3121" s="2" t="s">
        <v>174</v>
      </c>
      <c r="L3121" s="2" t="s">
        <v>175</v>
      </c>
      <c r="M3121" s="3">
        <v>40390</v>
      </c>
      <c r="N3121" s="2" t="s">
        <v>588</v>
      </c>
      <c r="O3121" s="2"/>
      <c r="P3121" s="2"/>
      <c r="Q3121" s="2" t="str">
        <f>"389-E/10"</f>
        <v>389-E/10</v>
      </c>
      <c r="R3121" s="2" t="s">
        <v>391</v>
      </c>
      <c r="S3121" s="2" t="s">
        <v>391</v>
      </c>
      <c r="T3121" s="2">
        <v>1</v>
      </c>
      <c r="U3121" s="2" t="s">
        <v>79</v>
      </c>
      <c r="V3121" s="2">
        <v>1</v>
      </c>
      <c r="W3121" s="2" t="s">
        <v>80</v>
      </c>
      <c r="X3121" s="2">
        <v>3</v>
      </c>
      <c r="Y3121" s="2" t="s">
        <v>698</v>
      </c>
      <c r="Z3121" s="2">
        <v>2</v>
      </c>
      <c r="AA3121" s="2" t="s">
        <v>2148</v>
      </c>
      <c r="AB3121" s="2">
        <v>1</v>
      </c>
      <c r="AC3121" s="2" t="s">
        <v>178</v>
      </c>
      <c r="AD3121" s="3">
        <v>40390</v>
      </c>
      <c r="AE3121" s="4">
        <v>0.14583333333333334</v>
      </c>
      <c r="AF3121" s="2"/>
      <c r="AG3121" s="2"/>
      <c r="AH3121" s="2">
        <v>2</v>
      </c>
      <c r="AI3121" s="2" t="s">
        <v>84</v>
      </c>
      <c r="AJ3121" s="2">
        <v>9</v>
      </c>
      <c r="AK3121" s="2" t="s">
        <v>103</v>
      </c>
      <c r="AL3121" s="2">
        <v>16</v>
      </c>
      <c r="AM3121" s="2" t="s">
        <v>392</v>
      </c>
      <c r="AN3121" s="2" t="s">
        <v>6519</v>
      </c>
      <c r="AO3121" s="2" t="s">
        <v>393</v>
      </c>
      <c r="AP3121" s="2">
        <v>10</v>
      </c>
      <c r="AQ3121" s="2" t="s">
        <v>8613</v>
      </c>
      <c r="AR3121" s="2" t="s">
        <v>10184</v>
      </c>
      <c r="AS3121" s="2" t="s">
        <v>10185</v>
      </c>
      <c r="AT3121" s="2" t="s">
        <v>10186</v>
      </c>
      <c r="AU3121" s="2"/>
      <c r="AV3121" s="2"/>
      <c r="AW3121" s="2"/>
      <c r="AX3121" s="2"/>
      <c r="AY3121" s="2">
        <v>42</v>
      </c>
      <c r="AZ3121" s="2" t="s">
        <v>182</v>
      </c>
      <c r="BA3121" s="2">
        <v>41</v>
      </c>
      <c r="BB3121" s="2" t="s">
        <v>82</v>
      </c>
      <c r="BC3121" s="2">
        <v>41</v>
      </c>
      <c r="BD3121" s="2" t="s">
        <v>82</v>
      </c>
      <c r="BE3121" s="2">
        <v>62</v>
      </c>
      <c r="BF3121" s="2" t="s">
        <v>8613</v>
      </c>
      <c r="BG3121" s="2">
        <v>413</v>
      </c>
      <c r="BH3121" s="4">
        <v>0</v>
      </c>
      <c r="BI3121" s="4">
        <v>0.20833333333333334</v>
      </c>
      <c r="BJ3121" s="2">
        <v>13</v>
      </c>
      <c r="BK3121" s="2" t="s">
        <v>91</v>
      </c>
      <c r="BL3121" s="2" t="s">
        <v>360</v>
      </c>
      <c r="BM3121" s="2">
        <v>242</v>
      </c>
      <c r="BN3121" s="2" t="s">
        <v>107</v>
      </c>
      <c r="BO3121" s="2"/>
      <c r="BP3121" s="2">
        <v>114</v>
      </c>
      <c r="BQ3121" s="2" t="s">
        <v>4596</v>
      </c>
      <c r="BR3121" s="2" t="s">
        <v>10187</v>
      </c>
      <c r="BS3121" s="3">
        <v>40390</v>
      </c>
      <c r="BT3121" s="4">
        <v>0.3457175925925926</v>
      </c>
    </row>
    <row r="3122" spans="1:72" x14ac:dyDescent="0.25">
      <c r="A3122" s="2">
        <v>4619</v>
      </c>
      <c r="B3122" s="2">
        <v>2010</v>
      </c>
      <c r="C3122" s="2" t="s">
        <v>72</v>
      </c>
      <c r="D3122" s="2" t="s">
        <v>73</v>
      </c>
      <c r="E3122" s="2"/>
      <c r="F3122" s="2">
        <v>481</v>
      </c>
      <c r="G3122" s="2" t="s">
        <v>1438</v>
      </c>
      <c r="H3122" s="2">
        <v>1</v>
      </c>
      <c r="I3122" s="2" t="s">
        <v>82</v>
      </c>
      <c r="J3122" s="2">
        <v>58</v>
      </c>
      <c r="K3122" s="2" t="s">
        <v>3405</v>
      </c>
      <c r="L3122" s="2" t="s">
        <v>1692</v>
      </c>
      <c r="M3122" s="3">
        <v>40390</v>
      </c>
      <c r="N3122" s="2" t="s">
        <v>10188</v>
      </c>
      <c r="O3122" s="2" t="s">
        <v>82</v>
      </c>
      <c r="P3122" s="2" t="s">
        <v>82</v>
      </c>
      <c r="Q3122" s="2" t="str">
        <f>"37/10"</f>
        <v>37/10</v>
      </c>
      <c r="R3122" s="2" t="s">
        <v>10189</v>
      </c>
      <c r="S3122" s="2" t="s">
        <v>1847</v>
      </c>
      <c r="T3122" s="2">
        <v>1</v>
      </c>
      <c r="U3122" s="2" t="s">
        <v>79</v>
      </c>
      <c r="V3122" s="2">
        <v>1</v>
      </c>
      <c r="W3122" s="2" t="s">
        <v>80</v>
      </c>
      <c r="X3122" s="2">
        <v>12</v>
      </c>
      <c r="Y3122" s="2" t="s">
        <v>148</v>
      </c>
      <c r="Z3122" s="2">
        <v>1</v>
      </c>
      <c r="AA3122" s="2" t="s">
        <v>82</v>
      </c>
      <c r="AB3122" s="2">
        <v>6</v>
      </c>
      <c r="AC3122" s="2" t="s">
        <v>83</v>
      </c>
      <c r="AD3122" s="3">
        <v>40387</v>
      </c>
      <c r="AE3122" s="4">
        <v>0.24305555555555555</v>
      </c>
      <c r="AF3122" s="3">
        <v>40390</v>
      </c>
      <c r="AG3122" s="4">
        <v>0.4513888888888889</v>
      </c>
      <c r="AH3122" s="2">
        <v>3</v>
      </c>
      <c r="AI3122" s="2" t="s">
        <v>214</v>
      </c>
      <c r="AJ3122" s="2">
        <v>17</v>
      </c>
      <c r="AK3122" s="2" t="s">
        <v>309</v>
      </c>
      <c r="AL3122" s="2">
        <v>21</v>
      </c>
      <c r="AM3122" s="2" t="s">
        <v>1311</v>
      </c>
      <c r="AN3122" s="2" t="s">
        <v>8879</v>
      </c>
      <c r="AO3122" s="2"/>
      <c r="AP3122" s="2">
        <v>11</v>
      </c>
      <c r="AQ3122" s="2" t="s">
        <v>82</v>
      </c>
      <c r="AR3122" s="2" t="s">
        <v>82</v>
      </c>
      <c r="AS3122" s="2" t="s">
        <v>82</v>
      </c>
      <c r="AT3122" s="2" t="s">
        <v>10190</v>
      </c>
      <c r="AU3122" s="2"/>
      <c r="AV3122" s="2"/>
      <c r="AW3122" s="2"/>
      <c r="AX3122" s="2"/>
      <c r="AY3122" s="2">
        <v>41</v>
      </c>
      <c r="AZ3122" s="2" t="s">
        <v>82</v>
      </c>
      <c r="BA3122" s="2">
        <v>41</v>
      </c>
      <c r="BB3122" s="2" t="s">
        <v>82</v>
      </c>
      <c r="BC3122" s="2">
        <v>41</v>
      </c>
      <c r="BD3122" s="2" t="s">
        <v>82</v>
      </c>
      <c r="BE3122" s="2">
        <v>41</v>
      </c>
      <c r="BF3122" s="2" t="s">
        <v>82</v>
      </c>
      <c r="BG3122" s="2" t="s">
        <v>82</v>
      </c>
      <c r="BH3122" s="2"/>
      <c r="BI3122" s="2"/>
      <c r="BJ3122" s="2">
        <v>241</v>
      </c>
      <c r="BK3122" s="2" t="s">
        <v>82</v>
      </c>
      <c r="BL3122" s="2" t="s">
        <v>82</v>
      </c>
      <c r="BM3122" s="2">
        <v>241</v>
      </c>
      <c r="BN3122" s="2" t="s">
        <v>82</v>
      </c>
      <c r="BO3122" s="2" t="s">
        <v>82</v>
      </c>
      <c r="BP3122" s="2">
        <v>241</v>
      </c>
      <c r="BQ3122" s="2" t="s">
        <v>82</v>
      </c>
      <c r="BR3122" s="2" t="s">
        <v>82</v>
      </c>
      <c r="BS3122" s="3">
        <v>40390</v>
      </c>
      <c r="BT3122" s="4">
        <v>0.51018518518518519</v>
      </c>
    </row>
    <row r="3123" spans="1:72" x14ac:dyDescent="0.25">
      <c r="A3123" s="2">
        <v>4620</v>
      </c>
      <c r="B3123" s="2">
        <v>2010</v>
      </c>
      <c r="C3123" s="2" t="s">
        <v>819</v>
      </c>
      <c r="D3123" s="2" t="s">
        <v>122</v>
      </c>
      <c r="E3123" s="2" t="s">
        <v>10191</v>
      </c>
      <c r="F3123" s="2">
        <v>451</v>
      </c>
      <c r="G3123" s="2" t="s">
        <v>879</v>
      </c>
      <c r="H3123" s="2">
        <v>31</v>
      </c>
      <c r="I3123" s="2" t="s">
        <v>880</v>
      </c>
      <c r="J3123" s="2">
        <v>326</v>
      </c>
      <c r="K3123" s="2" t="s">
        <v>881</v>
      </c>
      <c r="L3123" s="2" t="s">
        <v>882</v>
      </c>
      <c r="M3123" s="3">
        <v>40390</v>
      </c>
      <c r="N3123" s="2" t="s">
        <v>1072</v>
      </c>
      <c r="O3123" s="2"/>
      <c r="P3123" s="2"/>
      <c r="Q3123" s="2" t="str">
        <f>"087/10"</f>
        <v>087/10</v>
      </c>
      <c r="R3123" s="2" t="s">
        <v>822</v>
      </c>
      <c r="S3123" s="2"/>
      <c r="T3123" s="2">
        <v>1</v>
      </c>
      <c r="U3123" s="2" t="s">
        <v>79</v>
      </c>
      <c r="V3123" s="2">
        <v>1</v>
      </c>
      <c r="W3123" s="2" t="s">
        <v>80</v>
      </c>
      <c r="X3123" s="2">
        <v>1</v>
      </c>
      <c r="Y3123" s="2" t="s">
        <v>81</v>
      </c>
      <c r="Z3123" s="2">
        <v>10</v>
      </c>
      <c r="AA3123" s="2" t="s">
        <v>236</v>
      </c>
      <c r="AB3123" s="2">
        <v>9</v>
      </c>
      <c r="AC3123" s="2" t="s">
        <v>124</v>
      </c>
      <c r="AD3123" s="3">
        <v>40390</v>
      </c>
      <c r="AE3123" s="4">
        <v>0.47222222222222227</v>
      </c>
      <c r="AF3123" s="2"/>
      <c r="AG3123" s="2"/>
      <c r="AH3123" s="2">
        <v>4</v>
      </c>
      <c r="AI3123" s="2" t="s">
        <v>125</v>
      </c>
      <c r="AJ3123" s="2">
        <v>29</v>
      </c>
      <c r="AK3123" s="2" t="s">
        <v>227</v>
      </c>
      <c r="AL3123" s="2">
        <v>25</v>
      </c>
      <c r="AM3123" s="2" t="s">
        <v>3073</v>
      </c>
      <c r="AN3123" s="2" t="s">
        <v>3040</v>
      </c>
      <c r="AO3123" s="2" t="s">
        <v>5383</v>
      </c>
      <c r="AP3123" s="2">
        <v>12</v>
      </c>
      <c r="AQ3123" s="2" t="s">
        <v>322</v>
      </c>
      <c r="AR3123" s="2" t="s">
        <v>824</v>
      </c>
      <c r="AS3123" s="2" t="s">
        <v>825</v>
      </c>
      <c r="AT3123" s="2" t="s">
        <v>10192</v>
      </c>
      <c r="AU3123" s="2"/>
      <c r="AV3123" s="2"/>
      <c r="AW3123" s="2"/>
      <c r="AX3123" s="2"/>
      <c r="AY3123" s="2">
        <v>41</v>
      </c>
      <c r="AZ3123" s="2" t="s">
        <v>82</v>
      </c>
      <c r="BA3123" s="2">
        <v>41</v>
      </c>
      <c r="BB3123" s="2" t="s">
        <v>82</v>
      </c>
      <c r="BC3123" s="2">
        <v>51</v>
      </c>
      <c r="BD3123" s="2" t="s">
        <v>827</v>
      </c>
      <c r="BE3123" s="2">
        <v>13</v>
      </c>
      <c r="BF3123" s="2" t="s">
        <v>108</v>
      </c>
      <c r="BG3123" s="2">
        <v>1459</v>
      </c>
      <c r="BH3123" s="4">
        <v>0.92708333333333337</v>
      </c>
      <c r="BI3123" s="4">
        <v>0.94791666666666663</v>
      </c>
      <c r="BJ3123" s="2">
        <v>13</v>
      </c>
      <c r="BK3123" s="2" t="s">
        <v>91</v>
      </c>
      <c r="BL3123" s="2" t="s">
        <v>828</v>
      </c>
      <c r="BM3123" s="2">
        <v>241</v>
      </c>
      <c r="BN3123" s="2" t="s">
        <v>82</v>
      </c>
      <c r="BO3123" s="2"/>
      <c r="BP3123" s="2">
        <v>13</v>
      </c>
      <c r="BQ3123" s="2" t="s">
        <v>91</v>
      </c>
      <c r="BR3123" s="2" t="s">
        <v>185</v>
      </c>
      <c r="BS3123" s="3">
        <v>40390</v>
      </c>
      <c r="BT3123" s="4">
        <v>0.51339120370370372</v>
      </c>
    </row>
    <row r="3124" spans="1:72" x14ac:dyDescent="0.25">
      <c r="A3124" s="2">
        <v>4623</v>
      </c>
      <c r="B3124" s="2">
        <v>2010</v>
      </c>
      <c r="C3124" s="2" t="s">
        <v>72</v>
      </c>
      <c r="D3124" s="2" t="s">
        <v>73</v>
      </c>
      <c r="E3124" s="2"/>
      <c r="F3124" s="2">
        <v>173</v>
      </c>
      <c r="G3124" s="2" t="s">
        <v>9262</v>
      </c>
      <c r="H3124" s="2">
        <v>128</v>
      </c>
      <c r="I3124" s="2" t="s">
        <v>9263</v>
      </c>
      <c r="J3124" s="2">
        <v>611</v>
      </c>
      <c r="K3124" s="2" t="s">
        <v>9264</v>
      </c>
      <c r="L3124" s="2" t="s">
        <v>2393</v>
      </c>
      <c r="M3124" s="3">
        <v>40390</v>
      </c>
      <c r="N3124" s="2" t="s">
        <v>9265</v>
      </c>
      <c r="O3124" s="2"/>
      <c r="P3124" s="2"/>
      <c r="Q3124" s="2" t="str">
        <f>"295-A/10"</f>
        <v>295-A/10</v>
      </c>
      <c r="R3124" s="2"/>
      <c r="S3124" s="2" t="s">
        <v>116</v>
      </c>
      <c r="T3124" s="2">
        <v>1</v>
      </c>
      <c r="U3124" s="2" t="s">
        <v>79</v>
      </c>
      <c r="V3124" s="2">
        <v>1</v>
      </c>
      <c r="W3124" s="2" t="s">
        <v>80</v>
      </c>
      <c r="X3124" s="2">
        <v>12</v>
      </c>
      <c r="Y3124" s="2" t="s">
        <v>148</v>
      </c>
      <c r="Z3124" s="2">
        <v>1</v>
      </c>
      <c r="AA3124" s="2" t="s">
        <v>82</v>
      </c>
      <c r="AB3124" s="2">
        <v>6</v>
      </c>
      <c r="AC3124" s="2" t="s">
        <v>83</v>
      </c>
      <c r="AD3124" s="3">
        <v>40390</v>
      </c>
      <c r="AE3124" s="2"/>
      <c r="AF3124" s="3">
        <v>40390</v>
      </c>
      <c r="AG3124" s="4">
        <v>0.44444444444444442</v>
      </c>
      <c r="AH3124" s="2">
        <v>2</v>
      </c>
      <c r="AI3124" s="2" t="s">
        <v>84</v>
      </c>
      <c r="AJ3124" s="2">
        <v>12</v>
      </c>
      <c r="AK3124" s="2" t="s">
        <v>85</v>
      </c>
      <c r="AL3124" s="2">
        <v>29</v>
      </c>
      <c r="AM3124" s="2" t="s">
        <v>5416</v>
      </c>
      <c r="AN3124" s="2" t="s">
        <v>10193</v>
      </c>
      <c r="AO3124" s="2"/>
      <c r="AP3124" s="2">
        <v>11</v>
      </c>
      <c r="AQ3124" s="2" t="s">
        <v>82</v>
      </c>
      <c r="AR3124" s="2"/>
      <c r="AS3124" s="2"/>
      <c r="AT3124" s="2" t="s">
        <v>10194</v>
      </c>
      <c r="AU3124" s="2">
        <v>1</v>
      </c>
      <c r="AV3124" s="2"/>
      <c r="AW3124" s="2"/>
      <c r="AX3124" s="2"/>
      <c r="AY3124" s="2">
        <v>41</v>
      </c>
      <c r="AZ3124" s="2" t="s">
        <v>82</v>
      </c>
      <c r="BA3124" s="2">
        <v>41</v>
      </c>
      <c r="BB3124" s="2" t="s">
        <v>82</v>
      </c>
      <c r="BC3124" s="2">
        <v>41</v>
      </c>
      <c r="BD3124" s="2" t="s">
        <v>82</v>
      </c>
      <c r="BE3124" s="2">
        <v>41</v>
      </c>
      <c r="BF3124" s="2" t="s">
        <v>82</v>
      </c>
      <c r="BG3124" s="2"/>
      <c r="BH3124" s="2"/>
      <c r="BI3124" s="2"/>
      <c r="BJ3124" s="2">
        <v>241</v>
      </c>
      <c r="BK3124" s="2" t="s">
        <v>82</v>
      </c>
      <c r="BL3124" s="2"/>
      <c r="BM3124" s="2">
        <v>241</v>
      </c>
      <c r="BN3124" s="2" t="s">
        <v>82</v>
      </c>
      <c r="BO3124" s="2"/>
      <c r="BP3124" s="2">
        <v>241</v>
      </c>
      <c r="BQ3124" s="2" t="s">
        <v>82</v>
      </c>
      <c r="BR3124" s="2"/>
      <c r="BS3124" s="3">
        <v>40390</v>
      </c>
      <c r="BT3124" s="4">
        <v>0.66642361111111115</v>
      </c>
    </row>
    <row r="3125" spans="1:72" x14ac:dyDescent="0.25">
      <c r="A3125" s="2">
        <v>4624</v>
      </c>
      <c r="B3125" s="2">
        <v>2010</v>
      </c>
      <c r="C3125" s="2" t="s">
        <v>377</v>
      </c>
      <c r="D3125" s="2" t="s">
        <v>73</v>
      </c>
      <c r="E3125" s="2"/>
      <c r="F3125" s="2">
        <v>426</v>
      </c>
      <c r="G3125" s="2" t="s">
        <v>378</v>
      </c>
      <c r="H3125" s="2">
        <v>22</v>
      </c>
      <c r="I3125" s="2" t="s">
        <v>75</v>
      </c>
      <c r="J3125" s="2">
        <v>311</v>
      </c>
      <c r="K3125" s="2" t="s">
        <v>379</v>
      </c>
      <c r="L3125" s="2" t="s">
        <v>380</v>
      </c>
      <c r="M3125" s="3">
        <v>40390</v>
      </c>
      <c r="N3125" s="2" t="s">
        <v>5164</v>
      </c>
      <c r="O3125" s="2"/>
      <c r="P3125" s="2"/>
      <c r="Q3125" s="2" t="str">
        <f>"195-C/10"</f>
        <v>195-C/10</v>
      </c>
      <c r="R3125" s="2" t="s">
        <v>3458</v>
      </c>
      <c r="S3125" s="2"/>
      <c r="T3125" s="2">
        <v>1</v>
      </c>
      <c r="U3125" s="2" t="s">
        <v>79</v>
      </c>
      <c r="V3125" s="2">
        <v>1</v>
      </c>
      <c r="W3125" s="2" t="s">
        <v>80</v>
      </c>
      <c r="X3125" s="2">
        <v>1</v>
      </c>
      <c r="Y3125" s="2" t="s">
        <v>81</v>
      </c>
      <c r="Z3125" s="2">
        <v>1</v>
      </c>
      <c r="AA3125" s="2" t="s">
        <v>82</v>
      </c>
      <c r="AB3125" s="2">
        <v>9</v>
      </c>
      <c r="AC3125" s="2" t="s">
        <v>124</v>
      </c>
      <c r="AD3125" s="3">
        <v>40390</v>
      </c>
      <c r="AE3125" s="4">
        <v>0.65625</v>
      </c>
      <c r="AF3125" s="2"/>
      <c r="AG3125" s="2"/>
      <c r="AH3125" s="2">
        <v>2</v>
      </c>
      <c r="AI3125" s="2" t="s">
        <v>84</v>
      </c>
      <c r="AJ3125" s="2">
        <v>9</v>
      </c>
      <c r="AK3125" s="2" t="s">
        <v>103</v>
      </c>
      <c r="AL3125" s="2">
        <v>29</v>
      </c>
      <c r="AM3125" s="2" t="s">
        <v>5416</v>
      </c>
      <c r="AN3125" s="2" t="s">
        <v>1936</v>
      </c>
      <c r="AO3125" s="2" t="s">
        <v>987</v>
      </c>
      <c r="AP3125" s="2">
        <v>11</v>
      </c>
      <c r="AQ3125" s="2" t="s">
        <v>82</v>
      </c>
      <c r="AR3125" s="2"/>
      <c r="AS3125" s="2"/>
      <c r="AT3125" s="2" t="s">
        <v>8355</v>
      </c>
      <c r="AU3125" s="2"/>
      <c r="AV3125" s="2"/>
      <c r="AW3125" s="2"/>
      <c r="AX3125" s="2"/>
      <c r="AY3125" s="2">
        <v>41</v>
      </c>
      <c r="AZ3125" s="2" t="s">
        <v>82</v>
      </c>
      <c r="BA3125" s="2">
        <v>41</v>
      </c>
      <c r="BB3125" s="2" t="s">
        <v>82</v>
      </c>
      <c r="BC3125" s="2">
        <v>41</v>
      </c>
      <c r="BD3125" s="2" t="s">
        <v>82</v>
      </c>
      <c r="BE3125" s="2">
        <v>41</v>
      </c>
      <c r="BF3125" s="2" t="s">
        <v>82</v>
      </c>
      <c r="BG3125" s="2"/>
      <c r="BH3125" s="2"/>
      <c r="BI3125" s="2"/>
      <c r="BJ3125" s="2">
        <v>241</v>
      </c>
      <c r="BK3125" s="2" t="s">
        <v>82</v>
      </c>
      <c r="BL3125" s="2"/>
      <c r="BM3125" s="2">
        <v>241</v>
      </c>
      <c r="BN3125" s="2" t="s">
        <v>82</v>
      </c>
      <c r="BO3125" s="2"/>
      <c r="BP3125" s="2">
        <v>241</v>
      </c>
      <c r="BQ3125" s="2" t="s">
        <v>82</v>
      </c>
      <c r="BR3125" s="2"/>
      <c r="BS3125" s="3">
        <v>40390</v>
      </c>
      <c r="BT3125" s="4">
        <v>0.74993055555555566</v>
      </c>
    </row>
    <row r="3126" spans="1:72" x14ac:dyDescent="0.25">
      <c r="A3126" s="2">
        <v>4625</v>
      </c>
      <c r="B3126" s="2">
        <v>2010</v>
      </c>
      <c r="C3126" s="2" t="s">
        <v>72</v>
      </c>
      <c r="D3126" s="2" t="s">
        <v>73</v>
      </c>
      <c r="E3126" s="2"/>
      <c r="F3126" s="2">
        <v>3</v>
      </c>
      <c r="G3126" s="2" t="s">
        <v>1041</v>
      </c>
      <c r="H3126" s="2">
        <v>1</v>
      </c>
      <c r="I3126" s="2" t="s">
        <v>82</v>
      </c>
      <c r="J3126" s="2">
        <v>368</v>
      </c>
      <c r="K3126" s="2" t="s">
        <v>1042</v>
      </c>
      <c r="L3126" s="2" t="s">
        <v>1043</v>
      </c>
      <c r="M3126" s="3">
        <v>40390</v>
      </c>
      <c r="N3126" s="2"/>
      <c r="O3126" s="2"/>
      <c r="P3126" s="2"/>
      <c r="Q3126" s="2" t="str">
        <f>"390-E/10"</f>
        <v>390-E/10</v>
      </c>
      <c r="R3126" s="2"/>
      <c r="S3126" s="2" t="s">
        <v>116</v>
      </c>
      <c r="T3126" s="2">
        <v>1</v>
      </c>
      <c r="U3126" s="2" t="s">
        <v>79</v>
      </c>
      <c r="V3126" s="2">
        <v>1</v>
      </c>
      <c r="W3126" s="2" t="s">
        <v>80</v>
      </c>
      <c r="X3126" s="2">
        <v>12</v>
      </c>
      <c r="Y3126" s="2" t="s">
        <v>148</v>
      </c>
      <c r="Z3126" s="2">
        <v>1</v>
      </c>
      <c r="AA3126" s="2" t="s">
        <v>82</v>
      </c>
      <c r="AB3126" s="2">
        <v>6</v>
      </c>
      <c r="AC3126" s="2" t="s">
        <v>83</v>
      </c>
      <c r="AD3126" s="3">
        <v>40390</v>
      </c>
      <c r="AE3126" s="2"/>
      <c r="AF3126" s="3">
        <v>40390</v>
      </c>
      <c r="AG3126" s="4">
        <v>0.6875</v>
      </c>
      <c r="AH3126" s="2">
        <v>2</v>
      </c>
      <c r="AI3126" s="2" t="s">
        <v>84</v>
      </c>
      <c r="AJ3126" s="2">
        <v>9</v>
      </c>
      <c r="AK3126" s="2" t="s">
        <v>103</v>
      </c>
      <c r="AL3126" s="2">
        <v>12</v>
      </c>
      <c r="AM3126" s="2" t="s">
        <v>86</v>
      </c>
      <c r="AN3126" s="2" t="s">
        <v>10195</v>
      </c>
      <c r="AO3126" s="2"/>
      <c r="AP3126" s="2">
        <v>11</v>
      </c>
      <c r="AQ3126" s="2" t="s">
        <v>82</v>
      </c>
      <c r="AR3126" s="2"/>
      <c r="AS3126" s="2"/>
      <c r="AT3126" s="2" t="s">
        <v>10196</v>
      </c>
      <c r="AU3126" s="2"/>
      <c r="AV3126" s="2"/>
      <c r="AW3126" s="2"/>
      <c r="AX3126" s="2"/>
      <c r="AY3126" s="2">
        <v>41</v>
      </c>
      <c r="AZ3126" s="2" t="s">
        <v>82</v>
      </c>
      <c r="BA3126" s="2">
        <v>41</v>
      </c>
      <c r="BB3126" s="2" t="s">
        <v>82</v>
      </c>
      <c r="BC3126" s="2">
        <v>41</v>
      </c>
      <c r="BD3126" s="2" t="s">
        <v>82</v>
      </c>
      <c r="BE3126" s="2">
        <v>41</v>
      </c>
      <c r="BF3126" s="2" t="s">
        <v>82</v>
      </c>
      <c r="BG3126" s="2"/>
      <c r="BH3126" s="2"/>
      <c r="BI3126" s="2"/>
      <c r="BJ3126" s="2">
        <v>241</v>
      </c>
      <c r="BK3126" s="2" t="s">
        <v>82</v>
      </c>
      <c r="BL3126" s="2"/>
      <c r="BM3126" s="2">
        <v>241</v>
      </c>
      <c r="BN3126" s="2" t="s">
        <v>82</v>
      </c>
      <c r="BO3126" s="2"/>
      <c r="BP3126" s="2">
        <v>241</v>
      </c>
      <c r="BQ3126" s="2" t="s">
        <v>82</v>
      </c>
      <c r="BR3126" s="2"/>
      <c r="BS3126" s="3">
        <v>40390</v>
      </c>
      <c r="BT3126" s="4">
        <v>0.78467592592592583</v>
      </c>
    </row>
    <row r="3127" spans="1:72" x14ac:dyDescent="0.25">
      <c r="A3127" s="2">
        <v>4626</v>
      </c>
      <c r="B3127" s="2">
        <v>2010</v>
      </c>
      <c r="C3127" s="2" t="s">
        <v>171</v>
      </c>
      <c r="D3127" s="2" t="s">
        <v>73</v>
      </c>
      <c r="E3127" s="2"/>
      <c r="F3127" s="2">
        <v>90</v>
      </c>
      <c r="G3127" s="2" t="s">
        <v>4741</v>
      </c>
      <c r="H3127" s="2">
        <v>47</v>
      </c>
      <c r="I3127" s="2" t="s">
        <v>1409</v>
      </c>
      <c r="J3127" s="2">
        <v>118</v>
      </c>
      <c r="K3127" s="2" t="s">
        <v>4742</v>
      </c>
      <c r="L3127" s="2" t="s">
        <v>4743</v>
      </c>
      <c r="M3127" s="3">
        <v>40390</v>
      </c>
      <c r="N3127" s="2" t="s">
        <v>6499</v>
      </c>
      <c r="O3127" s="2" t="s">
        <v>107</v>
      </c>
      <c r="P3127" s="2" t="s">
        <v>107</v>
      </c>
      <c r="Q3127" s="2" t="str">
        <f>"0067/2010"</f>
        <v>0067/2010</v>
      </c>
      <c r="R3127" s="2" t="s">
        <v>10197</v>
      </c>
      <c r="S3127" s="2" t="s">
        <v>10197</v>
      </c>
      <c r="T3127" s="2">
        <v>1</v>
      </c>
      <c r="U3127" s="2" t="s">
        <v>79</v>
      </c>
      <c r="V3127" s="2">
        <v>1</v>
      </c>
      <c r="W3127" s="2" t="s">
        <v>80</v>
      </c>
      <c r="X3127" s="2">
        <v>1</v>
      </c>
      <c r="Y3127" s="2" t="s">
        <v>81</v>
      </c>
      <c r="Z3127" s="2">
        <v>1</v>
      </c>
      <c r="AA3127" s="2" t="s">
        <v>82</v>
      </c>
      <c r="AB3127" s="2">
        <v>1</v>
      </c>
      <c r="AC3127" s="2" t="s">
        <v>178</v>
      </c>
      <c r="AD3127" s="3">
        <v>40390</v>
      </c>
      <c r="AE3127" s="4">
        <v>0.72222222222222221</v>
      </c>
      <c r="AF3127" s="2"/>
      <c r="AG3127" s="2"/>
      <c r="AH3127" s="2">
        <v>6</v>
      </c>
      <c r="AI3127" s="2" t="s">
        <v>197</v>
      </c>
      <c r="AJ3127" s="2">
        <v>52</v>
      </c>
      <c r="AK3127" s="2" t="s">
        <v>4746</v>
      </c>
      <c r="AL3127" s="2">
        <v>24</v>
      </c>
      <c r="AM3127" s="2" t="s">
        <v>1540</v>
      </c>
      <c r="AN3127" s="2" t="s">
        <v>10198</v>
      </c>
      <c r="AO3127" s="2" t="s">
        <v>10199</v>
      </c>
      <c r="AP3127" s="2">
        <v>11</v>
      </c>
      <c r="AQ3127" s="2" t="s">
        <v>82</v>
      </c>
      <c r="AR3127" s="2" t="s">
        <v>82</v>
      </c>
      <c r="AS3127" s="2" t="s">
        <v>82</v>
      </c>
      <c r="AT3127" s="2" t="s">
        <v>10200</v>
      </c>
      <c r="AU3127" s="2"/>
      <c r="AV3127" s="2"/>
      <c r="AW3127" s="2"/>
      <c r="AX3127" s="2"/>
      <c r="AY3127" s="2">
        <v>41</v>
      </c>
      <c r="AZ3127" s="2" t="s">
        <v>82</v>
      </c>
      <c r="BA3127" s="2">
        <v>41</v>
      </c>
      <c r="BB3127" s="2" t="s">
        <v>82</v>
      </c>
      <c r="BC3127" s="2">
        <v>41</v>
      </c>
      <c r="BD3127" s="2" t="s">
        <v>82</v>
      </c>
      <c r="BE3127" s="2">
        <v>1</v>
      </c>
      <c r="BF3127" s="2" t="s">
        <v>107</v>
      </c>
      <c r="BG3127" s="2" t="s">
        <v>107</v>
      </c>
      <c r="BH3127" s="2"/>
      <c r="BI3127" s="2"/>
      <c r="BJ3127" s="2">
        <v>241</v>
      </c>
      <c r="BK3127" s="2" t="s">
        <v>82</v>
      </c>
      <c r="BL3127" s="2"/>
      <c r="BM3127" s="2">
        <v>241</v>
      </c>
      <c r="BN3127" s="2" t="s">
        <v>82</v>
      </c>
      <c r="BO3127" s="2"/>
      <c r="BP3127" s="2">
        <v>241</v>
      </c>
      <c r="BQ3127" s="2" t="s">
        <v>82</v>
      </c>
      <c r="BR3127" s="2"/>
      <c r="BS3127" s="3">
        <v>40390</v>
      </c>
      <c r="BT3127" s="4">
        <v>0.79203703703703709</v>
      </c>
    </row>
    <row r="3128" spans="1:72" x14ac:dyDescent="0.25">
      <c r="A3128" s="2">
        <v>4627</v>
      </c>
      <c r="B3128" s="2">
        <v>2010</v>
      </c>
      <c r="C3128" s="2" t="s">
        <v>121</v>
      </c>
      <c r="D3128" s="2" t="s">
        <v>122</v>
      </c>
      <c r="E3128" s="2"/>
      <c r="F3128" s="2">
        <v>1</v>
      </c>
      <c r="G3128" s="2" t="s">
        <v>82</v>
      </c>
      <c r="H3128" s="2">
        <v>1</v>
      </c>
      <c r="I3128" s="2" t="s">
        <v>82</v>
      </c>
      <c r="J3128" s="2">
        <v>1</v>
      </c>
      <c r="K3128" s="2" t="s">
        <v>107</v>
      </c>
      <c r="L3128" s="2" t="s">
        <v>107</v>
      </c>
      <c r="M3128" s="3">
        <v>40390</v>
      </c>
      <c r="N3128" s="2"/>
      <c r="O3128" s="2"/>
      <c r="P3128" s="2"/>
      <c r="Q3128" s="2" t="str">
        <f>""</f>
        <v/>
      </c>
      <c r="R3128" s="2"/>
      <c r="S3128" s="2"/>
      <c r="T3128" s="2">
        <v>2</v>
      </c>
      <c r="U3128" s="2" t="s">
        <v>123</v>
      </c>
      <c r="V3128" s="2">
        <v>1</v>
      </c>
      <c r="W3128" s="2" t="s">
        <v>80</v>
      </c>
      <c r="X3128" s="2">
        <v>11</v>
      </c>
      <c r="Y3128" s="2" t="s">
        <v>1920</v>
      </c>
      <c r="Z3128" s="2">
        <v>10</v>
      </c>
      <c r="AA3128" s="2" t="s">
        <v>236</v>
      </c>
      <c r="AB3128" s="2">
        <v>9</v>
      </c>
      <c r="AC3128" s="2" t="s">
        <v>124</v>
      </c>
      <c r="AD3128" s="3">
        <v>40390</v>
      </c>
      <c r="AE3128" s="4">
        <v>0.7416666666666667</v>
      </c>
      <c r="AF3128" s="2"/>
      <c r="AG3128" s="2"/>
      <c r="AH3128" s="2">
        <v>2</v>
      </c>
      <c r="AI3128" s="2" t="s">
        <v>84</v>
      </c>
      <c r="AJ3128" s="2">
        <v>12</v>
      </c>
      <c r="AK3128" s="2" t="s">
        <v>85</v>
      </c>
      <c r="AL3128" s="2">
        <v>14</v>
      </c>
      <c r="AM3128" s="2" t="s">
        <v>216</v>
      </c>
      <c r="AN3128" s="2" t="s">
        <v>10201</v>
      </c>
      <c r="AO3128" s="2"/>
      <c r="AP3128" s="2">
        <v>11</v>
      </c>
      <c r="AQ3128" s="2" t="s">
        <v>82</v>
      </c>
      <c r="AR3128" s="2"/>
      <c r="AS3128" s="2"/>
      <c r="AT3128" s="2" t="s">
        <v>10202</v>
      </c>
      <c r="AU3128" s="2"/>
      <c r="AV3128" s="2"/>
      <c r="AW3128" s="2"/>
      <c r="AX3128" s="2"/>
      <c r="AY3128" s="2">
        <v>41</v>
      </c>
      <c r="AZ3128" s="2" t="s">
        <v>82</v>
      </c>
      <c r="BA3128" s="2">
        <v>41</v>
      </c>
      <c r="BB3128" s="2" t="s">
        <v>82</v>
      </c>
      <c r="BC3128" s="2">
        <v>41</v>
      </c>
      <c r="BD3128" s="2" t="s">
        <v>82</v>
      </c>
      <c r="BE3128" s="2">
        <v>13</v>
      </c>
      <c r="BF3128" s="2" t="s">
        <v>108</v>
      </c>
      <c r="BG3128" s="2" t="s">
        <v>7297</v>
      </c>
      <c r="BH3128" s="4">
        <v>0.7416666666666667</v>
      </c>
      <c r="BI3128" s="4">
        <v>0.625</v>
      </c>
      <c r="BJ3128" s="2">
        <v>172</v>
      </c>
      <c r="BK3128" s="2" t="s">
        <v>843</v>
      </c>
      <c r="BL3128" s="2" t="s">
        <v>844</v>
      </c>
      <c r="BM3128" s="2">
        <v>241</v>
      </c>
      <c r="BN3128" s="2" t="s">
        <v>82</v>
      </c>
      <c r="BO3128" s="2"/>
      <c r="BP3128" s="2">
        <v>13</v>
      </c>
      <c r="BQ3128" s="2" t="s">
        <v>91</v>
      </c>
      <c r="BR3128" s="2" t="s">
        <v>185</v>
      </c>
      <c r="BS3128" s="3">
        <v>40390</v>
      </c>
      <c r="BT3128" s="4">
        <v>0.8039236111111111</v>
      </c>
    </row>
    <row r="3129" spans="1:72" x14ac:dyDescent="0.25">
      <c r="A3129" s="2">
        <v>4628</v>
      </c>
      <c r="B3129" s="2">
        <v>2010</v>
      </c>
      <c r="C3129" s="2" t="s">
        <v>72</v>
      </c>
      <c r="D3129" s="2" t="s">
        <v>73</v>
      </c>
      <c r="E3129" s="2"/>
      <c r="F3129" s="2">
        <v>390</v>
      </c>
      <c r="G3129" s="2" t="s">
        <v>475</v>
      </c>
      <c r="H3129" s="2">
        <v>71</v>
      </c>
      <c r="I3129" s="2" t="s">
        <v>335</v>
      </c>
      <c r="J3129" s="2">
        <v>399</v>
      </c>
      <c r="K3129" s="2" t="s">
        <v>1820</v>
      </c>
      <c r="L3129" s="2" t="s">
        <v>1821</v>
      </c>
      <c r="M3129" s="3">
        <v>40390</v>
      </c>
      <c r="N3129" s="2" t="s">
        <v>9075</v>
      </c>
      <c r="O3129" s="2" t="s">
        <v>107</v>
      </c>
      <c r="P3129" s="2"/>
      <c r="Q3129" s="2" t="str">
        <f>"391-E/10"</f>
        <v>391-E/10</v>
      </c>
      <c r="R3129" s="2" t="s">
        <v>107</v>
      </c>
      <c r="S3129" s="2" t="s">
        <v>601</v>
      </c>
      <c r="T3129" s="2">
        <v>1</v>
      </c>
      <c r="U3129" s="2" t="s">
        <v>79</v>
      </c>
      <c r="V3129" s="2">
        <v>1</v>
      </c>
      <c r="W3129" s="2" t="s">
        <v>80</v>
      </c>
      <c r="X3129" s="2">
        <v>12</v>
      </c>
      <c r="Y3129" s="2" t="s">
        <v>148</v>
      </c>
      <c r="Z3129" s="2">
        <v>1</v>
      </c>
      <c r="AA3129" s="2" t="s">
        <v>82</v>
      </c>
      <c r="AB3129" s="2">
        <v>6</v>
      </c>
      <c r="AC3129" s="2" t="s">
        <v>83</v>
      </c>
      <c r="AD3129" s="3">
        <v>40390</v>
      </c>
      <c r="AE3129" s="2"/>
      <c r="AF3129" s="3">
        <v>40390</v>
      </c>
      <c r="AG3129" s="4">
        <v>0.67708333333333337</v>
      </c>
      <c r="AH3129" s="2">
        <v>2</v>
      </c>
      <c r="AI3129" s="2" t="s">
        <v>84</v>
      </c>
      <c r="AJ3129" s="2">
        <v>9</v>
      </c>
      <c r="AK3129" s="2" t="s">
        <v>103</v>
      </c>
      <c r="AL3129" s="2">
        <v>22</v>
      </c>
      <c r="AM3129" s="2" t="s">
        <v>1853</v>
      </c>
      <c r="AN3129" s="2"/>
      <c r="AO3129" s="2" t="s">
        <v>7625</v>
      </c>
      <c r="AP3129" s="2">
        <v>11</v>
      </c>
      <c r="AQ3129" s="2" t="s">
        <v>82</v>
      </c>
      <c r="AR3129" s="2"/>
      <c r="AS3129" s="2"/>
      <c r="AT3129" s="2" t="s">
        <v>10203</v>
      </c>
      <c r="AU3129" s="2"/>
      <c r="AV3129" s="2"/>
      <c r="AW3129" s="2"/>
      <c r="AX3129" s="2"/>
      <c r="AY3129" s="2">
        <v>41</v>
      </c>
      <c r="AZ3129" s="2" t="s">
        <v>82</v>
      </c>
      <c r="BA3129" s="2">
        <v>41</v>
      </c>
      <c r="BB3129" s="2" t="s">
        <v>82</v>
      </c>
      <c r="BC3129" s="2">
        <v>41</v>
      </c>
      <c r="BD3129" s="2" t="s">
        <v>82</v>
      </c>
      <c r="BE3129" s="2">
        <v>19</v>
      </c>
      <c r="BF3129" s="2" t="s">
        <v>1061</v>
      </c>
      <c r="BG3129" s="2" t="s">
        <v>1242</v>
      </c>
      <c r="BH3129" s="4">
        <v>0.59722222222222221</v>
      </c>
      <c r="BI3129" s="2"/>
      <c r="BJ3129" s="2">
        <v>29</v>
      </c>
      <c r="BK3129" s="2" t="s">
        <v>962</v>
      </c>
      <c r="BL3129" s="2" t="s">
        <v>963</v>
      </c>
      <c r="BM3129" s="2">
        <v>241</v>
      </c>
      <c r="BN3129" s="2" t="s">
        <v>82</v>
      </c>
      <c r="BO3129" s="2" t="s">
        <v>82</v>
      </c>
      <c r="BP3129" s="2">
        <v>13</v>
      </c>
      <c r="BQ3129" s="2" t="s">
        <v>91</v>
      </c>
      <c r="BR3129" s="2" t="s">
        <v>360</v>
      </c>
      <c r="BS3129" s="3">
        <v>40390</v>
      </c>
      <c r="BT3129" s="4">
        <v>0.90255787037037039</v>
      </c>
    </row>
    <row r="3130" spans="1:72" x14ac:dyDescent="0.25">
      <c r="A3130" s="2">
        <v>4629</v>
      </c>
      <c r="B3130" s="2">
        <v>2010</v>
      </c>
      <c r="C3130" s="2" t="s">
        <v>72</v>
      </c>
      <c r="D3130" s="2" t="s">
        <v>122</v>
      </c>
      <c r="E3130" s="2" t="s">
        <v>10204</v>
      </c>
      <c r="F3130" s="2">
        <v>173</v>
      </c>
      <c r="G3130" s="2" t="s">
        <v>9262</v>
      </c>
      <c r="H3130" s="2">
        <v>128</v>
      </c>
      <c r="I3130" s="2" t="s">
        <v>9263</v>
      </c>
      <c r="J3130" s="2">
        <v>611</v>
      </c>
      <c r="K3130" s="2" t="s">
        <v>9264</v>
      </c>
      <c r="L3130" s="2" t="s">
        <v>2393</v>
      </c>
      <c r="M3130" s="3">
        <v>40390</v>
      </c>
      <c r="N3130" s="2" t="s">
        <v>9265</v>
      </c>
      <c r="O3130" s="2"/>
      <c r="P3130" s="2"/>
      <c r="Q3130" s="2" t="str">
        <f>"295-A/10"</f>
        <v>295-A/10</v>
      </c>
      <c r="R3130" s="2" t="s">
        <v>116</v>
      </c>
      <c r="S3130" s="2"/>
      <c r="T3130" s="2">
        <v>1</v>
      </c>
      <c r="U3130" s="2" t="s">
        <v>79</v>
      </c>
      <c r="V3130" s="2">
        <v>1</v>
      </c>
      <c r="W3130" s="2" t="s">
        <v>80</v>
      </c>
      <c r="X3130" s="2">
        <v>12</v>
      </c>
      <c r="Y3130" s="2" t="s">
        <v>148</v>
      </c>
      <c r="Z3130" s="2">
        <v>10</v>
      </c>
      <c r="AA3130" s="2" t="s">
        <v>236</v>
      </c>
      <c r="AB3130" s="2">
        <v>6</v>
      </c>
      <c r="AC3130" s="2" t="s">
        <v>83</v>
      </c>
      <c r="AD3130" s="3">
        <v>40390</v>
      </c>
      <c r="AE3130" s="4">
        <v>0.44444444444444442</v>
      </c>
      <c r="AF3130" s="3">
        <v>40390</v>
      </c>
      <c r="AG3130" s="4">
        <v>0.46527777777777773</v>
      </c>
      <c r="AH3130" s="2">
        <v>2</v>
      </c>
      <c r="AI3130" s="2" t="s">
        <v>84</v>
      </c>
      <c r="AJ3130" s="2">
        <v>12</v>
      </c>
      <c r="AK3130" s="2" t="s">
        <v>85</v>
      </c>
      <c r="AL3130" s="2">
        <v>29</v>
      </c>
      <c r="AM3130" s="2" t="s">
        <v>5416</v>
      </c>
      <c r="AN3130" s="2" t="s">
        <v>6746</v>
      </c>
      <c r="AO3130" s="2"/>
      <c r="AP3130" s="2">
        <v>11</v>
      </c>
      <c r="AQ3130" s="2" t="s">
        <v>82</v>
      </c>
      <c r="AR3130" s="2"/>
      <c r="AS3130" s="2"/>
      <c r="AT3130" s="2" t="s">
        <v>10205</v>
      </c>
      <c r="AU3130" s="2">
        <v>1</v>
      </c>
      <c r="AV3130" s="2"/>
      <c r="AW3130" s="2"/>
      <c r="AX3130" s="2"/>
      <c r="AY3130" s="2">
        <v>41</v>
      </c>
      <c r="AZ3130" s="2" t="s">
        <v>82</v>
      </c>
      <c r="BA3130" s="2">
        <v>41</v>
      </c>
      <c r="BB3130" s="2" t="s">
        <v>82</v>
      </c>
      <c r="BC3130" s="2">
        <v>41</v>
      </c>
      <c r="BD3130" s="2" t="s">
        <v>82</v>
      </c>
      <c r="BE3130" s="2">
        <v>41</v>
      </c>
      <c r="BF3130" s="2" t="s">
        <v>82</v>
      </c>
      <c r="BG3130" s="2"/>
      <c r="BH3130" s="2"/>
      <c r="BI3130" s="2"/>
      <c r="BJ3130" s="2">
        <v>241</v>
      </c>
      <c r="BK3130" s="2" t="s">
        <v>82</v>
      </c>
      <c r="BL3130" s="2"/>
      <c r="BM3130" s="2">
        <v>241</v>
      </c>
      <c r="BN3130" s="2" t="s">
        <v>82</v>
      </c>
      <c r="BO3130" s="2"/>
      <c r="BP3130" s="2">
        <v>241</v>
      </c>
      <c r="BQ3130" s="2" t="s">
        <v>82</v>
      </c>
      <c r="BR3130" s="2"/>
      <c r="BS3130" s="3">
        <v>40390</v>
      </c>
      <c r="BT3130" s="4">
        <v>0.92623842592592587</v>
      </c>
    </row>
    <row r="3131" spans="1:72" x14ac:dyDescent="0.25">
      <c r="A3131" s="2">
        <v>4630</v>
      </c>
      <c r="B3131" s="2">
        <v>2010</v>
      </c>
      <c r="C3131" s="2" t="s">
        <v>72</v>
      </c>
      <c r="D3131" s="2" t="s">
        <v>73</v>
      </c>
      <c r="E3131" s="2"/>
      <c r="F3131" s="2">
        <v>2</v>
      </c>
      <c r="G3131" s="2" t="s">
        <v>113</v>
      </c>
      <c r="H3131" s="2">
        <v>22</v>
      </c>
      <c r="I3131" s="2" t="s">
        <v>75</v>
      </c>
      <c r="J3131" s="2">
        <v>300</v>
      </c>
      <c r="K3131" s="2" t="s">
        <v>114</v>
      </c>
      <c r="L3131" s="2" t="s">
        <v>115</v>
      </c>
      <c r="M3131" s="3">
        <v>40391</v>
      </c>
      <c r="N3131" s="2" t="s">
        <v>82</v>
      </c>
      <c r="O3131" s="2" t="s">
        <v>107</v>
      </c>
      <c r="P3131" s="2" t="s">
        <v>107</v>
      </c>
      <c r="Q3131" s="2" t="str">
        <f>"392-10"</f>
        <v>392-10</v>
      </c>
      <c r="R3131" s="2" t="s">
        <v>107</v>
      </c>
      <c r="S3131" s="2" t="s">
        <v>601</v>
      </c>
      <c r="T3131" s="2">
        <v>1</v>
      </c>
      <c r="U3131" s="2" t="s">
        <v>79</v>
      </c>
      <c r="V3131" s="2">
        <v>1</v>
      </c>
      <c r="W3131" s="2" t="s">
        <v>80</v>
      </c>
      <c r="X3131" s="2">
        <v>12</v>
      </c>
      <c r="Y3131" s="2" t="s">
        <v>148</v>
      </c>
      <c r="Z3131" s="2">
        <v>1</v>
      </c>
      <c r="AA3131" s="2" t="s">
        <v>82</v>
      </c>
      <c r="AB3131" s="2">
        <v>6</v>
      </c>
      <c r="AC3131" s="2" t="s">
        <v>83</v>
      </c>
      <c r="AD3131" s="2"/>
      <c r="AE3131" s="2"/>
      <c r="AF3131" s="3">
        <v>40391</v>
      </c>
      <c r="AG3131" s="4">
        <v>4.1666666666666664E-2</v>
      </c>
      <c r="AH3131" s="2">
        <v>2</v>
      </c>
      <c r="AI3131" s="2" t="s">
        <v>84</v>
      </c>
      <c r="AJ3131" s="2">
        <v>9</v>
      </c>
      <c r="AK3131" s="2" t="s">
        <v>103</v>
      </c>
      <c r="AL3131" s="2">
        <v>25</v>
      </c>
      <c r="AM3131" s="2" t="s">
        <v>3073</v>
      </c>
      <c r="AN3131" s="2" t="s">
        <v>10206</v>
      </c>
      <c r="AO3131" s="2" t="s">
        <v>10207</v>
      </c>
      <c r="AP3131" s="2">
        <v>11</v>
      </c>
      <c r="AQ3131" s="2" t="s">
        <v>82</v>
      </c>
      <c r="AR3131" s="2"/>
      <c r="AS3131" s="2"/>
      <c r="AT3131" s="2" t="s">
        <v>10208</v>
      </c>
      <c r="AU3131" s="2"/>
      <c r="AV3131" s="2"/>
      <c r="AW3131" s="2"/>
      <c r="AX3131" s="2"/>
      <c r="AY3131" s="2">
        <v>41</v>
      </c>
      <c r="AZ3131" s="2" t="s">
        <v>82</v>
      </c>
      <c r="BA3131" s="2">
        <v>41</v>
      </c>
      <c r="BB3131" s="2" t="s">
        <v>82</v>
      </c>
      <c r="BC3131" s="2">
        <v>41</v>
      </c>
      <c r="BD3131" s="2" t="s">
        <v>82</v>
      </c>
      <c r="BE3131" s="2">
        <v>41</v>
      </c>
      <c r="BF3131" s="2" t="s">
        <v>82</v>
      </c>
      <c r="BG3131" s="2"/>
      <c r="BH3131" s="2"/>
      <c r="BI3131" s="2"/>
      <c r="BJ3131" s="2">
        <v>241</v>
      </c>
      <c r="BK3131" s="2" t="s">
        <v>82</v>
      </c>
      <c r="BL3131" s="2"/>
      <c r="BM3131" s="2">
        <v>241</v>
      </c>
      <c r="BN3131" s="2" t="s">
        <v>82</v>
      </c>
      <c r="BO3131" s="2"/>
      <c r="BP3131" s="2">
        <v>241</v>
      </c>
      <c r="BQ3131" s="2" t="s">
        <v>82</v>
      </c>
      <c r="BR3131" s="2"/>
      <c r="BS3131" s="3">
        <v>40391</v>
      </c>
      <c r="BT3131" s="4">
        <v>0.11747685185185186</v>
      </c>
    </row>
    <row r="3132" spans="1:72" x14ac:dyDescent="0.25">
      <c r="A3132" s="2">
        <v>4631</v>
      </c>
      <c r="B3132" s="2">
        <v>2010</v>
      </c>
      <c r="C3132" s="2" t="s">
        <v>72</v>
      </c>
      <c r="D3132" s="2" t="s">
        <v>73</v>
      </c>
      <c r="E3132" s="2"/>
      <c r="F3132" s="2">
        <v>389</v>
      </c>
      <c r="G3132" s="2" t="s">
        <v>1819</v>
      </c>
      <c r="H3132" s="2">
        <v>3</v>
      </c>
      <c r="I3132" s="2" t="s">
        <v>315</v>
      </c>
      <c r="J3132" s="2">
        <v>399</v>
      </c>
      <c r="K3132" s="2" t="s">
        <v>1820</v>
      </c>
      <c r="L3132" s="2" t="s">
        <v>1821</v>
      </c>
      <c r="M3132" s="3">
        <v>40391</v>
      </c>
      <c r="N3132" s="2" t="s">
        <v>2401</v>
      </c>
      <c r="O3132" s="2" t="s">
        <v>107</v>
      </c>
      <c r="P3132" s="2"/>
      <c r="Q3132" s="2" t="str">
        <f>"393-E/10"</f>
        <v>393-E/10</v>
      </c>
      <c r="R3132" s="2" t="s">
        <v>116</v>
      </c>
      <c r="S3132" s="2" t="s">
        <v>116</v>
      </c>
      <c r="T3132" s="2">
        <v>1</v>
      </c>
      <c r="U3132" s="2" t="s">
        <v>79</v>
      </c>
      <c r="V3132" s="2">
        <v>1</v>
      </c>
      <c r="W3132" s="2" t="s">
        <v>80</v>
      </c>
      <c r="X3132" s="2">
        <v>12</v>
      </c>
      <c r="Y3132" s="2" t="s">
        <v>148</v>
      </c>
      <c r="Z3132" s="2">
        <v>1</v>
      </c>
      <c r="AA3132" s="2" t="s">
        <v>82</v>
      </c>
      <c r="AB3132" s="2">
        <v>6</v>
      </c>
      <c r="AC3132" s="2" t="s">
        <v>83</v>
      </c>
      <c r="AD3132" s="3">
        <v>40391</v>
      </c>
      <c r="AE3132" s="2"/>
      <c r="AF3132" s="3">
        <v>40391</v>
      </c>
      <c r="AG3132" s="4">
        <v>0.25</v>
      </c>
      <c r="AH3132" s="2">
        <v>2</v>
      </c>
      <c r="AI3132" s="2" t="s">
        <v>84</v>
      </c>
      <c r="AJ3132" s="2">
        <v>9</v>
      </c>
      <c r="AK3132" s="2" t="s">
        <v>103</v>
      </c>
      <c r="AL3132" s="2">
        <v>15</v>
      </c>
      <c r="AM3132" s="2" t="s">
        <v>104</v>
      </c>
      <c r="AN3132" s="2" t="s">
        <v>107</v>
      </c>
      <c r="AO3132" s="2" t="s">
        <v>10209</v>
      </c>
      <c r="AP3132" s="2">
        <v>11</v>
      </c>
      <c r="AQ3132" s="2" t="s">
        <v>82</v>
      </c>
      <c r="AR3132" s="2"/>
      <c r="AS3132" s="2"/>
      <c r="AT3132" s="2" t="s">
        <v>10210</v>
      </c>
      <c r="AU3132" s="2"/>
      <c r="AV3132" s="2"/>
      <c r="AW3132" s="2"/>
      <c r="AX3132" s="2"/>
      <c r="AY3132" s="2">
        <v>41</v>
      </c>
      <c r="AZ3132" s="2" t="s">
        <v>82</v>
      </c>
      <c r="BA3132" s="2">
        <v>41</v>
      </c>
      <c r="BB3132" s="2" t="s">
        <v>82</v>
      </c>
      <c r="BC3132" s="2">
        <v>41</v>
      </c>
      <c r="BD3132" s="2" t="s">
        <v>82</v>
      </c>
      <c r="BE3132" s="2">
        <v>41</v>
      </c>
      <c r="BF3132" s="2" t="s">
        <v>82</v>
      </c>
      <c r="BG3132" s="2"/>
      <c r="BH3132" s="2"/>
      <c r="BI3132" s="2"/>
      <c r="BJ3132" s="2">
        <v>241</v>
      </c>
      <c r="BK3132" s="2" t="s">
        <v>82</v>
      </c>
      <c r="BL3132" s="2"/>
      <c r="BM3132" s="2">
        <v>241</v>
      </c>
      <c r="BN3132" s="2" t="s">
        <v>82</v>
      </c>
      <c r="BO3132" s="2" t="s">
        <v>82</v>
      </c>
      <c r="BP3132" s="2">
        <v>241</v>
      </c>
      <c r="BQ3132" s="2" t="s">
        <v>82</v>
      </c>
      <c r="BR3132" s="2"/>
      <c r="BS3132" s="3">
        <v>40391</v>
      </c>
      <c r="BT3132" s="4">
        <v>0.32197916666666665</v>
      </c>
    </row>
    <row r="3133" spans="1:72" x14ac:dyDescent="0.25">
      <c r="A3133" s="2">
        <v>4633</v>
      </c>
      <c r="B3133" s="2">
        <v>2010</v>
      </c>
      <c r="C3133" s="2" t="s">
        <v>121</v>
      </c>
      <c r="D3133" s="2" t="s">
        <v>122</v>
      </c>
      <c r="E3133" s="2"/>
      <c r="F3133" s="2">
        <v>1</v>
      </c>
      <c r="G3133" s="2" t="s">
        <v>82</v>
      </c>
      <c r="H3133" s="2">
        <v>1</v>
      </c>
      <c r="I3133" s="2" t="s">
        <v>82</v>
      </c>
      <c r="J3133" s="2">
        <v>1</v>
      </c>
      <c r="K3133" s="2" t="s">
        <v>107</v>
      </c>
      <c r="L3133" s="2" t="s">
        <v>107</v>
      </c>
      <c r="M3133" s="3">
        <v>40391</v>
      </c>
      <c r="N3133" s="2" t="s">
        <v>82</v>
      </c>
      <c r="O3133" s="2" t="s">
        <v>82</v>
      </c>
      <c r="P3133" s="2" t="s">
        <v>82</v>
      </c>
      <c r="Q3133" s="2" t="str">
        <f>"N/C"</f>
        <v>N/C</v>
      </c>
      <c r="R3133" s="2" t="s">
        <v>82</v>
      </c>
      <c r="S3133" s="2" t="s">
        <v>82</v>
      </c>
      <c r="T3133" s="2">
        <v>2</v>
      </c>
      <c r="U3133" s="2" t="s">
        <v>123</v>
      </c>
      <c r="V3133" s="2">
        <v>1</v>
      </c>
      <c r="W3133" s="2" t="s">
        <v>80</v>
      </c>
      <c r="X3133" s="2">
        <v>11</v>
      </c>
      <c r="Y3133" s="2" t="s">
        <v>1920</v>
      </c>
      <c r="Z3133" s="2">
        <v>10</v>
      </c>
      <c r="AA3133" s="2" t="s">
        <v>236</v>
      </c>
      <c r="AB3133" s="2">
        <v>9</v>
      </c>
      <c r="AC3133" s="2" t="s">
        <v>124</v>
      </c>
      <c r="AD3133" s="3">
        <v>40391</v>
      </c>
      <c r="AE3133" s="4">
        <v>0.45833333333333331</v>
      </c>
      <c r="AF3133" s="2"/>
      <c r="AG3133" s="2"/>
      <c r="AH3133" s="2">
        <v>2</v>
      </c>
      <c r="AI3133" s="2" t="s">
        <v>84</v>
      </c>
      <c r="AJ3133" s="2">
        <v>12</v>
      </c>
      <c r="AK3133" s="2" t="s">
        <v>85</v>
      </c>
      <c r="AL3133" s="2">
        <v>10</v>
      </c>
      <c r="AM3133" s="2" t="s">
        <v>200</v>
      </c>
      <c r="AN3133" s="2" t="s">
        <v>7295</v>
      </c>
      <c r="AO3133" s="2" t="s">
        <v>10211</v>
      </c>
      <c r="AP3133" s="2">
        <v>11</v>
      </c>
      <c r="AQ3133" s="2" t="s">
        <v>82</v>
      </c>
      <c r="AR3133" s="2"/>
      <c r="AS3133" s="2"/>
      <c r="AT3133" s="2" t="s">
        <v>10212</v>
      </c>
      <c r="AU3133" s="2"/>
      <c r="AV3133" s="2"/>
      <c r="AW3133" s="2"/>
      <c r="AX3133" s="2"/>
      <c r="AY3133" s="2">
        <v>41</v>
      </c>
      <c r="AZ3133" s="2" t="s">
        <v>82</v>
      </c>
      <c r="BA3133" s="2">
        <v>41</v>
      </c>
      <c r="BB3133" s="2" t="s">
        <v>82</v>
      </c>
      <c r="BC3133" s="2">
        <v>41</v>
      </c>
      <c r="BD3133" s="2" t="s">
        <v>82</v>
      </c>
      <c r="BE3133" s="2">
        <v>13</v>
      </c>
      <c r="BF3133" s="2" t="s">
        <v>108</v>
      </c>
      <c r="BG3133" s="2" t="s">
        <v>10213</v>
      </c>
      <c r="BH3133" s="4">
        <v>0.46319444444444446</v>
      </c>
      <c r="BI3133" s="4">
        <v>0.36180555555555555</v>
      </c>
      <c r="BJ3133" s="2">
        <v>172</v>
      </c>
      <c r="BK3133" s="2" t="s">
        <v>843</v>
      </c>
      <c r="BL3133" s="2" t="s">
        <v>844</v>
      </c>
      <c r="BM3133" s="2">
        <v>241</v>
      </c>
      <c r="BN3133" s="2" t="s">
        <v>82</v>
      </c>
      <c r="BO3133" s="2"/>
      <c r="BP3133" s="2">
        <v>13</v>
      </c>
      <c r="BQ3133" s="2" t="s">
        <v>91</v>
      </c>
      <c r="BR3133" s="2" t="s">
        <v>185</v>
      </c>
      <c r="BS3133" s="3">
        <v>40391</v>
      </c>
      <c r="BT3133" s="4">
        <v>0.52521990740740743</v>
      </c>
    </row>
    <row r="3134" spans="1:72" x14ac:dyDescent="0.25">
      <c r="A3134" s="2">
        <v>4634</v>
      </c>
      <c r="B3134" s="2">
        <v>2010</v>
      </c>
      <c r="C3134" s="2" t="s">
        <v>121</v>
      </c>
      <c r="D3134" s="2" t="s">
        <v>122</v>
      </c>
      <c r="E3134" s="2"/>
      <c r="F3134" s="2">
        <v>1</v>
      </c>
      <c r="G3134" s="2" t="s">
        <v>82</v>
      </c>
      <c r="H3134" s="2">
        <v>1</v>
      </c>
      <c r="I3134" s="2" t="s">
        <v>82</v>
      </c>
      <c r="J3134" s="2">
        <v>1</v>
      </c>
      <c r="K3134" s="2" t="s">
        <v>107</v>
      </c>
      <c r="L3134" s="2" t="s">
        <v>107</v>
      </c>
      <c r="M3134" s="3">
        <v>40391</v>
      </c>
      <c r="N3134" s="2" t="s">
        <v>82</v>
      </c>
      <c r="O3134" s="2" t="s">
        <v>82</v>
      </c>
      <c r="P3134" s="2" t="s">
        <v>82</v>
      </c>
      <c r="Q3134" s="2" t="str">
        <f>"N/C"</f>
        <v>N/C</v>
      </c>
      <c r="R3134" s="2" t="s">
        <v>82</v>
      </c>
      <c r="S3134" s="2" t="s">
        <v>82</v>
      </c>
      <c r="T3134" s="2">
        <v>2</v>
      </c>
      <c r="U3134" s="2" t="s">
        <v>123</v>
      </c>
      <c r="V3134" s="2">
        <v>1</v>
      </c>
      <c r="W3134" s="2" t="s">
        <v>80</v>
      </c>
      <c r="X3134" s="2">
        <v>11</v>
      </c>
      <c r="Y3134" s="2" t="s">
        <v>1920</v>
      </c>
      <c r="Z3134" s="2">
        <v>10</v>
      </c>
      <c r="AA3134" s="2" t="s">
        <v>236</v>
      </c>
      <c r="AB3134" s="2">
        <v>9</v>
      </c>
      <c r="AC3134" s="2" t="s">
        <v>124</v>
      </c>
      <c r="AD3134" s="3">
        <v>40391</v>
      </c>
      <c r="AE3134" s="4">
        <v>0.53472222222222221</v>
      </c>
      <c r="AF3134" s="2"/>
      <c r="AG3134" s="2"/>
      <c r="AH3134" s="2">
        <v>2</v>
      </c>
      <c r="AI3134" s="2" t="s">
        <v>84</v>
      </c>
      <c r="AJ3134" s="2">
        <v>12</v>
      </c>
      <c r="AK3134" s="2" t="s">
        <v>85</v>
      </c>
      <c r="AL3134" s="2">
        <v>10</v>
      </c>
      <c r="AM3134" s="2" t="s">
        <v>200</v>
      </c>
      <c r="AN3134" s="2" t="s">
        <v>7295</v>
      </c>
      <c r="AO3134" s="2" t="s">
        <v>10214</v>
      </c>
      <c r="AP3134" s="2">
        <v>11</v>
      </c>
      <c r="AQ3134" s="2" t="s">
        <v>82</v>
      </c>
      <c r="AR3134" s="2"/>
      <c r="AS3134" s="2"/>
      <c r="AT3134" s="2" t="s">
        <v>10215</v>
      </c>
      <c r="AU3134" s="2"/>
      <c r="AV3134" s="2"/>
      <c r="AW3134" s="2"/>
      <c r="AX3134" s="2"/>
      <c r="AY3134" s="2">
        <v>41</v>
      </c>
      <c r="AZ3134" s="2" t="s">
        <v>82</v>
      </c>
      <c r="BA3134" s="2">
        <v>41</v>
      </c>
      <c r="BB3134" s="2" t="s">
        <v>82</v>
      </c>
      <c r="BC3134" s="2">
        <v>41</v>
      </c>
      <c r="BD3134" s="2" t="s">
        <v>82</v>
      </c>
      <c r="BE3134" s="2">
        <v>10</v>
      </c>
      <c r="BF3134" s="2" t="s">
        <v>901</v>
      </c>
      <c r="BG3134" s="2" t="s">
        <v>7377</v>
      </c>
      <c r="BH3134" s="4">
        <v>0.55347222222222225</v>
      </c>
      <c r="BI3134" s="4">
        <v>0.52500000000000002</v>
      </c>
      <c r="BJ3134" s="2">
        <v>229</v>
      </c>
      <c r="BK3134" s="2" t="s">
        <v>300</v>
      </c>
      <c r="BL3134" s="2" t="s">
        <v>573</v>
      </c>
      <c r="BM3134" s="2">
        <v>241</v>
      </c>
      <c r="BN3134" s="2" t="s">
        <v>82</v>
      </c>
      <c r="BO3134" s="2"/>
      <c r="BP3134" s="2">
        <v>13</v>
      </c>
      <c r="BQ3134" s="2" t="s">
        <v>91</v>
      </c>
      <c r="BR3134" s="2" t="s">
        <v>185</v>
      </c>
      <c r="BS3134" s="3">
        <v>40391</v>
      </c>
      <c r="BT3134" s="4">
        <v>0.59809027777777779</v>
      </c>
    </row>
    <row r="3135" spans="1:72" x14ac:dyDescent="0.25">
      <c r="A3135" s="2">
        <v>4635</v>
      </c>
      <c r="B3135" s="2">
        <v>2010</v>
      </c>
      <c r="C3135" s="2" t="s">
        <v>196</v>
      </c>
      <c r="D3135" s="2" t="s">
        <v>122</v>
      </c>
      <c r="E3135" s="2"/>
      <c r="F3135" s="2">
        <v>1</v>
      </c>
      <c r="G3135" s="2" t="s">
        <v>82</v>
      </c>
      <c r="H3135" s="2">
        <v>1</v>
      </c>
      <c r="I3135" s="2" t="s">
        <v>82</v>
      </c>
      <c r="J3135" s="2">
        <v>1</v>
      </c>
      <c r="K3135" s="2" t="s">
        <v>107</v>
      </c>
      <c r="L3135" s="2" t="s">
        <v>107</v>
      </c>
      <c r="M3135" s="3">
        <v>40391</v>
      </c>
      <c r="N3135" s="2"/>
      <c r="O3135" s="2"/>
      <c r="P3135" s="2"/>
      <c r="Q3135" s="2" t="str">
        <f>""</f>
        <v/>
      </c>
      <c r="R3135" s="2"/>
      <c r="S3135" s="2"/>
      <c r="T3135" s="2">
        <v>2</v>
      </c>
      <c r="U3135" s="2" t="s">
        <v>123</v>
      </c>
      <c r="V3135" s="2">
        <v>1</v>
      </c>
      <c r="W3135" s="2" t="s">
        <v>80</v>
      </c>
      <c r="X3135" s="2">
        <v>5</v>
      </c>
      <c r="Y3135" s="2" t="s">
        <v>82</v>
      </c>
      <c r="Z3135" s="2">
        <v>1</v>
      </c>
      <c r="AA3135" s="2" t="s">
        <v>82</v>
      </c>
      <c r="AB3135" s="2">
        <v>9</v>
      </c>
      <c r="AC3135" s="2" t="s">
        <v>124</v>
      </c>
      <c r="AD3135" s="2"/>
      <c r="AE3135" s="2"/>
      <c r="AF3135" s="2"/>
      <c r="AG3135" s="2"/>
      <c r="AH3135" s="2">
        <v>6</v>
      </c>
      <c r="AI3135" s="2" t="s">
        <v>197</v>
      </c>
      <c r="AJ3135" s="2">
        <v>58</v>
      </c>
      <c r="AK3135" s="2" t="s">
        <v>406</v>
      </c>
      <c r="AL3135" s="2">
        <v>9</v>
      </c>
      <c r="AM3135" s="2" t="s">
        <v>259</v>
      </c>
      <c r="AN3135" s="2" t="s">
        <v>230</v>
      </c>
      <c r="AO3135" s="2" t="s">
        <v>10216</v>
      </c>
      <c r="AP3135" s="2">
        <v>11</v>
      </c>
      <c r="AQ3135" s="2" t="s">
        <v>82</v>
      </c>
      <c r="AR3135" s="2"/>
      <c r="AS3135" s="2"/>
      <c r="AT3135" s="2" t="s">
        <v>10217</v>
      </c>
      <c r="AU3135" s="2"/>
      <c r="AV3135" s="2"/>
      <c r="AW3135" s="2"/>
      <c r="AX3135" s="2"/>
      <c r="AY3135" s="2">
        <v>41</v>
      </c>
      <c r="AZ3135" s="2" t="s">
        <v>82</v>
      </c>
      <c r="BA3135" s="2">
        <v>41</v>
      </c>
      <c r="BB3135" s="2" t="s">
        <v>82</v>
      </c>
      <c r="BC3135" s="2">
        <v>41</v>
      </c>
      <c r="BD3135" s="2" t="s">
        <v>82</v>
      </c>
      <c r="BE3135" s="2">
        <v>41</v>
      </c>
      <c r="BF3135" s="2" t="s">
        <v>82</v>
      </c>
      <c r="BG3135" s="2" t="s">
        <v>3783</v>
      </c>
      <c r="BH3135" s="2"/>
      <c r="BI3135" s="4">
        <v>0.61805555555555558</v>
      </c>
      <c r="BJ3135" s="2">
        <v>13</v>
      </c>
      <c r="BK3135" s="2" t="s">
        <v>91</v>
      </c>
      <c r="BL3135" s="2" t="s">
        <v>492</v>
      </c>
      <c r="BM3135" s="2">
        <v>241</v>
      </c>
      <c r="BN3135" s="2" t="s">
        <v>82</v>
      </c>
      <c r="BO3135" s="2" t="s">
        <v>82</v>
      </c>
      <c r="BP3135" s="2">
        <v>13</v>
      </c>
      <c r="BQ3135" s="2" t="s">
        <v>91</v>
      </c>
      <c r="BR3135" s="2" t="s">
        <v>204</v>
      </c>
      <c r="BS3135" s="3">
        <v>40391</v>
      </c>
      <c r="BT3135" s="4">
        <v>0.62422453703703706</v>
      </c>
    </row>
    <row r="3136" spans="1:72" x14ac:dyDescent="0.25">
      <c r="A3136" s="2">
        <v>4636</v>
      </c>
      <c r="B3136" s="2">
        <v>2010</v>
      </c>
      <c r="C3136" s="2" t="s">
        <v>196</v>
      </c>
      <c r="D3136" s="2" t="s">
        <v>122</v>
      </c>
      <c r="E3136" s="2"/>
      <c r="F3136" s="2">
        <v>1</v>
      </c>
      <c r="G3136" s="2" t="s">
        <v>82</v>
      </c>
      <c r="H3136" s="2">
        <v>1</v>
      </c>
      <c r="I3136" s="2" t="s">
        <v>82</v>
      </c>
      <c r="J3136" s="2">
        <v>1</v>
      </c>
      <c r="K3136" s="2" t="s">
        <v>107</v>
      </c>
      <c r="L3136" s="2" t="s">
        <v>107</v>
      </c>
      <c r="M3136" s="3">
        <v>40391</v>
      </c>
      <c r="N3136" s="2"/>
      <c r="O3136" s="2"/>
      <c r="P3136" s="2"/>
      <c r="Q3136" s="2" t="str">
        <f>""</f>
        <v/>
      </c>
      <c r="R3136" s="2"/>
      <c r="S3136" s="2"/>
      <c r="T3136" s="2">
        <v>2</v>
      </c>
      <c r="U3136" s="2" t="s">
        <v>123</v>
      </c>
      <c r="V3136" s="2">
        <v>1</v>
      </c>
      <c r="W3136" s="2" t="s">
        <v>80</v>
      </c>
      <c r="X3136" s="2">
        <v>5</v>
      </c>
      <c r="Y3136" s="2" t="s">
        <v>82</v>
      </c>
      <c r="Z3136" s="2">
        <v>1</v>
      </c>
      <c r="AA3136" s="2" t="s">
        <v>82</v>
      </c>
      <c r="AB3136" s="2">
        <v>9</v>
      </c>
      <c r="AC3136" s="2" t="s">
        <v>124</v>
      </c>
      <c r="AD3136" s="3">
        <v>40391</v>
      </c>
      <c r="AE3136" s="4">
        <v>0.63194444444444442</v>
      </c>
      <c r="AF3136" s="2"/>
      <c r="AG3136" s="2"/>
      <c r="AH3136" s="2">
        <v>6</v>
      </c>
      <c r="AI3136" s="2" t="s">
        <v>197</v>
      </c>
      <c r="AJ3136" s="2">
        <v>59</v>
      </c>
      <c r="AK3136" s="2" t="s">
        <v>198</v>
      </c>
      <c r="AL3136" s="2">
        <v>18</v>
      </c>
      <c r="AM3136" s="2" t="s">
        <v>82</v>
      </c>
      <c r="AN3136" s="2" t="s">
        <v>259</v>
      </c>
      <c r="AO3136" s="2" t="s">
        <v>230</v>
      </c>
      <c r="AP3136" s="2">
        <v>11</v>
      </c>
      <c r="AQ3136" s="2" t="s">
        <v>82</v>
      </c>
      <c r="AR3136" s="2"/>
      <c r="AS3136" s="2"/>
      <c r="AT3136" s="2" t="s">
        <v>10218</v>
      </c>
      <c r="AU3136" s="2"/>
      <c r="AV3136" s="2"/>
      <c r="AW3136" s="2"/>
      <c r="AX3136" s="2"/>
      <c r="AY3136" s="2">
        <v>1</v>
      </c>
      <c r="AZ3136" s="2" t="s">
        <v>107</v>
      </c>
      <c r="BA3136" s="2">
        <v>1</v>
      </c>
      <c r="BB3136" s="2" t="s">
        <v>107</v>
      </c>
      <c r="BC3136" s="2">
        <v>1</v>
      </c>
      <c r="BD3136" s="2" t="s">
        <v>107</v>
      </c>
      <c r="BE3136" s="2">
        <v>1</v>
      </c>
      <c r="BF3136" s="2" t="s">
        <v>107</v>
      </c>
      <c r="BG3136" s="2"/>
      <c r="BH3136" s="2"/>
      <c r="BI3136" s="4">
        <v>0.63194444444444442</v>
      </c>
      <c r="BJ3136" s="2">
        <v>13</v>
      </c>
      <c r="BK3136" s="2" t="s">
        <v>91</v>
      </c>
      <c r="BL3136" s="2" t="s">
        <v>204</v>
      </c>
      <c r="BM3136" s="2">
        <v>241</v>
      </c>
      <c r="BN3136" s="2" t="s">
        <v>82</v>
      </c>
      <c r="BO3136" s="2"/>
      <c r="BP3136" s="2">
        <v>13</v>
      </c>
      <c r="BQ3136" s="2" t="s">
        <v>91</v>
      </c>
      <c r="BR3136" s="2" t="s">
        <v>185</v>
      </c>
      <c r="BS3136" s="3">
        <v>40391</v>
      </c>
      <c r="BT3136" s="4">
        <v>0.64115740740740745</v>
      </c>
    </row>
    <row r="3137" spans="1:72" x14ac:dyDescent="0.25">
      <c r="A3137" s="2">
        <v>4638</v>
      </c>
      <c r="B3137" s="2">
        <v>2010</v>
      </c>
      <c r="C3137" s="2" t="s">
        <v>764</v>
      </c>
      <c r="D3137" s="2" t="s">
        <v>73</v>
      </c>
      <c r="E3137" s="2"/>
      <c r="F3137" s="2">
        <v>156</v>
      </c>
      <c r="G3137" s="2" t="s">
        <v>1875</v>
      </c>
      <c r="H3137" s="2">
        <v>12</v>
      </c>
      <c r="I3137" s="2" t="s">
        <v>95</v>
      </c>
      <c r="J3137" s="2">
        <v>168</v>
      </c>
      <c r="K3137" s="2" t="s">
        <v>1876</v>
      </c>
      <c r="L3137" s="2" t="s">
        <v>1877</v>
      </c>
      <c r="M3137" s="3">
        <v>40391</v>
      </c>
      <c r="N3137" s="2" t="s">
        <v>10219</v>
      </c>
      <c r="O3137" s="2" t="s">
        <v>107</v>
      </c>
      <c r="P3137" s="2" t="s">
        <v>107</v>
      </c>
      <c r="Q3137" s="2" t="str">
        <f>"296-A/10"</f>
        <v>296-A/10</v>
      </c>
      <c r="R3137" s="2" t="s">
        <v>10220</v>
      </c>
      <c r="S3137" s="2"/>
      <c r="T3137" s="2">
        <v>1</v>
      </c>
      <c r="U3137" s="2" t="s">
        <v>79</v>
      </c>
      <c r="V3137" s="2">
        <v>1</v>
      </c>
      <c r="W3137" s="2" t="s">
        <v>80</v>
      </c>
      <c r="X3137" s="2">
        <v>1</v>
      </c>
      <c r="Y3137" s="2" t="s">
        <v>81</v>
      </c>
      <c r="Z3137" s="2">
        <v>1</v>
      </c>
      <c r="AA3137" s="2" t="s">
        <v>82</v>
      </c>
      <c r="AB3137" s="2">
        <v>9</v>
      </c>
      <c r="AC3137" s="2" t="s">
        <v>124</v>
      </c>
      <c r="AD3137" s="3">
        <v>40391</v>
      </c>
      <c r="AE3137" s="4">
        <v>0.31944444444444448</v>
      </c>
      <c r="AF3137" s="2"/>
      <c r="AG3137" s="2"/>
      <c r="AH3137" s="2">
        <v>2</v>
      </c>
      <c r="AI3137" s="2" t="s">
        <v>84</v>
      </c>
      <c r="AJ3137" s="2">
        <v>12</v>
      </c>
      <c r="AK3137" s="2" t="s">
        <v>85</v>
      </c>
      <c r="AL3137" s="2">
        <v>25</v>
      </c>
      <c r="AM3137" s="2" t="s">
        <v>3073</v>
      </c>
      <c r="AN3137" s="2" t="s">
        <v>10221</v>
      </c>
      <c r="AO3137" s="2" t="s">
        <v>10222</v>
      </c>
      <c r="AP3137" s="2">
        <v>11</v>
      </c>
      <c r="AQ3137" s="2" t="s">
        <v>82</v>
      </c>
      <c r="AR3137" s="2"/>
      <c r="AS3137" s="2"/>
      <c r="AT3137" s="2" t="s">
        <v>10223</v>
      </c>
      <c r="AU3137" s="2">
        <v>1</v>
      </c>
      <c r="AV3137" s="2"/>
      <c r="AW3137" s="2"/>
      <c r="AX3137" s="2"/>
      <c r="AY3137" s="2">
        <v>41</v>
      </c>
      <c r="AZ3137" s="2" t="s">
        <v>82</v>
      </c>
      <c r="BA3137" s="2">
        <v>41</v>
      </c>
      <c r="BB3137" s="2" t="s">
        <v>82</v>
      </c>
      <c r="BC3137" s="2">
        <v>41</v>
      </c>
      <c r="BD3137" s="2" t="s">
        <v>82</v>
      </c>
      <c r="BE3137" s="2">
        <v>41</v>
      </c>
      <c r="BF3137" s="2" t="s">
        <v>82</v>
      </c>
      <c r="BG3137" s="2"/>
      <c r="BH3137" s="2"/>
      <c r="BI3137" s="2"/>
      <c r="BJ3137" s="2">
        <v>241</v>
      </c>
      <c r="BK3137" s="2" t="s">
        <v>82</v>
      </c>
      <c r="BL3137" s="2"/>
      <c r="BM3137" s="2">
        <v>241</v>
      </c>
      <c r="BN3137" s="2" t="s">
        <v>82</v>
      </c>
      <c r="BO3137" s="2"/>
      <c r="BP3137" s="2">
        <v>241</v>
      </c>
      <c r="BQ3137" s="2" t="s">
        <v>82</v>
      </c>
      <c r="BR3137" s="2"/>
      <c r="BS3137" s="3">
        <v>40391</v>
      </c>
      <c r="BT3137" s="4">
        <v>0.66530092592592593</v>
      </c>
    </row>
    <row r="3138" spans="1:72" x14ac:dyDescent="0.25">
      <c r="A3138" s="2">
        <v>4639</v>
      </c>
      <c r="B3138" s="2">
        <v>2010</v>
      </c>
      <c r="C3138" s="2" t="s">
        <v>72</v>
      </c>
      <c r="D3138" s="2" t="s">
        <v>73</v>
      </c>
      <c r="E3138" s="2"/>
      <c r="F3138" s="2">
        <v>24</v>
      </c>
      <c r="G3138" s="2" t="s">
        <v>532</v>
      </c>
      <c r="H3138" s="2">
        <v>42</v>
      </c>
      <c r="I3138" s="2" t="s">
        <v>1096</v>
      </c>
      <c r="J3138" s="2">
        <v>300</v>
      </c>
      <c r="K3138" s="2" t="s">
        <v>114</v>
      </c>
      <c r="L3138" s="2" t="s">
        <v>115</v>
      </c>
      <c r="M3138" s="3">
        <v>40391</v>
      </c>
      <c r="N3138" s="2"/>
      <c r="O3138" s="2"/>
      <c r="P3138" s="2"/>
      <c r="Q3138" s="2" t="str">
        <f>"394-E/10"</f>
        <v>394-E/10</v>
      </c>
      <c r="R3138" s="2" t="s">
        <v>116</v>
      </c>
      <c r="S3138" s="2" t="s">
        <v>116</v>
      </c>
      <c r="T3138" s="2">
        <v>1</v>
      </c>
      <c r="U3138" s="2" t="s">
        <v>79</v>
      </c>
      <c r="V3138" s="2">
        <v>1</v>
      </c>
      <c r="W3138" s="2" t="s">
        <v>80</v>
      </c>
      <c r="X3138" s="2">
        <v>12</v>
      </c>
      <c r="Y3138" s="2" t="s">
        <v>148</v>
      </c>
      <c r="Z3138" s="2">
        <v>1</v>
      </c>
      <c r="AA3138" s="2" t="s">
        <v>82</v>
      </c>
      <c r="AB3138" s="2">
        <v>6</v>
      </c>
      <c r="AC3138" s="2" t="s">
        <v>83</v>
      </c>
      <c r="AD3138" s="3">
        <v>40391</v>
      </c>
      <c r="AE3138" s="2"/>
      <c r="AF3138" s="3">
        <v>40391</v>
      </c>
      <c r="AG3138" s="4">
        <v>0.61458333333333337</v>
      </c>
      <c r="AH3138" s="2">
        <v>2</v>
      </c>
      <c r="AI3138" s="2" t="s">
        <v>84</v>
      </c>
      <c r="AJ3138" s="2">
        <v>9</v>
      </c>
      <c r="AK3138" s="2" t="s">
        <v>103</v>
      </c>
      <c r="AL3138" s="2">
        <v>17</v>
      </c>
      <c r="AM3138" s="2" t="s">
        <v>232</v>
      </c>
      <c r="AN3138" s="2" t="s">
        <v>10224</v>
      </c>
      <c r="AO3138" s="2" t="s">
        <v>10225</v>
      </c>
      <c r="AP3138" s="2">
        <v>11</v>
      </c>
      <c r="AQ3138" s="2" t="s">
        <v>82</v>
      </c>
      <c r="AR3138" s="2"/>
      <c r="AS3138" s="2"/>
      <c r="AT3138" s="2" t="s">
        <v>10226</v>
      </c>
      <c r="AU3138" s="2"/>
      <c r="AV3138" s="2"/>
      <c r="AW3138" s="2"/>
      <c r="AX3138" s="2"/>
      <c r="AY3138" s="2">
        <v>41</v>
      </c>
      <c r="AZ3138" s="2" t="s">
        <v>82</v>
      </c>
      <c r="BA3138" s="2">
        <v>41</v>
      </c>
      <c r="BB3138" s="2" t="s">
        <v>82</v>
      </c>
      <c r="BC3138" s="2">
        <v>41</v>
      </c>
      <c r="BD3138" s="2" t="s">
        <v>82</v>
      </c>
      <c r="BE3138" s="2">
        <v>41</v>
      </c>
      <c r="BF3138" s="2" t="s">
        <v>82</v>
      </c>
      <c r="BG3138" s="2"/>
      <c r="BH3138" s="4">
        <v>0</v>
      </c>
      <c r="BI3138" s="2"/>
      <c r="BJ3138" s="2">
        <v>241</v>
      </c>
      <c r="BK3138" s="2" t="s">
        <v>82</v>
      </c>
      <c r="BL3138" s="2"/>
      <c r="BM3138" s="2">
        <v>241</v>
      </c>
      <c r="BN3138" s="2" t="s">
        <v>82</v>
      </c>
      <c r="BO3138" s="2"/>
      <c r="BP3138" s="2">
        <v>241</v>
      </c>
      <c r="BQ3138" s="2" t="s">
        <v>82</v>
      </c>
      <c r="BR3138" s="2"/>
      <c r="BS3138" s="3">
        <v>40391</v>
      </c>
      <c r="BT3138" s="4">
        <v>0.72496527777777775</v>
      </c>
    </row>
    <row r="3139" spans="1:72" x14ac:dyDescent="0.25">
      <c r="A3139" s="2">
        <v>4640</v>
      </c>
      <c r="B3139" s="2">
        <v>2010</v>
      </c>
      <c r="C3139" s="2" t="s">
        <v>196</v>
      </c>
      <c r="D3139" s="2" t="s">
        <v>122</v>
      </c>
      <c r="E3139" s="2"/>
      <c r="F3139" s="2">
        <v>1</v>
      </c>
      <c r="G3139" s="2" t="s">
        <v>82</v>
      </c>
      <c r="H3139" s="2">
        <v>1</v>
      </c>
      <c r="I3139" s="2" t="s">
        <v>82</v>
      </c>
      <c r="J3139" s="2">
        <v>1</v>
      </c>
      <c r="K3139" s="2" t="s">
        <v>107</v>
      </c>
      <c r="L3139" s="2" t="s">
        <v>107</v>
      </c>
      <c r="M3139" s="3">
        <v>40391</v>
      </c>
      <c r="N3139" s="2" t="s">
        <v>82</v>
      </c>
      <c r="O3139" s="2" t="s">
        <v>82</v>
      </c>
      <c r="P3139" s="2" t="s">
        <v>82</v>
      </c>
      <c r="Q3139" s="2" t="str">
        <f>"N/C"</f>
        <v>N/C</v>
      </c>
      <c r="R3139" s="2" t="s">
        <v>82</v>
      </c>
      <c r="S3139" s="2" t="s">
        <v>82</v>
      </c>
      <c r="T3139" s="2">
        <v>2</v>
      </c>
      <c r="U3139" s="2" t="s">
        <v>123</v>
      </c>
      <c r="V3139" s="2">
        <v>1</v>
      </c>
      <c r="W3139" s="2" t="s">
        <v>80</v>
      </c>
      <c r="X3139" s="2">
        <v>11</v>
      </c>
      <c r="Y3139" s="2" t="s">
        <v>1920</v>
      </c>
      <c r="Z3139" s="2">
        <v>10</v>
      </c>
      <c r="AA3139" s="2" t="s">
        <v>236</v>
      </c>
      <c r="AB3139" s="2">
        <v>9</v>
      </c>
      <c r="AC3139" s="2" t="s">
        <v>124</v>
      </c>
      <c r="AD3139" s="3">
        <v>40391</v>
      </c>
      <c r="AE3139" s="4">
        <v>0.6875</v>
      </c>
      <c r="AF3139" s="2"/>
      <c r="AG3139" s="2"/>
      <c r="AH3139" s="2">
        <v>2</v>
      </c>
      <c r="AI3139" s="2" t="s">
        <v>84</v>
      </c>
      <c r="AJ3139" s="2">
        <v>12</v>
      </c>
      <c r="AK3139" s="2" t="s">
        <v>85</v>
      </c>
      <c r="AL3139" s="2">
        <v>20</v>
      </c>
      <c r="AM3139" s="2" t="s">
        <v>992</v>
      </c>
      <c r="AN3139" s="2" t="s">
        <v>107</v>
      </c>
      <c r="AO3139" s="2" t="s">
        <v>993</v>
      </c>
      <c r="AP3139" s="2">
        <v>11</v>
      </c>
      <c r="AQ3139" s="2" t="s">
        <v>82</v>
      </c>
      <c r="AR3139" s="2"/>
      <c r="AS3139" s="2"/>
      <c r="AT3139" s="2" t="s">
        <v>10227</v>
      </c>
      <c r="AU3139" s="2"/>
      <c r="AV3139" s="2"/>
      <c r="AW3139" s="2"/>
      <c r="AX3139" s="2"/>
      <c r="AY3139" s="2">
        <v>41</v>
      </c>
      <c r="AZ3139" s="2" t="s">
        <v>82</v>
      </c>
      <c r="BA3139" s="2">
        <v>41</v>
      </c>
      <c r="BB3139" s="2" t="s">
        <v>82</v>
      </c>
      <c r="BC3139" s="2">
        <v>41</v>
      </c>
      <c r="BD3139" s="2" t="s">
        <v>82</v>
      </c>
      <c r="BE3139" s="2">
        <v>41</v>
      </c>
      <c r="BF3139" s="2" t="s">
        <v>82</v>
      </c>
      <c r="BG3139" s="2"/>
      <c r="BH3139" s="2"/>
      <c r="BI3139" s="2"/>
      <c r="BJ3139" s="2">
        <v>241</v>
      </c>
      <c r="BK3139" s="2" t="s">
        <v>82</v>
      </c>
      <c r="BL3139" s="2"/>
      <c r="BM3139" s="2">
        <v>241</v>
      </c>
      <c r="BN3139" s="2" t="s">
        <v>82</v>
      </c>
      <c r="BO3139" s="2"/>
      <c r="BP3139" s="2">
        <v>241</v>
      </c>
      <c r="BQ3139" s="2" t="s">
        <v>82</v>
      </c>
      <c r="BR3139" s="2"/>
      <c r="BS3139" s="3">
        <v>40391</v>
      </c>
      <c r="BT3139" s="4">
        <v>0.76064814814814818</v>
      </c>
    </row>
    <row r="3140" spans="1:72" x14ac:dyDescent="0.25">
      <c r="A3140" s="2">
        <v>4641</v>
      </c>
      <c r="B3140" s="2">
        <v>2010</v>
      </c>
      <c r="C3140" s="2" t="s">
        <v>128</v>
      </c>
      <c r="D3140" s="2" t="s">
        <v>122</v>
      </c>
      <c r="E3140" s="2" t="s">
        <v>10228</v>
      </c>
      <c r="F3140" s="2">
        <v>156</v>
      </c>
      <c r="G3140" s="2" t="s">
        <v>1875</v>
      </c>
      <c r="H3140" s="2">
        <v>12</v>
      </c>
      <c r="I3140" s="2" t="s">
        <v>95</v>
      </c>
      <c r="J3140" s="2">
        <v>168</v>
      </c>
      <c r="K3140" s="2" t="s">
        <v>1876</v>
      </c>
      <c r="L3140" s="2" t="s">
        <v>1877</v>
      </c>
      <c r="M3140" s="3">
        <v>40391</v>
      </c>
      <c r="N3140" s="2" t="s">
        <v>10219</v>
      </c>
      <c r="O3140" s="2" t="s">
        <v>107</v>
      </c>
      <c r="P3140" s="2" t="s">
        <v>107</v>
      </c>
      <c r="Q3140" s="2" t="str">
        <f>"296-A/10"</f>
        <v>296-A/10</v>
      </c>
      <c r="R3140" s="2" t="s">
        <v>10220</v>
      </c>
      <c r="S3140" s="2" t="s">
        <v>107</v>
      </c>
      <c r="T3140" s="2">
        <v>1</v>
      </c>
      <c r="U3140" s="2" t="s">
        <v>79</v>
      </c>
      <c r="V3140" s="2">
        <v>1</v>
      </c>
      <c r="W3140" s="2" t="s">
        <v>80</v>
      </c>
      <c r="X3140" s="2">
        <v>1</v>
      </c>
      <c r="Y3140" s="2" t="s">
        <v>81</v>
      </c>
      <c r="Z3140" s="2">
        <v>10</v>
      </c>
      <c r="AA3140" s="2" t="s">
        <v>236</v>
      </c>
      <c r="AB3140" s="2">
        <v>9</v>
      </c>
      <c r="AC3140" s="2" t="s">
        <v>124</v>
      </c>
      <c r="AD3140" s="3">
        <v>40360</v>
      </c>
      <c r="AE3140" s="4">
        <v>0.31944444444444448</v>
      </c>
      <c r="AF3140" s="2"/>
      <c r="AG3140" s="2"/>
      <c r="AH3140" s="2">
        <v>2</v>
      </c>
      <c r="AI3140" s="2" t="s">
        <v>84</v>
      </c>
      <c r="AJ3140" s="2">
        <v>12</v>
      </c>
      <c r="AK3140" s="2" t="s">
        <v>85</v>
      </c>
      <c r="AL3140" s="2">
        <v>25</v>
      </c>
      <c r="AM3140" s="2" t="s">
        <v>3073</v>
      </c>
      <c r="AN3140" s="2" t="s">
        <v>10229</v>
      </c>
      <c r="AO3140" s="2" t="s">
        <v>10222</v>
      </c>
      <c r="AP3140" s="2">
        <v>11</v>
      </c>
      <c r="AQ3140" s="2" t="s">
        <v>82</v>
      </c>
      <c r="AR3140" s="2"/>
      <c r="AS3140" s="2"/>
      <c r="AT3140" s="2" t="s">
        <v>10230</v>
      </c>
      <c r="AU3140" s="2">
        <v>1</v>
      </c>
      <c r="AV3140" s="2"/>
      <c r="AW3140" s="2"/>
      <c r="AX3140" s="2"/>
      <c r="AY3140" s="2">
        <v>41</v>
      </c>
      <c r="AZ3140" s="2" t="s">
        <v>82</v>
      </c>
      <c r="BA3140" s="2">
        <v>41</v>
      </c>
      <c r="BB3140" s="2" t="s">
        <v>82</v>
      </c>
      <c r="BC3140" s="2">
        <v>41</v>
      </c>
      <c r="BD3140" s="2" t="s">
        <v>82</v>
      </c>
      <c r="BE3140" s="2">
        <v>41</v>
      </c>
      <c r="BF3140" s="2" t="s">
        <v>82</v>
      </c>
      <c r="BG3140" s="2"/>
      <c r="BH3140" s="2"/>
      <c r="BI3140" s="2"/>
      <c r="BJ3140" s="2">
        <v>241</v>
      </c>
      <c r="BK3140" s="2" t="s">
        <v>82</v>
      </c>
      <c r="BL3140" s="2"/>
      <c r="BM3140" s="2">
        <v>241</v>
      </c>
      <c r="BN3140" s="2" t="s">
        <v>82</v>
      </c>
      <c r="BO3140" s="2"/>
      <c r="BP3140" s="2">
        <v>241</v>
      </c>
      <c r="BQ3140" s="2" t="s">
        <v>82</v>
      </c>
      <c r="BR3140" s="2"/>
      <c r="BS3140" s="3">
        <v>40391</v>
      </c>
      <c r="BT3140" s="4">
        <v>0.80157407407407411</v>
      </c>
    </row>
    <row r="3141" spans="1:72" x14ac:dyDescent="0.25">
      <c r="A3141" s="2">
        <v>4642</v>
      </c>
      <c r="B3141" s="2">
        <v>2010</v>
      </c>
      <c r="C3141" s="2" t="s">
        <v>121</v>
      </c>
      <c r="D3141" s="2" t="s">
        <v>122</v>
      </c>
      <c r="E3141" s="2"/>
      <c r="F3141" s="2">
        <v>1</v>
      </c>
      <c r="G3141" s="2" t="s">
        <v>82</v>
      </c>
      <c r="H3141" s="2">
        <v>1</v>
      </c>
      <c r="I3141" s="2" t="s">
        <v>82</v>
      </c>
      <c r="J3141" s="2">
        <v>1</v>
      </c>
      <c r="K3141" s="2" t="s">
        <v>107</v>
      </c>
      <c r="L3141" s="2" t="s">
        <v>107</v>
      </c>
      <c r="M3141" s="3">
        <v>40391</v>
      </c>
      <c r="N3141" s="2" t="s">
        <v>82</v>
      </c>
      <c r="O3141" s="2" t="s">
        <v>82</v>
      </c>
      <c r="P3141" s="2" t="s">
        <v>82</v>
      </c>
      <c r="Q3141" s="2" t="str">
        <f>"N/C"</f>
        <v>N/C</v>
      </c>
      <c r="R3141" s="2" t="s">
        <v>82</v>
      </c>
      <c r="S3141" s="2" t="s">
        <v>82</v>
      </c>
      <c r="T3141" s="2">
        <v>2</v>
      </c>
      <c r="U3141" s="2" t="s">
        <v>123</v>
      </c>
      <c r="V3141" s="2">
        <v>1</v>
      </c>
      <c r="W3141" s="2" t="s">
        <v>80</v>
      </c>
      <c r="X3141" s="2">
        <v>11</v>
      </c>
      <c r="Y3141" s="2" t="s">
        <v>1920</v>
      </c>
      <c r="Z3141" s="2">
        <v>10</v>
      </c>
      <c r="AA3141" s="2" t="s">
        <v>236</v>
      </c>
      <c r="AB3141" s="2">
        <v>9</v>
      </c>
      <c r="AC3141" s="2" t="s">
        <v>124</v>
      </c>
      <c r="AD3141" s="3">
        <v>40391</v>
      </c>
      <c r="AE3141" s="4">
        <v>0.78472222222222221</v>
      </c>
      <c r="AF3141" s="2"/>
      <c r="AG3141" s="2"/>
      <c r="AH3141" s="2">
        <v>2</v>
      </c>
      <c r="AI3141" s="2" t="s">
        <v>84</v>
      </c>
      <c r="AJ3141" s="2">
        <v>12</v>
      </c>
      <c r="AK3141" s="2" t="s">
        <v>85</v>
      </c>
      <c r="AL3141" s="2">
        <v>10</v>
      </c>
      <c r="AM3141" s="2" t="s">
        <v>200</v>
      </c>
      <c r="AN3141" s="2" t="s">
        <v>10231</v>
      </c>
      <c r="AO3141" s="2" t="s">
        <v>909</v>
      </c>
      <c r="AP3141" s="2">
        <v>11</v>
      </c>
      <c r="AQ3141" s="2" t="s">
        <v>82</v>
      </c>
      <c r="AR3141" s="2"/>
      <c r="AS3141" s="2"/>
      <c r="AT3141" s="2" t="s">
        <v>10232</v>
      </c>
      <c r="AU3141" s="2"/>
      <c r="AV3141" s="2"/>
      <c r="AW3141" s="2"/>
      <c r="AX3141" s="2"/>
      <c r="AY3141" s="2">
        <v>41</v>
      </c>
      <c r="AZ3141" s="2" t="s">
        <v>82</v>
      </c>
      <c r="BA3141" s="2">
        <v>41</v>
      </c>
      <c r="BB3141" s="2" t="s">
        <v>82</v>
      </c>
      <c r="BC3141" s="2">
        <v>41</v>
      </c>
      <c r="BD3141" s="2" t="s">
        <v>82</v>
      </c>
      <c r="BE3141" s="2">
        <v>13</v>
      </c>
      <c r="BF3141" s="2" t="s">
        <v>108</v>
      </c>
      <c r="BG3141" s="2" t="s">
        <v>9552</v>
      </c>
      <c r="BH3141" s="4">
        <v>0.86111111111111116</v>
      </c>
      <c r="BI3141" s="4">
        <v>0.7895833333333333</v>
      </c>
      <c r="BJ3141" s="2">
        <v>13</v>
      </c>
      <c r="BK3141" s="2" t="s">
        <v>91</v>
      </c>
      <c r="BL3141" s="2" t="s">
        <v>185</v>
      </c>
      <c r="BM3141" s="2">
        <v>241</v>
      </c>
      <c r="BN3141" s="2" t="s">
        <v>82</v>
      </c>
      <c r="BO3141" s="2"/>
      <c r="BP3141" s="2">
        <v>13</v>
      </c>
      <c r="BQ3141" s="2" t="s">
        <v>91</v>
      </c>
      <c r="BR3141" s="2" t="s">
        <v>854</v>
      </c>
      <c r="BS3141" s="3">
        <v>40391</v>
      </c>
      <c r="BT3141" s="4">
        <v>0.82376157407407413</v>
      </c>
    </row>
    <row r="3142" spans="1:72" x14ac:dyDescent="0.25">
      <c r="A3142" s="2">
        <v>4643</v>
      </c>
      <c r="B3142" s="2">
        <v>2010</v>
      </c>
      <c r="C3142" s="2" t="s">
        <v>121</v>
      </c>
      <c r="D3142" s="2" t="s">
        <v>122</v>
      </c>
      <c r="E3142" s="2"/>
      <c r="F3142" s="2">
        <v>1</v>
      </c>
      <c r="G3142" s="2" t="s">
        <v>82</v>
      </c>
      <c r="H3142" s="2">
        <v>1</v>
      </c>
      <c r="I3142" s="2" t="s">
        <v>82</v>
      </c>
      <c r="J3142" s="2">
        <v>1</v>
      </c>
      <c r="K3142" s="2" t="s">
        <v>107</v>
      </c>
      <c r="L3142" s="2" t="s">
        <v>107</v>
      </c>
      <c r="M3142" s="3">
        <v>40391</v>
      </c>
      <c r="N3142" s="2" t="s">
        <v>82</v>
      </c>
      <c r="O3142" s="2" t="s">
        <v>82</v>
      </c>
      <c r="P3142" s="2" t="s">
        <v>82</v>
      </c>
      <c r="Q3142" s="2" t="str">
        <f>"N/C"</f>
        <v>N/C</v>
      </c>
      <c r="R3142" s="2" t="s">
        <v>82</v>
      </c>
      <c r="S3142" s="2" t="s">
        <v>82</v>
      </c>
      <c r="T3142" s="2">
        <v>2</v>
      </c>
      <c r="U3142" s="2" t="s">
        <v>123</v>
      </c>
      <c r="V3142" s="2">
        <v>1</v>
      </c>
      <c r="W3142" s="2" t="s">
        <v>80</v>
      </c>
      <c r="X3142" s="2">
        <v>11</v>
      </c>
      <c r="Y3142" s="2" t="s">
        <v>1920</v>
      </c>
      <c r="Z3142" s="2">
        <v>10</v>
      </c>
      <c r="AA3142" s="2" t="s">
        <v>236</v>
      </c>
      <c r="AB3142" s="2">
        <v>9</v>
      </c>
      <c r="AC3142" s="2" t="s">
        <v>124</v>
      </c>
      <c r="AD3142" s="3">
        <v>40391</v>
      </c>
      <c r="AE3142" s="4">
        <v>0.75</v>
      </c>
      <c r="AF3142" s="2"/>
      <c r="AG3142" s="2"/>
      <c r="AH3142" s="2">
        <v>2</v>
      </c>
      <c r="AI3142" s="2" t="s">
        <v>84</v>
      </c>
      <c r="AJ3142" s="2">
        <v>12</v>
      </c>
      <c r="AK3142" s="2" t="s">
        <v>85</v>
      </c>
      <c r="AL3142" s="2">
        <v>10</v>
      </c>
      <c r="AM3142" s="2" t="s">
        <v>200</v>
      </c>
      <c r="AN3142" s="2" t="s">
        <v>10233</v>
      </c>
      <c r="AO3142" s="2" t="s">
        <v>7295</v>
      </c>
      <c r="AP3142" s="2">
        <v>11</v>
      </c>
      <c r="AQ3142" s="2" t="s">
        <v>82</v>
      </c>
      <c r="AR3142" s="2"/>
      <c r="AS3142" s="2"/>
      <c r="AT3142" s="2" t="s">
        <v>10234</v>
      </c>
      <c r="AU3142" s="2"/>
      <c r="AV3142" s="2"/>
      <c r="AW3142" s="2"/>
      <c r="AX3142" s="2"/>
      <c r="AY3142" s="2">
        <v>41</v>
      </c>
      <c r="AZ3142" s="2" t="s">
        <v>82</v>
      </c>
      <c r="BA3142" s="2">
        <v>41</v>
      </c>
      <c r="BB3142" s="2" t="s">
        <v>82</v>
      </c>
      <c r="BC3142" s="2">
        <v>41</v>
      </c>
      <c r="BD3142" s="2" t="s">
        <v>82</v>
      </c>
      <c r="BE3142" s="2">
        <v>10</v>
      </c>
      <c r="BF3142" s="2" t="s">
        <v>901</v>
      </c>
      <c r="BG3142" s="2" t="s">
        <v>10235</v>
      </c>
      <c r="BH3142" s="4">
        <v>0.77777777777777779</v>
      </c>
      <c r="BI3142" s="4">
        <v>0.75</v>
      </c>
      <c r="BJ3142" s="2">
        <v>229</v>
      </c>
      <c r="BK3142" s="2" t="s">
        <v>300</v>
      </c>
      <c r="BL3142" s="2" t="s">
        <v>573</v>
      </c>
      <c r="BM3142" s="2">
        <v>241</v>
      </c>
      <c r="BN3142" s="2" t="s">
        <v>82</v>
      </c>
      <c r="BO3142" s="2"/>
      <c r="BP3142" s="2">
        <v>13</v>
      </c>
      <c r="BQ3142" s="2" t="s">
        <v>91</v>
      </c>
      <c r="BR3142" s="2" t="s">
        <v>185</v>
      </c>
      <c r="BS3142" s="3">
        <v>40391</v>
      </c>
      <c r="BT3142" s="4">
        <v>0.83326388888888892</v>
      </c>
    </row>
    <row r="3143" spans="1:72" x14ac:dyDescent="0.25">
      <c r="A3143" s="2">
        <v>4644</v>
      </c>
      <c r="B3143" s="2">
        <v>2010</v>
      </c>
      <c r="C3143" s="2" t="s">
        <v>121</v>
      </c>
      <c r="D3143" s="2" t="s">
        <v>122</v>
      </c>
      <c r="E3143" s="2"/>
      <c r="F3143" s="2">
        <v>1</v>
      </c>
      <c r="G3143" s="2" t="s">
        <v>82</v>
      </c>
      <c r="H3143" s="2">
        <v>1</v>
      </c>
      <c r="I3143" s="2" t="s">
        <v>82</v>
      </c>
      <c r="J3143" s="2">
        <v>1</v>
      </c>
      <c r="K3143" s="2" t="s">
        <v>107</v>
      </c>
      <c r="L3143" s="2" t="s">
        <v>107</v>
      </c>
      <c r="M3143" s="3">
        <v>40391</v>
      </c>
      <c r="N3143" s="2"/>
      <c r="O3143" s="2"/>
      <c r="P3143" s="2"/>
      <c r="Q3143" s="2" t="str">
        <f>""</f>
        <v/>
      </c>
      <c r="R3143" s="2"/>
      <c r="S3143" s="2"/>
      <c r="T3143" s="2">
        <v>2</v>
      </c>
      <c r="U3143" s="2" t="s">
        <v>123</v>
      </c>
      <c r="V3143" s="2">
        <v>1</v>
      </c>
      <c r="W3143" s="2" t="s">
        <v>80</v>
      </c>
      <c r="X3143" s="2">
        <v>1</v>
      </c>
      <c r="Y3143" s="2" t="s">
        <v>81</v>
      </c>
      <c r="Z3143" s="2">
        <v>1</v>
      </c>
      <c r="AA3143" s="2" t="s">
        <v>82</v>
      </c>
      <c r="AB3143" s="2">
        <v>9</v>
      </c>
      <c r="AC3143" s="2" t="s">
        <v>124</v>
      </c>
      <c r="AD3143" s="3">
        <v>40391</v>
      </c>
      <c r="AE3143" s="4">
        <v>0.54166666666666663</v>
      </c>
      <c r="AF3143" s="2"/>
      <c r="AG3143" s="2"/>
      <c r="AH3143" s="2">
        <v>3</v>
      </c>
      <c r="AI3143" s="2" t="s">
        <v>214</v>
      </c>
      <c r="AJ3143" s="2">
        <v>17</v>
      </c>
      <c r="AK3143" s="2" t="s">
        <v>309</v>
      </c>
      <c r="AL3143" s="2">
        <v>10</v>
      </c>
      <c r="AM3143" s="2" t="s">
        <v>200</v>
      </c>
      <c r="AN3143" s="2" t="s">
        <v>10236</v>
      </c>
      <c r="AO3143" s="2" t="s">
        <v>10236</v>
      </c>
      <c r="AP3143" s="2">
        <v>11</v>
      </c>
      <c r="AQ3143" s="2" t="s">
        <v>82</v>
      </c>
      <c r="AR3143" s="2" t="s">
        <v>82</v>
      </c>
      <c r="AS3143" s="2" t="s">
        <v>82</v>
      </c>
      <c r="AT3143" s="2" t="s">
        <v>10237</v>
      </c>
      <c r="AU3143" s="2"/>
      <c r="AV3143" s="2"/>
      <c r="AW3143" s="2"/>
      <c r="AX3143" s="2"/>
      <c r="AY3143" s="2">
        <v>41</v>
      </c>
      <c r="AZ3143" s="2" t="s">
        <v>82</v>
      </c>
      <c r="BA3143" s="2">
        <v>41</v>
      </c>
      <c r="BB3143" s="2" t="s">
        <v>82</v>
      </c>
      <c r="BC3143" s="2">
        <v>41</v>
      </c>
      <c r="BD3143" s="2" t="s">
        <v>82</v>
      </c>
      <c r="BE3143" s="2">
        <v>13</v>
      </c>
      <c r="BF3143" s="2" t="s">
        <v>108</v>
      </c>
      <c r="BG3143" s="2">
        <v>2416</v>
      </c>
      <c r="BH3143" s="4">
        <v>0.54166666666666663</v>
      </c>
      <c r="BI3143" s="4">
        <v>0.47916666666666669</v>
      </c>
      <c r="BJ3143" s="2">
        <v>13</v>
      </c>
      <c r="BK3143" s="2" t="s">
        <v>91</v>
      </c>
      <c r="BL3143" s="2" t="s">
        <v>10238</v>
      </c>
      <c r="BM3143" s="2">
        <v>241</v>
      </c>
      <c r="BN3143" s="2" t="s">
        <v>82</v>
      </c>
      <c r="BO3143" s="2" t="s">
        <v>82</v>
      </c>
      <c r="BP3143" s="2">
        <v>13</v>
      </c>
      <c r="BQ3143" s="2" t="s">
        <v>91</v>
      </c>
      <c r="BR3143" s="2" t="s">
        <v>445</v>
      </c>
      <c r="BS3143" s="3">
        <v>40391</v>
      </c>
      <c r="BT3143" s="4">
        <v>0.87979166666666664</v>
      </c>
    </row>
    <row r="3144" spans="1:72" x14ac:dyDescent="0.25">
      <c r="A3144" s="2">
        <v>4645</v>
      </c>
      <c r="B3144" s="2">
        <v>2010</v>
      </c>
      <c r="C3144" s="2" t="s">
        <v>549</v>
      </c>
      <c r="D3144" s="2" t="s">
        <v>73</v>
      </c>
      <c r="E3144" s="2"/>
      <c r="F3144" s="2">
        <v>552</v>
      </c>
      <c r="G3144" s="2" t="s">
        <v>9822</v>
      </c>
      <c r="H3144" s="2">
        <v>4</v>
      </c>
      <c r="I3144" s="2" t="s">
        <v>173</v>
      </c>
      <c r="J3144" s="2">
        <v>347</v>
      </c>
      <c r="K3144" s="2" t="s">
        <v>996</v>
      </c>
      <c r="L3144" s="2" t="s">
        <v>997</v>
      </c>
      <c r="M3144" s="3">
        <v>40391</v>
      </c>
      <c r="N3144" s="2" t="s">
        <v>10239</v>
      </c>
      <c r="O3144" s="2" t="s">
        <v>10240</v>
      </c>
      <c r="P3144" s="2" t="s">
        <v>82</v>
      </c>
      <c r="Q3144" s="2" t="str">
        <f>"0025/2010"</f>
        <v>0025/2010</v>
      </c>
      <c r="R3144" s="2" t="s">
        <v>82</v>
      </c>
      <c r="S3144" s="2" t="s">
        <v>10240</v>
      </c>
      <c r="T3144" s="2">
        <v>1</v>
      </c>
      <c r="U3144" s="2" t="s">
        <v>79</v>
      </c>
      <c r="V3144" s="2">
        <v>1</v>
      </c>
      <c r="W3144" s="2" t="s">
        <v>80</v>
      </c>
      <c r="X3144" s="2">
        <v>1</v>
      </c>
      <c r="Y3144" s="2" t="s">
        <v>81</v>
      </c>
      <c r="Z3144" s="2">
        <v>1</v>
      </c>
      <c r="AA3144" s="2" t="s">
        <v>82</v>
      </c>
      <c r="AB3144" s="2">
        <v>9</v>
      </c>
      <c r="AC3144" s="2" t="s">
        <v>124</v>
      </c>
      <c r="AD3144" s="3">
        <v>40391</v>
      </c>
      <c r="AE3144" s="4">
        <v>0.70833333333333337</v>
      </c>
      <c r="AF3144" s="2"/>
      <c r="AG3144" s="2"/>
      <c r="AH3144" s="2">
        <v>5</v>
      </c>
      <c r="AI3144" s="2" t="s">
        <v>274</v>
      </c>
      <c r="AJ3144" s="2">
        <v>42</v>
      </c>
      <c r="AK3144" s="2" t="s">
        <v>660</v>
      </c>
      <c r="AL3144" s="2">
        <v>28</v>
      </c>
      <c r="AM3144" s="2" t="s">
        <v>5969</v>
      </c>
      <c r="AN3144" s="2" t="s">
        <v>10241</v>
      </c>
      <c r="AO3144" s="2" t="s">
        <v>10242</v>
      </c>
      <c r="AP3144" s="2">
        <v>11</v>
      </c>
      <c r="AQ3144" s="2" t="s">
        <v>82</v>
      </c>
      <c r="AR3144" s="2" t="s">
        <v>82</v>
      </c>
      <c r="AS3144" s="2" t="s">
        <v>82</v>
      </c>
      <c r="AT3144" s="2" t="s">
        <v>10243</v>
      </c>
      <c r="AU3144" s="2"/>
      <c r="AV3144" s="2"/>
      <c r="AW3144" s="2"/>
      <c r="AX3144" s="2"/>
      <c r="AY3144" s="2">
        <v>41</v>
      </c>
      <c r="AZ3144" s="2" t="s">
        <v>82</v>
      </c>
      <c r="BA3144" s="2">
        <v>41</v>
      </c>
      <c r="BB3144" s="2" t="s">
        <v>82</v>
      </c>
      <c r="BC3144" s="2">
        <v>41</v>
      </c>
      <c r="BD3144" s="2" t="s">
        <v>82</v>
      </c>
      <c r="BE3144" s="2">
        <v>41</v>
      </c>
      <c r="BF3144" s="2" t="s">
        <v>82</v>
      </c>
      <c r="BG3144" s="2" t="s">
        <v>82</v>
      </c>
      <c r="BH3144" s="2"/>
      <c r="BI3144" s="2"/>
      <c r="BJ3144" s="2">
        <v>241</v>
      </c>
      <c r="BK3144" s="2" t="s">
        <v>82</v>
      </c>
      <c r="BL3144" s="2"/>
      <c r="BM3144" s="2">
        <v>241</v>
      </c>
      <c r="BN3144" s="2" t="s">
        <v>82</v>
      </c>
      <c r="BO3144" s="2" t="s">
        <v>82</v>
      </c>
      <c r="BP3144" s="2">
        <v>241</v>
      </c>
      <c r="BQ3144" s="2" t="s">
        <v>82</v>
      </c>
      <c r="BR3144" s="2" t="s">
        <v>82</v>
      </c>
      <c r="BS3144" s="3">
        <v>40391</v>
      </c>
      <c r="BT3144" s="4">
        <v>0.96489583333333329</v>
      </c>
    </row>
    <row r="3145" spans="1:72" x14ac:dyDescent="0.25">
      <c r="A3145" s="2">
        <v>4646</v>
      </c>
      <c r="B3145" s="2">
        <v>2010</v>
      </c>
      <c r="C3145" s="2" t="s">
        <v>255</v>
      </c>
      <c r="D3145" s="2" t="s">
        <v>73</v>
      </c>
      <c r="E3145" s="2"/>
      <c r="F3145" s="2">
        <v>663</v>
      </c>
      <c r="G3145" s="2" t="s">
        <v>10244</v>
      </c>
      <c r="H3145" s="2">
        <v>108</v>
      </c>
      <c r="I3145" s="2" t="s">
        <v>1096</v>
      </c>
      <c r="J3145" s="2">
        <v>555</v>
      </c>
      <c r="K3145" s="2" t="s">
        <v>7538</v>
      </c>
      <c r="L3145" s="2" t="s">
        <v>4331</v>
      </c>
      <c r="M3145" s="3">
        <v>40392</v>
      </c>
      <c r="N3145" s="2" t="s">
        <v>10245</v>
      </c>
      <c r="O3145" s="2"/>
      <c r="P3145" s="2"/>
      <c r="Q3145" s="2" t="str">
        <f>"297-A/10"</f>
        <v>297-A/10</v>
      </c>
      <c r="R3145" s="2" t="s">
        <v>6961</v>
      </c>
      <c r="S3145" s="2"/>
      <c r="T3145" s="2">
        <v>1</v>
      </c>
      <c r="U3145" s="2" t="s">
        <v>79</v>
      </c>
      <c r="V3145" s="2">
        <v>1</v>
      </c>
      <c r="W3145" s="2" t="s">
        <v>80</v>
      </c>
      <c r="X3145" s="2">
        <v>12</v>
      </c>
      <c r="Y3145" s="2" t="s">
        <v>148</v>
      </c>
      <c r="Z3145" s="2">
        <v>1</v>
      </c>
      <c r="AA3145" s="2" t="s">
        <v>82</v>
      </c>
      <c r="AB3145" s="2">
        <v>9</v>
      </c>
      <c r="AC3145" s="2" t="s">
        <v>124</v>
      </c>
      <c r="AD3145" s="3">
        <v>40391</v>
      </c>
      <c r="AE3145" s="2"/>
      <c r="AF3145" s="3">
        <v>40391</v>
      </c>
      <c r="AG3145" s="4">
        <v>0.81944444444444453</v>
      </c>
      <c r="AH3145" s="2">
        <v>2</v>
      </c>
      <c r="AI3145" s="2" t="s">
        <v>84</v>
      </c>
      <c r="AJ3145" s="2">
        <v>12</v>
      </c>
      <c r="AK3145" s="2" t="s">
        <v>85</v>
      </c>
      <c r="AL3145" s="2">
        <v>22</v>
      </c>
      <c r="AM3145" s="2" t="s">
        <v>1853</v>
      </c>
      <c r="AN3145" s="2"/>
      <c r="AO3145" s="2" t="s">
        <v>10246</v>
      </c>
      <c r="AP3145" s="2">
        <v>11</v>
      </c>
      <c r="AQ3145" s="2" t="s">
        <v>82</v>
      </c>
      <c r="AR3145" s="2"/>
      <c r="AS3145" s="2"/>
      <c r="AT3145" s="2" t="s">
        <v>10247</v>
      </c>
      <c r="AU3145" s="2"/>
      <c r="AV3145" s="2"/>
      <c r="AW3145" s="2"/>
      <c r="AX3145" s="2"/>
      <c r="AY3145" s="2">
        <v>41</v>
      </c>
      <c r="AZ3145" s="2" t="s">
        <v>82</v>
      </c>
      <c r="BA3145" s="2">
        <v>41</v>
      </c>
      <c r="BB3145" s="2" t="s">
        <v>82</v>
      </c>
      <c r="BC3145" s="2">
        <v>41</v>
      </c>
      <c r="BD3145" s="2" t="s">
        <v>82</v>
      </c>
      <c r="BE3145" s="2">
        <v>13</v>
      </c>
      <c r="BF3145" s="2" t="s">
        <v>108</v>
      </c>
      <c r="BG3145" s="2" t="s">
        <v>10248</v>
      </c>
      <c r="BH3145" s="2"/>
      <c r="BI3145" s="2"/>
      <c r="BJ3145" s="2">
        <v>13</v>
      </c>
      <c r="BK3145" s="2" t="s">
        <v>91</v>
      </c>
      <c r="BL3145" s="2" t="s">
        <v>92</v>
      </c>
      <c r="BM3145" s="2">
        <v>241</v>
      </c>
      <c r="BN3145" s="2" t="s">
        <v>82</v>
      </c>
      <c r="BO3145" s="2"/>
      <c r="BP3145" s="2">
        <v>13</v>
      </c>
      <c r="BQ3145" s="2" t="s">
        <v>91</v>
      </c>
      <c r="BR3145" s="2" t="s">
        <v>3520</v>
      </c>
      <c r="BS3145" s="3">
        <v>40392</v>
      </c>
      <c r="BT3145" s="4">
        <v>1.4490740740740742E-2</v>
      </c>
    </row>
    <row r="3146" spans="1:72" x14ac:dyDescent="0.25">
      <c r="A3146" s="2">
        <v>4647</v>
      </c>
      <c r="B3146" s="2">
        <v>2010</v>
      </c>
      <c r="C3146" s="2" t="s">
        <v>72</v>
      </c>
      <c r="D3146" s="2" t="s">
        <v>73</v>
      </c>
      <c r="E3146" s="2"/>
      <c r="F3146" s="2">
        <v>662</v>
      </c>
      <c r="G3146" s="2" t="s">
        <v>10249</v>
      </c>
      <c r="H3146" s="2">
        <v>42</v>
      </c>
      <c r="I3146" s="2" t="s">
        <v>1096</v>
      </c>
      <c r="J3146" s="2">
        <v>633</v>
      </c>
      <c r="K3146" s="2" t="s">
        <v>10250</v>
      </c>
      <c r="L3146" s="2" t="s">
        <v>10251</v>
      </c>
      <c r="M3146" s="3">
        <v>40392</v>
      </c>
      <c r="N3146" s="2" t="s">
        <v>10252</v>
      </c>
      <c r="O3146" s="2"/>
      <c r="P3146" s="2"/>
      <c r="Q3146" s="2" t="str">
        <f>"298-A/10"</f>
        <v>298-A/10</v>
      </c>
      <c r="R3146" s="2"/>
      <c r="S3146" s="2" t="s">
        <v>10253</v>
      </c>
      <c r="T3146" s="2">
        <v>1</v>
      </c>
      <c r="U3146" s="2" t="s">
        <v>79</v>
      </c>
      <c r="V3146" s="2">
        <v>1</v>
      </c>
      <c r="W3146" s="2" t="s">
        <v>80</v>
      </c>
      <c r="X3146" s="2">
        <v>12</v>
      </c>
      <c r="Y3146" s="2" t="s">
        <v>148</v>
      </c>
      <c r="Z3146" s="2">
        <v>1</v>
      </c>
      <c r="AA3146" s="2" t="s">
        <v>82</v>
      </c>
      <c r="AB3146" s="2">
        <v>6</v>
      </c>
      <c r="AC3146" s="2" t="s">
        <v>83</v>
      </c>
      <c r="AD3146" s="3">
        <v>40390</v>
      </c>
      <c r="AE3146" s="2"/>
      <c r="AF3146" s="3">
        <v>40391</v>
      </c>
      <c r="AG3146" s="4">
        <v>0.875</v>
      </c>
      <c r="AH3146" s="2">
        <v>2</v>
      </c>
      <c r="AI3146" s="2" t="s">
        <v>84</v>
      </c>
      <c r="AJ3146" s="2">
        <v>12</v>
      </c>
      <c r="AK3146" s="2" t="s">
        <v>85</v>
      </c>
      <c r="AL3146" s="2">
        <v>29</v>
      </c>
      <c r="AM3146" s="2" t="s">
        <v>5416</v>
      </c>
      <c r="AN3146" s="2" t="s">
        <v>10254</v>
      </c>
      <c r="AO3146" s="2"/>
      <c r="AP3146" s="2">
        <v>11</v>
      </c>
      <c r="AQ3146" s="2" t="s">
        <v>82</v>
      </c>
      <c r="AR3146" s="2"/>
      <c r="AS3146" s="2"/>
      <c r="AT3146" s="2" t="s">
        <v>10255</v>
      </c>
      <c r="AU3146" s="2"/>
      <c r="AV3146" s="2"/>
      <c r="AW3146" s="2"/>
      <c r="AX3146" s="2"/>
      <c r="AY3146" s="2">
        <v>41</v>
      </c>
      <c r="AZ3146" s="2" t="s">
        <v>82</v>
      </c>
      <c r="BA3146" s="2">
        <v>41</v>
      </c>
      <c r="BB3146" s="2" t="s">
        <v>82</v>
      </c>
      <c r="BC3146" s="2">
        <v>41</v>
      </c>
      <c r="BD3146" s="2" t="s">
        <v>82</v>
      </c>
      <c r="BE3146" s="2">
        <v>41</v>
      </c>
      <c r="BF3146" s="2" t="s">
        <v>82</v>
      </c>
      <c r="BG3146" s="2"/>
      <c r="BH3146" s="2"/>
      <c r="BI3146" s="2"/>
      <c r="BJ3146" s="2">
        <v>241</v>
      </c>
      <c r="BK3146" s="2" t="s">
        <v>82</v>
      </c>
      <c r="BL3146" s="2"/>
      <c r="BM3146" s="2">
        <v>241</v>
      </c>
      <c r="BN3146" s="2" t="s">
        <v>82</v>
      </c>
      <c r="BO3146" s="2"/>
      <c r="BP3146" s="2">
        <v>241</v>
      </c>
      <c r="BQ3146" s="2" t="s">
        <v>82</v>
      </c>
      <c r="BR3146" s="2"/>
      <c r="BS3146" s="3">
        <v>40392</v>
      </c>
      <c r="BT3146" s="4">
        <v>5.1018518518518519E-2</v>
      </c>
    </row>
    <row r="3147" spans="1:72" x14ac:dyDescent="0.25">
      <c r="A3147" s="2">
        <v>4648</v>
      </c>
      <c r="B3147" s="2">
        <v>2010</v>
      </c>
      <c r="C3147" s="2" t="s">
        <v>72</v>
      </c>
      <c r="D3147" s="2" t="s">
        <v>73</v>
      </c>
      <c r="E3147" s="2"/>
      <c r="F3147" s="2">
        <v>664</v>
      </c>
      <c r="G3147" s="2" t="s">
        <v>10256</v>
      </c>
      <c r="H3147" s="2">
        <v>22</v>
      </c>
      <c r="I3147" s="2" t="s">
        <v>75</v>
      </c>
      <c r="J3147" s="2">
        <v>634</v>
      </c>
      <c r="K3147" s="2" t="s">
        <v>10257</v>
      </c>
      <c r="L3147" s="2" t="s">
        <v>5984</v>
      </c>
      <c r="M3147" s="3">
        <v>40392</v>
      </c>
      <c r="N3147" s="2" t="s">
        <v>10258</v>
      </c>
      <c r="O3147" s="2"/>
      <c r="P3147" s="2"/>
      <c r="Q3147" s="2" t="str">
        <f>"299-A/10"</f>
        <v>299-A/10</v>
      </c>
      <c r="R3147" s="2"/>
      <c r="S3147" s="2" t="s">
        <v>156</v>
      </c>
      <c r="T3147" s="2">
        <v>1</v>
      </c>
      <c r="U3147" s="2" t="s">
        <v>79</v>
      </c>
      <c r="V3147" s="2">
        <v>1</v>
      </c>
      <c r="W3147" s="2" t="s">
        <v>80</v>
      </c>
      <c r="X3147" s="2">
        <v>12</v>
      </c>
      <c r="Y3147" s="2" t="s">
        <v>148</v>
      </c>
      <c r="Z3147" s="2">
        <v>1</v>
      </c>
      <c r="AA3147" s="2" t="s">
        <v>82</v>
      </c>
      <c r="AB3147" s="2">
        <v>6</v>
      </c>
      <c r="AC3147" s="2" t="s">
        <v>83</v>
      </c>
      <c r="AD3147" s="2"/>
      <c r="AE3147" s="2"/>
      <c r="AF3147" s="3">
        <v>40391</v>
      </c>
      <c r="AG3147" s="4">
        <v>0.99305555555555547</v>
      </c>
      <c r="AH3147" s="2">
        <v>2</v>
      </c>
      <c r="AI3147" s="2" t="s">
        <v>84</v>
      </c>
      <c r="AJ3147" s="2">
        <v>12</v>
      </c>
      <c r="AK3147" s="2" t="s">
        <v>85</v>
      </c>
      <c r="AL3147" s="2">
        <v>21</v>
      </c>
      <c r="AM3147" s="2" t="s">
        <v>1311</v>
      </c>
      <c r="AN3147" s="2" t="s">
        <v>10259</v>
      </c>
      <c r="AO3147" s="2" t="s">
        <v>10260</v>
      </c>
      <c r="AP3147" s="2">
        <v>11</v>
      </c>
      <c r="AQ3147" s="2" t="s">
        <v>82</v>
      </c>
      <c r="AR3147" s="2"/>
      <c r="AS3147" s="2"/>
      <c r="AT3147" s="2" t="s">
        <v>10261</v>
      </c>
      <c r="AU3147" s="2"/>
      <c r="AV3147" s="2"/>
      <c r="AW3147" s="2"/>
      <c r="AX3147" s="2"/>
      <c r="AY3147" s="2">
        <v>41</v>
      </c>
      <c r="AZ3147" s="2" t="s">
        <v>82</v>
      </c>
      <c r="BA3147" s="2">
        <v>41</v>
      </c>
      <c r="BB3147" s="2" t="s">
        <v>82</v>
      </c>
      <c r="BC3147" s="2">
        <v>41</v>
      </c>
      <c r="BD3147" s="2" t="s">
        <v>82</v>
      </c>
      <c r="BE3147" s="2">
        <v>41</v>
      </c>
      <c r="BF3147" s="2" t="s">
        <v>82</v>
      </c>
      <c r="BG3147" s="2"/>
      <c r="BH3147" s="2"/>
      <c r="BI3147" s="2"/>
      <c r="BJ3147" s="2">
        <v>13</v>
      </c>
      <c r="BK3147" s="2" t="s">
        <v>91</v>
      </c>
      <c r="BL3147" s="2"/>
      <c r="BM3147" s="2">
        <v>241</v>
      </c>
      <c r="BN3147" s="2" t="s">
        <v>82</v>
      </c>
      <c r="BO3147" s="2"/>
      <c r="BP3147" s="2">
        <v>241</v>
      </c>
      <c r="BQ3147" s="2" t="s">
        <v>82</v>
      </c>
      <c r="BR3147" s="2"/>
      <c r="BS3147" s="3">
        <v>40392</v>
      </c>
      <c r="BT3147" s="4">
        <v>9.3206018518518521E-2</v>
      </c>
    </row>
    <row r="3148" spans="1:72" x14ac:dyDescent="0.25">
      <c r="A3148" s="2">
        <v>4649</v>
      </c>
      <c r="B3148" s="2">
        <v>2010</v>
      </c>
      <c r="C3148" s="2" t="s">
        <v>72</v>
      </c>
      <c r="D3148" s="2" t="s">
        <v>73</v>
      </c>
      <c r="E3148" s="2"/>
      <c r="F3148" s="2">
        <v>389</v>
      </c>
      <c r="G3148" s="2" t="s">
        <v>1819</v>
      </c>
      <c r="H3148" s="2">
        <v>3</v>
      </c>
      <c r="I3148" s="2" t="s">
        <v>315</v>
      </c>
      <c r="J3148" s="2">
        <v>399</v>
      </c>
      <c r="K3148" s="2" t="s">
        <v>1820</v>
      </c>
      <c r="L3148" s="2" t="s">
        <v>1821</v>
      </c>
      <c r="M3148" s="3">
        <v>40392</v>
      </c>
      <c r="N3148" s="2" t="s">
        <v>4976</v>
      </c>
      <c r="O3148" s="2"/>
      <c r="P3148" s="2"/>
      <c r="Q3148" s="2" t="str">
        <f>"395-E/10"</f>
        <v>395-E/10</v>
      </c>
      <c r="R3148" s="2" t="s">
        <v>9920</v>
      </c>
      <c r="S3148" s="2" t="s">
        <v>9920</v>
      </c>
      <c r="T3148" s="2">
        <v>1</v>
      </c>
      <c r="U3148" s="2" t="s">
        <v>79</v>
      </c>
      <c r="V3148" s="2">
        <v>1</v>
      </c>
      <c r="W3148" s="2" t="s">
        <v>80</v>
      </c>
      <c r="X3148" s="2">
        <v>12</v>
      </c>
      <c r="Y3148" s="2" t="s">
        <v>148</v>
      </c>
      <c r="Z3148" s="2">
        <v>1</v>
      </c>
      <c r="AA3148" s="2" t="s">
        <v>82</v>
      </c>
      <c r="AB3148" s="2">
        <v>6</v>
      </c>
      <c r="AC3148" s="2" t="s">
        <v>83</v>
      </c>
      <c r="AD3148" s="3">
        <v>40391</v>
      </c>
      <c r="AE3148" s="2"/>
      <c r="AF3148" s="3">
        <v>40392</v>
      </c>
      <c r="AG3148" s="4">
        <v>1.3888888888888888E-2</v>
      </c>
      <c r="AH3148" s="2">
        <v>2</v>
      </c>
      <c r="AI3148" s="2" t="s">
        <v>84</v>
      </c>
      <c r="AJ3148" s="2">
        <v>9</v>
      </c>
      <c r="AK3148" s="2" t="s">
        <v>103</v>
      </c>
      <c r="AL3148" s="2">
        <v>22</v>
      </c>
      <c r="AM3148" s="2" t="s">
        <v>1853</v>
      </c>
      <c r="AN3148" s="2" t="s">
        <v>10262</v>
      </c>
      <c r="AO3148" s="2" t="s">
        <v>4848</v>
      </c>
      <c r="AP3148" s="2">
        <v>11</v>
      </c>
      <c r="AQ3148" s="2" t="s">
        <v>82</v>
      </c>
      <c r="AR3148" s="2"/>
      <c r="AS3148" s="2"/>
      <c r="AT3148" s="2" t="s">
        <v>10263</v>
      </c>
      <c r="AU3148" s="2"/>
      <c r="AV3148" s="2"/>
      <c r="AW3148" s="2"/>
      <c r="AX3148" s="2"/>
      <c r="AY3148" s="2">
        <v>41</v>
      </c>
      <c r="AZ3148" s="2" t="s">
        <v>82</v>
      </c>
      <c r="BA3148" s="2">
        <v>41</v>
      </c>
      <c r="BB3148" s="2" t="s">
        <v>82</v>
      </c>
      <c r="BC3148" s="2">
        <v>41</v>
      </c>
      <c r="BD3148" s="2" t="s">
        <v>82</v>
      </c>
      <c r="BE3148" s="2">
        <v>13</v>
      </c>
      <c r="BF3148" s="2" t="s">
        <v>108</v>
      </c>
      <c r="BG3148" s="2" t="s">
        <v>842</v>
      </c>
      <c r="BH3148" s="2"/>
      <c r="BI3148" s="4">
        <v>6.25E-2</v>
      </c>
      <c r="BJ3148" s="2">
        <v>13</v>
      </c>
      <c r="BK3148" s="2" t="s">
        <v>91</v>
      </c>
      <c r="BL3148" s="2" t="s">
        <v>112</v>
      </c>
      <c r="BM3148" s="2">
        <v>241</v>
      </c>
      <c r="BN3148" s="2" t="s">
        <v>82</v>
      </c>
      <c r="BO3148" s="2"/>
      <c r="BP3148" s="2">
        <v>73</v>
      </c>
      <c r="BQ3148" s="2" t="s">
        <v>186</v>
      </c>
      <c r="BR3148" s="2" t="s">
        <v>187</v>
      </c>
      <c r="BS3148" s="3">
        <v>40392</v>
      </c>
      <c r="BT3148" s="4">
        <v>0.25131944444444443</v>
      </c>
    </row>
    <row r="3149" spans="1:72" x14ac:dyDescent="0.25">
      <c r="A3149" s="2">
        <v>4650</v>
      </c>
      <c r="B3149" s="2">
        <v>2010</v>
      </c>
      <c r="C3149" s="2" t="s">
        <v>121</v>
      </c>
      <c r="D3149" s="2" t="s">
        <v>122</v>
      </c>
      <c r="E3149" s="2"/>
      <c r="F3149" s="2">
        <v>1</v>
      </c>
      <c r="G3149" s="2" t="s">
        <v>82</v>
      </c>
      <c r="H3149" s="2">
        <v>1</v>
      </c>
      <c r="I3149" s="2" t="s">
        <v>82</v>
      </c>
      <c r="J3149" s="2">
        <v>1</v>
      </c>
      <c r="K3149" s="2" t="s">
        <v>107</v>
      </c>
      <c r="L3149" s="2" t="s">
        <v>107</v>
      </c>
      <c r="M3149" s="3">
        <v>40392</v>
      </c>
      <c r="N3149" s="2"/>
      <c r="O3149" s="2"/>
      <c r="P3149" s="2"/>
      <c r="Q3149" s="2" t="str">
        <f>""</f>
        <v/>
      </c>
      <c r="R3149" s="2"/>
      <c r="S3149" s="2"/>
      <c r="T3149" s="2">
        <v>2</v>
      </c>
      <c r="U3149" s="2" t="s">
        <v>123</v>
      </c>
      <c r="V3149" s="2">
        <v>1</v>
      </c>
      <c r="W3149" s="2" t="s">
        <v>80</v>
      </c>
      <c r="X3149" s="2">
        <v>11</v>
      </c>
      <c r="Y3149" s="2" t="s">
        <v>1920</v>
      </c>
      <c r="Z3149" s="2">
        <v>10</v>
      </c>
      <c r="AA3149" s="2" t="s">
        <v>236</v>
      </c>
      <c r="AB3149" s="2">
        <v>9</v>
      </c>
      <c r="AC3149" s="2" t="s">
        <v>124</v>
      </c>
      <c r="AD3149" s="3">
        <v>40392</v>
      </c>
      <c r="AE3149" s="4">
        <v>0.2638888888888889</v>
      </c>
      <c r="AF3149" s="2"/>
      <c r="AG3149" s="2"/>
      <c r="AH3149" s="2">
        <v>2</v>
      </c>
      <c r="AI3149" s="2" t="s">
        <v>84</v>
      </c>
      <c r="AJ3149" s="2">
        <v>12</v>
      </c>
      <c r="AK3149" s="2" t="s">
        <v>85</v>
      </c>
      <c r="AL3149" s="2">
        <v>11</v>
      </c>
      <c r="AM3149" s="2" t="s">
        <v>137</v>
      </c>
      <c r="AN3149" s="2" t="s">
        <v>10264</v>
      </c>
      <c r="AO3149" s="2"/>
      <c r="AP3149" s="2">
        <v>11</v>
      </c>
      <c r="AQ3149" s="2" t="s">
        <v>82</v>
      </c>
      <c r="AR3149" s="2"/>
      <c r="AS3149" s="2"/>
      <c r="AT3149" s="2" t="s">
        <v>10265</v>
      </c>
      <c r="AU3149" s="2"/>
      <c r="AV3149" s="2"/>
      <c r="AW3149" s="2"/>
      <c r="AX3149" s="2"/>
      <c r="AY3149" s="2">
        <v>41</v>
      </c>
      <c r="AZ3149" s="2" t="s">
        <v>82</v>
      </c>
      <c r="BA3149" s="2">
        <v>41</v>
      </c>
      <c r="BB3149" s="2" t="s">
        <v>82</v>
      </c>
      <c r="BC3149" s="2">
        <v>41</v>
      </c>
      <c r="BD3149" s="2" t="s">
        <v>82</v>
      </c>
      <c r="BE3149" s="2">
        <v>13</v>
      </c>
      <c r="BF3149" s="2" t="s">
        <v>108</v>
      </c>
      <c r="BG3149" s="2" t="s">
        <v>10266</v>
      </c>
      <c r="BH3149" s="4">
        <v>0.33333333333333331</v>
      </c>
      <c r="BI3149" s="4">
        <v>0.2638888888888889</v>
      </c>
      <c r="BJ3149" s="2">
        <v>13</v>
      </c>
      <c r="BK3149" s="2" t="s">
        <v>91</v>
      </c>
      <c r="BL3149" s="2" t="s">
        <v>185</v>
      </c>
      <c r="BM3149" s="2">
        <v>241</v>
      </c>
      <c r="BN3149" s="2" t="s">
        <v>82</v>
      </c>
      <c r="BO3149" s="2"/>
      <c r="BP3149" s="2">
        <v>13</v>
      </c>
      <c r="BQ3149" s="2" t="s">
        <v>91</v>
      </c>
      <c r="BR3149" s="2" t="s">
        <v>854</v>
      </c>
      <c r="BS3149" s="3">
        <v>40392</v>
      </c>
      <c r="BT3149" s="4">
        <v>0.27502314814814816</v>
      </c>
    </row>
    <row r="3150" spans="1:72" x14ac:dyDescent="0.25">
      <c r="A3150" s="2">
        <v>4651</v>
      </c>
      <c r="B3150" s="2">
        <v>2010</v>
      </c>
      <c r="C3150" s="2" t="s">
        <v>171</v>
      </c>
      <c r="D3150" s="2" t="s">
        <v>122</v>
      </c>
      <c r="E3150" s="2"/>
      <c r="F3150" s="2">
        <v>337</v>
      </c>
      <c r="G3150" s="2" t="s">
        <v>1190</v>
      </c>
      <c r="H3150" s="2">
        <v>66</v>
      </c>
      <c r="I3150" s="2" t="s">
        <v>3190</v>
      </c>
      <c r="J3150" s="2">
        <v>374</v>
      </c>
      <c r="K3150" s="2" t="s">
        <v>1191</v>
      </c>
      <c r="L3150" s="2" t="s">
        <v>132</v>
      </c>
      <c r="M3150" s="3">
        <v>40392</v>
      </c>
      <c r="N3150" s="2" t="s">
        <v>10267</v>
      </c>
      <c r="O3150" s="2" t="s">
        <v>10268</v>
      </c>
      <c r="P3150" s="2" t="s">
        <v>10269</v>
      </c>
      <c r="Q3150" s="2" t="str">
        <f>"S/NRO."</f>
        <v>S/NRO.</v>
      </c>
      <c r="R3150" s="2"/>
      <c r="S3150" s="2" t="s">
        <v>10270</v>
      </c>
      <c r="T3150" s="2">
        <v>1</v>
      </c>
      <c r="U3150" s="2" t="s">
        <v>79</v>
      </c>
      <c r="V3150" s="2">
        <v>3</v>
      </c>
      <c r="W3150" s="2" t="s">
        <v>225</v>
      </c>
      <c r="X3150" s="2">
        <v>6</v>
      </c>
      <c r="Y3150" s="2" t="s">
        <v>249</v>
      </c>
      <c r="Z3150" s="2">
        <v>1</v>
      </c>
      <c r="AA3150" s="2" t="s">
        <v>82</v>
      </c>
      <c r="AB3150" s="2">
        <v>9</v>
      </c>
      <c r="AC3150" s="2" t="s">
        <v>124</v>
      </c>
      <c r="AD3150" s="2"/>
      <c r="AE3150" s="2"/>
      <c r="AF3150" s="2"/>
      <c r="AG3150" s="2"/>
      <c r="AH3150" s="2">
        <v>5</v>
      </c>
      <c r="AI3150" s="2" t="s">
        <v>274</v>
      </c>
      <c r="AJ3150" s="2">
        <v>35</v>
      </c>
      <c r="AK3150" s="2" t="s">
        <v>275</v>
      </c>
      <c r="AL3150" s="2">
        <v>18</v>
      </c>
      <c r="AM3150" s="2" t="s">
        <v>82</v>
      </c>
      <c r="AN3150" s="2" t="s">
        <v>10271</v>
      </c>
      <c r="AO3150" s="2" t="s">
        <v>6998</v>
      </c>
      <c r="AP3150" s="2">
        <v>11</v>
      </c>
      <c r="AQ3150" s="2" t="s">
        <v>82</v>
      </c>
      <c r="AR3150" s="2"/>
      <c r="AS3150" s="2"/>
      <c r="AT3150" s="2" t="s">
        <v>10272</v>
      </c>
      <c r="AU3150" s="2"/>
      <c r="AV3150" s="2"/>
      <c r="AW3150" s="2"/>
      <c r="AX3150" s="2"/>
      <c r="AY3150" s="2">
        <v>1</v>
      </c>
      <c r="AZ3150" s="2" t="s">
        <v>107</v>
      </c>
      <c r="BA3150" s="2">
        <v>1</v>
      </c>
      <c r="BB3150" s="2" t="s">
        <v>107</v>
      </c>
      <c r="BC3150" s="2">
        <v>1</v>
      </c>
      <c r="BD3150" s="2" t="s">
        <v>107</v>
      </c>
      <c r="BE3150" s="2">
        <v>1</v>
      </c>
      <c r="BF3150" s="2" t="s">
        <v>107</v>
      </c>
      <c r="BG3150" s="2"/>
      <c r="BH3150" s="2"/>
      <c r="BI3150" s="2"/>
      <c r="BJ3150" s="2">
        <v>242</v>
      </c>
      <c r="BK3150" s="2" t="s">
        <v>107</v>
      </c>
      <c r="BL3150" s="2"/>
      <c r="BM3150" s="2">
        <v>242</v>
      </c>
      <c r="BN3150" s="2" t="s">
        <v>107</v>
      </c>
      <c r="BO3150" s="2"/>
      <c r="BP3150" s="2">
        <v>242</v>
      </c>
      <c r="BQ3150" s="2" t="s">
        <v>107</v>
      </c>
      <c r="BR3150" s="2"/>
      <c r="BS3150" s="3">
        <v>40392</v>
      </c>
      <c r="BT3150" s="4">
        <v>0.39222222222222225</v>
      </c>
    </row>
    <row r="3151" spans="1:72" x14ac:dyDescent="0.25">
      <c r="A3151" s="2">
        <v>4653</v>
      </c>
      <c r="B3151" s="2">
        <v>2010</v>
      </c>
      <c r="C3151" s="2" t="s">
        <v>171</v>
      </c>
      <c r="D3151" s="2" t="s">
        <v>122</v>
      </c>
      <c r="E3151" s="2"/>
      <c r="F3151" s="2">
        <v>337</v>
      </c>
      <c r="G3151" s="2" t="s">
        <v>1190</v>
      </c>
      <c r="H3151" s="2">
        <v>66</v>
      </c>
      <c r="I3151" s="2" t="s">
        <v>3190</v>
      </c>
      <c r="J3151" s="2">
        <v>374</v>
      </c>
      <c r="K3151" s="2" t="s">
        <v>1191</v>
      </c>
      <c r="L3151" s="2" t="s">
        <v>132</v>
      </c>
      <c r="M3151" s="3">
        <v>40392</v>
      </c>
      <c r="N3151" s="2" t="s">
        <v>6995</v>
      </c>
      <c r="O3151" s="2" t="s">
        <v>10273</v>
      </c>
      <c r="P3151" s="2" t="s">
        <v>10274</v>
      </c>
      <c r="Q3151" s="2" t="str">
        <f>"S/ NRO."</f>
        <v>S/ NRO.</v>
      </c>
      <c r="R3151" s="2"/>
      <c r="S3151" s="2" t="s">
        <v>10275</v>
      </c>
      <c r="T3151" s="2">
        <v>1</v>
      </c>
      <c r="U3151" s="2" t="s">
        <v>79</v>
      </c>
      <c r="V3151" s="2">
        <v>3</v>
      </c>
      <c r="W3151" s="2" t="s">
        <v>225</v>
      </c>
      <c r="X3151" s="2">
        <v>6</v>
      </c>
      <c r="Y3151" s="2" t="s">
        <v>249</v>
      </c>
      <c r="Z3151" s="2">
        <v>1</v>
      </c>
      <c r="AA3151" s="2" t="s">
        <v>82</v>
      </c>
      <c r="AB3151" s="2">
        <v>9</v>
      </c>
      <c r="AC3151" s="2" t="s">
        <v>124</v>
      </c>
      <c r="AD3151" s="2"/>
      <c r="AE3151" s="2"/>
      <c r="AF3151" s="2"/>
      <c r="AG3151" s="2"/>
      <c r="AH3151" s="2">
        <v>5</v>
      </c>
      <c r="AI3151" s="2" t="s">
        <v>274</v>
      </c>
      <c r="AJ3151" s="2">
        <v>35</v>
      </c>
      <c r="AK3151" s="2" t="s">
        <v>275</v>
      </c>
      <c r="AL3151" s="2">
        <v>18</v>
      </c>
      <c r="AM3151" s="2" t="s">
        <v>82</v>
      </c>
      <c r="AN3151" s="2" t="s">
        <v>4800</v>
      </c>
      <c r="AO3151" s="2" t="s">
        <v>6998</v>
      </c>
      <c r="AP3151" s="2">
        <v>11</v>
      </c>
      <c r="AQ3151" s="2" t="s">
        <v>82</v>
      </c>
      <c r="AR3151" s="2"/>
      <c r="AS3151" s="2"/>
      <c r="AT3151" s="2" t="s">
        <v>10276</v>
      </c>
      <c r="AU3151" s="2"/>
      <c r="AV3151" s="2"/>
      <c r="AW3151" s="2"/>
      <c r="AX3151" s="2"/>
      <c r="AY3151" s="2">
        <v>1</v>
      </c>
      <c r="AZ3151" s="2" t="s">
        <v>107</v>
      </c>
      <c r="BA3151" s="2">
        <v>1</v>
      </c>
      <c r="BB3151" s="2" t="s">
        <v>107</v>
      </c>
      <c r="BC3151" s="2">
        <v>1</v>
      </c>
      <c r="BD3151" s="2" t="s">
        <v>107</v>
      </c>
      <c r="BE3151" s="2">
        <v>1</v>
      </c>
      <c r="BF3151" s="2" t="s">
        <v>107</v>
      </c>
      <c r="BG3151" s="2"/>
      <c r="BH3151" s="2"/>
      <c r="BI3151" s="2"/>
      <c r="BJ3151" s="2">
        <v>242</v>
      </c>
      <c r="BK3151" s="2" t="s">
        <v>107</v>
      </c>
      <c r="BL3151" s="2"/>
      <c r="BM3151" s="2">
        <v>242</v>
      </c>
      <c r="BN3151" s="2" t="s">
        <v>107</v>
      </c>
      <c r="BO3151" s="2"/>
      <c r="BP3151" s="2">
        <v>242</v>
      </c>
      <c r="BQ3151" s="2" t="s">
        <v>107</v>
      </c>
      <c r="BR3151" s="2"/>
      <c r="BS3151" s="3">
        <v>40392</v>
      </c>
      <c r="BT3151" s="4">
        <v>0.41221064814814817</v>
      </c>
    </row>
    <row r="3152" spans="1:72" x14ac:dyDescent="0.25">
      <c r="A3152" s="2">
        <v>4654</v>
      </c>
      <c r="B3152" s="2">
        <v>2010</v>
      </c>
      <c r="C3152" s="2" t="s">
        <v>243</v>
      </c>
      <c r="D3152" s="2" t="s">
        <v>122</v>
      </c>
      <c r="E3152" s="2"/>
      <c r="F3152" s="2">
        <v>338</v>
      </c>
      <c r="G3152" s="2" t="s">
        <v>4459</v>
      </c>
      <c r="H3152" s="2">
        <v>84</v>
      </c>
      <c r="I3152" s="2" t="s">
        <v>8117</v>
      </c>
      <c r="J3152" s="2">
        <v>309</v>
      </c>
      <c r="K3152" s="2" t="s">
        <v>268</v>
      </c>
      <c r="L3152" s="2" t="s">
        <v>269</v>
      </c>
      <c r="M3152" s="3">
        <v>40392</v>
      </c>
      <c r="N3152" s="2" t="s">
        <v>10277</v>
      </c>
      <c r="O3152" s="2" t="s">
        <v>10278</v>
      </c>
      <c r="P3152" s="2" t="s">
        <v>10279</v>
      </c>
      <c r="Q3152" s="2" t="str">
        <f>"S/NRO."</f>
        <v>S/NRO.</v>
      </c>
      <c r="R3152" s="2"/>
      <c r="S3152" s="2" t="s">
        <v>10280</v>
      </c>
      <c r="T3152" s="2">
        <v>1</v>
      </c>
      <c r="U3152" s="2" t="s">
        <v>79</v>
      </c>
      <c r="V3152" s="2">
        <v>3</v>
      </c>
      <c r="W3152" s="2" t="s">
        <v>225</v>
      </c>
      <c r="X3152" s="2">
        <v>6</v>
      </c>
      <c r="Y3152" s="2" t="s">
        <v>249</v>
      </c>
      <c r="Z3152" s="2">
        <v>1</v>
      </c>
      <c r="AA3152" s="2" t="s">
        <v>82</v>
      </c>
      <c r="AB3152" s="2">
        <v>9</v>
      </c>
      <c r="AC3152" s="2" t="s">
        <v>124</v>
      </c>
      <c r="AD3152" s="2"/>
      <c r="AE3152" s="2"/>
      <c r="AF3152" s="2"/>
      <c r="AG3152" s="2"/>
      <c r="AH3152" s="2">
        <v>5</v>
      </c>
      <c r="AI3152" s="2" t="s">
        <v>274</v>
      </c>
      <c r="AJ3152" s="2">
        <v>35</v>
      </c>
      <c r="AK3152" s="2" t="s">
        <v>275</v>
      </c>
      <c r="AL3152" s="2">
        <v>18</v>
      </c>
      <c r="AM3152" s="2" t="s">
        <v>82</v>
      </c>
      <c r="AN3152" s="2" t="s">
        <v>4800</v>
      </c>
      <c r="AO3152" s="2" t="s">
        <v>6998</v>
      </c>
      <c r="AP3152" s="2">
        <v>11</v>
      </c>
      <c r="AQ3152" s="2" t="s">
        <v>82</v>
      </c>
      <c r="AR3152" s="2"/>
      <c r="AS3152" s="2"/>
      <c r="AT3152" s="2" t="s">
        <v>10281</v>
      </c>
      <c r="AU3152" s="2"/>
      <c r="AV3152" s="2"/>
      <c r="AW3152" s="2"/>
      <c r="AX3152" s="2"/>
      <c r="AY3152" s="2">
        <v>1</v>
      </c>
      <c r="AZ3152" s="2" t="s">
        <v>107</v>
      </c>
      <c r="BA3152" s="2">
        <v>1</v>
      </c>
      <c r="BB3152" s="2" t="s">
        <v>107</v>
      </c>
      <c r="BC3152" s="2">
        <v>1</v>
      </c>
      <c r="BD3152" s="2" t="s">
        <v>107</v>
      </c>
      <c r="BE3152" s="2">
        <v>1</v>
      </c>
      <c r="BF3152" s="2" t="s">
        <v>107</v>
      </c>
      <c r="BG3152" s="2"/>
      <c r="BH3152" s="2"/>
      <c r="BI3152" s="2"/>
      <c r="BJ3152" s="2">
        <v>242</v>
      </c>
      <c r="BK3152" s="2" t="s">
        <v>107</v>
      </c>
      <c r="BL3152" s="2"/>
      <c r="BM3152" s="2">
        <v>242</v>
      </c>
      <c r="BN3152" s="2" t="s">
        <v>107</v>
      </c>
      <c r="BO3152" s="2"/>
      <c r="BP3152" s="2">
        <v>242</v>
      </c>
      <c r="BQ3152" s="2" t="s">
        <v>107</v>
      </c>
      <c r="BR3152" s="2"/>
      <c r="BS3152" s="3">
        <v>40392</v>
      </c>
      <c r="BT3152" s="4">
        <v>0.46039351851851856</v>
      </c>
    </row>
    <row r="3153" spans="1:72" x14ac:dyDescent="0.25">
      <c r="A3153" s="2">
        <v>4655</v>
      </c>
      <c r="B3153" s="2">
        <v>2010</v>
      </c>
      <c r="C3153" s="2" t="s">
        <v>121</v>
      </c>
      <c r="D3153" s="2" t="s">
        <v>122</v>
      </c>
      <c r="E3153" s="2"/>
      <c r="F3153" s="2">
        <v>1</v>
      </c>
      <c r="G3153" s="2" t="s">
        <v>82</v>
      </c>
      <c r="H3153" s="2">
        <v>1</v>
      </c>
      <c r="I3153" s="2" t="s">
        <v>82</v>
      </c>
      <c r="J3153" s="2">
        <v>1</v>
      </c>
      <c r="K3153" s="2" t="s">
        <v>107</v>
      </c>
      <c r="L3153" s="2" t="s">
        <v>107</v>
      </c>
      <c r="M3153" s="3">
        <v>40392</v>
      </c>
      <c r="N3153" s="2"/>
      <c r="O3153" s="2"/>
      <c r="P3153" s="2"/>
      <c r="Q3153" s="2" t="str">
        <f>""</f>
        <v/>
      </c>
      <c r="R3153" s="2"/>
      <c r="S3153" s="2"/>
      <c r="T3153" s="2">
        <v>2</v>
      </c>
      <c r="U3153" s="2" t="s">
        <v>123</v>
      </c>
      <c r="V3153" s="2">
        <v>1</v>
      </c>
      <c r="W3153" s="2" t="s">
        <v>80</v>
      </c>
      <c r="X3153" s="2">
        <v>11</v>
      </c>
      <c r="Y3153" s="2" t="s">
        <v>1920</v>
      </c>
      <c r="Z3153" s="2">
        <v>10</v>
      </c>
      <c r="AA3153" s="2" t="s">
        <v>236</v>
      </c>
      <c r="AB3153" s="2">
        <v>9</v>
      </c>
      <c r="AC3153" s="2" t="s">
        <v>124</v>
      </c>
      <c r="AD3153" s="3">
        <v>40392</v>
      </c>
      <c r="AE3153" s="4">
        <v>0.34722222222222227</v>
      </c>
      <c r="AF3153" s="2"/>
      <c r="AG3153" s="2"/>
      <c r="AH3153" s="2">
        <v>2</v>
      </c>
      <c r="AI3153" s="2" t="s">
        <v>84</v>
      </c>
      <c r="AJ3153" s="2">
        <v>12</v>
      </c>
      <c r="AK3153" s="2" t="s">
        <v>85</v>
      </c>
      <c r="AL3153" s="2">
        <v>10</v>
      </c>
      <c r="AM3153" s="2" t="s">
        <v>200</v>
      </c>
      <c r="AN3153" s="2" t="s">
        <v>10282</v>
      </c>
      <c r="AO3153" s="2" t="s">
        <v>909</v>
      </c>
      <c r="AP3153" s="2">
        <v>11</v>
      </c>
      <c r="AQ3153" s="2" t="s">
        <v>82</v>
      </c>
      <c r="AR3153" s="2"/>
      <c r="AS3153" s="2"/>
      <c r="AT3153" s="2" t="s">
        <v>10283</v>
      </c>
      <c r="AU3153" s="2"/>
      <c r="AV3153" s="2"/>
      <c r="AW3153" s="2"/>
      <c r="AX3153" s="2"/>
      <c r="AY3153" s="2">
        <v>41</v>
      </c>
      <c r="AZ3153" s="2" t="s">
        <v>82</v>
      </c>
      <c r="BA3153" s="2">
        <v>41</v>
      </c>
      <c r="BB3153" s="2" t="s">
        <v>82</v>
      </c>
      <c r="BC3153" s="2">
        <v>70</v>
      </c>
      <c r="BD3153" s="2" t="s">
        <v>236</v>
      </c>
      <c r="BE3153" s="2">
        <v>13</v>
      </c>
      <c r="BF3153" s="2" t="s">
        <v>108</v>
      </c>
      <c r="BG3153" s="2" t="s">
        <v>10284</v>
      </c>
      <c r="BH3153" s="4">
        <v>0.36805555555555558</v>
      </c>
      <c r="BI3153" s="2"/>
      <c r="BJ3153" s="2">
        <v>172</v>
      </c>
      <c r="BK3153" s="2" t="s">
        <v>843</v>
      </c>
      <c r="BL3153" s="2" t="s">
        <v>7971</v>
      </c>
      <c r="BM3153" s="2">
        <v>241</v>
      </c>
      <c r="BN3153" s="2" t="s">
        <v>82</v>
      </c>
      <c r="BO3153" s="2"/>
      <c r="BP3153" s="2">
        <v>13</v>
      </c>
      <c r="BQ3153" s="2" t="s">
        <v>91</v>
      </c>
      <c r="BR3153" s="2" t="s">
        <v>185</v>
      </c>
      <c r="BS3153" s="3">
        <v>40392</v>
      </c>
      <c r="BT3153" s="4">
        <v>0.4919560185185185</v>
      </c>
    </row>
    <row r="3154" spans="1:72" x14ac:dyDescent="0.25">
      <c r="A3154" s="2">
        <v>4659</v>
      </c>
      <c r="B3154" s="2">
        <v>2010</v>
      </c>
      <c r="C3154" s="2" t="s">
        <v>4543</v>
      </c>
      <c r="D3154" s="2" t="s">
        <v>122</v>
      </c>
      <c r="E3154" s="2"/>
      <c r="F3154" s="2">
        <v>540</v>
      </c>
      <c r="G3154" s="2" t="s">
        <v>7178</v>
      </c>
      <c r="H3154" s="2">
        <v>6</v>
      </c>
      <c r="I3154" s="2" t="s">
        <v>1088</v>
      </c>
      <c r="J3154" s="2">
        <v>287</v>
      </c>
      <c r="K3154" s="2" t="s">
        <v>10285</v>
      </c>
      <c r="L3154" s="2" t="s">
        <v>10286</v>
      </c>
      <c r="M3154" s="3">
        <v>40392</v>
      </c>
      <c r="N3154" s="2" t="s">
        <v>10287</v>
      </c>
      <c r="O3154" s="2" t="s">
        <v>107</v>
      </c>
      <c r="P3154" s="2" t="s">
        <v>107</v>
      </c>
      <c r="Q3154" s="2" t="str">
        <f>"S/D"</f>
        <v>S/D</v>
      </c>
      <c r="R3154" s="2" t="s">
        <v>107</v>
      </c>
      <c r="S3154" s="2" t="s">
        <v>107</v>
      </c>
      <c r="T3154" s="2">
        <v>2</v>
      </c>
      <c r="U3154" s="2" t="s">
        <v>123</v>
      </c>
      <c r="V3154" s="2">
        <v>1</v>
      </c>
      <c r="W3154" s="2" t="s">
        <v>80</v>
      </c>
      <c r="X3154" s="2">
        <v>5</v>
      </c>
      <c r="Y3154" s="2" t="s">
        <v>82</v>
      </c>
      <c r="Z3154" s="2">
        <v>1</v>
      </c>
      <c r="AA3154" s="2" t="s">
        <v>82</v>
      </c>
      <c r="AB3154" s="2">
        <v>9</v>
      </c>
      <c r="AC3154" s="2" t="s">
        <v>124</v>
      </c>
      <c r="AD3154" s="3">
        <v>40392</v>
      </c>
      <c r="AE3154" s="4">
        <v>0.40972222222222227</v>
      </c>
      <c r="AF3154" s="2"/>
      <c r="AG3154" s="2"/>
      <c r="AH3154" s="2">
        <v>3</v>
      </c>
      <c r="AI3154" s="2" t="s">
        <v>214</v>
      </c>
      <c r="AJ3154" s="2">
        <v>23</v>
      </c>
      <c r="AK3154" s="2" t="s">
        <v>851</v>
      </c>
      <c r="AL3154" s="2">
        <v>28</v>
      </c>
      <c r="AM3154" s="2" t="s">
        <v>5969</v>
      </c>
      <c r="AN3154" s="2" t="s">
        <v>10288</v>
      </c>
      <c r="AO3154" s="2" t="s">
        <v>82</v>
      </c>
      <c r="AP3154" s="2">
        <v>11</v>
      </c>
      <c r="AQ3154" s="2" t="s">
        <v>82</v>
      </c>
      <c r="AR3154" s="2"/>
      <c r="AS3154" s="2"/>
      <c r="AT3154" s="2" t="s">
        <v>10289</v>
      </c>
      <c r="AU3154" s="2"/>
      <c r="AV3154" s="2"/>
      <c r="AW3154" s="2"/>
      <c r="AX3154" s="2"/>
      <c r="AY3154" s="2">
        <v>41</v>
      </c>
      <c r="AZ3154" s="2" t="s">
        <v>82</v>
      </c>
      <c r="BA3154" s="2">
        <v>41</v>
      </c>
      <c r="BB3154" s="2" t="s">
        <v>82</v>
      </c>
      <c r="BC3154" s="2">
        <v>41</v>
      </c>
      <c r="BD3154" s="2" t="s">
        <v>82</v>
      </c>
      <c r="BE3154" s="2">
        <v>41</v>
      </c>
      <c r="BF3154" s="2" t="s">
        <v>82</v>
      </c>
      <c r="BG3154" s="2"/>
      <c r="BH3154" s="2"/>
      <c r="BI3154" s="2"/>
      <c r="BJ3154" s="2">
        <v>241</v>
      </c>
      <c r="BK3154" s="2" t="s">
        <v>82</v>
      </c>
      <c r="BL3154" s="2"/>
      <c r="BM3154" s="2">
        <v>241</v>
      </c>
      <c r="BN3154" s="2" t="s">
        <v>82</v>
      </c>
      <c r="BO3154" s="2"/>
      <c r="BP3154" s="2">
        <v>241</v>
      </c>
      <c r="BQ3154" s="2" t="s">
        <v>82</v>
      </c>
      <c r="BR3154" s="2"/>
      <c r="BS3154" s="3">
        <v>40392</v>
      </c>
      <c r="BT3154" s="4">
        <v>0.53344907407407405</v>
      </c>
    </row>
    <row r="3155" spans="1:72" x14ac:dyDescent="0.25">
      <c r="A3155" s="2">
        <v>4660</v>
      </c>
      <c r="B3155" s="2">
        <v>2010</v>
      </c>
      <c r="C3155" s="2" t="s">
        <v>72</v>
      </c>
      <c r="D3155" s="2" t="s">
        <v>73</v>
      </c>
      <c r="E3155" s="2"/>
      <c r="F3155" s="2">
        <v>664</v>
      </c>
      <c r="G3155" s="2" t="s">
        <v>10256</v>
      </c>
      <c r="H3155" s="2">
        <v>42</v>
      </c>
      <c r="I3155" s="2" t="s">
        <v>1096</v>
      </c>
      <c r="J3155" s="2">
        <v>634</v>
      </c>
      <c r="K3155" s="2" t="s">
        <v>10257</v>
      </c>
      <c r="L3155" s="2" t="s">
        <v>5984</v>
      </c>
      <c r="M3155" s="3">
        <v>40392</v>
      </c>
      <c r="N3155" s="2" t="s">
        <v>10290</v>
      </c>
      <c r="O3155" s="2"/>
      <c r="P3155" s="2"/>
      <c r="Q3155" s="2" t="str">
        <f>"300-A/10"</f>
        <v>300-A/10</v>
      </c>
      <c r="R3155" s="2" t="s">
        <v>1547</v>
      </c>
      <c r="S3155" s="2" t="s">
        <v>1547</v>
      </c>
      <c r="T3155" s="2">
        <v>1</v>
      </c>
      <c r="U3155" s="2" t="s">
        <v>79</v>
      </c>
      <c r="V3155" s="2">
        <v>1</v>
      </c>
      <c r="W3155" s="2" t="s">
        <v>80</v>
      </c>
      <c r="X3155" s="2">
        <v>12</v>
      </c>
      <c r="Y3155" s="2" t="s">
        <v>148</v>
      </c>
      <c r="Z3155" s="2">
        <v>1</v>
      </c>
      <c r="AA3155" s="2" t="s">
        <v>82</v>
      </c>
      <c r="AB3155" s="2">
        <v>6</v>
      </c>
      <c r="AC3155" s="2" t="s">
        <v>83</v>
      </c>
      <c r="AD3155" s="3">
        <v>40392</v>
      </c>
      <c r="AE3155" s="2"/>
      <c r="AF3155" s="3">
        <v>40392</v>
      </c>
      <c r="AG3155" s="4">
        <v>0.4513888888888889</v>
      </c>
      <c r="AH3155" s="2">
        <v>2</v>
      </c>
      <c r="AI3155" s="2" t="s">
        <v>84</v>
      </c>
      <c r="AJ3155" s="2">
        <v>12</v>
      </c>
      <c r="AK3155" s="2" t="s">
        <v>85</v>
      </c>
      <c r="AL3155" s="2">
        <v>22</v>
      </c>
      <c r="AM3155" s="2" t="s">
        <v>1853</v>
      </c>
      <c r="AN3155" s="2" t="s">
        <v>10291</v>
      </c>
      <c r="AO3155" s="2" t="s">
        <v>3560</v>
      </c>
      <c r="AP3155" s="2">
        <v>11</v>
      </c>
      <c r="AQ3155" s="2" t="s">
        <v>82</v>
      </c>
      <c r="AR3155" s="2"/>
      <c r="AS3155" s="2"/>
      <c r="AT3155" s="2" t="s">
        <v>10292</v>
      </c>
      <c r="AU3155" s="2"/>
      <c r="AV3155" s="2"/>
      <c r="AW3155" s="2"/>
      <c r="AX3155" s="2"/>
      <c r="AY3155" s="2">
        <v>41</v>
      </c>
      <c r="AZ3155" s="2" t="s">
        <v>82</v>
      </c>
      <c r="BA3155" s="2">
        <v>41</v>
      </c>
      <c r="BB3155" s="2" t="s">
        <v>82</v>
      </c>
      <c r="BC3155" s="2">
        <v>41</v>
      </c>
      <c r="BD3155" s="2" t="s">
        <v>82</v>
      </c>
      <c r="BE3155" s="2">
        <v>13</v>
      </c>
      <c r="BF3155" s="2" t="s">
        <v>108</v>
      </c>
      <c r="BG3155" s="2" t="s">
        <v>10293</v>
      </c>
      <c r="BH3155" s="4">
        <v>0.40972222222222227</v>
      </c>
      <c r="BI3155" s="2"/>
      <c r="BJ3155" s="2">
        <v>13</v>
      </c>
      <c r="BK3155" s="2" t="s">
        <v>91</v>
      </c>
      <c r="BL3155" s="2" t="s">
        <v>169</v>
      </c>
      <c r="BM3155" s="2">
        <v>241</v>
      </c>
      <c r="BN3155" s="2" t="s">
        <v>82</v>
      </c>
      <c r="BO3155" s="2"/>
      <c r="BP3155" s="2">
        <v>13</v>
      </c>
      <c r="BQ3155" s="2" t="s">
        <v>91</v>
      </c>
      <c r="BR3155" s="2" t="s">
        <v>185</v>
      </c>
      <c r="BS3155" s="3">
        <v>40392</v>
      </c>
      <c r="BT3155" s="4">
        <v>0.54418981481481488</v>
      </c>
    </row>
    <row r="3156" spans="1:72" x14ac:dyDescent="0.25">
      <c r="A3156" s="2">
        <v>4661</v>
      </c>
      <c r="B3156" s="2">
        <v>2010</v>
      </c>
      <c r="C3156" s="2" t="s">
        <v>72</v>
      </c>
      <c r="D3156" s="2" t="s">
        <v>73</v>
      </c>
      <c r="E3156" s="2"/>
      <c r="F3156" s="2">
        <v>185</v>
      </c>
      <c r="G3156" s="2" t="s">
        <v>10294</v>
      </c>
      <c r="H3156" s="2">
        <v>42</v>
      </c>
      <c r="I3156" s="2" t="s">
        <v>1096</v>
      </c>
      <c r="J3156" s="2">
        <v>634</v>
      </c>
      <c r="K3156" s="2" t="s">
        <v>10257</v>
      </c>
      <c r="L3156" s="2" t="s">
        <v>5984</v>
      </c>
      <c r="M3156" s="3">
        <v>40392</v>
      </c>
      <c r="N3156" s="2" t="s">
        <v>10295</v>
      </c>
      <c r="O3156" s="2"/>
      <c r="P3156" s="2"/>
      <c r="Q3156" s="2" t="str">
        <f>"301-A/10"</f>
        <v>301-A/10</v>
      </c>
      <c r="R3156" s="2"/>
      <c r="S3156" s="2" t="s">
        <v>1547</v>
      </c>
      <c r="T3156" s="2">
        <v>1</v>
      </c>
      <c r="U3156" s="2" t="s">
        <v>79</v>
      </c>
      <c r="V3156" s="2">
        <v>1</v>
      </c>
      <c r="W3156" s="2" t="s">
        <v>80</v>
      </c>
      <c r="X3156" s="2">
        <v>12</v>
      </c>
      <c r="Y3156" s="2" t="s">
        <v>148</v>
      </c>
      <c r="Z3156" s="2">
        <v>1</v>
      </c>
      <c r="AA3156" s="2" t="s">
        <v>82</v>
      </c>
      <c r="AB3156" s="2">
        <v>6</v>
      </c>
      <c r="AC3156" s="2" t="s">
        <v>83</v>
      </c>
      <c r="AD3156" s="3">
        <v>40392</v>
      </c>
      <c r="AE3156" s="2"/>
      <c r="AF3156" s="3">
        <v>40392</v>
      </c>
      <c r="AG3156" s="4">
        <v>0.47916666666666669</v>
      </c>
      <c r="AH3156" s="2">
        <v>2</v>
      </c>
      <c r="AI3156" s="2" t="s">
        <v>84</v>
      </c>
      <c r="AJ3156" s="2">
        <v>12</v>
      </c>
      <c r="AK3156" s="2" t="s">
        <v>85</v>
      </c>
      <c r="AL3156" s="2">
        <v>22</v>
      </c>
      <c r="AM3156" s="2" t="s">
        <v>1853</v>
      </c>
      <c r="AN3156" s="2"/>
      <c r="AO3156" s="2" t="s">
        <v>7625</v>
      </c>
      <c r="AP3156" s="2">
        <v>11</v>
      </c>
      <c r="AQ3156" s="2" t="s">
        <v>82</v>
      </c>
      <c r="AR3156" s="2"/>
      <c r="AS3156" s="2"/>
      <c r="AT3156" s="2" t="s">
        <v>10296</v>
      </c>
      <c r="AU3156" s="2"/>
      <c r="AV3156" s="2"/>
      <c r="AW3156" s="2"/>
      <c r="AX3156" s="2"/>
      <c r="AY3156" s="2">
        <v>41</v>
      </c>
      <c r="AZ3156" s="2" t="s">
        <v>82</v>
      </c>
      <c r="BA3156" s="2">
        <v>41</v>
      </c>
      <c r="BB3156" s="2" t="s">
        <v>82</v>
      </c>
      <c r="BC3156" s="2">
        <v>41</v>
      </c>
      <c r="BD3156" s="2" t="s">
        <v>82</v>
      </c>
      <c r="BE3156" s="2">
        <v>13</v>
      </c>
      <c r="BF3156" s="2" t="s">
        <v>108</v>
      </c>
      <c r="BG3156" s="2" t="s">
        <v>10297</v>
      </c>
      <c r="BH3156" s="4">
        <v>0.40625</v>
      </c>
      <c r="BI3156" s="2"/>
      <c r="BJ3156" s="2">
        <v>229</v>
      </c>
      <c r="BK3156" s="2" t="s">
        <v>300</v>
      </c>
      <c r="BL3156" s="2" t="s">
        <v>573</v>
      </c>
      <c r="BM3156" s="2">
        <v>241</v>
      </c>
      <c r="BN3156" s="2" t="s">
        <v>82</v>
      </c>
      <c r="BO3156" s="2"/>
      <c r="BP3156" s="2">
        <v>13</v>
      </c>
      <c r="BQ3156" s="2" t="s">
        <v>91</v>
      </c>
      <c r="BR3156" s="2" t="s">
        <v>564</v>
      </c>
      <c r="BS3156" s="3">
        <v>40392</v>
      </c>
      <c r="BT3156" s="4">
        <v>0.56018518518518523</v>
      </c>
    </row>
    <row r="3157" spans="1:72" x14ac:dyDescent="0.25">
      <c r="A3157" s="2">
        <v>4662</v>
      </c>
      <c r="B3157" s="2">
        <v>2010</v>
      </c>
      <c r="C3157" s="2" t="s">
        <v>196</v>
      </c>
      <c r="D3157" s="2" t="s">
        <v>122</v>
      </c>
      <c r="E3157" s="2"/>
      <c r="F3157" s="2">
        <v>1</v>
      </c>
      <c r="G3157" s="2" t="s">
        <v>82</v>
      </c>
      <c r="H3157" s="2">
        <v>1</v>
      </c>
      <c r="I3157" s="2" t="s">
        <v>82</v>
      </c>
      <c r="J3157" s="2">
        <v>1</v>
      </c>
      <c r="K3157" s="2" t="s">
        <v>107</v>
      </c>
      <c r="L3157" s="2" t="s">
        <v>107</v>
      </c>
      <c r="M3157" s="3">
        <v>40392</v>
      </c>
      <c r="N3157" s="2"/>
      <c r="O3157" s="2"/>
      <c r="P3157" s="2"/>
      <c r="Q3157" s="2" t="str">
        <f>""</f>
        <v/>
      </c>
      <c r="R3157" s="2"/>
      <c r="S3157" s="2"/>
      <c r="T3157" s="2">
        <v>2</v>
      </c>
      <c r="U3157" s="2" t="s">
        <v>123</v>
      </c>
      <c r="V3157" s="2">
        <v>1</v>
      </c>
      <c r="W3157" s="2" t="s">
        <v>80</v>
      </c>
      <c r="X3157" s="2">
        <v>11</v>
      </c>
      <c r="Y3157" s="2" t="s">
        <v>1920</v>
      </c>
      <c r="Z3157" s="2">
        <v>10</v>
      </c>
      <c r="AA3157" s="2" t="s">
        <v>236</v>
      </c>
      <c r="AB3157" s="2">
        <v>9</v>
      </c>
      <c r="AC3157" s="2" t="s">
        <v>124</v>
      </c>
      <c r="AD3157" s="3">
        <v>40392</v>
      </c>
      <c r="AE3157" s="4">
        <v>0.5</v>
      </c>
      <c r="AF3157" s="2"/>
      <c r="AG3157" s="2"/>
      <c r="AH3157" s="2">
        <v>2</v>
      </c>
      <c r="AI3157" s="2" t="s">
        <v>84</v>
      </c>
      <c r="AJ3157" s="2">
        <v>12</v>
      </c>
      <c r="AK3157" s="2" t="s">
        <v>85</v>
      </c>
      <c r="AL3157" s="2">
        <v>20</v>
      </c>
      <c r="AM3157" s="2" t="s">
        <v>992</v>
      </c>
      <c r="AN3157" s="2"/>
      <c r="AO3157" s="2"/>
      <c r="AP3157" s="2">
        <v>11</v>
      </c>
      <c r="AQ3157" s="2" t="s">
        <v>82</v>
      </c>
      <c r="AR3157" s="2"/>
      <c r="AS3157" s="2"/>
      <c r="AT3157" s="2" t="s">
        <v>10298</v>
      </c>
      <c r="AU3157" s="2"/>
      <c r="AV3157" s="2"/>
      <c r="AW3157" s="2"/>
      <c r="AX3157" s="2"/>
      <c r="AY3157" s="2">
        <v>41</v>
      </c>
      <c r="AZ3157" s="2" t="s">
        <v>82</v>
      </c>
      <c r="BA3157" s="2">
        <v>41</v>
      </c>
      <c r="BB3157" s="2" t="s">
        <v>82</v>
      </c>
      <c r="BC3157" s="2">
        <v>70</v>
      </c>
      <c r="BD3157" s="2" t="s">
        <v>236</v>
      </c>
      <c r="BE3157" s="2">
        <v>41</v>
      </c>
      <c r="BF3157" s="2" t="s">
        <v>82</v>
      </c>
      <c r="BG3157" s="2" t="s">
        <v>265</v>
      </c>
      <c r="BH3157" s="2"/>
      <c r="BI3157" s="4">
        <v>0.61458333333333337</v>
      </c>
      <c r="BJ3157" s="2">
        <v>13</v>
      </c>
      <c r="BK3157" s="2" t="s">
        <v>91</v>
      </c>
      <c r="BL3157" s="2" t="s">
        <v>185</v>
      </c>
      <c r="BM3157" s="2">
        <v>241</v>
      </c>
      <c r="BN3157" s="2" t="s">
        <v>82</v>
      </c>
      <c r="BO3157" s="2"/>
      <c r="BP3157" s="2">
        <v>13</v>
      </c>
      <c r="BQ3157" s="2" t="s">
        <v>91</v>
      </c>
      <c r="BR3157" s="2" t="s">
        <v>854</v>
      </c>
      <c r="BS3157" s="3">
        <v>40392</v>
      </c>
      <c r="BT3157" s="4">
        <v>0.62648148148148153</v>
      </c>
    </row>
    <row r="3158" spans="1:72" x14ac:dyDescent="0.25">
      <c r="A3158" s="2">
        <v>4666</v>
      </c>
      <c r="B3158" s="2">
        <v>2010</v>
      </c>
      <c r="C3158" s="2" t="s">
        <v>72</v>
      </c>
      <c r="D3158" s="2" t="s">
        <v>73</v>
      </c>
      <c r="E3158" s="2"/>
      <c r="F3158" s="2">
        <v>390</v>
      </c>
      <c r="G3158" s="2" t="s">
        <v>475</v>
      </c>
      <c r="H3158" s="2">
        <v>71</v>
      </c>
      <c r="I3158" s="2" t="s">
        <v>335</v>
      </c>
      <c r="J3158" s="2">
        <v>533</v>
      </c>
      <c r="K3158" s="2" t="s">
        <v>6511</v>
      </c>
      <c r="L3158" s="2" t="s">
        <v>478</v>
      </c>
      <c r="M3158" s="3">
        <v>40392</v>
      </c>
      <c r="N3158" s="2" t="s">
        <v>9075</v>
      </c>
      <c r="O3158" s="2"/>
      <c r="P3158" s="2"/>
      <c r="Q3158" s="2" t="str">
        <f>"396-E/10"</f>
        <v>396-E/10</v>
      </c>
      <c r="R3158" s="2" t="s">
        <v>10299</v>
      </c>
      <c r="S3158" s="2" t="s">
        <v>10299</v>
      </c>
      <c r="T3158" s="2">
        <v>1</v>
      </c>
      <c r="U3158" s="2" t="s">
        <v>79</v>
      </c>
      <c r="V3158" s="2">
        <v>1</v>
      </c>
      <c r="W3158" s="2" t="s">
        <v>80</v>
      </c>
      <c r="X3158" s="2">
        <v>12</v>
      </c>
      <c r="Y3158" s="2" t="s">
        <v>148</v>
      </c>
      <c r="Z3158" s="2">
        <v>1</v>
      </c>
      <c r="AA3158" s="2" t="s">
        <v>82</v>
      </c>
      <c r="AB3158" s="2">
        <v>6</v>
      </c>
      <c r="AC3158" s="2" t="s">
        <v>83</v>
      </c>
      <c r="AD3158" s="3">
        <v>40384</v>
      </c>
      <c r="AE3158" s="2"/>
      <c r="AF3158" s="3">
        <v>40392</v>
      </c>
      <c r="AG3158" s="4">
        <v>0.52777777777777779</v>
      </c>
      <c r="AH3158" s="2">
        <v>2</v>
      </c>
      <c r="AI3158" s="2" t="s">
        <v>84</v>
      </c>
      <c r="AJ3158" s="2">
        <v>9</v>
      </c>
      <c r="AK3158" s="2" t="s">
        <v>103</v>
      </c>
      <c r="AL3158" s="2">
        <v>22</v>
      </c>
      <c r="AM3158" s="2" t="s">
        <v>1853</v>
      </c>
      <c r="AN3158" s="2" t="s">
        <v>10300</v>
      </c>
      <c r="AO3158" s="2" t="s">
        <v>10301</v>
      </c>
      <c r="AP3158" s="2">
        <v>11</v>
      </c>
      <c r="AQ3158" s="2" t="s">
        <v>82</v>
      </c>
      <c r="AR3158" s="2"/>
      <c r="AS3158" s="2"/>
      <c r="AT3158" s="2" t="s">
        <v>10302</v>
      </c>
      <c r="AU3158" s="2"/>
      <c r="AV3158" s="2"/>
      <c r="AW3158" s="2"/>
      <c r="AX3158" s="2"/>
      <c r="AY3158" s="2">
        <v>52</v>
      </c>
      <c r="AZ3158" s="2" t="s">
        <v>1261</v>
      </c>
      <c r="BA3158" s="2">
        <v>52</v>
      </c>
      <c r="BB3158" s="2" t="s">
        <v>1261</v>
      </c>
      <c r="BC3158" s="2">
        <v>52</v>
      </c>
      <c r="BD3158" s="2" t="s">
        <v>1261</v>
      </c>
      <c r="BE3158" s="2">
        <v>22</v>
      </c>
      <c r="BF3158" s="2" t="s">
        <v>1262</v>
      </c>
      <c r="BG3158" s="2" t="s">
        <v>10303</v>
      </c>
      <c r="BH3158" s="2"/>
      <c r="BI3158" s="4">
        <v>0.86111111111111116</v>
      </c>
      <c r="BJ3158" s="2">
        <v>13</v>
      </c>
      <c r="BK3158" s="2" t="s">
        <v>91</v>
      </c>
      <c r="BL3158" s="2" t="s">
        <v>360</v>
      </c>
      <c r="BM3158" s="2">
        <v>75</v>
      </c>
      <c r="BN3158" s="2" t="s">
        <v>1264</v>
      </c>
      <c r="BO3158" s="2" t="s">
        <v>5292</v>
      </c>
      <c r="BP3158" s="2">
        <v>208</v>
      </c>
      <c r="BQ3158" s="2" t="s">
        <v>1266</v>
      </c>
      <c r="BR3158" s="2" t="s">
        <v>1267</v>
      </c>
      <c r="BS3158" s="3">
        <v>40392</v>
      </c>
      <c r="BT3158" s="4">
        <v>0.68701388888888892</v>
      </c>
    </row>
    <row r="3159" spans="1:72" x14ac:dyDescent="0.25">
      <c r="A3159" s="2">
        <v>4667</v>
      </c>
      <c r="B3159" s="2">
        <v>2010</v>
      </c>
      <c r="C3159" s="2" t="s">
        <v>121</v>
      </c>
      <c r="D3159" s="2" t="s">
        <v>122</v>
      </c>
      <c r="E3159" s="2"/>
      <c r="F3159" s="2">
        <v>1</v>
      </c>
      <c r="G3159" s="2" t="s">
        <v>82</v>
      </c>
      <c r="H3159" s="2">
        <v>1</v>
      </c>
      <c r="I3159" s="2" t="s">
        <v>82</v>
      </c>
      <c r="J3159" s="2">
        <v>1</v>
      </c>
      <c r="K3159" s="2" t="s">
        <v>107</v>
      </c>
      <c r="L3159" s="2" t="s">
        <v>107</v>
      </c>
      <c r="M3159" s="3">
        <v>40392</v>
      </c>
      <c r="N3159" s="2"/>
      <c r="O3159" s="2" t="s">
        <v>82</v>
      </c>
      <c r="P3159" s="2"/>
      <c r="Q3159" s="2" t="str">
        <f>""</f>
        <v/>
      </c>
      <c r="R3159" s="2" t="s">
        <v>82</v>
      </c>
      <c r="S3159" s="2" t="s">
        <v>82</v>
      </c>
      <c r="T3159" s="2">
        <v>2</v>
      </c>
      <c r="U3159" s="2" t="s">
        <v>123</v>
      </c>
      <c r="V3159" s="2">
        <v>1</v>
      </c>
      <c r="W3159" s="2" t="s">
        <v>80</v>
      </c>
      <c r="X3159" s="2">
        <v>11</v>
      </c>
      <c r="Y3159" s="2" t="s">
        <v>1920</v>
      </c>
      <c r="Z3159" s="2">
        <v>1</v>
      </c>
      <c r="AA3159" s="2" t="s">
        <v>82</v>
      </c>
      <c r="AB3159" s="2">
        <v>9</v>
      </c>
      <c r="AC3159" s="2" t="s">
        <v>124</v>
      </c>
      <c r="AD3159" s="3">
        <v>40392</v>
      </c>
      <c r="AE3159" s="4">
        <v>0.64652777777777781</v>
      </c>
      <c r="AF3159" s="2"/>
      <c r="AG3159" s="2"/>
      <c r="AH3159" s="2">
        <v>3</v>
      </c>
      <c r="AI3159" s="2" t="s">
        <v>214</v>
      </c>
      <c r="AJ3159" s="2">
        <v>23</v>
      </c>
      <c r="AK3159" s="2" t="s">
        <v>851</v>
      </c>
      <c r="AL3159" s="2">
        <v>10</v>
      </c>
      <c r="AM3159" s="2" t="s">
        <v>200</v>
      </c>
      <c r="AN3159" s="2" t="s">
        <v>230</v>
      </c>
      <c r="AO3159" s="2" t="s">
        <v>82</v>
      </c>
      <c r="AP3159" s="2">
        <v>11</v>
      </c>
      <c r="AQ3159" s="2" t="s">
        <v>82</v>
      </c>
      <c r="AR3159" s="2"/>
      <c r="AS3159" s="2"/>
      <c r="AT3159" s="2" t="s">
        <v>10304</v>
      </c>
      <c r="AU3159" s="2"/>
      <c r="AV3159" s="2"/>
      <c r="AW3159" s="2"/>
      <c r="AX3159" s="2"/>
      <c r="AY3159" s="2">
        <v>41</v>
      </c>
      <c r="AZ3159" s="2" t="s">
        <v>82</v>
      </c>
      <c r="BA3159" s="2">
        <v>41</v>
      </c>
      <c r="BB3159" s="2" t="s">
        <v>82</v>
      </c>
      <c r="BC3159" s="2">
        <v>41</v>
      </c>
      <c r="BD3159" s="2" t="s">
        <v>82</v>
      </c>
      <c r="BE3159" s="2">
        <v>1</v>
      </c>
      <c r="BF3159" s="2" t="s">
        <v>107</v>
      </c>
      <c r="BG3159" s="2" t="s">
        <v>10305</v>
      </c>
      <c r="BH3159" s="4">
        <v>0.64652777777777781</v>
      </c>
      <c r="BI3159" s="2"/>
      <c r="BJ3159" s="2">
        <v>29</v>
      </c>
      <c r="BK3159" s="2" t="s">
        <v>962</v>
      </c>
      <c r="BL3159" s="2"/>
      <c r="BM3159" s="2">
        <v>241</v>
      </c>
      <c r="BN3159" s="2" t="s">
        <v>82</v>
      </c>
      <c r="BO3159" s="2"/>
      <c r="BP3159" s="2">
        <v>241</v>
      </c>
      <c r="BQ3159" s="2" t="s">
        <v>82</v>
      </c>
      <c r="BR3159" s="2"/>
      <c r="BS3159" s="3">
        <v>40392</v>
      </c>
      <c r="BT3159" s="4">
        <v>0.70082175925925927</v>
      </c>
    </row>
    <row r="3160" spans="1:72" x14ac:dyDescent="0.25">
      <c r="A3160" s="2">
        <v>4671</v>
      </c>
      <c r="B3160" s="2">
        <v>2010</v>
      </c>
      <c r="C3160" s="2" t="s">
        <v>121</v>
      </c>
      <c r="D3160" s="2" t="s">
        <v>122</v>
      </c>
      <c r="E3160" s="2"/>
      <c r="F3160" s="2">
        <v>1</v>
      </c>
      <c r="G3160" s="2" t="s">
        <v>82</v>
      </c>
      <c r="H3160" s="2">
        <v>1</v>
      </c>
      <c r="I3160" s="2" t="s">
        <v>82</v>
      </c>
      <c r="J3160" s="2">
        <v>1</v>
      </c>
      <c r="K3160" s="2" t="s">
        <v>107</v>
      </c>
      <c r="L3160" s="2" t="s">
        <v>107</v>
      </c>
      <c r="M3160" s="3">
        <v>40392</v>
      </c>
      <c r="N3160" s="2"/>
      <c r="O3160" s="2"/>
      <c r="P3160" s="2"/>
      <c r="Q3160" s="2" t="str">
        <f>""</f>
        <v/>
      </c>
      <c r="R3160" s="2"/>
      <c r="S3160" s="2"/>
      <c r="T3160" s="2">
        <v>2</v>
      </c>
      <c r="U3160" s="2" t="s">
        <v>123</v>
      </c>
      <c r="V3160" s="2">
        <v>1</v>
      </c>
      <c r="W3160" s="2" t="s">
        <v>80</v>
      </c>
      <c r="X3160" s="2">
        <v>11</v>
      </c>
      <c r="Y3160" s="2" t="s">
        <v>1920</v>
      </c>
      <c r="Z3160" s="2">
        <v>1</v>
      </c>
      <c r="AA3160" s="2" t="s">
        <v>82</v>
      </c>
      <c r="AB3160" s="2">
        <v>9</v>
      </c>
      <c r="AC3160" s="2" t="s">
        <v>124</v>
      </c>
      <c r="AD3160" s="3">
        <v>40392</v>
      </c>
      <c r="AE3160" s="4">
        <v>0.68125000000000002</v>
      </c>
      <c r="AF3160" s="2"/>
      <c r="AG3160" s="2"/>
      <c r="AH3160" s="2">
        <v>3</v>
      </c>
      <c r="AI3160" s="2" t="s">
        <v>214</v>
      </c>
      <c r="AJ3160" s="2">
        <v>23</v>
      </c>
      <c r="AK3160" s="2" t="s">
        <v>851</v>
      </c>
      <c r="AL3160" s="2">
        <v>10</v>
      </c>
      <c r="AM3160" s="2" t="s">
        <v>200</v>
      </c>
      <c r="AN3160" s="2" t="s">
        <v>230</v>
      </c>
      <c r="AO3160" s="2" t="s">
        <v>82</v>
      </c>
      <c r="AP3160" s="2">
        <v>11</v>
      </c>
      <c r="AQ3160" s="2" t="s">
        <v>82</v>
      </c>
      <c r="AR3160" s="2"/>
      <c r="AS3160" s="2"/>
      <c r="AT3160" s="2" t="s">
        <v>10306</v>
      </c>
      <c r="AU3160" s="2"/>
      <c r="AV3160" s="2"/>
      <c r="AW3160" s="2"/>
      <c r="AX3160" s="2"/>
      <c r="AY3160" s="2">
        <v>41</v>
      </c>
      <c r="AZ3160" s="2" t="s">
        <v>82</v>
      </c>
      <c r="BA3160" s="2">
        <v>41</v>
      </c>
      <c r="BB3160" s="2" t="s">
        <v>82</v>
      </c>
      <c r="BC3160" s="2">
        <v>41</v>
      </c>
      <c r="BD3160" s="2" t="s">
        <v>82</v>
      </c>
      <c r="BE3160" s="2">
        <v>42</v>
      </c>
      <c r="BF3160" s="2" t="s">
        <v>182</v>
      </c>
      <c r="BG3160" s="2" t="s">
        <v>3783</v>
      </c>
      <c r="BH3160" s="4">
        <v>0.68125000000000002</v>
      </c>
      <c r="BI3160" s="2"/>
      <c r="BJ3160" s="2">
        <v>13</v>
      </c>
      <c r="BK3160" s="2" t="s">
        <v>91</v>
      </c>
      <c r="BL3160" s="2" t="s">
        <v>185</v>
      </c>
      <c r="BM3160" s="2">
        <v>13</v>
      </c>
      <c r="BN3160" s="2" t="s">
        <v>91</v>
      </c>
      <c r="BO3160" s="2"/>
      <c r="BP3160" s="2">
        <v>13</v>
      </c>
      <c r="BQ3160" s="2" t="s">
        <v>91</v>
      </c>
      <c r="BR3160" s="2" t="s">
        <v>854</v>
      </c>
      <c r="BS3160" s="3">
        <v>40392</v>
      </c>
      <c r="BT3160" s="4">
        <v>0.73120370370370369</v>
      </c>
    </row>
    <row r="3161" spans="1:72" x14ac:dyDescent="0.25">
      <c r="A3161" s="2">
        <v>4672</v>
      </c>
      <c r="B3161" s="2">
        <v>2010</v>
      </c>
      <c r="C3161" s="2" t="s">
        <v>121</v>
      </c>
      <c r="D3161" s="2" t="s">
        <v>122</v>
      </c>
      <c r="E3161" s="2"/>
      <c r="F3161" s="2">
        <v>1</v>
      </c>
      <c r="G3161" s="2" t="s">
        <v>82</v>
      </c>
      <c r="H3161" s="2">
        <v>1</v>
      </c>
      <c r="I3161" s="2" t="s">
        <v>82</v>
      </c>
      <c r="J3161" s="2">
        <v>1</v>
      </c>
      <c r="K3161" s="2" t="s">
        <v>107</v>
      </c>
      <c r="L3161" s="2" t="s">
        <v>107</v>
      </c>
      <c r="M3161" s="3">
        <v>40392</v>
      </c>
      <c r="N3161" s="2"/>
      <c r="O3161" s="2"/>
      <c r="P3161" s="2"/>
      <c r="Q3161" s="2" t="str">
        <f>""</f>
        <v/>
      </c>
      <c r="R3161" s="2"/>
      <c r="S3161" s="2"/>
      <c r="T3161" s="2">
        <v>2</v>
      </c>
      <c r="U3161" s="2" t="s">
        <v>123</v>
      </c>
      <c r="V3161" s="2">
        <v>1</v>
      </c>
      <c r="W3161" s="2" t="s">
        <v>80</v>
      </c>
      <c r="X3161" s="2">
        <v>11</v>
      </c>
      <c r="Y3161" s="2" t="s">
        <v>1920</v>
      </c>
      <c r="Z3161" s="2">
        <v>1</v>
      </c>
      <c r="AA3161" s="2" t="s">
        <v>82</v>
      </c>
      <c r="AB3161" s="2">
        <v>9</v>
      </c>
      <c r="AC3161" s="2" t="s">
        <v>124</v>
      </c>
      <c r="AD3161" s="3">
        <v>40392</v>
      </c>
      <c r="AE3161" s="4">
        <v>0.72222222222222221</v>
      </c>
      <c r="AF3161" s="2"/>
      <c r="AG3161" s="2"/>
      <c r="AH3161" s="2">
        <v>3</v>
      </c>
      <c r="AI3161" s="2" t="s">
        <v>214</v>
      </c>
      <c r="AJ3161" s="2">
        <v>23</v>
      </c>
      <c r="AK3161" s="2" t="s">
        <v>851</v>
      </c>
      <c r="AL3161" s="2">
        <v>10</v>
      </c>
      <c r="AM3161" s="2" t="s">
        <v>200</v>
      </c>
      <c r="AN3161" s="2" t="s">
        <v>230</v>
      </c>
      <c r="AO3161" s="2" t="s">
        <v>82</v>
      </c>
      <c r="AP3161" s="2">
        <v>11</v>
      </c>
      <c r="AQ3161" s="2" t="s">
        <v>82</v>
      </c>
      <c r="AR3161" s="2"/>
      <c r="AS3161" s="2"/>
      <c r="AT3161" s="2" t="s">
        <v>10307</v>
      </c>
      <c r="AU3161" s="2"/>
      <c r="AV3161" s="2"/>
      <c r="AW3161" s="2"/>
      <c r="AX3161" s="2"/>
      <c r="AY3161" s="2">
        <v>41</v>
      </c>
      <c r="AZ3161" s="2" t="s">
        <v>82</v>
      </c>
      <c r="BA3161" s="2">
        <v>41</v>
      </c>
      <c r="BB3161" s="2" t="s">
        <v>82</v>
      </c>
      <c r="BC3161" s="2">
        <v>41</v>
      </c>
      <c r="BD3161" s="2" t="s">
        <v>82</v>
      </c>
      <c r="BE3161" s="2">
        <v>41</v>
      </c>
      <c r="BF3161" s="2" t="s">
        <v>82</v>
      </c>
      <c r="BG3161" s="2" t="s">
        <v>10308</v>
      </c>
      <c r="BH3161" s="4">
        <v>0.72222222222222221</v>
      </c>
      <c r="BI3161" s="2"/>
      <c r="BJ3161" s="2">
        <v>229</v>
      </c>
      <c r="BK3161" s="2" t="s">
        <v>300</v>
      </c>
      <c r="BL3161" s="2"/>
      <c r="BM3161" s="2">
        <v>241</v>
      </c>
      <c r="BN3161" s="2" t="s">
        <v>82</v>
      </c>
      <c r="BO3161" s="2"/>
      <c r="BP3161" s="2">
        <v>13</v>
      </c>
      <c r="BQ3161" s="2" t="s">
        <v>91</v>
      </c>
      <c r="BR3161" s="2" t="s">
        <v>854</v>
      </c>
      <c r="BS3161" s="3">
        <v>40392</v>
      </c>
      <c r="BT3161" s="4">
        <v>0.74844907407407402</v>
      </c>
    </row>
    <row r="3162" spans="1:72" x14ac:dyDescent="0.25">
      <c r="A3162" s="2">
        <v>4673</v>
      </c>
      <c r="B3162" s="2">
        <v>2010</v>
      </c>
      <c r="C3162" s="2" t="s">
        <v>377</v>
      </c>
      <c r="D3162" s="2" t="s">
        <v>73</v>
      </c>
      <c r="E3162" s="2"/>
      <c r="F3162" s="2">
        <v>426</v>
      </c>
      <c r="G3162" s="2" t="s">
        <v>378</v>
      </c>
      <c r="H3162" s="2">
        <v>42</v>
      </c>
      <c r="I3162" s="2" t="s">
        <v>1096</v>
      </c>
      <c r="J3162" s="2">
        <v>311</v>
      </c>
      <c r="K3162" s="2" t="s">
        <v>379</v>
      </c>
      <c r="L3162" s="2" t="s">
        <v>380</v>
      </c>
      <c r="M3162" s="3">
        <v>40392</v>
      </c>
      <c r="N3162" s="2" t="s">
        <v>7171</v>
      </c>
      <c r="O3162" s="2"/>
      <c r="P3162" s="2"/>
      <c r="Q3162" s="2" t="str">
        <f>"196-C/10"</f>
        <v>196-C/10</v>
      </c>
      <c r="R3162" s="2" t="s">
        <v>9775</v>
      </c>
      <c r="S3162" s="2"/>
      <c r="T3162" s="2">
        <v>1</v>
      </c>
      <c r="U3162" s="2" t="s">
        <v>79</v>
      </c>
      <c r="V3162" s="2">
        <v>1</v>
      </c>
      <c r="W3162" s="2" t="s">
        <v>80</v>
      </c>
      <c r="X3162" s="2">
        <v>1</v>
      </c>
      <c r="Y3162" s="2" t="s">
        <v>81</v>
      </c>
      <c r="Z3162" s="2">
        <v>1</v>
      </c>
      <c r="AA3162" s="2" t="s">
        <v>82</v>
      </c>
      <c r="AB3162" s="2">
        <v>9</v>
      </c>
      <c r="AC3162" s="2" t="s">
        <v>124</v>
      </c>
      <c r="AD3162" s="3">
        <v>40392</v>
      </c>
      <c r="AE3162" s="4">
        <v>0.4375</v>
      </c>
      <c r="AF3162" s="2"/>
      <c r="AG3162" s="2"/>
      <c r="AH3162" s="2">
        <v>2</v>
      </c>
      <c r="AI3162" s="2" t="s">
        <v>84</v>
      </c>
      <c r="AJ3162" s="2">
        <v>9</v>
      </c>
      <c r="AK3162" s="2" t="s">
        <v>103</v>
      </c>
      <c r="AL3162" s="2">
        <v>29</v>
      </c>
      <c r="AM3162" s="2" t="s">
        <v>5416</v>
      </c>
      <c r="AN3162" s="2" t="s">
        <v>987</v>
      </c>
      <c r="AO3162" s="2" t="s">
        <v>1345</v>
      </c>
      <c r="AP3162" s="2">
        <v>11</v>
      </c>
      <c r="AQ3162" s="2" t="s">
        <v>82</v>
      </c>
      <c r="AR3162" s="2"/>
      <c r="AS3162" s="2"/>
      <c r="AT3162" s="2" t="s">
        <v>10309</v>
      </c>
      <c r="AU3162" s="2"/>
      <c r="AV3162" s="2"/>
      <c r="AW3162" s="2"/>
      <c r="AX3162" s="2"/>
      <c r="AY3162" s="2">
        <v>41</v>
      </c>
      <c r="AZ3162" s="2" t="s">
        <v>82</v>
      </c>
      <c r="BA3162" s="2">
        <v>41</v>
      </c>
      <c r="BB3162" s="2" t="s">
        <v>82</v>
      </c>
      <c r="BC3162" s="2">
        <v>41</v>
      </c>
      <c r="BD3162" s="2" t="s">
        <v>82</v>
      </c>
      <c r="BE3162" s="2">
        <v>41</v>
      </c>
      <c r="BF3162" s="2" t="s">
        <v>82</v>
      </c>
      <c r="BG3162" s="2"/>
      <c r="BH3162" s="2"/>
      <c r="BI3162" s="2"/>
      <c r="BJ3162" s="2">
        <v>241</v>
      </c>
      <c r="BK3162" s="2" t="s">
        <v>82</v>
      </c>
      <c r="BL3162" s="2"/>
      <c r="BM3162" s="2">
        <v>241</v>
      </c>
      <c r="BN3162" s="2" t="s">
        <v>82</v>
      </c>
      <c r="BO3162" s="2"/>
      <c r="BP3162" s="2">
        <v>241</v>
      </c>
      <c r="BQ3162" s="2" t="s">
        <v>82</v>
      </c>
      <c r="BR3162" s="2"/>
      <c r="BS3162" s="3">
        <v>40392</v>
      </c>
      <c r="BT3162" s="4">
        <v>0.75466435185185177</v>
      </c>
    </row>
    <row r="3163" spans="1:72" x14ac:dyDescent="0.25">
      <c r="A3163" s="2">
        <v>4674</v>
      </c>
      <c r="B3163" s="2">
        <v>2010</v>
      </c>
      <c r="C3163" s="2" t="s">
        <v>377</v>
      </c>
      <c r="D3163" s="2" t="s">
        <v>73</v>
      </c>
      <c r="E3163" s="2"/>
      <c r="F3163" s="2">
        <v>426</v>
      </c>
      <c r="G3163" s="2" t="s">
        <v>378</v>
      </c>
      <c r="H3163" s="2">
        <v>42</v>
      </c>
      <c r="I3163" s="2" t="s">
        <v>1096</v>
      </c>
      <c r="J3163" s="2">
        <v>311</v>
      </c>
      <c r="K3163" s="2" t="s">
        <v>379</v>
      </c>
      <c r="L3163" s="2" t="s">
        <v>380</v>
      </c>
      <c r="M3163" s="3">
        <v>40392</v>
      </c>
      <c r="N3163" s="2" t="s">
        <v>4427</v>
      </c>
      <c r="O3163" s="2"/>
      <c r="P3163" s="2"/>
      <c r="Q3163" s="2" t="str">
        <f>"197-C/10"</f>
        <v>197-C/10</v>
      </c>
      <c r="R3163" s="2" t="s">
        <v>5997</v>
      </c>
      <c r="S3163" s="2"/>
      <c r="T3163" s="2">
        <v>1</v>
      </c>
      <c r="U3163" s="2" t="s">
        <v>79</v>
      </c>
      <c r="V3163" s="2">
        <v>1</v>
      </c>
      <c r="W3163" s="2" t="s">
        <v>80</v>
      </c>
      <c r="X3163" s="2">
        <v>1</v>
      </c>
      <c r="Y3163" s="2" t="s">
        <v>81</v>
      </c>
      <c r="Z3163" s="2">
        <v>1</v>
      </c>
      <c r="AA3163" s="2" t="s">
        <v>82</v>
      </c>
      <c r="AB3163" s="2">
        <v>9</v>
      </c>
      <c r="AC3163" s="2" t="s">
        <v>124</v>
      </c>
      <c r="AD3163" s="3">
        <v>40392</v>
      </c>
      <c r="AE3163" s="4">
        <v>0.71527777777777779</v>
      </c>
      <c r="AF3163" s="2"/>
      <c r="AG3163" s="2"/>
      <c r="AH3163" s="2">
        <v>2</v>
      </c>
      <c r="AI3163" s="2" t="s">
        <v>84</v>
      </c>
      <c r="AJ3163" s="2">
        <v>9</v>
      </c>
      <c r="AK3163" s="2" t="s">
        <v>103</v>
      </c>
      <c r="AL3163" s="2">
        <v>29</v>
      </c>
      <c r="AM3163" s="2" t="s">
        <v>5416</v>
      </c>
      <c r="AN3163" s="2" t="s">
        <v>987</v>
      </c>
      <c r="AO3163" s="2" t="s">
        <v>10310</v>
      </c>
      <c r="AP3163" s="2">
        <v>11</v>
      </c>
      <c r="AQ3163" s="2" t="s">
        <v>82</v>
      </c>
      <c r="AR3163" s="2"/>
      <c r="AS3163" s="2"/>
      <c r="AT3163" s="2" t="s">
        <v>10311</v>
      </c>
      <c r="AU3163" s="2"/>
      <c r="AV3163" s="2"/>
      <c r="AW3163" s="2"/>
      <c r="AX3163" s="2"/>
      <c r="AY3163" s="2">
        <v>41</v>
      </c>
      <c r="AZ3163" s="2" t="s">
        <v>82</v>
      </c>
      <c r="BA3163" s="2">
        <v>41</v>
      </c>
      <c r="BB3163" s="2" t="s">
        <v>82</v>
      </c>
      <c r="BC3163" s="2">
        <v>41</v>
      </c>
      <c r="BD3163" s="2" t="s">
        <v>82</v>
      </c>
      <c r="BE3163" s="2">
        <v>41</v>
      </c>
      <c r="BF3163" s="2" t="s">
        <v>82</v>
      </c>
      <c r="BG3163" s="2"/>
      <c r="BH3163" s="2"/>
      <c r="BI3163" s="2"/>
      <c r="BJ3163" s="2">
        <v>241</v>
      </c>
      <c r="BK3163" s="2" t="s">
        <v>82</v>
      </c>
      <c r="BL3163" s="2"/>
      <c r="BM3163" s="2">
        <v>241</v>
      </c>
      <c r="BN3163" s="2" t="s">
        <v>82</v>
      </c>
      <c r="BO3163" s="2"/>
      <c r="BP3163" s="2">
        <v>241</v>
      </c>
      <c r="BQ3163" s="2" t="s">
        <v>82</v>
      </c>
      <c r="BR3163" s="2"/>
      <c r="BS3163" s="3">
        <v>40392</v>
      </c>
      <c r="BT3163" s="4">
        <v>0.77827546296296291</v>
      </c>
    </row>
    <row r="3164" spans="1:72" x14ac:dyDescent="0.25">
      <c r="A3164" s="2">
        <v>4676</v>
      </c>
      <c r="B3164" s="2">
        <v>2010</v>
      </c>
      <c r="C3164" s="2" t="s">
        <v>72</v>
      </c>
      <c r="D3164" s="2" t="s">
        <v>73</v>
      </c>
      <c r="E3164" s="2"/>
      <c r="F3164" s="2">
        <v>2</v>
      </c>
      <c r="G3164" s="2" t="s">
        <v>113</v>
      </c>
      <c r="H3164" s="2">
        <v>42</v>
      </c>
      <c r="I3164" s="2" t="s">
        <v>1096</v>
      </c>
      <c r="J3164" s="2">
        <v>300</v>
      </c>
      <c r="K3164" s="2" t="s">
        <v>114</v>
      </c>
      <c r="L3164" s="2" t="s">
        <v>115</v>
      </c>
      <c r="M3164" s="3">
        <v>40392</v>
      </c>
      <c r="N3164" s="2" t="s">
        <v>3212</v>
      </c>
      <c r="O3164" s="2"/>
      <c r="P3164" s="2"/>
      <c r="Q3164" s="2" t="str">
        <f>"397-E/10"</f>
        <v>397-E/10</v>
      </c>
      <c r="R3164" s="2"/>
      <c r="S3164" s="2" t="s">
        <v>116</v>
      </c>
      <c r="T3164" s="2">
        <v>1</v>
      </c>
      <c r="U3164" s="2" t="s">
        <v>79</v>
      </c>
      <c r="V3164" s="2">
        <v>1</v>
      </c>
      <c r="W3164" s="2" t="s">
        <v>80</v>
      </c>
      <c r="X3164" s="2">
        <v>12</v>
      </c>
      <c r="Y3164" s="2" t="s">
        <v>148</v>
      </c>
      <c r="Z3164" s="2">
        <v>1</v>
      </c>
      <c r="AA3164" s="2" t="s">
        <v>82</v>
      </c>
      <c r="AB3164" s="2">
        <v>6</v>
      </c>
      <c r="AC3164" s="2" t="s">
        <v>83</v>
      </c>
      <c r="AD3164" s="3">
        <v>40392</v>
      </c>
      <c r="AE3164" s="2"/>
      <c r="AF3164" s="3">
        <v>40392</v>
      </c>
      <c r="AG3164" s="4">
        <v>0.625</v>
      </c>
      <c r="AH3164" s="2">
        <v>2</v>
      </c>
      <c r="AI3164" s="2" t="s">
        <v>84</v>
      </c>
      <c r="AJ3164" s="2">
        <v>9</v>
      </c>
      <c r="AK3164" s="2" t="s">
        <v>103</v>
      </c>
      <c r="AL3164" s="2">
        <v>17</v>
      </c>
      <c r="AM3164" s="2" t="s">
        <v>232</v>
      </c>
      <c r="AN3164" s="2"/>
      <c r="AO3164" s="2" t="s">
        <v>10312</v>
      </c>
      <c r="AP3164" s="2">
        <v>11</v>
      </c>
      <c r="AQ3164" s="2" t="s">
        <v>82</v>
      </c>
      <c r="AR3164" s="2"/>
      <c r="AS3164" s="2"/>
      <c r="AT3164" s="2" t="s">
        <v>10313</v>
      </c>
      <c r="AU3164" s="2"/>
      <c r="AV3164" s="2"/>
      <c r="AW3164" s="2"/>
      <c r="AX3164" s="2"/>
      <c r="AY3164" s="2">
        <v>41</v>
      </c>
      <c r="AZ3164" s="2" t="s">
        <v>82</v>
      </c>
      <c r="BA3164" s="2">
        <v>41</v>
      </c>
      <c r="BB3164" s="2" t="s">
        <v>82</v>
      </c>
      <c r="BC3164" s="2">
        <v>41</v>
      </c>
      <c r="BD3164" s="2" t="s">
        <v>82</v>
      </c>
      <c r="BE3164" s="2">
        <v>41</v>
      </c>
      <c r="BF3164" s="2" t="s">
        <v>82</v>
      </c>
      <c r="BG3164" s="2"/>
      <c r="BH3164" s="2"/>
      <c r="BI3164" s="2"/>
      <c r="BJ3164" s="2">
        <v>241</v>
      </c>
      <c r="BK3164" s="2" t="s">
        <v>82</v>
      </c>
      <c r="BL3164" s="2"/>
      <c r="BM3164" s="2">
        <v>241</v>
      </c>
      <c r="BN3164" s="2" t="s">
        <v>82</v>
      </c>
      <c r="BO3164" s="2"/>
      <c r="BP3164" s="2">
        <v>241</v>
      </c>
      <c r="BQ3164" s="2" t="s">
        <v>82</v>
      </c>
      <c r="BR3164" s="2"/>
      <c r="BS3164" s="3">
        <v>40392</v>
      </c>
      <c r="BT3164" s="4">
        <v>0.82649305555555552</v>
      </c>
    </row>
    <row r="3165" spans="1:72" x14ac:dyDescent="0.25">
      <c r="A3165" s="2">
        <v>4677</v>
      </c>
      <c r="B3165" s="2">
        <v>2010</v>
      </c>
      <c r="C3165" s="2" t="s">
        <v>121</v>
      </c>
      <c r="D3165" s="2" t="s">
        <v>122</v>
      </c>
      <c r="E3165" s="2"/>
      <c r="F3165" s="2">
        <v>1</v>
      </c>
      <c r="G3165" s="2" t="s">
        <v>82</v>
      </c>
      <c r="H3165" s="2">
        <v>1</v>
      </c>
      <c r="I3165" s="2" t="s">
        <v>82</v>
      </c>
      <c r="J3165" s="2">
        <v>1</v>
      </c>
      <c r="K3165" s="2" t="s">
        <v>107</v>
      </c>
      <c r="L3165" s="2" t="s">
        <v>107</v>
      </c>
      <c r="M3165" s="3">
        <v>40392</v>
      </c>
      <c r="N3165" s="2" t="s">
        <v>82</v>
      </c>
      <c r="O3165" s="2" t="s">
        <v>82</v>
      </c>
      <c r="P3165" s="2" t="s">
        <v>82</v>
      </c>
      <c r="Q3165" s="2" t="str">
        <f>"N/C"</f>
        <v>N/C</v>
      </c>
      <c r="R3165" s="2" t="s">
        <v>82</v>
      </c>
      <c r="S3165" s="2" t="s">
        <v>82</v>
      </c>
      <c r="T3165" s="2">
        <v>2</v>
      </c>
      <c r="U3165" s="2" t="s">
        <v>123</v>
      </c>
      <c r="V3165" s="2">
        <v>1</v>
      </c>
      <c r="W3165" s="2" t="s">
        <v>80</v>
      </c>
      <c r="X3165" s="2">
        <v>11</v>
      </c>
      <c r="Y3165" s="2" t="s">
        <v>1920</v>
      </c>
      <c r="Z3165" s="2">
        <v>10</v>
      </c>
      <c r="AA3165" s="2" t="s">
        <v>236</v>
      </c>
      <c r="AB3165" s="2">
        <v>9</v>
      </c>
      <c r="AC3165" s="2" t="s">
        <v>124</v>
      </c>
      <c r="AD3165" s="3">
        <v>40392</v>
      </c>
      <c r="AE3165" s="4">
        <v>0.79166666666666663</v>
      </c>
      <c r="AF3165" s="2"/>
      <c r="AG3165" s="2"/>
      <c r="AH3165" s="2">
        <v>2</v>
      </c>
      <c r="AI3165" s="2" t="s">
        <v>84</v>
      </c>
      <c r="AJ3165" s="2">
        <v>12</v>
      </c>
      <c r="AK3165" s="2" t="s">
        <v>85</v>
      </c>
      <c r="AL3165" s="2">
        <v>10</v>
      </c>
      <c r="AM3165" s="2" t="s">
        <v>200</v>
      </c>
      <c r="AN3165" s="2" t="s">
        <v>107</v>
      </c>
      <c r="AO3165" s="2" t="s">
        <v>909</v>
      </c>
      <c r="AP3165" s="2">
        <v>11</v>
      </c>
      <c r="AQ3165" s="2" t="s">
        <v>82</v>
      </c>
      <c r="AR3165" s="2"/>
      <c r="AS3165" s="2"/>
      <c r="AT3165" s="2" t="s">
        <v>10314</v>
      </c>
      <c r="AU3165" s="2"/>
      <c r="AV3165" s="2"/>
      <c r="AW3165" s="2"/>
      <c r="AX3165" s="2"/>
      <c r="AY3165" s="2">
        <v>41</v>
      </c>
      <c r="AZ3165" s="2" t="s">
        <v>82</v>
      </c>
      <c r="BA3165" s="2">
        <v>41</v>
      </c>
      <c r="BB3165" s="2" t="s">
        <v>82</v>
      </c>
      <c r="BC3165" s="2">
        <v>41</v>
      </c>
      <c r="BD3165" s="2" t="s">
        <v>82</v>
      </c>
      <c r="BE3165" s="2">
        <v>13</v>
      </c>
      <c r="BF3165" s="2" t="s">
        <v>108</v>
      </c>
      <c r="BG3165" s="2" t="s">
        <v>10315</v>
      </c>
      <c r="BH3165" s="4">
        <v>0.81597222222222221</v>
      </c>
      <c r="BI3165" s="4">
        <v>0.70833333333333337</v>
      </c>
      <c r="BJ3165" s="2">
        <v>46</v>
      </c>
      <c r="BK3165" s="2" t="s">
        <v>307</v>
      </c>
      <c r="BL3165" s="2" t="s">
        <v>308</v>
      </c>
      <c r="BM3165" s="2">
        <v>241</v>
      </c>
      <c r="BN3165" s="2" t="s">
        <v>82</v>
      </c>
      <c r="BO3165" s="2"/>
      <c r="BP3165" s="2">
        <v>13</v>
      </c>
      <c r="BQ3165" s="2" t="s">
        <v>91</v>
      </c>
      <c r="BR3165" s="2" t="s">
        <v>185</v>
      </c>
      <c r="BS3165" s="3">
        <v>40392</v>
      </c>
      <c r="BT3165" s="4">
        <v>0.88282407407407415</v>
      </c>
    </row>
    <row r="3166" spans="1:72" x14ac:dyDescent="0.25">
      <c r="A3166" s="2">
        <v>4680</v>
      </c>
      <c r="B3166" s="2">
        <v>2010</v>
      </c>
      <c r="C3166" s="2" t="s">
        <v>121</v>
      </c>
      <c r="D3166" s="2" t="s">
        <v>122</v>
      </c>
      <c r="E3166" s="2"/>
      <c r="F3166" s="2">
        <v>1</v>
      </c>
      <c r="G3166" s="2" t="s">
        <v>82</v>
      </c>
      <c r="H3166" s="2">
        <v>1</v>
      </c>
      <c r="I3166" s="2" t="s">
        <v>82</v>
      </c>
      <c r="J3166" s="2">
        <v>1</v>
      </c>
      <c r="K3166" s="2" t="s">
        <v>107</v>
      </c>
      <c r="L3166" s="2" t="s">
        <v>107</v>
      </c>
      <c r="M3166" s="3">
        <v>40392</v>
      </c>
      <c r="N3166" s="2"/>
      <c r="O3166" s="2"/>
      <c r="P3166" s="2"/>
      <c r="Q3166" s="2" t="str">
        <f>""</f>
        <v/>
      </c>
      <c r="R3166" s="2"/>
      <c r="S3166" s="2"/>
      <c r="T3166" s="2">
        <v>2</v>
      </c>
      <c r="U3166" s="2" t="s">
        <v>123</v>
      </c>
      <c r="V3166" s="2">
        <v>1</v>
      </c>
      <c r="W3166" s="2" t="s">
        <v>80</v>
      </c>
      <c r="X3166" s="2">
        <v>11</v>
      </c>
      <c r="Y3166" s="2" t="s">
        <v>1920</v>
      </c>
      <c r="Z3166" s="2">
        <v>1</v>
      </c>
      <c r="AA3166" s="2" t="s">
        <v>82</v>
      </c>
      <c r="AB3166" s="2">
        <v>9</v>
      </c>
      <c r="AC3166" s="2" t="s">
        <v>124</v>
      </c>
      <c r="AD3166" s="3">
        <v>40392</v>
      </c>
      <c r="AE3166" s="4">
        <v>0.92847222222222225</v>
      </c>
      <c r="AF3166" s="2"/>
      <c r="AG3166" s="2"/>
      <c r="AH3166" s="2">
        <v>3</v>
      </c>
      <c r="AI3166" s="2" t="s">
        <v>214</v>
      </c>
      <c r="AJ3166" s="2">
        <v>23</v>
      </c>
      <c r="AK3166" s="2" t="s">
        <v>851</v>
      </c>
      <c r="AL3166" s="2">
        <v>10</v>
      </c>
      <c r="AM3166" s="2" t="s">
        <v>200</v>
      </c>
      <c r="AN3166" s="2" t="s">
        <v>230</v>
      </c>
      <c r="AO3166" s="2" t="s">
        <v>82</v>
      </c>
      <c r="AP3166" s="2">
        <v>11</v>
      </c>
      <c r="AQ3166" s="2" t="s">
        <v>82</v>
      </c>
      <c r="AR3166" s="2"/>
      <c r="AS3166" s="2"/>
      <c r="AT3166" s="2" t="s">
        <v>10316</v>
      </c>
      <c r="AU3166" s="2"/>
      <c r="AV3166" s="2"/>
      <c r="AW3166" s="2"/>
      <c r="AX3166" s="2"/>
      <c r="AY3166" s="2">
        <v>41</v>
      </c>
      <c r="AZ3166" s="2" t="s">
        <v>82</v>
      </c>
      <c r="BA3166" s="2">
        <v>41</v>
      </c>
      <c r="BB3166" s="2" t="s">
        <v>82</v>
      </c>
      <c r="BC3166" s="2">
        <v>41</v>
      </c>
      <c r="BD3166" s="2" t="s">
        <v>82</v>
      </c>
      <c r="BE3166" s="2">
        <v>41</v>
      </c>
      <c r="BF3166" s="2" t="s">
        <v>82</v>
      </c>
      <c r="BG3166" s="2" t="s">
        <v>10317</v>
      </c>
      <c r="BH3166" s="4">
        <v>0.92847222222222225</v>
      </c>
      <c r="BI3166" s="2"/>
      <c r="BJ3166" s="2">
        <v>33</v>
      </c>
      <c r="BK3166" s="2" t="s">
        <v>361</v>
      </c>
      <c r="BL3166" s="2"/>
      <c r="BM3166" s="2">
        <v>241</v>
      </c>
      <c r="BN3166" s="2" t="s">
        <v>82</v>
      </c>
      <c r="BO3166" s="2"/>
      <c r="BP3166" s="2">
        <v>13</v>
      </c>
      <c r="BQ3166" s="2" t="s">
        <v>91</v>
      </c>
      <c r="BR3166" s="2" t="s">
        <v>854</v>
      </c>
      <c r="BS3166" s="3">
        <v>40392</v>
      </c>
      <c r="BT3166" s="4">
        <v>0.93934027777777773</v>
      </c>
    </row>
    <row r="3167" spans="1:72" x14ac:dyDescent="0.25">
      <c r="A3167" s="2">
        <v>4681</v>
      </c>
      <c r="B3167" s="2">
        <v>2010</v>
      </c>
      <c r="C3167" s="2" t="s">
        <v>72</v>
      </c>
      <c r="D3167" s="2" t="s">
        <v>73</v>
      </c>
      <c r="E3167" s="2"/>
      <c r="F3167" s="2">
        <v>176</v>
      </c>
      <c r="G3167" s="2" t="s">
        <v>10318</v>
      </c>
      <c r="H3167" s="2">
        <v>130</v>
      </c>
      <c r="I3167" s="2" t="s">
        <v>10319</v>
      </c>
      <c r="J3167" s="2">
        <v>184</v>
      </c>
      <c r="K3167" s="2" t="s">
        <v>10320</v>
      </c>
      <c r="L3167" s="2" t="s">
        <v>10321</v>
      </c>
      <c r="M3167" s="3">
        <v>40393</v>
      </c>
      <c r="N3167" s="2" t="s">
        <v>10322</v>
      </c>
      <c r="O3167" s="2" t="s">
        <v>107</v>
      </c>
      <c r="P3167" s="2" t="s">
        <v>107</v>
      </c>
      <c r="Q3167" s="2" t="str">
        <f>"302-A/10"</f>
        <v>302-A/10</v>
      </c>
      <c r="R3167" s="2" t="s">
        <v>1847</v>
      </c>
      <c r="S3167" s="2" t="s">
        <v>10323</v>
      </c>
      <c r="T3167" s="2">
        <v>1</v>
      </c>
      <c r="U3167" s="2" t="s">
        <v>79</v>
      </c>
      <c r="V3167" s="2">
        <v>1</v>
      </c>
      <c r="W3167" s="2" t="s">
        <v>80</v>
      </c>
      <c r="X3167" s="2">
        <v>12</v>
      </c>
      <c r="Y3167" s="2" t="s">
        <v>148</v>
      </c>
      <c r="Z3167" s="2">
        <v>1</v>
      </c>
      <c r="AA3167" s="2" t="s">
        <v>82</v>
      </c>
      <c r="AB3167" s="2">
        <v>6</v>
      </c>
      <c r="AC3167" s="2" t="s">
        <v>83</v>
      </c>
      <c r="AD3167" s="3">
        <v>40392</v>
      </c>
      <c r="AE3167" s="2"/>
      <c r="AF3167" s="3">
        <v>40393</v>
      </c>
      <c r="AG3167" s="4">
        <v>3.125E-2</v>
      </c>
      <c r="AH3167" s="2">
        <v>2</v>
      </c>
      <c r="AI3167" s="2" t="s">
        <v>84</v>
      </c>
      <c r="AJ3167" s="2">
        <v>12</v>
      </c>
      <c r="AK3167" s="2" t="s">
        <v>85</v>
      </c>
      <c r="AL3167" s="2">
        <v>17</v>
      </c>
      <c r="AM3167" s="2" t="s">
        <v>232</v>
      </c>
      <c r="AN3167" s="2" t="s">
        <v>10324</v>
      </c>
      <c r="AO3167" s="2" t="s">
        <v>2976</v>
      </c>
      <c r="AP3167" s="2">
        <v>11</v>
      </c>
      <c r="AQ3167" s="2" t="s">
        <v>82</v>
      </c>
      <c r="AR3167" s="2"/>
      <c r="AS3167" s="2"/>
      <c r="AT3167" s="2" t="s">
        <v>10325</v>
      </c>
      <c r="AU3167" s="2">
        <v>1</v>
      </c>
      <c r="AV3167" s="2"/>
      <c r="AW3167" s="2"/>
      <c r="AX3167" s="2"/>
      <c r="AY3167" s="2">
        <v>41</v>
      </c>
      <c r="AZ3167" s="2" t="s">
        <v>82</v>
      </c>
      <c r="BA3167" s="2">
        <v>41</v>
      </c>
      <c r="BB3167" s="2" t="s">
        <v>82</v>
      </c>
      <c r="BC3167" s="2">
        <v>41</v>
      </c>
      <c r="BD3167" s="2" t="s">
        <v>82</v>
      </c>
      <c r="BE3167" s="2">
        <v>41</v>
      </c>
      <c r="BF3167" s="2" t="s">
        <v>82</v>
      </c>
      <c r="BG3167" s="2"/>
      <c r="BH3167" s="2"/>
      <c r="BI3167" s="2"/>
      <c r="BJ3167" s="2">
        <v>241</v>
      </c>
      <c r="BK3167" s="2" t="s">
        <v>82</v>
      </c>
      <c r="BL3167" s="2"/>
      <c r="BM3167" s="2">
        <v>241</v>
      </c>
      <c r="BN3167" s="2" t="s">
        <v>82</v>
      </c>
      <c r="BO3167" s="2"/>
      <c r="BP3167" s="2">
        <v>241</v>
      </c>
      <c r="BQ3167" s="2" t="s">
        <v>82</v>
      </c>
      <c r="BR3167" s="2"/>
      <c r="BS3167" s="3">
        <v>40393</v>
      </c>
      <c r="BT3167" s="4">
        <v>0.30307870370370371</v>
      </c>
    </row>
    <row r="3168" spans="1:72" x14ac:dyDescent="0.25">
      <c r="A3168" s="2">
        <v>4682</v>
      </c>
      <c r="B3168" s="2">
        <v>2010</v>
      </c>
      <c r="C3168" s="2" t="s">
        <v>121</v>
      </c>
      <c r="D3168" s="2" t="s">
        <v>122</v>
      </c>
      <c r="E3168" s="2"/>
      <c r="F3168" s="2">
        <v>1</v>
      </c>
      <c r="G3168" s="2" t="s">
        <v>82</v>
      </c>
      <c r="H3168" s="2">
        <v>1</v>
      </c>
      <c r="I3168" s="2" t="s">
        <v>82</v>
      </c>
      <c r="J3168" s="2">
        <v>1</v>
      </c>
      <c r="K3168" s="2" t="s">
        <v>107</v>
      </c>
      <c r="L3168" s="2" t="s">
        <v>107</v>
      </c>
      <c r="M3168" s="3">
        <v>40393</v>
      </c>
      <c r="N3168" s="2" t="s">
        <v>82</v>
      </c>
      <c r="O3168" s="2" t="s">
        <v>82</v>
      </c>
      <c r="P3168" s="2" t="s">
        <v>82</v>
      </c>
      <c r="Q3168" s="2" t="str">
        <f>"N/C"</f>
        <v>N/C</v>
      </c>
      <c r="R3168" s="2" t="s">
        <v>82</v>
      </c>
      <c r="S3168" s="2" t="s">
        <v>82</v>
      </c>
      <c r="T3168" s="2">
        <v>2</v>
      </c>
      <c r="U3168" s="2" t="s">
        <v>123</v>
      </c>
      <c r="V3168" s="2">
        <v>1</v>
      </c>
      <c r="W3168" s="2" t="s">
        <v>80</v>
      </c>
      <c r="X3168" s="2">
        <v>11</v>
      </c>
      <c r="Y3168" s="2" t="s">
        <v>1920</v>
      </c>
      <c r="Z3168" s="2">
        <v>10</v>
      </c>
      <c r="AA3168" s="2" t="s">
        <v>236</v>
      </c>
      <c r="AB3168" s="2">
        <v>9</v>
      </c>
      <c r="AC3168" s="2" t="s">
        <v>124</v>
      </c>
      <c r="AD3168" s="3">
        <v>40393</v>
      </c>
      <c r="AE3168" s="4">
        <v>0.21527777777777779</v>
      </c>
      <c r="AF3168" s="2"/>
      <c r="AG3168" s="2"/>
      <c r="AH3168" s="2">
        <v>2</v>
      </c>
      <c r="AI3168" s="2" t="s">
        <v>84</v>
      </c>
      <c r="AJ3168" s="2">
        <v>12</v>
      </c>
      <c r="AK3168" s="2" t="s">
        <v>85</v>
      </c>
      <c r="AL3168" s="2">
        <v>10</v>
      </c>
      <c r="AM3168" s="2" t="s">
        <v>200</v>
      </c>
      <c r="AN3168" s="2" t="s">
        <v>10326</v>
      </c>
      <c r="AO3168" s="2" t="s">
        <v>909</v>
      </c>
      <c r="AP3168" s="2">
        <v>11</v>
      </c>
      <c r="AQ3168" s="2" t="s">
        <v>82</v>
      </c>
      <c r="AR3168" s="2"/>
      <c r="AS3168" s="2"/>
      <c r="AT3168" s="2" t="s">
        <v>10327</v>
      </c>
      <c r="AU3168" s="2"/>
      <c r="AV3168" s="2"/>
      <c r="AW3168" s="2"/>
      <c r="AX3168" s="2"/>
      <c r="AY3168" s="2">
        <v>41</v>
      </c>
      <c r="AZ3168" s="2" t="s">
        <v>82</v>
      </c>
      <c r="BA3168" s="2">
        <v>41</v>
      </c>
      <c r="BB3168" s="2" t="s">
        <v>82</v>
      </c>
      <c r="BC3168" s="2">
        <v>41</v>
      </c>
      <c r="BD3168" s="2" t="s">
        <v>82</v>
      </c>
      <c r="BE3168" s="2">
        <v>13</v>
      </c>
      <c r="BF3168" s="2" t="s">
        <v>108</v>
      </c>
      <c r="BG3168" s="2">
        <v>1434</v>
      </c>
      <c r="BH3168" s="2"/>
      <c r="BI3168" s="4">
        <v>0.26180555555555557</v>
      </c>
      <c r="BJ3168" s="2">
        <v>13</v>
      </c>
      <c r="BK3168" s="2" t="s">
        <v>91</v>
      </c>
      <c r="BL3168" s="2" t="s">
        <v>185</v>
      </c>
      <c r="BM3168" s="2">
        <v>241</v>
      </c>
      <c r="BN3168" s="2" t="s">
        <v>82</v>
      </c>
      <c r="BO3168" s="2"/>
      <c r="BP3168" s="2">
        <v>13</v>
      </c>
      <c r="BQ3168" s="2" t="s">
        <v>91</v>
      </c>
      <c r="BR3168" s="2" t="s">
        <v>854</v>
      </c>
      <c r="BS3168" s="3">
        <v>40393</v>
      </c>
      <c r="BT3168" s="4">
        <v>0.33225694444444448</v>
      </c>
    </row>
    <row r="3169" spans="1:72" x14ac:dyDescent="0.25">
      <c r="A3169" s="2">
        <v>4683</v>
      </c>
      <c r="B3169" s="2">
        <v>2010</v>
      </c>
      <c r="C3169" s="2" t="s">
        <v>121</v>
      </c>
      <c r="D3169" s="2" t="s">
        <v>122</v>
      </c>
      <c r="E3169" s="2"/>
      <c r="F3169" s="2">
        <v>1</v>
      </c>
      <c r="G3169" s="2" t="s">
        <v>82</v>
      </c>
      <c r="H3169" s="2">
        <v>1</v>
      </c>
      <c r="I3169" s="2" t="s">
        <v>82</v>
      </c>
      <c r="J3169" s="2">
        <v>1</v>
      </c>
      <c r="K3169" s="2" t="s">
        <v>107</v>
      </c>
      <c r="L3169" s="2" t="s">
        <v>107</v>
      </c>
      <c r="M3169" s="3">
        <v>40393</v>
      </c>
      <c r="N3169" s="2"/>
      <c r="O3169" s="2"/>
      <c r="P3169" s="2"/>
      <c r="Q3169" s="2" t="str">
        <f>""</f>
        <v/>
      </c>
      <c r="R3169" s="2"/>
      <c r="S3169" s="2"/>
      <c r="T3169" s="2">
        <v>2</v>
      </c>
      <c r="U3169" s="2" t="s">
        <v>123</v>
      </c>
      <c r="V3169" s="2">
        <v>1</v>
      </c>
      <c r="W3169" s="2" t="s">
        <v>80</v>
      </c>
      <c r="X3169" s="2">
        <v>11</v>
      </c>
      <c r="Y3169" s="2" t="s">
        <v>1920</v>
      </c>
      <c r="Z3169" s="2">
        <v>1</v>
      </c>
      <c r="AA3169" s="2" t="s">
        <v>82</v>
      </c>
      <c r="AB3169" s="2">
        <v>9</v>
      </c>
      <c r="AC3169" s="2" t="s">
        <v>124</v>
      </c>
      <c r="AD3169" s="3">
        <v>40393</v>
      </c>
      <c r="AE3169" s="4">
        <v>0.41597222222222219</v>
      </c>
      <c r="AF3169" s="2"/>
      <c r="AG3169" s="2"/>
      <c r="AH3169" s="2">
        <v>3</v>
      </c>
      <c r="AI3169" s="2" t="s">
        <v>214</v>
      </c>
      <c r="AJ3169" s="2">
        <v>23</v>
      </c>
      <c r="AK3169" s="2" t="s">
        <v>851</v>
      </c>
      <c r="AL3169" s="2">
        <v>10</v>
      </c>
      <c r="AM3169" s="2" t="s">
        <v>200</v>
      </c>
      <c r="AN3169" s="2" t="s">
        <v>230</v>
      </c>
      <c r="AO3169" s="2" t="s">
        <v>82</v>
      </c>
      <c r="AP3169" s="2">
        <v>11</v>
      </c>
      <c r="AQ3169" s="2" t="s">
        <v>82</v>
      </c>
      <c r="AR3169" s="2"/>
      <c r="AS3169" s="2"/>
      <c r="AT3169" s="2" t="s">
        <v>10328</v>
      </c>
      <c r="AU3169" s="2"/>
      <c r="AV3169" s="2"/>
      <c r="AW3169" s="2"/>
      <c r="AX3169" s="2"/>
      <c r="AY3169" s="2">
        <v>41</v>
      </c>
      <c r="AZ3169" s="2" t="s">
        <v>82</v>
      </c>
      <c r="BA3169" s="2">
        <v>41</v>
      </c>
      <c r="BB3169" s="2" t="s">
        <v>82</v>
      </c>
      <c r="BC3169" s="2">
        <v>41</v>
      </c>
      <c r="BD3169" s="2" t="s">
        <v>82</v>
      </c>
      <c r="BE3169" s="2">
        <v>41</v>
      </c>
      <c r="BF3169" s="2" t="s">
        <v>82</v>
      </c>
      <c r="BG3169" s="2" t="s">
        <v>10329</v>
      </c>
      <c r="BH3169" s="4">
        <v>0.41597222222222219</v>
      </c>
      <c r="BI3169" s="2"/>
      <c r="BJ3169" s="2">
        <v>46</v>
      </c>
      <c r="BK3169" s="2" t="s">
        <v>307</v>
      </c>
      <c r="BL3169" s="2"/>
      <c r="BM3169" s="2">
        <v>241</v>
      </c>
      <c r="BN3169" s="2" t="s">
        <v>82</v>
      </c>
      <c r="BO3169" s="2"/>
      <c r="BP3169" s="2">
        <v>13</v>
      </c>
      <c r="BQ3169" s="2" t="s">
        <v>91</v>
      </c>
      <c r="BR3169" s="2" t="s">
        <v>854</v>
      </c>
      <c r="BS3169" s="3">
        <v>40393</v>
      </c>
      <c r="BT3169" s="4">
        <v>0.4276388888888889</v>
      </c>
    </row>
    <row r="3170" spans="1:72" x14ac:dyDescent="0.25">
      <c r="A3170" s="2">
        <v>4684</v>
      </c>
      <c r="B3170" s="2">
        <v>2010</v>
      </c>
      <c r="C3170" s="2" t="s">
        <v>121</v>
      </c>
      <c r="D3170" s="2" t="s">
        <v>122</v>
      </c>
      <c r="E3170" s="2"/>
      <c r="F3170" s="2">
        <v>1</v>
      </c>
      <c r="G3170" s="2" t="s">
        <v>82</v>
      </c>
      <c r="H3170" s="2">
        <v>1</v>
      </c>
      <c r="I3170" s="2" t="s">
        <v>82</v>
      </c>
      <c r="J3170" s="2">
        <v>1</v>
      </c>
      <c r="K3170" s="2" t="s">
        <v>107</v>
      </c>
      <c r="L3170" s="2" t="s">
        <v>107</v>
      </c>
      <c r="M3170" s="3">
        <v>40393</v>
      </c>
      <c r="N3170" s="2"/>
      <c r="O3170" s="2"/>
      <c r="P3170" s="2"/>
      <c r="Q3170" s="2" t="str">
        <f>""</f>
        <v/>
      </c>
      <c r="R3170" s="2"/>
      <c r="S3170" s="2"/>
      <c r="T3170" s="2">
        <v>2</v>
      </c>
      <c r="U3170" s="2" t="s">
        <v>123</v>
      </c>
      <c r="V3170" s="2">
        <v>1</v>
      </c>
      <c r="W3170" s="2" t="s">
        <v>80</v>
      </c>
      <c r="X3170" s="2">
        <v>11</v>
      </c>
      <c r="Y3170" s="2" t="s">
        <v>1920</v>
      </c>
      <c r="Z3170" s="2">
        <v>1</v>
      </c>
      <c r="AA3170" s="2" t="s">
        <v>82</v>
      </c>
      <c r="AB3170" s="2">
        <v>9</v>
      </c>
      <c r="AC3170" s="2" t="s">
        <v>124</v>
      </c>
      <c r="AD3170" s="3">
        <v>40393</v>
      </c>
      <c r="AE3170" s="4">
        <v>0.41875000000000001</v>
      </c>
      <c r="AF3170" s="2"/>
      <c r="AG3170" s="2"/>
      <c r="AH3170" s="2">
        <v>3</v>
      </c>
      <c r="AI3170" s="2" t="s">
        <v>214</v>
      </c>
      <c r="AJ3170" s="2">
        <v>23</v>
      </c>
      <c r="AK3170" s="2" t="s">
        <v>851</v>
      </c>
      <c r="AL3170" s="2">
        <v>10</v>
      </c>
      <c r="AM3170" s="2" t="s">
        <v>200</v>
      </c>
      <c r="AN3170" s="2" t="s">
        <v>230</v>
      </c>
      <c r="AO3170" s="2" t="s">
        <v>82</v>
      </c>
      <c r="AP3170" s="2">
        <v>11</v>
      </c>
      <c r="AQ3170" s="2" t="s">
        <v>82</v>
      </c>
      <c r="AR3170" s="2"/>
      <c r="AS3170" s="2"/>
      <c r="AT3170" s="2" t="s">
        <v>10330</v>
      </c>
      <c r="AU3170" s="2"/>
      <c r="AV3170" s="2"/>
      <c r="AW3170" s="2"/>
      <c r="AX3170" s="2"/>
      <c r="AY3170" s="2">
        <v>41</v>
      </c>
      <c r="AZ3170" s="2" t="s">
        <v>82</v>
      </c>
      <c r="BA3170" s="2">
        <v>41</v>
      </c>
      <c r="BB3170" s="2" t="s">
        <v>82</v>
      </c>
      <c r="BC3170" s="2">
        <v>41</v>
      </c>
      <c r="BD3170" s="2" t="s">
        <v>82</v>
      </c>
      <c r="BE3170" s="2">
        <v>41</v>
      </c>
      <c r="BF3170" s="2" t="s">
        <v>82</v>
      </c>
      <c r="BG3170" s="2" t="s">
        <v>10331</v>
      </c>
      <c r="BH3170" s="4">
        <v>0.41875000000000001</v>
      </c>
      <c r="BI3170" s="2"/>
      <c r="BJ3170" s="2">
        <v>172</v>
      </c>
      <c r="BK3170" s="2" t="s">
        <v>843</v>
      </c>
      <c r="BL3170" s="2"/>
      <c r="BM3170" s="2">
        <v>241</v>
      </c>
      <c r="BN3170" s="2" t="s">
        <v>82</v>
      </c>
      <c r="BO3170" s="2"/>
      <c r="BP3170" s="2">
        <v>13</v>
      </c>
      <c r="BQ3170" s="2" t="s">
        <v>91</v>
      </c>
      <c r="BR3170" s="2" t="s">
        <v>854</v>
      </c>
      <c r="BS3170" s="3">
        <v>40393</v>
      </c>
      <c r="BT3170" s="4">
        <v>0.44327546296296294</v>
      </c>
    </row>
    <row r="3171" spans="1:72" x14ac:dyDescent="0.25">
      <c r="A3171" s="2">
        <v>4685</v>
      </c>
      <c r="B3171" s="2">
        <v>2010</v>
      </c>
      <c r="C3171" s="2" t="s">
        <v>121</v>
      </c>
      <c r="D3171" s="2" t="s">
        <v>122</v>
      </c>
      <c r="E3171" s="2"/>
      <c r="F3171" s="2">
        <v>1</v>
      </c>
      <c r="G3171" s="2" t="s">
        <v>82</v>
      </c>
      <c r="H3171" s="2">
        <v>1</v>
      </c>
      <c r="I3171" s="2" t="s">
        <v>82</v>
      </c>
      <c r="J3171" s="2">
        <v>1</v>
      </c>
      <c r="K3171" s="2" t="s">
        <v>107</v>
      </c>
      <c r="L3171" s="2" t="s">
        <v>107</v>
      </c>
      <c r="M3171" s="3">
        <v>40393</v>
      </c>
      <c r="N3171" s="2"/>
      <c r="O3171" s="2"/>
      <c r="P3171" s="2"/>
      <c r="Q3171" s="2" t="str">
        <f>""</f>
        <v/>
      </c>
      <c r="R3171" s="2"/>
      <c r="S3171" s="2"/>
      <c r="T3171" s="2">
        <v>2</v>
      </c>
      <c r="U3171" s="2" t="s">
        <v>123</v>
      </c>
      <c r="V3171" s="2">
        <v>1</v>
      </c>
      <c r="W3171" s="2" t="s">
        <v>80</v>
      </c>
      <c r="X3171" s="2">
        <v>11</v>
      </c>
      <c r="Y3171" s="2" t="s">
        <v>1920</v>
      </c>
      <c r="Z3171" s="2">
        <v>10</v>
      </c>
      <c r="AA3171" s="2" t="s">
        <v>236</v>
      </c>
      <c r="AB3171" s="2">
        <v>9</v>
      </c>
      <c r="AC3171" s="2" t="s">
        <v>124</v>
      </c>
      <c r="AD3171" s="3">
        <v>40393</v>
      </c>
      <c r="AE3171" s="4">
        <v>0.43055555555555558</v>
      </c>
      <c r="AF3171" s="2"/>
      <c r="AG3171" s="2"/>
      <c r="AH3171" s="2">
        <v>2</v>
      </c>
      <c r="AI3171" s="2" t="s">
        <v>84</v>
      </c>
      <c r="AJ3171" s="2">
        <v>12</v>
      </c>
      <c r="AK3171" s="2" t="s">
        <v>85</v>
      </c>
      <c r="AL3171" s="2">
        <v>10</v>
      </c>
      <c r="AM3171" s="2" t="s">
        <v>200</v>
      </c>
      <c r="AN3171" s="2" t="s">
        <v>909</v>
      </c>
      <c r="AO3171" s="2"/>
      <c r="AP3171" s="2">
        <v>11</v>
      </c>
      <c r="AQ3171" s="2" t="s">
        <v>82</v>
      </c>
      <c r="AR3171" s="2"/>
      <c r="AS3171" s="2"/>
      <c r="AT3171" s="2" t="s">
        <v>10332</v>
      </c>
      <c r="AU3171" s="2"/>
      <c r="AV3171" s="2"/>
      <c r="AW3171" s="2"/>
      <c r="AX3171" s="2"/>
      <c r="AY3171" s="2">
        <v>41</v>
      </c>
      <c r="AZ3171" s="2" t="s">
        <v>82</v>
      </c>
      <c r="BA3171" s="2">
        <v>41</v>
      </c>
      <c r="BB3171" s="2" t="s">
        <v>82</v>
      </c>
      <c r="BC3171" s="2">
        <v>41</v>
      </c>
      <c r="BD3171" s="2" t="s">
        <v>82</v>
      </c>
      <c r="BE3171" s="2">
        <v>13</v>
      </c>
      <c r="BF3171" s="2" t="s">
        <v>108</v>
      </c>
      <c r="BG3171" s="2" t="s">
        <v>10333</v>
      </c>
      <c r="BH3171" s="4">
        <v>0.43055555555555558</v>
      </c>
      <c r="BI3171" s="4">
        <v>0.34722222222222227</v>
      </c>
      <c r="BJ3171" s="2">
        <v>13</v>
      </c>
      <c r="BK3171" s="2" t="s">
        <v>91</v>
      </c>
      <c r="BL3171" s="2" t="s">
        <v>854</v>
      </c>
      <c r="BM3171" s="2">
        <v>241</v>
      </c>
      <c r="BN3171" s="2" t="s">
        <v>82</v>
      </c>
      <c r="BO3171" s="2"/>
      <c r="BP3171" s="2">
        <v>13</v>
      </c>
      <c r="BQ3171" s="2" t="s">
        <v>91</v>
      </c>
      <c r="BR3171" s="2" t="s">
        <v>185</v>
      </c>
      <c r="BS3171" s="3">
        <v>40393</v>
      </c>
      <c r="BT3171" s="4">
        <v>0.48107638888888887</v>
      </c>
    </row>
    <row r="3172" spans="1:72" x14ac:dyDescent="0.25">
      <c r="A3172" s="2">
        <v>4688</v>
      </c>
      <c r="B3172" s="2">
        <v>2010</v>
      </c>
      <c r="C3172" s="2" t="s">
        <v>72</v>
      </c>
      <c r="D3172" s="2" t="s">
        <v>73</v>
      </c>
      <c r="E3172" s="2"/>
      <c r="F3172" s="2">
        <v>511</v>
      </c>
      <c r="G3172" s="2" t="s">
        <v>10334</v>
      </c>
      <c r="H3172" s="2">
        <v>22</v>
      </c>
      <c r="I3172" s="2" t="s">
        <v>75</v>
      </c>
      <c r="J3172" s="2">
        <v>431</v>
      </c>
      <c r="K3172" s="2" t="s">
        <v>2746</v>
      </c>
      <c r="L3172" s="2" t="s">
        <v>2747</v>
      </c>
      <c r="M3172" s="3">
        <v>40393</v>
      </c>
      <c r="N3172" s="2" t="s">
        <v>10335</v>
      </c>
      <c r="O3172" s="2" t="s">
        <v>7745</v>
      </c>
      <c r="P3172" s="2"/>
      <c r="Q3172" s="2" t="str">
        <f>"0008/2010"</f>
        <v>0008/2010</v>
      </c>
      <c r="R3172" s="2"/>
      <c r="S3172" s="2"/>
      <c r="T3172" s="2">
        <v>1</v>
      </c>
      <c r="U3172" s="2" t="s">
        <v>79</v>
      </c>
      <c r="V3172" s="2">
        <v>1</v>
      </c>
      <c r="W3172" s="2" t="s">
        <v>80</v>
      </c>
      <c r="X3172" s="2">
        <v>12</v>
      </c>
      <c r="Y3172" s="2" t="s">
        <v>148</v>
      </c>
      <c r="Z3172" s="2">
        <v>1</v>
      </c>
      <c r="AA3172" s="2" t="s">
        <v>82</v>
      </c>
      <c r="AB3172" s="2">
        <v>6</v>
      </c>
      <c r="AC3172" s="2" t="s">
        <v>83</v>
      </c>
      <c r="AD3172" s="2"/>
      <c r="AE3172" s="2"/>
      <c r="AF3172" s="3">
        <v>40393</v>
      </c>
      <c r="AG3172" s="4">
        <v>0.45833333333333331</v>
      </c>
      <c r="AH3172" s="2">
        <v>5</v>
      </c>
      <c r="AI3172" s="2" t="s">
        <v>274</v>
      </c>
      <c r="AJ3172" s="2">
        <v>41</v>
      </c>
      <c r="AK3172" s="2" t="s">
        <v>2751</v>
      </c>
      <c r="AL3172" s="2">
        <v>25</v>
      </c>
      <c r="AM3172" s="2" t="s">
        <v>3073</v>
      </c>
      <c r="AN3172" s="2"/>
      <c r="AO3172" s="2" t="s">
        <v>10336</v>
      </c>
      <c r="AP3172" s="2">
        <v>11</v>
      </c>
      <c r="AQ3172" s="2" t="s">
        <v>82</v>
      </c>
      <c r="AR3172" s="2"/>
      <c r="AS3172" s="2"/>
      <c r="AT3172" s="2" t="s">
        <v>10337</v>
      </c>
      <c r="AU3172" s="2"/>
      <c r="AV3172" s="2"/>
      <c r="AW3172" s="2"/>
      <c r="AX3172" s="2"/>
      <c r="AY3172" s="2">
        <v>103</v>
      </c>
      <c r="AZ3172" s="2" t="s">
        <v>6320</v>
      </c>
      <c r="BA3172" s="2">
        <v>1</v>
      </c>
      <c r="BB3172" s="2" t="s">
        <v>107</v>
      </c>
      <c r="BC3172" s="2">
        <v>1</v>
      </c>
      <c r="BD3172" s="2" t="s">
        <v>107</v>
      </c>
      <c r="BE3172" s="2">
        <v>1</v>
      </c>
      <c r="BF3172" s="2" t="s">
        <v>107</v>
      </c>
      <c r="BG3172" s="2"/>
      <c r="BH3172" s="2"/>
      <c r="BI3172" s="2"/>
      <c r="BJ3172" s="2">
        <v>242</v>
      </c>
      <c r="BK3172" s="2" t="s">
        <v>107</v>
      </c>
      <c r="BL3172" s="2"/>
      <c r="BM3172" s="2">
        <v>242</v>
      </c>
      <c r="BN3172" s="2" t="s">
        <v>107</v>
      </c>
      <c r="BO3172" s="2"/>
      <c r="BP3172" s="2">
        <v>242</v>
      </c>
      <c r="BQ3172" s="2" t="s">
        <v>107</v>
      </c>
      <c r="BR3172" s="2"/>
      <c r="BS3172" s="3">
        <v>40393</v>
      </c>
      <c r="BT3172" s="4">
        <v>0.55061342592592599</v>
      </c>
    </row>
    <row r="3173" spans="1:72" x14ac:dyDescent="0.25">
      <c r="A3173" s="2">
        <v>4689</v>
      </c>
      <c r="B3173" s="2">
        <v>2010</v>
      </c>
      <c r="C3173" s="2" t="s">
        <v>414</v>
      </c>
      <c r="D3173" s="2" t="s">
        <v>122</v>
      </c>
      <c r="E3173" s="2"/>
      <c r="F3173" s="2">
        <v>1</v>
      </c>
      <c r="G3173" s="2" t="s">
        <v>82</v>
      </c>
      <c r="H3173" s="2">
        <v>1</v>
      </c>
      <c r="I3173" s="2" t="s">
        <v>82</v>
      </c>
      <c r="J3173" s="2">
        <v>1</v>
      </c>
      <c r="K3173" s="2" t="s">
        <v>107</v>
      </c>
      <c r="L3173" s="2" t="s">
        <v>107</v>
      </c>
      <c r="M3173" s="3">
        <v>40393</v>
      </c>
      <c r="N3173" s="2"/>
      <c r="O3173" s="2"/>
      <c r="P3173" s="2"/>
      <c r="Q3173" s="2" t="str">
        <f>""</f>
        <v/>
      </c>
      <c r="R3173" s="2"/>
      <c r="S3173" s="2"/>
      <c r="T3173" s="2">
        <v>1</v>
      </c>
      <c r="U3173" s="2" t="s">
        <v>79</v>
      </c>
      <c r="V3173" s="2">
        <v>1</v>
      </c>
      <c r="W3173" s="2" t="s">
        <v>80</v>
      </c>
      <c r="X3173" s="2">
        <v>1</v>
      </c>
      <c r="Y3173" s="2" t="s">
        <v>81</v>
      </c>
      <c r="Z3173" s="2">
        <v>10</v>
      </c>
      <c r="AA3173" s="2" t="s">
        <v>236</v>
      </c>
      <c r="AB3173" s="2">
        <v>9</v>
      </c>
      <c r="AC3173" s="2" t="s">
        <v>124</v>
      </c>
      <c r="AD3173" s="3">
        <v>40393</v>
      </c>
      <c r="AE3173" s="4">
        <v>0.47569444444444442</v>
      </c>
      <c r="AF3173" s="2"/>
      <c r="AG3173" s="2"/>
      <c r="AH3173" s="2">
        <v>2</v>
      </c>
      <c r="AI3173" s="2" t="s">
        <v>84</v>
      </c>
      <c r="AJ3173" s="2">
        <v>12</v>
      </c>
      <c r="AK3173" s="2" t="s">
        <v>85</v>
      </c>
      <c r="AL3173" s="2">
        <v>29</v>
      </c>
      <c r="AM3173" s="2" t="s">
        <v>5416</v>
      </c>
      <c r="AN3173" s="2" t="s">
        <v>296</v>
      </c>
      <c r="AO3173" s="2"/>
      <c r="AP3173" s="2">
        <v>11</v>
      </c>
      <c r="AQ3173" s="2" t="s">
        <v>82</v>
      </c>
      <c r="AR3173" s="2"/>
      <c r="AS3173" s="2"/>
      <c r="AT3173" s="2" t="s">
        <v>10338</v>
      </c>
      <c r="AU3173" s="2"/>
      <c r="AV3173" s="2"/>
      <c r="AW3173" s="2"/>
      <c r="AX3173" s="2"/>
      <c r="AY3173" s="2">
        <v>41</v>
      </c>
      <c r="AZ3173" s="2" t="s">
        <v>82</v>
      </c>
      <c r="BA3173" s="2">
        <v>41</v>
      </c>
      <c r="BB3173" s="2" t="s">
        <v>82</v>
      </c>
      <c r="BC3173" s="2">
        <v>41</v>
      </c>
      <c r="BD3173" s="2" t="s">
        <v>82</v>
      </c>
      <c r="BE3173" s="2">
        <v>41</v>
      </c>
      <c r="BF3173" s="2" t="s">
        <v>82</v>
      </c>
      <c r="BG3173" s="2"/>
      <c r="BH3173" s="2"/>
      <c r="BI3173" s="2"/>
      <c r="BJ3173" s="2">
        <v>241</v>
      </c>
      <c r="BK3173" s="2" t="s">
        <v>82</v>
      </c>
      <c r="BL3173" s="2"/>
      <c r="BM3173" s="2">
        <v>241</v>
      </c>
      <c r="BN3173" s="2" t="s">
        <v>82</v>
      </c>
      <c r="BO3173" s="2"/>
      <c r="BP3173" s="2">
        <v>241</v>
      </c>
      <c r="BQ3173" s="2" t="s">
        <v>82</v>
      </c>
      <c r="BR3173" s="2"/>
      <c r="BS3173" s="3">
        <v>40393</v>
      </c>
      <c r="BT3173" s="4">
        <v>0.55508101851851854</v>
      </c>
    </row>
    <row r="3174" spans="1:72" x14ac:dyDescent="0.25">
      <c r="A3174" s="2">
        <v>4690</v>
      </c>
      <c r="B3174" s="2">
        <v>2010</v>
      </c>
      <c r="C3174" s="2" t="s">
        <v>121</v>
      </c>
      <c r="D3174" s="2" t="s">
        <v>122</v>
      </c>
      <c r="E3174" s="2"/>
      <c r="F3174" s="2">
        <v>1</v>
      </c>
      <c r="G3174" s="2" t="s">
        <v>82</v>
      </c>
      <c r="H3174" s="2">
        <v>1</v>
      </c>
      <c r="I3174" s="2" t="s">
        <v>82</v>
      </c>
      <c r="J3174" s="2">
        <v>1</v>
      </c>
      <c r="K3174" s="2" t="s">
        <v>107</v>
      </c>
      <c r="L3174" s="2" t="s">
        <v>107</v>
      </c>
      <c r="M3174" s="3">
        <v>40393</v>
      </c>
      <c r="N3174" s="2"/>
      <c r="O3174" s="2"/>
      <c r="P3174" s="2"/>
      <c r="Q3174" s="2" t="str">
        <f>""</f>
        <v/>
      </c>
      <c r="R3174" s="2"/>
      <c r="S3174" s="2"/>
      <c r="T3174" s="2">
        <v>2</v>
      </c>
      <c r="U3174" s="2" t="s">
        <v>123</v>
      </c>
      <c r="V3174" s="2">
        <v>1</v>
      </c>
      <c r="W3174" s="2" t="s">
        <v>80</v>
      </c>
      <c r="X3174" s="2">
        <v>11</v>
      </c>
      <c r="Y3174" s="2" t="s">
        <v>1920</v>
      </c>
      <c r="Z3174" s="2">
        <v>10</v>
      </c>
      <c r="AA3174" s="2" t="s">
        <v>236</v>
      </c>
      <c r="AB3174" s="2">
        <v>9</v>
      </c>
      <c r="AC3174" s="2" t="s">
        <v>124</v>
      </c>
      <c r="AD3174" s="3">
        <v>40393</v>
      </c>
      <c r="AE3174" s="4">
        <v>0.52083333333333337</v>
      </c>
      <c r="AF3174" s="2"/>
      <c r="AG3174" s="2"/>
      <c r="AH3174" s="2">
        <v>2</v>
      </c>
      <c r="AI3174" s="2" t="s">
        <v>84</v>
      </c>
      <c r="AJ3174" s="2">
        <v>12</v>
      </c>
      <c r="AK3174" s="2" t="s">
        <v>85</v>
      </c>
      <c r="AL3174" s="2">
        <v>10</v>
      </c>
      <c r="AM3174" s="2" t="s">
        <v>200</v>
      </c>
      <c r="AN3174" s="2"/>
      <c r="AO3174" s="2"/>
      <c r="AP3174" s="2">
        <v>11</v>
      </c>
      <c r="AQ3174" s="2" t="s">
        <v>82</v>
      </c>
      <c r="AR3174" s="2"/>
      <c r="AS3174" s="2"/>
      <c r="AT3174" s="2" t="s">
        <v>10339</v>
      </c>
      <c r="AU3174" s="2"/>
      <c r="AV3174" s="2"/>
      <c r="AW3174" s="2"/>
      <c r="AX3174" s="2"/>
      <c r="AY3174" s="2">
        <v>41</v>
      </c>
      <c r="AZ3174" s="2" t="s">
        <v>82</v>
      </c>
      <c r="BA3174" s="2">
        <v>41</v>
      </c>
      <c r="BB3174" s="2" t="s">
        <v>82</v>
      </c>
      <c r="BC3174" s="2">
        <v>41</v>
      </c>
      <c r="BD3174" s="2" t="s">
        <v>82</v>
      </c>
      <c r="BE3174" s="2">
        <v>13</v>
      </c>
      <c r="BF3174" s="2" t="s">
        <v>108</v>
      </c>
      <c r="BG3174" s="2" t="s">
        <v>4530</v>
      </c>
      <c r="BH3174" s="4">
        <v>0.54861111111111105</v>
      </c>
      <c r="BI3174" s="4">
        <v>0.46527777777777773</v>
      </c>
      <c r="BJ3174" s="2">
        <v>13</v>
      </c>
      <c r="BK3174" s="2" t="s">
        <v>91</v>
      </c>
      <c r="BL3174" s="2" t="s">
        <v>854</v>
      </c>
      <c r="BM3174" s="2">
        <v>241</v>
      </c>
      <c r="BN3174" s="2" t="s">
        <v>82</v>
      </c>
      <c r="BO3174" s="2"/>
      <c r="BP3174" s="2">
        <v>13</v>
      </c>
      <c r="BQ3174" s="2" t="s">
        <v>91</v>
      </c>
      <c r="BR3174" s="2" t="s">
        <v>185</v>
      </c>
      <c r="BS3174" s="3">
        <v>40393</v>
      </c>
      <c r="BT3174" s="4">
        <v>0.57413194444444449</v>
      </c>
    </row>
    <row r="3175" spans="1:72" x14ac:dyDescent="0.25">
      <c r="A3175" s="2">
        <v>4692</v>
      </c>
      <c r="B3175" s="2">
        <v>2010</v>
      </c>
      <c r="C3175" s="2" t="s">
        <v>121</v>
      </c>
      <c r="D3175" s="2" t="s">
        <v>122</v>
      </c>
      <c r="E3175" s="2"/>
      <c r="F3175" s="2">
        <v>1</v>
      </c>
      <c r="G3175" s="2" t="s">
        <v>82</v>
      </c>
      <c r="H3175" s="2">
        <v>1</v>
      </c>
      <c r="I3175" s="2" t="s">
        <v>82</v>
      </c>
      <c r="J3175" s="2">
        <v>1</v>
      </c>
      <c r="K3175" s="2" t="s">
        <v>107</v>
      </c>
      <c r="L3175" s="2" t="s">
        <v>107</v>
      </c>
      <c r="M3175" s="3">
        <v>40393</v>
      </c>
      <c r="N3175" s="2"/>
      <c r="O3175" s="2"/>
      <c r="P3175" s="2"/>
      <c r="Q3175" s="2" t="str">
        <f>""</f>
        <v/>
      </c>
      <c r="R3175" s="2"/>
      <c r="S3175" s="2"/>
      <c r="T3175" s="2">
        <v>2</v>
      </c>
      <c r="U3175" s="2" t="s">
        <v>123</v>
      </c>
      <c r="V3175" s="2">
        <v>1</v>
      </c>
      <c r="W3175" s="2" t="s">
        <v>80</v>
      </c>
      <c r="X3175" s="2">
        <v>11</v>
      </c>
      <c r="Y3175" s="2" t="s">
        <v>1920</v>
      </c>
      <c r="Z3175" s="2">
        <v>1</v>
      </c>
      <c r="AA3175" s="2" t="s">
        <v>82</v>
      </c>
      <c r="AB3175" s="2">
        <v>9</v>
      </c>
      <c r="AC3175" s="2" t="s">
        <v>124</v>
      </c>
      <c r="AD3175" s="3">
        <v>40393</v>
      </c>
      <c r="AE3175" s="4">
        <v>0.62708333333333333</v>
      </c>
      <c r="AF3175" s="2"/>
      <c r="AG3175" s="2"/>
      <c r="AH3175" s="2">
        <v>3</v>
      </c>
      <c r="AI3175" s="2" t="s">
        <v>214</v>
      </c>
      <c r="AJ3175" s="2">
        <v>23</v>
      </c>
      <c r="AK3175" s="2" t="s">
        <v>851</v>
      </c>
      <c r="AL3175" s="2">
        <v>10</v>
      </c>
      <c r="AM3175" s="2" t="s">
        <v>200</v>
      </c>
      <c r="AN3175" s="2" t="s">
        <v>230</v>
      </c>
      <c r="AO3175" s="2" t="s">
        <v>82</v>
      </c>
      <c r="AP3175" s="2">
        <v>11</v>
      </c>
      <c r="AQ3175" s="2" t="s">
        <v>82</v>
      </c>
      <c r="AR3175" s="2"/>
      <c r="AS3175" s="2"/>
      <c r="AT3175" s="2" t="s">
        <v>10340</v>
      </c>
      <c r="AU3175" s="2"/>
      <c r="AV3175" s="2"/>
      <c r="AW3175" s="2"/>
      <c r="AX3175" s="2"/>
      <c r="AY3175" s="2">
        <v>41</v>
      </c>
      <c r="AZ3175" s="2" t="s">
        <v>82</v>
      </c>
      <c r="BA3175" s="2">
        <v>41</v>
      </c>
      <c r="BB3175" s="2" t="s">
        <v>82</v>
      </c>
      <c r="BC3175" s="2">
        <v>41</v>
      </c>
      <c r="BD3175" s="2" t="s">
        <v>82</v>
      </c>
      <c r="BE3175" s="2">
        <v>41</v>
      </c>
      <c r="BF3175" s="2" t="s">
        <v>82</v>
      </c>
      <c r="BG3175" s="2" t="s">
        <v>10329</v>
      </c>
      <c r="BH3175" s="2"/>
      <c r="BI3175" s="4">
        <v>0.62708333333333333</v>
      </c>
      <c r="BJ3175" s="2">
        <v>13</v>
      </c>
      <c r="BK3175" s="2" t="s">
        <v>91</v>
      </c>
      <c r="BL3175" s="2" t="s">
        <v>854</v>
      </c>
      <c r="BM3175" s="2">
        <v>241</v>
      </c>
      <c r="BN3175" s="2" t="s">
        <v>82</v>
      </c>
      <c r="BO3175" s="2"/>
      <c r="BP3175" s="2">
        <v>46</v>
      </c>
      <c r="BQ3175" s="2" t="s">
        <v>307</v>
      </c>
      <c r="BR3175" s="2" t="s">
        <v>308</v>
      </c>
      <c r="BS3175" s="3">
        <v>40393</v>
      </c>
      <c r="BT3175" s="4">
        <v>0.65155092592592589</v>
      </c>
    </row>
    <row r="3176" spans="1:72" x14ac:dyDescent="0.25">
      <c r="A3176" s="2">
        <v>4693</v>
      </c>
      <c r="B3176" s="2">
        <v>2010</v>
      </c>
      <c r="C3176" s="2" t="s">
        <v>121</v>
      </c>
      <c r="D3176" s="2" t="s">
        <v>122</v>
      </c>
      <c r="E3176" s="2"/>
      <c r="F3176" s="2">
        <v>1</v>
      </c>
      <c r="G3176" s="2" t="s">
        <v>82</v>
      </c>
      <c r="H3176" s="2">
        <v>1</v>
      </c>
      <c r="I3176" s="2" t="s">
        <v>82</v>
      </c>
      <c r="J3176" s="2">
        <v>1</v>
      </c>
      <c r="K3176" s="2" t="s">
        <v>107</v>
      </c>
      <c r="L3176" s="2" t="s">
        <v>107</v>
      </c>
      <c r="M3176" s="3">
        <v>40393</v>
      </c>
      <c r="N3176" s="2"/>
      <c r="O3176" s="2"/>
      <c r="P3176" s="2"/>
      <c r="Q3176" s="2" t="str">
        <f>""</f>
        <v/>
      </c>
      <c r="R3176" s="2"/>
      <c r="S3176" s="2"/>
      <c r="T3176" s="2">
        <v>2</v>
      </c>
      <c r="U3176" s="2" t="s">
        <v>123</v>
      </c>
      <c r="V3176" s="2">
        <v>1</v>
      </c>
      <c r="W3176" s="2" t="s">
        <v>80</v>
      </c>
      <c r="X3176" s="2">
        <v>11</v>
      </c>
      <c r="Y3176" s="2" t="s">
        <v>1920</v>
      </c>
      <c r="Z3176" s="2">
        <v>1</v>
      </c>
      <c r="AA3176" s="2" t="s">
        <v>82</v>
      </c>
      <c r="AB3176" s="2">
        <v>9</v>
      </c>
      <c r="AC3176" s="2" t="s">
        <v>124</v>
      </c>
      <c r="AD3176" s="3">
        <v>40393</v>
      </c>
      <c r="AE3176" s="4">
        <v>0.63750000000000007</v>
      </c>
      <c r="AF3176" s="2"/>
      <c r="AG3176" s="2"/>
      <c r="AH3176" s="2">
        <v>3</v>
      </c>
      <c r="AI3176" s="2" t="s">
        <v>214</v>
      </c>
      <c r="AJ3176" s="2">
        <v>23</v>
      </c>
      <c r="AK3176" s="2" t="s">
        <v>851</v>
      </c>
      <c r="AL3176" s="2">
        <v>10</v>
      </c>
      <c r="AM3176" s="2" t="s">
        <v>200</v>
      </c>
      <c r="AN3176" s="2" t="s">
        <v>230</v>
      </c>
      <c r="AO3176" s="2" t="s">
        <v>82</v>
      </c>
      <c r="AP3176" s="2">
        <v>11</v>
      </c>
      <c r="AQ3176" s="2" t="s">
        <v>82</v>
      </c>
      <c r="AR3176" s="2"/>
      <c r="AS3176" s="2"/>
      <c r="AT3176" s="2" t="s">
        <v>10341</v>
      </c>
      <c r="AU3176" s="2"/>
      <c r="AV3176" s="2"/>
      <c r="AW3176" s="2"/>
      <c r="AX3176" s="2"/>
      <c r="AY3176" s="2">
        <v>41</v>
      </c>
      <c r="AZ3176" s="2" t="s">
        <v>82</v>
      </c>
      <c r="BA3176" s="2">
        <v>41</v>
      </c>
      <c r="BB3176" s="2" t="s">
        <v>82</v>
      </c>
      <c r="BC3176" s="2">
        <v>41</v>
      </c>
      <c r="BD3176" s="2" t="s">
        <v>82</v>
      </c>
      <c r="BE3176" s="2">
        <v>41</v>
      </c>
      <c r="BF3176" s="2" t="s">
        <v>82</v>
      </c>
      <c r="BG3176" s="2" t="s">
        <v>10308</v>
      </c>
      <c r="BH3176" s="2"/>
      <c r="BI3176" s="4">
        <v>0.63750000000000007</v>
      </c>
      <c r="BJ3176" s="2">
        <v>13</v>
      </c>
      <c r="BK3176" s="2" t="s">
        <v>91</v>
      </c>
      <c r="BL3176" s="2" t="s">
        <v>854</v>
      </c>
      <c r="BM3176" s="2">
        <v>241</v>
      </c>
      <c r="BN3176" s="2" t="s">
        <v>82</v>
      </c>
      <c r="BO3176" s="2"/>
      <c r="BP3176" s="2">
        <v>229</v>
      </c>
      <c r="BQ3176" s="2" t="s">
        <v>300</v>
      </c>
      <c r="BR3176" s="2" t="s">
        <v>573</v>
      </c>
      <c r="BS3176" s="3">
        <v>40393</v>
      </c>
      <c r="BT3176" s="4">
        <v>0.66332175925925929</v>
      </c>
    </row>
    <row r="3177" spans="1:72" x14ac:dyDescent="0.25">
      <c r="A3177" s="2">
        <v>4695</v>
      </c>
      <c r="B3177" s="2">
        <v>2010</v>
      </c>
      <c r="C3177" s="2" t="s">
        <v>121</v>
      </c>
      <c r="D3177" s="2" t="s">
        <v>122</v>
      </c>
      <c r="E3177" s="2"/>
      <c r="F3177" s="2">
        <v>1</v>
      </c>
      <c r="G3177" s="2" t="s">
        <v>82</v>
      </c>
      <c r="H3177" s="2">
        <v>1</v>
      </c>
      <c r="I3177" s="2" t="s">
        <v>82</v>
      </c>
      <c r="J3177" s="2">
        <v>1</v>
      </c>
      <c r="K3177" s="2" t="s">
        <v>107</v>
      </c>
      <c r="L3177" s="2" t="s">
        <v>107</v>
      </c>
      <c r="M3177" s="3">
        <v>40393</v>
      </c>
      <c r="N3177" s="2"/>
      <c r="O3177" s="2"/>
      <c r="P3177" s="2"/>
      <c r="Q3177" s="2" t="str">
        <f>""</f>
        <v/>
      </c>
      <c r="R3177" s="2"/>
      <c r="S3177" s="2"/>
      <c r="T3177" s="2">
        <v>2</v>
      </c>
      <c r="U3177" s="2" t="s">
        <v>123</v>
      </c>
      <c r="V3177" s="2">
        <v>1</v>
      </c>
      <c r="W3177" s="2" t="s">
        <v>80</v>
      </c>
      <c r="X3177" s="2">
        <v>11</v>
      </c>
      <c r="Y3177" s="2" t="s">
        <v>1920</v>
      </c>
      <c r="Z3177" s="2">
        <v>1</v>
      </c>
      <c r="AA3177" s="2" t="s">
        <v>82</v>
      </c>
      <c r="AB3177" s="2">
        <v>9</v>
      </c>
      <c r="AC3177" s="2" t="s">
        <v>124</v>
      </c>
      <c r="AD3177" s="3">
        <v>40393</v>
      </c>
      <c r="AE3177" s="4">
        <v>0.72291666666666676</v>
      </c>
      <c r="AF3177" s="2"/>
      <c r="AG3177" s="2"/>
      <c r="AH3177" s="2">
        <v>3</v>
      </c>
      <c r="AI3177" s="2" t="s">
        <v>214</v>
      </c>
      <c r="AJ3177" s="2">
        <v>23</v>
      </c>
      <c r="AK3177" s="2" t="s">
        <v>851</v>
      </c>
      <c r="AL3177" s="2">
        <v>10</v>
      </c>
      <c r="AM3177" s="2" t="s">
        <v>200</v>
      </c>
      <c r="AN3177" s="2" t="s">
        <v>230</v>
      </c>
      <c r="AO3177" s="2" t="s">
        <v>82</v>
      </c>
      <c r="AP3177" s="2">
        <v>11</v>
      </c>
      <c r="AQ3177" s="2" t="s">
        <v>82</v>
      </c>
      <c r="AR3177" s="2"/>
      <c r="AS3177" s="2"/>
      <c r="AT3177" s="2" t="s">
        <v>10342</v>
      </c>
      <c r="AU3177" s="2"/>
      <c r="AV3177" s="2"/>
      <c r="AW3177" s="2"/>
      <c r="AX3177" s="2"/>
      <c r="AY3177" s="2">
        <v>41</v>
      </c>
      <c r="AZ3177" s="2" t="s">
        <v>82</v>
      </c>
      <c r="BA3177" s="2">
        <v>41</v>
      </c>
      <c r="BB3177" s="2" t="s">
        <v>82</v>
      </c>
      <c r="BC3177" s="2">
        <v>41</v>
      </c>
      <c r="BD3177" s="2" t="s">
        <v>82</v>
      </c>
      <c r="BE3177" s="2">
        <v>41</v>
      </c>
      <c r="BF3177" s="2" t="s">
        <v>82</v>
      </c>
      <c r="BG3177" s="2" t="s">
        <v>10317</v>
      </c>
      <c r="BH3177" s="2"/>
      <c r="BI3177" s="4">
        <v>0.72291666666666676</v>
      </c>
      <c r="BJ3177" s="2">
        <v>13</v>
      </c>
      <c r="BK3177" s="2" t="s">
        <v>91</v>
      </c>
      <c r="BL3177" s="2" t="s">
        <v>854</v>
      </c>
      <c r="BM3177" s="2">
        <v>242</v>
      </c>
      <c r="BN3177" s="2" t="s">
        <v>107</v>
      </c>
      <c r="BO3177" s="2"/>
      <c r="BP3177" s="2">
        <v>33</v>
      </c>
      <c r="BQ3177" s="2" t="s">
        <v>361</v>
      </c>
      <c r="BR3177" s="2"/>
      <c r="BS3177" s="3">
        <v>40393</v>
      </c>
      <c r="BT3177" s="4">
        <v>0.73695601851851855</v>
      </c>
    </row>
    <row r="3178" spans="1:72" x14ac:dyDescent="0.25">
      <c r="A3178" s="2">
        <v>4696</v>
      </c>
      <c r="B3178" s="2">
        <v>2010</v>
      </c>
      <c r="C3178" s="2" t="s">
        <v>121</v>
      </c>
      <c r="D3178" s="2" t="s">
        <v>122</v>
      </c>
      <c r="E3178" s="2"/>
      <c r="F3178" s="2">
        <v>1</v>
      </c>
      <c r="G3178" s="2" t="s">
        <v>82</v>
      </c>
      <c r="H3178" s="2">
        <v>1</v>
      </c>
      <c r="I3178" s="2" t="s">
        <v>82</v>
      </c>
      <c r="J3178" s="2">
        <v>1</v>
      </c>
      <c r="K3178" s="2" t="s">
        <v>107</v>
      </c>
      <c r="L3178" s="2" t="s">
        <v>107</v>
      </c>
      <c r="M3178" s="3">
        <v>40393</v>
      </c>
      <c r="N3178" s="2"/>
      <c r="O3178" s="2"/>
      <c r="P3178" s="2"/>
      <c r="Q3178" s="2" t="str">
        <f>""</f>
        <v/>
      </c>
      <c r="R3178" s="2"/>
      <c r="S3178" s="2"/>
      <c r="T3178" s="2">
        <v>2</v>
      </c>
      <c r="U3178" s="2" t="s">
        <v>123</v>
      </c>
      <c r="V3178" s="2">
        <v>1</v>
      </c>
      <c r="W3178" s="2" t="s">
        <v>80</v>
      </c>
      <c r="X3178" s="2">
        <v>11</v>
      </c>
      <c r="Y3178" s="2" t="s">
        <v>1920</v>
      </c>
      <c r="Z3178" s="2">
        <v>10</v>
      </c>
      <c r="AA3178" s="2" t="s">
        <v>236</v>
      </c>
      <c r="AB3178" s="2">
        <v>9</v>
      </c>
      <c r="AC3178" s="2" t="s">
        <v>124</v>
      </c>
      <c r="AD3178" s="3">
        <v>40393</v>
      </c>
      <c r="AE3178" s="4">
        <v>0.71875</v>
      </c>
      <c r="AF3178" s="2"/>
      <c r="AG3178" s="2"/>
      <c r="AH3178" s="2">
        <v>2</v>
      </c>
      <c r="AI3178" s="2" t="s">
        <v>84</v>
      </c>
      <c r="AJ3178" s="2">
        <v>12</v>
      </c>
      <c r="AK3178" s="2" t="s">
        <v>85</v>
      </c>
      <c r="AL3178" s="2">
        <v>10</v>
      </c>
      <c r="AM3178" s="2" t="s">
        <v>200</v>
      </c>
      <c r="AN3178" s="2" t="s">
        <v>909</v>
      </c>
      <c r="AO3178" s="2"/>
      <c r="AP3178" s="2">
        <v>11</v>
      </c>
      <c r="AQ3178" s="2" t="s">
        <v>82</v>
      </c>
      <c r="AR3178" s="2"/>
      <c r="AS3178" s="2"/>
      <c r="AT3178" s="2" t="s">
        <v>10343</v>
      </c>
      <c r="AU3178" s="2"/>
      <c r="AV3178" s="2"/>
      <c r="AW3178" s="2"/>
      <c r="AX3178" s="2"/>
      <c r="AY3178" s="2">
        <v>41</v>
      </c>
      <c r="AZ3178" s="2" t="s">
        <v>82</v>
      </c>
      <c r="BA3178" s="2">
        <v>41</v>
      </c>
      <c r="BB3178" s="2" t="s">
        <v>82</v>
      </c>
      <c r="BC3178" s="2">
        <v>41</v>
      </c>
      <c r="BD3178" s="2" t="s">
        <v>82</v>
      </c>
      <c r="BE3178" s="2">
        <v>10</v>
      </c>
      <c r="BF3178" s="2" t="s">
        <v>901</v>
      </c>
      <c r="BG3178" s="2" t="s">
        <v>10344</v>
      </c>
      <c r="BH3178" s="2"/>
      <c r="BI3178" s="2"/>
      <c r="BJ3178" s="2">
        <v>229</v>
      </c>
      <c r="BK3178" s="2" t="s">
        <v>300</v>
      </c>
      <c r="BL3178" s="2" t="s">
        <v>573</v>
      </c>
      <c r="BM3178" s="2">
        <v>241</v>
      </c>
      <c r="BN3178" s="2" t="s">
        <v>82</v>
      </c>
      <c r="BO3178" s="2"/>
      <c r="BP3178" s="2">
        <v>13</v>
      </c>
      <c r="BQ3178" s="2" t="s">
        <v>91</v>
      </c>
      <c r="BR3178" s="2" t="s">
        <v>185</v>
      </c>
      <c r="BS3178" s="3">
        <v>40393</v>
      </c>
      <c r="BT3178" s="4">
        <v>0.74685185185185177</v>
      </c>
    </row>
    <row r="3179" spans="1:72" x14ac:dyDescent="0.25">
      <c r="A3179" s="2">
        <v>4697</v>
      </c>
      <c r="B3179" s="2">
        <v>2010</v>
      </c>
      <c r="C3179" s="2" t="s">
        <v>121</v>
      </c>
      <c r="D3179" s="2" t="s">
        <v>122</v>
      </c>
      <c r="E3179" s="2"/>
      <c r="F3179" s="2">
        <v>1</v>
      </c>
      <c r="G3179" s="2" t="s">
        <v>82</v>
      </c>
      <c r="H3179" s="2">
        <v>1</v>
      </c>
      <c r="I3179" s="2" t="s">
        <v>82</v>
      </c>
      <c r="J3179" s="2">
        <v>1</v>
      </c>
      <c r="K3179" s="2" t="s">
        <v>107</v>
      </c>
      <c r="L3179" s="2" t="s">
        <v>107</v>
      </c>
      <c r="M3179" s="3">
        <v>40393</v>
      </c>
      <c r="N3179" s="2"/>
      <c r="O3179" s="2"/>
      <c r="P3179" s="2"/>
      <c r="Q3179" s="2" t="str">
        <f>""</f>
        <v/>
      </c>
      <c r="R3179" s="2"/>
      <c r="S3179" s="2"/>
      <c r="T3179" s="2">
        <v>2</v>
      </c>
      <c r="U3179" s="2" t="s">
        <v>123</v>
      </c>
      <c r="V3179" s="2">
        <v>1</v>
      </c>
      <c r="W3179" s="2" t="s">
        <v>80</v>
      </c>
      <c r="X3179" s="2">
        <v>11</v>
      </c>
      <c r="Y3179" s="2" t="s">
        <v>1920</v>
      </c>
      <c r="Z3179" s="2">
        <v>1</v>
      </c>
      <c r="AA3179" s="2" t="s">
        <v>82</v>
      </c>
      <c r="AB3179" s="2">
        <v>9</v>
      </c>
      <c r="AC3179" s="2" t="s">
        <v>124</v>
      </c>
      <c r="AD3179" s="3">
        <v>40393</v>
      </c>
      <c r="AE3179" s="4">
        <v>0.75069444444444444</v>
      </c>
      <c r="AF3179" s="2"/>
      <c r="AG3179" s="2"/>
      <c r="AH3179" s="2">
        <v>3</v>
      </c>
      <c r="AI3179" s="2" t="s">
        <v>214</v>
      </c>
      <c r="AJ3179" s="2">
        <v>23</v>
      </c>
      <c r="AK3179" s="2" t="s">
        <v>851</v>
      </c>
      <c r="AL3179" s="2">
        <v>10</v>
      </c>
      <c r="AM3179" s="2" t="s">
        <v>200</v>
      </c>
      <c r="AN3179" s="2" t="s">
        <v>230</v>
      </c>
      <c r="AO3179" s="2" t="s">
        <v>82</v>
      </c>
      <c r="AP3179" s="2">
        <v>11</v>
      </c>
      <c r="AQ3179" s="2" t="s">
        <v>82</v>
      </c>
      <c r="AR3179" s="2"/>
      <c r="AS3179" s="2"/>
      <c r="AT3179" s="2" t="s">
        <v>10345</v>
      </c>
      <c r="AU3179" s="2"/>
      <c r="AV3179" s="2"/>
      <c r="AW3179" s="2"/>
      <c r="AX3179" s="2"/>
      <c r="AY3179" s="2">
        <v>41</v>
      </c>
      <c r="AZ3179" s="2" t="s">
        <v>82</v>
      </c>
      <c r="BA3179" s="2">
        <v>41</v>
      </c>
      <c r="BB3179" s="2" t="s">
        <v>82</v>
      </c>
      <c r="BC3179" s="2">
        <v>41</v>
      </c>
      <c r="BD3179" s="2" t="s">
        <v>82</v>
      </c>
      <c r="BE3179" s="2">
        <v>41</v>
      </c>
      <c r="BF3179" s="2" t="s">
        <v>82</v>
      </c>
      <c r="BG3179" s="2" t="s">
        <v>10331</v>
      </c>
      <c r="BH3179" s="2"/>
      <c r="BI3179" s="4">
        <v>0.75069444444444444</v>
      </c>
      <c r="BJ3179" s="2">
        <v>13</v>
      </c>
      <c r="BK3179" s="2" t="s">
        <v>91</v>
      </c>
      <c r="BL3179" s="2" t="s">
        <v>854</v>
      </c>
      <c r="BM3179" s="2">
        <v>241</v>
      </c>
      <c r="BN3179" s="2" t="s">
        <v>82</v>
      </c>
      <c r="BO3179" s="2"/>
      <c r="BP3179" s="2">
        <v>172</v>
      </c>
      <c r="BQ3179" s="2" t="s">
        <v>843</v>
      </c>
      <c r="BR3179" s="2" t="s">
        <v>844</v>
      </c>
      <c r="BS3179" s="3">
        <v>40393</v>
      </c>
      <c r="BT3179" s="4">
        <v>0.75297453703703709</v>
      </c>
    </row>
    <row r="3180" spans="1:72" x14ac:dyDescent="0.25">
      <c r="A3180" s="2">
        <v>4699</v>
      </c>
      <c r="B3180" s="2">
        <v>2010</v>
      </c>
      <c r="C3180" s="2" t="s">
        <v>121</v>
      </c>
      <c r="D3180" s="2" t="s">
        <v>122</v>
      </c>
      <c r="E3180" s="2"/>
      <c r="F3180" s="2">
        <v>1</v>
      </c>
      <c r="G3180" s="2" t="s">
        <v>82</v>
      </c>
      <c r="H3180" s="2">
        <v>1</v>
      </c>
      <c r="I3180" s="2" t="s">
        <v>82</v>
      </c>
      <c r="J3180" s="2">
        <v>1</v>
      </c>
      <c r="K3180" s="2" t="s">
        <v>107</v>
      </c>
      <c r="L3180" s="2" t="s">
        <v>107</v>
      </c>
      <c r="M3180" s="3">
        <v>40393</v>
      </c>
      <c r="N3180" s="2"/>
      <c r="O3180" s="2"/>
      <c r="P3180" s="2"/>
      <c r="Q3180" s="2" t="str">
        <f>""</f>
        <v/>
      </c>
      <c r="R3180" s="2"/>
      <c r="S3180" s="2"/>
      <c r="T3180" s="2">
        <v>2</v>
      </c>
      <c r="U3180" s="2" t="s">
        <v>123</v>
      </c>
      <c r="V3180" s="2">
        <v>1</v>
      </c>
      <c r="W3180" s="2" t="s">
        <v>80</v>
      </c>
      <c r="X3180" s="2">
        <v>11</v>
      </c>
      <c r="Y3180" s="2" t="s">
        <v>1920</v>
      </c>
      <c r="Z3180" s="2">
        <v>1</v>
      </c>
      <c r="AA3180" s="2" t="s">
        <v>82</v>
      </c>
      <c r="AB3180" s="2">
        <v>9</v>
      </c>
      <c r="AC3180" s="2" t="s">
        <v>124</v>
      </c>
      <c r="AD3180" s="3">
        <v>40393</v>
      </c>
      <c r="AE3180" s="4">
        <v>0.78611111111111109</v>
      </c>
      <c r="AF3180" s="2"/>
      <c r="AG3180" s="2"/>
      <c r="AH3180" s="2">
        <v>3</v>
      </c>
      <c r="AI3180" s="2" t="s">
        <v>214</v>
      </c>
      <c r="AJ3180" s="2">
        <v>23</v>
      </c>
      <c r="AK3180" s="2" t="s">
        <v>851</v>
      </c>
      <c r="AL3180" s="2">
        <v>10</v>
      </c>
      <c r="AM3180" s="2" t="s">
        <v>200</v>
      </c>
      <c r="AN3180" s="2" t="s">
        <v>230</v>
      </c>
      <c r="AO3180" s="2" t="s">
        <v>82</v>
      </c>
      <c r="AP3180" s="2">
        <v>11</v>
      </c>
      <c r="AQ3180" s="2" t="s">
        <v>82</v>
      </c>
      <c r="AR3180" s="2"/>
      <c r="AS3180" s="2"/>
      <c r="AT3180" s="2" t="s">
        <v>10346</v>
      </c>
      <c r="AU3180" s="2"/>
      <c r="AV3180" s="2"/>
      <c r="AW3180" s="2"/>
      <c r="AX3180" s="2"/>
      <c r="AY3180" s="2">
        <v>41</v>
      </c>
      <c r="AZ3180" s="2" t="s">
        <v>82</v>
      </c>
      <c r="BA3180" s="2">
        <v>41</v>
      </c>
      <c r="BB3180" s="2" t="s">
        <v>82</v>
      </c>
      <c r="BC3180" s="2">
        <v>41</v>
      </c>
      <c r="BD3180" s="2" t="s">
        <v>82</v>
      </c>
      <c r="BE3180" s="2">
        <v>41</v>
      </c>
      <c r="BF3180" s="2" t="s">
        <v>82</v>
      </c>
      <c r="BG3180" s="2" t="s">
        <v>10305</v>
      </c>
      <c r="BH3180" s="2"/>
      <c r="BI3180" s="4">
        <v>0.78611111111111109</v>
      </c>
      <c r="BJ3180" s="2">
        <v>241</v>
      </c>
      <c r="BK3180" s="2" t="s">
        <v>82</v>
      </c>
      <c r="BL3180" s="2" t="s">
        <v>854</v>
      </c>
      <c r="BM3180" s="2">
        <v>241</v>
      </c>
      <c r="BN3180" s="2" t="s">
        <v>82</v>
      </c>
      <c r="BO3180" s="2"/>
      <c r="BP3180" s="2">
        <v>29</v>
      </c>
      <c r="BQ3180" s="2" t="s">
        <v>962</v>
      </c>
      <c r="BR3180" s="2" t="s">
        <v>10347</v>
      </c>
      <c r="BS3180" s="3">
        <v>40393</v>
      </c>
      <c r="BT3180" s="4">
        <v>0.79027777777777775</v>
      </c>
    </row>
    <row r="3181" spans="1:72" x14ac:dyDescent="0.25">
      <c r="A3181" s="2">
        <v>4700</v>
      </c>
      <c r="B3181" s="2">
        <v>2010</v>
      </c>
      <c r="C3181" s="2" t="s">
        <v>121</v>
      </c>
      <c r="D3181" s="2" t="s">
        <v>122</v>
      </c>
      <c r="E3181" s="2"/>
      <c r="F3181" s="2">
        <v>1</v>
      </c>
      <c r="G3181" s="2" t="s">
        <v>82</v>
      </c>
      <c r="H3181" s="2">
        <v>1</v>
      </c>
      <c r="I3181" s="2" t="s">
        <v>82</v>
      </c>
      <c r="J3181" s="2">
        <v>1</v>
      </c>
      <c r="K3181" s="2" t="s">
        <v>107</v>
      </c>
      <c r="L3181" s="2" t="s">
        <v>107</v>
      </c>
      <c r="M3181" s="3">
        <v>40393</v>
      </c>
      <c r="N3181" s="2"/>
      <c r="O3181" s="2"/>
      <c r="P3181" s="2"/>
      <c r="Q3181" s="2" t="str">
        <f>""</f>
        <v/>
      </c>
      <c r="R3181" s="2"/>
      <c r="S3181" s="2"/>
      <c r="T3181" s="2">
        <v>2</v>
      </c>
      <c r="U3181" s="2" t="s">
        <v>123</v>
      </c>
      <c r="V3181" s="2">
        <v>1</v>
      </c>
      <c r="W3181" s="2" t="s">
        <v>80</v>
      </c>
      <c r="X3181" s="2">
        <v>11</v>
      </c>
      <c r="Y3181" s="2" t="s">
        <v>1920</v>
      </c>
      <c r="Z3181" s="2">
        <v>10</v>
      </c>
      <c r="AA3181" s="2" t="s">
        <v>236</v>
      </c>
      <c r="AB3181" s="2">
        <v>9</v>
      </c>
      <c r="AC3181" s="2" t="s">
        <v>124</v>
      </c>
      <c r="AD3181" s="3">
        <v>40393</v>
      </c>
      <c r="AE3181" s="4">
        <v>0.74652777777777779</v>
      </c>
      <c r="AF3181" s="2"/>
      <c r="AG3181" s="2"/>
      <c r="AH3181" s="2">
        <v>2</v>
      </c>
      <c r="AI3181" s="2" t="s">
        <v>84</v>
      </c>
      <c r="AJ3181" s="2">
        <v>12</v>
      </c>
      <c r="AK3181" s="2" t="s">
        <v>85</v>
      </c>
      <c r="AL3181" s="2">
        <v>10</v>
      </c>
      <c r="AM3181" s="2" t="s">
        <v>200</v>
      </c>
      <c r="AN3181" s="2"/>
      <c r="AO3181" s="2"/>
      <c r="AP3181" s="2">
        <v>11</v>
      </c>
      <c r="AQ3181" s="2" t="s">
        <v>82</v>
      </c>
      <c r="AR3181" s="2"/>
      <c r="AS3181" s="2"/>
      <c r="AT3181" s="2" t="s">
        <v>10348</v>
      </c>
      <c r="AU3181" s="2"/>
      <c r="AV3181" s="2"/>
      <c r="AW3181" s="2"/>
      <c r="AX3181" s="2"/>
      <c r="AY3181" s="2">
        <v>41</v>
      </c>
      <c r="AZ3181" s="2" t="s">
        <v>82</v>
      </c>
      <c r="BA3181" s="2">
        <v>41</v>
      </c>
      <c r="BB3181" s="2" t="s">
        <v>82</v>
      </c>
      <c r="BC3181" s="2">
        <v>41</v>
      </c>
      <c r="BD3181" s="2" t="s">
        <v>82</v>
      </c>
      <c r="BE3181" s="2">
        <v>4</v>
      </c>
      <c r="BF3181" s="2" t="s">
        <v>90</v>
      </c>
      <c r="BG3181" s="2" t="s">
        <v>10349</v>
      </c>
      <c r="BH3181" s="4">
        <v>0.77430555555555547</v>
      </c>
      <c r="BI3181" s="4">
        <v>0.66666666666666663</v>
      </c>
      <c r="BJ3181" s="2">
        <v>13</v>
      </c>
      <c r="BK3181" s="2" t="s">
        <v>91</v>
      </c>
      <c r="BL3181" s="2" t="s">
        <v>854</v>
      </c>
      <c r="BM3181" s="2">
        <v>241</v>
      </c>
      <c r="BN3181" s="2" t="s">
        <v>82</v>
      </c>
      <c r="BO3181" s="2"/>
      <c r="BP3181" s="2">
        <v>13</v>
      </c>
      <c r="BQ3181" s="2" t="s">
        <v>91</v>
      </c>
      <c r="BR3181" s="2" t="s">
        <v>185</v>
      </c>
      <c r="BS3181" s="3">
        <v>40393</v>
      </c>
      <c r="BT3181" s="4">
        <v>0.7987037037037038</v>
      </c>
    </row>
    <row r="3182" spans="1:72" x14ac:dyDescent="0.25">
      <c r="A3182" s="2">
        <v>4701</v>
      </c>
      <c r="B3182" s="2">
        <v>2010</v>
      </c>
      <c r="C3182" s="2" t="s">
        <v>121</v>
      </c>
      <c r="D3182" s="2" t="s">
        <v>122</v>
      </c>
      <c r="E3182" s="2"/>
      <c r="F3182" s="2">
        <v>1</v>
      </c>
      <c r="G3182" s="2" t="s">
        <v>82</v>
      </c>
      <c r="H3182" s="2">
        <v>1</v>
      </c>
      <c r="I3182" s="2" t="s">
        <v>82</v>
      </c>
      <c r="J3182" s="2">
        <v>1</v>
      </c>
      <c r="K3182" s="2" t="s">
        <v>107</v>
      </c>
      <c r="L3182" s="2" t="s">
        <v>107</v>
      </c>
      <c r="M3182" s="3">
        <v>40393</v>
      </c>
      <c r="N3182" s="2"/>
      <c r="O3182" s="2"/>
      <c r="P3182" s="2"/>
      <c r="Q3182" s="2" t="str">
        <f>""</f>
        <v/>
      </c>
      <c r="R3182" s="2"/>
      <c r="S3182" s="2"/>
      <c r="T3182" s="2">
        <v>2</v>
      </c>
      <c r="U3182" s="2" t="s">
        <v>123</v>
      </c>
      <c r="V3182" s="2">
        <v>1</v>
      </c>
      <c r="W3182" s="2" t="s">
        <v>80</v>
      </c>
      <c r="X3182" s="2">
        <v>11</v>
      </c>
      <c r="Y3182" s="2" t="s">
        <v>1920</v>
      </c>
      <c r="Z3182" s="2">
        <v>1</v>
      </c>
      <c r="AA3182" s="2" t="s">
        <v>82</v>
      </c>
      <c r="AB3182" s="2">
        <v>9</v>
      </c>
      <c r="AC3182" s="2" t="s">
        <v>124</v>
      </c>
      <c r="AD3182" s="3">
        <v>40393</v>
      </c>
      <c r="AE3182" s="4">
        <v>0.79236111111111107</v>
      </c>
      <c r="AF3182" s="2"/>
      <c r="AG3182" s="2"/>
      <c r="AH3182" s="2">
        <v>3</v>
      </c>
      <c r="AI3182" s="2" t="s">
        <v>214</v>
      </c>
      <c r="AJ3182" s="2">
        <v>23</v>
      </c>
      <c r="AK3182" s="2" t="s">
        <v>851</v>
      </c>
      <c r="AL3182" s="2">
        <v>10</v>
      </c>
      <c r="AM3182" s="2" t="s">
        <v>200</v>
      </c>
      <c r="AN3182" s="2" t="s">
        <v>230</v>
      </c>
      <c r="AO3182" s="2" t="s">
        <v>82</v>
      </c>
      <c r="AP3182" s="2">
        <v>11</v>
      </c>
      <c r="AQ3182" s="2" t="s">
        <v>82</v>
      </c>
      <c r="AR3182" s="2"/>
      <c r="AS3182" s="2"/>
      <c r="AT3182" s="2" t="s">
        <v>10350</v>
      </c>
      <c r="AU3182" s="2"/>
      <c r="AV3182" s="2"/>
      <c r="AW3182" s="2"/>
      <c r="AX3182" s="2"/>
      <c r="AY3182" s="2">
        <v>41</v>
      </c>
      <c r="AZ3182" s="2" t="s">
        <v>82</v>
      </c>
      <c r="BA3182" s="2">
        <v>41</v>
      </c>
      <c r="BB3182" s="2" t="s">
        <v>82</v>
      </c>
      <c r="BC3182" s="2">
        <v>41</v>
      </c>
      <c r="BD3182" s="2" t="s">
        <v>82</v>
      </c>
      <c r="BE3182" s="2">
        <v>41</v>
      </c>
      <c r="BF3182" s="2" t="s">
        <v>82</v>
      </c>
      <c r="BG3182" s="2" t="s">
        <v>265</v>
      </c>
      <c r="BH3182" s="2"/>
      <c r="BI3182" s="4">
        <v>0.79236111111111107</v>
      </c>
      <c r="BJ3182" s="2">
        <v>13</v>
      </c>
      <c r="BK3182" s="2" t="s">
        <v>91</v>
      </c>
      <c r="BL3182" s="2" t="s">
        <v>854</v>
      </c>
      <c r="BM3182" s="2">
        <v>241</v>
      </c>
      <c r="BN3182" s="2" t="s">
        <v>82</v>
      </c>
      <c r="BO3182" s="2"/>
      <c r="BP3182" s="2">
        <v>13</v>
      </c>
      <c r="BQ3182" s="2" t="s">
        <v>91</v>
      </c>
      <c r="BR3182" s="2" t="s">
        <v>6582</v>
      </c>
      <c r="BS3182" s="3">
        <v>40393</v>
      </c>
      <c r="BT3182" s="4">
        <v>0.7999074074074074</v>
      </c>
    </row>
    <row r="3183" spans="1:72" x14ac:dyDescent="0.25">
      <c r="A3183" s="2">
        <v>4702</v>
      </c>
      <c r="B3183" s="2">
        <v>2010</v>
      </c>
      <c r="C3183" s="2" t="s">
        <v>121</v>
      </c>
      <c r="D3183" s="2" t="s">
        <v>122</v>
      </c>
      <c r="E3183" s="2"/>
      <c r="F3183" s="2">
        <v>1</v>
      </c>
      <c r="G3183" s="2" t="s">
        <v>82</v>
      </c>
      <c r="H3183" s="2">
        <v>1</v>
      </c>
      <c r="I3183" s="2" t="s">
        <v>82</v>
      </c>
      <c r="J3183" s="2">
        <v>1</v>
      </c>
      <c r="K3183" s="2" t="s">
        <v>107</v>
      </c>
      <c r="L3183" s="2" t="s">
        <v>107</v>
      </c>
      <c r="M3183" s="3">
        <v>40393</v>
      </c>
      <c r="N3183" s="2"/>
      <c r="O3183" s="2"/>
      <c r="P3183" s="2"/>
      <c r="Q3183" s="2" t="str">
        <f>""</f>
        <v/>
      </c>
      <c r="R3183" s="2"/>
      <c r="S3183" s="2"/>
      <c r="T3183" s="2">
        <v>2</v>
      </c>
      <c r="U3183" s="2" t="s">
        <v>123</v>
      </c>
      <c r="V3183" s="2">
        <v>1</v>
      </c>
      <c r="W3183" s="2" t="s">
        <v>80</v>
      </c>
      <c r="X3183" s="2">
        <v>11</v>
      </c>
      <c r="Y3183" s="2" t="s">
        <v>1920</v>
      </c>
      <c r="Z3183" s="2">
        <v>10</v>
      </c>
      <c r="AA3183" s="2" t="s">
        <v>236</v>
      </c>
      <c r="AB3183" s="2">
        <v>9</v>
      </c>
      <c r="AC3183" s="2" t="s">
        <v>124</v>
      </c>
      <c r="AD3183" s="3">
        <v>40393</v>
      </c>
      <c r="AE3183" s="4">
        <v>0.74652777777777779</v>
      </c>
      <c r="AF3183" s="2"/>
      <c r="AG3183" s="2"/>
      <c r="AH3183" s="2">
        <v>2</v>
      </c>
      <c r="AI3183" s="2" t="s">
        <v>84</v>
      </c>
      <c r="AJ3183" s="2">
        <v>12</v>
      </c>
      <c r="AK3183" s="2" t="s">
        <v>85</v>
      </c>
      <c r="AL3183" s="2">
        <v>20</v>
      </c>
      <c r="AM3183" s="2" t="s">
        <v>992</v>
      </c>
      <c r="AN3183" s="2" t="s">
        <v>993</v>
      </c>
      <c r="AO3183" s="2"/>
      <c r="AP3183" s="2">
        <v>11</v>
      </c>
      <c r="AQ3183" s="2" t="s">
        <v>82</v>
      </c>
      <c r="AR3183" s="2"/>
      <c r="AS3183" s="2"/>
      <c r="AT3183" s="2" t="s">
        <v>10351</v>
      </c>
      <c r="AU3183" s="2"/>
      <c r="AV3183" s="2"/>
      <c r="AW3183" s="2"/>
      <c r="AX3183" s="2"/>
      <c r="AY3183" s="2">
        <v>41</v>
      </c>
      <c r="AZ3183" s="2" t="s">
        <v>82</v>
      </c>
      <c r="BA3183" s="2">
        <v>41</v>
      </c>
      <c r="BB3183" s="2" t="s">
        <v>82</v>
      </c>
      <c r="BC3183" s="2">
        <v>41</v>
      </c>
      <c r="BD3183" s="2" t="s">
        <v>82</v>
      </c>
      <c r="BE3183" s="2">
        <v>41</v>
      </c>
      <c r="BF3183" s="2" t="s">
        <v>82</v>
      </c>
      <c r="BG3183" s="2"/>
      <c r="BH3183" s="2"/>
      <c r="BI3183" s="2"/>
      <c r="BJ3183" s="2">
        <v>13</v>
      </c>
      <c r="BK3183" s="2" t="s">
        <v>91</v>
      </c>
      <c r="BL3183" s="2" t="s">
        <v>854</v>
      </c>
      <c r="BM3183" s="2">
        <v>241</v>
      </c>
      <c r="BN3183" s="2" t="s">
        <v>82</v>
      </c>
      <c r="BO3183" s="2"/>
      <c r="BP3183" s="2">
        <v>13</v>
      </c>
      <c r="BQ3183" s="2" t="s">
        <v>91</v>
      </c>
      <c r="BR3183" s="2" t="s">
        <v>185</v>
      </c>
      <c r="BS3183" s="3">
        <v>40393</v>
      </c>
      <c r="BT3183" s="4">
        <v>0.81365740740740744</v>
      </c>
    </row>
    <row r="3184" spans="1:72" x14ac:dyDescent="0.25">
      <c r="A3184" s="2">
        <v>4703</v>
      </c>
      <c r="B3184" s="2">
        <v>2010</v>
      </c>
      <c r="C3184" s="2" t="s">
        <v>121</v>
      </c>
      <c r="D3184" s="2" t="s">
        <v>122</v>
      </c>
      <c r="E3184" s="2"/>
      <c r="F3184" s="2">
        <v>1</v>
      </c>
      <c r="G3184" s="2" t="s">
        <v>82</v>
      </c>
      <c r="H3184" s="2">
        <v>1</v>
      </c>
      <c r="I3184" s="2" t="s">
        <v>82</v>
      </c>
      <c r="J3184" s="2">
        <v>1</v>
      </c>
      <c r="K3184" s="2" t="s">
        <v>107</v>
      </c>
      <c r="L3184" s="2" t="s">
        <v>107</v>
      </c>
      <c r="M3184" s="3">
        <v>40393</v>
      </c>
      <c r="N3184" s="2"/>
      <c r="O3184" s="2"/>
      <c r="P3184" s="2"/>
      <c r="Q3184" s="2" t="str">
        <f>""</f>
        <v/>
      </c>
      <c r="R3184" s="2"/>
      <c r="S3184" s="2"/>
      <c r="T3184" s="2">
        <v>2</v>
      </c>
      <c r="U3184" s="2" t="s">
        <v>123</v>
      </c>
      <c r="V3184" s="2">
        <v>1</v>
      </c>
      <c r="W3184" s="2" t="s">
        <v>80</v>
      </c>
      <c r="X3184" s="2">
        <v>11</v>
      </c>
      <c r="Y3184" s="2" t="s">
        <v>1920</v>
      </c>
      <c r="Z3184" s="2">
        <v>10</v>
      </c>
      <c r="AA3184" s="2" t="s">
        <v>236</v>
      </c>
      <c r="AB3184" s="2">
        <v>9</v>
      </c>
      <c r="AC3184" s="2" t="s">
        <v>124</v>
      </c>
      <c r="AD3184" s="3">
        <v>40393</v>
      </c>
      <c r="AE3184" s="4">
        <v>0.75347222222222221</v>
      </c>
      <c r="AF3184" s="2"/>
      <c r="AG3184" s="2"/>
      <c r="AH3184" s="2">
        <v>2</v>
      </c>
      <c r="AI3184" s="2" t="s">
        <v>84</v>
      </c>
      <c r="AJ3184" s="2">
        <v>12</v>
      </c>
      <c r="AK3184" s="2" t="s">
        <v>85</v>
      </c>
      <c r="AL3184" s="2">
        <v>20</v>
      </c>
      <c r="AM3184" s="2" t="s">
        <v>992</v>
      </c>
      <c r="AN3184" s="2" t="s">
        <v>993</v>
      </c>
      <c r="AO3184" s="2"/>
      <c r="AP3184" s="2">
        <v>11</v>
      </c>
      <c r="AQ3184" s="2" t="s">
        <v>82</v>
      </c>
      <c r="AR3184" s="2"/>
      <c r="AS3184" s="2"/>
      <c r="AT3184" s="2" t="s">
        <v>10352</v>
      </c>
      <c r="AU3184" s="2"/>
      <c r="AV3184" s="2"/>
      <c r="AW3184" s="2"/>
      <c r="AX3184" s="2"/>
      <c r="AY3184" s="2">
        <v>41</v>
      </c>
      <c r="AZ3184" s="2" t="s">
        <v>82</v>
      </c>
      <c r="BA3184" s="2">
        <v>41</v>
      </c>
      <c r="BB3184" s="2" t="s">
        <v>82</v>
      </c>
      <c r="BC3184" s="2">
        <v>41</v>
      </c>
      <c r="BD3184" s="2" t="s">
        <v>82</v>
      </c>
      <c r="BE3184" s="2">
        <v>41</v>
      </c>
      <c r="BF3184" s="2" t="s">
        <v>82</v>
      </c>
      <c r="BG3184" s="2"/>
      <c r="BH3184" s="2"/>
      <c r="BI3184" s="2"/>
      <c r="BJ3184" s="2">
        <v>13</v>
      </c>
      <c r="BK3184" s="2" t="s">
        <v>91</v>
      </c>
      <c r="BL3184" s="2" t="s">
        <v>854</v>
      </c>
      <c r="BM3184" s="2">
        <v>241</v>
      </c>
      <c r="BN3184" s="2" t="s">
        <v>82</v>
      </c>
      <c r="BO3184" s="2"/>
      <c r="BP3184" s="2">
        <v>13</v>
      </c>
      <c r="BQ3184" s="2" t="s">
        <v>91</v>
      </c>
      <c r="BR3184" s="2" t="s">
        <v>185</v>
      </c>
      <c r="BS3184" s="3">
        <v>40393</v>
      </c>
      <c r="BT3184" s="4">
        <v>0.81799768518518512</v>
      </c>
    </row>
    <row r="3185" spans="1:72" x14ac:dyDescent="0.25">
      <c r="A3185" s="2">
        <v>4704</v>
      </c>
      <c r="B3185" s="2">
        <v>2010</v>
      </c>
      <c r="C3185" s="2" t="s">
        <v>196</v>
      </c>
      <c r="D3185" s="2" t="s">
        <v>122</v>
      </c>
      <c r="E3185" s="2"/>
      <c r="F3185" s="2">
        <v>1</v>
      </c>
      <c r="G3185" s="2" t="s">
        <v>82</v>
      </c>
      <c r="H3185" s="2">
        <v>1</v>
      </c>
      <c r="I3185" s="2" t="s">
        <v>82</v>
      </c>
      <c r="J3185" s="2">
        <v>1</v>
      </c>
      <c r="K3185" s="2" t="s">
        <v>107</v>
      </c>
      <c r="L3185" s="2" t="s">
        <v>107</v>
      </c>
      <c r="M3185" s="3">
        <v>40393</v>
      </c>
      <c r="N3185" s="2"/>
      <c r="O3185" s="2"/>
      <c r="P3185" s="2"/>
      <c r="Q3185" s="2" t="str">
        <f>""</f>
        <v/>
      </c>
      <c r="R3185" s="2"/>
      <c r="S3185" s="2"/>
      <c r="T3185" s="2">
        <v>2</v>
      </c>
      <c r="U3185" s="2" t="s">
        <v>123</v>
      </c>
      <c r="V3185" s="2">
        <v>1</v>
      </c>
      <c r="W3185" s="2" t="s">
        <v>80</v>
      </c>
      <c r="X3185" s="2">
        <v>5</v>
      </c>
      <c r="Y3185" s="2" t="s">
        <v>82</v>
      </c>
      <c r="Z3185" s="2">
        <v>1</v>
      </c>
      <c r="AA3185" s="2" t="s">
        <v>82</v>
      </c>
      <c r="AB3185" s="2">
        <v>9</v>
      </c>
      <c r="AC3185" s="2" t="s">
        <v>124</v>
      </c>
      <c r="AD3185" s="3">
        <v>40393</v>
      </c>
      <c r="AE3185" s="4">
        <v>0.81944444444444453</v>
      </c>
      <c r="AF3185" s="2"/>
      <c r="AG3185" s="2"/>
      <c r="AH3185" s="2">
        <v>4</v>
      </c>
      <c r="AI3185" s="2" t="s">
        <v>125</v>
      </c>
      <c r="AJ3185" s="2">
        <v>33</v>
      </c>
      <c r="AK3185" s="2" t="s">
        <v>126</v>
      </c>
      <c r="AL3185" s="2">
        <v>19</v>
      </c>
      <c r="AM3185" s="2" t="s">
        <v>107</v>
      </c>
      <c r="AN3185" s="2"/>
      <c r="AO3185" s="2"/>
      <c r="AP3185" s="2">
        <v>11</v>
      </c>
      <c r="AQ3185" s="2" t="s">
        <v>82</v>
      </c>
      <c r="AR3185" s="2"/>
      <c r="AS3185" s="2"/>
      <c r="AT3185" s="2" t="s">
        <v>10353</v>
      </c>
      <c r="AU3185" s="2"/>
      <c r="AV3185" s="2"/>
      <c r="AW3185" s="2"/>
      <c r="AX3185" s="2"/>
      <c r="AY3185" s="2">
        <v>1</v>
      </c>
      <c r="AZ3185" s="2" t="s">
        <v>107</v>
      </c>
      <c r="BA3185" s="2">
        <v>1</v>
      </c>
      <c r="BB3185" s="2" t="s">
        <v>107</v>
      </c>
      <c r="BC3185" s="2">
        <v>1</v>
      </c>
      <c r="BD3185" s="2" t="s">
        <v>107</v>
      </c>
      <c r="BE3185" s="2">
        <v>1</v>
      </c>
      <c r="BF3185" s="2" t="s">
        <v>107</v>
      </c>
      <c r="BG3185" s="2" t="s">
        <v>265</v>
      </c>
      <c r="BH3185" s="4">
        <v>0.81944444444444453</v>
      </c>
      <c r="BI3185" s="2"/>
      <c r="BJ3185" s="2">
        <v>242</v>
      </c>
      <c r="BK3185" s="2" t="s">
        <v>107</v>
      </c>
      <c r="BL3185" s="2"/>
      <c r="BM3185" s="2">
        <v>242</v>
      </c>
      <c r="BN3185" s="2" t="s">
        <v>107</v>
      </c>
      <c r="BO3185" s="2"/>
      <c r="BP3185" s="2">
        <v>242</v>
      </c>
      <c r="BQ3185" s="2" t="s">
        <v>107</v>
      </c>
      <c r="BR3185" s="2"/>
      <c r="BS3185" s="3">
        <v>40393</v>
      </c>
      <c r="BT3185" s="4">
        <v>0.83885416666666668</v>
      </c>
    </row>
    <row r="3186" spans="1:72" x14ac:dyDescent="0.25">
      <c r="A3186" s="2">
        <v>4705</v>
      </c>
      <c r="B3186" s="2">
        <v>2010</v>
      </c>
      <c r="C3186" s="2" t="s">
        <v>171</v>
      </c>
      <c r="D3186" s="2" t="s">
        <v>73</v>
      </c>
      <c r="E3186" s="2"/>
      <c r="F3186" s="2">
        <v>34</v>
      </c>
      <c r="G3186" s="2" t="s">
        <v>334</v>
      </c>
      <c r="H3186" s="2">
        <v>66</v>
      </c>
      <c r="I3186" s="2" t="s">
        <v>3190</v>
      </c>
      <c r="J3186" s="2">
        <v>43</v>
      </c>
      <c r="K3186" s="2" t="s">
        <v>2059</v>
      </c>
      <c r="L3186" s="2" t="s">
        <v>2060</v>
      </c>
      <c r="M3186" s="3">
        <v>40393</v>
      </c>
      <c r="N3186" s="2" t="s">
        <v>3640</v>
      </c>
      <c r="O3186" s="2" t="s">
        <v>10354</v>
      </c>
      <c r="P3186" s="2" t="s">
        <v>10355</v>
      </c>
      <c r="Q3186" s="2" t="str">
        <f>"38/10"</f>
        <v>38/10</v>
      </c>
      <c r="R3186" s="2"/>
      <c r="S3186" s="2" t="s">
        <v>2334</v>
      </c>
      <c r="T3186" s="2">
        <v>1</v>
      </c>
      <c r="U3186" s="2" t="s">
        <v>79</v>
      </c>
      <c r="V3186" s="2">
        <v>1</v>
      </c>
      <c r="W3186" s="2" t="s">
        <v>80</v>
      </c>
      <c r="X3186" s="2">
        <v>1</v>
      </c>
      <c r="Y3186" s="2" t="s">
        <v>81</v>
      </c>
      <c r="Z3186" s="2">
        <v>1</v>
      </c>
      <c r="AA3186" s="2" t="s">
        <v>82</v>
      </c>
      <c r="AB3186" s="2">
        <v>1</v>
      </c>
      <c r="AC3186" s="2" t="s">
        <v>178</v>
      </c>
      <c r="AD3186" s="3">
        <v>40393</v>
      </c>
      <c r="AE3186" s="4">
        <v>0.75347222222222221</v>
      </c>
      <c r="AF3186" s="2"/>
      <c r="AG3186" s="2"/>
      <c r="AH3186" s="2">
        <v>3</v>
      </c>
      <c r="AI3186" s="2" t="s">
        <v>214</v>
      </c>
      <c r="AJ3186" s="2">
        <v>17</v>
      </c>
      <c r="AK3186" s="2" t="s">
        <v>309</v>
      </c>
      <c r="AL3186" s="2">
        <v>11</v>
      </c>
      <c r="AM3186" s="2" t="s">
        <v>137</v>
      </c>
      <c r="AN3186" s="2" t="s">
        <v>10356</v>
      </c>
      <c r="AO3186" s="2"/>
      <c r="AP3186" s="2">
        <v>11</v>
      </c>
      <c r="AQ3186" s="2" t="s">
        <v>82</v>
      </c>
      <c r="AR3186" s="2"/>
      <c r="AS3186" s="2"/>
      <c r="AT3186" s="2" t="s">
        <v>10357</v>
      </c>
      <c r="AU3186" s="2"/>
      <c r="AV3186" s="2">
        <v>1</v>
      </c>
      <c r="AW3186" s="2"/>
      <c r="AX3186" s="2"/>
      <c r="AY3186" s="2">
        <v>42</v>
      </c>
      <c r="AZ3186" s="2" t="s">
        <v>182</v>
      </c>
      <c r="BA3186" s="2">
        <v>41</v>
      </c>
      <c r="BB3186" s="2" t="s">
        <v>82</v>
      </c>
      <c r="BC3186" s="2">
        <v>41</v>
      </c>
      <c r="BD3186" s="2" t="s">
        <v>82</v>
      </c>
      <c r="BE3186" s="2">
        <v>17</v>
      </c>
      <c r="BF3186" s="2" t="s">
        <v>508</v>
      </c>
      <c r="BG3186" s="2">
        <v>933</v>
      </c>
      <c r="BH3186" s="4">
        <v>0.82986111111111116</v>
      </c>
      <c r="BI3186" s="4">
        <v>0.79861111111111116</v>
      </c>
      <c r="BJ3186" s="2">
        <v>13</v>
      </c>
      <c r="BK3186" s="2" t="s">
        <v>91</v>
      </c>
      <c r="BL3186" s="2" t="s">
        <v>445</v>
      </c>
      <c r="BM3186" s="2">
        <v>46</v>
      </c>
      <c r="BN3186" s="2" t="s">
        <v>307</v>
      </c>
      <c r="BO3186" s="2" t="s">
        <v>4628</v>
      </c>
      <c r="BP3186" s="2">
        <v>16</v>
      </c>
      <c r="BQ3186" s="2" t="s">
        <v>2130</v>
      </c>
      <c r="BR3186" s="2" t="s">
        <v>2131</v>
      </c>
      <c r="BS3186" s="3">
        <v>40393</v>
      </c>
      <c r="BT3186" s="4">
        <v>0.87505787037037042</v>
      </c>
    </row>
    <row r="3187" spans="1:72" x14ac:dyDescent="0.25">
      <c r="A3187" s="2">
        <v>4706</v>
      </c>
      <c r="B3187" s="2">
        <v>2010</v>
      </c>
      <c r="C3187" s="2" t="s">
        <v>72</v>
      </c>
      <c r="D3187" s="2" t="s">
        <v>73</v>
      </c>
      <c r="E3187" s="2"/>
      <c r="F3187" s="2">
        <v>579</v>
      </c>
      <c r="G3187" s="2" t="s">
        <v>5354</v>
      </c>
      <c r="H3187" s="2">
        <v>42</v>
      </c>
      <c r="I3187" s="2" t="s">
        <v>1096</v>
      </c>
      <c r="J3187" s="2">
        <v>121</v>
      </c>
      <c r="K3187" s="2" t="s">
        <v>7723</v>
      </c>
      <c r="L3187" s="2" t="s">
        <v>7724</v>
      </c>
      <c r="M3187" s="3">
        <v>40393</v>
      </c>
      <c r="N3187" s="2" t="s">
        <v>10358</v>
      </c>
      <c r="O3187" s="2"/>
      <c r="P3187" s="2"/>
      <c r="Q3187" s="2" t="str">
        <f>"028/2010"</f>
        <v>028/2010</v>
      </c>
      <c r="R3187" s="2" t="s">
        <v>10359</v>
      </c>
      <c r="S3187" s="2" t="s">
        <v>10359</v>
      </c>
      <c r="T3187" s="2">
        <v>1</v>
      </c>
      <c r="U3187" s="2" t="s">
        <v>79</v>
      </c>
      <c r="V3187" s="2">
        <v>1</v>
      </c>
      <c r="W3187" s="2" t="s">
        <v>80</v>
      </c>
      <c r="X3187" s="2">
        <v>12</v>
      </c>
      <c r="Y3187" s="2" t="s">
        <v>148</v>
      </c>
      <c r="Z3187" s="2">
        <v>1</v>
      </c>
      <c r="AA3187" s="2" t="s">
        <v>82</v>
      </c>
      <c r="AB3187" s="2">
        <v>6</v>
      </c>
      <c r="AC3187" s="2" t="s">
        <v>83</v>
      </c>
      <c r="AD3187" s="3">
        <v>40393</v>
      </c>
      <c r="AE3187" s="2"/>
      <c r="AF3187" s="3">
        <v>40393</v>
      </c>
      <c r="AG3187" s="4">
        <v>0.72916666666666663</v>
      </c>
      <c r="AH3187" s="2">
        <v>6</v>
      </c>
      <c r="AI3187" s="2" t="s">
        <v>197</v>
      </c>
      <c r="AJ3187" s="2">
        <v>50</v>
      </c>
      <c r="AK3187" s="2" t="s">
        <v>330</v>
      </c>
      <c r="AL3187" s="2">
        <v>22</v>
      </c>
      <c r="AM3187" s="2" t="s">
        <v>1853</v>
      </c>
      <c r="AN3187" s="2"/>
      <c r="AO3187" s="2"/>
      <c r="AP3187" s="2">
        <v>11</v>
      </c>
      <c r="AQ3187" s="2" t="s">
        <v>82</v>
      </c>
      <c r="AR3187" s="2"/>
      <c r="AS3187" s="2"/>
      <c r="AT3187" s="2" t="s">
        <v>10360</v>
      </c>
      <c r="AU3187" s="2"/>
      <c r="AV3187" s="2"/>
      <c r="AW3187" s="2"/>
      <c r="AX3187" s="2"/>
      <c r="AY3187" s="2">
        <v>41</v>
      </c>
      <c r="AZ3187" s="2" t="s">
        <v>82</v>
      </c>
      <c r="BA3187" s="2">
        <v>41</v>
      </c>
      <c r="BB3187" s="2" t="s">
        <v>82</v>
      </c>
      <c r="BC3187" s="2">
        <v>41</v>
      </c>
      <c r="BD3187" s="2" t="s">
        <v>82</v>
      </c>
      <c r="BE3187" s="2">
        <v>4</v>
      </c>
      <c r="BF3187" s="2" t="s">
        <v>90</v>
      </c>
      <c r="BG3187" s="2">
        <v>4344</v>
      </c>
      <c r="BH3187" s="4">
        <v>0.47916666666666669</v>
      </c>
      <c r="BI3187" s="2"/>
      <c r="BJ3187" s="2">
        <v>13</v>
      </c>
      <c r="BK3187" s="2" t="s">
        <v>91</v>
      </c>
      <c r="BL3187" s="2" t="s">
        <v>170</v>
      </c>
      <c r="BM3187" s="2">
        <v>241</v>
      </c>
      <c r="BN3187" s="2" t="s">
        <v>82</v>
      </c>
      <c r="BO3187" s="2"/>
      <c r="BP3187" s="2">
        <v>13</v>
      </c>
      <c r="BQ3187" s="2" t="s">
        <v>91</v>
      </c>
      <c r="BR3187" s="2" t="s">
        <v>332</v>
      </c>
      <c r="BS3187" s="3">
        <v>40393</v>
      </c>
      <c r="BT3187" s="4">
        <v>0.91328703703703706</v>
      </c>
    </row>
    <row r="3188" spans="1:72" x14ac:dyDescent="0.25">
      <c r="A3188" s="2">
        <v>4707</v>
      </c>
      <c r="B3188" s="2">
        <v>2010</v>
      </c>
      <c r="C3188" s="2" t="s">
        <v>121</v>
      </c>
      <c r="D3188" s="2" t="s">
        <v>122</v>
      </c>
      <c r="E3188" s="2" t="s">
        <v>10361</v>
      </c>
      <c r="F3188" s="2">
        <v>1</v>
      </c>
      <c r="G3188" s="2" t="s">
        <v>82</v>
      </c>
      <c r="H3188" s="2">
        <v>1</v>
      </c>
      <c r="I3188" s="2" t="s">
        <v>82</v>
      </c>
      <c r="J3188" s="2">
        <v>1</v>
      </c>
      <c r="K3188" s="2" t="s">
        <v>107</v>
      </c>
      <c r="L3188" s="2" t="s">
        <v>107</v>
      </c>
      <c r="M3188" s="3">
        <v>40393</v>
      </c>
      <c r="N3188" s="2"/>
      <c r="O3188" s="2"/>
      <c r="P3188" s="2"/>
      <c r="Q3188" s="2" t="str">
        <f>""</f>
        <v/>
      </c>
      <c r="R3188" s="2"/>
      <c r="S3188" s="2"/>
      <c r="T3188" s="2">
        <v>2</v>
      </c>
      <c r="U3188" s="2" t="s">
        <v>123</v>
      </c>
      <c r="V3188" s="2">
        <v>1</v>
      </c>
      <c r="W3188" s="2" t="s">
        <v>80</v>
      </c>
      <c r="X3188" s="2">
        <v>11</v>
      </c>
      <c r="Y3188" s="2" t="s">
        <v>1920</v>
      </c>
      <c r="Z3188" s="2">
        <v>10</v>
      </c>
      <c r="AA3188" s="2" t="s">
        <v>236</v>
      </c>
      <c r="AB3188" s="2">
        <v>9</v>
      </c>
      <c r="AC3188" s="2" t="s">
        <v>124</v>
      </c>
      <c r="AD3188" s="3">
        <v>40393</v>
      </c>
      <c r="AE3188" s="4">
        <v>0.75347222222222221</v>
      </c>
      <c r="AF3188" s="2"/>
      <c r="AG3188" s="2"/>
      <c r="AH3188" s="2">
        <v>2</v>
      </c>
      <c r="AI3188" s="2" t="s">
        <v>84</v>
      </c>
      <c r="AJ3188" s="2">
        <v>12</v>
      </c>
      <c r="AK3188" s="2" t="s">
        <v>85</v>
      </c>
      <c r="AL3188" s="2">
        <v>20</v>
      </c>
      <c r="AM3188" s="2" t="s">
        <v>992</v>
      </c>
      <c r="AN3188" s="2" t="s">
        <v>993</v>
      </c>
      <c r="AO3188" s="2"/>
      <c r="AP3188" s="2">
        <v>11</v>
      </c>
      <c r="AQ3188" s="2" t="s">
        <v>82</v>
      </c>
      <c r="AR3188" s="2"/>
      <c r="AS3188" s="2"/>
      <c r="AT3188" s="2" t="s">
        <v>10362</v>
      </c>
      <c r="AU3188" s="2"/>
      <c r="AV3188" s="2"/>
      <c r="AW3188" s="2"/>
      <c r="AX3188" s="2"/>
      <c r="AY3188" s="2">
        <v>41</v>
      </c>
      <c r="AZ3188" s="2" t="s">
        <v>82</v>
      </c>
      <c r="BA3188" s="2">
        <v>41</v>
      </c>
      <c r="BB3188" s="2" t="s">
        <v>82</v>
      </c>
      <c r="BC3188" s="2">
        <v>41</v>
      </c>
      <c r="BD3188" s="2" t="s">
        <v>82</v>
      </c>
      <c r="BE3188" s="2">
        <v>41</v>
      </c>
      <c r="BF3188" s="2" t="s">
        <v>82</v>
      </c>
      <c r="BG3188" s="2" t="s">
        <v>10363</v>
      </c>
      <c r="BH3188" s="2"/>
      <c r="BI3188" s="2"/>
      <c r="BJ3188" s="2">
        <v>13</v>
      </c>
      <c r="BK3188" s="2" t="s">
        <v>91</v>
      </c>
      <c r="BL3188" s="2" t="s">
        <v>185</v>
      </c>
      <c r="BM3188" s="2">
        <v>241</v>
      </c>
      <c r="BN3188" s="2" t="s">
        <v>82</v>
      </c>
      <c r="BO3188" s="2"/>
      <c r="BP3188" s="2">
        <v>232</v>
      </c>
      <c r="BQ3188" s="2" t="s">
        <v>4351</v>
      </c>
      <c r="BR3188" s="2" t="s">
        <v>4411</v>
      </c>
      <c r="BS3188" s="3">
        <v>40393</v>
      </c>
      <c r="BT3188" s="4">
        <v>0.96350694444444451</v>
      </c>
    </row>
    <row r="3189" spans="1:72" x14ac:dyDescent="0.25">
      <c r="A3189" s="2">
        <v>4708</v>
      </c>
      <c r="B3189" s="2">
        <v>2010</v>
      </c>
      <c r="C3189" s="2" t="s">
        <v>121</v>
      </c>
      <c r="D3189" s="2" t="s">
        <v>122</v>
      </c>
      <c r="E3189" s="2"/>
      <c r="F3189" s="2">
        <v>1</v>
      </c>
      <c r="G3189" s="2" t="s">
        <v>82</v>
      </c>
      <c r="H3189" s="2">
        <v>1</v>
      </c>
      <c r="I3189" s="2" t="s">
        <v>82</v>
      </c>
      <c r="J3189" s="2">
        <v>1</v>
      </c>
      <c r="K3189" s="2" t="s">
        <v>107</v>
      </c>
      <c r="L3189" s="2" t="s">
        <v>107</v>
      </c>
      <c r="M3189" s="3">
        <v>40393</v>
      </c>
      <c r="N3189" s="2"/>
      <c r="O3189" s="2"/>
      <c r="P3189" s="2"/>
      <c r="Q3189" s="2" t="str">
        <f>""</f>
        <v/>
      </c>
      <c r="R3189" s="2"/>
      <c r="S3189" s="2"/>
      <c r="T3189" s="2">
        <v>2</v>
      </c>
      <c r="U3189" s="2" t="s">
        <v>123</v>
      </c>
      <c r="V3189" s="2">
        <v>1</v>
      </c>
      <c r="W3189" s="2" t="s">
        <v>80</v>
      </c>
      <c r="X3189" s="2">
        <v>11</v>
      </c>
      <c r="Y3189" s="2" t="s">
        <v>1920</v>
      </c>
      <c r="Z3189" s="2">
        <v>10</v>
      </c>
      <c r="AA3189" s="2" t="s">
        <v>236</v>
      </c>
      <c r="AB3189" s="2">
        <v>9</v>
      </c>
      <c r="AC3189" s="2" t="s">
        <v>124</v>
      </c>
      <c r="AD3189" s="3">
        <v>40393</v>
      </c>
      <c r="AE3189" s="4">
        <v>0.8125</v>
      </c>
      <c r="AF3189" s="2"/>
      <c r="AG3189" s="2"/>
      <c r="AH3189" s="2">
        <v>2</v>
      </c>
      <c r="AI3189" s="2" t="s">
        <v>84</v>
      </c>
      <c r="AJ3189" s="2">
        <v>12</v>
      </c>
      <c r="AK3189" s="2" t="s">
        <v>85</v>
      </c>
      <c r="AL3189" s="2">
        <v>20</v>
      </c>
      <c r="AM3189" s="2" t="s">
        <v>992</v>
      </c>
      <c r="AN3189" s="2"/>
      <c r="AO3189" s="2"/>
      <c r="AP3189" s="2">
        <v>11</v>
      </c>
      <c r="AQ3189" s="2" t="s">
        <v>82</v>
      </c>
      <c r="AR3189" s="2"/>
      <c r="AS3189" s="2"/>
      <c r="AT3189" s="2" t="s">
        <v>10364</v>
      </c>
      <c r="AU3189" s="2"/>
      <c r="AV3189" s="2"/>
      <c r="AW3189" s="2"/>
      <c r="AX3189" s="2"/>
      <c r="AY3189" s="2">
        <v>41</v>
      </c>
      <c r="AZ3189" s="2" t="s">
        <v>82</v>
      </c>
      <c r="BA3189" s="2">
        <v>41</v>
      </c>
      <c r="BB3189" s="2" t="s">
        <v>82</v>
      </c>
      <c r="BC3189" s="2">
        <v>70</v>
      </c>
      <c r="BD3189" s="2" t="s">
        <v>236</v>
      </c>
      <c r="BE3189" s="2">
        <v>41</v>
      </c>
      <c r="BF3189" s="2" t="s">
        <v>82</v>
      </c>
      <c r="BG3189" s="2"/>
      <c r="BH3189" s="4">
        <v>0.83333333333333337</v>
      </c>
      <c r="BI3189" s="2"/>
      <c r="BJ3189" s="2">
        <v>13</v>
      </c>
      <c r="BK3189" s="2" t="s">
        <v>91</v>
      </c>
      <c r="BL3189" s="2" t="s">
        <v>854</v>
      </c>
      <c r="BM3189" s="2">
        <v>241</v>
      </c>
      <c r="BN3189" s="2" t="s">
        <v>82</v>
      </c>
      <c r="BO3189" s="2"/>
      <c r="BP3189" s="2">
        <v>13</v>
      </c>
      <c r="BQ3189" s="2" t="s">
        <v>91</v>
      </c>
      <c r="BR3189" s="2" t="s">
        <v>185</v>
      </c>
      <c r="BS3189" s="3">
        <v>40393</v>
      </c>
      <c r="BT3189" s="4">
        <v>0.98141203703703705</v>
      </c>
    </row>
    <row r="3190" spans="1:72" x14ac:dyDescent="0.25">
      <c r="A3190" s="2">
        <v>4709</v>
      </c>
      <c r="B3190" s="2">
        <v>2010</v>
      </c>
      <c r="C3190" s="2" t="s">
        <v>121</v>
      </c>
      <c r="D3190" s="2" t="s">
        <v>122</v>
      </c>
      <c r="E3190" s="2"/>
      <c r="F3190" s="2">
        <v>1</v>
      </c>
      <c r="G3190" s="2" t="s">
        <v>82</v>
      </c>
      <c r="H3190" s="2">
        <v>1</v>
      </c>
      <c r="I3190" s="2" t="s">
        <v>82</v>
      </c>
      <c r="J3190" s="2">
        <v>1</v>
      </c>
      <c r="K3190" s="2" t="s">
        <v>107</v>
      </c>
      <c r="L3190" s="2" t="s">
        <v>107</v>
      </c>
      <c r="M3190" s="3">
        <v>40393</v>
      </c>
      <c r="N3190" s="2"/>
      <c r="O3190" s="2"/>
      <c r="P3190" s="2"/>
      <c r="Q3190" s="2" t="str">
        <f>""</f>
        <v/>
      </c>
      <c r="R3190" s="2"/>
      <c r="S3190" s="2"/>
      <c r="T3190" s="2">
        <v>2</v>
      </c>
      <c r="U3190" s="2" t="s">
        <v>123</v>
      </c>
      <c r="V3190" s="2">
        <v>1</v>
      </c>
      <c r="W3190" s="2" t="s">
        <v>80</v>
      </c>
      <c r="X3190" s="2">
        <v>11</v>
      </c>
      <c r="Y3190" s="2" t="s">
        <v>1920</v>
      </c>
      <c r="Z3190" s="2">
        <v>10</v>
      </c>
      <c r="AA3190" s="2" t="s">
        <v>236</v>
      </c>
      <c r="AB3190" s="2">
        <v>9</v>
      </c>
      <c r="AC3190" s="2" t="s">
        <v>124</v>
      </c>
      <c r="AD3190" s="3">
        <v>40393</v>
      </c>
      <c r="AE3190" s="4">
        <v>0.84722222222222221</v>
      </c>
      <c r="AF3190" s="2"/>
      <c r="AG3190" s="2"/>
      <c r="AH3190" s="2">
        <v>2</v>
      </c>
      <c r="AI3190" s="2" t="s">
        <v>84</v>
      </c>
      <c r="AJ3190" s="2">
        <v>12</v>
      </c>
      <c r="AK3190" s="2" t="s">
        <v>85</v>
      </c>
      <c r="AL3190" s="2">
        <v>20</v>
      </c>
      <c r="AM3190" s="2" t="s">
        <v>992</v>
      </c>
      <c r="AN3190" s="2"/>
      <c r="AO3190" s="2"/>
      <c r="AP3190" s="2">
        <v>11</v>
      </c>
      <c r="AQ3190" s="2" t="s">
        <v>82</v>
      </c>
      <c r="AR3190" s="2"/>
      <c r="AS3190" s="2"/>
      <c r="AT3190" s="2" t="s">
        <v>10365</v>
      </c>
      <c r="AU3190" s="2"/>
      <c r="AV3190" s="2"/>
      <c r="AW3190" s="2"/>
      <c r="AX3190" s="2"/>
      <c r="AY3190" s="2">
        <v>41</v>
      </c>
      <c r="AZ3190" s="2" t="s">
        <v>82</v>
      </c>
      <c r="BA3190" s="2">
        <v>41</v>
      </c>
      <c r="BB3190" s="2" t="s">
        <v>82</v>
      </c>
      <c r="BC3190" s="2">
        <v>70</v>
      </c>
      <c r="BD3190" s="2" t="s">
        <v>236</v>
      </c>
      <c r="BE3190" s="2">
        <v>41</v>
      </c>
      <c r="BF3190" s="2" t="s">
        <v>82</v>
      </c>
      <c r="BG3190" s="2" t="s">
        <v>6921</v>
      </c>
      <c r="BH3190" s="4">
        <v>0.86805555555555547</v>
      </c>
      <c r="BI3190" s="2"/>
      <c r="BJ3190" s="2">
        <v>13</v>
      </c>
      <c r="BK3190" s="2" t="s">
        <v>91</v>
      </c>
      <c r="BL3190" s="2" t="s">
        <v>854</v>
      </c>
      <c r="BM3190" s="2">
        <v>241</v>
      </c>
      <c r="BN3190" s="2" t="s">
        <v>82</v>
      </c>
      <c r="BO3190" s="2"/>
      <c r="BP3190" s="2">
        <v>13</v>
      </c>
      <c r="BQ3190" s="2" t="s">
        <v>91</v>
      </c>
      <c r="BR3190" s="2" t="s">
        <v>185</v>
      </c>
      <c r="BS3190" s="3">
        <v>40393</v>
      </c>
      <c r="BT3190" s="4">
        <v>0.98615740740740743</v>
      </c>
    </row>
    <row r="3191" spans="1:72" x14ac:dyDescent="0.25">
      <c r="A3191" s="2">
        <v>4710</v>
      </c>
      <c r="B3191" s="2">
        <v>2010</v>
      </c>
      <c r="C3191" s="2" t="s">
        <v>121</v>
      </c>
      <c r="D3191" s="2" t="s">
        <v>122</v>
      </c>
      <c r="E3191" s="2"/>
      <c r="F3191" s="2">
        <v>1</v>
      </c>
      <c r="G3191" s="2" t="s">
        <v>82</v>
      </c>
      <c r="H3191" s="2">
        <v>1</v>
      </c>
      <c r="I3191" s="2" t="s">
        <v>82</v>
      </c>
      <c r="J3191" s="2">
        <v>1</v>
      </c>
      <c r="K3191" s="2" t="s">
        <v>107</v>
      </c>
      <c r="L3191" s="2" t="s">
        <v>107</v>
      </c>
      <c r="M3191" s="3">
        <v>40393</v>
      </c>
      <c r="N3191" s="2"/>
      <c r="O3191" s="2"/>
      <c r="P3191" s="2"/>
      <c r="Q3191" s="2" t="str">
        <f>""</f>
        <v/>
      </c>
      <c r="R3191" s="2"/>
      <c r="S3191" s="2"/>
      <c r="T3191" s="2">
        <v>2</v>
      </c>
      <c r="U3191" s="2" t="s">
        <v>123</v>
      </c>
      <c r="V3191" s="2">
        <v>1</v>
      </c>
      <c r="W3191" s="2" t="s">
        <v>80</v>
      </c>
      <c r="X3191" s="2">
        <v>11</v>
      </c>
      <c r="Y3191" s="2" t="s">
        <v>1920</v>
      </c>
      <c r="Z3191" s="2">
        <v>10</v>
      </c>
      <c r="AA3191" s="2" t="s">
        <v>236</v>
      </c>
      <c r="AB3191" s="2">
        <v>9</v>
      </c>
      <c r="AC3191" s="2" t="s">
        <v>124</v>
      </c>
      <c r="AD3191" s="3">
        <v>40393</v>
      </c>
      <c r="AE3191" s="4">
        <v>0.91666666666666663</v>
      </c>
      <c r="AF3191" s="2"/>
      <c r="AG3191" s="2"/>
      <c r="AH3191" s="2">
        <v>2</v>
      </c>
      <c r="AI3191" s="2" t="s">
        <v>84</v>
      </c>
      <c r="AJ3191" s="2">
        <v>12</v>
      </c>
      <c r="AK3191" s="2" t="s">
        <v>85</v>
      </c>
      <c r="AL3191" s="2">
        <v>10</v>
      </c>
      <c r="AM3191" s="2" t="s">
        <v>200</v>
      </c>
      <c r="AN3191" s="2" t="s">
        <v>10366</v>
      </c>
      <c r="AO3191" s="2" t="s">
        <v>909</v>
      </c>
      <c r="AP3191" s="2">
        <v>11</v>
      </c>
      <c r="AQ3191" s="2" t="s">
        <v>82</v>
      </c>
      <c r="AR3191" s="2"/>
      <c r="AS3191" s="2"/>
      <c r="AT3191" s="2" t="s">
        <v>10367</v>
      </c>
      <c r="AU3191" s="2"/>
      <c r="AV3191" s="2"/>
      <c r="AW3191" s="2"/>
      <c r="AX3191" s="2"/>
      <c r="AY3191" s="2">
        <v>41</v>
      </c>
      <c r="AZ3191" s="2" t="s">
        <v>82</v>
      </c>
      <c r="BA3191" s="2">
        <v>41</v>
      </c>
      <c r="BB3191" s="2" t="s">
        <v>82</v>
      </c>
      <c r="BC3191" s="2">
        <v>70</v>
      </c>
      <c r="BD3191" s="2" t="s">
        <v>236</v>
      </c>
      <c r="BE3191" s="2">
        <v>13</v>
      </c>
      <c r="BF3191" s="2" t="s">
        <v>108</v>
      </c>
      <c r="BG3191" s="2" t="s">
        <v>10368</v>
      </c>
      <c r="BH3191" s="4">
        <v>0.93958333333333333</v>
      </c>
      <c r="BI3191" s="2"/>
      <c r="BJ3191" s="2">
        <v>13</v>
      </c>
      <c r="BK3191" s="2" t="s">
        <v>91</v>
      </c>
      <c r="BL3191" s="2" t="s">
        <v>854</v>
      </c>
      <c r="BM3191" s="2">
        <v>241</v>
      </c>
      <c r="BN3191" s="2" t="s">
        <v>82</v>
      </c>
      <c r="BO3191" s="2"/>
      <c r="BP3191" s="2">
        <v>13</v>
      </c>
      <c r="BQ3191" s="2" t="s">
        <v>91</v>
      </c>
      <c r="BR3191" s="2" t="s">
        <v>185</v>
      </c>
      <c r="BS3191" s="3">
        <v>40393</v>
      </c>
      <c r="BT3191" s="4">
        <v>0.991724537037037</v>
      </c>
    </row>
    <row r="3192" spans="1:72" x14ac:dyDescent="0.25">
      <c r="A3192" s="2">
        <v>4711</v>
      </c>
      <c r="B3192" s="2">
        <v>2010</v>
      </c>
      <c r="C3192" s="2" t="s">
        <v>385</v>
      </c>
      <c r="D3192" s="2" t="s">
        <v>122</v>
      </c>
      <c r="E3192" s="2"/>
      <c r="F3192" s="2">
        <v>34</v>
      </c>
      <c r="G3192" s="2" t="s">
        <v>334</v>
      </c>
      <c r="H3192" s="2">
        <v>66</v>
      </c>
      <c r="I3192" s="2" t="s">
        <v>3190</v>
      </c>
      <c r="J3192" s="2">
        <v>43</v>
      </c>
      <c r="K3192" s="2" t="s">
        <v>2059</v>
      </c>
      <c r="L3192" s="2" t="s">
        <v>2060</v>
      </c>
      <c r="M3192" s="3">
        <v>40394</v>
      </c>
      <c r="N3192" s="2" t="s">
        <v>3640</v>
      </c>
      <c r="O3192" s="2" t="s">
        <v>2334</v>
      </c>
      <c r="P3192" s="2"/>
      <c r="Q3192" s="2" t="str">
        <f>"38/10"</f>
        <v>38/10</v>
      </c>
      <c r="R3192" s="2" t="s">
        <v>2334</v>
      </c>
      <c r="S3192" s="2"/>
      <c r="T3192" s="2">
        <v>1</v>
      </c>
      <c r="U3192" s="2" t="s">
        <v>79</v>
      </c>
      <c r="V3192" s="2">
        <v>1</v>
      </c>
      <c r="W3192" s="2" t="s">
        <v>80</v>
      </c>
      <c r="X3192" s="2">
        <v>11</v>
      </c>
      <c r="Y3192" s="2" t="s">
        <v>1920</v>
      </c>
      <c r="Z3192" s="2">
        <v>10</v>
      </c>
      <c r="AA3192" s="2" t="s">
        <v>236</v>
      </c>
      <c r="AB3192" s="2">
        <v>9</v>
      </c>
      <c r="AC3192" s="2" t="s">
        <v>124</v>
      </c>
      <c r="AD3192" s="3">
        <v>40393</v>
      </c>
      <c r="AE3192" s="4">
        <v>0.93402777777777779</v>
      </c>
      <c r="AF3192" s="2"/>
      <c r="AG3192" s="2"/>
      <c r="AH3192" s="2">
        <v>3</v>
      </c>
      <c r="AI3192" s="2" t="s">
        <v>214</v>
      </c>
      <c r="AJ3192" s="2">
        <v>17</v>
      </c>
      <c r="AK3192" s="2" t="s">
        <v>309</v>
      </c>
      <c r="AL3192" s="2">
        <v>19</v>
      </c>
      <c r="AM3192" s="2" t="s">
        <v>107</v>
      </c>
      <c r="AN3192" s="2"/>
      <c r="AO3192" s="2" t="s">
        <v>10369</v>
      </c>
      <c r="AP3192" s="2">
        <v>11</v>
      </c>
      <c r="AQ3192" s="2" t="s">
        <v>82</v>
      </c>
      <c r="AR3192" s="2"/>
      <c r="AS3192" s="2"/>
      <c r="AT3192" s="2" t="s">
        <v>10370</v>
      </c>
      <c r="AU3192" s="2"/>
      <c r="AV3192" s="2"/>
      <c r="AW3192" s="2"/>
      <c r="AX3192" s="2"/>
      <c r="AY3192" s="2">
        <v>41</v>
      </c>
      <c r="AZ3192" s="2" t="s">
        <v>82</v>
      </c>
      <c r="BA3192" s="2">
        <v>41</v>
      </c>
      <c r="BB3192" s="2" t="s">
        <v>82</v>
      </c>
      <c r="BC3192" s="2">
        <v>41</v>
      </c>
      <c r="BD3192" s="2" t="s">
        <v>82</v>
      </c>
      <c r="BE3192" s="2">
        <v>41</v>
      </c>
      <c r="BF3192" s="2" t="s">
        <v>82</v>
      </c>
      <c r="BG3192" s="2"/>
      <c r="BH3192" s="2"/>
      <c r="BI3192" s="2"/>
      <c r="BJ3192" s="2">
        <v>241</v>
      </c>
      <c r="BK3192" s="2" t="s">
        <v>82</v>
      </c>
      <c r="BL3192" s="2"/>
      <c r="BM3192" s="2">
        <v>241</v>
      </c>
      <c r="BN3192" s="2" t="s">
        <v>82</v>
      </c>
      <c r="BO3192" s="2"/>
      <c r="BP3192" s="2">
        <v>241</v>
      </c>
      <c r="BQ3192" s="2" t="s">
        <v>82</v>
      </c>
      <c r="BR3192" s="2"/>
      <c r="BS3192" s="3">
        <v>40394</v>
      </c>
      <c r="BT3192" s="4">
        <v>1.6620370370370372E-2</v>
      </c>
    </row>
    <row r="3193" spans="1:72" x14ac:dyDescent="0.25">
      <c r="A3193" s="2">
        <v>4712</v>
      </c>
      <c r="B3193" s="2">
        <v>2010</v>
      </c>
      <c r="C3193" s="2" t="s">
        <v>121</v>
      </c>
      <c r="D3193" s="2" t="s">
        <v>122</v>
      </c>
      <c r="E3193" s="2"/>
      <c r="F3193" s="2">
        <v>1</v>
      </c>
      <c r="G3193" s="2" t="s">
        <v>82</v>
      </c>
      <c r="H3193" s="2">
        <v>1</v>
      </c>
      <c r="I3193" s="2" t="s">
        <v>82</v>
      </c>
      <c r="J3193" s="2">
        <v>1</v>
      </c>
      <c r="K3193" s="2" t="s">
        <v>107</v>
      </c>
      <c r="L3193" s="2" t="s">
        <v>107</v>
      </c>
      <c r="M3193" s="3">
        <v>40394</v>
      </c>
      <c r="N3193" s="2"/>
      <c r="O3193" s="2"/>
      <c r="P3193" s="2"/>
      <c r="Q3193" s="2" t="str">
        <f>""</f>
        <v/>
      </c>
      <c r="R3193" s="2"/>
      <c r="S3193" s="2"/>
      <c r="T3193" s="2">
        <v>2</v>
      </c>
      <c r="U3193" s="2" t="s">
        <v>123</v>
      </c>
      <c r="V3193" s="2">
        <v>1</v>
      </c>
      <c r="W3193" s="2" t="s">
        <v>80</v>
      </c>
      <c r="X3193" s="2">
        <v>11</v>
      </c>
      <c r="Y3193" s="2" t="s">
        <v>1920</v>
      </c>
      <c r="Z3193" s="2">
        <v>10</v>
      </c>
      <c r="AA3193" s="2" t="s">
        <v>236</v>
      </c>
      <c r="AB3193" s="2">
        <v>9</v>
      </c>
      <c r="AC3193" s="2" t="s">
        <v>124</v>
      </c>
      <c r="AD3193" s="3">
        <v>40394</v>
      </c>
      <c r="AE3193" s="4">
        <v>0.23958333333333334</v>
      </c>
      <c r="AF3193" s="2"/>
      <c r="AG3193" s="2"/>
      <c r="AH3193" s="2">
        <v>2</v>
      </c>
      <c r="AI3193" s="2" t="s">
        <v>84</v>
      </c>
      <c r="AJ3193" s="2">
        <v>12</v>
      </c>
      <c r="AK3193" s="2" t="s">
        <v>85</v>
      </c>
      <c r="AL3193" s="2">
        <v>10</v>
      </c>
      <c r="AM3193" s="2" t="s">
        <v>200</v>
      </c>
      <c r="AN3193" s="2" t="s">
        <v>10371</v>
      </c>
      <c r="AO3193" s="2" t="s">
        <v>909</v>
      </c>
      <c r="AP3193" s="2">
        <v>11</v>
      </c>
      <c r="AQ3193" s="2" t="s">
        <v>82</v>
      </c>
      <c r="AR3193" s="2"/>
      <c r="AS3193" s="2"/>
      <c r="AT3193" s="2" t="s">
        <v>10372</v>
      </c>
      <c r="AU3193" s="2"/>
      <c r="AV3193" s="2"/>
      <c r="AW3193" s="2"/>
      <c r="AX3193" s="2"/>
      <c r="AY3193" s="2">
        <v>41</v>
      </c>
      <c r="AZ3193" s="2" t="s">
        <v>82</v>
      </c>
      <c r="BA3193" s="2">
        <v>41</v>
      </c>
      <c r="BB3193" s="2" t="s">
        <v>82</v>
      </c>
      <c r="BC3193" s="2">
        <v>70</v>
      </c>
      <c r="BD3193" s="2" t="s">
        <v>236</v>
      </c>
      <c r="BE3193" s="2">
        <v>13</v>
      </c>
      <c r="BF3193" s="2" t="s">
        <v>108</v>
      </c>
      <c r="BG3193" s="2" t="s">
        <v>10373</v>
      </c>
      <c r="BH3193" s="2"/>
      <c r="BI3193" s="4">
        <v>0.30694444444444441</v>
      </c>
      <c r="BJ3193" s="2">
        <v>13</v>
      </c>
      <c r="BK3193" s="2" t="s">
        <v>91</v>
      </c>
      <c r="BL3193" s="2" t="s">
        <v>202</v>
      </c>
      <c r="BM3193" s="2">
        <v>241</v>
      </c>
      <c r="BN3193" s="2" t="s">
        <v>82</v>
      </c>
      <c r="BO3193" s="2"/>
      <c r="BP3193" s="2">
        <v>33</v>
      </c>
      <c r="BQ3193" s="2" t="s">
        <v>361</v>
      </c>
      <c r="BR3193" s="2" t="s">
        <v>1739</v>
      </c>
      <c r="BS3193" s="3">
        <v>40394</v>
      </c>
      <c r="BT3193" s="4">
        <v>0.31505787037037036</v>
      </c>
    </row>
    <row r="3194" spans="1:72" x14ac:dyDescent="0.25">
      <c r="A3194" s="2">
        <v>4713</v>
      </c>
      <c r="B3194" s="2">
        <v>2010</v>
      </c>
      <c r="C3194" s="2" t="s">
        <v>121</v>
      </c>
      <c r="D3194" s="2" t="s">
        <v>122</v>
      </c>
      <c r="E3194" s="2"/>
      <c r="F3194" s="2">
        <v>1</v>
      </c>
      <c r="G3194" s="2" t="s">
        <v>82</v>
      </c>
      <c r="H3194" s="2">
        <v>1</v>
      </c>
      <c r="I3194" s="2" t="s">
        <v>82</v>
      </c>
      <c r="J3194" s="2">
        <v>1</v>
      </c>
      <c r="K3194" s="2" t="s">
        <v>107</v>
      </c>
      <c r="L3194" s="2" t="s">
        <v>107</v>
      </c>
      <c r="M3194" s="3">
        <v>40394</v>
      </c>
      <c r="N3194" s="2"/>
      <c r="O3194" s="2"/>
      <c r="P3194" s="2"/>
      <c r="Q3194" s="2" t="str">
        <f>""</f>
        <v/>
      </c>
      <c r="R3194" s="2"/>
      <c r="S3194" s="2"/>
      <c r="T3194" s="2">
        <v>2</v>
      </c>
      <c r="U3194" s="2" t="s">
        <v>123</v>
      </c>
      <c r="V3194" s="2">
        <v>1</v>
      </c>
      <c r="W3194" s="2" t="s">
        <v>80</v>
      </c>
      <c r="X3194" s="2">
        <v>11</v>
      </c>
      <c r="Y3194" s="2" t="s">
        <v>1920</v>
      </c>
      <c r="Z3194" s="2">
        <v>10</v>
      </c>
      <c r="AA3194" s="2" t="s">
        <v>236</v>
      </c>
      <c r="AB3194" s="2">
        <v>9</v>
      </c>
      <c r="AC3194" s="2" t="s">
        <v>124</v>
      </c>
      <c r="AD3194" s="3">
        <v>40394</v>
      </c>
      <c r="AE3194" s="4">
        <v>0.3888888888888889</v>
      </c>
      <c r="AF3194" s="2"/>
      <c r="AG3194" s="2"/>
      <c r="AH3194" s="2">
        <v>2</v>
      </c>
      <c r="AI3194" s="2" t="s">
        <v>84</v>
      </c>
      <c r="AJ3194" s="2">
        <v>12</v>
      </c>
      <c r="AK3194" s="2" t="s">
        <v>85</v>
      </c>
      <c r="AL3194" s="2">
        <v>10</v>
      </c>
      <c r="AM3194" s="2" t="s">
        <v>200</v>
      </c>
      <c r="AN3194" s="2" t="s">
        <v>10374</v>
      </c>
      <c r="AO3194" s="2"/>
      <c r="AP3194" s="2">
        <v>11</v>
      </c>
      <c r="AQ3194" s="2" t="s">
        <v>82</v>
      </c>
      <c r="AR3194" s="2"/>
      <c r="AS3194" s="2"/>
      <c r="AT3194" s="2" t="s">
        <v>10375</v>
      </c>
      <c r="AU3194" s="2"/>
      <c r="AV3194" s="2"/>
      <c r="AW3194" s="2"/>
      <c r="AX3194" s="2"/>
      <c r="AY3194" s="2">
        <v>41</v>
      </c>
      <c r="AZ3194" s="2" t="s">
        <v>82</v>
      </c>
      <c r="BA3194" s="2">
        <v>41</v>
      </c>
      <c r="BB3194" s="2" t="s">
        <v>82</v>
      </c>
      <c r="BC3194" s="2">
        <v>41</v>
      </c>
      <c r="BD3194" s="2" t="s">
        <v>82</v>
      </c>
      <c r="BE3194" s="2">
        <v>13</v>
      </c>
      <c r="BF3194" s="2" t="s">
        <v>108</v>
      </c>
      <c r="BG3194" s="2" t="s">
        <v>10333</v>
      </c>
      <c r="BH3194" s="4">
        <v>0.33333333333333331</v>
      </c>
      <c r="BI3194" s="4">
        <v>0.41666666666666669</v>
      </c>
      <c r="BJ3194" s="2">
        <v>13</v>
      </c>
      <c r="BK3194" s="2" t="s">
        <v>91</v>
      </c>
      <c r="BL3194" s="2" t="s">
        <v>854</v>
      </c>
      <c r="BM3194" s="2">
        <v>241</v>
      </c>
      <c r="BN3194" s="2" t="s">
        <v>82</v>
      </c>
      <c r="BO3194" s="2"/>
      <c r="BP3194" s="2">
        <v>13</v>
      </c>
      <c r="BQ3194" s="2" t="s">
        <v>91</v>
      </c>
      <c r="BR3194" s="2" t="s">
        <v>185</v>
      </c>
      <c r="BS3194" s="3">
        <v>40394</v>
      </c>
      <c r="BT3194" s="4">
        <v>0.47590277777777779</v>
      </c>
    </row>
    <row r="3195" spans="1:72" x14ac:dyDescent="0.25">
      <c r="A3195" s="2">
        <v>4714</v>
      </c>
      <c r="B3195" s="2">
        <v>2010</v>
      </c>
      <c r="C3195" s="2" t="s">
        <v>72</v>
      </c>
      <c r="D3195" s="2" t="s">
        <v>73</v>
      </c>
      <c r="E3195" s="2"/>
      <c r="F3195" s="2">
        <v>481</v>
      </c>
      <c r="G3195" s="2" t="s">
        <v>1438</v>
      </c>
      <c r="H3195" s="2">
        <v>1</v>
      </c>
      <c r="I3195" s="2" t="s">
        <v>82</v>
      </c>
      <c r="J3195" s="2">
        <v>58</v>
      </c>
      <c r="K3195" s="2" t="s">
        <v>3405</v>
      </c>
      <c r="L3195" s="2" t="s">
        <v>1692</v>
      </c>
      <c r="M3195" s="3">
        <v>40394</v>
      </c>
      <c r="N3195" s="2" t="s">
        <v>10376</v>
      </c>
      <c r="O3195" s="2" t="s">
        <v>107</v>
      </c>
      <c r="P3195" s="2" t="s">
        <v>107</v>
      </c>
      <c r="Q3195" s="2" t="str">
        <f>"39/10"</f>
        <v>39/10</v>
      </c>
      <c r="R3195" s="2" t="s">
        <v>10377</v>
      </c>
      <c r="S3195" s="2" t="s">
        <v>10377</v>
      </c>
      <c r="T3195" s="2">
        <v>1</v>
      </c>
      <c r="U3195" s="2" t="s">
        <v>79</v>
      </c>
      <c r="V3195" s="2">
        <v>1</v>
      </c>
      <c r="W3195" s="2" t="s">
        <v>80</v>
      </c>
      <c r="X3195" s="2">
        <v>12</v>
      </c>
      <c r="Y3195" s="2" t="s">
        <v>148</v>
      </c>
      <c r="Z3195" s="2">
        <v>1</v>
      </c>
      <c r="AA3195" s="2" t="s">
        <v>82</v>
      </c>
      <c r="AB3195" s="2">
        <v>6</v>
      </c>
      <c r="AC3195" s="2" t="s">
        <v>83</v>
      </c>
      <c r="AD3195" s="3">
        <v>40394</v>
      </c>
      <c r="AE3195" s="2"/>
      <c r="AF3195" s="3">
        <v>40394</v>
      </c>
      <c r="AG3195" s="4">
        <v>0.40972222222222227</v>
      </c>
      <c r="AH3195" s="2">
        <v>3</v>
      </c>
      <c r="AI3195" s="2" t="s">
        <v>214</v>
      </c>
      <c r="AJ3195" s="2">
        <v>17</v>
      </c>
      <c r="AK3195" s="2" t="s">
        <v>309</v>
      </c>
      <c r="AL3195" s="2">
        <v>22</v>
      </c>
      <c r="AM3195" s="2" t="s">
        <v>1853</v>
      </c>
      <c r="AN3195" s="2"/>
      <c r="AO3195" s="2"/>
      <c r="AP3195" s="2">
        <v>11</v>
      </c>
      <c r="AQ3195" s="2" t="s">
        <v>82</v>
      </c>
      <c r="AR3195" s="2" t="s">
        <v>82</v>
      </c>
      <c r="AS3195" s="2" t="s">
        <v>82</v>
      </c>
      <c r="AT3195" s="2" t="s">
        <v>10378</v>
      </c>
      <c r="AU3195" s="2"/>
      <c r="AV3195" s="2"/>
      <c r="AW3195" s="2"/>
      <c r="AX3195" s="2"/>
      <c r="AY3195" s="2">
        <v>50</v>
      </c>
      <c r="AZ3195" s="2" t="s">
        <v>9610</v>
      </c>
      <c r="BA3195" s="2">
        <v>50</v>
      </c>
      <c r="BB3195" s="2" t="s">
        <v>9610</v>
      </c>
      <c r="BC3195" s="2">
        <v>1</v>
      </c>
      <c r="BD3195" s="2" t="s">
        <v>107</v>
      </c>
      <c r="BE3195" s="2">
        <v>13</v>
      </c>
      <c r="BF3195" s="2" t="s">
        <v>108</v>
      </c>
      <c r="BG3195" s="2">
        <v>1404</v>
      </c>
      <c r="BH3195" s="4">
        <v>0.39583333333333331</v>
      </c>
      <c r="BI3195" s="4">
        <v>0.3263888888888889</v>
      </c>
      <c r="BJ3195" s="2">
        <v>13</v>
      </c>
      <c r="BK3195" s="2" t="s">
        <v>91</v>
      </c>
      <c r="BL3195" s="2" t="s">
        <v>9724</v>
      </c>
      <c r="BM3195" s="2">
        <v>241</v>
      </c>
      <c r="BN3195" s="2" t="s">
        <v>82</v>
      </c>
      <c r="BO3195" s="2" t="s">
        <v>82</v>
      </c>
      <c r="BP3195" s="2">
        <v>13</v>
      </c>
      <c r="BQ3195" s="2" t="s">
        <v>91</v>
      </c>
      <c r="BR3195" s="2" t="s">
        <v>445</v>
      </c>
      <c r="BS3195" s="3">
        <v>40394</v>
      </c>
      <c r="BT3195" s="4">
        <v>0.49581018518518521</v>
      </c>
    </row>
    <row r="3196" spans="1:72" x14ac:dyDescent="0.25">
      <c r="A3196" s="2">
        <v>4718</v>
      </c>
      <c r="B3196" s="2">
        <v>2010</v>
      </c>
      <c r="C3196" s="2" t="s">
        <v>171</v>
      </c>
      <c r="D3196" s="2" t="s">
        <v>122</v>
      </c>
      <c r="E3196" s="2" t="s">
        <v>10379</v>
      </c>
      <c r="F3196" s="2">
        <v>34</v>
      </c>
      <c r="G3196" s="2" t="s">
        <v>334</v>
      </c>
      <c r="H3196" s="2">
        <v>66</v>
      </c>
      <c r="I3196" s="2" t="s">
        <v>3190</v>
      </c>
      <c r="J3196" s="2">
        <v>43</v>
      </c>
      <c r="K3196" s="2" t="s">
        <v>2059</v>
      </c>
      <c r="L3196" s="2" t="s">
        <v>2060</v>
      </c>
      <c r="M3196" s="3">
        <v>40394</v>
      </c>
      <c r="N3196" s="2" t="s">
        <v>3640</v>
      </c>
      <c r="O3196" s="2" t="s">
        <v>2334</v>
      </c>
      <c r="P3196" s="2" t="s">
        <v>107</v>
      </c>
      <c r="Q3196" s="2" t="str">
        <f>"38/10"</f>
        <v>38/10</v>
      </c>
      <c r="R3196" s="2" t="s">
        <v>2334</v>
      </c>
      <c r="S3196" s="2"/>
      <c r="T3196" s="2">
        <v>1</v>
      </c>
      <c r="U3196" s="2" t="s">
        <v>79</v>
      </c>
      <c r="V3196" s="2">
        <v>1</v>
      </c>
      <c r="W3196" s="2" t="s">
        <v>80</v>
      </c>
      <c r="X3196" s="2">
        <v>11</v>
      </c>
      <c r="Y3196" s="2" t="s">
        <v>1920</v>
      </c>
      <c r="Z3196" s="2">
        <v>10</v>
      </c>
      <c r="AA3196" s="2" t="s">
        <v>236</v>
      </c>
      <c r="AB3196" s="2">
        <v>1</v>
      </c>
      <c r="AC3196" s="2" t="s">
        <v>178</v>
      </c>
      <c r="AD3196" s="3">
        <v>40394</v>
      </c>
      <c r="AE3196" s="4">
        <v>0.38541666666666669</v>
      </c>
      <c r="AF3196" s="2"/>
      <c r="AG3196" s="2"/>
      <c r="AH3196" s="2">
        <v>3</v>
      </c>
      <c r="AI3196" s="2" t="s">
        <v>214</v>
      </c>
      <c r="AJ3196" s="2">
        <v>17</v>
      </c>
      <c r="AK3196" s="2" t="s">
        <v>309</v>
      </c>
      <c r="AL3196" s="2">
        <v>19</v>
      </c>
      <c r="AM3196" s="2" t="s">
        <v>107</v>
      </c>
      <c r="AN3196" s="2" t="s">
        <v>10380</v>
      </c>
      <c r="AO3196" s="2" t="s">
        <v>1353</v>
      </c>
      <c r="AP3196" s="2">
        <v>11</v>
      </c>
      <c r="AQ3196" s="2" t="s">
        <v>82</v>
      </c>
      <c r="AR3196" s="2"/>
      <c r="AS3196" s="2"/>
      <c r="AT3196" s="2" t="s">
        <v>10381</v>
      </c>
      <c r="AU3196" s="2"/>
      <c r="AV3196" s="2">
        <v>1</v>
      </c>
      <c r="AW3196" s="2"/>
      <c r="AX3196" s="2"/>
      <c r="AY3196" s="2">
        <v>41</v>
      </c>
      <c r="AZ3196" s="2" t="s">
        <v>82</v>
      </c>
      <c r="BA3196" s="2">
        <v>41</v>
      </c>
      <c r="BB3196" s="2" t="s">
        <v>82</v>
      </c>
      <c r="BC3196" s="2">
        <v>41</v>
      </c>
      <c r="BD3196" s="2" t="s">
        <v>82</v>
      </c>
      <c r="BE3196" s="2">
        <v>41</v>
      </c>
      <c r="BF3196" s="2" t="s">
        <v>82</v>
      </c>
      <c r="BG3196" s="2"/>
      <c r="BH3196" s="2"/>
      <c r="BI3196" s="2"/>
      <c r="BJ3196" s="2">
        <v>241</v>
      </c>
      <c r="BK3196" s="2" t="s">
        <v>82</v>
      </c>
      <c r="BL3196" s="2"/>
      <c r="BM3196" s="2">
        <v>241</v>
      </c>
      <c r="BN3196" s="2" t="s">
        <v>82</v>
      </c>
      <c r="BO3196" s="2"/>
      <c r="BP3196" s="2">
        <v>241</v>
      </c>
      <c r="BQ3196" s="2" t="s">
        <v>82</v>
      </c>
      <c r="BR3196" s="2"/>
      <c r="BS3196" s="3">
        <v>40394</v>
      </c>
      <c r="BT3196" s="4">
        <v>0.56346064814814811</v>
      </c>
    </row>
    <row r="3197" spans="1:72" x14ac:dyDescent="0.25">
      <c r="A3197" s="2">
        <v>4719</v>
      </c>
      <c r="B3197" s="2">
        <v>2010</v>
      </c>
      <c r="C3197" s="2" t="s">
        <v>72</v>
      </c>
      <c r="D3197" s="2" t="s">
        <v>73</v>
      </c>
      <c r="E3197" s="2"/>
      <c r="F3197" s="2">
        <v>117</v>
      </c>
      <c r="G3197" s="2" t="s">
        <v>3284</v>
      </c>
      <c r="H3197" s="2">
        <v>38</v>
      </c>
      <c r="I3197" s="2" t="s">
        <v>1272</v>
      </c>
      <c r="J3197" s="2">
        <v>134</v>
      </c>
      <c r="K3197" s="2" t="s">
        <v>3285</v>
      </c>
      <c r="L3197" s="2" t="s">
        <v>3286</v>
      </c>
      <c r="M3197" s="3">
        <v>40394</v>
      </c>
      <c r="N3197" s="2" t="s">
        <v>10382</v>
      </c>
      <c r="O3197" s="2" t="s">
        <v>107</v>
      </c>
      <c r="P3197" s="2" t="s">
        <v>107</v>
      </c>
      <c r="Q3197" s="2" t="str">
        <f>"003/2010"</f>
        <v>003/2010</v>
      </c>
      <c r="R3197" s="2" t="s">
        <v>107</v>
      </c>
      <c r="S3197" s="2" t="s">
        <v>10383</v>
      </c>
      <c r="T3197" s="2">
        <v>1</v>
      </c>
      <c r="U3197" s="2" t="s">
        <v>79</v>
      </c>
      <c r="V3197" s="2">
        <v>1</v>
      </c>
      <c r="W3197" s="2" t="s">
        <v>80</v>
      </c>
      <c r="X3197" s="2">
        <v>12</v>
      </c>
      <c r="Y3197" s="2" t="s">
        <v>148</v>
      </c>
      <c r="Z3197" s="2">
        <v>1</v>
      </c>
      <c r="AA3197" s="2" t="s">
        <v>82</v>
      </c>
      <c r="AB3197" s="2">
        <v>6</v>
      </c>
      <c r="AC3197" s="2" t="s">
        <v>83</v>
      </c>
      <c r="AD3197" s="2"/>
      <c r="AE3197" s="2"/>
      <c r="AF3197" s="3">
        <v>40394</v>
      </c>
      <c r="AG3197" s="4">
        <v>0.49861111111111112</v>
      </c>
      <c r="AH3197" s="2">
        <v>6</v>
      </c>
      <c r="AI3197" s="2" t="s">
        <v>197</v>
      </c>
      <c r="AJ3197" s="2">
        <v>59</v>
      </c>
      <c r="AK3197" s="2" t="s">
        <v>198</v>
      </c>
      <c r="AL3197" s="2">
        <v>25</v>
      </c>
      <c r="AM3197" s="2" t="s">
        <v>3073</v>
      </c>
      <c r="AN3197" s="2"/>
      <c r="AO3197" s="2" t="s">
        <v>10336</v>
      </c>
      <c r="AP3197" s="2">
        <v>11</v>
      </c>
      <c r="AQ3197" s="2" t="s">
        <v>82</v>
      </c>
      <c r="AR3197" s="2"/>
      <c r="AS3197" s="2"/>
      <c r="AT3197" s="2" t="s">
        <v>10384</v>
      </c>
      <c r="AU3197" s="2"/>
      <c r="AV3197" s="2"/>
      <c r="AW3197" s="2"/>
      <c r="AX3197" s="2"/>
      <c r="AY3197" s="2">
        <v>1</v>
      </c>
      <c r="AZ3197" s="2" t="s">
        <v>107</v>
      </c>
      <c r="BA3197" s="2">
        <v>1</v>
      </c>
      <c r="BB3197" s="2" t="s">
        <v>107</v>
      </c>
      <c r="BC3197" s="2">
        <v>1</v>
      </c>
      <c r="BD3197" s="2" t="s">
        <v>107</v>
      </c>
      <c r="BE3197" s="2">
        <v>1</v>
      </c>
      <c r="BF3197" s="2" t="s">
        <v>107</v>
      </c>
      <c r="BG3197" s="2"/>
      <c r="BH3197" s="2"/>
      <c r="BI3197" s="2"/>
      <c r="BJ3197" s="2">
        <v>242</v>
      </c>
      <c r="BK3197" s="2" t="s">
        <v>107</v>
      </c>
      <c r="BL3197" s="2"/>
      <c r="BM3197" s="2">
        <v>242</v>
      </c>
      <c r="BN3197" s="2" t="s">
        <v>107</v>
      </c>
      <c r="BO3197" s="2"/>
      <c r="BP3197" s="2">
        <v>242</v>
      </c>
      <c r="BQ3197" s="2" t="s">
        <v>107</v>
      </c>
      <c r="BR3197" s="2"/>
      <c r="BS3197" s="3">
        <v>40394</v>
      </c>
      <c r="BT3197" s="4">
        <v>0.57576388888888885</v>
      </c>
    </row>
    <row r="3198" spans="1:72" x14ac:dyDescent="0.25">
      <c r="A3198" s="2">
        <v>4720</v>
      </c>
      <c r="B3198" s="2">
        <v>2010</v>
      </c>
      <c r="C3198" s="2" t="s">
        <v>72</v>
      </c>
      <c r="D3198" s="2" t="s">
        <v>122</v>
      </c>
      <c r="E3198" s="2" t="s">
        <v>10385</v>
      </c>
      <c r="F3198" s="2">
        <v>481</v>
      </c>
      <c r="G3198" s="2" t="s">
        <v>1438</v>
      </c>
      <c r="H3198" s="2">
        <v>1</v>
      </c>
      <c r="I3198" s="2" t="s">
        <v>82</v>
      </c>
      <c r="J3198" s="2">
        <v>58</v>
      </c>
      <c r="K3198" s="2" t="s">
        <v>3405</v>
      </c>
      <c r="L3198" s="2" t="s">
        <v>1692</v>
      </c>
      <c r="M3198" s="3">
        <v>40394</v>
      </c>
      <c r="N3198" s="2" t="s">
        <v>10376</v>
      </c>
      <c r="O3198" s="2" t="s">
        <v>107</v>
      </c>
      <c r="P3198" s="2" t="s">
        <v>107</v>
      </c>
      <c r="Q3198" s="2" t="str">
        <f>"39/10"</f>
        <v>39/10</v>
      </c>
      <c r="R3198" s="2" t="s">
        <v>10377</v>
      </c>
      <c r="S3198" s="2" t="s">
        <v>10377</v>
      </c>
      <c r="T3198" s="2">
        <v>1</v>
      </c>
      <c r="U3198" s="2" t="s">
        <v>79</v>
      </c>
      <c r="V3198" s="2">
        <v>1</v>
      </c>
      <c r="W3198" s="2" t="s">
        <v>80</v>
      </c>
      <c r="X3198" s="2">
        <v>1</v>
      </c>
      <c r="Y3198" s="2" t="s">
        <v>81</v>
      </c>
      <c r="Z3198" s="2">
        <v>10</v>
      </c>
      <c r="AA3198" s="2" t="s">
        <v>236</v>
      </c>
      <c r="AB3198" s="2">
        <v>6</v>
      </c>
      <c r="AC3198" s="2" t="s">
        <v>83</v>
      </c>
      <c r="AD3198" s="3">
        <v>40394</v>
      </c>
      <c r="AE3198" s="2"/>
      <c r="AF3198" s="3">
        <v>40394</v>
      </c>
      <c r="AG3198" s="4">
        <v>0.40972222222222227</v>
      </c>
      <c r="AH3198" s="2">
        <v>3</v>
      </c>
      <c r="AI3198" s="2" t="s">
        <v>214</v>
      </c>
      <c r="AJ3198" s="2">
        <v>17</v>
      </c>
      <c r="AK3198" s="2" t="s">
        <v>309</v>
      </c>
      <c r="AL3198" s="2">
        <v>22</v>
      </c>
      <c r="AM3198" s="2" t="s">
        <v>1853</v>
      </c>
      <c r="AN3198" s="2" t="s">
        <v>10386</v>
      </c>
      <c r="AO3198" s="2" t="s">
        <v>10387</v>
      </c>
      <c r="AP3198" s="2">
        <v>11</v>
      </c>
      <c r="AQ3198" s="2" t="s">
        <v>82</v>
      </c>
      <c r="AR3198" s="2" t="s">
        <v>82</v>
      </c>
      <c r="AS3198" s="2" t="s">
        <v>82</v>
      </c>
      <c r="AT3198" s="2" t="s">
        <v>10388</v>
      </c>
      <c r="AU3198" s="2"/>
      <c r="AV3198" s="2"/>
      <c r="AW3198" s="2"/>
      <c r="AX3198" s="2"/>
      <c r="AY3198" s="2">
        <v>50</v>
      </c>
      <c r="AZ3198" s="2" t="s">
        <v>9610</v>
      </c>
      <c r="BA3198" s="2">
        <v>50</v>
      </c>
      <c r="BB3198" s="2" t="s">
        <v>9610</v>
      </c>
      <c r="BC3198" s="2">
        <v>1</v>
      </c>
      <c r="BD3198" s="2" t="s">
        <v>107</v>
      </c>
      <c r="BE3198" s="2">
        <v>13</v>
      </c>
      <c r="BF3198" s="2" t="s">
        <v>108</v>
      </c>
      <c r="BG3198" s="2">
        <v>1404</v>
      </c>
      <c r="BH3198" s="4">
        <v>0.39583333333333331</v>
      </c>
      <c r="BI3198" s="4">
        <v>0.3263888888888889</v>
      </c>
      <c r="BJ3198" s="2">
        <v>13</v>
      </c>
      <c r="BK3198" s="2" t="s">
        <v>91</v>
      </c>
      <c r="BL3198" s="2" t="s">
        <v>185</v>
      </c>
      <c r="BM3198" s="2">
        <v>241</v>
      </c>
      <c r="BN3198" s="2" t="s">
        <v>82</v>
      </c>
      <c r="BO3198" s="2" t="s">
        <v>82</v>
      </c>
      <c r="BP3198" s="2">
        <v>13</v>
      </c>
      <c r="BQ3198" s="2" t="s">
        <v>91</v>
      </c>
      <c r="BR3198" s="2" t="s">
        <v>445</v>
      </c>
      <c r="BS3198" s="3">
        <v>40394</v>
      </c>
      <c r="BT3198" s="4">
        <v>0.57644675925925926</v>
      </c>
    </row>
    <row r="3199" spans="1:72" x14ac:dyDescent="0.25">
      <c r="A3199" s="2">
        <v>4721</v>
      </c>
      <c r="B3199" s="2">
        <v>2010</v>
      </c>
      <c r="C3199" s="2" t="s">
        <v>121</v>
      </c>
      <c r="D3199" s="2" t="s">
        <v>122</v>
      </c>
      <c r="E3199" s="2"/>
      <c r="F3199" s="2">
        <v>1</v>
      </c>
      <c r="G3199" s="2" t="s">
        <v>82</v>
      </c>
      <c r="H3199" s="2">
        <v>1</v>
      </c>
      <c r="I3199" s="2" t="s">
        <v>82</v>
      </c>
      <c r="J3199" s="2">
        <v>1</v>
      </c>
      <c r="K3199" s="2" t="s">
        <v>107</v>
      </c>
      <c r="L3199" s="2" t="s">
        <v>107</v>
      </c>
      <c r="M3199" s="3">
        <v>40394</v>
      </c>
      <c r="N3199" s="2"/>
      <c r="O3199" s="2"/>
      <c r="P3199" s="2"/>
      <c r="Q3199" s="2" t="str">
        <f>""</f>
        <v/>
      </c>
      <c r="R3199" s="2"/>
      <c r="S3199" s="2"/>
      <c r="T3199" s="2">
        <v>2</v>
      </c>
      <c r="U3199" s="2" t="s">
        <v>123</v>
      </c>
      <c r="V3199" s="2">
        <v>1</v>
      </c>
      <c r="W3199" s="2" t="s">
        <v>80</v>
      </c>
      <c r="X3199" s="2">
        <v>11</v>
      </c>
      <c r="Y3199" s="2" t="s">
        <v>1920</v>
      </c>
      <c r="Z3199" s="2">
        <v>10</v>
      </c>
      <c r="AA3199" s="2" t="s">
        <v>236</v>
      </c>
      <c r="AB3199" s="2">
        <v>9</v>
      </c>
      <c r="AC3199" s="2" t="s">
        <v>124</v>
      </c>
      <c r="AD3199" s="3">
        <v>40394</v>
      </c>
      <c r="AE3199" s="4">
        <v>0.5</v>
      </c>
      <c r="AF3199" s="2"/>
      <c r="AG3199" s="2"/>
      <c r="AH3199" s="2">
        <v>2</v>
      </c>
      <c r="AI3199" s="2" t="s">
        <v>84</v>
      </c>
      <c r="AJ3199" s="2">
        <v>12</v>
      </c>
      <c r="AK3199" s="2" t="s">
        <v>85</v>
      </c>
      <c r="AL3199" s="2">
        <v>10</v>
      </c>
      <c r="AM3199" s="2" t="s">
        <v>200</v>
      </c>
      <c r="AN3199" s="2" t="s">
        <v>10374</v>
      </c>
      <c r="AO3199" s="2"/>
      <c r="AP3199" s="2">
        <v>11</v>
      </c>
      <c r="AQ3199" s="2" t="s">
        <v>82</v>
      </c>
      <c r="AR3199" s="2"/>
      <c r="AS3199" s="2"/>
      <c r="AT3199" s="2" t="s">
        <v>10389</v>
      </c>
      <c r="AU3199" s="2"/>
      <c r="AV3199" s="2"/>
      <c r="AW3199" s="2"/>
      <c r="AX3199" s="2"/>
      <c r="AY3199" s="2">
        <v>41</v>
      </c>
      <c r="AZ3199" s="2" t="s">
        <v>82</v>
      </c>
      <c r="BA3199" s="2">
        <v>41</v>
      </c>
      <c r="BB3199" s="2" t="s">
        <v>82</v>
      </c>
      <c r="BC3199" s="2">
        <v>41</v>
      </c>
      <c r="BD3199" s="2" t="s">
        <v>82</v>
      </c>
      <c r="BE3199" s="2">
        <v>13</v>
      </c>
      <c r="BF3199" s="2" t="s">
        <v>108</v>
      </c>
      <c r="BG3199" s="2" t="s">
        <v>10390</v>
      </c>
      <c r="BH3199" s="2"/>
      <c r="BI3199" s="4">
        <v>0.55555555555555558</v>
      </c>
      <c r="BJ3199" s="2">
        <v>13</v>
      </c>
      <c r="BK3199" s="2" t="s">
        <v>91</v>
      </c>
      <c r="BL3199" s="2" t="s">
        <v>185</v>
      </c>
      <c r="BM3199" s="2">
        <v>241</v>
      </c>
      <c r="BN3199" s="2" t="s">
        <v>82</v>
      </c>
      <c r="BO3199" s="2"/>
      <c r="BP3199" s="2">
        <v>229</v>
      </c>
      <c r="BQ3199" s="2" t="s">
        <v>300</v>
      </c>
      <c r="BR3199" s="2" t="s">
        <v>844</v>
      </c>
      <c r="BS3199" s="3">
        <v>40394</v>
      </c>
      <c r="BT3199" s="4">
        <v>0.57827546296296295</v>
      </c>
    </row>
    <row r="3200" spans="1:72" x14ac:dyDescent="0.25">
      <c r="A3200" s="2">
        <v>4722</v>
      </c>
      <c r="B3200" s="2">
        <v>2010</v>
      </c>
      <c r="C3200" s="2" t="s">
        <v>72</v>
      </c>
      <c r="D3200" s="2" t="s">
        <v>73</v>
      </c>
      <c r="E3200" s="2"/>
      <c r="F3200" s="2">
        <v>358</v>
      </c>
      <c r="G3200" s="2" t="s">
        <v>829</v>
      </c>
      <c r="H3200" s="2">
        <v>42</v>
      </c>
      <c r="I3200" s="2" t="s">
        <v>1096</v>
      </c>
      <c r="J3200" s="2">
        <v>636</v>
      </c>
      <c r="K3200" s="2" t="s">
        <v>10391</v>
      </c>
      <c r="L3200" s="2" t="s">
        <v>953</v>
      </c>
      <c r="M3200" s="3">
        <v>40394</v>
      </c>
      <c r="N3200" s="2" t="s">
        <v>10392</v>
      </c>
      <c r="O3200" s="2" t="s">
        <v>107</v>
      </c>
      <c r="P3200" s="2"/>
      <c r="Q3200" s="2" t="str">
        <f>"0011/2010"</f>
        <v>0011/2010</v>
      </c>
      <c r="R3200" s="2" t="s">
        <v>10393</v>
      </c>
      <c r="S3200" s="2" t="s">
        <v>10393</v>
      </c>
      <c r="T3200" s="2">
        <v>1</v>
      </c>
      <c r="U3200" s="2" t="s">
        <v>79</v>
      </c>
      <c r="V3200" s="2">
        <v>1</v>
      </c>
      <c r="W3200" s="2" t="s">
        <v>80</v>
      </c>
      <c r="X3200" s="2">
        <v>12</v>
      </c>
      <c r="Y3200" s="2" t="s">
        <v>148</v>
      </c>
      <c r="Z3200" s="2">
        <v>1</v>
      </c>
      <c r="AA3200" s="2" t="s">
        <v>82</v>
      </c>
      <c r="AB3200" s="2">
        <v>6</v>
      </c>
      <c r="AC3200" s="2" t="s">
        <v>83</v>
      </c>
      <c r="AD3200" s="3">
        <v>40390</v>
      </c>
      <c r="AE3200" s="2"/>
      <c r="AF3200" s="3">
        <v>40394</v>
      </c>
      <c r="AG3200" s="4">
        <v>0.46527777777777773</v>
      </c>
      <c r="AH3200" s="2">
        <v>5</v>
      </c>
      <c r="AI3200" s="2" t="s">
        <v>274</v>
      </c>
      <c r="AJ3200" s="2">
        <v>43</v>
      </c>
      <c r="AK3200" s="2" t="s">
        <v>918</v>
      </c>
      <c r="AL3200" s="2">
        <v>25</v>
      </c>
      <c r="AM3200" s="2" t="s">
        <v>3073</v>
      </c>
      <c r="AN3200" s="2"/>
      <c r="AO3200" s="2"/>
      <c r="AP3200" s="2">
        <v>11</v>
      </c>
      <c r="AQ3200" s="2" t="s">
        <v>82</v>
      </c>
      <c r="AR3200" s="2"/>
      <c r="AS3200" s="2"/>
      <c r="AT3200" s="2" t="s">
        <v>10394</v>
      </c>
      <c r="AU3200" s="2"/>
      <c r="AV3200" s="2"/>
      <c r="AW3200" s="2"/>
      <c r="AX3200" s="2"/>
      <c r="AY3200" s="2">
        <v>43</v>
      </c>
      <c r="AZ3200" s="2" t="s">
        <v>220</v>
      </c>
      <c r="BA3200" s="2">
        <v>43</v>
      </c>
      <c r="BB3200" s="2" t="s">
        <v>220</v>
      </c>
      <c r="BC3200" s="2">
        <v>43</v>
      </c>
      <c r="BD3200" s="2" t="s">
        <v>220</v>
      </c>
      <c r="BE3200" s="2">
        <v>41</v>
      </c>
      <c r="BF3200" s="2" t="s">
        <v>82</v>
      </c>
      <c r="BG3200" s="2"/>
      <c r="BH3200" s="2"/>
      <c r="BI3200" s="2"/>
      <c r="BJ3200" s="2">
        <v>241</v>
      </c>
      <c r="BK3200" s="2" t="s">
        <v>82</v>
      </c>
      <c r="BL3200" s="2"/>
      <c r="BM3200" s="2">
        <v>241</v>
      </c>
      <c r="BN3200" s="2" t="s">
        <v>82</v>
      </c>
      <c r="BO3200" s="2"/>
      <c r="BP3200" s="2">
        <v>241</v>
      </c>
      <c r="BQ3200" s="2" t="s">
        <v>82</v>
      </c>
      <c r="BR3200" s="2"/>
      <c r="BS3200" s="3">
        <v>40394</v>
      </c>
      <c r="BT3200" s="4">
        <v>0.59714120370370372</v>
      </c>
    </row>
    <row r="3201" spans="1:72" x14ac:dyDescent="0.25">
      <c r="A3201" s="2">
        <v>4723</v>
      </c>
      <c r="B3201" s="2">
        <v>2010</v>
      </c>
      <c r="C3201" s="2" t="s">
        <v>196</v>
      </c>
      <c r="D3201" s="2" t="s">
        <v>122</v>
      </c>
      <c r="E3201" s="2" t="s">
        <v>10395</v>
      </c>
      <c r="F3201" s="2">
        <v>1</v>
      </c>
      <c r="G3201" s="2" t="s">
        <v>82</v>
      </c>
      <c r="H3201" s="2">
        <v>1</v>
      </c>
      <c r="I3201" s="2" t="s">
        <v>82</v>
      </c>
      <c r="J3201" s="2">
        <v>1</v>
      </c>
      <c r="K3201" s="2" t="s">
        <v>107</v>
      </c>
      <c r="L3201" s="2" t="s">
        <v>107</v>
      </c>
      <c r="M3201" s="3">
        <v>40394</v>
      </c>
      <c r="N3201" s="2"/>
      <c r="O3201" s="2"/>
      <c r="P3201" s="2"/>
      <c r="Q3201" s="2" t="str">
        <f>""</f>
        <v/>
      </c>
      <c r="R3201" s="2"/>
      <c r="S3201" s="2"/>
      <c r="T3201" s="2">
        <v>2</v>
      </c>
      <c r="U3201" s="2" t="s">
        <v>123</v>
      </c>
      <c r="V3201" s="2">
        <v>1</v>
      </c>
      <c r="W3201" s="2" t="s">
        <v>80</v>
      </c>
      <c r="X3201" s="2">
        <v>5</v>
      </c>
      <c r="Y3201" s="2" t="s">
        <v>82</v>
      </c>
      <c r="Z3201" s="2">
        <v>1</v>
      </c>
      <c r="AA3201" s="2" t="s">
        <v>82</v>
      </c>
      <c r="AB3201" s="2">
        <v>9</v>
      </c>
      <c r="AC3201" s="2" t="s">
        <v>124</v>
      </c>
      <c r="AD3201" s="3">
        <v>40394</v>
      </c>
      <c r="AE3201" s="4">
        <v>0.59027777777777779</v>
      </c>
      <c r="AF3201" s="2"/>
      <c r="AG3201" s="2"/>
      <c r="AH3201" s="2">
        <v>4</v>
      </c>
      <c r="AI3201" s="2" t="s">
        <v>125</v>
      </c>
      <c r="AJ3201" s="2">
        <v>33</v>
      </c>
      <c r="AK3201" s="2" t="s">
        <v>126</v>
      </c>
      <c r="AL3201" s="2">
        <v>19</v>
      </c>
      <c r="AM3201" s="2" t="s">
        <v>107</v>
      </c>
      <c r="AN3201" s="2"/>
      <c r="AO3201" s="2"/>
      <c r="AP3201" s="2">
        <v>11</v>
      </c>
      <c r="AQ3201" s="2" t="s">
        <v>82</v>
      </c>
      <c r="AR3201" s="2"/>
      <c r="AS3201" s="2"/>
      <c r="AT3201" s="2" t="s">
        <v>10396</v>
      </c>
      <c r="AU3201" s="2"/>
      <c r="AV3201" s="2"/>
      <c r="AW3201" s="2"/>
      <c r="AX3201" s="2"/>
      <c r="AY3201" s="2">
        <v>1</v>
      </c>
      <c r="AZ3201" s="2" t="s">
        <v>107</v>
      </c>
      <c r="BA3201" s="2">
        <v>1</v>
      </c>
      <c r="BB3201" s="2" t="s">
        <v>107</v>
      </c>
      <c r="BC3201" s="2">
        <v>1</v>
      </c>
      <c r="BD3201" s="2" t="s">
        <v>107</v>
      </c>
      <c r="BE3201" s="2">
        <v>1</v>
      </c>
      <c r="BF3201" s="2" t="s">
        <v>107</v>
      </c>
      <c r="BG3201" s="2" t="s">
        <v>265</v>
      </c>
      <c r="BH3201" s="4">
        <v>0.81944444444444453</v>
      </c>
      <c r="BI3201" s="4">
        <v>0.59027777777777779</v>
      </c>
      <c r="BJ3201" s="2">
        <v>242</v>
      </c>
      <c r="BK3201" s="2" t="s">
        <v>107</v>
      </c>
      <c r="BL3201" s="2"/>
      <c r="BM3201" s="2">
        <v>242</v>
      </c>
      <c r="BN3201" s="2" t="s">
        <v>107</v>
      </c>
      <c r="BO3201" s="2"/>
      <c r="BP3201" s="2">
        <v>242</v>
      </c>
      <c r="BQ3201" s="2" t="s">
        <v>107</v>
      </c>
      <c r="BR3201" s="2"/>
      <c r="BS3201" s="3">
        <v>40394</v>
      </c>
      <c r="BT3201" s="4">
        <v>0.60443287037037041</v>
      </c>
    </row>
    <row r="3202" spans="1:72" x14ac:dyDescent="0.25">
      <c r="A3202" s="2">
        <v>4724</v>
      </c>
      <c r="B3202" s="2">
        <v>2010</v>
      </c>
      <c r="C3202" s="2" t="s">
        <v>196</v>
      </c>
      <c r="D3202" s="2" t="s">
        <v>122</v>
      </c>
      <c r="E3202" s="2"/>
      <c r="F3202" s="2">
        <v>1</v>
      </c>
      <c r="G3202" s="2" t="s">
        <v>82</v>
      </c>
      <c r="H3202" s="2">
        <v>1</v>
      </c>
      <c r="I3202" s="2" t="s">
        <v>82</v>
      </c>
      <c r="J3202" s="2">
        <v>1</v>
      </c>
      <c r="K3202" s="2" t="s">
        <v>107</v>
      </c>
      <c r="L3202" s="2" t="s">
        <v>107</v>
      </c>
      <c r="M3202" s="3">
        <v>40394</v>
      </c>
      <c r="N3202" s="2"/>
      <c r="O3202" s="2"/>
      <c r="P3202" s="2"/>
      <c r="Q3202" s="2" t="str">
        <f>""</f>
        <v/>
      </c>
      <c r="R3202" s="2"/>
      <c r="S3202" s="2"/>
      <c r="T3202" s="2">
        <v>2</v>
      </c>
      <c r="U3202" s="2" t="s">
        <v>123</v>
      </c>
      <c r="V3202" s="2">
        <v>1</v>
      </c>
      <c r="W3202" s="2" t="s">
        <v>80</v>
      </c>
      <c r="X3202" s="2">
        <v>11</v>
      </c>
      <c r="Y3202" s="2" t="s">
        <v>1920</v>
      </c>
      <c r="Z3202" s="2">
        <v>1</v>
      </c>
      <c r="AA3202" s="2" t="s">
        <v>82</v>
      </c>
      <c r="AB3202" s="2">
        <v>9</v>
      </c>
      <c r="AC3202" s="2" t="s">
        <v>124</v>
      </c>
      <c r="AD3202" s="3">
        <v>40394</v>
      </c>
      <c r="AE3202" s="4">
        <v>0.58333333333333337</v>
      </c>
      <c r="AF3202" s="2"/>
      <c r="AG3202" s="2"/>
      <c r="AH3202" s="2">
        <v>2</v>
      </c>
      <c r="AI3202" s="2" t="s">
        <v>84</v>
      </c>
      <c r="AJ3202" s="2">
        <v>12</v>
      </c>
      <c r="AK3202" s="2" t="s">
        <v>85</v>
      </c>
      <c r="AL3202" s="2">
        <v>20</v>
      </c>
      <c r="AM3202" s="2" t="s">
        <v>992</v>
      </c>
      <c r="AN3202" s="2"/>
      <c r="AO3202" s="2"/>
      <c r="AP3202" s="2">
        <v>11</v>
      </c>
      <c r="AQ3202" s="2" t="s">
        <v>82</v>
      </c>
      <c r="AR3202" s="2"/>
      <c r="AS3202" s="2"/>
      <c r="AT3202" s="2" t="s">
        <v>10397</v>
      </c>
      <c r="AU3202" s="2"/>
      <c r="AV3202" s="2"/>
      <c r="AW3202" s="2"/>
      <c r="AX3202" s="2"/>
      <c r="AY3202" s="2">
        <v>41</v>
      </c>
      <c r="AZ3202" s="2" t="s">
        <v>82</v>
      </c>
      <c r="BA3202" s="2">
        <v>41</v>
      </c>
      <c r="BB3202" s="2" t="s">
        <v>82</v>
      </c>
      <c r="BC3202" s="2">
        <v>41</v>
      </c>
      <c r="BD3202" s="2" t="s">
        <v>82</v>
      </c>
      <c r="BE3202" s="2">
        <v>41</v>
      </c>
      <c r="BF3202" s="2" t="s">
        <v>82</v>
      </c>
      <c r="BG3202" s="2"/>
      <c r="BH3202" s="2"/>
      <c r="BI3202" s="2"/>
      <c r="BJ3202" s="2">
        <v>13</v>
      </c>
      <c r="BK3202" s="2" t="s">
        <v>91</v>
      </c>
      <c r="BL3202" s="2" t="s">
        <v>6582</v>
      </c>
      <c r="BM3202" s="2">
        <v>241</v>
      </c>
      <c r="BN3202" s="2" t="s">
        <v>82</v>
      </c>
      <c r="BO3202" s="2"/>
      <c r="BP3202" s="2">
        <v>13</v>
      </c>
      <c r="BQ3202" s="2" t="s">
        <v>91</v>
      </c>
      <c r="BR3202" s="2" t="s">
        <v>185</v>
      </c>
      <c r="BS3202" s="3">
        <v>40394</v>
      </c>
      <c r="BT3202" s="4">
        <v>0.68914351851851852</v>
      </c>
    </row>
    <row r="3203" spans="1:72" x14ac:dyDescent="0.25">
      <c r="A3203" s="2">
        <v>4725</v>
      </c>
      <c r="B3203" s="2">
        <v>2010</v>
      </c>
      <c r="C3203" s="2" t="s">
        <v>171</v>
      </c>
      <c r="D3203" s="2" t="s">
        <v>73</v>
      </c>
      <c r="E3203" s="2"/>
      <c r="F3203" s="2">
        <v>125</v>
      </c>
      <c r="G3203" s="2" t="s">
        <v>1483</v>
      </c>
      <c r="H3203" s="2">
        <v>49</v>
      </c>
      <c r="I3203" s="2" t="s">
        <v>1484</v>
      </c>
      <c r="J3203" s="2">
        <v>139</v>
      </c>
      <c r="K3203" s="2" t="s">
        <v>1485</v>
      </c>
      <c r="L3203" s="2" t="s">
        <v>1486</v>
      </c>
      <c r="M3203" s="3">
        <v>40394</v>
      </c>
      <c r="N3203" s="2" t="s">
        <v>10398</v>
      </c>
      <c r="O3203" s="2" t="s">
        <v>5057</v>
      </c>
      <c r="P3203" s="2" t="s">
        <v>5054</v>
      </c>
      <c r="Q3203" s="2" t="str">
        <f>""</f>
        <v/>
      </c>
      <c r="R3203" s="2"/>
      <c r="S3203" s="2"/>
      <c r="T3203" s="2">
        <v>1</v>
      </c>
      <c r="U3203" s="2" t="s">
        <v>79</v>
      </c>
      <c r="V3203" s="2">
        <v>3</v>
      </c>
      <c r="W3203" s="2" t="s">
        <v>225</v>
      </c>
      <c r="X3203" s="2">
        <v>6</v>
      </c>
      <c r="Y3203" s="2" t="s">
        <v>249</v>
      </c>
      <c r="Z3203" s="2">
        <v>1</v>
      </c>
      <c r="AA3203" s="2" t="s">
        <v>82</v>
      </c>
      <c r="AB3203" s="2">
        <v>9</v>
      </c>
      <c r="AC3203" s="2" t="s">
        <v>124</v>
      </c>
      <c r="AD3203" s="3">
        <v>40363</v>
      </c>
      <c r="AE3203" s="4">
        <v>0.52083333333333337</v>
      </c>
      <c r="AF3203" s="2"/>
      <c r="AG3203" s="2"/>
      <c r="AH3203" s="2">
        <v>6</v>
      </c>
      <c r="AI3203" s="2" t="s">
        <v>197</v>
      </c>
      <c r="AJ3203" s="2">
        <v>47</v>
      </c>
      <c r="AK3203" s="2" t="s">
        <v>250</v>
      </c>
      <c r="AL3203" s="2">
        <v>23</v>
      </c>
      <c r="AM3203" s="2" t="s">
        <v>251</v>
      </c>
      <c r="AN3203" s="2"/>
      <c r="AO3203" s="2"/>
      <c r="AP3203" s="2">
        <v>11</v>
      </c>
      <c r="AQ3203" s="2" t="s">
        <v>82</v>
      </c>
      <c r="AR3203" s="2"/>
      <c r="AS3203" s="2"/>
      <c r="AT3203" s="2" t="s">
        <v>10399</v>
      </c>
      <c r="AU3203" s="2"/>
      <c r="AV3203" s="2"/>
      <c r="AW3203" s="2"/>
      <c r="AX3203" s="2"/>
      <c r="AY3203" s="2">
        <v>1</v>
      </c>
      <c r="AZ3203" s="2" t="s">
        <v>107</v>
      </c>
      <c r="BA3203" s="2">
        <v>1</v>
      </c>
      <c r="BB3203" s="2" t="s">
        <v>107</v>
      </c>
      <c r="BC3203" s="2">
        <v>1</v>
      </c>
      <c r="BD3203" s="2" t="s">
        <v>107</v>
      </c>
      <c r="BE3203" s="2">
        <v>1</v>
      </c>
      <c r="BF3203" s="2" t="s">
        <v>107</v>
      </c>
      <c r="BG3203" s="2"/>
      <c r="BH3203" s="2"/>
      <c r="BI3203" s="2"/>
      <c r="BJ3203" s="2">
        <v>242</v>
      </c>
      <c r="BK3203" s="2" t="s">
        <v>107</v>
      </c>
      <c r="BL3203" s="2"/>
      <c r="BM3203" s="2">
        <v>242</v>
      </c>
      <c r="BN3203" s="2" t="s">
        <v>107</v>
      </c>
      <c r="BO3203" s="2"/>
      <c r="BP3203" s="2">
        <v>242</v>
      </c>
      <c r="BQ3203" s="2" t="s">
        <v>107</v>
      </c>
      <c r="BR3203" s="2"/>
      <c r="BS3203" s="3">
        <v>40394</v>
      </c>
      <c r="BT3203" s="4">
        <v>0.72593750000000001</v>
      </c>
    </row>
    <row r="3204" spans="1:72" x14ac:dyDescent="0.25">
      <c r="A3204" s="2">
        <v>4726</v>
      </c>
      <c r="B3204" s="2">
        <v>2010</v>
      </c>
      <c r="C3204" s="2" t="s">
        <v>171</v>
      </c>
      <c r="D3204" s="2" t="s">
        <v>73</v>
      </c>
      <c r="E3204" s="2"/>
      <c r="F3204" s="2">
        <v>150</v>
      </c>
      <c r="G3204" s="2" t="s">
        <v>4650</v>
      </c>
      <c r="H3204" s="2">
        <v>50</v>
      </c>
      <c r="I3204" s="2" t="s">
        <v>107</v>
      </c>
      <c r="J3204" s="2">
        <v>1</v>
      </c>
      <c r="K3204" s="2" t="s">
        <v>107</v>
      </c>
      <c r="L3204" s="2" t="s">
        <v>107</v>
      </c>
      <c r="M3204" s="3">
        <v>40394</v>
      </c>
      <c r="N3204" s="2" t="s">
        <v>10400</v>
      </c>
      <c r="O3204" s="2" t="s">
        <v>10401</v>
      </c>
      <c r="P3204" s="2" t="s">
        <v>10402</v>
      </c>
      <c r="Q3204" s="2" t="str">
        <f>""</f>
        <v/>
      </c>
      <c r="R3204" s="2"/>
      <c r="S3204" s="2"/>
      <c r="T3204" s="2">
        <v>1</v>
      </c>
      <c r="U3204" s="2" t="s">
        <v>79</v>
      </c>
      <c r="V3204" s="2">
        <v>3</v>
      </c>
      <c r="W3204" s="2" t="s">
        <v>225</v>
      </c>
      <c r="X3204" s="2">
        <v>2</v>
      </c>
      <c r="Y3204" s="2" t="s">
        <v>136</v>
      </c>
      <c r="Z3204" s="2">
        <v>1</v>
      </c>
      <c r="AA3204" s="2" t="s">
        <v>82</v>
      </c>
      <c r="AB3204" s="2">
        <v>9</v>
      </c>
      <c r="AC3204" s="2" t="s">
        <v>124</v>
      </c>
      <c r="AD3204" s="3">
        <v>40394</v>
      </c>
      <c r="AE3204" s="4">
        <v>0.48680555555555555</v>
      </c>
      <c r="AF3204" s="2"/>
      <c r="AG3204" s="2"/>
      <c r="AH3204" s="2">
        <v>6</v>
      </c>
      <c r="AI3204" s="2" t="s">
        <v>197</v>
      </c>
      <c r="AJ3204" s="2">
        <v>47</v>
      </c>
      <c r="AK3204" s="2" t="s">
        <v>250</v>
      </c>
      <c r="AL3204" s="2">
        <v>23</v>
      </c>
      <c r="AM3204" s="2" t="s">
        <v>251</v>
      </c>
      <c r="AN3204" s="2"/>
      <c r="AO3204" s="2"/>
      <c r="AP3204" s="2">
        <v>11</v>
      </c>
      <c r="AQ3204" s="2" t="s">
        <v>82</v>
      </c>
      <c r="AR3204" s="2"/>
      <c r="AS3204" s="2"/>
      <c r="AT3204" s="2" t="s">
        <v>10403</v>
      </c>
      <c r="AU3204" s="2"/>
      <c r="AV3204" s="2"/>
      <c r="AW3204" s="2"/>
      <c r="AX3204" s="2"/>
      <c r="AY3204" s="2">
        <v>1</v>
      </c>
      <c r="AZ3204" s="2" t="s">
        <v>107</v>
      </c>
      <c r="BA3204" s="2">
        <v>1</v>
      </c>
      <c r="BB3204" s="2" t="s">
        <v>107</v>
      </c>
      <c r="BC3204" s="2">
        <v>1</v>
      </c>
      <c r="BD3204" s="2" t="s">
        <v>107</v>
      </c>
      <c r="BE3204" s="2">
        <v>1</v>
      </c>
      <c r="BF3204" s="2" t="s">
        <v>107</v>
      </c>
      <c r="BG3204" s="2"/>
      <c r="BH3204" s="2"/>
      <c r="BI3204" s="2"/>
      <c r="BJ3204" s="2">
        <v>242</v>
      </c>
      <c r="BK3204" s="2" t="s">
        <v>107</v>
      </c>
      <c r="BL3204" s="2"/>
      <c r="BM3204" s="2">
        <v>242</v>
      </c>
      <c r="BN3204" s="2" t="s">
        <v>107</v>
      </c>
      <c r="BO3204" s="2"/>
      <c r="BP3204" s="2">
        <v>242</v>
      </c>
      <c r="BQ3204" s="2" t="s">
        <v>107</v>
      </c>
      <c r="BR3204" s="2"/>
      <c r="BS3204" s="3">
        <v>40394</v>
      </c>
      <c r="BT3204" s="4">
        <v>0.73125000000000007</v>
      </c>
    </row>
    <row r="3205" spans="1:72" x14ac:dyDescent="0.25">
      <c r="A3205" s="2">
        <v>4727</v>
      </c>
      <c r="B3205" s="2">
        <v>2010</v>
      </c>
      <c r="C3205" s="2" t="s">
        <v>121</v>
      </c>
      <c r="D3205" s="2" t="s">
        <v>122</v>
      </c>
      <c r="E3205" s="2"/>
      <c r="F3205" s="2">
        <v>1</v>
      </c>
      <c r="G3205" s="2" t="s">
        <v>82</v>
      </c>
      <c r="H3205" s="2">
        <v>1</v>
      </c>
      <c r="I3205" s="2" t="s">
        <v>82</v>
      </c>
      <c r="J3205" s="2">
        <v>1</v>
      </c>
      <c r="K3205" s="2" t="s">
        <v>107</v>
      </c>
      <c r="L3205" s="2" t="s">
        <v>107</v>
      </c>
      <c r="M3205" s="3">
        <v>40394</v>
      </c>
      <c r="N3205" s="2"/>
      <c r="O3205" s="2"/>
      <c r="P3205" s="2"/>
      <c r="Q3205" s="2" t="str">
        <f>""</f>
        <v/>
      </c>
      <c r="R3205" s="2"/>
      <c r="S3205" s="2"/>
      <c r="T3205" s="2">
        <v>2</v>
      </c>
      <c r="U3205" s="2" t="s">
        <v>123</v>
      </c>
      <c r="V3205" s="2">
        <v>1</v>
      </c>
      <c r="W3205" s="2" t="s">
        <v>80</v>
      </c>
      <c r="X3205" s="2">
        <v>11</v>
      </c>
      <c r="Y3205" s="2" t="s">
        <v>1920</v>
      </c>
      <c r="Z3205" s="2">
        <v>10</v>
      </c>
      <c r="AA3205" s="2" t="s">
        <v>236</v>
      </c>
      <c r="AB3205" s="2">
        <v>9</v>
      </c>
      <c r="AC3205" s="2" t="s">
        <v>124</v>
      </c>
      <c r="AD3205" s="3">
        <v>40394</v>
      </c>
      <c r="AE3205" s="4">
        <v>0.70833333333333337</v>
      </c>
      <c r="AF3205" s="2"/>
      <c r="AG3205" s="2"/>
      <c r="AH3205" s="2">
        <v>2</v>
      </c>
      <c r="AI3205" s="2" t="s">
        <v>84</v>
      </c>
      <c r="AJ3205" s="2">
        <v>12</v>
      </c>
      <c r="AK3205" s="2" t="s">
        <v>85</v>
      </c>
      <c r="AL3205" s="2">
        <v>11</v>
      </c>
      <c r="AM3205" s="2" t="s">
        <v>137</v>
      </c>
      <c r="AN3205" s="2" t="s">
        <v>10404</v>
      </c>
      <c r="AO3205" s="2" t="s">
        <v>10264</v>
      </c>
      <c r="AP3205" s="2">
        <v>11</v>
      </c>
      <c r="AQ3205" s="2" t="s">
        <v>82</v>
      </c>
      <c r="AR3205" s="2"/>
      <c r="AS3205" s="2"/>
      <c r="AT3205" s="2" t="s">
        <v>10405</v>
      </c>
      <c r="AU3205" s="2"/>
      <c r="AV3205" s="2"/>
      <c r="AW3205" s="2"/>
      <c r="AX3205" s="2"/>
      <c r="AY3205" s="2">
        <v>41</v>
      </c>
      <c r="AZ3205" s="2" t="s">
        <v>82</v>
      </c>
      <c r="BA3205" s="2">
        <v>41</v>
      </c>
      <c r="BB3205" s="2" t="s">
        <v>82</v>
      </c>
      <c r="BC3205" s="2">
        <v>41</v>
      </c>
      <c r="BD3205" s="2" t="s">
        <v>82</v>
      </c>
      <c r="BE3205" s="2">
        <v>10</v>
      </c>
      <c r="BF3205" s="2" t="s">
        <v>901</v>
      </c>
      <c r="BG3205" s="2" t="s">
        <v>10406</v>
      </c>
      <c r="BH3205" s="4">
        <v>0.79166666666666663</v>
      </c>
      <c r="BI3205" s="4">
        <v>0.75694444444444453</v>
      </c>
      <c r="BJ3205" s="2">
        <v>13</v>
      </c>
      <c r="BK3205" s="2" t="s">
        <v>91</v>
      </c>
      <c r="BL3205" s="2" t="s">
        <v>185</v>
      </c>
      <c r="BM3205" s="2">
        <v>241</v>
      </c>
      <c r="BN3205" s="2" t="s">
        <v>82</v>
      </c>
      <c r="BO3205" s="2"/>
      <c r="BP3205" s="2">
        <v>229</v>
      </c>
      <c r="BQ3205" s="2" t="s">
        <v>300</v>
      </c>
      <c r="BR3205" s="2" t="s">
        <v>573</v>
      </c>
      <c r="BS3205" s="3">
        <v>40394</v>
      </c>
      <c r="BT3205" s="4">
        <v>0.76689814814814816</v>
      </c>
    </row>
    <row r="3206" spans="1:72" x14ac:dyDescent="0.25">
      <c r="A3206" s="2">
        <v>4728</v>
      </c>
      <c r="B3206" s="2">
        <v>2010</v>
      </c>
      <c r="C3206" s="2" t="s">
        <v>171</v>
      </c>
      <c r="D3206" s="2" t="s">
        <v>73</v>
      </c>
      <c r="E3206" s="2"/>
      <c r="F3206" s="2">
        <v>400</v>
      </c>
      <c r="G3206" s="2" t="s">
        <v>3601</v>
      </c>
      <c r="H3206" s="2">
        <v>17</v>
      </c>
      <c r="I3206" s="2" t="s">
        <v>3602</v>
      </c>
      <c r="J3206" s="2">
        <v>316</v>
      </c>
      <c r="K3206" s="2" t="s">
        <v>574</v>
      </c>
      <c r="L3206" s="2" t="s">
        <v>575</v>
      </c>
      <c r="M3206" s="3">
        <v>40394</v>
      </c>
      <c r="N3206" s="2" t="s">
        <v>3826</v>
      </c>
      <c r="O3206" s="2"/>
      <c r="P3206" s="2"/>
      <c r="Q3206" s="2" t="str">
        <f>"399-E/10"</f>
        <v>399-E/10</v>
      </c>
      <c r="R3206" s="2" t="s">
        <v>10407</v>
      </c>
      <c r="S3206" s="2" t="s">
        <v>10407</v>
      </c>
      <c r="T3206" s="2">
        <v>1</v>
      </c>
      <c r="U3206" s="2" t="s">
        <v>79</v>
      </c>
      <c r="V3206" s="2">
        <v>1</v>
      </c>
      <c r="W3206" s="2" t="s">
        <v>80</v>
      </c>
      <c r="X3206" s="2">
        <v>12</v>
      </c>
      <c r="Y3206" s="2" t="s">
        <v>148</v>
      </c>
      <c r="Z3206" s="2">
        <v>1</v>
      </c>
      <c r="AA3206" s="2" t="s">
        <v>82</v>
      </c>
      <c r="AB3206" s="2">
        <v>1</v>
      </c>
      <c r="AC3206" s="2" t="s">
        <v>178</v>
      </c>
      <c r="AD3206" s="2"/>
      <c r="AE3206" s="2"/>
      <c r="AF3206" s="3">
        <v>40394</v>
      </c>
      <c r="AG3206" s="4">
        <v>0.51736111111111105</v>
      </c>
      <c r="AH3206" s="2">
        <v>2</v>
      </c>
      <c r="AI3206" s="2" t="s">
        <v>84</v>
      </c>
      <c r="AJ3206" s="2">
        <v>9</v>
      </c>
      <c r="AK3206" s="2" t="s">
        <v>103</v>
      </c>
      <c r="AL3206" s="2">
        <v>25</v>
      </c>
      <c r="AM3206" s="2" t="s">
        <v>3073</v>
      </c>
      <c r="AN3206" s="2" t="s">
        <v>10408</v>
      </c>
      <c r="AO3206" s="2" t="s">
        <v>10409</v>
      </c>
      <c r="AP3206" s="2">
        <v>11</v>
      </c>
      <c r="AQ3206" s="2" t="s">
        <v>82</v>
      </c>
      <c r="AR3206" s="2"/>
      <c r="AS3206" s="2"/>
      <c r="AT3206" s="2" t="s">
        <v>10410</v>
      </c>
      <c r="AU3206" s="2"/>
      <c r="AV3206" s="2"/>
      <c r="AW3206" s="2"/>
      <c r="AX3206" s="2"/>
      <c r="AY3206" s="2">
        <v>41</v>
      </c>
      <c r="AZ3206" s="2" t="s">
        <v>82</v>
      </c>
      <c r="BA3206" s="2">
        <v>41</v>
      </c>
      <c r="BB3206" s="2" t="s">
        <v>82</v>
      </c>
      <c r="BC3206" s="2">
        <v>41</v>
      </c>
      <c r="BD3206" s="2" t="s">
        <v>82</v>
      </c>
      <c r="BE3206" s="2">
        <v>13</v>
      </c>
      <c r="BF3206" s="2" t="s">
        <v>108</v>
      </c>
      <c r="BG3206" s="2" t="s">
        <v>592</v>
      </c>
      <c r="BH3206" s="2"/>
      <c r="BI3206" s="4">
        <v>0.94791666666666663</v>
      </c>
      <c r="BJ3206" s="2">
        <v>13</v>
      </c>
      <c r="BK3206" s="2" t="s">
        <v>91</v>
      </c>
      <c r="BL3206" s="2" t="s">
        <v>360</v>
      </c>
      <c r="BM3206" s="2">
        <v>241</v>
      </c>
      <c r="BN3206" s="2" t="s">
        <v>82</v>
      </c>
      <c r="BO3206" s="2"/>
      <c r="BP3206" s="2">
        <v>112</v>
      </c>
      <c r="BQ3206" s="2" t="s">
        <v>110</v>
      </c>
      <c r="BR3206" s="2" t="s">
        <v>111</v>
      </c>
      <c r="BS3206" s="3">
        <v>40394</v>
      </c>
      <c r="BT3206" s="4">
        <v>0.81572916666666673</v>
      </c>
    </row>
    <row r="3207" spans="1:72" x14ac:dyDescent="0.25">
      <c r="A3207" s="2">
        <v>4729</v>
      </c>
      <c r="B3207" s="2">
        <v>2010</v>
      </c>
      <c r="C3207" s="2" t="s">
        <v>121</v>
      </c>
      <c r="D3207" s="2" t="s">
        <v>122</v>
      </c>
      <c r="E3207" s="2"/>
      <c r="F3207" s="2">
        <v>1</v>
      </c>
      <c r="G3207" s="2" t="s">
        <v>82</v>
      </c>
      <c r="H3207" s="2">
        <v>1</v>
      </c>
      <c r="I3207" s="2" t="s">
        <v>82</v>
      </c>
      <c r="J3207" s="2">
        <v>1</v>
      </c>
      <c r="K3207" s="2" t="s">
        <v>107</v>
      </c>
      <c r="L3207" s="2" t="s">
        <v>107</v>
      </c>
      <c r="M3207" s="3">
        <v>40394</v>
      </c>
      <c r="N3207" s="2"/>
      <c r="O3207" s="2"/>
      <c r="P3207" s="2"/>
      <c r="Q3207" s="2" t="str">
        <f>""</f>
        <v/>
      </c>
      <c r="R3207" s="2"/>
      <c r="S3207" s="2"/>
      <c r="T3207" s="2">
        <v>2</v>
      </c>
      <c r="U3207" s="2" t="s">
        <v>123</v>
      </c>
      <c r="V3207" s="2">
        <v>1</v>
      </c>
      <c r="W3207" s="2" t="s">
        <v>80</v>
      </c>
      <c r="X3207" s="2">
        <v>5</v>
      </c>
      <c r="Y3207" s="2" t="s">
        <v>82</v>
      </c>
      <c r="Z3207" s="2">
        <v>1</v>
      </c>
      <c r="AA3207" s="2" t="s">
        <v>82</v>
      </c>
      <c r="AB3207" s="2">
        <v>9</v>
      </c>
      <c r="AC3207" s="2" t="s">
        <v>124</v>
      </c>
      <c r="AD3207" s="3">
        <v>40394</v>
      </c>
      <c r="AE3207" s="4">
        <v>0.79861111111111116</v>
      </c>
      <c r="AF3207" s="2"/>
      <c r="AG3207" s="2"/>
      <c r="AH3207" s="2">
        <v>4</v>
      </c>
      <c r="AI3207" s="2" t="s">
        <v>125</v>
      </c>
      <c r="AJ3207" s="2">
        <v>33</v>
      </c>
      <c r="AK3207" s="2" t="s">
        <v>126</v>
      </c>
      <c r="AL3207" s="2">
        <v>18</v>
      </c>
      <c r="AM3207" s="2" t="s">
        <v>82</v>
      </c>
      <c r="AN3207" s="2"/>
      <c r="AO3207" s="2"/>
      <c r="AP3207" s="2">
        <v>11</v>
      </c>
      <c r="AQ3207" s="2" t="s">
        <v>82</v>
      </c>
      <c r="AR3207" s="2"/>
      <c r="AS3207" s="2"/>
      <c r="AT3207" s="2" t="s">
        <v>10411</v>
      </c>
      <c r="AU3207" s="2"/>
      <c r="AV3207" s="2"/>
      <c r="AW3207" s="2"/>
      <c r="AX3207" s="2"/>
      <c r="AY3207" s="2">
        <v>1</v>
      </c>
      <c r="AZ3207" s="2" t="s">
        <v>107</v>
      </c>
      <c r="BA3207" s="2">
        <v>1</v>
      </c>
      <c r="BB3207" s="2" t="s">
        <v>107</v>
      </c>
      <c r="BC3207" s="2">
        <v>1</v>
      </c>
      <c r="BD3207" s="2" t="s">
        <v>107</v>
      </c>
      <c r="BE3207" s="2">
        <v>1</v>
      </c>
      <c r="BF3207" s="2" t="s">
        <v>107</v>
      </c>
      <c r="BG3207" s="2" t="s">
        <v>1128</v>
      </c>
      <c r="BH3207" s="2"/>
      <c r="BI3207" s="4">
        <v>0.79861111111111116</v>
      </c>
      <c r="BJ3207" s="2">
        <v>242</v>
      </c>
      <c r="BK3207" s="2" t="s">
        <v>107</v>
      </c>
      <c r="BL3207" s="2"/>
      <c r="BM3207" s="2">
        <v>242</v>
      </c>
      <c r="BN3207" s="2" t="s">
        <v>107</v>
      </c>
      <c r="BO3207" s="2"/>
      <c r="BP3207" s="2">
        <v>242</v>
      </c>
      <c r="BQ3207" s="2" t="s">
        <v>107</v>
      </c>
      <c r="BR3207" s="2"/>
      <c r="BS3207" s="3">
        <v>40394</v>
      </c>
      <c r="BT3207" s="4">
        <v>0.81978009259259255</v>
      </c>
    </row>
    <row r="3208" spans="1:72" x14ac:dyDescent="0.25">
      <c r="A3208" s="2">
        <v>4730</v>
      </c>
      <c r="B3208" s="2">
        <v>2010</v>
      </c>
      <c r="C3208" s="2" t="s">
        <v>121</v>
      </c>
      <c r="D3208" s="2" t="s">
        <v>122</v>
      </c>
      <c r="E3208" s="2"/>
      <c r="F3208" s="2">
        <v>1</v>
      </c>
      <c r="G3208" s="2" t="s">
        <v>82</v>
      </c>
      <c r="H3208" s="2">
        <v>1</v>
      </c>
      <c r="I3208" s="2" t="s">
        <v>82</v>
      </c>
      <c r="J3208" s="2">
        <v>1</v>
      </c>
      <c r="K3208" s="2" t="s">
        <v>107</v>
      </c>
      <c r="L3208" s="2" t="s">
        <v>107</v>
      </c>
      <c r="M3208" s="3">
        <v>40394</v>
      </c>
      <c r="N3208" s="2"/>
      <c r="O3208" s="2"/>
      <c r="P3208" s="2"/>
      <c r="Q3208" s="2" t="str">
        <f>""</f>
        <v/>
      </c>
      <c r="R3208" s="2"/>
      <c r="S3208" s="2"/>
      <c r="T3208" s="2">
        <v>2</v>
      </c>
      <c r="U3208" s="2" t="s">
        <v>123</v>
      </c>
      <c r="V3208" s="2">
        <v>1</v>
      </c>
      <c r="W3208" s="2" t="s">
        <v>80</v>
      </c>
      <c r="X3208" s="2">
        <v>1</v>
      </c>
      <c r="Y3208" s="2" t="s">
        <v>81</v>
      </c>
      <c r="Z3208" s="2">
        <v>10</v>
      </c>
      <c r="AA3208" s="2" t="s">
        <v>236</v>
      </c>
      <c r="AB3208" s="2">
        <v>9</v>
      </c>
      <c r="AC3208" s="2" t="s">
        <v>124</v>
      </c>
      <c r="AD3208" s="3">
        <v>40394</v>
      </c>
      <c r="AE3208" s="4">
        <v>0.82986111111111116</v>
      </c>
      <c r="AF3208" s="2"/>
      <c r="AG3208" s="2"/>
      <c r="AH3208" s="2">
        <v>4</v>
      </c>
      <c r="AI3208" s="2" t="s">
        <v>125</v>
      </c>
      <c r="AJ3208" s="2">
        <v>31</v>
      </c>
      <c r="AK3208" s="2" t="s">
        <v>1413</v>
      </c>
      <c r="AL3208" s="2">
        <v>10</v>
      </c>
      <c r="AM3208" s="2" t="s">
        <v>200</v>
      </c>
      <c r="AN3208" s="2"/>
      <c r="AO3208" s="2"/>
      <c r="AP3208" s="2">
        <v>11</v>
      </c>
      <c r="AQ3208" s="2" t="s">
        <v>82</v>
      </c>
      <c r="AR3208" s="2"/>
      <c r="AS3208" s="2"/>
      <c r="AT3208" s="2" t="s">
        <v>10412</v>
      </c>
      <c r="AU3208" s="2"/>
      <c r="AV3208" s="2"/>
      <c r="AW3208" s="2"/>
      <c r="AX3208" s="2"/>
      <c r="AY3208" s="2">
        <v>41</v>
      </c>
      <c r="AZ3208" s="2" t="s">
        <v>82</v>
      </c>
      <c r="BA3208" s="2">
        <v>41</v>
      </c>
      <c r="BB3208" s="2" t="s">
        <v>82</v>
      </c>
      <c r="BC3208" s="2">
        <v>41</v>
      </c>
      <c r="BD3208" s="2" t="s">
        <v>82</v>
      </c>
      <c r="BE3208" s="2">
        <v>42</v>
      </c>
      <c r="BF3208" s="2" t="s">
        <v>182</v>
      </c>
      <c r="BG3208" s="2" t="s">
        <v>1128</v>
      </c>
      <c r="BH3208" s="4">
        <v>0.82986111111111116</v>
      </c>
      <c r="BI3208" s="2"/>
      <c r="BJ3208" s="2">
        <v>13</v>
      </c>
      <c r="BK3208" s="2" t="s">
        <v>91</v>
      </c>
      <c r="BL3208" s="2" t="s">
        <v>6582</v>
      </c>
      <c r="BM3208" s="2">
        <v>241</v>
      </c>
      <c r="BN3208" s="2" t="s">
        <v>82</v>
      </c>
      <c r="BO3208" s="2"/>
      <c r="BP3208" s="2">
        <v>13</v>
      </c>
      <c r="BQ3208" s="2" t="s">
        <v>91</v>
      </c>
      <c r="BR3208" s="2" t="s">
        <v>4725</v>
      </c>
      <c r="BS3208" s="3">
        <v>40394</v>
      </c>
      <c r="BT3208" s="4">
        <v>0.85001157407407402</v>
      </c>
    </row>
    <row r="3209" spans="1:72" x14ac:dyDescent="0.25">
      <c r="A3209" s="2">
        <v>4731</v>
      </c>
      <c r="B3209" s="2">
        <v>2010</v>
      </c>
      <c r="C3209" s="2" t="s">
        <v>121</v>
      </c>
      <c r="D3209" s="2" t="s">
        <v>122</v>
      </c>
      <c r="E3209" s="2"/>
      <c r="F3209" s="2">
        <v>1</v>
      </c>
      <c r="G3209" s="2" t="s">
        <v>82</v>
      </c>
      <c r="H3209" s="2">
        <v>1</v>
      </c>
      <c r="I3209" s="2" t="s">
        <v>82</v>
      </c>
      <c r="J3209" s="2">
        <v>1</v>
      </c>
      <c r="K3209" s="2" t="s">
        <v>107</v>
      </c>
      <c r="L3209" s="2" t="s">
        <v>107</v>
      </c>
      <c r="M3209" s="3">
        <v>40394</v>
      </c>
      <c r="N3209" s="2"/>
      <c r="O3209" s="2"/>
      <c r="P3209" s="2"/>
      <c r="Q3209" s="2" t="str">
        <f>""</f>
        <v/>
      </c>
      <c r="R3209" s="2"/>
      <c r="S3209" s="2"/>
      <c r="T3209" s="2">
        <v>2</v>
      </c>
      <c r="U3209" s="2" t="s">
        <v>123</v>
      </c>
      <c r="V3209" s="2">
        <v>1</v>
      </c>
      <c r="W3209" s="2" t="s">
        <v>80</v>
      </c>
      <c r="X3209" s="2">
        <v>11</v>
      </c>
      <c r="Y3209" s="2" t="s">
        <v>1920</v>
      </c>
      <c r="Z3209" s="2">
        <v>10</v>
      </c>
      <c r="AA3209" s="2" t="s">
        <v>236</v>
      </c>
      <c r="AB3209" s="2">
        <v>9</v>
      </c>
      <c r="AC3209" s="2" t="s">
        <v>124</v>
      </c>
      <c r="AD3209" s="3">
        <v>40394</v>
      </c>
      <c r="AE3209" s="4">
        <v>0.83680555555555547</v>
      </c>
      <c r="AF3209" s="2"/>
      <c r="AG3209" s="2"/>
      <c r="AH3209" s="2">
        <v>2</v>
      </c>
      <c r="AI3209" s="2" t="s">
        <v>84</v>
      </c>
      <c r="AJ3209" s="2">
        <v>12</v>
      </c>
      <c r="AK3209" s="2" t="s">
        <v>85</v>
      </c>
      <c r="AL3209" s="2">
        <v>10</v>
      </c>
      <c r="AM3209" s="2" t="s">
        <v>200</v>
      </c>
      <c r="AN3209" s="2" t="s">
        <v>10413</v>
      </c>
      <c r="AO3209" s="2"/>
      <c r="AP3209" s="2">
        <v>11</v>
      </c>
      <c r="AQ3209" s="2" t="s">
        <v>82</v>
      </c>
      <c r="AR3209" s="2"/>
      <c r="AS3209" s="2"/>
      <c r="AT3209" s="2" t="s">
        <v>10414</v>
      </c>
      <c r="AU3209" s="2"/>
      <c r="AV3209" s="2"/>
      <c r="AW3209" s="2"/>
      <c r="AX3209" s="2"/>
      <c r="AY3209" s="2">
        <v>41</v>
      </c>
      <c r="AZ3209" s="2" t="s">
        <v>82</v>
      </c>
      <c r="BA3209" s="2">
        <v>41</v>
      </c>
      <c r="BB3209" s="2" t="s">
        <v>82</v>
      </c>
      <c r="BC3209" s="2">
        <v>41</v>
      </c>
      <c r="BD3209" s="2" t="s">
        <v>82</v>
      </c>
      <c r="BE3209" s="2">
        <v>10</v>
      </c>
      <c r="BF3209" s="2" t="s">
        <v>901</v>
      </c>
      <c r="BG3209" s="2" t="s">
        <v>10415</v>
      </c>
      <c r="BH3209" s="4">
        <v>0.95833333333333337</v>
      </c>
      <c r="BI3209" s="4">
        <v>0.83680555555555547</v>
      </c>
      <c r="BJ3209" s="2">
        <v>13</v>
      </c>
      <c r="BK3209" s="2" t="s">
        <v>91</v>
      </c>
      <c r="BL3209" s="2" t="s">
        <v>185</v>
      </c>
      <c r="BM3209" s="2">
        <v>241</v>
      </c>
      <c r="BN3209" s="2" t="s">
        <v>82</v>
      </c>
      <c r="BO3209" s="2"/>
      <c r="BP3209" s="2">
        <v>229</v>
      </c>
      <c r="BQ3209" s="2" t="s">
        <v>300</v>
      </c>
      <c r="BR3209" s="2" t="s">
        <v>573</v>
      </c>
      <c r="BS3209" s="3">
        <v>40394</v>
      </c>
      <c r="BT3209" s="4">
        <v>0.8547569444444445</v>
      </c>
    </row>
    <row r="3210" spans="1:72" x14ac:dyDescent="0.25">
      <c r="A3210" s="2">
        <v>4732</v>
      </c>
      <c r="B3210" s="2">
        <v>2010</v>
      </c>
      <c r="C3210" s="2" t="s">
        <v>128</v>
      </c>
      <c r="D3210" s="2" t="s">
        <v>122</v>
      </c>
      <c r="E3210" s="2" t="s">
        <v>10416</v>
      </c>
      <c r="F3210" s="2">
        <v>400</v>
      </c>
      <c r="G3210" s="2" t="s">
        <v>3601</v>
      </c>
      <c r="H3210" s="2">
        <v>17</v>
      </c>
      <c r="I3210" s="2" t="s">
        <v>3602</v>
      </c>
      <c r="J3210" s="2">
        <v>316</v>
      </c>
      <c r="K3210" s="2" t="s">
        <v>574</v>
      </c>
      <c r="L3210" s="2" t="s">
        <v>575</v>
      </c>
      <c r="M3210" s="3">
        <v>40394</v>
      </c>
      <c r="N3210" s="2" t="s">
        <v>3826</v>
      </c>
      <c r="O3210" s="2"/>
      <c r="P3210" s="2"/>
      <c r="Q3210" s="2" t="str">
        <f>"397-E/10"</f>
        <v>397-E/10</v>
      </c>
      <c r="R3210" s="2" t="s">
        <v>10407</v>
      </c>
      <c r="S3210" s="2" t="s">
        <v>10407</v>
      </c>
      <c r="T3210" s="2">
        <v>1</v>
      </c>
      <c r="U3210" s="2" t="s">
        <v>79</v>
      </c>
      <c r="V3210" s="2">
        <v>1</v>
      </c>
      <c r="W3210" s="2" t="s">
        <v>80</v>
      </c>
      <c r="X3210" s="2">
        <v>5</v>
      </c>
      <c r="Y3210" s="2" t="s">
        <v>82</v>
      </c>
      <c r="Z3210" s="2">
        <v>1</v>
      </c>
      <c r="AA3210" s="2" t="s">
        <v>82</v>
      </c>
      <c r="AB3210" s="2">
        <v>9</v>
      </c>
      <c r="AC3210" s="2" t="s">
        <v>124</v>
      </c>
      <c r="AD3210" s="2"/>
      <c r="AE3210" s="2"/>
      <c r="AF3210" s="3">
        <v>40394</v>
      </c>
      <c r="AG3210" s="4">
        <v>0.5</v>
      </c>
      <c r="AH3210" s="2">
        <v>2</v>
      </c>
      <c r="AI3210" s="2" t="s">
        <v>84</v>
      </c>
      <c r="AJ3210" s="2">
        <v>9</v>
      </c>
      <c r="AK3210" s="2" t="s">
        <v>103</v>
      </c>
      <c r="AL3210" s="2">
        <v>11</v>
      </c>
      <c r="AM3210" s="2" t="s">
        <v>137</v>
      </c>
      <c r="AN3210" s="2"/>
      <c r="AO3210" s="2" t="s">
        <v>590</v>
      </c>
      <c r="AP3210" s="2">
        <v>11</v>
      </c>
      <c r="AQ3210" s="2" t="s">
        <v>82</v>
      </c>
      <c r="AR3210" s="2"/>
      <c r="AS3210" s="2"/>
      <c r="AT3210" s="2" t="s">
        <v>10417</v>
      </c>
      <c r="AU3210" s="2"/>
      <c r="AV3210" s="2"/>
      <c r="AW3210" s="2"/>
      <c r="AX3210" s="2"/>
      <c r="AY3210" s="2">
        <v>1</v>
      </c>
      <c r="AZ3210" s="2" t="s">
        <v>107</v>
      </c>
      <c r="BA3210" s="2">
        <v>1</v>
      </c>
      <c r="BB3210" s="2" t="s">
        <v>107</v>
      </c>
      <c r="BC3210" s="2">
        <v>1</v>
      </c>
      <c r="BD3210" s="2" t="s">
        <v>107</v>
      </c>
      <c r="BE3210" s="2">
        <v>1</v>
      </c>
      <c r="BF3210" s="2" t="s">
        <v>107</v>
      </c>
      <c r="BG3210" s="2"/>
      <c r="BH3210" s="2"/>
      <c r="BI3210" s="2"/>
      <c r="BJ3210" s="2">
        <v>13</v>
      </c>
      <c r="BK3210" s="2" t="s">
        <v>91</v>
      </c>
      <c r="BL3210" s="2" t="s">
        <v>185</v>
      </c>
      <c r="BM3210" s="2">
        <v>242</v>
      </c>
      <c r="BN3210" s="2" t="s">
        <v>107</v>
      </c>
      <c r="BO3210" s="2"/>
      <c r="BP3210" s="2">
        <v>112</v>
      </c>
      <c r="BQ3210" s="2" t="s">
        <v>110</v>
      </c>
      <c r="BR3210" s="2" t="s">
        <v>111</v>
      </c>
      <c r="BS3210" s="3">
        <v>40394</v>
      </c>
      <c r="BT3210" s="4">
        <v>0.96508101851851846</v>
      </c>
    </row>
    <row r="3211" spans="1:72" x14ac:dyDescent="0.25">
      <c r="A3211" s="2">
        <v>4733</v>
      </c>
      <c r="B3211" s="2">
        <v>2010</v>
      </c>
      <c r="C3211" s="2" t="s">
        <v>4543</v>
      </c>
      <c r="D3211" s="2" t="s">
        <v>122</v>
      </c>
      <c r="E3211" s="2"/>
      <c r="F3211" s="2">
        <v>1</v>
      </c>
      <c r="G3211" s="2" t="s">
        <v>82</v>
      </c>
      <c r="H3211" s="2">
        <v>1</v>
      </c>
      <c r="I3211" s="2" t="s">
        <v>82</v>
      </c>
      <c r="J3211" s="2">
        <v>1</v>
      </c>
      <c r="K3211" s="2" t="s">
        <v>107</v>
      </c>
      <c r="L3211" s="2" t="s">
        <v>107</v>
      </c>
      <c r="M3211" s="3">
        <v>40395</v>
      </c>
      <c r="N3211" s="2"/>
      <c r="O3211" s="2"/>
      <c r="P3211" s="2"/>
      <c r="Q3211" s="2" t="str">
        <f>""</f>
        <v/>
      </c>
      <c r="R3211" s="2"/>
      <c r="S3211" s="2"/>
      <c r="T3211" s="2">
        <v>2</v>
      </c>
      <c r="U3211" s="2" t="s">
        <v>123</v>
      </c>
      <c r="V3211" s="2">
        <v>1</v>
      </c>
      <c r="W3211" s="2" t="s">
        <v>80</v>
      </c>
      <c r="X3211" s="2">
        <v>11</v>
      </c>
      <c r="Y3211" s="2" t="s">
        <v>1920</v>
      </c>
      <c r="Z3211" s="2">
        <v>1</v>
      </c>
      <c r="AA3211" s="2" t="s">
        <v>82</v>
      </c>
      <c r="AB3211" s="2">
        <v>9</v>
      </c>
      <c r="AC3211" s="2" t="s">
        <v>124</v>
      </c>
      <c r="AD3211" s="3">
        <v>40395</v>
      </c>
      <c r="AE3211" s="4">
        <v>0.125</v>
      </c>
      <c r="AF3211" s="2"/>
      <c r="AG3211" s="2"/>
      <c r="AH3211" s="2">
        <v>6</v>
      </c>
      <c r="AI3211" s="2" t="s">
        <v>197</v>
      </c>
      <c r="AJ3211" s="2">
        <v>54</v>
      </c>
      <c r="AK3211" s="2" t="s">
        <v>348</v>
      </c>
      <c r="AL3211" s="2">
        <v>19</v>
      </c>
      <c r="AM3211" s="2" t="s">
        <v>107</v>
      </c>
      <c r="AN3211" s="2" t="s">
        <v>595</v>
      </c>
      <c r="AO3211" s="2" t="s">
        <v>200</v>
      </c>
      <c r="AP3211" s="2">
        <v>14</v>
      </c>
      <c r="AQ3211" s="2" t="s">
        <v>3301</v>
      </c>
      <c r="AR3211" s="2" t="s">
        <v>596</v>
      </c>
      <c r="AS3211" s="2" t="s">
        <v>596</v>
      </c>
      <c r="AT3211" s="2" t="s">
        <v>10418</v>
      </c>
      <c r="AU3211" s="2"/>
      <c r="AV3211" s="2"/>
      <c r="AW3211" s="2"/>
      <c r="AX3211" s="2"/>
      <c r="AY3211" s="2">
        <v>1</v>
      </c>
      <c r="AZ3211" s="2" t="s">
        <v>107</v>
      </c>
      <c r="BA3211" s="2">
        <v>1</v>
      </c>
      <c r="BB3211" s="2" t="s">
        <v>107</v>
      </c>
      <c r="BC3211" s="2">
        <v>1</v>
      </c>
      <c r="BD3211" s="2" t="s">
        <v>107</v>
      </c>
      <c r="BE3211" s="2">
        <v>4</v>
      </c>
      <c r="BF3211" s="2" t="s">
        <v>90</v>
      </c>
      <c r="BG3211" s="2" t="s">
        <v>598</v>
      </c>
      <c r="BH3211" s="4">
        <v>6.25E-2</v>
      </c>
      <c r="BI3211" s="4">
        <v>0.125</v>
      </c>
      <c r="BJ3211" s="2">
        <v>13</v>
      </c>
      <c r="BK3211" s="2" t="s">
        <v>91</v>
      </c>
      <c r="BL3211" s="2" t="s">
        <v>10419</v>
      </c>
      <c r="BM3211" s="2">
        <v>242</v>
      </c>
      <c r="BN3211" s="2" t="s">
        <v>107</v>
      </c>
      <c r="BO3211" s="2" t="s">
        <v>107</v>
      </c>
      <c r="BP3211" s="2">
        <v>13</v>
      </c>
      <c r="BQ3211" s="2" t="s">
        <v>91</v>
      </c>
      <c r="BR3211" s="2" t="s">
        <v>905</v>
      </c>
      <c r="BS3211" s="3">
        <v>40395</v>
      </c>
      <c r="BT3211" s="4">
        <v>0.34128472222222223</v>
      </c>
    </row>
    <row r="3212" spans="1:72" x14ac:dyDescent="0.25">
      <c r="A3212" s="2">
        <v>4734</v>
      </c>
      <c r="B3212" s="2">
        <v>2010</v>
      </c>
      <c r="C3212" s="2" t="s">
        <v>4543</v>
      </c>
      <c r="D3212" s="2" t="s">
        <v>122</v>
      </c>
      <c r="E3212" s="2"/>
      <c r="F3212" s="2">
        <v>1</v>
      </c>
      <c r="G3212" s="2" t="s">
        <v>82</v>
      </c>
      <c r="H3212" s="2">
        <v>1</v>
      </c>
      <c r="I3212" s="2" t="s">
        <v>82</v>
      </c>
      <c r="J3212" s="2">
        <v>1</v>
      </c>
      <c r="K3212" s="2" t="s">
        <v>107</v>
      </c>
      <c r="L3212" s="2" t="s">
        <v>107</v>
      </c>
      <c r="M3212" s="3">
        <v>40395</v>
      </c>
      <c r="N3212" s="2"/>
      <c r="O3212" s="2"/>
      <c r="P3212" s="2"/>
      <c r="Q3212" s="2" t="str">
        <f>""</f>
        <v/>
      </c>
      <c r="R3212" s="2"/>
      <c r="S3212" s="2"/>
      <c r="T3212" s="2">
        <v>2</v>
      </c>
      <c r="U3212" s="2" t="s">
        <v>123</v>
      </c>
      <c r="V3212" s="2">
        <v>1</v>
      </c>
      <c r="W3212" s="2" t="s">
        <v>80</v>
      </c>
      <c r="X3212" s="2">
        <v>11</v>
      </c>
      <c r="Y3212" s="2" t="s">
        <v>1920</v>
      </c>
      <c r="Z3212" s="2">
        <v>1</v>
      </c>
      <c r="AA3212" s="2" t="s">
        <v>82</v>
      </c>
      <c r="AB3212" s="2">
        <v>9</v>
      </c>
      <c r="AC3212" s="2" t="s">
        <v>124</v>
      </c>
      <c r="AD3212" s="3">
        <v>40395</v>
      </c>
      <c r="AE3212" s="4">
        <v>0.25694444444444448</v>
      </c>
      <c r="AF3212" s="2"/>
      <c r="AG3212" s="2"/>
      <c r="AH3212" s="2">
        <v>6</v>
      </c>
      <c r="AI3212" s="2" t="s">
        <v>197</v>
      </c>
      <c r="AJ3212" s="2">
        <v>54</v>
      </c>
      <c r="AK3212" s="2" t="s">
        <v>348</v>
      </c>
      <c r="AL3212" s="2">
        <v>18</v>
      </c>
      <c r="AM3212" s="2" t="s">
        <v>82</v>
      </c>
      <c r="AN3212" s="2" t="s">
        <v>595</v>
      </c>
      <c r="AO3212" s="2" t="s">
        <v>200</v>
      </c>
      <c r="AP3212" s="2">
        <v>12</v>
      </c>
      <c r="AQ3212" s="2" t="s">
        <v>322</v>
      </c>
      <c r="AR3212" s="2" t="s">
        <v>596</v>
      </c>
      <c r="AS3212" s="2" t="s">
        <v>596</v>
      </c>
      <c r="AT3212" s="2" t="s">
        <v>10420</v>
      </c>
      <c r="AU3212" s="2"/>
      <c r="AV3212" s="2"/>
      <c r="AW3212" s="2"/>
      <c r="AX3212" s="2"/>
      <c r="AY3212" s="2">
        <v>1</v>
      </c>
      <c r="AZ3212" s="2" t="s">
        <v>107</v>
      </c>
      <c r="BA3212" s="2">
        <v>1</v>
      </c>
      <c r="BB3212" s="2" t="s">
        <v>107</v>
      </c>
      <c r="BC3212" s="2">
        <v>1</v>
      </c>
      <c r="BD3212" s="2" t="s">
        <v>107</v>
      </c>
      <c r="BE3212" s="2">
        <v>47</v>
      </c>
      <c r="BF3212" s="2" t="s">
        <v>167</v>
      </c>
      <c r="BG3212" s="2" t="s">
        <v>1165</v>
      </c>
      <c r="BH3212" s="4">
        <v>0.96527777777777779</v>
      </c>
      <c r="BI3212" s="4">
        <v>0.25694444444444448</v>
      </c>
      <c r="BJ3212" s="2">
        <v>13</v>
      </c>
      <c r="BK3212" s="2" t="s">
        <v>91</v>
      </c>
      <c r="BL3212" s="2" t="s">
        <v>7629</v>
      </c>
      <c r="BM3212" s="2">
        <v>242</v>
      </c>
      <c r="BN3212" s="2" t="s">
        <v>107</v>
      </c>
      <c r="BO3212" s="2" t="s">
        <v>107</v>
      </c>
      <c r="BP3212" s="2">
        <v>13</v>
      </c>
      <c r="BQ3212" s="2" t="s">
        <v>91</v>
      </c>
      <c r="BR3212" s="2" t="s">
        <v>905</v>
      </c>
      <c r="BS3212" s="3">
        <v>40395</v>
      </c>
      <c r="BT3212" s="4">
        <v>0.35173611111111108</v>
      </c>
    </row>
    <row r="3213" spans="1:72" x14ac:dyDescent="0.25">
      <c r="A3213" s="2">
        <v>4735</v>
      </c>
      <c r="B3213" s="2">
        <v>2010</v>
      </c>
      <c r="C3213" s="2" t="s">
        <v>764</v>
      </c>
      <c r="D3213" s="2" t="s">
        <v>73</v>
      </c>
      <c r="E3213" s="2"/>
      <c r="F3213" s="2">
        <v>389</v>
      </c>
      <c r="G3213" s="2" t="s">
        <v>1819</v>
      </c>
      <c r="H3213" s="2">
        <v>3</v>
      </c>
      <c r="I3213" s="2" t="s">
        <v>315</v>
      </c>
      <c r="J3213" s="2">
        <v>399</v>
      </c>
      <c r="K3213" s="2" t="s">
        <v>1820</v>
      </c>
      <c r="L3213" s="2" t="s">
        <v>1821</v>
      </c>
      <c r="M3213" s="3">
        <v>40395</v>
      </c>
      <c r="N3213" s="2" t="s">
        <v>2401</v>
      </c>
      <c r="O3213" s="2"/>
      <c r="P3213" s="2"/>
      <c r="Q3213" s="2" t="str">
        <f>"398-E/10"</f>
        <v>398-E/10</v>
      </c>
      <c r="R3213" s="2" t="s">
        <v>480</v>
      </c>
      <c r="S3213" s="2"/>
      <c r="T3213" s="2">
        <v>1</v>
      </c>
      <c r="U3213" s="2" t="s">
        <v>79</v>
      </c>
      <c r="V3213" s="2">
        <v>1</v>
      </c>
      <c r="W3213" s="2" t="s">
        <v>80</v>
      </c>
      <c r="X3213" s="2">
        <v>12</v>
      </c>
      <c r="Y3213" s="2" t="s">
        <v>148</v>
      </c>
      <c r="Z3213" s="2">
        <v>1</v>
      </c>
      <c r="AA3213" s="2" t="s">
        <v>82</v>
      </c>
      <c r="AB3213" s="2">
        <v>9</v>
      </c>
      <c r="AC3213" s="2" t="s">
        <v>124</v>
      </c>
      <c r="AD3213" s="3">
        <v>40394</v>
      </c>
      <c r="AE3213" s="2"/>
      <c r="AF3213" s="3">
        <v>40395</v>
      </c>
      <c r="AG3213" s="4">
        <v>0.29166666666666669</v>
      </c>
      <c r="AH3213" s="2">
        <v>2</v>
      </c>
      <c r="AI3213" s="2" t="s">
        <v>84</v>
      </c>
      <c r="AJ3213" s="2">
        <v>9</v>
      </c>
      <c r="AK3213" s="2" t="s">
        <v>103</v>
      </c>
      <c r="AL3213" s="2">
        <v>2</v>
      </c>
      <c r="AM3213" s="2" t="s">
        <v>163</v>
      </c>
      <c r="AN3213" s="2"/>
      <c r="AO3213" s="2" t="s">
        <v>10421</v>
      </c>
      <c r="AP3213" s="2">
        <v>11</v>
      </c>
      <c r="AQ3213" s="2" t="s">
        <v>82</v>
      </c>
      <c r="AR3213" s="2"/>
      <c r="AS3213" s="2"/>
      <c r="AT3213" s="2" t="s">
        <v>10422</v>
      </c>
      <c r="AU3213" s="2">
        <v>1</v>
      </c>
      <c r="AV3213" s="2"/>
      <c r="AW3213" s="2"/>
      <c r="AX3213" s="2"/>
      <c r="AY3213" s="2">
        <v>41</v>
      </c>
      <c r="AZ3213" s="2" t="s">
        <v>82</v>
      </c>
      <c r="BA3213" s="2">
        <v>41</v>
      </c>
      <c r="BB3213" s="2" t="s">
        <v>82</v>
      </c>
      <c r="BC3213" s="2">
        <v>41</v>
      </c>
      <c r="BD3213" s="2" t="s">
        <v>82</v>
      </c>
      <c r="BE3213" s="2">
        <v>13</v>
      </c>
      <c r="BF3213" s="2" t="s">
        <v>108</v>
      </c>
      <c r="BG3213" s="2" t="s">
        <v>605</v>
      </c>
      <c r="BH3213" s="4">
        <v>0.20833333333333334</v>
      </c>
      <c r="BI3213" s="2"/>
      <c r="BJ3213" s="2">
        <v>73</v>
      </c>
      <c r="BK3213" s="2" t="s">
        <v>186</v>
      </c>
      <c r="BL3213" s="2" t="s">
        <v>187</v>
      </c>
      <c r="BM3213" s="2">
        <v>241</v>
      </c>
      <c r="BN3213" s="2" t="s">
        <v>82</v>
      </c>
      <c r="BO3213" s="2"/>
      <c r="BP3213" s="2">
        <v>13</v>
      </c>
      <c r="BQ3213" s="2" t="s">
        <v>91</v>
      </c>
      <c r="BR3213" s="2" t="s">
        <v>360</v>
      </c>
      <c r="BS3213" s="3">
        <v>40395</v>
      </c>
      <c r="BT3213" s="4">
        <v>0.40378472222222223</v>
      </c>
    </row>
    <row r="3214" spans="1:72" x14ac:dyDescent="0.25">
      <c r="A3214" s="2">
        <v>4737</v>
      </c>
      <c r="B3214" s="2">
        <v>2010</v>
      </c>
      <c r="C3214" s="2" t="s">
        <v>72</v>
      </c>
      <c r="D3214" s="2" t="s">
        <v>73</v>
      </c>
      <c r="E3214" s="2"/>
      <c r="F3214" s="2">
        <v>664</v>
      </c>
      <c r="G3214" s="2" t="s">
        <v>10256</v>
      </c>
      <c r="H3214" s="2">
        <v>22</v>
      </c>
      <c r="I3214" s="2" t="s">
        <v>75</v>
      </c>
      <c r="J3214" s="2">
        <v>634</v>
      </c>
      <c r="K3214" s="2" t="s">
        <v>10257</v>
      </c>
      <c r="L3214" s="2" t="s">
        <v>5984</v>
      </c>
      <c r="M3214" s="3">
        <v>40395</v>
      </c>
      <c r="N3214" s="2" t="s">
        <v>10423</v>
      </c>
      <c r="O3214" s="2"/>
      <c r="P3214" s="2"/>
      <c r="Q3214" s="2" t="str">
        <f>"303-A/10"</f>
        <v>303-A/10</v>
      </c>
      <c r="R3214" s="2" t="s">
        <v>601</v>
      </c>
      <c r="S3214" s="2" t="s">
        <v>601</v>
      </c>
      <c r="T3214" s="2">
        <v>1</v>
      </c>
      <c r="U3214" s="2" t="s">
        <v>79</v>
      </c>
      <c r="V3214" s="2">
        <v>1</v>
      </c>
      <c r="W3214" s="2" t="s">
        <v>80</v>
      </c>
      <c r="X3214" s="2">
        <v>12</v>
      </c>
      <c r="Y3214" s="2" t="s">
        <v>148</v>
      </c>
      <c r="Z3214" s="2">
        <v>1</v>
      </c>
      <c r="AA3214" s="2" t="s">
        <v>82</v>
      </c>
      <c r="AB3214" s="2">
        <v>6</v>
      </c>
      <c r="AC3214" s="2" t="s">
        <v>83</v>
      </c>
      <c r="AD3214" s="3">
        <v>40395</v>
      </c>
      <c r="AE3214" s="2"/>
      <c r="AF3214" s="3">
        <v>40395</v>
      </c>
      <c r="AG3214" s="4">
        <v>0.38541666666666669</v>
      </c>
      <c r="AH3214" s="2">
        <v>2</v>
      </c>
      <c r="AI3214" s="2" t="s">
        <v>84</v>
      </c>
      <c r="AJ3214" s="2">
        <v>12</v>
      </c>
      <c r="AK3214" s="2" t="s">
        <v>85</v>
      </c>
      <c r="AL3214" s="2">
        <v>17</v>
      </c>
      <c r="AM3214" s="2" t="s">
        <v>232</v>
      </c>
      <c r="AN3214" s="2" t="s">
        <v>10424</v>
      </c>
      <c r="AO3214" s="2" t="s">
        <v>10425</v>
      </c>
      <c r="AP3214" s="2">
        <v>11</v>
      </c>
      <c r="AQ3214" s="2" t="s">
        <v>82</v>
      </c>
      <c r="AR3214" s="2"/>
      <c r="AS3214" s="2"/>
      <c r="AT3214" s="2" t="s">
        <v>10426</v>
      </c>
      <c r="AU3214" s="2"/>
      <c r="AV3214" s="2"/>
      <c r="AW3214" s="2"/>
      <c r="AX3214" s="2"/>
      <c r="AY3214" s="2">
        <v>41</v>
      </c>
      <c r="AZ3214" s="2" t="s">
        <v>82</v>
      </c>
      <c r="BA3214" s="2">
        <v>41</v>
      </c>
      <c r="BB3214" s="2" t="s">
        <v>82</v>
      </c>
      <c r="BC3214" s="2">
        <v>41</v>
      </c>
      <c r="BD3214" s="2" t="s">
        <v>82</v>
      </c>
      <c r="BE3214" s="2">
        <v>41</v>
      </c>
      <c r="BF3214" s="2" t="s">
        <v>82</v>
      </c>
      <c r="BG3214" s="2"/>
      <c r="BH3214" s="2"/>
      <c r="BI3214" s="2"/>
      <c r="BJ3214" s="2">
        <v>241</v>
      </c>
      <c r="BK3214" s="2" t="s">
        <v>82</v>
      </c>
      <c r="BL3214" s="2"/>
      <c r="BM3214" s="2">
        <v>241</v>
      </c>
      <c r="BN3214" s="2" t="s">
        <v>82</v>
      </c>
      <c r="BO3214" s="2"/>
      <c r="BP3214" s="2">
        <v>241</v>
      </c>
      <c r="BQ3214" s="2" t="s">
        <v>82</v>
      </c>
      <c r="BR3214" s="2"/>
      <c r="BS3214" s="3">
        <v>40395</v>
      </c>
      <c r="BT3214" s="4">
        <v>0.42689814814814814</v>
      </c>
    </row>
    <row r="3215" spans="1:72" x14ac:dyDescent="0.25">
      <c r="A3215" s="2">
        <v>4741</v>
      </c>
      <c r="B3215" s="2">
        <v>2010</v>
      </c>
      <c r="C3215" s="2" t="s">
        <v>128</v>
      </c>
      <c r="D3215" s="2" t="s">
        <v>122</v>
      </c>
      <c r="E3215" s="2" t="s">
        <v>10416</v>
      </c>
      <c r="F3215" s="2">
        <v>400</v>
      </c>
      <c r="G3215" s="2" t="s">
        <v>3601</v>
      </c>
      <c r="H3215" s="2">
        <v>17</v>
      </c>
      <c r="I3215" s="2" t="s">
        <v>3602</v>
      </c>
      <c r="J3215" s="2">
        <v>316</v>
      </c>
      <c r="K3215" s="2" t="s">
        <v>574</v>
      </c>
      <c r="L3215" s="2" t="s">
        <v>575</v>
      </c>
      <c r="M3215" s="3">
        <v>40395</v>
      </c>
      <c r="N3215" s="2" t="s">
        <v>3826</v>
      </c>
      <c r="O3215" s="2"/>
      <c r="P3215" s="2"/>
      <c r="Q3215" s="2" t="str">
        <f>"397-E/10"</f>
        <v>397-E/10</v>
      </c>
      <c r="R3215" s="2" t="s">
        <v>10407</v>
      </c>
      <c r="S3215" s="2" t="s">
        <v>10407</v>
      </c>
      <c r="T3215" s="2">
        <v>1</v>
      </c>
      <c r="U3215" s="2" t="s">
        <v>79</v>
      </c>
      <c r="V3215" s="2">
        <v>1</v>
      </c>
      <c r="W3215" s="2" t="s">
        <v>80</v>
      </c>
      <c r="X3215" s="2">
        <v>5</v>
      </c>
      <c r="Y3215" s="2" t="s">
        <v>82</v>
      </c>
      <c r="Z3215" s="2">
        <v>1</v>
      </c>
      <c r="AA3215" s="2" t="s">
        <v>82</v>
      </c>
      <c r="AB3215" s="2">
        <v>9</v>
      </c>
      <c r="AC3215" s="2" t="s">
        <v>124</v>
      </c>
      <c r="AD3215" s="2"/>
      <c r="AE3215" s="2"/>
      <c r="AF3215" s="3">
        <v>40394</v>
      </c>
      <c r="AG3215" s="4">
        <v>0.5</v>
      </c>
      <c r="AH3215" s="2">
        <v>2</v>
      </c>
      <c r="AI3215" s="2" t="s">
        <v>84</v>
      </c>
      <c r="AJ3215" s="2">
        <v>9</v>
      </c>
      <c r="AK3215" s="2" t="s">
        <v>103</v>
      </c>
      <c r="AL3215" s="2">
        <v>19</v>
      </c>
      <c r="AM3215" s="2" t="s">
        <v>107</v>
      </c>
      <c r="AN3215" s="2"/>
      <c r="AO3215" s="2"/>
      <c r="AP3215" s="2">
        <v>11</v>
      </c>
      <c r="AQ3215" s="2" t="s">
        <v>82</v>
      </c>
      <c r="AR3215" s="2"/>
      <c r="AS3215" s="2"/>
      <c r="AT3215" s="2" t="s">
        <v>10427</v>
      </c>
      <c r="AU3215" s="2"/>
      <c r="AV3215" s="2"/>
      <c r="AW3215" s="2"/>
      <c r="AX3215" s="2"/>
      <c r="AY3215" s="2">
        <v>1</v>
      </c>
      <c r="AZ3215" s="2" t="s">
        <v>107</v>
      </c>
      <c r="BA3215" s="2">
        <v>1</v>
      </c>
      <c r="BB3215" s="2" t="s">
        <v>107</v>
      </c>
      <c r="BC3215" s="2">
        <v>1</v>
      </c>
      <c r="BD3215" s="2" t="s">
        <v>107</v>
      </c>
      <c r="BE3215" s="2">
        <v>1</v>
      </c>
      <c r="BF3215" s="2" t="s">
        <v>107</v>
      </c>
      <c r="BG3215" s="2"/>
      <c r="BH3215" s="2"/>
      <c r="BI3215" s="2"/>
      <c r="BJ3215" s="2">
        <v>13</v>
      </c>
      <c r="BK3215" s="2" t="s">
        <v>91</v>
      </c>
      <c r="BL3215" s="2" t="s">
        <v>185</v>
      </c>
      <c r="BM3215" s="2">
        <v>242</v>
      </c>
      <c r="BN3215" s="2" t="s">
        <v>107</v>
      </c>
      <c r="BO3215" s="2"/>
      <c r="BP3215" s="2">
        <v>112</v>
      </c>
      <c r="BQ3215" s="2" t="s">
        <v>110</v>
      </c>
      <c r="BR3215" s="2" t="s">
        <v>111</v>
      </c>
      <c r="BS3215" s="3">
        <v>40395</v>
      </c>
      <c r="BT3215" s="4">
        <v>0.48840277777777774</v>
      </c>
    </row>
    <row r="3216" spans="1:72" x14ac:dyDescent="0.25">
      <c r="A3216" s="2">
        <v>4743</v>
      </c>
      <c r="B3216" s="2">
        <v>2010</v>
      </c>
      <c r="C3216" s="2" t="s">
        <v>147</v>
      </c>
      <c r="D3216" s="2" t="s">
        <v>73</v>
      </c>
      <c r="E3216" s="2"/>
      <c r="F3216" s="2">
        <v>1</v>
      </c>
      <c r="G3216" s="2" t="s">
        <v>82</v>
      </c>
      <c r="H3216" s="2">
        <v>1</v>
      </c>
      <c r="I3216" s="2" t="s">
        <v>82</v>
      </c>
      <c r="J3216" s="2">
        <v>1</v>
      </c>
      <c r="K3216" s="2" t="s">
        <v>107</v>
      </c>
      <c r="L3216" s="2" t="s">
        <v>107</v>
      </c>
      <c r="M3216" s="3">
        <v>40395</v>
      </c>
      <c r="N3216" s="2"/>
      <c r="O3216" s="2"/>
      <c r="P3216" s="2"/>
      <c r="Q3216" s="2" t="str">
        <f>""</f>
        <v/>
      </c>
      <c r="R3216" s="2"/>
      <c r="S3216" s="2"/>
      <c r="T3216" s="2">
        <v>2</v>
      </c>
      <c r="U3216" s="2" t="s">
        <v>123</v>
      </c>
      <c r="V3216" s="2">
        <v>1</v>
      </c>
      <c r="W3216" s="2" t="s">
        <v>80</v>
      </c>
      <c r="X3216" s="2">
        <v>12</v>
      </c>
      <c r="Y3216" s="2" t="s">
        <v>148</v>
      </c>
      <c r="Z3216" s="2">
        <v>1</v>
      </c>
      <c r="AA3216" s="2" t="s">
        <v>82</v>
      </c>
      <c r="AB3216" s="2">
        <v>9</v>
      </c>
      <c r="AC3216" s="2" t="s">
        <v>124</v>
      </c>
      <c r="AD3216" s="3">
        <v>40394</v>
      </c>
      <c r="AE3216" s="2"/>
      <c r="AF3216" s="3">
        <v>40395</v>
      </c>
      <c r="AG3216" s="4">
        <v>0.54166666666666663</v>
      </c>
      <c r="AH3216" s="2">
        <v>3</v>
      </c>
      <c r="AI3216" s="2" t="s">
        <v>214</v>
      </c>
      <c r="AJ3216" s="2">
        <v>24</v>
      </c>
      <c r="AK3216" s="2" t="s">
        <v>215</v>
      </c>
      <c r="AL3216" s="2">
        <v>19</v>
      </c>
      <c r="AM3216" s="2" t="s">
        <v>107</v>
      </c>
      <c r="AN3216" s="2"/>
      <c r="AO3216" s="2"/>
      <c r="AP3216" s="2">
        <v>11</v>
      </c>
      <c r="AQ3216" s="2" t="s">
        <v>82</v>
      </c>
      <c r="AR3216" s="2"/>
      <c r="AS3216" s="2"/>
      <c r="AT3216" s="2" t="s">
        <v>10428</v>
      </c>
      <c r="AU3216" s="2"/>
      <c r="AV3216" s="2"/>
      <c r="AW3216" s="2"/>
      <c r="AX3216" s="2"/>
      <c r="AY3216" s="2">
        <v>70</v>
      </c>
      <c r="AZ3216" s="2" t="s">
        <v>236</v>
      </c>
      <c r="BA3216" s="2">
        <v>41</v>
      </c>
      <c r="BB3216" s="2" t="s">
        <v>82</v>
      </c>
      <c r="BC3216" s="2">
        <v>41</v>
      </c>
      <c r="BD3216" s="2" t="s">
        <v>82</v>
      </c>
      <c r="BE3216" s="2">
        <v>41</v>
      </c>
      <c r="BF3216" s="2" t="s">
        <v>82</v>
      </c>
      <c r="BG3216" s="2"/>
      <c r="BH3216" s="2"/>
      <c r="BI3216" s="2"/>
      <c r="BJ3216" s="2">
        <v>241</v>
      </c>
      <c r="BK3216" s="2" t="s">
        <v>82</v>
      </c>
      <c r="BL3216" s="2"/>
      <c r="BM3216" s="2">
        <v>241</v>
      </c>
      <c r="BN3216" s="2" t="s">
        <v>82</v>
      </c>
      <c r="BO3216" s="2"/>
      <c r="BP3216" s="2">
        <v>241</v>
      </c>
      <c r="BQ3216" s="2" t="s">
        <v>82</v>
      </c>
      <c r="BR3216" s="2"/>
      <c r="BS3216" s="3">
        <v>40395</v>
      </c>
      <c r="BT3216" s="4">
        <v>0.56946759259259261</v>
      </c>
    </row>
    <row r="3217" spans="1:72" x14ac:dyDescent="0.25">
      <c r="A3217" s="2">
        <v>4744</v>
      </c>
      <c r="B3217" s="2">
        <v>2010</v>
      </c>
      <c r="C3217" s="2" t="s">
        <v>121</v>
      </c>
      <c r="D3217" s="2" t="s">
        <v>122</v>
      </c>
      <c r="E3217" s="2" t="s">
        <v>10429</v>
      </c>
      <c r="F3217" s="2">
        <v>1</v>
      </c>
      <c r="G3217" s="2" t="s">
        <v>82</v>
      </c>
      <c r="H3217" s="2">
        <v>1</v>
      </c>
      <c r="I3217" s="2" t="s">
        <v>82</v>
      </c>
      <c r="J3217" s="2">
        <v>1</v>
      </c>
      <c r="K3217" s="2" t="s">
        <v>107</v>
      </c>
      <c r="L3217" s="2" t="s">
        <v>107</v>
      </c>
      <c r="M3217" s="3">
        <v>40395</v>
      </c>
      <c r="N3217" s="2"/>
      <c r="O3217" s="2"/>
      <c r="P3217" s="2"/>
      <c r="Q3217" s="2" t="str">
        <f>""</f>
        <v/>
      </c>
      <c r="R3217" s="2"/>
      <c r="S3217" s="2"/>
      <c r="T3217" s="2">
        <v>2</v>
      </c>
      <c r="U3217" s="2" t="s">
        <v>123</v>
      </c>
      <c r="V3217" s="2">
        <v>1</v>
      </c>
      <c r="W3217" s="2" t="s">
        <v>80</v>
      </c>
      <c r="X3217" s="2">
        <v>5</v>
      </c>
      <c r="Y3217" s="2" t="s">
        <v>82</v>
      </c>
      <c r="Z3217" s="2">
        <v>10</v>
      </c>
      <c r="AA3217" s="2" t="s">
        <v>236</v>
      </c>
      <c r="AB3217" s="2">
        <v>9</v>
      </c>
      <c r="AC3217" s="2" t="s">
        <v>124</v>
      </c>
      <c r="AD3217" s="3">
        <v>40395</v>
      </c>
      <c r="AE3217" s="4">
        <v>0.5625</v>
      </c>
      <c r="AF3217" s="2"/>
      <c r="AG3217" s="2"/>
      <c r="AH3217" s="2">
        <v>4</v>
      </c>
      <c r="AI3217" s="2" t="s">
        <v>125</v>
      </c>
      <c r="AJ3217" s="2">
        <v>31</v>
      </c>
      <c r="AK3217" s="2" t="s">
        <v>1413</v>
      </c>
      <c r="AL3217" s="2">
        <v>10</v>
      </c>
      <c r="AM3217" s="2" t="s">
        <v>200</v>
      </c>
      <c r="AN3217" s="2"/>
      <c r="AO3217" s="2"/>
      <c r="AP3217" s="2">
        <v>11</v>
      </c>
      <c r="AQ3217" s="2" t="s">
        <v>82</v>
      </c>
      <c r="AR3217" s="2"/>
      <c r="AS3217" s="2"/>
      <c r="AT3217" s="2" t="s">
        <v>10430</v>
      </c>
      <c r="AU3217" s="2"/>
      <c r="AV3217" s="2"/>
      <c r="AW3217" s="2"/>
      <c r="AX3217" s="2"/>
      <c r="AY3217" s="2">
        <v>41</v>
      </c>
      <c r="AZ3217" s="2" t="s">
        <v>82</v>
      </c>
      <c r="BA3217" s="2">
        <v>41</v>
      </c>
      <c r="BB3217" s="2" t="s">
        <v>82</v>
      </c>
      <c r="BC3217" s="2">
        <v>41</v>
      </c>
      <c r="BD3217" s="2" t="s">
        <v>82</v>
      </c>
      <c r="BE3217" s="2">
        <v>42</v>
      </c>
      <c r="BF3217" s="2" t="s">
        <v>182</v>
      </c>
      <c r="BG3217" s="2" t="s">
        <v>1128</v>
      </c>
      <c r="BH3217" s="2"/>
      <c r="BI3217" s="4">
        <v>0.5625</v>
      </c>
      <c r="BJ3217" s="2">
        <v>13</v>
      </c>
      <c r="BK3217" s="2" t="s">
        <v>91</v>
      </c>
      <c r="BL3217" s="2" t="s">
        <v>4725</v>
      </c>
      <c r="BM3217" s="2">
        <v>241</v>
      </c>
      <c r="BN3217" s="2" t="s">
        <v>82</v>
      </c>
      <c r="BO3217" s="2"/>
      <c r="BP3217" s="2">
        <v>13</v>
      </c>
      <c r="BQ3217" s="2" t="s">
        <v>91</v>
      </c>
      <c r="BR3217" s="2" t="s">
        <v>4903</v>
      </c>
      <c r="BS3217" s="3">
        <v>40395</v>
      </c>
      <c r="BT3217" s="4">
        <v>0.57932870370370371</v>
      </c>
    </row>
    <row r="3218" spans="1:72" x14ac:dyDescent="0.25">
      <c r="A3218" s="2">
        <v>4745</v>
      </c>
      <c r="B3218" s="2">
        <v>2010</v>
      </c>
      <c r="C3218" s="2" t="s">
        <v>121</v>
      </c>
      <c r="D3218" s="2" t="s">
        <v>122</v>
      </c>
      <c r="E3218" s="2"/>
      <c r="F3218" s="2">
        <v>1</v>
      </c>
      <c r="G3218" s="2" t="s">
        <v>82</v>
      </c>
      <c r="H3218" s="2">
        <v>1</v>
      </c>
      <c r="I3218" s="2" t="s">
        <v>82</v>
      </c>
      <c r="J3218" s="2">
        <v>1</v>
      </c>
      <c r="K3218" s="2" t="s">
        <v>107</v>
      </c>
      <c r="L3218" s="2" t="s">
        <v>107</v>
      </c>
      <c r="M3218" s="3">
        <v>40395</v>
      </c>
      <c r="N3218" s="2" t="s">
        <v>82</v>
      </c>
      <c r="O3218" s="2" t="s">
        <v>82</v>
      </c>
      <c r="P3218" s="2" t="s">
        <v>82</v>
      </c>
      <c r="Q3218" s="2" t="str">
        <f>"N/C"</f>
        <v>N/C</v>
      </c>
      <c r="R3218" s="2" t="s">
        <v>82</v>
      </c>
      <c r="S3218" s="2" t="s">
        <v>82</v>
      </c>
      <c r="T3218" s="2">
        <v>2</v>
      </c>
      <c r="U3218" s="2" t="s">
        <v>123</v>
      </c>
      <c r="V3218" s="2">
        <v>1</v>
      </c>
      <c r="W3218" s="2" t="s">
        <v>80</v>
      </c>
      <c r="X3218" s="2">
        <v>11</v>
      </c>
      <c r="Y3218" s="2" t="s">
        <v>1920</v>
      </c>
      <c r="Z3218" s="2">
        <v>1</v>
      </c>
      <c r="AA3218" s="2" t="s">
        <v>82</v>
      </c>
      <c r="AB3218" s="2">
        <v>9</v>
      </c>
      <c r="AC3218" s="2" t="s">
        <v>124</v>
      </c>
      <c r="AD3218" s="2"/>
      <c r="AE3218" s="2"/>
      <c r="AF3218" s="2"/>
      <c r="AG3218" s="2"/>
      <c r="AH3218" s="2">
        <v>5</v>
      </c>
      <c r="AI3218" s="2" t="s">
        <v>274</v>
      </c>
      <c r="AJ3218" s="2">
        <v>45</v>
      </c>
      <c r="AK3218" s="2" t="s">
        <v>834</v>
      </c>
      <c r="AL3218" s="2">
        <v>25</v>
      </c>
      <c r="AM3218" s="2" t="s">
        <v>3073</v>
      </c>
      <c r="AN3218" s="2" t="s">
        <v>230</v>
      </c>
      <c r="AO3218" s="2" t="s">
        <v>10431</v>
      </c>
      <c r="AP3218" s="2">
        <v>11</v>
      </c>
      <c r="AQ3218" s="2" t="s">
        <v>82</v>
      </c>
      <c r="AR3218" s="2" t="s">
        <v>82</v>
      </c>
      <c r="AS3218" s="2" t="s">
        <v>82</v>
      </c>
      <c r="AT3218" s="2" t="s">
        <v>10432</v>
      </c>
      <c r="AU3218" s="2"/>
      <c r="AV3218" s="2"/>
      <c r="AW3218" s="2"/>
      <c r="AX3218" s="2"/>
      <c r="AY3218" s="2">
        <v>1</v>
      </c>
      <c r="AZ3218" s="2" t="s">
        <v>107</v>
      </c>
      <c r="BA3218" s="2">
        <v>1</v>
      </c>
      <c r="BB3218" s="2" t="s">
        <v>107</v>
      </c>
      <c r="BC3218" s="2">
        <v>1</v>
      </c>
      <c r="BD3218" s="2" t="s">
        <v>107</v>
      </c>
      <c r="BE3218" s="2">
        <v>42</v>
      </c>
      <c r="BF3218" s="2" t="s">
        <v>182</v>
      </c>
      <c r="BG3218" s="2" t="s">
        <v>6921</v>
      </c>
      <c r="BH3218" s="4">
        <v>0.4201388888888889</v>
      </c>
      <c r="BI3218" s="4">
        <v>0.57638888888888895</v>
      </c>
      <c r="BJ3218" s="2">
        <v>13</v>
      </c>
      <c r="BK3218" s="2" t="s">
        <v>91</v>
      </c>
      <c r="BL3218" s="2" t="s">
        <v>534</v>
      </c>
      <c r="BM3218" s="2">
        <v>13</v>
      </c>
      <c r="BN3218" s="2" t="s">
        <v>91</v>
      </c>
      <c r="BO3218" s="2" t="s">
        <v>1705</v>
      </c>
      <c r="BP3218" s="2">
        <v>13</v>
      </c>
      <c r="BQ3218" s="2" t="s">
        <v>91</v>
      </c>
      <c r="BR3218" s="2" t="s">
        <v>534</v>
      </c>
      <c r="BS3218" s="3">
        <v>40395</v>
      </c>
      <c r="BT3218" s="4">
        <v>0.58627314814814813</v>
      </c>
    </row>
    <row r="3219" spans="1:72" x14ac:dyDescent="0.25">
      <c r="A3219" s="2">
        <v>4747</v>
      </c>
      <c r="B3219" s="2">
        <v>2010</v>
      </c>
      <c r="C3219" s="2" t="s">
        <v>72</v>
      </c>
      <c r="D3219" s="2" t="s">
        <v>73</v>
      </c>
      <c r="E3219" s="2"/>
      <c r="F3219" s="2">
        <v>553</v>
      </c>
      <c r="G3219" s="2" t="s">
        <v>6434</v>
      </c>
      <c r="H3219" s="2">
        <v>22</v>
      </c>
      <c r="I3219" s="2" t="s">
        <v>75</v>
      </c>
      <c r="J3219" s="2">
        <v>412</v>
      </c>
      <c r="K3219" s="2" t="s">
        <v>6435</v>
      </c>
      <c r="L3219" s="2" t="s">
        <v>2188</v>
      </c>
      <c r="M3219" s="3">
        <v>40395</v>
      </c>
      <c r="N3219" s="2" t="s">
        <v>10433</v>
      </c>
      <c r="O3219" s="2" t="s">
        <v>2749</v>
      </c>
      <c r="P3219" s="2" t="s">
        <v>82</v>
      </c>
      <c r="Q3219" s="2" t="str">
        <f>"0027/2010"</f>
        <v>0027/2010</v>
      </c>
      <c r="R3219" s="2" t="s">
        <v>2749</v>
      </c>
      <c r="S3219" s="2" t="s">
        <v>2749</v>
      </c>
      <c r="T3219" s="2">
        <v>1</v>
      </c>
      <c r="U3219" s="2" t="s">
        <v>79</v>
      </c>
      <c r="V3219" s="2">
        <v>1</v>
      </c>
      <c r="W3219" s="2" t="s">
        <v>80</v>
      </c>
      <c r="X3219" s="2">
        <v>1</v>
      </c>
      <c r="Y3219" s="2" t="s">
        <v>81</v>
      </c>
      <c r="Z3219" s="2">
        <v>1</v>
      </c>
      <c r="AA3219" s="2" t="s">
        <v>82</v>
      </c>
      <c r="AB3219" s="2">
        <v>6</v>
      </c>
      <c r="AC3219" s="2" t="s">
        <v>83</v>
      </c>
      <c r="AD3219" s="3">
        <v>40395</v>
      </c>
      <c r="AE3219" s="4">
        <v>0.40625</v>
      </c>
      <c r="AF3219" s="2"/>
      <c r="AG3219" s="2"/>
      <c r="AH3219" s="2">
        <v>5</v>
      </c>
      <c r="AI3219" s="2" t="s">
        <v>274</v>
      </c>
      <c r="AJ3219" s="2">
        <v>42</v>
      </c>
      <c r="AK3219" s="2" t="s">
        <v>660</v>
      </c>
      <c r="AL3219" s="2">
        <v>28</v>
      </c>
      <c r="AM3219" s="2" t="s">
        <v>5969</v>
      </c>
      <c r="AN3219" s="2" t="s">
        <v>10434</v>
      </c>
      <c r="AO3219" s="2" t="s">
        <v>10435</v>
      </c>
      <c r="AP3219" s="2">
        <v>11</v>
      </c>
      <c r="AQ3219" s="2" t="s">
        <v>82</v>
      </c>
      <c r="AR3219" s="2"/>
      <c r="AS3219" s="2"/>
      <c r="AT3219" s="2" t="s">
        <v>10436</v>
      </c>
      <c r="AU3219" s="2"/>
      <c r="AV3219" s="2"/>
      <c r="AW3219" s="2"/>
      <c r="AX3219" s="2"/>
      <c r="AY3219" s="2">
        <v>140</v>
      </c>
      <c r="AZ3219" s="2" t="s">
        <v>10437</v>
      </c>
      <c r="BA3219" s="2">
        <v>41</v>
      </c>
      <c r="BB3219" s="2" t="s">
        <v>82</v>
      </c>
      <c r="BC3219" s="2">
        <v>41</v>
      </c>
      <c r="BD3219" s="2" t="s">
        <v>82</v>
      </c>
      <c r="BE3219" s="2">
        <v>41</v>
      </c>
      <c r="BF3219" s="2" t="s">
        <v>82</v>
      </c>
      <c r="BG3219" s="2"/>
      <c r="BH3219" s="2"/>
      <c r="BI3219" s="2"/>
      <c r="BJ3219" s="2">
        <v>241</v>
      </c>
      <c r="BK3219" s="2" t="s">
        <v>82</v>
      </c>
      <c r="BL3219" s="2"/>
      <c r="BM3219" s="2">
        <v>241</v>
      </c>
      <c r="BN3219" s="2" t="s">
        <v>82</v>
      </c>
      <c r="BO3219" s="2"/>
      <c r="BP3219" s="2">
        <v>241</v>
      </c>
      <c r="BQ3219" s="2" t="s">
        <v>82</v>
      </c>
      <c r="BR3219" s="2"/>
      <c r="BS3219" s="3">
        <v>40395</v>
      </c>
      <c r="BT3219" s="4">
        <v>0.60449074074074072</v>
      </c>
    </row>
    <row r="3220" spans="1:72" x14ac:dyDescent="0.25">
      <c r="A3220" s="2">
        <v>4751</v>
      </c>
      <c r="B3220" s="2">
        <v>2010</v>
      </c>
      <c r="C3220" s="2" t="s">
        <v>72</v>
      </c>
      <c r="D3220" s="2" t="s">
        <v>122</v>
      </c>
      <c r="E3220" s="2" t="s">
        <v>10438</v>
      </c>
      <c r="F3220" s="2">
        <v>664</v>
      </c>
      <c r="G3220" s="2" t="s">
        <v>10256</v>
      </c>
      <c r="H3220" s="2">
        <v>22</v>
      </c>
      <c r="I3220" s="2" t="s">
        <v>75</v>
      </c>
      <c r="J3220" s="2">
        <v>634</v>
      </c>
      <c r="K3220" s="2" t="s">
        <v>10257</v>
      </c>
      <c r="L3220" s="2" t="s">
        <v>5984</v>
      </c>
      <c r="M3220" s="3">
        <v>40395</v>
      </c>
      <c r="N3220" s="2" t="s">
        <v>10423</v>
      </c>
      <c r="O3220" s="2"/>
      <c r="P3220" s="2"/>
      <c r="Q3220" s="2" t="str">
        <f>"303-A/10"</f>
        <v>303-A/10</v>
      </c>
      <c r="R3220" s="2" t="s">
        <v>9235</v>
      </c>
      <c r="S3220" s="2"/>
      <c r="T3220" s="2">
        <v>1</v>
      </c>
      <c r="U3220" s="2" t="s">
        <v>79</v>
      </c>
      <c r="V3220" s="2">
        <v>1</v>
      </c>
      <c r="W3220" s="2" t="s">
        <v>80</v>
      </c>
      <c r="X3220" s="2">
        <v>12</v>
      </c>
      <c r="Y3220" s="2" t="s">
        <v>148</v>
      </c>
      <c r="Z3220" s="2">
        <v>1</v>
      </c>
      <c r="AA3220" s="2" t="s">
        <v>82</v>
      </c>
      <c r="AB3220" s="2">
        <v>6</v>
      </c>
      <c r="AC3220" s="2" t="s">
        <v>83</v>
      </c>
      <c r="AD3220" s="3">
        <v>40395</v>
      </c>
      <c r="AE3220" s="4">
        <v>0.23958333333333334</v>
      </c>
      <c r="AF3220" s="3">
        <v>40395</v>
      </c>
      <c r="AG3220" s="4">
        <v>0.38541666666666669</v>
      </c>
      <c r="AH3220" s="2">
        <v>2</v>
      </c>
      <c r="AI3220" s="2" t="s">
        <v>84</v>
      </c>
      <c r="AJ3220" s="2">
        <v>12</v>
      </c>
      <c r="AK3220" s="2" t="s">
        <v>85</v>
      </c>
      <c r="AL3220" s="2">
        <v>29</v>
      </c>
      <c r="AM3220" s="2" t="s">
        <v>5416</v>
      </c>
      <c r="AN3220" s="2" t="s">
        <v>10439</v>
      </c>
      <c r="AO3220" s="2" t="s">
        <v>8949</v>
      </c>
      <c r="AP3220" s="2">
        <v>11</v>
      </c>
      <c r="AQ3220" s="2" t="s">
        <v>82</v>
      </c>
      <c r="AR3220" s="2"/>
      <c r="AS3220" s="2"/>
      <c r="AT3220" s="2" t="s">
        <v>10440</v>
      </c>
      <c r="AU3220" s="2"/>
      <c r="AV3220" s="2"/>
      <c r="AW3220" s="2"/>
      <c r="AX3220" s="2"/>
      <c r="AY3220" s="2">
        <v>41</v>
      </c>
      <c r="AZ3220" s="2" t="s">
        <v>82</v>
      </c>
      <c r="BA3220" s="2">
        <v>41</v>
      </c>
      <c r="BB3220" s="2" t="s">
        <v>82</v>
      </c>
      <c r="BC3220" s="2">
        <v>41</v>
      </c>
      <c r="BD3220" s="2" t="s">
        <v>82</v>
      </c>
      <c r="BE3220" s="2">
        <v>41</v>
      </c>
      <c r="BF3220" s="2" t="s">
        <v>82</v>
      </c>
      <c r="BG3220" s="2"/>
      <c r="BH3220" s="2"/>
      <c r="BI3220" s="2"/>
      <c r="BJ3220" s="2">
        <v>241</v>
      </c>
      <c r="BK3220" s="2" t="s">
        <v>82</v>
      </c>
      <c r="BL3220" s="2"/>
      <c r="BM3220" s="2">
        <v>241</v>
      </c>
      <c r="BN3220" s="2" t="s">
        <v>82</v>
      </c>
      <c r="BO3220" s="2"/>
      <c r="BP3220" s="2">
        <v>241</v>
      </c>
      <c r="BQ3220" s="2" t="s">
        <v>82</v>
      </c>
      <c r="BR3220" s="2"/>
      <c r="BS3220" s="3">
        <v>40395</v>
      </c>
      <c r="BT3220" s="4">
        <v>0.72523148148148142</v>
      </c>
    </row>
    <row r="3221" spans="1:72" x14ac:dyDescent="0.25">
      <c r="A3221" s="2">
        <v>4755</v>
      </c>
      <c r="B3221" s="2">
        <v>2010</v>
      </c>
      <c r="C3221" s="2" t="s">
        <v>72</v>
      </c>
      <c r="D3221" s="2" t="s">
        <v>73</v>
      </c>
      <c r="E3221" s="2" t="s">
        <v>10441</v>
      </c>
      <c r="F3221" s="2">
        <v>2</v>
      </c>
      <c r="G3221" s="2" t="s">
        <v>113</v>
      </c>
      <c r="H3221" s="2">
        <v>1</v>
      </c>
      <c r="I3221" s="2" t="s">
        <v>82</v>
      </c>
      <c r="J3221" s="2">
        <v>300</v>
      </c>
      <c r="K3221" s="2" t="s">
        <v>114</v>
      </c>
      <c r="L3221" s="2" t="s">
        <v>115</v>
      </c>
      <c r="M3221" s="3">
        <v>40395</v>
      </c>
      <c r="N3221" s="2"/>
      <c r="O3221" s="2" t="s">
        <v>116</v>
      </c>
      <c r="P3221" s="2" t="s">
        <v>10442</v>
      </c>
      <c r="Q3221" s="2" t="str">
        <f>"397-E/10"</f>
        <v>397-E/10</v>
      </c>
      <c r="R3221" s="2" t="s">
        <v>116</v>
      </c>
      <c r="S3221" s="2" t="s">
        <v>116</v>
      </c>
      <c r="T3221" s="2">
        <v>1</v>
      </c>
      <c r="U3221" s="2" t="s">
        <v>79</v>
      </c>
      <c r="V3221" s="2">
        <v>1</v>
      </c>
      <c r="W3221" s="2" t="s">
        <v>80</v>
      </c>
      <c r="X3221" s="2">
        <v>8</v>
      </c>
      <c r="Y3221" s="2" t="s">
        <v>375</v>
      </c>
      <c r="Z3221" s="2">
        <v>1</v>
      </c>
      <c r="AA3221" s="2" t="s">
        <v>82</v>
      </c>
      <c r="AB3221" s="2">
        <v>6</v>
      </c>
      <c r="AC3221" s="2" t="s">
        <v>83</v>
      </c>
      <c r="AD3221" s="3">
        <v>40395</v>
      </c>
      <c r="AE3221" s="4">
        <v>0.75694444444444453</v>
      </c>
      <c r="AF3221" s="2"/>
      <c r="AG3221" s="2"/>
      <c r="AH3221" s="2">
        <v>2</v>
      </c>
      <c r="AI3221" s="2" t="s">
        <v>84</v>
      </c>
      <c r="AJ3221" s="2">
        <v>6</v>
      </c>
      <c r="AK3221" s="2" t="s">
        <v>453</v>
      </c>
      <c r="AL3221" s="2">
        <v>23</v>
      </c>
      <c r="AM3221" s="2" t="s">
        <v>251</v>
      </c>
      <c r="AN3221" s="2" t="s">
        <v>10443</v>
      </c>
      <c r="AO3221" s="2" t="s">
        <v>10444</v>
      </c>
      <c r="AP3221" s="2">
        <v>11</v>
      </c>
      <c r="AQ3221" s="2" t="s">
        <v>82</v>
      </c>
      <c r="AR3221" s="2"/>
      <c r="AS3221" s="2"/>
      <c r="AT3221" s="2" t="s">
        <v>10445</v>
      </c>
      <c r="AU3221" s="2"/>
      <c r="AV3221" s="2"/>
      <c r="AW3221" s="2"/>
      <c r="AX3221" s="2"/>
      <c r="AY3221" s="2">
        <v>41</v>
      </c>
      <c r="AZ3221" s="2" t="s">
        <v>82</v>
      </c>
      <c r="BA3221" s="2">
        <v>41</v>
      </c>
      <c r="BB3221" s="2" t="s">
        <v>82</v>
      </c>
      <c r="BC3221" s="2">
        <v>130</v>
      </c>
      <c r="BD3221" s="2" t="s">
        <v>10446</v>
      </c>
      <c r="BE3221" s="2">
        <v>41</v>
      </c>
      <c r="BF3221" s="2" t="s">
        <v>82</v>
      </c>
      <c r="BG3221" s="2"/>
      <c r="BH3221" s="2"/>
      <c r="BI3221" s="2"/>
      <c r="BJ3221" s="2">
        <v>241</v>
      </c>
      <c r="BK3221" s="2" t="s">
        <v>82</v>
      </c>
      <c r="BL3221" s="2"/>
      <c r="BM3221" s="2">
        <v>241</v>
      </c>
      <c r="BN3221" s="2" t="s">
        <v>82</v>
      </c>
      <c r="BO3221" s="2"/>
      <c r="BP3221" s="2">
        <v>241</v>
      </c>
      <c r="BQ3221" s="2" t="s">
        <v>82</v>
      </c>
      <c r="BR3221" s="2"/>
      <c r="BS3221" s="3">
        <v>40395</v>
      </c>
      <c r="BT3221" s="4">
        <v>0.82854166666666673</v>
      </c>
    </row>
    <row r="3222" spans="1:72" x14ac:dyDescent="0.25">
      <c r="A3222" s="2">
        <v>4757</v>
      </c>
      <c r="B3222" s="2">
        <v>2010</v>
      </c>
      <c r="C3222" s="2" t="s">
        <v>93</v>
      </c>
      <c r="D3222" s="2" t="s">
        <v>73</v>
      </c>
      <c r="E3222" s="2"/>
      <c r="F3222" s="2">
        <v>615</v>
      </c>
      <c r="G3222" s="2" t="s">
        <v>6818</v>
      </c>
      <c r="H3222" s="2">
        <v>9</v>
      </c>
      <c r="I3222" s="2" t="s">
        <v>794</v>
      </c>
      <c r="J3222" s="2">
        <v>537</v>
      </c>
      <c r="K3222" s="2" t="s">
        <v>6183</v>
      </c>
      <c r="L3222" s="2" t="s">
        <v>6184</v>
      </c>
      <c r="M3222" s="3">
        <v>40395</v>
      </c>
      <c r="N3222" s="2" t="s">
        <v>10447</v>
      </c>
      <c r="O3222" s="2" t="s">
        <v>10448</v>
      </c>
      <c r="P3222" s="2">
        <v>30933</v>
      </c>
      <c r="Q3222" s="2" t="str">
        <f>"0098/2010"</f>
        <v>0098/2010</v>
      </c>
      <c r="R3222" s="2"/>
      <c r="S3222" s="2" t="s">
        <v>3812</v>
      </c>
      <c r="T3222" s="2">
        <v>1</v>
      </c>
      <c r="U3222" s="2" t="s">
        <v>79</v>
      </c>
      <c r="V3222" s="2">
        <v>1</v>
      </c>
      <c r="W3222" s="2" t="s">
        <v>80</v>
      </c>
      <c r="X3222" s="2">
        <v>10</v>
      </c>
      <c r="Y3222" s="2" t="s">
        <v>226</v>
      </c>
      <c r="Z3222" s="2">
        <v>9</v>
      </c>
      <c r="AA3222" s="2" t="s">
        <v>1119</v>
      </c>
      <c r="AB3222" s="2">
        <v>2</v>
      </c>
      <c r="AC3222" s="2" t="s">
        <v>102</v>
      </c>
      <c r="AD3222" s="3">
        <v>40395</v>
      </c>
      <c r="AE3222" s="4">
        <v>0.78125</v>
      </c>
      <c r="AF3222" s="2"/>
      <c r="AG3222" s="2"/>
      <c r="AH3222" s="2">
        <v>5</v>
      </c>
      <c r="AI3222" s="2" t="s">
        <v>274</v>
      </c>
      <c r="AJ3222" s="2">
        <v>38</v>
      </c>
      <c r="AK3222" s="2" t="s">
        <v>1120</v>
      </c>
      <c r="AL3222" s="2">
        <v>11</v>
      </c>
      <c r="AM3222" s="2" t="s">
        <v>137</v>
      </c>
      <c r="AN3222" s="2"/>
      <c r="AO3222" s="2"/>
      <c r="AP3222" s="2">
        <v>11</v>
      </c>
      <c r="AQ3222" s="2" t="s">
        <v>82</v>
      </c>
      <c r="AR3222" s="2"/>
      <c r="AS3222" s="2"/>
      <c r="AT3222" s="2" t="s">
        <v>10449</v>
      </c>
      <c r="AU3222" s="2"/>
      <c r="AV3222" s="2"/>
      <c r="AW3222" s="2"/>
      <c r="AX3222" s="2"/>
      <c r="AY3222" s="2">
        <v>41</v>
      </c>
      <c r="AZ3222" s="2" t="s">
        <v>82</v>
      </c>
      <c r="BA3222" s="2">
        <v>41</v>
      </c>
      <c r="BB3222" s="2" t="s">
        <v>82</v>
      </c>
      <c r="BC3222" s="2">
        <v>41</v>
      </c>
      <c r="BD3222" s="2" t="s">
        <v>82</v>
      </c>
      <c r="BE3222" s="2">
        <v>47</v>
      </c>
      <c r="BF3222" s="2" t="s">
        <v>167</v>
      </c>
      <c r="BG3222" s="2">
        <v>2735</v>
      </c>
      <c r="BH3222" s="4">
        <v>0.72222222222222221</v>
      </c>
      <c r="BI3222" s="4">
        <v>0.75</v>
      </c>
      <c r="BJ3222" s="2">
        <v>13</v>
      </c>
      <c r="BK3222" s="2" t="s">
        <v>91</v>
      </c>
      <c r="BL3222" s="2" t="s">
        <v>1697</v>
      </c>
      <c r="BM3222" s="2">
        <v>241</v>
      </c>
      <c r="BN3222" s="2" t="s">
        <v>82</v>
      </c>
      <c r="BO3222" s="2"/>
      <c r="BP3222" s="2">
        <v>13</v>
      </c>
      <c r="BQ3222" s="2" t="s">
        <v>91</v>
      </c>
      <c r="BR3222" s="2" t="s">
        <v>170</v>
      </c>
      <c r="BS3222" s="3">
        <v>40395</v>
      </c>
      <c r="BT3222" s="4">
        <v>0.97818287037037033</v>
      </c>
    </row>
    <row r="3223" spans="1:72" x14ac:dyDescent="0.25">
      <c r="A3223" s="2">
        <v>4758</v>
      </c>
      <c r="B3223" s="2">
        <v>2010</v>
      </c>
      <c r="C3223" s="2" t="s">
        <v>93</v>
      </c>
      <c r="D3223" s="2" t="s">
        <v>73</v>
      </c>
      <c r="E3223" s="2"/>
      <c r="F3223" s="2">
        <v>395</v>
      </c>
      <c r="G3223" s="2" t="s">
        <v>1076</v>
      </c>
      <c r="H3223" s="2">
        <v>6</v>
      </c>
      <c r="I3223" s="2" t="s">
        <v>1088</v>
      </c>
      <c r="J3223" s="2">
        <v>242</v>
      </c>
      <c r="K3223" s="2" t="s">
        <v>1077</v>
      </c>
      <c r="L3223" s="2" t="s">
        <v>1078</v>
      </c>
      <c r="M3223" s="3">
        <v>40396</v>
      </c>
      <c r="N3223" s="2" t="s">
        <v>1180</v>
      </c>
      <c r="O3223" s="2" t="s">
        <v>10450</v>
      </c>
      <c r="P3223" s="2">
        <v>10367</v>
      </c>
      <c r="Q3223" s="2" t="str">
        <f>"0099/10"</f>
        <v>0099/10</v>
      </c>
      <c r="R3223" s="2"/>
      <c r="S3223" s="2" t="s">
        <v>8305</v>
      </c>
      <c r="T3223" s="2">
        <v>1</v>
      </c>
      <c r="U3223" s="2" t="s">
        <v>79</v>
      </c>
      <c r="V3223" s="2">
        <v>1</v>
      </c>
      <c r="W3223" s="2" t="s">
        <v>80</v>
      </c>
      <c r="X3223" s="2">
        <v>10</v>
      </c>
      <c r="Y3223" s="2" t="s">
        <v>226</v>
      </c>
      <c r="Z3223" s="2">
        <v>9</v>
      </c>
      <c r="AA3223" s="2" t="s">
        <v>1119</v>
      </c>
      <c r="AB3223" s="2">
        <v>2</v>
      </c>
      <c r="AC3223" s="2" t="s">
        <v>102</v>
      </c>
      <c r="AD3223" s="3">
        <v>40395</v>
      </c>
      <c r="AE3223" s="4">
        <v>0.78125</v>
      </c>
      <c r="AF3223" s="2"/>
      <c r="AG3223" s="2"/>
      <c r="AH3223" s="2">
        <v>5</v>
      </c>
      <c r="AI3223" s="2" t="s">
        <v>274</v>
      </c>
      <c r="AJ3223" s="2">
        <v>38</v>
      </c>
      <c r="AK3223" s="2" t="s">
        <v>1120</v>
      </c>
      <c r="AL3223" s="2">
        <v>14</v>
      </c>
      <c r="AM3223" s="2" t="s">
        <v>216</v>
      </c>
      <c r="AN3223" s="2"/>
      <c r="AO3223" s="2" t="s">
        <v>7650</v>
      </c>
      <c r="AP3223" s="2">
        <v>11</v>
      </c>
      <c r="AQ3223" s="2" t="s">
        <v>82</v>
      </c>
      <c r="AR3223" s="2"/>
      <c r="AS3223" s="2"/>
      <c r="AT3223" s="2" t="s">
        <v>10451</v>
      </c>
      <c r="AU3223" s="2"/>
      <c r="AV3223" s="2"/>
      <c r="AW3223" s="2"/>
      <c r="AX3223" s="2"/>
      <c r="AY3223" s="2">
        <v>41</v>
      </c>
      <c r="AZ3223" s="2" t="s">
        <v>82</v>
      </c>
      <c r="BA3223" s="2">
        <v>41</v>
      </c>
      <c r="BB3223" s="2" t="s">
        <v>82</v>
      </c>
      <c r="BC3223" s="2">
        <v>41</v>
      </c>
      <c r="BD3223" s="2" t="s">
        <v>82</v>
      </c>
      <c r="BE3223" s="2">
        <v>47</v>
      </c>
      <c r="BF3223" s="2" t="s">
        <v>167</v>
      </c>
      <c r="BG3223" s="2">
        <v>2735</v>
      </c>
      <c r="BH3223" s="4">
        <v>0.72222222222222221</v>
      </c>
      <c r="BI3223" s="4">
        <v>0.75</v>
      </c>
      <c r="BJ3223" s="2">
        <v>13</v>
      </c>
      <c r="BK3223" s="2" t="s">
        <v>91</v>
      </c>
      <c r="BL3223" s="2" t="s">
        <v>1697</v>
      </c>
      <c r="BM3223" s="2">
        <v>241</v>
      </c>
      <c r="BN3223" s="2" t="s">
        <v>82</v>
      </c>
      <c r="BO3223" s="2"/>
      <c r="BP3223" s="2">
        <v>13</v>
      </c>
      <c r="BQ3223" s="2" t="s">
        <v>91</v>
      </c>
      <c r="BR3223" s="2" t="s">
        <v>170</v>
      </c>
      <c r="BS3223" s="3">
        <v>40396</v>
      </c>
      <c r="BT3223" s="4">
        <v>1.1331018518518518E-2</v>
      </c>
    </row>
    <row r="3224" spans="1:72" x14ac:dyDescent="0.25">
      <c r="A3224" s="2">
        <v>4759</v>
      </c>
      <c r="B3224" s="2">
        <v>2010</v>
      </c>
      <c r="C3224" s="2" t="s">
        <v>128</v>
      </c>
      <c r="D3224" s="2" t="s">
        <v>122</v>
      </c>
      <c r="E3224" s="2" t="s">
        <v>10452</v>
      </c>
      <c r="F3224" s="2">
        <v>221</v>
      </c>
      <c r="G3224" s="2" t="s">
        <v>8422</v>
      </c>
      <c r="H3224" s="2">
        <v>42</v>
      </c>
      <c r="I3224" s="2" t="s">
        <v>1096</v>
      </c>
      <c r="J3224" s="2">
        <v>620</v>
      </c>
      <c r="K3224" s="2" t="s">
        <v>9617</v>
      </c>
      <c r="L3224" s="2" t="s">
        <v>9618</v>
      </c>
      <c r="M3224" s="3">
        <v>40396</v>
      </c>
      <c r="N3224" s="2" t="s">
        <v>10133</v>
      </c>
      <c r="O3224" s="2" t="s">
        <v>107</v>
      </c>
      <c r="P3224" s="2" t="s">
        <v>107</v>
      </c>
      <c r="Q3224" s="2" t="str">
        <f>"291-A/10"</f>
        <v>291-A/10</v>
      </c>
      <c r="R3224" s="2" t="s">
        <v>10134</v>
      </c>
      <c r="S3224" s="2" t="s">
        <v>107</v>
      </c>
      <c r="T3224" s="2">
        <v>1</v>
      </c>
      <c r="U3224" s="2" t="s">
        <v>79</v>
      </c>
      <c r="V3224" s="2">
        <v>1</v>
      </c>
      <c r="W3224" s="2" t="s">
        <v>80</v>
      </c>
      <c r="X3224" s="2">
        <v>12</v>
      </c>
      <c r="Y3224" s="2" t="s">
        <v>148</v>
      </c>
      <c r="Z3224" s="2">
        <v>1</v>
      </c>
      <c r="AA3224" s="2" t="s">
        <v>82</v>
      </c>
      <c r="AB3224" s="2">
        <v>9</v>
      </c>
      <c r="AC3224" s="2" t="s">
        <v>124</v>
      </c>
      <c r="AD3224" s="3">
        <v>40388</v>
      </c>
      <c r="AE3224" s="4">
        <v>0.97916666666666663</v>
      </c>
      <c r="AF3224" s="3">
        <v>40388</v>
      </c>
      <c r="AG3224" s="4">
        <v>0.99652777777777779</v>
      </c>
      <c r="AH3224" s="2">
        <v>2</v>
      </c>
      <c r="AI3224" s="2" t="s">
        <v>84</v>
      </c>
      <c r="AJ3224" s="2">
        <v>12</v>
      </c>
      <c r="AK3224" s="2" t="s">
        <v>85</v>
      </c>
      <c r="AL3224" s="2">
        <v>9</v>
      </c>
      <c r="AM3224" s="2" t="s">
        <v>259</v>
      </c>
      <c r="AN3224" s="2" t="s">
        <v>107</v>
      </c>
      <c r="AO3224" s="2" t="s">
        <v>8949</v>
      </c>
      <c r="AP3224" s="2">
        <v>11</v>
      </c>
      <c r="AQ3224" s="2" t="s">
        <v>82</v>
      </c>
      <c r="AR3224" s="2"/>
      <c r="AS3224" s="2"/>
      <c r="AT3224" s="2" t="s">
        <v>10453</v>
      </c>
      <c r="AU3224" s="2">
        <v>1</v>
      </c>
      <c r="AV3224" s="2"/>
      <c r="AW3224" s="2"/>
      <c r="AX3224" s="2"/>
      <c r="AY3224" s="2">
        <v>41</v>
      </c>
      <c r="AZ3224" s="2" t="s">
        <v>82</v>
      </c>
      <c r="BA3224" s="2">
        <v>41</v>
      </c>
      <c r="BB3224" s="2" t="s">
        <v>82</v>
      </c>
      <c r="BC3224" s="2">
        <v>41</v>
      </c>
      <c r="BD3224" s="2" t="s">
        <v>82</v>
      </c>
      <c r="BE3224" s="2">
        <v>41</v>
      </c>
      <c r="BF3224" s="2" t="s">
        <v>82</v>
      </c>
      <c r="BG3224" s="2"/>
      <c r="BH3224" s="2"/>
      <c r="BI3224" s="2"/>
      <c r="BJ3224" s="2">
        <v>241</v>
      </c>
      <c r="BK3224" s="2" t="s">
        <v>82</v>
      </c>
      <c r="BL3224" s="2"/>
      <c r="BM3224" s="2">
        <v>241</v>
      </c>
      <c r="BN3224" s="2" t="s">
        <v>82</v>
      </c>
      <c r="BO3224" s="2"/>
      <c r="BP3224" s="2">
        <v>241</v>
      </c>
      <c r="BQ3224" s="2" t="s">
        <v>82</v>
      </c>
      <c r="BR3224" s="2"/>
      <c r="BS3224" s="3">
        <v>40396</v>
      </c>
      <c r="BT3224" s="4">
        <v>0.2465509259259259</v>
      </c>
    </row>
    <row r="3225" spans="1:72" x14ac:dyDescent="0.25">
      <c r="A3225" s="2">
        <v>4760</v>
      </c>
      <c r="B3225" s="2">
        <v>2010</v>
      </c>
      <c r="C3225" s="2" t="s">
        <v>72</v>
      </c>
      <c r="D3225" s="2" t="s">
        <v>73</v>
      </c>
      <c r="E3225" s="2"/>
      <c r="F3225" s="2">
        <v>176</v>
      </c>
      <c r="G3225" s="2" t="s">
        <v>10318</v>
      </c>
      <c r="H3225" s="2">
        <v>130</v>
      </c>
      <c r="I3225" s="2" t="s">
        <v>10319</v>
      </c>
      <c r="J3225" s="2">
        <v>184</v>
      </c>
      <c r="K3225" s="2" t="s">
        <v>10320</v>
      </c>
      <c r="L3225" s="2" t="s">
        <v>10321</v>
      </c>
      <c r="M3225" s="3">
        <v>40396</v>
      </c>
      <c r="N3225" s="2" t="s">
        <v>10454</v>
      </c>
      <c r="O3225" s="2"/>
      <c r="P3225" s="2"/>
      <c r="Q3225" s="2" t="str">
        <f>"304-A/10"</f>
        <v>304-A/10</v>
      </c>
      <c r="R3225" s="2" t="s">
        <v>10455</v>
      </c>
      <c r="S3225" s="2" t="s">
        <v>4823</v>
      </c>
      <c r="T3225" s="2">
        <v>1</v>
      </c>
      <c r="U3225" s="2" t="s">
        <v>79</v>
      </c>
      <c r="V3225" s="2">
        <v>1</v>
      </c>
      <c r="W3225" s="2" t="s">
        <v>80</v>
      </c>
      <c r="X3225" s="2">
        <v>1</v>
      </c>
      <c r="Y3225" s="2" t="s">
        <v>81</v>
      </c>
      <c r="Z3225" s="2">
        <v>1</v>
      </c>
      <c r="AA3225" s="2" t="s">
        <v>82</v>
      </c>
      <c r="AB3225" s="2">
        <v>6</v>
      </c>
      <c r="AC3225" s="2" t="s">
        <v>83</v>
      </c>
      <c r="AD3225" s="3">
        <v>40395</v>
      </c>
      <c r="AE3225" s="4">
        <v>0.83333333333333337</v>
      </c>
      <c r="AF3225" s="2"/>
      <c r="AG3225" s="2"/>
      <c r="AH3225" s="2">
        <v>2</v>
      </c>
      <c r="AI3225" s="2" t="s">
        <v>84</v>
      </c>
      <c r="AJ3225" s="2">
        <v>12</v>
      </c>
      <c r="AK3225" s="2" t="s">
        <v>85</v>
      </c>
      <c r="AL3225" s="2">
        <v>25</v>
      </c>
      <c r="AM3225" s="2" t="s">
        <v>3073</v>
      </c>
      <c r="AN3225" s="2" t="s">
        <v>10456</v>
      </c>
      <c r="AO3225" s="2" t="s">
        <v>6196</v>
      </c>
      <c r="AP3225" s="2">
        <v>11</v>
      </c>
      <c r="AQ3225" s="2" t="s">
        <v>82</v>
      </c>
      <c r="AR3225" s="2"/>
      <c r="AS3225" s="2"/>
      <c r="AT3225" s="2" t="s">
        <v>10457</v>
      </c>
      <c r="AU3225" s="2">
        <v>2</v>
      </c>
      <c r="AV3225" s="2"/>
      <c r="AW3225" s="2"/>
      <c r="AX3225" s="2"/>
      <c r="AY3225" s="2">
        <v>41</v>
      </c>
      <c r="AZ3225" s="2" t="s">
        <v>82</v>
      </c>
      <c r="BA3225" s="2">
        <v>41</v>
      </c>
      <c r="BB3225" s="2" t="s">
        <v>82</v>
      </c>
      <c r="BC3225" s="2">
        <v>41</v>
      </c>
      <c r="BD3225" s="2" t="s">
        <v>82</v>
      </c>
      <c r="BE3225" s="2">
        <v>41</v>
      </c>
      <c r="BF3225" s="2" t="s">
        <v>82</v>
      </c>
      <c r="BG3225" s="2"/>
      <c r="BH3225" s="2"/>
      <c r="BI3225" s="2"/>
      <c r="BJ3225" s="2">
        <v>241</v>
      </c>
      <c r="BK3225" s="2" t="s">
        <v>82</v>
      </c>
      <c r="BL3225" s="2"/>
      <c r="BM3225" s="2">
        <v>241</v>
      </c>
      <c r="BN3225" s="2" t="s">
        <v>82</v>
      </c>
      <c r="BO3225" s="2"/>
      <c r="BP3225" s="2">
        <v>241</v>
      </c>
      <c r="BQ3225" s="2" t="s">
        <v>82</v>
      </c>
      <c r="BR3225" s="2"/>
      <c r="BS3225" s="3">
        <v>40396</v>
      </c>
      <c r="BT3225" s="4">
        <v>0.3348842592592593</v>
      </c>
    </row>
    <row r="3226" spans="1:72" x14ac:dyDescent="0.25">
      <c r="A3226" s="2">
        <v>4761</v>
      </c>
      <c r="B3226" s="2">
        <v>2010</v>
      </c>
      <c r="C3226" s="2" t="s">
        <v>4543</v>
      </c>
      <c r="D3226" s="2" t="s">
        <v>122</v>
      </c>
      <c r="E3226" s="2"/>
      <c r="F3226" s="2">
        <v>1</v>
      </c>
      <c r="G3226" s="2" t="s">
        <v>82</v>
      </c>
      <c r="H3226" s="2">
        <v>1</v>
      </c>
      <c r="I3226" s="2" t="s">
        <v>82</v>
      </c>
      <c r="J3226" s="2">
        <v>1</v>
      </c>
      <c r="K3226" s="2" t="s">
        <v>107</v>
      </c>
      <c r="L3226" s="2" t="s">
        <v>107</v>
      </c>
      <c r="M3226" s="3">
        <v>40396</v>
      </c>
      <c r="N3226" s="2"/>
      <c r="O3226" s="2"/>
      <c r="P3226" s="2"/>
      <c r="Q3226" s="2" t="str">
        <f>""</f>
        <v/>
      </c>
      <c r="R3226" s="2"/>
      <c r="S3226" s="2"/>
      <c r="T3226" s="2">
        <v>2</v>
      </c>
      <c r="U3226" s="2" t="s">
        <v>123</v>
      </c>
      <c r="V3226" s="2">
        <v>1</v>
      </c>
      <c r="W3226" s="2" t="s">
        <v>80</v>
      </c>
      <c r="X3226" s="2">
        <v>11</v>
      </c>
      <c r="Y3226" s="2" t="s">
        <v>1920</v>
      </c>
      <c r="Z3226" s="2">
        <v>1</v>
      </c>
      <c r="AA3226" s="2" t="s">
        <v>82</v>
      </c>
      <c r="AB3226" s="2">
        <v>9</v>
      </c>
      <c r="AC3226" s="2" t="s">
        <v>124</v>
      </c>
      <c r="AD3226" s="3">
        <v>40396</v>
      </c>
      <c r="AE3226" s="4">
        <v>0.36458333333333331</v>
      </c>
      <c r="AF3226" s="2"/>
      <c r="AG3226" s="2"/>
      <c r="AH3226" s="2">
        <v>6</v>
      </c>
      <c r="AI3226" s="2" t="s">
        <v>197</v>
      </c>
      <c r="AJ3226" s="2">
        <v>54</v>
      </c>
      <c r="AK3226" s="2" t="s">
        <v>348</v>
      </c>
      <c r="AL3226" s="2">
        <v>18</v>
      </c>
      <c r="AM3226" s="2" t="s">
        <v>82</v>
      </c>
      <c r="AN3226" s="2" t="s">
        <v>595</v>
      </c>
      <c r="AO3226" s="2" t="s">
        <v>200</v>
      </c>
      <c r="AP3226" s="2">
        <v>14</v>
      </c>
      <c r="AQ3226" s="2" t="s">
        <v>3301</v>
      </c>
      <c r="AR3226" s="2" t="s">
        <v>596</v>
      </c>
      <c r="AS3226" s="2" t="s">
        <v>596</v>
      </c>
      <c r="AT3226" s="2" t="s">
        <v>10458</v>
      </c>
      <c r="AU3226" s="2"/>
      <c r="AV3226" s="2"/>
      <c r="AW3226" s="2"/>
      <c r="AX3226" s="2"/>
      <c r="AY3226" s="2">
        <v>1</v>
      </c>
      <c r="AZ3226" s="2" t="s">
        <v>107</v>
      </c>
      <c r="BA3226" s="2">
        <v>1</v>
      </c>
      <c r="BB3226" s="2" t="s">
        <v>107</v>
      </c>
      <c r="BC3226" s="2">
        <v>1</v>
      </c>
      <c r="BD3226" s="2" t="s">
        <v>107</v>
      </c>
      <c r="BE3226" s="2">
        <v>4</v>
      </c>
      <c r="BF3226" s="2" t="s">
        <v>90</v>
      </c>
      <c r="BG3226" s="2" t="s">
        <v>5619</v>
      </c>
      <c r="BH3226" s="4">
        <v>0.32291666666666669</v>
      </c>
      <c r="BI3226" s="4">
        <v>0.36458333333333331</v>
      </c>
      <c r="BJ3226" s="2">
        <v>13</v>
      </c>
      <c r="BK3226" s="2" t="s">
        <v>91</v>
      </c>
      <c r="BL3226" s="2" t="s">
        <v>7629</v>
      </c>
      <c r="BM3226" s="2">
        <v>242</v>
      </c>
      <c r="BN3226" s="2" t="s">
        <v>107</v>
      </c>
      <c r="BO3226" s="2" t="s">
        <v>107</v>
      </c>
      <c r="BP3226" s="2">
        <v>242</v>
      </c>
      <c r="BQ3226" s="2" t="s">
        <v>107</v>
      </c>
      <c r="BR3226" s="2" t="s">
        <v>905</v>
      </c>
      <c r="BS3226" s="3">
        <v>40396</v>
      </c>
      <c r="BT3226" s="4">
        <v>0.36905092592592598</v>
      </c>
    </row>
    <row r="3227" spans="1:72" x14ac:dyDescent="0.25">
      <c r="A3227" s="2">
        <v>4762</v>
      </c>
      <c r="B3227" s="2">
        <v>2010</v>
      </c>
      <c r="C3227" s="2" t="s">
        <v>72</v>
      </c>
      <c r="D3227" s="2" t="s">
        <v>73</v>
      </c>
      <c r="E3227" s="2"/>
      <c r="F3227" s="2">
        <v>638</v>
      </c>
      <c r="G3227" s="2" t="s">
        <v>8288</v>
      </c>
      <c r="H3227" s="2">
        <v>1</v>
      </c>
      <c r="I3227" s="2" t="s">
        <v>82</v>
      </c>
      <c r="J3227" s="2">
        <v>587</v>
      </c>
      <c r="K3227" s="2" t="s">
        <v>8411</v>
      </c>
      <c r="L3227" s="2" t="s">
        <v>8412</v>
      </c>
      <c r="M3227" s="3">
        <v>40396</v>
      </c>
      <c r="N3227" s="2" t="s">
        <v>10459</v>
      </c>
      <c r="O3227" s="2" t="s">
        <v>107</v>
      </c>
      <c r="P3227" s="2" t="s">
        <v>107</v>
      </c>
      <c r="Q3227" s="2" t="str">
        <f>"44-10"</f>
        <v>44-10</v>
      </c>
      <c r="R3227" s="2" t="s">
        <v>107</v>
      </c>
      <c r="S3227" s="2" t="s">
        <v>116</v>
      </c>
      <c r="T3227" s="2">
        <v>1</v>
      </c>
      <c r="U3227" s="2" t="s">
        <v>79</v>
      </c>
      <c r="V3227" s="2">
        <v>1</v>
      </c>
      <c r="W3227" s="2" t="s">
        <v>80</v>
      </c>
      <c r="X3227" s="2">
        <v>12</v>
      </c>
      <c r="Y3227" s="2" t="s">
        <v>148</v>
      </c>
      <c r="Z3227" s="2">
        <v>1</v>
      </c>
      <c r="AA3227" s="2" t="s">
        <v>82</v>
      </c>
      <c r="AB3227" s="2">
        <v>6</v>
      </c>
      <c r="AC3227" s="2" t="s">
        <v>83</v>
      </c>
      <c r="AD3227" s="3">
        <v>40396</v>
      </c>
      <c r="AE3227" s="2"/>
      <c r="AF3227" s="3">
        <v>40396</v>
      </c>
      <c r="AG3227" s="4">
        <v>0.375</v>
      </c>
      <c r="AH3227" s="2">
        <v>3</v>
      </c>
      <c r="AI3227" s="2" t="s">
        <v>214</v>
      </c>
      <c r="AJ3227" s="2">
        <v>24</v>
      </c>
      <c r="AK3227" s="2" t="s">
        <v>215</v>
      </c>
      <c r="AL3227" s="2">
        <v>22</v>
      </c>
      <c r="AM3227" s="2" t="s">
        <v>1853</v>
      </c>
      <c r="AN3227" s="2" t="s">
        <v>7619</v>
      </c>
      <c r="AO3227" s="2" t="s">
        <v>107</v>
      </c>
      <c r="AP3227" s="2">
        <v>11</v>
      </c>
      <c r="AQ3227" s="2" t="s">
        <v>82</v>
      </c>
      <c r="AR3227" s="2"/>
      <c r="AS3227" s="2"/>
      <c r="AT3227" s="2" t="s">
        <v>10460</v>
      </c>
      <c r="AU3227" s="2"/>
      <c r="AV3227" s="2"/>
      <c r="AW3227" s="2"/>
      <c r="AX3227" s="2"/>
      <c r="AY3227" s="2">
        <v>41</v>
      </c>
      <c r="AZ3227" s="2" t="s">
        <v>82</v>
      </c>
      <c r="BA3227" s="2">
        <v>41</v>
      </c>
      <c r="BB3227" s="2" t="s">
        <v>82</v>
      </c>
      <c r="BC3227" s="2">
        <v>41</v>
      </c>
      <c r="BD3227" s="2" t="s">
        <v>82</v>
      </c>
      <c r="BE3227" s="2">
        <v>13</v>
      </c>
      <c r="BF3227" s="2" t="s">
        <v>108</v>
      </c>
      <c r="BG3227" s="2">
        <v>2502</v>
      </c>
      <c r="BH3227" s="4">
        <v>0.33333333333333331</v>
      </c>
      <c r="BI3227" s="4">
        <v>0.28472222222222221</v>
      </c>
      <c r="BJ3227" s="2">
        <v>13</v>
      </c>
      <c r="BK3227" s="2" t="s">
        <v>91</v>
      </c>
      <c r="BL3227" s="2" t="s">
        <v>9724</v>
      </c>
      <c r="BM3227" s="2">
        <v>241</v>
      </c>
      <c r="BN3227" s="2" t="s">
        <v>82</v>
      </c>
      <c r="BO3227" s="2"/>
      <c r="BP3227" s="2">
        <v>13</v>
      </c>
      <c r="BQ3227" s="2" t="s">
        <v>91</v>
      </c>
      <c r="BR3227" s="2" t="s">
        <v>169</v>
      </c>
      <c r="BS3227" s="3">
        <v>40396</v>
      </c>
      <c r="BT3227" s="4">
        <v>0.44390046296296298</v>
      </c>
    </row>
    <row r="3228" spans="1:72" x14ac:dyDescent="0.25">
      <c r="A3228" s="2">
        <v>4767</v>
      </c>
      <c r="B3228" s="2">
        <v>2010</v>
      </c>
      <c r="C3228" s="2" t="s">
        <v>4543</v>
      </c>
      <c r="D3228" s="2" t="s">
        <v>122</v>
      </c>
      <c r="E3228" s="2"/>
      <c r="F3228" s="2">
        <v>1</v>
      </c>
      <c r="G3228" s="2" t="s">
        <v>82</v>
      </c>
      <c r="H3228" s="2">
        <v>1</v>
      </c>
      <c r="I3228" s="2" t="s">
        <v>82</v>
      </c>
      <c r="J3228" s="2">
        <v>1</v>
      </c>
      <c r="K3228" s="2" t="s">
        <v>107</v>
      </c>
      <c r="L3228" s="2" t="s">
        <v>107</v>
      </c>
      <c r="M3228" s="3">
        <v>40396</v>
      </c>
      <c r="N3228" s="2" t="s">
        <v>82</v>
      </c>
      <c r="O3228" s="2" t="s">
        <v>82</v>
      </c>
      <c r="P3228" s="2" t="s">
        <v>82</v>
      </c>
      <c r="Q3228" s="2" t="str">
        <f>"N/C"</f>
        <v>N/C</v>
      </c>
      <c r="R3228" s="2" t="s">
        <v>82</v>
      </c>
      <c r="S3228" s="2" t="s">
        <v>82</v>
      </c>
      <c r="T3228" s="2">
        <v>2</v>
      </c>
      <c r="U3228" s="2" t="s">
        <v>123</v>
      </c>
      <c r="V3228" s="2">
        <v>1</v>
      </c>
      <c r="W3228" s="2" t="s">
        <v>80</v>
      </c>
      <c r="X3228" s="2">
        <v>11</v>
      </c>
      <c r="Y3228" s="2" t="s">
        <v>1920</v>
      </c>
      <c r="Z3228" s="2">
        <v>10</v>
      </c>
      <c r="AA3228" s="2" t="s">
        <v>236</v>
      </c>
      <c r="AB3228" s="2">
        <v>9</v>
      </c>
      <c r="AC3228" s="2" t="s">
        <v>124</v>
      </c>
      <c r="AD3228" s="3">
        <v>40396</v>
      </c>
      <c r="AE3228" s="4">
        <v>0.50694444444444442</v>
      </c>
      <c r="AF3228" s="2"/>
      <c r="AG3228" s="2"/>
      <c r="AH3228" s="2">
        <v>6</v>
      </c>
      <c r="AI3228" s="2" t="s">
        <v>197</v>
      </c>
      <c r="AJ3228" s="2">
        <v>54</v>
      </c>
      <c r="AK3228" s="2" t="s">
        <v>348</v>
      </c>
      <c r="AL3228" s="2">
        <v>10</v>
      </c>
      <c r="AM3228" s="2" t="s">
        <v>200</v>
      </c>
      <c r="AN3228" s="2" t="s">
        <v>10461</v>
      </c>
      <c r="AO3228" s="2" t="s">
        <v>200</v>
      </c>
      <c r="AP3228" s="2">
        <v>12</v>
      </c>
      <c r="AQ3228" s="2" t="s">
        <v>322</v>
      </c>
      <c r="AR3228" s="2" t="s">
        <v>9553</v>
      </c>
      <c r="AS3228" s="2" t="s">
        <v>9553</v>
      </c>
      <c r="AT3228" s="2" t="s">
        <v>10462</v>
      </c>
      <c r="AU3228" s="2"/>
      <c r="AV3228" s="2"/>
      <c r="AW3228" s="2"/>
      <c r="AX3228" s="2"/>
      <c r="AY3228" s="2">
        <v>41</v>
      </c>
      <c r="AZ3228" s="2" t="s">
        <v>82</v>
      </c>
      <c r="BA3228" s="2">
        <v>41</v>
      </c>
      <c r="BB3228" s="2" t="s">
        <v>82</v>
      </c>
      <c r="BC3228" s="2">
        <v>41</v>
      </c>
      <c r="BD3228" s="2" t="s">
        <v>82</v>
      </c>
      <c r="BE3228" s="2">
        <v>47</v>
      </c>
      <c r="BF3228" s="2" t="s">
        <v>167</v>
      </c>
      <c r="BG3228" s="2">
        <v>2833</v>
      </c>
      <c r="BH3228" s="4">
        <v>0.44097222222222227</v>
      </c>
      <c r="BI3228" s="4">
        <v>0.50694444444444442</v>
      </c>
      <c r="BJ3228" s="2">
        <v>13</v>
      </c>
      <c r="BK3228" s="2" t="s">
        <v>91</v>
      </c>
      <c r="BL3228" s="2" t="s">
        <v>1833</v>
      </c>
      <c r="BM3228" s="2">
        <v>13</v>
      </c>
      <c r="BN3228" s="2" t="s">
        <v>91</v>
      </c>
      <c r="BO3228" s="2" t="s">
        <v>107</v>
      </c>
      <c r="BP3228" s="2">
        <v>13</v>
      </c>
      <c r="BQ3228" s="2" t="s">
        <v>91</v>
      </c>
      <c r="BR3228" s="2" t="s">
        <v>984</v>
      </c>
      <c r="BS3228" s="3">
        <v>40396</v>
      </c>
      <c r="BT3228" s="4">
        <v>0.5209259259259259</v>
      </c>
    </row>
    <row r="3229" spans="1:72" x14ac:dyDescent="0.25">
      <c r="A3229" s="2">
        <v>4768</v>
      </c>
      <c r="B3229" s="2">
        <v>2010</v>
      </c>
      <c r="C3229" s="2" t="s">
        <v>171</v>
      </c>
      <c r="D3229" s="2" t="s">
        <v>73</v>
      </c>
      <c r="E3229" s="2"/>
      <c r="F3229" s="2">
        <v>400</v>
      </c>
      <c r="G3229" s="2" t="s">
        <v>3601</v>
      </c>
      <c r="H3229" s="2">
        <v>17</v>
      </c>
      <c r="I3229" s="2" t="s">
        <v>3602</v>
      </c>
      <c r="J3229" s="2">
        <v>316</v>
      </c>
      <c r="K3229" s="2" t="s">
        <v>574</v>
      </c>
      <c r="L3229" s="2" t="s">
        <v>575</v>
      </c>
      <c r="M3229" s="3">
        <v>40396</v>
      </c>
      <c r="N3229" s="2" t="s">
        <v>3826</v>
      </c>
      <c r="O3229" s="2"/>
      <c r="P3229" s="2"/>
      <c r="Q3229" s="2" t="str">
        <f>"400-E/100"</f>
        <v>400-E/100</v>
      </c>
      <c r="R3229" s="2" t="s">
        <v>391</v>
      </c>
      <c r="S3229" s="2"/>
      <c r="T3229" s="2">
        <v>1</v>
      </c>
      <c r="U3229" s="2" t="s">
        <v>79</v>
      </c>
      <c r="V3229" s="2">
        <v>1</v>
      </c>
      <c r="W3229" s="2" t="s">
        <v>80</v>
      </c>
      <c r="X3229" s="2">
        <v>1</v>
      </c>
      <c r="Y3229" s="2" t="s">
        <v>81</v>
      </c>
      <c r="Z3229" s="2">
        <v>1</v>
      </c>
      <c r="AA3229" s="2" t="s">
        <v>82</v>
      </c>
      <c r="AB3229" s="2">
        <v>1</v>
      </c>
      <c r="AC3229" s="2" t="s">
        <v>178</v>
      </c>
      <c r="AD3229" s="3">
        <v>40396</v>
      </c>
      <c r="AE3229" s="4">
        <v>0.16666666666666666</v>
      </c>
      <c r="AF3229" s="2"/>
      <c r="AG3229" s="2"/>
      <c r="AH3229" s="2">
        <v>2</v>
      </c>
      <c r="AI3229" s="2" t="s">
        <v>84</v>
      </c>
      <c r="AJ3229" s="2">
        <v>9</v>
      </c>
      <c r="AK3229" s="2" t="s">
        <v>103</v>
      </c>
      <c r="AL3229" s="2">
        <v>14</v>
      </c>
      <c r="AM3229" s="2" t="s">
        <v>216</v>
      </c>
      <c r="AN3229" s="2"/>
      <c r="AO3229" s="2" t="s">
        <v>4116</v>
      </c>
      <c r="AP3229" s="2">
        <v>11</v>
      </c>
      <c r="AQ3229" s="2" t="s">
        <v>82</v>
      </c>
      <c r="AR3229" s="2"/>
      <c r="AS3229" s="2"/>
      <c r="AT3229" s="2" t="s">
        <v>10463</v>
      </c>
      <c r="AU3229" s="2"/>
      <c r="AV3229" s="2">
        <v>1</v>
      </c>
      <c r="AW3229" s="2"/>
      <c r="AX3229" s="2"/>
      <c r="AY3229" s="2">
        <v>42</v>
      </c>
      <c r="AZ3229" s="2" t="s">
        <v>182</v>
      </c>
      <c r="BA3229" s="2">
        <v>41</v>
      </c>
      <c r="BB3229" s="2" t="s">
        <v>82</v>
      </c>
      <c r="BC3229" s="2">
        <v>41</v>
      </c>
      <c r="BD3229" s="2" t="s">
        <v>82</v>
      </c>
      <c r="BE3229" s="2">
        <v>20</v>
      </c>
      <c r="BF3229" s="2" t="s">
        <v>1681</v>
      </c>
      <c r="BG3229" s="2" t="s">
        <v>10464</v>
      </c>
      <c r="BH3229" s="2"/>
      <c r="BI3229" s="2"/>
      <c r="BJ3229" s="2">
        <v>173</v>
      </c>
      <c r="BK3229" s="2" t="s">
        <v>223</v>
      </c>
      <c r="BL3229" s="2" t="s">
        <v>224</v>
      </c>
      <c r="BM3229" s="2">
        <v>241</v>
      </c>
      <c r="BN3229" s="2" t="s">
        <v>82</v>
      </c>
      <c r="BO3229" s="2" t="s">
        <v>82</v>
      </c>
      <c r="BP3229" s="2">
        <v>13</v>
      </c>
      <c r="BQ3229" s="2" t="s">
        <v>91</v>
      </c>
      <c r="BR3229" s="2" t="s">
        <v>360</v>
      </c>
      <c r="BS3229" s="3">
        <v>40396</v>
      </c>
      <c r="BT3229" s="4">
        <v>0.52469907407407412</v>
      </c>
    </row>
    <row r="3230" spans="1:72" x14ac:dyDescent="0.25">
      <c r="A3230" s="2">
        <v>4771</v>
      </c>
      <c r="B3230" s="2">
        <v>2010</v>
      </c>
      <c r="C3230" s="2" t="s">
        <v>128</v>
      </c>
      <c r="D3230" s="2" t="s">
        <v>122</v>
      </c>
      <c r="E3230" s="2" t="s">
        <v>10465</v>
      </c>
      <c r="F3230" s="2">
        <v>221</v>
      </c>
      <c r="G3230" s="2" t="s">
        <v>8422</v>
      </c>
      <c r="H3230" s="2">
        <v>42</v>
      </c>
      <c r="I3230" s="2" t="s">
        <v>1096</v>
      </c>
      <c r="J3230" s="2">
        <v>620</v>
      </c>
      <c r="K3230" s="2" t="s">
        <v>9617</v>
      </c>
      <c r="L3230" s="2" t="s">
        <v>9618</v>
      </c>
      <c r="M3230" s="3">
        <v>40396</v>
      </c>
      <c r="N3230" s="2" t="s">
        <v>10133</v>
      </c>
      <c r="O3230" s="2" t="s">
        <v>107</v>
      </c>
      <c r="P3230" s="2" t="s">
        <v>107</v>
      </c>
      <c r="Q3230" s="2" t="str">
        <f>"291-A/10"</f>
        <v>291-A/10</v>
      </c>
      <c r="R3230" s="2" t="s">
        <v>107</v>
      </c>
      <c r="S3230" s="2" t="s">
        <v>10134</v>
      </c>
      <c r="T3230" s="2">
        <v>1</v>
      </c>
      <c r="U3230" s="2" t="s">
        <v>79</v>
      </c>
      <c r="V3230" s="2">
        <v>1</v>
      </c>
      <c r="W3230" s="2" t="s">
        <v>80</v>
      </c>
      <c r="X3230" s="2">
        <v>12</v>
      </c>
      <c r="Y3230" s="2" t="s">
        <v>148</v>
      </c>
      <c r="Z3230" s="2">
        <v>1</v>
      </c>
      <c r="AA3230" s="2" t="s">
        <v>82</v>
      </c>
      <c r="AB3230" s="2">
        <v>9</v>
      </c>
      <c r="AC3230" s="2" t="s">
        <v>124</v>
      </c>
      <c r="AD3230" s="3">
        <v>40388</v>
      </c>
      <c r="AE3230" s="4">
        <v>0.97916666666666663</v>
      </c>
      <c r="AF3230" s="3">
        <v>40388</v>
      </c>
      <c r="AG3230" s="4">
        <v>0.99652777777777779</v>
      </c>
      <c r="AH3230" s="2">
        <v>2</v>
      </c>
      <c r="AI3230" s="2" t="s">
        <v>84</v>
      </c>
      <c r="AJ3230" s="2">
        <v>12</v>
      </c>
      <c r="AK3230" s="2" t="s">
        <v>85</v>
      </c>
      <c r="AL3230" s="2">
        <v>9</v>
      </c>
      <c r="AM3230" s="2" t="s">
        <v>259</v>
      </c>
      <c r="AN3230" s="2" t="s">
        <v>107</v>
      </c>
      <c r="AO3230" s="2" t="s">
        <v>8949</v>
      </c>
      <c r="AP3230" s="2">
        <v>11</v>
      </c>
      <c r="AQ3230" s="2" t="s">
        <v>82</v>
      </c>
      <c r="AR3230" s="2"/>
      <c r="AS3230" s="2"/>
      <c r="AT3230" s="2" t="s">
        <v>10466</v>
      </c>
      <c r="AU3230" s="2">
        <v>1</v>
      </c>
      <c r="AV3230" s="2"/>
      <c r="AW3230" s="2"/>
      <c r="AX3230" s="2"/>
      <c r="AY3230" s="2">
        <v>41</v>
      </c>
      <c r="AZ3230" s="2" t="s">
        <v>82</v>
      </c>
      <c r="BA3230" s="2">
        <v>41</v>
      </c>
      <c r="BB3230" s="2" t="s">
        <v>82</v>
      </c>
      <c r="BC3230" s="2">
        <v>41</v>
      </c>
      <c r="BD3230" s="2" t="s">
        <v>82</v>
      </c>
      <c r="BE3230" s="2">
        <v>41</v>
      </c>
      <c r="BF3230" s="2" t="s">
        <v>82</v>
      </c>
      <c r="BG3230" s="2"/>
      <c r="BH3230" s="2"/>
      <c r="BI3230" s="2"/>
      <c r="BJ3230" s="2">
        <v>241</v>
      </c>
      <c r="BK3230" s="2" t="s">
        <v>82</v>
      </c>
      <c r="BL3230" s="2"/>
      <c r="BM3230" s="2">
        <v>241</v>
      </c>
      <c r="BN3230" s="2" t="s">
        <v>82</v>
      </c>
      <c r="BO3230" s="2"/>
      <c r="BP3230" s="2">
        <v>241</v>
      </c>
      <c r="BQ3230" s="2" t="s">
        <v>82</v>
      </c>
      <c r="BR3230" s="2"/>
      <c r="BS3230" s="3">
        <v>40396</v>
      </c>
      <c r="BT3230" s="4">
        <v>0.57861111111111108</v>
      </c>
    </row>
    <row r="3231" spans="1:72" x14ac:dyDescent="0.25">
      <c r="A3231" s="2">
        <v>4773</v>
      </c>
      <c r="B3231" s="2">
        <v>2010</v>
      </c>
      <c r="C3231" s="2" t="s">
        <v>171</v>
      </c>
      <c r="D3231" s="2" t="s">
        <v>73</v>
      </c>
      <c r="E3231" s="2"/>
      <c r="F3231" s="2">
        <v>100</v>
      </c>
      <c r="G3231" s="2" t="s">
        <v>517</v>
      </c>
      <c r="H3231" s="2">
        <v>47</v>
      </c>
      <c r="I3231" s="2" t="s">
        <v>1409</v>
      </c>
      <c r="J3231" s="2">
        <v>119</v>
      </c>
      <c r="K3231" s="2" t="s">
        <v>325</v>
      </c>
      <c r="L3231" s="2" t="s">
        <v>326</v>
      </c>
      <c r="M3231" s="3">
        <v>40396</v>
      </c>
      <c r="N3231" s="2" t="s">
        <v>327</v>
      </c>
      <c r="O3231" s="2" t="s">
        <v>8062</v>
      </c>
      <c r="P3231" s="2" t="s">
        <v>8063</v>
      </c>
      <c r="Q3231" s="2" t="str">
        <f>""</f>
        <v/>
      </c>
      <c r="R3231" s="2"/>
      <c r="S3231" s="2"/>
      <c r="T3231" s="2">
        <v>1</v>
      </c>
      <c r="U3231" s="2" t="s">
        <v>79</v>
      </c>
      <c r="V3231" s="2">
        <v>3</v>
      </c>
      <c r="W3231" s="2" t="s">
        <v>225</v>
      </c>
      <c r="X3231" s="2">
        <v>6</v>
      </c>
      <c r="Y3231" s="2" t="s">
        <v>249</v>
      </c>
      <c r="Z3231" s="2">
        <v>1</v>
      </c>
      <c r="AA3231" s="2" t="s">
        <v>82</v>
      </c>
      <c r="AB3231" s="2">
        <v>9</v>
      </c>
      <c r="AC3231" s="2" t="s">
        <v>124</v>
      </c>
      <c r="AD3231" s="3">
        <v>40396</v>
      </c>
      <c r="AE3231" s="2"/>
      <c r="AF3231" s="2"/>
      <c r="AG3231" s="2"/>
      <c r="AH3231" s="2">
        <v>6</v>
      </c>
      <c r="AI3231" s="2" t="s">
        <v>197</v>
      </c>
      <c r="AJ3231" s="2">
        <v>47</v>
      </c>
      <c r="AK3231" s="2" t="s">
        <v>250</v>
      </c>
      <c r="AL3231" s="2">
        <v>23</v>
      </c>
      <c r="AM3231" s="2" t="s">
        <v>251</v>
      </c>
      <c r="AN3231" s="2"/>
      <c r="AO3231" s="2"/>
      <c r="AP3231" s="2">
        <v>11</v>
      </c>
      <c r="AQ3231" s="2" t="s">
        <v>82</v>
      </c>
      <c r="AR3231" s="2"/>
      <c r="AS3231" s="2"/>
      <c r="AT3231" s="2" t="s">
        <v>10467</v>
      </c>
      <c r="AU3231" s="2"/>
      <c r="AV3231" s="2"/>
      <c r="AW3231" s="2"/>
      <c r="AX3231" s="2"/>
      <c r="AY3231" s="2">
        <v>1</v>
      </c>
      <c r="AZ3231" s="2" t="s">
        <v>107</v>
      </c>
      <c r="BA3231" s="2">
        <v>1</v>
      </c>
      <c r="BB3231" s="2" t="s">
        <v>107</v>
      </c>
      <c r="BC3231" s="2">
        <v>1</v>
      </c>
      <c r="BD3231" s="2" t="s">
        <v>107</v>
      </c>
      <c r="BE3231" s="2">
        <v>1</v>
      </c>
      <c r="BF3231" s="2" t="s">
        <v>107</v>
      </c>
      <c r="BG3231" s="2"/>
      <c r="BH3231" s="2"/>
      <c r="BI3231" s="2"/>
      <c r="BJ3231" s="2">
        <v>242</v>
      </c>
      <c r="BK3231" s="2" t="s">
        <v>107</v>
      </c>
      <c r="BL3231" s="2"/>
      <c r="BM3231" s="2">
        <v>242</v>
      </c>
      <c r="BN3231" s="2" t="s">
        <v>107</v>
      </c>
      <c r="BO3231" s="2"/>
      <c r="BP3231" s="2">
        <v>242</v>
      </c>
      <c r="BQ3231" s="2" t="s">
        <v>107</v>
      </c>
      <c r="BR3231" s="2"/>
      <c r="BS3231" s="3">
        <v>40396</v>
      </c>
      <c r="BT3231" s="4">
        <v>0.64256944444444442</v>
      </c>
    </row>
    <row r="3232" spans="1:72" x14ac:dyDescent="0.25">
      <c r="A3232" s="2">
        <v>4774</v>
      </c>
      <c r="B3232" s="2">
        <v>2010</v>
      </c>
      <c r="C3232" s="2" t="s">
        <v>171</v>
      </c>
      <c r="D3232" s="2" t="s">
        <v>73</v>
      </c>
      <c r="E3232" s="2"/>
      <c r="F3232" s="2">
        <v>118</v>
      </c>
      <c r="G3232" s="2" t="s">
        <v>4266</v>
      </c>
      <c r="H3232" s="2">
        <v>24</v>
      </c>
      <c r="I3232" s="2" t="s">
        <v>287</v>
      </c>
      <c r="J3232" s="2">
        <v>135</v>
      </c>
      <c r="K3232" s="2" t="s">
        <v>2502</v>
      </c>
      <c r="L3232" s="2" t="s">
        <v>2503</v>
      </c>
      <c r="M3232" s="3">
        <v>40396</v>
      </c>
      <c r="N3232" s="2" t="s">
        <v>10468</v>
      </c>
      <c r="O3232" s="2" t="s">
        <v>10469</v>
      </c>
      <c r="P3232" s="2" t="s">
        <v>10470</v>
      </c>
      <c r="Q3232" s="2" t="str">
        <f>""</f>
        <v/>
      </c>
      <c r="R3232" s="2"/>
      <c r="S3232" s="2"/>
      <c r="T3232" s="2">
        <v>1</v>
      </c>
      <c r="U3232" s="2" t="s">
        <v>79</v>
      </c>
      <c r="V3232" s="2">
        <v>3</v>
      </c>
      <c r="W3232" s="2" t="s">
        <v>225</v>
      </c>
      <c r="X3232" s="2">
        <v>6</v>
      </c>
      <c r="Y3232" s="2" t="s">
        <v>249</v>
      </c>
      <c r="Z3232" s="2">
        <v>1</v>
      </c>
      <c r="AA3232" s="2" t="s">
        <v>82</v>
      </c>
      <c r="AB3232" s="2">
        <v>9</v>
      </c>
      <c r="AC3232" s="2" t="s">
        <v>124</v>
      </c>
      <c r="AD3232" s="3">
        <v>40396</v>
      </c>
      <c r="AE3232" s="2"/>
      <c r="AF3232" s="2"/>
      <c r="AG3232" s="2"/>
      <c r="AH3232" s="2">
        <v>6</v>
      </c>
      <c r="AI3232" s="2" t="s">
        <v>197</v>
      </c>
      <c r="AJ3232" s="2">
        <v>47</v>
      </c>
      <c r="AK3232" s="2" t="s">
        <v>250</v>
      </c>
      <c r="AL3232" s="2">
        <v>23</v>
      </c>
      <c r="AM3232" s="2" t="s">
        <v>251</v>
      </c>
      <c r="AN3232" s="2"/>
      <c r="AO3232" s="2"/>
      <c r="AP3232" s="2">
        <v>11</v>
      </c>
      <c r="AQ3232" s="2" t="s">
        <v>82</v>
      </c>
      <c r="AR3232" s="2"/>
      <c r="AS3232" s="2"/>
      <c r="AT3232" s="2" t="s">
        <v>10471</v>
      </c>
      <c r="AU3232" s="2"/>
      <c r="AV3232" s="2"/>
      <c r="AW3232" s="2"/>
      <c r="AX3232" s="2"/>
      <c r="AY3232" s="2">
        <v>1</v>
      </c>
      <c r="AZ3232" s="2" t="s">
        <v>107</v>
      </c>
      <c r="BA3232" s="2">
        <v>1</v>
      </c>
      <c r="BB3232" s="2" t="s">
        <v>107</v>
      </c>
      <c r="BC3232" s="2">
        <v>1</v>
      </c>
      <c r="BD3232" s="2" t="s">
        <v>107</v>
      </c>
      <c r="BE3232" s="2">
        <v>1</v>
      </c>
      <c r="BF3232" s="2" t="s">
        <v>107</v>
      </c>
      <c r="BG3232" s="2"/>
      <c r="BH3232" s="2"/>
      <c r="BI3232" s="2"/>
      <c r="BJ3232" s="2">
        <v>242</v>
      </c>
      <c r="BK3232" s="2" t="s">
        <v>107</v>
      </c>
      <c r="BL3232" s="2"/>
      <c r="BM3232" s="2">
        <v>242</v>
      </c>
      <c r="BN3232" s="2" t="s">
        <v>107</v>
      </c>
      <c r="BO3232" s="2"/>
      <c r="BP3232" s="2">
        <v>242</v>
      </c>
      <c r="BQ3232" s="2" t="s">
        <v>107</v>
      </c>
      <c r="BR3232" s="2"/>
      <c r="BS3232" s="3">
        <v>40396</v>
      </c>
      <c r="BT3232" s="4">
        <v>0.65515046296296298</v>
      </c>
    </row>
    <row r="3233" spans="1:72" x14ac:dyDescent="0.25">
      <c r="A3233" s="2">
        <v>4777</v>
      </c>
      <c r="B3233" s="2">
        <v>2010</v>
      </c>
      <c r="C3233" s="2" t="s">
        <v>457</v>
      </c>
      <c r="D3233" s="2" t="s">
        <v>73</v>
      </c>
      <c r="E3233" s="2"/>
      <c r="F3233" s="2">
        <v>467</v>
      </c>
      <c r="G3233" s="2" t="s">
        <v>1053</v>
      </c>
      <c r="H3233" s="2">
        <v>22</v>
      </c>
      <c r="I3233" s="2" t="s">
        <v>75</v>
      </c>
      <c r="J3233" s="2">
        <v>369</v>
      </c>
      <c r="K3233" s="2" t="s">
        <v>1054</v>
      </c>
      <c r="L3233" s="2" t="s">
        <v>1055</v>
      </c>
      <c r="M3233" s="3">
        <v>40396</v>
      </c>
      <c r="N3233" s="2" t="s">
        <v>3617</v>
      </c>
      <c r="O3233" s="2" t="s">
        <v>10472</v>
      </c>
      <c r="P3233" s="2" t="s">
        <v>10473</v>
      </c>
      <c r="Q3233" s="2" t="str">
        <f>""</f>
        <v/>
      </c>
      <c r="R3233" s="2"/>
      <c r="S3233" s="2"/>
      <c r="T3233" s="2">
        <v>1</v>
      </c>
      <c r="U3233" s="2" t="s">
        <v>79</v>
      </c>
      <c r="V3233" s="2">
        <v>1</v>
      </c>
      <c r="W3233" s="2" t="s">
        <v>80</v>
      </c>
      <c r="X3233" s="2">
        <v>10</v>
      </c>
      <c r="Y3233" s="2" t="s">
        <v>226</v>
      </c>
      <c r="Z3233" s="2">
        <v>6</v>
      </c>
      <c r="AA3233" s="2" t="s">
        <v>101</v>
      </c>
      <c r="AB3233" s="2">
        <v>9</v>
      </c>
      <c r="AC3233" s="2" t="s">
        <v>124</v>
      </c>
      <c r="AD3233" s="3">
        <v>40396</v>
      </c>
      <c r="AE3233" s="4">
        <v>0.61111111111111105</v>
      </c>
      <c r="AF3233" s="2"/>
      <c r="AG3233" s="2"/>
      <c r="AH3233" s="2">
        <v>4</v>
      </c>
      <c r="AI3233" s="2" t="s">
        <v>125</v>
      </c>
      <c r="AJ3233" s="2">
        <v>29</v>
      </c>
      <c r="AK3233" s="2" t="s">
        <v>227</v>
      </c>
      <c r="AL3233" s="2">
        <v>11</v>
      </c>
      <c r="AM3233" s="2" t="s">
        <v>137</v>
      </c>
      <c r="AN3233" s="2" t="s">
        <v>2701</v>
      </c>
      <c r="AO3233" s="2"/>
      <c r="AP3233" s="2">
        <v>11</v>
      </c>
      <c r="AQ3233" s="2" t="s">
        <v>82</v>
      </c>
      <c r="AR3233" s="2"/>
      <c r="AS3233" s="2"/>
      <c r="AT3233" s="2" t="s">
        <v>10474</v>
      </c>
      <c r="AU3233" s="2"/>
      <c r="AV3233" s="2"/>
      <c r="AW3233" s="2"/>
      <c r="AX3233" s="2"/>
      <c r="AY3233" s="2">
        <v>41</v>
      </c>
      <c r="AZ3233" s="2" t="s">
        <v>82</v>
      </c>
      <c r="BA3233" s="2">
        <v>41</v>
      </c>
      <c r="BB3233" s="2" t="s">
        <v>82</v>
      </c>
      <c r="BC3233" s="2">
        <v>41</v>
      </c>
      <c r="BD3233" s="2" t="s">
        <v>82</v>
      </c>
      <c r="BE3233" s="2">
        <v>19</v>
      </c>
      <c r="BF3233" s="2" t="s">
        <v>1061</v>
      </c>
      <c r="BG3233" s="2">
        <v>250</v>
      </c>
      <c r="BH3233" s="4">
        <v>0.53472222222222221</v>
      </c>
      <c r="BI3233" s="4">
        <v>0.61111111111111105</v>
      </c>
      <c r="BJ3233" s="2">
        <v>29</v>
      </c>
      <c r="BK3233" s="2" t="s">
        <v>962</v>
      </c>
      <c r="BL3233" s="2" t="s">
        <v>963</v>
      </c>
      <c r="BM3233" s="2">
        <v>13</v>
      </c>
      <c r="BN3233" s="2" t="s">
        <v>91</v>
      </c>
      <c r="BO3233" s="2" t="s">
        <v>828</v>
      </c>
      <c r="BP3233" s="2">
        <v>29</v>
      </c>
      <c r="BQ3233" s="2" t="s">
        <v>962</v>
      </c>
      <c r="BR3233" s="2" t="s">
        <v>963</v>
      </c>
      <c r="BS3233" s="3">
        <v>40396</v>
      </c>
      <c r="BT3233" s="4">
        <v>0.6674768518518519</v>
      </c>
    </row>
    <row r="3234" spans="1:72" x14ac:dyDescent="0.25">
      <c r="A3234" s="2">
        <v>4781</v>
      </c>
      <c r="B3234" s="2">
        <v>2010</v>
      </c>
      <c r="C3234" s="2" t="s">
        <v>377</v>
      </c>
      <c r="D3234" s="2" t="s">
        <v>73</v>
      </c>
      <c r="E3234" s="2"/>
      <c r="F3234" s="2">
        <v>426</v>
      </c>
      <c r="G3234" s="2" t="s">
        <v>378</v>
      </c>
      <c r="H3234" s="2">
        <v>22</v>
      </c>
      <c r="I3234" s="2" t="s">
        <v>75</v>
      </c>
      <c r="J3234" s="2">
        <v>311</v>
      </c>
      <c r="K3234" s="2" t="s">
        <v>379</v>
      </c>
      <c r="L3234" s="2" t="s">
        <v>380</v>
      </c>
      <c r="M3234" s="3">
        <v>40396</v>
      </c>
      <c r="N3234" s="2" t="s">
        <v>5164</v>
      </c>
      <c r="O3234" s="2"/>
      <c r="P3234" s="2"/>
      <c r="Q3234" s="2" t="str">
        <f>"198-C/10"</f>
        <v>198-C/10</v>
      </c>
      <c r="R3234" s="2" t="s">
        <v>4428</v>
      </c>
      <c r="S3234" s="2"/>
      <c r="T3234" s="2">
        <v>1</v>
      </c>
      <c r="U3234" s="2" t="s">
        <v>79</v>
      </c>
      <c r="V3234" s="2">
        <v>1</v>
      </c>
      <c r="W3234" s="2" t="s">
        <v>80</v>
      </c>
      <c r="X3234" s="2">
        <v>1</v>
      </c>
      <c r="Y3234" s="2" t="s">
        <v>81</v>
      </c>
      <c r="Z3234" s="2">
        <v>1</v>
      </c>
      <c r="AA3234" s="2" t="s">
        <v>82</v>
      </c>
      <c r="AB3234" s="2">
        <v>9</v>
      </c>
      <c r="AC3234" s="2" t="s">
        <v>124</v>
      </c>
      <c r="AD3234" s="3">
        <v>40396</v>
      </c>
      <c r="AE3234" s="4">
        <v>0.16666666666666666</v>
      </c>
      <c r="AF3234" s="2"/>
      <c r="AG3234" s="2"/>
      <c r="AH3234" s="2">
        <v>2</v>
      </c>
      <c r="AI3234" s="2" t="s">
        <v>84</v>
      </c>
      <c r="AJ3234" s="2">
        <v>9</v>
      </c>
      <c r="AK3234" s="2" t="s">
        <v>103</v>
      </c>
      <c r="AL3234" s="2">
        <v>12</v>
      </c>
      <c r="AM3234" s="2" t="s">
        <v>86</v>
      </c>
      <c r="AN3234" s="2" t="s">
        <v>10475</v>
      </c>
      <c r="AO3234" s="2" t="s">
        <v>7349</v>
      </c>
      <c r="AP3234" s="2">
        <v>11</v>
      </c>
      <c r="AQ3234" s="2" t="s">
        <v>82</v>
      </c>
      <c r="AR3234" s="2"/>
      <c r="AS3234" s="2"/>
      <c r="AT3234" s="2" t="s">
        <v>8531</v>
      </c>
      <c r="AU3234" s="2"/>
      <c r="AV3234" s="2"/>
      <c r="AW3234" s="2"/>
      <c r="AX3234" s="2"/>
      <c r="AY3234" s="2">
        <v>41</v>
      </c>
      <c r="AZ3234" s="2" t="s">
        <v>82</v>
      </c>
      <c r="BA3234" s="2">
        <v>41</v>
      </c>
      <c r="BB3234" s="2" t="s">
        <v>82</v>
      </c>
      <c r="BC3234" s="2">
        <v>41</v>
      </c>
      <c r="BD3234" s="2" t="s">
        <v>82</v>
      </c>
      <c r="BE3234" s="2">
        <v>41</v>
      </c>
      <c r="BF3234" s="2" t="s">
        <v>82</v>
      </c>
      <c r="BG3234" s="2"/>
      <c r="BH3234" s="2"/>
      <c r="BI3234" s="2"/>
      <c r="BJ3234" s="2">
        <v>241</v>
      </c>
      <c r="BK3234" s="2" t="s">
        <v>82</v>
      </c>
      <c r="BL3234" s="2"/>
      <c r="BM3234" s="2">
        <v>241</v>
      </c>
      <c r="BN3234" s="2" t="s">
        <v>82</v>
      </c>
      <c r="BO3234" s="2"/>
      <c r="BP3234" s="2">
        <v>241</v>
      </c>
      <c r="BQ3234" s="2" t="s">
        <v>82</v>
      </c>
      <c r="BR3234" s="2"/>
      <c r="BS3234" s="3">
        <v>40396</v>
      </c>
      <c r="BT3234" s="4">
        <v>0.69956018518518526</v>
      </c>
    </row>
    <row r="3235" spans="1:72" x14ac:dyDescent="0.25">
      <c r="A3235" s="2">
        <v>4783</v>
      </c>
      <c r="B3235" s="2">
        <v>2010</v>
      </c>
      <c r="C3235" s="2" t="s">
        <v>1559</v>
      </c>
      <c r="D3235" s="2" t="s">
        <v>73</v>
      </c>
      <c r="E3235" s="2"/>
      <c r="F3235" s="2">
        <v>499</v>
      </c>
      <c r="G3235" s="2" t="s">
        <v>2177</v>
      </c>
      <c r="H3235" s="2">
        <v>9</v>
      </c>
      <c r="I3235" s="2" t="s">
        <v>794</v>
      </c>
      <c r="J3235" s="2">
        <v>33</v>
      </c>
      <c r="K3235" s="2" t="s">
        <v>2178</v>
      </c>
      <c r="L3235" s="2" t="s">
        <v>1877</v>
      </c>
      <c r="M3235" s="3">
        <v>40396</v>
      </c>
      <c r="N3235" s="2" t="s">
        <v>10476</v>
      </c>
      <c r="O3235" s="2" t="s">
        <v>10477</v>
      </c>
      <c r="P3235" s="7">
        <v>5385</v>
      </c>
      <c r="Q3235" s="2" t="str">
        <f>""</f>
        <v/>
      </c>
      <c r="R3235" s="2"/>
      <c r="S3235" s="2"/>
      <c r="T3235" s="2">
        <v>1</v>
      </c>
      <c r="U3235" s="2" t="s">
        <v>79</v>
      </c>
      <c r="V3235" s="2">
        <v>1</v>
      </c>
      <c r="W3235" s="2" t="s">
        <v>80</v>
      </c>
      <c r="X3235" s="2">
        <v>7</v>
      </c>
      <c r="Y3235" s="2" t="s">
        <v>1964</v>
      </c>
      <c r="Z3235" s="2">
        <v>1</v>
      </c>
      <c r="AA3235" s="2" t="s">
        <v>82</v>
      </c>
      <c r="AB3235" s="2">
        <v>9</v>
      </c>
      <c r="AC3235" s="2" t="s">
        <v>124</v>
      </c>
      <c r="AD3235" s="3">
        <v>40396</v>
      </c>
      <c r="AE3235" s="4">
        <v>0.65277777777777779</v>
      </c>
      <c r="AF3235" s="2"/>
      <c r="AG3235" s="2"/>
      <c r="AH3235" s="2">
        <v>2</v>
      </c>
      <c r="AI3235" s="2" t="s">
        <v>84</v>
      </c>
      <c r="AJ3235" s="2">
        <v>6</v>
      </c>
      <c r="AK3235" s="2" t="s">
        <v>453</v>
      </c>
      <c r="AL3235" s="2">
        <v>23</v>
      </c>
      <c r="AM3235" s="2" t="s">
        <v>251</v>
      </c>
      <c r="AN3235" s="2" t="s">
        <v>10478</v>
      </c>
      <c r="AO3235" s="2" t="s">
        <v>584</v>
      </c>
      <c r="AP3235" s="2">
        <v>11</v>
      </c>
      <c r="AQ3235" s="2" t="s">
        <v>82</v>
      </c>
      <c r="AR3235" s="2"/>
      <c r="AS3235" s="2"/>
      <c r="AT3235" s="2" t="s">
        <v>10479</v>
      </c>
      <c r="AU3235" s="2">
        <v>1</v>
      </c>
      <c r="AV3235" s="2"/>
      <c r="AW3235" s="2"/>
      <c r="AX3235" s="2"/>
      <c r="AY3235" s="2">
        <v>41</v>
      </c>
      <c r="AZ3235" s="2" t="s">
        <v>82</v>
      </c>
      <c r="BA3235" s="2">
        <v>41</v>
      </c>
      <c r="BB3235" s="2" t="s">
        <v>82</v>
      </c>
      <c r="BC3235" s="2">
        <v>41</v>
      </c>
      <c r="BD3235" s="2" t="s">
        <v>82</v>
      </c>
      <c r="BE3235" s="2">
        <v>41</v>
      </c>
      <c r="BF3235" s="2" t="s">
        <v>82</v>
      </c>
      <c r="BG3235" s="2"/>
      <c r="BH3235" s="2"/>
      <c r="BI3235" s="2"/>
      <c r="BJ3235" s="2">
        <v>241</v>
      </c>
      <c r="BK3235" s="2" t="s">
        <v>82</v>
      </c>
      <c r="BL3235" s="2"/>
      <c r="BM3235" s="2">
        <v>241</v>
      </c>
      <c r="BN3235" s="2" t="s">
        <v>82</v>
      </c>
      <c r="BO3235" s="2"/>
      <c r="BP3235" s="2">
        <v>241</v>
      </c>
      <c r="BQ3235" s="2" t="s">
        <v>82</v>
      </c>
      <c r="BR3235" s="2"/>
      <c r="BS3235" s="3">
        <v>40396</v>
      </c>
      <c r="BT3235" s="4">
        <v>0.75512731481481488</v>
      </c>
    </row>
    <row r="3236" spans="1:72" x14ac:dyDescent="0.25">
      <c r="A3236" s="2">
        <v>4784</v>
      </c>
      <c r="B3236" s="2">
        <v>2010</v>
      </c>
      <c r="C3236" s="2" t="s">
        <v>2219</v>
      </c>
      <c r="D3236" s="2" t="s">
        <v>73</v>
      </c>
      <c r="E3236" s="2"/>
      <c r="F3236" s="2">
        <v>389</v>
      </c>
      <c r="G3236" s="2" t="s">
        <v>1819</v>
      </c>
      <c r="H3236" s="2">
        <v>3</v>
      </c>
      <c r="I3236" s="2" t="s">
        <v>315</v>
      </c>
      <c r="J3236" s="2">
        <v>399</v>
      </c>
      <c r="K3236" s="2" t="s">
        <v>1820</v>
      </c>
      <c r="L3236" s="2" t="s">
        <v>1821</v>
      </c>
      <c r="M3236" s="3">
        <v>40396</v>
      </c>
      <c r="N3236" s="2" t="s">
        <v>2319</v>
      </c>
      <c r="O3236" s="2" t="s">
        <v>107</v>
      </c>
      <c r="P3236" s="2" t="s">
        <v>107</v>
      </c>
      <c r="Q3236" s="2" t="str">
        <f>"401-E/10"</f>
        <v>401-E/10</v>
      </c>
      <c r="R3236" s="2" t="s">
        <v>10480</v>
      </c>
      <c r="S3236" s="2"/>
      <c r="T3236" s="2">
        <v>1</v>
      </c>
      <c r="U3236" s="2" t="s">
        <v>79</v>
      </c>
      <c r="V3236" s="2">
        <v>1</v>
      </c>
      <c r="W3236" s="2" t="s">
        <v>80</v>
      </c>
      <c r="X3236" s="2">
        <v>12</v>
      </c>
      <c r="Y3236" s="2" t="s">
        <v>148</v>
      </c>
      <c r="Z3236" s="2">
        <v>10</v>
      </c>
      <c r="AA3236" s="2" t="s">
        <v>236</v>
      </c>
      <c r="AB3236" s="2">
        <v>9</v>
      </c>
      <c r="AC3236" s="2" t="s">
        <v>124</v>
      </c>
      <c r="AD3236" s="3">
        <v>40396</v>
      </c>
      <c r="AE3236" s="4">
        <v>0.54861111111111105</v>
      </c>
      <c r="AF3236" s="3">
        <v>40396</v>
      </c>
      <c r="AG3236" s="4">
        <v>0.70138888888888884</v>
      </c>
      <c r="AH3236" s="2">
        <v>2</v>
      </c>
      <c r="AI3236" s="2" t="s">
        <v>84</v>
      </c>
      <c r="AJ3236" s="2">
        <v>9</v>
      </c>
      <c r="AK3236" s="2" t="s">
        <v>103</v>
      </c>
      <c r="AL3236" s="2">
        <v>23</v>
      </c>
      <c r="AM3236" s="2" t="s">
        <v>251</v>
      </c>
      <c r="AN3236" s="2" t="s">
        <v>10481</v>
      </c>
      <c r="AO3236" s="2" t="s">
        <v>10482</v>
      </c>
      <c r="AP3236" s="2">
        <v>11</v>
      </c>
      <c r="AQ3236" s="2" t="s">
        <v>82</v>
      </c>
      <c r="AR3236" s="2" t="s">
        <v>82</v>
      </c>
      <c r="AS3236" s="2" t="s">
        <v>82</v>
      </c>
      <c r="AT3236" s="2" t="s">
        <v>10483</v>
      </c>
      <c r="AU3236" s="2"/>
      <c r="AV3236" s="2"/>
      <c r="AW3236" s="2"/>
      <c r="AX3236" s="2"/>
      <c r="AY3236" s="2">
        <v>41</v>
      </c>
      <c r="AZ3236" s="2" t="s">
        <v>82</v>
      </c>
      <c r="BA3236" s="2">
        <v>70</v>
      </c>
      <c r="BB3236" s="2" t="s">
        <v>236</v>
      </c>
      <c r="BC3236" s="2">
        <v>41</v>
      </c>
      <c r="BD3236" s="2" t="s">
        <v>82</v>
      </c>
      <c r="BE3236" s="2">
        <v>41</v>
      </c>
      <c r="BF3236" s="2" t="s">
        <v>82</v>
      </c>
      <c r="BG3236" s="2" t="s">
        <v>82</v>
      </c>
      <c r="BH3236" s="2"/>
      <c r="BI3236" s="2"/>
      <c r="BJ3236" s="2">
        <v>241</v>
      </c>
      <c r="BK3236" s="2" t="s">
        <v>82</v>
      </c>
      <c r="BL3236" s="2" t="s">
        <v>82</v>
      </c>
      <c r="BM3236" s="2">
        <v>241</v>
      </c>
      <c r="BN3236" s="2" t="s">
        <v>82</v>
      </c>
      <c r="BO3236" s="2" t="s">
        <v>82</v>
      </c>
      <c r="BP3236" s="2">
        <v>241</v>
      </c>
      <c r="BQ3236" s="2" t="s">
        <v>82</v>
      </c>
      <c r="BR3236" s="2" t="s">
        <v>82</v>
      </c>
      <c r="BS3236" s="3">
        <v>40396</v>
      </c>
      <c r="BT3236" s="4">
        <v>0.79756944444444444</v>
      </c>
    </row>
    <row r="3237" spans="1:72" x14ac:dyDescent="0.25">
      <c r="A3237" s="2">
        <v>4785</v>
      </c>
      <c r="B3237" s="2">
        <v>2010</v>
      </c>
      <c r="C3237" s="2" t="s">
        <v>4543</v>
      </c>
      <c r="D3237" s="2" t="s">
        <v>122</v>
      </c>
      <c r="E3237" s="2"/>
      <c r="F3237" s="2">
        <v>389</v>
      </c>
      <c r="G3237" s="2" t="s">
        <v>1819</v>
      </c>
      <c r="H3237" s="2">
        <v>3</v>
      </c>
      <c r="I3237" s="2" t="s">
        <v>315</v>
      </c>
      <c r="J3237" s="2">
        <v>399</v>
      </c>
      <c r="K3237" s="2" t="s">
        <v>1820</v>
      </c>
      <c r="L3237" s="2" t="s">
        <v>1821</v>
      </c>
      <c r="M3237" s="3">
        <v>40396</v>
      </c>
      <c r="N3237" s="2" t="s">
        <v>1822</v>
      </c>
      <c r="O3237" s="2"/>
      <c r="P3237" s="2"/>
      <c r="Q3237" s="2" t="str">
        <f>""</f>
        <v/>
      </c>
      <c r="R3237" s="2"/>
      <c r="S3237" s="2"/>
      <c r="T3237" s="2">
        <v>2</v>
      </c>
      <c r="U3237" s="2" t="s">
        <v>123</v>
      </c>
      <c r="V3237" s="2">
        <v>1</v>
      </c>
      <c r="W3237" s="2" t="s">
        <v>80</v>
      </c>
      <c r="X3237" s="2">
        <v>1</v>
      </c>
      <c r="Y3237" s="2" t="s">
        <v>81</v>
      </c>
      <c r="Z3237" s="2">
        <v>1</v>
      </c>
      <c r="AA3237" s="2" t="s">
        <v>82</v>
      </c>
      <c r="AB3237" s="2">
        <v>9</v>
      </c>
      <c r="AC3237" s="2" t="s">
        <v>124</v>
      </c>
      <c r="AD3237" s="3">
        <v>40396</v>
      </c>
      <c r="AE3237" s="4">
        <v>0.54166666666666663</v>
      </c>
      <c r="AF3237" s="2"/>
      <c r="AG3237" s="2"/>
      <c r="AH3237" s="2">
        <v>2</v>
      </c>
      <c r="AI3237" s="2" t="s">
        <v>84</v>
      </c>
      <c r="AJ3237" s="2">
        <v>9</v>
      </c>
      <c r="AK3237" s="2" t="s">
        <v>103</v>
      </c>
      <c r="AL3237" s="2">
        <v>14</v>
      </c>
      <c r="AM3237" s="2" t="s">
        <v>216</v>
      </c>
      <c r="AN3237" s="2" t="s">
        <v>10484</v>
      </c>
      <c r="AO3237" s="2"/>
      <c r="AP3237" s="2">
        <v>11</v>
      </c>
      <c r="AQ3237" s="2" t="s">
        <v>82</v>
      </c>
      <c r="AR3237" s="2"/>
      <c r="AS3237" s="2"/>
      <c r="AT3237" s="2" t="s">
        <v>10485</v>
      </c>
      <c r="AU3237" s="2"/>
      <c r="AV3237" s="2"/>
      <c r="AW3237" s="2"/>
      <c r="AX3237" s="2"/>
      <c r="AY3237" s="2">
        <v>42</v>
      </c>
      <c r="AZ3237" s="2" t="s">
        <v>182</v>
      </c>
      <c r="BA3237" s="2">
        <v>41</v>
      </c>
      <c r="BB3237" s="2" t="s">
        <v>82</v>
      </c>
      <c r="BC3237" s="2">
        <v>41</v>
      </c>
      <c r="BD3237" s="2" t="s">
        <v>82</v>
      </c>
      <c r="BE3237" s="2">
        <v>31</v>
      </c>
      <c r="BF3237" s="2" t="s">
        <v>398</v>
      </c>
      <c r="BG3237" s="2" t="s">
        <v>10486</v>
      </c>
      <c r="BH3237" s="2"/>
      <c r="BI3237" s="4">
        <v>0.61111111111111105</v>
      </c>
      <c r="BJ3237" s="2">
        <v>13</v>
      </c>
      <c r="BK3237" s="2" t="s">
        <v>91</v>
      </c>
      <c r="BL3237" s="2" t="s">
        <v>10487</v>
      </c>
      <c r="BM3237" s="2">
        <v>241</v>
      </c>
      <c r="BN3237" s="2" t="s">
        <v>82</v>
      </c>
      <c r="BO3237" s="2"/>
      <c r="BP3237" s="2">
        <v>73</v>
      </c>
      <c r="BQ3237" s="2" t="s">
        <v>186</v>
      </c>
      <c r="BR3237" s="2" t="s">
        <v>187</v>
      </c>
      <c r="BS3237" s="3">
        <v>40396</v>
      </c>
      <c r="BT3237" s="4">
        <v>0.80208333333333337</v>
      </c>
    </row>
    <row r="3238" spans="1:72" x14ac:dyDescent="0.25">
      <c r="A3238" s="2">
        <v>4786</v>
      </c>
      <c r="B3238" s="2">
        <v>2010</v>
      </c>
      <c r="C3238" s="2" t="s">
        <v>1568</v>
      </c>
      <c r="D3238" s="2" t="s">
        <v>73</v>
      </c>
      <c r="E3238" s="2"/>
      <c r="F3238" s="2">
        <v>156</v>
      </c>
      <c r="G3238" s="2" t="s">
        <v>1875</v>
      </c>
      <c r="H3238" s="2">
        <v>12</v>
      </c>
      <c r="I3238" s="2" t="s">
        <v>95</v>
      </c>
      <c r="J3238" s="2">
        <v>168</v>
      </c>
      <c r="K3238" s="2" t="s">
        <v>1876</v>
      </c>
      <c r="L3238" s="2" t="s">
        <v>1877</v>
      </c>
      <c r="M3238" s="3">
        <v>40396</v>
      </c>
      <c r="N3238" s="2" t="s">
        <v>1878</v>
      </c>
      <c r="O3238" s="2" t="s">
        <v>107</v>
      </c>
      <c r="P3238" s="2" t="s">
        <v>107</v>
      </c>
      <c r="Q3238" s="2" t="str">
        <f>"305-A/10"</f>
        <v>305-A/10</v>
      </c>
      <c r="R3238" s="2" t="s">
        <v>480</v>
      </c>
      <c r="S3238" s="2" t="s">
        <v>107</v>
      </c>
      <c r="T3238" s="2">
        <v>1</v>
      </c>
      <c r="U3238" s="2" t="s">
        <v>79</v>
      </c>
      <c r="V3238" s="2">
        <v>1</v>
      </c>
      <c r="W3238" s="2" t="s">
        <v>80</v>
      </c>
      <c r="X3238" s="2">
        <v>1</v>
      </c>
      <c r="Y3238" s="2" t="s">
        <v>81</v>
      </c>
      <c r="Z3238" s="2">
        <v>1</v>
      </c>
      <c r="AA3238" s="2" t="s">
        <v>82</v>
      </c>
      <c r="AB3238" s="2">
        <v>4</v>
      </c>
      <c r="AC3238" s="2" t="s">
        <v>1569</v>
      </c>
      <c r="AD3238" s="3">
        <v>40396</v>
      </c>
      <c r="AE3238" s="2"/>
      <c r="AF3238" s="2"/>
      <c r="AG3238" s="2"/>
      <c r="AH3238" s="2">
        <v>2</v>
      </c>
      <c r="AI3238" s="2" t="s">
        <v>84</v>
      </c>
      <c r="AJ3238" s="2">
        <v>12</v>
      </c>
      <c r="AK3238" s="2" t="s">
        <v>85</v>
      </c>
      <c r="AL3238" s="2">
        <v>16</v>
      </c>
      <c r="AM3238" s="2" t="s">
        <v>392</v>
      </c>
      <c r="AN3238" s="2" t="s">
        <v>10488</v>
      </c>
      <c r="AO3238" s="2"/>
      <c r="AP3238" s="2">
        <v>5</v>
      </c>
      <c r="AQ3238" s="2" t="s">
        <v>827</v>
      </c>
      <c r="AR3238" s="2"/>
      <c r="AS3238" s="2"/>
      <c r="AT3238" s="2" t="s">
        <v>10489</v>
      </c>
      <c r="AU3238" s="2"/>
      <c r="AV3238" s="2"/>
      <c r="AW3238" s="2"/>
      <c r="AX3238" s="2"/>
      <c r="AY3238" s="2">
        <v>41</v>
      </c>
      <c r="AZ3238" s="2" t="s">
        <v>82</v>
      </c>
      <c r="BA3238" s="2">
        <v>41</v>
      </c>
      <c r="BB3238" s="2" t="s">
        <v>82</v>
      </c>
      <c r="BC3238" s="2">
        <v>41</v>
      </c>
      <c r="BD3238" s="2" t="s">
        <v>82</v>
      </c>
      <c r="BE3238" s="2">
        <v>13</v>
      </c>
      <c r="BF3238" s="2" t="s">
        <v>108</v>
      </c>
      <c r="BG3238" s="2" t="s">
        <v>1422</v>
      </c>
      <c r="BH3238" s="2"/>
      <c r="BI3238" s="4">
        <v>0.35069444444444442</v>
      </c>
      <c r="BJ3238" s="2">
        <v>13</v>
      </c>
      <c r="BK3238" s="2" t="s">
        <v>91</v>
      </c>
      <c r="BL3238" s="2" t="s">
        <v>564</v>
      </c>
      <c r="BM3238" s="2">
        <v>241</v>
      </c>
      <c r="BN3238" s="2" t="s">
        <v>82</v>
      </c>
      <c r="BO3238" s="2"/>
      <c r="BP3238" s="2">
        <v>13</v>
      </c>
      <c r="BQ3238" s="2" t="s">
        <v>91</v>
      </c>
      <c r="BR3238" s="2" t="s">
        <v>1552</v>
      </c>
      <c r="BS3238" s="3">
        <v>40396</v>
      </c>
      <c r="BT3238" s="4">
        <v>0.8074189814814815</v>
      </c>
    </row>
    <row r="3239" spans="1:72" x14ac:dyDescent="0.25">
      <c r="A3239" s="2">
        <v>4787</v>
      </c>
      <c r="B3239" s="2">
        <v>2010</v>
      </c>
      <c r="C3239" s="2" t="s">
        <v>171</v>
      </c>
      <c r="D3239" s="2" t="s">
        <v>73</v>
      </c>
      <c r="E3239" s="2"/>
      <c r="F3239" s="2">
        <v>156</v>
      </c>
      <c r="G3239" s="2" t="s">
        <v>1875</v>
      </c>
      <c r="H3239" s="2">
        <v>12</v>
      </c>
      <c r="I3239" s="2" t="s">
        <v>95</v>
      </c>
      <c r="J3239" s="2">
        <v>168</v>
      </c>
      <c r="K3239" s="2" t="s">
        <v>1876</v>
      </c>
      <c r="L3239" s="2" t="s">
        <v>1877</v>
      </c>
      <c r="M3239" s="3">
        <v>40396</v>
      </c>
      <c r="N3239" s="2" t="s">
        <v>2012</v>
      </c>
      <c r="O3239" s="2"/>
      <c r="P3239" s="2"/>
      <c r="Q3239" s="2" t="str">
        <f>"0306-A/10"</f>
        <v>0306-A/10</v>
      </c>
      <c r="R3239" s="2" t="s">
        <v>6929</v>
      </c>
      <c r="S3239" s="2"/>
      <c r="T3239" s="2">
        <v>1</v>
      </c>
      <c r="U3239" s="2" t="s">
        <v>79</v>
      </c>
      <c r="V3239" s="2">
        <v>1</v>
      </c>
      <c r="W3239" s="2" t="s">
        <v>80</v>
      </c>
      <c r="X3239" s="2">
        <v>1</v>
      </c>
      <c r="Y3239" s="2" t="s">
        <v>81</v>
      </c>
      <c r="Z3239" s="2">
        <v>1</v>
      </c>
      <c r="AA3239" s="2" t="s">
        <v>82</v>
      </c>
      <c r="AB3239" s="2">
        <v>1</v>
      </c>
      <c r="AC3239" s="2" t="s">
        <v>178</v>
      </c>
      <c r="AD3239" s="3">
        <v>40396</v>
      </c>
      <c r="AE3239" s="4">
        <v>0.64583333333333337</v>
      </c>
      <c r="AF3239" s="2"/>
      <c r="AG3239" s="2"/>
      <c r="AH3239" s="2">
        <v>2</v>
      </c>
      <c r="AI3239" s="2" t="s">
        <v>84</v>
      </c>
      <c r="AJ3239" s="2">
        <v>12</v>
      </c>
      <c r="AK3239" s="2" t="s">
        <v>85</v>
      </c>
      <c r="AL3239" s="2">
        <v>11</v>
      </c>
      <c r="AM3239" s="2" t="s">
        <v>137</v>
      </c>
      <c r="AN3239" s="2" t="s">
        <v>10490</v>
      </c>
      <c r="AO3239" s="2" t="s">
        <v>788</v>
      </c>
      <c r="AP3239" s="2">
        <v>11</v>
      </c>
      <c r="AQ3239" s="2" t="s">
        <v>82</v>
      </c>
      <c r="AR3239" s="2"/>
      <c r="AS3239" s="2"/>
      <c r="AT3239" s="2" t="s">
        <v>10491</v>
      </c>
      <c r="AU3239" s="2">
        <v>1</v>
      </c>
      <c r="AV3239" s="2"/>
      <c r="AW3239" s="2"/>
      <c r="AX3239" s="2"/>
      <c r="AY3239" s="2">
        <v>41</v>
      </c>
      <c r="AZ3239" s="2" t="s">
        <v>82</v>
      </c>
      <c r="BA3239" s="2">
        <v>41</v>
      </c>
      <c r="BB3239" s="2" t="s">
        <v>82</v>
      </c>
      <c r="BC3239" s="2">
        <v>41</v>
      </c>
      <c r="BD3239" s="2" t="s">
        <v>82</v>
      </c>
      <c r="BE3239" s="2">
        <v>13</v>
      </c>
      <c r="BF3239" s="2" t="s">
        <v>108</v>
      </c>
      <c r="BG3239" s="2" t="s">
        <v>6325</v>
      </c>
      <c r="BH3239" s="2"/>
      <c r="BI3239" s="4">
        <v>0.65277777777777779</v>
      </c>
      <c r="BJ3239" s="2">
        <v>13</v>
      </c>
      <c r="BK3239" s="2" t="s">
        <v>91</v>
      </c>
      <c r="BL3239" s="2" t="s">
        <v>564</v>
      </c>
      <c r="BM3239" s="2">
        <v>241</v>
      </c>
      <c r="BN3239" s="2" t="s">
        <v>82</v>
      </c>
      <c r="BO3239" s="2" t="s">
        <v>82</v>
      </c>
      <c r="BP3239" s="2">
        <v>13</v>
      </c>
      <c r="BQ3239" s="2" t="s">
        <v>91</v>
      </c>
      <c r="BR3239" s="2" t="s">
        <v>895</v>
      </c>
      <c r="BS3239" s="3">
        <v>40396</v>
      </c>
      <c r="BT3239" s="4">
        <v>0.84325231481481477</v>
      </c>
    </row>
    <row r="3240" spans="1:72" x14ac:dyDescent="0.25">
      <c r="A3240" s="2">
        <v>4788</v>
      </c>
      <c r="B3240" s="2">
        <v>2010</v>
      </c>
      <c r="C3240" s="2" t="s">
        <v>128</v>
      </c>
      <c r="D3240" s="2" t="s">
        <v>122</v>
      </c>
      <c r="E3240" s="2"/>
      <c r="F3240" s="2">
        <v>156</v>
      </c>
      <c r="G3240" s="2" t="s">
        <v>1875</v>
      </c>
      <c r="H3240" s="2">
        <v>12</v>
      </c>
      <c r="I3240" s="2" t="s">
        <v>95</v>
      </c>
      <c r="J3240" s="2">
        <v>168</v>
      </c>
      <c r="K3240" s="2" t="s">
        <v>1876</v>
      </c>
      <c r="L3240" s="2" t="s">
        <v>1877</v>
      </c>
      <c r="M3240" s="3">
        <v>40396</v>
      </c>
      <c r="N3240" s="2" t="s">
        <v>10492</v>
      </c>
      <c r="O3240" s="2" t="s">
        <v>107</v>
      </c>
      <c r="P3240" s="2" t="s">
        <v>107</v>
      </c>
      <c r="Q3240" s="2" t="str">
        <f>"PREV. SUM. 306-A/10"</f>
        <v>PREV. SUM. 306-A/10</v>
      </c>
      <c r="R3240" s="2" t="s">
        <v>1035</v>
      </c>
      <c r="S3240" s="2" t="s">
        <v>1035</v>
      </c>
      <c r="T3240" s="2">
        <v>1</v>
      </c>
      <c r="U3240" s="2" t="s">
        <v>79</v>
      </c>
      <c r="V3240" s="2">
        <v>1</v>
      </c>
      <c r="W3240" s="2" t="s">
        <v>80</v>
      </c>
      <c r="X3240" s="2">
        <v>4</v>
      </c>
      <c r="Y3240" s="2" t="s">
        <v>463</v>
      </c>
      <c r="Z3240" s="2">
        <v>10</v>
      </c>
      <c r="AA3240" s="2" t="s">
        <v>236</v>
      </c>
      <c r="AB3240" s="2">
        <v>9</v>
      </c>
      <c r="AC3240" s="2" t="s">
        <v>124</v>
      </c>
      <c r="AD3240" s="3">
        <v>40396</v>
      </c>
      <c r="AE3240" s="4">
        <v>0.82291666666666663</v>
      </c>
      <c r="AF3240" s="2"/>
      <c r="AG3240" s="2"/>
      <c r="AH3240" s="2">
        <v>6</v>
      </c>
      <c r="AI3240" s="2" t="s">
        <v>197</v>
      </c>
      <c r="AJ3240" s="2">
        <v>60</v>
      </c>
      <c r="AK3240" s="2" t="s">
        <v>543</v>
      </c>
      <c r="AL3240" s="2">
        <v>19</v>
      </c>
      <c r="AM3240" s="2" t="s">
        <v>107</v>
      </c>
      <c r="AN3240" s="2" t="s">
        <v>82</v>
      </c>
      <c r="AO3240" s="2" t="s">
        <v>10493</v>
      </c>
      <c r="AP3240" s="2">
        <v>11</v>
      </c>
      <c r="AQ3240" s="2" t="s">
        <v>82</v>
      </c>
      <c r="AR3240" s="2"/>
      <c r="AS3240" s="2"/>
      <c r="AT3240" s="2" t="s">
        <v>10494</v>
      </c>
      <c r="AU3240" s="2"/>
      <c r="AV3240" s="2"/>
      <c r="AW3240" s="2"/>
      <c r="AX3240" s="2"/>
      <c r="AY3240" s="2">
        <v>41</v>
      </c>
      <c r="AZ3240" s="2" t="s">
        <v>82</v>
      </c>
      <c r="BA3240" s="2">
        <v>41</v>
      </c>
      <c r="BB3240" s="2" t="s">
        <v>82</v>
      </c>
      <c r="BC3240" s="2">
        <v>41</v>
      </c>
      <c r="BD3240" s="2" t="s">
        <v>82</v>
      </c>
      <c r="BE3240" s="2">
        <v>41</v>
      </c>
      <c r="BF3240" s="2" t="s">
        <v>82</v>
      </c>
      <c r="BG3240" s="2"/>
      <c r="BH3240" s="2"/>
      <c r="BI3240" s="2"/>
      <c r="BJ3240" s="2">
        <v>241</v>
      </c>
      <c r="BK3240" s="2" t="s">
        <v>82</v>
      </c>
      <c r="BL3240" s="2"/>
      <c r="BM3240" s="2">
        <v>241</v>
      </c>
      <c r="BN3240" s="2" t="s">
        <v>82</v>
      </c>
      <c r="BO3240" s="2"/>
      <c r="BP3240" s="2">
        <v>241</v>
      </c>
      <c r="BQ3240" s="2" t="s">
        <v>82</v>
      </c>
      <c r="BR3240" s="2"/>
      <c r="BS3240" s="3">
        <v>40396</v>
      </c>
      <c r="BT3240" s="4">
        <v>0.90666666666666673</v>
      </c>
    </row>
    <row r="3241" spans="1:72" x14ac:dyDescent="0.25">
      <c r="A3241" s="2">
        <v>4790</v>
      </c>
      <c r="B3241" s="2">
        <v>2010</v>
      </c>
      <c r="C3241" s="2" t="s">
        <v>72</v>
      </c>
      <c r="D3241" s="2" t="s">
        <v>73</v>
      </c>
      <c r="E3241" s="2"/>
      <c r="F3241" s="2">
        <v>24</v>
      </c>
      <c r="G3241" s="2" t="s">
        <v>532</v>
      </c>
      <c r="H3241" s="2">
        <v>108</v>
      </c>
      <c r="I3241" s="2" t="s">
        <v>1096</v>
      </c>
      <c r="J3241" s="2">
        <v>300</v>
      </c>
      <c r="K3241" s="2" t="s">
        <v>114</v>
      </c>
      <c r="L3241" s="2" t="s">
        <v>115</v>
      </c>
      <c r="M3241" s="3">
        <v>40396</v>
      </c>
      <c r="N3241" s="2"/>
      <c r="O3241" s="2"/>
      <c r="P3241" s="2"/>
      <c r="Q3241" s="2" t="str">
        <f>"402-E/10"</f>
        <v>402-E/10</v>
      </c>
      <c r="R3241" s="2" t="s">
        <v>116</v>
      </c>
      <c r="S3241" s="2" t="s">
        <v>116</v>
      </c>
      <c r="T3241" s="2">
        <v>1</v>
      </c>
      <c r="U3241" s="2" t="s">
        <v>79</v>
      </c>
      <c r="V3241" s="2">
        <v>1</v>
      </c>
      <c r="W3241" s="2" t="s">
        <v>80</v>
      </c>
      <c r="X3241" s="2">
        <v>12</v>
      </c>
      <c r="Y3241" s="2" t="s">
        <v>148</v>
      </c>
      <c r="Z3241" s="2">
        <v>1</v>
      </c>
      <c r="AA3241" s="2" t="s">
        <v>82</v>
      </c>
      <c r="AB3241" s="2">
        <v>6</v>
      </c>
      <c r="AC3241" s="2" t="s">
        <v>83</v>
      </c>
      <c r="AD3241" s="3">
        <v>40396</v>
      </c>
      <c r="AE3241" s="4">
        <v>0.84375</v>
      </c>
      <c r="AF3241" s="3">
        <v>40396</v>
      </c>
      <c r="AG3241" s="4">
        <v>0.89583333333333337</v>
      </c>
      <c r="AH3241" s="2">
        <v>2</v>
      </c>
      <c r="AI3241" s="2" t="s">
        <v>84</v>
      </c>
      <c r="AJ3241" s="2">
        <v>9</v>
      </c>
      <c r="AK3241" s="2" t="s">
        <v>103</v>
      </c>
      <c r="AL3241" s="2">
        <v>17</v>
      </c>
      <c r="AM3241" s="2" t="s">
        <v>232</v>
      </c>
      <c r="AN3241" s="2" t="s">
        <v>10495</v>
      </c>
      <c r="AO3241" s="2" t="s">
        <v>7214</v>
      </c>
      <c r="AP3241" s="2">
        <v>11</v>
      </c>
      <c r="AQ3241" s="2" t="s">
        <v>82</v>
      </c>
      <c r="AR3241" s="2"/>
      <c r="AS3241" s="2"/>
      <c r="AT3241" s="2" t="s">
        <v>10496</v>
      </c>
      <c r="AU3241" s="2"/>
      <c r="AV3241" s="2"/>
      <c r="AW3241" s="2"/>
      <c r="AX3241" s="2"/>
      <c r="AY3241" s="2">
        <v>41</v>
      </c>
      <c r="AZ3241" s="2" t="s">
        <v>82</v>
      </c>
      <c r="BA3241" s="2">
        <v>41</v>
      </c>
      <c r="BB3241" s="2" t="s">
        <v>82</v>
      </c>
      <c r="BC3241" s="2">
        <v>41</v>
      </c>
      <c r="BD3241" s="2" t="s">
        <v>82</v>
      </c>
      <c r="BE3241" s="2">
        <v>41</v>
      </c>
      <c r="BF3241" s="2" t="s">
        <v>82</v>
      </c>
      <c r="BG3241" s="2"/>
      <c r="BH3241" s="2"/>
      <c r="BI3241" s="2"/>
      <c r="BJ3241" s="2">
        <v>241</v>
      </c>
      <c r="BK3241" s="2" t="s">
        <v>82</v>
      </c>
      <c r="BL3241" s="2"/>
      <c r="BM3241" s="2">
        <v>241</v>
      </c>
      <c r="BN3241" s="2" t="s">
        <v>82</v>
      </c>
      <c r="BO3241" s="2"/>
      <c r="BP3241" s="2">
        <v>241</v>
      </c>
      <c r="BQ3241" s="2" t="s">
        <v>82</v>
      </c>
      <c r="BR3241" s="2"/>
      <c r="BS3241" s="3">
        <v>40396</v>
      </c>
      <c r="BT3241" s="4">
        <v>0.94792824074074078</v>
      </c>
    </row>
    <row r="3242" spans="1:72" x14ac:dyDescent="0.25">
      <c r="A3242" s="2">
        <v>4791</v>
      </c>
      <c r="B3242" s="2">
        <v>2010</v>
      </c>
      <c r="C3242" s="2" t="s">
        <v>196</v>
      </c>
      <c r="D3242" s="2" t="s">
        <v>122</v>
      </c>
      <c r="E3242" s="2"/>
      <c r="F3242" s="2">
        <v>1</v>
      </c>
      <c r="G3242" s="2" t="s">
        <v>82</v>
      </c>
      <c r="H3242" s="2">
        <v>1</v>
      </c>
      <c r="I3242" s="2" t="s">
        <v>82</v>
      </c>
      <c r="J3242" s="2">
        <v>1</v>
      </c>
      <c r="K3242" s="2" t="s">
        <v>107</v>
      </c>
      <c r="L3242" s="2" t="s">
        <v>107</v>
      </c>
      <c r="M3242" s="3">
        <v>40396</v>
      </c>
      <c r="N3242" s="2" t="s">
        <v>82</v>
      </c>
      <c r="O3242" s="2"/>
      <c r="P3242" s="2"/>
      <c r="Q3242" s="2" t="str">
        <f>""</f>
        <v/>
      </c>
      <c r="R3242" s="2"/>
      <c r="S3242" s="2"/>
      <c r="T3242" s="2">
        <v>2</v>
      </c>
      <c r="U3242" s="2" t="s">
        <v>123</v>
      </c>
      <c r="V3242" s="2">
        <v>1</v>
      </c>
      <c r="W3242" s="2" t="s">
        <v>80</v>
      </c>
      <c r="X3242" s="2">
        <v>11</v>
      </c>
      <c r="Y3242" s="2" t="s">
        <v>1920</v>
      </c>
      <c r="Z3242" s="2">
        <v>10</v>
      </c>
      <c r="AA3242" s="2" t="s">
        <v>236</v>
      </c>
      <c r="AB3242" s="2">
        <v>9</v>
      </c>
      <c r="AC3242" s="2" t="s">
        <v>124</v>
      </c>
      <c r="AD3242" s="3">
        <v>40396</v>
      </c>
      <c r="AE3242" s="4">
        <v>0.66666666666666663</v>
      </c>
      <c r="AF3242" s="2"/>
      <c r="AG3242" s="2"/>
      <c r="AH3242" s="2">
        <v>2</v>
      </c>
      <c r="AI3242" s="2" t="s">
        <v>84</v>
      </c>
      <c r="AJ3242" s="2">
        <v>12</v>
      </c>
      <c r="AK3242" s="2" t="s">
        <v>85</v>
      </c>
      <c r="AL3242" s="2">
        <v>20</v>
      </c>
      <c r="AM3242" s="2" t="s">
        <v>992</v>
      </c>
      <c r="AN3242" s="2" t="s">
        <v>107</v>
      </c>
      <c r="AO3242" s="2" t="s">
        <v>993</v>
      </c>
      <c r="AP3242" s="2">
        <v>11</v>
      </c>
      <c r="AQ3242" s="2" t="s">
        <v>82</v>
      </c>
      <c r="AR3242" s="2" t="s">
        <v>10497</v>
      </c>
      <c r="AS3242" s="2" t="s">
        <v>10497</v>
      </c>
      <c r="AT3242" s="2" t="s">
        <v>10498</v>
      </c>
      <c r="AU3242" s="2"/>
      <c r="AV3242" s="2"/>
      <c r="AW3242" s="2"/>
      <c r="AX3242" s="2"/>
      <c r="AY3242" s="2">
        <v>1</v>
      </c>
      <c r="AZ3242" s="2" t="s">
        <v>107</v>
      </c>
      <c r="BA3242" s="2">
        <v>1</v>
      </c>
      <c r="BB3242" s="2" t="s">
        <v>107</v>
      </c>
      <c r="BC3242" s="2">
        <v>1</v>
      </c>
      <c r="BD3242" s="2" t="s">
        <v>107</v>
      </c>
      <c r="BE3242" s="2">
        <v>1</v>
      </c>
      <c r="BF3242" s="2" t="s">
        <v>107</v>
      </c>
      <c r="BG3242" s="2"/>
      <c r="BH3242" s="4">
        <v>0.81111111111111101</v>
      </c>
      <c r="BI3242" s="4">
        <v>0.8208333333333333</v>
      </c>
      <c r="BJ3242" s="2">
        <v>242</v>
      </c>
      <c r="BK3242" s="2" t="s">
        <v>107</v>
      </c>
      <c r="BL3242" s="2"/>
      <c r="BM3242" s="2">
        <v>242</v>
      </c>
      <c r="BN3242" s="2" t="s">
        <v>107</v>
      </c>
      <c r="BO3242" s="2"/>
      <c r="BP3242" s="2">
        <v>242</v>
      </c>
      <c r="BQ3242" s="2" t="s">
        <v>107</v>
      </c>
      <c r="BR3242" s="2" t="s">
        <v>10000</v>
      </c>
      <c r="BS3242" s="3">
        <v>40396</v>
      </c>
      <c r="BT3242" s="4">
        <v>0.98487268518518523</v>
      </c>
    </row>
    <row r="3243" spans="1:72" x14ac:dyDescent="0.25">
      <c r="A3243" s="2">
        <v>4792</v>
      </c>
      <c r="B3243" s="2">
        <v>2010</v>
      </c>
      <c r="C3243" s="2" t="s">
        <v>171</v>
      </c>
      <c r="D3243" s="2" t="s">
        <v>122</v>
      </c>
      <c r="E3243" s="2" t="s">
        <v>10499</v>
      </c>
      <c r="F3243" s="2">
        <v>156</v>
      </c>
      <c r="G3243" s="2" t="s">
        <v>1875</v>
      </c>
      <c r="H3243" s="2">
        <v>12</v>
      </c>
      <c r="I3243" s="2" t="s">
        <v>95</v>
      </c>
      <c r="J3243" s="2">
        <v>168</v>
      </c>
      <c r="K3243" s="2" t="s">
        <v>1876</v>
      </c>
      <c r="L3243" s="2" t="s">
        <v>1877</v>
      </c>
      <c r="M3243" s="3">
        <v>40397</v>
      </c>
      <c r="N3243" s="2" t="s">
        <v>2012</v>
      </c>
      <c r="O3243" s="2"/>
      <c r="P3243" s="2"/>
      <c r="Q3243" s="2" t="str">
        <f>"306-A/10"</f>
        <v>306-A/10</v>
      </c>
      <c r="R3243" s="2" t="s">
        <v>6929</v>
      </c>
      <c r="S3243" s="2"/>
      <c r="T3243" s="2">
        <v>1</v>
      </c>
      <c r="U3243" s="2" t="s">
        <v>79</v>
      </c>
      <c r="V3243" s="2">
        <v>1</v>
      </c>
      <c r="W3243" s="2" t="s">
        <v>80</v>
      </c>
      <c r="X3243" s="2">
        <v>1</v>
      </c>
      <c r="Y3243" s="2" t="s">
        <v>81</v>
      </c>
      <c r="Z3243" s="2">
        <v>10</v>
      </c>
      <c r="AA3243" s="2" t="s">
        <v>236</v>
      </c>
      <c r="AB3243" s="2">
        <v>1</v>
      </c>
      <c r="AC3243" s="2" t="s">
        <v>178</v>
      </c>
      <c r="AD3243" s="3">
        <v>40396</v>
      </c>
      <c r="AE3243" s="4">
        <v>0.63888888888888895</v>
      </c>
      <c r="AF3243" s="2"/>
      <c r="AG3243" s="2"/>
      <c r="AH3243" s="2">
        <v>2</v>
      </c>
      <c r="AI3243" s="2" t="s">
        <v>84</v>
      </c>
      <c r="AJ3243" s="2">
        <v>12</v>
      </c>
      <c r="AK3243" s="2" t="s">
        <v>85</v>
      </c>
      <c r="AL3243" s="2">
        <v>11</v>
      </c>
      <c r="AM3243" s="2" t="s">
        <v>137</v>
      </c>
      <c r="AN3243" s="2" t="s">
        <v>1869</v>
      </c>
      <c r="AO3243" s="2" t="s">
        <v>788</v>
      </c>
      <c r="AP3243" s="2">
        <v>11</v>
      </c>
      <c r="AQ3243" s="2" t="s">
        <v>82</v>
      </c>
      <c r="AR3243" s="2"/>
      <c r="AS3243" s="2"/>
      <c r="AT3243" s="2" t="s">
        <v>10500</v>
      </c>
      <c r="AU3243" s="2">
        <v>1</v>
      </c>
      <c r="AV3243" s="2"/>
      <c r="AW3243" s="2"/>
      <c r="AX3243" s="2"/>
      <c r="AY3243" s="2">
        <v>41</v>
      </c>
      <c r="AZ3243" s="2" t="s">
        <v>82</v>
      </c>
      <c r="BA3243" s="2">
        <v>41</v>
      </c>
      <c r="BB3243" s="2" t="s">
        <v>82</v>
      </c>
      <c r="BC3243" s="2">
        <v>41</v>
      </c>
      <c r="BD3243" s="2" t="s">
        <v>82</v>
      </c>
      <c r="BE3243" s="2">
        <v>13</v>
      </c>
      <c r="BF3243" s="2" t="s">
        <v>108</v>
      </c>
      <c r="BG3243" s="2" t="s">
        <v>6325</v>
      </c>
      <c r="BH3243" s="2"/>
      <c r="BI3243" s="4">
        <v>0.65277777777777779</v>
      </c>
      <c r="BJ3243" s="2">
        <v>13</v>
      </c>
      <c r="BK3243" s="2" t="s">
        <v>91</v>
      </c>
      <c r="BL3243" s="2" t="s">
        <v>185</v>
      </c>
      <c r="BM3243" s="2">
        <v>241</v>
      </c>
      <c r="BN3243" s="2" t="s">
        <v>82</v>
      </c>
      <c r="BO3243" s="2"/>
      <c r="BP3243" s="2">
        <v>13</v>
      </c>
      <c r="BQ3243" s="2" t="s">
        <v>91</v>
      </c>
      <c r="BR3243" s="2" t="s">
        <v>895</v>
      </c>
      <c r="BS3243" s="3">
        <v>40397</v>
      </c>
      <c r="BT3243" s="4">
        <v>0.18756944444444446</v>
      </c>
    </row>
    <row r="3244" spans="1:72" x14ac:dyDescent="0.25">
      <c r="A3244" s="2">
        <v>4793</v>
      </c>
      <c r="B3244" s="2">
        <v>2010</v>
      </c>
      <c r="C3244" s="2" t="s">
        <v>171</v>
      </c>
      <c r="D3244" s="2" t="s">
        <v>122</v>
      </c>
      <c r="E3244" s="2" t="s">
        <v>10501</v>
      </c>
      <c r="F3244" s="2">
        <v>400</v>
      </c>
      <c r="G3244" s="2" t="s">
        <v>3601</v>
      </c>
      <c r="H3244" s="2">
        <v>17</v>
      </c>
      <c r="I3244" s="2" t="s">
        <v>3602</v>
      </c>
      <c r="J3244" s="2">
        <v>316</v>
      </c>
      <c r="K3244" s="2" t="s">
        <v>574</v>
      </c>
      <c r="L3244" s="2" t="s">
        <v>575</v>
      </c>
      <c r="M3244" s="3">
        <v>40397</v>
      </c>
      <c r="N3244" s="2" t="s">
        <v>3826</v>
      </c>
      <c r="O3244" s="2"/>
      <c r="P3244" s="2"/>
      <c r="Q3244" s="2" t="str">
        <f>"400-E/100"</f>
        <v>400-E/100</v>
      </c>
      <c r="R3244" s="2" t="s">
        <v>391</v>
      </c>
      <c r="S3244" s="2"/>
      <c r="T3244" s="2">
        <v>1</v>
      </c>
      <c r="U3244" s="2" t="s">
        <v>79</v>
      </c>
      <c r="V3244" s="2">
        <v>1</v>
      </c>
      <c r="W3244" s="2" t="s">
        <v>80</v>
      </c>
      <c r="X3244" s="2">
        <v>1</v>
      </c>
      <c r="Y3244" s="2" t="s">
        <v>81</v>
      </c>
      <c r="Z3244" s="2">
        <v>1</v>
      </c>
      <c r="AA3244" s="2" t="s">
        <v>82</v>
      </c>
      <c r="AB3244" s="2">
        <v>1</v>
      </c>
      <c r="AC3244" s="2" t="s">
        <v>178</v>
      </c>
      <c r="AD3244" s="3">
        <v>40396</v>
      </c>
      <c r="AE3244" s="4">
        <v>0.16666666666666666</v>
      </c>
      <c r="AF3244" s="2"/>
      <c r="AG3244" s="2"/>
      <c r="AH3244" s="2">
        <v>2</v>
      </c>
      <c r="AI3244" s="2" t="s">
        <v>84</v>
      </c>
      <c r="AJ3244" s="2">
        <v>9</v>
      </c>
      <c r="AK3244" s="2" t="s">
        <v>103</v>
      </c>
      <c r="AL3244" s="2">
        <v>14</v>
      </c>
      <c r="AM3244" s="2" t="s">
        <v>216</v>
      </c>
      <c r="AN3244" s="2"/>
      <c r="AO3244" s="2" t="s">
        <v>2345</v>
      </c>
      <c r="AP3244" s="2">
        <v>11</v>
      </c>
      <c r="AQ3244" s="2" t="s">
        <v>82</v>
      </c>
      <c r="AR3244" s="2"/>
      <c r="AS3244" s="2"/>
      <c r="AT3244" s="2" t="s">
        <v>10502</v>
      </c>
      <c r="AU3244" s="2"/>
      <c r="AV3244" s="2">
        <v>1</v>
      </c>
      <c r="AW3244" s="2"/>
      <c r="AX3244" s="2"/>
      <c r="AY3244" s="2">
        <v>42</v>
      </c>
      <c r="AZ3244" s="2" t="s">
        <v>182</v>
      </c>
      <c r="BA3244" s="2">
        <v>41</v>
      </c>
      <c r="BB3244" s="2" t="s">
        <v>82</v>
      </c>
      <c r="BC3244" s="2">
        <v>41</v>
      </c>
      <c r="BD3244" s="2" t="s">
        <v>82</v>
      </c>
      <c r="BE3244" s="2">
        <v>20</v>
      </c>
      <c r="BF3244" s="2" t="s">
        <v>1681</v>
      </c>
      <c r="BG3244" s="2" t="s">
        <v>10464</v>
      </c>
      <c r="BH3244" s="4">
        <v>0.18055555555555555</v>
      </c>
      <c r="BI3244" s="2"/>
      <c r="BJ3244" s="2">
        <v>173</v>
      </c>
      <c r="BK3244" s="2" t="s">
        <v>223</v>
      </c>
      <c r="BL3244" s="2" t="s">
        <v>224</v>
      </c>
      <c r="BM3244" s="2">
        <v>241</v>
      </c>
      <c r="BN3244" s="2" t="s">
        <v>82</v>
      </c>
      <c r="BO3244" s="2"/>
      <c r="BP3244" s="2">
        <v>13</v>
      </c>
      <c r="BQ3244" s="2" t="s">
        <v>91</v>
      </c>
      <c r="BR3244" s="2" t="s">
        <v>8803</v>
      </c>
      <c r="BS3244" s="3">
        <v>40397</v>
      </c>
      <c r="BT3244" s="4">
        <v>0.51375000000000004</v>
      </c>
    </row>
    <row r="3245" spans="1:72" x14ac:dyDescent="0.25">
      <c r="A3245" s="2">
        <v>4794</v>
      </c>
      <c r="B3245" s="2">
        <v>2010</v>
      </c>
      <c r="C3245" s="2" t="s">
        <v>4543</v>
      </c>
      <c r="D3245" s="2" t="s">
        <v>122</v>
      </c>
      <c r="E3245" s="2"/>
      <c r="F3245" s="2">
        <v>1</v>
      </c>
      <c r="G3245" s="2" t="s">
        <v>82</v>
      </c>
      <c r="H3245" s="2">
        <v>1</v>
      </c>
      <c r="I3245" s="2" t="s">
        <v>82</v>
      </c>
      <c r="J3245" s="2">
        <v>1</v>
      </c>
      <c r="K3245" s="2" t="s">
        <v>107</v>
      </c>
      <c r="L3245" s="2" t="s">
        <v>107</v>
      </c>
      <c r="M3245" s="3">
        <v>40397</v>
      </c>
      <c r="N3245" s="2"/>
      <c r="O3245" s="2"/>
      <c r="P3245" s="2"/>
      <c r="Q3245" s="2" t="str">
        <f>""</f>
        <v/>
      </c>
      <c r="R3245" s="2"/>
      <c r="S3245" s="2"/>
      <c r="T3245" s="2">
        <v>2</v>
      </c>
      <c r="U3245" s="2" t="s">
        <v>123</v>
      </c>
      <c r="V3245" s="2">
        <v>1</v>
      </c>
      <c r="W3245" s="2" t="s">
        <v>80</v>
      </c>
      <c r="X3245" s="2">
        <v>11</v>
      </c>
      <c r="Y3245" s="2" t="s">
        <v>1920</v>
      </c>
      <c r="Z3245" s="2">
        <v>10</v>
      </c>
      <c r="AA3245" s="2" t="s">
        <v>236</v>
      </c>
      <c r="AB3245" s="2">
        <v>9</v>
      </c>
      <c r="AC3245" s="2" t="s">
        <v>124</v>
      </c>
      <c r="AD3245" s="3">
        <v>40397</v>
      </c>
      <c r="AE3245" s="4">
        <v>0.45833333333333331</v>
      </c>
      <c r="AF3245" s="2"/>
      <c r="AG3245" s="2"/>
      <c r="AH3245" s="2">
        <v>2</v>
      </c>
      <c r="AI3245" s="2" t="s">
        <v>84</v>
      </c>
      <c r="AJ3245" s="2">
        <v>9</v>
      </c>
      <c r="AK3245" s="2" t="s">
        <v>103</v>
      </c>
      <c r="AL3245" s="2">
        <v>25</v>
      </c>
      <c r="AM3245" s="2" t="s">
        <v>3073</v>
      </c>
      <c r="AN3245" s="2"/>
      <c r="AO3245" s="2"/>
      <c r="AP3245" s="2">
        <v>11</v>
      </c>
      <c r="AQ3245" s="2" t="s">
        <v>82</v>
      </c>
      <c r="AR3245" s="2"/>
      <c r="AS3245" s="2"/>
      <c r="AT3245" s="2" t="s">
        <v>10503</v>
      </c>
      <c r="AU3245" s="2"/>
      <c r="AV3245" s="2"/>
      <c r="AW3245" s="2"/>
      <c r="AX3245" s="2"/>
      <c r="AY3245" s="2">
        <v>41</v>
      </c>
      <c r="AZ3245" s="2" t="s">
        <v>82</v>
      </c>
      <c r="BA3245" s="2">
        <v>41</v>
      </c>
      <c r="BB3245" s="2" t="s">
        <v>82</v>
      </c>
      <c r="BC3245" s="2">
        <v>70</v>
      </c>
      <c r="BD3245" s="2" t="s">
        <v>236</v>
      </c>
      <c r="BE3245" s="2">
        <v>31</v>
      </c>
      <c r="BF3245" s="2" t="s">
        <v>398</v>
      </c>
      <c r="BG3245" s="2"/>
      <c r="BH3245" s="4">
        <v>0</v>
      </c>
      <c r="BI3245" s="4">
        <v>0.53125</v>
      </c>
      <c r="BJ3245" s="2">
        <v>13</v>
      </c>
      <c r="BK3245" s="2" t="s">
        <v>91</v>
      </c>
      <c r="BL3245" s="2" t="s">
        <v>360</v>
      </c>
      <c r="BM3245" s="2">
        <v>241</v>
      </c>
      <c r="BN3245" s="2" t="s">
        <v>82</v>
      </c>
      <c r="BO3245" s="2" t="s">
        <v>187</v>
      </c>
      <c r="BP3245" s="2">
        <v>73</v>
      </c>
      <c r="BQ3245" s="2" t="s">
        <v>186</v>
      </c>
      <c r="BR3245" s="2" t="s">
        <v>675</v>
      </c>
      <c r="BS3245" s="3">
        <v>40397</v>
      </c>
      <c r="BT3245" s="4">
        <v>0.53042824074074069</v>
      </c>
    </row>
    <row r="3246" spans="1:72" x14ac:dyDescent="0.25">
      <c r="A3246" s="2">
        <v>4795</v>
      </c>
      <c r="B3246" s="2">
        <v>2010</v>
      </c>
      <c r="C3246" s="2" t="s">
        <v>2011</v>
      </c>
      <c r="D3246" s="2" t="s">
        <v>73</v>
      </c>
      <c r="E3246" s="2"/>
      <c r="F3246" s="2">
        <v>54</v>
      </c>
      <c r="G3246" s="2" t="s">
        <v>2963</v>
      </c>
      <c r="H3246" s="2">
        <v>44</v>
      </c>
      <c r="I3246" s="2" t="s">
        <v>1272</v>
      </c>
      <c r="J3246" s="2">
        <v>87</v>
      </c>
      <c r="K3246" s="2" t="s">
        <v>2964</v>
      </c>
      <c r="L3246" s="2" t="s">
        <v>2534</v>
      </c>
      <c r="M3246" s="3">
        <v>40397</v>
      </c>
      <c r="N3246" s="2" t="s">
        <v>10504</v>
      </c>
      <c r="O3246" s="2"/>
      <c r="P3246" s="2"/>
      <c r="Q3246" s="2" t="str">
        <f>""</f>
        <v/>
      </c>
      <c r="R3246" s="2"/>
      <c r="S3246" s="2"/>
      <c r="T3246" s="2">
        <v>1</v>
      </c>
      <c r="U3246" s="2" t="s">
        <v>79</v>
      </c>
      <c r="V3246" s="2">
        <v>1</v>
      </c>
      <c r="W3246" s="2" t="s">
        <v>80</v>
      </c>
      <c r="X3246" s="2">
        <v>3</v>
      </c>
      <c r="Y3246" s="2" t="s">
        <v>698</v>
      </c>
      <c r="Z3246" s="2">
        <v>7</v>
      </c>
      <c r="AA3246" s="2" t="s">
        <v>1462</v>
      </c>
      <c r="AB3246" s="2">
        <v>9</v>
      </c>
      <c r="AC3246" s="2" t="s">
        <v>124</v>
      </c>
      <c r="AD3246" s="3">
        <v>40397</v>
      </c>
      <c r="AE3246" s="2"/>
      <c r="AF3246" s="3">
        <v>40397</v>
      </c>
      <c r="AG3246" s="4">
        <v>0.51388888888888895</v>
      </c>
      <c r="AH3246" s="2">
        <v>4</v>
      </c>
      <c r="AI3246" s="2" t="s">
        <v>125</v>
      </c>
      <c r="AJ3246" s="2">
        <v>28</v>
      </c>
      <c r="AK3246" s="2" t="s">
        <v>741</v>
      </c>
      <c r="AL3246" s="2">
        <v>24</v>
      </c>
      <c r="AM3246" s="2" t="s">
        <v>1540</v>
      </c>
      <c r="AN3246" s="2" t="s">
        <v>10505</v>
      </c>
      <c r="AO3246" s="2"/>
      <c r="AP3246" s="2">
        <v>11</v>
      </c>
      <c r="AQ3246" s="2" t="s">
        <v>82</v>
      </c>
      <c r="AR3246" s="2"/>
      <c r="AS3246" s="2"/>
      <c r="AT3246" s="2" t="s">
        <v>10506</v>
      </c>
      <c r="AU3246" s="2"/>
      <c r="AV3246" s="2"/>
      <c r="AW3246" s="2"/>
      <c r="AX3246" s="2"/>
      <c r="AY3246" s="2">
        <v>41</v>
      </c>
      <c r="AZ3246" s="2" t="s">
        <v>82</v>
      </c>
      <c r="BA3246" s="2">
        <v>41</v>
      </c>
      <c r="BB3246" s="2" t="s">
        <v>82</v>
      </c>
      <c r="BC3246" s="2">
        <v>41</v>
      </c>
      <c r="BD3246" s="2" t="s">
        <v>82</v>
      </c>
      <c r="BE3246" s="2">
        <v>41</v>
      </c>
      <c r="BF3246" s="2" t="s">
        <v>82</v>
      </c>
      <c r="BG3246" s="2"/>
      <c r="BH3246" s="2"/>
      <c r="BI3246" s="2"/>
      <c r="BJ3246" s="2">
        <v>241</v>
      </c>
      <c r="BK3246" s="2" t="s">
        <v>82</v>
      </c>
      <c r="BL3246" s="2"/>
      <c r="BM3246" s="2">
        <v>241</v>
      </c>
      <c r="BN3246" s="2" t="s">
        <v>82</v>
      </c>
      <c r="BO3246" s="2"/>
      <c r="BP3246" s="2">
        <v>241</v>
      </c>
      <c r="BQ3246" s="2" t="s">
        <v>82</v>
      </c>
      <c r="BR3246" s="2"/>
      <c r="BS3246" s="3">
        <v>40397</v>
      </c>
      <c r="BT3246" s="4">
        <v>0.59513888888888888</v>
      </c>
    </row>
    <row r="3247" spans="1:72" x14ac:dyDescent="0.25">
      <c r="A3247" s="2">
        <v>4796</v>
      </c>
      <c r="B3247" s="2">
        <v>2010</v>
      </c>
      <c r="C3247" s="2" t="s">
        <v>72</v>
      </c>
      <c r="D3247" s="2" t="s">
        <v>73</v>
      </c>
      <c r="E3247" s="2"/>
      <c r="F3247" s="2">
        <v>664</v>
      </c>
      <c r="G3247" s="2" t="s">
        <v>10256</v>
      </c>
      <c r="H3247" s="2">
        <v>42</v>
      </c>
      <c r="I3247" s="2" t="s">
        <v>1096</v>
      </c>
      <c r="J3247" s="2">
        <v>634</v>
      </c>
      <c r="K3247" s="2" t="s">
        <v>10257</v>
      </c>
      <c r="L3247" s="2" t="s">
        <v>5984</v>
      </c>
      <c r="M3247" s="3">
        <v>40397</v>
      </c>
      <c r="N3247" s="2" t="s">
        <v>10507</v>
      </c>
      <c r="O3247" s="2"/>
      <c r="P3247" s="2"/>
      <c r="Q3247" s="2" t="str">
        <f>"307-A/10"</f>
        <v>307-A/10</v>
      </c>
      <c r="R3247" s="2" t="s">
        <v>1547</v>
      </c>
      <c r="S3247" s="2" t="s">
        <v>1547</v>
      </c>
      <c r="T3247" s="2">
        <v>1</v>
      </c>
      <c r="U3247" s="2" t="s">
        <v>79</v>
      </c>
      <c r="V3247" s="2">
        <v>1</v>
      </c>
      <c r="W3247" s="2" t="s">
        <v>80</v>
      </c>
      <c r="X3247" s="2">
        <v>12</v>
      </c>
      <c r="Y3247" s="2" t="s">
        <v>148</v>
      </c>
      <c r="Z3247" s="2">
        <v>1</v>
      </c>
      <c r="AA3247" s="2" t="s">
        <v>82</v>
      </c>
      <c r="AB3247" s="2">
        <v>6</v>
      </c>
      <c r="AC3247" s="2" t="s">
        <v>83</v>
      </c>
      <c r="AD3247" s="3">
        <v>40397</v>
      </c>
      <c r="AE3247" s="2"/>
      <c r="AF3247" s="3">
        <v>40397</v>
      </c>
      <c r="AG3247" s="4">
        <v>0.77430555555555547</v>
      </c>
      <c r="AH3247" s="2">
        <v>2</v>
      </c>
      <c r="AI3247" s="2" t="s">
        <v>84</v>
      </c>
      <c r="AJ3247" s="2">
        <v>12</v>
      </c>
      <c r="AK3247" s="2" t="s">
        <v>85</v>
      </c>
      <c r="AL3247" s="2">
        <v>22</v>
      </c>
      <c r="AM3247" s="2" t="s">
        <v>1853</v>
      </c>
      <c r="AN3247" s="2" t="s">
        <v>10508</v>
      </c>
      <c r="AO3247" s="2" t="s">
        <v>10509</v>
      </c>
      <c r="AP3247" s="2">
        <v>11</v>
      </c>
      <c r="AQ3247" s="2" t="s">
        <v>82</v>
      </c>
      <c r="AR3247" s="2"/>
      <c r="AS3247" s="2"/>
      <c r="AT3247" s="2" t="s">
        <v>10510</v>
      </c>
      <c r="AU3247" s="2"/>
      <c r="AV3247" s="2"/>
      <c r="AW3247" s="2"/>
      <c r="AX3247" s="2"/>
      <c r="AY3247" s="2">
        <v>41</v>
      </c>
      <c r="AZ3247" s="2" t="s">
        <v>82</v>
      </c>
      <c r="BA3247" s="2">
        <v>41</v>
      </c>
      <c r="BB3247" s="2" t="s">
        <v>82</v>
      </c>
      <c r="BC3247" s="2">
        <v>41</v>
      </c>
      <c r="BD3247" s="2" t="s">
        <v>82</v>
      </c>
      <c r="BE3247" s="2">
        <v>46</v>
      </c>
      <c r="BF3247" s="2" t="s">
        <v>142</v>
      </c>
      <c r="BG3247" s="2" t="s">
        <v>10511</v>
      </c>
      <c r="BH3247" s="4">
        <v>0.72916666666666663</v>
      </c>
      <c r="BI3247" s="2"/>
      <c r="BJ3247" s="2">
        <v>13</v>
      </c>
      <c r="BK3247" s="2" t="s">
        <v>91</v>
      </c>
      <c r="BL3247" s="2" t="s">
        <v>10512</v>
      </c>
      <c r="BM3247" s="2">
        <v>241</v>
      </c>
      <c r="BN3247" s="2" t="s">
        <v>82</v>
      </c>
      <c r="BO3247" s="2"/>
      <c r="BP3247" s="2">
        <v>13</v>
      </c>
      <c r="BQ3247" s="2" t="s">
        <v>91</v>
      </c>
      <c r="BR3247" s="2" t="s">
        <v>564</v>
      </c>
      <c r="BS3247" s="3">
        <v>40397</v>
      </c>
      <c r="BT3247" s="4">
        <v>0.8850231481481482</v>
      </c>
    </row>
    <row r="3248" spans="1:72" x14ac:dyDescent="0.25">
      <c r="A3248" s="2">
        <v>4797</v>
      </c>
      <c r="B3248" s="2">
        <v>2010</v>
      </c>
      <c r="C3248" s="2" t="s">
        <v>196</v>
      </c>
      <c r="D3248" s="2" t="s">
        <v>122</v>
      </c>
      <c r="E3248" s="2"/>
      <c r="F3248" s="2">
        <v>1</v>
      </c>
      <c r="G3248" s="2" t="s">
        <v>82</v>
      </c>
      <c r="H3248" s="2">
        <v>1</v>
      </c>
      <c r="I3248" s="2" t="s">
        <v>82</v>
      </c>
      <c r="J3248" s="2">
        <v>1</v>
      </c>
      <c r="K3248" s="2" t="s">
        <v>107</v>
      </c>
      <c r="L3248" s="2" t="s">
        <v>107</v>
      </c>
      <c r="M3248" s="3">
        <v>40398</v>
      </c>
      <c r="N3248" s="2"/>
      <c r="O3248" s="2"/>
      <c r="P3248" s="2"/>
      <c r="Q3248" s="2" t="str">
        <f>""</f>
        <v/>
      </c>
      <c r="R3248" s="2"/>
      <c r="S3248" s="2"/>
      <c r="T3248" s="2">
        <v>2</v>
      </c>
      <c r="U3248" s="2" t="s">
        <v>123</v>
      </c>
      <c r="V3248" s="2">
        <v>1</v>
      </c>
      <c r="W3248" s="2" t="s">
        <v>80</v>
      </c>
      <c r="X3248" s="2">
        <v>11</v>
      </c>
      <c r="Y3248" s="2" t="s">
        <v>1920</v>
      </c>
      <c r="Z3248" s="2">
        <v>10</v>
      </c>
      <c r="AA3248" s="2" t="s">
        <v>236</v>
      </c>
      <c r="AB3248" s="2">
        <v>9</v>
      </c>
      <c r="AC3248" s="2" t="s">
        <v>124</v>
      </c>
      <c r="AD3248" s="3">
        <v>40398</v>
      </c>
      <c r="AE3248" s="4">
        <v>0.125</v>
      </c>
      <c r="AF3248" s="2"/>
      <c r="AG3248" s="2"/>
      <c r="AH3248" s="2">
        <v>2</v>
      </c>
      <c r="AI3248" s="2" t="s">
        <v>84</v>
      </c>
      <c r="AJ3248" s="2">
        <v>12</v>
      </c>
      <c r="AK3248" s="2" t="s">
        <v>85</v>
      </c>
      <c r="AL3248" s="2">
        <v>20</v>
      </c>
      <c r="AM3248" s="2" t="s">
        <v>992</v>
      </c>
      <c r="AN3248" s="2"/>
      <c r="AO3248" s="2"/>
      <c r="AP3248" s="2">
        <v>11</v>
      </c>
      <c r="AQ3248" s="2" t="s">
        <v>82</v>
      </c>
      <c r="AR3248" s="2"/>
      <c r="AS3248" s="2"/>
      <c r="AT3248" s="2" t="s">
        <v>10513</v>
      </c>
      <c r="AU3248" s="2"/>
      <c r="AV3248" s="2"/>
      <c r="AW3248" s="2"/>
      <c r="AX3248" s="2"/>
      <c r="AY3248" s="2">
        <v>41</v>
      </c>
      <c r="AZ3248" s="2" t="s">
        <v>82</v>
      </c>
      <c r="BA3248" s="2">
        <v>41</v>
      </c>
      <c r="BB3248" s="2" t="s">
        <v>82</v>
      </c>
      <c r="BC3248" s="2">
        <v>70</v>
      </c>
      <c r="BD3248" s="2" t="s">
        <v>236</v>
      </c>
      <c r="BE3248" s="2">
        <v>41</v>
      </c>
      <c r="BF3248" s="2" t="s">
        <v>82</v>
      </c>
      <c r="BG3248" s="2" t="s">
        <v>265</v>
      </c>
      <c r="BH3248" s="4">
        <v>0.21527777777777779</v>
      </c>
      <c r="BI3248" s="2"/>
      <c r="BJ3248" s="2">
        <v>52</v>
      </c>
      <c r="BK3248" s="2" t="s">
        <v>3942</v>
      </c>
      <c r="BL3248" s="2" t="s">
        <v>107</v>
      </c>
      <c r="BM3248" s="2">
        <v>241</v>
      </c>
      <c r="BN3248" s="2" t="s">
        <v>82</v>
      </c>
      <c r="BO3248" s="2"/>
      <c r="BP3248" s="2">
        <v>13</v>
      </c>
      <c r="BQ3248" s="2" t="s">
        <v>91</v>
      </c>
      <c r="BR3248" s="2" t="s">
        <v>185</v>
      </c>
      <c r="BS3248" s="3">
        <v>40398</v>
      </c>
      <c r="BT3248" s="4">
        <v>0.24829861111111109</v>
      </c>
    </row>
    <row r="3249" spans="1:72" x14ac:dyDescent="0.25">
      <c r="A3249" s="2">
        <v>4798</v>
      </c>
      <c r="B3249" s="2">
        <v>2010</v>
      </c>
      <c r="C3249" s="2" t="s">
        <v>93</v>
      </c>
      <c r="D3249" s="2" t="s">
        <v>73</v>
      </c>
      <c r="E3249" s="2"/>
      <c r="F3249" s="2">
        <v>134</v>
      </c>
      <c r="G3249" s="2" t="s">
        <v>8834</v>
      </c>
      <c r="H3249" s="2">
        <v>42</v>
      </c>
      <c r="I3249" s="2" t="s">
        <v>1096</v>
      </c>
      <c r="J3249" s="2">
        <v>151</v>
      </c>
      <c r="K3249" s="2" t="s">
        <v>1485</v>
      </c>
      <c r="L3249" s="2" t="s">
        <v>1626</v>
      </c>
      <c r="M3249" s="3">
        <v>40398</v>
      </c>
      <c r="N3249" s="2" t="s">
        <v>8835</v>
      </c>
      <c r="O3249" s="2" t="s">
        <v>10514</v>
      </c>
      <c r="P3249" s="2" t="s">
        <v>10515</v>
      </c>
      <c r="Q3249" s="2" t="str">
        <f>"NOTIF. N° 12/10"</f>
        <v>NOTIF. N° 12/10</v>
      </c>
      <c r="R3249" s="2" t="s">
        <v>82</v>
      </c>
      <c r="S3249" s="2" t="s">
        <v>82</v>
      </c>
      <c r="T3249" s="2">
        <v>1</v>
      </c>
      <c r="U3249" s="2" t="s">
        <v>79</v>
      </c>
      <c r="V3249" s="2">
        <v>1</v>
      </c>
      <c r="W3249" s="2" t="s">
        <v>80</v>
      </c>
      <c r="X3249" s="2">
        <v>1</v>
      </c>
      <c r="Y3249" s="2" t="s">
        <v>81</v>
      </c>
      <c r="Z3249" s="2">
        <v>1</v>
      </c>
      <c r="AA3249" s="2" t="s">
        <v>82</v>
      </c>
      <c r="AB3249" s="2">
        <v>2</v>
      </c>
      <c r="AC3249" s="2" t="s">
        <v>102</v>
      </c>
      <c r="AD3249" s="3">
        <v>40398</v>
      </c>
      <c r="AE3249" s="4">
        <v>0.54166666666666663</v>
      </c>
      <c r="AF3249" s="2"/>
      <c r="AG3249" s="2"/>
      <c r="AH3249" s="2">
        <v>6</v>
      </c>
      <c r="AI3249" s="2" t="s">
        <v>197</v>
      </c>
      <c r="AJ3249" s="2">
        <v>60</v>
      </c>
      <c r="AK3249" s="2" t="s">
        <v>543</v>
      </c>
      <c r="AL3249" s="2">
        <v>11</v>
      </c>
      <c r="AM3249" s="2" t="s">
        <v>137</v>
      </c>
      <c r="AN3249" s="2" t="s">
        <v>82</v>
      </c>
      <c r="AO3249" s="2" t="s">
        <v>10516</v>
      </c>
      <c r="AP3249" s="2">
        <v>11</v>
      </c>
      <c r="AQ3249" s="2" t="s">
        <v>82</v>
      </c>
      <c r="AR3249" s="2"/>
      <c r="AS3249" s="2"/>
      <c r="AT3249" s="2" t="s">
        <v>10517</v>
      </c>
      <c r="AU3249" s="2"/>
      <c r="AV3249" s="2"/>
      <c r="AW3249" s="2"/>
      <c r="AX3249" s="2"/>
      <c r="AY3249" s="2">
        <v>41</v>
      </c>
      <c r="AZ3249" s="2" t="s">
        <v>82</v>
      </c>
      <c r="BA3249" s="2">
        <v>41</v>
      </c>
      <c r="BB3249" s="2" t="s">
        <v>82</v>
      </c>
      <c r="BC3249" s="2">
        <v>41</v>
      </c>
      <c r="BD3249" s="2" t="s">
        <v>82</v>
      </c>
      <c r="BE3249" s="2">
        <v>13</v>
      </c>
      <c r="BF3249" s="2" t="s">
        <v>108</v>
      </c>
      <c r="BG3249" s="2" t="s">
        <v>9365</v>
      </c>
      <c r="BH3249" s="2"/>
      <c r="BI3249" s="4">
        <v>0.625</v>
      </c>
      <c r="BJ3249" s="2">
        <v>13</v>
      </c>
      <c r="BK3249" s="2" t="s">
        <v>91</v>
      </c>
      <c r="BL3249" s="2" t="s">
        <v>2298</v>
      </c>
      <c r="BM3249" s="2">
        <v>13</v>
      </c>
      <c r="BN3249" s="2" t="s">
        <v>91</v>
      </c>
      <c r="BO3249" s="2" t="s">
        <v>204</v>
      </c>
      <c r="BP3249" s="2">
        <v>13</v>
      </c>
      <c r="BQ3249" s="2" t="s">
        <v>91</v>
      </c>
      <c r="BR3249" s="2" t="s">
        <v>185</v>
      </c>
      <c r="BS3249" s="3">
        <v>40398</v>
      </c>
      <c r="BT3249" s="4">
        <v>0.61549768518518522</v>
      </c>
    </row>
    <row r="3250" spans="1:72" x14ac:dyDescent="0.25">
      <c r="A3250" s="2">
        <v>4799</v>
      </c>
      <c r="B3250" s="2">
        <v>2010</v>
      </c>
      <c r="C3250" s="2" t="s">
        <v>171</v>
      </c>
      <c r="D3250" s="2" t="s">
        <v>122</v>
      </c>
      <c r="E3250" s="2" t="s">
        <v>10501</v>
      </c>
      <c r="F3250" s="2">
        <v>400</v>
      </c>
      <c r="G3250" s="2" t="s">
        <v>3601</v>
      </c>
      <c r="H3250" s="2">
        <v>17</v>
      </c>
      <c r="I3250" s="2" t="s">
        <v>3602</v>
      </c>
      <c r="J3250" s="2">
        <v>316</v>
      </c>
      <c r="K3250" s="2" t="s">
        <v>574</v>
      </c>
      <c r="L3250" s="2" t="s">
        <v>575</v>
      </c>
      <c r="M3250" s="3">
        <v>40398</v>
      </c>
      <c r="N3250" s="2" t="s">
        <v>3826</v>
      </c>
      <c r="O3250" s="2"/>
      <c r="P3250" s="2"/>
      <c r="Q3250" s="2" t="str">
        <f>"400-E/100"</f>
        <v>400-E/100</v>
      </c>
      <c r="R3250" s="2" t="s">
        <v>391</v>
      </c>
      <c r="S3250" s="2"/>
      <c r="T3250" s="2">
        <v>1</v>
      </c>
      <c r="U3250" s="2" t="s">
        <v>79</v>
      </c>
      <c r="V3250" s="2">
        <v>1</v>
      </c>
      <c r="W3250" s="2" t="s">
        <v>80</v>
      </c>
      <c r="X3250" s="2">
        <v>1</v>
      </c>
      <c r="Y3250" s="2" t="s">
        <v>81</v>
      </c>
      <c r="Z3250" s="2">
        <v>1</v>
      </c>
      <c r="AA3250" s="2" t="s">
        <v>82</v>
      </c>
      <c r="AB3250" s="2">
        <v>1</v>
      </c>
      <c r="AC3250" s="2" t="s">
        <v>178</v>
      </c>
      <c r="AD3250" s="3">
        <v>40396</v>
      </c>
      <c r="AE3250" s="4">
        <v>0.16666666666666666</v>
      </c>
      <c r="AF3250" s="2"/>
      <c r="AG3250" s="2"/>
      <c r="AH3250" s="2">
        <v>2</v>
      </c>
      <c r="AI3250" s="2" t="s">
        <v>84</v>
      </c>
      <c r="AJ3250" s="2">
        <v>9</v>
      </c>
      <c r="AK3250" s="2" t="s">
        <v>103</v>
      </c>
      <c r="AL3250" s="2">
        <v>14</v>
      </c>
      <c r="AM3250" s="2" t="s">
        <v>216</v>
      </c>
      <c r="AN3250" s="2"/>
      <c r="AO3250" s="2" t="s">
        <v>2345</v>
      </c>
      <c r="AP3250" s="2">
        <v>11</v>
      </c>
      <c r="AQ3250" s="2" t="s">
        <v>82</v>
      </c>
      <c r="AR3250" s="2"/>
      <c r="AS3250" s="2"/>
      <c r="AT3250" s="2" t="s">
        <v>10518</v>
      </c>
      <c r="AU3250" s="2"/>
      <c r="AV3250" s="2">
        <v>1</v>
      </c>
      <c r="AW3250" s="2"/>
      <c r="AX3250" s="2"/>
      <c r="AY3250" s="2">
        <v>42</v>
      </c>
      <c r="AZ3250" s="2" t="s">
        <v>182</v>
      </c>
      <c r="BA3250" s="2">
        <v>41</v>
      </c>
      <c r="BB3250" s="2" t="s">
        <v>82</v>
      </c>
      <c r="BC3250" s="2">
        <v>41</v>
      </c>
      <c r="BD3250" s="2" t="s">
        <v>82</v>
      </c>
      <c r="BE3250" s="2">
        <v>20</v>
      </c>
      <c r="BF3250" s="2" t="s">
        <v>1681</v>
      </c>
      <c r="BG3250" s="2" t="s">
        <v>10464</v>
      </c>
      <c r="BH3250" s="4">
        <v>0.18055555555555555</v>
      </c>
      <c r="BI3250" s="2"/>
      <c r="BJ3250" s="2">
        <v>173</v>
      </c>
      <c r="BK3250" s="2" t="s">
        <v>223</v>
      </c>
      <c r="BL3250" s="2" t="s">
        <v>224</v>
      </c>
      <c r="BM3250" s="2">
        <v>241</v>
      </c>
      <c r="BN3250" s="2" t="s">
        <v>82</v>
      </c>
      <c r="BO3250" s="2"/>
      <c r="BP3250" s="2">
        <v>13</v>
      </c>
      <c r="BQ3250" s="2" t="s">
        <v>91</v>
      </c>
      <c r="BR3250" s="2" t="s">
        <v>8803</v>
      </c>
      <c r="BS3250" s="3">
        <v>40398</v>
      </c>
      <c r="BT3250" s="4">
        <v>0.6519328703703704</v>
      </c>
    </row>
    <row r="3251" spans="1:72" x14ac:dyDescent="0.25">
      <c r="A3251" s="2">
        <v>4800</v>
      </c>
      <c r="B3251" s="2">
        <v>2010</v>
      </c>
      <c r="C3251" s="2" t="s">
        <v>763</v>
      </c>
      <c r="D3251" s="2" t="s">
        <v>73</v>
      </c>
      <c r="E3251" s="2"/>
      <c r="F3251" s="2">
        <v>10</v>
      </c>
      <c r="G3251" s="2" t="s">
        <v>2143</v>
      </c>
      <c r="H3251" s="2">
        <v>39</v>
      </c>
      <c r="I3251" s="2" t="s">
        <v>1117</v>
      </c>
      <c r="J3251" s="2">
        <v>19</v>
      </c>
      <c r="K3251" s="2" t="s">
        <v>2144</v>
      </c>
      <c r="L3251" s="2" t="s">
        <v>2145</v>
      </c>
      <c r="M3251" s="3">
        <v>40398</v>
      </c>
      <c r="N3251" s="2" t="s">
        <v>2214</v>
      </c>
      <c r="O3251" s="2" t="s">
        <v>107</v>
      </c>
      <c r="P3251" s="2" t="s">
        <v>107</v>
      </c>
      <c r="Q3251" s="2" t="str">
        <f>"45/2010"</f>
        <v>45/2010</v>
      </c>
      <c r="R3251" s="2"/>
      <c r="S3251" s="2" t="s">
        <v>10519</v>
      </c>
      <c r="T3251" s="2">
        <v>1</v>
      </c>
      <c r="U3251" s="2" t="s">
        <v>79</v>
      </c>
      <c r="V3251" s="2">
        <v>1</v>
      </c>
      <c r="W3251" s="2" t="s">
        <v>80</v>
      </c>
      <c r="X3251" s="2">
        <v>12</v>
      </c>
      <c r="Y3251" s="2" t="s">
        <v>148</v>
      </c>
      <c r="Z3251" s="2">
        <v>1</v>
      </c>
      <c r="AA3251" s="2" t="s">
        <v>82</v>
      </c>
      <c r="AB3251" s="2">
        <v>9</v>
      </c>
      <c r="AC3251" s="2" t="s">
        <v>124</v>
      </c>
      <c r="AD3251" s="3">
        <v>40398</v>
      </c>
      <c r="AE3251" s="4">
        <v>0.48958333333333331</v>
      </c>
      <c r="AF3251" s="3">
        <v>40398</v>
      </c>
      <c r="AG3251" s="4">
        <v>0.57986111111111105</v>
      </c>
      <c r="AH3251" s="2">
        <v>3</v>
      </c>
      <c r="AI3251" s="2" t="s">
        <v>214</v>
      </c>
      <c r="AJ3251" s="2">
        <v>24</v>
      </c>
      <c r="AK3251" s="2" t="s">
        <v>215</v>
      </c>
      <c r="AL3251" s="2">
        <v>2</v>
      </c>
      <c r="AM3251" s="2" t="s">
        <v>163</v>
      </c>
      <c r="AN3251" s="2"/>
      <c r="AO3251" s="2" t="s">
        <v>10520</v>
      </c>
      <c r="AP3251" s="2">
        <v>11</v>
      </c>
      <c r="AQ3251" s="2" t="s">
        <v>82</v>
      </c>
      <c r="AR3251" s="2" t="s">
        <v>82</v>
      </c>
      <c r="AS3251" s="2" t="s">
        <v>82</v>
      </c>
      <c r="AT3251" s="2" t="s">
        <v>10521</v>
      </c>
      <c r="AU3251" s="2"/>
      <c r="AV3251" s="2"/>
      <c r="AW3251" s="2"/>
      <c r="AX3251" s="2"/>
      <c r="AY3251" s="2">
        <v>41</v>
      </c>
      <c r="AZ3251" s="2" t="s">
        <v>82</v>
      </c>
      <c r="BA3251" s="2">
        <v>41</v>
      </c>
      <c r="BB3251" s="2" t="s">
        <v>82</v>
      </c>
      <c r="BC3251" s="2">
        <v>41</v>
      </c>
      <c r="BD3251" s="2" t="s">
        <v>82</v>
      </c>
      <c r="BE3251" s="2">
        <v>13</v>
      </c>
      <c r="BF3251" s="2" t="s">
        <v>108</v>
      </c>
      <c r="BG3251" s="2" t="s">
        <v>10522</v>
      </c>
      <c r="BH3251" s="4">
        <v>0.18402777777777779</v>
      </c>
      <c r="BI3251" s="4">
        <v>0.95138888888888884</v>
      </c>
      <c r="BJ3251" s="2">
        <v>73</v>
      </c>
      <c r="BK3251" s="2" t="s">
        <v>186</v>
      </c>
      <c r="BL3251" s="2" t="s">
        <v>675</v>
      </c>
      <c r="BM3251" s="2">
        <v>33</v>
      </c>
      <c r="BN3251" s="2" t="s">
        <v>361</v>
      </c>
      <c r="BO3251" s="2" t="s">
        <v>2723</v>
      </c>
      <c r="BP3251" s="2">
        <v>13</v>
      </c>
      <c r="BQ3251" s="2" t="s">
        <v>91</v>
      </c>
      <c r="BR3251" s="2" t="s">
        <v>360</v>
      </c>
      <c r="BS3251" s="3">
        <v>40398</v>
      </c>
      <c r="BT3251" s="4">
        <v>0.66362268518518519</v>
      </c>
    </row>
    <row r="3252" spans="1:72" x14ac:dyDescent="0.25">
      <c r="A3252" s="2">
        <v>4801</v>
      </c>
      <c r="B3252" s="2">
        <v>2010</v>
      </c>
      <c r="C3252" s="2" t="s">
        <v>4543</v>
      </c>
      <c r="D3252" s="2" t="s">
        <v>122</v>
      </c>
      <c r="E3252" s="2"/>
      <c r="F3252" s="2">
        <v>10</v>
      </c>
      <c r="G3252" s="2" t="s">
        <v>2143</v>
      </c>
      <c r="H3252" s="2">
        <v>39</v>
      </c>
      <c r="I3252" s="2" t="s">
        <v>1117</v>
      </c>
      <c r="J3252" s="2">
        <v>19</v>
      </c>
      <c r="K3252" s="2" t="s">
        <v>2144</v>
      </c>
      <c r="L3252" s="2" t="s">
        <v>2145</v>
      </c>
      <c r="M3252" s="3">
        <v>40398</v>
      </c>
      <c r="N3252" s="2" t="s">
        <v>2214</v>
      </c>
      <c r="O3252" s="2" t="s">
        <v>82</v>
      </c>
      <c r="P3252" s="2" t="s">
        <v>82</v>
      </c>
      <c r="Q3252" s="2" t="str">
        <f>"47-10"</f>
        <v>47-10</v>
      </c>
      <c r="R3252" s="2" t="s">
        <v>82</v>
      </c>
      <c r="S3252" s="2" t="s">
        <v>82</v>
      </c>
      <c r="T3252" s="2">
        <v>2</v>
      </c>
      <c r="U3252" s="2" t="s">
        <v>123</v>
      </c>
      <c r="V3252" s="2">
        <v>1</v>
      </c>
      <c r="W3252" s="2" t="s">
        <v>80</v>
      </c>
      <c r="X3252" s="2">
        <v>5</v>
      </c>
      <c r="Y3252" s="2" t="s">
        <v>82</v>
      </c>
      <c r="Z3252" s="2">
        <v>1</v>
      </c>
      <c r="AA3252" s="2" t="s">
        <v>82</v>
      </c>
      <c r="AB3252" s="2">
        <v>9</v>
      </c>
      <c r="AC3252" s="2" t="s">
        <v>124</v>
      </c>
      <c r="AD3252" s="3">
        <v>40367</v>
      </c>
      <c r="AE3252" s="4">
        <v>0.47569444444444442</v>
      </c>
      <c r="AF3252" s="2"/>
      <c r="AG3252" s="2"/>
      <c r="AH3252" s="2">
        <v>3</v>
      </c>
      <c r="AI3252" s="2" t="s">
        <v>214</v>
      </c>
      <c r="AJ3252" s="2">
        <v>24</v>
      </c>
      <c r="AK3252" s="2" t="s">
        <v>215</v>
      </c>
      <c r="AL3252" s="2">
        <v>10</v>
      </c>
      <c r="AM3252" s="2" t="s">
        <v>200</v>
      </c>
      <c r="AN3252" s="2" t="s">
        <v>10523</v>
      </c>
      <c r="AO3252" s="2" t="s">
        <v>107</v>
      </c>
      <c r="AP3252" s="2">
        <v>11</v>
      </c>
      <c r="AQ3252" s="2" t="s">
        <v>82</v>
      </c>
      <c r="AR3252" s="2"/>
      <c r="AS3252" s="2"/>
      <c r="AT3252" s="2" t="s">
        <v>10524</v>
      </c>
      <c r="AU3252" s="2"/>
      <c r="AV3252" s="2"/>
      <c r="AW3252" s="2"/>
      <c r="AX3252" s="2"/>
      <c r="AY3252" s="2">
        <v>26</v>
      </c>
      <c r="AZ3252" s="2" t="s">
        <v>1999</v>
      </c>
      <c r="BA3252" s="2">
        <v>41</v>
      </c>
      <c r="BB3252" s="2" t="s">
        <v>82</v>
      </c>
      <c r="BC3252" s="2">
        <v>41</v>
      </c>
      <c r="BD3252" s="2" t="s">
        <v>82</v>
      </c>
      <c r="BE3252" s="2">
        <v>26</v>
      </c>
      <c r="BF3252" s="2" t="s">
        <v>1999</v>
      </c>
      <c r="BG3252" s="2">
        <v>909</v>
      </c>
      <c r="BH3252" s="4">
        <v>0.26041666666666669</v>
      </c>
      <c r="BI3252" s="2"/>
      <c r="BJ3252" s="2">
        <v>75</v>
      </c>
      <c r="BK3252" s="2" t="s">
        <v>1264</v>
      </c>
      <c r="BL3252" s="2" t="s">
        <v>1361</v>
      </c>
      <c r="BM3252" s="2">
        <v>241</v>
      </c>
      <c r="BN3252" s="2" t="s">
        <v>82</v>
      </c>
      <c r="BO3252" s="2"/>
      <c r="BP3252" s="2">
        <v>13</v>
      </c>
      <c r="BQ3252" s="2" t="s">
        <v>91</v>
      </c>
      <c r="BR3252" s="2" t="s">
        <v>185</v>
      </c>
      <c r="BS3252" s="3">
        <v>40398</v>
      </c>
      <c r="BT3252" s="4">
        <v>0.71726851851851858</v>
      </c>
    </row>
    <row r="3253" spans="1:72" x14ac:dyDescent="0.25">
      <c r="A3253" s="2">
        <v>4802</v>
      </c>
      <c r="B3253" s="2">
        <v>2010</v>
      </c>
      <c r="C3253" s="2" t="s">
        <v>72</v>
      </c>
      <c r="D3253" s="2" t="s">
        <v>73</v>
      </c>
      <c r="E3253" s="2"/>
      <c r="F3253" s="2">
        <v>664</v>
      </c>
      <c r="G3253" s="2" t="s">
        <v>10256</v>
      </c>
      <c r="H3253" s="2">
        <v>42</v>
      </c>
      <c r="I3253" s="2" t="s">
        <v>1096</v>
      </c>
      <c r="J3253" s="2">
        <v>634</v>
      </c>
      <c r="K3253" s="2" t="s">
        <v>10257</v>
      </c>
      <c r="L3253" s="2" t="s">
        <v>5984</v>
      </c>
      <c r="M3253" s="3">
        <v>40398</v>
      </c>
      <c r="N3253" s="2" t="s">
        <v>10525</v>
      </c>
      <c r="O3253" s="2"/>
      <c r="P3253" s="2"/>
      <c r="Q3253" s="2" t="str">
        <f>"308-A/10"</f>
        <v>308-A/10</v>
      </c>
      <c r="R3253" s="2" t="s">
        <v>1547</v>
      </c>
      <c r="S3253" s="2" t="s">
        <v>1547</v>
      </c>
      <c r="T3253" s="2">
        <v>1</v>
      </c>
      <c r="U3253" s="2" t="s">
        <v>79</v>
      </c>
      <c r="V3253" s="2">
        <v>1</v>
      </c>
      <c r="W3253" s="2" t="s">
        <v>80</v>
      </c>
      <c r="X3253" s="2">
        <v>12</v>
      </c>
      <c r="Y3253" s="2" t="s">
        <v>148</v>
      </c>
      <c r="Z3253" s="2">
        <v>1</v>
      </c>
      <c r="AA3253" s="2" t="s">
        <v>82</v>
      </c>
      <c r="AB3253" s="2">
        <v>6</v>
      </c>
      <c r="AC3253" s="2" t="s">
        <v>83</v>
      </c>
      <c r="AD3253" s="3">
        <v>40398</v>
      </c>
      <c r="AE3253" s="2"/>
      <c r="AF3253" s="3">
        <v>40398</v>
      </c>
      <c r="AG3253" s="4">
        <v>0.64583333333333337</v>
      </c>
      <c r="AH3253" s="2">
        <v>2</v>
      </c>
      <c r="AI3253" s="2" t="s">
        <v>84</v>
      </c>
      <c r="AJ3253" s="2">
        <v>12</v>
      </c>
      <c r="AK3253" s="2" t="s">
        <v>85</v>
      </c>
      <c r="AL3253" s="2">
        <v>22</v>
      </c>
      <c r="AM3253" s="2" t="s">
        <v>1853</v>
      </c>
      <c r="AN3253" s="2" t="s">
        <v>10526</v>
      </c>
      <c r="AO3253" s="2" t="s">
        <v>10527</v>
      </c>
      <c r="AP3253" s="2">
        <v>11</v>
      </c>
      <c r="AQ3253" s="2" t="s">
        <v>82</v>
      </c>
      <c r="AR3253" s="2"/>
      <c r="AS3253" s="2"/>
      <c r="AT3253" s="2" t="s">
        <v>10528</v>
      </c>
      <c r="AU3253" s="2"/>
      <c r="AV3253" s="2"/>
      <c r="AW3253" s="2"/>
      <c r="AX3253" s="2"/>
      <c r="AY3253" s="2">
        <v>41</v>
      </c>
      <c r="AZ3253" s="2" t="s">
        <v>82</v>
      </c>
      <c r="BA3253" s="2">
        <v>41</v>
      </c>
      <c r="BB3253" s="2" t="s">
        <v>82</v>
      </c>
      <c r="BC3253" s="2">
        <v>41</v>
      </c>
      <c r="BD3253" s="2" t="s">
        <v>82</v>
      </c>
      <c r="BE3253" s="2">
        <v>4</v>
      </c>
      <c r="BF3253" s="2" t="s">
        <v>90</v>
      </c>
      <c r="BG3253" s="2" t="s">
        <v>10529</v>
      </c>
      <c r="BH3253" s="4">
        <v>0.5</v>
      </c>
      <c r="BI3253" s="4">
        <v>0.39583333333333331</v>
      </c>
      <c r="BJ3253" s="2">
        <v>13</v>
      </c>
      <c r="BK3253" s="2" t="s">
        <v>91</v>
      </c>
      <c r="BL3253" s="2" t="s">
        <v>241</v>
      </c>
      <c r="BM3253" s="2">
        <v>241</v>
      </c>
      <c r="BN3253" s="2" t="s">
        <v>82</v>
      </c>
      <c r="BO3253" s="2"/>
      <c r="BP3253" s="2">
        <v>13</v>
      </c>
      <c r="BQ3253" s="2" t="s">
        <v>91</v>
      </c>
      <c r="BR3253" s="2" t="s">
        <v>564</v>
      </c>
      <c r="BS3253" s="3">
        <v>40398</v>
      </c>
      <c r="BT3253" s="4">
        <v>0.72103009259259254</v>
      </c>
    </row>
    <row r="3254" spans="1:72" x14ac:dyDescent="0.25">
      <c r="A3254" s="2">
        <v>4803</v>
      </c>
      <c r="B3254" s="2">
        <v>2010</v>
      </c>
      <c r="C3254" s="2" t="s">
        <v>763</v>
      </c>
      <c r="D3254" s="2" t="s">
        <v>73</v>
      </c>
      <c r="E3254" s="2"/>
      <c r="F3254" s="2">
        <v>10</v>
      </c>
      <c r="G3254" s="2" t="s">
        <v>2143</v>
      </c>
      <c r="H3254" s="2">
        <v>39</v>
      </c>
      <c r="I3254" s="2" t="s">
        <v>1117</v>
      </c>
      <c r="J3254" s="2">
        <v>538</v>
      </c>
      <c r="K3254" s="2" t="s">
        <v>7264</v>
      </c>
      <c r="L3254" s="2" t="s">
        <v>7265</v>
      </c>
      <c r="M3254" s="3">
        <v>40398</v>
      </c>
      <c r="N3254" s="2" t="s">
        <v>7130</v>
      </c>
      <c r="O3254" s="2" t="s">
        <v>107</v>
      </c>
      <c r="P3254" s="2" t="s">
        <v>107</v>
      </c>
      <c r="Q3254" s="2" t="str">
        <f>"47/2010"</f>
        <v>47/2010</v>
      </c>
      <c r="R3254" s="2" t="s">
        <v>107</v>
      </c>
      <c r="S3254" s="2" t="s">
        <v>10519</v>
      </c>
      <c r="T3254" s="2">
        <v>1</v>
      </c>
      <c r="U3254" s="2" t="s">
        <v>79</v>
      </c>
      <c r="V3254" s="2">
        <v>1</v>
      </c>
      <c r="W3254" s="2" t="s">
        <v>80</v>
      </c>
      <c r="X3254" s="2">
        <v>12</v>
      </c>
      <c r="Y3254" s="2" t="s">
        <v>148</v>
      </c>
      <c r="Z3254" s="2">
        <v>1</v>
      </c>
      <c r="AA3254" s="2" t="s">
        <v>82</v>
      </c>
      <c r="AB3254" s="2">
        <v>9</v>
      </c>
      <c r="AC3254" s="2" t="s">
        <v>124</v>
      </c>
      <c r="AD3254" s="3">
        <v>40398</v>
      </c>
      <c r="AE3254" s="4">
        <v>0.45833333333333331</v>
      </c>
      <c r="AF3254" s="3">
        <v>40398</v>
      </c>
      <c r="AG3254" s="4">
        <v>0.64583333333333337</v>
      </c>
      <c r="AH3254" s="2">
        <v>3</v>
      </c>
      <c r="AI3254" s="2" t="s">
        <v>214</v>
      </c>
      <c r="AJ3254" s="2">
        <v>24</v>
      </c>
      <c r="AK3254" s="2" t="s">
        <v>215</v>
      </c>
      <c r="AL3254" s="2">
        <v>2</v>
      </c>
      <c r="AM3254" s="2" t="s">
        <v>163</v>
      </c>
      <c r="AN3254" s="2"/>
      <c r="AO3254" s="2" t="s">
        <v>10530</v>
      </c>
      <c r="AP3254" s="2">
        <v>11</v>
      </c>
      <c r="AQ3254" s="2" t="s">
        <v>82</v>
      </c>
      <c r="AR3254" s="2" t="s">
        <v>82</v>
      </c>
      <c r="AS3254" s="2" t="s">
        <v>82</v>
      </c>
      <c r="AT3254" s="2" t="s">
        <v>10531</v>
      </c>
      <c r="AU3254" s="2"/>
      <c r="AV3254" s="2"/>
      <c r="AW3254" s="2"/>
      <c r="AX3254" s="2"/>
      <c r="AY3254" s="2">
        <v>41</v>
      </c>
      <c r="AZ3254" s="2" t="s">
        <v>82</v>
      </c>
      <c r="BA3254" s="2">
        <v>41</v>
      </c>
      <c r="BB3254" s="2" t="s">
        <v>82</v>
      </c>
      <c r="BC3254" s="2">
        <v>41</v>
      </c>
      <c r="BD3254" s="2" t="s">
        <v>82</v>
      </c>
      <c r="BE3254" s="2">
        <v>26</v>
      </c>
      <c r="BF3254" s="2" t="s">
        <v>1999</v>
      </c>
      <c r="BG3254" s="2">
        <v>909</v>
      </c>
      <c r="BH3254" s="4">
        <v>0.2638888888888889</v>
      </c>
      <c r="BI3254" s="4">
        <v>0.85416666666666663</v>
      </c>
      <c r="BJ3254" s="2">
        <v>75</v>
      </c>
      <c r="BK3254" s="2" t="s">
        <v>1264</v>
      </c>
      <c r="BL3254" s="2" t="s">
        <v>1361</v>
      </c>
      <c r="BM3254" s="2">
        <v>241</v>
      </c>
      <c r="BN3254" s="2" t="s">
        <v>82</v>
      </c>
      <c r="BO3254" s="2"/>
      <c r="BP3254" s="2">
        <v>13</v>
      </c>
      <c r="BQ3254" s="2" t="s">
        <v>91</v>
      </c>
      <c r="BR3254" s="2" t="s">
        <v>360</v>
      </c>
      <c r="BS3254" s="3">
        <v>40398</v>
      </c>
      <c r="BT3254" s="4">
        <v>0.74825231481481491</v>
      </c>
    </row>
    <row r="3255" spans="1:72" x14ac:dyDescent="0.25">
      <c r="A3255" s="2">
        <v>4804</v>
      </c>
      <c r="B3255" s="2">
        <v>2010</v>
      </c>
      <c r="C3255" s="2" t="s">
        <v>171</v>
      </c>
      <c r="D3255" s="2" t="s">
        <v>73</v>
      </c>
      <c r="E3255" s="2"/>
      <c r="F3255" s="2">
        <v>571</v>
      </c>
      <c r="G3255" s="2" t="s">
        <v>8061</v>
      </c>
      <c r="H3255" s="2">
        <v>47</v>
      </c>
      <c r="I3255" s="2" t="s">
        <v>1409</v>
      </c>
      <c r="J3255" s="2">
        <v>119</v>
      </c>
      <c r="K3255" s="2" t="s">
        <v>325</v>
      </c>
      <c r="L3255" s="2" t="s">
        <v>326</v>
      </c>
      <c r="M3255" s="3">
        <v>40398</v>
      </c>
      <c r="N3255" s="2" t="s">
        <v>4106</v>
      </c>
      <c r="O3255" s="2"/>
      <c r="P3255" s="2"/>
      <c r="Q3255" s="2" t="str">
        <f>"0029-10"</f>
        <v>0029-10</v>
      </c>
      <c r="R3255" s="2" t="s">
        <v>10532</v>
      </c>
      <c r="S3255" s="2" t="s">
        <v>10532</v>
      </c>
      <c r="T3255" s="2">
        <v>1</v>
      </c>
      <c r="U3255" s="2" t="s">
        <v>79</v>
      </c>
      <c r="V3255" s="2">
        <v>1</v>
      </c>
      <c r="W3255" s="2" t="s">
        <v>80</v>
      </c>
      <c r="X3255" s="2">
        <v>1</v>
      </c>
      <c r="Y3255" s="2" t="s">
        <v>81</v>
      </c>
      <c r="Z3255" s="2">
        <v>1</v>
      </c>
      <c r="AA3255" s="2" t="s">
        <v>82</v>
      </c>
      <c r="AB3255" s="2">
        <v>1</v>
      </c>
      <c r="AC3255" s="2" t="s">
        <v>178</v>
      </c>
      <c r="AD3255" s="3">
        <v>40398</v>
      </c>
      <c r="AE3255" s="4">
        <v>0.39583333333333331</v>
      </c>
      <c r="AF3255" s="2"/>
      <c r="AG3255" s="2"/>
      <c r="AH3255" s="2">
        <v>6</v>
      </c>
      <c r="AI3255" s="2" t="s">
        <v>197</v>
      </c>
      <c r="AJ3255" s="2">
        <v>50</v>
      </c>
      <c r="AK3255" s="2" t="s">
        <v>330</v>
      </c>
      <c r="AL3255" s="2">
        <v>22</v>
      </c>
      <c r="AM3255" s="2" t="s">
        <v>1853</v>
      </c>
      <c r="AN3255" s="2" t="s">
        <v>10533</v>
      </c>
      <c r="AO3255" s="2" t="s">
        <v>10534</v>
      </c>
      <c r="AP3255" s="2">
        <v>11</v>
      </c>
      <c r="AQ3255" s="2" t="s">
        <v>82</v>
      </c>
      <c r="AR3255" s="2"/>
      <c r="AS3255" s="2"/>
      <c r="AT3255" s="2" t="s">
        <v>10535</v>
      </c>
      <c r="AU3255" s="2"/>
      <c r="AV3255" s="2"/>
      <c r="AW3255" s="2"/>
      <c r="AX3255" s="2"/>
      <c r="AY3255" s="2">
        <v>41</v>
      </c>
      <c r="AZ3255" s="2" t="s">
        <v>82</v>
      </c>
      <c r="BA3255" s="2">
        <v>41</v>
      </c>
      <c r="BB3255" s="2" t="s">
        <v>82</v>
      </c>
      <c r="BC3255" s="2">
        <v>41</v>
      </c>
      <c r="BD3255" s="2" t="s">
        <v>82</v>
      </c>
      <c r="BE3255" s="2">
        <v>47</v>
      </c>
      <c r="BF3255" s="2" t="s">
        <v>167</v>
      </c>
      <c r="BG3255" s="2">
        <v>2671</v>
      </c>
      <c r="BH3255" s="2"/>
      <c r="BI3255" s="4">
        <v>0.43402777777777773</v>
      </c>
      <c r="BJ3255" s="2">
        <v>13</v>
      </c>
      <c r="BK3255" s="2" t="s">
        <v>91</v>
      </c>
      <c r="BL3255" s="2" t="s">
        <v>1199</v>
      </c>
      <c r="BM3255" s="2">
        <v>241</v>
      </c>
      <c r="BN3255" s="2" t="s">
        <v>82</v>
      </c>
      <c r="BO3255" s="2"/>
      <c r="BP3255" s="2">
        <v>13</v>
      </c>
      <c r="BQ3255" s="2" t="s">
        <v>91</v>
      </c>
      <c r="BR3255" s="2" t="s">
        <v>170</v>
      </c>
      <c r="BS3255" s="3">
        <v>40398</v>
      </c>
      <c r="BT3255" s="4">
        <v>0.7828356481481481</v>
      </c>
    </row>
    <row r="3256" spans="1:72" x14ac:dyDescent="0.25">
      <c r="A3256" s="2">
        <v>4805</v>
      </c>
      <c r="B3256" s="2">
        <v>2010</v>
      </c>
      <c r="C3256" s="2" t="s">
        <v>171</v>
      </c>
      <c r="D3256" s="2" t="s">
        <v>73</v>
      </c>
      <c r="E3256" s="2"/>
      <c r="F3256" s="2">
        <v>233</v>
      </c>
      <c r="G3256" s="2" t="s">
        <v>3858</v>
      </c>
      <c r="H3256" s="2">
        <v>17</v>
      </c>
      <c r="I3256" s="2" t="s">
        <v>3602</v>
      </c>
      <c r="J3256" s="2">
        <v>316</v>
      </c>
      <c r="K3256" s="2" t="s">
        <v>574</v>
      </c>
      <c r="L3256" s="2" t="s">
        <v>575</v>
      </c>
      <c r="M3256" s="3">
        <v>40398</v>
      </c>
      <c r="N3256" s="2" t="s">
        <v>3826</v>
      </c>
      <c r="O3256" s="2"/>
      <c r="P3256" s="2"/>
      <c r="Q3256" s="2" t="str">
        <f>"403-E/10"</f>
        <v>403-E/10</v>
      </c>
      <c r="R3256" s="2" t="s">
        <v>391</v>
      </c>
      <c r="S3256" s="2" t="s">
        <v>391</v>
      </c>
      <c r="T3256" s="2">
        <v>1</v>
      </c>
      <c r="U3256" s="2" t="s">
        <v>79</v>
      </c>
      <c r="V3256" s="2">
        <v>1</v>
      </c>
      <c r="W3256" s="2" t="s">
        <v>80</v>
      </c>
      <c r="X3256" s="2">
        <v>1</v>
      </c>
      <c r="Y3256" s="2" t="s">
        <v>81</v>
      </c>
      <c r="Z3256" s="2">
        <v>1</v>
      </c>
      <c r="AA3256" s="2" t="s">
        <v>82</v>
      </c>
      <c r="AB3256" s="2">
        <v>1</v>
      </c>
      <c r="AC3256" s="2" t="s">
        <v>178</v>
      </c>
      <c r="AD3256" s="3">
        <v>40398</v>
      </c>
      <c r="AE3256" s="4">
        <v>0.625</v>
      </c>
      <c r="AF3256" s="2"/>
      <c r="AG3256" s="2"/>
      <c r="AH3256" s="2">
        <v>2</v>
      </c>
      <c r="AI3256" s="2" t="s">
        <v>84</v>
      </c>
      <c r="AJ3256" s="2">
        <v>9</v>
      </c>
      <c r="AK3256" s="2" t="s">
        <v>103</v>
      </c>
      <c r="AL3256" s="2">
        <v>12</v>
      </c>
      <c r="AM3256" s="2" t="s">
        <v>86</v>
      </c>
      <c r="AN3256" s="2" t="s">
        <v>10536</v>
      </c>
      <c r="AO3256" s="2" t="s">
        <v>10537</v>
      </c>
      <c r="AP3256" s="2">
        <v>11</v>
      </c>
      <c r="AQ3256" s="2" t="s">
        <v>82</v>
      </c>
      <c r="AR3256" s="2"/>
      <c r="AS3256" s="2"/>
      <c r="AT3256" s="2" t="s">
        <v>10538</v>
      </c>
      <c r="AU3256" s="2"/>
      <c r="AV3256" s="2">
        <v>1</v>
      </c>
      <c r="AW3256" s="2"/>
      <c r="AX3256" s="2"/>
      <c r="AY3256" s="2">
        <v>41</v>
      </c>
      <c r="AZ3256" s="2" t="s">
        <v>82</v>
      </c>
      <c r="BA3256" s="2">
        <v>41</v>
      </c>
      <c r="BB3256" s="2" t="s">
        <v>82</v>
      </c>
      <c r="BC3256" s="2">
        <v>41</v>
      </c>
      <c r="BD3256" s="2" t="s">
        <v>82</v>
      </c>
      <c r="BE3256" s="2">
        <v>33</v>
      </c>
      <c r="BF3256" s="2" t="s">
        <v>1083</v>
      </c>
      <c r="BG3256" s="2" t="s">
        <v>2165</v>
      </c>
      <c r="BH3256" s="2"/>
      <c r="BI3256" s="4">
        <v>0.77083333333333337</v>
      </c>
      <c r="BJ3256" s="2">
        <v>173</v>
      </c>
      <c r="BK3256" s="2" t="s">
        <v>223</v>
      </c>
      <c r="BL3256" s="2" t="s">
        <v>224</v>
      </c>
      <c r="BM3256" s="2">
        <v>13</v>
      </c>
      <c r="BN3256" s="2" t="s">
        <v>91</v>
      </c>
      <c r="BO3256" s="2" t="s">
        <v>360</v>
      </c>
      <c r="BP3256" s="2">
        <v>205</v>
      </c>
      <c r="BQ3256" s="2" t="s">
        <v>1085</v>
      </c>
      <c r="BR3256" s="2" t="s">
        <v>1086</v>
      </c>
      <c r="BS3256" s="3">
        <v>40398</v>
      </c>
      <c r="BT3256" s="4">
        <v>0.99016203703703709</v>
      </c>
    </row>
    <row r="3257" spans="1:72" x14ac:dyDescent="0.25">
      <c r="A3257" s="2">
        <v>4806</v>
      </c>
      <c r="B3257" s="2">
        <v>2010</v>
      </c>
      <c r="C3257" s="2" t="s">
        <v>1094</v>
      </c>
      <c r="D3257" s="2" t="s">
        <v>73</v>
      </c>
      <c r="E3257" s="2"/>
      <c r="F3257" s="2">
        <v>219</v>
      </c>
      <c r="G3257" s="2" t="s">
        <v>2325</v>
      </c>
      <c r="H3257" s="2">
        <v>131</v>
      </c>
      <c r="I3257" s="2" t="s">
        <v>10539</v>
      </c>
      <c r="J3257" s="2">
        <v>634</v>
      </c>
      <c r="K3257" s="2" t="s">
        <v>10257</v>
      </c>
      <c r="L3257" s="2" t="s">
        <v>5984</v>
      </c>
      <c r="M3257" s="3">
        <v>40399</v>
      </c>
      <c r="N3257" s="2" t="s">
        <v>10540</v>
      </c>
      <c r="O3257" s="2"/>
      <c r="P3257" s="2" t="s">
        <v>107</v>
      </c>
      <c r="Q3257" s="2" t="str">
        <f>"309-A/10"</f>
        <v>309-A/10</v>
      </c>
      <c r="R3257" s="2"/>
      <c r="S3257" s="2" t="s">
        <v>1100</v>
      </c>
      <c r="T3257" s="2">
        <v>1</v>
      </c>
      <c r="U3257" s="2" t="s">
        <v>79</v>
      </c>
      <c r="V3257" s="2">
        <v>1</v>
      </c>
      <c r="W3257" s="2" t="s">
        <v>80</v>
      </c>
      <c r="X3257" s="2">
        <v>12</v>
      </c>
      <c r="Y3257" s="2" t="s">
        <v>148</v>
      </c>
      <c r="Z3257" s="2">
        <v>1</v>
      </c>
      <c r="AA3257" s="2" t="s">
        <v>82</v>
      </c>
      <c r="AB3257" s="2">
        <v>9</v>
      </c>
      <c r="AC3257" s="2" t="s">
        <v>124</v>
      </c>
      <c r="AD3257" s="3">
        <v>40398</v>
      </c>
      <c r="AE3257" s="2"/>
      <c r="AF3257" s="3">
        <v>40398</v>
      </c>
      <c r="AG3257" s="4">
        <v>0.81944444444444453</v>
      </c>
      <c r="AH3257" s="2">
        <v>2</v>
      </c>
      <c r="AI3257" s="2" t="s">
        <v>84</v>
      </c>
      <c r="AJ3257" s="2">
        <v>12</v>
      </c>
      <c r="AK3257" s="2" t="s">
        <v>85</v>
      </c>
      <c r="AL3257" s="2">
        <v>29</v>
      </c>
      <c r="AM3257" s="2" t="s">
        <v>5416</v>
      </c>
      <c r="AN3257" s="2" t="s">
        <v>2156</v>
      </c>
      <c r="AO3257" s="2"/>
      <c r="AP3257" s="2">
        <v>11</v>
      </c>
      <c r="AQ3257" s="2" t="s">
        <v>82</v>
      </c>
      <c r="AR3257" s="2"/>
      <c r="AS3257" s="2"/>
      <c r="AT3257" s="2" t="s">
        <v>10541</v>
      </c>
      <c r="AU3257" s="2">
        <v>1</v>
      </c>
      <c r="AV3257" s="2"/>
      <c r="AW3257" s="2"/>
      <c r="AX3257" s="2"/>
      <c r="AY3257" s="2">
        <v>41</v>
      </c>
      <c r="AZ3257" s="2" t="s">
        <v>82</v>
      </c>
      <c r="BA3257" s="2">
        <v>41</v>
      </c>
      <c r="BB3257" s="2" t="s">
        <v>82</v>
      </c>
      <c r="BC3257" s="2">
        <v>41</v>
      </c>
      <c r="BD3257" s="2" t="s">
        <v>82</v>
      </c>
      <c r="BE3257" s="2">
        <v>41</v>
      </c>
      <c r="BF3257" s="2" t="s">
        <v>82</v>
      </c>
      <c r="BG3257" s="2"/>
      <c r="BH3257" s="2"/>
      <c r="BI3257" s="2"/>
      <c r="BJ3257" s="2">
        <v>241</v>
      </c>
      <c r="BK3257" s="2" t="s">
        <v>82</v>
      </c>
      <c r="BL3257" s="2"/>
      <c r="BM3257" s="2">
        <v>241</v>
      </c>
      <c r="BN3257" s="2" t="s">
        <v>82</v>
      </c>
      <c r="BO3257" s="2"/>
      <c r="BP3257" s="2">
        <v>241</v>
      </c>
      <c r="BQ3257" s="2" t="s">
        <v>82</v>
      </c>
      <c r="BR3257" s="2"/>
      <c r="BS3257" s="3">
        <v>40399</v>
      </c>
      <c r="BT3257" s="4">
        <v>5.6875000000000002E-2</v>
      </c>
    </row>
    <row r="3258" spans="1:72" x14ac:dyDescent="0.25">
      <c r="A3258" s="2">
        <v>4807</v>
      </c>
      <c r="B3258" s="2">
        <v>2010</v>
      </c>
      <c r="C3258" s="2" t="s">
        <v>171</v>
      </c>
      <c r="D3258" s="2" t="s">
        <v>122</v>
      </c>
      <c r="E3258" s="2" t="s">
        <v>10542</v>
      </c>
      <c r="F3258" s="2">
        <v>233</v>
      </c>
      <c r="G3258" s="2" t="s">
        <v>3858</v>
      </c>
      <c r="H3258" s="2">
        <v>17</v>
      </c>
      <c r="I3258" s="2" t="s">
        <v>3602</v>
      </c>
      <c r="J3258" s="2">
        <v>316</v>
      </c>
      <c r="K3258" s="2" t="s">
        <v>574</v>
      </c>
      <c r="L3258" s="2" t="s">
        <v>575</v>
      </c>
      <c r="M3258" s="3">
        <v>40399</v>
      </c>
      <c r="N3258" s="2" t="s">
        <v>3826</v>
      </c>
      <c r="O3258" s="2"/>
      <c r="P3258" s="2"/>
      <c r="Q3258" s="2" t="str">
        <f>"403-E/10"</f>
        <v>403-E/10</v>
      </c>
      <c r="R3258" s="2" t="s">
        <v>391</v>
      </c>
      <c r="S3258" s="2" t="s">
        <v>391</v>
      </c>
      <c r="T3258" s="2">
        <v>1</v>
      </c>
      <c r="U3258" s="2" t="s">
        <v>79</v>
      </c>
      <c r="V3258" s="2">
        <v>1</v>
      </c>
      <c r="W3258" s="2" t="s">
        <v>80</v>
      </c>
      <c r="X3258" s="2">
        <v>11</v>
      </c>
      <c r="Y3258" s="2" t="s">
        <v>1920</v>
      </c>
      <c r="Z3258" s="2">
        <v>1</v>
      </c>
      <c r="AA3258" s="2" t="s">
        <v>82</v>
      </c>
      <c r="AB3258" s="2">
        <v>1</v>
      </c>
      <c r="AC3258" s="2" t="s">
        <v>178</v>
      </c>
      <c r="AD3258" s="3">
        <v>40398</v>
      </c>
      <c r="AE3258" s="4">
        <v>0.66666666666666663</v>
      </c>
      <c r="AF3258" s="2"/>
      <c r="AG3258" s="2"/>
      <c r="AH3258" s="2">
        <v>2</v>
      </c>
      <c r="AI3258" s="2" t="s">
        <v>84</v>
      </c>
      <c r="AJ3258" s="2">
        <v>9</v>
      </c>
      <c r="AK3258" s="2" t="s">
        <v>103</v>
      </c>
      <c r="AL3258" s="2">
        <v>12</v>
      </c>
      <c r="AM3258" s="2" t="s">
        <v>86</v>
      </c>
      <c r="AN3258" s="2"/>
      <c r="AO3258" s="2" t="s">
        <v>10536</v>
      </c>
      <c r="AP3258" s="2">
        <v>11</v>
      </c>
      <c r="AQ3258" s="2" t="s">
        <v>82</v>
      </c>
      <c r="AR3258" s="2"/>
      <c r="AS3258" s="2"/>
      <c r="AT3258" s="2" t="s">
        <v>10543</v>
      </c>
      <c r="AU3258" s="2"/>
      <c r="AV3258" s="2">
        <v>1</v>
      </c>
      <c r="AW3258" s="2"/>
      <c r="AX3258" s="2"/>
      <c r="AY3258" s="2">
        <v>41</v>
      </c>
      <c r="AZ3258" s="2" t="s">
        <v>82</v>
      </c>
      <c r="BA3258" s="2">
        <v>41</v>
      </c>
      <c r="BB3258" s="2" t="s">
        <v>82</v>
      </c>
      <c r="BC3258" s="2">
        <v>41</v>
      </c>
      <c r="BD3258" s="2" t="s">
        <v>82</v>
      </c>
      <c r="BE3258" s="2">
        <v>33</v>
      </c>
      <c r="BF3258" s="2" t="s">
        <v>1083</v>
      </c>
      <c r="BG3258" s="2" t="s">
        <v>2165</v>
      </c>
      <c r="BH3258" s="2"/>
      <c r="BI3258" s="4">
        <v>0.77083333333333337</v>
      </c>
      <c r="BJ3258" s="2">
        <v>13</v>
      </c>
      <c r="BK3258" s="2" t="s">
        <v>91</v>
      </c>
      <c r="BL3258" s="2" t="s">
        <v>185</v>
      </c>
      <c r="BM3258" s="2">
        <v>242</v>
      </c>
      <c r="BN3258" s="2" t="s">
        <v>107</v>
      </c>
      <c r="BO3258" s="2"/>
      <c r="BP3258" s="2">
        <v>205</v>
      </c>
      <c r="BQ3258" s="2" t="s">
        <v>1085</v>
      </c>
      <c r="BR3258" s="2" t="s">
        <v>1086</v>
      </c>
      <c r="BS3258" s="3">
        <v>40399</v>
      </c>
      <c r="BT3258" s="4">
        <v>0.13430555555555554</v>
      </c>
    </row>
    <row r="3259" spans="1:72" x14ac:dyDescent="0.25">
      <c r="A3259" s="2">
        <v>4808</v>
      </c>
      <c r="B3259" s="2">
        <v>2010</v>
      </c>
      <c r="C3259" s="2" t="s">
        <v>1660</v>
      </c>
      <c r="D3259" s="2" t="s">
        <v>73</v>
      </c>
      <c r="E3259" s="2"/>
      <c r="F3259" s="2">
        <v>389</v>
      </c>
      <c r="G3259" s="2" t="s">
        <v>1819</v>
      </c>
      <c r="H3259" s="2">
        <v>3</v>
      </c>
      <c r="I3259" s="2" t="s">
        <v>315</v>
      </c>
      <c r="J3259" s="2">
        <v>399</v>
      </c>
      <c r="K3259" s="2" t="s">
        <v>1820</v>
      </c>
      <c r="L3259" s="2" t="s">
        <v>1821</v>
      </c>
      <c r="M3259" s="3">
        <v>40399</v>
      </c>
      <c r="N3259" s="2" t="s">
        <v>2319</v>
      </c>
      <c r="O3259" s="2"/>
      <c r="P3259" s="2"/>
      <c r="Q3259" s="2" t="str">
        <f>"404-E/10"</f>
        <v>404-E/10</v>
      </c>
      <c r="R3259" s="2" t="s">
        <v>10544</v>
      </c>
      <c r="S3259" s="2" t="s">
        <v>10544</v>
      </c>
      <c r="T3259" s="2">
        <v>1</v>
      </c>
      <c r="U3259" s="2" t="s">
        <v>79</v>
      </c>
      <c r="V3259" s="2">
        <v>1</v>
      </c>
      <c r="W3259" s="2" t="s">
        <v>80</v>
      </c>
      <c r="X3259" s="2">
        <v>10</v>
      </c>
      <c r="Y3259" s="2" t="s">
        <v>226</v>
      </c>
      <c r="Z3259" s="2">
        <v>6</v>
      </c>
      <c r="AA3259" s="2" t="s">
        <v>101</v>
      </c>
      <c r="AB3259" s="2">
        <v>3</v>
      </c>
      <c r="AC3259" s="2" t="s">
        <v>1663</v>
      </c>
      <c r="AD3259" s="3">
        <v>40398</v>
      </c>
      <c r="AE3259" s="4">
        <v>0.69444444444444453</v>
      </c>
      <c r="AF3259" s="3">
        <v>40398</v>
      </c>
      <c r="AG3259" s="4">
        <v>0.69444444444444453</v>
      </c>
      <c r="AH3259" s="2">
        <v>2</v>
      </c>
      <c r="AI3259" s="2" t="s">
        <v>84</v>
      </c>
      <c r="AJ3259" s="2">
        <v>9</v>
      </c>
      <c r="AK3259" s="2" t="s">
        <v>103</v>
      </c>
      <c r="AL3259" s="2">
        <v>14</v>
      </c>
      <c r="AM3259" s="2" t="s">
        <v>216</v>
      </c>
      <c r="AN3259" s="2"/>
      <c r="AO3259" s="2"/>
      <c r="AP3259" s="2">
        <v>11</v>
      </c>
      <c r="AQ3259" s="2" t="s">
        <v>82</v>
      </c>
      <c r="AR3259" s="2"/>
      <c r="AS3259" s="2"/>
      <c r="AT3259" s="2" t="s">
        <v>10545</v>
      </c>
      <c r="AU3259" s="2"/>
      <c r="AV3259" s="2">
        <v>1</v>
      </c>
      <c r="AW3259" s="2"/>
      <c r="AX3259" s="2"/>
      <c r="AY3259" s="2">
        <v>41</v>
      </c>
      <c r="AZ3259" s="2" t="s">
        <v>82</v>
      </c>
      <c r="BA3259" s="2">
        <v>41</v>
      </c>
      <c r="BB3259" s="2" t="s">
        <v>82</v>
      </c>
      <c r="BC3259" s="2">
        <v>41</v>
      </c>
      <c r="BD3259" s="2" t="s">
        <v>82</v>
      </c>
      <c r="BE3259" s="2">
        <v>18</v>
      </c>
      <c r="BF3259" s="2" t="s">
        <v>1091</v>
      </c>
      <c r="BG3259" s="2" t="s">
        <v>10091</v>
      </c>
      <c r="BH3259" s="4">
        <v>0.66666666666666663</v>
      </c>
      <c r="BI3259" s="2"/>
      <c r="BJ3259" s="2">
        <v>133</v>
      </c>
      <c r="BK3259" s="2" t="s">
        <v>2860</v>
      </c>
      <c r="BL3259" s="2" t="s">
        <v>10546</v>
      </c>
      <c r="BM3259" s="2">
        <v>242</v>
      </c>
      <c r="BN3259" s="2" t="s">
        <v>107</v>
      </c>
      <c r="BO3259" s="2"/>
      <c r="BP3259" s="2">
        <v>13</v>
      </c>
      <c r="BQ3259" s="2" t="s">
        <v>91</v>
      </c>
      <c r="BR3259" s="2" t="s">
        <v>360</v>
      </c>
      <c r="BS3259" s="3">
        <v>40399</v>
      </c>
      <c r="BT3259" s="4">
        <v>0.25734953703703706</v>
      </c>
    </row>
    <row r="3260" spans="1:72" x14ac:dyDescent="0.25">
      <c r="A3260" s="2">
        <v>4809</v>
      </c>
      <c r="B3260" s="2">
        <v>2010</v>
      </c>
      <c r="C3260" s="2" t="s">
        <v>93</v>
      </c>
      <c r="D3260" s="2" t="s">
        <v>73</v>
      </c>
      <c r="E3260" s="2"/>
      <c r="F3260" s="2">
        <v>389</v>
      </c>
      <c r="G3260" s="2" t="s">
        <v>1819</v>
      </c>
      <c r="H3260" s="2">
        <v>3</v>
      </c>
      <c r="I3260" s="2" t="s">
        <v>315</v>
      </c>
      <c r="J3260" s="2">
        <v>399</v>
      </c>
      <c r="K3260" s="2" t="s">
        <v>1820</v>
      </c>
      <c r="L3260" s="2" t="s">
        <v>1821</v>
      </c>
      <c r="M3260" s="3">
        <v>40399</v>
      </c>
      <c r="N3260" s="2" t="s">
        <v>4976</v>
      </c>
      <c r="O3260" s="2" t="s">
        <v>10547</v>
      </c>
      <c r="P3260" s="2"/>
      <c r="Q3260" s="2" t="str">
        <f>""</f>
        <v/>
      </c>
      <c r="R3260" s="2"/>
      <c r="S3260" s="2"/>
      <c r="T3260" s="2">
        <v>1</v>
      </c>
      <c r="U3260" s="2" t="s">
        <v>79</v>
      </c>
      <c r="V3260" s="2">
        <v>1</v>
      </c>
      <c r="W3260" s="2" t="s">
        <v>80</v>
      </c>
      <c r="X3260" s="2">
        <v>10</v>
      </c>
      <c r="Y3260" s="2" t="s">
        <v>226</v>
      </c>
      <c r="Z3260" s="2">
        <v>6</v>
      </c>
      <c r="AA3260" s="2" t="s">
        <v>101</v>
      </c>
      <c r="AB3260" s="2">
        <v>2</v>
      </c>
      <c r="AC3260" s="2" t="s">
        <v>102</v>
      </c>
      <c r="AD3260" s="3">
        <v>40398</v>
      </c>
      <c r="AE3260" s="4">
        <v>0.71875</v>
      </c>
      <c r="AF3260" s="2"/>
      <c r="AG3260" s="2"/>
      <c r="AH3260" s="2">
        <v>2</v>
      </c>
      <c r="AI3260" s="2" t="s">
        <v>84</v>
      </c>
      <c r="AJ3260" s="2">
        <v>9</v>
      </c>
      <c r="AK3260" s="2" t="s">
        <v>103</v>
      </c>
      <c r="AL3260" s="2">
        <v>14</v>
      </c>
      <c r="AM3260" s="2" t="s">
        <v>216</v>
      </c>
      <c r="AN3260" s="2" t="s">
        <v>10548</v>
      </c>
      <c r="AO3260" s="2" t="s">
        <v>7664</v>
      </c>
      <c r="AP3260" s="2">
        <v>11</v>
      </c>
      <c r="AQ3260" s="2" t="s">
        <v>82</v>
      </c>
      <c r="AR3260" s="2"/>
      <c r="AS3260" s="2"/>
      <c r="AT3260" s="2" t="s">
        <v>10549</v>
      </c>
      <c r="AU3260" s="2"/>
      <c r="AV3260" s="2"/>
      <c r="AW3260" s="2"/>
      <c r="AX3260" s="2"/>
      <c r="AY3260" s="2">
        <v>41</v>
      </c>
      <c r="AZ3260" s="2" t="s">
        <v>82</v>
      </c>
      <c r="BA3260" s="2">
        <v>41</v>
      </c>
      <c r="BB3260" s="2" t="s">
        <v>82</v>
      </c>
      <c r="BC3260" s="2">
        <v>41</v>
      </c>
      <c r="BD3260" s="2" t="s">
        <v>82</v>
      </c>
      <c r="BE3260" s="2">
        <v>18</v>
      </c>
      <c r="BF3260" s="2" t="s">
        <v>1091</v>
      </c>
      <c r="BG3260" s="2" t="s">
        <v>5582</v>
      </c>
      <c r="BH3260" s="4">
        <v>0.58333333333333337</v>
      </c>
      <c r="BI3260" s="2"/>
      <c r="BJ3260" s="2">
        <v>133</v>
      </c>
      <c r="BK3260" s="2" t="s">
        <v>2860</v>
      </c>
      <c r="BL3260" s="2" t="s">
        <v>5583</v>
      </c>
      <c r="BM3260" s="2">
        <v>241</v>
      </c>
      <c r="BN3260" s="2" t="s">
        <v>82</v>
      </c>
      <c r="BO3260" s="2"/>
      <c r="BP3260" s="2">
        <v>13</v>
      </c>
      <c r="BQ3260" s="2" t="s">
        <v>91</v>
      </c>
      <c r="BR3260" s="2" t="s">
        <v>360</v>
      </c>
      <c r="BS3260" s="3">
        <v>40399</v>
      </c>
      <c r="BT3260" s="4">
        <v>0.30644675925925929</v>
      </c>
    </row>
    <row r="3261" spans="1:72" x14ac:dyDescent="0.25">
      <c r="A3261" s="2">
        <v>4813</v>
      </c>
      <c r="B3261" s="2">
        <v>2010</v>
      </c>
      <c r="C3261" s="2" t="s">
        <v>93</v>
      </c>
      <c r="D3261" s="2" t="s">
        <v>73</v>
      </c>
      <c r="E3261" s="2"/>
      <c r="F3261" s="2">
        <v>480</v>
      </c>
      <c r="G3261" s="2" t="s">
        <v>10550</v>
      </c>
      <c r="H3261" s="2">
        <v>46</v>
      </c>
      <c r="I3261" s="2" t="s">
        <v>1545</v>
      </c>
      <c r="J3261" s="2">
        <v>190</v>
      </c>
      <c r="K3261" s="2" t="s">
        <v>10551</v>
      </c>
      <c r="L3261" s="2" t="s">
        <v>1379</v>
      </c>
      <c r="M3261" s="3">
        <v>40399</v>
      </c>
      <c r="N3261" s="2" t="s">
        <v>10552</v>
      </c>
      <c r="O3261" s="2" t="s">
        <v>601</v>
      </c>
      <c r="P3261" s="2">
        <v>63556</v>
      </c>
      <c r="Q3261" s="2" t="str">
        <f>"0101/2010"</f>
        <v>0101/2010</v>
      </c>
      <c r="R3261" s="2" t="s">
        <v>7393</v>
      </c>
      <c r="S3261" s="2"/>
      <c r="T3261" s="2">
        <v>1</v>
      </c>
      <c r="U3261" s="2" t="s">
        <v>79</v>
      </c>
      <c r="V3261" s="2">
        <v>1</v>
      </c>
      <c r="W3261" s="2" t="s">
        <v>80</v>
      </c>
      <c r="X3261" s="2">
        <v>10</v>
      </c>
      <c r="Y3261" s="2" t="s">
        <v>226</v>
      </c>
      <c r="Z3261" s="2">
        <v>9</v>
      </c>
      <c r="AA3261" s="2" t="s">
        <v>1119</v>
      </c>
      <c r="AB3261" s="2">
        <v>2</v>
      </c>
      <c r="AC3261" s="2" t="s">
        <v>102</v>
      </c>
      <c r="AD3261" s="3">
        <v>40399</v>
      </c>
      <c r="AE3261" s="4">
        <v>0.4375</v>
      </c>
      <c r="AF3261" s="2"/>
      <c r="AG3261" s="2"/>
      <c r="AH3261" s="2">
        <v>5</v>
      </c>
      <c r="AI3261" s="2" t="s">
        <v>274</v>
      </c>
      <c r="AJ3261" s="2">
        <v>38</v>
      </c>
      <c r="AK3261" s="2" t="s">
        <v>1120</v>
      </c>
      <c r="AL3261" s="2">
        <v>14</v>
      </c>
      <c r="AM3261" s="2" t="s">
        <v>216</v>
      </c>
      <c r="AN3261" s="2"/>
      <c r="AO3261" s="2" t="s">
        <v>5741</v>
      </c>
      <c r="AP3261" s="2">
        <v>11</v>
      </c>
      <c r="AQ3261" s="2" t="s">
        <v>82</v>
      </c>
      <c r="AR3261" s="2"/>
      <c r="AS3261" s="2"/>
      <c r="AT3261" s="2" t="s">
        <v>10553</v>
      </c>
      <c r="AU3261" s="2"/>
      <c r="AV3261" s="2"/>
      <c r="AW3261" s="2"/>
      <c r="AX3261" s="2"/>
      <c r="AY3261" s="2">
        <v>41</v>
      </c>
      <c r="AZ3261" s="2" t="s">
        <v>82</v>
      </c>
      <c r="BA3261" s="2">
        <v>41</v>
      </c>
      <c r="BB3261" s="2" t="s">
        <v>82</v>
      </c>
      <c r="BC3261" s="2">
        <v>41</v>
      </c>
      <c r="BD3261" s="2" t="s">
        <v>82</v>
      </c>
      <c r="BE3261" s="2">
        <v>47</v>
      </c>
      <c r="BF3261" s="2" t="s">
        <v>167</v>
      </c>
      <c r="BG3261" s="2">
        <v>2721</v>
      </c>
      <c r="BH3261" s="4">
        <v>0.40972222222222227</v>
      </c>
      <c r="BI3261" s="4">
        <v>0.44444444444444442</v>
      </c>
      <c r="BJ3261" s="2">
        <v>13</v>
      </c>
      <c r="BK3261" s="2" t="s">
        <v>91</v>
      </c>
      <c r="BL3261" s="2" t="s">
        <v>1697</v>
      </c>
      <c r="BM3261" s="2">
        <v>241</v>
      </c>
      <c r="BN3261" s="2" t="s">
        <v>82</v>
      </c>
      <c r="BO3261" s="2"/>
      <c r="BP3261" s="2">
        <v>13</v>
      </c>
      <c r="BQ3261" s="2" t="s">
        <v>91</v>
      </c>
      <c r="BR3261" s="2" t="s">
        <v>170</v>
      </c>
      <c r="BS3261" s="3">
        <v>40399</v>
      </c>
      <c r="BT3261" s="4">
        <v>0.47767361111111112</v>
      </c>
    </row>
    <row r="3262" spans="1:72" x14ac:dyDescent="0.25">
      <c r="A3262" s="2">
        <v>4814</v>
      </c>
      <c r="B3262" s="2">
        <v>2010</v>
      </c>
      <c r="C3262" s="2" t="s">
        <v>4543</v>
      </c>
      <c r="D3262" s="2" t="s">
        <v>122</v>
      </c>
      <c r="E3262" s="2"/>
      <c r="F3262" s="2">
        <v>1</v>
      </c>
      <c r="G3262" s="2" t="s">
        <v>82</v>
      </c>
      <c r="H3262" s="2">
        <v>1</v>
      </c>
      <c r="I3262" s="2" t="s">
        <v>82</v>
      </c>
      <c r="J3262" s="2">
        <v>1</v>
      </c>
      <c r="K3262" s="2" t="s">
        <v>107</v>
      </c>
      <c r="L3262" s="2" t="s">
        <v>107</v>
      </c>
      <c r="M3262" s="3">
        <v>40399</v>
      </c>
      <c r="N3262" s="2"/>
      <c r="O3262" s="2"/>
      <c r="P3262" s="2"/>
      <c r="Q3262" s="2" t="str">
        <f>""</f>
        <v/>
      </c>
      <c r="R3262" s="2"/>
      <c r="S3262" s="2"/>
      <c r="T3262" s="2">
        <v>2</v>
      </c>
      <c r="U3262" s="2" t="s">
        <v>123</v>
      </c>
      <c r="V3262" s="2">
        <v>1</v>
      </c>
      <c r="W3262" s="2" t="s">
        <v>80</v>
      </c>
      <c r="X3262" s="2">
        <v>11</v>
      </c>
      <c r="Y3262" s="2" t="s">
        <v>1920</v>
      </c>
      <c r="Z3262" s="2">
        <v>1</v>
      </c>
      <c r="AA3262" s="2" t="s">
        <v>82</v>
      </c>
      <c r="AB3262" s="2">
        <v>9</v>
      </c>
      <c r="AC3262" s="2" t="s">
        <v>124</v>
      </c>
      <c r="AD3262" s="3">
        <v>40399</v>
      </c>
      <c r="AE3262" s="4">
        <v>0.48958333333333331</v>
      </c>
      <c r="AF3262" s="2"/>
      <c r="AG3262" s="2"/>
      <c r="AH3262" s="2">
        <v>6</v>
      </c>
      <c r="AI3262" s="2" t="s">
        <v>197</v>
      </c>
      <c r="AJ3262" s="2">
        <v>54</v>
      </c>
      <c r="AK3262" s="2" t="s">
        <v>348</v>
      </c>
      <c r="AL3262" s="2">
        <v>18</v>
      </c>
      <c r="AM3262" s="2" t="s">
        <v>82</v>
      </c>
      <c r="AN3262" s="2" t="s">
        <v>595</v>
      </c>
      <c r="AO3262" s="2" t="s">
        <v>200</v>
      </c>
      <c r="AP3262" s="2">
        <v>12</v>
      </c>
      <c r="AQ3262" s="2" t="s">
        <v>322</v>
      </c>
      <c r="AR3262" s="2" t="s">
        <v>596</v>
      </c>
      <c r="AS3262" s="2" t="s">
        <v>10554</v>
      </c>
      <c r="AT3262" s="2" t="s">
        <v>10555</v>
      </c>
      <c r="AU3262" s="2"/>
      <c r="AV3262" s="2"/>
      <c r="AW3262" s="2"/>
      <c r="AX3262" s="2"/>
      <c r="AY3262" s="2">
        <v>1</v>
      </c>
      <c r="AZ3262" s="2" t="s">
        <v>107</v>
      </c>
      <c r="BA3262" s="2">
        <v>1</v>
      </c>
      <c r="BB3262" s="2" t="s">
        <v>107</v>
      </c>
      <c r="BC3262" s="2">
        <v>1</v>
      </c>
      <c r="BD3262" s="2" t="s">
        <v>107</v>
      </c>
      <c r="BE3262" s="2">
        <v>47</v>
      </c>
      <c r="BF3262" s="2" t="s">
        <v>167</v>
      </c>
      <c r="BG3262" s="2" t="s">
        <v>4192</v>
      </c>
      <c r="BH3262" s="4">
        <v>0.4375</v>
      </c>
      <c r="BI3262" s="4">
        <v>0.48958333333333331</v>
      </c>
      <c r="BJ3262" s="2">
        <v>13</v>
      </c>
      <c r="BK3262" s="2" t="s">
        <v>91</v>
      </c>
      <c r="BL3262" s="2" t="s">
        <v>849</v>
      </c>
      <c r="BM3262" s="2">
        <v>242</v>
      </c>
      <c r="BN3262" s="2" t="s">
        <v>107</v>
      </c>
      <c r="BO3262" s="2" t="s">
        <v>107</v>
      </c>
      <c r="BP3262" s="2">
        <v>242</v>
      </c>
      <c r="BQ3262" s="2" t="s">
        <v>107</v>
      </c>
      <c r="BR3262" s="2" t="s">
        <v>1834</v>
      </c>
      <c r="BS3262" s="3">
        <v>40399</v>
      </c>
      <c r="BT3262" s="4">
        <v>0.5036342592592592</v>
      </c>
    </row>
    <row r="3263" spans="1:72" x14ac:dyDescent="0.25">
      <c r="A3263" s="2">
        <v>4817</v>
      </c>
      <c r="B3263" s="2">
        <v>2010</v>
      </c>
      <c r="C3263" s="2" t="s">
        <v>93</v>
      </c>
      <c r="D3263" s="2" t="s">
        <v>122</v>
      </c>
      <c r="E3263" s="2" t="s">
        <v>10556</v>
      </c>
      <c r="F3263" s="2">
        <v>337</v>
      </c>
      <c r="G3263" s="2" t="s">
        <v>1190</v>
      </c>
      <c r="H3263" s="2">
        <v>2</v>
      </c>
      <c r="I3263" s="2" t="s">
        <v>267</v>
      </c>
      <c r="J3263" s="2">
        <v>1</v>
      </c>
      <c r="K3263" s="2" t="s">
        <v>107</v>
      </c>
      <c r="L3263" s="2" t="s">
        <v>107</v>
      </c>
      <c r="M3263" s="3">
        <v>40399</v>
      </c>
      <c r="N3263" s="2" t="s">
        <v>10557</v>
      </c>
      <c r="O3263" s="2" t="s">
        <v>10547</v>
      </c>
      <c r="P3263" s="2">
        <v>1130</v>
      </c>
      <c r="Q3263" s="2" t="str">
        <f>""</f>
        <v/>
      </c>
      <c r="R3263" s="2"/>
      <c r="S3263" s="2"/>
      <c r="T3263" s="2">
        <v>1</v>
      </c>
      <c r="U3263" s="2" t="s">
        <v>79</v>
      </c>
      <c r="V3263" s="2">
        <v>1</v>
      </c>
      <c r="W3263" s="2" t="s">
        <v>80</v>
      </c>
      <c r="X3263" s="2">
        <v>10</v>
      </c>
      <c r="Y3263" s="2" t="s">
        <v>226</v>
      </c>
      <c r="Z3263" s="2">
        <v>6</v>
      </c>
      <c r="AA3263" s="2" t="s">
        <v>101</v>
      </c>
      <c r="AB3263" s="2">
        <v>2</v>
      </c>
      <c r="AC3263" s="2" t="s">
        <v>102</v>
      </c>
      <c r="AD3263" s="3">
        <v>40398</v>
      </c>
      <c r="AE3263" s="4">
        <v>0.74305555555555547</v>
      </c>
      <c r="AF3263" s="2"/>
      <c r="AG3263" s="2"/>
      <c r="AH3263" s="2">
        <v>2</v>
      </c>
      <c r="AI3263" s="2" t="s">
        <v>84</v>
      </c>
      <c r="AJ3263" s="2">
        <v>9</v>
      </c>
      <c r="AK3263" s="2" t="s">
        <v>103</v>
      </c>
      <c r="AL3263" s="2">
        <v>14</v>
      </c>
      <c r="AM3263" s="2" t="s">
        <v>216</v>
      </c>
      <c r="AN3263" s="2" t="s">
        <v>10548</v>
      </c>
      <c r="AO3263" s="2"/>
      <c r="AP3263" s="2">
        <v>11</v>
      </c>
      <c r="AQ3263" s="2" t="s">
        <v>82</v>
      </c>
      <c r="AR3263" s="2"/>
      <c r="AS3263" s="2"/>
      <c r="AT3263" s="2" t="s">
        <v>10558</v>
      </c>
      <c r="AU3263" s="2"/>
      <c r="AV3263" s="2"/>
      <c r="AW3263" s="2"/>
      <c r="AX3263" s="2"/>
      <c r="AY3263" s="2">
        <v>41</v>
      </c>
      <c r="AZ3263" s="2" t="s">
        <v>82</v>
      </c>
      <c r="BA3263" s="2">
        <v>41</v>
      </c>
      <c r="BB3263" s="2" t="s">
        <v>82</v>
      </c>
      <c r="BC3263" s="2">
        <v>115</v>
      </c>
      <c r="BD3263" s="2" t="s">
        <v>101</v>
      </c>
      <c r="BE3263" s="2">
        <v>18</v>
      </c>
      <c r="BF3263" s="2" t="s">
        <v>1091</v>
      </c>
      <c r="BG3263" s="2" t="s">
        <v>5582</v>
      </c>
      <c r="BH3263" s="4">
        <v>0.58333333333333337</v>
      </c>
      <c r="BI3263" s="2"/>
      <c r="BJ3263" s="2">
        <v>133</v>
      </c>
      <c r="BK3263" s="2" t="s">
        <v>2860</v>
      </c>
      <c r="BL3263" s="2" t="s">
        <v>5583</v>
      </c>
      <c r="BM3263" s="2">
        <v>241</v>
      </c>
      <c r="BN3263" s="2" t="s">
        <v>82</v>
      </c>
      <c r="BO3263" s="2"/>
      <c r="BP3263" s="2">
        <v>13</v>
      </c>
      <c r="BQ3263" s="2" t="s">
        <v>91</v>
      </c>
      <c r="BR3263" s="2" t="s">
        <v>360</v>
      </c>
      <c r="BS3263" s="3">
        <v>40399</v>
      </c>
      <c r="BT3263" s="4">
        <v>0.57892361111111112</v>
      </c>
    </row>
    <row r="3264" spans="1:72" x14ac:dyDescent="0.25">
      <c r="A3264" s="2">
        <v>4818</v>
      </c>
      <c r="B3264" s="2">
        <v>2010</v>
      </c>
      <c r="C3264" s="2" t="s">
        <v>763</v>
      </c>
      <c r="D3264" s="2" t="s">
        <v>122</v>
      </c>
      <c r="E3264" s="2" t="s">
        <v>10559</v>
      </c>
      <c r="F3264" s="2">
        <v>219</v>
      </c>
      <c r="G3264" s="2" t="s">
        <v>2325</v>
      </c>
      <c r="H3264" s="2">
        <v>131</v>
      </c>
      <c r="I3264" s="2" t="s">
        <v>10539</v>
      </c>
      <c r="J3264" s="2">
        <v>634</v>
      </c>
      <c r="K3264" s="2" t="s">
        <v>10257</v>
      </c>
      <c r="L3264" s="2" t="s">
        <v>5984</v>
      </c>
      <c r="M3264" s="3">
        <v>40399</v>
      </c>
      <c r="N3264" s="2" t="s">
        <v>10540</v>
      </c>
      <c r="O3264" s="2"/>
      <c r="P3264" s="2"/>
      <c r="Q3264" s="2" t="str">
        <f>"309-A/10"</f>
        <v>309-A/10</v>
      </c>
      <c r="R3264" s="2" t="s">
        <v>1100</v>
      </c>
      <c r="S3264" s="2"/>
      <c r="T3264" s="2">
        <v>1</v>
      </c>
      <c r="U3264" s="2" t="s">
        <v>79</v>
      </c>
      <c r="V3264" s="2">
        <v>1</v>
      </c>
      <c r="W3264" s="2" t="s">
        <v>80</v>
      </c>
      <c r="X3264" s="2">
        <v>1</v>
      </c>
      <c r="Y3264" s="2" t="s">
        <v>81</v>
      </c>
      <c r="Z3264" s="2">
        <v>10</v>
      </c>
      <c r="AA3264" s="2" t="s">
        <v>236</v>
      </c>
      <c r="AB3264" s="2">
        <v>9</v>
      </c>
      <c r="AC3264" s="2" t="s">
        <v>124</v>
      </c>
      <c r="AD3264" s="3">
        <v>40398</v>
      </c>
      <c r="AE3264" s="4">
        <v>0.77777777777777779</v>
      </c>
      <c r="AF3264" s="3">
        <v>40398</v>
      </c>
      <c r="AG3264" s="4">
        <v>0.81944444444444453</v>
      </c>
      <c r="AH3264" s="2">
        <v>2</v>
      </c>
      <c r="AI3264" s="2" t="s">
        <v>84</v>
      </c>
      <c r="AJ3264" s="2">
        <v>12</v>
      </c>
      <c r="AK3264" s="2" t="s">
        <v>85</v>
      </c>
      <c r="AL3264" s="2">
        <v>29</v>
      </c>
      <c r="AM3264" s="2" t="s">
        <v>5416</v>
      </c>
      <c r="AN3264" s="2" t="s">
        <v>9018</v>
      </c>
      <c r="AO3264" s="2"/>
      <c r="AP3264" s="2">
        <v>11</v>
      </c>
      <c r="AQ3264" s="2" t="s">
        <v>82</v>
      </c>
      <c r="AR3264" s="2"/>
      <c r="AS3264" s="2"/>
      <c r="AT3264" s="2" t="s">
        <v>10560</v>
      </c>
      <c r="AU3264" s="2">
        <v>1</v>
      </c>
      <c r="AV3264" s="2"/>
      <c r="AW3264" s="2"/>
      <c r="AX3264" s="2"/>
      <c r="AY3264" s="2">
        <v>41</v>
      </c>
      <c r="AZ3264" s="2" t="s">
        <v>82</v>
      </c>
      <c r="BA3264" s="2">
        <v>41</v>
      </c>
      <c r="BB3264" s="2" t="s">
        <v>82</v>
      </c>
      <c r="BC3264" s="2">
        <v>41</v>
      </c>
      <c r="BD3264" s="2" t="s">
        <v>82</v>
      </c>
      <c r="BE3264" s="2">
        <v>41</v>
      </c>
      <c r="BF3264" s="2" t="s">
        <v>82</v>
      </c>
      <c r="BG3264" s="2"/>
      <c r="BH3264" s="2"/>
      <c r="BI3264" s="2"/>
      <c r="BJ3264" s="2">
        <v>241</v>
      </c>
      <c r="BK3264" s="2" t="s">
        <v>82</v>
      </c>
      <c r="BL3264" s="2"/>
      <c r="BM3264" s="2">
        <v>241</v>
      </c>
      <c r="BN3264" s="2" t="s">
        <v>82</v>
      </c>
      <c r="BO3264" s="2"/>
      <c r="BP3264" s="2">
        <v>241</v>
      </c>
      <c r="BQ3264" s="2" t="s">
        <v>82</v>
      </c>
      <c r="BR3264" s="2"/>
      <c r="BS3264" s="3">
        <v>40399</v>
      </c>
      <c r="BT3264" s="4">
        <v>0.60386574074074073</v>
      </c>
    </row>
    <row r="3265" spans="1:72" x14ac:dyDescent="0.25">
      <c r="A3265" s="2">
        <v>4819</v>
      </c>
      <c r="B3265" s="2">
        <v>2010</v>
      </c>
      <c r="C3265" s="2" t="s">
        <v>147</v>
      </c>
      <c r="D3265" s="2" t="s">
        <v>73</v>
      </c>
      <c r="E3265" s="2"/>
      <c r="F3265" s="2">
        <v>1</v>
      </c>
      <c r="G3265" s="2" t="s">
        <v>82</v>
      </c>
      <c r="H3265" s="2">
        <v>1</v>
      </c>
      <c r="I3265" s="2" t="s">
        <v>82</v>
      </c>
      <c r="J3265" s="2">
        <v>1</v>
      </c>
      <c r="K3265" s="2" t="s">
        <v>107</v>
      </c>
      <c r="L3265" s="2" t="s">
        <v>107</v>
      </c>
      <c r="M3265" s="3">
        <v>40399</v>
      </c>
      <c r="N3265" s="2"/>
      <c r="O3265" s="2"/>
      <c r="P3265" s="2"/>
      <c r="Q3265" s="2" t="str">
        <f>""</f>
        <v/>
      </c>
      <c r="R3265" s="2"/>
      <c r="S3265" s="2"/>
      <c r="T3265" s="2">
        <v>2</v>
      </c>
      <c r="U3265" s="2" t="s">
        <v>123</v>
      </c>
      <c r="V3265" s="2">
        <v>1</v>
      </c>
      <c r="W3265" s="2" t="s">
        <v>80</v>
      </c>
      <c r="X3265" s="2">
        <v>5</v>
      </c>
      <c r="Y3265" s="2" t="s">
        <v>82</v>
      </c>
      <c r="Z3265" s="2">
        <v>1</v>
      </c>
      <c r="AA3265" s="2" t="s">
        <v>82</v>
      </c>
      <c r="AB3265" s="2">
        <v>9</v>
      </c>
      <c r="AC3265" s="2" t="s">
        <v>124</v>
      </c>
      <c r="AD3265" s="3">
        <v>40399</v>
      </c>
      <c r="AE3265" s="2"/>
      <c r="AF3265" s="3">
        <v>40399</v>
      </c>
      <c r="AG3265" s="4">
        <v>0.5625</v>
      </c>
      <c r="AH3265" s="2">
        <v>6</v>
      </c>
      <c r="AI3265" s="2" t="s">
        <v>197</v>
      </c>
      <c r="AJ3265" s="2">
        <v>59</v>
      </c>
      <c r="AK3265" s="2" t="s">
        <v>198</v>
      </c>
      <c r="AL3265" s="2">
        <v>10</v>
      </c>
      <c r="AM3265" s="2" t="s">
        <v>200</v>
      </c>
      <c r="AN3265" s="2" t="s">
        <v>230</v>
      </c>
      <c r="AO3265" s="2" t="s">
        <v>82</v>
      </c>
      <c r="AP3265" s="2">
        <v>11</v>
      </c>
      <c r="AQ3265" s="2" t="s">
        <v>82</v>
      </c>
      <c r="AR3265" s="2" t="s">
        <v>82</v>
      </c>
      <c r="AS3265" s="2" t="s">
        <v>82</v>
      </c>
      <c r="AT3265" s="2" t="s">
        <v>10561</v>
      </c>
      <c r="AU3265" s="2"/>
      <c r="AV3265" s="2"/>
      <c r="AW3265" s="2"/>
      <c r="AX3265" s="2"/>
      <c r="AY3265" s="2">
        <v>41</v>
      </c>
      <c r="AZ3265" s="2" t="s">
        <v>82</v>
      </c>
      <c r="BA3265" s="2">
        <v>41</v>
      </c>
      <c r="BB3265" s="2" t="s">
        <v>82</v>
      </c>
      <c r="BC3265" s="2">
        <v>41</v>
      </c>
      <c r="BD3265" s="2" t="s">
        <v>82</v>
      </c>
      <c r="BE3265" s="2">
        <v>41</v>
      </c>
      <c r="BF3265" s="2" t="s">
        <v>82</v>
      </c>
      <c r="BG3265" s="2" t="s">
        <v>82</v>
      </c>
      <c r="BH3265" s="2"/>
      <c r="BI3265" s="2"/>
      <c r="BJ3265" s="2">
        <v>241</v>
      </c>
      <c r="BK3265" s="2" t="s">
        <v>82</v>
      </c>
      <c r="BL3265" s="2"/>
      <c r="BM3265" s="2">
        <v>241</v>
      </c>
      <c r="BN3265" s="2" t="s">
        <v>82</v>
      </c>
      <c r="BO3265" s="2"/>
      <c r="BP3265" s="2">
        <v>241</v>
      </c>
      <c r="BQ3265" s="2" t="s">
        <v>82</v>
      </c>
      <c r="BR3265" s="2"/>
      <c r="BS3265" s="3">
        <v>40399</v>
      </c>
      <c r="BT3265" s="4">
        <v>0.61086805555555557</v>
      </c>
    </row>
    <row r="3266" spans="1:72" x14ac:dyDescent="0.25">
      <c r="A3266" s="2">
        <v>4820</v>
      </c>
      <c r="B3266" s="2">
        <v>2010</v>
      </c>
      <c r="C3266" s="2" t="s">
        <v>93</v>
      </c>
      <c r="D3266" s="2" t="s">
        <v>73</v>
      </c>
      <c r="E3266" s="2"/>
      <c r="F3266" s="2">
        <v>134</v>
      </c>
      <c r="G3266" s="2" t="s">
        <v>8834</v>
      </c>
      <c r="H3266" s="2">
        <v>42</v>
      </c>
      <c r="I3266" s="2" t="s">
        <v>1096</v>
      </c>
      <c r="J3266" s="2">
        <v>151</v>
      </c>
      <c r="K3266" s="2" t="s">
        <v>1485</v>
      </c>
      <c r="L3266" s="2" t="s">
        <v>1626</v>
      </c>
      <c r="M3266" s="3">
        <v>40399</v>
      </c>
      <c r="N3266" s="2" t="s">
        <v>10562</v>
      </c>
      <c r="O3266" s="2" t="s">
        <v>10563</v>
      </c>
      <c r="P3266" s="2" t="s">
        <v>10564</v>
      </c>
      <c r="Q3266" s="2" t="str">
        <f>"AP-0032/10"</f>
        <v>AP-0032/10</v>
      </c>
      <c r="R3266" s="2" t="s">
        <v>10565</v>
      </c>
      <c r="S3266" s="2" t="s">
        <v>82</v>
      </c>
      <c r="T3266" s="2">
        <v>1</v>
      </c>
      <c r="U3266" s="2" t="s">
        <v>79</v>
      </c>
      <c r="V3266" s="2">
        <v>1</v>
      </c>
      <c r="W3266" s="2" t="s">
        <v>80</v>
      </c>
      <c r="X3266" s="2">
        <v>1</v>
      </c>
      <c r="Y3266" s="2" t="s">
        <v>81</v>
      </c>
      <c r="Z3266" s="2">
        <v>1</v>
      </c>
      <c r="AA3266" s="2" t="s">
        <v>82</v>
      </c>
      <c r="AB3266" s="2">
        <v>2</v>
      </c>
      <c r="AC3266" s="2" t="s">
        <v>102</v>
      </c>
      <c r="AD3266" s="3">
        <v>40399</v>
      </c>
      <c r="AE3266" s="4">
        <v>0.59027777777777779</v>
      </c>
      <c r="AF3266" s="2"/>
      <c r="AG3266" s="2"/>
      <c r="AH3266" s="2">
        <v>6</v>
      </c>
      <c r="AI3266" s="2" t="s">
        <v>197</v>
      </c>
      <c r="AJ3266" s="2">
        <v>61</v>
      </c>
      <c r="AK3266" s="2" t="s">
        <v>686</v>
      </c>
      <c r="AL3266" s="2">
        <v>11</v>
      </c>
      <c r="AM3266" s="2" t="s">
        <v>137</v>
      </c>
      <c r="AN3266" s="2" t="s">
        <v>6881</v>
      </c>
      <c r="AO3266" s="2" t="s">
        <v>10566</v>
      </c>
      <c r="AP3266" s="2">
        <v>11</v>
      </c>
      <c r="AQ3266" s="2" t="s">
        <v>82</v>
      </c>
      <c r="AR3266" s="2" t="s">
        <v>82</v>
      </c>
      <c r="AS3266" s="2" t="s">
        <v>82</v>
      </c>
      <c r="AT3266" s="2" t="s">
        <v>10567</v>
      </c>
      <c r="AU3266" s="2"/>
      <c r="AV3266" s="2"/>
      <c r="AW3266" s="2"/>
      <c r="AX3266" s="2"/>
      <c r="AY3266" s="2">
        <v>41</v>
      </c>
      <c r="AZ3266" s="2" t="s">
        <v>82</v>
      </c>
      <c r="BA3266" s="2">
        <v>41</v>
      </c>
      <c r="BB3266" s="2" t="s">
        <v>82</v>
      </c>
      <c r="BC3266" s="2">
        <v>41</v>
      </c>
      <c r="BD3266" s="2" t="s">
        <v>82</v>
      </c>
      <c r="BE3266" s="2">
        <v>49</v>
      </c>
      <c r="BF3266" s="2" t="s">
        <v>1254</v>
      </c>
      <c r="BG3266" s="2">
        <v>474</v>
      </c>
      <c r="BH3266" s="2"/>
      <c r="BI3266" s="4">
        <v>0.61111111111111105</v>
      </c>
      <c r="BJ3266" s="2">
        <v>13</v>
      </c>
      <c r="BK3266" s="2" t="s">
        <v>91</v>
      </c>
      <c r="BL3266" s="2" t="s">
        <v>690</v>
      </c>
      <c r="BM3266" s="2">
        <v>13</v>
      </c>
      <c r="BN3266" s="2" t="s">
        <v>91</v>
      </c>
      <c r="BO3266" s="2" t="s">
        <v>10568</v>
      </c>
      <c r="BP3266" s="2">
        <v>13</v>
      </c>
      <c r="BQ3266" s="2" t="s">
        <v>91</v>
      </c>
      <c r="BR3266" s="2" t="s">
        <v>353</v>
      </c>
      <c r="BS3266" s="3">
        <v>40399</v>
      </c>
      <c r="BT3266" s="4">
        <v>0.64351851851851849</v>
      </c>
    </row>
    <row r="3267" spans="1:72" x14ac:dyDescent="0.25">
      <c r="A3267" s="2">
        <v>4822</v>
      </c>
      <c r="B3267" s="2">
        <v>2010</v>
      </c>
      <c r="C3267" s="2" t="s">
        <v>171</v>
      </c>
      <c r="D3267" s="2" t="s">
        <v>122</v>
      </c>
      <c r="E3267" s="2" t="s">
        <v>10569</v>
      </c>
      <c r="F3267" s="2">
        <v>233</v>
      </c>
      <c r="G3267" s="2" t="s">
        <v>3858</v>
      </c>
      <c r="H3267" s="2">
        <v>17</v>
      </c>
      <c r="I3267" s="2" t="s">
        <v>3602</v>
      </c>
      <c r="J3267" s="2">
        <v>316</v>
      </c>
      <c r="K3267" s="2" t="s">
        <v>574</v>
      </c>
      <c r="L3267" s="2" t="s">
        <v>575</v>
      </c>
      <c r="M3267" s="3">
        <v>40399</v>
      </c>
      <c r="N3267" s="2" t="s">
        <v>3826</v>
      </c>
      <c r="O3267" s="2"/>
      <c r="P3267" s="2"/>
      <c r="Q3267" s="2" t="str">
        <f>"403-E/10"</f>
        <v>403-E/10</v>
      </c>
      <c r="R3267" s="2" t="s">
        <v>391</v>
      </c>
      <c r="S3267" s="2" t="s">
        <v>391</v>
      </c>
      <c r="T3267" s="2">
        <v>1</v>
      </c>
      <c r="U3267" s="2" t="s">
        <v>79</v>
      </c>
      <c r="V3267" s="2">
        <v>1</v>
      </c>
      <c r="W3267" s="2" t="s">
        <v>80</v>
      </c>
      <c r="X3267" s="2">
        <v>11</v>
      </c>
      <c r="Y3267" s="2" t="s">
        <v>1920</v>
      </c>
      <c r="Z3267" s="2">
        <v>1</v>
      </c>
      <c r="AA3267" s="2" t="s">
        <v>82</v>
      </c>
      <c r="AB3267" s="2">
        <v>1</v>
      </c>
      <c r="AC3267" s="2" t="s">
        <v>178</v>
      </c>
      <c r="AD3267" s="3">
        <v>40398</v>
      </c>
      <c r="AE3267" s="4">
        <v>0.66666666666666663</v>
      </c>
      <c r="AF3267" s="2"/>
      <c r="AG3267" s="2"/>
      <c r="AH3267" s="2">
        <v>2</v>
      </c>
      <c r="AI3267" s="2" t="s">
        <v>84</v>
      </c>
      <c r="AJ3267" s="2">
        <v>9</v>
      </c>
      <c r="AK3267" s="2" t="s">
        <v>103</v>
      </c>
      <c r="AL3267" s="2">
        <v>12</v>
      </c>
      <c r="AM3267" s="2" t="s">
        <v>86</v>
      </c>
      <c r="AN3267" s="2"/>
      <c r="AO3267" s="2" t="s">
        <v>10536</v>
      </c>
      <c r="AP3267" s="2">
        <v>11</v>
      </c>
      <c r="AQ3267" s="2" t="s">
        <v>82</v>
      </c>
      <c r="AR3267" s="2"/>
      <c r="AS3267" s="2"/>
      <c r="AT3267" s="2" t="s">
        <v>10570</v>
      </c>
      <c r="AU3267" s="2"/>
      <c r="AV3267" s="2">
        <v>1</v>
      </c>
      <c r="AW3267" s="2"/>
      <c r="AX3267" s="2"/>
      <c r="AY3267" s="2">
        <v>41</v>
      </c>
      <c r="AZ3267" s="2" t="s">
        <v>82</v>
      </c>
      <c r="BA3267" s="2">
        <v>41</v>
      </c>
      <c r="BB3267" s="2" t="s">
        <v>82</v>
      </c>
      <c r="BC3267" s="2">
        <v>41</v>
      </c>
      <c r="BD3267" s="2" t="s">
        <v>82</v>
      </c>
      <c r="BE3267" s="2">
        <v>33</v>
      </c>
      <c r="BF3267" s="2" t="s">
        <v>1083</v>
      </c>
      <c r="BG3267" s="2" t="s">
        <v>2165</v>
      </c>
      <c r="BH3267" s="2"/>
      <c r="BI3267" s="4">
        <v>0.77083333333333337</v>
      </c>
      <c r="BJ3267" s="2">
        <v>13</v>
      </c>
      <c r="BK3267" s="2" t="s">
        <v>91</v>
      </c>
      <c r="BL3267" s="2" t="s">
        <v>185</v>
      </c>
      <c r="BM3267" s="2">
        <v>242</v>
      </c>
      <c r="BN3267" s="2" t="s">
        <v>107</v>
      </c>
      <c r="BO3267" s="2"/>
      <c r="BP3267" s="2">
        <v>205</v>
      </c>
      <c r="BQ3267" s="2" t="s">
        <v>1085</v>
      </c>
      <c r="BR3267" s="2" t="s">
        <v>1086</v>
      </c>
      <c r="BS3267" s="3">
        <v>40399</v>
      </c>
      <c r="BT3267" s="4">
        <v>0.6837037037037037</v>
      </c>
    </row>
    <row r="3268" spans="1:72" x14ac:dyDescent="0.25">
      <c r="A3268" s="2">
        <v>4824</v>
      </c>
      <c r="B3268" s="2">
        <v>2010</v>
      </c>
      <c r="C3268" s="2" t="s">
        <v>171</v>
      </c>
      <c r="D3268" s="2" t="s">
        <v>122</v>
      </c>
      <c r="E3268" s="2" t="s">
        <v>10571</v>
      </c>
      <c r="F3268" s="2">
        <v>400</v>
      </c>
      <c r="G3268" s="2" t="s">
        <v>3601</v>
      </c>
      <c r="H3268" s="2">
        <v>17</v>
      </c>
      <c r="I3268" s="2" t="s">
        <v>3602</v>
      </c>
      <c r="J3268" s="2">
        <v>316</v>
      </c>
      <c r="K3268" s="2" t="s">
        <v>574</v>
      </c>
      <c r="L3268" s="2" t="s">
        <v>575</v>
      </c>
      <c r="M3268" s="3">
        <v>40399</v>
      </c>
      <c r="N3268" s="2" t="s">
        <v>3826</v>
      </c>
      <c r="O3268" s="2"/>
      <c r="P3268" s="2"/>
      <c r="Q3268" s="2" t="str">
        <f>"400-E/100"</f>
        <v>400-E/100</v>
      </c>
      <c r="R3268" s="2"/>
      <c r="S3268" s="2" t="s">
        <v>391</v>
      </c>
      <c r="T3268" s="2">
        <v>1</v>
      </c>
      <c r="U3268" s="2" t="s">
        <v>79</v>
      </c>
      <c r="V3268" s="2">
        <v>1</v>
      </c>
      <c r="W3268" s="2" t="s">
        <v>80</v>
      </c>
      <c r="X3268" s="2">
        <v>1</v>
      </c>
      <c r="Y3268" s="2" t="s">
        <v>81</v>
      </c>
      <c r="Z3268" s="2">
        <v>1</v>
      </c>
      <c r="AA3268" s="2" t="s">
        <v>82</v>
      </c>
      <c r="AB3268" s="2">
        <v>1</v>
      </c>
      <c r="AC3268" s="2" t="s">
        <v>178</v>
      </c>
      <c r="AD3268" s="3">
        <v>40396</v>
      </c>
      <c r="AE3268" s="4">
        <v>0.16666666666666666</v>
      </c>
      <c r="AF3268" s="2"/>
      <c r="AG3268" s="2"/>
      <c r="AH3268" s="2">
        <v>2</v>
      </c>
      <c r="AI3268" s="2" t="s">
        <v>84</v>
      </c>
      <c r="AJ3268" s="2">
        <v>9</v>
      </c>
      <c r="AK3268" s="2" t="s">
        <v>103</v>
      </c>
      <c r="AL3268" s="2">
        <v>14</v>
      </c>
      <c r="AM3268" s="2" t="s">
        <v>216</v>
      </c>
      <c r="AN3268" s="2"/>
      <c r="AO3268" s="2" t="s">
        <v>2345</v>
      </c>
      <c r="AP3268" s="2">
        <v>11</v>
      </c>
      <c r="AQ3268" s="2" t="s">
        <v>82</v>
      </c>
      <c r="AR3268" s="2"/>
      <c r="AS3268" s="2"/>
      <c r="AT3268" s="2" t="s">
        <v>10572</v>
      </c>
      <c r="AU3268" s="2"/>
      <c r="AV3268" s="2">
        <v>1</v>
      </c>
      <c r="AW3268" s="2"/>
      <c r="AX3268" s="2"/>
      <c r="AY3268" s="2">
        <v>42</v>
      </c>
      <c r="AZ3268" s="2" t="s">
        <v>182</v>
      </c>
      <c r="BA3268" s="2">
        <v>41</v>
      </c>
      <c r="BB3268" s="2" t="s">
        <v>82</v>
      </c>
      <c r="BC3268" s="2">
        <v>41</v>
      </c>
      <c r="BD3268" s="2" t="s">
        <v>82</v>
      </c>
      <c r="BE3268" s="2">
        <v>20</v>
      </c>
      <c r="BF3268" s="2" t="s">
        <v>1681</v>
      </c>
      <c r="BG3268" s="2" t="s">
        <v>10464</v>
      </c>
      <c r="BH3268" s="4">
        <v>0.18055555555555555</v>
      </c>
      <c r="BI3268" s="2"/>
      <c r="BJ3268" s="2">
        <v>173</v>
      </c>
      <c r="BK3268" s="2" t="s">
        <v>223</v>
      </c>
      <c r="BL3268" s="2" t="s">
        <v>224</v>
      </c>
      <c r="BM3268" s="2">
        <v>241</v>
      </c>
      <c r="BN3268" s="2" t="s">
        <v>82</v>
      </c>
      <c r="BO3268" s="2"/>
      <c r="BP3268" s="2">
        <v>13</v>
      </c>
      <c r="BQ3268" s="2" t="s">
        <v>91</v>
      </c>
      <c r="BR3268" s="2" t="s">
        <v>8803</v>
      </c>
      <c r="BS3268" s="3">
        <v>40399</v>
      </c>
      <c r="BT3268" s="4">
        <v>0.68935185185185188</v>
      </c>
    </row>
    <row r="3269" spans="1:72" x14ac:dyDescent="0.25">
      <c r="A3269" s="2">
        <v>4825</v>
      </c>
      <c r="B3269" s="2">
        <v>2010</v>
      </c>
      <c r="C3269" s="2" t="s">
        <v>549</v>
      </c>
      <c r="D3269" s="2" t="s">
        <v>73</v>
      </c>
      <c r="E3269" s="2"/>
      <c r="F3269" s="2">
        <v>2</v>
      </c>
      <c r="G3269" s="2" t="s">
        <v>113</v>
      </c>
      <c r="H3269" s="2">
        <v>42</v>
      </c>
      <c r="I3269" s="2" t="s">
        <v>1096</v>
      </c>
      <c r="J3269" s="2">
        <v>300</v>
      </c>
      <c r="K3269" s="2" t="s">
        <v>114</v>
      </c>
      <c r="L3269" s="2" t="s">
        <v>115</v>
      </c>
      <c r="M3269" s="3">
        <v>40399</v>
      </c>
      <c r="N3269" s="2" t="s">
        <v>107</v>
      </c>
      <c r="O3269" s="2" t="s">
        <v>107</v>
      </c>
      <c r="P3269" s="2" t="s">
        <v>107</v>
      </c>
      <c r="Q3269" s="2" t="str">
        <f>"405-E/10"</f>
        <v>405-E/10</v>
      </c>
      <c r="R3269" s="2" t="s">
        <v>1044</v>
      </c>
      <c r="S3269" s="2"/>
      <c r="T3269" s="2">
        <v>1</v>
      </c>
      <c r="U3269" s="2" t="s">
        <v>79</v>
      </c>
      <c r="V3269" s="2">
        <v>1</v>
      </c>
      <c r="W3269" s="2" t="s">
        <v>80</v>
      </c>
      <c r="X3269" s="2">
        <v>12</v>
      </c>
      <c r="Y3269" s="2" t="s">
        <v>148</v>
      </c>
      <c r="Z3269" s="2">
        <v>1</v>
      </c>
      <c r="AA3269" s="2" t="s">
        <v>82</v>
      </c>
      <c r="AB3269" s="2">
        <v>9</v>
      </c>
      <c r="AC3269" s="2" t="s">
        <v>124</v>
      </c>
      <c r="AD3269" s="3">
        <v>40397</v>
      </c>
      <c r="AE3269" s="4">
        <v>0.64583333333333337</v>
      </c>
      <c r="AF3269" s="3">
        <v>40399</v>
      </c>
      <c r="AG3269" s="4">
        <v>0.60069444444444442</v>
      </c>
      <c r="AH3269" s="2">
        <v>2</v>
      </c>
      <c r="AI3269" s="2" t="s">
        <v>84</v>
      </c>
      <c r="AJ3269" s="2">
        <v>9</v>
      </c>
      <c r="AK3269" s="2" t="s">
        <v>103</v>
      </c>
      <c r="AL3269" s="2">
        <v>24</v>
      </c>
      <c r="AM3269" s="2" t="s">
        <v>1540</v>
      </c>
      <c r="AN3269" s="2" t="s">
        <v>10573</v>
      </c>
      <c r="AO3269" s="2" t="s">
        <v>9182</v>
      </c>
      <c r="AP3269" s="2">
        <v>11</v>
      </c>
      <c r="AQ3269" s="2" t="s">
        <v>82</v>
      </c>
      <c r="AR3269" s="2"/>
      <c r="AS3269" s="2"/>
      <c r="AT3269" s="2" t="s">
        <v>10574</v>
      </c>
      <c r="AU3269" s="2"/>
      <c r="AV3269" s="2"/>
      <c r="AW3269" s="2"/>
      <c r="AX3269" s="2"/>
      <c r="AY3269" s="2">
        <v>41</v>
      </c>
      <c r="AZ3269" s="2" t="s">
        <v>82</v>
      </c>
      <c r="BA3269" s="2">
        <v>41</v>
      </c>
      <c r="BB3269" s="2" t="s">
        <v>82</v>
      </c>
      <c r="BC3269" s="2">
        <v>41</v>
      </c>
      <c r="BD3269" s="2" t="s">
        <v>82</v>
      </c>
      <c r="BE3269" s="2">
        <v>41</v>
      </c>
      <c r="BF3269" s="2" t="s">
        <v>82</v>
      </c>
      <c r="BG3269" s="2"/>
      <c r="BH3269" s="2"/>
      <c r="BI3269" s="2"/>
      <c r="BJ3269" s="2">
        <v>241</v>
      </c>
      <c r="BK3269" s="2" t="s">
        <v>82</v>
      </c>
      <c r="BL3269" s="2"/>
      <c r="BM3269" s="2">
        <v>241</v>
      </c>
      <c r="BN3269" s="2" t="s">
        <v>82</v>
      </c>
      <c r="BO3269" s="2"/>
      <c r="BP3269" s="2">
        <v>241</v>
      </c>
      <c r="BQ3269" s="2" t="s">
        <v>82</v>
      </c>
      <c r="BR3269" s="2"/>
      <c r="BS3269" s="3">
        <v>40399</v>
      </c>
      <c r="BT3269" s="4">
        <v>0.70483796296296297</v>
      </c>
    </row>
    <row r="3270" spans="1:72" x14ac:dyDescent="0.25">
      <c r="A3270" s="2">
        <v>4827</v>
      </c>
      <c r="B3270" s="2">
        <v>2010</v>
      </c>
      <c r="C3270" s="2" t="s">
        <v>72</v>
      </c>
      <c r="D3270" s="2" t="s">
        <v>73</v>
      </c>
      <c r="E3270" s="2"/>
      <c r="F3270" s="2">
        <v>662</v>
      </c>
      <c r="G3270" s="2" t="s">
        <v>10249</v>
      </c>
      <c r="H3270" s="2">
        <v>108</v>
      </c>
      <c r="I3270" s="2" t="s">
        <v>1096</v>
      </c>
      <c r="J3270" s="2">
        <v>633</v>
      </c>
      <c r="K3270" s="2" t="s">
        <v>10250</v>
      </c>
      <c r="L3270" s="2" t="s">
        <v>10251</v>
      </c>
      <c r="M3270" s="3">
        <v>40399</v>
      </c>
      <c r="N3270" s="2" t="s">
        <v>10575</v>
      </c>
      <c r="O3270" s="2" t="s">
        <v>107</v>
      </c>
      <c r="P3270" s="2" t="s">
        <v>107</v>
      </c>
      <c r="Q3270" s="2" t="str">
        <f>"PS 310-A/10"</f>
        <v>PS 310-A/10</v>
      </c>
      <c r="R3270" s="2" t="s">
        <v>1847</v>
      </c>
      <c r="S3270" s="2" t="s">
        <v>1847</v>
      </c>
      <c r="T3270" s="2">
        <v>1</v>
      </c>
      <c r="U3270" s="2" t="s">
        <v>79</v>
      </c>
      <c r="V3270" s="2">
        <v>1</v>
      </c>
      <c r="W3270" s="2" t="s">
        <v>80</v>
      </c>
      <c r="X3270" s="2">
        <v>12</v>
      </c>
      <c r="Y3270" s="2" t="s">
        <v>148</v>
      </c>
      <c r="Z3270" s="2">
        <v>1</v>
      </c>
      <c r="AA3270" s="2" t="s">
        <v>82</v>
      </c>
      <c r="AB3270" s="2">
        <v>6</v>
      </c>
      <c r="AC3270" s="2" t="s">
        <v>83</v>
      </c>
      <c r="AD3270" s="3">
        <v>40399</v>
      </c>
      <c r="AE3270" s="2"/>
      <c r="AF3270" s="3">
        <v>40399</v>
      </c>
      <c r="AG3270" s="4">
        <v>0.60763888888888895</v>
      </c>
      <c r="AH3270" s="2">
        <v>2</v>
      </c>
      <c r="AI3270" s="2" t="s">
        <v>84</v>
      </c>
      <c r="AJ3270" s="2">
        <v>12</v>
      </c>
      <c r="AK3270" s="2" t="s">
        <v>85</v>
      </c>
      <c r="AL3270" s="2">
        <v>2</v>
      </c>
      <c r="AM3270" s="2" t="s">
        <v>163</v>
      </c>
      <c r="AN3270" s="2" t="s">
        <v>10576</v>
      </c>
      <c r="AO3270" s="2" t="s">
        <v>10577</v>
      </c>
      <c r="AP3270" s="2">
        <v>11</v>
      </c>
      <c r="AQ3270" s="2" t="s">
        <v>82</v>
      </c>
      <c r="AR3270" s="2"/>
      <c r="AS3270" s="2"/>
      <c r="AT3270" s="2" t="s">
        <v>10578</v>
      </c>
      <c r="AU3270" s="2"/>
      <c r="AV3270" s="2"/>
      <c r="AW3270" s="2"/>
      <c r="AX3270" s="2"/>
      <c r="AY3270" s="2">
        <v>41</v>
      </c>
      <c r="AZ3270" s="2" t="s">
        <v>82</v>
      </c>
      <c r="BA3270" s="2">
        <v>41</v>
      </c>
      <c r="BB3270" s="2" t="s">
        <v>82</v>
      </c>
      <c r="BC3270" s="2">
        <v>41</v>
      </c>
      <c r="BD3270" s="2" t="s">
        <v>82</v>
      </c>
      <c r="BE3270" s="2">
        <v>47</v>
      </c>
      <c r="BF3270" s="2" t="s">
        <v>167</v>
      </c>
      <c r="BG3270" s="2" t="s">
        <v>10579</v>
      </c>
      <c r="BH3270" s="2"/>
      <c r="BI3270" s="2"/>
      <c r="BJ3270" s="2">
        <v>13</v>
      </c>
      <c r="BK3270" s="2" t="s">
        <v>91</v>
      </c>
      <c r="BL3270" s="2" t="s">
        <v>1353</v>
      </c>
      <c r="BM3270" s="2">
        <v>241</v>
      </c>
      <c r="BN3270" s="2" t="s">
        <v>82</v>
      </c>
      <c r="BO3270" s="2"/>
      <c r="BP3270" s="2">
        <v>13</v>
      </c>
      <c r="BQ3270" s="2" t="s">
        <v>91</v>
      </c>
      <c r="BR3270" s="2" t="s">
        <v>564</v>
      </c>
      <c r="BS3270" s="3">
        <v>40399</v>
      </c>
      <c r="BT3270" s="4">
        <v>0.7989814814814814</v>
      </c>
    </row>
    <row r="3271" spans="1:72" x14ac:dyDescent="0.25">
      <c r="A3271" s="2">
        <v>4828</v>
      </c>
      <c r="B3271" s="2">
        <v>2010</v>
      </c>
      <c r="C3271" s="2" t="s">
        <v>2219</v>
      </c>
      <c r="D3271" s="2" t="s">
        <v>73</v>
      </c>
      <c r="E3271" s="2"/>
      <c r="F3271" s="2">
        <v>389</v>
      </c>
      <c r="G3271" s="2" t="s">
        <v>1819</v>
      </c>
      <c r="H3271" s="2">
        <v>3</v>
      </c>
      <c r="I3271" s="2" t="s">
        <v>315</v>
      </c>
      <c r="J3271" s="2">
        <v>399</v>
      </c>
      <c r="K3271" s="2" t="s">
        <v>1820</v>
      </c>
      <c r="L3271" s="2" t="s">
        <v>1821</v>
      </c>
      <c r="M3271" s="3">
        <v>40399</v>
      </c>
      <c r="N3271" s="2" t="s">
        <v>1827</v>
      </c>
      <c r="O3271" s="2"/>
      <c r="P3271" s="2"/>
      <c r="Q3271" s="2" t="str">
        <f>"406-E/10"</f>
        <v>406-E/10</v>
      </c>
      <c r="R3271" s="2" t="s">
        <v>480</v>
      </c>
      <c r="S3271" s="2"/>
      <c r="T3271" s="2">
        <v>1</v>
      </c>
      <c r="U3271" s="2" t="s">
        <v>79</v>
      </c>
      <c r="V3271" s="2">
        <v>1</v>
      </c>
      <c r="W3271" s="2" t="s">
        <v>80</v>
      </c>
      <c r="X3271" s="2">
        <v>12</v>
      </c>
      <c r="Y3271" s="2" t="s">
        <v>148</v>
      </c>
      <c r="Z3271" s="2">
        <v>1</v>
      </c>
      <c r="AA3271" s="2" t="s">
        <v>82</v>
      </c>
      <c r="AB3271" s="2">
        <v>9</v>
      </c>
      <c r="AC3271" s="2" t="s">
        <v>124</v>
      </c>
      <c r="AD3271" s="3">
        <v>40385</v>
      </c>
      <c r="AE3271" s="2"/>
      <c r="AF3271" s="3">
        <v>40392</v>
      </c>
      <c r="AG3271" s="2"/>
      <c r="AH3271" s="2">
        <v>2</v>
      </c>
      <c r="AI3271" s="2" t="s">
        <v>84</v>
      </c>
      <c r="AJ3271" s="2">
        <v>9</v>
      </c>
      <c r="AK3271" s="2" t="s">
        <v>103</v>
      </c>
      <c r="AL3271" s="2">
        <v>11</v>
      </c>
      <c r="AM3271" s="2" t="s">
        <v>137</v>
      </c>
      <c r="AN3271" s="2" t="s">
        <v>987</v>
      </c>
      <c r="AO3271" s="2" t="s">
        <v>10580</v>
      </c>
      <c r="AP3271" s="2">
        <v>11</v>
      </c>
      <c r="AQ3271" s="2" t="s">
        <v>82</v>
      </c>
      <c r="AR3271" s="2" t="s">
        <v>82</v>
      </c>
      <c r="AS3271" s="2" t="s">
        <v>82</v>
      </c>
      <c r="AT3271" s="2" t="s">
        <v>10581</v>
      </c>
      <c r="AU3271" s="2"/>
      <c r="AV3271" s="2"/>
      <c r="AW3271" s="2"/>
      <c r="AX3271" s="2"/>
      <c r="AY3271" s="2">
        <v>41</v>
      </c>
      <c r="AZ3271" s="2" t="s">
        <v>82</v>
      </c>
      <c r="BA3271" s="2">
        <v>8</v>
      </c>
      <c r="BB3271" s="2" t="s">
        <v>3465</v>
      </c>
      <c r="BC3271" s="2">
        <v>41</v>
      </c>
      <c r="BD3271" s="2" t="s">
        <v>82</v>
      </c>
      <c r="BE3271" s="2">
        <v>8</v>
      </c>
      <c r="BF3271" s="2" t="s">
        <v>3465</v>
      </c>
      <c r="BG3271" s="2" t="s">
        <v>10582</v>
      </c>
      <c r="BH3271" s="2"/>
      <c r="BI3271" s="2"/>
      <c r="BJ3271" s="2">
        <v>13</v>
      </c>
      <c r="BK3271" s="2" t="s">
        <v>91</v>
      </c>
      <c r="BL3271" s="2" t="s">
        <v>360</v>
      </c>
      <c r="BM3271" s="2">
        <v>33</v>
      </c>
      <c r="BN3271" s="2" t="s">
        <v>361</v>
      </c>
      <c r="BO3271" s="2" t="s">
        <v>1739</v>
      </c>
      <c r="BP3271" s="2">
        <v>244</v>
      </c>
      <c r="BQ3271" s="2" t="s">
        <v>1236</v>
      </c>
      <c r="BR3271" s="2" t="s">
        <v>1237</v>
      </c>
      <c r="BS3271" s="3">
        <v>40399</v>
      </c>
      <c r="BT3271" s="4">
        <v>0.80568287037037034</v>
      </c>
    </row>
    <row r="3272" spans="1:72" x14ac:dyDescent="0.25">
      <c r="A3272" s="2">
        <v>4829</v>
      </c>
      <c r="B3272" s="2">
        <v>2010</v>
      </c>
      <c r="C3272" s="2" t="s">
        <v>1660</v>
      </c>
      <c r="D3272" s="2" t="s">
        <v>122</v>
      </c>
      <c r="E3272" s="2" t="s">
        <v>10583</v>
      </c>
      <c r="F3272" s="2">
        <v>389</v>
      </c>
      <c r="G3272" s="2" t="s">
        <v>1819</v>
      </c>
      <c r="H3272" s="2">
        <v>3</v>
      </c>
      <c r="I3272" s="2" t="s">
        <v>315</v>
      </c>
      <c r="J3272" s="2">
        <v>399</v>
      </c>
      <c r="K3272" s="2" t="s">
        <v>1820</v>
      </c>
      <c r="L3272" s="2" t="s">
        <v>1821</v>
      </c>
      <c r="M3272" s="3">
        <v>40399</v>
      </c>
      <c r="N3272" s="2" t="s">
        <v>2319</v>
      </c>
      <c r="O3272" s="2"/>
      <c r="P3272" s="2"/>
      <c r="Q3272" s="2" t="str">
        <f>"404-E/10"</f>
        <v>404-E/10</v>
      </c>
      <c r="R3272" s="2" t="s">
        <v>10544</v>
      </c>
      <c r="S3272" s="2" t="s">
        <v>10544</v>
      </c>
      <c r="T3272" s="2">
        <v>1</v>
      </c>
      <c r="U3272" s="2" t="s">
        <v>79</v>
      </c>
      <c r="V3272" s="2">
        <v>1</v>
      </c>
      <c r="W3272" s="2" t="s">
        <v>80</v>
      </c>
      <c r="X3272" s="2">
        <v>12</v>
      </c>
      <c r="Y3272" s="2" t="s">
        <v>148</v>
      </c>
      <c r="Z3272" s="2">
        <v>6</v>
      </c>
      <c r="AA3272" s="2" t="s">
        <v>101</v>
      </c>
      <c r="AB3272" s="2">
        <v>3</v>
      </c>
      <c r="AC3272" s="2" t="s">
        <v>1663</v>
      </c>
      <c r="AD3272" s="3">
        <v>40367</v>
      </c>
      <c r="AE3272" s="4">
        <v>0.69444444444444453</v>
      </c>
      <c r="AF3272" s="3">
        <v>40367</v>
      </c>
      <c r="AG3272" s="4">
        <v>0.69444444444444453</v>
      </c>
      <c r="AH3272" s="2">
        <v>2</v>
      </c>
      <c r="AI3272" s="2" t="s">
        <v>84</v>
      </c>
      <c r="AJ3272" s="2">
        <v>9</v>
      </c>
      <c r="AK3272" s="2" t="s">
        <v>103</v>
      </c>
      <c r="AL3272" s="2">
        <v>14</v>
      </c>
      <c r="AM3272" s="2" t="s">
        <v>216</v>
      </c>
      <c r="AN3272" s="2"/>
      <c r="AO3272" s="2"/>
      <c r="AP3272" s="2">
        <v>11</v>
      </c>
      <c r="AQ3272" s="2" t="s">
        <v>82</v>
      </c>
      <c r="AR3272" s="2"/>
      <c r="AS3272" s="2"/>
      <c r="AT3272" s="2" t="s">
        <v>10584</v>
      </c>
      <c r="AU3272" s="2"/>
      <c r="AV3272" s="2">
        <v>1</v>
      </c>
      <c r="AW3272" s="2"/>
      <c r="AX3272" s="2"/>
      <c r="AY3272" s="2">
        <v>41</v>
      </c>
      <c r="AZ3272" s="2" t="s">
        <v>82</v>
      </c>
      <c r="BA3272" s="2">
        <v>41</v>
      </c>
      <c r="BB3272" s="2" t="s">
        <v>82</v>
      </c>
      <c r="BC3272" s="2">
        <v>41</v>
      </c>
      <c r="BD3272" s="2" t="s">
        <v>82</v>
      </c>
      <c r="BE3272" s="2">
        <v>18</v>
      </c>
      <c r="BF3272" s="2" t="s">
        <v>1091</v>
      </c>
      <c r="BG3272" s="2" t="s">
        <v>10091</v>
      </c>
      <c r="BH3272" s="4">
        <v>0.66666666666666663</v>
      </c>
      <c r="BI3272" s="2"/>
      <c r="BJ3272" s="2">
        <v>133</v>
      </c>
      <c r="BK3272" s="2" t="s">
        <v>2860</v>
      </c>
      <c r="BL3272" s="2" t="s">
        <v>10546</v>
      </c>
      <c r="BM3272" s="2">
        <v>242</v>
      </c>
      <c r="BN3272" s="2" t="s">
        <v>107</v>
      </c>
      <c r="BO3272" s="2"/>
      <c r="BP3272" s="2">
        <v>13</v>
      </c>
      <c r="BQ3272" s="2" t="s">
        <v>91</v>
      </c>
      <c r="BR3272" s="2" t="s">
        <v>185</v>
      </c>
      <c r="BS3272" s="3">
        <v>40399</v>
      </c>
      <c r="BT3272" s="4">
        <v>0.97282407407407412</v>
      </c>
    </row>
    <row r="3273" spans="1:72" x14ac:dyDescent="0.25">
      <c r="A3273" s="2">
        <v>4830</v>
      </c>
      <c r="B3273" s="2">
        <v>2010</v>
      </c>
      <c r="C3273" s="2" t="s">
        <v>72</v>
      </c>
      <c r="D3273" s="2" t="s">
        <v>73</v>
      </c>
      <c r="E3273" s="2"/>
      <c r="F3273" s="2">
        <v>2</v>
      </c>
      <c r="G3273" s="2" t="s">
        <v>113</v>
      </c>
      <c r="H3273" s="2">
        <v>22</v>
      </c>
      <c r="I3273" s="2" t="s">
        <v>75</v>
      </c>
      <c r="J3273" s="2">
        <v>300</v>
      </c>
      <c r="K3273" s="2" t="s">
        <v>114</v>
      </c>
      <c r="L3273" s="2" t="s">
        <v>115</v>
      </c>
      <c r="M3273" s="3">
        <v>40400</v>
      </c>
      <c r="N3273" s="2" t="s">
        <v>107</v>
      </c>
      <c r="O3273" s="2" t="s">
        <v>107</v>
      </c>
      <c r="P3273" s="2" t="s">
        <v>107</v>
      </c>
      <c r="Q3273" s="2" t="str">
        <f>"407-E/10"</f>
        <v>407-E/10</v>
      </c>
      <c r="R3273" s="2" t="s">
        <v>116</v>
      </c>
      <c r="S3273" s="2" t="s">
        <v>116</v>
      </c>
      <c r="T3273" s="2">
        <v>1</v>
      </c>
      <c r="U3273" s="2" t="s">
        <v>79</v>
      </c>
      <c r="V3273" s="2">
        <v>1</v>
      </c>
      <c r="W3273" s="2" t="s">
        <v>80</v>
      </c>
      <c r="X3273" s="2">
        <v>12</v>
      </c>
      <c r="Y3273" s="2" t="s">
        <v>148</v>
      </c>
      <c r="Z3273" s="2">
        <v>1</v>
      </c>
      <c r="AA3273" s="2" t="s">
        <v>82</v>
      </c>
      <c r="AB3273" s="2">
        <v>6</v>
      </c>
      <c r="AC3273" s="2" t="s">
        <v>83</v>
      </c>
      <c r="AD3273" s="3">
        <v>40396</v>
      </c>
      <c r="AE3273" s="2"/>
      <c r="AF3273" s="3">
        <v>40399</v>
      </c>
      <c r="AG3273" s="4">
        <v>0.72569444444444453</v>
      </c>
      <c r="AH3273" s="2">
        <v>2</v>
      </c>
      <c r="AI3273" s="2" t="s">
        <v>84</v>
      </c>
      <c r="AJ3273" s="2">
        <v>9</v>
      </c>
      <c r="AK3273" s="2" t="s">
        <v>103</v>
      </c>
      <c r="AL3273" s="2">
        <v>17</v>
      </c>
      <c r="AM3273" s="2" t="s">
        <v>232</v>
      </c>
      <c r="AN3273" s="2"/>
      <c r="AO3273" s="2" t="s">
        <v>10585</v>
      </c>
      <c r="AP3273" s="2">
        <v>11</v>
      </c>
      <c r="AQ3273" s="2" t="s">
        <v>82</v>
      </c>
      <c r="AR3273" s="2"/>
      <c r="AS3273" s="2"/>
      <c r="AT3273" s="2" t="s">
        <v>10586</v>
      </c>
      <c r="AU3273" s="2"/>
      <c r="AV3273" s="2"/>
      <c r="AW3273" s="2"/>
      <c r="AX3273" s="2"/>
      <c r="AY3273" s="2">
        <v>1</v>
      </c>
      <c r="AZ3273" s="2" t="s">
        <v>107</v>
      </c>
      <c r="BA3273" s="2">
        <v>1</v>
      </c>
      <c r="BB3273" s="2" t="s">
        <v>107</v>
      </c>
      <c r="BC3273" s="2">
        <v>1</v>
      </c>
      <c r="BD3273" s="2" t="s">
        <v>107</v>
      </c>
      <c r="BE3273" s="2">
        <v>1</v>
      </c>
      <c r="BF3273" s="2" t="s">
        <v>107</v>
      </c>
      <c r="BG3273" s="2"/>
      <c r="BH3273" s="2"/>
      <c r="BI3273" s="2"/>
      <c r="BJ3273" s="2">
        <v>242</v>
      </c>
      <c r="BK3273" s="2" t="s">
        <v>107</v>
      </c>
      <c r="BL3273" s="2"/>
      <c r="BM3273" s="2">
        <v>242</v>
      </c>
      <c r="BN3273" s="2" t="s">
        <v>107</v>
      </c>
      <c r="BO3273" s="2"/>
      <c r="BP3273" s="2">
        <v>242</v>
      </c>
      <c r="BQ3273" s="2" t="s">
        <v>107</v>
      </c>
      <c r="BR3273" s="2"/>
      <c r="BS3273" s="3">
        <v>40400</v>
      </c>
      <c r="BT3273" s="4">
        <v>4.8148148148148141E-2</v>
      </c>
    </row>
    <row r="3274" spans="1:72" x14ac:dyDescent="0.25">
      <c r="A3274" s="2">
        <v>4830</v>
      </c>
      <c r="B3274" s="2">
        <v>2010</v>
      </c>
      <c r="C3274" s="2" t="s">
        <v>554</v>
      </c>
      <c r="D3274" s="2" t="s">
        <v>73</v>
      </c>
      <c r="E3274" s="2"/>
      <c r="F3274" s="2">
        <v>2</v>
      </c>
      <c r="G3274" s="2" t="s">
        <v>113</v>
      </c>
      <c r="H3274" s="2">
        <v>22</v>
      </c>
      <c r="I3274" s="2" t="s">
        <v>75</v>
      </c>
      <c r="J3274" s="2">
        <v>300</v>
      </c>
      <c r="K3274" s="2" t="s">
        <v>114</v>
      </c>
      <c r="L3274" s="2" t="s">
        <v>115</v>
      </c>
      <c r="M3274" s="3">
        <v>40400</v>
      </c>
      <c r="N3274" s="2" t="s">
        <v>107</v>
      </c>
      <c r="O3274" s="2" t="s">
        <v>107</v>
      </c>
      <c r="P3274" s="2" t="s">
        <v>107</v>
      </c>
      <c r="Q3274" s="2" t="str">
        <f>"407-E/10"</f>
        <v>407-E/10</v>
      </c>
      <c r="R3274" s="2" t="s">
        <v>116</v>
      </c>
      <c r="S3274" s="2" t="s">
        <v>116</v>
      </c>
      <c r="T3274" s="2">
        <v>1</v>
      </c>
      <c r="U3274" s="2" t="s">
        <v>79</v>
      </c>
      <c r="V3274" s="2">
        <v>1</v>
      </c>
      <c r="W3274" s="2" t="s">
        <v>80</v>
      </c>
      <c r="X3274" s="2">
        <v>12</v>
      </c>
      <c r="Y3274" s="2" t="s">
        <v>148</v>
      </c>
      <c r="Z3274" s="2">
        <v>1</v>
      </c>
      <c r="AA3274" s="2" t="s">
        <v>82</v>
      </c>
      <c r="AB3274" s="2">
        <v>5</v>
      </c>
      <c r="AC3274" s="2" t="s">
        <v>559</v>
      </c>
      <c r="AD3274" s="3">
        <v>40396</v>
      </c>
      <c r="AE3274" s="2"/>
      <c r="AF3274" s="3">
        <v>40399</v>
      </c>
      <c r="AG3274" s="4">
        <v>0.72569444444444453</v>
      </c>
      <c r="AH3274" s="2">
        <v>2</v>
      </c>
      <c r="AI3274" s="2" t="s">
        <v>84</v>
      </c>
      <c r="AJ3274" s="2">
        <v>9</v>
      </c>
      <c r="AK3274" s="2" t="s">
        <v>103</v>
      </c>
      <c r="AL3274" s="2">
        <v>17</v>
      </c>
      <c r="AM3274" s="2" t="s">
        <v>232</v>
      </c>
      <c r="AN3274" s="2"/>
      <c r="AO3274" s="2" t="s">
        <v>10585</v>
      </c>
      <c r="AP3274" s="2">
        <v>11</v>
      </c>
      <c r="AQ3274" s="2" t="s">
        <v>82</v>
      </c>
      <c r="AR3274" s="2"/>
      <c r="AS3274" s="2"/>
      <c r="AT3274" s="2" t="s">
        <v>10586</v>
      </c>
      <c r="AU3274" s="2"/>
      <c r="AV3274" s="2"/>
      <c r="AW3274" s="2"/>
      <c r="AX3274" s="2"/>
      <c r="AY3274" s="2">
        <v>1</v>
      </c>
      <c r="AZ3274" s="2" t="s">
        <v>107</v>
      </c>
      <c r="BA3274" s="2">
        <v>1</v>
      </c>
      <c r="BB3274" s="2" t="s">
        <v>107</v>
      </c>
      <c r="BC3274" s="2">
        <v>1</v>
      </c>
      <c r="BD3274" s="2" t="s">
        <v>107</v>
      </c>
      <c r="BE3274" s="2">
        <v>1</v>
      </c>
      <c r="BF3274" s="2" t="s">
        <v>107</v>
      </c>
      <c r="BG3274" s="2"/>
      <c r="BH3274" s="2"/>
      <c r="BI3274" s="2"/>
      <c r="BJ3274" s="2">
        <v>242</v>
      </c>
      <c r="BK3274" s="2" t="s">
        <v>107</v>
      </c>
      <c r="BL3274" s="2"/>
      <c r="BM3274" s="2">
        <v>242</v>
      </c>
      <c r="BN3274" s="2" t="s">
        <v>107</v>
      </c>
      <c r="BO3274" s="2"/>
      <c r="BP3274" s="2">
        <v>242</v>
      </c>
      <c r="BQ3274" s="2" t="s">
        <v>107</v>
      </c>
      <c r="BR3274" s="2"/>
      <c r="BS3274" s="3">
        <v>40400</v>
      </c>
      <c r="BT3274" s="4">
        <v>4.8148148148148141E-2</v>
      </c>
    </row>
    <row r="3275" spans="1:72" x14ac:dyDescent="0.25">
      <c r="A3275" s="2">
        <v>4831</v>
      </c>
      <c r="B3275" s="2">
        <v>2010</v>
      </c>
      <c r="C3275" s="2" t="s">
        <v>72</v>
      </c>
      <c r="D3275" s="2" t="s">
        <v>73</v>
      </c>
      <c r="E3275" s="2"/>
      <c r="F3275" s="2">
        <v>664</v>
      </c>
      <c r="G3275" s="2" t="s">
        <v>10256</v>
      </c>
      <c r="H3275" s="2">
        <v>42</v>
      </c>
      <c r="I3275" s="2" t="s">
        <v>1096</v>
      </c>
      <c r="J3275" s="2">
        <v>634</v>
      </c>
      <c r="K3275" s="2" t="s">
        <v>10257</v>
      </c>
      <c r="L3275" s="2" t="s">
        <v>5984</v>
      </c>
      <c r="M3275" s="3">
        <v>40400</v>
      </c>
      <c r="N3275" s="2" t="s">
        <v>10525</v>
      </c>
      <c r="O3275" s="2"/>
      <c r="P3275" s="2"/>
      <c r="Q3275" s="2" t="str">
        <f>"311-A/10"</f>
        <v>311-A/10</v>
      </c>
      <c r="R3275" s="2" t="s">
        <v>156</v>
      </c>
      <c r="S3275" s="2" t="s">
        <v>156</v>
      </c>
      <c r="T3275" s="2">
        <v>1</v>
      </c>
      <c r="U3275" s="2" t="s">
        <v>79</v>
      </c>
      <c r="V3275" s="2">
        <v>1</v>
      </c>
      <c r="W3275" s="2" t="s">
        <v>80</v>
      </c>
      <c r="X3275" s="2">
        <v>12</v>
      </c>
      <c r="Y3275" s="2" t="s">
        <v>148</v>
      </c>
      <c r="Z3275" s="2">
        <v>1</v>
      </c>
      <c r="AA3275" s="2" t="s">
        <v>82</v>
      </c>
      <c r="AB3275" s="2">
        <v>6</v>
      </c>
      <c r="AC3275" s="2" t="s">
        <v>83</v>
      </c>
      <c r="AD3275" s="3">
        <v>40391</v>
      </c>
      <c r="AE3275" s="2"/>
      <c r="AF3275" s="3">
        <v>40399</v>
      </c>
      <c r="AG3275" s="4">
        <v>0.84027777777777779</v>
      </c>
      <c r="AH3275" s="2">
        <v>2</v>
      </c>
      <c r="AI3275" s="2" t="s">
        <v>84</v>
      </c>
      <c r="AJ3275" s="2">
        <v>12</v>
      </c>
      <c r="AK3275" s="2" t="s">
        <v>85</v>
      </c>
      <c r="AL3275" s="2">
        <v>29</v>
      </c>
      <c r="AM3275" s="2" t="s">
        <v>5416</v>
      </c>
      <c r="AN3275" s="2" t="s">
        <v>560</v>
      </c>
      <c r="AO3275" s="2" t="s">
        <v>10587</v>
      </c>
      <c r="AP3275" s="2">
        <v>11</v>
      </c>
      <c r="AQ3275" s="2" t="s">
        <v>82</v>
      </c>
      <c r="AR3275" s="2"/>
      <c r="AS3275" s="2"/>
      <c r="AT3275" s="2" t="s">
        <v>10588</v>
      </c>
      <c r="AU3275" s="2"/>
      <c r="AV3275" s="2"/>
      <c r="AW3275" s="2"/>
      <c r="AX3275" s="2"/>
      <c r="AY3275" s="2">
        <v>41</v>
      </c>
      <c r="AZ3275" s="2" t="s">
        <v>82</v>
      </c>
      <c r="BA3275" s="2">
        <v>41</v>
      </c>
      <c r="BB3275" s="2" t="s">
        <v>82</v>
      </c>
      <c r="BC3275" s="2">
        <v>41</v>
      </c>
      <c r="BD3275" s="2" t="s">
        <v>82</v>
      </c>
      <c r="BE3275" s="2">
        <v>41</v>
      </c>
      <c r="BF3275" s="2" t="s">
        <v>82</v>
      </c>
      <c r="BG3275" s="2"/>
      <c r="BH3275" s="2"/>
      <c r="BI3275" s="2"/>
      <c r="BJ3275" s="2">
        <v>241</v>
      </c>
      <c r="BK3275" s="2" t="s">
        <v>82</v>
      </c>
      <c r="BL3275" s="2"/>
      <c r="BM3275" s="2">
        <v>241</v>
      </c>
      <c r="BN3275" s="2" t="s">
        <v>82</v>
      </c>
      <c r="BO3275" s="2"/>
      <c r="BP3275" s="2">
        <v>241</v>
      </c>
      <c r="BQ3275" s="2" t="s">
        <v>82</v>
      </c>
      <c r="BR3275" s="2"/>
      <c r="BS3275" s="3">
        <v>40400</v>
      </c>
      <c r="BT3275" s="4">
        <v>0.10019675925925926</v>
      </c>
    </row>
    <row r="3276" spans="1:72" x14ac:dyDescent="0.25">
      <c r="A3276" s="2">
        <v>4833</v>
      </c>
      <c r="B3276" s="2">
        <v>2010</v>
      </c>
      <c r="C3276" s="2" t="s">
        <v>72</v>
      </c>
      <c r="D3276" s="2" t="s">
        <v>73</v>
      </c>
      <c r="E3276" s="2"/>
      <c r="F3276" s="2">
        <v>664</v>
      </c>
      <c r="G3276" s="2" t="s">
        <v>10256</v>
      </c>
      <c r="H3276" s="2">
        <v>42</v>
      </c>
      <c r="I3276" s="2" t="s">
        <v>1096</v>
      </c>
      <c r="J3276" s="2">
        <v>634</v>
      </c>
      <c r="K3276" s="2" t="s">
        <v>10257</v>
      </c>
      <c r="L3276" s="2" t="s">
        <v>5984</v>
      </c>
      <c r="M3276" s="3">
        <v>40400</v>
      </c>
      <c r="N3276" s="2" t="s">
        <v>10295</v>
      </c>
      <c r="O3276" s="2"/>
      <c r="P3276" s="2"/>
      <c r="Q3276" s="2" t="str">
        <f>"312-A/10"</f>
        <v>312-A/10</v>
      </c>
      <c r="R3276" s="2" t="s">
        <v>1547</v>
      </c>
      <c r="S3276" s="2" t="s">
        <v>1547</v>
      </c>
      <c r="T3276" s="2">
        <v>1</v>
      </c>
      <c r="U3276" s="2" t="s">
        <v>79</v>
      </c>
      <c r="V3276" s="2">
        <v>1</v>
      </c>
      <c r="W3276" s="2" t="s">
        <v>80</v>
      </c>
      <c r="X3276" s="2">
        <v>12</v>
      </c>
      <c r="Y3276" s="2" t="s">
        <v>148</v>
      </c>
      <c r="Z3276" s="2">
        <v>1</v>
      </c>
      <c r="AA3276" s="2" t="s">
        <v>82</v>
      </c>
      <c r="AB3276" s="2">
        <v>6</v>
      </c>
      <c r="AC3276" s="2" t="s">
        <v>83</v>
      </c>
      <c r="AD3276" s="3">
        <v>40392</v>
      </c>
      <c r="AE3276" s="2"/>
      <c r="AF3276" s="3">
        <v>40400</v>
      </c>
      <c r="AG3276" s="4">
        <v>0.35416666666666669</v>
      </c>
      <c r="AH3276" s="2">
        <v>2</v>
      </c>
      <c r="AI3276" s="2" t="s">
        <v>84</v>
      </c>
      <c r="AJ3276" s="2">
        <v>12</v>
      </c>
      <c r="AK3276" s="2" t="s">
        <v>85</v>
      </c>
      <c r="AL3276" s="2">
        <v>22</v>
      </c>
      <c r="AM3276" s="2" t="s">
        <v>1853</v>
      </c>
      <c r="AN3276" s="2" t="s">
        <v>10589</v>
      </c>
      <c r="AO3276" s="2" t="s">
        <v>10590</v>
      </c>
      <c r="AP3276" s="2">
        <v>11</v>
      </c>
      <c r="AQ3276" s="2" t="s">
        <v>82</v>
      </c>
      <c r="AR3276" s="2"/>
      <c r="AS3276" s="2"/>
      <c r="AT3276" s="2" t="s">
        <v>10591</v>
      </c>
      <c r="AU3276" s="2"/>
      <c r="AV3276" s="2"/>
      <c r="AW3276" s="2"/>
      <c r="AX3276" s="2"/>
      <c r="AY3276" s="2">
        <v>41</v>
      </c>
      <c r="AZ3276" s="2" t="s">
        <v>82</v>
      </c>
      <c r="BA3276" s="2">
        <v>41</v>
      </c>
      <c r="BB3276" s="2" t="s">
        <v>82</v>
      </c>
      <c r="BC3276" s="2">
        <v>41</v>
      </c>
      <c r="BD3276" s="2" t="s">
        <v>82</v>
      </c>
      <c r="BE3276" s="2">
        <v>47</v>
      </c>
      <c r="BF3276" s="2" t="s">
        <v>167</v>
      </c>
      <c r="BG3276" s="2" t="s">
        <v>9163</v>
      </c>
      <c r="BH3276" s="4">
        <v>0.77083333333333337</v>
      </c>
      <c r="BI3276" s="2"/>
      <c r="BJ3276" s="2">
        <v>13</v>
      </c>
      <c r="BK3276" s="2" t="s">
        <v>91</v>
      </c>
      <c r="BL3276" s="2" t="s">
        <v>2792</v>
      </c>
      <c r="BM3276" s="2">
        <v>241</v>
      </c>
      <c r="BN3276" s="2" t="s">
        <v>82</v>
      </c>
      <c r="BO3276" s="2"/>
      <c r="BP3276" s="2">
        <v>13</v>
      </c>
      <c r="BQ3276" s="2" t="s">
        <v>91</v>
      </c>
      <c r="BR3276" s="2" t="s">
        <v>564</v>
      </c>
      <c r="BS3276" s="3">
        <v>40400</v>
      </c>
      <c r="BT3276" s="4">
        <v>0.42802083333333335</v>
      </c>
    </row>
    <row r="3277" spans="1:72" x14ac:dyDescent="0.25">
      <c r="A3277" s="2">
        <v>4835</v>
      </c>
      <c r="B3277" s="2">
        <v>2010</v>
      </c>
      <c r="C3277" s="2" t="s">
        <v>147</v>
      </c>
      <c r="D3277" s="2" t="s">
        <v>73</v>
      </c>
      <c r="E3277" s="2"/>
      <c r="F3277" s="2">
        <v>1</v>
      </c>
      <c r="G3277" s="2" t="s">
        <v>82</v>
      </c>
      <c r="H3277" s="2">
        <v>1</v>
      </c>
      <c r="I3277" s="2" t="s">
        <v>82</v>
      </c>
      <c r="J3277" s="2">
        <v>1</v>
      </c>
      <c r="K3277" s="2" t="s">
        <v>107</v>
      </c>
      <c r="L3277" s="2" t="s">
        <v>107</v>
      </c>
      <c r="M3277" s="3">
        <v>40400</v>
      </c>
      <c r="N3277" s="2"/>
      <c r="O3277" s="2"/>
      <c r="P3277" s="2"/>
      <c r="Q3277" s="2" t="str">
        <f>""</f>
        <v/>
      </c>
      <c r="R3277" s="2"/>
      <c r="S3277" s="2"/>
      <c r="T3277" s="2">
        <v>2</v>
      </c>
      <c r="U3277" s="2" t="s">
        <v>123</v>
      </c>
      <c r="V3277" s="2">
        <v>1</v>
      </c>
      <c r="W3277" s="2" t="s">
        <v>80</v>
      </c>
      <c r="X3277" s="2">
        <v>12</v>
      </c>
      <c r="Y3277" s="2" t="s">
        <v>148</v>
      </c>
      <c r="Z3277" s="2">
        <v>13</v>
      </c>
      <c r="AA3277" s="2" t="s">
        <v>3158</v>
      </c>
      <c r="AB3277" s="2">
        <v>9</v>
      </c>
      <c r="AC3277" s="2" t="s">
        <v>124</v>
      </c>
      <c r="AD3277" s="2"/>
      <c r="AE3277" s="2"/>
      <c r="AF3277" s="3">
        <v>40400</v>
      </c>
      <c r="AG3277" s="4">
        <v>0.41666666666666669</v>
      </c>
      <c r="AH3277" s="2">
        <v>3</v>
      </c>
      <c r="AI3277" s="2" t="s">
        <v>214</v>
      </c>
      <c r="AJ3277" s="2">
        <v>24</v>
      </c>
      <c r="AK3277" s="2" t="s">
        <v>215</v>
      </c>
      <c r="AL3277" s="2">
        <v>19</v>
      </c>
      <c r="AM3277" s="2" t="s">
        <v>107</v>
      </c>
      <c r="AN3277" s="2"/>
      <c r="AO3277" s="2" t="s">
        <v>5154</v>
      </c>
      <c r="AP3277" s="2">
        <v>11</v>
      </c>
      <c r="AQ3277" s="2" t="s">
        <v>82</v>
      </c>
      <c r="AR3277" s="2" t="s">
        <v>82</v>
      </c>
      <c r="AS3277" s="2" t="s">
        <v>82</v>
      </c>
      <c r="AT3277" s="2" t="s">
        <v>10592</v>
      </c>
      <c r="AU3277" s="2"/>
      <c r="AV3277" s="2"/>
      <c r="AW3277" s="2"/>
      <c r="AX3277" s="2"/>
      <c r="AY3277" s="2">
        <v>70</v>
      </c>
      <c r="AZ3277" s="2" t="s">
        <v>236</v>
      </c>
      <c r="BA3277" s="2">
        <v>41</v>
      </c>
      <c r="BB3277" s="2" t="s">
        <v>82</v>
      </c>
      <c r="BC3277" s="2">
        <v>41</v>
      </c>
      <c r="BD3277" s="2" t="s">
        <v>82</v>
      </c>
      <c r="BE3277" s="2">
        <v>41</v>
      </c>
      <c r="BF3277" s="2" t="s">
        <v>82</v>
      </c>
      <c r="BG3277" s="2" t="s">
        <v>107</v>
      </c>
      <c r="BH3277" s="2"/>
      <c r="BI3277" s="2"/>
      <c r="BJ3277" s="2">
        <v>241</v>
      </c>
      <c r="BK3277" s="2" t="s">
        <v>82</v>
      </c>
      <c r="BL3277" s="2" t="s">
        <v>82</v>
      </c>
      <c r="BM3277" s="2">
        <v>241</v>
      </c>
      <c r="BN3277" s="2" t="s">
        <v>82</v>
      </c>
      <c r="BO3277" s="2"/>
      <c r="BP3277" s="2">
        <v>241</v>
      </c>
      <c r="BQ3277" s="2" t="s">
        <v>82</v>
      </c>
      <c r="BR3277" s="2" t="s">
        <v>82</v>
      </c>
      <c r="BS3277" s="3">
        <v>40400</v>
      </c>
      <c r="BT3277" s="4">
        <v>0.47841435185185183</v>
      </c>
    </row>
    <row r="3278" spans="1:72" x14ac:dyDescent="0.25">
      <c r="A3278" s="2">
        <v>4836</v>
      </c>
      <c r="B3278" s="2">
        <v>2010</v>
      </c>
      <c r="C3278" s="2" t="s">
        <v>4543</v>
      </c>
      <c r="D3278" s="2" t="s">
        <v>122</v>
      </c>
      <c r="E3278" s="2"/>
      <c r="F3278" s="2">
        <v>1</v>
      </c>
      <c r="G3278" s="2" t="s">
        <v>82</v>
      </c>
      <c r="H3278" s="2">
        <v>1</v>
      </c>
      <c r="I3278" s="2" t="s">
        <v>82</v>
      </c>
      <c r="J3278" s="2">
        <v>1</v>
      </c>
      <c r="K3278" s="2" t="s">
        <v>107</v>
      </c>
      <c r="L3278" s="2" t="s">
        <v>107</v>
      </c>
      <c r="M3278" s="3">
        <v>40400</v>
      </c>
      <c r="N3278" s="2"/>
      <c r="O3278" s="2"/>
      <c r="P3278" s="2"/>
      <c r="Q3278" s="2" t="str">
        <f>""</f>
        <v/>
      </c>
      <c r="R3278" s="2"/>
      <c r="S3278" s="2"/>
      <c r="T3278" s="2">
        <v>2</v>
      </c>
      <c r="U3278" s="2" t="s">
        <v>123</v>
      </c>
      <c r="V3278" s="2">
        <v>1</v>
      </c>
      <c r="W3278" s="2" t="s">
        <v>80</v>
      </c>
      <c r="X3278" s="2">
        <v>5</v>
      </c>
      <c r="Y3278" s="2" t="s">
        <v>82</v>
      </c>
      <c r="Z3278" s="2">
        <v>1</v>
      </c>
      <c r="AA3278" s="2" t="s">
        <v>82</v>
      </c>
      <c r="AB3278" s="2">
        <v>9</v>
      </c>
      <c r="AC3278" s="2" t="s">
        <v>124</v>
      </c>
      <c r="AD3278" s="3">
        <v>40400</v>
      </c>
      <c r="AE3278" s="4">
        <v>0.45833333333333331</v>
      </c>
      <c r="AF3278" s="2"/>
      <c r="AG3278" s="2"/>
      <c r="AH3278" s="2">
        <v>2</v>
      </c>
      <c r="AI3278" s="2" t="s">
        <v>84</v>
      </c>
      <c r="AJ3278" s="2">
        <v>10</v>
      </c>
      <c r="AK3278" s="2" t="s">
        <v>3321</v>
      </c>
      <c r="AL3278" s="2">
        <v>18</v>
      </c>
      <c r="AM3278" s="2" t="s">
        <v>82</v>
      </c>
      <c r="AN3278" s="2"/>
      <c r="AO3278" s="2"/>
      <c r="AP3278" s="2">
        <v>11</v>
      </c>
      <c r="AQ3278" s="2" t="s">
        <v>82</v>
      </c>
      <c r="AR3278" s="2"/>
      <c r="AS3278" s="2"/>
      <c r="AT3278" s="2" t="s">
        <v>10593</v>
      </c>
      <c r="AU3278" s="2"/>
      <c r="AV3278" s="2"/>
      <c r="AW3278" s="2"/>
      <c r="AX3278" s="2"/>
      <c r="AY3278" s="2">
        <v>1</v>
      </c>
      <c r="AZ3278" s="2" t="s">
        <v>107</v>
      </c>
      <c r="BA3278" s="2">
        <v>1</v>
      </c>
      <c r="BB3278" s="2" t="s">
        <v>107</v>
      </c>
      <c r="BC3278" s="2">
        <v>1</v>
      </c>
      <c r="BD3278" s="2" t="s">
        <v>107</v>
      </c>
      <c r="BE3278" s="2">
        <v>1</v>
      </c>
      <c r="BF3278" s="2" t="s">
        <v>107</v>
      </c>
      <c r="BG3278" s="2"/>
      <c r="BH3278" s="2"/>
      <c r="BI3278" s="2"/>
      <c r="BJ3278" s="2">
        <v>242</v>
      </c>
      <c r="BK3278" s="2" t="s">
        <v>107</v>
      </c>
      <c r="BL3278" s="2"/>
      <c r="BM3278" s="2">
        <v>242</v>
      </c>
      <c r="BN3278" s="2" t="s">
        <v>107</v>
      </c>
      <c r="BO3278" s="2"/>
      <c r="BP3278" s="2">
        <v>242</v>
      </c>
      <c r="BQ3278" s="2" t="s">
        <v>107</v>
      </c>
      <c r="BR3278" s="2"/>
      <c r="BS3278" s="3">
        <v>40400</v>
      </c>
      <c r="BT3278" s="4">
        <v>0.48851851851851852</v>
      </c>
    </row>
    <row r="3279" spans="1:72" x14ac:dyDescent="0.25">
      <c r="A3279" s="2">
        <v>4839</v>
      </c>
      <c r="B3279" s="2">
        <v>2010</v>
      </c>
      <c r="C3279" s="2" t="s">
        <v>4543</v>
      </c>
      <c r="D3279" s="2" t="s">
        <v>122</v>
      </c>
      <c r="E3279" s="2"/>
      <c r="F3279" s="2">
        <v>307</v>
      </c>
      <c r="G3279" s="2" t="s">
        <v>929</v>
      </c>
      <c r="H3279" s="2">
        <v>38</v>
      </c>
      <c r="I3279" s="2" t="s">
        <v>1272</v>
      </c>
      <c r="J3279" s="2">
        <v>415</v>
      </c>
      <c r="K3279" s="2" t="s">
        <v>2200</v>
      </c>
      <c r="L3279" s="2" t="s">
        <v>575</v>
      </c>
      <c r="M3279" s="3">
        <v>40400</v>
      </c>
      <c r="N3279" s="2" t="s">
        <v>10594</v>
      </c>
      <c r="O3279" s="2" t="s">
        <v>10595</v>
      </c>
      <c r="P3279" s="2" t="s">
        <v>10596</v>
      </c>
      <c r="Q3279" s="2" t="str">
        <f>""</f>
        <v/>
      </c>
      <c r="R3279" s="2"/>
      <c r="S3279" s="2"/>
      <c r="T3279" s="2">
        <v>2</v>
      </c>
      <c r="U3279" s="2" t="s">
        <v>123</v>
      </c>
      <c r="V3279" s="2">
        <v>1</v>
      </c>
      <c r="W3279" s="2" t="s">
        <v>80</v>
      </c>
      <c r="X3279" s="2">
        <v>5</v>
      </c>
      <c r="Y3279" s="2" t="s">
        <v>82</v>
      </c>
      <c r="Z3279" s="2">
        <v>1</v>
      </c>
      <c r="AA3279" s="2" t="s">
        <v>82</v>
      </c>
      <c r="AB3279" s="2">
        <v>9</v>
      </c>
      <c r="AC3279" s="2" t="s">
        <v>124</v>
      </c>
      <c r="AD3279" s="3">
        <v>40400</v>
      </c>
      <c r="AE3279" s="4">
        <v>0.46875</v>
      </c>
      <c r="AF3279" s="2"/>
      <c r="AG3279" s="2"/>
      <c r="AH3279" s="2">
        <v>5</v>
      </c>
      <c r="AI3279" s="2" t="s">
        <v>274</v>
      </c>
      <c r="AJ3279" s="2">
        <v>40</v>
      </c>
      <c r="AK3279" s="2" t="s">
        <v>935</v>
      </c>
      <c r="AL3279" s="2">
        <v>18</v>
      </c>
      <c r="AM3279" s="2" t="s">
        <v>82</v>
      </c>
      <c r="AN3279" s="2"/>
      <c r="AO3279" s="2" t="s">
        <v>10597</v>
      </c>
      <c r="AP3279" s="2">
        <v>11</v>
      </c>
      <c r="AQ3279" s="2" t="s">
        <v>82</v>
      </c>
      <c r="AR3279" s="2"/>
      <c r="AS3279" s="2"/>
      <c r="AT3279" s="2" t="s">
        <v>10598</v>
      </c>
      <c r="AU3279" s="2"/>
      <c r="AV3279" s="2"/>
      <c r="AW3279" s="2"/>
      <c r="AX3279" s="2"/>
      <c r="AY3279" s="2">
        <v>1</v>
      </c>
      <c r="AZ3279" s="2" t="s">
        <v>107</v>
      </c>
      <c r="BA3279" s="2">
        <v>1</v>
      </c>
      <c r="BB3279" s="2" t="s">
        <v>107</v>
      </c>
      <c r="BC3279" s="2">
        <v>1</v>
      </c>
      <c r="BD3279" s="2" t="s">
        <v>107</v>
      </c>
      <c r="BE3279" s="2">
        <v>1</v>
      </c>
      <c r="BF3279" s="2" t="s">
        <v>107</v>
      </c>
      <c r="BG3279" s="2"/>
      <c r="BH3279" s="2"/>
      <c r="BI3279" s="2"/>
      <c r="BJ3279" s="2">
        <v>242</v>
      </c>
      <c r="BK3279" s="2" t="s">
        <v>107</v>
      </c>
      <c r="BL3279" s="2"/>
      <c r="BM3279" s="2">
        <v>242</v>
      </c>
      <c r="BN3279" s="2" t="s">
        <v>107</v>
      </c>
      <c r="BO3279" s="2"/>
      <c r="BP3279" s="2">
        <v>242</v>
      </c>
      <c r="BQ3279" s="2" t="s">
        <v>107</v>
      </c>
      <c r="BR3279" s="2"/>
      <c r="BS3279" s="3">
        <v>40400</v>
      </c>
      <c r="BT3279" s="4">
        <v>0.55229166666666674</v>
      </c>
    </row>
    <row r="3280" spans="1:72" x14ac:dyDescent="0.25">
      <c r="A3280" s="2">
        <v>4845</v>
      </c>
      <c r="B3280" s="2">
        <v>2010</v>
      </c>
      <c r="C3280" s="2" t="s">
        <v>377</v>
      </c>
      <c r="D3280" s="2" t="s">
        <v>73</v>
      </c>
      <c r="E3280" s="2"/>
      <c r="F3280" s="2">
        <v>426</v>
      </c>
      <c r="G3280" s="2" t="s">
        <v>378</v>
      </c>
      <c r="H3280" s="2">
        <v>22</v>
      </c>
      <c r="I3280" s="2" t="s">
        <v>75</v>
      </c>
      <c r="J3280" s="2">
        <v>311</v>
      </c>
      <c r="K3280" s="2" t="s">
        <v>379</v>
      </c>
      <c r="L3280" s="2" t="s">
        <v>380</v>
      </c>
      <c r="M3280" s="3">
        <v>40400</v>
      </c>
      <c r="N3280" s="2" t="s">
        <v>8941</v>
      </c>
      <c r="O3280" s="2"/>
      <c r="P3280" s="2"/>
      <c r="Q3280" s="2" t="str">
        <f>"199-C/10"</f>
        <v>199-C/10</v>
      </c>
      <c r="R3280" s="2" t="s">
        <v>3458</v>
      </c>
      <c r="S3280" s="2"/>
      <c r="T3280" s="2">
        <v>1</v>
      </c>
      <c r="U3280" s="2" t="s">
        <v>79</v>
      </c>
      <c r="V3280" s="2">
        <v>1</v>
      </c>
      <c r="W3280" s="2" t="s">
        <v>80</v>
      </c>
      <c r="X3280" s="2">
        <v>1</v>
      </c>
      <c r="Y3280" s="2" t="s">
        <v>81</v>
      </c>
      <c r="Z3280" s="2">
        <v>1</v>
      </c>
      <c r="AA3280" s="2" t="s">
        <v>82</v>
      </c>
      <c r="AB3280" s="2">
        <v>9</v>
      </c>
      <c r="AC3280" s="2" t="s">
        <v>124</v>
      </c>
      <c r="AD3280" s="3">
        <v>40400</v>
      </c>
      <c r="AE3280" s="4">
        <v>0.43055555555555558</v>
      </c>
      <c r="AF3280" s="2"/>
      <c r="AG3280" s="2"/>
      <c r="AH3280" s="2">
        <v>2</v>
      </c>
      <c r="AI3280" s="2" t="s">
        <v>84</v>
      </c>
      <c r="AJ3280" s="2">
        <v>9</v>
      </c>
      <c r="AK3280" s="2" t="s">
        <v>103</v>
      </c>
      <c r="AL3280" s="2">
        <v>29</v>
      </c>
      <c r="AM3280" s="2" t="s">
        <v>5416</v>
      </c>
      <c r="AN3280" s="2"/>
      <c r="AO3280" s="2" t="s">
        <v>10599</v>
      </c>
      <c r="AP3280" s="2">
        <v>11</v>
      </c>
      <c r="AQ3280" s="2" t="s">
        <v>82</v>
      </c>
      <c r="AR3280" s="2"/>
      <c r="AS3280" s="2"/>
      <c r="AT3280" s="2" t="s">
        <v>10600</v>
      </c>
      <c r="AU3280" s="2"/>
      <c r="AV3280" s="2"/>
      <c r="AW3280" s="2"/>
      <c r="AX3280" s="2"/>
      <c r="AY3280" s="2">
        <v>41</v>
      </c>
      <c r="AZ3280" s="2" t="s">
        <v>82</v>
      </c>
      <c r="BA3280" s="2">
        <v>41</v>
      </c>
      <c r="BB3280" s="2" t="s">
        <v>82</v>
      </c>
      <c r="BC3280" s="2">
        <v>41</v>
      </c>
      <c r="BD3280" s="2" t="s">
        <v>82</v>
      </c>
      <c r="BE3280" s="2">
        <v>41</v>
      </c>
      <c r="BF3280" s="2" t="s">
        <v>82</v>
      </c>
      <c r="BG3280" s="2"/>
      <c r="BH3280" s="2"/>
      <c r="BI3280" s="2"/>
      <c r="BJ3280" s="2">
        <v>241</v>
      </c>
      <c r="BK3280" s="2" t="s">
        <v>82</v>
      </c>
      <c r="BL3280" s="2"/>
      <c r="BM3280" s="2">
        <v>241</v>
      </c>
      <c r="BN3280" s="2" t="s">
        <v>82</v>
      </c>
      <c r="BO3280" s="2"/>
      <c r="BP3280" s="2">
        <v>241</v>
      </c>
      <c r="BQ3280" s="2" t="s">
        <v>82</v>
      </c>
      <c r="BR3280" s="2"/>
      <c r="BS3280" s="3">
        <v>40400</v>
      </c>
      <c r="BT3280" s="4">
        <v>0.67273148148148154</v>
      </c>
    </row>
    <row r="3281" spans="1:72" x14ac:dyDescent="0.25">
      <c r="A3281" s="2">
        <v>4846</v>
      </c>
      <c r="B3281" s="2">
        <v>2010</v>
      </c>
      <c r="C3281" s="2" t="s">
        <v>171</v>
      </c>
      <c r="D3281" s="2" t="s">
        <v>73</v>
      </c>
      <c r="E3281" s="2"/>
      <c r="F3281" s="2">
        <v>592</v>
      </c>
      <c r="G3281" s="2" t="s">
        <v>5714</v>
      </c>
      <c r="H3281" s="2">
        <v>1</v>
      </c>
      <c r="I3281" s="2" t="s">
        <v>82</v>
      </c>
      <c r="J3281" s="2">
        <v>433</v>
      </c>
      <c r="K3281" s="2" t="s">
        <v>2804</v>
      </c>
      <c r="L3281" s="2" t="s">
        <v>1224</v>
      </c>
      <c r="M3281" s="3">
        <v>40400</v>
      </c>
      <c r="N3281" s="2" t="s">
        <v>10601</v>
      </c>
      <c r="O3281" s="2" t="s">
        <v>10602</v>
      </c>
      <c r="P3281" s="2" t="s">
        <v>10603</v>
      </c>
      <c r="Q3281" s="2" t="str">
        <f>""</f>
        <v/>
      </c>
      <c r="R3281" s="2"/>
      <c r="S3281" s="2"/>
      <c r="T3281" s="2">
        <v>1</v>
      </c>
      <c r="U3281" s="2" t="s">
        <v>79</v>
      </c>
      <c r="V3281" s="2">
        <v>3</v>
      </c>
      <c r="W3281" s="2" t="s">
        <v>225</v>
      </c>
      <c r="X3281" s="2">
        <v>6</v>
      </c>
      <c r="Y3281" s="2" t="s">
        <v>249</v>
      </c>
      <c r="Z3281" s="2">
        <v>1</v>
      </c>
      <c r="AA3281" s="2" t="s">
        <v>82</v>
      </c>
      <c r="AB3281" s="2">
        <v>9</v>
      </c>
      <c r="AC3281" s="2" t="s">
        <v>124</v>
      </c>
      <c r="AD3281" s="3">
        <v>40400</v>
      </c>
      <c r="AE3281" s="4">
        <v>0.48125000000000001</v>
      </c>
      <c r="AF3281" s="2"/>
      <c r="AG3281" s="2"/>
      <c r="AH3281" s="2">
        <v>6</v>
      </c>
      <c r="AI3281" s="2" t="s">
        <v>197</v>
      </c>
      <c r="AJ3281" s="2">
        <v>47</v>
      </c>
      <c r="AK3281" s="2" t="s">
        <v>250</v>
      </c>
      <c r="AL3281" s="2">
        <v>23</v>
      </c>
      <c r="AM3281" s="2" t="s">
        <v>251</v>
      </c>
      <c r="AN3281" s="2"/>
      <c r="AO3281" s="2"/>
      <c r="AP3281" s="2">
        <v>11</v>
      </c>
      <c r="AQ3281" s="2" t="s">
        <v>82</v>
      </c>
      <c r="AR3281" s="2"/>
      <c r="AS3281" s="2"/>
      <c r="AT3281" s="2" t="s">
        <v>10604</v>
      </c>
      <c r="AU3281" s="2"/>
      <c r="AV3281" s="2"/>
      <c r="AW3281" s="2"/>
      <c r="AX3281" s="2"/>
      <c r="AY3281" s="2">
        <v>41</v>
      </c>
      <c r="AZ3281" s="2" t="s">
        <v>82</v>
      </c>
      <c r="BA3281" s="2">
        <v>41</v>
      </c>
      <c r="BB3281" s="2" t="s">
        <v>82</v>
      </c>
      <c r="BC3281" s="2">
        <v>41</v>
      </c>
      <c r="BD3281" s="2" t="s">
        <v>82</v>
      </c>
      <c r="BE3281" s="2">
        <v>41</v>
      </c>
      <c r="BF3281" s="2" t="s">
        <v>82</v>
      </c>
      <c r="BG3281" s="2"/>
      <c r="BH3281" s="2"/>
      <c r="BI3281" s="2"/>
      <c r="BJ3281" s="2">
        <v>241</v>
      </c>
      <c r="BK3281" s="2" t="s">
        <v>82</v>
      </c>
      <c r="BL3281" s="2"/>
      <c r="BM3281" s="2">
        <v>241</v>
      </c>
      <c r="BN3281" s="2" t="s">
        <v>82</v>
      </c>
      <c r="BO3281" s="2"/>
      <c r="BP3281" s="2">
        <v>241</v>
      </c>
      <c r="BQ3281" s="2" t="s">
        <v>82</v>
      </c>
      <c r="BR3281" s="2"/>
      <c r="BS3281" s="3">
        <v>40400</v>
      </c>
      <c r="BT3281" s="4">
        <v>0.69578703703703704</v>
      </c>
    </row>
    <row r="3282" spans="1:72" x14ac:dyDescent="0.25">
      <c r="A3282" s="2">
        <v>4847</v>
      </c>
      <c r="B3282" s="2">
        <v>2010</v>
      </c>
      <c r="C3282" s="2" t="s">
        <v>377</v>
      </c>
      <c r="D3282" s="2" t="s">
        <v>73</v>
      </c>
      <c r="E3282" s="2"/>
      <c r="F3282" s="2">
        <v>426</v>
      </c>
      <c r="G3282" s="2" t="s">
        <v>378</v>
      </c>
      <c r="H3282" s="2">
        <v>108</v>
      </c>
      <c r="I3282" s="2" t="s">
        <v>1096</v>
      </c>
      <c r="J3282" s="2">
        <v>311</v>
      </c>
      <c r="K3282" s="2" t="s">
        <v>379</v>
      </c>
      <c r="L3282" s="2" t="s">
        <v>380</v>
      </c>
      <c r="M3282" s="3">
        <v>40400</v>
      </c>
      <c r="N3282" s="2" t="s">
        <v>8941</v>
      </c>
      <c r="O3282" s="2"/>
      <c r="P3282" s="2"/>
      <c r="Q3282" s="2" t="str">
        <f>"200-C/10"</f>
        <v>200-C/10</v>
      </c>
      <c r="R3282" s="2" t="s">
        <v>4072</v>
      </c>
      <c r="S3282" s="2"/>
      <c r="T3282" s="2">
        <v>1</v>
      </c>
      <c r="U3282" s="2" t="s">
        <v>79</v>
      </c>
      <c r="V3282" s="2">
        <v>1</v>
      </c>
      <c r="W3282" s="2" t="s">
        <v>80</v>
      </c>
      <c r="X3282" s="2">
        <v>1</v>
      </c>
      <c r="Y3282" s="2" t="s">
        <v>81</v>
      </c>
      <c r="Z3282" s="2">
        <v>1</v>
      </c>
      <c r="AA3282" s="2" t="s">
        <v>82</v>
      </c>
      <c r="AB3282" s="2">
        <v>9</v>
      </c>
      <c r="AC3282" s="2" t="s">
        <v>124</v>
      </c>
      <c r="AD3282" s="3">
        <v>40400</v>
      </c>
      <c r="AE3282" s="4">
        <v>0.47916666666666669</v>
      </c>
      <c r="AF3282" s="2"/>
      <c r="AG3282" s="2"/>
      <c r="AH3282" s="2">
        <v>2</v>
      </c>
      <c r="AI3282" s="2" t="s">
        <v>84</v>
      </c>
      <c r="AJ3282" s="2">
        <v>9</v>
      </c>
      <c r="AK3282" s="2" t="s">
        <v>103</v>
      </c>
      <c r="AL3282" s="2">
        <v>29</v>
      </c>
      <c r="AM3282" s="2" t="s">
        <v>5416</v>
      </c>
      <c r="AN3282" s="2"/>
      <c r="AO3282" s="2" t="s">
        <v>3459</v>
      </c>
      <c r="AP3282" s="2">
        <v>11</v>
      </c>
      <c r="AQ3282" s="2" t="s">
        <v>82</v>
      </c>
      <c r="AR3282" s="2"/>
      <c r="AS3282" s="2"/>
      <c r="AT3282" s="2" t="s">
        <v>10605</v>
      </c>
      <c r="AU3282" s="2"/>
      <c r="AV3282" s="2"/>
      <c r="AW3282" s="2"/>
      <c r="AX3282" s="2"/>
      <c r="AY3282" s="2">
        <v>41</v>
      </c>
      <c r="AZ3282" s="2" t="s">
        <v>82</v>
      </c>
      <c r="BA3282" s="2">
        <v>41</v>
      </c>
      <c r="BB3282" s="2" t="s">
        <v>82</v>
      </c>
      <c r="BC3282" s="2">
        <v>41</v>
      </c>
      <c r="BD3282" s="2" t="s">
        <v>82</v>
      </c>
      <c r="BE3282" s="2">
        <v>41</v>
      </c>
      <c r="BF3282" s="2" t="s">
        <v>82</v>
      </c>
      <c r="BG3282" s="2"/>
      <c r="BH3282" s="2"/>
      <c r="BI3282" s="2"/>
      <c r="BJ3282" s="2">
        <v>241</v>
      </c>
      <c r="BK3282" s="2" t="s">
        <v>82</v>
      </c>
      <c r="BL3282" s="2"/>
      <c r="BM3282" s="2">
        <v>241</v>
      </c>
      <c r="BN3282" s="2" t="s">
        <v>82</v>
      </c>
      <c r="BO3282" s="2"/>
      <c r="BP3282" s="2">
        <v>241</v>
      </c>
      <c r="BQ3282" s="2" t="s">
        <v>82</v>
      </c>
      <c r="BR3282" s="2"/>
      <c r="BS3282" s="3">
        <v>40400</v>
      </c>
      <c r="BT3282" s="4">
        <v>0.69672453703703707</v>
      </c>
    </row>
    <row r="3283" spans="1:72" x14ac:dyDescent="0.25">
      <c r="A3283" s="2">
        <v>4848</v>
      </c>
      <c r="B3283" s="2">
        <v>2010</v>
      </c>
      <c r="C3283" s="2" t="s">
        <v>819</v>
      </c>
      <c r="D3283" s="2" t="s">
        <v>73</v>
      </c>
      <c r="E3283" s="2"/>
      <c r="F3283" s="2">
        <v>310</v>
      </c>
      <c r="G3283" s="2" t="s">
        <v>3186</v>
      </c>
      <c r="H3283" s="2">
        <v>2</v>
      </c>
      <c r="I3283" s="2" t="s">
        <v>267</v>
      </c>
      <c r="J3283" s="2">
        <v>371</v>
      </c>
      <c r="K3283" s="2" t="s">
        <v>1138</v>
      </c>
      <c r="L3283" s="2" t="s">
        <v>1139</v>
      </c>
      <c r="M3283" s="3">
        <v>40400</v>
      </c>
      <c r="N3283" s="2" t="s">
        <v>3280</v>
      </c>
      <c r="O3283" s="2"/>
      <c r="P3283" s="2"/>
      <c r="Q3283" s="2" t="str">
        <f>"0102/2010"</f>
        <v>0102/2010</v>
      </c>
      <c r="R3283" s="2" t="s">
        <v>10606</v>
      </c>
      <c r="S3283" s="2"/>
      <c r="T3283" s="2">
        <v>1</v>
      </c>
      <c r="U3283" s="2" t="s">
        <v>79</v>
      </c>
      <c r="V3283" s="2">
        <v>1</v>
      </c>
      <c r="W3283" s="2" t="s">
        <v>80</v>
      </c>
      <c r="X3283" s="2">
        <v>1</v>
      </c>
      <c r="Y3283" s="2" t="s">
        <v>81</v>
      </c>
      <c r="Z3283" s="2">
        <v>2</v>
      </c>
      <c r="AA3283" s="2" t="s">
        <v>2148</v>
      </c>
      <c r="AB3283" s="2">
        <v>9</v>
      </c>
      <c r="AC3283" s="2" t="s">
        <v>124</v>
      </c>
      <c r="AD3283" s="3">
        <v>40400</v>
      </c>
      <c r="AE3283" s="4">
        <v>0.60416666666666663</v>
      </c>
      <c r="AF3283" s="2"/>
      <c r="AG3283" s="2"/>
      <c r="AH3283" s="2">
        <v>5</v>
      </c>
      <c r="AI3283" s="2" t="s">
        <v>274</v>
      </c>
      <c r="AJ3283" s="2">
        <v>38</v>
      </c>
      <c r="AK3283" s="2" t="s">
        <v>1120</v>
      </c>
      <c r="AL3283" s="2">
        <v>25</v>
      </c>
      <c r="AM3283" s="2" t="s">
        <v>3073</v>
      </c>
      <c r="AN3283" s="2" t="s">
        <v>10607</v>
      </c>
      <c r="AO3283" s="2" t="s">
        <v>230</v>
      </c>
      <c r="AP3283" s="2">
        <v>11</v>
      </c>
      <c r="AQ3283" s="2" t="s">
        <v>82</v>
      </c>
      <c r="AR3283" s="2"/>
      <c r="AS3283" s="2"/>
      <c r="AT3283" s="2" t="s">
        <v>10608</v>
      </c>
      <c r="AU3283" s="2"/>
      <c r="AV3283" s="2"/>
      <c r="AW3283" s="2"/>
      <c r="AX3283" s="2"/>
      <c r="AY3283" s="2">
        <v>42</v>
      </c>
      <c r="AZ3283" s="2" t="s">
        <v>182</v>
      </c>
      <c r="BA3283" s="2">
        <v>41</v>
      </c>
      <c r="BB3283" s="2" t="s">
        <v>82</v>
      </c>
      <c r="BC3283" s="2">
        <v>41</v>
      </c>
      <c r="BD3283" s="2" t="s">
        <v>82</v>
      </c>
      <c r="BE3283" s="2">
        <v>47</v>
      </c>
      <c r="BF3283" s="2" t="s">
        <v>167</v>
      </c>
      <c r="BG3283" s="2">
        <v>2725</v>
      </c>
      <c r="BH3283" s="4">
        <v>0.47222222222222227</v>
      </c>
      <c r="BI3283" s="4">
        <v>0.5</v>
      </c>
      <c r="BJ3283" s="2">
        <v>13</v>
      </c>
      <c r="BK3283" s="2" t="s">
        <v>91</v>
      </c>
      <c r="BL3283" s="2" t="s">
        <v>1697</v>
      </c>
      <c r="BM3283" s="2">
        <v>241</v>
      </c>
      <c r="BN3283" s="2" t="s">
        <v>82</v>
      </c>
      <c r="BO3283" s="2"/>
      <c r="BP3283" s="2">
        <v>13</v>
      </c>
      <c r="BQ3283" s="2" t="s">
        <v>91</v>
      </c>
      <c r="BR3283" s="2" t="s">
        <v>5461</v>
      </c>
      <c r="BS3283" s="3">
        <v>40400</v>
      </c>
      <c r="BT3283" s="4">
        <v>0.70354166666666673</v>
      </c>
    </row>
    <row r="3284" spans="1:72" x14ac:dyDescent="0.25">
      <c r="A3284" s="2">
        <v>4849</v>
      </c>
      <c r="B3284" s="2">
        <v>2010</v>
      </c>
      <c r="C3284" s="2" t="s">
        <v>171</v>
      </c>
      <c r="D3284" s="2" t="s">
        <v>122</v>
      </c>
      <c r="E3284" s="2" t="s">
        <v>10609</v>
      </c>
      <c r="F3284" s="2">
        <v>400</v>
      </c>
      <c r="G3284" s="2" t="s">
        <v>3601</v>
      </c>
      <c r="H3284" s="2">
        <v>17</v>
      </c>
      <c r="I3284" s="2" t="s">
        <v>3602</v>
      </c>
      <c r="J3284" s="2">
        <v>316</v>
      </c>
      <c r="K3284" s="2" t="s">
        <v>574</v>
      </c>
      <c r="L3284" s="2" t="s">
        <v>575</v>
      </c>
      <c r="M3284" s="3">
        <v>40400</v>
      </c>
      <c r="N3284" s="2" t="s">
        <v>3826</v>
      </c>
      <c r="O3284" s="2"/>
      <c r="P3284" s="2"/>
      <c r="Q3284" s="2" t="str">
        <f>"400-E/100"</f>
        <v>400-E/100</v>
      </c>
      <c r="R3284" s="2" t="s">
        <v>391</v>
      </c>
      <c r="S3284" s="2"/>
      <c r="T3284" s="2">
        <v>1</v>
      </c>
      <c r="U3284" s="2" t="s">
        <v>79</v>
      </c>
      <c r="V3284" s="2">
        <v>1</v>
      </c>
      <c r="W3284" s="2" t="s">
        <v>80</v>
      </c>
      <c r="X3284" s="2">
        <v>1</v>
      </c>
      <c r="Y3284" s="2" t="s">
        <v>81</v>
      </c>
      <c r="Z3284" s="2">
        <v>1</v>
      </c>
      <c r="AA3284" s="2" t="s">
        <v>82</v>
      </c>
      <c r="AB3284" s="2">
        <v>1</v>
      </c>
      <c r="AC3284" s="2" t="s">
        <v>178</v>
      </c>
      <c r="AD3284" s="3">
        <v>40396</v>
      </c>
      <c r="AE3284" s="4">
        <v>0.16666666666666666</v>
      </c>
      <c r="AF3284" s="2"/>
      <c r="AG3284" s="2"/>
      <c r="AH3284" s="2">
        <v>2</v>
      </c>
      <c r="AI3284" s="2" t="s">
        <v>84</v>
      </c>
      <c r="AJ3284" s="2">
        <v>9</v>
      </c>
      <c r="AK3284" s="2" t="s">
        <v>103</v>
      </c>
      <c r="AL3284" s="2">
        <v>14</v>
      </c>
      <c r="AM3284" s="2" t="s">
        <v>216</v>
      </c>
      <c r="AN3284" s="2"/>
      <c r="AO3284" s="2" t="s">
        <v>2345</v>
      </c>
      <c r="AP3284" s="2">
        <v>11</v>
      </c>
      <c r="AQ3284" s="2" t="s">
        <v>82</v>
      </c>
      <c r="AR3284" s="2"/>
      <c r="AS3284" s="2"/>
      <c r="AT3284" s="2" t="s">
        <v>10610</v>
      </c>
      <c r="AU3284" s="2"/>
      <c r="AV3284" s="2">
        <v>1</v>
      </c>
      <c r="AW3284" s="2"/>
      <c r="AX3284" s="2"/>
      <c r="AY3284" s="2">
        <v>42</v>
      </c>
      <c r="AZ3284" s="2" t="s">
        <v>182</v>
      </c>
      <c r="BA3284" s="2">
        <v>41</v>
      </c>
      <c r="BB3284" s="2" t="s">
        <v>82</v>
      </c>
      <c r="BC3284" s="2">
        <v>41</v>
      </c>
      <c r="BD3284" s="2" t="s">
        <v>82</v>
      </c>
      <c r="BE3284" s="2">
        <v>20</v>
      </c>
      <c r="BF3284" s="2" t="s">
        <v>1681</v>
      </c>
      <c r="BG3284" s="2" t="s">
        <v>10464</v>
      </c>
      <c r="BH3284" s="4">
        <v>0.18055555555555555</v>
      </c>
      <c r="BI3284" s="2"/>
      <c r="BJ3284" s="2">
        <v>173</v>
      </c>
      <c r="BK3284" s="2" t="s">
        <v>223</v>
      </c>
      <c r="BL3284" s="2" t="s">
        <v>224</v>
      </c>
      <c r="BM3284" s="2">
        <v>241</v>
      </c>
      <c r="BN3284" s="2" t="s">
        <v>82</v>
      </c>
      <c r="BO3284" s="2"/>
      <c r="BP3284" s="2">
        <v>13</v>
      </c>
      <c r="BQ3284" s="2" t="s">
        <v>91</v>
      </c>
      <c r="BR3284" s="2" t="s">
        <v>8803</v>
      </c>
      <c r="BS3284" s="3">
        <v>40400</v>
      </c>
      <c r="BT3284" s="4">
        <v>0.72733796296296294</v>
      </c>
    </row>
    <row r="3285" spans="1:72" x14ac:dyDescent="0.25">
      <c r="A3285" s="2">
        <v>4850</v>
      </c>
      <c r="B3285" s="2">
        <v>2010</v>
      </c>
      <c r="C3285" s="2" t="s">
        <v>121</v>
      </c>
      <c r="D3285" s="2" t="s">
        <v>122</v>
      </c>
      <c r="E3285" s="2"/>
      <c r="F3285" s="2">
        <v>1</v>
      </c>
      <c r="G3285" s="2" t="s">
        <v>82</v>
      </c>
      <c r="H3285" s="2">
        <v>1</v>
      </c>
      <c r="I3285" s="2" t="s">
        <v>82</v>
      </c>
      <c r="J3285" s="2">
        <v>1</v>
      </c>
      <c r="K3285" s="2" t="s">
        <v>107</v>
      </c>
      <c r="L3285" s="2" t="s">
        <v>107</v>
      </c>
      <c r="M3285" s="3">
        <v>40400</v>
      </c>
      <c r="N3285" s="2"/>
      <c r="O3285" s="2"/>
      <c r="P3285" s="2"/>
      <c r="Q3285" s="2" t="str">
        <f>""</f>
        <v/>
      </c>
      <c r="R3285" s="2"/>
      <c r="S3285" s="2"/>
      <c r="T3285" s="2">
        <v>2</v>
      </c>
      <c r="U3285" s="2" t="s">
        <v>123</v>
      </c>
      <c r="V3285" s="2">
        <v>1</v>
      </c>
      <c r="W3285" s="2" t="s">
        <v>80</v>
      </c>
      <c r="X3285" s="2">
        <v>11</v>
      </c>
      <c r="Y3285" s="2" t="s">
        <v>1920</v>
      </c>
      <c r="Z3285" s="2">
        <v>1</v>
      </c>
      <c r="AA3285" s="2" t="s">
        <v>82</v>
      </c>
      <c r="AB3285" s="2">
        <v>9</v>
      </c>
      <c r="AC3285" s="2" t="s">
        <v>124</v>
      </c>
      <c r="AD3285" s="3">
        <v>40400</v>
      </c>
      <c r="AE3285" s="4">
        <v>0.70833333333333337</v>
      </c>
      <c r="AF3285" s="2"/>
      <c r="AG3285" s="2"/>
      <c r="AH3285" s="2">
        <v>3</v>
      </c>
      <c r="AI3285" s="2" t="s">
        <v>214</v>
      </c>
      <c r="AJ3285" s="2">
        <v>24</v>
      </c>
      <c r="AK3285" s="2" t="s">
        <v>215</v>
      </c>
      <c r="AL3285" s="2">
        <v>25</v>
      </c>
      <c r="AM3285" s="2" t="s">
        <v>3073</v>
      </c>
      <c r="AN3285" s="2"/>
      <c r="AO3285" s="2" t="s">
        <v>10611</v>
      </c>
      <c r="AP3285" s="2">
        <v>11</v>
      </c>
      <c r="AQ3285" s="2" t="s">
        <v>82</v>
      </c>
      <c r="AR3285" s="2" t="s">
        <v>82</v>
      </c>
      <c r="AS3285" s="2" t="s">
        <v>82</v>
      </c>
      <c r="AT3285" s="2" t="s">
        <v>10612</v>
      </c>
      <c r="AU3285" s="2"/>
      <c r="AV3285" s="2"/>
      <c r="AW3285" s="2"/>
      <c r="AX3285" s="2"/>
      <c r="AY3285" s="2">
        <v>41</v>
      </c>
      <c r="AZ3285" s="2" t="s">
        <v>82</v>
      </c>
      <c r="BA3285" s="2">
        <v>41</v>
      </c>
      <c r="BB3285" s="2" t="s">
        <v>82</v>
      </c>
      <c r="BC3285" s="2">
        <v>41</v>
      </c>
      <c r="BD3285" s="2" t="s">
        <v>82</v>
      </c>
      <c r="BE3285" s="2">
        <v>41</v>
      </c>
      <c r="BF3285" s="2" t="s">
        <v>82</v>
      </c>
      <c r="BG3285" s="2" t="s">
        <v>6921</v>
      </c>
      <c r="BH3285" s="4">
        <v>0.77083333333333337</v>
      </c>
      <c r="BI3285" s="4">
        <v>0.72222222222222221</v>
      </c>
      <c r="BJ3285" s="2">
        <v>13</v>
      </c>
      <c r="BK3285" s="2" t="s">
        <v>91</v>
      </c>
      <c r="BL3285" s="2" t="s">
        <v>10613</v>
      </c>
      <c r="BM3285" s="2">
        <v>241</v>
      </c>
      <c r="BN3285" s="2" t="s">
        <v>82</v>
      </c>
      <c r="BO3285" s="2" t="s">
        <v>82</v>
      </c>
      <c r="BP3285" s="2">
        <v>13</v>
      </c>
      <c r="BQ3285" s="2" t="s">
        <v>91</v>
      </c>
      <c r="BR3285" s="2" t="s">
        <v>10614</v>
      </c>
      <c r="BS3285" s="3">
        <v>40400</v>
      </c>
      <c r="BT3285" s="4">
        <v>0.73343749999999996</v>
      </c>
    </row>
    <row r="3286" spans="1:72" x14ac:dyDescent="0.25">
      <c r="A3286" s="2">
        <v>4851</v>
      </c>
      <c r="B3286" s="2">
        <v>2010</v>
      </c>
      <c r="C3286" s="2" t="s">
        <v>121</v>
      </c>
      <c r="D3286" s="2" t="s">
        <v>122</v>
      </c>
      <c r="E3286" s="2"/>
      <c r="F3286" s="2">
        <v>1</v>
      </c>
      <c r="G3286" s="2" t="s">
        <v>82</v>
      </c>
      <c r="H3286" s="2">
        <v>1</v>
      </c>
      <c r="I3286" s="2" t="s">
        <v>82</v>
      </c>
      <c r="J3286" s="2">
        <v>1</v>
      </c>
      <c r="K3286" s="2" t="s">
        <v>107</v>
      </c>
      <c r="L3286" s="2" t="s">
        <v>107</v>
      </c>
      <c r="M3286" s="3">
        <v>40400</v>
      </c>
      <c r="N3286" s="2"/>
      <c r="O3286" s="2"/>
      <c r="P3286" s="2"/>
      <c r="Q3286" s="2" t="str">
        <f>""</f>
        <v/>
      </c>
      <c r="R3286" s="2"/>
      <c r="S3286" s="2"/>
      <c r="T3286" s="2">
        <v>2</v>
      </c>
      <c r="U3286" s="2" t="s">
        <v>123</v>
      </c>
      <c r="V3286" s="2">
        <v>1</v>
      </c>
      <c r="W3286" s="2" t="s">
        <v>80</v>
      </c>
      <c r="X3286" s="2">
        <v>5</v>
      </c>
      <c r="Y3286" s="2" t="s">
        <v>82</v>
      </c>
      <c r="Z3286" s="2">
        <v>1</v>
      </c>
      <c r="AA3286" s="2" t="s">
        <v>82</v>
      </c>
      <c r="AB3286" s="2">
        <v>9</v>
      </c>
      <c r="AC3286" s="2" t="s">
        <v>124</v>
      </c>
      <c r="AD3286" s="2"/>
      <c r="AE3286" s="2"/>
      <c r="AF3286" s="2"/>
      <c r="AG3286" s="2"/>
      <c r="AH3286" s="2">
        <v>2</v>
      </c>
      <c r="AI3286" s="2" t="s">
        <v>84</v>
      </c>
      <c r="AJ3286" s="2">
        <v>8</v>
      </c>
      <c r="AK3286" s="2" t="s">
        <v>436</v>
      </c>
      <c r="AL3286" s="2">
        <v>18</v>
      </c>
      <c r="AM3286" s="2" t="s">
        <v>82</v>
      </c>
      <c r="AN3286" s="2"/>
      <c r="AO3286" s="2"/>
      <c r="AP3286" s="2">
        <v>11</v>
      </c>
      <c r="AQ3286" s="2" t="s">
        <v>82</v>
      </c>
      <c r="AR3286" s="2"/>
      <c r="AS3286" s="2"/>
      <c r="AT3286" s="2" t="s">
        <v>10615</v>
      </c>
      <c r="AU3286" s="2"/>
      <c r="AV3286" s="2"/>
      <c r="AW3286" s="2"/>
      <c r="AX3286" s="2"/>
      <c r="AY3286" s="2">
        <v>1</v>
      </c>
      <c r="AZ3286" s="2" t="s">
        <v>107</v>
      </c>
      <c r="BA3286" s="2">
        <v>1</v>
      </c>
      <c r="BB3286" s="2" t="s">
        <v>107</v>
      </c>
      <c r="BC3286" s="2">
        <v>1</v>
      </c>
      <c r="BD3286" s="2" t="s">
        <v>107</v>
      </c>
      <c r="BE3286" s="2">
        <v>1</v>
      </c>
      <c r="BF3286" s="2" t="s">
        <v>107</v>
      </c>
      <c r="BG3286" s="2"/>
      <c r="BH3286" s="2"/>
      <c r="BI3286" s="2"/>
      <c r="BJ3286" s="2">
        <v>242</v>
      </c>
      <c r="BK3286" s="2" t="s">
        <v>107</v>
      </c>
      <c r="BL3286" s="2"/>
      <c r="BM3286" s="2">
        <v>242</v>
      </c>
      <c r="BN3286" s="2" t="s">
        <v>107</v>
      </c>
      <c r="BO3286" s="2"/>
      <c r="BP3286" s="2">
        <v>242</v>
      </c>
      <c r="BQ3286" s="2" t="s">
        <v>107</v>
      </c>
      <c r="BR3286" s="2"/>
      <c r="BS3286" s="3">
        <v>40400</v>
      </c>
      <c r="BT3286" s="4">
        <v>0.73401620370370368</v>
      </c>
    </row>
    <row r="3287" spans="1:72" x14ac:dyDescent="0.25">
      <c r="A3287" s="2">
        <v>4852</v>
      </c>
      <c r="B3287" s="2">
        <v>2010</v>
      </c>
      <c r="C3287" s="2" t="s">
        <v>819</v>
      </c>
      <c r="D3287" s="2" t="s">
        <v>73</v>
      </c>
      <c r="E3287" s="2"/>
      <c r="F3287" s="2">
        <v>310</v>
      </c>
      <c r="G3287" s="2" t="s">
        <v>3186</v>
      </c>
      <c r="H3287" s="2">
        <v>2</v>
      </c>
      <c r="I3287" s="2" t="s">
        <v>267</v>
      </c>
      <c r="J3287" s="2">
        <v>371</v>
      </c>
      <c r="K3287" s="2" t="s">
        <v>1138</v>
      </c>
      <c r="L3287" s="2" t="s">
        <v>1139</v>
      </c>
      <c r="M3287" s="3">
        <v>40400</v>
      </c>
      <c r="N3287" s="2" t="s">
        <v>3280</v>
      </c>
      <c r="O3287" s="2"/>
      <c r="P3287" s="2"/>
      <c r="Q3287" s="2" t="str">
        <f>"0103/2010"</f>
        <v>0103/2010</v>
      </c>
      <c r="R3287" s="2" t="s">
        <v>2003</v>
      </c>
      <c r="S3287" s="2"/>
      <c r="T3287" s="2">
        <v>1</v>
      </c>
      <c r="U3287" s="2" t="s">
        <v>79</v>
      </c>
      <c r="V3287" s="2">
        <v>1</v>
      </c>
      <c r="W3287" s="2" t="s">
        <v>80</v>
      </c>
      <c r="X3287" s="2">
        <v>1</v>
      </c>
      <c r="Y3287" s="2" t="s">
        <v>81</v>
      </c>
      <c r="Z3287" s="2">
        <v>1</v>
      </c>
      <c r="AA3287" s="2" t="s">
        <v>82</v>
      </c>
      <c r="AB3287" s="2">
        <v>9</v>
      </c>
      <c r="AC3287" s="2" t="s">
        <v>124</v>
      </c>
      <c r="AD3287" s="3">
        <v>40400</v>
      </c>
      <c r="AE3287" s="4">
        <v>0.63541666666666663</v>
      </c>
      <c r="AF3287" s="2"/>
      <c r="AG3287" s="2"/>
      <c r="AH3287" s="2">
        <v>5</v>
      </c>
      <c r="AI3287" s="2" t="s">
        <v>274</v>
      </c>
      <c r="AJ3287" s="2">
        <v>38</v>
      </c>
      <c r="AK3287" s="2" t="s">
        <v>1120</v>
      </c>
      <c r="AL3287" s="2">
        <v>25</v>
      </c>
      <c r="AM3287" s="2" t="s">
        <v>3073</v>
      </c>
      <c r="AN3287" s="2" t="s">
        <v>7617</v>
      </c>
      <c r="AO3287" s="2" t="s">
        <v>230</v>
      </c>
      <c r="AP3287" s="2">
        <v>11</v>
      </c>
      <c r="AQ3287" s="2" t="s">
        <v>82</v>
      </c>
      <c r="AR3287" s="2"/>
      <c r="AS3287" s="2"/>
      <c r="AT3287" s="2" t="s">
        <v>10616</v>
      </c>
      <c r="AU3287" s="2"/>
      <c r="AV3287" s="2"/>
      <c r="AW3287" s="2"/>
      <c r="AX3287" s="2"/>
      <c r="AY3287" s="2">
        <v>41</v>
      </c>
      <c r="AZ3287" s="2" t="s">
        <v>82</v>
      </c>
      <c r="BA3287" s="2">
        <v>41</v>
      </c>
      <c r="BB3287" s="2" t="s">
        <v>82</v>
      </c>
      <c r="BC3287" s="2">
        <v>41</v>
      </c>
      <c r="BD3287" s="2" t="s">
        <v>82</v>
      </c>
      <c r="BE3287" s="2">
        <v>47</v>
      </c>
      <c r="BF3287" s="2" t="s">
        <v>167</v>
      </c>
      <c r="BG3287" s="2">
        <v>2725</v>
      </c>
      <c r="BH3287" s="4">
        <v>0.47222222222222227</v>
      </c>
      <c r="BI3287" s="4">
        <v>0.5</v>
      </c>
      <c r="BJ3287" s="2">
        <v>13</v>
      </c>
      <c r="BK3287" s="2" t="s">
        <v>91</v>
      </c>
      <c r="BL3287" s="2" t="s">
        <v>1697</v>
      </c>
      <c r="BM3287" s="2">
        <v>241</v>
      </c>
      <c r="BN3287" s="2" t="s">
        <v>82</v>
      </c>
      <c r="BO3287" s="2"/>
      <c r="BP3287" s="2">
        <v>13</v>
      </c>
      <c r="BQ3287" s="2" t="s">
        <v>91</v>
      </c>
      <c r="BR3287" s="2" t="s">
        <v>5461</v>
      </c>
      <c r="BS3287" s="3">
        <v>40400</v>
      </c>
      <c r="BT3287" s="4">
        <v>0.75523148148148145</v>
      </c>
    </row>
    <row r="3288" spans="1:72" x14ac:dyDescent="0.25">
      <c r="A3288" s="2">
        <v>4853</v>
      </c>
      <c r="B3288" s="2">
        <v>2010</v>
      </c>
      <c r="C3288" s="2" t="s">
        <v>2219</v>
      </c>
      <c r="D3288" s="2" t="s">
        <v>73</v>
      </c>
      <c r="E3288" s="2"/>
      <c r="F3288" s="2">
        <v>389</v>
      </c>
      <c r="G3288" s="2" t="s">
        <v>1819</v>
      </c>
      <c r="H3288" s="2">
        <v>3</v>
      </c>
      <c r="I3288" s="2" t="s">
        <v>315</v>
      </c>
      <c r="J3288" s="2">
        <v>399</v>
      </c>
      <c r="K3288" s="2" t="s">
        <v>1820</v>
      </c>
      <c r="L3288" s="2" t="s">
        <v>1821</v>
      </c>
      <c r="M3288" s="3">
        <v>40400</v>
      </c>
      <c r="N3288" s="2" t="s">
        <v>4976</v>
      </c>
      <c r="O3288" s="2"/>
      <c r="P3288" s="2"/>
      <c r="Q3288" s="2" t="str">
        <f>"408-E/10"</f>
        <v>408-E/10</v>
      </c>
      <c r="R3288" s="2" t="s">
        <v>10617</v>
      </c>
      <c r="S3288" s="2"/>
      <c r="T3288" s="2">
        <v>1</v>
      </c>
      <c r="U3288" s="2" t="s">
        <v>79</v>
      </c>
      <c r="V3288" s="2">
        <v>1</v>
      </c>
      <c r="W3288" s="2" t="s">
        <v>80</v>
      </c>
      <c r="X3288" s="2">
        <v>1</v>
      </c>
      <c r="Y3288" s="2" t="s">
        <v>81</v>
      </c>
      <c r="Z3288" s="2">
        <v>1</v>
      </c>
      <c r="AA3288" s="2" t="s">
        <v>82</v>
      </c>
      <c r="AB3288" s="2">
        <v>9</v>
      </c>
      <c r="AC3288" s="2" t="s">
        <v>124</v>
      </c>
      <c r="AD3288" s="3">
        <v>40400</v>
      </c>
      <c r="AE3288" s="4">
        <v>0.4861111111111111</v>
      </c>
      <c r="AF3288" s="2"/>
      <c r="AG3288" s="2"/>
      <c r="AH3288" s="2">
        <v>2</v>
      </c>
      <c r="AI3288" s="2" t="s">
        <v>84</v>
      </c>
      <c r="AJ3288" s="2">
        <v>9</v>
      </c>
      <c r="AK3288" s="2" t="s">
        <v>103</v>
      </c>
      <c r="AL3288" s="2">
        <v>29</v>
      </c>
      <c r="AM3288" s="2" t="s">
        <v>5416</v>
      </c>
      <c r="AN3288" s="2" t="s">
        <v>10618</v>
      </c>
      <c r="AO3288" s="2" t="s">
        <v>1346</v>
      </c>
      <c r="AP3288" s="2">
        <v>11</v>
      </c>
      <c r="AQ3288" s="2" t="s">
        <v>82</v>
      </c>
      <c r="AR3288" s="2"/>
      <c r="AS3288" s="2"/>
      <c r="AT3288" s="2" t="s">
        <v>10619</v>
      </c>
      <c r="AU3288" s="2"/>
      <c r="AV3288" s="2">
        <v>1</v>
      </c>
      <c r="AW3288" s="2"/>
      <c r="AX3288" s="2"/>
      <c r="AY3288" s="2">
        <v>41</v>
      </c>
      <c r="AZ3288" s="2" t="s">
        <v>82</v>
      </c>
      <c r="BA3288" s="2">
        <v>41</v>
      </c>
      <c r="BB3288" s="2" t="s">
        <v>82</v>
      </c>
      <c r="BC3288" s="2">
        <v>41</v>
      </c>
      <c r="BD3288" s="2" t="s">
        <v>82</v>
      </c>
      <c r="BE3288" s="2">
        <v>41</v>
      </c>
      <c r="BF3288" s="2" t="s">
        <v>82</v>
      </c>
      <c r="BG3288" s="2"/>
      <c r="BH3288" s="2"/>
      <c r="BI3288" s="2"/>
      <c r="BJ3288" s="2">
        <v>241</v>
      </c>
      <c r="BK3288" s="2" t="s">
        <v>82</v>
      </c>
      <c r="BL3288" s="2"/>
      <c r="BM3288" s="2">
        <v>241</v>
      </c>
      <c r="BN3288" s="2" t="s">
        <v>82</v>
      </c>
      <c r="BO3288" s="2"/>
      <c r="BP3288" s="2">
        <v>241</v>
      </c>
      <c r="BQ3288" s="2" t="s">
        <v>82</v>
      </c>
      <c r="BR3288" s="2"/>
      <c r="BS3288" s="3">
        <v>40400</v>
      </c>
      <c r="BT3288" s="4">
        <v>0.76181712962962955</v>
      </c>
    </row>
    <row r="3289" spans="1:72" x14ac:dyDescent="0.25">
      <c r="A3289" s="2">
        <v>4854</v>
      </c>
      <c r="B3289" s="2">
        <v>2010</v>
      </c>
      <c r="C3289" s="2" t="s">
        <v>171</v>
      </c>
      <c r="D3289" s="2" t="s">
        <v>73</v>
      </c>
      <c r="E3289" s="2"/>
      <c r="F3289" s="2">
        <v>106</v>
      </c>
      <c r="G3289" s="2" t="s">
        <v>7444</v>
      </c>
      <c r="H3289" s="2">
        <v>99</v>
      </c>
      <c r="I3289" s="2" t="s">
        <v>6285</v>
      </c>
      <c r="J3289" s="2">
        <v>637</v>
      </c>
      <c r="K3289" s="2" t="s">
        <v>10620</v>
      </c>
      <c r="L3289" s="2" t="s">
        <v>10621</v>
      </c>
      <c r="M3289" s="3">
        <v>40400</v>
      </c>
      <c r="N3289" s="2" t="s">
        <v>10622</v>
      </c>
      <c r="O3289" s="2" t="s">
        <v>82</v>
      </c>
      <c r="P3289" s="2" t="s">
        <v>82</v>
      </c>
      <c r="Q3289" s="2" t="str">
        <f>"003/2010"</f>
        <v>003/2010</v>
      </c>
      <c r="R3289" s="2" t="s">
        <v>82</v>
      </c>
      <c r="S3289" s="2" t="s">
        <v>10623</v>
      </c>
      <c r="T3289" s="2">
        <v>1</v>
      </c>
      <c r="U3289" s="2" t="s">
        <v>79</v>
      </c>
      <c r="V3289" s="2">
        <v>1</v>
      </c>
      <c r="W3289" s="2" t="s">
        <v>80</v>
      </c>
      <c r="X3289" s="2">
        <v>1</v>
      </c>
      <c r="Y3289" s="2" t="s">
        <v>81</v>
      </c>
      <c r="Z3289" s="2">
        <v>1</v>
      </c>
      <c r="AA3289" s="2" t="s">
        <v>82</v>
      </c>
      <c r="AB3289" s="2">
        <v>1</v>
      </c>
      <c r="AC3289" s="2" t="s">
        <v>178</v>
      </c>
      <c r="AD3289" s="3">
        <v>40400</v>
      </c>
      <c r="AE3289" s="4">
        <v>0.5805555555555556</v>
      </c>
      <c r="AF3289" s="2"/>
      <c r="AG3289" s="2"/>
      <c r="AH3289" s="2">
        <v>6</v>
      </c>
      <c r="AI3289" s="2" t="s">
        <v>197</v>
      </c>
      <c r="AJ3289" s="2">
        <v>56</v>
      </c>
      <c r="AK3289" s="2" t="s">
        <v>7719</v>
      </c>
      <c r="AL3289" s="2">
        <v>12</v>
      </c>
      <c r="AM3289" s="2" t="s">
        <v>86</v>
      </c>
      <c r="AN3289" s="2" t="s">
        <v>10624</v>
      </c>
      <c r="AO3289" s="2"/>
      <c r="AP3289" s="2">
        <v>11</v>
      </c>
      <c r="AQ3289" s="2" t="s">
        <v>82</v>
      </c>
      <c r="AR3289" s="2" t="s">
        <v>82</v>
      </c>
      <c r="AS3289" s="2" t="s">
        <v>82</v>
      </c>
      <c r="AT3289" s="2" t="s">
        <v>10625</v>
      </c>
      <c r="AU3289" s="2"/>
      <c r="AV3289" s="2"/>
      <c r="AW3289" s="2"/>
      <c r="AX3289" s="2"/>
      <c r="AY3289" s="2">
        <v>41</v>
      </c>
      <c r="AZ3289" s="2" t="s">
        <v>82</v>
      </c>
      <c r="BA3289" s="2">
        <v>41</v>
      </c>
      <c r="BB3289" s="2" t="s">
        <v>82</v>
      </c>
      <c r="BC3289" s="2">
        <v>41</v>
      </c>
      <c r="BD3289" s="2" t="s">
        <v>82</v>
      </c>
      <c r="BE3289" s="2">
        <v>41</v>
      </c>
      <c r="BF3289" s="2" t="s">
        <v>82</v>
      </c>
      <c r="BG3289" s="2"/>
      <c r="BH3289" s="2"/>
      <c r="BI3289" s="2"/>
      <c r="BJ3289" s="2">
        <v>241</v>
      </c>
      <c r="BK3289" s="2" t="s">
        <v>82</v>
      </c>
      <c r="BL3289" s="2"/>
      <c r="BM3289" s="2">
        <v>241</v>
      </c>
      <c r="BN3289" s="2" t="s">
        <v>82</v>
      </c>
      <c r="BO3289" s="2"/>
      <c r="BP3289" s="2">
        <v>241</v>
      </c>
      <c r="BQ3289" s="2" t="s">
        <v>82</v>
      </c>
      <c r="BR3289" s="2"/>
      <c r="BS3289" s="3">
        <v>40400</v>
      </c>
      <c r="BT3289" s="4">
        <v>0.82162037037037028</v>
      </c>
    </row>
    <row r="3290" spans="1:72" x14ac:dyDescent="0.25">
      <c r="A3290" s="2">
        <v>4855</v>
      </c>
      <c r="B3290" s="2">
        <v>2010</v>
      </c>
      <c r="C3290" s="2" t="s">
        <v>93</v>
      </c>
      <c r="D3290" s="2" t="s">
        <v>73</v>
      </c>
      <c r="E3290" s="2"/>
      <c r="F3290" s="2">
        <v>117</v>
      </c>
      <c r="G3290" s="2" t="s">
        <v>3284</v>
      </c>
      <c r="H3290" s="2">
        <v>108</v>
      </c>
      <c r="I3290" s="2" t="s">
        <v>1096</v>
      </c>
      <c r="J3290" s="2">
        <v>134</v>
      </c>
      <c r="K3290" s="2" t="s">
        <v>3285</v>
      </c>
      <c r="L3290" s="2" t="s">
        <v>3286</v>
      </c>
      <c r="M3290" s="3">
        <v>40400</v>
      </c>
      <c r="N3290" s="2" t="s">
        <v>10626</v>
      </c>
      <c r="O3290" s="2" t="s">
        <v>10627</v>
      </c>
      <c r="P3290" s="2" t="s">
        <v>107</v>
      </c>
      <c r="Q3290" s="2" t="str">
        <f>"AP Nº 0033/2010"</f>
        <v>AP Nº 0033/2010</v>
      </c>
      <c r="R3290" s="2" t="s">
        <v>10628</v>
      </c>
      <c r="S3290" s="2"/>
      <c r="T3290" s="2">
        <v>1</v>
      </c>
      <c r="U3290" s="2" t="s">
        <v>79</v>
      </c>
      <c r="V3290" s="2">
        <v>1</v>
      </c>
      <c r="W3290" s="2" t="s">
        <v>80</v>
      </c>
      <c r="X3290" s="2">
        <v>1</v>
      </c>
      <c r="Y3290" s="2" t="s">
        <v>81</v>
      </c>
      <c r="Z3290" s="2">
        <v>1</v>
      </c>
      <c r="AA3290" s="2" t="s">
        <v>82</v>
      </c>
      <c r="AB3290" s="2">
        <v>2</v>
      </c>
      <c r="AC3290" s="2" t="s">
        <v>102</v>
      </c>
      <c r="AD3290" s="3">
        <v>40400</v>
      </c>
      <c r="AE3290" s="4">
        <v>0.79513888888888884</v>
      </c>
      <c r="AF3290" s="2"/>
      <c r="AG3290" s="2"/>
      <c r="AH3290" s="2">
        <v>6</v>
      </c>
      <c r="AI3290" s="2" t="s">
        <v>197</v>
      </c>
      <c r="AJ3290" s="2">
        <v>61</v>
      </c>
      <c r="AK3290" s="2" t="s">
        <v>686</v>
      </c>
      <c r="AL3290" s="2">
        <v>11</v>
      </c>
      <c r="AM3290" s="2" t="s">
        <v>137</v>
      </c>
      <c r="AN3290" s="2" t="s">
        <v>82</v>
      </c>
      <c r="AO3290" s="2" t="s">
        <v>10629</v>
      </c>
      <c r="AP3290" s="2">
        <v>11</v>
      </c>
      <c r="AQ3290" s="2" t="s">
        <v>82</v>
      </c>
      <c r="AR3290" s="2" t="s">
        <v>82</v>
      </c>
      <c r="AS3290" s="2" t="s">
        <v>82</v>
      </c>
      <c r="AT3290" s="2" t="s">
        <v>10630</v>
      </c>
      <c r="AU3290" s="2"/>
      <c r="AV3290" s="2"/>
      <c r="AW3290" s="2"/>
      <c r="AX3290" s="2"/>
      <c r="AY3290" s="2">
        <v>41</v>
      </c>
      <c r="AZ3290" s="2" t="s">
        <v>82</v>
      </c>
      <c r="BA3290" s="2">
        <v>41</v>
      </c>
      <c r="BB3290" s="2" t="s">
        <v>82</v>
      </c>
      <c r="BC3290" s="2">
        <v>41</v>
      </c>
      <c r="BD3290" s="2" t="s">
        <v>82</v>
      </c>
      <c r="BE3290" s="2">
        <v>47</v>
      </c>
      <c r="BF3290" s="2" t="s">
        <v>167</v>
      </c>
      <c r="BG3290" s="2" t="s">
        <v>2951</v>
      </c>
      <c r="BH3290" s="2"/>
      <c r="BI3290" s="4">
        <v>0.81597222222222221</v>
      </c>
      <c r="BJ3290" s="2">
        <v>13</v>
      </c>
      <c r="BK3290" s="2" t="s">
        <v>91</v>
      </c>
      <c r="BL3290" s="2" t="s">
        <v>690</v>
      </c>
      <c r="BM3290" s="2">
        <v>241</v>
      </c>
      <c r="BN3290" s="2" t="s">
        <v>82</v>
      </c>
      <c r="BO3290" s="2" t="s">
        <v>82</v>
      </c>
      <c r="BP3290" s="2">
        <v>13</v>
      </c>
      <c r="BQ3290" s="2" t="s">
        <v>91</v>
      </c>
      <c r="BR3290" s="2" t="s">
        <v>185</v>
      </c>
      <c r="BS3290" s="3">
        <v>40400</v>
      </c>
      <c r="BT3290" s="4">
        <v>0.87739583333333337</v>
      </c>
    </row>
    <row r="3291" spans="1:72" x14ac:dyDescent="0.25">
      <c r="A3291" s="2">
        <v>4856</v>
      </c>
      <c r="B3291" s="2">
        <v>2010</v>
      </c>
      <c r="C3291" s="2" t="s">
        <v>549</v>
      </c>
      <c r="D3291" s="2" t="s">
        <v>73</v>
      </c>
      <c r="E3291" s="2"/>
      <c r="F3291" s="2">
        <v>524</v>
      </c>
      <c r="G3291" s="2" t="s">
        <v>3382</v>
      </c>
      <c r="H3291" s="2">
        <v>6</v>
      </c>
      <c r="I3291" s="2" t="s">
        <v>1088</v>
      </c>
      <c r="J3291" s="2">
        <v>112</v>
      </c>
      <c r="K3291" s="2" t="s">
        <v>5414</v>
      </c>
      <c r="L3291" s="2" t="s">
        <v>2427</v>
      </c>
      <c r="M3291" s="3">
        <v>40400</v>
      </c>
      <c r="N3291" s="2" t="s">
        <v>10631</v>
      </c>
      <c r="O3291" s="2" t="s">
        <v>107</v>
      </c>
      <c r="P3291" s="2"/>
      <c r="Q3291" s="2" t="str">
        <f>"0009/2010"</f>
        <v>0009/2010</v>
      </c>
      <c r="R3291" s="2" t="s">
        <v>10632</v>
      </c>
      <c r="S3291" s="2" t="s">
        <v>10632</v>
      </c>
      <c r="T3291" s="2">
        <v>1</v>
      </c>
      <c r="U3291" s="2" t="s">
        <v>79</v>
      </c>
      <c r="V3291" s="2">
        <v>1</v>
      </c>
      <c r="W3291" s="2" t="s">
        <v>80</v>
      </c>
      <c r="X3291" s="2">
        <v>12</v>
      </c>
      <c r="Y3291" s="2" t="s">
        <v>148</v>
      </c>
      <c r="Z3291" s="2">
        <v>1</v>
      </c>
      <c r="AA3291" s="2" t="s">
        <v>82</v>
      </c>
      <c r="AB3291" s="2">
        <v>9</v>
      </c>
      <c r="AC3291" s="2" t="s">
        <v>124</v>
      </c>
      <c r="AD3291" s="3">
        <v>40400</v>
      </c>
      <c r="AE3291" s="2"/>
      <c r="AF3291" s="3">
        <v>40400</v>
      </c>
      <c r="AG3291" s="4">
        <v>0.80555555555555547</v>
      </c>
      <c r="AH3291" s="2">
        <v>6</v>
      </c>
      <c r="AI3291" s="2" t="s">
        <v>197</v>
      </c>
      <c r="AJ3291" s="2">
        <v>51</v>
      </c>
      <c r="AK3291" s="2" t="s">
        <v>238</v>
      </c>
      <c r="AL3291" s="2">
        <v>12</v>
      </c>
      <c r="AM3291" s="2" t="s">
        <v>86</v>
      </c>
      <c r="AN3291" s="2"/>
      <c r="AO3291" s="2" t="s">
        <v>10633</v>
      </c>
      <c r="AP3291" s="2">
        <v>11</v>
      </c>
      <c r="AQ3291" s="2" t="s">
        <v>82</v>
      </c>
      <c r="AR3291" s="2"/>
      <c r="AS3291" s="2"/>
      <c r="AT3291" s="2" t="s">
        <v>10634</v>
      </c>
      <c r="AU3291" s="2"/>
      <c r="AV3291" s="2"/>
      <c r="AW3291" s="2"/>
      <c r="AX3291" s="2"/>
      <c r="AY3291" s="2">
        <v>41</v>
      </c>
      <c r="AZ3291" s="2" t="s">
        <v>82</v>
      </c>
      <c r="BA3291" s="2">
        <v>41</v>
      </c>
      <c r="BB3291" s="2" t="s">
        <v>82</v>
      </c>
      <c r="BC3291" s="2">
        <v>41</v>
      </c>
      <c r="BD3291" s="2" t="s">
        <v>82</v>
      </c>
      <c r="BE3291" s="2">
        <v>41</v>
      </c>
      <c r="BF3291" s="2" t="s">
        <v>82</v>
      </c>
      <c r="BG3291" s="2" t="s">
        <v>82</v>
      </c>
      <c r="BH3291" s="2"/>
      <c r="BI3291" s="2"/>
      <c r="BJ3291" s="2">
        <v>241</v>
      </c>
      <c r="BK3291" s="2" t="s">
        <v>82</v>
      </c>
      <c r="BL3291" s="2"/>
      <c r="BM3291" s="2">
        <v>241</v>
      </c>
      <c r="BN3291" s="2" t="s">
        <v>82</v>
      </c>
      <c r="BO3291" s="2"/>
      <c r="BP3291" s="2">
        <v>241</v>
      </c>
      <c r="BQ3291" s="2" t="s">
        <v>82</v>
      </c>
      <c r="BR3291" s="2"/>
      <c r="BS3291" s="3">
        <v>40400</v>
      </c>
      <c r="BT3291" s="4">
        <v>0.87780092592592596</v>
      </c>
    </row>
    <row r="3292" spans="1:72" x14ac:dyDescent="0.25">
      <c r="A3292" s="2">
        <v>4859</v>
      </c>
      <c r="B3292" s="2">
        <v>2010</v>
      </c>
      <c r="C3292" s="2" t="s">
        <v>72</v>
      </c>
      <c r="D3292" s="2" t="s">
        <v>73</v>
      </c>
      <c r="E3292" s="2"/>
      <c r="F3292" s="2">
        <v>52</v>
      </c>
      <c r="G3292" s="2" t="s">
        <v>2963</v>
      </c>
      <c r="H3292" s="2">
        <v>38</v>
      </c>
      <c r="I3292" s="2" t="s">
        <v>1272</v>
      </c>
      <c r="J3292" s="2">
        <v>87</v>
      </c>
      <c r="K3292" s="2" t="s">
        <v>2964</v>
      </c>
      <c r="L3292" s="2" t="s">
        <v>2534</v>
      </c>
      <c r="M3292" s="3">
        <v>40400</v>
      </c>
      <c r="N3292" s="2" t="s">
        <v>10635</v>
      </c>
      <c r="O3292" s="2"/>
      <c r="P3292" s="2"/>
      <c r="Q3292" s="2" t="str">
        <f>"026/10"</f>
        <v>026/10</v>
      </c>
      <c r="R3292" s="2"/>
      <c r="S3292" s="2" t="s">
        <v>116</v>
      </c>
      <c r="T3292" s="2">
        <v>1</v>
      </c>
      <c r="U3292" s="2" t="s">
        <v>79</v>
      </c>
      <c r="V3292" s="2">
        <v>1</v>
      </c>
      <c r="W3292" s="2" t="s">
        <v>80</v>
      </c>
      <c r="X3292" s="2">
        <v>12</v>
      </c>
      <c r="Y3292" s="2" t="s">
        <v>148</v>
      </c>
      <c r="Z3292" s="2">
        <v>1</v>
      </c>
      <c r="AA3292" s="2" t="s">
        <v>82</v>
      </c>
      <c r="AB3292" s="2">
        <v>6</v>
      </c>
      <c r="AC3292" s="2" t="s">
        <v>83</v>
      </c>
      <c r="AD3292" s="3">
        <v>40387</v>
      </c>
      <c r="AE3292" s="2"/>
      <c r="AF3292" s="3">
        <v>40400</v>
      </c>
      <c r="AG3292" s="4">
        <v>0.83333333333333337</v>
      </c>
      <c r="AH3292" s="2">
        <v>4</v>
      </c>
      <c r="AI3292" s="2" t="s">
        <v>125</v>
      </c>
      <c r="AJ3292" s="2">
        <v>28</v>
      </c>
      <c r="AK3292" s="2" t="s">
        <v>741</v>
      </c>
      <c r="AL3292" s="2">
        <v>22</v>
      </c>
      <c r="AM3292" s="2" t="s">
        <v>1853</v>
      </c>
      <c r="AN3292" s="2"/>
      <c r="AO3292" s="2"/>
      <c r="AP3292" s="2">
        <v>14</v>
      </c>
      <c r="AQ3292" s="2" t="s">
        <v>3301</v>
      </c>
      <c r="AR3292" s="2"/>
      <c r="AS3292" s="2"/>
      <c r="AT3292" s="2" t="s">
        <v>10636</v>
      </c>
      <c r="AU3292" s="2"/>
      <c r="AV3292" s="2"/>
      <c r="AW3292" s="2"/>
      <c r="AX3292" s="2"/>
      <c r="AY3292" s="2">
        <v>54</v>
      </c>
      <c r="AZ3292" s="2" t="s">
        <v>369</v>
      </c>
      <c r="BA3292" s="2">
        <v>41</v>
      </c>
      <c r="BB3292" s="2" t="s">
        <v>82</v>
      </c>
      <c r="BC3292" s="2">
        <v>41</v>
      </c>
      <c r="BD3292" s="2" t="s">
        <v>82</v>
      </c>
      <c r="BE3292" s="2">
        <v>4</v>
      </c>
      <c r="BF3292" s="2" t="s">
        <v>90</v>
      </c>
      <c r="BG3292" s="2">
        <v>4150</v>
      </c>
      <c r="BH3292" s="2"/>
      <c r="BI3292" s="2"/>
      <c r="BJ3292" s="2">
        <v>13</v>
      </c>
      <c r="BK3292" s="2" t="s">
        <v>91</v>
      </c>
      <c r="BL3292" s="2" t="s">
        <v>185</v>
      </c>
      <c r="BM3292" s="2">
        <v>241</v>
      </c>
      <c r="BN3292" s="2" t="s">
        <v>82</v>
      </c>
      <c r="BO3292" s="2"/>
      <c r="BP3292" s="2">
        <v>13</v>
      </c>
      <c r="BQ3292" s="2" t="s">
        <v>91</v>
      </c>
      <c r="BR3292" s="2" t="s">
        <v>744</v>
      </c>
      <c r="BS3292" s="3">
        <v>40400</v>
      </c>
      <c r="BT3292" s="4">
        <v>0.93541666666666667</v>
      </c>
    </row>
    <row r="3293" spans="1:72" x14ac:dyDescent="0.25">
      <c r="A3293" s="2">
        <v>4860</v>
      </c>
      <c r="B3293" s="2">
        <v>2010</v>
      </c>
      <c r="C3293" s="2" t="s">
        <v>72</v>
      </c>
      <c r="D3293" s="2" t="s">
        <v>73</v>
      </c>
      <c r="E3293" s="2"/>
      <c r="F3293" s="2">
        <v>24</v>
      </c>
      <c r="G3293" s="2" t="s">
        <v>532</v>
      </c>
      <c r="H3293" s="2">
        <v>42</v>
      </c>
      <c r="I3293" s="2" t="s">
        <v>1096</v>
      </c>
      <c r="J3293" s="2">
        <v>300</v>
      </c>
      <c r="K3293" s="2" t="s">
        <v>114</v>
      </c>
      <c r="L3293" s="2" t="s">
        <v>115</v>
      </c>
      <c r="M3293" s="3">
        <v>40400</v>
      </c>
      <c r="N3293" s="2"/>
      <c r="O3293" s="2"/>
      <c r="P3293" s="2"/>
      <c r="Q3293" s="2" t="str">
        <f>"409-E/10"</f>
        <v>409-E/10</v>
      </c>
      <c r="R3293" s="2" t="s">
        <v>601</v>
      </c>
      <c r="S3293" s="2" t="s">
        <v>601</v>
      </c>
      <c r="T3293" s="2">
        <v>1</v>
      </c>
      <c r="U3293" s="2" t="s">
        <v>79</v>
      </c>
      <c r="V3293" s="2">
        <v>1</v>
      </c>
      <c r="W3293" s="2" t="s">
        <v>80</v>
      </c>
      <c r="X3293" s="2">
        <v>12</v>
      </c>
      <c r="Y3293" s="2" t="s">
        <v>148</v>
      </c>
      <c r="Z3293" s="2">
        <v>1</v>
      </c>
      <c r="AA3293" s="2" t="s">
        <v>82</v>
      </c>
      <c r="AB3293" s="2">
        <v>6</v>
      </c>
      <c r="AC3293" s="2" t="s">
        <v>83</v>
      </c>
      <c r="AD3293" s="3">
        <v>40399</v>
      </c>
      <c r="AE3293" s="2"/>
      <c r="AF3293" s="3">
        <v>40400</v>
      </c>
      <c r="AG3293" s="4">
        <v>0.63888888888888895</v>
      </c>
      <c r="AH3293" s="2">
        <v>2</v>
      </c>
      <c r="AI3293" s="2" t="s">
        <v>84</v>
      </c>
      <c r="AJ3293" s="2">
        <v>9</v>
      </c>
      <c r="AK3293" s="2" t="s">
        <v>103</v>
      </c>
      <c r="AL3293" s="2">
        <v>25</v>
      </c>
      <c r="AM3293" s="2" t="s">
        <v>3073</v>
      </c>
      <c r="AN3293" s="2"/>
      <c r="AO3293" s="2" t="s">
        <v>10637</v>
      </c>
      <c r="AP3293" s="2">
        <v>11</v>
      </c>
      <c r="AQ3293" s="2" t="s">
        <v>82</v>
      </c>
      <c r="AR3293" s="2"/>
      <c r="AS3293" s="2"/>
      <c r="AT3293" s="2" t="s">
        <v>10638</v>
      </c>
      <c r="AU3293" s="2"/>
      <c r="AV3293" s="2"/>
      <c r="AW3293" s="2"/>
      <c r="AX3293" s="2"/>
      <c r="AY3293" s="2">
        <v>17</v>
      </c>
      <c r="AZ3293" s="2" t="s">
        <v>508</v>
      </c>
      <c r="BA3293" s="2">
        <v>118</v>
      </c>
      <c r="BB3293" s="2" t="s">
        <v>10639</v>
      </c>
      <c r="BC3293" s="2">
        <v>41</v>
      </c>
      <c r="BD3293" s="2" t="s">
        <v>82</v>
      </c>
      <c r="BE3293" s="2">
        <v>41</v>
      </c>
      <c r="BF3293" s="2" t="s">
        <v>82</v>
      </c>
      <c r="BG3293" s="2"/>
      <c r="BH3293" s="2"/>
      <c r="BI3293" s="2"/>
      <c r="BJ3293" s="2">
        <v>241</v>
      </c>
      <c r="BK3293" s="2" t="s">
        <v>82</v>
      </c>
      <c r="BL3293" s="2"/>
      <c r="BM3293" s="2">
        <v>241</v>
      </c>
      <c r="BN3293" s="2" t="s">
        <v>82</v>
      </c>
      <c r="BO3293" s="2"/>
      <c r="BP3293" s="2">
        <v>241</v>
      </c>
      <c r="BQ3293" s="2" t="s">
        <v>82</v>
      </c>
      <c r="BR3293" s="2"/>
      <c r="BS3293" s="3">
        <v>40400</v>
      </c>
      <c r="BT3293" s="4">
        <v>0.93899305555555557</v>
      </c>
    </row>
    <row r="3294" spans="1:72" x14ac:dyDescent="0.25">
      <c r="A3294" s="2">
        <v>4861</v>
      </c>
      <c r="B3294" s="2">
        <v>2010</v>
      </c>
      <c r="C3294" s="2" t="s">
        <v>4543</v>
      </c>
      <c r="D3294" s="2" t="s">
        <v>122</v>
      </c>
      <c r="E3294" s="2"/>
      <c r="F3294" s="2">
        <v>1</v>
      </c>
      <c r="G3294" s="2" t="s">
        <v>82</v>
      </c>
      <c r="H3294" s="2">
        <v>1</v>
      </c>
      <c r="I3294" s="2" t="s">
        <v>82</v>
      </c>
      <c r="J3294" s="2">
        <v>1</v>
      </c>
      <c r="K3294" s="2" t="s">
        <v>107</v>
      </c>
      <c r="L3294" s="2" t="s">
        <v>107</v>
      </c>
      <c r="M3294" s="3">
        <v>40401</v>
      </c>
      <c r="N3294" s="2"/>
      <c r="O3294" s="2"/>
      <c r="P3294" s="2"/>
      <c r="Q3294" s="2" t="str">
        <f>""</f>
        <v/>
      </c>
      <c r="R3294" s="2"/>
      <c r="S3294" s="2"/>
      <c r="T3294" s="2">
        <v>2</v>
      </c>
      <c r="U3294" s="2" t="s">
        <v>123</v>
      </c>
      <c r="V3294" s="2">
        <v>1</v>
      </c>
      <c r="W3294" s="2" t="s">
        <v>80</v>
      </c>
      <c r="X3294" s="2">
        <v>11</v>
      </c>
      <c r="Y3294" s="2" t="s">
        <v>1920</v>
      </c>
      <c r="Z3294" s="2">
        <v>1</v>
      </c>
      <c r="AA3294" s="2" t="s">
        <v>82</v>
      </c>
      <c r="AB3294" s="2">
        <v>9</v>
      </c>
      <c r="AC3294" s="2" t="s">
        <v>124</v>
      </c>
      <c r="AD3294" s="3">
        <v>40401</v>
      </c>
      <c r="AE3294" s="4">
        <v>0.2638888888888889</v>
      </c>
      <c r="AF3294" s="2"/>
      <c r="AG3294" s="2"/>
      <c r="AH3294" s="2">
        <v>6</v>
      </c>
      <c r="AI3294" s="2" t="s">
        <v>197</v>
      </c>
      <c r="AJ3294" s="2">
        <v>54</v>
      </c>
      <c r="AK3294" s="2" t="s">
        <v>348</v>
      </c>
      <c r="AL3294" s="2">
        <v>18</v>
      </c>
      <c r="AM3294" s="2" t="s">
        <v>82</v>
      </c>
      <c r="AN3294" s="2" t="s">
        <v>595</v>
      </c>
      <c r="AO3294" s="2" t="s">
        <v>200</v>
      </c>
      <c r="AP3294" s="2">
        <v>12</v>
      </c>
      <c r="AQ3294" s="2" t="s">
        <v>322</v>
      </c>
      <c r="AR3294" s="2" t="s">
        <v>596</v>
      </c>
      <c r="AS3294" s="2" t="s">
        <v>596</v>
      </c>
      <c r="AT3294" s="2" t="s">
        <v>10640</v>
      </c>
      <c r="AU3294" s="2"/>
      <c r="AV3294" s="2"/>
      <c r="AW3294" s="2"/>
      <c r="AX3294" s="2"/>
      <c r="AY3294" s="2">
        <v>1</v>
      </c>
      <c r="AZ3294" s="2" t="s">
        <v>107</v>
      </c>
      <c r="BA3294" s="2">
        <v>1</v>
      </c>
      <c r="BB3294" s="2" t="s">
        <v>107</v>
      </c>
      <c r="BC3294" s="2">
        <v>1</v>
      </c>
      <c r="BD3294" s="2" t="s">
        <v>107</v>
      </c>
      <c r="BE3294" s="2">
        <v>47</v>
      </c>
      <c r="BF3294" s="2" t="s">
        <v>167</v>
      </c>
      <c r="BG3294" s="2" t="s">
        <v>1165</v>
      </c>
      <c r="BH3294" s="4">
        <v>0.96875</v>
      </c>
      <c r="BI3294" s="4">
        <v>0.2638888888888889</v>
      </c>
      <c r="BJ3294" s="2">
        <v>13</v>
      </c>
      <c r="BK3294" s="2" t="s">
        <v>91</v>
      </c>
      <c r="BL3294" s="2" t="s">
        <v>7629</v>
      </c>
      <c r="BM3294" s="2">
        <v>242</v>
      </c>
      <c r="BN3294" s="2" t="s">
        <v>107</v>
      </c>
      <c r="BO3294" s="2" t="s">
        <v>107</v>
      </c>
      <c r="BP3294" s="2">
        <v>13</v>
      </c>
      <c r="BQ3294" s="2" t="s">
        <v>91</v>
      </c>
      <c r="BR3294" s="2" t="s">
        <v>905</v>
      </c>
      <c r="BS3294" s="3">
        <v>40401</v>
      </c>
      <c r="BT3294" s="4">
        <v>0.34126157407407409</v>
      </c>
    </row>
    <row r="3295" spans="1:72" x14ac:dyDescent="0.25">
      <c r="A3295" s="2">
        <v>4862</v>
      </c>
      <c r="B3295" s="2">
        <v>2010</v>
      </c>
      <c r="C3295" s="2" t="s">
        <v>4543</v>
      </c>
      <c r="D3295" s="2" t="s">
        <v>122</v>
      </c>
      <c r="E3295" s="2"/>
      <c r="F3295" s="2">
        <v>1</v>
      </c>
      <c r="G3295" s="2" t="s">
        <v>82</v>
      </c>
      <c r="H3295" s="2">
        <v>1</v>
      </c>
      <c r="I3295" s="2" t="s">
        <v>82</v>
      </c>
      <c r="J3295" s="2">
        <v>1</v>
      </c>
      <c r="K3295" s="2" t="s">
        <v>107</v>
      </c>
      <c r="L3295" s="2" t="s">
        <v>107</v>
      </c>
      <c r="M3295" s="3">
        <v>40401</v>
      </c>
      <c r="N3295" s="2"/>
      <c r="O3295" s="2"/>
      <c r="P3295" s="2"/>
      <c r="Q3295" s="2" t="str">
        <f>""</f>
        <v/>
      </c>
      <c r="R3295" s="2"/>
      <c r="S3295" s="2"/>
      <c r="T3295" s="2">
        <v>2</v>
      </c>
      <c r="U3295" s="2" t="s">
        <v>123</v>
      </c>
      <c r="V3295" s="2">
        <v>1</v>
      </c>
      <c r="W3295" s="2" t="s">
        <v>80</v>
      </c>
      <c r="X3295" s="2">
        <v>11</v>
      </c>
      <c r="Y3295" s="2" t="s">
        <v>1920</v>
      </c>
      <c r="Z3295" s="2">
        <v>1</v>
      </c>
      <c r="AA3295" s="2" t="s">
        <v>82</v>
      </c>
      <c r="AB3295" s="2">
        <v>9</v>
      </c>
      <c r="AC3295" s="2" t="s">
        <v>124</v>
      </c>
      <c r="AD3295" s="3">
        <v>40401</v>
      </c>
      <c r="AE3295" s="4">
        <v>0.36249999999999999</v>
      </c>
      <c r="AF3295" s="2"/>
      <c r="AG3295" s="2"/>
      <c r="AH3295" s="2">
        <v>6</v>
      </c>
      <c r="AI3295" s="2" t="s">
        <v>197</v>
      </c>
      <c r="AJ3295" s="2">
        <v>54</v>
      </c>
      <c r="AK3295" s="2" t="s">
        <v>348</v>
      </c>
      <c r="AL3295" s="2">
        <v>18</v>
      </c>
      <c r="AM3295" s="2" t="s">
        <v>82</v>
      </c>
      <c r="AN3295" s="2" t="s">
        <v>595</v>
      </c>
      <c r="AO3295" s="2" t="s">
        <v>200</v>
      </c>
      <c r="AP3295" s="2">
        <v>14</v>
      </c>
      <c r="AQ3295" s="2" t="s">
        <v>3301</v>
      </c>
      <c r="AR3295" s="2" t="s">
        <v>596</v>
      </c>
      <c r="AS3295" s="2" t="s">
        <v>596</v>
      </c>
      <c r="AT3295" s="2" t="s">
        <v>10641</v>
      </c>
      <c r="AU3295" s="2"/>
      <c r="AV3295" s="2"/>
      <c r="AW3295" s="2"/>
      <c r="AX3295" s="2"/>
      <c r="AY3295" s="2">
        <v>1</v>
      </c>
      <c r="AZ3295" s="2" t="s">
        <v>107</v>
      </c>
      <c r="BA3295" s="2">
        <v>1</v>
      </c>
      <c r="BB3295" s="2" t="s">
        <v>107</v>
      </c>
      <c r="BC3295" s="2">
        <v>1</v>
      </c>
      <c r="BD3295" s="2" t="s">
        <v>107</v>
      </c>
      <c r="BE3295" s="2">
        <v>4</v>
      </c>
      <c r="BF3295" s="2" t="s">
        <v>90</v>
      </c>
      <c r="BG3295" s="2" t="s">
        <v>5619</v>
      </c>
      <c r="BH3295" s="4">
        <v>0.3263888888888889</v>
      </c>
      <c r="BI3295" s="4">
        <v>0.36249999999999999</v>
      </c>
      <c r="BJ3295" s="2">
        <v>13</v>
      </c>
      <c r="BK3295" s="2" t="s">
        <v>91</v>
      </c>
      <c r="BL3295" s="2" t="s">
        <v>7629</v>
      </c>
      <c r="BM3295" s="2">
        <v>242</v>
      </c>
      <c r="BN3295" s="2" t="s">
        <v>107</v>
      </c>
      <c r="BO3295" s="2" t="s">
        <v>107</v>
      </c>
      <c r="BP3295" s="2">
        <v>13</v>
      </c>
      <c r="BQ3295" s="2" t="s">
        <v>91</v>
      </c>
      <c r="BR3295" s="2" t="s">
        <v>905</v>
      </c>
      <c r="BS3295" s="3">
        <v>40401</v>
      </c>
      <c r="BT3295" s="4">
        <v>0.36442129629629627</v>
      </c>
    </row>
    <row r="3296" spans="1:72" x14ac:dyDescent="0.25">
      <c r="A3296" s="2">
        <v>4863</v>
      </c>
      <c r="B3296" s="2">
        <v>2010</v>
      </c>
      <c r="C3296" s="2" t="s">
        <v>128</v>
      </c>
      <c r="D3296" s="2" t="s">
        <v>122</v>
      </c>
      <c r="E3296" s="2" t="s">
        <v>10642</v>
      </c>
      <c r="F3296" s="2">
        <v>389</v>
      </c>
      <c r="G3296" s="2" t="s">
        <v>1819</v>
      </c>
      <c r="H3296" s="2">
        <v>3</v>
      </c>
      <c r="I3296" s="2" t="s">
        <v>315</v>
      </c>
      <c r="J3296" s="2">
        <v>399</v>
      </c>
      <c r="K3296" s="2" t="s">
        <v>1820</v>
      </c>
      <c r="L3296" s="2" t="s">
        <v>1821</v>
      </c>
      <c r="M3296" s="3">
        <v>40401</v>
      </c>
      <c r="N3296" s="2" t="s">
        <v>4976</v>
      </c>
      <c r="O3296" s="2"/>
      <c r="P3296" s="2"/>
      <c r="Q3296" s="2" t="str">
        <f>"408-E/10"</f>
        <v>408-E/10</v>
      </c>
      <c r="R3296" s="2" t="s">
        <v>10617</v>
      </c>
      <c r="S3296" s="2"/>
      <c r="T3296" s="2">
        <v>1</v>
      </c>
      <c r="U3296" s="2" t="s">
        <v>79</v>
      </c>
      <c r="V3296" s="2">
        <v>1</v>
      </c>
      <c r="W3296" s="2" t="s">
        <v>80</v>
      </c>
      <c r="X3296" s="2">
        <v>1</v>
      </c>
      <c r="Y3296" s="2" t="s">
        <v>81</v>
      </c>
      <c r="Z3296" s="2">
        <v>1</v>
      </c>
      <c r="AA3296" s="2" t="s">
        <v>82</v>
      </c>
      <c r="AB3296" s="2">
        <v>9</v>
      </c>
      <c r="AC3296" s="2" t="s">
        <v>124</v>
      </c>
      <c r="AD3296" s="3">
        <v>40400</v>
      </c>
      <c r="AE3296" s="4">
        <v>0.45833333333333331</v>
      </c>
      <c r="AF3296" s="2"/>
      <c r="AG3296" s="2"/>
      <c r="AH3296" s="2">
        <v>2</v>
      </c>
      <c r="AI3296" s="2" t="s">
        <v>84</v>
      </c>
      <c r="AJ3296" s="2">
        <v>9</v>
      </c>
      <c r="AK3296" s="2" t="s">
        <v>103</v>
      </c>
      <c r="AL3296" s="2">
        <v>24</v>
      </c>
      <c r="AM3296" s="2" t="s">
        <v>1540</v>
      </c>
      <c r="AN3296" s="2" t="s">
        <v>10618</v>
      </c>
      <c r="AO3296" s="2" t="s">
        <v>1346</v>
      </c>
      <c r="AP3296" s="2">
        <v>11</v>
      </c>
      <c r="AQ3296" s="2" t="s">
        <v>82</v>
      </c>
      <c r="AR3296" s="2"/>
      <c r="AS3296" s="2"/>
      <c r="AT3296" s="2" t="s">
        <v>10643</v>
      </c>
      <c r="AU3296" s="2"/>
      <c r="AV3296" s="2">
        <v>1</v>
      </c>
      <c r="AW3296" s="2"/>
      <c r="AX3296" s="2"/>
      <c r="AY3296" s="2">
        <v>41</v>
      </c>
      <c r="AZ3296" s="2" t="s">
        <v>82</v>
      </c>
      <c r="BA3296" s="2">
        <v>41</v>
      </c>
      <c r="BB3296" s="2" t="s">
        <v>82</v>
      </c>
      <c r="BC3296" s="2">
        <v>41</v>
      </c>
      <c r="BD3296" s="2" t="s">
        <v>82</v>
      </c>
      <c r="BE3296" s="2">
        <v>41</v>
      </c>
      <c r="BF3296" s="2" t="s">
        <v>82</v>
      </c>
      <c r="BG3296" s="2"/>
      <c r="BH3296" s="2"/>
      <c r="BI3296" s="2"/>
      <c r="BJ3296" s="2">
        <v>241</v>
      </c>
      <c r="BK3296" s="2" t="s">
        <v>82</v>
      </c>
      <c r="BL3296" s="2"/>
      <c r="BM3296" s="2">
        <v>241</v>
      </c>
      <c r="BN3296" s="2" t="s">
        <v>82</v>
      </c>
      <c r="BO3296" s="2"/>
      <c r="BP3296" s="2">
        <v>241</v>
      </c>
      <c r="BQ3296" s="2" t="s">
        <v>82</v>
      </c>
      <c r="BR3296" s="2"/>
      <c r="BS3296" s="3">
        <v>40401</v>
      </c>
      <c r="BT3296" s="4">
        <v>0.36879629629629629</v>
      </c>
    </row>
    <row r="3297" spans="1:72" x14ac:dyDescent="0.25">
      <c r="A3297" s="2">
        <v>4864</v>
      </c>
      <c r="B3297" s="2">
        <v>2010</v>
      </c>
      <c r="C3297" s="2" t="s">
        <v>72</v>
      </c>
      <c r="D3297" s="2" t="s">
        <v>73</v>
      </c>
      <c r="E3297" s="2"/>
      <c r="F3297" s="2">
        <v>2</v>
      </c>
      <c r="G3297" s="2" t="s">
        <v>113</v>
      </c>
      <c r="H3297" s="2">
        <v>42</v>
      </c>
      <c r="I3297" s="2" t="s">
        <v>1096</v>
      </c>
      <c r="J3297" s="2">
        <v>300</v>
      </c>
      <c r="K3297" s="2" t="s">
        <v>114</v>
      </c>
      <c r="L3297" s="2" t="s">
        <v>115</v>
      </c>
      <c r="M3297" s="3">
        <v>40401</v>
      </c>
      <c r="N3297" s="2" t="s">
        <v>107</v>
      </c>
      <c r="O3297" s="2" t="s">
        <v>107</v>
      </c>
      <c r="P3297" s="2" t="s">
        <v>107</v>
      </c>
      <c r="Q3297" s="2" t="str">
        <f>"410-E/10"</f>
        <v>410-E/10</v>
      </c>
      <c r="R3297" s="2" t="s">
        <v>601</v>
      </c>
      <c r="S3297" s="2" t="s">
        <v>601</v>
      </c>
      <c r="T3297" s="2">
        <v>1</v>
      </c>
      <c r="U3297" s="2" t="s">
        <v>79</v>
      </c>
      <c r="V3297" s="2">
        <v>1</v>
      </c>
      <c r="W3297" s="2" t="s">
        <v>80</v>
      </c>
      <c r="X3297" s="2">
        <v>12</v>
      </c>
      <c r="Y3297" s="2" t="s">
        <v>148</v>
      </c>
      <c r="Z3297" s="2">
        <v>1</v>
      </c>
      <c r="AA3297" s="2" t="s">
        <v>82</v>
      </c>
      <c r="AB3297" s="2">
        <v>6</v>
      </c>
      <c r="AC3297" s="2" t="s">
        <v>83</v>
      </c>
      <c r="AD3297" s="2"/>
      <c r="AE3297" s="2"/>
      <c r="AF3297" s="3">
        <v>40401</v>
      </c>
      <c r="AG3297" s="4">
        <v>0.30208333333333331</v>
      </c>
      <c r="AH3297" s="2">
        <v>2</v>
      </c>
      <c r="AI3297" s="2" t="s">
        <v>84</v>
      </c>
      <c r="AJ3297" s="2">
        <v>9</v>
      </c>
      <c r="AK3297" s="2" t="s">
        <v>103</v>
      </c>
      <c r="AL3297" s="2">
        <v>26</v>
      </c>
      <c r="AM3297" s="2" t="s">
        <v>6036</v>
      </c>
      <c r="AN3297" s="2" t="s">
        <v>10644</v>
      </c>
      <c r="AO3297" s="2"/>
      <c r="AP3297" s="2">
        <v>11</v>
      </c>
      <c r="AQ3297" s="2" t="s">
        <v>82</v>
      </c>
      <c r="AR3297" s="2"/>
      <c r="AS3297" s="2"/>
      <c r="AT3297" s="2" t="s">
        <v>10645</v>
      </c>
      <c r="AU3297" s="2"/>
      <c r="AV3297" s="2"/>
      <c r="AW3297" s="2"/>
      <c r="AX3297" s="2"/>
      <c r="AY3297" s="2">
        <v>41</v>
      </c>
      <c r="AZ3297" s="2" t="s">
        <v>82</v>
      </c>
      <c r="BA3297" s="2">
        <v>41</v>
      </c>
      <c r="BB3297" s="2" t="s">
        <v>82</v>
      </c>
      <c r="BC3297" s="2">
        <v>41</v>
      </c>
      <c r="BD3297" s="2" t="s">
        <v>82</v>
      </c>
      <c r="BE3297" s="2">
        <v>4</v>
      </c>
      <c r="BF3297" s="2" t="s">
        <v>90</v>
      </c>
      <c r="BG3297" s="2" t="s">
        <v>3102</v>
      </c>
      <c r="BH3297" s="2"/>
      <c r="BI3297" s="2"/>
      <c r="BJ3297" s="2">
        <v>52</v>
      </c>
      <c r="BK3297" s="2" t="s">
        <v>3942</v>
      </c>
      <c r="BL3297" s="2" t="s">
        <v>10646</v>
      </c>
      <c r="BM3297" s="2">
        <v>173</v>
      </c>
      <c r="BN3297" s="2" t="s">
        <v>223</v>
      </c>
      <c r="BO3297" s="2" t="s">
        <v>224</v>
      </c>
      <c r="BP3297" s="2">
        <v>13</v>
      </c>
      <c r="BQ3297" s="2" t="s">
        <v>91</v>
      </c>
      <c r="BR3297" s="2" t="s">
        <v>360</v>
      </c>
      <c r="BS3297" s="3">
        <v>40401</v>
      </c>
      <c r="BT3297" s="4">
        <v>0.39353009259259258</v>
      </c>
    </row>
    <row r="3298" spans="1:72" x14ac:dyDescent="0.25">
      <c r="A3298" s="2">
        <v>4866</v>
      </c>
      <c r="B3298" s="2">
        <v>2010</v>
      </c>
      <c r="C3298" s="2" t="s">
        <v>128</v>
      </c>
      <c r="D3298" s="2" t="s">
        <v>122</v>
      </c>
      <c r="E3298" s="2" t="s">
        <v>10647</v>
      </c>
      <c r="F3298" s="2">
        <v>389</v>
      </c>
      <c r="G3298" s="2" t="s">
        <v>1819</v>
      </c>
      <c r="H3298" s="2">
        <v>3</v>
      </c>
      <c r="I3298" s="2" t="s">
        <v>315</v>
      </c>
      <c r="J3298" s="2">
        <v>399</v>
      </c>
      <c r="K3298" s="2" t="s">
        <v>1820</v>
      </c>
      <c r="L3298" s="2" t="s">
        <v>1821</v>
      </c>
      <c r="M3298" s="3">
        <v>40401</v>
      </c>
      <c r="N3298" s="2" t="s">
        <v>4976</v>
      </c>
      <c r="O3298" s="2"/>
      <c r="P3298" s="2"/>
      <c r="Q3298" s="2" t="str">
        <f>"408-E/10"</f>
        <v>408-E/10</v>
      </c>
      <c r="R3298" s="2"/>
      <c r="S3298" s="2" t="s">
        <v>10617</v>
      </c>
      <c r="T3298" s="2">
        <v>1</v>
      </c>
      <c r="U3298" s="2" t="s">
        <v>79</v>
      </c>
      <c r="V3298" s="2">
        <v>1</v>
      </c>
      <c r="W3298" s="2" t="s">
        <v>80</v>
      </c>
      <c r="X3298" s="2">
        <v>1</v>
      </c>
      <c r="Y3298" s="2" t="s">
        <v>81</v>
      </c>
      <c r="Z3298" s="2">
        <v>1</v>
      </c>
      <c r="AA3298" s="2" t="s">
        <v>82</v>
      </c>
      <c r="AB3298" s="2">
        <v>9</v>
      </c>
      <c r="AC3298" s="2" t="s">
        <v>124</v>
      </c>
      <c r="AD3298" s="3">
        <v>40400</v>
      </c>
      <c r="AE3298" s="4">
        <v>0.45833333333333331</v>
      </c>
      <c r="AF3298" s="2"/>
      <c r="AG3298" s="2"/>
      <c r="AH3298" s="2">
        <v>2</v>
      </c>
      <c r="AI3298" s="2" t="s">
        <v>84</v>
      </c>
      <c r="AJ3298" s="2">
        <v>9</v>
      </c>
      <c r="AK3298" s="2" t="s">
        <v>103</v>
      </c>
      <c r="AL3298" s="2">
        <v>24</v>
      </c>
      <c r="AM3298" s="2" t="s">
        <v>1540</v>
      </c>
      <c r="AN3298" s="2" t="s">
        <v>10618</v>
      </c>
      <c r="AO3298" s="2" t="s">
        <v>1346</v>
      </c>
      <c r="AP3298" s="2">
        <v>11</v>
      </c>
      <c r="AQ3298" s="2" t="s">
        <v>82</v>
      </c>
      <c r="AR3298" s="2"/>
      <c r="AS3298" s="2"/>
      <c r="AT3298" s="2" t="s">
        <v>10648</v>
      </c>
      <c r="AU3298" s="2"/>
      <c r="AV3298" s="2">
        <v>1</v>
      </c>
      <c r="AW3298" s="2"/>
      <c r="AX3298" s="2"/>
      <c r="AY3298" s="2">
        <v>41</v>
      </c>
      <c r="AZ3298" s="2" t="s">
        <v>82</v>
      </c>
      <c r="BA3298" s="2">
        <v>41</v>
      </c>
      <c r="BB3298" s="2" t="s">
        <v>82</v>
      </c>
      <c r="BC3298" s="2">
        <v>41</v>
      </c>
      <c r="BD3298" s="2" t="s">
        <v>82</v>
      </c>
      <c r="BE3298" s="2">
        <v>41</v>
      </c>
      <c r="BF3298" s="2" t="s">
        <v>82</v>
      </c>
      <c r="BG3298" s="2"/>
      <c r="BH3298" s="2"/>
      <c r="BI3298" s="2"/>
      <c r="BJ3298" s="2">
        <v>241</v>
      </c>
      <c r="BK3298" s="2" t="s">
        <v>82</v>
      </c>
      <c r="BL3298" s="2"/>
      <c r="BM3298" s="2">
        <v>241</v>
      </c>
      <c r="BN3298" s="2" t="s">
        <v>82</v>
      </c>
      <c r="BO3298" s="2"/>
      <c r="BP3298" s="2">
        <v>241</v>
      </c>
      <c r="BQ3298" s="2" t="s">
        <v>82</v>
      </c>
      <c r="BR3298" s="2"/>
      <c r="BS3298" s="3">
        <v>40401</v>
      </c>
      <c r="BT3298" s="4">
        <v>0.56976851851851851</v>
      </c>
    </row>
    <row r="3299" spans="1:72" x14ac:dyDescent="0.25">
      <c r="A3299" s="2">
        <v>4868</v>
      </c>
      <c r="B3299" s="2">
        <v>2010</v>
      </c>
      <c r="C3299" s="2" t="s">
        <v>377</v>
      </c>
      <c r="D3299" s="2" t="s">
        <v>73</v>
      </c>
      <c r="E3299" s="2"/>
      <c r="F3299" s="2">
        <v>426</v>
      </c>
      <c r="G3299" s="2" t="s">
        <v>378</v>
      </c>
      <c r="H3299" s="2">
        <v>108</v>
      </c>
      <c r="I3299" s="2" t="s">
        <v>1096</v>
      </c>
      <c r="J3299" s="2">
        <v>311</v>
      </c>
      <c r="K3299" s="2" t="s">
        <v>379</v>
      </c>
      <c r="L3299" s="2" t="s">
        <v>380</v>
      </c>
      <c r="M3299" s="3">
        <v>40401</v>
      </c>
      <c r="N3299" s="2" t="s">
        <v>10649</v>
      </c>
      <c r="O3299" s="2"/>
      <c r="P3299" s="2"/>
      <c r="Q3299" s="2" t="str">
        <f>"201-C/10"</f>
        <v>201-C/10</v>
      </c>
      <c r="R3299" s="2" t="s">
        <v>4428</v>
      </c>
      <c r="S3299" s="2"/>
      <c r="T3299" s="2">
        <v>1</v>
      </c>
      <c r="U3299" s="2" t="s">
        <v>79</v>
      </c>
      <c r="V3299" s="2">
        <v>1</v>
      </c>
      <c r="W3299" s="2" t="s">
        <v>80</v>
      </c>
      <c r="X3299" s="2">
        <v>1</v>
      </c>
      <c r="Y3299" s="2" t="s">
        <v>81</v>
      </c>
      <c r="Z3299" s="2">
        <v>1</v>
      </c>
      <c r="AA3299" s="2" t="s">
        <v>82</v>
      </c>
      <c r="AB3299" s="2">
        <v>9</v>
      </c>
      <c r="AC3299" s="2" t="s">
        <v>124</v>
      </c>
      <c r="AD3299" s="3">
        <v>40401</v>
      </c>
      <c r="AE3299" s="4">
        <v>0.31944444444444448</v>
      </c>
      <c r="AF3299" s="2"/>
      <c r="AG3299" s="2"/>
      <c r="AH3299" s="2">
        <v>2</v>
      </c>
      <c r="AI3299" s="2" t="s">
        <v>84</v>
      </c>
      <c r="AJ3299" s="2">
        <v>9</v>
      </c>
      <c r="AK3299" s="2" t="s">
        <v>103</v>
      </c>
      <c r="AL3299" s="2">
        <v>29</v>
      </c>
      <c r="AM3299" s="2" t="s">
        <v>5416</v>
      </c>
      <c r="AN3299" s="2"/>
      <c r="AO3299" s="2" t="s">
        <v>8942</v>
      </c>
      <c r="AP3299" s="2">
        <v>11</v>
      </c>
      <c r="AQ3299" s="2" t="s">
        <v>82</v>
      </c>
      <c r="AR3299" s="2"/>
      <c r="AS3299" s="2"/>
      <c r="AT3299" s="2" t="s">
        <v>10650</v>
      </c>
      <c r="AU3299" s="2"/>
      <c r="AV3299" s="2"/>
      <c r="AW3299" s="2"/>
      <c r="AX3299" s="2"/>
      <c r="AY3299" s="2">
        <v>41</v>
      </c>
      <c r="AZ3299" s="2" t="s">
        <v>82</v>
      </c>
      <c r="BA3299" s="2">
        <v>41</v>
      </c>
      <c r="BB3299" s="2" t="s">
        <v>82</v>
      </c>
      <c r="BC3299" s="2">
        <v>41</v>
      </c>
      <c r="BD3299" s="2" t="s">
        <v>82</v>
      </c>
      <c r="BE3299" s="2">
        <v>41</v>
      </c>
      <c r="BF3299" s="2" t="s">
        <v>82</v>
      </c>
      <c r="BG3299" s="2"/>
      <c r="BH3299" s="2"/>
      <c r="BI3299" s="2"/>
      <c r="BJ3299" s="2">
        <v>241</v>
      </c>
      <c r="BK3299" s="2" t="s">
        <v>82</v>
      </c>
      <c r="BL3299" s="2"/>
      <c r="BM3299" s="2">
        <v>241</v>
      </c>
      <c r="BN3299" s="2" t="s">
        <v>82</v>
      </c>
      <c r="BO3299" s="2"/>
      <c r="BP3299" s="2">
        <v>241</v>
      </c>
      <c r="BQ3299" s="2" t="s">
        <v>82</v>
      </c>
      <c r="BR3299" s="2"/>
      <c r="BS3299" s="3">
        <v>40401</v>
      </c>
      <c r="BT3299" s="4">
        <v>0.67484953703703709</v>
      </c>
    </row>
    <row r="3300" spans="1:72" x14ac:dyDescent="0.25">
      <c r="A3300" s="2">
        <v>4870</v>
      </c>
      <c r="B3300" s="2">
        <v>2010</v>
      </c>
      <c r="C3300" s="2" t="s">
        <v>72</v>
      </c>
      <c r="D3300" s="2" t="s">
        <v>73</v>
      </c>
      <c r="E3300" s="2"/>
      <c r="F3300" s="2">
        <v>37</v>
      </c>
      <c r="G3300" s="2" t="s">
        <v>1790</v>
      </c>
      <c r="H3300" s="2">
        <v>42</v>
      </c>
      <c r="I3300" s="2" t="s">
        <v>1096</v>
      </c>
      <c r="J3300" s="2">
        <v>328</v>
      </c>
      <c r="K3300" s="2" t="s">
        <v>1791</v>
      </c>
      <c r="L3300" s="2" t="s">
        <v>1792</v>
      </c>
      <c r="M3300" s="3">
        <v>40401</v>
      </c>
      <c r="N3300" s="2" t="s">
        <v>3716</v>
      </c>
      <c r="O3300" s="2"/>
      <c r="P3300" s="2"/>
      <c r="Q3300" s="2" t="str">
        <f>"088/10"</f>
        <v>088/10</v>
      </c>
      <c r="R3300" s="2"/>
      <c r="S3300" s="2" t="s">
        <v>822</v>
      </c>
      <c r="T3300" s="2">
        <v>1</v>
      </c>
      <c r="U3300" s="2" t="s">
        <v>79</v>
      </c>
      <c r="V3300" s="2">
        <v>1</v>
      </c>
      <c r="W3300" s="2" t="s">
        <v>80</v>
      </c>
      <c r="X3300" s="2">
        <v>12</v>
      </c>
      <c r="Y3300" s="2" t="s">
        <v>148</v>
      </c>
      <c r="Z3300" s="2">
        <v>1</v>
      </c>
      <c r="AA3300" s="2" t="s">
        <v>82</v>
      </c>
      <c r="AB3300" s="2">
        <v>6</v>
      </c>
      <c r="AC3300" s="2" t="s">
        <v>83</v>
      </c>
      <c r="AD3300" s="3">
        <v>40401</v>
      </c>
      <c r="AE3300" s="2"/>
      <c r="AF3300" s="3">
        <v>40401</v>
      </c>
      <c r="AG3300" s="4">
        <v>0.4861111111111111</v>
      </c>
      <c r="AH3300" s="2">
        <v>4</v>
      </c>
      <c r="AI3300" s="2" t="s">
        <v>125</v>
      </c>
      <c r="AJ3300" s="2">
        <v>29</v>
      </c>
      <c r="AK3300" s="2" t="s">
        <v>227</v>
      </c>
      <c r="AL3300" s="2">
        <v>22</v>
      </c>
      <c r="AM3300" s="2" t="s">
        <v>1853</v>
      </c>
      <c r="AN3300" s="2"/>
      <c r="AO3300" s="2"/>
      <c r="AP3300" s="2">
        <v>11</v>
      </c>
      <c r="AQ3300" s="2" t="s">
        <v>82</v>
      </c>
      <c r="AR3300" s="2"/>
      <c r="AS3300" s="2"/>
      <c r="AT3300" s="2" t="s">
        <v>10651</v>
      </c>
      <c r="AU3300" s="2"/>
      <c r="AV3300" s="2"/>
      <c r="AW3300" s="2"/>
      <c r="AX3300" s="2"/>
      <c r="AY3300" s="2">
        <v>41</v>
      </c>
      <c r="AZ3300" s="2" t="s">
        <v>82</v>
      </c>
      <c r="BA3300" s="2">
        <v>41</v>
      </c>
      <c r="BB3300" s="2" t="s">
        <v>82</v>
      </c>
      <c r="BC3300" s="2">
        <v>41</v>
      </c>
      <c r="BD3300" s="2" t="s">
        <v>82</v>
      </c>
      <c r="BE3300" s="2">
        <v>48</v>
      </c>
      <c r="BF3300" s="2" t="s">
        <v>1123</v>
      </c>
      <c r="BG3300" s="2">
        <v>890</v>
      </c>
      <c r="BH3300" s="4">
        <v>0.47222222222222227</v>
      </c>
      <c r="BI3300" s="4">
        <v>0.4201388888888889</v>
      </c>
      <c r="BJ3300" s="2">
        <v>13</v>
      </c>
      <c r="BK3300" s="2" t="s">
        <v>91</v>
      </c>
      <c r="BL3300" s="2" t="s">
        <v>169</v>
      </c>
      <c r="BM3300" s="2">
        <v>241</v>
      </c>
      <c r="BN3300" s="2" t="s">
        <v>82</v>
      </c>
      <c r="BO3300" s="2" t="s">
        <v>82</v>
      </c>
      <c r="BP3300" s="2">
        <v>13</v>
      </c>
      <c r="BQ3300" s="2" t="s">
        <v>91</v>
      </c>
      <c r="BR3300" s="2" t="s">
        <v>828</v>
      </c>
      <c r="BS3300" s="3">
        <v>40401</v>
      </c>
      <c r="BT3300" s="4">
        <v>0.70775462962962965</v>
      </c>
    </row>
    <row r="3301" spans="1:72" x14ac:dyDescent="0.25">
      <c r="A3301" s="2">
        <v>4872</v>
      </c>
      <c r="B3301" s="2">
        <v>2010</v>
      </c>
      <c r="C3301" s="2" t="s">
        <v>4543</v>
      </c>
      <c r="D3301" s="2" t="s">
        <v>122</v>
      </c>
      <c r="E3301" s="2"/>
      <c r="F3301" s="2">
        <v>389</v>
      </c>
      <c r="G3301" s="2" t="s">
        <v>1819</v>
      </c>
      <c r="H3301" s="2">
        <v>3</v>
      </c>
      <c r="I3301" s="2" t="s">
        <v>315</v>
      </c>
      <c r="J3301" s="2">
        <v>399</v>
      </c>
      <c r="K3301" s="2" t="s">
        <v>1820</v>
      </c>
      <c r="L3301" s="2" t="s">
        <v>1821</v>
      </c>
      <c r="M3301" s="3">
        <v>40401</v>
      </c>
      <c r="N3301" s="2" t="s">
        <v>10652</v>
      </c>
      <c r="O3301" s="2"/>
      <c r="P3301" s="2"/>
      <c r="Q3301" s="2" t="str">
        <f>""</f>
        <v/>
      </c>
      <c r="R3301" s="2"/>
      <c r="S3301" s="2"/>
      <c r="T3301" s="2">
        <v>2</v>
      </c>
      <c r="U3301" s="2" t="s">
        <v>123</v>
      </c>
      <c r="V3301" s="2">
        <v>1</v>
      </c>
      <c r="W3301" s="2" t="s">
        <v>80</v>
      </c>
      <c r="X3301" s="2">
        <v>12</v>
      </c>
      <c r="Y3301" s="2" t="s">
        <v>148</v>
      </c>
      <c r="Z3301" s="2">
        <v>1</v>
      </c>
      <c r="AA3301" s="2" t="s">
        <v>82</v>
      </c>
      <c r="AB3301" s="2">
        <v>9</v>
      </c>
      <c r="AC3301" s="2" t="s">
        <v>124</v>
      </c>
      <c r="AD3301" s="3">
        <v>40401</v>
      </c>
      <c r="AE3301" s="4">
        <v>0.41666666666666669</v>
      </c>
      <c r="AF3301" s="2"/>
      <c r="AG3301" s="2"/>
      <c r="AH3301" s="2">
        <v>2</v>
      </c>
      <c r="AI3301" s="2" t="s">
        <v>84</v>
      </c>
      <c r="AJ3301" s="2">
        <v>9</v>
      </c>
      <c r="AK3301" s="2" t="s">
        <v>103</v>
      </c>
      <c r="AL3301" s="2">
        <v>14</v>
      </c>
      <c r="AM3301" s="2" t="s">
        <v>216</v>
      </c>
      <c r="AN3301" s="2"/>
      <c r="AO3301" s="2" t="s">
        <v>2148</v>
      </c>
      <c r="AP3301" s="2">
        <v>11</v>
      </c>
      <c r="AQ3301" s="2" t="s">
        <v>82</v>
      </c>
      <c r="AR3301" s="2"/>
      <c r="AS3301" s="2"/>
      <c r="AT3301" s="2" t="s">
        <v>10653</v>
      </c>
      <c r="AU3301" s="2"/>
      <c r="AV3301" s="2"/>
      <c r="AW3301" s="2"/>
      <c r="AX3301" s="2"/>
      <c r="AY3301" s="2">
        <v>41</v>
      </c>
      <c r="AZ3301" s="2" t="s">
        <v>82</v>
      </c>
      <c r="BA3301" s="2">
        <v>41</v>
      </c>
      <c r="BB3301" s="2" t="s">
        <v>82</v>
      </c>
      <c r="BC3301" s="2">
        <v>41</v>
      </c>
      <c r="BD3301" s="2" t="s">
        <v>82</v>
      </c>
      <c r="BE3301" s="2">
        <v>38</v>
      </c>
      <c r="BF3301" s="2" t="s">
        <v>221</v>
      </c>
      <c r="BG3301" s="2">
        <v>2427</v>
      </c>
      <c r="BH3301" s="4">
        <v>0.34027777777777773</v>
      </c>
      <c r="BI3301" s="4">
        <v>0.20833333333333334</v>
      </c>
      <c r="BJ3301" s="2">
        <v>173</v>
      </c>
      <c r="BK3301" s="2" t="s">
        <v>223</v>
      </c>
      <c r="BL3301" s="2" t="s">
        <v>224</v>
      </c>
      <c r="BM3301" s="2">
        <v>241</v>
      </c>
      <c r="BN3301" s="2" t="s">
        <v>82</v>
      </c>
      <c r="BO3301" s="2"/>
      <c r="BP3301" s="2">
        <v>13</v>
      </c>
      <c r="BQ3301" s="2" t="s">
        <v>91</v>
      </c>
      <c r="BR3301" s="2"/>
      <c r="BS3301" s="3">
        <v>40401</v>
      </c>
      <c r="BT3301" s="4">
        <v>0.76055555555555554</v>
      </c>
    </row>
    <row r="3302" spans="1:72" x14ac:dyDescent="0.25">
      <c r="A3302" s="2">
        <v>4873</v>
      </c>
      <c r="B3302" s="2">
        <v>2010</v>
      </c>
      <c r="C3302" s="2" t="s">
        <v>171</v>
      </c>
      <c r="D3302" s="2" t="s">
        <v>122</v>
      </c>
      <c r="E3302" s="2" t="s">
        <v>10542</v>
      </c>
      <c r="F3302" s="2">
        <v>233</v>
      </c>
      <c r="G3302" s="2" t="s">
        <v>3858</v>
      </c>
      <c r="H3302" s="2">
        <v>17</v>
      </c>
      <c r="I3302" s="2" t="s">
        <v>3602</v>
      </c>
      <c r="J3302" s="2">
        <v>316</v>
      </c>
      <c r="K3302" s="2" t="s">
        <v>574</v>
      </c>
      <c r="L3302" s="2" t="s">
        <v>575</v>
      </c>
      <c r="M3302" s="3">
        <v>40401</v>
      </c>
      <c r="N3302" s="2" t="s">
        <v>3826</v>
      </c>
      <c r="O3302" s="2"/>
      <c r="P3302" s="2"/>
      <c r="Q3302" s="2" t="str">
        <f>"403-E/10"</f>
        <v>403-E/10</v>
      </c>
      <c r="R3302" s="2" t="s">
        <v>391</v>
      </c>
      <c r="S3302" s="2" t="s">
        <v>391</v>
      </c>
      <c r="T3302" s="2">
        <v>1</v>
      </c>
      <c r="U3302" s="2" t="s">
        <v>79</v>
      </c>
      <c r="V3302" s="2">
        <v>1</v>
      </c>
      <c r="W3302" s="2" t="s">
        <v>80</v>
      </c>
      <c r="X3302" s="2">
        <v>11</v>
      </c>
      <c r="Y3302" s="2" t="s">
        <v>1920</v>
      </c>
      <c r="Z3302" s="2">
        <v>1</v>
      </c>
      <c r="AA3302" s="2" t="s">
        <v>82</v>
      </c>
      <c r="AB3302" s="2">
        <v>1</v>
      </c>
      <c r="AC3302" s="2" t="s">
        <v>178</v>
      </c>
      <c r="AD3302" s="3">
        <v>40398</v>
      </c>
      <c r="AE3302" s="4">
        <v>0.66666666666666663</v>
      </c>
      <c r="AF3302" s="2"/>
      <c r="AG3302" s="2"/>
      <c r="AH3302" s="2">
        <v>2</v>
      </c>
      <c r="AI3302" s="2" t="s">
        <v>84</v>
      </c>
      <c r="AJ3302" s="2">
        <v>9</v>
      </c>
      <c r="AK3302" s="2" t="s">
        <v>103</v>
      </c>
      <c r="AL3302" s="2">
        <v>12</v>
      </c>
      <c r="AM3302" s="2" t="s">
        <v>86</v>
      </c>
      <c r="AN3302" s="2"/>
      <c r="AO3302" s="2" t="s">
        <v>10536</v>
      </c>
      <c r="AP3302" s="2">
        <v>11</v>
      </c>
      <c r="AQ3302" s="2" t="s">
        <v>82</v>
      </c>
      <c r="AR3302" s="2"/>
      <c r="AS3302" s="2"/>
      <c r="AT3302" s="2" t="s">
        <v>10654</v>
      </c>
      <c r="AU3302" s="2"/>
      <c r="AV3302" s="2">
        <v>1</v>
      </c>
      <c r="AW3302" s="2"/>
      <c r="AX3302" s="2"/>
      <c r="AY3302" s="2">
        <v>41</v>
      </c>
      <c r="AZ3302" s="2" t="s">
        <v>82</v>
      </c>
      <c r="BA3302" s="2">
        <v>41</v>
      </c>
      <c r="BB3302" s="2" t="s">
        <v>82</v>
      </c>
      <c r="BC3302" s="2">
        <v>41</v>
      </c>
      <c r="BD3302" s="2" t="s">
        <v>82</v>
      </c>
      <c r="BE3302" s="2">
        <v>33</v>
      </c>
      <c r="BF3302" s="2" t="s">
        <v>1083</v>
      </c>
      <c r="BG3302" s="2" t="s">
        <v>2165</v>
      </c>
      <c r="BH3302" s="2"/>
      <c r="BI3302" s="4">
        <v>0.77083333333333337</v>
      </c>
      <c r="BJ3302" s="2">
        <v>13</v>
      </c>
      <c r="BK3302" s="2" t="s">
        <v>91</v>
      </c>
      <c r="BL3302" s="2" t="s">
        <v>185</v>
      </c>
      <c r="BM3302" s="2">
        <v>242</v>
      </c>
      <c r="BN3302" s="2" t="s">
        <v>107</v>
      </c>
      <c r="BO3302" s="2"/>
      <c r="BP3302" s="2">
        <v>205</v>
      </c>
      <c r="BQ3302" s="2" t="s">
        <v>1085</v>
      </c>
      <c r="BR3302" s="2" t="s">
        <v>1086</v>
      </c>
      <c r="BS3302" s="3">
        <v>40401</v>
      </c>
      <c r="BT3302" s="4">
        <v>0.82901620370370377</v>
      </c>
    </row>
    <row r="3303" spans="1:72" x14ac:dyDescent="0.25">
      <c r="A3303" s="2">
        <v>4874</v>
      </c>
      <c r="B3303" s="2">
        <v>2010</v>
      </c>
      <c r="C3303" s="2" t="s">
        <v>171</v>
      </c>
      <c r="D3303" s="2" t="s">
        <v>73</v>
      </c>
      <c r="E3303" s="2"/>
      <c r="F3303" s="2">
        <v>92</v>
      </c>
      <c r="G3303" s="2" t="s">
        <v>1432</v>
      </c>
      <c r="H3303" s="2">
        <v>42</v>
      </c>
      <c r="I3303" s="2" t="s">
        <v>1096</v>
      </c>
      <c r="J3303" s="2">
        <v>119</v>
      </c>
      <c r="K3303" s="2" t="s">
        <v>325</v>
      </c>
      <c r="L3303" s="2" t="s">
        <v>326</v>
      </c>
      <c r="M3303" s="3">
        <v>40401</v>
      </c>
      <c r="N3303" s="2" t="s">
        <v>10655</v>
      </c>
      <c r="O3303" s="2"/>
      <c r="P3303" s="2"/>
      <c r="Q3303" s="2" t="str">
        <f>"0030/10"</f>
        <v>0030/10</v>
      </c>
      <c r="R3303" s="2" t="s">
        <v>10656</v>
      </c>
      <c r="S3303" s="2" t="s">
        <v>10656</v>
      </c>
      <c r="T3303" s="2">
        <v>1</v>
      </c>
      <c r="U3303" s="2" t="s">
        <v>79</v>
      </c>
      <c r="V3303" s="2">
        <v>1</v>
      </c>
      <c r="W3303" s="2" t="s">
        <v>80</v>
      </c>
      <c r="X3303" s="2">
        <v>1</v>
      </c>
      <c r="Y3303" s="2" t="s">
        <v>81</v>
      </c>
      <c r="Z3303" s="2">
        <v>1</v>
      </c>
      <c r="AA3303" s="2" t="s">
        <v>82</v>
      </c>
      <c r="AB3303" s="2">
        <v>1</v>
      </c>
      <c r="AC3303" s="2" t="s">
        <v>178</v>
      </c>
      <c r="AD3303" s="3">
        <v>40401</v>
      </c>
      <c r="AE3303" s="4">
        <v>0.59375</v>
      </c>
      <c r="AF3303" s="2"/>
      <c r="AG3303" s="2"/>
      <c r="AH3303" s="2">
        <v>6</v>
      </c>
      <c r="AI3303" s="2" t="s">
        <v>197</v>
      </c>
      <c r="AJ3303" s="2">
        <v>50</v>
      </c>
      <c r="AK3303" s="2" t="s">
        <v>330</v>
      </c>
      <c r="AL3303" s="2">
        <v>11</v>
      </c>
      <c r="AM3303" s="2" t="s">
        <v>137</v>
      </c>
      <c r="AN3303" s="2" t="s">
        <v>2761</v>
      </c>
      <c r="AO3303" s="2"/>
      <c r="AP3303" s="2">
        <v>11</v>
      </c>
      <c r="AQ3303" s="2" t="s">
        <v>82</v>
      </c>
      <c r="AR3303" s="2"/>
      <c r="AS3303" s="2"/>
      <c r="AT3303" s="2" t="s">
        <v>10657</v>
      </c>
      <c r="AU3303" s="2"/>
      <c r="AV3303" s="2"/>
      <c r="AW3303" s="2"/>
      <c r="AX3303" s="2"/>
      <c r="AY3303" s="2">
        <v>41</v>
      </c>
      <c r="AZ3303" s="2" t="s">
        <v>82</v>
      </c>
      <c r="BA3303" s="2">
        <v>41</v>
      </c>
      <c r="BB3303" s="2" t="s">
        <v>82</v>
      </c>
      <c r="BC3303" s="2">
        <v>41</v>
      </c>
      <c r="BD3303" s="2" t="s">
        <v>82</v>
      </c>
      <c r="BE3303" s="2">
        <v>4</v>
      </c>
      <c r="BF3303" s="2" t="s">
        <v>90</v>
      </c>
      <c r="BG3303" s="2">
        <v>4347</v>
      </c>
      <c r="BH3303" s="2"/>
      <c r="BI3303" s="4">
        <v>0.61111111111111105</v>
      </c>
      <c r="BJ3303" s="2">
        <v>13</v>
      </c>
      <c r="BK3303" s="2" t="s">
        <v>91</v>
      </c>
      <c r="BL3303" s="2" t="s">
        <v>1199</v>
      </c>
      <c r="BM3303" s="2">
        <v>241</v>
      </c>
      <c r="BN3303" s="2" t="s">
        <v>82</v>
      </c>
      <c r="BO3303" s="2"/>
      <c r="BP3303" s="2">
        <v>13</v>
      </c>
      <c r="BQ3303" s="2" t="s">
        <v>91</v>
      </c>
      <c r="BR3303" s="2" t="s">
        <v>185</v>
      </c>
      <c r="BS3303" s="3">
        <v>40401</v>
      </c>
      <c r="BT3303" s="4">
        <v>0.84475694444444438</v>
      </c>
    </row>
    <row r="3304" spans="1:72" x14ac:dyDescent="0.25">
      <c r="A3304" s="2">
        <v>4875</v>
      </c>
      <c r="B3304" s="2">
        <v>2010</v>
      </c>
      <c r="C3304" s="2" t="s">
        <v>806</v>
      </c>
      <c r="D3304" s="2" t="s">
        <v>122</v>
      </c>
      <c r="E3304" s="2"/>
      <c r="F3304" s="2">
        <v>530</v>
      </c>
      <c r="G3304" s="2" t="s">
        <v>3315</v>
      </c>
      <c r="H3304" s="2">
        <v>61</v>
      </c>
      <c r="I3304" s="2" t="s">
        <v>3043</v>
      </c>
      <c r="J3304" s="2">
        <v>461</v>
      </c>
      <c r="K3304" s="2" t="s">
        <v>3316</v>
      </c>
      <c r="L3304" s="2" t="s">
        <v>3317</v>
      </c>
      <c r="M3304" s="3">
        <v>40401</v>
      </c>
      <c r="N3304" s="2" t="s">
        <v>2135</v>
      </c>
      <c r="O3304" s="2" t="s">
        <v>10658</v>
      </c>
      <c r="P3304" s="6">
        <v>44747</v>
      </c>
      <c r="Q3304" s="2" t="str">
        <f>""</f>
        <v/>
      </c>
      <c r="R3304" s="2"/>
      <c r="S3304" s="2"/>
      <c r="T3304" s="2">
        <v>1</v>
      </c>
      <c r="U3304" s="2" t="s">
        <v>79</v>
      </c>
      <c r="V3304" s="2">
        <v>3</v>
      </c>
      <c r="W3304" s="2" t="s">
        <v>225</v>
      </c>
      <c r="X3304" s="2">
        <v>9</v>
      </c>
      <c r="Y3304" s="2" t="s">
        <v>3393</v>
      </c>
      <c r="Z3304" s="2">
        <v>1</v>
      </c>
      <c r="AA3304" s="2" t="s">
        <v>82</v>
      </c>
      <c r="AB3304" s="2">
        <v>9</v>
      </c>
      <c r="AC3304" s="2" t="s">
        <v>124</v>
      </c>
      <c r="AD3304" s="3">
        <v>40402</v>
      </c>
      <c r="AE3304" s="4">
        <v>0.38194444444444442</v>
      </c>
      <c r="AF3304" s="2"/>
      <c r="AG3304" s="2"/>
      <c r="AH3304" s="2">
        <v>4</v>
      </c>
      <c r="AI3304" s="2" t="s">
        <v>125</v>
      </c>
      <c r="AJ3304" s="2">
        <v>26</v>
      </c>
      <c r="AK3304" s="2" t="s">
        <v>293</v>
      </c>
      <c r="AL3304" s="2">
        <v>23</v>
      </c>
      <c r="AM3304" s="2" t="s">
        <v>251</v>
      </c>
      <c r="AN3304" s="2"/>
      <c r="AO3304" s="2" t="s">
        <v>10659</v>
      </c>
      <c r="AP3304" s="2">
        <v>11</v>
      </c>
      <c r="AQ3304" s="2" t="s">
        <v>82</v>
      </c>
      <c r="AR3304" s="2"/>
      <c r="AS3304" s="2"/>
      <c r="AT3304" s="2" t="s">
        <v>10660</v>
      </c>
      <c r="AU3304" s="2">
        <v>1</v>
      </c>
      <c r="AV3304" s="2"/>
      <c r="AW3304" s="2"/>
      <c r="AX3304" s="2"/>
      <c r="AY3304" s="2">
        <v>41</v>
      </c>
      <c r="AZ3304" s="2" t="s">
        <v>82</v>
      </c>
      <c r="BA3304" s="2">
        <v>41</v>
      </c>
      <c r="BB3304" s="2" t="s">
        <v>82</v>
      </c>
      <c r="BC3304" s="2">
        <v>41</v>
      </c>
      <c r="BD3304" s="2" t="s">
        <v>82</v>
      </c>
      <c r="BE3304" s="2">
        <v>41</v>
      </c>
      <c r="BF3304" s="2" t="s">
        <v>82</v>
      </c>
      <c r="BG3304" s="2"/>
      <c r="BH3304" s="2"/>
      <c r="BI3304" s="2"/>
      <c r="BJ3304" s="2">
        <v>241</v>
      </c>
      <c r="BK3304" s="2" t="s">
        <v>82</v>
      </c>
      <c r="BL3304" s="2"/>
      <c r="BM3304" s="2">
        <v>241</v>
      </c>
      <c r="BN3304" s="2" t="s">
        <v>82</v>
      </c>
      <c r="BO3304" s="2"/>
      <c r="BP3304" s="2">
        <v>241</v>
      </c>
      <c r="BQ3304" s="2" t="s">
        <v>82</v>
      </c>
      <c r="BR3304" s="2"/>
      <c r="BS3304" s="3">
        <v>40401</v>
      </c>
      <c r="BT3304" s="4">
        <v>0.86837962962962967</v>
      </c>
    </row>
    <row r="3305" spans="1:72" x14ac:dyDescent="0.25">
      <c r="A3305" s="2">
        <v>4876</v>
      </c>
      <c r="B3305" s="2">
        <v>2010</v>
      </c>
      <c r="C3305" s="2" t="s">
        <v>121</v>
      </c>
      <c r="D3305" s="2" t="s">
        <v>122</v>
      </c>
      <c r="E3305" s="2" t="s">
        <v>10661</v>
      </c>
      <c r="F3305" s="2">
        <v>1</v>
      </c>
      <c r="G3305" s="2" t="s">
        <v>82</v>
      </c>
      <c r="H3305" s="2">
        <v>1</v>
      </c>
      <c r="I3305" s="2" t="s">
        <v>82</v>
      </c>
      <c r="J3305" s="2">
        <v>1</v>
      </c>
      <c r="K3305" s="2" t="s">
        <v>107</v>
      </c>
      <c r="L3305" s="2" t="s">
        <v>107</v>
      </c>
      <c r="M3305" s="3">
        <v>40401</v>
      </c>
      <c r="N3305" s="2"/>
      <c r="O3305" s="2"/>
      <c r="P3305" s="2"/>
      <c r="Q3305" s="2" t="str">
        <f>""</f>
        <v/>
      </c>
      <c r="R3305" s="2"/>
      <c r="S3305" s="2"/>
      <c r="T3305" s="2">
        <v>2</v>
      </c>
      <c r="U3305" s="2" t="s">
        <v>123</v>
      </c>
      <c r="V3305" s="2">
        <v>1</v>
      </c>
      <c r="W3305" s="2" t="s">
        <v>80</v>
      </c>
      <c r="X3305" s="2">
        <v>5</v>
      </c>
      <c r="Y3305" s="2" t="s">
        <v>82</v>
      </c>
      <c r="Z3305" s="2">
        <v>1</v>
      </c>
      <c r="AA3305" s="2" t="s">
        <v>82</v>
      </c>
      <c r="AB3305" s="2">
        <v>9</v>
      </c>
      <c r="AC3305" s="2" t="s">
        <v>124</v>
      </c>
      <c r="AD3305" s="2"/>
      <c r="AE3305" s="2"/>
      <c r="AF3305" s="2"/>
      <c r="AG3305" s="2"/>
      <c r="AH3305" s="2">
        <v>2</v>
      </c>
      <c r="AI3305" s="2" t="s">
        <v>84</v>
      </c>
      <c r="AJ3305" s="2">
        <v>8</v>
      </c>
      <c r="AK3305" s="2" t="s">
        <v>436</v>
      </c>
      <c r="AL3305" s="2">
        <v>18</v>
      </c>
      <c r="AM3305" s="2" t="s">
        <v>82</v>
      </c>
      <c r="AN3305" s="2"/>
      <c r="AO3305" s="2"/>
      <c r="AP3305" s="2">
        <v>11</v>
      </c>
      <c r="AQ3305" s="2" t="s">
        <v>82</v>
      </c>
      <c r="AR3305" s="2"/>
      <c r="AS3305" s="2"/>
      <c r="AT3305" s="2" t="s">
        <v>10662</v>
      </c>
      <c r="AU3305" s="2"/>
      <c r="AV3305" s="2"/>
      <c r="AW3305" s="2"/>
      <c r="AX3305" s="2"/>
      <c r="AY3305" s="2">
        <v>1</v>
      </c>
      <c r="AZ3305" s="2" t="s">
        <v>107</v>
      </c>
      <c r="BA3305" s="2">
        <v>1</v>
      </c>
      <c r="BB3305" s="2" t="s">
        <v>107</v>
      </c>
      <c r="BC3305" s="2">
        <v>1</v>
      </c>
      <c r="BD3305" s="2" t="s">
        <v>107</v>
      </c>
      <c r="BE3305" s="2">
        <v>1</v>
      </c>
      <c r="BF3305" s="2" t="s">
        <v>107</v>
      </c>
      <c r="BG3305" s="2"/>
      <c r="BH3305" s="2"/>
      <c r="BI3305" s="2"/>
      <c r="BJ3305" s="2">
        <v>242</v>
      </c>
      <c r="BK3305" s="2" t="s">
        <v>107</v>
      </c>
      <c r="BL3305" s="2"/>
      <c r="BM3305" s="2">
        <v>242</v>
      </c>
      <c r="BN3305" s="2" t="s">
        <v>107</v>
      </c>
      <c r="BO3305" s="2"/>
      <c r="BP3305" s="2">
        <v>242</v>
      </c>
      <c r="BQ3305" s="2" t="s">
        <v>107</v>
      </c>
      <c r="BR3305" s="2"/>
      <c r="BS3305" s="3">
        <v>40401</v>
      </c>
      <c r="BT3305" s="4">
        <v>0.87495370370370373</v>
      </c>
    </row>
    <row r="3306" spans="1:72" x14ac:dyDescent="0.25">
      <c r="A3306" s="2">
        <v>4877</v>
      </c>
      <c r="B3306" s="2">
        <v>2010</v>
      </c>
      <c r="C3306" s="2" t="s">
        <v>72</v>
      </c>
      <c r="D3306" s="2" t="s">
        <v>73</v>
      </c>
      <c r="E3306" s="2"/>
      <c r="F3306" s="2">
        <v>39</v>
      </c>
      <c r="G3306" s="2" t="s">
        <v>7885</v>
      </c>
      <c r="H3306" s="2">
        <v>2</v>
      </c>
      <c r="I3306" s="2" t="s">
        <v>267</v>
      </c>
      <c r="J3306" s="2">
        <v>59</v>
      </c>
      <c r="K3306" s="2" t="s">
        <v>7886</v>
      </c>
      <c r="L3306" s="2" t="s">
        <v>7887</v>
      </c>
      <c r="M3306" s="3">
        <v>40402</v>
      </c>
      <c r="N3306" s="2" t="s">
        <v>10663</v>
      </c>
      <c r="O3306" s="2" t="s">
        <v>10664</v>
      </c>
      <c r="P3306" s="2"/>
      <c r="Q3306" s="2" t="str">
        <f>"07-S/10"</f>
        <v>07-S/10</v>
      </c>
      <c r="R3306" s="2" t="s">
        <v>10664</v>
      </c>
      <c r="S3306" s="2"/>
      <c r="T3306" s="2">
        <v>1</v>
      </c>
      <c r="U3306" s="2" t="s">
        <v>79</v>
      </c>
      <c r="V3306" s="2">
        <v>1</v>
      </c>
      <c r="W3306" s="2" t="s">
        <v>80</v>
      </c>
      <c r="X3306" s="2">
        <v>12</v>
      </c>
      <c r="Y3306" s="2" t="s">
        <v>148</v>
      </c>
      <c r="Z3306" s="2">
        <v>1</v>
      </c>
      <c r="AA3306" s="2" t="s">
        <v>82</v>
      </c>
      <c r="AB3306" s="2">
        <v>6</v>
      </c>
      <c r="AC3306" s="2" t="s">
        <v>83</v>
      </c>
      <c r="AD3306" s="2"/>
      <c r="AE3306" s="2"/>
      <c r="AF3306" s="3">
        <v>40401</v>
      </c>
      <c r="AG3306" s="4">
        <v>0.86111111111111116</v>
      </c>
      <c r="AH3306" s="2">
        <v>2</v>
      </c>
      <c r="AI3306" s="2" t="s">
        <v>84</v>
      </c>
      <c r="AJ3306" s="2">
        <v>11</v>
      </c>
      <c r="AK3306" s="2" t="s">
        <v>751</v>
      </c>
      <c r="AL3306" s="2">
        <v>2</v>
      </c>
      <c r="AM3306" s="2" t="s">
        <v>163</v>
      </c>
      <c r="AN3306" s="2" t="s">
        <v>10665</v>
      </c>
      <c r="AO3306" s="2" t="s">
        <v>10666</v>
      </c>
      <c r="AP3306" s="2">
        <v>11</v>
      </c>
      <c r="AQ3306" s="2" t="s">
        <v>82</v>
      </c>
      <c r="AR3306" s="2"/>
      <c r="AS3306" s="2"/>
      <c r="AT3306" s="2" t="s">
        <v>10667</v>
      </c>
      <c r="AU3306" s="2"/>
      <c r="AV3306" s="2"/>
      <c r="AW3306" s="2"/>
      <c r="AX3306" s="2"/>
      <c r="AY3306" s="2">
        <v>41</v>
      </c>
      <c r="AZ3306" s="2" t="s">
        <v>82</v>
      </c>
      <c r="BA3306" s="2">
        <v>41</v>
      </c>
      <c r="BB3306" s="2" t="s">
        <v>82</v>
      </c>
      <c r="BC3306" s="2">
        <v>41</v>
      </c>
      <c r="BD3306" s="2" t="s">
        <v>82</v>
      </c>
      <c r="BE3306" s="2">
        <v>41</v>
      </c>
      <c r="BF3306" s="2" t="s">
        <v>82</v>
      </c>
      <c r="BG3306" s="2"/>
      <c r="BH3306" s="2"/>
      <c r="BI3306" s="2"/>
      <c r="BJ3306" s="2">
        <v>241</v>
      </c>
      <c r="BK3306" s="2" t="s">
        <v>82</v>
      </c>
      <c r="BL3306" s="2"/>
      <c r="BM3306" s="2">
        <v>241</v>
      </c>
      <c r="BN3306" s="2" t="s">
        <v>82</v>
      </c>
      <c r="BO3306" s="2"/>
      <c r="BP3306" s="2">
        <v>241</v>
      </c>
      <c r="BQ3306" s="2" t="s">
        <v>82</v>
      </c>
      <c r="BR3306" s="2"/>
      <c r="BS3306" s="3">
        <v>40402</v>
      </c>
      <c r="BT3306" s="4">
        <v>4.0486111111111105E-2</v>
      </c>
    </row>
    <row r="3307" spans="1:72" x14ac:dyDescent="0.25">
      <c r="A3307" s="2">
        <v>4878</v>
      </c>
      <c r="B3307" s="2">
        <v>2010</v>
      </c>
      <c r="C3307" s="2" t="s">
        <v>72</v>
      </c>
      <c r="D3307" s="2" t="s">
        <v>73</v>
      </c>
      <c r="E3307" s="2"/>
      <c r="F3307" s="2">
        <v>2</v>
      </c>
      <c r="G3307" s="2" t="s">
        <v>113</v>
      </c>
      <c r="H3307" s="2">
        <v>1</v>
      </c>
      <c r="I3307" s="2" t="s">
        <v>82</v>
      </c>
      <c r="J3307" s="2">
        <v>300</v>
      </c>
      <c r="K3307" s="2" t="s">
        <v>114</v>
      </c>
      <c r="L3307" s="2" t="s">
        <v>115</v>
      </c>
      <c r="M3307" s="3">
        <v>40402</v>
      </c>
      <c r="N3307" s="2" t="s">
        <v>82</v>
      </c>
      <c r="O3307" s="2" t="s">
        <v>82</v>
      </c>
      <c r="P3307" s="2" t="s">
        <v>82</v>
      </c>
      <c r="Q3307" s="2" t="str">
        <f>"411-E/10"</f>
        <v>411-E/10</v>
      </c>
      <c r="R3307" s="2" t="s">
        <v>601</v>
      </c>
      <c r="S3307" s="2" t="s">
        <v>601</v>
      </c>
      <c r="T3307" s="2">
        <v>1</v>
      </c>
      <c r="U3307" s="2" t="s">
        <v>79</v>
      </c>
      <c r="V3307" s="2">
        <v>1</v>
      </c>
      <c r="W3307" s="2" t="s">
        <v>80</v>
      </c>
      <c r="X3307" s="2">
        <v>12</v>
      </c>
      <c r="Y3307" s="2" t="s">
        <v>148</v>
      </c>
      <c r="Z3307" s="2">
        <v>1</v>
      </c>
      <c r="AA3307" s="2" t="s">
        <v>82</v>
      </c>
      <c r="AB3307" s="2">
        <v>6</v>
      </c>
      <c r="AC3307" s="2" t="s">
        <v>83</v>
      </c>
      <c r="AD3307" s="2"/>
      <c r="AE3307" s="2"/>
      <c r="AF3307" s="3">
        <v>40401</v>
      </c>
      <c r="AG3307" s="4">
        <v>0.99652777777777779</v>
      </c>
      <c r="AH3307" s="2">
        <v>2</v>
      </c>
      <c r="AI3307" s="2" t="s">
        <v>84</v>
      </c>
      <c r="AJ3307" s="2">
        <v>9</v>
      </c>
      <c r="AK3307" s="2" t="s">
        <v>103</v>
      </c>
      <c r="AL3307" s="2">
        <v>26</v>
      </c>
      <c r="AM3307" s="2" t="s">
        <v>6036</v>
      </c>
      <c r="AN3307" s="2" t="s">
        <v>10668</v>
      </c>
      <c r="AO3307" s="2"/>
      <c r="AP3307" s="2">
        <v>11</v>
      </c>
      <c r="AQ3307" s="2" t="s">
        <v>82</v>
      </c>
      <c r="AR3307" s="2"/>
      <c r="AS3307" s="2"/>
      <c r="AT3307" s="2" t="s">
        <v>10669</v>
      </c>
      <c r="AU3307" s="2"/>
      <c r="AV3307" s="2"/>
      <c r="AW3307" s="2"/>
      <c r="AX3307" s="2"/>
      <c r="AY3307" s="2">
        <v>41</v>
      </c>
      <c r="AZ3307" s="2" t="s">
        <v>82</v>
      </c>
      <c r="BA3307" s="2">
        <v>41</v>
      </c>
      <c r="BB3307" s="2" t="s">
        <v>82</v>
      </c>
      <c r="BC3307" s="2">
        <v>41</v>
      </c>
      <c r="BD3307" s="2" t="s">
        <v>82</v>
      </c>
      <c r="BE3307" s="2">
        <v>23</v>
      </c>
      <c r="BF3307" s="2" t="s">
        <v>183</v>
      </c>
      <c r="BG3307" s="2" t="s">
        <v>9043</v>
      </c>
      <c r="BH3307" s="2"/>
      <c r="BI3307" s="2"/>
      <c r="BJ3307" s="2">
        <v>73</v>
      </c>
      <c r="BK3307" s="2" t="s">
        <v>186</v>
      </c>
      <c r="BL3307" s="2" t="s">
        <v>187</v>
      </c>
      <c r="BM3307" s="2">
        <v>241</v>
      </c>
      <c r="BN3307" s="2" t="s">
        <v>82</v>
      </c>
      <c r="BO3307" s="2"/>
      <c r="BP3307" s="2">
        <v>13</v>
      </c>
      <c r="BQ3307" s="2" t="s">
        <v>91</v>
      </c>
      <c r="BR3307" s="2" t="s">
        <v>360</v>
      </c>
      <c r="BS3307" s="3">
        <v>40402</v>
      </c>
      <c r="BT3307" s="4">
        <v>9.9537037037037035E-2</v>
      </c>
    </row>
    <row r="3308" spans="1:72" x14ac:dyDescent="0.25">
      <c r="A3308" s="2">
        <v>4879</v>
      </c>
      <c r="B3308" s="2">
        <v>2010</v>
      </c>
      <c r="C3308" s="2" t="s">
        <v>72</v>
      </c>
      <c r="D3308" s="2" t="s">
        <v>73</v>
      </c>
      <c r="E3308" s="2"/>
      <c r="F3308" s="2">
        <v>176</v>
      </c>
      <c r="G3308" s="2" t="s">
        <v>10318</v>
      </c>
      <c r="H3308" s="2">
        <v>130</v>
      </c>
      <c r="I3308" s="2" t="s">
        <v>10319</v>
      </c>
      <c r="J3308" s="2">
        <v>184</v>
      </c>
      <c r="K3308" s="2" t="s">
        <v>10320</v>
      </c>
      <c r="L3308" s="2" t="s">
        <v>10321</v>
      </c>
      <c r="M3308" s="3">
        <v>40402</v>
      </c>
      <c r="N3308" s="2" t="s">
        <v>10670</v>
      </c>
      <c r="O3308" s="2"/>
      <c r="P3308" s="2"/>
      <c r="Q3308" s="2" t="str">
        <f>"313-A/10"</f>
        <v>313-A/10</v>
      </c>
      <c r="R3308" s="2" t="s">
        <v>116</v>
      </c>
      <c r="S3308" s="2" t="s">
        <v>116</v>
      </c>
      <c r="T3308" s="2">
        <v>1</v>
      </c>
      <c r="U3308" s="2" t="s">
        <v>79</v>
      </c>
      <c r="V3308" s="2">
        <v>1</v>
      </c>
      <c r="W3308" s="2" t="s">
        <v>80</v>
      </c>
      <c r="X3308" s="2">
        <v>12</v>
      </c>
      <c r="Y3308" s="2" t="s">
        <v>148</v>
      </c>
      <c r="Z3308" s="2">
        <v>1</v>
      </c>
      <c r="AA3308" s="2" t="s">
        <v>82</v>
      </c>
      <c r="AB3308" s="2">
        <v>6</v>
      </c>
      <c r="AC3308" s="2" t="s">
        <v>83</v>
      </c>
      <c r="AD3308" s="3">
        <v>40401</v>
      </c>
      <c r="AE3308" s="4">
        <v>0.74652777777777779</v>
      </c>
      <c r="AF3308" s="3">
        <v>40401</v>
      </c>
      <c r="AG3308" s="4">
        <v>0.78125</v>
      </c>
      <c r="AH3308" s="2">
        <v>2</v>
      </c>
      <c r="AI3308" s="2" t="s">
        <v>84</v>
      </c>
      <c r="AJ3308" s="2">
        <v>12</v>
      </c>
      <c r="AK3308" s="2" t="s">
        <v>85</v>
      </c>
      <c r="AL3308" s="2">
        <v>12</v>
      </c>
      <c r="AM3308" s="2" t="s">
        <v>86</v>
      </c>
      <c r="AN3308" s="2" t="s">
        <v>1988</v>
      </c>
      <c r="AO3308" s="2" t="s">
        <v>6746</v>
      </c>
      <c r="AP3308" s="2">
        <v>11</v>
      </c>
      <c r="AQ3308" s="2" t="s">
        <v>82</v>
      </c>
      <c r="AR3308" s="2"/>
      <c r="AS3308" s="2"/>
      <c r="AT3308" s="2" t="s">
        <v>10671</v>
      </c>
      <c r="AU3308" s="2">
        <v>2</v>
      </c>
      <c r="AV3308" s="2"/>
      <c r="AW3308" s="2"/>
      <c r="AX3308" s="2"/>
      <c r="AY3308" s="2">
        <v>41</v>
      </c>
      <c r="AZ3308" s="2" t="s">
        <v>82</v>
      </c>
      <c r="BA3308" s="2">
        <v>41</v>
      </c>
      <c r="BB3308" s="2" t="s">
        <v>82</v>
      </c>
      <c r="BC3308" s="2">
        <v>41</v>
      </c>
      <c r="BD3308" s="2" t="s">
        <v>82</v>
      </c>
      <c r="BE3308" s="2">
        <v>41</v>
      </c>
      <c r="BF3308" s="2" t="s">
        <v>82</v>
      </c>
      <c r="BG3308" s="2"/>
      <c r="BH3308" s="2"/>
      <c r="BI3308" s="2"/>
      <c r="BJ3308" s="2">
        <v>241</v>
      </c>
      <c r="BK3308" s="2" t="s">
        <v>82</v>
      </c>
      <c r="BL3308" s="2"/>
      <c r="BM3308" s="2">
        <v>241</v>
      </c>
      <c r="BN3308" s="2" t="s">
        <v>82</v>
      </c>
      <c r="BO3308" s="2"/>
      <c r="BP3308" s="2">
        <v>241</v>
      </c>
      <c r="BQ3308" s="2" t="s">
        <v>82</v>
      </c>
      <c r="BR3308" s="2"/>
      <c r="BS3308" s="3">
        <v>40402</v>
      </c>
      <c r="BT3308" s="4">
        <v>0.20427083333333332</v>
      </c>
    </row>
    <row r="3309" spans="1:72" x14ac:dyDescent="0.25">
      <c r="A3309" s="2">
        <v>4882</v>
      </c>
      <c r="B3309" s="2">
        <v>2010</v>
      </c>
      <c r="C3309" s="2" t="s">
        <v>806</v>
      </c>
      <c r="D3309" s="2" t="s">
        <v>122</v>
      </c>
      <c r="E3309" s="2" t="s">
        <v>10672</v>
      </c>
      <c r="F3309" s="2">
        <v>530</v>
      </c>
      <c r="G3309" s="2" t="s">
        <v>3315</v>
      </c>
      <c r="H3309" s="2">
        <v>61</v>
      </c>
      <c r="I3309" s="2" t="s">
        <v>3043</v>
      </c>
      <c r="J3309" s="2">
        <v>461</v>
      </c>
      <c r="K3309" s="2" t="s">
        <v>3316</v>
      </c>
      <c r="L3309" s="2" t="s">
        <v>3317</v>
      </c>
      <c r="M3309" s="3">
        <v>40402</v>
      </c>
      <c r="N3309" s="2" t="s">
        <v>2135</v>
      </c>
      <c r="O3309" s="2" t="s">
        <v>10658</v>
      </c>
      <c r="P3309" s="6">
        <v>44747</v>
      </c>
      <c r="Q3309" s="2" t="str">
        <f>""</f>
        <v/>
      </c>
      <c r="R3309" s="2"/>
      <c r="S3309" s="2"/>
      <c r="T3309" s="2">
        <v>1</v>
      </c>
      <c r="U3309" s="2" t="s">
        <v>79</v>
      </c>
      <c r="V3309" s="2">
        <v>3</v>
      </c>
      <c r="W3309" s="2" t="s">
        <v>225</v>
      </c>
      <c r="X3309" s="2">
        <v>9</v>
      </c>
      <c r="Y3309" s="2" t="s">
        <v>3393</v>
      </c>
      <c r="Z3309" s="2">
        <v>1</v>
      </c>
      <c r="AA3309" s="2" t="s">
        <v>82</v>
      </c>
      <c r="AB3309" s="2">
        <v>9</v>
      </c>
      <c r="AC3309" s="2" t="s">
        <v>124</v>
      </c>
      <c r="AD3309" s="3">
        <v>40401</v>
      </c>
      <c r="AE3309" s="4">
        <v>0.38194444444444442</v>
      </c>
      <c r="AF3309" s="2"/>
      <c r="AG3309" s="2"/>
      <c r="AH3309" s="2">
        <v>4</v>
      </c>
      <c r="AI3309" s="2" t="s">
        <v>125</v>
      </c>
      <c r="AJ3309" s="2">
        <v>26</v>
      </c>
      <c r="AK3309" s="2" t="s">
        <v>293</v>
      </c>
      <c r="AL3309" s="2">
        <v>23</v>
      </c>
      <c r="AM3309" s="2" t="s">
        <v>251</v>
      </c>
      <c r="AN3309" s="2"/>
      <c r="AO3309" s="2" t="s">
        <v>10673</v>
      </c>
      <c r="AP3309" s="2">
        <v>11</v>
      </c>
      <c r="AQ3309" s="2" t="s">
        <v>82</v>
      </c>
      <c r="AR3309" s="2"/>
      <c r="AS3309" s="2"/>
      <c r="AT3309" s="2" t="s">
        <v>10674</v>
      </c>
      <c r="AU3309" s="2"/>
      <c r="AV3309" s="2"/>
      <c r="AW3309" s="2"/>
      <c r="AX3309" s="2"/>
      <c r="AY3309" s="2">
        <v>41</v>
      </c>
      <c r="AZ3309" s="2" t="s">
        <v>82</v>
      </c>
      <c r="BA3309" s="2">
        <v>41</v>
      </c>
      <c r="BB3309" s="2" t="s">
        <v>82</v>
      </c>
      <c r="BC3309" s="2">
        <v>41</v>
      </c>
      <c r="BD3309" s="2" t="s">
        <v>82</v>
      </c>
      <c r="BE3309" s="2">
        <v>41</v>
      </c>
      <c r="BF3309" s="2" t="s">
        <v>82</v>
      </c>
      <c r="BG3309" s="2"/>
      <c r="BH3309" s="2"/>
      <c r="BI3309" s="2"/>
      <c r="BJ3309" s="2">
        <v>241</v>
      </c>
      <c r="BK3309" s="2" t="s">
        <v>82</v>
      </c>
      <c r="BL3309" s="2"/>
      <c r="BM3309" s="2">
        <v>241</v>
      </c>
      <c r="BN3309" s="2" t="s">
        <v>82</v>
      </c>
      <c r="BO3309" s="2"/>
      <c r="BP3309" s="2">
        <v>241</v>
      </c>
      <c r="BQ3309" s="2" t="s">
        <v>82</v>
      </c>
      <c r="BR3309" s="2"/>
      <c r="BS3309" s="3">
        <v>40402</v>
      </c>
      <c r="BT3309" s="4">
        <v>0.45982638888888888</v>
      </c>
    </row>
    <row r="3310" spans="1:72" x14ac:dyDescent="0.25">
      <c r="A3310" s="2">
        <v>4885</v>
      </c>
      <c r="B3310" s="2">
        <v>2010</v>
      </c>
      <c r="C3310" s="2" t="s">
        <v>377</v>
      </c>
      <c r="D3310" s="2" t="s">
        <v>73</v>
      </c>
      <c r="E3310" s="2"/>
      <c r="F3310" s="2">
        <v>426</v>
      </c>
      <c r="G3310" s="2" t="s">
        <v>378</v>
      </c>
      <c r="H3310" s="2">
        <v>42</v>
      </c>
      <c r="I3310" s="2" t="s">
        <v>1096</v>
      </c>
      <c r="J3310" s="2">
        <v>311</v>
      </c>
      <c r="K3310" s="2" t="s">
        <v>379</v>
      </c>
      <c r="L3310" s="2" t="s">
        <v>380</v>
      </c>
      <c r="M3310" s="3">
        <v>40402</v>
      </c>
      <c r="N3310" s="2" t="s">
        <v>5164</v>
      </c>
      <c r="O3310" s="2"/>
      <c r="P3310" s="2"/>
      <c r="Q3310" s="2" t="str">
        <f>"202-C/10"</f>
        <v>202-C/10</v>
      </c>
      <c r="R3310" s="2" t="s">
        <v>4428</v>
      </c>
      <c r="S3310" s="2"/>
      <c r="T3310" s="2">
        <v>1</v>
      </c>
      <c r="U3310" s="2" t="s">
        <v>79</v>
      </c>
      <c r="V3310" s="2">
        <v>1</v>
      </c>
      <c r="W3310" s="2" t="s">
        <v>80</v>
      </c>
      <c r="X3310" s="2">
        <v>1</v>
      </c>
      <c r="Y3310" s="2" t="s">
        <v>81</v>
      </c>
      <c r="Z3310" s="2">
        <v>1</v>
      </c>
      <c r="AA3310" s="2" t="s">
        <v>82</v>
      </c>
      <c r="AB3310" s="2">
        <v>9</v>
      </c>
      <c r="AC3310" s="2" t="s">
        <v>124</v>
      </c>
      <c r="AD3310" s="3">
        <v>40401</v>
      </c>
      <c r="AE3310" s="4">
        <v>0.90972222222222221</v>
      </c>
      <c r="AF3310" s="2"/>
      <c r="AG3310" s="2"/>
      <c r="AH3310" s="2">
        <v>2</v>
      </c>
      <c r="AI3310" s="2" t="s">
        <v>84</v>
      </c>
      <c r="AJ3310" s="2">
        <v>9</v>
      </c>
      <c r="AK3310" s="2" t="s">
        <v>103</v>
      </c>
      <c r="AL3310" s="2">
        <v>29</v>
      </c>
      <c r="AM3310" s="2" t="s">
        <v>5416</v>
      </c>
      <c r="AN3310" s="2"/>
      <c r="AO3310" s="2" t="s">
        <v>7214</v>
      </c>
      <c r="AP3310" s="2">
        <v>11</v>
      </c>
      <c r="AQ3310" s="2" t="s">
        <v>82</v>
      </c>
      <c r="AR3310" s="2"/>
      <c r="AS3310" s="2"/>
      <c r="AT3310" s="2" t="s">
        <v>10675</v>
      </c>
      <c r="AU3310" s="2"/>
      <c r="AV3310" s="2"/>
      <c r="AW3310" s="2"/>
      <c r="AX3310" s="2"/>
      <c r="AY3310" s="2">
        <v>41</v>
      </c>
      <c r="AZ3310" s="2" t="s">
        <v>82</v>
      </c>
      <c r="BA3310" s="2">
        <v>41</v>
      </c>
      <c r="BB3310" s="2" t="s">
        <v>82</v>
      </c>
      <c r="BC3310" s="2">
        <v>41</v>
      </c>
      <c r="BD3310" s="2" t="s">
        <v>82</v>
      </c>
      <c r="BE3310" s="2">
        <v>41</v>
      </c>
      <c r="BF3310" s="2" t="s">
        <v>82</v>
      </c>
      <c r="BG3310" s="2"/>
      <c r="BH3310" s="2"/>
      <c r="BI3310" s="2"/>
      <c r="BJ3310" s="2">
        <v>241</v>
      </c>
      <c r="BK3310" s="2" t="s">
        <v>82</v>
      </c>
      <c r="BL3310" s="2"/>
      <c r="BM3310" s="2">
        <v>241</v>
      </c>
      <c r="BN3310" s="2" t="s">
        <v>82</v>
      </c>
      <c r="BO3310" s="2"/>
      <c r="BP3310" s="2">
        <v>241</v>
      </c>
      <c r="BQ3310" s="2" t="s">
        <v>82</v>
      </c>
      <c r="BR3310" s="2"/>
      <c r="BS3310" s="3">
        <v>40402</v>
      </c>
      <c r="BT3310" s="4">
        <v>0.48972222222222223</v>
      </c>
    </row>
    <row r="3311" spans="1:72" x14ac:dyDescent="0.25">
      <c r="A3311" s="2">
        <v>4887</v>
      </c>
      <c r="B3311" s="2">
        <v>2010</v>
      </c>
      <c r="C3311" s="2" t="s">
        <v>806</v>
      </c>
      <c r="D3311" s="2" t="s">
        <v>73</v>
      </c>
      <c r="E3311" s="2"/>
      <c r="F3311" s="2">
        <v>530</v>
      </c>
      <c r="G3311" s="2" t="s">
        <v>3315</v>
      </c>
      <c r="H3311" s="2">
        <v>89</v>
      </c>
      <c r="I3311" s="2" t="s">
        <v>5137</v>
      </c>
      <c r="J3311" s="2">
        <v>461</v>
      </c>
      <c r="K3311" s="2" t="s">
        <v>3316</v>
      </c>
      <c r="L3311" s="2" t="s">
        <v>3317</v>
      </c>
      <c r="M3311" s="3">
        <v>40402</v>
      </c>
      <c r="N3311" s="2" t="s">
        <v>10676</v>
      </c>
      <c r="O3311" s="2" t="s">
        <v>10677</v>
      </c>
      <c r="P3311" s="2" t="s">
        <v>8238</v>
      </c>
      <c r="Q3311" s="2" t="str">
        <f>"S/D"</f>
        <v>S/D</v>
      </c>
      <c r="R3311" s="2" t="s">
        <v>107</v>
      </c>
      <c r="S3311" s="2" t="s">
        <v>107</v>
      </c>
      <c r="T3311" s="2">
        <v>1</v>
      </c>
      <c r="U3311" s="2" t="s">
        <v>79</v>
      </c>
      <c r="V3311" s="2">
        <v>1</v>
      </c>
      <c r="W3311" s="2" t="s">
        <v>80</v>
      </c>
      <c r="X3311" s="2">
        <v>9</v>
      </c>
      <c r="Y3311" s="2" t="s">
        <v>3393</v>
      </c>
      <c r="Z3311" s="2">
        <v>1</v>
      </c>
      <c r="AA3311" s="2" t="s">
        <v>82</v>
      </c>
      <c r="AB3311" s="2">
        <v>9</v>
      </c>
      <c r="AC3311" s="2" t="s">
        <v>124</v>
      </c>
      <c r="AD3311" s="3">
        <v>40402</v>
      </c>
      <c r="AE3311" s="2"/>
      <c r="AF3311" s="3">
        <v>40402</v>
      </c>
      <c r="AG3311" s="4">
        <v>0.44791666666666669</v>
      </c>
      <c r="AH3311" s="2">
        <v>7</v>
      </c>
      <c r="AI3311" s="2" t="s">
        <v>801</v>
      </c>
      <c r="AJ3311" s="2">
        <v>3</v>
      </c>
      <c r="AK3311" s="2" t="s">
        <v>802</v>
      </c>
      <c r="AL3311" s="2">
        <v>23</v>
      </c>
      <c r="AM3311" s="2" t="s">
        <v>251</v>
      </c>
      <c r="AN3311" s="2" t="s">
        <v>107</v>
      </c>
      <c r="AO3311" s="2" t="s">
        <v>10678</v>
      </c>
      <c r="AP3311" s="2">
        <v>11</v>
      </c>
      <c r="AQ3311" s="2" t="s">
        <v>82</v>
      </c>
      <c r="AR3311" s="2" t="s">
        <v>107</v>
      </c>
      <c r="AS3311" s="2" t="s">
        <v>107</v>
      </c>
      <c r="AT3311" s="2" t="s">
        <v>10679</v>
      </c>
      <c r="AU3311" s="2">
        <v>1</v>
      </c>
      <c r="AV3311" s="2"/>
      <c r="AW3311" s="2"/>
      <c r="AX3311" s="2"/>
      <c r="AY3311" s="2">
        <v>1</v>
      </c>
      <c r="AZ3311" s="2" t="s">
        <v>107</v>
      </c>
      <c r="BA3311" s="2">
        <v>1</v>
      </c>
      <c r="BB3311" s="2" t="s">
        <v>107</v>
      </c>
      <c r="BC3311" s="2">
        <v>1</v>
      </c>
      <c r="BD3311" s="2" t="s">
        <v>107</v>
      </c>
      <c r="BE3311" s="2">
        <v>1</v>
      </c>
      <c r="BF3311" s="2" t="s">
        <v>107</v>
      </c>
      <c r="BG3311" s="2" t="s">
        <v>107</v>
      </c>
      <c r="BH3311" s="2"/>
      <c r="BI3311" s="2"/>
      <c r="BJ3311" s="2">
        <v>242</v>
      </c>
      <c r="BK3311" s="2" t="s">
        <v>107</v>
      </c>
      <c r="BL3311" s="2" t="s">
        <v>107</v>
      </c>
      <c r="BM3311" s="2">
        <v>242</v>
      </c>
      <c r="BN3311" s="2" t="s">
        <v>107</v>
      </c>
      <c r="BO3311" s="2" t="s">
        <v>107</v>
      </c>
      <c r="BP3311" s="2">
        <v>242</v>
      </c>
      <c r="BQ3311" s="2" t="s">
        <v>107</v>
      </c>
      <c r="BR3311" s="2" t="s">
        <v>107</v>
      </c>
      <c r="BS3311" s="3">
        <v>40402</v>
      </c>
      <c r="BT3311" s="4">
        <v>0.57233796296296291</v>
      </c>
    </row>
    <row r="3312" spans="1:72" x14ac:dyDescent="0.25">
      <c r="A3312" s="2">
        <v>4889</v>
      </c>
      <c r="B3312" s="2">
        <v>2010</v>
      </c>
      <c r="C3312" s="2" t="s">
        <v>4543</v>
      </c>
      <c r="D3312" s="2" t="s">
        <v>122</v>
      </c>
      <c r="E3312" s="2"/>
      <c r="F3312" s="2">
        <v>434</v>
      </c>
      <c r="G3312" s="2" t="s">
        <v>1517</v>
      </c>
      <c r="H3312" s="2">
        <v>1</v>
      </c>
      <c r="I3312" s="2" t="s">
        <v>82</v>
      </c>
      <c r="J3312" s="2">
        <v>639</v>
      </c>
      <c r="K3312" s="2" t="s">
        <v>10680</v>
      </c>
      <c r="L3312" s="2" t="s">
        <v>10681</v>
      </c>
      <c r="M3312" s="3">
        <v>40402</v>
      </c>
      <c r="N3312" s="2" t="s">
        <v>82</v>
      </c>
      <c r="O3312" s="2" t="s">
        <v>10682</v>
      </c>
      <c r="P3312" s="2" t="s">
        <v>10683</v>
      </c>
      <c r="Q3312" s="2" t="str">
        <f>""</f>
        <v/>
      </c>
      <c r="R3312" s="2"/>
      <c r="S3312" s="2"/>
      <c r="T3312" s="2">
        <v>2</v>
      </c>
      <c r="U3312" s="2" t="s">
        <v>123</v>
      </c>
      <c r="V3312" s="2">
        <v>1</v>
      </c>
      <c r="W3312" s="2" t="s">
        <v>80</v>
      </c>
      <c r="X3312" s="2">
        <v>4</v>
      </c>
      <c r="Y3312" s="2" t="s">
        <v>463</v>
      </c>
      <c r="Z3312" s="2">
        <v>9</v>
      </c>
      <c r="AA3312" s="2" t="s">
        <v>1119</v>
      </c>
      <c r="AB3312" s="2">
        <v>9</v>
      </c>
      <c r="AC3312" s="2" t="s">
        <v>124</v>
      </c>
      <c r="AD3312" s="3">
        <v>40402</v>
      </c>
      <c r="AE3312" s="4">
        <v>0.45833333333333331</v>
      </c>
      <c r="AF3312" s="2"/>
      <c r="AG3312" s="2"/>
      <c r="AH3312" s="2">
        <v>3</v>
      </c>
      <c r="AI3312" s="2" t="s">
        <v>214</v>
      </c>
      <c r="AJ3312" s="2">
        <v>17</v>
      </c>
      <c r="AK3312" s="2" t="s">
        <v>309</v>
      </c>
      <c r="AL3312" s="2">
        <v>25</v>
      </c>
      <c r="AM3312" s="2" t="s">
        <v>3073</v>
      </c>
      <c r="AN3312" s="2" t="s">
        <v>1328</v>
      </c>
      <c r="AO3312" s="2" t="s">
        <v>10684</v>
      </c>
      <c r="AP3312" s="2">
        <v>11</v>
      </c>
      <c r="AQ3312" s="2" t="s">
        <v>82</v>
      </c>
      <c r="AR3312" s="2"/>
      <c r="AS3312" s="2"/>
      <c r="AT3312" s="2" t="s">
        <v>10685</v>
      </c>
      <c r="AU3312" s="2">
        <v>1</v>
      </c>
      <c r="AV3312" s="2"/>
      <c r="AW3312" s="2"/>
      <c r="AX3312" s="2"/>
      <c r="AY3312" s="2">
        <v>41</v>
      </c>
      <c r="AZ3312" s="2" t="s">
        <v>82</v>
      </c>
      <c r="BA3312" s="2">
        <v>41</v>
      </c>
      <c r="BB3312" s="2" t="s">
        <v>82</v>
      </c>
      <c r="BC3312" s="2">
        <v>41</v>
      </c>
      <c r="BD3312" s="2" t="s">
        <v>82</v>
      </c>
      <c r="BE3312" s="2">
        <v>17</v>
      </c>
      <c r="BF3312" s="2" t="s">
        <v>508</v>
      </c>
      <c r="BG3312" s="2" t="s">
        <v>10686</v>
      </c>
      <c r="BH3312" s="4">
        <v>0.45833333333333331</v>
      </c>
      <c r="BI3312" s="4">
        <v>0.4201388888888889</v>
      </c>
      <c r="BJ3312" s="2">
        <v>46</v>
      </c>
      <c r="BK3312" s="2" t="s">
        <v>307</v>
      </c>
      <c r="BL3312" s="2" t="s">
        <v>308</v>
      </c>
      <c r="BM3312" s="2">
        <v>241</v>
      </c>
      <c r="BN3312" s="2" t="s">
        <v>82</v>
      </c>
      <c r="BO3312" s="2"/>
      <c r="BP3312" s="2">
        <v>13</v>
      </c>
      <c r="BQ3312" s="2" t="s">
        <v>91</v>
      </c>
      <c r="BR3312" s="2" t="s">
        <v>445</v>
      </c>
      <c r="BS3312" s="3">
        <v>40402</v>
      </c>
      <c r="BT3312" s="4">
        <v>0.62613425925925925</v>
      </c>
    </row>
    <row r="3313" spans="1:72" x14ac:dyDescent="0.25">
      <c r="A3313" s="2">
        <v>4890</v>
      </c>
      <c r="B3313" s="2">
        <v>2010</v>
      </c>
      <c r="C3313" s="2" t="s">
        <v>72</v>
      </c>
      <c r="D3313" s="2" t="s">
        <v>122</v>
      </c>
      <c r="E3313" s="2" t="s">
        <v>10687</v>
      </c>
      <c r="F3313" s="2">
        <v>176</v>
      </c>
      <c r="G3313" s="2" t="s">
        <v>10318</v>
      </c>
      <c r="H3313" s="2">
        <v>130</v>
      </c>
      <c r="I3313" s="2" t="s">
        <v>10319</v>
      </c>
      <c r="J3313" s="2">
        <v>184</v>
      </c>
      <c r="K3313" s="2" t="s">
        <v>10320</v>
      </c>
      <c r="L3313" s="2" t="s">
        <v>10321</v>
      </c>
      <c r="M3313" s="3">
        <v>40402</v>
      </c>
      <c r="N3313" s="2" t="s">
        <v>10670</v>
      </c>
      <c r="O3313" s="2"/>
      <c r="P3313" s="2"/>
      <c r="Q3313" s="2" t="str">
        <f>"313-A/10"</f>
        <v>313-A/10</v>
      </c>
      <c r="R3313" s="2" t="s">
        <v>116</v>
      </c>
      <c r="S3313" s="2"/>
      <c r="T3313" s="2">
        <v>1</v>
      </c>
      <c r="U3313" s="2" t="s">
        <v>79</v>
      </c>
      <c r="V3313" s="2">
        <v>1</v>
      </c>
      <c r="W3313" s="2" t="s">
        <v>80</v>
      </c>
      <c r="X3313" s="2">
        <v>10</v>
      </c>
      <c r="Y3313" s="2" t="s">
        <v>226</v>
      </c>
      <c r="Z3313" s="2">
        <v>10</v>
      </c>
      <c r="AA3313" s="2" t="s">
        <v>236</v>
      </c>
      <c r="AB3313" s="2">
        <v>6</v>
      </c>
      <c r="AC3313" s="2" t="s">
        <v>83</v>
      </c>
      <c r="AD3313" s="3">
        <v>40401</v>
      </c>
      <c r="AE3313" s="4">
        <v>0.74652777777777779</v>
      </c>
      <c r="AF3313" s="3">
        <v>40401</v>
      </c>
      <c r="AG3313" s="4">
        <v>0.78125</v>
      </c>
      <c r="AH3313" s="2">
        <v>2</v>
      </c>
      <c r="AI3313" s="2" t="s">
        <v>84</v>
      </c>
      <c r="AJ3313" s="2">
        <v>12</v>
      </c>
      <c r="AK3313" s="2" t="s">
        <v>85</v>
      </c>
      <c r="AL3313" s="2">
        <v>27</v>
      </c>
      <c r="AM3313" s="2" t="s">
        <v>6225</v>
      </c>
      <c r="AN3313" s="2" t="s">
        <v>1971</v>
      </c>
      <c r="AO3313" s="2" t="s">
        <v>194</v>
      </c>
      <c r="AP3313" s="2">
        <v>11</v>
      </c>
      <c r="AQ3313" s="2" t="s">
        <v>82</v>
      </c>
      <c r="AR3313" s="2"/>
      <c r="AS3313" s="2"/>
      <c r="AT3313" s="2" t="s">
        <v>10688</v>
      </c>
      <c r="AU3313" s="2">
        <v>2</v>
      </c>
      <c r="AV3313" s="2"/>
      <c r="AW3313" s="2"/>
      <c r="AX3313" s="2"/>
      <c r="AY3313" s="2">
        <v>41</v>
      </c>
      <c r="AZ3313" s="2" t="s">
        <v>82</v>
      </c>
      <c r="BA3313" s="2">
        <v>41</v>
      </c>
      <c r="BB3313" s="2" t="s">
        <v>82</v>
      </c>
      <c r="BC3313" s="2">
        <v>41</v>
      </c>
      <c r="BD3313" s="2" t="s">
        <v>82</v>
      </c>
      <c r="BE3313" s="2">
        <v>41</v>
      </c>
      <c r="BF3313" s="2" t="s">
        <v>82</v>
      </c>
      <c r="BG3313" s="2"/>
      <c r="BH3313" s="2"/>
      <c r="BI3313" s="2"/>
      <c r="BJ3313" s="2">
        <v>241</v>
      </c>
      <c r="BK3313" s="2" t="s">
        <v>82</v>
      </c>
      <c r="BL3313" s="2"/>
      <c r="BM3313" s="2">
        <v>241</v>
      </c>
      <c r="BN3313" s="2" t="s">
        <v>82</v>
      </c>
      <c r="BO3313" s="2"/>
      <c r="BP3313" s="2">
        <v>241</v>
      </c>
      <c r="BQ3313" s="2" t="s">
        <v>82</v>
      </c>
      <c r="BR3313" s="2"/>
      <c r="BS3313" s="3">
        <v>40402</v>
      </c>
      <c r="BT3313" s="4">
        <v>0.62946759259259266</v>
      </c>
    </row>
    <row r="3314" spans="1:72" x14ac:dyDescent="0.25">
      <c r="A3314" s="2">
        <v>4891</v>
      </c>
      <c r="B3314" s="2">
        <v>2010</v>
      </c>
      <c r="C3314" s="2" t="s">
        <v>414</v>
      </c>
      <c r="D3314" s="2" t="s">
        <v>73</v>
      </c>
      <c r="E3314" s="2"/>
      <c r="F3314" s="2">
        <v>318</v>
      </c>
      <c r="G3314" s="2" t="s">
        <v>1018</v>
      </c>
      <c r="H3314" s="2">
        <v>42</v>
      </c>
      <c r="I3314" s="2" t="s">
        <v>1096</v>
      </c>
      <c r="J3314" s="2">
        <v>367</v>
      </c>
      <c r="K3314" s="2" t="s">
        <v>1019</v>
      </c>
      <c r="L3314" s="2" t="s">
        <v>1020</v>
      </c>
      <c r="M3314" s="3">
        <v>40402</v>
      </c>
      <c r="N3314" s="2" t="s">
        <v>10689</v>
      </c>
      <c r="O3314" s="2" t="s">
        <v>82</v>
      </c>
      <c r="P3314" s="2" t="s">
        <v>82</v>
      </c>
      <c r="Q3314" s="2" t="str">
        <f>"0008/2010"</f>
        <v>0008/2010</v>
      </c>
      <c r="R3314" s="2" t="s">
        <v>82</v>
      </c>
      <c r="S3314" s="2" t="s">
        <v>82</v>
      </c>
      <c r="T3314" s="2">
        <v>1</v>
      </c>
      <c r="U3314" s="2" t="s">
        <v>79</v>
      </c>
      <c r="V3314" s="2">
        <v>1</v>
      </c>
      <c r="W3314" s="2" t="s">
        <v>80</v>
      </c>
      <c r="X3314" s="2">
        <v>12</v>
      </c>
      <c r="Y3314" s="2" t="s">
        <v>148</v>
      </c>
      <c r="Z3314" s="2">
        <v>1</v>
      </c>
      <c r="AA3314" s="2" t="s">
        <v>82</v>
      </c>
      <c r="AB3314" s="2">
        <v>9</v>
      </c>
      <c r="AC3314" s="2" t="s">
        <v>124</v>
      </c>
      <c r="AD3314" s="3">
        <v>40402</v>
      </c>
      <c r="AE3314" s="4">
        <v>0.375</v>
      </c>
      <c r="AF3314" s="3">
        <v>40402</v>
      </c>
      <c r="AG3314" s="4">
        <v>0.41666666666666669</v>
      </c>
      <c r="AH3314" s="2">
        <v>5</v>
      </c>
      <c r="AI3314" s="2" t="s">
        <v>274</v>
      </c>
      <c r="AJ3314" s="2">
        <v>44</v>
      </c>
      <c r="AK3314" s="2" t="s">
        <v>667</v>
      </c>
      <c r="AL3314" s="2">
        <v>9</v>
      </c>
      <c r="AM3314" s="2" t="s">
        <v>259</v>
      </c>
      <c r="AN3314" s="2"/>
      <c r="AO3314" s="2" t="s">
        <v>10690</v>
      </c>
      <c r="AP3314" s="2">
        <v>11</v>
      </c>
      <c r="AQ3314" s="2" t="s">
        <v>82</v>
      </c>
      <c r="AR3314" s="2"/>
      <c r="AS3314" s="2"/>
      <c r="AT3314" s="2" t="s">
        <v>10691</v>
      </c>
      <c r="AU3314" s="2"/>
      <c r="AV3314" s="2"/>
      <c r="AW3314" s="2"/>
      <c r="AX3314" s="2"/>
      <c r="AY3314" s="2">
        <v>41</v>
      </c>
      <c r="AZ3314" s="2" t="s">
        <v>82</v>
      </c>
      <c r="BA3314" s="2">
        <v>41</v>
      </c>
      <c r="BB3314" s="2" t="s">
        <v>82</v>
      </c>
      <c r="BC3314" s="2">
        <v>41</v>
      </c>
      <c r="BD3314" s="2" t="s">
        <v>82</v>
      </c>
      <c r="BE3314" s="2">
        <v>41</v>
      </c>
      <c r="BF3314" s="2" t="s">
        <v>82</v>
      </c>
      <c r="BG3314" s="2" t="s">
        <v>82</v>
      </c>
      <c r="BH3314" s="2"/>
      <c r="BI3314" s="2"/>
      <c r="BJ3314" s="2">
        <v>241</v>
      </c>
      <c r="BK3314" s="2" t="s">
        <v>82</v>
      </c>
      <c r="BL3314" s="2"/>
      <c r="BM3314" s="2">
        <v>241</v>
      </c>
      <c r="BN3314" s="2" t="s">
        <v>82</v>
      </c>
      <c r="BO3314" s="2"/>
      <c r="BP3314" s="2">
        <v>241</v>
      </c>
      <c r="BQ3314" s="2" t="s">
        <v>82</v>
      </c>
      <c r="BR3314" s="2"/>
      <c r="BS3314" s="3">
        <v>40402</v>
      </c>
      <c r="BT3314" s="4">
        <v>0.62966435185185188</v>
      </c>
    </row>
    <row r="3315" spans="1:72" x14ac:dyDescent="0.25">
      <c r="A3315" s="2">
        <v>4892</v>
      </c>
      <c r="B3315" s="2">
        <v>2010</v>
      </c>
      <c r="C3315" s="2" t="s">
        <v>2011</v>
      </c>
      <c r="D3315" s="2" t="s">
        <v>73</v>
      </c>
      <c r="E3315" s="2"/>
      <c r="F3315" s="2">
        <v>45</v>
      </c>
      <c r="G3315" s="2" t="s">
        <v>1408</v>
      </c>
      <c r="H3315" s="2">
        <v>47</v>
      </c>
      <c r="I3315" s="2" t="s">
        <v>1409</v>
      </c>
      <c r="J3315" s="2">
        <v>77</v>
      </c>
      <c r="K3315" s="2" t="s">
        <v>2517</v>
      </c>
      <c r="L3315" s="2" t="s">
        <v>2518</v>
      </c>
      <c r="M3315" s="3">
        <v>40402</v>
      </c>
      <c r="N3315" s="2" t="s">
        <v>2795</v>
      </c>
      <c r="O3315" s="2"/>
      <c r="P3315" s="2"/>
      <c r="Q3315" s="2" t="str">
        <f>""</f>
        <v/>
      </c>
      <c r="R3315" s="2"/>
      <c r="S3315" s="2"/>
      <c r="T3315" s="2">
        <v>1</v>
      </c>
      <c r="U3315" s="2" t="s">
        <v>79</v>
      </c>
      <c r="V3315" s="2">
        <v>1</v>
      </c>
      <c r="W3315" s="2" t="s">
        <v>80</v>
      </c>
      <c r="X3315" s="2">
        <v>1</v>
      </c>
      <c r="Y3315" s="2" t="s">
        <v>81</v>
      </c>
      <c r="Z3315" s="2">
        <v>1</v>
      </c>
      <c r="AA3315" s="2" t="s">
        <v>82</v>
      </c>
      <c r="AB3315" s="2">
        <v>9</v>
      </c>
      <c r="AC3315" s="2" t="s">
        <v>124</v>
      </c>
      <c r="AD3315" s="3">
        <v>40402</v>
      </c>
      <c r="AE3315" s="4">
        <v>0.5625</v>
      </c>
      <c r="AF3315" s="2"/>
      <c r="AG3315" s="2"/>
      <c r="AH3315" s="2">
        <v>4</v>
      </c>
      <c r="AI3315" s="2" t="s">
        <v>125</v>
      </c>
      <c r="AJ3315" s="2">
        <v>31</v>
      </c>
      <c r="AK3315" s="2" t="s">
        <v>1413</v>
      </c>
      <c r="AL3315" s="2">
        <v>9</v>
      </c>
      <c r="AM3315" s="2" t="s">
        <v>259</v>
      </c>
      <c r="AN3315" s="2"/>
      <c r="AO3315" s="2" t="s">
        <v>10692</v>
      </c>
      <c r="AP3315" s="2">
        <v>11</v>
      </c>
      <c r="AQ3315" s="2" t="s">
        <v>82</v>
      </c>
      <c r="AR3315" s="2"/>
      <c r="AS3315" s="2"/>
      <c r="AT3315" s="2" t="s">
        <v>10693</v>
      </c>
      <c r="AU3315" s="2"/>
      <c r="AV3315" s="2"/>
      <c r="AW3315" s="2"/>
      <c r="AX3315" s="2"/>
      <c r="AY3315" s="2">
        <v>1</v>
      </c>
      <c r="AZ3315" s="2" t="s">
        <v>107</v>
      </c>
      <c r="BA3315" s="2">
        <v>1</v>
      </c>
      <c r="BB3315" s="2" t="s">
        <v>107</v>
      </c>
      <c r="BC3315" s="2">
        <v>1</v>
      </c>
      <c r="BD3315" s="2" t="s">
        <v>107</v>
      </c>
      <c r="BE3315" s="2">
        <v>1</v>
      </c>
      <c r="BF3315" s="2" t="s">
        <v>107</v>
      </c>
      <c r="BG3315" s="2"/>
      <c r="BH3315" s="2"/>
      <c r="BI3315" s="2"/>
      <c r="BJ3315" s="2">
        <v>242</v>
      </c>
      <c r="BK3315" s="2" t="s">
        <v>107</v>
      </c>
      <c r="BL3315" s="2"/>
      <c r="BM3315" s="2">
        <v>242</v>
      </c>
      <c r="BN3315" s="2" t="s">
        <v>107</v>
      </c>
      <c r="BO3315" s="2"/>
      <c r="BP3315" s="2">
        <v>242</v>
      </c>
      <c r="BQ3315" s="2" t="s">
        <v>107</v>
      </c>
      <c r="BR3315" s="2"/>
      <c r="BS3315" s="3">
        <v>40402</v>
      </c>
      <c r="BT3315" s="4">
        <v>0.63012731481481488</v>
      </c>
    </row>
    <row r="3316" spans="1:72" x14ac:dyDescent="0.25">
      <c r="A3316" s="2">
        <v>4894</v>
      </c>
      <c r="B3316" s="2">
        <v>2010</v>
      </c>
      <c r="C3316" s="2" t="s">
        <v>121</v>
      </c>
      <c r="D3316" s="2" t="s">
        <v>122</v>
      </c>
      <c r="E3316" s="2"/>
      <c r="F3316" s="2">
        <v>1</v>
      </c>
      <c r="G3316" s="2" t="s">
        <v>82</v>
      </c>
      <c r="H3316" s="2">
        <v>1</v>
      </c>
      <c r="I3316" s="2" t="s">
        <v>82</v>
      </c>
      <c r="J3316" s="2">
        <v>1</v>
      </c>
      <c r="K3316" s="2" t="s">
        <v>107</v>
      </c>
      <c r="L3316" s="2" t="s">
        <v>107</v>
      </c>
      <c r="M3316" s="3">
        <v>40402</v>
      </c>
      <c r="N3316" s="2"/>
      <c r="O3316" s="2"/>
      <c r="P3316" s="2"/>
      <c r="Q3316" s="2" t="str">
        <f>""</f>
        <v/>
      </c>
      <c r="R3316" s="2"/>
      <c r="S3316" s="2"/>
      <c r="T3316" s="2">
        <v>2</v>
      </c>
      <c r="U3316" s="2" t="s">
        <v>123</v>
      </c>
      <c r="V3316" s="2">
        <v>1</v>
      </c>
      <c r="W3316" s="2" t="s">
        <v>80</v>
      </c>
      <c r="X3316" s="2">
        <v>11</v>
      </c>
      <c r="Y3316" s="2" t="s">
        <v>1920</v>
      </c>
      <c r="Z3316" s="2">
        <v>1</v>
      </c>
      <c r="AA3316" s="2" t="s">
        <v>82</v>
      </c>
      <c r="AB3316" s="2">
        <v>9</v>
      </c>
      <c r="AC3316" s="2" t="s">
        <v>124</v>
      </c>
      <c r="AD3316" s="3">
        <v>40402</v>
      </c>
      <c r="AE3316" s="4">
        <v>0.57291666666666663</v>
      </c>
      <c r="AF3316" s="2"/>
      <c r="AG3316" s="2"/>
      <c r="AH3316" s="2">
        <v>3</v>
      </c>
      <c r="AI3316" s="2" t="s">
        <v>214</v>
      </c>
      <c r="AJ3316" s="2">
        <v>18</v>
      </c>
      <c r="AK3316" s="2" t="s">
        <v>4469</v>
      </c>
      <c r="AL3316" s="2">
        <v>10</v>
      </c>
      <c r="AM3316" s="2" t="s">
        <v>200</v>
      </c>
      <c r="AN3316" s="2"/>
      <c r="AO3316" s="2" t="s">
        <v>10694</v>
      </c>
      <c r="AP3316" s="2">
        <v>11</v>
      </c>
      <c r="AQ3316" s="2" t="s">
        <v>82</v>
      </c>
      <c r="AR3316" s="2"/>
      <c r="AS3316" s="2"/>
      <c r="AT3316" s="2" t="s">
        <v>10695</v>
      </c>
      <c r="AU3316" s="2"/>
      <c r="AV3316" s="2"/>
      <c r="AW3316" s="2"/>
      <c r="AX3316" s="2"/>
      <c r="AY3316" s="2">
        <v>41</v>
      </c>
      <c r="AZ3316" s="2" t="s">
        <v>82</v>
      </c>
      <c r="BA3316" s="2">
        <v>41</v>
      </c>
      <c r="BB3316" s="2" t="s">
        <v>82</v>
      </c>
      <c r="BC3316" s="2">
        <v>41</v>
      </c>
      <c r="BD3316" s="2" t="s">
        <v>82</v>
      </c>
      <c r="BE3316" s="2">
        <v>41</v>
      </c>
      <c r="BF3316" s="2" t="s">
        <v>82</v>
      </c>
      <c r="BG3316" s="2" t="s">
        <v>10696</v>
      </c>
      <c r="BH3316" s="4">
        <v>0.57291666666666663</v>
      </c>
      <c r="BI3316" s="4">
        <v>0.62847222222222221</v>
      </c>
      <c r="BJ3316" s="2">
        <v>13</v>
      </c>
      <c r="BK3316" s="2" t="s">
        <v>91</v>
      </c>
      <c r="BL3316" s="2" t="s">
        <v>9138</v>
      </c>
      <c r="BM3316" s="2">
        <v>241</v>
      </c>
      <c r="BN3316" s="2" t="s">
        <v>82</v>
      </c>
      <c r="BO3316" s="2"/>
      <c r="BP3316" s="2">
        <v>13</v>
      </c>
      <c r="BQ3316" s="2" t="s">
        <v>91</v>
      </c>
      <c r="BR3316" s="2" t="s">
        <v>10697</v>
      </c>
      <c r="BS3316" s="3">
        <v>40402</v>
      </c>
      <c r="BT3316" s="4">
        <v>0.64278935185185182</v>
      </c>
    </row>
    <row r="3317" spans="1:72" x14ac:dyDescent="0.25">
      <c r="A3317" s="2">
        <v>4896</v>
      </c>
      <c r="B3317" s="2">
        <v>2010</v>
      </c>
      <c r="C3317" s="2" t="s">
        <v>806</v>
      </c>
      <c r="D3317" s="2" t="s">
        <v>122</v>
      </c>
      <c r="E3317" s="2" t="s">
        <v>10672</v>
      </c>
      <c r="F3317" s="2">
        <v>530</v>
      </c>
      <c r="G3317" s="2" t="s">
        <v>3315</v>
      </c>
      <c r="H3317" s="2">
        <v>61</v>
      </c>
      <c r="I3317" s="2" t="s">
        <v>3043</v>
      </c>
      <c r="J3317" s="2">
        <v>461</v>
      </c>
      <c r="K3317" s="2" t="s">
        <v>3316</v>
      </c>
      <c r="L3317" s="2" t="s">
        <v>3317</v>
      </c>
      <c r="M3317" s="3">
        <v>40402</v>
      </c>
      <c r="N3317" s="2" t="s">
        <v>2135</v>
      </c>
      <c r="O3317" s="2" t="s">
        <v>10658</v>
      </c>
      <c r="P3317" s="6">
        <v>44747</v>
      </c>
      <c r="Q3317" s="2" t="str">
        <f>""</f>
        <v/>
      </c>
      <c r="R3317" s="2"/>
      <c r="S3317" s="2"/>
      <c r="T3317" s="2">
        <v>1</v>
      </c>
      <c r="U3317" s="2" t="s">
        <v>79</v>
      </c>
      <c r="V3317" s="2">
        <v>3</v>
      </c>
      <c r="W3317" s="2" t="s">
        <v>225</v>
      </c>
      <c r="X3317" s="2">
        <v>5</v>
      </c>
      <c r="Y3317" s="2" t="s">
        <v>82</v>
      </c>
      <c r="Z3317" s="2">
        <v>1</v>
      </c>
      <c r="AA3317" s="2" t="s">
        <v>82</v>
      </c>
      <c r="AB3317" s="2">
        <v>9</v>
      </c>
      <c r="AC3317" s="2" t="s">
        <v>124</v>
      </c>
      <c r="AD3317" s="2"/>
      <c r="AE3317" s="2"/>
      <c r="AF3317" s="2"/>
      <c r="AG3317" s="2"/>
      <c r="AH3317" s="2">
        <v>4</v>
      </c>
      <c r="AI3317" s="2" t="s">
        <v>125</v>
      </c>
      <c r="AJ3317" s="2">
        <v>26</v>
      </c>
      <c r="AK3317" s="2" t="s">
        <v>293</v>
      </c>
      <c r="AL3317" s="2">
        <v>18</v>
      </c>
      <c r="AM3317" s="2" t="s">
        <v>82</v>
      </c>
      <c r="AN3317" s="2"/>
      <c r="AO3317" s="2"/>
      <c r="AP3317" s="2">
        <v>11</v>
      </c>
      <c r="AQ3317" s="2" t="s">
        <v>82</v>
      </c>
      <c r="AR3317" s="2"/>
      <c r="AS3317" s="2"/>
      <c r="AT3317" s="2" t="s">
        <v>10698</v>
      </c>
      <c r="AU3317" s="2"/>
      <c r="AV3317" s="2"/>
      <c r="AW3317" s="2"/>
      <c r="AX3317" s="2"/>
      <c r="AY3317" s="2">
        <v>1</v>
      </c>
      <c r="AZ3317" s="2" t="s">
        <v>107</v>
      </c>
      <c r="BA3317" s="2">
        <v>1</v>
      </c>
      <c r="BB3317" s="2" t="s">
        <v>107</v>
      </c>
      <c r="BC3317" s="2">
        <v>1</v>
      </c>
      <c r="BD3317" s="2" t="s">
        <v>107</v>
      </c>
      <c r="BE3317" s="2">
        <v>1</v>
      </c>
      <c r="BF3317" s="2" t="s">
        <v>107</v>
      </c>
      <c r="BG3317" s="2"/>
      <c r="BH3317" s="2"/>
      <c r="BI3317" s="2"/>
      <c r="BJ3317" s="2">
        <v>242</v>
      </c>
      <c r="BK3317" s="2" t="s">
        <v>107</v>
      </c>
      <c r="BL3317" s="2"/>
      <c r="BM3317" s="2">
        <v>242</v>
      </c>
      <c r="BN3317" s="2" t="s">
        <v>107</v>
      </c>
      <c r="BO3317" s="2"/>
      <c r="BP3317" s="2">
        <v>242</v>
      </c>
      <c r="BQ3317" s="2" t="s">
        <v>107</v>
      </c>
      <c r="BR3317" s="2"/>
      <c r="BS3317" s="3">
        <v>40402</v>
      </c>
      <c r="BT3317" s="4">
        <v>0.65804398148148147</v>
      </c>
    </row>
    <row r="3318" spans="1:72" x14ac:dyDescent="0.25">
      <c r="A3318" s="2">
        <v>4898</v>
      </c>
      <c r="B3318" s="2">
        <v>2010</v>
      </c>
      <c r="C3318" s="2" t="s">
        <v>171</v>
      </c>
      <c r="D3318" s="2" t="s">
        <v>122</v>
      </c>
      <c r="E3318" s="2" t="s">
        <v>10699</v>
      </c>
      <c r="F3318" s="2">
        <v>233</v>
      </c>
      <c r="G3318" s="2" t="s">
        <v>3858</v>
      </c>
      <c r="H3318" s="2">
        <v>17</v>
      </c>
      <c r="I3318" s="2" t="s">
        <v>3602</v>
      </c>
      <c r="J3318" s="2">
        <v>316</v>
      </c>
      <c r="K3318" s="2" t="s">
        <v>574</v>
      </c>
      <c r="L3318" s="2" t="s">
        <v>575</v>
      </c>
      <c r="M3318" s="3">
        <v>40402</v>
      </c>
      <c r="N3318" s="2" t="s">
        <v>3826</v>
      </c>
      <c r="O3318" s="2"/>
      <c r="P3318" s="2"/>
      <c r="Q3318" s="2" t="str">
        <f>"403-E/10"</f>
        <v>403-E/10</v>
      </c>
      <c r="R3318" s="2" t="s">
        <v>391</v>
      </c>
      <c r="S3318" s="2" t="s">
        <v>391</v>
      </c>
      <c r="T3318" s="2">
        <v>1</v>
      </c>
      <c r="U3318" s="2" t="s">
        <v>79</v>
      </c>
      <c r="V3318" s="2">
        <v>1</v>
      </c>
      <c r="W3318" s="2" t="s">
        <v>80</v>
      </c>
      <c r="X3318" s="2">
        <v>11</v>
      </c>
      <c r="Y3318" s="2" t="s">
        <v>1920</v>
      </c>
      <c r="Z3318" s="2">
        <v>1</v>
      </c>
      <c r="AA3318" s="2" t="s">
        <v>82</v>
      </c>
      <c r="AB3318" s="2">
        <v>1</v>
      </c>
      <c r="AC3318" s="2" t="s">
        <v>178</v>
      </c>
      <c r="AD3318" s="3">
        <v>40398</v>
      </c>
      <c r="AE3318" s="4">
        <v>0.66666666666666663</v>
      </c>
      <c r="AF3318" s="2"/>
      <c r="AG3318" s="2"/>
      <c r="AH3318" s="2">
        <v>2</v>
      </c>
      <c r="AI3318" s="2" t="s">
        <v>84</v>
      </c>
      <c r="AJ3318" s="2">
        <v>9</v>
      </c>
      <c r="AK3318" s="2" t="s">
        <v>103</v>
      </c>
      <c r="AL3318" s="2">
        <v>12</v>
      </c>
      <c r="AM3318" s="2" t="s">
        <v>86</v>
      </c>
      <c r="AN3318" s="2"/>
      <c r="AO3318" s="2" t="s">
        <v>10536</v>
      </c>
      <c r="AP3318" s="2">
        <v>11</v>
      </c>
      <c r="AQ3318" s="2" t="s">
        <v>82</v>
      </c>
      <c r="AR3318" s="2"/>
      <c r="AS3318" s="2"/>
      <c r="AT3318" s="2" t="s">
        <v>10700</v>
      </c>
      <c r="AU3318" s="2"/>
      <c r="AV3318" s="2">
        <v>1</v>
      </c>
      <c r="AW3318" s="2"/>
      <c r="AX3318" s="2"/>
      <c r="AY3318" s="2">
        <v>41</v>
      </c>
      <c r="AZ3318" s="2" t="s">
        <v>82</v>
      </c>
      <c r="BA3318" s="2">
        <v>41</v>
      </c>
      <c r="BB3318" s="2" t="s">
        <v>82</v>
      </c>
      <c r="BC3318" s="2">
        <v>41</v>
      </c>
      <c r="BD3318" s="2" t="s">
        <v>82</v>
      </c>
      <c r="BE3318" s="2">
        <v>33</v>
      </c>
      <c r="BF3318" s="2" t="s">
        <v>1083</v>
      </c>
      <c r="BG3318" s="2" t="s">
        <v>2165</v>
      </c>
      <c r="BH3318" s="2"/>
      <c r="BI3318" s="4">
        <v>0.77083333333333337</v>
      </c>
      <c r="BJ3318" s="2">
        <v>13</v>
      </c>
      <c r="BK3318" s="2" t="s">
        <v>91</v>
      </c>
      <c r="BL3318" s="2" t="s">
        <v>185</v>
      </c>
      <c r="BM3318" s="2">
        <v>242</v>
      </c>
      <c r="BN3318" s="2" t="s">
        <v>107</v>
      </c>
      <c r="BO3318" s="2"/>
      <c r="BP3318" s="2">
        <v>205</v>
      </c>
      <c r="BQ3318" s="2" t="s">
        <v>1085</v>
      </c>
      <c r="BR3318" s="2" t="s">
        <v>1086</v>
      </c>
      <c r="BS3318" s="3">
        <v>40402</v>
      </c>
      <c r="BT3318" s="4">
        <v>0.65820601851851845</v>
      </c>
    </row>
    <row r="3319" spans="1:72" x14ac:dyDescent="0.25">
      <c r="A3319" s="2">
        <v>4900</v>
      </c>
      <c r="B3319" s="2">
        <v>2010</v>
      </c>
      <c r="C3319" s="2" t="s">
        <v>171</v>
      </c>
      <c r="D3319" s="2" t="s">
        <v>73</v>
      </c>
      <c r="E3319" s="2"/>
      <c r="F3319" s="2">
        <v>100</v>
      </c>
      <c r="G3319" s="2" t="s">
        <v>517</v>
      </c>
      <c r="H3319" s="2">
        <v>47</v>
      </c>
      <c r="I3319" s="2" t="s">
        <v>1409</v>
      </c>
      <c r="J3319" s="2">
        <v>119</v>
      </c>
      <c r="K3319" s="2" t="s">
        <v>325</v>
      </c>
      <c r="L3319" s="2" t="s">
        <v>326</v>
      </c>
      <c r="M3319" s="3">
        <v>40402</v>
      </c>
      <c r="N3319" s="2" t="s">
        <v>10701</v>
      </c>
      <c r="O3319" s="2"/>
      <c r="P3319" s="2"/>
      <c r="Q3319" s="2" t="str">
        <f>"0031-10"</f>
        <v>0031-10</v>
      </c>
      <c r="R3319" s="2" t="s">
        <v>8924</v>
      </c>
      <c r="S3319" s="2" t="s">
        <v>10702</v>
      </c>
      <c r="T3319" s="2">
        <v>1</v>
      </c>
      <c r="U3319" s="2" t="s">
        <v>79</v>
      </c>
      <c r="V3319" s="2">
        <v>1</v>
      </c>
      <c r="W3319" s="2" t="s">
        <v>80</v>
      </c>
      <c r="X3319" s="2">
        <v>1</v>
      </c>
      <c r="Y3319" s="2" t="s">
        <v>81</v>
      </c>
      <c r="Z3319" s="2">
        <v>1</v>
      </c>
      <c r="AA3319" s="2" t="s">
        <v>82</v>
      </c>
      <c r="AB3319" s="2">
        <v>1</v>
      </c>
      <c r="AC3319" s="2" t="s">
        <v>178</v>
      </c>
      <c r="AD3319" s="3">
        <v>40402</v>
      </c>
      <c r="AE3319" s="4">
        <v>0.49652777777777773</v>
      </c>
      <c r="AF3319" s="2"/>
      <c r="AG3319" s="2"/>
      <c r="AH3319" s="2">
        <v>6</v>
      </c>
      <c r="AI3319" s="2" t="s">
        <v>197</v>
      </c>
      <c r="AJ3319" s="2">
        <v>50</v>
      </c>
      <c r="AK3319" s="2" t="s">
        <v>330</v>
      </c>
      <c r="AL3319" s="2">
        <v>11</v>
      </c>
      <c r="AM3319" s="2" t="s">
        <v>137</v>
      </c>
      <c r="AN3319" s="2" t="s">
        <v>10703</v>
      </c>
      <c r="AO3319" s="2" t="s">
        <v>6881</v>
      </c>
      <c r="AP3319" s="2">
        <v>11</v>
      </c>
      <c r="AQ3319" s="2" t="s">
        <v>82</v>
      </c>
      <c r="AR3319" s="2" t="s">
        <v>82</v>
      </c>
      <c r="AS3319" s="2" t="s">
        <v>82</v>
      </c>
      <c r="AT3319" s="2" t="s">
        <v>10704</v>
      </c>
      <c r="AU3319" s="2"/>
      <c r="AV3319" s="2"/>
      <c r="AW3319" s="2"/>
      <c r="AX3319" s="2"/>
      <c r="AY3319" s="2">
        <v>41</v>
      </c>
      <c r="AZ3319" s="2" t="s">
        <v>82</v>
      </c>
      <c r="BA3319" s="2">
        <v>41</v>
      </c>
      <c r="BB3319" s="2" t="s">
        <v>82</v>
      </c>
      <c r="BC3319" s="2">
        <v>41</v>
      </c>
      <c r="BD3319" s="2" t="s">
        <v>82</v>
      </c>
      <c r="BE3319" s="2">
        <v>4</v>
      </c>
      <c r="BF3319" s="2" t="s">
        <v>90</v>
      </c>
      <c r="BG3319" s="2">
        <v>4345</v>
      </c>
      <c r="BH3319" s="2"/>
      <c r="BI3319" s="4">
        <v>0.5</v>
      </c>
      <c r="BJ3319" s="2">
        <v>13</v>
      </c>
      <c r="BK3319" s="2" t="s">
        <v>91</v>
      </c>
      <c r="BL3319" s="2" t="s">
        <v>332</v>
      </c>
      <c r="BM3319" s="2">
        <v>13</v>
      </c>
      <c r="BN3319" s="2" t="s">
        <v>91</v>
      </c>
      <c r="BO3319" s="2" t="s">
        <v>82</v>
      </c>
      <c r="BP3319" s="2">
        <v>13</v>
      </c>
      <c r="BQ3319" s="2" t="s">
        <v>91</v>
      </c>
      <c r="BR3319" s="2" t="s">
        <v>170</v>
      </c>
      <c r="BS3319" s="3">
        <v>40402</v>
      </c>
      <c r="BT3319" s="4">
        <v>0.70047453703703699</v>
      </c>
    </row>
    <row r="3320" spans="1:72" x14ac:dyDescent="0.25">
      <c r="A3320" s="2">
        <v>4901</v>
      </c>
      <c r="B3320" s="2">
        <v>2010</v>
      </c>
      <c r="C3320" s="2" t="s">
        <v>2011</v>
      </c>
      <c r="D3320" s="2" t="s">
        <v>122</v>
      </c>
      <c r="E3320" s="2" t="s">
        <v>10705</v>
      </c>
      <c r="F3320" s="2">
        <v>45</v>
      </c>
      <c r="G3320" s="2" t="s">
        <v>1408</v>
      </c>
      <c r="H3320" s="2">
        <v>47</v>
      </c>
      <c r="I3320" s="2" t="s">
        <v>1409</v>
      </c>
      <c r="J3320" s="2">
        <v>77</v>
      </c>
      <c r="K3320" s="2" t="s">
        <v>2517</v>
      </c>
      <c r="L3320" s="2" t="s">
        <v>2518</v>
      </c>
      <c r="M3320" s="3">
        <v>40402</v>
      </c>
      <c r="N3320" s="2" t="s">
        <v>2795</v>
      </c>
      <c r="O3320" s="2"/>
      <c r="P3320" s="2"/>
      <c r="Q3320" s="2" t="str">
        <f>""</f>
        <v/>
      </c>
      <c r="R3320" s="2"/>
      <c r="S3320" s="2"/>
      <c r="T3320" s="2">
        <v>1</v>
      </c>
      <c r="U3320" s="2" t="s">
        <v>79</v>
      </c>
      <c r="V3320" s="2">
        <v>1</v>
      </c>
      <c r="W3320" s="2" t="s">
        <v>80</v>
      </c>
      <c r="X3320" s="2">
        <v>5</v>
      </c>
      <c r="Y3320" s="2" t="s">
        <v>82</v>
      </c>
      <c r="Z3320" s="2">
        <v>1</v>
      </c>
      <c r="AA3320" s="2" t="s">
        <v>82</v>
      </c>
      <c r="AB3320" s="2">
        <v>9</v>
      </c>
      <c r="AC3320" s="2" t="s">
        <v>124</v>
      </c>
      <c r="AD3320" s="3">
        <v>40402</v>
      </c>
      <c r="AE3320" s="4">
        <v>0.70833333333333337</v>
      </c>
      <c r="AF3320" s="2"/>
      <c r="AG3320" s="2"/>
      <c r="AH3320" s="2">
        <v>4</v>
      </c>
      <c r="AI3320" s="2" t="s">
        <v>125</v>
      </c>
      <c r="AJ3320" s="2">
        <v>31</v>
      </c>
      <c r="AK3320" s="2" t="s">
        <v>1413</v>
      </c>
      <c r="AL3320" s="2">
        <v>9</v>
      </c>
      <c r="AM3320" s="2" t="s">
        <v>259</v>
      </c>
      <c r="AN3320" s="2"/>
      <c r="AO3320" s="2" t="s">
        <v>10692</v>
      </c>
      <c r="AP3320" s="2">
        <v>11</v>
      </c>
      <c r="AQ3320" s="2" t="s">
        <v>82</v>
      </c>
      <c r="AR3320" s="2"/>
      <c r="AS3320" s="2"/>
      <c r="AT3320" s="2" t="s">
        <v>10706</v>
      </c>
      <c r="AU3320" s="2"/>
      <c r="AV3320" s="2"/>
      <c r="AW3320" s="2"/>
      <c r="AX3320" s="2"/>
      <c r="AY3320" s="2">
        <v>1</v>
      </c>
      <c r="AZ3320" s="2" t="s">
        <v>107</v>
      </c>
      <c r="BA3320" s="2">
        <v>1</v>
      </c>
      <c r="BB3320" s="2" t="s">
        <v>107</v>
      </c>
      <c r="BC3320" s="2">
        <v>1</v>
      </c>
      <c r="BD3320" s="2" t="s">
        <v>107</v>
      </c>
      <c r="BE3320" s="2">
        <v>1</v>
      </c>
      <c r="BF3320" s="2" t="s">
        <v>107</v>
      </c>
      <c r="BG3320" s="2"/>
      <c r="BH3320" s="2"/>
      <c r="BI3320" s="2"/>
      <c r="BJ3320" s="2">
        <v>242</v>
      </c>
      <c r="BK3320" s="2" t="s">
        <v>107</v>
      </c>
      <c r="BL3320" s="2"/>
      <c r="BM3320" s="2">
        <v>242</v>
      </c>
      <c r="BN3320" s="2" t="s">
        <v>107</v>
      </c>
      <c r="BO3320" s="2"/>
      <c r="BP3320" s="2">
        <v>242</v>
      </c>
      <c r="BQ3320" s="2" t="s">
        <v>107</v>
      </c>
      <c r="BR3320" s="2"/>
      <c r="BS3320" s="3">
        <v>40402</v>
      </c>
      <c r="BT3320" s="4">
        <v>0.73501157407407414</v>
      </c>
    </row>
    <row r="3321" spans="1:72" x14ac:dyDescent="0.25">
      <c r="A3321" s="2">
        <v>4903</v>
      </c>
      <c r="B3321" s="2">
        <v>2010</v>
      </c>
      <c r="C3321" s="2" t="s">
        <v>418</v>
      </c>
      <c r="D3321" s="2" t="s">
        <v>122</v>
      </c>
      <c r="E3321" s="2"/>
      <c r="F3321" s="2">
        <v>1</v>
      </c>
      <c r="G3321" s="2" t="s">
        <v>82</v>
      </c>
      <c r="H3321" s="2">
        <v>1</v>
      </c>
      <c r="I3321" s="2" t="s">
        <v>82</v>
      </c>
      <c r="J3321" s="2">
        <v>1</v>
      </c>
      <c r="K3321" s="2" t="s">
        <v>107</v>
      </c>
      <c r="L3321" s="2" t="s">
        <v>107</v>
      </c>
      <c r="M3321" s="3">
        <v>40402</v>
      </c>
      <c r="N3321" s="2"/>
      <c r="O3321" s="2"/>
      <c r="P3321" s="2"/>
      <c r="Q3321" s="2" t="str">
        <f>""</f>
        <v/>
      </c>
      <c r="R3321" s="2"/>
      <c r="S3321" s="2"/>
      <c r="T3321" s="2">
        <v>2</v>
      </c>
      <c r="U3321" s="2" t="s">
        <v>123</v>
      </c>
      <c r="V3321" s="2">
        <v>1</v>
      </c>
      <c r="W3321" s="2" t="s">
        <v>80</v>
      </c>
      <c r="X3321" s="2">
        <v>5</v>
      </c>
      <c r="Y3321" s="2" t="s">
        <v>82</v>
      </c>
      <c r="Z3321" s="2">
        <v>1</v>
      </c>
      <c r="AA3321" s="2" t="s">
        <v>82</v>
      </c>
      <c r="AB3321" s="2">
        <v>9</v>
      </c>
      <c r="AC3321" s="2" t="s">
        <v>124</v>
      </c>
      <c r="AD3321" s="3">
        <v>40402</v>
      </c>
      <c r="AE3321" s="4">
        <v>0.69444444444444453</v>
      </c>
      <c r="AF3321" s="2"/>
      <c r="AG3321" s="2"/>
      <c r="AH3321" s="2">
        <v>4</v>
      </c>
      <c r="AI3321" s="2" t="s">
        <v>125</v>
      </c>
      <c r="AJ3321" s="2">
        <v>31</v>
      </c>
      <c r="AK3321" s="2" t="s">
        <v>1413</v>
      </c>
      <c r="AL3321" s="2">
        <v>19</v>
      </c>
      <c r="AM3321" s="2" t="s">
        <v>107</v>
      </c>
      <c r="AN3321" s="2"/>
      <c r="AO3321" s="2"/>
      <c r="AP3321" s="2">
        <v>11</v>
      </c>
      <c r="AQ3321" s="2" t="s">
        <v>82</v>
      </c>
      <c r="AR3321" s="2"/>
      <c r="AS3321" s="2"/>
      <c r="AT3321" s="2" t="s">
        <v>10707</v>
      </c>
      <c r="AU3321" s="2"/>
      <c r="AV3321" s="2"/>
      <c r="AW3321" s="2"/>
      <c r="AX3321" s="2"/>
      <c r="AY3321" s="2">
        <v>41</v>
      </c>
      <c r="AZ3321" s="2" t="s">
        <v>82</v>
      </c>
      <c r="BA3321" s="2">
        <v>41</v>
      </c>
      <c r="BB3321" s="2" t="s">
        <v>82</v>
      </c>
      <c r="BC3321" s="2">
        <v>13</v>
      </c>
      <c r="BD3321" s="2" t="s">
        <v>108</v>
      </c>
      <c r="BE3321" s="2">
        <v>13</v>
      </c>
      <c r="BF3321" s="2" t="s">
        <v>108</v>
      </c>
      <c r="BG3321" s="2" t="s">
        <v>10708</v>
      </c>
      <c r="BH3321" s="2"/>
      <c r="BI3321" s="2"/>
      <c r="BJ3321" s="2">
        <v>13</v>
      </c>
      <c r="BK3321" s="2" t="s">
        <v>91</v>
      </c>
      <c r="BL3321" s="2" t="s">
        <v>534</v>
      </c>
      <c r="BM3321" s="2">
        <v>241</v>
      </c>
      <c r="BN3321" s="2" t="s">
        <v>82</v>
      </c>
      <c r="BO3321" s="2"/>
      <c r="BP3321" s="2">
        <v>13</v>
      </c>
      <c r="BQ3321" s="2" t="s">
        <v>91</v>
      </c>
      <c r="BR3321" s="2" t="s">
        <v>4725</v>
      </c>
      <c r="BS3321" s="3">
        <v>40402</v>
      </c>
      <c r="BT3321" s="4">
        <v>0.75043981481481481</v>
      </c>
    </row>
    <row r="3322" spans="1:72" x14ac:dyDescent="0.25">
      <c r="A3322" s="2">
        <v>4904</v>
      </c>
      <c r="B3322" s="2">
        <v>2010</v>
      </c>
      <c r="C3322" s="2" t="s">
        <v>147</v>
      </c>
      <c r="D3322" s="2" t="s">
        <v>73</v>
      </c>
      <c r="E3322" s="2"/>
      <c r="F3322" s="2">
        <v>1</v>
      </c>
      <c r="G3322" s="2" t="s">
        <v>82</v>
      </c>
      <c r="H3322" s="2">
        <v>1</v>
      </c>
      <c r="I3322" s="2" t="s">
        <v>82</v>
      </c>
      <c r="J3322" s="2">
        <v>1</v>
      </c>
      <c r="K3322" s="2" t="s">
        <v>107</v>
      </c>
      <c r="L3322" s="2" t="s">
        <v>107</v>
      </c>
      <c r="M3322" s="3">
        <v>40402</v>
      </c>
      <c r="N3322" s="2"/>
      <c r="O3322" s="2"/>
      <c r="P3322" s="2"/>
      <c r="Q3322" s="2" t="str">
        <f>""</f>
        <v/>
      </c>
      <c r="R3322" s="2"/>
      <c r="S3322" s="2"/>
      <c r="T3322" s="2">
        <v>2</v>
      </c>
      <c r="U3322" s="2" t="s">
        <v>123</v>
      </c>
      <c r="V3322" s="2">
        <v>1</v>
      </c>
      <c r="W3322" s="2" t="s">
        <v>80</v>
      </c>
      <c r="X3322" s="2">
        <v>12</v>
      </c>
      <c r="Y3322" s="2" t="s">
        <v>148</v>
      </c>
      <c r="Z3322" s="2">
        <v>1</v>
      </c>
      <c r="AA3322" s="2" t="s">
        <v>82</v>
      </c>
      <c r="AB3322" s="2">
        <v>9</v>
      </c>
      <c r="AC3322" s="2" t="s">
        <v>124</v>
      </c>
      <c r="AD3322" s="2"/>
      <c r="AE3322" s="2"/>
      <c r="AF3322" s="3">
        <v>40402</v>
      </c>
      <c r="AG3322" s="4">
        <v>0.67361111111111116</v>
      </c>
      <c r="AH3322" s="2">
        <v>2</v>
      </c>
      <c r="AI3322" s="2" t="s">
        <v>84</v>
      </c>
      <c r="AJ3322" s="2">
        <v>11</v>
      </c>
      <c r="AK3322" s="2" t="s">
        <v>751</v>
      </c>
      <c r="AL3322" s="2">
        <v>19</v>
      </c>
      <c r="AM3322" s="2" t="s">
        <v>107</v>
      </c>
      <c r="AN3322" s="2"/>
      <c r="AO3322" s="2" t="s">
        <v>1772</v>
      </c>
      <c r="AP3322" s="2">
        <v>11</v>
      </c>
      <c r="AQ3322" s="2" t="s">
        <v>82</v>
      </c>
      <c r="AR3322" s="2"/>
      <c r="AS3322" s="2"/>
      <c r="AT3322" s="2" t="s">
        <v>10709</v>
      </c>
      <c r="AU3322" s="2"/>
      <c r="AV3322" s="2"/>
      <c r="AW3322" s="2"/>
      <c r="AX3322" s="2"/>
      <c r="AY3322" s="2">
        <v>41</v>
      </c>
      <c r="AZ3322" s="2" t="s">
        <v>82</v>
      </c>
      <c r="BA3322" s="2">
        <v>41</v>
      </c>
      <c r="BB3322" s="2" t="s">
        <v>82</v>
      </c>
      <c r="BC3322" s="2">
        <v>41</v>
      </c>
      <c r="BD3322" s="2" t="s">
        <v>82</v>
      </c>
      <c r="BE3322" s="2">
        <v>41</v>
      </c>
      <c r="BF3322" s="2" t="s">
        <v>82</v>
      </c>
      <c r="BG3322" s="2"/>
      <c r="BH3322" s="2"/>
      <c r="BI3322" s="2"/>
      <c r="BJ3322" s="2">
        <v>241</v>
      </c>
      <c r="BK3322" s="2" t="s">
        <v>82</v>
      </c>
      <c r="BL3322" s="2"/>
      <c r="BM3322" s="2">
        <v>241</v>
      </c>
      <c r="BN3322" s="2" t="s">
        <v>82</v>
      </c>
      <c r="BO3322" s="2"/>
      <c r="BP3322" s="2">
        <v>241</v>
      </c>
      <c r="BQ3322" s="2" t="s">
        <v>82</v>
      </c>
      <c r="BR3322" s="2"/>
      <c r="BS3322" s="3">
        <v>40402</v>
      </c>
      <c r="BT3322" s="4">
        <v>0.75842592592592595</v>
      </c>
    </row>
    <row r="3323" spans="1:72" x14ac:dyDescent="0.25">
      <c r="A3323" s="2">
        <v>4905</v>
      </c>
      <c r="B3323" s="2">
        <v>2010</v>
      </c>
      <c r="C3323" s="2" t="s">
        <v>171</v>
      </c>
      <c r="D3323" s="2" t="s">
        <v>73</v>
      </c>
      <c r="E3323" s="2" t="s">
        <v>10710</v>
      </c>
      <c r="F3323" s="2">
        <v>451</v>
      </c>
      <c r="G3323" s="2" t="s">
        <v>879</v>
      </c>
      <c r="H3323" s="2">
        <v>31</v>
      </c>
      <c r="I3323" s="2" t="s">
        <v>880</v>
      </c>
      <c r="J3323" s="2">
        <v>326</v>
      </c>
      <c r="K3323" s="2" t="s">
        <v>881</v>
      </c>
      <c r="L3323" s="2" t="s">
        <v>882</v>
      </c>
      <c r="M3323" s="3">
        <v>40402</v>
      </c>
      <c r="N3323" s="2" t="s">
        <v>1072</v>
      </c>
      <c r="O3323" s="2" t="s">
        <v>10711</v>
      </c>
      <c r="P3323" s="2" t="s">
        <v>10712</v>
      </c>
      <c r="Q3323" s="2" t="str">
        <f>"054/10"</f>
        <v>054/10</v>
      </c>
      <c r="R3323" s="2" t="s">
        <v>822</v>
      </c>
      <c r="S3323" s="2"/>
      <c r="T3323" s="2">
        <v>1</v>
      </c>
      <c r="U3323" s="2" t="s">
        <v>79</v>
      </c>
      <c r="V3323" s="2">
        <v>1</v>
      </c>
      <c r="W3323" s="2" t="s">
        <v>80</v>
      </c>
      <c r="X3323" s="2">
        <v>1</v>
      </c>
      <c r="Y3323" s="2" t="s">
        <v>81</v>
      </c>
      <c r="Z3323" s="2">
        <v>1</v>
      </c>
      <c r="AA3323" s="2" t="s">
        <v>82</v>
      </c>
      <c r="AB3323" s="2">
        <v>1</v>
      </c>
      <c r="AC3323" s="2" t="s">
        <v>178</v>
      </c>
      <c r="AD3323" s="3">
        <v>40402</v>
      </c>
      <c r="AE3323" s="4">
        <v>0.70833333333333337</v>
      </c>
      <c r="AF3323" s="2"/>
      <c r="AG3323" s="2"/>
      <c r="AH3323" s="2">
        <v>4</v>
      </c>
      <c r="AI3323" s="2" t="s">
        <v>125</v>
      </c>
      <c r="AJ3323" s="2">
        <v>29</v>
      </c>
      <c r="AK3323" s="2" t="s">
        <v>227</v>
      </c>
      <c r="AL3323" s="2">
        <v>16</v>
      </c>
      <c r="AM3323" s="2" t="s">
        <v>392</v>
      </c>
      <c r="AN3323" s="2" t="s">
        <v>6877</v>
      </c>
      <c r="AO3323" s="2"/>
      <c r="AP3323" s="2">
        <v>12</v>
      </c>
      <c r="AQ3323" s="2" t="s">
        <v>322</v>
      </c>
      <c r="AR3323" s="2" t="s">
        <v>10713</v>
      </c>
      <c r="AS3323" s="2" t="s">
        <v>10714</v>
      </c>
      <c r="AT3323" s="2" t="s">
        <v>10715</v>
      </c>
      <c r="AU3323" s="2"/>
      <c r="AV3323" s="2"/>
      <c r="AW3323" s="2"/>
      <c r="AX3323" s="2"/>
      <c r="AY3323" s="2">
        <v>41</v>
      </c>
      <c r="AZ3323" s="2" t="s">
        <v>82</v>
      </c>
      <c r="BA3323" s="2">
        <v>41</v>
      </c>
      <c r="BB3323" s="2" t="s">
        <v>82</v>
      </c>
      <c r="BC3323" s="2">
        <v>54</v>
      </c>
      <c r="BD3323" s="2" t="s">
        <v>369</v>
      </c>
      <c r="BE3323" s="2">
        <v>13</v>
      </c>
      <c r="BF3323" s="2" t="s">
        <v>108</v>
      </c>
      <c r="BG3323" s="2">
        <v>1459</v>
      </c>
      <c r="BH3323" s="4">
        <v>0.88194444444444453</v>
      </c>
      <c r="BI3323" s="4">
        <v>0.91666666666666663</v>
      </c>
      <c r="BJ3323" s="2">
        <v>13</v>
      </c>
      <c r="BK3323" s="2" t="s">
        <v>91</v>
      </c>
      <c r="BL3323" s="2" t="s">
        <v>828</v>
      </c>
      <c r="BM3323" s="2">
        <v>241</v>
      </c>
      <c r="BN3323" s="2" t="s">
        <v>82</v>
      </c>
      <c r="BO3323" s="2" t="s">
        <v>82</v>
      </c>
      <c r="BP3323" s="2">
        <v>13</v>
      </c>
      <c r="BQ3323" s="2" t="s">
        <v>91</v>
      </c>
      <c r="BR3323" s="2" t="s">
        <v>1108</v>
      </c>
      <c r="BS3323" s="3">
        <v>40402</v>
      </c>
      <c r="BT3323" s="4">
        <v>0.77515046296296297</v>
      </c>
    </row>
    <row r="3324" spans="1:72" x14ac:dyDescent="0.25">
      <c r="A3324" s="2">
        <v>4906</v>
      </c>
      <c r="B3324" s="2">
        <v>2010</v>
      </c>
      <c r="C3324" s="2" t="s">
        <v>196</v>
      </c>
      <c r="D3324" s="2" t="s">
        <v>122</v>
      </c>
      <c r="E3324" s="2"/>
      <c r="F3324" s="2">
        <v>1</v>
      </c>
      <c r="G3324" s="2" t="s">
        <v>82</v>
      </c>
      <c r="H3324" s="2">
        <v>1</v>
      </c>
      <c r="I3324" s="2" t="s">
        <v>82</v>
      </c>
      <c r="J3324" s="2">
        <v>1</v>
      </c>
      <c r="K3324" s="2" t="s">
        <v>107</v>
      </c>
      <c r="L3324" s="2" t="s">
        <v>107</v>
      </c>
      <c r="M3324" s="3">
        <v>40402</v>
      </c>
      <c r="N3324" s="2"/>
      <c r="O3324" s="2"/>
      <c r="P3324" s="2"/>
      <c r="Q3324" s="2" t="str">
        <f>""</f>
        <v/>
      </c>
      <c r="R3324" s="2"/>
      <c r="S3324" s="2"/>
      <c r="T3324" s="2">
        <v>2</v>
      </c>
      <c r="U3324" s="2" t="s">
        <v>123</v>
      </c>
      <c r="V3324" s="2">
        <v>1</v>
      </c>
      <c r="W3324" s="2" t="s">
        <v>80</v>
      </c>
      <c r="X3324" s="2">
        <v>5</v>
      </c>
      <c r="Y3324" s="2" t="s">
        <v>82</v>
      </c>
      <c r="Z3324" s="2">
        <v>1</v>
      </c>
      <c r="AA3324" s="2" t="s">
        <v>82</v>
      </c>
      <c r="AB3324" s="2">
        <v>9</v>
      </c>
      <c r="AC3324" s="2" t="s">
        <v>124</v>
      </c>
      <c r="AD3324" s="3">
        <v>40402</v>
      </c>
      <c r="AE3324" s="4">
        <v>0.78125</v>
      </c>
      <c r="AF3324" s="2"/>
      <c r="AG3324" s="2"/>
      <c r="AH3324" s="2">
        <v>6</v>
      </c>
      <c r="AI3324" s="2" t="s">
        <v>197</v>
      </c>
      <c r="AJ3324" s="2">
        <v>59</v>
      </c>
      <c r="AK3324" s="2" t="s">
        <v>198</v>
      </c>
      <c r="AL3324" s="2">
        <v>18</v>
      </c>
      <c r="AM3324" s="2" t="s">
        <v>82</v>
      </c>
      <c r="AN3324" s="2" t="s">
        <v>259</v>
      </c>
      <c r="AO3324" s="2" t="s">
        <v>230</v>
      </c>
      <c r="AP3324" s="2">
        <v>11</v>
      </c>
      <c r="AQ3324" s="2" t="s">
        <v>82</v>
      </c>
      <c r="AR3324" s="2"/>
      <c r="AS3324" s="2"/>
      <c r="AT3324" s="2" t="s">
        <v>10716</v>
      </c>
      <c r="AU3324" s="2"/>
      <c r="AV3324" s="2"/>
      <c r="AW3324" s="2"/>
      <c r="AX3324" s="2"/>
      <c r="AY3324" s="2">
        <v>1</v>
      </c>
      <c r="AZ3324" s="2" t="s">
        <v>107</v>
      </c>
      <c r="BA3324" s="2">
        <v>1</v>
      </c>
      <c r="BB3324" s="2" t="s">
        <v>107</v>
      </c>
      <c r="BC3324" s="2">
        <v>1</v>
      </c>
      <c r="BD3324" s="2" t="s">
        <v>107</v>
      </c>
      <c r="BE3324" s="2">
        <v>1</v>
      </c>
      <c r="BF3324" s="2" t="s">
        <v>107</v>
      </c>
      <c r="BG3324" s="2"/>
      <c r="BH3324" s="4">
        <v>0.78125</v>
      </c>
      <c r="BI3324" s="2"/>
      <c r="BJ3324" s="2">
        <v>13</v>
      </c>
      <c r="BK3324" s="2" t="s">
        <v>91</v>
      </c>
      <c r="BL3324" s="2" t="s">
        <v>185</v>
      </c>
      <c r="BM3324" s="2">
        <v>242</v>
      </c>
      <c r="BN3324" s="2" t="s">
        <v>107</v>
      </c>
      <c r="BO3324" s="2"/>
      <c r="BP3324" s="2">
        <v>242</v>
      </c>
      <c r="BQ3324" s="2" t="s">
        <v>107</v>
      </c>
      <c r="BR3324" s="2"/>
      <c r="BS3324" s="3">
        <v>40402</v>
      </c>
      <c r="BT3324" s="4">
        <v>0.79931712962962964</v>
      </c>
    </row>
    <row r="3325" spans="1:72" x14ac:dyDescent="0.25">
      <c r="A3325" s="2">
        <v>4907</v>
      </c>
      <c r="B3325" s="2">
        <v>2010</v>
      </c>
      <c r="C3325" s="2" t="s">
        <v>147</v>
      </c>
      <c r="D3325" s="2" t="s">
        <v>73</v>
      </c>
      <c r="E3325" s="2"/>
      <c r="F3325" s="2">
        <v>1</v>
      </c>
      <c r="G3325" s="2" t="s">
        <v>82</v>
      </c>
      <c r="H3325" s="2">
        <v>1</v>
      </c>
      <c r="I3325" s="2" t="s">
        <v>82</v>
      </c>
      <c r="J3325" s="2">
        <v>1</v>
      </c>
      <c r="K3325" s="2" t="s">
        <v>107</v>
      </c>
      <c r="L3325" s="2" t="s">
        <v>107</v>
      </c>
      <c r="M3325" s="3">
        <v>40402</v>
      </c>
      <c r="N3325" s="2"/>
      <c r="O3325" s="2"/>
      <c r="P3325" s="2"/>
      <c r="Q3325" s="2" t="str">
        <f>""</f>
        <v/>
      </c>
      <c r="R3325" s="2"/>
      <c r="S3325" s="2"/>
      <c r="T3325" s="2">
        <v>2</v>
      </c>
      <c r="U3325" s="2" t="s">
        <v>123</v>
      </c>
      <c r="V3325" s="2">
        <v>1</v>
      </c>
      <c r="W3325" s="2" t="s">
        <v>80</v>
      </c>
      <c r="X3325" s="2">
        <v>12</v>
      </c>
      <c r="Y3325" s="2" t="s">
        <v>148</v>
      </c>
      <c r="Z3325" s="2">
        <v>1</v>
      </c>
      <c r="AA3325" s="2" t="s">
        <v>82</v>
      </c>
      <c r="AB3325" s="2">
        <v>9</v>
      </c>
      <c r="AC3325" s="2" t="s">
        <v>124</v>
      </c>
      <c r="AD3325" s="2"/>
      <c r="AE3325" s="2"/>
      <c r="AF3325" s="3">
        <v>40402</v>
      </c>
      <c r="AG3325" s="4">
        <v>0.70138888888888884</v>
      </c>
      <c r="AH3325" s="2">
        <v>2</v>
      </c>
      <c r="AI3325" s="2" t="s">
        <v>84</v>
      </c>
      <c r="AJ3325" s="2">
        <v>11</v>
      </c>
      <c r="AK3325" s="2" t="s">
        <v>751</v>
      </c>
      <c r="AL3325" s="2">
        <v>19</v>
      </c>
      <c r="AM3325" s="2" t="s">
        <v>107</v>
      </c>
      <c r="AN3325" s="2"/>
      <c r="AO3325" s="2" t="s">
        <v>1772</v>
      </c>
      <c r="AP3325" s="2">
        <v>11</v>
      </c>
      <c r="AQ3325" s="2" t="s">
        <v>82</v>
      </c>
      <c r="AR3325" s="2"/>
      <c r="AS3325" s="2"/>
      <c r="AT3325" s="2" t="s">
        <v>10717</v>
      </c>
      <c r="AU3325" s="2"/>
      <c r="AV3325" s="2"/>
      <c r="AW3325" s="2"/>
      <c r="AX3325" s="2"/>
      <c r="AY3325" s="2">
        <v>41</v>
      </c>
      <c r="AZ3325" s="2" t="s">
        <v>82</v>
      </c>
      <c r="BA3325" s="2">
        <v>41</v>
      </c>
      <c r="BB3325" s="2" t="s">
        <v>82</v>
      </c>
      <c r="BC3325" s="2">
        <v>41</v>
      </c>
      <c r="BD3325" s="2" t="s">
        <v>82</v>
      </c>
      <c r="BE3325" s="2">
        <v>41</v>
      </c>
      <c r="BF3325" s="2" t="s">
        <v>82</v>
      </c>
      <c r="BG3325" s="2"/>
      <c r="BH3325" s="2"/>
      <c r="BI3325" s="2"/>
      <c r="BJ3325" s="2">
        <v>241</v>
      </c>
      <c r="BK3325" s="2" t="s">
        <v>82</v>
      </c>
      <c r="BL3325" s="2"/>
      <c r="BM3325" s="2">
        <v>241</v>
      </c>
      <c r="BN3325" s="2" t="s">
        <v>82</v>
      </c>
      <c r="BO3325" s="2"/>
      <c r="BP3325" s="2">
        <v>241</v>
      </c>
      <c r="BQ3325" s="2" t="s">
        <v>82</v>
      </c>
      <c r="BR3325" s="2"/>
      <c r="BS3325" s="3">
        <v>40402</v>
      </c>
      <c r="BT3325" s="4">
        <v>0.81660879629629635</v>
      </c>
    </row>
    <row r="3326" spans="1:72" x14ac:dyDescent="0.25">
      <c r="A3326" s="2">
        <v>4908</v>
      </c>
      <c r="B3326" s="2">
        <v>2010</v>
      </c>
      <c r="C3326" s="2" t="s">
        <v>196</v>
      </c>
      <c r="D3326" s="2" t="s">
        <v>122</v>
      </c>
      <c r="E3326" s="2"/>
      <c r="F3326" s="2">
        <v>1</v>
      </c>
      <c r="G3326" s="2" t="s">
        <v>82</v>
      </c>
      <c r="H3326" s="2">
        <v>1</v>
      </c>
      <c r="I3326" s="2" t="s">
        <v>82</v>
      </c>
      <c r="J3326" s="2">
        <v>1</v>
      </c>
      <c r="K3326" s="2" t="s">
        <v>107</v>
      </c>
      <c r="L3326" s="2" t="s">
        <v>107</v>
      </c>
      <c r="M3326" s="3">
        <v>40402</v>
      </c>
      <c r="N3326" s="2"/>
      <c r="O3326" s="2"/>
      <c r="P3326" s="2"/>
      <c r="Q3326" s="2" t="str">
        <f>""</f>
        <v/>
      </c>
      <c r="R3326" s="2"/>
      <c r="S3326" s="2"/>
      <c r="T3326" s="2">
        <v>2</v>
      </c>
      <c r="U3326" s="2" t="s">
        <v>123</v>
      </c>
      <c r="V3326" s="2">
        <v>1</v>
      </c>
      <c r="W3326" s="2" t="s">
        <v>80</v>
      </c>
      <c r="X3326" s="2">
        <v>5</v>
      </c>
      <c r="Y3326" s="2" t="s">
        <v>82</v>
      </c>
      <c r="Z3326" s="2">
        <v>1</v>
      </c>
      <c r="AA3326" s="2" t="s">
        <v>82</v>
      </c>
      <c r="AB3326" s="2">
        <v>9</v>
      </c>
      <c r="AC3326" s="2" t="s">
        <v>124</v>
      </c>
      <c r="AD3326" s="3">
        <v>40402</v>
      </c>
      <c r="AE3326" s="4">
        <v>0.81944444444444453</v>
      </c>
      <c r="AF3326" s="2"/>
      <c r="AG3326" s="2"/>
      <c r="AH3326" s="2">
        <v>6</v>
      </c>
      <c r="AI3326" s="2" t="s">
        <v>197</v>
      </c>
      <c r="AJ3326" s="2">
        <v>58</v>
      </c>
      <c r="AK3326" s="2" t="s">
        <v>406</v>
      </c>
      <c r="AL3326" s="2">
        <v>9</v>
      </c>
      <c r="AM3326" s="2" t="s">
        <v>259</v>
      </c>
      <c r="AN3326" s="2" t="s">
        <v>10718</v>
      </c>
      <c r="AO3326" s="2" t="s">
        <v>230</v>
      </c>
      <c r="AP3326" s="2">
        <v>11</v>
      </c>
      <c r="AQ3326" s="2" t="s">
        <v>82</v>
      </c>
      <c r="AR3326" s="2"/>
      <c r="AS3326" s="2"/>
      <c r="AT3326" s="2" t="s">
        <v>10719</v>
      </c>
      <c r="AU3326" s="2"/>
      <c r="AV3326" s="2"/>
      <c r="AW3326" s="2"/>
      <c r="AX3326" s="2"/>
      <c r="AY3326" s="2">
        <v>1</v>
      </c>
      <c r="AZ3326" s="2" t="s">
        <v>107</v>
      </c>
      <c r="BA3326" s="2">
        <v>1</v>
      </c>
      <c r="BB3326" s="2" t="s">
        <v>107</v>
      </c>
      <c r="BC3326" s="2">
        <v>1</v>
      </c>
      <c r="BD3326" s="2" t="s">
        <v>107</v>
      </c>
      <c r="BE3326" s="2">
        <v>1</v>
      </c>
      <c r="BF3326" s="2" t="s">
        <v>107</v>
      </c>
      <c r="BG3326" s="2"/>
      <c r="BH3326" s="2"/>
      <c r="BI3326" s="2"/>
      <c r="BJ3326" s="2">
        <v>242</v>
      </c>
      <c r="BK3326" s="2" t="s">
        <v>107</v>
      </c>
      <c r="BL3326" s="2"/>
      <c r="BM3326" s="2">
        <v>242</v>
      </c>
      <c r="BN3326" s="2" t="s">
        <v>107</v>
      </c>
      <c r="BO3326" s="2"/>
      <c r="BP3326" s="2">
        <v>242</v>
      </c>
      <c r="BQ3326" s="2" t="s">
        <v>107</v>
      </c>
      <c r="BR3326" s="2"/>
      <c r="BS3326" s="3">
        <v>40402</v>
      </c>
      <c r="BT3326" s="4">
        <v>0.85056712962962966</v>
      </c>
    </row>
    <row r="3327" spans="1:72" x14ac:dyDescent="0.25">
      <c r="A3327" s="2">
        <v>4909</v>
      </c>
      <c r="B3327" s="2">
        <v>2010</v>
      </c>
      <c r="C3327" s="2" t="s">
        <v>377</v>
      </c>
      <c r="D3327" s="2" t="s">
        <v>73</v>
      </c>
      <c r="E3327" s="2"/>
      <c r="F3327" s="2">
        <v>426</v>
      </c>
      <c r="G3327" s="2" t="s">
        <v>378</v>
      </c>
      <c r="H3327" s="2">
        <v>42</v>
      </c>
      <c r="I3327" s="2" t="s">
        <v>1096</v>
      </c>
      <c r="J3327" s="2">
        <v>311</v>
      </c>
      <c r="K3327" s="2" t="s">
        <v>379</v>
      </c>
      <c r="L3327" s="2" t="s">
        <v>380</v>
      </c>
      <c r="M3327" s="3">
        <v>40402</v>
      </c>
      <c r="N3327" s="2" t="s">
        <v>5164</v>
      </c>
      <c r="O3327" s="2"/>
      <c r="P3327" s="2"/>
      <c r="Q3327" s="2" t="str">
        <f>"203-C/10"</f>
        <v>203-C/10</v>
      </c>
      <c r="R3327" s="2" t="s">
        <v>4752</v>
      </c>
      <c r="S3327" s="2"/>
      <c r="T3327" s="2">
        <v>1</v>
      </c>
      <c r="U3327" s="2" t="s">
        <v>79</v>
      </c>
      <c r="V3327" s="2">
        <v>1</v>
      </c>
      <c r="W3327" s="2" t="s">
        <v>80</v>
      </c>
      <c r="X3327" s="2">
        <v>1</v>
      </c>
      <c r="Y3327" s="2" t="s">
        <v>81</v>
      </c>
      <c r="Z3327" s="2">
        <v>1</v>
      </c>
      <c r="AA3327" s="2" t="s">
        <v>82</v>
      </c>
      <c r="AB3327" s="2">
        <v>9</v>
      </c>
      <c r="AC3327" s="2" t="s">
        <v>124</v>
      </c>
      <c r="AD3327" s="3">
        <v>40402</v>
      </c>
      <c r="AE3327" s="4">
        <v>0.68055555555555547</v>
      </c>
      <c r="AF3327" s="2"/>
      <c r="AG3327" s="2"/>
      <c r="AH3327" s="2">
        <v>2</v>
      </c>
      <c r="AI3327" s="2" t="s">
        <v>84</v>
      </c>
      <c r="AJ3327" s="2">
        <v>9</v>
      </c>
      <c r="AK3327" s="2" t="s">
        <v>103</v>
      </c>
      <c r="AL3327" s="2">
        <v>29</v>
      </c>
      <c r="AM3327" s="2" t="s">
        <v>5416</v>
      </c>
      <c r="AN3327" s="2"/>
      <c r="AO3327" s="2" t="s">
        <v>8624</v>
      </c>
      <c r="AP3327" s="2">
        <v>11</v>
      </c>
      <c r="AQ3327" s="2" t="s">
        <v>82</v>
      </c>
      <c r="AR3327" s="2"/>
      <c r="AS3327" s="2"/>
      <c r="AT3327" s="2" t="s">
        <v>10720</v>
      </c>
      <c r="AU3327" s="2"/>
      <c r="AV3327" s="2"/>
      <c r="AW3327" s="2"/>
      <c r="AX3327" s="2"/>
      <c r="AY3327" s="2">
        <v>41</v>
      </c>
      <c r="AZ3327" s="2" t="s">
        <v>82</v>
      </c>
      <c r="BA3327" s="2">
        <v>41</v>
      </c>
      <c r="BB3327" s="2" t="s">
        <v>82</v>
      </c>
      <c r="BC3327" s="2">
        <v>41</v>
      </c>
      <c r="BD3327" s="2" t="s">
        <v>82</v>
      </c>
      <c r="BE3327" s="2">
        <v>41</v>
      </c>
      <c r="BF3327" s="2" t="s">
        <v>82</v>
      </c>
      <c r="BG3327" s="2"/>
      <c r="BH3327" s="2"/>
      <c r="BI3327" s="2"/>
      <c r="BJ3327" s="2">
        <v>241</v>
      </c>
      <c r="BK3327" s="2" t="s">
        <v>82</v>
      </c>
      <c r="BL3327" s="2"/>
      <c r="BM3327" s="2">
        <v>241</v>
      </c>
      <c r="BN3327" s="2" t="s">
        <v>82</v>
      </c>
      <c r="BO3327" s="2"/>
      <c r="BP3327" s="2">
        <v>241</v>
      </c>
      <c r="BQ3327" s="2" t="s">
        <v>82</v>
      </c>
      <c r="BR3327" s="2"/>
      <c r="BS3327" s="3">
        <v>40402</v>
      </c>
      <c r="BT3327" s="4">
        <v>0.89438657407407407</v>
      </c>
    </row>
    <row r="3328" spans="1:72" x14ac:dyDescent="0.25">
      <c r="A3328" s="2">
        <v>4910</v>
      </c>
      <c r="B3328" s="2">
        <v>2010</v>
      </c>
      <c r="C3328" s="2" t="s">
        <v>171</v>
      </c>
      <c r="D3328" s="2" t="s">
        <v>73</v>
      </c>
      <c r="E3328" s="2"/>
      <c r="F3328" s="2">
        <v>665</v>
      </c>
      <c r="G3328" s="2" t="s">
        <v>10721</v>
      </c>
      <c r="H3328" s="2">
        <v>1</v>
      </c>
      <c r="I3328" s="2" t="s">
        <v>82</v>
      </c>
      <c r="J3328" s="2">
        <v>640</v>
      </c>
      <c r="K3328" s="2" t="s">
        <v>10722</v>
      </c>
      <c r="L3328" s="2" t="s">
        <v>10723</v>
      </c>
      <c r="M3328" s="3">
        <v>40402</v>
      </c>
      <c r="N3328" s="2"/>
      <c r="O3328" s="2"/>
      <c r="P3328" s="2"/>
      <c r="Q3328" s="2" t="str">
        <f>"014-M/10"</f>
        <v>014-M/10</v>
      </c>
      <c r="R3328" s="2"/>
      <c r="S3328" s="2" t="s">
        <v>4546</v>
      </c>
      <c r="T3328" s="2">
        <v>1</v>
      </c>
      <c r="U3328" s="2" t="s">
        <v>79</v>
      </c>
      <c r="V3328" s="2">
        <v>1</v>
      </c>
      <c r="W3328" s="2" t="s">
        <v>80</v>
      </c>
      <c r="X3328" s="2">
        <v>1</v>
      </c>
      <c r="Y3328" s="2" t="s">
        <v>81</v>
      </c>
      <c r="Z3328" s="2">
        <v>1</v>
      </c>
      <c r="AA3328" s="2" t="s">
        <v>82</v>
      </c>
      <c r="AB3328" s="2">
        <v>1</v>
      </c>
      <c r="AC3328" s="2" t="s">
        <v>178</v>
      </c>
      <c r="AD3328" s="3">
        <v>40402</v>
      </c>
      <c r="AE3328" s="4">
        <v>0.64583333333333337</v>
      </c>
      <c r="AF3328" s="2"/>
      <c r="AG3328" s="2"/>
      <c r="AH3328" s="2">
        <v>2</v>
      </c>
      <c r="AI3328" s="2" t="s">
        <v>84</v>
      </c>
      <c r="AJ3328" s="2">
        <v>8</v>
      </c>
      <c r="AK3328" s="2" t="s">
        <v>436</v>
      </c>
      <c r="AL3328" s="2">
        <v>21</v>
      </c>
      <c r="AM3328" s="2" t="s">
        <v>1311</v>
      </c>
      <c r="AN3328" s="2" t="s">
        <v>5754</v>
      </c>
      <c r="AO3328" s="2"/>
      <c r="AP3328" s="2">
        <v>11</v>
      </c>
      <c r="AQ3328" s="2" t="s">
        <v>82</v>
      </c>
      <c r="AR3328" s="2"/>
      <c r="AS3328" s="2"/>
      <c r="AT3328" s="2" t="s">
        <v>10724</v>
      </c>
      <c r="AU3328" s="2"/>
      <c r="AV3328" s="2"/>
      <c r="AW3328" s="2"/>
      <c r="AX3328" s="2"/>
      <c r="AY3328" s="2">
        <v>41</v>
      </c>
      <c r="AZ3328" s="2" t="s">
        <v>82</v>
      </c>
      <c r="BA3328" s="2">
        <v>41</v>
      </c>
      <c r="BB3328" s="2" t="s">
        <v>82</v>
      </c>
      <c r="BC3328" s="2">
        <v>41</v>
      </c>
      <c r="BD3328" s="2" t="s">
        <v>82</v>
      </c>
      <c r="BE3328" s="2">
        <v>41</v>
      </c>
      <c r="BF3328" s="2" t="s">
        <v>82</v>
      </c>
      <c r="BG3328" s="2"/>
      <c r="BH3328" s="2"/>
      <c r="BI3328" s="2"/>
      <c r="BJ3328" s="2">
        <v>241</v>
      </c>
      <c r="BK3328" s="2" t="s">
        <v>82</v>
      </c>
      <c r="BL3328" s="2"/>
      <c r="BM3328" s="2">
        <v>241</v>
      </c>
      <c r="BN3328" s="2" t="s">
        <v>82</v>
      </c>
      <c r="BO3328" s="2"/>
      <c r="BP3328" s="2">
        <v>241</v>
      </c>
      <c r="BQ3328" s="2" t="s">
        <v>82</v>
      </c>
      <c r="BR3328" s="2"/>
      <c r="BS3328" s="3">
        <v>40402</v>
      </c>
      <c r="BT3328" s="4">
        <v>0.96027777777777779</v>
      </c>
    </row>
    <row r="3329" spans="1:72" x14ac:dyDescent="0.25">
      <c r="A3329" s="2">
        <v>4911</v>
      </c>
      <c r="B3329" s="2">
        <v>2010</v>
      </c>
      <c r="C3329" s="2" t="s">
        <v>72</v>
      </c>
      <c r="D3329" s="2" t="s">
        <v>73</v>
      </c>
      <c r="E3329" s="2"/>
      <c r="F3329" s="2">
        <v>389</v>
      </c>
      <c r="G3329" s="2" t="s">
        <v>1819</v>
      </c>
      <c r="H3329" s="2">
        <v>41</v>
      </c>
      <c r="I3329" s="2" t="s">
        <v>1906</v>
      </c>
      <c r="J3329" s="2">
        <v>399</v>
      </c>
      <c r="K3329" s="2" t="s">
        <v>1820</v>
      </c>
      <c r="L3329" s="2" t="s">
        <v>1821</v>
      </c>
      <c r="M3329" s="3">
        <v>40402</v>
      </c>
      <c r="N3329" s="2" t="s">
        <v>2319</v>
      </c>
      <c r="O3329" s="2"/>
      <c r="P3329" s="2"/>
      <c r="Q3329" s="2" t="str">
        <f>"412-E/10"</f>
        <v>412-E/10</v>
      </c>
      <c r="R3329" s="2" t="s">
        <v>116</v>
      </c>
      <c r="S3329" s="2" t="s">
        <v>116</v>
      </c>
      <c r="T3329" s="2">
        <v>1</v>
      </c>
      <c r="U3329" s="2" t="s">
        <v>79</v>
      </c>
      <c r="V3329" s="2">
        <v>1</v>
      </c>
      <c r="W3329" s="2" t="s">
        <v>80</v>
      </c>
      <c r="X3329" s="2">
        <v>12</v>
      </c>
      <c r="Y3329" s="2" t="s">
        <v>148</v>
      </c>
      <c r="Z3329" s="2">
        <v>1</v>
      </c>
      <c r="AA3329" s="2" t="s">
        <v>82</v>
      </c>
      <c r="AB3329" s="2">
        <v>6</v>
      </c>
      <c r="AC3329" s="2" t="s">
        <v>83</v>
      </c>
      <c r="AD3329" s="3">
        <v>40402</v>
      </c>
      <c r="AE3329" s="2"/>
      <c r="AF3329" s="3">
        <v>40402</v>
      </c>
      <c r="AG3329" s="4">
        <v>0.5</v>
      </c>
      <c r="AH3329" s="2">
        <v>2</v>
      </c>
      <c r="AI3329" s="2" t="s">
        <v>84</v>
      </c>
      <c r="AJ3329" s="2">
        <v>9</v>
      </c>
      <c r="AK3329" s="2" t="s">
        <v>103</v>
      </c>
      <c r="AL3329" s="2">
        <v>2</v>
      </c>
      <c r="AM3329" s="2" t="s">
        <v>163</v>
      </c>
      <c r="AN3329" s="2" t="s">
        <v>10725</v>
      </c>
      <c r="AO3329" s="2" t="s">
        <v>10726</v>
      </c>
      <c r="AP3329" s="2">
        <v>11</v>
      </c>
      <c r="AQ3329" s="2" t="s">
        <v>82</v>
      </c>
      <c r="AR3329" s="2"/>
      <c r="AS3329" s="2"/>
      <c r="AT3329" s="2" t="s">
        <v>10727</v>
      </c>
      <c r="AU3329" s="2"/>
      <c r="AV3329" s="2">
        <v>1</v>
      </c>
      <c r="AW3329" s="2"/>
      <c r="AX3329" s="2"/>
      <c r="AY3329" s="2">
        <v>41</v>
      </c>
      <c r="AZ3329" s="2" t="s">
        <v>82</v>
      </c>
      <c r="BA3329" s="2">
        <v>41</v>
      </c>
      <c r="BB3329" s="2" t="s">
        <v>82</v>
      </c>
      <c r="BC3329" s="2">
        <v>41</v>
      </c>
      <c r="BD3329" s="2" t="s">
        <v>82</v>
      </c>
      <c r="BE3329" s="2">
        <v>39</v>
      </c>
      <c r="BF3329" s="2" t="s">
        <v>440</v>
      </c>
      <c r="BG3329" s="2" t="s">
        <v>4250</v>
      </c>
      <c r="BH3329" s="4">
        <v>0.47916666666666669</v>
      </c>
      <c r="BI3329" s="2"/>
      <c r="BJ3329" s="2">
        <v>33</v>
      </c>
      <c r="BK3329" s="2" t="s">
        <v>361</v>
      </c>
      <c r="BL3329" s="2" t="s">
        <v>1739</v>
      </c>
      <c r="BM3329" s="2">
        <v>242</v>
      </c>
      <c r="BN3329" s="2" t="s">
        <v>107</v>
      </c>
      <c r="BO3329" s="2"/>
      <c r="BP3329" s="2">
        <v>13</v>
      </c>
      <c r="BQ3329" s="2" t="s">
        <v>91</v>
      </c>
      <c r="BR3329" s="2" t="s">
        <v>185</v>
      </c>
      <c r="BS3329" s="3">
        <v>40402</v>
      </c>
      <c r="BT3329" s="4">
        <v>0.96715277777777775</v>
      </c>
    </row>
    <row r="3330" spans="1:72" x14ac:dyDescent="0.25">
      <c r="A3330" s="2">
        <v>4912</v>
      </c>
      <c r="B3330" s="2">
        <v>2010</v>
      </c>
      <c r="C3330" s="2" t="s">
        <v>414</v>
      </c>
      <c r="D3330" s="2" t="s">
        <v>122</v>
      </c>
      <c r="E3330" s="2" t="s">
        <v>10728</v>
      </c>
      <c r="F3330" s="2">
        <v>320</v>
      </c>
      <c r="G3330" s="2" t="s">
        <v>5884</v>
      </c>
      <c r="H3330" s="2">
        <v>42</v>
      </c>
      <c r="I3330" s="2" t="s">
        <v>1096</v>
      </c>
      <c r="J3330" s="2">
        <v>1</v>
      </c>
      <c r="K3330" s="2" t="s">
        <v>107</v>
      </c>
      <c r="L3330" s="2" t="s">
        <v>107</v>
      </c>
      <c r="M3330" s="3">
        <v>40403</v>
      </c>
      <c r="N3330" s="2" t="s">
        <v>10689</v>
      </c>
      <c r="O3330" s="2" t="s">
        <v>82</v>
      </c>
      <c r="P3330" s="2" t="s">
        <v>82</v>
      </c>
      <c r="Q3330" s="2" t="str">
        <f>"0020/10"</f>
        <v>0020/10</v>
      </c>
      <c r="R3330" s="2" t="s">
        <v>82</v>
      </c>
      <c r="S3330" s="2" t="s">
        <v>82</v>
      </c>
      <c r="T3330" s="2">
        <v>1</v>
      </c>
      <c r="U3330" s="2" t="s">
        <v>79</v>
      </c>
      <c r="V3330" s="2">
        <v>1</v>
      </c>
      <c r="W3330" s="2" t="s">
        <v>80</v>
      </c>
      <c r="X3330" s="2">
        <v>1</v>
      </c>
      <c r="Y3330" s="2" t="s">
        <v>81</v>
      </c>
      <c r="Z3330" s="2">
        <v>10</v>
      </c>
      <c r="AA3330" s="2" t="s">
        <v>236</v>
      </c>
      <c r="AB3330" s="2">
        <v>9</v>
      </c>
      <c r="AC3330" s="2" t="s">
        <v>124</v>
      </c>
      <c r="AD3330" s="3">
        <v>40402</v>
      </c>
      <c r="AE3330" s="4">
        <v>0.41666666666666669</v>
      </c>
      <c r="AF3330" s="2"/>
      <c r="AG3330" s="2"/>
      <c r="AH3330" s="2">
        <v>5</v>
      </c>
      <c r="AI3330" s="2" t="s">
        <v>274</v>
      </c>
      <c r="AJ3330" s="2">
        <v>44</v>
      </c>
      <c r="AK3330" s="2" t="s">
        <v>667</v>
      </c>
      <c r="AL3330" s="2">
        <v>9</v>
      </c>
      <c r="AM3330" s="2" t="s">
        <v>259</v>
      </c>
      <c r="AN3330" s="2" t="s">
        <v>10729</v>
      </c>
      <c r="AO3330" s="2" t="s">
        <v>10690</v>
      </c>
      <c r="AP3330" s="2">
        <v>11</v>
      </c>
      <c r="AQ3330" s="2" t="s">
        <v>82</v>
      </c>
      <c r="AR3330" s="2"/>
      <c r="AS3330" s="2"/>
      <c r="AT3330" s="2" t="s">
        <v>10730</v>
      </c>
      <c r="AU3330" s="2"/>
      <c r="AV3330" s="2"/>
      <c r="AW3330" s="2"/>
      <c r="AX3330" s="2"/>
      <c r="AY3330" s="2">
        <v>41</v>
      </c>
      <c r="AZ3330" s="2" t="s">
        <v>82</v>
      </c>
      <c r="BA3330" s="2">
        <v>41</v>
      </c>
      <c r="BB3330" s="2" t="s">
        <v>82</v>
      </c>
      <c r="BC3330" s="2">
        <v>41</v>
      </c>
      <c r="BD3330" s="2" t="s">
        <v>82</v>
      </c>
      <c r="BE3330" s="2">
        <v>41</v>
      </c>
      <c r="BF3330" s="2" t="s">
        <v>82</v>
      </c>
      <c r="BG3330" s="2" t="s">
        <v>82</v>
      </c>
      <c r="BH3330" s="2"/>
      <c r="BI3330" s="2"/>
      <c r="BJ3330" s="2">
        <v>241</v>
      </c>
      <c r="BK3330" s="2" t="s">
        <v>82</v>
      </c>
      <c r="BL3330" s="2"/>
      <c r="BM3330" s="2">
        <v>241</v>
      </c>
      <c r="BN3330" s="2" t="s">
        <v>82</v>
      </c>
      <c r="BO3330" s="2"/>
      <c r="BP3330" s="2">
        <v>241</v>
      </c>
      <c r="BQ3330" s="2" t="s">
        <v>82</v>
      </c>
      <c r="BR3330" s="2"/>
      <c r="BS3330" s="3">
        <v>40403</v>
      </c>
      <c r="BT3330" s="4">
        <v>1.4317129629629631E-2</v>
      </c>
    </row>
    <row r="3331" spans="1:72" x14ac:dyDescent="0.25">
      <c r="A3331" s="2">
        <v>4913</v>
      </c>
      <c r="B3331" s="2">
        <v>2010</v>
      </c>
      <c r="C3331" s="2" t="s">
        <v>171</v>
      </c>
      <c r="D3331" s="2" t="s">
        <v>73</v>
      </c>
      <c r="E3331" s="2"/>
      <c r="F3331" s="2">
        <v>400</v>
      </c>
      <c r="G3331" s="2" t="s">
        <v>3601</v>
      </c>
      <c r="H3331" s="2">
        <v>17</v>
      </c>
      <c r="I3331" s="2" t="s">
        <v>3602</v>
      </c>
      <c r="J3331" s="2">
        <v>316</v>
      </c>
      <c r="K3331" s="2" t="s">
        <v>574</v>
      </c>
      <c r="L3331" s="2" t="s">
        <v>575</v>
      </c>
      <c r="M3331" s="3">
        <v>40403</v>
      </c>
      <c r="N3331" s="2" t="s">
        <v>10731</v>
      </c>
      <c r="O3331" s="2"/>
      <c r="P3331" s="2"/>
      <c r="Q3331" s="2" t="str">
        <f>"413-E/10"</f>
        <v>413-E/10</v>
      </c>
      <c r="R3331" s="2"/>
      <c r="S3331" s="2" t="s">
        <v>391</v>
      </c>
      <c r="T3331" s="2">
        <v>1</v>
      </c>
      <c r="U3331" s="2" t="s">
        <v>79</v>
      </c>
      <c r="V3331" s="2">
        <v>1</v>
      </c>
      <c r="W3331" s="2" t="s">
        <v>80</v>
      </c>
      <c r="X3331" s="2">
        <v>1</v>
      </c>
      <c r="Y3331" s="2" t="s">
        <v>81</v>
      </c>
      <c r="Z3331" s="2">
        <v>1</v>
      </c>
      <c r="AA3331" s="2" t="s">
        <v>82</v>
      </c>
      <c r="AB3331" s="2">
        <v>1</v>
      </c>
      <c r="AC3331" s="2" t="s">
        <v>178</v>
      </c>
      <c r="AD3331" s="3">
        <v>40402</v>
      </c>
      <c r="AE3331" s="4">
        <v>0.66666666666666663</v>
      </c>
      <c r="AF3331" s="2"/>
      <c r="AG3331" s="2"/>
      <c r="AH3331" s="2">
        <v>2</v>
      </c>
      <c r="AI3331" s="2" t="s">
        <v>84</v>
      </c>
      <c r="AJ3331" s="2">
        <v>9</v>
      </c>
      <c r="AK3331" s="2" t="s">
        <v>103</v>
      </c>
      <c r="AL3331" s="2">
        <v>16</v>
      </c>
      <c r="AM3331" s="2" t="s">
        <v>392</v>
      </c>
      <c r="AN3331" s="2" t="s">
        <v>10732</v>
      </c>
      <c r="AO3331" s="2" t="s">
        <v>10733</v>
      </c>
      <c r="AP3331" s="2">
        <v>11</v>
      </c>
      <c r="AQ3331" s="2" t="s">
        <v>82</v>
      </c>
      <c r="AR3331" s="2" t="s">
        <v>10734</v>
      </c>
      <c r="AS3331" s="2" t="s">
        <v>10735</v>
      </c>
      <c r="AT3331" s="2" t="s">
        <v>10736</v>
      </c>
      <c r="AU3331" s="2"/>
      <c r="AV3331" s="2"/>
      <c r="AW3331" s="2"/>
      <c r="AX3331" s="2"/>
      <c r="AY3331" s="2">
        <v>42</v>
      </c>
      <c r="AZ3331" s="2" t="s">
        <v>182</v>
      </c>
      <c r="BA3331" s="2">
        <v>41</v>
      </c>
      <c r="BB3331" s="2" t="s">
        <v>82</v>
      </c>
      <c r="BC3331" s="2">
        <v>41</v>
      </c>
      <c r="BD3331" s="2" t="s">
        <v>82</v>
      </c>
      <c r="BE3331" s="2">
        <v>13</v>
      </c>
      <c r="BF3331" s="2" t="s">
        <v>108</v>
      </c>
      <c r="BG3331" s="2" t="s">
        <v>1769</v>
      </c>
      <c r="BH3331" s="2"/>
      <c r="BI3331" s="4">
        <v>0.875</v>
      </c>
      <c r="BJ3331" s="2">
        <v>13</v>
      </c>
      <c r="BK3331" s="2" t="s">
        <v>91</v>
      </c>
      <c r="BL3331" s="2" t="s">
        <v>360</v>
      </c>
      <c r="BM3331" s="2">
        <v>241</v>
      </c>
      <c r="BN3331" s="2" t="s">
        <v>82</v>
      </c>
      <c r="BO3331" s="2"/>
      <c r="BP3331" s="2">
        <v>73</v>
      </c>
      <c r="BQ3331" s="2" t="s">
        <v>186</v>
      </c>
      <c r="BR3331" s="2" t="s">
        <v>187</v>
      </c>
      <c r="BS3331" s="3">
        <v>40403</v>
      </c>
      <c r="BT3331" s="4">
        <v>0.10509259259259258</v>
      </c>
    </row>
    <row r="3332" spans="1:72" x14ac:dyDescent="0.25">
      <c r="A3332" s="2">
        <v>4914</v>
      </c>
      <c r="B3332" s="2">
        <v>2010</v>
      </c>
      <c r="C3332" s="2" t="s">
        <v>72</v>
      </c>
      <c r="D3332" s="2" t="s">
        <v>73</v>
      </c>
      <c r="E3332" s="2"/>
      <c r="F3332" s="2">
        <v>664</v>
      </c>
      <c r="G3332" s="2" t="s">
        <v>10256</v>
      </c>
      <c r="H3332" s="2">
        <v>42</v>
      </c>
      <c r="I3332" s="2" t="s">
        <v>1096</v>
      </c>
      <c r="J3332" s="2">
        <v>634</v>
      </c>
      <c r="K3332" s="2" t="s">
        <v>10257</v>
      </c>
      <c r="L3332" s="2" t="s">
        <v>5984</v>
      </c>
      <c r="M3332" s="3">
        <v>40403</v>
      </c>
      <c r="N3332" s="2" t="s">
        <v>10295</v>
      </c>
      <c r="O3332" s="2" t="s">
        <v>82</v>
      </c>
      <c r="P3332" s="2" t="s">
        <v>82</v>
      </c>
      <c r="Q3332" s="2" t="str">
        <f>"314-A/10"</f>
        <v>314-A/10</v>
      </c>
      <c r="R3332" s="2" t="s">
        <v>10737</v>
      </c>
      <c r="S3332" s="2" t="s">
        <v>10737</v>
      </c>
      <c r="T3332" s="2">
        <v>1</v>
      </c>
      <c r="U3332" s="2" t="s">
        <v>79</v>
      </c>
      <c r="V3332" s="2">
        <v>1</v>
      </c>
      <c r="W3332" s="2" t="s">
        <v>80</v>
      </c>
      <c r="X3332" s="2">
        <v>12</v>
      </c>
      <c r="Y3332" s="2" t="s">
        <v>148</v>
      </c>
      <c r="Z3332" s="2">
        <v>1</v>
      </c>
      <c r="AA3332" s="2" t="s">
        <v>82</v>
      </c>
      <c r="AB3332" s="2">
        <v>6</v>
      </c>
      <c r="AC3332" s="2" t="s">
        <v>83</v>
      </c>
      <c r="AD3332" s="2"/>
      <c r="AE3332" s="2"/>
      <c r="AF3332" s="3">
        <v>40402</v>
      </c>
      <c r="AG3332" s="4">
        <v>0.5625</v>
      </c>
      <c r="AH3332" s="2">
        <v>2</v>
      </c>
      <c r="AI3332" s="2" t="s">
        <v>84</v>
      </c>
      <c r="AJ3332" s="2">
        <v>12</v>
      </c>
      <c r="AK3332" s="2" t="s">
        <v>85</v>
      </c>
      <c r="AL3332" s="2">
        <v>22</v>
      </c>
      <c r="AM3332" s="2" t="s">
        <v>1853</v>
      </c>
      <c r="AN3332" s="2" t="s">
        <v>10738</v>
      </c>
      <c r="AO3332" s="2"/>
      <c r="AP3332" s="2">
        <v>11</v>
      </c>
      <c r="AQ3332" s="2" t="s">
        <v>82</v>
      </c>
      <c r="AR3332" s="2" t="s">
        <v>82</v>
      </c>
      <c r="AS3332" s="2" t="s">
        <v>82</v>
      </c>
      <c r="AT3332" s="2" t="s">
        <v>10739</v>
      </c>
      <c r="AU3332" s="2"/>
      <c r="AV3332" s="2"/>
      <c r="AW3332" s="2"/>
      <c r="AX3332" s="2"/>
      <c r="AY3332" s="2">
        <v>41</v>
      </c>
      <c r="AZ3332" s="2" t="s">
        <v>82</v>
      </c>
      <c r="BA3332" s="2">
        <v>41</v>
      </c>
      <c r="BB3332" s="2" t="s">
        <v>82</v>
      </c>
      <c r="BC3332" s="2">
        <v>41</v>
      </c>
      <c r="BD3332" s="2" t="s">
        <v>82</v>
      </c>
      <c r="BE3332" s="2">
        <v>8</v>
      </c>
      <c r="BF3332" s="2" t="s">
        <v>3465</v>
      </c>
      <c r="BG3332" s="2" t="s">
        <v>107</v>
      </c>
      <c r="BH3332" s="4">
        <v>0.4375</v>
      </c>
      <c r="BI3332" s="2"/>
      <c r="BJ3332" s="2">
        <v>208</v>
      </c>
      <c r="BK3332" s="2" t="s">
        <v>1266</v>
      </c>
      <c r="BL3332" s="2" t="s">
        <v>1267</v>
      </c>
      <c r="BM3332" s="2">
        <v>242</v>
      </c>
      <c r="BN3332" s="2" t="s">
        <v>107</v>
      </c>
      <c r="BO3332" s="2" t="s">
        <v>107</v>
      </c>
      <c r="BP3332" s="2">
        <v>13</v>
      </c>
      <c r="BQ3332" s="2" t="s">
        <v>91</v>
      </c>
      <c r="BR3332" s="2" t="s">
        <v>360</v>
      </c>
      <c r="BS3332" s="3">
        <v>40403</v>
      </c>
      <c r="BT3332" s="4">
        <v>0.12940972222222222</v>
      </c>
    </row>
    <row r="3333" spans="1:72" x14ac:dyDescent="0.25">
      <c r="A3333" s="2">
        <v>4915</v>
      </c>
      <c r="B3333" s="2">
        <v>2010</v>
      </c>
      <c r="C3333" s="2" t="s">
        <v>72</v>
      </c>
      <c r="D3333" s="2" t="s">
        <v>73</v>
      </c>
      <c r="E3333" s="2"/>
      <c r="F3333" s="2">
        <v>176</v>
      </c>
      <c r="G3333" s="2" t="s">
        <v>10318</v>
      </c>
      <c r="H3333" s="2">
        <v>130</v>
      </c>
      <c r="I3333" s="2" t="s">
        <v>10319</v>
      </c>
      <c r="J3333" s="2">
        <v>184</v>
      </c>
      <c r="K3333" s="2" t="s">
        <v>10320</v>
      </c>
      <c r="L3333" s="2" t="s">
        <v>10321</v>
      </c>
      <c r="M3333" s="3">
        <v>40403</v>
      </c>
      <c r="N3333" s="2" t="s">
        <v>10740</v>
      </c>
      <c r="O3333" s="2" t="s">
        <v>82</v>
      </c>
      <c r="P3333" s="2" t="s">
        <v>82</v>
      </c>
      <c r="Q3333" s="2" t="str">
        <f>"315-A/10"</f>
        <v>315-A/10</v>
      </c>
      <c r="R3333" s="2" t="s">
        <v>671</v>
      </c>
      <c r="S3333" s="2" t="s">
        <v>671</v>
      </c>
      <c r="T3333" s="2">
        <v>1</v>
      </c>
      <c r="U3333" s="2" t="s">
        <v>79</v>
      </c>
      <c r="V3333" s="2">
        <v>1</v>
      </c>
      <c r="W3333" s="2" t="s">
        <v>80</v>
      </c>
      <c r="X3333" s="2">
        <v>12</v>
      </c>
      <c r="Y3333" s="2" t="s">
        <v>148</v>
      </c>
      <c r="Z3333" s="2">
        <v>1</v>
      </c>
      <c r="AA3333" s="2" t="s">
        <v>82</v>
      </c>
      <c r="AB3333" s="2">
        <v>6</v>
      </c>
      <c r="AC3333" s="2" t="s">
        <v>83</v>
      </c>
      <c r="AD3333" s="3">
        <v>40402</v>
      </c>
      <c r="AE3333" s="4">
        <v>0.77083333333333337</v>
      </c>
      <c r="AF3333" s="2"/>
      <c r="AG3333" s="2"/>
      <c r="AH3333" s="2">
        <v>2</v>
      </c>
      <c r="AI3333" s="2" t="s">
        <v>84</v>
      </c>
      <c r="AJ3333" s="2">
        <v>12</v>
      </c>
      <c r="AK3333" s="2" t="s">
        <v>85</v>
      </c>
      <c r="AL3333" s="2">
        <v>24</v>
      </c>
      <c r="AM3333" s="2" t="s">
        <v>1540</v>
      </c>
      <c r="AN3333" s="2" t="s">
        <v>107</v>
      </c>
      <c r="AO3333" s="2" t="s">
        <v>10741</v>
      </c>
      <c r="AP3333" s="2">
        <v>11</v>
      </c>
      <c r="AQ3333" s="2" t="s">
        <v>82</v>
      </c>
      <c r="AR3333" s="2" t="s">
        <v>82</v>
      </c>
      <c r="AS3333" s="2" t="s">
        <v>82</v>
      </c>
      <c r="AT3333" s="2" t="s">
        <v>10742</v>
      </c>
      <c r="AU3333" s="2">
        <v>5</v>
      </c>
      <c r="AV3333" s="2"/>
      <c r="AW3333" s="2"/>
      <c r="AX3333" s="2"/>
      <c r="AY3333" s="2">
        <v>41</v>
      </c>
      <c r="AZ3333" s="2" t="s">
        <v>82</v>
      </c>
      <c r="BA3333" s="2">
        <v>41</v>
      </c>
      <c r="BB3333" s="2" t="s">
        <v>82</v>
      </c>
      <c r="BC3333" s="2">
        <v>41</v>
      </c>
      <c r="BD3333" s="2" t="s">
        <v>82</v>
      </c>
      <c r="BE3333" s="2">
        <v>41</v>
      </c>
      <c r="BF3333" s="2" t="s">
        <v>82</v>
      </c>
      <c r="BG3333" s="2" t="s">
        <v>82</v>
      </c>
      <c r="BH3333" s="2"/>
      <c r="BI3333" s="2"/>
      <c r="BJ3333" s="2">
        <v>241</v>
      </c>
      <c r="BK3333" s="2" t="s">
        <v>82</v>
      </c>
      <c r="BL3333" s="2" t="s">
        <v>82</v>
      </c>
      <c r="BM3333" s="2">
        <v>241</v>
      </c>
      <c r="BN3333" s="2" t="s">
        <v>82</v>
      </c>
      <c r="BO3333" s="2" t="s">
        <v>82</v>
      </c>
      <c r="BP3333" s="2">
        <v>241</v>
      </c>
      <c r="BQ3333" s="2" t="s">
        <v>82</v>
      </c>
      <c r="BR3333" s="2" t="s">
        <v>82</v>
      </c>
      <c r="BS3333" s="3">
        <v>40403</v>
      </c>
      <c r="BT3333" s="4">
        <v>0.19297453703703704</v>
      </c>
    </row>
    <row r="3334" spans="1:72" x14ac:dyDescent="0.25">
      <c r="A3334" s="2">
        <v>4916</v>
      </c>
      <c r="B3334" s="2">
        <v>2010</v>
      </c>
      <c r="C3334" s="2" t="s">
        <v>72</v>
      </c>
      <c r="D3334" s="2" t="s">
        <v>73</v>
      </c>
      <c r="E3334" s="2"/>
      <c r="F3334" s="2">
        <v>662</v>
      </c>
      <c r="G3334" s="2" t="s">
        <v>10249</v>
      </c>
      <c r="H3334" s="2">
        <v>42</v>
      </c>
      <c r="I3334" s="2" t="s">
        <v>1096</v>
      </c>
      <c r="J3334" s="2">
        <v>633</v>
      </c>
      <c r="K3334" s="2" t="s">
        <v>10250</v>
      </c>
      <c r="L3334" s="2" t="s">
        <v>10251</v>
      </c>
      <c r="M3334" s="3">
        <v>40403</v>
      </c>
      <c r="N3334" s="2" t="s">
        <v>10454</v>
      </c>
      <c r="O3334" s="2" t="s">
        <v>82</v>
      </c>
      <c r="P3334" s="2" t="s">
        <v>82</v>
      </c>
      <c r="Q3334" s="2" t="str">
        <f>"316-A/10"</f>
        <v>316-A/10</v>
      </c>
      <c r="R3334" s="2" t="s">
        <v>78</v>
      </c>
      <c r="S3334" s="2" t="s">
        <v>78</v>
      </c>
      <c r="T3334" s="2">
        <v>1</v>
      </c>
      <c r="U3334" s="2" t="s">
        <v>79</v>
      </c>
      <c r="V3334" s="2">
        <v>1</v>
      </c>
      <c r="W3334" s="2" t="s">
        <v>80</v>
      </c>
      <c r="X3334" s="2">
        <v>12</v>
      </c>
      <c r="Y3334" s="2" t="s">
        <v>148</v>
      </c>
      <c r="Z3334" s="2">
        <v>1</v>
      </c>
      <c r="AA3334" s="2" t="s">
        <v>82</v>
      </c>
      <c r="AB3334" s="2">
        <v>6</v>
      </c>
      <c r="AC3334" s="2" t="s">
        <v>83</v>
      </c>
      <c r="AD3334" s="3">
        <v>40402</v>
      </c>
      <c r="AE3334" s="2"/>
      <c r="AF3334" s="3">
        <v>40402</v>
      </c>
      <c r="AG3334" s="4">
        <v>0.89583333333333337</v>
      </c>
      <c r="AH3334" s="2">
        <v>2</v>
      </c>
      <c r="AI3334" s="2" t="s">
        <v>84</v>
      </c>
      <c r="AJ3334" s="2">
        <v>12</v>
      </c>
      <c r="AK3334" s="2" t="s">
        <v>85</v>
      </c>
      <c r="AL3334" s="2">
        <v>12</v>
      </c>
      <c r="AM3334" s="2" t="s">
        <v>86</v>
      </c>
      <c r="AN3334" s="2"/>
      <c r="AO3334" s="2" t="s">
        <v>10743</v>
      </c>
      <c r="AP3334" s="2">
        <v>11</v>
      </c>
      <c r="AQ3334" s="2" t="s">
        <v>82</v>
      </c>
      <c r="AR3334" s="2" t="s">
        <v>82</v>
      </c>
      <c r="AS3334" s="2" t="s">
        <v>82</v>
      </c>
      <c r="AT3334" s="2" t="s">
        <v>10744</v>
      </c>
      <c r="AU3334" s="2"/>
      <c r="AV3334" s="2"/>
      <c r="AW3334" s="2"/>
      <c r="AX3334" s="2"/>
      <c r="AY3334" s="2">
        <v>41</v>
      </c>
      <c r="AZ3334" s="2" t="s">
        <v>82</v>
      </c>
      <c r="BA3334" s="2">
        <v>41</v>
      </c>
      <c r="BB3334" s="2" t="s">
        <v>82</v>
      </c>
      <c r="BC3334" s="2">
        <v>41</v>
      </c>
      <c r="BD3334" s="2" t="s">
        <v>82</v>
      </c>
      <c r="BE3334" s="2">
        <v>41</v>
      </c>
      <c r="BF3334" s="2" t="s">
        <v>82</v>
      </c>
      <c r="BG3334" s="2"/>
      <c r="BH3334" s="2"/>
      <c r="BI3334" s="2"/>
      <c r="BJ3334" s="2">
        <v>241</v>
      </c>
      <c r="BK3334" s="2" t="s">
        <v>82</v>
      </c>
      <c r="BL3334" s="2" t="s">
        <v>82</v>
      </c>
      <c r="BM3334" s="2">
        <v>241</v>
      </c>
      <c r="BN3334" s="2" t="s">
        <v>82</v>
      </c>
      <c r="BO3334" s="2" t="s">
        <v>82</v>
      </c>
      <c r="BP3334" s="2">
        <v>241</v>
      </c>
      <c r="BQ3334" s="2" t="s">
        <v>82</v>
      </c>
      <c r="BR3334" s="2" t="s">
        <v>82</v>
      </c>
      <c r="BS3334" s="3">
        <v>40403</v>
      </c>
      <c r="BT3334" s="4">
        <v>0.2555439814814815</v>
      </c>
    </row>
    <row r="3335" spans="1:72" x14ac:dyDescent="0.25">
      <c r="A3335" s="2">
        <v>4917</v>
      </c>
      <c r="B3335" s="2">
        <v>2010</v>
      </c>
      <c r="C3335" s="2" t="s">
        <v>72</v>
      </c>
      <c r="D3335" s="2" t="s">
        <v>122</v>
      </c>
      <c r="E3335" s="2" t="s">
        <v>10745</v>
      </c>
      <c r="F3335" s="2">
        <v>389</v>
      </c>
      <c r="G3335" s="2" t="s">
        <v>1819</v>
      </c>
      <c r="H3335" s="2">
        <v>41</v>
      </c>
      <c r="I3335" s="2" t="s">
        <v>1906</v>
      </c>
      <c r="J3335" s="2">
        <v>399</v>
      </c>
      <c r="K3335" s="2" t="s">
        <v>1820</v>
      </c>
      <c r="L3335" s="2" t="s">
        <v>1821</v>
      </c>
      <c r="M3335" s="3">
        <v>40403</v>
      </c>
      <c r="N3335" s="2" t="s">
        <v>2319</v>
      </c>
      <c r="O3335" s="2"/>
      <c r="P3335" s="2"/>
      <c r="Q3335" s="2" t="str">
        <f>"412-E/10"</f>
        <v>412-E/10</v>
      </c>
      <c r="R3335" s="2" t="s">
        <v>116</v>
      </c>
      <c r="S3335" s="2" t="s">
        <v>116</v>
      </c>
      <c r="T3335" s="2">
        <v>1</v>
      </c>
      <c r="U3335" s="2" t="s">
        <v>79</v>
      </c>
      <c r="V3335" s="2">
        <v>1</v>
      </c>
      <c r="W3335" s="2" t="s">
        <v>80</v>
      </c>
      <c r="X3335" s="2">
        <v>12</v>
      </c>
      <c r="Y3335" s="2" t="s">
        <v>148</v>
      </c>
      <c r="Z3335" s="2">
        <v>1</v>
      </c>
      <c r="AA3335" s="2" t="s">
        <v>82</v>
      </c>
      <c r="AB3335" s="2">
        <v>6</v>
      </c>
      <c r="AC3335" s="2" t="s">
        <v>83</v>
      </c>
      <c r="AD3335" s="3">
        <v>40402</v>
      </c>
      <c r="AE3335" s="4">
        <v>0.5</v>
      </c>
      <c r="AF3335" s="3">
        <v>40402</v>
      </c>
      <c r="AG3335" s="4">
        <v>0.83333333333333337</v>
      </c>
      <c r="AH3335" s="2">
        <v>2</v>
      </c>
      <c r="AI3335" s="2" t="s">
        <v>84</v>
      </c>
      <c r="AJ3335" s="2">
        <v>9</v>
      </c>
      <c r="AK3335" s="2" t="s">
        <v>103</v>
      </c>
      <c r="AL3335" s="2">
        <v>15</v>
      </c>
      <c r="AM3335" s="2" t="s">
        <v>104</v>
      </c>
      <c r="AN3335" s="2" t="s">
        <v>10746</v>
      </c>
      <c r="AO3335" s="2" t="s">
        <v>10747</v>
      </c>
      <c r="AP3335" s="2">
        <v>11</v>
      </c>
      <c r="AQ3335" s="2" t="s">
        <v>82</v>
      </c>
      <c r="AR3335" s="2"/>
      <c r="AS3335" s="2"/>
      <c r="AT3335" s="2" t="s">
        <v>10748</v>
      </c>
      <c r="AU3335" s="2"/>
      <c r="AV3335" s="2">
        <v>1</v>
      </c>
      <c r="AW3335" s="2"/>
      <c r="AX3335" s="2"/>
      <c r="AY3335" s="2">
        <v>41</v>
      </c>
      <c r="AZ3335" s="2" t="s">
        <v>82</v>
      </c>
      <c r="BA3335" s="2">
        <v>41</v>
      </c>
      <c r="BB3335" s="2" t="s">
        <v>82</v>
      </c>
      <c r="BC3335" s="2">
        <v>41</v>
      </c>
      <c r="BD3335" s="2" t="s">
        <v>82</v>
      </c>
      <c r="BE3335" s="2">
        <v>39</v>
      </c>
      <c r="BF3335" s="2" t="s">
        <v>440</v>
      </c>
      <c r="BG3335" s="2" t="s">
        <v>4250</v>
      </c>
      <c r="BH3335" s="4">
        <v>0.47916666666666669</v>
      </c>
      <c r="BI3335" s="2"/>
      <c r="BJ3335" s="2">
        <v>33</v>
      </c>
      <c r="BK3335" s="2" t="s">
        <v>361</v>
      </c>
      <c r="BL3335" s="2" t="s">
        <v>1739</v>
      </c>
      <c r="BM3335" s="2">
        <v>242</v>
      </c>
      <c r="BN3335" s="2" t="s">
        <v>107</v>
      </c>
      <c r="BO3335" s="2"/>
      <c r="BP3335" s="2">
        <v>13</v>
      </c>
      <c r="BQ3335" s="2" t="s">
        <v>91</v>
      </c>
      <c r="BR3335" s="2" t="s">
        <v>185</v>
      </c>
      <c r="BS3335" s="3">
        <v>40403</v>
      </c>
      <c r="BT3335" s="4">
        <v>0.30571759259259262</v>
      </c>
    </row>
    <row r="3336" spans="1:72" x14ac:dyDescent="0.25">
      <c r="A3336" s="2">
        <v>4918</v>
      </c>
      <c r="B3336" s="2">
        <v>2010</v>
      </c>
      <c r="C3336" s="2" t="s">
        <v>171</v>
      </c>
      <c r="D3336" s="2" t="s">
        <v>122</v>
      </c>
      <c r="E3336" s="2" t="s">
        <v>10749</v>
      </c>
      <c r="F3336" s="2">
        <v>233</v>
      </c>
      <c r="G3336" s="2" t="s">
        <v>3858</v>
      </c>
      <c r="H3336" s="2">
        <v>17</v>
      </c>
      <c r="I3336" s="2" t="s">
        <v>3602</v>
      </c>
      <c r="J3336" s="2">
        <v>316</v>
      </c>
      <c r="K3336" s="2" t="s">
        <v>574</v>
      </c>
      <c r="L3336" s="2" t="s">
        <v>575</v>
      </c>
      <c r="M3336" s="3">
        <v>40403</v>
      </c>
      <c r="N3336" s="2" t="s">
        <v>3826</v>
      </c>
      <c r="O3336" s="2"/>
      <c r="P3336" s="2"/>
      <c r="Q3336" s="2" t="str">
        <f>"403-E/10"</f>
        <v>403-E/10</v>
      </c>
      <c r="R3336" s="2" t="s">
        <v>391</v>
      </c>
      <c r="S3336" s="2" t="s">
        <v>391</v>
      </c>
      <c r="T3336" s="2">
        <v>1</v>
      </c>
      <c r="U3336" s="2" t="s">
        <v>79</v>
      </c>
      <c r="V3336" s="2">
        <v>1</v>
      </c>
      <c r="W3336" s="2" t="s">
        <v>80</v>
      </c>
      <c r="X3336" s="2">
        <v>11</v>
      </c>
      <c r="Y3336" s="2" t="s">
        <v>1920</v>
      </c>
      <c r="Z3336" s="2">
        <v>1</v>
      </c>
      <c r="AA3336" s="2" t="s">
        <v>82</v>
      </c>
      <c r="AB3336" s="2">
        <v>1</v>
      </c>
      <c r="AC3336" s="2" t="s">
        <v>178</v>
      </c>
      <c r="AD3336" s="3">
        <v>40398</v>
      </c>
      <c r="AE3336" s="4">
        <v>0.66666666666666663</v>
      </c>
      <c r="AF3336" s="2"/>
      <c r="AG3336" s="2"/>
      <c r="AH3336" s="2">
        <v>2</v>
      </c>
      <c r="AI3336" s="2" t="s">
        <v>84</v>
      </c>
      <c r="AJ3336" s="2">
        <v>9</v>
      </c>
      <c r="AK3336" s="2" t="s">
        <v>103</v>
      </c>
      <c r="AL3336" s="2">
        <v>12</v>
      </c>
      <c r="AM3336" s="2" t="s">
        <v>86</v>
      </c>
      <c r="AN3336" s="2"/>
      <c r="AO3336" s="2" t="s">
        <v>10536</v>
      </c>
      <c r="AP3336" s="2">
        <v>11</v>
      </c>
      <c r="AQ3336" s="2" t="s">
        <v>82</v>
      </c>
      <c r="AR3336" s="2"/>
      <c r="AS3336" s="2"/>
      <c r="AT3336" s="2" t="s">
        <v>10750</v>
      </c>
      <c r="AU3336" s="2"/>
      <c r="AV3336" s="2">
        <v>1</v>
      </c>
      <c r="AW3336" s="2"/>
      <c r="AX3336" s="2"/>
      <c r="AY3336" s="2">
        <v>41</v>
      </c>
      <c r="AZ3336" s="2" t="s">
        <v>82</v>
      </c>
      <c r="BA3336" s="2">
        <v>41</v>
      </c>
      <c r="BB3336" s="2" t="s">
        <v>82</v>
      </c>
      <c r="BC3336" s="2">
        <v>41</v>
      </c>
      <c r="BD3336" s="2" t="s">
        <v>82</v>
      </c>
      <c r="BE3336" s="2">
        <v>33</v>
      </c>
      <c r="BF3336" s="2" t="s">
        <v>1083</v>
      </c>
      <c r="BG3336" s="2" t="s">
        <v>2165</v>
      </c>
      <c r="BH3336" s="2"/>
      <c r="BI3336" s="4">
        <v>0.77083333333333337</v>
      </c>
      <c r="BJ3336" s="2">
        <v>13</v>
      </c>
      <c r="BK3336" s="2" t="s">
        <v>91</v>
      </c>
      <c r="BL3336" s="2" t="s">
        <v>185</v>
      </c>
      <c r="BM3336" s="2">
        <v>242</v>
      </c>
      <c r="BN3336" s="2" t="s">
        <v>107</v>
      </c>
      <c r="BO3336" s="2"/>
      <c r="BP3336" s="2">
        <v>205</v>
      </c>
      <c r="BQ3336" s="2" t="s">
        <v>1085</v>
      </c>
      <c r="BR3336" s="2" t="s">
        <v>1086</v>
      </c>
      <c r="BS3336" s="3">
        <v>40403</v>
      </c>
      <c r="BT3336" s="4">
        <v>0.30793981481481481</v>
      </c>
    </row>
    <row r="3337" spans="1:72" x14ac:dyDescent="0.25">
      <c r="A3337" s="2">
        <v>4922</v>
      </c>
      <c r="B3337" s="2">
        <v>2010</v>
      </c>
      <c r="C3337" s="2" t="s">
        <v>1559</v>
      </c>
      <c r="D3337" s="2" t="s">
        <v>122</v>
      </c>
      <c r="E3337" s="2" t="s">
        <v>10751</v>
      </c>
      <c r="F3337" s="2">
        <v>499</v>
      </c>
      <c r="G3337" s="2" t="s">
        <v>2177</v>
      </c>
      <c r="H3337" s="2">
        <v>9</v>
      </c>
      <c r="I3337" s="2" t="s">
        <v>794</v>
      </c>
      <c r="J3337" s="2">
        <v>33</v>
      </c>
      <c r="K3337" s="2" t="s">
        <v>2178</v>
      </c>
      <c r="L3337" s="2" t="s">
        <v>1877</v>
      </c>
      <c r="M3337" s="3">
        <v>40403</v>
      </c>
      <c r="N3337" s="2" t="s">
        <v>10476</v>
      </c>
      <c r="O3337" s="2" t="s">
        <v>4943</v>
      </c>
      <c r="P3337" s="2" t="s">
        <v>10752</v>
      </c>
      <c r="Q3337" s="2" t="str">
        <f>""</f>
        <v/>
      </c>
      <c r="R3337" s="2"/>
      <c r="S3337" s="2"/>
      <c r="T3337" s="2">
        <v>1</v>
      </c>
      <c r="U3337" s="2" t="s">
        <v>79</v>
      </c>
      <c r="V3337" s="2">
        <v>1</v>
      </c>
      <c r="W3337" s="2" t="s">
        <v>80</v>
      </c>
      <c r="X3337" s="2">
        <v>7</v>
      </c>
      <c r="Y3337" s="2" t="s">
        <v>1964</v>
      </c>
      <c r="Z3337" s="2">
        <v>10</v>
      </c>
      <c r="AA3337" s="2" t="s">
        <v>236</v>
      </c>
      <c r="AB3337" s="2">
        <v>9</v>
      </c>
      <c r="AC3337" s="2" t="s">
        <v>124</v>
      </c>
      <c r="AD3337" s="3">
        <v>40403</v>
      </c>
      <c r="AE3337" s="4">
        <v>0.41666666666666669</v>
      </c>
      <c r="AF3337" s="2"/>
      <c r="AG3337" s="2"/>
      <c r="AH3337" s="2">
        <v>2</v>
      </c>
      <c r="AI3337" s="2" t="s">
        <v>84</v>
      </c>
      <c r="AJ3337" s="2">
        <v>6</v>
      </c>
      <c r="AK3337" s="2" t="s">
        <v>453</v>
      </c>
      <c r="AL3337" s="2">
        <v>23</v>
      </c>
      <c r="AM3337" s="2" t="s">
        <v>251</v>
      </c>
      <c r="AN3337" s="2" t="s">
        <v>10753</v>
      </c>
      <c r="AO3337" s="2" t="s">
        <v>584</v>
      </c>
      <c r="AP3337" s="2">
        <v>11</v>
      </c>
      <c r="AQ3337" s="2" t="s">
        <v>82</v>
      </c>
      <c r="AR3337" s="2"/>
      <c r="AS3337" s="2"/>
      <c r="AT3337" s="2" t="s">
        <v>10754</v>
      </c>
      <c r="AU3337" s="2">
        <v>1</v>
      </c>
      <c r="AV3337" s="2"/>
      <c r="AW3337" s="2"/>
      <c r="AX3337" s="2"/>
      <c r="AY3337" s="2">
        <v>42</v>
      </c>
      <c r="AZ3337" s="2" t="s">
        <v>182</v>
      </c>
      <c r="BA3337" s="2">
        <v>70</v>
      </c>
      <c r="BB3337" s="2" t="s">
        <v>236</v>
      </c>
      <c r="BC3337" s="2">
        <v>70</v>
      </c>
      <c r="BD3337" s="2" t="s">
        <v>236</v>
      </c>
      <c r="BE3337" s="2">
        <v>41</v>
      </c>
      <c r="BF3337" s="2" t="s">
        <v>82</v>
      </c>
      <c r="BG3337" s="2"/>
      <c r="BH3337" s="2"/>
      <c r="BI3337" s="2"/>
      <c r="BJ3337" s="2">
        <v>241</v>
      </c>
      <c r="BK3337" s="2" t="s">
        <v>82</v>
      </c>
      <c r="BL3337" s="2"/>
      <c r="BM3337" s="2">
        <v>241</v>
      </c>
      <c r="BN3337" s="2" t="s">
        <v>82</v>
      </c>
      <c r="BO3337" s="2"/>
      <c r="BP3337" s="2">
        <v>241</v>
      </c>
      <c r="BQ3337" s="2" t="s">
        <v>82</v>
      </c>
      <c r="BR3337" s="2"/>
      <c r="BS3337" s="3">
        <v>40403</v>
      </c>
      <c r="BT3337" s="4">
        <v>0.54502314814814812</v>
      </c>
    </row>
    <row r="3338" spans="1:72" x14ac:dyDescent="0.25">
      <c r="A3338" s="2">
        <v>4923</v>
      </c>
      <c r="B3338" s="2">
        <v>2010</v>
      </c>
      <c r="C3338" s="2" t="s">
        <v>72</v>
      </c>
      <c r="D3338" s="2" t="s">
        <v>122</v>
      </c>
      <c r="E3338" s="2" t="s">
        <v>10755</v>
      </c>
      <c r="F3338" s="2">
        <v>176</v>
      </c>
      <c r="G3338" s="2" t="s">
        <v>10318</v>
      </c>
      <c r="H3338" s="2">
        <v>130</v>
      </c>
      <c r="I3338" s="2" t="s">
        <v>10319</v>
      </c>
      <c r="J3338" s="2">
        <v>184</v>
      </c>
      <c r="K3338" s="2" t="s">
        <v>10320</v>
      </c>
      <c r="L3338" s="2" t="s">
        <v>10321</v>
      </c>
      <c r="M3338" s="3">
        <v>40403</v>
      </c>
      <c r="N3338" s="2" t="s">
        <v>10740</v>
      </c>
      <c r="O3338" s="2" t="s">
        <v>82</v>
      </c>
      <c r="P3338" s="2" t="s">
        <v>82</v>
      </c>
      <c r="Q3338" s="2" t="str">
        <f>"315-A/10"</f>
        <v>315-A/10</v>
      </c>
      <c r="R3338" s="2" t="s">
        <v>671</v>
      </c>
      <c r="S3338" s="2" t="s">
        <v>82</v>
      </c>
      <c r="T3338" s="2">
        <v>1</v>
      </c>
      <c r="U3338" s="2" t="s">
        <v>79</v>
      </c>
      <c r="V3338" s="2">
        <v>1</v>
      </c>
      <c r="W3338" s="2" t="s">
        <v>80</v>
      </c>
      <c r="X3338" s="2">
        <v>1</v>
      </c>
      <c r="Y3338" s="2" t="s">
        <v>81</v>
      </c>
      <c r="Z3338" s="2">
        <v>1</v>
      </c>
      <c r="AA3338" s="2" t="s">
        <v>82</v>
      </c>
      <c r="AB3338" s="2">
        <v>6</v>
      </c>
      <c r="AC3338" s="2" t="s">
        <v>83</v>
      </c>
      <c r="AD3338" s="3">
        <v>40402</v>
      </c>
      <c r="AE3338" s="4">
        <v>0.77083333333333337</v>
      </c>
      <c r="AF3338" s="2"/>
      <c r="AG3338" s="2"/>
      <c r="AH3338" s="2">
        <v>2</v>
      </c>
      <c r="AI3338" s="2" t="s">
        <v>84</v>
      </c>
      <c r="AJ3338" s="2">
        <v>12</v>
      </c>
      <c r="AK3338" s="2" t="s">
        <v>85</v>
      </c>
      <c r="AL3338" s="2">
        <v>24</v>
      </c>
      <c r="AM3338" s="2" t="s">
        <v>1540</v>
      </c>
      <c r="AN3338" s="2" t="s">
        <v>107</v>
      </c>
      <c r="AO3338" s="2" t="s">
        <v>10741</v>
      </c>
      <c r="AP3338" s="2">
        <v>11</v>
      </c>
      <c r="AQ3338" s="2" t="s">
        <v>82</v>
      </c>
      <c r="AR3338" s="2" t="s">
        <v>82</v>
      </c>
      <c r="AS3338" s="2" t="s">
        <v>82</v>
      </c>
      <c r="AT3338" s="2" t="s">
        <v>10756</v>
      </c>
      <c r="AU3338" s="2">
        <v>5</v>
      </c>
      <c r="AV3338" s="2"/>
      <c r="AW3338" s="2"/>
      <c r="AX3338" s="2"/>
      <c r="AY3338" s="2">
        <v>41</v>
      </c>
      <c r="AZ3338" s="2" t="s">
        <v>82</v>
      </c>
      <c r="BA3338" s="2">
        <v>41</v>
      </c>
      <c r="BB3338" s="2" t="s">
        <v>82</v>
      </c>
      <c r="BC3338" s="2">
        <v>41</v>
      </c>
      <c r="BD3338" s="2" t="s">
        <v>82</v>
      </c>
      <c r="BE3338" s="2">
        <v>41</v>
      </c>
      <c r="BF3338" s="2" t="s">
        <v>82</v>
      </c>
      <c r="BG3338" s="2" t="s">
        <v>82</v>
      </c>
      <c r="BH3338" s="2"/>
      <c r="BI3338" s="2"/>
      <c r="BJ3338" s="2">
        <v>241</v>
      </c>
      <c r="BK3338" s="2" t="s">
        <v>82</v>
      </c>
      <c r="BL3338" s="2" t="s">
        <v>82</v>
      </c>
      <c r="BM3338" s="2">
        <v>241</v>
      </c>
      <c r="BN3338" s="2" t="s">
        <v>82</v>
      </c>
      <c r="BO3338" s="2" t="s">
        <v>82</v>
      </c>
      <c r="BP3338" s="2">
        <v>241</v>
      </c>
      <c r="BQ3338" s="2" t="s">
        <v>82</v>
      </c>
      <c r="BR3338" s="2" t="s">
        <v>82</v>
      </c>
      <c r="BS3338" s="3">
        <v>40403</v>
      </c>
      <c r="BT3338" s="4">
        <v>0.55233796296296289</v>
      </c>
    </row>
    <row r="3339" spans="1:72" x14ac:dyDescent="0.25">
      <c r="A3339" s="2">
        <v>4924</v>
      </c>
      <c r="B3339" s="2">
        <v>2010</v>
      </c>
      <c r="C3339" s="2" t="s">
        <v>2011</v>
      </c>
      <c r="D3339" s="2" t="s">
        <v>122</v>
      </c>
      <c r="E3339" s="2"/>
      <c r="F3339" s="2">
        <v>52</v>
      </c>
      <c r="G3339" s="2" t="s">
        <v>2963</v>
      </c>
      <c r="H3339" s="2">
        <v>2</v>
      </c>
      <c r="I3339" s="2" t="s">
        <v>267</v>
      </c>
      <c r="J3339" s="2">
        <v>87</v>
      </c>
      <c r="K3339" s="2" t="s">
        <v>2964</v>
      </c>
      <c r="L3339" s="2" t="s">
        <v>2534</v>
      </c>
      <c r="M3339" s="3">
        <v>40403</v>
      </c>
      <c r="N3339" s="2" t="s">
        <v>10757</v>
      </c>
      <c r="O3339" s="2"/>
      <c r="P3339" s="2"/>
      <c r="Q3339" s="2" t="str">
        <f>"027/10"</f>
        <v>027/10</v>
      </c>
      <c r="R3339" s="2" t="s">
        <v>10758</v>
      </c>
      <c r="S3339" s="2"/>
      <c r="T3339" s="2">
        <v>1</v>
      </c>
      <c r="U3339" s="2" t="s">
        <v>79</v>
      </c>
      <c r="V3339" s="2">
        <v>1</v>
      </c>
      <c r="W3339" s="2" t="s">
        <v>80</v>
      </c>
      <c r="X3339" s="2">
        <v>5</v>
      </c>
      <c r="Y3339" s="2" t="s">
        <v>82</v>
      </c>
      <c r="Z3339" s="2">
        <v>1</v>
      </c>
      <c r="AA3339" s="2" t="s">
        <v>82</v>
      </c>
      <c r="AB3339" s="2">
        <v>9</v>
      </c>
      <c r="AC3339" s="2" t="s">
        <v>124</v>
      </c>
      <c r="AD3339" s="3">
        <v>40403</v>
      </c>
      <c r="AE3339" s="4">
        <v>0.49305555555555558</v>
      </c>
      <c r="AF3339" s="2"/>
      <c r="AG3339" s="2"/>
      <c r="AH3339" s="2">
        <v>4</v>
      </c>
      <c r="AI3339" s="2" t="s">
        <v>125</v>
      </c>
      <c r="AJ3339" s="2">
        <v>28</v>
      </c>
      <c r="AK3339" s="2" t="s">
        <v>741</v>
      </c>
      <c r="AL3339" s="2">
        <v>23</v>
      </c>
      <c r="AM3339" s="2" t="s">
        <v>251</v>
      </c>
      <c r="AN3339" s="2" t="s">
        <v>10759</v>
      </c>
      <c r="AO3339" s="2" t="s">
        <v>10760</v>
      </c>
      <c r="AP3339" s="2">
        <v>11</v>
      </c>
      <c r="AQ3339" s="2" t="s">
        <v>82</v>
      </c>
      <c r="AR3339" s="2"/>
      <c r="AS3339" s="2"/>
      <c r="AT3339" s="2" t="s">
        <v>10761</v>
      </c>
      <c r="AU3339" s="2"/>
      <c r="AV3339" s="2"/>
      <c r="AW3339" s="2"/>
      <c r="AX3339" s="2"/>
      <c r="AY3339" s="2">
        <v>41</v>
      </c>
      <c r="AZ3339" s="2" t="s">
        <v>82</v>
      </c>
      <c r="BA3339" s="2">
        <v>41</v>
      </c>
      <c r="BB3339" s="2" t="s">
        <v>82</v>
      </c>
      <c r="BC3339" s="2">
        <v>41</v>
      </c>
      <c r="BD3339" s="2" t="s">
        <v>82</v>
      </c>
      <c r="BE3339" s="2">
        <v>41</v>
      </c>
      <c r="BF3339" s="2" t="s">
        <v>82</v>
      </c>
      <c r="BG3339" s="2"/>
      <c r="BH3339" s="2"/>
      <c r="BI3339" s="2"/>
      <c r="BJ3339" s="2">
        <v>241</v>
      </c>
      <c r="BK3339" s="2" t="s">
        <v>82</v>
      </c>
      <c r="BL3339" s="2"/>
      <c r="BM3339" s="2">
        <v>241</v>
      </c>
      <c r="BN3339" s="2" t="s">
        <v>82</v>
      </c>
      <c r="BO3339" s="2"/>
      <c r="BP3339" s="2">
        <v>241</v>
      </c>
      <c r="BQ3339" s="2" t="s">
        <v>82</v>
      </c>
      <c r="BR3339" s="2"/>
      <c r="BS3339" s="3">
        <v>40403</v>
      </c>
      <c r="BT3339" s="4">
        <v>0.58427083333333341</v>
      </c>
    </row>
    <row r="3340" spans="1:72" x14ac:dyDescent="0.25">
      <c r="A3340" s="2">
        <v>4927</v>
      </c>
      <c r="B3340" s="2">
        <v>2010</v>
      </c>
      <c r="C3340" s="2" t="s">
        <v>93</v>
      </c>
      <c r="D3340" s="2" t="s">
        <v>73</v>
      </c>
      <c r="E3340" s="2"/>
      <c r="F3340" s="2">
        <v>545</v>
      </c>
      <c r="G3340" s="2" t="s">
        <v>3969</v>
      </c>
      <c r="H3340" s="2">
        <v>23</v>
      </c>
      <c r="I3340" s="2" t="s">
        <v>422</v>
      </c>
      <c r="J3340" s="2">
        <v>472</v>
      </c>
      <c r="K3340" s="2" t="s">
        <v>7277</v>
      </c>
      <c r="L3340" s="2" t="s">
        <v>7278</v>
      </c>
      <c r="M3340" s="3">
        <v>40403</v>
      </c>
      <c r="N3340" s="2" t="s">
        <v>10762</v>
      </c>
      <c r="O3340" s="2" t="s">
        <v>10763</v>
      </c>
      <c r="P3340" s="2" t="s">
        <v>10764</v>
      </c>
      <c r="Q3340" s="2" t="str">
        <f>"AP_0034/10"</f>
        <v>AP_0034/10</v>
      </c>
      <c r="R3340" s="2" t="s">
        <v>10765</v>
      </c>
      <c r="S3340" s="2" t="s">
        <v>82</v>
      </c>
      <c r="T3340" s="2">
        <v>1</v>
      </c>
      <c r="U3340" s="2" t="s">
        <v>79</v>
      </c>
      <c r="V3340" s="2">
        <v>1</v>
      </c>
      <c r="W3340" s="2" t="s">
        <v>80</v>
      </c>
      <c r="X3340" s="2">
        <v>1</v>
      </c>
      <c r="Y3340" s="2" t="s">
        <v>81</v>
      </c>
      <c r="Z3340" s="2">
        <v>1</v>
      </c>
      <c r="AA3340" s="2" t="s">
        <v>82</v>
      </c>
      <c r="AB3340" s="2">
        <v>2</v>
      </c>
      <c r="AC3340" s="2" t="s">
        <v>102</v>
      </c>
      <c r="AD3340" s="3">
        <v>40403</v>
      </c>
      <c r="AE3340" s="4">
        <v>0.55208333333333337</v>
      </c>
      <c r="AF3340" s="2"/>
      <c r="AG3340" s="2"/>
      <c r="AH3340" s="2">
        <v>6</v>
      </c>
      <c r="AI3340" s="2" t="s">
        <v>197</v>
      </c>
      <c r="AJ3340" s="2">
        <v>61</v>
      </c>
      <c r="AK3340" s="2" t="s">
        <v>686</v>
      </c>
      <c r="AL3340" s="2">
        <v>11</v>
      </c>
      <c r="AM3340" s="2" t="s">
        <v>137</v>
      </c>
      <c r="AN3340" s="2" t="s">
        <v>10766</v>
      </c>
      <c r="AO3340" s="2" t="s">
        <v>6881</v>
      </c>
      <c r="AP3340" s="2">
        <v>11</v>
      </c>
      <c r="AQ3340" s="2" t="s">
        <v>82</v>
      </c>
      <c r="AR3340" s="2" t="s">
        <v>82</v>
      </c>
      <c r="AS3340" s="2" t="s">
        <v>82</v>
      </c>
      <c r="AT3340" s="2" t="s">
        <v>10767</v>
      </c>
      <c r="AU3340" s="2"/>
      <c r="AV3340" s="2"/>
      <c r="AW3340" s="2"/>
      <c r="AX3340" s="2"/>
      <c r="AY3340" s="2">
        <v>41</v>
      </c>
      <c r="AZ3340" s="2" t="s">
        <v>82</v>
      </c>
      <c r="BA3340" s="2">
        <v>41</v>
      </c>
      <c r="BB3340" s="2" t="s">
        <v>82</v>
      </c>
      <c r="BC3340" s="2">
        <v>41</v>
      </c>
      <c r="BD3340" s="2" t="s">
        <v>82</v>
      </c>
      <c r="BE3340" s="2">
        <v>49</v>
      </c>
      <c r="BF3340" s="2" t="s">
        <v>1254</v>
      </c>
      <c r="BG3340" s="2">
        <v>482</v>
      </c>
      <c r="BH3340" s="2"/>
      <c r="BI3340" s="4">
        <v>0.5805555555555556</v>
      </c>
      <c r="BJ3340" s="2">
        <v>13</v>
      </c>
      <c r="BK3340" s="2" t="s">
        <v>91</v>
      </c>
      <c r="BL3340" s="2" t="s">
        <v>690</v>
      </c>
      <c r="BM3340" s="2">
        <v>13</v>
      </c>
      <c r="BN3340" s="2" t="s">
        <v>91</v>
      </c>
      <c r="BO3340" s="2" t="s">
        <v>10768</v>
      </c>
      <c r="BP3340" s="2">
        <v>13</v>
      </c>
      <c r="BQ3340" s="2" t="s">
        <v>91</v>
      </c>
      <c r="BR3340" s="2" t="s">
        <v>353</v>
      </c>
      <c r="BS3340" s="3">
        <v>40403</v>
      </c>
      <c r="BT3340" s="4">
        <v>0.63035879629629632</v>
      </c>
    </row>
    <row r="3341" spans="1:72" x14ac:dyDescent="0.25">
      <c r="A3341" s="2">
        <v>4929</v>
      </c>
      <c r="B3341" s="2">
        <v>2010</v>
      </c>
      <c r="C3341" s="2" t="s">
        <v>147</v>
      </c>
      <c r="D3341" s="2" t="s">
        <v>73</v>
      </c>
      <c r="E3341" s="2"/>
      <c r="F3341" s="2">
        <v>1</v>
      </c>
      <c r="G3341" s="2" t="s">
        <v>82</v>
      </c>
      <c r="H3341" s="2">
        <v>1</v>
      </c>
      <c r="I3341" s="2" t="s">
        <v>82</v>
      </c>
      <c r="J3341" s="2">
        <v>1</v>
      </c>
      <c r="K3341" s="2" t="s">
        <v>107</v>
      </c>
      <c r="L3341" s="2" t="s">
        <v>107</v>
      </c>
      <c r="M3341" s="3">
        <v>40403</v>
      </c>
      <c r="N3341" s="2" t="s">
        <v>107</v>
      </c>
      <c r="O3341" s="2" t="s">
        <v>107</v>
      </c>
      <c r="P3341" s="2" t="s">
        <v>107</v>
      </c>
      <c r="Q3341" s="2" t="str">
        <f>"S/D"</f>
        <v>S/D</v>
      </c>
      <c r="R3341" s="2" t="s">
        <v>107</v>
      </c>
      <c r="S3341" s="2" t="s">
        <v>107</v>
      </c>
      <c r="T3341" s="2">
        <v>2</v>
      </c>
      <c r="U3341" s="2" t="s">
        <v>123</v>
      </c>
      <c r="V3341" s="2">
        <v>1</v>
      </c>
      <c r="W3341" s="2" t="s">
        <v>80</v>
      </c>
      <c r="X3341" s="2">
        <v>12</v>
      </c>
      <c r="Y3341" s="2" t="s">
        <v>148</v>
      </c>
      <c r="Z3341" s="2">
        <v>1</v>
      </c>
      <c r="AA3341" s="2" t="s">
        <v>82</v>
      </c>
      <c r="AB3341" s="2">
        <v>9</v>
      </c>
      <c r="AC3341" s="2" t="s">
        <v>124</v>
      </c>
      <c r="AD3341" s="2"/>
      <c r="AE3341" s="2"/>
      <c r="AF3341" s="3">
        <v>40403</v>
      </c>
      <c r="AG3341" s="4">
        <v>0.62847222222222221</v>
      </c>
      <c r="AH3341" s="2">
        <v>3</v>
      </c>
      <c r="AI3341" s="2" t="s">
        <v>214</v>
      </c>
      <c r="AJ3341" s="2">
        <v>24</v>
      </c>
      <c r="AK3341" s="2" t="s">
        <v>215</v>
      </c>
      <c r="AL3341" s="2">
        <v>19</v>
      </c>
      <c r="AM3341" s="2" t="s">
        <v>107</v>
      </c>
      <c r="AN3341" s="2" t="s">
        <v>107</v>
      </c>
      <c r="AO3341" s="2" t="s">
        <v>107</v>
      </c>
      <c r="AP3341" s="2">
        <v>11</v>
      </c>
      <c r="AQ3341" s="2" t="s">
        <v>82</v>
      </c>
      <c r="AR3341" s="2"/>
      <c r="AS3341" s="2"/>
      <c r="AT3341" s="2" t="s">
        <v>10769</v>
      </c>
      <c r="AU3341" s="2"/>
      <c r="AV3341" s="2"/>
      <c r="AW3341" s="2"/>
      <c r="AX3341" s="2"/>
      <c r="AY3341" s="2">
        <v>41</v>
      </c>
      <c r="AZ3341" s="2" t="s">
        <v>82</v>
      </c>
      <c r="BA3341" s="2">
        <v>41</v>
      </c>
      <c r="BB3341" s="2" t="s">
        <v>82</v>
      </c>
      <c r="BC3341" s="2">
        <v>41</v>
      </c>
      <c r="BD3341" s="2" t="s">
        <v>82</v>
      </c>
      <c r="BE3341" s="2">
        <v>41</v>
      </c>
      <c r="BF3341" s="2" t="s">
        <v>82</v>
      </c>
      <c r="BG3341" s="2"/>
      <c r="BH3341" s="2"/>
      <c r="BI3341" s="2"/>
      <c r="BJ3341" s="2">
        <v>241</v>
      </c>
      <c r="BK3341" s="2" t="s">
        <v>82</v>
      </c>
      <c r="BL3341" s="2"/>
      <c r="BM3341" s="2">
        <v>241</v>
      </c>
      <c r="BN3341" s="2" t="s">
        <v>82</v>
      </c>
      <c r="BO3341" s="2"/>
      <c r="BP3341" s="2">
        <v>241</v>
      </c>
      <c r="BQ3341" s="2" t="s">
        <v>82</v>
      </c>
      <c r="BR3341" s="2"/>
      <c r="BS3341" s="3">
        <v>40403</v>
      </c>
      <c r="BT3341" s="4">
        <v>0.65510416666666671</v>
      </c>
    </row>
    <row r="3342" spans="1:72" x14ac:dyDescent="0.25">
      <c r="A3342" s="2">
        <v>4933</v>
      </c>
      <c r="B3342" s="2">
        <v>2010</v>
      </c>
      <c r="C3342" s="2" t="s">
        <v>171</v>
      </c>
      <c r="D3342" s="2" t="s">
        <v>73</v>
      </c>
      <c r="E3342" s="2"/>
      <c r="F3342" s="2">
        <v>337</v>
      </c>
      <c r="G3342" s="2" t="s">
        <v>1190</v>
      </c>
      <c r="H3342" s="2">
        <v>66</v>
      </c>
      <c r="I3342" s="2" t="s">
        <v>3190</v>
      </c>
      <c r="J3342" s="2">
        <v>374</v>
      </c>
      <c r="K3342" s="2" t="s">
        <v>1191</v>
      </c>
      <c r="L3342" s="2" t="s">
        <v>132</v>
      </c>
      <c r="M3342" s="3">
        <v>40403</v>
      </c>
      <c r="N3342" s="2" t="s">
        <v>6995</v>
      </c>
      <c r="O3342" s="2" t="s">
        <v>10770</v>
      </c>
      <c r="P3342" s="2" t="s">
        <v>10771</v>
      </c>
      <c r="Q3342" s="2" t="str">
        <f>"0018/2010"</f>
        <v>0018/2010</v>
      </c>
      <c r="R3342" s="2"/>
      <c r="S3342" s="2" t="s">
        <v>10772</v>
      </c>
      <c r="T3342" s="2">
        <v>1</v>
      </c>
      <c r="U3342" s="2" t="s">
        <v>79</v>
      </c>
      <c r="V3342" s="2">
        <v>3</v>
      </c>
      <c r="W3342" s="2" t="s">
        <v>225</v>
      </c>
      <c r="X3342" s="2">
        <v>6</v>
      </c>
      <c r="Y3342" s="2" t="s">
        <v>249</v>
      </c>
      <c r="Z3342" s="2">
        <v>1</v>
      </c>
      <c r="AA3342" s="2" t="s">
        <v>82</v>
      </c>
      <c r="AB3342" s="2">
        <v>9</v>
      </c>
      <c r="AC3342" s="2" t="s">
        <v>124</v>
      </c>
      <c r="AD3342" s="3">
        <v>40403</v>
      </c>
      <c r="AE3342" s="2"/>
      <c r="AF3342" s="2"/>
      <c r="AG3342" s="2"/>
      <c r="AH3342" s="2">
        <v>5</v>
      </c>
      <c r="AI3342" s="2" t="s">
        <v>274</v>
      </c>
      <c r="AJ3342" s="2">
        <v>35</v>
      </c>
      <c r="AK3342" s="2" t="s">
        <v>275</v>
      </c>
      <c r="AL3342" s="2">
        <v>23</v>
      </c>
      <c r="AM3342" s="2" t="s">
        <v>251</v>
      </c>
      <c r="AN3342" s="2" t="s">
        <v>10773</v>
      </c>
      <c r="AO3342" s="2" t="s">
        <v>6998</v>
      </c>
      <c r="AP3342" s="2">
        <v>11</v>
      </c>
      <c r="AQ3342" s="2" t="s">
        <v>82</v>
      </c>
      <c r="AR3342" s="2"/>
      <c r="AS3342" s="2"/>
      <c r="AT3342" s="2" t="s">
        <v>10774</v>
      </c>
      <c r="AU3342" s="2"/>
      <c r="AV3342" s="2"/>
      <c r="AW3342" s="2"/>
      <c r="AX3342" s="2"/>
      <c r="AY3342" s="2">
        <v>1</v>
      </c>
      <c r="AZ3342" s="2" t="s">
        <v>107</v>
      </c>
      <c r="BA3342" s="2">
        <v>1</v>
      </c>
      <c r="BB3342" s="2" t="s">
        <v>107</v>
      </c>
      <c r="BC3342" s="2">
        <v>1</v>
      </c>
      <c r="BD3342" s="2" t="s">
        <v>107</v>
      </c>
      <c r="BE3342" s="2">
        <v>1</v>
      </c>
      <c r="BF3342" s="2" t="s">
        <v>107</v>
      </c>
      <c r="BG3342" s="2"/>
      <c r="BH3342" s="2"/>
      <c r="BI3342" s="2"/>
      <c r="BJ3342" s="2">
        <v>242</v>
      </c>
      <c r="BK3342" s="2" t="s">
        <v>107</v>
      </c>
      <c r="BL3342" s="2"/>
      <c r="BM3342" s="2">
        <v>242</v>
      </c>
      <c r="BN3342" s="2" t="s">
        <v>107</v>
      </c>
      <c r="BO3342" s="2"/>
      <c r="BP3342" s="2">
        <v>242</v>
      </c>
      <c r="BQ3342" s="2" t="s">
        <v>107</v>
      </c>
      <c r="BR3342" s="2"/>
      <c r="BS3342" s="3">
        <v>40403</v>
      </c>
      <c r="BT3342" s="4">
        <v>0.89957175925925925</v>
      </c>
    </row>
    <row r="3343" spans="1:72" x14ac:dyDescent="0.25">
      <c r="A3343" s="2">
        <v>4934</v>
      </c>
      <c r="B3343" s="2">
        <v>2010</v>
      </c>
      <c r="C3343" s="2" t="s">
        <v>171</v>
      </c>
      <c r="D3343" s="2" t="s">
        <v>122</v>
      </c>
      <c r="E3343" s="2"/>
      <c r="F3343" s="2">
        <v>338</v>
      </c>
      <c r="G3343" s="2" t="s">
        <v>4459</v>
      </c>
      <c r="H3343" s="2">
        <v>84</v>
      </c>
      <c r="I3343" s="2" t="s">
        <v>8117</v>
      </c>
      <c r="J3343" s="2">
        <v>309</v>
      </c>
      <c r="K3343" s="2" t="s">
        <v>268</v>
      </c>
      <c r="L3343" s="2" t="s">
        <v>269</v>
      </c>
      <c r="M3343" s="3">
        <v>40403</v>
      </c>
      <c r="N3343" s="2" t="s">
        <v>10277</v>
      </c>
      <c r="O3343" s="2" t="s">
        <v>10775</v>
      </c>
      <c r="P3343" s="2" t="s">
        <v>10776</v>
      </c>
      <c r="Q3343" s="2" t="str">
        <f>"S/NRO."</f>
        <v>S/NRO.</v>
      </c>
      <c r="R3343" s="2"/>
      <c r="S3343" s="2" t="s">
        <v>10777</v>
      </c>
      <c r="T3343" s="2">
        <v>1</v>
      </c>
      <c r="U3343" s="2" t="s">
        <v>79</v>
      </c>
      <c r="V3343" s="2">
        <v>3</v>
      </c>
      <c r="W3343" s="2" t="s">
        <v>225</v>
      </c>
      <c r="X3343" s="2">
        <v>6</v>
      </c>
      <c r="Y3343" s="2" t="s">
        <v>249</v>
      </c>
      <c r="Z3343" s="2">
        <v>1</v>
      </c>
      <c r="AA3343" s="2" t="s">
        <v>82</v>
      </c>
      <c r="AB3343" s="2">
        <v>9</v>
      </c>
      <c r="AC3343" s="2" t="s">
        <v>124</v>
      </c>
      <c r="AD3343" s="2"/>
      <c r="AE3343" s="2"/>
      <c r="AF3343" s="2"/>
      <c r="AG3343" s="2"/>
      <c r="AH3343" s="2">
        <v>5</v>
      </c>
      <c r="AI3343" s="2" t="s">
        <v>274</v>
      </c>
      <c r="AJ3343" s="2">
        <v>35</v>
      </c>
      <c r="AK3343" s="2" t="s">
        <v>275</v>
      </c>
      <c r="AL3343" s="2">
        <v>18</v>
      </c>
      <c r="AM3343" s="2" t="s">
        <v>82</v>
      </c>
      <c r="AN3343" s="2" t="s">
        <v>10778</v>
      </c>
      <c r="AO3343" s="2" t="s">
        <v>6998</v>
      </c>
      <c r="AP3343" s="2">
        <v>11</v>
      </c>
      <c r="AQ3343" s="2" t="s">
        <v>82</v>
      </c>
      <c r="AR3343" s="2"/>
      <c r="AS3343" s="2"/>
      <c r="AT3343" s="2" t="s">
        <v>10779</v>
      </c>
      <c r="AU3343" s="2"/>
      <c r="AV3343" s="2"/>
      <c r="AW3343" s="2"/>
      <c r="AX3343" s="2"/>
      <c r="AY3343" s="2">
        <v>1</v>
      </c>
      <c r="AZ3343" s="2" t="s">
        <v>107</v>
      </c>
      <c r="BA3343" s="2">
        <v>1</v>
      </c>
      <c r="BB3343" s="2" t="s">
        <v>107</v>
      </c>
      <c r="BC3343" s="2">
        <v>1</v>
      </c>
      <c r="BD3343" s="2" t="s">
        <v>107</v>
      </c>
      <c r="BE3343" s="2">
        <v>1</v>
      </c>
      <c r="BF3343" s="2" t="s">
        <v>107</v>
      </c>
      <c r="BG3343" s="2"/>
      <c r="BH3343" s="2"/>
      <c r="BI3343" s="2"/>
      <c r="BJ3343" s="2">
        <v>242</v>
      </c>
      <c r="BK3343" s="2" t="s">
        <v>107</v>
      </c>
      <c r="BL3343" s="2"/>
      <c r="BM3343" s="2">
        <v>242</v>
      </c>
      <c r="BN3343" s="2" t="s">
        <v>107</v>
      </c>
      <c r="BO3343" s="2"/>
      <c r="BP3343" s="2">
        <v>242</v>
      </c>
      <c r="BQ3343" s="2" t="s">
        <v>107</v>
      </c>
      <c r="BR3343" s="2"/>
      <c r="BS3343" s="3">
        <v>40403</v>
      </c>
      <c r="BT3343" s="4">
        <v>0.91052083333333333</v>
      </c>
    </row>
    <row r="3344" spans="1:72" x14ac:dyDescent="0.25">
      <c r="A3344" s="2">
        <v>4935</v>
      </c>
      <c r="B3344" s="2">
        <v>2010</v>
      </c>
      <c r="C3344" s="2" t="s">
        <v>72</v>
      </c>
      <c r="D3344" s="2" t="s">
        <v>73</v>
      </c>
      <c r="E3344" s="2"/>
      <c r="F3344" s="2">
        <v>389</v>
      </c>
      <c r="G3344" s="2" t="s">
        <v>1819</v>
      </c>
      <c r="H3344" s="2">
        <v>3</v>
      </c>
      <c r="I3344" s="2" t="s">
        <v>315</v>
      </c>
      <c r="J3344" s="2">
        <v>399</v>
      </c>
      <c r="K3344" s="2" t="s">
        <v>1820</v>
      </c>
      <c r="L3344" s="2" t="s">
        <v>1821</v>
      </c>
      <c r="M3344" s="3">
        <v>40403</v>
      </c>
      <c r="N3344" s="2" t="s">
        <v>2319</v>
      </c>
      <c r="O3344" s="2" t="s">
        <v>107</v>
      </c>
      <c r="P3344" s="2" t="s">
        <v>107</v>
      </c>
      <c r="Q3344" s="2" t="str">
        <f>"414-E/10"</f>
        <v>414-E/10</v>
      </c>
      <c r="R3344" s="2" t="s">
        <v>480</v>
      </c>
      <c r="S3344" s="2" t="s">
        <v>10780</v>
      </c>
      <c r="T3344" s="2">
        <v>1</v>
      </c>
      <c r="U3344" s="2" t="s">
        <v>79</v>
      </c>
      <c r="V3344" s="2">
        <v>1</v>
      </c>
      <c r="W3344" s="2" t="s">
        <v>80</v>
      </c>
      <c r="X3344" s="2">
        <v>12</v>
      </c>
      <c r="Y3344" s="2" t="s">
        <v>148</v>
      </c>
      <c r="Z3344" s="2">
        <v>1</v>
      </c>
      <c r="AA3344" s="2" t="s">
        <v>82</v>
      </c>
      <c r="AB3344" s="2">
        <v>6</v>
      </c>
      <c r="AC3344" s="2" t="s">
        <v>83</v>
      </c>
      <c r="AD3344" s="3">
        <v>40403</v>
      </c>
      <c r="AE3344" s="2"/>
      <c r="AF3344" s="3">
        <v>40403</v>
      </c>
      <c r="AG3344" s="4">
        <v>0.79166666666666663</v>
      </c>
      <c r="AH3344" s="2">
        <v>2</v>
      </c>
      <c r="AI3344" s="2" t="s">
        <v>84</v>
      </c>
      <c r="AJ3344" s="2">
        <v>9</v>
      </c>
      <c r="AK3344" s="2" t="s">
        <v>103</v>
      </c>
      <c r="AL3344" s="2">
        <v>22</v>
      </c>
      <c r="AM3344" s="2" t="s">
        <v>1853</v>
      </c>
      <c r="AN3344" s="2" t="s">
        <v>10781</v>
      </c>
      <c r="AO3344" s="2" t="s">
        <v>10782</v>
      </c>
      <c r="AP3344" s="2">
        <v>11</v>
      </c>
      <c r="AQ3344" s="2" t="s">
        <v>82</v>
      </c>
      <c r="AR3344" s="2"/>
      <c r="AS3344" s="2"/>
      <c r="AT3344" s="2" t="s">
        <v>10783</v>
      </c>
      <c r="AU3344" s="2"/>
      <c r="AV3344" s="2"/>
      <c r="AW3344" s="2"/>
      <c r="AX3344" s="2"/>
      <c r="AY3344" s="2">
        <v>41</v>
      </c>
      <c r="AZ3344" s="2" t="s">
        <v>82</v>
      </c>
      <c r="BA3344" s="2">
        <v>41</v>
      </c>
      <c r="BB3344" s="2" t="s">
        <v>82</v>
      </c>
      <c r="BC3344" s="2">
        <v>41</v>
      </c>
      <c r="BD3344" s="2" t="s">
        <v>82</v>
      </c>
      <c r="BE3344" s="2">
        <v>33</v>
      </c>
      <c r="BF3344" s="2" t="s">
        <v>1083</v>
      </c>
      <c r="BG3344" s="2" t="s">
        <v>10784</v>
      </c>
      <c r="BH3344" s="4">
        <v>0.65972222222222221</v>
      </c>
      <c r="BI3344" s="2"/>
      <c r="BJ3344" s="2">
        <v>200</v>
      </c>
      <c r="BK3344" s="2" t="s">
        <v>10785</v>
      </c>
      <c r="BL3344" s="2" t="s">
        <v>10786</v>
      </c>
      <c r="BM3344" s="2">
        <v>205</v>
      </c>
      <c r="BN3344" s="2" t="s">
        <v>1085</v>
      </c>
      <c r="BO3344" s="2" t="s">
        <v>1086</v>
      </c>
      <c r="BP3344" s="2">
        <v>13</v>
      </c>
      <c r="BQ3344" s="2" t="s">
        <v>91</v>
      </c>
      <c r="BR3344" s="2" t="s">
        <v>360</v>
      </c>
      <c r="BS3344" s="3">
        <v>40403</v>
      </c>
      <c r="BT3344" s="4">
        <v>0.93839120370370377</v>
      </c>
    </row>
    <row r="3345" spans="1:72" x14ac:dyDescent="0.25">
      <c r="A3345" s="2">
        <v>4936</v>
      </c>
      <c r="B3345" s="2">
        <v>2010</v>
      </c>
      <c r="C3345" s="2" t="s">
        <v>377</v>
      </c>
      <c r="D3345" s="2" t="s">
        <v>73</v>
      </c>
      <c r="E3345" s="2"/>
      <c r="F3345" s="2">
        <v>426</v>
      </c>
      <c r="G3345" s="2" t="s">
        <v>378</v>
      </c>
      <c r="H3345" s="2">
        <v>42</v>
      </c>
      <c r="I3345" s="2" t="s">
        <v>1096</v>
      </c>
      <c r="J3345" s="2">
        <v>311</v>
      </c>
      <c r="K3345" s="2" t="s">
        <v>379</v>
      </c>
      <c r="L3345" s="2" t="s">
        <v>380</v>
      </c>
      <c r="M3345" s="3">
        <v>40403</v>
      </c>
      <c r="N3345" s="2" t="s">
        <v>5164</v>
      </c>
      <c r="O3345" s="2"/>
      <c r="P3345" s="2"/>
      <c r="Q3345" s="2" t="str">
        <f>"204-C/10"</f>
        <v>204-C/10</v>
      </c>
      <c r="R3345" s="2" t="s">
        <v>4072</v>
      </c>
      <c r="S3345" s="2" t="s">
        <v>4072</v>
      </c>
      <c r="T3345" s="2">
        <v>1</v>
      </c>
      <c r="U3345" s="2" t="s">
        <v>79</v>
      </c>
      <c r="V3345" s="2">
        <v>1</v>
      </c>
      <c r="W3345" s="2" t="s">
        <v>80</v>
      </c>
      <c r="X3345" s="2">
        <v>1</v>
      </c>
      <c r="Y3345" s="2" t="s">
        <v>81</v>
      </c>
      <c r="Z3345" s="2">
        <v>1</v>
      </c>
      <c r="AA3345" s="2" t="s">
        <v>82</v>
      </c>
      <c r="AB3345" s="2">
        <v>9</v>
      </c>
      <c r="AC3345" s="2" t="s">
        <v>124</v>
      </c>
      <c r="AD3345" s="3">
        <v>40403</v>
      </c>
      <c r="AE3345" s="4">
        <v>0.84375</v>
      </c>
      <c r="AF3345" s="2"/>
      <c r="AG3345" s="2"/>
      <c r="AH3345" s="2">
        <v>2</v>
      </c>
      <c r="AI3345" s="2" t="s">
        <v>84</v>
      </c>
      <c r="AJ3345" s="2">
        <v>9</v>
      </c>
      <c r="AK3345" s="2" t="s">
        <v>103</v>
      </c>
      <c r="AL3345" s="2">
        <v>29</v>
      </c>
      <c r="AM3345" s="2" t="s">
        <v>5416</v>
      </c>
      <c r="AN3345" s="2" t="s">
        <v>10787</v>
      </c>
      <c r="AO3345" s="2" t="s">
        <v>1505</v>
      </c>
      <c r="AP3345" s="2">
        <v>11</v>
      </c>
      <c r="AQ3345" s="2" t="s">
        <v>82</v>
      </c>
      <c r="AR3345" s="2"/>
      <c r="AS3345" s="2"/>
      <c r="AT3345" s="2" t="s">
        <v>10788</v>
      </c>
      <c r="AU3345" s="2"/>
      <c r="AV3345" s="2"/>
      <c r="AW3345" s="2"/>
      <c r="AX3345" s="2"/>
      <c r="AY3345" s="2">
        <v>41</v>
      </c>
      <c r="AZ3345" s="2" t="s">
        <v>82</v>
      </c>
      <c r="BA3345" s="2">
        <v>41</v>
      </c>
      <c r="BB3345" s="2" t="s">
        <v>82</v>
      </c>
      <c r="BC3345" s="2">
        <v>41</v>
      </c>
      <c r="BD3345" s="2" t="s">
        <v>82</v>
      </c>
      <c r="BE3345" s="2">
        <v>41</v>
      </c>
      <c r="BF3345" s="2" t="s">
        <v>82</v>
      </c>
      <c r="BG3345" s="2"/>
      <c r="BH3345" s="2"/>
      <c r="BI3345" s="2"/>
      <c r="BJ3345" s="2">
        <v>241</v>
      </c>
      <c r="BK3345" s="2" t="s">
        <v>82</v>
      </c>
      <c r="BL3345" s="2"/>
      <c r="BM3345" s="2">
        <v>241</v>
      </c>
      <c r="BN3345" s="2" t="s">
        <v>82</v>
      </c>
      <c r="BO3345" s="2"/>
      <c r="BP3345" s="2">
        <v>241</v>
      </c>
      <c r="BQ3345" s="2" t="s">
        <v>82</v>
      </c>
      <c r="BR3345" s="2"/>
      <c r="BS3345" s="3">
        <v>40403</v>
      </c>
      <c r="BT3345" s="4">
        <v>0.95753472222222225</v>
      </c>
    </row>
    <row r="3346" spans="1:72" x14ac:dyDescent="0.25">
      <c r="A3346" s="2">
        <v>4937</v>
      </c>
      <c r="B3346" s="2">
        <v>2010</v>
      </c>
      <c r="C3346" s="2" t="s">
        <v>385</v>
      </c>
      <c r="D3346" s="2" t="s">
        <v>122</v>
      </c>
      <c r="E3346" s="2"/>
      <c r="F3346" s="2">
        <v>400</v>
      </c>
      <c r="G3346" s="2" t="s">
        <v>3601</v>
      </c>
      <c r="H3346" s="2">
        <v>17</v>
      </c>
      <c r="I3346" s="2" t="s">
        <v>3602</v>
      </c>
      <c r="J3346" s="2">
        <v>316</v>
      </c>
      <c r="K3346" s="2" t="s">
        <v>574</v>
      </c>
      <c r="L3346" s="2" t="s">
        <v>575</v>
      </c>
      <c r="M3346" s="3">
        <v>40403</v>
      </c>
      <c r="N3346" s="2" t="s">
        <v>10789</v>
      </c>
      <c r="O3346" s="2" t="s">
        <v>10790</v>
      </c>
      <c r="P3346" s="2">
        <v>9995</v>
      </c>
      <c r="Q3346" s="2" t="str">
        <f>"S/D"</f>
        <v>S/D</v>
      </c>
      <c r="R3346" s="2" t="s">
        <v>82</v>
      </c>
      <c r="S3346" s="2" t="s">
        <v>107</v>
      </c>
      <c r="T3346" s="2">
        <v>1</v>
      </c>
      <c r="U3346" s="2" t="s">
        <v>79</v>
      </c>
      <c r="V3346" s="2">
        <v>1</v>
      </c>
      <c r="W3346" s="2" t="s">
        <v>80</v>
      </c>
      <c r="X3346" s="2">
        <v>10</v>
      </c>
      <c r="Y3346" s="2" t="s">
        <v>226</v>
      </c>
      <c r="Z3346" s="2">
        <v>1</v>
      </c>
      <c r="AA3346" s="2" t="s">
        <v>82</v>
      </c>
      <c r="AB3346" s="2">
        <v>9</v>
      </c>
      <c r="AC3346" s="2" t="s">
        <v>124</v>
      </c>
      <c r="AD3346" s="3">
        <v>40403</v>
      </c>
      <c r="AE3346" s="4">
        <v>0.875</v>
      </c>
      <c r="AF3346" s="2"/>
      <c r="AG3346" s="2"/>
      <c r="AH3346" s="2">
        <v>2</v>
      </c>
      <c r="AI3346" s="2" t="s">
        <v>84</v>
      </c>
      <c r="AJ3346" s="2">
        <v>9</v>
      </c>
      <c r="AK3346" s="2" t="s">
        <v>103</v>
      </c>
      <c r="AL3346" s="2">
        <v>19</v>
      </c>
      <c r="AM3346" s="2" t="s">
        <v>107</v>
      </c>
      <c r="AN3346" s="2"/>
      <c r="AO3346" s="2"/>
      <c r="AP3346" s="2">
        <v>11</v>
      </c>
      <c r="AQ3346" s="2" t="s">
        <v>82</v>
      </c>
      <c r="AR3346" s="2"/>
      <c r="AS3346" s="2"/>
      <c r="AT3346" s="2" t="s">
        <v>10791</v>
      </c>
      <c r="AU3346" s="2"/>
      <c r="AV3346" s="2">
        <v>1</v>
      </c>
      <c r="AW3346" s="2"/>
      <c r="AX3346" s="2"/>
      <c r="AY3346" s="2">
        <v>1</v>
      </c>
      <c r="AZ3346" s="2" t="s">
        <v>107</v>
      </c>
      <c r="BA3346" s="2">
        <v>1</v>
      </c>
      <c r="BB3346" s="2" t="s">
        <v>107</v>
      </c>
      <c r="BC3346" s="2">
        <v>1</v>
      </c>
      <c r="BD3346" s="2" t="s">
        <v>107</v>
      </c>
      <c r="BE3346" s="2">
        <v>1</v>
      </c>
      <c r="BF3346" s="2" t="s">
        <v>107</v>
      </c>
      <c r="BG3346" s="2"/>
      <c r="BH3346" s="2"/>
      <c r="BI3346" s="2"/>
      <c r="BJ3346" s="2">
        <v>242</v>
      </c>
      <c r="BK3346" s="2" t="s">
        <v>107</v>
      </c>
      <c r="BL3346" s="2"/>
      <c r="BM3346" s="2">
        <v>242</v>
      </c>
      <c r="BN3346" s="2" t="s">
        <v>107</v>
      </c>
      <c r="BO3346" s="2"/>
      <c r="BP3346" s="2">
        <v>242</v>
      </c>
      <c r="BQ3346" s="2" t="s">
        <v>107</v>
      </c>
      <c r="BR3346" s="2"/>
      <c r="BS3346" s="3">
        <v>40403</v>
      </c>
      <c r="BT3346" s="4">
        <v>0.96457175925925931</v>
      </c>
    </row>
    <row r="3347" spans="1:72" x14ac:dyDescent="0.25">
      <c r="A3347" s="2">
        <v>4938</v>
      </c>
      <c r="B3347" s="2">
        <v>2010</v>
      </c>
      <c r="C3347" s="2" t="s">
        <v>72</v>
      </c>
      <c r="D3347" s="2" t="s">
        <v>73</v>
      </c>
      <c r="E3347" s="2"/>
      <c r="F3347" s="2">
        <v>285</v>
      </c>
      <c r="G3347" s="2" t="s">
        <v>1949</v>
      </c>
      <c r="H3347" s="2">
        <v>3</v>
      </c>
      <c r="I3347" s="2" t="s">
        <v>315</v>
      </c>
      <c r="J3347" s="2">
        <v>340</v>
      </c>
      <c r="K3347" s="2" t="s">
        <v>1417</v>
      </c>
      <c r="L3347" s="2" t="s">
        <v>1418</v>
      </c>
      <c r="M3347" s="3">
        <v>40403</v>
      </c>
      <c r="N3347" s="2" t="s">
        <v>10792</v>
      </c>
      <c r="O3347" s="2" t="s">
        <v>107</v>
      </c>
      <c r="P3347" s="2" t="s">
        <v>107</v>
      </c>
      <c r="Q3347" s="2" t="str">
        <f>"0010/10"</f>
        <v>0010/10</v>
      </c>
      <c r="R3347" s="2" t="s">
        <v>116</v>
      </c>
      <c r="S3347" s="2" t="s">
        <v>116</v>
      </c>
      <c r="T3347" s="2">
        <v>1</v>
      </c>
      <c r="U3347" s="2" t="s">
        <v>79</v>
      </c>
      <c r="V3347" s="2">
        <v>1</v>
      </c>
      <c r="W3347" s="2" t="s">
        <v>80</v>
      </c>
      <c r="X3347" s="2">
        <v>12</v>
      </c>
      <c r="Y3347" s="2" t="s">
        <v>148</v>
      </c>
      <c r="Z3347" s="2">
        <v>1</v>
      </c>
      <c r="AA3347" s="2" t="s">
        <v>82</v>
      </c>
      <c r="AB3347" s="2">
        <v>6</v>
      </c>
      <c r="AC3347" s="2" t="s">
        <v>83</v>
      </c>
      <c r="AD3347" s="3">
        <v>40403</v>
      </c>
      <c r="AE3347" s="2"/>
      <c r="AF3347" s="3">
        <v>40403</v>
      </c>
      <c r="AG3347" s="4">
        <v>0.89930555555555547</v>
      </c>
      <c r="AH3347" s="2">
        <v>5</v>
      </c>
      <c r="AI3347" s="2" t="s">
        <v>274</v>
      </c>
      <c r="AJ3347" s="2">
        <v>37</v>
      </c>
      <c r="AK3347" s="2" t="s">
        <v>497</v>
      </c>
      <c r="AL3347" s="2">
        <v>22</v>
      </c>
      <c r="AM3347" s="2" t="s">
        <v>1853</v>
      </c>
      <c r="AN3347" s="2"/>
      <c r="AO3347" s="2"/>
      <c r="AP3347" s="2">
        <v>11</v>
      </c>
      <c r="AQ3347" s="2" t="s">
        <v>82</v>
      </c>
      <c r="AR3347" s="2"/>
      <c r="AS3347" s="2"/>
      <c r="AT3347" s="2" t="s">
        <v>10793</v>
      </c>
      <c r="AU3347" s="2"/>
      <c r="AV3347" s="2"/>
      <c r="AW3347" s="2"/>
      <c r="AX3347" s="2"/>
      <c r="AY3347" s="2">
        <v>41</v>
      </c>
      <c r="AZ3347" s="2" t="s">
        <v>82</v>
      </c>
      <c r="BA3347" s="2">
        <v>41</v>
      </c>
      <c r="BB3347" s="2" t="s">
        <v>82</v>
      </c>
      <c r="BC3347" s="2">
        <v>13</v>
      </c>
      <c r="BD3347" s="2" t="s">
        <v>108</v>
      </c>
      <c r="BE3347" s="2">
        <v>13</v>
      </c>
      <c r="BF3347" s="2" t="s">
        <v>108</v>
      </c>
      <c r="BG3347" s="2">
        <v>1758</v>
      </c>
      <c r="BH3347" s="4">
        <v>0.84722222222222221</v>
      </c>
      <c r="BI3347" s="2"/>
      <c r="BJ3347" s="2">
        <v>13</v>
      </c>
      <c r="BK3347" s="2" t="s">
        <v>91</v>
      </c>
      <c r="BL3347" s="2" t="s">
        <v>170</v>
      </c>
      <c r="BM3347" s="2">
        <v>241</v>
      </c>
      <c r="BN3347" s="2" t="s">
        <v>82</v>
      </c>
      <c r="BO3347" s="2" t="s">
        <v>82</v>
      </c>
      <c r="BP3347" s="2">
        <v>13</v>
      </c>
      <c r="BQ3347" s="2" t="s">
        <v>91</v>
      </c>
      <c r="BR3347" s="2" t="s">
        <v>1552</v>
      </c>
      <c r="BS3347" s="3">
        <v>40403</v>
      </c>
      <c r="BT3347" s="4">
        <v>0.96526620370370375</v>
      </c>
    </row>
    <row r="3348" spans="1:72" x14ac:dyDescent="0.25">
      <c r="A3348" s="2">
        <v>4939</v>
      </c>
      <c r="B3348" s="2">
        <v>2010</v>
      </c>
      <c r="C3348" s="2" t="s">
        <v>171</v>
      </c>
      <c r="D3348" s="2" t="s">
        <v>73</v>
      </c>
      <c r="E3348" s="2"/>
      <c r="F3348" s="2">
        <v>400</v>
      </c>
      <c r="G3348" s="2" t="s">
        <v>3601</v>
      </c>
      <c r="H3348" s="2">
        <v>17</v>
      </c>
      <c r="I3348" s="2" t="s">
        <v>3602</v>
      </c>
      <c r="J3348" s="2">
        <v>316</v>
      </c>
      <c r="K3348" s="2" t="s">
        <v>574</v>
      </c>
      <c r="L3348" s="2" t="s">
        <v>575</v>
      </c>
      <c r="M3348" s="3">
        <v>40404</v>
      </c>
      <c r="N3348" s="2" t="s">
        <v>10794</v>
      </c>
      <c r="O3348" s="2" t="s">
        <v>107</v>
      </c>
      <c r="P3348" s="2" t="s">
        <v>10795</v>
      </c>
      <c r="Q3348" s="2" t="str">
        <f>""</f>
        <v/>
      </c>
      <c r="R3348" s="2"/>
      <c r="S3348" s="2"/>
      <c r="T3348" s="2">
        <v>1</v>
      </c>
      <c r="U3348" s="2" t="s">
        <v>79</v>
      </c>
      <c r="V3348" s="2">
        <v>1</v>
      </c>
      <c r="W3348" s="2" t="s">
        <v>80</v>
      </c>
      <c r="X3348" s="2">
        <v>9</v>
      </c>
      <c r="Y3348" s="2" t="s">
        <v>3393</v>
      </c>
      <c r="Z3348" s="2">
        <v>1</v>
      </c>
      <c r="AA3348" s="2" t="s">
        <v>82</v>
      </c>
      <c r="AB3348" s="2">
        <v>1</v>
      </c>
      <c r="AC3348" s="2" t="s">
        <v>178</v>
      </c>
      <c r="AD3348" s="3">
        <v>40403</v>
      </c>
      <c r="AE3348" s="4">
        <v>0.89930555555555547</v>
      </c>
      <c r="AF3348" s="2"/>
      <c r="AG3348" s="2"/>
      <c r="AH3348" s="2">
        <v>2</v>
      </c>
      <c r="AI3348" s="2" t="s">
        <v>84</v>
      </c>
      <c r="AJ3348" s="2">
        <v>6</v>
      </c>
      <c r="AK3348" s="2" t="s">
        <v>453</v>
      </c>
      <c r="AL3348" s="2">
        <v>23</v>
      </c>
      <c r="AM3348" s="2" t="s">
        <v>251</v>
      </c>
      <c r="AN3348" s="2"/>
      <c r="AO3348" s="2" t="s">
        <v>10796</v>
      </c>
      <c r="AP3348" s="2">
        <v>11</v>
      </c>
      <c r="AQ3348" s="2" t="s">
        <v>82</v>
      </c>
      <c r="AR3348" s="2"/>
      <c r="AS3348" s="2"/>
      <c r="AT3348" s="2" t="s">
        <v>10797</v>
      </c>
      <c r="AU3348" s="2"/>
      <c r="AV3348" s="2"/>
      <c r="AW3348" s="2"/>
      <c r="AX3348" s="2"/>
      <c r="AY3348" s="2">
        <v>41</v>
      </c>
      <c r="AZ3348" s="2" t="s">
        <v>82</v>
      </c>
      <c r="BA3348" s="2">
        <v>41</v>
      </c>
      <c r="BB3348" s="2" t="s">
        <v>82</v>
      </c>
      <c r="BC3348" s="2">
        <v>41</v>
      </c>
      <c r="BD3348" s="2" t="s">
        <v>82</v>
      </c>
      <c r="BE3348" s="2">
        <v>41</v>
      </c>
      <c r="BF3348" s="2" t="s">
        <v>82</v>
      </c>
      <c r="BG3348" s="2"/>
      <c r="BH3348" s="2"/>
      <c r="BI3348" s="2"/>
      <c r="BJ3348" s="2">
        <v>241</v>
      </c>
      <c r="BK3348" s="2" t="s">
        <v>82</v>
      </c>
      <c r="BL3348" s="2"/>
      <c r="BM3348" s="2">
        <v>241</v>
      </c>
      <c r="BN3348" s="2" t="s">
        <v>82</v>
      </c>
      <c r="BO3348" s="2"/>
      <c r="BP3348" s="2">
        <v>241</v>
      </c>
      <c r="BQ3348" s="2" t="s">
        <v>82</v>
      </c>
      <c r="BR3348" s="2"/>
      <c r="BS3348" s="3">
        <v>40404</v>
      </c>
      <c r="BT3348" s="4">
        <v>4.5138888888888892E-4</v>
      </c>
    </row>
    <row r="3349" spans="1:72" x14ac:dyDescent="0.25">
      <c r="A3349" s="2">
        <v>4941</v>
      </c>
      <c r="B3349" s="2">
        <v>2010</v>
      </c>
      <c r="C3349" s="2" t="s">
        <v>72</v>
      </c>
      <c r="D3349" s="2" t="s">
        <v>73</v>
      </c>
      <c r="E3349" s="2"/>
      <c r="F3349" s="2">
        <v>94</v>
      </c>
      <c r="G3349" s="2" t="s">
        <v>7722</v>
      </c>
      <c r="H3349" s="2">
        <v>42</v>
      </c>
      <c r="I3349" s="2" t="s">
        <v>1096</v>
      </c>
      <c r="J3349" s="2">
        <v>121</v>
      </c>
      <c r="K3349" s="2" t="s">
        <v>7723</v>
      </c>
      <c r="L3349" s="2" t="s">
        <v>7724</v>
      </c>
      <c r="M3349" s="3">
        <v>40404</v>
      </c>
      <c r="N3349" s="2" t="s">
        <v>10798</v>
      </c>
      <c r="O3349" s="2"/>
      <c r="P3349" s="2"/>
      <c r="Q3349" s="2" t="str">
        <f>"0032/10"</f>
        <v>0032/10</v>
      </c>
      <c r="R3349" s="2"/>
      <c r="S3349" s="2" t="s">
        <v>10799</v>
      </c>
      <c r="T3349" s="2">
        <v>1</v>
      </c>
      <c r="U3349" s="2" t="s">
        <v>79</v>
      </c>
      <c r="V3349" s="2">
        <v>1</v>
      </c>
      <c r="W3349" s="2" t="s">
        <v>80</v>
      </c>
      <c r="X3349" s="2">
        <v>12</v>
      </c>
      <c r="Y3349" s="2" t="s">
        <v>148</v>
      </c>
      <c r="Z3349" s="2">
        <v>1</v>
      </c>
      <c r="AA3349" s="2" t="s">
        <v>82</v>
      </c>
      <c r="AB3349" s="2">
        <v>6</v>
      </c>
      <c r="AC3349" s="2" t="s">
        <v>83</v>
      </c>
      <c r="AD3349" s="3">
        <v>40403</v>
      </c>
      <c r="AE3349" s="2"/>
      <c r="AF3349" s="3">
        <v>40403</v>
      </c>
      <c r="AG3349" s="4">
        <v>0.97916666666666663</v>
      </c>
      <c r="AH3349" s="2">
        <v>6</v>
      </c>
      <c r="AI3349" s="2" t="s">
        <v>197</v>
      </c>
      <c r="AJ3349" s="2">
        <v>50</v>
      </c>
      <c r="AK3349" s="2" t="s">
        <v>330</v>
      </c>
      <c r="AL3349" s="2">
        <v>22</v>
      </c>
      <c r="AM3349" s="2" t="s">
        <v>1853</v>
      </c>
      <c r="AN3349" s="2"/>
      <c r="AO3349" s="2" t="s">
        <v>3017</v>
      </c>
      <c r="AP3349" s="2">
        <v>11</v>
      </c>
      <c r="AQ3349" s="2" t="s">
        <v>82</v>
      </c>
      <c r="AR3349" s="2"/>
      <c r="AS3349" s="2"/>
      <c r="AT3349" s="2" t="s">
        <v>10800</v>
      </c>
      <c r="AU3349" s="2"/>
      <c r="AV3349" s="2"/>
      <c r="AW3349" s="2"/>
      <c r="AX3349" s="2"/>
      <c r="AY3349" s="2">
        <v>41</v>
      </c>
      <c r="AZ3349" s="2" t="s">
        <v>82</v>
      </c>
      <c r="BA3349" s="2">
        <v>41</v>
      </c>
      <c r="BB3349" s="2" t="s">
        <v>82</v>
      </c>
      <c r="BC3349" s="2">
        <v>41</v>
      </c>
      <c r="BD3349" s="2" t="s">
        <v>82</v>
      </c>
      <c r="BE3349" s="2">
        <v>52</v>
      </c>
      <c r="BF3349" s="2" t="s">
        <v>1185</v>
      </c>
      <c r="BG3349" s="2">
        <v>7977</v>
      </c>
      <c r="BH3349" s="4">
        <v>0.92708333333333337</v>
      </c>
      <c r="BI3349" s="2"/>
      <c r="BJ3349" s="2">
        <v>13</v>
      </c>
      <c r="BK3349" s="2" t="s">
        <v>91</v>
      </c>
      <c r="BL3349" s="2" t="s">
        <v>185</v>
      </c>
      <c r="BM3349" s="2">
        <v>241</v>
      </c>
      <c r="BN3349" s="2" t="s">
        <v>82</v>
      </c>
      <c r="BO3349" s="2"/>
      <c r="BP3349" s="2">
        <v>13</v>
      </c>
      <c r="BQ3349" s="2" t="s">
        <v>91</v>
      </c>
      <c r="BR3349" s="2" t="s">
        <v>1199</v>
      </c>
      <c r="BS3349" s="3">
        <v>40404</v>
      </c>
      <c r="BT3349" s="4">
        <v>5.063657407407407E-2</v>
      </c>
    </row>
    <row r="3350" spans="1:72" x14ac:dyDescent="0.25">
      <c r="A3350" s="2">
        <v>4942</v>
      </c>
      <c r="B3350" s="2">
        <v>2010</v>
      </c>
      <c r="C3350" s="2" t="s">
        <v>72</v>
      </c>
      <c r="D3350" s="2" t="s">
        <v>73</v>
      </c>
      <c r="E3350" s="2"/>
      <c r="F3350" s="2">
        <v>94</v>
      </c>
      <c r="G3350" s="2" t="s">
        <v>7722</v>
      </c>
      <c r="H3350" s="2">
        <v>42</v>
      </c>
      <c r="I3350" s="2" t="s">
        <v>1096</v>
      </c>
      <c r="J3350" s="2">
        <v>121</v>
      </c>
      <c r="K3350" s="2" t="s">
        <v>7723</v>
      </c>
      <c r="L3350" s="2" t="s">
        <v>7724</v>
      </c>
      <c r="M3350" s="3">
        <v>40404</v>
      </c>
      <c r="N3350" s="2" t="s">
        <v>10801</v>
      </c>
      <c r="O3350" s="2"/>
      <c r="P3350" s="2" t="s">
        <v>581</v>
      </c>
      <c r="Q3350" s="2" t="str">
        <f>"0033-10"</f>
        <v>0033-10</v>
      </c>
      <c r="R3350" s="2" t="s">
        <v>10802</v>
      </c>
      <c r="S3350" s="2"/>
      <c r="T3350" s="2">
        <v>1</v>
      </c>
      <c r="U3350" s="2" t="s">
        <v>79</v>
      </c>
      <c r="V3350" s="2">
        <v>1</v>
      </c>
      <c r="W3350" s="2" t="s">
        <v>80</v>
      </c>
      <c r="X3350" s="2">
        <v>12</v>
      </c>
      <c r="Y3350" s="2" t="s">
        <v>148</v>
      </c>
      <c r="Z3350" s="2">
        <v>1</v>
      </c>
      <c r="AA3350" s="2" t="s">
        <v>82</v>
      </c>
      <c r="AB3350" s="2">
        <v>6</v>
      </c>
      <c r="AC3350" s="2" t="s">
        <v>83</v>
      </c>
      <c r="AD3350" s="3">
        <v>40403</v>
      </c>
      <c r="AE3350" s="2"/>
      <c r="AF3350" s="3">
        <v>40403</v>
      </c>
      <c r="AG3350" s="4">
        <v>0.98611111111111116</v>
      </c>
      <c r="AH3350" s="2">
        <v>6</v>
      </c>
      <c r="AI3350" s="2" t="s">
        <v>197</v>
      </c>
      <c r="AJ3350" s="2">
        <v>50</v>
      </c>
      <c r="AK3350" s="2" t="s">
        <v>330</v>
      </c>
      <c r="AL3350" s="2">
        <v>22</v>
      </c>
      <c r="AM3350" s="2" t="s">
        <v>1853</v>
      </c>
      <c r="AN3350" s="2"/>
      <c r="AO3350" s="2" t="s">
        <v>7600</v>
      </c>
      <c r="AP3350" s="2">
        <v>11</v>
      </c>
      <c r="AQ3350" s="2" t="s">
        <v>82</v>
      </c>
      <c r="AR3350" s="2"/>
      <c r="AS3350" s="2"/>
      <c r="AT3350" s="2" t="s">
        <v>10803</v>
      </c>
      <c r="AU3350" s="2"/>
      <c r="AV3350" s="2"/>
      <c r="AW3350" s="2"/>
      <c r="AX3350" s="2"/>
      <c r="AY3350" s="2">
        <v>41</v>
      </c>
      <c r="AZ3350" s="2" t="s">
        <v>82</v>
      </c>
      <c r="BA3350" s="2">
        <v>41</v>
      </c>
      <c r="BB3350" s="2" t="s">
        <v>82</v>
      </c>
      <c r="BC3350" s="2">
        <v>41</v>
      </c>
      <c r="BD3350" s="2" t="s">
        <v>82</v>
      </c>
      <c r="BE3350" s="2">
        <v>52</v>
      </c>
      <c r="BF3350" s="2" t="s">
        <v>1185</v>
      </c>
      <c r="BG3350" s="2">
        <v>7977</v>
      </c>
      <c r="BH3350" s="4">
        <v>0.92708333333333337</v>
      </c>
      <c r="BI3350" s="2"/>
      <c r="BJ3350" s="2">
        <v>13</v>
      </c>
      <c r="BK3350" s="2" t="s">
        <v>91</v>
      </c>
      <c r="BL3350" s="2" t="s">
        <v>185</v>
      </c>
      <c r="BM3350" s="2">
        <v>241</v>
      </c>
      <c r="BN3350" s="2" t="s">
        <v>82</v>
      </c>
      <c r="BO3350" s="2"/>
      <c r="BP3350" s="2">
        <v>13</v>
      </c>
      <c r="BQ3350" s="2" t="s">
        <v>91</v>
      </c>
      <c r="BR3350" s="2" t="s">
        <v>1199</v>
      </c>
      <c r="BS3350" s="3">
        <v>40404</v>
      </c>
      <c r="BT3350" s="4">
        <v>6.5462962962962959E-2</v>
      </c>
    </row>
    <row r="3351" spans="1:72" x14ac:dyDescent="0.25">
      <c r="A3351" s="2">
        <v>4943</v>
      </c>
      <c r="B3351" s="2">
        <v>2010</v>
      </c>
      <c r="C3351" s="2" t="s">
        <v>255</v>
      </c>
      <c r="D3351" s="2" t="s">
        <v>73</v>
      </c>
      <c r="E3351" s="2"/>
      <c r="F3351" s="2">
        <v>496</v>
      </c>
      <c r="G3351" s="2" t="s">
        <v>10804</v>
      </c>
      <c r="H3351" s="2">
        <v>13</v>
      </c>
      <c r="I3351" s="2" t="s">
        <v>2229</v>
      </c>
      <c r="J3351" s="2">
        <v>401</v>
      </c>
      <c r="K3351" s="2" t="s">
        <v>10805</v>
      </c>
      <c r="L3351" s="2" t="s">
        <v>10806</v>
      </c>
      <c r="M3351" s="3">
        <v>40404</v>
      </c>
      <c r="N3351" s="2" t="s">
        <v>10807</v>
      </c>
      <c r="O3351" s="2"/>
      <c r="P3351" s="2"/>
      <c r="Q3351" s="2" t="str">
        <f>"317-A/10"</f>
        <v>317-A/10</v>
      </c>
      <c r="R3351" s="2" t="s">
        <v>8877</v>
      </c>
      <c r="S3351" s="2" t="s">
        <v>8877</v>
      </c>
      <c r="T3351" s="2">
        <v>1</v>
      </c>
      <c r="U3351" s="2" t="s">
        <v>79</v>
      </c>
      <c r="V3351" s="2">
        <v>1</v>
      </c>
      <c r="W3351" s="2" t="s">
        <v>80</v>
      </c>
      <c r="X3351" s="2">
        <v>12</v>
      </c>
      <c r="Y3351" s="2" t="s">
        <v>148</v>
      </c>
      <c r="Z3351" s="2">
        <v>1</v>
      </c>
      <c r="AA3351" s="2" t="s">
        <v>82</v>
      </c>
      <c r="AB3351" s="2">
        <v>9</v>
      </c>
      <c r="AC3351" s="2" t="s">
        <v>124</v>
      </c>
      <c r="AD3351" s="3">
        <v>40403</v>
      </c>
      <c r="AE3351" s="4">
        <v>0.75</v>
      </c>
      <c r="AF3351" s="3">
        <v>40403</v>
      </c>
      <c r="AG3351" s="4">
        <v>0.80555555555555547</v>
      </c>
      <c r="AH3351" s="2">
        <v>2</v>
      </c>
      <c r="AI3351" s="2" t="s">
        <v>84</v>
      </c>
      <c r="AJ3351" s="2">
        <v>12</v>
      </c>
      <c r="AK3351" s="2" t="s">
        <v>85</v>
      </c>
      <c r="AL3351" s="2">
        <v>2</v>
      </c>
      <c r="AM3351" s="2" t="s">
        <v>163</v>
      </c>
      <c r="AN3351" s="2" t="s">
        <v>10808</v>
      </c>
      <c r="AO3351" s="2" t="s">
        <v>10809</v>
      </c>
      <c r="AP3351" s="2">
        <v>11</v>
      </c>
      <c r="AQ3351" s="2" t="s">
        <v>82</v>
      </c>
      <c r="AR3351" s="2"/>
      <c r="AS3351" s="2"/>
      <c r="AT3351" s="2" t="s">
        <v>10810</v>
      </c>
      <c r="AU3351" s="2"/>
      <c r="AV3351" s="2"/>
      <c r="AW3351" s="2"/>
      <c r="AX3351" s="2"/>
      <c r="AY3351" s="2">
        <v>13</v>
      </c>
      <c r="AZ3351" s="2" t="s">
        <v>108</v>
      </c>
      <c r="BA3351" s="2">
        <v>13</v>
      </c>
      <c r="BB3351" s="2" t="s">
        <v>108</v>
      </c>
      <c r="BC3351" s="2">
        <v>41</v>
      </c>
      <c r="BD3351" s="2" t="s">
        <v>82</v>
      </c>
      <c r="BE3351" s="2">
        <v>41</v>
      </c>
      <c r="BF3351" s="2" t="s">
        <v>82</v>
      </c>
      <c r="BG3351" s="2"/>
      <c r="BH3351" s="2"/>
      <c r="BI3351" s="2"/>
      <c r="BJ3351" s="2">
        <v>241</v>
      </c>
      <c r="BK3351" s="2" t="s">
        <v>82</v>
      </c>
      <c r="BL3351" s="2"/>
      <c r="BM3351" s="2">
        <v>241</v>
      </c>
      <c r="BN3351" s="2" t="s">
        <v>82</v>
      </c>
      <c r="BO3351" s="2"/>
      <c r="BP3351" s="2">
        <v>241</v>
      </c>
      <c r="BQ3351" s="2" t="s">
        <v>82</v>
      </c>
      <c r="BR3351" s="2"/>
      <c r="BS3351" s="3">
        <v>40404</v>
      </c>
      <c r="BT3351" s="4">
        <v>9.6284722222222216E-2</v>
      </c>
    </row>
    <row r="3352" spans="1:72" x14ac:dyDescent="0.25">
      <c r="A3352" s="2">
        <v>4944</v>
      </c>
      <c r="B3352" s="2">
        <v>2010</v>
      </c>
      <c r="C3352" s="2" t="s">
        <v>72</v>
      </c>
      <c r="D3352" s="2" t="s">
        <v>73</v>
      </c>
      <c r="E3352" s="2"/>
      <c r="F3352" s="2">
        <v>2</v>
      </c>
      <c r="G3352" s="2" t="s">
        <v>113</v>
      </c>
      <c r="H3352" s="2">
        <v>108</v>
      </c>
      <c r="I3352" s="2" t="s">
        <v>1096</v>
      </c>
      <c r="J3352" s="2">
        <v>300</v>
      </c>
      <c r="K3352" s="2" t="s">
        <v>114</v>
      </c>
      <c r="L3352" s="2" t="s">
        <v>115</v>
      </c>
      <c r="M3352" s="3">
        <v>40404</v>
      </c>
      <c r="N3352" s="2" t="s">
        <v>107</v>
      </c>
      <c r="O3352" s="2" t="s">
        <v>107</v>
      </c>
      <c r="P3352" s="2" t="s">
        <v>107</v>
      </c>
      <c r="Q3352" s="2" t="str">
        <f>"415-E/10"</f>
        <v>415-E/10</v>
      </c>
      <c r="R3352" s="2" t="s">
        <v>116</v>
      </c>
      <c r="S3352" s="2" t="s">
        <v>116</v>
      </c>
      <c r="T3352" s="2">
        <v>1</v>
      </c>
      <c r="U3352" s="2" t="s">
        <v>79</v>
      </c>
      <c r="V3352" s="2">
        <v>1</v>
      </c>
      <c r="W3352" s="2" t="s">
        <v>80</v>
      </c>
      <c r="X3352" s="2">
        <v>12</v>
      </c>
      <c r="Y3352" s="2" t="s">
        <v>148</v>
      </c>
      <c r="Z3352" s="2">
        <v>1</v>
      </c>
      <c r="AA3352" s="2" t="s">
        <v>82</v>
      </c>
      <c r="AB3352" s="2">
        <v>6</v>
      </c>
      <c r="AC3352" s="2" t="s">
        <v>83</v>
      </c>
      <c r="AD3352" s="3">
        <v>40403</v>
      </c>
      <c r="AE3352" s="2"/>
      <c r="AF3352" s="3">
        <v>40403</v>
      </c>
      <c r="AG3352" s="4">
        <v>0.97916666666666663</v>
      </c>
      <c r="AH3352" s="2">
        <v>2</v>
      </c>
      <c r="AI3352" s="2" t="s">
        <v>84</v>
      </c>
      <c r="AJ3352" s="2">
        <v>9</v>
      </c>
      <c r="AK3352" s="2" t="s">
        <v>103</v>
      </c>
      <c r="AL3352" s="2">
        <v>17</v>
      </c>
      <c r="AM3352" s="2" t="s">
        <v>232</v>
      </c>
      <c r="AN3352" s="2" t="s">
        <v>10811</v>
      </c>
      <c r="AO3352" s="2" t="s">
        <v>10812</v>
      </c>
      <c r="AP3352" s="2">
        <v>11</v>
      </c>
      <c r="AQ3352" s="2" t="s">
        <v>82</v>
      </c>
      <c r="AR3352" s="2"/>
      <c r="AS3352" s="2"/>
      <c r="AT3352" s="2" t="s">
        <v>10813</v>
      </c>
      <c r="AU3352" s="2"/>
      <c r="AV3352" s="2"/>
      <c r="AW3352" s="2"/>
      <c r="AX3352" s="2"/>
      <c r="AY3352" s="2">
        <v>41</v>
      </c>
      <c r="AZ3352" s="2" t="s">
        <v>82</v>
      </c>
      <c r="BA3352" s="2">
        <v>41</v>
      </c>
      <c r="BB3352" s="2" t="s">
        <v>82</v>
      </c>
      <c r="BC3352" s="2">
        <v>41</v>
      </c>
      <c r="BD3352" s="2" t="s">
        <v>82</v>
      </c>
      <c r="BE3352" s="2">
        <v>41</v>
      </c>
      <c r="BF3352" s="2" t="s">
        <v>82</v>
      </c>
      <c r="BG3352" s="2"/>
      <c r="BH3352" s="2"/>
      <c r="BI3352" s="2"/>
      <c r="BJ3352" s="2">
        <v>241</v>
      </c>
      <c r="BK3352" s="2" t="s">
        <v>82</v>
      </c>
      <c r="BL3352" s="2"/>
      <c r="BM3352" s="2">
        <v>241</v>
      </c>
      <c r="BN3352" s="2" t="s">
        <v>82</v>
      </c>
      <c r="BO3352" s="2"/>
      <c r="BP3352" s="2">
        <v>241</v>
      </c>
      <c r="BQ3352" s="2" t="s">
        <v>82</v>
      </c>
      <c r="BR3352" s="2"/>
      <c r="BS3352" s="3">
        <v>40404</v>
      </c>
      <c r="BT3352" s="4">
        <v>0.11570601851851851</v>
      </c>
    </row>
    <row r="3353" spans="1:72" x14ac:dyDescent="0.25">
      <c r="A3353" s="2">
        <v>4945</v>
      </c>
      <c r="B3353" s="2">
        <v>2010</v>
      </c>
      <c r="C3353" s="2" t="s">
        <v>72</v>
      </c>
      <c r="D3353" s="2" t="s">
        <v>73</v>
      </c>
      <c r="E3353" s="2"/>
      <c r="F3353" s="2">
        <v>2</v>
      </c>
      <c r="G3353" s="2" t="s">
        <v>113</v>
      </c>
      <c r="H3353" s="2">
        <v>42</v>
      </c>
      <c r="I3353" s="2" t="s">
        <v>1096</v>
      </c>
      <c r="J3353" s="2">
        <v>300</v>
      </c>
      <c r="K3353" s="2" t="s">
        <v>114</v>
      </c>
      <c r="L3353" s="2" t="s">
        <v>115</v>
      </c>
      <c r="M3353" s="3">
        <v>40404</v>
      </c>
      <c r="N3353" s="2" t="s">
        <v>107</v>
      </c>
      <c r="O3353" s="2"/>
      <c r="P3353" s="2" t="s">
        <v>107</v>
      </c>
      <c r="Q3353" s="2" t="str">
        <f>"416-E/10"</f>
        <v>416-E/10</v>
      </c>
      <c r="R3353" s="2" t="s">
        <v>601</v>
      </c>
      <c r="S3353" s="2" t="s">
        <v>601</v>
      </c>
      <c r="T3353" s="2">
        <v>1</v>
      </c>
      <c r="U3353" s="2" t="s">
        <v>79</v>
      </c>
      <c r="V3353" s="2">
        <v>1</v>
      </c>
      <c r="W3353" s="2" t="s">
        <v>80</v>
      </c>
      <c r="X3353" s="2">
        <v>12</v>
      </c>
      <c r="Y3353" s="2" t="s">
        <v>148</v>
      </c>
      <c r="Z3353" s="2">
        <v>1</v>
      </c>
      <c r="AA3353" s="2" t="s">
        <v>82</v>
      </c>
      <c r="AB3353" s="2">
        <v>6</v>
      </c>
      <c r="AC3353" s="2" t="s">
        <v>83</v>
      </c>
      <c r="AD3353" s="3">
        <v>40404</v>
      </c>
      <c r="AE3353" s="2"/>
      <c r="AF3353" s="3">
        <v>40404</v>
      </c>
      <c r="AG3353" s="4">
        <v>5.2083333333333336E-2</v>
      </c>
      <c r="AH3353" s="2">
        <v>2</v>
      </c>
      <c r="AI3353" s="2" t="s">
        <v>84</v>
      </c>
      <c r="AJ3353" s="2">
        <v>9</v>
      </c>
      <c r="AK3353" s="2" t="s">
        <v>103</v>
      </c>
      <c r="AL3353" s="2">
        <v>22</v>
      </c>
      <c r="AM3353" s="2" t="s">
        <v>1853</v>
      </c>
      <c r="AN3353" s="2" t="s">
        <v>10814</v>
      </c>
      <c r="AO3353" s="2" t="s">
        <v>10815</v>
      </c>
      <c r="AP3353" s="2">
        <v>11</v>
      </c>
      <c r="AQ3353" s="2" t="s">
        <v>82</v>
      </c>
      <c r="AR3353" s="2"/>
      <c r="AS3353" s="2"/>
      <c r="AT3353" s="2" t="s">
        <v>10816</v>
      </c>
      <c r="AU3353" s="2"/>
      <c r="AV3353" s="2"/>
      <c r="AW3353" s="2"/>
      <c r="AX3353" s="2"/>
      <c r="AY3353" s="2">
        <v>41</v>
      </c>
      <c r="AZ3353" s="2" t="s">
        <v>82</v>
      </c>
      <c r="BA3353" s="2">
        <v>41</v>
      </c>
      <c r="BB3353" s="2" t="s">
        <v>82</v>
      </c>
      <c r="BC3353" s="2">
        <v>41</v>
      </c>
      <c r="BD3353" s="2" t="s">
        <v>82</v>
      </c>
      <c r="BE3353" s="2">
        <v>17</v>
      </c>
      <c r="BF3353" s="2" t="s">
        <v>508</v>
      </c>
      <c r="BG3353" s="2" t="s">
        <v>10817</v>
      </c>
      <c r="BH3353" s="4">
        <v>1.3888888888888888E-2</v>
      </c>
      <c r="BI3353" s="2"/>
      <c r="BJ3353" s="2">
        <v>46</v>
      </c>
      <c r="BK3353" s="2" t="s">
        <v>307</v>
      </c>
      <c r="BL3353" s="2" t="s">
        <v>308</v>
      </c>
      <c r="BM3353" s="2">
        <v>241</v>
      </c>
      <c r="BN3353" s="2" t="s">
        <v>82</v>
      </c>
      <c r="BO3353" s="2"/>
      <c r="BP3353" s="2">
        <v>13</v>
      </c>
      <c r="BQ3353" s="2" t="s">
        <v>91</v>
      </c>
      <c r="BR3353" s="2" t="s">
        <v>360</v>
      </c>
      <c r="BS3353" s="3">
        <v>40404</v>
      </c>
      <c r="BT3353" s="4">
        <v>0.31678240740740743</v>
      </c>
    </row>
    <row r="3354" spans="1:72" x14ac:dyDescent="0.25">
      <c r="A3354" s="2">
        <v>4946</v>
      </c>
      <c r="B3354" s="2">
        <v>2010</v>
      </c>
      <c r="C3354" s="2" t="s">
        <v>72</v>
      </c>
      <c r="D3354" s="2" t="s">
        <v>73</v>
      </c>
      <c r="E3354" s="2"/>
      <c r="F3354" s="2">
        <v>114</v>
      </c>
      <c r="G3354" s="2" t="s">
        <v>2817</v>
      </c>
      <c r="H3354" s="2">
        <v>42</v>
      </c>
      <c r="I3354" s="2" t="s">
        <v>1096</v>
      </c>
      <c r="J3354" s="2">
        <v>133</v>
      </c>
      <c r="K3354" s="2" t="s">
        <v>3844</v>
      </c>
      <c r="L3354" s="2" t="s">
        <v>3845</v>
      </c>
      <c r="M3354" s="3">
        <v>40404</v>
      </c>
      <c r="N3354" s="2" t="s">
        <v>10818</v>
      </c>
      <c r="O3354" s="2"/>
      <c r="P3354" s="2" t="s">
        <v>107</v>
      </c>
      <c r="Q3354" s="2" t="str">
        <f>"0015/10"</f>
        <v>0015/10</v>
      </c>
      <c r="R3354" s="2" t="s">
        <v>4773</v>
      </c>
      <c r="S3354" s="2" t="s">
        <v>4773</v>
      </c>
      <c r="T3354" s="2">
        <v>1</v>
      </c>
      <c r="U3354" s="2" t="s">
        <v>79</v>
      </c>
      <c r="V3354" s="2">
        <v>1</v>
      </c>
      <c r="W3354" s="2" t="s">
        <v>80</v>
      </c>
      <c r="X3354" s="2">
        <v>12</v>
      </c>
      <c r="Y3354" s="2" t="s">
        <v>148</v>
      </c>
      <c r="Z3354" s="2">
        <v>1</v>
      </c>
      <c r="AA3354" s="2" t="s">
        <v>82</v>
      </c>
      <c r="AB3354" s="2">
        <v>6</v>
      </c>
      <c r="AC3354" s="2" t="s">
        <v>83</v>
      </c>
      <c r="AD3354" s="2"/>
      <c r="AE3354" s="2"/>
      <c r="AF3354" s="3">
        <v>40404</v>
      </c>
      <c r="AG3354" s="4">
        <v>5.2083333333333336E-2</v>
      </c>
      <c r="AH3354" s="2">
        <v>6</v>
      </c>
      <c r="AI3354" s="2" t="s">
        <v>197</v>
      </c>
      <c r="AJ3354" s="2">
        <v>54</v>
      </c>
      <c r="AK3354" s="2" t="s">
        <v>348</v>
      </c>
      <c r="AL3354" s="2">
        <v>22</v>
      </c>
      <c r="AM3354" s="2" t="s">
        <v>1853</v>
      </c>
      <c r="AN3354" s="2" t="s">
        <v>107</v>
      </c>
      <c r="AO3354" s="2" t="s">
        <v>107</v>
      </c>
      <c r="AP3354" s="2">
        <v>11</v>
      </c>
      <c r="AQ3354" s="2" t="s">
        <v>82</v>
      </c>
      <c r="AR3354" s="2" t="s">
        <v>82</v>
      </c>
      <c r="AS3354" s="2" t="s">
        <v>82</v>
      </c>
      <c r="AT3354" s="2" t="s">
        <v>10819</v>
      </c>
      <c r="AU3354" s="2"/>
      <c r="AV3354" s="2"/>
      <c r="AW3354" s="2"/>
      <c r="AX3354" s="2"/>
      <c r="AY3354" s="2">
        <v>41</v>
      </c>
      <c r="AZ3354" s="2" t="s">
        <v>82</v>
      </c>
      <c r="BA3354" s="2">
        <v>41</v>
      </c>
      <c r="BB3354" s="2" t="s">
        <v>82</v>
      </c>
      <c r="BC3354" s="2">
        <v>4</v>
      </c>
      <c r="BD3354" s="2" t="s">
        <v>90</v>
      </c>
      <c r="BE3354" s="2">
        <v>4</v>
      </c>
      <c r="BF3354" s="2" t="s">
        <v>90</v>
      </c>
      <c r="BG3354" s="2">
        <v>4428</v>
      </c>
      <c r="BH3354" s="4">
        <v>6.25E-2</v>
      </c>
      <c r="BI3354" s="2"/>
      <c r="BJ3354" s="2">
        <v>13</v>
      </c>
      <c r="BK3354" s="2" t="s">
        <v>91</v>
      </c>
      <c r="BL3354" s="2" t="s">
        <v>170</v>
      </c>
      <c r="BM3354" s="2">
        <v>241</v>
      </c>
      <c r="BN3354" s="2" t="s">
        <v>82</v>
      </c>
      <c r="BO3354" s="2"/>
      <c r="BP3354" s="2">
        <v>13</v>
      </c>
      <c r="BQ3354" s="2" t="s">
        <v>91</v>
      </c>
      <c r="BR3354" s="2" t="s">
        <v>353</v>
      </c>
      <c r="BS3354" s="3">
        <v>40404</v>
      </c>
      <c r="BT3354" s="4">
        <v>0.48618055555555556</v>
      </c>
    </row>
    <row r="3355" spans="1:72" x14ac:dyDescent="0.25">
      <c r="A3355" s="2">
        <v>4947</v>
      </c>
      <c r="B3355" s="2">
        <v>2010</v>
      </c>
      <c r="C3355" s="2" t="s">
        <v>72</v>
      </c>
      <c r="D3355" s="2" t="s">
        <v>73</v>
      </c>
      <c r="E3355" s="2"/>
      <c r="F3355" s="2">
        <v>95</v>
      </c>
      <c r="G3355" s="2" t="s">
        <v>8360</v>
      </c>
      <c r="H3355" s="2">
        <v>42</v>
      </c>
      <c r="I3355" s="2" t="s">
        <v>1096</v>
      </c>
      <c r="J3355" s="2">
        <v>122</v>
      </c>
      <c r="K3355" s="2" t="s">
        <v>8361</v>
      </c>
      <c r="L3355" s="2" t="s">
        <v>8362</v>
      </c>
      <c r="M3355" s="3">
        <v>40404</v>
      </c>
      <c r="N3355" s="2" t="s">
        <v>8363</v>
      </c>
      <c r="O3355" s="2"/>
      <c r="P3355" s="2"/>
      <c r="Q3355" s="2" t="str">
        <f>"0034/10"</f>
        <v>0034/10</v>
      </c>
      <c r="R3355" s="2"/>
      <c r="S3355" s="2" t="s">
        <v>10820</v>
      </c>
      <c r="T3355" s="2">
        <v>1</v>
      </c>
      <c r="U3355" s="2" t="s">
        <v>79</v>
      </c>
      <c r="V3355" s="2">
        <v>1</v>
      </c>
      <c r="W3355" s="2" t="s">
        <v>80</v>
      </c>
      <c r="X3355" s="2">
        <v>12</v>
      </c>
      <c r="Y3355" s="2" t="s">
        <v>148</v>
      </c>
      <c r="Z3355" s="2">
        <v>1</v>
      </c>
      <c r="AA3355" s="2" t="s">
        <v>82</v>
      </c>
      <c r="AB3355" s="2">
        <v>6</v>
      </c>
      <c r="AC3355" s="2" t="s">
        <v>83</v>
      </c>
      <c r="AD3355" s="3">
        <v>40404</v>
      </c>
      <c r="AE3355" s="2"/>
      <c r="AF3355" s="3">
        <v>40404</v>
      </c>
      <c r="AG3355" s="4">
        <v>0.44791666666666669</v>
      </c>
      <c r="AH3355" s="2">
        <v>6</v>
      </c>
      <c r="AI3355" s="2" t="s">
        <v>197</v>
      </c>
      <c r="AJ3355" s="2">
        <v>50</v>
      </c>
      <c r="AK3355" s="2" t="s">
        <v>330</v>
      </c>
      <c r="AL3355" s="2">
        <v>22</v>
      </c>
      <c r="AM3355" s="2" t="s">
        <v>1853</v>
      </c>
      <c r="AN3355" s="2"/>
      <c r="AO3355" s="2" t="s">
        <v>7600</v>
      </c>
      <c r="AP3355" s="2">
        <v>11</v>
      </c>
      <c r="AQ3355" s="2" t="s">
        <v>82</v>
      </c>
      <c r="AR3355" s="2"/>
      <c r="AS3355" s="2"/>
      <c r="AT3355" s="2" t="s">
        <v>10821</v>
      </c>
      <c r="AU3355" s="2"/>
      <c r="AV3355" s="2"/>
      <c r="AW3355" s="2"/>
      <c r="AX3355" s="2"/>
      <c r="AY3355" s="2">
        <v>41</v>
      </c>
      <c r="AZ3355" s="2" t="s">
        <v>82</v>
      </c>
      <c r="BA3355" s="2">
        <v>41</v>
      </c>
      <c r="BB3355" s="2" t="s">
        <v>82</v>
      </c>
      <c r="BC3355" s="2">
        <v>41</v>
      </c>
      <c r="BD3355" s="2" t="s">
        <v>82</v>
      </c>
      <c r="BE3355" s="2">
        <v>13</v>
      </c>
      <c r="BF3355" s="2" t="s">
        <v>108</v>
      </c>
      <c r="BG3355" s="2">
        <v>1692</v>
      </c>
      <c r="BH3355" s="4">
        <v>0.40069444444444446</v>
      </c>
      <c r="BI3355" s="2"/>
      <c r="BJ3355" s="2">
        <v>13</v>
      </c>
      <c r="BK3355" s="2" t="s">
        <v>91</v>
      </c>
      <c r="BL3355" s="2" t="s">
        <v>1040</v>
      </c>
      <c r="BM3355" s="2">
        <v>241</v>
      </c>
      <c r="BN3355" s="2" t="s">
        <v>82</v>
      </c>
      <c r="BO3355" s="2"/>
      <c r="BP3355" s="2">
        <v>13</v>
      </c>
      <c r="BQ3355" s="2" t="s">
        <v>91</v>
      </c>
      <c r="BR3355" s="2" t="s">
        <v>1199</v>
      </c>
      <c r="BS3355" s="3">
        <v>40404</v>
      </c>
      <c r="BT3355" s="4">
        <v>0.56459490740740736</v>
      </c>
    </row>
    <row r="3356" spans="1:72" x14ac:dyDescent="0.25">
      <c r="A3356" s="2">
        <v>4948</v>
      </c>
      <c r="B3356" s="2">
        <v>2010</v>
      </c>
      <c r="C3356" s="2" t="s">
        <v>72</v>
      </c>
      <c r="D3356" s="2" t="s">
        <v>73</v>
      </c>
      <c r="E3356" s="2"/>
      <c r="F3356" s="2">
        <v>415</v>
      </c>
      <c r="G3356" s="2" t="s">
        <v>10822</v>
      </c>
      <c r="H3356" s="2">
        <v>42</v>
      </c>
      <c r="I3356" s="2" t="s">
        <v>1096</v>
      </c>
      <c r="J3356" s="2">
        <v>641</v>
      </c>
      <c r="K3356" s="2" t="s">
        <v>10823</v>
      </c>
      <c r="L3356" s="2" t="s">
        <v>10824</v>
      </c>
      <c r="M3356" s="3">
        <v>40404</v>
      </c>
      <c r="N3356" s="2" t="s">
        <v>10825</v>
      </c>
      <c r="O3356" s="2" t="s">
        <v>116</v>
      </c>
      <c r="P3356" s="2" t="s">
        <v>10442</v>
      </c>
      <c r="Q3356" s="2" t="str">
        <f>"397-E/10"</f>
        <v>397-E/10</v>
      </c>
      <c r="R3356" s="2" t="s">
        <v>116</v>
      </c>
      <c r="S3356" s="2"/>
      <c r="T3356" s="2">
        <v>1</v>
      </c>
      <c r="U3356" s="2" t="s">
        <v>79</v>
      </c>
      <c r="V3356" s="2">
        <v>1</v>
      </c>
      <c r="W3356" s="2" t="s">
        <v>80</v>
      </c>
      <c r="X3356" s="2">
        <v>8</v>
      </c>
      <c r="Y3356" s="2" t="s">
        <v>375</v>
      </c>
      <c r="Z3356" s="2">
        <v>1</v>
      </c>
      <c r="AA3356" s="2" t="s">
        <v>82</v>
      </c>
      <c r="AB3356" s="2">
        <v>6</v>
      </c>
      <c r="AC3356" s="2" t="s">
        <v>83</v>
      </c>
      <c r="AD3356" s="3">
        <v>40404</v>
      </c>
      <c r="AE3356" s="4">
        <v>0.52083333333333337</v>
      </c>
      <c r="AF3356" s="2"/>
      <c r="AG3356" s="2"/>
      <c r="AH3356" s="2">
        <v>2</v>
      </c>
      <c r="AI3356" s="2" t="s">
        <v>84</v>
      </c>
      <c r="AJ3356" s="2">
        <v>6</v>
      </c>
      <c r="AK3356" s="2" t="s">
        <v>453</v>
      </c>
      <c r="AL3356" s="2">
        <v>23</v>
      </c>
      <c r="AM3356" s="2" t="s">
        <v>251</v>
      </c>
      <c r="AN3356" s="2" t="s">
        <v>9894</v>
      </c>
      <c r="AO3356" s="2" t="s">
        <v>10826</v>
      </c>
      <c r="AP3356" s="2">
        <v>11</v>
      </c>
      <c r="AQ3356" s="2" t="s">
        <v>82</v>
      </c>
      <c r="AR3356" s="2"/>
      <c r="AS3356" s="2"/>
      <c r="AT3356" s="2" t="s">
        <v>10827</v>
      </c>
      <c r="AU3356" s="2"/>
      <c r="AV3356" s="2"/>
      <c r="AW3356" s="2"/>
      <c r="AX3356" s="2"/>
      <c r="AY3356" s="2">
        <v>41</v>
      </c>
      <c r="AZ3356" s="2" t="s">
        <v>82</v>
      </c>
      <c r="BA3356" s="2">
        <v>41</v>
      </c>
      <c r="BB3356" s="2" t="s">
        <v>82</v>
      </c>
      <c r="BC3356" s="2">
        <v>130</v>
      </c>
      <c r="BD3356" s="2" t="s">
        <v>10446</v>
      </c>
      <c r="BE3356" s="2">
        <v>41</v>
      </c>
      <c r="BF3356" s="2" t="s">
        <v>82</v>
      </c>
      <c r="BG3356" s="2"/>
      <c r="BH3356" s="2"/>
      <c r="BI3356" s="2"/>
      <c r="BJ3356" s="2">
        <v>241</v>
      </c>
      <c r="BK3356" s="2" t="s">
        <v>82</v>
      </c>
      <c r="BL3356" s="2"/>
      <c r="BM3356" s="2">
        <v>241</v>
      </c>
      <c r="BN3356" s="2" t="s">
        <v>82</v>
      </c>
      <c r="BO3356" s="2"/>
      <c r="BP3356" s="2">
        <v>241</v>
      </c>
      <c r="BQ3356" s="2" t="s">
        <v>82</v>
      </c>
      <c r="BR3356" s="2"/>
      <c r="BS3356" s="3">
        <v>40404</v>
      </c>
      <c r="BT3356" s="4">
        <v>0.6133912037037037</v>
      </c>
    </row>
    <row r="3357" spans="1:72" x14ac:dyDescent="0.25">
      <c r="A3357" s="2">
        <v>4949</v>
      </c>
      <c r="B3357" s="2">
        <v>2010</v>
      </c>
      <c r="C3357" s="2" t="s">
        <v>121</v>
      </c>
      <c r="D3357" s="2" t="s">
        <v>122</v>
      </c>
      <c r="E3357" s="2"/>
      <c r="F3357" s="2">
        <v>1</v>
      </c>
      <c r="G3357" s="2" t="s">
        <v>82</v>
      </c>
      <c r="H3357" s="2">
        <v>1</v>
      </c>
      <c r="I3357" s="2" t="s">
        <v>82</v>
      </c>
      <c r="J3357" s="2">
        <v>1</v>
      </c>
      <c r="K3357" s="2" t="s">
        <v>107</v>
      </c>
      <c r="L3357" s="2" t="s">
        <v>107</v>
      </c>
      <c r="M3357" s="3">
        <v>40404</v>
      </c>
      <c r="N3357" s="2"/>
      <c r="O3357" s="2"/>
      <c r="P3357" s="2"/>
      <c r="Q3357" s="2" t="str">
        <f>""</f>
        <v/>
      </c>
      <c r="R3357" s="2"/>
      <c r="S3357" s="2"/>
      <c r="T3357" s="2">
        <v>2</v>
      </c>
      <c r="U3357" s="2" t="s">
        <v>123</v>
      </c>
      <c r="V3357" s="2">
        <v>1</v>
      </c>
      <c r="W3357" s="2" t="s">
        <v>80</v>
      </c>
      <c r="X3357" s="2">
        <v>1</v>
      </c>
      <c r="Y3357" s="2" t="s">
        <v>81</v>
      </c>
      <c r="Z3357" s="2">
        <v>10</v>
      </c>
      <c r="AA3357" s="2" t="s">
        <v>236</v>
      </c>
      <c r="AB3357" s="2">
        <v>9</v>
      </c>
      <c r="AC3357" s="2" t="s">
        <v>124</v>
      </c>
      <c r="AD3357" s="3">
        <v>40404</v>
      </c>
      <c r="AE3357" s="4">
        <v>0.8125</v>
      </c>
      <c r="AF3357" s="2"/>
      <c r="AG3357" s="2"/>
      <c r="AH3357" s="2">
        <v>4</v>
      </c>
      <c r="AI3357" s="2" t="s">
        <v>125</v>
      </c>
      <c r="AJ3357" s="2">
        <v>31</v>
      </c>
      <c r="AK3357" s="2" t="s">
        <v>1413</v>
      </c>
      <c r="AL3357" s="2">
        <v>10</v>
      </c>
      <c r="AM3357" s="2" t="s">
        <v>200</v>
      </c>
      <c r="AN3357" s="2" t="s">
        <v>230</v>
      </c>
      <c r="AO3357" s="2"/>
      <c r="AP3357" s="2">
        <v>11</v>
      </c>
      <c r="AQ3357" s="2" t="s">
        <v>82</v>
      </c>
      <c r="AR3357" s="2"/>
      <c r="AS3357" s="2"/>
      <c r="AT3357" s="2" t="s">
        <v>10828</v>
      </c>
      <c r="AU3357" s="2"/>
      <c r="AV3357" s="2"/>
      <c r="AW3357" s="2"/>
      <c r="AX3357" s="2"/>
      <c r="AY3357" s="2">
        <v>1</v>
      </c>
      <c r="AZ3357" s="2" t="s">
        <v>107</v>
      </c>
      <c r="BA3357" s="2">
        <v>1</v>
      </c>
      <c r="BB3357" s="2" t="s">
        <v>107</v>
      </c>
      <c r="BC3357" s="2">
        <v>1</v>
      </c>
      <c r="BD3357" s="2" t="s">
        <v>107</v>
      </c>
      <c r="BE3357" s="2">
        <v>42</v>
      </c>
      <c r="BF3357" s="2" t="s">
        <v>182</v>
      </c>
      <c r="BG3357" s="2" t="s">
        <v>10829</v>
      </c>
      <c r="BH3357" s="4">
        <v>0.8125</v>
      </c>
      <c r="BI3357" s="2"/>
      <c r="BJ3357" s="2">
        <v>13</v>
      </c>
      <c r="BK3357" s="2" t="s">
        <v>91</v>
      </c>
      <c r="BL3357" s="2" t="s">
        <v>534</v>
      </c>
      <c r="BM3357" s="2">
        <v>241</v>
      </c>
      <c r="BN3357" s="2" t="s">
        <v>82</v>
      </c>
      <c r="BO3357" s="2"/>
      <c r="BP3357" s="2">
        <v>13</v>
      </c>
      <c r="BQ3357" s="2" t="s">
        <v>91</v>
      </c>
      <c r="BR3357" s="2" t="s">
        <v>4725</v>
      </c>
      <c r="BS3357" s="3">
        <v>40404</v>
      </c>
      <c r="BT3357" s="4">
        <v>0.83395833333333336</v>
      </c>
    </row>
    <row r="3358" spans="1:72" x14ac:dyDescent="0.25">
      <c r="A3358" s="2">
        <v>4950</v>
      </c>
      <c r="B3358" s="2">
        <v>2010</v>
      </c>
      <c r="C3358" s="2" t="s">
        <v>72</v>
      </c>
      <c r="D3358" s="2" t="s">
        <v>73</v>
      </c>
      <c r="E3358" s="2"/>
      <c r="F3358" s="2">
        <v>664</v>
      </c>
      <c r="G3358" s="2" t="s">
        <v>10256</v>
      </c>
      <c r="H3358" s="2">
        <v>42</v>
      </c>
      <c r="I3358" s="2" t="s">
        <v>1096</v>
      </c>
      <c r="J3358" s="2">
        <v>634</v>
      </c>
      <c r="K3358" s="2" t="s">
        <v>10257</v>
      </c>
      <c r="L3358" s="2" t="s">
        <v>5984</v>
      </c>
      <c r="M3358" s="3">
        <v>40405</v>
      </c>
      <c r="N3358" s="2" t="s">
        <v>10830</v>
      </c>
      <c r="O3358" s="2" t="s">
        <v>107</v>
      </c>
      <c r="P3358" s="2" t="s">
        <v>107</v>
      </c>
      <c r="Q3358" s="2" t="str">
        <f>"318-A/10"</f>
        <v>318-A/10</v>
      </c>
      <c r="R3358" s="2" t="s">
        <v>156</v>
      </c>
      <c r="S3358" s="2" t="s">
        <v>156</v>
      </c>
      <c r="T3358" s="2">
        <v>1</v>
      </c>
      <c r="U3358" s="2" t="s">
        <v>79</v>
      </c>
      <c r="V3358" s="2">
        <v>1</v>
      </c>
      <c r="W3358" s="2" t="s">
        <v>80</v>
      </c>
      <c r="X3358" s="2">
        <v>12</v>
      </c>
      <c r="Y3358" s="2" t="s">
        <v>148</v>
      </c>
      <c r="Z3358" s="2">
        <v>1</v>
      </c>
      <c r="AA3358" s="2" t="s">
        <v>82</v>
      </c>
      <c r="AB3358" s="2">
        <v>6</v>
      </c>
      <c r="AC3358" s="2" t="s">
        <v>83</v>
      </c>
      <c r="AD3358" s="3">
        <v>40404</v>
      </c>
      <c r="AE3358" s="2"/>
      <c r="AF3358" s="3">
        <v>40405</v>
      </c>
      <c r="AG3358" s="4">
        <v>2.0833333333333332E-2</v>
      </c>
      <c r="AH3358" s="2">
        <v>2</v>
      </c>
      <c r="AI3358" s="2" t="s">
        <v>84</v>
      </c>
      <c r="AJ3358" s="2">
        <v>12</v>
      </c>
      <c r="AK3358" s="2" t="s">
        <v>85</v>
      </c>
      <c r="AL3358" s="2">
        <v>22</v>
      </c>
      <c r="AM3358" s="2" t="s">
        <v>1853</v>
      </c>
      <c r="AN3358" s="2" t="s">
        <v>107</v>
      </c>
      <c r="AO3358" s="2" t="s">
        <v>10831</v>
      </c>
      <c r="AP3358" s="2">
        <v>11</v>
      </c>
      <c r="AQ3358" s="2" t="s">
        <v>82</v>
      </c>
      <c r="AR3358" s="2"/>
      <c r="AS3358" s="2"/>
      <c r="AT3358" s="2" t="s">
        <v>10832</v>
      </c>
      <c r="AU3358" s="2"/>
      <c r="AV3358" s="2"/>
      <c r="AW3358" s="2"/>
      <c r="AX3358" s="2"/>
      <c r="AY3358" s="2">
        <v>41</v>
      </c>
      <c r="AZ3358" s="2" t="s">
        <v>82</v>
      </c>
      <c r="BA3358" s="2">
        <v>41</v>
      </c>
      <c r="BB3358" s="2" t="s">
        <v>82</v>
      </c>
      <c r="BC3358" s="2">
        <v>41</v>
      </c>
      <c r="BD3358" s="2" t="s">
        <v>82</v>
      </c>
      <c r="BE3358" s="2">
        <v>13</v>
      </c>
      <c r="BF3358" s="2" t="s">
        <v>108</v>
      </c>
      <c r="BG3358" s="2" t="s">
        <v>10833</v>
      </c>
      <c r="BH3358" s="4">
        <v>0.94444444444444453</v>
      </c>
      <c r="BI3358" s="4">
        <v>0.86458333333333337</v>
      </c>
      <c r="BJ3358" s="2">
        <v>13</v>
      </c>
      <c r="BK3358" s="2" t="s">
        <v>91</v>
      </c>
      <c r="BL3358" s="2" t="s">
        <v>1199</v>
      </c>
      <c r="BM3358" s="2">
        <v>241</v>
      </c>
      <c r="BN3358" s="2" t="s">
        <v>82</v>
      </c>
      <c r="BO3358" s="2"/>
      <c r="BP3358" s="2">
        <v>13</v>
      </c>
      <c r="BQ3358" s="2" t="s">
        <v>91</v>
      </c>
      <c r="BR3358" s="2" t="s">
        <v>564</v>
      </c>
      <c r="BS3358" s="3">
        <v>40405</v>
      </c>
      <c r="BT3358" s="4">
        <v>0.12560185185185185</v>
      </c>
    </row>
    <row r="3359" spans="1:72" x14ac:dyDescent="0.25">
      <c r="A3359" s="2">
        <v>4951</v>
      </c>
      <c r="B3359" s="2">
        <v>2010</v>
      </c>
      <c r="C3359" s="2" t="s">
        <v>4543</v>
      </c>
      <c r="D3359" s="2" t="s">
        <v>122</v>
      </c>
      <c r="E3359" s="2"/>
      <c r="F3359" s="2">
        <v>146</v>
      </c>
      <c r="G3359" s="2" t="s">
        <v>753</v>
      </c>
      <c r="H3359" s="2">
        <v>24</v>
      </c>
      <c r="I3359" s="2" t="s">
        <v>287</v>
      </c>
      <c r="J3359" s="2">
        <v>161</v>
      </c>
      <c r="K3359" s="2" t="s">
        <v>1900</v>
      </c>
      <c r="L3359" s="2" t="s">
        <v>1901</v>
      </c>
      <c r="M3359" s="3">
        <v>40405</v>
      </c>
      <c r="N3359" s="2" t="s">
        <v>756</v>
      </c>
      <c r="O3359" s="2" t="s">
        <v>10834</v>
      </c>
      <c r="P3359" s="2">
        <v>2549</v>
      </c>
      <c r="Q3359" s="2" t="str">
        <f>"N/C"</f>
        <v>N/C</v>
      </c>
      <c r="R3359" s="2" t="s">
        <v>82</v>
      </c>
      <c r="S3359" s="2" t="s">
        <v>82</v>
      </c>
      <c r="T3359" s="2">
        <v>2</v>
      </c>
      <c r="U3359" s="2" t="s">
        <v>123</v>
      </c>
      <c r="V3359" s="2">
        <v>1</v>
      </c>
      <c r="W3359" s="2" t="s">
        <v>80</v>
      </c>
      <c r="X3359" s="2">
        <v>4</v>
      </c>
      <c r="Y3359" s="2" t="s">
        <v>463</v>
      </c>
      <c r="Z3359" s="2">
        <v>10</v>
      </c>
      <c r="AA3359" s="2" t="s">
        <v>236</v>
      </c>
      <c r="AB3359" s="2">
        <v>9</v>
      </c>
      <c r="AC3359" s="2" t="s">
        <v>124</v>
      </c>
      <c r="AD3359" s="3">
        <v>40405</v>
      </c>
      <c r="AE3359" s="4">
        <v>0.46527777777777773</v>
      </c>
      <c r="AF3359" s="2"/>
      <c r="AG3359" s="2"/>
      <c r="AH3359" s="2">
        <v>6</v>
      </c>
      <c r="AI3359" s="2" t="s">
        <v>197</v>
      </c>
      <c r="AJ3359" s="2">
        <v>60</v>
      </c>
      <c r="AK3359" s="2" t="s">
        <v>543</v>
      </c>
      <c r="AL3359" s="2">
        <v>18</v>
      </c>
      <c r="AM3359" s="2" t="s">
        <v>82</v>
      </c>
      <c r="AN3359" s="2" t="s">
        <v>82</v>
      </c>
      <c r="AO3359" s="2" t="s">
        <v>2249</v>
      </c>
      <c r="AP3359" s="2">
        <v>11</v>
      </c>
      <c r="AQ3359" s="2" t="s">
        <v>82</v>
      </c>
      <c r="AR3359" s="2" t="s">
        <v>82</v>
      </c>
      <c r="AS3359" s="2" t="s">
        <v>82</v>
      </c>
      <c r="AT3359" s="2" t="s">
        <v>10835</v>
      </c>
      <c r="AU3359" s="2"/>
      <c r="AV3359" s="2"/>
      <c r="AW3359" s="2"/>
      <c r="AX3359" s="2"/>
      <c r="AY3359" s="2">
        <v>1</v>
      </c>
      <c r="AZ3359" s="2" t="s">
        <v>107</v>
      </c>
      <c r="BA3359" s="2">
        <v>1</v>
      </c>
      <c r="BB3359" s="2" t="s">
        <v>107</v>
      </c>
      <c r="BC3359" s="2">
        <v>1</v>
      </c>
      <c r="BD3359" s="2" t="s">
        <v>107</v>
      </c>
      <c r="BE3359" s="2">
        <v>42</v>
      </c>
      <c r="BF3359" s="2" t="s">
        <v>182</v>
      </c>
      <c r="BG3359" s="2">
        <v>470</v>
      </c>
      <c r="BH3359" s="4">
        <v>0.4152777777777778</v>
      </c>
      <c r="BI3359" s="4">
        <v>0.46180555555555558</v>
      </c>
      <c r="BJ3359" s="2">
        <v>13</v>
      </c>
      <c r="BK3359" s="2" t="s">
        <v>91</v>
      </c>
      <c r="BL3359" s="2" t="s">
        <v>895</v>
      </c>
      <c r="BM3359" s="2">
        <v>13</v>
      </c>
      <c r="BN3359" s="2" t="s">
        <v>91</v>
      </c>
      <c r="BO3359" s="2" t="s">
        <v>6083</v>
      </c>
      <c r="BP3359" s="2">
        <v>13</v>
      </c>
      <c r="BQ3359" s="2" t="s">
        <v>91</v>
      </c>
      <c r="BR3359" s="2" t="s">
        <v>353</v>
      </c>
      <c r="BS3359" s="3">
        <v>40405</v>
      </c>
      <c r="BT3359" s="4">
        <v>0.49258101851851849</v>
      </c>
    </row>
    <row r="3360" spans="1:72" x14ac:dyDescent="0.25">
      <c r="A3360" s="2">
        <v>4952</v>
      </c>
      <c r="B3360" s="2">
        <v>2010</v>
      </c>
      <c r="C3360" s="2" t="s">
        <v>377</v>
      </c>
      <c r="D3360" s="2" t="s">
        <v>73</v>
      </c>
      <c r="E3360" s="2"/>
      <c r="F3360" s="2">
        <v>426</v>
      </c>
      <c r="G3360" s="2" t="s">
        <v>378</v>
      </c>
      <c r="H3360" s="2">
        <v>42</v>
      </c>
      <c r="I3360" s="2" t="s">
        <v>1096</v>
      </c>
      <c r="J3360" s="2">
        <v>311</v>
      </c>
      <c r="K3360" s="2" t="s">
        <v>379</v>
      </c>
      <c r="L3360" s="2" t="s">
        <v>380</v>
      </c>
      <c r="M3360" s="3">
        <v>40405</v>
      </c>
      <c r="N3360" s="2" t="s">
        <v>5164</v>
      </c>
      <c r="O3360" s="2"/>
      <c r="P3360" s="2"/>
      <c r="Q3360" s="2" t="str">
        <f>"205-C/10"</f>
        <v>205-C/10</v>
      </c>
      <c r="R3360" s="2" t="s">
        <v>5773</v>
      </c>
      <c r="S3360" s="2"/>
      <c r="T3360" s="2">
        <v>1</v>
      </c>
      <c r="U3360" s="2" t="s">
        <v>79</v>
      </c>
      <c r="V3360" s="2">
        <v>1</v>
      </c>
      <c r="W3360" s="2" t="s">
        <v>80</v>
      </c>
      <c r="X3360" s="2">
        <v>1</v>
      </c>
      <c r="Y3360" s="2" t="s">
        <v>81</v>
      </c>
      <c r="Z3360" s="2">
        <v>1</v>
      </c>
      <c r="AA3360" s="2" t="s">
        <v>82</v>
      </c>
      <c r="AB3360" s="2">
        <v>9</v>
      </c>
      <c r="AC3360" s="2" t="s">
        <v>124</v>
      </c>
      <c r="AD3360" s="3">
        <v>40404</v>
      </c>
      <c r="AE3360" s="4">
        <v>0.53472222222222221</v>
      </c>
      <c r="AF3360" s="2"/>
      <c r="AG3360" s="2"/>
      <c r="AH3360" s="2">
        <v>2</v>
      </c>
      <c r="AI3360" s="2" t="s">
        <v>84</v>
      </c>
      <c r="AJ3360" s="2">
        <v>9</v>
      </c>
      <c r="AK3360" s="2" t="s">
        <v>103</v>
      </c>
      <c r="AL3360" s="2">
        <v>12</v>
      </c>
      <c r="AM3360" s="2" t="s">
        <v>86</v>
      </c>
      <c r="AN3360" s="2"/>
      <c r="AO3360" s="2" t="s">
        <v>2887</v>
      </c>
      <c r="AP3360" s="2">
        <v>11</v>
      </c>
      <c r="AQ3360" s="2" t="s">
        <v>82</v>
      </c>
      <c r="AR3360" s="2"/>
      <c r="AS3360" s="2"/>
      <c r="AT3360" s="2" t="s">
        <v>10836</v>
      </c>
      <c r="AU3360" s="2"/>
      <c r="AV3360" s="2"/>
      <c r="AW3360" s="2"/>
      <c r="AX3360" s="2"/>
      <c r="AY3360" s="2">
        <v>41</v>
      </c>
      <c r="AZ3360" s="2" t="s">
        <v>82</v>
      </c>
      <c r="BA3360" s="2">
        <v>41</v>
      </c>
      <c r="BB3360" s="2" t="s">
        <v>82</v>
      </c>
      <c r="BC3360" s="2">
        <v>41</v>
      </c>
      <c r="BD3360" s="2" t="s">
        <v>82</v>
      </c>
      <c r="BE3360" s="2">
        <v>41</v>
      </c>
      <c r="BF3360" s="2" t="s">
        <v>82</v>
      </c>
      <c r="BG3360" s="2"/>
      <c r="BH3360" s="2"/>
      <c r="BI3360" s="2"/>
      <c r="BJ3360" s="2">
        <v>241</v>
      </c>
      <c r="BK3360" s="2" t="s">
        <v>82</v>
      </c>
      <c r="BL3360" s="2"/>
      <c r="BM3360" s="2">
        <v>241</v>
      </c>
      <c r="BN3360" s="2" t="s">
        <v>82</v>
      </c>
      <c r="BO3360" s="2"/>
      <c r="BP3360" s="2">
        <v>241</v>
      </c>
      <c r="BQ3360" s="2" t="s">
        <v>82</v>
      </c>
      <c r="BR3360" s="2"/>
      <c r="BS3360" s="3">
        <v>40405</v>
      </c>
      <c r="BT3360" s="4">
        <v>0.49268518518518517</v>
      </c>
    </row>
    <row r="3361" spans="1:72" x14ac:dyDescent="0.25">
      <c r="A3361" s="2">
        <v>4953</v>
      </c>
      <c r="B3361" s="2">
        <v>2010</v>
      </c>
      <c r="C3361" s="2" t="s">
        <v>377</v>
      </c>
      <c r="D3361" s="2" t="s">
        <v>73</v>
      </c>
      <c r="E3361" s="2"/>
      <c r="F3361" s="2">
        <v>426</v>
      </c>
      <c r="G3361" s="2" t="s">
        <v>378</v>
      </c>
      <c r="H3361" s="2">
        <v>108</v>
      </c>
      <c r="I3361" s="2" t="s">
        <v>1096</v>
      </c>
      <c r="J3361" s="2">
        <v>311</v>
      </c>
      <c r="K3361" s="2" t="s">
        <v>379</v>
      </c>
      <c r="L3361" s="2" t="s">
        <v>380</v>
      </c>
      <c r="M3361" s="3">
        <v>40405</v>
      </c>
      <c r="N3361" s="2" t="s">
        <v>5164</v>
      </c>
      <c r="O3361" s="2"/>
      <c r="P3361" s="2"/>
      <c r="Q3361" s="2" t="str">
        <f>"206-C/10"</f>
        <v>206-C/10</v>
      </c>
      <c r="R3361" s="2" t="s">
        <v>4428</v>
      </c>
      <c r="S3361" s="2"/>
      <c r="T3361" s="2">
        <v>1</v>
      </c>
      <c r="U3361" s="2" t="s">
        <v>79</v>
      </c>
      <c r="V3361" s="2">
        <v>1</v>
      </c>
      <c r="W3361" s="2" t="s">
        <v>80</v>
      </c>
      <c r="X3361" s="2">
        <v>1</v>
      </c>
      <c r="Y3361" s="2" t="s">
        <v>81</v>
      </c>
      <c r="Z3361" s="2">
        <v>1</v>
      </c>
      <c r="AA3361" s="2" t="s">
        <v>82</v>
      </c>
      <c r="AB3361" s="2">
        <v>9</v>
      </c>
      <c r="AC3361" s="2" t="s">
        <v>124</v>
      </c>
      <c r="AD3361" s="3">
        <v>40404</v>
      </c>
      <c r="AE3361" s="4">
        <v>0.79166666666666663</v>
      </c>
      <c r="AF3361" s="2"/>
      <c r="AG3361" s="2"/>
      <c r="AH3361" s="2">
        <v>2</v>
      </c>
      <c r="AI3361" s="2" t="s">
        <v>84</v>
      </c>
      <c r="AJ3361" s="2">
        <v>9</v>
      </c>
      <c r="AK3361" s="2" t="s">
        <v>103</v>
      </c>
      <c r="AL3361" s="2">
        <v>12</v>
      </c>
      <c r="AM3361" s="2" t="s">
        <v>86</v>
      </c>
      <c r="AN3361" s="2"/>
      <c r="AO3361" s="2" t="s">
        <v>10837</v>
      </c>
      <c r="AP3361" s="2">
        <v>11</v>
      </c>
      <c r="AQ3361" s="2" t="s">
        <v>82</v>
      </c>
      <c r="AR3361" s="2"/>
      <c r="AS3361" s="2"/>
      <c r="AT3361" s="2" t="s">
        <v>10838</v>
      </c>
      <c r="AU3361" s="2"/>
      <c r="AV3361" s="2"/>
      <c r="AW3361" s="2"/>
      <c r="AX3361" s="2"/>
      <c r="AY3361" s="2">
        <v>41</v>
      </c>
      <c r="AZ3361" s="2" t="s">
        <v>82</v>
      </c>
      <c r="BA3361" s="2">
        <v>41</v>
      </c>
      <c r="BB3361" s="2" t="s">
        <v>82</v>
      </c>
      <c r="BC3361" s="2">
        <v>41</v>
      </c>
      <c r="BD3361" s="2" t="s">
        <v>82</v>
      </c>
      <c r="BE3361" s="2">
        <v>41</v>
      </c>
      <c r="BF3361" s="2" t="s">
        <v>82</v>
      </c>
      <c r="BG3361" s="2"/>
      <c r="BH3361" s="2"/>
      <c r="BI3361" s="2"/>
      <c r="BJ3361" s="2">
        <v>241</v>
      </c>
      <c r="BK3361" s="2" t="s">
        <v>82</v>
      </c>
      <c r="BL3361" s="2"/>
      <c r="BM3361" s="2">
        <v>241</v>
      </c>
      <c r="BN3361" s="2" t="s">
        <v>82</v>
      </c>
      <c r="BO3361" s="2"/>
      <c r="BP3361" s="2">
        <v>241</v>
      </c>
      <c r="BQ3361" s="2" t="s">
        <v>82</v>
      </c>
      <c r="BR3361" s="2"/>
      <c r="BS3361" s="3">
        <v>40405</v>
      </c>
      <c r="BT3361" s="4">
        <v>0.50335648148148149</v>
      </c>
    </row>
    <row r="3362" spans="1:72" x14ac:dyDescent="0.25">
      <c r="A3362" s="2">
        <v>4954</v>
      </c>
      <c r="B3362" s="2">
        <v>2010</v>
      </c>
      <c r="C3362" s="2" t="s">
        <v>121</v>
      </c>
      <c r="D3362" s="2" t="s">
        <v>122</v>
      </c>
      <c r="E3362" s="2" t="s">
        <v>10839</v>
      </c>
      <c r="F3362" s="2">
        <v>1</v>
      </c>
      <c r="G3362" s="2" t="s">
        <v>82</v>
      </c>
      <c r="H3362" s="2">
        <v>1</v>
      </c>
      <c r="I3362" s="2" t="s">
        <v>82</v>
      </c>
      <c r="J3362" s="2">
        <v>1</v>
      </c>
      <c r="K3362" s="2" t="s">
        <v>107</v>
      </c>
      <c r="L3362" s="2" t="s">
        <v>107</v>
      </c>
      <c r="M3362" s="3">
        <v>40405</v>
      </c>
      <c r="N3362" s="2"/>
      <c r="O3362" s="2"/>
      <c r="P3362" s="2"/>
      <c r="Q3362" s="2" t="str">
        <f>""</f>
        <v/>
      </c>
      <c r="R3362" s="2"/>
      <c r="S3362" s="2"/>
      <c r="T3362" s="2">
        <v>2</v>
      </c>
      <c r="U3362" s="2" t="s">
        <v>123</v>
      </c>
      <c r="V3362" s="2">
        <v>1</v>
      </c>
      <c r="W3362" s="2" t="s">
        <v>80</v>
      </c>
      <c r="X3362" s="2">
        <v>1</v>
      </c>
      <c r="Y3362" s="2" t="s">
        <v>81</v>
      </c>
      <c r="Z3362" s="2">
        <v>10</v>
      </c>
      <c r="AA3362" s="2" t="s">
        <v>236</v>
      </c>
      <c r="AB3362" s="2">
        <v>9</v>
      </c>
      <c r="AC3362" s="2" t="s">
        <v>124</v>
      </c>
      <c r="AD3362" s="3">
        <v>40405</v>
      </c>
      <c r="AE3362" s="4">
        <v>0.61458333333333337</v>
      </c>
      <c r="AF3362" s="2"/>
      <c r="AG3362" s="2"/>
      <c r="AH3362" s="2">
        <v>4</v>
      </c>
      <c r="AI3362" s="2" t="s">
        <v>125</v>
      </c>
      <c r="AJ3362" s="2">
        <v>31</v>
      </c>
      <c r="AK3362" s="2" t="s">
        <v>1413</v>
      </c>
      <c r="AL3362" s="2">
        <v>10</v>
      </c>
      <c r="AM3362" s="2" t="s">
        <v>200</v>
      </c>
      <c r="AN3362" s="2" t="s">
        <v>230</v>
      </c>
      <c r="AO3362" s="2"/>
      <c r="AP3362" s="2">
        <v>11</v>
      </c>
      <c r="AQ3362" s="2" t="s">
        <v>82</v>
      </c>
      <c r="AR3362" s="2"/>
      <c r="AS3362" s="2"/>
      <c r="AT3362" s="2" t="s">
        <v>10840</v>
      </c>
      <c r="AU3362" s="2"/>
      <c r="AV3362" s="2"/>
      <c r="AW3362" s="2"/>
      <c r="AX3362" s="2"/>
      <c r="AY3362" s="2">
        <v>1</v>
      </c>
      <c r="AZ3362" s="2" t="s">
        <v>107</v>
      </c>
      <c r="BA3362" s="2">
        <v>1</v>
      </c>
      <c r="BB3362" s="2" t="s">
        <v>107</v>
      </c>
      <c r="BC3362" s="2">
        <v>1</v>
      </c>
      <c r="BD3362" s="2" t="s">
        <v>107</v>
      </c>
      <c r="BE3362" s="2">
        <v>42</v>
      </c>
      <c r="BF3362" s="2" t="s">
        <v>182</v>
      </c>
      <c r="BG3362" s="2" t="s">
        <v>10829</v>
      </c>
      <c r="BH3362" s="2"/>
      <c r="BI3362" s="4">
        <v>0.61458333333333337</v>
      </c>
      <c r="BJ3362" s="2">
        <v>13</v>
      </c>
      <c r="BK3362" s="2" t="s">
        <v>91</v>
      </c>
      <c r="BL3362" s="2" t="s">
        <v>4725</v>
      </c>
      <c r="BM3362" s="2">
        <v>241</v>
      </c>
      <c r="BN3362" s="2" t="s">
        <v>82</v>
      </c>
      <c r="BO3362" s="2"/>
      <c r="BP3362" s="2">
        <v>13</v>
      </c>
      <c r="BQ3362" s="2" t="s">
        <v>91</v>
      </c>
      <c r="BR3362" s="2" t="s">
        <v>534</v>
      </c>
      <c r="BS3362" s="3">
        <v>40405</v>
      </c>
      <c r="BT3362" s="4">
        <v>0.61913194444444442</v>
      </c>
    </row>
    <row r="3363" spans="1:72" x14ac:dyDescent="0.25">
      <c r="A3363" s="2">
        <v>4955</v>
      </c>
      <c r="B3363" s="2">
        <v>2010</v>
      </c>
      <c r="C3363" s="2" t="s">
        <v>128</v>
      </c>
      <c r="D3363" s="2" t="s">
        <v>73</v>
      </c>
      <c r="E3363" s="2"/>
      <c r="F3363" s="2">
        <v>2</v>
      </c>
      <c r="G3363" s="2" t="s">
        <v>113</v>
      </c>
      <c r="H3363" s="2">
        <v>1</v>
      </c>
      <c r="I3363" s="2" t="s">
        <v>82</v>
      </c>
      <c r="J3363" s="2">
        <v>300</v>
      </c>
      <c r="K3363" s="2" t="s">
        <v>114</v>
      </c>
      <c r="L3363" s="2" t="s">
        <v>115</v>
      </c>
      <c r="M3363" s="3">
        <v>40405</v>
      </c>
      <c r="N3363" s="2" t="s">
        <v>82</v>
      </c>
      <c r="O3363" s="2" t="s">
        <v>82</v>
      </c>
      <c r="P3363" s="2" t="s">
        <v>82</v>
      </c>
      <c r="Q3363" s="2" t="str">
        <f>"418-E/10"</f>
        <v>418-E/10</v>
      </c>
      <c r="R3363" s="2" t="s">
        <v>480</v>
      </c>
      <c r="S3363" s="2" t="s">
        <v>480</v>
      </c>
      <c r="T3363" s="2">
        <v>1</v>
      </c>
      <c r="U3363" s="2" t="s">
        <v>79</v>
      </c>
      <c r="V3363" s="2">
        <v>1</v>
      </c>
      <c r="W3363" s="2" t="s">
        <v>80</v>
      </c>
      <c r="X3363" s="2">
        <v>1</v>
      </c>
      <c r="Y3363" s="2" t="s">
        <v>81</v>
      </c>
      <c r="Z3363" s="2">
        <v>1</v>
      </c>
      <c r="AA3363" s="2" t="s">
        <v>82</v>
      </c>
      <c r="AB3363" s="2">
        <v>9</v>
      </c>
      <c r="AC3363" s="2" t="s">
        <v>124</v>
      </c>
      <c r="AD3363" s="3">
        <v>40405</v>
      </c>
      <c r="AE3363" s="4">
        <v>0.54861111111111105</v>
      </c>
      <c r="AF3363" s="3">
        <v>40405</v>
      </c>
      <c r="AG3363" s="4">
        <v>0.54166666666666663</v>
      </c>
      <c r="AH3363" s="2">
        <v>2</v>
      </c>
      <c r="AI3363" s="2" t="s">
        <v>84</v>
      </c>
      <c r="AJ3363" s="2">
        <v>9</v>
      </c>
      <c r="AK3363" s="2" t="s">
        <v>103</v>
      </c>
      <c r="AL3363" s="2">
        <v>12</v>
      </c>
      <c r="AM3363" s="2" t="s">
        <v>86</v>
      </c>
      <c r="AN3363" s="2"/>
      <c r="AO3363" s="2" t="s">
        <v>10841</v>
      </c>
      <c r="AP3363" s="2">
        <v>11</v>
      </c>
      <c r="AQ3363" s="2" t="s">
        <v>82</v>
      </c>
      <c r="AR3363" s="2"/>
      <c r="AS3363" s="2"/>
      <c r="AT3363" s="2" t="s">
        <v>10842</v>
      </c>
      <c r="AU3363" s="2"/>
      <c r="AV3363" s="2"/>
      <c r="AW3363" s="2"/>
      <c r="AX3363" s="2"/>
      <c r="AY3363" s="2">
        <v>41</v>
      </c>
      <c r="AZ3363" s="2" t="s">
        <v>82</v>
      </c>
      <c r="BA3363" s="2">
        <v>41</v>
      </c>
      <c r="BB3363" s="2" t="s">
        <v>82</v>
      </c>
      <c r="BC3363" s="2">
        <v>41</v>
      </c>
      <c r="BD3363" s="2" t="s">
        <v>82</v>
      </c>
      <c r="BE3363" s="2">
        <v>41</v>
      </c>
      <c r="BF3363" s="2" t="s">
        <v>82</v>
      </c>
      <c r="BG3363" s="2"/>
      <c r="BH3363" s="2"/>
      <c r="BI3363" s="2"/>
      <c r="BJ3363" s="2">
        <v>241</v>
      </c>
      <c r="BK3363" s="2" t="s">
        <v>82</v>
      </c>
      <c r="BL3363" s="2"/>
      <c r="BM3363" s="2">
        <v>241</v>
      </c>
      <c r="BN3363" s="2" t="s">
        <v>82</v>
      </c>
      <c r="BO3363" s="2"/>
      <c r="BP3363" s="2">
        <v>241</v>
      </c>
      <c r="BQ3363" s="2" t="s">
        <v>82</v>
      </c>
      <c r="BR3363" s="2"/>
      <c r="BS3363" s="3">
        <v>40405</v>
      </c>
      <c r="BT3363" s="4">
        <v>0.67939814814814825</v>
      </c>
    </row>
    <row r="3364" spans="1:72" x14ac:dyDescent="0.25">
      <c r="A3364" s="2">
        <v>4956</v>
      </c>
      <c r="B3364" s="2">
        <v>2010</v>
      </c>
      <c r="C3364" s="2" t="s">
        <v>93</v>
      </c>
      <c r="D3364" s="2" t="s">
        <v>73</v>
      </c>
      <c r="E3364" s="2"/>
      <c r="F3364" s="2">
        <v>343</v>
      </c>
      <c r="G3364" s="2" t="s">
        <v>7030</v>
      </c>
      <c r="H3364" s="2">
        <v>42</v>
      </c>
      <c r="I3364" s="2" t="s">
        <v>1096</v>
      </c>
      <c r="J3364" s="2">
        <v>160</v>
      </c>
      <c r="K3364" s="2" t="s">
        <v>538</v>
      </c>
      <c r="L3364" s="2" t="s">
        <v>539</v>
      </c>
      <c r="M3364" s="3">
        <v>40405</v>
      </c>
      <c r="N3364" s="2" t="s">
        <v>10843</v>
      </c>
      <c r="O3364" s="2" t="s">
        <v>10844</v>
      </c>
      <c r="P3364" s="2">
        <v>10896</v>
      </c>
      <c r="Q3364" s="2" t="str">
        <f>"0035/10"</f>
        <v>0035/10</v>
      </c>
      <c r="R3364" s="2" t="s">
        <v>10845</v>
      </c>
      <c r="S3364" s="2" t="s">
        <v>82</v>
      </c>
      <c r="T3364" s="2">
        <v>1</v>
      </c>
      <c r="U3364" s="2" t="s">
        <v>79</v>
      </c>
      <c r="V3364" s="2">
        <v>1</v>
      </c>
      <c r="W3364" s="2" t="s">
        <v>80</v>
      </c>
      <c r="X3364" s="2">
        <v>1</v>
      </c>
      <c r="Y3364" s="2" t="s">
        <v>81</v>
      </c>
      <c r="Z3364" s="2">
        <v>1</v>
      </c>
      <c r="AA3364" s="2" t="s">
        <v>82</v>
      </c>
      <c r="AB3364" s="2">
        <v>2</v>
      </c>
      <c r="AC3364" s="2" t="s">
        <v>102</v>
      </c>
      <c r="AD3364" s="3">
        <v>40405</v>
      </c>
      <c r="AE3364" s="4">
        <v>0.74444444444444446</v>
      </c>
      <c r="AF3364" s="2"/>
      <c r="AG3364" s="2"/>
      <c r="AH3364" s="2">
        <v>6</v>
      </c>
      <c r="AI3364" s="2" t="s">
        <v>197</v>
      </c>
      <c r="AJ3364" s="2">
        <v>61</v>
      </c>
      <c r="AK3364" s="2" t="s">
        <v>686</v>
      </c>
      <c r="AL3364" s="2">
        <v>11</v>
      </c>
      <c r="AM3364" s="2" t="s">
        <v>137</v>
      </c>
      <c r="AN3364" s="2" t="s">
        <v>5668</v>
      </c>
      <c r="AO3364" s="2" t="s">
        <v>6881</v>
      </c>
      <c r="AP3364" s="2">
        <v>11</v>
      </c>
      <c r="AQ3364" s="2" t="s">
        <v>82</v>
      </c>
      <c r="AR3364" s="2" t="s">
        <v>82</v>
      </c>
      <c r="AS3364" s="2" t="s">
        <v>82</v>
      </c>
      <c r="AT3364" s="2" t="s">
        <v>10846</v>
      </c>
      <c r="AU3364" s="2"/>
      <c r="AV3364" s="2"/>
      <c r="AW3364" s="2"/>
      <c r="AX3364" s="2"/>
      <c r="AY3364" s="2">
        <v>1</v>
      </c>
      <c r="AZ3364" s="2" t="s">
        <v>107</v>
      </c>
      <c r="BA3364" s="2">
        <v>1</v>
      </c>
      <c r="BB3364" s="2" t="s">
        <v>107</v>
      </c>
      <c r="BC3364" s="2">
        <v>1</v>
      </c>
      <c r="BD3364" s="2" t="s">
        <v>107</v>
      </c>
      <c r="BE3364" s="2">
        <v>13</v>
      </c>
      <c r="BF3364" s="2" t="s">
        <v>108</v>
      </c>
      <c r="BG3364" s="2" t="s">
        <v>9646</v>
      </c>
      <c r="BH3364" s="2"/>
      <c r="BI3364" s="4">
        <v>0.80208333333333337</v>
      </c>
      <c r="BJ3364" s="2">
        <v>13</v>
      </c>
      <c r="BK3364" s="2" t="s">
        <v>91</v>
      </c>
      <c r="BL3364" s="2" t="s">
        <v>690</v>
      </c>
      <c r="BM3364" s="2">
        <v>241</v>
      </c>
      <c r="BN3364" s="2" t="s">
        <v>82</v>
      </c>
      <c r="BO3364" s="2" t="s">
        <v>82</v>
      </c>
      <c r="BP3364" s="2">
        <v>13</v>
      </c>
      <c r="BQ3364" s="2" t="s">
        <v>91</v>
      </c>
      <c r="BR3364" s="2" t="s">
        <v>170</v>
      </c>
      <c r="BS3364" s="3">
        <v>40405</v>
      </c>
      <c r="BT3364" s="4">
        <v>0.81333333333333335</v>
      </c>
    </row>
    <row r="3365" spans="1:72" x14ac:dyDescent="0.25">
      <c r="A3365" s="2">
        <v>4957</v>
      </c>
      <c r="B3365" s="2">
        <v>2010</v>
      </c>
      <c r="C3365" s="2" t="s">
        <v>72</v>
      </c>
      <c r="D3365" s="2" t="s">
        <v>73</v>
      </c>
      <c r="E3365" s="2"/>
      <c r="F3365" s="2">
        <v>2</v>
      </c>
      <c r="G3365" s="2" t="s">
        <v>113</v>
      </c>
      <c r="H3365" s="2">
        <v>1</v>
      </c>
      <c r="I3365" s="2" t="s">
        <v>82</v>
      </c>
      <c r="J3365" s="2">
        <v>300</v>
      </c>
      <c r="K3365" s="2" t="s">
        <v>114</v>
      </c>
      <c r="L3365" s="2" t="s">
        <v>115</v>
      </c>
      <c r="M3365" s="3">
        <v>40405</v>
      </c>
      <c r="N3365" s="2"/>
      <c r="O3365" s="2"/>
      <c r="P3365" s="2"/>
      <c r="Q3365" s="2" t="str">
        <f>"417-E/10"</f>
        <v>417-E/10</v>
      </c>
      <c r="R3365" s="2" t="s">
        <v>116</v>
      </c>
      <c r="S3365" s="2" t="s">
        <v>116</v>
      </c>
      <c r="T3365" s="2">
        <v>1</v>
      </c>
      <c r="U3365" s="2" t="s">
        <v>79</v>
      </c>
      <c r="V3365" s="2">
        <v>1</v>
      </c>
      <c r="W3365" s="2" t="s">
        <v>80</v>
      </c>
      <c r="X3365" s="2">
        <v>12</v>
      </c>
      <c r="Y3365" s="2" t="s">
        <v>148</v>
      </c>
      <c r="Z3365" s="2">
        <v>1</v>
      </c>
      <c r="AA3365" s="2" t="s">
        <v>82</v>
      </c>
      <c r="AB3365" s="2">
        <v>6</v>
      </c>
      <c r="AC3365" s="2" t="s">
        <v>83</v>
      </c>
      <c r="AD3365" s="3">
        <v>40405</v>
      </c>
      <c r="AE3365" s="2"/>
      <c r="AF3365" s="3">
        <v>40405</v>
      </c>
      <c r="AG3365" s="4">
        <v>0.5625</v>
      </c>
      <c r="AH3365" s="2">
        <v>2</v>
      </c>
      <c r="AI3365" s="2" t="s">
        <v>84</v>
      </c>
      <c r="AJ3365" s="2">
        <v>9</v>
      </c>
      <c r="AK3365" s="2" t="s">
        <v>103</v>
      </c>
      <c r="AL3365" s="2">
        <v>29</v>
      </c>
      <c r="AM3365" s="2" t="s">
        <v>5416</v>
      </c>
      <c r="AN3365" s="2" t="s">
        <v>10847</v>
      </c>
      <c r="AO3365" s="2" t="s">
        <v>10848</v>
      </c>
      <c r="AP3365" s="2">
        <v>11</v>
      </c>
      <c r="AQ3365" s="2" t="s">
        <v>82</v>
      </c>
      <c r="AR3365" s="2"/>
      <c r="AS3365" s="2"/>
      <c r="AT3365" s="2" t="s">
        <v>10849</v>
      </c>
      <c r="AU3365" s="2"/>
      <c r="AV3365" s="2"/>
      <c r="AW3365" s="2"/>
      <c r="AX3365" s="2"/>
      <c r="AY3365" s="2">
        <v>41</v>
      </c>
      <c r="AZ3365" s="2" t="s">
        <v>82</v>
      </c>
      <c r="BA3365" s="2">
        <v>41</v>
      </c>
      <c r="BB3365" s="2" t="s">
        <v>82</v>
      </c>
      <c r="BC3365" s="2">
        <v>41</v>
      </c>
      <c r="BD3365" s="2" t="s">
        <v>82</v>
      </c>
      <c r="BE3365" s="2">
        <v>41</v>
      </c>
      <c r="BF3365" s="2" t="s">
        <v>82</v>
      </c>
      <c r="BG3365" s="2"/>
      <c r="BH3365" s="2"/>
      <c r="BI3365" s="2"/>
      <c r="BJ3365" s="2">
        <v>241</v>
      </c>
      <c r="BK3365" s="2" t="s">
        <v>82</v>
      </c>
      <c r="BL3365" s="2"/>
      <c r="BM3365" s="2">
        <v>241</v>
      </c>
      <c r="BN3365" s="2" t="s">
        <v>82</v>
      </c>
      <c r="BO3365" s="2"/>
      <c r="BP3365" s="2">
        <v>241</v>
      </c>
      <c r="BQ3365" s="2" t="s">
        <v>82</v>
      </c>
      <c r="BR3365" s="2"/>
      <c r="BS3365" s="3">
        <v>40405</v>
      </c>
      <c r="BT3365" s="4">
        <v>0.83296296296296291</v>
      </c>
    </row>
    <row r="3366" spans="1:72" x14ac:dyDescent="0.25">
      <c r="A3366" s="2">
        <v>4958</v>
      </c>
      <c r="B3366" s="2">
        <v>2010</v>
      </c>
      <c r="C3366" s="2" t="s">
        <v>72</v>
      </c>
      <c r="D3366" s="2" t="s">
        <v>73</v>
      </c>
      <c r="E3366" s="2"/>
      <c r="F3366" s="2">
        <v>664</v>
      </c>
      <c r="G3366" s="2" t="s">
        <v>10256</v>
      </c>
      <c r="H3366" s="2">
        <v>42</v>
      </c>
      <c r="I3366" s="2" t="s">
        <v>1096</v>
      </c>
      <c r="J3366" s="2">
        <v>634</v>
      </c>
      <c r="K3366" s="2" t="s">
        <v>10257</v>
      </c>
      <c r="L3366" s="2" t="s">
        <v>5984</v>
      </c>
      <c r="M3366" s="3">
        <v>40405</v>
      </c>
      <c r="N3366" s="2" t="s">
        <v>10295</v>
      </c>
      <c r="O3366" s="2"/>
      <c r="P3366" s="2"/>
      <c r="Q3366" s="2" t="str">
        <f>"319-A/10"</f>
        <v>319-A/10</v>
      </c>
      <c r="R3366" s="2" t="s">
        <v>156</v>
      </c>
      <c r="S3366" s="2" t="s">
        <v>156</v>
      </c>
      <c r="T3366" s="2">
        <v>1</v>
      </c>
      <c r="U3366" s="2" t="s">
        <v>79</v>
      </c>
      <c r="V3366" s="2">
        <v>1</v>
      </c>
      <c r="W3366" s="2" t="s">
        <v>80</v>
      </c>
      <c r="X3366" s="2">
        <v>12</v>
      </c>
      <c r="Y3366" s="2" t="s">
        <v>148</v>
      </c>
      <c r="Z3366" s="2">
        <v>1</v>
      </c>
      <c r="AA3366" s="2" t="s">
        <v>82</v>
      </c>
      <c r="AB3366" s="2">
        <v>6</v>
      </c>
      <c r="AC3366" s="2" t="s">
        <v>83</v>
      </c>
      <c r="AD3366" s="3">
        <v>40405</v>
      </c>
      <c r="AE3366" s="2"/>
      <c r="AF3366" s="3">
        <v>40405</v>
      </c>
      <c r="AG3366" s="4">
        <v>0.78125</v>
      </c>
      <c r="AH3366" s="2">
        <v>2</v>
      </c>
      <c r="AI3366" s="2" t="s">
        <v>84</v>
      </c>
      <c r="AJ3366" s="2">
        <v>12</v>
      </c>
      <c r="AK3366" s="2" t="s">
        <v>85</v>
      </c>
      <c r="AL3366" s="2">
        <v>22</v>
      </c>
      <c r="AM3366" s="2" t="s">
        <v>1853</v>
      </c>
      <c r="AN3366" s="2" t="s">
        <v>1945</v>
      </c>
      <c r="AO3366" s="2" t="s">
        <v>10850</v>
      </c>
      <c r="AP3366" s="2">
        <v>11</v>
      </c>
      <c r="AQ3366" s="2" t="s">
        <v>82</v>
      </c>
      <c r="AR3366" s="2"/>
      <c r="AS3366" s="2"/>
      <c r="AT3366" s="2" t="s">
        <v>10851</v>
      </c>
      <c r="AU3366" s="2"/>
      <c r="AV3366" s="2"/>
      <c r="AW3366" s="2"/>
      <c r="AX3366" s="2"/>
      <c r="AY3366" s="2">
        <v>41</v>
      </c>
      <c r="AZ3366" s="2" t="s">
        <v>82</v>
      </c>
      <c r="BA3366" s="2">
        <v>41</v>
      </c>
      <c r="BB3366" s="2" t="s">
        <v>82</v>
      </c>
      <c r="BC3366" s="2">
        <v>41</v>
      </c>
      <c r="BD3366" s="2" t="s">
        <v>82</v>
      </c>
      <c r="BE3366" s="2">
        <v>13</v>
      </c>
      <c r="BF3366" s="2" t="s">
        <v>108</v>
      </c>
      <c r="BG3366" s="2" t="s">
        <v>7297</v>
      </c>
      <c r="BH3366" s="4">
        <v>0.72916666666666663</v>
      </c>
      <c r="BI3366" s="4">
        <v>0.59375</v>
      </c>
      <c r="BJ3366" s="2">
        <v>172</v>
      </c>
      <c r="BK3366" s="2" t="s">
        <v>843</v>
      </c>
      <c r="BL3366" s="2" t="s">
        <v>844</v>
      </c>
      <c r="BM3366" s="2">
        <v>241</v>
      </c>
      <c r="BN3366" s="2" t="s">
        <v>82</v>
      </c>
      <c r="BO3366" s="2"/>
      <c r="BP3366" s="2">
        <v>13</v>
      </c>
      <c r="BQ3366" s="2" t="s">
        <v>91</v>
      </c>
      <c r="BR3366" s="2" t="s">
        <v>564</v>
      </c>
      <c r="BS3366" s="3">
        <v>40405</v>
      </c>
      <c r="BT3366" s="4">
        <v>0.86903935185185188</v>
      </c>
    </row>
    <row r="3367" spans="1:72" x14ac:dyDescent="0.25">
      <c r="A3367" s="2">
        <v>4959</v>
      </c>
      <c r="B3367" s="2">
        <v>2010</v>
      </c>
      <c r="C3367" s="2" t="s">
        <v>171</v>
      </c>
      <c r="D3367" s="2" t="s">
        <v>73</v>
      </c>
      <c r="E3367" s="2"/>
      <c r="F3367" s="2">
        <v>54</v>
      </c>
      <c r="G3367" s="2" t="s">
        <v>2963</v>
      </c>
      <c r="H3367" s="2">
        <v>103</v>
      </c>
      <c r="I3367" s="2" t="s">
        <v>6768</v>
      </c>
      <c r="J3367" s="2">
        <v>87</v>
      </c>
      <c r="K3367" s="2" t="s">
        <v>2964</v>
      </c>
      <c r="L3367" s="2" t="s">
        <v>2534</v>
      </c>
      <c r="M3367" s="3">
        <v>40405</v>
      </c>
      <c r="N3367" s="2" t="s">
        <v>10852</v>
      </c>
      <c r="O3367" s="2"/>
      <c r="P3367" s="2"/>
      <c r="Q3367" s="2" t="str">
        <f>"028/10"</f>
        <v>028/10</v>
      </c>
      <c r="R3367" s="2"/>
      <c r="S3367" s="2" t="s">
        <v>10853</v>
      </c>
      <c r="T3367" s="2">
        <v>1</v>
      </c>
      <c r="U3367" s="2" t="s">
        <v>79</v>
      </c>
      <c r="V3367" s="2">
        <v>1</v>
      </c>
      <c r="W3367" s="2" t="s">
        <v>80</v>
      </c>
      <c r="X3367" s="2">
        <v>1</v>
      </c>
      <c r="Y3367" s="2" t="s">
        <v>81</v>
      </c>
      <c r="Z3367" s="2">
        <v>1</v>
      </c>
      <c r="AA3367" s="2" t="s">
        <v>82</v>
      </c>
      <c r="AB3367" s="2">
        <v>1</v>
      </c>
      <c r="AC3367" s="2" t="s">
        <v>178</v>
      </c>
      <c r="AD3367" s="3">
        <v>40405</v>
      </c>
      <c r="AE3367" s="4">
        <v>0.68055555555555547</v>
      </c>
      <c r="AF3367" s="2"/>
      <c r="AG3367" s="2"/>
      <c r="AH3367" s="2">
        <v>4</v>
      </c>
      <c r="AI3367" s="2" t="s">
        <v>125</v>
      </c>
      <c r="AJ3367" s="2">
        <v>28</v>
      </c>
      <c r="AK3367" s="2" t="s">
        <v>741</v>
      </c>
      <c r="AL3367" s="2">
        <v>11</v>
      </c>
      <c r="AM3367" s="2" t="s">
        <v>137</v>
      </c>
      <c r="AN3367" s="2" t="s">
        <v>10854</v>
      </c>
      <c r="AO3367" s="2"/>
      <c r="AP3367" s="2">
        <v>11</v>
      </c>
      <c r="AQ3367" s="2" t="s">
        <v>82</v>
      </c>
      <c r="AR3367" s="2"/>
      <c r="AS3367" s="2"/>
      <c r="AT3367" s="2" t="s">
        <v>10855</v>
      </c>
      <c r="AU3367" s="2"/>
      <c r="AV3367" s="2"/>
      <c r="AW3367" s="2"/>
      <c r="AX3367" s="2"/>
      <c r="AY3367" s="2">
        <v>41</v>
      </c>
      <c r="AZ3367" s="2" t="s">
        <v>82</v>
      </c>
      <c r="BA3367" s="2">
        <v>41</v>
      </c>
      <c r="BB3367" s="2" t="s">
        <v>82</v>
      </c>
      <c r="BC3367" s="2">
        <v>41</v>
      </c>
      <c r="BD3367" s="2" t="s">
        <v>82</v>
      </c>
      <c r="BE3367" s="2">
        <v>4</v>
      </c>
      <c r="BF3367" s="2" t="s">
        <v>90</v>
      </c>
      <c r="BG3367" s="2">
        <v>4155</v>
      </c>
      <c r="BH3367" s="4">
        <v>0.6875</v>
      </c>
      <c r="BI3367" s="4">
        <v>0.72222222222222221</v>
      </c>
      <c r="BJ3367" s="2">
        <v>13</v>
      </c>
      <c r="BK3367" s="2" t="s">
        <v>91</v>
      </c>
      <c r="BL3367" s="2" t="s">
        <v>744</v>
      </c>
      <c r="BM3367" s="2">
        <v>241</v>
      </c>
      <c r="BN3367" s="2" t="s">
        <v>82</v>
      </c>
      <c r="BO3367" s="2"/>
      <c r="BP3367" s="2">
        <v>13</v>
      </c>
      <c r="BQ3367" s="2" t="s">
        <v>91</v>
      </c>
      <c r="BR3367" s="2" t="s">
        <v>185</v>
      </c>
      <c r="BS3367" s="3">
        <v>40405</v>
      </c>
      <c r="BT3367" s="4">
        <v>0.97664351851851849</v>
      </c>
    </row>
    <row r="3368" spans="1:72" x14ac:dyDescent="0.25">
      <c r="A3368" s="2">
        <v>4960</v>
      </c>
      <c r="B3368" s="2">
        <v>2010</v>
      </c>
      <c r="C3368" s="2" t="s">
        <v>72</v>
      </c>
      <c r="D3368" s="2" t="s">
        <v>73</v>
      </c>
      <c r="E3368" s="2"/>
      <c r="F3368" s="2">
        <v>389</v>
      </c>
      <c r="G3368" s="2" t="s">
        <v>1819</v>
      </c>
      <c r="H3368" s="2">
        <v>3</v>
      </c>
      <c r="I3368" s="2" t="s">
        <v>315</v>
      </c>
      <c r="J3368" s="2">
        <v>399</v>
      </c>
      <c r="K3368" s="2" t="s">
        <v>1820</v>
      </c>
      <c r="L3368" s="2" t="s">
        <v>1821</v>
      </c>
      <c r="M3368" s="3">
        <v>40406</v>
      </c>
      <c r="N3368" s="2" t="s">
        <v>10856</v>
      </c>
      <c r="O3368" s="2" t="s">
        <v>82</v>
      </c>
      <c r="P3368" s="2" t="s">
        <v>82</v>
      </c>
      <c r="Q3368" s="2" t="str">
        <f>"419-E-10"</f>
        <v>419-E-10</v>
      </c>
      <c r="R3368" s="2" t="s">
        <v>116</v>
      </c>
      <c r="S3368" s="2" t="s">
        <v>116</v>
      </c>
      <c r="T3368" s="2">
        <v>1</v>
      </c>
      <c r="U3368" s="2" t="s">
        <v>79</v>
      </c>
      <c r="V3368" s="2">
        <v>1</v>
      </c>
      <c r="W3368" s="2" t="s">
        <v>80</v>
      </c>
      <c r="X3368" s="2">
        <v>12</v>
      </c>
      <c r="Y3368" s="2" t="s">
        <v>148</v>
      </c>
      <c r="Z3368" s="2">
        <v>1</v>
      </c>
      <c r="AA3368" s="2" t="s">
        <v>82</v>
      </c>
      <c r="AB3368" s="2">
        <v>6</v>
      </c>
      <c r="AC3368" s="2" t="s">
        <v>83</v>
      </c>
      <c r="AD3368" s="3">
        <v>40406</v>
      </c>
      <c r="AE3368" s="2"/>
      <c r="AF3368" s="3">
        <v>40406</v>
      </c>
      <c r="AG3368" s="4">
        <v>0.25</v>
      </c>
      <c r="AH3368" s="2">
        <v>2</v>
      </c>
      <c r="AI3368" s="2" t="s">
        <v>84</v>
      </c>
      <c r="AJ3368" s="2">
        <v>9</v>
      </c>
      <c r="AK3368" s="2" t="s">
        <v>103</v>
      </c>
      <c r="AL3368" s="2">
        <v>15</v>
      </c>
      <c r="AM3368" s="2" t="s">
        <v>104</v>
      </c>
      <c r="AN3368" s="2" t="s">
        <v>8527</v>
      </c>
      <c r="AO3368" s="2" t="s">
        <v>7347</v>
      </c>
      <c r="AP3368" s="2">
        <v>11</v>
      </c>
      <c r="AQ3368" s="2" t="s">
        <v>82</v>
      </c>
      <c r="AR3368" s="2"/>
      <c r="AS3368" s="2"/>
      <c r="AT3368" s="2" t="s">
        <v>10857</v>
      </c>
      <c r="AU3368" s="2"/>
      <c r="AV3368" s="2"/>
      <c r="AW3368" s="2"/>
      <c r="AX3368" s="2"/>
      <c r="AY3368" s="2">
        <v>41</v>
      </c>
      <c r="AZ3368" s="2" t="s">
        <v>82</v>
      </c>
      <c r="BA3368" s="2">
        <v>41</v>
      </c>
      <c r="BB3368" s="2" t="s">
        <v>82</v>
      </c>
      <c r="BC3368" s="2">
        <v>41</v>
      </c>
      <c r="BD3368" s="2" t="s">
        <v>82</v>
      </c>
      <c r="BE3368" s="2">
        <v>41</v>
      </c>
      <c r="BF3368" s="2" t="s">
        <v>82</v>
      </c>
      <c r="BG3368" s="2"/>
      <c r="BH3368" s="2"/>
      <c r="BI3368" s="2"/>
      <c r="BJ3368" s="2">
        <v>241</v>
      </c>
      <c r="BK3368" s="2" t="s">
        <v>82</v>
      </c>
      <c r="BL3368" s="2"/>
      <c r="BM3368" s="2">
        <v>241</v>
      </c>
      <c r="BN3368" s="2" t="s">
        <v>82</v>
      </c>
      <c r="BO3368" s="2" t="s">
        <v>82</v>
      </c>
      <c r="BP3368" s="2">
        <v>241</v>
      </c>
      <c r="BQ3368" s="2" t="s">
        <v>82</v>
      </c>
      <c r="BR3368" s="2"/>
      <c r="BS3368" s="3">
        <v>40406</v>
      </c>
      <c r="BT3368" s="4">
        <v>0.34575231481481478</v>
      </c>
    </row>
    <row r="3369" spans="1:72" x14ac:dyDescent="0.25">
      <c r="A3369" s="2">
        <v>4961</v>
      </c>
      <c r="B3369" s="2">
        <v>2010</v>
      </c>
      <c r="C3369" s="2" t="s">
        <v>93</v>
      </c>
      <c r="D3369" s="2" t="s">
        <v>73</v>
      </c>
      <c r="E3369" s="2"/>
      <c r="F3369" s="2">
        <v>155</v>
      </c>
      <c r="G3369" s="2" t="s">
        <v>1030</v>
      </c>
      <c r="H3369" s="2">
        <v>16</v>
      </c>
      <c r="I3369" s="2" t="s">
        <v>3027</v>
      </c>
      <c r="J3369" s="2">
        <v>167</v>
      </c>
      <c r="K3369" s="2" t="s">
        <v>1032</v>
      </c>
      <c r="L3369" s="2" t="s">
        <v>1033</v>
      </c>
      <c r="M3369" s="3">
        <v>40406</v>
      </c>
      <c r="N3369" s="2" t="s">
        <v>107</v>
      </c>
      <c r="O3369" s="2" t="s">
        <v>10858</v>
      </c>
      <c r="P3369" s="2">
        <v>11740</v>
      </c>
      <c r="Q3369" s="2" t="str">
        <f>"0104/2010"</f>
        <v>0104/2010</v>
      </c>
      <c r="R3369" s="2"/>
      <c r="S3369" s="2" t="s">
        <v>1695</v>
      </c>
      <c r="T3369" s="2">
        <v>1</v>
      </c>
      <c r="U3369" s="2" t="s">
        <v>79</v>
      </c>
      <c r="V3369" s="2">
        <v>1</v>
      </c>
      <c r="W3369" s="2" t="s">
        <v>80</v>
      </c>
      <c r="X3369" s="2">
        <v>10</v>
      </c>
      <c r="Y3369" s="2" t="s">
        <v>226</v>
      </c>
      <c r="Z3369" s="2">
        <v>9</v>
      </c>
      <c r="AA3369" s="2" t="s">
        <v>1119</v>
      </c>
      <c r="AB3369" s="2">
        <v>2</v>
      </c>
      <c r="AC3369" s="2" t="s">
        <v>102</v>
      </c>
      <c r="AD3369" s="3">
        <v>40406</v>
      </c>
      <c r="AE3369" s="4">
        <v>0.4861111111111111</v>
      </c>
      <c r="AF3369" s="2"/>
      <c r="AG3369" s="2"/>
      <c r="AH3369" s="2">
        <v>5</v>
      </c>
      <c r="AI3369" s="2" t="s">
        <v>274</v>
      </c>
      <c r="AJ3369" s="2">
        <v>38</v>
      </c>
      <c r="AK3369" s="2" t="s">
        <v>1120</v>
      </c>
      <c r="AL3369" s="2">
        <v>14</v>
      </c>
      <c r="AM3369" s="2" t="s">
        <v>216</v>
      </c>
      <c r="AN3369" s="2"/>
      <c r="AO3369" s="2" t="s">
        <v>5741</v>
      </c>
      <c r="AP3369" s="2">
        <v>11</v>
      </c>
      <c r="AQ3369" s="2" t="s">
        <v>82</v>
      </c>
      <c r="AR3369" s="2"/>
      <c r="AS3369" s="2"/>
      <c r="AT3369" s="2" t="s">
        <v>10859</v>
      </c>
      <c r="AU3369" s="2"/>
      <c r="AV3369" s="2"/>
      <c r="AW3369" s="2"/>
      <c r="AX3369" s="2"/>
      <c r="AY3369" s="2">
        <v>41</v>
      </c>
      <c r="AZ3369" s="2" t="s">
        <v>82</v>
      </c>
      <c r="BA3369" s="2">
        <v>41</v>
      </c>
      <c r="BB3369" s="2" t="s">
        <v>82</v>
      </c>
      <c r="BC3369" s="2">
        <v>41</v>
      </c>
      <c r="BD3369" s="2" t="s">
        <v>82</v>
      </c>
      <c r="BE3369" s="2">
        <v>47</v>
      </c>
      <c r="BF3369" s="2" t="s">
        <v>167</v>
      </c>
      <c r="BG3369" s="2">
        <v>2725</v>
      </c>
      <c r="BH3369" s="4">
        <v>0.47222222222222227</v>
      </c>
      <c r="BI3369" s="4">
        <v>0.5</v>
      </c>
      <c r="BJ3369" s="2">
        <v>13</v>
      </c>
      <c r="BK3369" s="2" t="s">
        <v>91</v>
      </c>
      <c r="BL3369" s="2" t="s">
        <v>1697</v>
      </c>
      <c r="BM3369" s="2">
        <v>241</v>
      </c>
      <c r="BN3369" s="2" t="s">
        <v>82</v>
      </c>
      <c r="BO3369" s="2"/>
      <c r="BP3369" s="2">
        <v>13</v>
      </c>
      <c r="BQ3369" s="2" t="s">
        <v>91</v>
      </c>
      <c r="BR3369" s="2" t="s">
        <v>170</v>
      </c>
      <c r="BS3369" s="3">
        <v>40406</v>
      </c>
      <c r="BT3369" s="4">
        <v>0.55651620370370369</v>
      </c>
    </row>
    <row r="3370" spans="1:72" x14ac:dyDescent="0.25">
      <c r="A3370" s="2">
        <v>4962</v>
      </c>
      <c r="B3370" s="2">
        <v>2010</v>
      </c>
      <c r="C3370" s="2" t="s">
        <v>457</v>
      </c>
      <c r="D3370" s="2" t="s">
        <v>73</v>
      </c>
      <c r="E3370" s="2"/>
      <c r="F3370" s="2">
        <v>467</v>
      </c>
      <c r="G3370" s="2" t="s">
        <v>1053</v>
      </c>
      <c r="H3370" s="2">
        <v>42</v>
      </c>
      <c r="I3370" s="2" t="s">
        <v>1096</v>
      </c>
      <c r="J3370" s="2">
        <v>369</v>
      </c>
      <c r="K3370" s="2" t="s">
        <v>1054</v>
      </c>
      <c r="L3370" s="2" t="s">
        <v>1055</v>
      </c>
      <c r="M3370" s="3">
        <v>40406</v>
      </c>
      <c r="N3370" s="2" t="s">
        <v>3617</v>
      </c>
      <c r="O3370" s="2" t="s">
        <v>10860</v>
      </c>
      <c r="P3370" s="2" t="s">
        <v>10861</v>
      </c>
      <c r="Q3370" s="2" t="str">
        <f>""</f>
        <v/>
      </c>
      <c r="R3370" s="2"/>
      <c r="S3370" s="2"/>
      <c r="T3370" s="2">
        <v>1</v>
      </c>
      <c r="U3370" s="2" t="s">
        <v>79</v>
      </c>
      <c r="V3370" s="2">
        <v>1</v>
      </c>
      <c r="W3370" s="2" t="s">
        <v>80</v>
      </c>
      <c r="X3370" s="2">
        <v>4</v>
      </c>
      <c r="Y3370" s="2" t="s">
        <v>463</v>
      </c>
      <c r="Z3370" s="2">
        <v>6</v>
      </c>
      <c r="AA3370" s="2" t="s">
        <v>101</v>
      </c>
      <c r="AB3370" s="2">
        <v>9</v>
      </c>
      <c r="AC3370" s="2" t="s">
        <v>124</v>
      </c>
      <c r="AD3370" s="3">
        <v>40406</v>
      </c>
      <c r="AE3370" s="4">
        <v>0.53055555555555556</v>
      </c>
      <c r="AF3370" s="2"/>
      <c r="AG3370" s="2"/>
      <c r="AH3370" s="2">
        <v>4</v>
      </c>
      <c r="AI3370" s="2" t="s">
        <v>125</v>
      </c>
      <c r="AJ3370" s="2">
        <v>29</v>
      </c>
      <c r="AK3370" s="2" t="s">
        <v>227</v>
      </c>
      <c r="AL3370" s="2">
        <v>11</v>
      </c>
      <c r="AM3370" s="2" t="s">
        <v>137</v>
      </c>
      <c r="AN3370" s="2" t="s">
        <v>10862</v>
      </c>
      <c r="AO3370" s="2"/>
      <c r="AP3370" s="2">
        <v>11</v>
      </c>
      <c r="AQ3370" s="2" t="s">
        <v>82</v>
      </c>
      <c r="AR3370" s="2"/>
      <c r="AS3370" s="2"/>
      <c r="AT3370" s="2" t="s">
        <v>10863</v>
      </c>
      <c r="AU3370" s="2"/>
      <c r="AV3370" s="2"/>
      <c r="AW3370" s="2"/>
      <c r="AX3370" s="2"/>
      <c r="AY3370" s="2">
        <v>41</v>
      </c>
      <c r="AZ3370" s="2" t="s">
        <v>82</v>
      </c>
      <c r="BA3370" s="2">
        <v>41</v>
      </c>
      <c r="BB3370" s="2" t="s">
        <v>82</v>
      </c>
      <c r="BC3370" s="2">
        <v>41</v>
      </c>
      <c r="BD3370" s="2" t="s">
        <v>82</v>
      </c>
      <c r="BE3370" s="2">
        <v>19</v>
      </c>
      <c r="BF3370" s="2" t="s">
        <v>1061</v>
      </c>
      <c r="BG3370" s="2">
        <v>251</v>
      </c>
      <c r="BH3370" s="4">
        <v>0.53055555555555556</v>
      </c>
      <c r="BI3370" s="4">
        <v>0.58680555555555558</v>
      </c>
      <c r="BJ3370" s="2">
        <v>13</v>
      </c>
      <c r="BK3370" s="2" t="s">
        <v>91</v>
      </c>
      <c r="BL3370" s="2" t="s">
        <v>828</v>
      </c>
      <c r="BM3370" s="2">
        <v>241</v>
      </c>
      <c r="BN3370" s="2" t="s">
        <v>82</v>
      </c>
      <c r="BO3370" s="2" t="s">
        <v>82</v>
      </c>
      <c r="BP3370" s="2">
        <v>29</v>
      </c>
      <c r="BQ3370" s="2" t="s">
        <v>962</v>
      </c>
      <c r="BR3370" s="2" t="s">
        <v>963</v>
      </c>
      <c r="BS3370" s="3">
        <v>40406</v>
      </c>
      <c r="BT3370" s="4">
        <v>0.59725694444444444</v>
      </c>
    </row>
    <row r="3371" spans="1:72" x14ac:dyDescent="0.25">
      <c r="A3371" s="2">
        <v>4963</v>
      </c>
      <c r="B3371" s="2">
        <v>2010</v>
      </c>
      <c r="C3371" s="2" t="s">
        <v>171</v>
      </c>
      <c r="D3371" s="2" t="s">
        <v>73</v>
      </c>
      <c r="E3371" s="2"/>
      <c r="F3371" s="2">
        <v>157</v>
      </c>
      <c r="G3371" s="2" t="s">
        <v>3011</v>
      </c>
      <c r="H3371" s="2">
        <v>14</v>
      </c>
      <c r="I3371" s="2" t="s">
        <v>1458</v>
      </c>
      <c r="J3371" s="2">
        <v>167</v>
      </c>
      <c r="K3371" s="2" t="s">
        <v>1032</v>
      </c>
      <c r="L3371" s="2" t="s">
        <v>1033</v>
      </c>
      <c r="M3371" s="3">
        <v>40406</v>
      </c>
      <c r="N3371" s="2" t="s">
        <v>10864</v>
      </c>
      <c r="O3371" s="2"/>
      <c r="P3371" s="2"/>
      <c r="Q3371" s="2" t="str">
        <f>"320-A/10"</f>
        <v>320-A/10</v>
      </c>
      <c r="R3371" s="2" t="s">
        <v>1035</v>
      </c>
      <c r="S3371" s="2"/>
      <c r="T3371" s="2">
        <v>1</v>
      </c>
      <c r="U3371" s="2" t="s">
        <v>79</v>
      </c>
      <c r="V3371" s="2">
        <v>1</v>
      </c>
      <c r="W3371" s="2" t="s">
        <v>80</v>
      </c>
      <c r="X3371" s="2">
        <v>1</v>
      </c>
      <c r="Y3371" s="2" t="s">
        <v>81</v>
      </c>
      <c r="Z3371" s="2">
        <v>1</v>
      </c>
      <c r="AA3371" s="2" t="s">
        <v>82</v>
      </c>
      <c r="AB3371" s="2">
        <v>1</v>
      </c>
      <c r="AC3371" s="2" t="s">
        <v>178</v>
      </c>
      <c r="AD3371" s="3">
        <v>40406</v>
      </c>
      <c r="AE3371" s="4">
        <v>0.38194444444444442</v>
      </c>
      <c r="AF3371" s="2"/>
      <c r="AG3371" s="2"/>
      <c r="AH3371" s="2">
        <v>2</v>
      </c>
      <c r="AI3371" s="2" t="s">
        <v>84</v>
      </c>
      <c r="AJ3371" s="2">
        <v>12</v>
      </c>
      <c r="AK3371" s="2" t="s">
        <v>85</v>
      </c>
      <c r="AL3371" s="2">
        <v>11</v>
      </c>
      <c r="AM3371" s="2" t="s">
        <v>137</v>
      </c>
      <c r="AN3371" s="2" t="s">
        <v>10490</v>
      </c>
      <c r="AO3371" s="2" t="s">
        <v>788</v>
      </c>
      <c r="AP3371" s="2">
        <v>11</v>
      </c>
      <c r="AQ3371" s="2" t="s">
        <v>82</v>
      </c>
      <c r="AR3371" s="2"/>
      <c r="AS3371" s="2"/>
      <c r="AT3371" s="2" t="s">
        <v>10865</v>
      </c>
      <c r="AU3371" s="2">
        <v>1</v>
      </c>
      <c r="AV3371" s="2"/>
      <c r="AW3371" s="2"/>
      <c r="AX3371" s="2"/>
      <c r="AY3371" s="2">
        <v>41</v>
      </c>
      <c r="AZ3371" s="2" t="s">
        <v>82</v>
      </c>
      <c r="BA3371" s="2">
        <v>41</v>
      </c>
      <c r="BB3371" s="2" t="s">
        <v>82</v>
      </c>
      <c r="BC3371" s="2">
        <v>41</v>
      </c>
      <c r="BD3371" s="2" t="s">
        <v>82</v>
      </c>
      <c r="BE3371" s="2">
        <v>13</v>
      </c>
      <c r="BF3371" s="2" t="s">
        <v>108</v>
      </c>
      <c r="BG3371" s="2" t="s">
        <v>10866</v>
      </c>
      <c r="BH3371" s="2"/>
      <c r="BI3371" s="4">
        <v>0.40625</v>
      </c>
      <c r="BJ3371" s="2">
        <v>13</v>
      </c>
      <c r="BK3371" s="2" t="s">
        <v>91</v>
      </c>
      <c r="BL3371" s="2" t="s">
        <v>564</v>
      </c>
      <c r="BM3371" s="2">
        <v>241</v>
      </c>
      <c r="BN3371" s="2" t="s">
        <v>82</v>
      </c>
      <c r="BO3371" s="2"/>
      <c r="BP3371" s="2">
        <v>13</v>
      </c>
      <c r="BQ3371" s="2" t="s">
        <v>91</v>
      </c>
      <c r="BR3371" s="2" t="s">
        <v>332</v>
      </c>
      <c r="BS3371" s="3">
        <v>40406</v>
      </c>
      <c r="BT3371" s="4">
        <v>0.63624999999999998</v>
      </c>
    </row>
    <row r="3372" spans="1:72" x14ac:dyDescent="0.25">
      <c r="A3372" s="2">
        <v>4964</v>
      </c>
      <c r="B3372" s="2">
        <v>2010</v>
      </c>
      <c r="C3372" s="2" t="s">
        <v>196</v>
      </c>
      <c r="D3372" s="2" t="s">
        <v>122</v>
      </c>
      <c r="E3372" s="2"/>
      <c r="F3372" s="2">
        <v>1</v>
      </c>
      <c r="G3372" s="2" t="s">
        <v>82</v>
      </c>
      <c r="H3372" s="2">
        <v>1</v>
      </c>
      <c r="I3372" s="2" t="s">
        <v>82</v>
      </c>
      <c r="J3372" s="2">
        <v>1</v>
      </c>
      <c r="K3372" s="2" t="s">
        <v>107</v>
      </c>
      <c r="L3372" s="2" t="s">
        <v>107</v>
      </c>
      <c r="M3372" s="3">
        <v>40406</v>
      </c>
      <c r="N3372" s="2"/>
      <c r="O3372" s="2"/>
      <c r="P3372" s="2"/>
      <c r="Q3372" s="2" t="str">
        <f>""</f>
        <v/>
      </c>
      <c r="R3372" s="2"/>
      <c r="S3372" s="2"/>
      <c r="T3372" s="2">
        <v>2</v>
      </c>
      <c r="U3372" s="2" t="s">
        <v>123</v>
      </c>
      <c r="V3372" s="2">
        <v>1</v>
      </c>
      <c r="W3372" s="2" t="s">
        <v>80</v>
      </c>
      <c r="X3372" s="2">
        <v>5</v>
      </c>
      <c r="Y3372" s="2" t="s">
        <v>82</v>
      </c>
      <c r="Z3372" s="2">
        <v>1</v>
      </c>
      <c r="AA3372" s="2" t="s">
        <v>82</v>
      </c>
      <c r="AB3372" s="2">
        <v>9</v>
      </c>
      <c r="AC3372" s="2" t="s">
        <v>124</v>
      </c>
      <c r="AD3372" s="3">
        <v>40406</v>
      </c>
      <c r="AE3372" s="4">
        <v>0.57638888888888895</v>
      </c>
      <c r="AF3372" s="2"/>
      <c r="AG3372" s="2"/>
      <c r="AH3372" s="2">
        <v>6</v>
      </c>
      <c r="AI3372" s="2" t="s">
        <v>197</v>
      </c>
      <c r="AJ3372" s="2">
        <v>58</v>
      </c>
      <c r="AK3372" s="2" t="s">
        <v>406</v>
      </c>
      <c r="AL3372" s="2">
        <v>9</v>
      </c>
      <c r="AM3372" s="2" t="s">
        <v>259</v>
      </c>
      <c r="AN3372" s="2" t="s">
        <v>10718</v>
      </c>
      <c r="AO3372" s="2" t="s">
        <v>230</v>
      </c>
      <c r="AP3372" s="2">
        <v>11</v>
      </c>
      <c r="AQ3372" s="2" t="s">
        <v>82</v>
      </c>
      <c r="AR3372" s="2"/>
      <c r="AS3372" s="2"/>
      <c r="AT3372" s="2" t="s">
        <v>10867</v>
      </c>
      <c r="AU3372" s="2"/>
      <c r="AV3372" s="2"/>
      <c r="AW3372" s="2"/>
      <c r="AX3372" s="2"/>
      <c r="AY3372" s="2">
        <v>41</v>
      </c>
      <c r="AZ3372" s="2" t="s">
        <v>82</v>
      </c>
      <c r="BA3372" s="2">
        <v>41</v>
      </c>
      <c r="BB3372" s="2" t="s">
        <v>82</v>
      </c>
      <c r="BC3372" s="2">
        <v>41</v>
      </c>
      <c r="BD3372" s="2" t="s">
        <v>82</v>
      </c>
      <c r="BE3372" s="2">
        <v>41</v>
      </c>
      <c r="BF3372" s="2" t="s">
        <v>82</v>
      </c>
      <c r="BG3372" s="2"/>
      <c r="BH3372" s="2"/>
      <c r="BI3372" s="2"/>
      <c r="BJ3372" s="2">
        <v>13</v>
      </c>
      <c r="BK3372" s="2" t="s">
        <v>91</v>
      </c>
      <c r="BL3372" s="2" t="s">
        <v>492</v>
      </c>
      <c r="BM3372" s="2">
        <v>13</v>
      </c>
      <c r="BN3372" s="2" t="s">
        <v>91</v>
      </c>
      <c r="BO3372" s="2"/>
      <c r="BP3372" s="2">
        <v>13</v>
      </c>
      <c r="BQ3372" s="2" t="s">
        <v>91</v>
      </c>
      <c r="BR3372" s="2" t="s">
        <v>204</v>
      </c>
      <c r="BS3372" s="3">
        <v>40406</v>
      </c>
      <c r="BT3372" s="4">
        <v>0.64186342592592593</v>
      </c>
    </row>
    <row r="3373" spans="1:72" x14ac:dyDescent="0.25">
      <c r="A3373" s="2">
        <v>4965</v>
      </c>
      <c r="B3373" s="2">
        <v>2010</v>
      </c>
      <c r="C3373" s="2" t="s">
        <v>196</v>
      </c>
      <c r="D3373" s="2" t="s">
        <v>122</v>
      </c>
      <c r="E3373" s="2"/>
      <c r="F3373" s="2">
        <v>1</v>
      </c>
      <c r="G3373" s="2" t="s">
        <v>82</v>
      </c>
      <c r="H3373" s="2">
        <v>1</v>
      </c>
      <c r="I3373" s="2" t="s">
        <v>82</v>
      </c>
      <c r="J3373" s="2">
        <v>1</v>
      </c>
      <c r="K3373" s="2" t="s">
        <v>107</v>
      </c>
      <c r="L3373" s="2" t="s">
        <v>107</v>
      </c>
      <c r="M3373" s="3">
        <v>40406</v>
      </c>
      <c r="N3373" s="2"/>
      <c r="O3373" s="2"/>
      <c r="P3373" s="2"/>
      <c r="Q3373" s="2" t="str">
        <f>""</f>
        <v/>
      </c>
      <c r="R3373" s="2"/>
      <c r="S3373" s="2"/>
      <c r="T3373" s="2">
        <v>2</v>
      </c>
      <c r="U3373" s="2" t="s">
        <v>123</v>
      </c>
      <c r="V3373" s="2">
        <v>1</v>
      </c>
      <c r="W3373" s="2" t="s">
        <v>80</v>
      </c>
      <c r="X3373" s="2">
        <v>5</v>
      </c>
      <c r="Y3373" s="2" t="s">
        <v>82</v>
      </c>
      <c r="Z3373" s="2">
        <v>1</v>
      </c>
      <c r="AA3373" s="2" t="s">
        <v>82</v>
      </c>
      <c r="AB3373" s="2">
        <v>9</v>
      </c>
      <c r="AC3373" s="2" t="s">
        <v>124</v>
      </c>
      <c r="AD3373" s="3">
        <v>40406</v>
      </c>
      <c r="AE3373" s="4">
        <v>0.64583333333333337</v>
      </c>
      <c r="AF3373" s="2"/>
      <c r="AG3373" s="2"/>
      <c r="AH3373" s="2">
        <v>6</v>
      </c>
      <c r="AI3373" s="2" t="s">
        <v>197</v>
      </c>
      <c r="AJ3373" s="2">
        <v>59</v>
      </c>
      <c r="AK3373" s="2" t="s">
        <v>198</v>
      </c>
      <c r="AL3373" s="2">
        <v>18</v>
      </c>
      <c r="AM3373" s="2" t="s">
        <v>82</v>
      </c>
      <c r="AN3373" s="2" t="s">
        <v>10868</v>
      </c>
      <c r="AO3373" s="2" t="s">
        <v>230</v>
      </c>
      <c r="AP3373" s="2">
        <v>11</v>
      </c>
      <c r="AQ3373" s="2" t="s">
        <v>82</v>
      </c>
      <c r="AR3373" s="2"/>
      <c r="AS3373" s="2"/>
      <c r="AT3373" s="2" t="s">
        <v>10869</v>
      </c>
      <c r="AU3373" s="2"/>
      <c r="AV3373" s="2"/>
      <c r="AW3373" s="2"/>
      <c r="AX3373" s="2"/>
      <c r="AY3373" s="2">
        <v>1</v>
      </c>
      <c r="AZ3373" s="2" t="s">
        <v>107</v>
      </c>
      <c r="BA3373" s="2">
        <v>1</v>
      </c>
      <c r="BB3373" s="2" t="s">
        <v>107</v>
      </c>
      <c r="BC3373" s="2">
        <v>1</v>
      </c>
      <c r="BD3373" s="2" t="s">
        <v>107</v>
      </c>
      <c r="BE3373" s="2">
        <v>1</v>
      </c>
      <c r="BF3373" s="2" t="s">
        <v>107</v>
      </c>
      <c r="BG3373" s="2"/>
      <c r="BH3373" s="2"/>
      <c r="BI3373" s="4">
        <v>0.64583333333333337</v>
      </c>
      <c r="BJ3373" s="2">
        <v>13</v>
      </c>
      <c r="BK3373" s="2" t="s">
        <v>91</v>
      </c>
      <c r="BL3373" s="2" t="s">
        <v>204</v>
      </c>
      <c r="BM3373" s="2">
        <v>242</v>
      </c>
      <c r="BN3373" s="2" t="s">
        <v>107</v>
      </c>
      <c r="BO3373" s="2"/>
      <c r="BP3373" s="2">
        <v>13</v>
      </c>
      <c r="BQ3373" s="2" t="s">
        <v>91</v>
      </c>
      <c r="BR3373" s="2" t="s">
        <v>185</v>
      </c>
      <c r="BS3373" s="3">
        <v>40406</v>
      </c>
      <c r="BT3373" s="4">
        <v>0.64858796296296295</v>
      </c>
    </row>
    <row r="3374" spans="1:72" x14ac:dyDescent="0.25">
      <c r="A3374" s="2">
        <v>4966</v>
      </c>
      <c r="B3374" s="2">
        <v>2010</v>
      </c>
      <c r="C3374" s="2" t="s">
        <v>72</v>
      </c>
      <c r="D3374" s="2" t="s">
        <v>73</v>
      </c>
      <c r="E3374" s="2"/>
      <c r="F3374" s="2">
        <v>344</v>
      </c>
      <c r="G3374" s="2" t="s">
        <v>10870</v>
      </c>
      <c r="H3374" s="2">
        <v>22</v>
      </c>
      <c r="I3374" s="2" t="s">
        <v>75</v>
      </c>
      <c r="J3374" s="2">
        <v>290</v>
      </c>
      <c r="K3374" s="2" t="s">
        <v>10871</v>
      </c>
      <c r="L3374" s="2" t="s">
        <v>10872</v>
      </c>
      <c r="M3374" s="3">
        <v>40406</v>
      </c>
      <c r="N3374" s="2" t="s">
        <v>10873</v>
      </c>
      <c r="O3374" s="2" t="s">
        <v>8583</v>
      </c>
      <c r="P3374" s="6">
        <v>44835</v>
      </c>
      <c r="Q3374" s="2" t="str">
        <f>"01/10"</f>
        <v>01/10</v>
      </c>
      <c r="R3374" s="2" t="s">
        <v>8583</v>
      </c>
      <c r="S3374" s="2" t="s">
        <v>8583</v>
      </c>
      <c r="T3374" s="2">
        <v>1</v>
      </c>
      <c r="U3374" s="2" t="s">
        <v>79</v>
      </c>
      <c r="V3374" s="2">
        <v>1</v>
      </c>
      <c r="W3374" s="2" t="s">
        <v>80</v>
      </c>
      <c r="X3374" s="2">
        <v>12</v>
      </c>
      <c r="Y3374" s="2" t="s">
        <v>148</v>
      </c>
      <c r="Z3374" s="2">
        <v>1</v>
      </c>
      <c r="AA3374" s="2" t="s">
        <v>82</v>
      </c>
      <c r="AB3374" s="2">
        <v>6</v>
      </c>
      <c r="AC3374" s="2" t="s">
        <v>83</v>
      </c>
      <c r="AD3374" s="2"/>
      <c r="AE3374" s="2"/>
      <c r="AF3374" s="3">
        <v>40406</v>
      </c>
      <c r="AG3374" s="4">
        <v>0.70833333333333337</v>
      </c>
      <c r="AH3374" s="2">
        <v>3</v>
      </c>
      <c r="AI3374" s="2" t="s">
        <v>214</v>
      </c>
      <c r="AJ3374" s="2">
        <v>23</v>
      </c>
      <c r="AK3374" s="2" t="s">
        <v>851</v>
      </c>
      <c r="AL3374" s="2">
        <v>9</v>
      </c>
      <c r="AM3374" s="2" t="s">
        <v>259</v>
      </c>
      <c r="AN3374" s="2" t="s">
        <v>10874</v>
      </c>
      <c r="AO3374" s="2" t="s">
        <v>82</v>
      </c>
      <c r="AP3374" s="2">
        <v>11</v>
      </c>
      <c r="AQ3374" s="2" t="s">
        <v>82</v>
      </c>
      <c r="AR3374" s="2"/>
      <c r="AS3374" s="2"/>
      <c r="AT3374" s="2" t="s">
        <v>10875</v>
      </c>
      <c r="AU3374" s="2"/>
      <c r="AV3374" s="2"/>
      <c r="AW3374" s="2"/>
      <c r="AX3374" s="2"/>
      <c r="AY3374" s="2">
        <v>44</v>
      </c>
      <c r="AZ3374" s="2" t="s">
        <v>262</v>
      </c>
      <c r="BA3374" s="2">
        <v>44</v>
      </c>
      <c r="BB3374" s="2" t="s">
        <v>262</v>
      </c>
      <c r="BC3374" s="2">
        <v>41</v>
      </c>
      <c r="BD3374" s="2" t="s">
        <v>82</v>
      </c>
      <c r="BE3374" s="2">
        <v>41</v>
      </c>
      <c r="BF3374" s="2" t="s">
        <v>82</v>
      </c>
      <c r="BG3374" s="2" t="s">
        <v>82</v>
      </c>
      <c r="BH3374" s="2"/>
      <c r="BI3374" s="2"/>
      <c r="BJ3374" s="2">
        <v>241</v>
      </c>
      <c r="BK3374" s="2" t="s">
        <v>82</v>
      </c>
      <c r="BL3374" s="2"/>
      <c r="BM3374" s="2">
        <v>241</v>
      </c>
      <c r="BN3374" s="2" t="s">
        <v>82</v>
      </c>
      <c r="BO3374" s="2"/>
      <c r="BP3374" s="2">
        <v>241</v>
      </c>
      <c r="BQ3374" s="2" t="s">
        <v>82</v>
      </c>
      <c r="BR3374" s="2"/>
      <c r="BS3374" s="3">
        <v>40406</v>
      </c>
      <c r="BT3374" s="4">
        <v>0.77704861111111112</v>
      </c>
    </row>
    <row r="3375" spans="1:72" x14ac:dyDescent="0.25">
      <c r="A3375" s="2">
        <v>4967</v>
      </c>
      <c r="B3375" s="2">
        <v>2010</v>
      </c>
      <c r="C3375" s="2" t="s">
        <v>196</v>
      </c>
      <c r="D3375" s="2" t="s">
        <v>122</v>
      </c>
      <c r="E3375" s="2"/>
      <c r="F3375" s="2">
        <v>1</v>
      </c>
      <c r="G3375" s="2" t="s">
        <v>82</v>
      </c>
      <c r="H3375" s="2">
        <v>1</v>
      </c>
      <c r="I3375" s="2" t="s">
        <v>82</v>
      </c>
      <c r="J3375" s="2">
        <v>1</v>
      </c>
      <c r="K3375" s="2" t="s">
        <v>107</v>
      </c>
      <c r="L3375" s="2" t="s">
        <v>107</v>
      </c>
      <c r="M3375" s="3">
        <v>40406</v>
      </c>
      <c r="N3375" s="2"/>
      <c r="O3375" s="2"/>
      <c r="P3375" s="2"/>
      <c r="Q3375" s="2" t="str">
        <f>""</f>
        <v/>
      </c>
      <c r="R3375" s="2"/>
      <c r="S3375" s="2"/>
      <c r="T3375" s="2">
        <v>2</v>
      </c>
      <c r="U3375" s="2" t="s">
        <v>123</v>
      </c>
      <c r="V3375" s="2">
        <v>1</v>
      </c>
      <c r="W3375" s="2" t="s">
        <v>80</v>
      </c>
      <c r="X3375" s="2">
        <v>11</v>
      </c>
      <c r="Y3375" s="2" t="s">
        <v>1920</v>
      </c>
      <c r="Z3375" s="2">
        <v>10</v>
      </c>
      <c r="AA3375" s="2" t="s">
        <v>236</v>
      </c>
      <c r="AB3375" s="2">
        <v>9</v>
      </c>
      <c r="AC3375" s="2" t="s">
        <v>124</v>
      </c>
      <c r="AD3375" s="3">
        <v>40406</v>
      </c>
      <c r="AE3375" s="4">
        <v>0.66666666666666663</v>
      </c>
      <c r="AF3375" s="2"/>
      <c r="AG3375" s="2"/>
      <c r="AH3375" s="2">
        <v>2</v>
      </c>
      <c r="AI3375" s="2" t="s">
        <v>84</v>
      </c>
      <c r="AJ3375" s="2">
        <v>12</v>
      </c>
      <c r="AK3375" s="2" t="s">
        <v>85</v>
      </c>
      <c r="AL3375" s="2">
        <v>20</v>
      </c>
      <c r="AM3375" s="2" t="s">
        <v>992</v>
      </c>
      <c r="AN3375" s="2"/>
      <c r="AO3375" s="2"/>
      <c r="AP3375" s="2">
        <v>11</v>
      </c>
      <c r="AQ3375" s="2" t="s">
        <v>82</v>
      </c>
      <c r="AR3375" s="2"/>
      <c r="AS3375" s="2"/>
      <c r="AT3375" s="2" t="s">
        <v>10876</v>
      </c>
      <c r="AU3375" s="2"/>
      <c r="AV3375" s="2"/>
      <c r="AW3375" s="2"/>
      <c r="AX3375" s="2"/>
      <c r="AY3375" s="2">
        <v>41</v>
      </c>
      <c r="AZ3375" s="2" t="s">
        <v>82</v>
      </c>
      <c r="BA3375" s="2">
        <v>41</v>
      </c>
      <c r="BB3375" s="2" t="s">
        <v>82</v>
      </c>
      <c r="BC3375" s="2">
        <v>41</v>
      </c>
      <c r="BD3375" s="2" t="s">
        <v>82</v>
      </c>
      <c r="BE3375" s="2">
        <v>41</v>
      </c>
      <c r="BF3375" s="2" t="s">
        <v>82</v>
      </c>
      <c r="BG3375" s="2"/>
      <c r="BH3375" s="2"/>
      <c r="BI3375" s="2"/>
      <c r="BJ3375" s="2">
        <v>241</v>
      </c>
      <c r="BK3375" s="2" t="s">
        <v>82</v>
      </c>
      <c r="BL3375" s="2"/>
      <c r="BM3375" s="2">
        <v>241</v>
      </c>
      <c r="BN3375" s="2" t="s">
        <v>82</v>
      </c>
      <c r="BO3375" s="2"/>
      <c r="BP3375" s="2">
        <v>29</v>
      </c>
      <c r="BQ3375" s="2" t="s">
        <v>962</v>
      </c>
      <c r="BR3375" s="2"/>
      <c r="BS3375" s="3">
        <v>40406</v>
      </c>
      <c r="BT3375" s="4">
        <v>0.77902777777777776</v>
      </c>
    </row>
    <row r="3376" spans="1:72" x14ac:dyDescent="0.25">
      <c r="A3376" s="2">
        <v>4968</v>
      </c>
      <c r="B3376" s="2">
        <v>2010</v>
      </c>
      <c r="C3376" s="2" t="s">
        <v>93</v>
      </c>
      <c r="D3376" s="2" t="s">
        <v>73</v>
      </c>
      <c r="E3376" s="2"/>
      <c r="F3376" s="2">
        <v>189</v>
      </c>
      <c r="G3376" s="2" t="s">
        <v>4603</v>
      </c>
      <c r="H3376" s="2">
        <v>132</v>
      </c>
      <c r="I3376" s="2" t="s">
        <v>10877</v>
      </c>
      <c r="J3376" s="2">
        <v>197</v>
      </c>
      <c r="K3376" s="2" t="s">
        <v>10878</v>
      </c>
      <c r="L3376" s="2" t="s">
        <v>10879</v>
      </c>
      <c r="M3376" s="3">
        <v>40406</v>
      </c>
      <c r="N3376" s="2" t="s">
        <v>10880</v>
      </c>
      <c r="O3376" s="2" t="s">
        <v>10881</v>
      </c>
      <c r="P3376" s="2">
        <v>57270</v>
      </c>
      <c r="Q3376" s="2" t="str">
        <f>"0105/2010"</f>
        <v>0105/2010</v>
      </c>
      <c r="R3376" s="2"/>
      <c r="S3376" s="2" t="s">
        <v>1695</v>
      </c>
      <c r="T3376" s="2">
        <v>1</v>
      </c>
      <c r="U3376" s="2" t="s">
        <v>79</v>
      </c>
      <c r="V3376" s="2">
        <v>1</v>
      </c>
      <c r="W3376" s="2" t="s">
        <v>80</v>
      </c>
      <c r="X3376" s="2">
        <v>10</v>
      </c>
      <c r="Y3376" s="2" t="s">
        <v>226</v>
      </c>
      <c r="Z3376" s="2">
        <v>9</v>
      </c>
      <c r="AA3376" s="2" t="s">
        <v>1119</v>
      </c>
      <c r="AB3376" s="2">
        <v>2</v>
      </c>
      <c r="AC3376" s="2" t="s">
        <v>102</v>
      </c>
      <c r="AD3376" s="3">
        <v>40406</v>
      </c>
      <c r="AE3376" s="4">
        <v>0.74513888888888891</v>
      </c>
      <c r="AF3376" s="2"/>
      <c r="AG3376" s="2"/>
      <c r="AH3376" s="2">
        <v>5</v>
      </c>
      <c r="AI3376" s="2" t="s">
        <v>274</v>
      </c>
      <c r="AJ3376" s="2">
        <v>38</v>
      </c>
      <c r="AK3376" s="2" t="s">
        <v>1120</v>
      </c>
      <c r="AL3376" s="2">
        <v>14</v>
      </c>
      <c r="AM3376" s="2" t="s">
        <v>216</v>
      </c>
      <c r="AN3376" s="2"/>
      <c r="AO3376" s="2" t="s">
        <v>5741</v>
      </c>
      <c r="AP3376" s="2">
        <v>11</v>
      </c>
      <c r="AQ3376" s="2" t="s">
        <v>82</v>
      </c>
      <c r="AR3376" s="2"/>
      <c r="AS3376" s="2"/>
      <c r="AT3376" s="2" t="s">
        <v>10882</v>
      </c>
      <c r="AU3376" s="2"/>
      <c r="AV3376" s="2"/>
      <c r="AW3376" s="2"/>
      <c r="AX3376" s="2"/>
      <c r="AY3376" s="2">
        <v>41</v>
      </c>
      <c r="AZ3376" s="2" t="s">
        <v>82</v>
      </c>
      <c r="BA3376" s="2">
        <v>41</v>
      </c>
      <c r="BB3376" s="2" t="s">
        <v>82</v>
      </c>
      <c r="BC3376" s="2">
        <v>41</v>
      </c>
      <c r="BD3376" s="2" t="s">
        <v>82</v>
      </c>
      <c r="BE3376" s="2">
        <v>47</v>
      </c>
      <c r="BF3376" s="2" t="s">
        <v>167</v>
      </c>
      <c r="BG3376" s="2">
        <v>2735</v>
      </c>
      <c r="BH3376" s="4">
        <v>0.72222222222222221</v>
      </c>
      <c r="BI3376" s="4">
        <v>0.75</v>
      </c>
      <c r="BJ3376" s="2">
        <v>13</v>
      </c>
      <c r="BK3376" s="2" t="s">
        <v>91</v>
      </c>
      <c r="BL3376" s="2" t="s">
        <v>8930</v>
      </c>
      <c r="BM3376" s="2">
        <v>241</v>
      </c>
      <c r="BN3376" s="2" t="s">
        <v>82</v>
      </c>
      <c r="BO3376" s="2"/>
      <c r="BP3376" s="2">
        <v>13</v>
      </c>
      <c r="BQ3376" s="2" t="s">
        <v>91</v>
      </c>
      <c r="BR3376" s="2" t="s">
        <v>170</v>
      </c>
      <c r="BS3376" s="3">
        <v>40406</v>
      </c>
      <c r="BT3376" s="4">
        <v>0.79591435185185189</v>
      </c>
    </row>
    <row r="3377" spans="1:72" x14ac:dyDescent="0.25">
      <c r="A3377" s="2">
        <v>4969</v>
      </c>
      <c r="B3377" s="2">
        <v>2010</v>
      </c>
      <c r="C3377" s="2" t="s">
        <v>171</v>
      </c>
      <c r="D3377" s="2" t="s">
        <v>122</v>
      </c>
      <c r="E3377" s="2" t="s">
        <v>10883</v>
      </c>
      <c r="F3377" s="2">
        <v>157</v>
      </c>
      <c r="G3377" s="2" t="s">
        <v>3011</v>
      </c>
      <c r="H3377" s="2">
        <v>14</v>
      </c>
      <c r="I3377" s="2" t="s">
        <v>1458</v>
      </c>
      <c r="J3377" s="2">
        <v>167</v>
      </c>
      <c r="K3377" s="2" t="s">
        <v>1032</v>
      </c>
      <c r="L3377" s="2" t="s">
        <v>1033</v>
      </c>
      <c r="M3377" s="3">
        <v>40406</v>
      </c>
      <c r="N3377" s="2" t="s">
        <v>10864</v>
      </c>
      <c r="O3377" s="2"/>
      <c r="P3377" s="2"/>
      <c r="Q3377" s="2" t="str">
        <f>"320-A/10"</f>
        <v>320-A/10</v>
      </c>
      <c r="R3377" s="2" t="s">
        <v>1035</v>
      </c>
      <c r="S3377" s="2"/>
      <c r="T3377" s="2">
        <v>1</v>
      </c>
      <c r="U3377" s="2" t="s">
        <v>79</v>
      </c>
      <c r="V3377" s="2">
        <v>1</v>
      </c>
      <c r="W3377" s="2" t="s">
        <v>80</v>
      </c>
      <c r="X3377" s="2">
        <v>1</v>
      </c>
      <c r="Y3377" s="2" t="s">
        <v>81</v>
      </c>
      <c r="Z3377" s="2">
        <v>10</v>
      </c>
      <c r="AA3377" s="2" t="s">
        <v>236</v>
      </c>
      <c r="AB3377" s="2">
        <v>1</v>
      </c>
      <c r="AC3377" s="2" t="s">
        <v>178</v>
      </c>
      <c r="AD3377" s="3">
        <v>40406</v>
      </c>
      <c r="AE3377" s="4">
        <v>0.79861111111111116</v>
      </c>
      <c r="AF3377" s="2"/>
      <c r="AG3377" s="2"/>
      <c r="AH3377" s="2">
        <v>2</v>
      </c>
      <c r="AI3377" s="2" t="s">
        <v>84</v>
      </c>
      <c r="AJ3377" s="2">
        <v>12</v>
      </c>
      <c r="AK3377" s="2" t="s">
        <v>85</v>
      </c>
      <c r="AL3377" s="2">
        <v>24</v>
      </c>
      <c r="AM3377" s="2" t="s">
        <v>1540</v>
      </c>
      <c r="AN3377" s="2" t="s">
        <v>9504</v>
      </c>
      <c r="AO3377" s="2"/>
      <c r="AP3377" s="2">
        <v>11</v>
      </c>
      <c r="AQ3377" s="2" t="s">
        <v>82</v>
      </c>
      <c r="AR3377" s="2"/>
      <c r="AS3377" s="2"/>
      <c r="AT3377" s="2" t="s">
        <v>10884</v>
      </c>
      <c r="AU3377" s="2">
        <v>1</v>
      </c>
      <c r="AV3377" s="2"/>
      <c r="AW3377" s="2"/>
      <c r="AX3377" s="2"/>
      <c r="AY3377" s="2">
        <v>41</v>
      </c>
      <c r="AZ3377" s="2" t="s">
        <v>82</v>
      </c>
      <c r="BA3377" s="2">
        <v>41</v>
      </c>
      <c r="BB3377" s="2" t="s">
        <v>82</v>
      </c>
      <c r="BC3377" s="2">
        <v>41</v>
      </c>
      <c r="BD3377" s="2" t="s">
        <v>82</v>
      </c>
      <c r="BE3377" s="2">
        <v>13</v>
      </c>
      <c r="BF3377" s="2" t="s">
        <v>108</v>
      </c>
      <c r="BG3377" s="2" t="s">
        <v>10866</v>
      </c>
      <c r="BH3377" s="2"/>
      <c r="BI3377" s="4">
        <v>0.40625</v>
      </c>
      <c r="BJ3377" s="2">
        <v>13</v>
      </c>
      <c r="BK3377" s="2" t="s">
        <v>91</v>
      </c>
      <c r="BL3377" s="2" t="s">
        <v>185</v>
      </c>
      <c r="BM3377" s="2">
        <v>241</v>
      </c>
      <c r="BN3377" s="2" t="s">
        <v>82</v>
      </c>
      <c r="BO3377" s="2"/>
      <c r="BP3377" s="2">
        <v>13</v>
      </c>
      <c r="BQ3377" s="2" t="s">
        <v>91</v>
      </c>
      <c r="BR3377" s="2" t="s">
        <v>332</v>
      </c>
      <c r="BS3377" s="3">
        <v>40406</v>
      </c>
      <c r="BT3377" s="4">
        <v>0.81329861111111112</v>
      </c>
    </row>
    <row r="3378" spans="1:72" x14ac:dyDescent="0.25">
      <c r="A3378" s="2">
        <v>4970</v>
      </c>
      <c r="B3378" s="2">
        <v>2010</v>
      </c>
      <c r="C3378" s="2" t="s">
        <v>4543</v>
      </c>
      <c r="D3378" s="2" t="s">
        <v>122</v>
      </c>
      <c r="E3378" s="2"/>
      <c r="F3378" s="2">
        <v>393</v>
      </c>
      <c r="G3378" s="2" t="s">
        <v>3660</v>
      </c>
      <c r="H3378" s="2">
        <v>3</v>
      </c>
      <c r="I3378" s="2" t="s">
        <v>315</v>
      </c>
      <c r="J3378" s="2">
        <v>2</v>
      </c>
      <c r="K3378" s="2" t="s">
        <v>3661</v>
      </c>
      <c r="L3378" s="2" t="s">
        <v>3662</v>
      </c>
      <c r="M3378" s="3">
        <v>40406</v>
      </c>
      <c r="N3378" s="2" t="s">
        <v>10885</v>
      </c>
      <c r="O3378" s="2"/>
      <c r="P3378" s="2"/>
      <c r="Q3378" s="2" t="str">
        <f>""</f>
        <v/>
      </c>
      <c r="R3378" s="2"/>
      <c r="S3378" s="2"/>
      <c r="T3378" s="2">
        <v>2</v>
      </c>
      <c r="U3378" s="2" t="s">
        <v>123</v>
      </c>
      <c r="V3378" s="2">
        <v>1</v>
      </c>
      <c r="W3378" s="2" t="s">
        <v>80</v>
      </c>
      <c r="X3378" s="2">
        <v>1</v>
      </c>
      <c r="Y3378" s="2" t="s">
        <v>81</v>
      </c>
      <c r="Z3378" s="2">
        <v>1</v>
      </c>
      <c r="AA3378" s="2" t="s">
        <v>82</v>
      </c>
      <c r="AB3378" s="2">
        <v>9</v>
      </c>
      <c r="AC3378" s="2" t="s">
        <v>124</v>
      </c>
      <c r="AD3378" s="3">
        <v>40406</v>
      </c>
      <c r="AE3378" s="4">
        <v>0.45833333333333331</v>
      </c>
      <c r="AF3378" s="2"/>
      <c r="AG3378" s="2"/>
      <c r="AH3378" s="2">
        <v>2</v>
      </c>
      <c r="AI3378" s="2" t="s">
        <v>84</v>
      </c>
      <c r="AJ3378" s="2">
        <v>9</v>
      </c>
      <c r="AK3378" s="2" t="s">
        <v>103</v>
      </c>
      <c r="AL3378" s="2">
        <v>11</v>
      </c>
      <c r="AM3378" s="2" t="s">
        <v>137</v>
      </c>
      <c r="AN3378" s="2"/>
      <c r="AO3378" s="5">
        <v>42370</v>
      </c>
      <c r="AP3378" s="2">
        <v>11</v>
      </c>
      <c r="AQ3378" s="2" t="s">
        <v>82</v>
      </c>
      <c r="AR3378" s="2"/>
      <c r="AS3378" s="2"/>
      <c r="AT3378" s="2" t="s">
        <v>10886</v>
      </c>
      <c r="AU3378" s="2"/>
      <c r="AV3378" s="2"/>
      <c r="AW3378" s="2"/>
      <c r="AX3378" s="2"/>
      <c r="AY3378" s="2">
        <v>1</v>
      </c>
      <c r="AZ3378" s="2" t="s">
        <v>107</v>
      </c>
      <c r="BA3378" s="2">
        <v>1</v>
      </c>
      <c r="BB3378" s="2" t="s">
        <v>107</v>
      </c>
      <c r="BC3378" s="2">
        <v>1</v>
      </c>
      <c r="BD3378" s="2" t="s">
        <v>107</v>
      </c>
      <c r="BE3378" s="2">
        <v>31</v>
      </c>
      <c r="BF3378" s="2" t="s">
        <v>398</v>
      </c>
      <c r="BG3378" s="2">
        <v>6842</v>
      </c>
      <c r="BH3378" s="2"/>
      <c r="BI3378" s="4">
        <v>0.53125</v>
      </c>
      <c r="BJ3378" s="2">
        <v>13</v>
      </c>
      <c r="BK3378" s="2" t="s">
        <v>91</v>
      </c>
      <c r="BL3378" s="2" t="s">
        <v>185</v>
      </c>
      <c r="BM3378" s="2">
        <v>242</v>
      </c>
      <c r="BN3378" s="2" t="s">
        <v>107</v>
      </c>
      <c r="BO3378" s="2"/>
      <c r="BP3378" s="2">
        <v>73</v>
      </c>
      <c r="BQ3378" s="2" t="s">
        <v>186</v>
      </c>
      <c r="BR3378" s="2" t="s">
        <v>187</v>
      </c>
      <c r="BS3378" s="3">
        <v>40406</v>
      </c>
      <c r="BT3378" s="4">
        <v>0.82664351851851858</v>
      </c>
    </row>
    <row r="3379" spans="1:72" x14ac:dyDescent="0.25">
      <c r="A3379" s="2">
        <v>4971</v>
      </c>
      <c r="B3379" s="2">
        <v>2010</v>
      </c>
      <c r="C3379" s="2" t="s">
        <v>72</v>
      </c>
      <c r="D3379" s="2" t="s">
        <v>73</v>
      </c>
      <c r="E3379" s="2"/>
      <c r="F3379" s="2">
        <v>662</v>
      </c>
      <c r="G3379" s="2" t="s">
        <v>10249</v>
      </c>
      <c r="H3379" s="2">
        <v>22</v>
      </c>
      <c r="I3379" s="2" t="s">
        <v>75</v>
      </c>
      <c r="J3379" s="2">
        <v>633</v>
      </c>
      <c r="K3379" s="2" t="s">
        <v>10250</v>
      </c>
      <c r="L3379" s="2" t="s">
        <v>10251</v>
      </c>
      <c r="M3379" s="3">
        <v>40406</v>
      </c>
      <c r="N3379" s="2" t="s">
        <v>10887</v>
      </c>
      <c r="O3379" s="2"/>
      <c r="P3379" s="2"/>
      <c r="Q3379" s="2" t="str">
        <f>"321-A/10"</f>
        <v>321-A/10</v>
      </c>
      <c r="R3379" s="2" t="s">
        <v>10888</v>
      </c>
      <c r="S3379" s="2" t="s">
        <v>10888</v>
      </c>
      <c r="T3379" s="2">
        <v>1</v>
      </c>
      <c r="U3379" s="2" t="s">
        <v>79</v>
      </c>
      <c r="V3379" s="2">
        <v>1</v>
      </c>
      <c r="W3379" s="2" t="s">
        <v>80</v>
      </c>
      <c r="X3379" s="2">
        <v>12</v>
      </c>
      <c r="Y3379" s="2" t="s">
        <v>148</v>
      </c>
      <c r="Z3379" s="2">
        <v>1</v>
      </c>
      <c r="AA3379" s="2" t="s">
        <v>82</v>
      </c>
      <c r="AB3379" s="2">
        <v>6</v>
      </c>
      <c r="AC3379" s="2" t="s">
        <v>83</v>
      </c>
      <c r="AD3379" s="3">
        <v>40406</v>
      </c>
      <c r="AE3379" s="4">
        <v>0.75</v>
      </c>
      <c r="AF3379" s="3">
        <v>40406</v>
      </c>
      <c r="AG3379" s="4">
        <v>0.79166666666666663</v>
      </c>
      <c r="AH3379" s="2">
        <v>2</v>
      </c>
      <c r="AI3379" s="2" t="s">
        <v>84</v>
      </c>
      <c r="AJ3379" s="2">
        <v>12</v>
      </c>
      <c r="AK3379" s="2" t="s">
        <v>85</v>
      </c>
      <c r="AL3379" s="2">
        <v>2</v>
      </c>
      <c r="AM3379" s="2" t="s">
        <v>163</v>
      </c>
      <c r="AN3379" s="2" t="s">
        <v>10889</v>
      </c>
      <c r="AO3379" s="2"/>
      <c r="AP3379" s="2">
        <v>11</v>
      </c>
      <c r="AQ3379" s="2" t="s">
        <v>82</v>
      </c>
      <c r="AR3379" s="2"/>
      <c r="AS3379" s="2"/>
      <c r="AT3379" s="2" t="s">
        <v>10890</v>
      </c>
      <c r="AU3379" s="2"/>
      <c r="AV3379" s="2"/>
      <c r="AW3379" s="2"/>
      <c r="AX3379" s="2"/>
      <c r="AY3379" s="2">
        <v>41</v>
      </c>
      <c r="AZ3379" s="2" t="s">
        <v>82</v>
      </c>
      <c r="BA3379" s="2">
        <v>41</v>
      </c>
      <c r="BB3379" s="2" t="s">
        <v>82</v>
      </c>
      <c r="BC3379" s="2">
        <v>41</v>
      </c>
      <c r="BD3379" s="2" t="s">
        <v>82</v>
      </c>
      <c r="BE3379" s="2">
        <v>47</v>
      </c>
      <c r="BF3379" s="2" t="s">
        <v>167</v>
      </c>
      <c r="BG3379" s="2" t="s">
        <v>10891</v>
      </c>
      <c r="BH3379" s="4">
        <v>0.66666666666666663</v>
      </c>
      <c r="BI3379" s="4">
        <v>0.75</v>
      </c>
      <c r="BJ3379" s="2">
        <v>13</v>
      </c>
      <c r="BK3379" s="2" t="s">
        <v>91</v>
      </c>
      <c r="BL3379" s="2" t="s">
        <v>169</v>
      </c>
      <c r="BM3379" s="2">
        <v>241</v>
      </c>
      <c r="BN3379" s="2" t="s">
        <v>82</v>
      </c>
      <c r="BO3379" s="2"/>
      <c r="BP3379" s="2">
        <v>13</v>
      </c>
      <c r="BQ3379" s="2" t="s">
        <v>91</v>
      </c>
      <c r="BR3379" s="2" t="s">
        <v>564</v>
      </c>
      <c r="BS3379" s="3">
        <v>40406</v>
      </c>
      <c r="BT3379" s="4">
        <v>0.83000000000000007</v>
      </c>
    </row>
    <row r="3380" spans="1:72" x14ac:dyDescent="0.25">
      <c r="A3380" s="2">
        <v>4972</v>
      </c>
      <c r="B3380" s="2">
        <v>2010</v>
      </c>
      <c r="C3380" s="2" t="s">
        <v>72</v>
      </c>
      <c r="D3380" s="2" t="s">
        <v>73</v>
      </c>
      <c r="E3380" s="2"/>
      <c r="F3380" s="2">
        <v>667</v>
      </c>
      <c r="G3380" s="2" t="s">
        <v>10892</v>
      </c>
      <c r="H3380" s="2">
        <v>22</v>
      </c>
      <c r="I3380" s="2" t="s">
        <v>75</v>
      </c>
      <c r="J3380" s="2">
        <v>642</v>
      </c>
      <c r="K3380" s="2" t="s">
        <v>10893</v>
      </c>
      <c r="L3380" s="2" t="s">
        <v>6311</v>
      </c>
      <c r="M3380" s="3">
        <v>40406</v>
      </c>
      <c r="N3380" s="2" t="s">
        <v>10894</v>
      </c>
      <c r="O3380" s="2" t="s">
        <v>82</v>
      </c>
      <c r="P3380" s="2" t="s">
        <v>82</v>
      </c>
      <c r="Q3380" s="2" t="str">
        <f>"322-A/10"</f>
        <v>322-A/10</v>
      </c>
      <c r="R3380" s="2" t="s">
        <v>156</v>
      </c>
      <c r="S3380" s="2" t="s">
        <v>156</v>
      </c>
      <c r="T3380" s="2">
        <v>1</v>
      </c>
      <c r="U3380" s="2" t="s">
        <v>79</v>
      </c>
      <c r="V3380" s="2">
        <v>1</v>
      </c>
      <c r="W3380" s="2" t="s">
        <v>80</v>
      </c>
      <c r="X3380" s="2">
        <v>12</v>
      </c>
      <c r="Y3380" s="2" t="s">
        <v>148</v>
      </c>
      <c r="Z3380" s="2">
        <v>1</v>
      </c>
      <c r="AA3380" s="2" t="s">
        <v>82</v>
      </c>
      <c r="AB3380" s="2">
        <v>6</v>
      </c>
      <c r="AC3380" s="2" t="s">
        <v>83</v>
      </c>
      <c r="AD3380" s="3">
        <v>40406</v>
      </c>
      <c r="AE3380" s="2"/>
      <c r="AF3380" s="3">
        <v>40406</v>
      </c>
      <c r="AG3380" s="4">
        <v>0.89583333333333337</v>
      </c>
      <c r="AH3380" s="2">
        <v>2</v>
      </c>
      <c r="AI3380" s="2" t="s">
        <v>84</v>
      </c>
      <c r="AJ3380" s="2">
        <v>12</v>
      </c>
      <c r="AK3380" s="2" t="s">
        <v>85</v>
      </c>
      <c r="AL3380" s="2">
        <v>22</v>
      </c>
      <c r="AM3380" s="2" t="s">
        <v>1853</v>
      </c>
      <c r="AN3380" s="2" t="s">
        <v>10895</v>
      </c>
      <c r="AO3380" s="2" t="s">
        <v>10896</v>
      </c>
      <c r="AP3380" s="2">
        <v>11</v>
      </c>
      <c r="AQ3380" s="2" t="s">
        <v>82</v>
      </c>
      <c r="AR3380" s="2" t="s">
        <v>82</v>
      </c>
      <c r="AS3380" s="2" t="s">
        <v>82</v>
      </c>
      <c r="AT3380" s="2" t="s">
        <v>10897</v>
      </c>
      <c r="AU3380" s="2"/>
      <c r="AV3380" s="2"/>
      <c r="AW3380" s="2"/>
      <c r="AX3380" s="2"/>
      <c r="AY3380" s="2">
        <v>41</v>
      </c>
      <c r="AZ3380" s="2" t="s">
        <v>82</v>
      </c>
      <c r="BA3380" s="2">
        <v>41</v>
      </c>
      <c r="BB3380" s="2" t="s">
        <v>82</v>
      </c>
      <c r="BC3380" s="2">
        <v>41</v>
      </c>
      <c r="BD3380" s="2" t="s">
        <v>82</v>
      </c>
      <c r="BE3380" s="2">
        <v>46</v>
      </c>
      <c r="BF3380" s="2" t="s">
        <v>142</v>
      </c>
      <c r="BG3380" s="2" t="s">
        <v>107</v>
      </c>
      <c r="BH3380" s="4">
        <v>0.83333333333333337</v>
      </c>
      <c r="BI3380" s="4">
        <v>0.75</v>
      </c>
      <c r="BJ3380" s="2">
        <v>13</v>
      </c>
      <c r="BK3380" s="2" t="s">
        <v>91</v>
      </c>
      <c r="BL3380" s="2" t="s">
        <v>1199</v>
      </c>
      <c r="BM3380" s="2">
        <v>241</v>
      </c>
      <c r="BN3380" s="2" t="s">
        <v>82</v>
      </c>
      <c r="BO3380" s="2" t="s">
        <v>82</v>
      </c>
      <c r="BP3380" s="2">
        <v>13</v>
      </c>
      <c r="BQ3380" s="2" t="s">
        <v>91</v>
      </c>
      <c r="BR3380" s="2" t="s">
        <v>185</v>
      </c>
      <c r="BS3380" s="3">
        <v>40406</v>
      </c>
      <c r="BT3380" s="4">
        <v>0.98410879629629633</v>
      </c>
    </row>
    <row r="3381" spans="1:72" x14ac:dyDescent="0.25">
      <c r="A3381" s="2">
        <v>4974</v>
      </c>
      <c r="B3381" s="2">
        <v>2010</v>
      </c>
      <c r="C3381" s="2" t="s">
        <v>171</v>
      </c>
      <c r="D3381" s="2" t="s">
        <v>73</v>
      </c>
      <c r="E3381" s="2"/>
      <c r="F3381" s="2">
        <v>74</v>
      </c>
      <c r="G3381" s="2" t="s">
        <v>2220</v>
      </c>
      <c r="H3381" s="2">
        <v>22</v>
      </c>
      <c r="I3381" s="2" t="s">
        <v>75</v>
      </c>
      <c r="J3381" s="2">
        <v>420</v>
      </c>
      <c r="K3381" s="2" t="s">
        <v>2328</v>
      </c>
      <c r="L3381" s="2" t="s">
        <v>2329</v>
      </c>
      <c r="M3381" s="3">
        <v>40407</v>
      </c>
      <c r="N3381" s="2" t="s">
        <v>4400</v>
      </c>
      <c r="O3381" s="2"/>
      <c r="P3381" s="2"/>
      <c r="Q3381" s="2" t="str">
        <f>"0010"</f>
        <v>0010</v>
      </c>
      <c r="R3381" s="2" t="s">
        <v>2330</v>
      </c>
      <c r="S3381" s="2" t="s">
        <v>2330</v>
      </c>
      <c r="T3381" s="2">
        <v>1</v>
      </c>
      <c r="U3381" s="2" t="s">
        <v>79</v>
      </c>
      <c r="V3381" s="2">
        <v>1</v>
      </c>
      <c r="W3381" s="2" t="s">
        <v>80</v>
      </c>
      <c r="X3381" s="2">
        <v>1</v>
      </c>
      <c r="Y3381" s="2" t="s">
        <v>81</v>
      </c>
      <c r="Z3381" s="2">
        <v>1</v>
      </c>
      <c r="AA3381" s="2" t="s">
        <v>82</v>
      </c>
      <c r="AB3381" s="2">
        <v>1</v>
      </c>
      <c r="AC3381" s="2" t="s">
        <v>178</v>
      </c>
      <c r="AD3381" s="3">
        <v>40407</v>
      </c>
      <c r="AE3381" s="4">
        <v>0.24305555555555555</v>
      </c>
      <c r="AF3381" s="2"/>
      <c r="AG3381" s="2"/>
      <c r="AH3381" s="2">
        <v>6</v>
      </c>
      <c r="AI3381" s="2" t="s">
        <v>197</v>
      </c>
      <c r="AJ3381" s="2">
        <v>51</v>
      </c>
      <c r="AK3381" s="2" t="s">
        <v>238</v>
      </c>
      <c r="AL3381" s="2">
        <v>11</v>
      </c>
      <c r="AM3381" s="2" t="s">
        <v>137</v>
      </c>
      <c r="AN3381" s="2" t="s">
        <v>2331</v>
      </c>
      <c r="AO3381" s="2"/>
      <c r="AP3381" s="2">
        <v>11</v>
      </c>
      <c r="AQ3381" s="2" t="s">
        <v>82</v>
      </c>
      <c r="AR3381" s="2" t="s">
        <v>82</v>
      </c>
      <c r="AS3381" s="2" t="s">
        <v>82</v>
      </c>
      <c r="AT3381" s="2" t="s">
        <v>10898</v>
      </c>
      <c r="AU3381" s="2">
        <v>1</v>
      </c>
      <c r="AV3381" s="2"/>
      <c r="AW3381" s="2"/>
      <c r="AX3381" s="2"/>
      <c r="AY3381" s="2">
        <v>41</v>
      </c>
      <c r="AZ3381" s="2" t="s">
        <v>82</v>
      </c>
      <c r="BA3381" s="2">
        <v>41</v>
      </c>
      <c r="BB3381" s="2" t="s">
        <v>82</v>
      </c>
      <c r="BC3381" s="2">
        <v>41</v>
      </c>
      <c r="BD3381" s="2" t="s">
        <v>82</v>
      </c>
      <c r="BE3381" s="2">
        <v>47</v>
      </c>
      <c r="BF3381" s="2" t="s">
        <v>167</v>
      </c>
      <c r="BG3381" s="2">
        <v>2651</v>
      </c>
      <c r="BH3381" s="4">
        <v>0.98958333333333337</v>
      </c>
      <c r="BI3381" s="4">
        <v>0.27083333333333331</v>
      </c>
      <c r="BJ3381" s="2">
        <v>13</v>
      </c>
      <c r="BK3381" s="2" t="s">
        <v>91</v>
      </c>
      <c r="BL3381" s="2" t="s">
        <v>9604</v>
      </c>
      <c r="BM3381" s="2">
        <v>13</v>
      </c>
      <c r="BN3381" s="2" t="s">
        <v>91</v>
      </c>
      <c r="BO3381" s="2" t="s">
        <v>82</v>
      </c>
      <c r="BP3381" s="2">
        <v>13</v>
      </c>
      <c r="BQ3381" s="2" t="s">
        <v>91</v>
      </c>
      <c r="BR3381" s="2" t="s">
        <v>170</v>
      </c>
      <c r="BS3381" s="3">
        <v>40407</v>
      </c>
      <c r="BT3381" s="4">
        <v>0.4093518518518518</v>
      </c>
    </row>
    <row r="3382" spans="1:72" x14ac:dyDescent="0.25">
      <c r="A3382" s="2">
        <v>4977</v>
      </c>
      <c r="B3382" s="2">
        <v>2010</v>
      </c>
      <c r="C3382" s="2" t="s">
        <v>4543</v>
      </c>
      <c r="D3382" s="2" t="s">
        <v>122</v>
      </c>
      <c r="E3382" s="2"/>
      <c r="F3382" s="2">
        <v>146</v>
      </c>
      <c r="G3382" s="2" t="s">
        <v>753</v>
      </c>
      <c r="H3382" s="2">
        <v>39</v>
      </c>
      <c r="I3382" s="2" t="s">
        <v>1117</v>
      </c>
      <c r="J3382" s="2">
        <v>161</v>
      </c>
      <c r="K3382" s="2" t="s">
        <v>1900</v>
      </c>
      <c r="L3382" s="2" t="s">
        <v>1901</v>
      </c>
      <c r="M3382" s="3">
        <v>40407</v>
      </c>
      <c r="N3382" s="2" t="s">
        <v>2689</v>
      </c>
      <c r="O3382" s="2" t="s">
        <v>10899</v>
      </c>
      <c r="P3382" s="2">
        <v>2549</v>
      </c>
      <c r="Q3382" s="2" t="str">
        <f>"S/D"</f>
        <v>S/D</v>
      </c>
      <c r="R3382" s="2" t="s">
        <v>107</v>
      </c>
      <c r="S3382" s="2" t="s">
        <v>107</v>
      </c>
      <c r="T3382" s="2">
        <v>2</v>
      </c>
      <c r="U3382" s="2" t="s">
        <v>123</v>
      </c>
      <c r="V3382" s="2">
        <v>1</v>
      </c>
      <c r="W3382" s="2" t="s">
        <v>80</v>
      </c>
      <c r="X3382" s="2">
        <v>5</v>
      </c>
      <c r="Y3382" s="2" t="s">
        <v>82</v>
      </c>
      <c r="Z3382" s="2">
        <v>1</v>
      </c>
      <c r="AA3382" s="2" t="s">
        <v>82</v>
      </c>
      <c r="AB3382" s="2">
        <v>9</v>
      </c>
      <c r="AC3382" s="2" t="s">
        <v>124</v>
      </c>
      <c r="AD3382" s="3">
        <v>40407</v>
      </c>
      <c r="AE3382" s="4">
        <v>0.42708333333333331</v>
      </c>
      <c r="AF3382" s="2"/>
      <c r="AG3382" s="2"/>
      <c r="AH3382" s="2">
        <v>6</v>
      </c>
      <c r="AI3382" s="2" t="s">
        <v>197</v>
      </c>
      <c r="AJ3382" s="2">
        <v>54</v>
      </c>
      <c r="AK3382" s="2" t="s">
        <v>348</v>
      </c>
      <c r="AL3382" s="2">
        <v>18</v>
      </c>
      <c r="AM3382" s="2" t="s">
        <v>82</v>
      </c>
      <c r="AN3382" s="2" t="s">
        <v>9102</v>
      </c>
      <c r="AO3382" s="2" t="s">
        <v>2691</v>
      </c>
      <c r="AP3382" s="2">
        <v>11</v>
      </c>
      <c r="AQ3382" s="2" t="s">
        <v>82</v>
      </c>
      <c r="AR3382" s="2" t="s">
        <v>107</v>
      </c>
      <c r="AS3382" s="2" t="s">
        <v>107</v>
      </c>
      <c r="AT3382" s="2" t="s">
        <v>10900</v>
      </c>
      <c r="AU3382" s="2"/>
      <c r="AV3382" s="2"/>
      <c r="AW3382" s="2"/>
      <c r="AX3382" s="2"/>
      <c r="AY3382" s="2">
        <v>1</v>
      </c>
      <c r="AZ3382" s="2" t="s">
        <v>107</v>
      </c>
      <c r="BA3382" s="2">
        <v>1</v>
      </c>
      <c r="BB3382" s="2" t="s">
        <v>107</v>
      </c>
      <c r="BC3382" s="2">
        <v>1</v>
      </c>
      <c r="BD3382" s="2" t="s">
        <v>107</v>
      </c>
      <c r="BE3382" s="2">
        <v>1</v>
      </c>
      <c r="BF3382" s="2" t="s">
        <v>107</v>
      </c>
      <c r="BG3382" s="2" t="s">
        <v>107</v>
      </c>
      <c r="BH3382" s="2"/>
      <c r="BI3382" s="2"/>
      <c r="BJ3382" s="2">
        <v>242</v>
      </c>
      <c r="BK3382" s="2" t="s">
        <v>107</v>
      </c>
      <c r="BL3382" s="2" t="s">
        <v>107</v>
      </c>
      <c r="BM3382" s="2">
        <v>242</v>
      </c>
      <c r="BN3382" s="2" t="s">
        <v>107</v>
      </c>
      <c r="BO3382" s="2" t="s">
        <v>107</v>
      </c>
      <c r="BP3382" s="2">
        <v>242</v>
      </c>
      <c r="BQ3382" s="2" t="s">
        <v>107</v>
      </c>
      <c r="BR3382" s="2" t="s">
        <v>107</v>
      </c>
      <c r="BS3382" s="3">
        <v>40407</v>
      </c>
      <c r="BT3382" s="4">
        <v>0.48630787037037032</v>
      </c>
    </row>
    <row r="3383" spans="1:72" x14ac:dyDescent="0.25">
      <c r="A3383" s="2">
        <v>4980</v>
      </c>
      <c r="B3383" s="2">
        <v>2010</v>
      </c>
      <c r="C3383" s="2" t="s">
        <v>72</v>
      </c>
      <c r="D3383" s="2" t="s">
        <v>73</v>
      </c>
      <c r="E3383" s="2"/>
      <c r="F3383" s="2">
        <v>389</v>
      </c>
      <c r="G3383" s="2" t="s">
        <v>1819</v>
      </c>
      <c r="H3383" s="2">
        <v>4</v>
      </c>
      <c r="I3383" s="2" t="s">
        <v>173</v>
      </c>
      <c r="J3383" s="2">
        <v>399</v>
      </c>
      <c r="K3383" s="2" t="s">
        <v>1820</v>
      </c>
      <c r="L3383" s="2" t="s">
        <v>1821</v>
      </c>
      <c r="M3383" s="3">
        <v>40407</v>
      </c>
      <c r="N3383" s="2" t="s">
        <v>2549</v>
      </c>
      <c r="O3383" s="2" t="s">
        <v>107</v>
      </c>
      <c r="P3383" s="2" t="s">
        <v>107</v>
      </c>
      <c r="Q3383" s="2" t="str">
        <f>"420-E/10"</f>
        <v>420-E/10</v>
      </c>
      <c r="R3383" s="2" t="s">
        <v>116</v>
      </c>
      <c r="S3383" s="2" t="s">
        <v>116</v>
      </c>
      <c r="T3383" s="2">
        <v>1</v>
      </c>
      <c r="U3383" s="2" t="s">
        <v>79</v>
      </c>
      <c r="V3383" s="2">
        <v>1</v>
      </c>
      <c r="W3383" s="2" t="s">
        <v>80</v>
      </c>
      <c r="X3383" s="2">
        <v>12</v>
      </c>
      <c r="Y3383" s="2" t="s">
        <v>148</v>
      </c>
      <c r="Z3383" s="2">
        <v>1</v>
      </c>
      <c r="AA3383" s="2" t="s">
        <v>82</v>
      </c>
      <c r="AB3383" s="2">
        <v>6</v>
      </c>
      <c r="AC3383" s="2" t="s">
        <v>83</v>
      </c>
      <c r="AD3383" s="3">
        <v>40407</v>
      </c>
      <c r="AE3383" s="2"/>
      <c r="AF3383" s="3">
        <v>40407</v>
      </c>
      <c r="AG3383" s="4">
        <v>0.52777777777777779</v>
      </c>
      <c r="AH3383" s="2">
        <v>2</v>
      </c>
      <c r="AI3383" s="2" t="s">
        <v>84</v>
      </c>
      <c r="AJ3383" s="2">
        <v>9</v>
      </c>
      <c r="AK3383" s="2" t="s">
        <v>103</v>
      </c>
      <c r="AL3383" s="2">
        <v>1</v>
      </c>
      <c r="AM3383" s="2" t="s">
        <v>2148</v>
      </c>
      <c r="AN3383" s="2" t="s">
        <v>10901</v>
      </c>
      <c r="AO3383" s="2" t="s">
        <v>10902</v>
      </c>
      <c r="AP3383" s="2">
        <v>11</v>
      </c>
      <c r="AQ3383" s="2" t="s">
        <v>82</v>
      </c>
      <c r="AR3383" s="2"/>
      <c r="AS3383" s="2"/>
      <c r="AT3383" s="2" t="s">
        <v>10903</v>
      </c>
      <c r="AU3383" s="2"/>
      <c r="AV3383" s="2"/>
      <c r="AW3383" s="2"/>
      <c r="AX3383" s="2"/>
      <c r="AY3383" s="2">
        <v>41</v>
      </c>
      <c r="AZ3383" s="2" t="s">
        <v>82</v>
      </c>
      <c r="BA3383" s="2">
        <v>41</v>
      </c>
      <c r="BB3383" s="2" t="s">
        <v>82</v>
      </c>
      <c r="BC3383" s="2">
        <v>41</v>
      </c>
      <c r="BD3383" s="2" t="s">
        <v>82</v>
      </c>
      <c r="BE3383" s="2">
        <v>41</v>
      </c>
      <c r="BF3383" s="2" t="s">
        <v>82</v>
      </c>
      <c r="BG3383" s="2"/>
      <c r="BH3383" s="2"/>
      <c r="BI3383" s="2"/>
      <c r="BJ3383" s="2">
        <v>241</v>
      </c>
      <c r="BK3383" s="2" t="s">
        <v>82</v>
      </c>
      <c r="BL3383" s="2"/>
      <c r="BM3383" s="2">
        <v>241</v>
      </c>
      <c r="BN3383" s="2" t="s">
        <v>82</v>
      </c>
      <c r="BO3383" s="2"/>
      <c r="BP3383" s="2">
        <v>241</v>
      </c>
      <c r="BQ3383" s="2" t="s">
        <v>82</v>
      </c>
      <c r="BR3383" s="2"/>
      <c r="BS3383" s="3">
        <v>40407</v>
      </c>
      <c r="BT3383" s="4">
        <v>0.62091435185185184</v>
      </c>
    </row>
    <row r="3384" spans="1:72" x14ac:dyDescent="0.25">
      <c r="A3384" s="2">
        <v>4982</v>
      </c>
      <c r="B3384" s="2">
        <v>2010</v>
      </c>
      <c r="C3384" s="2" t="s">
        <v>457</v>
      </c>
      <c r="D3384" s="2" t="s">
        <v>73</v>
      </c>
      <c r="E3384" s="2"/>
      <c r="F3384" s="2">
        <v>591</v>
      </c>
      <c r="G3384" s="2" t="s">
        <v>5658</v>
      </c>
      <c r="H3384" s="2">
        <v>7</v>
      </c>
      <c r="I3384" s="2" t="s">
        <v>476</v>
      </c>
      <c r="J3384" s="2">
        <v>33</v>
      </c>
      <c r="K3384" s="2" t="s">
        <v>2178</v>
      </c>
      <c r="L3384" s="2" t="s">
        <v>1877</v>
      </c>
      <c r="M3384" s="3">
        <v>40407</v>
      </c>
      <c r="N3384" s="2" t="s">
        <v>10904</v>
      </c>
      <c r="O3384" s="2" t="s">
        <v>10905</v>
      </c>
      <c r="P3384" s="2">
        <v>13915</v>
      </c>
      <c r="Q3384" s="2" t="str">
        <f>"N/C"</f>
        <v>N/C</v>
      </c>
      <c r="R3384" s="2" t="s">
        <v>82</v>
      </c>
      <c r="S3384" s="2" t="s">
        <v>82</v>
      </c>
      <c r="T3384" s="2">
        <v>1</v>
      </c>
      <c r="U3384" s="2" t="s">
        <v>79</v>
      </c>
      <c r="V3384" s="2">
        <v>1</v>
      </c>
      <c r="W3384" s="2" t="s">
        <v>80</v>
      </c>
      <c r="X3384" s="2">
        <v>4</v>
      </c>
      <c r="Y3384" s="2" t="s">
        <v>463</v>
      </c>
      <c r="Z3384" s="2">
        <v>9</v>
      </c>
      <c r="AA3384" s="2" t="s">
        <v>1119</v>
      </c>
      <c r="AB3384" s="2">
        <v>9</v>
      </c>
      <c r="AC3384" s="2" t="s">
        <v>124</v>
      </c>
      <c r="AD3384" s="3">
        <v>40407</v>
      </c>
      <c r="AE3384" s="4">
        <v>0.5625</v>
      </c>
      <c r="AF3384" s="2"/>
      <c r="AG3384" s="2"/>
      <c r="AH3384" s="2">
        <v>2</v>
      </c>
      <c r="AI3384" s="2" t="s">
        <v>84</v>
      </c>
      <c r="AJ3384" s="2">
        <v>12</v>
      </c>
      <c r="AK3384" s="2" t="s">
        <v>85</v>
      </c>
      <c r="AL3384" s="2">
        <v>10</v>
      </c>
      <c r="AM3384" s="2" t="s">
        <v>200</v>
      </c>
      <c r="AN3384" s="2" t="s">
        <v>10906</v>
      </c>
      <c r="AO3384" s="2" t="s">
        <v>10907</v>
      </c>
      <c r="AP3384" s="2">
        <v>11</v>
      </c>
      <c r="AQ3384" s="2" t="s">
        <v>82</v>
      </c>
      <c r="AR3384" s="2"/>
      <c r="AS3384" s="2"/>
      <c r="AT3384" s="2" t="s">
        <v>10908</v>
      </c>
      <c r="AU3384" s="2"/>
      <c r="AV3384" s="2">
        <v>1</v>
      </c>
      <c r="AW3384" s="2"/>
      <c r="AX3384" s="2"/>
      <c r="AY3384" s="2">
        <v>41</v>
      </c>
      <c r="AZ3384" s="2" t="s">
        <v>82</v>
      </c>
      <c r="BA3384" s="2">
        <v>41</v>
      </c>
      <c r="BB3384" s="2" t="s">
        <v>82</v>
      </c>
      <c r="BC3384" s="2">
        <v>41</v>
      </c>
      <c r="BD3384" s="2" t="s">
        <v>82</v>
      </c>
      <c r="BE3384" s="2">
        <v>47</v>
      </c>
      <c r="BF3384" s="2" t="s">
        <v>167</v>
      </c>
      <c r="BG3384" s="2" t="s">
        <v>10909</v>
      </c>
      <c r="BH3384" s="4">
        <v>0.5625</v>
      </c>
      <c r="BI3384" s="4">
        <v>0.52083333333333337</v>
      </c>
      <c r="BJ3384" s="2">
        <v>13</v>
      </c>
      <c r="BK3384" s="2" t="s">
        <v>91</v>
      </c>
      <c r="BL3384" s="2" t="s">
        <v>647</v>
      </c>
      <c r="BM3384" s="2">
        <v>241</v>
      </c>
      <c r="BN3384" s="2" t="s">
        <v>82</v>
      </c>
      <c r="BO3384" s="2"/>
      <c r="BP3384" s="2">
        <v>13</v>
      </c>
      <c r="BQ3384" s="2" t="s">
        <v>91</v>
      </c>
      <c r="BR3384" s="2" t="s">
        <v>564</v>
      </c>
      <c r="BS3384" s="3">
        <v>40407</v>
      </c>
      <c r="BT3384" s="4">
        <v>0.63559027777777777</v>
      </c>
    </row>
    <row r="3385" spans="1:72" x14ac:dyDescent="0.25">
      <c r="A3385" s="2">
        <v>4983</v>
      </c>
      <c r="B3385" s="2">
        <v>2010</v>
      </c>
      <c r="C3385" s="2" t="s">
        <v>171</v>
      </c>
      <c r="D3385" s="2" t="s">
        <v>122</v>
      </c>
      <c r="E3385" s="2"/>
      <c r="F3385" s="2">
        <v>74</v>
      </c>
      <c r="G3385" s="2" t="s">
        <v>2220</v>
      </c>
      <c r="H3385" s="2">
        <v>44</v>
      </c>
      <c r="I3385" s="2" t="s">
        <v>1272</v>
      </c>
      <c r="J3385" s="2">
        <v>420</v>
      </c>
      <c r="K3385" s="2" t="s">
        <v>2328</v>
      </c>
      <c r="L3385" s="2" t="s">
        <v>2329</v>
      </c>
      <c r="M3385" s="3">
        <v>40407</v>
      </c>
      <c r="N3385" s="2" t="s">
        <v>10910</v>
      </c>
      <c r="O3385" s="2" t="s">
        <v>2330</v>
      </c>
      <c r="P3385" s="2"/>
      <c r="Q3385" s="2" t="str">
        <f>"0010"</f>
        <v>0010</v>
      </c>
      <c r="R3385" s="2" t="s">
        <v>2330</v>
      </c>
      <c r="S3385" s="2" t="s">
        <v>10911</v>
      </c>
      <c r="T3385" s="2">
        <v>1</v>
      </c>
      <c r="U3385" s="2" t="s">
        <v>79</v>
      </c>
      <c r="V3385" s="2">
        <v>1</v>
      </c>
      <c r="W3385" s="2" t="s">
        <v>80</v>
      </c>
      <c r="X3385" s="2">
        <v>1</v>
      </c>
      <c r="Y3385" s="2" t="s">
        <v>81</v>
      </c>
      <c r="Z3385" s="2">
        <v>1</v>
      </c>
      <c r="AA3385" s="2" t="s">
        <v>82</v>
      </c>
      <c r="AB3385" s="2">
        <v>1</v>
      </c>
      <c r="AC3385" s="2" t="s">
        <v>178</v>
      </c>
      <c r="AD3385" s="3">
        <v>40407</v>
      </c>
      <c r="AE3385" s="4">
        <v>0.24305555555555555</v>
      </c>
      <c r="AF3385" s="2"/>
      <c r="AG3385" s="2"/>
      <c r="AH3385" s="2">
        <v>6</v>
      </c>
      <c r="AI3385" s="2" t="s">
        <v>197</v>
      </c>
      <c r="AJ3385" s="2">
        <v>51</v>
      </c>
      <c r="AK3385" s="2" t="s">
        <v>238</v>
      </c>
      <c r="AL3385" s="2">
        <v>11</v>
      </c>
      <c r="AM3385" s="2" t="s">
        <v>137</v>
      </c>
      <c r="AN3385" s="2" t="s">
        <v>10912</v>
      </c>
      <c r="AO3385" s="2"/>
      <c r="AP3385" s="2">
        <v>11</v>
      </c>
      <c r="AQ3385" s="2" t="s">
        <v>82</v>
      </c>
      <c r="AR3385" s="2"/>
      <c r="AS3385" s="2"/>
      <c r="AT3385" s="2" t="s">
        <v>10913</v>
      </c>
      <c r="AU3385" s="2"/>
      <c r="AV3385" s="2"/>
      <c r="AW3385" s="2"/>
      <c r="AX3385" s="2"/>
      <c r="AY3385" s="2">
        <v>41</v>
      </c>
      <c r="AZ3385" s="2" t="s">
        <v>82</v>
      </c>
      <c r="BA3385" s="2">
        <v>41</v>
      </c>
      <c r="BB3385" s="2" t="s">
        <v>82</v>
      </c>
      <c r="BC3385" s="2">
        <v>41</v>
      </c>
      <c r="BD3385" s="2" t="s">
        <v>82</v>
      </c>
      <c r="BE3385" s="2">
        <v>47</v>
      </c>
      <c r="BF3385" s="2" t="s">
        <v>167</v>
      </c>
      <c r="BG3385" s="2">
        <v>2651</v>
      </c>
      <c r="BH3385" s="4">
        <v>0.98958333333333337</v>
      </c>
      <c r="BI3385" s="4">
        <v>0.27083333333333331</v>
      </c>
      <c r="BJ3385" s="2">
        <v>13</v>
      </c>
      <c r="BK3385" s="2" t="s">
        <v>91</v>
      </c>
      <c r="BL3385" s="2" t="s">
        <v>9604</v>
      </c>
      <c r="BM3385" s="2">
        <v>241</v>
      </c>
      <c r="BN3385" s="2" t="s">
        <v>82</v>
      </c>
      <c r="BO3385" s="2"/>
      <c r="BP3385" s="2">
        <v>13</v>
      </c>
      <c r="BQ3385" s="2" t="s">
        <v>91</v>
      </c>
      <c r="BR3385" s="2" t="s">
        <v>170</v>
      </c>
      <c r="BS3385" s="3">
        <v>40407</v>
      </c>
      <c r="BT3385" s="4">
        <v>0.65371527777777783</v>
      </c>
    </row>
    <row r="3386" spans="1:72" x14ac:dyDescent="0.25">
      <c r="A3386" s="2">
        <v>4986</v>
      </c>
      <c r="B3386" s="2">
        <v>2010</v>
      </c>
      <c r="C3386" s="2" t="s">
        <v>72</v>
      </c>
      <c r="D3386" s="2" t="s">
        <v>73</v>
      </c>
      <c r="E3386" s="2"/>
      <c r="F3386" s="2">
        <v>144</v>
      </c>
      <c r="G3386" s="2" t="s">
        <v>537</v>
      </c>
      <c r="H3386" s="2">
        <v>3</v>
      </c>
      <c r="I3386" s="2" t="s">
        <v>315</v>
      </c>
      <c r="J3386" s="2">
        <v>160</v>
      </c>
      <c r="K3386" s="2" t="s">
        <v>538</v>
      </c>
      <c r="L3386" s="2" t="s">
        <v>539</v>
      </c>
      <c r="M3386" s="3">
        <v>40407</v>
      </c>
      <c r="N3386" s="2" t="s">
        <v>10914</v>
      </c>
      <c r="O3386" s="2"/>
      <c r="P3386" s="2" t="s">
        <v>82</v>
      </c>
      <c r="Q3386" s="2" t="str">
        <f>"0038/10"</f>
        <v>0038/10</v>
      </c>
      <c r="R3386" s="2" t="s">
        <v>10915</v>
      </c>
      <c r="S3386" s="2" t="s">
        <v>10915</v>
      </c>
      <c r="T3386" s="2">
        <v>1</v>
      </c>
      <c r="U3386" s="2" t="s">
        <v>79</v>
      </c>
      <c r="V3386" s="2">
        <v>1</v>
      </c>
      <c r="W3386" s="2" t="s">
        <v>80</v>
      </c>
      <c r="X3386" s="2">
        <v>12</v>
      </c>
      <c r="Y3386" s="2" t="s">
        <v>148</v>
      </c>
      <c r="Z3386" s="2">
        <v>10</v>
      </c>
      <c r="AA3386" s="2" t="s">
        <v>236</v>
      </c>
      <c r="AB3386" s="2">
        <v>6</v>
      </c>
      <c r="AC3386" s="2" t="s">
        <v>83</v>
      </c>
      <c r="AD3386" s="3">
        <v>40406</v>
      </c>
      <c r="AE3386" s="4">
        <v>0.52083333333333337</v>
      </c>
      <c r="AF3386" s="3">
        <v>40407</v>
      </c>
      <c r="AG3386" s="4">
        <v>0.69791666666666663</v>
      </c>
      <c r="AH3386" s="2">
        <v>6</v>
      </c>
      <c r="AI3386" s="2" t="s">
        <v>197</v>
      </c>
      <c r="AJ3386" s="2">
        <v>60</v>
      </c>
      <c r="AK3386" s="2" t="s">
        <v>543</v>
      </c>
      <c r="AL3386" s="2">
        <v>22</v>
      </c>
      <c r="AM3386" s="2" t="s">
        <v>1853</v>
      </c>
      <c r="AN3386" s="2" t="s">
        <v>82</v>
      </c>
      <c r="AO3386" s="2" t="s">
        <v>82</v>
      </c>
      <c r="AP3386" s="2">
        <v>11</v>
      </c>
      <c r="AQ3386" s="2" t="s">
        <v>82</v>
      </c>
      <c r="AR3386" s="2" t="s">
        <v>82</v>
      </c>
      <c r="AS3386" s="2" t="s">
        <v>82</v>
      </c>
      <c r="AT3386" s="2" t="s">
        <v>10916</v>
      </c>
      <c r="AU3386" s="2"/>
      <c r="AV3386" s="2"/>
      <c r="AW3386" s="2"/>
      <c r="AX3386" s="2"/>
      <c r="AY3386" s="2">
        <v>41</v>
      </c>
      <c r="AZ3386" s="2" t="s">
        <v>82</v>
      </c>
      <c r="BA3386" s="2">
        <v>41</v>
      </c>
      <c r="BB3386" s="2" t="s">
        <v>82</v>
      </c>
      <c r="BC3386" s="2">
        <v>41</v>
      </c>
      <c r="BD3386" s="2" t="s">
        <v>82</v>
      </c>
      <c r="BE3386" s="2">
        <v>4</v>
      </c>
      <c r="BF3386" s="2" t="s">
        <v>90</v>
      </c>
      <c r="BG3386" s="2" t="s">
        <v>10917</v>
      </c>
      <c r="BH3386" s="4">
        <v>0.36805555555555558</v>
      </c>
      <c r="BI3386" s="4">
        <v>0.39583333333333331</v>
      </c>
      <c r="BJ3386" s="2">
        <v>13</v>
      </c>
      <c r="BK3386" s="2" t="s">
        <v>91</v>
      </c>
      <c r="BL3386" s="2" t="s">
        <v>185</v>
      </c>
      <c r="BM3386" s="2">
        <v>241</v>
      </c>
      <c r="BN3386" s="2" t="s">
        <v>82</v>
      </c>
      <c r="BO3386" s="2" t="s">
        <v>82</v>
      </c>
      <c r="BP3386" s="2">
        <v>13</v>
      </c>
      <c r="BQ3386" s="2" t="s">
        <v>91</v>
      </c>
      <c r="BR3386" s="2" t="s">
        <v>895</v>
      </c>
      <c r="BS3386" s="3">
        <v>40407</v>
      </c>
      <c r="BT3386" s="4">
        <v>0.79591435185185189</v>
      </c>
    </row>
    <row r="3387" spans="1:72" x14ac:dyDescent="0.25">
      <c r="A3387" s="2">
        <v>4987</v>
      </c>
      <c r="B3387" s="2">
        <v>2010</v>
      </c>
      <c r="C3387" s="2" t="s">
        <v>121</v>
      </c>
      <c r="D3387" s="2" t="s">
        <v>122</v>
      </c>
      <c r="E3387" s="2"/>
      <c r="F3387" s="2">
        <v>1</v>
      </c>
      <c r="G3387" s="2" t="s">
        <v>82</v>
      </c>
      <c r="H3387" s="2">
        <v>1</v>
      </c>
      <c r="I3387" s="2" t="s">
        <v>82</v>
      </c>
      <c r="J3387" s="2">
        <v>1</v>
      </c>
      <c r="K3387" s="2" t="s">
        <v>107</v>
      </c>
      <c r="L3387" s="2" t="s">
        <v>107</v>
      </c>
      <c r="M3387" s="3">
        <v>40407</v>
      </c>
      <c r="N3387" s="2"/>
      <c r="O3387" s="2"/>
      <c r="P3387" s="2"/>
      <c r="Q3387" s="2" t="str">
        <f>""</f>
        <v/>
      </c>
      <c r="R3387" s="2"/>
      <c r="S3387" s="2"/>
      <c r="T3387" s="2">
        <v>2</v>
      </c>
      <c r="U3387" s="2" t="s">
        <v>123</v>
      </c>
      <c r="V3387" s="2">
        <v>1</v>
      </c>
      <c r="W3387" s="2" t="s">
        <v>80</v>
      </c>
      <c r="X3387" s="2">
        <v>5</v>
      </c>
      <c r="Y3387" s="2" t="s">
        <v>82</v>
      </c>
      <c r="Z3387" s="2">
        <v>1</v>
      </c>
      <c r="AA3387" s="2" t="s">
        <v>82</v>
      </c>
      <c r="AB3387" s="2">
        <v>9</v>
      </c>
      <c r="AC3387" s="2" t="s">
        <v>124</v>
      </c>
      <c r="AD3387" s="3">
        <v>40407</v>
      </c>
      <c r="AE3387" s="4">
        <v>0.80555555555555547</v>
      </c>
      <c r="AF3387" s="2"/>
      <c r="AG3387" s="2"/>
      <c r="AH3387" s="2">
        <v>5</v>
      </c>
      <c r="AI3387" s="2" t="s">
        <v>274</v>
      </c>
      <c r="AJ3387" s="2">
        <v>39</v>
      </c>
      <c r="AK3387" s="2" t="s">
        <v>8737</v>
      </c>
      <c r="AL3387" s="2">
        <v>18</v>
      </c>
      <c r="AM3387" s="2" t="s">
        <v>82</v>
      </c>
      <c r="AN3387" s="2"/>
      <c r="AO3387" s="2"/>
      <c r="AP3387" s="2">
        <v>11</v>
      </c>
      <c r="AQ3387" s="2" t="s">
        <v>82</v>
      </c>
      <c r="AR3387" s="2"/>
      <c r="AS3387" s="2"/>
      <c r="AT3387" s="2" t="s">
        <v>10918</v>
      </c>
      <c r="AU3387" s="2"/>
      <c r="AV3387" s="2"/>
      <c r="AW3387" s="2"/>
      <c r="AX3387" s="2"/>
      <c r="AY3387" s="2">
        <v>1</v>
      </c>
      <c r="AZ3387" s="2" t="s">
        <v>107</v>
      </c>
      <c r="BA3387" s="2">
        <v>1</v>
      </c>
      <c r="BB3387" s="2" t="s">
        <v>107</v>
      </c>
      <c r="BC3387" s="2">
        <v>1</v>
      </c>
      <c r="BD3387" s="2" t="s">
        <v>107</v>
      </c>
      <c r="BE3387" s="2">
        <v>1</v>
      </c>
      <c r="BF3387" s="2" t="s">
        <v>107</v>
      </c>
      <c r="BG3387" s="2"/>
      <c r="BH3387" s="2"/>
      <c r="BI3387" s="2"/>
      <c r="BJ3387" s="2">
        <v>242</v>
      </c>
      <c r="BK3387" s="2" t="s">
        <v>107</v>
      </c>
      <c r="BL3387" s="2"/>
      <c r="BM3387" s="2">
        <v>242</v>
      </c>
      <c r="BN3387" s="2" t="s">
        <v>107</v>
      </c>
      <c r="BO3387" s="2"/>
      <c r="BP3387" s="2">
        <v>242</v>
      </c>
      <c r="BQ3387" s="2" t="s">
        <v>107</v>
      </c>
      <c r="BR3387" s="2"/>
      <c r="BS3387" s="3">
        <v>40407</v>
      </c>
      <c r="BT3387" s="4">
        <v>0.81018518518518512</v>
      </c>
    </row>
    <row r="3388" spans="1:72" x14ac:dyDescent="0.25">
      <c r="A3388" s="2">
        <v>4988</v>
      </c>
      <c r="B3388" s="2">
        <v>2010</v>
      </c>
      <c r="C3388" s="2" t="s">
        <v>93</v>
      </c>
      <c r="D3388" s="2" t="s">
        <v>73</v>
      </c>
      <c r="E3388" s="2"/>
      <c r="F3388" s="2">
        <v>448</v>
      </c>
      <c r="G3388" s="2" t="s">
        <v>863</v>
      </c>
      <c r="H3388" s="2">
        <v>22</v>
      </c>
      <c r="I3388" s="2" t="s">
        <v>75</v>
      </c>
      <c r="J3388" s="2">
        <v>140</v>
      </c>
      <c r="K3388" s="2" t="s">
        <v>864</v>
      </c>
      <c r="L3388" s="2" t="s">
        <v>865</v>
      </c>
      <c r="M3388" s="3">
        <v>40407</v>
      </c>
      <c r="N3388" s="2" t="s">
        <v>10919</v>
      </c>
      <c r="O3388" s="2" t="s">
        <v>10920</v>
      </c>
      <c r="P3388" s="2" t="s">
        <v>10921</v>
      </c>
      <c r="Q3388" s="2" t="str">
        <f>"N/C"</f>
        <v>N/C</v>
      </c>
      <c r="R3388" s="2" t="s">
        <v>82</v>
      </c>
      <c r="S3388" s="2" t="s">
        <v>82</v>
      </c>
      <c r="T3388" s="2">
        <v>1</v>
      </c>
      <c r="U3388" s="2" t="s">
        <v>79</v>
      </c>
      <c r="V3388" s="2">
        <v>1</v>
      </c>
      <c r="W3388" s="2" t="s">
        <v>80</v>
      </c>
      <c r="X3388" s="2">
        <v>1</v>
      </c>
      <c r="Y3388" s="2" t="s">
        <v>81</v>
      </c>
      <c r="Z3388" s="2">
        <v>10</v>
      </c>
      <c r="AA3388" s="2" t="s">
        <v>236</v>
      </c>
      <c r="AB3388" s="2">
        <v>2</v>
      </c>
      <c r="AC3388" s="2" t="s">
        <v>102</v>
      </c>
      <c r="AD3388" s="3">
        <v>40407</v>
      </c>
      <c r="AE3388" s="4">
        <v>0.78819444444444453</v>
      </c>
      <c r="AF3388" s="2"/>
      <c r="AG3388" s="2"/>
      <c r="AH3388" s="2">
        <v>6</v>
      </c>
      <c r="AI3388" s="2" t="s">
        <v>197</v>
      </c>
      <c r="AJ3388" s="2">
        <v>61</v>
      </c>
      <c r="AK3388" s="2" t="s">
        <v>686</v>
      </c>
      <c r="AL3388" s="2">
        <v>11</v>
      </c>
      <c r="AM3388" s="2" t="s">
        <v>137</v>
      </c>
      <c r="AN3388" s="2" t="s">
        <v>350</v>
      </c>
      <c r="AO3388" s="2" t="s">
        <v>6881</v>
      </c>
      <c r="AP3388" s="2">
        <v>11</v>
      </c>
      <c r="AQ3388" s="2" t="s">
        <v>82</v>
      </c>
      <c r="AR3388" s="2" t="s">
        <v>82</v>
      </c>
      <c r="AS3388" s="2" t="s">
        <v>82</v>
      </c>
      <c r="AT3388" s="2" t="s">
        <v>10922</v>
      </c>
      <c r="AU3388" s="2"/>
      <c r="AV3388" s="2"/>
      <c r="AW3388" s="2"/>
      <c r="AX3388" s="2"/>
      <c r="AY3388" s="2">
        <v>41</v>
      </c>
      <c r="AZ3388" s="2" t="s">
        <v>82</v>
      </c>
      <c r="BA3388" s="2">
        <v>41</v>
      </c>
      <c r="BB3388" s="2" t="s">
        <v>82</v>
      </c>
      <c r="BC3388" s="2">
        <v>41</v>
      </c>
      <c r="BD3388" s="2" t="s">
        <v>82</v>
      </c>
      <c r="BE3388" s="2">
        <v>47</v>
      </c>
      <c r="BF3388" s="2" t="s">
        <v>167</v>
      </c>
      <c r="BG3388" s="2">
        <v>2849</v>
      </c>
      <c r="BH3388" s="4">
        <v>0.76874999999999993</v>
      </c>
      <c r="BI3388" s="4">
        <v>0.81458333333333333</v>
      </c>
      <c r="BJ3388" s="2">
        <v>13</v>
      </c>
      <c r="BK3388" s="2" t="s">
        <v>91</v>
      </c>
      <c r="BL3388" s="2" t="s">
        <v>690</v>
      </c>
      <c r="BM3388" s="2">
        <v>241</v>
      </c>
      <c r="BN3388" s="2" t="s">
        <v>82</v>
      </c>
      <c r="BO3388" s="2" t="s">
        <v>82</v>
      </c>
      <c r="BP3388" s="2">
        <v>13</v>
      </c>
      <c r="BQ3388" s="2" t="s">
        <v>91</v>
      </c>
      <c r="BR3388" s="2" t="s">
        <v>185</v>
      </c>
      <c r="BS3388" s="3">
        <v>40407</v>
      </c>
      <c r="BT3388" s="4">
        <v>0.83373842592592595</v>
      </c>
    </row>
    <row r="3389" spans="1:72" x14ac:dyDescent="0.25">
      <c r="A3389" s="2">
        <v>4989</v>
      </c>
      <c r="B3389" s="2">
        <v>2010</v>
      </c>
      <c r="C3389" s="2" t="s">
        <v>385</v>
      </c>
      <c r="D3389" s="2" t="s">
        <v>122</v>
      </c>
      <c r="E3389" s="2" t="s">
        <v>10923</v>
      </c>
      <c r="F3389" s="2">
        <v>400</v>
      </c>
      <c r="G3389" s="2" t="s">
        <v>3601</v>
      </c>
      <c r="H3389" s="2">
        <v>17</v>
      </c>
      <c r="I3389" s="2" t="s">
        <v>3602</v>
      </c>
      <c r="J3389" s="2">
        <v>316</v>
      </c>
      <c r="K3389" s="2" t="s">
        <v>574</v>
      </c>
      <c r="L3389" s="2" t="s">
        <v>575</v>
      </c>
      <c r="M3389" s="3">
        <v>40407</v>
      </c>
      <c r="N3389" s="2" t="s">
        <v>10789</v>
      </c>
      <c r="O3389" s="2" t="s">
        <v>10790</v>
      </c>
      <c r="P3389" s="2">
        <v>9995</v>
      </c>
      <c r="Q3389" s="2" t="str">
        <f>"S/D"</f>
        <v>S/D</v>
      </c>
      <c r="R3389" s="2" t="s">
        <v>107</v>
      </c>
      <c r="S3389" s="2" t="s">
        <v>82</v>
      </c>
      <c r="T3389" s="2">
        <v>1</v>
      </c>
      <c r="U3389" s="2" t="s">
        <v>79</v>
      </c>
      <c r="V3389" s="2">
        <v>1</v>
      </c>
      <c r="W3389" s="2" t="s">
        <v>80</v>
      </c>
      <c r="X3389" s="2">
        <v>10</v>
      </c>
      <c r="Y3389" s="2" t="s">
        <v>226</v>
      </c>
      <c r="Z3389" s="2">
        <v>1</v>
      </c>
      <c r="AA3389" s="2" t="s">
        <v>82</v>
      </c>
      <c r="AB3389" s="2">
        <v>9</v>
      </c>
      <c r="AC3389" s="2" t="s">
        <v>124</v>
      </c>
      <c r="AD3389" s="3">
        <v>40407</v>
      </c>
      <c r="AE3389" s="4">
        <v>0.70833333333333337</v>
      </c>
      <c r="AF3389" s="2"/>
      <c r="AG3389" s="2"/>
      <c r="AH3389" s="2">
        <v>2</v>
      </c>
      <c r="AI3389" s="2" t="s">
        <v>84</v>
      </c>
      <c r="AJ3389" s="2">
        <v>9</v>
      </c>
      <c r="AK3389" s="2" t="s">
        <v>103</v>
      </c>
      <c r="AL3389" s="2">
        <v>19</v>
      </c>
      <c r="AM3389" s="2" t="s">
        <v>107</v>
      </c>
      <c r="AN3389" s="2"/>
      <c r="AO3389" s="2"/>
      <c r="AP3389" s="2">
        <v>11</v>
      </c>
      <c r="AQ3389" s="2" t="s">
        <v>82</v>
      </c>
      <c r="AR3389" s="2"/>
      <c r="AS3389" s="2"/>
      <c r="AT3389" s="2" t="s">
        <v>10924</v>
      </c>
      <c r="AU3389" s="2"/>
      <c r="AV3389" s="2">
        <v>1</v>
      </c>
      <c r="AW3389" s="2"/>
      <c r="AX3389" s="2"/>
      <c r="AY3389" s="2">
        <v>1</v>
      </c>
      <c r="AZ3389" s="2" t="s">
        <v>107</v>
      </c>
      <c r="BA3389" s="2">
        <v>1</v>
      </c>
      <c r="BB3389" s="2" t="s">
        <v>107</v>
      </c>
      <c r="BC3389" s="2">
        <v>1</v>
      </c>
      <c r="BD3389" s="2" t="s">
        <v>107</v>
      </c>
      <c r="BE3389" s="2">
        <v>1</v>
      </c>
      <c r="BF3389" s="2" t="s">
        <v>107</v>
      </c>
      <c r="BG3389" s="2"/>
      <c r="BH3389" s="2"/>
      <c r="BI3389" s="2"/>
      <c r="BJ3389" s="2">
        <v>242</v>
      </c>
      <c r="BK3389" s="2" t="s">
        <v>107</v>
      </c>
      <c r="BL3389" s="2"/>
      <c r="BM3389" s="2">
        <v>242</v>
      </c>
      <c r="BN3389" s="2" t="s">
        <v>107</v>
      </c>
      <c r="BO3389" s="2"/>
      <c r="BP3389" s="2">
        <v>242</v>
      </c>
      <c r="BQ3389" s="2" t="s">
        <v>107</v>
      </c>
      <c r="BR3389" s="2"/>
      <c r="BS3389" s="3">
        <v>40407</v>
      </c>
      <c r="BT3389" s="4">
        <v>0.84111111111111114</v>
      </c>
    </row>
    <row r="3390" spans="1:72" x14ac:dyDescent="0.25">
      <c r="A3390" s="2">
        <v>4990</v>
      </c>
      <c r="B3390" s="2">
        <v>2010</v>
      </c>
      <c r="C3390" s="2" t="s">
        <v>72</v>
      </c>
      <c r="D3390" s="2" t="s">
        <v>73</v>
      </c>
      <c r="E3390" s="2"/>
      <c r="F3390" s="2">
        <v>3</v>
      </c>
      <c r="G3390" s="2" t="s">
        <v>1041</v>
      </c>
      <c r="H3390" s="2">
        <v>42</v>
      </c>
      <c r="I3390" s="2" t="s">
        <v>1096</v>
      </c>
      <c r="J3390" s="2">
        <v>368</v>
      </c>
      <c r="K3390" s="2" t="s">
        <v>1042</v>
      </c>
      <c r="L3390" s="2" t="s">
        <v>1043</v>
      </c>
      <c r="M3390" s="3">
        <v>40407</v>
      </c>
      <c r="N3390" s="2" t="s">
        <v>107</v>
      </c>
      <c r="O3390" s="2" t="s">
        <v>107</v>
      </c>
      <c r="P3390" s="2" t="s">
        <v>107</v>
      </c>
      <c r="Q3390" s="2" t="str">
        <f>"422-E/10"</f>
        <v>422-E/10</v>
      </c>
      <c r="R3390" s="2" t="s">
        <v>116</v>
      </c>
      <c r="S3390" s="2" t="s">
        <v>116</v>
      </c>
      <c r="T3390" s="2">
        <v>1</v>
      </c>
      <c r="U3390" s="2" t="s">
        <v>79</v>
      </c>
      <c r="V3390" s="2">
        <v>1</v>
      </c>
      <c r="W3390" s="2" t="s">
        <v>80</v>
      </c>
      <c r="X3390" s="2">
        <v>12</v>
      </c>
      <c r="Y3390" s="2" t="s">
        <v>148</v>
      </c>
      <c r="Z3390" s="2">
        <v>1</v>
      </c>
      <c r="AA3390" s="2" t="s">
        <v>82</v>
      </c>
      <c r="AB3390" s="2">
        <v>6</v>
      </c>
      <c r="AC3390" s="2" t="s">
        <v>83</v>
      </c>
      <c r="AD3390" s="3">
        <v>40402</v>
      </c>
      <c r="AE3390" s="2"/>
      <c r="AF3390" s="3">
        <v>40407</v>
      </c>
      <c r="AG3390" s="4">
        <v>0.76041666666666663</v>
      </c>
      <c r="AH3390" s="2">
        <v>2</v>
      </c>
      <c r="AI3390" s="2" t="s">
        <v>84</v>
      </c>
      <c r="AJ3390" s="2">
        <v>9</v>
      </c>
      <c r="AK3390" s="2" t="s">
        <v>103</v>
      </c>
      <c r="AL3390" s="2">
        <v>22</v>
      </c>
      <c r="AM3390" s="2" t="s">
        <v>1853</v>
      </c>
      <c r="AN3390" s="2"/>
      <c r="AO3390" s="2" t="s">
        <v>10782</v>
      </c>
      <c r="AP3390" s="2">
        <v>11</v>
      </c>
      <c r="AQ3390" s="2" t="s">
        <v>82</v>
      </c>
      <c r="AR3390" s="2"/>
      <c r="AS3390" s="2"/>
      <c r="AT3390" s="2" t="s">
        <v>10925</v>
      </c>
      <c r="AU3390" s="2"/>
      <c r="AV3390" s="2"/>
      <c r="AW3390" s="2"/>
      <c r="AX3390" s="2"/>
      <c r="AY3390" s="2">
        <v>41</v>
      </c>
      <c r="AZ3390" s="2" t="s">
        <v>82</v>
      </c>
      <c r="BA3390" s="2">
        <v>41</v>
      </c>
      <c r="BB3390" s="2" t="s">
        <v>82</v>
      </c>
      <c r="BC3390" s="2">
        <v>41</v>
      </c>
      <c r="BD3390" s="2" t="s">
        <v>82</v>
      </c>
      <c r="BE3390" s="2">
        <v>20</v>
      </c>
      <c r="BF3390" s="2" t="s">
        <v>1681</v>
      </c>
      <c r="BG3390" s="2" t="s">
        <v>10926</v>
      </c>
      <c r="BH3390" s="4">
        <v>0.1875</v>
      </c>
      <c r="BI3390" s="2"/>
      <c r="BJ3390" s="2">
        <v>60</v>
      </c>
      <c r="BK3390" s="2" t="s">
        <v>10927</v>
      </c>
      <c r="BL3390" s="2" t="s">
        <v>10928</v>
      </c>
      <c r="BM3390" s="2">
        <v>173</v>
      </c>
      <c r="BN3390" s="2" t="s">
        <v>223</v>
      </c>
      <c r="BO3390" s="2" t="s">
        <v>224</v>
      </c>
      <c r="BP3390" s="2">
        <v>13</v>
      </c>
      <c r="BQ3390" s="2" t="s">
        <v>91</v>
      </c>
      <c r="BR3390" s="2" t="s">
        <v>360</v>
      </c>
      <c r="BS3390" s="3">
        <v>40407</v>
      </c>
      <c r="BT3390" s="4">
        <v>0.85743055555555558</v>
      </c>
    </row>
    <row r="3391" spans="1:72" x14ac:dyDescent="0.25">
      <c r="A3391" s="2">
        <v>4992</v>
      </c>
      <c r="B3391" s="2">
        <v>2010</v>
      </c>
      <c r="C3391" s="2" t="s">
        <v>72</v>
      </c>
      <c r="D3391" s="2" t="s">
        <v>73</v>
      </c>
      <c r="E3391" s="2"/>
      <c r="F3391" s="2">
        <v>668</v>
      </c>
      <c r="G3391" s="2" t="s">
        <v>10929</v>
      </c>
      <c r="H3391" s="2">
        <v>22</v>
      </c>
      <c r="I3391" s="2" t="s">
        <v>75</v>
      </c>
      <c r="J3391" s="2">
        <v>643</v>
      </c>
      <c r="K3391" s="2" t="s">
        <v>10930</v>
      </c>
      <c r="L3391" s="2" t="s">
        <v>10931</v>
      </c>
      <c r="M3391" s="3">
        <v>40407</v>
      </c>
      <c r="N3391" s="2" t="s">
        <v>10932</v>
      </c>
      <c r="O3391" s="2"/>
      <c r="P3391" s="2"/>
      <c r="Q3391" s="2" t="str">
        <f>"421-E/10"</f>
        <v>421-E/10</v>
      </c>
      <c r="R3391" s="2" t="s">
        <v>10933</v>
      </c>
      <c r="S3391" s="2" t="s">
        <v>10933</v>
      </c>
      <c r="T3391" s="2">
        <v>1</v>
      </c>
      <c r="U3391" s="2" t="s">
        <v>79</v>
      </c>
      <c r="V3391" s="2">
        <v>1</v>
      </c>
      <c r="W3391" s="2" t="s">
        <v>80</v>
      </c>
      <c r="X3391" s="2">
        <v>12</v>
      </c>
      <c r="Y3391" s="2" t="s">
        <v>148</v>
      </c>
      <c r="Z3391" s="2">
        <v>1</v>
      </c>
      <c r="AA3391" s="2" t="s">
        <v>82</v>
      </c>
      <c r="AB3391" s="2">
        <v>6</v>
      </c>
      <c r="AC3391" s="2" t="s">
        <v>83</v>
      </c>
      <c r="AD3391" s="3">
        <v>40407</v>
      </c>
      <c r="AE3391" s="4">
        <v>0.53472222222222221</v>
      </c>
      <c r="AF3391" s="2"/>
      <c r="AG3391" s="2"/>
      <c r="AH3391" s="2">
        <v>2</v>
      </c>
      <c r="AI3391" s="2" t="s">
        <v>84</v>
      </c>
      <c r="AJ3391" s="2">
        <v>9</v>
      </c>
      <c r="AK3391" s="2" t="s">
        <v>103</v>
      </c>
      <c r="AL3391" s="2">
        <v>21</v>
      </c>
      <c r="AM3391" s="2" t="s">
        <v>1311</v>
      </c>
      <c r="AN3391" s="2" t="s">
        <v>10934</v>
      </c>
      <c r="AO3391" s="2" t="s">
        <v>10935</v>
      </c>
      <c r="AP3391" s="2">
        <v>11</v>
      </c>
      <c r="AQ3391" s="2" t="s">
        <v>82</v>
      </c>
      <c r="AR3391" s="2"/>
      <c r="AS3391" s="2"/>
      <c r="AT3391" s="2" t="s">
        <v>10936</v>
      </c>
      <c r="AU3391" s="2"/>
      <c r="AV3391" s="2"/>
      <c r="AW3391" s="2"/>
      <c r="AX3391" s="2"/>
      <c r="AY3391" s="2">
        <v>41</v>
      </c>
      <c r="AZ3391" s="2" t="s">
        <v>82</v>
      </c>
      <c r="BA3391" s="2">
        <v>41</v>
      </c>
      <c r="BB3391" s="2" t="s">
        <v>82</v>
      </c>
      <c r="BC3391" s="2">
        <v>41</v>
      </c>
      <c r="BD3391" s="2" t="s">
        <v>82</v>
      </c>
      <c r="BE3391" s="2">
        <v>41</v>
      </c>
      <c r="BF3391" s="2" t="s">
        <v>82</v>
      </c>
      <c r="BG3391" s="2"/>
      <c r="BH3391" s="2"/>
      <c r="BI3391" s="2"/>
      <c r="BJ3391" s="2">
        <v>241</v>
      </c>
      <c r="BK3391" s="2" t="s">
        <v>82</v>
      </c>
      <c r="BL3391" s="2"/>
      <c r="BM3391" s="2">
        <v>241</v>
      </c>
      <c r="BN3391" s="2" t="s">
        <v>82</v>
      </c>
      <c r="BO3391" s="2"/>
      <c r="BP3391" s="2">
        <v>241</v>
      </c>
      <c r="BQ3391" s="2" t="s">
        <v>82</v>
      </c>
      <c r="BR3391" s="2"/>
      <c r="BS3391" s="3">
        <v>40407</v>
      </c>
      <c r="BT3391" s="4">
        <v>0.93215277777777772</v>
      </c>
    </row>
    <row r="3392" spans="1:72" x14ac:dyDescent="0.25">
      <c r="A3392" s="2">
        <v>4993</v>
      </c>
      <c r="B3392" s="2">
        <v>2010</v>
      </c>
      <c r="C3392" s="2" t="s">
        <v>377</v>
      </c>
      <c r="D3392" s="2" t="s">
        <v>73</v>
      </c>
      <c r="E3392" s="2"/>
      <c r="F3392" s="2">
        <v>426</v>
      </c>
      <c r="G3392" s="2" t="s">
        <v>378</v>
      </c>
      <c r="H3392" s="2">
        <v>22</v>
      </c>
      <c r="I3392" s="2" t="s">
        <v>75</v>
      </c>
      <c r="J3392" s="2">
        <v>311</v>
      </c>
      <c r="K3392" s="2" t="s">
        <v>379</v>
      </c>
      <c r="L3392" s="2" t="s">
        <v>380</v>
      </c>
      <c r="M3392" s="3">
        <v>40407</v>
      </c>
      <c r="N3392" s="2" t="s">
        <v>5164</v>
      </c>
      <c r="O3392" s="2"/>
      <c r="P3392" s="2"/>
      <c r="Q3392" s="2" t="str">
        <f>"207-C/10"</f>
        <v>207-C/10</v>
      </c>
      <c r="R3392" s="2" t="s">
        <v>9775</v>
      </c>
      <c r="S3392" s="2"/>
      <c r="T3392" s="2">
        <v>1</v>
      </c>
      <c r="U3392" s="2" t="s">
        <v>79</v>
      </c>
      <c r="V3392" s="2">
        <v>1</v>
      </c>
      <c r="W3392" s="2" t="s">
        <v>80</v>
      </c>
      <c r="X3392" s="2">
        <v>1</v>
      </c>
      <c r="Y3392" s="2" t="s">
        <v>81</v>
      </c>
      <c r="Z3392" s="2">
        <v>1</v>
      </c>
      <c r="AA3392" s="2" t="s">
        <v>82</v>
      </c>
      <c r="AB3392" s="2">
        <v>9</v>
      </c>
      <c r="AC3392" s="2" t="s">
        <v>124</v>
      </c>
      <c r="AD3392" s="3">
        <v>40407</v>
      </c>
      <c r="AE3392" s="4">
        <v>0.29166666666666669</v>
      </c>
      <c r="AF3392" s="2"/>
      <c r="AG3392" s="2"/>
      <c r="AH3392" s="2">
        <v>2</v>
      </c>
      <c r="AI3392" s="2" t="s">
        <v>84</v>
      </c>
      <c r="AJ3392" s="2">
        <v>9</v>
      </c>
      <c r="AK3392" s="2" t="s">
        <v>103</v>
      </c>
      <c r="AL3392" s="2">
        <v>13</v>
      </c>
      <c r="AM3392" s="2" t="s">
        <v>117</v>
      </c>
      <c r="AN3392" s="2"/>
      <c r="AO3392" s="2" t="s">
        <v>3322</v>
      </c>
      <c r="AP3392" s="2">
        <v>11</v>
      </c>
      <c r="AQ3392" s="2" t="s">
        <v>82</v>
      </c>
      <c r="AR3392" s="2"/>
      <c r="AS3392" s="2"/>
      <c r="AT3392" s="2" t="s">
        <v>10937</v>
      </c>
      <c r="AU3392" s="2"/>
      <c r="AV3392" s="2"/>
      <c r="AW3392" s="2"/>
      <c r="AX3392" s="2"/>
      <c r="AY3392" s="2">
        <v>41</v>
      </c>
      <c r="AZ3392" s="2" t="s">
        <v>82</v>
      </c>
      <c r="BA3392" s="2">
        <v>41</v>
      </c>
      <c r="BB3392" s="2" t="s">
        <v>82</v>
      </c>
      <c r="BC3392" s="2">
        <v>41</v>
      </c>
      <c r="BD3392" s="2" t="s">
        <v>82</v>
      </c>
      <c r="BE3392" s="2">
        <v>41</v>
      </c>
      <c r="BF3392" s="2" t="s">
        <v>82</v>
      </c>
      <c r="BG3392" s="2"/>
      <c r="BH3392" s="2"/>
      <c r="BI3392" s="2"/>
      <c r="BJ3392" s="2">
        <v>241</v>
      </c>
      <c r="BK3392" s="2" t="s">
        <v>82</v>
      </c>
      <c r="BL3392" s="2"/>
      <c r="BM3392" s="2">
        <v>241</v>
      </c>
      <c r="BN3392" s="2" t="s">
        <v>82</v>
      </c>
      <c r="BO3392" s="2"/>
      <c r="BP3392" s="2">
        <v>241</v>
      </c>
      <c r="BQ3392" s="2" t="s">
        <v>82</v>
      </c>
      <c r="BR3392" s="2"/>
      <c r="BS3392" s="3">
        <v>40407</v>
      </c>
      <c r="BT3392" s="4">
        <v>0.93925925925925924</v>
      </c>
    </row>
    <row r="3393" spans="1:72" x14ac:dyDescent="0.25">
      <c r="A3393" s="2">
        <v>4995</v>
      </c>
      <c r="B3393" s="2">
        <v>2010</v>
      </c>
      <c r="C3393" s="2" t="s">
        <v>72</v>
      </c>
      <c r="D3393" s="2" t="s">
        <v>73</v>
      </c>
      <c r="E3393" s="2"/>
      <c r="F3393" s="2">
        <v>95</v>
      </c>
      <c r="G3393" s="2" t="s">
        <v>8360</v>
      </c>
      <c r="H3393" s="2">
        <v>22</v>
      </c>
      <c r="I3393" s="2" t="s">
        <v>75</v>
      </c>
      <c r="J3393" s="2">
        <v>122</v>
      </c>
      <c r="K3393" s="2" t="s">
        <v>8361</v>
      </c>
      <c r="L3393" s="2" t="s">
        <v>8362</v>
      </c>
      <c r="M3393" s="3">
        <v>40408</v>
      </c>
      <c r="N3393" s="2" t="s">
        <v>10938</v>
      </c>
      <c r="O3393" s="2" t="s">
        <v>107</v>
      </c>
      <c r="P3393" s="2" t="s">
        <v>107</v>
      </c>
      <c r="Q3393" s="2" t="str">
        <f>"0035-10"</f>
        <v>0035-10</v>
      </c>
      <c r="R3393" s="2" t="s">
        <v>10939</v>
      </c>
      <c r="S3393" s="2" t="s">
        <v>10939</v>
      </c>
      <c r="T3393" s="2">
        <v>1</v>
      </c>
      <c r="U3393" s="2" t="s">
        <v>79</v>
      </c>
      <c r="V3393" s="2">
        <v>1</v>
      </c>
      <c r="W3393" s="2" t="s">
        <v>80</v>
      </c>
      <c r="X3393" s="2">
        <v>12</v>
      </c>
      <c r="Y3393" s="2" t="s">
        <v>148</v>
      </c>
      <c r="Z3393" s="2">
        <v>1</v>
      </c>
      <c r="AA3393" s="2" t="s">
        <v>82</v>
      </c>
      <c r="AB3393" s="2">
        <v>6</v>
      </c>
      <c r="AC3393" s="2" t="s">
        <v>83</v>
      </c>
      <c r="AD3393" s="3">
        <v>40407</v>
      </c>
      <c r="AE3393" s="2"/>
      <c r="AF3393" s="3">
        <v>40408</v>
      </c>
      <c r="AG3393" s="4">
        <v>0.34236111111111112</v>
      </c>
      <c r="AH3393" s="2">
        <v>6</v>
      </c>
      <c r="AI3393" s="2" t="s">
        <v>197</v>
      </c>
      <c r="AJ3393" s="2">
        <v>50</v>
      </c>
      <c r="AK3393" s="2" t="s">
        <v>330</v>
      </c>
      <c r="AL3393" s="2">
        <v>22</v>
      </c>
      <c r="AM3393" s="2" t="s">
        <v>1853</v>
      </c>
      <c r="AN3393" s="2" t="s">
        <v>107</v>
      </c>
      <c r="AO3393" s="2" t="s">
        <v>107</v>
      </c>
      <c r="AP3393" s="2">
        <v>11</v>
      </c>
      <c r="AQ3393" s="2" t="s">
        <v>82</v>
      </c>
      <c r="AR3393" s="2"/>
      <c r="AS3393" s="2"/>
      <c r="AT3393" s="2" t="s">
        <v>10940</v>
      </c>
      <c r="AU3393" s="2"/>
      <c r="AV3393" s="2"/>
      <c r="AW3393" s="2"/>
      <c r="AX3393" s="2"/>
      <c r="AY3393" s="2">
        <v>41</v>
      </c>
      <c r="AZ3393" s="2" t="s">
        <v>82</v>
      </c>
      <c r="BA3393" s="2">
        <v>41</v>
      </c>
      <c r="BB3393" s="2" t="s">
        <v>82</v>
      </c>
      <c r="BC3393" s="2">
        <v>41</v>
      </c>
      <c r="BD3393" s="2" t="s">
        <v>82</v>
      </c>
      <c r="BE3393" s="2">
        <v>47</v>
      </c>
      <c r="BF3393" s="2" t="s">
        <v>167</v>
      </c>
      <c r="BG3393" s="2">
        <v>2689</v>
      </c>
      <c r="BH3393" s="2"/>
      <c r="BI3393" s="2"/>
      <c r="BJ3393" s="2">
        <v>13</v>
      </c>
      <c r="BK3393" s="2" t="s">
        <v>91</v>
      </c>
      <c r="BL3393" s="2" t="s">
        <v>10941</v>
      </c>
      <c r="BM3393" s="2">
        <v>241</v>
      </c>
      <c r="BN3393" s="2" t="s">
        <v>82</v>
      </c>
      <c r="BO3393" s="2"/>
      <c r="BP3393" s="2">
        <v>13</v>
      </c>
      <c r="BQ3393" s="2" t="s">
        <v>91</v>
      </c>
      <c r="BR3393" s="2" t="s">
        <v>170</v>
      </c>
      <c r="BS3393" s="3">
        <v>40408</v>
      </c>
      <c r="BT3393" s="4">
        <v>0.41962962962962963</v>
      </c>
    </row>
    <row r="3394" spans="1:72" x14ac:dyDescent="0.25">
      <c r="A3394" s="2">
        <v>4996</v>
      </c>
      <c r="B3394" s="2">
        <v>2010</v>
      </c>
      <c r="C3394" s="2" t="s">
        <v>549</v>
      </c>
      <c r="D3394" s="2" t="s">
        <v>73</v>
      </c>
      <c r="E3394" s="2"/>
      <c r="F3394" s="2">
        <v>61</v>
      </c>
      <c r="G3394" s="2" t="s">
        <v>738</v>
      </c>
      <c r="H3394" s="2">
        <v>99</v>
      </c>
      <c r="I3394" s="2" t="s">
        <v>6285</v>
      </c>
      <c r="J3394" s="2">
        <v>93</v>
      </c>
      <c r="K3394" s="2" t="s">
        <v>739</v>
      </c>
      <c r="L3394" s="2" t="s">
        <v>132</v>
      </c>
      <c r="M3394" s="3">
        <v>40408</v>
      </c>
      <c r="N3394" s="2" t="s">
        <v>10942</v>
      </c>
      <c r="O3394" s="2" t="s">
        <v>10943</v>
      </c>
      <c r="P3394" s="2"/>
      <c r="Q3394" s="2" t="str">
        <f>"029"</f>
        <v>029</v>
      </c>
      <c r="R3394" s="2"/>
      <c r="S3394" s="2" t="s">
        <v>10943</v>
      </c>
      <c r="T3394" s="2">
        <v>1</v>
      </c>
      <c r="U3394" s="2" t="s">
        <v>79</v>
      </c>
      <c r="V3394" s="2">
        <v>1</v>
      </c>
      <c r="W3394" s="2" t="s">
        <v>80</v>
      </c>
      <c r="X3394" s="2">
        <v>12</v>
      </c>
      <c r="Y3394" s="2" t="s">
        <v>148</v>
      </c>
      <c r="Z3394" s="2">
        <v>1</v>
      </c>
      <c r="AA3394" s="2" t="s">
        <v>82</v>
      </c>
      <c r="AB3394" s="2">
        <v>9</v>
      </c>
      <c r="AC3394" s="2" t="s">
        <v>124</v>
      </c>
      <c r="AD3394" s="3">
        <v>40408</v>
      </c>
      <c r="AE3394" s="4">
        <v>0.34722222222222227</v>
      </c>
      <c r="AF3394" s="3">
        <v>40408</v>
      </c>
      <c r="AG3394" s="4">
        <v>0.36805555555555558</v>
      </c>
      <c r="AH3394" s="2">
        <v>4</v>
      </c>
      <c r="AI3394" s="2" t="s">
        <v>125</v>
      </c>
      <c r="AJ3394" s="2">
        <v>28</v>
      </c>
      <c r="AK3394" s="2" t="s">
        <v>741</v>
      </c>
      <c r="AL3394" s="2">
        <v>29</v>
      </c>
      <c r="AM3394" s="2" t="s">
        <v>5416</v>
      </c>
      <c r="AN3394" s="2" t="s">
        <v>10944</v>
      </c>
      <c r="AO3394" s="2" t="s">
        <v>2047</v>
      </c>
      <c r="AP3394" s="2">
        <v>11</v>
      </c>
      <c r="AQ3394" s="2" t="s">
        <v>82</v>
      </c>
      <c r="AR3394" s="2"/>
      <c r="AS3394" s="2"/>
      <c r="AT3394" s="2" t="s">
        <v>10945</v>
      </c>
      <c r="AU3394" s="2"/>
      <c r="AV3394" s="2"/>
      <c r="AW3394" s="2"/>
      <c r="AX3394" s="2"/>
      <c r="AY3394" s="2">
        <v>41</v>
      </c>
      <c r="AZ3394" s="2" t="s">
        <v>82</v>
      </c>
      <c r="BA3394" s="2">
        <v>41</v>
      </c>
      <c r="BB3394" s="2" t="s">
        <v>82</v>
      </c>
      <c r="BC3394" s="2">
        <v>41</v>
      </c>
      <c r="BD3394" s="2" t="s">
        <v>82</v>
      </c>
      <c r="BE3394" s="2">
        <v>41</v>
      </c>
      <c r="BF3394" s="2" t="s">
        <v>82</v>
      </c>
      <c r="BG3394" s="2" t="s">
        <v>82</v>
      </c>
      <c r="BH3394" s="2"/>
      <c r="BI3394" s="2"/>
      <c r="BJ3394" s="2">
        <v>241</v>
      </c>
      <c r="BK3394" s="2" t="s">
        <v>82</v>
      </c>
      <c r="BL3394" s="2"/>
      <c r="BM3394" s="2">
        <v>241</v>
      </c>
      <c r="BN3394" s="2" t="s">
        <v>82</v>
      </c>
      <c r="BO3394" s="2"/>
      <c r="BP3394" s="2">
        <v>241</v>
      </c>
      <c r="BQ3394" s="2" t="s">
        <v>82</v>
      </c>
      <c r="BR3394" s="2"/>
      <c r="BS3394" s="3">
        <v>40408</v>
      </c>
      <c r="BT3394" s="4">
        <v>0.50546296296296289</v>
      </c>
    </row>
    <row r="3395" spans="1:72" x14ac:dyDescent="0.25">
      <c r="A3395" s="2">
        <v>4997</v>
      </c>
      <c r="B3395" s="2">
        <v>2010</v>
      </c>
      <c r="C3395" s="2" t="s">
        <v>72</v>
      </c>
      <c r="D3395" s="2" t="s">
        <v>73</v>
      </c>
      <c r="E3395" s="2"/>
      <c r="F3395" s="2">
        <v>667</v>
      </c>
      <c r="G3395" s="2" t="s">
        <v>10892</v>
      </c>
      <c r="H3395" s="2">
        <v>22</v>
      </c>
      <c r="I3395" s="2" t="s">
        <v>75</v>
      </c>
      <c r="J3395" s="2">
        <v>642</v>
      </c>
      <c r="K3395" s="2" t="s">
        <v>10893</v>
      </c>
      <c r="L3395" s="2" t="s">
        <v>6311</v>
      </c>
      <c r="M3395" s="3">
        <v>40408</v>
      </c>
      <c r="N3395" s="2" t="s">
        <v>10946</v>
      </c>
      <c r="O3395" s="2"/>
      <c r="P3395" s="2"/>
      <c r="Q3395" s="2" t="str">
        <f>"323-A/10"</f>
        <v>323-A/10</v>
      </c>
      <c r="R3395" s="2" t="s">
        <v>1547</v>
      </c>
      <c r="S3395" s="2" t="s">
        <v>1547</v>
      </c>
      <c r="T3395" s="2">
        <v>1</v>
      </c>
      <c r="U3395" s="2" t="s">
        <v>79</v>
      </c>
      <c r="V3395" s="2">
        <v>1</v>
      </c>
      <c r="W3395" s="2" t="s">
        <v>80</v>
      </c>
      <c r="X3395" s="2">
        <v>12</v>
      </c>
      <c r="Y3395" s="2" t="s">
        <v>148</v>
      </c>
      <c r="Z3395" s="2">
        <v>1</v>
      </c>
      <c r="AA3395" s="2" t="s">
        <v>82</v>
      </c>
      <c r="AB3395" s="2">
        <v>6</v>
      </c>
      <c r="AC3395" s="2" t="s">
        <v>83</v>
      </c>
      <c r="AD3395" s="3">
        <v>40408</v>
      </c>
      <c r="AE3395" s="2"/>
      <c r="AF3395" s="3">
        <v>40408</v>
      </c>
      <c r="AG3395" s="4">
        <v>0.36805555555555558</v>
      </c>
      <c r="AH3395" s="2">
        <v>2</v>
      </c>
      <c r="AI3395" s="2" t="s">
        <v>84</v>
      </c>
      <c r="AJ3395" s="2">
        <v>12</v>
      </c>
      <c r="AK3395" s="2" t="s">
        <v>85</v>
      </c>
      <c r="AL3395" s="2">
        <v>22</v>
      </c>
      <c r="AM3395" s="2" t="s">
        <v>1853</v>
      </c>
      <c r="AN3395" s="2"/>
      <c r="AO3395" s="2" t="s">
        <v>179</v>
      </c>
      <c r="AP3395" s="2">
        <v>11</v>
      </c>
      <c r="AQ3395" s="2" t="s">
        <v>82</v>
      </c>
      <c r="AR3395" s="2"/>
      <c r="AS3395" s="2"/>
      <c r="AT3395" s="2" t="s">
        <v>10947</v>
      </c>
      <c r="AU3395" s="2"/>
      <c r="AV3395" s="2"/>
      <c r="AW3395" s="2"/>
      <c r="AX3395" s="2"/>
      <c r="AY3395" s="2">
        <v>41</v>
      </c>
      <c r="AZ3395" s="2" t="s">
        <v>82</v>
      </c>
      <c r="BA3395" s="2">
        <v>41</v>
      </c>
      <c r="BB3395" s="2" t="s">
        <v>82</v>
      </c>
      <c r="BC3395" s="2">
        <v>41</v>
      </c>
      <c r="BD3395" s="2" t="s">
        <v>82</v>
      </c>
      <c r="BE3395" s="2">
        <v>13</v>
      </c>
      <c r="BF3395" s="2" t="s">
        <v>108</v>
      </c>
      <c r="BG3395" s="2" t="s">
        <v>10948</v>
      </c>
      <c r="BH3395" s="2"/>
      <c r="BI3395" s="4">
        <v>0.28819444444444448</v>
      </c>
      <c r="BJ3395" s="2">
        <v>13</v>
      </c>
      <c r="BK3395" s="2" t="s">
        <v>91</v>
      </c>
      <c r="BL3395" s="2" t="s">
        <v>564</v>
      </c>
      <c r="BM3395" s="2">
        <v>241</v>
      </c>
      <c r="BN3395" s="2" t="s">
        <v>82</v>
      </c>
      <c r="BO3395" s="2"/>
      <c r="BP3395" s="2">
        <v>33</v>
      </c>
      <c r="BQ3395" s="2" t="s">
        <v>361</v>
      </c>
      <c r="BR3395" s="2" t="s">
        <v>2723</v>
      </c>
      <c r="BS3395" s="3">
        <v>40408</v>
      </c>
      <c r="BT3395" s="4">
        <v>0.50758101851851845</v>
      </c>
    </row>
    <row r="3396" spans="1:72" x14ac:dyDescent="0.25">
      <c r="A3396" s="2">
        <v>5000</v>
      </c>
      <c r="B3396" s="2">
        <v>2010</v>
      </c>
      <c r="C3396" s="2" t="s">
        <v>72</v>
      </c>
      <c r="D3396" s="2" t="s">
        <v>73</v>
      </c>
      <c r="E3396" s="2"/>
      <c r="F3396" s="2">
        <v>554</v>
      </c>
      <c r="G3396" s="2" t="s">
        <v>2635</v>
      </c>
      <c r="H3396" s="2">
        <v>42</v>
      </c>
      <c r="I3396" s="2" t="s">
        <v>1096</v>
      </c>
      <c r="J3396" s="2">
        <v>422</v>
      </c>
      <c r="K3396" s="2" t="s">
        <v>1791</v>
      </c>
      <c r="L3396" s="2" t="s">
        <v>2310</v>
      </c>
      <c r="M3396" s="3">
        <v>40408</v>
      </c>
      <c r="N3396" s="2" t="s">
        <v>10949</v>
      </c>
      <c r="O3396" s="2" t="s">
        <v>10950</v>
      </c>
      <c r="P3396" s="2"/>
      <c r="Q3396" s="2" t="str">
        <f>"0028/2010"</f>
        <v>0028/2010</v>
      </c>
      <c r="R3396" s="2" t="s">
        <v>10950</v>
      </c>
      <c r="S3396" s="2" t="s">
        <v>10950</v>
      </c>
      <c r="T3396" s="2">
        <v>1</v>
      </c>
      <c r="U3396" s="2" t="s">
        <v>79</v>
      </c>
      <c r="V3396" s="2">
        <v>1</v>
      </c>
      <c r="W3396" s="2" t="s">
        <v>80</v>
      </c>
      <c r="X3396" s="2">
        <v>12</v>
      </c>
      <c r="Y3396" s="2" t="s">
        <v>148</v>
      </c>
      <c r="Z3396" s="2">
        <v>1</v>
      </c>
      <c r="AA3396" s="2" t="s">
        <v>82</v>
      </c>
      <c r="AB3396" s="2">
        <v>6</v>
      </c>
      <c r="AC3396" s="2" t="s">
        <v>83</v>
      </c>
      <c r="AD3396" s="3">
        <v>40389</v>
      </c>
      <c r="AE3396" s="2"/>
      <c r="AF3396" s="3">
        <v>40408</v>
      </c>
      <c r="AG3396" s="4">
        <v>0.45833333333333331</v>
      </c>
      <c r="AH3396" s="2">
        <v>5</v>
      </c>
      <c r="AI3396" s="2" t="s">
        <v>274</v>
      </c>
      <c r="AJ3396" s="2">
        <v>42</v>
      </c>
      <c r="AK3396" s="2" t="s">
        <v>660</v>
      </c>
      <c r="AL3396" s="2">
        <v>23</v>
      </c>
      <c r="AM3396" s="2" t="s">
        <v>251</v>
      </c>
      <c r="AN3396" s="2" t="s">
        <v>10951</v>
      </c>
      <c r="AO3396" s="2" t="s">
        <v>10952</v>
      </c>
      <c r="AP3396" s="2">
        <v>11</v>
      </c>
      <c r="AQ3396" s="2" t="s">
        <v>82</v>
      </c>
      <c r="AR3396" s="2" t="s">
        <v>82</v>
      </c>
      <c r="AS3396" s="2" t="s">
        <v>82</v>
      </c>
      <c r="AT3396" s="2" t="s">
        <v>10953</v>
      </c>
      <c r="AU3396" s="2"/>
      <c r="AV3396" s="2"/>
      <c r="AW3396" s="2"/>
      <c r="AX3396" s="2"/>
      <c r="AY3396" s="2">
        <v>70</v>
      </c>
      <c r="AZ3396" s="2" t="s">
        <v>236</v>
      </c>
      <c r="BA3396" s="2">
        <v>70</v>
      </c>
      <c r="BB3396" s="2" t="s">
        <v>236</v>
      </c>
      <c r="BC3396" s="2">
        <v>41</v>
      </c>
      <c r="BD3396" s="2" t="s">
        <v>82</v>
      </c>
      <c r="BE3396" s="2">
        <v>41</v>
      </c>
      <c r="BF3396" s="2" t="s">
        <v>82</v>
      </c>
      <c r="BG3396" s="2" t="s">
        <v>107</v>
      </c>
      <c r="BH3396" s="2"/>
      <c r="BI3396" s="2"/>
      <c r="BJ3396" s="2">
        <v>241</v>
      </c>
      <c r="BK3396" s="2" t="s">
        <v>82</v>
      </c>
      <c r="BL3396" s="2" t="s">
        <v>82</v>
      </c>
      <c r="BM3396" s="2">
        <v>241</v>
      </c>
      <c r="BN3396" s="2" t="s">
        <v>82</v>
      </c>
      <c r="BO3396" s="2" t="s">
        <v>82</v>
      </c>
      <c r="BP3396" s="2">
        <v>241</v>
      </c>
      <c r="BQ3396" s="2" t="s">
        <v>82</v>
      </c>
      <c r="BR3396" s="2" t="s">
        <v>82</v>
      </c>
      <c r="BS3396" s="3">
        <v>40408</v>
      </c>
      <c r="BT3396" s="4">
        <v>0.56625000000000003</v>
      </c>
    </row>
    <row r="3397" spans="1:72" x14ac:dyDescent="0.25">
      <c r="A3397" s="2">
        <v>5002</v>
      </c>
      <c r="B3397" s="2">
        <v>2010</v>
      </c>
      <c r="C3397" s="2" t="s">
        <v>414</v>
      </c>
      <c r="D3397" s="2" t="s">
        <v>122</v>
      </c>
      <c r="E3397" s="2"/>
      <c r="F3397" s="2">
        <v>1</v>
      </c>
      <c r="G3397" s="2" t="s">
        <v>82</v>
      </c>
      <c r="H3397" s="2">
        <v>1</v>
      </c>
      <c r="I3397" s="2" t="s">
        <v>82</v>
      </c>
      <c r="J3397" s="2">
        <v>1</v>
      </c>
      <c r="K3397" s="2" t="s">
        <v>107</v>
      </c>
      <c r="L3397" s="2" t="s">
        <v>107</v>
      </c>
      <c r="M3397" s="3">
        <v>40408</v>
      </c>
      <c r="N3397" s="2"/>
      <c r="O3397" s="2"/>
      <c r="P3397" s="2"/>
      <c r="Q3397" s="2" t="str">
        <f>""</f>
        <v/>
      </c>
      <c r="R3397" s="2"/>
      <c r="S3397" s="2"/>
      <c r="T3397" s="2">
        <v>1</v>
      </c>
      <c r="U3397" s="2" t="s">
        <v>79</v>
      </c>
      <c r="V3397" s="2">
        <v>1</v>
      </c>
      <c r="W3397" s="2" t="s">
        <v>80</v>
      </c>
      <c r="X3397" s="2">
        <v>1</v>
      </c>
      <c r="Y3397" s="2" t="s">
        <v>81</v>
      </c>
      <c r="Z3397" s="2">
        <v>10</v>
      </c>
      <c r="AA3397" s="2" t="s">
        <v>236</v>
      </c>
      <c r="AB3397" s="2">
        <v>9</v>
      </c>
      <c r="AC3397" s="2" t="s">
        <v>124</v>
      </c>
      <c r="AD3397" s="3">
        <v>40408</v>
      </c>
      <c r="AE3397" s="4">
        <v>0.47916666666666669</v>
      </c>
      <c r="AF3397" s="2"/>
      <c r="AG3397" s="2"/>
      <c r="AH3397" s="2">
        <v>2</v>
      </c>
      <c r="AI3397" s="2" t="s">
        <v>84</v>
      </c>
      <c r="AJ3397" s="2">
        <v>12</v>
      </c>
      <c r="AK3397" s="2" t="s">
        <v>85</v>
      </c>
      <c r="AL3397" s="2">
        <v>24</v>
      </c>
      <c r="AM3397" s="2" t="s">
        <v>1540</v>
      </c>
      <c r="AN3397" s="2" t="s">
        <v>10954</v>
      </c>
      <c r="AO3397" s="2" t="s">
        <v>194</v>
      </c>
      <c r="AP3397" s="2">
        <v>11</v>
      </c>
      <c r="AQ3397" s="2" t="s">
        <v>82</v>
      </c>
      <c r="AR3397" s="2"/>
      <c r="AS3397" s="2"/>
      <c r="AT3397" s="2" t="s">
        <v>10955</v>
      </c>
      <c r="AU3397" s="2"/>
      <c r="AV3397" s="2"/>
      <c r="AW3397" s="2"/>
      <c r="AX3397" s="2"/>
      <c r="AY3397" s="2">
        <v>41</v>
      </c>
      <c r="AZ3397" s="2" t="s">
        <v>82</v>
      </c>
      <c r="BA3397" s="2">
        <v>41</v>
      </c>
      <c r="BB3397" s="2" t="s">
        <v>82</v>
      </c>
      <c r="BC3397" s="2">
        <v>70</v>
      </c>
      <c r="BD3397" s="2" t="s">
        <v>236</v>
      </c>
      <c r="BE3397" s="2">
        <v>41</v>
      </c>
      <c r="BF3397" s="2" t="s">
        <v>82</v>
      </c>
      <c r="BG3397" s="2"/>
      <c r="BH3397" s="2"/>
      <c r="BI3397" s="2"/>
      <c r="BJ3397" s="2">
        <v>241</v>
      </c>
      <c r="BK3397" s="2" t="s">
        <v>82</v>
      </c>
      <c r="BL3397" s="2"/>
      <c r="BM3397" s="2">
        <v>241</v>
      </c>
      <c r="BN3397" s="2" t="s">
        <v>82</v>
      </c>
      <c r="BO3397" s="2"/>
      <c r="BP3397" s="2">
        <v>241</v>
      </c>
      <c r="BQ3397" s="2" t="s">
        <v>82</v>
      </c>
      <c r="BR3397" s="2"/>
      <c r="BS3397" s="3">
        <v>40408</v>
      </c>
      <c r="BT3397" s="4">
        <v>0.62650462962962961</v>
      </c>
    </row>
    <row r="3398" spans="1:72" x14ac:dyDescent="0.25">
      <c r="A3398" s="2">
        <v>5003</v>
      </c>
      <c r="B3398" s="2">
        <v>2010</v>
      </c>
      <c r="C3398" s="2" t="s">
        <v>819</v>
      </c>
      <c r="D3398" s="2" t="s">
        <v>73</v>
      </c>
      <c r="E3398" s="2"/>
      <c r="F3398" s="2">
        <v>226</v>
      </c>
      <c r="G3398" s="2" t="s">
        <v>5788</v>
      </c>
      <c r="H3398" s="2">
        <v>3</v>
      </c>
      <c r="I3398" s="2" t="s">
        <v>315</v>
      </c>
      <c r="J3398" s="2">
        <v>2</v>
      </c>
      <c r="K3398" s="2" t="s">
        <v>3661</v>
      </c>
      <c r="L3398" s="2" t="s">
        <v>3662</v>
      </c>
      <c r="M3398" s="3">
        <v>40408</v>
      </c>
      <c r="N3398" s="2" t="s">
        <v>10885</v>
      </c>
      <c r="O3398" s="2" t="s">
        <v>10956</v>
      </c>
      <c r="P3398" s="2" t="s">
        <v>107</v>
      </c>
      <c r="Q3398" s="2" t="str">
        <f>"423-E/10"</f>
        <v>423-E/10</v>
      </c>
      <c r="R3398" s="2" t="s">
        <v>107</v>
      </c>
      <c r="S3398" s="2" t="s">
        <v>10956</v>
      </c>
      <c r="T3398" s="2">
        <v>1</v>
      </c>
      <c r="U3398" s="2" t="s">
        <v>79</v>
      </c>
      <c r="V3398" s="2">
        <v>1</v>
      </c>
      <c r="W3398" s="2" t="s">
        <v>80</v>
      </c>
      <c r="X3398" s="2">
        <v>1</v>
      </c>
      <c r="Y3398" s="2" t="s">
        <v>81</v>
      </c>
      <c r="Z3398" s="2">
        <v>1</v>
      </c>
      <c r="AA3398" s="2" t="s">
        <v>82</v>
      </c>
      <c r="AB3398" s="2">
        <v>9</v>
      </c>
      <c r="AC3398" s="2" t="s">
        <v>124</v>
      </c>
      <c r="AD3398" s="3">
        <v>40408</v>
      </c>
      <c r="AE3398" s="4">
        <v>0.5</v>
      </c>
      <c r="AF3398" s="2"/>
      <c r="AG3398" s="2"/>
      <c r="AH3398" s="2">
        <v>2</v>
      </c>
      <c r="AI3398" s="2" t="s">
        <v>84</v>
      </c>
      <c r="AJ3398" s="2">
        <v>9</v>
      </c>
      <c r="AK3398" s="2" t="s">
        <v>103</v>
      </c>
      <c r="AL3398" s="2">
        <v>11</v>
      </c>
      <c r="AM3398" s="2" t="s">
        <v>137</v>
      </c>
      <c r="AN3398" s="2" t="s">
        <v>10957</v>
      </c>
      <c r="AO3398" s="2" t="s">
        <v>1340</v>
      </c>
      <c r="AP3398" s="2">
        <v>11</v>
      </c>
      <c r="AQ3398" s="2" t="s">
        <v>82</v>
      </c>
      <c r="AR3398" s="2"/>
      <c r="AS3398" s="2"/>
      <c r="AT3398" s="2" t="s">
        <v>10958</v>
      </c>
      <c r="AU3398" s="2"/>
      <c r="AV3398" s="2"/>
      <c r="AW3398" s="2"/>
      <c r="AX3398" s="2"/>
      <c r="AY3398" s="2">
        <v>41</v>
      </c>
      <c r="AZ3398" s="2" t="s">
        <v>82</v>
      </c>
      <c r="BA3398" s="2">
        <v>41</v>
      </c>
      <c r="BB3398" s="2" t="s">
        <v>82</v>
      </c>
      <c r="BC3398" s="2">
        <v>41</v>
      </c>
      <c r="BD3398" s="2" t="s">
        <v>82</v>
      </c>
      <c r="BE3398" s="2">
        <v>41</v>
      </c>
      <c r="BF3398" s="2" t="s">
        <v>82</v>
      </c>
      <c r="BG3398" s="2"/>
      <c r="BH3398" s="2"/>
      <c r="BI3398" s="2"/>
      <c r="BJ3398" s="2">
        <v>241</v>
      </c>
      <c r="BK3398" s="2" t="s">
        <v>82</v>
      </c>
      <c r="BL3398" s="2"/>
      <c r="BM3398" s="2">
        <v>241</v>
      </c>
      <c r="BN3398" s="2" t="s">
        <v>82</v>
      </c>
      <c r="BO3398" s="2"/>
      <c r="BP3398" s="2">
        <v>241</v>
      </c>
      <c r="BQ3398" s="2" t="s">
        <v>82</v>
      </c>
      <c r="BR3398" s="2"/>
      <c r="BS3398" s="3">
        <v>40408</v>
      </c>
      <c r="BT3398" s="4">
        <v>0.78472222222222221</v>
      </c>
    </row>
    <row r="3399" spans="1:72" x14ac:dyDescent="0.25">
      <c r="A3399" s="2">
        <v>5004</v>
      </c>
      <c r="B3399" s="2">
        <v>2010</v>
      </c>
      <c r="C3399" s="2" t="s">
        <v>72</v>
      </c>
      <c r="D3399" s="2" t="s">
        <v>73</v>
      </c>
      <c r="E3399" s="2"/>
      <c r="F3399" s="2">
        <v>305</v>
      </c>
      <c r="G3399" s="2" t="s">
        <v>2601</v>
      </c>
      <c r="H3399" s="2">
        <v>3</v>
      </c>
      <c r="I3399" s="2" t="s">
        <v>315</v>
      </c>
      <c r="J3399" s="2">
        <v>415</v>
      </c>
      <c r="K3399" s="2" t="s">
        <v>2200</v>
      </c>
      <c r="L3399" s="2" t="s">
        <v>575</v>
      </c>
      <c r="M3399" s="3">
        <v>40408</v>
      </c>
      <c r="N3399" s="2" t="s">
        <v>10959</v>
      </c>
      <c r="O3399" s="2" t="s">
        <v>10960</v>
      </c>
      <c r="P3399" s="2"/>
      <c r="Q3399" s="2" t="str">
        <f>"0007/2010"</f>
        <v>0007/2010</v>
      </c>
      <c r="R3399" s="2"/>
      <c r="S3399" s="2" t="s">
        <v>10961</v>
      </c>
      <c r="T3399" s="2">
        <v>1</v>
      </c>
      <c r="U3399" s="2" t="s">
        <v>79</v>
      </c>
      <c r="V3399" s="2">
        <v>1</v>
      </c>
      <c r="W3399" s="2" t="s">
        <v>80</v>
      </c>
      <c r="X3399" s="2">
        <v>12</v>
      </c>
      <c r="Y3399" s="2" t="s">
        <v>148</v>
      </c>
      <c r="Z3399" s="2">
        <v>1</v>
      </c>
      <c r="AA3399" s="2" t="s">
        <v>82</v>
      </c>
      <c r="AB3399" s="2">
        <v>6</v>
      </c>
      <c r="AC3399" s="2" t="s">
        <v>83</v>
      </c>
      <c r="AD3399" s="3">
        <v>40393</v>
      </c>
      <c r="AE3399" s="2"/>
      <c r="AF3399" s="3">
        <v>40408</v>
      </c>
      <c r="AG3399" s="4">
        <v>0.51388888888888895</v>
      </c>
      <c r="AH3399" s="2">
        <v>5</v>
      </c>
      <c r="AI3399" s="2" t="s">
        <v>274</v>
      </c>
      <c r="AJ3399" s="2">
        <v>40</v>
      </c>
      <c r="AK3399" s="2" t="s">
        <v>935</v>
      </c>
      <c r="AL3399" s="2">
        <v>23</v>
      </c>
      <c r="AM3399" s="2" t="s">
        <v>251</v>
      </c>
      <c r="AN3399" s="2"/>
      <c r="AO3399" s="2" t="s">
        <v>10962</v>
      </c>
      <c r="AP3399" s="2">
        <v>11</v>
      </c>
      <c r="AQ3399" s="2" t="s">
        <v>82</v>
      </c>
      <c r="AR3399" s="2"/>
      <c r="AS3399" s="2"/>
      <c r="AT3399" s="2" t="s">
        <v>10963</v>
      </c>
      <c r="AU3399" s="2"/>
      <c r="AV3399" s="2"/>
      <c r="AW3399" s="2"/>
      <c r="AX3399" s="2"/>
      <c r="AY3399" s="2">
        <v>70</v>
      </c>
      <c r="AZ3399" s="2" t="s">
        <v>236</v>
      </c>
      <c r="BA3399" s="2">
        <v>70</v>
      </c>
      <c r="BB3399" s="2" t="s">
        <v>236</v>
      </c>
      <c r="BC3399" s="2">
        <v>1</v>
      </c>
      <c r="BD3399" s="2" t="s">
        <v>107</v>
      </c>
      <c r="BE3399" s="2">
        <v>41</v>
      </c>
      <c r="BF3399" s="2" t="s">
        <v>82</v>
      </c>
      <c r="BG3399" s="2"/>
      <c r="BH3399" s="2"/>
      <c r="BI3399" s="2"/>
      <c r="BJ3399" s="2">
        <v>241</v>
      </c>
      <c r="BK3399" s="2" t="s">
        <v>82</v>
      </c>
      <c r="BL3399" s="2"/>
      <c r="BM3399" s="2">
        <v>241</v>
      </c>
      <c r="BN3399" s="2" t="s">
        <v>82</v>
      </c>
      <c r="BO3399" s="2"/>
      <c r="BP3399" s="2">
        <v>241</v>
      </c>
      <c r="BQ3399" s="2" t="s">
        <v>82</v>
      </c>
      <c r="BR3399" s="2"/>
      <c r="BS3399" s="3">
        <v>40408</v>
      </c>
      <c r="BT3399" s="4">
        <v>0.79351851851851851</v>
      </c>
    </row>
    <row r="3400" spans="1:72" x14ac:dyDescent="0.25">
      <c r="A3400" s="2">
        <v>5006</v>
      </c>
      <c r="B3400" s="2">
        <v>2010</v>
      </c>
      <c r="C3400" s="2" t="s">
        <v>196</v>
      </c>
      <c r="D3400" s="2" t="s">
        <v>122</v>
      </c>
      <c r="E3400" s="2"/>
      <c r="F3400" s="2">
        <v>1</v>
      </c>
      <c r="G3400" s="2" t="s">
        <v>82</v>
      </c>
      <c r="H3400" s="2">
        <v>1</v>
      </c>
      <c r="I3400" s="2" t="s">
        <v>82</v>
      </c>
      <c r="J3400" s="2">
        <v>1</v>
      </c>
      <c r="K3400" s="2" t="s">
        <v>107</v>
      </c>
      <c r="L3400" s="2" t="s">
        <v>107</v>
      </c>
      <c r="M3400" s="3">
        <v>40408</v>
      </c>
      <c r="N3400" s="2"/>
      <c r="O3400" s="2"/>
      <c r="P3400" s="2"/>
      <c r="Q3400" s="2" t="str">
        <f>""</f>
        <v/>
      </c>
      <c r="R3400" s="2"/>
      <c r="S3400" s="2"/>
      <c r="T3400" s="2">
        <v>2</v>
      </c>
      <c r="U3400" s="2" t="s">
        <v>123</v>
      </c>
      <c r="V3400" s="2">
        <v>1</v>
      </c>
      <c r="W3400" s="2" t="s">
        <v>80</v>
      </c>
      <c r="X3400" s="2">
        <v>11</v>
      </c>
      <c r="Y3400" s="2" t="s">
        <v>1920</v>
      </c>
      <c r="Z3400" s="2">
        <v>10</v>
      </c>
      <c r="AA3400" s="2" t="s">
        <v>236</v>
      </c>
      <c r="AB3400" s="2">
        <v>9</v>
      </c>
      <c r="AC3400" s="2" t="s">
        <v>124</v>
      </c>
      <c r="AD3400" s="3">
        <v>40408</v>
      </c>
      <c r="AE3400" s="4">
        <v>0.58333333333333337</v>
      </c>
      <c r="AF3400" s="2"/>
      <c r="AG3400" s="2"/>
      <c r="AH3400" s="2">
        <v>2</v>
      </c>
      <c r="AI3400" s="2" t="s">
        <v>84</v>
      </c>
      <c r="AJ3400" s="2">
        <v>12</v>
      </c>
      <c r="AK3400" s="2" t="s">
        <v>85</v>
      </c>
      <c r="AL3400" s="2">
        <v>20</v>
      </c>
      <c r="AM3400" s="2" t="s">
        <v>992</v>
      </c>
      <c r="AN3400" s="2"/>
      <c r="AO3400" s="2" t="s">
        <v>993</v>
      </c>
      <c r="AP3400" s="2">
        <v>11</v>
      </c>
      <c r="AQ3400" s="2" t="s">
        <v>82</v>
      </c>
      <c r="AR3400" s="2"/>
      <c r="AS3400" s="2"/>
      <c r="AT3400" s="2" t="s">
        <v>10964</v>
      </c>
      <c r="AU3400" s="2"/>
      <c r="AV3400" s="2"/>
      <c r="AW3400" s="2"/>
      <c r="AX3400" s="2"/>
      <c r="AY3400" s="2">
        <v>41</v>
      </c>
      <c r="AZ3400" s="2" t="s">
        <v>82</v>
      </c>
      <c r="BA3400" s="2">
        <v>41</v>
      </c>
      <c r="BB3400" s="2" t="s">
        <v>82</v>
      </c>
      <c r="BC3400" s="2">
        <v>41</v>
      </c>
      <c r="BD3400" s="2" t="s">
        <v>82</v>
      </c>
      <c r="BE3400" s="2">
        <v>1</v>
      </c>
      <c r="BF3400" s="2" t="s">
        <v>107</v>
      </c>
      <c r="BG3400" s="2" t="s">
        <v>265</v>
      </c>
      <c r="BH3400" s="2"/>
      <c r="BI3400" s="4">
        <v>0.77430555555555547</v>
      </c>
      <c r="BJ3400" s="2">
        <v>13</v>
      </c>
      <c r="BK3400" s="2" t="s">
        <v>91</v>
      </c>
      <c r="BL3400" s="2" t="s">
        <v>185</v>
      </c>
      <c r="BM3400" s="2">
        <v>241</v>
      </c>
      <c r="BN3400" s="2" t="s">
        <v>82</v>
      </c>
      <c r="BO3400" s="2"/>
      <c r="BP3400" s="2">
        <v>13</v>
      </c>
      <c r="BQ3400" s="2" t="s">
        <v>91</v>
      </c>
      <c r="BR3400" s="2" t="s">
        <v>1705</v>
      </c>
      <c r="BS3400" s="3">
        <v>40408</v>
      </c>
      <c r="BT3400" s="4">
        <v>0.8062962962962964</v>
      </c>
    </row>
    <row r="3401" spans="1:72" x14ac:dyDescent="0.25">
      <c r="A3401" s="2">
        <v>5007</v>
      </c>
      <c r="B3401" s="2">
        <v>2010</v>
      </c>
      <c r="C3401" s="2" t="s">
        <v>377</v>
      </c>
      <c r="D3401" s="2" t="s">
        <v>73</v>
      </c>
      <c r="E3401" s="2"/>
      <c r="F3401" s="2">
        <v>426</v>
      </c>
      <c r="G3401" s="2" t="s">
        <v>378</v>
      </c>
      <c r="H3401" s="2">
        <v>22</v>
      </c>
      <c r="I3401" s="2" t="s">
        <v>75</v>
      </c>
      <c r="J3401" s="2">
        <v>311</v>
      </c>
      <c r="K3401" s="2" t="s">
        <v>379</v>
      </c>
      <c r="L3401" s="2" t="s">
        <v>380</v>
      </c>
      <c r="M3401" s="3">
        <v>40408</v>
      </c>
      <c r="N3401" s="2" t="s">
        <v>5164</v>
      </c>
      <c r="O3401" s="2"/>
      <c r="P3401" s="2"/>
      <c r="Q3401" s="2" t="str">
        <f>"208-C/10"</f>
        <v>208-C/10</v>
      </c>
      <c r="R3401" s="2" t="s">
        <v>4428</v>
      </c>
      <c r="S3401" s="2"/>
      <c r="T3401" s="2">
        <v>1</v>
      </c>
      <c r="U3401" s="2" t="s">
        <v>79</v>
      </c>
      <c r="V3401" s="2">
        <v>1</v>
      </c>
      <c r="W3401" s="2" t="s">
        <v>80</v>
      </c>
      <c r="X3401" s="2">
        <v>1</v>
      </c>
      <c r="Y3401" s="2" t="s">
        <v>81</v>
      </c>
      <c r="Z3401" s="2">
        <v>1</v>
      </c>
      <c r="AA3401" s="2" t="s">
        <v>82</v>
      </c>
      <c r="AB3401" s="2">
        <v>9</v>
      </c>
      <c r="AC3401" s="2" t="s">
        <v>124</v>
      </c>
      <c r="AD3401" s="3">
        <v>40408</v>
      </c>
      <c r="AE3401" s="4">
        <v>0.45833333333333331</v>
      </c>
      <c r="AF3401" s="2"/>
      <c r="AG3401" s="2"/>
      <c r="AH3401" s="2">
        <v>2</v>
      </c>
      <c r="AI3401" s="2" t="s">
        <v>84</v>
      </c>
      <c r="AJ3401" s="2">
        <v>9</v>
      </c>
      <c r="AK3401" s="2" t="s">
        <v>103</v>
      </c>
      <c r="AL3401" s="2">
        <v>29</v>
      </c>
      <c r="AM3401" s="2" t="s">
        <v>5416</v>
      </c>
      <c r="AN3401" s="2"/>
      <c r="AO3401" s="2" t="s">
        <v>9745</v>
      </c>
      <c r="AP3401" s="2">
        <v>11</v>
      </c>
      <c r="AQ3401" s="2" t="s">
        <v>82</v>
      </c>
      <c r="AR3401" s="2"/>
      <c r="AS3401" s="2"/>
      <c r="AT3401" s="2" t="s">
        <v>10965</v>
      </c>
      <c r="AU3401" s="2"/>
      <c r="AV3401" s="2"/>
      <c r="AW3401" s="2"/>
      <c r="AX3401" s="2"/>
      <c r="AY3401" s="2">
        <v>41</v>
      </c>
      <c r="AZ3401" s="2" t="s">
        <v>82</v>
      </c>
      <c r="BA3401" s="2">
        <v>41</v>
      </c>
      <c r="BB3401" s="2" t="s">
        <v>82</v>
      </c>
      <c r="BC3401" s="2">
        <v>41</v>
      </c>
      <c r="BD3401" s="2" t="s">
        <v>82</v>
      </c>
      <c r="BE3401" s="2">
        <v>41</v>
      </c>
      <c r="BF3401" s="2" t="s">
        <v>82</v>
      </c>
      <c r="BG3401" s="2"/>
      <c r="BH3401" s="2"/>
      <c r="BI3401" s="2"/>
      <c r="BJ3401" s="2">
        <v>241</v>
      </c>
      <c r="BK3401" s="2" t="s">
        <v>82</v>
      </c>
      <c r="BL3401" s="2"/>
      <c r="BM3401" s="2">
        <v>241</v>
      </c>
      <c r="BN3401" s="2" t="s">
        <v>82</v>
      </c>
      <c r="BO3401" s="2"/>
      <c r="BP3401" s="2">
        <v>241</v>
      </c>
      <c r="BQ3401" s="2" t="s">
        <v>82</v>
      </c>
      <c r="BR3401" s="2"/>
      <c r="BS3401" s="3">
        <v>40408</v>
      </c>
      <c r="BT3401" s="4">
        <v>0.81240740740740736</v>
      </c>
    </row>
    <row r="3402" spans="1:72" x14ac:dyDescent="0.25">
      <c r="A3402" s="2">
        <v>5008</v>
      </c>
      <c r="B3402" s="2">
        <v>2010</v>
      </c>
      <c r="C3402" s="2" t="s">
        <v>196</v>
      </c>
      <c r="D3402" s="2" t="s">
        <v>122</v>
      </c>
      <c r="E3402" s="2"/>
      <c r="F3402" s="2">
        <v>1</v>
      </c>
      <c r="G3402" s="2" t="s">
        <v>82</v>
      </c>
      <c r="H3402" s="2">
        <v>1</v>
      </c>
      <c r="I3402" s="2" t="s">
        <v>82</v>
      </c>
      <c r="J3402" s="2">
        <v>1</v>
      </c>
      <c r="K3402" s="2" t="s">
        <v>107</v>
      </c>
      <c r="L3402" s="2" t="s">
        <v>107</v>
      </c>
      <c r="M3402" s="3">
        <v>40408</v>
      </c>
      <c r="N3402" s="2" t="s">
        <v>82</v>
      </c>
      <c r="O3402" s="2" t="s">
        <v>82</v>
      </c>
      <c r="P3402" s="2" t="s">
        <v>82</v>
      </c>
      <c r="Q3402" s="2" t="str">
        <f>"N/C"</f>
        <v>N/C</v>
      </c>
      <c r="R3402" s="2" t="s">
        <v>82</v>
      </c>
      <c r="S3402" s="2" t="s">
        <v>82</v>
      </c>
      <c r="T3402" s="2">
        <v>2</v>
      </c>
      <c r="U3402" s="2" t="s">
        <v>123</v>
      </c>
      <c r="V3402" s="2">
        <v>1</v>
      </c>
      <c r="W3402" s="2" t="s">
        <v>80</v>
      </c>
      <c r="X3402" s="2">
        <v>11</v>
      </c>
      <c r="Y3402" s="2" t="s">
        <v>1920</v>
      </c>
      <c r="Z3402" s="2">
        <v>1</v>
      </c>
      <c r="AA3402" s="2" t="s">
        <v>82</v>
      </c>
      <c r="AB3402" s="2">
        <v>9</v>
      </c>
      <c r="AC3402" s="2" t="s">
        <v>124</v>
      </c>
      <c r="AD3402" s="2"/>
      <c r="AE3402" s="2"/>
      <c r="AF3402" s="2"/>
      <c r="AG3402" s="2"/>
      <c r="AH3402" s="2">
        <v>5</v>
      </c>
      <c r="AI3402" s="2" t="s">
        <v>274</v>
      </c>
      <c r="AJ3402" s="2">
        <v>45</v>
      </c>
      <c r="AK3402" s="2" t="s">
        <v>834</v>
      </c>
      <c r="AL3402" s="2">
        <v>18</v>
      </c>
      <c r="AM3402" s="2" t="s">
        <v>82</v>
      </c>
      <c r="AN3402" s="2" t="s">
        <v>82</v>
      </c>
      <c r="AO3402" s="2" t="s">
        <v>82</v>
      </c>
      <c r="AP3402" s="2">
        <v>11</v>
      </c>
      <c r="AQ3402" s="2" t="s">
        <v>82</v>
      </c>
      <c r="AR3402" s="2" t="s">
        <v>82</v>
      </c>
      <c r="AS3402" s="2" t="s">
        <v>82</v>
      </c>
      <c r="AT3402" s="2" t="s">
        <v>10966</v>
      </c>
      <c r="AU3402" s="2"/>
      <c r="AV3402" s="2"/>
      <c r="AW3402" s="2"/>
      <c r="AX3402" s="2"/>
      <c r="AY3402" s="2">
        <v>41</v>
      </c>
      <c r="AZ3402" s="2" t="s">
        <v>82</v>
      </c>
      <c r="BA3402" s="2">
        <v>41</v>
      </c>
      <c r="BB3402" s="2" t="s">
        <v>82</v>
      </c>
      <c r="BC3402" s="2">
        <v>41</v>
      </c>
      <c r="BD3402" s="2" t="s">
        <v>82</v>
      </c>
      <c r="BE3402" s="2">
        <v>42</v>
      </c>
      <c r="BF3402" s="2" t="s">
        <v>182</v>
      </c>
      <c r="BG3402" s="2" t="s">
        <v>265</v>
      </c>
      <c r="BH3402" s="4">
        <v>0.79513888888888884</v>
      </c>
      <c r="BI3402" s="2"/>
      <c r="BJ3402" s="2">
        <v>13</v>
      </c>
      <c r="BK3402" s="2" t="s">
        <v>91</v>
      </c>
      <c r="BL3402" s="2" t="s">
        <v>10967</v>
      </c>
      <c r="BM3402" s="2">
        <v>13</v>
      </c>
      <c r="BN3402" s="2" t="s">
        <v>91</v>
      </c>
      <c r="BO3402" s="2" t="s">
        <v>1705</v>
      </c>
      <c r="BP3402" s="2">
        <v>242</v>
      </c>
      <c r="BQ3402" s="2" t="s">
        <v>107</v>
      </c>
      <c r="BR3402" s="2" t="s">
        <v>107</v>
      </c>
      <c r="BS3402" s="3">
        <v>40408</v>
      </c>
      <c r="BT3402" s="4">
        <v>0.81494212962962964</v>
      </c>
    </row>
    <row r="3403" spans="1:72" x14ac:dyDescent="0.25">
      <c r="A3403" s="2">
        <v>5009</v>
      </c>
      <c r="B3403" s="2">
        <v>2010</v>
      </c>
      <c r="C3403" s="2" t="s">
        <v>377</v>
      </c>
      <c r="D3403" s="2" t="s">
        <v>73</v>
      </c>
      <c r="E3403" s="2"/>
      <c r="F3403" s="2">
        <v>426</v>
      </c>
      <c r="G3403" s="2" t="s">
        <v>378</v>
      </c>
      <c r="H3403" s="2">
        <v>42</v>
      </c>
      <c r="I3403" s="2" t="s">
        <v>1096</v>
      </c>
      <c r="J3403" s="2">
        <v>311</v>
      </c>
      <c r="K3403" s="2" t="s">
        <v>379</v>
      </c>
      <c r="L3403" s="2" t="s">
        <v>380</v>
      </c>
      <c r="M3403" s="3">
        <v>40408</v>
      </c>
      <c r="N3403" s="2" t="s">
        <v>5164</v>
      </c>
      <c r="O3403" s="2"/>
      <c r="P3403" s="2"/>
      <c r="Q3403" s="2" t="str">
        <f>"209-C/10"</f>
        <v>209-C/10</v>
      </c>
      <c r="R3403" s="2" t="s">
        <v>4428</v>
      </c>
      <c r="S3403" s="2"/>
      <c r="T3403" s="2">
        <v>1</v>
      </c>
      <c r="U3403" s="2" t="s">
        <v>79</v>
      </c>
      <c r="V3403" s="2">
        <v>1</v>
      </c>
      <c r="W3403" s="2" t="s">
        <v>80</v>
      </c>
      <c r="X3403" s="2">
        <v>1</v>
      </c>
      <c r="Y3403" s="2" t="s">
        <v>81</v>
      </c>
      <c r="Z3403" s="2">
        <v>1</v>
      </c>
      <c r="AA3403" s="2" t="s">
        <v>82</v>
      </c>
      <c r="AB3403" s="2">
        <v>9</v>
      </c>
      <c r="AC3403" s="2" t="s">
        <v>124</v>
      </c>
      <c r="AD3403" s="3">
        <v>40408</v>
      </c>
      <c r="AE3403" s="4">
        <v>0.50694444444444442</v>
      </c>
      <c r="AF3403" s="2"/>
      <c r="AG3403" s="2"/>
      <c r="AH3403" s="2">
        <v>2</v>
      </c>
      <c r="AI3403" s="2" t="s">
        <v>84</v>
      </c>
      <c r="AJ3403" s="2">
        <v>9</v>
      </c>
      <c r="AK3403" s="2" t="s">
        <v>103</v>
      </c>
      <c r="AL3403" s="2">
        <v>29</v>
      </c>
      <c r="AM3403" s="2" t="s">
        <v>5416</v>
      </c>
      <c r="AN3403" s="2"/>
      <c r="AO3403" s="2" t="s">
        <v>7046</v>
      </c>
      <c r="AP3403" s="2">
        <v>11</v>
      </c>
      <c r="AQ3403" s="2" t="s">
        <v>82</v>
      </c>
      <c r="AR3403" s="2"/>
      <c r="AS3403" s="2"/>
      <c r="AT3403" s="2" t="s">
        <v>10968</v>
      </c>
      <c r="AU3403" s="2"/>
      <c r="AV3403" s="2"/>
      <c r="AW3403" s="2"/>
      <c r="AX3403" s="2"/>
      <c r="AY3403" s="2">
        <v>41</v>
      </c>
      <c r="AZ3403" s="2" t="s">
        <v>82</v>
      </c>
      <c r="BA3403" s="2">
        <v>41</v>
      </c>
      <c r="BB3403" s="2" t="s">
        <v>82</v>
      </c>
      <c r="BC3403" s="2">
        <v>41</v>
      </c>
      <c r="BD3403" s="2" t="s">
        <v>82</v>
      </c>
      <c r="BE3403" s="2">
        <v>41</v>
      </c>
      <c r="BF3403" s="2" t="s">
        <v>82</v>
      </c>
      <c r="BG3403" s="2"/>
      <c r="BH3403" s="2"/>
      <c r="BI3403" s="2"/>
      <c r="BJ3403" s="2">
        <v>241</v>
      </c>
      <c r="BK3403" s="2" t="s">
        <v>82</v>
      </c>
      <c r="BL3403" s="2"/>
      <c r="BM3403" s="2">
        <v>241</v>
      </c>
      <c r="BN3403" s="2" t="s">
        <v>82</v>
      </c>
      <c r="BO3403" s="2"/>
      <c r="BP3403" s="2">
        <v>241</v>
      </c>
      <c r="BQ3403" s="2" t="s">
        <v>82</v>
      </c>
      <c r="BR3403" s="2"/>
      <c r="BS3403" s="3">
        <v>40408</v>
      </c>
      <c r="BT3403" s="4">
        <v>0.82890046296296294</v>
      </c>
    </row>
    <row r="3404" spans="1:72" x14ac:dyDescent="0.25">
      <c r="A3404" s="2">
        <v>5011</v>
      </c>
      <c r="B3404" s="2">
        <v>2010</v>
      </c>
      <c r="C3404" s="2" t="s">
        <v>377</v>
      </c>
      <c r="D3404" s="2" t="s">
        <v>73</v>
      </c>
      <c r="E3404" s="2"/>
      <c r="F3404" s="2">
        <v>426</v>
      </c>
      <c r="G3404" s="2" t="s">
        <v>378</v>
      </c>
      <c r="H3404" s="2">
        <v>22</v>
      </c>
      <c r="I3404" s="2" t="s">
        <v>75</v>
      </c>
      <c r="J3404" s="2">
        <v>311</v>
      </c>
      <c r="K3404" s="2" t="s">
        <v>379</v>
      </c>
      <c r="L3404" s="2" t="s">
        <v>380</v>
      </c>
      <c r="M3404" s="3">
        <v>40408</v>
      </c>
      <c r="N3404" s="2" t="s">
        <v>5164</v>
      </c>
      <c r="O3404" s="2"/>
      <c r="P3404" s="2"/>
      <c r="Q3404" s="2" t="str">
        <f>"210-C/10"</f>
        <v>210-C/10</v>
      </c>
      <c r="R3404" s="2"/>
      <c r="S3404" s="2" t="s">
        <v>4428</v>
      </c>
      <c r="T3404" s="2">
        <v>1</v>
      </c>
      <c r="U3404" s="2" t="s">
        <v>79</v>
      </c>
      <c r="V3404" s="2">
        <v>1</v>
      </c>
      <c r="W3404" s="2" t="s">
        <v>80</v>
      </c>
      <c r="X3404" s="2">
        <v>1</v>
      </c>
      <c r="Y3404" s="2" t="s">
        <v>81</v>
      </c>
      <c r="Z3404" s="2">
        <v>1</v>
      </c>
      <c r="AA3404" s="2" t="s">
        <v>82</v>
      </c>
      <c r="AB3404" s="2">
        <v>9</v>
      </c>
      <c r="AC3404" s="2" t="s">
        <v>124</v>
      </c>
      <c r="AD3404" s="3">
        <v>40408</v>
      </c>
      <c r="AE3404" s="4">
        <v>0.64583333333333337</v>
      </c>
      <c r="AF3404" s="2"/>
      <c r="AG3404" s="2"/>
      <c r="AH3404" s="2">
        <v>2</v>
      </c>
      <c r="AI3404" s="2" t="s">
        <v>84</v>
      </c>
      <c r="AJ3404" s="2">
        <v>9</v>
      </c>
      <c r="AK3404" s="2" t="s">
        <v>103</v>
      </c>
      <c r="AL3404" s="2">
        <v>12</v>
      </c>
      <c r="AM3404" s="2" t="s">
        <v>86</v>
      </c>
      <c r="AN3404" s="2"/>
      <c r="AO3404" s="2" t="s">
        <v>10969</v>
      </c>
      <c r="AP3404" s="2">
        <v>11</v>
      </c>
      <c r="AQ3404" s="2" t="s">
        <v>82</v>
      </c>
      <c r="AR3404" s="2"/>
      <c r="AS3404" s="2"/>
      <c r="AT3404" s="2" t="s">
        <v>10970</v>
      </c>
      <c r="AU3404" s="2"/>
      <c r="AV3404" s="2"/>
      <c r="AW3404" s="2"/>
      <c r="AX3404" s="2"/>
      <c r="AY3404" s="2">
        <v>41</v>
      </c>
      <c r="AZ3404" s="2" t="s">
        <v>82</v>
      </c>
      <c r="BA3404" s="2">
        <v>41</v>
      </c>
      <c r="BB3404" s="2" t="s">
        <v>82</v>
      </c>
      <c r="BC3404" s="2">
        <v>41</v>
      </c>
      <c r="BD3404" s="2" t="s">
        <v>82</v>
      </c>
      <c r="BE3404" s="2">
        <v>41</v>
      </c>
      <c r="BF3404" s="2" t="s">
        <v>82</v>
      </c>
      <c r="BG3404" s="2"/>
      <c r="BH3404" s="2"/>
      <c r="BI3404" s="2"/>
      <c r="BJ3404" s="2">
        <v>241</v>
      </c>
      <c r="BK3404" s="2" t="s">
        <v>82</v>
      </c>
      <c r="BL3404" s="2"/>
      <c r="BM3404" s="2">
        <v>241</v>
      </c>
      <c r="BN3404" s="2" t="s">
        <v>82</v>
      </c>
      <c r="BO3404" s="2"/>
      <c r="BP3404" s="2">
        <v>241</v>
      </c>
      <c r="BQ3404" s="2" t="s">
        <v>82</v>
      </c>
      <c r="BR3404" s="2"/>
      <c r="BS3404" s="3">
        <v>40408</v>
      </c>
      <c r="BT3404" s="4">
        <v>0.84841435185185177</v>
      </c>
    </row>
    <row r="3405" spans="1:72" x14ac:dyDescent="0.25">
      <c r="A3405" s="2">
        <v>5013</v>
      </c>
      <c r="B3405" s="2">
        <v>2010</v>
      </c>
      <c r="C3405" s="2" t="s">
        <v>377</v>
      </c>
      <c r="D3405" s="2" t="s">
        <v>73</v>
      </c>
      <c r="E3405" s="2"/>
      <c r="F3405" s="2">
        <v>426</v>
      </c>
      <c r="G3405" s="2" t="s">
        <v>378</v>
      </c>
      <c r="H3405" s="2">
        <v>22</v>
      </c>
      <c r="I3405" s="2" t="s">
        <v>75</v>
      </c>
      <c r="J3405" s="2">
        <v>311</v>
      </c>
      <c r="K3405" s="2" t="s">
        <v>379</v>
      </c>
      <c r="L3405" s="2" t="s">
        <v>380</v>
      </c>
      <c r="M3405" s="3">
        <v>40408</v>
      </c>
      <c r="N3405" s="2" t="s">
        <v>5164</v>
      </c>
      <c r="O3405" s="2"/>
      <c r="P3405" s="2"/>
      <c r="Q3405" s="2" t="str">
        <f>"211-C/10"</f>
        <v>211-C/10</v>
      </c>
      <c r="R3405" s="2" t="s">
        <v>4428</v>
      </c>
      <c r="S3405" s="2"/>
      <c r="T3405" s="2">
        <v>1</v>
      </c>
      <c r="U3405" s="2" t="s">
        <v>79</v>
      </c>
      <c r="V3405" s="2">
        <v>1</v>
      </c>
      <c r="W3405" s="2" t="s">
        <v>80</v>
      </c>
      <c r="X3405" s="2">
        <v>1</v>
      </c>
      <c r="Y3405" s="2" t="s">
        <v>81</v>
      </c>
      <c r="Z3405" s="2">
        <v>1</v>
      </c>
      <c r="AA3405" s="2" t="s">
        <v>82</v>
      </c>
      <c r="AB3405" s="2">
        <v>9</v>
      </c>
      <c r="AC3405" s="2" t="s">
        <v>124</v>
      </c>
      <c r="AD3405" s="3">
        <v>40408</v>
      </c>
      <c r="AE3405" s="4">
        <v>0.69444444444444453</v>
      </c>
      <c r="AF3405" s="2"/>
      <c r="AG3405" s="2"/>
      <c r="AH3405" s="2">
        <v>2</v>
      </c>
      <c r="AI3405" s="2" t="s">
        <v>84</v>
      </c>
      <c r="AJ3405" s="2">
        <v>9</v>
      </c>
      <c r="AK3405" s="2" t="s">
        <v>103</v>
      </c>
      <c r="AL3405" s="2">
        <v>29</v>
      </c>
      <c r="AM3405" s="2" t="s">
        <v>5416</v>
      </c>
      <c r="AN3405" s="2"/>
      <c r="AO3405" s="2" t="s">
        <v>4220</v>
      </c>
      <c r="AP3405" s="2">
        <v>11</v>
      </c>
      <c r="AQ3405" s="2" t="s">
        <v>82</v>
      </c>
      <c r="AR3405" s="2"/>
      <c r="AS3405" s="2"/>
      <c r="AT3405" s="2" t="s">
        <v>9711</v>
      </c>
      <c r="AU3405" s="2"/>
      <c r="AV3405" s="2"/>
      <c r="AW3405" s="2"/>
      <c r="AX3405" s="2"/>
      <c r="AY3405" s="2">
        <v>41</v>
      </c>
      <c r="AZ3405" s="2" t="s">
        <v>82</v>
      </c>
      <c r="BA3405" s="2">
        <v>41</v>
      </c>
      <c r="BB3405" s="2" t="s">
        <v>82</v>
      </c>
      <c r="BC3405" s="2">
        <v>41</v>
      </c>
      <c r="BD3405" s="2" t="s">
        <v>82</v>
      </c>
      <c r="BE3405" s="2">
        <v>41</v>
      </c>
      <c r="BF3405" s="2" t="s">
        <v>82</v>
      </c>
      <c r="BG3405" s="2"/>
      <c r="BH3405" s="2"/>
      <c r="BI3405" s="2"/>
      <c r="BJ3405" s="2">
        <v>241</v>
      </c>
      <c r="BK3405" s="2" t="s">
        <v>82</v>
      </c>
      <c r="BL3405" s="2"/>
      <c r="BM3405" s="2">
        <v>241</v>
      </c>
      <c r="BN3405" s="2" t="s">
        <v>82</v>
      </c>
      <c r="BO3405" s="2"/>
      <c r="BP3405" s="2">
        <v>241</v>
      </c>
      <c r="BQ3405" s="2" t="s">
        <v>82</v>
      </c>
      <c r="BR3405" s="2"/>
      <c r="BS3405" s="3">
        <v>40408</v>
      </c>
      <c r="BT3405" s="4">
        <v>0.88390046296296287</v>
      </c>
    </row>
    <row r="3406" spans="1:72" x14ac:dyDescent="0.25">
      <c r="A3406" s="2">
        <v>5014</v>
      </c>
      <c r="B3406" s="2">
        <v>2010</v>
      </c>
      <c r="C3406" s="2" t="s">
        <v>377</v>
      </c>
      <c r="D3406" s="2" t="s">
        <v>73</v>
      </c>
      <c r="E3406" s="2"/>
      <c r="F3406" s="2">
        <v>426</v>
      </c>
      <c r="G3406" s="2" t="s">
        <v>378</v>
      </c>
      <c r="H3406" s="2">
        <v>42</v>
      </c>
      <c r="I3406" s="2" t="s">
        <v>1096</v>
      </c>
      <c r="J3406" s="2">
        <v>311</v>
      </c>
      <c r="K3406" s="2" t="s">
        <v>379</v>
      </c>
      <c r="L3406" s="2" t="s">
        <v>380</v>
      </c>
      <c r="M3406" s="3">
        <v>40408</v>
      </c>
      <c r="N3406" s="2" t="s">
        <v>5164</v>
      </c>
      <c r="O3406" s="2"/>
      <c r="P3406" s="2"/>
      <c r="Q3406" s="2" t="str">
        <f>"212-C/10"</f>
        <v>212-C/10</v>
      </c>
      <c r="R3406" s="2" t="s">
        <v>4428</v>
      </c>
      <c r="S3406" s="2"/>
      <c r="T3406" s="2">
        <v>1</v>
      </c>
      <c r="U3406" s="2" t="s">
        <v>79</v>
      </c>
      <c r="V3406" s="2">
        <v>1</v>
      </c>
      <c r="W3406" s="2" t="s">
        <v>80</v>
      </c>
      <c r="X3406" s="2">
        <v>1</v>
      </c>
      <c r="Y3406" s="2" t="s">
        <v>81</v>
      </c>
      <c r="Z3406" s="2">
        <v>1</v>
      </c>
      <c r="AA3406" s="2" t="s">
        <v>82</v>
      </c>
      <c r="AB3406" s="2">
        <v>9</v>
      </c>
      <c r="AC3406" s="2" t="s">
        <v>124</v>
      </c>
      <c r="AD3406" s="3">
        <v>40408</v>
      </c>
      <c r="AE3406" s="4">
        <v>0.6875</v>
      </c>
      <c r="AF3406" s="2"/>
      <c r="AG3406" s="2"/>
      <c r="AH3406" s="2">
        <v>2</v>
      </c>
      <c r="AI3406" s="2" t="s">
        <v>84</v>
      </c>
      <c r="AJ3406" s="2">
        <v>9</v>
      </c>
      <c r="AK3406" s="2" t="s">
        <v>103</v>
      </c>
      <c r="AL3406" s="2">
        <v>29</v>
      </c>
      <c r="AM3406" s="2" t="s">
        <v>5416</v>
      </c>
      <c r="AN3406" s="2"/>
      <c r="AO3406" s="2" t="s">
        <v>10971</v>
      </c>
      <c r="AP3406" s="2">
        <v>11</v>
      </c>
      <c r="AQ3406" s="2" t="s">
        <v>82</v>
      </c>
      <c r="AR3406" s="2"/>
      <c r="AS3406" s="2"/>
      <c r="AT3406" s="2" t="s">
        <v>10972</v>
      </c>
      <c r="AU3406" s="2"/>
      <c r="AV3406" s="2"/>
      <c r="AW3406" s="2"/>
      <c r="AX3406" s="2"/>
      <c r="AY3406" s="2">
        <v>41</v>
      </c>
      <c r="AZ3406" s="2" t="s">
        <v>82</v>
      </c>
      <c r="BA3406" s="2">
        <v>41</v>
      </c>
      <c r="BB3406" s="2" t="s">
        <v>82</v>
      </c>
      <c r="BC3406" s="2">
        <v>41</v>
      </c>
      <c r="BD3406" s="2" t="s">
        <v>82</v>
      </c>
      <c r="BE3406" s="2">
        <v>41</v>
      </c>
      <c r="BF3406" s="2" t="s">
        <v>82</v>
      </c>
      <c r="BG3406" s="2"/>
      <c r="BH3406" s="2"/>
      <c r="BI3406" s="2"/>
      <c r="BJ3406" s="2">
        <v>241</v>
      </c>
      <c r="BK3406" s="2" t="s">
        <v>82</v>
      </c>
      <c r="BL3406" s="2"/>
      <c r="BM3406" s="2">
        <v>241</v>
      </c>
      <c r="BN3406" s="2" t="s">
        <v>82</v>
      </c>
      <c r="BO3406" s="2"/>
      <c r="BP3406" s="2">
        <v>241</v>
      </c>
      <c r="BQ3406" s="2" t="s">
        <v>82</v>
      </c>
      <c r="BR3406" s="2"/>
      <c r="BS3406" s="3">
        <v>40408</v>
      </c>
      <c r="BT3406" s="4">
        <v>0.89785879629629628</v>
      </c>
    </row>
    <row r="3407" spans="1:72" x14ac:dyDescent="0.25">
      <c r="A3407" s="2">
        <v>5015</v>
      </c>
      <c r="B3407" s="2">
        <v>2010</v>
      </c>
      <c r="C3407" s="2" t="s">
        <v>554</v>
      </c>
      <c r="D3407" s="2" t="s">
        <v>73</v>
      </c>
      <c r="E3407" s="2"/>
      <c r="F3407" s="2">
        <v>222</v>
      </c>
      <c r="G3407" s="2" t="s">
        <v>10973</v>
      </c>
      <c r="H3407" s="2">
        <v>22</v>
      </c>
      <c r="I3407" s="2" t="s">
        <v>75</v>
      </c>
      <c r="J3407" s="2">
        <v>642</v>
      </c>
      <c r="K3407" s="2" t="s">
        <v>10893</v>
      </c>
      <c r="L3407" s="2" t="s">
        <v>6311</v>
      </c>
      <c r="M3407" s="3">
        <v>40408</v>
      </c>
      <c r="N3407" s="2" t="s">
        <v>10974</v>
      </c>
      <c r="O3407" s="2" t="s">
        <v>82</v>
      </c>
      <c r="P3407" s="2" t="s">
        <v>107</v>
      </c>
      <c r="Q3407" s="2" t="str">
        <f>"324-A/10"</f>
        <v>324-A/10</v>
      </c>
      <c r="R3407" s="2" t="s">
        <v>82</v>
      </c>
      <c r="S3407" s="2" t="s">
        <v>10975</v>
      </c>
      <c r="T3407" s="2">
        <v>1</v>
      </c>
      <c r="U3407" s="2" t="s">
        <v>79</v>
      </c>
      <c r="V3407" s="2">
        <v>1</v>
      </c>
      <c r="W3407" s="2" t="s">
        <v>80</v>
      </c>
      <c r="X3407" s="2">
        <v>12</v>
      </c>
      <c r="Y3407" s="2" t="s">
        <v>148</v>
      </c>
      <c r="Z3407" s="2">
        <v>1</v>
      </c>
      <c r="AA3407" s="2" t="s">
        <v>82</v>
      </c>
      <c r="AB3407" s="2">
        <v>5</v>
      </c>
      <c r="AC3407" s="2" t="s">
        <v>559</v>
      </c>
      <c r="AD3407" s="2"/>
      <c r="AE3407" s="2"/>
      <c r="AF3407" s="3">
        <v>40408</v>
      </c>
      <c r="AG3407" s="4">
        <v>0.4375</v>
      </c>
      <c r="AH3407" s="2">
        <v>2</v>
      </c>
      <c r="AI3407" s="2" t="s">
        <v>84</v>
      </c>
      <c r="AJ3407" s="2">
        <v>12</v>
      </c>
      <c r="AK3407" s="2" t="s">
        <v>85</v>
      </c>
      <c r="AL3407" s="2">
        <v>12</v>
      </c>
      <c r="AM3407" s="2" t="s">
        <v>86</v>
      </c>
      <c r="AN3407" s="2" t="s">
        <v>10976</v>
      </c>
      <c r="AO3407" s="2" t="s">
        <v>10977</v>
      </c>
      <c r="AP3407" s="2">
        <v>11</v>
      </c>
      <c r="AQ3407" s="2" t="s">
        <v>82</v>
      </c>
      <c r="AR3407" s="2"/>
      <c r="AS3407" s="2"/>
      <c r="AT3407" s="2" t="s">
        <v>10978</v>
      </c>
      <c r="AU3407" s="2"/>
      <c r="AV3407" s="2"/>
      <c r="AW3407" s="2"/>
      <c r="AX3407" s="2"/>
      <c r="AY3407" s="2">
        <v>41</v>
      </c>
      <c r="AZ3407" s="2" t="s">
        <v>82</v>
      </c>
      <c r="BA3407" s="2">
        <v>41</v>
      </c>
      <c r="BB3407" s="2" t="s">
        <v>82</v>
      </c>
      <c r="BC3407" s="2">
        <v>41</v>
      </c>
      <c r="BD3407" s="2" t="s">
        <v>82</v>
      </c>
      <c r="BE3407" s="2">
        <v>41</v>
      </c>
      <c r="BF3407" s="2" t="s">
        <v>82</v>
      </c>
      <c r="BG3407" s="2" t="s">
        <v>82</v>
      </c>
      <c r="BH3407" s="2"/>
      <c r="BI3407" s="2"/>
      <c r="BJ3407" s="2">
        <v>241</v>
      </c>
      <c r="BK3407" s="2" t="s">
        <v>82</v>
      </c>
      <c r="BL3407" s="2"/>
      <c r="BM3407" s="2">
        <v>241</v>
      </c>
      <c r="BN3407" s="2" t="s">
        <v>82</v>
      </c>
      <c r="BO3407" s="2"/>
      <c r="BP3407" s="2">
        <v>241</v>
      </c>
      <c r="BQ3407" s="2" t="s">
        <v>82</v>
      </c>
      <c r="BR3407" s="2"/>
      <c r="BS3407" s="3">
        <v>40408</v>
      </c>
      <c r="BT3407" s="4">
        <v>0.90519675925925924</v>
      </c>
    </row>
    <row r="3408" spans="1:72" x14ac:dyDescent="0.25">
      <c r="A3408" s="2">
        <v>5016</v>
      </c>
      <c r="B3408" s="2">
        <v>2010</v>
      </c>
      <c r="C3408" s="2" t="s">
        <v>171</v>
      </c>
      <c r="D3408" s="2" t="s">
        <v>73</v>
      </c>
      <c r="E3408" s="2" t="s">
        <v>10979</v>
      </c>
      <c r="F3408" s="2">
        <v>425</v>
      </c>
      <c r="G3408" s="2" t="s">
        <v>286</v>
      </c>
      <c r="H3408" s="2">
        <v>30</v>
      </c>
      <c r="I3408" s="2" t="s">
        <v>912</v>
      </c>
      <c r="J3408" s="2">
        <v>310</v>
      </c>
      <c r="K3408" s="2" t="s">
        <v>288</v>
      </c>
      <c r="L3408" s="2" t="s">
        <v>289</v>
      </c>
      <c r="M3408" s="3">
        <v>40408</v>
      </c>
      <c r="N3408" s="2" t="s">
        <v>10980</v>
      </c>
      <c r="O3408" s="2" t="s">
        <v>2490</v>
      </c>
      <c r="P3408" s="2" t="s">
        <v>10981</v>
      </c>
      <c r="Q3408" s="2" t="str">
        <f>"069/10"</f>
        <v>069/10</v>
      </c>
      <c r="R3408" s="2"/>
      <c r="S3408" s="2" t="s">
        <v>822</v>
      </c>
      <c r="T3408" s="2">
        <v>1</v>
      </c>
      <c r="U3408" s="2" t="s">
        <v>79</v>
      </c>
      <c r="V3408" s="2">
        <v>1</v>
      </c>
      <c r="W3408" s="2" t="s">
        <v>80</v>
      </c>
      <c r="X3408" s="2">
        <v>1</v>
      </c>
      <c r="Y3408" s="2" t="s">
        <v>81</v>
      </c>
      <c r="Z3408" s="2">
        <v>1</v>
      </c>
      <c r="AA3408" s="2" t="s">
        <v>82</v>
      </c>
      <c r="AB3408" s="2">
        <v>1</v>
      </c>
      <c r="AC3408" s="2" t="s">
        <v>178</v>
      </c>
      <c r="AD3408" s="3">
        <v>40408</v>
      </c>
      <c r="AE3408" s="4">
        <v>0.81944444444444453</v>
      </c>
      <c r="AF3408" s="2"/>
      <c r="AG3408" s="2"/>
      <c r="AH3408" s="2">
        <v>4</v>
      </c>
      <c r="AI3408" s="2" t="s">
        <v>125</v>
      </c>
      <c r="AJ3408" s="2">
        <v>29</v>
      </c>
      <c r="AK3408" s="2" t="s">
        <v>227</v>
      </c>
      <c r="AL3408" s="2">
        <v>16</v>
      </c>
      <c r="AM3408" s="2" t="s">
        <v>392</v>
      </c>
      <c r="AN3408" s="2" t="s">
        <v>6877</v>
      </c>
      <c r="AO3408" s="2"/>
      <c r="AP3408" s="2">
        <v>12</v>
      </c>
      <c r="AQ3408" s="2" t="s">
        <v>322</v>
      </c>
      <c r="AR3408" s="2" t="s">
        <v>824</v>
      </c>
      <c r="AS3408" s="2" t="s">
        <v>825</v>
      </c>
      <c r="AT3408" s="2" t="s">
        <v>10982</v>
      </c>
      <c r="AU3408" s="2"/>
      <c r="AV3408" s="2"/>
      <c r="AW3408" s="2"/>
      <c r="AX3408" s="2"/>
      <c r="AY3408" s="2">
        <v>41</v>
      </c>
      <c r="AZ3408" s="2" t="s">
        <v>82</v>
      </c>
      <c r="BA3408" s="2">
        <v>41</v>
      </c>
      <c r="BB3408" s="2" t="s">
        <v>82</v>
      </c>
      <c r="BC3408" s="2">
        <v>51</v>
      </c>
      <c r="BD3408" s="2" t="s">
        <v>827</v>
      </c>
      <c r="BE3408" s="2">
        <v>47</v>
      </c>
      <c r="BF3408" s="2" t="s">
        <v>167</v>
      </c>
      <c r="BG3408" s="2">
        <v>2459</v>
      </c>
      <c r="BH3408" s="4">
        <v>0.92708333333333337</v>
      </c>
      <c r="BI3408" s="4">
        <v>0.96527777777777779</v>
      </c>
      <c r="BJ3408" s="2">
        <v>13</v>
      </c>
      <c r="BK3408" s="2" t="s">
        <v>91</v>
      </c>
      <c r="BL3408" s="2" t="s">
        <v>828</v>
      </c>
      <c r="BM3408" s="2">
        <v>241</v>
      </c>
      <c r="BN3408" s="2" t="s">
        <v>82</v>
      </c>
      <c r="BO3408" s="2"/>
      <c r="BP3408" s="2">
        <v>13</v>
      </c>
      <c r="BQ3408" s="2" t="s">
        <v>91</v>
      </c>
      <c r="BR3408" s="2" t="s">
        <v>185</v>
      </c>
      <c r="BS3408" s="3">
        <v>40408</v>
      </c>
      <c r="BT3408" s="4">
        <v>0.93767361111111114</v>
      </c>
    </row>
    <row r="3409" spans="1:72" x14ac:dyDescent="0.25">
      <c r="A3409" s="2">
        <v>5017</v>
      </c>
      <c r="B3409" s="2">
        <v>2010</v>
      </c>
      <c r="C3409" s="2" t="s">
        <v>196</v>
      </c>
      <c r="D3409" s="2" t="s">
        <v>122</v>
      </c>
      <c r="E3409" s="2" t="s">
        <v>10983</v>
      </c>
      <c r="F3409" s="2">
        <v>1</v>
      </c>
      <c r="G3409" s="2" t="s">
        <v>82</v>
      </c>
      <c r="H3409" s="2">
        <v>1</v>
      </c>
      <c r="I3409" s="2" t="s">
        <v>82</v>
      </c>
      <c r="J3409" s="2">
        <v>1</v>
      </c>
      <c r="K3409" s="2" t="s">
        <v>107</v>
      </c>
      <c r="L3409" s="2" t="s">
        <v>107</v>
      </c>
      <c r="M3409" s="3">
        <v>40408</v>
      </c>
      <c r="N3409" s="2" t="s">
        <v>82</v>
      </c>
      <c r="O3409" s="2" t="s">
        <v>82</v>
      </c>
      <c r="P3409" s="2" t="s">
        <v>82</v>
      </c>
      <c r="Q3409" s="2" t="str">
        <f>"N/C"</f>
        <v>N/C</v>
      </c>
      <c r="R3409" s="2" t="s">
        <v>82</v>
      </c>
      <c r="S3409" s="2" t="s">
        <v>82</v>
      </c>
      <c r="T3409" s="2">
        <v>2</v>
      </c>
      <c r="U3409" s="2" t="s">
        <v>123</v>
      </c>
      <c r="V3409" s="2">
        <v>1</v>
      </c>
      <c r="W3409" s="2" t="s">
        <v>80</v>
      </c>
      <c r="X3409" s="2">
        <v>11</v>
      </c>
      <c r="Y3409" s="2" t="s">
        <v>1920</v>
      </c>
      <c r="Z3409" s="2">
        <v>1</v>
      </c>
      <c r="AA3409" s="2" t="s">
        <v>82</v>
      </c>
      <c r="AB3409" s="2">
        <v>9</v>
      </c>
      <c r="AC3409" s="2" t="s">
        <v>124</v>
      </c>
      <c r="AD3409" s="2"/>
      <c r="AE3409" s="2"/>
      <c r="AF3409" s="2"/>
      <c r="AG3409" s="2"/>
      <c r="AH3409" s="2">
        <v>5</v>
      </c>
      <c r="AI3409" s="2" t="s">
        <v>274</v>
      </c>
      <c r="AJ3409" s="2">
        <v>45</v>
      </c>
      <c r="AK3409" s="2" t="s">
        <v>834</v>
      </c>
      <c r="AL3409" s="2">
        <v>18</v>
      </c>
      <c r="AM3409" s="2" t="s">
        <v>82</v>
      </c>
      <c r="AN3409" s="2" t="s">
        <v>82</v>
      </c>
      <c r="AO3409" s="2" t="s">
        <v>82</v>
      </c>
      <c r="AP3409" s="2">
        <v>11</v>
      </c>
      <c r="AQ3409" s="2" t="s">
        <v>82</v>
      </c>
      <c r="AR3409" s="2" t="s">
        <v>82</v>
      </c>
      <c r="AS3409" s="2" t="s">
        <v>82</v>
      </c>
      <c r="AT3409" s="2" t="s">
        <v>10984</v>
      </c>
      <c r="AU3409" s="2"/>
      <c r="AV3409" s="2"/>
      <c r="AW3409" s="2"/>
      <c r="AX3409" s="2"/>
      <c r="AY3409" s="2">
        <v>1</v>
      </c>
      <c r="AZ3409" s="2" t="s">
        <v>107</v>
      </c>
      <c r="BA3409" s="2">
        <v>1</v>
      </c>
      <c r="BB3409" s="2" t="s">
        <v>107</v>
      </c>
      <c r="BC3409" s="2">
        <v>1</v>
      </c>
      <c r="BD3409" s="2" t="s">
        <v>107</v>
      </c>
      <c r="BE3409" s="2">
        <v>42</v>
      </c>
      <c r="BF3409" s="2" t="s">
        <v>182</v>
      </c>
      <c r="BG3409" s="2" t="s">
        <v>265</v>
      </c>
      <c r="BH3409" s="4">
        <v>0.79513888888888884</v>
      </c>
      <c r="BI3409" s="4">
        <v>0.95138888888888884</v>
      </c>
      <c r="BJ3409" s="2">
        <v>13</v>
      </c>
      <c r="BK3409" s="2" t="s">
        <v>91</v>
      </c>
      <c r="BL3409" s="2" t="s">
        <v>534</v>
      </c>
      <c r="BM3409" s="2">
        <v>13</v>
      </c>
      <c r="BN3409" s="2" t="s">
        <v>91</v>
      </c>
      <c r="BO3409" s="2" t="s">
        <v>1705</v>
      </c>
      <c r="BP3409" s="2">
        <v>13</v>
      </c>
      <c r="BQ3409" s="2" t="s">
        <v>91</v>
      </c>
      <c r="BR3409" s="2" t="s">
        <v>534</v>
      </c>
      <c r="BS3409" s="3">
        <v>40408</v>
      </c>
      <c r="BT3409" s="4">
        <v>0.96256944444444448</v>
      </c>
    </row>
    <row r="3410" spans="1:72" x14ac:dyDescent="0.25">
      <c r="A3410" s="2">
        <v>5018</v>
      </c>
      <c r="B3410" s="2">
        <v>2010</v>
      </c>
      <c r="C3410" s="2" t="s">
        <v>549</v>
      </c>
      <c r="D3410" s="2" t="s">
        <v>73</v>
      </c>
      <c r="E3410" s="2"/>
      <c r="F3410" s="2">
        <v>176</v>
      </c>
      <c r="G3410" s="2" t="s">
        <v>10318</v>
      </c>
      <c r="H3410" s="2">
        <v>133</v>
      </c>
      <c r="I3410" s="2" t="s">
        <v>10985</v>
      </c>
      <c r="J3410" s="2">
        <v>184</v>
      </c>
      <c r="K3410" s="2" t="s">
        <v>10320</v>
      </c>
      <c r="L3410" s="2" t="s">
        <v>10321</v>
      </c>
      <c r="M3410" s="3">
        <v>40408</v>
      </c>
      <c r="N3410" s="2" t="s">
        <v>10986</v>
      </c>
      <c r="O3410" s="2" t="s">
        <v>107</v>
      </c>
      <c r="P3410" s="2" t="s">
        <v>107</v>
      </c>
      <c r="Q3410" s="2" t="str">
        <f>"325-A/10"</f>
        <v>325-A/10</v>
      </c>
      <c r="R3410" s="2" t="s">
        <v>8699</v>
      </c>
      <c r="S3410" s="2"/>
      <c r="T3410" s="2">
        <v>1</v>
      </c>
      <c r="U3410" s="2" t="s">
        <v>79</v>
      </c>
      <c r="V3410" s="2">
        <v>1</v>
      </c>
      <c r="W3410" s="2" t="s">
        <v>80</v>
      </c>
      <c r="X3410" s="2">
        <v>12</v>
      </c>
      <c r="Y3410" s="2" t="s">
        <v>148</v>
      </c>
      <c r="Z3410" s="2">
        <v>1</v>
      </c>
      <c r="AA3410" s="2" t="s">
        <v>82</v>
      </c>
      <c r="AB3410" s="2">
        <v>9</v>
      </c>
      <c r="AC3410" s="2" t="s">
        <v>124</v>
      </c>
      <c r="AD3410" s="3">
        <v>40408</v>
      </c>
      <c r="AE3410" s="4">
        <v>0.52777777777777779</v>
      </c>
      <c r="AF3410" s="3">
        <v>40408</v>
      </c>
      <c r="AG3410" s="4">
        <v>0.60972222222222217</v>
      </c>
      <c r="AH3410" s="2">
        <v>2</v>
      </c>
      <c r="AI3410" s="2" t="s">
        <v>84</v>
      </c>
      <c r="AJ3410" s="2">
        <v>12</v>
      </c>
      <c r="AK3410" s="2" t="s">
        <v>85</v>
      </c>
      <c r="AL3410" s="2">
        <v>21</v>
      </c>
      <c r="AM3410" s="2" t="s">
        <v>1311</v>
      </c>
      <c r="AN3410" s="2" t="s">
        <v>10987</v>
      </c>
      <c r="AO3410" s="2" t="s">
        <v>1714</v>
      </c>
      <c r="AP3410" s="2">
        <v>11</v>
      </c>
      <c r="AQ3410" s="2" t="s">
        <v>82</v>
      </c>
      <c r="AR3410" s="2"/>
      <c r="AS3410" s="2"/>
      <c r="AT3410" s="2" t="s">
        <v>10988</v>
      </c>
      <c r="AU3410" s="2">
        <v>1</v>
      </c>
      <c r="AV3410" s="2"/>
      <c r="AW3410" s="2"/>
      <c r="AX3410" s="2"/>
      <c r="AY3410" s="2">
        <v>41</v>
      </c>
      <c r="AZ3410" s="2" t="s">
        <v>82</v>
      </c>
      <c r="BA3410" s="2">
        <v>41</v>
      </c>
      <c r="BB3410" s="2" t="s">
        <v>82</v>
      </c>
      <c r="BC3410" s="2">
        <v>41</v>
      </c>
      <c r="BD3410" s="2" t="s">
        <v>82</v>
      </c>
      <c r="BE3410" s="2">
        <v>41</v>
      </c>
      <c r="BF3410" s="2" t="s">
        <v>82</v>
      </c>
      <c r="BG3410" s="2"/>
      <c r="BH3410" s="2"/>
      <c r="BI3410" s="2"/>
      <c r="BJ3410" s="2">
        <v>241</v>
      </c>
      <c r="BK3410" s="2" t="s">
        <v>82</v>
      </c>
      <c r="BL3410" s="2"/>
      <c r="BM3410" s="2">
        <v>241</v>
      </c>
      <c r="BN3410" s="2" t="s">
        <v>82</v>
      </c>
      <c r="BO3410" s="2"/>
      <c r="BP3410" s="2">
        <v>241</v>
      </c>
      <c r="BQ3410" s="2" t="s">
        <v>82</v>
      </c>
      <c r="BR3410" s="2"/>
      <c r="BS3410" s="3">
        <v>40408</v>
      </c>
      <c r="BT3410" s="4">
        <v>0.98048611111111106</v>
      </c>
    </row>
    <row r="3411" spans="1:72" x14ac:dyDescent="0.25">
      <c r="A3411" s="2">
        <v>5019</v>
      </c>
      <c r="B3411" s="2">
        <v>2010</v>
      </c>
      <c r="C3411" s="2" t="s">
        <v>196</v>
      </c>
      <c r="D3411" s="2" t="s">
        <v>122</v>
      </c>
      <c r="E3411" s="2"/>
      <c r="F3411" s="2">
        <v>1</v>
      </c>
      <c r="G3411" s="2" t="s">
        <v>82</v>
      </c>
      <c r="H3411" s="2">
        <v>1</v>
      </c>
      <c r="I3411" s="2" t="s">
        <v>82</v>
      </c>
      <c r="J3411" s="2">
        <v>1</v>
      </c>
      <c r="K3411" s="2" t="s">
        <v>107</v>
      </c>
      <c r="L3411" s="2" t="s">
        <v>107</v>
      </c>
      <c r="M3411" s="3">
        <v>40408</v>
      </c>
      <c r="N3411" s="2"/>
      <c r="O3411" s="2" t="s">
        <v>82</v>
      </c>
      <c r="P3411" s="2"/>
      <c r="Q3411" s="2" t="str">
        <f>"N/C"</f>
        <v>N/C</v>
      </c>
      <c r="R3411" s="2" t="s">
        <v>82</v>
      </c>
      <c r="S3411" s="2" t="s">
        <v>82</v>
      </c>
      <c r="T3411" s="2">
        <v>2</v>
      </c>
      <c r="U3411" s="2" t="s">
        <v>123</v>
      </c>
      <c r="V3411" s="2">
        <v>1</v>
      </c>
      <c r="W3411" s="2" t="s">
        <v>80</v>
      </c>
      <c r="X3411" s="2">
        <v>1</v>
      </c>
      <c r="Y3411" s="2" t="s">
        <v>81</v>
      </c>
      <c r="Z3411" s="2">
        <v>10</v>
      </c>
      <c r="AA3411" s="2" t="s">
        <v>236</v>
      </c>
      <c r="AB3411" s="2">
        <v>9</v>
      </c>
      <c r="AC3411" s="2" t="s">
        <v>124</v>
      </c>
      <c r="AD3411" s="3">
        <v>40408</v>
      </c>
      <c r="AE3411" s="4">
        <v>0.93055555555555547</v>
      </c>
      <c r="AF3411" s="2"/>
      <c r="AG3411" s="2"/>
      <c r="AH3411" s="2">
        <v>2</v>
      </c>
      <c r="AI3411" s="2" t="s">
        <v>84</v>
      </c>
      <c r="AJ3411" s="2">
        <v>12</v>
      </c>
      <c r="AK3411" s="2" t="s">
        <v>85</v>
      </c>
      <c r="AL3411" s="2">
        <v>20</v>
      </c>
      <c r="AM3411" s="2" t="s">
        <v>992</v>
      </c>
      <c r="AN3411" s="2" t="s">
        <v>107</v>
      </c>
      <c r="AO3411" s="2" t="s">
        <v>993</v>
      </c>
      <c r="AP3411" s="2">
        <v>11</v>
      </c>
      <c r="AQ3411" s="2" t="s">
        <v>82</v>
      </c>
      <c r="AR3411" s="2"/>
      <c r="AS3411" s="2"/>
      <c r="AT3411" s="2" t="s">
        <v>10989</v>
      </c>
      <c r="AU3411" s="2"/>
      <c r="AV3411" s="2"/>
      <c r="AW3411" s="2"/>
      <c r="AX3411" s="2"/>
      <c r="AY3411" s="2">
        <v>41</v>
      </c>
      <c r="AZ3411" s="2" t="s">
        <v>82</v>
      </c>
      <c r="BA3411" s="2">
        <v>41</v>
      </c>
      <c r="BB3411" s="2" t="s">
        <v>82</v>
      </c>
      <c r="BC3411" s="2">
        <v>41</v>
      </c>
      <c r="BD3411" s="2" t="s">
        <v>82</v>
      </c>
      <c r="BE3411" s="2">
        <v>41</v>
      </c>
      <c r="BF3411" s="2" t="s">
        <v>82</v>
      </c>
      <c r="BG3411" s="2"/>
      <c r="BH3411" s="2"/>
      <c r="BI3411" s="2"/>
      <c r="BJ3411" s="2">
        <v>241</v>
      </c>
      <c r="BK3411" s="2" t="s">
        <v>82</v>
      </c>
      <c r="BL3411" s="2"/>
      <c r="BM3411" s="2">
        <v>241</v>
      </c>
      <c r="BN3411" s="2" t="s">
        <v>82</v>
      </c>
      <c r="BO3411" s="2"/>
      <c r="BP3411" s="2">
        <v>241</v>
      </c>
      <c r="BQ3411" s="2" t="s">
        <v>82</v>
      </c>
      <c r="BR3411" s="2"/>
      <c r="BS3411" s="3">
        <v>40408</v>
      </c>
      <c r="BT3411" s="4">
        <v>0.99137731481481473</v>
      </c>
    </row>
    <row r="3412" spans="1:72" x14ac:dyDescent="0.25">
      <c r="A3412" s="2">
        <v>5020</v>
      </c>
      <c r="B3412" s="2">
        <v>2010</v>
      </c>
      <c r="C3412" s="2" t="s">
        <v>819</v>
      </c>
      <c r="D3412" s="2" t="s">
        <v>122</v>
      </c>
      <c r="E3412" s="2"/>
      <c r="F3412" s="2">
        <v>425</v>
      </c>
      <c r="G3412" s="2" t="s">
        <v>286</v>
      </c>
      <c r="H3412" s="2">
        <v>30</v>
      </c>
      <c r="I3412" s="2" t="s">
        <v>912</v>
      </c>
      <c r="J3412" s="2">
        <v>310</v>
      </c>
      <c r="K3412" s="2" t="s">
        <v>288</v>
      </c>
      <c r="L3412" s="2" t="s">
        <v>289</v>
      </c>
      <c r="M3412" s="3">
        <v>40409</v>
      </c>
      <c r="N3412" s="2" t="s">
        <v>2049</v>
      </c>
      <c r="O3412" s="2"/>
      <c r="P3412" s="2"/>
      <c r="Q3412" s="2" t="str">
        <f>"089/10"</f>
        <v>089/10</v>
      </c>
      <c r="R3412" s="2"/>
      <c r="S3412" s="2" t="s">
        <v>822</v>
      </c>
      <c r="T3412" s="2">
        <v>1</v>
      </c>
      <c r="U3412" s="2" t="s">
        <v>79</v>
      </c>
      <c r="V3412" s="2">
        <v>1</v>
      </c>
      <c r="W3412" s="2" t="s">
        <v>80</v>
      </c>
      <c r="X3412" s="2">
        <v>1</v>
      </c>
      <c r="Y3412" s="2" t="s">
        <v>81</v>
      </c>
      <c r="Z3412" s="2">
        <v>10</v>
      </c>
      <c r="AA3412" s="2" t="s">
        <v>236</v>
      </c>
      <c r="AB3412" s="2">
        <v>9</v>
      </c>
      <c r="AC3412" s="2" t="s">
        <v>124</v>
      </c>
      <c r="AD3412" s="3">
        <v>40408</v>
      </c>
      <c r="AE3412" s="4">
        <v>0.94444444444444453</v>
      </c>
      <c r="AF3412" s="2"/>
      <c r="AG3412" s="2"/>
      <c r="AH3412" s="2">
        <v>4</v>
      </c>
      <c r="AI3412" s="2" t="s">
        <v>125</v>
      </c>
      <c r="AJ3412" s="2">
        <v>29</v>
      </c>
      <c r="AK3412" s="2" t="s">
        <v>227</v>
      </c>
      <c r="AL3412" s="2">
        <v>10</v>
      </c>
      <c r="AM3412" s="2" t="s">
        <v>200</v>
      </c>
      <c r="AN3412" s="2" t="s">
        <v>1015</v>
      </c>
      <c r="AO3412" s="2" t="s">
        <v>8817</v>
      </c>
      <c r="AP3412" s="2">
        <v>12</v>
      </c>
      <c r="AQ3412" s="2" t="s">
        <v>322</v>
      </c>
      <c r="AR3412" s="2" t="s">
        <v>824</v>
      </c>
      <c r="AS3412" s="2" t="s">
        <v>825</v>
      </c>
      <c r="AT3412" s="2" t="s">
        <v>10990</v>
      </c>
      <c r="AU3412" s="2"/>
      <c r="AV3412" s="2"/>
      <c r="AW3412" s="2"/>
      <c r="AX3412" s="2"/>
      <c r="AY3412" s="2">
        <v>41</v>
      </c>
      <c r="AZ3412" s="2" t="s">
        <v>82</v>
      </c>
      <c r="BA3412" s="2">
        <v>41</v>
      </c>
      <c r="BB3412" s="2" t="s">
        <v>82</v>
      </c>
      <c r="BC3412" s="2">
        <v>51</v>
      </c>
      <c r="BD3412" s="2" t="s">
        <v>827</v>
      </c>
      <c r="BE3412" s="2">
        <v>47</v>
      </c>
      <c r="BF3412" s="2" t="s">
        <v>167</v>
      </c>
      <c r="BG3412" s="2">
        <v>2459</v>
      </c>
      <c r="BH3412" s="4">
        <v>0.92708333333333337</v>
      </c>
      <c r="BI3412" s="4">
        <v>0.94791666666666663</v>
      </c>
      <c r="BJ3412" s="2">
        <v>13</v>
      </c>
      <c r="BK3412" s="2" t="s">
        <v>91</v>
      </c>
      <c r="BL3412" s="2" t="s">
        <v>828</v>
      </c>
      <c r="BM3412" s="2">
        <v>241</v>
      </c>
      <c r="BN3412" s="2" t="s">
        <v>82</v>
      </c>
      <c r="BO3412" s="2"/>
      <c r="BP3412" s="2">
        <v>13</v>
      </c>
      <c r="BQ3412" s="2" t="s">
        <v>91</v>
      </c>
      <c r="BR3412" s="2" t="s">
        <v>185</v>
      </c>
      <c r="BS3412" s="3">
        <v>40409</v>
      </c>
      <c r="BT3412" s="4">
        <v>4.9652777777777777E-3</v>
      </c>
    </row>
    <row r="3413" spans="1:72" x14ac:dyDescent="0.25">
      <c r="A3413" s="2">
        <v>5021</v>
      </c>
      <c r="B3413" s="2">
        <v>2010</v>
      </c>
      <c r="C3413" s="2" t="s">
        <v>4543</v>
      </c>
      <c r="D3413" s="2" t="s">
        <v>122</v>
      </c>
      <c r="E3413" s="2"/>
      <c r="F3413" s="2">
        <v>157</v>
      </c>
      <c r="G3413" s="2" t="s">
        <v>3011</v>
      </c>
      <c r="H3413" s="2">
        <v>14</v>
      </c>
      <c r="I3413" s="2" t="s">
        <v>1458</v>
      </c>
      <c r="J3413" s="2">
        <v>167</v>
      </c>
      <c r="K3413" s="2" t="s">
        <v>1032</v>
      </c>
      <c r="L3413" s="2" t="s">
        <v>1033</v>
      </c>
      <c r="M3413" s="3">
        <v>40409</v>
      </c>
      <c r="N3413" s="2" t="s">
        <v>10991</v>
      </c>
      <c r="O3413" s="2" t="s">
        <v>82</v>
      </c>
      <c r="P3413" s="2" t="s">
        <v>82</v>
      </c>
      <c r="Q3413" s="2" t="str">
        <f>"N/C"</f>
        <v>N/C</v>
      </c>
      <c r="R3413" s="2" t="s">
        <v>82</v>
      </c>
      <c r="S3413" s="2" t="s">
        <v>82</v>
      </c>
      <c r="T3413" s="2">
        <v>2</v>
      </c>
      <c r="U3413" s="2" t="s">
        <v>123</v>
      </c>
      <c r="V3413" s="2">
        <v>1</v>
      </c>
      <c r="W3413" s="2" t="s">
        <v>80</v>
      </c>
      <c r="X3413" s="2">
        <v>1</v>
      </c>
      <c r="Y3413" s="2" t="s">
        <v>81</v>
      </c>
      <c r="Z3413" s="2">
        <v>1</v>
      </c>
      <c r="AA3413" s="2" t="s">
        <v>82</v>
      </c>
      <c r="AB3413" s="2">
        <v>9</v>
      </c>
      <c r="AC3413" s="2" t="s">
        <v>124</v>
      </c>
      <c r="AD3413" s="3">
        <v>40408</v>
      </c>
      <c r="AE3413" s="4">
        <v>0.7597222222222223</v>
      </c>
      <c r="AF3413" s="2"/>
      <c r="AG3413" s="2"/>
      <c r="AH3413" s="2">
        <v>2</v>
      </c>
      <c r="AI3413" s="2" t="s">
        <v>84</v>
      </c>
      <c r="AJ3413" s="2">
        <v>12</v>
      </c>
      <c r="AK3413" s="2" t="s">
        <v>85</v>
      </c>
      <c r="AL3413" s="2">
        <v>24</v>
      </c>
      <c r="AM3413" s="2" t="s">
        <v>1540</v>
      </c>
      <c r="AN3413" s="2" t="s">
        <v>10992</v>
      </c>
      <c r="AO3413" s="2" t="s">
        <v>561</v>
      </c>
      <c r="AP3413" s="2">
        <v>11</v>
      </c>
      <c r="AQ3413" s="2" t="s">
        <v>82</v>
      </c>
      <c r="AR3413" s="2"/>
      <c r="AS3413" s="2"/>
      <c r="AT3413" s="2" t="s">
        <v>10993</v>
      </c>
      <c r="AU3413" s="2"/>
      <c r="AV3413" s="2"/>
      <c r="AW3413" s="2"/>
      <c r="AX3413" s="2"/>
      <c r="AY3413" s="2">
        <v>41</v>
      </c>
      <c r="AZ3413" s="2" t="s">
        <v>82</v>
      </c>
      <c r="BA3413" s="2">
        <v>41</v>
      </c>
      <c r="BB3413" s="2" t="s">
        <v>82</v>
      </c>
      <c r="BC3413" s="2">
        <v>41</v>
      </c>
      <c r="BD3413" s="2" t="s">
        <v>82</v>
      </c>
      <c r="BE3413" s="2">
        <v>41</v>
      </c>
      <c r="BF3413" s="2" t="s">
        <v>82</v>
      </c>
      <c r="BG3413" s="2"/>
      <c r="BH3413" s="2"/>
      <c r="BI3413" s="2"/>
      <c r="BJ3413" s="2">
        <v>241</v>
      </c>
      <c r="BK3413" s="2" t="s">
        <v>82</v>
      </c>
      <c r="BL3413" s="2"/>
      <c r="BM3413" s="2">
        <v>241</v>
      </c>
      <c r="BN3413" s="2" t="s">
        <v>82</v>
      </c>
      <c r="BO3413" s="2"/>
      <c r="BP3413" s="2">
        <v>241</v>
      </c>
      <c r="BQ3413" s="2" t="s">
        <v>82</v>
      </c>
      <c r="BR3413" s="2"/>
      <c r="BS3413" s="3">
        <v>40409</v>
      </c>
      <c r="BT3413" s="4">
        <v>1.5729166666666666E-2</v>
      </c>
    </row>
    <row r="3414" spans="1:72" x14ac:dyDescent="0.25">
      <c r="A3414" s="2">
        <v>5022</v>
      </c>
      <c r="B3414" s="2">
        <v>2010</v>
      </c>
      <c r="C3414" s="2" t="s">
        <v>72</v>
      </c>
      <c r="D3414" s="2" t="s">
        <v>73</v>
      </c>
      <c r="E3414" s="2"/>
      <c r="F3414" s="2">
        <v>456</v>
      </c>
      <c r="G3414" s="2" t="s">
        <v>1949</v>
      </c>
      <c r="H3414" s="2">
        <v>4</v>
      </c>
      <c r="I3414" s="2" t="s">
        <v>173</v>
      </c>
      <c r="J3414" s="2">
        <v>122</v>
      </c>
      <c r="K3414" s="2" t="s">
        <v>8361</v>
      </c>
      <c r="L3414" s="2" t="s">
        <v>8362</v>
      </c>
      <c r="M3414" s="3">
        <v>40409</v>
      </c>
      <c r="N3414" s="2" t="s">
        <v>10994</v>
      </c>
      <c r="O3414" s="2" t="s">
        <v>107</v>
      </c>
      <c r="P3414" s="2" t="s">
        <v>107</v>
      </c>
      <c r="Q3414" s="2" t="str">
        <f>"036/10"</f>
        <v>036/10</v>
      </c>
      <c r="R3414" s="2" t="s">
        <v>10995</v>
      </c>
      <c r="S3414" s="2" t="s">
        <v>10996</v>
      </c>
      <c r="T3414" s="2">
        <v>1</v>
      </c>
      <c r="U3414" s="2" t="s">
        <v>79</v>
      </c>
      <c r="V3414" s="2">
        <v>1</v>
      </c>
      <c r="W3414" s="2" t="s">
        <v>80</v>
      </c>
      <c r="X3414" s="2">
        <v>12</v>
      </c>
      <c r="Y3414" s="2" t="s">
        <v>148</v>
      </c>
      <c r="Z3414" s="2">
        <v>1</v>
      </c>
      <c r="AA3414" s="2" t="s">
        <v>82</v>
      </c>
      <c r="AB3414" s="2">
        <v>6</v>
      </c>
      <c r="AC3414" s="2" t="s">
        <v>83</v>
      </c>
      <c r="AD3414" s="3">
        <v>40408</v>
      </c>
      <c r="AE3414" s="4">
        <v>0.75347222222222221</v>
      </c>
      <c r="AF3414" s="3">
        <v>40408</v>
      </c>
      <c r="AG3414" s="4">
        <v>0.97222222222222221</v>
      </c>
      <c r="AH3414" s="2">
        <v>6</v>
      </c>
      <c r="AI3414" s="2" t="s">
        <v>197</v>
      </c>
      <c r="AJ3414" s="2">
        <v>50</v>
      </c>
      <c r="AK3414" s="2" t="s">
        <v>330</v>
      </c>
      <c r="AL3414" s="2">
        <v>22</v>
      </c>
      <c r="AM3414" s="2" t="s">
        <v>1853</v>
      </c>
      <c r="AN3414" s="2" t="s">
        <v>10997</v>
      </c>
      <c r="AO3414" s="2" t="s">
        <v>179</v>
      </c>
      <c r="AP3414" s="2">
        <v>11</v>
      </c>
      <c r="AQ3414" s="2" t="s">
        <v>82</v>
      </c>
      <c r="AR3414" s="2" t="s">
        <v>82</v>
      </c>
      <c r="AS3414" s="2" t="s">
        <v>82</v>
      </c>
      <c r="AT3414" s="2" t="s">
        <v>10998</v>
      </c>
      <c r="AU3414" s="2"/>
      <c r="AV3414" s="2"/>
      <c r="AW3414" s="2"/>
      <c r="AX3414" s="2"/>
      <c r="AY3414" s="2">
        <v>41</v>
      </c>
      <c r="AZ3414" s="2" t="s">
        <v>82</v>
      </c>
      <c r="BA3414" s="2">
        <v>41</v>
      </c>
      <c r="BB3414" s="2" t="s">
        <v>82</v>
      </c>
      <c r="BC3414" s="2">
        <v>41</v>
      </c>
      <c r="BD3414" s="2" t="s">
        <v>82</v>
      </c>
      <c r="BE3414" s="2">
        <v>4</v>
      </c>
      <c r="BF3414" s="2" t="s">
        <v>90</v>
      </c>
      <c r="BG3414" s="2">
        <v>4354</v>
      </c>
      <c r="BH3414" s="4">
        <v>0.9375</v>
      </c>
      <c r="BI3414" s="4">
        <v>0.85416666666666663</v>
      </c>
      <c r="BJ3414" s="2">
        <v>13</v>
      </c>
      <c r="BK3414" s="2" t="s">
        <v>91</v>
      </c>
      <c r="BL3414" s="2" t="s">
        <v>10999</v>
      </c>
      <c r="BM3414" s="2">
        <v>241</v>
      </c>
      <c r="BN3414" s="2" t="s">
        <v>82</v>
      </c>
      <c r="BO3414" s="2" t="s">
        <v>82</v>
      </c>
      <c r="BP3414" s="2">
        <v>13</v>
      </c>
      <c r="BQ3414" s="2" t="s">
        <v>91</v>
      </c>
      <c r="BR3414" s="2" t="s">
        <v>332</v>
      </c>
      <c r="BS3414" s="3">
        <v>40409</v>
      </c>
      <c r="BT3414" s="4">
        <v>0.13973379629629631</v>
      </c>
    </row>
    <row r="3415" spans="1:72" x14ac:dyDescent="0.25">
      <c r="A3415" s="2">
        <v>5024</v>
      </c>
      <c r="B3415" s="2">
        <v>2010</v>
      </c>
      <c r="C3415" s="2" t="s">
        <v>819</v>
      </c>
      <c r="D3415" s="2" t="s">
        <v>122</v>
      </c>
      <c r="E3415" s="2" t="s">
        <v>11000</v>
      </c>
      <c r="F3415" s="2">
        <v>425</v>
      </c>
      <c r="G3415" s="2" t="s">
        <v>286</v>
      </c>
      <c r="H3415" s="2">
        <v>30</v>
      </c>
      <c r="I3415" s="2" t="s">
        <v>912</v>
      </c>
      <c r="J3415" s="2">
        <v>310</v>
      </c>
      <c r="K3415" s="2" t="s">
        <v>288</v>
      </c>
      <c r="L3415" s="2" t="s">
        <v>289</v>
      </c>
      <c r="M3415" s="3">
        <v>40409</v>
      </c>
      <c r="N3415" s="2" t="s">
        <v>2049</v>
      </c>
      <c r="O3415" s="2"/>
      <c r="P3415" s="2"/>
      <c r="Q3415" s="2" t="str">
        <f>"089/10"</f>
        <v>089/10</v>
      </c>
      <c r="R3415" s="2" t="s">
        <v>822</v>
      </c>
      <c r="S3415" s="2"/>
      <c r="T3415" s="2">
        <v>1</v>
      </c>
      <c r="U3415" s="2" t="s">
        <v>79</v>
      </c>
      <c r="V3415" s="2">
        <v>1</v>
      </c>
      <c r="W3415" s="2" t="s">
        <v>80</v>
      </c>
      <c r="X3415" s="2">
        <v>1</v>
      </c>
      <c r="Y3415" s="2" t="s">
        <v>81</v>
      </c>
      <c r="Z3415" s="2">
        <v>10</v>
      </c>
      <c r="AA3415" s="2" t="s">
        <v>236</v>
      </c>
      <c r="AB3415" s="2">
        <v>9</v>
      </c>
      <c r="AC3415" s="2" t="s">
        <v>124</v>
      </c>
      <c r="AD3415" s="3">
        <v>40409</v>
      </c>
      <c r="AE3415" s="4">
        <v>0.41666666666666669</v>
      </c>
      <c r="AF3415" s="2"/>
      <c r="AG3415" s="2"/>
      <c r="AH3415" s="2">
        <v>4</v>
      </c>
      <c r="AI3415" s="2" t="s">
        <v>125</v>
      </c>
      <c r="AJ3415" s="2">
        <v>29</v>
      </c>
      <c r="AK3415" s="2" t="s">
        <v>227</v>
      </c>
      <c r="AL3415" s="2">
        <v>16</v>
      </c>
      <c r="AM3415" s="2" t="s">
        <v>392</v>
      </c>
      <c r="AN3415" s="2" t="s">
        <v>3040</v>
      </c>
      <c r="AO3415" s="2" t="s">
        <v>3176</v>
      </c>
      <c r="AP3415" s="2">
        <v>12</v>
      </c>
      <c r="AQ3415" s="2" t="s">
        <v>322</v>
      </c>
      <c r="AR3415" s="2" t="s">
        <v>824</v>
      </c>
      <c r="AS3415" s="2" t="s">
        <v>825</v>
      </c>
      <c r="AT3415" s="2" t="s">
        <v>11001</v>
      </c>
      <c r="AU3415" s="2"/>
      <c r="AV3415" s="2"/>
      <c r="AW3415" s="2"/>
      <c r="AX3415" s="2"/>
      <c r="AY3415" s="2">
        <v>41</v>
      </c>
      <c r="AZ3415" s="2" t="s">
        <v>82</v>
      </c>
      <c r="BA3415" s="2">
        <v>41</v>
      </c>
      <c r="BB3415" s="2" t="s">
        <v>82</v>
      </c>
      <c r="BC3415" s="2">
        <v>51</v>
      </c>
      <c r="BD3415" s="2" t="s">
        <v>827</v>
      </c>
      <c r="BE3415" s="2">
        <v>47</v>
      </c>
      <c r="BF3415" s="2" t="s">
        <v>167</v>
      </c>
      <c r="BG3415" s="2">
        <v>2459</v>
      </c>
      <c r="BH3415" s="4">
        <v>0.92708333333333337</v>
      </c>
      <c r="BI3415" s="4">
        <v>0.94791666666666663</v>
      </c>
      <c r="BJ3415" s="2">
        <v>13</v>
      </c>
      <c r="BK3415" s="2" t="s">
        <v>91</v>
      </c>
      <c r="BL3415" s="2" t="s">
        <v>828</v>
      </c>
      <c r="BM3415" s="2">
        <v>241</v>
      </c>
      <c r="BN3415" s="2" t="s">
        <v>82</v>
      </c>
      <c r="BO3415" s="2"/>
      <c r="BP3415" s="2">
        <v>13</v>
      </c>
      <c r="BQ3415" s="2" t="s">
        <v>91</v>
      </c>
      <c r="BR3415" s="2" t="s">
        <v>185</v>
      </c>
      <c r="BS3415" s="3">
        <v>40409</v>
      </c>
      <c r="BT3415" s="4">
        <v>0.45796296296296296</v>
      </c>
    </row>
    <row r="3416" spans="1:72" x14ac:dyDescent="0.25">
      <c r="A3416" s="2">
        <v>5025</v>
      </c>
      <c r="B3416" s="2">
        <v>2010</v>
      </c>
      <c r="C3416" s="2" t="s">
        <v>171</v>
      </c>
      <c r="D3416" s="2" t="s">
        <v>73</v>
      </c>
      <c r="E3416" s="2" t="s">
        <v>11002</v>
      </c>
      <c r="F3416" s="2">
        <v>425</v>
      </c>
      <c r="G3416" s="2" t="s">
        <v>286</v>
      </c>
      <c r="H3416" s="2">
        <v>39</v>
      </c>
      <c r="I3416" s="2" t="s">
        <v>1117</v>
      </c>
      <c r="J3416" s="2">
        <v>310</v>
      </c>
      <c r="K3416" s="2" t="s">
        <v>288</v>
      </c>
      <c r="L3416" s="2" t="s">
        <v>289</v>
      </c>
      <c r="M3416" s="3">
        <v>40409</v>
      </c>
      <c r="N3416" s="2" t="s">
        <v>2049</v>
      </c>
      <c r="O3416" s="2" t="s">
        <v>11003</v>
      </c>
      <c r="P3416" s="2" t="s">
        <v>11004</v>
      </c>
      <c r="Q3416" s="2" t="str">
        <f>"066/10"</f>
        <v>066/10</v>
      </c>
      <c r="R3416" s="2"/>
      <c r="S3416" s="2" t="s">
        <v>822</v>
      </c>
      <c r="T3416" s="2">
        <v>1</v>
      </c>
      <c r="U3416" s="2" t="s">
        <v>79</v>
      </c>
      <c r="V3416" s="2">
        <v>1</v>
      </c>
      <c r="W3416" s="2" t="s">
        <v>80</v>
      </c>
      <c r="X3416" s="2">
        <v>1</v>
      </c>
      <c r="Y3416" s="2" t="s">
        <v>81</v>
      </c>
      <c r="Z3416" s="2">
        <v>1</v>
      </c>
      <c r="AA3416" s="2" t="s">
        <v>82</v>
      </c>
      <c r="AB3416" s="2">
        <v>1</v>
      </c>
      <c r="AC3416" s="2" t="s">
        <v>178</v>
      </c>
      <c r="AD3416" s="3">
        <v>40409</v>
      </c>
      <c r="AE3416" s="4">
        <v>0.54166666666666663</v>
      </c>
      <c r="AF3416" s="2"/>
      <c r="AG3416" s="2"/>
      <c r="AH3416" s="2">
        <v>4</v>
      </c>
      <c r="AI3416" s="2" t="s">
        <v>125</v>
      </c>
      <c r="AJ3416" s="2">
        <v>29</v>
      </c>
      <c r="AK3416" s="2" t="s">
        <v>227</v>
      </c>
      <c r="AL3416" s="2">
        <v>16</v>
      </c>
      <c r="AM3416" s="2" t="s">
        <v>392</v>
      </c>
      <c r="AN3416" s="2" t="s">
        <v>9764</v>
      </c>
      <c r="AO3416" s="2"/>
      <c r="AP3416" s="2">
        <v>12</v>
      </c>
      <c r="AQ3416" s="2" t="s">
        <v>322</v>
      </c>
      <c r="AR3416" s="2" t="s">
        <v>824</v>
      </c>
      <c r="AS3416" s="2" t="s">
        <v>825</v>
      </c>
      <c r="AT3416" s="2" t="s">
        <v>11005</v>
      </c>
      <c r="AU3416" s="2"/>
      <c r="AV3416" s="2"/>
      <c r="AW3416" s="2"/>
      <c r="AX3416" s="2"/>
      <c r="AY3416" s="2">
        <v>41</v>
      </c>
      <c r="AZ3416" s="2" t="s">
        <v>82</v>
      </c>
      <c r="BA3416" s="2">
        <v>41</v>
      </c>
      <c r="BB3416" s="2" t="s">
        <v>82</v>
      </c>
      <c r="BC3416" s="2">
        <v>51</v>
      </c>
      <c r="BD3416" s="2" t="s">
        <v>827</v>
      </c>
      <c r="BE3416" s="2">
        <v>13</v>
      </c>
      <c r="BF3416" s="2" t="s">
        <v>108</v>
      </c>
      <c r="BG3416" s="2">
        <v>1459</v>
      </c>
      <c r="BH3416" s="4">
        <v>0.88888888888888884</v>
      </c>
      <c r="BI3416" s="4">
        <v>0.92013888888888884</v>
      </c>
      <c r="BJ3416" s="2">
        <v>13</v>
      </c>
      <c r="BK3416" s="2" t="s">
        <v>91</v>
      </c>
      <c r="BL3416" s="2" t="s">
        <v>828</v>
      </c>
      <c r="BM3416" s="2">
        <v>241</v>
      </c>
      <c r="BN3416" s="2" t="s">
        <v>82</v>
      </c>
      <c r="BO3416" s="2" t="s">
        <v>82</v>
      </c>
      <c r="BP3416" s="2">
        <v>13</v>
      </c>
      <c r="BQ3416" s="2" t="s">
        <v>91</v>
      </c>
      <c r="BR3416" s="2" t="s">
        <v>185</v>
      </c>
      <c r="BS3416" s="3">
        <v>40409</v>
      </c>
      <c r="BT3416" s="4">
        <v>0.57642361111111107</v>
      </c>
    </row>
    <row r="3417" spans="1:72" x14ac:dyDescent="0.25">
      <c r="A3417" s="2">
        <v>5026</v>
      </c>
      <c r="B3417" s="2">
        <v>2010</v>
      </c>
      <c r="C3417" s="2" t="s">
        <v>4543</v>
      </c>
      <c r="D3417" s="2" t="s">
        <v>122</v>
      </c>
      <c r="E3417" s="2"/>
      <c r="F3417" s="2">
        <v>1</v>
      </c>
      <c r="G3417" s="2" t="s">
        <v>82</v>
      </c>
      <c r="H3417" s="2">
        <v>1</v>
      </c>
      <c r="I3417" s="2" t="s">
        <v>82</v>
      </c>
      <c r="J3417" s="2">
        <v>1</v>
      </c>
      <c r="K3417" s="2" t="s">
        <v>107</v>
      </c>
      <c r="L3417" s="2" t="s">
        <v>107</v>
      </c>
      <c r="M3417" s="3">
        <v>40409</v>
      </c>
      <c r="N3417" s="2" t="s">
        <v>82</v>
      </c>
      <c r="O3417" s="2" t="s">
        <v>82</v>
      </c>
      <c r="P3417" s="2" t="s">
        <v>82</v>
      </c>
      <c r="Q3417" s="2" t="str">
        <f>"N/C"</f>
        <v>N/C</v>
      </c>
      <c r="R3417" s="2" t="s">
        <v>82</v>
      </c>
      <c r="S3417" s="2" t="s">
        <v>82</v>
      </c>
      <c r="T3417" s="2">
        <v>2</v>
      </c>
      <c r="U3417" s="2" t="s">
        <v>123</v>
      </c>
      <c r="V3417" s="2">
        <v>1</v>
      </c>
      <c r="W3417" s="2" t="s">
        <v>80</v>
      </c>
      <c r="X3417" s="2">
        <v>11</v>
      </c>
      <c r="Y3417" s="2" t="s">
        <v>1920</v>
      </c>
      <c r="Z3417" s="2">
        <v>18</v>
      </c>
      <c r="AA3417" s="2" t="s">
        <v>3180</v>
      </c>
      <c r="AB3417" s="2">
        <v>9</v>
      </c>
      <c r="AC3417" s="2" t="s">
        <v>124</v>
      </c>
      <c r="AD3417" s="3">
        <v>40409</v>
      </c>
      <c r="AE3417" s="4">
        <v>0.52777777777777779</v>
      </c>
      <c r="AF3417" s="2"/>
      <c r="AG3417" s="2"/>
      <c r="AH3417" s="2">
        <v>6</v>
      </c>
      <c r="AI3417" s="2" t="s">
        <v>197</v>
      </c>
      <c r="AJ3417" s="2">
        <v>60</v>
      </c>
      <c r="AK3417" s="2" t="s">
        <v>543</v>
      </c>
      <c r="AL3417" s="2">
        <v>9</v>
      </c>
      <c r="AM3417" s="2" t="s">
        <v>259</v>
      </c>
      <c r="AN3417" s="2" t="s">
        <v>11006</v>
      </c>
      <c r="AO3417" s="2" t="s">
        <v>11006</v>
      </c>
      <c r="AP3417" s="2">
        <v>11</v>
      </c>
      <c r="AQ3417" s="2" t="s">
        <v>82</v>
      </c>
      <c r="AR3417" s="2" t="s">
        <v>82</v>
      </c>
      <c r="AS3417" s="2" t="s">
        <v>82</v>
      </c>
      <c r="AT3417" s="2" t="s">
        <v>11007</v>
      </c>
      <c r="AU3417" s="2"/>
      <c r="AV3417" s="2"/>
      <c r="AW3417" s="2"/>
      <c r="AX3417" s="2"/>
      <c r="AY3417" s="2">
        <v>41</v>
      </c>
      <c r="AZ3417" s="2" t="s">
        <v>82</v>
      </c>
      <c r="BA3417" s="2">
        <v>41</v>
      </c>
      <c r="BB3417" s="2" t="s">
        <v>82</v>
      </c>
      <c r="BC3417" s="2">
        <v>41</v>
      </c>
      <c r="BD3417" s="2" t="s">
        <v>82</v>
      </c>
      <c r="BE3417" s="2">
        <v>13</v>
      </c>
      <c r="BF3417" s="2" t="s">
        <v>108</v>
      </c>
      <c r="BG3417" s="2" t="s">
        <v>11008</v>
      </c>
      <c r="BH3417" s="4">
        <v>0.43055555555555558</v>
      </c>
      <c r="BI3417" s="4">
        <v>0.52777777777777779</v>
      </c>
      <c r="BJ3417" s="2">
        <v>13</v>
      </c>
      <c r="BK3417" s="2" t="s">
        <v>91</v>
      </c>
      <c r="BL3417" s="2" t="s">
        <v>895</v>
      </c>
      <c r="BM3417" s="2">
        <v>13</v>
      </c>
      <c r="BN3417" s="2" t="s">
        <v>91</v>
      </c>
      <c r="BO3417" s="2" t="s">
        <v>492</v>
      </c>
      <c r="BP3417" s="2">
        <v>13</v>
      </c>
      <c r="BQ3417" s="2" t="s">
        <v>91</v>
      </c>
      <c r="BR3417" s="2" t="s">
        <v>3520</v>
      </c>
      <c r="BS3417" s="3">
        <v>40409</v>
      </c>
      <c r="BT3417" s="4">
        <v>0.60387731481481477</v>
      </c>
    </row>
    <row r="3418" spans="1:72" x14ac:dyDescent="0.25">
      <c r="A3418" s="2">
        <v>5028</v>
      </c>
      <c r="B3418" s="2">
        <v>2010</v>
      </c>
      <c r="C3418" s="2" t="s">
        <v>171</v>
      </c>
      <c r="D3418" s="2" t="s">
        <v>73</v>
      </c>
      <c r="E3418" s="2"/>
      <c r="F3418" s="2">
        <v>293</v>
      </c>
      <c r="G3418" s="2" t="s">
        <v>8731</v>
      </c>
      <c r="H3418" s="2">
        <v>2</v>
      </c>
      <c r="I3418" s="2" t="s">
        <v>267</v>
      </c>
      <c r="J3418" s="2">
        <v>608</v>
      </c>
      <c r="K3418" s="2" t="s">
        <v>9194</v>
      </c>
      <c r="L3418" s="2" t="s">
        <v>9195</v>
      </c>
      <c r="M3418" s="3">
        <v>40409</v>
      </c>
      <c r="N3418" s="2" t="s">
        <v>11009</v>
      </c>
      <c r="O3418" s="2" t="s">
        <v>11010</v>
      </c>
      <c r="P3418" s="2" t="s">
        <v>9375</v>
      </c>
      <c r="Q3418" s="2" t="str">
        <f>"0014/2010"</f>
        <v>0014/2010</v>
      </c>
      <c r="R3418" s="2"/>
      <c r="S3418" s="2"/>
      <c r="T3418" s="2">
        <v>1</v>
      </c>
      <c r="U3418" s="2" t="s">
        <v>79</v>
      </c>
      <c r="V3418" s="2">
        <v>3</v>
      </c>
      <c r="W3418" s="2" t="s">
        <v>225</v>
      </c>
      <c r="X3418" s="2">
        <v>6</v>
      </c>
      <c r="Y3418" s="2" t="s">
        <v>249</v>
      </c>
      <c r="Z3418" s="2">
        <v>1</v>
      </c>
      <c r="AA3418" s="2" t="s">
        <v>82</v>
      </c>
      <c r="AB3418" s="2">
        <v>9</v>
      </c>
      <c r="AC3418" s="2" t="s">
        <v>124</v>
      </c>
      <c r="AD3418" s="3">
        <v>40370</v>
      </c>
      <c r="AE3418" s="4">
        <v>0.47152777777777777</v>
      </c>
      <c r="AF3418" s="2"/>
      <c r="AG3418" s="2"/>
      <c r="AH3418" s="2">
        <v>5</v>
      </c>
      <c r="AI3418" s="2" t="s">
        <v>274</v>
      </c>
      <c r="AJ3418" s="2">
        <v>35</v>
      </c>
      <c r="AK3418" s="2" t="s">
        <v>275</v>
      </c>
      <c r="AL3418" s="2">
        <v>23</v>
      </c>
      <c r="AM3418" s="2" t="s">
        <v>251</v>
      </c>
      <c r="AN3418" s="2"/>
      <c r="AO3418" s="2" t="s">
        <v>11011</v>
      </c>
      <c r="AP3418" s="2">
        <v>11</v>
      </c>
      <c r="AQ3418" s="2" t="s">
        <v>82</v>
      </c>
      <c r="AR3418" s="2"/>
      <c r="AS3418" s="2"/>
      <c r="AT3418" s="2" t="s">
        <v>11012</v>
      </c>
      <c r="AU3418" s="2"/>
      <c r="AV3418" s="2"/>
      <c r="AW3418" s="2"/>
      <c r="AX3418" s="2"/>
      <c r="AY3418" s="2">
        <v>41</v>
      </c>
      <c r="AZ3418" s="2" t="s">
        <v>82</v>
      </c>
      <c r="BA3418" s="2">
        <v>41</v>
      </c>
      <c r="BB3418" s="2" t="s">
        <v>82</v>
      </c>
      <c r="BC3418" s="2">
        <v>41</v>
      </c>
      <c r="BD3418" s="2" t="s">
        <v>82</v>
      </c>
      <c r="BE3418" s="2">
        <v>41</v>
      </c>
      <c r="BF3418" s="2" t="s">
        <v>82</v>
      </c>
      <c r="BG3418" s="2"/>
      <c r="BH3418" s="2"/>
      <c r="BI3418" s="2"/>
      <c r="BJ3418" s="2">
        <v>241</v>
      </c>
      <c r="BK3418" s="2" t="s">
        <v>82</v>
      </c>
      <c r="BL3418" s="2"/>
      <c r="BM3418" s="2">
        <v>241</v>
      </c>
      <c r="BN3418" s="2" t="s">
        <v>82</v>
      </c>
      <c r="BO3418" s="2"/>
      <c r="BP3418" s="2">
        <v>241</v>
      </c>
      <c r="BQ3418" s="2" t="s">
        <v>82</v>
      </c>
      <c r="BR3418" s="2"/>
      <c r="BS3418" s="3">
        <v>40409</v>
      </c>
      <c r="BT3418" s="4">
        <v>0.62994212962962959</v>
      </c>
    </row>
    <row r="3419" spans="1:72" x14ac:dyDescent="0.25">
      <c r="A3419" s="2">
        <v>5031</v>
      </c>
      <c r="B3419" s="2">
        <v>2010</v>
      </c>
      <c r="C3419" s="2" t="s">
        <v>147</v>
      </c>
      <c r="D3419" s="2" t="s">
        <v>122</v>
      </c>
      <c r="E3419" s="2"/>
      <c r="F3419" s="2">
        <v>1</v>
      </c>
      <c r="G3419" s="2" t="s">
        <v>82</v>
      </c>
      <c r="H3419" s="2">
        <v>1</v>
      </c>
      <c r="I3419" s="2" t="s">
        <v>82</v>
      </c>
      <c r="J3419" s="2">
        <v>1</v>
      </c>
      <c r="K3419" s="2" t="s">
        <v>107</v>
      </c>
      <c r="L3419" s="2" t="s">
        <v>107</v>
      </c>
      <c r="M3419" s="3">
        <v>40409</v>
      </c>
      <c r="N3419" s="2"/>
      <c r="O3419" s="2"/>
      <c r="P3419" s="2"/>
      <c r="Q3419" s="2" t="str">
        <f>""</f>
        <v/>
      </c>
      <c r="R3419" s="2"/>
      <c r="S3419" s="2"/>
      <c r="T3419" s="2">
        <v>2</v>
      </c>
      <c r="U3419" s="2" t="s">
        <v>123</v>
      </c>
      <c r="V3419" s="2">
        <v>1</v>
      </c>
      <c r="W3419" s="2" t="s">
        <v>80</v>
      </c>
      <c r="X3419" s="2">
        <v>12</v>
      </c>
      <c r="Y3419" s="2" t="s">
        <v>148</v>
      </c>
      <c r="Z3419" s="2">
        <v>1</v>
      </c>
      <c r="AA3419" s="2" t="s">
        <v>82</v>
      </c>
      <c r="AB3419" s="2">
        <v>9</v>
      </c>
      <c r="AC3419" s="2" t="s">
        <v>124</v>
      </c>
      <c r="AD3419" s="3">
        <v>40404</v>
      </c>
      <c r="AE3419" s="4">
        <v>0.66666666666666663</v>
      </c>
      <c r="AF3419" s="3">
        <v>40409</v>
      </c>
      <c r="AG3419" s="4">
        <v>0.66666666666666663</v>
      </c>
      <c r="AH3419" s="2">
        <v>6</v>
      </c>
      <c r="AI3419" s="2" t="s">
        <v>197</v>
      </c>
      <c r="AJ3419" s="2">
        <v>50</v>
      </c>
      <c r="AK3419" s="2" t="s">
        <v>330</v>
      </c>
      <c r="AL3419" s="2">
        <v>19</v>
      </c>
      <c r="AM3419" s="2" t="s">
        <v>107</v>
      </c>
      <c r="AN3419" s="2"/>
      <c r="AO3419" s="2"/>
      <c r="AP3419" s="2">
        <v>11</v>
      </c>
      <c r="AQ3419" s="2" t="s">
        <v>82</v>
      </c>
      <c r="AR3419" s="2"/>
      <c r="AS3419" s="2"/>
      <c r="AT3419" s="2" t="s">
        <v>11013</v>
      </c>
      <c r="AU3419" s="2"/>
      <c r="AV3419" s="2"/>
      <c r="AW3419" s="2"/>
      <c r="AX3419" s="2"/>
      <c r="AY3419" s="2">
        <v>41</v>
      </c>
      <c r="AZ3419" s="2" t="s">
        <v>82</v>
      </c>
      <c r="BA3419" s="2">
        <v>1</v>
      </c>
      <c r="BB3419" s="2" t="s">
        <v>107</v>
      </c>
      <c r="BC3419" s="2">
        <v>1</v>
      </c>
      <c r="BD3419" s="2" t="s">
        <v>107</v>
      </c>
      <c r="BE3419" s="2">
        <v>41</v>
      </c>
      <c r="BF3419" s="2" t="s">
        <v>82</v>
      </c>
      <c r="BG3419" s="2"/>
      <c r="BH3419" s="2"/>
      <c r="BI3419" s="2"/>
      <c r="BJ3419" s="2">
        <v>241</v>
      </c>
      <c r="BK3419" s="2" t="s">
        <v>82</v>
      </c>
      <c r="BL3419" s="2"/>
      <c r="BM3419" s="2">
        <v>241</v>
      </c>
      <c r="BN3419" s="2" t="s">
        <v>82</v>
      </c>
      <c r="BO3419" s="2"/>
      <c r="BP3419" s="2">
        <v>241</v>
      </c>
      <c r="BQ3419" s="2" t="s">
        <v>82</v>
      </c>
      <c r="BR3419" s="2"/>
      <c r="BS3419" s="3">
        <v>40409</v>
      </c>
      <c r="BT3419" s="4">
        <v>0.71895833333333325</v>
      </c>
    </row>
    <row r="3420" spans="1:72" x14ac:dyDescent="0.25">
      <c r="A3420" s="2">
        <v>5032</v>
      </c>
      <c r="B3420" s="2">
        <v>2010</v>
      </c>
      <c r="C3420" s="2" t="s">
        <v>171</v>
      </c>
      <c r="D3420" s="2" t="s">
        <v>73</v>
      </c>
      <c r="E3420" s="2" t="s">
        <v>11014</v>
      </c>
      <c r="F3420" s="2">
        <v>451</v>
      </c>
      <c r="G3420" s="2" t="s">
        <v>879</v>
      </c>
      <c r="H3420" s="2">
        <v>31</v>
      </c>
      <c r="I3420" s="2" t="s">
        <v>880</v>
      </c>
      <c r="J3420" s="2">
        <v>326</v>
      </c>
      <c r="K3420" s="2" t="s">
        <v>881</v>
      </c>
      <c r="L3420" s="2" t="s">
        <v>882</v>
      </c>
      <c r="M3420" s="3">
        <v>40409</v>
      </c>
      <c r="N3420" s="2" t="s">
        <v>1072</v>
      </c>
      <c r="O3420" s="2" t="s">
        <v>11015</v>
      </c>
      <c r="P3420" s="2"/>
      <c r="Q3420" s="2" t="str">
        <f>"084/10"</f>
        <v>084/10</v>
      </c>
      <c r="R3420" s="2"/>
      <c r="S3420" s="2" t="s">
        <v>822</v>
      </c>
      <c r="T3420" s="2">
        <v>1</v>
      </c>
      <c r="U3420" s="2" t="s">
        <v>79</v>
      </c>
      <c r="V3420" s="2">
        <v>1</v>
      </c>
      <c r="W3420" s="2" t="s">
        <v>80</v>
      </c>
      <c r="X3420" s="2">
        <v>1</v>
      </c>
      <c r="Y3420" s="2" t="s">
        <v>81</v>
      </c>
      <c r="Z3420" s="2">
        <v>10</v>
      </c>
      <c r="AA3420" s="2" t="s">
        <v>236</v>
      </c>
      <c r="AB3420" s="2">
        <v>1</v>
      </c>
      <c r="AC3420" s="2" t="s">
        <v>178</v>
      </c>
      <c r="AD3420" s="3">
        <v>40409</v>
      </c>
      <c r="AE3420" s="4">
        <v>0.47013888888888888</v>
      </c>
      <c r="AF3420" s="2"/>
      <c r="AG3420" s="2"/>
      <c r="AH3420" s="2">
        <v>4</v>
      </c>
      <c r="AI3420" s="2" t="s">
        <v>125</v>
      </c>
      <c r="AJ3420" s="2">
        <v>29</v>
      </c>
      <c r="AK3420" s="2" t="s">
        <v>227</v>
      </c>
      <c r="AL3420" s="2">
        <v>16</v>
      </c>
      <c r="AM3420" s="2" t="s">
        <v>392</v>
      </c>
      <c r="AN3420" s="2" t="s">
        <v>9764</v>
      </c>
      <c r="AO3420" s="2"/>
      <c r="AP3420" s="2">
        <v>12</v>
      </c>
      <c r="AQ3420" s="2" t="s">
        <v>322</v>
      </c>
      <c r="AR3420" s="2" t="s">
        <v>824</v>
      </c>
      <c r="AS3420" s="2" t="s">
        <v>825</v>
      </c>
      <c r="AT3420" s="2" t="s">
        <v>11016</v>
      </c>
      <c r="AU3420" s="2"/>
      <c r="AV3420" s="2"/>
      <c r="AW3420" s="2"/>
      <c r="AX3420" s="2"/>
      <c r="AY3420" s="2">
        <v>41</v>
      </c>
      <c r="AZ3420" s="2" t="s">
        <v>82</v>
      </c>
      <c r="BA3420" s="2">
        <v>41</v>
      </c>
      <c r="BB3420" s="2" t="s">
        <v>82</v>
      </c>
      <c r="BC3420" s="2">
        <v>51</v>
      </c>
      <c r="BD3420" s="2" t="s">
        <v>827</v>
      </c>
      <c r="BE3420" s="2">
        <v>13</v>
      </c>
      <c r="BF3420" s="2" t="s">
        <v>108</v>
      </c>
      <c r="BG3420" s="2">
        <v>1459</v>
      </c>
      <c r="BH3420" s="4">
        <v>0.89583333333333337</v>
      </c>
      <c r="BI3420" s="4">
        <v>0.92708333333333337</v>
      </c>
      <c r="BJ3420" s="2">
        <v>13</v>
      </c>
      <c r="BK3420" s="2" t="s">
        <v>91</v>
      </c>
      <c r="BL3420" s="2" t="s">
        <v>828</v>
      </c>
      <c r="BM3420" s="2">
        <v>241</v>
      </c>
      <c r="BN3420" s="2" t="s">
        <v>82</v>
      </c>
      <c r="BO3420" s="2"/>
      <c r="BP3420" s="2">
        <v>13</v>
      </c>
      <c r="BQ3420" s="2" t="s">
        <v>91</v>
      </c>
      <c r="BR3420" s="2" t="s">
        <v>185</v>
      </c>
      <c r="BS3420" s="3">
        <v>40409</v>
      </c>
      <c r="BT3420" s="4">
        <v>0.73031250000000003</v>
      </c>
    </row>
    <row r="3421" spans="1:72" x14ac:dyDescent="0.25">
      <c r="A3421" s="2">
        <v>5033</v>
      </c>
      <c r="B3421" s="2">
        <v>2010</v>
      </c>
      <c r="C3421" s="2" t="s">
        <v>806</v>
      </c>
      <c r="D3421" s="2" t="s">
        <v>73</v>
      </c>
      <c r="E3421" s="2"/>
      <c r="F3421" s="2">
        <v>507</v>
      </c>
      <c r="G3421" s="2" t="s">
        <v>2475</v>
      </c>
      <c r="H3421" s="2">
        <v>89</v>
      </c>
      <c r="I3421" s="2" t="s">
        <v>5137</v>
      </c>
      <c r="J3421" s="2">
        <v>424</v>
      </c>
      <c r="K3421" s="2" t="s">
        <v>2476</v>
      </c>
      <c r="L3421" s="2" t="s">
        <v>2477</v>
      </c>
      <c r="M3421" s="3">
        <v>40409</v>
      </c>
      <c r="N3421" s="2" t="s">
        <v>2593</v>
      </c>
      <c r="O3421" s="2" t="s">
        <v>11017</v>
      </c>
      <c r="P3421" s="7">
        <v>16419</v>
      </c>
      <c r="Q3421" s="2" t="str">
        <f>"N/C"</f>
        <v>N/C</v>
      </c>
      <c r="R3421" s="2" t="s">
        <v>82</v>
      </c>
      <c r="S3421" s="2" t="s">
        <v>107</v>
      </c>
      <c r="T3421" s="2">
        <v>1</v>
      </c>
      <c r="U3421" s="2" t="s">
        <v>79</v>
      </c>
      <c r="V3421" s="2">
        <v>1</v>
      </c>
      <c r="W3421" s="2" t="s">
        <v>80</v>
      </c>
      <c r="X3421" s="2">
        <v>7</v>
      </c>
      <c r="Y3421" s="2" t="s">
        <v>1964</v>
      </c>
      <c r="Z3421" s="2">
        <v>1</v>
      </c>
      <c r="AA3421" s="2" t="s">
        <v>82</v>
      </c>
      <c r="AB3421" s="2">
        <v>9</v>
      </c>
      <c r="AC3421" s="2" t="s">
        <v>124</v>
      </c>
      <c r="AD3421" s="3">
        <v>40409</v>
      </c>
      <c r="AE3421" s="4">
        <v>0.51041666666666663</v>
      </c>
      <c r="AF3421" s="3">
        <v>40409</v>
      </c>
      <c r="AG3421" s="4">
        <v>0.51041666666666663</v>
      </c>
      <c r="AH3421" s="2">
        <v>7</v>
      </c>
      <c r="AI3421" s="2" t="s">
        <v>801</v>
      </c>
      <c r="AJ3421" s="2">
        <v>3</v>
      </c>
      <c r="AK3421" s="2" t="s">
        <v>802</v>
      </c>
      <c r="AL3421" s="2">
        <v>23</v>
      </c>
      <c r="AM3421" s="2" t="s">
        <v>251</v>
      </c>
      <c r="AN3421" s="2" t="s">
        <v>107</v>
      </c>
      <c r="AO3421" s="2" t="s">
        <v>11018</v>
      </c>
      <c r="AP3421" s="2">
        <v>11</v>
      </c>
      <c r="AQ3421" s="2" t="s">
        <v>82</v>
      </c>
      <c r="AR3421" s="2" t="s">
        <v>107</v>
      </c>
      <c r="AS3421" s="2" t="s">
        <v>107</v>
      </c>
      <c r="AT3421" s="2" t="s">
        <v>11019</v>
      </c>
      <c r="AU3421" s="2">
        <v>1</v>
      </c>
      <c r="AV3421" s="2"/>
      <c r="AW3421" s="2"/>
      <c r="AX3421" s="2"/>
      <c r="AY3421" s="2">
        <v>1</v>
      </c>
      <c r="AZ3421" s="2" t="s">
        <v>107</v>
      </c>
      <c r="BA3421" s="2">
        <v>1</v>
      </c>
      <c r="BB3421" s="2" t="s">
        <v>107</v>
      </c>
      <c r="BC3421" s="2">
        <v>1</v>
      </c>
      <c r="BD3421" s="2" t="s">
        <v>107</v>
      </c>
      <c r="BE3421" s="2">
        <v>1</v>
      </c>
      <c r="BF3421" s="2" t="s">
        <v>107</v>
      </c>
      <c r="BG3421" s="2" t="s">
        <v>107</v>
      </c>
      <c r="BH3421" s="2"/>
      <c r="BI3421" s="2"/>
      <c r="BJ3421" s="2">
        <v>242</v>
      </c>
      <c r="BK3421" s="2" t="s">
        <v>107</v>
      </c>
      <c r="BL3421" s="2" t="s">
        <v>107</v>
      </c>
      <c r="BM3421" s="2">
        <v>242</v>
      </c>
      <c r="BN3421" s="2" t="s">
        <v>107</v>
      </c>
      <c r="BO3421" s="2" t="s">
        <v>107</v>
      </c>
      <c r="BP3421" s="2">
        <v>242</v>
      </c>
      <c r="BQ3421" s="2" t="s">
        <v>107</v>
      </c>
      <c r="BR3421" s="2" t="s">
        <v>107</v>
      </c>
      <c r="BS3421" s="3">
        <v>40409</v>
      </c>
      <c r="BT3421" s="4">
        <v>0.75626157407407402</v>
      </c>
    </row>
    <row r="3422" spans="1:72" x14ac:dyDescent="0.25">
      <c r="A3422" s="2">
        <v>5034</v>
      </c>
      <c r="B3422" s="2">
        <v>2010</v>
      </c>
      <c r="C3422" s="2" t="s">
        <v>1017</v>
      </c>
      <c r="D3422" s="2" t="s">
        <v>73</v>
      </c>
      <c r="E3422" s="2"/>
      <c r="F3422" s="2">
        <v>389</v>
      </c>
      <c r="G3422" s="2" t="s">
        <v>1819</v>
      </c>
      <c r="H3422" s="2">
        <v>4</v>
      </c>
      <c r="I3422" s="2" t="s">
        <v>173</v>
      </c>
      <c r="J3422" s="2">
        <v>399</v>
      </c>
      <c r="K3422" s="2" t="s">
        <v>1820</v>
      </c>
      <c r="L3422" s="2" t="s">
        <v>1821</v>
      </c>
      <c r="M3422" s="3">
        <v>40409</v>
      </c>
      <c r="N3422" s="2" t="s">
        <v>2621</v>
      </c>
      <c r="O3422" s="2" t="s">
        <v>107</v>
      </c>
      <c r="P3422" s="2" t="s">
        <v>107</v>
      </c>
      <c r="Q3422" s="2" t="str">
        <f>"424-E/10"</f>
        <v>424-E/10</v>
      </c>
      <c r="R3422" s="2" t="s">
        <v>11020</v>
      </c>
      <c r="S3422" s="2" t="s">
        <v>107</v>
      </c>
      <c r="T3422" s="2">
        <v>1</v>
      </c>
      <c r="U3422" s="2" t="s">
        <v>79</v>
      </c>
      <c r="V3422" s="2">
        <v>1</v>
      </c>
      <c r="W3422" s="2" t="s">
        <v>80</v>
      </c>
      <c r="X3422" s="2">
        <v>12</v>
      </c>
      <c r="Y3422" s="2" t="s">
        <v>148</v>
      </c>
      <c r="Z3422" s="2">
        <v>1</v>
      </c>
      <c r="AA3422" s="2" t="s">
        <v>82</v>
      </c>
      <c r="AB3422" s="2">
        <v>7</v>
      </c>
      <c r="AC3422" s="2" t="s">
        <v>1023</v>
      </c>
      <c r="AD3422" s="3">
        <v>40409</v>
      </c>
      <c r="AE3422" s="4">
        <v>0.4375</v>
      </c>
      <c r="AF3422" s="3">
        <v>40409</v>
      </c>
      <c r="AG3422" s="4">
        <v>0.5625</v>
      </c>
      <c r="AH3422" s="2">
        <v>2</v>
      </c>
      <c r="AI3422" s="2" t="s">
        <v>84</v>
      </c>
      <c r="AJ3422" s="2">
        <v>9</v>
      </c>
      <c r="AK3422" s="2" t="s">
        <v>103</v>
      </c>
      <c r="AL3422" s="2">
        <v>25</v>
      </c>
      <c r="AM3422" s="2" t="s">
        <v>3073</v>
      </c>
      <c r="AN3422" s="2" t="s">
        <v>11021</v>
      </c>
      <c r="AO3422" s="2" t="s">
        <v>11022</v>
      </c>
      <c r="AP3422" s="2">
        <v>11</v>
      </c>
      <c r="AQ3422" s="2" t="s">
        <v>82</v>
      </c>
      <c r="AR3422" s="2"/>
      <c r="AS3422" s="2"/>
      <c r="AT3422" s="2" t="s">
        <v>11023</v>
      </c>
      <c r="AU3422" s="2"/>
      <c r="AV3422" s="2"/>
      <c r="AW3422" s="2"/>
      <c r="AX3422" s="2"/>
      <c r="AY3422" s="2">
        <v>41</v>
      </c>
      <c r="AZ3422" s="2" t="s">
        <v>82</v>
      </c>
      <c r="BA3422" s="2">
        <v>44</v>
      </c>
      <c r="BB3422" s="2" t="s">
        <v>262</v>
      </c>
      <c r="BC3422" s="2">
        <v>41</v>
      </c>
      <c r="BD3422" s="2" t="s">
        <v>82</v>
      </c>
      <c r="BE3422" s="2">
        <v>41</v>
      </c>
      <c r="BF3422" s="2" t="s">
        <v>82</v>
      </c>
      <c r="BG3422" s="2"/>
      <c r="BH3422" s="2"/>
      <c r="BI3422" s="2"/>
      <c r="BJ3422" s="2">
        <v>241</v>
      </c>
      <c r="BK3422" s="2" t="s">
        <v>82</v>
      </c>
      <c r="BL3422" s="2"/>
      <c r="BM3422" s="2">
        <v>241</v>
      </c>
      <c r="BN3422" s="2" t="s">
        <v>82</v>
      </c>
      <c r="BO3422" s="2"/>
      <c r="BP3422" s="2">
        <v>241</v>
      </c>
      <c r="BQ3422" s="2" t="s">
        <v>82</v>
      </c>
      <c r="BR3422" s="2"/>
      <c r="BS3422" s="3">
        <v>40409</v>
      </c>
      <c r="BT3422" s="4">
        <v>0.76936342592592588</v>
      </c>
    </row>
    <row r="3423" spans="1:72" x14ac:dyDescent="0.25">
      <c r="A3423" s="2">
        <v>5036</v>
      </c>
      <c r="B3423" s="2">
        <v>2010</v>
      </c>
      <c r="C3423" s="2" t="s">
        <v>4543</v>
      </c>
      <c r="D3423" s="2" t="s">
        <v>122</v>
      </c>
      <c r="E3423" s="2"/>
      <c r="F3423" s="2">
        <v>1</v>
      </c>
      <c r="G3423" s="2" t="s">
        <v>82</v>
      </c>
      <c r="H3423" s="2">
        <v>1</v>
      </c>
      <c r="I3423" s="2" t="s">
        <v>82</v>
      </c>
      <c r="J3423" s="2">
        <v>1</v>
      </c>
      <c r="K3423" s="2" t="s">
        <v>107</v>
      </c>
      <c r="L3423" s="2" t="s">
        <v>107</v>
      </c>
      <c r="M3423" s="3">
        <v>40409</v>
      </c>
      <c r="N3423" s="2"/>
      <c r="O3423" s="2"/>
      <c r="P3423" s="2"/>
      <c r="Q3423" s="2" t="str">
        <f>""</f>
        <v/>
      </c>
      <c r="R3423" s="2"/>
      <c r="S3423" s="2"/>
      <c r="T3423" s="2">
        <v>2</v>
      </c>
      <c r="U3423" s="2" t="s">
        <v>123</v>
      </c>
      <c r="V3423" s="2">
        <v>1</v>
      </c>
      <c r="W3423" s="2" t="s">
        <v>80</v>
      </c>
      <c r="X3423" s="2">
        <v>11</v>
      </c>
      <c r="Y3423" s="2" t="s">
        <v>1920</v>
      </c>
      <c r="Z3423" s="2">
        <v>10</v>
      </c>
      <c r="AA3423" s="2" t="s">
        <v>236</v>
      </c>
      <c r="AB3423" s="2">
        <v>9</v>
      </c>
      <c r="AC3423" s="2" t="s">
        <v>124</v>
      </c>
      <c r="AD3423" s="3">
        <v>40409</v>
      </c>
      <c r="AE3423" s="4">
        <v>0.69791666666666663</v>
      </c>
      <c r="AF3423" s="2"/>
      <c r="AG3423" s="2"/>
      <c r="AH3423" s="2">
        <v>2</v>
      </c>
      <c r="AI3423" s="2" t="s">
        <v>84</v>
      </c>
      <c r="AJ3423" s="2">
        <v>12</v>
      </c>
      <c r="AK3423" s="2" t="s">
        <v>85</v>
      </c>
      <c r="AL3423" s="2">
        <v>10</v>
      </c>
      <c r="AM3423" s="2" t="s">
        <v>200</v>
      </c>
      <c r="AN3423" s="2" t="s">
        <v>11024</v>
      </c>
      <c r="AO3423" s="2"/>
      <c r="AP3423" s="2">
        <v>11</v>
      </c>
      <c r="AQ3423" s="2" t="s">
        <v>82</v>
      </c>
      <c r="AR3423" s="2"/>
      <c r="AS3423" s="2"/>
      <c r="AT3423" s="2" t="s">
        <v>11025</v>
      </c>
      <c r="AU3423" s="2"/>
      <c r="AV3423" s="2"/>
      <c r="AW3423" s="2"/>
      <c r="AX3423" s="2"/>
      <c r="AY3423" s="2">
        <v>41</v>
      </c>
      <c r="AZ3423" s="2" t="s">
        <v>82</v>
      </c>
      <c r="BA3423" s="2">
        <v>41</v>
      </c>
      <c r="BB3423" s="2" t="s">
        <v>82</v>
      </c>
      <c r="BC3423" s="2">
        <v>41</v>
      </c>
      <c r="BD3423" s="2" t="s">
        <v>82</v>
      </c>
      <c r="BE3423" s="2">
        <v>13</v>
      </c>
      <c r="BF3423" s="2" t="s">
        <v>108</v>
      </c>
      <c r="BG3423" s="2" t="s">
        <v>11026</v>
      </c>
      <c r="BH3423" s="4">
        <v>0.70833333333333337</v>
      </c>
      <c r="BI3423" s="4">
        <v>0.59027777777777779</v>
      </c>
      <c r="BJ3423" s="2">
        <v>13</v>
      </c>
      <c r="BK3423" s="2" t="s">
        <v>91</v>
      </c>
      <c r="BL3423" s="2" t="s">
        <v>492</v>
      </c>
      <c r="BM3423" s="2">
        <v>241</v>
      </c>
      <c r="BN3423" s="2" t="s">
        <v>82</v>
      </c>
      <c r="BO3423" s="2"/>
      <c r="BP3423" s="2">
        <v>13</v>
      </c>
      <c r="BQ3423" s="2" t="s">
        <v>91</v>
      </c>
      <c r="BR3423" s="2" t="s">
        <v>185</v>
      </c>
      <c r="BS3423" s="3">
        <v>40409</v>
      </c>
      <c r="BT3423" s="4">
        <v>0.78467592592592583</v>
      </c>
    </row>
    <row r="3424" spans="1:72" x14ac:dyDescent="0.25">
      <c r="A3424" s="2">
        <v>5039</v>
      </c>
      <c r="B3424" s="2">
        <v>2010</v>
      </c>
      <c r="C3424" s="2" t="s">
        <v>121</v>
      </c>
      <c r="D3424" s="2" t="s">
        <v>122</v>
      </c>
      <c r="E3424" s="2"/>
      <c r="F3424" s="2">
        <v>1</v>
      </c>
      <c r="G3424" s="2" t="s">
        <v>82</v>
      </c>
      <c r="H3424" s="2">
        <v>1</v>
      </c>
      <c r="I3424" s="2" t="s">
        <v>82</v>
      </c>
      <c r="J3424" s="2">
        <v>1</v>
      </c>
      <c r="K3424" s="2" t="s">
        <v>107</v>
      </c>
      <c r="L3424" s="2" t="s">
        <v>107</v>
      </c>
      <c r="M3424" s="3">
        <v>40409</v>
      </c>
      <c r="N3424" s="2"/>
      <c r="O3424" s="2"/>
      <c r="P3424" s="2"/>
      <c r="Q3424" s="2" t="str">
        <f>""</f>
        <v/>
      </c>
      <c r="R3424" s="2"/>
      <c r="S3424" s="2"/>
      <c r="T3424" s="2">
        <v>2</v>
      </c>
      <c r="U3424" s="2" t="s">
        <v>123</v>
      </c>
      <c r="V3424" s="2">
        <v>1</v>
      </c>
      <c r="W3424" s="2" t="s">
        <v>80</v>
      </c>
      <c r="X3424" s="2">
        <v>11</v>
      </c>
      <c r="Y3424" s="2" t="s">
        <v>1920</v>
      </c>
      <c r="Z3424" s="2">
        <v>10</v>
      </c>
      <c r="AA3424" s="2" t="s">
        <v>236</v>
      </c>
      <c r="AB3424" s="2">
        <v>9</v>
      </c>
      <c r="AC3424" s="2" t="s">
        <v>124</v>
      </c>
      <c r="AD3424" s="3">
        <v>40409</v>
      </c>
      <c r="AE3424" s="4">
        <v>0.625</v>
      </c>
      <c r="AF3424" s="2"/>
      <c r="AG3424" s="2"/>
      <c r="AH3424" s="2">
        <v>4</v>
      </c>
      <c r="AI3424" s="2" t="s">
        <v>125</v>
      </c>
      <c r="AJ3424" s="2">
        <v>32</v>
      </c>
      <c r="AK3424" s="2" t="s">
        <v>419</v>
      </c>
      <c r="AL3424" s="2">
        <v>10</v>
      </c>
      <c r="AM3424" s="2" t="s">
        <v>200</v>
      </c>
      <c r="AN3424" s="2"/>
      <c r="AO3424" s="2"/>
      <c r="AP3424" s="2">
        <v>11</v>
      </c>
      <c r="AQ3424" s="2" t="s">
        <v>82</v>
      </c>
      <c r="AR3424" s="2"/>
      <c r="AS3424" s="2"/>
      <c r="AT3424" s="2" t="s">
        <v>11027</v>
      </c>
      <c r="AU3424" s="2"/>
      <c r="AV3424" s="2"/>
      <c r="AW3424" s="2"/>
      <c r="AX3424" s="2"/>
      <c r="AY3424" s="2">
        <v>41</v>
      </c>
      <c r="AZ3424" s="2" t="s">
        <v>82</v>
      </c>
      <c r="BA3424" s="2">
        <v>41</v>
      </c>
      <c r="BB3424" s="2" t="s">
        <v>82</v>
      </c>
      <c r="BC3424" s="2">
        <v>41</v>
      </c>
      <c r="BD3424" s="2" t="s">
        <v>82</v>
      </c>
      <c r="BE3424" s="2">
        <v>43</v>
      </c>
      <c r="BF3424" s="2" t="s">
        <v>220</v>
      </c>
      <c r="BG3424" s="2" t="s">
        <v>11028</v>
      </c>
      <c r="BH3424" s="4">
        <v>0.6972222222222223</v>
      </c>
      <c r="BI3424" s="2"/>
      <c r="BJ3424" s="2">
        <v>13</v>
      </c>
      <c r="BK3424" s="2" t="s">
        <v>91</v>
      </c>
      <c r="BL3424" s="2" t="s">
        <v>169</v>
      </c>
      <c r="BM3424" s="2">
        <v>241</v>
      </c>
      <c r="BN3424" s="2" t="s">
        <v>82</v>
      </c>
      <c r="BO3424" s="2" t="s">
        <v>82</v>
      </c>
      <c r="BP3424" s="2">
        <v>13</v>
      </c>
      <c r="BQ3424" s="2" t="s">
        <v>91</v>
      </c>
      <c r="BR3424" s="2" t="s">
        <v>8272</v>
      </c>
      <c r="BS3424" s="3">
        <v>40409</v>
      </c>
      <c r="BT3424" s="4">
        <v>0.80152777777777784</v>
      </c>
    </row>
    <row r="3425" spans="1:72" x14ac:dyDescent="0.25">
      <c r="A3425" s="2">
        <v>5042</v>
      </c>
      <c r="B3425" s="2">
        <v>2010</v>
      </c>
      <c r="C3425" s="2" t="s">
        <v>72</v>
      </c>
      <c r="D3425" s="2" t="s">
        <v>73</v>
      </c>
      <c r="E3425" s="2"/>
      <c r="F3425" s="2">
        <v>662</v>
      </c>
      <c r="G3425" s="2" t="s">
        <v>10249</v>
      </c>
      <c r="H3425" s="2">
        <v>42</v>
      </c>
      <c r="I3425" s="2" t="s">
        <v>1096</v>
      </c>
      <c r="J3425" s="2">
        <v>633</v>
      </c>
      <c r="K3425" s="2" t="s">
        <v>10250</v>
      </c>
      <c r="L3425" s="2" t="s">
        <v>10251</v>
      </c>
      <c r="M3425" s="3">
        <v>40409</v>
      </c>
      <c r="N3425" s="2" t="s">
        <v>10454</v>
      </c>
      <c r="O3425" s="2"/>
      <c r="P3425" s="2"/>
      <c r="Q3425" s="2" t="str">
        <f>"328-A/10"</f>
        <v>328-A/10</v>
      </c>
      <c r="R3425" s="2" t="s">
        <v>78</v>
      </c>
      <c r="S3425" s="2" t="s">
        <v>78</v>
      </c>
      <c r="T3425" s="2">
        <v>1</v>
      </c>
      <c r="U3425" s="2" t="s">
        <v>79</v>
      </c>
      <c r="V3425" s="2">
        <v>1</v>
      </c>
      <c r="W3425" s="2" t="s">
        <v>80</v>
      </c>
      <c r="X3425" s="2">
        <v>12</v>
      </c>
      <c r="Y3425" s="2" t="s">
        <v>148</v>
      </c>
      <c r="Z3425" s="2">
        <v>1</v>
      </c>
      <c r="AA3425" s="2" t="s">
        <v>82</v>
      </c>
      <c r="AB3425" s="2">
        <v>6</v>
      </c>
      <c r="AC3425" s="2" t="s">
        <v>83</v>
      </c>
      <c r="AD3425" s="3">
        <v>40408</v>
      </c>
      <c r="AE3425" s="2"/>
      <c r="AF3425" s="3">
        <v>40409</v>
      </c>
      <c r="AG3425" s="4">
        <v>0.72569444444444453</v>
      </c>
      <c r="AH3425" s="2">
        <v>2</v>
      </c>
      <c r="AI3425" s="2" t="s">
        <v>84</v>
      </c>
      <c r="AJ3425" s="2">
        <v>12</v>
      </c>
      <c r="AK3425" s="2" t="s">
        <v>85</v>
      </c>
      <c r="AL3425" s="2">
        <v>22</v>
      </c>
      <c r="AM3425" s="2" t="s">
        <v>1853</v>
      </c>
      <c r="AN3425" s="2"/>
      <c r="AO3425" s="2" t="s">
        <v>11029</v>
      </c>
      <c r="AP3425" s="2">
        <v>11</v>
      </c>
      <c r="AQ3425" s="2" t="s">
        <v>82</v>
      </c>
      <c r="AR3425" s="2"/>
      <c r="AS3425" s="2"/>
      <c r="AT3425" s="2" t="s">
        <v>11030</v>
      </c>
      <c r="AU3425" s="2"/>
      <c r="AV3425" s="2"/>
      <c r="AW3425" s="2"/>
      <c r="AX3425" s="2"/>
      <c r="AY3425" s="2">
        <v>41</v>
      </c>
      <c r="AZ3425" s="2" t="s">
        <v>82</v>
      </c>
      <c r="BA3425" s="2">
        <v>41</v>
      </c>
      <c r="BB3425" s="2" t="s">
        <v>82</v>
      </c>
      <c r="BC3425" s="2">
        <v>41</v>
      </c>
      <c r="BD3425" s="2" t="s">
        <v>82</v>
      </c>
      <c r="BE3425" s="2">
        <v>13</v>
      </c>
      <c r="BF3425" s="2" t="s">
        <v>108</v>
      </c>
      <c r="BG3425" s="2" t="s">
        <v>11031</v>
      </c>
      <c r="BH3425" s="2"/>
      <c r="BI3425" s="4">
        <v>0.52430555555555558</v>
      </c>
      <c r="BJ3425" s="2">
        <v>13</v>
      </c>
      <c r="BK3425" s="2" t="s">
        <v>91</v>
      </c>
      <c r="BL3425" s="2" t="s">
        <v>564</v>
      </c>
      <c r="BM3425" s="2">
        <v>241</v>
      </c>
      <c r="BN3425" s="2" t="s">
        <v>82</v>
      </c>
      <c r="BO3425" s="2"/>
      <c r="BP3425" s="2">
        <v>13</v>
      </c>
      <c r="BQ3425" s="2" t="s">
        <v>91</v>
      </c>
      <c r="BR3425" s="2" t="s">
        <v>1026</v>
      </c>
      <c r="BS3425" s="3">
        <v>40409</v>
      </c>
      <c r="BT3425" s="4">
        <v>0.96429398148148149</v>
      </c>
    </row>
    <row r="3426" spans="1:72" x14ac:dyDescent="0.25">
      <c r="A3426" s="2">
        <v>5043</v>
      </c>
      <c r="B3426" s="2">
        <v>2010</v>
      </c>
      <c r="C3426" s="2" t="s">
        <v>72</v>
      </c>
      <c r="D3426" s="2" t="s">
        <v>73</v>
      </c>
      <c r="E3426" s="2"/>
      <c r="F3426" s="2">
        <v>662</v>
      </c>
      <c r="G3426" s="2" t="s">
        <v>10249</v>
      </c>
      <c r="H3426" s="2">
        <v>42</v>
      </c>
      <c r="I3426" s="2" t="s">
        <v>1096</v>
      </c>
      <c r="J3426" s="2">
        <v>633</v>
      </c>
      <c r="K3426" s="2" t="s">
        <v>10250</v>
      </c>
      <c r="L3426" s="2" t="s">
        <v>10251</v>
      </c>
      <c r="M3426" s="3">
        <v>40409</v>
      </c>
      <c r="N3426" s="2" t="s">
        <v>11032</v>
      </c>
      <c r="O3426" s="2"/>
      <c r="P3426" s="2"/>
      <c r="Q3426" s="2" t="str">
        <f>"329-A/10"</f>
        <v>329-A/10</v>
      </c>
      <c r="R3426" s="2" t="s">
        <v>78</v>
      </c>
      <c r="S3426" s="2" t="s">
        <v>78</v>
      </c>
      <c r="T3426" s="2">
        <v>1</v>
      </c>
      <c r="U3426" s="2" t="s">
        <v>79</v>
      </c>
      <c r="V3426" s="2">
        <v>1</v>
      </c>
      <c r="W3426" s="2" t="s">
        <v>80</v>
      </c>
      <c r="X3426" s="2">
        <v>12</v>
      </c>
      <c r="Y3426" s="2" t="s">
        <v>148</v>
      </c>
      <c r="Z3426" s="2">
        <v>1</v>
      </c>
      <c r="AA3426" s="2" t="s">
        <v>82</v>
      </c>
      <c r="AB3426" s="2">
        <v>6</v>
      </c>
      <c r="AC3426" s="2" t="s">
        <v>83</v>
      </c>
      <c r="AD3426" s="3">
        <v>40409</v>
      </c>
      <c r="AE3426" s="2"/>
      <c r="AF3426" s="3">
        <v>40409</v>
      </c>
      <c r="AG3426" s="4">
        <v>0.86458333333333337</v>
      </c>
      <c r="AH3426" s="2">
        <v>2</v>
      </c>
      <c r="AI3426" s="2" t="s">
        <v>84</v>
      </c>
      <c r="AJ3426" s="2">
        <v>12</v>
      </c>
      <c r="AK3426" s="2" t="s">
        <v>85</v>
      </c>
      <c r="AL3426" s="2">
        <v>25</v>
      </c>
      <c r="AM3426" s="2" t="s">
        <v>3073</v>
      </c>
      <c r="AN3426" s="2"/>
      <c r="AO3426" s="2" t="s">
        <v>11033</v>
      </c>
      <c r="AP3426" s="2">
        <v>11</v>
      </c>
      <c r="AQ3426" s="2" t="s">
        <v>82</v>
      </c>
      <c r="AR3426" s="2"/>
      <c r="AS3426" s="2"/>
      <c r="AT3426" s="2" t="s">
        <v>11034</v>
      </c>
      <c r="AU3426" s="2"/>
      <c r="AV3426" s="2"/>
      <c r="AW3426" s="2"/>
      <c r="AX3426" s="2"/>
      <c r="AY3426" s="2">
        <v>41</v>
      </c>
      <c r="AZ3426" s="2" t="s">
        <v>82</v>
      </c>
      <c r="BA3426" s="2">
        <v>41</v>
      </c>
      <c r="BB3426" s="2" t="s">
        <v>82</v>
      </c>
      <c r="BC3426" s="2">
        <v>41</v>
      </c>
      <c r="BD3426" s="2" t="s">
        <v>82</v>
      </c>
      <c r="BE3426" s="2">
        <v>41</v>
      </c>
      <c r="BF3426" s="2" t="s">
        <v>82</v>
      </c>
      <c r="BG3426" s="2"/>
      <c r="BH3426" s="2"/>
      <c r="BI3426" s="2"/>
      <c r="BJ3426" s="2">
        <v>241</v>
      </c>
      <c r="BK3426" s="2" t="s">
        <v>82</v>
      </c>
      <c r="BL3426" s="2"/>
      <c r="BM3426" s="2">
        <v>241</v>
      </c>
      <c r="BN3426" s="2" t="s">
        <v>82</v>
      </c>
      <c r="BO3426" s="2"/>
      <c r="BP3426" s="2">
        <v>241</v>
      </c>
      <c r="BQ3426" s="2" t="s">
        <v>82</v>
      </c>
      <c r="BR3426" s="2"/>
      <c r="BS3426" s="3">
        <v>40409</v>
      </c>
      <c r="BT3426" s="4">
        <v>0.98925925925925917</v>
      </c>
    </row>
    <row r="3427" spans="1:72" x14ac:dyDescent="0.25">
      <c r="A3427" s="2">
        <v>5044</v>
      </c>
      <c r="B3427" s="2">
        <v>2010</v>
      </c>
      <c r="C3427" s="2" t="s">
        <v>171</v>
      </c>
      <c r="D3427" s="2" t="s">
        <v>73</v>
      </c>
      <c r="E3427" s="2"/>
      <c r="F3427" s="2">
        <v>482</v>
      </c>
      <c r="G3427" s="2" t="s">
        <v>1457</v>
      </c>
      <c r="H3427" s="2">
        <v>14</v>
      </c>
      <c r="I3427" s="2" t="s">
        <v>1458</v>
      </c>
      <c r="J3427" s="2">
        <v>167</v>
      </c>
      <c r="K3427" s="2" t="s">
        <v>1032</v>
      </c>
      <c r="L3427" s="2" t="s">
        <v>1033</v>
      </c>
      <c r="M3427" s="3">
        <v>40410</v>
      </c>
      <c r="N3427" s="2" t="s">
        <v>10991</v>
      </c>
      <c r="O3427" s="2"/>
      <c r="P3427" s="2"/>
      <c r="Q3427" s="2" t="str">
        <f>"327-A/10"</f>
        <v>327-A/10</v>
      </c>
      <c r="R3427" s="2" t="s">
        <v>489</v>
      </c>
      <c r="S3427" s="2"/>
      <c r="T3427" s="2">
        <v>1</v>
      </c>
      <c r="U3427" s="2" t="s">
        <v>79</v>
      </c>
      <c r="V3427" s="2">
        <v>1</v>
      </c>
      <c r="W3427" s="2" t="s">
        <v>80</v>
      </c>
      <c r="X3427" s="2">
        <v>1</v>
      </c>
      <c r="Y3427" s="2" t="s">
        <v>81</v>
      </c>
      <c r="Z3427" s="2">
        <v>1</v>
      </c>
      <c r="AA3427" s="2" t="s">
        <v>82</v>
      </c>
      <c r="AB3427" s="2">
        <v>1</v>
      </c>
      <c r="AC3427" s="2" t="s">
        <v>178</v>
      </c>
      <c r="AD3427" s="3">
        <v>40409</v>
      </c>
      <c r="AE3427" s="4">
        <v>0.78472222222222221</v>
      </c>
      <c r="AF3427" s="2"/>
      <c r="AG3427" s="2"/>
      <c r="AH3427" s="2">
        <v>2</v>
      </c>
      <c r="AI3427" s="2" t="s">
        <v>84</v>
      </c>
      <c r="AJ3427" s="2">
        <v>12</v>
      </c>
      <c r="AK3427" s="2" t="s">
        <v>85</v>
      </c>
      <c r="AL3427" s="2">
        <v>11</v>
      </c>
      <c r="AM3427" s="2" t="s">
        <v>137</v>
      </c>
      <c r="AN3427" s="2" t="s">
        <v>9584</v>
      </c>
      <c r="AO3427" s="2" t="s">
        <v>1059</v>
      </c>
      <c r="AP3427" s="2">
        <v>11</v>
      </c>
      <c r="AQ3427" s="2" t="s">
        <v>82</v>
      </c>
      <c r="AR3427" s="2"/>
      <c r="AS3427" s="2"/>
      <c r="AT3427" s="2" t="s">
        <v>11035</v>
      </c>
      <c r="AU3427" s="2">
        <v>1</v>
      </c>
      <c r="AV3427" s="2"/>
      <c r="AW3427" s="2"/>
      <c r="AX3427" s="2"/>
      <c r="AY3427" s="2">
        <v>41</v>
      </c>
      <c r="AZ3427" s="2" t="s">
        <v>82</v>
      </c>
      <c r="BA3427" s="2">
        <v>41</v>
      </c>
      <c r="BB3427" s="2" t="s">
        <v>82</v>
      </c>
      <c r="BC3427" s="2">
        <v>41</v>
      </c>
      <c r="BD3427" s="2" t="s">
        <v>82</v>
      </c>
      <c r="BE3427" s="2">
        <v>10</v>
      </c>
      <c r="BF3427" s="2" t="s">
        <v>901</v>
      </c>
      <c r="BG3427" s="2" t="s">
        <v>10415</v>
      </c>
      <c r="BH3427" s="2"/>
      <c r="BI3427" s="4">
        <v>0.80555555555555547</v>
      </c>
      <c r="BJ3427" s="2">
        <v>13</v>
      </c>
      <c r="BK3427" s="2" t="s">
        <v>91</v>
      </c>
      <c r="BL3427" s="2" t="s">
        <v>564</v>
      </c>
      <c r="BM3427" s="2">
        <v>241</v>
      </c>
      <c r="BN3427" s="2" t="s">
        <v>82</v>
      </c>
      <c r="BO3427" s="2"/>
      <c r="BP3427" s="2">
        <v>229</v>
      </c>
      <c r="BQ3427" s="2" t="s">
        <v>300</v>
      </c>
      <c r="BR3427" s="2" t="s">
        <v>573</v>
      </c>
      <c r="BS3427" s="3">
        <v>40410</v>
      </c>
      <c r="BT3427" s="4">
        <v>8.9687499999999989E-2</v>
      </c>
    </row>
    <row r="3428" spans="1:72" x14ac:dyDescent="0.25">
      <c r="A3428" s="2">
        <v>5045</v>
      </c>
      <c r="B3428" s="2">
        <v>2010</v>
      </c>
      <c r="C3428" s="2" t="s">
        <v>414</v>
      </c>
      <c r="D3428" s="2" t="s">
        <v>122</v>
      </c>
      <c r="E3428" s="2"/>
      <c r="F3428" s="2">
        <v>1</v>
      </c>
      <c r="G3428" s="2" t="s">
        <v>82</v>
      </c>
      <c r="H3428" s="2">
        <v>1</v>
      </c>
      <c r="I3428" s="2" t="s">
        <v>82</v>
      </c>
      <c r="J3428" s="2">
        <v>1</v>
      </c>
      <c r="K3428" s="2" t="s">
        <v>107</v>
      </c>
      <c r="L3428" s="2" t="s">
        <v>107</v>
      </c>
      <c r="M3428" s="3">
        <v>40410</v>
      </c>
      <c r="N3428" s="2"/>
      <c r="O3428" s="2"/>
      <c r="P3428" s="2"/>
      <c r="Q3428" s="2" t="str">
        <f>""</f>
        <v/>
      </c>
      <c r="R3428" s="2"/>
      <c r="S3428" s="2"/>
      <c r="T3428" s="2">
        <v>1</v>
      </c>
      <c r="U3428" s="2" t="s">
        <v>79</v>
      </c>
      <c r="V3428" s="2">
        <v>1</v>
      </c>
      <c r="W3428" s="2" t="s">
        <v>80</v>
      </c>
      <c r="X3428" s="2">
        <v>1</v>
      </c>
      <c r="Y3428" s="2" t="s">
        <v>81</v>
      </c>
      <c r="Z3428" s="2">
        <v>1</v>
      </c>
      <c r="AA3428" s="2" t="s">
        <v>82</v>
      </c>
      <c r="AB3428" s="2">
        <v>9</v>
      </c>
      <c r="AC3428" s="2" t="s">
        <v>124</v>
      </c>
      <c r="AD3428" s="3">
        <v>40409</v>
      </c>
      <c r="AE3428" s="4">
        <v>0.93055555555555547</v>
      </c>
      <c r="AF3428" s="2"/>
      <c r="AG3428" s="2"/>
      <c r="AH3428" s="2">
        <v>2</v>
      </c>
      <c r="AI3428" s="2" t="s">
        <v>84</v>
      </c>
      <c r="AJ3428" s="2">
        <v>12</v>
      </c>
      <c r="AK3428" s="2" t="s">
        <v>85</v>
      </c>
      <c r="AL3428" s="2">
        <v>24</v>
      </c>
      <c r="AM3428" s="2" t="s">
        <v>1540</v>
      </c>
      <c r="AN3428" s="2"/>
      <c r="AO3428" s="2" t="s">
        <v>2126</v>
      </c>
      <c r="AP3428" s="2">
        <v>11</v>
      </c>
      <c r="AQ3428" s="2" t="s">
        <v>82</v>
      </c>
      <c r="AR3428" s="2"/>
      <c r="AS3428" s="2"/>
      <c r="AT3428" s="2" t="s">
        <v>11036</v>
      </c>
      <c r="AU3428" s="2"/>
      <c r="AV3428" s="2"/>
      <c r="AW3428" s="2"/>
      <c r="AX3428" s="2"/>
      <c r="AY3428" s="2">
        <v>41</v>
      </c>
      <c r="AZ3428" s="2" t="s">
        <v>82</v>
      </c>
      <c r="BA3428" s="2">
        <v>41</v>
      </c>
      <c r="BB3428" s="2" t="s">
        <v>82</v>
      </c>
      <c r="BC3428" s="2">
        <v>41</v>
      </c>
      <c r="BD3428" s="2" t="s">
        <v>82</v>
      </c>
      <c r="BE3428" s="2">
        <v>41</v>
      </c>
      <c r="BF3428" s="2" t="s">
        <v>82</v>
      </c>
      <c r="BG3428" s="2"/>
      <c r="BH3428" s="2"/>
      <c r="BI3428" s="2"/>
      <c r="BJ3428" s="2">
        <v>241</v>
      </c>
      <c r="BK3428" s="2" t="s">
        <v>82</v>
      </c>
      <c r="BL3428" s="2"/>
      <c r="BM3428" s="2">
        <v>241</v>
      </c>
      <c r="BN3428" s="2" t="s">
        <v>82</v>
      </c>
      <c r="BO3428" s="2"/>
      <c r="BP3428" s="2">
        <v>241</v>
      </c>
      <c r="BQ3428" s="2" t="s">
        <v>82</v>
      </c>
      <c r="BR3428" s="2"/>
      <c r="BS3428" s="3">
        <v>40410</v>
      </c>
      <c r="BT3428" s="4">
        <v>0.18964120370370371</v>
      </c>
    </row>
    <row r="3429" spans="1:72" x14ac:dyDescent="0.25">
      <c r="A3429" s="2">
        <v>5046</v>
      </c>
      <c r="B3429" s="2">
        <v>2010</v>
      </c>
      <c r="C3429" s="2" t="s">
        <v>4543</v>
      </c>
      <c r="D3429" s="2" t="s">
        <v>122</v>
      </c>
      <c r="E3429" s="2"/>
      <c r="F3429" s="2">
        <v>1</v>
      </c>
      <c r="G3429" s="2" t="s">
        <v>82</v>
      </c>
      <c r="H3429" s="2">
        <v>1</v>
      </c>
      <c r="I3429" s="2" t="s">
        <v>82</v>
      </c>
      <c r="J3429" s="2">
        <v>1</v>
      </c>
      <c r="K3429" s="2" t="s">
        <v>107</v>
      </c>
      <c r="L3429" s="2" t="s">
        <v>107</v>
      </c>
      <c r="M3429" s="3">
        <v>40410</v>
      </c>
      <c r="N3429" s="2"/>
      <c r="O3429" s="2"/>
      <c r="P3429" s="2"/>
      <c r="Q3429" s="2" t="str">
        <f>""</f>
        <v/>
      </c>
      <c r="R3429" s="2"/>
      <c r="S3429" s="2"/>
      <c r="T3429" s="2">
        <v>2</v>
      </c>
      <c r="U3429" s="2" t="s">
        <v>123</v>
      </c>
      <c r="V3429" s="2">
        <v>1</v>
      </c>
      <c r="W3429" s="2" t="s">
        <v>80</v>
      </c>
      <c r="X3429" s="2">
        <v>11</v>
      </c>
      <c r="Y3429" s="2" t="s">
        <v>1920</v>
      </c>
      <c r="Z3429" s="2">
        <v>1</v>
      </c>
      <c r="AA3429" s="2" t="s">
        <v>82</v>
      </c>
      <c r="AB3429" s="2">
        <v>9</v>
      </c>
      <c r="AC3429" s="2" t="s">
        <v>124</v>
      </c>
      <c r="AD3429" s="3">
        <v>40410</v>
      </c>
      <c r="AE3429" s="4">
        <v>0.13194444444444445</v>
      </c>
      <c r="AF3429" s="2"/>
      <c r="AG3429" s="2"/>
      <c r="AH3429" s="2">
        <v>6</v>
      </c>
      <c r="AI3429" s="2" t="s">
        <v>197</v>
      </c>
      <c r="AJ3429" s="2">
        <v>54</v>
      </c>
      <c r="AK3429" s="2" t="s">
        <v>348</v>
      </c>
      <c r="AL3429" s="2">
        <v>18</v>
      </c>
      <c r="AM3429" s="2" t="s">
        <v>82</v>
      </c>
      <c r="AN3429" s="2" t="s">
        <v>595</v>
      </c>
      <c r="AO3429" s="2" t="s">
        <v>200</v>
      </c>
      <c r="AP3429" s="2">
        <v>14</v>
      </c>
      <c r="AQ3429" s="2" t="s">
        <v>3301</v>
      </c>
      <c r="AR3429" s="2" t="s">
        <v>596</v>
      </c>
      <c r="AS3429" s="2" t="s">
        <v>596</v>
      </c>
      <c r="AT3429" s="2" t="s">
        <v>11037</v>
      </c>
      <c r="AU3429" s="2"/>
      <c r="AV3429" s="2"/>
      <c r="AW3429" s="2"/>
      <c r="AX3429" s="2"/>
      <c r="AY3429" s="2">
        <v>1</v>
      </c>
      <c r="AZ3429" s="2" t="s">
        <v>107</v>
      </c>
      <c r="BA3429" s="2">
        <v>1</v>
      </c>
      <c r="BB3429" s="2" t="s">
        <v>107</v>
      </c>
      <c r="BC3429" s="2">
        <v>1</v>
      </c>
      <c r="BD3429" s="2" t="s">
        <v>107</v>
      </c>
      <c r="BE3429" s="2">
        <v>4</v>
      </c>
      <c r="BF3429" s="2" t="s">
        <v>90</v>
      </c>
      <c r="BG3429" s="2" t="s">
        <v>598</v>
      </c>
      <c r="BH3429" s="4">
        <v>7.2916666666666671E-2</v>
      </c>
      <c r="BI3429" s="4">
        <v>0.13194444444444445</v>
      </c>
      <c r="BJ3429" s="2">
        <v>13</v>
      </c>
      <c r="BK3429" s="2" t="s">
        <v>91</v>
      </c>
      <c r="BL3429" s="2" t="s">
        <v>7629</v>
      </c>
      <c r="BM3429" s="2">
        <v>242</v>
      </c>
      <c r="BN3429" s="2" t="s">
        <v>107</v>
      </c>
      <c r="BO3429" s="2" t="s">
        <v>107</v>
      </c>
      <c r="BP3429" s="2">
        <v>13</v>
      </c>
      <c r="BQ3429" s="2" t="s">
        <v>91</v>
      </c>
      <c r="BR3429" s="2" t="s">
        <v>905</v>
      </c>
      <c r="BS3429" s="3">
        <v>40410</v>
      </c>
      <c r="BT3429" s="4">
        <v>0.34785879629629629</v>
      </c>
    </row>
    <row r="3430" spans="1:72" x14ac:dyDescent="0.25">
      <c r="A3430" s="2">
        <v>5047</v>
      </c>
      <c r="B3430" s="2">
        <v>2010</v>
      </c>
      <c r="C3430" s="2" t="s">
        <v>377</v>
      </c>
      <c r="D3430" s="2" t="s">
        <v>73</v>
      </c>
      <c r="E3430" s="2"/>
      <c r="F3430" s="2">
        <v>426</v>
      </c>
      <c r="G3430" s="2" t="s">
        <v>378</v>
      </c>
      <c r="H3430" s="2">
        <v>42</v>
      </c>
      <c r="I3430" s="2" t="s">
        <v>1096</v>
      </c>
      <c r="J3430" s="2">
        <v>311</v>
      </c>
      <c r="K3430" s="2" t="s">
        <v>379</v>
      </c>
      <c r="L3430" s="2" t="s">
        <v>380</v>
      </c>
      <c r="M3430" s="3">
        <v>40410</v>
      </c>
      <c r="N3430" s="2" t="s">
        <v>5164</v>
      </c>
      <c r="O3430" s="2"/>
      <c r="P3430" s="2"/>
      <c r="Q3430" s="2" t="str">
        <f>"213-C/10"</f>
        <v>213-C/10</v>
      </c>
      <c r="R3430" s="2" t="s">
        <v>3458</v>
      </c>
      <c r="S3430" s="2"/>
      <c r="T3430" s="2">
        <v>1</v>
      </c>
      <c r="U3430" s="2" t="s">
        <v>79</v>
      </c>
      <c r="V3430" s="2">
        <v>1</v>
      </c>
      <c r="W3430" s="2" t="s">
        <v>80</v>
      </c>
      <c r="X3430" s="2">
        <v>1</v>
      </c>
      <c r="Y3430" s="2" t="s">
        <v>81</v>
      </c>
      <c r="Z3430" s="2">
        <v>1</v>
      </c>
      <c r="AA3430" s="2" t="s">
        <v>82</v>
      </c>
      <c r="AB3430" s="2">
        <v>9</v>
      </c>
      <c r="AC3430" s="2" t="s">
        <v>124</v>
      </c>
      <c r="AD3430" s="3">
        <v>40408</v>
      </c>
      <c r="AE3430" s="4">
        <v>0.9375</v>
      </c>
      <c r="AF3430" s="2"/>
      <c r="AG3430" s="2"/>
      <c r="AH3430" s="2">
        <v>2</v>
      </c>
      <c r="AI3430" s="2" t="s">
        <v>84</v>
      </c>
      <c r="AJ3430" s="2">
        <v>9</v>
      </c>
      <c r="AK3430" s="2" t="s">
        <v>103</v>
      </c>
      <c r="AL3430" s="2">
        <v>29</v>
      </c>
      <c r="AM3430" s="2" t="s">
        <v>5416</v>
      </c>
      <c r="AN3430" s="2"/>
      <c r="AO3430" s="2" t="s">
        <v>11038</v>
      </c>
      <c r="AP3430" s="2">
        <v>11</v>
      </c>
      <c r="AQ3430" s="2" t="s">
        <v>82</v>
      </c>
      <c r="AR3430" s="2"/>
      <c r="AS3430" s="2"/>
      <c r="AT3430" s="2" t="s">
        <v>11039</v>
      </c>
      <c r="AU3430" s="2"/>
      <c r="AV3430" s="2"/>
      <c r="AW3430" s="2"/>
      <c r="AX3430" s="2"/>
      <c r="AY3430" s="2">
        <v>41</v>
      </c>
      <c r="AZ3430" s="2" t="s">
        <v>82</v>
      </c>
      <c r="BA3430" s="2">
        <v>41</v>
      </c>
      <c r="BB3430" s="2" t="s">
        <v>82</v>
      </c>
      <c r="BC3430" s="2">
        <v>41</v>
      </c>
      <c r="BD3430" s="2" t="s">
        <v>82</v>
      </c>
      <c r="BE3430" s="2">
        <v>41</v>
      </c>
      <c r="BF3430" s="2" t="s">
        <v>82</v>
      </c>
      <c r="BG3430" s="2"/>
      <c r="BH3430" s="2"/>
      <c r="BI3430" s="2"/>
      <c r="BJ3430" s="2">
        <v>241</v>
      </c>
      <c r="BK3430" s="2" t="s">
        <v>82</v>
      </c>
      <c r="BL3430" s="2"/>
      <c r="BM3430" s="2">
        <v>241</v>
      </c>
      <c r="BN3430" s="2" t="s">
        <v>82</v>
      </c>
      <c r="BO3430" s="2"/>
      <c r="BP3430" s="2">
        <v>241</v>
      </c>
      <c r="BQ3430" s="2" t="s">
        <v>82</v>
      </c>
      <c r="BR3430" s="2"/>
      <c r="BS3430" s="3">
        <v>40410</v>
      </c>
      <c r="BT3430" s="4">
        <v>0.38457175925925924</v>
      </c>
    </row>
    <row r="3431" spans="1:72" x14ac:dyDescent="0.25">
      <c r="A3431" s="2">
        <v>5049</v>
      </c>
      <c r="B3431" s="2">
        <v>2010</v>
      </c>
      <c r="C3431" s="2" t="s">
        <v>377</v>
      </c>
      <c r="D3431" s="2" t="s">
        <v>73</v>
      </c>
      <c r="E3431" s="2"/>
      <c r="F3431" s="2">
        <v>426</v>
      </c>
      <c r="G3431" s="2" t="s">
        <v>378</v>
      </c>
      <c r="H3431" s="2">
        <v>42</v>
      </c>
      <c r="I3431" s="2" t="s">
        <v>1096</v>
      </c>
      <c r="J3431" s="2">
        <v>311</v>
      </c>
      <c r="K3431" s="2" t="s">
        <v>379</v>
      </c>
      <c r="L3431" s="2" t="s">
        <v>380</v>
      </c>
      <c r="M3431" s="3">
        <v>40410</v>
      </c>
      <c r="N3431" s="2" t="s">
        <v>5164</v>
      </c>
      <c r="O3431" s="2"/>
      <c r="P3431" s="2"/>
      <c r="Q3431" s="2" t="str">
        <f>"214-C/10"</f>
        <v>214-C/10</v>
      </c>
      <c r="R3431" s="2" t="s">
        <v>3458</v>
      </c>
      <c r="S3431" s="2"/>
      <c r="T3431" s="2">
        <v>1</v>
      </c>
      <c r="U3431" s="2" t="s">
        <v>79</v>
      </c>
      <c r="V3431" s="2">
        <v>1</v>
      </c>
      <c r="W3431" s="2" t="s">
        <v>80</v>
      </c>
      <c r="X3431" s="2">
        <v>1</v>
      </c>
      <c r="Y3431" s="2" t="s">
        <v>81</v>
      </c>
      <c r="Z3431" s="2">
        <v>1</v>
      </c>
      <c r="AA3431" s="2" t="s">
        <v>82</v>
      </c>
      <c r="AB3431" s="2">
        <v>9</v>
      </c>
      <c r="AC3431" s="2" t="s">
        <v>124</v>
      </c>
      <c r="AD3431" s="3">
        <v>40408</v>
      </c>
      <c r="AE3431" s="4">
        <v>0.95138888888888884</v>
      </c>
      <c r="AF3431" s="2"/>
      <c r="AG3431" s="2"/>
      <c r="AH3431" s="2">
        <v>2</v>
      </c>
      <c r="AI3431" s="2" t="s">
        <v>84</v>
      </c>
      <c r="AJ3431" s="2">
        <v>9</v>
      </c>
      <c r="AK3431" s="2" t="s">
        <v>103</v>
      </c>
      <c r="AL3431" s="2">
        <v>12</v>
      </c>
      <c r="AM3431" s="2" t="s">
        <v>86</v>
      </c>
      <c r="AN3431" s="2"/>
      <c r="AO3431" s="2" t="s">
        <v>3322</v>
      </c>
      <c r="AP3431" s="2">
        <v>11</v>
      </c>
      <c r="AQ3431" s="2" t="s">
        <v>82</v>
      </c>
      <c r="AR3431" s="2"/>
      <c r="AS3431" s="2"/>
      <c r="AT3431" s="2" t="s">
        <v>11040</v>
      </c>
      <c r="AU3431" s="2"/>
      <c r="AV3431" s="2"/>
      <c r="AW3431" s="2"/>
      <c r="AX3431" s="2"/>
      <c r="AY3431" s="2">
        <v>41</v>
      </c>
      <c r="AZ3431" s="2" t="s">
        <v>82</v>
      </c>
      <c r="BA3431" s="2">
        <v>41</v>
      </c>
      <c r="BB3431" s="2" t="s">
        <v>82</v>
      </c>
      <c r="BC3431" s="2">
        <v>41</v>
      </c>
      <c r="BD3431" s="2" t="s">
        <v>82</v>
      </c>
      <c r="BE3431" s="2">
        <v>41</v>
      </c>
      <c r="BF3431" s="2" t="s">
        <v>82</v>
      </c>
      <c r="BG3431" s="2"/>
      <c r="BH3431" s="2"/>
      <c r="BI3431" s="2"/>
      <c r="BJ3431" s="2">
        <v>241</v>
      </c>
      <c r="BK3431" s="2" t="s">
        <v>82</v>
      </c>
      <c r="BL3431" s="2"/>
      <c r="BM3431" s="2">
        <v>241</v>
      </c>
      <c r="BN3431" s="2" t="s">
        <v>82</v>
      </c>
      <c r="BO3431" s="2"/>
      <c r="BP3431" s="2">
        <v>241</v>
      </c>
      <c r="BQ3431" s="2" t="s">
        <v>82</v>
      </c>
      <c r="BR3431" s="2"/>
      <c r="BS3431" s="3">
        <v>40410</v>
      </c>
      <c r="BT3431" s="4">
        <v>0.41471064814814818</v>
      </c>
    </row>
    <row r="3432" spans="1:72" x14ac:dyDescent="0.25">
      <c r="A3432" s="2">
        <v>5050</v>
      </c>
      <c r="B3432" s="2">
        <v>2010</v>
      </c>
      <c r="C3432" s="2" t="s">
        <v>171</v>
      </c>
      <c r="D3432" s="2" t="s">
        <v>122</v>
      </c>
      <c r="E3432" s="2" t="s">
        <v>11041</v>
      </c>
      <c r="F3432" s="2">
        <v>482</v>
      </c>
      <c r="G3432" s="2" t="s">
        <v>1457</v>
      </c>
      <c r="H3432" s="2">
        <v>14</v>
      </c>
      <c r="I3432" s="2" t="s">
        <v>1458</v>
      </c>
      <c r="J3432" s="2">
        <v>167</v>
      </c>
      <c r="K3432" s="2" t="s">
        <v>1032</v>
      </c>
      <c r="L3432" s="2" t="s">
        <v>1033</v>
      </c>
      <c r="M3432" s="3">
        <v>40410</v>
      </c>
      <c r="N3432" s="2" t="s">
        <v>10991</v>
      </c>
      <c r="O3432" s="2"/>
      <c r="P3432" s="2"/>
      <c r="Q3432" s="2" t="str">
        <f>"327-A/10"</f>
        <v>327-A/10</v>
      </c>
      <c r="R3432" s="2" t="s">
        <v>489</v>
      </c>
      <c r="S3432" s="2"/>
      <c r="T3432" s="2">
        <v>1</v>
      </c>
      <c r="U3432" s="2" t="s">
        <v>79</v>
      </c>
      <c r="V3432" s="2">
        <v>1</v>
      </c>
      <c r="W3432" s="2" t="s">
        <v>80</v>
      </c>
      <c r="X3432" s="2">
        <v>1</v>
      </c>
      <c r="Y3432" s="2" t="s">
        <v>81</v>
      </c>
      <c r="Z3432" s="2">
        <v>1</v>
      </c>
      <c r="AA3432" s="2" t="s">
        <v>82</v>
      </c>
      <c r="AB3432" s="2">
        <v>1</v>
      </c>
      <c r="AC3432" s="2" t="s">
        <v>178</v>
      </c>
      <c r="AD3432" s="3">
        <v>40410</v>
      </c>
      <c r="AE3432" s="4">
        <v>0.19444444444444445</v>
      </c>
      <c r="AF3432" s="3">
        <v>40409</v>
      </c>
      <c r="AG3432" s="4">
        <v>0.83333333333333337</v>
      </c>
      <c r="AH3432" s="2">
        <v>2</v>
      </c>
      <c r="AI3432" s="2" t="s">
        <v>84</v>
      </c>
      <c r="AJ3432" s="2">
        <v>12</v>
      </c>
      <c r="AK3432" s="2" t="s">
        <v>85</v>
      </c>
      <c r="AL3432" s="2">
        <v>25</v>
      </c>
      <c r="AM3432" s="2" t="s">
        <v>3073</v>
      </c>
      <c r="AN3432" s="2" t="s">
        <v>194</v>
      </c>
      <c r="AO3432" s="2" t="s">
        <v>1971</v>
      </c>
      <c r="AP3432" s="2">
        <v>11</v>
      </c>
      <c r="AQ3432" s="2" t="s">
        <v>82</v>
      </c>
      <c r="AR3432" s="2"/>
      <c r="AS3432" s="2"/>
      <c r="AT3432" s="2" t="s">
        <v>11042</v>
      </c>
      <c r="AU3432" s="2">
        <v>1</v>
      </c>
      <c r="AV3432" s="2"/>
      <c r="AW3432" s="2"/>
      <c r="AX3432" s="2"/>
      <c r="AY3432" s="2">
        <v>41</v>
      </c>
      <c r="AZ3432" s="2" t="s">
        <v>82</v>
      </c>
      <c r="BA3432" s="2">
        <v>41</v>
      </c>
      <c r="BB3432" s="2" t="s">
        <v>82</v>
      </c>
      <c r="BC3432" s="2">
        <v>41</v>
      </c>
      <c r="BD3432" s="2" t="s">
        <v>82</v>
      </c>
      <c r="BE3432" s="2">
        <v>10</v>
      </c>
      <c r="BF3432" s="2" t="s">
        <v>901</v>
      </c>
      <c r="BG3432" s="2" t="s">
        <v>10415</v>
      </c>
      <c r="BH3432" s="2"/>
      <c r="BI3432" s="4">
        <v>0.80555555555555547</v>
      </c>
      <c r="BJ3432" s="2">
        <v>13</v>
      </c>
      <c r="BK3432" s="2" t="s">
        <v>91</v>
      </c>
      <c r="BL3432" s="2" t="s">
        <v>185</v>
      </c>
      <c r="BM3432" s="2">
        <v>241</v>
      </c>
      <c r="BN3432" s="2" t="s">
        <v>82</v>
      </c>
      <c r="BO3432" s="2"/>
      <c r="BP3432" s="2">
        <v>229</v>
      </c>
      <c r="BQ3432" s="2" t="s">
        <v>300</v>
      </c>
      <c r="BR3432" s="2" t="s">
        <v>573</v>
      </c>
      <c r="BS3432" s="3">
        <v>40410</v>
      </c>
      <c r="BT3432" s="4">
        <v>0.48449074074074078</v>
      </c>
    </row>
    <row r="3433" spans="1:72" x14ac:dyDescent="0.25">
      <c r="A3433" s="2">
        <v>5054</v>
      </c>
      <c r="B3433" s="2">
        <v>2010</v>
      </c>
      <c r="C3433" s="2" t="s">
        <v>1559</v>
      </c>
      <c r="D3433" s="2" t="s">
        <v>122</v>
      </c>
      <c r="E3433" s="2" t="s">
        <v>10751</v>
      </c>
      <c r="F3433" s="2">
        <v>499</v>
      </c>
      <c r="G3433" s="2" t="s">
        <v>2177</v>
      </c>
      <c r="H3433" s="2">
        <v>9</v>
      </c>
      <c r="I3433" s="2" t="s">
        <v>794</v>
      </c>
      <c r="J3433" s="2">
        <v>33</v>
      </c>
      <c r="K3433" s="2" t="s">
        <v>2178</v>
      </c>
      <c r="L3433" s="2" t="s">
        <v>1877</v>
      </c>
      <c r="M3433" s="3">
        <v>40410</v>
      </c>
      <c r="N3433" s="2" t="s">
        <v>10476</v>
      </c>
      <c r="O3433" s="2" t="s">
        <v>4943</v>
      </c>
      <c r="P3433" s="2" t="s">
        <v>10752</v>
      </c>
      <c r="Q3433" s="2" t="str">
        <f>""</f>
        <v/>
      </c>
      <c r="R3433" s="2"/>
      <c r="S3433" s="2"/>
      <c r="T3433" s="2">
        <v>1</v>
      </c>
      <c r="U3433" s="2" t="s">
        <v>79</v>
      </c>
      <c r="V3433" s="2">
        <v>1</v>
      </c>
      <c r="W3433" s="2" t="s">
        <v>80</v>
      </c>
      <c r="X3433" s="2">
        <v>11</v>
      </c>
      <c r="Y3433" s="2" t="s">
        <v>1920</v>
      </c>
      <c r="Z3433" s="2">
        <v>10</v>
      </c>
      <c r="AA3433" s="2" t="s">
        <v>236</v>
      </c>
      <c r="AB3433" s="2">
        <v>9</v>
      </c>
      <c r="AC3433" s="2" t="s">
        <v>124</v>
      </c>
      <c r="AD3433" s="3">
        <v>40410</v>
      </c>
      <c r="AE3433" s="4">
        <v>0.47916666666666669</v>
      </c>
      <c r="AF3433" s="2"/>
      <c r="AG3433" s="2"/>
      <c r="AH3433" s="2">
        <v>2</v>
      </c>
      <c r="AI3433" s="2" t="s">
        <v>84</v>
      </c>
      <c r="AJ3433" s="2">
        <v>6</v>
      </c>
      <c r="AK3433" s="2" t="s">
        <v>453</v>
      </c>
      <c r="AL3433" s="2">
        <v>23</v>
      </c>
      <c r="AM3433" s="2" t="s">
        <v>251</v>
      </c>
      <c r="AN3433" s="2" t="s">
        <v>11043</v>
      </c>
      <c r="AO3433" s="2" t="s">
        <v>584</v>
      </c>
      <c r="AP3433" s="2">
        <v>11</v>
      </c>
      <c r="AQ3433" s="2" t="s">
        <v>82</v>
      </c>
      <c r="AR3433" s="2"/>
      <c r="AS3433" s="2"/>
      <c r="AT3433" s="2" t="s">
        <v>11044</v>
      </c>
      <c r="AU3433" s="2">
        <v>1</v>
      </c>
      <c r="AV3433" s="2"/>
      <c r="AW3433" s="2"/>
      <c r="AX3433" s="2"/>
      <c r="AY3433" s="2">
        <v>42</v>
      </c>
      <c r="AZ3433" s="2" t="s">
        <v>182</v>
      </c>
      <c r="BA3433" s="2">
        <v>70</v>
      </c>
      <c r="BB3433" s="2" t="s">
        <v>236</v>
      </c>
      <c r="BC3433" s="2">
        <v>70</v>
      </c>
      <c r="BD3433" s="2" t="s">
        <v>236</v>
      </c>
      <c r="BE3433" s="2">
        <v>41</v>
      </c>
      <c r="BF3433" s="2" t="s">
        <v>82</v>
      </c>
      <c r="BG3433" s="2"/>
      <c r="BH3433" s="2"/>
      <c r="BI3433" s="2"/>
      <c r="BJ3433" s="2">
        <v>241</v>
      </c>
      <c r="BK3433" s="2" t="s">
        <v>82</v>
      </c>
      <c r="BL3433" s="2"/>
      <c r="BM3433" s="2">
        <v>241</v>
      </c>
      <c r="BN3433" s="2" t="s">
        <v>82</v>
      </c>
      <c r="BO3433" s="2"/>
      <c r="BP3433" s="2">
        <v>241</v>
      </c>
      <c r="BQ3433" s="2" t="s">
        <v>82</v>
      </c>
      <c r="BR3433" s="2"/>
      <c r="BS3433" s="3">
        <v>40410</v>
      </c>
      <c r="BT3433" s="4">
        <v>0.59179398148148155</v>
      </c>
    </row>
    <row r="3434" spans="1:72" x14ac:dyDescent="0.25">
      <c r="A3434" s="2">
        <v>5057</v>
      </c>
      <c r="B3434" s="2">
        <v>2010</v>
      </c>
      <c r="C3434" s="2" t="s">
        <v>171</v>
      </c>
      <c r="D3434" s="2" t="s">
        <v>73</v>
      </c>
      <c r="E3434" s="2"/>
      <c r="F3434" s="2">
        <v>114</v>
      </c>
      <c r="G3434" s="2" t="s">
        <v>2817</v>
      </c>
      <c r="H3434" s="2">
        <v>22</v>
      </c>
      <c r="I3434" s="2" t="s">
        <v>75</v>
      </c>
      <c r="J3434" s="2">
        <v>644</v>
      </c>
      <c r="K3434" s="2" t="s">
        <v>11045</v>
      </c>
      <c r="L3434" s="2" t="s">
        <v>11046</v>
      </c>
      <c r="M3434" s="3">
        <v>40410</v>
      </c>
      <c r="N3434" s="2" t="s">
        <v>10818</v>
      </c>
      <c r="O3434" s="2" t="s">
        <v>107</v>
      </c>
      <c r="P3434" s="2" t="s">
        <v>107</v>
      </c>
      <c r="Q3434" s="2" t="str">
        <f>"0016/2010"</f>
        <v>0016/2010</v>
      </c>
      <c r="R3434" s="2" t="s">
        <v>11047</v>
      </c>
      <c r="S3434" s="2" t="s">
        <v>11047</v>
      </c>
      <c r="T3434" s="2">
        <v>1</v>
      </c>
      <c r="U3434" s="2" t="s">
        <v>79</v>
      </c>
      <c r="V3434" s="2">
        <v>1</v>
      </c>
      <c r="W3434" s="2" t="s">
        <v>80</v>
      </c>
      <c r="X3434" s="2">
        <v>1</v>
      </c>
      <c r="Y3434" s="2" t="s">
        <v>81</v>
      </c>
      <c r="Z3434" s="2">
        <v>10</v>
      </c>
      <c r="AA3434" s="2" t="s">
        <v>236</v>
      </c>
      <c r="AB3434" s="2">
        <v>1</v>
      </c>
      <c r="AC3434" s="2" t="s">
        <v>178</v>
      </c>
      <c r="AD3434" s="3">
        <v>40410</v>
      </c>
      <c r="AE3434" s="4">
        <v>0.51388888888888895</v>
      </c>
      <c r="AF3434" s="2"/>
      <c r="AG3434" s="2"/>
      <c r="AH3434" s="2">
        <v>6</v>
      </c>
      <c r="AI3434" s="2" t="s">
        <v>197</v>
      </c>
      <c r="AJ3434" s="2">
        <v>54</v>
      </c>
      <c r="AK3434" s="2" t="s">
        <v>348</v>
      </c>
      <c r="AL3434" s="2">
        <v>22</v>
      </c>
      <c r="AM3434" s="2" t="s">
        <v>1853</v>
      </c>
      <c r="AN3434" s="2" t="s">
        <v>6281</v>
      </c>
      <c r="AO3434" s="2" t="s">
        <v>3322</v>
      </c>
      <c r="AP3434" s="2">
        <v>12</v>
      </c>
      <c r="AQ3434" s="2" t="s">
        <v>322</v>
      </c>
      <c r="AR3434" s="2" t="s">
        <v>827</v>
      </c>
      <c r="AS3434" s="2" t="s">
        <v>827</v>
      </c>
      <c r="AT3434" s="2" t="s">
        <v>11048</v>
      </c>
      <c r="AU3434" s="2"/>
      <c r="AV3434" s="2"/>
      <c r="AW3434" s="2"/>
      <c r="AX3434" s="2"/>
      <c r="AY3434" s="2">
        <v>41</v>
      </c>
      <c r="AZ3434" s="2" t="s">
        <v>82</v>
      </c>
      <c r="BA3434" s="2">
        <v>41</v>
      </c>
      <c r="BB3434" s="2" t="s">
        <v>82</v>
      </c>
      <c r="BC3434" s="2">
        <v>47</v>
      </c>
      <c r="BD3434" s="2" t="s">
        <v>167</v>
      </c>
      <c r="BE3434" s="2">
        <v>47</v>
      </c>
      <c r="BF3434" s="2" t="s">
        <v>167</v>
      </c>
      <c r="BG3434" s="2" t="s">
        <v>11049</v>
      </c>
      <c r="BH3434" s="4">
        <v>0.44444444444444442</v>
      </c>
      <c r="BI3434" s="4">
        <v>0.48958333333333331</v>
      </c>
      <c r="BJ3434" s="2">
        <v>13</v>
      </c>
      <c r="BK3434" s="2" t="s">
        <v>91</v>
      </c>
      <c r="BL3434" s="2" t="s">
        <v>850</v>
      </c>
      <c r="BM3434" s="2">
        <v>242</v>
      </c>
      <c r="BN3434" s="2" t="s">
        <v>107</v>
      </c>
      <c r="BO3434" s="2" t="s">
        <v>107</v>
      </c>
      <c r="BP3434" s="2">
        <v>13</v>
      </c>
      <c r="BQ3434" s="2" t="s">
        <v>91</v>
      </c>
      <c r="BR3434" s="2" t="s">
        <v>7629</v>
      </c>
      <c r="BS3434" s="3">
        <v>40410</v>
      </c>
      <c r="BT3434" s="4">
        <v>0.67144675925925934</v>
      </c>
    </row>
    <row r="3435" spans="1:72" x14ac:dyDescent="0.25">
      <c r="A3435" s="2">
        <v>5058</v>
      </c>
      <c r="B3435" s="2">
        <v>2010</v>
      </c>
      <c r="C3435" s="2" t="s">
        <v>171</v>
      </c>
      <c r="D3435" s="2" t="s">
        <v>73</v>
      </c>
      <c r="E3435" s="2"/>
      <c r="F3435" s="2">
        <v>393</v>
      </c>
      <c r="G3435" s="2" t="s">
        <v>3660</v>
      </c>
      <c r="H3435" s="2">
        <v>2</v>
      </c>
      <c r="I3435" s="2" t="s">
        <v>267</v>
      </c>
      <c r="J3435" s="2">
        <v>2</v>
      </c>
      <c r="K3435" s="2" t="s">
        <v>3661</v>
      </c>
      <c r="L3435" s="2" t="s">
        <v>3662</v>
      </c>
      <c r="M3435" s="3">
        <v>40410</v>
      </c>
      <c r="N3435" s="2" t="s">
        <v>5709</v>
      </c>
      <c r="O3435" s="2" t="s">
        <v>107</v>
      </c>
      <c r="P3435" s="2" t="s">
        <v>107</v>
      </c>
      <c r="Q3435" s="2" t="str">
        <f>"425-E/10"</f>
        <v>425-E/10</v>
      </c>
      <c r="R3435" s="2" t="s">
        <v>480</v>
      </c>
      <c r="S3435" s="2"/>
      <c r="T3435" s="2">
        <v>1</v>
      </c>
      <c r="U3435" s="2" t="s">
        <v>79</v>
      </c>
      <c r="V3435" s="2">
        <v>1</v>
      </c>
      <c r="W3435" s="2" t="s">
        <v>80</v>
      </c>
      <c r="X3435" s="2">
        <v>1</v>
      </c>
      <c r="Y3435" s="2" t="s">
        <v>81</v>
      </c>
      <c r="Z3435" s="2">
        <v>1</v>
      </c>
      <c r="AA3435" s="2" t="s">
        <v>82</v>
      </c>
      <c r="AB3435" s="2">
        <v>1</v>
      </c>
      <c r="AC3435" s="2" t="s">
        <v>178</v>
      </c>
      <c r="AD3435" s="3">
        <v>40409</v>
      </c>
      <c r="AE3435" s="4">
        <v>0.76041666666666663</v>
      </c>
      <c r="AF3435" s="2"/>
      <c r="AG3435" s="2"/>
      <c r="AH3435" s="2">
        <v>2</v>
      </c>
      <c r="AI3435" s="2" t="s">
        <v>84</v>
      </c>
      <c r="AJ3435" s="2">
        <v>9</v>
      </c>
      <c r="AK3435" s="2" t="s">
        <v>103</v>
      </c>
      <c r="AL3435" s="2">
        <v>19</v>
      </c>
      <c r="AM3435" s="2" t="s">
        <v>107</v>
      </c>
      <c r="AN3435" s="2"/>
      <c r="AO3435" s="2" t="s">
        <v>11050</v>
      </c>
      <c r="AP3435" s="2">
        <v>11</v>
      </c>
      <c r="AQ3435" s="2" t="s">
        <v>82</v>
      </c>
      <c r="AR3435" s="2" t="s">
        <v>82</v>
      </c>
      <c r="AS3435" s="2" t="s">
        <v>82</v>
      </c>
      <c r="AT3435" s="2" t="s">
        <v>11051</v>
      </c>
      <c r="AU3435" s="2"/>
      <c r="AV3435" s="2"/>
      <c r="AW3435" s="2"/>
      <c r="AX3435" s="2"/>
      <c r="AY3435" s="2">
        <v>41</v>
      </c>
      <c r="AZ3435" s="2" t="s">
        <v>82</v>
      </c>
      <c r="BA3435" s="2">
        <v>41</v>
      </c>
      <c r="BB3435" s="2" t="s">
        <v>82</v>
      </c>
      <c r="BC3435" s="2">
        <v>41</v>
      </c>
      <c r="BD3435" s="2" t="s">
        <v>82</v>
      </c>
      <c r="BE3435" s="2">
        <v>26</v>
      </c>
      <c r="BF3435" s="2" t="s">
        <v>1999</v>
      </c>
      <c r="BG3435" s="2" t="s">
        <v>11052</v>
      </c>
      <c r="BH3435" s="2"/>
      <c r="BI3435" s="2"/>
      <c r="BJ3435" s="2">
        <v>13</v>
      </c>
      <c r="BK3435" s="2" t="s">
        <v>91</v>
      </c>
      <c r="BL3435" s="2" t="s">
        <v>360</v>
      </c>
      <c r="BM3435" s="2">
        <v>241</v>
      </c>
      <c r="BN3435" s="2" t="s">
        <v>82</v>
      </c>
      <c r="BO3435" s="2" t="s">
        <v>82</v>
      </c>
      <c r="BP3435" s="2">
        <v>75</v>
      </c>
      <c r="BQ3435" s="2" t="s">
        <v>1264</v>
      </c>
      <c r="BR3435" s="2" t="s">
        <v>1361</v>
      </c>
      <c r="BS3435" s="3">
        <v>40410</v>
      </c>
      <c r="BT3435" s="4">
        <v>0.68423611111111116</v>
      </c>
    </row>
    <row r="3436" spans="1:72" x14ac:dyDescent="0.25">
      <c r="A3436" s="2">
        <v>5059</v>
      </c>
      <c r="B3436" s="2">
        <v>2010</v>
      </c>
      <c r="C3436" s="2" t="s">
        <v>72</v>
      </c>
      <c r="D3436" s="2" t="s">
        <v>73</v>
      </c>
      <c r="E3436" s="2"/>
      <c r="F3436" s="2">
        <v>3</v>
      </c>
      <c r="G3436" s="2" t="s">
        <v>1041</v>
      </c>
      <c r="H3436" s="2">
        <v>1</v>
      </c>
      <c r="I3436" s="2" t="s">
        <v>82</v>
      </c>
      <c r="J3436" s="2">
        <v>368</v>
      </c>
      <c r="K3436" s="2" t="s">
        <v>1042</v>
      </c>
      <c r="L3436" s="2" t="s">
        <v>1043</v>
      </c>
      <c r="M3436" s="3">
        <v>40410</v>
      </c>
      <c r="N3436" s="2"/>
      <c r="O3436" s="2"/>
      <c r="P3436" s="2"/>
      <c r="Q3436" s="2" t="str">
        <f>"426-E/10"</f>
        <v>426-E/10</v>
      </c>
      <c r="R3436" s="2" t="s">
        <v>601</v>
      </c>
      <c r="S3436" s="2" t="s">
        <v>601</v>
      </c>
      <c r="T3436" s="2">
        <v>1</v>
      </c>
      <c r="U3436" s="2" t="s">
        <v>79</v>
      </c>
      <c r="V3436" s="2">
        <v>1</v>
      </c>
      <c r="W3436" s="2" t="s">
        <v>80</v>
      </c>
      <c r="X3436" s="2">
        <v>12</v>
      </c>
      <c r="Y3436" s="2" t="s">
        <v>148</v>
      </c>
      <c r="Z3436" s="2">
        <v>1</v>
      </c>
      <c r="AA3436" s="2" t="s">
        <v>82</v>
      </c>
      <c r="AB3436" s="2">
        <v>6</v>
      </c>
      <c r="AC3436" s="2" t="s">
        <v>83</v>
      </c>
      <c r="AD3436" s="3">
        <v>40410</v>
      </c>
      <c r="AE3436" s="2"/>
      <c r="AF3436" s="3">
        <v>40410</v>
      </c>
      <c r="AG3436" s="4">
        <v>0.45833333333333331</v>
      </c>
      <c r="AH3436" s="2">
        <v>2</v>
      </c>
      <c r="AI3436" s="2" t="s">
        <v>84</v>
      </c>
      <c r="AJ3436" s="2">
        <v>9</v>
      </c>
      <c r="AK3436" s="2" t="s">
        <v>103</v>
      </c>
      <c r="AL3436" s="2">
        <v>17</v>
      </c>
      <c r="AM3436" s="2" t="s">
        <v>232</v>
      </c>
      <c r="AN3436" s="2" t="s">
        <v>11053</v>
      </c>
      <c r="AO3436" s="2" t="s">
        <v>11054</v>
      </c>
      <c r="AP3436" s="2">
        <v>11</v>
      </c>
      <c r="AQ3436" s="2" t="s">
        <v>82</v>
      </c>
      <c r="AR3436" s="2"/>
      <c r="AS3436" s="2"/>
      <c r="AT3436" s="2" t="s">
        <v>11055</v>
      </c>
      <c r="AU3436" s="2"/>
      <c r="AV3436" s="2"/>
      <c r="AW3436" s="2"/>
      <c r="AX3436" s="2"/>
      <c r="AY3436" s="2">
        <v>41</v>
      </c>
      <c r="AZ3436" s="2" t="s">
        <v>82</v>
      </c>
      <c r="BA3436" s="2">
        <v>41</v>
      </c>
      <c r="BB3436" s="2" t="s">
        <v>82</v>
      </c>
      <c r="BC3436" s="2">
        <v>41</v>
      </c>
      <c r="BD3436" s="2" t="s">
        <v>82</v>
      </c>
      <c r="BE3436" s="2">
        <v>41</v>
      </c>
      <c r="BF3436" s="2" t="s">
        <v>82</v>
      </c>
      <c r="BG3436" s="2"/>
      <c r="BH3436" s="2"/>
      <c r="BI3436" s="2"/>
      <c r="BJ3436" s="2">
        <v>241</v>
      </c>
      <c r="BK3436" s="2" t="s">
        <v>82</v>
      </c>
      <c r="BL3436" s="2"/>
      <c r="BM3436" s="2">
        <v>241</v>
      </c>
      <c r="BN3436" s="2" t="s">
        <v>82</v>
      </c>
      <c r="BO3436" s="2"/>
      <c r="BP3436" s="2">
        <v>241</v>
      </c>
      <c r="BQ3436" s="2" t="s">
        <v>82</v>
      </c>
      <c r="BR3436" s="2"/>
      <c r="BS3436" s="3">
        <v>40410</v>
      </c>
      <c r="BT3436" s="4">
        <v>0.74376157407407406</v>
      </c>
    </row>
    <row r="3437" spans="1:72" x14ac:dyDescent="0.25">
      <c r="A3437" s="2">
        <v>5060</v>
      </c>
      <c r="B3437" s="2">
        <v>2010</v>
      </c>
      <c r="C3437" s="2" t="s">
        <v>171</v>
      </c>
      <c r="D3437" s="2" t="s">
        <v>73</v>
      </c>
      <c r="E3437" s="2"/>
      <c r="F3437" s="2">
        <v>114</v>
      </c>
      <c r="G3437" s="2" t="s">
        <v>2817</v>
      </c>
      <c r="H3437" s="2">
        <v>99</v>
      </c>
      <c r="I3437" s="2" t="s">
        <v>6285</v>
      </c>
      <c r="J3437" s="2">
        <v>644</v>
      </c>
      <c r="K3437" s="2" t="s">
        <v>11045</v>
      </c>
      <c r="L3437" s="2" t="s">
        <v>11046</v>
      </c>
      <c r="M3437" s="3">
        <v>40410</v>
      </c>
      <c r="N3437" s="2" t="s">
        <v>10818</v>
      </c>
      <c r="O3437" s="2" t="s">
        <v>11056</v>
      </c>
      <c r="P3437" s="2" t="s">
        <v>11057</v>
      </c>
      <c r="Q3437" s="2" t="str">
        <f>""</f>
        <v/>
      </c>
      <c r="R3437" s="2"/>
      <c r="S3437" s="2"/>
      <c r="T3437" s="2">
        <v>1</v>
      </c>
      <c r="U3437" s="2" t="s">
        <v>79</v>
      </c>
      <c r="V3437" s="2">
        <v>3</v>
      </c>
      <c r="W3437" s="2" t="s">
        <v>225</v>
      </c>
      <c r="X3437" s="2">
        <v>6</v>
      </c>
      <c r="Y3437" s="2" t="s">
        <v>249</v>
      </c>
      <c r="Z3437" s="2">
        <v>1</v>
      </c>
      <c r="AA3437" s="2" t="s">
        <v>82</v>
      </c>
      <c r="AB3437" s="2">
        <v>9</v>
      </c>
      <c r="AC3437" s="2" t="s">
        <v>124</v>
      </c>
      <c r="AD3437" s="3">
        <v>40410</v>
      </c>
      <c r="AE3437" s="4">
        <v>0.72499999999999998</v>
      </c>
      <c r="AF3437" s="2"/>
      <c r="AG3437" s="2"/>
      <c r="AH3437" s="2">
        <v>6</v>
      </c>
      <c r="AI3437" s="2" t="s">
        <v>197</v>
      </c>
      <c r="AJ3437" s="2">
        <v>47</v>
      </c>
      <c r="AK3437" s="2" t="s">
        <v>250</v>
      </c>
      <c r="AL3437" s="2">
        <v>9</v>
      </c>
      <c r="AM3437" s="2" t="s">
        <v>259</v>
      </c>
      <c r="AN3437" s="2" t="s">
        <v>11058</v>
      </c>
      <c r="AO3437" s="2" t="s">
        <v>253</v>
      </c>
      <c r="AP3437" s="2">
        <v>11</v>
      </c>
      <c r="AQ3437" s="2" t="s">
        <v>82</v>
      </c>
      <c r="AR3437" s="2"/>
      <c r="AS3437" s="2"/>
      <c r="AT3437" s="2" t="s">
        <v>11059</v>
      </c>
      <c r="AU3437" s="2"/>
      <c r="AV3437" s="2"/>
      <c r="AW3437" s="2"/>
      <c r="AX3437" s="2"/>
      <c r="AY3437" s="2">
        <v>1</v>
      </c>
      <c r="AZ3437" s="2" t="s">
        <v>107</v>
      </c>
      <c r="BA3437" s="2">
        <v>1</v>
      </c>
      <c r="BB3437" s="2" t="s">
        <v>107</v>
      </c>
      <c r="BC3437" s="2">
        <v>1</v>
      </c>
      <c r="BD3437" s="2" t="s">
        <v>107</v>
      </c>
      <c r="BE3437" s="2">
        <v>1</v>
      </c>
      <c r="BF3437" s="2" t="s">
        <v>107</v>
      </c>
      <c r="BG3437" s="2"/>
      <c r="BH3437" s="2"/>
      <c r="BI3437" s="2"/>
      <c r="BJ3437" s="2">
        <v>242</v>
      </c>
      <c r="BK3437" s="2" t="s">
        <v>107</v>
      </c>
      <c r="BL3437" s="2"/>
      <c r="BM3437" s="2">
        <v>242</v>
      </c>
      <c r="BN3437" s="2" t="s">
        <v>107</v>
      </c>
      <c r="BO3437" s="2"/>
      <c r="BP3437" s="2">
        <v>242</v>
      </c>
      <c r="BQ3437" s="2" t="s">
        <v>107</v>
      </c>
      <c r="BR3437" s="2"/>
      <c r="BS3437" s="3">
        <v>40410</v>
      </c>
      <c r="BT3437" s="4">
        <v>0.74828703703703703</v>
      </c>
    </row>
    <row r="3438" spans="1:72" x14ac:dyDescent="0.25">
      <c r="A3438" s="2">
        <v>5061</v>
      </c>
      <c r="B3438" s="2">
        <v>2010</v>
      </c>
      <c r="C3438" s="2" t="s">
        <v>255</v>
      </c>
      <c r="D3438" s="2" t="s">
        <v>73</v>
      </c>
      <c r="E3438" s="2"/>
      <c r="F3438" s="2">
        <v>144</v>
      </c>
      <c r="G3438" s="2" t="s">
        <v>537</v>
      </c>
      <c r="H3438" s="2">
        <v>22</v>
      </c>
      <c r="I3438" s="2" t="s">
        <v>75</v>
      </c>
      <c r="J3438" s="2">
        <v>160</v>
      </c>
      <c r="K3438" s="2" t="s">
        <v>538</v>
      </c>
      <c r="L3438" s="2" t="s">
        <v>539</v>
      </c>
      <c r="M3438" s="3">
        <v>40410</v>
      </c>
      <c r="N3438" s="2" t="s">
        <v>11060</v>
      </c>
      <c r="O3438" s="2" t="s">
        <v>107</v>
      </c>
      <c r="P3438" s="2" t="s">
        <v>107</v>
      </c>
      <c r="Q3438" s="2" t="str">
        <f>"0039/10"</f>
        <v>0039/10</v>
      </c>
      <c r="R3438" s="2" t="s">
        <v>107</v>
      </c>
      <c r="S3438" s="2" t="s">
        <v>11061</v>
      </c>
      <c r="T3438" s="2">
        <v>1</v>
      </c>
      <c r="U3438" s="2" t="s">
        <v>79</v>
      </c>
      <c r="V3438" s="2">
        <v>1</v>
      </c>
      <c r="W3438" s="2" t="s">
        <v>80</v>
      </c>
      <c r="X3438" s="2">
        <v>12</v>
      </c>
      <c r="Y3438" s="2" t="s">
        <v>148</v>
      </c>
      <c r="Z3438" s="2">
        <v>1</v>
      </c>
      <c r="AA3438" s="2" t="s">
        <v>82</v>
      </c>
      <c r="AB3438" s="2">
        <v>9</v>
      </c>
      <c r="AC3438" s="2" t="s">
        <v>124</v>
      </c>
      <c r="AD3438" s="3">
        <v>40408</v>
      </c>
      <c r="AE3438" s="2"/>
      <c r="AF3438" s="3">
        <v>40410</v>
      </c>
      <c r="AG3438" s="4">
        <v>0.9375</v>
      </c>
      <c r="AH3438" s="2">
        <v>6</v>
      </c>
      <c r="AI3438" s="2" t="s">
        <v>197</v>
      </c>
      <c r="AJ3438" s="2">
        <v>60</v>
      </c>
      <c r="AK3438" s="2" t="s">
        <v>543</v>
      </c>
      <c r="AL3438" s="2">
        <v>21</v>
      </c>
      <c r="AM3438" s="2" t="s">
        <v>1311</v>
      </c>
      <c r="AN3438" s="2" t="s">
        <v>82</v>
      </c>
      <c r="AO3438" s="2" t="s">
        <v>82</v>
      </c>
      <c r="AP3438" s="2">
        <v>11</v>
      </c>
      <c r="AQ3438" s="2" t="s">
        <v>82</v>
      </c>
      <c r="AR3438" s="2" t="s">
        <v>82</v>
      </c>
      <c r="AS3438" s="2" t="s">
        <v>82</v>
      </c>
      <c r="AT3438" s="2" t="s">
        <v>11062</v>
      </c>
      <c r="AU3438" s="2"/>
      <c r="AV3438" s="2"/>
      <c r="AW3438" s="2"/>
      <c r="AX3438" s="2"/>
      <c r="AY3438" s="2">
        <v>41</v>
      </c>
      <c r="AZ3438" s="2" t="s">
        <v>82</v>
      </c>
      <c r="BA3438" s="2">
        <v>41</v>
      </c>
      <c r="BB3438" s="2" t="s">
        <v>82</v>
      </c>
      <c r="BC3438" s="2">
        <v>41</v>
      </c>
      <c r="BD3438" s="2" t="s">
        <v>82</v>
      </c>
      <c r="BE3438" s="2">
        <v>41</v>
      </c>
      <c r="BF3438" s="2" t="s">
        <v>82</v>
      </c>
      <c r="BG3438" s="2"/>
      <c r="BH3438" s="2"/>
      <c r="BI3438" s="2"/>
      <c r="BJ3438" s="2">
        <v>241</v>
      </c>
      <c r="BK3438" s="2" t="s">
        <v>82</v>
      </c>
      <c r="BL3438" s="2"/>
      <c r="BM3438" s="2">
        <v>241</v>
      </c>
      <c r="BN3438" s="2" t="s">
        <v>82</v>
      </c>
      <c r="BO3438" s="2" t="s">
        <v>82</v>
      </c>
      <c r="BP3438" s="2">
        <v>241</v>
      </c>
      <c r="BQ3438" s="2" t="s">
        <v>82</v>
      </c>
      <c r="BR3438" s="2"/>
      <c r="BS3438" s="3">
        <v>40410</v>
      </c>
      <c r="BT3438" s="4">
        <v>0.98581018518518526</v>
      </c>
    </row>
    <row r="3439" spans="1:72" x14ac:dyDescent="0.25">
      <c r="A3439" s="2">
        <v>5062</v>
      </c>
      <c r="B3439" s="2">
        <v>2010</v>
      </c>
      <c r="C3439" s="2" t="s">
        <v>377</v>
      </c>
      <c r="D3439" s="2" t="s">
        <v>73</v>
      </c>
      <c r="E3439" s="2"/>
      <c r="F3439" s="2">
        <v>426</v>
      </c>
      <c r="G3439" s="2" t="s">
        <v>378</v>
      </c>
      <c r="H3439" s="2">
        <v>42</v>
      </c>
      <c r="I3439" s="2" t="s">
        <v>1096</v>
      </c>
      <c r="J3439" s="2">
        <v>311</v>
      </c>
      <c r="K3439" s="2" t="s">
        <v>379</v>
      </c>
      <c r="L3439" s="2" t="s">
        <v>380</v>
      </c>
      <c r="M3439" s="3">
        <v>40411</v>
      </c>
      <c r="N3439" s="2" t="s">
        <v>5164</v>
      </c>
      <c r="O3439" s="2"/>
      <c r="P3439" s="2"/>
      <c r="Q3439" s="2" t="str">
        <f>"215C/10"</f>
        <v>215C/10</v>
      </c>
      <c r="R3439" s="2" t="s">
        <v>4428</v>
      </c>
      <c r="S3439" s="2"/>
      <c r="T3439" s="2">
        <v>1</v>
      </c>
      <c r="U3439" s="2" t="s">
        <v>79</v>
      </c>
      <c r="V3439" s="2">
        <v>1</v>
      </c>
      <c r="W3439" s="2" t="s">
        <v>80</v>
      </c>
      <c r="X3439" s="2">
        <v>1</v>
      </c>
      <c r="Y3439" s="2" t="s">
        <v>81</v>
      </c>
      <c r="Z3439" s="2">
        <v>1</v>
      </c>
      <c r="AA3439" s="2" t="s">
        <v>82</v>
      </c>
      <c r="AB3439" s="2">
        <v>9</v>
      </c>
      <c r="AC3439" s="2" t="s">
        <v>124</v>
      </c>
      <c r="AD3439" s="3">
        <v>40410</v>
      </c>
      <c r="AE3439" s="4">
        <v>0.45833333333333331</v>
      </c>
      <c r="AF3439" s="2"/>
      <c r="AG3439" s="2"/>
      <c r="AH3439" s="2">
        <v>2</v>
      </c>
      <c r="AI3439" s="2" t="s">
        <v>84</v>
      </c>
      <c r="AJ3439" s="2">
        <v>9</v>
      </c>
      <c r="AK3439" s="2" t="s">
        <v>103</v>
      </c>
      <c r="AL3439" s="2">
        <v>29</v>
      </c>
      <c r="AM3439" s="2" t="s">
        <v>5416</v>
      </c>
      <c r="AN3439" s="2"/>
      <c r="AO3439" s="2" t="s">
        <v>9745</v>
      </c>
      <c r="AP3439" s="2">
        <v>11</v>
      </c>
      <c r="AQ3439" s="2" t="s">
        <v>82</v>
      </c>
      <c r="AR3439" s="2"/>
      <c r="AS3439" s="2"/>
      <c r="AT3439" s="2" t="s">
        <v>11063</v>
      </c>
      <c r="AU3439" s="2"/>
      <c r="AV3439" s="2"/>
      <c r="AW3439" s="2"/>
      <c r="AX3439" s="2"/>
      <c r="AY3439" s="2">
        <v>41</v>
      </c>
      <c r="AZ3439" s="2" t="s">
        <v>82</v>
      </c>
      <c r="BA3439" s="2">
        <v>41</v>
      </c>
      <c r="BB3439" s="2" t="s">
        <v>82</v>
      </c>
      <c r="BC3439" s="2">
        <v>41</v>
      </c>
      <c r="BD3439" s="2" t="s">
        <v>82</v>
      </c>
      <c r="BE3439" s="2">
        <v>41</v>
      </c>
      <c r="BF3439" s="2" t="s">
        <v>82</v>
      </c>
      <c r="BG3439" s="2"/>
      <c r="BH3439" s="2"/>
      <c r="BI3439" s="2"/>
      <c r="BJ3439" s="2">
        <v>241</v>
      </c>
      <c r="BK3439" s="2" t="s">
        <v>82</v>
      </c>
      <c r="BL3439" s="2"/>
      <c r="BM3439" s="2">
        <v>241</v>
      </c>
      <c r="BN3439" s="2" t="s">
        <v>82</v>
      </c>
      <c r="BO3439" s="2"/>
      <c r="BP3439" s="2">
        <v>241</v>
      </c>
      <c r="BQ3439" s="2" t="s">
        <v>82</v>
      </c>
      <c r="BR3439" s="2"/>
      <c r="BS3439" s="3">
        <v>40411</v>
      </c>
      <c r="BT3439" s="4">
        <v>0.35341435185185183</v>
      </c>
    </row>
    <row r="3440" spans="1:72" x14ac:dyDescent="0.25">
      <c r="A3440" s="2">
        <v>5063</v>
      </c>
      <c r="B3440" s="2">
        <v>2010</v>
      </c>
      <c r="C3440" s="2" t="s">
        <v>377</v>
      </c>
      <c r="D3440" s="2" t="s">
        <v>73</v>
      </c>
      <c r="E3440" s="2"/>
      <c r="F3440" s="2">
        <v>426</v>
      </c>
      <c r="G3440" s="2" t="s">
        <v>378</v>
      </c>
      <c r="H3440" s="2">
        <v>42</v>
      </c>
      <c r="I3440" s="2" t="s">
        <v>1096</v>
      </c>
      <c r="J3440" s="2">
        <v>311</v>
      </c>
      <c r="K3440" s="2" t="s">
        <v>379</v>
      </c>
      <c r="L3440" s="2" t="s">
        <v>380</v>
      </c>
      <c r="M3440" s="3">
        <v>40411</v>
      </c>
      <c r="N3440" s="2" t="s">
        <v>5164</v>
      </c>
      <c r="O3440" s="2"/>
      <c r="P3440" s="2"/>
      <c r="Q3440" s="2" t="str">
        <f>"216-C/10"</f>
        <v>216-C/10</v>
      </c>
      <c r="R3440" s="2" t="s">
        <v>4428</v>
      </c>
      <c r="S3440" s="2"/>
      <c r="T3440" s="2">
        <v>1</v>
      </c>
      <c r="U3440" s="2" t="s">
        <v>79</v>
      </c>
      <c r="V3440" s="2">
        <v>1</v>
      </c>
      <c r="W3440" s="2" t="s">
        <v>80</v>
      </c>
      <c r="X3440" s="2">
        <v>1</v>
      </c>
      <c r="Y3440" s="2" t="s">
        <v>81</v>
      </c>
      <c r="Z3440" s="2">
        <v>1</v>
      </c>
      <c r="AA3440" s="2" t="s">
        <v>82</v>
      </c>
      <c r="AB3440" s="2">
        <v>9</v>
      </c>
      <c r="AC3440" s="2" t="s">
        <v>124</v>
      </c>
      <c r="AD3440" s="3">
        <v>40410</v>
      </c>
      <c r="AE3440" s="4">
        <v>0.53472222222222221</v>
      </c>
      <c r="AF3440" s="2"/>
      <c r="AG3440" s="2"/>
      <c r="AH3440" s="2">
        <v>2</v>
      </c>
      <c r="AI3440" s="2" t="s">
        <v>84</v>
      </c>
      <c r="AJ3440" s="2">
        <v>9</v>
      </c>
      <c r="AK3440" s="2" t="s">
        <v>103</v>
      </c>
      <c r="AL3440" s="2">
        <v>29</v>
      </c>
      <c r="AM3440" s="2" t="s">
        <v>5416</v>
      </c>
      <c r="AN3440" s="2"/>
      <c r="AO3440" s="2" t="s">
        <v>11064</v>
      </c>
      <c r="AP3440" s="2">
        <v>11</v>
      </c>
      <c r="AQ3440" s="2" t="s">
        <v>82</v>
      </c>
      <c r="AR3440" s="2"/>
      <c r="AS3440" s="2"/>
      <c r="AT3440" s="2" t="s">
        <v>11065</v>
      </c>
      <c r="AU3440" s="2"/>
      <c r="AV3440" s="2"/>
      <c r="AW3440" s="2"/>
      <c r="AX3440" s="2"/>
      <c r="AY3440" s="2">
        <v>41</v>
      </c>
      <c r="AZ3440" s="2" t="s">
        <v>82</v>
      </c>
      <c r="BA3440" s="2">
        <v>41</v>
      </c>
      <c r="BB3440" s="2" t="s">
        <v>82</v>
      </c>
      <c r="BC3440" s="2">
        <v>41</v>
      </c>
      <c r="BD3440" s="2" t="s">
        <v>82</v>
      </c>
      <c r="BE3440" s="2">
        <v>41</v>
      </c>
      <c r="BF3440" s="2" t="s">
        <v>82</v>
      </c>
      <c r="BG3440" s="2"/>
      <c r="BH3440" s="2"/>
      <c r="BI3440" s="2"/>
      <c r="BJ3440" s="2">
        <v>241</v>
      </c>
      <c r="BK3440" s="2" t="s">
        <v>82</v>
      </c>
      <c r="BL3440" s="2"/>
      <c r="BM3440" s="2">
        <v>241</v>
      </c>
      <c r="BN3440" s="2" t="s">
        <v>82</v>
      </c>
      <c r="BO3440" s="2"/>
      <c r="BP3440" s="2">
        <v>241</v>
      </c>
      <c r="BQ3440" s="2" t="s">
        <v>82</v>
      </c>
      <c r="BR3440" s="2"/>
      <c r="BS3440" s="3">
        <v>40411</v>
      </c>
      <c r="BT3440" s="4">
        <v>0.36746527777777777</v>
      </c>
    </row>
    <row r="3441" spans="1:72" x14ac:dyDescent="0.25">
      <c r="A3441" s="2">
        <v>5064</v>
      </c>
      <c r="B3441" s="2">
        <v>2010</v>
      </c>
      <c r="C3441" s="2" t="s">
        <v>377</v>
      </c>
      <c r="D3441" s="2" t="s">
        <v>73</v>
      </c>
      <c r="E3441" s="2"/>
      <c r="F3441" s="2">
        <v>426</v>
      </c>
      <c r="G3441" s="2" t="s">
        <v>378</v>
      </c>
      <c r="H3441" s="2">
        <v>42</v>
      </c>
      <c r="I3441" s="2" t="s">
        <v>1096</v>
      </c>
      <c r="J3441" s="2">
        <v>311</v>
      </c>
      <c r="K3441" s="2" t="s">
        <v>379</v>
      </c>
      <c r="L3441" s="2" t="s">
        <v>380</v>
      </c>
      <c r="M3441" s="3">
        <v>40411</v>
      </c>
      <c r="N3441" s="2" t="s">
        <v>5164</v>
      </c>
      <c r="O3441" s="2"/>
      <c r="P3441" s="2"/>
      <c r="Q3441" s="2" t="str">
        <f>"217-C/10"</f>
        <v>217-C/10</v>
      </c>
      <c r="R3441" s="2" t="s">
        <v>4428</v>
      </c>
      <c r="S3441" s="2"/>
      <c r="T3441" s="2">
        <v>1</v>
      </c>
      <c r="U3441" s="2" t="s">
        <v>79</v>
      </c>
      <c r="V3441" s="2">
        <v>1</v>
      </c>
      <c r="W3441" s="2" t="s">
        <v>80</v>
      </c>
      <c r="X3441" s="2">
        <v>1</v>
      </c>
      <c r="Y3441" s="2" t="s">
        <v>81</v>
      </c>
      <c r="Z3441" s="2">
        <v>1</v>
      </c>
      <c r="AA3441" s="2" t="s">
        <v>82</v>
      </c>
      <c r="AB3441" s="2">
        <v>9</v>
      </c>
      <c r="AC3441" s="2" t="s">
        <v>124</v>
      </c>
      <c r="AD3441" s="3">
        <v>40410</v>
      </c>
      <c r="AE3441" s="4">
        <v>0.68055555555555547</v>
      </c>
      <c r="AF3441" s="2"/>
      <c r="AG3441" s="2"/>
      <c r="AH3441" s="2">
        <v>2</v>
      </c>
      <c r="AI3441" s="2" t="s">
        <v>84</v>
      </c>
      <c r="AJ3441" s="2">
        <v>9</v>
      </c>
      <c r="AK3441" s="2" t="s">
        <v>103</v>
      </c>
      <c r="AL3441" s="2">
        <v>29</v>
      </c>
      <c r="AM3441" s="2" t="s">
        <v>5416</v>
      </c>
      <c r="AN3441" s="2"/>
      <c r="AO3441" s="2" t="s">
        <v>11066</v>
      </c>
      <c r="AP3441" s="2">
        <v>11</v>
      </c>
      <c r="AQ3441" s="2" t="s">
        <v>82</v>
      </c>
      <c r="AR3441" s="2"/>
      <c r="AS3441" s="2"/>
      <c r="AT3441" s="2" t="s">
        <v>11065</v>
      </c>
      <c r="AU3441" s="2"/>
      <c r="AV3441" s="2"/>
      <c r="AW3441" s="2"/>
      <c r="AX3441" s="2"/>
      <c r="AY3441" s="2">
        <v>41</v>
      </c>
      <c r="AZ3441" s="2" t="s">
        <v>82</v>
      </c>
      <c r="BA3441" s="2">
        <v>41</v>
      </c>
      <c r="BB3441" s="2" t="s">
        <v>82</v>
      </c>
      <c r="BC3441" s="2">
        <v>41</v>
      </c>
      <c r="BD3441" s="2" t="s">
        <v>82</v>
      </c>
      <c r="BE3441" s="2">
        <v>41</v>
      </c>
      <c r="BF3441" s="2" t="s">
        <v>82</v>
      </c>
      <c r="BG3441" s="2"/>
      <c r="BH3441" s="2"/>
      <c r="BI3441" s="2"/>
      <c r="BJ3441" s="2">
        <v>241</v>
      </c>
      <c r="BK3441" s="2" t="s">
        <v>82</v>
      </c>
      <c r="BL3441" s="2"/>
      <c r="BM3441" s="2">
        <v>241</v>
      </c>
      <c r="BN3441" s="2" t="s">
        <v>82</v>
      </c>
      <c r="BO3441" s="2"/>
      <c r="BP3441" s="2">
        <v>241</v>
      </c>
      <c r="BQ3441" s="2" t="s">
        <v>82</v>
      </c>
      <c r="BR3441" s="2"/>
      <c r="BS3441" s="3">
        <v>40411</v>
      </c>
      <c r="BT3441" s="4">
        <v>0.40312500000000001</v>
      </c>
    </row>
    <row r="3442" spans="1:72" x14ac:dyDescent="0.25">
      <c r="A3442" s="2">
        <v>5065</v>
      </c>
      <c r="B3442" s="2">
        <v>2010</v>
      </c>
      <c r="C3442" s="2" t="s">
        <v>377</v>
      </c>
      <c r="D3442" s="2" t="s">
        <v>73</v>
      </c>
      <c r="E3442" s="2"/>
      <c r="F3442" s="2">
        <v>426</v>
      </c>
      <c r="G3442" s="2" t="s">
        <v>378</v>
      </c>
      <c r="H3442" s="2">
        <v>42</v>
      </c>
      <c r="I3442" s="2" t="s">
        <v>1096</v>
      </c>
      <c r="J3442" s="2">
        <v>311</v>
      </c>
      <c r="K3442" s="2" t="s">
        <v>379</v>
      </c>
      <c r="L3442" s="2" t="s">
        <v>380</v>
      </c>
      <c r="M3442" s="3">
        <v>40411</v>
      </c>
      <c r="N3442" s="2" t="s">
        <v>5164</v>
      </c>
      <c r="O3442" s="2"/>
      <c r="P3442" s="2"/>
      <c r="Q3442" s="2" t="str">
        <f>"218-C/10"</f>
        <v>218-C/10</v>
      </c>
      <c r="R3442" s="2" t="s">
        <v>6389</v>
      </c>
      <c r="S3442" s="2"/>
      <c r="T3442" s="2">
        <v>1</v>
      </c>
      <c r="U3442" s="2" t="s">
        <v>79</v>
      </c>
      <c r="V3442" s="2">
        <v>1</v>
      </c>
      <c r="W3442" s="2" t="s">
        <v>80</v>
      </c>
      <c r="X3442" s="2">
        <v>1</v>
      </c>
      <c r="Y3442" s="2" t="s">
        <v>81</v>
      </c>
      <c r="Z3442" s="2">
        <v>1</v>
      </c>
      <c r="AA3442" s="2" t="s">
        <v>82</v>
      </c>
      <c r="AB3442" s="2">
        <v>9</v>
      </c>
      <c r="AC3442" s="2" t="s">
        <v>124</v>
      </c>
      <c r="AD3442" s="3">
        <v>40410</v>
      </c>
      <c r="AE3442" s="4">
        <v>0.6791666666666667</v>
      </c>
      <c r="AF3442" s="2"/>
      <c r="AG3442" s="2"/>
      <c r="AH3442" s="2">
        <v>2</v>
      </c>
      <c r="AI3442" s="2" t="s">
        <v>84</v>
      </c>
      <c r="AJ3442" s="2">
        <v>9</v>
      </c>
      <c r="AK3442" s="2" t="s">
        <v>103</v>
      </c>
      <c r="AL3442" s="2">
        <v>29</v>
      </c>
      <c r="AM3442" s="2" t="s">
        <v>5416</v>
      </c>
      <c r="AN3442" s="2"/>
      <c r="AO3442" s="2" t="s">
        <v>11066</v>
      </c>
      <c r="AP3442" s="2">
        <v>11</v>
      </c>
      <c r="AQ3442" s="2" t="s">
        <v>82</v>
      </c>
      <c r="AR3442" s="2"/>
      <c r="AS3442" s="2"/>
      <c r="AT3442" s="2" t="s">
        <v>11067</v>
      </c>
      <c r="AU3442" s="2"/>
      <c r="AV3442" s="2"/>
      <c r="AW3442" s="2"/>
      <c r="AX3442" s="2"/>
      <c r="AY3442" s="2">
        <v>41</v>
      </c>
      <c r="AZ3442" s="2" t="s">
        <v>82</v>
      </c>
      <c r="BA3442" s="2">
        <v>41</v>
      </c>
      <c r="BB3442" s="2" t="s">
        <v>82</v>
      </c>
      <c r="BC3442" s="2">
        <v>41</v>
      </c>
      <c r="BD3442" s="2" t="s">
        <v>82</v>
      </c>
      <c r="BE3442" s="2">
        <v>41</v>
      </c>
      <c r="BF3442" s="2" t="s">
        <v>82</v>
      </c>
      <c r="BG3442" s="2"/>
      <c r="BH3442" s="2"/>
      <c r="BI3442" s="2"/>
      <c r="BJ3442" s="2">
        <v>241</v>
      </c>
      <c r="BK3442" s="2" t="s">
        <v>82</v>
      </c>
      <c r="BL3442" s="2"/>
      <c r="BM3442" s="2">
        <v>241</v>
      </c>
      <c r="BN3442" s="2" t="s">
        <v>82</v>
      </c>
      <c r="BO3442" s="2"/>
      <c r="BP3442" s="2">
        <v>241</v>
      </c>
      <c r="BQ3442" s="2" t="s">
        <v>82</v>
      </c>
      <c r="BR3442" s="2"/>
      <c r="BS3442" s="3">
        <v>40411</v>
      </c>
      <c r="BT3442" s="4">
        <v>0.4236111111111111</v>
      </c>
    </row>
    <row r="3443" spans="1:72" x14ac:dyDescent="0.25">
      <c r="A3443" s="2">
        <v>5066</v>
      </c>
      <c r="B3443" s="2">
        <v>2010</v>
      </c>
      <c r="C3443" s="2" t="s">
        <v>377</v>
      </c>
      <c r="D3443" s="2" t="s">
        <v>73</v>
      </c>
      <c r="E3443" s="2"/>
      <c r="F3443" s="2">
        <v>426</v>
      </c>
      <c r="G3443" s="2" t="s">
        <v>378</v>
      </c>
      <c r="H3443" s="2">
        <v>42</v>
      </c>
      <c r="I3443" s="2" t="s">
        <v>1096</v>
      </c>
      <c r="J3443" s="2">
        <v>311</v>
      </c>
      <c r="K3443" s="2" t="s">
        <v>379</v>
      </c>
      <c r="L3443" s="2" t="s">
        <v>380</v>
      </c>
      <c r="M3443" s="3">
        <v>40411</v>
      </c>
      <c r="N3443" s="2" t="s">
        <v>5164</v>
      </c>
      <c r="O3443" s="2"/>
      <c r="P3443" s="2"/>
      <c r="Q3443" s="2" t="str">
        <f>"219-C/10"</f>
        <v>219-C/10</v>
      </c>
      <c r="R3443" s="2" t="s">
        <v>4428</v>
      </c>
      <c r="S3443" s="2"/>
      <c r="T3443" s="2">
        <v>1</v>
      </c>
      <c r="U3443" s="2" t="s">
        <v>79</v>
      </c>
      <c r="V3443" s="2">
        <v>1</v>
      </c>
      <c r="W3443" s="2" t="s">
        <v>80</v>
      </c>
      <c r="X3443" s="2">
        <v>1</v>
      </c>
      <c r="Y3443" s="2" t="s">
        <v>81</v>
      </c>
      <c r="Z3443" s="2">
        <v>1</v>
      </c>
      <c r="AA3443" s="2" t="s">
        <v>82</v>
      </c>
      <c r="AB3443" s="2">
        <v>9</v>
      </c>
      <c r="AC3443" s="2" t="s">
        <v>124</v>
      </c>
      <c r="AD3443" s="3">
        <v>40410</v>
      </c>
      <c r="AE3443" s="4">
        <v>0.90972222222222221</v>
      </c>
      <c r="AF3443" s="2"/>
      <c r="AG3443" s="2"/>
      <c r="AH3443" s="2">
        <v>2</v>
      </c>
      <c r="AI3443" s="2" t="s">
        <v>84</v>
      </c>
      <c r="AJ3443" s="2">
        <v>9</v>
      </c>
      <c r="AK3443" s="2" t="s">
        <v>103</v>
      </c>
      <c r="AL3443" s="2">
        <v>29</v>
      </c>
      <c r="AM3443" s="2" t="s">
        <v>5416</v>
      </c>
      <c r="AN3443" s="2"/>
      <c r="AO3443" s="2" t="s">
        <v>11068</v>
      </c>
      <c r="AP3443" s="2">
        <v>11</v>
      </c>
      <c r="AQ3443" s="2" t="s">
        <v>82</v>
      </c>
      <c r="AR3443" s="2"/>
      <c r="AS3443" s="2"/>
      <c r="AT3443" s="2" t="s">
        <v>11065</v>
      </c>
      <c r="AU3443" s="2"/>
      <c r="AV3443" s="2"/>
      <c r="AW3443" s="2"/>
      <c r="AX3443" s="2"/>
      <c r="AY3443" s="2">
        <v>41</v>
      </c>
      <c r="AZ3443" s="2" t="s">
        <v>82</v>
      </c>
      <c r="BA3443" s="2">
        <v>41</v>
      </c>
      <c r="BB3443" s="2" t="s">
        <v>82</v>
      </c>
      <c r="BC3443" s="2">
        <v>41</v>
      </c>
      <c r="BD3443" s="2" t="s">
        <v>82</v>
      </c>
      <c r="BE3443" s="2">
        <v>41</v>
      </c>
      <c r="BF3443" s="2" t="s">
        <v>82</v>
      </c>
      <c r="BG3443" s="2"/>
      <c r="BH3443" s="2"/>
      <c r="BI3443" s="2"/>
      <c r="BJ3443" s="2">
        <v>241</v>
      </c>
      <c r="BK3443" s="2" t="s">
        <v>82</v>
      </c>
      <c r="BL3443" s="2"/>
      <c r="BM3443" s="2">
        <v>241</v>
      </c>
      <c r="BN3443" s="2" t="s">
        <v>82</v>
      </c>
      <c r="BO3443" s="2"/>
      <c r="BP3443" s="2">
        <v>241</v>
      </c>
      <c r="BQ3443" s="2" t="s">
        <v>82</v>
      </c>
      <c r="BR3443" s="2"/>
      <c r="BS3443" s="3">
        <v>40411</v>
      </c>
      <c r="BT3443" s="4">
        <v>0.43621527777777774</v>
      </c>
    </row>
    <row r="3444" spans="1:72" x14ac:dyDescent="0.25">
      <c r="A3444" s="2">
        <v>5068</v>
      </c>
      <c r="B3444" s="2">
        <v>2010</v>
      </c>
      <c r="C3444" s="2" t="s">
        <v>72</v>
      </c>
      <c r="D3444" s="2" t="s">
        <v>73</v>
      </c>
      <c r="E3444" s="2"/>
      <c r="F3444" s="2">
        <v>285</v>
      </c>
      <c r="G3444" s="2" t="s">
        <v>1949</v>
      </c>
      <c r="H3444" s="2">
        <v>3</v>
      </c>
      <c r="I3444" s="2" t="s">
        <v>315</v>
      </c>
      <c r="J3444" s="2">
        <v>340</v>
      </c>
      <c r="K3444" s="2" t="s">
        <v>1417</v>
      </c>
      <c r="L3444" s="2" t="s">
        <v>1418</v>
      </c>
      <c r="M3444" s="3">
        <v>40411</v>
      </c>
      <c r="N3444" s="2" t="s">
        <v>11069</v>
      </c>
      <c r="O3444" s="2"/>
      <c r="P3444" s="2"/>
      <c r="Q3444" s="2" t="str">
        <f>"0011/10"</f>
        <v>0011/10</v>
      </c>
      <c r="R3444" s="2" t="s">
        <v>116</v>
      </c>
      <c r="S3444" s="2" t="s">
        <v>833</v>
      </c>
      <c r="T3444" s="2">
        <v>1</v>
      </c>
      <c r="U3444" s="2" t="s">
        <v>79</v>
      </c>
      <c r="V3444" s="2">
        <v>1</v>
      </c>
      <c r="W3444" s="2" t="s">
        <v>80</v>
      </c>
      <c r="X3444" s="2">
        <v>12</v>
      </c>
      <c r="Y3444" s="2" t="s">
        <v>148</v>
      </c>
      <c r="Z3444" s="2">
        <v>1</v>
      </c>
      <c r="AA3444" s="2" t="s">
        <v>82</v>
      </c>
      <c r="AB3444" s="2">
        <v>6</v>
      </c>
      <c r="AC3444" s="2" t="s">
        <v>83</v>
      </c>
      <c r="AD3444" s="3">
        <v>40411</v>
      </c>
      <c r="AE3444" s="2"/>
      <c r="AF3444" s="3">
        <v>40411</v>
      </c>
      <c r="AG3444" s="4">
        <v>0.3298611111111111</v>
      </c>
      <c r="AH3444" s="2">
        <v>5</v>
      </c>
      <c r="AI3444" s="2" t="s">
        <v>274</v>
      </c>
      <c r="AJ3444" s="2">
        <v>37</v>
      </c>
      <c r="AK3444" s="2" t="s">
        <v>497</v>
      </c>
      <c r="AL3444" s="2">
        <v>24</v>
      </c>
      <c r="AM3444" s="2" t="s">
        <v>1540</v>
      </c>
      <c r="AN3444" s="2" t="s">
        <v>11070</v>
      </c>
      <c r="AO3444" s="2" t="s">
        <v>11071</v>
      </c>
      <c r="AP3444" s="2">
        <v>11</v>
      </c>
      <c r="AQ3444" s="2" t="s">
        <v>82</v>
      </c>
      <c r="AR3444" s="2"/>
      <c r="AS3444" s="2"/>
      <c r="AT3444" s="2" t="s">
        <v>11072</v>
      </c>
      <c r="AU3444" s="2"/>
      <c r="AV3444" s="2"/>
      <c r="AW3444" s="2"/>
      <c r="AX3444" s="2"/>
      <c r="AY3444" s="2">
        <v>41</v>
      </c>
      <c r="AZ3444" s="2" t="s">
        <v>82</v>
      </c>
      <c r="BA3444" s="2">
        <v>41</v>
      </c>
      <c r="BB3444" s="2" t="s">
        <v>82</v>
      </c>
      <c r="BC3444" s="2">
        <v>41</v>
      </c>
      <c r="BD3444" s="2" t="s">
        <v>82</v>
      </c>
      <c r="BE3444" s="2">
        <v>41</v>
      </c>
      <c r="BF3444" s="2" t="s">
        <v>82</v>
      </c>
      <c r="BG3444" s="2"/>
      <c r="BH3444" s="2"/>
      <c r="BI3444" s="2"/>
      <c r="BJ3444" s="2">
        <v>241</v>
      </c>
      <c r="BK3444" s="2" t="s">
        <v>82</v>
      </c>
      <c r="BL3444" s="2"/>
      <c r="BM3444" s="2">
        <v>241</v>
      </c>
      <c r="BN3444" s="2" t="s">
        <v>82</v>
      </c>
      <c r="BO3444" s="2"/>
      <c r="BP3444" s="2">
        <v>241</v>
      </c>
      <c r="BQ3444" s="2" t="s">
        <v>82</v>
      </c>
      <c r="BR3444" s="2"/>
      <c r="BS3444" s="3">
        <v>40411</v>
      </c>
      <c r="BT3444" s="4">
        <v>0.51944444444444449</v>
      </c>
    </row>
    <row r="3445" spans="1:72" x14ac:dyDescent="0.25">
      <c r="A3445" s="2">
        <v>5069</v>
      </c>
      <c r="B3445" s="2">
        <v>2010</v>
      </c>
      <c r="C3445" s="2" t="s">
        <v>147</v>
      </c>
      <c r="D3445" s="2" t="s">
        <v>122</v>
      </c>
      <c r="E3445" s="2" t="s">
        <v>11073</v>
      </c>
      <c r="F3445" s="2">
        <v>1</v>
      </c>
      <c r="G3445" s="2" t="s">
        <v>82</v>
      </c>
      <c r="H3445" s="2">
        <v>1</v>
      </c>
      <c r="I3445" s="2" t="s">
        <v>82</v>
      </c>
      <c r="J3445" s="2">
        <v>1</v>
      </c>
      <c r="K3445" s="2" t="s">
        <v>107</v>
      </c>
      <c r="L3445" s="2" t="s">
        <v>107</v>
      </c>
      <c r="M3445" s="3">
        <v>40411</v>
      </c>
      <c r="N3445" s="2"/>
      <c r="O3445" s="2"/>
      <c r="P3445" s="2"/>
      <c r="Q3445" s="2" t="str">
        <f>""</f>
        <v/>
      </c>
      <c r="R3445" s="2"/>
      <c r="S3445" s="2"/>
      <c r="T3445" s="2">
        <v>2</v>
      </c>
      <c r="U3445" s="2" t="s">
        <v>123</v>
      </c>
      <c r="V3445" s="2">
        <v>1</v>
      </c>
      <c r="W3445" s="2" t="s">
        <v>80</v>
      </c>
      <c r="X3445" s="2">
        <v>12</v>
      </c>
      <c r="Y3445" s="2" t="s">
        <v>148</v>
      </c>
      <c r="Z3445" s="2">
        <v>1</v>
      </c>
      <c r="AA3445" s="2" t="s">
        <v>82</v>
      </c>
      <c r="AB3445" s="2">
        <v>9</v>
      </c>
      <c r="AC3445" s="2" t="s">
        <v>124</v>
      </c>
      <c r="AD3445" s="3">
        <v>40404</v>
      </c>
      <c r="AE3445" s="4">
        <v>0.66666666666666663</v>
      </c>
      <c r="AF3445" s="3">
        <v>40409</v>
      </c>
      <c r="AG3445" s="4">
        <v>0.66666666666666663</v>
      </c>
      <c r="AH3445" s="2">
        <v>6</v>
      </c>
      <c r="AI3445" s="2" t="s">
        <v>197</v>
      </c>
      <c r="AJ3445" s="2">
        <v>50</v>
      </c>
      <c r="AK3445" s="2" t="s">
        <v>330</v>
      </c>
      <c r="AL3445" s="2">
        <v>19</v>
      </c>
      <c r="AM3445" s="2" t="s">
        <v>107</v>
      </c>
      <c r="AN3445" s="2"/>
      <c r="AO3445" s="2"/>
      <c r="AP3445" s="2">
        <v>11</v>
      </c>
      <c r="AQ3445" s="2" t="s">
        <v>82</v>
      </c>
      <c r="AR3445" s="2"/>
      <c r="AS3445" s="2"/>
      <c r="AT3445" s="2" t="s">
        <v>11074</v>
      </c>
      <c r="AU3445" s="2"/>
      <c r="AV3445" s="2"/>
      <c r="AW3445" s="2"/>
      <c r="AX3445" s="2"/>
      <c r="AY3445" s="2">
        <v>41</v>
      </c>
      <c r="AZ3445" s="2" t="s">
        <v>82</v>
      </c>
      <c r="BA3445" s="2">
        <v>1</v>
      </c>
      <c r="BB3445" s="2" t="s">
        <v>107</v>
      </c>
      <c r="BC3445" s="2">
        <v>1</v>
      </c>
      <c r="BD3445" s="2" t="s">
        <v>107</v>
      </c>
      <c r="BE3445" s="2">
        <v>41</v>
      </c>
      <c r="BF3445" s="2" t="s">
        <v>82</v>
      </c>
      <c r="BG3445" s="2"/>
      <c r="BH3445" s="2"/>
      <c r="BI3445" s="2"/>
      <c r="BJ3445" s="2">
        <v>241</v>
      </c>
      <c r="BK3445" s="2" t="s">
        <v>82</v>
      </c>
      <c r="BL3445" s="2"/>
      <c r="BM3445" s="2">
        <v>241</v>
      </c>
      <c r="BN3445" s="2" t="s">
        <v>82</v>
      </c>
      <c r="BO3445" s="2"/>
      <c r="BP3445" s="2">
        <v>241</v>
      </c>
      <c r="BQ3445" s="2" t="s">
        <v>82</v>
      </c>
      <c r="BR3445" s="2"/>
      <c r="BS3445" s="3">
        <v>40411</v>
      </c>
      <c r="BT3445" s="4">
        <v>0.5337615740740741</v>
      </c>
    </row>
    <row r="3446" spans="1:72" x14ac:dyDescent="0.25">
      <c r="A3446" s="2">
        <v>5070</v>
      </c>
      <c r="B3446" s="2">
        <v>2010</v>
      </c>
      <c r="C3446" s="2" t="s">
        <v>806</v>
      </c>
      <c r="D3446" s="2" t="s">
        <v>73</v>
      </c>
      <c r="E3446" s="2"/>
      <c r="F3446" s="2">
        <v>507</v>
      </c>
      <c r="G3446" s="2" t="s">
        <v>2475</v>
      </c>
      <c r="H3446" s="2">
        <v>89</v>
      </c>
      <c r="I3446" s="2" t="s">
        <v>5137</v>
      </c>
      <c r="J3446" s="2">
        <v>424</v>
      </c>
      <c r="K3446" s="2" t="s">
        <v>2476</v>
      </c>
      <c r="L3446" s="2" t="s">
        <v>2477</v>
      </c>
      <c r="M3446" s="3">
        <v>40411</v>
      </c>
      <c r="N3446" s="2" t="s">
        <v>2593</v>
      </c>
      <c r="O3446" s="2" t="s">
        <v>9530</v>
      </c>
      <c r="P3446" s="7">
        <v>16419</v>
      </c>
      <c r="Q3446" s="2" t="str">
        <f>"S/D"</f>
        <v>S/D</v>
      </c>
      <c r="R3446" s="2" t="s">
        <v>107</v>
      </c>
      <c r="S3446" s="2" t="s">
        <v>107</v>
      </c>
      <c r="T3446" s="2">
        <v>1</v>
      </c>
      <c r="U3446" s="2" t="s">
        <v>79</v>
      </c>
      <c r="V3446" s="2">
        <v>1</v>
      </c>
      <c r="W3446" s="2" t="s">
        <v>80</v>
      </c>
      <c r="X3446" s="2">
        <v>7</v>
      </c>
      <c r="Y3446" s="2" t="s">
        <v>1964</v>
      </c>
      <c r="Z3446" s="2">
        <v>1</v>
      </c>
      <c r="AA3446" s="2" t="s">
        <v>82</v>
      </c>
      <c r="AB3446" s="2">
        <v>9</v>
      </c>
      <c r="AC3446" s="2" t="s">
        <v>124</v>
      </c>
      <c r="AD3446" s="3">
        <v>40411</v>
      </c>
      <c r="AE3446" s="4">
        <v>0.44444444444444442</v>
      </c>
      <c r="AF3446" s="3">
        <v>40411</v>
      </c>
      <c r="AG3446" s="4">
        <v>0.44444444444444442</v>
      </c>
      <c r="AH3446" s="2">
        <v>7</v>
      </c>
      <c r="AI3446" s="2" t="s">
        <v>801</v>
      </c>
      <c r="AJ3446" s="2">
        <v>3</v>
      </c>
      <c r="AK3446" s="2" t="s">
        <v>802</v>
      </c>
      <c r="AL3446" s="2">
        <v>23</v>
      </c>
      <c r="AM3446" s="2" t="s">
        <v>251</v>
      </c>
      <c r="AN3446" s="2" t="s">
        <v>11075</v>
      </c>
      <c r="AO3446" s="2" t="s">
        <v>11076</v>
      </c>
      <c r="AP3446" s="2">
        <v>11</v>
      </c>
      <c r="AQ3446" s="2" t="s">
        <v>82</v>
      </c>
      <c r="AR3446" s="2" t="s">
        <v>107</v>
      </c>
      <c r="AS3446" s="2" t="s">
        <v>107</v>
      </c>
      <c r="AT3446" s="2" t="s">
        <v>11077</v>
      </c>
      <c r="AU3446" s="2">
        <v>1</v>
      </c>
      <c r="AV3446" s="2"/>
      <c r="AW3446" s="2"/>
      <c r="AX3446" s="2"/>
      <c r="AY3446" s="2">
        <v>1</v>
      </c>
      <c r="AZ3446" s="2" t="s">
        <v>107</v>
      </c>
      <c r="BA3446" s="2">
        <v>1</v>
      </c>
      <c r="BB3446" s="2" t="s">
        <v>107</v>
      </c>
      <c r="BC3446" s="2">
        <v>1</v>
      </c>
      <c r="BD3446" s="2" t="s">
        <v>107</v>
      </c>
      <c r="BE3446" s="2">
        <v>1</v>
      </c>
      <c r="BF3446" s="2" t="s">
        <v>107</v>
      </c>
      <c r="BG3446" s="2" t="s">
        <v>107</v>
      </c>
      <c r="BH3446" s="2"/>
      <c r="BI3446" s="2"/>
      <c r="BJ3446" s="2">
        <v>242</v>
      </c>
      <c r="BK3446" s="2" t="s">
        <v>107</v>
      </c>
      <c r="BL3446" s="2" t="s">
        <v>107</v>
      </c>
      <c r="BM3446" s="2">
        <v>242</v>
      </c>
      <c r="BN3446" s="2" t="s">
        <v>107</v>
      </c>
      <c r="BO3446" s="2" t="s">
        <v>107</v>
      </c>
      <c r="BP3446" s="2">
        <v>242</v>
      </c>
      <c r="BQ3446" s="2" t="s">
        <v>107</v>
      </c>
      <c r="BR3446" s="2" t="s">
        <v>107</v>
      </c>
      <c r="BS3446" s="3">
        <v>40411</v>
      </c>
      <c r="BT3446" s="4">
        <v>0.55762731481481487</v>
      </c>
    </row>
    <row r="3447" spans="1:72" x14ac:dyDescent="0.25">
      <c r="A3447" s="2">
        <v>5071</v>
      </c>
      <c r="B3447" s="2">
        <v>2010</v>
      </c>
      <c r="C3447" s="2" t="s">
        <v>72</v>
      </c>
      <c r="D3447" s="2" t="s">
        <v>73</v>
      </c>
      <c r="E3447" s="2"/>
      <c r="F3447" s="2">
        <v>389</v>
      </c>
      <c r="G3447" s="2" t="s">
        <v>1819</v>
      </c>
      <c r="H3447" s="2">
        <v>4</v>
      </c>
      <c r="I3447" s="2" t="s">
        <v>173</v>
      </c>
      <c r="J3447" s="2">
        <v>399</v>
      </c>
      <c r="K3447" s="2" t="s">
        <v>1820</v>
      </c>
      <c r="L3447" s="2" t="s">
        <v>1821</v>
      </c>
      <c r="M3447" s="3">
        <v>40411</v>
      </c>
      <c r="N3447" s="2" t="s">
        <v>11078</v>
      </c>
      <c r="O3447" s="2"/>
      <c r="P3447" s="2"/>
      <c r="Q3447" s="2" t="str">
        <f>"427-E/10"</f>
        <v>427-E/10</v>
      </c>
      <c r="R3447" s="2" t="s">
        <v>11079</v>
      </c>
      <c r="S3447" s="2" t="s">
        <v>11080</v>
      </c>
      <c r="T3447" s="2">
        <v>1</v>
      </c>
      <c r="U3447" s="2" t="s">
        <v>79</v>
      </c>
      <c r="V3447" s="2">
        <v>1</v>
      </c>
      <c r="W3447" s="2" t="s">
        <v>80</v>
      </c>
      <c r="X3447" s="2">
        <v>12</v>
      </c>
      <c r="Y3447" s="2" t="s">
        <v>148</v>
      </c>
      <c r="Z3447" s="2">
        <v>1</v>
      </c>
      <c r="AA3447" s="2" t="s">
        <v>82</v>
      </c>
      <c r="AB3447" s="2">
        <v>6</v>
      </c>
      <c r="AC3447" s="2" t="s">
        <v>83</v>
      </c>
      <c r="AD3447" s="3">
        <v>40411</v>
      </c>
      <c r="AE3447" s="2"/>
      <c r="AF3447" s="3">
        <v>40411</v>
      </c>
      <c r="AG3447" s="4">
        <v>0.47222222222222227</v>
      </c>
      <c r="AH3447" s="2">
        <v>2</v>
      </c>
      <c r="AI3447" s="2" t="s">
        <v>84</v>
      </c>
      <c r="AJ3447" s="2">
        <v>9</v>
      </c>
      <c r="AK3447" s="2" t="s">
        <v>103</v>
      </c>
      <c r="AL3447" s="2">
        <v>22</v>
      </c>
      <c r="AM3447" s="2" t="s">
        <v>1853</v>
      </c>
      <c r="AN3447" s="2"/>
      <c r="AO3447" s="2" t="s">
        <v>10782</v>
      </c>
      <c r="AP3447" s="2">
        <v>11</v>
      </c>
      <c r="AQ3447" s="2" t="s">
        <v>82</v>
      </c>
      <c r="AR3447" s="2"/>
      <c r="AS3447" s="2"/>
      <c r="AT3447" s="2" t="s">
        <v>11081</v>
      </c>
      <c r="AU3447" s="2"/>
      <c r="AV3447" s="2"/>
      <c r="AW3447" s="2"/>
      <c r="AX3447" s="2"/>
      <c r="AY3447" s="2">
        <v>41</v>
      </c>
      <c r="AZ3447" s="2" t="s">
        <v>82</v>
      </c>
      <c r="BA3447" s="2">
        <v>41</v>
      </c>
      <c r="BB3447" s="2" t="s">
        <v>82</v>
      </c>
      <c r="BC3447" s="2">
        <v>41</v>
      </c>
      <c r="BD3447" s="2" t="s">
        <v>82</v>
      </c>
      <c r="BE3447" s="2">
        <v>23</v>
      </c>
      <c r="BF3447" s="2" t="s">
        <v>183</v>
      </c>
      <c r="BG3447" s="2" t="s">
        <v>1375</v>
      </c>
      <c r="BH3447" s="2"/>
      <c r="BI3447" s="4">
        <v>0</v>
      </c>
      <c r="BJ3447" s="2">
        <v>73</v>
      </c>
      <c r="BK3447" s="2" t="s">
        <v>186</v>
      </c>
      <c r="BL3447" s="2" t="s">
        <v>187</v>
      </c>
      <c r="BM3447" s="2">
        <v>241</v>
      </c>
      <c r="BN3447" s="2" t="s">
        <v>82</v>
      </c>
      <c r="BO3447" s="2"/>
      <c r="BP3447" s="2">
        <v>13</v>
      </c>
      <c r="BQ3447" s="2" t="s">
        <v>91</v>
      </c>
      <c r="BR3447" s="2" t="s">
        <v>360</v>
      </c>
      <c r="BS3447" s="3">
        <v>40411</v>
      </c>
      <c r="BT3447" s="4">
        <v>0.61229166666666668</v>
      </c>
    </row>
    <row r="3448" spans="1:72" x14ac:dyDescent="0.25">
      <c r="A3448" s="2">
        <v>5072</v>
      </c>
      <c r="B3448" s="2">
        <v>2010</v>
      </c>
      <c r="C3448" s="2" t="s">
        <v>414</v>
      </c>
      <c r="D3448" s="2" t="s">
        <v>122</v>
      </c>
      <c r="E3448" s="2"/>
      <c r="F3448" s="2">
        <v>1</v>
      </c>
      <c r="G3448" s="2" t="s">
        <v>82</v>
      </c>
      <c r="H3448" s="2">
        <v>1</v>
      </c>
      <c r="I3448" s="2" t="s">
        <v>82</v>
      </c>
      <c r="J3448" s="2">
        <v>1</v>
      </c>
      <c r="K3448" s="2" t="s">
        <v>107</v>
      </c>
      <c r="L3448" s="2" t="s">
        <v>107</v>
      </c>
      <c r="M3448" s="3">
        <v>40411</v>
      </c>
      <c r="N3448" s="2"/>
      <c r="O3448" s="2"/>
      <c r="P3448" s="2"/>
      <c r="Q3448" s="2" t="str">
        <f>""</f>
        <v/>
      </c>
      <c r="R3448" s="2"/>
      <c r="S3448" s="2"/>
      <c r="T3448" s="2">
        <v>1</v>
      </c>
      <c r="U3448" s="2" t="s">
        <v>79</v>
      </c>
      <c r="V3448" s="2">
        <v>1</v>
      </c>
      <c r="W3448" s="2" t="s">
        <v>80</v>
      </c>
      <c r="X3448" s="2">
        <v>1</v>
      </c>
      <c r="Y3448" s="2" t="s">
        <v>81</v>
      </c>
      <c r="Z3448" s="2">
        <v>10</v>
      </c>
      <c r="AA3448" s="2" t="s">
        <v>236</v>
      </c>
      <c r="AB3448" s="2">
        <v>9</v>
      </c>
      <c r="AC3448" s="2" t="s">
        <v>124</v>
      </c>
      <c r="AD3448" s="3">
        <v>40405</v>
      </c>
      <c r="AE3448" s="4">
        <v>0.62847222222222221</v>
      </c>
      <c r="AF3448" s="2"/>
      <c r="AG3448" s="2"/>
      <c r="AH3448" s="2">
        <v>5</v>
      </c>
      <c r="AI3448" s="2" t="s">
        <v>274</v>
      </c>
      <c r="AJ3448" s="2">
        <v>44</v>
      </c>
      <c r="AK3448" s="2" t="s">
        <v>667</v>
      </c>
      <c r="AL3448" s="2">
        <v>24</v>
      </c>
      <c r="AM3448" s="2" t="s">
        <v>1540</v>
      </c>
      <c r="AN3448" s="2"/>
      <c r="AO3448" s="2" t="s">
        <v>11082</v>
      </c>
      <c r="AP3448" s="2">
        <v>11</v>
      </c>
      <c r="AQ3448" s="2" t="s">
        <v>82</v>
      </c>
      <c r="AR3448" s="2"/>
      <c r="AS3448" s="2"/>
      <c r="AT3448" s="2" t="s">
        <v>11083</v>
      </c>
      <c r="AU3448" s="2"/>
      <c r="AV3448" s="2"/>
      <c r="AW3448" s="2"/>
      <c r="AX3448" s="2"/>
      <c r="AY3448" s="2">
        <v>41</v>
      </c>
      <c r="AZ3448" s="2" t="s">
        <v>82</v>
      </c>
      <c r="BA3448" s="2">
        <v>41</v>
      </c>
      <c r="BB3448" s="2" t="s">
        <v>82</v>
      </c>
      <c r="BC3448" s="2">
        <v>41</v>
      </c>
      <c r="BD3448" s="2" t="s">
        <v>82</v>
      </c>
      <c r="BE3448" s="2">
        <v>13</v>
      </c>
      <c r="BF3448" s="2" t="s">
        <v>108</v>
      </c>
      <c r="BG3448" s="2">
        <v>1779</v>
      </c>
      <c r="BH3448" s="4">
        <v>0.59166666666666667</v>
      </c>
      <c r="BI3448" s="4">
        <v>0.625</v>
      </c>
      <c r="BJ3448" s="2">
        <v>13</v>
      </c>
      <c r="BK3448" s="2" t="s">
        <v>91</v>
      </c>
      <c r="BL3448" s="2" t="s">
        <v>11084</v>
      </c>
      <c r="BM3448" s="2">
        <v>241</v>
      </c>
      <c r="BN3448" s="2" t="s">
        <v>82</v>
      </c>
      <c r="BO3448" s="2" t="s">
        <v>11084</v>
      </c>
      <c r="BP3448" s="2">
        <v>13</v>
      </c>
      <c r="BQ3448" s="2" t="s">
        <v>91</v>
      </c>
      <c r="BR3448" s="2" t="s">
        <v>185</v>
      </c>
      <c r="BS3448" s="3">
        <v>40411</v>
      </c>
      <c r="BT3448" s="4">
        <v>0.81041666666666667</v>
      </c>
    </row>
    <row r="3449" spans="1:72" x14ac:dyDescent="0.25">
      <c r="A3449" s="2">
        <v>5073</v>
      </c>
      <c r="B3449" s="2">
        <v>2010</v>
      </c>
      <c r="C3449" s="2" t="s">
        <v>377</v>
      </c>
      <c r="D3449" s="2" t="s">
        <v>73</v>
      </c>
      <c r="E3449" s="2"/>
      <c r="F3449" s="2">
        <v>426</v>
      </c>
      <c r="G3449" s="2" t="s">
        <v>378</v>
      </c>
      <c r="H3449" s="2">
        <v>22</v>
      </c>
      <c r="I3449" s="2" t="s">
        <v>75</v>
      </c>
      <c r="J3449" s="2">
        <v>311</v>
      </c>
      <c r="K3449" s="2" t="s">
        <v>379</v>
      </c>
      <c r="L3449" s="2" t="s">
        <v>380</v>
      </c>
      <c r="M3449" s="3">
        <v>40411</v>
      </c>
      <c r="N3449" s="2" t="s">
        <v>5164</v>
      </c>
      <c r="O3449" s="2"/>
      <c r="P3449" s="2"/>
      <c r="Q3449" s="2" t="str">
        <f>"220-C/10"</f>
        <v>220-C/10</v>
      </c>
      <c r="R3449" s="2" t="s">
        <v>5773</v>
      </c>
      <c r="S3449" s="2"/>
      <c r="T3449" s="2">
        <v>1</v>
      </c>
      <c r="U3449" s="2" t="s">
        <v>79</v>
      </c>
      <c r="V3449" s="2">
        <v>1</v>
      </c>
      <c r="W3449" s="2" t="s">
        <v>80</v>
      </c>
      <c r="X3449" s="2">
        <v>1</v>
      </c>
      <c r="Y3449" s="2" t="s">
        <v>81</v>
      </c>
      <c r="Z3449" s="2">
        <v>1</v>
      </c>
      <c r="AA3449" s="2" t="s">
        <v>82</v>
      </c>
      <c r="AB3449" s="2">
        <v>9</v>
      </c>
      <c r="AC3449" s="2" t="s">
        <v>124</v>
      </c>
      <c r="AD3449" s="3">
        <v>40411</v>
      </c>
      <c r="AE3449" s="4">
        <v>0.40972222222222227</v>
      </c>
      <c r="AF3449" s="2"/>
      <c r="AG3449" s="2"/>
      <c r="AH3449" s="2">
        <v>2</v>
      </c>
      <c r="AI3449" s="2" t="s">
        <v>84</v>
      </c>
      <c r="AJ3449" s="2">
        <v>9</v>
      </c>
      <c r="AK3449" s="2" t="s">
        <v>103</v>
      </c>
      <c r="AL3449" s="2">
        <v>29</v>
      </c>
      <c r="AM3449" s="2" t="s">
        <v>5416</v>
      </c>
      <c r="AN3449" s="2"/>
      <c r="AO3449" s="2" t="s">
        <v>3459</v>
      </c>
      <c r="AP3449" s="2">
        <v>11</v>
      </c>
      <c r="AQ3449" s="2" t="s">
        <v>82</v>
      </c>
      <c r="AR3449" s="2"/>
      <c r="AS3449" s="2"/>
      <c r="AT3449" s="2" t="s">
        <v>11085</v>
      </c>
      <c r="AU3449" s="2"/>
      <c r="AV3449" s="2"/>
      <c r="AW3449" s="2"/>
      <c r="AX3449" s="2"/>
      <c r="AY3449" s="2">
        <v>41</v>
      </c>
      <c r="AZ3449" s="2" t="s">
        <v>82</v>
      </c>
      <c r="BA3449" s="2">
        <v>41</v>
      </c>
      <c r="BB3449" s="2" t="s">
        <v>82</v>
      </c>
      <c r="BC3449" s="2">
        <v>41</v>
      </c>
      <c r="BD3449" s="2" t="s">
        <v>82</v>
      </c>
      <c r="BE3449" s="2">
        <v>41</v>
      </c>
      <c r="BF3449" s="2" t="s">
        <v>82</v>
      </c>
      <c r="BG3449" s="2"/>
      <c r="BH3449" s="2"/>
      <c r="BI3449" s="2"/>
      <c r="BJ3449" s="2">
        <v>241</v>
      </c>
      <c r="BK3449" s="2" t="s">
        <v>82</v>
      </c>
      <c r="BL3449" s="2"/>
      <c r="BM3449" s="2">
        <v>241</v>
      </c>
      <c r="BN3449" s="2" t="s">
        <v>82</v>
      </c>
      <c r="BO3449" s="2"/>
      <c r="BP3449" s="2">
        <v>241</v>
      </c>
      <c r="BQ3449" s="2" t="s">
        <v>82</v>
      </c>
      <c r="BR3449" s="2"/>
      <c r="BS3449" s="3">
        <v>40411</v>
      </c>
      <c r="BT3449" s="4">
        <v>0.8517824074074074</v>
      </c>
    </row>
    <row r="3450" spans="1:72" x14ac:dyDescent="0.25">
      <c r="A3450" s="2">
        <v>5074</v>
      </c>
      <c r="B3450" s="2">
        <v>2010</v>
      </c>
      <c r="C3450" s="2" t="s">
        <v>1006</v>
      </c>
      <c r="D3450" s="2" t="s">
        <v>122</v>
      </c>
      <c r="E3450" s="2"/>
      <c r="F3450" s="2">
        <v>45</v>
      </c>
      <c r="G3450" s="2" t="s">
        <v>1408</v>
      </c>
      <c r="H3450" s="2">
        <v>47</v>
      </c>
      <c r="I3450" s="2" t="s">
        <v>1409</v>
      </c>
      <c r="J3450" s="2">
        <v>77</v>
      </c>
      <c r="K3450" s="2" t="s">
        <v>2517</v>
      </c>
      <c r="L3450" s="2" t="s">
        <v>2518</v>
      </c>
      <c r="M3450" s="3">
        <v>40411</v>
      </c>
      <c r="N3450" s="2"/>
      <c r="O3450" s="2" t="s">
        <v>11086</v>
      </c>
      <c r="P3450" s="2" t="s">
        <v>11087</v>
      </c>
      <c r="Q3450" s="2" t="str">
        <f>""</f>
        <v/>
      </c>
      <c r="R3450" s="2"/>
      <c r="S3450" s="2"/>
      <c r="T3450" s="2">
        <v>2</v>
      </c>
      <c r="U3450" s="2" t="s">
        <v>123</v>
      </c>
      <c r="V3450" s="2">
        <v>1</v>
      </c>
      <c r="W3450" s="2" t="s">
        <v>80</v>
      </c>
      <c r="X3450" s="2">
        <v>5</v>
      </c>
      <c r="Y3450" s="2" t="s">
        <v>82</v>
      </c>
      <c r="Z3450" s="2">
        <v>1</v>
      </c>
      <c r="AA3450" s="2" t="s">
        <v>82</v>
      </c>
      <c r="AB3450" s="2">
        <v>9</v>
      </c>
      <c r="AC3450" s="2" t="s">
        <v>124</v>
      </c>
      <c r="AD3450" s="3">
        <v>40411</v>
      </c>
      <c r="AE3450" s="4">
        <v>0.625</v>
      </c>
      <c r="AF3450" s="2"/>
      <c r="AG3450" s="2"/>
      <c r="AH3450" s="2">
        <v>4</v>
      </c>
      <c r="AI3450" s="2" t="s">
        <v>125</v>
      </c>
      <c r="AJ3450" s="2">
        <v>31</v>
      </c>
      <c r="AK3450" s="2" t="s">
        <v>1413</v>
      </c>
      <c r="AL3450" s="2">
        <v>7</v>
      </c>
      <c r="AM3450" s="2" t="s">
        <v>1450</v>
      </c>
      <c r="AN3450" s="2" t="s">
        <v>11088</v>
      </c>
      <c r="AO3450" s="2" t="s">
        <v>11089</v>
      </c>
      <c r="AP3450" s="2">
        <v>11</v>
      </c>
      <c r="AQ3450" s="2" t="s">
        <v>82</v>
      </c>
      <c r="AR3450" s="2"/>
      <c r="AS3450" s="2"/>
      <c r="AT3450" s="2" t="s">
        <v>11090</v>
      </c>
      <c r="AU3450" s="2"/>
      <c r="AV3450" s="2"/>
      <c r="AW3450" s="2"/>
      <c r="AX3450" s="2"/>
      <c r="AY3450" s="2">
        <v>41</v>
      </c>
      <c r="AZ3450" s="2" t="s">
        <v>82</v>
      </c>
      <c r="BA3450" s="2">
        <v>41</v>
      </c>
      <c r="BB3450" s="2" t="s">
        <v>82</v>
      </c>
      <c r="BC3450" s="2">
        <v>1</v>
      </c>
      <c r="BD3450" s="2" t="s">
        <v>107</v>
      </c>
      <c r="BE3450" s="2">
        <v>41</v>
      </c>
      <c r="BF3450" s="2" t="s">
        <v>82</v>
      </c>
      <c r="BG3450" s="2"/>
      <c r="BH3450" s="4">
        <v>0.625</v>
      </c>
      <c r="BI3450" s="2"/>
      <c r="BJ3450" s="2">
        <v>13</v>
      </c>
      <c r="BK3450" s="2" t="s">
        <v>91</v>
      </c>
      <c r="BL3450" s="2" t="s">
        <v>11091</v>
      </c>
      <c r="BM3450" s="2">
        <v>241</v>
      </c>
      <c r="BN3450" s="2" t="s">
        <v>82</v>
      </c>
      <c r="BO3450" s="2"/>
      <c r="BP3450" s="2">
        <v>13</v>
      </c>
      <c r="BQ3450" s="2" t="s">
        <v>91</v>
      </c>
      <c r="BR3450" s="2"/>
      <c r="BS3450" s="3">
        <v>40411</v>
      </c>
      <c r="BT3450" s="4">
        <v>0.85630787037037026</v>
      </c>
    </row>
    <row r="3451" spans="1:72" x14ac:dyDescent="0.25">
      <c r="A3451" s="2">
        <v>5075</v>
      </c>
      <c r="B3451" s="2">
        <v>2010</v>
      </c>
      <c r="C3451" s="2" t="s">
        <v>377</v>
      </c>
      <c r="D3451" s="2" t="s">
        <v>73</v>
      </c>
      <c r="E3451" s="2"/>
      <c r="F3451" s="2">
        <v>426</v>
      </c>
      <c r="G3451" s="2" t="s">
        <v>378</v>
      </c>
      <c r="H3451" s="2">
        <v>22</v>
      </c>
      <c r="I3451" s="2" t="s">
        <v>75</v>
      </c>
      <c r="J3451" s="2">
        <v>311</v>
      </c>
      <c r="K3451" s="2" t="s">
        <v>379</v>
      </c>
      <c r="L3451" s="2" t="s">
        <v>380</v>
      </c>
      <c r="M3451" s="3">
        <v>40411</v>
      </c>
      <c r="N3451" s="2" t="s">
        <v>5164</v>
      </c>
      <c r="O3451" s="2"/>
      <c r="P3451" s="2"/>
      <c r="Q3451" s="2" t="str">
        <f>"221-C/10"</f>
        <v>221-C/10</v>
      </c>
      <c r="R3451" s="2" t="s">
        <v>11092</v>
      </c>
      <c r="S3451" s="2"/>
      <c r="T3451" s="2">
        <v>1</v>
      </c>
      <c r="U3451" s="2" t="s">
        <v>79</v>
      </c>
      <c r="V3451" s="2">
        <v>1</v>
      </c>
      <c r="W3451" s="2" t="s">
        <v>80</v>
      </c>
      <c r="X3451" s="2">
        <v>1</v>
      </c>
      <c r="Y3451" s="2" t="s">
        <v>81</v>
      </c>
      <c r="Z3451" s="2">
        <v>1</v>
      </c>
      <c r="AA3451" s="2" t="s">
        <v>82</v>
      </c>
      <c r="AB3451" s="2">
        <v>9</v>
      </c>
      <c r="AC3451" s="2" t="s">
        <v>124</v>
      </c>
      <c r="AD3451" s="3">
        <v>40411</v>
      </c>
      <c r="AE3451" s="4">
        <v>0.52083333333333337</v>
      </c>
      <c r="AF3451" s="2"/>
      <c r="AG3451" s="2"/>
      <c r="AH3451" s="2">
        <v>2</v>
      </c>
      <c r="AI3451" s="2" t="s">
        <v>84</v>
      </c>
      <c r="AJ3451" s="2">
        <v>9</v>
      </c>
      <c r="AK3451" s="2" t="s">
        <v>103</v>
      </c>
      <c r="AL3451" s="2">
        <v>25</v>
      </c>
      <c r="AM3451" s="2" t="s">
        <v>3073</v>
      </c>
      <c r="AN3451" s="2"/>
      <c r="AO3451" s="2" t="s">
        <v>5800</v>
      </c>
      <c r="AP3451" s="2">
        <v>11</v>
      </c>
      <c r="AQ3451" s="2" t="s">
        <v>82</v>
      </c>
      <c r="AR3451" s="2"/>
      <c r="AS3451" s="2"/>
      <c r="AT3451" s="2" t="s">
        <v>11093</v>
      </c>
      <c r="AU3451" s="2"/>
      <c r="AV3451" s="2"/>
      <c r="AW3451" s="2"/>
      <c r="AX3451" s="2"/>
      <c r="AY3451" s="2">
        <v>41</v>
      </c>
      <c r="AZ3451" s="2" t="s">
        <v>82</v>
      </c>
      <c r="BA3451" s="2">
        <v>41</v>
      </c>
      <c r="BB3451" s="2" t="s">
        <v>82</v>
      </c>
      <c r="BC3451" s="2">
        <v>41</v>
      </c>
      <c r="BD3451" s="2" t="s">
        <v>82</v>
      </c>
      <c r="BE3451" s="2">
        <v>41</v>
      </c>
      <c r="BF3451" s="2" t="s">
        <v>82</v>
      </c>
      <c r="BG3451" s="2"/>
      <c r="BH3451" s="2"/>
      <c r="BI3451" s="2"/>
      <c r="BJ3451" s="2">
        <v>241</v>
      </c>
      <c r="BK3451" s="2" t="s">
        <v>82</v>
      </c>
      <c r="BL3451" s="2"/>
      <c r="BM3451" s="2">
        <v>241</v>
      </c>
      <c r="BN3451" s="2" t="s">
        <v>82</v>
      </c>
      <c r="BO3451" s="2"/>
      <c r="BP3451" s="2">
        <v>241</v>
      </c>
      <c r="BQ3451" s="2" t="s">
        <v>82</v>
      </c>
      <c r="BR3451" s="2"/>
      <c r="BS3451" s="3">
        <v>40411</v>
      </c>
      <c r="BT3451" s="4">
        <v>0.86583333333333334</v>
      </c>
    </row>
    <row r="3452" spans="1:72" x14ac:dyDescent="0.25">
      <c r="A3452" s="2">
        <v>5076</v>
      </c>
      <c r="B3452" s="2">
        <v>2010</v>
      </c>
      <c r="C3452" s="2" t="s">
        <v>377</v>
      </c>
      <c r="D3452" s="2" t="s">
        <v>73</v>
      </c>
      <c r="E3452" s="2"/>
      <c r="F3452" s="2">
        <v>426</v>
      </c>
      <c r="G3452" s="2" t="s">
        <v>378</v>
      </c>
      <c r="H3452" s="2">
        <v>22</v>
      </c>
      <c r="I3452" s="2" t="s">
        <v>75</v>
      </c>
      <c r="J3452" s="2">
        <v>311</v>
      </c>
      <c r="K3452" s="2" t="s">
        <v>379</v>
      </c>
      <c r="L3452" s="2" t="s">
        <v>380</v>
      </c>
      <c r="M3452" s="3">
        <v>40411</v>
      </c>
      <c r="N3452" s="2" t="s">
        <v>5164</v>
      </c>
      <c r="O3452" s="2"/>
      <c r="P3452" s="2"/>
      <c r="Q3452" s="2" t="str">
        <f>"222-C/10"</f>
        <v>222-C/10</v>
      </c>
      <c r="R3452" s="2" t="s">
        <v>11094</v>
      </c>
      <c r="S3452" s="2"/>
      <c r="T3452" s="2">
        <v>1</v>
      </c>
      <c r="U3452" s="2" t="s">
        <v>79</v>
      </c>
      <c r="V3452" s="2">
        <v>1</v>
      </c>
      <c r="W3452" s="2" t="s">
        <v>80</v>
      </c>
      <c r="X3452" s="2">
        <v>1</v>
      </c>
      <c r="Y3452" s="2" t="s">
        <v>81</v>
      </c>
      <c r="Z3452" s="2">
        <v>1</v>
      </c>
      <c r="AA3452" s="2" t="s">
        <v>82</v>
      </c>
      <c r="AB3452" s="2">
        <v>9</v>
      </c>
      <c r="AC3452" s="2" t="s">
        <v>124</v>
      </c>
      <c r="AD3452" s="3">
        <v>40411</v>
      </c>
      <c r="AE3452" s="4">
        <v>0.65277777777777779</v>
      </c>
      <c r="AF3452" s="2"/>
      <c r="AG3452" s="2"/>
      <c r="AH3452" s="2">
        <v>2</v>
      </c>
      <c r="AI3452" s="2" t="s">
        <v>84</v>
      </c>
      <c r="AJ3452" s="2">
        <v>9</v>
      </c>
      <c r="AK3452" s="2" t="s">
        <v>103</v>
      </c>
      <c r="AL3452" s="2">
        <v>12</v>
      </c>
      <c r="AM3452" s="2" t="s">
        <v>86</v>
      </c>
      <c r="AN3452" s="2"/>
      <c r="AO3452" s="2" t="s">
        <v>4116</v>
      </c>
      <c r="AP3452" s="2">
        <v>11</v>
      </c>
      <c r="AQ3452" s="2" t="s">
        <v>82</v>
      </c>
      <c r="AR3452" s="2"/>
      <c r="AS3452" s="2"/>
      <c r="AT3452" s="2" t="s">
        <v>11095</v>
      </c>
      <c r="AU3452" s="2"/>
      <c r="AV3452" s="2"/>
      <c r="AW3452" s="2"/>
      <c r="AX3452" s="2"/>
      <c r="AY3452" s="2">
        <v>41</v>
      </c>
      <c r="AZ3452" s="2" t="s">
        <v>82</v>
      </c>
      <c r="BA3452" s="2">
        <v>41</v>
      </c>
      <c r="BB3452" s="2" t="s">
        <v>82</v>
      </c>
      <c r="BC3452" s="2">
        <v>41</v>
      </c>
      <c r="BD3452" s="2" t="s">
        <v>82</v>
      </c>
      <c r="BE3452" s="2">
        <v>41</v>
      </c>
      <c r="BF3452" s="2" t="s">
        <v>82</v>
      </c>
      <c r="BG3452" s="2"/>
      <c r="BH3452" s="2"/>
      <c r="BI3452" s="2"/>
      <c r="BJ3452" s="2">
        <v>241</v>
      </c>
      <c r="BK3452" s="2" t="s">
        <v>82</v>
      </c>
      <c r="BL3452" s="2"/>
      <c r="BM3452" s="2">
        <v>241</v>
      </c>
      <c r="BN3452" s="2" t="s">
        <v>82</v>
      </c>
      <c r="BO3452" s="2"/>
      <c r="BP3452" s="2">
        <v>241</v>
      </c>
      <c r="BQ3452" s="2" t="s">
        <v>82</v>
      </c>
      <c r="BR3452" s="2"/>
      <c r="BS3452" s="3">
        <v>40411</v>
      </c>
      <c r="BT3452" s="4">
        <v>0.89310185185185187</v>
      </c>
    </row>
    <row r="3453" spans="1:72" x14ac:dyDescent="0.25">
      <c r="A3453" s="2">
        <v>5077</v>
      </c>
      <c r="B3453" s="2">
        <v>2010</v>
      </c>
      <c r="C3453" s="2" t="s">
        <v>72</v>
      </c>
      <c r="D3453" s="2" t="s">
        <v>73</v>
      </c>
      <c r="E3453" s="2"/>
      <c r="F3453" s="2">
        <v>389</v>
      </c>
      <c r="G3453" s="2" t="s">
        <v>1819</v>
      </c>
      <c r="H3453" s="2">
        <v>4</v>
      </c>
      <c r="I3453" s="2" t="s">
        <v>173</v>
      </c>
      <c r="J3453" s="2">
        <v>399</v>
      </c>
      <c r="K3453" s="2" t="s">
        <v>1820</v>
      </c>
      <c r="L3453" s="2" t="s">
        <v>1821</v>
      </c>
      <c r="M3453" s="3">
        <v>40412</v>
      </c>
      <c r="N3453" s="2" t="s">
        <v>2549</v>
      </c>
      <c r="O3453" s="2" t="s">
        <v>107</v>
      </c>
      <c r="P3453" s="2" t="s">
        <v>107</v>
      </c>
      <c r="Q3453" s="2" t="str">
        <f>"428-E/10"</f>
        <v>428-E/10</v>
      </c>
      <c r="R3453" s="2" t="s">
        <v>9920</v>
      </c>
      <c r="S3453" s="2" t="s">
        <v>9920</v>
      </c>
      <c r="T3453" s="2">
        <v>1</v>
      </c>
      <c r="U3453" s="2" t="s">
        <v>79</v>
      </c>
      <c r="V3453" s="2">
        <v>1</v>
      </c>
      <c r="W3453" s="2" t="s">
        <v>80</v>
      </c>
      <c r="X3453" s="2">
        <v>12</v>
      </c>
      <c r="Y3453" s="2" t="s">
        <v>148</v>
      </c>
      <c r="Z3453" s="2">
        <v>1</v>
      </c>
      <c r="AA3453" s="2" t="s">
        <v>82</v>
      </c>
      <c r="AB3453" s="2">
        <v>6</v>
      </c>
      <c r="AC3453" s="2" t="s">
        <v>83</v>
      </c>
      <c r="AD3453" s="3">
        <v>40412</v>
      </c>
      <c r="AE3453" s="2"/>
      <c r="AF3453" s="3">
        <v>40412</v>
      </c>
      <c r="AG3453" s="4">
        <v>0.10069444444444443</v>
      </c>
      <c r="AH3453" s="2">
        <v>2</v>
      </c>
      <c r="AI3453" s="2" t="s">
        <v>84</v>
      </c>
      <c r="AJ3453" s="2">
        <v>9</v>
      </c>
      <c r="AK3453" s="2" t="s">
        <v>103</v>
      </c>
      <c r="AL3453" s="2">
        <v>2</v>
      </c>
      <c r="AM3453" s="2" t="s">
        <v>163</v>
      </c>
      <c r="AN3453" s="2"/>
      <c r="AO3453" s="2" t="s">
        <v>11096</v>
      </c>
      <c r="AP3453" s="2">
        <v>11</v>
      </c>
      <c r="AQ3453" s="2" t="s">
        <v>82</v>
      </c>
      <c r="AR3453" s="2"/>
      <c r="AS3453" s="2"/>
      <c r="AT3453" s="2" t="s">
        <v>11097</v>
      </c>
      <c r="AU3453" s="2"/>
      <c r="AV3453" s="2"/>
      <c r="AW3453" s="2"/>
      <c r="AX3453" s="2"/>
      <c r="AY3453" s="2">
        <v>41</v>
      </c>
      <c r="AZ3453" s="2" t="s">
        <v>82</v>
      </c>
      <c r="BA3453" s="2">
        <v>41</v>
      </c>
      <c r="BB3453" s="2" t="s">
        <v>82</v>
      </c>
      <c r="BC3453" s="2">
        <v>41</v>
      </c>
      <c r="BD3453" s="2" t="s">
        <v>82</v>
      </c>
      <c r="BE3453" s="2">
        <v>25</v>
      </c>
      <c r="BF3453" s="2" t="s">
        <v>358</v>
      </c>
      <c r="BG3453" s="2" t="s">
        <v>11098</v>
      </c>
      <c r="BH3453" s="4">
        <v>3.4722222222222224E-2</v>
      </c>
      <c r="BI3453" s="2"/>
      <c r="BJ3453" s="2">
        <v>62</v>
      </c>
      <c r="BK3453" s="2" t="s">
        <v>1683</v>
      </c>
      <c r="BL3453" s="2" t="s">
        <v>11099</v>
      </c>
      <c r="BM3453" s="2">
        <v>241</v>
      </c>
      <c r="BN3453" s="2" t="s">
        <v>82</v>
      </c>
      <c r="BO3453" s="2"/>
      <c r="BP3453" s="2">
        <v>13</v>
      </c>
      <c r="BQ3453" s="2" t="s">
        <v>91</v>
      </c>
      <c r="BR3453" s="2" t="s">
        <v>360</v>
      </c>
      <c r="BS3453" s="3">
        <v>40412</v>
      </c>
      <c r="BT3453" s="4">
        <v>0.36939814814814814</v>
      </c>
    </row>
    <row r="3454" spans="1:72" x14ac:dyDescent="0.25">
      <c r="A3454" s="2">
        <v>5078</v>
      </c>
      <c r="B3454" s="2">
        <v>2010</v>
      </c>
      <c r="C3454" s="2" t="s">
        <v>72</v>
      </c>
      <c r="D3454" s="2" t="s">
        <v>73</v>
      </c>
      <c r="E3454" s="2"/>
      <c r="F3454" s="2">
        <v>662</v>
      </c>
      <c r="G3454" s="2" t="s">
        <v>10249</v>
      </c>
      <c r="H3454" s="2">
        <v>42</v>
      </c>
      <c r="I3454" s="2" t="s">
        <v>1096</v>
      </c>
      <c r="J3454" s="2">
        <v>633</v>
      </c>
      <c r="K3454" s="2" t="s">
        <v>10250</v>
      </c>
      <c r="L3454" s="2" t="s">
        <v>10251</v>
      </c>
      <c r="M3454" s="3">
        <v>40412</v>
      </c>
      <c r="N3454" s="2" t="s">
        <v>10454</v>
      </c>
      <c r="O3454" s="2" t="s">
        <v>82</v>
      </c>
      <c r="P3454" s="2" t="s">
        <v>82</v>
      </c>
      <c r="Q3454" s="2" t="str">
        <f>"330-A/10"</f>
        <v>330-A/10</v>
      </c>
      <c r="R3454" s="2" t="s">
        <v>78</v>
      </c>
      <c r="S3454" s="2" t="s">
        <v>78</v>
      </c>
      <c r="T3454" s="2">
        <v>1</v>
      </c>
      <c r="U3454" s="2" t="s">
        <v>79</v>
      </c>
      <c r="V3454" s="2">
        <v>1</v>
      </c>
      <c r="W3454" s="2" t="s">
        <v>80</v>
      </c>
      <c r="X3454" s="2">
        <v>12</v>
      </c>
      <c r="Y3454" s="2" t="s">
        <v>148</v>
      </c>
      <c r="Z3454" s="2">
        <v>1</v>
      </c>
      <c r="AA3454" s="2" t="s">
        <v>82</v>
      </c>
      <c r="AB3454" s="2">
        <v>6</v>
      </c>
      <c r="AC3454" s="2" t="s">
        <v>83</v>
      </c>
      <c r="AD3454" s="3">
        <v>40395</v>
      </c>
      <c r="AE3454" s="2"/>
      <c r="AF3454" s="3">
        <v>40412</v>
      </c>
      <c r="AG3454" s="4">
        <v>0.3840277777777778</v>
      </c>
      <c r="AH3454" s="2">
        <v>2</v>
      </c>
      <c r="AI3454" s="2" t="s">
        <v>84</v>
      </c>
      <c r="AJ3454" s="2">
        <v>12</v>
      </c>
      <c r="AK3454" s="2" t="s">
        <v>85</v>
      </c>
      <c r="AL3454" s="2">
        <v>29</v>
      </c>
      <c r="AM3454" s="2" t="s">
        <v>5416</v>
      </c>
      <c r="AN3454" s="2" t="s">
        <v>560</v>
      </c>
      <c r="AO3454" s="2" t="s">
        <v>561</v>
      </c>
      <c r="AP3454" s="2">
        <v>11</v>
      </c>
      <c r="AQ3454" s="2" t="s">
        <v>82</v>
      </c>
      <c r="AR3454" s="2" t="s">
        <v>82</v>
      </c>
      <c r="AS3454" s="2" t="s">
        <v>82</v>
      </c>
      <c r="AT3454" s="2" t="s">
        <v>11100</v>
      </c>
      <c r="AU3454" s="2"/>
      <c r="AV3454" s="2"/>
      <c r="AW3454" s="2"/>
      <c r="AX3454" s="2"/>
      <c r="AY3454" s="2">
        <v>41</v>
      </c>
      <c r="AZ3454" s="2" t="s">
        <v>82</v>
      </c>
      <c r="BA3454" s="2">
        <v>41</v>
      </c>
      <c r="BB3454" s="2" t="s">
        <v>82</v>
      </c>
      <c r="BC3454" s="2">
        <v>41</v>
      </c>
      <c r="BD3454" s="2" t="s">
        <v>82</v>
      </c>
      <c r="BE3454" s="2">
        <v>41</v>
      </c>
      <c r="BF3454" s="2" t="s">
        <v>82</v>
      </c>
      <c r="BG3454" s="2" t="s">
        <v>82</v>
      </c>
      <c r="BH3454" s="2"/>
      <c r="BI3454" s="2"/>
      <c r="BJ3454" s="2">
        <v>241</v>
      </c>
      <c r="BK3454" s="2" t="s">
        <v>82</v>
      </c>
      <c r="BL3454" s="2" t="s">
        <v>82</v>
      </c>
      <c r="BM3454" s="2">
        <v>241</v>
      </c>
      <c r="BN3454" s="2" t="s">
        <v>82</v>
      </c>
      <c r="BO3454" s="2" t="s">
        <v>82</v>
      </c>
      <c r="BP3454" s="2">
        <v>241</v>
      </c>
      <c r="BQ3454" s="2" t="s">
        <v>82</v>
      </c>
      <c r="BR3454" s="2" t="s">
        <v>82</v>
      </c>
      <c r="BS3454" s="3">
        <v>40412</v>
      </c>
      <c r="BT3454" s="4">
        <v>0.49413194444444447</v>
      </c>
    </row>
    <row r="3455" spans="1:72" x14ac:dyDescent="0.25">
      <c r="A3455" s="2">
        <v>5081</v>
      </c>
      <c r="B3455" s="2">
        <v>2010</v>
      </c>
      <c r="C3455" s="2" t="s">
        <v>1568</v>
      </c>
      <c r="D3455" s="2" t="s">
        <v>73</v>
      </c>
      <c r="E3455" s="2"/>
      <c r="F3455" s="2">
        <v>318</v>
      </c>
      <c r="G3455" s="2" t="s">
        <v>1018</v>
      </c>
      <c r="H3455" s="2">
        <v>42</v>
      </c>
      <c r="I3455" s="2" t="s">
        <v>1096</v>
      </c>
      <c r="J3455" s="2">
        <v>367</v>
      </c>
      <c r="K3455" s="2" t="s">
        <v>1019</v>
      </c>
      <c r="L3455" s="2" t="s">
        <v>1020</v>
      </c>
      <c r="M3455" s="3">
        <v>40412</v>
      </c>
      <c r="N3455" s="2" t="s">
        <v>10689</v>
      </c>
      <c r="O3455" s="2" t="s">
        <v>107</v>
      </c>
      <c r="P3455" s="2" t="s">
        <v>107</v>
      </c>
      <c r="Q3455" s="2" t="str">
        <f>"0010/10"</f>
        <v>0010/10</v>
      </c>
      <c r="R3455" s="2" t="s">
        <v>11101</v>
      </c>
      <c r="S3455" s="2" t="s">
        <v>107</v>
      </c>
      <c r="T3455" s="2">
        <v>1</v>
      </c>
      <c r="U3455" s="2" t="s">
        <v>79</v>
      </c>
      <c r="V3455" s="2">
        <v>1</v>
      </c>
      <c r="W3455" s="2" t="s">
        <v>80</v>
      </c>
      <c r="X3455" s="2">
        <v>1</v>
      </c>
      <c r="Y3455" s="2" t="s">
        <v>81</v>
      </c>
      <c r="Z3455" s="2">
        <v>1</v>
      </c>
      <c r="AA3455" s="2" t="s">
        <v>82</v>
      </c>
      <c r="AB3455" s="2">
        <v>4</v>
      </c>
      <c r="AC3455" s="2" t="s">
        <v>1569</v>
      </c>
      <c r="AD3455" s="3">
        <v>40412</v>
      </c>
      <c r="AE3455" s="4">
        <v>0.54166666666666663</v>
      </c>
      <c r="AF3455" s="2"/>
      <c r="AG3455" s="2"/>
      <c r="AH3455" s="2">
        <v>5</v>
      </c>
      <c r="AI3455" s="2" t="s">
        <v>274</v>
      </c>
      <c r="AJ3455" s="2">
        <v>44</v>
      </c>
      <c r="AK3455" s="2" t="s">
        <v>667</v>
      </c>
      <c r="AL3455" s="2">
        <v>22</v>
      </c>
      <c r="AM3455" s="2" t="s">
        <v>1853</v>
      </c>
      <c r="AN3455" s="2"/>
      <c r="AO3455" s="2" t="s">
        <v>11102</v>
      </c>
      <c r="AP3455" s="2">
        <v>11</v>
      </c>
      <c r="AQ3455" s="2" t="s">
        <v>82</v>
      </c>
      <c r="AR3455" s="2"/>
      <c r="AS3455" s="2"/>
      <c r="AT3455" s="2" t="s">
        <v>11103</v>
      </c>
      <c r="AU3455" s="2"/>
      <c r="AV3455" s="2"/>
      <c r="AW3455" s="2"/>
      <c r="AX3455" s="2"/>
      <c r="AY3455" s="2">
        <v>41</v>
      </c>
      <c r="AZ3455" s="2" t="s">
        <v>82</v>
      </c>
      <c r="BA3455" s="2">
        <v>1</v>
      </c>
      <c r="BB3455" s="2" t="s">
        <v>107</v>
      </c>
      <c r="BC3455" s="2">
        <v>41</v>
      </c>
      <c r="BD3455" s="2" t="s">
        <v>82</v>
      </c>
      <c r="BE3455" s="2">
        <v>13</v>
      </c>
      <c r="BF3455" s="2" t="s">
        <v>108</v>
      </c>
      <c r="BG3455" s="2">
        <v>1779</v>
      </c>
      <c r="BH3455" s="2"/>
      <c r="BI3455" s="4">
        <v>0.64166666666666672</v>
      </c>
      <c r="BJ3455" s="2">
        <v>13</v>
      </c>
      <c r="BK3455" s="2" t="s">
        <v>91</v>
      </c>
      <c r="BL3455" s="2" t="s">
        <v>1026</v>
      </c>
      <c r="BM3455" s="2">
        <v>241</v>
      </c>
      <c r="BN3455" s="2" t="s">
        <v>82</v>
      </c>
      <c r="BO3455" s="2"/>
      <c r="BP3455" s="2">
        <v>13</v>
      </c>
      <c r="BQ3455" s="2" t="s">
        <v>91</v>
      </c>
      <c r="BR3455" s="2" t="s">
        <v>185</v>
      </c>
      <c r="BS3455" s="3">
        <v>40412</v>
      </c>
      <c r="BT3455" s="4">
        <v>0.78086805555555561</v>
      </c>
    </row>
    <row r="3456" spans="1:72" x14ac:dyDescent="0.25">
      <c r="A3456" s="2">
        <v>5082</v>
      </c>
      <c r="B3456" s="2">
        <v>2010</v>
      </c>
      <c r="C3456" s="2" t="s">
        <v>72</v>
      </c>
      <c r="D3456" s="2" t="s">
        <v>73</v>
      </c>
      <c r="E3456" s="2"/>
      <c r="F3456" s="2">
        <v>117</v>
      </c>
      <c r="G3456" s="2" t="s">
        <v>3284</v>
      </c>
      <c r="H3456" s="2">
        <v>99</v>
      </c>
      <c r="I3456" s="2" t="s">
        <v>6285</v>
      </c>
      <c r="J3456" s="2">
        <v>134</v>
      </c>
      <c r="K3456" s="2" t="s">
        <v>3285</v>
      </c>
      <c r="L3456" s="2" t="s">
        <v>3286</v>
      </c>
      <c r="M3456" s="3">
        <v>40412</v>
      </c>
      <c r="N3456" s="2" t="s">
        <v>10382</v>
      </c>
      <c r="O3456" s="2" t="s">
        <v>107</v>
      </c>
      <c r="P3456" s="2"/>
      <c r="Q3456" s="2" t="str">
        <f>"0005/10"</f>
        <v>0005/10</v>
      </c>
      <c r="R3456" s="2" t="s">
        <v>107</v>
      </c>
      <c r="S3456" s="2" t="s">
        <v>11104</v>
      </c>
      <c r="T3456" s="2">
        <v>1</v>
      </c>
      <c r="U3456" s="2" t="s">
        <v>79</v>
      </c>
      <c r="V3456" s="2">
        <v>1</v>
      </c>
      <c r="W3456" s="2" t="s">
        <v>80</v>
      </c>
      <c r="X3456" s="2">
        <v>12</v>
      </c>
      <c r="Y3456" s="2" t="s">
        <v>148</v>
      </c>
      <c r="Z3456" s="2">
        <v>1</v>
      </c>
      <c r="AA3456" s="2" t="s">
        <v>82</v>
      </c>
      <c r="AB3456" s="2">
        <v>6</v>
      </c>
      <c r="AC3456" s="2" t="s">
        <v>83</v>
      </c>
      <c r="AD3456" s="3">
        <v>40412</v>
      </c>
      <c r="AE3456" s="4">
        <v>0.60416666666666663</v>
      </c>
      <c r="AF3456" s="3">
        <v>40412</v>
      </c>
      <c r="AG3456" s="4">
        <v>0.84027777777777779</v>
      </c>
      <c r="AH3456" s="2">
        <v>6</v>
      </c>
      <c r="AI3456" s="2" t="s">
        <v>197</v>
      </c>
      <c r="AJ3456" s="2">
        <v>59</v>
      </c>
      <c r="AK3456" s="2" t="s">
        <v>198</v>
      </c>
      <c r="AL3456" s="2">
        <v>22</v>
      </c>
      <c r="AM3456" s="2" t="s">
        <v>1853</v>
      </c>
      <c r="AN3456" s="2" t="s">
        <v>11105</v>
      </c>
      <c r="AO3456" s="2" t="s">
        <v>11106</v>
      </c>
      <c r="AP3456" s="2">
        <v>11</v>
      </c>
      <c r="AQ3456" s="2" t="s">
        <v>82</v>
      </c>
      <c r="AR3456" s="2" t="s">
        <v>82</v>
      </c>
      <c r="AS3456" s="2" t="s">
        <v>82</v>
      </c>
      <c r="AT3456" s="2" t="s">
        <v>11107</v>
      </c>
      <c r="AU3456" s="2"/>
      <c r="AV3456" s="2"/>
      <c r="AW3456" s="2"/>
      <c r="AX3456" s="2"/>
      <c r="AY3456" s="2">
        <v>1</v>
      </c>
      <c r="AZ3456" s="2" t="s">
        <v>107</v>
      </c>
      <c r="BA3456" s="2">
        <v>1</v>
      </c>
      <c r="BB3456" s="2" t="s">
        <v>107</v>
      </c>
      <c r="BC3456" s="2">
        <v>13</v>
      </c>
      <c r="BD3456" s="2" t="s">
        <v>108</v>
      </c>
      <c r="BE3456" s="2">
        <v>13</v>
      </c>
      <c r="BF3456" s="2" t="s">
        <v>108</v>
      </c>
      <c r="BG3456" s="2">
        <v>1694</v>
      </c>
      <c r="BH3456" s="4">
        <v>0.81944444444444453</v>
      </c>
      <c r="BI3456" s="4">
        <v>0.69444444444444453</v>
      </c>
      <c r="BJ3456" s="2">
        <v>13</v>
      </c>
      <c r="BK3456" s="2" t="s">
        <v>91</v>
      </c>
      <c r="BL3456" s="2" t="s">
        <v>524</v>
      </c>
      <c r="BM3456" s="2">
        <v>242</v>
      </c>
      <c r="BN3456" s="2" t="s">
        <v>107</v>
      </c>
      <c r="BO3456" s="2" t="s">
        <v>82</v>
      </c>
      <c r="BP3456" s="2">
        <v>13</v>
      </c>
      <c r="BQ3456" s="2" t="s">
        <v>91</v>
      </c>
      <c r="BR3456" s="2" t="s">
        <v>204</v>
      </c>
      <c r="BS3456" s="3">
        <v>40412</v>
      </c>
      <c r="BT3456" s="4">
        <v>0.9170949074074074</v>
      </c>
    </row>
    <row r="3457" spans="1:72" x14ac:dyDescent="0.25">
      <c r="A3457" s="2">
        <v>5083</v>
      </c>
      <c r="B3457" s="2">
        <v>2010</v>
      </c>
      <c r="C3457" s="2" t="s">
        <v>93</v>
      </c>
      <c r="D3457" s="2" t="s">
        <v>73</v>
      </c>
      <c r="E3457" s="2"/>
      <c r="F3457" s="2">
        <v>156</v>
      </c>
      <c r="G3457" s="2" t="s">
        <v>1875</v>
      </c>
      <c r="H3457" s="2">
        <v>13</v>
      </c>
      <c r="I3457" s="2" t="s">
        <v>2229</v>
      </c>
      <c r="J3457" s="2">
        <v>401</v>
      </c>
      <c r="K3457" s="2" t="s">
        <v>10805</v>
      </c>
      <c r="L3457" s="2" t="s">
        <v>10806</v>
      </c>
      <c r="M3457" s="3">
        <v>40412</v>
      </c>
      <c r="N3457" s="2" t="s">
        <v>11108</v>
      </c>
      <c r="O3457" s="2" t="s">
        <v>11109</v>
      </c>
      <c r="P3457" s="2" t="s">
        <v>107</v>
      </c>
      <c r="Q3457" s="2" t="str">
        <f>""</f>
        <v/>
      </c>
      <c r="R3457" s="2" t="s">
        <v>100</v>
      </c>
      <c r="S3457" s="2" t="s">
        <v>100</v>
      </c>
      <c r="T3457" s="2">
        <v>1</v>
      </c>
      <c r="U3457" s="2" t="s">
        <v>79</v>
      </c>
      <c r="V3457" s="2">
        <v>1</v>
      </c>
      <c r="W3457" s="2" t="s">
        <v>80</v>
      </c>
      <c r="X3457" s="2">
        <v>10</v>
      </c>
      <c r="Y3457" s="2" t="s">
        <v>226</v>
      </c>
      <c r="Z3457" s="2">
        <v>6</v>
      </c>
      <c r="AA3457" s="2" t="s">
        <v>101</v>
      </c>
      <c r="AB3457" s="2">
        <v>2</v>
      </c>
      <c r="AC3457" s="2" t="s">
        <v>102</v>
      </c>
      <c r="AD3457" s="3">
        <v>40412</v>
      </c>
      <c r="AE3457" s="4">
        <v>0.69444444444444453</v>
      </c>
      <c r="AF3457" s="2"/>
      <c r="AG3457" s="2"/>
      <c r="AH3457" s="2">
        <v>2</v>
      </c>
      <c r="AI3457" s="2" t="s">
        <v>84</v>
      </c>
      <c r="AJ3457" s="2">
        <v>9</v>
      </c>
      <c r="AK3457" s="2" t="s">
        <v>103</v>
      </c>
      <c r="AL3457" s="2">
        <v>14</v>
      </c>
      <c r="AM3457" s="2" t="s">
        <v>216</v>
      </c>
      <c r="AN3457" s="2"/>
      <c r="AO3457" s="2" t="s">
        <v>11110</v>
      </c>
      <c r="AP3457" s="2">
        <v>11</v>
      </c>
      <c r="AQ3457" s="2" t="s">
        <v>82</v>
      </c>
      <c r="AR3457" s="2"/>
      <c r="AS3457" s="2"/>
      <c r="AT3457" s="2" t="s">
        <v>11111</v>
      </c>
      <c r="AU3457" s="2">
        <v>1</v>
      </c>
      <c r="AV3457" s="2"/>
      <c r="AW3457" s="2"/>
      <c r="AX3457" s="2"/>
      <c r="AY3457" s="2">
        <v>41</v>
      </c>
      <c r="AZ3457" s="2" t="s">
        <v>82</v>
      </c>
      <c r="BA3457" s="2">
        <v>41</v>
      </c>
      <c r="BB3457" s="2" t="s">
        <v>82</v>
      </c>
      <c r="BC3457" s="2">
        <v>41</v>
      </c>
      <c r="BD3457" s="2" t="s">
        <v>82</v>
      </c>
      <c r="BE3457" s="2">
        <v>33</v>
      </c>
      <c r="BF3457" s="2" t="s">
        <v>1083</v>
      </c>
      <c r="BG3457" s="2" t="s">
        <v>11112</v>
      </c>
      <c r="BH3457" s="2"/>
      <c r="BI3457" s="2"/>
      <c r="BJ3457" s="2">
        <v>13</v>
      </c>
      <c r="BK3457" s="2" t="s">
        <v>91</v>
      </c>
      <c r="BL3457" s="2" t="s">
        <v>360</v>
      </c>
      <c r="BM3457" s="2">
        <v>205</v>
      </c>
      <c r="BN3457" s="2" t="s">
        <v>1085</v>
      </c>
      <c r="BO3457" s="2" t="s">
        <v>1086</v>
      </c>
      <c r="BP3457" s="2">
        <v>47</v>
      </c>
      <c r="BQ3457" s="2" t="s">
        <v>4078</v>
      </c>
      <c r="BR3457" s="2" t="s">
        <v>11113</v>
      </c>
      <c r="BS3457" s="3">
        <v>40412</v>
      </c>
      <c r="BT3457" s="4">
        <v>0.93070601851851853</v>
      </c>
    </row>
    <row r="3458" spans="1:72" x14ac:dyDescent="0.25">
      <c r="A3458" s="2">
        <v>5085</v>
      </c>
      <c r="B3458" s="2">
        <v>2010</v>
      </c>
      <c r="C3458" s="2" t="s">
        <v>385</v>
      </c>
      <c r="D3458" s="2" t="s">
        <v>122</v>
      </c>
      <c r="E3458" s="2" t="s">
        <v>11114</v>
      </c>
      <c r="F3458" s="2">
        <v>156</v>
      </c>
      <c r="G3458" s="2" t="s">
        <v>1875</v>
      </c>
      <c r="H3458" s="2">
        <v>13</v>
      </c>
      <c r="I3458" s="2" t="s">
        <v>2229</v>
      </c>
      <c r="J3458" s="2">
        <v>401</v>
      </c>
      <c r="K3458" s="2" t="s">
        <v>10805</v>
      </c>
      <c r="L3458" s="2" t="s">
        <v>10806</v>
      </c>
      <c r="M3458" s="3">
        <v>40413</v>
      </c>
      <c r="N3458" s="2" t="s">
        <v>11108</v>
      </c>
      <c r="O3458" s="2" t="s">
        <v>11109</v>
      </c>
      <c r="P3458" s="2" t="s">
        <v>107</v>
      </c>
      <c r="Q3458" s="2" t="str">
        <f>""</f>
        <v/>
      </c>
      <c r="R3458" s="2" t="s">
        <v>100</v>
      </c>
      <c r="S3458" s="2"/>
      <c r="T3458" s="2">
        <v>1</v>
      </c>
      <c r="U3458" s="2" t="s">
        <v>79</v>
      </c>
      <c r="V3458" s="2">
        <v>1</v>
      </c>
      <c r="W3458" s="2" t="s">
        <v>80</v>
      </c>
      <c r="X3458" s="2">
        <v>10</v>
      </c>
      <c r="Y3458" s="2" t="s">
        <v>226</v>
      </c>
      <c r="Z3458" s="2">
        <v>6</v>
      </c>
      <c r="AA3458" s="2" t="s">
        <v>101</v>
      </c>
      <c r="AB3458" s="2">
        <v>9</v>
      </c>
      <c r="AC3458" s="2" t="s">
        <v>124</v>
      </c>
      <c r="AD3458" s="3">
        <v>40412</v>
      </c>
      <c r="AE3458" s="4">
        <v>0.69444444444444453</v>
      </c>
      <c r="AF3458" s="2"/>
      <c r="AG3458" s="2"/>
      <c r="AH3458" s="2">
        <v>2</v>
      </c>
      <c r="AI3458" s="2" t="s">
        <v>84</v>
      </c>
      <c r="AJ3458" s="2">
        <v>9</v>
      </c>
      <c r="AK3458" s="2" t="s">
        <v>103</v>
      </c>
      <c r="AL3458" s="2">
        <v>14</v>
      </c>
      <c r="AM3458" s="2" t="s">
        <v>216</v>
      </c>
      <c r="AN3458" s="2"/>
      <c r="AO3458" s="2" t="s">
        <v>11110</v>
      </c>
      <c r="AP3458" s="2">
        <v>11</v>
      </c>
      <c r="AQ3458" s="2" t="s">
        <v>82</v>
      </c>
      <c r="AR3458" s="2"/>
      <c r="AS3458" s="2"/>
      <c r="AT3458" s="2" t="s">
        <v>11115</v>
      </c>
      <c r="AU3458" s="2">
        <v>2</v>
      </c>
      <c r="AV3458" s="2"/>
      <c r="AW3458" s="2"/>
      <c r="AX3458" s="2"/>
      <c r="AY3458" s="2">
        <v>41</v>
      </c>
      <c r="AZ3458" s="2" t="s">
        <v>82</v>
      </c>
      <c r="BA3458" s="2">
        <v>41</v>
      </c>
      <c r="BB3458" s="2" t="s">
        <v>82</v>
      </c>
      <c r="BC3458" s="2">
        <v>41</v>
      </c>
      <c r="BD3458" s="2" t="s">
        <v>82</v>
      </c>
      <c r="BE3458" s="2">
        <v>33</v>
      </c>
      <c r="BF3458" s="2" t="s">
        <v>1083</v>
      </c>
      <c r="BG3458" s="2" t="s">
        <v>11112</v>
      </c>
      <c r="BH3458" s="2"/>
      <c r="BI3458" s="4">
        <v>0.73958333333333337</v>
      </c>
      <c r="BJ3458" s="2">
        <v>13</v>
      </c>
      <c r="BK3458" s="2" t="s">
        <v>91</v>
      </c>
      <c r="BL3458" s="2" t="s">
        <v>11116</v>
      </c>
      <c r="BM3458" s="2">
        <v>205</v>
      </c>
      <c r="BN3458" s="2" t="s">
        <v>1085</v>
      </c>
      <c r="BO3458" s="2" t="s">
        <v>1086</v>
      </c>
      <c r="BP3458" s="2">
        <v>47</v>
      </c>
      <c r="BQ3458" s="2" t="s">
        <v>4078</v>
      </c>
      <c r="BR3458" s="2" t="s">
        <v>11113</v>
      </c>
      <c r="BS3458" s="3">
        <v>40413</v>
      </c>
      <c r="BT3458" s="4">
        <v>0.39530092592592592</v>
      </c>
    </row>
    <row r="3459" spans="1:72" x14ac:dyDescent="0.25">
      <c r="A3459" s="2">
        <v>5088</v>
      </c>
      <c r="B3459" s="2">
        <v>2010</v>
      </c>
      <c r="C3459" s="2" t="s">
        <v>147</v>
      </c>
      <c r="D3459" s="2" t="s">
        <v>73</v>
      </c>
      <c r="E3459" s="2"/>
      <c r="F3459" s="2">
        <v>1</v>
      </c>
      <c r="G3459" s="2" t="s">
        <v>82</v>
      </c>
      <c r="H3459" s="2">
        <v>1</v>
      </c>
      <c r="I3459" s="2" t="s">
        <v>82</v>
      </c>
      <c r="J3459" s="2">
        <v>1</v>
      </c>
      <c r="K3459" s="2" t="s">
        <v>107</v>
      </c>
      <c r="L3459" s="2" t="s">
        <v>107</v>
      </c>
      <c r="M3459" s="3">
        <v>40413</v>
      </c>
      <c r="N3459" s="2"/>
      <c r="O3459" s="2"/>
      <c r="P3459" s="2"/>
      <c r="Q3459" s="2" t="str">
        <f>""</f>
        <v/>
      </c>
      <c r="R3459" s="2"/>
      <c r="S3459" s="2"/>
      <c r="T3459" s="2">
        <v>2</v>
      </c>
      <c r="U3459" s="2" t="s">
        <v>123</v>
      </c>
      <c r="V3459" s="2">
        <v>1</v>
      </c>
      <c r="W3459" s="2" t="s">
        <v>80</v>
      </c>
      <c r="X3459" s="2">
        <v>12</v>
      </c>
      <c r="Y3459" s="2" t="s">
        <v>148</v>
      </c>
      <c r="Z3459" s="2">
        <v>1</v>
      </c>
      <c r="AA3459" s="2" t="s">
        <v>82</v>
      </c>
      <c r="AB3459" s="2">
        <v>9</v>
      </c>
      <c r="AC3459" s="2" t="s">
        <v>124</v>
      </c>
      <c r="AD3459" s="2"/>
      <c r="AE3459" s="2"/>
      <c r="AF3459" s="3">
        <v>40413</v>
      </c>
      <c r="AG3459" s="4">
        <v>0.40625</v>
      </c>
      <c r="AH3459" s="2">
        <v>2</v>
      </c>
      <c r="AI3459" s="2" t="s">
        <v>84</v>
      </c>
      <c r="AJ3459" s="2">
        <v>11</v>
      </c>
      <c r="AK3459" s="2" t="s">
        <v>751</v>
      </c>
      <c r="AL3459" s="2">
        <v>19</v>
      </c>
      <c r="AM3459" s="2" t="s">
        <v>107</v>
      </c>
      <c r="AN3459" s="2"/>
      <c r="AO3459" s="2" t="s">
        <v>11117</v>
      </c>
      <c r="AP3459" s="2">
        <v>11</v>
      </c>
      <c r="AQ3459" s="2" t="s">
        <v>82</v>
      </c>
      <c r="AR3459" s="2"/>
      <c r="AS3459" s="2"/>
      <c r="AT3459" s="2" t="s">
        <v>11118</v>
      </c>
      <c r="AU3459" s="2"/>
      <c r="AV3459" s="2"/>
      <c r="AW3459" s="2"/>
      <c r="AX3459" s="2"/>
      <c r="AY3459" s="2">
        <v>41</v>
      </c>
      <c r="AZ3459" s="2" t="s">
        <v>82</v>
      </c>
      <c r="BA3459" s="2">
        <v>41</v>
      </c>
      <c r="BB3459" s="2" t="s">
        <v>82</v>
      </c>
      <c r="BC3459" s="2">
        <v>41</v>
      </c>
      <c r="BD3459" s="2" t="s">
        <v>82</v>
      </c>
      <c r="BE3459" s="2">
        <v>41</v>
      </c>
      <c r="BF3459" s="2" t="s">
        <v>82</v>
      </c>
      <c r="BG3459" s="2"/>
      <c r="BH3459" s="2"/>
      <c r="BI3459" s="2"/>
      <c r="BJ3459" s="2">
        <v>241</v>
      </c>
      <c r="BK3459" s="2" t="s">
        <v>82</v>
      </c>
      <c r="BL3459" s="2"/>
      <c r="BM3459" s="2">
        <v>241</v>
      </c>
      <c r="BN3459" s="2" t="s">
        <v>82</v>
      </c>
      <c r="BO3459" s="2"/>
      <c r="BP3459" s="2">
        <v>241</v>
      </c>
      <c r="BQ3459" s="2" t="s">
        <v>82</v>
      </c>
      <c r="BR3459" s="2"/>
      <c r="BS3459" s="3">
        <v>40413</v>
      </c>
      <c r="BT3459" s="4">
        <v>0.49223379629629632</v>
      </c>
    </row>
    <row r="3460" spans="1:72" x14ac:dyDescent="0.25">
      <c r="A3460" s="2">
        <v>5090</v>
      </c>
      <c r="B3460" s="2">
        <v>2010</v>
      </c>
      <c r="C3460" s="2" t="s">
        <v>121</v>
      </c>
      <c r="D3460" s="2" t="s">
        <v>122</v>
      </c>
      <c r="E3460" s="2"/>
      <c r="F3460" s="2">
        <v>1</v>
      </c>
      <c r="G3460" s="2" t="s">
        <v>82</v>
      </c>
      <c r="H3460" s="2">
        <v>1</v>
      </c>
      <c r="I3460" s="2" t="s">
        <v>82</v>
      </c>
      <c r="J3460" s="2">
        <v>1</v>
      </c>
      <c r="K3460" s="2" t="s">
        <v>107</v>
      </c>
      <c r="L3460" s="2" t="s">
        <v>107</v>
      </c>
      <c r="M3460" s="3">
        <v>40413</v>
      </c>
      <c r="N3460" s="2"/>
      <c r="O3460" s="2"/>
      <c r="P3460" s="2"/>
      <c r="Q3460" s="2" t="str">
        <f>""</f>
        <v/>
      </c>
      <c r="R3460" s="2"/>
      <c r="S3460" s="2"/>
      <c r="T3460" s="2">
        <v>2</v>
      </c>
      <c r="U3460" s="2" t="s">
        <v>123</v>
      </c>
      <c r="V3460" s="2">
        <v>1</v>
      </c>
      <c r="W3460" s="2" t="s">
        <v>80</v>
      </c>
      <c r="X3460" s="2">
        <v>5</v>
      </c>
      <c r="Y3460" s="2" t="s">
        <v>82</v>
      </c>
      <c r="Z3460" s="2">
        <v>1</v>
      </c>
      <c r="AA3460" s="2" t="s">
        <v>82</v>
      </c>
      <c r="AB3460" s="2">
        <v>9</v>
      </c>
      <c r="AC3460" s="2" t="s">
        <v>124</v>
      </c>
      <c r="AD3460" s="2"/>
      <c r="AE3460" s="2"/>
      <c r="AF3460" s="2"/>
      <c r="AG3460" s="2"/>
      <c r="AH3460" s="2">
        <v>4</v>
      </c>
      <c r="AI3460" s="2" t="s">
        <v>125</v>
      </c>
      <c r="AJ3460" s="2">
        <v>28</v>
      </c>
      <c r="AK3460" s="2" t="s">
        <v>741</v>
      </c>
      <c r="AL3460" s="2">
        <v>18</v>
      </c>
      <c r="AM3460" s="2" t="s">
        <v>82</v>
      </c>
      <c r="AN3460" s="2"/>
      <c r="AO3460" s="2"/>
      <c r="AP3460" s="2">
        <v>11</v>
      </c>
      <c r="AQ3460" s="2" t="s">
        <v>82</v>
      </c>
      <c r="AR3460" s="2"/>
      <c r="AS3460" s="2"/>
      <c r="AT3460" s="2" t="s">
        <v>11119</v>
      </c>
      <c r="AU3460" s="2"/>
      <c r="AV3460" s="2"/>
      <c r="AW3460" s="2"/>
      <c r="AX3460" s="2"/>
      <c r="AY3460" s="2">
        <v>1</v>
      </c>
      <c r="AZ3460" s="2" t="s">
        <v>107</v>
      </c>
      <c r="BA3460" s="2">
        <v>1</v>
      </c>
      <c r="BB3460" s="2" t="s">
        <v>107</v>
      </c>
      <c r="BC3460" s="2">
        <v>1</v>
      </c>
      <c r="BD3460" s="2" t="s">
        <v>107</v>
      </c>
      <c r="BE3460" s="2">
        <v>1</v>
      </c>
      <c r="BF3460" s="2" t="s">
        <v>107</v>
      </c>
      <c r="BG3460" s="2"/>
      <c r="BH3460" s="4">
        <v>0.4236111111111111</v>
      </c>
      <c r="BI3460" s="2"/>
      <c r="BJ3460" s="2">
        <v>242</v>
      </c>
      <c r="BK3460" s="2" t="s">
        <v>107</v>
      </c>
      <c r="BL3460" s="2" t="s">
        <v>185</v>
      </c>
      <c r="BM3460" s="2">
        <v>242</v>
      </c>
      <c r="BN3460" s="2" t="s">
        <v>107</v>
      </c>
      <c r="BO3460" s="2" t="s">
        <v>5117</v>
      </c>
      <c r="BP3460" s="2">
        <v>242</v>
      </c>
      <c r="BQ3460" s="2" t="s">
        <v>107</v>
      </c>
      <c r="BR3460" s="2" t="s">
        <v>2865</v>
      </c>
      <c r="BS3460" s="3">
        <v>40413</v>
      </c>
      <c r="BT3460" s="4">
        <v>0.53153935185185186</v>
      </c>
    </row>
    <row r="3461" spans="1:72" x14ac:dyDescent="0.25">
      <c r="A3461" s="2">
        <v>5091</v>
      </c>
      <c r="B3461" s="2">
        <v>2010</v>
      </c>
      <c r="C3461" s="2" t="s">
        <v>72</v>
      </c>
      <c r="D3461" s="2" t="s">
        <v>73</v>
      </c>
      <c r="E3461" s="2"/>
      <c r="F3461" s="2">
        <v>3</v>
      </c>
      <c r="G3461" s="2" t="s">
        <v>1041</v>
      </c>
      <c r="H3461" s="2">
        <v>1</v>
      </c>
      <c r="I3461" s="2" t="s">
        <v>82</v>
      </c>
      <c r="J3461" s="2">
        <v>368</v>
      </c>
      <c r="K3461" s="2" t="s">
        <v>1042</v>
      </c>
      <c r="L3461" s="2" t="s">
        <v>1043</v>
      </c>
      <c r="M3461" s="3">
        <v>40413</v>
      </c>
      <c r="N3461" s="2" t="s">
        <v>82</v>
      </c>
      <c r="O3461" s="2" t="s">
        <v>82</v>
      </c>
      <c r="P3461" s="2" t="s">
        <v>82</v>
      </c>
      <c r="Q3461" s="2" t="str">
        <f>"429-E/10"</f>
        <v>429-E/10</v>
      </c>
      <c r="R3461" s="2" t="s">
        <v>116</v>
      </c>
      <c r="S3461" s="2" t="s">
        <v>116</v>
      </c>
      <c r="T3461" s="2">
        <v>1</v>
      </c>
      <c r="U3461" s="2" t="s">
        <v>79</v>
      </c>
      <c r="V3461" s="2">
        <v>1</v>
      </c>
      <c r="W3461" s="2" t="s">
        <v>80</v>
      </c>
      <c r="X3461" s="2">
        <v>12</v>
      </c>
      <c r="Y3461" s="2" t="s">
        <v>148</v>
      </c>
      <c r="Z3461" s="2">
        <v>1</v>
      </c>
      <c r="AA3461" s="2" t="s">
        <v>82</v>
      </c>
      <c r="AB3461" s="2">
        <v>6</v>
      </c>
      <c r="AC3461" s="2" t="s">
        <v>83</v>
      </c>
      <c r="AD3461" s="2"/>
      <c r="AE3461" s="2"/>
      <c r="AF3461" s="3">
        <v>40413</v>
      </c>
      <c r="AG3461" s="4">
        <v>0.40277777777777773</v>
      </c>
      <c r="AH3461" s="2">
        <v>2</v>
      </c>
      <c r="AI3461" s="2" t="s">
        <v>84</v>
      </c>
      <c r="AJ3461" s="2">
        <v>9</v>
      </c>
      <c r="AK3461" s="2" t="s">
        <v>103</v>
      </c>
      <c r="AL3461" s="2">
        <v>29</v>
      </c>
      <c r="AM3461" s="2" t="s">
        <v>5416</v>
      </c>
      <c r="AN3461" s="2" t="s">
        <v>11120</v>
      </c>
      <c r="AO3461" s="2" t="s">
        <v>11121</v>
      </c>
      <c r="AP3461" s="2">
        <v>11</v>
      </c>
      <c r="AQ3461" s="2" t="s">
        <v>82</v>
      </c>
      <c r="AR3461" s="2"/>
      <c r="AS3461" s="2"/>
      <c r="AT3461" s="2" t="s">
        <v>11122</v>
      </c>
      <c r="AU3461" s="2"/>
      <c r="AV3461" s="2"/>
      <c r="AW3461" s="2"/>
      <c r="AX3461" s="2"/>
      <c r="AY3461" s="2">
        <v>41</v>
      </c>
      <c r="AZ3461" s="2" t="s">
        <v>82</v>
      </c>
      <c r="BA3461" s="2">
        <v>41</v>
      </c>
      <c r="BB3461" s="2" t="s">
        <v>82</v>
      </c>
      <c r="BC3461" s="2">
        <v>41</v>
      </c>
      <c r="BD3461" s="2" t="s">
        <v>82</v>
      </c>
      <c r="BE3461" s="2">
        <v>41</v>
      </c>
      <c r="BF3461" s="2" t="s">
        <v>82</v>
      </c>
      <c r="BG3461" s="2"/>
      <c r="BH3461" s="2"/>
      <c r="BI3461" s="2"/>
      <c r="BJ3461" s="2">
        <v>241</v>
      </c>
      <c r="BK3461" s="2" t="s">
        <v>82</v>
      </c>
      <c r="BL3461" s="2"/>
      <c r="BM3461" s="2">
        <v>241</v>
      </c>
      <c r="BN3461" s="2" t="s">
        <v>82</v>
      </c>
      <c r="BO3461" s="2"/>
      <c r="BP3461" s="2">
        <v>241</v>
      </c>
      <c r="BQ3461" s="2" t="s">
        <v>82</v>
      </c>
      <c r="BR3461" s="2"/>
      <c r="BS3461" s="3">
        <v>40413</v>
      </c>
      <c r="BT3461" s="4">
        <v>0.56973379629629628</v>
      </c>
    </row>
    <row r="3462" spans="1:72" x14ac:dyDescent="0.25">
      <c r="A3462" s="2">
        <v>5092</v>
      </c>
      <c r="B3462" s="2">
        <v>2010</v>
      </c>
      <c r="C3462" s="2" t="s">
        <v>1559</v>
      </c>
      <c r="D3462" s="2" t="s">
        <v>122</v>
      </c>
      <c r="E3462" s="2"/>
      <c r="F3462" s="2">
        <v>283</v>
      </c>
      <c r="G3462" s="2" t="s">
        <v>11123</v>
      </c>
      <c r="H3462" s="2">
        <v>42</v>
      </c>
      <c r="I3462" s="2" t="s">
        <v>1096</v>
      </c>
      <c r="J3462" s="2">
        <v>337</v>
      </c>
      <c r="K3462" s="2" t="s">
        <v>11124</v>
      </c>
      <c r="L3462" s="2" t="s">
        <v>11125</v>
      </c>
      <c r="M3462" s="3">
        <v>40413</v>
      </c>
      <c r="N3462" s="2" t="s">
        <v>11126</v>
      </c>
      <c r="O3462" s="2" t="s">
        <v>107</v>
      </c>
      <c r="P3462" s="2" t="s">
        <v>107</v>
      </c>
      <c r="Q3462" s="2" t="str">
        <f>"0006/10 UOPOS"</f>
        <v>0006/10 UOPOS</v>
      </c>
      <c r="R3462" s="2" t="s">
        <v>11127</v>
      </c>
      <c r="S3462" s="2" t="s">
        <v>11127</v>
      </c>
      <c r="T3462" s="2">
        <v>1</v>
      </c>
      <c r="U3462" s="2" t="s">
        <v>79</v>
      </c>
      <c r="V3462" s="2">
        <v>3</v>
      </c>
      <c r="W3462" s="2" t="s">
        <v>225</v>
      </c>
      <c r="X3462" s="2">
        <v>12</v>
      </c>
      <c r="Y3462" s="2" t="s">
        <v>148</v>
      </c>
      <c r="Z3462" s="2">
        <v>1</v>
      </c>
      <c r="AA3462" s="2" t="s">
        <v>82</v>
      </c>
      <c r="AB3462" s="2">
        <v>9</v>
      </c>
      <c r="AC3462" s="2" t="s">
        <v>124</v>
      </c>
      <c r="AD3462" s="2"/>
      <c r="AE3462" s="2"/>
      <c r="AF3462" s="3">
        <v>40411</v>
      </c>
      <c r="AG3462" s="4">
        <v>0.15208333333333332</v>
      </c>
      <c r="AH3462" s="2">
        <v>5</v>
      </c>
      <c r="AI3462" s="2" t="s">
        <v>274</v>
      </c>
      <c r="AJ3462" s="2">
        <v>37</v>
      </c>
      <c r="AK3462" s="2" t="s">
        <v>497</v>
      </c>
      <c r="AL3462" s="2">
        <v>19</v>
      </c>
      <c r="AM3462" s="2" t="s">
        <v>107</v>
      </c>
      <c r="AN3462" s="2"/>
      <c r="AO3462" s="2"/>
      <c r="AP3462" s="2">
        <v>11</v>
      </c>
      <c r="AQ3462" s="2" t="s">
        <v>82</v>
      </c>
      <c r="AR3462" s="2"/>
      <c r="AS3462" s="2"/>
      <c r="AT3462" s="2" t="s">
        <v>11128</v>
      </c>
      <c r="AU3462" s="2"/>
      <c r="AV3462" s="2"/>
      <c r="AW3462" s="2"/>
      <c r="AX3462" s="2"/>
      <c r="AY3462" s="2">
        <v>41</v>
      </c>
      <c r="AZ3462" s="2" t="s">
        <v>82</v>
      </c>
      <c r="BA3462" s="2">
        <v>41</v>
      </c>
      <c r="BB3462" s="2" t="s">
        <v>82</v>
      </c>
      <c r="BC3462" s="2">
        <v>41</v>
      </c>
      <c r="BD3462" s="2" t="s">
        <v>82</v>
      </c>
      <c r="BE3462" s="2">
        <v>41</v>
      </c>
      <c r="BF3462" s="2" t="s">
        <v>82</v>
      </c>
      <c r="BG3462" s="2"/>
      <c r="BH3462" s="2"/>
      <c r="BI3462" s="2"/>
      <c r="BJ3462" s="2">
        <v>241</v>
      </c>
      <c r="BK3462" s="2" t="s">
        <v>82</v>
      </c>
      <c r="BL3462" s="2"/>
      <c r="BM3462" s="2">
        <v>241</v>
      </c>
      <c r="BN3462" s="2" t="s">
        <v>82</v>
      </c>
      <c r="BO3462" s="2"/>
      <c r="BP3462" s="2">
        <v>241</v>
      </c>
      <c r="BQ3462" s="2" t="s">
        <v>82</v>
      </c>
      <c r="BR3462" s="2"/>
      <c r="BS3462" s="3">
        <v>40413</v>
      </c>
      <c r="BT3462" s="4">
        <v>0.57942129629629624</v>
      </c>
    </row>
    <row r="3463" spans="1:72" x14ac:dyDescent="0.25">
      <c r="A3463" s="2">
        <v>5094</v>
      </c>
      <c r="B3463" s="2">
        <v>2010</v>
      </c>
      <c r="C3463" s="2" t="s">
        <v>457</v>
      </c>
      <c r="D3463" s="2" t="s">
        <v>122</v>
      </c>
      <c r="E3463" s="2"/>
      <c r="F3463" s="2">
        <v>1</v>
      </c>
      <c r="G3463" s="2" t="s">
        <v>82</v>
      </c>
      <c r="H3463" s="2">
        <v>1</v>
      </c>
      <c r="I3463" s="2" t="s">
        <v>82</v>
      </c>
      <c r="J3463" s="2">
        <v>1</v>
      </c>
      <c r="K3463" s="2" t="s">
        <v>107</v>
      </c>
      <c r="L3463" s="2" t="s">
        <v>107</v>
      </c>
      <c r="M3463" s="3">
        <v>40413</v>
      </c>
      <c r="N3463" s="2"/>
      <c r="O3463" s="2" t="s">
        <v>11129</v>
      </c>
      <c r="P3463" s="2" t="s">
        <v>11130</v>
      </c>
      <c r="Q3463" s="2" t="str">
        <f>""</f>
        <v/>
      </c>
      <c r="R3463" s="2"/>
      <c r="S3463" s="2"/>
      <c r="T3463" s="2">
        <v>1</v>
      </c>
      <c r="U3463" s="2" t="s">
        <v>79</v>
      </c>
      <c r="V3463" s="2">
        <v>1</v>
      </c>
      <c r="W3463" s="2" t="s">
        <v>80</v>
      </c>
      <c r="X3463" s="2">
        <v>4</v>
      </c>
      <c r="Y3463" s="2" t="s">
        <v>463</v>
      </c>
      <c r="Z3463" s="2">
        <v>6</v>
      </c>
      <c r="AA3463" s="2" t="s">
        <v>101</v>
      </c>
      <c r="AB3463" s="2">
        <v>9</v>
      </c>
      <c r="AC3463" s="2" t="s">
        <v>124</v>
      </c>
      <c r="AD3463" s="3">
        <v>40413</v>
      </c>
      <c r="AE3463" s="4">
        <v>0.55555555555555558</v>
      </c>
      <c r="AF3463" s="2"/>
      <c r="AG3463" s="2"/>
      <c r="AH3463" s="2">
        <v>3</v>
      </c>
      <c r="AI3463" s="2" t="s">
        <v>214</v>
      </c>
      <c r="AJ3463" s="2">
        <v>24</v>
      </c>
      <c r="AK3463" s="2" t="s">
        <v>215</v>
      </c>
      <c r="AL3463" s="2">
        <v>25</v>
      </c>
      <c r="AM3463" s="2" t="s">
        <v>3073</v>
      </c>
      <c r="AN3463" s="2"/>
      <c r="AO3463" s="2"/>
      <c r="AP3463" s="2">
        <v>11</v>
      </c>
      <c r="AQ3463" s="2" t="s">
        <v>82</v>
      </c>
      <c r="AR3463" s="2"/>
      <c r="AS3463" s="2"/>
      <c r="AT3463" s="2" t="s">
        <v>11131</v>
      </c>
      <c r="AU3463" s="2"/>
      <c r="AV3463" s="2"/>
      <c r="AW3463" s="2"/>
      <c r="AX3463" s="2"/>
      <c r="AY3463" s="2">
        <v>41</v>
      </c>
      <c r="AZ3463" s="2" t="s">
        <v>82</v>
      </c>
      <c r="BA3463" s="2">
        <v>41</v>
      </c>
      <c r="BB3463" s="2" t="s">
        <v>82</v>
      </c>
      <c r="BC3463" s="2">
        <v>115</v>
      </c>
      <c r="BD3463" s="2" t="s">
        <v>101</v>
      </c>
      <c r="BE3463" s="2">
        <v>17</v>
      </c>
      <c r="BF3463" s="2" t="s">
        <v>508</v>
      </c>
      <c r="BG3463" s="2" t="s">
        <v>11132</v>
      </c>
      <c r="BH3463" s="4">
        <v>0.60416666666666663</v>
      </c>
      <c r="BI3463" s="4">
        <v>0.55555555555555558</v>
      </c>
      <c r="BJ3463" s="2">
        <v>13</v>
      </c>
      <c r="BK3463" s="2" t="s">
        <v>91</v>
      </c>
      <c r="BL3463" s="2" t="s">
        <v>169</v>
      </c>
      <c r="BM3463" s="2">
        <v>241</v>
      </c>
      <c r="BN3463" s="2" t="s">
        <v>82</v>
      </c>
      <c r="BO3463" s="2"/>
      <c r="BP3463" s="2">
        <v>46</v>
      </c>
      <c r="BQ3463" s="2" t="s">
        <v>307</v>
      </c>
      <c r="BR3463" s="2" t="s">
        <v>4628</v>
      </c>
      <c r="BS3463" s="3">
        <v>40413</v>
      </c>
      <c r="BT3463" s="4">
        <v>0.58956018518518516</v>
      </c>
    </row>
    <row r="3464" spans="1:72" x14ac:dyDescent="0.25">
      <c r="A3464" s="2">
        <v>5095</v>
      </c>
      <c r="B3464" s="2">
        <v>2010</v>
      </c>
      <c r="C3464" s="2" t="s">
        <v>806</v>
      </c>
      <c r="D3464" s="2" t="s">
        <v>73</v>
      </c>
      <c r="E3464" s="2"/>
      <c r="F3464" s="2">
        <v>651</v>
      </c>
      <c r="G3464" s="2" t="s">
        <v>2454</v>
      </c>
      <c r="H3464" s="2">
        <v>89</v>
      </c>
      <c r="I3464" s="2" t="s">
        <v>5137</v>
      </c>
      <c r="J3464" s="2">
        <v>538</v>
      </c>
      <c r="K3464" s="2" t="s">
        <v>7264</v>
      </c>
      <c r="L3464" s="2" t="s">
        <v>7265</v>
      </c>
      <c r="M3464" s="3">
        <v>40413</v>
      </c>
      <c r="N3464" s="2" t="s">
        <v>11133</v>
      </c>
      <c r="O3464" s="2" t="s">
        <v>11134</v>
      </c>
      <c r="P3464" s="2" t="s">
        <v>11135</v>
      </c>
      <c r="Q3464" s="2" t="str">
        <f>"SUMARIO 14/2010"</f>
        <v>SUMARIO 14/2010</v>
      </c>
      <c r="R3464" s="2" t="s">
        <v>82</v>
      </c>
      <c r="S3464" s="2" t="s">
        <v>82</v>
      </c>
      <c r="T3464" s="2">
        <v>1</v>
      </c>
      <c r="U3464" s="2" t="s">
        <v>79</v>
      </c>
      <c r="V3464" s="2">
        <v>3</v>
      </c>
      <c r="W3464" s="2" t="s">
        <v>225</v>
      </c>
      <c r="X3464" s="2">
        <v>8</v>
      </c>
      <c r="Y3464" s="2" t="s">
        <v>375</v>
      </c>
      <c r="Z3464" s="2">
        <v>1</v>
      </c>
      <c r="AA3464" s="2" t="s">
        <v>82</v>
      </c>
      <c r="AB3464" s="2">
        <v>9</v>
      </c>
      <c r="AC3464" s="2" t="s">
        <v>124</v>
      </c>
      <c r="AD3464" s="3">
        <v>40413</v>
      </c>
      <c r="AE3464" s="4">
        <v>0.54166666666666663</v>
      </c>
      <c r="AF3464" s="2"/>
      <c r="AG3464" s="2"/>
      <c r="AH3464" s="2">
        <v>3</v>
      </c>
      <c r="AI3464" s="2" t="s">
        <v>214</v>
      </c>
      <c r="AJ3464" s="2">
        <v>14</v>
      </c>
      <c r="AK3464" s="2" t="s">
        <v>342</v>
      </c>
      <c r="AL3464" s="2">
        <v>23</v>
      </c>
      <c r="AM3464" s="2" t="s">
        <v>251</v>
      </c>
      <c r="AN3464" s="2" t="s">
        <v>11136</v>
      </c>
      <c r="AO3464" s="2" t="s">
        <v>82</v>
      </c>
      <c r="AP3464" s="2">
        <v>11</v>
      </c>
      <c r="AQ3464" s="2" t="s">
        <v>82</v>
      </c>
      <c r="AR3464" s="2"/>
      <c r="AS3464" s="2"/>
      <c r="AT3464" s="2" t="s">
        <v>11137</v>
      </c>
      <c r="AU3464" s="2"/>
      <c r="AV3464" s="2"/>
      <c r="AW3464" s="2"/>
      <c r="AX3464" s="2"/>
      <c r="AY3464" s="2">
        <v>41</v>
      </c>
      <c r="AZ3464" s="2" t="s">
        <v>82</v>
      </c>
      <c r="BA3464" s="2">
        <v>41</v>
      </c>
      <c r="BB3464" s="2" t="s">
        <v>82</v>
      </c>
      <c r="BC3464" s="2">
        <v>41</v>
      </c>
      <c r="BD3464" s="2" t="s">
        <v>82</v>
      </c>
      <c r="BE3464" s="2">
        <v>41</v>
      </c>
      <c r="BF3464" s="2" t="s">
        <v>82</v>
      </c>
      <c r="BG3464" s="2"/>
      <c r="BH3464" s="2"/>
      <c r="BI3464" s="2"/>
      <c r="BJ3464" s="2">
        <v>241</v>
      </c>
      <c r="BK3464" s="2" t="s">
        <v>82</v>
      </c>
      <c r="BL3464" s="2"/>
      <c r="BM3464" s="2">
        <v>241</v>
      </c>
      <c r="BN3464" s="2" t="s">
        <v>82</v>
      </c>
      <c r="BO3464" s="2"/>
      <c r="BP3464" s="2">
        <v>241</v>
      </c>
      <c r="BQ3464" s="2" t="s">
        <v>82</v>
      </c>
      <c r="BR3464" s="2"/>
      <c r="BS3464" s="3">
        <v>40413</v>
      </c>
      <c r="BT3464" s="4">
        <v>0.62495370370370373</v>
      </c>
    </row>
    <row r="3465" spans="1:72" x14ac:dyDescent="0.25">
      <c r="A3465" s="2">
        <v>5097</v>
      </c>
      <c r="B3465" s="2">
        <v>2010</v>
      </c>
      <c r="C3465" s="2" t="s">
        <v>72</v>
      </c>
      <c r="D3465" s="2" t="s">
        <v>73</v>
      </c>
      <c r="E3465" s="2"/>
      <c r="F3465" s="2">
        <v>114</v>
      </c>
      <c r="G3465" s="2" t="s">
        <v>2817</v>
      </c>
      <c r="H3465" s="2">
        <v>99</v>
      </c>
      <c r="I3465" s="2" t="s">
        <v>6285</v>
      </c>
      <c r="J3465" s="2">
        <v>644</v>
      </c>
      <c r="K3465" s="2" t="s">
        <v>11045</v>
      </c>
      <c r="L3465" s="2" t="s">
        <v>11046</v>
      </c>
      <c r="M3465" s="3">
        <v>40413</v>
      </c>
      <c r="N3465" s="2" t="s">
        <v>11138</v>
      </c>
      <c r="O3465" s="2" t="s">
        <v>107</v>
      </c>
      <c r="P3465" s="2" t="s">
        <v>107</v>
      </c>
      <c r="Q3465" s="2" t="str">
        <f>"0017/10"</f>
        <v>0017/10</v>
      </c>
      <c r="R3465" s="2" t="s">
        <v>4773</v>
      </c>
      <c r="S3465" s="2" t="s">
        <v>4773</v>
      </c>
      <c r="T3465" s="2">
        <v>1</v>
      </c>
      <c r="U3465" s="2" t="s">
        <v>79</v>
      </c>
      <c r="V3465" s="2">
        <v>1</v>
      </c>
      <c r="W3465" s="2" t="s">
        <v>80</v>
      </c>
      <c r="X3465" s="2">
        <v>12</v>
      </c>
      <c r="Y3465" s="2" t="s">
        <v>148</v>
      </c>
      <c r="Z3465" s="2">
        <v>1</v>
      </c>
      <c r="AA3465" s="2" t="s">
        <v>82</v>
      </c>
      <c r="AB3465" s="2">
        <v>6</v>
      </c>
      <c r="AC3465" s="2" t="s">
        <v>83</v>
      </c>
      <c r="AD3465" s="3">
        <v>40411</v>
      </c>
      <c r="AE3465" s="4">
        <v>4.1666666666666664E-2</v>
      </c>
      <c r="AF3465" s="3">
        <v>40413</v>
      </c>
      <c r="AG3465" s="4">
        <v>0.46875</v>
      </c>
      <c r="AH3465" s="2">
        <v>6</v>
      </c>
      <c r="AI3465" s="2" t="s">
        <v>197</v>
      </c>
      <c r="AJ3465" s="2">
        <v>54</v>
      </c>
      <c r="AK3465" s="2" t="s">
        <v>348</v>
      </c>
      <c r="AL3465" s="2">
        <v>22</v>
      </c>
      <c r="AM3465" s="2" t="s">
        <v>1853</v>
      </c>
      <c r="AN3465" s="2" t="s">
        <v>3322</v>
      </c>
      <c r="AO3465" s="2" t="s">
        <v>3322</v>
      </c>
      <c r="AP3465" s="2">
        <v>11</v>
      </c>
      <c r="AQ3465" s="2" t="s">
        <v>82</v>
      </c>
      <c r="AR3465" s="2" t="s">
        <v>82</v>
      </c>
      <c r="AS3465" s="2" t="s">
        <v>82</v>
      </c>
      <c r="AT3465" s="2" t="s">
        <v>11139</v>
      </c>
      <c r="AU3465" s="2"/>
      <c r="AV3465" s="2"/>
      <c r="AW3465" s="2"/>
      <c r="AX3465" s="2"/>
      <c r="AY3465" s="2">
        <v>41</v>
      </c>
      <c r="AZ3465" s="2" t="s">
        <v>82</v>
      </c>
      <c r="BA3465" s="2">
        <v>4</v>
      </c>
      <c r="BB3465" s="2" t="s">
        <v>90</v>
      </c>
      <c r="BC3465" s="2">
        <v>41</v>
      </c>
      <c r="BD3465" s="2" t="s">
        <v>82</v>
      </c>
      <c r="BE3465" s="2">
        <v>4</v>
      </c>
      <c r="BF3465" s="2" t="s">
        <v>90</v>
      </c>
      <c r="BG3465" s="2">
        <v>4428</v>
      </c>
      <c r="BH3465" s="4">
        <v>4.1666666666666664E-2</v>
      </c>
      <c r="BI3465" s="4">
        <v>9.375E-2</v>
      </c>
      <c r="BJ3465" s="2">
        <v>13</v>
      </c>
      <c r="BK3465" s="2" t="s">
        <v>91</v>
      </c>
      <c r="BL3465" s="2" t="s">
        <v>3520</v>
      </c>
      <c r="BM3465" s="2">
        <v>241</v>
      </c>
      <c r="BN3465" s="2" t="s">
        <v>82</v>
      </c>
      <c r="BO3465" s="2"/>
      <c r="BP3465" s="2">
        <v>13</v>
      </c>
      <c r="BQ3465" s="2" t="s">
        <v>91</v>
      </c>
      <c r="BR3465" s="2" t="s">
        <v>353</v>
      </c>
      <c r="BS3465" s="3">
        <v>40413</v>
      </c>
      <c r="BT3465" s="4">
        <v>0.63716435185185183</v>
      </c>
    </row>
    <row r="3466" spans="1:72" x14ac:dyDescent="0.25">
      <c r="A3466" s="2">
        <v>5100</v>
      </c>
      <c r="B3466" s="2">
        <v>2010</v>
      </c>
      <c r="C3466" s="2" t="s">
        <v>549</v>
      </c>
      <c r="D3466" s="2" t="s">
        <v>73</v>
      </c>
      <c r="E3466" s="2"/>
      <c r="F3466" s="2">
        <v>389</v>
      </c>
      <c r="G3466" s="2" t="s">
        <v>1819</v>
      </c>
      <c r="H3466" s="2">
        <v>4</v>
      </c>
      <c r="I3466" s="2" t="s">
        <v>173</v>
      </c>
      <c r="J3466" s="2">
        <v>399</v>
      </c>
      <c r="K3466" s="2" t="s">
        <v>1820</v>
      </c>
      <c r="L3466" s="2" t="s">
        <v>1821</v>
      </c>
      <c r="M3466" s="3">
        <v>40413</v>
      </c>
      <c r="N3466" s="2" t="s">
        <v>2549</v>
      </c>
      <c r="O3466" s="2"/>
      <c r="P3466" s="2"/>
      <c r="Q3466" s="2" t="str">
        <f>"430-E/10"</f>
        <v>430-E/10</v>
      </c>
      <c r="R3466" s="2" t="s">
        <v>8373</v>
      </c>
      <c r="S3466" s="2"/>
      <c r="T3466" s="2">
        <v>1</v>
      </c>
      <c r="U3466" s="2" t="s">
        <v>79</v>
      </c>
      <c r="V3466" s="2">
        <v>1</v>
      </c>
      <c r="W3466" s="2" t="s">
        <v>80</v>
      </c>
      <c r="X3466" s="2">
        <v>12</v>
      </c>
      <c r="Y3466" s="2" t="s">
        <v>148</v>
      </c>
      <c r="Z3466" s="2">
        <v>1</v>
      </c>
      <c r="AA3466" s="2" t="s">
        <v>82</v>
      </c>
      <c r="AB3466" s="2">
        <v>9</v>
      </c>
      <c r="AC3466" s="2" t="s">
        <v>124</v>
      </c>
      <c r="AD3466" s="3">
        <v>40366</v>
      </c>
      <c r="AE3466" s="4">
        <v>0.47916666666666669</v>
      </c>
      <c r="AF3466" s="3">
        <v>40413</v>
      </c>
      <c r="AG3466" s="4">
        <v>0.4375</v>
      </c>
      <c r="AH3466" s="2">
        <v>2</v>
      </c>
      <c r="AI3466" s="2" t="s">
        <v>84</v>
      </c>
      <c r="AJ3466" s="2">
        <v>9</v>
      </c>
      <c r="AK3466" s="2" t="s">
        <v>103</v>
      </c>
      <c r="AL3466" s="2">
        <v>16</v>
      </c>
      <c r="AM3466" s="2" t="s">
        <v>392</v>
      </c>
      <c r="AN3466" s="2"/>
      <c r="AO3466" s="2" t="s">
        <v>11140</v>
      </c>
      <c r="AP3466" s="2">
        <v>11</v>
      </c>
      <c r="AQ3466" s="2" t="s">
        <v>82</v>
      </c>
      <c r="AR3466" s="2"/>
      <c r="AS3466" s="2"/>
      <c r="AT3466" s="2" t="s">
        <v>11141</v>
      </c>
      <c r="AU3466" s="2"/>
      <c r="AV3466" s="2"/>
      <c r="AW3466" s="2"/>
      <c r="AX3466" s="2"/>
      <c r="AY3466" s="2">
        <v>41</v>
      </c>
      <c r="AZ3466" s="2" t="s">
        <v>82</v>
      </c>
      <c r="BA3466" s="2">
        <v>41</v>
      </c>
      <c r="BB3466" s="2" t="s">
        <v>82</v>
      </c>
      <c r="BC3466" s="2">
        <v>41</v>
      </c>
      <c r="BD3466" s="2" t="s">
        <v>82</v>
      </c>
      <c r="BE3466" s="2">
        <v>41</v>
      </c>
      <c r="BF3466" s="2" t="s">
        <v>82</v>
      </c>
      <c r="BG3466" s="2"/>
      <c r="BH3466" s="2"/>
      <c r="BI3466" s="2"/>
      <c r="BJ3466" s="2">
        <v>241</v>
      </c>
      <c r="BK3466" s="2" t="s">
        <v>82</v>
      </c>
      <c r="BL3466" s="2"/>
      <c r="BM3466" s="2">
        <v>241</v>
      </c>
      <c r="BN3466" s="2" t="s">
        <v>82</v>
      </c>
      <c r="BO3466" s="2"/>
      <c r="BP3466" s="2">
        <v>241</v>
      </c>
      <c r="BQ3466" s="2" t="s">
        <v>82</v>
      </c>
      <c r="BR3466" s="2"/>
      <c r="BS3466" s="3">
        <v>40413</v>
      </c>
      <c r="BT3466" s="4">
        <v>0.67530092592592583</v>
      </c>
    </row>
    <row r="3467" spans="1:72" x14ac:dyDescent="0.25">
      <c r="A3467" s="2">
        <v>5101</v>
      </c>
      <c r="B3467" s="2">
        <v>2010</v>
      </c>
      <c r="C3467" s="2" t="s">
        <v>93</v>
      </c>
      <c r="D3467" s="2" t="s">
        <v>73</v>
      </c>
      <c r="E3467" s="2"/>
      <c r="F3467" s="2">
        <v>669</v>
      </c>
      <c r="G3467" s="2" t="s">
        <v>11142</v>
      </c>
      <c r="H3467" s="2">
        <v>22</v>
      </c>
      <c r="I3467" s="2" t="s">
        <v>75</v>
      </c>
      <c r="J3467" s="2">
        <v>645</v>
      </c>
      <c r="K3467" s="2" t="s">
        <v>11143</v>
      </c>
      <c r="L3467" s="2" t="s">
        <v>11144</v>
      </c>
      <c r="M3467" s="3">
        <v>40413</v>
      </c>
      <c r="N3467" s="2" t="s">
        <v>11145</v>
      </c>
      <c r="O3467" s="2" t="s">
        <v>11146</v>
      </c>
      <c r="P3467" s="6">
        <v>44844</v>
      </c>
      <c r="Q3467" s="2" t="str">
        <f>"0012/10"</f>
        <v>0012/10</v>
      </c>
      <c r="R3467" s="2"/>
      <c r="S3467" s="2"/>
      <c r="T3467" s="2">
        <v>1</v>
      </c>
      <c r="U3467" s="2" t="s">
        <v>79</v>
      </c>
      <c r="V3467" s="2">
        <v>1</v>
      </c>
      <c r="W3467" s="2" t="s">
        <v>80</v>
      </c>
      <c r="X3467" s="2">
        <v>1</v>
      </c>
      <c r="Y3467" s="2" t="s">
        <v>81</v>
      </c>
      <c r="Z3467" s="2">
        <v>1</v>
      </c>
      <c r="AA3467" s="2" t="s">
        <v>82</v>
      </c>
      <c r="AB3467" s="2">
        <v>2</v>
      </c>
      <c r="AC3467" s="2" t="s">
        <v>102</v>
      </c>
      <c r="AD3467" s="3">
        <v>40413</v>
      </c>
      <c r="AE3467" s="4">
        <v>0.45833333333333331</v>
      </c>
      <c r="AF3467" s="2"/>
      <c r="AG3467" s="2"/>
      <c r="AH3467" s="2">
        <v>5</v>
      </c>
      <c r="AI3467" s="2" t="s">
        <v>274</v>
      </c>
      <c r="AJ3467" s="2">
        <v>43</v>
      </c>
      <c r="AK3467" s="2" t="s">
        <v>918</v>
      </c>
      <c r="AL3467" s="2">
        <v>12</v>
      </c>
      <c r="AM3467" s="2" t="s">
        <v>86</v>
      </c>
      <c r="AN3467" s="2" t="s">
        <v>11147</v>
      </c>
      <c r="AO3467" s="2"/>
      <c r="AP3467" s="2">
        <v>11</v>
      </c>
      <c r="AQ3467" s="2" t="s">
        <v>82</v>
      </c>
      <c r="AR3467" s="2"/>
      <c r="AS3467" s="2"/>
      <c r="AT3467" s="2" t="s">
        <v>11148</v>
      </c>
      <c r="AU3467" s="2">
        <v>1</v>
      </c>
      <c r="AV3467" s="2"/>
      <c r="AW3467" s="2"/>
      <c r="AX3467" s="2"/>
      <c r="AY3467" s="2">
        <v>41</v>
      </c>
      <c r="AZ3467" s="2" t="s">
        <v>82</v>
      </c>
      <c r="BA3467" s="2">
        <v>41</v>
      </c>
      <c r="BB3467" s="2" t="s">
        <v>82</v>
      </c>
      <c r="BC3467" s="2">
        <v>41</v>
      </c>
      <c r="BD3467" s="2" t="s">
        <v>82</v>
      </c>
      <c r="BE3467" s="2">
        <v>13</v>
      </c>
      <c r="BF3467" s="2" t="s">
        <v>108</v>
      </c>
      <c r="BG3467" s="2">
        <v>1783</v>
      </c>
      <c r="BH3467" s="4">
        <v>0.4375</v>
      </c>
      <c r="BI3467" s="4">
        <v>0.46666666666666662</v>
      </c>
      <c r="BJ3467" s="2">
        <v>13</v>
      </c>
      <c r="BK3467" s="2" t="s">
        <v>91</v>
      </c>
      <c r="BL3467" s="2" t="s">
        <v>3387</v>
      </c>
      <c r="BM3467" s="2">
        <v>241</v>
      </c>
      <c r="BN3467" s="2" t="s">
        <v>82</v>
      </c>
      <c r="BO3467" s="2" t="s">
        <v>82</v>
      </c>
      <c r="BP3467" s="2">
        <v>13</v>
      </c>
      <c r="BQ3467" s="2" t="s">
        <v>91</v>
      </c>
      <c r="BR3467" s="2" t="s">
        <v>185</v>
      </c>
      <c r="BS3467" s="3">
        <v>40413</v>
      </c>
      <c r="BT3467" s="4">
        <v>0.68128472222222225</v>
      </c>
    </row>
    <row r="3468" spans="1:72" x14ac:dyDescent="0.25">
      <c r="A3468" s="2">
        <v>5102</v>
      </c>
      <c r="B3468" s="2">
        <v>2010</v>
      </c>
      <c r="C3468" s="2" t="s">
        <v>72</v>
      </c>
      <c r="D3468" s="2" t="s">
        <v>73</v>
      </c>
      <c r="E3468" s="2"/>
      <c r="F3468" s="2">
        <v>56</v>
      </c>
      <c r="G3468" s="2" t="s">
        <v>2578</v>
      </c>
      <c r="H3468" s="2">
        <v>22</v>
      </c>
      <c r="I3468" s="2" t="s">
        <v>75</v>
      </c>
      <c r="J3468" s="2">
        <v>327</v>
      </c>
      <c r="K3468" s="2" t="s">
        <v>7091</v>
      </c>
      <c r="L3468" s="2" t="s">
        <v>7092</v>
      </c>
      <c r="M3468" s="3">
        <v>40413</v>
      </c>
      <c r="N3468" s="2" t="s">
        <v>7093</v>
      </c>
      <c r="O3468" s="2"/>
      <c r="P3468" s="2"/>
      <c r="Q3468" s="2" t="str">
        <f>"090/10"</f>
        <v>090/10</v>
      </c>
      <c r="R3468" s="2" t="s">
        <v>657</v>
      </c>
      <c r="S3468" s="2" t="s">
        <v>601</v>
      </c>
      <c r="T3468" s="2">
        <v>1</v>
      </c>
      <c r="U3468" s="2" t="s">
        <v>79</v>
      </c>
      <c r="V3468" s="2">
        <v>1</v>
      </c>
      <c r="W3468" s="2" t="s">
        <v>80</v>
      </c>
      <c r="X3468" s="2">
        <v>12</v>
      </c>
      <c r="Y3468" s="2" t="s">
        <v>148</v>
      </c>
      <c r="Z3468" s="2">
        <v>1</v>
      </c>
      <c r="AA3468" s="2" t="s">
        <v>82</v>
      </c>
      <c r="AB3468" s="2">
        <v>6</v>
      </c>
      <c r="AC3468" s="2" t="s">
        <v>83</v>
      </c>
      <c r="AD3468" s="3">
        <v>40413</v>
      </c>
      <c r="AE3468" s="4">
        <v>0.50486111111111109</v>
      </c>
      <c r="AF3468" s="3">
        <v>40413</v>
      </c>
      <c r="AG3468" s="4">
        <v>0.5625</v>
      </c>
      <c r="AH3468" s="2">
        <v>4</v>
      </c>
      <c r="AI3468" s="2" t="s">
        <v>125</v>
      </c>
      <c r="AJ3468" s="2">
        <v>29</v>
      </c>
      <c r="AK3468" s="2" t="s">
        <v>227</v>
      </c>
      <c r="AL3468" s="2">
        <v>22</v>
      </c>
      <c r="AM3468" s="2" t="s">
        <v>1853</v>
      </c>
      <c r="AN3468" s="2"/>
      <c r="AO3468" s="2"/>
      <c r="AP3468" s="2">
        <v>11</v>
      </c>
      <c r="AQ3468" s="2" t="s">
        <v>82</v>
      </c>
      <c r="AR3468" s="2" t="s">
        <v>3620</v>
      </c>
      <c r="AS3468" s="2" t="s">
        <v>2529</v>
      </c>
      <c r="AT3468" s="2" t="s">
        <v>11149</v>
      </c>
      <c r="AU3468" s="2"/>
      <c r="AV3468" s="2"/>
      <c r="AW3468" s="2"/>
      <c r="AX3468" s="2"/>
      <c r="AY3468" s="2">
        <v>41</v>
      </c>
      <c r="AZ3468" s="2" t="s">
        <v>82</v>
      </c>
      <c r="BA3468" s="2">
        <v>41</v>
      </c>
      <c r="BB3468" s="2" t="s">
        <v>82</v>
      </c>
      <c r="BC3468" s="2">
        <v>41</v>
      </c>
      <c r="BD3468" s="2" t="s">
        <v>82</v>
      </c>
      <c r="BE3468" s="2">
        <v>19</v>
      </c>
      <c r="BF3468" s="2" t="s">
        <v>1061</v>
      </c>
      <c r="BG3468" s="2">
        <v>250</v>
      </c>
      <c r="BH3468" s="4">
        <v>0.50486111111111109</v>
      </c>
      <c r="BI3468" s="4">
        <v>0.44444444444444442</v>
      </c>
      <c r="BJ3468" s="2">
        <v>29</v>
      </c>
      <c r="BK3468" s="2" t="s">
        <v>962</v>
      </c>
      <c r="BL3468" s="2" t="s">
        <v>11150</v>
      </c>
      <c r="BM3468" s="2">
        <v>241</v>
      </c>
      <c r="BN3468" s="2" t="s">
        <v>82</v>
      </c>
      <c r="BO3468" s="2" t="s">
        <v>82</v>
      </c>
      <c r="BP3468" s="2">
        <v>13</v>
      </c>
      <c r="BQ3468" s="2" t="s">
        <v>91</v>
      </c>
      <c r="BR3468" s="2" t="s">
        <v>828</v>
      </c>
      <c r="BS3468" s="3">
        <v>40413</v>
      </c>
      <c r="BT3468" s="4">
        <v>0.69068287037037035</v>
      </c>
    </row>
    <row r="3469" spans="1:72" x14ac:dyDescent="0.25">
      <c r="A3469" s="2">
        <v>5103</v>
      </c>
      <c r="B3469" s="2">
        <v>2010</v>
      </c>
      <c r="C3469" s="2" t="s">
        <v>196</v>
      </c>
      <c r="D3469" s="2" t="s">
        <v>122</v>
      </c>
      <c r="E3469" s="2"/>
      <c r="F3469" s="2">
        <v>1</v>
      </c>
      <c r="G3469" s="2" t="s">
        <v>82</v>
      </c>
      <c r="H3469" s="2">
        <v>1</v>
      </c>
      <c r="I3469" s="2" t="s">
        <v>82</v>
      </c>
      <c r="J3469" s="2">
        <v>1</v>
      </c>
      <c r="K3469" s="2" t="s">
        <v>107</v>
      </c>
      <c r="L3469" s="2" t="s">
        <v>107</v>
      </c>
      <c r="M3469" s="3">
        <v>40413</v>
      </c>
      <c r="N3469" s="2"/>
      <c r="O3469" s="2"/>
      <c r="P3469" s="2"/>
      <c r="Q3469" s="2" t="str">
        <f>""</f>
        <v/>
      </c>
      <c r="R3469" s="2"/>
      <c r="S3469" s="2"/>
      <c r="T3469" s="2">
        <v>2</v>
      </c>
      <c r="U3469" s="2" t="s">
        <v>123</v>
      </c>
      <c r="V3469" s="2">
        <v>1</v>
      </c>
      <c r="W3469" s="2" t="s">
        <v>80</v>
      </c>
      <c r="X3469" s="2">
        <v>11</v>
      </c>
      <c r="Y3469" s="2" t="s">
        <v>1920</v>
      </c>
      <c r="Z3469" s="2">
        <v>10</v>
      </c>
      <c r="AA3469" s="2" t="s">
        <v>236</v>
      </c>
      <c r="AB3469" s="2">
        <v>9</v>
      </c>
      <c r="AC3469" s="2" t="s">
        <v>124</v>
      </c>
      <c r="AD3469" s="3">
        <v>40413</v>
      </c>
      <c r="AE3469" s="4">
        <v>0.6743055555555556</v>
      </c>
      <c r="AF3469" s="2"/>
      <c r="AG3469" s="2"/>
      <c r="AH3469" s="2">
        <v>2</v>
      </c>
      <c r="AI3469" s="2" t="s">
        <v>84</v>
      </c>
      <c r="AJ3469" s="2">
        <v>12</v>
      </c>
      <c r="AK3469" s="2" t="s">
        <v>85</v>
      </c>
      <c r="AL3469" s="2">
        <v>20</v>
      </c>
      <c r="AM3469" s="2" t="s">
        <v>992</v>
      </c>
      <c r="AN3469" s="2" t="s">
        <v>993</v>
      </c>
      <c r="AO3469" s="2"/>
      <c r="AP3469" s="2">
        <v>11</v>
      </c>
      <c r="AQ3469" s="2" t="s">
        <v>82</v>
      </c>
      <c r="AR3469" s="2"/>
      <c r="AS3469" s="2"/>
      <c r="AT3469" s="2" t="s">
        <v>11151</v>
      </c>
      <c r="AU3469" s="2"/>
      <c r="AV3469" s="2"/>
      <c r="AW3469" s="2"/>
      <c r="AX3469" s="2"/>
      <c r="AY3469" s="2">
        <v>41</v>
      </c>
      <c r="AZ3469" s="2" t="s">
        <v>82</v>
      </c>
      <c r="BA3469" s="2">
        <v>41</v>
      </c>
      <c r="BB3469" s="2" t="s">
        <v>82</v>
      </c>
      <c r="BC3469" s="2">
        <v>41</v>
      </c>
      <c r="BD3469" s="2" t="s">
        <v>82</v>
      </c>
      <c r="BE3469" s="2">
        <v>41</v>
      </c>
      <c r="BF3469" s="2" t="s">
        <v>82</v>
      </c>
      <c r="BG3469" s="2"/>
      <c r="BH3469" s="2"/>
      <c r="BI3469" s="4">
        <v>0.68263888888888891</v>
      </c>
      <c r="BJ3469" s="2">
        <v>13</v>
      </c>
      <c r="BK3469" s="2" t="s">
        <v>91</v>
      </c>
      <c r="BL3469" s="2" t="s">
        <v>185</v>
      </c>
      <c r="BM3469" s="2">
        <v>241</v>
      </c>
      <c r="BN3469" s="2" t="s">
        <v>82</v>
      </c>
      <c r="BO3469" s="2"/>
      <c r="BP3469" s="2">
        <v>13</v>
      </c>
      <c r="BQ3469" s="2" t="s">
        <v>91</v>
      </c>
      <c r="BR3469" s="2" t="s">
        <v>2865</v>
      </c>
      <c r="BS3469" s="3">
        <v>40413</v>
      </c>
      <c r="BT3469" s="4">
        <v>0.69818287037037041</v>
      </c>
    </row>
    <row r="3470" spans="1:72" x14ac:dyDescent="0.25">
      <c r="A3470" s="2">
        <v>5104</v>
      </c>
      <c r="B3470" s="2">
        <v>2010</v>
      </c>
      <c r="C3470" s="2" t="s">
        <v>1568</v>
      </c>
      <c r="D3470" s="2" t="s">
        <v>122</v>
      </c>
      <c r="E3470" s="2" t="s">
        <v>11152</v>
      </c>
      <c r="F3470" s="2">
        <v>318</v>
      </c>
      <c r="G3470" s="2" t="s">
        <v>1018</v>
      </c>
      <c r="H3470" s="2">
        <v>42</v>
      </c>
      <c r="I3470" s="2" t="s">
        <v>1096</v>
      </c>
      <c r="J3470" s="2">
        <v>367</v>
      </c>
      <c r="K3470" s="2" t="s">
        <v>1019</v>
      </c>
      <c r="L3470" s="2" t="s">
        <v>1020</v>
      </c>
      <c r="M3470" s="3">
        <v>40413</v>
      </c>
      <c r="N3470" s="2" t="s">
        <v>10689</v>
      </c>
      <c r="O3470" s="2" t="s">
        <v>107</v>
      </c>
      <c r="P3470" s="2" t="s">
        <v>107</v>
      </c>
      <c r="Q3470" s="2" t="str">
        <f>"0023/10"</f>
        <v>0023/10</v>
      </c>
      <c r="R3470" s="2" t="s">
        <v>107</v>
      </c>
      <c r="S3470" s="2" t="s">
        <v>11153</v>
      </c>
      <c r="T3470" s="2">
        <v>1</v>
      </c>
      <c r="U3470" s="2" t="s">
        <v>79</v>
      </c>
      <c r="V3470" s="2">
        <v>1</v>
      </c>
      <c r="W3470" s="2" t="s">
        <v>80</v>
      </c>
      <c r="X3470" s="2">
        <v>1</v>
      </c>
      <c r="Y3470" s="2" t="s">
        <v>81</v>
      </c>
      <c r="Z3470" s="2">
        <v>10</v>
      </c>
      <c r="AA3470" s="2" t="s">
        <v>236</v>
      </c>
      <c r="AB3470" s="2">
        <v>4</v>
      </c>
      <c r="AC3470" s="2" t="s">
        <v>1569</v>
      </c>
      <c r="AD3470" s="3">
        <v>40413</v>
      </c>
      <c r="AE3470" s="4">
        <v>0.54166666666666663</v>
      </c>
      <c r="AF3470" s="2"/>
      <c r="AG3470" s="2"/>
      <c r="AH3470" s="2">
        <v>5</v>
      </c>
      <c r="AI3470" s="2" t="s">
        <v>274</v>
      </c>
      <c r="AJ3470" s="2">
        <v>44</v>
      </c>
      <c r="AK3470" s="2" t="s">
        <v>667</v>
      </c>
      <c r="AL3470" s="2">
        <v>16</v>
      </c>
      <c r="AM3470" s="2" t="s">
        <v>392</v>
      </c>
      <c r="AN3470" s="2"/>
      <c r="AO3470" s="2" t="s">
        <v>11102</v>
      </c>
      <c r="AP3470" s="2">
        <v>11</v>
      </c>
      <c r="AQ3470" s="2" t="s">
        <v>82</v>
      </c>
      <c r="AR3470" s="2"/>
      <c r="AS3470" s="2"/>
      <c r="AT3470" s="2" t="s">
        <v>11154</v>
      </c>
      <c r="AU3470" s="2"/>
      <c r="AV3470" s="2"/>
      <c r="AW3470" s="2"/>
      <c r="AX3470" s="2"/>
      <c r="AY3470" s="2">
        <v>41</v>
      </c>
      <c r="AZ3470" s="2" t="s">
        <v>82</v>
      </c>
      <c r="BA3470" s="2">
        <v>1</v>
      </c>
      <c r="BB3470" s="2" t="s">
        <v>107</v>
      </c>
      <c r="BC3470" s="2">
        <v>41</v>
      </c>
      <c r="BD3470" s="2" t="s">
        <v>82</v>
      </c>
      <c r="BE3470" s="2">
        <v>13</v>
      </c>
      <c r="BF3470" s="2" t="s">
        <v>108</v>
      </c>
      <c r="BG3470" s="2">
        <v>1779</v>
      </c>
      <c r="BH3470" s="4">
        <v>0.6</v>
      </c>
      <c r="BI3470" s="4">
        <v>0.64166666666666672</v>
      </c>
      <c r="BJ3470" s="2">
        <v>13</v>
      </c>
      <c r="BK3470" s="2" t="s">
        <v>91</v>
      </c>
      <c r="BL3470" s="2" t="s">
        <v>185</v>
      </c>
      <c r="BM3470" s="2">
        <v>13</v>
      </c>
      <c r="BN3470" s="2" t="s">
        <v>91</v>
      </c>
      <c r="BO3470" s="2" t="s">
        <v>1026</v>
      </c>
      <c r="BP3470" s="2">
        <v>13</v>
      </c>
      <c r="BQ3470" s="2" t="s">
        <v>91</v>
      </c>
      <c r="BR3470" s="2" t="s">
        <v>185</v>
      </c>
      <c r="BS3470" s="3">
        <v>40413</v>
      </c>
      <c r="BT3470" s="4">
        <v>0.69829861111111102</v>
      </c>
    </row>
    <row r="3471" spans="1:72" x14ac:dyDescent="0.25">
      <c r="A3471" s="2">
        <v>5105</v>
      </c>
      <c r="B3471" s="2">
        <v>2010</v>
      </c>
      <c r="C3471" s="2" t="s">
        <v>147</v>
      </c>
      <c r="D3471" s="2" t="s">
        <v>73</v>
      </c>
      <c r="E3471" s="2"/>
      <c r="F3471" s="2">
        <v>1</v>
      </c>
      <c r="G3471" s="2" t="s">
        <v>82</v>
      </c>
      <c r="H3471" s="2">
        <v>1</v>
      </c>
      <c r="I3471" s="2" t="s">
        <v>82</v>
      </c>
      <c r="J3471" s="2">
        <v>1</v>
      </c>
      <c r="K3471" s="2" t="s">
        <v>107</v>
      </c>
      <c r="L3471" s="2" t="s">
        <v>107</v>
      </c>
      <c r="M3471" s="3">
        <v>40413</v>
      </c>
      <c r="N3471" s="2"/>
      <c r="O3471" s="2"/>
      <c r="P3471" s="2"/>
      <c r="Q3471" s="2" t="str">
        <f>""</f>
        <v/>
      </c>
      <c r="R3471" s="2"/>
      <c r="S3471" s="2"/>
      <c r="T3471" s="2">
        <v>2</v>
      </c>
      <c r="U3471" s="2" t="s">
        <v>123</v>
      </c>
      <c r="V3471" s="2">
        <v>1</v>
      </c>
      <c r="W3471" s="2" t="s">
        <v>80</v>
      </c>
      <c r="X3471" s="2">
        <v>12</v>
      </c>
      <c r="Y3471" s="2" t="s">
        <v>148</v>
      </c>
      <c r="Z3471" s="2">
        <v>1</v>
      </c>
      <c r="AA3471" s="2" t="s">
        <v>82</v>
      </c>
      <c r="AB3471" s="2">
        <v>9</v>
      </c>
      <c r="AC3471" s="2" t="s">
        <v>124</v>
      </c>
      <c r="AD3471" s="3">
        <v>40413</v>
      </c>
      <c r="AE3471" s="2"/>
      <c r="AF3471" s="3">
        <v>40413</v>
      </c>
      <c r="AG3471" s="4">
        <v>0.63888888888888895</v>
      </c>
      <c r="AH3471" s="2">
        <v>3</v>
      </c>
      <c r="AI3471" s="2" t="s">
        <v>214</v>
      </c>
      <c r="AJ3471" s="2">
        <v>17</v>
      </c>
      <c r="AK3471" s="2" t="s">
        <v>309</v>
      </c>
      <c r="AL3471" s="2">
        <v>19</v>
      </c>
      <c r="AM3471" s="2" t="s">
        <v>107</v>
      </c>
      <c r="AN3471" s="2" t="s">
        <v>11155</v>
      </c>
      <c r="AO3471" s="2" t="s">
        <v>11156</v>
      </c>
      <c r="AP3471" s="2">
        <v>11</v>
      </c>
      <c r="AQ3471" s="2" t="s">
        <v>82</v>
      </c>
      <c r="AR3471" s="2"/>
      <c r="AS3471" s="2"/>
      <c r="AT3471" s="2" t="s">
        <v>11157</v>
      </c>
      <c r="AU3471" s="2"/>
      <c r="AV3471" s="2"/>
      <c r="AW3471" s="2"/>
      <c r="AX3471" s="2"/>
      <c r="AY3471" s="2">
        <v>41</v>
      </c>
      <c r="AZ3471" s="2" t="s">
        <v>82</v>
      </c>
      <c r="BA3471" s="2">
        <v>41</v>
      </c>
      <c r="BB3471" s="2" t="s">
        <v>82</v>
      </c>
      <c r="BC3471" s="2">
        <v>44</v>
      </c>
      <c r="BD3471" s="2" t="s">
        <v>262</v>
      </c>
      <c r="BE3471" s="2">
        <v>41</v>
      </c>
      <c r="BF3471" s="2" t="s">
        <v>82</v>
      </c>
      <c r="BG3471" s="2"/>
      <c r="BH3471" s="2"/>
      <c r="BI3471" s="2"/>
      <c r="BJ3471" s="2">
        <v>241</v>
      </c>
      <c r="BK3471" s="2" t="s">
        <v>82</v>
      </c>
      <c r="BL3471" s="2"/>
      <c r="BM3471" s="2">
        <v>241</v>
      </c>
      <c r="BN3471" s="2" t="s">
        <v>82</v>
      </c>
      <c r="BO3471" s="2"/>
      <c r="BP3471" s="2">
        <v>241</v>
      </c>
      <c r="BQ3471" s="2" t="s">
        <v>82</v>
      </c>
      <c r="BR3471" s="2"/>
      <c r="BS3471" s="3">
        <v>40413</v>
      </c>
      <c r="BT3471" s="4">
        <v>0.70030092592592597</v>
      </c>
    </row>
    <row r="3472" spans="1:72" x14ac:dyDescent="0.25">
      <c r="A3472" s="2">
        <v>5107</v>
      </c>
      <c r="B3472" s="2">
        <v>2010</v>
      </c>
      <c r="C3472" s="2" t="s">
        <v>171</v>
      </c>
      <c r="D3472" s="2" t="s">
        <v>73</v>
      </c>
      <c r="E3472" s="2"/>
      <c r="F3472" s="2">
        <v>337</v>
      </c>
      <c r="G3472" s="2" t="s">
        <v>1190</v>
      </c>
      <c r="H3472" s="2">
        <v>60</v>
      </c>
      <c r="I3472" s="2" t="s">
        <v>2704</v>
      </c>
      <c r="J3472" s="2">
        <v>374</v>
      </c>
      <c r="K3472" s="2" t="s">
        <v>1191</v>
      </c>
      <c r="L3472" s="2" t="s">
        <v>132</v>
      </c>
      <c r="M3472" s="3">
        <v>40413</v>
      </c>
      <c r="N3472" s="2" t="s">
        <v>11158</v>
      </c>
      <c r="O3472" s="2" t="s">
        <v>11159</v>
      </c>
      <c r="P3472" s="2" t="s">
        <v>11160</v>
      </c>
      <c r="Q3472" s="2" t="str">
        <f>"0009/10"</f>
        <v>0009/10</v>
      </c>
      <c r="R3472" s="2"/>
      <c r="S3472" s="2"/>
      <c r="T3472" s="2">
        <v>1</v>
      </c>
      <c r="U3472" s="2" t="s">
        <v>79</v>
      </c>
      <c r="V3472" s="2">
        <v>3</v>
      </c>
      <c r="W3472" s="2" t="s">
        <v>225</v>
      </c>
      <c r="X3472" s="2">
        <v>6</v>
      </c>
      <c r="Y3472" s="2" t="s">
        <v>249</v>
      </c>
      <c r="Z3472" s="2">
        <v>1</v>
      </c>
      <c r="AA3472" s="2" t="s">
        <v>82</v>
      </c>
      <c r="AB3472" s="2">
        <v>9</v>
      </c>
      <c r="AC3472" s="2" t="s">
        <v>124</v>
      </c>
      <c r="AD3472" s="3">
        <v>40413</v>
      </c>
      <c r="AE3472" s="2"/>
      <c r="AF3472" s="2"/>
      <c r="AG3472" s="2"/>
      <c r="AH3472" s="2">
        <v>5</v>
      </c>
      <c r="AI3472" s="2" t="s">
        <v>274</v>
      </c>
      <c r="AJ3472" s="2">
        <v>35</v>
      </c>
      <c r="AK3472" s="2" t="s">
        <v>275</v>
      </c>
      <c r="AL3472" s="2">
        <v>19</v>
      </c>
      <c r="AM3472" s="2" t="s">
        <v>107</v>
      </c>
      <c r="AN3472" s="2"/>
      <c r="AO3472" s="2"/>
      <c r="AP3472" s="2">
        <v>11</v>
      </c>
      <c r="AQ3472" s="2" t="s">
        <v>82</v>
      </c>
      <c r="AR3472" s="2"/>
      <c r="AS3472" s="2"/>
      <c r="AT3472" s="2" t="s">
        <v>11161</v>
      </c>
      <c r="AU3472" s="2"/>
      <c r="AV3472" s="2"/>
      <c r="AW3472" s="2"/>
      <c r="AX3472" s="2"/>
      <c r="AY3472" s="2">
        <v>1</v>
      </c>
      <c r="AZ3472" s="2" t="s">
        <v>107</v>
      </c>
      <c r="BA3472" s="2">
        <v>1</v>
      </c>
      <c r="BB3472" s="2" t="s">
        <v>107</v>
      </c>
      <c r="BC3472" s="2">
        <v>1</v>
      </c>
      <c r="BD3472" s="2" t="s">
        <v>107</v>
      </c>
      <c r="BE3472" s="2">
        <v>1</v>
      </c>
      <c r="BF3472" s="2" t="s">
        <v>107</v>
      </c>
      <c r="BG3472" s="2"/>
      <c r="BH3472" s="2"/>
      <c r="BI3472" s="2"/>
      <c r="BJ3472" s="2">
        <v>242</v>
      </c>
      <c r="BK3472" s="2" t="s">
        <v>107</v>
      </c>
      <c r="BL3472" s="2"/>
      <c r="BM3472" s="2">
        <v>242</v>
      </c>
      <c r="BN3472" s="2" t="s">
        <v>107</v>
      </c>
      <c r="BO3472" s="2"/>
      <c r="BP3472" s="2">
        <v>242</v>
      </c>
      <c r="BQ3472" s="2" t="s">
        <v>107</v>
      </c>
      <c r="BR3472" s="2"/>
      <c r="BS3472" s="3">
        <v>40413</v>
      </c>
      <c r="BT3472" s="4">
        <v>0.73111111111111116</v>
      </c>
    </row>
    <row r="3473" spans="1:72" x14ac:dyDescent="0.25">
      <c r="A3473" s="2">
        <v>5109</v>
      </c>
      <c r="B3473" s="2">
        <v>2010</v>
      </c>
      <c r="C3473" s="2" t="s">
        <v>171</v>
      </c>
      <c r="D3473" s="2" t="s">
        <v>122</v>
      </c>
      <c r="E3473" s="2"/>
      <c r="F3473" s="2">
        <v>337</v>
      </c>
      <c r="G3473" s="2" t="s">
        <v>1190</v>
      </c>
      <c r="H3473" s="2">
        <v>60</v>
      </c>
      <c r="I3473" s="2" t="s">
        <v>2704</v>
      </c>
      <c r="J3473" s="2">
        <v>374</v>
      </c>
      <c r="K3473" s="2" t="s">
        <v>1191</v>
      </c>
      <c r="L3473" s="2" t="s">
        <v>132</v>
      </c>
      <c r="M3473" s="3">
        <v>40413</v>
      </c>
      <c r="N3473" s="2" t="s">
        <v>11158</v>
      </c>
      <c r="O3473" s="2" t="s">
        <v>11162</v>
      </c>
      <c r="P3473" s="2" t="s">
        <v>11163</v>
      </c>
      <c r="Q3473" s="2" t="str">
        <f>"0017/10"</f>
        <v>0017/10</v>
      </c>
      <c r="R3473" s="2"/>
      <c r="S3473" s="2"/>
      <c r="T3473" s="2">
        <v>1</v>
      </c>
      <c r="U3473" s="2" t="s">
        <v>79</v>
      </c>
      <c r="V3473" s="2">
        <v>3</v>
      </c>
      <c r="W3473" s="2" t="s">
        <v>225</v>
      </c>
      <c r="X3473" s="2">
        <v>5</v>
      </c>
      <c r="Y3473" s="2" t="s">
        <v>82</v>
      </c>
      <c r="Z3473" s="2">
        <v>1</v>
      </c>
      <c r="AA3473" s="2" t="s">
        <v>82</v>
      </c>
      <c r="AB3473" s="2">
        <v>9</v>
      </c>
      <c r="AC3473" s="2" t="s">
        <v>124</v>
      </c>
      <c r="AD3473" s="2"/>
      <c r="AE3473" s="2"/>
      <c r="AF3473" s="2"/>
      <c r="AG3473" s="2"/>
      <c r="AH3473" s="2">
        <v>5</v>
      </c>
      <c r="AI3473" s="2" t="s">
        <v>274</v>
      </c>
      <c r="AJ3473" s="2">
        <v>35</v>
      </c>
      <c r="AK3473" s="2" t="s">
        <v>275</v>
      </c>
      <c r="AL3473" s="2">
        <v>18</v>
      </c>
      <c r="AM3473" s="2" t="s">
        <v>82</v>
      </c>
      <c r="AN3473" s="2"/>
      <c r="AO3473" s="2"/>
      <c r="AP3473" s="2">
        <v>11</v>
      </c>
      <c r="AQ3473" s="2" t="s">
        <v>82</v>
      </c>
      <c r="AR3473" s="2"/>
      <c r="AS3473" s="2"/>
      <c r="AT3473" s="2" t="s">
        <v>11164</v>
      </c>
      <c r="AU3473" s="2"/>
      <c r="AV3473" s="2"/>
      <c r="AW3473" s="2"/>
      <c r="AX3473" s="2"/>
      <c r="AY3473" s="2">
        <v>1</v>
      </c>
      <c r="AZ3473" s="2" t="s">
        <v>107</v>
      </c>
      <c r="BA3473" s="2">
        <v>1</v>
      </c>
      <c r="BB3473" s="2" t="s">
        <v>107</v>
      </c>
      <c r="BC3473" s="2">
        <v>1</v>
      </c>
      <c r="BD3473" s="2" t="s">
        <v>107</v>
      </c>
      <c r="BE3473" s="2">
        <v>1</v>
      </c>
      <c r="BF3473" s="2" t="s">
        <v>107</v>
      </c>
      <c r="BG3473" s="2"/>
      <c r="BH3473" s="2"/>
      <c r="BI3473" s="2"/>
      <c r="BJ3473" s="2">
        <v>242</v>
      </c>
      <c r="BK3473" s="2" t="s">
        <v>107</v>
      </c>
      <c r="BL3473" s="2"/>
      <c r="BM3473" s="2">
        <v>242</v>
      </c>
      <c r="BN3473" s="2" t="s">
        <v>107</v>
      </c>
      <c r="BO3473" s="2"/>
      <c r="BP3473" s="2">
        <v>242</v>
      </c>
      <c r="BQ3473" s="2" t="s">
        <v>107</v>
      </c>
      <c r="BR3473" s="2"/>
      <c r="BS3473" s="3">
        <v>40413</v>
      </c>
      <c r="BT3473" s="4">
        <v>0.76135416666666667</v>
      </c>
    </row>
    <row r="3474" spans="1:72" x14ac:dyDescent="0.25">
      <c r="A3474" s="2">
        <v>5110</v>
      </c>
      <c r="B3474" s="2">
        <v>2010</v>
      </c>
      <c r="C3474" s="2" t="s">
        <v>4543</v>
      </c>
      <c r="D3474" s="2" t="s">
        <v>122</v>
      </c>
      <c r="E3474" s="2"/>
      <c r="F3474" s="2">
        <v>146</v>
      </c>
      <c r="G3474" s="2" t="s">
        <v>753</v>
      </c>
      <c r="H3474" s="2">
        <v>44</v>
      </c>
      <c r="I3474" s="2" t="s">
        <v>1272</v>
      </c>
      <c r="J3474" s="2">
        <v>161</v>
      </c>
      <c r="K3474" s="2" t="s">
        <v>1900</v>
      </c>
      <c r="L3474" s="2" t="s">
        <v>1901</v>
      </c>
      <c r="M3474" s="3">
        <v>40413</v>
      </c>
      <c r="N3474" s="2" t="s">
        <v>9058</v>
      </c>
      <c r="O3474" s="2" t="s">
        <v>11165</v>
      </c>
      <c r="P3474" s="7">
        <v>18760</v>
      </c>
      <c r="Q3474" s="2" t="str">
        <f>"N/C"</f>
        <v>N/C</v>
      </c>
      <c r="R3474" s="2" t="s">
        <v>82</v>
      </c>
      <c r="S3474" s="2" t="s">
        <v>82</v>
      </c>
      <c r="T3474" s="2">
        <v>2</v>
      </c>
      <c r="U3474" s="2" t="s">
        <v>123</v>
      </c>
      <c r="V3474" s="2">
        <v>1</v>
      </c>
      <c r="W3474" s="2" t="s">
        <v>80</v>
      </c>
      <c r="X3474" s="2">
        <v>4</v>
      </c>
      <c r="Y3474" s="2" t="s">
        <v>463</v>
      </c>
      <c r="Z3474" s="2">
        <v>10</v>
      </c>
      <c r="AA3474" s="2" t="s">
        <v>236</v>
      </c>
      <c r="AB3474" s="2">
        <v>9</v>
      </c>
      <c r="AC3474" s="2" t="s">
        <v>124</v>
      </c>
      <c r="AD3474" s="3">
        <v>40413</v>
      </c>
      <c r="AE3474" s="4">
        <v>0.71527777777777779</v>
      </c>
      <c r="AF3474" s="2"/>
      <c r="AG3474" s="2"/>
      <c r="AH3474" s="2">
        <v>6</v>
      </c>
      <c r="AI3474" s="2" t="s">
        <v>197</v>
      </c>
      <c r="AJ3474" s="2">
        <v>60</v>
      </c>
      <c r="AK3474" s="2" t="s">
        <v>543</v>
      </c>
      <c r="AL3474" s="2">
        <v>19</v>
      </c>
      <c r="AM3474" s="2" t="s">
        <v>107</v>
      </c>
      <c r="AN3474" s="2" t="s">
        <v>82</v>
      </c>
      <c r="AO3474" s="2" t="s">
        <v>2249</v>
      </c>
      <c r="AP3474" s="2">
        <v>11</v>
      </c>
      <c r="AQ3474" s="2" t="s">
        <v>82</v>
      </c>
      <c r="AR3474" s="2" t="s">
        <v>82</v>
      </c>
      <c r="AS3474" s="2" t="s">
        <v>82</v>
      </c>
      <c r="AT3474" s="2" t="s">
        <v>11166</v>
      </c>
      <c r="AU3474" s="2"/>
      <c r="AV3474" s="2"/>
      <c r="AW3474" s="2"/>
      <c r="AX3474" s="2"/>
      <c r="AY3474" s="2">
        <v>41</v>
      </c>
      <c r="AZ3474" s="2" t="s">
        <v>82</v>
      </c>
      <c r="BA3474" s="2">
        <v>41</v>
      </c>
      <c r="BB3474" s="2" t="s">
        <v>82</v>
      </c>
      <c r="BC3474" s="2">
        <v>41</v>
      </c>
      <c r="BD3474" s="2" t="s">
        <v>82</v>
      </c>
      <c r="BE3474" s="2">
        <v>42</v>
      </c>
      <c r="BF3474" s="2" t="s">
        <v>182</v>
      </c>
      <c r="BG3474" s="2">
        <v>474</v>
      </c>
      <c r="BH3474" s="4">
        <v>0.70833333333333337</v>
      </c>
      <c r="BI3474" s="4">
        <v>0.74305555555555547</v>
      </c>
      <c r="BJ3474" s="2">
        <v>13</v>
      </c>
      <c r="BK3474" s="2" t="s">
        <v>91</v>
      </c>
      <c r="BL3474" s="2" t="s">
        <v>895</v>
      </c>
      <c r="BM3474" s="2">
        <v>13</v>
      </c>
      <c r="BN3474" s="2" t="s">
        <v>91</v>
      </c>
      <c r="BO3474" s="2" t="s">
        <v>6083</v>
      </c>
      <c r="BP3474" s="2">
        <v>13</v>
      </c>
      <c r="BQ3474" s="2" t="s">
        <v>91</v>
      </c>
      <c r="BR3474" s="2" t="s">
        <v>353</v>
      </c>
      <c r="BS3474" s="3">
        <v>40413</v>
      </c>
      <c r="BT3474" s="4">
        <v>0.77295138888888892</v>
      </c>
    </row>
    <row r="3475" spans="1:72" x14ac:dyDescent="0.25">
      <c r="A3475" s="2">
        <v>5111</v>
      </c>
      <c r="B3475" s="2">
        <v>2010</v>
      </c>
      <c r="C3475" s="2" t="s">
        <v>196</v>
      </c>
      <c r="D3475" s="2" t="s">
        <v>122</v>
      </c>
      <c r="E3475" s="2"/>
      <c r="F3475" s="2">
        <v>1</v>
      </c>
      <c r="G3475" s="2" t="s">
        <v>82</v>
      </c>
      <c r="H3475" s="2">
        <v>1</v>
      </c>
      <c r="I3475" s="2" t="s">
        <v>82</v>
      </c>
      <c r="J3475" s="2">
        <v>1</v>
      </c>
      <c r="K3475" s="2" t="s">
        <v>107</v>
      </c>
      <c r="L3475" s="2" t="s">
        <v>107</v>
      </c>
      <c r="M3475" s="3">
        <v>40413</v>
      </c>
      <c r="N3475" s="2"/>
      <c r="O3475" s="2"/>
      <c r="P3475" s="2"/>
      <c r="Q3475" s="2" t="str">
        <f>""</f>
        <v/>
      </c>
      <c r="R3475" s="2"/>
      <c r="S3475" s="2"/>
      <c r="T3475" s="2">
        <v>2</v>
      </c>
      <c r="U3475" s="2" t="s">
        <v>123</v>
      </c>
      <c r="V3475" s="2">
        <v>1</v>
      </c>
      <c r="W3475" s="2" t="s">
        <v>80</v>
      </c>
      <c r="X3475" s="2">
        <v>11</v>
      </c>
      <c r="Y3475" s="2" t="s">
        <v>1920</v>
      </c>
      <c r="Z3475" s="2">
        <v>1</v>
      </c>
      <c r="AA3475" s="2" t="s">
        <v>82</v>
      </c>
      <c r="AB3475" s="2">
        <v>9</v>
      </c>
      <c r="AC3475" s="2" t="s">
        <v>124</v>
      </c>
      <c r="AD3475" s="3">
        <v>40413</v>
      </c>
      <c r="AE3475" s="4">
        <v>0.75902777777777775</v>
      </c>
      <c r="AF3475" s="2"/>
      <c r="AG3475" s="2"/>
      <c r="AH3475" s="2">
        <v>4</v>
      </c>
      <c r="AI3475" s="2" t="s">
        <v>125</v>
      </c>
      <c r="AJ3475" s="2">
        <v>30</v>
      </c>
      <c r="AK3475" s="2" t="s">
        <v>258</v>
      </c>
      <c r="AL3475" s="2">
        <v>10</v>
      </c>
      <c r="AM3475" s="2" t="s">
        <v>200</v>
      </c>
      <c r="AN3475" s="2"/>
      <c r="AO3475" s="2"/>
      <c r="AP3475" s="2">
        <v>11</v>
      </c>
      <c r="AQ3475" s="2" t="s">
        <v>82</v>
      </c>
      <c r="AR3475" s="2"/>
      <c r="AS3475" s="2"/>
      <c r="AT3475" s="2" t="s">
        <v>11167</v>
      </c>
      <c r="AU3475" s="2"/>
      <c r="AV3475" s="2"/>
      <c r="AW3475" s="2"/>
      <c r="AX3475" s="2"/>
      <c r="AY3475" s="2">
        <v>1</v>
      </c>
      <c r="AZ3475" s="2" t="s">
        <v>107</v>
      </c>
      <c r="BA3475" s="2">
        <v>1</v>
      </c>
      <c r="BB3475" s="2" t="s">
        <v>107</v>
      </c>
      <c r="BC3475" s="2">
        <v>1</v>
      </c>
      <c r="BD3475" s="2" t="s">
        <v>107</v>
      </c>
      <c r="BE3475" s="2">
        <v>42</v>
      </c>
      <c r="BF3475" s="2" t="s">
        <v>182</v>
      </c>
      <c r="BG3475" s="2" t="s">
        <v>11168</v>
      </c>
      <c r="BH3475" s="4">
        <v>0.75902777777777775</v>
      </c>
      <c r="BI3475" s="2"/>
      <c r="BJ3475" s="2">
        <v>13</v>
      </c>
      <c r="BK3475" s="2" t="s">
        <v>91</v>
      </c>
      <c r="BL3475" s="2" t="s">
        <v>185</v>
      </c>
      <c r="BM3475" s="2">
        <v>241</v>
      </c>
      <c r="BN3475" s="2" t="s">
        <v>82</v>
      </c>
      <c r="BO3475" s="2"/>
      <c r="BP3475" s="2">
        <v>13</v>
      </c>
      <c r="BQ3475" s="2" t="s">
        <v>91</v>
      </c>
      <c r="BR3475" s="2" t="s">
        <v>2865</v>
      </c>
      <c r="BS3475" s="3">
        <v>40413</v>
      </c>
      <c r="BT3475" s="4">
        <v>0.77856481481481488</v>
      </c>
    </row>
    <row r="3476" spans="1:72" x14ac:dyDescent="0.25">
      <c r="A3476" s="2">
        <v>5113</v>
      </c>
      <c r="B3476" s="2">
        <v>2010</v>
      </c>
      <c r="C3476" s="2" t="s">
        <v>121</v>
      </c>
      <c r="D3476" s="2" t="s">
        <v>122</v>
      </c>
      <c r="E3476" s="2" t="s">
        <v>11169</v>
      </c>
      <c r="F3476" s="2">
        <v>1</v>
      </c>
      <c r="G3476" s="2" t="s">
        <v>82</v>
      </c>
      <c r="H3476" s="2">
        <v>1</v>
      </c>
      <c r="I3476" s="2" t="s">
        <v>82</v>
      </c>
      <c r="J3476" s="2">
        <v>1</v>
      </c>
      <c r="K3476" s="2" t="s">
        <v>107</v>
      </c>
      <c r="L3476" s="2" t="s">
        <v>107</v>
      </c>
      <c r="M3476" s="3">
        <v>40413</v>
      </c>
      <c r="N3476" s="2"/>
      <c r="O3476" s="2"/>
      <c r="P3476" s="2"/>
      <c r="Q3476" s="2" t="str">
        <f>""</f>
        <v/>
      </c>
      <c r="R3476" s="2"/>
      <c r="S3476" s="2"/>
      <c r="T3476" s="2">
        <v>2</v>
      </c>
      <c r="U3476" s="2" t="s">
        <v>123</v>
      </c>
      <c r="V3476" s="2">
        <v>1</v>
      </c>
      <c r="W3476" s="2" t="s">
        <v>80</v>
      </c>
      <c r="X3476" s="2">
        <v>5</v>
      </c>
      <c r="Y3476" s="2" t="s">
        <v>82</v>
      </c>
      <c r="Z3476" s="2">
        <v>1</v>
      </c>
      <c r="AA3476" s="2" t="s">
        <v>82</v>
      </c>
      <c r="AB3476" s="2">
        <v>9</v>
      </c>
      <c r="AC3476" s="2" t="s">
        <v>124</v>
      </c>
      <c r="AD3476" s="2"/>
      <c r="AE3476" s="2"/>
      <c r="AF3476" s="2"/>
      <c r="AG3476" s="2"/>
      <c r="AH3476" s="2">
        <v>4</v>
      </c>
      <c r="AI3476" s="2" t="s">
        <v>125</v>
      </c>
      <c r="AJ3476" s="2">
        <v>28</v>
      </c>
      <c r="AK3476" s="2" t="s">
        <v>741</v>
      </c>
      <c r="AL3476" s="2">
        <v>18</v>
      </c>
      <c r="AM3476" s="2" t="s">
        <v>82</v>
      </c>
      <c r="AN3476" s="2"/>
      <c r="AO3476" s="2"/>
      <c r="AP3476" s="2">
        <v>11</v>
      </c>
      <c r="AQ3476" s="2" t="s">
        <v>82</v>
      </c>
      <c r="AR3476" s="2"/>
      <c r="AS3476" s="2"/>
      <c r="AT3476" s="2" t="s">
        <v>11170</v>
      </c>
      <c r="AU3476" s="2"/>
      <c r="AV3476" s="2"/>
      <c r="AW3476" s="2"/>
      <c r="AX3476" s="2"/>
      <c r="AY3476" s="2">
        <v>1</v>
      </c>
      <c r="AZ3476" s="2" t="s">
        <v>107</v>
      </c>
      <c r="BA3476" s="2">
        <v>1</v>
      </c>
      <c r="BB3476" s="2" t="s">
        <v>107</v>
      </c>
      <c r="BC3476" s="2">
        <v>1</v>
      </c>
      <c r="BD3476" s="2" t="s">
        <v>107</v>
      </c>
      <c r="BE3476" s="2">
        <v>1</v>
      </c>
      <c r="BF3476" s="2" t="s">
        <v>107</v>
      </c>
      <c r="BG3476" s="2"/>
      <c r="BH3476" s="4">
        <v>0.4236111111111111</v>
      </c>
      <c r="BI3476" s="4">
        <v>0.70138888888888884</v>
      </c>
      <c r="BJ3476" s="2">
        <v>242</v>
      </c>
      <c r="BK3476" s="2" t="s">
        <v>107</v>
      </c>
      <c r="BL3476" s="2" t="s">
        <v>5117</v>
      </c>
      <c r="BM3476" s="2">
        <v>242</v>
      </c>
      <c r="BN3476" s="2" t="s">
        <v>107</v>
      </c>
      <c r="BO3476" s="2"/>
      <c r="BP3476" s="2">
        <v>242</v>
      </c>
      <c r="BQ3476" s="2" t="s">
        <v>107</v>
      </c>
      <c r="BR3476" s="2" t="s">
        <v>2865</v>
      </c>
      <c r="BS3476" s="3">
        <v>40413</v>
      </c>
      <c r="BT3476" s="4">
        <v>0.81857638888888884</v>
      </c>
    </row>
    <row r="3477" spans="1:72" x14ac:dyDescent="0.25">
      <c r="A3477" s="2">
        <v>5117</v>
      </c>
      <c r="B3477" s="2">
        <v>2010</v>
      </c>
      <c r="C3477" s="2" t="s">
        <v>377</v>
      </c>
      <c r="D3477" s="2" t="s">
        <v>73</v>
      </c>
      <c r="E3477" s="2"/>
      <c r="F3477" s="2">
        <v>426</v>
      </c>
      <c r="G3477" s="2" t="s">
        <v>378</v>
      </c>
      <c r="H3477" s="2">
        <v>42</v>
      </c>
      <c r="I3477" s="2" t="s">
        <v>1096</v>
      </c>
      <c r="J3477" s="2">
        <v>311</v>
      </c>
      <c r="K3477" s="2" t="s">
        <v>379</v>
      </c>
      <c r="L3477" s="2" t="s">
        <v>380</v>
      </c>
      <c r="M3477" s="3">
        <v>40413</v>
      </c>
      <c r="N3477" s="2" t="s">
        <v>5164</v>
      </c>
      <c r="O3477" s="2"/>
      <c r="P3477" s="2"/>
      <c r="Q3477" s="2" t="str">
        <f>"223-C/10"</f>
        <v>223-C/10</v>
      </c>
      <c r="R3477" s="2" t="s">
        <v>3458</v>
      </c>
      <c r="S3477" s="2"/>
      <c r="T3477" s="2">
        <v>1</v>
      </c>
      <c r="U3477" s="2" t="s">
        <v>79</v>
      </c>
      <c r="V3477" s="2">
        <v>1</v>
      </c>
      <c r="W3477" s="2" t="s">
        <v>80</v>
      </c>
      <c r="X3477" s="2">
        <v>1</v>
      </c>
      <c r="Y3477" s="2" t="s">
        <v>81</v>
      </c>
      <c r="Z3477" s="2">
        <v>1</v>
      </c>
      <c r="AA3477" s="2" t="s">
        <v>82</v>
      </c>
      <c r="AB3477" s="2">
        <v>9</v>
      </c>
      <c r="AC3477" s="2" t="s">
        <v>124</v>
      </c>
      <c r="AD3477" s="3">
        <v>40413</v>
      </c>
      <c r="AE3477" s="4">
        <v>0.68055555555555547</v>
      </c>
      <c r="AF3477" s="2"/>
      <c r="AG3477" s="2"/>
      <c r="AH3477" s="2">
        <v>2</v>
      </c>
      <c r="AI3477" s="2" t="s">
        <v>84</v>
      </c>
      <c r="AJ3477" s="2">
        <v>9</v>
      </c>
      <c r="AK3477" s="2" t="s">
        <v>103</v>
      </c>
      <c r="AL3477" s="2">
        <v>29</v>
      </c>
      <c r="AM3477" s="2" t="s">
        <v>5416</v>
      </c>
      <c r="AN3477" s="2"/>
      <c r="AO3477" s="2" t="s">
        <v>8942</v>
      </c>
      <c r="AP3477" s="2">
        <v>11</v>
      </c>
      <c r="AQ3477" s="2" t="s">
        <v>82</v>
      </c>
      <c r="AR3477" s="2"/>
      <c r="AS3477" s="2"/>
      <c r="AT3477" s="2" t="s">
        <v>11171</v>
      </c>
      <c r="AU3477" s="2"/>
      <c r="AV3477" s="2"/>
      <c r="AW3477" s="2"/>
      <c r="AX3477" s="2"/>
      <c r="AY3477" s="2">
        <v>41</v>
      </c>
      <c r="AZ3477" s="2" t="s">
        <v>82</v>
      </c>
      <c r="BA3477" s="2">
        <v>41</v>
      </c>
      <c r="BB3477" s="2" t="s">
        <v>82</v>
      </c>
      <c r="BC3477" s="2">
        <v>41</v>
      </c>
      <c r="BD3477" s="2" t="s">
        <v>82</v>
      </c>
      <c r="BE3477" s="2">
        <v>41</v>
      </c>
      <c r="BF3477" s="2" t="s">
        <v>82</v>
      </c>
      <c r="BG3477" s="2"/>
      <c r="BH3477" s="2"/>
      <c r="BI3477" s="2"/>
      <c r="BJ3477" s="2">
        <v>241</v>
      </c>
      <c r="BK3477" s="2" t="s">
        <v>82</v>
      </c>
      <c r="BL3477" s="2"/>
      <c r="BM3477" s="2">
        <v>241</v>
      </c>
      <c r="BN3477" s="2" t="s">
        <v>82</v>
      </c>
      <c r="BO3477" s="2"/>
      <c r="BP3477" s="2">
        <v>241</v>
      </c>
      <c r="BQ3477" s="2" t="s">
        <v>82</v>
      </c>
      <c r="BR3477" s="2"/>
      <c r="BS3477" s="3">
        <v>40413</v>
      </c>
      <c r="BT3477" s="4">
        <v>0.90601851851851845</v>
      </c>
    </row>
    <row r="3478" spans="1:72" x14ac:dyDescent="0.25">
      <c r="A3478" s="2">
        <v>5118</v>
      </c>
      <c r="B3478" s="2">
        <v>2010</v>
      </c>
      <c r="C3478" s="2" t="s">
        <v>196</v>
      </c>
      <c r="D3478" s="2" t="s">
        <v>122</v>
      </c>
      <c r="E3478" s="2" t="s">
        <v>11172</v>
      </c>
      <c r="F3478" s="2">
        <v>1</v>
      </c>
      <c r="G3478" s="2" t="s">
        <v>82</v>
      </c>
      <c r="H3478" s="2">
        <v>1</v>
      </c>
      <c r="I3478" s="2" t="s">
        <v>82</v>
      </c>
      <c r="J3478" s="2">
        <v>1</v>
      </c>
      <c r="K3478" s="2" t="s">
        <v>107</v>
      </c>
      <c r="L3478" s="2" t="s">
        <v>107</v>
      </c>
      <c r="M3478" s="3">
        <v>40413</v>
      </c>
      <c r="N3478" s="2"/>
      <c r="O3478" s="2"/>
      <c r="P3478" s="2"/>
      <c r="Q3478" s="2" t="str">
        <f>""</f>
        <v/>
      </c>
      <c r="R3478" s="2"/>
      <c r="S3478" s="2"/>
      <c r="T3478" s="2">
        <v>2</v>
      </c>
      <c r="U3478" s="2" t="s">
        <v>123</v>
      </c>
      <c r="V3478" s="2">
        <v>1</v>
      </c>
      <c r="W3478" s="2" t="s">
        <v>80</v>
      </c>
      <c r="X3478" s="2">
        <v>11</v>
      </c>
      <c r="Y3478" s="2" t="s">
        <v>1920</v>
      </c>
      <c r="Z3478" s="2">
        <v>1</v>
      </c>
      <c r="AA3478" s="2" t="s">
        <v>82</v>
      </c>
      <c r="AB3478" s="2">
        <v>9</v>
      </c>
      <c r="AC3478" s="2" t="s">
        <v>124</v>
      </c>
      <c r="AD3478" s="3">
        <v>40413</v>
      </c>
      <c r="AE3478" s="4">
        <v>0.88124999999999998</v>
      </c>
      <c r="AF3478" s="2"/>
      <c r="AG3478" s="2"/>
      <c r="AH3478" s="2">
        <v>4</v>
      </c>
      <c r="AI3478" s="2" t="s">
        <v>125</v>
      </c>
      <c r="AJ3478" s="2">
        <v>30</v>
      </c>
      <c r="AK3478" s="2" t="s">
        <v>258</v>
      </c>
      <c r="AL3478" s="2">
        <v>10</v>
      </c>
      <c r="AM3478" s="2" t="s">
        <v>200</v>
      </c>
      <c r="AN3478" s="2"/>
      <c r="AO3478" s="2"/>
      <c r="AP3478" s="2">
        <v>11</v>
      </c>
      <c r="AQ3478" s="2" t="s">
        <v>82</v>
      </c>
      <c r="AR3478" s="2"/>
      <c r="AS3478" s="2"/>
      <c r="AT3478" s="2" t="s">
        <v>11173</v>
      </c>
      <c r="AU3478" s="2"/>
      <c r="AV3478" s="2"/>
      <c r="AW3478" s="2"/>
      <c r="AX3478" s="2"/>
      <c r="AY3478" s="2">
        <v>1</v>
      </c>
      <c r="AZ3478" s="2" t="s">
        <v>107</v>
      </c>
      <c r="BA3478" s="2">
        <v>1</v>
      </c>
      <c r="BB3478" s="2" t="s">
        <v>107</v>
      </c>
      <c r="BC3478" s="2">
        <v>1</v>
      </c>
      <c r="BD3478" s="2" t="s">
        <v>107</v>
      </c>
      <c r="BE3478" s="2">
        <v>42</v>
      </c>
      <c r="BF3478" s="2" t="s">
        <v>182</v>
      </c>
      <c r="BG3478" s="2" t="s">
        <v>11168</v>
      </c>
      <c r="BH3478" s="4">
        <v>0.75902777777777775</v>
      </c>
      <c r="BI3478" s="4">
        <v>0.88124999999999998</v>
      </c>
      <c r="BJ3478" s="2">
        <v>13</v>
      </c>
      <c r="BK3478" s="2" t="s">
        <v>91</v>
      </c>
      <c r="BL3478" s="2" t="s">
        <v>2865</v>
      </c>
      <c r="BM3478" s="2">
        <v>241</v>
      </c>
      <c r="BN3478" s="2" t="s">
        <v>82</v>
      </c>
      <c r="BO3478" s="2"/>
      <c r="BP3478" s="2">
        <v>13</v>
      </c>
      <c r="BQ3478" s="2" t="s">
        <v>91</v>
      </c>
      <c r="BR3478" s="2" t="s">
        <v>185</v>
      </c>
      <c r="BS3478" s="3">
        <v>40413</v>
      </c>
      <c r="BT3478" s="4">
        <v>0.90665509259259258</v>
      </c>
    </row>
    <row r="3479" spans="1:72" x14ac:dyDescent="0.25">
      <c r="A3479" s="2">
        <v>5119</v>
      </c>
      <c r="B3479" s="2">
        <v>2010</v>
      </c>
      <c r="C3479" s="2" t="s">
        <v>377</v>
      </c>
      <c r="D3479" s="2" t="s">
        <v>73</v>
      </c>
      <c r="E3479" s="2"/>
      <c r="F3479" s="2">
        <v>426</v>
      </c>
      <c r="G3479" s="2" t="s">
        <v>378</v>
      </c>
      <c r="H3479" s="2">
        <v>42</v>
      </c>
      <c r="I3479" s="2" t="s">
        <v>1096</v>
      </c>
      <c r="J3479" s="2">
        <v>311</v>
      </c>
      <c r="K3479" s="2" t="s">
        <v>379</v>
      </c>
      <c r="L3479" s="2" t="s">
        <v>380</v>
      </c>
      <c r="M3479" s="3">
        <v>40413</v>
      </c>
      <c r="N3479" s="2" t="s">
        <v>5164</v>
      </c>
      <c r="O3479" s="2"/>
      <c r="P3479" s="2"/>
      <c r="Q3479" s="2" t="str">
        <f>"224-C/10"</f>
        <v>224-C/10</v>
      </c>
      <c r="R3479" s="2" t="s">
        <v>11174</v>
      </c>
      <c r="S3479" s="2"/>
      <c r="T3479" s="2">
        <v>1</v>
      </c>
      <c r="U3479" s="2" t="s">
        <v>79</v>
      </c>
      <c r="V3479" s="2">
        <v>1</v>
      </c>
      <c r="W3479" s="2" t="s">
        <v>80</v>
      </c>
      <c r="X3479" s="2">
        <v>1</v>
      </c>
      <c r="Y3479" s="2" t="s">
        <v>81</v>
      </c>
      <c r="Z3479" s="2">
        <v>1</v>
      </c>
      <c r="AA3479" s="2" t="s">
        <v>82</v>
      </c>
      <c r="AB3479" s="2">
        <v>9</v>
      </c>
      <c r="AC3479" s="2" t="s">
        <v>124</v>
      </c>
      <c r="AD3479" s="3">
        <v>40413</v>
      </c>
      <c r="AE3479" s="4">
        <v>0.77083333333333337</v>
      </c>
      <c r="AF3479" s="2"/>
      <c r="AG3479" s="2"/>
      <c r="AH3479" s="2">
        <v>2</v>
      </c>
      <c r="AI3479" s="2" t="s">
        <v>84</v>
      </c>
      <c r="AJ3479" s="2">
        <v>9</v>
      </c>
      <c r="AK3479" s="2" t="s">
        <v>103</v>
      </c>
      <c r="AL3479" s="2">
        <v>29</v>
      </c>
      <c r="AM3479" s="2" t="s">
        <v>5416</v>
      </c>
      <c r="AN3479" s="2"/>
      <c r="AO3479" s="2" t="s">
        <v>11175</v>
      </c>
      <c r="AP3479" s="2">
        <v>11</v>
      </c>
      <c r="AQ3479" s="2" t="s">
        <v>82</v>
      </c>
      <c r="AR3479" s="2"/>
      <c r="AS3479" s="2"/>
      <c r="AT3479" s="2" t="s">
        <v>11176</v>
      </c>
      <c r="AU3479" s="2"/>
      <c r="AV3479" s="2"/>
      <c r="AW3479" s="2"/>
      <c r="AX3479" s="2"/>
      <c r="AY3479" s="2">
        <v>41</v>
      </c>
      <c r="AZ3479" s="2" t="s">
        <v>82</v>
      </c>
      <c r="BA3479" s="2">
        <v>41</v>
      </c>
      <c r="BB3479" s="2" t="s">
        <v>82</v>
      </c>
      <c r="BC3479" s="2">
        <v>41</v>
      </c>
      <c r="BD3479" s="2" t="s">
        <v>82</v>
      </c>
      <c r="BE3479" s="2">
        <v>41</v>
      </c>
      <c r="BF3479" s="2" t="s">
        <v>82</v>
      </c>
      <c r="BG3479" s="2"/>
      <c r="BH3479" s="2"/>
      <c r="BI3479" s="2"/>
      <c r="BJ3479" s="2">
        <v>241</v>
      </c>
      <c r="BK3479" s="2" t="s">
        <v>82</v>
      </c>
      <c r="BL3479" s="2"/>
      <c r="BM3479" s="2">
        <v>241</v>
      </c>
      <c r="BN3479" s="2" t="s">
        <v>82</v>
      </c>
      <c r="BO3479" s="2"/>
      <c r="BP3479" s="2">
        <v>241</v>
      </c>
      <c r="BQ3479" s="2" t="s">
        <v>82</v>
      </c>
      <c r="BR3479" s="2"/>
      <c r="BS3479" s="3">
        <v>40413</v>
      </c>
      <c r="BT3479" s="4">
        <v>0.92046296296296293</v>
      </c>
    </row>
    <row r="3480" spans="1:72" x14ac:dyDescent="0.25">
      <c r="A3480" s="2">
        <v>5120</v>
      </c>
      <c r="B3480" s="2">
        <v>2010</v>
      </c>
      <c r="C3480" s="2" t="s">
        <v>196</v>
      </c>
      <c r="D3480" s="2" t="s">
        <v>122</v>
      </c>
      <c r="E3480" s="2"/>
      <c r="F3480" s="2">
        <v>1</v>
      </c>
      <c r="G3480" s="2" t="s">
        <v>82</v>
      </c>
      <c r="H3480" s="2">
        <v>1</v>
      </c>
      <c r="I3480" s="2" t="s">
        <v>82</v>
      </c>
      <c r="J3480" s="2">
        <v>1</v>
      </c>
      <c r="K3480" s="2" t="s">
        <v>107</v>
      </c>
      <c r="L3480" s="2" t="s">
        <v>107</v>
      </c>
      <c r="M3480" s="3">
        <v>40413</v>
      </c>
      <c r="N3480" s="2"/>
      <c r="O3480" s="2"/>
      <c r="P3480" s="2"/>
      <c r="Q3480" s="2" t="str">
        <f>""</f>
        <v/>
      </c>
      <c r="R3480" s="2"/>
      <c r="S3480" s="2"/>
      <c r="T3480" s="2">
        <v>2</v>
      </c>
      <c r="U3480" s="2" t="s">
        <v>123</v>
      </c>
      <c r="V3480" s="2">
        <v>1</v>
      </c>
      <c r="W3480" s="2" t="s">
        <v>80</v>
      </c>
      <c r="X3480" s="2">
        <v>11</v>
      </c>
      <c r="Y3480" s="2" t="s">
        <v>1920</v>
      </c>
      <c r="Z3480" s="2">
        <v>10</v>
      </c>
      <c r="AA3480" s="2" t="s">
        <v>236</v>
      </c>
      <c r="AB3480" s="2">
        <v>9</v>
      </c>
      <c r="AC3480" s="2" t="s">
        <v>124</v>
      </c>
      <c r="AD3480" s="3">
        <v>40413</v>
      </c>
      <c r="AE3480" s="4">
        <v>0.89583333333333337</v>
      </c>
      <c r="AF3480" s="2"/>
      <c r="AG3480" s="2"/>
      <c r="AH3480" s="2">
        <v>2</v>
      </c>
      <c r="AI3480" s="2" t="s">
        <v>84</v>
      </c>
      <c r="AJ3480" s="2">
        <v>12</v>
      </c>
      <c r="AK3480" s="2" t="s">
        <v>85</v>
      </c>
      <c r="AL3480" s="2">
        <v>20</v>
      </c>
      <c r="AM3480" s="2" t="s">
        <v>992</v>
      </c>
      <c r="AN3480" s="2"/>
      <c r="AO3480" s="2"/>
      <c r="AP3480" s="2">
        <v>11</v>
      </c>
      <c r="AQ3480" s="2" t="s">
        <v>82</v>
      </c>
      <c r="AR3480" s="2"/>
      <c r="AS3480" s="2"/>
      <c r="AT3480" s="2" t="s">
        <v>11177</v>
      </c>
      <c r="AU3480" s="2"/>
      <c r="AV3480" s="2"/>
      <c r="AW3480" s="2"/>
      <c r="AX3480" s="2"/>
      <c r="AY3480" s="2">
        <v>41</v>
      </c>
      <c r="AZ3480" s="2" t="s">
        <v>82</v>
      </c>
      <c r="BA3480" s="2">
        <v>41</v>
      </c>
      <c r="BB3480" s="2" t="s">
        <v>82</v>
      </c>
      <c r="BC3480" s="2">
        <v>70</v>
      </c>
      <c r="BD3480" s="2" t="s">
        <v>236</v>
      </c>
      <c r="BE3480" s="2">
        <v>41</v>
      </c>
      <c r="BF3480" s="2" t="s">
        <v>82</v>
      </c>
      <c r="BG3480" s="2" t="s">
        <v>265</v>
      </c>
      <c r="BH3480" s="4">
        <v>0.95138888888888884</v>
      </c>
      <c r="BI3480" s="2"/>
      <c r="BJ3480" s="2">
        <v>13</v>
      </c>
      <c r="BK3480" s="2" t="s">
        <v>91</v>
      </c>
      <c r="BL3480" s="2" t="s">
        <v>2865</v>
      </c>
      <c r="BM3480" s="2">
        <v>241</v>
      </c>
      <c r="BN3480" s="2" t="s">
        <v>82</v>
      </c>
      <c r="BO3480" s="2"/>
      <c r="BP3480" s="2">
        <v>13</v>
      </c>
      <c r="BQ3480" s="2" t="s">
        <v>91</v>
      </c>
      <c r="BR3480" s="2" t="s">
        <v>185</v>
      </c>
      <c r="BS3480" s="3">
        <v>40413</v>
      </c>
      <c r="BT3480" s="4">
        <v>0.97833333333333339</v>
      </c>
    </row>
    <row r="3481" spans="1:72" x14ac:dyDescent="0.25">
      <c r="A3481" s="2">
        <v>5121</v>
      </c>
      <c r="B3481" s="2">
        <v>2010</v>
      </c>
      <c r="C3481" s="2" t="s">
        <v>72</v>
      </c>
      <c r="D3481" s="2" t="s">
        <v>73</v>
      </c>
      <c r="E3481" s="2"/>
      <c r="F3481" s="2">
        <v>438</v>
      </c>
      <c r="G3481" s="2" t="s">
        <v>7090</v>
      </c>
      <c r="H3481" s="2">
        <v>42</v>
      </c>
      <c r="I3481" s="2" t="s">
        <v>1096</v>
      </c>
      <c r="J3481" s="2">
        <v>327</v>
      </c>
      <c r="K3481" s="2" t="s">
        <v>7091</v>
      </c>
      <c r="L3481" s="2" t="s">
        <v>7092</v>
      </c>
      <c r="M3481" s="3">
        <v>40413</v>
      </c>
      <c r="N3481" s="2" t="s">
        <v>7093</v>
      </c>
      <c r="O3481" s="2"/>
      <c r="P3481" s="2"/>
      <c r="Q3481" s="2" t="str">
        <f>"091/10"</f>
        <v>091/10</v>
      </c>
      <c r="R3481" s="2" t="s">
        <v>657</v>
      </c>
      <c r="S3481" s="2"/>
      <c r="T3481" s="2">
        <v>1</v>
      </c>
      <c r="U3481" s="2" t="s">
        <v>79</v>
      </c>
      <c r="V3481" s="2">
        <v>1</v>
      </c>
      <c r="W3481" s="2" t="s">
        <v>80</v>
      </c>
      <c r="X3481" s="2">
        <v>12</v>
      </c>
      <c r="Y3481" s="2" t="s">
        <v>148</v>
      </c>
      <c r="Z3481" s="2">
        <v>1</v>
      </c>
      <c r="AA3481" s="2" t="s">
        <v>82</v>
      </c>
      <c r="AB3481" s="2">
        <v>6</v>
      </c>
      <c r="AC3481" s="2" t="s">
        <v>83</v>
      </c>
      <c r="AD3481" s="3">
        <v>40413</v>
      </c>
      <c r="AE3481" s="4">
        <v>0.71875</v>
      </c>
      <c r="AF3481" s="3">
        <v>40413</v>
      </c>
      <c r="AG3481" s="4">
        <v>0.86111111111111116</v>
      </c>
      <c r="AH3481" s="2">
        <v>4</v>
      </c>
      <c r="AI3481" s="2" t="s">
        <v>125</v>
      </c>
      <c r="AJ3481" s="2">
        <v>29</v>
      </c>
      <c r="AK3481" s="2" t="s">
        <v>227</v>
      </c>
      <c r="AL3481" s="2">
        <v>22</v>
      </c>
      <c r="AM3481" s="2" t="s">
        <v>1853</v>
      </c>
      <c r="AN3481" s="2"/>
      <c r="AO3481" s="2"/>
      <c r="AP3481" s="2">
        <v>11</v>
      </c>
      <c r="AQ3481" s="2" t="s">
        <v>82</v>
      </c>
      <c r="AR3481" s="2"/>
      <c r="AS3481" s="2"/>
      <c r="AT3481" s="2" t="s">
        <v>11178</v>
      </c>
      <c r="AU3481" s="2"/>
      <c r="AV3481" s="2"/>
      <c r="AW3481" s="2"/>
      <c r="AX3481" s="2"/>
      <c r="AY3481" s="2">
        <v>41</v>
      </c>
      <c r="AZ3481" s="2" t="s">
        <v>82</v>
      </c>
      <c r="BA3481" s="2">
        <v>41</v>
      </c>
      <c r="BB3481" s="2" t="s">
        <v>82</v>
      </c>
      <c r="BC3481" s="2">
        <v>41</v>
      </c>
      <c r="BD3481" s="2" t="s">
        <v>82</v>
      </c>
      <c r="BE3481" s="2">
        <v>4</v>
      </c>
      <c r="BF3481" s="2" t="s">
        <v>90</v>
      </c>
      <c r="BG3481" s="2">
        <v>4134</v>
      </c>
      <c r="BH3481" s="4">
        <v>0.80208333333333337</v>
      </c>
      <c r="BI3481" s="4">
        <v>0.71875</v>
      </c>
      <c r="BJ3481" s="2">
        <v>13</v>
      </c>
      <c r="BK3481" s="2" t="s">
        <v>91</v>
      </c>
      <c r="BL3481" s="2" t="s">
        <v>185</v>
      </c>
      <c r="BM3481" s="2">
        <v>241</v>
      </c>
      <c r="BN3481" s="2" t="s">
        <v>82</v>
      </c>
      <c r="BO3481" s="2" t="s">
        <v>82</v>
      </c>
      <c r="BP3481" s="2">
        <v>13</v>
      </c>
      <c r="BQ3481" s="2" t="s">
        <v>91</v>
      </c>
      <c r="BR3481" s="2" t="s">
        <v>828</v>
      </c>
      <c r="BS3481" s="3">
        <v>40413</v>
      </c>
      <c r="BT3481" s="4">
        <v>0.99825231481481491</v>
      </c>
    </row>
    <row r="3482" spans="1:72" x14ac:dyDescent="0.25">
      <c r="A3482" s="2">
        <v>5122</v>
      </c>
      <c r="B3482" s="2">
        <v>2010</v>
      </c>
      <c r="C3482" s="2" t="s">
        <v>72</v>
      </c>
      <c r="D3482" s="2" t="s">
        <v>73</v>
      </c>
      <c r="E3482" s="2"/>
      <c r="F3482" s="2">
        <v>667</v>
      </c>
      <c r="G3482" s="2" t="s">
        <v>10892</v>
      </c>
      <c r="H3482" s="2">
        <v>42</v>
      </c>
      <c r="I3482" s="2" t="s">
        <v>1096</v>
      </c>
      <c r="J3482" s="2">
        <v>642</v>
      </c>
      <c r="K3482" s="2" t="s">
        <v>10893</v>
      </c>
      <c r="L3482" s="2" t="s">
        <v>6311</v>
      </c>
      <c r="M3482" s="3">
        <v>40414</v>
      </c>
      <c r="N3482" s="2" t="s">
        <v>10894</v>
      </c>
      <c r="O3482" s="2"/>
      <c r="P3482" s="2"/>
      <c r="Q3482" s="2" t="str">
        <f>"331-A/10"</f>
        <v>331-A/10</v>
      </c>
      <c r="R3482" s="2" t="s">
        <v>206</v>
      </c>
      <c r="S3482" s="2" t="s">
        <v>206</v>
      </c>
      <c r="T3482" s="2">
        <v>1</v>
      </c>
      <c r="U3482" s="2" t="s">
        <v>79</v>
      </c>
      <c r="V3482" s="2">
        <v>1</v>
      </c>
      <c r="W3482" s="2" t="s">
        <v>80</v>
      </c>
      <c r="X3482" s="2">
        <v>12</v>
      </c>
      <c r="Y3482" s="2" t="s">
        <v>148</v>
      </c>
      <c r="Z3482" s="2">
        <v>1</v>
      </c>
      <c r="AA3482" s="2" t="s">
        <v>82</v>
      </c>
      <c r="AB3482" s="2">
        <v>6</v>
      </c>
      <c r="AC3482" s="2" t="s">
        <v>83</v>
      </c>
      <c r="AD3482" s="3">
        <v>40413</v>
      </c>
      <c r="AE3482" s="2"/>
      <c r="AF3482" s="3">
        <v>40413</v>
      </c>
      <c r="AG3482" s="4">
        <v>0.92708333333333337</v>
      </c>
      <c r="AH3482" s="2">
        <v>2</v>
      </c>
      <c r="AI3482" s="2" t="s">
        <v>84</v>
      </c>
      <c r="AJ3482" s="2">
        <v>12</v>
      </c>
      <c r="AK3482" s="2" t="s">
        <v>85</v>
      </c>
      <c r="AL3482" s="2">
        <v>22</v>
      </c>
      <c r="AM3482" s="2" t="s">
        <v>1853</v>
      </c>
      <c r="AN3482" s="2"/>
      <c r="AO3482" s="2" t="s">
        <v>11179</v>
      </c>
      <c r="AP3482" s="2">
        <v>11</v>
      </c>
      <c r="AQ3482" s="2" t="s">
        <v>82</v>
      </c>
      <c r="AR3482" s="2"/>
      <c r="AS3482" s="2"/>
      <c r="AT3482" s="2" t="s">
        <v>11180</v>
      </c>
      <c r="AU3482" s="2"/>
      <c r="AV3482" s="2"/>
      <c r="AW3482" s="2"/>
      <c r="AX3482" s="2"/>
      <c r="AY3482" s="2">
        <v>41</v>
      </c>
      <c r="AZ3482" s="2" t="s">
        <v>82</v>
      </c>
      <c r="BA3482" s="2">
        <v>41</v>
      </c>
      <c r="BB3482" s="2" t="s">
        <v>82</v>
      </c>
      <c r="BC3482" s="2">
        <v>41</v>
      </c>
      <c r="BD3482" s="2" t="s">
        <v>82</v>
      </c>
      <c r="BE3482" s="2">
        <v>13</v>
      </c>
      <c r="BF3482" s="2" t="s">
        <v>108</v>
      </c>
      <c r="BG3482" s="2" t="s">
        <v>11181</v>
      </c>
      <c r="BH3482" s="4">
        <v>0.44444444444444442</v>
      </c>
      <c r="BI3482" s="4">
        <v>0.3611111111111111</v>
      </c>
      <c r="BJ3482" s="2">
        <v>13</v>
      </c>
      <c r="BK3482" s="2" t="s">
        <v>91</v>
      </c>
      <c r="BL3482" s="2" t="s">
        <v>564</v>
      </c>
      <c r="BM3482" s="2">
        <v>13</v>
      </c>
      <c r="BN3482" s="2" t="s">
        <v>91</v>
      </c>
      <c r="BO3482" s="2"/>
      <c r="BP3482" s="2">
        <v>13</v>
      </c>
      <c r="BQ3482" s="2" t="s">
        <v>91</v>
      </c>
      <c r="BR3482" s="2" t="s">
        <v>3387</v>
      </c>
      <c r="BS3482" s="3">
        <v>40414</v>
      </c>
      <c r="BT3482" s="4">
        <v>1.4479166666666668E-2</v>
      </c>
    </row>
    <row r="3483" spans="1:72" x14ac:dyDescent="0.25">
      <c r="A3483" s="2">
        <v>5123</v>
      </c>
      <c r="B3483" s="2">
        <v>2010</v>
      </c>
      <c r="C3483" s="2" t="s">
        <v>72</v>
      </c>
      <c r="D3483" s="2" t="s">
        <v>73</v>
      </c>
      <c r="E3483" s="2"/>
      <c r="F3483" s="2">
        <v>662</v>
      </c>
      <c r="G3483" s="2" t="s">
        <v>10249</v>
      </c>
      <c r="H3483" s="2">
        <v>22</v>
      </c>
      <c r="I3483" s="2" t="s">
        <v>75</v>
      </c>
      <c r="J3483" s="2">
        <v>633</v>
      </c>
      <c r="K3483" s="2" t="s">
        <v>10250</v>
      </c>
      <c r="L3483" s="2" t="s">
        <v>10251</v>
      </c>
      <c r="M3483" s="3">
        <v>40414</v>
      </c>
      <c r="N3483" s="2" t="s">
        <v>10454</v>
      </c>
      <c r="O3483" s="2"/>
      <c r="P3483" s="2"/>
      <c r="Q3483" s="2" t="str">
        <f>"332-A/10"</f>
        <v>332-A/10</v>
      </c>
      <c r="R3483" s="2" t="s">
        <v>11182</v>
      </c>
      <c r="S3483" s="2" t="s">
        <v>11182</v>
      </c>
      <c r="T3483" s="2">
        <v>1</v>
      </c>
      <c r="U3483" s="2" t="s">
        <v>79</v>
      </c>
      <c r="V3483" s="2">
        <v>1</v>
      </c>
      <c r="W3483" s="2" t="s">
        <v>80</v>
      </c>
      <c r="X3483" s="2">
        <v>12</v>
      </c>
      <c r="Y3483" s="2" t="s">
        <v>148</v>
      </c>
      <c r="Z3483" s="2">
        <v>1</v>
      </c>
      <c r="AA3483" s="2" t="s">
        <v>82</v>
      </c>
      <c r="AB3483" s="2">
        <v>6</v>
      </c>
      <c r="AC3483" s="2" t="s">
        <v>83</v>
      </c>
      <c r="AD3483" s="3">
        <v>40413</v>
      </c>
      <c r="AE3483" s="2"/>
      <c r="AF3483" s="3">
        <v>40413</v>
      </c>
      <c r="AG3483" s="4">
        <v>0.97916666666666663</v>
      </c>
      <c r="AH3483" s="2">
        <v>2</v>
      </c>
      <c r="AI3483" s="2" t="s">
        <v>84</v>
      </c>
      <c r="AJ3483" s="2">
        <v>12</v>
      </c>
      <c r="AK3483" s="2" t="s">
        <v>85</v>
      </c>
      <c r="AL3483" s="2">
        <v>2</v>
      </c>
      <c r="AM3483" s="2" t="s">
        <v>163</v>
      </c>
      <c r="AN3483" s="2" t="s">
        <v>11183</v>
      </c>
      <c r="AO3483" s="2"/>
      <c r="AP3483" s="2">
        <v>11</v>
      </c>
      <c r="AQ3483" s="2" t="s">
        <v>82</v>
      </c>
      <c r="AR3483" s="2"/>
      <c r="AS3483" s="2"/>
      <c r="AT3483" s="2" t="s">
        <v>11184</v>
      </c>
      <c r="AU3483" s="2"/>
      <c r="AV3483" s="2"/>
      <c r="AW3483" s="2"/>
      <c r="AX3483" s="2"/>
      <c r="AY3483" s="2">
        <v>41</v>
      </c>
      <c r="AZ3483" s="2" t="s">
        <v>82</v>
      </c>
      <c r="BA3483" s="2">
        <v>41</v>
      </c>
      <c r="BB3483" s="2" t="s">
        <v>82</v>
      </c>
      <c r="BC3483" s="2">
        <v>41</v>
      </c>
      <c r="BD3483" s="2" t="s">
        <v>82</v>
      </c>
      <c r="BE3483" s="2">
        <v>13</v>
      </c>
      <c r="BF3483" s="2" t="s">
        <v>108</v>
      </c>
      <c r="BG3483" s="2" t="s">
        <v>10833</v>
      </c>
      <c r="BH3483" s="2"/>
      <c r="BI3483" s="2"/>
      <c r="BJ3483" s="2">
        <v>13</v>
      </c>
      <c r="BK3483" s="2" t="s">
        <v>91</v>
      </c>
      <c r="BL3483" s="2" t="s">
        <v>1199</v>
      </c>
      <c r="BM3483" s="2">
        <v>241</v>
      </c>
      <c r="BN3483" s="2" t="s">
        <v>82</v>
      </c>
      <c r="BO3483" s="2"/>
      <c r="BP3483" s="2">
        <v>13</v>
      </c>
      <c r="BQ3483" s="2" t="s">
        <v>91</v>
      </c>
      <c r="BR3483" s="2" t="s">
        <v>564</v>
      </c>
      <c r="BS3483" s="3">
        <v>40414</v>
      </c>
      <c r="BT3483" s="4">
        <v>3.5949074074074071E-2</v>
      </c>
    </row>
    <row r="3484" spans="1:72" x14ac:dyDescent="0.25">
      <c r="A3484" s="2">
        <v>5124</v>
      </c>
      <c r="B3484" s="2">
        <v>2010</v>
      </c>
      <c r="C3484" s="2" t="s">
        <v>4543</v>
      </c>
      <c r="D3484" s="2" t="s">
        <v>122</v>
      </c>
      <c r="E3484" s="2"/>
      <c r="F3484" s="2">
        <v>1</v>
      </c>
      <c r="G3484" s="2" t="s">
        <v>82</v>
      </c>
      <c r="H3484" s="2">
        <v>1</v>
      </c>
      <c r="I3484" s="2" t="s">
        <v>82</v>
      </c>
      <c r="J3484" s="2">
        <v>1</v>
      </c>
      <c r="K3484" s="2" t="s">
        <v>107</v>
      </c>
      <c r="L3484" s="2" t="s">
        <v>107</v>
      </c>
      <c r="M3484" s="3">
        <v>40414</v>
      </c>
      <c r="N3484" s="2"/>
      <c r="O3484" s="2"/>
      <c r="P3484" s="2"/>
      <c r="Q3484" s="2" t="str">
        <f>""</f>
        <v/>
      </c>
      <c r="R3484" s="2"/>
      <c r="S3484" s="2"/>
      <c r="T3484" s="2">
        <v>2</v>
      </c>
      <c r="U3484" s="2" t="s">
        <v>123</v>
      </c>
      <c r="V3484" s="2">
        <v>1</v>
      </c>
      <c r="W3484" s="2" t="s">
        <v>80</v>
      </c>
      <c r="X3484" s="2">
        <v>11</v>
      </c>
      <c r="Y3484" s="2" t="s">
        <v>1920</v>
      </c>
      <c r="Z3484" s="2">
        <v>1</v>
      </c>
      <c r="AA3484" s="2" t="s">
        <v>82</v>
      </c>
      <c r="AB3484" s="2">
        <v>9</v>
      </c>
      <c r="AC3484" s="2" t="s">
        <v>124</v>
      </c>
      <c r="AD3484" s="3">
        <v>40414</v>
      </c>
      <c r="AE3484" s="4">
        <v>0.13194444444444445</v>
      </c>
      <c r="AF3484" s="2"/>
      <c r="AG3484" s="2"/>
      <c r="AH3484" s="2">
        <v>6</v>
      </c>
      <c r="AI3484" s="2" t="s">
        <v>197</v>
      </c>
      <c r="AJ3484" s="2">
        <v>54</v>
      </c>
      <c r="AK3484" s="2" t="s">
        <v>348</v>
      </c>
      <c r="AL3484" s="2">
        <v>18</v>
      </c>
      <c r="AM3484" s="2" t="s">
        <v>82</v>
      </c>
      <c r="AN3484" s="2" t="s">
        <v>595</v>
      </c>
      <c r="AO3484" s="2" t="s">
        <v>200</v>
      </c>
      <c r="AP3484" s="2">
        <v>14</v>
      </c>
      <c r="AQ3484" s="2" t="s">
        <v>3301</v>
      </c>
      <c r="AR3484" s="2" t="s">
        <v>596</v>
      </c>
      <c r="AS3484" s="2" t="s">
        <v>596</v>
      </c>
      <c r="AT3484" s="2" t="s">
        <v>11185</v>
      </c>
      <c r="AU3484" s="2"/>
      <c r="AV3484" s="2"/>
      <c r="AW3484" s="2"/>
      <c r="AX3484" s="2"/>
      <c r="AY3484" s="2">
        <v>1</v>
      </c>
      <c r="AZ3484" s="2" t="s">
        <v>107</v>
      </c>
      <c r="BA3484" s="2">
        <v>1</v>
      </c>
      <c r="BB3484" s="2" t="s">
        <v>107</v>
      </c>
      <c r="BC3484" s="2">
        <v>1</v>
      </c>
      <c r="BD3484" s="2" t="s">
        <v>107</v>
      </c>
      <c r="BE3484" s="2">
        <v>4</v>
      </c>
      <c r="BF3484" s="2" t="s">
        <v>90</v>
      </c>
      <c r="BG3484" s="2" t="s">
        <v>598</v>
      </c>
      <c r="BH3484" s="4">
        <v>5.2083333333333336E-2</v>
      </c>
      <c r="BI3484" s="4">
        <v>0.13194444444444445</v>
      </c>
      <c r="BJ3484" s="2">
        <v>13</v>
      </c>
      <c r="BK3484" s="2" t="s">
        <v>91</v>
      </c>
      <c r="BL3484" s="2" t="s">
        <v>7629</v>
      </c>
      <c r="BM3484" s="2">
        <v>242</v>
      </c>
      <c r="BN3484" s="2" t="s">
        <v>107</v>
      </c>
      <c r="BO3484" s="2" t="s">
        <v>107</v>
      </c>
      <c r="BP3484" s="2">
        <v>13</v>
      </c>
      <c r="BQ3484" s="2" t="s">
        <v>91</v>
      </c>
      <c r="BR3484" s="2" t="s">
        <v>905</v>
      </c>
      <c r="BS3484" s="3">
        <v>40414</v>
      </c>
      <c r="BT3484" s="4">
        <v>0.35645833333333332</v>
      </c>
    </row>
    <row r="3485" spans="1:72" x14ac:dyDescent="0.25">
      <c r="A3485" s="2">
        <v>5127</v>
      </c>
      <c r="B3485" s="2">
        <v>2010</v>
      </c>
      <c r="C3485" s="2" t="s">
        <v>147</v>
      </c>
      <c r="D3485" s="2" t="s">
        <v>73</v>
      </c>
      <c r="E3485" s="2"/>
      <c r="F3485" s="2">
        <v>1</v>
      </c>
      <c r="G3485" s="2" t="s">
        <v>82</v>
      </c>
      <c r="H3485" s="2">
        <v>1</v>
      </c>
      <c r="I3485" s="2" t="s">
        <v>82</v>
      </c>
      <c r="J3485" s="2">
        <v>1</v>
      </c>
      <c r="K3485" s="2" t="s">
        <v>107</v>
      </c>
      <c r="L3485" s="2" t="s">
        <v>107</v>
      </c>
      <c r="M3485" s="3">
        <v>40414</v>
      </c>
      <c r="N3485" s="2"/>
      <c r="O3485" s="2"/>
      <c r="P3485" s="2"/>
      <c r="Q3485" s="2" t="str">
        <f>""</f>
        <v/>
      </c>
      <c r="R3485" s="2"/>
      <c r="S3485" s="2"/>
      <c r="T3485" s="2">
        <v>2</v>
      </c>
      <c r="U3485" s="2" t="s">
        <v>123</v>
      </c>
      <c r="V3485" s="2">
        <v>1</v>
      </c>
      <c r="W3485" s="2" t="s">
        <v>80</v>
      </c>
      <c r="X3485" s="2">
        <v>12</v>
      </c>
      <c r="Y3485" s="2" t="s">
        <v>148</v>
      </c>
      <c r="Z3485" s="2">
        <v>1</v>
      </c>
      <c r="AA3485" s="2" t="s">
        <v>82</v>
      </c>
      <c r="AB3485" s="2">
        <v>9</v>
      </c>
      <c r="AC3485" s="2" t="s">
        <v>124</v>
      </c>
      <c r="AD3485" s="2"/>
      <c r="AE3485" s="2"/>
      <c r="AF3485" s="3">
        <v>40414</v>
      </c>
      <c r="AG3485" s="4">
        <v>0.4236111111111111</v>
      </c>
      <c r="AH3485" s="2">
        <v>2</v>
      </c>
      <c r="AI3485" s="2" t="s">
        <v>84</v>
      </c>
      <c r="AJ3485" s="2">
        <v>11</v>
      </c>
      <c r="AK3485" s="2" t="s">
        <v>751</v>
      </c>
      <c r="AL3485" s="2">
        <v>19</v>
      </c>
      <c r="AM3485" s="2" t="s">
        <v>107</v>
      </c>
      <c r="AN3485" s="2" t="s">
        <v>11186</v>
      </c>
      <c r="AO3485" s="2" t="s">
        <v>11187</v>
      </c>
      <c r="AP3485" s="2">
        <v>11</v>
      </c>
      <c r="AQ3485" s="2" t="s">
        <v>82</v>
      </c>
      <c r="AR3485" s="2"/>
      <c r="AS3485" s="2"/>
      <c r="AT3485" s="2" t="s">
        <v>11188</v>
      </c>
      <c r="AU3485" s="2"/>
      <c r="AV3485" s="2"/>
      <c r="AW3485" s="2"/>
      <c r="AX3485" s="2"/>
      <c r="AY3485" s="2">
        <v>41</v>
      </c>
      <c r="AZ3485" s="2" t="s">
        <v>82</v>
      </c>
      <c r="BA3485" s="2">
        <v>41</v>
      </c>
      <c r="BB3485" s="2" t="s">
        <v>82</v>
      </c>
      <c r="BC3485" s="2">
        <v>41</v>
      </c>
      <c r="BD3485" s="2" t="s">
        <v>82</v>
      </c>
      <c r="BE3485" s="2">
        <v>41</v>
      </c>
      <c r="BF3485" s="2" t="s">
        <v>82</v>
      </c>
      <c r="BG3485" s="2"/>
      <c r="BH3485" s="2"/>
      <c r="BI3485" s="2"/>
      <c r="BJ3485" s="2">
        <v>241</v>
      </c>
      <c r="BK3485" s="2" t="s">
        <v>82</v>
      </c>
      <c r="BL3485" s="2"/>
      <c r="BM3485" s="2">
        <v>241</v>
      </c>
      <c r="BN3485" s="2" t="s">
        <v>82</v>
      </c>
      <c r="BO3485" s="2"/>
      <c r="BP3485" s="2">
        <v>241</v>
      </c>
      <c r="BQ3485" s="2" t="s">
        <v>82</v>
      </c>
      <c r="BR3485" s="2"/>
      <c r="BS3485" s="3">
        <v>40414</v>
      </c>
      <c r="BT3485" s="4">
        <v>0.56165509259259261</v>
      </c>
    </row>
    <row r="3486" spans="1:72" x14ac:dyDescent="0.25">
      <c r="A3486" s="2">
        <v>5128</v>
      </c>
      <c r="B3486" s="2">
        <v>2010</v>
      </c>
      <c r="C3486" s="2" t="s">
        <v>4543</v>
      </c>
      <c r="D3486" s="2" t="s">
        <v>122</v>
      </c>
      <c r="E3486" s="2"/>
      <c r="F3486" s="2">
        <v>146</v>
      </c>
      <c r="G3486" s="2" t="s">
        <v>753</v>
      </c>
      <c r="H3486" s="2">
        <v>38</v>
      </c>
      <c r="I3486" s="2" t="s">
        <v>1272</v>
      </c>
      <c r="J3486" s="2">
        <v>161</v>
      </c>
      <c r="K3486" s="2" t="s">
        <v>1900</v>
      </c>
      <c r="L3486" s="2" t="s">
        <v>1901</v>
      </c>
      <c r="M3486" s="3">
        <v>40414</v>
      </c>
      <c r="N3486" s="2" t="s">
        <v>9100</v>
      </c>
      <c r="O3486" s="2" t="s">
        <v>11189</v>
      </c>
      <c r="P3486" s="2">
        <v>18760</v>
      </c>
      <c r="Q3486" s="2" t="str">
        <f>"S/D"</f>
        <v>S/D</v>
      </c>
      <c r="R3486" s="2" t="s">
        <v>107</v>
      </c>
      <c r="S3486" s="2" t="s">
        <v>107</v>
      </c>
      <c r="T3486" s="2">
        <v>2</v>
      </c>
      <c r="U3486" s="2" t="s">
        <v>123</v>
      </c>
      <c r="V3486" s="2">
        <v>1</v>
      </c>
      <c r="W3486" s="2" t="s">
        <v>80</v>
      </c>
      <c r="X3486" s="2">
        <v>5</v>
      </c>
      <c r="Y3486" s="2" t="s">
        <v>82</v>
      </c>
      <c r="Z3486" s="2">
        <v>1</v>
      </c>
      <c r="AA3486" s="2" t="s">
        <v>82</v>
      </c>
      <c r="AB3486" s="2">
        <v>9</v>
      </c>
      <c r="AC3486" s="2" t="s">
        <v>124</v>
      </c>
      <c r="AD3486" s="3">
        <v>40414</v>
      </c>
      <c r="AE3486" s="4">
        <v>0.47916666666666669</v>
      </c>
      <c r="AF3486" s="2"/>
      <c r="AG3486" s="2"/>
      <c r="AH3486" s="2">
        <v>6</v>
      </c>
      <c r="AI3486" s="2" t="s">
        <v>197</v>
      </c>
      <c r="AJ3486" s="2">
        <v>54</v>
      </c>
      <c r="AK3486" s="2" t="s">
        <v>348</v>
      </c>
      <c r="AL3486" s="2">
        <v>18</v>
      </c>
      <c r="AM3486" s="2" t="s">
        <v>82</v>
      </c>
      <c r="AN3486" s="2" t="s">
        <v>9102</v>
      </c>
      <c r="AO3486" s="2" t="s">
        <v>2691</v>
      </c>
      <c r="AP3486" s="2">
        <v>11</v>
      </c>
      <c r="AQ3486" s="2" t="s">
        <v>82</v>
      </c>
      <c r="AR3486" s="2" t="s">
        <v>107</v>
      </c>
      <c r="AS3486" s="2" t="s">
        <v>107</v>
      </c>
      <c r="AT3486" s="2" t="s">
        <v>11190</v>
      </c>
      <c r="AU3486" s="2"/>
      <c r="AV3486" s="2"/>
      <c r="AW3486" s="2"/>
      <c r="AX3486" s="2"/>
      <c r="AY3486" s="2">
        <v>1</v>
      </c>
      <c r="AZ3486" s="2" t="s">
        <v>107</v>
      </c>
      <c r="BA3486" s="2">
        <v>1</v>
      </c>
      <c r="BB3486" s="2" t="s">
        <v>107</v>
      </c>
      <c r="BC3486" s="2">
        <v>1</v>
      </c>
      <c r="BD3486" s="2" t="s">
        <v>107</v>
      </c>
      <c r="BE3486" s="2">
        <v>1</v>
      </c>
      <c r="BF3486" s="2" t="s">
        <v>107</v>
      </c>
      <c r="BG3486" s="2" t="s">
        <v>107</v>
      </c>
      <c r="BH3486" s="2"/>
      <c r="BI3486" s="2"/>
      <c r="BJ3486" s="2">
        <v>242</v>
      </c>
      <c r="BK3486" s="2" t="s">
        <v>107</v>
      </c>
      <c r="BL3486" s="2" t="s">
        <v>107</v>
      </c>
      <c r="BM3486" s="2">
        <v>242</v>
      </c>
      <c r="BN3486" s="2" t="s">
        <v>107</v>
      </c>
      <c r="BO3486" s="2" t="s">
        <v>107</v>
      </c>
      <c r="BP3486" s="2">
        <v>242</v>
      </c>
      <c r="BQ3486" s="2" t="s">
        <v>107</v>
      </c>
      <c r="BR3486" s="2" t="s">
        <v>107</v>
      </c>
      <c r="BS3486" s="3">
        <v>40414</v>
      </c>
      <c r="BT3486" s="4">
        <v>0.5869212962962963</v>
      </c>
    </row>
    <row r="3487" spans="1:72" x14ac:dyDescent="0.25">
      <c r="A3487" s="2">
        <v>5130</v>
      </c>
      <c r="B3487" s="2">
        <v>2010</v>
      </c>
      <c r="C3487" s="2" t="s">
        <v>806</v>
      </c>
      <c r="D3487" s="2" t="s">
        <v>73</v>
      </c>
      <c r="E3487" s="2"/>
      <c r="F3487" s="2">
        <v>651</v>
      </c>
      <c r="G3487" s="2" t="s">
        <v>2454</v>
      </c>
      <c r="H3487" s="2">
        <v>61</v>
      </c>
      <c r="I3487" s="2" t="s">
        <v>3043</v>
      </c>
      <c r="J3487" s="2">
        <v>538</v>
      </c>
      <c r="K3487" s="2" t="s">
        <v>7264</v>
      </c>
      <c r="L3487" s="2" t="s">
        <v>7265</v>
      </c>
      <c r="M3487" s="3">
        <v>40414</v>
      </c>
      <c r="N3487" s="2" t="s">
        <v>3358</v>
      </c>
      <c r="O3487" s="2" t="s">
        <v>11191</v>
      </c>
      <c r="P3487" s="2" t="s">
        <v>11135</v>
      </c>
      <c r="Q3487" s="2" t="str">
        <f>"14/10"</f>
        <v>14/10</v>
      </c>
      <c r="R3487" s="2" t="s">
        <v>82</v>
      </c>
      <c r="S3487" s="2" t="s">
        <v>82</v>
      </c>
      <c r="T3487" s="2">
        <v>1</v>
      </c>
      <c r="U3487" s="2" t="s">
        <v>79</v>
      </c>
      <c r="V3487" s="2">
        <v>1</v>
      </c>
      <c r="W3487" s="2" t="s">
        <v>80</v>
      </c>
      <c r="X3487" s="2">
        <v>8</v>
      </c>
      <c r="Y3487" s="2" t="s">
        <v>375</v>
      </c>
      <c r="Z3487" s="2">
        <v>1</v>
      </c>
      <c r="AA3487" s="2" t="s">
        <v>82</v>
      </c>
      <c r="AB3487" s="2">
        <v>9</v>
      </c>
      <c r="AC3487" s="2" t="s">
        <v>124</v>
      </c>
      <c r="AD3487" s="3">
        <v>40414</v>
      </c>
      <c r="AE3487" s="4">
        <v>0.40277777777777773</v>
      </c>
      <c r="AF3487" s="2"/>
      <c r="AG3487" s="2"/>
      <c r="AH3487" s="2">
        <v>3</v>
      </c>
      <c r="AI3487" s="2" t="s">
        <v>214</v>
      </c>
      <c r="AJ3487" s="2">
        <v>14</v>
      </c>
      <c r="AK3487" s="2" t="s">
        <v>342</v>
      </c>
      <c r="AL3487" s="2">
        <v>23</v>
      </c>
      <c r="AM3487" s="2" t="s">
        <v>251</v>
      </c>
      <c r="AN3487" s="2" t="s">
        <v>82</v>
      </c>
      <c r="AO3487" s="2" t="s">
        <v>11192</v>
      </c>
      <c r="AP3487" s="2">
        <v>11</v>
      </c>
      <c r="AQ3487" s="2" t="s">
        <v>82</v>
      </c>
      <c r="AR3487" s="2"/>
      <c r="AS3487" s="2"/>
      <c r="AT3487" s="2" t="s">
        <v>11193</v>
      </c>
      <c r="AU3487" s="2"/>
      <c r="AV3487" s="2"/>
      <c r="AW3487" s="2"/>
      <c r="AX3487" s="2"/>
      <c r="AY3487" s="2">
        <v>41</v>
      </c>
      <c r="AZ3487" s="2" t="s">
        <v>82</v>
      </c>
      <c r="BA3487" s="2">
        <v>41</v>
      </c>
      <c r="BB3487" s="2" t="s">
        <v>82</v>
      </c>
      <c r="BC3487" s="2">
        <v>41</v>
      </c>
      <c r="BD3487" s="2" t="s">
        <v>82</v>
      </c>
      <c r="BE3487" s="2">
        <v>41</v>
      </c>
      <c r="BF3487" s="2" t="s">
        <v>82</v>
      </c>
      <c r="BG3487" s="2"/>
      <c r="BH3487" s="2"/>
      <c r="BI3487" s="2"/>
      <c r="BJ3487" s="2">
        <v>241</v>
      </c>
      <c r="BK3487" s="2" t="s">
        <v>82</v>
      </c>
      <c r="BL3487" s="2"/>
      <c r="BM3487" s="2">
        <v>241</v>
      </c>
      <c r="BN3487" s="2" t="s">
        <v>82</v>
      </c>
      <c r="BO3487" s="2"/>
      <c r="BP3487" s="2">
        <v>241</v>
      </c>
      <c r="BQ3487" s="2" t="s">
        <v>82</v>
      </c>
      <c r="BR3487" s="2"/>
      <c r="BS3487" s="3">
        <v>40414</v>
      </c>
      <c r="BT3487" s="4">
        <v>0.69238425925925917</v>
      </c>
    </row>
    <row r="3488" spans="1:72" x14ac:dyDescent="0.25">
      <c r="A3488" s="2">
        <v>5132</v>
      </c>
      <c r="B3488" s="2">
        <v>2010</v>
      </c>
      <c r="C3488" s="2" t="s">
        <v>806</v>
      </c>
      <c r="D3488" s="2" t="s">
        <v>73</v>
      </c>
      <c r="E3488" s="2"/>
      <c r="F3488" s="2">
        <v>11</v>
      </c>
      <c r="G3488" s="2" t="s">
        <v>2454</v>
      </c>
      <c r="H3488" s="2">
        <v>57</v>
      </c>
      <c r="I3488" s="2" t="s">
        <v>3043</v>
      </c>
      <c r="J3488" s="2">
        <v>538</v>
      </c>
      <c r="K3488" s="2" t="s">
        <v>7264</v>
      </c>
      <c r="L3488" s="2" t="s">
        <v>7265</v>
      </c>
      <c r="M3488" s="3">
        <v>40414</v>
      </c>
      <c r="N3488" s="2" t="s">
        <v>3358</v>
      </c>
      <c r="O3488" s="2" t="s">
        <v>11191</v>
      </c>
      <c r="P3488" s="2" t="s">
        <v>11135</v>
      </c>
      <c r="Q3488" s="2" t="str">
        <f>"14/10"</f>
        <v>14/10</v>
      </c>
      <c r="R3488" s="2" t="s">
        <v>82</v>
      </c>
      <c r="S3488" s="2" t="s">
        <v>82</v>
      </c>
      <c r="T3488" s="2">
        <v>1</v>
      </c>
      <c r="U3488" s="2" t="s">
        <v>79</v>
      </c>
      <c r="V3488" s="2">
        <v>1</v>
      </c>
      <c r="W3488" s="2" t="s">
        <v>80</v>
      </c>
      <c r="X3488" s="2">
        <v>8</v>
      </c>
      <c r="Y3488" s="2" t="s">
        <v>375</v>
      </c>
      <c r="Z3488" s="2">
        <v>1</v>
      </c>
      <c r="AA3488" s="2" t="s">
        <v>82</v>
      </c>
      <c r="AB3488" s="2">
        <v>9</v>
      </c>
      <c r="AC3488" s="2" t="s">
        <v>124</v>
      </c>
      <c r="AD3488" s="3">
        <v>40414</v>
      </c>
      <c r="AE3488" s="4">
        <v>0.39930555555555558</v>
      </c>
      <c r="AF3488" s="2"/>
      <c r="AG3488" s="2"/>
      <c r="AH3488" s="2">
        <v>3</v>
      </c>
      <c r="AI3488" s="2" t="s">
        <v>214</v>
      </c>
      <c r="AJ3488" s="2">
        <v>14</v>
      </c>
      <c r="AK3488" s="2" t="s">
        <v>342</v>
      </c>
      <c r="AL3488" s="2">
        <v>23</v>
      </c>
      <c r="AM3488" s="2" t="s">
        <v>251</v>
      </c>
      <c r="AN3488" s="2" t="s">
        <v>11194</v>
      </c>
      <c r="AO3488" s="2"/>
      <c r="AP3488" s="2">
        <v>11</v>
      </c>
      <c r="AQ3488" s="2" t="s">
        <v>82</v>
      </c>
      <c r="AR3488" s="2"/>
      <c r="AS3488" s="2"/>
      <c r="AT3488" s="2" t="s">
        <v>11195</v>
      </c>
      <c r="AU3488" s="2"/>
      <c r="AV3488" s="2"/>
      <c r="AW3488" s="2"/>
      <c r="AX3488" s="2"/>
      <c r="AY3488" s="2">
        <v>41</v>
      </c>
      <c r="AZ3488" s="2" t="s">
        <v>82</v>
      </c>
      <c r="BA3488" s="2">
        <v>41</v>
      </c>
      <c r="BB3488" s="2" t="s">
        <v>82</v>
      </c>
      <c r="BC3488" s="2">
        <v>41</v>
      </c>
      <c r="BD3488" s="2" t="s">
        <v>82</v>
      </c>
      <c r="BE3488" s="2">
        <v>41</v>
      </c>
      <c r="BF3488" s="2" t="s">
        <v>82</v>
      </c>
      <c r="BG3488" s="2"/>
      <c r="BH3488" s="2"/>
      <c r="BI3488" s="2"/>
      <c r="BJ3488" s="2">
        <v>241</v>
      </c>
      <c r="BK3488" s="2" t="s">
        <v>82</v>
      </c>
      <c r="BL3488" s="2"/>
      <c r="BM3488" s="2">
        <v>241</v>
      </c>
      <c r="BN3488" s="2" t="s">
        <v>82</v>
      </c>
      <c r="BO3488" s="2"/>
      <c r="BP3488" s="2">
        <v>241</v>
      </c>
      <c r="BQ3488" s="2" t="s">
        <v>82</v>
      </c>
      <c r="BR3488" s="2"/>
      <c r="BS3488" s="3">
        <v>40414</v>
      </c>
      <c r="BT3488" s="4">
        <v>0.70322916666666668</v>
      </c>
    </row>
    <row r="3489" spans="1:72" x14ac:dyDescent="0.25">
      <c r="A3489" s="2">
        <v>5133</v>
      </c>
      <c r="B3489" s="2">
        <v>2010</v>
      </c>
      <c r="C3489" s="2" t="s">
        <v>72</v>
      </c>
      <c r="D3489" s="2" t="s">
        <v>73</v>
      </c>
      <c r="E3489" s="2"/>
      <c r="F3489" s="2">
        <v>667</v>
      </c>
      <c r="G3489" s="2" t="s">
        <v>10892</v>
      </c>
      <c r="H3489" s="2">
        <v>42</v>
      </c>
      <c r="I3489" s="2" t="s">
        <v>1096</v>
      </c>
      <c r="J3489" s="2">
        <v>642</v>
      </c>
      <c r="K3489" s="2" t="s">
        <v>10893</v>
      </c>
      <c r="L3489" s="2" t="s">
        <v>6311</v>
      </c>
      <c r="M3489" s="3">
        <v>40414</v>
      </c>
      <c r="N3489" s="2" t="s">
        <v>11196</v>
      </c>
      <c r="O3489" s="2"/>
      <c r="P3489" s="2"/>
      <c r="Q3489" s="2" t="str">
        <f>"333-A/10"</f>
        <v>333-A/10</v>
      </c>
      <c r="R3489" s="2" t="s">
        <v>1547</v>
      </c>
      <c r="S3489" s="2" t="s">
        <v>1547</v>
      </c>
      <c r="T3489" s="2">
        <v>1</v>
      </c>
      <c r="U3489" s="2" t="s">
        <v>79</v>
      </c>
      <c r="V3489" s="2">
        <v>1</v>
      </c>
      <c r="W3489" s="2" t="s">
        <v>80</v>
      </c>
      <c r="X3489" s="2">
        <v>12</v>
      </c>
      <c r="Y3489" s="2" t="s">
        <v>148</v>
      </c>
      <c r="Z3489" s="2">
        <v>1</v>
      </c>
      <c r="AA3489" s="2" t="s">
        <v>82</v>
      </c>
      <c r="AB3489" s="2">
        <v>6</v>
      </c>
      <c r="AC3489" s="2" t="s">
        <v>83</v>
      </c>
      <c r="AD3489" s="3">
        <v>40413</v>
      </c>
      <c r="AE3489" s="2"/>
      <c r="AF3489" s="3">
        <v>40414</v>
      </c>
      <c r="AG3489" s="4">
        <v>0.59513888888888888</v>
      </c>
      <c r="AH3489" s="2">
        <v>2</v>
      </c>
      <c r="AI3489" s="2" t="s">
        <v>84</v>
      </c>
      <c r="AJ3489" s="2">
        <v>12</v>
      </c>
      <c r="AK3489" s="2" t="s">
        <v>85</v>
      </c>
      <c r="AL3489" s="2">
        <v>22</v>
      </c>
      <c r="AM3489" s="2" t="s">
        <v>1853</v>
      </c>
      <c r="AN3489" s="2"/>
      <c r="AO3489" s="2" t="s">
        <v>11197</v>
      </c>
      <c r="AP3489" s="2">
        <v>11</v>
      </c>
      <c r="AQ3489" s="2" t="s">
        <v>82</v>
      </c>
      <c r="AR3489" s="2"/>
      <c r="AS3489" s="2"/>
      <c r="AT3489" s="2" t="s">
        <v>11198</v>
      </c>
      <c r="AU3489" s="2"/>
      <c r="AV3489" s="2"/>
      <c r="AW3489" s="2"/>
      <c r="AX3489" s="2"/>
      <c r="AY3489" s="2">
        <v>41</v>
      </c>
      <c r="AZ3489" s="2" t="s">
        <v>82</v>
      </c>
      <c r="BA3489" s="2">
        <v>41</v>
      </c>
      <c r="BB3489" s="2" t="s">
        <v>82</v>
      </c>
      <c r="BC3489" s="2">
        <v>41</v>
      </c>
      <c r="BD3489" s="2" t="s">
        <v>82</v>
      </c>
      <c r="BE3489" s="2">
        <v>47</v>
      </c>
      <c r="BF3489" s="2" t="s">
        <v>167</v>
      </c>
      <c r="BG3489" s="2" t="s">
        <v>11199</v>
      </c>
      <c r="BH3489" s="4">
        <v>0.84722222222222221</v>
      </c>
      <c r="BI3489" s="4">
        <v>0.76388888888888884</v>
      </c>
      <c r="BJ3489" s="2">
        <v>13</v>
      </c>
      <c r="BK3489" s="2" t="s">
        <v>91</v>
      </c>
      <c r="BL3489" s="2" t="s">
        <v>1199</v>
      </c>
      <c r="BM3489" s="2">
        <v>241</v>
      </c>
      <c r="BN3489" s="2" t="s">
        <v>82</v>
      </c>
      <c r="BO3489" s="2"/>
      <c r="BP3489" s="2">
        <v>13</v>
      </c>
      <c r="BQ3489" s="2" t="s">
        <v>91</v>
      </c>
      <c r="BR3489" s="2" t="s">
        <v>564</v>
      </c>
      <c r="BS3489" s="3">
        <v>40414</v>
      </c>
      <c r="BT3489" s="4">
        <v>0.71890046296296306</v>
      </c>
    </row>
    <row r="3490" spans="1:72" x14ac:dyDescent="0.25">
      <c r="A3490" s="2">
        <v>5134</v>
      </c>
      <c r="B3490" s="2">
        <v>2010</v>
      </c>
      <c r="C3490" s="2" t="s">
        <v>72</v>
      </c>
      <c r="D3490" s="2" t="s">
        <v>73</v>
      </c>
      <c r="E3490" s="2"/>
      <c r="F3490" s="2">
        <v>3</v>
      </c>
      <c r="G3490" s="2" t="s">
        <v>1041</v>
      </c>
      <c r="H3490" s="2">
        <v>1</v>
      </c>
      <c r="I3490" s="2" t="s">
        <v>82</v>
      </c>
      <c r="J3490" s="2">
        <v>368</v>
      </c>
      <c r="K3490" s="2" t="s">
        <v>1042</v>
      </c>
      <c r="L3490" s="2" t="s">
        <v>1043</v>
      </c>
      <c r="M3490" s="3">
        <v>40414</v>
      </c>
      <c r="N3490" s="2" t="s">
        <v>107</v>
      </c>
      <c r="O3490" s="2" t="s">
        <v>107</v>
      </c>
      <c r="P3490" s="2" t="s">
        <v>107</v>
      </c>
      <c r="Q3490" s="2" t="str">
        <f>"432-E/10"</f>
        <v>432-E/10</v>
      </c>
      <c r="R3490" s="2" t="s">
        <v>480</v>
      </c>
      <c r="S3490" s="2" t="s">
        <v>480</v>
      </c>
      <c r="T3490" s="2">
        <v>1</v>
      </c>
      <c r="U3490" s="2" t="s">
        <v>79</v>
      </c>
      <c r="V3490" s="2">
        <v>1</v>
      </c>
      <c r="W3490" s="2" t="s">
        <v>80</v>
      </c>
      <c r="X3490" s="2">
        <v>12</v>
      </c>
      <c r="Y3490" s="2" t="s">
        <v>148</v>
      </c>
      <c r="Z3490" s="2">
        <v>1</v>
      </c>
      <c r="AA3490" s="2" t="s">
        <v>82</v>
      </c>
      <c r="AB3490" s="2">
        <v>6</v>
      </c>
      <c r="AC3490" s="2" t="s">
        <v>83</v>
      </c>
      <c r="AD3490" s="3">
        <v>40412</v>
      </c>
      <c r="AE3490" s="2"/>
      <c r="AF3490" s="3">
        <v>40414</v>
      </c>
      <c r="AG3490" s="4">
        <v>0.60763888888888895</v>
      </c>
      <c r="AH3490" s="2">
        <v>2</v>
      </c>
      <c r="AI3490" s="2" t="s">
        <v>84</v>
      </c>
      <c r="AJ3490" s="2">
        <v>9</v>
      </c>
      <c r="AK3490" s="2" t="s">
        <v>103</v>
      </c>
      <c r="AL3490" s="2">
        <v>12</v>
      </c>
      <c r="AM3490" s="2" t="s">
        <v>86</v>
      </c>
      <c r="AN3490" s="2" t="s">
        <v>11200</v>
      </c>
      <c r="AO3490" s="2" t="s">
        <v>3322</v>
      </c>
      <c r="AP3490" s="2">
        <v>11</v>
      </c>
      <c r="AQ3490" s="2" t="s">
        <v>82</v>
      </c>
      <c r="AR3490" s="2"/>
      <c r="AS3490" s="2"/>
      <c r="AT3490" s="2" t="s">
        <v>11201</v>
      </c>
      <c r="AU3490" s="2"/>
      <c r="AV3490" s="2"/>
      <c r="AW3490" s="2"/>
      <c r="AX3490" s="2"/>
      <c r="AY3490" s="2">
        <v>41</v>
      </c>
      <c r="AZ3490" s="2" t="s">
        <v>82</v>
      </c>
      <c r="BA3490" s="2">
        <v>41</v>
      </c>
      <c r="BB3490" s="2" t="s">
        <v>82</v>
      </c>
      <c r="BC3490" s="2">
        <v>41</v>
      </c>
      <c r="BD3490" s="2" t="s">
        <v>82</v>
      </c>
      <c r="BE3490" s="2">
        <v>41</v>
      </c>
      <c r="BF3490" s="2" t="s">
        <v>82</v>
      </c>
      <c r="BG3490" s="2" t="s">
        <v>82</v>
      </c>
      <c r="BH3490" s="2"/>
      <c r="BI3490" s="2"/>
      <c r="BJ3490" s="2">
        <v>241</v>
      </c>
      <c r="BK3490" s="2" t="s">
        <v>82</v>
      </c>
      <c r="BL3490" s="2"/>
      <c r="BM3490" s="2">
        <v>241</v>
      </c>
      <c r="BN3490" s="2" t="s">
        <v>82</v>
      </c>
      <c r="BO3490" s="2"/>
      <c r="BP3490" s="2">
        <v>241</v>
      </c>
      <c r="BQ3490" s="2" t="s">
        <v>82</v>
      </c>
      <c r="BR3490" s="2"/>
      <c r="BS3490" s="3">
        <v>40414</v>
      </c>
      <c r="BT3490" s="4">
        <v>0.73487268518518523</v>
      </c>
    </row>
    <row r="3491" spans="1:72" x14ac:dyDescent="0.25">
      <c r="A3491" s="2">
        <v>5135</v>
      </c>
      <c r="B3491" s="2">
        <v>2010</v>
      </c>
      <c r="C3491" s="2" t="s">
        <v>171</v>
      </c>
      <c r="D3491" s="2" t="s">
        <v>73</v>
      </c>
      <c r="E3491" s="2"/>
      <c r="F3491" s="2">
        <v>393</v>
      </c>
      <c r="G3491" s="2" t="s">
        <v>3660</v>
      </c>
      <c r="H3491" s="2">
        <v>3</v>
      </c>
      <c r="I3491" s="2" t="s">
        <v>315</v>
      </c>
      <c r="J3491" s="2">
        <v>2</v>
      </c>
      <c r="K3491" s="2" t="s">
        <v>3661</v>
      </c>
      <c r="L3491" s="2" t="s">
        <v>3662</v>
      </c>
      <c r="M3491" s="3">
        <v>40414</v>
      </c>
      <c r="N3491" s="2" t="s">
        <v>10885</v>
      </c>
      <c r="O3491" s="2" t="s">
        <v>107</v>
      </c>
      <c r="P3491" s="2" t="s">
        <v>107</v>
      </c>
      <c r="Q3491" s="2" t="str">
        <f>"431-E/10"</f>
        <v>431-E/10</v>
      </c>
      <c r="R3491" s="2" t="s">
        <v>10013</v>
      </c>
      <c r="S3491" s="2" t="s">
        <v>10013</v>
      </c>
      <c r="T3491" s="2">
        <v>1</v>
      </c>
      <c r="U3491" s="2" t="s">
        <v>79</v>
      </c>
      <c r="V3491" s="2">
        <v>1</v>
      </c>
      <c r="W3491" s="2" t="s">
        <v>80</v>
      </c>
      <c r="X3491" s="2">
        <v>12</v>
      </c>
      <c r="Y3491" s="2" t="s">
        <v>148</v>
      </c>
      <c r="Z3491" s="2">
        <v>1</v>
      </c>
      <c r="AA3491" s="2" t="s">
        <v>82</v>
      </c>
      <c r="AB3491" s="2">
        <v>1</v>
      </c>
      <c r="AC3491" s="2" t="s">
        <v>178</v>
      </c>
      <c r="AD3491" s="3">
        <v>40322</v>
      </c>
      <c r="AE3491" s="4">
        <v>0.45833333333333331</v>
      </c>
      <c r="AF3491" s="3">
        <v>40414</v>
      </c>
      <c r="AG3491" s="4">
        <v>0.45833333333333331</v>
      </c>
      <c r="AH3491" s="2">
        <v>2</v>
      </c>
      <c r="AI3491" s="2" t="s">
        <v>84</v>
      </c>
      <c r="AJ3491" s="2">
        <v>9</v>
      </c>
      <c r="AK3491" s="2" t="s">
        <v>103</v>
      </c>
      <c r="AL3491" s="2">
        <v>25</v>
      </c>
      <c r="AM3491" s="2" t="s">
        <v>3073</v>
      </c>
      <c r="AN3491" s="2" t="s">
        <v>11202</v>
      </c>
      <c r="AO3491" s="2" t="s">
        <v>11202</v>
      </c>
      <c r="AP3491" s="2">
        <v>11</v>
      </c>
      <c r="AQ3491" s="2" t="s">
        <v>82</v>
      </c>
      <c r="AR3491" s="2" t="s">
        <v>82</v>
      </c>
      <c r="AS3491" s="2" t="s">
        <v>82</v>
      </c>
      <c r="AT3491" s="2" t="s">
        <v>11203</v>
      </c>
      <c r="AU3491" s="2"/>
      <c r="AV3491" s="2"/>
      <c r="AW3491" s="2"/>
      <c r="AX3491" s="2"/>
      <c r="AY3491" s="2">
        <v>42</v>
      </c>
      <c r="AZ3491" s="2" t="s">
        <v>182</v>
      </c>
      <c r="BA3491" s="2">
        <v>70</v>
      </c>
      <c r="BB3491" s="2" t="s">
        <v>236</v>
      </c>
      <c r="BC3491" s="2">
        <v>41</v>
      </c>
      <c r="BD3491" s="2" t="s">
        <v>82</v>
      </c>
      <c r="BE3491" s="2">
        <v>41</v>
      </c>
      <c r="BF3491" s="2" t="s">
        <v>82</v>
      </c>
      <c r="BG3491" s="2" t="s">
        <v>82</v>
      </c>
      <c r="BH3491" s="2"/>
      <c r="BI3491" s="2"/>
      <c r="BJ3491" s="2">
        <v>241</v>
      </c>
      <c r="BK3491" s="2" t="s">
        <v>82</v>
      </c>
      <c r="BL3491" s="2" t="s">
        <v>82</v>
      </c>
      <c r="BM3491" s="2">
        <v>241</v>
      </c>
      <c r="BN3491" s="2" t="s">
        <v>82</v>
      </c>
      <c r="BO3491" s="2" t="s">
        <v>82</v>
      </c>
      <c r="BP3491" s="2">
        <v>241</v>
      </c>
      <c r="BQ3491" s="2" t="s">
        <v>82</v>
      </c>
      <c r="BR3491" s="2" t="s">
        <v>82</v>
      </c>
      <c r="BS3491" s="3">
        <v>40414</v>
      </c>
      <c r="BT3491" s="4">
        <v>0.74306712962962962</v>
      </c>
    </row>
    <row r="3492" spans="1:72" x14ac:dyDescent="0.25">
      <c r="A3492" s="2">
        <v>5136</v>
      </c>
      <c r="B3492" s="2">
        <v>2010</v>
      </c>
      <c r="C3492" s="2" t="s">
        <v>72</v>
      </c>
      <c r="D3492" s="2" t="s">
        <v>73</v>
      </c>
      <c r="E3492" s="2"/>
      <c r="F3492" s="2">
        <v>638</v>
      </c>
      <c r="G3492" s="2" t="s">
        <v>8288</v>
      </c>
      <c r="H3492" s="2">
        <v>1</v>
      </c>
      <c r="I3492" s="2" t="s">
        <v>82</v>
      </c>
      <c r="J3492" s="2">
        <v>1</v>
      </c>
      <c r="K3492" s="2" t="s">
        <v>107</v>
      </c>
      <c r="L3492" s="2" t="s">
        <v>107</v>
      </c>
      <c r="M3492" s="3">
        <v>40414</v>
      </c>
      <c r="N3492" s="2" t="s">
        <v>11204</v>
      </c>
      <c r="O3492" s="2"/>
      <c r="P3492" s="2"/>
      <c r="Q3492" s="2" t="str">
        <f>"48/10"</f>
        <v>48/10</v>
      </c>
      <c r="R3492" s="2"/>
      <c r="S3492" s="2" t="s">
        <v>116</v>
      </c>
      <c r="T3492" s="2">
        <v>1</v>
      </c>
      <c r="U3492" s="2" t="s">
        <v>79</v>
      </c>
      <c r="V3492" s="2">
        <v>1</v>
      </c>
      <c r="W3492" s="2" t="s">
        <v>80</v>
      </c>
      <c r="X3492" s="2">
        <v>12</v>
      </c>
      <c r="Y3492" s="2" t="s">
        <v>148</v>
      </c>
      <c r="Z3492" s="2">
        <v>1</v>
      </c>
      <c r="AA3492" s="2" t="s">
        <v>82</v>
      </c>
      <c r="AB3492" s="2">
        <v>6</v>
      </c>
      <c r="AC3492" s="2" t="s">
        <v>83</v>
      </c>
      <c r="AD3492" s="3">
        <v>40392</v>
      </c>
      <c r="AE3492" s="4">
        <v>0.30208333333333331</v>
      </c>
      <c r="AF3492" s="3">
        <v>40414</v>
      </c>
      <c r="AG3492" s="4">
        <v>0.67708333333333337</v>
      </c>
      <c r="AH3492" s="2">
        <v>3</v>
      </c>
      <c r="AI3492" s="2" t="s">
        <v>214</v>
      </c>
      <c r="AJ3492" s="2">
        <v>24</v>
      </c>
      <c r="AK3492" s="2" t="s">
        <v>215</v>
      </c>
      <c r="AL3492" s="2">
        <v>25</v>
      </c>
      <c r="AM3492" s="2" t="s">
        <v>3073</v>
      </c>
      <c r="AN3492" s="2" t="s">
        <v>11205</v>
      </c>
      <c r="AO3492" s="2"/>
      <c r="AP3492" s="2">
        <v>11</v>
      </c>
      <c r="AQ3492" s="2" t="s">
        <v>82</v>
      </c>
      <c r="AR3492" s="2"/>
      <c r="AS3492" s="2"/>
      <c r="AT3492" s="2" t="s">
        <v>11206</v>
      </c>
      <c r="AU3492" s="2"/>
      <c r="AV3492" s="2"/>
      <c r="AW3492" s="2"/>
      <c r="AX3492" s="2"/>
      <c r="AY3492" s="2">
        <v>41</v>
      </c>
      <c r="AZ3492" s="2" t="s">
        <v>82</v>
      </c>
      <c r="BA3492" s="2">
        <v>41</v>
      </c>
      <c r="BB3492" s="2" t="s">
        <v>82</v>
      </c>
      <c r="BC3492" s="2">
        <v>41</v>
      </c>
      <c r="BD3492" s="2" t="s">
        <v>82</v>
      </c>
      <c r="BE3492" s="2">
        <v>41</v>
      </c>
      <c r="BF3492" s="2" t="s">
        <v>82</v>
      </c>
      <c r="BG3492" s="2"/>
      <c r="BH3492" s="2"/>
      <c r="BI3492" s="2"/>
      <c r="BJ3492" s="2">
        <v>241</v>
      </c>
      <c r="BK3492" s="2" t="s">
        <v>82</v>
      </c>
      <c r="BL3492" s="2"/>
      <c r="BM3492" s="2">
        <v>241</v>
      </c>
      <c r="BN3492" s="2" t="s">
        <v>82</v>
      </c>
      <c r="BO3492" s="2"/>
      <c r="BP3492" s="2">
        <v>241</v>
      </c>
      <c r="BQ3492" s="2" t="s">
        <v>82</v>
      </c>
      <c r="BR3492" s="2"/>
      <c r="BS3492" s="3">
        <v>40414</v>
      </c>
      <c r="BT3492" s="4">
        <v>0.7580324074074074</v>
      </c>
    </row>
    <row r="3493" spans="1:72" x14ac:dyDescent="0.25">
      <c r="A3493" s="2">
        <v>5139</v>
      </c>
      <c r="B3493" s="2">
        <v>2010</v>
      </c>
      <c r="C3493" s="2" t="s">
        <v>1559</v>
      </c>
      <c r="D3493" s="2" t="s">
        <v>73</v>
      </c>
      <c r="E3493" s="2"/>
      <c r="F3493" s="2">
        <v>454</v>
      </c>
      <c r="G3493" s="2" t="s">
        <v>11123</v>
      </c>
      <c r="H3493" s="2">
        <v>22</v>
      </c>
      <c r="I3493" s="2" t="s">
        <v>75</v>
      </c>
      <c r="J3493" s="2">
        <v>337</v>
      </c>
      <c r="K3493" s="2" t="s">
        <v>11124</v>
      </c>
      <c r="L3493" s="2" t="s">
        <v>11125</v>
      </c>
      <c r="M3493" s="3">
        <v>40414</v>
      </c>
      <c r="N3493" s="2" t="s">
        <v>11126</v>
      </c>
      <c r="O3493" s="2" t="s">
        <v>11207</v>
      </c>
      <c r="P3493" s="2" t="s">
        <v>11208</v>
      </c>
      <c r="Q3493" s="2" t="str">
        <f>"0020/10"</f>
        <v>0020/10</v>
      </c>
      <c r="R3493" s="2"/>
      <c r="S3493" s="2" t="s">
        <v>11207</v>
      </c>
      <c r="T3493" s="2">
        <v>1</v>
      </c>
      <c r="U3493" s="2" t="s">
        <v>79</v>
      </c>
      <c r="V3493" s="2">
        <v>3</v>
      </c>
      <c r="W3493" s="2" t="s">
        <v>225</v>
      </c>
      <c r="X3493" s="2">
        <v>12</v>
      </c>
      <c r="Y3493" s="2" t="s">
        <v>148</v>
      </c>
      <c r="Z3493" s="2">
        <v>1</v>
      </c>
      <c r="AA3493" s="2" t="s">
        <v>82</v>
      </c>
      <c r="AB3493" s="2">
        <v>9</v>
      </c>
      <c r="AC3493" s="2" t="s">
        <v>124</v>
      </c>
      <c r="AD3493" s="2"/>
      <c r="AE3493" s="2"/>
      <c r="AF3493" s="3">
        <v>40411</v>
      </c>
      <c r="AG3493" s="4">
        <v>0.15208333333333332</v>
      </c>
      <c r="AH3493" s="2">
        <v>5</v>
      </c>
      <c r="AI3493" s="2" t="s">
        <v>274</v>
      </c>
      <c r="AJ3493" s="2">
        <v>35</v>
      </c>
      <c r="AK3493" s="2" t="s">
        <v>275</v>
      </c>
      <c r="AL3493" s="2">
        <v>23</v>
      </c>
      <c r="AM3493" s="2" t="s">
        <v>251</v>
      </c>
      <c r="AN3493" s="2"/>
      <c r="AO3493" s="2"/>
      <c r="AP3493" s="2">
        <v>11</v>
      </c>
      <c r="AQ3493" s="2" t="s">
        <v>82</v>
      </c>
      <c r="AR3493" s="2"/>
      <c r="AS3493" s="2"/>
      <c r="AT3493" s="2" t="s">
        <v>11209</v>
      </c>
      <c r="AU3493" s="2"/>
      <c r="AV3493" s="2"/>
      <c r="AW3493" s="2"/>
      <c r="AX3493" s="2"/>
      <c r="AY3493" s="2">
        <v>41</v>
      </c>
      <c r="AZ3493" s="2" t="s">
        <v>82</v>
      </c>
      <c r="BA3493" s="2">
        <v>41</v>
      </c>
      <c r="BB3493" s="2" t="s">
        <v>82</v>
      </c>
      <c r="BC3493" s="2">
        <v>41</v>
      </c>
      <c r="BD3493" s="2" t="s">
        <v>82</v>
      </c>
      <c r="BE3493" s="2">
        <v>41</v>
      </c>
      <c r="BF3493" s="2" t="s">
        <v>82</v>
      </c>
      <c r="BG3493" s="2"/>
      <c r="BH3493" s="2"/>
      <c r="BI3493" s="2"/>
      <c r="BJ3493" s="2">
        <v>241</v>
      </c>
      <c r="BK3493" s="2" t="s">
        <v>82</v>
      </c>
      <c r="BL3493" s="2"/>
      <c r="BM3493" s="2">
        <v>241</v>
      </c>
      <c r="BN3493" s="2" t="s">
        <v>82</v>
      </c>
      <c r="BO3493" s="2"/>
      <c r="BP3493" s="2">
        <v>241</v>
      </c>
      <c r="BQ3493" s="2" t="s">
        <v>82</v>
      </c>
      <c r="BR3493" s="2"/>
      <c r="BS3493" s="3">
        <v>40414</v>
      </c>
      <c r="BT3493" s="4">
        <v>0.83546296296296296</v>
      </c>
    </row>
    <row r="3494" spans="1:72" x14ac:dyDescent="0.25">
      <c r="A3494" s="2">
        <v>5140</v>
      </c>
      <c r="B3494" s="2">
        <v>2010</v>
      </c>
      <c r="C3494" s="2" t="s">
        <v>255</v>
      </c>
      <c r="D3494" s="2" t="s">
        <v>73</v>
      </c>
      <c r="E3494" s="2"/>
      <c r="F3494" s="2">
        <v>579</v>
      </c>
      <c r="G3494" s="2" t="s">
        <v>5354</v>
      </c>
      <c r="H3494" s="2">
        <v>99</v>
      </c>
      <c r="I3494" s="2" t="s">
        <v>6285</v>
      </c>
      <c r="J3494" s="2">
        <v>93</v>
      </c>
      <c r="K3494" s="2" t="s">
        <v>739</v>
      </c>
      <c r="L3494" s="2" t="s">
        <v>132</v>
      </c>
      <c r="M3494" s="3">
        <v>40414</v>
      </c>
      <c r="N3494" s="2" t="s">
        <v>11210</v>
      </c>
      <c r="O3494" s="2"/>
      <c r="P3494" s="2"/>
      <c r="Q3494" s="2" t="str">
        <f>"030/10"</f>
        <v>030/10</v>
      </c>
      <c r="R3494" s="2" t="s">
        <v>6961</v>
      </c>
      <c r="S3494" s="2"/>
      <c r="T3494" s="2">
        <v>1</v>
      </c>
      <c r="U3494" s="2" t="s">
        <v>79</v>
      </c>
      <c r="V3494" s="2">
        <v>1</v>
      </c>
      <c r="W3494" s="2" t="s">
        <v>80</v>
      </c>
      <c r="X3494" s="2">
        <v>1</v>
      </c>
      <c r="Y3494" s="2" t="s">
        <v>81</v>
      </c>
      <c r="Z3494" s="2">
        <v>10</v>
      </c>
      <c r="AA3494" s="2" t="s">
        <v>236</v>
      </c>
      <c r="AB3494" s="2">
        <v>9</v>
      </c>
      <c r="AC3494" s="2" t="s">
        <v>124</v>
      </c>
      <c r="AD3494" s="3">
        <v>39684</v>
      </c>
      <c r="AE3494" s="4">
        <v>0.61458333333333337</v>
      </c>
      <c r="AF3494" s="3">
        <v>39684</v>
      </c>
      <c r="AG3494" s="4">
        <v>0.61458333333333337</v>
      </c>
      <c r="AH3494" s="2">
        <v>4</v>
      </c>
      <c r="AI3494" s="2" t="s">
        <v>125</v>
      </c>
      <c r="AJ3494" s="2">
        <v>28</v>
      </c>
      <c r="AK3494" s="2" t="s">
        <v>741</v>
      </c>
      <c r="AL3494" s="2">
        <v>9</v>
      </c>
      <c r="AM3494" s="2" t="s">
        <v>259</v>
      </c>
      <c r="AN3494" s="2" t="s">
        <v>11211</v>
      </c>
      <c r="AO3494" s="2" t="s">
        <v>11212</v>
      </c>
      <c r="AP3494" s="2">
        <v>11</v>
      </c>
      <c r="AQ3494" s="2" t="s">
        <v>82</v>
      </c>
      <c r="AR3494" s="2"/>
      <c r="AS3494" s="2"/>
      <c r="AT3494" s="2" t="s">
        <v>11213</v>
      </c>
      <c r="AU3494" s="2"/>
      <c r="AV3494" s="2"/>
      <c r="AW3494" s="2"/>
      <c r="AX3494" s="2"/>
      <c r="AY3494" s="2">
        <v>44</v>
      </c>
      <c r="AZ3494" s="2" t="s">
        <v>262</v>
      </c>
      <c r="BA3494" s="2">
        <v>41</v>
      </c>
      <c r="BB3494" s="2" t="s">
        <v>82</v>
      </c>
      <c r="BC3494" s="2">
        <v>44</v>
      </c>
      <c r="BD3494" s="2" t="s">
        <v>262</v>
      </c>
      <c r="BE3494" s="2">
        <v>41</v>
      </c>
      <c r="BF3494" s="2" t="s">
        <v>82</v>
      </c>
      <c r="BG3494" s="2"/>
      <c r="BH3494" s="2"/>
      <c r="BI3494" s="2"/>
      <c r="BJ3494" s="2">
        <v>241</v>
      </c>
      <c r="BK3494" s="2" t="s">
        <v>82</v>
      </c>
      <c r="BL3494" s="2"/>
      <c r="BM3494" s="2">
        <v>241</v>
      </c>
      <c r="BN3494" s="2" t="s">
        <v>82</v>
      </c>
      <c r="BO3494" s="2"/>
      <c r="BP3494" s="2">
        <v>241</v>
      </c>
      <c r="BQ3494" s="2" t="s">
        <v>82</v>
      </c>
      <c r="BR3494" s="2"/>
      <c r="BS3494" s="3">
        <v>40414</v>
      </c>
      <c r="BT3494" s="4">
        <v>0.83854166666666663</v>
      </c>
    </row>
    <row r="3495" spans="1:72" x14ac:dyDescent="0.25">
      <c r="A3495" s="2">
        <v>5141</v>
      </c>
      <c r="B3495" s="2">
        <v>2010</v>
      </c>
      <c r="C3495" s="2" t="s">
        <v>72</v>
      </c>
      <c r="D3495" s="2" t="s">
        <v>73</v>
      </c>
      <c r="E3495" s="2"/>
      <c r="F3495" s="2">
        <v>3</v>
      </c>
      <c r="G3495" s="2" t="s">
        <v>1041</v>
      </c>
      <c r="H3495" s="2">
        <v>42</v>
      </c>
      <c r="I3495" s="2" t="s">
        <v>1096</v>
      </c>
      <c r="J3495" s="2">
        <v>368</v>
      </c>
      <c r="K3495" s="2" t="s">
        <v>1042</v>
      </c>
      <c r="L3495" s="2" t="s">
        <v>1043</v>
      </c>
      <c r="M3495" s="3">
        <v>40414</v>
      </c>
      <c r="N3495" s="2" t="s">
        <v>107</v>
      </c>
      <c r="O3495" s="2"/>
      <c r="P3495" s="2"/>
      <c r="Q3495" s="2" t="str">
        <f>"433-E/10"</f>
        <v>433-E/10</v>
      </c>
      <c r="R3495" s="2" t="s">
        <v>11214</v>
      </c>
      <c r="S3495" s="2" t="s">
        <v>11214</v>
      </c>
      <c r="T3495" s="2">
        <v>1</v>
      </c>
      <c r="U3495" s="2" t="s">
        <v>79</v>
      </c>
      <c r="V3495" s="2">
        <v>1</v>
      </c>
      <c r="W3495" s="2" t="s">
        <v>80</v>
      </c>
      <c r="X3495" s="2">
        <v>12</v>
      </c>
      <c r="Y3495" s="2" t="s">
        <v>148</v>
      </c>
      <c r="Z3495" s="2">
        <v>1</v>
      </c>
      <c r="AA3495" s="2" t="s">
        <v>82</v>
      </c>
      <c r="AB3495" s="2">
        <v>6</v>
      </c>
      <c r="AC3495" s="2" t="s">
        <v>83</v>
      </c>
      <c r="AD3495" s="3">
        <v>40390</v>
      </c>
      <c r="AE3495" s="2"/>
      <c r="AF3495" s="3">
        <v>40414</v>
      </c>
      <c r="AG3495" s="4">
        <v>0.64583333333333337</v>
      </c>
      <c r="AH3495" s="2">
        <v>2</v>
      </c>
      <c r="AI3495" s="2" t="s">
        <v>84</v>
      </c>
      <c r="AJ3495" s="2">
        <v>9</v>
      </c>
      <c r="AK3495" s="2" t="s">
        <v>103</v>
      </c>
      <c r="AL3495" s="2">
        <v>21</v>
      </c>
      <c r="AM3495" s="2" t="s">
        <v>1311</v>
      </c>
      <c r="AN3495" s="2" t="s">
        <v>11215</v>
      </c>
      <c r="AO3495" s="2"/>
      <c r="AP3495" s="2">
        <v>11</v>
      </c>
      <c r="AQ3495" s="2" t="s">
        <v>82</v>
      </c>
      <c r="AR3495" s="2"/>
      <c r="AS3495" s="2"/>
      <c r="AT3495" s="2" t="s">
        <v>11216</v>
      </c>
      <c r="AU3495" s="2"/>
      <c r="AV3495" s="2"/>
      <c r="AW3495" s="2"/>
      <c r="AX3495" s="2"/>
      <c r="AY3495" s="2">
        <v>41</v>
      </c>
      <c r="AZ3495" s="2" t="s">
        <v>82</v>
      </c>
      <c r="BA3495" s="2">
        <v>41</v>
      </c>
      <c r="BB3495" s="2" t="s">
        <v>82</v>
      </c>
      <c r="BC3495" s="2">
        <v>41</v>
      </c>
      <c r="BD3495" s="2" t="s">
        <v>82</v>
      </c>
      <c r="BE3495" s="2">
        <v>41</v>
      </c>
      <c r="BF3495" s="2" t="s">
        <v>82</v>
      </c>
      <c r="BG3495" s="2"/>
      <c r="BH3495" s="2"/>
      <c r="BI3495" s="2"/>
      <c r="BJ3495" s="2">
        <v>241</v>
      </c>
      <c r="BK3495" s="2" t="s">
        <v>82</v>
      </c>
      <c r="BL3495" s="2"/>
      <c r="BM3495" s="2">
        <v>241</v>
      </c>
      <c r="BN3495" s="2" t="s">
        <v>82</v>
      </c>
      <c r="BO3495" s="2"/>
      <c r="BP3495" s="2">
        <v>241</v>
      </c>
      <c r="BQ3495" s="2" t="s">
        <v>82</v>
      </c>
      <c r="BR3495" s="2"/>
      <c r="BS3495" s="3">
        <v>40414</v>
      </c>
      <c r="BT3495" s="4">
        <v>0.85427083333333342</v>
      </c>
    </row>
    <row r="3496" spans="1:72" x14ac:dyDescent="0.25">
      <c r="A3496" s="2">
        <v>5142</v>
      </c>
      <c r="B3496" s="2">
        <v>2010</v>
      </c>
      <c r="C3496" s="2" t="s">
        <v>385</v>
      </c>
      <c r="D3496" s="2" t="s">
        <v>122</v>
      </c>
      <c r="E3496" s="2" t="s">
        <v>2880</v>
      </c>
      <c r="F3496" s="2">
        <v>669</v>
      </c>
      <c r="G3496" s="2" t="s">
        <v>11142</v>
      </c>
      <c r="H3496" s="2">
        <v>22</v>
      </c>
      <c r="I3496" s="2" t="s">
        <v>75</v>
      </c>
      <c r="J3496" s="2">
        <v>645</v>
      </c>
      <c r="K3496" s="2" t="s">
        <v>11143</v>
      </c>
      <c r="L3496" s="2" t="s">
        <v>11144</v>
      </c>
      <c r="M3496" s="3">
        <v>40414</v>
      </c>
      <c r="N3496" s="2" t="s">
        <v>11145</v>
      </c>
      <c r="O3496" s="2" t="s">
        <v>11146</v>
      </c>
      <c r="P3496" s="6">
        <v>44844</v>
      </c>
      <c r="Q3496" s="2" t="str">
        <f>"12/10"</f>
        <v>12/10</v>
      </c>
      <c r="R3496" s="2"/>
      <c r="S3496" s="2"/>
      <c r="T3496" s="2">
        <v>1</v>
      </c>
      <c r="U3496" s="2" t="s">
        <v>79</v>
      </c>
      <c r="V3496" s="2">
        <v>1</v>
      </c>
      <c r="W3496" s="2" t="s">
        <v>80</v>
      </c>
      <c r="X3496" s="2">
        <v>5</v>
      </c>
      <c r="Y3496" s="2" t="s">
        <v>82</v>
      </c>
      <c r="Z3496" s="2">
        <v>1</v>
      </c>
      <c r="AA3496" s="2" t="s">
        <v>82</v>
      </c>
      <c r="AB3496" s="2">
        <v>9</v>
      </c>
      <c r="AC3496" s="2" t="s">
        <v>124</v>
      </c>
      <c r="AD3496" s="3">
        <v>40414</v>
      </c>
      <c r="AE3496" s="4">
        <v>0.85763888888888884</v>
      </c>
      <c r="AF3496" s="2"/>
      <c r="AG3496" s="2"/>
      <c r="AH3496" s="2">
        <v>5</v>
      </c>
      <c r="AI3496" s="2" t="s">
        <v>274</v>
      </c>
      <c r="AJ3496" s="2">
        <v>43</v>
      </c>
      <c r="AK3496" s="2" t="s">
        <v>918</v>
      </c>
      <c r="AL3496" s="2">
        <v>18</v>
      </c>
      <c r="AM3496" s="2" t="s">
        <v>82</v>
      </c>
      <c r="AN3496" s="2"/>
      <c r="AO3496" s="2"/>
      <c r="AP3496" s="2">
        <v>11</v>
      </c>
      <c r="AQ3496" s="2" t="s">
        <v>82</v>
      </c>
      <c r="AR3496" s="2"/>
      <c r="AS3496" s="2"/>
      <c r="AT3496" s="2" t="s">
        <v>11217</v>
      </c>
      <c r="AU3496" s="2"/>
      <c r="AV3496" s="2"/>
      <c r="AW3496" s="2"/>
      <c r="AX3496" s="2"/>
      <c r="AY3496" s="2">
        <v>1</v>
      </c>
      <c r="AZ3496" s="2" t="s">
        <v>107</v>
      </c>
      <c r="BA3496" s="2">
        <v>1</v>
      </c>
      <c r="BB3496" s="2" t="s">
        <v>107</v>
      </c>
      <c r="BC3496" s="2">
        <v>1</v>
      </c>
      <c r="BD3496" s="2" t="s">
        <v>107</v>
      </c>
      <c r="BE3496" s="2">
        <v>1</v>
      </c>
      <c r="BF3496" s="2" t="s">
        <v>107</v>
      </c>
      <c r="BG3496" s="2"/>
      <c r="BH3496" s="2"/>
      <c r="BI3496" s="2"/>
      <c r="BJ3496" s="2">
        <v>242</v>
      </c>
      <c r="BK3496" s="2" t="s">
        <v>107</v>
      </c>
      <c r="BL3496" s="2"/>
      <c r="BM3496" s="2">
        <v>242</v>
      </c>
      <c r="BN3496" s="2" t="s">
        <v>107</v>
      </c>
      <c r="BO3496" s="2"/>
      <c r="BP3496" s="2">
        <v>242</v>
      </c>
      <c r="BQ3496" s="2" t="s">
        <v>107</v>
      </c>
      <c r="BR3496" s="2"/>
      <c r="BS3496" s="3">
        <v>40414</v>
      </c>
      <c r="BT3496" s="4">
        <v>0.85934027777777777</v>
      </c>
    </row>
    <row r="3497" spans="1:72" x14ac:dyDescent="0.25">
      <c r="A3497" s="2">
        <v>5143</v>
      </c>
      <c r="B3497" s="2">
        <v>2010</v>
      </c>
      <c r="C3497" s="2" t="s">
        <v>72</v>
      </c>
      <c r="D3497" s="2" t="s">
        <v>73</v>
      </c>
      <c r="E3497" s="2"/>
      <c r="F3497" s="2">
        <v>667</v>
      </c>
      <c r="G3497" s="2" t="s">
        <v>10892</v>
      </c>
      <c r="H3497" s="2">
        <v>22</v>
      </c>
      <c r="I3497" s="2" t="s">
        <v>75</v>
      </c>
      <c r="J3497" s="2">
        <v>642</v>
      </c>
      <c r="K3497" s="2" t="s">
        <v>10893</v>
      </c>
      <c r="L3497" s="2" t="s">
        <v>6311</v>
      </c>
      <c r="M3497" s="3">
        <v>40414</v>
      </c>
      <c r="N3497" s="2" t="s">
        <v>11218</v>
      </c>
      <c r="O3497" s="2"/>
      <c r="P3497" s="2"/>
      <c r="Q3497" s="2" t="str">
        <f>"PS Nº 334-A/10"</f>
        <v>PS Nº 334-A/10</v>
      </c>
      <c r="R3497" s="2" t="s">
        <v>1547</v>
      </c>
      <c r="S3497" s="2" t="s">
        <v>1547</v>
      </c>
      <c r="T3497" s="2">
        <v>1</v>
      </c>
      <c r="U3497" s="2" t="s">
        <v>79</v>
      </c>
      <c r="V3497" s="2">
        <v>1</v>
      </c>
      <c r="W3497" s="2" t="s">
        <v>80</v>
      </c>
      <c r="X3497" s="2">
        <v>12</v>
      </c>
      <c r="Y3497" s="2" t="s">
        <v>148</v>
      </c>
      <c r="Z3497" s="2">
        <v>1</v>
      </c>
      <c r="AA3497" s="2" t="s">
        <v>82</v>
      </c>
      <c r="AB3497" s="2">
        <v>6</v>
      </c>
      <c r="AC3497" s="2" t="s">
        <v>83</v>
      </c>
      <c r="AD3497" s="3">
        <v>40414</v>
      </c>
      <c r="AE3497" s="2"/>
      <c r="AF3497" s="3">
        <v>40414</v>
      </c>
      <c r="AG3497" s="4">
        <v>0.88194444444444453</v>
      </c>
      <c r="AH3497" s="2">
        <v>2</v>
      </c>
      <c r="AI3497" s="2" t="s">
        <v>84</v>
      </c>
      <c r="AJ3497" s="2">
        <v>12</v>
      </c>
      <c r="AK3497" s="2" t="s">
        <v>85</v>
      </c>
      <c r="AL3497" s="2">
        <v>22</v>
      </c>
      <c r="AM3497" s="2" t="s">
        <v>1853</v>
      </c>
      <c r="AN3497" s="2" t="s">
        <v>11219</v>
      </c>
      <c r="AO3497" s="2"/>
      <c r="AP3497" s="2">
        <v>11</v>
      </c>
      <c r="AQ3497" s="2" t="s">
        <v>82</v>
      </c>
      <c r="AR3497" s="2"/>
      <c r="AS3497" s="2"/>
      <c r="AT3497" s="2" t="s">
        <v>11220</v>
      </c>
      <c r="AU3497" s="2"/>
      <c r="AV3497" s="2"/>
      <c r="AW3497" s="2"/>
      <c r="AX3497" s="2"/>
      <c r="AY3497" s="2">
        <v>41</v>
      </c>
      <c r="AZ3497" s="2" t="s">
        <v>82</v>
      </c>
      <c r="BA3497" s="2">
        <v>41</v>
      </c>
      <c r="BB3497" s="2" t="s">
        <v>82</v>
      </c>
      <c r="BC3497" s="2">
        <v>41</v>
      </c>
      <c r="BD3497" s="2" t="s">
        <v>82</v>
      </c>
      <c r="BE3497" s="2">
        <v>13</v>
      </c>
      <c r="BF3497" s="2" t="s">
        <v>108</v>
      </c>
      <c r="BG3497" s="2" t="s">
        <v>11221</v>
      </c>
      <c r="BH3497" s="4">
        <v>0.76388888888888884</v>
      </c>
      <c r="BI3497" s="4">
        <v>0.84375</v>
      </c>
      <c r="BJ3497" s="2">
        <v>13</v>
      </c>
      <c r="BK3497" s="2" t="s">
        <v>91</v>
      </c>
      <c r="BL3497" s="2" t="s">
        <v>1958</v>
      </c>
      <c r="BM3497" s="2">
        <v>241</v>
      </c>
      <c r="BN3497" s="2" t="s">
        <v>82</v>
      </c>
      <c r="BO3497" s="2"/>
      <c r="BP3497" s="2">
        <v>13</v>
      </c>
      <c r="BQ3497" s="2" t="s">
        <v>91</v>
      </c>
      <c r="BR3497" s="2" t="s">
        <v>564</v>
      </c>
      <c r="BS3497" s="3">
        <v>40414</v>
      </c>
      <c r="BT3497" s="4">
        <v>0.94876157407407413</v>
      </c>
    </row>
    <row r="3498" spans="1:72" x14ac:dyDescent="0.25">
      <c r="A3498" s="2">
        <v>5147</v>
      </c>
      <c r="B3498" s="2">
        <v>2010</v>
      </c>
      <c r="C3498" s="2" t="s">
        <v>171</v>
      </c>
      <c r="D3498" s="2" t="s">
        <v>73</v>
      </c>
      <c r="E3498" s="2"/>
      <c r="F3498" s="2">
        <v>35</v>
      </c>
      <c r="G3498" s="2" t="s">
        <v>2057</v>
      </c>
      <c r="H3498" s="2">
        <v>112</v>
      </c>
      <c r="I3498" s="2" t="s">
        <v>7351</v>
      </c>
      <c r="J3498" s="2">
        <v>43</v>
      </c>
      <c r="K3498" s="2" t="s">
        <v>2059</v>
      </c>
      <c r="L3498" s="2" t="s">
        <v>2060</v>
      </c>
      <c r="M3498" s="3">
        <v>40415</v>
      </c>
      <c r="N3498" s="2" t="s">
        <v>7527</v>
      </c>
      <c r="O3498" s="2" t="s">
        <v>523</v>
      </c>
      <c r="P3498" s="2" t="s">
        <v>11222</v>
      </c>
      <c r="Q3498" s="2" t="str">
        <f>"26/07"</f>
        <v>26/07</v>
      </c>
      <c r="R3498" s="2" t="s">
        <v>82</v>
      </c>
      <c r="S3498" s="2" t="s">
        <v>82</v>
      </c>
      <c r="T3498" s="2">
        <v>1</v>
      </c>
      <c r="U3498" s="2" t="s">
        <v>79</v>
      </c>
      <c r="V3498" s="2">
        <v>3</v>
      </c>
      <c r="W3498" s="2" t="s">
        <v>225</v>
      </c>
      <c r="X3498" s="2">
        <v>5</v>
      </c>
      <c r="Y3498" s="2" t="s">
        <v>82</v>
      </c>
      <c r="Z3498" s="2">
        <v>1</v>
      </c>
      <c r="AA3498" s="2" t="s">
        <v>82</v>
      </c>
      <c r="AB3498" s="2">
        <v>9</v>
      </c>
      <c r="AC3498" s="2" t="s">
        <v>124</v>
      </c>
      <c r="AD3498" s="3">
        <v>40415</v>
      </c>
      <c r="AE3498" s="4">
        <v>0.45833333333333331</v>
      </c>
      <c r="AF3498" s="2"/>
      <c r="AG3498" s="2"/>
      <c r="AH3498" s="2">
        <v>3</v>
      </c>
      <c r="AI3498" s="2" t="s">
        <v>214</v>
      </c>
      <c r="AJ3498" s="2">
        <v>14</v>
      </c>
      <c r="AK3498" s="2" t="s">
        <v>342</v>
      </c>
      <c r="AL3498" s="2">
        <v>19</v>
      </c>
      <c r="AM3498" s="2" t="s">
        <v>107</v>
      </c>
      <c r="AN3498" s="2"/>
      <c r="AO3498" s="2"/>
      <c r="AP3498" s="2">
        <v>11</v>
      </c>
      <c r="AQ3498" s="2" t="s">
        <v>82</v>
      </c>
      <c r="AR3498" s="2"/>
      <c r="AS3498" s="2"/>
      <c r="AT3498" s="2" t="s">
        <v>11223</v>
      </c>
      <c r="AU3498" s="2"/>
      <c r="AV3498" s="2"/>
      <c r="AW3498" s="2"/>
      <c r="AX3498" s="2"/>
      <c r="AY3498" s="2">
        <v>41</v>
      </c>
      <c r="AZ3498" s="2" t="s">
        <v>82</v>
      </c>
      <c r="BA3498" s="2">
        <v>41</v>
      </c>
      <c r="BB3498" s="2" t="s">
        <v>82</v>
      </c>
      <c r="BC3498" s="2">
        <v>41</v>
      </c>
      <c r="BD3498" s="2" t="s">
        <v>82</v>
      </c>
      <c r="BE3498" s="2">
        <v>41</v>
      </c>
      <c r="BF3498" s="2" t="s">
        <v>82</v>
      </c>
      <c r="BG3498" s="2"/>
      <c r="BH3498" s="2"/>
      <c r="BI3498" s="2"/>
      <c r="BJ3498" s="2">
        <v>241</v>
      </c>
      <c r="BK3498" s="2" t="s">
        <v>82</v>
      </c>
      <c r="BL3498" s="2"/>
      <c r="BM3498" s="2">
        <v>241</v>
      </c>
      <c r="BN3498" s="2" t="s">
        <v>82</v>
      </c>
      <c r="BO3498" s="2"/>
      <c r="BP3498" s="2">
        <v>242</v>
      </c>
      <c r="BQ3498" s="2" t="s">
        <v>107</v>
      </c>
      <c r="BR3498" s="2"/>
      <c r="BS3498" s="3">
        <v>40415</v>
      </c>
      <c r="BT3498" s="4">
        <v>0.47347222222222224</v>
      </c>
    </row>
    <row r="3499" spans="1:72" x14ac:dyDescent="0.25">
      <c r="A3499" s="2">
        <v>5149</v>
      </c>
      <c r="B3499" s="2">
        <v>2010</v>
      </c>
      <c r="C3499" s="2" t="s">
        <v>147</v>
      </c>
      <c r="D3499" s="2" t="s">
        <v>73</v>
      </c>
      <c r="E3499" s="2"/>
      <c r="F3499" s="2">
        <v>1</v>
      </c>
      <c r="G3499" s="2" t="s">
        <v>82</v>
      </c>
      <c r="H3499" s="2">
        <v>1</v>
      </c>
      <c r="I3499" s="2" t="s">
        <v>82</v>
      </c>
      <c r="J3499" s="2">
        <v>1</v>
      </c>
      <c r="K3499" s="2" t="s">
        <v>107</v>
      </c>
      <c r="L3499" s="2" t="s">
        <v>107</v>
      </c>
      <c r="M3499" s="3">
        <v>40415</v>
      </c>
      <c r="N3499" s="2"/>
      <c r="O3499" s="2"/>
      <c r="P3499" s="2"/>
      <c r="Q3499" s="2" t="str">
        <f>""</f>
        <v/>
      </c>
      <c r="R3499" s="2"/>
      <c r="S3499" s="2"/>
      <c r="T3499" s="2">
        <v>2</v>
      </c>
      <c r="U3499" s="2" t="s">
        <v>123</v>
      </c>
      <c r="V3499" s="2">
        <v>1</v>
      </c>
      <c r="W3499" s="2" t="s">
        <v>80</v>
      </c>
      <c r="X3499" s="2">
        <v>12</v>
      </c>
      <c r="Y3499" s="2" t="s">
        <v>148</v>
      </c>
      <c r="Z3499" s="2">
        <v>1</v>
      </c>
      <c r="AA3499" s="2" t="s">
        <v>82</v>
      </c>
      <c r="AB3499" s="2">
        <v>9</v>
      </c>
      <c r="AC3499" s="2" t="s">
        <v>124</v>
      </c>
      <c r="AD3499" s="2"/>
      <c r="AE3499" s="2"/>
      <c r="AF3499" s="3">
        <v>40415</v>
      </c>
      <c r="AG3499" s="4">
        <v>0.45833333333333331</v>
      </c>
      <c r="AH3499" s="2">
        <v>2</v>
      </c>
      <c r="AI3499" s="2" t="s">
        <v>84</v>
      </c>
      <c r="AJ3499" s="2">
        <v>11</v>
      </c>
      <c r="AK3499" s="2" t="s">
        <v>751</v>
      </c>
      <c r="AL3499" s="2">
        <v>19</v>
      </c>
      <c r="AM3499" s="2" t="s">
        <v>107</v>
      </c>
      <c r="AN3499" s="2" t="s">
        <v>11224</v>
      </c>
      <c r="AO3499" s="2" t="s">
        <v>11187</v>
      </c>
      <c r="AP3499" s="2">
        <v>11</v>
      </c>
      <c r="AQ3499" s="2" t="s">
        <v>82</v>
      </c>
      <c r="AR3499" s="2"/>
      <c r="AS3499" s="2"/>
      <c r="AT3499" s="2" t="s">
        <v>11225</v>
      </c>
      <c r="AU3499" s="2"/>
      <c r="AV3499" s="2"/>
      <c r="AW3499" s="2"/>
      <c r="AX3499" s="2"/>
      <c r="AY3499" s="2">
        <v>41</v>
      </c>
      <c r="AZ3499" s="2" t="s">
        <v>82</v>
      </c>
      <c r="BA3499" s="2">
        <v>41</v>
      </c>
      <c r="BB3499" s="2" t="s">
        <v>82</v>
      </c>
      <c r="BC3499" s="2">
        <v>41</v>
      </c>
      <c r="BD3499" s="2" t="s">
        <v>82</v>
      </c>
      <c r="BE3499" s="2">
        <v>41</v>
      </c>
      <c r="BF3499" s="2" t="s">
        <v>82</v>
      </c>
      <c r="BG3499" s="2"/>
      <c r="BH3499" s="2"/>
      <c r="BI3499" s="2"/>
      <c r="BJ3499" s="2">
        <v>241</v>
      </c>
      <c r="BK3499" s="2" t="s">
        <v>82</v>
      </c>
      <c r="BL3499" s="2"/>
      <c r="BM3499" s="2">
        <v>241</v>
      </c>
      <c r="BN3499" s="2" t="s">
        <v>82</v>
      </c>
      <c r="BO3499" s="2"/>
      <c r="BP3499" s="2">
        <v>241</v>
      </c>
      <c r="BQ3499" s="2" t="s">
        <v>82</v>
      </c>
      <c r="BR3499" s="2"/>
      <c r="BS3499" s="3">
        <v>40415</v>
      </c>
      <c r="BT3499" s="4">
        <v>0.54314814814814816</v>
      </c>
    </row>
    <row r="3500" spans="1:72" x14ac:dyDescent="0.25">
      <c r="A3500" s="2">
        <v>5151</v>
      </c>
      <c r="B3500" s="2">
        <v>2010</v>
      </c>
      <c r="C3500" s="2" t="s">
        <v>4543</v>
      </c>
      <c r="D3500" s="2" t="s">
        <v>122</v>
      </c>
      <c r="E3500" s="2"/>
      <c r="F3500" s="2">
        <v>1</v>
      </c>
      <c r="G3500" s="2" t="s">
        <v>82</v>
      </c>
      <c r="H3500" s="2">
        <v>1</v>
      </c>
      <c r="I3500" s="2" t="s">
        <v>82</v>
      </c>
      <c r="J3500" s="2">
        <v>1</v>
      </c>
      <c r="K3500" s="2" t="s">
        <v>107</v>
      </c>
      <c r="L3500" s="2" t="s">
        <v>107</v>
      </c>
      <c r="M3500" s="3">
        <v>40415</v>
      </c>
      <c r="N3500" s="2"/>
      <c r="O3500" s="2"/>
      <c r="P3500" s="2"/>
      <c r="Q3500" s="2" t="str">
        <f>""</f>
        <v/>
      </c>
      <c r="R3500" s="2"/>
      <c r="S3500" s="2"/>
      <c r="T3500" s="2">
        <v>2</v>
      </c>
      <c r="U3500" s="2" t="s">
        <v>123</v>
      </c>
      <c r="V3500" s="2">
        <v>1</v>
      </c>
      <c r="W3500" s="2" t="s">
        <v>80</v>
      </c>
      <c r="X3500" s="2">
        <v>5</v>
      </c>
      <c r="Y3500" s="2" t="s">
        <v>82</v>
      </c>
      <c r="Z3500" s="2">
        <v>10</v>
      </c>
      <c r="AA3500" s="2" t="s">
        <v>236</v>
      </c>
      <c r="AB3500" s="2">
        <v>9</v>
      </c>
      <c r="AC3500" s="2" t="s">
        <v>124</v>
      </c>
      <c r="AD3500" s="3">
        <v>40415</v>
      </c>
      <c r="AE3500" s="4">
        <v>0.52777777777777779</v>
      </c>
      <c r="AF3500" s="2"/>
      <c r="AG3500" s="2"/>
      <c r="AH3500" s="2">
        <v>6</v>
      </c>
      <c r="AI3500" s="2" t="s">
        <v>197</v>
      </c>
      <c r="AJ3500" s="2">
        <v>59</v>
      </c>
      <c r="AK3500" s="2" t="s">
        <v>198</v>
      </c>
      <c r="AL3500" s="2">
        <v>10</v>
      </c>
      <c r="AM3500" s="2" t="s">
        <v>200</v>
      </c>
      <c r="AN3500" s="2" t="s">
        <v>259</v>
      </c>
      <c r="AO3500" s="2" t="s">
        <v>230</v>
      </c>
      <c r="AP3500" s="2">
        <v>11</v>
      </c>
      <c r="AQ3500" s="2" t="s">
        <v>82</v>
      </c>
      <c r="AR3500" s="2"/>
      <c r="AS3500" s="2"/>
      <c r="AT3500" s="2" t="s">
        <v>11226</v>
      </c>
      <c r="AU3500" s="2"/>
      <c r="AV3500" s="2"/>
      <c r="AW3500" s="2"/>
      <c r="AX3500" s="2"/>
      <c r="AY3500" s="2">
        <v>41</v>
      </c>
      <c r="AZ3500" s="2" t="s">
        <v>82</v>
      </c>
      <c r="BA3500" s="2">
        <v>41</v>
      </c>
      <c r="BB3500" s="2" t="s">
        <v>82</v>
      </c>
      <c r="BC3500" s="2">
        <v>70</v>
      </c>
      <c r="BD3500" s="2" t="s">
        <v>236</v>
      </c>
      <c r="BE3500" s="2">
        <v>13</v>
      </c>
      <c r="BF3500" s="2" t="s">
        <v>108</v>
      </c>
      <c r="BG3500" s="2">
        <v>1872</v>
      </c>
      <c r="BH3500" s="4">
        <v>0.52083333333333337</v>
      </c>
      <c r="BI3500" s="4">
        <v>0.54861111111111105</v>
      </c>
      <c r="BJ3500" s="2">
        <v>13</v>
      </c>
      <c r="BK3500" s="2" t="s">
        <v>91</v>
      </c>
      <c r="BL3500" s="2" t="s">
        <v>11227</v>
      </c>
      <c r="BM3500" s="2">
        <v>241</v>
      </c>
      <c r="BN3500" s="2" t="s">
        <v>82</v>
      </c>
      <c r="BO3500" s="2" t="s">
        <v>82</v>
      </c>
      <c r="BP3500" s="2">
        <v>13</v>
      </c>
      <c r="BQ3500" s="2" t="s">
        <v>91</v>
      </c>
      <c r="BR3500" s="2" t="s">
        <v>204</v>
      </c>
      <c r="BS3500" s="3">
        <v>40415</v>
      </c>
      <c r="BT3500" s="4">
        <v>0.56510416666666663</v>
      </c>
    </row>
    <row r="3501" spans="1:72" x14ac:dyDescent="0.25">
      <c r="A3501" s="2">
        <v>5152</v>
      </c>
      <c r="B3501" s="2">
        <v>2010</v>
      </c>
      <c r="C3501" s="2" t="s">
        <v>72</v>
      </c>
      <c r="D3501" s="2" t="s">
        <v>73</v>
      </c>
      <c r="E3501" s="2"/>
      <c r="F3501" s="2">
        <v>3</v>
      </c>
      <c r="G3501" s="2" t="s">
        <v>1041</v>
      </c>
      <c r="H3501" s="2">
        <v>1</v>
      </c>
      <c r="I3501" s="2" t="s">
        <v>82</v>
      </c>
      <c r="J3501" s="2">
        <v>368</v>
      </c>
      <c r="K3501" s="2" t="s">
        <v>1042</v>
      </c>
      <c r="L3501" s="2" t="s">
        <v>1043</v>
      </c>
      <c r="M3501" s="3">
        <v>40415</v>
      </c>
      <c r="N3501" s="2"/>
      <c r="O3501" s="2"/>
      <c r="P3501" s="2"/>
      <c r="Q3501" s="2" t="str">
        <f>"434-E/10"</f>
        <v>434-E/10</v>
      </c>
      <c r="R3501" s="2" t="s">
        <v>601</v>
      </c>
      <c r="S3501" s="2" t="s">
        <v>601</v>
      </c>
      <c r="T3501" s="2">
        <v>1</v>
      </c>
      <c r="U3501" s="2" t="s">
        <v>79</v>
      </c>
      <c r="V3501" s="2">
        <v>1</v>
      </c>
      <c r="W3501" s="2" t="s">
        <v>80</v>
      </c>
      <c r="X3501" s="2">
        <v>12</v>
      </c>
      <c r="Y3501" s="2" t="s">
        <v>148</v>
      </c>
      <c r="Z3501" s="2">
        <v>1</v>
      </c>
      <c r="AA3501" s="2" t="s">
        <v>82</v>
      </c>
      <c r="AB3501" s="2">
        <v>6</v>
      </c>
      <c r="AC3501" s="2" t="s">
        <v>83</v>
      </c>
      <c r="AD3501" s="2"/>
      <c r="AE3501" s="2"/>
      <c r="AF3501" s="3">
        <v>40415</v>
      </c>
      <c r="AG3501" s="4">
        <v>0.4513888888888889</v>
      </c>
      <c r="AH3501" s="2">
        <v>2</v>
      </c>
      <c r="AI3501" s="2" t="s">
        <v>84</v>
      </c>
      <c r="AJ3501" s="2">
        <v>9</v>
      </c>
      <c r="AK3501" s="2" t="s">
        <v>103</v>
      </c>
      <c r="AL3501" s="2">
        <v>26</v>
      </c>
      <c r="AM3501" s="2" t="s">
        <v>6036</v>
      </c>
      <c r="AN3501" s="2"/>
      <c r="AO3501" s="2"/>
      <c r="AP3501" s="2">
        <v>11</v>
      </c>
      <c r="AQ3501" s="2" t="s">
        <v>82</v>
      </c>
      <c r="AR3501" s="2"/>
      <c r="AS3501" s="2"/>
      <c r="AT3501" s="2" t="s">
        <v>11228</v>
      </c>
      <c r="AU3501" s="2"/>
      <c r="AV3501" s="2"/>
      <c r="AW3501" s="2"/>
      <c r="AX3501" s="2"/>
      <c r="AY3501" s="2">
        <v>41</v>
      </c>
      <c r="AZ3501" s="2" t="s">
        <v>82</v>
      </c>
      <c r="BA3501" s="2">
        <v>41</v>
      </c>
      <c r="BB3501" s="2" t="s">
        <v>82</v>
      </c>
      <c r="BC3501" s="2">
        <v>41</v>
      </c>
      <c r="BD3501" s="2" t="s">
        <v>82</v>
      </c>
      <c r="BE3501" s="2">
        <v>31</v>
      </c>
      <c r="BF3501" s="2" t="s">
        <v>398</v>
      </c>
      <c r="BG3501" s="2" t="s">
        <v>792</v>
      </c>
      <c r="BH3501" s="4">
        <v>0.9375</v>
      </c>
      <c r="BI3501" s="2"/>
      <c r="BJ3501" s="2">
        <v>73</v>
      </c>
      <c r="BK3501" s="2" t="s">
        <v>186</v>
      </c>
      <c r="BL3501" s="2" t="s">
        <v>187</v>
      </c>
      <c r="BM3501" s="2">
        <v>241</v>
      </c>
      <c r="BN3501" s="2" t="s">
        <v>82</v>
      </c>
      <c r="BO3501" s="2" t="s">
        <v>82</v>
      </c>
      <c r="BP3501" s="2">
        <v>13</v>
      </c>
      <c r="BQ3501" s="2" t="s">
        <v>91</v>
      </c>
      <c r="BR3501" s="2" t="s">
        <v>360</v>
      </c>
      <c r="BS3501" s="3">
        <v>40415</v>
      </c>
      <c r="BT3501" s="4">
        <v>0.58939814814814817</v>
      </c>
    </row>
    <row r="3502" spans="1:72" x14ac:dyDescent="0.25">
      <c r="A3502" s="2">
        <v>5155</v>
      </c>
      <c r="B3502" s="2">
        <v>2010</v>
      </c>
      <c r="C3502" s="2" t="s">
        <v>171</v>
      </c>
      <c r="D3502" s="2" t="s">
        <v>73</v>
      </c>
      <c r="E3502" s="2" t="s">
        <v>5266</v>
      </c>
      <c r="F3502" s="2">
        <v>425</v>
      </c>
      <c r="G3502" s="2" t="s">
        <v>286</v>
      </c>
      <c r="H3502" s="2">
        <v>30</v>
      </c>
      <c r="I3502" s="2" t="s">
        <v>912</v>
      </c>
      <c r="J3502" s="2">
        <v>310</v>
      </c>
      <c r="K3502" s="2" t="s">
        <v>288</v>
      </c>
      <c r="L3502" s="2" t="s">
        <v>289</v>
      </c>
      <c r="M3502" s="3">
        <v>40415</v>
      </c>
      <c r="N3502" s="2" t="s">
        <v>1917</v>
      </c>
      <c r="O3502" s="2" t="s">
        <v>4718</v>
      </c>
      <c r="P3502" s="2" t="s">
        <v>4719</v>
      </c>
      <c r="Q3502" s="2" t="str">
        <f>"84"</f>
        <v>84</v>
      </c>
      <c r="R3502" s="2"/>
      <c r="S3502" s="2"/>
      <c r="T3502" s="2">
        <v>1</v>
      </c>
      <c r="U3502" s="2" t="s">
        <v>79</v>
      </c>
      <c r="V3502" s="2">
        <v>3</v>
      </c>
      <c r="W3502" s="2" t="s">
        <v>225</v>
      </c>
      <c r="X3502" s="2">
        <v>6</v>
      </c>
      <c r="Y3502" s="2" t="s">
        <v>249</v>
      </c>
      <c r="Z3502" s="2">
        <v>1</v>
      </c>
      <c r="AA3502" s="2" t="s">
        <v>82</v>
      </c>
      <c r="AB3502" s="2">
        <v>9</v>
      </c>
      <c r="AC3502" s="2" t="s">
        <v>124</v>
      </c>
      <c r="AD3502" s="2"/>
      <c r="AE3502" s="2"/>
      <c r="AF3502" s="2"/>
      <c r="AG3502" s="2"/>
      <c r="AH3502" s="2">
        <v>4</v>
      </c>
      <c r="AI3502" s="2" t="s">
        <v>125</v>
      </c>
      <c r="AJ3502" s="2">
        <v>26</v>
      </c>
      <c r="AK3502" s="2" t="s">
        <v>293</v>
      </c>
      <c r="AL3502" s="2">
        <v>23</v>
      </c>
      <c r="AM3502" s="2" t="s">
        <v>251</v>
      </c>
      <c r="AN3502" s="2"/>
      <c r="AO3502" s="2"/>
      <c r="AP3502" s="2">
        <v>11</v>
      </c>
      <c r="AQ3502" s="2" t="s">
        <v>82</v>
      </c>
      <c r="AR3502" s="2"/>
      <c r="AS3502" s="2"/>
      <c r="AT3502" s="2" t="s">
        <v>11229</v>
      </c>
      <c r="AU3502" s="2"/>
      <c r="AV3502" s="2"/>
      <c r="AW3502" s="2"/>
      <c r="AX3502" s="2"/>
      <c r="AY3502" s="2">
        <v>1</v>
      </c>
      <c r="AZ3502" s="2" t="s">
        <v>107</v>
      </c>
      <c r="BA3502" s="2">
        <v>1</v>
      </c>
      <c r="BB3502" s="2" t="s">
        <v>107</v>
      </c>
      <c r="BC3502" s="2">
        <v>1</v>
      </c>
      <c r="BD3502" s="2" t="s">
        <v>107</v>
      </c>
      <c r="BE3502" s="2">
        <v>1</v>
      </c>
      <c r="BF3502" s="2" t="s">
        <v>107</v>
      </c>
      <c r="BG3502" s="2"/>
      <c r="BH3502" s="2"/>
      <c r="BI3502" s="2"/>
      <c r="BJ3502" s="2">
        <v>242</v>
      </c>
      <c r="BK3502" s="2" t="s">
        <v>107</v>
      </c>
      <c r="BL3502" s="2"/>
      <c r="BM3502" s="2">
        <v>242</v>
      </c>
      <c r="BN3502" s="2" t="s">
        <v>107</v>
      </c>
      <c r="BO3502" s="2"/>
      <c r="BP3502" s="2">
        <v>242</v>
      </c>
      <c r="BQ3502" s="2" t="s">
        <v>107</v>
      </c>
      <c r="BR3502" s="2"/>
      <c r="BS3502" s="3">
        <v>40415</v>
      </c>
      <c r="BT3502" s="4">
        <v>0.69006944444444451</v>
      </c>
    </row>
    <row r="3503" spans="1:72" x14ac:dyDescent="0.25">
      <c r="A3503" s="2">
        <v>5157</v>
      </c>
      <c r="B3503" s="2">
        <v>2010</v>
      </c>
      <c r="C3503" s="2" t="s">
        <v>457</v>
      </c>
      <c r="D3503" s="2" t="s">
        <v>73</v>
      </c>
      <c r="E3503" s="2"/>
      <c r="F3503" s="2">
        <v>602</v>
      </c>
      <c r="G3503" s="2" t="s">
        <v>5972</v>
      </c>
      <c r="H3503" s="2">
        <v>50</v>
      </c>
      <c r="I3503" s="2" t="s">
        <v>107</v>
      </c>
      <c r="J3503" s="2">
        <v>1</v>
      </c>
      <c r="K3503" s="2" t="s">
        <v>107</v>
      </c>
      <c r="L3503" s="2" t="s">
        <v>107</v>
      </c>
      <c r="M3503" s="3">
        <v>40415</v>
      </c>
      <c r="N3503" s="2"/>
      <c r="O3503" s="2"/>
      <c r="P3503" s="2"/>
      <c r="Q3503" s="2" t="str">
        <f>"N/C"</f>
        <v>N/C</v>
      </c>
      <c r="R3503" s="2" t="s">
        <v>107</v>
      </c>
      <c r="S3503" s="2" t="s">
        <v>82</v>
      </c>
      <c r="T3503" s="2">
        <v>1</v>
      </c>
      <c r="U3503" s="2" t="s">
        <v>79</v>
      </c>
      <c r="V3503" s="2">
        <v>1</v>
      </c>
      <c r="W3503" s="2" t="s">
        <v>80</v>
      </c>
      <c r="X3503" s="2">
        <v>11</v>
      </c>
      <c r="Y3503" s="2" t="s">
        <v>1920</v>
      </c>
      <c r="Z3503" s="2">
        <v>1</v>
      </c>
      <c r="AA3503" s="2" t="s">
        <v>82</v>
      </c>
      <c r="AB3503" s="2">
        <v>9</v>
      </c>
      <c r="AC3503" s="2" t="s">
        <v>124</v>
      </c>
      <c r="AD3503" s="3">
        <v>40415</v>
      </c>
      <c r="AE3503" s="4">
        <v>0.72916666666666663</v>
      </c>
      <c r="AF3503" s="2"/>
      <c r="AG3503" s="2"/>
      <c r="AH3503" s="2">
        <v>2</v>
      </c>
      <c r="AI3503" s="2" t="s">
        <v>84</v>
      </c>
      <c r="AJ3503" s="2">
        <v>12</v>
      </c>
      <c r="AK3503" s="2" t="s">
        <v>85</v>
      </c>
      <c r="AL3503" s="2">
        <v>2</v>
      </c>
      <c r="AM3503" s="2" t="s">
        <v>163</v>
      </c>
      <c r="AN3503" s="2"/>
      <c r="AO3503" s="2" t="s">
        <v>9488</v>
      </c>
      <c r="AP3503" s="2">
        <v>11</v>
      </c>
      <c r="AQ3503" s="2" t="s">
        <v>82</v>
      </c>
      <c r="AR3503" s="2"/>
      <c r="AS3503" s="2"/>
      <c r="AT3503" s="2" t="s">
        <v>11230</v>
      </c>
      <c r="AU3503" s="2">
        <v>1</v>
      </c>
      <c r="AV3503" s="2"/>
      <c r="AW3503" s="2"/>
      <c r="AX3503" s="2"/>
      <c r="AY3503" s="2">
        <v>41</v>
      </c>
      <c r="AZ3503" s="2" t="s">
        <v>82</v>
      </c>
      <c r="BA3503" s="2">
        <v>41</v>
      </c>
      <c r="BB3503" s="2" t="s">
        <v>82</v>
      </c>
      <c r="BC3503" s="2">
        <v>41</v>
      </c>
      <c r="BD3503" s="2" t="s">
        <v>82</v>
      </c>
      <c r="BE3503" s="2">
        <v>13</v>
      </c>
      <c r="BF3503" s="2" t="s">
        <v>108</v>
      </c>
      <c r="BG3503" s="2" t="s">
        <v>571</v>
      </c>
      <c r="BH3503" s="2"/>
      <c r="BI3503" s="4">
        <v>0.71527777777777779</v>
      </c>
      <c r="BJ3503" s="2">
        <v>13</v>
      </c>
      <c r="BK3503" s="2" t="s">
        <v>91</v>
      </c>
      <c r="BL3503" s="2" t="s">
        <v>564</v>
      </c>
      <c r="BM3503" s="2">
        <v>241</v>
      </c>
      <c r="BN3503" s="2" t="s">
        <v>82</v>
      </c>
      <c r="BO3503" s="2"/>
      <c r="BP3503" s="2">
        <v>229</v>
      </c>
      <c r="BQ3503" s="2" t="s">
        <v>300</v>
      </c>
      <c r="BR3503" s="2" t="s">
        <v>573</v>
      </c>
      <c r="BS3503" s="3">
        <v>40415</v>
      </c>
      <c r="BT3503" s="4">
        <v>0.81557870370370367</v>
      </c>
    </row>
    <row r="3504" spans="1:72" x14ac:dyDescent="0.25">
      <c r="A3504" s="2">
        <v>5158</v>
      </c>
      <c r="B3504" s="2">
        <v>2010</v>
      </c>
      <c r="C3504" s="2" t="s">
        <v>171</v>
      </c>
      <c r="D3504" s="2" t="s">
        <v>73</v>
      </c>
      <c r="E3504" s="2"/>
      <c r="F3504" s="2">
        <v>393</v>
      </c>
      <c r="G3504" s="2" t="s">
        <v>3660</v>
      </c>
      <c r="H3504" s="2">
        <v>134</v>
      </c>
      <c r="I3504" s="2" t="s">
        <v>11231</v>
      </c>
      <c r="J3504" s="2">
        <v>2</v>
      </c>
      <c r="K3504" s="2" t="s">
        <v>3661</v>
      </c>
      <c r="L3504" s="2" t="s">
        <v>3662</v>
      </c>
      <c r="M3504" s="3">
        <v>40415</v>
      </c>
      <c r="N3504" s="2" t="s">
        <v>7494</v>
      </c>
      <c r="O3504" s="2"/>
      <c r="P3504" s="2" t="s">
        <v>107</v>
      </c>
      <c r="Q3504" s="2" t="str">
        <f>"06R/10"</f>
        <v>06R/10</v>
      </c>
      <c r="R3504" s="2" t="s">
        <v>11232</v>
      </c>
      <c r="S3504" s="2" t="s">
        <v>11232</v>
      </c>
      <c r="T3504" s="2">
        <v>1</v>
      </c>
      <c r="U3504" s="2" t="s">
        <v>79</v>
      </c>
      <c r="V3504" s="2">
        <v>3</v>
      </c>
      <c r="W3504" s="2" t="s">
        <v>225</v>
      </c>
      <c r="X3504" s="2">
        <v>2</v>
      </c>
      <c r="Y3504" s="2" t="s">
        <v>136</v>
      </c>
      <c r="Z3504" s="2">
        <v>10</v>
      </c>
      <c r="AA3504" s="2" t="s">
        <v>236</v>
      </c>
      <c r="AB3504" s="2">
        <v>9</v>
      </c>
      <c r="AC3504" s="2" t="s">
        <v>124</v>
      </c>
      <c r="AD3504" s="3">
        <v>40415</v>
      </c>
      <c r="AE3504" s="4">
        <v>0.66319444444444442</v>
      </c>
      <c r="AF3504" s="2"/>
      <c r="AG3504" s="2"/>
      <c r="AH3504" s="2">
        <v>2</v>
      </c>
      <c r="AI3504" s="2" t="s">
        <v>84</v>
      </c>
      <c r="AJ3504" s="2">
        <v>6</v>
      </c>
      <c r="AK3504" s="2" t="s">
        <v>453</v>
      </c>
      <c r="AL3504" s="2">
        <v>14</v>
      </c>
      <c r="AM3504" s="2" t="s">
        <v>216</v>
      </c>
      <c r="AN3504" s="2" t="s">
        <v>11233</v>
      </c>
      <c r="AO3504" s="2" t="s">
        <v>11234</v>
      </c>
      <c r="AP3504" s="2">
        <v>11</v>
      </c>
      <c r="AQ3504" s="2" t="s">
        <v>82</v>
      </c>
      <c r="AR3504" s="2"/>
      <c r="AS3504" s="2"/>
      <c r="AT3504" s="2" t="s">
        <v>11235</v>
      </c>
      <c r="AU3504" s="2"/>
      <c r="AV3504" s="2"/>
      <c r="AW3504" s="2"/>
      <c r="AX3504" s="2"/>
      <c r="AY3504" s="2">
        <v>42</v>
      </c>
      <c r="AZ3504" s="2" t="s">
        <v>182</v>
      </c>
      <c r="BA3504" s="2">
        <v>41</v>
      </c>
      <c r="BB3504" s="2" t="s">
        <v>82</v>
      </c>
      <c r="BC3504" s="2">
        <v>41</v>
      </c>
      <c r="BD3504" s="2" t="s">
        <v>82</v>
      </c>
      <c r="BE3504" s="2">
        <v>18</v>
      </c>
      <c r="BF3504" s="2" t="s">
        <v>1091</v>
      </c>
      <c r="BG3504" s="2" t="s">
        <v>10091</v>
      </c>
      <c r="BH3504" s="4">
        <v>0.66111111111111109</v>
      </c>
      <c r="BI3504" s="2"/>
      <c r="BJ3504" s="2">
        <v>205</v>
      </c>
      <c r="BK3504" s="2" t="s">
        <v>1085</v>
      </c>
      <c r="BL3504" s="2" t="s">
        <v>11236</v>
      </c>
      <c r="BM3504" s="2">
        <v>241</v>
      </c>
      <c r="BN3504" s="2" t="s">
        <v>82</v>
      </c>
      <c r="BO3504" s="2"/>
      <c r="BP3504" s="2">
        <v>13</v>
      </c>
      <c r="BQ3504" s="2" t="s">
        <v>91</v>
      </c>
      <c r="BR3504" s="2" t="s">
        <v>360</v>
      </c>
      <c r="BS3504" s="3">
        <v>40415</v>
      </c>
      <c r="BT3504" s="4">
        <v>0.82251157407407405</v>
      </c>
    </row>
    <row r="3505" spans="1:72" x14ac:dyDescent="0.25">
      <c r="A3505" s="2">
        <v>5159</v>
      </c>
      <c r="B3505" s="2">
        <v>2010</v>
      </c>
      <c r="C3505" s="2" t="s">
        <v>4543</v>
      </c>
      <c r="D3505" s="2" t="s">
        <v>122</v>
      </c>
      <c r="E3505" s="2"/>
      <c r="F3505" s="2">
        <v>555</v>
      </c>
      <c r="G3505" s="2" t="s">
        <v>1721</v>
      </c>
      <c r="H3505" s="2">
        <v>42</v>
      </c>
      <c r="I3505" s="2" t="s">
        <v>1096</v>
      </c>
      <c r="J3505" s="2">
        <v>647</v>
      </c>
      <c r="K3505" s="2" t="s">
        <v>1775</v>
      </c>
      <c r="L3505" s="2" t="s">
        <v>11237</v>
      </c>
      <c r="M3505" s="3">
        <v>40415</v>
      </c>
      <c r="N3505" s="2" t="s">
        <v>11238</v>
      </c>
      <c r="O3505" s="2" t="s">
        <v>11239</v>
      </c>
      <c r="P3505" s="2" t="s">
        <v>107</v>
      </c>
      <c r="Q3505" s="2" t="str">
        <f>"ACTA PROCEDIM 155/10"</f>
        <v>ACTA PROCEDIM 155/10</v>
      </c>
      <c r="R3505" s="2" t="s">
        <v>11239</v>
      </c>
      <c r="S3505" s="2" t="s">
        <v>11239</v>
      </c>
      <c r="T3505" s="2">
        <v>2</v>
      </c>
      <c r="U3505" s="2" t="s">
        <v>123</v>
      </c>
      <c r="V3505" s="2">
        <v>1</v>
      </c>
      <c r="W3505" s="2" t="s">
        <v>80</v>
      </c>
      <c r="X3505" s="2">
        <v>1</v>
      </c>
      <c r="Y3505" s="2" t="s">
        <v>81</v>
      </c>
      <c r="Z3505" s="2">
        <v>1</v>
      </c>
      <c r="AA3505" s="2" t="s">
        <v>82</v>
      </c>
      <c r="AB3505" s="2">
        <v>9</v>
      </c>
      <c r="AC3505" s="2" t="s">
        <v>124</v>
      </c>
      <c r="AD3505" s="3">
        <v>40415</v>
      </c>
      <c r="AE3505" s="4">
        <v>0.4513888888888889</v>
      </c>
      <c r="AF3505" s="2"/>
      <c r="AG3505" s="2"/>
      <c r="AH3505" s="2">
        <v>5</v>
      </c>
      <c r="AI3505" s="2" t="s">
        <v>274</v>
      </c>
      <c r="AJ3505" s="2">
        <v>42</v>
      </c>
      <c r="AK3505" s="2" t="s">
        <v>660</v>
      </c>
      <c r="AL3505" s="2">
        <v>28</v>
      </c>
      <c r="AM3505" s="2" t="s">
        <v>5969</v>
      </c>
      <c r="AN3505" s="2" t="s">
        <v>11240</v>
      </c>
      <c r="AO3505" s="2" t="s">
        <v>11241</v>
      </c>
      <c r="AP3505" s="2">
        <v>11</v>
      </c>
      <c r="AQ3505" s="2" t="s">
        <v>82</v>
      </c>
      <c r="AR3505" s="2"/>
      <c r="AS3505" s="2"/>
      <c r="AT3505" s="2" t="s">
        <v>11242</v>
      </c>
      <c r="AU3505" s="2"/>
      <c r="AV3505" s="2"/>
      <c r="AW3505" s="2"/>
      <c r="AX3505" s="2"/>
      <c r="AY3505" s="2">
        <v>41</v>
      </c>
      <c r="AZ3505" s="2" t="s">
        <v>82</v>
      </c>
      <c r="BA3505" s="2">
        <v>41</v>
      </c>
      <c r="BB3505" s="2" t="s">
        <v>82</v>
      </c>
      <c r="BC3505" s="2">
        <v>41</v>
      </c>
      <c r="BD3505" s="2" t="s">
        <v>82</v>
      </c>
      <c r="BE3505" s="2">
        <v>41</v>
      </c>
      <c r="BF3505" s="2" t="s">
        <v>82</v>
      </c>
      <c r="BG3505" s="2"/>
      <c r="BH3505" s="2"/>
      <c r="BI3505" s="2"/>
      <c r="BJ3505" s="2">
        <v>241</v>
      </c>
      <c r="BK3505" s="2" t="s">
        <v>82</v>
      </c>
      <c r="BL3505" s="2"/>
      <c r="BM3505" s="2">
        <v>241</v>
      </c>
      <c r="BN3505" s="2" t="s">
        <v>82</v>
      </c>
      <c r="BO3505" s="2"/>
      <c r="BP3505" s="2">
        <v>241</v>
      </c>
      <c r="BQ3505" s="2" t="s">
        <v>82</v>
      </c>
      <c r="BR3505" s="2"/>
      <c r="BS3505" s="3">
        <v>40415</v>
      </c>
      <c r="BT3505" s="4">
        <v>0.84012731481481484</v>
      </c>
    </row>
    <row r="3506" spans="1:72" x14ac:dyDescent="0.25">
      <c r="A3506" s="2">
        <v>5160</v>
      </c>
      <c r="B3506" s="2">
        <v>2010</v>
      </c>
      <c r="C3506" s="2" t="s">
        <v>171</v>
      </c>
      <c r="D3506" s="2" t="s">
        <v>73</v>
      </c>
      <c r="E3506" s="2"/>
      <c r="F3506" s="2">
        <v>425</v>
      </c>
      <c r="G3506" s="2" t="s">
        <v>286</v>
      </c>
      <c r="H3506" s="2">
        <v>39</v>
      </c>
      <c r="I3506" s="2" t="s">
        <v>1117</v>
      </c>
      <c r="J3506" s="2">
        <v>310</v>
      </c>
      <c r="K3506" s="2" t="s">
        <v>288</v>
      </c>
      <c r="L3506" s="2" t="s">
        <v>289</v>
      </c>
      <c r="M3506" s="3">
        <v>40415</v>
      </c>
      <c r="N3506" s="2" t="s">
        <v>1882</v>
      </c>
      <c r="O3506" s="2" t="s">
        <v>11243</v>
      </c>
      <c r="P3506" s="2" t="s">
        <v>1688</v>
      </c>
      <c r="Q3506" s="2" t="str">
        <f>"101"</f>
        <v>101</v>
      </c>
      <c r="R3506" s="2"/>
      <c r="S3506" s="2" t="s">
        <v>318</v>
      </c>
      <c r="T3506" s="2">
        <v>1</v>
      </c>
      <c r="U3506" s="2" t="s">
        <v>79</v>
      </c>
      <c r="V3506" s="2">
        <v>3</v>
      </c>
      <c r="W3506" s="2" t="s">
        <v>225</v>
      </c>
      <c r="X3506" s="2">
        <v>8</v>
      </c>
      <c r="Y3506" s="2" t="s">
        <v>375</v>
      </c>
      <c r="Z3506" s="2">
        <v>10</v>
      </c>
      <c r="AA3506" s="2" t="s">
        <v>236</v>
      </c>
      <c r="AB3506" s="2">
        <v>9</v>
      </c>
      <c r="AC3506" s="2" t="s">
        <v>124</v>
      </c>
      <c r="AD3506" s="2"/>
      <c r="AE3506" s="2"/>
      <c r="AF3506" s="2"/>
      <c r="AG3506" s="2"/>
      <c r="AH3506" s="2">
        <v>4</v>
      </c>
      <c r="AI3506" s="2" t="s">
        <v>125</v>
      </c>
      <c r="AJ3506" s="2">
        <v>26</v>
      </c>
      <c r="AK3506" s="2" t="s">
        <v>293</v>
      </c>
      <c r="AL3506" s="2">
        <v>23</v>
      </c>
      <c r="AM3506" s="2" t="s">
        <v>251</v>
      </c>
      <c r="AN3506" s="2" t="s">
        <v>11244</v>
      </c>
      <c r="AO3506" s="2" t="s">
        <v>11245</v>
      </c>
      <c r="AP3506" s="2">
        <v>11</v>
      </c>
      <c r="AQ3506" s="2" t="s">
        <v>82</v>
      </c>
      <c r="AR3506" s="2"/>
      <c r="AS3506" s="2"/>
      <c r="AT3506" s="2" t="s">
        <v>11246</v>
      </c>
      <c r="AU3506" s="2"/>
      <c r="AV3506" s="2"/>
      <c r="AW3506" s="2"/>
      <c r="AX3506" s="2"/>
      <c r="AY3506" s="2">
        <v>1</v>
      </c>
      <c r="AZ3506" s="2" t="s">
        <v>107</v>
      </c>
      <c r="BA3506" s="2">
        <v>1</v>
      </c>
      <c r="BB3506" s="2" t="s">
        <v>107</v>
      </c>
      <c r="BC3506" s="2">
        <v>1</v>
      </c>
      <c r="BD3506" s="2" t="s">
        <v>107</v>
      </c>
      <c r="BE3506" s="2">
        <v>1</v>
      </c>
      <c r="BF3506" s="2" t="s">
        <v>107</v>
      </c>
      <c r="BG3506" s="2"/>
      <c r="BH3506" s="2"/>
      <c r="BI3506" s="2"/>
      <c r="BJ3506" s="2">
        <v>242</v>
      </c>
      <c r="BK3506" s="2" t="s">
        <v>107</v>
      </c>
      <c r="BL3506" s="2"/>
      <c r="BM3506" s="2">
        <v>242</v>
      </c>
      <c r="BN3506" s="2" t="s">
        <v>107</v>
      </c>
      <c r="BO3506" s="2"/>
      <c r="BP3506" s="2">
        <v>242</v>
      </c>
      <c r="BQ3506" s="2" t="s">
        <v>107</v>
      </c>
      <c r="BR3506" s="2"/>
      <c r="BS3506" s="3">
        <v>40415</v>
      </c>
      <c r="BT3506" s="4">
        <v>0.89462962962962955</v>
      </c>
    </row>
    <row r="3507" spans="1:72" x14ac:dyDescent="0.25">
      <c r="A3507" s="2">
        <v>5161</v>
      </c>
      <c r="B3507" s="2">
        <v>2010</v>
      </c>
      <c r="C3507" s="2" t="s">
        <v>385</v>
      </c>
      <c r="D3507" s="2" t="s">
        <v>122</v>
      </c>
      <c r="E3507" s="2"/>
      <c r="F3507" s="2">
        <v>22</v>
      </c>
      <c r="G3507" s="2" t="s">
        <v>9463</v>
      </c>
      <c r="H3507" s="2">
        <v>39</v>
      </c>
      <c r="I3507" s="2" t="s">
        <v>1117</v>
      </c>
      <c r="J3507" s="2">
        <v>32</v>
      </c>
      <c r="K3507" s="2" t="s">
        <v>9464</v>
      </c>
      <c r="L3507" s="2" t="s">
        <v>2145</v>
      </c>
      <c r="M3507" s="3">
        <v>40415</v>
      </c>
      <c r="N3507" s="2" t="s">
        <v>11247</v>
      </c>
      <c r="O3507" s="2"/>
      <c r="P3507" s="7">
        <v>18048</v>
      </c>
      <c r="Q3507" s="2" t="str">
        <f>""</f>
        <v/>
      </c>
      <c r="R3507" s="2"/>
      <c r="S3507" s="2"/>
      <c r="T3507" s="2">
        <v>1</v>
      </c>
      <c r="U3507" s="2" t="s">
        <v>79</v>
      </c>
      <c r="V3507" s="2">
        <v>1</v>
      </c>
      <c r="W3507" s="2" t="s">
        <v>80</v>
      </c>
      <c r="X3507" s="2">
        <v>11</v>
      </c>
      <c r="Y3507" s="2" t="s">
        <v>1920</v>
      </c>
      <c r="Z3507" s="2">
        <v>1</v>
      </c>
      <c r="AA3507" s="2" t="s">
        <v>82</v>
      </c>
      <c r="AB3507" s="2">
        <v>9</v>
      </c>
      <c r="AC3507" s="2" t="s">
        <v>124</v>
      </c>
      <c r="AD3507" s="3">
        <v>40415</v>
      </c>
      <c r="AE3507" s="4">
        <v>0.95486111111111116</v>
      </c>
      <c r="AF3507" s="2"/>
      <c r="AG3507" s="2"/>
      <c r="AH3507" s="2">
        <v>2</v>
      </c>
      <c r="AI3507" s="2" t="s">
        <v>84</v>
      </c>
      <c r="AJ3507" s="2">
        <v>8</v>
      </c>
      <c r="AK3507" s="2" t="s">
        <v>436</v>
      </c>
      <c r="AL3507" s="2">
        <v>19</v>
      </c>
      <c r="AM3507" s="2" t="s">
        <v>107</v>
      </c>
      <c r="AN3507" s="2"/>
      <c r="AO3507" s="2" t="s">
        <v>11248</v>
      </c>
      <c r="AP3507" s="2">
        <v>11</v>
      </c>
      <c r="AQ3507" s="2" t="s">
        <v>82</v>
      </c>
      <c r="AR3507" s="2"/>
      <c r="AS3507" s="2"/>
      <c r="AT3507" s="2" t="s">
        <v>11249</v>
      </c>
      <c r="AU3507" s="2">
        <v>1</v>
      </c>
      <c r="AV3507" s="2"/>
      <c r="AW3507" s="2"/>
      <c r="AX3507" s="2"/>
      <c r="AY3507" s="2">
        <v>1</v>
      </c>
      <c r="AZ3507" s="2" t="s">
        <v>107</v>
      </c>
      <c r="BA3507" s="2">
        <v>1</v>
      </c>
      <c r="BB3507" s="2" t="s">
        <v>107</v>
      </c>
      <c r="BC3507" s="2">
        <v>1</v>
      </c>
      <c r="BD3507" s="2" t="s">
        <v>107</v>
      </c>
      <c r="BE3507" s="2">
        <v>1</v>
      </c>
      <c r="BF3507" s="2" t="s">
        <v>107</v>
      </c>
      <c r="BG3507" s="2" t="s">
        <v>1154</v>
      </c>
      <c r="BH3507" s="4">
        <v>0.92361111111111116</v>
      </c>
      <c r="BI3507" s="4">
        <v>0.95486111111111116</v>
      </c>
      <c r="BJ3507" s="2">
        <v>242</v>
      </c>
      <c r="BK3507" s="2" t="s">
        <v>107</v>
      </c>
      <c r="BL3507" s="2" t="s">
        <v>647</v>
      </c>
      <c r="BM3507" s="2">
        <v>242</v>
      </c>
      <c r="BN3507" s="2" t="s">
        <v>107</v>
      </c>
      <c r="BO3507" s="2"/>
      <c r="BP3507" s="2">
        <v>242</v>
      </c>
      <c r="BQ3507" s="2" t="s">
        <v>107</v>
      </c>
      <c r="BR3507" s="2" t="s">
        <v>185</v>
      </c>
      <c r="BS3507" s="3">
        <v>40415</v>
      </c>
      <c r="BT3507" s="4">
        <v>0.99506944444444445</v>
      </c>
    </row>
    <row r="3508" spans="1:72" x14ac:dyDescent="0.25">
      <c r="A3508" s="2">
        <v>5162</v>
      </c>
      <c r="B3508" s="2">
        <v>2010</v>
      </c>
      <c r="C3508" s="2" t="s">
        <v>377</v>
      </c>
      <c r="D3508" s="2" t="s">
        <v>73</v>
      </c>
      <c r="E3508" s="2"/>
      <c r="F3508" s="2">
        <v>426</v>
      </c>
      <c r="G3508" s="2" t="s">
        <v>378</v>
      </c>
      <c r="H3508" s="2">
        <v>42</v>
      </c>
      <c r="I3508" s="2" t="s">
        <v>1096</v>
      </c>
      <c r="J3508" s="2">
        <v>311</v>
      </c>
      <c r="K3508" s="2" t="s">
        <v>379</v>
      </c>
      <c r="L3508" s="2" t="s">
        <v>380</v>
      </c>
      <c r="M3508" s="3">
        <v>40416</v>
      </c>
      <c r="N3508" s="2" t="s">
        <v>5164</v>
      </c>
      <c r="O3508" s="2"/>
      <c r="P3508" s="2"/>
      <c r="Q3508" s="2" t="str">
        <f>"225-C/10"</f>
        <v>225-C/10</v>
      </c>
      <c r="R3508" s="2" t="s">
        <v>4428</v>
      </c>
      <c r="S3508" s="2"/>
      <c r="T3508" s="2">
        <v>1</v>
      </c>
      <c r="U3508" s="2" t="s">
        <v>79</v>
      </c>
      <c r="V3508" s="2">
        <v>1</v>
      </c>
      <c r="W3508" s="2" t="s">
        <v>80</v>
      </c>
      <c r="X3508" s="2">
        <v>1</v>
      </c>
      <c r="Y3508" s="2" t="s">
        <v>81</v>
      </c>
      <c r="Z3508" s="2">
        <v>1</v>
      </c>
      <c r="AA3508" s="2" t="s">
        <v>82</v>
      </c>
      <c r="AB3508" s="2">
        <v>9</v>
      </c>
      <c r="AC3508" s="2" t="s">
        <v>124</v>
      </c>
      <c r="AD3508" s="3">
        <v>40415</v>
      </c>
      <c r="AE3508" s="4">
        <v>0.89583333333333337</v>
      </c>
      <c r="AF3508" s="2"/>
      <c r="AG3508" s="2"/>
      <c r="AH3508" s="2">
        <v>2</v>
      </c>
      <c r="AI3508" s="2" t="s">
        <v>84</v>
      </c>
      <c r="AJ3508" s="2">
        <v>9</v>
      </c>
      <c r="AK3508" s="2" t="s">
        <v>103</v>
      </c>
      <c r="AL3508" s="2">
        <v>29</v>
      </c>
      <c r="AM3508" s="2" t="s">
        <v>5416</v>
      </c>
      <c r="AN3508" s="2"/>
      <c r="AO3508" s="2" t="s">
        <v>4220</v>
      </c>
      <c r="AP3508" s="2">
        <v>11</v>
      </c>
      <c r="AQ3508" s="2" t="s">
        <v>82</v>
      </c>
      <c r="AR3508" s="2"/>
      <c r="AS3508" s="2"/>
      <c r="AT3508" s="2" t="s">
        <v>11250</v>
      </c>
      <c r="AU3508" s="2"/>
      <c r="AV3508" s="2"/>
      <c r="AW3508" s="2"/>
      <c r="AX3508" s="2"/>
      <c r="AY3508" s="2">
        <v>41</v>
      </c>
      <c r="AZ3508" s="2" t="s">
        <v>82</v>
      </c>
      <c r="BA3508" s="2">
        <v>41</v>
      </c>
      <c r="BB3508" s="2" t="s">
        <v>82</v>
      </c>
      <c r="BC3508" s="2">
        <v>41</v>
      </c>
      <c r="BD3508" s="2" t="s">
        <v>82</v>
      </c>
      <c r="BE3508" s="2">
        <v>41</v>
      </c>
      <c r="BF3508" s="2" t="s">
        <v>82</v>
      </c>
      <c r="BG3508" s="2"/>
      <c r="BH3508" s="2"/>
      <c r="BI3508" s="2"/>
      <c r="BJ3508" s="2">
        <v>241</v>
      </c>
      <c r="BK3508" s="2" t="s">
        <v>82</v>
      </c>
      <c r="BL3508" s="2"/>
      <c r="BM3508" s="2">
        <v>241</v>
      </c>
      <c r="BN3508" s="2" t="s">
        <v>82</v>
      </c>
      <c r="BO3508" s="2"/>
      <c r="BP3508" s="2">
        <v>241</v>
      </c>
      <c r="BQ3508" s="2" t="s">
        <v>82</v>
      </c>
      <c r="BR3508" s="2"/>
      <c r="BS3508" s="3">
        <v>40416</v>
      </c>
      <c r="BT3508" s="4">
        <v>5.2777777777777771E-3</v>
      </c>
    </row>
    <row r="3509" spans="1:72" x14ac:dyDescent="0.25">
      <c r="A3509" s="2">
        <v>5163</v>
      </c>
      <c r="B3509" s="2">
        <v>2010</v>
      </c>
      <c r="C3509" s="2" t="s">
        <v>385</v>
      </c>
      <c r="D3509" s="2" t="s">
        <v>122</v>
      </c>
      <c r="E3509" s="2"/>
      <c r="F3509" s="2">
        <v>22</v>
      </c>
      <c r="G3509" s="2" t="s">
        <v>9463</v>
      </c>
      <c r="H3509" s="2">
        <v>3</v>
      </c>
      <c r="I3509" s="2" t="s">
        <v>315</v>
      </c>
      <c r="J3509" s="2">
        <v>32</v>
      </c>
      <c r="K3509" s="2" t="s">
        <v>9464</v>
      </c>
      <c r="L3509" s="2" t="s">
        <v>2145</v>
      </c>
      <c r="M3509" s="3">
        <v>40416</v>
      </c>
      <c r="N3509" s="2" t="s">
        <v>11247</v>
      </c>
      <c r="O3509" s="2" t="s">
        <v>11251</v>
      </c>
      <c r="P3509" s="2">
        <v>18048</v>
      </c>
      <c r="Q3509" s="2" t="str">
        <f>""</f>
        <v/>
      </c>
      <c r="R3509" s="2"/>
      <c r="S3509" s="2"/>
      <c r="T3509" s="2">
        <v>1</v>
      </c>
      <c r="U3509" s="2" t="s">
        <v>79</v>
      </c>
      <c r="V3509" s="2">
        <v>1</v>
      </c>
      <c r="W3509" s="2" t="s">
        <v>80</v>
      </c>
      <c r="X3509" s="2">
        <v>11</v>
      </c>
      <c r="Y3509" s="2" t="s">
        <v>1920</v>
      </c>
      <c r="Z3509" s="2">
        <v>1</v>
      </c>
      <c r="AA3509" s="2" t="s">
        <v>82</v>
      </c>
      <c r="AB3509" s="2">
        <v>9</v>
      </c>
      <c r="AC3509" s="2" t="s">
        <v>124</v>
      </c>
      <c r="AD3509" s="3">
        <v>40415</v>
      </c>
      <c r="AE3509" s="4">
        <v>0.98958333333333337</v>
      </c>
      <c r="AF3509" s="2"/>
      <c r="AG3509" s="2"/>
      <c r="AH3509" s="2">
        <v>2</v>
      </c>
      <c r="AI3509" s="2" t="s">
        <v>84</v>
      </c>
      <c r="AJ3509" s="2">
        <v>12</v>
      </c>
      <c r="AK3509" s="2" t="s">
        <v>85</v>
      </c>
      <c r="AL3509" s="2">
        <v>2</v>
      </c>
      <c r="AM3509" s="2" t="s">
        <v>163</v>
      </c>
      <c r="AN3509" s="2" t="s">
        <v>11252</v>
      </c>
      <c r="AO3509" s="2" t="s">
        <v>11253</v>
      </c>
      <c r="AP3509" s="2">
        <v>11</v>
      </c>
      <c r="AQ3509" s="2" t="s">
        <v>82</v>
      </c>
      <c r="AR3509" s="2"/>
      <c r="AS3509" s="2"/>
      <c r="AT3509" s="2" t="s">
        <v>11254</v>
      </c>
      <c r="AU3509" s="2">
        <v>1</v>
      </c>
      <c r="AV3509" s="2"/>
      <c r="AW3509" s="2"/>
      <c r="AX3509" s="2"/>
      <c r="AY3509" s="2">
        <v>41</v>
      </c>
      <c r="AZ3509" s="2" t="s">
        <v>82</v>
      </c>
      <c r="BA3509" s="2">
        <v>41</v>
      </c>
      <c r="BB3509" s="2" t="s">
        <v>82</v>
      </c>
      <c r="BC3509" s="2">
        <v>70</v>
      </c>
      <c r="BD3509" s="2" t="s">
        <v>236</v>
      </c>
      <c r="BE3509" s="2">
        <v>13</v>
      </c>
      <c r="BF3509" s="2" t="s">
        <v>108</v>
      </c>
      <c r="BG3509" s="2" t="s">
        <v>11255</v>
      </c>
      <c r="BH3509" s="4">
        <v>0.98958333333333337</v>
      </c>
      <c r="BI3509" s="4">
        <v>0.95138888888888884</v>
      </c>
      <c r="BJ3509" s="2">
        <v>13</v>
      </c>
      <c r="BK3509" s="2" t="s">
        <v>91</v>
      </c>
      <c r="BL3509" s="2" t="s">
        <v>647</v>
      </c>
      <c r="BM3509" s="2">
        <v>241</v>
      </c>
      <c r="BN3509" s="2" t="s">
        <v>82</v>
      </c>
      <c r="BO3509" s="2"/>
      <c r="BP3509" s="2">
        <v>13</v>
      </c>
      <c r="BQ3509" s="2" t="s">
        <v>91</v>
      </c>
      <c r="BR3509" s="2" t="s">
        <v>185</v>
      </c>
      <c r="BS3509" s="3">
        <v>40416</v>
      </c>
      <c r="BT3509" s="4">
        <v>1.7175925925925924E-2</v>
      </c>
    </row>
    <row r="3510" spans="1:72" x14ac:dyDescent="0.25">
      <c r="A3510" s="2">
        <v>5164</v>
      </c>
      <c r="B3510" s="2">
        <v>2010</v>
      </c>
      <c r="C3510" s="2" t="s">
        <v>549</v>
      </c>
      <c r="D3510" s="2" t="s">
        <v>73</v>
      </c>
      <c r="E3510" s="2"/>
      <c r="F3510" s="2">
        <v>3</v>
      </c>
      <c r="G3510" s="2" t="s">
        <v>1041</v>
      </c>
      <c r="H3510" s="2">
        <v>1</v>
      </c>
      <c r="I3510" s="2" t="s">
        <v>82</v>
      </c>
      <c r="J3510" s="2">
        <v>368</v>
      </c>
      <c r="K3510" s="2" t="s">
        <v>1042</v>
      </c>
      <c r="L3510" s="2" t="s">
        <v>1043</v>
      </c>
      <c r="M3510" s="3">
        <v>40416</v>
      </c>
      <c r="N3510" s="2"/>
      <c r="O3510" s="2"/>
      <c r="P3510" s="2"/>
      <c r="Q3510" s="2" t="str">
        <f>"435-E/10"</f>
        <v>435-E/10</v>
      </c>
      <c r="R3510" s="2" t="s">
        <v>550</v>
      </c>
      <c r="S3510" s="2" t="s">
        <v>550</v>
      </c>
      <c r="T3510" s="2">
        <v>1</v>
      </c>
      <c r="U3510" s="2" t="s">
        <v>79</v>
      </c>
      <c r="V3510" s="2">
        <v>1</v>
      </c>
      <c r="W3510" s="2" t="s">
        <v>80</v>
      </c>
      <c r="X3510" s="2">
        <v>1</v>
      </c>
      <c r="Y3510" s="2" t="s">
        <v>81</v>
      </c>
      <c r="Z3510" s="2">
        <v>1</v>
      </c>
      <c r="AA3510" s="2" t="s">
        <v>82</v>
      </c>
      <c r="AB3510" s="2">
        <v>9</v>
      </c>
      <c r="AC3510" s="2" t="s">
        <v>124</v>
      </c>
      <c r="AD3510" s="3">
        <v>40415</v>
      </c>
      <c r="AE3510" s="4">
        <v>0.63541666666666663</v>
      </c>
      <c r="AF3510" s="2"/>
      <c r="AG3510" s="2"/>
      <c r="AH3510" s="2">
        <v>2</v>
      </c>
      <c r="AI3510" s="2" t="s">
        <v>84</v>
      </c>
      <c r="AJ3510" s="2">
        <v>9</v>
      </c>
      <c r="AK3510" s="2" t="s">
        <v>103</v>
      </c>
      <c r="AL3510" s="2">
        <v>24</v>
      </c>
      <c r="AM3510" s="2" t="s">
        <v>1540</v>
      </c>
      <c r="AN3510" s="2" t="s">
        <v>11256</v>
      </c>
      <c r="AO3510" s="2" t="s">
        <v>11257</v>
      </c>
      <c r="AP3510" s="2">
        <v>11</v>
      </c>
      <c r="AQ3510" s="2" t="s">
        <v>82</v>
      </c>
      <c r="AR3510" s="2"/>
      <c r="AS3510" s="2"/>
      <c r="AT3510" s="2" t="s">
        <v>11258</v>
      </c>
      <c r="AU3510" s="2"/>
      <c r="AV3510" s="2"/>
      <c r="AW3510" s="2"/>
      <c r="AX3510" s="2"/>
      <c r="AY3510" s="2">
        <v>41</v>
      </c>
      <c r="AZ3510" s="2" t="s">
        <v>82</v>
      </c>
      <c r="BA3510" s="2">
        <v>41</v>
      </c>
      <c r="BB3510" s="2" t="s">
        <v>82</v>
      </c>
      <c r="BC3510" s="2">
        <v>41</v>
      </c>
      <c r="BD3510" s="2" t="s">
        <v>82</v>
      </c>
      <c r="BE3510" s="2">
        <v>41</v>
      </c>
      <c r="BF3510" s="2" t="s">
        <v>82</v>
      </c>
      <c r="BG3510" s="2"/>
      <c r="BH3510" s="2"/>
      <c r="BI3510" s="2"/>
      <c r="BJ3510" s="2">
        <v>241</v>
      </c>
      <c r="BK3510" s="2" t="s">
        <v>82</v>
      </c>
      <c r="BL3510" s="2"/>
      <c r="BM3510" s="2">
        <v>241</v>
      </c>
      <c r="BN3510" s="2" t="s">
        <v>82</v>
      </c>
      <c r="BO3510" s="2"/>
      <c r="BP3510" s="2">
        <v>241</v>
      </c>
      <c r="BQ3510" s="2" t="s">
        <v>82</v>
      </c>
      <c r="BR3510" s="2"/>
      <c r="BS3510" s="3">
        <v>40416</v>
      </c>
      <c r="BT3510" s="4">
        <v>7.6180555555555557E-2</v>
      </c>
    </row>
    <row r="3511" spans="1:72" x14ac:dyDescent="0.25">
      <c r="A3511" s="2">
        <v>5165</v>
      </c>
      <c r="B3511" s="2">
        <v>2010</v>
      </c>
      <c r="C3511" s="2" t="s">
        <v>4543</v>
      </c>
      <c r="D3511" s="2" t="s">
        <v>122</v>
      </c>
      <c r="E3511" s="2"/>
      <c r="F3511" s="2">
        <v>1</v>
      </c>
      <c r="G3511" s="2" t="s">
        <v>82</v>
      </c>
      <c r="H3511" s="2">
        <v>1</v>
      </c>
      <c r="I3511" s="2" t="s">
        <v>82</v>
      </c>
      <c r="J3511" s="2">
        <v>1</v>
      </c>
      <c r="K3511" s="2" t="s">
        <v>107</v>
      </c>
      <c r="L3511" s="2" t="s">
        <v>107</v>
      </c>
      <c r="M3511" s="3">
        <v>40416</v>
      </c>
      <c r="N3511" s="2"/>
      <c r="O3511" s="2"/>
      <c r="P3511" s="2"/>
      <c r="Q3511" s="2" t="str">
        <f>""</f>
        <v/>
      </c>
      <c r="R3511" s="2"/>
      <c r="S3511" s="2"/>
      <c r="T3511" s="2">
        <v>2</v>
      </c>
      <c r="U3511" s="2" t="s">
        <v>123</v>
      </c>
      <c r="V3511" s="2">
        <v>1</v>
      </c>
      <c r="W3511" s="2" t="s">
        <v>80</v>
      </c>
      <c r="X3511" s="2">
        <v>11</v>
      </c>
      <c r="Y3511" s="2" t="s">
        <v>1920</v>
      </c>
      <c r="Z3511" s="2">
        <v>1</v>
      </c>
      <c r="AA3511" s="2" t="s">
        <v>82</v>
      </c>
      <c r="AB3511" s="2">
        <v>9</v>
      </c>
      <c r="AC3511" s="2" t="s">
        <v>124</v>
      </c>
      <c r="AD3511" s="3">
        <v>40416</v>
      </c>
      <c r="AE3511" s="4">
        <v>0.13194444444444445</v>
      </c>
      <c r="AF3511" s="2"/>
      <c r="AG3511" s="2"/>
      <c r="AH3511" s="2">
        <v>6</v>
      </c>
      <c r="AI3511" s="2" t="s">
        <v>197</v>
      </c>
      <c r="AJ3511" s="2">
        <v>54</v>
      </c>
      <c r="AK3511" s="2" t="s">
        <v>348</v>
      </c>
      <c r="AL3511" s="2">
        <v>18</v>
      </c>
      <c r="AM3511" s="2" t="s">
        <v>82</v>
      </c>
      <c r="AN3511" s="2" t="s">
        <v>595</v>
      </c>
      <c r="AO3511" s="2" t="s">
        <v>200</v>
      </c>
      <c r="AP3511" s="2">
        <v>14</v>
      </c>
      <c r="AQ3511" s="2" t="s">
        <v>3301</v>
      </c>
      <c r="AR3511" s="2" t="s">
        <v>596</v>
      </c>
      <c r="AS3511" s="2" t="s">
        <v>596</v>
      </c>
      <c r="AT3511" s="2" t="s">
        <v>11259</v>
      </c>
      <c r="AU3511" s="2"/>
      <c r="AV3511" s="2"/>
      <c r="AW3511" s="2"/>
      <c r="AX3511" s="2"/>
      <c r="AY3511" s="2">
        <v>1</v>
      </c>
      <c r="AZ3511" s="2" t="s">
        <v>107</v>
      </c>
      <c r="BA3511" s="2">
        <v>1</v>
      </c>
      <c r="BB3511" s="2" t="s">
        <v>107</v>
      </c>
      <c r="BC3511" s="2">
        <v>1</v>
      </c>
      <c r="BD3511" s="2" t="s">
        <v>107</v>
      </c>
      <c r="BE3511" s="2">
        <v>4</v>
      </c>
      <c r="BF3511" s="2" t="s">
        <v>90</v>
      </c>
      <c r="BG3511" s="2" t="s">
        <v>598</v>
      </c>
      <c r="BH3511" s="4">
        <v>5.2083333333333336E-2</v>
      </c>
      <c r="BI3511" s="4">
        <v>0.13194444444444445</v>
      </c>
      <c r="BJ3511" s="2">
        <v>242</v>
      </c>
      <c r="BK3511" s="2" t="s">
        <v>107</v>
      </c>
      <c r="BL3511" s="2" t="s">
        <v>7629</v>
      </c>
      <c r="BM3511" s="2">
        <v>242</v>
      </c>
      <c r="BN3511" s="2" t="s">
        <v>107</v>
      </c>
      <c r="BO3511" s="2" t="s">
        <v>107</v>
      </c>
      <c r="BP3511" s="2">
        <v>13</v>
      </c>
      <c r="BQ3511" s="2" t="s">
        <v>91</v>
      </c>
      <c r="BR3511" s="2" t="s">
        <v>905</v>
      </c>
      <c r="BS3511" s="3">
        <v>40416</v>
      </c>
      <c r="BT3511" s="4">
        <v>0.32847222222222222</v>
      </c>
    </row>
    <row r="3512" spans="1:72" x14ac:dyDescent="0.25">
      <c r="A3512" s="2">
        <v>5166</v>
      </c>
      <c r="B3512" s="2">
        <v>2010</v>
      </c>
      <c r="C3512" s="2" t="s">
        <v>819</v>
      </c>
      <c r="D3512" s="2" t="s">
        <v>73</v>
      </c>
      <c r="E3512" s="2"/>
      <c r="F3512" s="2">
        <v>226</v>
      </c>
      <c r="G3512" s="2" t="s">
        <v>5788</v>
      </c>
      <c r="H3512" s="2">
        <v>2</v>
      </c>
      <c r="I3512" s="2" t="s">
        <v>267</v>
      </c>
      <c r="J3512" s="2">
        <v>2</v>
      </c>
      <c r="K3512" s="2" t="s">
        <v>3661</v>
      </c>
      <c r="L3512" s="2" t="s">
        <v>3662</v>
      </c>
      <c r="M3512" s="3">
        <v>40416</v>
      </c>
      <c r="N3512" s="2" t="s">
        <v>5709</v>
      </c>
      <c r="O3512" s="2"/>
      <c r="P3512" s="2"/>
      <c r="Q3512" s="2" t="str">
        <f>"436-E/10"</f>
        <v>436-E/10</v>
      </c>
      <c r="R3512" s="2" t="s">
        <v>10956</v>
      </c>
      <c r="S3512" s="2"/>
      <c r="T3512" s="2">
        <v>1</v>
      </c>
      <c r="U3512" s="2" t="s">
        <v>79</v>
      </c>
      <c r="V3512" s="2">
        <v>1</v>
      </c>
      <c r="W3512" s="2" t="s">
        <v>80</v>
      </c>
      <c r="X3512" s="2">
        <v>1</v>
      </c>
      <c r="Y3512" s="2" t="s">
        <v>81</v>
      </c>
      <c r="Z3512" s="2">
        <v>1</v>
      </c>
      <c r="AA3512" s="2" t="s">
        <v>82</v>
      </c>
      <c r="AB3512" s="2">
        <v>9</v>
      </c>
      <c r="AC3512" s="2" t="s">
        <v>124</v>
      </c>
      <c r="AD3512" s="3">
        <v>40415</v>
      </c>
      <c r="AE3512" s="4">
        <v>0.64583333333333337</v>
      </c>
      <c r="AF3512" s="2"/>
      <c r="AG3512" s="2"/>
      <c r="AH3512" s="2">
        <v>2</v>
      </c>
      <c r="AI3512" s="2" t="s">
        <v>84</v>
      </c>
      <c r="AJ3512" s="2">
        <v>9</v>
      </c>
      <c r="AK3512" s="2" t="s">
        <v>103</v>
      </c>
      <c r="AL3512" s="2">
        <v>11</v>
      </c>
      <c r="AM3512" s="2" t="s">
        <v>137</v>
      </c>
      <c r="AN3512" s="2" t="s">
        <v>11260</v>
      </c>
      <c r="AO3512" s="2"/>
      <c r="AP3512" s="2">
        <v>11</v>
      </c>
      <c r="AQ3512" s="2" t="s">
        <v>82</v>
      </c>
      <c r="AR3512" s="2"/>
      <c r="AS3512" s="2"/>
      <c r="AT3512" s="2" t="s">
        <v>11261</v>
      </c>
      <c r="AU3512" s="2"/>
      <c r="AV3512" s="2"/>
      <c r="AW3512" s="2"/>
      <c r="AX3512" s="2"/>
      <c r="AY3512" s="2">
        <v>41</v>
      </c>
      <c r="AZ3512" s="2" t="s">
        <v>82</v>
      </c>
      <c r="BA3512" s="2">
        <v>41</v>
      </c>
      <c r="BB3512" s="2" t="s">
        <v>82</v>
      </c>
      <c r="BC3512" s="2">
        <v>41</v>
      </c>
      <c r="BD3512" s="2" t="s">
        <v>82</v>
      </c>
      <c r="BE3512" s="2">
        <v>41</v>
      </c>
      <c r="BF3512" s="2" t="s">
        <v>82</v>
      </c>
      <c r="BG3512" s="2"/>
      <c r="BH3512" s="2"/>
      <c r="BI3512" s="2"/>
      <c r="BJ3512" s="2">
        <v>241</v>
      </c>
      <c r="BK3512" s="2" t="s">
        <v>82</v>
      </c>
      <c r="BL3512" s="2"/>
      <c r="BM3512" s="2">
        <v>241</v>
      </c>
      <c r="BN3512" s="2" t="s">
        <v>82</v>
      </c>
      <c r="BO3512" s="2"/>
      <c r="BP3512" s="2">
        <v>241</v>
      </c>
      <c r="BQ3512" s="2" t="s">
        <v>82</v>
      </c>
      <c r="BR3512" s="2"/>
      <c r="BS3512" s="3">
        <v>40416</v>
      </c>
      <c r="BT3512" s="4">
        <v>0.39284722222222218</v>
      </c>
    </row>
    <row r="3513" spans="1:72" x14ac:dyDescent="0.25">
      <c r="A3513" s="2">
        <v>5167</v>
      </c>
      <c r="B3513" s="2">
        <v>2010</v>
      </c>
      <c r="C3513" s="2" t="s">
        <v>1094</v>
      </c>
      <c r="D3513" s="2" t="s">
        <v>73</v>
      </c>
      <c r="E3513" s="2"/>
      <c r="F3513" s="2">
        <v>389</v>
      </c>
      <c r="G3513" s="2" t="s">
        <v>1819</v>
      </c>
      <c r="H3513" s="2">
        <v>4</v>
      </c>
      <c r="I3513" s="2" t="s">
        <v>173</v>
      </c>
      <c r="J3513" s="2">
        <v>399</v>
      </c>
      <c r="K3513" s="2" t="s">
        <v>1820</v>
      </c>
      <c r="L3513" s="2" t="s">
        <v>1821</v>
      </c>
      <c r="M3513" s="3">
        <v>40416</v>
      </c>
      <c r="N3513" s="2" t="s">
        <v>2621</v>
      </c>
      <c r="O3513" s="2"/>
      <c r="P3513" s="2"/>
      <c r="Q3513" s="2" t="str">
        <f>"437-E/10"</f>
        <v>437-E/10</v>
      </c>
      <c r="R3513" s="2" t="s">
        <v>1100</v>
      </c>
      <c r="S3513" s="2" t="s">
        <v>1100</v>
      </c>
      <c r="T3513" s="2">
        <v>1</v>
      </c>
      <c r="U3513" s="2" t="s">
        <v>79</v>
      </c>
      <c r="V3513" s="2">
        <v>1</v>
      </c>
      <c r="W3513" s="2" t="s">
        <v>80</v>
      </c>
      <c r="X3513" s="2">
        <v>12</v>
      </c>
      <c r="Y3513" s="2" t="s">
        <v>148</v>
      </c>
      <c r="Z3513" s="2">
        <v>1</v>
      </c>
      <c r="AA3513" s="2" t="s">
        <v>82</v>
      </c>
      <c r="AB3513" s="2">
        <v>9</v>
      </c>
      <c r="AC3513" s="2" t="s">
        <v>124</v>
      </c>
      <c r="AD3513" s="3">
        <v>40413</v>
      </c>
      <c r="AE3513" s="4">
        <v>0.3611111111111111</v>
      </c>
      <c r="AF3513" s="3">
        <v>40416</v>
      </c>
      <c r="AG3513" s="4">
        <v>2.0833333333333332E-2</v>
      </c>
      <c r="AH3513" s="2">
        <v>2</v>
      </c>
      <c r="AI3513" s="2" t="s">
        <v>84</v>
      </c>
      <c r="AJ3513" s="2">
        <v>9</v>
      </c>
      <c r="AK3513" s="2" t="s">
        <v>103</v>
      </c>
      <c r="AL3513" s="2">
        <v>25</v>
      </c>
      <c r="AM3513" s="2" t="s">
        <v>3073</v>
      </c>
      <c r="AN3513" s="2" t="s">
        <v>11262</v>
      </c>
      <c r="AO3513" s="2" t="s">
        <v>11263</v>
      </c>
      <c r="AP3513" s="2">
        <v>11</v>
      </c>
      <c r="AQ3513" s="2" t="s">
        <v>82</v>
      </c>
      <c r="AR3513" s="2"/>
      <c r="AS3513" s="2"/>
      <c r="AT3513" s="2" t="s">
        <v>11264</v>
      </c>
      <c r="AU3513" s="2"/>
      <c r="AV3513" s="2"/>
      <c r="AW3513" s="2"/>
      <c r="AX3513" s="2"/>
      <c r="AY3513" s="2">
        <v>41</v>
      </c>
      <c r="AZ3513" s="2" t="s">
        <v>82</v>
      </c>
      <c r="BA3513" s="2">
        <v>41</v>
      </c>
      <c r="BB3513" s="2" t="s">
        <v>82</v>
      </c>
      <c r="BC3513" s="2">
        <v>41</v>
      </c>
      <c r="BD3513" s="2" t="s">
        <v>82</v>
      </c>
      <c r="BE3513" s="2">
        <v>41</v>
      </c>
      <c r="BF3513" s="2" t="s">
        <v>82</v>
      </c>
      <c r="BG3513" s="2"/>
      <c r="BH3513" s="2"/>
      <c r="BI3513" s="2"/>
      <c r="BJ3513" s="2">
        <v>241</v>
      </c>
      <c r="BK3513" s="2" t="s">
        <v>82</v>
      </c>
      <c r="BL3513" s="2"/>
      <c r="BM3513" s="2">
        <v>241</v>
      </c>
      <c r="BN3513" s="2" t="s">
        <v>82</v>
      </c>
      <c r="BO3513" s="2"/>
      <c r="BP3513" s="2">
        <v>241</v>
      </c>
      <c r="BQ3513" s="2" t="s">
        <v>82</v>
      </c>
      <c r="BR3513" s="2"/>
      <c r="BS3513" s="3">
        <v>40416</v>
      </c>
      <c r="BT3513" s="4">
        <v>0.40578703703703706</v>
      </c>
    </row>
    <row r="3514" spans="1:72" x14ac:dyDescent="0.25">
      <c r="A3514" s="2">
        <v>5168</v>
      </c>
      <c r="B3514" s="2">
        <v>2010</v>
      </c>
      <c r="C3514" s="2" t="s">
        <v>171</v>
      </c>
      <c r="D3514" s="2" t="s">
        <v>122</v>
      </c>
      <c r="E3514" s="2" t="s">
        <v>11265</v>
      </c>
      <c r="F3514" s="2">
        <v>425</v>
      </c>
      <c r="G3514" s="2" t="s">
        <v>286</v>
      </c>
      <c r="H3514" s="2">
        <v>39</v>
      </c>
      <c r="I3514" s="2" t="s">
        <v>1117</v>
      </c>
      <c r="J3514" s="2">
        <v>310</v>
      </c>
      <c r="K3514" s="2" t="s">
        <v>288</v>
      </c>
      <c r="L3514" s="2" t="s">
        <v>289</v>
      </c>
      <c r="M3514" s="3">
        <v>40416</v>
      </c>
      <c r="N3514" s="2" t="s">
        <v>1882</v>
      </c>
      <c r="O3514" s="2" t="s">
        <v>11243</v>
      </c>
      <c r="P3514" s="2" t="s">
        <v>1688</v>
      </c>
      <c r="Q3514" s="2" t="str">
        <f>"101"</f>
        <v>101</v>
      </c>
      <c r="R3514" s="2" t="s">
        <v>318</v>
      </c>
      <c r="S3514" s="2"/>
      <c r="T3514" s="2">
        <v>1</v>
      </c>
      <c r="U3514" s="2" t="s">
        <v>79</v>
      </c>
      <c r="V3514" s="2">
        <v>3</v>
      </c>
      <c r="W3514" s="2" t="s">
        <v>225</v>
      </c>
      <c r="X3514" s="2">
        <v>5</v>
      </c>
      <c r="Y3514" s="2" t="s">
        <v>82</v>
      </c>
      <c r="Z3514" s="2">
        <v>1</v>
      </c>
      <c r="AA3514" s="2" t="s">
        <v>82</v>
      </c>
      <c r="AB3514" s="2">
        <v>9</v>
      </c>
      <c r="AC3514" s="2" t="s">
        <v>124</v>
      </c>
      <c r="AD3514" s="3">
        <v>40416</v>
      </c>
      <c r="AE3514" s="4">
        <v>0.42708333333333331</v>
      </c>
      <c r="AF3514" s="2"/>
      <c r="AG3514" s="2"/>
      <c r="AH3514" s="2">
        <v>4</v>
      </c>
      <c r="AI3514" s="2" t="s">
        <v>125</v>
      </c>
      <c r="AJ3514" s="2">
        <v>26</v>
      </c>
      <c r="AK3514" s="2" t="s">
        <v>293</v>
      </c>
      <c r="AL3514" s="2">
        <v>23</v>
      </c>
      <c r="AM3514" s="2" t="s">
        <v>251</v>
      </c>
      <c r="AN3514" s="2" t="s">
        <v>11244</v>
      </c>
      <c r="AO3514" s="2" t="s">
        <v>11245</v>
      </c>
      <c r="AP3514" s="2">
        <v>11</v>
      </c>
      <c r="AQ3514" s="2" t="s">
        <v>82</v>
      </c>
      <c r="AR3514" s="2"/>
      <c r="AS3514" s="2"/>
      <c r="AT3514" s="2" t="s">
        <v>11266</v>
      </c>
      <c r="AU3514" s="2"/>
      <c r="AV3514" s="2"/>
      <c r="AW3514" s="2"/>
      <c r="AX3514" s="2"/>
      <c r="AY3514" s="2">
        <v>1</v>
      </c>
      <c r="AZ3514" s="2" t="s">
        <v>107</v>
      </c>
      <c r="BA3514" s="2">
        <v>1</v>
      </c>
      <c r="BB3514" s="2" t="s">
        <v>107</v>
      </c>
      <c r="BC3514" s="2">
        <v>1</v>
      </c>
      <c r="BD3514" s="2" t="s">
        <v>107</v>
      </c>
      <c r="BE3514" s="2">
        <v>1</v>
      </c>
      <c r="BF3514" s="2" t="s">
        <v>107</v>
      </c>
      <c r="BG3514" s="2"/>
      <c r="BH3514" s="2"/>
      <c r="BI3514" s="2"/>
      <c r="BJ3514" s="2">
        <v>242</v>
      </c>
      <c r="BK3514" s="2" t="s">
        <v>107</v>
      </c>
      <c r="BL3514" s="2"/>
      <c r="BM3514" s="2">
        <v>242</v>
      </c>
      <c r="BN3514" s="2" t="s">
        <v>107</v>
      </c>
      <c r="BO3514" s="2"/>
      <c r="BP3514" s="2">
        <v>242</v>
      </c>
      <c r="BQ3514" s="2" t="s">
        <v>107</v>
      </c>
      <c r="BR3514" s="2"/>
      <c r="BS3514" s="3">
        <v>40416</v>
      </c>
      <c r="BT3514" s="4">
        <v>0.44913194444444443</v>
      </c>
    </row>
    <row r="3515" spans="1:72" x14ac:dyDescent="0.25">
      <c r="A3515" s="2">
        <v>5173</v>
      </c>
      <c r="B3515" s="2">
        <v>2010</v>
      </c>
      <c r="C3515" s="2" t="s">
        <v>171</v>
      </c>
      <c r="D3515" s="2" t="s">
        <v>122</v>
      </c>
      <c r="E3515" s="2" t="s">
        <v>11267</v>
      </c>
      <c r="F3515" s="2">
        <v>425</v>
      </c>
      <c r="G3515" s="2" t="s">
        <v>286</v>
      </c>
      <c r="H3515" s="2">
        <v>39</v>
      </c>
      <c r="I3515" s="2" t="s">
        <v>1117</v>
      </c>
      <c r="J3515" s="2">
        <v>310</v>
      </c>
      <c r="K3515" s="2" t="s">
        <v>288</v>
      </c>
      <c r="L3515" s="2" t="s">
        <v>289</v>
      </c>
      <c r="M3515" s="3">
        <v>40416</v>
      </c>
      <c r="N3515" s="2" t="s">
        <v>1882</v>
      </c>
      <c r="O3515" s="2" t="s">
        <v>11243</v>
      </c>
      <c r="P3515" s="2" t="s">
        <v>1688</v>
      </c>
      <c r="Q3515" s="2" t="str">
        <f>"101"</f>
        <v>101</v>
      </c>
      <c r="R3515" s="2"/>
      <c r="S3515" s="2" t="s">
        <v>318</v>
      </c>
      <c r="T3515" s="2">
        <v>1</v>
      </c>
      <c r="U3515" s="2" t="s">
        <v>79</v>
      </c>
      <c r="V3515" s="2">
        <v>3</v>
      </c>
      <c r="W3515" s="2" t="s">
        <v>225</v>
      </c>
      <c r="X3515" s="2">
        <v>5</v>
      </c>
      <c r="Y3515" s="2" t="s">
        <v>82</v>
      </c>
      <c r="Z3515" s="2">
        <v>1</v>
      </c>
      <c r="AA3515" s="2" t="s">
        <v>82</v>
      </c>
      <c r="AB3515" s="2">
        <v>9</v>
      </c>
      <c r="AC3515" s="2" t="s">
        <v>124</v>
      </c>
      <c r="AD3515" s="3">
        <v>40416</v>
      </c>
      <c r="AE3515" s="4">
        <v>0.54166666666666663</v>
      </c>
      <c r="AF3515" s="2"/>
      <c r="AG3515" s="2"/>
      <c r="AH3515" s="2">
        <v>4</v>
      </c>
      <c r="AI3515" s="2" t="s">
        <v>125</v>
      </c>
      <c r="AJ3515" s="2">
        <v>26</v>
      </c>
      <c r="AK3515" s="2" t="s">
        <v>293</v>
      </c>
      <c r="AL3515" s="2">
        <v>23</v>
      </c>
      <c r="AM3515" s="2" t="s">
        <v>251</v>
      </c>
      <c r="AN3515" s="2" t="s">
        <v>11244</v>
      </c>
      <c r="AO3515" s="2" t="s">
        <v>11245</v>
      </c>
      <c r="AP3515" s="2">
        <v>11</v>
      </c>
      <c r="AQ3515" s="2" t="s">
        <v>82</v>
      </c>
      <c r="AR3515" s="2"/>
      <c r="AS3515" s="2"/>
      <c r="AT3515" s="2" t="s">
        <v>11268</v>
      </c>
      <c r="AU3515" s="2"/>
      <c r="AV3515" s="2"/>
      <c r="AW3515" s="2"/>
      <c r="AX3515" s="2"/>
      <c r="AY3515" s="2">
        <v>1</v>
      </c>
      <c r="AZ3515" s="2" t="s">
        <v>107</v>
      </c>
      <c r="BA3515" s="2">
        <v>1</v>
      </c>
      <c r="BB3515" s="2" t="s">
        <v>107</v>
      </c>
      <c r="BC3515" s="2">
        <v>1</v>
      </c>
      <c r="BD3515" s="2" t="s">
        <v>107</v>
      </c>
      <c r="BE3515" s="2">
        <v>1</v>
      </c>
      <c r="BF3515" s="2" t="s">
        <v>107</v>
      </c>
      <c r="BG3515" s="2"/>
      <c r="BH3515" s="2"/>
      <c r="BI3515" s="2"/>
      <c r="BJ3515" s="2">
        <v>242</v>
      </c>
      <c r="BK3515" s="2" t="s">
        <v>107</v>
      </c>
      <c r="BL3515" s="2"/>
      <c r="BM3515" s="2">
        <v>242</v>
      </c>
      <c r="BN3515" s="2" t="s">
        <v>107</v>
      </c>
      <c r="BO3515" s="2"/>
      <c r="BP3515" s="2">
        <v>242</v>
      </c>
      <c r="BQ3515" s="2" t="s">
        <v>107</v>
      </c>
      <c r="BR3515" s="2"/>
      <c r="BS3515" s="3">
        <v>40416</v>
      </c>
      <c r="BT3515" s="4">
        <v>0.56936342592592593</v>
      </c>
    </row>
    <row r="3516" spans="1:72" x14ac:dyDescent="0.25">
      <c r="A3516" s="2">
        <v>5176</v>
      </c>
      <c r="B3516" s="2">
        <v>2010</v>
      </c>
      <c r="C3516" s="2" t="s">
        <v>121</v>
      </c>
      <c r="D3516" s="2" t="s">
        <v>122</v>
      </c>
      <c r="E3516" s="2"/>
      <c r="F3516" s="2">
        <v>1</v>
      </c>
      <c r="G3516" s="2" t="s">
        <v>82</v>
      </c>
      <c r="H3516" s="2">
        <v>1</v>
      </c>
      <c r="I3516" s="2" t="s">
        <v>82</v>
      </c>
      <c r="J3516" s="2">
        <v>1</v>
      </c>
      <c r="K3516" s="2" t="s">
        <v>107</v>
      </c>
      <c r="L3516" s="2" t="s">
        <v>107</v>
      </c>
      <c r="M3516" s="3">
        <v>40416</v>
      </c>
      <c r="N3516" s="2"/>
      <c r="O3516" s="2"/>
      <c r="P3516" s="2"/>
      <c r="Q3516" s="2" t="str">
        <f>""</f>
        <v/>
      </c>
      <c r="R3516" s="2"/>
      <c r="S3516" s="2"/>
      <c r="T3516" s="2">
        <v>2</v>
      </c>
      <c r="U3516" s="2" t="s">
        <v>123</v>
      </c>
      <c r="V3516" s="2">
        <v>1</v>
      </c>
      <c r="W3516" s="2" t="s">
        <v>80</v>
      </c>
      <c r="X3516" s="2">
        <v>5</v>
      </c>
      <c r="Y3516" s="2" t="s">
        <v>82</v>
      </c>
      <c r="Z3516" s="2">
        <v>1</v>
      </c>
      <c r="AA3516" s="2" t="s">
        <v>82</v>
      </c>
      <c r="AB3516" s="2">
        <v>9</v>
      </c>
      <c r="AC3516" s="2" t="s">
        <v>124</v>
      </c>
      <c r="AD3516" s="3">
        <v>40416</v>
      </c>
      <c r="AE3516" s="4">
        <v>0.75694444444444453</v>
      </c>
      <c r="AF3516" s="2"/>
      <c r="AG3516" s="2"/>
      <c r="AH3516" s="2">
        <v>6</v>
      </c>
      <c r="AI3516" s="2" t="s">
        <v>197</v>
      </c>
      <c r="AJ3516" s="2">
        <v>53</v>
      </c>
      <c r="AK3516" s="2" t="s">
        <v>11269</v>
      </c>
      <c r="AL3516" s="2">
        <v>19</v>
      </c>
      <c r="AM3516" s="2" t="s">
        <v>107</v>
      </c>
      <c r="AN3516" s="2"/>
      <c r="AO3516" s="2"/>
      <c r="AP3516" s="2">
        <v>11</v>
      </c>
      <c r="AQ3516" s="2" t="s">
        <v>82</v>
      </c>
      <c r="AR3516" s="2"/>
      <c r="AS3516" s="2"/>
      <c r="AT3516" s="2" t="s">
        <v>11270</v>
      </c>
      <c r="AU3516" s="2"/>
      <c r="AV3516" s="2"/>
      <c r="AW3516" s="2"/>
      <c r="AX3516" s="2"/>
      <c r="AY3516" s="2">
        <v>1</v>
      </c>
      <c r="AZ3516" s="2" t="s">
        <v>107</v>
      </c>
      <c r="BA3516" s="2">
        <v>1</v>
      </c>
      <c r="BB3516" s="2" t="s">
        <v>107</v>
      </c>
      <c r="BC3516" s="2">
        <v>1</v>
      </c>
      <c r="BD3516" s="2" t="s">
        <v>107</v>
      </c>
      <c r="BE3516" s="2">
        <v>1</v>
      </c>
      <c r="BF3516" s="2" t="s">
        <v>107</v>
      </c>
      <c r="BG3516" s="2"/>
      <c r="BH3516" s="4">
        <v>0.67361111111111116</v>
      </c>
      <c r="BI3516" s="4">
        <v>0.69444444444444453</v>
      </c>
      <c r="BJ3516" s="2">
        <v>242</v>
      </c>
      <c r="BK3516" s="2" t="s">
        <v>107</v>
      </c>
      <c r="BL3516" s="2" t="s">
        <v>1014</v>
      </c>
      <c r="BM3516" s="2">
        <v>242</v>
      </c>
      <c r="BN3516" s="2" t="s">
        <v>107</v>
      </c>
      <c r="BO3516" s="2"/>
      <c r="BP3516" s="2">
        <v>242</v>
      </c>
      <c r="BQ3516" s="2" t="s">
        <v>107</v>
      </c>
      <c r="BR3516" s="2" t="s">
        <v>1014</v>
      </c>
      <c r="BS3516" s="3">
        <v>40416</v>
      </c>
      <c r="BT3516" s="4">
        <v>0.70958333333333334</v>
      </c>
    </row>
    <row r="3517" spans="1:72" x14ac:dyDescent="0.25">
      <c r="A3517" s="2">
        <v>5178</v>
      </c>
      <c r="B3517" s="2">
        <v>2010</v>
      </c>
      <c r="C3517" s="2" t="s">
        <v>147</v>
      </c>
      <c r="D3517" s="2" t="s">
        <v>122</v>
      </c>
      <c r="E3517" s="2"/>
      <c r="F3517" s="2">
        <v>1</v>
      </c>
      <c r="G3517" s="2" t="s">
        <v>82</v>
      </c>
      <c r="H3517" s="2">
        <v>1</v>
      </c>
      <c r="I3517" s="2" t="s">
        <v>82</v>
      </c>
      <c r="J3517" s="2">
        <v>1</v>
      </c>
      <c r="K3517" s="2" t="s">
        <v>107</v>
      </c>
      <c r="L3517" s="2" t="s">
        <v>107</v>
      </c>
      <c r="M3517" s="3">
        <v>40416</v>
      </c>
      <c r="N3517" s="2" t="s">
        <v>82</v>
      </c>
      <c r="O3517" s="2" t="s">
        <v>82</v>
      </c>
      <c r="P3517" s="2" t="s">
        <v>82</v>
      </c>
      <c r="Q3517" s="2" t="str">
        <f>"N/C"</f>
        <v>N/C</v>
      </c>
      <c r="R3517" s="2" t="s">
        <v>82</v>
      </c>
      <c r="S3517" s="2" t="s">
        <v>82</v>
      </c>
      <c r="T3517" s="2">
        <v>2</v>
      </c>
      <c r="U3517" s="2" t="s">
        <v>123</v>
      </c>
      <c r="V3517" s="2">
        <v>1</v>
      </c>
      <c r="W3517" s="2" t="s">
        <v>80</v>
      </c>
      <c r="X3517" s="2">
        <v>5</v>
      </c>
      <c r="Y3517" s="2" t="s">
        <v>82</v>
      </c>
      <c r="Z3517" s="2">
        <v>1</v>
      </c>
      <c r="AA3517" s="2" t="s">
        <v>82</v>
      </c>
      <c r="AB3517" s="2">
        <v>9</v>
      </c>
      <c r="AC3517" s="2" t="s">
        <v>124</v>
      </c>
      <c r="AD3517" s="3">
        <v>40415</v>
      </c>
      <c r="AE3517" s="4">
        <v>0.97916666666666663</v>
      </c>
      <c r="AF3517" s="3">
        <v>40416</v>
      </c>
      <c r="AG3517" s="4">
        <v>0.71180555555555547</v>
      </c>
      <c r="AH3517" s="2">
        <v>6</v>
      </c>
      <c r="AI3517" s="2" t="s">
        <v>197</v>
      </c>
      <c r="AJ3517" s="2">
        <v>54</v>
      </c>
      <c r="AK3517" s="2" t="s">
        <v>348</v>
      </c>
      <c r="AL3517" s="2">
        <v>18</v>
      </c>
      <c r="AM3517" s="2" t="s">
        <v>82</v>
      </c>
      <c r="AN3517" s="2" t="s">
        <v>11271</v>
      </c>
      <c r="AO3517" s="2" t="s">
        <v>200</v>
      </c>
      <c r="AP3517" s="2">
        <v>11</v>
      </c>
      <c r="AQ3517" s="2" t="s">
        <v>82</v>
      </c>
      <c r="AR3517" s="2" t="s">
        <v>82</v>
      </c>
      <c r="AS3517" s="2" t="s">
        <v>82</v>
      </c>
      <c r="AT3517" s="2" t="s">
        <v>11272</v>
      </c>
      <c r="AU3517" s="2"/>
      <c r="AV3517" s="2"/>
      <c r="AW3517" s="2"/>
      <c r="AX3517" s="2"/>
      <c r="AY3517" s="2">
        <v>1</v>
      </c>
      <c r="AZ3517" s="2" t="s">
        <v>107</v>
      </c>
      <c r="BA3517" s="2">
        <v>1</v>
      </c>
      <c r="BB3517" s="2" t="s">
        <v>107</v>
      </c>
      <c r="BC3517" s="2">
        <v>1</v>
      </c>
      <c r="BD3517" s="2" t="s">
        <v>107</v>
      </c>
      <c r="BE3517" s="2">
        <v>1</v>
      </c>
      <c r="BF3517" s="2" t="s">
        <v>107</v>
      </c>
      <c r="BG3517" s="2">
        <v>2838</v>
      </c>
      <c r="BH3517" s="4">
        <v>0.97916666666666663</v>
      </c>
      <c r="BI3517" s="4">
        <v>0.26041666666666669</v>
      </c>
      <c r="BJ3517" s="2">
        <v>242</v>
      </c>
      <c r="BK3517" s="2" t="s">
        <v>107</v>
      </c>
      <c r="BL3517" s="2" t="s">
        <v>3520</v>
      </c>
      <c r="BM3517" s="2">
        <v>242</v>
      </c>
      <c r="BN3517" s="2" t="s">
        <v>107</v>
      </c>
      <c r="BO3517" s="2" t="s">
        <v>11273</v>
      </c>
      <c r="BP3517" s="2">
        <v>242</v>
      </c>
      <c r="BQ3517" s="2" t="s">
        <v>107</v>
      </c>
      <c r="BR3517" s="2" t="s">
        <v>3520</v>
      </c>
      <c r="BS3517" s="3">
        <v>40416</v>
      </c>
      <c r="BT3517" s="4">
        <v>0.73777777777777775</v>
      </c>
    </row>
    <row r="3518" spans="1:72" x14ac:dyDescent="0.25">
      <c r="A3518" s="2">
        <v>5180</v>
      </c>
      <c r="B3518" s="2">
        <v>2010</v>
      </c>
      <c r="C3518" s="2" t="s">
        <v>147</v>
      </c>
      <c r="D3518" s="2" t="s">
        <v>73</v>
      </c>
      <c r="E3518" s="2"/>
      <c r="F3518" s="2">
        <v>1</v>
      </c>
      <c r="G3518" s="2" t="s">
        <v>82</v>
      </c>
      <c r="H3518" s="2">
        <v>1</v>
      </c>
      <c r="I3518" s="2" t="s">
        <v>82</v>
      </c>
      <c r="J3518" s="2">
        <v>1</v>
      </c>
      <c r="K3518" s="2" t="s">
        <v>107</v>
      </c>
      <c r="L3518" s="2" t="s">
        <v>107</v>
      </c>
      <c r="M3518" s="3">
        <v>40416</v>
      </c>
      <c r="N3518" s="2"/>
      <c r="O3518" s="2"/>
      <c r="P3518" s="2"/>
      <c r="Q3518" s="2" t="str">
        <f>""</f>
        <v/>
      </c>
      <c r="R3518" s="2"/>
      <c r="S3518" s="2"/>
      <c r="T3518" s="2">
        <v>2</v>
      </c>
      <c r="U3518" s="2" t="s">
        <v>123</v>
      </c>
      <c r="V3518" s="2">
        <v>1</v>
      </c>
      <c r="W3518" s="2" t="s">
        <v>80</v>
      </c>
      <c r="X3518" s="2">
        <v>12</v>
      </c>
      <c r="Y3518" s="2" t="s">
        <v>148</v>
      </c>
      <c r="Z3518" s="2">
        <v>1</v>
      </c>
      <c r="AA3518" s="2" t="s">
        <v>82</v>
      </c>
      <c r="AB3518" s="2">
        <v>9</v>
      </c>
      <c r="AC3518" s="2" t="s">
        <v>124</v>
      </c>
      <c r="AD3518" s="2"/>
      <c r="AE3518" s="2"/>
      <c r="AF3518" s="3">
        <v>40416</v>
      </c>
      <c r="AG3518" s="4">
        <v>0.81597222222222221</v>
      </c>
      <c r="AH3518" s="2">
        <v>3</v>
      </c>
      <c r="AI3518" s="2" t="s">
        <v>214</v>
      </c>
      <c r="AJ3518" s="2">
        <v>24</v>
      </c>
      <c r="AK3518" s="2" t="s">
        <v>215</v>
      </c>
      <c r="AL3518" s="2">
        <v>23</v>
      </c>
      <c r="AM3518" s="2" t="s">
        <v>251</v>
      </c>
      <c r="AN3518" s="2"/>
      <c r="AO3518" s="2" t="s">
        <v>5154</v>
      </c>
      <c r="AP3518" s="2">
        <v>11</v>
      </c>
      <c r="AQ3518" s="2" t="s">
        <v>82</v>
      </c>
      <c r="AR3518" s="2"/>
      <c r="AS3518" s="2"/>
      <c r="AT3518" s="2" t="s">
        <v>11274</v>
      </c>
      <c r="AU3518" s="2"/>
      <c r="AV3518" s="2"/>
      <c r="AW3518" s="2"/>
      <c r="AX3518" s="2"/>
      <c r="AY3518" s="2">
        <v>70</v>
      </c>
      <c r="AZ3518" s="2" t="s">
        <v>236</v>
      </c>
      <c r="BA3518" s="2">
        <v>41</v>
      </c>
      <c r="BB3518" s="2" t="s">
        <v>82</v>
      </c>
      <c r="BC3518" s="2">
        <v>41</v>
      </c>
      <c r="BD3518" s="2" t="s">
        <v>82</v>
      </c>
      <c r="BE3518" s="2">
        <v>41</v>
      </c>
      <c r="BF3518" s="2" t="s">
        <v>82</v>
      </c>
      <c r="BG3518" s="2"/>
      <c r="BH3518" s="2"/>
      <c r="BI3518" s="2"/>
      <c r="BJ3518" s="2">
        <v>241</v>
      </c>
      <c r="BK3518" s="2" t="s">
        <v>82</v>
      </c>
      <c r="BL3518" s="2"/>
      <c r="BM3518" s="2">
        <v>241</v>
      </c>
      <c r="BN3518" s="2" t="s">
        <v>82</v>
      </c>
      <c r="BO3518" s="2"/>
      <c r="BP3518" s="2">
        <v>241</v>
      </c>
      <c r="BQ3518" s="2" t="s">
        <v>82</v>
      </c>
      <c r="BR3518" s="2"/>
      <c r="BS3518" s="3">
        <v>40416</v>
      </c>
      <c r="BT3518" s="4">
        <v>0.84122685185185186</v>
      </c>
    </row>
    <row r="3519" spans="1:72" x14ac:dyDescent="0.25">
      <c r="A3519" s="2">
        <v>5181</v>
      </c>
      <c r="B3519" s="2">
        <v>2010</v>
      </c>
      <c r="C3519" s="2" t="s">
        <v>72</v>
      </c>
      <c r="D3519" s="2" t="s">
        <v>73</v>
      </c>
      <c r="E3519" s="2"/>
      <c r="F3519" s="2">
        <v>389</v>
      </c>
      <c r="G3519" s="2" t="s">
        <v>1819</v>
      </c>
      <c r="H3519" s="2">
        <v>4</v>
      </c>
      <c r="I3519" s="2" t="s">
        <v>173</v>
      </c>
      <c r="J3519" s="2">
        <v>399</v>
      </c>
      <c r="K3519" s="2" t="s">
        <v>1820</v>
      </c>
      <c r="L3519" s="2" t="s">
        <v>1821</v>
      </c>
      <c r="M3519" s="3">
        <v>40416</v>
      </c>
      <c r="N3519" s="2" t="s">
        <v>2621</v>
      </c>
      <c r="O3519" s="2"/>
      <c r="P3519" s="2"/>
      <c r="Q3519" s="2" t="str">
        <f>"438-E/10"</f>
        <v>438-E/10</v>
      </c>
      <c r="R3519" s="2" t="s">
        <v>116</v>
      </c>
      <c r="S3519" s="2" t="s">
        <v>116</v>
      </c>
      <c r="T3519" s="2">
        <v>1</v>
      </c>
      <c r="U3519" s="2" t="s">
        <v>79</v>
      </c>
      <c r="V3519" s="2">
        <v>1</v>
      </c>
      <c r="W3519" s="2" t="s">
        <v>80</v>
      </c>
      <c r="X3519" s="2">
        <v>12</v>
      </c>
      <c r="Y3519" s="2" t="s">
        <v>148</v>
      </c>
      <c r="Z3519" s="2">
        <v>1</v>
      </c>
      <c r="AA3519" s="2" t="s">
        <v>82</v>
      </c>
      <c r="AB3519" s="2">
        <v>6</v>
      </c>
      <c r="AC3519" s="2" t="s">
        <v>83</v>
      </c>
      <c r="AD3519" s="3">
        <v>40350</v>
      </c>
      <c r="AE3519" s="2"/>
      <c r="AF3519" s="3">
        <v>40416</v>
      </c>
      <c r="AG3519" s="4">
        <v>0.82291666666666663</v>
      </c>
      <c r="AH3519" s="2">
        <v>2</v>
      </c>
      <c r="AI3519" s="2" t="s">
        <v>84</v>
      </c>
      <c r="AJ3519" s="2">
        <v>9</v>
      </c>
      <c r="AK3519" s="2" t="s">
        <v>103</v>
      </c>
      <c r="AL3519" s="2">
        <v>11</v>
      </c>
      <c r="AM3519" s="2" t="s">
        <v>137</v>
      </c>
      <c r="AN3519" s="2" t="s">
        <v>11275</v>
      </c>
      <c r="AO3519" s="2"/>
      <c r="AP3519" s="2">
        <v>11</v>
      </c>
      <c r="AQ3519" s="2" t="s">
        <v>82</v>
      </c>
      <c r="AR3519" s="2"/>
      <c r="AS3519" s="2"/>
      <c r="AT3519" s="2" t="s">
        <v>11276</v>
      </c>
      <c r="AU3519" s="2"/>
      <c r="AV3519" s="2"/>
      <c r="AW3519" s="2"/>
      <c r="AX3519" s="2"/>
      <c r="AY3519" s="2">
        <v>41</v>
      </c>
      <c r="AZ3519" s="2" t="s">
        <v>82</v>
      </c>
      <c r="BA3519" s="2">
        <v>41</v>
      </c>
      <c r="BB3519" s="2" t="s">
        <v>82</v>
      </c>
      <c r="BC3519" s="2">
        <v>41</v>
      </c>
      <c r="BD3519" s="2" t="s">
        <v>82</v>
      </c>
      <c r="BE3519" s="2">
        <v>41</v>
      </c>
      <c r="BF3519" s="2" t="s">
        <v>82</v>
      </c>
      <c r="BG3519" s="2"/>
      <c r="BH3519" s="2"/>
      <c r="BI3519" s="2"/>
      <c r="BJ3519" s="2">
        <v>241</v>
      </c>
      <c r="BK3519" s="2" t="s">
        <v>82</v>
      </c>
      <c r="BL3519" s="2"/>
      <c r="BM3519" s="2">
        <v>241</v>
      </c>
      <c r="BN3519" s="2" t="s">
        <v>82</v>
      </c>
      <c r="BO3519" s="2" t="s">
        <v>82</v>
      </c>
      <c r="BP3519" s="2">
        <v>241</v>
      </c>
      <c r="BQ3519" s="2" t="s">
        <v>82</v>
      </c>
      <c r="BR3519" s="2"/>
      <c r="BS3519" s="3">
        <v>40416</v>
      </c>
      <c r="BT3519" s="4">
        <v>0.87840277777777775</v>
      </c>
    </row>
    <row r="3520" spans="1:72" x14ac:dyDescent="0.25">
      <c r="A3520" s="2">
        <v>5182</v>
      </c>
      <c r="B3520" s="2">
        <v>2010</v>
      </c>
      <c r="C3520" s="2" t="s">
        <v>72</v>
      </c>
      <c r="D3520" s="2" t="s">
        <v>73</v>
      </c>
      <c r="E3520" s="2"/>
      <c r="F3520" s="2">
        <v>662</v>
      </c>
      <c r="G3520" s="2" t="s">
        <v>10249</v>
      </c>
      <c r="H3520" s="2">
        <v>108</v>
      </c>
      <c r="I3520" s="2" t="s">
        <v>1096</v>
      </c>
      <c r="J3520" s="2">
        <v>633</v>
      </c>
      <c r="K3520" s="2" t="s">
        <v>10250</v>
      </c>
      <c r="L3520" s="2" t="s">
        <v>10251</v>
      </c>
      <c r="M3520" s="3">
        <v>40416</v>
      </c>
      <c r="N3520" s="2" t="s">
        <v>10454</v>
      </c>
      <c r="O3520" s="2"/>
      <c r="P3520" s="2"/>
      <c r="Q3520" s="2" t="str">
        <f>"335-A/10"</f>
        <v>335-A/10</v>
      </c>
      <c r="R3520" s="2" t="s">
        <v>11277</v>
      </c>
      <c r="S3520" s="2" t="s">
        <v>11277</v>
      </c>
      <c r="T3520" s="2">
        <v>1</v>
      </c>
      <c r="U3520" s="2" t="s">
        <v>79</v>
      </c>
      <c r="V3520" s="2">
        <v>1</v>
      </c>
      <c r="W3520" s="2" t="s">
        <v>80</v>
      </c>
      <c r="X3520" s="2">
        <v>12</v>
      </c>
      <c r="Y3520" s="2" t="s">
        <v>148</v>
      </c>
      <c r="Z3520" s="2">
        <v>1</v>
      </c>
      <c r="AA3520" s="2" t="s">
        <v>82</v>
      </c>
      <c r="AB3520" s="2">
        <v>6</v>
      </c>
      <c r="AC3520" s="2" t="s">
        <v>83</v>
      </c>
      <c r="AD3520" s="3">
        <v>40416</v>
      </c>
      <c r="AE3520" s="2"/>
      <c r="AF3520" s="3">
        <v>40416</v>
      </c>
      <c r="AG3520" s="4">
        <v>0.78472222222222221</v>
      </c>
      <c r="AH3520" s="2">
        <v>2</v>
      </c>
      <c r="AI3520" s="2" t="s">
        <v>84</v>
      </c>
      <c r="AJ3520" s="2">
        <v>12</v>
      </c>
      <c r="AK3520" s="2" t="s">
        <v>85</v>
      </c>
      <c r="AL3520" s="2">
        <v>12</v>
      </c>
      <c r="AM3520" s="2" t="s">
        <v>86</v>
      </c>
      <c r="AN3520" s="2" t="s">
        <v>11278</v>
      </c>
      <c r="AO3520" s="2" t="s">
        <v>11279</v>
      </c>
      <c r="AP3520" s="2">
        <v>11</v>
      </c>
      <c r="AQ3520" s="2" t="s">
        <v>82</v>
      </c>
      <c r="AR3520" s="2"/>
      <c r="AS3520" s="2"/>
      <c r="AT3520" s="2" t="s">
        <v>11280</v>
      </c>
      <c r="AU3520" s="2"/>
      <c r="AV3520" s="2"/>
      <c r="AW3520" s="2"/>
      <c r="AX3520" s="2"/>
      <c r="AY3520" s="2">
        <v>41</v>
      </c>
      <c r="AZ3520" s="2" t="s">
        <v>82</v>
      </c>
      <c r="BA3520" s="2">
        <v>41</v>
      </c>
      <c r="BB3520" s="2" t="s">
        <v>82</v>
      </c>
      <c r="BC3520" s="2">
        <v>41</v>
      </c>
      <c r="BD3520" s="2" t="s">
        <v>82</v>
      </c>
      <c r="BE3520" s="2">
        <v>41</v>
      </c>
      <c r="BF3520" s="2" t="s">
        <v>82</v>
      </c>
      <c r="BG3520" s="2"/>
      <c r="BH3520" s="2"/>
      <c r="BI3520" s="2"/>
      <c r="BJ3520" s="2">
        <v>241</v>
      </c>
      <c r="BK3520" s="2" t="s">
        <v>82</v>
      </c>
      <c r="BL3520" s="2"/>
      <c r="BM3520" s="2">
        <v>241</v>
      </c>
      <c r="BN3520" s="2" t="s">
        <v>82</v>
      </c>
      <c r="BO3520" s="2"/>
      <c r="BP3520" s="2">
        <v>241</v>
      </c>
      <c r="BQ3520" s="2" t="s">
        <v>82</v>
      </c>
      <c r="BR3520" s="2"/>
      <c r="BS3520" s="3">
        <v>40416</v>
      </c>
      <c r="BT3520" s="4">
        <v>0.93122685185185183</v>
      </c>
    </row>
    <row r="3521" spans="1:72" x14ac:dyDescent="0.25">
      <c r="A3521" s="2">
        <v>5183</v>
      </c>
      <c r="B3521" s="2">
        <v>2010</v>
      </c>
      <c r="C3521" s="2" t="s">
        <v>819</v>
      </c>
      <c r="D3521" s="2" t="s">
        <v>122</v>
      </c>
      <c r="E3521" s="2"/>
      <c r="F3521" s="2">
        <v>425</v>
      </c>
      <c r="G3521" s="2" t="s">
        <v>286</v>
      </c>
      <c r="H3521" s="2">
        <v>30</v>
      </c>
      <c r="I3521" s="2" t="s">
        <v>912</v>
      </c>
      <c r="J3521" s="2">
        <v>310</v>
      </c>
      <c r="K3521" s="2" t="s">
        <v>288</v>
      </c>
      <c r="L3521" s="2" t="s">
        <v>289</v>
      </c>
      <c r="M3521" s="3">
        <v>40416</v>
      </c>
      <c r="N3521" s="2" t="s">
        <v>2049</v>
      </c>
      <c r="O3521" s="2"/>
      <c r="P3521" s="2"/>
      <c r="Q3521" s="2" t="str">
        <f>"092/10"</f>
        <v>092/10</v>
      </c>
      <c r="R3521" s="2"/>
      <c r="S3521" s="2" t="s">
        <v>822</v>
      </c>
      <c r="T3521" s="2">
        <v>1</v>
      </c>
      <c r="U3521" s="2" t="s">
        <v>79</v>
      </c>
      <c r="V3521" s="2">
        <v>1</v>
      </c>
      <c r="W3521" s="2" t="s">
        <v>80</v>
      </c>
      <c r="X3521" s="2">
        <v>1</v>
      </c>
      <c r="Y3521" s="2" t="s">
        <v>81</v>
      </c>
      <c r="Z3521" s="2">
        <v>10</v>
      </c>
      <c r="AA3521" s="2" t="s">
        <v>236</v>
      </c>
      <c r="AB3521" s="2">
        <v>9</v>
      </c>
      <c r="AC3521" s="2" t="s">
        <v>124</v>
      </c>
      <c r="AD3521" s="3">
        <v>40416</v>
      </c>
      <c r="AE3521" s="4">
        <v>0.90972222222222221</v>
      </c>
      <c r="AF3521" s="2"/>
      <c r="AG3521" s="2"/>
      <c r="AH3521" s="2">
        <v>4</v>
      </c>
      <c r="AI3521" s="2" t="s">
        <v>125</v>
      </c>
      <c r="AJ3521" s="2">
        <v>29</v>
      </c>
      <c r="AK3521" s="2" t="s">
        <v>227</v>
      </c>
      <c r="AL3521" s="2">
        <v>10</v>
      </c>
      <c r="AM3521" s="2" t="s">
        <v>200</v>
      </c>
      <c r="AN3521" s="2" t="s">
        <v>1015</v>
      </c>
      <c r="AO3521" s="2" t="s">
        <v>8817</v>
      </c>
      <c r="AP3521" s="2">
        <v>12</v>
      </c>
      <c r="AQ3521" s="2" t="s">
        <v>322</v>
      </c>
      <c r="AR3521" s="2" t="s">
        <v>824</v>
      </c>
      <c r="AS3521" s="2" t="s">
        <v>825</v>
      </c>
      <c r="AT3521" s="2" t="s">
        <v>11281</v>
      </c>
      <c r="AU3521" s="2"/>
      <c r="AV3521" s="2"/>
      <c r="AW3521" s="2"/>
      <c r="AX3521" s="2"/>
      <c r="AY3521" s="2">
        <v>41</v>
      </c>
      <c r="AZ3521" s="2" t="s">
        <v>82</v>
      </c>
      <c r="BA3521" s="2">
        <v>41</v>
      </c>
      <c r="BB3521" s="2" t="s">
        <v>82</v>
      </c>
      <c r="BC3521" s="2">
        <v>51</v>
      </c>
      <c r="BD3521" s="2" t="s">
        <v>827</v>
      </c>
      <c r="BE3521" s="2">
        <v>47</v>
      </c>
      <c r="BF3521" s="2" t="s">
        <v>167</v>
      </c>
      <c r="BG3521" s="2">
        <v>2459</v>
      </c>
      <c r="BH3521" s="4">
        <v>0.91319444444444453</v>
      </c>
      <c r="BI3521" s="4">
        <v>0.94097222222222221</v>
      </c>
      <c r="BJ3521" s="2">
        <v>13</v>
      </c>
      <c r="BK3521" s="2" t="s">
        <v>91</v>
      </c>
      <c r="BL3521" s="2" t="s">
        <v>828</v>
      </c>
      <c r="BM3521" s="2">
        <v>241</v>
      </c>
      <c r="BN3521" s="2" t="s">
        <v>82</v>
      </c>
      <c r="BO3521" s="2"/>
      <c r="BP3521" s="2">
        <v>13</v>
      </c>
      <c r="BQ3521" s="2" t="s">
        <v>91</v>
      </c>
      <c r="BR3521" s="2" t="s">
        <v>185</v>
      </c>
      <c r="BS3521" s="3">
        <v>40416</v>
      </c>
      <c r="BT3521" s="4">
        <v>0.93934027777777773</v>
      </c>
    </row>
    <row r="3522" spans="1:72" x14ac:dyDescent="0.25">
      <c r="A3522" s="2">
        <v>5184</v>
      </c>
      <c r="B3522" s="2">
        <v>2010</v>
      </c>
      <c r="C3522" s="2" t="s">
        <v>121</v>
      </c>
      <c r="D3522" s="2" t="s">
        <v>122</v>
      </c>
      <c r="E3522" s="2"/>
      <c r="F3522" s="2">
        <v>1</v>
      </c>
      <c r="G3522" s="2" t="s">
        <v>82</v>
      </c>
      <c r="H3522" s="2">
        <v>1</v>
      </c>
      <c r="I3522" s="2" t="s">
        <v>82</v>
      </c>
      <c r="J3522" s="2">
        <v>1</v>
      </c>
      <c r="K3522" s="2" t="s">
        <v>107</v>
      </c>
      <c r="L3522" s="2" t="s">
        <v>107</v>
      </c>
      <c r="M3522" s="3">
        <v>40416</v>
      </c>
      <c r="N3522" s="2"/>
      <c r="O3522" s="2"/>
      <c r="P3522" s="2"/>
      <c r="Q3522" s="2" t="str">
        <f>""</f>
        <v/>
      </c>
      <c r="R3522" s="2"/>
      <c r="S3522" s="2"/>
      <c r="T3522" s="2">
        <v>2</v>
      </c>
      <c r="U3522" s="2" t="s">
        <v>123</v>
      </c>
      <c r="V3522" s="2">
        <v>1</v>
      </c>
      <c r="W3522" s="2" t="s">
        <v>80</v>
      </c>
      <c r="X3522" s="2">
        <v>5</v>
      </c>
      <c r="Y3522" s="2" t="s">
        <v>82</v>
      </c>
      <c r="Z3522" s="2">
        <v>1</v>
      </c>
      <c r="AA3522" s="2" t="s">
        <v>82</v>
      </c>
      <c r="AB3522" s="2">
        <v>9</v>
      </c>
      <c r="AC3522" s="2" t="s">
        <v>124</v>
      </c>
      <c r="AD3522" s="3">
        <v>40416</v>
      </c>
      <c r="AE3522" s="2"/>
      <c r="AF3522" s="2"/>
      <c r="AG3522" s="2"/>
      <c r="AH3522" s="2">
        <v>5</v>
      </c>
      <c r="AI3522" s="2" t="s">
        <v>274</v>
      </c>
      <c r="AJ3522" s="2">
        <v>43</v>
      </c>
      <c r="AK3522" s="2" t="s">
        <v>918</v>
      </c>
      <c r="AL3522" s="2">
        <v>10</v>
      </c>
      <c r="AM3522" s="2" t="s">
        <v>200</v>
      </c>
      <c r="AN3522" s="2"/>
      <c r="AO3522" s="2" t="s">
        <v>230</v>
      </c>
      <c r="AP3522" s="2">
        <v>11</v>
      </c>
      <c r="AQ3522" s="2" t="s">
        <v>82</v>
      </c>
      <c r="AR3522" s="2"/>
      <c r="AS3522" s="2"/>
      <c r="AT3522" s="2" t="s">
        <v>11282</v>
      </c>
      <c r="AU3522" s="2"/>
      <c r="AV3522" s="2"/>
      <c r="AW3522" s="2"/>
      <c r="AX3522" s="2"/>
      <c r="AY3522" s="2">
        <v>1</v>
      </c>
      <c r="AZ3522" s="2" t="s">
        <v>107</v>
      </c>
      <c r="BA3522" s="2">
        <v>1</v>
      </c>
      <c r="BB3522" s="2" t="s">
        <v>107</v>
      </c>
      <c r="BC3522" s="2">
        <v>1</v>
      </c>
      <c r="BD3522" s="2" t="s">
        <v>107</v>
      </c>
      <c r="BE3522" s="2">
        <v>1</v>
      </c>
      <c r="BF3522" s="2" t="s">
        <v>107</v>
      </c>
      <c r="BG3522" s="2"/>
      <c r="BH3522" s="2"/>
      <c r="BI3522" s="2"/>
      <c r="BJ3522" s="2">
        <v>242</v>
      </c>
      <c r="BK3522" s="2" t="s">
        <v>107</v>
      </c>
      <c r="BL3522" s="2"/>
      <c r="BM3522" s="2">
        <v>242</v>
      </c>
      <c r="BN3522" s="2" t="s">
        <v>107</v>
      </c>
      <c r="BO3522" s="2"/>
      <c r="BP3522" s="2">
        <v>242</v>
      </c>
      <c r="BQ3522" s="2" t="s">
        <v>107</v>
      </c>
      <c r="BR3522" s="2"/>
      <c r="BS3522" s="3">
        <v>40416</v>
      </c>
      <c r="BT3522" s="4">
        <v>0.95024305555555555</v>
      </c>
    </row>
    <row r="3523" spans="1:72" x14ac:dyDescent="0.25">
      <c r="A3523" s="2">
        <v>5186</v>
      </c>
      <c r="B3523" s="2">
        <v>2010</v>
      </c>
      <c r="C3523" s="2" t="s">
        <v>128</v>
      </c>
      <c r="D3523" s="2" t="s">
        <v>122</v>
      </c>
      <c r="E3523" s="2"/>
      <c r="F3523" s="2">
        <v>589</v>
      </c>
      <c r="G3523" s="2" t="s">
        <v>11283</v>
      </c>
      <c r="H3523" s="2">
        <v>92</v>
      </c>
      <c r="I3523" s="2" t="s">
        <v>5532</v>
      </c>
      <c r="J3523" s="2">
        <v>523</v>
      </c>
      <c r="K3523" s="2" t="s">
        <v>11284</v>
      </c>
      <c r="L3523" s="2" t="s">
        <v>4628</v>
      </c>
      <c r="M3523" s="3">
        <v>40416</v>
      </c>
      <c r="N3523" s="2" t="s">
        <v>107</v>
      </c>
      <c r="O3523" s="2" t="s">
        <v>11285</v>
      </c>
      <c r="P3523" s="2" t="s">
        <v>11286</v>
      </c>
      <c r="Q3523" s="2" t="str">
        <f>""</f>
        <v/>
      </c>
      <c r="R3523" s="2"/>
      <c r="S3523" s="2"/>
      <c r="T3523" s="2">
        <v>1</v>
      </c>
      <c r="U3523" s="2" t="s">
        <v>79</v>
      </c>
      <c r="V3523" s="2">
        <v>1</v>
      </c>
      <c r="W3523" s="2" t="s">
        <v>80</v>
      </c>
      <c r="X3523" s="2">
        <v>4</v>
      </c>
      <c r="Y3523" s="2" t="s">
        <v>463</v>
      </c>
      <c r="Z3523" s="2">
        <v>7</v>
      </c>
      <c r="AA3523" s="2" t="s">
        <v>1462</v>
      </c>
      <c r="AB3523" s="2">
        <v>9</v>
      </c>
      <c r="AC3523" s="2" t="s">
        <v>124</v>
      </c>
      <c r="AD3523" s="3">
        <v>40416</v>
      </c>
      <c r="AE3523" s="4">
        <v>0.84375</v>
      </c>
      <c r="AF3523" s="2"/>
      <c r="AG3523" s="2"/>
      <c r="AH3523" s="2">
        <v>2</v>
      </c>
      <c r="AI3523" s="2" t="s">
        <v>84</v>
      </c>
      <c r="AJ3523" s="2">
        <v>12</v>
      </c>
      <c r="AK3523" s="2" t="s">
        <v>85</v>
      </c>
      <c r="AL3523" s="2">
        <v>29</v>
      </c>
      <c r="AM3523" s="2" t="s">
        <v>5416</v>
      </c>
      <c r="AN3523" s="2"/>
      <c r="AO3523" s="2" t="s">
        <v>11287</v>
      </c>
      <c r="AP3523" s="2">
        <v>11</v>
      </c>
      <c r="AQ3523" s="2" t="s">
        <v>82</v>
      </c>
      <c r="AR3523" s="2"/>
      <c r="AS3523" s="2"/>
      <c r="AT3523" s="2" t="s">
        <v>11288</v>
      </c>
      <c r="AU3523" s="2"/>
      <c r="AV3523" s="2">
        <v>1</v>
      </c>
      <c r="AW3523" s="2"/>
      <c r="AX3523" s="2"/>
      <c r="AY3523" s="2">
        <v>41</v>
      </c>
      <c r="AZ3523" s="2" t="s">
        <v>82</v>
      </c>
      <c r="BA3523" s="2">
        <v>41</v>
      </c>
      <c r="BB3523" s="2" t="s">
        <v>82</v>
      </c>
      <c r="BC3523" s="2">
        <v>41</v>
      </c>
      <c r="BD3523" s="2" t="s">
        <v>82</v>
      </c>
      <c r="BE3523" s="2">
        <v>41</v>
      </c>
      <c r="BF3523" s="2" t="s">
        <v>82</v>
      </c>
      <c r="BG3523" s="2"/>
      <c r="BH3523" s="2"/>
      <c r="BI3523" s="2"/>
      <c r="BJ3523" s="2">
        <v>241</v>
      </c>
      <c r="BK3523" s="2" t="s">
        <v>82</v>
      </c>
      <c r="BL3523" s="2"/>
      <c r="BM3523" s="2">
        <v>241</v>
      </c>
      <c r="BN3523" s="2" t="s">
        <v>82</v>
      </c>
      <c r="BO3523" s="2"/>
      <c r="BP3523" s="2">
        <v>241</v>
      </c>
      <c r="BQ3523" s="2" t="s">
        <v>82</v>
      </c>
      <c r="BR3523" s="2"/>
      <c r="BS3523" s="3">
        <v>40416</v>
      </c>
      <c r="BT3523" s="4">
        <v>0.96526620370370375</v>
      </c>
    </row>
    <row r="3524" spans="1:72" x14ac:dyDescent="0.25">
      <c r="A3524" s="2">
        <v>5187</v>
      </c>
      <c r="B3524" s="2">
        <v>2010</v>
      </c>
      <c r="C3524" s="2" t="s">
        <v>121</v>
      </c>
      <c r="D3524" s="2" t="s">
        <v>122</v>
      </c>
      <c r="E3524" s="2"/>
      <c r="F3524" s="2">
        <v>1</v>
      </c>
      <c r="G3524" s="2" t="s">
        <v>82</v>
      </c>
      <c r="H3524" s="2">
        <v>1</v>
      </c>
      <c r="I3524" s="2" t="s">
        <v>82</v>
      </c>
      <c r="J3524" s="2">
        <v>1</v>
      </c>
      <c r="K3524" s="2" t="s">
        <v>107</v>
      </c>
      <c r="L3524" s="2" t="s">
        <v>107</v>
      </c>
      <c r="M3524" s="3">
        <v>40416</v>
      </c>
      <c r="N3524" s="2"/>
      <c r="O3524" s="2"/>
      <c r="P3524" s="2"/>
      <c r="Q3524" s="2" t="str">
        <f>""</f>
        <v/>
      </c>
      <c r="R3524" s="2"/>
      <c r="S3524" s="2"/>
      <c r="T3524" s="2">
        <v>2</v>
      </c>
      <c r="U3524" s="2" t="s">
        <v>123</v>
      </c>
      <c r="V3524" s="2">
        <v>1</v>
      </c>
      <c r="W3524" s="2" t="s">
        <v>80</v>
      </c>
      <c r="X3524" s="2">
        <v>11</v>
      </c>
      <c r="Y3524" s="2" t="s">
        <v>1920</v>
      </c>
      <c r="Z3524" s="2">
        <v>1</v>
      </c>
      <c r="AA3524" s="2" t="s">
        <v>82</v>
      </c>
      <c r="AB3524" s="2">
        <v>9</v>
      </c>
      <c r="AC3524" s="2" t="s">
        <v>124</v>
      </c>
      <c r="AD3524" s="3">
        <v>40416</v>
      </c>
      <c r="AE3524" s="4">
        <v>0.94236111111111109</v>
      </c>
      <c r="AF3524" s="2"/>
      <c r="AG3524" s="2"/>
      <c r="AH3524" s="2">
        <v>3</v>
      </c>
      <c r="AI3524" s="2" t="s">
        <v>214</v>
      </c>
      <c r="AJ3524" s="2">
        <v>23</v>
      </c>
      <c r="AK3524" s="2" t="s">
        <v>851</v>
      </c>
      <c r="AL3524" s="2">
        <v>10</v>
      </c>
      <c r="AM3524" s="2" t="s">
        <v>200</v>
      </c>
      <c r="AN3524" s="2" t="s">
        <v>230</v>
      </c>
      <c r="AO3524" s="2"/>
      <c r="AP3524" s="2">
        <v>11</v>
      </c>
      <c r="AQ3524" s="2" t="s">
        <v>82</v>
      </c>
      <c r="AR3524" s="2"/>
      <c r="AS3524" s="2"/>
      <c r="AT3524" s="2" t="s">
        <v>11289</v>
      </c>
      <c r="AU3524" s="2"/>
      <c r="AV3524" s="2"/>
      <c r="AW3524" s="2"/>
      <c r="AX3524" s="2"/>
      <c r="AY3524" s="2">
        <v>41</v>
      </c>
      <c r="AZ3524" s="2" t="s">
        <v>82</v>
      </c>
      <c r="BA3524" s="2">
        <v>41</v>
      </c>
      <c r="BB3524" s="2" t="s">
        <v>82</v>
      </c>
      <c r="BC3524" s="2">
        <v>41</v>
      </c>
      <c r="BD3524" s="2" t="s">
        <v>82</v>
      </c>
      <c r="BE3524" s="2">
        <v>1</v>
      </c>
      <c r="BF3524" s="2" t="s">
        <v>107</v>
      </c>
      <c r="BG3524" s="2"/>
      <c r="BH3524" s="4">
        <v>0.94236111111111109</v>
      </c>
      <c r="BI3524" s="4">
        <v>0.87847222222222221</v>
      </c>
      <c r="BJ3524" s="2">
        <v>13</v>
      </c>
      <c r="BK3524" s="2" t="s">
        <v>91</v>
      </c>
      <c r="BL3524" s="2" t="s">
        <v>11290</v>
      </c>
      <c r="BM3524" s="2">
        <v>241</v>
      </c>
      <c r="BN3524" s="2" t="s">
        <v>82</v>
      </c>
      <c r="BO3524" s="2"/>
      <c r="BP3524" s="2">
        <v>13</v>
      </c>
      <c r="BQ3524" s="2" t="s">
        <v>91</v>
      </c>
      <c r="BR3524" s="2" t="s">
        <v>11291</v>
      </c>
      <c r="BS3524" s="3">
        <v>40416</v>
      </c>
      <c r="BT3524" s="4">
        <v>0.96668981481481486</v>
      </c>
    </row>
    <row r="3525" spans="1:72" x14ac:dyDescent="0.25">
      <c r="A3525" s="2">
        <v>5188</v>
      </c>
      <c r="B3525" s="2">
        <v>2010</v>
      </c>
      <c r="C3525" s="2" t="s">
        <v>121</v>
      </c>
      <c r="D3525" s="2" t="s">
        <v>122</v>
      </c>
      <c r="E3525" s="2"/>
      <c r="F3525" s="2">
        <v>1</v>
      </c>
      <c r="G3525" s="2" t="s">
        <v>82</v>
      </c>
      <c r="H3525" s="2">
        <v>1</v>
      </c>
      <c r="I3525" s="2" t="s">
        <v>82</v>
      </c>
      <c r="J3525" s="2">
        <v>1</v>
      </c>
      <c r="K3525" s="2" t="s">
        <v>107</v>
      </c>
      <c r="L3525" s="2" t="s">
        <v>107</v>
      </c>
      <c r="M3525" s="3">
        <v>40417</v>
      </c>
      <c r="N3525" s="2"/>
      <c r="O3525" s="2"/>
      <c r="P3525" s="2"/>
      <c r="Q3525" s="2" t="str">
        <f>""</f>
        <v/>
      </c>
      <c r="R3525" s="2"/>
      <c r="S3525" s="2"/>
      <c r="T3525" s="2">
        <v>2</v>
      </c>
      <c r="U3525" s="2" t="s">
        <v>123</v>
      </c>
      <c r="V3525" s="2">
        <v>1</v>
      </c>
      <c r="W3525" s="2" t="s">
        <v>80</v>
      </c>
      <c r="X3525" s="2">
        <v>11</v>
      </c>
      <c r="Y3525" s="2" t="s">
        <v>1920</v>
      </c>
      <c r="Z3525" s="2">
        <v>10</v>
      </c>
      <c r="AA3525" s="2" t="s">
        <v>236</v>
      </c>
      <c r="AB3525" s="2">
        <v>9</v>
      </c>
      <c r="AC3525" s="2" t="s">
        <v>124</v>
      </c>
      <c r="AD3525" s="3">
        <v>40417</v>
      </c>
      <c r="AE3525" s="4">
        <v>0.21875</v>
      </c>
      <c r="AF3525" s="2"/>
      <c r="AG3525" s="2"/>
      <c r="AH3525" s="2">
        <v>2</v>
      </c>
      <c r="AI3525" s="2" t="s">
        <v>84</v>
      </c>
      <c r="AJ3525" s="2">
        <v>12</v>
      </c>
      <c r="AK3525" s="2" t="s">
        <v>85</v>
      </c>
      <c r="AL3525" s="2">
        <v>2</v>
      </c>
      <c r="AM3525" s="2" t="s">
        <v>163</v>
      </c>
      <c r="AN3525" s="2"/>
      <c r="AO3525" s="2"/>
      <c r="AP3525" s="2">
        <v>11</v>
      </c>
      <c r="AQ3525" s="2" t="s">
        <v>82</v>
      </c>
      <c r="AR3525" s="2"/>
      <c r="AS3525" s="2"/>
      <c r="AT3525" s="2" t="s">
        <v>11292</v>
      </c>
      <c r="AU3525" s="2"/>
      <c r="AV3525" s="2"/>
      <c r="AW3525" s="2"/>
      <c r="AX3525" s="2"/>
      <c r="AY3525" s="2">
        <v>41</v>
      </c>
      <c r="AZ3525" s="2" t="s">
        <v>82</v>
      </c>
      <c r="BA3525" s="2">
        <v>41</v>
      </c>
      <c r="BB3525" s="2" t="s">
        <v>82</v>
      </c>
      <c r="BC3525" s="2">
        <v>70</v>
      </c>
      <c r="BD3525" s="2" t="s">
        <v>236</v>
      </c>
      <c r="BE3525" s="2">
        <v>13</v>
      </c>
      <c r="BF3525" s="2" t="s">
        <v>108</v>
      </c>
      <c r="BG3525" s="2" t="s">
        <v>10266</v>
      </c>
      <c r="BH3525" s="2"/>
      <c r="BI3525" s="4">
        <v>0.25694444444444448</v>
      </c>
      <c r="BJ3525" s="2">
        <v>13</v>
      </c>
      <c r="BK3525" s="2" t="s">
        <v>91</v>
      </c>
      <c r="BL3525" s="2" t="s">
        <v>185</v>
      </c>
      <c r="BM3525" s="2">
        <v>241</v>
      </c>
      <c r="BN3525" s="2" t="s">
        <v>82</v>
      </c>
      <c r="BO3525" s="2"/>
      <c r="BP3525" s="2">
        <v>13</v>
      </c>
      <c r="BQ3525" s="2" t="s">
        <v>91</v>
      </c>
      <c r="BR3525" s="2" t="s">
        <v>854</v>
      </c>
      <c r="BS3525" s="3">
        <v>40417</v>
      </c>
      <c r="BT3525" s="4">
        <v>0.28496527777777775</v>
      </c>
    </row>
    <row r="3526" spans="1:72" x14ac:dyDescent="0.25">
      <c r="A3526" s="2">
        <v>5189</v>
      </c>
      <c r="B3526" s="2">
        <v>2010</v>
      </c>
      <c r="C3526" s="2" t="s">
        <v>72</v>
      </c>
      <c r="D3526" s="2" t="s">
        <v>73</v>
      </c>
      <c r="E3526" s="2"/>
      <c r="F3526" s="2">
        <v>3</v>
      </c>
      <c r="G3526" s="2" t="s">
        <v>1041</v>
      </c>
      <c r="H3526" s="2">
        <v>42</v>
      </c>
      <c r="I3526" s="2" t="s">
        <v>1096</v>
      </c>
      <c r="J3526" s="2">
        <v>368</v>
      </c>
      <c r="K3526" s="2" t="s">
        <v>1042</v>
      </c>
      <c r="L3526" s="2" t="s">
        <v>1043</v>
      </c>
      <c r="M3526" s="3">
        <v>40417</v>
      </c>
      <c r="N3526" s="2"/>
      <c r="O3526" s="2"/>
      <c r="P3526" s="2"/>
      <c r="Q3526" s="2" t="str">
        <f>"439-E/10"</f>
        <v>439-E/10</v>
      </c>
      <c r="R3526" s="2" t="s">
        <v>116</v>
      </c>
      <c r="S3526" s="2" t="s">
        <v>116</v>
      </c>
      <c r="T3526" s="2">
        <v>1</v>
      </c>
      <c r="U3526" s="2" t="s">
        <v>79</v>
      </c>
      <c r="V3526" s="2">
        <v>1</v>
      </c>
      <c r="W3526" s="2" t="s">
        <v>80</v>
      </c>
      <c r="X3526" s="2">
        <v>12</v>
      </c>
      <c r="Y3526" s="2" t="s">
        <v>148</v>
      </c>
      <c r="Z3526" s="2">
        <v>1</v>
      </c>
      <c r="AA3526" s="2" t="s">
        <v>82</v>
      </c>
      <c r="AB3526" s="2">
        <v>6</v>
      </c>
      <c r="AC3526" s="2" t="s">
        <v>83</v>
      </c>
      <c r="AD3526" s="3">
        <v>40416</v>
      </c>
      <c r="AE3526" s="4">
        <v>0.625</v>
      </c>
      <c r="AF3526" s="3">
        <v>40417</v>
      </c>
      <c r="AG3526" s="4">
        <v>0.33680555555555558</v>
      </c>
      <c r="AH3526" s="2">
        <v>2</v>
      </c>
      <c r="AI3526" s="2" t="s">
        <v>84</v>
      </c>
      <c r="AJ3526" s="2">
        <v>9</v>
      </c>
      <c r="AK3526" s="2" t="s">
        <v>103</v>
      </c>
      <c r="AL3526" s="2">
        <v>23</v>
      </c>
      <c r="AM3526" s="2" t="s">
        <v>251</v>
      </c>
      <c r="AN3526" s="2"/>
      <c r="AO3526" s="2" t="s">
        <v>11293</v>
      </c>
      <c r="AP3526" s="2">
        <v>11</v>
      </c>
      <c r="AQ3526" s="2" t="s">
        <v>82</v>
      </c>
      <c r="AR3526" s="2"/>
      <c r="AS3526" s="2"/>
      <c r="AT3526" s="2" t="s">
        <v>11294</v>
      </c>
      <c r="AU3526" s="2"/>
      <c r="AV3526" s="2"/>
      <c r="AW3526" s="2"/>
      <c r="AX3526" s="2"/>
      <c r="AY3526" s="2">
        <v>41</v>
      </c>
      <c r="AZ3526" s="2" t="s">
        <v>82</v>
      </c>
      <c r="BA3526" s="2">
        <v>41</v>
      </c>
      <c r="BB3526" s="2" t="s">
        <v>82</v>
      </c>
      <c r="BC3526" s="2">
        <v>41</v>
      </c>
      <c r="BD3526" s="2" t="s">
        <v>82</v>
      </c>
      <c r="BE3526" s="2">
        <v>41</v>
      </c>
      <c r="BF3526" s="2" t="s">
        <v>82</v>
      </c>
      <c r="BG3526" s="2"/>
      <c r="BH3526" s="2"/>
      <c r="BI3526" s="2"/>
      <c r="BJ3526" s="2">
        <v>241</v>
      </c>
      <c r="BK3526" s="2" t="s">
        <v>82</v>
      </c>
      <c r="BL3526" s="2"/>
      <c r="BM3526" s="2">
        <v>241</v>
      </c>
      <c r="BN3526" s="2" t="s">
        <v>82</v>
      </c>
      <c r="BO3526" s="2"/>
      <c r="BP3526" s="2">
        <v>241</v>
      </c>
      <c r="BQ3526" s="2" t="s">
        <v>82</v>
      </c>
      <c r="BR3526" s="2"/>
      <c r="BS3526" s="3">
        <v>40417</v>
      </c>
      <c r="BT3526" s="4">
        <v>0.38068287037037035</v>
      </c>
    </row>
    <row r="3527" spans="1:72" x14ac:dyDescent="0.25">
      <c r="A3527" s="2">
        <v>5191</v>
      </c>
      <c r="B3527" s="2">
        <v>2010</v>
      </c>
      <c r="C3527" s="2" t="s">
        <v>147</v>
      </c>
      <c r="D3527" s="2" t="s">
        <v>73</v>
      </c>
      <c r="E3527" s="2"/>
      <c r="F3527" s="2">
        <v>1</v>
      </c>
      <c r="G3527" s="2" t="s">
        <v>82</v>
      </c>
      <c r="H3527" s="2">
        <v>1</v>
      </c>
      <c r="I3527" s="2" t="s">
        <v>82</v>
      </c>
      <c r="J3527" s="2">
        <v>1</v>
      </c>
      <c r="K3527" s="2" t="s">
        <v>107</v>
      </c>
      <c r="L3527" s="2" t="s">
        <v>107</v>
      </c>
      <c r="M3527" s="3">
        <v>40417</v>
      </c>
      <c r="N3527" s="2"/>
      <c r="O3527" s="2"/>
      <c r="P3527" s="2"/>
      <c r="Q3527" s="2" t="str">
        <f>""</f>
        <v/>
      </c>
      <c r="R3527" s="2"/>
      <c r="S3527" s="2"/>
      <c r="T3527" s="2">
        <v>2</v>
      </c>
      <c r="U3527" s="2" t="s">
        <v>123</v>
      </c>
      <c r="V3527" s="2">
        <v>1</v>
      </c>
      <c r="W3527" s="2" t="s">
        <v>80</v>
      </c>
      <c r="X3527" s="2">
        <v>12</v>
      </c>
      <c r="Y3527" s="2" t="s">
        <v>148</v>
      </c>
      <c r="Z3527" s="2">
        <v>1</v>
      </c>
      <c r="AA3527" s="2" t="s">
        <v>82</v>
      </c>
      <c r="AB3527" s="2">
        <v>9</v>
      </c>
      <c r="AC3527" s="2" t="s">
        <v>124</v>
      </c>
      <c r="AD3527" s="2"/>
      <c r="AE3527" s="2"/>
      <c r="AF3527" s="3">
        <v>40417</v>
      </c>
      <c r="AG3527" s="4">
        <v>0.3888888888888889</v>
      </c>
      <c r="AH3527" s="2">
        <v>2</v>
      </c>
      <c r="AI3527" s="2" t="s">
        <v>84</v>
      </c>
      <c r="AJ3527" s="2">
        <v>11</v>
      </c>
      <c r="AK3527" s="2" t="s">
        <v>751</v>
      </c>
      <c r="AL3527" s="2">
        <v>19</v>
      </c>
      <c r="AM3527" s="2" t="s">
        <v>107</v>
      </c>
      <c r="AN3527" s="2" t="s">
        <v>11295</v>
      </c>
      <c r="AO3527" s="2"/>
      <c r="AP3527" s="2">
        <v>11</v>
      </c>
      <c r="AQ3527" s="2" t="s">
        <v>82</v>
      </c>
      <c r="AR3527" s="2"/>
      <c r="AS3527" s="2"/>
      <c r="AT3527" s="2" t="s">
        <v>11296</v>
      </c>
      <c r="AU3527" s="2"/>
      <c r="AV3527" s="2"/>
      <c r="AW3527" s="2"/>
      <c r="AX3527" s="2"/>
      <c r="AY3527" s="2">
        <v>41</v>
      </c>
      <c r="AZ3527" s="2" t="s">
        <v>82</v>
      </c>
      <c r="BA3527" s="2">
        <v>41</v>
      </c>
      <c r="BB3527" s="2" t="s">
        <v>82</v>
      </c>
      <c r="BC3527" s="2">
        <v>41</v>
      </c>
      <c r="BD3527" s="2" t="s">
        <v>82</v>
      </c>
      <c r="BE3527" s="2">
        <v>41</v>
      </c>
      <c r="BF3527" s="2" t="s">
        <v>82</v>
      </c>
      <c r="BG3527" s="2"/>
      <c r="BH3527" s="2"/>
      <c r="BI3527" s="2"/>
      <c r="BJ3527" s="2">
        <v>241</v>
      </c>
      <c r="BK3527" s="2" t="s">
        <v>82</v>
      </c>
      <c r="BL3527" s="2"/>
      <c r="BM3527" s="2">
        <v>241</v>
      </c>
      <c r="BN3527" s="2" t="s">
        <v>82</v>
      </c>
      <c r="BO3527" s="2"/>
      <c r="BP3527" s="2">
        <v>241</v>
      </c>
      <c r="BQ3527" s="2" t="s">
        <v>82</v>
      </c>
      <c r="BR3527" s="2"/>
      <c r="BS3527" s="3">
        <v>40417</v>
      </c>
      <c r="BT3527" s="4">
        <v>0.42471064814814818</v>
      </c>
    </row>
    <row r="3528" spans="1:72" x14ac:dyDescent="0.25">
      <c r="A3528" s="2">
        <v>5194</v>
      </c>
      <c r="B3528" s="2">
        <v>2010</v>
      </c>
      <c r="C3528" s="2" t="s">
        <v>819</v>
      </c>
      <c r="D3528" s="2" t="s">
        <v>122</v>
      </c>
      <c r="E3528" s="2" t="s">
        <v>11297</v>
      </c>
      <c r="F3528" s="2">
        <v>425</v>
      </c>
      <c r="G3528" s="2" t="s">
        <v>286</v>
      </c>
      <c r="H3528" s="2">
        <v>30</v>
      </c>
      <c r="I3528" s="2" t="s">
        <v>912</v>
      </c>
      <c r="J3528" s="2">
        <v>310</v>
      </c>
      <c r="K3528" s="2" t="s">
        <v>288</v>
      </c>
      <c r="L3528" s="2" t="s">
        <v>289</v>
      </c>
      <c r="M3528" s="3">
        <v>40417</v>
      </c>
      <c r="N3528" s="2" t="s">
        <v>2049</v>
      </c>
      <c r="O3528" s="2"/>
      <c r="P3528" s="2"/>
      <c r="Q3528" s="2" t="str">
        <f>"092/10"</f>
        <v>092/10</v>
      </c>
      <c r="R3528" s="2" t="s">
        <v>822</v>
      </c>
      <c r="S3528" s="2"/>
      <c r="T3528" s="2">
        <v>1</v>
      </c>
      <c r="U3528" s="2" t="s">
        <v>79</v>
      </c>
      <c r="V3528" s="2">
        <v>1</v>
      </c>
      <c r="W3528" s="2" t="s">
        <v>80</v>
      </c>
      <c r="X3528" s="2">
        <v>1</v>
      </c>
      <c r="Y3528" s="2" t="s">
        <v>81</v>
      </c>
      <c r="Z3528" s="2">
        <v>10</v>
      </c>
      <c r="AA3528" s="2" t="s">
        <v>236</v>
      </c>
      <c r="AB3528" s="2">
        <v>9</v>
      </c>
      <c r="AC3528" s="2" t="s">
        <v>124</v>
      </c>
      <c r="AD3528" s="3">
        <v>40416</v>
      </c>
      <c r="AE3528" s="4">
        <v>0.4236111111111111</v>
      </c>
      <c r="AF3528" s="2"/>
      <c r="AG3528" s="2"/>
      <c r="AH3528" s="2">
        <v>4</v>
      </c>
      <c r="AI3528" s="2" t="s">
        <v>125</v>
      </c>
      <c r="AJ3528" s="2">
        <v>29</v>
      </c>
      <c r="AK3528" s="2" t="s">
        <v>227</v>
      </c>
      <c r="AL3528" s="2">
        <v>16</v>
      </c>
      <c r="AM3528" s="2" t="s">
        <v>392</v>
      </c>
      <c r="AN3528" s="2" t="s">
        <v>3040</v>
      </c>
      <c r="AO3528" s="2" t="s">
        <v>3176</v>
      </c>
      <c r="AP3528" s="2">
        <v>12</v>
      </c>
      <c r="AQ3528" s="2" t="s">
        <v>322</v>
      </c>
      <c r="AR3528" s="2" t="s">
        <v>824</v>
      </c>
      <c r="AS3528" s="2" t="s">
        <v>825</v>
      </c>
      <c r="AT3528" s="2" t="s">
        <v>11298</v>
      </c>
      <c r="AU3528" s="2"/>
      <c r="AV3528" s="2"/>
      <c r="AW3528" s="2"/>
      <c r="AX3528" s="2"/>
      <c r="AY3528" s="2">
        <v>41</v>
      </c>
      <c r="AZ3528" s="2" t="s">
        <v>82</v>
      </c>
      <c r="BA3528" s="2">
        <v>41</v>
      </c>
      <c r="BB3528" s="2" t="s">
        <v>82</v>
      </c>
      <c r="BC3528" s="2">
        <v>51</v>
      </c>
      <c r="BD3528" s="2" t="s">
        <v>827</v>
      </c>
      <c r="BE3528" s="2">
        <v>47</v>
      </c>
      <c r="BF3528" s="2" t="s">
        <v>167</v>
      </c>
      <c r="BG3528" s="2">
        <v>2459</v>
      </c>
      <c r="BH3528" s="4">
        <v>0.91319444444444453</v>
      </c>
      <c r="BI3528" s="4">
        <v>0.94097222222222221</v>
      </c>
      <c r="BJ3528" s="2">
        <v>13</v>
      </c>
      <c r="BK3528" s="2" t="s">
        <v>91</v>
      </c>
      <c r="BL3528" s="2" t="s">
        <v>828</v>
      </c>
      <c r="BM3528" s="2">
        <v>241</v>
      </c>
      <c r="BN3528" s="2" t="s">
        <v>82</v>
      </c>
      <c r="BO3528" s="2"/>
      <c r="BP3528" s="2">
        <v>13</v>
      </c>
      <c r="BQ3528" s="2" t="s">
        <v>91</v>
      </c>
      <c r="BR3528" s="2" t="s">
        <v>185</v>
      </c>
      <c r="BS3528" s="3">
        <v>40417</v>
      </c>
      <c r="BT3528" s="4">
        <v>0.465787037037037</v>
      </c>
    </row>
    <row r="3529" spans="1:72" x14ac:dyDescent="0.25">
      <c r="A3529" s="2">
        <v>5195</v>
      </c>
      <c r="B3529" s="2">
        <v>2010</v>
      </c>
      <c r="C3529" s="2" t="s">
        <v>196</v>
      </c>
      <c r="D3529" s="2" t="s">
        <v>122</v>
      </c>
      <c r="E3529" s="2"/>
      <c r="F3529" s="2">
        <v>1</v>
      </c>
      <c r="G3529" s="2" t="s">
        <v>82</v>
      </c>
      <c r="H3529" s="2">
        <v>1</v>
      </c>
      <c r="I3529" s="2" t="s">
        <v>82</v>
      </c>
      <c r="J3529" s="2">
        <v>1</v>
      </c>
      <c r="K3529" s="2" t="s">
        <v>107</v>
      </c>
      <c r="L3529" s="2" t="s">
        <v>107</v>
      </c>
      <c r="M3529" s="3">
        <v>40417</v>
      </c>
      <c r="N3529" s="2"/>
      <c r="O3529" s="2"/>
      <c r="P3529" s="2"/>
      <c r="Q3529" s="2" t="str">
        <f>""</f>
        <v/>
      </c>
      <c r="R3529" s="2"/>
      <c r="S3529" s="2"/>
      <c r="T3529" s="2">
        <v>2</v>
      </c>
      <c r="U3529" s="2" t="s">
        <v>123</v>
      </c>
      <c r="V3529" s="2">
        <v>1</v>
      </c>
      <c r="W3529" s="2" t="s">
        <v>80</v>
      </c>
      <c r="X3529" s="2">
        <v>11</v>
      </c>
      <c r="Y3529" s="2" t="s">
        <v>1920</v>
      </c>
      <c r="Z3529" s="2">
        <v>10</v>
      </c>
      <c r="AA3529" s="2" t="s">
        <v>236</v>
      </c>
      <c r="AB3529" s="2">
        <v>9</v>
      </c>
      <c r="AC3529" s="2" t="s">
        <v>124</v>
      </c>
      <c r="AD3529" s="3">
        <v>40417</v>
      </c>
      <c r="AE3529" s="4">
        <v>0.4861111111111111</v>
      </c>
      <c r="AF3529" s="2"/>
      <c r="AG3529" s="2"/>
      <c r="AH3529" s="2">
        <v>2</v>
      </c>
      <c r="AI3529" s="2" t="s">
        <v>84</v>
      </c>
      <c r="AJ3529" s="2">
        <v>12</v>
      </c>
      <c r="AK3529" s="2" t="s">
        <v>85</v>
      </c>
      <c r="AL3529" s="2">
        <v>20</v>
      </c>
      <c r="AM3529" s="2" t="s">
        <v>992</v>
      </c>
      <c r="AN3529" s="2" t="s">
        <v>993</v>
      </c>
      <c r="AO3529" s="2"/>
      <c r="AP3529" s="2">
        <v>11</v>
      </c>
      <c r="AQ3529" s="2" t="s">
        <v>82</v>
      </c>
      <c r="AR3529" s="2"/>
      <c r="AS3529" s="2"/>
      <c r="AT3529" s="2" t="s">
        <v>11299</v>
      </c>
      <c r="AU3529" s="2"/>
      <c r="AV3529" s="2"/>
      <c r="AW3529" s="2"/>
      <c r="AX3529" s="2"/>
      <c r="AY3529" s="2">
        <v>41</v>
      </c>
      <c r="AZ3529" s="2" t="s">
        <v>82</v>
      </c>
      <c r="BA3529" s="2">
        <v>41</v>
      </c>
      <c r="BB3529" s="2" t="s">
        <v>82</v>
      </c>
      <c r="BC3529" s="2">
        <v>41</v>
      </c>
      <c r="BD3529" s="2" t="s">
        <v>82</v>
      </c>
      <c r="BE3529" s="2">
        <v>41</v>
      </c>
      <c r="BF3529" s="2" t="s">
        <v>82</v>
      </c>
      <c r="BG3529" s="2"/>
      <c r="BH3529" s="2"/>
      <c r="BI3529" s="4">
        <v>0.48402777777777778</v>
      </c>
      <c r="BJ3529" s="2">
        <v>13</v>
      </c>
      <c r="BK3529" s="2" t="s">
        <v>91</v>
      </c>
      <c r="BL3529" s="2"/>
      <c r="BM3529" s="2">
        <v>241</v>
      </c>
      <c r="BN3529" s="2" t="s">
        <v>82</v>
      </c>
      <c r="BO3529" s="2"/>
      <c r="BP3529" s="2">
        <v>13</v>
      </c>
      <c r="BQ3529" s="2" t="s">
        <v>91</v>
      </c>
      <c r="BR3529" s="2"/>
      <c r="BS3529" s="3">
        <v>40417</v>
      </c>
      <c r="BT3529" s="4">
        <v>0.50626157407407402</v>
      </c>
    </row>
    <row r="3530" spans="1:72" x14ac:dyDescent="0.25">
      <c r="A3530" s="2">
        <v>5198</v>
      </c>
      <c r="B3530" s="2">
        <v>2010</v>
      </c>
      <c r="C3530" s="2" t="s">
        <v>196</v>
      </c>
      <c r="D3530" s="2" t="s">
        <v>122</v>
      </c>
      <c r="E3530" s="2"/>
      <c r="F3530" s="2">
        <v>1</v>
      </c>
      <c r="G3530" s="2" t="s">
        <v>82</v>
      </c>
      <c r="H3530" s="2">
        <v>1</v>
      </c>
      <c r="I3530" s="2" t="s">
        <v>82</v>
      </c>
      <c r="J3530" s="2">
        <v>1</v>
      </c>
      <c r="K3530" s="2" t="s">
        <v>107</v>
      </c>
      <c r="L3530" s="2" t="s">
        <v>107</v>
      </c>
      <c r="M3530" s="3">
        <v>40417</v>
      </c>
      <c r="N3530" s="2" t="s">
        <v>82</v>
      </c>
      <c r="O3530" s="2" t="s">
        <v>82</v>
      </c>
      <c r="P3530" s="2" t="s">
        <v>82</v>
      </c>
      <c r="Q3530" s="2" t="str">
        <f>"N/C"</f>
        <v>N/C</v>
      </c>
      <c r="R3530" s="2" t="s">
        <v>82</v>
      </c>
      <c r="S3530" s="2" t="s">
        <v>82</v>
      </c>
      <c r="T3530" s="2">
        <v>2</v>
      </c>
      <c r="U3530" s="2" t="s">
        <v>123</v>
      </c>
      <c r="V3530" s="2">
        <v>1</v>
      </c>
      <c r="W3530" s="2" t="s">
        <v>80</v>
      </c>
      <c r="X3530" s="2">
        <v>11</v>
      </c>
      <c r="Y3530" s="2" t="s">
        <v>1920</v>
      </c>
      <c r="Z3530" s="2">
        <v>4</v>
      </c>
      <c r="AA3530" s="2" t="s">
        <v>182</v>
      </c>
      <c r="AB3530" s="2">
        <v>9</v>
      </c>
      <c r="AC3530" s="2" t="s">
        <v>124</v>
      </c>
      <c r="AD3530" s="3">
        <v>40417</v>
      </c>
      <c r="AE3530" s="4">
        <v>0.33333333333333331</v>
      </c>
      <c r="AF3530" s="2"/>
      <c r="AG3530" s="2"/>
      <c r="AH3530" s="2">
        <v>5</v>
      </c>
      <c r="AI3530" s="2" t="s">
        <v>274</v>
      </c>
      <c r="AJ3530" s="2">
        <v>45</v>
      </c>
      <c r="AK3530" s="2" t="s">
        <v>834</v>
      </c>
      <c r="AL3530" s="2">
        <v>10</v>
      </c>
      <c r="AM3530" s="2" t="s">
        <v>200</v>
      </c>
      <c r="AN3530" s="2" t="s">
        <v>230</v>
      </c>
      <c r="AO3530" s="2" t="s">
        <v>11300</v>
      </c>
      <c r="AP3530" s="2">
        <v>11</v>
      </c>
      <c r="AQ3530" s="2" t="s">
        <v>82</v>
      </c>
      <c r="AR3530" s="2" t="s">
        <v>82</v>
      </c>
      <c r="AS3530" s="2" t="s">
        <v>82</v>
      </c>
      <c r="AT3530" s="2" t="s">
        <v>11301</v>
      </c>
      <c r="AU3530" s="2"/>
      <c r="AV3530" s="2"/>
      <c r="AW3530" s="2"/>
      <c r="AX3530" s="2"/>
      <c r="AY3530" s="2">
        <v>1</v>
      </c>
      <c r="AZ3530" s="2" t="s">
        <v>107</v>
      </c>
      <c r="BA3530" s="2">
        <v>1</v>
      </c>
      <c r="BB3530" s="2" t="s">
        <v>107</v>
      </c>
      <c r="BC3530" s="2">
        <v>1</v>
      </c>
      <c r="BD3530" s="2" t="s">
        <v>107</v>
      </c>
      <c r="BE3530" s="2">
        <v>42</v>
      </c>
      <c r="BF3530" s="2" t="s">
        <v>182</v>
      </c>
      <c r="BG3530" s="2" t="s">
        <v>265</v>
      </c>
      <c r="BH3530" s="4">
        <v>0.51388888888888895</v>
      </c>
      <c r="BI3530" s="2"/>
      <c r="BJ3530" s="2">
        <v>13</v>
      </c>
      <c r="BK3530" s="2" t="s">
        <v>91</v>
      </c>
      <c r="BL3530" s="2" t="s">
        <v>534</v>
      </c>
      <c r="BM3530" s="2">
        <v>13</v>
      </c>
      <c r="BN3530" s="2" t="s">
        <v>91</v>
      </c>
      <c r="BO3530" s="2" t="s">
        <v>1705</v>
      </c>
      <c r="BP3530" s="2">
        <v>13</v>
      </c>
      <c r="BQ3530" s="2" t="s">
        <v>91</v>
      </c>
      <c r="BR3530" s="2" t="s">
        <v>534</v>
      </c>
      <c r="BS3530" s="3">
        <v>40417</v>
      </c>
      <c r="BT3530" s="4">
        <v>0.53142361111111114</v>
      </c>
    </row>
    <row r="3531" spans="1:72" x14ac:dyDescent="0.25">
      <c r="A3531" s="2">
        <v>5199</v>
      </c>
      <c r="B3531" s="2">
        <v>2010</v>
      </c>
      <c r="C3531" s="2" t="s">
        <v>72</v>
      </c>
      <c r="D3531" s="2" t="s">
        <v>73</v>
      </c>
      <c r="E3531" s="2"/>
      <c r="F3531" s="2">
        <v>389</v>
      </c>
      <c r="G3531" s="2" t="s">
        <v>1819</v>
      </c>
      <c r="H3531" s="2">
        <v>4</v>
      </c>
      <c r="I3531" s="2" t="s">
        <v>173</v>
      </c>
      <c r="J3531" s="2">
        <v>399</v>
      </c>
      <c r="K3531" s="2" t="s">
        <v>1820</v>
      </c>
      <c r="L3531" s="2" t="s">
        <v>1821</v>
      </c>
      <c r="M3531" s="3">
        <v>40417</v>
      </c>
      <c r="N3531" s="2" t="s">
        <v>2621</v>
      </c>
      <c r="O3531" s="2" t="s">
        <v>82</v>
      </c>
      <c r="P3531" s="2" t="s">
        <v>11302</v>
      </c>
      <c r="Q3531" s="2" t="str">
        <f>"440-E/10"</f>
        <v>440-E/10</v>
      </c>
      <c r="R3531" s="2" t="s">
        <v>601</v>
      </c>
      <c r="S3531" s="2" t="s">
        <v>601</v>
      </c>
      <c r="T3531" s="2">
        <v>1</v>
      </c>
      <c r="U3531" s="2" t="s">
        <v>79</v>
      </c>
      <c r="V3531" s="2">
        <v>1</v>
      </c>
      <c r="W3531" s="2" t="s">
        <v>80</v>
      </c>
      <c r="X3531" s="2">
        <v>12</v>
      </c>
      <c r="Y3531" s="2" t="s">
        <v>148</v>
      </c>
      <c r="Z3531" s="2">
        <v>1</v>
      </c>
      <c r="AA3531" s="2" t="s">
        <v>82</v>
      </c>
      <c r="AB3531" s="2">
        <v>6</v>
      </c>
      <c r="AC3531" s="2" t="s">
        <v>83</v>
      </c>
      <c r="AD3531" s="3">
        <v>40417</v>
      </c>
      <c r="AE3531" s="4">
        <v>0.3263888888888889</v>
      </c>
      <c r="AF3531" s="3">
        <v>40417</v>
      </c>
      <c r="AG3531" s="4">
        <v>0.37847222222222227</v>
      </c>
      <c r="AH3531" s="2">
        <v>2</v>
      </c>
      <c r="AI3531" s="2" t="s">
        <v>84</v>
      </c>
      <c r="AJ3531" s="2">
        <v>9</v>
      </c>
      <c r="AK3531" s="2" t="s">
        <v>103</v>
      </c>
      <c r="AL3531" s="2">
        <v>22</v>
      </c>
      <c r="AM3531" s="2" t="s">
        <v>1853</v>
      </c>
      <c r="AN3531" s="2" t="s">
        <v>11303</v>
      </c>
      <c r="AO3531" s="2" t="s">
        <v>10782</v>
      </c>
      <c r="AP3531" s="2">
        <v>11</v>
      </c>
      <c r="AQ3531" s="2" t="s">
        <v>82</v>
      </c>
      <c r="AR3531" s="2" t="s">
        <v>82</v>
      </c>
      <c r="AS3531" s="2" t="s">
        <v>82</v>
      </c>
      <c r="AT3531" s="2" t="s">
        <v>11304</v>
      </c>
      <c r="AU3531" s="2"/>
      <c r="AV3531" s="2"/>
      <c r="AW3531" s="2"/>
      <c r="AX3531" s="2"/>
      <c r="AY3531" s="2">
        <v>41</v>
      </c>
      <c r="AZ3531" s="2" t="s">
        <v>82</v>
      </c>
      <c r="BA3531" s="2">
        <v>41</v>
      </c>
      <c r="BB3531" s="2" t="s">
        <v>82</v>
      </c>
      <c r="BC3531" s="2">
        <v>41</v>
      </c>
      <c r="BD3531" s="2" t="s">
        <v>82</v>
      </c>
      <c r="BE3531" s="2">
        <v>31</v>
      </c>
      <c r="BF3531" s="2" t="s">
        <v>398</v>
      </c>
      <c r="BG3531" s="2" t="s">
        <v>1430</v>
      </c>
      <c r="BH3531" s="4">
        <v>0.3263888888888889</v>
      </c>
      <c r="BI3531" s="4">
        <v>0</v>
      </c>
      <c r="BJ3531" s="2">
        <v>73</v>
      </c>
      <c r="BK3531" s="2" t="s">
        <v>186</v>
      </c>
      <c r="BL3531" s="2" t="s">
        <v>187</v>
      </c>
      <c r="BM3531" s="2">
        <v>241</v>
      </c>
      <c r="BN3531" s="2" t="s">
        <v>82</v>
      </c>
      <c r="BO3531" s="2" t="s">
        <v>82</v>
      </c>
      <c r="BP3531" s="2">
        <v>13</v>
      </c>
      <c r="BQ3531" s="2" t="s">
        <v>91</v>
      </c>
      <c r="BR3531" s="2" t="s">
        <v>360</v>
      </c>
      <c r="BS3531" s="3">
        <v>40417</v>
      </c>
      <c r="BT3531" s="4">
        <v>0.55033564814814817</v>
      </c>
    </row>
    <row r="3532" spans="1:72" x14ac:dyDescent="0.25">
      <c r="A3532" s="2">
        <v>5202</v>
      </c>
      <c r="B3532" s="2">
        <v>2010</v>
      </c>
      <c r="C3532" s="2" t="s">
        <v>4543</v>
      </c>
      <c r="D3532" s="2" t="s">
        <v>122</v>
      </c>
      <c r="E3532" s="2"/>
      <c r="F3532" s="2">
        <v>117</v>
      </c>
      <c r="G3532" s="2" t="s">
        <v>3284</v>
      </c>
      <c r="H3532" s="2">
        <v>23</v>
      </c>
      <c r="I3532" s="2" t="s">
        <v>422</v>
      </c>
      <c r="J3532" s="2">
        <v>134</v>
      </c>
      <c r="K3532" s="2" t="s">
        <v>3285</v>
      </c>
      <c r="L3532" s="2" t="s">
        <v>3286</v>
      </c>
      <c r="M3532" s="3">
        <v>40417</v>
      </c>
      <c r="N3532" s="2" t="s">
        <v>11305</v>
      </c>
      <c r="O3532" s="2" t="s">
        <v>11306</v>
      </c>
      <c r="P3532" s="2" t="s">
        <v>11307</v>
      </c>
      <c r="Q3532" s="2" t="str">
        <f>"05/08"</f>
        <v>05/08</v>
      </c>
      <c r="R3532" s="2" t="s">
        <v>11308</v>
      </c>
      <c r="S3532" s="2" t="s">
        <v>11309</v>
      </c>
      <c r="T3532" s="2">
        <v>2</v>
      </c>
      <c r="U3532" s="2" t="s">
        <v>123</v>
      </c>
      <c r="V3532" s="2">
        <v>1</v>
      </c>
      <c r="W3532" s="2" t="s">
        <v>80</v>
      </c>
      <c r="X3532" s="2">
        <v>5</v>
      </c>
      <c r="Y3532" s="2" t="s">
        <v>82</v>
      </c>
      <c r="Z3532" s="2">
        <v>1</v>
      </c>
      <c r="AA3532" s="2" t="s">
        <v>82</v>
      </c>
      <c r="AB3532" s="2">
        <v>9</v>
      </c>
      <c r="AC3532" s="2" t="s">
        <v>124</v>
      </c>
      <c r="AD3532" s="3">
        <v>40417</v>
      </c>
      <c r="AE3532" s="4">
        <v>0.53125</v>
      </c>
      <c r="AF3532" s="2"/>
      <c r="AG3532" s="2"/>
      <c r="AH3532" s="2">
        <v>6</v>
      </c>
      <c r="AI3532" s="2" t="s">
        <v>197</v>
      </c>
      <c r="AJ3532" s="2">
        <v>59</v>
      </c>
      <c r="AK3532" s="2" t="s">
        <v>198</v>
      </c>
      <c r="AL3532" s="2">
        <v>18</v>
      </c>
      <c r="AM3532" s="2" t="s">
        <v>82</v>
      </c>
      <c r="AN3532" s="2" t="s">
        <v>82</v>
      </c>
      <c r="AO3532" s="2" t="s">
        <v>82</v>
      </c>
      <c r="AP3532" s="2">
        <v>11</v>
      </c>
      <c r="AQ3532" s="2" t="s">
        <v>82</v>
      </c>
      <c r="AR3532" s="2" t="s">
        <v>82</v>
      </c>
      <c r="AS3532" s="2"/>
      <c r="AT3532" s="2" t="s">
        <v>11310</v>
      </c>
      <c r="AU3532" s="2"/>
      <c r="AV3532" s="2"/>
      <c r="AW3532" s="2"/>
      <c r="AX3532" s="2"/>
      <c r="AY3532" s="2">
        <v>1</v>
      </c>
      <c r="AZ3532" s="2" t="s">
        <v>107</v>
      </c>
      <c r="BA3532" s="2">
        <v>1</v>
      </c>
      <c r="BB3532" s="2" t="s">
        <v>107</v>
      </c>
      <c r="BC3532" s="2">
        <v>1</v>
      </c>
      <c r="BD3532" s="2" t="s">
        <v>107</v>
      </c>
      <c r="BE3532" s="2">
        <v>1</v>
      </c>
      <c r="BF3532" s="2" t="s">
        <v>107</v>
      </c>
      <c r="BG3532" s="2"/>
      <c r="BH3532" s="2"/>
      <c r="BI3532" s="2"/>
      <c r="BJ3532" s="2">
        <v>242</v>
      </c>
      <c r="BK3532" s="2" t="s">
        <v>107</v>
      </c>
      <c r="BL3532" s="2"/>
      <c r="BM3532" s="2">
        <v>242</v>
      </c>
      <c r="BN3532" s="2" t="s">
        <v>107</v>
      </c>
      <c r="BO3532" s="2"/>
      <c r="BP3532" s="2">
        <v>242</v>
      </c>
      <c r="BQ3532" s="2" t="s">
        <v>107</v>
      </c>
      <c r="BR3532" s="2"/>
      <c r="BS3532" s="3">
        <v>40417</v>
      </c>
      <c r="BT3532" s="4">
        <v>0.61336805555555551</v>
      </c>
    </row>
    <row r="3533" spans="1:72" x14ac:dyDescent="0.25">
      <c r="A3533" s="2">
        <v>5206</v>
      </c>
      <c r="B3533" s="2">
        <v>2010</v>
      </c>
      <c r="C3533" s="2" t="s">
        <v>4543</v>
      </c>
      <c r="D3533" s="2" t="s">
        <v>122</v>
      </c>
      <c r="E3533" s="2"/>
      <c r="F3533" s="2">
        <v>117</v>
      </c>
      <c r="G3533" s="2" t="s">
        <v>3284</v>
      </c>
      <c r="H3533" s="2">
        <v>2</v>
      </c>
      <c r="I3533" s="2" t="s">
        <v>267</v>
      </c>
      <c r="J3533" s="2">
        <v>134</v>
      </c>
      <c r="K3533" s="2" t="s">
        <v>3285</v>
      </c>
      <c r="L3533" s="2" t="s">
        <v>3286</v>
      </c>
      <c r="M3533" s="3">
        <v>40417</v>
      </c>
      <c r="N3533" s="2" t="s">
        <v>5837</v>
      </c>
      <c r="O3533" s="2" t="s">
        <v>11311</v>
      </c>
      <c r="P3533" s="2" t="s">
        <v>11307</v>
      </c>
      <c r="Q3533" s="2" t="str">
        <f>"05/08"</f>
        <v>05/08</v>
      </c>
      <c r="R3533" s="2" t="s">
        <v>82</v>
      </c>
      <c r="S3533" s="2" t="s">
        <v>11312</v>
      </c>
      <c r="T3533" s="2">
        <v>2</v>
      </c>
      <c r="U3533" s="2" t="s">
        <v>123</v>
      </c>
      <c r="V3533" s="2">
        <v>1</v>
      </c>
      <c r="W3533" s="2" t="s">
        <v>80</v>
      </c>
      <c r="X3533" s="2">
        <v>5</v>
      </c>
      <c r="Y3533" s="2" t="s">
        <v>82</v>
      </c>
      <c r="Z3533" s="2">
        <v>1</v>
      </c>
      <c r="AA3533" s="2" t="s">
        <v>82</v>
      </c>
      <c r="AB3533" s="2">
        <v>9</v>
      </c>
      <c r="AC3533" s="2" t="s">
        <v>124</v>
      </c>
      <c r="AD3533" s="3">
        <v>40417</v>
      </c>
      <c r="AE3533" s="4">
        <v>0.53472222222222221</v>
      </c>
      <c r="AF3533" s="2"/>
      <c r="AG3533" s="2"/>
      <c r="AH3533" s="2">
        <v>6</v>
      </c>
      <c r="AI3533" s="2" t="s">
        <v>197</v>
      </c>
      <c r="AJ3533" s="2">
        <v>59</v>
      </c>
      <c r="AK3533" s="2" t="s">
        <v>198</v>
      </c>
      <c r="AL3533" s="2">
        <v>18</v>
      </c>
      <c r="AM3533" s="2" t="s">
        <v>82</v>
      </c>
      <c r="AN3533" s="2" t="s">
        <v>82</v>
      </c>
      <c r="AO3533" s="2" t="s">
        <v>82</v>
      </c>
      <c r="AP3533" s="2">
        <v>11</v>
      </c>
      <c r="AQ3533" s="2" t="s">
        <v>82</v>
      </c>
      <c r="AR3533" s="2"/>
      <c r="AS3533" s="2"/>
      <c r="AT3533" s="2" t="s">
        <v>11313</v>
      </c>
      <c r="AU3533" s="2"/>
      <c r="AV3533" s="2"/>
      <c r="AW3533" s="2"/>
      <c r="AX3533" s="2"/>
      <c r="AY3533" s="2">
        <v>1</v>
      </c>
      <c r="AZ3533" s="2" t="s">
        <v>107</v>
      </c>
      <c r="BA3533" s="2">
        <v>1</v>
      </c>
      <c r="BB3533" s="2" t="s">
        <v>107</v>
      </c>
      <c r="BC3533" s="2">
        <v>1</v>
      </c>
      <c r="BD3533" s="2" t="s">
        <v>107</v>
      </c>
      <c r="BE3533" s="2">
        <v>1</v>
      </c>
      <c r="BF3533" s="2" t="s">
        <v>107</v>
      </c>
      <c r="BG3533" s="2"/>
      <c r="BH3533" s="2"/>
      <c r="BI3533" s="2"/>
      <c r="BJ3533" s="2">
        <v>242</v>
      </c>
      <c r="BK3533" s="2" t="s">
        <v>107</v>
      </c>
      <c r="BL3533" s="2"/>
      <c r="BM3533" s="2">
        <v>242</v>
      </c>
      <c r="BN3533" s="2" t="s">
        <v>107</v>
      </c>
      <c r="BO3533" s="2"/>
      <c r="BP3533" s="2">
        <v>242</v>
      </c>
      <c r="BQ3533" s="2" t="s">
        <v>107</v>
      </c>
      <c r="BR3533" s="2"/>
      <c r="BS3533" s="3">
        <v>40417</v>
      </c>
      <c r="BT3533" s="4">
        <v>0.6564699074074074</v>
      </c>
    </row>
    <row r="3534" spans="1:72" x14ac:dyDescent="0.25">
      <c r="A3534" s="2">
        <v>5208</v>
      </c>
      <c r="B3534" s="2">
        <v>2010</v>
      </c>
      <c r="C3534" s="2" t="s">
        <v>196</v>
      </c>
      <c r="D3534" s="2" t="s">
        <v>122</v>
      </c>
      <c r="E3534" s="2" t="s">
        <v>11314</v>
      </c>
      <c r="F3534" s="2">
        <v>1</v>
      </c>
      <c r="G3534" s="2" t="s">
        <v>82</v>
      </c>
      <c r="H3534" s="2">
        <v>1</v>
      </c>
      <c r="I3534" s="2" t="s">
        <v>82</v>
      </c>
      <c r="J3534" s="2">
        <v>1</v>
      </c>
      <c r="K3534" s="2" t="s">
        <v>107</v>
      </c>
      <c r="L3534" s="2" t="s">
        <v>107</v>
      </c>
      <c r="M3534" s="3">
        <v>40417</v>
      </c>
      <c r="N3534" s="2" t="s">
        <v>82</v>
      </c>
      <c r="O3534" s="2" t="s">
        <v>82</v>
      </c>
      <c r="P3534" s="2" t="s">
        <v>82</v>
      </c>
      <c r="Q3534" s="2" t="str">
        <f>"N/C"</f>
        <v>N/C</v>
      </c>
      <c r="R3534" s="2" t="s">
        <v>82</v>
      </c>
      <c r="S3534" s="2" t="s">
        <v>82</v>
      </c>
      <c r="T3534" s="2">
        <v>2</v>
      </c>
      <c r="U3534" s="2" t="s">
        <v>123</v>
      </c>
      <c r="V3534" s="2">
        <v>1</v>
      </c>
      <c r="W3534" s="2" t="s">
        <v>80</v>
      </c>
      <c r="X3534" s="2">
        <v>11</v>
      </c>
      <c r="Y3534" s="2" t="s">
        <v>1920</v>
      </c>
      <c r="Z3534" s="2">
        <v>1</v>
      </c>
      <c r="AA3534" s="2" t="s">
        <v>82</v>
      </c>
      <c r="AB3534" s="2">
        <v>9</v>
      </c>
      <c r="AC3534" s="2" t="s">
        <v>124</v>
      </c>
      <c r="AD3534" s="3">
        <v>40417</v>
      </c>
      <c r="AE3534" s="4">
        <v>0.33333333333333331</v>
      </c>
      <c r="AF3534" s="2"/>
      <c r="AG3534" s="2"/>
      <c r="AH3534" s="2">
        <v>5</v>
      </c>
      <c r="AI3534" s="2" t="s">
        <v>274</v>
      </c>
      <c r="AJ3534" s="2">
        <v>45</v>
      </c>
      <c r="AK3534" s="2" t="s">
        <v>834</v>
      </c>
      <c r="AL3534" s="2">
        <v>10</v>
      </c>
      <c r="AM3534" s="2" t="s">
        <v>200</v>
      </c>
      <c r="AN3534" s="2" t="s">
        <v>230</v>
      </c>
      <c r="AO3534" s="2" t="s">
        <v>11300</v>
      </c>
      <c r="AP3534" s="2">
        <v>11</v>
      </c>
      <c r="AQ3534" s="2" t="s">
        <v>82</v>
      </c>
      <c r="AR3534" s="2" t="s">
        <v>82</v>
      </c>
      <c r="AS3534" s="2" t="s">
        <v>82</v>
      </c>
      <c r="AT3534" s="2" t="s">
        <v>11315</v>
      </c>
      <c r="AU3534" s="2"/>
      <c r="AV3534" s="2"/>
      <c r="AW3534" s="2"/>
      <c r="AX3534" s="2"/>
      <c r="AY3534" s="2">
        <v>1</v>
      </c>
      <c r="AZ3534" s="2" t="s">
        <v>107</v>
      </c>
      <c r="BA3534" s="2">
        <v>1</v>
      </c>
      <c r="BB3534" s="2" t="s">
        <v>107</v>
      </c>
      <c r="BC3534" s="2">
        <v>1</v>
      </c>
      <c r="BD3534" s="2" t="s">
        <v>107</v>
      </c>
      <c r="BE3534" s="2">
        <v>42</v>
      </c>
      <c r="BF3534" s="2" t="s">
        <v>182</v>
      </c>
      <c r="BG3534" s="2" t="s">
        <v>265</v>
      </c>
      <c r="BH3534" s="4">
        <v>0.51388888888888895</v>
      </c>
      <c r="BI3534" s="4">
        <v>0.67708333333333337</v>
      </c>
      <c r="BJ3534" s="2">
        <v>13</v>
      </c>
      <c r="BK3534" s="2" t="s">
        <v>91</v>
      </c>
      <c r="BL3534" s="2" t="s">
        <v>534</v>
      </c>
      <c r="BM3534" s="2">
        <v>13</v>
      </c>
      <c r="BN3534" s="2" t="s">
        <v>91</v>
      </c>
      <c r="BO3534" s="2" t="s">
        <v>1705</v>
      </c>
      <c r="BP3534" s="2">
        <v>13</v>
      </c>
      <c r="BQ3534" s="2" t="s">
        <v>91</v>
      </c>
      <c r="BR3534" s="2" t="s">
        <v>534</v>
      </c>
      <c r="BS3534" s="3">
        <v>40417</v>
      </c>
      <c r="BT3534" s="4">
        <v>0.68759259259259264</v>
      </c>
    </row>
    <row r="3535" spans="1:72" x14ac:dyDescent="0.25">
      <c r="A3535" s="2">
        <v>5209</v>
      </c>
      <c r="B3535" s="2">
        <v>2010</v>
      </c>
      <c r="C3535" s="2" t="s">
        <v>171</v>
      </c>
      <c r="D3535" s="2" t="s">
        <v>122</v>
      </c>
      <c r="E3535" s="2" t="s">
        <v>11265</v>
      </c>
      <c r="F3535" s="2">
        <v>425</v>
      </c>
      <c r="G3535" s="2" t="s">
        <v>286</v>
      </c>
      <c r="H3535" s="2">
        <v>39</v>
      </c>
      <c r="I3535" s="2" t="s">
        <v>1117</v>
      </c>
      <c r="J3535" s="2">
        <v>310</v>
      </c>
      <c r="K3535" s="2" t="s">
        <v>288</v>
      </c>
      <c r="L3535" s="2" t="s">
        <v>289</v>
      </c>
      <c r="M3535" s="3">
        <v>40417</v>
      </c>
      <c r="N3535" s="2" t="s">
        <v>1882</v>
      </c>
      <c r="O3535" s="2" t="s">
        <v>11243</v>
      </c>
      <c r="P3535" s="2" t="s">
        <v>1688</v>
      </c>
      <c r="Q3535" s="2" t="str">
        <f>"101"</f>
        <v>101</v>
      </c>
      <c r="R3535" s="2" t="s">
        <v>318</v>
      </c>
      <c r="S3535" s="2"/>
      <c r="T3535" s="2">
        <v>1</v>
      </c>
      <c r="U3535" s="2" t="s">
        <v>79</v>
      </c>
      <c r="V3535" s="2">
        <v>3</v>
      </c>
      <c r="W3535" s="2" t="s">
        <v>225</v>
      </c>
      <c r="X3535" s="2">
        <v>5</v>
      </c>
      <c r="Y3535" s="2" t="s">
        <v>82</v>
      </c>
      <c r="Z3535" s="2">
        <v>1</v>
      </c>
      <c r="AA3535" s="2" t="s">
        <v>82</v>
      </c>
      <c r="AB3535" s="2">
        <v>9</v>
      </c>
      <c r="AC3535" s="2" t="s">
        <v>124</v>
      </c>
      <c r="AD3535" s="2"/>
      <c r="AE3535" s="2"/>
      <c r="AF3535" s="2"/>
      <c r="AG3535" s="2"/>
      <c r="AH3535" s="2">
        <v>4</v>
      </c>
      <c r="AI3535" s="2" t="s">
        <v>125</v>
      </c>
      <c r="AJ3535" s="2">
        <v>26</v>
      </c>
      <c r="AK3535" s="2" t="s">
        <v>293</v>
      </c>
      <c r="AL3535" s="2">
        <v>23</v>
      </c>
      <c r="AM3535" s="2" t="s">
        <v>251</v>
      </c>
      <c r="AN3535" s="2"/>
      <c r="AO3535" s="2"/>
      <c r="AP3535" s="2">
        <v>11</v>
      </c>
      <c r="AQ3535" s="2" t="s">
        <v>82</v>
      </c>
      <c r="AR3535" s="2"/>
      <c r="AS3535" s="2"/>
      <c r="AT3535" s="2" t="s">
        <v>11316</v>
      </c>
      <c r="AU3535" s="2"/>
      <c r="AV3535" s="2"/>
      <c r="AW3535" s="2"/>
      <c r="AX3535" s="2"/>
      <c r="AY3535" s="2">
        <v>1</v>
      </c>
      <c r="AZ3535" s="2" t="s">
        <v>107</v>
      </c>
      <c r="BA3535" s="2">
        <v>1</v>
      </c>
      <c r="BB3535" s="2" t="s">
        <v>107</v>
      </c>
      <c r="BC3535" s="2">
        <v>1</v>
      </c>
      <c r="BD3535" s="2" t="s">
        <v>107</v>
      </c>
      <c r="BE3535" s="2">
        <v>1</v>
      </c>
      <c r="BF3535" s="2" t="s">
        <v>107</v>
      </c>
      <c r="BG3535" s="2"/>
      <c r="BH3535" s="2"/>
      <c r="BI3535" s="2"/>
      <c r="BJ3535" s="2">
        <v>242</v>
      </c>
      <c r="BK3535" s="2" t="s">
        <v>107</v>
      </c>
      <c r="BL3535" s="2"/>
      <c r="BM3535" s="2">
        <v>242</v>
      </c>
      <c r="BN3535" s="2" t="s">
        <v>107</v>
      </c>
      <c r="BO3535" s="2"/>
      <c r="BP3535" s="2">
        <v>242</v>
      </c>
      <c r="BQ3535" s="2" t="s">
        <v>107</v>
      </c>
      <c r="BR3535" s="2"/>
      <c r="BS3535" s="3">
        <v>40417</v>
      </c>
      <c r="BT3535" s="4">
        <v>0.6909953703703704</v>
      </c>
    </row>
    <row r="3536" spans="1:72" x14ac:dyDescent="0.25">
      <c r="A3536" s="2">
        <v>5210</v>
      </c>
      <c r="B3536" s="2">
        <v>2010</v>
      </c>
      <c r="C3536" s="2" t="s">
        <v>121</v>
      </c>
      <c r="D3536" s="2" t="s">
        <v>122</v>
      </c>
      <c r="E3536" s="2"/>
      <c r="F3536" s="2">
        <v>1</v>
      </c>
      <c r="G3536" s="2" t="s">
        <v>82</v>
      </c>
      <c r="H3536" s="2">
        <v>1</v>
      </c>
      <c r="I3536" s="2" t="s">
        <v>82</v>
      </c>
      <c r="J3536" s="2">
        <v>1</v>
      </c>
      <c r="K3536" s="2" t="s">
        <v>107</v>
      </c>
      <c r="L3536" s="2" t="s">
        <v>107</v>
      </c>
      <c r="M3536" s="3">
        <v>40417</v>
      </c>
      <c r="N3536" s="2"/>
      <c r="O3536" s="2" t="s">
        <v>107</v>
      </c>
      <c r="P3536" s="2" t="s">
        <v>107</v>
      </c>
      <c r="Q3536" s="2" t="str">
        <f>""</f>
        <v/>
      </c>
      <c r="R3536" s="2"/>
      <c r="S3536" s="2"/>
      <c r="T3536" s="2">
        <v>2</v>
      </c>
      <c r="U3536" s="2" t="s">
        <v>123</v>
      </c>
      <c r="V3536" s="2">
        <v>1</v>
      </c>
      <c r="W3536" s="2" t="s">
        <v>80</v>
      </c>
      <c r="X3536" s="2">
        <v>11</v>
      </c>
      <c r="Y3536" s="2" t="s">
        <v>1920</v>
      </c>
      <c r="Z3536" s="2">
        <v>1</v>
      </c>
      <c r="AA3536" s="2" t="s">
        <v>82</v>
      </c>
      <c r="AB3536" s="2">
        <v>9</v>
      </c>
      <c r="AC3536" s="2" t="s">
        <v>124</v>
      </c>
      <c r="AD3536" s="3">
        <v>40417</v>
      </c>
      <c r="AE3536" s="2"/>
      <c r="AF3536" s="2"/>
      <c r="AG3536" s="2"/>
      <c r="AH3536" s="2">
        <v>3</v>
      </c>
      <c r="AI3536" s="2" t="s">
        <v>214</v>
      </c>
      <c r="AJ3536" s="2">
        <v>23</v>
      </c>
      <c r="AK3536" s="2" t="s">
        <v>851</v>
      </c>
      <c r="AL3536" s="2">
        <v>10</v>
      </c>
      <c r="AM3536" s="2" t="s">
        <v>200</v>
      </c>
      <c r="AN3536" s="2" t="s">
        <v>230</v>
      </c>
      <c r="AO3536" s="2"/>
      <c r="AP3536" s="2">
        <v>11</v>
      </c>
      <c r="AQ3536" s="2" t="s">
        <v>82</v>
      </c>
      <c r="AR3536" s="2"/>
      <c r="AS3536" s="2"/>
      <c r="AT3536" s="2" t="s">
        <v>11317</v>
      </c>
      <c r="AU3536" s="2"/>
      <c r="AV3536" s="2"/>
      <c r="AW3536" s="2"/>
      <c r="AX3536" s="2"/>
      <c r="AY3536" s="2">
        <v>41</v>
      </c>
      <c r="AZ3536" s="2" t="s">
        <v>82</v>
      </c>
      <c r="BA3536" s="2">
        <v>41</v>
      </c>
      <c r="BB3536" s="2" t="s">
        <v>82</v>
      </c>
      <c r="BC3536" s="2">
        <v>41</v>
      </c>
      <c r="BD3536" s="2" t="s">
        <v>82</v>
      </c>
      <c r="BE3536" s="2">
        <v>41</v>
      </c>
      <c r="BF3536" s="2" t="s">
        <v>82</v>
      </c>
      <c r="BG3536" s="2"/>
      <c r="BH3536" s="4">
        <v>0.65277777777777779</v>
      </c>
      <c r="BI3536" s="4">
        <v>0.5854166666666667</v>
      </c>
      <c r="BJ3536" s="2">
        <v>13</v>
      </c>
      <c r="BK3536" s="2" t="s">
        <v>91</v>
      </c>
      <c r="BL3536" s="2" t="s">
        <v>11291</v>
      </c>
      <c r="BM3536" s="2">
        <v>241</v>
      </c>
      <c r="BN3536" s="2" t="s">
        <v>82</v>
      </c>
      <c r="BO3536" s="2"/>
      <c r="BP3536" s="2">
        <v>13</v>
      </c>
      <c r="BQ3536" s="2" t="s">
        <v>91</v>
      </c>
      <c r="BR3536" s="2" t="s">
        <v>185</v>
      </c>
      <c r="BS3536" s="3">
        <v>40417</v>
      </c>
      <c r="BT3536" s="4">
        <v>0.70584490740740735</v>
      </c>
    </row>
    <row r="3537" spans="1:72" x14ac:dyDescent="0.25">
      <c r="A3537" s="2">
        <v>5211</v>
      </c>
      <c r="B3537" s="2">
        <v>2010</v>
      </c>
      <c r="C3537" s="2" t="s">
        <v>196</v>
      </c>
      <c r="D3537" s="2" t="s">
        <v>122</v>
      </c>
      <c r="E3537" s="2"/>
      <c r="F3537" s="2">
        <v>1</v>
      </c>
      <c r="G3537" s="2" t="s">
        <v>82</v>
      </c>
      <c r="H3537" s="2">
        <v>1</v>
      </c>
      <c r="I3537" s="2" t="s">
        <v>82</v>
      </c>
      <c r="J3537" s="2">
        <v>1</v>
      </c>
      <c r="K3537" s="2" t="s">
        <v>107</v>
      </c>
      <c r="L3537" s="2" t="s">
        <v>107</v>
      </c>
      <c r="M3537" s="3">
        <v>40417</v>
      </c>
      <c r="N3537" s="2"/>
      <c r="O3537" s="2"/>
      <c r="P3537" s="2"/>
      <c r="Q3537" s="2" t="str">
        <f>""</f>
        <v/>
      </c>
      <c r="R3537" s="2"/>
      <c r="S3537" s="2"/>
      <c r="T3537" s="2">
        <v>2</v>
      </c>
      <c r="U3537" s="2" t="s">
        <v>123</v>
      </c>
      <c r="V3537" s="2">
        <v>1</v>
      </c>
      <c r="W3537" s="2" t="s">
        <v>80</v>
      </c>
      <c r="X3537" s="2">
        <v>11</v>
      </c>
      <c r="Y3537" s="2" t="s">
        <v>1920</v>
      </c>
      <c r="Z3537" s="2">
        <v>10</v>
      </c>
      <c r="AA3537" s="2" t="s">
        <v>236</v>
      </c>
      <c r="AB3537" s="2">
        <v>9</v>
      </c>
      <c r="AC3537" s="2" t="s">
        <v>124</v>
      </c>
      <c r="AD3537" s="3">
        <v>40417</v>
      </c>
      <c r="AE3537" s="4">
        <v>0.69791666666666663</v>
      </c>
      <c r="AF3537" s="2"/>
      <c r="AG3537" s="2"/>
      <c r="AH3537" s="2">
        <v>2</v>
      </c>
      <c r="AI3537" s="2" t="s">
        <v>84</v>
      </c>
      <c r="AJ3537" s="2">
        <v>12</v>
      </c>
      <c r="AK3537" s="2" t="s">
        <v>85</v>
      </c>
      <c r="AL3537" s="2">
        <v>10</v>
      </c>
      <c r="AM3537" s="2" t="s">
        <v>200</v>
      </c>
      <c r="AN3537" s="2" t="s">
        <v>993</v>
      </c>
      <c r="AO3537" s="2"/>
      <c r="AP3537" s="2">
        <v>11</v>
      </c>
      <c r="AQ3537" s="2" t="s">
        <v>82</v>
      </c>
      <c r="AR3537" s="2"/>
      <c r="AS3537" s="2"/>
      <c r="AT3537" s="2" t="s">
        <v>11318</v>
      </c>
      <c r="AU3537" s="2"/>
      <c r="AV3537" s="2"/>
      <c r="AW3537" s="2"/>
      <c r="AX3537" s="2"/>
      <c r="AY3537" s="2">
        <v>41</v>
      </c>
      <c r="AZ3537" s="2" t="s">
        <v>82</v>
      </c>
      <c r="BA3537" s="2">
        <v>41</v>
      </c>
      <c r="BB3537" s="2" t="s">
        <v>82</v>
      </c>
      <c r="BC3537" s="2">
        <v>41</v>
      </c>
      <c r="BD3537" s="2" t="s">
        <v>82</v>
      </c>
      <c r="BE3537" s="2">
        <v>41</v>
      </c>
      <c r="BF3537" s="2" t="s">
        <v>82</v>
      </c>
      <c r="BG3537" s="2"/>
      <c r="BH3537" s="2"/>
      <c r="BI3537" s="2"/>
      <c r="BJ3537" s="2">
        <v>13</v>
      </c>
      <c r="BK3537" s="2" t="s">
        <v>91</v>
      </c>
      <c r="BL3537" s="2" t="s">
        <v>1705</v>
      </c>
      <c r="BM3537" s="2">
        <v>241</v>
      </c>
      <c r="BN3537" s="2" t="s">
        <v>82</v>
      </c>
      <c r="BO3537" s="2"/>
      <c r="BP3537" s="2">
        <v>13</v>
      </c>
      <c r="BQ3537" s="2" t="s">
        <v>91</v>
      </c>
      <c r="BR3537" s="2" t="s">
        <v>185</v>
      </c>
      <c r="BS3537" s="3">
        <v>40417</v>
      </c>
      <c r="BT3537" s="4">
        <v>0.7257407407407408</v>
      </c>
    </row>
    <row r="3538" spans="1:72" x14ac:dyDescent="0.25">
      <c r="A3538" s="2">
        <v>5214</v>
      </c>
      <c r="B3538" s="2">
        <v>2010</v>
      </c>
      <c r="C3538" s="2" t="s">
        <v>147</v>
      </c>
      <c r="D3538" s="2" t="s">
        <v>122</v>
      </c>
      <c r="E3538" s="2"/>
      <c r="F3538" s="2">
        <v>1</v>
      </c>
      <c r="G3538" s="2" t="s">
        <v>82</v>
      </c>
      <c r="H3538" s="2">
        <v>1</v>
      </c>
      <c r="I3538" s="2" t="s">
        <v>82</v>
      </c>
      <c r="J3538" s="2">
        <v>1</v>
      </c>
      <c r="K3538" s="2" t="s">
        <v>107</v>
      </c>
      <c r="L3538" s="2" t="s">
        <v>107</v>
      </c>
      <c r="M3538" s="3">
        <v>40417</v>
      </c>
      <c r="N3538" s="2" t="s">
        <v>82</v>
      </c>
      <c r="O3538" s="2" t="s">
        <v>82</v>
      </c>
      <c r="P3538" s="2" t="s">
        <v>82</v>
      </c>
      <c r="Q3538" s="2" t="str">
        <f>"N/C"</f>
        <v>N/C</v>
      </c>
      <c r="R3538" s="2" t="s">
        <v>82</v>
      </c>
      <c r="S3538" s="2" t="s">
        <v>82</v>
      </c>
      <c r="T3538" s="2">
        <v>2</v>
      </c>
      <c r="U3538" s="2" t="s">
        <v>123</v>
      </c>
      <c r="V3538" s="2">
        <v>1</v>
      </c>
      <c r="W3538" s="2" t="s">
        <v>80</v>
      </c>
      <c r="X3538" s="2">
        <v>5</v>
      </c>
      <c r="Y3538" s="2" t="s">
        <v>82</v>
      </c>
      <c r="Z3538" s="2">
        <v>10</v>
      </c>
      <c r="AA3538" s="2" t="s">
        <v>236</v>
      </c>
      <c r="AB3538" s="2">
        <v>9</v>
      </c>
      <c r="AC3538" s="2" t="s">
        <v>124</v>
      </c>
      <c r="AD3538" s="2"/>
      <c r="AE3538" s="2"/>
      <c r="AF3538" s="3">
        <v>40417</v>
      </c>
      <c r="AG3538" s="4">
        <v>0.79166666666666663</v>
      </c>
      <c r="AH3538" s="2">
        <v>6</v>
      </c>
      <c r="AI3538" s="2" t="s">
        <v>197</v>
      </c>
      <c r="AJ3538" s="2">
        <v>61</v>
      </c>
      <c r="AK3538" s="2" t="s">
        <v>686</v>
      </c>
      <c r="AL3538" s="2">
        <v>19</v>
      </c>
      <c r="AM3538" s="2" t="s">
        <v>107</v>
      </c>
      <c r="AN3538" s="2" t="s">
        <v>107</v>
      </c>
      <c r="AO3538" s="2" t="s">
        <v>107</v>
      </c>
      <c r="AP3538" s="2">
        <v>11</v>
      </c>
      <c r="AQ3538" s="2" t="s">
        <v>82</v>
      </c>
      <c r="AR3538" s="2" t="s">
        <v>82</v>
      </c>
      <c r="AS3538" s="2" t="s">
        <v>82</v>
      </c>
      <c r="AT3538" s="2" t="s">
        <v>11319</v>
      </c>
      <c r="AU3538" s="2"/>
      <c r="AV3538" s="2"/>
      <c r="AW3538" s="2"/>
      <c r="AX3538" s="2"/>
      <c r="AY3538" s="2">
        <v>41</v>
      </c>
      <c r="AZ3538" s="2" t="s">
        <v>82</v>
      </c>
      <c r="BA3538" s="2">
        <v>66</v>
      </c>
      <c r="BB3538" s="2" t="s">
        <v>11320</v>
      </c>
      <c r="BC3538" s="2">
        <v>66</v>
      </c>
      <c r="BD3538" s="2" t="s">
        <v>11320</v>
      </c>
      <c r="BE3538" s="2">
        <v>41</v>
      </c>
      <c r="BF3538" s="2" t="s">
        <v>82</v>
      </c>
      <c r="BG3538" s="2" t="s">
        <v>82</v>
      </c>
      <c r="BH3538" s="2"/>
      <c r="BI3538" s="2"/>
      <c r="BJ3538" s="2">
        <v>241</v>
      </c>
      <c r="BK3538" s="2" t="s">
        <v>82</v>
      </c>
      <c r="BL3538" s="2" t="s">
        <v>82</v>
      </c>
      <c r="BM3538" s="2">
        <v>241</v>
      </c>
      <c r="BN3538" s="2" t="s">
        <v>82</v>
      </c>
      <c r="BO3538" s="2" t="s">
        <v>82</v>
      </c>
      <c r="BP3538" s="2">
        <v>241</v>
      </c>
      <c r="BQ3538" s="2" t="s">
        <v>82</v>
      </c>
      <c r="BR3538" s="2" t="s">
        <v>82</v>
      </c>
      <c r="BS3538" s="3">
        <v>40417</v>
      </c>
      <c r="BT3538" s="4">
        <v>0.80129629629629628</v>
      </c>
    </row>
    <row r="3539" spans="1:72" x14ac:dyDescent="0.25">
      <c r="A3539" s="2">
        <v>5215</v>
      </c>
      <c r="B3539" s="2">
        <v>2010</v>
      </c>
      <c r="C3539" s="2" t="s">
        <v>147</v>
      </c>
      <c r="D3539" s="2" t="s">
        <v>122</v>
      </c>
      <c r="E3539" s="2"/>
      <c r="F3539" s="2">
        <v>1</v>
      </c>
      <c r="G3539" s="2" t="s">
        <v>82</v>
      </c>
      <c r="H3539" s="2">
        <v>1</v>
      </c>
      <c r="I3539" s="2" t="s">
        <v>82</v>
      </c>
      <c r="J3539" s="2">
        <v>1</v>
      </c>
      <c r="K3539" s="2" t="s">
        <v>107</v>
      </c>
      <c r="L3539" s="2" t="s">
        <v>107</v>
      </c>
      <c r="M3539" s="3">
        <v>40417</v>
      </c>
      <c r="N3539" s="2" t="s">
        <v>82</v>
      </c>
      <c r="O3539" s="2" t="s">
        <v>82</v>
      </c>
      <c r="P3539" s="2" t="s">
        <v>82</v>
      </c>
      <c r="Q3539" s="2" t="str">
        <f>"N/C"</f>
        <v>N/C</v>
      </c>
      <c r="R3539" s="2" t="s">
        <v>82</v>
      </c>
      <c r="S3539" s="2" t="s">
        <v>82</v>
      </c>
      <c r="T3539" s="2">
        <v>2</v>
      </c>
      <c r="U3539" s="2" t="s">
        <v>123</v>
      </c>
      <c r="V3539" s="2">
        <v>1</v>
      </c>
      <c r="W3539" s="2" t="s">
        <v>80</v>
      </c>
      <c r="X3539" s="2">
        <v>5</v>
      </c>
      <c r="Y3539" s="2" t="s">
        <v>82</v>
      </c>
      <c r="Z3539" s="2">
        <v>10</v>
      </c>
      <c r="AA3539" s="2" t="s">
        <v>236</v>
      </c>
      <c r="AB3539" s="2">
        <v>9</v>
      </c>
      <c r="AC3539" s="2" t="s">
        <v>124</v>
      </c>
      <c r="AD3539" s="2"/>
      <c r="AE3539" s="2"/>
      <c r="AF3539" s="3">
        <v>40417</v>
      </c>
      <c r="AG3539" s="4">
        <v>0.79861111111111116</v>
      </c>
      <c r="AH3539" s="2">
        <v>6</v>
      </c>
      <c r="AI3539" s="2" t="s">
        <v>197</v>
      </c>
      <c r="AJ3539" s="2">
        <v>61</v>
      </c>
      <c r="AK3539" s="2" t="s">
        <v>686</v>
      </c>
      <c r="AL3539" s="2">
        <v>19</v>
      </c>
      <c r="AM3539" s="2" t="s">
        <v>107</v>
      </c>
      <c r="AN3539" s="2" t="s">
        <v>107</v>
      </c>
      <c r="AO3539" s="2" t="s">
        <v>107</v>
      </c>
      <c r="AP3539" s="2">
        <v>11</v>
      </c>
      <c r="AQ3539" s="2" t="s">
        <v>82</v>
      </c>
      <c r="AR3539" s="2" t="s">
        <v>82</v>
      </c>
      <c r="AS3539" s="2" t="s">
        <v>82</v>
      </c>
      <c r="AT3539" s="2" t="s">
        <v>11321</v>
      </c>
      <c r="AU3539" s="2"/>
      <c r="AV3539" s="2"/>
      <c r="AW3539" s="2"/>
      <c r="AX3539" s="2"/>
      <c r="AY3539" s="2">
        <v>41</v>
      </c>
      <c r="AZ3539" s="2" t="s">
        <v>82</v>
      </c>
      <c r="BA3539" s="2">
        <v>13</v>
      </c>
      <c r="BB3539" s="2" t="s">
        <v>108</v>
      </c>
      <c r="BC3539" s="2">
        <v>13</v>
      </c>
      <c r="BD3539" s="2" t="s">
        <v>108</v>
      </c>
      <c r="BE3539" s="2">
        <v>41</v>
      </c>
      <c r="BF3539" s="2" t="s">
        <v>82</v>
      </c>
      <c r="BG3539" s="2" t="s">
        <v>107</v>
      </c>
      <c r="BH3539" s="2"/>
      <c r="BI3539" s="2"/>
      <c r="BJ3539" s="2">
        <v>241</v>
      </c>
      <c r="BK3539" s="2" t="s">
        <v>82</v>
      </c>
      <c r="BL3539" s="2" t="s">
        <v>82</v>
      </c>
      <c r="BM3539" s="2">
        <v>241</v>
      </c>
      <c r="BN3539" s="2" t="s">
        <v>82</v>
      </c>
      <c r="BO3539" s="2" t="s">
        <v>82</v>
      </c>
      <c r="BP3539" s="2">
        <v>241</v>
      </c>
      <c r="BQ3539" s="2" t="s">
        <v>82</v>
      </c>
      <c r="BR3539" s="2" t="s">
        <v>82</v>
      </c>
      <c r="BS3539" s="3">
        <v>40417</v>
      </c>
      <c r="BT3539" s="4">
        <v>0.82697916666666671</v>
      </c>
    </row>
    <row r="3540" spans="1:72" x14ac:dyDescent="0.25">
      <c r="A3540" s="2">
        <v>5216</v>
      </c>
      <c r="B3540" s="2">
        <v>2010</v>
      </c>
      <c r="C3540" s="2" t="s">
        <v>377</v>
      </c>
      <c r="D3540" s="2" t="s">
        <v>73</v>
      </c>
      <c r="E3540" s="2"/>
      <c r="F3540" s="2">
        <v>426</v>
      </c>
      <c r="G3540" s="2" t="s">
        <v>378</v>
      </c>
      <c r="H3540" s="2">
        <v>108</v>
      </c>
      <c r="I3540" s="2" t="s">
        <v>1096</v>
      </c>
      <c r="J3540" s="2">
        <v>311</v>
      </c>
      <c r="K3540" s="2" t="s">
        <v>379</v>
      </c>
      <c r="L3540" s="2" t="s">
        <v>380</v>
      </c>
      <c r="M3540" s="3">
        <v>40417</v>
      </c>
      <c r="N3540" s="2" t="s">
        <v>8941</v>
      </c>
      <c r="O3540" s="2"/>
      <c r="P3540" s="2"/>
      <c r="Q3540" s="2" t="str">
        <f>"226-C/10"</f>
        <v>226-C/10</v>
      </c>
      <c r="R3540" s="2" t="s">
        <v>5773</v>
      </c>
      <c r="S3540" s="2"/>
      <c r="T3540" s="2">
        <v>1</v>
      </c>
      <c r="U3540" s="2" t="s">
        <v>79</v>
      </c>
      <c r="V3540" s="2">
        <v>1</v>
      </c>
      <c r="W3540" s="2" t="s">
        <v>80</v>
      </c>
      <c r="X3540" s="2">
        <v>1</v>
      </c>
      <c r="Y3540" s="2" t="s">
        <v>81</v>
      </c>
      <c r="Z3540" s="2">
        <v>1</v>
      </c>
      <c r="AA3540" s="2" t="s">
        <v>82</v>
      </c>
      <c r="AB3540" s="2">
        <v>9</v>
      </c>
      <c r="AC3540" s="2" t="s">
        <v>124</v>
      </c>
      <c r="AD3540" s="3">
        <v>40417</v>
      </c>
      <c r="AE3540" s="4">
        <v>0.15625</v>
      </c>
      <c r="AF3540" s="2"/>
      <c r="AG3540" s="2"/>
      <c r="AH3540" s="2">
        <v>2</v>
      </c>
      <c r="AI3540" s="2" t="s">
        <v>84</v>
      </c>
      <c r="AJ3540" s="2">
        <v>9</v>
      </c>
      <c r="AK3540" s="2" t="s">
        <v>103</v>
      </c>
      <c r="AL3540" s="2">
        <v>29</v>
      </c>
      <c r="AM3540" s="2" t="s">
        <v>5416</v>
      </c>
      <c r="AN3540" s="2"/>
      <c r="AO3540" s="2" t="s">
        <v>9705</v>
      </c>
      <c r="AP3540" s="2">
        <v>11</v>
      </c>
      <c r="AQ3540" s="2" t="s">
        <v>82</v>
      </c>
      <c r="AR3540" s="2"/>
      <c r="AS3540" s="2"/>
      <c r="AT3540" s="2" t="s">
        <v>11322</v>
      </c>
      <c r="AU3540" s="2"/>
      <c r="AV3540" s="2"/>
      <c r="AW3540" s="2"/>
      <c r="AX3540" s="2"/>
      <c r="AY3540" s="2">
        <v>41</v>
      </c>
      <c r="AZ3540" s="2" t="s">
        <v>82</v>
      </c>
      <c r="BA3540" s="2">
        <v>41</v>
      </c>
      <c r="BB3540" s="2" t="s">
        <v>82</v>
      </c>
      <c r="BC3540" s="2">
        <v>41</v>
      </c>
      <c r="BD3540" s="2" t="s">
        <v>82</v>
      </c>
      <c r="BE3540" s="2">
        <v>41</v>
      </c>
      <c r="BF3540" s="2" t="s">
        <v>82</v>
      </c>
      <c r="BG3540" s="2"/>
      <c r="BH3540" s="2"/>
      <c r="BI3540" s="2"/>
      <c r="BJ3540" s="2">
        <v>241</v>
      </c>
      <c r="BK3540" s="2" t="s">
        <v>82</v>
      </c>
      <c r="BL3540" s="2"/>
      <c r="BM3540" s="2">
        <v>241</v>
      </c>
      <c r="BN3540" s="2" t="s">
        <v>82</v>
      </c>
      <c r="BO3540" s="2"/>
      <c r="BP3540" s="2">
        <v>241</v>
      </c>
      <c r="BQ3540" s="2" t="s">
        <v>82</v>
      </c>
      <c r="BR3540" s="2"/>
      <c r="BS3540" s="3">
        <v>40417</v>
      </c>
      <c r="BT3540" s="4">
        <v>0.85599537037037043</v>
      </c>
    </row>
    <row r="3541" spans="1:72" x14ac:dyDescent="0.25">
      <c r="A3541" s="2">
        <v>5217</v>
      </c>
      <c r="B3541" s="2">
        <v>2010</v>
      </c>
      <c r="C3541" s="2" t="s">
        <v>385</v>
      </c>
      <c r="D3541" s="2" t="s">
        <v>122</v>
      </c>
      <c r="E3541" s="2"/>
      <c r="F3541" s="2">
        <v>114</v>
      </c>
      <c r="G3541" s="2" t="s">
        <v>2817</v>
      </c>
      <c r="H3541" s="2">
        <v>99</v>
      </c>
      <c r="I3541" s="2" t="s">
        <v>6285</v>
      </c>
      <c r="J3541" s="2">
        <v>133</v>
      </c>
      <c r="K3541" s="2" t="s">
        <v>3844</v>
      </c>
      <c r="L3541" s="2" t="s">
        <v>3845</v>
      </c>
      <c r="M3541" s="3">
        <v>40417</v>
      </c>
      <c r="N3541" s="2" t="s">
        <v>11323</v>
      </c>
      <c r="O3541" s="2" t="s">
        <v>11324</v>
      </c>
      <c r="P3541" s="2" t="s">
        <v>11325</v>
      </c>
      <c r="Q3541" s="2" t="str">
        <f>""</f>
        <v/>
      </c>
      <c r="R3541" s="2"/>
      <c r="S3541" s="2"/>
      <c r="T3541" s="2">
        <v>1</v>
      </c>
      <c r="U3541" s="2" t="s">
        <v>79</v>
      </c>
      <c r="V3541" s="2">
        <v>1</v>
      </c>
      <c r="W3541" s="2" t="s">
        <v>80</v>
      </c>
      <c r="X3541" s="2">
        <v>4</v>
      </c>
      <c r="Y3541" s="2" t="s">
        <v>463</v>
      </c>
      <c r="Z3541" s="2">
        <v>1</v>
      </c>
      <c r="AA3541" s="2" t="s">
        <v>82</v>
      </c>
      <c r="AB3541" s="2">
        <v>9</v>
      </c>
      <c r="AC3541" s="2" t="s">
        <v>124</v>
      </c>
      <c r="AD3541" s="3">
        <v>40417</v>
      </c>
      <c r="AE3541" s="4">
        <v>0.72916666666666663</v>
      </c>
      <c r="AF3541" s="2"/>
      <c r="AG3541" s="2"/>
      <c r="AH3541" s="2">
        <v>5</v>
      </c>
      <c r="AI3541" s="2" t="s">
        <v>274</v>
      </c>
      <c r="AJ3541" s="2">
        <v>41</v>
      </c>
      <c r="AK3541" s="2" t="s">
        <v>2751</v>
      </c>
      <c r="AL3541" s="2">
        <v>25</v>
      </c>
      <c r="AM3541" s="2" t="s">
        <v>3073</v>
      </c>
      <c r="AN3541" s="2"/>
      <c r="AO3541" s="2"/>
      <c r="AP3541" s="2">
        <v>11</v>
      </c>
      <c r="AQ3541" s="2" t="s">
        <v>82</v>
      </c>
      <c r="AR3541" s="2"/>
      <c r="AS3541" s="2"/>
      <c r="AT3541" s="2" t="s">
        <v>11326</v>
      </c>
      <c r="AU3541" s="2"/>
      <c r="AV3541" s="2">
        <v>1</v>
      </c>
      <c r="AW3541" s="2"/>
      <c r="AX3541" s="2"/>
      <c r="AY3541" s="2">
        <v>41</v>
      </c>
      <c r="AZ3541" s="2" t="s">
        <v>82</v>
      </c>
      <c r="BA3541" s="2">
        <v>41</v>
      </c>
      <c r="BB3541" s="2" t="s">
        <v>82</v>
      </c>
      <c r="BC3541" s="2">
        <v>41</v>
      </c>
      <c r="BD3541" s="2" t="s">
        <v>82</v>
      </c>
      <c r="BE3541" s="2">
        <v>13</v>
      </c>
      <c r="BF3541" s="2" t="s">
        <v>108</v>
      </c>
      <c r="BG3541" s="2">
        <v>1713</v>
      </c>
      <c r="BH3541" s="4">
        <v>0.72777777777777775</v>
      </c>
      <c r="BI3541" s="4">
        <v>0.76944444444444438</v>
      </c>
      <c r="BJ3541" s="2">
        <v>13</v>
      </c>
      <c r="BK3541" s="2" t="s">
        <v>91</v>
      </c>
      <c r="BL3541" s="2" t="s">
        <v>185</v>
      </c>
      <c r="BM3541" s="2">
        <v>13</v>
      </c>
      <c r="BN3541" s="2" t="s">
        <v>91</v>
      </c>
      <c r="BO3541" s="2" t="s">
        <v>4062</v>
      </c>
      <c r="BP3541" s="2">
        <v>13</v>
      </c>
      <c r="BQ3541" s="2" t="s">
        <v>91</v>
      </c>
      <c r="BR3541" s="2" t="s">
        <v>185</v>
      </c>
      <c r="BS3541" s="3">
        <v>40417</v>
      </c>
      <c r="BT3541" s="4">
        <v>0.88814814814814813</v>
      </c>
    </row>
    <row r="3542" spans="1:72" x14ac:dyDescent="0.25">
      <c r="A3542" s="2">
        <v>5218</v>
      </c>
      <c r="B3542" s="2">
        <v>2010</v>
      </c>
      <c r="C3542" s="2" t="s">
        <v>2219</v>
      </c>
      <c r="D3542" s="2" t="s">
        <v>73</v>
      </c>
      <c r="E3542" s="2"/>
      <c r="F3542" s="2">
        <v>21</v>
      </c>
      <c r="G3542" s="2" t="s">
        <v>6213</v>
      </c>
      <c r="H3542" s="2">
        <v>99</v>
      </c>
      <c r="I3542" s="2" t="s">
        <v>6285</v>
      </c>
      <c r="J3542" s="2">
        <v>29</v>
      </c>
      <c r="K3542" s="2" t="s">
        <v>2533</v>
      </c>
      <c r="L3542" s="2" t="s">
        <v>2534</v>
      </c>
      <c r="M3542" s="3">
        <v>40417</v>
      </c>
      <c r="N3542" s="2" t="s">
        <v>10172</v>
      </c>
      <c r="O3542" s="2" t="s">
        <v>4173</v>
      </c>
      <c r="P3542" s="2"/>
      <c r="Q3542" s="2" t="str">
        <f>"0006/10"</f>
        <v>0006/10</v>
      </c>
      <c r="R3542" s="2" t="s">
        <v>11327</v>
      </c>
      <c r="S3542" s="2"/>
      <c r="T3542" s="2">
        <v>1</v>
      </c>
      <c r="U3542" s="2" t="s">
        <v>79</v>
      </c>
      <c r="V3542" s="2">
        <v>1</v>
      </c>
      <c r="W3542" s="2" t="s">
        <v>80</v>
      </c>
      <c r="X3542" s="2">
        <v>1</v>
      </c>
      <c r="Y3542" s="2" t="s">
        <v>81</v>
      </c>
      <c r="Z3542" s="2">
        <v>1</v>
      </c>
      <c r="AA3542" s="2" t="s">
        <v>82</v>
      </c>
      <c r="AB3542" s="2">
        <v>9</v>
      </c>
      <c r="AC3542" s="2" t="s">
        <v>124</v>
      </c>
      <c r="AD3542" s="3">
        <v>40417</v>
      </c>
      <c r="AE3542" s="4">
        <v>0.63194444444444442</v>
      </c>
      <c r="AF3542" s="2"/>
      <c r="AG3542" s="2"/>
      <c r="AH3542" s="2">
        <v>4</v>
      </c>
      <c r="AI3542" s="2" t="s">
        <v>125</v>
      </c>
      <c r="AJ3542" s="2">
        <v>33</v>
      </c>
      <c r="AK3542" s="2" t="s">
        <v>126</v>
      </c>
      <c r="AL3542" s="2">
        <v>29</v>
      </c>
      <c r="AM3542" s="2" t="s">
        <v>5416</v>
      </c>
      <c r="AN3542" s="2"/>
      <c r="AO3542" s="2"/>
      <c r="AP3542" s="2">
        <v>11</v>
      </c>
      <c r="AQ3542" s="2" t="s">
        <v>82</v>
      </c>
      <c r="AR3542" s="2"/>
      <c r="AS3542" s="2"/>
      <c r="AT3542" s="2" t="s">
        <v>11328</v>
      </c>
      <c r="AU3542" s="2">
        <v>1</v>
      </c>
      <c r="AV3542" s="2"/>
      <c r="AW3542" s="2"/>
      <c r="AX3542" s="2"/>
      <c r="AY3542" s="2">
        <v>1</v>
      </c>
      <c r="AZ3542" s="2" t="s">
        <v>107</v>
      </c>
      <c r="BA3542" s="2">
        <v>1</v>
      </c>
      <c r="BB3542" s="2" t="s">
        <v>107</v>
      </c>
      <c r="BC3542" s="2">
        <v>1</v>
      </c>
      <c r="BD3542" s="2" t="s">
        <v>107</v>
      </c>
      <c r="BE3542" s="2">
        <v>1</v>
      </c>
      <c r="BF3542" s="2" t="s">
        <v>107</v>
      </c>
      <c r="BG3542" s="2"/>
      <c r="BH3542" s="2"/>
      <c r="BI3542" s="2"/>
      <c r="BJ3542" s="2">
        <v>242</v>
      </c>
      <c r="BK3542" s="2" t="s">
        <v>107</v>
      </c>
      <c r="BL3542" s="2"/>
      <c r="BM3542" s="2">
        <v>242</v>
      </c>
      <c r="BN3542" s="2" t="s">
        <v>107</v>
      </c>
      <c r="BO3542" s="2"/>
      <c r="BP3542" s="2">
        <v>242</v>
      </c>
      <c r="BQ3542" s="2" t="s">
        <v>107</v>
      </c>
      <c r="BR3542" s="2"/>
      <c r="BS3542" s="3">
        <v>40417</v>
      </c>
      <c r="BT3542" s="4">
        <v>0.89291666666666669</v>
      </c>
    </row>
    <row r="3543" spans="1:72" x14ac:dyDescent="0.25">
      <c r="A3543" s="2">
        <v>5219</v>
      </c>
      <c r="B3543" s="2">
        <v>2010</v>
      </c>
      <c r="C3543" s="2" t="s">
        <v>377</v>
      </c>
      <c r="D3543" s="2" t="s">
        <v>73</v>
      </c>
      <c r="E3543" s="2"/>
      <c r="F3543" s="2">
        <v>426</v>
      </c>
      <c r="G3543" s="2" t="s">
        <v>378</v>
      </c>
      <c r="H3543" s="2">
        <v>42</v>
      </c>
      <c r="I3543" s="2" t="s">
        <v>1096</v>
      </c>
      <c r="J3543" s="2">
        <v>311</v>
      </c>
      <c r="K3543" s="2" t="s">
        <v>379</v>
      </c>
      <c r="L3543" s="2" t="s">
        <v>380</v>
      </c>
      <c r="M3543" s="3">
        <v>40417</v>
      </c>
      <c r="N3543" s="2" t="s">
        <v>4560</v>
      </c>
      <c r="O3543" s="2"/>
      <c r="P3543" s="2" t="s">
        <v>107</v>
      </c>
      <c r="Q3543" s="2" t="str">
        <f>"227-C/10"</f>
        <v>227-C/10</v>
      </c>
      <c r="R3543" s="2" t="s">
        <v>11329</v>
      </c>
      <c r="S3543" s="2"/>
      <c r="T3543" s="2">
        <v>1</v>
      </c>
      <c r="U3543" s="2" t="s">
        <v>79</v>
      </c>
      <c r="V3543" s="2">
        <v>1</v>
      </c>
      <c r="W3543" s="2" t="s">
        <v>80</v>
      </c>
      <c r="X3543" s="2">
        <v>1</v>
      </c>
      <c r="Y3543" s="2" t="s">
        <v>81</v>
      </c>
      <c r="Z3543" s="2">
        <v>1</v>
      </c>
      <c r="AA3543" s="2" t="s">
        <v>82</v>
      </c>
      <c r="AB3543" s="2">
        <v>9</v>
      </c>
      <c r="AC3543" s="2" t="s">
        <v>124</v>
      </c>
      <c r="AD3543" s="3">
        <v>40417</v>
      </c>
      <c r="AE3543" s="4">
        <v>0.15625</v>
      </c>
      <c r="AF3543" s="2"/>
      <c r="AG3543" s="2"/>
      <c r="AH3543" s="2">
        <v>2</v>
      </c>
      <c r="AI3543" s="2" t="s">
        <v>84</v>
      </c>
      <c r="AJ3543" s="2">
        <v>9</v>
      </c>
      <c r="AK3543" s="2" t="s">
        <v>103</v>
      </c>
      <c r="AL3543" s="2">
        <v>29</v>
      </c>
      <c r="AM3543" s="2" t="s">
        <v>5416</v>
      </c>
      <c r="AN3543" s="2" t="s">
        <v>4437</v>
      </c>
      <c r="AO3543" s="2"/>
      <c r="AP3543" s="2">
        <v>11</v>
      </c>
      <c r="AQ3543" s="2" t="s">
        <v>82</v>
      </c>
      <c r="AR3543" s="2"/>
      <c r="AS3543" s="2"/>
      <c r="AT3543" s="2" t="s">
        <v>11330</v>
      </c>
      <c r="AU3543" s="2"/>
      <c r="AV3543" s="2"/>
      <c r="AW3543" s="2"/>
      <c r="AX3543" s="2"/>
      <c r="AY3543" s="2">
        <v>41</v>
      </c>
      <c r="AZ3543" s="2" t="s">
        <v>82</v>
      </c>
      <c r="BA3543" s="2">
        <v>41</v>
      </c>
      <c r="BB3543" s="2" t="s">
        <v>82</v>
      </c>
      <c r="BC3543" s="2">
        <v>41</v>
      </c>
      <c r="BD3543" s="2" t="s">
        <v>82</v>
      </c>
      <c r="BE3543" s="2">
        <v>41</v>
      </c>
      <c r="BF3543" s="2" t="s">
        <v>82</v>
      </c>
      <c r="BG3543" s="2"/>
      <c r="BH3543" s="2"/>
      <c r="BI3543" s="2"/>
      <c r="BJ3543" s="2">
        <v>241</v>
      </c>
      <c r="BK3543" s="2" t="s">
        <v>82</v>
      </c>
      <c r="BL3543" s="2"/>
      <c r="BM3543" s="2">
        <v>241</v>
      </c>
      <c r="BN3543" s="2" t="s">
        <v>82</v>
      </c>
      <c r="BO3543" s="2"/>
      <c r="BP3543" s="2">
        <v>241</v>
      </c>
      <c r="BQ3543" s="2" t="s">
        <v>82</v>
      </c>
      <c r="BR3543" s="2"/>
      <c r="BS3543" s="3">
        <v>40417</v>
      </c>
      <c r="BT3543" s="4">
        <v>0.90679398148148149</v>
      </c>
    </row>
    <row r="3544" spans="1:72" x14ac:dyDescent="0.25">
      <c r="A3544" s="2">
        <v>5220</v>
      </c>
      <c r="B3544" s="2">
        <v>2010</v>
      </c>
      <c r="C3544" s="2" t="s">
        <v>377</v>
      </c>
      <c r="D3544" s="2" t="s">
        <v>73</v>
      </c>
      <c r="E3544" s="2"/>
      <c r="F3544" s="2">
        <v>426</v>
      </c>
      <c r="G3544" s="2" t="s">
        <v>378</v>
      </c>
      <c r="H3544" s="2">
        <v>42</v>
      </c>
      <c r="I3544" s="2" t="s">
        <v>1096</v>
      </c>
      <c r="J3544" s="2">
        <v>311</v>
      </c>
      <c r="K3544" s="2" t="s">
        <v>379</v>
      </c>
      <c r="L3544" s="2" t="s">
        <v>380</v>
      </c>
      <c r="M3544" s="3">
        <v>40417</v>
      </c>
      <c r="N3544" s="2" t="s">
        <v>4560</v>
      </c>
      <c r="O3544" s="2"/>
      <c r="P3544" s="2" t="s">
        <v>107</v>
      </c>
      <c r="Q3544" s="2" t="str">
        <f>"228-C/10"</f>
        <v>228-C/10</v>
      </c>
      <c r="R3544" s="2" t="s">
        <v>5841</v>
      </c>
      <c r="S3544" s="2"/>
      <c r="T3544" s="2">
        <v>1</v>
      </c>
      <c r="U3544" s="2" t="s">
        <v>79</v>
      </c>
      <c r="V3544" s="2">
        <v>1</v>
      </c>
      <c r="W3544" s="2" t="s">
        <v>80</v>
      </c>
      <c r="X3544" s="2">
        <v>1</v>
      </c>
      <c r="Y3544" s="2" t="s">
        <v>81</v>
      </c>
      <c r="Z3544" s="2">
        <v>1</v>
      </c>
      <c r="AA3544" s="2" t="s">
        <v>82</v>
      </c>
      <c r="AB3544" s="2">
        <v>9</v>
      </c>
      <c r="AC3544" s="2" t="s">
        <v>124</v>
      </c>
      <c r="AD3544" s="3">
        <v>40417</v>
      </c>
      <c r="AE3544" s="4">
        <v>0.52777777777777779</v>
      </c>
      <c r="AF3544" s="2"/>
      <c r="AG3544" s="2"/>
      <c r="AH3544" s="2">
        <v>2</v>
      </c>
      <c r="AI3544" s="2" t="s">
        <v>84</v>
      </c>
      <c r="AJ3544" s="2">
        <v>9</v>
      </c>
      <c r="AK3544" s="2" t="s">
        <v>103</v>
      </c>
      <c r="AL3544" s="2">
        <v>24</v>
      </c>
      <c r="AM3544" s="2" t="s">
        <v>1540</v>
      </c>
      <c r="AN3544" s="2" t="s">
        <v>11331</v>
      </c>
      <c r="AO3544" s="2" t="s">
        <v>5705</v>
      </c>
      <c r="AP3544" s="2">
        <v>11</v>
      </c>
      <c r="AQ3544" s="2" t="s">
        <v>82</v>
      </c>
      <c r="AR3544" s="2"/>
      <c r="AS3544" s="2"/>
      <c r="AT3544" s="2" t="s">
        <v>11332</v>
      </c>
      <c r="AU3544" s="2"/>
      <c r="AV3544" s="2"/>
      <c r="AW3544" s="2"/>
      <c r="AX3544" s="2"/>
      <c r="AY3544" s="2">
        <v>41</v>
      </c>
      <c r="AZ3544" s="2" t="s">
        <v>82</v>
      </c>
      <c r="BA3544" s="2">
        <v>41</v>
      </c>
      <c r="BB3544" s="2" t="s">
        <v>82</v>
      </c>
      <c r="BC3544" s="2">
        <v>41</v>
      </c>
      <c r="BD3544" s="2" t="s">
        <v>82</v>
      </c>
      <c r="BE3544" s="2">
        <v>41</v>
      </c>
      <c r="BF3544" s="2" t="s">
        <v>82</v>
      </c>
      <c r="BG3544" s="2"/>
      <c r="BH3544" s="2"/>
      <c r="BI3544" s="2"/>
      <c r="BJ3544" s="2">
        <v>241</v>
      </c>
      <c r="BK3544" s="2" t="s">
        <v>82</v>
      </c>
      <c r="BL3544" s="2"/>
      <c r="BM3544" s="2">
        <v>241</v>
      </c>
      <c r="BN3544" s="2" t="s">
        <v>82</v>
      </c>
      <c r="BO3544" s="2"/>
      <c r="BP3544" s="2">
        <v>241</v>
      </c>
      <c r="BQ3544" s="2" t="s">
        <v>82</v>
      </c>
      <c r="BR3544" s="2"/>
      <c r="BS3544" s="3">
        <v>40417</v>
      </c>
      <c r="BT3544" s="4">
        <v>0.92130787037037043</v>
      </c>
    </row>
    <row r="3545" spans="1:72" x14ac:dyDescent="0.25">
      <c r="A3545" s="2">
        <v>5221</v>
      </c>
      <c r="B3545" s="2">
        <v>2010</v>
      </c>
      <c r="C3545" s="2" t="s">
        <v>72</v>
      </c>
      <c r="D3545" s="2" t="s">
        <v>73</v>
      </c>
      <c r="E3545" s="2"/>
      <c r="F3545" s="2">
        <v>667</v>
      </c>
      <c r="G3545" s="2" t="s">
        <v>10892</v>
      </c>
      <c r="H3545" s="2">
        <v>108</v>
      </c>
      <c r="I3545" s="2" t="s">
        <v>1096</v>
      </c>
      <c r="J3545" s="2">
        <v>642</v>
      </c>
      <c r="K3545" s="2" t="s">
        <v>10893</v>
      </c>
      <c r="L3545" s="2" t="s">
        <v>6311</v>
      </c>
      <c r="M3545" s="3">
        <v>40418</v>
      </c>
      <c r="N3545" s="2" t="s">
        <v>10894</v>
      </c>
      <c r="O3545" s="2" t="s">
        <v>82</v>
      </c>
      <c r="P3545" s="2" t="s">
        <v>82</v>
      </c>
      <c r="Q3545" s="2" t="str">
        <f>"336-A/10"</f>
        <v>336-A/10</v>
      </c>
      <c r="R3545" s="2" t="s">
        <v>206</v>
      </c>
      <c r="S3545" s="2" t="s">
        <v>206</v>
      </c>
      <c r="T3545" s="2">
        <v>1</v>
      </c>
      <c r="U3545" s="2" t="s">
        <v>79</v>
      </c>
      <c r="V3545" s="2">
        <v>1</v>
      </c>
      <c r="W3545" s="2" t="s">
        <v>80</v>
      </c>
      <c r="X3545" s="2">
        <v>12</v>
      </c>
      <c r="Y3545" s="2" t="s">
        <v>148</v>
      </c>
      <c r="Z3545" s="2">
        <v>1</v>
      </c>
      <c r="AA3545" s="2" t="s">
        <v>82</v>
      </c>
      <c r="AB3545" s="2">
        <v>6</v>
      </c>
      <c r="AC3545" s="2" t="s">
        <v>83</v>
      </c>
      <c r="AD3545" s="3">
        <v>40416</v>
      </c>
      <c r="AE3545" s="2"/>
      <c r="AF3545" s="3">
        <v>40417</v>
      </c>
      <c r="AG3545" s="4">
        <v>0.95486111111111116</v>
      </c>
      <c r="AH3545" s="2">
        <v>2</v>
      </c>
      <c r="AI3545" s="2" t="s">
        <v>84</v>
      </c>
      <c r="AJ3545" s="2">
        <v>12</v>
      </c>
      <c r="AK3545" s="2" t="s">
        <v>85</v>
      </c>
      <c r="AL3545" s="2">
        <v>22</v>
      </c>
      <c r="AM3545" s="2" t="s">
        <v>1853</v>
      </c>
      <c r="AN3545" s="2" t="s">
        <v>107</v>
      </c>
      <c r="AO3545" s="2" t="s">
        <v>107</v>
      </c>
      <c r="AP3545" s="2">
        <v>11</v>
      </c>
      <c r="AQ3545" s="2" t="s">
        <v>82</v>
      </c>
      <c r="AR3545" s="2" t="s">
        <v>82</v>
      </c>
      <c r="AS3545" s="2" t="s">
        <v>82</v>
      </c>
      <c r="AT3545" s="2" t="s">
        <v>11333</v>
      </c>
      <c r="AU3545" s="2"/>
      <c r="AV3545" s="2"/>
      <c r="AW3545" s="2"/>
      <c r="AX3545" s="2"/>
      <c r="AY3545" s="2">
        <v>41</v>
      </c>
      <c r="AZ3545" s="2" t="s">
        <v>82</v>
      </c>
      <c r="BA3545" s="2">
        <v>41</v>
      </c>
      <c r="BB3545" s="2" t="s">
        <v>82</v>
      </c>
      <c r="BC3545" s="2">
        <v>41</v>
      </c>
      <c r="BD3545" s="2" t="s">
        <v>82</v>
      </c>
      <c r="BE3545" s="2">
        <v>4</v>
      </c>
      <c r="BF3545" s="2" t="s">
        <v>90</v>
      </c>
      <c r="BG3545" s="2" t="s">
        <v>11334</v>
      </c>
      <c r="BH3545" s="4">
        <v>0.80555555555555547</v>
      </c>
      <c r="BI3545" s="4">
        <v>0.72569444444444453</v>
      </c>
      <c r="BJ3545" s="2">
        <v>13</v>
      </c>
      <c r="BK3545" s="2" t="s">
        <v>91</v>
      </c>
      <c r="BL3545" s="2" t="s">
        <v>564</v>
      </c>
      <c r="BM3545" s="2">
        <v>241</v>
      </c>
      <c r="BN3545" s="2" t="s">
        <v>82</v>
      </c>
      <c r="BO3545" s="2" t="s">
        <v>82</v>
      </c>
      <c r="BP3545" s="2">
        <v>13</v>
      </c>
      <c r="BQ3545" s="2" t="s">
        <v>91</v>
      </c>
      <c r="BR3545" s="2" t="s">
        <v>241</v>
      </c>
      <c r="BS3545" s="3">
        <v>40418</v>
      </c>
      <c r="BT3545" s="4">
        <v>0.11309027777777779</v>
      </c>
    </row>
    <row r="3546" spans="1:72" x14ac:dyDescent="0.25">
      <c r="A3546" s="2">
        <v>5222</v>
      </c>
      <c r="B3546" s="2">
        <v>2010</v>
      </c>
      <c r="C3546" s="2" t="s">
        <v>72</v>
      </c>
      <c r="D3546" s="2" t="s">
        <v>73</v>
      </c>
      <c r="E3546" s="2"/>
      <c r="F3546" s="2">
        <v>662</v>
      </c>
      <c r="G3546" s="2" t="s">
        <v>10249</v>
      </c>
      <c r="H3546" s="2">
        <v>108</v>
      </c>
      <c r="I3546" s="2" t="s">
        <v>1096</v>
      </c>
      <c r="J3546" s="2">
        <v>633</v>
      </c>
      <c r="K3546" s="2" t="s">
        <v>10250</v>
      </c>
      <c r="L3546" s="2" t="s">
        <v>10251</v>
      </c>
      <c r="M3546" s="3">
        <v>40418</v>
      </c>
      <c r="N3546" s="2" t="s">
        <v>10454</v>
      </c>
      <c r="O3546" s="2" t="s">
        <v>82</v>
      </c>
      <c r="P3546" s="2" t="s">
        <v>82</v>
      </c>
      <c r="Q3546" s="2" t="str">
        <f>"337-A/10"</f>
        <v>337-A/10</v>
      </c>
      <c r="R3546" s="2" t="s">
        <v>11335</v>
      </c>
      <c r="S3546" s="2" t="s">
        <v>11336</v>
      </c>
      <c r="T3546" s="2">
        <v>1</v>
      </c>
      <c r="U3546" s="2" t="s">
        <v>79</v>
      </c>
      <c r="V3546" s="2">
        <v>1</v>
      </c>
      <c r="W3546" s="2" t="s">
        <v>80</v>
      </c>
      <c r="X3546" s="2">
        <v>12</v>
      </c>
      <c r="Y3546" s="2" t="s">
        <v>148</v>
      </c>
      <c r="Z3546" s="2">
        <v>1</v>
      </c>
      <c r="AA3546" s="2" t="s">
        <v>82</v>
      </c>
      <c r="AB3546" s="2">
        <v>6</v>
      </c>
      <c r="AC3546" s="2" t="s">
        <v>83</v>
      </c>
      <c r="AD3546" s="3">
        <v>40417</v>
      </c>
      <c r="AE3546" s="2"/>
      <c r="AF3546" s="3">
        <v>40418</v>
      </c>
      <c r="AG3546" s="4">
        <v>5.5555555555555552E-2</v>
      </c>
      <c r="AH3546" s="2">
        <v>2</v>
      </c>
      <c r="AI3546" s="2" t="s">
        <v>84</v>
      </c>
      <c r="AJ3546" s="2">
        <v>12</v>
      </c>
      <c r="AK3546" s="2" t="s">
        <v>85</v>
      </c>
      <c r="AL3546" s="2">
        <v>21</v>
      </c>
      <c r="AM3546" s="2" t="s">
        <v>1311</v>
      </c>
      <c r="AN3546" s="2" t="s">
        <v>11337</v>
      </c>
      <c r="AO3546" s="2" t="s">
        <v>11338</v>
      </c>
      <c r="AP3546" s="2">
        <v>11</v>
      </c>
      <c r="AQ3546" s="2" t="s">
        <v>82</v>
      </c>
      <c r="AR3546" s="2" t="s">
        <v>82</v>
      </c>
      <c r="AS3546" s="2" t="s">
        <v>82</v>
      </c>
      <c r="AT3546" s="2" t="s">
        <v>11339</v>
      </c>
      <c r="AU3546" s="2"/>
      <c r="AV3546" s="2"/>
      <c r="AW3546" s="2"/>
      <c r="AX3546" s="2"/>
      <c r="AY3546" s="2">
        <v>41</v>
      </c>
      <c r="AZ3546" s="2" t="s">
        <v>82</v>
      </c>
      <c r="BA3546" s="2">
        <v>41</v>
      </c>
      <c r="BB3546" s="2" t="s">
        <v>82</v>
      </c>
      <c r="BC3546" s="2">
        <v>41</v>
      </c>
      <c r="BD3546" s="2" t="s">
        <v>82</v>
      </c>
      <c r="BE3546" s="2">
        <v>41</v>
      </c>
      <c r="BF3546" s="2" t="s">
        <v>82</v>
      </c>
      <c r="BG3546" s="2"/>
      <c r="BH3546" s="2"/>
      <c r="BI3546" s="2"/>
      <c r="BJ3546" s="2">
        <v>241</v>
      </c>
      <c r="BK3546" s="2" t="s">
        <v>82</v>
      </c>
      <c r="BL3546" s="2"/>
      <c r="BM3546" s="2">
        <v>241</v>
      </c>
      <c r="BN3546" s="2" t="s">
        <v>82</v>
      </c>
      <c r="BO3546" s="2"/>
      <c r="BP3546" s="2">
        <v>241</v>
      </c>
      <c r="BQ3546" s="2" t="s">
        <v>82</v>
      </c>
      <c r="BR3546" s="2"/>
      <c r="BS3546" s="3">
        <v>40418</v>
      </c>
      <c r="BT3546" s="4">
        <v>0.13412037037037036</v>
      </c>
    </row>
    <row r="3547" spans="1:72" x14ac:dyDescent="0.25">
      <c r="A3547" s="2">
        <v>5223</v>
      </c>
      <c r="B3547" s="2">
        <v>2010</v>
      </c>
      <c r="C3547" s="2" t="s">
        <v>147</v>
      </c>
      <c r="D3547" s="2" t="s">
        <v>122</v>
      </c>
      <c r="E3547" s="2"/>
      <c r="F3547" s="2">
        <v>1</v>
      </c>
      <c r="G3547" s="2" t="s">
        <v>82</v>
      </c>
      <c r="H3547" s="2">
        <v>1</v>
      </c>
      <c r="I3547" s="2" t="s">
        <v>82</v>
      </c>
      <c r="J3547" s="2">
        <v>1</v>
      </c>
      <c r="K3547" s="2" t="s">
        <v>107</v>
      </c>
      <c r="L3547" s="2" t="s">
        <v>107</v>
      </c>
      <c r="M3547" s="3">
        <v>40418</v>
      </c>
      <c r="N3547" s="2"/>
      <c r="O3547" s="2"/>
      <c r="P3547" s="2"/>
      <c r="Q3547" s="2" t="str">
        <f>""</f>
        <v/>
      </c>
      <c r="R3547" s="2"/>
      <c r="S3547" s="2"/>
      <c r="T3547" s="2">
        <v>2</v>
      </c>
      <c r="U3547" s="2" t="s">
        <v>123</v>
      </c>
      <c r="V3547" s="2">
        <v>1</v>
      </c>
      <c r="W3547" s="2" t="s">
        <v>80</v>
      </c>
      <c r="X3547" s="2">
        <v>12</v>
      </c>
      <c r="Y3547" s="2" t="s">
        <v>148</v>
      </c>
      <c r="Z3547" s="2">
        <v>1</v>
      </c>
      <c r="AA3547" s="2" t="s">
        <v>82</v>
      </c>
      <c r="AB3547" s="2">
        <v>9</v>
      </c>
      <c r="AC3547" s="2" t="s">
        <v>124</v>
      </c>
      <c r="AD3547" s="3">
        <v>40418</v>
      </c>
      <c r="AE3547" s="4">
        <v>0.41666666666666669</v>
      </c>
      <c r="AF3547" s="3">
        <v>40418</v>
      </c>
      <c r="AG3547" s="4">
        <v>0.41666666666666669</v>
      </c>
      <c r="AH3547" s="2">
        <v>6</v>
      </c>
      <c r="AI3547" s="2" t="s">
        <v>197</v>
      </c>
      <c r="AJ3547" s="2">
        <v>59</v>
      </c>
      <c r="AK3547" s="2" t="s">
        <v>198</v>
      </c>
      <c r="AL3547" s="2">
        <v>18</v>
      </c>
      <c r="AM3547" s="2" t="s">
        <v>82</v>
      </c>
      <c r="AN3547" s="2"/>
      <c r="AO3547" s="2"/>
      <c r="AP3547" s="2">
        <v>11</v>
      </c>
      <c r="AQ3547" s="2" t="s">
        <v>82</v>
      </c>
      <c r="AR3547" s="2"/>
      <c r="AS3547" s="2"/>
      <c r="AT3547" s="2" t="s">
        <v>11340</v>
      </c>
      <c r="AU3547" s="2"/>
      <c r="AV3547" s="2"/>
      <c r="AW3547" s="2"/>
      <c r="AX3547" s="2"/>
      <c r="AY3547" s="2">
        <v>1</v>
      </c>
      <c r="AZ3547" s="2" t="s">
        <v>107</v>
      </c>
      <c r="BA3547" s="2">
        <v>1</v>
      </c>
      <c r="BB3547" s="2" t="s">
        <v>107</v>
      </c>
      <c r="BC3547" s="2">
        <v>1</v>
      </c>
      <c r="BD3547" s="2" t="s">
        <v>107</v>
      </c>
      <c r="BE3547" s="2">
        <v>1</v>
      </c>
      <c r="BF3547" s="2" t="s">
        <v>107</v>
      </c>
      <c r="BG3547" s="2"/>
      <c r="BH3547" s="2"/>
      <c r="BI3547" s="2"/>
      <c r="BJ3547" s="2">
        <v>242</v>
      </c>
      <c r="BK3547" s="2" t="s">
        <v>107</v>
      </c>
      <c r="BL3547" s="2"/>
      <c r="BM3547" s="2">
        <v>242</v>
      </c>
      <c r="BN3547" s="2" t="s">
        <v>107</v>
      </c>
      <c r="BO3547" s="2"/>
      <c r="BP3547" s="2">
        <v>242</v>
      </c>
      <c r="BQ3547" s="2" t="s">
        <v>107</v>
      </c>
      <c r="BR3547" s="2"/>
      <c r="BS3547" s="3">
        <v>40418</v>
      </c>
      <c r="BT3547" s="4">
        <v>0.47751157407407407</v>
      </c>
    </row>
    <row r="3548" spans="1:72" x14ac:dyDescent="0.25">
      <c r="A3548" s="2">
        <v>5225</v>
      </c>
      <c r="B3548" s="2">
        <v>2010</v>
      </c>
      <c r="C3548" s="2" t="s">
        <v>93</v>
      </c>
      <c r="D3548" s="2" t="s">
        <v>73</v>
      </c>
      <c r="E3548" s="2"/>
      <c r="F3548" s="2">
        <v>670</v>
      </c>
      <c r="G3548" s="2" t="s">
        <v>11341</v>
      </c>
      <c r="H3548" s="2">
        <v>50</v>
      </c>
      <c r="I3548" s="2" t="s">
        <v>107</v>
      </c>
      <c r="J3548" s="2">
        <v>1</v>
      </c>
      <c r="K3548" s="2" t="s">
        <v>107</v>
      </c>
      <c r="L3548" s="2" t="s">
        <v>107</v>
      </c>
      <c r="M3548" s="3">
        <v>40418</v>
      </c>
      <c r="N3548" s="2"/>
      <c r="O3548" s="2" t="s">
        <v>3752</v>
      </c>
      <c r="P3548" s="2" t="s">
        <v>11342</v>
      </c>
      <c r="Q3548" s="2" t="str">
        <f>"0108/2010"</f>
        <v>0108/2010</v>
      </c>
      <c r="R3548" s="2"/>
      <c r="S3548" s="2"/>
      <c r="T3548" s="2">
        <v>1</v>
      </c>
      <c r="U3548" s="2" t="s">
        <v>79</v>
      </c>
      <c r="V3548" s="2">
        <v>1</v>
      </c>
      <c r="W3548" s="2" t="s">
        <v>80</v>
      </c>
      <c r="X3548" s="2">
        <v>10</v>
      </c>
      <c r="Y3548" s="2" t="s">
        <v>226</v>
      </c>
      <c r="Z3548" s="2">
        <v>9</v>
      </c>
      <c r="AA3548" s="2" t="s">
        <v>1119</v>
      </c>
      <c r="AB3548" s="2">
        <v>2</v>
      </c>
      <c r="AC3548" s="2" t="s">
        <v>102</v>
      </c>
      <c r="AD3548" s="3">
        <v>40418</v>
      </c>
      <c r="AE3548" s="4">
        <v>0.4375</v>
      </c>
      <c r="AF3548" s="2"/>
      <c r="AG3548" s="2"/>
      <c r="AH3548" s="2">
        <v>5</v>
      </c>
      <c r="AI3548" s="2" t="s">
        <v>274</v>
      </c>
      <c r="AJ3548" s="2">
        <v>38</v>
      </c>
      <c r="AK3548" s="2" t="s">
        <v>1120</v>
      </c>
      <c r="AL3548" s="2">
        <v>11</v>
      </c>
      <c r="AM3548" s="2" t="s">
        <v>137</v>
      </c>
      <c r="AN3548" s="2"/>
      <c r="AO3548" s="2" t="s">
        <v>11343</v>
      </c>
      <c r="AP3548" s="2">
        <v>11</v>
      </c>
      <c r="AQ3548" s="2" t="s">
        <v>82</v>
      </c>
      <c r="AR3548" s="2"/>
      <c r="AS3548" s="2"/>
      <c r="AT3548" s="2" t="s">
        <v>11344</v>
      </c>
      <c r="AU3548" s="2"/>
      <c r="AV3548" s="2"/>
      <c r="AW3548" s="2"/>
      <c r="AX3548" s="2"/>
      <c r="AY3548" s="2">
        <v>41</v>
      </c>
      <c r="AZ3548" s="2" t="s">
        <v>82</v>
      </c>
      <c r="BA3548" s="2">
        <v>41</v>
      </c>
      <c r="BB3548" s="2" t="s">
        <v>82</v>
      </c>
      <c r="BC3548" s="2">
        <v>41</v>
      </c>
      <c r="BD3548" s="2" t="s">
        <v>82</v>
      </c>
      <c r="BE3548" s="2">
        <v>4</v>
      </c>
      <c r="BF3548" s="2" t="s">
        <v>90</v>
      </c>
      <c r="BG3548" s="2" t="s">
        <v>11345</v>
      </c>
      <c r="BH3548" s="4">
        <v>0.4375</v>
      </c>
      <c r="BI3548" s="4">
        <v>0.46527777777777773</v>
      </c>
      <c r="BJ3548" s="2">
        <v>13</v>
      </c>
      <c r="BK3548" s="2" t="s">
        <v>91</v>
      </c>
      <c r="BL3548" s="2" t="s">
        <v>3140</v>
      </c>
      <c r="BM3548" s="2">
        <v>241</v>
      </c>
      <c r="BN3548" s="2" t="s">
        <v>82</v>
      </c>
      <c r="BO3548" s="2"/>
      <c r="BP3548" s="2">
        <v>13</v>
      </c>
      <c r="BQ3548" s="2" t="s">
        <v>91</v>
      </c>
      <c r="BR3548" s="2" t="s">
        <v>185</v>
      </c>
      <c r="BS3548" s="3">
        <v>40418</v>
      </c>
      <c r="BT3548" s="4">
        <v>0.52902777777777776</v>
      </c>
    </row>
    <row r="3549" spans="1:72" x14ac:dyDescent="0.25">
      <c r="A3549" s="2">
        <v>5227</v>
      </c>
      <c r="B3549" s="2">
        <v>2010</v>
      </c>
      <c r="C3549" s="2" t="s">
        <v>147</v>
      </c>
      <c r="D3549" s="2" t="s">
        <v>122</v>
      </c>
      <c r="E3549" s="2"/>
      <c r="F3549" s="2">
        <v>1</v>
      </c>
      <c r="G3549" s="2" t="s">
        <v>82</v>
      </c>
      <c r="H3549" s="2">
        <v>1</v>
      </c>
      <c r="I3549" s="2" t="s">
        <v>82</v>
      </c>
      <c r="J3549" s="2">
        <v>1</v>
      </c>
      <c r="K3549" s="2" t="s">
        <v>107</v>
      </c>
      <c r="L3549" s="2" t="s">
        <v>107</v>
      </c>
      <c r="M3549" s="3">
        <v>40418</v>
      </c>
      <c r="N3549" s="2"/>
      <c r="O3549" s="2" t="s">
        <v>107</v>
      </c>
      <c r="P3549" s="2" t="s">
        <v>107</v>
      </c>
      <c r="Q3549" s="2" t="str">
        <f>""</f>
        <v/>
      </c>
      <c r="R3549" s="2"/>
      <c r="S3549" s="2"/>
      <c r="T3549" s="2">
        <v>2</v>
      </c>
      <c r="U3549" s="2" t="s">
        <v>123</v>
      </c>
      <c r="V3549" s="2">
        <v>1</v>
      </c>
      <c r="W3549" s="2" t="s">
        <v>80</v>
      </c>
      <c r="X3549" s="2">
        <v>12</v>
      </c>
      <c r="Y3549" s="2" t="s">
        <v>148</v>
      </c>
      <c r="Z3549" s="2">
        <v>1</v>
      </c>
      <c r="AA3549" s="2" t="s">
        <v>82</v>
      </c>
      <c r="AB3549" s="2">
        <v>9</v>
      </c>
      <c r="AC3549" s="2" t="s">
        <v>124</v>
      </c>
      <c r="AD3549" s="2"/>
      <c r="AE3549" s="2"/>
      <c r="AF3549" s="3">
        <v>40418</v>
      </c>
      <c r="AG3549" s="4">
        <v>0.5</v>
      </c>
      <c r="AH3549" s="2">
        <v>6</v>
      </c>
      <c r="AI3549" s="2" t="s">
        <v>197</v>
      </c>
      <c r="AJ3549" s="2">
        <v>61</v>
      </c>
      <c r="AK3549" s="2" t="s">
        <v>686</v>
      </c>
      <c r="AL3549" s="2">
        <v>19</v>
      </c>
      <c r="AM3549" s="2" t="s">
        <v>107</v>
      </c>
      <c r="AN3549" s="2" t="s">
        <v>82</v>
      </c>
      <c r="AO3549" s="2" t="s">
        <v>82</v>
      </c>
      <c r="AP3549" s="2">
        <v>11</v>
      </c>
      <c r="AQ3549" s="2" t="s">
        <v>82</v>
      </c>
      <c r="AR3549" s="2" t="s">
        <v>82</v>
      </c>
      <c r="AS3549" s="2" t="s">
        <v>82</v>
      </c>
      <c r="AT3549" s="2" t="s">
        <v>11346</v>
      </c>
      <c r="AU3549" s="2"/>
      <c r="AV3549" s="2"/>
      <c r="AW3549" s="2"/>
      <c r="AX3549" s="2"/>
      <c r="AY3549" s="2">
        <v>1</v>
      </c>
      <c r="AZ3549" s="2" t="s">
        <v>107</v>
      </c>
      <c r="BA3549" s="2">
        <v>1</v>
      </c>
      <c r="BB3549" s="2" t="s">
        <v>107</v>
      </c>
      <c r="BC3549" s="2">
        <v>1</v>
      </c>
      <c r="BD3549" s="2" t="s">
        <v>107</v>
      </c>
      <c r="BE3549" s="2">
        <v>1</v>
      </c>
      <c r="BF3549" s="2" t="s">
        <v>107</v>
      </c>
      <c r="BG3549" s="2" t="s">
        <v>82</v>
      </c>
      <c r="BH3549" s="2"/>
      <c r="BI3549" s="2"/>
      <c r="BJ3549" s="2">
        <v>242</v>
      </c>
      <c r="BK3549" s="2" t="s">
        <v>107</v>
      </c>
      <c r="BL3549" s="2"/>
      <c r="BM3549" s="2">
        <v>242</v>
      </c>
      <c r="BN3549" s="2" t="s">
        <v>107</v>
      </c>
      <c r="BO3549" s="2" t="s">
        <v>82</v>
      </c>
      <c r="BP3549" s="2">
        <v>242</v>
      </c>
      <c r="BQ3549" s="2" t="s">
        <v>107</v>
      </c>
      <c r="BR3549" s="2" t="s">
        <v>82</v>
      </c>
      <c r="BS3549" s="3">
        <v>40418</v>
      </c>
      <c r="BT3549" s="4">
        <v>0.59978009259259257</v>
      </c>
    </row>
    <row r="3550" spans="1:72" x14ac:dyDescent="0.25">
      <c r="A3550" s="2">
        <v>5228</v>
      </c>
      <c r="B3550" s="2">
        <v>2010</v>
      </c>
      <c r="C3550" s="2" t="s">
        <v>72</v>
      </c>
      <c r="D3550" s="2" t="s">
        <v>73</v>
      </c>
      <c r="E3550" s="2"/>
      <c r="F3550" s="2">
        <v>30</v>
      </c>
      <c r="G3550" s="2" t="s">
        <v>11347</v>
      </c>
      <c r="H3550" s="2">
        <v>1</v>
      </c>
      <c r="I3550" s="2" t="s">
        <v>82</v>
      </c>
      <c r="J3550" s="2">
        <v>531</v>
      </c>
      <c r="K3550" s="2" t="s">
        <v>11348</v>
      </c>
      <c r="L3550" s="2" t="s">
        <v>7230</v>
      </c>
      <c r="M3550" s="3">
        <v>40418</v>
      </c>
      <c r="N3550" s="2"/>
      <c r="O3550" s="2"/>
      <c r="P3550" s="2"/>
      <c r="Q3550" s="2" t="str">
        <f>"015-M10"</f>
        <v>015-M10</v>
      </c>
      <c r="R3550" s="2" t="s">
        <v>78</v>
      </c>
      <c r="S3550" s="2" t="s">
        <v>78</v>
      </c>
      <c r="T3550" s="2">
        <v>1</v>
      </c>
      <c r="U3550" s="2" t="s">
        <v>79</v>
      </c>
      <c r="V3550" s="2">
        <v>1</v>
      </c>
      <c r="W3550" s="2" t="s">
        <v>80</v>
      </c>
      <c r="X3550" s="2">
        <v>12</v>
      </c>
      <c r="Y3550" s="2" t="s">
        <v>148</v>
      </c>
      <c r="Z3550" s="2">
        <v>1</v>
      </c>
      <c r="AA3550" s="2" t="s">
        <v>82</v>
      </c>
      <c r="AB3550" s="2">
        <v>6</v>
      </c>
      <c r="AC3550" s="2" t="s">
        <v>83</v>
      </c>
      <c r="AD3550" s="3">
        <v>40418</v>
      </c>
      <c r="AE3550" s="2"/>
      <c r="AF3550" s="3">
        <v>40418</v>
      </c>
      <c r="AG3550" s="4">
        <v>0.4513888888888889</v>
      </c>
      <c r="AH3550" s="2">
        <v>2</v>
      </c>
      <c r="AI3550" s="2" t="s">
        <v>84</v>
      </c>
      <c r="AJ3550" s="2">
        <v>8</v>
      </c>
      <c r="AK3550" s="2" t="s">
        <v>436</v>
      </c>
      <c r="AL3550" s="2">
        <v>9</v>
      </c>
      <c r="AM3550" s="2" t="s">
        <v>259</v>
      </c>
      <c r="AN3550" s="2" t="s">
        <v>11349</v>
      </c>
      <c r="AO3550" s="2" t="s">
        <v>7158</v>
      </c>
      <c r="AP3550" s="2">
        <v>11</v>
      </c>
      <c r="AQ3550" s="2" t="s">
        <v>82</v>
      </c>
      <c r="AR3550" s="2"/>
      <c r="AS3550" s="2"/>
      <c r="AT3550" s="2" t="s">
        <v>11350</v>
      </c>
      <c r="AU3550" s="2"/>
      <c r="AV3550" s="2"/>
      <c r="AW3550" s="2"/>
      <c r="AX3550" s="2"/>
      <c r="AY3550" s="2">
        <v>44</v>
      </c>
      <c r="AZ3550" s="2" t="s">
        <v>262</v>
      </c>
      <c r="BA3550" s="2">
        <v>44</v>
      </c>
      <c r="BB3550" s="2" t="s">
        <v>262</v>
      </c>
      <c r="BC3550" s="2">
        <v>1</v>
      </c>
      <c r="BD3550" s="2" t="s">
        <v>107</v>
      </c>
      <c r="BE3550" s="2">
        <v>41</v>
      </c>
      <c r="BF3550" s="2" t="s">
        <v>82</v>
      </c>
      <c r="BG3550" s="2"/>
      <c r="BH3550" s="2"/>
      <c r="BI3550" s="2"/>
      <c r="BJ3550" s="2">
        <v>241</v>
      </c>
      <c r="BK3550" s="2" t="s">
        <v>82</v>
      </c>
      <c r="BL3550" s="2"/>
      <c r="BM3550" s="2">
        <v>241</v>
      </c>
      <c r="BN3550" s="2" t="s">
        <v>82</v>
      </c>
      <c r="BO3550" s="2"/>
      <c r="BP3550" s="2">
        <v>241</v>
      </c>
      <c r="BQ3550" s="2" t="s">
        <v>82</v>
      </c>
      <c r="BR3550" s="2"/>
      <c r="BS3550" s="3">
        <v>40418</v>
      </c>
      <c r="BT3550" s="4">
        <v>0.61744212962962963</v>
      </c>
    </row>
    <row r="3551" spans="1:72" x14ac:dyDescent="0.25">
      <c r="A3551" s="2">
        <v>5229</v>
      </c>
      <c r="B3551" s="2">
        <v>2010</v>
      </c>
      <c r="C3551" s="2" t="s">
        <v>819</v>
      </c>
      <c r="D3551" s="2" t="s">
        <v>73</v>
      </c>
      <c r="E3551" s="2"/>
      <c r="F3551" s="2">
        <v>393</v>
      </c>
      <c r="G3551" s="2" t="s">
        <v>3660</v>
      </c>
      <c r="H3551" s="2">
        <v>3</v>
      </c>
      <c r="I3551" s="2" t="s">
        <v>315</v>
      </c>
      <c r="J3551" s="2">
        <v>2</v>
      </c>
      <c r="K3551" s="2" t="s">
        <v>3661</v>
      </c>
      <c r="L3551" s="2" t="s">
        <v>3662</v>
      </c>
      <c r="M3551" s="3">
        <v>40418</v>
      </c>
      <c r="N3551" s="2" t="s">
        <v>3663</v>
      </c>
      <c r="O3551" s="2" t="s">
        <v>107</v>
      </c>
      <c r="P3551" s="2" t="s">
        <v>107</v>
      </c>
      <c r="Q3551" s="2" t="str">
        <f>"441-E/10"</f>
        <v>441-E/10</v>
      </c>
      <c r="R3551" s="2" t="s">
        <v>107</v>
      </c>
      <c r="S3551" s="2" t="s">
        <v>10956</v>
      </c>
      <c r="T3551" s="2">
        <v>1</v>
      </c>
      <c r="U3551" s="2" t="s">
        <v>79</v>
      </c>
      <c r="V3551" s="2">
        <v>1</v>
      </c>
      <c r="W3551" s="2" t="s">
        <v>80</v>
      </c>
      <c r="X3551" s="2">
        <v>1</v>
      </c>
      <c r="Y3551" s="2" t="s">
        <v>81</v>
      </c>
      <c r="Z3551" s="2">
        <v>1</v>
      </c>
      <c r="AA3551" s="2" t="s">
        <v>82</v>
      </c>
      <c r="AB3551" s="2">
        <v>9</v>
      </c>
      <c r="AC3551" s="2" t="s">
        <v>124</v>
      </c>
      <c r="AD3551" s="3">
        <v>40418</v>
      </c>
      <c r="AE3551" s="4">
        <v>0.35416666666666669</v>
      </c>
      <c r="AF3551" s="2"/>
      <c r="AG3551" s="2"/>
      <c r="AH3551" s="2">
        <v>2</v>
      </c>
      <c r="AI3551" s="2" t="s">
        <v>84</v>
      </c>
      <c r="AJ3551" s="2">
        <v>9</v>
      </c>
      <c r="AK3551" s="2" t="s">
        <v>103</v>
      </c>
      <c r="AL3551" s="2">
        <v>11</v>
      </c>
      <c r="AM3551" s="2" t="s">
        <v>137</v>
      </c>
      <c r="AN3551" s="2" t="s">
        <v>1341</v>
      </c>
      <c r="AO3551" s="2" t="s">
        <v>2163</v>
      </c>
      <c r="AP3551" s="2">
        <v>11</v>
      </c>
      <c r="AQ3551" s="2" t="s">
        <v>82</v>
      </c>
      <c r="AR3551" s="2"/>
      <c r="AS3551" s="2"/>
      <c r="AT3551" s="2" t="s">
        <v>11351</v>
      </c>
      <c r="AU3551" s="2"/>
      <c r="AV3551" s="2"/>
      <c r="AW3551" s="2"/>
      <c r="AX3551" s="2"/>
      <c r="AY3551" s="2">
        <v>41</v>
      </c>
      <c r="AZ3551" s="2" t="s">
        <v>82</v>
      </c>
      <c r="BA3551" s="2">
        <v>41</v>
      </c>
      <c r="BB3551" s="2" t="s">
        <v>82</v>
      </c>
      <c r="BC3551" s="2">
        <v>41</v>
      </c>
      <c r="BD3551" s="2" t="s">
        <v>82</v>
      </c>
      <c r="BE3551" s="2">
        <v>39</v>
      </c>
      <c r="BF3551" s="2" t="s">
        <v>440</v>
      </c>
      <c r="BG3551" s="2" t="s">
        <v>3577</v>
      </c>
      <c r="BH3551" s="2"/>
      <c r="BI3551" s="2"/>
      <c r="BJ3551" s="2">
        <v>13</v>
      </c>
      <c r="BK3551" s="2" t="s">
        <v>91</v>
      </c>
      <c r="BL3551" s="2" t="s">
        <v>360</v>
      </c>
      <c r="BM3551" s="2">
        <v>241</v>
      </c>
      <c r="BN3551" s="2" t="s">
        <v>82</v>
      </c>
      <c r="BO3551" s="2"/>
      <c r="BP3551" s="2">
        <v>29</v>
      </c>
      <c r="BQ3551" s="2" t="s">
        <v>962</v>
      </c>
      <c r="BR3551" s="2" t="s">
        <v>963</v>
      </c>
      <c r="BS3551" s="3">
        <v>40418</v>
      </c>
      <c r="BT3551" s="4">
        <v>0.6227314814814815</v>
      </c>
    </row>
    <row r="3552" spans="1:72" x14ac:dyDescent="0.25">
      <c r="A3552" s="2">
        <v>5231</v>
      </c>
      <c r="B3552" s="2">
        <v>2010</v>
      </c>
      <c r="C3552" s="2" t="s">
        <v>4543</v>
      </c>
      <c r="D3552" s="2" t="s">
        <v>122</v>
      </c>
      <c r="E3552" s="2"/>
      <c r="F3552" s="2">
        <v>1</v>
      </c>
      <c r="G3552" s="2" t="s">
        <v>82</v>
      </c>
      <c r="H3552" s="2">
        <v>1</v>
      </c>
      <c r="I3552" s="2" t="s">
        <v>82</v>
      </c>
      <c r="J3552" s="2">
        <v>1</v>
      </c>
      <c r="K3552" s="2" t="s">
        <v>107</v>
      </c>
      <c r="L3552" s="2" t="s">
        <v>107</v>
      </c>
      <c r="M3552" s="3">
        <v>40418</v>
      </c>
      <c r="N3552" s="2"/>
      <c r="O3552" s="2"/>
      <c r="P3552" s="2"/>
      <c r="Q3552" s="2" t="str">
        <f>""</f>
        <v/>
      </c>
      <c r="R3552" s="2"/>
      <c r="S3552" s="2"/>
      <c r="T3552" s="2">
        <v>2</v>
      </c>
      <c r="U3552" s="2" t="s">
        <v>123</v>
      </c>
      <c r="V3552" s="2">
        <v>1</v>
      </c>
      <c r="W3552" s="2" t="s">
        <v>80</v>
      </c>
      <c r="X3552" s="2">
        <v>1</v>
      </c>
      <c r="Y3552" s="2" t="s">
        <v>81</v>
      </c>
      <c r="Z3552" s="2">
        <v>1</v>
      </c>
      <c r="AA3552" s="2" t="s">
        <v>82</v>
      </c>
      <c r="AB3552" s="2">
        <v>9</v>
      </c>
      <c r="AC3552" s="2" t="s">
        <v>124</v>
      </c>
      <c r="AD3552" s="3">
        <v>40418</v>
      </c>
      <c r="AE3552" s="4">
        <v>0.98958333333333337</v>
      </c>
      <c r="AF3552" s="2"/>
      <c r="AG3552" s="2"/>
      <c r="AH3552" s="2">
        <v>6</v>
      </c>
      <c r="AI3552" s="2" t="s">
        <v>197</v>
      </c>
      <c r="AJ3552" s="2">
        <v>51</v>
      </c>
      <c r="AK3552" s="2" t="s">
        <v>238</v>
      </c>
      <c r="AL3552" s="2">
        <v>24</v>
      </c>
      <c r="AM3552" s="2" t="s">
        <v>1540</v>
      </c>
      <c r="AN3552" s="2" t="s">
        <v>11352</v>
      </c>
      <c r="AO3552" s="2" t="s">
        <v>11353</v>
      </c>
      <c r="AP3552" s="2">
        <v>11</v>
      </c>
      <c r="AQ3552" s="2" t="s">
        <v>82</v>
      </c>
      <c r="AR3552" s="2" t="s">
        <v>82</v>
      </c>
      <c r="AS3552" s="2" t="s">
        <v>82</v>
      </c>
      <c r="AT3552" s="2" t="s">
        <v>11354</v>
      </c>
      <c r="AU3552" s="2"/>
      <c r="AV3552" s="2"/>
      <c r="AW3552" s="2"/>
      <c r="AX3552" s="2"/>
      <c r="AY3552" s="2">
        <v>41</v>
      </c>
      <c r="AZ3552" s="2" t="s">
        <v>82</v>
      </c>
      <c r="BA3552" s="2">
        <v>41</v>
      </c>
      <c r="BB3552" s="2" t="s">
        <v>82</v>
      </c>
      <c r="BC3552" s="2">
        <v>41</v>
      </c>
      <c r="BD3552" s="2" t="s">
        <v>82</v>
      </c>
      <c r="BE3552" s="2">
        <v>41</v>
      </c>
      <c r="BF3552" s="2" t="s">
        <v>82</v>
      </c>
      <c r="BG3552" s="2" t="s">
        <v>82</v>
      </c>
      <c r="BH3552" s="2"/>
      <c r="BI3552" s="2"/>
      <c r="BJ3552" s="2">
        <v>241</v>
      </c>
      <c r="BK3552" s="2" t="s">
        <v>82</v>
      </c>
      <c r="BL3552" s="2" t="s">
        <v>82</v>
      </c>
      <c r="BM3552" s="2">
        <v>241</v>
      </c>
      <c r="BN3552" s="2" t="s">
        <v>82</v>
      </c>
      <c r="BO3552" s="2" t="s">
        <v>82</v>
      </c>
      <c r="BP3552" s="2">
        <v>241</v>
      </c>
      <c r="BQ3552" s="2" t="s">
        <v>82</v>
      </c>
      <c r="BR3552" s="2" t="s">
        <v>82</v>
      </c>
      <c r="BS3552" s="3">
        <v>40418</v>
      </c>
      <c r="BT3552" s="4">
        <v>0.67907407407407405</v>
      </c>
    </row>
    <row r="3553" spans="1:72" x14ac:dyDescent="0.25">
      <c r="A3553" s="2">
        <v>5232</v>
      </c>
      <c r="B3553" s="2">
        <v>2010</v>
      </c>
      <c r="C3553" s="2" t="s">
        <v>72</v>
      </c>
      <c r="D3553" s="2" t="s">
        <v>73</v>
      </c>
      <c r="E3553" s="2"/>
      <c r="F3553" s="2">
        <v>389</v>
      </c>
      <c r="G3553" s="2" t="s">
        <v>1819</v>
      </c>
      <c r="H3553" s="2">
        <v>4</v>
      </c>
      <c r="I3553" s="2" t="s">
        <v>173</v>
      </c>
      <c r="J3553" s="2">
        <v>399</v>
      </c>
      <c r="K3553" s="2" t="s">
        <v>1820</v>
      </c>
      <c r="L3553" s="2" t="s">
        <v>1821</v>
      </c>
      <c r="M3553" s="3">
        <v>40418</v>
      </c>
      <c r="N3553" s="2" t="s">
        <v>2621</v>
      </c>
      <c r="O3553" s="2"/>
      <c r="P3553" s="2"/>
      <c r="Q3553" s="2" t="str">
        <f>"442-E/10"</f>
        <v>442-E/10</v>
      </c>
      <c r="R3553" s="2" t="s">
        <v>601</v>
      </c>
      <c r="S3553" s="2" t="s">
        <v>601</v>
      </c>
      <c r="T3553" s="2">
        <v>1</v>
      </c>
      <c r="U3553" s="2" t="s">
        <v>79</v>
      </c>
      <c r="V3553" s="2">
        <v>1</v>
      </c>
      <c r="W3553" s="2" t="s">
        <v>80</v>
      </c>
      <c r="X3553" s="2">
        <v>12</v>
      </c>
      <c r="Y3553" s="2" t="s">
        <v>148</v>
      </c>
      <c r="Z3553" s="2">
        <v>1</v>
      </c>
      <c r="AA3553" s="2" t="s">
        <v>82</v>
      </c>
      <c r="AB3553" s="2">
        <v>6</v>
      </c>
      <c r="AC3553" s="2" t="s">
        <v>83</v>
      </c>
      <c r="AD3553" s="3">
        <v>40418</v>
      </c>
      <c r="AE3553" s="2"/>
      <c r="AF3553" s="3">
        <v>40418</v>
      </c>
      <c r="AG3553" s="4">
        <v>0.5</v>
      </c>
      <c r="AH3553" s="2">
        <v>2</v>
      </c>
      <c r="AI3553" s="2" t="s">
        <v>84</v>
      </c>
      <c r="AJ3553" s="2">
        <v>9</v>
      </c>
      <c r="AK3553" s="2" t="s">
        <v>103</v>
      </c>
      <c r="AL3553" s="2">
        <v>22</v>
      </c>
      <c r="AM3553" s="2" t="s">
        <v>1853</v>
      </c>
      <c r="AN3553" s="2" t="s">
        <v>11355</v>
      </c>
      <c r="AO3553" s="2" t="s">
        <v>10782</v>
      </c>
      <c r="AP3553" s="2">
        <v>11</v>
      </c>
      <c r="AQ3553" s="2" t="s">
        <v>82</v>
      </c>
      <c r="AR3553" s="2"/>
      <c r="AS3553" s="2"/>
      <c r="AT3553" s="2" t="s">
        <v>11356</v>
      </c>
      <c r="AU3553" s="2"/>
      <c r="AV3553" s="2"/>
      <c r="AW3553" s="2"/>
      <c r="AX3553" s="2"/>
      <c r="AY3553" s="2">
        <v>41</v>
      </c>
      <c r="AZ3553" s="2" t="s">
        <v>82</v>
      </c>
      <c r="BA3553" s="2">
        <v>41</v>
      </c>
      <c r="BB3553" s="2" t="s">
        <v>82</v>
      </c>
      <c r="BC3553" s="2">
        <v>23</v>
      </c>
      <c r="BD3553" s="2" t="s">
        <v>183</v>
      </c>
      <c r="BE3553" s="2">
        <v>23</v>
      </c>
      <c r="BF3553" s="2" t="s">
        <v>183</v>
      </c>
      <c r="BG3553" s="2" t="s">
        <v>11357</v>
      </c>
      <c r="BH3553" s="4">
        <v>0.34722222222222227</v>
      </c>
      <c r="BI3553" s="2"/>
      <c r="BJ3553" s="2">
        <v>73</v>
      </c>
      <c r="BK3553" s="2" t="s">
        <v>186</v>
      </c>
      <c r="BL3553" s="2" t="s">
        <v>11358</v>
      </c>
      <c r="BM3553" s="2">
        <v>73</v>
      </c>
      <c r="BN3553" s="2" t="s">
        <v>186</v>
      </c>
      <c r="BO3553" s="2" t="s">
        <v>187</v>
      </c>
      <c r="BP3553" s="2">
        <v>13</v>
      </c>
      <c r="BQ3553" s="2" t="s">
        <v>91</v>
      </c>
      <c r="BR3553" s="2" t="s">
        <v>360</v>
      </c>
      <c r="BS3553" s="3">
        <v>40418</v>
      </c>
      <c r="BT3553" s="4">
        <v>0.68946759259259249</v>
      </c>
    </row>
    <row r="3554" spans="1:72" x14ac:dyDescent="0.25">
      <c r="A3554" s="2">
        <v>5234</v>
      </c>
      <c r="B3554" s="2">
        <v>2010</v>
      </c>
      <c r="C3554" s="2" t="s">
        <v>93</v>
      </c>
      <c r="D3554" s="2" t="s">
        <v>73</v>
      </c>
      <c r="E3554" s="2"/>
      <c r="F3554" s="2">
        <v>326</v>
      </c>
      <c r="G3554" s="2" t="s">
        <v>1324</v>
      </c>
      <c r="H3554" s="2">
        <v>50</v>
      </c>
      <c r="I3554" s="2" t="s">
        <v>107</v>
      </c>
      <c r="J3554" s="2">
        <v>648</v>
      </c>
      <c r="K3554" s="2" t="s">
        <v>11359</v>
      </c>
      <c r="L3554" s="2" t="s">
        <v>2913</v>
      </c>
      <c r="M3554" s="3">
        <v>40418</v>
      </c>
      <c r="N3554" s="2" t="s">
        <v>107</v>
      </c>
      <c r="O3554" s="2" t="s">
        <v>11360</v>
      </c>
      <c r="P3554" s="2" t="s">
        <v>11361</v>
      </c>
      <c r="Q3554" s="2" t="str">
        <f>"0037/10"</f>
        <v>0037/10</v>
      </c>
      <c r="R3554" s="2" t="s">
        <v>11362</v>
      </c>
      <c r="S3554" s="2"/>
      <c r="T3554" s="2">
        <v>1</v>
      </c>
      <c r="U3554" s="2" t="s">
        <v>79</v>
      </c>
      <c r="V3554" s="2">
        <v>1</v>
      </c>
      <c r="W3554" s="2" t="s">
        <v>80</v>
      </c>
      <c r="X3554" s="2">
        <v>1</v>
      </c>
      <c r="Y3554" s="2" t="s">
        <v>81</v>
      </c>
      <c r="Z3554" s="2">
        <v>1</v>
      </c>
      <c r="AA3554" s="2" t="s">
        <v>82</v>
      </c>
      <c r="AB3554" s="2">
        <v>2</v>
      </c>
      <c r="AC3554" s="2" t="s">
        <v>102</v>
      </c>
      <c r="AD3554" s="3">
        <v>40418</v>
      </c>
      <c r="AE3554" s="4">
        <v>0.8125</v>
      </c>
      <c r="AF3554" s="2"/>
      <c r="AG3554" s="2"/>
      <c r="AH3554" s="2">
        <v>6</v>
      </c>
      <c r="AI3554" s="2" t="s">
        <v>197</v>
      </c>
      <c r="AJ3554" s="2">
        <v>61</v>
      </c>
      <c r="AK3554" s="2" t="s">
        <v>686</v>
      </c>
      <c r="AL3554" s="2">
        <v>11</v>
      </c>
      <c r="AM3554" s="2" t="s">
        <v>137</v>
      </c>
      <c r="AN3554" s="2" t="s">
        <v>10766</v>
      </c>
      <c r="AO3554" s="2" t="s">
        <v>6881</v>
      </c>
      <c r="AP3554" s="2">
        <v>11</v>
      </c>
      <c r="AQ3554" s="2" t="s">
        <v>82</v>
      </c>
      <c r="AR3554" s="2" t="s">
        <v>82</v>
      </c>
      <c r="AS3554" s="2" t="s">
        <v>82</v>
      </c>
      <c r="AT3554" s="2" t="s">
        <v>11363</v>
      </c>
      <c r="AU3554" s="2"/>
      <c r="AV3554" s="2"/>
      <c r="AW3554" s="2"/>
      <c r="AX3554" s="2"/>
      <c r="AY3554" s="2">
        <v>41</v>
      </c>
      <c r="AZ3554" s="2" t="s">
        <v>82</v>
      </c>
      <c r="BA3554" s="2">
        <v>41</v>
      </c>
      <c r="BB3554" s="2" t="s">
        <v>82</v>
      </c>
      <c r="BC3554" s="2">
        <v>41</v>
      </c>
      <c r="BD3554" s="2" t="s">
        <v>82</v>
      </c>
      <c r="BE3554" s="2">
        <v>47</v>
      </c>
      <c r="BF3554" s="2" t="s">
        <v>167</v>
      </c>
      <c r="BG3554" s="2">
        <v>2849</v>
      </c>
      <c r="BH3554" s="2"/>
      <c r="BI3554" s="4">
        <v>0.81944444444444453</v>
      </c>
      <c r="BJ3554" s="2">
        <v>13</v>
      </c>
      <c r="BK3554" s="2" t="s">
        <v>91</v>
      </c>
      <c r="BL3554" s="2" t="s">
        <v>690</v>
      </c>
      <c r="BM3554" s="2">
        <v>13</v>
      </c>
      <c r="BN3554" s="2" t="s">
        <v>91</v>
      </c>
      <c r="BO3554" s="2" t="s">
        <v>82</v>
      </c>
      <c r="BP3554" s="2">
        <v>13</v>
      </c>
      <c r="BQ3554" s="2" t="s">
        <v>91</v>
      </c>
      <c r="BR3554" s="2" t="s">
        <v>185</v>
      </c>
      <c r="BS3554" s="3">
        <v>40418</v>
      </c>
      <c r="BT3554" s="4">
        <v>0.92895833333333344</v>
      </c>
    </row>
    <row r="3555" spans="1:72" x14ac:dyDescent="0.25">
      <c r="A3555" s="2">
        <v>5235</v>
      </c>
      <c r="B3555" s="2">
        <v>2010</v>
      </c>
      <c r="C3555" s="2" t="s">
        <v>72</v>
      </c>
      <c r="D3555" s="2" t="s">
        <v>73</v>
      </c>
      <c r="E3555" s="2"/>
      <c r="F3555" s="2">
        <v>114</v>
      </c>
      <c r="G3555" s="2" t="s">
        <v>2817</v>
      </c>
      <c r="H3555" s="2">
        <v>99</v>
      </c>
      <c r="I3555" s="2" t="s">
        <v>6285</v>
      </c>
      <c r="J3555" s="2">
        <v>133</v>
      </c>
      <c r="K3555" s="2" t="s">
        <v>3844</v>
      </c>
      <c r="L3555" s="2" t="s">
        <v>3845</v>
      </c>
      <c r="M3555" s="3">
        <v>40419</v>
      </c>
      <c r="N3555" s="2" t="s">
        <v>11364</v>
      </c>
      <c r="O3555" s="2" t="s">
        <v>107</v>
      </c>
      <c r="P3555" s="2" t="s">
        <v>107</v>
      </c>
      <c r="Q3555" s="2" t="str">
        <f>"0018/2010"</f>
        <v>0018/2010</v>
      </c>
      <c r="R3555" s="2" t="s">
        <v>11365</v>
      </c>
      <c r="S3555" s="2" t="s">
        <v>11365</v>
      </c>
      <c r="T3555" s="2">
        <v>1</v>
      </c>
      <c r="U3555" s="2" t="s">
        <v>79</v>
      </c>
      <c r="V3555" s="2">
        <v>1</v>
      </c>
      <c r="W3555" s="2" t="s">
        <v>80</v>
      </c>
      <c r="X3555" s="2">
        <v>12</v>
      </c>
      <c r="Y3555" s="2" t="s">
        <v>148</v>
      </c>
      <c r="Z3555" s="2">
        <v>1</v>
      </c>
      <c r="AA3555" s="2" t="s">
        <v>82</v>
      </c>
      <c r="AB3555" s="2">
        <v>6</v>
      </c>
      <c r="AC3555" s="2" t="s">
        <v>83</v>
      </c>
      <c r="AD3555" s="3">
        <v>40418</v>
      </c>
      <c r="AE3555" s="2"/>
      <c r="AF3555" s="3">
        <v>40418</v>
      </c>
      <c r="AG3555" s="4">
        <v>0.84375</v>
      </c>
      <c r="AH3555" s="2">
        <v>6</v>
      </c>
      <c r="AI3555" s="2" t="s">
        <v>197</v>
      </c>
      <c r="AJ3555" s="2">
        <v>54</v>
      </c>
      <c r="AK3555" s="2" t="s">
        <v>348</v>
      </c>
      <c r="AL3555" s="2">
        <v>22</v>
      </c>
      <c r="AM3555" s="2" t="s">
        <v>1853</v>
      </c>
      <c r="AN3555" s="2" t="s">
        <v>11366</v>
      </c>
      <c r="AO3555" s="2" t="s">
        <v>3322</v>
      </c>
      <c r="AP3555" s="2">
        <v>11</v>
      </c>
      <c r="AQ3555" s="2" t="s">
        <v>82</v>
      </c>
      <c r="AR3555" s="2" t="s">
        <v>82</v>
      </c>
      <c r="AS3555" s="2" t="s">
        <v>82</v>
      </c>
      <c r="AT3555" s="2" t="s">
        <v>11367</v>
      </c>
      <c r="AU3555" s="2"/>
      <c r="AV3555" s="2"/>
      <c r="AW3555" s="2"/>
      <c r="AX3555" s="2"/>
      <c r="AY3555" s="2">
        <v>41</v>
      </c>
      <c r="AZ3555" s="2" t="s">
        <v>82</v>
      </c>
      <c r="BA3555" s="2">
        <v>41</v>
      </c>
      <c r="BB3555" s="2" t="s">
        <v>82</v>
      </c>
      <c r="BC3555" s="2">
        <v>41</v>
      </c>
      <c r="BD3555" s="2" t="s">
        <v>82</v>
      </c>
      <c r="BE3555" s="2">
        <v>47</v>
      </c>
      <c r="BF3555" s="2" t="s">
        <v>167</v>
      </c>
      <c r="BG3555" s="2" t="s">
        <v>4833</v>
      </c>
      <c r="BH3555" s="4">
        <v>0.77638888888888891</v>
      </c>
      <c r="BI3555" s="2"/>
      <c r="BJ3555" s="2">
        <v>13</v>
      </c>
      <c r="BK3555" s="2" t="s">
        <v>91</v>
      </c>
      <c r="BL3555" s="2" t="s">
        <v>3520</v>
      </c>
      <c r="BM3555" s="2">
        <v>241</v>
      </c>
      <c r="BN3555" s="2" t="s">
        <v>82</v>
      </c>
      <c r="BO3555" s="2"/>
      <c r="BP3555" s="2">
        <v>13</v>
      </c>
      <c r="BQ3555" s="2" t="s">
        <v>91</v>
      </c>
      <c r="BR3555" s="2" t="s">
        <v>353</v>
      </c>
      <c r="BS3555" s="3">
        <v>40419</v>
      </c>
      <c r="BT3555" s="4">
        <v>8.2060185185185187E-3</v>
      </c>
    </row>
    <row r="3556" spans="1:72" x14ac:dyDescent="0.25">
      <c r="A3556" s="2">
        <v>5236</v>
      </c>
      <c r="B3556" s="2">
        <v>2010</v>
      </c>
      <c r="C3556" s="2" t="s">
        <v>72</v>
      </c>
      <c r="D3556" s="2" t="s">
        <v>73</v>
      </c>
      <c r="E3556" s="2"/>
      <c r="F3556" s="2">
        <v>662</v>
      </c>
      <c r="G3556" s="2" t="s">
        <v>10249</v>
      </c>
      <c r="H3556" s="2">
        <v>108</v>
      </c>
      <c r="I3556" s="2" t="s">
        <v>1096</v>
      </c>
      <c r="J3556" s="2">
        <v>633</v>
      </c>
      <c r="K3556" s="2" t="s">
        <v>10250</v>
      </c>
      <c r="L3556" s="2" t="s">
        <v>10251</v>
      </c>
      <c r="M3556" s="3">
        <v>40419</v>
      </c>
      <c r="N3556" s="2" t="s">
        <v>10454</v>
      </c>
      <c r="O3556" s="2" t="s">
        <v>82</v>
      </c>
      <c r="P3556" s="2" t="s">
        <v>82</v>
      </c>
      <c r="Q3556" s="2" t="str">
        <f>"338-A/10"</f>
        <v>338-A/10</v>
      </c>
      <c r="R3556" s="2" t="s">
        <v>78</v>
      </c>
      <c r="S3556" s="2" t="s">
        <v>78</v>
      </c>
      <c r="T3556" s="2">
        <v>1</v>
      </c>
      <c r="U3556" s="2" t="s">
        <v>79</v>
      </c>
      <c r="V3556" s="2">
        <v>1</v>
      </c>
      <c r="W3556" s="2" t="s">
        <v>80</v>
      </c>
      <c r="X3556" s="2">
        <v>12</v>
      </c>
      <c r="Y3556" s="2" t="s">
        <v>148</v>
      </c>
      <c r="Z3556" s="2">
        <v>1</v>
      </c>
      <c r="AA3556" s="2" t="s">
        <v>82</v>
      </c>
      <c r="AB3556" s="2">
        <v>6</v>
      </c>
      <c r="AC3556" s="2" t="s">
        <v>83</v>
      </c>
      <c r="AD3556" s="3">
        <v>40419</v>
      </c>
      <c r="AE3556" s="2"/>
      <c r="AF3556" s="3">
        <v>40419</v>
      </c>
      <c r="AG3556" s="4">
        <v>8.6805555555555566E-2</v>
      </c>
      <c r="AH3556" s="2">
        <v>2</v>
      </c>
      <c r="AI3556" s="2" t="s">
        <v>84</v>
      </c>
      <c r="AJ3556" s="2">
        <v>12</v>
      </c>
      <c r="AK3556" s="2" t="s">
        <v>85</v>
      </c>
      <c r="AL3556" s="2">
        <v>12</v>
      </c>
      <c r="AM3556" s="2" t="s">
        <v>86</v>
      </c>
      <c r="AN3556" s="2" t="s">
        <v>107</v>
      </c>
      <c r="AO3556" s="2" t="s">
        <v>1733</v>
      </c>
      <c r="AP3556" s="2">
        <v>11</v>
      </c>
      <c r="AQ3556" s="2" t="s">
        <v>82</v>
      </c>
      <c r="AR3556" s="2" t="s">
        <v>82</v>
      </c>
      <c r="AS3556" s="2" t="s">
        <v>82</v>
      </c>
      <c r="AT3556" s="2" t="s">
        <v>11368</v>
      </c>
      <c r="AU3556" s="2"/>
      <c r="AV3556" s="2"/>
      <c r="AW3556" s="2"/>
      <c r="AX3556" s="2"/>
      <c r="AY3556" s="2">
        <v>41</v>
      </c>
      <c r="AZ3556" s="2" t="s">
        <v>82</v>
      </c>
      <c r="BA3556" s="2">
        <v>41</v>
      </c>
      <c r="BB3556" s="2" t="s">
        <v>82</v>
      </c>
      <c r="BC3556" s="2">
        <v>41</v>
      </c>
      <c r="BD3556" s="2" t="s">
        <v>82</v>
      </c>
      <c r="BE3556" s="2">
        <v>41</v>
      </c>
      <c r="BF3556" s="2" t="s">
        <v>82</v>
      </c>
      <c r="BG3556" s="2"/>
      <c r="BH3556" s="2"/>
      <c r="BI3556" s="2"/>
      <c r="BJ3556" s="2">
        <v>241</v>
      </c>
      <c r="BK3556" s="2" t="s">
        <v>82</v>
      </c>
      <c r="BL3556" s="2" t="s">
        <v>82</v>
      </c>
      <c r="BM3556" s="2">
        <v>241</v>
      </c>
      <c r="BN3556" s="2" t="s">
        <v>82</v>
      </c>
      <c r="BO3556" s="2" t="s">
        <v>82</v>
      </c>
      <c r="BP3556" s="2">
        <v>241</v>
      </c>
      <c r="BQ3556" s="2" t="s">
        <v>82</v>
      </c>
      <c r="BR3556" s="2" t="s">
        <v>82</v>
      </c>
      <c r="BS3556" s="3">
        <v>40419</v>
      </c>
      <c r="BT3556" s="4">
        <v>0.16983796296296297</v>
      </c>
    </row>
    <row r="3557" spans="1:72" x14ac:dyDescent="0.25">
      <c r="A3557" s="2">
        <v>5237</v>
      </c>
      <c r="B3557" s="2">
        <v>2010</v>
      </c>
      <c r="C3557" s="2" t="s">
        <v>171</v>
      </c>
      <c r="D3557" s="2" t="s">
        <v>73</v>
      </c>
      <c r="E3557" s="2"/>
      <c r="F3557" s="2">
        <v>393</v>
      </c>
      <c r="G3557" s="2" t="s">
        <v>3660</v>
      </c>
      <c r="H3557" s="2">
        <v>3</v>
      </c>
      <c r="I3557" s="2" t="s">
        <v>315</v>
      </c>
      <c r="J3557" s="2">
        <v>2</v>
      </c>
      <c r="K3557" s="2" t="s">
        <v>3661</v>
      </c>
      <c r="L3557" s="2" t="s">
        <v>3662</v>
      </c>
      <c r="M3557" s="3">
        <v>40419</v>
      </c>
      <c r="N3557" s="2" t="s">
        <v>3663</v>
      </c>
      <c r="O3557" s="2" t="s">
        <v>107</v>
      </c>
      <c r="P3557" s="2" t="s">
        <v>107</v>
      </c>
      <c r="Q3557" s="2" t="str">
        <f>"0443-E/10"</f>
        <v>0443-E/10</v>
      </c>
      <c r="R3557" s="2" t="s">
        <v>391</v>
      </c>
      <c r="S3557" s="2"/>
      <c r="T3557" s="2">
        <v>1</v>
      </c>
      <c r="U3557" s="2" t="s">
        <v>79</v>
      </c>
      <c r="V3557" s="2">
        <v>1</v>
      </c>
      <c r="W3557" s="2" t="s">
        <v>80</v>
      </c>
      <c r="X3557" s="2">
        <v>1</v>
      </c>
      <c r="Y3557" s="2" t="s">
        <v>81</v>
      </c>
      <c r="Z3557" s="2">
        <v>1</v>
      </c>
      <c r="AA3557" s="2" t="s">
        <v>82</v>
      </c>
      <c r="AB3557" s="2">
        <v>1</v>
      </c>
      <c r="AC3557" s="2" t="s">
        <v>178</v>
      </c>
      <c r="AD3557" s="3">
        <v>40418</v>
      </c>
      <c r="AE3557" s="4">
        <v>0.99305555555555547</v>
      </c>
      <c r="AF3557" s="2"/>
      <c r="AG3557" s="2"/>
      <c r="AH3557" s="2">
        <v>2</v>
      </c>
      <c r="AI3557" s="2" t="s">
        <v>84</v>
      </c>
      <c r="AJ3557" s="2">
        <v>9</v>
      </c>
      <c r="AK3557" s="2" t="s">
        <v>103</v>
      </c>
      <c r="AL3557" s="2">
        <v>11</v>
      </c>
      <c r="AM3557" s="2" t="s">
        <v>137</v>
      </c>
      <c r="AN3557" s="2" t="s">
        <v>11369</v>
      </c>
      <c r="AO3557" s="2" t="s">
        <v>987</v>
      </c>
      <c r="AP3557" s="2">
        <v>11</v>
      </c>
      <c r="AQ3557" s="2" t="s">
        <v>82</v>
      </c>
      <c r="AR3557" s="2"/>
      <c r="AS3557" s="2"/>
      <c r="AT3557" s="2" t="s">
        <v>11370</v>
      </c>
      <c r="AU3557" s="2"/>
      <c r="AV3557" s="2">
        <v>1</v>
      </c>
      <c r="AW3557" s="2"/>
      <c r="AX3557" s="2"/>
      <c r="AY3557" s="2">
        <v>41</v>
      </c>
      <c r="AZ3557" s="2" t="s">
        <v>82</v>
      </c>
      <c r="BA3557" s="2">
        <v>41</v>
      </c>
      <c r="BB3557" s="2" t="s">
        <v>82</v>
      </c>
      <c r="BC3557" s="2">
        <v>41</v>
      </c>
      <c r="BD3557" s="2" t="s">
        <v>82</v>
      </c>
      <c r="BE3557" s="2">
        <v>23</v>
      </c>
      <c r="BF3557" s="2" t="s">
        <v>183</v>
      </c>
      <c r="BG3557" s="2" t="s">
        <v>11371</v>
      </c>
      <c r="BH3557" s="2"/>
      <c r="BI3557" s="2"/>
      <c r="BJ3557" s="2">
        <v>13</v>
      </c>
      <c r="BK3557" s="2" t="s">
        <v>91</v>
      </c>
      <c r="BL3557" s="2" t="s">
        <v>360</v>
      </c>
      <c r="BM3557" s="2">
        <v>241</v>
      </c>
      <c r="BN3557" s="2" t="s">
        <v>82</v>
      </c>
      <c r="BO3557" s="2" t="s">
        <v>82</v>
      </c>
      <c r="BP3557" s="2">
        <v>73</v>
      </c>
      <c r="BQ3557" s="2" t="s">
        <v>186</v>
      </c>
      <c r="BR3557" s="2" t="s">
        <v>187</v>
      </c>
      <c r="BS3557" s="3">
        <v>40419</v>
      </c>
      <c r="BT3557" s="4">
        <v>0.22194444444444447</v>
      </c>
    </row>
    <row r="3558" spans="1:72" x14ac:dyDescent="0.25">
      <c r="A3558" s="2">
        <v>5238</v>
      </c>
      <c r="B3558" s="2">
        <v>2010</v>
      </c>
      <c r="C3558" s="2" t="s">
        <v>72</v>
      </c>
      <c r="D3558" s="2" t="s">
        <v>73</v>
      </c>
      <c r="E3558" s="2"/>
      <c r="F3558" s="2">
        <v>38</v>
      </c>
      <c r="G3558" s="2" t="s">
        <v>430</v>
      </c>
      <c r="H3558" s="2">
        <v>1</v>
      </c>
      <c r="I3558" s="2" t="s">
        <v>82</v>
      </c>
      <c r="J3558" s="2">
        <v>536</v>
      </c>
      <c r="K3558" s="2" t="s">
        <v>6063</v>
      </c>
      <c r="L3558" s="2" t="s">
        <v>6064</v>
      </c>
      <c r="M3558" s="3">
        <v>40419</v>
      </c>
      <c r="N3558" s="2" t="s">
        <v>6755</v>
      </c>
      <c r="O3558" s="2" t="s">
        <v>82</v>
      </c>
      <c r="P3558" s="2" t="s">
        <v>82</v>
      </c>
      <c r="Q3558" s="2" t="str">
        <f>"40/10"</f>
        <v>40/10</v>
      </c>
      <c r="R3558" s="2" t="s">
        <v>7781</v>
      </c>
      <c r="S3558" s="2"/>
      <c r="T3558" s="2">
        <v>1</v>
      </c>
      <c r="U3558" s="2" t="s">
        <v>79</v>
      </c>
      <c r="V3558" s="2">
        <v>1</v>
      </c>
      <c r="W3558" s="2" t="s">
        <v>80</v>
      </c>
      <c r="X3558" s="2">
        <v>12</v>
      </c>
      <c r="Y3558" s="2" t="s">
        <v>148</v>
      </c>
      <c r="Z3558" s="2">
        <v>1</v>
      </c>
      <c r="AA3558" s="2" t="s">
        <v>82</v>
      </c>
      <c r="AB3558" s="2">
        <v>6</v>
      </c>
      <c r="AC3558" s="2" t="s">
        <v>83</v>
      </c>
      <c r="AD3558" s="3">
        <v>40415</v>
      </c>
      <c r="AE3558" s="2"/>
      <c r="AF3558" s="3">
        <v>40418</v>
      </c>
      <c r="AG3558" s="4">
        <v>0.80902777777777779</v>
      </c>
      <c r="AH3558" s="2">
        <v>3</v>
      </c>
      <c r="AI3558" s="2" t="s">
        <v>214</v>
      </c>
      <c r="AJ3558" s="2">
        <v>17</v>
      </c>
      <c r="AK3558" s="2" t="s">
        <v>309</v>
      </c>
      <c r="AL3558" s="2">
        <v>22</v>
      </c>
      <c r="AM3558" s="2" t="s">
        <v>1853</v>
      </c>
      <c r="AN3558" s="2" t="s">
        <v>10387</v>
      </c>
      <c r="AO3558" s="2" t="s">
        <v>5587</v>
      </c>
      <c r="AP3558" s="2">
        <v>11</v>
      </c>
      <c r="AQ3558" s="2" t="s">
        <v>82</v>
      </c>
      <c r="AR3558" s="2" t="s">
        <v>82</v>
      </c>
      <c r="AS3558" s="2" t="s">
        <v>82</v>
      </c>
      <c r="AT3558" s="2" t="s">
        <v>11372</v>
      </c>
      <c r="AU3558" s="2"/>
      <c r="AV3558" s="2"/>
      <c r="AW3558" s="2"/>
      <c r="AX3558" s="2"/>
      <c r="AY3558" s="2">
        <v>41</v>
      </c>
      <c r="AZ3558" s="2" t="s">
        <v>82</v>
      </c>
      <c r="BA3558" s="2">
        <v>41</v>
      </c>
      <c r="BB3558" s="2" t="s">
        <v>82</v>
      </c>
      <c r="BC3558" s="2">
        <v>41</v>
      </c>
      <c r="BD3558" s="2" t="s">
        <v>82</v>
      </c>
      <c r="BE3558" s="2">
        <v>13</v>
      </c>
      <c r="BF3558" s="2" t="s">
        <v>108</v>
      </c>
      <c r="BG3558" s="2">
        <v>2428</v>
      </c>
      <c r="BH3558" s="4">
        <v>0.96875</v>
      </c>
      <c r="BI3558" s="4">
        <v>0.90972222222222221</v>
      </c>
      <c r="BJ3558" s="2">
        <v>13</v>
      </c>
      <c r="BK3558" s="2" t="s">
        <v>91</v>
      </c>
      <c r="BL3558" s="2" t="s">
        <v>11373</v>
      </c>
      <c r="BM3558" s="2">
        <v>241</v>
      </c>
      <c r="BN3558" s="2" t="s">
        <v>82</v>
      </c>
      <c r="BO3558" s="2" t="s">
        <v>82</v>
      </c>
      <c r="BP3558" s="2">
        <v>13</v>
      </c>
      <c r="BQ3558" s="2" t="s">
        <v>91</v>
      </c>
      <c r="BR3558" s="2" t="s">
        <v>445</v>
      </c>
      <c r="BS3558" s="3">
        <v>40419</v>
      </c>
      <c r="BT3558" s="4">
        <v>0.46611111111111114</v>
      </c>
    </row>
    <row r="3559" spans="1:72" x14ac:dyDescent="0.25">
      <c r="A3559" s="2">
        <v>5239</v>
      </c>
      <c r="B3559" s="2">
        <v>2010</v>
      </c>
      <c r="C3559" s="2" t="s">
        <v>4543</v>
      </c>
      <c r="D3559" s="2" t="s">
        <v>122</v>
      </c>
      <c r="E3559" s="2"/>
      <c r="F3559" s="2">
        <v>146</v>
      </c>
      <c r="G3559" s="2" t="s">
        <v>753</v>
      </c>
      <c r="H3559" s="2">
        <v>99</v>
      </c>
      <c r="I3559" s="2" t="s">
        <v>6285</v>
      </c>
      <c r="J3559" s="2">
        <v>161</v>
      </c>
      <c r="K3559" s="2" t="s">
        <v>1900</v>
      </c>
      <c r="L3559" s="2" t="s">
        <v>1901</v>
      </c>
      <c r="M3559" s="3">
        <v>40419</v>
      </c>
      <c r="N3559" s="2" t="s">
        <v>11374</v>
      </c>
      <c r="O3559" s="2" t="s">
        <v>11375</v>
      </c>
      <c r="P3559" s="2" t="s">
        <v>107</v>
      </c>
      <c r="Q3559" s="2" t="str">
        <f>"N/C"</f>
        <v>N/C</v>
      </c>
      <c r="R3559" s="2" t="s">
        <v>82</v>
      </c>
      <c r="S3559" s="2" t="s">
        <v>82</v>
      </c>
      <c r="T3559" s="2">
        <v>2</v>
      </c>
      <c r="U3559" s="2" t="s">
        <v>123</v>
      </c>
      <c r="V3559" s="2">
        <v>1</v>
      </c>
      <c r="W3559" s="2" t="s">
        <v>80</v>
      </c>
      <c r="X3559" s="2">
        <v>4</v>
      </c>
      <c r="Y3559" s="2" t="s">
        <v>463</v>
      </c>
      <c r="Z3559" s="2">
        <v>10</v>
      </c>
      <c r="AA3559" s="2" t="s">
        <v>236</v>
      </c>
      <c r="AB3559" s="2">
        <v>9</v>
      </c>
      <c r="AC3559" s="2" t="s">
        <v>124</v>
      </c>
      <c r="AD3559" s="3">
        <v>40419</v>
      </c>
      <c r="AE3559" s="4">
        <v>0.44791666666666669</v>
      </c>
      <c r="AF3559" s="2"/>
      <c r="AG3559" s="2"/>
      <c r="AH3559" s="2">
        <v>6</v>
      </c>
      <c r="AI3559" s="2" t="s">
        <v>197</v>
      </c>
      <c r="AJ3559" s="2">
        <v>60</v>
      </c>
      <c r="AK3559" s="2" t="s">
        <v>543</v>
      </c>
      <c r="AL3559" s="2">
        <v>19</v>
      </c>
      <c r="AM3559" s="2" t="s">
        <v>107</v>
      </c>
      <c r="AN3559" s="2" t="s">
        <v>82</v>
      </c>
      <c r="AO3559" s="2" t="s">
        <v>2249</v>
      </c>
      <c r="AP3559" s="2">
        <v>11</v>
      </c>
      <c r="AQ3559" s="2" t="s">
        <v>82</v>
      </c>
      <c r="AR3559" s="2" t="s">
        <v>82</v>
      </c>
      <c r="AS3559" s="2" t="s">
        <v>82</v>
      </c>
      <c r="AT3559" s="2" t="s">
        <v>11376</v>
      </c>
      <c r="AU3559" s="2"/>
      <c r="AV3559" s="2"/>
      <c r="AW3559" s="2"/>
      <c r="AX3559" s="2"/>
      <c r="AY3559" s="2">
        <v>41</v>
      </c>
      <c r="AZ3559" s="2" t="s">
        <v>82</v>
      </c>
      <c r="BA3559" s="2">
        <v>41</v>
      </c>
      <c r="BB3559" s="2" t="s">
        <v>82</v>
      </c>
      <c r="BC3559" s="2">
        <v>41</v>
      </c>
      <c r="BD3559" s="2" t="s">
        <v>82</v>
      </c>
      <c r="BE3559" s="2">
        <v>49</v>
      </c>
      <c r="BF3559" s="2" t="s">
        <v>1254</v>
      </c>
      <c r="BG3559" s="2" t="s">
        <v>11377</v>
      </c>
      <c r="BH3559" s="4">
        <v>0.43402777777777773</v>
      </c>
      <c r="BI3559" s="4">
        <v>0.46319444444444446</v>
      </c>
      <c r="BJ3559" s="2">
        <v>13</v>
      </c>
      <c r="BK3559" s="2" t="s">
        <v>91</v>
      </c>
      <c r="BL3559" s="2" t="s">
        <v>11378</v>
      </c>
      <c r="BM3559" s="2">
        <v>13</v>
      </c>
      <c r="BN3559" s="2" t="s">
        <v>91</v>
      </c>
      <c r="BO3559" s="2" t="s">
        <v>204</v>
      </c>
      <c r="BP3559" s="2">
        <v>13</v>
      </c>
      <c r="BQ3559" s="2" t="s">
        <v>91</v>
      </c>
      <c r="BR3559" s="2" t="s">
        <v>353</v>
      </c>
      <c r="BS3559" s="3">
        <v>40419</v>
      </c>
      <c r="BT3559" s="4">
        <v>0.50775462962962969</v>
      </c>
    </row>
    <row r="3560" spans="1:72" x14ac:dyDescent="0.25">
      <c r="A3560" s="2">
        <v>5240</v>
      </c>
      <c r="B3560" s="2">
        <v>2010</v>
      </c>
      <c r="C3560" s="2" t="s">
        <v>93</v>
      </c>
      <c r="D3560" s="2" t="s">
        <v>73</v>
      </c>
      <c r="E3560" s="2"/>
      <c r="F3560" s="2">
        <v>578</v>
      </c>
      <c r="G3560" s="2" t="s">
        <v>4917</v>
      </c>
      <c r="H3560" s="2">
        <v>87</v>
      </c>
      <c r="I3560" s="2" t="s">
        <v>4918</v>
      </c>
      <c r="J3560" s="2">
        <v>228</v>
      </c>
      <c r="K3560" s="2" t="s">
        <v>7058</v>
      </c>
      <c r="L3560" s="2" t="s">
        <v>7059</v>
      </c>
      <c r="M3560" s="3">
        <v>40419</v>
      </c>
      <c r="N3560" s="2" t="s">
        <v>11379</v>
      </c>
      <c r="O3560" s="2" t="s">
        <v>10881</v>
      </c>
      <c r="P3560" s="2" t="s">
        <v>11380</v>
      </c>
      <c r="Q3560" s="2" t="str">
        <f>"0111/2010"</f>
        <v>0111/2010</v>
      </c>
      <c r="R3560" s="2"/>
      <c r="S3560" s="2" t="s">
        <v>11381</v>
      </c>
      <c r="T3560" s="2">
        <v>1</v>
      </c>
      <c r="U3560" s="2" t="s">
        <v>79</v>
      </c>
      <c r="V3560" s="2">
        <v>1</v>
      </c>
      <c r="W3560" s="2" t="s">
        <v>80</v>
      </c>
      <c r="X3560" s="2">
        <v>10</v>
      </c>
      <c r="Y3560" s="2" t="s">
        <v>226</v>
      </c>
      <c r="Z3560" s="2">
        <v>9</v>
      </c>
      <c r="AA3560" s="2" t="s">
        <v>1119</v>
      </c>
      <c r="AB3560" s="2">
        <v>2</v>
      </c>
      <c r="AC3560" s="2" t="s">
        <v>102</v>
      </c>
      <c r="AD3560" s="3">
        <v>40419</v>
      </c>
      <c r="AE3560" s="4">
        <v>0.53819444444444442</v>
      </c>
      <c r="AF3560" s="2"/>
      <c r="AG3560" s="2"/>
      <c r="AH3560" s="2">
        <v>5</v>
      </c>
      <c r="AI3560" s="2" t="s">
        <v>274</v>
      </c>
      <c r="AJ3560" s="2">
        <v>38</v>
      </c>
      <c r="AK3560" s="2" t="s">
        <v>1120</v>
      </c>
      <c r="AL3560" s="2">
        <v>14</v>
      </c>
      <c r="AM3560" s="2" t="s">
        <v>216</v>
      </c>
      <c r="AN3560" s="2"/>
      <c r="AO3560" s="2" t="s">
        <v>11382</v>
      </c>
      <c r="AP3560" s="2">
        <v>11</v>
      </c>
      <c r="AQ3560" s="2" t="s">
        <v>82</v>
      </c>
      <c r="AR3560" s="2"/>
      <c r="AS3560" s="2"/>
      <c r="AT3560" s="2" t="s">
        <v>11383</v>
      </c>
      <c r="AU3560" s="2"/>
      <c r="AV3560" s="2"/>
      <c r="AW3560" s="2"/>
      <c r="AX3560" s="2"/>
      <c r="AY3560" s="2">
        <v>41</v>
      </c>
      <c r="AZ3560" s="2" t="s">
        <v>82</v>
      </c>
      <c r="BA3560" s="2">
        <v>41</v>
      </c>
      <c r="BB3560" s="2" t="s">
        <v>82</v>
      </c>
      <c r="BC3560" s="2">
        <v>41</v>
      </c>
      <c r="BD3560" s="2" t="s">
        <v>82</v>
      </c>
      <c r="BE3560" s="2">
        <v>47</v>
      </c>
      <c r="BF3560" s="2" t="s">
        <v>167</v>
      </c>
      <c r="BG3560" s="2">
        <v>2725</v>
      </c>
      <c r="BH3560" s="4">
        <v>0.47222222222222227</v>
      </c>
      <c r="BI3560" s="4">
        <v>0.5</v>
      </c>
      <c r="BJ3560" s="2">
        <v>13</v>
      </c>
      <c r="BK3560" s="2" t="s">
        <v>91</v>
      </c>
      <c r="BL3560" s="2" t="s">
        <v>1697</v>
      </c>
      <c r="BM3560" s="2">
        <v>241</v>
      </c>
      <c r="BN3560" s="2" t="s">
        <v>82</v>
      </c>
      <c r="BO3560" s="2"/>
      <c r="BP3560" s="2">
        <v>13</v>
      </c>
      <c r="BQ3560" s="2" t="s">
        <v>91</v>
      </c>
      <c r="BR3560" s="2" t="s">
        <v>170</v>
      </c>
      <c r="BS3560" s="3">
        <v>40419</v>
      </c>
      <c r="BT3560" s="4">
        <v>0.64885416666666662</v>
      </c>
    </row>
    <row r="3561" spans="1:72" x14ac:dyDescent="0.25">
      <c r="A3561" s="2">
        <v>5241</v>
      </c>
      <c r="B3561" s="2">
        <v>2010</v>
      </c>
      <c r="C3561" s="2" t="s">
        <v>93</v>
      </c>
      <c r="D3561" s="2" t="s">
        <v>73</v>
      </c>
      <c r="E3561" s="2"/>
      <c r="F3561" s="2">
        <v>188</v>
      </c>
      <c r="G3561" s="2" t="s">
        <v>11384</v>
      </c>
      <c r="H3561" s="2">
        <v>87</v>
      </c>
      <c r="I3561" s="2" t="s">
        <v>4918</v>
      </c>
      <c r="J3561" s="2">
        <v>196</v>
      </c>
      <c r="K3561" s="2" t="s">
        <v>11385</v>
      </c>
      <c r="L3561" s="2" t="s">
        <v>11386</v>
      </c>
      <c r="M3561" s="3">
        <v>40419</v>
      </c>
      <c r="N3561" s="2" t="s">
        <v>11387</v>
      </c>
      <c r="O3561" s="2" t="s">
        <v>11388</v>
      </c>
      <c r="P3561" s="2">
        <v>28278</v>
      </c>
      <c r="Q3561" s="2" t="str">
        <f>"0110/2010"</f>
        <v>0110/2010</v>
      </c>
      <c r="R3561" s="2"/>
      <c r="S3561" s="2" t="s">
        <v>11381</v>
      </c>
      <c r="T3561" s="2">
        <v>1</v>
      </c>
      <c r="U3561" s="2" t="s">
        <v>79</v>
      </c>
      <c r="V3561" s="2">
        <v>1</v>
      </c>
      <c r="W3561" s="2" t="s">
        <v>80</v>
      </c>
      <c r="X3561" s="2">
        <v>10</v>
      </c>
      <c r="Y3561" s="2" t="s">
        <v>226</v>
      </c>
      <c r="Z3561" s="2">
        <v>9</v>
      </c>
      <c r="AA3561" s="2" t="s">
        <v>1119</v>
      </c>
      <c r="AB3561" s="2">
        <v>2</v>
      </c>
      <c r="AC3561" s="2" t="s">
        <v>102</v>
      </c>
      <c r="AD3561" s="3">
        <v>40419</v>
      </c>
      <c r="AE3561" s="4">
        <v>0.53472222222222221</v>
      </c>
      <c r="AF3561" s="2"/>
      <c r="AG3561" s="2"/>
      <c r="AH3561" s="2">
        <v>5</v>
      </c>
      <c r="AI3561" s="2" t="s">
        <v>274</v>
      </c>
      <c r="AJ3561" s="2">
        <v>38</v>
      </c>
      <c r="AK3561" s="2" t="s">
        <v>1120</v>
      </c>
      <c r="AL3561" s="2">
        <v>14</v>
      </c>
      <c r="AM3561" s="2" t="s">
        <v>216</v>
      </c>
      <c r="AN3561" s="2"/>
      <c r="AO3561" s="2" t="s">
        <v>11382</v>
      </c>
      <c r="AP3561" s="2">
        <v>11</v>
      </c>
      <c r="AQ3561" s="2" t="s">
        <v>82</v>
      </c>
      <c r="AR3561" s="2"/>
      <c r="AS3561" s="2"/>
      <c r="AT3561" s="2" t="s">
        <v>11389</v>
      </c>
      <c r="AU3561" s="2"/>
      <c r="AV3561" s="2"/>
      <c r="AW3561" s="2"/>
      <c r="AX3561" s="2"/>
      <c r="AY3561" s="2">
        <v>41</v>
      </c>
      <c r="AZ3561" s="2" t="s">
        <v>82</v>
      </c>
      <c r="BA3561" s="2">
        <v>41</v>
      </c>
      <c r="BB3561" s="2" t="s">
        <v>82</v>
      </c>
      <c r="BC3561" s="2">
        <v>41</v>
      </c>
      <c r="BD3561" s="2" t="s">
        <v>82</v>
      </c>
      <c r="BE3561" s="2">
        <v>47</v>
      </c>
      <c r="BF3561" s="2" t="s">
        <v>167</v>
      </c>
      <c r="BG3561" s="2">
        <v>2725</v>
      </c>
      <c r="BH3561" s="4">
        <v>0.47222222222222227</v>
      </c>
      <c r="BI3561" s="4">
        <v>0.5</v>
      </c>
      <c r="BJ3561" s="2">
        <v>13</v>
      </c>
      <c r="BK3561" s="2" t="s">
        <v>91</v>
      </c>
      <c r="BL3561" s="2" t="s">
        <v>1697</v>
      </c>
      <c r="BM3561" s="2">
        <v>241</v>
      </c>
      <c r="BN3561" s="2" t="s">
        <v>82</v>
      </c>
      <c r="BO3561" s="2"/>
      <c r="BP3561" s="2">
        <v>13</v>
      </c>
      <c r="BQ3561" s="2" t="s">
        <v>91</v>
      </c>
      <c r="BR3561" s="2" t="s">
        <v>170</v>
      </c>
      <c r="BS3561" s="3">
        <v>40419</v>
      </c>
      <c r="BT3561" s="4">
        <v>0.67680555555555555</v>
      </c>
    </row>
    <row r="3562" spans="1:72" x14ac:dyDescent="0.25">
      <c r="A3562" s="2">
        <v>5242</v>
      </c>
      <c r="B3562" s="2">
        <v>2010</v>
      </c>
      <c r="C3562" s="2" t="s">
        <v>93</v>
      </c>
      <c r="D3562" s="2" t="s">
        <v>73</v>
      </c>
      <c r="E3562" s="2"/>
      <c r="F3562" s="2">
        <v>195</v>
      </c>
      <c r="G3562" s="2" t="s">
        <v>4658</v>
      </c>
      <c r="H3562" s="2">
        <v>135</v>
      </c>
      <c r="I3562" s="2" t="s">
        <v>11390</v>
      </c>
      <c r="J3562" s="2">
        <v>203</v>
      </c>
      <c r="K3562" s="2" t="s">
        <v>4660</v>
      </c>
      <c r="L3562" s="2" t="s">
        <v>4661</v>
      </c>
      <c r="M3562" s="3">
        <v>40419</v>
      </c>
      <c r="N3562" s="2" t="s">
        <v>11391</v>
      </c>
      <c r="O3562" s="2" t="s">
        <v>11392</v>
      </c>
      <c r="P3562" s="2">
        <v>27477</v>
      </c>
      <c r="Q3562" s="2" t="str">
        <f>"0109/2010"</f>
        <v>0109/2010</v>
      </c>
      <c r="R3562" s="2"/>
      <c r="S3562" s="2" t="s">
        <v>7393</v>
      </c>
      <c r="T3562" s="2">
        <v>1</v>
      </c>
      <c r="U3562" s="2" t="s">
        <v>79</v>
      </c>
      <c r="V3562" s="2">
        <v>1</v>
      </c>
      <c r="W3562" s="2" t="s">
        <v>80</v>
      </c>
      <c r="X3562" s="2">
        <v>10</v>
      </c>
      <c r="Y3562" s="2" t="s">
        <v>226</v>
      </c>
      <c r="Z3562" s="2">
        <v>9</v>
      </c>
      <c r="AA3562" s="2" t="s">
        <v>1119</v>
      </c>
      <c r="AB3562" s="2">
        <v>2</v>
      </c>
      <c r="AC3562" s="2" t="s">
        <v>102</v>
      </c>
      <c r="AD3562" s="3">
        <v>40419</v>
      </c>
      <c r="AE3562" s="4">
        <v>0.53125</v>
      </c>
      <c r="AF3562" s="2"/>
      <c r="AG3562" s="2"/>
      <c r="AH3562" s="2">
        <v>5</v>
      </c>
      <c r="AI3562" s="2" t="s">
        <v>274</v>
      </c>
      <c r="AJ3562" s="2">
        <v>38</v>
      </c>
      <c r="AK3562" s="2" t="s">
        <v>1120</v>
      </c>
      <c r="AL3562" s="2">
        <v>14</v>
      </c>
      <c r="AM3562" s="2" t="s">
        <v>216</v>
      </c>
      <c r="AN3562" s="2"/>
      <c r="AO3562" s="2" t="s">
        <v>11393</v>
      </c>
      <c r="AP3562" s="2">
        <v>11</v>
      </c>
      <c r="AQ3562" s="2" t="s">
        <v>82</v>
      </c>
      <c r="AR3562" s="2"/>
      <c r="AS3562" s="2"/>
      <c r="AT3562" s="2" t="s">
        <v>11394</v>
      </c>
      <c r="AU3562" s="2"/>
      <c r="AV3562" s="2"/>
      <c r="AW3562" s="2"/>
      <c r="AX3562" s="2"/>
      <c r="AY3562" s="2">
        <v>41</v>
      </c>
      <c r="AZ3562" s="2" t="s">
        <v>82</v>
      </c>
      <c r="BA3562" s="2">
        <v>41</v>
      </c>
      <c r="BB3562" s="2" t="s">
        <v>82</v>
      </c>
      <c r="BC3562" s="2">
        <v>41</v>
      </c>
      <c r="BD3562" s="2" t="s">
        <v>82</v>
      </c>
      <c r="BE3562" s="2">
        <v>47</v>
      </c>
      <c r="BF3562" s="2" t="s">
        <v>167</v>
      </c>
      <c r="BG3562" s="2">
        <v>2725</v>
      </c>
      <c r="BH3562" s="4">
        <v>0.47222222222222227</v>
      </c>
      <c r="BI3562" s="4">
        <v>0.5</v>
      </c>
      <c r="BJ3562" s="2">
        <v>13</v>
      </c>
      <c r="BK3562" s="2" t="s">
        <v>91</v>
      </c>
      <c r="BL3562" s="2" t="s">
        <v>1697</v>
      </c>
      <c r="BM3562" s="2">
        <v>241</v>
      </c>
      <c r="BN3562" s="2" t="s">
        <v>82</v>
      </c>
      <c r="BO3562" s="2"/>
      <c r="BP3562" s="2">
        <v>13</v>
      </c>
      <c r="BQ3562" s="2" t="s">
        <v>91</v>
      </c>
      <c r="BR3562" s="2" t="s">
        <v>170</v>
      </c>
      <c r="BS3562" s="3">
        <v>40419</v>
      </c>
      <c r="BT3562" s="4">
        <v>0.69493055555555561</v>
      </c>
    </row>
    <row r="3563" spans="1:72" x14ac:dyDescent="0.25">
      <c r="A3563" s="2">
        <v>5243</v>
      </c>
      <c r="B3563" s="2">
        <v>2010</v>
      </c>
      <c r="C3563" s="2" t="s">
        <v>93</v>
      </c>
      <c r="D3563" s="2" t="s">
        <v>73</v>
      </c>
      <c r="E3563" s="2"/>
      <c r="F3563" s="2">
        <v>196</v>
      </c>
      <c r="G3563" s="2" t="s">
        <v>11395</v>
      </c>
      <c r="H3563" s="2">
        <v>136</v>
      </c>
      <c r="I3563" s="2" t="s">
        <v>11396</v>
      </c>
      <c r="J3563" s="2">
        <v>204</v>
      </c>
      <c r="K3563" s="2" t="s">
        <v>11397</v>
      </c>
      <c r="L3563" s="2" t="s">
        <v>11398</v>
      </c>
      <c r="M3563" s="3">
        <v>40419</v>
      </c>
      <c r="N3563" s="2" t="s">
        <v>11399</v>
      </c>
      <c r="O3563" s="2" t="s">
        <v>11400</v>
      </c>
      <c r="P3563" s="2">
        <v>92274</v>
      </c>
      <c r="Q3563" s="2" t="str">
        <f>"0112/2010"</f>
        <v>0112/2010</v>
      </c>
      <c r="R3563" s="2"/>
      <c r="S3563" s="2" t="s">
        <v>1695</v>
      </c>
      <c r="T3563" s="2">
        <v>1</v>
      </c>
      <c r="U3563" s="2" t="s">
        <v>79</v>
      </c>
      <c r="V3563" s="2">
        <v>1</v>
      </c>
      <c r="W3563" s="2" t="s">
        <v>80</v>
      </c>
      <c r="X3563" s="2">
        <v>10</v>
      </c>
      <c r="Y3563" s="2" t="s">
        <v>226</v>
      </c>
      <c r="Z3563" s="2">
        <v>9</v>
      </c>
      <c r="AA3563" s="2" t="s">
        <v>1119</v>
      </c>
      <c r="AB3563" s="2">
        <v>2</v>
      </c>
      <c r="AC3563" s="2" t="s">
        <v>102</v>
      </c>
      <c r="AD3563" s="3">
        <v>40419</v>
      </c>
      <c r="AE3563" s="4">
        <v>0.54166666666666663</v>
      </c>
      <c r="AF3563" s="2"/>
      <c r="AG3563" s="2"/>
      <c r="AH3563" s="2">
        <v>5</v>
      </c>
      <c r="AI3563" s="2" t="s">
        <v>274</v>
      </c>
      <c r="AJ3563" s="2">
        <v>38</v>
      </c>
      <c r="AK3563" s="2" t="s">
        <v>1120</v>
      </c>
      <c r="AL3563" s="2">
        <v>14</v>
      </c>
      <c r="AM3563" s="2" t="s">
        <v>216</v>
      </c>
      <c r="AN3563" s="2"/>
      <c r="AO3563" s="2" t="s">
        <v>11393</v>
      </c>
      <c r="AP3563" s="2">
        <v>11</v>
      </c>
      <c r="AQ3563" s="2" t="s">
        <v>82</v>
      </c>
      <c r="AR3563" s="2"/>
      <c r="AS3563" s="2"/>
      <c r="AT3563" s="2" t="s">
        <v>11401</v>
      </c>
      <c r="AU3563" s="2"/>
      <c r="AV3563" s="2"/>
      <c r="AW3563" s="2"/>
      <c r="AX3563" s="2"/>
      <c r="AY3563" s="2">
        <v>41</v>
      </c>
      <c r="AZ3563" s="2" t="s">
        <v>82</v>
      </c>
      <c r="BA3563" s="2">
        <v>41</v>
      </c>
      <c r="BB3563" s="2" t="s">
        <v>82</v>
      </c>
      <c r="BC3563" s="2">
        <v>41</v>
      </c>
      <c r="BD3563" s="2" t="s">
        <v>82</v>
      </c>
      <c r="BE3563" s="2">
        <v>47</v>
      </c>
      <c r="BF3563" s="2" t="s">
        <v>167</v>
      </c>
      <c r="BG3563" s="2">
        <v>2725</v>
      </c>
      <c r="BH3563" s="4">
        <v>0.47222222222222227</v>
      </c>
      <c r="BI3563" s="4">
        <v>0.5</v>
      </c>
      <c r="BJ3563" s="2">
        <v>13</v>
      </c>
      <c r="BK3563" s="2" t="s">
        <v>91</v>
      </c>
      <c r="BL3563" s="2" t="s">
        <v>1697</v>
      </c>
      <c r="BM3563" s="2">
        <v>241</v>
      </c>
      <c r="BN3563" s="2" t="s">
        <v>82</v>
      </c>
      <c r="BO3563" s="2"/>
      <c r="BP3563" s="2">
        <v>13</v>
      </c>
      <c r="BQ3563" s="2" t="s">
        <v>91</v>
      </c>
      <c r="BR3563" s="2" t="s">
        <v>170</v>
      </c>
      <c r="BS3563" s="3">
        <v>40419</v>
      </c>
      <c r="BT3563" s="4">
        <v>0.70766203703703701</v>
      </c>
    </row>
    <row r="3564" spans="1:72" x14ac:dyDescent="0.25">
      <c r="A3564" s="2">
        <v>5244</v>
      </c>
      <c r="B3564" s="2">
        <v>2010</v>
      </c>
      <c r="C3564" s="2" t="s">
        <v>1006</v>
      </c>
      <c r="D3564" s="2" t="s">
        <v>122</v>
      </c>
      <c r="E3564" s="2"/>
      <c r="F3564" s="2">
        <v>45</v>
      </c>
      <c r="G3564" s="2" t="s">
        <v>1408</v>
      </c>
      <c r="H3564" s="2">
        <v>47</v>
      </c>
      <c r="I3564" s="2" t="s">
        <v>1409</v>
      </c>
      <c r="J3564" s="2">
        <v>77</v>
      </c>
      <c r="K3564" s="2" t="s">
        <v>2517</v>
      </c>
      <c r="L3564" s="2" t="s">
        <v>2518</v>
      </c>
      <c r="M3564" s="3">
        <v>40419</v>
      </c>
      <c r="N3564" s="2"/>
      <c r="O3564" s="2" t="s">
        <v>11402</v>
      </c>
      <c r="P3564" s="2" t="s">
        <v>11403</v>
      </c>
      <c r="Q3564" s="2" t="str">
        <f>""</f>
        <v/>
      </c>
      <c r="R3564" s="2"/>
      <c r="S3564" s="2"/>
      <c r="T3564" s="2">
        <v>2</v>
      </c>
      <c r="U3564" s="2" t="s">
        <v>123</v>
      </c>
      <c r="V3564" s="2">
        <v>1</v>
      </c>
      <c r="W3564" s="2" t="s">
        <v>80</v>
      </c>
      <c r="X3564" s="2">
        <v>5</v>
      </c>
      <c r="Y3564" s="2" t="s">
        <v>82</v>
      </c>
      <c r="Z3564" s="2">
        <v>1</v>
      </c>
      <c r="AA3564" s="2" t="s">
        <v>82</v>
      </c>
      <c r="AB3564" s="2">
        <v>9</v>
      </c>
      <c r="AC3564" s="2" t="s">
        <v>124</v>
      </c>
      <c r="AD3564" s="3">
        <v>40418</v>
      </c>
      <c r="AE3564" s="4">
        <v>0.77083333333333337</v>
      </c>
      <c r="AF3564" s="2"/>
      <c r="AG3564" s="2"/>
      <c r="AH3564" s="2">
        <v>4</v>
      </c>
      <c r="AI3564" s="2" t="s">
        <v>125</v>
      </c>
      <c r="AJ3564" s="2">
        <v>31</v>
      </c>
      <c r="AK3564" s="2" t="s">
        <v>1413</v>
      </c>
      <c r="AL3564" s="2">
        <v>7</v>
      </c>
      <c r="AM3564" s="2" t="s">
        <v>1450</v>
      </c>
      <c r="AN3564" s="2" t="s">
        <v>11088</v>
      </c>
      <c r="AO3564" s="2" t="s">
        <v>11404</v>
      </c>
      <c r="AP3564" s="2">
        <v>11</v>
      </c>
      <c r="AQ3564" s="2" t="s">
        <v>82</v>
      </c>
      <c r="AR3564" s="2"/>
      <c r="AS3564" s="2"/>
      <c r="AT3564" s="2" t="s">
        <v>11405</v>
      </c>
      <c r="AU3564" s="2"/>
      <c r="AV3564" s="2"/>
      <c r="AW3564" s="2"/>
      <c r="AX3564" s="2"/>
      <c r="AY3564" s="2">
        <v>41</v>
      </c>
      <c r="AZ3564" s="2" t="s">
        <v>82</v>
      </c>
      <c r="BA3564" s="2">
        <v>41</v>
      </c>
      <c r="BB3564" s="2" t="s">
        <v>82</v>
      </c>
      <c r="BC3564" s="2">
        <v>41</v>
      </c>
      <c r="BD3564" s="2" t="s">
        <v>82</v>
      </c>
      <c r="BE3564" s="2">
        <v>41</v>
      </c>
      <c r="BF3564" s="2" t="s">
        <v>82</v>
      </c>
      <c r="BG3564" s="2"/>
      <c r="BH3564" s="4">
        <v>0.77083333333333337</v>
      </c>
      <c r="BI3564" s="2"/>
      <c r="BJ3564" s="2">
        <v>13</v>
      </c>
      <c r="BK3564" s="2" t="s">
        <v>91</v>
      </c>
      <c r="BL3564" s="2" t="s">
        <v>11406</v>
      </c>
      <c r="BM3564" s="2">
        <v>13</v>
      </c>
      <c r="BN3564" s="2" t="s">
        <v>91</v>
      </c>
      <c r="BO3564" s="2"/>
      <c r="BP3564" s="2">
        <v>13</v>
      </c>
      <c r="BQ3564" s="2" t="s">
        <v>91</v>
      </c>
      <c r="BR3564" s="2"/>
      <c r="BS3564" s="3">
        <v>40419</v>
      </c>
      <c r="BT3564" s="4">
        <v>0.80035879629629625</v>
      </c>
    </row>
    <row r="3565" spans="1:72" x14ac:dyDescent="0.25">
      <c r="A3565" s="2">
        <v>5245</v>
      </c>
      <c r="B3565" s="2">
        <v>2010</v>
      </c>
      <c r="C3565" s="2" t="s">
        <v>72</v>
      </c>
      <c r="D3565" s="2" t="s">
        <v>73</v>
      </c>
      <c r="E3565" s="2"/>
      <c r="F3565" s="2">
        <v>10</v>
      </c>
      <c r="G3565" s="2" t="s">
        <v>2143</v>
      </c>
      <c r="H3565" s="2">
        <v>39</v>
      </c>
      <c r="I3565" s="2" t="s">
        <v>1117</v>
      </c>
      <c r="J3565" s="2">
        <v>538</v>
      </c>
      <c r="K3565" s="2" t="s">
        <v>7264</v>
      </c>
      <c r="L3565" s="2" t="s">
        <v>7265</v>
      </c>
      <c r="M3565" s="3">
        <v>40419</v>
      </c>
      <c r="N3565" s="2" t="s">
        <v>2605</v>
      </c>
      <c r="O3565" s="2"/>
      <c r="P3565" s="2"/>
      <c r="Q3565" s="2" t="str">
        <f>"49/10"</f>
        <v>49/10</v>
      </c>
      <c r="R3565" s="2"/>
      <c r="S3565" s="2" t="s">
        <v>601</v>
      </c>
      <c r="T3565" s="2">
        <v>1</v>
      </c>
      <c r="U3565" s="2" t="s">
        <v>79</v>
      </c>
      <c r="V3565" s="2">
        <v>1</v>
      </c>
      <c r="W3565" s="2" t="s">
        <v>80</v>
      </c>
      <c r="X3565" s="2">
        <v>12</v>
      </c>
      <c r="Y3565" s="2" t="s">
        <v>148</v>
      </c>
      <c r="Z3565" s="2">
        <v>1</v>
      </c>
      <c r="AA3565" s="2" t="s">
        <v>82</v>
      </c>
      <c r="AB3565" s="2">
        <v>6</v>
      </c>
      <c r="AC3565" s="2" t="s">
        <v>83</v>
      </c>
      <c r="AD3565" s="3">
        <v>40408</v>
      </c>
      <c r="AE3565" s="2"/>
      <c r="AF3565" s="3">
        <v>40419</v>
      </c>
      <c r="AG3565" s="4">
        <v>0.76388888888888884</v>
      </c>
      <c r="AH3565" s="2">
        <v>3</v>
      </c>
      <c r="AI3565" s="2" t="s">
        <v>214</v>
      </c>
      <c r="AJ3565" s="2">
        <v>24</v>
      </c>
      <c r="AK3565" s="2" t="s">
        <v>215</v>
      </c>
      <c r="AL3565" s="2">
        <v>22</v>
      </c>
      <c r="AM3565" s="2" t="s">
        <v>1853</v>
      </c>
      <c r="AN3565" s="2"/>
      <c r="AO3565" s="2"/>
      <c r="AP3565" s="2">
        <v>11</v>
      </c>
      <c r="AQ3565" s="2" t="s">
        <v>82</v>
      </c>
      <c r="AR3565" s="2"/>
      <c r="AS3565" s="2"/>
      <c r="AT3565" s="2" t="s">
        <v>11407</v>
      </c>
      <c r="AU3565" s="2"/>
      <c r="AV3565" s="2"/>
      <c r="AW3565" s="2"/>
      <c r="AX3565" s="2"/>
      <c r="AY3565" s="2">
        <v>41</v>
      </c>
      <c r="AZ3565" s="2" t="s">
        <v>82</v>
      </c>
      <c r="BA3565" s="2">
        <v>41</v>
      </c>
      <c r="BB3565" s="2" t="s">
        <v>82</v>
      </c>
      <c r="BC3565" s="2">
        <v>41</v>
      </c>
      <c r="BD3565" s="2" t="s">
        <v>82</v>
      </c>
      <c r="BE3565" s="2">
        <v>13</v>
      </c>
      <c r="BF3565" s="2" t="s">
        <v>108</v>
      </c>
      <c r="BG3565" s="2" t="s">
        <v>10067</v>
      </c>
      <c r="BH3565" s="4">
        <v>0.67013888888888884</v>
      </c>
      <c r="BI3565" s="4">
        <v>0.54513888888888895</v>
      </c>
      <c r="BJ3565" s="2">
        <v>13</v>
      </c>
      <c r="BK3565" s="2" t="s">
        <v>91</v>
      </c>
      <c r="BL3565" s="2" t="s">
        <v>169</v>
      </c>
      <c r="BM3565" s="2">
        <v>13</v>
      </c>
      <c r="BN3565" s="2" t="s">
        <v>91</v>
      </c>
      <c r="BO3565" s="2" t="s">
        <v>11408</v>
      </c>
      <c r="BP3565" s="2">
        <v>13</v>
      </c>
      <c r="BQ3565" s="2" t="s">
        <v>91</v>
      </c>
      <c r="BR3565" s="2" t="s">
        <v>353</v>
      </c>
      <c r="BS3565" s="3">
        <v>40419</v>
      </c>
      <c r="BT3565" s="4">
        <v>0.84081018518518524</v>
      </c>
    </row>
    <row r="3566" spans="1:72" x14ac:dyDescent="0.25">
      <c r="A3566" s="2">
        <v>5246</v>
      </c>
      <c r="B3566" s="2">
        <v>2010</v>
      </c>
      <c r="C3566" s="2" t="s">
        <v>72</v>
      </c>
      <c r="D3566" s="2" t="s">
        <v>73</v>
      </c>
      <c r="E3566" s="2"/>
      <c r="F3566" s="2">
        <v>345</v>
      </c>
      <c r="G3566" s="2" t="s">
        <v>9112</v>
      </c>
      <c r="H3566" s="2">
        <v>42</v>
      </c>
      <c r="I3566" s="2" t="s">
        <v>1096</v>
      </c>
      <c r="J3566" s="2">
        <v>120</v>
      </c>
      <c r="K3566" s="2" t="s">
        <v>9927</v>
      </c>
      <c r="L3566" s="2" t="s">
        <v>115</v>
      </c>
      <c r="M3566" s="3">
        <v>40419</v>
      </c>
      <c r="N3566" s="2" t="s">
        <v>11409</v>
      </c>
      <c r="O3566" s="2" t="s">
        <v>107</v>
      </c>
      <c r="P3566" s="2" t="s">
        <v>107</v>
      </c>
      <c r="Q3566" s="2" t="str">
        <f>"037-10"</f>
        <v>037-10</v>
      </c>
      <c r="R3566" s="2" t="s">
        <v>11410</v>
      </c>
      <c r="S3566" s="2" t="s">
        <v>11410</v>
      </c>
      <c r="T3566" s="2">
        <v>1</v>
      </c>
      <c r="U3566" s="2" t="s">
        <v>79</v>
      </c>
      <c r="V3566" s="2">
        <v>1</v>
      </c>
      <c r="W3566" s="2" t="s">
        <v>80</v>
      </c>
      <c r="X3566" s="2">
        <v>12</v>
      </c>
      <c r="Y3566" s="2" t="s">
        <v>148</v>
      </c>
      <c r="Z3566" s="2">
        <v>1</v>
      </c>
      <c r="AA3566" s="2" t="s">
        <v>82</v>
      </c>
      <c r="AB3566" s="2">
        <v>6</v>
      </c>
      <c r="AC3566" s="2" t="s">
        <v>83</v>
      </c>
      <c r="AD3566" s="3">
        <v>40410</v>
      </c>
      <c r="AE3566" s="2"/>
      <c r="AF3566" s="3">
        <v>40419</v>
      </c>
      <c r="AG3566" s="4">
        <v>0.82291666666666663</v>
      </c>
      <c r="AH3566" s="2">
        <v>6</v>
      </c>
      <c r="AI3566" s="2" t="s">
        <v>197</v>
      </c>
      <c r="AJ3566" s="2">
        <v>50</v>
      </c>
      <c r="AK3566" s="2" t="s">
        <v>330</v>
      </c>
      <c r="AL3566" s="2">
        <v>22</v>
      </c>
      <c r="AM3566" s="2" t="s">
        <v>1853</v>
      </c>
      <c r="AN3566" s="2" t="s">
        <v>82</v>
      </c>
      <c r="AO3566" s="2" t="s">
        <v>82</v>
      </c>
      <c r="AP3566" s="2">
        <v>11</v>
      </c>
      <c r="AQ3566" s="2" t="s">
        <v>82</v>
      </c>
      <c r="AR3566" s="2"/>
      <c r="AS3566" s="2"/>
      <c r="AT3566" s="2" t="s">
        <v>11411</v>
      </c>
      <c r="AU3566" s="2"/>
      <c r="AV3566" s="2"/>
      <c r="AW3566" s="2"/>
      <c r="AX3566" s="2"/>
      <c r="AY3566" s="2">
        <v>41</v>
      </c>
      <c r="AZ3566" s="2" t="s">
        <v>82</v>
      </c>
      <c r="BA3566" s="2">
        <v>41</v>
      </c>
      <c r="BB3566" s="2" t="s">
        <v>82</v>
      </c>
      <c r="BC3566" s="2">
        <v>41</v>
      </c>
      <c r="BD3566" s="2" t="s">
        <v>82</v>
      </c>
      <c r="BE3566" s="2">
        <v>4</v>
      </c>
      <c r="BF3566" s="2" t="s">
        <v>90</v>
      </c>
      <c r="BG3566" s="2">
        <v>4347</v>
      </c>
      <c r="BH3566" s="2"/>
      <c r="BI3566" s="4">
        <v>0.61111111111111105</v>
      </c>
      <c r="BJ3566" s="2">
        <v>13</v>
      </c>
      <c r="BK3566" s="2" t="s">
        <v>91</v>
      </c>
      <c r="BL3566" s="2" t="s">
        <v>1199</v>
      </c>
      <c r="BM3566" s="2">
        <v>13</v>
      </c>
      <c r="BN3566" s="2" t="s">
        <v>91</v>
      </c>
      <c r="BO3566" s="2"/>
      <c r="BP3566" s="2">
        <v>13</v>
      </c>
      <c r="BQ3566" s="2" t="s">
        <v>91</v>
      </c>
      <c r="BR3566" s="2" t="s">
        <v>185</v>
      </c>
      <c r="BS3566" s="3">
        <v>40419</v>
      </c>
      <c r="BT3566" s="4">
        <v>0.88700231481481484</v>
      </c>
    </row>
    <row r="3567" spans="1:72" x14ac:dyDescent="0.25">
      <c r="A3567" s="2">
        <v>5247</v>
      </c>
      <c r="B3567" s="2">
        <v>2010</v>
      </c>
      <c r="C3567" s="2" t="s">
        <v>72</v>
      </c>
      <c r="D3567" s="2" t="s">
        <v>73</v>
      </c>
      <c r="E3567" s="2"/>
      <c r="F3567" s="2">
        <v>45</v>
      </c>
      <c r="G3567" s="2" t="s">
        <v>1408</v>
      </c>
      <c r="H3567" s="2">
        <v>47</v>
      </c>
      <c r="I3567" s="2" t="s">
        <v>1409</v>
      </c>
      <c r="J3567" s="2">
        <v>77</v>
      </c>
      <c r="K3567" s="2" t="s">
        <v>2517</v>
      </c>
      <c r="L3567" s="2" t="s">
        <v>2518</v>
      </c>
      <c r="M3567" s="3">
        <v>40419</v>
      </c>
      <c r="N3567" s="2" t="s">
        <v>11412</v>
      </c>
      <c r="O3567" s="2"/>
      <c r="P3567" s="2"/>
      <c r="Q3567" s="2" t="str">
        <f>"020/2010"</f>
        <v>020/2010</v>
      </c>
      <c r="R3567" s="2" t="s">
        <v>657</v>
      </c>
      <c r="S3567" s="2"/>
      <c r="T3567" s="2">
        <v>1</v>
      </c>
      <c r="U3567" s="2" t="s">
        <v>79</v>
      </c>
      <c r="V3567" s="2">
        <v>1</v>
      </c>
      <c r="W3567" s="2" t="s">
        <v>80</v>
      </c>
      <c r="X3567" s="2">
        <v>12</v>
      </c>
      <c r="Y3567" s="2" t="s">
        <v>148</v>
      </c>
      <c r="Z3567" s="2">
        <v>1</v>
      </c>
      <c r="AA3567" s="2" t="s">
        <v>82</v>
      </c>
      <c r="AB3567" s="2">
        <v>6</v>
      </c>
      <c r="AC3567" s="2" t="s">
        <v>83</v>
      </c>
      <c r="AD3567" s="3">
        <v>40419</v>
      </c>
      <c r="AE3567" s="2"/>
      <c r="AF3567" s="3">
        <v>40419</v>
      </c>
      <c r="AG3567" s="4">
        <v>0.8125</v>
      </c>
      <c r="AH3567" s="2">
        <v>4</v>
      </c>
      <c r="AI3567" s="2" t="s">
        <v>125</v>
      </c>
      <c r="AJ3567" s="2">
        <v>31</v>
      </c>
      <c r="AK3567" s="2" t="s">
        <v>1413</v>
      </c>
      <c r="AL3567" s="2">
        <v>22</v>
      </c>
      <c r="AM3567" s="2" t="s">
        <v>1853</v>
      </c>
      <c r="AN3567" s="2"/>
      <c r="AO3567" s="2"/>
      <c r="AP3567" s="2">
        <v>11</v>
      </c>
      <c r="AQ3567" s="2" t="s">
        <v>82</v>
      </c>
      <c r="AR3567" s="2"/>
      <c r="AS3567" s="2"/>
      <c r="AT3567" s="2" t="s">
        <v>11413</v>
      </c>
      <c r="AU3567" s="2"/>
      <c r="AV3567" s="2"/>
      <c r="AW3567" s="2"/>
      <c r="AX3567" s="2"/>
      <c r="AY3567" s="2">
        <v>1</v>
      </c>
      <c r="AZ3567" s="2" t="s">
        <v>107</v>
      </c>
      <c r="BA3567" s="2">
        <v>1</v>
      </c>
      <c r="BB3567" s="2" t="s">
        <v>107</v>
      </c>
      <c r="BC3567" s="2">
        <v>13</v>
      </c>
      <c r="BD3567" s="2" t="s">
        <v>108</v>
      </c>
      <c r="BE3567" s="2">
        <v>13</v>
      </c>
      <c r="BF3567" s="2" t="s">
        <v>108</v>
      </c>
      <c r="BG3567" s="2">
        <v>1494</v>
      </c>
      <c r="BH3567" s="4">
        <v>0.63888888888888895</v>
      </c>
      <c r="BI3567" s="4">
        <v>0.56944444444444442</v>
      </c>
      <c r="BJ3567" s="2">
        <v>13</v>
      </c>
      <c r="BK3567" s="2" t="s">
        <v>91</v>
      </c>
      <c r="BL3567" s="2" t="s">
        <v>185</v>
      </c>
      <c r="BM3567" s="2">
        <v>241</v>
      </c>
      <c r="BN3567" s="2" t="s">
        <v>82</v>
      </c>
      <c r="BO3567" s="2"/>
      <c r="BP3567" s="2">
        <v>13</v>
      </c>
      <c r="BQ3567" s="2" t="s">
        <v>91</v>
      </c>
      <c r="BR3567" s="2" t="s">
        <v>4725</v>
      </c>
      <c r="BS3567" s="3">
        <v>40419</v>
      </c>
      <c r="BT3567" s="4">
        <v>0.92479166666666668</v>
      </c>
    </row>
    <row r="3568" spans="1:72" x14ac:dyDescent="0.25">
      <c r="A3568" s="2">
        <v>5248</v>
      </c>
      <c r="B3568" s="2">
        <v>2010</v>
      </c>
      <c r="C3568" s="2" t="s">
        <v>72</v>
      </c>
      <c r="D3568" s="2" t="s">
        <v>73</v>
      </c>
      <c r="E3568" s="2"/>
      <c r="F3568" s="2">
        <v>667</v>
      </c>
      <c r="G3568" s="2" t="s">
        <v>10892</v>
      </c>
      <c r="H3568" s="2">
        <v>22</v>
      </c>
      <c r="I3568" s="2" t="s">
        <v>75</v>
      </c>
      <c r="J3568" s="2">
        <v>642</v>
      </c>
      <c r="K3568" s="2" t="s">
        <v>10893</v>
      </c>
      <c r="L3568" s="2" t="s">
        <v>6311</v>
      </c>
      <c r="M3568" s="3">
        <v>40419</v>
      </c>
      <c r="N3568" s="2" t="s">
        <v>10894</v>
      </c>
      <c r="O3568" s="2"/>
      <c r="P3568" s="2"/>
      <c r="Q3568" s="2" t="str">
        <f>"PS:339-A/10"</f>
        <v>PS:339-A/10</v>
      </c>
      <c r="R3568" s="2" t="s">
        <v>1547</v>
      </c>
      <c r="S3568" s="2" t="s">
        <v>1547</v>
      </c>
      <c r="T3568" s="2">
        <v>1</v>
      </c>
      <c r="U3568" s="2" t="s">
        <v>79</v>
      </c>
      <c r="V3568" s="2">
        <v>1</v>
      </c>
      <c r="W3568" s="2" t="s">
        <v>80</v>
      </c>
      <c r="X3568" s="2">
        <v>12</v>
      </c>
      <c r="Y3568" s="2" t="s">
        <v>148</v>
      </c>
      <c r="Z3568" s="2">
        <v>1</v>
      </c>
      <c r="AA3568" s="2" t="s">
        <v>82</v>
      </c>
      <c r="AB3568" s="2">
        <v>6</v>
      </c>
      <c r="AC3568" s="2" t="s">
        <v>83</v>
      </c>
      <c r="AD3568" s="3">
        <v>40419</v>
      </c>
      <c r="AE3568" s="4">
        <v>0.76736111111111116</v>
      </c>
      <c r="AF3568" s="3">
        <v>40419</v>
      </c>
      <c r="AG3568" s="4">
        <v>0.80208333333333337</v>
      </c>
      <c r="AH3568" s="2">
        <v>2</v>
      </c>
      <c r="AI3568" s="2" t="s">
        <v>84</v>
      </c>
      <c r="AJ3568" s="2">
        <v>12</v>
      </c>
      <c r="AK3568" s="2" t="s">
        <v>85</v>
      </c>
      <c r="AL3568" s="2">
        <v>22</v>
      </c>
      <c r="AM3568" s="2" t="s">
        <v>1853</v>
      </c>
      <c r="AN3568" s="2" t="s">
        <v>11414</v>
      </c>
      <c r="AO3568" s="2" t="s">
        <v>11415</v>
      </c>
      <c r="AP3568" s="2">
        <v>11</v>
      </c>
      <c r="AQ3568" s="2" t="s">
        <v>82</v>
      </c>
      <c r="AR3568" s="2"/>
      <c r="AS3568" s="2"/>
      <c r="AT3568" s="2" t="s">
        <v>11416</v>
      </c>
      <c r="AU3568" s="2"/>
      <c r="AV3568" s="2"/>
      <c r="AW3568" s="2"/>
      <c r="AX3568" s="2"/>
      <c r="AY3568" s="2">
        <v>41</v>
      </c>
      <c r="AZ3568" s="2" t="s">
        <v>82</v>
      </c>
      <c r="BA3568" s="2">
        <v>41</v>
      </c>
      <c r="BB3568" s="2" t="s">
        <v>82</v>
      </c>
      <c r="BC3568" s="2">
        <v>41</v>
      </c>
      <c r="BD3568" s="2" t="s">
        <v>82</v>
      </c>
      <c r="BE3568" s="2">
        <v>4</v>
      </c>
      <c r="BF3568" s="2" t="s">
        <v>90</v>
      </c>
      <c r="BG3568" s="2" t="s">
        <v>11334</v>
      </c>
      <c r="BH3568" s="2"/>
      <c r="BI3568" s="4">
        <v>0.81944444444444453</v>
      </c>
      <c r="BJ3568" s="2">
        <v>13</v>
      </c>
      <c r="BK3568" s="2" t="s">
        <v>91</v>
      </c>
      <c r="BL3568" s="2" t="s">
        <v>564</v>
      </c>
      <c r="BM3568" s="2">
        <v>241</v>
      </c>
      <c r="BN3568" s="2" t="s">
        <v>82</v>
      </c>
      <c r="BO3568" s="2"/>
      <c r="BP3568" s="2">
        <v>13</v>
      </c>
      <c r="BQ3568" s="2" t="s">
        <v>91</v>
      </c>
      <c r="BR3568" s="2" t="s">
        <v>241</v>
      </c>
      <c r="BS3568" s="3">
        <v>40419</v>
      </c>
      <c r="BT3568" s="4">
        <v>0.93133101851851852</v>
      </c>
    </row>
    <row r="3569" spans="1:72" x14ac:dyDescent="0.25">
      <c r="A3569" s="2">
        <v>5249</v>
      </c>
      <c r="B3569" s="2">
        <v>2010</v>
      </c>
      <c r="C3569" s="2" t="s">
        <v>549</v>
      </c>
      <c r="D3569" s="2" t="s">
        <v>73</v>
      </c>
      <c r="E3569" s="2"/>
      <c r="F3569" s="2">
        <v>38</v>
      </c>
      <c r="G3569" s="2" t="s">
        <v>430</v>
      </c>
      <c r="H3569" s="2">
        <v>1</v>
      </c>
      <c r="I3569" s="2" t="s">
        <v>82</v>
      </c>
      <c r="J3569" s="2">
        <v>536</v>
      </c>
      <c r="K3569" s="2" t="s">
        <v>6063</v>
      </c>
      <c r="L3569" s="2" t="s">
        <v>6064</v>
      </c>
      <c r="M3569" s="3">
        <v>40420</v>
      </c>
      <c r="N3569" s="2" t="s">
        <v>11417</v>
      </c>
      <c r="O3569" s="2" t="s">
        <v>82</v>
      </c>
      <c r="P3569" s="2" t="s">
        <v>82</v>
      </c>
      <c r="Q3569" s="2" t="str">
        <f>"41/10"</f>
        <v>41/10</v>
      </c>
      <c r="R3569" s="2" t="s">
        <v>11418</v>
      </c>
      <c r="S3569" s="2" t="s">
        <v>11418</v>
      </c>
      <c r="T3569" s="2">
        <v>1</v>
      </c>
      <c r="U3569" s="2" t="s">
        <v>79</v>
      </c>
      <c r="V3569" s="2">
        <v>1</v>
      </c>
      <c r="W3569" s="2" t="s">
        <v>80</v>
      </c>
      <c r="X3569" s="2">
        <v>1</v>
      </c>
      <c r="Y3569" s="2" t="s">
        <v>81</v>
      </c>
      <c r="Z3569" s="2">
        <v>1</v>
      </c>
      <c r="AA3569" s="2" t="s">
        <v>82</v>
      </c>
      <c r="AB3569" s="2">
        <v>9</v>
      </c>
      <c r="AC3569" s="2" t="s">
        <v>124</v>
      </c>
      <c r="AD3569" s="3">
        <v>40419</v>
      </c>
      <c r="AE3569" s="4">
        <v>0.66666666666666663</v>
      </c>
      <c r="AF3569" s="2"/>
      <c r="AG3569" s="2"/>
      <c r="AH3569" s="2">
        <v>3</v>
      </c>
      <c r="AI3569" s="2" t="s">
        <v>214</v>
      </c>
      <c r="AJ3569" s="2">
        <v>17</v>
      </c>
      <c r="AK3569" s="2" t="s">
        <v>309</v>
      </c>
      <c r="AL3569" s="2">
        <v>28</v>
      </c>
      <c r="AM3569" s="2" t="s">
        <v>5969</v>
      </c>
      <c r="AN3569" s="2" t="s">
        <v>11419</v>
      </c>
      <c r="AO3569" s="2"/>
      <c r="AP3569" s="2">
        <v>11</v>
      </c>
      <c r="AQ3569" s="2" t="s">
        <v>82</v>
      </c>
      <c r="AR3569" s="2"/>
      <c r="AS3569" s="2"/>
      <c r="AT3569" s="2" t="s">
        <v>11420</v>
      </c>
      <c r="AU3569" s="2"/>
      <c r="AV3569" s="2"/>
      <c r="AW3569" s="2"/>
      <c r="AX3569" s="2"/>
      <c r="AY3569" s="2">
        <v>41</v>
      </c>
      <c r="AZ3569" s="2" t="s">
        <v>82</v>
      </c>
      <c r="BA3569" s="2">
        <v>41</v>
      </c>
      <c r="BB3569" s="2" t="s">
        <v>82</v>
      </c>
      <c r="BC3569" s="2">
        <v>41</v>
      </c>
      <c r="BD3569" s="2" t="s">
        <v>82</v>
      </c>
      <c r="BE3569" s="2">
        <v>41</v>
      </c>
      <c r="BF3569" s="2" t="s">
        <v>82</v>
      </c>
      <c r="BG3569" s="2" t="s">
        <v>82</v>
      </c>
      <c r="BH3569" s="2"/>
      <c r="BI3569" s="2"/>
      <c r="BJ3569" s="2">
        <v>241</v>
      </c>
      <c r="BK3569" s="2" t="s">
        <v>82</v>
      </c>
      <c r="BL3569" s="2"/>
      <c r="BM3569" s="2">
        <v>241</v>
      </c>
      <c r="BN3569" s="2" t="s">
        <v>82</v>
      </c>
      <c r="BO3569" s="2"/>
      <c r="BP3569" s="2">
        <v>241</v>
      </c>
      <c r="BQ3569" s="2" t="s">
        <v>82</v>
      </c>
      <c r="BR3569" s="2"/>
      <c r="BS3569" s="3">
        <v>40420</v>
      </c>
      <c r="BT3569" s="4">
        <v>7.918981481481481E-2</v>
      </c>
    </row>
    <row r="3570" spans="1:72" x14ac:dyDescent="0.25">
      <c r="A3570" s="2">
        <v>5252</v>
      </c>
      <c r="B3570" s="2">
        <v>2010</v>
      </c>
      <c r="C3570" s="2" t="s">
        <v>171</v>
      </c>
      <c r="D3570" s="2" t="s">
        <v>73</v>
      </c>
      <c r="E3570" s="2" t="s">
        <v>11421</v>
      </c>
      <c r="F3570" s="2">
        <v>451</v>
      </c>
      <c r="G3570" s="2" t="s">
        <v>879</v>
      </c>
      <c r="H3570" s="2">
        <v>5</v>
      </c>
      <c r="I3570" s="2" t="s">
        <v>634</v>
      </c>
      <c r="J3570" s="2">
        <v>326</v>
      </c>
      <c r="K3570" s="2" t="s">
        <v>881</v>
      </c>
      <c r="L3570" s="2" t="s">
        <v>882</v>
      </c>
      <c r="M3570" s="3">
        <v>40420</v>
      </c>
      <c r="N3570" s="2" t="s">
        <v>3096</v>
      </c>
      <c r="O3570" s="2" t="s">
        <v>3243</v>
      </c>
      <c r="P3570" s="2" t="s">
        <v>11422</v>
      </c>
      <c r="Q3570" s="2" t="str">
        <f>"085/10"</f>
        <v>085/10</v>
      </c>
      <c r="R3570" s="2"/>
      <c r="S3570" s="2" t="s">
        <v>822</v>
      </c>
      <c r="T3570" s="2">
        <v>1</v>
      </c>
      <c r="U3570" s="2" t="s">
        <v>79</v>
      </c>
      <c r="V3570" s="2">
        <v>1</v>
      </c>
      <c r="W3570" s="2" t="s">
        <v>80</v>
      </c>
      <c r="X3570" s="2">
        <v>1</v>
      </c>
      <c r="Y3570" s="2" t="s">
        <v>81</v>
      </c>
      <c r="Z3570" s="2">
        <v>1</v>
      </c>
      <c r="AA3570" s="2" t="s">
        <v>82</v>
      </c>
      <c r="AB3570" s="2">
        <v>1</v>
      </c>
      <c r="AC3570" s="2" t="s">
        <v>178</v>
      </c>
      <c r="AD3570" s="3">
        <v>40420</v>
      </c>
      <c r="AE3570" s="4">
        <v>0.4513888888888889</v>
      </c>
      <c r="AF3570" s="2"/>
      <c r="AG3570" s="2"/>
      <c r="AH3570" s="2">
        <v>4</v>
      </c>
      <c r="AI3570" s="2" t="s">
        <v>125</v>
      </c>
      <c r="AJ3570" s="2">
        <v>29</v>
      </c>
      <c r="AK3570" s="2" t="s">
        <v>227</v>
      </c>
      <c r="AL3570" s="2">
        <v>16</v>
      </c>
      <c r="AM3570" s="2" t="s">
        <v>392</v>
      </c>
      <c r="AN3570" s="2" t="s">
        <v>6877</v>
      </c>
      <c r="AO3570" s="2"/>
      <c r="AP3570" s="2">
        <v>12</v>
      </c>
      <c r="AQ3570" s="2" t="s">
        <v>322</v>
      </c>
      <c r="AR3570" s="2" t="s">
        <v>824</v>
      </c>
      <c r="AS3570" s="2" t="s">
        <v>825</v>
      </c>
      <c r="AT3570" s="2" t="s">
        <v>11423</v>
      </c>
      <c r="AU3570" s="2"/>
      <c r="AV3570" s="2"/>
      <c r="AW3570" s="2"/>
      <c r="AX3570" s="2"/>
      <c r="AY3570" s="2">
        <v>41</v>
      </c>
      <c r="AZ3570" s="2" t="s">
        <v>82</v>
      </c>
      <c r="BA3570" s="2">
        <v>41</v>
      </c>
      <c r="BB3570" s="2" t="s">
        <v>82</v>
      </c>
      <c r="BC3570" s="2">
        <v>51</v>
      </c>
      <c r="BD3570" s="2" t="s">
        <v>827</v>
      </c>
      <c r="BE3570" s="2">
        <v>13</v>
      </c>
      <c r="BF3570" s="2" t="s">
        <v>108</v>
      </c>
      <c r="BG3570" s="2">
        <v>1459</v>
      </c>
      <c r="BH3570" s="4">
        <v>0.90972222222222221</v>
      </c>
      <c r="BI3570" s="4">
        <v>0.9375</v>
      </c>
      <c r="BJ3570" s="2">
        <v>13</v>
      </c>
      <c r="BK3570" s="2" t="s">
        <v>91</v>
      </c>
      <c r="BL3570" s="2" t="s">
        <v>828</v>
      </c>
      <c r="BM3570" s="2">
        <v>241</v>
      </c>
      <c r="BN3570" s="2" t="s">
        <v>82</v>
      </c>
      <c r="BO3570" s="2" t="s">
        <v>2529</v>
      </c>
      <c r="BP3570" s="2">
        <v>13</v>
      </c>
      <c r="BQ3570" s="2" t="s">
        <v>91</v>
      </c>
      <c r="BR3570" s="2" t="s">
        <v>185</v>
      </c>
      <c r="BS3570" s="3">
        <v>40420</v>
      </c>
      <c r="BT3570" s="4">
        <v>0.49895833333333334</v>
      </c>
    </row>
    <row r="3571" spans="1:72" x14ac:dyDescent="0.25">
      <c r="A3571" s="2">
        <v>5253</v>
      </c>
      <c r="B3571" s="2">
        <v>2010</v>
      </c>
      <c r="C3571" s="2" t="s">
        <v>4543</v>
      </c>
      <c r="D3571" s="2" t="s">
        <v>122</v>
      </c>
      <c r="E3571" s="2"/>
      <c r="F3571" s="2">
        <v>146</v>
      </c>
      <c r="G3571" s="2" t="s">
        <v>753</v>
      </c>
      <c r="H3571" s="2">
        <v>40</v>
      </c>
      <c r="I3571" s="2" t="s">
        <v>2101</v>
      </c>
      <c r="J3571" s="2">
        <v>161</v>
      </c>
      <c r="K3571" s="2" t="s">
        <v>1900</v>
      </c>
      <c r="L3571" s="2" t="s">
        <v>1901</v>
      </c>
      <c r="M3571" s="3">
        <v>40420</v>
      </c>
      <c r="N3571" s="2" t="s">
        <v>11424</v>
      </c>
      <c r="O3571" s="2" t="s">
        <v>107</v>
      </c>
      <c r="P3571" s="2" t="s">
        <v>107</v>
      </c>
      <c r="Q3571" s="2" t="str">
        <f>"S/D"</f>
        <v>S/D</v>
      </c>
      <c r="R3571" s="2" t="s">
        <v>107</v>
      </c>
      <c r="S3571" s="2" t="s">
        <v>107</v>
      </c>
      <c r="T3571" s="2">
        <v>2</v>
      </c>
      <c r="U3571" s="2" t="s">
        <v>123</v>
      </c>
      <c r="V3571" s="2">
        <v>1</v>
      </c>
      <c r="W3571" s="2" t="s">
        <v>80</v>
      </c>
      <c r="X3571" s="2">
        <v>5</v>
      </c>
      <c r="Y3571" s="2" t="s">
        <v>82</v>
      </c>
      <c r="Z3571" s="2">
        <v>1</v>
      </c>
      <c r="AA3571" s="2" t="s">
        <v>82</v>
      </c>
      <c r="AB3571" s="2">
        <v>9</v>
      </c>
      <c r="AC3571" s="2" t="s">
        <v>124</v>
      </c>
      <c r="AD3571" s="3">
        <v>40420</v>
      </c>
      <c r="AE3571" s="4">
        <v>0.4375</v>
      </c>
      <c r="AF3571" s="2"/>
      <c r="AG3571" s="2"/>
      <c r="AH3571" s="2">
        <v>6</v>
      </c>
      <c r="AI3571" s="2" t="s">
        <v>197</v>
      </c>
      <c r="AJ3571" s="2">
        <v>54</v>
      </c>
      <c r="AK3571" s="2" t="s">
        <v>348</v>
      </c>
      <c r="AL3571" s="2">
        <v>18</v>
      </c>
      <c r="AM3571" s="2" t="s">
        <v>82</v>
      </c>
      <c r="AN3571" s="2" t="s">
        <v>9102</v>
      </c>
      <c r="AO3571" s="2" t="s">
        <v>2691</v>
      </c>
      <c r="AP3571" s="2">
        <v>11</v>
      </c>
      <c r="AQ3571" s="2" t="s">
        <v>82</v>
      </c>
      <c r="AR3571" s="2" t="s">
        <v>107</v>
      </c>
      <c r="AS3571" s="2" t="s">
        <v>107</v>
      </c>
      <c r="AT3571" s="2" t="s">
        <v>11425</v>
      </c>
      <c r="AU3571" s="2"/>
      <c r="AV3571" s="2"/>
      <c r="AW3571" s="2"/>
      <c r="AX3571" s="2"/>
      <c r="AY3571" s="2">
        <v>1</v>
      </c>
      <c r="AZ3571" s="2" t="s">
        <v>107</v>
      </c>
      <c r="BA3571" s="2">
        <v>1</v>
      </c>
      <c r="BB3571" s="2" t="s">
        <v>107</v>
      </c>
      <c r="BC3571" s="2">
        <v>1</v>
      </c>
      <c r="BD3571" s="2" t="s">
        <v>107</v>
      </c>
      <c r="BE3571" s="2">
        <v>1</v>
      </c>
      <c r="BF3571" s="2" t="s">
        <v>107</v>
      </c>
      <c r="BG3571" s="2" t="s">
        <v>107</v>
      </c>
      <c r="BH3571" s="2"/>
      <c r="BI3571" s="2"/>
      <c r="BJ3571" s="2">
        <v>242</v>
      </c>
      <c r="BK3571" s="2" t="s">
        <v>107</v>
      </c>
      <c r="BL3571" s="2" t="s">
        <v>107</v>
      </c>
      <c r="BM3571" s="2">
        <v>242</v>
      </c>
      <c r="BN3571" s="2" t="s">
        <v>107</v>
      </c>
      <c r="BO3571" s="2" t="s">
        <v>107</v>
      </c>
      <c r="BP3571" s="2">
        <v>241</v>
      </c>
      <c r="BQ3571" s="2" t="s">
        <v>82</v>
      </c>
      <c r="BR3571" s="2" t="s">
        <v>107</v>
      </c>
      <c r="BS3571" s="3">
        <v>40420</v>
      </c>
      <c r="BT3571" s="4">
        <v>0.50783564814814819</v>
      </c>
    </row>
    <row r="3572" spans="1:72" x14ac:dyDescent="0.25">
      <c r="A3572" s="2">
        <v>5254</v>
      </c>
      <c r="B3572" s="2">
        <v>2010</v>
      </c>
      <c r="C3572" s="2" t="s">
        <v>147</v>
      </c>
      <c r="D3572" s="2" t="s">
        <v>73</v>
      </c>
      <c r="E3572" s="2"/>
      <c r="F3572" s="2">
        <v>1</v>
      </c>
      <c r="G3572" s="2" t="s">
        <v>82</v>
      </c>
      <c r="H3572" s="2">
        <v>1</v>
      </c>
      <c r="I3572" s="2" t="s">
        <v>82</v>
      </c>
      <c r="J3572" s="2">
        <v>1</v>
      </c>
      <c r="K3572" s="2" t="s">
        <v>107</v>
      </c>
      <c r="L3572" s="2" t="s">
        <v>107</v>
      </c>
      <c r="M3572" s="3">
        <v>40420</v>
      </c>
      <c r="N3572" s="2"/>
      <c r="O3572" s="2"/>
      <c r="P3572" s="2"/>
      <c r="Q3572" s="2" t="str">
        <f>""</f>
        <v/>
      </c>
      <c r="R3572" s="2"/>
      <c r="S3572" s="2"/>
      <c r="T3572" s="2">
        <v>2</v>
      </c>
      <c r="U3572" s="2" t="s">
        <v>123</v>
      </c>
      <c r="V3572" s="2">
        <v>1</v>
      </c>
      <c r="W3572" s="2" t="s">
        <v>80</v>
      </c>
      <c r="X3572" s="2">
        <v>12</v>
      </c>
      <c r="Y3572" s="2" t="s">
        <v>148</v>
      </c>
      <c r="Z3572" s="2">
        <v>1</v>
      </c>
      <c r="AA3572" s="2" t="s">
        <v>82</v>
      </c>
      <c r="AB3572" s="2">
        <v>9</v>
      </c>
      <c r="AC3572" s="2" t="s">
        <v>124</v>
      </c>
      <c r="AD3572" s="2"/>
      <c r="AE3572" s="2"/>
      <c r="AF3572" s="3">
        <v>40420</v>
      </c>
      <c r="AG3572" s="4">
        <v>0.45833333333333331</v>
      </c>
      <c r="AH3572" s="2">
        <v>2</v>
      </c>
      <c r="AI3572" s="2" t="s">
        <v>84</v>
      </c>
      <c r="AJ3572" s="2">
        <v>11</v>
      </c>
      <c r="AK3572" s="2" t="s">
        <v>751</v>
      </c>
      <c r="AL3572" s="2">
        <v>19</v>
      </c>
      <c r="AM3572" s="2" t="s">
        <v>107</v>
      </c>
      <c r="AN3572" s="2" t="s">
        <v>11224</v>
      </c>
      <c r="AO3572" s="2" t="s">
        <v>11187</v>
      </c>
      <c r="AP3572" s="2">
        <v>11</v>
      </c>
      <c r="AQ3572" s="2" t="s">
        <v>82</v>
      </c>
      <c r="AR3572" s="2"/>
      <c r="AS3572" s="2"/>
      <c r="AT3572" s="2" t="s">
        <v>11426</v>
      </c>
      <c r="AU3572" s="2"/>
      <c r="AV3572" s="2"/>
      <c r="AW3572" s="2"/>
      <c r="AX3572" s="2"/>
      <c r="AY3572" s="2">
        <v>41</v>
      </c>
      <c r="AZ3572" s="2" t="s">
        <v>82</v>
      </c>
      <c r="BA3572" s="2">
        <v>41</v>
      </c>
      <c r="BB3572" s="2" t="s">
        <v>82</v>
      </c>
      <c r="BC3572" s="2">
        <v>41</v>
      </c>
      <c r="BD3572" s="2" t="s">
        <v>82</v>
      </c>
      <c r="BE3572" s="2">
        <v>41</v>
      </c>
      <c r="BF3572" s="2" t="s">
        <v>82</v>
      </c>
      <c r="BG3572" s="2"/>
      <c r="BH3572" s="2"/>
      <c r="BI3572" s="2"/>
      <c r="BJ3572" s="2">
        <v>241</v>
      </c>
      <c r="BK3572" s="2" t="s">
        <v>82</v>
      </c>
      <c r="BL3572" s="2"/>
      <c r="BM3572" s="2">
        <v>241</v>
      </c>
      <c r="BN3572" s="2" t="s">
        <v>82</v>
      </c>
      <c r="BO3572" s="2"/>
      <c r="BP3572" s="2">
        <v>241</v>
      </c>
      <c r="BQ3572" s="2" t="s">
        <v>82</v>
      </c>
      <c r="BR3572" s="2"/>
      <c r="BS3572" s="3">
        <v>40420</v>
      </c>
      <c r="BT3572" s="4">
        <v>0.52173611111111107</v>
      </c>
    </row>
    <row r="3573" spans="1:72" x14ac:dyDescent="0.25">
      <c r="A3573" s="2">
        <v>5255</v>
      </c>
      <c r="B3573" s="2">
        <v>2010</v>
      </c>
      <c r="C3573" s="2" t="s">
        <v>72</v>
      </c>
      <c r="D3573" s="2" t="s">
        <v>73</v>
      </c>
      <c r="E3573" s="2"/>
      <c r="F3573" s="2">
        <v>389</v>
      </c>
      <c r="G3573" s="2" t="s">
        <v>1819</v>
      </c>
      <c r="H3573" s="2">
        <v>4</v>
      </c>
      <c r="I3573" s="2" t="s">
        <v>173</v>
      </c>
      <c r="J3573" s="2">
        <v>399</v>
      </c>
      <c r="K3573" s="2" t="s">
        <v>1820</v>
      </c>
      <c r="L3573" s="2" t="s">
        <v>1821</v>
      </c>
      <c r="M3573" s="3">
        <v>40420</v>
      </c>
      <c r="N3573" s="2"/>
      <c r="O3573" s="2"/>
      <c r="P3573" s="2"/>
      <c r="Q3573" s="2" t="str">
        <f>"444-E/10"</f>
        <v>444-E/10</v>
      </c>
      <c r="R3573" s="2"/>
      <c r="S3573" s="2" t="s">
        <v>601</v>
      </c>
      <c r="T3573" s="2">
        <v>1</v>
      </c>
      <c r="U3573" s="2" t="s">
        <v>79</v>
      </c>
      <c r="V3573" s="2">
        <v>1</v>
      </c>
      <c r="W3573" s="2" t="s">
        <v>80</v>
      </c>
      <c r="X3573" s="2">
        <v>12</v>
      </c>
      <c r="Y3573" s="2" t="s">
        <v>148</v>
      </c>
      <c r="Z3573" s="2">
        <v>1</v>
      </c>
      <c r="AA3573" s="2" t="s">
        <v>82</v>
      </c>
      <c r="AB3573" s="2">
        <v>6</v>
      </c>
      <c r="AC3573" s="2" t="s">
        <v>83</v>
      </c>
      <c r="AD3573" s="2"/>
      <c r="AE3573" s="2"/>
      <c r="AF3573" s="3">
        <v>40420</v>
      </c>
      <c r="AG3573" s="4">
        <v>0.43055555555555558</v>
      </c>
      <c r="AH3573" s="2">
        <v>2</v>
      </c>
      <c r="AI3573" s="2" t="s">
        <v>84</v>
      </c>
      <c r="AJ3573" s="2">
        <v>9</v>
      </c>
      <c r="AK3573" s="2" t="s">
        <v>103</v>
      </c>
      <c r="AL3573" s="2">
        <v>22</v>
      </c>
      <c r="AM3573" s="2" t="s">
        <v>1853</v>
      </c>
      <c r="AN3573" s="2"/>
      <c r="AO3573" s="2" t="s">
        <v>11427</v>
      </c>
      <c r="AP3573" s="2">
        <v>11</v>
      </c>
      <c r="AQ3573" s="2" t="s">
        <v>82</v>
      </c>
      <c r="AR3573" s="2" t="s">
        <v>82</v>
      </c>
      <c r="AS3573" s="2" t="s">
        <v>82</v>
      </c>
      <c r="AT3573" s="2" t="s">
        <v>11428</v>
      </c>
      <c r="AU3573" s="2"/>
      <c r="AV3573" s="2"/>
      <c r="AW3573" s="2"/>
      <c r="AX3573" s="2"/>
      <c r="AY3573" s="2">
        <v>41</v>
      </c>
      <c r="AZ3573" s="2" t="s">
        <v>82</v>
      </c>
      <c r="BA3573" s="2">
        <v>41</v>
      </c>
      <c r="BB3573" s="2" t="s">
        <v>82</v>
      </c>
      <c r="BC3573" s="2">
        <v>41</v>
      </c>
      <c r="BD3573" s="2" t="s">
        <v>82</v>
      </c>
      <c r="BE3573" s="2">
        <v>31</v>
      </c>
      <c r="BF3573" s="2" t="s">
        <v>398</v>
      </c>
      <c r="BG3573" s="2" t="s">
        <v>1430</v>
      </c>
      <c r="BH3573" s="4">
        <v>0.375</v>
      </c>
      <c r="BI3573" s="2"/>
      <c r="BJ3573" s="2">
        <v>73</v>
      </c>
      <c r="BK3573" s="2" t="s">
        <v>186</v>
      </c>
      <c r="BL3573" s="2" t="s">
        <v>675</v>
      </c>
      <c r="BM3573" s="2">
        <v>241</v>
      </c>
      <c r="BN3573" s="2" t="s">
        <v>82</v>
      </c>
      <c r="BO3573" s="2" t="s">
        <v>82</v>
      </c>
      <c r="BP3573" s="2">
        <v>13</v>
      </c>
      <c r="BQ3573" s="2" t="s">
        <v>91</v>
      </c>
      <c r="BR3573" s="2" t="s">
        <v>360</v>
      </c>
      <c r="BS3573" s="3">
        <v>40420</v>
      </c>
      <c r="BT3573" s="4">
        <v>0.54525462962962956</v>
      </c>
    </row>
    <row r="3574" spans="1:72" x14ac:dyDescent="0.25">
      <c r="A3574" s="2">
        <v>5256</v>
      </c>
      <c r="B3574" s="2">
        <v>2010</v>
      </c>
      <c r="C3574" s="2" t="s">
        <v>147</v>
      </c>
      <c r="D3574" s="2" t="s">
        <v>73</v>
      </c>
      <c r="E3574" s="2"/>
      <c r="F3574" s="2">
        <v>1</v>
      </c>
      <c r="G3574" s="2" t="s">
        <v>82</v>
      </c>
      <c r="H3574" s="2">
        <v>1</v>
      </c>
      <c r="I3574" s="2" t="s">
        <v>82</v>
      </c>
      <c r="J3574" s="2">
        <v>1</v>
      </c>
      <c r="K3574" s="2" t="s">
        <v>107</v>
      </c>
      <c r="L3574" s="2" t="s">
        <v>107</v>
      </c>
      <c r="M3574" s="3">
        <v>40420</v>
      </c>
      <c r="N3574" s="2"/>
      <c r="O3574" s="2"/>
      <c r="P3574" s="2"/>
      <c r="Q3574" s="2" t="str">
        <f>""</f>
        <v/>
      </c>
      <c r="R3574" s="2"/>
      <c r="S3574" s="2"/>
      <c r="T3574" s="2">
        <v>2</v>
      </c>
      <c r="U3574" s="2" t="s">
        <v>123</v>
      </c>
      <c r="V3574" s="2">
        <v>1</v>
      </c>
      <c r="W3574" s="2" t="s">
        <v>80</v>
      </c>
      <c r="X3574" s="2">
        <v>12</v>
      </c>
      <c r="Y3574" s="2" t="s">
        <v>148</v>
      </c>
      <c r="Z3574" s="2">
        <v>1</v>
      </c>
      <c r="AA3574" s="2" t="s">
        <v>82</v>
      </c>
      <c r="AB3574" s="2">
        <v>9</v>
      </c>
      <c r="AC3574" s="2" t="s">
        <v>124</v>
      </c>
      <c r="AD3574" s="2"/>
      <c r="AE3574" s="2"/>
      <c r="AF3574" s="3">
        <v>40420</v>
      </c>
      <c r="AG3574" s="4">
        <v>0.46527777777777773</v>
      </c>
      <c r="AH3574" s="2">
        <v>2</v>
      </c>
      <c r="AI3574" s="2" t="s">
        <v>84</v>
      </c>
      <c r="AJ3574" s="2">
        <v>11</v>
      </c>
      <c r="AK3574" s="2" t="s">
        <v>751</v>
      </c>
      <c r="AL3574" s="2">
        <v>19</v>
      </c>
      <c r="AM3574" s="2" t="s">
        <v>107</v>
      </c>
      <c r="AN3574" s="2"/>
      <c r="AO3574" s="2" t="s">
        <v>11187</v>
      </c>
      <c r="AP3574" s="2">
        <v>11</v>
      </c>
      <c r="AQ3574" s="2" t="s">
        <v>82</v>
      </c>
      <c r="AR3574" s="2"/>
      <c r="AS3574" s="2"/>
      <c r="AT3574" s="2" t="s">
        <v>11429</v>
      </c>
      <c r="AU3574" s="2"/>
      <c r="AV3574" s="2"/>
      <c r="AW3574" s="2"/>
      <c r="AX3574" s="2"/>
      <c r="AY3574" s="2">
        <v>41</v>
      </c>
      <c r="AZ3574" s="2" t="s">
        <v>82</v>
      </c>
      <c r="BA3574" s="2">
        <v>41</v>
      </c>
      <c r="BB3574" s="2" t="s">
        <v>82</v>
      </c>
      <c r="BC3574" s="2">
        <v>41</v>
      </c>
      <c r="BD3574" s="2" t="s">
        <v>82</v>
      </c>
      <c r="BE3574" s="2">
        <v>41</v>
      </c>
      <c r="BF3574" s="2" t="s">
        <v>82</v>
      </c>
      <c r="BG3574" s="2"/>
      <c r="BH3574" s="2"/>
      <c r="BI3574" s="2"/>
      <c r="BJ3574" s="2">
        <v>241</v>
      </c>
      <c r="BK3574" s="2" t="s">
        <v>82</v>
      </c>
      <c r="BL3574" s="2"/>
      <c r="BM3574" s="2">
        <v>241</v>
      </c>
      <c r="BN3574" s="2" t="s">
        <v>82</v>
      </c>
      <c r="BO3574" s="2"/>
      <c r="BP3574" s="2">
        <v>241</v>
      </c>
      <c r="BQ3574" s="2" t="s">
        <v>82</v>
      </c>
      <c r="BR3574" s="2"/>
      <c r="BS3574" s="3">
        <v>40420</v>
      </c>
      <c r="BT3574" s="4">
        <v>0.55465277777777777</v>
      </c>
    </row>
    <row r="3575" spans="1:72" x14ac:dyDescent="0.25">
      <c r="A3575" s="2">
        <v>5259</v>
      </c>
      <c r="B3575" s="2">
        <v>2010</v>
      </c>
      <c r="C3575" s="2" t="s">
        <v>171</v>
      </c>
      <c r="D3575" s="2" t="s">
        <v>73</v>
      </c>
      <c r="E3575" s="2" t="s">
        <v>11430</v>
      </c>
      <c r="F3575" s="2">
        <v>425</v>
      </c>
      <c r="G3575" s="2" t="s">
        <v>286</v>
      </c>
      <c r="H3575" s="2">
        <v>30</v>
      </c>
      <c r="I3575" s="2" t="s">
        <v>912</v>
      </c>
      <c r="J3575" s="2">
        <v>310</v>
      </c>
      <c r="K3575" s="2" t="s">
        <v>288</v>
      </c>
      <c r="L3575" s="2" t="s">
        <v>289</v>
      </c>
      <c r="M3575" s="3">
        <v>40420</v>
      </c>
      <c r="N3575" s="2" t="s">
        <v>2049</v>
      </c>
      <c r="O3575" s="2" t="s">
        <v>2490</v>
      </c>
      <c r="P3575" s="2" t="s">
        <v>11431</v>
      </c>
      <c r="Q3575" s="2" t="str">
        <f>"089/10"</f>
        <v>089/10</v>
      </c>
      <c r="R3575" s="2"/>
      <c r="S3575" s="2" t="s">
        <v>822</v>
      </c>
      <c r="T3575" s="2">
        <v>1</v>
      </c>
      <c r="U3575" s="2" t="s">
        <v>79</v>
      </c>
      <c r="V3575" s="2">
        <v>1</v>
      </c>
      <c r="W3575" s="2" t="s">
        <v>80</v>
      </c>
      <c r="X3575" s="2">
        <v>1</v>
      </c>
      <c r="Y3575" s="2" t="s">
        <v>81</v>
      </c>
      <c r="Z3575" s="2">
        <v>1</v>
      </c>
      <c r="AA3575" s="2" t="s">
        <v>82</v>
      </c>
      <c r="AB3575" s="2">
        <v>1</v>
      </c>
      <c r="AC3575" s="2" t="s">
        <v>178</v>
      </c>
      <c r="AD3575" s="3">
        <v>40420</v>
      </c>
      <c r="AE3575" s="4">
        <v>0.59722222222222221</v>
      </c>
      <c r="AF3575" s="2"/>
      <c r="AG3575" s="2"/>
      <c r="AH3575" s="2">
        <v>4</v>
      </c>
      <c r="AI3575" s="2" t="s">
        <v>125</v>
      </c>
      <c r="AJ3575" s="2">
        <v>29</v>
      </c>
      <c r="AK3575" s="2" t="s">
        <v>227</v>
      </c>
      <c r="AL3575" s="2">
        <v>16</v>
      </c>
      <c r="AM3575" s="2" t="s">
        <v>392</v>
      </c>
      <c r="AN3575" s="2" t="s">
        <v>9764</v>
      </c>
      <c r="AO3575" s="2"/>
      <c r="AP3575" s="2">
        <v>12</v>
      </c>
      <c r="AQ3575" s="2" t="s">
        <v>322</v>
      </c>
      <c r="AR3575" s="2" t="s">
        <v>824</v>
      </c>
      <c r="AS3575" s="2" t="s">
        <v>825</v>
      </c>
      <c r="AT3575" s="2" t="s">
        <v>11432</v>
      </c>
      <c r="AU3575" s="2"/>
      <c r="AV3575" s="2"/>
      <c r="AW3575" s="2"/>
      <c r="AX3575" s="2"/>
      <c r="AY3575" s="2">
        <v>41</v>
      </c>
      <c r="AZ3575" s="2" t="s">
        <v>82</v>
      </c>
      <c r="BA3575" s="2">
        <v>41</v>
      </c>
      <c r="BB3575" s="2" t="s">
        <v>82</v>
      </c>
      <c r="BC3575" s="2">
        <v>51</v>
      </c>
      <c r="BD3575" s="2" t="s">
        <v>827</v>
      </c>
      <c r="BE3575" s="2">
        <v>47</v>
      </c>
      <c r="BF3575" s="2" t="s">
        <v>167</v>
      </c>
      <c r="BG3575" s="2">
        <v>2459</v>
      </c>
      <c r="BH3575" s="4">
        <v>0.92708333333333337</v>
      </c>
      <c r="BI3575" s="4">
        <v>0.94791666666666663</v>
      </c>
      <c r="BJ3575" s="2">
        <v>13</v>
      </c>
      <c r="BK3575" s="2" t="s">
        <v>91</v>
      </c>
      <c r="BL3575" s="2" t="s">
        <v>828</v>
      </c>
      <c r="BM3575" s="2">
        <v>241</v>
      </c>
      <c r="BN3575" s="2" t="s">
        <v>82</v>
      </c>
      <c r="BO3575" s="2" t="s">
        <v>82</v>
      </c>
      <c r="BP3575" s="2">
        <v>13</v>
      </c>
      <c r="BQ3575" s="2" t="s">
        <v>91</v>
      </c>
      <c r="BR3575" s="2" t="s">
        <v>185</v>
      </c>
      <c r="BS3575" s="3">
        <v>40420</v>
      </c>
      <c r="BT3575" s="4">
        <v>0.6711111111111111</v>
      </c>
    </row>
    <row r="3576" spans="1:72" x14ac:dyDescent="0.25">
      <c r="A3576" s="2">
        <v>5260</v>
      </c>
      <c r="B3576" s="2">
        <v>2010</v>
      </c>
      <c r="C3576" s="2" t="s">
        <v>128</v>
      </c>
      <c r="D3576" s="2" t="s">
        <v>73</v>
      </c>
      <c r="E3576" s="2"/>
      <c r="F3576" s="2">
        <v>425</v>
      </c>
      <c r="G3576" s="2" t="s">
        <v>286</v>
      </c>
      <c r="H3576" s="2">
        <v>122</v>
      </c>
      <c r="I3576" s="2" t="s">
        <v>8431</v>
      </c>
      <c r="J3576" s="2">
        <v>310</v>
      </c>
      <c r="K3576" s="2" t="s">
        <v>288</v>
      </c>
      <c r="L3576" s="2" t="s">
        <v>289</v>
      </c>
      <c r="M3576" s="3">
        <v>40420</v>
      </c>
      <c r="N3576" s="2" t="s">
        <v>1882</v>
      </c>
      <c r="O3576" s="2" t="s">
        <v>11433</v>
      </c>
      <c r="P3576" s="2" t="s">
        <v>11434</v>
      </c>
      <c r="Q3576" s="2" t="str">
        <f>"102"</f>
        <v>102</v>
      </c>
      <c r="R3576" s="2"/>
      <c r="S3576" s="2"/>
      <c r="T3576" s="2">
        <v>1</v>
      </c>
      <c r="U3576" s="2" t="s">
        <v>79</v>
      </c>
      <c r="V3576" s="2">
        <v>3</v>
      </c>
      <c r="W3576" s="2" t="s">
        <v>225</v>
      </c>
      <c r="X3576" s="2">
        <v>6</v>
      </c>
      <c r="Y3576" s="2" t="s">
        <v>249</v>
      </c>
      <c r="Z3576" s="2">
        <v>1</v>
      </c>
      <c r="AA3576" s="2" t="s">
        <v>82</v>
      </c>
      <c r="AB3576" s="2">
        <v>9</v>
      </c>
      <c r="AC3576" s="2" t="s">
        <v>124</v>
      </c>
      <c r="AD3576" s="2"/>
      <c r="AE3576" s="2"/>
      <c r="AF3576" s="2"/>
      <c r="AG3576" s="2"/>
      <c r="AH3576" s="2">
        <v>4</v>
      </c>
      <c r="AI3576" s="2" t="s">
        <v>125</v>
      </c>
      <c r="AJ3576" s="2">
        <v>26</v>
      </c>
      <c r="AK3576" s="2" t="s">
        <v>293</v>
      </c>
      <c r="AL3576" s="2">
        <v>23</v>
      </c>
      <c r="AM3576" s="2" t="s">
        <v>251</v>
      </c>
      <c r="AN3576" s="2"/>
      <c r="AO3576" s="2" t="s">
        <v>7578</v>
      </c>
      <c r="AP3576" s="2">
        <v>11</v>
      </c>
      <c r="AQ3576" s="2" t="s">
        <v>82</v>
      </c>
      <c r="AR3576" s="2"/>
      <c r="AS3576" s="2"/>
      <c r="AT3576" s="2" t="s">
        <v>11435</v>
      </c>
      <c r="AU3576" s="2"/>
      <c r="AV3576" s="2"/>
      <c r="AW3576" s="2"/>
      <c r="AX3576" s="2"/>
      <c r="AY3576" s="2">
        <v>1</v>
      </c>
      <c r="AZ3576" s="2" t="s">
        <v>107</v>
      </c>
      <c r="BA3576" s="2">
        <v>1</v>
      </c>
      <c r="BB3576" s="2" t="s">
        <v>107</v>
      </c>
      <c r="BC3576" s="2">
        <v>1</v>
      </c>
      <c r="BD3576" s="2" t="s">
        <v>107</v>
      </c>
      <c r="BE3576" s="2">
        <v>1</v>
      </c>
      <c r="BF3576" s="2" t="s">
        <v>107</v>
      </c>
      <c r="BG3576" s="2"/>
      <c r="BH3576" s="2"/>
      <c r="BI3576" s="2"/>
      <c r="BJ3576" s="2">
        <v>242</v>
      </c>
      <c r="BK3576" s="2" t="s">
        <v>107</v>
      </c>
      <c r="BL3576" s="2"/>
      <c r="BM3576" s="2">
        <v>242</v>
      </c>
      <c r="BN3576" s="2" t="s">
        <v>107</v>
      </c>
      <c r="BO3576" s="2"/>
      <c r="BP3576" s="2">
        <v>242</v>
      </c>
      <c r="BQ3576" s="2" t="s">
        <v>107</v>
      </c>
      <c r="BR3576" s="2"/>
      <c r="BS3576" s="3">
        <v>40420</v>
      </c>
      <c r="BT3576" s="4">
        <v>0.6903125</v>
      </c>
    </row>
    <row r="3577" spans="1:72" x14ac:dyDescent="0.25">
      <c r="A3577" s="2">
        <v>5261</v>
      </c>
      <c r="B3577" s="2">
        <v>2010</v>
      </c>
      <c r="C3577" s="2" t="s">
        <v>414</v>
      </c>
      <c r="D3577" s="2" t="s">
        <v>122</v>
      </c>
      <c r="E3577" s="2"/>
      <c r="F3577" s="2">
        <v>1</v>
      </c>
      <c r="G3577" s="2" t="s">
        <v>82</v>
      </c>
      <c r="H3577" s="2">
        <v>1</v>
      </c>
      <c r="I3577" s="2" t="s">
        <v>82</v>
      </c>
      <c r="J3577" s="2">
        <v>1</v>
      </c>
      <c r="K3577" s="2" t="s">
        <v>107</v>
      </c>
      <c r="L3577" s="2" t="s">
        <v>107</v>
      </c>
      <c r="M3577" s="3">
        <v>40420</v>
      </c>
      <c r="N3577" s="2"/>
      <c r="O3577" s="2"/>
      <c r="P3577" s="2"/>
      <c r="Q3577" s="2" t="str">
        <f>""</f>
        <v/>
      </c>
      <c r="R3577" s="2"/>
      <c r="S3577" s="2"/>
      <c r="T3577" s="2">
        <v>1</v>
      </c>
      <c r="U3577" s="2" t="s">
        <v>79</v>
      </c>
      <c r="V3577" s="2">
        <v>1</v>
      </c>
      <c r="W3577" s="2" t="s">
        <v>80</v>
      </c>
      <c r="X3577" s="2">
        <v>1</v>
      </c>
      <c r="Y3577" s="2" t="s">
        <v>81</v>
      </c>
      <c r="Z3577" s="2">
        <v>10</v>
      </c>
      <c r="AA3577" s="2" t="s">
        <v>236</v>
      </c>
      <c r="AB3577" s="2">
        <v>9</v>
      </c>
      <c r="AC3577" s="2" t="s">
        <v>124</v>
      </c>
      <c r="AD3577" s="3">
        <v>40420</v>
      </c>
      <c r="AE3577" s="4">
        <v>0.60763888888888895</v>
      </c>
      <c r="AF3577" s="2"/>
      <c r="AG3577" s="2"/>
      <c r="AH3577" s="2">
        <v>2</v>
      </c>
      <c r="AI3577" s="2" t="s">
        <v>84</v>
      </c>
      <c r="AJ3577" s="2">
        <v>12</v>
      </c>
      <c r="AK3577" s="2" t="s">
        <v>85</v>
      </c>
      <c r="AL3577" s="2">
        <v>21</v>
      </c>
      <c r="AM3577" s="2" t="s">
        <v>1311</v>
      </c>
      <c r="AN3577" s="2"/>
      <c r="AO3577" s="2" t="s">
        <v>940</v>
      </c>
      <c r="AP3577" s="2">
        <v>11</v>
      </c>
      <c r="AQ3577" s="2" t="s">
        <v>82</v>
      </c>
      <c r="AR3577" s="2"/>
      <c r="AS3577" s="2"/>
      <c r="AT3577" s="2" t="s">
        <v>11436</v>
      </c>
      <c r="AU3577" s="2"/>
      <c r="AV3577" s="2"/>
      <c r="AW3577" s="2"/>
      <c r="AX3577" s="2"/>
      <c r="AY3577" s="2">
        <v>41</v>
      </c>
      <c r="AZ3577" s="2" t="s">
        <v>82</v>
      </c>
      <c r="BA3577" s="2">
        <v>41</v>
      </c>
      <c r="BB3577" s="2" t="s">
        <v>82</v>
      </c>
      <c r="BC3577" s="2">
        <v>70</v>
      </c>
      <c r="BD3577" s="2" t="s">
        <v>236</v>
      </c>
      <c r="BE3577" s="2">
        <v>41</v>
      </c>
      <c r="BF3577" s="2" t="s">
        <v>82</v>
      </c>
      <c r="BG3577" s="2"/>
      <c r="BH3577" s="2"/>
      <c r="BI3577" s="2"/>
      <c r="BJ3577" s="2">
        <v>241</v>
      </c>
      <c r="BK3577" s="2" t="s">
        <v>82</v>
      </c>
      <c r="BL3577" s="2"/>
      <c r="BM3577" s="2">
        <v>241</v>
      </c>
      <c r="BN3577" s="2" t="s">
        <v>82</v>
      </c>
      <c r="BO3577" s="2"/>
      <c r="BP3577" s="2">
        <v>241</v>
      </c>
      <c r="BQ3577" s="2" t="s">
        <v>82</v>
      </c>
      <c r="BR3577" s="2"/>
      <c r="BS3577" s="3">
        <v>40420</v>
      </c>
      <c r="BT3577" s="4">
        <v>0.6945486111111111</v>
      </c>
    </row>
    <row r="3578" spans="1:72" x14ac:dyDescent="0.25">
      <c r="A3578" s="2">
        <v>5263</v>
      </c>
      <c r="B3578" s="2">
        <v>2010</v>
      </c>
      <c r="C3578" s="2" t="s">
        <v>128</v>
      </c>
      <c r="D3578" s="2" t="s">
        <v>73</v>
      </c>
      <c r="E3578" s="2"/>
      <c r="F3578" s="2">
        <v>425</v>
      </c>
      <c r="G3578" s="2" t="s">
        <v>286</v>
      </c>
      <c r="H3578" s="2">
        <v>39</v>
      </c>
      <c r="I3578" s="2" t="s">
        <v>1117</v>
      </c>
      <c r="J3578" s="2">
        <v>310</v>
      </c>
      <c r="K3578" s="2" t="s">
        <v>288</v>
      </c>
      <c r="L3578" s="2" t="s">
        <v>289</v>
      </c>
      <c r="M3578" s="3">
        <v>40420</v>
      </c>
      <c r="N3578" s="2" t="s">
        <v>1917</v>
      </c>
      <c r="O3578" s="2" t="s">
        <v>11437</v>
      </c>
      <c r="P3578" s="2" t="s">
        <v>11438</v>
      </c>
      <c r="Q3578" s="2" t="str">
        <f>"101"</f>
        <v>101</v>
      </c>
      <c r="R3578" s="2"/>
      <c r="S3578" s="2"/>
      <c r="T3578" s="2">
        <v>1</v>
      </c>
      <c r="U3578" s="2" t="s">
        <v>79</v>
      </c>
      <c r="V3578" s="2">
        <v>3</v>
      </c>
      <c r="W3578" s="2" t="s">
        <v>225</v>
      </c>
      <c r="X3578" s="2">
        <v>6</v>
      </c>
      <c r="Y3578" s="2" t="s">
        <v>249</v>
      </c>
      <c r="Z3578" s="2">
        <v>1</v>
      </c>
      <c r="AA3578" s="2" t="s">
        <v>82</v>
      </c>
      <c r="AB3578" s="2">
        <v>9</v>
      </c>
      <c r="AC3578" s="2" t="s">
        <v>124</v>
      </c>
      <c r="AD3578" s="2"/>
      <c r="AE3578" s="2"/>
      <c r="AF3578" s="2"/>
      <c r="AG3578" s="2"/>
      <c r="AH3578" s="2">
        <v>4</v>
      </c>
      <c r="AI3578" s="2" t="s">
        <v>125</v>
      </c>
      <c r="AJ3578" s="2">
        <v>26</v>
      </c>
      <c r="AK3578" s="2" t="s">
        <v>293</v>
      </c>
      <c r="AL3578" s="2">
        <v>23</v>
      </c>
      <c r="AM3578" s="2" t="s">
        <v>251</v>
      </c>
      <c r="AN3578" s="2"/>
      <c r="AO3578" s="2" t="s">
        <v>7578</v>
      </c>
      <c r="AP3578" s="2">
        <v>11</v>
      </c>
      <c r="AQ3578" s="2" t="s">
        <v>82</v>
      </c>
      <c r="AR3578" s="2"/>
      <c r="AS3578" s="2"/>
      <c r="AT3578" s="2" t="s">
        <v>11439</v>
      </c>
      <c r="AU3578" s="2"/>
      <c r="AV3578" s="2"/>
      <c r="AW3578" s="2"/>
      <c r="AX3578" s="2"/>
      <c r="AY3578" s="2">
        <v>1</v>
      </c>
      <c r="AZ3578" s="2" t="s">
        <v>107</v>
      </c>
      <c r="BA3578" s="2">
        <v>1</v>
      </c>
      <c r="BB3578" s="2" t="s">
        <v>107</v>
      </c>
      <c r="BC3578" s="2">
        <v>1</v>
      </c>
      <c r="BD3578" s="2" t="s">
        <v>107</v>
      </c>
      <c r="BE3578" s="2">
        <v>1</v>
      </c>
      <c r="BF3578" s="2" t="s">
        <v>107</v>
      </c>
      <c r="BG3578" s="2"/>
      <c r="BH3578" s="2"/>
      <c r="BI3578" s="2"/>
      <c r="BJ3578" s="2">
        <v>242</v>
      </c>
      <c r="BK3578" s="2" t="s">
        <v>107</v>
      </c>
      <c r="BL3578" s="2"/>
      <c r="BM3578" s="2">
        <v>242</v>
      </c>
      <c r="BN3578" s="2" t="s">
        <v>107</v>
      </c>
      <c r="BO3578" s="2"/>
      <c r="BP3578" s="2">
        <v>242</v>
      </c>
      <c r="BQ3578" s="2" t="s">
        <v>107</v>
      </c>
      <c r="BR3578" s="2"/>
      <c r="BS3578" s="3">
        <v>40420</v>
      </c>
      <c r="BT3578" s="4">
        <v>0.70937499999999998</v>
      </c>
    </row>
    <row r="3579" spans="1:72" x14ac:dyDescent="0.25">
      <c r="A3579" s="2">
        <v>5264</v>
      </c>
      <c r="B3579" s="2">
        <v>2010</v>
      </c>
      <c r="C3579" s="2" t="s">
        <v>128</v>
      </c>
      <c r="D3579" s="2" t="s">
        <v>122</v>
      </c>
      <c r="E3579" s="2" t="s">
        <v>11440</v>
      </c>
      <c r="F3579" s="2">
        <v>393</v>
      </c>
      <c r="G3579" s="2" t="s">
        <v>3660</v>
      </c>
      <c r="H3579" s="2">
        <v>3</v>
      </c>
      <c r="I3579" s="2" t="s">
        <v>315</v>
      </c>
      <c r="J3579" s="2">
        <v>2</v>
      </c>
      <c r="K3579" s="2" t="s">
        <v>3661</v>
      </c>
      <c r="L3579" s="2" t="s">
        <v>3662</v>
      </c>
      <c r="M3579" s="3">
        <v>40420</v>
      </c>
      <c r="N3579" s="2" t="s">
        <v>10885</v>
      </c>
      <c r="O3579" s="2" t="s">
        <v>107</v>
      </c>
      <c r="P3579" s="2" t="s">
        <v>107</v>
      </c>
      <c r="Q3579" s="2" t="str">
        <f>"431-E/10"</f>
        <v>431-E/10</v>
      </c>
      <c r="R3579" s="2" t="s">
        <v>10013</v>
      </c>
      <c r="S3579" s="2" t="s">
        <v>10013</v>
      </c>
      <c r="T3579" s="2">
        <v>1</v>
      </c>
      <c r="U3579" s="2" t="s">
        <v>79</v>
      </c>
      <c r="V3579" s="2">
        <v>1</v>
      </c>
      <c r="W3579" s="2" t="s">
        <v>80</v>
      </c>
      <c r="X3579" s="2">
        <v>12</v>
      </c>
      <c r="Y3579" s="2" t="s">
        <v>148</v>
      </c>
      <c r="Z3579" s="2">
        <v>1</v>
      </c>
      <c r="AA3579" s="2" t="s">
        <v>82</v>
      </c>
      <c r="AB3579" s="2">
        <v>9</v>
      </c>
      <c r="AC3579" s="2" t="s">
        <v>124</v>
      </c>
      <c r="AD3579" s="3">
        <v>40322</v>
      </c>
      <c r="AE3579" s="4">
        <v>0.45833333333333331</v>
      </c>
      <c r="AF3579" s="3">
        <v>40414</v>
      </c>
      <c r="AG3579" s="4">
        <v>0.45833333333333331</v>
      </c>
      <c r="AH3579" s="2">
        <v>2</v>
      </c>
      <c r="AI3579" s="2" t="s">
        <v>84</v>
      </c>
      <c r="AJ3579" s="2">
        <v>9</v>
      </c>
      <c r="AK3579" s="2" t="s">
        <v>103</v>
      </c>
      <c r="AL3579" s="2">
        <v>24</v>
      </c>
      <c r="AM3579" s="2" t="s">
        <v>1540</v>
      </c>
      <c r="AN3579" s="2" t="s">
        <v>11202</v>
      </c>
      <c r="AO3579" s="2" t="s">
        <v>11202</v>
      </c>
      <c r="AP3579" s="2">
        <v>11</v>
      </c>
      <c r="AQ3579" s="2" t="s">
        <v>82</v>
      </c>
      <c r="AR3579" s="2" t="s">
        <v>82</v>
      </c>
      <c r="AS3579" s="2" t="s">
        <v>82</v>
      </c>
      <c r="AT3579" s="2" t="s">
        <v>11441</v>
      </c>
      <c r="AU3579" s="2"/>
      <c r="AV3579" s="2"/>
      <c r="AW3579" s="2"/>
      <c r="AX3579" s="2"/>
      <c r="AY3579" s="2">
        <v>42</v>
      </c>
      <c r="AZ3579" s="2" t="s">
        <v>182</v>
      </c>
      <c r="BA3579" s="2">
        <v>70</v>
      </c>
      <c r="BB3579" s="2" t="s">
        <v>236</v>
      </c>
      <c r="BC3579" s="2">
        <v>41</v>
      </c>
      <c r="BD3579" s="2" t="s">
        <v>82</v>
      </c>
      <c r="BE3579" s="2">
        <v>41</v>
      </c>
      <c r="BF3579" s="2" t="s">
        <v>82</v>
      </c>
      <c r="BG3579" s="2" t="s">
        <v>82</v>
      </c>
      <c r="BH3579" s="2"/>
      <c r="BI3579" s="2"/>
      <c r="BJ3579" s="2">
        <v>241</v>
      </c>
      <c r="BK3579" s="2" t="s">
        <v>82</v>
      </c>
      <c r="BL3579" s="2" t="s">
        <v>82</v>
      </c>
      <c r="BM3579" s="2">
        <v>241</v>
      </c>
      <c r="BN3579" s="2" t="s">
        <v>82</v>
      </c>
      <c r="BO3579" s="2" t="s">
        <v>82</v>
      </c>
      <c r="BP3579" s="2">
        <v>241</v>
      </c>
      <c r="BQ3579" s="2" t="s">
        <v>82</v>
      </c>
      <c r="BR3579" s="2" t="s">
        <v>82</v>
      </c>
      <c r="BS3579" s="3">
        <v>40420</v>
      </c>
      <c r="BT3579" s="4">
        <v>0.74285879629629636</v>
      </c>
    </row>
    <row r="3580" spans="1:72" x14ac:dyDescent="0.25">
      <c r="A3580" s="2">
        <v>5265</v>
      </c>
      <c r="B3580" s="2">
        <v>2010</v>
      </c>
      <c r="C3580" s="2" t="s">
        <v>377</v>
      </c>
      <c r="D3580" s="2" t="s">
        <v>73</v>
      </c>
      <c r="E3580" s="2"/>
      <c r="F3580" s="2">
        <v>426</v>
      </c>
      <c r="G3580" s="2" t="s">
        <v>378</v>
      </c>
      <c r="H3580" s="2">
        <v>22</v>
      </c>
      <c r="I3580" s="2" t="s">
        <v>75</v>
      </c>
      <c r="J3580" s="2">
        <v>311</v>
      </c>
      <c r="K3580" s="2" t="s">
        <v>379</v>
      </c>
      <c r="L3580" s="2" t="s">
        <v>380</v>
      </c>
      <c r="M3580" s="3">
        <v>40420</v>
      </c>
      <c r="N3580" s="2" t="s">
        <v>4560</v>
      </c>
      <c r="O3580" s="2"/>
      <c r="P3580" s="2"/>
      <c r="Q3580" s="2" t="str">
        <f>"229-C/10"</f>
        <v>229-C/10</v>
      </c>
      <c r="R3580" s="2" t="s">
        <v>1924</v>
      </c>
      <c r="S3580" s="2"/>
      <c r="T3580" s="2">
        <v>1</v>
      </c>
      <c r="U3580" s="2" t="s">
        <v>79</v>
      </c>
      <c r="V3580" s="2">
        <v>1</v>
      </c>
      <c r="W3580" s="2" t="s">
        <v>80</v>
      </c>
      <c r="X3580" s="2">
        <v>1</v>
      </c>
      <c r="Y3580" s="2" t="s">
        <v>81</v>
      </c>
      <c r="Z3580" s="2">
        <v>1</v>
      </c>
      <c r="AA3580" s="2" t="s">
        <v>82</v>
      </c>
      <c r="AB3580" s="2">
        <v>9</v>
      </c>
      <c r="AC3580" s="2" t="s">
        <v>124</v>
      </c>
      <c r="AD3580" s="3">
        <v>40419</v>
      </c>
      <c r="AE3580" s="4">
        <v>0.5</v>
      </c>
      <c r="AF3580" s="2"/>
      <c r="AG3580" s="2"/>
      <c r="AH3580" s="2">
        <v>2</v>
      </c>
      <c r="AI3580" s="2" t="s">
        <v>84</v>
      </c>
      <c r="AJ3580" s="2">
        <v>9</v>
      </c>
      <c r="AK3580" s="2" t="s">
        <v>103</v>
      </c>
      <c r="AL3580" s="2">
        <v>29</v>
      </c>
      <c r="AM3580" s="2" t="s">
        <v>5416</v>
      </c>
      <c r="AN3580" s="2" t="s">
        <v>11442</v>
      </c>
      <c r="AO3580" s="2" t="s">
        <v>987</v>
      </c>
      <c r="AP3580" s="2">
        <v>11</v>
      </c>
      <c r="AQ3580" s="2" t="s">
        <v>82</v>
      </c>
      <c r="AR3580" s="2"/>
      <c r="AS3580" s="2"/>
      <c r="AT3580" s="2" t="s">
        <v>11443</v>
      </c>
      <c r="AU3580" s="2"/>
      <c r="AV3580" s="2"/>
      <c r="AW3580" s="2"/>
      <c r="AX3580" s="2"/>
      <c r="AY3580" s="2">
        <v>41</v>
      </c>
      <c r="AZ3580" s="2" t="s">
        <v>82</v>
      </c>
      <c r="BA3580" s="2">
        <v>41</v>
      </c>
      <c r="BB3580" s="2" t="s">
        <v>82</v>
      </c>
      <c r="BC3580" s="2">
        <v>41</v>
      </c>
      <c r="BD3580" s="2" t="s">
        <v>82</v>
      </c>
      <c r="BE3580" s="2">
        <v>41</v>
      </c>
      <c r="BF3580" s="2" t="s">
        <v>82</v>
      </c>
      <c r="BG3580" s="2"/>
      <c r="BH3580" s="2"/>
      <c r="BI3580" s="2"/>
      <c r="BJ3580" s="2">
        <v>241</v>
      </c>
      <c r="BK3580" s="2" t="s">
        <v>82</v>
      </c>
      <c r="BL3580" s="2"/>
      <c r="BM3580" s="2">
        <v>241</v>
      </c>
      <c r="BN3580" s="2" t="s">
        <v>82</v>
      </c>
      <c r="BO3580" s="2"/>
      <c r="BP3580" s="2">
        <v>241</v>
      </c>
      <c r="BQ3580" s="2" t="s">
        <v>82</v>
      </c>
      <c r="BR3580" s="2"/>
      <c r="BS3580" s="3">
        <v>40420</v>
      </c>
      <c r="BT3580" s="4">
        <v>0.74802083333333336</v>
      </c>
    </row>
    <row r="3581" spans="1:72" x14ac:dyDescent="0.25">
      <c r="A3581" s="2">
        <v>5266</v>
      </c>
      <c r="B3581" s="2">
        <v>2010</v>
      </c>
      <c r="C3581" s="2" t="s">
        <v>171</v>
      </c>
      <c r="D3581" s="2" t="s">
        <v>122</v>
      </c>
      <c r="E3581" s="2" t="s">
        <v>11444</v>
      </c>
      <c r="F3581" s="2">
        <v>393</v>
      </c>
      <c r="G3581" s="2" t="s">
        <v>3660</v>
      </c>
      <c r="H3581" s="2">
        <v>3</v>
      </c>
      <c r="I3581" s="2" t="s">
        <v>315</v>
      </c>
      <c r="J3581" s="2">
        <v>2</v>
      </c>
      <c r="K3581" s="2" t="s">
        <v>3661</v>
      </c>
      <c r="L3581" s="2" t="s">
        <v>3662</v>
      </c>
      <c r="M3581" s="3">
        <v>40420</v>
      </c>
      <c r="N3581" s="2" t="s">
        <v>3663</v>
      </c>
      <c r="O3581" s="2" t="s">
        <v>107</v>
      </c>
      <c r="P3581" s="2" t="s">
        <v>107</v>
      </c>
      <c r="Q3581" s="2" t="str">
        <f>"443-E/10"</f>
        <v>443-E/10</v>
      </c>
      <c r="R3581" s="2" t="s">
        <v>391</v>
      </c>
      <c r="S3581" s="2" t="s">
        <v>107</v>
      </c>
      <c r="T3581" s="2">
        <v>1</v>
      </c>
      <c r="U3581" s="2" t="s">
        <v>79</v>
      </c>
      <c r="V3581" s="2">
        <v>1</v>
      </c>
      <c r="W3581" s="2" t="s">
        <v>80</v>
      </c>
      <c r="X3581" s="2">
        <v>1</v>
      </c>
      <c r="Y3581" s="2" t="s">
        <v>81</v>
      </c>
      <c r="Z3581" s="2">
        <v>1</v>
      </c>
      <c r="AA3581" s="2" t="s">
        <v>82</v>
      </c>
      <c r="AB3581" s="2">
        <v>1</v>
      </c>
      <c r="AC3581" s="2" t="s">
        <v>178</v>
      </c>
      <c r="AD3581" s="3">
        <v>40418</v>
      </c>
      <c r="AE3581" s="4">
        <v>0.99305555555555547</v>
      </c>
      <c r="AF3581" s="2"/>
      <c r="AG3581" s="2"/>
      <c r="AH3581" s="2">
        <v>2</v>
      </c>
      <c r="AI3581" s="2" t="s">
        <v>84</v>
      </c>
      <c r="AJ3581" s="2">
        <v>9</v>
      </c>
      <c r="AK3581" s="2" t="s">
        <v>103</v>
      </c>
      <c r="AL3581" s="2">
        <v>14</v>
      </c>
      <c r="AM3581" s="2" t="s">
        <v>216</v>
      </c>
      <c r="AN3581" s="2" t="s">
        <v>82</v>
      </c>
      <c r="AO3581" s="2" t="s">
        <v>2163</v>
      </c>
      <c r="AP3581" s="2">
        <v>11</v>
      </c>
      <c r="AQ3581" s="2" t="s">
        <v>82</v>
      </c>
      <c r="AR3581" s="2"/>
      <c r="AS3581" s="2"/>
      <c r="AT3581" s="2" t="s">
        <v>11445</v>
      </c>
      <c r="AU3581" s="2"/>
      <c r="AV3581" s="2">
        <v>1</v>
      </c>
      <c r="AW3581" s="2"/>
      <c r="AX3581" s="2"/>
      <c r="AY3581" s="2">
        <v>41</v>
      </c>
      <c r="AZ3581" s="2" t="s">
        <v>82</v>
      </c>
      <c r="BA3581" s="2">
        <v>41</v>
      </c>
      <c r="BB3581" s="2" t="s">
        <v>82</v>
      </c>
      <c r="BC3581" s="2">
        <v>41</v>
      </c>
      <c r="BD3581" s="2" t="s">
        <v>82</v>
      </c>
      <c r="BE3581" s="2">
        <v>23</v>
      </c>
      <c r="BF3581" s="2" t="s">
        <v>183</v>
      </c>
      <c r="BG3581" s="2" t="s">
        <v>11371</v>
      </c>
      <c r="BH3581" s="2"/>
      <c r="BI3581" s="4">
        <v>2.7777777777777776E-2</v>
      </c>
      <c r="BJ3581" s="2">
        <v>13</v>
      </c>
      <c r="BK3581" s="2" t="s">
        <v>91</v>
      </c>
      <c r="BL3581" s="2" t="s">
        <v>4251</v>
      </c>
      <c r="BM3581" s="2">
        <v>242</v>
      </c>
      <c r="BN3581" s="2" t="s">
        <v>107</v>
      </c>
      <c r="BO3581" s="2" t="s">
        <v>107</v>
      </c>
      <c r="BP3581" s="2">
        <v>73</v>
      </c>
      <c r="BQ3581" s="2" t="s">
        <v>186</v>
      </c>
      <c r="BR3581" s="2" t="s">
        <v>187</v>
      </c>
      <c r="BS3581" s="3">
        <v>40420</v>
      </c>
      <c r="BT3581" s="4">
        <v>0.78157407407407409</v>
      </c>
    </row>
    <row r="3582" spans="1:72" x14ac:dyDescent="0.25">
      <c r="A3582" s="2">
        <v>5267</v>
      </c>
      <c r="B3582" s="2">
        <v>2010</v>
      </c>
      <c r="C3582" s="2" t="s">
        <v>93</v>
      </c>
      <c r="D3582" s="2" t="s">
        <v>73</v>
      </c>
      <c r="E3582" s="2"/>
      <c r="F3582" s="2">
        <v>146</v>
      </c>
      <c r="G3582" s="2" t="s">
        <v>753</v>
      </c>
      <c r="H3582" s="2">
        <v>99</v>
      </c>
      <c r="I3582" s="2" t="s">
        <v>6285</v>
      </c>
      <c r="J3582" s="2">
        <v>161</v>
      </c>
      <c r="K3582" s="2" t="s">
        <v>1900</v>
      </c>
      <c r="L3582" s="2" t="s">
        <v>1901</v>
      </c>
      <c r="M3582" s="3">
        <v>40420</v>
      </c>
      <c r="N3582" s="2" t="s">
        <v>9100</v>
      </c>
      <c r="O3582" s="2" t="s">
        <v>11446</v>
      </c>
      <c r="P3582" s="2" t="s">
        <v>11447</v>
      </c>
      <c r="Q3582" s="2" t="str">
        <f>"AP_0040/10"</f>
        <v>AP_0040/10</v>
      </c>
      <c r="R3582" s="2" t="s">
        <v>82</v>
      </c>
      <c r="S3582" s="2" t="s">
        <v>82</v>
      </c>
      <c r="T3582" s="2">
        <v>1</v>
      </c>
      <c r="U3582" s="2" t="s">
        <v>79</v>
      </c>
      <c r="V3582" s="2">
        <v>1</v>
      </c>
      <c r="W3582" s="2" t="s">
        <v>80</v>
      </c>
      <c r="X3582" s="2">
        <v>1</v>
      </c>
      <c r="Y3582" s="2" t="s">
        <v>81</v>
      </c>
      <c r="Z3582" s="2">
        <v>1</v>
      </c>
      <c r="AA3582" s="2" t="s">
        <v>82</v>
      </c>
      <c r="AB3582" s="2">
        <v>2</v>
      </c>
      <c r="AC3582" s="2" t="s">
        <v>102</v>
      </c>
      <c r="AD3582" s="3">
        <v>40420</v>
      </c>
      <c r="AE3582" s="4">
        <v>0.79861111111111116</v>
      </c>
      <c r="AF3582" s="2"/>
      <c r="AG3582" s="2"/>
      <c r="AH3582" s="2">
        <v>6</v>
      </c>
      <c r="AI3582" s="2" t="s">
        <v>197</v>
      </c>
      <c r="AJ3582" s="2">
        <v>60</v>
      </c>
      <c r="AK3582" s="2" t="s">
        <v>543</v>
      </c>
      <c r="AL3582" s="2">
        <v>11</v>
      </c>
      <c r="AM3582" s="2" t="s">
        <v>137</v>
      </c>
      <c r="AN3582" s="2" t="s">
        <v>11448</v>
      </c>
      <c r="AO3582" s="2" t="s">
        <v>2249</v>
      </c>
      <c r="AP3582" s="2">
        <v>11</v>
      </c>
      <c r="AQ3582" s="2" t="s">
        <v>82</v>
      </c>
      <c r="AR3582" s="2" t="s">
        <v>82</v>
      </c>
      <c r="AS3582" s="2" t="s">
        <v>82</v>
      </c>
      <c r="AT3582" s="2" t="s">
        <v>11449</v>
      </c>
      <c r="AU3582" s="2"/>
      <c r="AV3582" s="2"/>
      <c r="AW3582" s="2"/>
      <c r="AX3582" s="2"/>
      <c r="AY3582" s="2">
        <v>41</v>
      </c>
      <c r="AZ3582" s="2" t="s">
        <v>82</v>
      </c>
      <c r="BA3582" s="2">
        <v>41</v>
      </c>
      <c r="BB3582" s="2" t="s">
        <v>82</v>
      </c>
      <c r="BC3582" s="2">
        <v>41</v>
      </c>
      <c r="BD3582" s="2" t="s">
        <v>82</v>
      </c>
      <c r="BE3582" s="2">
        <v>13</v>
      </c>
      <c r="BF3582" s="2" t="s">
        <v>108</v>
      </c>
      <c r="BG3582" s="2" t="s">
        <v>4156</v>
      </c>
      <c r="BH3582" s="2"/>
      <c r="BI3582" s="4">
        <v>0.85069444444444453</v>
      </c>
      <c r="BJ3582" s="2">
        <v>13</v>
      </c>
      <c r="BK3582" s="2" t="s">
        <v>91</v>
      </c>
      <c r="BL3582" s="2" t="s">
        <v>895</v>
      </c>
      <c r="BM3582" s="2">
        <v>241</v>
      </c>
      <c r="BN3582" s="2" t="s">
        <v>82</v>
      </c>
      <c r="BO3582" s="2" t="s">
        <v>82</v>
      </c>
      <c r="BP3582" s="2">
        <v>13</v>
      </c>
      <c r="BQ3582" s="2" t="s">
        <v>91</v>
      </c>
      <c r="BR3582" s="2" t="s">
        <v>170</v>
      </c>
      <c r="BS3582" s="3">
        <v>40420</v>
      </c>
      <c r="BT3582" s="4">
        <v>0.86206018518518512</v>
      </c>
    </row>
    <row r="3583" spans="1:72" x14ac:dyDescent="0.25">
      <c r="A3583" s="2">
        <v>5270</v>
      </c>
      <c r="B3583" s="2">
        <v>2010</v>
      </c>
      <c r="C3583" s="2" t="s">
        <v>72</v>
      </c>
      <c r="D3583" s="2" t="s">
        <v>73</v>
      </c>
      <c r="E3583" s="2"/>
      <c r="F3583" s="2">
        <v>157</v>
      </c>
      <c r="G3583" s="2" t="s">
        <v>3011</v>
      </c>
      <c r="H3583" s="2">
        <v>15</v>
      </c>
      <c r="I3583" s="2" t="s">
        <v>130</v>
      </c>
      <c r="J3583" s="2">
        <v>167</v>
      </c>
      <c r="K3583" s="2" t="s">
        <v>1032</v>
      </c>
      <c r="L3583" s="2" t="s">
        <v>1033</v>
      </c>
      <c r="M3583" s="3">
        <v>40421</v>
      </c>
      <c r="N3583" s="2" t="s">
        <v>2842</v>
      </c>
      <c r="O3583" s="2" t="s">
        <v>11450</v>
      </c>
      <c r="P3583" s="2" t="s">
        <v>82</v>
      </c>
      <c r="Q3583" s="2" t="str">
        <f>"341-A/10"</f>
        <v>341-A/10</v>
      </c>
      <c r="R3583" s="2" t="s">
        <v>480</v>
      </c>
      <c r="S3583" s="2" t="s">
        <v>480</v>
      </c>
      <c r="T3583" s="2">
        <v>1</v>
      </c>
      <c r="U3583" s="2" t="s">
        <v>79</v>
      </c>
      <c r="V3583" s="2">
        <v>1</v>
      </c>
      <c r="W3583" s="2" t="s">
        <v>80</v>
      </c>
      <c r="X3583" s="2">
        <v>12</v>
      </c>
      <c r="Y3583" s="2" t="s">
        <v>148</v>
      </c>
      <c r="Z3583" s="2">
        <v>1</v>
      </c>
      <c r="AA3583" s="2" t="s">
        <v>82</v>
      </c>
      <c r="AB3583" s="2">
        <v>6</v>
      </c>
      <c r="AC3583" s="2" t="s">
        <v>83</v>
      </c>
      <c r="AD3583" s="3">
        <v>40419</v>
      </c>
      <c r="AE3583" s="4">
        <v>0.81388888888888899</v>
      </c>
      <c r="AF3583" s="3">
        <v>40420</v>
      </c>
      <c r="AG3583" s="4">
        <v>0.75</v>
      </c>
      <c r="AH3583" s="2">
        <v>2</v>
      </c>
      <c r="AI3583" s="2" t="s">
        <v>84</v>
      </c>
      <c r="AJ3583" s="2">
        <v>12</v>
      </c>
      <c r="AK3583" s="2" t="s">
        <v>85</v>
      </c>
      <c r="AL3583" s="2">
        <v>11</v>
      </c>
      <c r="AM3583" s="2" t="s">
        <v>137</v>
      </c>
      <c r="AN3583" s="2"/>
      <c r="AO3583" s="2" t="s">
        <v>1869</v>
      </c>
      <c r="AP3583" s="2">
        <v>11</v>
      </c>
      <c r="AQ3583" s="2" t="s">
        <v>82</v>
      </c>
      <c r="AR3583" s="2" t="s">
        <v>82</v>
      </c>
      <c r="AS3583" s="2" t="s">
        <v>82</v>
      </c>
      <c r="AT3583" s="2" t="s">
        <v>11451</v>
      </c>
      <c r="AU3583" s="2"/>
      <c r="AV3583" s="2"/>
      <c r="AW3583" s="2"/>
      <c r="AX3583" s="2"/>
      <c r="AY3583" s="2">
        <v>41</v>
      </c>
      <c r="AZ3583" s="2" t="s">
        <v>82</v>
      </c>
      <c r="BA3583" s="2">
        <v>41</v>
      </c>
      <c r="BB3583" s="2" t="s">
        <v>82</v>
      </c>
      <c r="BC3583" s="2">
        <v>41</v>
      </c>
      <c r="BD3583" s="2" t="s">
        <v>82</v>
      </c>
      <c r="BE3583" s="2">
        <v>41</v>
      </c>
      <c r="BF3583" s="2" t="s">
        <v>82</v>
      </c>
      <c r="BG3583" s="2"/>
      <c r="BH3583" s="2"/>
      <c r="BI3583" s="2"/>
      <c r="BJ3583" s="2">
        <v>241</v>
      </c>
      <c r="BK3583" s="2" t="s">
        <v>82</v>
      </c>
      <c r="BL3583" s="2"/>
      <c r="BM3583" s="2">
        <v>241</v>
      </c>
      <c r="BN3583" s="2" t="s">
        <v>82</v>
      </c>
      <c r="BO3583" s="2" t="s">
        <v>82</v>
      </c>
      <c r="BP3583" s="2">
        <v>241</v>
      </c>
      <c r="BQ3583" s="2" t="s">
        <v>82</v>
      </c>
      <c r="BR3583" s="2" t="s">
        <v>241</v>
      </c>
      <c r="BS3583" s="3">
        <v>40421</v>
      </c>
      <c r="BT3583" s="4">
        <v>5.4259259259259257E-2</v>
      </c>
    </row>
    <row r="3584" spans="1:72" x14ac:dyDescent="0.25">
      <c r="A3584" s="2">
        <v>5271</v>
      </c>
      <c r="B3584" s="2">
        <v>2010</v>
      </c>
      <c r="C3584" s="2" t="s">
        <v>72</v>
      </c>
      <c r="D3584" s="2" t="s">
        <v>73</v>
      </c>
      <c r="E3584" s="2"/>
      <c r="F3584" s="2">
        <v>207</v>
      </c>
      <c r="G3584" s="2" t="s">
        <v>7666</v>
      </c>
      <c r="H3584" s="2">
        <v>118</v>
      </c>
      <c r="I3584" s="2" t="s">
        <v>7667</v>
      </c>
      <c r="J3584" s="2">
        <v>218</v>
      </c>
      <c r="K3584" s="2" t="s">
        <v>7668</v>
      </c>
      <c r="L3584" s="2" t="s">
        <v>7669</v>
      </c>
      <c r="M3584" s="3">
        <v>40421</v>
      </c>
      <c r="N3584" s="2" t="s">
        <v>11452</v>
      </c>
      <c r="O3584" s="2" t="s">
        <v>82</v>
      </c>
      <c r="P3584" s="2" t="s">
        <v>82</v>
      </c>
      <c r="Q3584" s="2" t="str">
        <f>"340-A/10"</f>
        <v>340-A/10</v>
      </c>
      <c r="R3584" s="2" t="s">
        <v>11453</v>
      </c>
      <c r="S3584" s="2" t="s">
        <v>11454</v>
      </c>
      <c r="T3584" s="2">
        <v>1</v>
      </c>
      <c r="U3584" s="2" t="s">
        <v>79</v>
      </c>
      <c r="V3584" s="2">
        <v>1</v>
      </c>
      <c r="W3584" s="2" t="s">
        <v>80</v>
      </c>
      <c r="X3584" s="2">
        <v>12</v>
      </c>
      <c r="Y3584" s="2" t="s">
        <v>148</v>
      </c>
      <c r="Z3584" s="2">
        <v>1</v>
      </c>
      <c r="AA3584" s="2" t="s">
        <v>82</v>
      </c>
      <c r="AB3584" s="2">
        <v>6</v>
      </c>
      <c r="AC3584" s="2" t="s">
        <v>83</v>
      </c>
      <c r="AD3584" s="3">
        <v>40420</v>
      </c>
      <c r="AE3584" s="4">
        <v>0.67708333333333337</v>
      </c>
      <c r="AF3584" s="3">
        <v>40420</v>
      </c>
      <c r="AG3584" s="4">
        <v>0.74305555555555547</v>
      </c>
      <c r="AH3584" s="2">
        <v>2</v>
      </c>
      <c r="AI3584" s="2" t="s">
        <v>84</v>
      </c>
      <c r="AJ3584" s="2">
        <v>12</v>
      </c>
      <c r="AK3584" s="2" t="s">
        <v>85</v>
      </c>
      <c r="AL3584" s="2">
        <v>22</v>
      </c>
      <c r="AM3584" s="2" t="s">
        <v>1853</v>
      </c>
      <c r="AN3584" s="2" t="s">
        <v>10387</v>
      </c>
      <c r="AO3584" s="2" t="s">
        <v>11455</v>
      </c>
      <c r="AP3584" s="2">
        <v>11</v>
      </c>
      <c r="AQ3584" s="2" t="s">
        <v>82</v>
      </c>
      <c r="AR3584" s="2" t="s">
        <v>82</v>
      </c>
      <c r="AS3584" s="2" t="s">
        <v>82</v>
      </c>
      <c r="AT3584" s="2" t="s">
        <v>11456</v>
      </c>
      <c r="AU3584" s="2"/>
      <c r="AV3584" s="2"/>
      <c r="AW3584" s="2"/>
      <c r="AX3584" s="2"/>
      <c r="AY3584" s="2">
        <v>41</v>
      </c>
      <c r="AZ3584" s="2" t="s">
        <v>82</v>
      </c>
      <c r="BA3584" s="2">
        <v>41</v>
      </c>
      <c r="BB3584" s="2" t="s">
        <v>82</v>
      </c>
      <c r="BC3584" s="2">
        <v>41</v>
      </c>
      <c r="BD3584" s="2" t="s">
        <v>82</v>
      </c>
      <c r="BE3584" s="2">
        <v>13</v>
      </c>
      <c r="BF3584" s="2" t="s">
        <v>108</v>
      </c>
      <c r="BG3584" s="2" t="s">
        <v>11457</v>
      </c>
      <c r="BH3584" s="2"/>
      <c r="BI3584" s="2"/>
      <c r="BJ3584" s="2">
        <v>13</v>
      </c>
      <c r="BK3584" s="2" t="s">
        <v>91</v>
      </c>
      <c r="BL3584" s="2" t="s">
        <v>204</v>
      </c>
      <c r="BM3584" s="2">
        <v>241</v>
      </c>
      <c r="BN3584" s="2" t="s">
        <v>82</v>
      </c>
      <c r="BO3584" s="2" t="s">
        <v>82</v>
      </c>
      <c r="BP3584" s="2">
        <v>13</v>
      </c>
      <c r="BQ3584" s="2" t="s">
        <v>91</v>
      </c>
      <c r="BR3584" s="2" t="s">
        <v>564</v>
      </c>
      <c r="BS3584" s="3">
        <v>40421</v>
      </c>
      <c r="BT3584" s="4">
        <v>0.20658564814814814</v>
      </c>
    </row>
    <row r="3585" spans="1:72" x14ac:dyDescent="0.25">
      <c r="A3585" s="2">
        <v>5276</v>
      </c>
      <c r="B3585" s="2">
        <v>2010</v>
      </c>
      <c r="C3585" s="2" t="s">
        <v>93</v>
      </c>
      <c r="D3585" s="2" t="s">
        <v>73</v>
      </c>
      <c r="E3585" s="2"/>
      <c r="F3585" s="2">
        <v>229</v>
      </c>
      <c r="G3585" s="2" t="s">
        <v>2244</v>
      </c>
      <c r="H3585" s="2">
        <v>9</v>
      </c>
      <c r="I3585" s="2" t="s">
        <v>794</v>
      </c>
      <c r="J3585" s="2">
        <v>243</v>
      </c>
      <c r="K3585" s="2" t="s">
        <v>2160</v>
      </c>
      <c r="L3585" s="2" t="s">
        <v>2145</v>
      </c>
      <c r="M3585" s="3">
        <v>40421</v>
      </c>
      <c r="N3585" s="2" t="s">
        <v>11458</v>
      </c>
      <c r="O3585" s="2" t="s">
        <v>11459</v>
      </c>
      <c r="P3585" s="2" t="s">
        <v>11460</v>
      </c>
      <c r="Q3585" s="2" t="str">
        <f>"0113/2010"</f>
        <v>0113/2010</v>
      </c>
      <c r="R3585" s="2"/>
      <c r="S3585" s="2" t="s">
        <v>11461</v>
      </c>
      <c r="T3585" s="2">
        <v>1</v>
      </c>
      <c r="U3585" s="2" t="s">
        <v>79</v>
      </c>
      <c r="V3585" s="2">
        <v>1</v>
      </c>
      <c r="W3585" s="2" t="s">
        <v>80</v>
      </c>
      <c r="X3585" s="2">
        <v>3</v>
      </c>
      <c r="Y3585" s="2" t="s">
        <v>698</v>
      </c>
      <c r="Z3585" s="2">
        <v>9</v>
      </c>
      <c r="AA3585" s="2" t="s">
        <v>1119</v>
      </c>
      <c r="AB3585" s="2">
        <v>2</v>
      </c>
      <c r="AC3585" s="2" t="s">
        <v>102</v>
      </c>
      <c r="AD3585" s="3">
        <v>40421</v>
      </c>
      <c r="AE3585" s="4">
        <v>0.53125</v>
      </c>
      <c r="AF3585" s="2"/>
      <c r="AG3585" s="2"/>
      <c r="AH3585" s="2">
        <v>5</v>
      </c>
      <c r="AI3585" s="2" t="s">
        <v>274</v>
      </c>
      <c r="AJ3585" s="2">
        <v>38</v>
      </c>
      <c r="AK3585" s="2" t="s">
        <v>1120</v>
      </c>
      <c r="AL3585" s="2">
        <v>14</v>
      </c>
      <c r="AM3585" s="2" t="s">
        <v>216</v>
      </c>
      <c r="AN3585" s="2"/>
      <c r="AO3585" s="2" t="s">
        <v>11343</v>
      </c>
      <c r="AP3585" s="2">
        <v>11</v>
      </c>
      <c r="AQ3585" s="2" t="s">
        <v>82</v>
      </c>
      <c r="AR3585" s="2"/>
      <c r="AS3585" s="2"/>
      <c r="AT3585" s="2" t="s">
        <v>11462</v>
      </c>
      <c r="AU3585" s="2"/>
      <c r="AV3585" s="2"/>
      <c r="AW3585" s="2"/>
      <c r="AX3585" s="2"/>
      <c r="AY3585" s="2">
        <v>41</v>
      </c>
      <c r="AZ3585" s="2" t="s">
        <v>82</v>
      </c>
      <c r="BA3585" s="2">
        <v>41</v>
      </c>
      <c r="BB3585" s="2" t="s">
        <v>82</v>
      </c>
      <c r="BC3585" s="2">
        <v>41</v>
      </c>
      <c r="BD3585" s="2" t="s">
        <v>82</v>
      </c>
      <c r="BE3585" s="2">
        <v>47</v>
      </c>
      <c r="BF3585" s="2" t="s">
        <v>167</v>
      </c>
      <c r="BG3585" s="2" t="s">
        <v>11463</v>
      </c>
      <c r="BH3585" s="4">
        <v>0.50694444444444442</v>
      </c>
      <c r="BI3585" s="4">
        <v>0.53472222222222221</v>
      </c>
      <c r="BJ3585" s="2">
        <v>13</v>
      </c>
      <c r="BK3585" s="2" t="s">
        <v>91</v>
      </c>
      <c r="BL3585" s="2" t="s">
        <v>3140</v>
      </c>
      <c r="BM3585" s="2">
        <v>241</v>
      </c>
      <c r="BN3585" s="2" t="s">
        <v>82</v>
      </c>
      <c r="BO3585" s="2"/>
      <c r="BP3585" s="2">
        <v>13</v>
      </c>
      <c r="BQ3585" s="2" t="s">
        <v>91</v>
      </c>
      <c r="BR3585" s="2" t="s">
        <v>185</v>
      </c>
      <c r="BS3585" s="3">
        <v>40421</v>
      </c>
      <c r="BT3585" s="4">
        <v>0.62815972222222227</v>
      </c>
    </row>
    <row r="3586" spans="1:72" x14ac:dyDescent="0.25">
      <c r="A3586" s="2">
        <v>5279</v>
      </c>
      <c r="B3586" s="2">
        <v>2010</v>
      </c>
      <c r="C3586" s="2" t="s">
        <v>128</v>
      </c>
      <c r="D3586" s="2" t="s">
        <v>122</v>
      </c>
      <c r="E3586" s="2" t="s">
        <v>11464</v>
      </c>
      <c r="F3586" s="2">
        <v>425</v>
      </c>
      <c r="G3586" s="2" t="s">
        <v>286</v>
      </c>
      <c r="H3586" s="2">
        <v>39</v>
      </c>
      <c r="I3586" s="2" t="s">
        <v>1117</v>
      </c>
      <c r="J3586" s="2">
        <v>310</v>
      </c>
      <c r="K3586" s="2" t="s">
        <v>288</v>
      </c>
      <c r="L3586" s="2" t="s">
        <v>289</v>
      </c>
      <c r="M3586" s="3">
        <v>40421</v>
      </c>
      <c r="N3586" s="2" t="s">
        <v>1917</v>
      </c>
      <c r="O3586" s="2" t="s">
        <v>11437</v>
      </c>
      <c r="P3586" s="2" t="s">
        <v>11438</v>
      </c>
      <c r="Q3586" s="2" t="str">
        <f>"101"</f>
        <v>101</v>
      </c>
      <c r="R3586" s="2"/>
      <c r="S3586" s="2"/>
      <c r="T3586" s="2">
        <v>1</v>
      </c>
      <c r="U3586" s="2" t="s">
        <v>79</v>
      </c>
      <c r="V3586" s="2">
        <v>3</v>
      </c>
      <c r="W3586" s="2" t="s">
        <v>225</v>
      </c>
      <c r="X3586" s="2">
        <v>6</v>
      </c>
      <c r="Y3586" s="2" t="s">
        <v>249</v>
      </c>
      <c r="Z3586" s="2">
        <v>10</v>
      </c>
      <c r="AA3586" s="2" t="s">
        <v>236</v>
      </c>
      <c r="AB3586" s="2">
        <v>9</v>
      </c>
      <c r="AC3586" s="2" t="s">
        <v>124</v>
      </c>
      <c r="AD3586" s="2"/>
      <c r="AE3586" s="2"/>
      <c r="AF3586" s="2"/>
      <c r="AG3586" s="2"/>
      <c r="AH3586" s="2">
        <v>4</v>
      </c>
      <c r="AI3586" s="2" t="s">
        <v>125</v>
      </c>
      <c r="AJ3586" s="2">
        <v>26</v>
      </c>
      <c r="AK3586" s="2" t="s">
        <v>293</v>
      </c>
      <c r="AL3586" s="2">
        <v>23</v>
      </c>
      <c r="AM3586" s="2" t="s">
        <v>251</v>
      </c>
      <c r="AN3586" s="2"/>
      <c r="AO3586" s="2" t="s">
        <v>11465</v>
      </c>
      <c r="AP3586" s="2">
        <v>11</v>
      </c>
      <c r="AQ3586" s="2" t="s">
        <v>82</v>
      </c>
      <c r="AR3586" s="2"/>
      <c r="AS3586" s="2"/>
      <c r="AT3586" s="2" t="s">
        <v>11466</v>
      </c>
      <c r="AU3586" s="2"/>
      <c r="AV3586" s="2"/>
      <c r="AW3586" s="2"/>
      <c r="AX3586" s="2"/>
      <c r="AY3586" s="2">
        <v>1</v>
      </c>
      <c r="AZ3586" s="2" t="s">
        <v>107</v>
      </c>
      <c r="BA3586" s="2">
        <v>1</v>
      </c>
      <c r="BB3586" s="2" t="s">
        <v>107</v>
      </c>
      <c r="BC3586" s="2">
        <v>1</v>
      </c>
      <c r="BD3586" s="2" t="s">
        <v>107</v>
      </c>
      <c r="BE3586" s="2">
        <v>1</v>
      </c>
      <c r="BF3586" s="2" t="s">
        <v>107</v>
      </c>
      <c r="BG3586" s="2"/>
      <c r="BH3586" s="2"/>
      <c r="BI3586" s="2"/>
      <c r="BJ3586" s="2">
        <v>242</v>
      </c>
      <c r="BK3586" s="2" t="s">
        <v>107</v>
      </c>
      <c r="BL3586" s="2"/>
      <c r="BM3586" s="2">
        <v>242</v>
      </c>
      <c r="BN3586" s="2" t="s">
        <v>107</v>
      </c>
      <c r="BO3586" s="2"/>
      <c r="BP3586" s="2">
        <v>242</v>
      </c>
      <c r="BQ3586" s="2" t="s">
        <v>107</v>
      </c>
      <c r="BR3586" s="2"/>
      <c r="BS3586" s="3">
        <v>40421</v>
      </c>
      <c r="BT3586" s="4">
        <v>0.67366898148148147</v>
      </c>
    </row>
    <row r="3587" spans="1:72" x14ac:dyDescent="0.25">
      <c r="A3587" s="2">
        <v>5280</v>
      </c>
      <c r="B3587" s="2">
        <v>2010</v>
      </c>
      <c r="C3587" s="2" t="s">
        <v>128</v>
      </c>
      <c r="D3587" s="2" t="s">
        <v>122</v>
      </c>
      <c r="E3587" s="2" t="s">
        <v>11467</v>
      </c>
      <c r="F3587" s="2">
        <v>425</v>
      </c>
      <c r="G3587" s="2" t="s">
        <v>286</v>
      </c>
      <c r="H3587" s="2">
        <v>122</v>
      </c>
      <c r="I3587" s="2" t="s">
        <v>8431</v>
      </c>
      <c r="J3587" s="2">
        <v>310</v>
      </c>
      <c r="K3587" s="2" t="s">
        <v>288</v>
      </c>
      <c r="L3587" s="2" t="s">
        <v>289</v>
      </c>
      <c r="M3587" s="3">
        <v>40421</v>
      </c>
      <c r="N3587" s="2" t="s">
        <v>1882</v>
      </c>
      <c r="O3587" s="2" t="s">
        <v>11433</v>
      </c>
      <c r="P3587" s="2" t="s">
        <v>11434</v>
      </c>
      <c r="Q3587" s="2" t="str">
        <f>"102"</f>
        <v>102</v>
      </c>
      <c r="R3587" s="2"/>
      <c r="S3587" s="2"/>
      <c r="T3587" s="2">
        <v>1</v>
      </c>
      <c r="U3587" s="2" t="s">
        <v>79</v>
      </c>
      <c r="V3587" s="2">
        <v>3</v>
      </c>
      <c r="W3587" s="2" t="s">
        <v>225</v>
      </c>
      <c r="X3587" s="2">
        <v>6</v>
      </c>
      <c r="Y3587" s="2" t="s">
        <v>249</v>
      </c>
      <c r="Z3587" s="2">
        <v>10</v>
      </c>
      <c r="AA3587" s="2" t="s">
        <v>236</v>
      </c>
      <c r="AB3587" s="2">
        <v>9</v>
      </c>
      <c r="AC3587" s="2" t="s">
        <v>124</v>
      </c>
      <c r="AD3587" s="2"/>
      <c r="AE3587" s="2"/>
      <c r="AF3587" s="2"/>
      <c r="AG3587" s="2"/>
      <c r="AH3587" s="2">
        <v>4</v>
      </c>
      <c r="AI3587" s="2" t="s">
        <v>125</v>
      </c>
      <c r="AJ3587" s="2">
        <v>26</v>
      </c>
      <c r="AK3587" s="2" t="s">
        <v>293</v>
      </c>
      <c r="AL3587" s="2">
        <v>23</v>
      </c>
      <c r="AM3587" s="2" t="s">
        <v>251</v>
      </c>
      <c r="AN3587" s="2"/>
      <c r="AO3587" s="2" t="s">
        <v>11465</v>
      </c>
      <c r="AP3587" s="2">
        <v>11</v>
      </c>
      <c r="AQ3587" s="2" t="s">
        <v>82</v>
      </c>
      <c r="AR3587" s="2"/>
      <c r="AS3587" s="2"/>
      <c r="AT3587" s="2" t="s">
        <v>11468</v>
      </c>
      <c r="AU3587" s="2"/>
      <c r="AV3587" s="2"/>
      <c r="AW3587" s="2"/>
      <c r="AX3587" s="2"/>
      <c r="AY3587" s="2">
        <v>1</v>
      </c>
      <c r="AZ3587" s="2" t="s">
        <v>107</v>
      </c>
      <c r="BA3587" s="2">
        <v>1</v>
      </c>
      <c r="BB3587" s="2" t="s">
        <v>107</v>
      </c>
      <c r="BC3587" s="2">
        <v>1</v>
      </c>
      <c r="BD3587" s="2" t="s">
        <v>107</v>
      </c>
      <c r="BE3587" s="2">
        <v>1</v>
      </c>
      <c r="BF3587" s="2" t="s">
        <v>107</v>
      </c>
      <c r="BG3587" s="2"/>
      <c r="BH3587" s="2"/>
      <c r="BI3587" s="2"/>
      <c r="BJ3587" s="2">
        <v>242</v>
      </c>
      <c r="BK3587" s="2" t="s">
        <v>107</v>
      </c>
      <c r="BL3587" s="2"/>
      <c r="BM3587" s="2">
        <v>242</v>
      </c>
      <c r="BN3587" s="2" t="s">
        <v>107</v>
      </c>
      <c r="BO3587" s="2"/>
      <c r="BP3587" s="2">
        <v>242</v>
      </c>
      <c r="BQ3587" s="2" t="s">
        <v>107</v>
      </c>
      <c r="BR3587" s="2"/>
      <c r="BS3587" s="3">
        <v>40421</v>
      </c>
      <c r="BT3587" s="4">
        <v>0.69951388888888888</v>
      </c>
    </row>
    <row r="3588" spans="1:72" x14ac:dyDescent="0.25">
      <c r="A3588" s="2">
        <v>5281</v>
      </c>
      <c r="B3588" s="2">
        <v>2010</v>
      </c>
      <c r="C3588" s="2" t="s">
        <v>147</v>
      </c>
      <c r="D3588" s="2" t="s">
        <v>73</v>
      </c>
      <c r="E3588" s="2"/>
      <c r="F3588" s="2">
        <v>1</v>
      </c>
      <c r="G3588" s="2" t="s">
        <v>82</v>
      </c>
      <c r="H3588" s="2">
        <v>1</v>
      </c>
      <c r="I3588" s="2" t="s">
        <v>82</v>
      </c>
      <c r="J3588" s="2">
        <v>1</v>
      </c>
      <c r="K3588" s="2" t="s">
        <v>107</v>
      </c>
      <c r="L3588" s="2" t="s">
        <v>107</v>
      </c>
      <c r="M3588" s="3">
        <v>40421</v>
      </c>
      <c r="N3588" s="2" t="s">
        <v>82</v>
      </c>
      <c r="O3588" s="2" t="s">
        <v>82</v>
      </c>
      <c r="P3588" s="2" t="s">
        <v>82</v>
      </c>
      <c r="Q3588" s="2" t="str">
        <f>"0042/10"</f>
        <v>0042/10</v>
      </c>
      <c r="R3588" s="2" t="s">
        <v>11469</v>
      </c>
      <c r="S3588" s="2" t="s">
        <v>82</v>
      </c>
      <c r="T3588" s="2">
        <v>2</v>
      </c>
      <c r="U3588" s="2" t="s">
        <v>123</v>
      </c>
      <c r="V3588" s="2">
        <v>1</v>
      </c>
      <c r="W3588" s="2" t="s">
        <v>80</v>
      </c>
      <c r="X3588" s="2">
        <v>12</v>
      </c>
      <c r="Y3588" s="2" t="s">
        <v>148</v>
      </c>
      <c r="Z3588" s="2">
        <v>1</v>
      </c>
      <c r="AA3588" s="2" t="s">
        <v>82</v>
      </c>
      <c r="AB3588" s="2">
        <v>9</v>
      </c>
      <c r="AC3588" s="2" t="s">
        <v>124</v>
      </c>
      <c r="AD3588" s="2"/>
      <c r="AE3588" s="2"/>
      <c r="AF3588" s="3">
        <v>40421</v>
      </c>
      <c r="AG3588" s="4">
        <v>0.68055555555555547</v>
      </c>
      <c r="AH3588" s="2">
        <v>6</v>
      </c>
      <c r="AI3588" s="2" t="s">
        <v>197</v>
      </c>
      <c r="AJ3588" s="2">
        <v>61</v>
      </c>
      <c r="AK3588" s="2" t="s">
        <v>686</v>
      </c>
      <c r="AL3588" s="2">
        <v>19</v>
      </c>
      <c r="AM3588" s="2" t="s">
        <v>107</v>
      </c>
      <c r="AN3588" s="2" t="s">
        <v>107</v>
      </c>
      <c r="AO3588" s="2" t="s">
        <v>107</v>
      </c>
      <c r="AP3588" s="2">
        <v>11</v>
      </c>
      <c r="AQ3588" s="2" t="s">
        <v>82</v>
      </c>
      <c r="AR3588" s="2" t="s">
        <v>82</v>
      </c>
      <c r="AS3588" s="2" t="s">
        <v>82</v>
      </c>
      <c r="AT3588" s="2" t="s">
        <v>11470</v>
      </c>
      <c r="AU3588" s="2"/>
      <c r="AV3588" s="2"/>
      <c r="AW3588" s="2"/>
      <c r="AX3588" s="2"/>
      <c r="AY3588" s="2">
        <v>41</v>
      </c>
      <c r="AZ3588" s="2" t="s">
        <v>82</v>
      </c>
      <c r="BA3588" s="2">
        <v>41</v>
      </c>
      <c r="BB3588" s="2" t="s">
        <v>82</v>
      </c>
      <c r="BC3588" s="2">
        <v>41</v>
      </c>
      <c r="BD3588" s="2" t="s">
        <v>82</v>
      </c>
      <c r="BE3588" s="2">
        <v>41</v>
      </c>
      <c r="BF3588" s="2" t="s">
        <v>82</v>
      </c>
      <c r="BG3588" s="2" t="s">
        <v>82</v>
      </c>
      <c r="BH3588" s="2"/>
      <c r="BI3588" s="2"/>
      <c r="BJ3588" s="2">
        <v>241</v>
      </c>
      <c r="BK3588" s="2" t="s">
        <v>82</v>
      </c>
      <c r="BL3588" s="2" t="s">
        <v>82</v>
      </c>
      <c r="BM3588" s="2">
        <v>241</v>
      </c>
      <c r="BN3588" s="2" t="s">
        <v>82</v>
      </c>
      <c r="BO3588" s="2" t="s">
        <v>82</v>
      </c>
      <c r="BP3588" s="2">
        <v>241</v>
      </c>
      <c r="BQ3588" s="2" t="s">
        <v>82</v>
      </c>
      <c r="BR3588" s="2" t="s">
        <v>82</v>
      </c>
      <c r="BS3588" s="3">
        <v>40421</v>
      </c>
      <c r="BT3588" s="4">
        <v>0.70233796296296302</v>
      </c>
    </row>
    <row r="3589" spans="1:72" x14ac:dyDescent="0.25">
      <c r="A3589" s="2">
        <v>5283</v>
      </c>
      <c r="B3589" s="2">
        <v>2010</v>
      </c>
      <c r="C3589" s="2" t="s">
        <v>147</v>
      </c>
      <c r="D3589" s="2" t="s">
        <v>73</v>
      </c>
      <c r="E3589" s="2"/>
      <c r="F3589" s="2">
        <v>1</v>
      </c>
      <c r="G3589" s="2" t="s">
        <v>82</v>
      </c>
      <c r="H3589" s="2">
        <v>1</v>
      </c>
      <c r="I3589" s="2" t="s">
        <v>82</v>
      </c>
      <c r="J3589" s="2">
        <v>1</v>
      </c>
      <c r="K3589" s="2" t="s">
        <v>107</v>
      </c>
      <c r="L3589" s="2" t="s">
        <v>107</v>
      </c>
      <c r="M3589" s="3">
        <v>40421</v>
      </c>
      <c r="N3589" s="2" t="s">
        <v>82</v>
      </c>
      <c r="O3589" s="2" t="s">
        <v>82</v>
      </c>
      <c r="P3589" s="2" t="s">
        <v>82</v>
      </c>
      <c r="Q3589" s="2" t="str">
        <f>"0043/10"</f>
        <v>0043/10</v>
      </c>
      <c r="R3589" s="2" t="s">
        <v>11471</v>
      </c>
      <c r="S3589" s="2" t="s">
        <v>82</v>
      </c>
      <c r="T3589" s="2">
        <v>2</v>
      </c>
      <c r="U3589" s="2" t="s">
        <v>123</v>
      </c>
      <c r="V3589" s="2">
        <v>1</v>
      </c>
      <c r="W3589" s="2" t="s">
        <v>80</v>
      </c>
      <c r="X3589" s="2">
        <v>12</v>
      </c>
      <c r="Y3589" s="2" t="s">
        <v>148</v>
      </c>
      <c r="Z3589" s="2">
        <v>1</v>
      </c>
      <c r="AA3589" s="2" t="s">
        <v>82</v>
      </c>
      <c r="AB3589" s="2">
        <v>9</v>
      </c>
      <c r="AC3589" s="2" t="s">
        <v>124</v>
      </c>
      <c r="AD3589" s="2"/>
      <c r="AE3589" s="2"/>
      <c r="AF3589" s="3">
        <v>40421</v>
      </c>
      <c r="AG3589" s="4">
        <v>0.68055555555555547</v>
      </c>
      <c r="AH3589" s="2">
        <v>6</v>
      </c>
      <c r="AI3589" s="2" t="s">
        <v>197</v>
      </c>
      <c r="AJ3589" s="2">
        <v>61</v>
      </c>
      <c r="AK3589" s="2" t="s">
        <v>686</v>
      </c>
      <c r="AL3589" s="2">
        <v>19</v>
      </c>
      <c r="AM3589" s="2" t="s">
        <v>107</v>
      </c>
      <c r="AN3589" s="2" t="s">
        <v>107</v>
      </c>
      <c r="AO3589" s="2" t="s">
        <v>107</v>
      </c>
      <c r="AP3589" s="2">
        <v>11</v>
      </c>
      <c r="AQ3589" s="2" t="s">
        <v>82</v>
      </c>
      <c r="AR3589" s="2" t="s">
        <v>82</v>
      </c>
      <c r="AS3589" s="2" t="s">
        <v>82</v>
      </c>
      <c r="AT3589" s="2" t="s">
        <v>11472</v>
      </c>
      <c r="AU3589" s="2"/>
      <c r="AV3589" s="2"/>
      <c r="AW3589" s="2"/>
      <c r="AX3589" s="2"/>
      <c r="AY3589" s="2">
        <v>41</v>
      </c>
      <c r="AZ3589" s="2" t="s">
        <v>82</v>
      </c>
      <c r="BA3589" s="2">
        <v>41</v>
      </c>
      <c r="BB3589" s="2" t="s">
        <v>82</v>
      </c>
      <c r="BC3589" s="2">
        <v>41</v>
      </c>
      <c r="BD3589" s="2" t="s">
        <v>82</v>
      </c>
      <c r="BE3589" s="2">
        <v>41</v>
      </c>
      <c r="BF3589" s="2" t="s">
        <v>82</v>
      </c>
      <c r="BG3589" s="2" t="s">
        <v>82</v>
      </c>
      <c r="BH3589" s="2"/>
      <c r="BI3589" s="2"/>
      <c r="BJ3589" s="2">
        <v>241</v>
      </c>
      <c r="BK3589" s="2" t="s">
        <v>82</v>
      </c>
      <c r="BL3589" s="2" t="s">
        <v>82</v>
      </c>
      <c r="BM3589" s="2">
        <v>241</v>
      </c>
      <c r="BN3589" s="2" t="s">
        <v>82</v>
      </c>
      <c r="BO3589" s="2" t="s">
        <v>82</v>
      </c>
      <c r="BP3589" s="2">
        <v>241</v>
      </c>
      <c r="BQ3589" s="2" t="s">
        <v>82</v>
      </c>
      <c r="BR3589" s="2" t="s">
        <v>82</v>
      </c>
      <c r="BS3589" s="3">
        <v>40421</v>
      </c>
      <c r="BT3589" s="4">
        <v>0.71068287037037037</v>
      </c>
    </row>
    <row r="3590" spans="1:72" x14ac:dyDescent="0.25">
      <c r="A3590" s="2">
        <v>5284</v>
      </c>
      <c r="B3590" s="2">
        <v>2010</v>
      </c>
      <c r="C3590" s="2" t="s">
        <v>1559</v>
      </c>
      <c r="D3590" s="2" t="s">
        <v>73</v>
      </c>
      <c r="E3590" s="2"/>
      <c r="F3590" s="2">
        <v>671</v>
      </c>
      <c r="G3590" s="2" t="s">
        <v>11473</v>
      </c>
      <c r="H3590" s="2">
        <v>42</v>
      </c>
      <c r="I3590" s="2" t="s">
        <v>1096</v>
      </c>
      <c r="J3590" s="2">
        <v>650</v>
      </c>
      <c r="K3590" s="2" t="s">
        <v>11474</v>
      </c>
      <c r="L3590" s="2" t="s">
        <v>11475</v>
      </c>
      <c r="M3590" s="3">
        <v>40421</v>
      </c>
      <c r="N3590" s="2" t="s">
        <v>11476</v>
      </c>
      <c r="O3590" s="2" t="s">
        <v>11477</v>
      </c>
      <c r="P3590" s="2" t="s">
        <v>10204</v>
      </c>
      <c r="Q3590" s="2" t="str">
        <f>""</f>
        <v/>
      </c>
      <c r="R3590" s="2"/>
      <c r="S3590" s="2"/>
      <c r="T3590" s="2">
        <v>1</v>
      </c>
      <c r="U3590" s="2" t="s">
        <v>79</v>
      </c>
      <c r="V3590" s="2">
        <v>1</v>
      </c>
      <c r="W3590" s="2" t="s">
        <v>80</v>
      </c>
      <c r="X3590" s="2">
        <v>8</v>
      </c>
      <c r="Y3590" s="2" t="s">
        <v>375</v>
      </c>
      <c r="Z3590" s="2">
        <v>1</v>
      </c>
      <c r="AA3590" s="2" t="s">
        <v>82</v>
      </c>
      <c r="AB3590" s="2">
        <v>9</v>
      </c>
      <c r="AC3590" s="2" t="s">
        <v>124</v>
      </c>
      <c r="AD3590" s="3">
        <v>40421</v>
      </c>
      <c r="AE3590" s="4">
        <v>0.40277777777777773</v>
      </c>
      <c r="AF3590" s="2"/>
      <c r="AG3590" s="2"/>
      <c r="AH3590" s="2">
        <v>2</v>
      </c>
      <c r="AI3590" s="2" t="s">
        <v>84</v>
      </c>
      <c r="AJ3590" s="2">
        <v>6</v>
      </c>
      <c r="AK3590" s="2" t="s">
        <v>453</v>
      </c>
      <c r="AL3590" s="2">
        <v>23</v>
      </c>
      <c r="AM3590" s="2" t="s">
        <v>251</v>
      </c>
      <c r="AN3590" s="2" t="s">
        <v>11478</v>
      </c>
      <c r="AO3590" s="2" t="s">
        <v>11479</v>
      </c>
      <c r="AP3590" s="2">
        <v>11</v>
      </c>
      <c r="AQ3590" s="2" t="s">
        <v>82</v>
      </c>
      <c r="AR3590" s="2"/>
      <c r="AS3590" s="2"/>
      <c r="AT3590" s="2" t="s">
        <v>11480</v>
      </c>
      <c r="AU3590" s="2"/>
      <c r="AV3590" s="2"/>
      <c r="AW3590" s="2"/>
      <c r="AX3590" s="2"/>
      <c r="AY3590" s="2">
        <v>41</v>
      </c>
      <c r="AZ3590" s="2" t="s">
        <v>82</v>
      </c>
      <c r="BA3590" s="2">
        <v>41</v>
      </c>
      <c r="BB3590" s="2" t="s">
        <v>82</v>
      </c>
      <c r="BC3590" s="2">
        <v>41</v>
      </c>
      <c r="BD3590" s="2" t="s">
        <v>82</v>
      </c>
      <c r="BE3590" s="2">
        <v>41</v>
      </c>
      <c r="BF3590" s="2" t="s">
        <v>82</v>
      </c>
      <c r="BG3590" s="2"/>
      <c r="BH3590" s="2"/>
      <c r="BI3590" s="2"/>
      <c r="BJ3590" s="2">
        <v>241</v>
      </c>
      <c r="BK3590" s="2" t="s">
        <v>82</v>
      </c>
      <c r="BL3590" s="2"/>
      <c r="BM3590" s="2">
        <v>241</v>
      </c>
      <c r="BN3590" s="2" t="s">
        <v>82</v>
      </c>
      <c r="BO3590" s="2"/>
      <c r="BP3590" s="2">
        <v>241</v>
      </c>
      <c r="BQ3590" s="2" t="s">
        <v>82</v>
      </c>
      <c r="BR3590" s="2"/>
      <c r="BS3590" s="3">
        <v>40421</v>
      </c>
      <c r="BT3590" s="4">
        <v>0.75173611111111116</v>
      </c>
    </row>
    <row r="3591" spans="1:72" x14ac:dyDescent="0.25">
      <c r="A3591" s="2">
        <v>5289</v>
      </c>
      <c r="B3591" s="2">
        <v>2010</v>
      </c>
      <c r="C3591" s="2" t="s">
        <v>171</v>
      </c>
      <c r="D3591" s="2" t="s">
        <v>73</v>
      </c>
      <c r="E3591" s="2"/>
      <c r="F3591" s="2">
        <v>393</v>
      </c>
      <c r="G3591" s="2" t="s">
        <v>3660</v>
      </c>
      <c r="H3591" s="2">
        <v>2</v>
      </c>
      <c r="I3591" s="2" t="s">
        <v>267</v>
      </c>
      <c r="J3591" s="2">
        <v>2</v>
      </c>
      <c r="K3591" s="2" t="s">
        <v>3661</v>
      </c>
      <c r="L3591" s="2" t="s">
        <v>3662</v>
      </c>
      <c r="M3591" s="3">
        <v>40421</v>
      </c>
      <c r="N3591" s="2" t="s">
        <v>11481</v>
      </c>
      <c r="O3591" s="2"/>
      <c r="P3591" s="2"/>
      <c r="Q3591" s="2" t="str">
        <f>"445-E/10"</f>
        <v>445-E/10</v>
      </c>
      <c r="R3591" s="2" t="s">
        <v>391</v>
      </c>
      <c r="S3591" s="2"/>
      <c r="T3591" s="2">
        <v>1</v>
      </c>
      <c r="U3591" s="2" t="s">
        <v>79</v>
      </c>
      <c r="V3591" s="2">
        <v>1</v>
      </c>
      <c r="W3591" s="2" t="s">
        <v>80</v>
      </c>
      <c r="X3591" s="2">
        <v>1</v>
      </c>
      <c r="Y3591" s="2" t="s">
        <v>81</v>
      </c>
      <c r="Z3591" s="2">
        <v>1</v>
      </c>
      <c r="AA3591" s="2" t="s">
        <v>82</v>
      </c>
      <c r="AB3591" s="2">
        <v>1</v>
      </c>
      <c r="AC3591" s="2" t="s">
        <v>178</v>
      </c>
      <c r="AD3591" s="3">
        <v>40421</v>
      </c>
      <c r="AE3591" s="4">
        <v>0.63194444444444442</v>
      </c>
      <c r="AF3591" s="2"/>
      <c r="AG3591" s="2"/>
      <c r="AH3591" s="2">
        <v>2</v>
      </c>
      <c r="AI3591" s="2" t="s">
        <v>84</v>
      </c>
      <c r="AJ3591" s="2">
        <v>9</v>
      </c>
      <c r="AK3591" s="2" t="s">
        <v>103</v>
      </c>
      <c r="AL3591" s="2">
        <v>11</v>
      </c>
      <c r="AM3591" s="2" t="s">
        <v>137</v>
      </c>
      <c r="AN3591" s="2" t="s">
        <v>11482</v>
      </c>
      <c r="AO3591" s="2" t="s">
        <v>987</v>
      </c>
      <c r="AP3591" s="2">
        <v>11</v>
      </c>
      <c r="AQ3591" s="2" t="s">
        <v>82</v>
      </c>
      <c r="AR3591" s="2"/>
      <c r="AS3591" s="2"/>
      <c r="AT3591" s="2" t="s">
        <v>11483</v>
      </c>
      <c r="AU3591" s="2"/>
      <c r="AV3591" s="2">
        <v>1</v>
      </c>
      <c r="AW3591" s="2"/>
      <c r="AX3591" s="2"/>
      <c r="AY3591" s="2">
        <v>41</v>
      </c>
      <c r="AZ3591" s="2" t="s">
        <v>82</v>
      </c>
      <c r="BA3591" s="2">
        <v>41</v>
      </c>
      <c r="BB3591" s="2" t="s">
        <v>82</v>
      </c>
      <c r="BC3591" s="2">
        <v>41</v>
      </c>
      <c r="BD3591" s="2" t="s">
        <v>82</v>
      </c>
      <c r="BE3591" s="2">
        <v>13</v>
      </c>
      <c r="BF3591" s="2" t="s">
        <v>108</v>
      </c>
      <c r="BG3591" s="2" t="s">
        <v>842</v>
      </c>
      <c r="BH3591" s="2"/>
      <c r="BI3591" s="2"/>
      <c r="BJ3591" s="2">
        <v>29</v>
      </c>
      <c r="BK3591" s="2" t="s">
        <v>962</v>
      </c>
      <c r="BL3591" s="2" t="s">
        <v>11484</v>
      </c>
      <c r="BM3591" s="2">
        <v>13</v>
      </c>
      <c r="BN3591" s="2" t="s">
        <v>91</v>
      </c>
      <c r="BO3591" s="2" t="s">
        <v>360</v>
      </c>
      <c r="BP3591" s="2">
        <v>73</v>
      </c>
      <c r="BQ3591" s="2" t="s">
        <v>186</v>
      </c>
      <c r="BR3591" s="2" t="s">
        <v>187</v>
      </c>
      <c r="BS3591" s="3">
        <v>40421</v>
      </c>
      <c r="BT3591" s="4">
        <v>0.96851851851851845</v>
      </c>
    </row>
    <row r="3592" spans="1:72" x14ac:dyDescent="0.25">
      <c r="A3592" s="2">
        <v>5290</v>
      </c>
      <c r="B3592" s="2">
        <v>2010</v>
      </c>
      <c r="C3592" s="2" t="s">
        <v>171</v>
      </c>
      <c r="D3592" s="2" t="s">
        <v>122</v>
      </c>
      <c r="E3592" s="2" t="s">
        <v>11485</v>
      </c>
      <c r="F3592" s="2">
        <v>393</v>
      </c>
      <c r="G3592" s="2" t="s">
        <v>3660</v>
      </c>
      <c r="H3592" s="2">
        <v>2</v>
      </c>
      <c r="I3592" s="2" t="s">
        <v>267</v>
      </c>
      <c r="J3592" s="2">
        <v>2</v>
      </c>
      <c r="K3592" s="2" t="s">
        <v>3661</v>
      </c>
      <c r="L3592" s="2" t="s">
        <v>3662</v>
      </c>
      <c r="M3592" s="3">
        <v>40422</v>
      </c>
      <c r="N3592" s="2" t="s">
        <v>11481</v>
      </c>
      <c r="O3592" s="2" t="s">
        <v>82</v>
      </c>
      <c r="P3592" s="2"/>
      <c r="Q3592" s="2" t="str">
        <f>"445-E/10"</f>
        <v>445-E/10</v>
      </c>
      <c r="R3592" s="2" t="s">
        <v>391</v>
      </c>
      <c r="S3592" s="2" t="s">
        <v>391</v>
      </c>
      <c r="T3592" s="2">
        <v>1</v>
      </c>
      <c r="U3592" s="2" t="s">
        <v>79</v>
      </c>
      <c r="V3592" s="2">
        <v>1</v>
      </c>
      <c r="W3592" s="2" t="s">
        <v>80</v>
      </c>
      <c r="X3592" s="2">
        <v>1</v>
      </c>
      <c r="Y3592" s="2" t="s">
        <v>81</v>
      </c>
      <c r="Z3592" s="2">
        <v>1</v>
      </c>
      <c r="AA3592" s="2" t="s">
        <v>82</v>
      </c>
      <c r="AB3592" s="2">
        <v>1</v>
      </c>
      <c r="AC3592" s="2" t="s">
        <v>178</v>
      </c>
      <c r="AD3592" s="3">
        <v>40421</v>
      </c>
      <c r="AE3592" s="4">
        <v>0.63888888888888895</v>
      </c>
      <c r="AF3592" s="2"/>
      <c r="AG3592" s="2"/>
      <c r="AH3592" s="2">
        <v>2</v>
      </c>
      <c r="AI3592" s="2" t="s">
        <v>84</v>
      </c>
      <c r="AJ3592" s="2">
        <v>9</v>
      </c>
      <c r="AK3592" s="2" t="s">
        <v>103</v>
      </c>
      <c r="AL3592" s="2">
        <v>25</v>
      </c>
      <c r="AM3592" s="2" t="s">
        <v>3073</v>
      </c>
      <c r="AN3592" s="2"/>
      <c r="AO3592" s="2" t="s">
        <v>11486</v>
      </c>
      <c r="AP3592" s="2">
        <v>11</v>
      </c>
      <c r="AQ3592" s="2" t="s">
        <v>82</v>
      </c>
      <c r="AR3592" s="2"/>
      <c r="AS3592" s="2"/>
      <c r="AT3592" s="2" t="s">
        <v>11487</v>
      </c>
      <c r="AU3592" s="2"/>
      <c r="AV3592" s="2">
        <v>1</v>
      </c>
      <c r="AW3592" s="2"/>
      <c r="AX3592" s="2"/>
      <c r="AY3592" s="2">
        <v>41</v>
      </c>
      <c r="AZ3592" s="2" t="s">
        <v>82</v>
      </c>
      <c r="BA3592" s="2">
        <v>41</v>
      </c>
      <c r="BB3592" s="2" t="s">
        <v>82</v>
      </c>
      <c r="BC3592" s="2">
        <v>41</v>
      </c>
      <c r="BD3592" s="2" t="s">
        <v>82</v>
      </c>
      <c r="BE3592" s="2">
        <v>13</v>
      </c>
      <c r="BF3592" s="2" t="s">
        <v>108</v>
      </c>
      <c r="BG3592" s="2" t="s">
        <v>1769</v>
      </c>
      <c r="BH3592" s="2"/>
      <c r="BI3592" s="4">
        <v>0.875</v>
      </c>
      <c r="BJ3592" s="2">
        <v>13</v>
      </c>
      <c r="BK3592" s="2" t="s">
        <v>91</v>
      </c>
      <c r="BL3592" s="2" t="s">
        <v>185</v>
      </c>
      <c r="BM3592" s="2">
        <v>241</v>
      </c>
      <c r="BN3592" s="2" t="s">
        <v>82</v>
      </c>
      <c r="BO3592" s="2" t="s">
        <v>82</v>
      </c>
      <c r="BP3592" s="2">
        <v>73</v>
      </c>
      <c r="BQ3592" s="2" t="s">
        <v>186</v>
      </c>
      <c r="BR3592" s="2" t="s">
        <v>187</v>
      </c>
      <c r="BS3592" s="3">
        <v>40422</v>
      </c>
      <c r="BT3592" s="4">
        <v>0.31663194444444448</v>
      </c>
    </row>
    <row r="3593" spans="1:72" x14ac:dyDescent="0.25">
      <c r="A3593" s="2">
        <v>5291</v>
      </c>
      <c r="B3593" s="2">
        <v>2010</v>
      </c>
      <c r="C3593" s="2" t="s">
        <v>93</v>
      </c>
      <c r="D3593" s="2" t="s">
        <v>73</v>
      </c>
      <c r="E3593" s="2"/>
      <c r="F3593" s="2">
        <v>441</v>
      </c>
      <c r="G3593" s="2" t="s">
        <v>696</v>
      </c>
      <c r="H3593" s="2">
        <v>50</v>
      </c>
      <c r="I3593" s="2" t="s">
        <v>107</v>
      </c>
      <c r="J3593" s="2">
        <v>651</v>
      </c>
      <c r="K3593" s="2" t="s">
        <v>11488</v>
      </c>
      <c r="L3593" s="2" t="s">
        <v>10286</v>
      </c>
      <c r="M3593" s="3">
        <v>40422</v>
      </c>
      <c r="N3593" s="2"/>
      <c r="O3593" s="2" t="s">
        <v>11489</v>
      </c>
      <c r="P3593" s="2">
        <v>323</v>
      </c>
      <c r="Q3593" s="2" t="str">
        <f>""</f>
        <v/>
      </c>
      <c r="R3593" s="2"/>
      <c r="S3593" s="2"/>
      <c r="T3593" s="2">
        <v>1</v>
      </c>
      <c r="U3593" s="2" t="s">
        <v>79</v>
      </c>
      <c r="V3593" s="2">
        <v>1</v>
      </c>
      <c r="W3593" s="2" t="s">
        <v>80</v>
      </c>
      <c r="X3593" s="2">
        <v>10</v>
      </c>
      <c r="Y3593" s="2" t="s">
        <v>226</v>
      </c>
      <c r="Z3593" s="2">
        <v>6</v>
      </c>
      <c r="AA3593" s="2" t="s">
        <v>101</v>
      </c>
      <c r="AB3593" s="2">
        <v>2</v>
      </c>
      <c r="AC3593" s="2" t="s">
        <v>102</v>
      </c>
      <c r="AD3593" s="3">
        <v>40421</v>
      </c>
      <c r="AE3593" s="4">
        <v>0.97916666666666663</v>
      </c>
      <c r="AF3593" s="2"/>
      <c r="AG3593" s="2"/>
      <c r="AH3593" s="2">
        <v>2</v>
      </c>
      <c r="AI3593" s="2" t="s">
        <v>84</v>
      </c>
      <c r="AJ3593" s="2">
        <v>9</v>
      </c>
      <c r="AK3593" s="2" t="s">
        <v>103</v>
      </c>
      <c r="AL3593" s="2">
        <v>14</v>
      </c>
      <c r="AM3593" s="2" t="s">
        <v>216</v>
      </c>
      <c r="AN3593" s="2" t="s">
        <v>8942</v>
      </c>
      <c r="AO3593" s="2" t="s">
        <v>11490</v>
      </c>
      <c r="AP3593" s="2">
        <v>11</v>
      </c>
      <c r="AQ3593" s="2" t="s">
        <v>82</v>
      </c>
      <c r="AR3593" s="2"/>
      <c r="AS3593" s="2"/>
      <c r="AT3593" s="2" t="s">
        <v>11491</v>
      </c>
      <c r="AU3593" s="2"/>
      <c r="AV3593" s="2"/>
      <c r="AW3593" s="2"/>
      <c r="AX3593" s="2"/>
      <c r="AY3593" s="2">
        <v>41</v>
      </c>
      <c r="AZ3593" s="2" t="s">
        <v>82</v>
      </c>
      <c r="BA3593" s="2">
        <v>41</v>
      </c>
      <c r="BB3593" s="2" t="s">
        <v>82</v>
      </c>
      <c r="BC3593" s="2">
        <v>41</v>
      </c>
      <c r="BD3593" s="2" t="s">
        <v>82</v>
      </c>
      <c r="BE3593" s="2">
        <v>39</v>
      </c>
      <c r="BF3593" s="2" t="s">
        <v>440</v>
      </c>
      <c r="BG3593" s="2" t="s">
        <v>1825</v>
      </c>
      <c r="BH3593" s="4">
        <v>0.94444444444444453</v>
      </c>
      <c r="BI3593" s="2"/>
      <c r="BJ3593" s="2">
        <v>29</v>
      </c>
      <c r="BK3593" s="2" t="s">
        <v>962</v>
      </c>
      <c r="BL3593" s="2" t="s">
        <v>11492</v>
      </c>
      <c r="BM3593" s="2">
        <v>241</v>
      </c>
      <c r="BN3593" s="2" t="s">
        <v>82</v>
      </c>
      <c r="BO3593" s="2" t="s">
        <v>82</v>
      </c>
      <c r="BP3593" s="2">
        <v>13</v>
      </c>
      <c r="BQ3593" s="2" t="s">
        <v>91</v>
      </c>
      <c r="BR3593" s="2" t="s">
        <v>185</v>
      </c>
      <c r="BS3593" s="3">
        <v>40422</v>
      </c>
      <c r="BT3593" s="4">
        <v>0.40288194444444447</v>
      </c>
    </row>
    <row r="3594" spans="1:72" x14ac:dyDescent="0.25">
      <c r="A3594" s="2">
        <v>5293</v>
      </c>
      <c r="B3594" s="2">
        <v>2010</v>
      </c>
      <c r="C3594" s="2" t="s">
        <v>121</v>
      </c>
      <c r="D3594" s="2" t="s">
        <v>122</v>
      </c>
      <c r="E3594" s="2"/>
      <c r="F3594" s="2">
        <v>1</v>
      </c>
      <c r="G3594" s="2" t="s">
        <v>82</v>
      </c>
      <c r="H3594" s="2">
        <v>1</v>
      </c>
      <c r="I3594" s="2" t="s">
        <v>82</v>
      </c>
      <c r="J3594" s="2">
        <v>1</v>
      </c>
      <c r="K3594" s="2" t="s">
        <v>107</v>
      </c>
      <c r="L3594" s="2" t="s">
        <v>107</v>
      </c>
      <c r="M3594" s="3">
        <v>40422</v>
      </c>
      <c r="N3594" s="2"/>
      <c r="O3594" s="2"/>
      <c r="P3594" s="2"/>
      <c r="Q3594" s="2" t="str">
        <f>""</f>
        <v/>
      </c>
      <c r="R3594" s="2"/>
      <c r="S3594" s="2"/>
      <c r="T3594" s="2">
        <v>2</v>
      </c>
      <c r="U3594" s="2" t="s">
        <v>123</v>
      </c>
      <c r="V3594" s="2">
        <v>1</v>
      </c>
      <c r="W3594" s="2" t="s">
        <v>80</v>
      </c>
      <c r="X3594" s="2">
        <v>11</v>
      </c>
      <c r="Y3594" s="2" t="s">
        <v>1920</v>
      </c>
      <c r="Z3594" s="2">
        <v>1</v>
      </c>
      <c r="AA3594" s="2" t="s">
        <v>82</v>
      </c>
      <c r="AB3594" s="2">
        <v>9</v>
      </c>
      <c r="AC3594" s="2" t="s">
        <v>124</v>
      </c>
      <c r="AD3594" s="3">
        <v>40422</v>
      </c>
      <c r="AE3594" s="4">
        <v>0.4777777777777778</v>
      </c>
      <c r="AF3594" s="2"/>
      <c r="AG3594" s="2"/>
      <c r="AH3594" s="2">
        <v>3</v>
      </c>
      <c r="AI3594" s="2" t="s">
        <v>214</v>
      </c>
      <c r="AJ3594" s="2">
        <v>20</v>
      </c>
      <c r="AK3594" s="2" t="s">
        <v>1897</v>
      </c>
      <c r="AL3594" s="2">
        <v>18</v>
      </c>
      <c r="AM3594" s="2" t="s">
        <v>82</v>
      </c>
      <c r="AN3594" s="2"/>
      <c r="AO3594" s="2"/>
      <c r="AP3594" s="2">
        <v>11</v>
      </c>
      <c r="AQ3594" s="2" t="s">
        <v>82</v>
      </c>
      <c r="AR3594" s="2"/>
      <c r="AS3594" s="2"/>
      <c r="AT3594" s="2" t="s">
        <v>11493</v>
      </c>
      <c r="AU3594" s="2"/>
      <c r="AV3594" s="2"/>
      <c r="AW3594" s="2"/>
      <c r="AX3594" s="2"/>
      <c r="AY3594" s="2">
        <v>41</v>
      </c>
      <c r="AZ3594" s="2" t="s">
        <v>82</v>
      </c>
      <c r="BA3594" s="2">
        <v>41</v>
      </c>
      <c r="BB3594" s="2" t="s">
        <v>82</v>
      </c>
      <c r="BC3594" s="2">
        <v>41</v>
      </c>
      <c r="BD3594" s="2" t="s">
        <v>82</v>
      </c>
      <c r="BE3594" s="2">
        <v>41</v>
      </c>
      <c r="BF3594" s="2" t="s">
        <v>82</v>
      </c>
      <c r="BG3594" s="2" t="s">
        <v>853</v>
      </c>
      <c r="BH3594" s="4">
        <v>0.4777777777777778</v>
      </c>
      <c r="BI3594" s="4">
        <v>0.43055555555555558</v>
      </c>
      <c r="BJ3594" s="2">
        <v>13</v>
      </c>
      <c r="BK3594" s="2" t="s">
        <v>91</v>
      </c>
      <c r="BL3594" s="2" t="s">
        <v>564</v>
      </c>
      <c r="BM3594" s="2">
        <v>241</v>
      </c>
      <c r="BN3594" s="2" t="s">
        <v>82</v>
      </c>
      <c r="BO3594" s="2" t="s">
        <v>82</v>
      </c>
      <c r="BP3594" s="2">
        <v>13</v>
      </c>
      <c r="BQ3594" s="2" t="s">
        <v>91</v>
      </c>
      <c r="BR3594" s="2" t="s">
        <v>2844</v>
      </c>
      <c r="BS3594" s="3">
        <v>40422</v>
      </c>
      <c r="BT3594" s="4">
        <v>0.48645833333333338</v>
      </c>
    </row>
    <row r="3595" spans="1:72" x14ac:dyDescent="0.25">
      <c r="A3595" s="2">
        <v>5294</v>
      </c>
      <c r="B3595" s="2">
        <v>2010</v>
      </c>
      <c r="C3595" s="2" t="s">
        <v>171</v>
      </c>
      <c r="D3595" s="2" t="s">
        <v>73</v>
      </c>
      <c r="E3595" s="2" t="s">
        <v>11494</v>
      </c>
      <c r="F3595" s="2">
        <v>425</v>
      </c>
      <c r="G3595" s="2" t="s">
        <v>286</v>
      </c>
      <c r="H3595" s="2">
        <v>3</v>
      </c>
      <c r="I3595" s="2" t="s">
        <v>315</v>
      </c>
      <c r="J3595" s="2">
        <v>310</v>
      </c>
      <c r="K3595" s="2" t="s">
        <v>288</v>
      </c>
      <c r="L3595" s="2" t="s">
        <v>289</v>
      </c>
      <c r="M3595" s="3">
        <v>40422</v>
      </c>
      <c r="N3595" s="2" t="s">
        <v>8952</v>
      </c>
      <c r="O3595" s="2" t="s">
        <v>8953</v>
      </c>
      <c r="P3595" s="2" t="s">
        <v>8954</v>
      </c>
      <c r="Q3595" s="2" t="str">
        <f>""</f>
        <v/>
      </c>
      <c r="R3595" s="2"/>
      <c r="S3595" s="2"/>
      <c r="T3595" s="2">
        <v>1</v>
      </c>
      <c r="U3595" s="2" t="s">
        <v>79</v>
      </c>
      <c r="V3595" s="2">
        <v>3</v>
      </c>
      <c r="W3595" s="2" t="s">
        <v>225</v>
      </c>
      <c r="X3595" s="2">
        <v>6</v>
      </c>
      <c r="Y3595" s="2" t="s">
        <v>249</v>
      </c>
      <c r="Z3595" s="2">
        <v>1</v>
      </c>
      <c r="AA3595" s="2" t="s">
        <v>82</v>
      </c>
      <c r="AB3595" s="2">
        <v>9</v>
      </c>
      <c r="AC3595" s="2" t="s">
        <v>124</v>
      </c>
      <c r="AD3595" s="2"/>
      <c r="AE3595" s="2"/>
      <c r="AF3595" s="2"/>
      <c r="AG3595" s="2"/>
      <c r="AH3595" s="2">
        <v>4</v>
      </c>
      <c r="AI3595" s="2" t="s">
        <v>125</v>
      </c>
      <c r="AJ3595" s="2">
        <v>26</v>
      </c>
      <c r="AK3595" s="2" t="s">
        <v>293</v>
      </c>
      <c r="AL3595" s="2">
        <v>23</v>
      </c>
      <c r="AM3595" s="2" t="s">
        <v>251</v>
      </c>
      <c r="AN3595" s="2"/>
      <c r="AO3595" s="2" t="s">
        <v>11495</v>
      </c>
      <c r="AP3595" s="2">
        <v>11</v>
      </c>
      <c r="AQ3595" s="2" t="s">
        <v>82</v>
      </c>
      <c r="AR3595" s="2"/>
      <c r="AS3595" s="2"/>
      <c r="AT3595" s="2" t="s">
        <v>11496</v>
      </c>
      <c r="AU3595" s="2"/>
      <c r="AV3595" s="2"/>
      <c r="AW3595" s="2"/>
      <c r="AX3595" s="2"/>
      <c r="AY3595" s="2">
        <v>1</v>
      </c>
      <c r="AZ3595" s="2" t="s">
        <v>107</v>
      </c>
      <c r="BA3595" s="2">
        <v>1</v>
      </c>
      <c r="BB3595" s="2" t="s">
        <v>107</v>
      </c>
      <c r="BC3595" s="2">
        <v>1</v>
      </c>
      <c r="BD3595" s="2" t="s">
        <v>107</v>
      </c>
      <c r="BE3595" s="2">
        <v>1</v>
      </c>
      <c r="BF3595" s="2" t="s">
        <v>107</v>
      </c>
      <c r="BG3595" s="2"/>
      <c r="BH3595" s="2"/>
      <c r="BI3595" s="2"/>
      <c r="BJ3595" s="2">
        <v>242</v>
      </c>
      <c r="BK3595" s="2" t="s">
        <v>107</v>
      </c>
      <c r="BL3595" s="2"/>
      <c r="BM3595" s="2">
        <v>242</v>
      </c>
      <c r="BN3595" s="2" t="s">
        <v>107</v>
      </c>
      <c r="BO3595" s="2"/>
      <c r="BP3595" s="2">
        <v>242</v>
      </c>
      <c r="BQ3595" s="2" t="s">
        <v>107</v>
      </c>
      <c r="BR3595" s="2"/>
      <c r="BS3595" s="3">
        <v>40422</v>
      </c>
      <c r="BT3595" s="4">
        <v>0.58207175925925925</v>
      </c>
    </row>
    <row r="3596" spans="1:72" x14ac:dyDescent="0.25">
      <c r="A3596" s="2">
        <v>5295</v>
      </c>
      <c r="B3596" s="2">
        <v>2010</v>
      </c>
      <c r="C3596" s="2" t="s">
        <v>171</v>
      </c>
      <c r="D3596" s="2" t="s">
        <v>73</v>
      </c>
      <c r="E3596" s="2"/>
      <c r="F3596" s="2">
        <v>100</v>
      </c>
      <c r="G3596" s="2" t="s">
        <v>517</v>
      </c>
      <c r="H3596" s="2">
        <v>47</v>
      </c>
      <c r="I3596" s="2" t="s">
        <v>1409</v>
      </c>
      <c r="J3596" s="2">
        <v>119</v>
      </c>
      <c r="K3596" s="2" t="s">
        <v>325</v>
      </c>
      <c r="L3596" s="2" t="s">
        <v>326</v>
      </c>
      <c r="M3596" s="3">
        <v>40422</v>
      </c>
      <c r="N3596" s="2" t="s">
        <v>327</v>
      </c>
      <c r="O3596" s="2" t="s">
        <v>11497</v>
      </c>
      <c r="P3596" s="2" t="s">
        <v>11498</v>
      </c>
      <c r="Q3596" s="2" t="str">
        <f>""</f>
        <v/>
      </c>
      <c r="R3596" s="2"/>
      <c r="S3596" s="2"/>
      <c r="T3596" s="2">
        <v>1</v>
      </c>
      <c r="U3596" s="2" t="s">
        <v>79</v>
      </c>
      <c r="V3596" s="2">
        <v>3</v>
      </c>
      <c r="W3596" s="2" t="s">
        <v>225</v>
      </c>
      <c r="X3596" s="2">
        <v>6</v>
      </c>
      <c r="Y3596" s="2" t="s">
        <v>249</v>
      </c>
      <c r="Z3596" s="2">
        <v>1</v>
      </c>
      <c r="AA3596" s="2" t="s">
        <v>82</v>
      </c>
      <c r="AB3596" s="2">
        <v>9</v>
      </c>
      <c r="AC3596" s="2" t="s">
        <v>124</v>
      </c>
      <c r="AD3596" s="3">
        <v>40422</v>
      </c>
      <c r="AE3596" s="4">
        <v>0.52638888888888891</v>
      </c>
      <c r="AF3596" s="2"/>
      <c r="AG3596" s="2"/>
      <c r="AH3596" s="2">
        <v>6</v>
      </c>
      <c r="AI3596" s="2" t="s">
        <v>197</v>
      </c>
      <c r="AJ3596" s="2">
        <v>47</v>
      </c>
      <c r="AK3596" s="2" t="s">
        <v>250</v>
      </c>
      <c r="AL3596" s="2">
        <v>23</v>
      </c>
      <c r="AM3596" s="2" t="s">
        <v>251</v>
      </c>
      <c r="AN3596" s="2"/>
      <c r="AO3596" s="2" t="s">
        <v>11499</v>
      </c>
      <c r="AP3596" s="2">
        <v>11</v>
      </c>
      <c r="AQ3596" s="2" t="s">
        <v>82</v>
      </c>
      <c r="AR3596" s="2"/>
      <c r="AS3596" s="2"/>
      <c r="AT3596" s="2" t="s">
        <v>11500</v>
      </c>
      <c r="AU3596" s="2"/>
      <c r="AV3596" s="2"/>
      <c r="AW3596" s="2"/>
      <c r="AX3596" s="2"/>
      <c r="AY3596" s="2">
        <v>1</v>
      </c>
      <c r="AZ3596" s="2" t="s">
        <v>107</v>
      </c>
      <c r="BA3596" s="2">
        <v>1</v>
      </c>
      <c r="BB3596" s="2" t="s">
        <v>107</v>
      </c>
      <c r="BC3596" s="2">
        <v>1</v>
      </c>
      <c r="BD3596" s="2" t="s">
        <v>107</v>
      </c>
      <c r="BE3596" s="2">
        <v>1</v>
      </c>
      <c r="BF3596" s="2" t="s">
        <v>107</v>
      </c>
      <c r="BG3596" s="2"/>
      <c r="BH3596" s="2"/>
      <c r="BI3596" s="2"/>
      <c r="BJ3596" s="2">
        <v>242</v>
      </c>
      <c r="BK3596" s="2" t="s">
        <v>107</v>
      </c>
      <c r="BL3596" s="2"/>
      <c r="BM3596" s="2">
        <v>242</v>
      </c>
      <c r="BN3596" s="2" t="s">
        <v>107</v>
      </c>
      <c r="BO3596" s="2"/>
      <c r="BP3596" s="2">
        <v>242</v>
      </c>
      <c r="BQ3596" s="2" t="s">
        <v>107</v>
      </c>
      <c r="BR3596" s="2"/>
      <c r="BS3596" s="3">
        <v>40422</v>
      </c>
      <c r="BT3596" s="4">
        <v>0.59203703703703703</v>
      </c>
    </row>
    <row r="3597" spans="1:72" x14ac:dyDescent="0.25">
      <c r="A3597" s="2">
        <v>5296</v>
      </c>
      <c r="B3597" s="2">
        <v>2010</v>
      </c>
      <c r="C3597" s="2" t="s">
        <v>1568</v>
      </c>
      <c r="D3597" s="2" t="s">
        <v>73</v>
      </c>
      <c r="E3597" s="2"/>
      <c r="F3597" s="2">
        <v>186</v>
      </c>
      <c r="G3597" s="2" t="s">
        <v>11501</v>
      </c>
      <c r="H3597" s="2">
        <v>42</v>
      </c>
      <c r="I3597" s="2" t="s">
        <v>1096</v>
      </c>
      <c r="J3597" s="2">
        <v>386</v>
      </c>
      <c r="K3597" s="2" t="s">
        <v>11502</v>
      </c>
      <c r="L3597" s="2" t="s">
        <v>11503</v>
      </c>
      <c r="M3597" s="3">
        <v>40422</v>
      </c>
      <c r="N3597" s="2" t="s">
        <v>11504</v>
      </c>
      <c r="O3597" s="2"/>
      <c r="P3597" s="2"/>
      <c r="Q3597" s="2" t="str">
        <f>"342-A/10"</f>
        <v>342-A/10</v>
      </c>
      <c r="R3597" s="2" t="s">
        <v>480</v>
      </c>
      <c r="S3597" s="2"/>
      <c r="T3597" s="2">
        <v>1</v>
      </c>
      <c r="U3597" s="2" t="s">
        <v>79</v>
      </c>
      <c r="V3597" s="2">
        <v>1</v>
      </c>
      <c r="W3597" s="2" t="s">
        <v>80</v>
      </c>
      <c r="X3597" s="2">
        <v>1</v>
      </c>
      <c r="Y3597" s="2" t="s">
        <v>81</v>
      </c>
      <c r="Z3597" s="2">
        <v>1</v>
      </c>
      <c r="AA3597" s="2" t="s">
        <v>82</v>
      </c>
      <c r="AB3597" s="2">
        <v>4</v>
      </c>
      <c r="AC3597" s="2" t="s">
        <v>1569</v>
      </c>
      <c r="AD3597" s="3">
        <v>40422</v>
      </c>
      <c r="AE3597" s="4">
        <v>0.16666666666666666</v>
      </c>
      <c r="AF3597" s="2"/>
      <c r="AG3597" s="2"/>
      <c r="AH3597" s="2">
        <v>2</v>
      </c>
      <c r="AI3597" s="2" t="s">
        <v>84</v>
      </c>
      <c r="AJ3597" s="2">
        <v>12</v>
      </c>
      <c r="AK3597" s="2" t="s">
        <v>85</v>
      </c>
      <c r="AL3597" s="2">
        <v>16</v>
      </c>
      <c r="AM3597" s="2" t="s">
        <v>392</v>
      </c>
      <c r="AN3597" s="2" t="s">
        <v>10488</v>
      </c>
      <c r="AO3597" s="2" t="s">
        <v>1289</v>
      </c>
      <c r="AP3597" s="2">
        <v>5</v>
      </c>
      <c r="AQ3597" s="2" t="s">
        <v>827</v>
      </c>
      <c r="AR3597" s="2"/>
      <c r="AS3597" s="2"/>
      <c r="AT3597" s="2" t="s">
        <v>11505</v>
      </c>
      <c r="AU3597" s="2"/>
      <c r="AV3597" s="2"/>
      <c r="AW3597" s="2"/>
      <c r="AX3597" s="2"/>
      <c r="AY3597" s="2">
        <v>41</v>
      </c>
      <c r="AZ3597" s="2" t="s">
        <v>82</v>
      </c>
      <c r="BA3597" s="2">
        <v>41</v>
      </c>
      <c r="BB3597" s="2" t="s">
        <v>82</v>
      </c>
      <c r="BC3597" s="2">
        <v>41</v>
      </c>
      <c r="BD3597" s="2" t="s">
        <v>82</v>
      </c>
      <c r="BE3597" s="2">
        <v>13</v>
      </c>
      <c r="BF3597" s="2" t="s">
        <v>108</v>
      </c>
      <c r="BG3597" s="2" t="s">
        <v>11506</v>
      </c>
      <c r="BH3597" s="2"/>
      <c r="BI3597" s="2"/>
      <c r="BJ3597" s="2">
        <v>13</v>
      </c>
      <c r="BK3597" s="2" t="s">
        <v>91</v>
      </c>
      <c r="BL3597" s="2" t="s">
        <v>11507</v>
      </c>
      <c r="BM3597" s="2">
        <v>13</v>
      </c>
      <c r="BN3597" s="2" t="s">
        <v>91</v>
      </c>
      <c r="BO3597" s="2" t="s">
        <v>564</v>
      </c>
      <c r="BP3597" s="2">
        <v>13</v>
      </c>
      <c r="BQ3597" s="2" t="s">
        <v>91</v>
      </c>
      <c r="BR3597" s="2" t="s">
        <v>241</v>
      </c>
      <c r="BS3597" s="3">
        <v>40422</v>
      </c>
      <c r="BT3597" s="4">
        <v>0.61008101851851848</v>
      </c>
    </row>
    <row r="3598" spans="1:72" x14ac:dyDescent="0.25">
      <c r="A3598" s="2">
        <v>5297</v>
      </c>
      <c r="B3598" s="2">
        <v>2010</v>
      </c>
      <c r="C3598" s="2" t="s">
        <v>171</v>
      </c>
      <c r="D3598" s="2" t="s">
        <v>73</v>
      </c>
      <c r="E3598" s="2" t="s">
        <v>11508</v>
      </c>
      <c r="F3598" s="2">
        <v>425</v>
      </c>
      <c r="G3598" s="2" t="s">
        <v>286</v>
      </c>
      <c r="H3598" s="2">
        <v>3</v>
      </c>
      <c r="I3598" s="2" t="s">
        <v>315</v>
      </c>
      <c r="J3598" s="2">
        <v>310</v>
      </c>
      <c r="K3598" s="2" t="s">
        <v>288</v>
      </c>
      <c r="L3598" s="2" t="s">
        <v>289</v>
      </c>
      <c r="M3598" s="3">
        <v>40422</v>
      </c>
      <c r="N3598" s="2" t="s">
        <v>8956</v>
      </c>
      <c r="O3598" s="2" t="s">
        <v>8957</v>
      </c>
      <c r="P3598" s="2" t="s">
        <v>8958</v>
      </c>
      <c r="Q3598" s="2" t="str">
        <f>""</f>
        <v/>
      </c>
      <c r="R3598" s="2"/>
      <c r="S3598" s="2"/>
      <c r="T3598" s="2">
        <v>1</v>
      </c>
      <c r="U3598" s="2" t="s">
        <v>79</v>
      </c>
      <c r="V3598" s="2">
        <v>3</v>
      </c>
      <c r="W3598" s="2" t="s">
        <v>225</v>
      </c>
      <c r="X3598" s="2">
        <v>6</v>
      </c>
      <c r="Y3598" s="2" t="s">
        <v>249</v>
      </c>
      <c r="Z3598" s="2">
        <v>1</v>
      </c>
      <c r="AA3598" s="2" t="s">
        <v>82</v>
      </c>
      <c r="AB3598" s="2">
        <v>9</v>
      </c>
      <c r="AC3598" s="2" t="s">
        <v>124</v>
      </c>
      <c r="AD3598" s="2"/>
      <c r="AE3598" s="2"/>
      <c r="AF3598" s="2"/>
      <c r="AG3598" s="2"/>
      <c r="AH3598" s="2">
        <v>4</v>
      </c>
      <c r="AI3598" s="2" t="s">
        <v>125</v>
      </c>
      <c r="AJ3598" s="2">
        <v>26</v>
      </c>
      <c r="AK3598" s="2" t="s">
        <v>293</v>
      </c>
      <c r="AL3598" s="2">
        <v>23</v>
      </c>
      <c r="AM3598" s="2" t="s">
        <v>251</v>
      </c>
      <c r="AN3598" s="2"/>
      <c r="AO3598" s="2" t="s">
        <v>11465</v>
      </c>
      <c r="AP3598" s="2">
        <v>11</v>
      </c>
      <c r="AQ3598" s="2" t="s">
        <v>82</v>
      </c>
      <c r="AR3598" s="2"/>
      <c r="AS3598" s="2"/>
      <c r="AT3598" s="2" t="s">
        <v>11509</v>
      </c>
      <c r="AU3598" s="2"/>
      <c r="AV3598" s="2"/>
      <c r="AW3598" s="2"/>
      <c r="AX3598" s="2"/>
      <c r="AY3598" s="2">
        <v>1</v>
      </c>
      <c r="AZ3598" s="2" t="s">
        <v>107</v>
      </c>
      <c r="BA3598" s="2">
        <v>1</v>
      </c>
      <c r="BB3598" s="2" t="s">
        <v>107</v>
      </c>
      <c r="BC3598" s="2">
        <v>1</v>
      </c>
      <c r="BD3598" s="2" t="s">
        <v>107</v>
      </c>
      <c r="BE3598" s="2">
        <v>1</v>
      </c>
      <c r="BF3598" s="2" t="s">
        <v>107</v>
      </c>
      <c r="BG3598" s="2"/>
      <c r="BH3598" s="2"/>
      <c r="BI3598" s="2"/>
      <c r="BJ3598" s="2">
        <v>242</v>
      </c>
      <c r="BK3598" s="2" t="s">
        <v>107</v>
      </c>
      <c r="BL3598" s="2"/>
      <c r="BM3598" s="2">
        <v>242</v>
      </c>
      <c r="BN3598" s="2" t="s">
        <v>107</v>
      </c>
      <c r="BO3598" s="2"/>
      <c r="BP3598" s="2">
        <v>242</v>
      </c>
      <c r="BQ3598" s="2" t="s">
        <v>107</v>
      </c>
      <c r="BR3598" s="2"/>
      <c r="BS3598" s="3">
        <v>40422</v>
      </c>
      <c r="BT3598" s="4">
        <v>0.6321296296296296</v>
      </c>
    </row>
    <row r="3599" spans="1:72" x14ac:dyDescent="0.25">
      <c r="A3599" s="2">
        <v>5300</v>
      </c>
      <c r="B3599" s="2">
        <v>2010</v>
      </c>
      <c r="C3599" s="2" t="s">
        <v>121</v>
      </c>
      <c r="D3599" s="2" t="s">
        <v>122</v>
      </c>
      <c r="E3599" s="2" t="s">
        <v>11510</v>
      </c>
      <c r="F3599" s="2">
        <v>1</v>
      </c>
      <c r="G3599" s="2" t="s">
        <v>82</v>
      </c>
      <c r="H3599" s="2">
        <v>1</v>
      </c>
      <c r="I3599" s="2" t="s">
        <v>82</v>
      </c>
      <c r="J3599" s="2">
        <v>1</v>
      </c>
      <c r="K3599" s="2" t="s">
        <v>107</v>
      </c>
      <c r="L3599" s="2" t="s">
        <v>107</v>
      </c>
      <c r="M3599" s="3">
        <v>40422</v>
      </c>
      <c r="N3599" s="2"/>
      <c r="O3599" s="2"/>
      <c r="P3599" s="2"/>
      <c r="Q3599" s="2" t="str">
        <f>""</f>
        <v/>
      </c>
      <c r="R3599" s="2"/>
      <c r="S3599" s="2"/>
      <c r="T3599" s="2">
        <v>2</v>
      </c>
      <c r="U3599" s="2" t="s">
        <v>123</v>
      </c>
      <c r="V3599" s="2">
        <v>1</v>
      </c>
      <c r="W3599" s="2" t="s">
        <v>80</v>
      </c>
      <c r="X3599" s="2">
        <v>11</v>
      </c>
      <c r="Y3599" s="2" t="s">
        <v>1920</v>
      </c>
      <c r="Z3599" s="2">
        <v>1</v>
      </c>
      <c r="AA3599" s="2" t="s">
        <v>82</v>
      </c>
      <c r="AB3599" s="2">
        <v>9</v>
      </c>
      <c r="AC3599" s="2" t="s">
        <v>124</v>
      </c>
      <c r="AD3599" s="3">
        <v>40422</v>
      </c>
      <c r="AE3599" s="4">
        <v>0.64583333333333337</v>
      </c>
      <c r="AF3599" s="2"/>
      <c r="AG3599" s="2"/>
      <c r="AH3599" s="2">
        <v>3</v>
      </c>
      <c r="AI3599" s="2" t="s">
        <v>214</v>
      </c>
      <c r="AJ3599" s="2">
        <v>20</v>
      </c>
      <c r="AK3599" s="2" t="s">
        <v>1897</v>
      </c>
      <c r="AL3599" s="2">
        <v>18</v>
      </c>
      <c r="AM3599" s="2" t="s">
        <v>82</v>
      </c>
      <c r="AN3599" s="2"/>
      <c r="AO3599" s="2"/>
      <c r="AP3599" s="2">
        <v>11</v>
      </c>
      <c r="AQ3599" s="2" t="s">
        <v>82</v>
      </c>
      <c r="AR3599" s="2" t="s">
        <v>82</v>
      </c>
      <c r="AS3599" s="2" t="s">
        <v>82</v>
      </c>
      <c r="AT3599" s="2" t="s">
        <v>11511</v>
      </c>
      <c r="AU3599" s="2"/>
      <c r="AV3599" s="2"/>
      <c r="AW3599" s="2"/>
      <c r="AX3599" s="2"/>
      <c r="AY3599" s="2">
        <v>41</v>
      </c>
      <c r="AZ3599" s="2" t="s">
        <v>82</v>
      </c>
      <c r="BA3599" s="2">
        <v>41</v>
      </c>
      <c r="BB3599" s="2" t="s">
        <v>82</v>
      </c>
      <c r="BC3599" s="2">
        <v>41</v>
      </c>
      <c r="BD3599" s="2" t="s">
        <v>82</v>
      </c>
      <c r="BE3599" s="2">
        <v>41</v>
      </c>
      <c r="BF3599" s="2" t="s">
        <v>82</v>
      </c>
      <c r="BG3599" s="2" t="s">
        <v>853</v>
      </c>
      <c r="BH3599" s="4">
        <v>0.6875</v>
      </c>
      <c r="BI3599" s="4">
        <v>0.64583333333333337</v>
      </c>
      <c r="BJ3599" s="2">
        <v>13</v>
      </c>
      <c r="BK3599" s="2" t="s">
        <v>91</v>
      </c>
      <c r="BL3599" s="2" t="s">
        <v>2844</v>
      </c>
      <c r="BM3599" s="2">
        <v>241</v>
      </c>
      <c r="BN3599" s="2" t="s">
        <v>82</v>
      </c>
      <c r="BO3599" s="2" t="s">
        <v>82</v>
      </c>
      <c r="BP3599" s="2">
        <v>13</v>
      </c>
      <c r="BQ3599" s="2" t="s">
        <v>91</v>
      </c>
      <c r="BR3599" s="2" t="s">
        <v>564</v>
      </c>
      <c r="BS3599" s="3">
        <v>40422</v>
      </c>
      <c r="BT3599" s="4">
        <v>0.67798611111111118</v>
      </c>
    </row>
    <row r="3600" spans="1:72" x14ac:dyDescent="0.25">
      <c r="A3600" s="2">
        <v>5301</v>
      </c>
      <c r="B3600" s="2">
        <v>2010</v>
      </c>
      <c r="C3600" s="2" t="s">
        <v>171</v>
      </c>
      <c r="D3600" s="2" t="s">
        <v>122</v>
      </c>
      <c r="E3600" s="2" t="s">
        <v>11512</v>
      </c>
      <c r="F3600" s="2">
        <v>393</v>
      </c>
      <c r="G3600" s="2" t="s">
        <v>3660</v>
      </c>
      <c r="H3600" s="2">
        <v>2</v>
      </c>
      <c r="I3600" s="2" t="s">
        <v>267</v>
      </c>
      <c r="J3600" s="2">
        <v>2</v>
      </c>
      <c r="K3600" s="2" t="s">
        <v>3661</v>
      </c>
      <c r="L3600" s="2" t="s">
        <v>3662</v>
      </c>
      <c r="M3600" s="3">
        <v>40422</v>
      </c>
      <c r="N3600" s="2" t="s">
        <v>11481</v>
      </c>
      <c r="O3600" s="2" t="s">
        <v>82</v>
      </c>
      <c r="P3600" s="2"/>
      <c r="Q3600" s="2" t="str">
        <f>"445-E/10"</f>
        <v>445-E/10</v>
      </c>
      <c r="R3600" s="2" t="s">
        <v>391</v>
      </c>
      <c r="S3600" s="2" t="s">
        <v>391</v>
      </c>
      <c r="T3600" s="2">
        <v>1</v>
      </c>
      <c r="U3600" s="2" t="s">
        <v>79</v>
      </c>
      <c r="V3600" s="2">
        <v>1</v>
      </c>
      <c r="W3600" s="2" t="s">
        <v>80</v>
      </c>
      <c r="X3600" s="2">
        <v>1</v>
      </c>
      <c r="Y3600" s="2" t="s">
        <v>81</v>
      </c>
      <c r="Z3600" s="2">
        <v>1</v>
      </c>
      <c r="AA3600" s="2" t="s">
        <v>82</v>
      </c>
      <c r="AB3600" s="2">
        <v>1</v>
      </c>
      <c r="AC3600" s="2" t="s">
        <v>178</v>
      </c>
      <c r="AD3600" s="3">
        <v>40421</v>
      </c>
      <c r="AE3600" s="4">
        <v>0.63888888888888895</v>
      </c>
      <c r="AF3600" s="2"/>
      <c r="AG3600" s="2"/>
      <c r="AH3600" s="2">
        <v>2</v>
      </c>
      <c r="AI3600" s="2" t="s">
        <v>84</v>
      </c>
      <c r="AJ3600" s="2">
        <v>9</v>
      </c>
      <c r="AK3600" s="2" t="s">
        <v>103</v>
      </c>
      <c r="AL3600" s="2">
        <v>25</v>
      </c>
      <c r="AM3600" s="2" t="s">
        <v>3073</v>
      </c>
      <c r="AN3600" s="2"/>
      <c r="AO3600" s="2" t="s">
        <v>11486</v>
      </c>
      <c r="AP3600" s="2">
        <v>11</v>
      </c>
      <c r="AQ3600" s="2" t="s">
        <v>82</v>
      </c>
      <c r="AR3600" s="2"/>
      <c r="AS3600" s="2"/>
      <c r="AT3600" s="2" t="s">
        <v>11513</v>
      </c>
      <c r="AU3600" s="2"/>
      <c r="AV3600" s="2">
        <v>1</v>
      </c>
      <c r="AW3600" s="2"/>
      <c r="AX3600" s="2"/>
      <c r="AY3600" s="2">
        <v>41</v>
      </c>
      <c r="AZ3600" s="2" t="s">
        <v>82</v>
      </c>
      <c r="BA3600" s="2">
        <v>41</v>
      </c>
      <c r="BB3600" s="2" t="s">
        <v>82</v>
      </c>
      <c r="BC3600" s="2">
        <v>41</v>
      </c>
      <c r="BD3600" s="2" t="s">
        <v>82</v>
      </c>
      <c r="BE3600" s="2">
        <v>13</v>
      </c>
      <c r="BF3600" s="2" t="s">
        <v>108</v>
      </c>
      <c r="BG3600" s="2" t="s">
        <v>1769</v>
      </c>
      <c r="BH3600" s="2"/>
      <c r="BI3600" s="4">
        <v>0.875</v>
      </c>
      <c r="BJ3600" s="2">
        <v>13</v>
      </c>
      <c r="BK3600" s="2" t="s">
        <v>91</v>
      </c>
      <c r="BL3600" s="2" t="s">
        <v>185</v>
      </c>
      <c r="BM3600" s="2">
        <v>241</v>
      </c>
      <c r="BN3600" s="2" t="s">
        <v>82</v>
      </c>
      <c r="BO3600" s="2" t="s">
        <v>82</v>
      </c>
      <c r="BP3600" s="2">
        <v>73</v>
      </c>
      <c r="BQ3600" s="2" t="s">
        <v>186</v>
      </c>
      <c r="BR3600" s="2" t="s">
        <v>187</v>
      </c>
      <c r="BS3600" s="3">
        <v>40422</v>
      </c>
      <c r="BT3600" s="4">
        <v>0.68949074074074079</v>
      </c>
    </row>
    <row r="3601" spans="1:72" x14ac:dyDescent="0.25">
      <c r="A3601" s="2">
        <v>5303</v>
      </c>
      <c r="B3601" s="2">
        <v>2010</v>
      </c>
      <c r="C3601" s="2" t="s">
        <v>554</v>
      </c>
      <c r="D3601" s="2" t="s">
        <v>73</v>
      </c>
      <c r="E3601" s="2"/>
      <c r="F3601" s="2">
        <v>284</v>
      </c>
      <c r="G3601" s="2" t="s">
        <v>5196</v>
      </c>
      <c r="H3601" s="2">
        <v>3</v>
      </c>
      <c r="I3601" s="2" t="s">
        <v>315</v>
      </c>
      <c r="J3601" s="2">
        <v>551</v>
      </c>
      <c r="K3601" s="2" t="s">
        <v>6426</v>
      </c>
      <c r="L3601" s="2" t="s">
        <v>1224</v>
      </c>
      <c r="M3601" s="3">
        <v>40422</v>
      </c>
      <c r="N3601" s="2" t="s">
        <v>6427</v>
      </c>
      <c r="O3601" s="2"/>
      <c r="P3601" s="2"/>
      <c r="Q3601" s="2" t="str">
        <f>"0010/10"</f>
        <v>0010/10</v>
      </c>
      <c r="R3601" s="2"/>
      <c r="S3601" s="2" t="s">
        <v>11514</v>
      </c>
      <c r="T3601" s="2">
        <v>1</v>
      </c>
      <c r="U3601" s="2" t="s">
        <v>79</v>
      </c>
      <c r="V3601" s="2">
        <v>1</v>
      </c>
      <c r="W3601" s="2" t="s">
        <v>80</v>
      </c>
      <c r="X3601" s="2">
        <v>12</v>
      </c>
      <c r="Y3601" s="2" t="s">
        <v>148</v>
      </c>
      <c r="Z3601" s="2">
        <v>1</v>
      </c>
      <c r="AA3601" s="2" t="s">
        <v>82</v>
      </c>
      <c r="AB3601" s="2">
        <v>5</v>
      </c>
      <c r="AC3601" s="2" t="s">
        <v>559</v>
      </c>
      <c r="AD3601" s="3">
        <v>40422</v>
      </c>
      <c r="AE3601" s="4">
        <v>0.66666666666666663</v>
      </c>
      <c r="AF3601" s="3">
        <v>40422</v>
      </c>
      <c r="AG3601" s="4">
        <v>0.67222222222222217</v>
      </c>
      <c r="AH3601" s="2">
        <v>4</v>
      </c>
      <c r="AI3601" s="2" t="s">
        <v>125</v>
      </c>
      <c r="AJ3601" s="2">
        <v>30</v>
      </c>
      <c r="AK3601" s="2" t="s">
        <v>258</v>
      </c>
      <c r="AL3601" s="2">
        <v>24</v>
      </c>
      <c r="AM3601" s="2" t="s">
        <v>1540</v>
      </c>
      <c r="AN3601" s="2" t="s">
        <v>11515</v>
      </c>
      <c r="AO3601" s="2" t="s">
        <v>11516</v>
      </c>
      <c r="AP3601" s="2">
        <v>11</v>
      </c>
      <c r="AQ3601" s="2" t="s">
        <v>82</v>
      </c>
      <c r="AR3601" s="2"/>
      <c r="AS3601" s="2"/>
      <c r="AT3601" s="2" t="s">
        <v>11517</v>
      </c>
      <c r="AU3601" s="2"/>
      <c r="AV3601" s="2"/>
      <c r="AW3601" s="2"/>
      <c r="AX3601" s="2"/>
      <c r="AY3601" s="2">
        <v>41</v>
      </c>
      <c r="AZ3601" s="2" t="s">
        <v>82</v>
      </c>
      <c r="BA3601" s="2">
        <v>41</v>
      </c>
      <c r="BB3601" s="2" t="s">
        <v>82</v>
      </c>
      <c r="BC3601" s="2">
        <v>41</v>
      </c>
      <c r="BD3601" s="2" t="s">
        <v>82</v>
      </c>
      <c r="BE3601" s="2">
        <v>41</v>
      </c>
      <c r="BF3601" s="2" t="s">
        <v>82</v>
      </c>
      <c r="BG3601" s="2"/>
      <c r="BH3601" s="2"/>
      <c r="BI3601" s="2"/>
      <c r="BJ3601" s="2">
        <v>241</v>
      </c>
      <c r="BK3601" s="2" t="s">
        <v>82</v>
      </c>
      <c r="BL3601" s="2"/>
      <c r="BM3601" s="2">
        <v>241</v>
      </c>
      <c r="BN3601" s="2" t="s">
        <v>82</v>
      </c>
      <c r="BO3601" s="2"/>
      <c r="BP3601" s="2">
        <v>241</v>
      </c>
      <c r="BQ3601" s="2" t="s">
        <v>82</v>
      </c>
      <c r="BR3601" s="2"/>
      <c r="BS3601" s="3">
        <v>40422</v>
      </c>
      <c r="BT3601" s="4">
        <v>0.73024305555555558</v>
      </c>
    </row>
    <row r="3602" spans="1:72" x14ac:dyDescent="0.25">
      <c r="A3602" s="2">
        <v>5305</v>
      </c>
      <c r="B3602" s="2">
        <v>2010</v>
      </c>
      <c r="C3602" s="2" t="s">
        <v>171</v>
      </c>
      <c r="D3602" s="2" t="s">
        <v>73</v>
      </c>
      <c r="E3602" s="2" t="s">
        <v>11518</v>
      </c>
      <c r="F3602" s="2">
        <v>451</v>
      </c>
      <c r="G3602" s="2" t="s">
        <v>879</v>
      </c>
      <c r="H3602" s="2">
        <v>31</v>
      </c>
      <c r="I3602" s="2" t="s">
        <v>880</v>
      </c>
      <c r="J3602" s="2">
        <v>326</v>
      </c>
      <c r="K3602" s="2" t="s">
        <v>881</v>
      </c>
      <c r="L3602" s="2" t="s">
        <v>882</v>
      </c>
      <c r="M3602" s="3">
        <v>40422</v>
      </c>
      <c r="N3602" s="2" t="s">
        <v>1072</v>
      </c>
      <c r="O3602" s="2" t="s">
        <v>3239</v>
      </c>
      <c r="P3602" s="2" t="s">
        <v>11519</v>
      </c>
      <c r="Q3602" s="2" t="str">
        <f>"083/10"</f>
        <v>083/10</v>
      </c>
      <c r="R3602" s="2"/>
      <c r="S3602" s="2" t="s">
        <v>822</v>
      </c>
      <c r="T3602" s="2">
        <v>1</v>
      </c>
      <c r="U3602" s="2" t="s">
        <v>79</v>
      </c>
      <c r="V3602" s="2">
        <v>1</v>
      </c>
      <c r="W3602" s="2" t="s">
        <v>80</v>
      </c>
      <c r="X3602" s="2">
        <v>1</v>
      </c>
      <c r="Y3602" s="2" t="s">
        <v>81</v>
      </c>
      <c r="Z3602" s="2">
        <v>1</v>
      </c>
      <c r="AA3602" s="2" t="s">
        <v>82</v>
      </c>
      <c r="AB3602" s="2">
        <v>1</v>
      </c>
      <c r="AC3602" s="2" t="s">
        <v>178</v>
      </c>
      <c r="AD3602" s="3">
        <v>40422</v>
      </c>
      <c r="AE3602" s="4">
        <v>0.72222222222222221</v>
      </c>
      <c r="AF3602" s="2"/>
      <c r="AG3602" s="2"/>
      <c r="AH3602" s="2">
        <v>4</v>
      </c>
      <c r="AI3602" s="2" t="s">
        <v>125</v>
      </c>
      <c r="AJ3602" s="2">
        <v>29</v>
      </c>
      <c r="AK3602" s="2" t="s">
        <v>227</v>
      </c>
      <c r="AL3602" s="2">
        <v>16</v>
      </c>
      <c r="AM3602" s="2" t="s">
        <v>392</v>
      </c>
      <c r="AN3602" s="2" t="s">
        <v>9764</v>
      </c>
      <c r="AO3602" s="2"/>
      <c r="AP3602" s="2">
        <v>12</v>
      </c>
      <c r="AQ3602" s="2" t="s">
        <v>322</v>
      </c>
      <c r="AR3602" s="2" t="s">
        <v>824</v>
      </c>
      <c r="AS3602" s="2" t="s">
        <v>9491</v>
      </c>
      <c r="AT3602" s="2" t="s">
        <v>11520</v>
      </c>
      <c r="AU3602" s="2"/>
      <c r="AV3602" s="2"/>
      <c r="AW3602" s="2"/>
      <c r="AX3602" s="2"/>
      <c r="AY3602" s="2">
        <v>41</v>
      </c>
      <c r="AZ3602" s="2" t="s">
        <v>82</v>
      </c>
      <c r="BA3602" s="2">
        <v>41</v>
      </c>
      <c r="BB3602" s="2" t="s">
        <v>82</v>
      </c>
      <c r="BC3602" s="2">
        <v>51</v>
      </c>
      <c r="BD3602" s="2" t="s">
        <v>827</v>
      </c>
      <c r="BE3602" s="2">
        <v>13</v>
      </c>
      <c r="BF3602" s="2" t="s">
        <v>108</v>
      </c>
      <c r="BG3602" s="2">
        <v>1459</v>
      </c>
      <c r="BH3602" s="4">
        <v>0.89583333333333337</v>
      </c>
      <c r="BI3602" s="4">
        <v>0.92361111111111116</v>
      </c>
      <c r="BJ3602" s="2">
        <v>13</v>
      </c>
      <c r="BK3602" s="2" t="s">
        <v>91</v>
      </c>
      <c r="BL3602" s="2" t="s">
        <v>828</v>
      </c>
      <c r="BM3602" s="2">
        <v>241</v>
      </c>
      <c r="BN3602" s="2" t="s">
        <v>82</v>
      </c>
      <c r="BO3602" s="2"/>
      <c r="BP3602" s="2">
        <v>13</v>
      </c>
      <c r="BQ3602" s="2" t="s">
        <v>91</v>
      </c>
      <c r="BR3602" s="2" t="s">
        <v>185</v>
      </c>
      <c r="BS3602" s="3">
        <v>40422</v>
      </c>
      <c r="BT3602" s="4">
        <v>0.74449074074074073</v>
      </c>
    </row>
    <row r="3603" spans="1:72" x14ac:dyDescent="0.25">
      <c r="A3603" s="2">
        <v>5307</v>
      </c>
      <c r="B3603" s="2">
        <v>2010</v>
      </c>
      <c r="C3603" s="2" t="s">
        <v>377</v>
      </c>
      <c r="D3603" s="2" t="s">
        <v>73</v>
      </c>
      <c r="E3603" s="2"/>
      <c r="F3603" s="2">
        <v>426</v>
      </c>
      <c r="G3603" s="2" t="s">
        <v>378</v>
      </c>
      <c r="H3603" s="2">
        <v>42</v>
      </c>
      <c r="I3603" s="2" t="s">
        <v>1096</v>
      </c>
      <c r="J3603" s="2">
        <v>311</v>
      </c>
      <c r="K3603" s="2" t="s">
        <v>379</v>
      </c>
      <c r="L3603" s="2" t="s">
        <v>380</v>
      </c>
      <c r="M3603" s="3">
        <v>40422</v>
      </c>
      <c r="N3603" s="2" t="s">
        <v>5164</v>
      </c>
      <c r="O3603" s="2"/>
      <c r="P3603" s="2"/>
      <c r="Q3603" s="2" t="str">
        <f>"230-C/10"</f>
        <v>230-C/10</v>
      </c>
      <c r="R3603" s="2" t="s">
        <v>4428</v>
      </c>
      <c r="S3603" s="2"/>
      <c r="T3603" s="2">
        <v>1</v>
      </c>
      <c r="U3603" s="2" t="s">
        <v>79</v>
      </c>
      <c r="V3603" s="2">
        <v>1</v>
      </c>
      <c r="W3603" s="2" t="s">
        <v>80</v>
      </c>
      <c r="X3603" s="2">
        <v>1</v>
      </c>
      <c r="Y3603" s="2" t="s">
        <v>81</v>
      </c>
      <c r="Z3603" s="2">
        <v>1</v>
      </c>
      <c r="AA3603" s="2" t="s">
        <v>82</v>
      </c>
      <c r="AB3603" s="2">
        <v>9</v>
      </c>
      <c r="AC3603" s="2" t="s">
        <v>124</v>
      </c>
      <c r="AD3603" s="3">
        <v>40422</v>
      </c>
      <c r="AE3603" s="4">
        <v>0.59027777777777779</v>
      </c>
      <c r="AF3603" s="2"/>
      <c r="AG3603" s="2"/>
      <c r="AH3603" s="2">
        <v>2</v>
      </c>
      <c r="AI3603" s="2" t="s">
        <v>84</v>
      </c>
      <c r="AJ3603" s="2">
        <v>9</v>
      </c>
      <c r="AK3603" s="2" t="s">
        <v>103</v>
      </c>
      <c r="AL3603" s="2">
        <v>29</v>
      </c>
      <c r="AM3603" s="2" t="s">
        <v>5416</v>
      </c>
      <c r="AN3603" s="2" t="s">
        <v>11521</v>
      </c>
      <c r="AO3603" s="2" t="s">
        <v>987</v>
      </c>
      <c r="AP3603" s="2">
        <v>11</v>
      </c>
      <c r="AQ3603" s="2" t="s">
        <v>82</v>
      </c>
      <c r="AR3603" s="2"/>
      <c r="AS3603" s="2"/>
      <c r="AT3603" s="2" t="s">
        <v>11522</v>
      </c>
      <c r="AU3603" s="2"/>
      <c r="AV3603" s="2"/>
      <c r="AW3603" s="2"/>
      <c r="AX3603" s="2"/>
      <c r="AY3603" s="2">
        <v>41</v>
      </c>
      <c r="AZ3603" s="2" t="s">
        <v>82</v>
      </c>
      <c r="BA3603" s="2">
        <v>41</v>
      </c>
      <c r="BB3603" s="2" t="s">
        <v>82</v>
      </c>
      <c r="BC3603" s="2">
        <v>41</v>
      </c>
      <c r="BD3603" s="2" t="s">
        <v>82</v>
      </c>
      <c r="BE3603" s="2">
        <v>41</v>
      </c>
      <c r="BF3603" s="2" t="s">
        <v>82</v>
      </c>
      <c r="BG3603" s="2"/>
      <c r="BH3603" s="2"/>
      <c r="BI3603" s="2"/>
      <c r="BJ3603" s="2">
        <v>241</v>
      </c>
      <c r="BK3603" s="2" t="s">
        <v>82</v>
      </c>
      <c r="BL3603" s="2"/>
      <c r="BM3603" s="2">
        <v>241</v>
      </c>
      <c r="BN3603" s="2" t="s">
        <v>82</v>
      </c>
      <c r="BO3603" s="2"/>
      <c r="BP3603" s="2">
        <v>241</v>
      </c>
      <c r="BQ3603" s="2" t="s">
        <v>82</v>
      </c>
      <c r="BR3603" s="2"/>
      <c r="BS3603" s="3">
        <v>40422</v>
      </c>
      <c r="BT3603" s="4">
        <v>0.78598379629629633</v>
      </c>
    </row>
    <row r="3604" spans="1:72" x14ac:dyDescent="0.25">
      <c r="A3604" s="2">
        <v>5309</v>
      </c>
      <c r="B3604" s="2">
        <v>2010</v>
      </c>
      <c r="C3604" s="2" t="s">
        <v>121</v>
      </c>
      <c r="D3604" s="2" t="s">
        <v>122</v>
      </c>
      <c r="E3604" s="2"/>
      <c r="F3604" s="2">
        <v>1</v>
      </c>
      <c r="G3604" s="2" t="s">
        <v>82</v>
      </c>
      <c r="H3604" s="2">
        <v>1</v>
      </c>
      <c r="I3604" s="2" t="s">
        <v>82</v>
      </c>
      <c r="J3604" s="2">
        <v>1</v>
      </c>
      <c r="K3604" s="2" t="s">
        <v>107</v>
      </c>
      <c r="L3604" s="2" t="s">
        <v>107</v>
      </c>
      <c r="M3604" s="3">
        <v>40422</v>
      </c>
      <c r="N3604" s="2"/>
      <c r="O3604" s="2"/>
      <c r="P3604" s="2"/>
      <c r="Q3604" s="2" t="str">
        <f>""</f>
        <v/>
      </c>
      <c r="R3604" s="2"/>
      <c r="S3604" s="2"/>
      <c r="T3604" s="2">
        <v>2</v>
      </c>
      <c r="U3604" s="2" t="s">
        <v>123</v>
      </c>
      <c r="V3604" s="2">
        <v>1</v>
      </c>
      <c r="W3604" s="2" t="s">
        <v>80</v>
      </c>
      <c r="X3604" s="2">
        <v>1</v>
      </c>
      <c r="Y3604" s="2" t="s">
        <v>81</v>
      </c>
      <c r="Z3604" s="2">
        <v>10</v>
      </c>
      <c r="AA3604" s="2" t="s">
        <v>236</v>
      </c>
      <c r="AB3604" s="2">
        <v>9</v>
      </c>
      <c r="AC3604" s="2" t="s">
        <v>124</v>
      </c>
      <c r="AD3604" s="3">
        <v>40422</v>
      </c>
      <c r="AE3604" s="4">
        <v>0.79861111111111116</v>
      </c>
      <c r="AF3604" s="2"/>
      <c r="AG3604" s="2"/>
      <c r="AH3604" s="2">
        <v>4</v>
      </c>
      <c r="AI3604" s="2" t="s">
        <v>125</v>
      </c>
      <c r="AJ3604" s="2">
        <v>31</v>
      </c>
      <c r="AK3604" s="2" t="s">
        <v>1413</v>
      </c>
      <c r="AL3604" s="2">
        <v>10</v>
      </c>
      <c r="AM3604" s="2" t="s">
        <v>200</v>
      </c>
      <c r="AN3604" s="2"/>
      <c r="AO3604" s="2"/>
      <c r="AP3604" s="2">
        <v>11</v>
      </c>
      <c r="AQ3604" s="2" t="s">
        <v>82</v>
      </c>
      <c r="AR3604" s="2"/>
      <c r="AS3604" s="2"/>
      <c r="AT3604" s="2" t="s">
        <v>11523</v>
      </c>
      <c r="AU3604" s="2"/>
      <c r="AV3604" s="2"/>
      <c r="AW3604" s="2"/>
      <c r="AX3604" s="2"/>
      <c r="AY3604" s="2">
        <v>41</v>
      </c>
      <c r="AZ3604" s="2" t="s">
        <v>82</v>
      </c>
      <c r="BA3604" s="2">
        <v>41</v>
      </c>
      <c r="BB3604" s="2" t="s">
        <v>82</v>
      </c>
      <c r="BC3604" s="2">
        <v>41</v>
      </c>
      <c r="BD3604" s="2" t="s">
        <v>82</v>
      </c>
      <c r="BE3604" s="2">
        <v>1</v>
      </c>
      <c r="BF3604" s="2" t="s">
        <v>107</v>
      </c>
      <c r="BG3604" s="2" t="s">
        <v>11524</v>
      </c>
      <c r="BH3604" s="4">
        <v>0.79861111111111116</v>
      </c>
      <c r="BI3604" s="2"/>
      <c r="BJ3604" s="2">
        <v>13</v>
      </c>
      <c r="BK3604" s="2" t="s">
        <v>91</v>
      </c>
      <c r="BL3604" s="2" t="s">
        <v>534</v>
      </c>
      <c r="BM3604" s="2">
        <v>241</v>
      </c>
      <c r="BN3604" s="2" t="s">
        <v>82</v>
      </c>
      <c r="BO3604" s="2"/>
      <c r="BP3604" s="2">
        <v>13</v>
      </c>
      <c r="BQ3604" s="2" t="s">
        <v>91</v>
      </c>
      <c r="BR3604" s="2" t="s">
        <v>4725</v>
      </c>
      <c r="BS3604" s="3">
        <v>40422</v>
      </c>
      <c r="BT3604" s="4">
        <v>0.82636574074074076</v>
      </c>
    </row>
    <row r="3605" spans="1:72" x14ac:dyDescent="0.25">
      <c r="A3605" s="2">
        <v>5311</v>
      </c>
      <c r="B3605" s="2">
        <v>2010</v>
      </c>
      <c r="C3605" s="2" t="s">
        <v>171</v>
      </c>
      <c r="D3605" s="2" t="s">
        <v>73</v>
      </c>
      <c r="E3605" s="2"/>
      <c r="F3605" s="2">
        <v>393</v>
      </c>
      <c r="G3605" s="2" t="s">
        <v>3660</v>
      </c>
      <c r="H3605" s="2">
        <v>3</v>
      </c>
      <c r="I3605" s="2" t="s">
        <v>315</v>
      </c>
      <c r="J3605" s="2">
        <v>2</v>
      </c>
      <c r="K3605" s="2" t="s">
        <v>3661</v>
      </c>
      <c r="L3605" s="2" t="s">
        <v>3662</v>
      </c>
      <c r="M3605" s="3">
        <v>40422</v>
      </c>
      <c r="N3605" s="2" t="s">
        <v>3663</v>
      </c>
      <c r="O3605" s="2" t="s">
        <v>11525</v>
      </c>
      <c r="P3605" s="2">
        <v>5857</v>
      </c>
      <c r="Q3605" s="2" t="str">
        <f>"NC"</f>
        <v>NC</v>
      </c>
      <c r="R3605" s="2" t="s">
        <v>11526</v>
      </c>
      <c r="S3605" s="2" t="s">
        <v>1893</v>
      </c>
      <c r="T3605" s="2">
        <v>1</v>
      </c>
      <c r="U3605" s="2" t="s">
        <v>79</v>
      </c>
      <c r="V3605" s="2">
        <v>1</v>
      </c>
      <c r="W3605" s="2" t="s">
        <v>80</v>
      </c>
      <c r="X3605" s="2">
        <v>9</v>
      </c>
      <c r="Y3605" s="2" t="s">
        <v>3393</v>
      </c>
      <c r="Z3605" s="2">
        <v>1</v>
      </c>
      <c r="AA3605" s="2" t="s">
        <v>82</v>
      </c>
      <c r="AB3605" s="2">
        <v>1</v>
      </c>
      <c r="AC3605" s="2" t="s">
        <v>178</v>
      </c>
      <c r="AD3605" s="3">
        <v>40422</v>
      </c>
      <c r="AE3605" s="4">
        <v>0.72569444444444453</v>
      </c>
      <c r="AF3605" s="2"/>
      <c r="AG3605" s="2"/>
      <c r="AH3605" s="2">
        <v>2</v>
      </c>
      <c r="AI3605" s="2" t="s">
        <v>84</v>
      </c>
      <c r="AJ3605" s="2">
        <v>6</v>
      </c>
      <c r="AK3605" s="2" t="s">
        <v>453</v>
      </c>
      <c r="AL3605" s="2">
        <v>23</v>
      </c>
      <c r="AM3605" s="2" t="s">
        <v>251</v>
      </c>
      <c r="AN3605" s="2" t="s">
        <v>11527</v>
      </c>
      <c r="AO3605" s="2" t="s">
        <v>1226</v>
      </c>
      <c r="AP3605" s="2">
        <v>11</v>
      </c>
      <c r="AQ3605" s="2" t="s">
        <v>82</v>
      </c>
      <c r="AR3605" s="2"/>
      <c r="AS3605" s="2"/>
      <c r="AT3605" s="2" t="s">
        <v>11528</v>
      </c>
      <c r="AU3605" s="2"/>
      <c r="AV3605" s="2">
        <v>1</v>
      </c>
      <c r="AW3605" s="2"/>
      <c r="AX3605" s="2"/>
      <c r="AY3605" s="2">
        <v>42</v>
      </c>
      <c r="AZ3605" s="2" t="s">
        <v>182</v>
      </c>
      <c r="BA3605" s="2">
        <v>99</v>
      </c>
      <c r="BB3605" s="2" t="s">
        <v>2148</v>
      </c>
      <c r="BC3605" s="2">
        <v>41</v>
      </c>
      <c r="BD3605" s="2" t="s">
        <v>82</v>
      </c>
      <c r="BE3605" s="2">
        <v>41</v>
      </c>
      <c r="BF3605" s="2" t="s">
        <v>82</v>
      </c>
      <c r="BG3605" s="2"/>
      <c r="BH3605" s="2"/>
      <c r="BI3605" s="2"/>
      <c r="BJ3605" s="2">
        <v>241</v>
      </c>
      <c r="BK3605" s="2" t="s">
        <v>82</v>
      </c>
      <c r="BL3605" s="2"/>
      <c r="BM3605" s="2">
        <v>241</v>
      </c>
      <c r="BN3605" s="2" t="s">
        <v>82</v>
      </c>
      <c r="BO3605" s="2"/>
      <c r="BP3605" s="2">
        <v>241</v>
      </c>
      <c r="BQ3605" s="2" t="s">
        <v>82</v>
      </c>
      <c r="BR3605" s="2"/>
      <c r="BS3605" s="3">
        <v>40422</v>
      </c>
      <c r="BT3605" s="4">
        <v>0.875462962962963</v>
      </c>
    </row>
    <row r="3606" spans="1:72" x14ac:dyDescent="0.25">
      <c r="A3606" s="2">
        <v>5312</v>
      </c>
      <c r="B3606" s="2">
        <v>2010</v>
      </c>
      <c r="C3606" s="2" t="s">
        <v>72</v>
      </c>
      <c r="D3606" s="2" t="s">
        <v>122</v>
      </c>
      <c r="E3606" s="2" t="s">
        <v>11529</v>
      </c>
      <c r="F3606" s="2">
        <v>309</v>
      </c>
      <c r="G3606" s="2" t="s">
        <v>2199</v>
      </c>
      <c r="H3606" s="2">
        <v>3</v>
      </c>
      <c r="I3606" s="2" t="s">
        <v>315</v>
      </c>
      <c r="J3606" s="2">
        <v>652</v>
      </c>
      <c r="K3606" s="2" t="s">
        <v>11530</v>
      </c>
      <c r="L3606" s="2" t="s">
        <v>11531</v>
      </c>
      <c r="M3606" s="3">
        <v>40422</v>
      </c>
      <c r="N3606" s="2" t="s">
        <v>11532</v>
      </c>
      <c r="O3606" s="2" t="s">
        <v>11533</v>
      </c>
      <c r="P3606" s="7">
        <v>12606</v>
      </c>
      <c r="Q3606" s="2" t="str">
        <f>"002/10"</f>
        <v>002/10</v>
      </c>
      <c r="R3606" s="2" t="s">
        <v>10961</v>
      </c>
      <c r="S3606" s="2"/>
      <c r="T3606" s="2">
        <v>1</v>
      </c>
      <c r="U3606" s="2" t="s">
        <v>79</v>
      </c>
      <c r="V3606" s="2">
        <v>1</v>
      </c>
      <c r="W3606" s="2" t="s">
        <v>80</v>
      </c>
      <c r="X3606" s="2">
        <v>6</v>
      </c>
      <c r="Y3606" s="2" t="s">
        <v>249</v>
      </c>
      <c r="Z3606" s="2">
        <v>10</v>
      </c>
      <c r="AA3606" s="2" t="s">
        <v>236</v>
      </c>
      <c r="AB3606" s="2">
        <v>6</v>
      </c>
      <c r="AC3606" s="2" t="s">
        <v>83</v>
      </c>
      <c r="AD3606" s="3">
        <v>40393</v>
      </c>
      <c r="AE3606" s="4">
        <v>0.52083333333333337</v>
      </c>
      <c r="AF3606" s="3">
        <v>40408</v>
      </c>
      <c r="AG3606" s="4">
        <v>0.51388888888888895</v>
      </c>
      <c r="AH3606" s="2">
        <v>5</v>
      </c>
      <c r="AI3606" s="2" t="s">
        <v>274</v>
      </c>
      <c r="AJ3606" s="2">
        <v>40</v>
      </c>
      <c r="AK3606" s="2" t="s">
        <v>935</v>
      </c>
      <c r="AL3606" s="2">
        <v>19</v>
      </c>
      <c r="AM3606" s="2" t="s">
        <v>107</v>
      </c>
      <c r="AN3606" s="2"/>
      <c r="AO3606" s="2" t="s">
        <v>923</v>
      </c>
      <c r="AP3606" s="2">
        <v>11</v>
      </c>
      <c r="AQ3606" s="2" t="s">
        <v>82</v>
      </c>
      <c r="AR3606" s="2"/>
      <c r="AS3606" s="2"/>
      <c r="AT3606" s="2" t="s">
        <v>11534</v>
      </c>
      <c r="AU3606" s="2"/>
      <c r="AV3606" s="2"/>
      <c r="AW3606" s="2"/>
      <c r="AX3606" s="2"/>
      <c r="AY3606" s="2">
        <v>70</v>
      </c>
      <c r="AZ3606" s="2" t="s">
        <v>236</v>
      </c>
      <c r="BA3606" s="2">
        <v>70</v>
      </c>
      <c r="BB3606" s="2" t="s">
        <v>236</v>
      </c>
      <c r="BC3606" s="2">
        <v>1</v>
      </c>
      <c r="BD3606" s="2" t="s">
        <v>107</v>
      </c>
      <c r="BE3606" s="2">
        <v>41</v>
      </c>
      <c r="BF3606" s="2" t="s">
        <v>82</v>
      </c>
      <c r="BG3606" s="2"/>
      <c r="BH3606" s="2"/>
      <c r="BI3606" s="2"/>
      <c r="BJ3606" s="2">
        <v>241</v>
      </c>
      <c r="BK3606" s="2" t="s">
        <v>82</v>
      </c>
      <c r="BL3606" s="2"/>
      <c r="BM3606" s="2">
        <v>241</v>
      </c>
      <c r="BN3606" s="2" t="s">
        <v>82</v>
      </c>
      <c r="BO3606" s="2"/>
      <c r="BP3606" s="2">
        <v>241</v>
      </c>
      <c r="BQ3606" s="2" t="s">
        <v>82</v>
      </c>
      <c r="BR3606" s="2"/>
      <c r="BS3606" s="3">
        <v>40422</v>
      </c>
      <c r="BT3606" s="4">
        <v>0.87548611111111108</v>
      </c>
    </row>
    <row r="3607" spans="1:72" x14ac:dyDescent="0.25">
      <c r="A3607" s="2">
        <v>5313</v>
      </c>
      <c r="B3607" s="2">
        <v>2010</v>
      </c>
      <c r="C3607" s="2" t="s">
        <v>121</v>
      </c>
      <c r="D3607" s="2" t="s">
        <v>122</v>
      </c>
      <c r="E3607" s="2" t="s">
        <v>11535</v>
      </c>
      <c r="F3607" s="2">
        <v>1</v>
      </c>
      <c r="G3607" s="2" t="s">
        <v>82</v>
      </c>
      <c r="H3607" s="2">
        <v>1</v>
      </c>
      <c r="I3607" s="2" t="s">
        <v>82</v>
      </c>
      <c r="J3607" s="2">
        <v>1</v>
      </c>
      <c r="K3607" s="2" t="s">
        <v>107</v>
      </c>
      <c r="L3607" s="2" t="s">
        <v>107</v>
      </c>
      <c r="M3607" s="3">
        <v>40422</v>
      </c>
      <c r="N3607" s="2"/>
      <c r="O3607" s="2"/>
      <c r="P3607" s="2"/>
      <c r="Q3607" s="2" t="str">
        <f>""</f>
        <v/>
      </c>
      <c r="R3607" s="2"/>
      <c r="S3607" s="2"/>
      <c r="T3607" s="2">
        <v>2</v>
      </c>
      <c r="U3607" s="2" t="s">
        <v>123</v>
      </c>
      <c r="V3607" s="2">
        <v>1</v>
      </c>
      <c r="W3607" s="2" t="s">
        <v>80</v>
      </c>
      <c r="X3607" s="2">
        <v>1</v>
      </c>
      <c r="Y3607" s="2" t="s">
        <v>81</v>
      </c>
      <c r="Z3607" s="2">
        <v>10</v>
      </c>
      <c r="AA3607" s="2" t="s">
        <v>236</v>
      </c>
      <c r="AB3607" s="2">
        <v>9</v>
      </c>
      <c r="AC3607" s="2" t="s">
        <v>124</v>
      </c>
      <c r="AD3607" s="3">
        <v>40422</v>
      </c>
      <c r="AE3607" s="4">
        <v>0.90972222222222221</v>
      </c>
      <c r="AF3607" s="2"/>
      <c r="AG3607" s="2"/>
      <c r="AH3607" s="2">
        <v>4</v>
      </c>
      <c r="AI3607" s="2" t="s">
        <v>125</v>
      </c>
      <c r="AJ3607" s="2">
        <v>31</v>
      </c>
      <c r="AK3607" s="2" t="s">
        <v>1413</v>
      </c>
      <c r="AL3607" s="2">
        <v>10</v>
      </c>
      <c r="AM3607" s="2" t="s">
        <v>200</v>
      </c>
      <c r="AN3607" s="2"/>
      <c r="AO3607" s="2"/>
      <c r="AP3607" s="2">
        <v>11</v>
      </c>
      <c r="AQ3607" s="2" t="s">
        <v>82</v>
      </c>
      <c r="AR3607" s="2"/>
      <c r="AS3607" s="2"/>
      <c r="AT3607" s="2" t="s">
        <v>11536</v>
      </c>
      <c r="AU3607" s="2"/>
      <c r="AV3607" s="2"/>
      <c r="AW3607" s="2"/>
      <c r="AX3607" s="2"/>
      <c r="AY3607" s="2">
        <v>41</v>
      </c>
      <c r="AZ3607" s="2" t="s">
        <v>82</v>
      </c>
      <c r="BA3607" s="2">
        <v>41</v>
      </c>
      <c r="BB3607" s="2" t="s">
        <v>82</v>
      </c>
      <c r="BC3607" s="2">
        <v>41</v>
      </c>
      <c r="BD3607" s="2" t="s">
        <v>82</v>
      </c>
      <c r="BE3607" s="2">
        <v>1</v>
      </c>
      <c r="BF3607" s="2" t="s">
        <v>107</v>
      </c>
      <c r="BG3607" s="2" t="s">
        <v>11524</v>
      </c>
      <c r="BH3607" s="2"/>
      <c r="BI3607" s="4">
        <v>0.90972222222222221</v>
      </c>
      <c r="BJ3607" s="2">
        <v>13</v>
      </c>
      <c r="BK3607" s="2" t="s">
        <v>91</v>
      </c>
      <c r="BL3607" s="2" t="s">
        <v>4725</v>
      </c>
      <c r="BM3607" s="2">
        <v>241</v>
      </c>
      <c r="BN3607" s="2" t="s">
        <v>82</v>
      </c>
      <c r="BO3607" s="2"/>
      <c r="BP3607" s="2">
        <v>13</v>
      </c>
      <c r="BQ3607" s="2" t="s">
        <v>91</v>
      </c>
      <c r="BR3607" s="2" t="s">
        <v>534</v>
      </c>
      <c r="BS3607" s="3">
        <v>40422</v>
      </c>
      <c r="BT3607" s="4">
        <v>0.92144675925925934</v>
      </c>
    </row>
    <row r="3608" spans="1:72" x14ac:dyDescent="0.25">
      <c r="A3608" s="2">
        <v>5314</v>
      </c>
      <c r="B3608" s="2">
        <v>2010</v>
      </c>
      <c r="C3608" s="2" t="s">
        <v>819</v>
      </c>
      <c r="D3608" s="2" t="s">
        <v>73</v>
      </c>
      <c r="E3608" s="2"/>
      <c r="F3608" s="2">
        <v>227</v>
      </c>
      <c r="G3608" s="2" t="s">
        <v>6455</v>
      </c>
      <c r="H3608" s="2">
        <v>4</v>
      </c>
      <c r="I3608" s="2" t="s">
        <v>173</v>
      </c>
      <c r="J3608" s="2">
        <v>241</v>
      </c>
      <c r="K3608" s="2" t="s">
        <v>174</v>
      </c>
      <c r="L3608" s="2" t="s">
        <v>175</v>
      </c>
      <c r="M3608" s="3">
        <v>40423</v>
      </c>
      <c r="N3608" s="2" t="s">
        <v>390</v>
      </c>
      <c r="O3608" s="2"/>
      <c r="P3608" s="2"/>
      <c r="Q3608" s="2" t="str">
        <f>"446-E/10"</f>
        <v>446-E/10</v>
      </c>
      <c r="R3608" s="2" t="s">
        <v>10956</v>
      </c>
      <c r="S3608" s="2"/>
      <c r="T3608" s="2">
        <v>1</v>
      </c>
      <c r="U3608" s="2" t="s">
        <v>79</v>
      </c>
      <c r="V3608" s="2">
        <v>1</v>
      </c>
      <c r="W3608" s="2" t="s">
        <v>80</v>
      </c>
      <c r="X3608" s="2">
        <v>1</v>
      </c>
      <c r="Y3608" s="2" t="s">
        <v>81</v>
      </c>
      <c r="Z3608" s="2">
        <v>1</v>
      </c>
      <c r="AA3608" s="2" t="s">
        <v>82</v>
      </c>
      <c r="AB3608" s="2">
        <v>9</v>
      </c>
      <c r="AC3608" s="2" t="s">
        <v>124</v>
      </c>
      <c r="AD3608" s="3">
        <v>40422</v>
      </c>
      <c r="AE3608" s="4">
        <v>0.67708333333333337</v>
      </c>
      <c r="AF3608" s="2"/>
      <c r="AG3608" s="2"/>
      <c r="AH3608" s="2">
        <v>2</v>
      </c>
      <c r="AI3608" s="2" t="s">
        <v>84</v>
      </c>
      <c r="AJ3608" s="2">
        <v>9</v>
      </c>
      <c r="AK3608" s="2" t="s">
        <v>103</v>
      </c>
      <c r="AL3608" s="2">
        <v>14</v>
      </c>
      <c r="AM3608" s="2" t="s">
        <v>216</v>
      </c>
      <c r="AN3608" s="2" t="s">
        <v>11537</v>
      </c>
      <c r="AO3608" s="2" t="s">
        <v>816</v>
      </c>
      <c r="AP3608" s="2">
        <v>11</v>
      </c>
      <c r="AQ3608" s="2" t="s">
        <v>82</v>
      </c>
      <c r="AR3608" s="2"/>
      <c r="AS3608" s="2"/>
      <c r="AT3608" s="2" t="s">
        <v>11538</v>
      </c>
      <c r="AU3608" s="2"/>
      <c r="AV3608" s="2">
        <v>1</v>
      </c>
      <c r="AW3608" s="2"/>
      <c r="AX3608" s="2"/>
      <c r="AY3608" s="2">
        <v>41</v>
      </c>
      <c r="AZ3608" s="2" t="s">
        <v>82</v>
      </c>
      <c r="BA3608" s="2">
        <v>41</v>
      </c>
      <c r="BB3608" s="2" t="s">
        <v>82</v>
      </c>
      <c r="BC3608" s="2">
        <v>41</v>
      </c>
      <c r="BD3608" s="2" t="s">
        <v>82</v>
      </c>
      <c r="BE3608" s="2">
        <v>33</v>
      </c>
      <c r="BF3608" s="2" t="s">
        <v>1083</v>
      </c>
      <c r="BG3608" s="2" t="s">
        <v>2165</v>
      </c>
      <c r="BH3608" s="2"/>
      <c r="BI3608" s="2"/>
      <c r="BJ3608" s="2">
        <v>13</v>
      </c>
      <c r="BK3608" s="2" t="s">
        <v>91</v>
      </c>
      <c r="BL3608" s="2" t="s">
        <v>360</v>
      </c>
      <c r="BM3608" s="2">
        <v>241</v>
      </c>
      <c r="BN3608" s="2" t="s">
        <v>82</v>
      </c>
      <c r="BO3608" s="2"/>
      <c r="BP3608" s="2">
        <v>205</v>
      </c>
      <c r="BQ3608" s="2" t="s">
        <v>1085</v>
      </c>
      <c r="BR3608" s="2" t="s">
        <v>1086</v>
      </c>
      <c r="BS3608" s="3">
        <v>40423</v>
      </c>
      <c r="BT3608" s="4">
        <v>2.7372685185185184E-2</v>
      </c>
    </row>
    <row r="3609" spans="1:72" x14ac:dyDescent="0.25">
      <c r="A3609" s="2">
        <v>5315</v>
      </c>
      <c r="B3609" s="2">
        <v>2010</v>
      </c>
      <c r="C3609" s="2" t="s">
        <v>1568</v>
      </c>
      <c r="D3609" s="2" t="s">
        <v>73</v>
      </c>
      <c r="E3609" s="2"/>
      <c r="F3609" s="2">
        <v>220</v>
      </c>
      <c r="G3609" s="2" t="s">
        <v>11539</v>
      </c>
      <c r="H3609" s="2">
        <v>137</v>
      </c>
      <c r="I3609" s="2" t="s">
        <v>11540</v>
      </c>
      <c r="J3609" s="2">
        <v>233</v>
      </c>
      <c r="K3609" s="2" t="s">
        <v>11541</v>
      </c>
      <c r="L3609" s="2" t="s">
        <v>865</v>
      </c>
      <c r="M3609" s="3">
        <v>40423</v>
      </c>
      <c r="N3609" s="2" t="s">
        <v>11542</v>
      </c>
      <c r="O3609" s="2"/>
      <c r="P3609" s="2"/>
      <c r="Q3609" s="2" t="str">
        <f>"343-A/10"</f>
        <v>343-A/10</v>
      </c>
      <c r="R3609" s="2" t="s">
        <v>4085</v>
      </c>
      <c r="S3609" s="2"/>
      <c r="T3609" s="2">
        <v>1</v>
      </c>
      <c r="U3609" s="2" t="s">
        <v>79</v>
      </c>
      <c r="V3609" s="2">
        <v>1</v>
      </c>
      <c r="W3609" s="2" t="s">
        <v>80</v>
      </c>
      <c r="X3609" s="2">
        <v>1</v>
      </c>
      <c r="Y3609" s="2" t="s">
        <v>81</v>
      </c>
      <c r="Z3609" s="2">
        <v>1</v>
      </c>
      <c r="AA3609" s="2" t="s">
        <v>82</v>
      </c>
      <c r="AB3609" s="2">
        <v>4</v>
      </c>
      <c r="AC3609" s="2" t="s">
        <v>1569</v>
      </c>
      <c r="AD3609" s="3">
        <v>40422</v>
      </c>
      <c r="AE3609" s="4">
        <v>0.96180555555555547</v>
      </c>
      <c r="AF3609" s="2"/>
      <c r="AG3609" s="2"/>
      <c r="AH3609" s="2">
        <v>2</v>
      </c>
      <c r="AI3609" s="2" t="s">
        <v>84</v>
      </c>
      <c r="AJ3609" s="2">
        <v>12</v>
      </c>
      <c r="AK3609" s="2" t="s">
        <v>85</v>
      </c>
      <c r="AL3609" s="2">
        <v>22</v>
      </c>
      <c r="AM3609" s="2" t="s">
        <v>1853</v>
      </c>
      <c r="AN3609" s="2" t="s">
        <v>179</v>
      </c>
      <c r="AO3609" s="2"/>
      <c r="AP3609" s="2">
        <v>11</v>
      </c>
      <c r="AQ3609" s="2" t="s">
        <v>82</v>
      </c>
      <c r="AR3609" s="2"/>
      <c r="AS3609" s="2"/>
      <c r="AT3609" s="2" t="s">
        <v>11543</v>
      </c>
      <c r="AU3609" s="2">
        <v>1</v>
      </c>
      <c r="AV3609" s="2"/>
      <c r="AW3609" s="2"/>
      <c r="AX3609" s="2"/>
      <c r="AY3609" s="2">
        <v>41</v>
      </c>
      <c r="AZ3609" s="2" t="s">
        <v>82</v>
      </c>
      <c r="BA3609" s="2">
        <v>41</v>
      </c>
      <c r="BB3609" s="2" t="s">
        <v>82</v>
      </c>
      <c r="BC3609" s="2">
        <v>41</v>
      </c>
      <c r="BD3609" s="2" t="s">
        <v>82</v>
      </c>
      <c r="BE3609" s="2">
        <v>47</v>
      </c>
      <c r="BF3609" s="2" t="s">
        <v>167</v>
      </c>
      <c r="BG3609" s="2" t="s">
        <v>3689</v>
      </c>
      <c r="BH3609" s="2"/>
      <c r="BI3609" s="4">
        <v>0.97569444444444453</v>
      </c>
      <c r="BJ3609" s="2">
        <v>13</v>
      </c>
      <c r="BK3609" s="2" t="s">
        <v>91</v>
      </c>
      <c r="BL3609" s="2" t="s">
        <v>564</v>
      </c>
      <c r="BM3609" s="2">
        <v>241</v>
      </c>
      <c r="BN3609" s="2" t="s">
        <v>82</v>
      </c>
      <c r="BO3609" s="2"/>
      <c r="BP3609" s="2">
        <v>13</v>
      </c>
      <c r="BQ3609" s="2" t="s">
        <v>91</v>
      </c>
      <c r="BR3609" s="2" t="s">
        <v>492</v>
      </c>
      <c r="BS3609" s="3">
        <v>40423</v>
      </c>
      <c r="BT3609" s="4">
        <v>0.21962962962962962</v>
      </c>
    </row>
    <row r="3610" spans="1:72" x14ac:dyDescent="0.25">
      <c r="A3610" s="2">
        <v>5316</v>
      </c>
      <c r="B3610" s="2">
        <v>2010</v>
      </c>
      <c r="C3610" s="2" t="s">
        <v>377</v>
      </c>
      <c r="D3610" s="2" t="s">
        <v>73</v>
      </c>
      <c r="E3610" s="2"/>
      <c r="F3610" s="2">
        <v>426</v>
      </c>
      <c r="G3610" s="2" t="s">
        <v>378</v>
      </c>
      <c r="H3610" s="2">
        <v>50</v>
      </c>
      <c r="I3610" s="2" t="s">
        <v>107</v>
      </c>
      <c r="J3610" s="2">
        <v>311</v>
      </c>
      <c r="K3610" s="2" t="s">
        <v>379</v>
      </c>
      <c r="L3610" s="2" t="s">
        <v>380</v>
      </c>
      <c r="M3610" s="3">
        <v>40423</v>
      </c>
      <c r="N3610" s="2" t="s">
        <v>107</v>
      </c>
      <c r="O3610" s="2" t="s">
        <v>107</v>
      </c>
      <c r="P3610" s="2" t="s">
        <v>107</v>
      </c>
      <c r="Q3610" s="2" t="str">
        <f>"231-C/10"</f>
        <v>231-C/10</v>
      </c>
      <c r="R3610" s="2" t="s">
        <v>11544</v>
      </c>
      <c r="S3610" s="2"/>
      <c r="T3610" s="2">
        <v>1</v>
      </c>
      <c r="U3610" s="2" t="s">
        <v>79</v>
      </c>
      <c r="V3610" s="2">
        <v>1</v>
      </c>
      <c r="W3610" s="2" t="s">
        <v>80</v>
      </c>
      <c r="X3610" s="2">
        <v>1</v>
      </c>
      <c r="Y3610" s="2" t="s">
        <v>81</v>
      </c>
      <c r="Z3610" s="2">
        <v>1</v>
      </c>
      <c r="AA3610" s="2" t="s">
        <v>82</v>
      </c>
      <c r="AB3610" s="2">
        <v>9</v>
      </c>
      <c r="AC3610" s="2" t="s">
        <v>124</v>
      </c>
      <c r="AD3610" s="3">
        <v>40423</v>
      </c>
      <c r="AE3610" s="4">
        <v>0.13541666666666666</v>
      </c>
      <c r="AF3610" s="2"/>
      <c r="AG3610" s="2"/>
      <c r="AH3610" s="2">
        <v>2</v>
      </c>
      <c r="AI3610" s="2" t="s">
        <v>84</v>
      </c>
      <c r="AJ3610" s="2">
        <v>9</v>
      </c>
      <c r="AK3610" s="2" t="s">
        <v>103</v>
      </c>
      <c r="AL3610" s="2">
        <v>25</v>
      </c>
      <c r="AM3610" s="2" t="s">
        <v>3073</v>
      </c>
      <c r="AN3610" s="2" t="s">
        <v>11545</v>
      </c>
      <c r="AO3610" s="2"/>
      <c r="AP3610" s="2">
        <v>11</v>
      </c>
      <c r="AQ3610" s="2" t="s">
        <v>82</v>
      </c>
      <c r="AR3610" s="2"/>
      <c r="AS3610" s="2"/>
      <c r="AT3610" s="2" t="s">
        <v>11546</v>
      </c>
      <c r="AU3610" s="2"/>
      <c r="AV3610" s="2"/>
      <c r="AW3610" s="2"/>
      <c r="AX3610" s="2"/>
      <c r="AY3610" s="2">
        <v>41</v>
      </c>
      <c r="AZ3610" s="2" t="s">
        <v>82</v>
      </c>
      <c r="BA3610" s="2">
        <v>41</v>
      </c>
      <c r="BB3610" s="2" t="s">
        <v>82</v>
      </c>
      <c r="BC3610" s="2">
        <v>41</v>
      </c>
      <c r="BD3610" s="2" t="s">
        <v>82</v>
      </c>
      <c r="BE3610" s="2">
        <v>41</v>
      </c>
      <c r="BF3610" s="2" t="s">
        <v>82</v>
      </c>
      <c r="BG3610" s="2"/>
      <c r="BH3610" s="2"/>
      <c r="BI3610" s="2"/>
      <c r="BJ3610" s="2">
        <v>241</v>
      </c>
      <c r="BK3610" s="2" t="s">
        <v>82</v>
      </c>
      <c r="BL3610" s="2"/>
      <c r="BM3610" s="2">
        <v>241</v>
      </c>
      <c r="BN3610" s="2" t="s">
        <v>82</v>
      </c>
      <c r="BO3610" s="2"/>
      <c r="BP3610" s="2">
        <v>241</v>
      </c>
      <c r="BQ3610" s="2" t="s">
        <v>82</v>
      </c>
      <c r="BR3610" s="2"/>
      <c r="BS3610" s="3">
        <v>40423</v>
      </c>
      <c r="BT3610" s="4">
        <v>0.38008101851851855</v>
      </c>
    </row>
    <row r="3611" spans="1:72" x14ac:dyDescent="0.25">
      <c r="A3611" s="2">
        <v>5320</v>
      </c>
      <c r="B3611" s="2">
        <v>2010</v>
      </c>
      <c r="C3611" s="2" t="s">
        <v>147</v>
      </c>
      <c r="D3611" s="2" t="s">
        <v>73</v>
      </c>
      <c r="E3611" s="2"/>
      <c r="F3611" s="2">
        <v>1</v>
      </c>
      <c r="G3611" s="2" t="s">
        <v>82</v>
      </c>
      <c r="H3611" s="2">
        <v>1</v>
      </c>
      <c r="I3611" s="2" t="s">
        <v>82</v>
      </c>
      <c r="J3611" s="2">
        <v>1</v>
      </c>
      <c r="K3611" s="2" t="s">
        <v>107</v>
      </c>
      <c r="L3611" s="2" t="s">
        <v>107</v>
      </c>
      <c r="M3611" s="3">
        <v>40423</v>
      </c>
      <c r="N3611" s="2" t="s">
        <v>82</v>
      </c>
      <c r="O3611" s="2" t="s">
        <v>82</v>
      </c>
      <c r="P3611" s="2" t="s">
        <v>82</v>
      </c>
      <c r="Q3611" s="2" t="str">
        <f>"N/C"</f>
        <v>N/C</v>
      </c>
      <c r="R3611" s="2" t="s">
        <v>82</v>
      </c>
      <c r="S3611" s="2" t="s">
        <v>82</v>
      </c>
      <c r="T3611" s="2">
        <v>2</v>
      </c>
      <c r="U3611" s="2" t="s">
        <v>123</v>
      </c>
      <c r="V3611" s="2">
        <v>1</v>
      </c>
      <c r="W3611" s="2" t="s">
        <v>80</v>
      </c>
      <c r="X3611" s="2">
        <v>12</v>
      </c>
      <c r="Y3611" s="2" t="s">
        <v>148</v>
      </c>
      <c r="Z3611" s="2">
        <v>1</v>
      </c>
      <c r="AA3611" s="2" t="s">
        <v>82</v>
      </c>
      <c r="AB3611" s="2">
        <v>9</v>
      </c>
      <c r="AC3611" s="2" t="s">
        <v>124</v>
      </c>
      <c r="AD3611" s="2"/>
      <c r="AE3611" s="2"/>
      <c r="AF3611" s="3">
        <v>40423</v>
      </c>
      <c r="AG3611" s="4">
        <v>0.5625</v>
      </c>
      <c r="AH3611" s="2">
        <v>6</v>
      </c>
      <c r="AI3611" s="2" t="s">
        <v>197</v>
      </c>
      <c r="AJ3611" s="2">
        <v>61</v>
      </c>
      <c r="AK3611" s="2" t="s">
        <v>686</v>
      </c>
      <c r="AL3611" s="2">
        <v>12</v>
      </c>
      <c r="AM3611" s="2" t="s">
        <v>86</v>
      </c>
      <c r="AN3611" s="2" t="s">
        <v>82</v>
      </c>
      <c r="AO3611" s="2" t="s">
        <v>82</v>
      </c>
      <c r="AP3611" s="2">
        <v>11</v>
      </c>
      <c r="AQ3611" s="2" t="s">
        <v>82</v>
      </c>
      <c r="AR3611" s="2" t="s">
        <v>82</v>
      </c>
      <c r="AS3611" s="2" t="s">
        <v>82</v>
      </c>
      <c r="AT3611" s="2" t="s">
        <v>11547</v>
      </c>
      <c r="AU3611" s="2"/>
      <c r="AV3611" s="2"/>
      <c r="AW3611" s="2"/>
      <c r="AX3611" s="2"/>
      <c r="AY3611" s="2">
        <v>41</v>
      </c>
      <c r="AZ3611" s="2" t="s">
        <v>82</v>
      </c>
      <c r="BA3611" s="2">
        <v>41</v>
      </c>
      <c r="BB3611" s="2" t="s">
        <v>82</v>
      </c>
      <c r="BC3611" s="2">
        <v>41</v>
      </c>
      <c r="BD3611" s="2" t="s">
        <v>82</v>
      </c>
      <c r="BE3611" s="2">
        <v>41</v>
      </c>
      <c r="BF3611" s="2" t="s">
        <v>82</v>
      </c>
      <c r="BG3611" s="2" t="s">
        <v>82</v>
      </c>
      <c r="BH3611" s="2"/>
      <c r="BI3611" s="2"/>
      <c r="BJ3611" s="2">
        <v>241</v>
      </c>
      <c r="BK3611" s="2" t="s">
        <v>82</v>
      </c>
      <c r="BL3611" s="2" t="s">
        <v>82</v>
      </c>
      <c r="BM3611" s="2">
        <v>241</v>
      </c>
      <c r="BN3611" s="2" t="s">
        <v>82</v>
      </c>
      <c r="BO3611" s="2" t="s">
        <v>82</v>
      </c>
      <c r="BP3611" s="2">
        <v>241</v>
      </c>
      <c r="BQ3611" s="2" t="s">
        <v>82</v>
      </c>
      <c r="BR3611" s="2" t="s">
        <v>82</v>
      </c>
      <c r="BS3611" s="3">
        <v>40423</v>
      </c>
      <c r="BT3611" s="4">
        <v>0.60481481481481481</v>
      </c>
    </row>
    <row r="3612" spans="1:72" x14ac:dyDescent="0.25">
      <c r="A3612" s="2">
        <v>5321</v>
      </c>
      <c r="B3612" s="2">
        <v>2010</v>
      </c>
      <c r="C3612" s="2" t="s">
        <v>4543</v>
      </c>
      <c r="D3612" s="2" t="s">
        <v>122</v>
      </c>
      <c r="E3612" s="2"/>
      <c r="F3612" s="2">
        <v>293</v>
      </c>
      <c r="G3612" s="2" t="s">
        <v>8731</v>
      </c>
      <c r="H3612" s="2">
        <v>44</v>
      </c>
      <c r="I3612" s="2" t="s">
        <v>1272</v>
      </c>
      <c r="J3612" s="2">
        <v>593</v>
      </c>
      <c r="K3612" s="2" t="s">
        <v>8732</v>
      </c>
      <c r="L3612" s="2" t="s">
        <v>8733</v>
      </c>
      <c r="M3612" s="3">
        <v>40423</v>
      </c>
      <c r="N3612" s="2" t="s">
        <v>11548</v>
      </c>
      <c r="O3612" s="2" t="s">
        <v>11549</v>
      </c>
      <c r="P3612" s="2" t="s">
        <v>8736</v>
      </c>
      <c r="Q3612" s="2" t="str">
        <f>""</f>
        <v/>
      </c>
      <c r="R3612" s="2"/>
      <c r="S3612" s="2"/>
      <c r="T3612" s="2">
        <v>2</v>
      </c>
      <c r="U3612" s="2" t="s">
        <v>123</v>
      </c>
      <c r="V3612" s="2">
        <v>1</v>
      </c>
      <c r="W3612" s="2" t="s">
        <v>80</v>
      </c>
      <c r="X3612" s="2">
        <v>11</v>
      </c>
      <c r="Y3612" s="2" t="s">
        <v>1920</v>
      </c>
      <c r="Z3612" s="2">
        <v>1</v>
      </c>
      <c r="AA3612" s="2" t="s">
        <v>82</v>
      </c>
      <c r="AB3612" s="2">
        <v>9</v>
      </c>
      <c r="AC3612" s="2" t="s">
        <v>124</v>
      </c>
      <c r="AD3612" s="3">
        <v>40423</v>
      </c>
      <c r="AE3612" s="4">
        <v>0.55555555555555558</v>
      </c>
      <c r="AF3612" s="3">
        <v>40423</v>
      </c>
      <c r="AG3612" s="4">
        <v>0.5625</v>
      </c>
      <c r="AH3612" s="2">
        <v>5</v>
      </c>
      <c r="AI3612" s="2" t="s">
        <v>274</v>
      </c>
      <c r="AJ3612" s="2">
        <v>43</v>
      </c>
      <c r="AK3612" s="2" t="s">
        <v>918</v>
      </c>
      <c r="AL3612" s="2">
        <v>19</v>
      </c>
      <c r="AM3612" s="2" t="s">
        <v>107</v>
      </c>
      <c r="AN3612" s="2"/>
      <c r="AO3612" s="2"/>
      <c r="AP3612" s="2">
        <v>11</v>
      </c>
      <c r="AQ3612" s="2" t="s">
        <v>82</v>
      </c>
      <c r="AR3612" s="2" t="s">
        <v>82</v>
      </c>
      <c r="AS3612" s="2" t="s">
        <v>82</v>
      </c>
      <c r="AT3612" s="2" t="s">
        <v>11550</v>
      </c>
      <c r="AU3612" s="2"/>
      <c r="AV3612" s="2"/>
      <c r="AW3612" s="2"/>
      <c r="AX3612" s="2"/>
      <c r="AY3612" s="2">
        <v>41</v>
      </c>
      <c r="AZ3612" s="2" t="s">
        <v>82</v>
      </c>
      <c r="BA3612" s="2">
        <v>41</v>
      </c>
      <c r="BB3612" s="2" t="s">
        <v>82</v>
      </c>
      <c r="BC3612" s="2">
        <v>41</v>
      </c>
      <c r="BD3612" s="2" t="s">
        <v>82</v>
      </c>
      <c r="BE3612" s="2">
        <v>41</v>
      </c>
      <c r="BF3612" s="2" t="s">
        <v>82</v>
      </c>
      <c r="BG3612" s="2" t="s">
        <v>82</v>
      </c>
      <c r="BH3612" s="2"/>
      <c r="BI3612" s="2"/>
      <c r="BJ3612" s="2">
        <v>241</v>
      </c>
      <c r="BK3612" s="2" t="s">
        <v>82</v>
      </c>
      <c r="BL3612" s="2" t="s">
        <v>82</v>
      </c>
      <c r="BM3612" s="2">
        <v>241</v>
      </c>
      <c r="BN3612" s="2" t="s">
        <v>82</v>
      </c>
      <c r="BO3612" s="2" t="s">
        <v>82</v>
      </c>
      <c r="BP3612" s="2">
        <v>241</v>
      </c>
      <c r="BQ3612" s="2" t="s">
        <v>82</v>
      </c>
      <c r="BR3612" s="2" t="s">
        <v>82</v>
      </c>
      <c r="BS3612" s="3">
        <v>40423</v>
      </c>
      <c r="BT3612" s="4">
        <v>0.6100578703703704</v>
      </c>
    </row>
    <row r="3613" spans="1:72" x14ac:dyDescent="0.25">
      <c r="A3613" s="2">
        <v>5323</v>
      </c>
      <c r="B3613" s="2">
        <v>2010</v>
      </c>
      <c r="C3613" s="2" t="s">
        <v>4543</v>
      </c>
      <c r="D3613" s="2" t="s">
        <v>122</v>
      </c>
      <c r="E3613" s="2"/>
      <c r="F3613" s="2">
        <v>293</v>
      </c>
      <c r="G3613" s="2" t="s">
        <v>8731</v>
      </c>
      <c r="H3613" s="2">
        <v>44</v>
      </c>
      <c r="I3613" s="2" t="s">
        <v>1272</v>
      </c>
      <c r="J3613" s="2">
        <v>593</v>
      </c>
      <c r="K3613" s="2" t="s">
        <v>8732</v>
      </c>
      <c r="L3613" s="2" t="s">
        <v>8733</v>
      </c>
      <c r="M3613" s="3">
        <v>40423</v>
      </c>
      <c r="N3613" s="2" t="s">
        <v>11548</v>
      </c>
      <c r="O3613" s="2" t="s">
        <v>11551</v>
      </c>
      <c r="P3613" s="2" t="s">
        <v>8736</v>
      </c>
      <c r="Q3613" s="2" t="str">
        <f>""</f>
        <v/>
      </c>
      <c r="R3613" s="2"/>
      <c r="S3613" s="2"/>
      <c r="T3613" s="2">
        <v>2</v>
      </c>
      <c r="U3613" s="2" t="s">
        <v>123</v>
      </c>
      <c r="V3613" s="2">
        <v>1</v>
      </c>
      <c r="W3613" s="2" t="s">
        <v>80</v>
      </c>
      <c r="X3613" s="2">
        <v>11</v>
      </c>
      <c r="Y3613" s="2" t="s">
        <v>1920</v>
      </c>
      <c r="Z3613" s="2">
        <v>1</v>
      </c>
      <c r="AA3613" s="2" t="s">
        <v>82</v>
      </c>
      <c r="AB3613" s="2">
        <v>9</v>
      </c>
      <c r="AC3613" s="2" t="s">
        <v>124</v>
      </c>
      <c r="AD3613" s="3">
        <v>40423</v>
      </c>
      <c r="AE3613" s="4">
        <v>0.41666666666666669</v>
      </c>
      <c r="AF3613" s="2"/>
      <c r="AG3613" s="2"/>
      <c r="AH3613" s="2">
        <v>5</v>
      </c>
      <c r="AI3613" s="2" t="s">
        <v>274</v>
      </c>
      <c r="AJ3613" s="2">
        <v>39</v>
      </c>
      <c r="AK3613" s="2" t="s">
        <v>8737</v>
      </c>
      <c r="AL3613" s="2">
        <v>18</v>
      </c>
      <c r="AM3613" s="2" t="s">
        <v>82</v>
      </c>
      <c r="AN3613" s="2"/>
      <c r="AO3613" s="2"/>
      <c r="AP3613" s="2">
        <v>11</v>
      </c>
      <c r="AQ3613" s="2" t="s">
        <v>82</v>
      </c>
      <c r="AR3613" s="2"/>
      <c r="AS3613" s="2"/>
      <c r="AT3613" s="2" t="s">
        <v>11552</v>
      </c>
      <c r="AU3613" s="2"/>
      <c r="AV3613" s="2"/>
      <c r="AW3613" s="2"/>
      <c r="AX3613" s="2"/>
      <c r="AY3613" s="2">
        <v>1</v>
      </c>
      <c r="AZ3613" s="2" t="s">
        <v>107</v>
      </c>
      <c r="BA3613" s="2">
        <v>1</v>
      </c>
      <c r="BB3613" s="2" t="s">
        <v>107</v>
      </c>
      <c r="BC3613" s="2">
        <v>1</v>
      </c>
      <c r="BD3613" s="2" t="s">
        <v>107</v>
      </c>
      <c r="BE3613" s="2">
        <v>1</v>
      </c>
      <c r="BF3613" s="2" t="s">
        <v>107</v>
      </c>
      <c r="BG3613" s="2"/>
      <c r="BH3613" s="2"/>
      <c r="BI3613" s="2"/>
      <c r="BJ3613" s="2">
        <v>242</v>
      </c>
      <c r="BK3613" s="2" t="s">
        <v>107</v>
      </c>
      <c r="BL3613" s="2"/>
      <c r="BM3613" s="2">
        <v>242</v>
      </c>
      <c r="BN3613" s="2" t="s">
        <v>107</v>
      </c>
      <c r="BO3613" s="2"/>
      <c r="BP3613" s="2">
        <v>242</v>
      </c>
      <c r="BQ3613" s="2" t="s">
        <v>107</v>
      </c>
      <c r="BR3613" s="2"/>
      <c r="BS3613" s="3">
        <v>40423</v>
      </c>
      <c r="BT3613" s="4">
        <v>0.62987268518518513</v>
      </c>
    </row>
    <row r="3614" spans="1:72" x14ac:dyDescent="0.25">
      <c r="A3614" s="2">
        <v>5325</v>
      </c>
      <c r="B3614" s="2">
        <v>2010</v>
      </c>
      <c r="C3614" s="2" t="s">
        <v>171</v>
      </c>
      <c r="D3614" s="2" t="s">
        <v>122</v>
      </c>
      <c r="E3614" s="2" t="s">
        <v>11553</v>
      </c>
      <c r="F3614" s="2">
        <v>393</v>
      </c>
      <c r="G3614" s="2" t="s">
        <v>3660</v>
      </c>
      <c r="H3614" s="2">
        <v>3</v>
      </c>
      <c r="I3614" s="2" t="s">
        <v>315</v>
      </c>
      <c r="J3614" s="2">
        <v>2</v>
      </c>
      <c r="K3614" s="2" t="s">
        <v>3661</v>
      </c>
      <c r="L3614" s="2" t="s">
        <v>3662</v>
      </c>
      <c r="M3614" s="3">
        <v>40423</v>
      </c>
      <c r="N3614" s="2" t="s">
        <v>3663</v>
      </c>
      <c r="O3614" s="2" t="s">
        <v>11525</v>
      </c>
      <c r="P3614" s="2">
        <v>5857</v>
      </c>
      <c r="Q3614" s="2" t="str">
        <f>"NC"</f>
        <v>NC</v>
      </c>
      <c r="R3614" s="2" t="s">
        <v>1893</v>
      </c>
      <c r="S3614" s="2" t="s">
        <v>11526</v>
      </c>
      <c r="T3614" s="2">
        <v>1</v>
      </c>
      <c r="U3614" s="2" t="s">
        <v>79</v>
      </c>
      <c r="V3614" s="2">
        <v>1</v>
      </c>
      <c r="W3614" s="2" t="s">
        <v>80</v>
      </c>
      <c r="X3614" s="2">
        <v>11</v>
      </c>
      <c r="Y3614" s="2" t="s">
        <v>1920</v>
      </c>
      <c r="Z3614" s="2">
        <v>10</v>
      </c>
      <c r="AA3614" s="2" t="s">
        <v>236</v>
      </c>
      <c r="AB3614" s="2">
        <v>1</v>
      </c>
      <c r="AC3614" s="2" t="s">
        <v>178</v>
      </c>
      <c r="AD3614" s="3">
        <v>40423</v>
      </c>
      <c r="AE3614" s="4">
        <v>0.375</v>
      </c>
      <c r="AF3614" s="2"/>
      <c r="AG3614" s="2"/>
      <c r="AH3614" s="2">
        <v>2</v>
      </c>
      <c r="AI3614" s="2" t="s">
        <v>84</v>
      </c>
      <c r="AJ3614" s="2">
        <v>6</v>
      </c>
      <c r="AK3614" s="2" t="s">
        <v>453</v>
      </c>
      <c r="AL3614" s="2">
        <v>23</v>
      </c>
      <c r="AM3614" s="2" t="s">
        <v>251</v>
      </c>
      <c r="AN3614" s="2" t="s">
        <v>11554</v>
      </c>
      <c r="AO3614" s="2" t="s">
        <v>1226</v>
      </c>
      <c r="AP3614" s="2">
        <v>11</v>
      </c>
      <c r="AQ3614" s="2" t="s">
        <v>82</v>
      </c>
      <c r="AR3614" s="2"/>
      <c r="AS3614" s="2"/>
      <c r="AT3614" s="2" t="s">
        <v>11555</v>
      </c>
      <c r="AU3614" s="2"/>
      <c r="AV3614" s="2">
        <v>1</v>
      </c>
      <c r="AW3614" s="2"/>
      <c r="AX3614" s="2"/>
      <c r="AY3614" s="2">
        <v>42</v>
      </c>
      <c r="AZ3614" s="2" t="s">
        <v>182</v>
      </c>
      <c r="BA3614" s="2">
        <v>99</v>
      </c>
      <c r="BB3614" s="2" t="s">
        <v>2148</v>
      </c>
      <c r="BC3614" s="2">
        <v>70</v>
      </c>
      <c r="BD3614" s="2" t="s">
        <v>236</v>
      </c>
      <c r="BE3614" s="2">
        <v>41</v>
      </c>
      <c r="BF3614" s="2" t="s">
        <v>82</v>
      </c>
      <c r="BG3614" s="2"/>
      <c r="BH3614" s="2"/>
      <c r="BI3614" s="2"/>
      <c r="BJ3614" s="2">
        <v>241</v>
      </c>
      <c r="BK3614" s="2" t="s">
        <v>82</v>
      </c>
      <c r="BL3614" s="2"/>
      <c r="BM3614" s="2">
        <v>241</v>
      </c>
      <c r="BN3614" s="2" t="s">
        <v>82</v>
      </c>
      <c r="BO3614" s="2"/>
      <c r="BP3614" s="2">
        <v>241</v>
      </c>
      <c r="BQ3614" s="2" t="s">
        <v>82</v>
      </c>
      <c r="BR3614" s="2"/>
      <c r="BS3614" s="3">
        <v>40423</v>
      </c>
      <c r="BT3614" s="4">
        <v>0.68547453703703709</v>
      </c>
    </row>
    <row r="3615" spans="1:72" x14ac:dyDescent="0.25">
      <c r="A3615" s="2">
        <v>5328</v>
      </c>
      <c r="B3615" s="2">
        <v>2010</v>
      </c>
      <c r="C3615" s="2" t="s">
        <v>196</v>
      </c>
      <c r="D3615" s="2" t="s">
        <v>122</v>
      </c>
      <c r="E3615" s="2"/>
      <c r="F3615" s="2">
        <v>1</v>
      </c>
      <c r="G3615" s="2" t="s">
        <v>82</v>
      </c>
      <c r="H3615" s="2">
        <v>1</v>
      </c>
      <c r="I3615" s="2" t="s">
        <v>82</v>
      </c>
      <c r="J3615" s="2">
        <v>1</v>
      </c>
      <c r="K3615" s="2" t="s">
        <v>107</v>
      </c>
      <c r="L3615" s="2" t="s">
        <v>107</v>
      </c>
      <c r="M3615" s="3">
        <v>40423</v>
      </c>
      <c r="N3615" s="2"/>
      <c r="O3615" s="2"/>
      <c r="P3615" s="2"/>
      <c r="Q3615" s="2" t="str">
        <f>""</f>
        <v/>
      </c>
      <c r="R3615" s="2"/>
      <c r="S3615" s="2"/>
      <c r="T3615" s="2">
        <v>2</v>
      </c>
      <c r="U3615" s="2" t="s">
        <v>123</v>
      </c>
      <c r="V3615" s="2">
        <v>1</v>
      </c>
      <c r="W3615" s="2" t="s">
        <v>80</v>
      </c>
      <c r="X3615" s="2">
        <v>5</v>
      </c>
      <c r="Y3615" s="2" t="s">
        <v>82</v>
      </c>
      <c r="Z3615" s="2">
        <v>1</v>
      </c>
      <c r="AA3615" s="2" t="s">
        <v>82</v>
      </c>
      <c r="AB3615" s="2">
        <v>9</v>
      </c>
      <c r="AC3615" s="2" t="s">
        <v>124</v>
      </c>
      <c r="AD3615" s="3">
        <v>40423</v>
      </c>
      <c r="AE3615" s="4">
        <v>0.72916666666666663</v>
      </c>
      <c r="AF3615" s="2"/>
      <c r="AG3615" s="2"/>
      <c r="AH3615" s="2">
        <v>6</v>
      </c>
      <c r="AI3615" s="2" t="s">
        <v>197</v>
      </c>
      <c r="AJ3615" s="2">
        <v>59</v>
      </c>
      <c r="AK3615" s="2" t="s">
        <v>198</v>
      </c>
      <c r="AL3615" s="2">
        <v>18</v>
      </c>
      <c r="AM3615" s="2" t="s">
        <v>82</v>
      </c>
      <c r="AN3615" s="2" t="s">
        <v>259</v>
      </c>
      <c r="AO3615" s="2" t="s">
        <v>230</v>
      </c>
      <c r="AP3615" s="2">
        <v>11</v>
      </c>
      <c r="AQ3615" s="2" t="s">
        <v>82</v>
      </c>
      <c r="AR3615" s="2"/>
      <c r="AS3615" s="2"/>
      <c r="AT3615" s="2" t="s">
        <v>11556</v>
      </c>
      <c r="AU3615" s="2"/>
      <c r="AV3615" s="2"/>
      <c r="AW3615" s="2"/>
      <c r="AX3615" s="2"/>
      <c r="AY3615" s="2">
        <v>1</v>
      </c>
      <c r="AZ3615" s="2" t="s">
        <v>107</v>
      </c>
      <c r="BA3615" s="2">
        <v>1</v>
      </c>
      <c r="BB3615" s="2" t="s">
        <v>107</v>
      </c>
      <c r="BC3615" s="2">
        <v>1</v>
      </c>
      <c r="BD3615" s="2" t="s">
        <v>107</v>
      </c>
      <c r="BE3615" s="2">
        <v>1</v>
      </c>
      <c r="BF3615" s="2" t="s">
        <v>107</v>
      </c>
      <c r="BG3615" s="2"/>
      <c r="BH3615" s="4">
        <v>0.72916666666666663</v>
      </c>
      <c r="BI3615" s="2"/>
      <c r="BJ3615" s="2">
        <v>13</v>
      </c>
      <c r="BK3615" s="2" t="s">
        <v>91</v>
      </c>
      <c r="BL3615" s="2" t="s">
        <v>185</v>
      </c>
      <c r="BM3615" s="2">
        <v>242</v>
      </c>
      <c r="BN3615" s="2" t="s">
        <v>107</v>
      </c>
      <c r="BO3615" s="2"/>
      <c r="BP3615" s="2">
        <v>13</v>
      </c>
      <c r="BQ3615" s="2" t="s">
        <v>91</v>
      </c>
      <c r="BR3615" s="2" t="s">
        <v>204</v>
      </c>
      <c r="BS3615" s="3">
        <v>40423</v>
      </c>
      <c r="BT3615" s="4">
        <v>0.7403819444444445</v>
      </c>
    </row>
    <row r="3616" spans="1:72" x14ac:dyDescent="0.25">
      <c r="A3616" s="2">
        <v>5331</v>
      </c>
      <c r="B3616" s="2">
        <v>2010</v>
      </c>
      <c r="C3616" s="2" t="s">
        <v>819</v>
      </c>
      <c r="D3616" s="2" t="s">
        <v>122</v>
      </c>
      <c r="E3616" s="2" t="s">
        <v>11557</v>
      </c>
      <c r="F3616" s="2">
        <v>402</v>
      </c>
      <c r="G3616" s="2" t="s">
        <v>6564</v>
      </c>
      <c r="H3616" s="2">
        <v>4</v>
      </c>
      <c r="I3616" s="2" t="s">
        <v>173</v>
      </c>
      <c r="J3616" s="2">
        <v>241</v>
      </c>
      <c r="K3616" s="2" t="s">
        <v>174</v>
      </c>
      <c r="L3616" s="2" t="s">
        <v>175</v>
      </c>
      <c r="M3616" s="3">
        <v>40423</v>
      </c>
      <c r="N3616" s="2" t="s">
        <v>390</v>
      </c>
      <c r="O3616" s="2"/>
      <c r="P3616" s="2"/>
      <c r="Q3616" s="2" t="str">
        <f>"446-E/10"</f>
        <v>446-E/10</v>
      </c>
      <c r="R3616" s="2" t="s">
        <v>10956</v>
      </c>
      <c r="S3616" s="2"/>
      <c r="T3616" s="2">
        <v>1</v>
      </c>
      <c r="U3616" s="2" t="s">
        <v>79</v>
      </c>
      <c r="V3616" s="2">
        <v>1</v>
      </c>
      <c r="W3616" s="2" t="s">
        <v>80</v>
      </c>
      <c r="X3616" s="2">
        <v>1</v>
      </c>
      <c r="Y3616" s="2" t="s">
        <v>81</v>
      </c>
      <c r="Z3616" s="2">
        <v>1</v>
      </c>
      <c r="AA3616" s="2" t="s">
        <v>82</v>
      </c>
      <c r="AB3616" s="2">
        <v>9</v>
      </c>
      <c r="AC3616" s="2" t="s">
        <v>124</v>
      </c>
      <c r="AD3616" s="3">
        <v>40422</v>
      </c>
      <c r="AE3616" s="4">
        <v>0.67708333333333337</v>
      </c>
      <c r="AF3616" s="2"/>
      <c r="AG3616" s="2"/>
      <c r="AH3616" s="2">
        <v>2</v>
      </c>
      <c r="AI3616" s="2" t="s">
        <v>84</v>
      </c>
      <c r="AJ3616" s="2">
        <v>9</v>
      </c>
      <c r="AK3616" s="2" t="s">
        <v>103</v>
      </c>
      <c r="AL3616" s="2">
        <v>12</v>
      </c>
      <c r="AM3616" s="2" t="s">
        <v>86</v>
      </c>
      <c r="AN3616" s="2" t="s">
        <v>11558</v>
      </c>
      <c r="AO3616" s="2"/>
      <c r="AP3616" s="2">
        <v>11</v>
      </c>
      <c r="AQ3616" s="2" t="s">
        <v>82</v>
      </c>
      <c r="AR3616" s="2"/>
      <c r="AS3616" s="2"/>
      <c r="AT3616" s="2" t="s">
        <v>11559</v>
      </c>
      <c r="AU3616" s="2"/>
      <c r="AV3616" s="2">
        <v>1</v>
      </c>
      <c r="AW3616" s="2"/>
      <c r="AX3616" s="2"/>
      <c r="AY3616" s="2">
        <v>41</v>
      </c>
      <c r="AZ3616" s="2" t="s">
        <v>82</v>
      </c>
      <c r="BA3616" s="2">
        <v>41</v>
      </c>
      <c r="BB3616" s="2" t="s">
        <v>82</v>
      </c>
      <c r="BC3616" s="2">
        <v>41</v>
      </c>
      <c r="BD3616" s="2" t="s">
        <v>82</v>
      </c>
      <c r="BE3616" s="2">
        <v>33</v>
      </c>
      <c r="BF3616" s="2" t="s">
        <v>1083</v>
      </c>
      <c r="BG3616" s="2" t="s">
        <v>2165</v>
      </c>
      <c r="BH3616" s="2"/>
      <c r="BI3616" s="2"/>
      <c r="BJ3616" s="2">
        <v>13</v>
      </c>
      <c r="BK3616" s="2" t="s">
        <v>91</v>
      </c>
      <c r="BL3616" s="2" t="s">
        <v>185</v>
      </c>
      <c r="BM3616" s="2">
        <v>241</v>
      </c>
      <c r="BN3616" s="2" t="s">
        <v>82</v>
      </c>
      <c r="BO3616" s="2"/>
      <c r="BP3616" s="2">
        <v>205</v>
      </c>
      <c r="BQ3616" s="2" t="s">
        <v>1085</v>
      </c>
      <c r="BR3616" s="2" t="s">
        <v>1086</v>
      </c>
      <c r="BS3616" s="3">
        <v>40423</v>
      </c>
      <c r="BT3616" s="4">
        <v>0.81495370370370368</v>
      </c>
    </row>
    <row r="3617" spans="1:72" x14ac:dyDescent="0.25">
      <c r="A3617" s="2">
        <v>5332</v>
      </c>
      <c r="B3617" s="2">
        <v>2010</v>
      </c>
      <c r="C3617" s="2" t="s">
        <v>377</v>
      </c>
      <c r="D3617" s="2" t="s">
        <v>73</v>
      </c>
      <c r="E3617" s="2"/>
      <c r="F3617" s="2">
        <v>426</v>
      </c>
      <c r="G3617" s="2" t="s">
        <v>378</v>
      </c>
      <c r="H3617" s="2">
        <v>22</v>
      </c>
      <c r="I3617" s="2" t="s">
        <v>75</v>
      </c>
      <c r="J3617" s="2">
        <v>311</v>
      </c>
      <c r="K3617" s="2" t="s">
        <v>379</v>
      </c>
      <c r="L3617" s="2" t="s">
        <v>380</v>
      </c>
      <c r="M3617" s="3">
        <v>40423</v>
      </c>
      <c r="N3617" s="2" t="s">
        <v>5164</v>
      </c>
      <c r="O3617" s="2"/>
      <c r="P3617" s="2"/>
      <c r="Q3617" s="2" t="str">
        <f>"232-C/10"</f>
        <v>232-C/10</v>
      </c>
      <c r="R3617" s="2" t="s">
        <v>11560</v>
      </c>
      <c r="S3617" s="2"/>
      <c r="T3617" s="2">
        <v>1</v>
      </c>
      <c r="U3617" s="2" t="s">
        <v>79</v>
      </c>
      <c r="V3617" s="2">
        <v>1</v>
      </c>
      <c r="W3617" s="2" t="s">
        <v>80</v>
      </c>
      <c r="X3617" s="2">
        <v>1</v>
      </c>
      <c r="Y3617" s="2" t="s">
        <v>81</v>
      </c>
      <c r="Z3617" s="2">
        <v>1</v>
      </c>
      <c r="AA3617" s="2" t="s">
        <v>82</v>
      </c>
      <c r="AB3617" s="2">
        <v>9</v>
      </c>
      <c r="AC3617" s="2" t="s">
        <v>124</v>
      </c>
      <c r="AD3617" s="3">
        <v>40423</v>
      </c>
      <c r="AE3617" s="4">
        <v>0.47916666666666669</v>
      </c>
      <c r="AF3617" s="2"/>
      <c r="AG3617" s="2"/>
      <c r="AH3617" s="2">
        <v>2</v>
      </c>
      <c r="AI3617" s="2" t="s">
        <v>84</v>
      </c>
      <c r="AJ3617" s="2">
        <v>9</v>
      </c>
      <c r="AK3617" s="2" t="s">
        <v>103</v>
      </c>
      <c r="AL3617" s="2">
        <v>25</v>
      </c>
      <c r="AM3617" s="2" t="s">
        <v>3073</v>
      </c>
      <c r="AN3617" s="2"/>
      <c r="AO3617" s="2" t="s">
        <v>11561</v>
      </c>
      <c r="AP3617" s="2">
        <v>11</v>
      </c>
      <c r="AQ3617" s="2" t="s">
        <v>82</v>
      </c>
      <c r="AR3617" s="2"/>
      <c r="AS3617" s="2"/>
      <c r="AT3617" s="2" t="s">
        <v>11562</v>
      </c>
      <c r="AU3617" s="2"/>
      <c r="AV3617" s="2"/>
      <c r="AW3617" s="2"/>
      <c r="AX3617" s="2"/>
      <c r="AY3617" s="2">
        <v>41</v>
      </c>
      <c r="AZ3617" s="2" t="s">
        <v>82</v>
      </c>
      <c r="BA3617" s="2">
        <v>41</v>
      </c>
      <c r="BB3617" s="2" t="s">
        <v>82</v>
      </c>
      <c r="BC3617" s="2">
        <v>41</v>
      </c>
      <c r="BD3617" s="2" t="s">
        <v>82</v>
      </c>
      <c r="BE3617" s="2">
        <v>41</v>
      </c>
      <c r="BF3617" s="2" t="s">
        <v>82</v>
      </c>
      <c r="BG3617" s="2"/>
      <c r="BH3617" s="2"/>
      <c r="BI3617" s="2"/>
      <c r="BJ3617" s="2">
        <v>241</v>
      </c>
      <c r="BK3617" s="2" t="s">
        <v>82</v>
      </c>
      <c r="BL3617" s="2"/>
      <c r="BM3617" s="2">
        <v>241</v>
      </c>
      <c r="BN3617" s="2" t="s">
        <v>82</v>
      </c>
      <c r="BO3617" s="2"/>
      <c r="BP3617" s="2">
        <v>241</v>
      </c>
      <c r="BQ3617" s="2" t="s">
        <v>82</v>
      </c>
      <c r="BR3617" s="2"/>
      <c r="BS3617" s="3">
        <v>40423</v>
      </c>
      <c r="BT3617" s="4">
        <v>0.82025462962962958</v>
      </c>
    </row>
    <row r="3618" spans="1:72" x14ac:dyDescent="0.25">
      <c r="A3618" s="2">
        <v>5333</v>
      </c>
      <c r="B3618" s="2">
        <v>2010</v>
      </c>
      <c r="C3618" s="2" t="s">
        <v>377</v>
      </c>
      <c r="D3618" s="2" t="s">
        <v>73</v>
      </c>
      <c r="E3618" s="2"/>
      <c r="F3618" s="2">
        <v>426</v>
      </c>
      <c r="G3618" s="2" t="s">
        <v>378</v>
      </c>
      <c r="H3618" s="2">
        <v>42</v>
      </c>
      <c r="I3618" s="2" t="s">
        <v>1096</v>
      </c>
      <c r="J3618" s="2">
        <v>311</v>
      </c>
      <c r="K3618" s="2" t="s">
        <v>379</v>
      </c>
      <c r="L3618" s="2" t="s">
        <v>380</v>
      </c>
      <c r="M3618" s="3">
        <v>40423</v>
      </c>
      <c r="N3618" s="2" t="s">
        <v>5164</v>
      </c>
      <c r="O3618" s="2"/>
      <c r="P3618" s="2"/>
      <c r="Q3618" s="2" t="str">
        <f>"233-C/10"</f>
        <v>233-C/10</v>
      </c>
      <c r="R3618" s="2" t="s">
        <v>3458</v>
      </c>
      <c r="S3618" s="2"/>
      <c r="T3618" s="2">
        <v>1</v>
      </c>
      <c r="U3618" s="2" t="s">
        <v>79</v>
      </c>
      <c r="V3618" s="2">
        <v>1</v>
      </c>
      <c r="W3618" s="2" t="s">
        <v>80</v>
      </c>
      <c r="X3618" s="2">
        <v>1</v>
      </c>
      <c r="Y3618" s="2" t="s">
        <v>81</v>
      </c>
      <c r="Z3618" s="2">
        <v>1</v>
      </c>
      <c r="AA3618" s="2" t="s">
        <v>82</v>
      </c>
      <c r="AB3618" s="2">
        <v>9</v>
      </c>
      <c r="AC3618" s="2" t="s">
        <v>124</v>
      </c>
      <c r="AD3618" s="3">
        <v>40423</v>
      </c>
      <c r="AE3618" s="4">
        <v>0.53125</v>
      </c>
      <c r="AF3618" s="2"/>
      <c r="AG3618" s="2"/>
      <c r="AH3618" s="2">
        <v>2</v>
      </c>
      <c r="AI3618" s="2" t="s">
        <v>84</v>
      </c>
      <c r="AJ3618" s="2">
        <v>9</v>
      </c>
      <c r="AK3618" s="2" t="s">
        <v>103</v>
      </c>
      <c r="AL3618" s="2">
        <v>24</v>
      </c>
      <c r="AM3618" s="2" t="s">
        <v>1540</v>
      </c>
      <c r="AN3618" s="2"/>
      <c r="AO3618" s="2" t="s">
        <v>11563</v>
      </c>
      <c r="AP3618" s="2">
        <v>11</v>
      </c>
      <c r="AQ3618" s="2" t="s">
        <v>82</v>
      </c>
      <c r="AR3618" s="2"/>
      <c r="AS3618" s="2"/>
      <c r="AT3618" s="2" t="s">
        <v>11564</v>
      </c>
      <c r="AU3618" s="2"/>
      <c r="AV3618" s="2"/>
      <c r="AW3618" s="2"/>
      <c r="AX3618" s="2"/>
      <c r="AY3618" s="2">
        <v>41</v>
      </c>
      <c r="AZ3618" s="2" t="s">
        <v>82</v>
      </c>
      <c r="BA3618" s="2">
        <v>41</v>
      </c>
      <c r="BB3618" s="2" t="s">
        <v>82</v>
      </c>
      <c r="BC3618" s="2">
        <v>41</v>
      </c>
      <c r="BD3618" s="2" t="s">
        <v>82</v>
      </c>
      <c r="BE3618" s="2">
        <v>41</v>
      </c>
      <c r="BF3618" s="2" t="s">
        <v>82</v>
      </c>
      <c r="BG3618" s="2"/>
      <c r="BH3618" s="2"/>
      <c r="BI3618" s="2"/>
      <c r="BJ3618" s="2">
        <v>241</v>
      </c>
      <c r="BK3618" s="2" t="s">
        <v>82</v>
      </c>
      <c r="BL3618" s="2"/>
      <c r="BM3618" s="2">
        <v>241</v>
      </c>
      <c r="BN3618" s="2" t="s">
        <v>82</v>
      </c>
      <c r="BO3618" s="2"/>
      <c r="BP3618" s="2">
        <v>241</v>
      </c>
      <c r="BQ3618" s="2" t="s">
        <v>82</v>
      </c>
      <c r="BR3618" s="2"/>
      <c r="BS3618" s="3">
        <v>40423</v>
      </c>
      <c r="BT3618" s="4">
        <v>0.84230324074074081</v>
      </c>
    </row>
    <row r="3619" spans="1:72" x14ac:dyDescent="0.25">
      <c r="A3619" s="2">
        <v>5335</v>
      </c>
      <c r="B3619" s="2">
        <v>2010</v>
      </c>
      <c r="C3619" s="2" t="s">
        <v>196</v>
      </c>
      <c r="D3619" s="2" t="s">
        <v>122</v>
      </c>
      <c r="E3619" s="2"/>
      <c r="F3619" s="2">
        <v>1</v>
      </c>
      <c r="G3619" s="2" t="s">
        <v>82</v>
      </c>
      <c r="H3619" s="2">
        <v>1</v>
      </c>
      <c r="I3619" s="2" t="s">
        <v>82</v>
      </c>
      <c r="J3619" s="2">
        <v>1</v>
      </c>
      <c r="K3619" s="2" t="s">
        <v>107</v>
      </c>
      <c r="L3619" s="2" t="s">
        <v>107</v>
      </c>
      <c r="M3619" s="3">
        <v>40423</v>
      </c>
      <c r="N3619" s="2"/>
      <c r="O3619" s="2"/>
      <c r="P3619" s="2"/>
      <c r="Q3619" s="2" t="str">
        <f>""</f>
        <v/>
      </c>
      <c r="R3619" s="2"/>
      <c r="S3619" s="2"/>
      <c r="T3619" s="2">
        <v>2</v>
      </c>
      <c r="U3619" s="2" t="s">
        <v>123</v>
      </c>
      <c r="V3619" s="2">
        <v>1</v>
      </c>
      <c r="W3619" s="2" t="s">
        <v>80</v>
      </c>
      <c r="X3619" s="2">
        <v>11</v>
      </c>
      <c r="Y3619" s="2" t="s">
        <v>1920</v>
      </c>
      <c r="Z3619" s="2">
        <v>1</v>
      </c>
      <c r="AA3619" s="2" t="s">
        <v>82</v>
      </c>
      <c r="AB3619" s="2">
        <v>9</v>
      </c>
      <c r="AC3619" s="2" t="s">
        <v>124</v>
      </c>
      <c r="AD3619" s="3">
        <v>40423</v>
      </c>
      <c r="AE3619" s="4">
        <v>0.62013888888888891</v>
      </c>
      <c r="AF3619" s="2"/>
      <c r="AG3619" s="2"/>
      <c r="AH3619" s="2">
        <v>2</v>
      </c>
      <c r="AI3619" s="2" t="s">
        <v>84</v>
      </c>
      <c r="AJ3619" s="2">
        <v>12</v>
      </c>
      <c r="AK3619" s="2" t="s">
        <v>85</v>
      </c>
      <c r="AL3619" s="2">
        <v>20</v>
      </c>
      <c r="AM3619" s="2" t="s">
        <v>992</v>
      </c>
      <c r="AN3619" s="2"/>
      <c r="AO3619" s="2"/>
      <c r="AP3619" s="2">
        <v>11</v>
      </c>
      <c r="AQ3619" s="2" t="s">
        <v>82</v>
      </c>
      <c r="AR3619" s="2"/>
      <c r="AS3619" s="2"/>
      <c r="AT3619" s="2" t="s">
        <v>11565</v>
      </c>
      <c r="AU3619" s="2"/>
      <c r="AV3619" s="2"/>
      <c r="AW3619" s="2"/>
      <c r="AX3619" s="2"/>
      <c r="AY3619" s="2">
        <v>41</v>
      </c>
      <c r="AZ3619" s="2" t="s">
        <v>82</v>
      </c>
      <c r="BA3619" s="2">
        <v>41</v>
      </c>
      <c r="BB3619" s="2" t="s">
        <v>82</v>
      </c>
      <c r="BC3619" s="2">
        <v>70</v>
      </c>
      <c r="BD3619" s="2" t="s">
        <v>236</v>
      </c>
      <c r="BE3619" s="2">
        <v>41</v>
      </c>
      <c r="BF3619" s="2" t="s">
        <v>82</v>
      </c>
      <c r="BG3619" s="2"/>
      <c r="BH3619" s="2"/>
      <c r="BI3619" s="4">
        <v>0.62013888888888891</v>
      </c>
      <c r="BJ3619" s="2">
        <v>13</v>
      </c>
      <c r="BK3619" s="2" t="s">
        <v>91</v>
      </c>
      <c r="BL3619" s="2" t="s">
        <v>185</v>
      </c>
      <c r="BM3619" s="2">
        <v>241</v>
      </c>
      <c r="BN3619" s="2" t="s">
        <v>82</v>
      </c>
      <c r="BO3619" s="2"/>
      <c r="BP3619" s="2">
        <v>13</v>
      </c>
      <c r="BQ3619" s="2" t="s">
        <v>91</v>
      </c>
      <c r="BR3619" s="2" t="s">
        <v>6083</v>
      </c>
      <c r="BS3619" s="3">
        <v>40423</v>
      </c>
      <c r="BT3619" s="4">
        <v>0.97451388888888879</v>
      </c>
    </row>
    <row r="3620" spans="1:72" x14ac:dyDescent="0.25">
      <c r="A3620" s="2">
        <v>5336</v>
      </c>
      <c r="B3620" s="2">
        <v>2010</v>
      </c>
      <c r="C3620" s="2" t="s">
        <v>819</v>
      </c>
      <c r="D3620" s="2" t="s">
        <v>73</v>
      </c>
      <c r="E3620" s="2"/>
      <c r="F3620" s="2">
        <v>1</v>
      </c>
      <c r="G3620" s="2" t="s">
        <v>82</v>
      </c>
      <c r="H3620" s="2">
        <v>1</v>
      </c>
      <c r="I3620" s="2" t="s">
        <v>82</v>
      </c>
      <c r="J3620" s="2">
        <v>1</v>
      </c>
      <c r="K3620" s="2" t="s">
        <v>107</v>
      </c>
      <c r="L3620" s="2" t="s">
        <v>107</v>
      </c>
      <c r="M3620" s="3">
        <v>40423</v>
      </c>
      <c r="N3620" s="2"/>
      <c r="O3620" s="2"/>
      <c r="P3620" s="2"/>
      <c r="Q3620" s="2" t="str">
        <f>""</f>
        <v/>
      </c>
      <c r="R3620" s="2"/>
      <c r="S3620" s="2"/>
      <c r="T3620" s="2">
        <v>1</v>
      </c>
      <c r="U3620" s="2" t="s">
        <v>79</v>
      </c>
      <c r="V3620" s="2">
        <v>1</v>
      </c>
      <c r="W3620" s="2" t="s">
        <v>80</v>
      </c>
      <c r="X3620" s="2">
        <v>1</v>
      </c>
      <c r="Y3620" s="2" t="s">
        <v>81</v>
      </c>
      <c r="Z3620" s="2">
        <v>1</v>
      </c>
      <c r="AA3620" s="2" t="s">
        <v>82</v>
      </c>
      <c r="AB3620" s="2">
        <v>9</v>
      </c>
      <c r="AC3620" s="2" t="s">
        <v>124</v>
      </c>
      <c r="AD3620" s="3">
        <v>40423</v>
      </c>
      <c r="AE3620" s="4">
        <v>0.875</v>
      </c>
      <c r="AF3620" s="2"/>
      <c r="AG3620" s="2"/>
      <c r="AH3620" s="2">
        <v>5</v>
      </c>
      <c r="AI3620" s="2" t="s">
        <v>274</v>
      </c>
      <c r="AJ3620" s="2">
        <v>37</v>
      </c>
      <c r="AK3620" s="2" t="s">
        <v>497</v>
      </c>
      <c r="AL3620" s="2">
        <v>11</v>
      </c>
      <c r="AM3620" s="2" t="s">
        <v>137</v>
      </c>
      <c r="AN3620" s="2"/>
      <c r="AO3620" s="2"/>
      <c r="AP3620" s="2">
        <v>11</v>
      </c>
      <c r="AQ3620" s="2" t="s">
        <v>82</v>
      </c>
      <c r="AR3620" s="2"/>
      <c r="AS3620" s="2"/>
      <c r="AT3620" s="2" t="s">
        <v>11566</v>
      </c>
      <c r="AU3620" s="2"/>
      <c r="AV3620" s="2"/>
      <c r="AW3620" s="2"/>
      <c r="AX3620" s="2"/>
      <c r="AY3620" s="2">
        <v>42</v>
      </c>
      <c r="AZ3620" s="2" t="s">
        <v>182</v>
      </c>
      <c r="BA3620" s="2">
        <v>41</v>
      </c>
      <c r="BB3620" s="2" t="s">
        <v>82</v>
      </c>
      <c r="BC3620" s="2">
        <v>41</v>
      </c>
      <c r="BD3620" s="2" t="s">
        <v>82</v>
      </c>
      <c r="BE3620" s="2">
        <v>41</v>
      </c>
      <c r="BF3620" s="2" t="s">
        <v>82</v>
      </c>
      <c r="BG3620" s="2"/>
      <c r="BH3620" s="2"/>
      <c r="BI3620" s="2"/>
      <c r="BJ3620" s="2">
        <v>241</v>
      </c>
      <c r="BK3620" s="2" t="s">
        <v>82</v>
      </c>
      <c r="BL3620" s="2"/>
      <c r="BM3620" s="2">
        <v>241</v>
      </c>
      <c r="BN3620" s="2" t="s">
        <v>82</v>
      </c>
      <c r="BO3620" s="2"/>
      <c r="BP3620" s="2">
        <v>241</v>
      </c>
      <c r="BQ3620" s="2" t="s">
        <v>82</v>
      </c>
      <c r="BR3620" s="2"/>
      <c r="BS3620" s="3">
        <v>40423</v>
      </c>
      <c r="BT3620" s="4">
        <v>0.99976851851851845</v>
      </c>
    </row>
    <row r="3621" spans="1:72" x14ac:dyDescent="0.25">
      <c r="A3621" s="2">
        <v>5337</v>
      </c>
      <c r="B3621" s="2">
        <v>2010</v>
      </c>
      <c r="C3621" s="2" t="s">
        <v>2219</v>
      </c>
      <c r="D3621" s="2" t="s">
        <v>73</v>
      </c>
      <c r="E3621" s="2"/>
      <c r="F3621" s="2">
        <v>167</v>
      </c>
      <c r="G3621" s="2" t="s">
        <v>11567</v>
      </c>
      <c r="H3621" s="2">
        <v>138</v>
      </c>
      <c r="I3621" s="2" t="s">
        <v>11568</v>
      </c>
      <c r="J3621" s="2">
        <v>173</v>
      </c>
      <c r="K3621" s="2" t="s">
        <v>11569</v>
      </c>
      <c r="L3621" s="2" t="s">
        <v>11570</v>
      </c>
      <c r="M3621" s="3">
        <v>40424</v>
      </c>
      <c r="N3621" s="2" t="s">
        <v>11571</v>
      </c>
      <c r="O3621" s="2"/>
      <c r="P3621" s="2"/>
      <c r="Q3621" s="2" t="str">
        <f>"344-A/10"</f>
        <v>344-A/10</v>
      </c>
      <c r="R3621" s="2"/>
      <c r="S3621" s="2" t="s">
        <v>11572</v>
      </c>
      <c r="T3621" s="2">
        <v>1</v>
      </c>
      <c r="U3621" s="2" t="s">
        <v>79</v>
      </c>
      <c r="V3621" s="2">
        <v>1</v>
      </c>
      <c r="W3621" s="2" t="s">
        <v>80</v>
      </c>
      <c r="X3621" s="2">
        <v>1</v>
      </c>
      <c r="Y3621" s="2" t="s">
        <v>81</v>
      </c>
      <c r="Z3621" s="2">
        <v>1</v>
      </c>
      <c r="AA3621" s="2" t="s">
        <v>82</v>
      </c>
      <c r="AB3621" s="2">
        <v>9</v>
      </c>
      <c r="AC3621" s="2" t="s">
        <v>124</v>
      </c>
      <c r="AD3621" s="3">
        <v>40423</v>
      </c>
      <c r="AE3621" s="4">
        <v>0.5625</v>
      </c>
      <c r="AF3621" s="2"/>
      <c r="AG3621" s="2"/>
      <c r="AH3621" s="2">
        <v>2</v>
      </c>
      <c r="AI3621" s="2" t="s">
        <v>84</v>
      </c>
      <c r="AJ3621" s="2">
        <v>12</v>
      </c>
      <c r="AK3621" s="2" t="s">
        <v>85</v>
      </c>
      <c r="AL3621" s="2">
        <v>14</v>
      </c>
      <c r="AM3621" s="2" t="s">
        <v>216</v>
      </c>
      <c r="AN3621" s="2" t="s">
        <v>10895</v>
      </c>
      <c r="AO3621" s="2"/>
      <c r="AP3621" s="2">
        <v>11</v>
      </c>
      <c r="AQ3621" s="2" t="s">
        <v>82</v>
      </c>
      <c r="AR3621" s="2"/>
      <c r="AS3621" s="2"/>
      <c r="AT3621" s="2" t="s">
        <v>11573</v>
      </c>
      <c r="AU3621" s="2">
        <v>1</v>
      </c>
      <c r="AV3621" s="2"/>
      <c r="AW3621" s="2"/>
      <c r="AX3621" s="2"/>
      <c r="AY3621" s="2">
        <v>41</v>
      </c>
      <c r="AZ3621" s="2" t="s">
        <v>82</v>
      </c>
      <c r="BA3621" s="2">
        <v>41</v>
      </c>
      <c r="BB3621" s="2" t="s">
        <v>82</v>
      </c>
      <c r="BC3621" s="2">
        <v>41</v>
      </c>
      <c r="BD3621" s="2" t="s">
        <v>82</v>
      </c>
      <c r="BE3621" s="2">
        <v>47</v>
      </c>
      <c r="BF3621" s="2" t="s">
        <v>167</v>
      </c>
      <c r="BG3621" s="2" t="s">
        <v>11574</v>
      </c>
      <c r="BH3621" s="4">
        <v>0.54166666666666663</v>
      </c>
      <c r="BI3621" s="2"/>
      <c r="BJ3621" s="2">
        <v>13</v>
      </c>
      <c r="BK3621" s="2" t="s">
        <v>91</v>
      </c>
      <c r="BL3621" s="2" t="s">
        <v>92</v>
      </c>
      <c r="BM3621" s="2">
        <v>241</v>
      </c>
      <c r="BN3621" s="2" t="s">
        <v>82</v>
      </c>
      <c r="BO3621" s="2"/>
      <c r="BP3621" s="2">
        <v>13</v>
      </c>
      <c r="BQ3621" s="2" t="s">
        <v>91</v>
      </c>
      <c r="BR3621" s="2" t="s">
        <v>564</v>
      </c>
      <c r="BS3621" s="3">
        <v>40424</v>
      </c>
      <c r="BT3621" s="4">
        <v>9.1979166666666667E-2</v>
      </c>
    </row>
    <row r="3622" spans="1:72" x14ac:dyDescent="0.25">
      <c r="A3622" s="2">
        <v>5338</v>
      </c>
      <c r="B3622" s="2">
        <v>2010</v>
      </c>
      <c r="C3622" s="2" t="s">
        <v>554</v>
      </c>
      <c r="D3622" s="2" t="s">
        <v>73</v>
      </c>
      <c r="E3622" s="2"/>
      <c r="F3622" s="2">
        <v>158</v>
      </c>
      <c r="G3622" s="2" t="s">
        <v>3026</v>
      </c>
      <c r="H3622" s="2">
        <v>16</v>
      </c>
      <c r="I3622" s="2" t="s">
        <v>3027</v>
      </c>
      <c r="J3622" s="2">
        <v>164</v>
      </c>
      <c r="K3622" s="2" t="s">
        <v>3254</v>
      </c>
      <c r="L3622" s="2" t="s">
        <v>946</v>
      </c>
      <c r="M3622" s="3">
        <v>40424</v>
      </c>
      <c r="N3622" s="2" t="s">
        <v>11575</v>
      </c>
      <c r="O3622" s="2"/>
      <c r="P3622" s="2"/>
      <c r="Q3622" s="2" t="str">
        <f>"345-A/10"</f>
        <v>345-A/10</v>
      </c>
      <c r="R3622" s="2"/>
      <c r="S3622" s="2" t="s">
        <v>1130</v>
      </c>
      <c r="T3622" s="2">
        <v>1</v>
      </c>
      <c r="U3622" s="2" t="s">
        <v>79</v>
      </c>
      <c r="V3622" s="2">
        <v>1</v>
      </c>
      <c r="W3622" s="2" t="s">
        <v>80</v>
      </c>
      <c r="X3622" s="2">
        <v>12</v>
      </c>
      <c r="Y3622" s="2" t="s">
        <v>148</v>
      </c>
      <c r="Z3622" s="2">
        <v>1</v>
      </c>
      <c r="AA3622" s="2" t="s">
        <v>82</v>
      </c>
      <c r="AB3622" s="2">
        <v>5</v>
      </c>
      <c r="AC3622" s="2" t="s">
        <v>559</v>
      </c>
      <c r="AD3622" s="3">
        <v>40423</v>
      </c>
      <c r="AE3622" s="2"/>
      <c r="AF3622" s="3">
        <v>40423</v>
      </c>
      <c r="AG3622" s="4">
        <v>0.87152777777777779</v>
      </c>
      <c r="AH3622" s="2">
        <v>2</v>
      </c>
      <c r="AI3622" s="2" t="s">
        <v>84</v>
      </c>
      <c r="AJ3622" s="2">
        <v>12</v>
      </c>
      <c r="AK3622" s="2" t="s">
        <v>85</v>
      </c>
      <c r="AL3622" s="2">
        <v>17</v>
      </c>
      <c r="AM3622" s="2" t="s">
        <v>232</v>
      </c>
      <c r="AN3622" s="2" t="s">
        <v>11576</v>
      </c>
      <c r="AO3622" s="2" t="s">
        <v>11577</v>
      </c>
      <c r="AP3622" s="2">
        <v>11</v>
      </c>
      <c r="AQ3622" s="2" t="s">
        <v>82</v>
      </c>
      <c r="AR3622" s="2"/>
      <c r="AS3622" s="2"/>
      <c r="AT3622" s="2" t="s">
        <v>11578</v>
      </c>
      <c r="AU3622" s="2"/>
      <c r="AV3622" s="2"/>
      <c r="AW3622" s="2"/>
      <c r="AX3622" s="2"/>
      <c r="AY3622" s="2">
        <v>41</v>
      </c>
      <c r="AZ3622" s="2" t="s">
        <v>82</v>
      </c>
      <c r="BA3622" s="2">
        <v>41</v>
      </c>
      <c r="BB3622" s="2" t="s">
        <v>82</v>
      </c>
      <c r="BC3622" s="2">
        <v>41</v>
      </c>
      <c r="BD3622" s="2" t="s">
        <v>82</v>
      </c>
      <c r="BE3622" s="2">
        <v>41</v>
      </c>
      <c r="BF3622" s="2" t="s">
        <v>82</v>
      </c>
      <c r="BG3622" s="2"/>
      <c r="BH3622" s="2"/>
      <c r="BI3622" s="2"/>
      <c r="BJ3622" s="2">
        <v>241</v>
      </c>
      <c r="BK3622" s="2" t="s">
        <v>82</v>
      </c>
      <c r="BL3622" s="2"/>
      <c r="BM3622" s="2">
        <v>241</v>
      </c>
      <c r="BN3622" s="2" t="s">
        <v>82</v>
      </c>
      <c r="BO3622" s="2"/>
      <c r="BP3622" s="2">
        <v>241</v>
      </c>
      <c r="BQ3622" s="2" t="s">
        <v>82</v>
      </c>
      <c r="BR3622" s="2"/>
      <c r="BS3622" s="3">
        <v>40424</v>
      </c>
      <c r="BT3622" s="4">
        <v>0.14270833333333333</v>
      </c>
    </row>
    <row r="3623" spans="1:72" x14ac:dyDescent="0.25">
      <c r="A3623" s="2">
        <v>5339</v>
      </c>
      <c r="B3623" s="2">
        <v>2010</v>
      </c>
      <c r="C3623" s="2" t="s">
        <v>377</v>
      </c>
      <c r="D3623" s="2" t="s">
        <v>73</v>
      </c>
      <c r="E3623" s="2"/>
      <c r="F3623" s="2">
        <v>426</v>
      </c>
      <c r="G3623" s="2" t="s">
        <v>378</v>
      </c>
      <c r="H3623" s="2">
        <v>22</v>
      </c>
      <c r="I3623" s="2" t="s">
        <v>75</v>
      </c>
      <c r="J3623" s="2">
        <v>311</v>
      </c>
      <c r="K3623" s="2" t="s">
        <v>379</v>
      </c>
      <c r="L3623" s="2" t="s">
        <v>380</v>
      </c>
      <c r="M3623" s="3">
        <v>40424</v>
      </c>
      <c r="N3623" s="2" t="s">
        <v>5164</v>
      </c>
      <c r="O3623" s="2"/>
      <c r="P3623" s="2"/>
      <c r="Q3623" s="2" t="str">
        <f>"234-C/10"</f>
        <v>234-C/10</v>
      </c>
      <c r="R3623" s="2" t="s">
        <v>5773</v>
      </c>
      <c r="S3623" s="2"/>
      <c r="T3623" s="2">
        <v>1</v>
      </c>
      <c r="U3623" s="2" t="s">
        <v>79</v>
      </c>
      <c r="V3623" s="2">
        <v>1</v>
      </c>
      <c r="W3623" s="2" t="s">
        <v>80</v>
      </c>
      <c r="X3623" s="2">
        <v>1</v>
      </c>
      <c r="Y3623" s="2" t="s">
        <v>81</v>
      </c>
      <c r="Z3623" s="2">
        <v>1</v>
      </c>
      <c r="AA3623" s="2" t="s">
        <v>82</v>
      </c>
      <c r="AB3623" s="2">
        <v>9</v>
      </c>
      <c r="AC3623" s="2" t="s">
        <v>124</v>
      </c>
      <c r="AD3623" s="3">
        <v>40423</v>
      </c>
      <c r="AE3623" s="4">
        <v>0.86458333333333337</v>
      </c>
      <c r="AF3623" s="2"/>
      <c r="AG3623" s="2"/>
      <c r="AH3623" s="2">
        <v>2</v>
      </c>
      <c r="AI3623" s="2" t="s">
        <v>84</v>
      </c>
      <c r="AJ3623" s="2">
        <v>9</v>
      </c>
      <c r="AK3623" s="2" t="s">
        <v>103</v>
      </c>
      <c r="AL3623" s="2">
        <v>29</v>
      </c>
      <c r="AM3623" s="2" t="s">
        <v>5416</v>
      </c>
      <c r="AN3623" s="2" t="s">
        <v>3460</v>
      </c>
      <c r="AO3623" s="2"/>
      <c r="AP3623" s="2">
        <v>11</v>
      </c>
      <c r="AQ3623" s="2" t="s">
        <v>82</v>
      </c>
      <c r="AR3623" s="2"/>
      <c r="AS3623" s="2"/>
      <c r="AT3623" s="2" t="s">
        <v>11579</v>
      </c>
      <c r="AU3623" s="2"/>
      <c r="AV3623" s="2"/>
      <c r="AW3623" s="2"/>
      <c r="AX3623" s="2"/>
      <c r="AY3623" s="2">
        <v>41</v>
      </c>
      <c r="AZ3623" s="2" t="s">
        <v>82</v>
      </c>
      <c r="BA3623" s="2">
        <v>41</v>
      </c>
      <c r="BB3623" s="2" t="s">
        <v>82</v>
      </c>
      <c r="BC3623" s="2">
        <v>41</v>
      </c>
      <c r="BD3623" s="2" t="s">
        <v>82</v>
      </c>
      <c r="BE3623" s="2">
        <v>41</v>
      </c>
      <c r="BF3623" s="2" t="s">
        <v>82</v>
      </c>
      <c r="BG3623" s="2"/>
      <c r="BH3623" s="2"/>
      <c r="BI3623" s="2"/>
      <c r="BJ3623" s="2">
        <v>241</v>
      </c>
      <c r="BK3623" s="2" t="s">
        <v>82</v>
      </c>
      <c r="BL3623" s="2"/>
      <c r="BM3623" s="2">
        <v>241</v>
      </c>
      <c r="BN3623" s="2" t="s">
        <v>82</v>
      </c>
      <c r="BO3623" s="2"/>
      <c r="BP3623" s="2">
        <v>241</v>
      </c>
      <c r="BQ3623" s="2" t="s">
        <v>82</v>
      </c>
      <c r="BR3623" s="2"/>
      <c r="BS3623" s="3">
        <v>40424</v>
      </c>
      <c r="BT3623" s="4">
        <v>0.30108796296296297</v>
      </c>
    </row>
    <row r="3624" spans="1:72" x14ac:dyDescent="0.25">
      <c r="A3624" s="2">
        <v>5340</v>
      </c>
      <c r="B3624" s="2">
        <v>2010</v>
      </c>
      <c r="C3624" s="2" t="s">
        <v>4543</v>
      </c>
      <c r="D3624" s="2" t="s">
        <v>122</v>
      </c>
      <c r="E3624" s="2"/>
      <c r="F3624" s="2">
        <v>1</v>
      </c>
      <c r="G3624" s="2" t="s">
        <v>82</v>
      </c>
      <c r="H3624" s="2">
        <v>1</v>
      </c>
      <c r="I3624" s="2" t="s">
        <v>82</v>
      </c>
      <c r="J3624" s="2">
        <v>1</v>
      </c>
      <c r="K3624" s="2" t="s">
        <v>107</v>
      </c>
      <c r="L3624" s="2" t="s">
        <v>107</v>
      </c>
      <c r="M3624" s="3">
        <v>40424</v>
      </c>
      <c r="N3624" s="2"/>
      <c r="O3624" s="2"/>
      <c r="P3624" s="2"/>
      <c r="Q3624" s="2" t="str">
        <f>""</f>
        <v/>
      </c>
      <c r="R3624" s="2"/>
      <c r="S3624" s="2"/>
      <c r="T3624" s="2">
        <v>2</v>
      </c>
      <c r="U3624" s="2" t="s">
        <v>123</v>
      </c>
      <c r="V3624" s="2">
        <v>1</v>
      </c>
      <c r="W3624" s="2" t="s">
        <v>80</v>
      </c>
      <c r="X3624" s="2">
        <v>11</v>
      </c>
      <c r="Y3624" s="2" t="s">
        <v>1920</v>
      </c>
      <c r="Z3624" s="2">
        <v>1</v>
      </c>
      <c r="AA3624" s="2" t="s">
        <v>82</v>
      </c>
      <c r="AB3624" s="2">
        <v>9</v>
      </c>
      <c r="AC3624" s="2" t="s">
        <v>124</v>
      </c>
      <c r="AD3624" s="3">
        <v>40424</v>
      </c>
      <c r="AE3624" s="4">
        <v>0.20138888888888887</v>
      </c>
      <c r="AF3624" s="2"/>
      <c r="AG3624" s="2"/>
      <c r="AH3624" s="2">
        <v>2</v>
      </c>
      <c r="AI3624" s="2" t="s">
        <v>84</v>
      </c>
      <c r="AJ3624" s="2">
        <v>9</v>
      </c>
      <c r="AK3624" s="2" t="s">
        <v>103</v>
      </c>
      <c r="AL3624" s="2">
        <v>15</v>
      </c>
      <c r="AM3624" s="2" t="s">
        <v>104</v>
      </c>
      <c r="AN3624" s="2"/>
      <c r="AO3624" s="2"/>
      <c r="AP3624" s="2">
        <v>11</v>
      </c>
      <c r="AQ3624" s="2" t="s">
        <v>82</v>
      </c>
      <c r="AR3624" s="2"/>
      <c r="AS3624" s="2"/>
      <c r="AT3624" s="2" t="s">
        <v>11580</v>
      </c>
      <c r="AU3624" s="2"/>
      <c r="AV3624" s="2"/>
      <c r="AW3624" s="2"/>
      <c r="AX3624" s="2"/>
      <c r="AY3624" s="2">
        <v>1</v>
      </c>
      <c r="AZ3624" s="2" t="s">
        <v>107</v>
      </c>
      <c r="BA3624" s="2">
        <v>1</v>
      </c>
      <c r="BB3624" s="2" t="s">
        <v>107</v>
      </c>
      <c r="BC3624" s="2">
        <v>1</v>
      </c>
      <c r="BD3624" s="2" t="s">
        <v>107</v>
      </c>
      <c r="BE3624" s="2">
        <v>1</v>
      </c>
      <c r="BF3624" s="2" t="s">
        <v>107</v>
      </c>
      <c r="BG3624" s="2"/>
      <c r="BH3624" s="2"/>
      <c r="BI3624" s="2"/>
      <c r="BJ3624" s="2">
        <v>242</v>
      </c>
      <c r="BK3624" s="2" t="s">
        <v>107</v>
      </c>
      <c r="BL3624" s="2"/>
      <c r="BM3624" s="2">
        <v>242</v>
      </c>
      <c r="BN3624" s="2" t="s">
        <v>107</v>
      </c>
      <c r="BO3624" s="2"/>
      <c r="BP3624" s="2">
        <v>242</v>
      </c>
      <c r="BQ3624" s="2" t="s">
        <v>107</v>
      </c>
      <c r="BR3624" s="2"/>
      <c r="BS3624" s="3">
        <v>40424</v>
      </c>
      <c r="BT3624" s="4">
        <v>0.33613425925925927</v>
      </c>
    </row>
    <row r="3625" spans="1:72" x14ac:dyDescent="0.25">
      <c r="A3625" s="2">
        <v>5343</v>
      </c>
      <c r="B3625" s="2">
        <v>2010</v>
      </c>
      <c r="C3625" s="2" t="s">
        <v>196</v>
      </c>
      <c r="D3625" s="2" t="s">
        <v>122</v>
      </c>
      <c r="E3625" s="2"/>
      <c r="F3625" s="2">
        <v>1</v>
      </c>
      <c r="G3625" s="2" t="s">
        <v>82</v>
      </c>
      <c r="H3625" s="2">
        <v>1</v>
      </c>
      <c r="I3625" s="2" t="s">
        <v>82</v>
      </c>
      <c r="J3625" s="2">
        <v>1</v>
      </c>
      <c r="K3625" s="2" t="s">
        <v>107</v>
      </c>
      <c r="L3625" s="2" t="s">
        <v>107</v>
      </c>
      <c r="M3625" s="3">
        <v>40424</v>
      </c>
      <c r="N3625" s="2"/>
      <c r="O3625" s="2"/>
      <c r="P3625" s="2"/>
      <c r="Q3625" s="2" t="str">
        <f>""</f>
        <v/>
      </c>
      <c r="R3625" s="2"/>
      <c r="S3625" s="2"/>
      <c r="T3625" s="2">
        <v>2</v>
      </c>
      <c r="U3625" s="2" t="s">
        <v>123</v>
      </c>
      <c r="V3625" s="2">
        <v>1</v>
      </c>
      <c r="W3625" s="2" t="s">
        <v>80</v>
      </c>
      <c r="X3625" s="2">
        <v>5</v>
      </c>
      <c r="Y3625" s="2" t="s">
        <v>82</v>
      </c>
      <c r="Z3625" s="2">
        <v>1</v>
      </c>
      <c r="AA3625" s="2" t="s">
        <v>82</v>
      </c>
      <c r="AB3625" s="2">
        <v>9</v>
      </c>
      <c r="AC3625" s="2" t="s">
        <v>124</v>
      </c>
      <c r="AD3625" s="3">
        <v>40424</v>
      </c>
      <c r="AE3625" s="4">
        <v>0.4861111111111111</v>
      </c>
      <c r="AF3625" s="2"/>
      <c r="AG3625" s="2"/>
      <c r="AH3625" s="2">
        <v>6</v>
      </c>
      <c r="AI3625" s="2" t="s">
        <v>197</v>
      </c>
      <c r="AJ3625" s="2">
        <v>59</v>
      </c>
      <c r="AK3625" s="2" t="s">
        <v>198</v>
      </c>
      <c r="AL3625" s="2">
        <v>18</v>
      </c>
      <c r="AM3625" s="2" t="s">
        <v>82</v>
      </c>
      <c r="AN3625" s="2" t="s">
        <v>10868</v>
      </c>
      <c r="AO3625" s="2" t="s">
        <v>230</v>
      </c>
      <c r="AP3625" s="2">
        <v>11</v>
      </c>
      <c r="AQ3625" s="2" t="s">
        <v>82</v>
      </c>
      <c r="AR3625" s="2"/>
      <c r="AS3625" s="2"/>
      <c r="AT3625" s="2" t="s">
        <v>11581</v>
      </c>
      <c r="AU3625" s="2"/>
      <c r="AV3625" s="2"/>
      <c r="AW3625" s="2"/>
      <c r="AX3625" s="2"/>
      <c r="AY3625" s="2">
        <v>1</v>
      </c>
      <c r="AZ3625" s="2" t="s">
        <v>107</v>
      </c>
      <c r="BA3625" s="2">
        <v>1</v>
      </c>
      <c r="BB3625" s="2" t="s">
        <v>107</v>
      </c>
      <c r="BC3625" s="2">
        <v>1</v>
      </c>
      <c r="BD3625" s="2" t="s">
        <v>107</v>
      </c>
      <c r="BE3625" s="2">
        <v>1</v>
      </c>
      <c r="BF3625" s="2" t="s">
        <v>107</v>
      </c>
      <c r="BG3625" s="2"/>
      <c r="BH3625" s="2"/>
      <c r="BI3625" s="2"/>
      <c r="BJ3625" s="2">
        <v>241</v>
      </c>
      <c r="BK3625" s="2" t="s">
        <v>82</v>
      </c>
      <c r="BL3625" s="2" t="s">
        <v>82</v>
      </c>
      <c r="BM3625" s="2">
        <v>242</v>
      </c>
      <c r="BN3625" s="2" t="s">
        <v>107</v>
      </c>
      <c r="BO3625" s="2" t="s">
        <v>82</v>
      </c>
      <c r="BP3625" s="2">
        <v>13</v>
      </c>
      <c r="BQ3625" s="2" t="s">
        <v>91</v>
      </c>
      <c r="BR3625" s="2" t="s">
        <v>11582</v>
      </c>
      <c r="BS3625" s="3">
        <v>40424</v>
      </c>
      <c r="BT3625" s="4">
        <v>0.48905092592592592</v>
      </c>
    </row>
    <row r="3626" spans="1:72" x14ac:dyDescent="0.25">
      <c r="A3626" s="2">
        <v>5346</v>
      </c>
      <c r="B3626" s="2">
        <v>2010</v>
      </c>
      <c r="C3626" s="2" t="s">
        <v>806</v>
      </c>
      <c r="D3626" s="2" t="s">
        <v>73</v>
      </c>
      <c r="E3626" s="2"/>
      <c r="F3626" s="2">
        <v>54</v>
      </c>
      <c r="G3626" s="2" t="s">
        <v>2963</v>
      </c>
      <c r="H3626" s="2">
        <v>61</v>
      </c>
      <c r="I3626" s="2" t="s">
        <v>3043</v>
      </c>
      <c r="J3626" s="2">
        <v>516</v>
      </c>
      <c r="K3626" s="2" t="s">
        <v>5138</v>
      </c>
      <c r="L3626" s="2" t="s">
        <v>5139</v>
      </c>
      <c r="M3626" s="3">
        <v>40424</v>
      </c>
      <c r="N3626" s="2" t="s">
        <v>11583</v>
      </c>
      <c r="O3626" s="2" t="s">
        <v>11584</v>
      </c>
      <c r="P3626" s="2" t="s">
        <v>11585</v>
      </c>
      <c r="Q3626" s="2" t="str">
        <f>"S/D"</f>
        <v>S/D</v>
      </c>
      <c r="R3626" s="2" t="s">
        <v>107</v>
      </c>
      <c r="S3626" s="2" t="s">
        <v>107</v>
      </c>
      <c r="T3626" s="2">
        <v>1</v>
      </c>
      <c r="U3626" s="2" t="s">
        <v>79</v>
      </c>
      <c r="V3626" s="2">
        <v>3</v>
      </c>
      <c r="W3626" s="2" t="s">
        <v>225</v>
      </c>
      <c r="X3626" s="2">
        <v>6</v>
      </c>
      <c r="Y3626" s="2" t="s">
        <v>249</v>
      </c>
      <c r="Z3626" s="2">
        <v>1</v>
      </c>
      <c r="AA3626" s="2" t="s">
        <v>82</v>
      </c>
      <c r="AB3626" s="2">
        <v>9</v>
      </c>
      <c r="AC3626" s="2" t="s">
        <v>124</v>
      </c>
      <c r="AD3626" s="3">
        <v>40423</v>
      </c>
      <c r="AE3626" s="4">
        <v>0.45833333333333331</v>
      </c>
      <c r="AF3626" s="3">
        <v>40423</v>
      </c>
      <c r="AG3626" s="4">
        <v>0.45833333333333331</v>
      </c>
      <c r="AH3626" s="2">
        <v>7</v>
      </c>
      <c r="AI3626" s="2" t="s">
        <v>801</v>
      </c>
      <c r="AJ3626" s="2">
        <v>3</v>
      </c>
      <c r="AK3626" s="2" t="s">
        <v>802</v>
      </c>
      <c r="AL3626" s="2">
        <v>23</v>
      </c>
      <c r="AM3626" s="2" t="s">
        <v>251</v>
      </c>
      <c r="AN3626" s="2" t="s">
        <v>107</v>
      </c>
      <c r="AO3626" s="2" t="s">
        <v>11586</v>
      </c>
      <c r="AP3626" s="2">
        <v>11</v>
      </c>
      <c r="AQ3626" s="2" t="s">
        <v>82</v>
      </c>
      <c r="AR3626" s="2"/>
      <c r="AS3626" s="2"/>
      <c r="AT3626" s="2" t="s">
        <v>11587</v>
      </c>
      <c r="AU3626" s="2"/>
      <c r="AV3626" s="2"/>
      <c r="AW3626" s="2"/>
      <c r="AX3626" s="2"/>
      <c r="AY3626" s="2">
        <v>41</v>
      </c>
      <c r="AZ3626" s="2" t="s">
        <v>82</v>
      </c>
      <c r="BA3626" s="2">
        <v>41</v>
      </c>
      <c r="BB3626" s="2" t="s">
        <v>82</v>
      </c>
      <c r="BC3626" s="2">
        <v>41</v>
      </c>
      <c r="BD3626" s="2" t="s">
        <v>82</v>
      </c>
      <c r="BE3626" s="2">
        <v>41</v>
      </c>
      <c r="BF3626" s="2" t="s">
        <v>82</v>
      </c>
      <c r="BG3626" s="2"/>
      <c r="BH3626" s="2"/>
      <c r="BI3626" s="2"/>
      <c r="BJ3626" s="2">
        <v>241</v>
      </c>
      <c r="BK3626" s="2" t="s">
        <v>82</v>
      </c>
      <c r="BL3626" s="2"/>
      <c r="BM3626" s="2">
        <v>241</v>
      </c>
      <c r="BN3626" s="2" t="s">
        <v>82</v>
      </c>
      <c r="BO3626" s="2"/>
      <c r="BP3626" s="2">
        <v>241</v>
      </c>
      <c r="BQ3626" s="2" t="s">
        <v>82</v>
      </c>
      <c r="BR3626" s="2"/>
      <c r="BS3626" s="3">
        <v>40424</v>
      </c>
      <c r="BT3626" s="4">
        <v>0.51709490740740738</v>
      </c>
    </row>
    <row r="3627" spans="1:72" x14ac:dyDescent="0.25">
      <c r="A3627" s="2">
        <v>5350</v>
      </c>
      <c r="B3627" s="2">
        <v>2010</v>
      </c>
      <c r="C3627" s="2" t="s">
        <v>819</v>
      </c>
      <c r="D3627" s="2" t="s">
        <v>122</v>
      </c>
      <c r="E3627" s="2" t="s">
        <v>11588</v>
      </c>
      <c r="F3627" s="2">
        <v>1</v>
      </c>
      <c r="G3627" s="2" t="s">
        <v>82</v>
      </c>
      <c r="H3627" s="2">
        <v>1</v>
      </c>
      <c r="I3627" s="2" t="s">
        <v>82</v>
      </c>
      <c r="J3627" s="2">
        <v>1</v>
      </c>
      <c r="K3627" s="2" t="s">
        <v>107</v>
      </c>
      <c r="L3627" s="2" t="s">
        <v>107</v>
      </c>
      <c r="M3627" s="3">
        <v>40424</v>
      </c>
      <c r="N3627" s="2"/>
      <c r="O3627" s="2"/>
      <c r="P3627" s="2"/>
      <c r="Q3627" s="2" t="str">
        <f>""</f>
        <v/>
      </c>
      <c r="R3627" s="2"/>
      <c r="S3627" s="2"/>
      <c r="T3627" s="2">
        <v>1</v>
      </c>
      <c r="U3627" s="2" t="s">
        <v>79</v>
      </c>
      <c r="V3627" s="2">
        <v>1</v>
      </c>
      <c r="W3627" s="2" t="s">
        <v>80</v>
      </c>
      <c r="X3627" s="2">
        <v>5</v>
      </c>
      <c r="Y3627" s="2" t="s">
        <v>82</v>
      </c>
      <c r="Z3627" s="2">
        <v>10</v>
      </c>
      <c r="AA3627" s="2" t="s">
        <v>236</v>
      </c>
      <c r="AB3627" s="2">
        <v>9</v>
      </c>
      <c r="AC3627" s="2" t="s">
        <v>124</v>
      </c>
      <c r="AD3627" s="3">
        <v>40424</v>
      </c>
      <c r="AE3627" s="4">
        <v>0.52083333333333337</v>
      </c>
      <c r="AF3627" s="2"/>
      <c r="AG3627" s="2"/>
      <c r="AH3627" s="2">
        <v>5</v>
      </c>
      <c r="AI3627" s="2" t="s">
        <v>274</v>
      </c>
      <c r="AJ3627" s="2">
        <v>37</v>
      </c>
      <c r="AK3627" s="2" t="s">
        <v>497</v>
      </c>
      <c r="AL3627" s="2">
        <v>1</v>
      </c>
      <c r="AM3627" s="2" t="s">
        <v>2148</v>
      </c>
      <c r="AN3627" s="2" t="s">
        <v>11589</v>
      </c>
      <c r="AO3627" s="2" t="s">
        <v>11590</v>
      </c>
      <c r="AP3627" s="2">
        <v>11</v>
      </c>
      <c r="AQ3627" s="2" t="s">
        <v>82</v>
      </c>
      <c r="AR3627" s="2"/>
      <c r="AS3627" s="2"/>
      <c r="AT3627" s="2" t="s">
        <v>11591</v>
      </c>
      <c r="AU3627" s="2"/>
      <c r="AV3627" s="2"/>
      <c r="AW3627" s="2"/>
      <c r="AX3627" s="2"/>
      <c r="AY3627" s="2">
        <v>41</v>
      </c>
      <c r="AZ3627" s="2" t="s">
        <v>82</v>
      </c>
      <c r="BA3627" s="2">
        <v>70</v>
      </c>
      <c r="BB3627" s="2" t="s">
        <v>236</v>
      </c>
      <c r="BC3627" s="2">
        <v>41</v>
      </c>
      <c r="BD3627" s="2" t="s">
        <v>82</v>
      </c>
      <c r="BE3627" s="2">
        <v>41</v>
      </c>
      <c r="BF3627" s="2" t="s">
        <v>82</v>
      </c>
      <c r="BG3627" s="2"/>
      <c r="BH3627" s="2"/>
      <c r="BI3627" s="2"/>
      <c r="BJ3627" s="2">
        <v>241</v>
      </c>
      <c r="BK3627" s="2" t="s">
        <v>82</v>
      </c>
      <c r="BL3627" s="2"/>
      <c r="BM3627" s="2">
        <v>241</v>
      </c>
      <c r="BN3627" s="2" t="s">
        <v>82</v>
      </c>
      <c r="BO3627" s="2"/>
      <c r="BP3627" s="2">
        <v>241</v>
      </c>
      <c r="BQ3627" s="2" t="s">
        <v>82</v>
      </c>
      <c r="BR3627" s="2"/>
      <c r="BS3627" s="3">
        <v>40424</v>
      </c>
      <c r="BT3627" s="4">
        <v>0.60979166666666662</v>
      </c>
    </row>
    <row r="3628" spans="1:72" x14ac:dyDescent="0.25">
      <c r="A3628" s="2">
        <v>5353</v>
      </c>
      <c r="B3628" s="2">
        <v>2010</v>
      </c>
      <c r="C3628" s="2" t="s">
        <v>385</v>
      </c>
      <c r="D3628" s="2" t="s">
        <v>122</v>
      </c>
      <c r="E3628" s="2"/>
      <c r="F3628" s="2">
        <v>394</v>
      </c>
      <c r="G3628" s="2" t="s">
        <v>172</v>
      </c>
      <c r="H3628" s="2">
        <v>4</v>
      </c>
      <c r="I3628" s="2" t="s">
        <v>173</v>
      </c>
      <c r="J3628" s="2">
        <v>241</v>
      </c>
      <c r="K3628" s="2" t="s">
        <v>174</v>
      </c>
      <c r="L3628" s="2" t="s">
        <v>175</v>
      </c>
      <c r="M3628" s="3">
        <v>40424</v>
      </c>
      <c r="N3628" s="2" t="s">
        <v>390</v>
      </c>
      <c r="O3628" s="2"/>
      <c r="P3628" s="2"/>
      <c r="Q3628" s="2" t="str">
        <f>"446-E/10"</f>
        <v>446-E/10</v>
      </c>
      <c r="R3628" s="2"/>
      <c r="S3628" s="2" t="s">
        <v>10956</v>
      </c>
      <c r="T3628" s="2">
        <v>1</v>
      </c>
      <c r="U3628" s="2" t="s">
        <v>79</v>
      </c>
      <c r="V3628" s="2">
        <v>1</v>
      </c>
      <c r="W3628" s="2" t="s">
        <v>80</v>
      </c>
      <c r="X3628" s="2">
        <v>5</v>
      </c>
      <c r="Y3628" s="2" t="s">
        <v>82</v>
      </c>
      <c r="Z3628" s="2">
        <v>1</v>
      </c>
      <c r="AA3628" s="2" t="s">
        <v>82</v>
      </c>
      <c r="AB3628" s="2">
        <v>9</v>
      </c>
      <c r="AC3628" s="2" t="s">
        <v>124</v>
      </c>
      <c r="AD3628" s="3">
        <v>40424</v>
      </c>
      <c r="AE3628" s="4">
        <v>0.3125</v>
      </c>
      <c r="AF3628" s="2"/>
      <c r="AG3628" s="2"/>
      <c r="AH3628" s="2">
        <v>2</v>
      </c>
      <c r="AI3628" s="2" t="s">
        <v>84</v>
      </c>
      <c r="AJ3628" s="2">
        <v>9</v>
      </c>
      <c r="AK3628" s="2" t="s">
        <v>103</v>
      </c>
      <c r="AL3628" s="2">
        <v>23</v>
      </c>
      <c r="AM3628" s="2" t="s">
        <v>251</v>
      </c>
      <c r="AN3628" s="2"/>
      <c r="AO3628" s="2" t="s">
        <v>11592</v>
      </c>
      <c r="AP3628" s="2">
        <v>11</v>
      </c>
      <c r="AQ3628" s="2" t="s">
        <v>82</v>
      </c>
      <c r="AR3628" s="2"/>
      <c r="AS3628" s="2"/>
      <c r="AT3628" s="2" t="s">
        <v>11593</v>
      </c>
      <c r="AU3628" s="2"/>
      <c r="AV3628" s="2">
        <v>1</v>
      </c>
      <c r="AW3628" s="2"/>
      <c r="AX3628" s="2"/>
      <c r="AY3628" s="2">
        <v>41</v>
      </c>
      <c r="AZ3628" s="2" t="s">
        <v>82</v>
      </c>
      <c r="BA3628" s="2">
        <v>41</v>
      </c>
      <c r="BB3628" s="2" t="s">
        <v>82</v>
      </c>
      <c r="BC3628" s="2">
        <v>41</v>
      </c>
      <c r="BD3628" s="2" t="s">
        <v>82</v>
      </c>
      <c r="BE3628" s="2">
        <v>41</v>
      </c>
      <c r="BF3628" s="2" t="s">
        <v>82</v>
      </c>
      <c r="BG3628" s="2"/>
      <c r="BH3628" s="2"/>
      <c r="BI3628" s="2"/>
      <c r="BJ3628" s="2">
        <v>241</v>
      </c>
      <c r="BK3628" s="2" t="s">
        <v>82</v>
      </c>
      <c r="BL3628" s="2"/>
      <c r="BM3628" s="2">
        <v>241</v>
      </c>
      <c r="BN3628" s="2" t="s">
        <v>82</v>
      </c>
      <c r="BO3628" s="2"/>
      <c r="BP3628" s="2">
        <v>241</v>
      </c>
      <c r="BQ3628" s="2" t="s">
        <v>82</v>
      </c>
      <c r="BR3628" s="2"/>
      <c r="BS3628" s="3">
        <v>40424</v>
      </c>
      <c r="BT3628" s="4">
        <v>0.66420138888888891</v>
      </c>
    </row>
    <row r="3629" spans="1:72" x14ac:dyDescent="0.25">
      <c r="A3629" s="2">
        <v>5354</v>
      </c>
      <c r="B3629" s="2">
        <v>2010</v>
      </c>
      <c r="C3629" s="2" t="s">
        <v>93</v>
      </c>
      <c r="D3629" s="2" t="s">
        <v>73</v>
      </c>
      <c r="E3629" s="2"/>
      <c r="F3629" s="2">
        <v>672</v>
      </c>
      <c r="G3629" s="2" t="s">
        <v>11594</v>
      </c>
      <c r="H3629" s="2">
        <v>22</v>
      </c>
      <c r="I3629" s="2" t="s">
        <v>75</v>
      </c>
      <c r="J3629" s="2">
        <v>654</v>
      </c>
      <c r="K3629" s="2" t="s">
        <v>11595</v>
      </c>
      <c r="L3629" s="2" t="s">
        <v>289</v>
      </c>
      <c r="M3629" s="3">
        <v>40424</v>
      </c>
      <c r="N3629" s="2" t="s">
        <v>11596</v>
      </c>
      <c r="O3629" s="2" t="s">
        <v>8699</v>
      </c>
      <c r="P3629" s="2" t="s">
        <v>11597</v>
      </c>
      <c r="Q3629" s="2" t="str">
        <f>"AP 0045/10"</f>
        <v>AP 0045/10</v>
      </c>
      <c r="R3629" s="2" t="s">
        <v>11598</v>
      </c>
      <c r="S3629" s="2" t="s">
        <v>82</v>
      </c>
      <c r="T3629" s="2">
        <v>1</v>
      </c>
      <c r="U3629" s="2" t="s">
        <v>79</v>
      </c>
      <c r="V3629" s="2">
        <v>1</v>
      </c>
      <c r="W3629" s="2" t="s">
        <v>80</v>
      </c>
      <c r="X3629" s="2">
        <v>1</v>
      </c>
      <c r="Y3629" s="2" t="s">
        <v>81</v>
      </c>
      <c r="Z3629" s="2">
        <v>1</v>
      </c>
      <c r="AA3629" s="2" t="s">
        <v>82</v>
      </c>
      <c r="AB3629" s="2">
        <v>2</v>
      </c>
      <c r="AC3629" s="2" t="s">
        <v>102</v>
      </c>
      <c r="AD3629" s="3">
        <v>40424</v>
      </c>
      <c r="AE3629" s="4">
        <v>0.56944444444444442</v>
      </c>
      <c r="AF3629" s="2"/>
      <c r="AG3629" s="2"/>
      <c r="AH3629" s="2">
        <v>6</v>
      </c>
      <c r="AI3629" s="2" t="s">
        <v>197</v>
      </c>
      <c r="AJ3629" s="2">
        <v>61</v>
      </c>
      <c r="AK3629" s="2" t="s">
        <v>686</v>
      </c>
      <c r="AL3629" s="2">
        <v>11</v>
      </c>
      <c r="AM3629" s="2" t="s">
        <v>137</v>
      </c>
      <c r="AN3629" s="2" t="s">
        <v>5668</v>
      </c>
      <c r="AO3629" s="2" t="s">
        <v>6881</v>
      </c>
      <c r="AP3629" s="2">
        <v>11</v>
      </c>
      <c r="AQ3629" s="2" t="s">
        <v>82</v>
      </c>
      <c r="AR3629" s="2"/>
      <c r="AS3629" s="2"/>
      <c r="AT3629" s="2" t="s">
        <v>11599</v>
      </c>
      <c r="AU3629" s="2"/>
      <c r="AV3629" s="2"/>
      <c r="AW3629" s="2"/>
      <c r="AX3629" s="2"/>
      <c r="AY3629" s="2">
        <v>41</v>
      </c>
      <c r="AZ3629" s="2" t="s">
        <v>82</v>
      </c>
      <c r="BA3629" s="2">
        <v>41</v>
      </c>
      <c r="BB3629" s="2" t="s">
        <v>82</v>
      </c>
      <c r="BC3629" s="2">
        <v>41</v>
      </c>
      <c r="BD3629" s="2" t="s">
        <v>82</v>
      </c>
      <c r="BE3629" s="2">
        <v>49</v>
      </c>
      <c r="BF3629" s="2" t="s">
        <v>1254</v>
      </c>
      <c r="BG3629" s="2" t="s">
        <v>11600</v>
      </c>
      <c r="BH3629" s="2"/>
      <c r="BI3629" s="4">
        <v>0.58333333333333337</v>
      </c>
      <c r="BJ3629" s="2">
        <v>13</v>
      </c>
      <c r="BK3629" s="2" t="s">
        <v>91</v>
      </c>
      <c r="BL3629" s="2" t="s">
        <v>690</v>
      </c>
      <c r="BM3629" s="2">
        <v>241</v>
      </c>
      <c r="BN3629" s="2" t="s">
        <v>82</v>
      </c>
      <c r="BO3629" s="2"/>
      <c r="BP3629" s="2">
        <v>13</v>
      </c>
      <c r="BQ3629" s="2" t="s">
        <v>91</v>
      </c>
      <c r="BR3629" s="2" t="s">
        <v>492</v>
      </c>
      <c r="BS3629" s="3">
        <v>40424</v>
      </c>
      <c r="BT3629" s="4">
        <v>0.66509259259259257</v>
      </c>
    </row>
    <row r="3630" spans="1:72" x14ac:dyDescent="0.25">
      <c r="A3630" s="2">
        <v>5355</v>
      </c>
      <c r="B3630" s="2">
        <v>2010</v>
      </c>
      <c r="C3630" s="2" t="s">
        <v>196</v>
      </c>
      <c r="D3630" s="2" t="s">
        <v>122</v>
      </c>
      <c r="E3630" s="2"/>
      <c r="F3630" s="2">
        <v>1</v>
      </c>
      <c r="G3630" s="2" t="s">
        <v>82</v>
      </c>
      <c r="H3630" s="2">
        <v>1</v>
      </c>
      <c r="I3630" s="2" t="s">
        <v>82</v>
      </c>
      <c r="J3630" s="2">
        <v>1</v>
      </c>
      <c r="K3630" s="2" t="s">
        <v>107</v>
      </c>
      <c r="L3630" s="2" t="s">
        <v>107</v>
      </c>
      <c r="M3630" s="3">
        <v>40424</v>
      </c>
      <c r="N3630" s="2"/>
      <c r="O3630" s="2" t="s">
        <v>107</v>
      </c>
      <c r="P3630" s="2" t="s">
        <v>107</v>
      </c>
      <c r="Q3630" s="2" t="str">
        <f>""</f>
        <v/>
      </c>
      <c r="R3630" s="2"/>
      <c r="S3630" s="2"/>
      <c r="T3630" s="2">
        <v>2</v>
      </c>
      <c r="U3630" s="2" t="s">
        <v>123</v>
      </c>
      <c r="V3630" s="2">
        <v>1</v>
      </c>
      <c r="W3630" s="2" t="s">
        <v>80</v>
      </c>
      <c r="X3630" s="2">
        <v>5</v>
      </c>
      <c r="Y3630" s="2" t="s">
        <v>82</v>
      </c>
      <c r="Z3630" s="2">
        <v>1</v>
      </c>
      <c r="AA3630" s="2" t="s">
        <v>82</v>
      </c>
      <c r="AB3630" s="2">
        <v>9</v>
      </c>
      <c r="AC3630" s="2" t="s">
        <v>124</v>
      </c>
      <c r="AD3630" s="3">
        <v>40424</v>
      </c>
      <c r="AE3630" s="4">
        <v>0.66666666666666663</v>
      </c>
      <c r="AF3630" s="2"/>
      <c r="AG3630" s="2"/>
      <c r="AH3630" s="2">
        <v>6</v>
      </c>
      <c r="AI3630" s="2" t="s">
        <v>197</v>
      </c>
      <c r="AJ3630" s="2">
        <v>59</v>
      </c>
      <c r="AK3630" s="2" t="s">
        <v>198</v>
      </c>
      <c r="AL3630" s="2">
        <v>18</v>
      </c>
      <c r="AM3630" s="2" t="s">
        <v>82</v>
      </c>
      <c r="AN3630" s="2" t="s">
        <v>230</v>
      </c>
      <c r="AO3630" s="2" t="s">
        <v>10868</v>
      </c>
      <c r="AP3630" s="2">
        <v>11</v>
      </c>
      <c r="AQ3630" s="2" t="s">
        <v>82</v>
      </c>
      <c r="AR3630" s="2"/>
      <c r="AS3630" s="2"/>
      <c r="AT3630" s="2" t="s">
        <v>11601</v>
      </c>
      <c r="AU3630" s="2"/>
      <c r="AV3630" s="2"/>
      <c r="AW3630" s="2"/>
      <c r="AX3630" s="2"/>
      <c r="AY3630" s="2">
        <v>1</v>
      </c>
      <c r="AZ3630" s="2" t="s">
        <v>107</v>
      </c>
      <c r="BA3630" s="2">
        <v>1</v>
      </c>
      <c r="BB3630" s="2" t="s">
        <v>107</v>
      </c>
      <c r="BC3630" s="2">
        <v>1</v>
      </c>
      <c r="BD3630" s="2" t="s">
        <v>107</v>
      </c>
      <c r="BE3630" s="2">
        <v>1</v>
      </c>
      <c r="BF3630" s="2" t="s">
        <v>107</v>
      </c>
      <c r="BG3630" s="2"/>
      <c r="BH3630" s="4">
        <v>0.66666666666666663</v>
      </c>
      <c r="BI3630" s="2"/>
      <c r="BJ3630" s="2">
        <v>13</v>
      </c>
      <c r="BK3630" s="2" t="s">
        <v>91</v>
      </c>
      <c r="BL3630" s="2" t="s">
        <v>11602</v>
      </c>
      <c r="BM3630" s="2">
        <v>242</v>
      </c>
      <c r="BN3630" s="2" t="s">
        <v>107</v>
      </c>
      <c r="BO3630" s="2"/>
      <c r="BP3630" s="2">
        <v>13</v>
      </c>
      <c r="BQ3630" s="2" t="s">
        <v>91</v>
      </c>
      <c r="BR3630" s="2" t="s">
        <v>204</v>
      </c>
      <c r="BS3630" s="3">
        <v>40424</v>
      </c>
      <c r="BT3630" s="4">
        <v>0.67600694444444442</v>
      </c>
    </row>
    <row r="3631" spans="1:72" x14ac:dyDescent="0.25">
      <c r="A3631" s="2">
        <v>5358</v>
      </c>
      <c r="B3631" s="2">
        <v>2010</v>
      </c>
      <c r="C3631" s="2" t="s">
        <v>72</v>
      </c>
      <c r="D3631" s="2" t="s">
        <v>73</v>
      </c>
      <c r="E3631" s="2"/>
      <c r="F3631" s="2">
        <v>167</v>
      </c>
      <c r="G3631" s="2" t="s">
        <v>11567</v>
      </c>
      <c r="H3631" s="2">
        <v>22</v>
      </c>
      <c r="I3631" s="2" t="s">
        <v>75</v>
      </c>
      <c r="J3631" s="2">
        <v>656</v>
      </c>
      <c r="K3631" s="2" t="s">
        <v>11603</v>
      </c>
      <c r="L3631" s="2" t="s">
        <v>4885</v>
      </c>
      <c r="M3631" s="3">
        <v>40424</v>
      </c>
      <c r="N3631" s="2" t="s">
        <v>11604</v>
      </c>
      <c r="O3631" s="2"/>
      <c r="P3631" s="2"/>
      <c r="Q3631" s="2" t="str">
        <f>"346-A/10"</f>
        <v>346-A/10</v>
      </c>
      <c r="R3631" s="2" t="s">
        <v>11605</v>
      </c>
      <c r="S3631" s="2" t="s">
        <v>11605</v>
      </c>
      <c r="T3631" s="2">
        <v>1</v>
      </c>
      <c r="U3631" s="2" t="s">
        <v>79</v>
      </c>
      <c r="V3631" s="2">
        <v>1</v>
      </c>
      <c r="W3631" s="2" t="s">
        <v>80</v>
      </c>
      <c r="X3631" s="2">
        <v>12</v>
      </c>
      <c r="Y3631" s="2" t="s">
        <v>148</v>
      </c>
      <c r="Z3631" s="2">
        <v>1</v>
      </c>
      <c r="AA3631" s="2" t="s">
        <v>82</v>
      </c>
      <c r="AB3631" s="2">
        <v>6</v>
      </c>
      <c r="AC3631" s="2" t="s">
        <v>83</v>
      </c>
      <c r="AD3631" s="3">
        <v>40424</v>
      </c>
      <c r="AE3631" s="4">
        <v>0.4861111111111111</v>
      </c>
      <c r="AF3631" s="3">
        <v>40424</v>
      </c>
      <c r="AG3631" s="4">
        <v>0.51041666666666663</v>
      </c>
      <c r="AH3631" s="2">
        <v>2</v>
      </c>
      <c r="AI3631" s="2" t="s">
        <v>84</v>
      </c>
      <c r="AJ3631" s="2">
        <v>12</v>
      </c>
      <c r="AK3631" s="2" t="s">
        <v>85</v>
      </c>
      <c r="AL3631" s="2">
        <v>2</v>
      </c>
      <c r="AM3631" s="2" t="s">
        <v>163</v>
      </c>
      <c r="AN3631" s="2" t="s">
        <v>11606</v>
      </c>
      <c r="AO3631" s="2"/>
      <c r="AP3631" s="2">
        <v>11</v>
      </c>
      <c r="AQ3631" s="2" t="s">
        <v>82</v>
      </c>
      <c r="AR3631" s="2"/>
      <c r="AS3631" s="2"/>
      <c r="AT3631" s="2" t="s">
        <v>11607</v>
      </c>
      <c r="AU3631" s="2"/>
      <c r="AV3631" s="2"/>
      <c r="AW3631" s="2"/>
      <c r="AX3631" s="2"/>
      <c r="AY3631" s="2">
        <v>41</v>
      </c>
      <c r="AZ3631" s="2" t="s">
        <v>82</v>
      </c>
      <c r="BA3631" s="2">
        <v>41</v>
      </c>
      <c r="BB3631" s="2" t="s">
        <v>82</v>
      </c>
      <c r="BC3631" s="2">
        <v>41</v>
      </c>
      <c r="BD3631" s="2" t="s">
        <v>82</v>
      </c>
      <c r="BE3631" s="2">
        <v>13</v>
      </c>
      <c r="BF3631" s="2" t="s">
        <v>108</v>
      </c>
      <c r="BG3631" s="2" t="s">
        <v>11608</v>
      </c>
      <c r="BH3631" s="4">
        <v>0.4861111111111111</v>
      </c>
      <c r="BI3631" s="2"/>
      <c r="BJ3631" s="2">
        <v>13</v>
      </c>
      <c r="BK3631" s="2" t="s">
        <v>91</v>
      </c>
      <c r="BL3631" s="2" t="s">
        <v>3325</v>
      </c>
      <c r="BM3631" s="2">
        <v>241</v>
      </c>
      <c r="BN3631" s="2" t="s">
        <v>82</v>
      </c>
      <c r="BO3631" s="2"/>
      <c r="BP3631" s="2">
        <v>13</v>
      </c>
      <c r="BQ3631" s="2" t="s">
        <v>91</v>
      </c>
      <c r="BR3631" s="2" t="s">
        <v>564</v>
      </c>
      <c r="BS3631" s="3">
        <v>40424</v>
      </c>
      <c r="BT3631" s="4">
        <v>0.72116898148148145</v>
      </c>
    </row>
    <row r="3632" spans="1:72" x14ac:dyDescent="0.25">
      <c r="A3632" s="2">
        <v>5359</v>
      </c>
      <c r="B3632" s="2">
        <v>2010</v>
      </c>
      <c r="C3632" s="2" t="s">
        <v>196</v>
      </c>
      <c r="D3632" s="2" t="s">
        <v>122</v>
      </c>
      <c r="E3632" s="2"/>
      <c r="F3632" s="2">
        <v>1</v>
      </c>
      <c r="G3632" s="2" t="s">
        <v>82</v>
      </c>
      <c r="H3632" s="2">
        <v>1</v>
      </c>
      <c r="I3632" s="2" t="s">
        <v>82</v>
      </c>
      <c r="J3632" s="2">
        <v>1</v>
      </c>
      <c r="K3632" s="2" t="s">
        <v>107</v>
      </c>
      <c r="L3632" s="2" t="s">
        <v>107</v>
      </c>
      <c r="M3632" s="3">
        <v>40424</v>
      </c>
      <c r="N3632" s="2"/>
      <c r="O3632" s="2"/>
      <c r="P3632" s="2"/>
      <c r="Q3632" s="2" t="str">
        <f>""</f>
        <v/>
      </c>
      <c r="R3632" s="2"/>
      <c r="S3632" s="2"/>
      <c r="T3632" s="2">
        <v>2</v>
      </c>
      <c r="U3632" s="2" t="s">
        <v>123</v>
      </c>
      <c r="V3632" s="2">
        <v>1</v>
      </c>
      <c r="W3632" s="2" t="s">
        <v>80</v>
      </c>
      <c r="X3632" s="2">
        <v>5</v>
      </c>
      <c r="Y3632" s="2" t="s">
        <v>82</v>
      </c>
      <c r="Z3632" s="2">
        <v>1</v>
      </c>
      <c r="AA3632" s="2" t="s">
        <v>82</v>
      </c>
      <c r="AB3632" s="2">
        <v>9</v>
      </c>
      <c r="AC3632" s="2" t="s">
        <v>124</v>
      </c>
      <c r="AD3632" s="2"/>
      <c r="AE3632" s="4">
        <v>0.72222222222222221</v>
      </c>
      <c r="AF3632" s="3">
        <v>40424</v>
      </c>
      <c r="AG3632" s="2"/>
      <c r="AH3632" s="2">
        <v>6</v>
      </c>
      <c r="AI3632" s="2" t="s">
        <v>197</v>
      </c>
      <c r="AJ3632" s="2">
        <v>58</v>
      </c>
      <c r="AK3632" s="2" t="s">
        <v>406</v>
      </c>
      <c r="AL3632" s="2">
        <v>18</v>
      </c>
      <c r="AM3632" s="2" t="s">
        <v>82</v>
      </c>
      <c r="AN3632" s="2" t="s">
        <v>10718</v>
      </c>
      <c r="AO3632" s="2" t="s">
        <v>259</v>
      </c>
      <c r="AP3632" s="2">
        <v>11</v>
      </c>
      <c r="AQ3632" s="2" t="s">
        <v>82</v>
      </c>
      <c r="AR3632" s="2"/>
      <c r="AS3632" s="2"/>
      <c r="AT3632" s="2" t="s">
        <v>11609</v>
      </c>
      <c r="AU3632" s="2"/>
      <c r="AV3632" s="2"/>
      <c r="AW3632" s="2"/>
      <c r="AX3632" s="2"/>
      <c r="AY3632" s="2">
        <v>1</v>
      </c>
      <c r="AZ3632" s="2" t="s">
        <v>107</v>
      </c>
      <c r="BA3632" s="2">
        <v>1</v>
      </c>
      <c r="BB3632" s="2" t="s">
        <v>107</v>
      </c>
      <c r="BC3632" s="2">
        <v>1</v>
      </c>
      <c r="BD3632" s="2" t="s">
        <v>107</v>
      </c>
      <c r="BE3632" s="2">
        <v>1</v>
      </c>
      <c r="BF3632" s="2" t="s">
        <v>107</v>
      </c>
      <c r="BG3632" s="2"/>
      <c r="BH3632" s="4">
        <v>0.70138888888888884</v>
      </c>
      <c r="BI3632" s="2"/>
      <c r="BJ3632" s="2">
        <v>242</v>
      </c>
      <c r="BK3632" s="2" t="s">
        <v>107</v>
      </c>
      <c r="BL3632" s="2"/>
      <c r="BM3632" s="2">
        <v>242</v>
      </c>
      <c r="BN3632" s="2" t="s">
        <v>107</v>
      </c>
      <c r="BO3632" s="2"/>
      <c r="BP3632" s="2">
        <v>242</v>
      </c>
      <c r="BQ3632" s="2" t="s">
        <v>107</v>
      </c>
      <c r="BR3632" s="2"/>
      <c r="BS3632" s="3">
        <v>40424</v>
      </c>
      <c r="BT3632" s="4">
        <v>0.76642361111111112</v>
      </c>
    </row>
    <row r="3633" spans="1:72" x14ac:dyDescent="0.25">
      <c r="A3633" s="2">
        <v>5360</v>
      </c>
      <c r="B3633" s="2">
        <v>2010</v>
      </c>
      <c r="C3633" s="2" t="s">
        <v>171</v>
      </c>
      <c r="D3633" s="2" t="s">
        <v>73</v>
      </c>
      <c r="E3633" s="2" t="s">
        <v>11610</v>
      </c>
      <c r="F3633" s="2">
        <v>451</v>
      </c>
      <c r="G3633" s="2" t="s">
        <v>879</v>
      </c>
      <c r="H3633" s="2">
        <v>31</v>
      </c>
      <c r="I3633" s="2" t="s">
        <v>880</v>
      </c>
      <c r="J3633" s="2">
        <v>326</v>
      </c>
      <c r="K3633" s="2" t="s">
        <v>881</v>
      </c>
      <c r="L3633" s="2" t="s">
        <v>882</v>
      </c>
      <c r="M3633" s="3">
        <v>40424</v>
      </c>
      <c r="N3633" s="2" t="s">
        <v>1072</v>
      </c>
      <c r="O3633" s="2" t="s">
        <v>11611</v>
      </c>
      <c r="P3633" s="2" t="s">
        <v>11612</v>
      </c>
      <c r="Q3633" s="2" t="str">
        <f>"087/10"</f>
        <v>087/10</v>
      </c>
      <c r="R3633" s="2"/>
      <c r="S3633" s="2" t="s">
        <v>822</v>
      </c>
      <c r="T3633" s="2">
        <v>1</v>
      </c>
      <c r="U3633" s="2" t="s">
        <v>79</v>
      </c>
      <c r="V3633" s="2">
        <v>1</v>
      </c>
      <c r="W3633" s="2" t="s">
        <v>80</v>
      </c>
      <c r="X3633" s="2">
        <v>1</v>
      </c>
      <c r="Y3633" s="2" t="s">
        <v>81</v>
      </c>
      <c r="Z3633" s="2">
        <v>1</v>
      </c>
      <c r="AA3633" s="2" t="s">
        <v>82</v>
      </c>
      <c r="AB3633" s="2">
        <v>1</v>
      </c>
      <c r="AC3633" s="2" t="s">
        <v>178</v>
      </c>
      <c r="AD3633" s="3">
        <v>40424</v>
      </c>
      <c r="AE3633" s="4">
        <v>0.72916666666666663</v>
      </c>
      <c r="AF3633" s="2"/>
      <c r="AG3633" s="2"/>
      <c r="AH3633" s="2">
        <v>4</v>
      </c>
      <c r="AI3633" s="2" t="s">
        <v>125</v>
      </c>
      <c r="AJ3633" s="2">
        <v>29</v>
      </c>
      <c r="AK3633" s="2" t="s">
        <v>227</v>
      </c>
      <c r="AL3633" s="2">
        <v>16</v>
      </c>
      <c r="AM3633" s="2" t="s">
        <v>392</v>
      </c>
      <c r="AN3633" s="2" t="s">
        <v>6877</v>
      </c>
      <c r="AO3633" s="2"/>
      <c r="AP3633" s="2">
        <v>12</v>
      </c>
      <c r="AQ3633" s="2" t="s">
        <v>322</v>
      </c>
      <c r="AR3633" s="2" t="s">
        <v>824</v>
      </c>
      <c r="AS3633" s="2" t="s">
        <v>825</v>
      </c>
      <c r="AT3633" s="2" t="s">
        <v>11613</v>
      </c>
      <c r="AU3633" s="2"/>
      <c r="AV3633" s="2"/>
      <c r="AW3633" s="2"/>
      <c r="AX3633" s="2"/>
      <c r="AY3633" s="2">
        <v>41</v>
      </c>
      <c r="AZ3633" s="2" t="s">
        <v>82</v>
      </c>
      <c r="BA3633" s="2">
        <v>41</v>
      </c>
      <c r="BB3633" s="2" t="s">
        <v>82</v>
      </c>
      <c r="BC3633" s="2">
        <v>51</v>
      </c>
      <c r="BD3633" s="2" t="s">
        <v>827</v>
      </c>
      <c r="BE3633" s="2">
        <v>13</v>
      </c>
      <c r="BF3633" s="2" t="s">
        <v>108</v>
      </c>
      <c r="BG3633" s="2">
        <v>1459</v>
      </c>
      <c r="BH3633" s="4">
        <v>0.92708333333333337</v>
      </c>
      <c r="BI3633" s="4">
        <v>0.94791666666666663</v>
      </c>
      <c r="BJ3633" s="2">
        <v>13</v>
      </c>
      <c r="BK3633" s="2" t="s">
        <v>91</v>
      </c>
      <c r="BL3633" s="2" t="s">
        <v>828</v>
      </c>
      <c r="BM3633" s="2">
        <v>241</v>
      </c>
      <c r="BN3633" s="2" t="s">
        <v>82</v>
      </c>
      <c r="BO3633" s="2"/>
      <c r="BP3633" s="2">
        <v>13</v>
      </c>
      <c r="BQ3633" s="2" t="s">
        <v>91</v>
      </c>
      <c r="BR3633" s="2" t="s">
        <v>185</v>
      </c>
      <c r="BS3633" s="3">
        <v>40424</v>
      </c>
      <c r="BT3633" s="4">
        <v>0.7689583333333333</v>
      </c>
    </row>
    <row r="3634" spans="1:72" x14ac:dyDescent="0.25">
      <c r="A3634" s="2">
        <v>5362</v>
      </c>
      <c r="B3634" s="2">
        <v>2010</v>
      </c>
      <c r="C3634" s="2" t="s">
        <v>1094</v>
      </c>
      <c r="D3634" s="2" t="s">
        <v>73</v>
      </c>
      <c r="E3634" s="2"/>
      <c r="F3634" s="2">
        <v>535</v>
      </c>
      <c r="G3634" s="2" t="s">
        <v>9438</v>
      </c>
      <c r="H3634" s="2">
        <v>3</v>
      </c>
      <c r="I3634" s="2" t="s">
        <v>315</v>
      </c>
      <c r="J3634" s="2">
        <v>1</v>
      </c>
      <c r="K3634" s="2" t="s">
        <v>107</v>
      </c>
      <c r="L3634" s="2" t="s">
        <v>107</v>
      </c>
      <c r="M3634" s="3">
        <v>40424</v>
      </c>
      <c r="N3634" s="2" t="s">
        <v>3716</v>
      </c>
      <c r="O3634" s="2" t="s">
        <v>11614</v>
      </c>
      <c r="P3634" s="2" t="s">
        <v>2907</v>
      </c>
      <c r="Q3634" s="2" t="str">
        <f>"104"</f>
        <v>104</v>
      </c>
      <c r="R3634" s="2"/>
      <c r="S3634" s="2" t="s">
        <v>11615</v>
      </c>
      <c r="T3634" s="2">
        <v>1</v>
      </c>
      <c r="U3634" s="2" t="s">
        <v>79</v>
      </c>
      <c r="V3634" s="2">
        <v>3</v>
      </c>
      <c r="W3634" s="2" t="s">
        <v>225</v>
      </c>
      <c r="X3634" s="2">
        <v>6</v>
      </c>
      <c r="Y3634" s="2" t="s">
        <v>249</v>
      </c>
      <c r="Z3634" s="2">
        <v>1</v>
      </c>
      <c r="AA3634" s="2" t="s">
        <v>82</v>
      </c>
      <c r="AB3634" s="2">
        <v>9</v>
      </c>
      <c r="AC3634" s="2" t="s">
        <v>124</v>
      </c>
      <c r="AD3634" s="3">
        <v>40424</v>
      </c>
      <c r="AE3634" s="2"/>
      <c r="AF3634" s="2"/>
      <c r="AG3634" s="2"/>
      <c r="AH3634" s="2">
        <v>4</v>
      </c>
      <c r="AI3634" s="2" t="s">
        <v>125</v>
      </c>
      <c r="AJ3634" s="2">
        <v>26</v>
      </c>
      <c r="AK3634" s="2" t="s">
        <v>293</v>
      </c>
      <c r="AL3634" s="2">
        <v>23</v>
      </c>
      <c r="AM3634" s="2" t="s">
        <v>251</v>
      </c>
      <c r="AN3634" s="2" t="s">
        <v>11616</v>
      </c>
      <c r="AO3634" s="2" t="s">
        <v>11465</v>
      </c>
      <c r="AP3634" s="2">
        <v>11</v>
      </c>
      <c r="AQ3634" s="2" t="s">
        <v>82</v>
      </c>
      <c r="AR3634" s="2"/>
      <c r="AS3634" s="2"/>
      <c r="AT3634" s="2" t="s">
        <v>11617</v>
      </c>
      <c r="AU3634" s="2"/>
      <c r="AV3634" s="2"/>
      <c r="AW3634" s="2"/>
      <c r="AX3634" s="2"/>
      <c r="AY3634" s="2">
        <v>1</v>
      </c>
      <c r="AZ3634" s="2" t="s">
        <v>107</v>
      </c>
      <c r="BA3634" s="2">
        <v>1</v>
      </c>
      <c r="BB3634" s="2" t="s">
        <v>107</v>
      </c>
      <c r="BC3634" s="2">
        <v>1</v>
      </c>
      <c r="BD3634" s="2" t="s">
        <v>107</v>
      </c>
      <c r="BE3634" s="2">
        <v>1</v>
      </c>
      <c r="BF3634" s="2" t="s">
        <v>107</v>
      </c>
      <c r="BG3634" s="2"/>
      <c r="BH3634" s="2"/>
      <c r="BI3634" s="2"/>
      <c r="BJ3634" s="2">
        <v>242</v>
      </c>
      <c r="BK3634" s="2" t="s">
        <v>107</v>
      </c>
      <c r="BL3634" s="2"/>
      <c r="BM3634" s="2">
        <v>242</v>
      </c>
      <c r="BN3634" s="2" t="s">
        <v>107</v>
      </c>
      <c r="BO3634" s="2"/>
      <c r="BP3634" s="2">
        <v>242</v>
      </c>
      <c r="BQ3634" s="2" t="s">
        <v>107</v>
      </c>
      <c r="BR3634" s="2"/>
      <c r="BS3634" s="3">
        <v>40424</v>
      </c>
      <c r="BT3634" s="4">
        <v>0.8639930555555555</v>
      </c>
    </row>
    <row r="3635" spans="1:72" x14ac:dyDescent="0.25">
      <c r="A3635" s="2">
        <v>5363</v>
      </c>
      <c r="B3635" s="2">
        <v>2010</v>
      </c>
      <c r="C3635" s="2" t="s">
        <v>171</v>
      </c>
      <c r="D3635" s="2" t="s">
        <v>73</v>
      </c>
      <c r="E3635" s="2"/>
      <c r="F3635" s="2">
        <v>394</v>
      </c>
      <c r="G3635" s="2" t="s">
        <v>172</v>
      </c>
      <c r="H3635" s="2">
        <v>4</v>
      </c>
      <c r="I3635" s="2" t="s">
        <v>173</v>
      </c>
      <c r="J3635" s="2">
        <v>241</v>
      </c>
      <c r="K3635" s="2" t="s">
        <v>174</v>
      </c>
      <c r="L3635" s="2" t="s">
        <v>175</v>
      </c>
      <c r="M3635" s="3">
        <v>40424</v>
      </c>
      <c r="N3635" s="2" t="s">
        <v>176</v>
      </c>
      <c r="O3635" s="2"/>
      <c r="P3635" s="2"/>
      <c r="Q3635" s="2" t="str">
        <f>"447-E/10"</f>
        <v>447-E/10</v>
      </c>
      <c r="R3635" s="2" t="s">
        <v>391</v>
      </c>
      <c r="S3635" s="2" t="s">
        <v>391</v>
      </c>
      <c r="T3635" s="2">
        <v>1</v>
      </c>
      <c r="U3635" s="2" t="s">
        <v>79</v>
      </c>
      <c r="V3635" s="2">
        <v>1</v>
      </c>
      <c r="W3635" s="2" t="s">
        <v>80</v>
      </c>
      <c r="X3635" s="2">
        <v>1</v>
      </c>
      <c r="Y3635" s="2" t="s">
        <v>81</v>
      </c>
      <c r="Z3635" s="2">
        <v>1</v>
      </c>
      <c r="AA3635" s="2" t="s">
        <v>82</v>
      </c>
      <c r="AB3635" s="2">
        <v>1</v>
      </c>
      <c r="AC3635" s="2" t="s">
        <v>178</v>
      </c>
      <c r="AD3635" s="3">
        <v>40424</v>
      </c>
      <c r="AE3635" s="4">
        <v>0.70833333333333337</v>
      </c>
      <c r="AF3635" s="2"/>
      <c r="AG3635" s="2"/>
      <c r="AH3635" s="2">
        <v>2</v>
      </c>
      <c r="AI3635" s="2" t="s">
        <v>84</v>
      </c>
      <c r="AJ3635" s="2">
        <v>9</v>
      </c>
      <c r="AK3635" s="2" t="s">
        <v>103</v>
      </c>
      <c r="AL3635" s="2">
        <v>11</v>
      </c>
      <c r="AM3635" s="2" t="s">
        <v>137</v>
      </c>
      <c r="AN3635" s="2" t="s">
        <v>1340</v>
      </c>
      <c r="AO3635" s="2" t="s">
        <v>987</v>
      </c>
      <c r="AP3635" s="2">
        <v>11</v>
      </c>
      <c r="AQ3635" s="2" t="s">
        <v>82</v>
      </c>
      <c r="AR3635" s="2"/>
      <c r="AS3635" s="2"/>
      <c r="AT3635" s="2" t="s">
        <v>11618</v>
      </c>
      <c r="AU3635" s="2"/>
      <c r="AV3635" s="2">
        <v>1</v>
      </c>
      <c r="AW3635" s="2"/>
      <c r="AX3635" s="2"/>
      <c r="AY3635" s="2">
        <v>41</v>
      </c>
      <c r="AZ3635" s="2" t="s">
        <v>82</v>
      </c>
      <c r="BA3635" s="2">
        <v>41</v>
      </c>
      <c r="BB3635" s="2" t="s">
        <v>82</v>
      </c>
      <c r="BC3635" s="2">
        <v>41</v>
      </c>
      <c r="BD3635" s="2" t="s">
        <v>82</v>
      </c>
      <c r="BE3635" s="2">
        <v>33</v>
      </c>
      <c r="BF3635" s="2" t="s">
        <v>1083</v>
      </c>
      <c r="BG3635" s="2" t="s">
        <v>9308</v>
      </c>
      <c r="BH3635" s="2"/>
      <c r="BI3635" s="2"/>
      <c r="BJ3635" s="2">
        <v>13</v>
      </c>
      <c r="BK3635" s="2" t="s">
        <v>91</v>
      </c>
      <c r="BL3635" s="2" t="s">
        <v>360</v>
      </c>
      <c r="BM3635" s="2">
        <v>205</v>
      </c>
      <c r="BN3635" s="2" t="s">
        <v>1085</v>
      </c>
      <c r="BO3635" s="2" t="s">
        <v>11619</v>
      </c>
      <c r="BP3635" s="2">
        <v>121</v>
      </c>
      <c r="BQ3635" s="2" t="s">
        <v>11620</v>
      </c>
      <c r="BR3635" s="2" t="s">
        <v>11621</v>
      </c>
      <c r="BS3635" s="3">
        <v>40424</v>
      </c>
      <c r="BT3635" s="4">
        <v>0.89288194444444446</v>
      </c>
    </row>
    <row r="3636" spans="1:72" x14ac:dyDescent="0.25">
      <c r="A3636" s="2">
        <v>5366</v>
      </c>
      <c r="B3636" s="2">
        <v>2010</v>
      </c>
      <c r="C3636" s="2" t="s">
        <v>171</v>
      </c>
      <c r="D3636" s="2" t="s">
        <v>73</v>
      </c>
      <c r="E3636" s="2"/>
      <c r="F3636" s="2">
        <v>100</v>
      </c>
      <c r="G3636" s="2" t="s">
        <v>517</v>
      </c>
      <c r="H3636" s="2">
        <v>108</v>
      </c>
      <c r="I3636" s="2" t="s">
        <v>1096</v>
      </c>
      <c r="J3636" s="2">
        <v>119</v>
      </c>
      <c r="K3636" s="2" t="s">
        <v>325</v>
      </c>
      <c r="L3636" s="2" t="s">
        <v>326</v>
      </c>
      <c r="M3636" s="3">
        <v>40425</v>
      </c>
      <c r="N3636" s="2" t="s">
        <v>11622</v>
      </c>
      <c r="O3636" s="2"/>
      <c r="P3636" s="2"/>
      <c r="Q3636" s="2" t="str">
        <f>"0038/2010"</f>
        <v>0038/2010</v>
      </c>
      <c r="R3636" s="2"/>
      <c r="S3636" s="2" t="s">
        <v>10702</v>
      </c>
      <c r="T3636" s="2">
        <v>1</v>
      </c>
      <c r="U3636" s="2" t="s">
        <v>79</v>
      </c>
      <c r="V3636" s="2">
        <v>1</v>
      </c>
      <c r="W3636" s="2" t="s">
        <v>80</v>
      </c>
      <c r="X3636" s="2">
        <v>1</v>
      </c>
      <c r="Y3636" s="2" t="s">
        <v>81</v>
      </c>
      <c r="Z3636" s="2">
        <v>1</v>
      </c>
      <c r="AA3636" s="2" t="s">
        <v>82</v>
      </c>
      <c r="AB3636" s="2">
        <v>1</v>
      </c>
      <c r="AC3636" s="2" t="s">
        <v>178</v>
      </c>
      <c r="AD3636" s="3">
        <v>40424</v>
      </c>
      <c r="AE3636" s="4">
        <v>0.91666666666666663</v>
      </c>
      <c r="AF3636" s="2"/>
      <c r="AG3636" s="2"/>
      <c r="AH3636" s="2">
        <v>6</v>
      </c>
      <c r="AI3636" s="2" t="s">
        <v>197</v>
      </c>
      <c r="AJ3636" s="2">
        <v>50</v>
      </c>
      <c r="AK3636" s="2" t="s">
        <v>330</v>
      </c>
      <c r="AL3636" s="2">
        <v>11</v>
      </c>
      <c r="AM3636" s="2" t="s">
        <v>137</v>
      </c>
      <c r="AN3636" s="2" t="s">
        <v>416</v>
      </c>
      <c r="AO3636" s="2" t="s">
        <v>6881</v>
      </c>
      <c r="AP3636" s="2">
        <v>11</v>
      </c>
      <c r="AQ3636" s="2" t="s">
        <v>82</v>
      </c>
      <c r="AR3636" s="2" t="s">
        <v>82</v>
      </c>
      <c r="AS3636" s="2" t="s">
        <v>82</v>
      </c>
      <c r="AT3636" s="2" t="s">
        <v>11623</v>
      </c>
      <c r="AU3636" s="2"/>
      <c r="AV3636" s="2"/>
      <c r="AW3636" s="2"/>
      <c r="AX3636" s="2"/>
      <c r="AY3636" s="2">
        <v>41</v>
      </c>
      <c r="AZ3636" s="2" t="s">
        <v>82</v>
      </c>
      <c r="BA3636" s="2">
        <v>41</v>
      </c>
      <c r="BB3636" s="2" t="s">
        <v>82</v>
      </c>
      <c r="BC3636" s="2">
        <v>41</v>
      </c>
      <c r="BD3636" s="2" t="s">
        <v>82</v>
      </c>
      <c r="BE3636" s="2">
        <v>13</v>
      </c>
      <c r="BF3636" s="2" t="s">
        <v>108</v>
      </c>
      <c r="BG3636" s="2">
        <v>1695</v>
      </c>
      <c r="BH3636" s="2"/>
      <c r="BI3636" s="4">
        <v>0.92708333333333337</v>
      </c>
      <c r="BJ3636" s="2">
        <v>13</v>
      </c>
      <c r="BK3636" s="2" t="s">
        <v>91</v>
      </c>
      <c r="BL3636" s="2" t="s">
        <v>1199</v>
      </c>
      <c r="BM3636" s="2">
        <v>241</v>
      </c>
      <c r="BN3636" s="2" t="s">
        <v>82</v>
      </c>
      <c r="BO3636" s="2" t="s">
        <v>82</v>
      </c>
      <c r="BP3636" s="2">
        <v>13</v>
      </c>
      <c r="BQ3636" s="2" t="s">
        <v>91</v>
      </c>
      <c r="BR3636" s="2" t="s">
        <v>170</v>
      </c>
      <c r="BS3636" s="3">
        <v>40425</v>
      </c>
      <c r="BT3636" s="4">
        <v>2.6064814814814815E-2</v>
      </c>
    </row>
    <row r="3637" spans="1:72" x14ac:dyDescent="0.25">
      <c r="A3637" s="2">
        <v>5367</v>
      </c>
      <c r="B3637" s="2">
        <v>2010</v>
      </c>
      <c r="C3637" s="2" t="s">
        <v>72</v>
      </c>
      <c r="D3637" s="2" t="s">
        <v>73</v>
      </c>
      <c r="E3637" s="2"/>
      <c r="F3637" s="2">
        <v>167</v>
      </c>
      <c r="G3637" s="2" t="s">
        <v>11567</v>
      </c>
      <c r="H3637" s="2">
        <v>22</v>
      </c>
      <c r="I3637" s="2" t="s">
        <v>75</v>
      </c>
      <c r="J3637" s="2">
        <v>656</v>
      </c>
      <c r="K3637" s="2" t="s">
        <v>11603</v>
      </c>
      <c r="L3637" s="2" t="s">
        <v>4885</v>
      </c>
      <c r="M3637" s="3">
        <v>40425</v>
      </c>
      <c r="N3637" s="2" t="s">
        <v>11604</v>
      </c>
      <c r="O3637" s="2" t="s">
        <v>82</v>
      </c>
      <c r="P3637" s="2" t="s">
        <v>82</v>
      </c>
      <c r="Q3637" s="2" t="str">
        <f>"347-A/10"</f>
        <v>347-A/10</v>
      </c>
      <c r="R3637" s="2" t="s">
        <v>11624</v>
      </c>
      <c r="S3637" s="2" t="s">
        <v>11624</v>
      </c>
      <c r="T3637" s="2">
        <v>1</v>
      </c>
      <c r="U3637" s="2" t="s">
        <v>79</v>
      </c>
      <c r="V3637" s="2">
        <v>1</v>
      </c>
      <c r="W3637" s="2" t="s">
        <v>80</v>
      </c>
      <c r="X3637" s="2">
        <v>12</v>
      </c>
      <c r="Y3637" s="2" t="s">
        <v>148</v>
      </c>
      <c r="Z3637" s="2">
        <v>1</v>
      </c>
      <c r="AA3637" s="2" t="s">
        <v>82</v>
      </c>
      <c r="AB3637" s="2">
        <v>6</v>
      </c>
      <c r="AC3637" s="2" t="s">
        <v>83</v>
      </c>
      <c r="AD3637" s="3">
        <v>40424</v>
      </c>
      <c r="AE3637" s="2"/>
      <c r="AF3637" s="3">
        <v>40424</v>
      </c>
      <c r="AG3637" s="4">
        <v>0.9375</v>
      </c>
      <c r="AH3637" s="2">
        <v>2</v>
      </c>
      <c r="AI3637" s="2" t="s">
        <v>84</v>
      </c>
      <c r="AJ3637" s="2">
        <v>12</v>
      </c>
      <c r="AK3637" s="2" t="s">
        <v>85</v>
      </c>
      <c r="AL3637" s="2">
        <v>2</v>
      </c>
      <c r="AM3637" s="2" t="s">
        <v>163</v>
      </c>
      <c r="AN3637" s="2" t="s">
        <v>107</v>
      </c>
      <c r="AO3637" s="2" t="s">
        <v>11625</v>
      </c>
      <c r="AP3637" s="2">
        <v>11</v>
      </c>
      <c r="AQ3637" s="2" t="s">
        <v>82</v>
      </c>
      <c r="AR3637" s="2"/>
      <c r="AS3637" s="2"/>
      <c r="AT3637" s="2" t="s">
        <v>11626</v>
      </c>
      <c r="AU3637" s="2"/>
      <c r="AV3637" s="2"/>
      <c r="AW3637" s="2"/>
      <c r="AX3637" s="2"/>
      <c r="AY3637" s="2">
        <v>41</v>
      </c>
      <c r="AZ3637" s="2" t="s">
        <v>82</v>
      </c>
      <c r="BA3637" s="2">
        <v>41</v>
      </c>
      <c r="BB3637" s="2" t="s">
        <v>82</v>
      </c>
      <c r="BC3637" s="2">
        <v>41</v>
      </c>
      <c r="BD3637" s="2" t="s">
        <v>82</v>
      </c>
      <c r="BE3637" s="2">
        <v>10</v>
      </c>
      <c r="BF3637" s="2" t="s">
        <v>901</v>
      </c>
      <c r="BG3637" s="2" t="s">
        <v>11627</v>
      </c>
      <c r="BH3637" s="4">
        <v>0.875</v>
      </c>
      <c r="BI3637" s="4">
        <v>0.84375</v>
      </c>
      <c r="BJ3637" s="2">
        <v>46</v>
      </c>
      <c r="BK3637" s="2" t="s">
        <v>307</v>
      </c>
      <c r="BL3637" s="2" t="s">
        <v>308</v>
      </c>
      <c r="BM3637" s="2">
        <v>229</v>
      </c>
      <c r="BN3637" s="2" t="s">
        <v>300</v>
      </c>
      <c r="BO3637" s="2" t="s">
        <v>573</v>
      </c>
      <c r="BP3637" s="2">
        <v>13</v>
      </c>
      <c r="BQ3637" s="2" t="s">
        <v>91</v>
      </c>
      <c r="BR3637" s="2" t="s">
        <v>564</v>
      </c>
      <c r="BS3637" s="3">
        <v>40425</v>
      </c>
      <c r="BT3637" s="4">
        <v>0.14756944444444445</v>
      </c>
    </row>
    <row r="3638" spans="1:72" x14ac:dyDescent="0.25">
      <c r="A3638" s="2">
        <v>5368</v>
      </c>
      <c r="B3638" s="2">
        <v>2010</v>
      </c>
      <c r="C3638" s="2" t="s">
        <v>377</v>
      </c>
      <c r="D3638" s="2" t="s">
        <v>73</v>
      </c>
      <c r="E3638" s="2"/>
      <c r="F3638" s="2">
        <v>426</v>
      </c>
      <c r="G3638" s="2" t="s">
        <v>378</v>
      </c>
      <c r="H3638" s="2">
        <v>108</v>
      </c>
      <c r="I3638" s="2" t="s">
        <v>1096</v>
      </c>
      <c r="J3638" s="2">
        <v>311</v>
      </c>
      <c r="K3638" s="2" t="s">
        <v>379</v>
      </c>
      <c r="L3638" s="2" t="s">
        <v>380</v>
      </c>
      <c r="M3638" s="3">
        <v>40425</v>
      </c>
      <c r="N3638" s="2" t="s">
        <v>5164</v>
      </c>
      <c r="O3638" s="2"/>
      <c r="P3638" s="2"/>
      <c r="Q3638" s="2" t="str">
        <f>"235-C/10"</f>
        <v>235-C/10</v>
      </c>
      <c r="R3638" s="2" t="s">
        <v>3458</v>
      </c>
      <c r="S3638" s="2"/>
      <c r="T3638" s="2">
        <v>1</v>
      </c>
      <c r="U3638" s="2" t="s">
        <v>79</v>
      </c>
      <c r="V3638" s="2">
        <v>1</v>
      </c>
      <c r="W3638" s="2" t="s">
        <v>80</v>
      </c>
      <c r="X3638" s="2">
        <v>1</v>
      </c>
      <c r="Y3638" s="2" t="s">
        <v>81</v>
      </c>
      <c r="Z3638" s="2">
        <v>1</v>
      </c>
      <c r="AA3638" s="2" t="s">
        <v>82</v>
      </c>
      <c r="AB3638" s="2">
        <v>9</v>
      </c>
      <c r="AC3638" s="2" t="s">
        <v>124</v>
      </c>
      <c r="AD3638" s="3">
        <v>40424</v>
      </c>
      <c r="AE3638" s="4">
        <v>0.84375</v>
      </c>
      <c r="AF3638" s="2"/>
      <c r="AG3638" s="2"/>
      <c r="AH3638" s="2">
        <v>2</v>
      </c>
      <c r="AI3638" s="2" t="s">
        <v>84</v>
      </c>
      <c r="AJ3638" s="2">
        <v>9</v>
      </c>
      <c r="AK3638" s="2" t="s">
        <v>103</v>
      </c>
      <c r="AL3638" s="2">
        <v>29</v>
      </c>
      <c r="AM3638" s="2" t="s">
        <v>5416</v>
      </c>
      <c r="AN3638" s="2" t="s">
        <v>11628</v>
      </c>
      <c r="AO3638" s="2" t="s">
        <v>1936</v>
      </c>
      <c r="AP3638" s="2">
        <v>11</v>
      </c>
      <c r="AQ3638" s="2" t="s">
        <v>82</v>
      </c>
      <c r="AR3638" s="2"/>
      <c r="AS3638" s="2"/>
      <c r="AT3638" s="2" t="s">
        <v>11629</v>
      </c>
      <c r="AU3638" s="2"/>
      <c r="AV3638" s="2"/>
      <c r="AW3638" s="2"/>
      <c r="AX3638" s="2"/>
      <c r="AY3638" s="2">
        <v>41</v>
      </c>
      <c r="AZ3638" s="2" t="s">
        <v>82</v>
      </c>
      <c r="BA3638" s="2">
        <v>41</v>
      </c>
      <c r="BB3638" s="2" t="s">
        <v>82</v>
      </c>
      <c r="BC3638" s="2">
        <v>41</v>
      </c>
      <c r="BD3638" s="2" t="s">
        <v>82</v>
      </c>
      <c r="BE3638" s="2">
        <v>41</v>
      </c>
      <c r="BF3638" s="2" t="s">
        <v>82</v>
      </c>
      <c r="BG3638" s="2"/>
      <c r="BH3638" s="2"/>
      <c r="BI3638" s="2"/>
      <c r="BJ3638" s="2">
        <v>241</v>
      </c>
      <c r="BK3638" s="2" t="s">
        <v>82</v>
      </c>
      <c r="BL3638" s="2"/>
      <c r="BM3638" s="2">
        <v>241</v>
      </c>
      <c r="BN3638" s="2" t="s">
        <v>82</v>
      </c>
      <c r="BO3638" s="2"/>
      <c r="BP3638" s="2">
        <v>241</v>
      </c>
      <c r="BQ3638" s="2" t="s">
        <v>82</v>
      </c>
      <c r="BR3638" s="2"/>
      <c r="BS3638" s="3">
        <v>40425</v>
      </c>
      <c r="BT3638" s="4">
        <v>0.32313657407407409</v>
      </c>
    </row>
    <row r="3639" spans="1:72" x14ac:dyDescent="0.25">
      <c r="A3639" s="2">
        <v>5369</v>
      </c>
      <c r="B3639" s="2">
        <v>2010</v>
      </c>
      <c r="C3639" s="2" t="s">
        <v>377</v>
      </c>
      <c r="D3639" s="2" t="s">
        <v>73</v>
      </c>
      <c r="E3639" s="2"/>
      <c r="F3639" s="2">
        <v>426</v>
      </c>
      <c r="G3639" s="2" t="s">
        <v>378</v>
      </c>
      <c r="H3639" s="2">
        <v>108</v>
      </c>
      <c r="I3639" s="2" t="s">
        <v>1096</v>
      </c>
      <c r="J3639" s="2">
        <v>311</v>
      </c>
      <c r="K3639" s="2" t="s">
        <v>379</v>
      </c>
      <c r="L3639" s="2" t="s">
        <v>380</v>
      </c>
      <c r="M3639" s="3">
        <v>40425</v>
      </c>
      <c r="N3639" s="2" t="s">
        <v>5164</v>
      </c>
      <c r="O3639" s="2"/>
      <c r="P3639" s="2"/>
      <c r="Q3639" s="2" t="str">
        <f>"236-C/10"</f>
        <v>236-C/10</v>
      </c>
      <c r="R3639" s="2" t="s">
        <v>3458</v>
      </c>
      <c r="S3639" s="2"/>
      <c r="T3639" s="2">
        <v>1</v>
      </c>
      <c r="U3639" s="2" t="s">
        <v>79</v>
      </c>
      <c r="V3639" s="2">
        <v>1</v>
      </c>
      <c r="W3639" s="2" t="s">
        <v>80</v>
      </c>
      <c r="X3639" s="2">
        <v>1</v>
      </c>
      <c r="Y3639" s="2" t="s">
        <v>81</v>
      </c>
      <c r="Z3639" s="2">
        <v>1</v>
      </c>
      <c r="AA3639" s="2" t="s">
        <v>82</v>
      </c>
      <c r="AB3639" s="2">
        <v>9</v>
      </c>
      <c r="AC3639" s="2" t="s">
        <v>124</v>
      </c>
      <c r="AD3639" s="3">
        <v>40424</v>
      </c>
      <c r="AE3639" s="4">
        <v>0.95833333333333337</v>
      </c>
      <c r="AF3639" s="2"/>
      <c r="AG3639" s="2"/>
      <c r="AH3639" s="2">
        <v>2</v>
      </c>
      <c r="AI3639" s="2" t="s">
        <v>84</v>
      </c>
      <c r="AJ3639" s="2">
        <v>9</v>
      </c>
      <c r="AK3639" s="2" t="s">
        <v>103</v>
      </c>
      <c r="AL3639" s="2">
        <v>29</v>
      </c>
      <c r="AM3639" s="2" t="s">
        <v>5416</v>
      </c>
      <c r="AN3639" s="2" t="s">
        <v>11630</v>
      </c>
      <c r="AO3639" s="2" t="s">
        <v>11631</v>
      </c>
      <c r="AP3639" s="2">
        <v>11</v>
      </c>
      <c r="AQ3639" s="2" t="s">
        <v>82</v>
      </c>
      <c r="AR3639" s="2"/>
      <c r="AS3639" s="2"/>
      <c r="AT3639" s="2" t="s">
        <v>11632</v>
      </c>
      <c r="AU3639" s="2"/>
      <c r="AV3639" s="2"/>
      <c r="AW3639" s="2"/>
      <c r="AX3639" s="2"/>
      <c r="AY3639" s="2">
        <v>41</v>
      </c>
      <c r="AZ3639" s="2" t="s">
        <v>82</v>
      </c>
      <c r="BA3639" s="2">
        <v>41</v>
      </c>
      <c r="BB3639" s="2" t="s">
        <v>82</v>
      </c>
      <c r="BC3639" s="2">
        <v>41</v>
      </c>
      <c r="BD3639" s="2" t="s">
        <v>82</v>
      </c>
      <c r="BE3639" s="2">
        <v>41</v>
      </c>
      <c r="BF3639" s="2" t="s">
        <v>82</v>
      </c>
      <c r="BG3639" s="2"/>
      <c r="BH3639" s="2"/>
      <c r="BI3639" s="2"/>
      <c r="BJ3639" s="2">
        <v>241</v>
      </c>
      <c r="BK3639" s="2" t="s">
        <v>82</v>
      </c>
      <c r="BL3639" s="2"/>
      <c r="BM3639" s="2">
        <v>241</v>
      </c>
      <c r="BN3639" s="2" t="s">
        <v>82</v>
      </c>
      <c r="BO3639" s="2"/>
      <c r="BP3639" s="2">
        <v>241</v>
      </c>
      <c r="BQ3639" s="2" t="s">
        <v>82</v>
      </c>
      <c r="BR3639" s="2"/>
      <c r="BS3639" s="3">
        <v>40425</v>
      </c>
      <c r="BT3639" s="4">
        <v>0.33738425925925924</v>
      </c>
    </row>
    <row r="3640" spans="1:72" x14ac:dyDescent="0.25">
      <c r="A3640" s="2">
        <v>5370</v>
      </c>
      <c r="B3640" s="2">
        <v>2010</v>
      </c>
      <c r="C3640" s="2" t="s">
        <v>377</v>
      </c>
      <c r="D3640" s="2" t="s">
        <v>73</v>
      </c>
      <c r="E3640" s="2"/>
      <c r="F3640" s="2">
        <v>426</v>
      </c>
      <c r="G3640" s="2" t="s">
        <v>378</v>
      </c>
      <c r="H3640" s="2">
        <v>108</v>
      </c>
      <c r="I3640" s="2" t="s">
        <v>1096</v>
      </c>
      <c r="J3640" s="2">
        <v>311</v>
      </c>
      <c r="K3640" s="2" t="s">
        <v>379</v>
      </c>
      <c r="L3640" s="2" t="s">
        <v>380</v>
      </c>
      <c r="M3640" s="3">
        <v>40425</v>
      </c>
      <c r="N3640" s="2" t="s">
        <v>5164</v>
      </c>
      <c r="O3640" s="2"/>
      <c r="P3640" s="2"/>
      <c r="Q3640" s="2" t="str">
        <f>"237-C/10"</f>
        <v>237-C/10</v>
      </c>
      <c r="R3640" s="2" t="s">
        <v>3458</v>
      </c>
      <c r="S3640" s="2"/>
      <c r="T3640" s="2">
        <v>1</v>
      </c>
      <c r="U3640" s="2" t="s">
        <v>79</v>
      </c>
      <c r="V3640" s="2">
        <v>1</v>
      </c>
      <c r="W3640" s="2" t="s">
        <v>80</v>
      </c>
      <c r="X3640" s="2">
        <v>1</v>
      </c>
      <c r="Y3640" s="2" t="s">
        <v>81</v>
      </c>
      <c r="Z3640" s="2">
        <v>1</v>
      </c>
      <c r="AA3640" s="2" t="s">
        <v>82</v>
      </c>
      <c r="AB3640" s="2">
        <v>9</v>
      </c>
      <c r="AC3640" s="2" t="s">
        <v>124</v>
      </c>
      <c r="AD3640" s="3">
        <v>40424</v>
      </c>
      <c r="AE3640" s="4">
        <v>0.95833333333333337</v>
      </c>
      <c r="AF3640" s="2"/>
      <c r="AG3640" s="2"/>
      <c r="AH3640" s="2">
        <v>2</v>
      </c>
      <c r="AI3640" s="2" t="s">
        <v>84</v>
      </c>
      <c r="AJ3640" s="2">
        <v>9</v>
      </c>
      <c r="AK3640" s="2" t="s">
        <v>103</v>
      </c>
      <c r="AL3640" s="2">
        <v>29</v>
      </c>
      <c r="AM3640" s="2" t="s">
        <v>5416</v>
      </c>
      <c r="AN3640" s="2" t="s">
        <v>987</v>
      </c>
      <c r="AO3640" s="2" t="s">
        <v>3322</v>
      </c>
      <c r="AP3640" s="2">
        <v>11</v>
      </c>
      <c r="AQ3640" s="2" t="s">
        <v>82</v>
      </c>
      <c r="AR3640" s="2"/>
      <c r="AS3640" s="2"/>
      <c r="AT3640" s="2" t="s">
        <v>11633</v>
      </c>
      <c r="AU3640" s="2"/>
      <c r="AV3640" s="2"/>
      <c r="AW3640" s="2"/>
      <c r="AX3640" s="2"/>
      <c r="AY3640" s="2">
        <v>41</v>
      </c>
      <c r="AZ3640" s="2" t="s">
        <v>82</v>
      </c>
      <c r="BA3640" s="2">
        <v>41</v>
      </c>
      <c r="BB3640" s="2" t="s">
        <v>82</v>
      </c>
      <c r="BC3640" s="2">
        <v>41</v>
      </c>
      <c r="BD3640" s="2" t="s">
        <v>82</v>
      </c>
      <c r="BE3640" s="2">
        <v>41</v>
      </c>
      <c r="BF3640" s="2" t="s">
        <v>82</v>
      </c>
      <c r="BG3640" s="2"/>
      <c r="BH3640" s="2"/>
      <c r="BI3640" s="2"/>
      <c r="BJ3640" s="2">
        <v>241</v>
      </c>
      <c r="BK3640" s="2" t="s">
        <v>82</v>
      </c>
      <c r="BL3640" s="2"/>
      <c r="BM3640" s="2">
        <v>241</v>
      </c>
      <c r="BN3640" s="2" t="s">
        <v>82</v>
      </c>
      <c r="BO3640" s="2"/>
      <c r="BP3640" s="2">
        <v>241</v>
      </c>
      <c r="BQ3640" s="2" t="s">
        <v>82</v>
      </c>
      <c r="BR3640" s="2"/>
      <c r="BS3640" s="3">
        <v>40425</v>
      </c>
      <c r="BT3640" s="4">
        <v>0.35349537037037032</v>
      </c>
    </row>
    <row r="3641" spans="1:72" x14ac:dyDescent="0.25">
      <c r="A3641" s="2">
        <v>5371</v>
      </c>
      <c r="B3641" s="2">
        <v>2010</v>
      </c>
      <c r="C3641" s="2" t="s">
        <v>171</v>
      </c>
      <c r="D3641" s="2" t="s">
        <v>73</v>
      </c>
      <c r="E3641" s="2"/>
      <c r="F3641" s="2">
        <v>402</v>
      </c>
      <c r="G3641" s="2" t="s">
        <v>6564</v>
      </c>
      <c r="H3641" s="2">
        <v>4</v>
      </c>
      <c r="I3641" s="2" t="s">
        <v>173</v>
      </c>
      <c r="J3641" s="2">
        <v>241</v>
      </c>
      <c r="K3641" s="2" t="s">
        <v>174</v>
      </c>
      <c r="L3641" s="2" t="s">
        <v>175</v>
      </c>
      <c r="M3641" s="3">
        <v>40425</v>
      </c>
      <c r="N3641" s="2" t="s">
        <v>176</v>
      </c>
      <c r="O3641" s="2" t="s">
        <v>82</v>
      </c>
      <c r="P3641" s="2" t="s">
        <v>82</v>
      </c>
      <c r="Q3641" s="2" t="str">
        <f>"0449-/10"</f>
        <v>0449-/10</v>
      </c>
      <c r="R3641" s="2" t="s">
        <v>391</v>
      </c>
      <c r="S3641" s="2"/>
      <c r="T3641" s="2">
        <v>1</v>
      </c>
      <c r="U3641" s="2" t="s">
        <v>79</v>
      </c>
      <c r="V3641" s="2">
        <v>1</v>
      </c>
      <c r="W3641" s="2" t="s">
        <v>80</v>
      </c>
      <c r="X3641" s="2">
        <v>1</v>
      </c>
      <c r="Y3641" s="2" t="s">
        <v>81</v>
      </c>
      <c r="Z3641" s="2">
        <v>1</v>
      </c>
      <c r="AA3641" s="2" t="s">
        <v>82</v>
      </c>
      <c r="AB3641" s="2">
        <v>1</v>
      </c>
      <c r="AC3641" s="2" t="s">
        <v>178</v>
      </c>
      <c r="AD3641" s="3">
        <v>40424</v>
      </c>
      <c r="AE3641" s="4">
        <v>0.875</v>
      </c>
      <c r="AF3641" s="2"/>
      <c r="AG3641" s="2"/>
      <c r="AH3641" s="2">
        <v>2</v>
      </c>
      <c r="AI3641" s="2" t="s">
        <v>84</v>
      </c>
      <c r="AJ3641" s="2">
        <v>9</v>
      </c>
      <c r="AK3641" s="2" t="s">
        <v>103</v>
      </c>
      <c r="AL3641" s="2">
        <v>25</v>
      </c>
      <c r="AM3641" s="2" t="s">
        <v>3073</v>
      </c>
      <c r="AN3641" s="2" t="s">
        <v>179</v>
      </c>
      <c r="AO3641" s="2" t="s">
        <v>987</v>
      </c>
      <c r="AP3641" s="2">
        <v>11</v>
      </c>
      <c r="AQ3641" s="2" t="s">
        <v>82</v>
      </c>
      <c r="AR3641" s="2"/>
      <c r="AS3641" s="2"/>
      <c r="AT3641" s="2" t="s">
        <v>11634</v>
      </c>
      <c r="AU3641" s="2"/>
      <c r="AV3641" s="2">
        <v>2</v>
      </c>
      <c r="AW3641" s="2"/>
      <c r="AX3641" s="2"/>
      <c r="AY3641" s="2">
        <v>41</v>
      </c>
      <c r="AZ3641" s="2" t="s">
        <v>82</v>
      </c>
      <c r="BA3641" s="2">
        <v>41</v>
      </c>
      <c r="BB3641" s="2" t="s">
        <v>82</v>
      </c>
      <c r="BC3641" s="2">
        <v>41</v>
      </c>
      <c r="BD3641" s="2" t="s">
        <v>82</v>
      </c>
      <c r="BE3641" s="2">
        <v>6</v>
      </c>
      <c r="BF3641" s="2" t="s">
        <v>616</v>
      </c>
      <c r="BG3641" s="2" t="s">
        <v>1599</v>
      </c>
      <c r="BH3641" s="2"/>
      <c r="BI3641" s="2"/>
      <c r="BJ3641" s="2">
        <v>13</v>
      </c>
      <c r="BK3641" s="2" t="s">
        <v>91</v>
      </c>
      <c r="BL3641" s="2" t="s">
        <v>360</v>
      </c>
      <c r="BM3641" s="2">
        <v>4</v>
      </c>
      <c r="BN3641" s="2" t="s">
        <v>618</v>
      </c>
      <c r="BO3641" s="2" t="s">
        <v>11635</v>
      </c>
      <c r="BP3641" s="2">
        <v>208</v>
      </c>
      <c r="BQ3641" s="2" t="s">
        <v>1266</v>
      </c>
      <c r="BR3641" s="2" t="s">
        <v>1267</v>
      </c>
      <c r="BS3641" s="3">
        <v>40425</v>
      </c>
      <c r="BT3641" s="4">
        <v>0.46809027777777779</v>
      </c>
    </row>
    <row r="3642" spans="1:72" x14ac:dyDescent="0.25">
      <c r="A3642" s="2">
        <v>5372</v>
      </c>
      <c r="B3642" s="2">
        <v>2010</v>
      </c>
      <c r="C3642" s="2" t="s">
        <v>4543</v>
      </c>
      <c r="D3642" s="2" t="s">
        <v>122</v>
      </c>
      <c r="E3642" s="2"/>
      <c r="F3642" s="2">
        <v>1</v>
      </c>
      <c r="G3642" s="2" t="s">
        <v>82</v>
      </c>
      <c r="H3642" s="2">
        <v>1</v>
      </c>
      <c r="I3642" s="2" t="s">
        <v>82</v>
      </c>
      <c r="J3642" s="2">
        <v>1</v>
      </c>
      <c r="K3642" s="2" t="s">
        <v>107</v>
      </c>
      <c r="L3642" s="2" t="s">
        <v>107</v>
      </c>
      <c r="M3642" s="3">
        <v>40425</v>
      </c>
      <c r="N3642" s="2"/>
      <c r="O3642" s="2"/>
      <c r="P3642" s="2"/>
      <c r="Q3642" s="2" t="str">
        <f>""</f>
        <v/>
      </c>
      <c r="R3642" s="2"/>
      <c r="S3642" s="2"/>
      <c r="T3642" s="2">
        <v>2</v>
      </c>
      <c r="U3642" s="2" t="s">
        <v>123</v>
      </c>
      <c r="V3642" s="2">
        <v>1</v>
      </c>
      <c r="W3642" s="2" t="s">
        <v>80</v>
      </c>
      <c r="X3642" s="2">
        <v>5</v>
      </c>
      <c r="Y3642" s="2" t="s">
        <v>82</v>
      </c>
      <c r="Z3642" s="2">
        <v>1</v>
      </c>
      <c r="AA3642" s="2" t="s">
        <v>82</v>
      </c>
      <c r="AB3642" s="2">
        <v>9</v>
      </c>
      <c r="AC3642" s="2" t="s">
        <v>124</v>
      </c>
      <c r="AD3642" s="3">
        <v>40424</v>
      </c>
      <c r="AE3642" s="4">
        <v>0.41666666666666669</v>
      </c>
      <c r="AF3642" s="2"/>
      <c r="AG3642" s="2"/>
      <c r="AH3642" s="2">
        <v>2</v>
      </c>
      <c r="AI3642" s="2" t="s">
        <v>84</v>
      </c>
      <c r="AJ3642" s="2">
        <v>10</v>
      </c>
      <c r="AK3642" s="2" t="s">
        <v>3321</v>
      </c>
      <c r="AL3642" s="2">
        <v>18</v>
      </c>
      <c r="AM3642" s="2" t="s">
        <v>82</v>
      </c>
      <c r="AN3642" s="2"/>
      <c r="AO3642" s="2"/>
      <c r="AP3642" s="2">
        <v>11</v>
      </c>
      <c r="AQ3642" s="2" t="s">
        <v>82</v>
      </c>
      <c r="AR3642" s="2"/>
      <c r="AS3642" s="2"/>
      <c r="AT3642" s="2" t="s">
        <v>11636</v>
      </c>
      <c r="AU3642" s="2"/>
      <c r="AV3642" s="2"/>
      <c r="AW3642" s="2"/>
      <c r="AX3642" s="2"/>
      <c r="AY3642" s="2">
        <v>1</v>
      </c>
      <c r="AZ3642" s="2" t="s">
        <v>107</v>
      </c>
      <c r="BA3642" s="2">
        <v>1</v>
      </c>
      <c r="BB3642" s="2" t="s">
        <v>107</v>
      </c>
      <c r="BC3642" s="2">
        <v>1</v>
      </c>
      <c r="BD3642" s="2" t="s">
        <v>107</v>
      </c>
      <c r="BE3642" s="2">
        <v>1</v>
      </c>
      <c r="BF3642" s="2" t="s">
        <v>107</v>
      </c>
      <c r="BG3642" s="2"/>
      <c r="BH3642" s="2"/>
      <c r="BI3642" s="2"/>
      <c r="BJ3642" s="2">
        <v>242</v>
      </c>
      <c r="BK3642" s="2" t="s">
        <v>107</v>
      </c>
      <c r="BL3642" s="2"/>
      <c r="BM3642" s="2">
        <v>242</v>
      </c>
      <c r="BN3642" s="2" t="s">
        <v>107</v>
      </c>
      <c r="BO3642" s="2"/>
      <c r="BP3642" s="2">
        <v>242</v>
      </c>
      <c r="BQ3642" s="2" t="s">
        <v>107</v>
      </c>
      <c r="BR3642" s="2"/>
      <c r="BS3642" s="3">
        <v>40425</v>
      </c>
      <c r="BT3642" s="4">
        <v>0.46826388888888887</v>
      </c>
    </row>
    <row r="3643" spans="1:72" x14ac:dyDescent="0.25">
      <c r="A3643" s="2">
        <v>5373</v>
      </c>
      <c r="B3643" s="2">
        <v>2010</v>
      </c>
      <c r="C3643" s="2" t="s">
        <v>1660</v>
      </c>
      <c r="D3643" s="2" t="s">
        <v>73</v>
      </c>
      <c r="E3643" s="2"/>
      <c r="F3643" s="2">
        <v>390</v>
      </c>
      <c r="G3643" s="2" t="s">
        <v>475</v>
      </c>
      <c r="H3643" s="2">
        <v>7</v>
      </c>
      <c r="I3643" s="2" t="s">
        <v>476</v>
      </c>
      <c r="J3643" s="2">
        <v>533</v>
      </c>
      <c r="K3643" s="2" t="s">
        <v>6511</v>
      </c>
      <c r="L3643" s="2" t="s">
        <v>478</v>
      </c>
      <c r="M3643" s="3">
        <v>40425</v>
      </c>
      <c r="N3643" s="2" t="s">
        <v>765</v>
      </c>
      <c r="O3643" s="2"/>
      <c r="P3643" s="2" t="s">
        <v>107</v>
      </c>
      <c r="Q3643" s="2" t="str">
        <f>"448-E/10"</f>
        <v>448-E/10</v>
      </c>
      <c r="R3643" s="2" t="s">
        <v>11637</v>
      </c>
      <c r="S3643" s="2"/>
      <c r="T3643" s="2">
        <v>1</v>
      </c>
      <c r="U3643" s="2" t="s">
        <v>79</v>
      </c>
      <c r="V3643" s="2">
        <v>1</v>
      </c>
      <c r="W3643" s="2" t="s">
        <v>80</v>
      </c>
      <c r="X3643" s="2">
        <v>12</v>
      </c>
      <c r="Y3643" s="2" t="s">
        <v>148</v>
      </c>
      <c r="Z3643" s="2">
        <v>6</v>
      </c>
      <c r="AA3643" s="2" t="s">
        <v>101</v>
      </c>
      <c r="AB3643" s="2">
        <v>3</v>
      </c>
      <c r="AC3643" s="2" t="s">
        <v>1663</v>
      </c>
      <c r="AD3643" s="3">
        <v>40424</v>
      </c>
      <c r="AE3643" s="4">
        <v>0.70138888888888884</v>
      </c>
      <c r="AF3643" s="3">
        <v>40424</v>
      </c>
      <c r="AG3643" s="4">
        <v>0.83333333333333337</v>
      </c>
      <c r="AH3643" s="2">
        <v>2</v>
      </c>
      <c r="AI3643" s="2" t="s">
        <v>84</v>
      </c>
      <c r="AJ3643" s="2">
        <v>9</v>
      </c>
      <c r="AK3643" s="2" t="s">
        <v>103</v>
      </c>
      <c r="AL3643" s="2">
        <v>14</v>
      </c>
      <c r="AM3643" s="2" t="s">
        <v>216</v>
      </c>
      <c r="AN3643" s="2"/>
      <c r="AO3643" s="2" t="s">
        <v>11638</v>
      </c>
      <c r="AP3643" s="2">
        <v>11</v>
      </c>
      <c r="AQ3643" s="2" t="s">
        <v>82</v>
      </c>
      <c r="AR3643" s="2"/>
      <c r="AS3643" s="2"/>
      <c r="AT3643" s="2" t="s">
        <v>11639</v>
      </c>
      <c r="AU3643" s="2">
        <v>1</v>
      </c>
      <c r="AV3643" s="2"/>
      <c r="AW3643" s="2"/>
      <c r="AX3643" s="2"/>
      <c r="AY3643" s="2">
        <v>41</v>
      </c>
      <c r="AZ3643" s="2" t="s">
        <v>82</v>
      </c>
      <c r="BA3643" s="2">
        <v>115</v>
      </c>
      <c r="BB3643" s="2" t="s">
        <v>101</v>
      </c>
      <c r="BC3643" s="2">
        <v>41</v>
      </c>
      <c r="BD3643" s="2" t="s">
        <v>82</v>
      </c>
      <c r="BE3643" s="2">
        <v>39</v>
      </c>
      <c r="BF3643" s="2" t="s">
        <v>440</v>
      </c>
      <c r="BG3643" s="2" t="s">
        <v>7920</v>
      </c>
      <c r="BH3643" s="2"/>
      <c r="BI3643" s="2"/>
      <c r="BJ3643" s="2">
        <v>13</v>
      </c>
      <c r="BK3643" s="2" t="s">
        <v>91</v>
      </c>
      <c r="BL3643" s="2" t="s">
        <v>360</v>
      </c>
      <c r="BM3643" s="2">
        <v>241</v>
      </c>
      <c r="BN3643" s="2" t="s">
        <v>82</v>
      </c>
      <c r="BO3643" s="2" t="s">
        <v>82</v>
      </c>
      <c r="BP3643" s="2">
        <v>82</v>
      </c>
      <c r="BQ3643" s="2" t="s">
        <v>487</v>
      </c>
      <c r="BR3643" s="2" t="s">
        <v>488</v>
      </c>
      <c r="BS3643" s="3">
        <v>40425</v>
      </c>
      <c r="BT3643" s="4">
        <v>0.54327546296296292</v>
      </c>
    </row>
    <row r="3644" spans="1:72" x14ac:dyDescent="0.25">
      <c r="A3644" s="2">
        <v>5374</v>
      </c>
      <c r="B3644" s="2">
        <v>2010</v>
      </c>
      <c r="C3644" s="2" t="s">
        <v>377</v>
      </c>
      <c r="D3644" s="2" t="s">
        <v>73</v>
      </c>
      <c r="E3644" s="2"/>
      <c r="F3644" s="2">
        <v>426</v>
      </c>
      <c r="G3644" s="2" t="s">
        <v>378</v>
      </c>
      <c r="H3644" s="2">
        <v>22</v>
      </c>
      <c r="I3644" s="2" t="s">
        <v>75</v>
      </c>
      <c r="J3644" s="2">
        <v>311</v>
      </c>
      <c r="K3644" s="2" t="s">
        <v>379</v>
      </c>
      <c r="L3644" s="2" t="s">
        <v>380</v>
      </c>
      <c r="M3644" s="3">
        <v>40425</v>
      </c>
      <c r="N3644" s="2" t="s">
        <v>7171</v>
      </c>
      <c r="O3644" s="2"/>
      <c r="P3644" s="2"/>
      <c r="Q3644" s="2" t="str">
        <f>"238-C/10"</f>
        <v>238-C/10</v>
      </c>
      <c r="R3644" s="2" t="s">
        <v>10125</v>
      </c>
      <c r="S3644" s="2"/>
      <c r="T3644" s="2">
        <v>1</v>
      </c>
      <c r="U3644" s="2" t="s">
        <v>79</v>
      </c>
      <c r="V3644" s="2">
        <v>1</v>
      </c>
      <c r="W3644" s="2" t="s">
        <v>80</v>
      </c>
      <c r="X3644" s="2">
        <v>1</v>
      </c>
      <c r="Y3644" s="2" t="s">
        <v>81</v>
      </c>
      <c r="Z3644" s="2">
        <v>1</v>
      </c>
      <c r="AA3644" s="2" t="s">
        <v>82</v>
      </c>
      <c r="AB3644" s="2">
        <v>9</v>
      </c>
      <c r="AC3644" s="2" t="s">
        <v>124</v>
      </c>
      <c r="AD3644" s="3">
        <v>40425</v>
      </c>
      <c r="AE3644" s="4">
        <v>3.472222222222222E-3</v>
      </c>
      <c r="AF3644" s="2"/>
      <c r="AG3644" s="2"/>
      <c r="AH3644" s="2">
        <v>2</v>
      </c>
      <c r="AI3644" s="2" t="s">
        <v>84</v>
      </c>
      <c r="AJ3644" s="2">
        <v>9</v>
      </c>
      <c r="AK3644" s="2" t="s">
        <v>103</v>
      </c>
      <c r="AL3644" s="2">
        <v>29</v>
      </c>
      <c r="AM3644" s="2" t="s">
        <v>5416</v>
      </c>
      <c r="AN3644" s="2" t="s">
        <v>10787</v>
      </c>
      <c r="AO3644" s="2" t="s">
        <v>11640</v>
      </c>
      <c r="AP3644" s="2">
        <v>11</v>
      </c>
      <c r="AQ3644" s="2" t="s">
        <v>82</v>
      </c>
      <c r="AR3644" s="2"/>
      <c r="AS3644" s="2"/>
      <c r="AT3644" s="2" t="s">
        <v>11641</v>
      </c>
      <c r="AU3644" s="2"/>
      <c r="AV3644" s="2"/>
      <c r="AW3644" s="2"/>
      <c r="AX3644" s="2"/>
      <c r="AY3644" s="2">
        <v>41</v>
      </c>
      <c r="AZ3644" s="2" t="s">
        <v>82</v>
      </c>
      <c r="BA3644" s="2">
        <v>41</v>
      </c>
      <c r="BB3644" s="2" t="s">
        <v>82</v>
      </c>
      <c r="BC3644" s="2">
        <v>41</v>
      </c>
      <c r="BD3644" s="2" t="s">
        <v>82</v>
      </c>
      <c r="BE3644" s="2">
        <v>41</v>
      </c>
      <c r="BF3644" s="2" t="s">
        <v>82</v>
      </c>
      <c r="BG3644" s="2"/>
      <c r="BH3644" s="2"/>
      <c r="BI3644" s="2"/>
      <c r="BJ3644" s="2">
        <v>241</v>
      </c>
      <c r="BK3644" s="2" t="s">
        <v>82</v>
      </c>
      <c r="BL3644" s="2"/>
      <c r="BM3644" s="2">
        <v>241</v>
      </c>
      <c r="BN3644" s="2" t="s">
        <v>82</v>
      </c>
      <c r="BO3644" s="2"/>
      <c r="BP3644" s="2">
        <v>241</v>
      </c>
      <c r="BQ3644" s="2" t="s">
        <v>82</v>
      </c>
      <c r="BR3644" s="2"/>
      <c r="BS3644" s="3">
        <v>40425</v>
      </c>
      <c r="BT3644" s="4">
        <v>0.54660879629629633</v>
      </c>
    </row>
    <row r="3645" spans="1:72" x14ac:dyDescent="0.25">
      <c r="A3645" s="2">
        <v>5375</v>
      </c>
      <c r="B3645" s="2">
        <v>2010</v>
      </c>
      <c r="C3645" s="2" t="s">
        <v>72</v>
      </c>
      <c r="D3645" s="2" t="s">
        <v>73</v>
      </c>
      <c r="E3645" s="2"/>
      <c r="F3645" s="2">
        <v>167</v>
      </c>
      <c r="G3645" s="2" t="s">
        <v>11567</v>
      </c>
      <c r="H3645" s="2">
        <v>6</v>
      </c>
      <c r="I3645" s="2" t="s">
        <v>1088</v>
      </c>
      <c r="J3645" s="2">
        <v>656</v>
      </c>
      <c r="K3645" s="2" t="s">
        <v>11603</v>
      </c>
      <c r="L3645" s="2" t="s">
        <v>4885</v>
      </c>
      <c r="M3645" s="3">
        <v>40425</v>
      </c>
      <c r="N3645" s="2" t="s">
        <v>11642</v>
      </c>
      <c r="O3645" s="2"/>
      <c r="P3645" s="2"/>
      <c r="Q3645" s="2" t="str">
        <f>"348-A/10"</f>
        <v>348-A/10</v>
      </c>
      <c r="R3645" s="2" t="s">
        <v>480</v>
      </c>
      <c r="S3645" s="2" t="s">
        <v>480</v>
      </c>
      <c r="T3645" s="2">
        <v>1</v>
      </c>
      <c r="U3645" s="2" t="s">
        <v>79</v>
      </c>
      <c r="V3645" s="2">
        <v>1</v>
      </c>
      <c r="W3645" s="2" t="s">
        <v>80</v>
      </c>
      <c r="X3645" s="2">
        <v>12</v>
      </c>
      <c r="Y3645" s="2" t="s">
        <v>148</v>
      </c>
      <c r="Z3645" s="2">
        <v>1</v>
      </c>
      <c r="AA3645" s="2" t="s">
        <v>82</v>
      </c>
      <c r="AB3645" s="2">
        <v>6</v>
      </c>
      <c r="AC3645" s="2" t="s">
        <v>83</v>
      </c>
      <c r="AD3645" s="2"/>
      <c r="AE3645" s="2"/>
      <c r="AF3645" s="3">
        <v>40425</v>
      </c>
      <c r="AG3645" s="4">
        <v>0.40972222222222227</v>
      </c>
      <c r="AH3645" s="2">
        <v>2</v>
      </c>
      <c r="AI3645" s="2" t="s">
        <v>84</v>
      </c>
      <c r="AJ3645" s="2">
        <v>12</v>
      </c>
      <c r="AK3645" s="2" t="s">
        <v>85</v>
      </c>
      <c r="AL3645" s="2">
        <v>10</v>
      </c>
      <c r="AM3645" s="2" t="s">
        <v>200</v>
      </c>
      <c r="AN3645" s="2" t="s">
        <v>11643</v>
      </c>
      <c r="AO3645" s="2"/>
      <c r="AP3645" s="2">
        <v>11</v>
      </c>
      <c r="AQ3645" s="2" t="s">
        <v>82</v>
      </c>
      <c r="AR3645" s="2"/>
      <c r="AS3645" s="2"/>
      <c r="AT3645" s="2" t="s">
        <v>11644</v>
      </c>
      <c r="AU3645" s="2"/>
      <c r="AV3645" s="2"/>
      <c r="AW3645" s="2"/>
      <c r="AX3645" s="2"/>
      <c r="AY3645" s="2">
        <v>41</v>
      </c>
      <c r="AZ3645" s="2" t="s">
        <v>82</v>
      </c>
      <c r="BA3645" s="2">
        <v>41</v>
      </c>
      <c r="BB3645" s="2" t="s">
        <v>82</v>
      </c>
      <c r="BC3645" s="2">
        <v>41</v>
      </c>
      <c r="BD3645" s="2" t="s">
        <v>82</v>
      </c>
      <c r="BE3645" s="2">
        <v>41</v>
      </c>
      <c r="BF3645" s="2" t="s">
        <v>82</v>
      </c>
      <c r="BG3645" s="2"/>
      <c r="BH3645" s="2"/>
      <c r="BI3645" s="2"/>
      <c r="BJ3645" s="2">
        <v>241</v>
      </c>
      <c r="BK3645" s="2" t="s">
        <v>82</v>
      </c>
      <c r="BL3645" s="2"/>
      <c r="BM3645" s="2">
        <v>241</v>
      </c>
      <c r="BN3645" s="2" t="s">
        <v>82</v>
      </c>
      <c r="BO3645" s="2"/>
      <c r="BP3645" s="2">
        <v>241</v>
      </c>
      <c r="BQ3645" s="2" t="s">
        <v>82</v>
      </c>
      <c r="BR3645" s="2"/>
      <c r="BS3645" s="3">
        <v>40425</v>
      </c>
      <c r="BT3645" s="4">
        <v>0.55318287037037039</v>
      </c>
    </row>
    <row r="3646" spans="1:72" x14ac:dyDescent="0.25">
      <c r="A3646" s="2">
        <v>5376</v>
      </c>
      <c r="B3646" s="2">
        <v>2010</v>
      </c>
      <c r="C3646" s="2" t="s">
        <v>1660</v>
      </c>
      <c r="D3646" s="2" t="s">
        <v>73</v>
      </c>
      <c r="E3646" s="2"/>
      <c r="F3646" s="2">
        <v>390</v>
      </c>
      <c r="G3646" s="2" t="s">
        <v>475</v>
      </c>
      <c r="H3646" s="2">
        <v>7</v>
      </c>
      <c r="I3646" s="2" t="s">
        <v>476</v>
      </c>
      <c r="J3646" s="2">
        <v>533</v>
      </c>
      <c r="K3646" s="2" t="s">
        <v>6511</v>
      </c>
      <c r="L3646" s="2" t="s">
        <v>478</v>
      </c>
      <c r="M3646" s="3">
        <v>40425</v>
      </c>
      <c r="N3646" s="2" t="s">
        <v>765</v>
      </c>
      <c r="O3646" s="2"/>
      <c r="P3646" s="2" t="s">
        <v>107</v>
      </c>
      <c r="Q3646" s="2" t="str">
        <f>"450-E/10"</f>
        <v>450-E/10</v>
      </c>
      <c r="R3646" s="2" t="s">
        <v>11637</v>
      </c>
      <c r="S3646" s="2"/>
      <c r="T3646" s="2">
        <v>1</v>
      </c>
      <c r="U3646" s="2" t="s">
        <v>79</v>
      </c>
      <c r="V3646" s="2">
        <v>1</v>
      </c>
      <c r="W3646" s="2" t="s">
        <v>80</v>
      </c>
      <c r="X3646" s="2">
        <v>12</v>
      </c>
      <c r="Y3646" s="2" t="s">
        <v>148</v>
      </c>
      <c r="Z3646" s="2">
        <v>6</v>
      </c>
      <c r="AA3646" s="2" t="s">
        <v>101</v>
      </c>
      <c r="AB3646" s="2">
        <v>3</v>
      </c>
      <c r="AC3646" s="2" t="s">
        <v>1663</v>
      </c>
      <c r="AD3646" s="3">
        <v>40424</v>
      </c>
      <c r="AE3646" s="2"/>
      <c r="AF3646" s="3">
        <v>40424</v>
      </c>
      <c r="AG3646" s="4">
        <v>0.91666666666666663</v>
      </c>
      <c r="AH3646" s="2">
        <v>2</v>
      </c>
      <c r="AI3646" s="2" t="s">
        <v>84</v>
      </c>
      <c r="AJ3646" s="2">
        <v>9</v>
      </c>
      <c r="AK3646" s="2" t="s">
        <v>103</v>
      </c>
      <c r="AL3646" s="2">
        <v>14</v>
      </c>
      <c r="AM3646" s="2" t="s">
        <v>216</v>
      </c>
      <c r="AN3646" s="2"/>
      <c r="AO3646" s="2" t="s">
        <v>11645</v>
      </c>
      <c r="AP3646" s="2">
        <v>11</v>
      </c>
      <c r="AQ3646" s="2" t="s">
        <v>82</v>
      </c>
      <c r="AR3646" s="2"/>
      <c r="AS3646" s="2"/>
      <c r="AT3646" s="2" t="s">
        <v>11646</v>
      </c>
      <c r="AU3646" s="2">
        <v>1</v>
      </c>
      <c r="AV3646" s="2"/>
      <c r="AW3646" s="2"/>
      <c r="AX3646" s="2"/>
      <c r="AY3646" s="2">
        <v>41</v>
      </c>
      <c r="AZ3646" s="2" t="s">
        <v>82</v>
      </c>
      <c r="BA3646" s="2">
        <v>115</v>
      </c>
      <c r="BB3646" s="2" t="s">
        <v>101</v>
      </c>
      <c r="BC3646" s="2">
        <v>41</v>
      </c>
      <c r="BD3646" s="2" t="s">
        <v>82</v>
      </c>
      <c r="BE3646" s="2">
        <v>6</v>
      </c>
      <c r="BF3646" s="2" t="s">
        <v>616</v>
      </c>
      <c r="BG3646" s="2" t="s">
        <v>1599</v>
      </c>
      <c r="BH3646" s="2"/>
      <c r="BI3646" s="2"/>
      <c r="BJ3646" s="2">
        <v>13</v>
      </c>
      <c r="BK3646" s="2" t="s">
        <v>91</v>
      </c>
      <c r="BL3646" s="2" t="s">
        <v>360</v>
      </c>
      <c r="BM3646" s="2">
        <v>241</v>
      </c>
      <c r="BN3646" s="2" t="s">
        <v>82</v>
      </c>
      <c r="BO3646" s="2" t="s">
        <v>82</v>
      </c>
      <c r="BP3646" s="2">
        <v>166</v>
      </c>
      <c r="BQ3646" s="2" t="s">
        <v>401</v>
      </c>
      <c r="BR3646" s="2" t="s">
        <v>5028</v>
      </c>
      <c r="BS3646" s="3">
        <v>40425</v>
      </c>
      <c r="BT3646" s="4">
        <v>0.56365740740740744</v>
      </c>
    </row>
    <row r="3647" spans="1:72" x14ac:dyDescent="0.25">
      <c r="A3647" s="2">
        <v>5377</v>
      </c>
      <c r="B3647" s="2">
        <v>2010</v>
      </c>
      <c r="C3647" s="2" t="s">
        <v>171</v>
      </c>
      <c r="D3647" s="2" t="s">
        <v>73</v>
      </c>
      <c r="E3647" s="2"/>
      <c r="F3647" s="2">
        <v>394</v>
      </c>
      <c r="G3647" s="2" t="s">
        <v>172</v>
      </c>
      <c r="H3647" s="2">
        <v>4</v>
      </c>
      <c r="I3647" s="2" t="s">
        <v>173</v>
      </c>
      <c r="J3647" s="2">
        <v>241</v>
      </c>
      <c r="K3647" s="2" t="s">
        <v>174</v>
      </c>
      <c r="L3647" s="2" t="s">
        <v>175</v>
      </c>
      <c r="M3647" s="3">
        <v>40425</v>
      </c>
      <c r="N3647" s="2" t="s">
        <v>390</v>
      </c>
      <c r="O3647" s="2" t="s">
        <v>391</v>
      </c>
      <c r="P3647" s="7">
        <v>22659</v>
      </c>
      <c r="Q3647" s="2" t="str">
        <f>"447-E/10"</f>
        <v>447-E/10</v>
      </c>
      <c r="R3647" s="2" t="s">
        <v>391</v>
      </c>
      <c r="S3647" s="2" t="s">
        <v>1893</v>
      </c>
      <c r="T3647" s="2">
        <v>1</v>
      </c>
      <c r="U3647" s="2" t="s">
        <v>79</v>
      </c>
      <c r="V3647" s="2">
        <v>1</v>
      </c>
      <c r="W3647" s="2" t="s">
        <v>80</v>
      </c>
      <c r="X3647" s="2">
        <v>8</v>
      </c>
      <c r="Y3647" s="2" t="s">
        <v>375</v>
      </c>
      <c r="Z3647" s="2">
        <v>1</v>
      </c>
      <c r="AA3647" s="2" t="s">
        <v>82</v>
      </c>
      <c r="AB3647" s="2">
        <v>1</v>
      </c>
      <c r="AC3647" s="2" t="s">
        <v>178</v>
      </c>
      <c r="AD3647" s="3">
        <v>40425</v>
      </c>
      <c r="AE3647" s="4">
        <v>0.53888888888888886</v>
      </c>
      <c r="AF3647" s="2"/>
      <c r="AG3647" s="2"/>
      <c r="AH3647" s="2">
        <v>2</v>
      </c>
      <c r="AI3647" s="2" t="s">
        <v>84</v>
      </c>
      <c r="AJ3647" s="2">
        <v>6</v>
      </c>
      <c r="AK3647" s="2" t="s">
        <v>453</v>
      </c>
      <c r="AL3647" s="2">
        <v>23</v>
      </c>
      <c r="AM3647" s="2" t="s">
        <v>251</v>
      </c>
      <c r="AN3647" s="2"/>
      <c r="AO3647" s="2" t="s">
        <v>11647</v>
      </c>
      <c r="AP3647" s="2">
        <v>11</v>
      </c>
      <c r="AQ3647" s="2" t="s">
        <v>82</v>
      </c>
      <c r="AR3647" s="2"/>
      <c r="AS3647" s="2"/>
      <c r="AT3647" s="2" t="s">
        <v>11648</v>
      </c>
      <c r="AU3647" s="2"/>
      <c r="AV3647" s="2"/>
      <c r="AW3647" s="2"/>
      <c r="AX3647" s="2"/>
      <c r="AY3647" s="2">
        <v>41</v>
      </c>
      <c r="AZ3647" s="2" t="s">
        <v>82</v>
      </c>
      <c r="BA3647" s="2">
        <v>41</v>
      </c>
      <c r="BB3647" s="2" t="s">
        <v>82</v>
      </c>
      <c r="BC3647" s="2">
        <v>41</v>
      </c>
      <c r="BD3647" s="2" t="s">
        <v>82</v>
      </c>
      <c r="BE3647" s="2">
        <v>41</v>
      </c>
      <c r="BF3647" s="2" t="s">
        <v>82</v>
      </c>
      <c r="BG3647" s="2"/>
      <c r="BH3647" s="2"/>
      <c r="BI3647" s="2"/>
      <c r="BJ3647" s="2">
        <v>241</v>
      </c>
      <c r="BK3647" s="2" t="s">
        <v>82</v>
      </c>
      <c r="BL3647" s="2"/>
      <c r="BM3647" s="2">
        <v>241</v>
      </c>
      <c r="BN3647" s="2" t="s">
        <v>82</v>
      </c>
      <c r="BO3647" s="2"/>
      <c r="BP3647" s="2">
        <v>241</v>
      </c>
      <c r="BQ3647" s="2" t="s">
        <v>82</v>
      </c>
      <c r="BR3647" s="2"/>
      <c r="BS3647" s="3">
        <v>40425</v>
      </c>
      <c r="BT3647" s="4">
        <v>0.6844675925925926</v>
      </c>
    </row>
    <row r="3648" spans="1:72" x14ac:dyDescent="0.25">
      <c r="A3648" s="2">
        <v>5378</v>
      </c>
      <c r="B3648" s="2">
        <v>2010</v>
      </c>
      <c r="C3648" s="2" t="s">
        <v>385</v>
      </c>
      <c r="D3648" s="2" t="s">
        <v>122</v>
      </c>
      <c r="E3648" s="2" t="s">
        <v>11649</v>
      </c>
      <c r="F3648" s="2">
        <v>402</v>
      </c>
      <c r="G3648" s="2" t="s">
        <v>6564</v>
      </c>
      <c r="H3648" s="2">
        <v>4</v>
      </c>
      <c r="I3648" s="2" t="s">
        <v>173</v>
      </c>
      <c r="J3648" s="2">
        <v>241</v>
      </c>
      <c r="K3648" s="2" t="s">
        <v>174</v>
      </c>
      <c r="L3648" s="2" t="s">
        <v>175</v>
      </c>
      <c r="M3648" s="3">
        <v>40425</v>
      </c>
      <c r="N3648" s="2" t="s">
        <v>176</v>
      </c>
      <c r="O3648" s="2" t="s">
        <v>82</v>
      </c>
      <c r="P3648" s="2" t="s">
        <v>82</v>
      </c>
      <c r="Q3648" s="2" t="str">
        <f>"449-/10"</f>
        <v>449-/10</v>
      </c>
      <c r="R3648" s="2" t="s">
        <v>11650</v>
      </c>
      <c r="S3648" s="2" t="s">
        <v>391</v>
      </c>
      <c r="T3648" s="2">
        <v>1</v>
      </c>
      <c r="U3648" s="2" t="s">
        <v>79</v>
      </c>
      <c r="V3648" s="2">
        <v>1</v>
      </c>
      <c r="W3648" s="2" t="s">
        <v>80</v>
      </c>
      <c r="X3648" s="2">
        <v>1</v>
      </c>
      <c r="Y3648" s="2" t="s">
        <v>81</v>
      </c>
      <c r="Z3648" s="2">
        <v>1</v>
      </c>
      <c r="AA3648" s="2" t="s">
        <v>82</v>
      </c>
      <c r="AB3648" s="2">
        <v>9</v>
      </c>
      <c r="AC3648" s="2" t="s">
        <v>124</v>
      </c>
      <c r="AD3648" s="3">
        <v>40424</v>
      </c>
      <c r="AE3648" s="4">
        <v>0.875</v>
      </c>
      <c r="AF3648" s="2"/>
      <c r="AG3648" s="2"/>
      <c r="AH3648" s="2">
        <v>2</v>
      </c>
      <c r="AI3648" s="2" t="s">
        <v>84</v>
      </c>
      <c r="AJ3648" s="2">
        <v>9</v>
      </c>
      <c r="AK3648" s="2" t="s">
        <v>103</v>
      </c>
      <c r="AL3648" s="2">
        <v>14</v>
      </c>
      <c r="AM3648" s="2" t="s">
        <v>216</v>
      </c>
      <c r="AN3648" s="2"/>
      <c r="AO3648" s="2" t="s">
        <v>179</v>
      </c>
      <c r="AP3648" s="2">
        <v>11</v>
      </c>
      <c r="AQ3648" s="2" t="s">
        <v>82</v>
      </c>
      <c r="AR3648" s="2"/>
      <c r="AS3648" s="2"/>
      <c r="AT3648" s="2" t="s">
        <v>11651</v>
      </c>
      <c r="AU3648" s="2"/>
      <c r="AV3648" s="2"/>
      <c r="AW3648" s="2"/>
      <c r="AX3648" s="2"/>
      <c r="AY3648" s="2">
        <v>41</v>
      </c>
      <c r="AZ3648" s="2" t="s">
        <v>82</v>
      </c>
      <c r="BA3648" s="2">
        <v>41</v>
      </c>
      <c r="BB3648" s="2" t="s">
        <v>82</v>
      </c>
      <c r="BC3648" s="2">
        <v>41</v>
      </c>
      <c r="BD3648" s="2" t="s">
        <v>82</v>
      </c>
      <c r="BE3648" s="2">
        <v>6</v>
      </c>
      <c r="BF3648" s="2" t="s">
        <v>616</v>
      </c>
      <c r="BG3648" s="2" t="s">
        <v>1599</v>
      </c>
      <c r="BH3648" s="2"/>
      <c r="BI3648" s="2"/>
      <c r="BJ3648" s="2">
        <v>13</v>
      </c>
      <c r="BK3648" s="2" t="s">
        <v>91</v>
      </c>
      <c r="BL3648" s="2" t="s">
        <v>185</v>
      </c>
      <c r="BM3648" s="2">
        <v>241</v>
      </c>
      <c r="BN3648" s="2" t="s">
        <v>82</v>
      </c>
      <c r="BO3648" s="2"/>
      <c r="BP3648" s="2">
        <v>4</v>
      </c>
      <c r="BQ3648" s="2" t="s">
        <v>618</v>
      </c>
      <c r="BR3648" s="2" t="s">
        <v>619</v>
      </c>
      <c r="BS3648" s="3">
        <v>40425</v>
      </c>
      <c r="BT3648" s="4">
        <v>0.71901620370370367</v>
      </c>
    </row>
    <row r="3649" spans="1:72" x14ac:dyDescent="0.25">
      <c r="A3649" s="2">
        <v>5379</v>
      </c>
      <c r="B3649" s="2">
        <v>2010</v>
      </c>
      <c r="C3649" s="2" t="s">
        <v>128</v>
      </c>
      <c r="D3649" s="2" t="s">
        <v>73</v>
      </c>
      <c r="E3649" s="2"/>
      <c r="F3649" s="2">
        <v>390</v>
      </c>
      <c r="G3649" s="2" t="s">
        <v>475</v>
      </c>
      <c r="H3649" s="2">
        <v>7</v>
      </c>
      <c r="I3649" s="2" t="s">
        <v>476</v>
      </c>
      <c r="J3649" s="2">
        <v>314</v>
      </c>
      <c r="K3649" s="2" t="s">
        <v>477</v>
      </c>
      <c r="L3649" s="2" t="s">
        <v>478</v>
      </c>
      <c r="M3649" s="3">
        <v>40425</v>
      </c>
      <c r="N3649" s="2" t="s">
        <v>765</v>
      </c>
      <c r="O3649" s="2" t="s">
        <v>11652</v>
      </c>
      <c r="P3649" s="2" t="s">
        <v>107</v>
      </c>
      <c r="Q3649" s="2" t="str">
        <f>"451-E/10"</f>
        <v>451-E/10</v>
      </c>
      <c r="R3649" s="2"/>
      <c r="S3649" s="2"/>
      <c r="T3649" s="2">
        <v>1</v>
      </c>
      <c r="U3649" s="2" t="s">
        <v>79</v>
      </c>
      <c r="V3649" s="2">
        <v>1</v>
      </c>
      <c r="W3649" s="2" t="s">
        <v>80</v>
      </c>
      <c r="X3649" s="2">
        <v>12</v>
      </c>
      <c r="Y3649" s="2" t="s">
        <v>148</v>
      </c>
      <c r="Z3649" s="2">
        <v>6</v>
      </c>
      <c r="AA3649" s="2" t="s">
        <v>101</v>
      </c>
      <c r="AB3649" s="2">
        <v>9</v>
      </c>
      <c r="AC3649" s="2" t="s">
        <v>124</v>
      </c>
      <c r="AD3649" s="3">
        <v>40425</v>
      </c>
      <c r="AE3649" s="4">
        <v>0.25694444444444448</v>
      </c>
      <c r="AF3649" s="3">
        <v>40425</v>
      </c>
      <c r="AG3649" s="4">
        <v>0.47916666666666669</v>
      </c>
      <c r="AH3649" s="2">
        <v>2</v>
      </c>
      <c r="AI3649" s="2" t="s">
        <v>84</v>
      </c>
      <c r="AJ3649" s="2">
        <v>9</v>
      </c>
      <c r="AK3649" s="2" t="s">
        <v>103</v>
      </c>
      <c r="AL3649" s="2">
        <v>14</v>
      </c>
      <c r="AM3649" s="2" t="s">
        <v>216</v>
      </c>
      <c r="AN3649" s="2" t="s">
        <v>1182</v>
      </c>
      <c r="AO3649" s="2"/>
      <c r="AP3649" s="2">
        <v>11</v>
      </c>
      <c r="AQ3649" s="2" t="s">
        <v>82</v>
      </c>
      <c r="AR3649" s="2"/>
      <c r="AS3649" s="2"/>
      <c r="AT3649" s="2" t="s">
        <v>11653</v>
      </c>
      <c r="AU3649" s="2"/>
      <c r="AV3649" s="2"/>
      <c r="AW3649" s="2"/>
      <c r="AX3649" s="2"/>
      <c r="AY3649" s="2">
        <v>41</v>
      </c>
      <c r="AZ3649" s="2" t="s">
        <v>82</v>
      </c>
      <c r="BA3649" s="2">
        <v>115</v>
      </c>
      <c r="BB3649" s="2" t="s">
        <v>101</v>
      </c>
      <c r="BC3649" s="2">
        <v>41</v>
      </c>
      <c r="BD3649" s="2" t="s">
        <v>82</v>
      </c>
      <c r="BE3649" s="2">
        <v>32</v>
      </c>
      <c r="BF3649" s="2" t="s">
        <v>11654</v>
      </c>
      <c r="BG3649" s="2">
        <v>625</v>
      </c>
      <c r="BH3649" s="4">
        <v>0.17152777777777775</v>
      </c>
      <c r="BI3649" s="2"/>
      <c r="BJ3649" s="2">
        <v>242</v>
      </c>
      <c r="BK3649" s="2" t="s">
        <v>107</v>
      </c>
      <c r="BL3649" s="2"/>
      <c r="BM3649" s="2">
        <v>241</v>
      </c>
      <c r="BN3649" s="2" t="s">
        <v>82</v>
      </c>
      <c r="BO3649" s="2" t="s">
        <v>82</v>
      </c>
      <c r="BP3649" s="2">
        <v>13</v>
      </c>
      <c r="BQ3649" s="2" t="s">
        <v>91</v>
      </c>
      <c r="BR3649" s="2" t="s">
        <v>360</v>
      </c>
      <c r="BS3649" s="3">
        <v>40425</v>
      </c>
      <c r="BT3649" s="4">
        <v>0.87159722222222225</v>
      </c>
    </row>
    <row r="3650" spans="1:72" x14ac:dyDescent="0.25">
      <c r="A3650" s="2">
        <v>5380</v>
      </c>
      <c r="B3650" s="2">
        <v>2010</v>
      </c>
      <c r="C3650" s="2" t="s">
        <v>72</v>
      </c>
      <c r="D3650" s="2" t="s">
        <v>73</v>
      </c>
      <c r="E3650" s="2"/>
      <c r="F3650" s="2">
        <v>673</v>
      </c>
      <c r="G3650" s="2" t="s">
        <v>11655</v>
      </c>
      <c r="H3650" s="2">
        <v>22</v>
      </c>
      <c r="I3650" s="2" t="s">
        <v>75</v>
      </c>
      <c r="J3650" s="2">
        <v>657</v>
      </c>
      <c r="K3650" s="2" t="s">
        <v>11502</v>
      </c>
      <c r="L3650" s="2" t="s">
        <v>11656</v>
      </c>
      <c r="M3650" s="3">
        <v>40425</v>
      </c>
      <c r="N3650" s="2" t="s">
        <v>11657</v>
      </c>
      <c r="O3650" s="2"/>
      <c r="P3650" s="2"/>
      <c r="Q3650" s="2" t="str">
        <f>"349-A/10"</f>
        <v>349-A/10</v>
      </c>
      <c r="R3650" s="2" t="s">
        <v>1547</v>
      </c>
      <c r="S3650" s="2" t="s">
        <v>206</v>
      </c>
      <c r="T3650" s="2">
        <v>1</v>
      </c>
      <c r="U3650" s="2" t="s">
        <v>79</v>
      </c>
      <c r="V3650" s="2">
        <v>1</v>
      </c>
      <c r="W3650" s="2" t="s">
        <v>80</v>
      </c>
      <c r="X3650" s="2">
        <v>12</v>
      </c>
      <c r="Y3650" s="2" t="s">
        <v>148</v>
      </c>
      <c r="Z3650" s="2">
        <v>1</v>
      </c>
      <c r="AA3650" s="2" t="s">
        <v>82</v>
      </c>
      <c r="AB3650" s="2">
        <v>6</v>
      </c>
      <c r="AC3650" s="2" t="s">
        <v>83</v>
      </c>
      <c r="AD3650" s="3">
        <v>40424</v>
      </c>
      <c r="AE3650" s="2"/>
      <c r="AF3650" s="3">
        <v>40425</v>
      </c>
      <c r="AG3650" s="4">
        <v>0.77083333333333337</v>
      </c>
      <c r="AH3650" s="2">
        <v>2</v>
      </c>
      <c r="AI3650" s="2" t="s">
        <v>84</v>
      </c>
      <c r="AJ3650" s="2">
        <v>12</v>
      </c>
      <c r="AK3650" s="2" t="s">
        <v>85</v>
      </c>
      <c r="AL3650" s="2">
        <v>22</v>
      </c>
      <c r="AM3650" s="2" t="s">
        <v>1853</v>
      </c>
      <c r="AN3650" s="2"/>
      <c r="AO3650" s="2" t="s">
        <v>11658</v>
      </c>
      <c r="AP3650" s="2">
        <v>11</v>
      </c>
      <c r="AQ3650" s="2" t="s">
        <v>82</v>
      </c>
      <c r="AR3650" s="2"/>
      <c r="AS3650" s="2"/>
      <c r="AT3650" s="2" t="s">
        <v>11659</v>
      </c>
      <c r="AU3650" s="2"/>
      <c r="AV3650" s="2"/>
      <c r="AW3650" s="2"/>
      <c r="AX3650" s="2"/>
      <c r="AY3650" s="2">
        <v>41</v>
      </c>
      <c r="AZ3650" s="2" t="s">
        <v>82</v>
      </c>
      <c r="BA3650" s="2">
        <v>41</v>
      </c>
      <c r="BB3650" s="2" t="s">
        <v>82</v>
      </c>
      <c r="BC3650" s="2">
        <v>41</v>
      </c>
      <c r="BD3650" s="2" t="s">
        <v>82</v>
      </c>
      <c r="BE3650" s="2">
        <v>47</v>
      </c>
      <c r="BF3650" s="2" t="s">
        <v>167</v>
      </c>
      <c r="BG3650" s="2" t="s">
        <v>11660</v>
      </c>
      <c r="BH3650" s="4">
        <v>0.54166666666666663</v>
      </c>
      <c r="BI3650" s="4">
        <v>0.45069444444444445</v>
      </c>
      <c r="BJ3650" s="2">
        <v>13</v>
      </c>
      <c r="BK3650" s="2" t="s">
        <v>91</v>
      </c>
      <c r="BL3650" s="2" t="s">
        <v>854</v>
      </c>
      <c r="BM3650" s="2">
        <v>241</v>
      </c>
      <c r="BN3650" s="2" t="s">
        <v>82</v>
      </c>
      <c r="BO3650" s="2"/>
      <c r="BP3650" s="2">
        <v>13</v>
      </c>
      <c r="BQ3650" s="2" t="s">
        <v>91</v>
      </c>
      <c r="BR3650" s="2" t="s">
        <v>564</v>
      </c>
      <c r="BS3650" s="3">
        <v>40425</v>
      </c>
      <c r="BT3650" s="4">
        <v>0.882349537037037</v>
      </c>
    </row>
    <row r="3651" spans="1:72" x14ac:dyDescent="0.25">
      <c r="A3651" s="2">
        <v>5381</v>
      </c>
      <c r="B3651" s="2">
        <v>2010</v>
      </c>
      <c r="C3651" s="2" t="s">
        <v>414</v>
      </c>
      <c r="D3651" s="2" t="s">
        <v>122</v>
      </c>
      <c r="E3651" s="2"/>
      <c r="F3651" s="2">
        <v>1</v>
      </c>
      <c r="G3651" s="2" t="s">
        <v>82</v>
      </c>
      <c r="H3651" s="2">
        <v>1</v>
      </c>
      <c r="I3651" s="2" t="s">
        <v>82</v>
      </c>
      <c r="J3651" s="2">
        <v>1</v>
      </c>
      <c r="K3651" s="2" t="s">
        <v>107</v>
      </c>
      <c r="L3651" s="2" t="s">
        <v>107</v>
      </c>
      <c r="M3651" s="3">
        <v>40425</v>
      </c>
      <c r="N3651" s="2"/>
      <c r="O3651" s="2"/>
      <c r="P3651" s="2"/>
      <c r="Q3651" s="2" t="str">
        <f>""</f>
        <v/>
      </c>
      <c r="R3651" s="2"/>
      <c r="S3651" s="2"/>
      <c r="T3651" s="2">
        <v>1</v>
      </c>
      <c r="U3651" s="2" t="s">
        <v>79</v>
      </c>
      <c r="V3651" s="2">
        <v>1</v>
      </c>
      <c r="W3651" s="2" t="s">
        <v>80</v>
      </c>
      <c r="X3651" s="2">
        <v>1</v>
      </c>
      <c r="Y3651" s="2" t="s">
        <v>81</v>
      </c>
      <c r="Z3651" s="2">
        <v>10</v>
      </c>
      <c r="AA3651" s="2" t="s">
        <v>236</v>
      </c>
      <c r="AB3651" s="2">
        <v>9</v>
      </c>
      <c r="AC3651" s="2" t="s">
        <v>124</v>
      </c>
      <c r="AD3651" s="3">
        <v>40425</v>
      </c>
      <c r="AE3651" s="4">
        <v>0.90625</v>
      </c>
      <c r="AF3651" s="2"/>
      <c r="AG3651" s="2"/>
      <c r="AH3651" s="2">
        <v>2</v>
      </c>
      <c r="AI3651" s="2" t="s">
        <v>84</v>
      </c>
      <c r="AJ3651" s="2">
        <v>12</v>
      </c>
      <c r="AK3651" s="2" t="s">
        <v>85</v>
      </c>
      <c r="AL3651" s="2">
        <v>12</v>
      </c>
      <c r="AM3651" s="2" t="s">
        <v>86</v>
      </c>
      <c r="AN3651" s="2"/>
      <c r="AO3651" s="2" t="s">
        <v>11661</v>
      </c>
      <c r="AP3651" s="2">
        <v>11</v>
      </c>
      <c r="AQ3651" s="2" t="s">
        <v>82</v>
      </c>
      <c r="AR3651" s="2"/>
      <c r="AS3651" s="2"/>
      <c r="AT3651" s="2" t="s">
        <v>11662</v>
      </c>
      <c r="AU3651" s="2"/>
      <c r="AV3651" s="2"/>
      <c r="AW3651" s="2"/>
      <c r="AX3651" s="2"/>
      <c r="AY3651" s="2">
        <v>41</v>
      </c>
      <c r="AZ3651" s="2" t="s">
        <v>82</v>
      </c>
      <c r="BA3651" s="2">
        <v>41</v>
      </c>
      <c r="BB3651" s="2" t="s">
        <v>82</v>
      </c>
      <c r="BC3651" s="2">
        <v>41</v>
      </c>
      <c r="BD3651" s="2" t="s">
        <v>82</v>
      </c>
      <c r="BE3651" s="2">
        <v>41</v>
      </c>
      <c r="BF3651" s="2" t="s">
        <v>82</v>
      </c>
      <c r="BG3651" s="2"/>
      <c r="BH3651" s="2"/>
      <c r="BI3651" s="2"/>
      <c r="BJ3651" s="2">
        <v>241</v>
      </c>
      <c r="BK3651" s="2" t="s">
        <v>82</v>
      </c>
      <c r="BL3651" s="2"/>
      <c r="BM3651" s="2">
        <v>241</v>
      </c>
      <c r="BN3651" s="2" t="s">
        <v>82</v>
      </c>
      <c r="BO3651" s="2"/>
      <c r="BP3651" s="2">
        <v>241</v>
      </c>
      <c r="BQ3651" s="2" t="s">
        <v>82</v>
      </c>
      <c r="BR3651" s="2"/>
      <c r="BS3651" s="3">
        <v>40425</v>
      </c>
      <c r="BT3651" s="4">
        <v>0.97297453703703696</v>
      </c>
    </row>
    <row r="3652" spans="1:72" x14ac:dyDescent="0.25">
      <c r="A3652" s="2">
        <v>5382</v>
      </c>
      <c r="B3652" s="2">
        <v>2010</v>
      </c>
      <c r="C3652" s="2" t="s">
        <v>72</v>
      </c>
      <c r="D3652" s="2" t="s">
        <v>73</v>
      </c>
      <c r="E3652" s="2"/>
      <c r="F3652" s="2">
        <v>673</v>
      </c>
      <c r="G3652" s="2" t="s">
        <v>11655</v>
      </c>
      <c r="H3652" s="2">
        <v>22</v>
      </c>
      <c r="I3652" s="2" t="s">
        <v>75</v>
      </c>
      <c r="J3652" s="2">
        <v>657</v>
      </c>
      <c r="K3652" s="2" t="s">
        <v>11502</v>
      </c>
      <c r="L3652" s="2" t="s">
        <v>11656</v>
      </c>
      <c r="M3652" s="3">
        <v>40426</v>
      </c>
      <c r="N3652" s="2" t="s">
        <v>11663</v>
      </c>
      <c r="O3652" s="2"/>
      <c r="P3652" s="2"/>
      <c r="Q3652" s="2" t="str">
        <f>"350-A/10"</f>
        <v>350-A/10</v>
      </c>
      <c r="R3652" s="2" t="s">
        <v>206</v>
      </c>
      <c r="S3652" s="2" t="s">
        <v>206</v>
      </c>
      <c r="T3652" s="2">
        <v>1</v>
      </c>
      <c r="U3652" s="2" t="s">
        <v>79</v>
      </c>
      <c r="V3652" s="2">
        <v>1</v>
      </c>
      <c r="W3652" s="2" t="s">
        <v>80</v>
      </c>
      <c r="X3652" s="2">
        <v>12</v>
      </c>
      <c r="Y3652" s="2" t="s">
        <v>148</v>
      </c>
      <c r="Z3652" s="2">
        <v>1</v>
      </c>
      <c r="AA3652" s="2" t="s">
        <v>82</v>
      </c>
      <c r="AB3652" s="2">
        <v>6</v>
      </c>
      <c r="AC3652" s="2" t="s">
        <v>83</v>
      </c>
      <c r="AD3652" s="3">
        <v>40425</v>
      </c>
      <c r="AE3652" s="2"/>
      <c r="AF3652" s="3">
        <v>40425</v>
      </c>
      <c r="AG3652" s="4">
        <v>0.97916666666666663</v>
      </c>
      <c r="AH3652" s="2">
        <v>2</v>
      </c>
      <c r="AI3652" s="2" t="s">
        <v>84</v>
      </c>
      <c r="AJ3652" s="2">
        <v>12</v>
      </c>
      <c r="AK3652" s="2" t="s">
        <v>85</v>
      </c>
      <c r="AL3652" s="2">
        <v>22</v>
      </c>
      <c r="AM3652" s="2" t="s">
        <v>1853</v>
      </c>
      <c r="AN3652" s="2"/>
      <c r="AO3652" s="2" t="s">
        <v>11664</v>
      </c>
      <c r="AP3652" s="2">
        <v>11</v>
      </c>
      <c r="AQ3652" s="2" t="s">
        <v>82</v>
      </c>
      <c r="AR3652" s="2"/>
      <c r="AS3652" s="2"/>
      <c r="AT3652" s="2" t="s">
        <v>11665</v>
      </c>
      <c r="AU3652" s="2"/>
      <c r="AV3652" s="2"/>
      <c r="AW3652" s="2"/>
      <c r="AX3652" s="2"/>
      <c r="AY3652" s="2">
        <v>41</v>
      </c>
      <c r="AZ3652" s="2" t="s">
        <v>82</v>
      </c>
      <c r="BA3652" s="2">
        <v>41</v>
      </c>
      <c r="BB3652" s="2" t="s">
        <v>82</v>
      </c>
      <c r="BC3652" s="2">
        <v>41</v>
      </c>
      <c r="BD3652" s="2" t="s">
        <v>82</v>
      </c>
      <c r="BE3652" s="2">
        <v>47</v>
      </c>
      <c r="BF3652" s="2" t="s">
        <v>167</v>
      </c>
      <c r="BG3652" s="2" t="s">
        <v>848</v>
      </c>
      <c r="BH3652" s="4">
        <v>0.91666666666666663</v>
      </c>
      <c r="BI3652" s="4">
        <v>0.8208333333333333</v>
      </c>
      <c r="BJ3652" s="2">
        <v>13</v>
      </c>
      <c r="BK3652" s="2" t="s">
        <v>91</v>
      </c>
      <c r="BL3652" s="2" t="s">
        <v>353</v>
      </c>
      <c r="BM3652" s="2">
        <v>241</v>
      </c>
      <c r="BN3652" s="2" t="s">
        <v>82</v>
      </c>
      <c r="BO3652" s="2"/>
      <c r="BP3652" s="2">
        <v>13</v>
      </c>
      <c r="BQ3652" s="2" t="s">
        <v>91</v>
      </c>
      <c r="BR3652" s="2" t="s">
        <v>564</v>
      </c>
      <c r="BS3652" s="3">
        <v>40426</v>
      </c>
      <c r="BT3652" s="4">
        <v>7.0115740740740742E-2</v>
      </c>
    </row>
    <row r="3653" spans="1:72" x14ac:dyDescent="0.25">
      <c r="A3653" s="2">
        <v>5383</v>
      </c>
      <c r="B3653" s="2">
        <v>2010</v>
      </c>
      <c r="C3653" s="2" t="s">
        <v>72</v>
      </c>
      <c r="D3653" s="2" t="s">
        <v>73</v>
      </c>
      <c r="E3653" s="2"/>
      <c r="F3653" s="2">
        <v>673</v>
      </c>
      <c r="G3653" s="2" t="s">
        <v>11655</v>
      </c>
      <c r="H3653" s="2">
        <v>22</v>
      </c>
      <c r="I3653" s="2" t="s">
        <v>75</v>
      </c>
      <c r="J3653" s="2">
        <v>657</v>
      </c>
      <c r="K3653" s="2" t="s">
        <v>11502</v>
      </c>
      <c r="L3653" s="2" t="s">
        <v>11656</v>
      </c>
      <c r="M3653" s="3">
        <v>40426</v>
      </c>
      <c r="N3653" s="2" t="s">
        <v>11666</v>
      </c>
      <c r="O3653" s="2"/>
      <c r="P3653" s="2"/>
      <c r="Q3653" s="2" t="str">
        <f>"351-A/10"</f>
        <v>351-A/10</v>
      </c>
      <c r="R3653" s="2" t="s">
        <v>1547</v>
      </c>
      <c r="S3653" s="2" t="s">
        <v>1547</v>
      </c>
      <c r="T3653" s="2">
        <v>1</v>
      </c>
      <c r="U3653" s="2" t="s">
        <v>79</v>
      </c>
      <c r="V3653" s="2">
        <v>1</v>
      </c>
      <c r="W3653" s="2" t="s">
        <v>80</v>
      </c>
      <c r="X3653" s="2">
        <v>12</v>
      </c>
      <c r="Y3653" s="2" t="s">
        <v>148</v>
      </c>
      <c r="Z3653" s="2">
        <v>1</v>
      </c>
      <c r="AA3653" s="2" t="s">
        <v>82</v>
      </c>
      <c r="AB3653" s="2">
        <v>6</v>
      </c>
      <c r="AC3653" s="2" t="s">
        <v>83</v>
      </c>
      <c r="AD3653" s="3">
        <v>40425</v>
      </c>
      <c r="AE3653" s="2"/>
      <c r="AF3653" s="3">
        <v>40425</v>
      </c>
      <c r="AG3653" s="4">
        <v>0.98611111111111116</v>
      </c>
      <c r="AH3653" s="2">
        <v>2</v>
      </c>
      <c r="AI3653" s="2" t="s">
        <v>84</v>
      </c>
      <c r="AJ3653" s="2">
        <v>12</v>
      </c>
      <c r="AK3653" s="2" t="s">
        <v>85</v>
      </c>
      <c r="AL3653" s="2">
        <v>22</v>
      </c>
      <c r="AM3653" s="2" t="s">
        <v>1853</v>
      </c>
      <c r="AN3653" s="2"/>
      <c r="AO3653" s="2" t="s">
        <v>11664</v>
      </c>
      <c r="AP3653" s="2">
        <v>11</v>
      </c>
      <c r="AQ3653" s="2" t="s">
        <v>82</v>
      </c>
      <c r="AR3653" s="2"/>
      <c r="AS3653" s="2"/>
      <c r="AT3653" s="2" t="s">
        <v>11667</v>
      </c>
      <c r="AU3653" s="2"/>
      <c r="AV3653" s="2"/>
      <c r="AW3653" s="2"/>
      <c r="AX3653" s="2"/>
      <c r="AY3653" s="2">
        <v>41</v>
      </c>
      <c r="AZ3653" s="2" t="s">
        <v>82</v>
      </c>
      <c r="BA3653" s="2">
        <v>41</v>
      </c>
      <c r="BB3653" s="2" t="s">
        <v>82</v>
      </c>
      <c r="BC3653" s="2">
        <v>41</v>
      </c>
      <c r="BD3653" s="2" t="s">
        <v>82</v>
      </c>
      <c r="BE3653" s="2">
        <v>47</v>
      </c>
      <c r="BF3653" s="2" t="s">
        <v>167</v>
      </c>
      <c r="BG3653" s="2" t="s">
        <v>848</v>
      </c>
      <c r="BH3653" s="4">
        <v>0.91666666666666663</v>
      </c>
      <c r="BI3653" s="4">
        <v>0.83333333333333337</v>
      </c>
      <c r="BJ3653" s="2">
        <v>13</v>
      </c>
      <c r="BK3653" s="2" t="s">
        <v>91</v>
      </c>
      <c r="BL3653" s="2" t="s">
        <v>353</v>
      </c>
      <c r="BM3653" s="2">
        <v>241</v>
      </c>
      <c r="BN3653" s="2" t="s">
        <v>82</v>
      </c>
      <c r="BO3653" s="2"/>
      <c r="BP3653" s="2">
        <v>13</v>
      </c>
      <c r="BQ3653" s="2" t="s">
        <v>91</v>
      </c>
      <c r="BR3653" s="2" t="s">
        <v>564</v>
      </c>
      <c r="BS3653" s="3">
        <v>40426</v>
      </c>
      <c r="BT3653" s="4">
        <v>0.10202546296296296</v>
      </c>
    </row>
    <row r="3654" spans="1:72" x14ac:dyDescent="0.25">
      <c r="A3654" s="2">
        <v>5384</v>
      </c>
      <c r="B3654" s="2">
        <v>2010</v>
      </c>
      <c r="C3654" s="2" t="s">
        <v>72</v>
      </c>
      <c r="D3654" s="2" t="s">
        <v>73</v>
      </c>
      <c r="E3654" s="2"/>
      <c r="F3654" s="2">
        <v>673</v>
      </c>
      <c r="G3654" s="2" t="s">
        <v>11655</v>
      </c>
      <c r="H3654" s="2">
        <v>22</v>
      </c>
      <c r="I3654" s="2" t="s">
        <v>75</v>
      </c>
      <c r="J3654" s="2">
        <v>657</v>
      </c>
      <c r="K3654" s="2" t="s">
        <v>11502</v>
      </c>
      <c r="L3654" s="2" t="s">
        <v>11656</v>
      </c>
      <c r="M3654" s="3">
        <v>40426</v>
      </c>
      <c r="N3654" s="2" t="s">
        <v>11663</v>
      </c>
      <c r="O3654" s="2"/>
      <c r="P3654" s="2"/>
      <c r="Q3654" s="2" t="str">
        <f>"352-A/10"</f>
        <v>352-A/10</v>
      </c>
      <c r="R3654" s="2" t="s">
        <v>206</v>
      </c>
      <c r="S3654" s="2" t="s">
        <v>206</v>
      </c>
      <c r="T3654" s="2">
        <v>1</v>
      </c>
      <c r="U3654" s="2" t="s">
        <v>79</v>
      </c>
      <c r="V3654" s="2">
        <v>1</v>
      </c>
      <c r="W3654" s="2" t="s">
        <v>80</v>
      </c>
      <c r="X3654" s="2">
        <v>12</v>
      </c>
      <c r="Y3654" s="2" t="s">
        <v>148</v>
      </c>
      <c r="Z3654" s="2">
        <v>1</v>
      </c>
      <c r="AA3654" s="2" t="s">
        <v>82</v>
      </c>
      <c r="AB3654" s="2">
        <v>6</v>
      </c>
      <c r="AC3654" s="2" t="s">
        <v>83</v>
      </c>
      <c r="AD3654" s="3">
        <v>40425</v>
      </c>
      <c r="AE3654" s="2"/>
      <c r="AF3654" s="3">
        <v>40425</v>
      </c>
      <c r="AG3654" s="4">
        <v>0.99305555555555547</v>
      </c>
      <c r="AH3654" s="2">
        <v>2</v>
      </c>
      <c r="AI3654" s="2" t="s">
        <v>84</v>
      </c>
      <c r="AJ3654" s="2">
        <v>12</v>
      </c>
      <c r="AK3654" s="2" t="s">
        <v>85</v>
      </c>
      <c r="AL3654" s="2">
        <v>22</v>
      </c>
      <c r="AM3654" s="2" t="s">
        <v>1853</v>
      </c>
      <c r="AN3654" s="2"/>
      <c r="AO3654" s="2" t="s">
        <v>11664</v>
      </c>
      <c r="AP3654" s="2">
        <v>11</v>
      </c>
      <c r="AQ3654" s="2" t="s">
        <v>82</v>
      </c>
      <c r="AR3654" s="2"/>
      <c r="AS3654" s="2"/>
      <c r="AT3654" s="2" t="s">
        <v>11668</v>
      </c>
      <c r="AU3654" s="2"/>
      <c r="AV3654" s="2"/>
      <c r="AW3654" s="2"/>
      <c r="AX3654" s="2"/>
      <c r="AY3654" s="2">
        <v>41</v>
      </c>
      <c r="AZ3654" s="2" t="s">
        <v>82</v>
      </c>
      <c r="BA3654" s="2">
        <v>41</v>
      </c>
      <c r="BB3654" s="2" t="s">
        <v>82</v>
      </c>
      <c r="BC3654" s="2">
        <v>41</v>
      </c>
      <c r="BD3654" s="2" t="s">
        <v>82</v>
      </c>
      <c r="BE3654" s="2">
        <v>47</v>
      </c>
      <c r="BF3654" s="2" t="s">
        <v>167</v>
      </c>
      <c r="BG3654" s="2" t="s">
        <v>848</v>
      </c>
      <c r="BH3654" s="4">
        <v>0.91666666666666663</v>
      </c>
      <c r="BI3654" s="4">
        <v>0.83333333333333337</v>
      </c>
      <c r="BJ3654" s="2">
        <v>13</v>
      </c>
      <c r="BK3654" s="2" t="s">
        <v>91</v>
      </c>
      <c r="BL3654" s="2" t="s">
        <v>353</v>
      </c>
      <c r="BM3654" s="2">
        <v>241</v>
      </c>
      <c r="BN3654" s="2" t="s">
        <v>82</v>
      </c>
      <c r="BO3654" s="2"/>
      <c r="BP3654" s="2">
        <v>13</v>
      </c>
      <c r="BQ3654" s="2" t="s">
        <v>91</v>
      </c>
      <c r="BR3654" s="2" t="s">
        <v>564</v>
      </c>
      <c r="BS3654" s="3">
        <v>40426</v>
      </c>
      <c r="BT3654" s="4">
        <v>0.13355324074074074</v>
      </c>
    </row>
    <row r="3655" spans="1:72" x14ac:dyDescent="0.25">
      <c r="A3655" s="2">
        <v>5385</v>
      </c>
      <c r="B3655" s="2">
        <v>2010</v>
      </c>
      <c r="C3655" s="2" t="s">
        <v>72</v>
      </c>
      <c r="D3655" s="2" t="s">
        <v>73</v>
      </c>
      <c r="E3655" s="2"/>
      <c r="F3655" s="2">
        <v>167</v>
      </c>
      <c r="G3655" s="2" t="s">
        <v>11567</v>
      </c>
      <c r="H3655" s="2">
        <v>22</v>
      </c>
      <c r="I3655" s="2" t="s">
        <v>75</v>
      </c>
      <c r="J3655" s="2">
        <v>656</v>
      </c>
      <c r="K3655" s="2" t="s">
        <v>11603</v>
      </c>
      <c r="L3655" s="2" t="s">
        <v>4885</v>
      </c>
      <c r="M3655" s="3">
        <v>40426</v>
      </c>
      <c r="N3655" s="2" t="s">
        <v>11604</v>
      </c>
      <c r="O3655" s="2"/>
      <c r="P3655" s="2"/>
      <c r="Q3655" s="2" t="str">
        <f>"353-A/10"</f>
        <v>353-A/10</v>
      </c>
      <c r="R3655" s="2" t="s">
        <v>480</v>
      </c>
      <c r="S3655" s="2" t="s">
        <v>480</v>
      </c>
      <c r="T3655" s="2">
        <v>1</v>
      </c>
      <c r="U3655" s="2" t="s">
        <v>79</v>
      </c>
      <c r="V3655" s="2">
        <v>1</v>
      </c>
      <c r="W3655" s="2" t="s">
        <v>80</v>
      </c>
      <c r="X3655" s="2">
        <v>1</v>
      </c>
      <c r="Y3655" s="2" t="s">
        <v>81</v>
      </c>
      <c r="Z3655" s="2">
        <v>1</v>
      </c>
      <c r="AA3655" s="2" t="s">
        <v>82</v>
      </c>
      <c r="AB3655" s="2">
        <v>6</v>
      </c>
      <c r="AC3655" s="2" t="s">
        <v>83</v>
      </c>
      <c r="AD3655" s="3">
        <v>40426</v>
      </c>
      <c r="AE3655" s="2"/>
      <c r="AF3655" s="3">
        <v>40426</v>
      </c>
      <c r="AG3655" s="4">
        <v>0.125</v>
      </c>
      <c r="AH3655" s="2">
        <v>2</v>
      </c>
      <c r="AI3655" s="2" t="s">
        <v>84</v>
      </c>
      <c r="AJ3655" s="2">
        <v>12</v>
      </c>
      <c r="AK3655" s="2" t="s">
        <v>85</v>
      </c>
      <c r="AL3655" s="2">
        <v>12</v>
      </c>
      <c r="AM3655" s="2" t="s">
        <v>86</v>
      </c>
      <c r="AN3655" s="2"/>
      <c r="AO3655" s="2" t="s">
        <v>11669</v>
      </c>
      <c r="AP3655" s="2">
        <v>11</v>
      </c>
      <c r="AQ3655" s="2" t="s">
        <v>82</v>
      </c>
      <c r="AR3655" s="2"/>
      <c r="AS3655" s="2"/>
      <c r="AT3655" s="2" t="s">
        <v>11670</v>
      </c>
      <c r="AU3655" s="2"/>
      <c r="AV3655" s="2"/>
      <c r="AW3655" s="2"/>
      <c r="AX3655" s="2"/>
      <c r="AY3655" s="2">
        <v>41</v>
      </c>
      <c r="AZ3655" s="2" t="s">
        <v>82</v>
      </c>
      <c r="BA3655" s="2">
        <v>41</v>
      </c>
      <c r="BB3655" s="2" t="s">
        <v>82</v>
      </c>
      <c r="BC3655" s="2">
        <v>41</v>
      </c>
      <c r="BD3655" s="2" t="s">
        <v>82</v>
      </c>
      <c r="BE3655" s="2">
        <v>41</v>
      </c>
      <c r="BF3655" s="2" t="s">
        <v>82</v>
      </c>
      <c r="BG3655" s="2"/>
      <c r="BH3655" s="2"/>
      <c r="BI3655" s="2"/>
      <c r="BJ3655" s="2">
        <v>241</v>
      </c>
      <c r="BK3655" s="2" t="s">
        <v>82</v>
      </c>
      <c r="BL3655" s="2"/>
      <c r="BM3655" s="2">
        <v>241</v>
      </c>
      <c r="BN3655" s="2" t="s">
        <v>82</v>
      </c>
      <c r="BO3655" s="2"/>
      <c r="BP3655" s="2">
        <v>241</v>
      </c>
      <c r="BQ3655" s="2" t="s">
        <v>82</v>
      </c>
      <c r="BR3655" s="2"/>
      <c r="BS3655" s="3">
        <v>40426</v>
      </c>
      <c r="BT3655" s="4">
        <v>0.23980324074074075</v>
      </c>
    </row>
    <row r="3656" spans="1:72" x14ac:dyDescent="0.25">
      <c r="A3656" s="2">
        <v>5386</v>
      </c>
      <c r="B3656" s="2">
        <v>2010</v>
      </c>
      <c r="C3656" s="2" t="s">
        <v>72</v>
      </c>
      <c r="D3656" s="2" t="s">
        <v>73</v>
      </c>
      <c r="E3656" s="2"/>
      <c r="F3656" s="2">
        <v>390</v>
      </c>
      <c r="G3656" s="2" t="s">
        <v>475</v>
      </c>
      <c r="H3656" s="2">
        <v>50</v>
      </c>
      <c r="I3656" s="2" t="s">
        <v>107</v>
      </c>
      <c r="J3656" s="2">
        <v>533</v>
      </c>
      <c r="K3656" s="2" t="s">
        <v>6511</v>
      </c>
      <c r="L3656" s="2" t="s">
        <v>478</v>
      </c>
      <c r="M3656" s="3">
        <v>40426</v>
      </c>
      <c r="N3656" s="2"/>
      <c r="O3656" s="2"/>
      <c r="P3656" s="2"/>
      <c r="Q3656" s="2" t="str">
        <f>"452-E/10"</f>
        <v>452-E/10</v>
      </c>
      <c r="R3656" s="2" t="s">
        <v>116</v>
      </c>
      <c r="S3656" s="2" t="s">
        <v>116</v>
      </c>
      <c r="T3656" s="2">
        <v>1</v>
      </c>
      <c r="U3656" s="2" t="s">
        <v>79</v>
      </c>
      <c r="V3656" s="2">
        <v>1</v>
      </c>
      <c r="W3656" s="2" t="s">
        <v>80</v>
      </c>
      <c r="X3656" s="2">
        <v>12</v>
      </c>
      <c r="Y3656" s="2" t="s">
        <v>148</v>
      </c>
      <c r="Z3656" s="2">
        <v>1</v>
      </c>
      <c r="AA3656" s="2" t="s">
        <v>82</v>
      </c>
      <c r="AB3656" s="2">
        <v>6</v>
      </c>
      <c r="AC3656" s="2" t="s">
        <v>83</v>
      </c>
      <c r="AD3656" s="3">
        <v>40426</v>
      </c>
      <c r="AE3656" s="2"/>
      <c r="AF3656" s="3">
        <v>40426</v>
      </c>
      <c r="AG3656" s="4">
        <v>0.40972222222222227</v>
      </c>
      <c r="AH3656" s="2">
        <v>2</v>
      </c>
      <c r="AI3656" s="2" t="s">
        <v>84</v>
      </c>
      <c r="AJ3656" s="2">
        <v>9</v>
      </c>
      <c r="AK3656" s="2" t="s">
        <v>103</v>
      </c>
      <c r="AL3656" s="2">
        <v>22</v>
      </c>
      <c r="AM3656" s="2" t="s">
        <v>1853</v>
      </c>
      <c r="AN3656" s="2" t="s">
        <v>11671</v>
      </c>
      <c r="AO3656" s="2" t="s">
        <v>11672</v>
      </c>
      <c r="AP3656" s="2">
        <v>11</v>
      </c>
      <c r="AQ3656" s="2" t="s">
        <v>82</v>
      </c>
      <c r="AR3656" s="2"/>
      <c r="AS3656" s="2"/>
      <c r="AT3656" s="2" t="s">
        <v>11673</v>
      </c>
      <c r="AU3656" s="2"/>
      <c r="AV3656" s="2"/>
      <c r="AW3656" s="2"/>
      <c r="AX3656" s="2"/>
      <c r="AY3656" s="2">
        <v>41</v>
      </c>
      <c r="AZ3656" s="2" t="s">
        <v>82</v>
      </c>
      <c r="BA3656" s="2">
        <v>41</v>
      </c>
      <c r="BB3656" s="2" t="s">
        <v>82</v>
      </c>
      <c r="BC3656" s="2">
        <v>41</v>
      </c>
      <c r="BD3656" s="2" t="s">
        <v>82</v>
      </c>
      <c r="BE3656" s="2">
        <v>31</v>
      </c>
      <c r="BF3656" s="2" t="s">
        <v>398</v>
      </c>
      <c r="BG3656" s="2" t="s">
        <v>1800</v>
      </c>
      <c r="BH3656" s="4">
        <v>0.35416666666666669</v>
      </c>
      <c r="BI3656" s="2"/>
      <c r="BJ3656" s="2">
        <v>73</v>
      </c>
      <c r="BK3656" s="2" t="s">
        <v>186</v>
      </c>
      <c r="BL3656" s="2" t="s">
        <v>187</v>
      </c>
      <c r="BM3656" s="2">
        <v>241</v>
      </c>
      <c r="BN3656" s="2" t="s">
        <v>82</v>
      </c>
      <c r="BO3656" s="2" t="s">
        <v>82</v>
      </c>
      <c r="BP3656" s="2">
        <v>13</v>
      </c>
      <c r="BQ3656" s="2" t="s">
        <v>91</v>
      </c>
      <c r="BR3656" s="2" t="s">
        <v>360</v>
      </c>
      <c r="BS3656" s="3">
        <v>40426</v>
      </c>
      <c r="BT3656" s="4">
        <v>0.45505787037037032</v>
      </c>
    </row>
    <row r="3657" spans="1:72" x14ac:dyDescent="0.25">
      <c r="A3657" s="2">
        <v>5387</v>
      </c>
      <c r="B3657" s="2">
        <v>2010</v>
      </c>
      <c r="C3657" s="2" t="s">
        <v>72</v>
      </c>
      <c r="D3657" s="2" t="s">
        <v>73</v>
      </c>
      <c r="E3657" s="2"/>
      <c r="F3657" s="2">
        <v>11</v>
      </c>
      <c r="G3657" s="2" t="s">
        <v>2454</v>
      </c>
      <c r="H3657" s="2">
        <v>4</v>
      </c>
      <c r="I3657" s="2" t="s">
        <v>173</v>
      </c>
      <c r="J3657" s="2">
        <v>19</v>
      </c>
      <c r="K3657" s="2" t="s">
        <v>2144</v>
      </c>
      <c r="L3657" s="2" t="s">
        <v>2145</v>
      </c>
      <c r="M3657" s="3">
        <v>40426</v>
      </c>
      <c r="N3657" s="2" t="s">
        <v>3178</v>
      </c>
      <c r="O3657" s="2" t="s">
        <v>107</v>
      </c>
      <c r="P3657" s="2" t="s">
        <v>107</v>
      </c>
      <c r="Q3657" s="2" t="str">
        <f>"50 - 10"</f>
        <v>50 - 10</v>
      </c>
      <c r="R3657" s="2" t="s">
        <v>107</v>
      </c>
      <c r="S3657" s="2" t="s">
        <v>116</v>
      </c>
      <c r="T3657" s="2">
        <v>1</v>
      </c>
      <c r="U3657" s="2" t="s">
        <v>79</v>
      </c>
      <c r="V3657" s="2">
        <v>1</v>
      </c>
      <c r="W3657" s="2" t="s">
        <v>80</v>
      </c>
      <c r="X3657" s="2">
        <v>12</v>
      </c>
      <c r="Y3657" s="2" t="s">
        <v>148</v>
      </c>
      <c r="Z3657" s="2">
        <v>1</v>
      </c>
      <c r="AA3657" s="2" t="s">
        <v>82</v>
      </c>
      <c r="AB3657" s="2">
        <v>6</v>
      </c>
      <c r="AC3657" s="2" t="s">
        <v>83</v>
      </c>
      <c r="AD3657" s="3">
        <v>40426</v>
      </c>
      <c r="AE3657" s="4">
        <v>0.69791666666666663</v>
      </c>
      <c r="AF3657" s="3">
        <v>40426</v>
      </c>
      <c r="AG3657" s="4">
        <v>0.75</v>
      </c>
      <c r="AH3657" s="2">
        <v>3</v>
      </c>
      <c r="AI3657" s="2" t="s">
        <v>214</v>
      </c>
      <c r="AJ3657" s="2">
        <v>24</v>
      </c>
      <c r="AK3657" s="2" t="s">
        <v>215</v>
      </c>
      <c r="AL3657" s="2">
        <v>22</v>
      </c>
      <c r="AM3657" s="2" t="s">
        <v>1853</v>
      </c>
      <c r="AN3657" s="2" t="s">
        <v>107</v>
      </c>
      <c r="AO3657" s="2" t="s">
        <v>11674</v>
      </c>
      <c r="AP3657" s="2">
        <v>11</v>
      </c>
      <c r="AQ3657" s="2" t="s">
        <v>82</v>
      </c>
      <c r="AR3657" s="2"/>
      <c r="AS3657" s="2"/>
      <c r="AT3657" s="2" t="s">
        <v>11675</v>
      </c>
      <c r="AU3657" s="2"/>
      <c r="AV3657" s="2"/>
      <c r="AW3657" s="2"/>
      <c r="AX3657" s="2"/>
      <c r="AY3657" s="2">
        <v>41</v>
      </c>
      <c r="AZ3657" s="2" t="s">
        <v>82</v>
      </c>
      <c r="BA3657" s="2">
        <v>41</v>
      </c>
      <c r="BB3657" s="2" t="s">
        <v>82</v>
      </c>
      <c r="BC3657" s="2">
        <v>41</v>
      </c>
      <c r="BD3657" s="2" t="s">
        <v>82</v>
      </c>
      <c r="BE3657" s="2">
        <v>17</v>
      </c>
      <c r="BF3657" s="2" t="s">
        <v>508</v>
      </c>
      <c r="BG3657" s="2">
        <v>942</v>
      </c>
      <c r="BH3657" s="4">
        <v>0.69097222222222221</v>
      </c>
      <c r="BI3657" s="4">
        <v>0.5625</v>
      </c>
      <c r="BJ3657" s="2">
        <v>33</v>
      </c>
      <c r="BK3657" s="2" t="s">
        <v>361</v>
      </c>
      <c r="BL3657" s="2" t="s">
        <v>1739</v>
      </c>
      <c r="BM3657" s="2">
        <v>46</v>
      </c>
      <c r="BN3657" s="2" t="s">
        <v>307</v>
      </c>
      <c r="BO3657" s="2" t="s">
        <v>308</v>
      </c>
      <c r="BP3657" s="2">
        <v>13</v>
      </c>
      <c r="BQ3657" s="2" t="s">
        <v>91</v>
      </c>
      <c r="BR3657" s="2" t="s">
        <v>169</v>
      </c>
      <c r="BS3657" s="3">
        <v>40426</v>
      </c>
      <c r="BT3657" s="4">
        <v>0.80922453703703701</v>
      </c>
    </row>
    <row r="3658" spans="1:72" x14ac:dyDescent="0.25">
      <c r="A3658" s="2">
        <v>5388</v>
      </c>
      <c r="B3658" s="2">
        <v>2010</v>
      </c>
      <c r="C3658" s="2" t="s">
        <v>72</v>
      </c>
      <c r="D3658" s="2" t="s">
        <v>73</v>
      </c>
      <c r="E3658" s="2"/>
      <c r="F3658" s="2">
        <v>673</v>
      </c>
      <c r="G3658" s="2" t="s">
        <v>11655</v>
      </c>
      <c r="H3658" s="2">
        <v>108</v>
      </c>
      <c r="I3658" s="2" t="s">
        <v>1096</v>
      </c>
      <c r="J3658" s="2">
        <v>657</v>
      </c>
      <c r="K3658" s="2" t="s">
        <v>11502</v>
      </c>
      <c r="L3658" s="2" t="s">
        <v>11656</v>
      </c>
      <c r="M3658" s="3">
        <v>40426</v>
      </c>
      <c r="N3658" s="2" t="s">
        <v>11676</v>
      </c>
      <c r="O3658" s="2"/>
      <c r="P3658" s="2"/>
      <c r="Q3658" s="2" t="str">
        <f>"354-A/10"</f>
        <v>354-A/10</v>
      </c>
      <c r="R3658" s="2" t="s">
        <v>11677</v>
      </c>
      <c r="S3658" s="2" t="s">
        <v>11677</v>
      </c>
      <c r="T3658" s="2">
        <v>1</v>
      </c>
      <c r="U3658" s="2" t="s">
        <v>79</v>
      </c>
      <c r="V3658" s="2">
        <v>1</v>
      </c>
      <c r="W3658" s="2" t="s">
        <v>80</v>
      </c>
      <c r="X3658" s="2">
        <v>12</v>
      </c>
      <c r="Y3658" s="2" t="s">
        <v>148</v>
      </c>
      <c r="Z3658" s="2">
        <v>1</v>
      </c>
      <c r="AA3658" s="2" t="s">
        <v>82</v>
      </c>
      <c r="AB3658" s="2">
        <v>6</v>
      </c>
      <c r="AC3658" s="2" t="s">
        <v>83</v>
      </c>
      <c r="AD3658" s="3">
        <v>40405</v>
      </c>
      <c r="AE3658" s="2"/>
      <c r="AF3658" s="3">
        <v>40426</v>
      </c>
      <c r="AG3658" s="4">
        <v>0.84722222222222221</v>
      </c>
      <c r="AH3658" s="2">
        <v>2</v>
      </c>
      <c r="AI3658" s="2" t="s">
        <v>84</v>
      </c>
      <c r="AJ3658" s="2">
        <v>12</v>
      </c>
      <c r="AK3658" s="2" t="s">
        <v>85</v>
      </c>
      <c r="AL3658" s="2">
        <v>22</v>
      </c>
      <c r="AM3658" s="2" t="s">
        <v>1853</v>
      </c>
      <c r="AN3658" s="2"/>
      <c r="AO3658" s="2" t="s">
        <v>11678</v>
      </c>
      <c r="AP3658" s="2">
        <v>11</v>
      </c>
      <c r="AQ3658" s="2" t="s">
        <v>82</v>
      </c>
      <c r="AR3658" s="2"/>
      <c r="AS3658" s="2"/>
      <c r="AT3658" s="2" t="s">
        <v>11679</v>
      </c>
      <c r="AU3658" s="2"/>
      <c r="AV3658" s="2"/>
      <c r="AW3658" s="2"/>
      <c r="AX3658" s="2"/>
      <c r="AY3658" s="2">
        <v>41</v>
      </c>
      <c r="AZ3658" s="2" t="s">
        <v>82</v>
      </c>
      <c r="BA3658" s="2">
        <v>41</v>
      </c>
      <c r="BB3658" s="2" t="s">
        <v>82</v>
      </c>
      <c r="BC3658" s="2">
        <v>41</v>
      </c>
      <c r="BD3658" s="2" t="s">
        <v>82</v>
      </c>
      <c r="BE3658" s="2">
        <v>13</v>
      </c>
      <c r="BF3658" s="2" t="s">
        <v>108</v>
      </c>
      <c r="BG3658" s="2" t="s">
        <v>3196</v>
      </c>
      <c r="BH3658" s="4">
        <v>0.55208333333333337</v>
      </c>
      <c r="BI3658" s="4">
        <v>0.40972222222222227</v>
      </c>
      <c r="BJ3658" s="2">
        <v>13</v>
      </c>
      <c r="BK3658" s="2" t="s">
        <v>91</v>
      </c>
      <c r="BL3658" s="2" t="s">
        <v>360</v>
      </c>
      <c r="BM3658" s="2">
        <v>241</v>
      </c>
      <c r="BN3658" s="2" t="s">
        <v>82</v>
      </c>
      <c r="BO3658" s="2"/>
      <c r="BP3658" s="2">
        <v>13</v>
      </c>
      <c r="BQ3658" s="2" t="s">
        <v>91</v>
      </c>
      <c r="BR3658" s="2" t="s">
        <v>445</v>
      </c>
      <c r="BS3658" s="3">
        <v>40426</v>
      </c>
      <c r="BT3658" s="4">
        <v>0.95400462962962962</v>
      </c>
    </row>
    <row r="3659" spans="1:72" x14ac:dyDescent="0.25">
      <c r="A3659" s="2">
        <v>5389</v>
      </c>
      <c r="B3659" s="2">
        <v>2010</v>
      </c>
      <c r="C3659" s="2" t="s">
        <v>72</v>
      </c>
      <c r="D3659" s="2" t="s">
        <v>73</v>
      </c>
      <c r="E3659" s="2"/>
      <c r="F3659" s="2">
        <v>11</v>
      </c>
      <c r="G3659" s="2" t="s">
        <v>2454</v>
      </c>
      <c r="H3659" s="2">
        <v>4</v>
      </c>
      <c r="I3659" s="2" t="s">
        <v>173</v>
      </c>
      <c r="J3659" s="2">
        <v>19</v>
      </c>
      <c r="K3659" s="2" t="s">
        <v>2144</v>
      </c>
      <c r="L3659" s="2" t="s">
        <v>2145</v>
      </c>
      <c r="M3659" s="3">
        <v>40426</v>
      </c>
      <c r="N3659" s="2" t="s">
        <v>3178</v>
      </c>
      <c r="O3659" s="2" t="s">
        <v>107</v>
      </c>
      <c r="P3659" s="2" t="s">
        <v>107</v>
      </c>
      <c r="Q3659" s="2" t="str">
        <f>"51 - 10"</f>
        <v>51 - 10</v>
      </c>
      <c r="R3659" s="2" t="s">
        <v>107</v>
      </c>
      <c r="S3659" s="2" t="s">
        <v>116</v>
      </c>
      <c r="T3659" s="2">
        <v>1</v>
      </c>
      <c r="U3659" s="2" t="s">
        <v>79</v>
      </c>
      <c r="V3659" s="2">
        <v>1</v>
      </c>
      <c r="W3659" s="2" t="s">
        <v>80</v>
      </c>
      <c r="X3659" s="2">
        <v>12</v>
      </c>
      <c r="Y3659" s="2" t="s">
        <v>148</v>
      </c>
      <c r="Z3659" s="2">
        <v>1</v>
      </c>
      <c r="AA3659" s="2" t="s">
        <v>82</v>
      </c>
      <c r="AB3659" s="2">
        <v>6</v>
      </c>
      <c r="AC3659" s="2" t="s">
        <v>83</v>
      </c>
      <c r="AD3659" s="3">
        <v>40426</v>
      </c>
      <c r="AE3659" s="2"/>
      <c r="AF3659" s="3">
        <v>40426</v>
      </c>
      <c r="AG3659" s="4">
        <v>0.84722222222222221</v>
      </c>
      <c r="AH3659" s="2">
        <v>3</v>
      </c>
      <c r="AI3659" s="2" t="s">
        <v>214</v>
      </c>
      <c r="AJ3659" s="2">
        <v>24</v>
      </c>
      <c r="AK3659" s="2" t="s">
        <v>215</v>
      </c>
      <c r="AL3659" s="2">
        <v>22</v>
      </c>
      <c r="AM3659" s="2" t="s">
        <v>1853</v>
      </c>
      <c r="AN3659" s="2"/>
      <c r="AO3659" s="2" t="s">
        <v>11680</v>
      </c>
      <c r="AP3659" s="2">
        <v>11</v>
      </c>
      <c r="AQ3659" s="2" t="s">
        <v>82</v>
      </c>
      <c r="AR3659" s="2"/>
      <c r="AS3659" s="2"/>
      <c r="AT3659" s="2" t="s">
        <v>11681</v>
      </c>
      <c r="AU3659" s="2"/>
      <c r="AV3659" s="2"/>
      <c r="AW3659" s="2"/>
      <c r="AX3659" s="2"/>
      <c r="AY3659" s="2">
        <v>41</v>
      </c>
      <c r="AZ3659" s="2" t="s">
        <v>82</v>
      </c>
      <c r="BA3659" s="2">
        <v>41</v>
      </c>
      <c r="BB3659" s="2" t="s">
        <v>82</v>
      </c>
      <c r="BC3659" s="2">
        <v>41</v>
      </c>
      <c r="BD3659" s="2" t="s">
        <v>82</v>
      </c>
      <c r="BE3659" s="2">
        <v>13</v>
      </c>
      <c r="BF3659" s="2" t="s">
        <v>108</v>
      </c>
      <c r="BG3659" s="2">
        <v>1261</v>
      </c>
      <c r="BH3659" s="4">
        <v>0.81944444444444453</v>
      </c>
      <c r="BI3659" s="4">
        <v>0.43402777777777773</v>
      </c>
      <c r="BJ3659" s="2">
        <v>172</v>
      </c>
      <c r="BK3659" s="2" t="s">
        <v>843</v>
      </c>
      <c r="BL3659" s="2" t="s">
        <v>844</v>
      </c>
      <c r="BM3659" s="2">
        <v>13</v>
      </c>
      <c r="BN3659" s="2" t="s">
        <v>91</v>
      </c>
      <c r="BO3659" s="2" t="s">
        <v>185</v>
      </c>
      <c r="BP3659" s="2">
        <v>13</v>
      </c>
      <c r="BQ3659" s="2" t="s">
        <v>91</v>
      </c>
      <c r="BR3659" s="2" t="s">
        <v>169</v>
      </c>
      <c r="BS3659" s="3">
        <v>40426</v>
      </c>
      <c r="BT3659" s="4">
        <v>0.96363425925925927</v>
      </c>
    </row>
    <row r="3660" spans="1:72" x14ac:dyDescent="0.25">
      <c r="A3660" s="2">
        <v>5390</v>
      </c>
      <c r="B3660" s="2">
        <v>2010</v>
      </c>
      <c r="C3660" s="2" t="s">
        <v>72</v>
      </c>
      <c r="D3660" s="2" t="s">
        <v>73</v>
      </c>
      <c r="E3660" s="2"/>
      <c r="F3660" s="2">
        <v>535</v>
      </c>
      <c r="G3660" s="2" t="s">
        <v>9438</v>
      </c>
      <c r="H3660" s="2">
        <v>31</v>
      </c>
      <c r="I3660" s="2" t="s">
        <v>880</v>
      </c>
      <c r="J3660" s="2">
        <v>326</v>
      </c>
      <c r="K3660" s="2" t="s">
        <v>881</v>
      </c>
      <c r="L3660" s="2" t="s">
        <v>882</v>
      </c>
      <c r="M3660" s="3">
        <v>40427</v>
      </c>
      <c r="N3660" s="2" t="s">
        <v>821</v>
      </c>
      <c r="O3660" s="2"/>
      <c r="P3660" s="2"/>
      <c r="Q3660" s="2" t="str">
        <f>"093/2010"</f>
        <v>093/2010</v>
      </c>
      <c r="R3660" s="2"/>
      <c r="S3660" s="2" t="s">
        <v>822</v>
      </c>
      <c r="T3660" s="2">
        <v>1</v>
      </c>
      <c r="U3660" s="2" t="s">
        <v>79</v>
      </c>
      <c r="V3660" s="2">
        <v>1</v>
      </c>
      <c r="W3660" s="2" t="s">
        <v>80</v>
      </c>
      <c r="X3660" s="2">
        <v>12</v>
      </c>
      <c r="Y3660" s="2" t="s">
        <v>148</v>
      </c>
      <c r="Z3660" s="2">
        <v>1</v>
      </c>
      <c r="AA3660" s="2" t="s">
        <v>82</v>
      </c>
      <c r="AB3660" s="2">
        <v>6</v>
      </c>
      <c r="AC3660" s="2" t="s">
        <v>83</v>
      </c>
      <c r="AD3660" s="3">
        <v>40426</v>
      </c>
      <c r="AE3660" s="2"/>
      <c r="AF3660" s="3">
        <v>40426</v>
      </c>
      <c r="AG3660" s="4">
        <v>0.95833333333333337</v>
      </c>
      <c r="AH3660" s="2">
        <v>4</v>
      </c>
      <c r="AI3660" s="2" t="s">
        <v>125</v>
      </c>
      <c r="AJ3660" s="2">
        <v>29</v>
      </c>
      <c r="AK3660" s="2" t="s">
        <v>227</v>
      </c>
      <c r="AL3660" s="2">
        <v>22</v>
      </c>
      <c r="AM3660" s="2" t="s">
        <v>1853</v>
      </c>
      <c r="AN3660" s="2" t="s">
        <v>2957</v>
      </c>
      <c r="AO3660" s="2" t="s">
        <v>3620</v>
      </c>
      <c r="AP3660" s="2">
        <v>11</v>
      </c>
      <c r="AQ3660" s="2" t="s">
        <v>82</v>
      </c>
      <c r="AR3660" s="2"/>
      <c r="AS3660" s="2"/>
      <c r="AT3660" s="2" t="s">
        <v>11682</v>
      </c>
      <c r="AU3660" s="2"/>
      <c r="AV3660" s="2"/>
      <c r="AW3660" s="2"/>
      <c r="AX3660" s="2"/>
      <c r="AY3660" s="2">
        <v>41</v>
      </c>
      <c r="AZ3660" s="2" t="s">
        <v>82</v>
      </c>
      <c r="BA3660" s="2">
        <v>41</v>
      </c>
      <c r="BB3660" s="2" t="s">
        <v>82</v>
      </c>
      <c r="BC3660" s="2">
        <v>41</v>
      </c>
      <c r="BD3660" s="2" t="s">
        <v>82</v>
      </c>
      <c r="BE3660" s="2">
        <v>13</v>
      </c>
      <c r="BF3660" s="2" t="s">
        <v>108</v>
      </c>
      <c r="BG3660" s="2" t="s">
        <v>11683</v>
      </c>
      <c r="BH3660" s="4">
        <v>0.93055555555555547</v>
      </c>
      <c r="BI3660" s="4">
        <v>0.96527777777777779</v>
      </c>
      <c r="BJ3660" s="2">
        <v>13</v>
      </c>
      <c r="BK3660" s="2" t="s">
        <v>91</v>
      </c>
      <c r="BL3660" s="2" t="s">
        <v>241</v>
      </c>
      <c r="BM3660" s="2">
        <v>13</v>
      </c>
      <c r="BN3660" s="2" t="s">
        <v>91</v>
      </c>
      <c r="BO3660" s="2" t="s">
        <v>185</v>
      </c>
      <c r="BP3660" s="2">
        <v>13</v>
      </c>
      <c r="BQ3660" s="2" t="s">
        <v>91</v>
      </c>
      <c r="BR3660" s="2" t="s">
        <v>828</v>
      </c>
      <c r="BS3660" s="3">
        <v>40427</v>
      </c>
      <c r="BT3660" s="4">
        <v>3.8692129629629632E-2</v>
      </c>
    </row>
    <row r="3661" spans="1:72" x14ac:dyDescent="0.25">
      <c r="A3661" s="2">
        <v>5391</v>
      </c>
      <c r="B3661" s="2">
        <v>2010</v>
      </c>
      <c r="C3661" s="2" t="s">
        <v>171</v>
      </c>
      <c r="D3661" s="2" t="s">
        <v>73</v>
      </c>
      <c r="E3661" s="2"/>
      <c r="F3661" s="2">
        <v>393</v>
      </c>
      <c r="G3661" s="2" t="s">
        <v>3660</v>
      </c>
      <c r="H3661" s="2">
        <v>2</v>
      </c>
      <c r="I3661" s="2" t="s">
        <v>267</v>
      </c>
      <c r="J3661" s="2">
        <v>2</v>
      </c>
      <c r="K3661" s="2" t="s">
        <v>3661</v>
      </c>
      <c r="L3661" s="2" t="s">
        <v>3662</v>
      </c>
      <c r="M3661" s="3">
        <v>40427</v>
      </c>
      <c r="N3661" s="2" t="s">
        <v>11684</v>
      </c>
      <c r="O3661" s="2" t="s">
        <v>11685</v>
      </c>
      <c r="P3661" s="2">
        <v>5836</v>
      </c>
      <c r="Q3661" s="2" t="str">
        <f>"06R/10"</f>
        <v>06R/10</v>
      </c>
      <c r="R3661" s="2" t="s">
        <v>11686</v>
      </c>
      <c r="S3661" s="2"/>
      <c r="T3661" s="2">
        <v>1</v>
      </c>
      <c r="U3661" s="2" t="s">
        <v>79</v>
      </c>
      <c r="V3661" s="2">
        <v>1</v>
      </c>
      <c r="W3661" s="2" t="s">
        <v>80</v>
      </c>
      <c r="X3661" s="2">
        <v>6</v>
      </c>
      <c r="Y3661" s="2" t="s">
        <v>249</v>
      </c>
      <c r="Z3661" s="2">
        <v>1</v>
      </c>
      <c r="AA3661" s="2" t="s">
        <v>82</v>
      </c>
      <c r="AB3661" s="2">
        <v>1</v>
      </c>
      <c r="AC3661" s="2" t="s">
        <v>178</v>
      </c>
      <c r="AD3661" s="3">
        <v>40426</v>
      </c>
      <c r="AE3661" s="4">
        <v>0.77083333333333337</v>
      </c>
      <c r="AF3661" s="2"/>
      <c r="AG3661" s="2"/>
      <c r="AH3661" s="2">
        <v>2</v>
      </c>
      <c r="AI3661" s="2" t="s">
        <v>84</v>
      </c>
      <c r="AJ3661" s="2">
        <v>6</v>
      </c>
      <c r="AK3661" s="2" t="s">
        <v>453</v>
      </c>
      <c r="AL3661" s="2">
        <v>11</v>
      </c>
      <c r="AM3661" s="2" t="s">
        <v>137</v>
      </c>
      <c r="AN3661" s="2" t="s">
        <v>1340</v>
      </c>
      <c r="AO3661" s="2" t="s">
        <v>987</v>
      </c>
      <c r="AP3661" s="2">
        <v>11</v>
      </c>
      <c r="AQ3661" s="2" t="s">
        <v>82</v>
      </c>
      <c r="AR3661" s="2"/>
      <c r="AS3661" s="2"/>
      <c r="AT3661" s="2" t="s">
        <v>11687</v>
      </c>
      <c r="AU3661" s="2"/>
      <c r="AV3661" s="2">
        <v>1</v>
      </c>
      <c r="AW3661" s="2"/>
      <c r="AX3661" s="2"/>
      <c r="AY3661" s="2">
        <v>41</v>
      </c>
      <c r="AZ3661" s="2" t="s">
        <v>82</v>
      </c>
      <c r="BA3661" s="2">
        <v>41</v>
      </c>
      <c r="BB3661" s="2" t="s">
        <v>82</v>
      </c>
      <c r="BC3661" s="2">
        <v>41</v>
      </c>
      <c r="BD3661" s="2" t="s">
        <v>82</v>
      </c>
      <c r="BE3661" s="2">
        <v>18</v>
      </c>
      <c r="BF3661" s="2" t="s">
        <v>1091</v>
      </c>
      <c r="BG3661" s="2" t="s">
        <v>1092</v>
      </c>
      <c r="BH3661" s="2"/>
      <c r="BI3661" s="2"/>
      <c r="BJ3661" s="2">
        <v>13</v>
      </c>
      <c r="BK3661" s="2" t="s">
        <v>91</v>
      </c>
      <c r="BL3661" s="2" t="s">
        <v>360</v>
      </c>
      <c r="BM3661" s="2">
        <v>241</v>
      </c>
      <c r="BN3661" s="2" t="s">
        <v>82</v>
      </c>
      <c r="BO3661" s="2"/>
      <c r="BP3661" s="2">
        <v>205</v>
      </c>
      <c r="BQ3661" s="2" t="s">
        <v>1085</v>
      </c>
      <c r="BR3661" s="2" t="s">
        <v>11236</v>
      </c>
      <c r="BS3661" s="3">
        <v>40427</v>
      </c>
      <c r="BT3661" s="4">
        <v>6.2233796296296294E-2</v>
      </c>
    </row>
    <row r="3662" spans="1:72" x14ac:dyDescent="0.25">
      <c r="A3662" s="2">
        <v>5392</v>
      </c>
      <c r="B3662" s="2">
        <v>2010</v>
      </c>
      <c r="C3662" s="2" t="s">
        <v>171</v>
      </c>
      <c r="D3662" s="2" t="s">
        <v>73</v>
      </c>
      <c r="E3662" s="2"/>
      <c r="F3662" s="2">
        <v>394</v>
      </c>
      <c r="G3662" s="2" t="s">
        <v>172</v>
      </c>
      <c r="H3662" s="2">
        <v>4</v>
      </c>
      <c r="I3662" s="2" t="s">
        <v>173</v>
      </c>
      <c r="J3662" s="2">
        <v>241</v>
      </c>
      <c r="K3662" s="2" t="s">
        <v>174</v>
      </c>
      <c r="L3662" s="2" t="s">
        <v>175</v>
      </c>
      <c r="M3662" s="3">
        <v>40427</v>
      </c>
      <c r="N3662" s="2" t="s">
        <v>11688</v>
      </c>
      <c r="O3662" s="2"/>
      <c r="P3662" s="2" t="s">
        <v>107</v>
      </c>
      <c r="Q3662" s="2" t="str">
        <f>"453-E/10"</f>
        <v>453-E/10</v>
      </c>
      <c r="R3662" s="2" t="s">
        <v>391</v>
      </c>
      <c r="S3662" s="2" t="s">
        <v>391</v>
      </c>
      <c r="T3662" s="2">
        <v>1</v>
      </c>
      <c r="U3662" s="2" t="s">
        <v>79</v>
      </c>
      <c r="V3662" s="2">
        <v>1</v>
      </c>
      <c r="W3662" s="2" t="s">
        <v>80</v>
      </c>
      <c r="X3662" s="2">
        <v>11</v>
      </c>
      <c r="Y3662" s="2" t="s">
        <v>1920</v>
      </c>
      <c r="Z3662" s="2">
        <v>1</v>
      </c>
      <c r="AA3662" s="2" t="s">
        <v>82</v>
      </c>
      <c r="AB3662" s="2">
        <v>1</v>
      </c>
      <c r="AC3662" s="2" t="s">
        <v>178</v>
      </c>
      <c r="AD3662" s="3">
        <v>40426</v>
      </c>
      <c r="AE3662" s="4">
        <v>0.4375</v>
      </c>
      <c r="AF3662" s="2"/>
      <c r="AG3662" s="2"/>
      <c r="AH3662" s="2">
        <v>2</v>
      </c>
      <c r="AI3662" s="2" t="s">
        <v>84</v>
      </c>
      <c r="AJ3662" s="2">
        <v>9</v>
      </c>
      <c r="AK3662" s="2" t="s">
        <v>103</v>
      </c>
      <c r="AL3662" s="2">
        <v>12</v>
      </c>
      <c r="AM3662" s="2" t="s">
        <v>86</v>
      </c>
      <c r="AN3662" s="2" t="s">
        <v>11689</v>
      </c>
      <c r="AO3662" s="2" t="s">
        <v>11690</v>
      </c>
      <c r="AP3662" s="2">
        <v>11</v>
      </c>
      <c r="AQ3662" s="2" t="s">
        <v>82</v>
      </c>
      <c r="AR3662" s="2"/>
      <c r="AS3662" s="2"/>
      <c r="AT3662" s="2" t="s">
        <v>11691</v>
      </c>
      <c r="AU3662" s="2"/>
      <c r="AV3662" s="2">
        <v>1</v>
      </c>
      <c r="AW3662" s="2"/>
      <c r="AX3662" s="2"/>
      <c r="AY3662" s="2">
        <v>41</v>
      </c>
      <c r="AZ3662" s="2" t="s">
        <v>82</v>
      </c>
      <c r="BA3662" s="2">
        <v>41</v>
      </c>
      <c r="BB3662" s="2" t="s">
        <v>82</v>
      </c>
      <c r="BC3662" s="2">
        <v>41</v>
      </c>
      <c r="BD3662" s="2" t="s">
        <v>82</v>
      </c>
      <c r="BE3662" s="2">
        <v>31</v>
      </c>
      <c r="BF3662" s="2" t="s">
        <v>398</v>
      </c>
      <c r="BG3662" s="2">
        <v>6842</v>
      </c>
      <c r="BH3662" s="2"/>
      <c r="BI3662" s="4">
        <v>0.53472222222222221</v>
      </c>
      <c r="BJ3662" s="2">
        <v>13</v>
      </c>
      <c r="BK3662" s="2" t="s">
        <v>91</v>
      </c>
      <c r="BL3662" s="2" t="s">
        <v>360</v>
      </c>
      <c r="BM3662" s="2">
        <v>73</v>
      </c>
      <c r="BN3662" s="2" t="s">
        <v>186</v>
      </c>
      <c r="BO3662" s="2" t="s">
        <v>11692</v>
      </c>
      <c r="BP3662" s="2">
        <v>109</v>
      </c>
      <c r="BQ3662" s="2" t="s">
        <v>6899</v>
      </c>
      <c r="BR3662" s="2" t="s">
        <v>6900</v>
      </c>
      <c r="BS3662" s="3">
        <v>40427</v>
      </c>
      <c r="BT3662" s="4">
        <v>9.854166666666668E-2</v>
      </c>
    </row>
    <row r="3663" spans="1:72" x14ac:dyDescent="0.25">
      <c r="A3663" s="2">
        <v>5393</v>
      </c>
      <c r="B3663" s="2">
        <v>2010</v>
      </c>
      <c r="C3663" s="2" t="s">
        <v>171</v>
      </c>
      <c r="D3663" s="2" t="s">
        <v>73</v>
      </c>
      <c r="E3663" s="2"/>
      <c r="F3663" s="2">
        <v>394</v>
      </c>
      <c r="G3663" s="2" t="s">
        <v>172</v>
      </c>
      <c r="H3663" s="2">
        <v>4</v>
      </c>
      <c r="I3663" s="2" t="s">
        <v>173</v>
      </c>
      <c r="J3663" s="2">
        <v>241</v>
      </c>
      <c r="K3663" s="2" t="s">
        <v>174</v>
      </c>
      <c r="L3663" s="2" t="s">
        <v>175</v>
      </c>
      <c r="M3663" s="3">
        <v>40427</v>
      </c>
      <c r="N3663" s="2" t="s">
        <v>11688</v>
      </c>
      <c r="O3663" s="2"/>
      <c r="P3663" s="2" t="s">
        <v>107</v>
      </c>
      <c r="Q3663" s="2" t="str">
        <f>"454-E/10"</f>
        <v>454-E/10</v>
      </c>
      <c r="R3663" s="2" t="s">
        <v>391</v>
      </c>
      <c r="S3663" s="2" t="s">
        <v>391</v>
      </c>
      <c r="T3663" s="2">
        <v>1</v>
      </c>
      <c r="U3663" s="2" t="s">
        <v>79</v>
      </c>
      <c r="V3663" s="2">
        <v>1</v>
      </c>
      <c r="W3663" s="2" t="s">
        <v>80</v>
      </c>
      <c r="X3663" s="2">
        <v>1</v>
      </c>
      <c r="Y3663" s="2" t="s">
        <v>81</v>
      </c>
      <c r="Z3663" s="2">
        <v>1</v>
      </c>
      <c r="AA3663" s="2" t="s">
        <v>82</v>
      </c>
      <c r="AB3663" s="2">
        <v>1</v>
      </c>
      <c r="AC3663" s="2" t="s">
        <v>178</v>
      </c>
      <c r="AD3663" s="3">
        <v>40426</v>
      </c>
      <c r="AE3663" s="4">
        <v>0.52430555555555558</v>
      </c>
      <c r="AF3663" s="2"/>
      <c r="AG3663" s="2"/>
      <c r="AH3663" s="2">
        <v>2</v>
      </c>
      <c r="AI3663" s="2" t="s">
        <v>84</v>
      </c>
      <c r="AJ3663" s="2">
        <v>9</v>
      </c>
      <c r="AK3663" s="2" t="s">
        <v>103</v>
      </c>
      <c r="AL3663" s="2">
        <v>11</v>
      </c>
      <c r="AM3663" s="2" t="s">
        <v>137</v>
      </c>
      <c r="AN3663" s="2" t="s">
        <v>11693</v>
      </c>
      <c r="AO3663" s="2" t="s">
        <v>987</v>
      </c>
      <c r="AP3663" s="2">
        <v>11</v>
      </c>
      <c r="AQ3663" s="2" t="s">
        <v>82</v>
      </c>
      <c r="AR3663" s="2"/>
      <c r="AS3663" s="2"/>
      <c r="AT3663" s="2" t="s">
        <v>11694</v>
      </c>
      <c r="AU3663" s="2"/>
      <c r="AV3663" s="2">
        <v>1</v>
      </c>
      <c r="AW3663" s="2"/>
      <c r="AX3663" s="2"/>
      <c r="AY3663" s="2">
        <v>41</v>
      </c>
      <c r="AZ3663" s="2" t="s">
        <v>82</v>
      </c>
      <c r="BA3663" s="2">
        <v>41</v>
      </c>
      <c r="BB3663" s="2" t="s">
        <v>82</v>
      </c>
      <c r="BC3663" s="2">
        <v>41</v>
      </c>
      <c r="BD3663" s="2" t="s">
        <v>82</v>
      </c>
      <c r="BE3663" s="2">
        <v>27</v>
      </c>
      <c r="BF3663" s="2" t="s">
        <v>2197</v>
      </c>
      <c r="BG3663" s="2" t="s">
        <v>2198</v>
      </c>
      <c r="BH3663" s="2"/>
      <c r="BI3663" s="2"/>
      <c r="BJ3663" s="2">
        <v>13</v>
      </c>
      <c r="BK3663" s="2" t="s">
        <v>91</v>
      </c>
      <c r="BL3663" s="2" t="s">
        <v>360</v>
      </c>
      <c r="BM3663" s="2">
        <v>112</v>
      </c>
      <c r="BN3663" s="2" t="s">
        <v>110</v>
      </c>
      <c r="BO3663" s="2" t="s">
        <v>11695</v>
      </c>
      <c r="BP3663" s="2">
        <v>166</v>
      </c>
      <c r="BQ3663" s="2" t="s">
        <v>401</v>
      </c>
      <c r="BR3663" s="2" t="s">
        <v>5028</v>
      </c>
      <c r="BS3663" s="3">
        <v>40427</v>
      </c>
      <c r="BT3663" s="4">
        <v>0.12943287037037038</v>
      </c>
    </row>
    <row r="3664" spans="1:72" x14ac:dyDescent="0.25">
      <c r="A3664" s="2">
        <v>5396</v>
      </c>
      <c r="B3664" s="2">
        <v>2010</v>
      </c>
      <c r="C3664" s="2" t="s">
        <v>196</v>
      </c>
      <c r="D3664" s="2" t="s">
        <v>122</v>
      </c>
      <c r="E3664" s="2"/>
      <c r="F3664" s="2">
        <v>1</v>
      </c>
      <c r="G3664" s="2" t="s">
        <v>82</v>
      </c>
      <c r="H3664" s="2">
        <v>1</v>
      </c>
      <c r="I3664" s="2" t="s">
        <v>82</v>
      </c>
      <c r="J3664" s="2">
        <v>1</v>
      </c>
      <c r="K3664" s="2" t="s">
        <v>107</v>
      </c>
      <c r="L3664" s="2" t="s">
        <v>107</v>
      </c>
      <c r="M3664" s="3">
        <v>40427</v>
      </c>
      <c r="N3664" s="2"/>
      <c r="O3664" s="2"/>
      <c r="P3664" s="2"/>
      <c r="Q3664" s="2" t="str">
        <f>""</f>
        <v/>
      </c>
      <c r="R3664" s="2"/>
      <c r="S3664" s="2"/>
      <c r="T3664" s="2">
        <v>2</v>
      </c>
      <c r="U3664" s="2" t="s">
        <v>123</v>
      </c>
      <c r="V3664" s="2">
        <v>1</v>
      </c>
      <c r="W3664" s="2" t="s">
        <v>80</v>
      </c>
      <c r="X3664" s="2">
        <v>5</v>
      </c>
      <c r="Y3664" s="2" t="s">
        <v>82</v>
      </c>
      <c r="Z3664" s="2">
        <v>1</v>
      </c>
      <c r="AA3664" s="2" t="s">
        <v>82</v>
      </c>
      <c r="AB3664" s="2">
        <v>9</v>
      </c>
      <c r="AC3664" s="2" t="s">
        <v>124</v>
      </c>
      <c r="AD3664" s="3">
        <v>40427</v>
      </c>
      <c r="AE3664" s="4">
        <v>0.37847222222222227</v>
      </c>
      <c r="AF3664" s="2"/>
      <c r="AG3664" s="2"/>
      <c r="AH3664" s="2">
        <v>6</v>
      </c>
      <c r="AI3664" s="2" t="s">
        <v>197</v>
      </c>
      <c r="AJ3664" s="2">
        <v>58</v>
      </c>
      <c r="AK3664" s="2" t="s">
        <v>406</v>
      </c>
      <c r="AL3664" s="2">
        <v>18</v>
      </c>
      <c r="AM3664" s="2" t="s">
        <v>82</v>
      </c>
      <c r="AN3664" s="2" t="s">
        <v>10718</v>
      </c>
      <c r="AO3664" s="2" t="s">
        <v>11696</v>
      </c>
      <c r="AP3664" s="2">
        <v>11</v>
      </c>
      <c r="AQ3664" s="2" t="s">
        <v>82</v>
      </c>
      <c r="AR3664" s="2"/>
      <c r="AS3664" s="2"/>
      <c r="AT3664" s="2" t="s">
        <v>11697</v>
      </c>
      <c r="AU3664" s="2"/>
      <c r="AV3664" s="2"/>
      <c r="AW3664" s="2"/>
      <c r="AX3664" s="2"/>
      <c r="AY3664" s="2">
        <v>1</v>
      </c>
      <c r="AZ3664" s="2" t="s">
        <v>107</v>
      </c>
      <c r="BA3664" s="2">
        <v>1</v>
      </c>
      <c r="BB3664" s="2" t="s">
        <v>107</v>
      </c>
      <c r="BC3664" s="2">
        <v>1</v>
      </c>
      <c r="BD3664" s="2" t="s">
        <v>107</v>
      </c>
      <c r="BE3664" s="2">
        <v>1</v>
      </c>
      <c r="BF3664" s="2" t="s">
        <v>107</v>
      </c>
      <c r="BG3664" s="2"/>
      <c r="BH3664" s="2"/>
      <c r="BI3664" s="4">
        <v>0.37847222222222227</v>
      </c>
      <c r="BJ3664" s="2">
        <v>242</v>
      </c>
      <c r="BK3664" s="2" t="s">
        <v>107</v>
      </c>
      <c r="BL3664" s="2" t="s">
        <v>492</v>
      </c>
      <c r="BM3664" s="2">
        <v>242</v>
      </c>
      <c r="BN3664" s="2" t="s">
        <v>107</v>
      </c>
      <c r="BO3664" s="2" t="s">
        <v>204</v>
      </c>
      <c r="BP3664" s="2">
        <v>242</v>
      </c>
      <c r="BQ3664" s="2" t="s">
        <v>107</v>
      </c>
      <c r="BR3664" s="2" t="s">
        <v>185</v>
      </c>
      <c r="BS3664" s="3">
        <v>40427</v>
      </c>
      <c r="BT3664" s="4">
        <v>0.40125000000000005</v>
      </c>
    </row>
    <row r="3665" spans="1:72" x14ac:dyDescent="0.25">
      <c r="A3665" s="2">
        <v>5403</v>
      </c>
      <c r="B3665" s="2">
        <v>2010</v>
      </c>
      <c r="C3665" s="2" t="s">
        <v>196</v>
      </c>
      <c r="D3665" s="2" t="s">
        <v>122</v>
      </c>
      <c r="E3665" s="2"/>
      <c r="F3665" s="2">
        <v>1</v>
      </c>
      <c r="G3665" s="2" t="s">
        <v>82</v>
      </c>
      <c r="H3665" s="2">
        <v>1</v>
      </c>
      <c r="I3665" s="2" t="s">
        <v>82</v>
      </c>
      <c r="J3665" s="2">
        <v>1</v>
      </c>
      <c r="K3665" s="2" t="s">
        <v>107</v>
      </c>
      <c r="L3665" s="2" t="s">
        <v>107</v>
      </c>
      <c r="M3665" s="3">
        <v>40427</v>
      </c>
      <c r="N3665" s="2"/>
      <c r="O3665" s="2"/>
      <c r="P3665" s="2"/>
      <c r="Q3665" s="2" t="str">
        <f>""</f>
        <v/>
      </c>
      <c r="R3665" s="2"/>
      <c r="S3665" s="2"/>
      <c r="T3665" s="2">
        <v>2</v>
      </c>
      <c r="U3665" s="2" t="s">
        <v>123</v>
      </c>
      <c r="V3665" s="2">
        <v>1</v>
      </c>
      <c r="W3665" s="2" t="s">
        <v>80</v>
      </c>
      <c r="X3665" s="2">
        <v>5</v>
      </c>
      <c r="Y3665" s="2" t="s">
        <v>82</v>
      </c>
      <c r="Z3665" s="2">
        <v>1</v>
      </c>
      <c r="AA3665" s="2" t="s">
        <v>82</v>
      </c>
      <c r="AB3665" s="2">
        <v>9</v>
      </c>
      <c r="AC3665" s="2" t="s">
        <v>124</v>
      </c>
      <c r="AD3665" s="3">
        <v>40427</v>
      </c>
      <c r="AE3665" s="4">
        <v>0.47916666666666669</v>
      </c>
      <c r="AF3665" s="2"/>
      <c r="AG3665" s="2"/>
      <c r="AH3665" s="2">
        <v>6</v>
      </c>
      <c r="AI3665" s="2" t="s">
        <v>197</v>
      </c>
      <c r="AJ3665" s="2">
        <v>59</v>
      </c>
      <c r="AK3665" s="2" t="s">
        <v>198</v>
      </c>
      <c r="AL3665" s="2">
        <v>18</v>
      </c>
      <c r="AM3665" s="2" t="s">
        <v>82</v>
      </c>
      <c r="AN3665" s="2" t="s">
        <v>10868</v>
      </c>
      <c r="AO3665" s="2" t="s">
        <v>230</v>
      </c>
      <c r="AP3665" s="2">
        <v>11</v>
      </c>
      <c r="AQ3665" s="2" t="s">
        <v>82</v>
      </c>
      <c r="AR3665" s="2"/>
      <c r="AS3665" s="2"/>
      <c r="AT3665" s="2" t="s">
        <v>11698</v>
      </c>
      <c r="AU3665" s="2"/>
      <c r="AV3665" s="2"/>
      <c r="AW3665" s="2"/>
      <c r="AX3665" s="2"/>
      <c r="AY3665" s="2">
        <v>1</v>
      </c>
      <c r="AZ3665" s="2" t="s">
        <v>107</v>
      </c>
      <c r="BA3665" s="2">
        <v>1</v>
      </c>
      <c r="BB3665" s="2" t="s">
        <v>107</v>
      </c>
      <c r="BC3665" s="2">
        <v>1</v>
      </c>
      <c r="BD3665" s="2" t="s">
        <v>107</v>
      </c>
      <c r="BE3665" s="2">
        <v>1</v>
      </c>
      <c r="BF3665" s="2" t="s">
        <v>107</v>
      </c>
      <c r="BG3665" s="2"/>
      <c r="BH3665" s="2"/>
      <c r="BI3665" s="2"/>
      <c r="BJ3665" s="2">
        <v>242</v>
      </c>
      <c r="BK3665" s="2" t="s">
        <v>107</v>
      </c>
      <c r="BL3665" s="2"/>
      <c r="BM3665" s="2">
        <v>242</v>
      </c>
      <c r="BN3665" s="2" t="s">
        <v>107</v>
      </c>
      <c r="BO3665" s="2"/>
      <c r="BP3665" s="2">
        <v>13</v>
      </c>
      <c r="BQ3665" s="2" t="s">
        <v>91</v>
      </c>
      <c r="BR3665" s="2" t="s">
        <v>11699</v>
      </c>
      <c r="BS3665" s="3">
        <v>40427</v>
      </c>
      <c r="BT3665" s="4">
        <v>0.47990740740740739</v>
      </c>
    </row>
    <row r="3666" spans="1:72" x14ac:dyDescent="0.25">
      <c r="A3666" s="2">
        <v>5405</v>
      </c>
      <c r="B3666" s="2">
        <v>2010</v>
      </c>
      <c r="C3666" s="2" t="s">
        <v>121</v>
      </c>
      <c r="D3666" s="2" t="s">
        <v>122</v>
      </c>
      <c r="E3666" s="2"/>
      <c r="F3666" s="2">
        <v>1</v>
      </c>
      <c r="G3666" s="2" t="s">
        <v>82</v>
      </c>
      <c r="H3666" s="2">
        <v>1</v>
      </c>
      <c r="I3666" s="2" t="s">
        <v>82</v>
      </c>
      <c r="J3666" s="2">
        <v>1</v>
      </c>
      <c r="K3666" s="2" t="s">
        <v>107</v>
      </c>
      <c r="L3666" s="2" t="s">
        <v>107</v>
      </c>
      <c r="M3666" s="3">
        <v>40427</v>
      </c>
      <c r="N3666" s="2"/>
      <c r="O3666" s="2"/>
      <c r="P3666" s="2"/>
      <c r="Q3666" s="2" t="str">
        <f>""</f>
        <v/>
      </c>
      <c r="R3666" s="2"/>
      <c r="S3666" s="2"/>
      <c r="T3666" s="2">
        <v>2</v>
      </c>
      <c r="U3666" s="2" t="s">
        <v>123</v>
      </c>
      <c r="V3666" s="2">
        <v>1</v>
      </c>
      <c r="W3666" s="2" t="s">
        <v>80</v>
      </c>
      <c r="X3666" s="2">
        <v>5</v>
      </c>
      <c r="Y3666" s="2" t="s">
        <v>82</v>
      </c>
      <c r="Z3666" s="2">
        <v>1</v>
      </c>
      <c r="AA3666" s="2" t="s">
        <v>82</v>
      </c>
      <c r="AB3666" s="2">
        <v>9</v>
      </c>
      <c r="AC3666" s="2" t="s">
        <v>124</v>
      </c>
      <c r="AD3666" s="3">
        <v>40427</v>
      </c>
      <c r="AE3666" s="4">
        <v>0.50138888888888888</v>
      </c>
      <c r="AF3666" s="2"/>
      <c r="AG3666" s="2"/>
      <c r="AH3666" s="2">
        <v>4</v>
      </c>
      <c r="AI3666" s="2" t="s">
        <v>125</v>
      </c>
      <c r="AJ3666" s="2">
        <v>30</v>
      </c>
      <c r="AK3666" s="2" t="s">
        <v>258</v>
      </c>
      <c r="AL3666" s="2">
        <v>10</v>
      </c>
      <c r="AM3666" s="2" t="s">
        <v>200</v>
      </c>
      <c r="AN3666" s="2"/>
      <c r="AO3666" s="2"/>
      <c r="AP3666" s="2">
        <v>11</v>
      </c>
      <c r="AQ3666" s="2" t="s">
        <v>82</v>
      </c>
      <c r="AR3666" s="2"/>
      <c r="AS3666" s="2"/>
      <c r="AT3666" s="2" t="s">
        <v>11700</v>
      </c>
      <c r="AU3666" s="2"/>
      <c r="AV3666" s="2"/>
      <c r="AW3666" s="2"/>
      <c r="AX3666" s="2"/>
      <c r="AY3666" s="2">
        <v>1</v>
      </c>
      <c r="AZ3666" s="2" t="s">
        <v>107</v>
      </c>
      <c r="BA3666" s="2">
        <v>1</v>
      </c>
      <c r="BB3666" s="2" t="s">
        <v>107</v>
      </c>
      <c r="BC3666" s="2">
        <v>1</v>
      </c>
      <c r="BD3666" s="2" t="s">
        <v>107</v>
      </c>
      <c r="BE3666" s="2">
        <v>63</v>
      </c>
      <c r="BF3666" s="2" t="s">
        <v>11701</v>
      </c>
      <c r="BG3666" s="2" t="s">
        <v>11702</v>
      </c>
      <c r="BH3666" s="4">
        <v>0.50138888888888888</v>
      </c>
      <c r="BI3666" s="2"/>
      <c r="BJ3666" s="2">
        <v>13</v>
      </c>
      <c r="BK3666" s="2" t="s">
        <v>91</v>
      </c>
      <c r="BL3666" s="2" t="s">
        <v>185</v>
      </c>
      <c r="BM3666" s="2">
        <v>242</v>
      </c>
      <c r="BN3666" s="2" t="s">
        <v>107</v>
      </c>
      <c r="BO3666" s="2"/>
      <c r="BP3666" s="2">
        <v>13</v>
      </c>
      <c r="BQ3666" s="2" t="s">
        <v>91</v>
      </c>
      <c r="BR3666" s="2" t="s">
        <v>2865</v>
      </c>
      <c r="BS3666" s="3">
        <v>40427</v>
      </c>
      <c r="BT3666" s="4">
        <v>0.51984953703703707</v>
      </c>
    </row>
    <row r="3667" spans="1:72" x14ac:dyDescent="0.25">
      <c r="A3667" s="2">
        <v>5407</v>
      </c>
      <c r="B3667" s="2">
        <v>2010</v>
      </c>
      <c r="C3667" s="2" t="s">
        <v>171</v>
      </c>
      <c r="D3667" s="2" t="s">
        <v>73</v>
      </c>
      <c r="E3667" s="2"/>
      <c r="F3667" s="2">
        <v>393</v>
      </c>
      <c r="G3667" s="2" t="s">
        <v>3660</v>
      </c>
      <c r="H3667" s="2">
        <v>2</v>
      </c>
      <c r="I3667" s="2" t="s">
        <v>267</v>
      </c>
      <c r="J3667" s="2">
        <v>2</v>
      </c>
      <c r="K3667" s="2" t="s">
        <v>3661</v>
      </c>
      <c r="L3667" s="2" t="s">
        <v>3662</v>
      </c>
      <c r="M3667" s="3">
        <v>40427</v>
      </c>
      <c r="N3667" s="2" t="s">
        <v>11481</v>
      </c>
      <c r="O3667" s="2" t="s">
        <v>11685</v>
      </c>
      <c r="P3667" s="2">
        <v>5836</v>
      </c>
      <c r="Q3667" s="2" t="str">
        <f>"06R/10"</f>
        <v>06R/10</v>
      </c>
      <c r="R3667" s="2" t="s">
        <v>11686</v>
      </c>
      <c r="S3667" s="2" t="s">
        <v>82</v>
      </c>
      <c r="T3667" s="2">
        <v>1</v>
      </c>
      <c r="U3667" s="2" t="s">
        <v>79</v>
      </c>
      <c r="V3667" s="2">
        <v>1</v>
      </c>
      <c r="W3667" s="2" t="s">
        <v>80</v>
      </c>
      <c r="X3667" s="2">
        <v>8</v>
      </c>
      <c r="Y3667" s="2" t="s">
        <v>375</v>
      </c>
      <c r="Z3667" s="2">
        <v>1</v>
      </c>
      <c r="AA3667" s="2" t="s">
        <v>82</v>
      </c>
      <c r="AB3667" s="2">
        <v>1</v>
      </c>
      <c r="AC3667" s="2" t="s">
        <v>178</v>
      </c>
      <c r="AD3667" s="3">
        <v>40427</v>
      </c>
      <c r="AE3667" s="4">
        <v>0.10416666666666667</v>
      </c>
      <c r="AF3667" s="2"/>
      <c r="AG3667" s="2"/>
      <c r="AH3667" s="2">
        <v>2</v>
      </c>
      <c r="AI3667" s="2" t="s">
        <v>84</v>
      </c>
      <c r="AJ3667" s="2">
        <v>6</v>
      </c>
      <c r="AK3667" s="2" t="s">
        <v>453</v>
      </c>
      <c r="AL3667" s="2">
        <v>23</v>
      </c>
      <c r="AM3667" s="2" t="s">
        <v>251</v>
      </c>
      <c r="AN3667" s="2"/>
      <c r="AO3667" s="2" t="s">
        <v>11703</v>
      </c>
      <c r="AP3667" s="2">
        <v>11</v>
      </c>
      <c r="AQ3667" s="2" t="s">
        <v>82</v>
      </c>
      <c r="AR3667" s="2"/>
      <c r="AS3667" s="2"/>
      <c r="AT3667" s="2" t="s">
        <v>11704</v>
      </c>
      <c r="AU3667" s="2"/>
      <c r="AV3667" s="2">
        <v>3</v>
      </c>
      <c r="AW3667" s="2"/>
      <c r="AX3667" s="2"/>
      <c r="AY3667" s="2">
        <v>41</v>
      </c>
      <c r="AZ3667" s="2" t="s">
        <v>82</v>
      </c>
      <c r="BA3667" s="2">
        <v>70</v>
      </c>
      <c r="BB3667" s="2" t="s">
        <v>236</v>
      </c>
      <c r="BC3667" s="2">
        <v>41</v>
      </c>
      <c r="BD3667" s="2" t="s">
        <v>82</v>
      </c>
      <c r="BE3667" s="2">
        <v>41</v>
      </c>
      <c r="BF3667" s="2" t="s">
        <v>82</v>
      </c>
      <c r="BG3667" s="2"/>
      <c r="BH3667" s="2"/>
      <c r="BI3667" s="2"/>
      <c r="BJ3667" s="2">
        <v>241</v>
      </c>
      <c r="BK3667" s="2" t="s">
        <v>82</v>
      </c>
      <c r="BL3667" s="2"/>
      <c r="BM3667" s="2">
        <v>241</v>
      </c>
      <c r="BN3667" s="2" t="s">
        <v>82</v>
      </c>
      <c r="BO3667" s="2"/>
      <c r="BP3667" s="2">
        <v>241</v>
      </c>
      <c r="BQ3667" s="2" t="s">
        <v>82</v>
      </c>
      <c r="BR3667" s="2"/>
      <c r="BS3667" s="3">
        <v>40427</v>
      </c>
      <c r="BT3667" s="4">
        <v>0.54686342592592596</v>
      </c>
    </row>
    <row r="3668" spans="1:72" x14ac:dyDescent="0.25">
      <c r="A3668" s="2">
        <v>5413</v>
      </c>
      <c r="B3668" s="2">
        <v>2010</v>
      </c>
      <c r="C3668" s="2" t="s">
        <v>457</v>
      </c>
      <c r="D3668" s="2" t="s">
        <v>73</v>
      </c>
      <c r="E3668" s="2"/>
      <c r="F3668" s="2">
        <v>467</v>
      </c>
      <c r="G3668" s="2" t="s">
        <v>1053</v>
      </c>
      <c r="H3668" s="2">
        <v>22</v>
      </c>
      <c r="I3668" s="2" t="s">
        <v>75</v>
      </c>
      <c r="J3668" s="2">
        <v>369</v>
      </c>
      <c r="K3668" s="2" t="s">
        <v>1054</v>
      </c>
      <c r="L3668" s="2" t="s">
        <v>1055</v>
      </c>
      <c r="M3668" s="3">
        <v>40427</v>
      </c>
      <c r="N3668" s="2" t="s">
        <v>11705</v>
      </c>
      <c r="O3668" s="2" t="s">
        <v>11706</v>
      </c>
      <c r="P3668" s="2" t="s">
        <v>11707</v>
      </c>
      <c r="Q3668" s="2" t="str">
        <f>""</f>
        <v/>
      </c>
      <c r="R3668" s="2"/>
      <c r="S3668" s="2"/>
      <c r="T3668" s="2">
        <v>1</v>
      </c>
      <c r="U3668" s="2" t="s">
        <v>79</v>
      </c>
      <c r="V3668" s="2">
        <v>1</v>
      </c>
      <c r="W3668" s="2" t="s">
        <v>80</v>
      </c>
      <c r="X3668" s="2">
        <v>4</v>
      </c>
      <c r="Y3668" s="2" t="s">
        <v>463</v>
      </c>
      <c r="Z3668" s="2">
        <v>6</v>
      </c>
      <c r="AA3668" s="2" t="s">
        <v>101</v>
      </c>
      <c r="AB3668" s="2">
        <v>9</v>
      </c>
      <c r="AC3668" s="2" t="s">
        <v>124</v>
      </c>
      <c r="AD3668" s="3">
        <v>40427</v>
      </c>
      <c r="AE3668" s="4">
        <v>0.55555555555555558</v>
      </c>
      <c r="AF3668" s="2"/>
      <c r="AG3668" s="2"/>
      <c r="AH3668" s="2">
        <v>4</v>
      </c>
      <c r="AI3668" s="2" t="s">
        <v>125</v>
      </c>
      <c r="AJ3668" s="2">
        <v>29</v>
      </c>
      <c r="AK3668" s="2" t="s">
        <v>227</v>
      </c>
      <c r="AL3668" s="2">
        <v>11</v>
      </c>
      <c r="AM3668" s="2" t="s">
        <v>137</v>
      </c>
      <c r="AN3668" s="2" t="s">
        <v>2701</v>
      </c>
      <c r="AO3668" s="2"/>
      <c r="AP3668" s="2">
        <v>11</v>
      </c>
      <c r="AQ3668" s="2" t="s">
        <v>82</v>
      </c>
      <c r="AR3668" s="2"/>
      <c r="AS3668" s="2"/>
      <c r="AT3668" s="2" t="s">
        <v>11708</v>
      </c>
      <c r="AU3668" s="2"/>
      <c r="AV3668" s="2"/>
      <c r="AW3668" s="2"/>
      <c r="AX3668" s="2"/>
      <c r="AY3668" s="2">
        <v>41</v>
      </c>
      <c r="AZ3668" s="2" t="s">
        <v>82</v>
      </c>
      <c r="BA3668" s="2">
        <v>41</v>
      </c>
      <c r="BB3668" s="2" t="s">
        <v>82</v>
      </c>
      <c r="BC3668" s="2">
        <v>41</v>
      </c>
      <c r="BD3668" s="2" t="s">
        <v>82</v>
      </c>
      <c r="BE3668" s="2">
        <v>19</v>
      </c>
      <c r="BF3668" s="2" t="s">
        <v>1061</v>
      </c>
      <c r="BG3668" s="2" t="s">
        <v>11709</v>
      </c>
      <c r="BH3668" s="4">
        <v>0.5</v>
      </c>
      <c r="BI3668" s="4">
        <v>0.60763888888888895</v>
      </c>
      <c r="BJ3668" s="2">
        <v>13</v>
      </c>
      <c r="BK3668" s="2" t="s">
        <v>91</v>
      </c>
      <c r="BL3668" s="2" t="s">
        <v>828</v>
      </c>
      <c r="BM3668" s="2">
        <v>241</v>
      </c>
      <c r="BN3668" s="2" t="s">
        <v>82</v>
      </c>
      <c r="BO3668" s="2"/>
      <c r="BP3668" s="2">
        <v>29</v>
      </c>
      <c r="BQ3668" s="2" t="s">
        <v>962</v>
      </c>
      <c r="BR3668" s="2" t="s">
        <v>963</v>
      </c>
      <c r="BS3668" s="3">
        <v>40427</v>
      </c>
      <c r="BT3668" s="4">
        <v>0.62436342592592597</v>
      </c>
    </row>
    <row r="3669" spans="1:72" x14ac:dyDescent="0.25">
      <c r="A3669" s="2">
        <v>5415</v>
      </c>
      <c r="B3669" s="2">
        <v>2010</v>
      </c>
      <c r="C3669" s="2" t="s">
        <v>121</v>
      </c>
      <c r="D3669" s="2" t="s">
        <v>122</v>
      </c>
      <c r="E3669" s="2" t="s">
        <v>11710</v>
      </c>
      <c r="F3669" s="2">
        <v>1</v>
      </c>
      <c r="G3669" s="2" t="s">
        <v>82</v>
      </c>
      <c r="H3669" s="2">
        <v>1</v>
      </c>
      <c r="I3669" s="2" t="s">
        <v>82</v>
      </c>
      <c r="J3669" s="2">
        <v>1</v>
      </c>
      <c r="K3669" s="2" t="s">
        <v>107</v>
      </c>
      <c r="L3669" s="2" t="s">
        <v>107</v>
      </c>
      <c r="M3669" s="3">
        <v>40427</v>
      </c>
      <c r="N3669" s="2"/>
      <c r="O3669" s="2"/>
      <c r="P3669" s="2"/>
      <c r="Q3669" s="2" t="str">
        <f>""</f>
        <v/>
      </c>
      <c r="R3669" s="2"/>
      <c r="S3669" s="2"/>
      <c r="T3669" s="2">
        <v>2</v>
      </c>
      <c r="U3669" s="2" t="s">
        <v>123</v>
      </c>
      <c r="V3669" s="2">
        <v>1</v>
      </c>
      <c r="W3669" s="2" t="s">
        <v>80</v>
      </c>
      <c r="X3669" s="2">
        <v>5</v>
      </c>
      <c r="Y3669" s="2" t="s">
        <v>82</v>
      </c>
      <c r="Z3669" s="2">
        <v>1</v>
      </c>
      <c r="AA3669" s="2" t="s">
        <v>82</v>
      </c>
      <c r="AB3669" s="2">
        <v>9</v>
      </c>
      <c r="AC3669" s="2" t="s">
        <v>124</v>
      </c>
      <c r="AD3669" s="3">
        <v>40427</v>
      </c>
      <c r="AE3669" s="4">
        <v>0.50138888888888888</v>
      </c>
      <c r="AF3669" s="2"/>
      <c r="AG3669" s="2"/>
      <c r="AH3669" s="2">
        <v>4</v>
      </c>
      <c r="AI3669" s="2" t="s">
        <v>125</v>
      </c>
      <c r="AJ3669" s="2">
        <v>30</v>
      </c>
      <c r="AK3669" s="2" t="s">
        <v>258</v>
      </c>
      <c r="AL3669" s="2">
        <v>10</v>
      </c>
      <c r="AM3669" s="2" t="s">
        <v>200</v>
      </c>
      <c r="AN3669" s="2"/>
      <c r="AO3669" s="2"/>
      <c r="AP3669" s="2">
        <v>11</v>
      </c>
      <c r="AQ3669" s="2" t="s">
        <v>82</v>
      </c>
      <c r="AR3669" s="2"/>
      <c r="AS3669" s="2"/>
      <c r="AT3669" s="2" t="s">
        <v>11711</v>
      </c>
      <c r="AU3669" s="2"/>
      <c r="AV3669" s="2"/>
      <c r="AW3669" s="2"/>
      <c r="AX3669" s="2"/>
      <c r="AY3669" s="2">
        <v>1</v>
      </c>
      <c r="AZ3669" s="2" t="s">
        <v>107</v>
      </c>
      <c r="BA3669" s="2">
        <v>1</v>
      </c>
      <c r="BB3669" s="2" t="s">
        <v>107</v>
      </c>
      <c r="BC3669" s="2">
        <v>1</v>
      </c>
      <c r="BD3669" s="2" t="s">
        <v>107</v>
      </c>
      <c r="BE3669" s="2">
        <v>63</v>
      </c>
      <c r="BF3669" s="2" t="s">
        <v>11701</v>
      </c>
      <c r="BG3669" s="2" t="s">
        <v>11702</v>
      </c>
      <c r="BH3669" s="4">
        <v>0.50138888888888888</v>
      </c>
      <c r="BI3669" s="4">
        <v>0.67708333333333337</v>
      </c>
      <c r="BJ3669" s="2">
        <v>13</v>
      </c>
      <c r="BK3669" s="2" t="s">
        <v>91</v>
      </c>
      <c r="BL3669" s="2" t="s">
        <v>2865</v>
      </c>
      <c r="BM3669" s="2">
        <v>241</v>
      </c>
      <c r="BN3669" s="2" t="s">
        <v>82</v>
      </c>
      <c r="BO3669" s="2"/>
      <c r="BP3669" s="2">
        <v>13</v>
      </c>
      <c r="BQ3669" s="2" t="s">
        <v>91</v>
      </c>
      <c r="BR3669" s="2" t="s">
        <v>185</v>
      </c>
      <c r="BS3669" s="3">
        <v>40427</v>
      </c>
      <c r="BT3669" s="4">
        <v>0.68782407407407409</v>
      </c>
    </row>
    <row r="3670" spans="1:72" x14ac:dyDescent="0.25">
      <c r="A3670" s="2">
        <v>5417</v>
      </c>
      <c r="B3670" s="2">
        <v>2010</v>
      </c>
      <c r="C3670" s="2" t="s">
        <v>385</v>
      </c>
      <c r="D3670" s="2" t="s">
        <v>122</v>
      </c>
      <c r="E3670" s="2" t="s">
        <v>11485</v>
      </c>
      <c r="F3670" s="2">
        <v>393</v>
      </c>
      <c r="G3670" s="2" t="s">
        <v>3660</v>
      </c>
      <c r="H3670" s="2">
        <v>2</v>
      </c>
      <c r="I3670" s="2" t="s">
        <v>267</v>
      </c>
      <c r="J3670" s="2">
        <v>2</v>
      </c>
      <c r="K3670" s="2" t="s">
        <v>3661</v>
      </c>
      <c r="L3670" s="2" t="s">
        <v>3662</v>
      </c>
      <c r="M3670" s="3">
        <v>40427</v>
      </c>
      <c r="N3670" s="2" t="s">
        <v>11481</v>
      </c>
      <c r="O3670" s="2" t="s">
        <v>82</v>
      </c>
      <c r="P3670" s="2"/>
      <c r="Q3670" s="2" t="str">
        <f>"445-E/10"</f>
        <v>445-E/10</v>
      </c>
      <c r="R3670" s="2" t="s">
        <v>391</v>
      </c>
      <c r="S3670" s="2" t="s">
        <v>391</v>
      </c>
      <c r="T3670" s="2">
        <v>1</v>
      </c>
      <c r="U3670" s="2" t="s">
        <v>79</v>
      </c>
      <c r="V3670" s="2">
        <v>1</v>
      </c>
      <c r="W3670" s="2" t="s">
        <v>80</v>
      </c>
      <c r="X3670" s="2">
        <v>1</v>
      </c>
      <c r="Y3670" s="2" t="s">
        <v>81</v>
      </c>
      <c r="Z3670" s="2">
        <v>1</v>
      </c>
      <c r="AA3670" s="2" t="s">
        <v>82</v>
      </c>
      <c r="AB3670" s="2">
        <v>9</v>
      </c>
      <c r="AC3670" s="2" t="s">
        <v>124</v>
      </c>
      <c r="AD3670" s="3">
        <v>40427</v>
      </c>
      <c r="AE3670" s="4">
        <v>0.55555555555555558</v>
      </c>
      <c r="AF3670" s="2"/>
      <c r="AG3670" s="2"/>
      <c r="AH3670" s="2">
        <v>2</v>
      </c>
      <c r="AI3670" s="2" t="s">
        <v>84</v>
      </c>
      <c r="AJ3670" s="2">
        <v>9</v>
      </c>
      <c r="AK3670" s="2" t="s">
        <v>103</v>
      </c>
      <c r="AL3670" s="2">
        <v>25</v>
      </c>
      <c r="AM3670" s="2" t="s">
        <v>3073</v>
      </c>
      <c r="AN3670" s="2"/>
      <c r="AO3670" s="2" t="s">
        <v>11486</v>
      </c>
      <c r="AP3670" s="2">
        <v>11</v>
      </c>
      <c r="AQ3670" s="2" t="s">
        <v>82</v>
      </c>
      <c r="AR3670" s="2"/>
      <c r="AS3670" s="2"/>
      <c r="AT3670" s="2" t="s">
        <v>11712</v>
      </c>
      <c r="AU3670" s="2"/>
      <c r="AV3670" s="2">
        <v>1</v>
      </c>
      <c r="AW3670" s="2"/>
      <c r="AX3670" s="2"/>
      <c r="AY3670" s="2">
        <v>41</v>
      </c>
      <c r="AZ3670" s="2" t="s">
        <v>82</v>
      </c>
      <c r="BA3670" s="2">
        <v>41</v>
      </c>
      <c r="BB3670" s="2" t="s">
        <v>82</v>
      </c>
      <c r="BC3670" s="2">
        <v>41</v>
      </c>
      <c r="BD3670" s="2" t="s">
        <v>82</v>
      </c>
      <c r="BE3670" s="2">
        <v>13</v>
      </c>
      <c r="BF3670" s="2" t="s">
        <v>108</v>
      </c>
      <c r="BG3670" s="2" t="s">
        <v>1769</v>
      </c>
      <c r="BH3670" s="2"/>
      <c r="BI3670" s="4">
        <v>0.875</v>
      </c>
      <c r="BJ3670" s="2">
        <v>13</v>
      </c>
      <c r="BK3670" s="2" t="s">
        <v>91</v>
      </c>
      <c r="BL3670" s="2" t="s">
        <v>185</v>
      </c>
      <c r="BM3670" s="2">
        <v>241</v>
      </c>
      <c r="BN3670" s="2" t="s">
        <v>82</v>
      </c>
      <c r="BO3670" s="2" t="s">
        <v>82</v>
      </c>
      <c r="BP3670" s="2">
        <v>73</v>
      </c>
      <c r="BQ3670" s="2" t="s">
        <v>186</v>
      </c>
      <c r="BR3670" s="2" t="s">
        <v>187</v>
      </c>
      <c r="BS3670" s="3">
        <v>40427</v>
      </c>
      <c r="BT3670" s="4">
        <v>0.71788194444444453</v>
      </c>
    </row>
    <row r="3671" spans="1:72" x14ac:dyDescent="0.25">
      <c r="A3671" s="2">
        <v>5419</v>
      </c>
      <c r="B3671" s="2">
        <v>2010</v>
      </c>
      <c r="C3671" s="2" t="s">
        <v>385</v>
      </c>
      <c r="D3671" s="2" t="s">
        <v>122</v>
      </c>
      <c r="E3671" s="2" t="s">
        <v>11713</v>
      </c>
      <c r="F3671" s="2">
        <v>394</v>
      </c>
      <c r="G3671" s="2" t="s">
        <v>172</v>
      </c>
      <c r="H3671" s="2">
        <v>4</v>
      </c>
      <c r="I3671" s="2" t="s">
        <v>173</v>
      </c>
      <c r="J3671" s="2">
        <v>241</v>
      </c>
      <c r="K3671" s="2" t="s">
        <v>174</v>
      </c>
      <c r="L3671" s="2" t="s">
        <v>175</v>
      </c>
      <c r="M3671" s="3">
        <v>40427</v>
      </c>
      <c r="N3671" s="2" t="s">
        <v>176</v>
      </c>
      <c r="O3671" s="2"/>
      <c r="P3671" s="2"/>
      <c r="Q3671" s="2" t="str">
        <f>"447-E/10"</f>
        <v>447-E/10</v>
      </c>
      <c r="R3671" s="2" t="s">
        <v>391</v>
      </c>
      <c r="S3671" s="2"/>
      <c r="T3671" s="2">
        <v>1</v>
      </c>
      <c r="U3671" s="2" t="s">
        <v>79</v>
      </c>
      <c r="V3671" s="2">
        <v>1</v>
      </c>
      <c r="W3671" s="2" t="s">
        <v>80</v>
      </c>
      <c r="X3671" s="2">
        <v>1</v>
      </c>
      <c r="Y3671" s="2" t="s">
        <v>81</v>
      </c>
      <c r="Z3671" s="2">
        <v>10</v>
      </c>
      <c r="AA3671" s="2" t="s">
        <v>236</v>
      </c>
      <c r="AB3671" s="2">
        <v>9</v>
      </c>
      <c r="AC3671" s="2" t="s">
        <v>124</v>
      </c>
      <c r="AD3671" s="3">
        <v>40427</v>
      </c>
      <c r="AE3671" s="4">
        <v>0.55555555555555558</v>
      </c>
      <c r="AF3671" s="2"/>
      <c r="AG3671" s="2"/>
      <c r="AH3671" s="2">
        <v>2</v>
      </c>
      <c r="AI3671" s="2" t="s">
        <v>84</v>
      </c>
      <c r="AJ3671" s="2">
        <v>9</v>
      </c>
      <c r="AK3671" s="2" t="s">
        <v>103</v>
      </c>
      <c r="AL3671" s="2">
        <v>14</v>
      </c>
      <c r="AM3671" s="2" t="s">
        <v>216</v>
      </c>
      <c r="AN3671" s="2" t="s">
        <v>1340</v>
      </c>
      <c r="AO3671" s="2"/>
      <c r="AP3671" s="2">
        <v>11</v>
      </c>
      <c r="AQ3671" s="2" t="s">
        <v>82</v>
      </c>
      <c r="AR3671" s="2"/>
      <c r="AS3671" s="2"/>
      <c r="AT3671" s="2" t="s">
        <v>11714</v>
      </c>
      <c r="AU3671" s="2"/>
      <c r="AV3671" s="2">
        <v>1</v>
      </c>
      <c r="AW3671" s="2"/>
      <c r="AX3671" s="2"/>
      <c r="AY3671" s="2">
        <v>42</v>
      </c>
      <c r="AZ3671" s="2" t="s">
        <v>182</v>
      </c>
      <c r="BA3671" s="2">
        <v>41</v>
      </c>
      <c r="BB3671" s="2" t="s">
        <v>82</v>
      </c>
      <c r="BC3671" s="2">
        <v>70</v>
      </c>
      <c r="BD3671" s="2" t="s">
        <v>236</v>
      </c>
      <c r="BE3671" s="2">
        <v>33</v>
      </c>
      <c r="BF3671" s="2" t="s">
        <v>1083</v>
      </c>
      <c r="BG3671" s="2" t="s">
        <v>9308</v>
      </c>
      <c r="BH3671" s="2"/>
      <c r="BI3671" s="4">
        <v>0.73958333333333337</v>
      </c>
      <c r="BJ3671" s="2">
        <v>13</v>
      </c>
      <c r="BK3671" s="2" t="s">
        <v>91</v>
      </c>
      <c r="BL3671" s="2" t="s">
        <v>360</v>
      </c>
      <c r="BM3671" s="2">
        <v>241</v>
      </c>
      <c r="BN3671" s="2" t="s">
        <v>82</v>
      </c>
      <c r="BO3671" s="2"/>
      <c r="BP3671" s="2">
        <v>205</v>
      </c>
      <c r="BQ3671" s="2" t="s">
        <v>1085</v>
      </c>
      <c r="BR3671" s="2" t="s">
        <v>1086</v>
      </c>
      <c r="BS3671" s="3">
        <v>40427</v>
      </c>
      <c r="BT3671" s="4">
        <v>0.72578703703703706</v>
      </c>
    </row>
    <row r="3672" spans="1:72" x14ac:dyDescent="0.25">
      <c r="A3672" s="2">
        <v>5420</v>
      </c>
      <c r="B3672" s="2">
        <v>2010</v>
      </c>
      <c r="C3672" s="2" t="s">
        <v>385</v>
      </c>
      <c r="D3672" s="2" t="s">
        <v>122</v>
      </c>
      <c r="E3672" s="2"/>
      <c r="F3672" s="2">
        <v>393</v>
      </c>
      <c r="G3672" s="2" t="s">
        <v>3660</v>
      </c>
      <c r="H3672" s="2">
        <v>2</v>
      </c>
      <c r="I3672" s="2" t="s">
        <v>267</v>
      </c>
      <c r="J3672" s="2">
        <v>2</v>
      </c>
      <c r="K3672" s="2" t="s">
        <v>3661</v>
      </c>
      <c r="L3672" s="2" t="s">
        <v>3662</v>
      </c>
      <c r="M3672" s="3">
        <v>40427</v>
      </c>
      <c r="N3672" s="2" t="s">
        <v>11715</v>
      </c>
      <c r="O3672" s="2" t="s">
        <v>11685</v>
      </c>
      <c r="P3672" s="2">
        <v>5836</v>
      </c>
      <c r="Q3672" s="2" t="str">
        <f>"06R/10"</f>
        <v>06R/10</v>
      </c>
      <c r="R3672" s="2"/>
      <c r="S3672" s="2" t="s">
        <v>11716</v>
      </c>
      <c r="T3672" s="2">
        <v>1</v>
      </c>
      <c r="U3672" s="2" t="s">
        <v>79</v>
      </c>
      <c r="V3672" s="2">
        <v>1</v>
      </c>
      <c r="W3672" s="2" t="s">
        <v>80</v>
      </c>
      <c r="X3672" s="2">
        <v>11</v>
      </c>
      <c r="Y3672" s="2" t="s">
        <v>1920</v>
      </c>
      <c r="Z3672" s="2">
        <v>10</v>
      </c>
      <c r="AA3672" s="2" t="s">
        <v>236</v>
      </c>
      <c r="AB3672" s="2">
        <v>9</v>
      </c>
      <c r="AC3672" s="2" t="s">
        <v>124</v>
      </c>
      <c r="AD3672" s="3">
        <v>40427</v>
      </c>
      <c r="AE3672" s="4">
        <v>0.54166666666666663</v>
      </c>
      <c r="AF3672" s="2"/>
      <c r="AG3672" s="2"/>
      <c r="AH3672" s="2">
        <v>2</v>
      </c>
      <c r="AI3672" s="2" t="s">
        <v>84</v>
      </c>
      <c r="AJ3672" s="2">
        <v>6</v>
      </c>
      <c r="AK3672" s="2" t="s">
        <v>453</v>
      </c>
      <c r="AL3672" s="2">
        <v>23</v>
      </c>
      <c r="AM3672" s="2" t="s">
        <v>251</v>
      </c>
      <c r="AN3672" s="2" t="s">
        <v>11717</v>
      </c>
      <c r="AO3672" s="2" t="s">
        <v>1394</v>
      </c>
      <c r="AP3672" s="2">
        <v>11</v>
      </c>
      <c r="AQ3672" s="2" t="s">
        <v>82</v>
      </c>
      <c r="AR3672" s="2"/>
      <c r="AS3672" s="2"/>
      <c r="AT3672" s="2" t="s">
        <v>11718</v>
      </c>
      <c r="AU3672" s="2"/>
      <c r="AV3672" s="2">
        <v>1</v>
      </c>
      <c r="AW3672" s="2"/>
      <c r="AX3672" s="2"/>
      <c r="AY3672" s="2">
        <v>42</v>
      </c>
      <c r="AZ3672" s="2" t="s">
        <v>182</v>
      </c>
      <c r="BA3672" s="2">
        <v>70</v>
      </c>
      <c r="BB3672" s="2" t="s">
        <v>236</v>
      </c>
      <c r="BC3672" s="2">
        <v>70</v>
      </c>
      <c r="BD3672" s="2" t="s">
        <v>236</v>
      </c>
      <c r="BE3672" s="2">
        <v>41</v>
      </c>
      <c r="BF3672" s="2" t="s">
        <v>82</v>
      </c>
      <c r="BG3672" s="2"/>
      <c r="BH3672" s="2"/>
      <c r="BI3672" s="2"/>
      <c r="BJ3672" s="2">
        <v>241</v>
      </c>
      <c r="BK3672" s="2" t="s">
        <v>82</v>
      </c>
      <c r="BL3672" s="2"/>
      <c r="BM3672" s="2">
        <v>241</v>
      </c>
      <c r="BN3672" s="2" t="s">
        <v>82</v>
      </c>
      <c r="BO3672" s="2"/>
      <c r="BP3672" s="2">
        <v>241</v>
      </c>
      <c r="BQ3672" s="2" t="s">
        <v>82</v>
      </c>
      <c r="BR3672" s="2"/>
      <c r="BS3672" s="3">
        <v>40427</v>
      </c>
      <c r="BT3672" s="4">
        <v>0.7403587962962962</v>
      </c>
    </row>
    <row r="3673" spans="1:72" x14ac:dyDescent="0.25">
      <c r="A3673" s="2">
        <v>5421</v>
      </c>
      <c r="B3673" s="2">
        <v>2010</v>
      </c>
      <c r="C3673" s="2" t="s">
        <v>196</v>
      </c>
      <c r="D3673" s="2" t="s">
        <v>122</v>
      </c>
      <c r="E3673" s="2"/>
      <c r="F3673" s="2">
        <v>1</v>
      </c>
      <c r="G3673" s="2" t="s">
        <v>82</v>
      </c>
      <c r="H3673" s="2">
        <v>1</v>
      </c>
      <c r="I3673" s="2" t="s">
        <v>82</v>
      </c>
      <c r="J3673" s="2">
        <v>1</v>
      </c>
      <c r="K3673" s="2" t="s">
        <v>107</v>
      </c>
      <c r="L3673" s="2" t="s">
        <v>107</v>
      </c>
      <c r="M3673" s="3">
        <v>40427</v>
      </c>
      <c r="N3673" s="2" t="s">
        <v>82</v>
      </c>
      <c r="O3673" s="2" t="s">
        <v>82</v>
      </c>
      <c r="P3673" s="2" t="s">
        <v>82</v>
      </c>
      <c r="Q3673" s="2" t="str">
        <f>"N/C"</f>
        <v>N/C</v>
      </c>
      <c r="R3673" s="2" t="s">
        <v>82</v>
      </c>
      <c r="S3673" s="2" t="s">
        <v>82</v>
      </c>
      <c r="T3673" s="2">
        <v>2</v>
      </c>
      <c r="U3673" s="2" t="s">
        <v>123</v>
      </c>
      <c r="V3673" s="2">
        <v>1</v>
      </c>
      <c r="W3673" s="2" t="s">
        <v>80</v>
      </c>
      <c r="X3673" s="2">
        <v>5</v>
      </c>
      <c r="Y3673" s="2" t="s">
        <v>82</v>
      </c>
      <c r="Z3673" s="2">
        <v>1</v>
      </c>
      <c r="AA3673" s="2" t="s">
        <v>82</v>
      </c>
      <c r="AB3673" s="2">
        <v>9</v>
      </c>
      <c r="AC3673" s="2" t="s">
        <v>124</v>
      </c>
      <c r="AD3673" s="3">
        <v>40427</v>
      </c>
      <c r="AE3673" s="4">
        <v>0.66666666666666663</v>
      </c>
      <c r="AF3673" s="2"/>
      <c r="AG3673" s="2"/>
      <c r="AH3673" s="2">
        <v>2</v>
      </c>
      <c r="AI3673" s="2" t="s">
        <v>84</v>
      </c>
      <c r="AJ3673" s="2">
        <v>12</v>
      </c>
      <c r="AK3673" s="2" t="s">
        <v>85</v>
      </c>
      <c r="AL3673" s="2">
        <v>20</v>
      </c>
      <c r="AM3673" s="2" t="s">
        <v>992</v>
      </c>
      <c r="AN3673" s="2" t="s">
        <v>82</v>
      </c>
      <c r="AO3673" s="2" t="s">
        <v>82</v>
      </c>
      <c r="AP3673" s="2">
        <v>11</v>
      </c>
      <c r="AQ3673" s="2" t="s">
        <v>82</v>
      </c>
      <c r="AR3673" s="2"/>
      <c r="AS3673" s="2"/>
      <c r="AT3673" s="2" t="s">
        <v>11719</v>
      </c>
      <c r="AU3673" s="2"/>
      <c r="AV3673" s="2"/>
      <c r="AW3673" s="2"/>
      <c r="AX3673" s="2"/>
      <c r="AY3673" s="2">
        <v>1</v>
      </c>
      <c r="AZ3673" s="2" t="s">
        <v>107</v>
      </c>
      <c r="BA3673" s="2">
        <v>1</v>
      </c>
      <c r="BB3673" s="2" t="s">
        <v>107</v>
      </c>
      <c r="BC3673" s="2">
        <v>1</v>
      </c>
      <c r="BD3673" s="2" t="s">
        <v>107</v>
      </c>
      <c r="BE3673" s="2">
        <v>1</v>
      </c>
      <c r="BF3673" s="2" t="s">
        <v>107</v>
      </c>
      <c r="BG3673" s="2" t="s">
        <v>82</v>
      </c>
      <c r="BH3673" s="4">
        <v>0.73263888888888884</v>
      </c>
      <c r="BI3673" s="2"/>
      <c r="BJ3673" s="2">
        <v>13</v>
      </c>
      <c r="BK3673" s="2" t="s">
        <v>91</v>
      </c>
      <c r="BL3673" s="2" t="s">
        <v>11720</v>
      </c>
      <c r="BM3673" s="2">
        <v>242</v>
      </c>
      <c r="BN3673" s="2" t="s">
        <v>107</v>
      </c>
      <c r="BO3673" s="2"/>
      <c r="BP3673" s="2">
        <v>13</v>
      </c>
      <c r="BQ3673" s="2" t="s">
        <v>91</v>
      </c>
      <c r="BR3673" s="2" t="s">
        <v>185</v>
      </c>
      <c r="BS3673" s="3">
        <v>40427</v>
      </c>
      <c r="BT3673" s="4">
        <v>0.76519675925925934</v>
      </c>
    </row>
    <row r="3674" spans="1:72" x14ac:dyDescent="0.25">
      <c r="A3674" s="2">
        <v>5422</v>
      </c>
      <c r="B3674" s="2">
        <v>2010</v>
      </c>
      <c r="C3674" s="2" t="s">
        <v>171</v>
      </c>
      <c r="D3674" s="2" t="s">
        <v>73</v>
      </c>
      <c r="E3674" s="2"/>
      <c r="F3674" s="2">
        <v>394</v>
      </c>
      <c r="G3674" s="2" t="s">
        <v>172</v>
      </c>
      <c r="H3674" s="2">
        <v>4</v>
      </c>
      <c r="I3674" s="2" t="s">
        <v>173</v>
      </c>
      <c r="J3674" s="2">
        <v>241</v>
      </c>
      <c r="K3674" s="2" t="s">
        <v>174</v>
      </c>
      <c r="L3674" s="2" t="s">
        <v>175</v>
      </c>
      <c r="M3674" s="3">
        <v>40427</v>
      </c>
      <c r="N3674" s="2" t="s">
        <v>176</v>
      </c>
      <c r="O3674" s="2" t="s">
        <v>82</v>
      </c>
      <c r="P3674" s="2" t="s">
        <v>82</v>
      </c>
      <c r="Q3674" s="2" t="str">
        <f>"455-E/10"</f>
        <v>455-E/10</v>
      </c>
      <c r="R3674" s="2" t="s">
        <v>391</v>
      </c>
      <c r="S3674" s="2"/>
      <c r="T3674" s="2">
        <v>1</v>
      </c>
      <c r="U3674" s="2" t="s">
        <v>79</v>
      </c>
      <c r="V3674" s="2">
        <v>1</v>
      </c>
      <c r="W3674" s="2" t="s">
        <v>80</v>
      </c>
      <c r="X3674" s="2">
        <v>1</v>
      </c>
      <c r="Y3674" s="2" t="s">
        <v>81</v>
      </c>
      <c r="Z3674" s="2">
        <v>1</v>
      </c>
      <c r="AA3674" s="2" t="s">
        <v>82</v>
      </c>
      <c r="AB3674" s="2">
        <v>1</v>
      </c>
      <c r="AC3674" s="2" t="s">
        <v>178</v>
      </c>
      <c r="AD3674" s="3">
        <v>40427</v>
      </c>
      <c r="AE3674" s="4">
        <v>0.45833333333333331</v>
      </c>
      <c r="AF3674" s="2"/>
      <c r="AG3674" s="2"/>
      <c r="AH3674" s="2">
        <v>2</v>
      </c>
      <c r="AI3674" s="2" t="s">
        <v>84</v>
      </c>
      <c r="AJ3674" s="2">
        <v>9</v>
      </c>
      <c r="AK3674" s="2" t="s">
        <v>103</v>
      </c>
      <c r="AL3674" s="2">
        <v>25</v>
      </c>
      <c r="AM3674" s="2" t="s">
        <v>3073</v>
      </c>
      <c r="AN3674" s="2" t="s">
        <v>179</v>
      </c>
      <c r="AO3674" s="2" t="s">
        <v>987</v>
      </c>
      <c r="AP3674" s="2">
        <v>11</v>
      </c>
      <c r="AQ3674" s="2" t="s">
        <v>82</v>
      </c>
      <c r="AR3674" s="2"/>
      <c r="AS3674" s="2"/>
      <c r="AT3674" s="2" t="s">
        <v>11721</v>
      </c>
      <c r="AU3674" s="2"/>
      <c r="AV3674" s="2">
        <v>1</v>
      </c>
      <c r="AW3674" s="2"/>
      <c r="AX3674" s="2"/>
      <c r="AY3674" s="2">
        <v>41</v>
      </c>
      <c r="AZ3674" s="2" t="s">
        <v>82</v>
      </c>
      <c r="BA3674" s="2">
        <v>41</v>
      </c>
      <c r="BB3674" s="2" t="s">
        <v>82</v>
      </c>
      <c r="BC3674" s="2">
        <v>41</v>
      </c>
      <c r="BD3674" s="2" t="s">
        <v>82</v>
      </c>
      <c r="BE3674" s="2">
        <v>31</v>
      </c>
      <c r="BF3674" s="2" t="s">
        <v>398</v>
      </c>
      <c r="BG3674" s="2">
        <v>6842</v>
      </c>
      <c r="BH3674" s="2"/>
      <c r="BI3674" s="4">
        <v>0.52777777777777779</v>
      </c>
      <c r="BJ3674" s="2">
        <v>13</v>
      </c>
      <c r="BK3674" s="2" t="s">
        <v>91</v>
      </c>
      <c r="BL3674" s="2" t="s">
        <v>360</v>
      </c>
      <c r="BM3674" s="2">
        <v>73</v>
      </c>
      <c r="BN3674" s="2" t="s">
        <v>186</v>
      </c>
      <c r="BO3674" s="2" t="s">
        <v>11722</v>
      </c>
      <c r="BP3674" s="2">
        <v>73</v>
      </c>
      <c r="BQ3674" s="2" t="s">
        <v>186</v>
      </c>
      <c r="BR3674" s="2" t="s">
        <v>11723</v>
      </c>
      <c r="BS3674" s="3">
        <v>40427</v>
      </c>
      <c r="BT3674" s="4">
        <v>0.79053240740740749</v>
      </c>
    </row>
    <row r="3675" spans="1:72" x14ac:dyDescent="0.25">
      <c r="A3675" s="2">
        <v>5426</v>
      </c>
      <c r="B3675" s="2">
        <v>2010</v>
      </c>
      <c r="C3675" s="2" t="s">
        <v>255</v>
      </c>
      <c r="D3675" s="2" t="s">
        <v>73</v>
      </c>
      <c r="E3675" s="2"/>
      <c r="F3675" s="2">
        <v>68</v>
      </c>
      <c r="G3675" s="2" t="s">
        <v>10077</v>
      </c>
      <c r="H3675" s="2">
        <v>22</v>
      </c>
      <c r="I3675" s="2" t="s">
        <v>75</v>
      </c>
      <c r="J3675" s="2">
        <v>284</v>
      </c>
      <c r="K3675" s="2" t="s">
        <v>4465</v>
      </c>
      <c r="L3675" s="2" t="s">
        <v>4466</v>
      </c>
      <c r="M3675" s="3">
        <v>40427</v>
      </c>
      <c r="N3675" s="2" t="s">
        <v>11724</v>
      </c>
      <c r="O3675" s="2" t="s">
        <v>947</v>
      </c>
      <c r="P3675" s="2"/>
      <c r="Q3675" s="2" t="str">
        <f>"007/2010"</f>
        <v>007/2010</v>
      </c>
      <c r="R3675" s="2" t="s">
        <v>947</v>
      </c>
      <c r="S3675" s="2" t="s">
        <v>947</v>
      </c>
      <c r="T3675" s="2">
        <v>1</v>
      </c>
      <c r="U3675" s="2" t="s">
        <v>79</v>
      </c>
      <c r="V3675" s="2">
        <v>1</v>
      </c>
      <c r="W3675" s="2" t="s">
        <v>80</v>
      </c>
      <c r="X3675" s="2">
        <v>1</v>
      </c>
      <c r="Y3675" s="2" t="s">
        <v>81</v>
      </c>
      <c r="Z3675" s="2">
        <v>1</v>
      </c>
      <c r="AA3675" s="2" t="s">
        <v>82</v>
      </c>
      <c r="AB3675" s="2">
        <v>9</v>
      </c>
      <c r="AC3675" s="2" t="s">
        <v>124</v>
      </c>
      <c r="AD3675" s="3">
        <v>40427</v>
      </c>
      <c r="AE3675" s="4">
        <v>0.85416666666666663</v>
      </c>
      <c r="AF3675" s="2"/>
      <c r="AG3675" s="2"/>
      <c r="AH3675" s="2">
        <v>3</v>
      </c>
      <c r="AI3675" s="2" t="s">
        <v>214</v>
      </c>
      <c r="AJ3675" s="2">
        <v>18</v>
      </c>
      <c r="AK3675" s="2" t="s">
        <v>4469</v>
      </c>
      <c r="AL3675" s="2">
        <v>9</v>
      </c>
      <c r="AM3675" s="2" t="s">
        <v>259</v>
      </c>
      <c r="AN3675" s="2" t="s">
        <v>11725</v>
      </c>
      <c r="AO3675" s="2" t="s">
        <v>11726</v>
      </c>
      <c r="AP3675" s="2">
        <v>11</v>
      </c>
      <c r="AQ3675" s="2" t="s">
        <v>82</v>
      </c>
      <c r="AR3675" s="2"/>
      <c r="AS3675" s="2"/>
      <c r="AT3675" s="2" t="s">
        <v>11727</v>
      </c>
      <c r="AU3675" s="2"/>
      <c r="AV3675" s="2"/>
      <c r="AW3675" s="2"/>
      <c r="AX3675" s="2"/>
      <c r="AY3675" s="2">
        <v>44</v>
      </c>
      <c r="AZ3675" s="2" t="s">
        <v>262</v>
      </c>
      <c r="BA3675" s="2">
        <v>41</v>
      </c>
      <c r="BB3675" s="2" t="s">
        <v>82</v>
      </c>
      <c r="BC3675" s="2">
        <v>41</v>
      </c>
      <c r="BD3675" s="2" t="s">
        <v>82</v>
      </c>
      <c r="BE3675" s="2">
        <v>41</v>
      </c>
      <c r="BF3675" s="2" t="s">
        <v>82</v>
      </c>
      <c r="BG3675" s="2"/>
      <c r="BH3675" s="2"/>
      <c r="BI3675" s="2"/>
      <c r="BJ3675" s="2">
        <v>241</v>
      </c>
      <c r="BK3675" s="2" t="s">
        <v>82</v>
      </c>
      <c r="BL3675" s="2"/>
      <c r="BM3675" s="2">
        <v>241</v>
      </c>
      <c r="BN3675" s="2" t="s">
        <v>82</v>
      </c>
      <c r="BO3675" s="2"/>
      <c r="BP3675" s="2">
        <v>241</v>
      </c>
      <c r="BQ3675" s="2" t="s">
        <v>82</v>
      </c>
      <c r="BR3675" s="2"/>
      <c r="BS3675" s="3">
        <v>40427</v>
      </c>
      <c r="BT3675" s="4">
        <v>0.94386574074074081</v>
      </c>
    </row>
    <row r="3676" spans="1:72" x14ac:dyDescent="0.25">
      <c r="A3676" s="2">
        <v>5427</v>
      </c>
      <c r="B3676" s="2">
        <v>2010</v>
      </c>
      <c r="C3676" s="2" t="s">
        <v>414</v>
      </c>
      <c r="D3676" s="2" t="s">
        <v>122</v>
      </c>
      <c r="E3676" s="2"/>
      <c r="F3676" s="2">
        <v>1</v>
      </c>
      <c r="G3676" s="2" t="s">
        <v>82</v>
      </c>
      <c r="H3676" s="2">
        <v>1</v>
      </c>
      <c r="I3676" s="2" t="s">
        <v>82</v>
      </c>
      <c r="J3676" s="2">
        <v>1</v>
      </c>
      <c r="K3676" s="2" t="s">
        <v>107</v>
      </c>
      <c r="L3676" s="2" t="s">
        <v>107</v>
      </c>
      <c r="M3676" s="3">
        <v>40427</v>
      </c>
      <c r="N3676" s="2" t="s">
        <v>82</v>
      </c>
      <c r="O3676" s="2" t="s">
        <v>82</v>
      </c>
      <c r="P3676" s="2" t="s">
        <v>82</v>
      </c>
      <c r="Q3676" s="2" t="str">
        <f>"N/C"</f>
        <v>N/C</v>
      </c>
      <c r="R3676" s="2" t="s">
        <v>82</v>
      </c>
      <c r="S3676" s="2" t="s">
        <v>11728</v>
      </c>
      <c r="T3676" s="2">
        <v>1</v>
      </c>
      <c r="U3676" s="2" t="s">
        <v>79</v>
      </c>
      <c r="V3676" s="2">
        <v>1</v>
      </c>
      <c r="W3676" s="2" t="s">
        <v>80</v>
      </c>
      <c r="X3676" s="2">
        <v>1</v>
      </c>
      <c r="Y3676" s="2" t="s">
        <v>81</v>
      </c>
      <c r="Z3676" s="2">
        <v>1</v>
      </c>
      <c r="AA3676" s="2" t="s">
        <v>82</v>
      </c>
      <c r="AB3676" s="2">
        <v>9</v>
      </c>
      <c r="AC3676" s="2" t="s">
        <v>124</v>
      </c>
      <c r="AD3676" s="3">
        <v>40427</v>
      </c>
      <c r="AE3676" s="4">
        <v>0.91666666666666663</v>
      </c>
      <c r="AF3676" s="2"/>
      <c r="AG3676" s="2"/>
      <c r="AH3676" s="2">
        <v>6</v>
      </c>
      <c r="AI3676" s="2" t="s">
        <v>197</v>
      </c>
      <c r="AJ3676" s="2">
        <v>60</v>
      </c>
      <c r="AK3676" s="2" t="s">
        <v>543</v>
      </c>
      <c r="AL3676" s="2">
        <v>11</v>
      </c>
      <c r="AM3676" s="2" t="s">
        <v>137</v>
      </c>
      <c r="AN3676" s="2" t="s">
        <v>11729</v>
      </c>
      <c r="AO3676" s="2" t="s">
        <v>11730</v>
      </c>
      <c r="AP3676" s="2">
        <v>11</v>
      </c>
      <c r="AQ3676" s="2" t="s">
        <v>82</v>
      </c>
      <c r="AR3676" s="2" t="s">
        <v>82</v>
      </c>
      <c r="AS3676" s="2" t="s">
        <v>82</v>
      </c>
      <c r="AT3676" s="2" t="s">
        <v>11731</v>
      </c>
      <c r="AU3676" s="2"/>
      <c r="AV3676" s="2"/>
      <c r="AW3676" s="2"/>
      <c r="AX3676" s="2"/>
      <c r="AY3676" s="2">
        <v>41</v>
      </c>
      <c r="AZ3676" s="2" t="s">
        <v>82</v>
      </c>
      <c r="BA3676" s="2">
        <v>41</v>
      </c>
      <c r="BB3676" s="2" t="s">
        <v>82</v>
      </c>
      <c r="BC3676" s="2">
        <v>41</v>
      </c>
      <c r="BD3676" s="2" t="s">
        <v>82</v>
      </c>
      <c r="BE3676" s="2">
        <v>41</v>
      </c>
      <c r="BF3676" s="2" t="s">
        <v>82</v>
      </c>
      <c r="BG3676" s="2" t="s">
        <v>8086</v>
      </c>
      <c r="BH3676" s="2"/>
      <c r="BI3676" s="2"/>
      <c r="BJ3676" s="2">
        <v>13</v>
      </c>
      <c r="BK3676" s="2" t="s">
        <v>91</v>
      </c>
      <c r="BL3676" s="2" t="s">
        <v>895</v>
      </c>
      <c r="BM3676" s="2">
        <v>13</v>
      </c>
      <c r="BN3676" s="2" t="s">
        <v>91</v>
      </c>
      <c r="BO3676" s="2" t="s">
        <v>82</v>
      </c>
      <c r="BP3676" s="2">
        <v>13</v>
      </c>
      <c r="BQ3676" s="2" t="s">
        <v>91</v>
      </c>
      <c r="BR3676" s="2" t="s">
        <v>11732</v>
      </c>
      <c r="BS3676" s="3">
        <v>40427</v>
      </c>
      <c r="BT3676" s="4">
        <v>0.9871875</v>
      </c>
    </row>
    <row r="3677" spans="1:72" x14ac:dyDescent="0.25">
      <c r="A3677" s="2">
        <v>5428</v>
      </c>
      <c r="B3677" s="2">
        <v>2010</v>
      </c>
      <c r="C3677" s="2" t="s">
        <v>72</v>
      </c>
      <c r="D3677" s="2" t="s">
        <v>73</v>
      </c>
      <c r="E3677" s="2"/>
      <c r="F3677" s="2">
        <v>3</v>
      </c>
      <c r="G3677" s="2" t="s">
        <v>1041</v>
      </c>
      <c r="H3677" s="2">
        <v>1</v>
      </c>
      <c r="I3677" s="2" t="s">
        <v>82</v>
      </c>
      <c r="J3677" s="2">
        <v>368</v>
      </c>
      <c r="K3677" s="2" t="s">
        <v>1042</v>
      </c>
      <c r="L3677" s="2" t="s">
        <v>1043</v>
      </c>
      <c r="M3677" s="3">
        <v>40428</v>
      </c>
      <c r="N3677" s="2"/>
      <c r="O3677" s="2"/>
      <c r="P3677" s="2"/>
      <c r="Q3677" s="2" t="str">
        <f>"456-E/10"</f>
        <v>456-E/10</v>
      </c>
      <c r="R3677" s="2" t="s">
        <v>601</v>
      </c>
      <c r="S3677" s="2" t="s">
        <v>601</v>
      </c>
      <c r="T3677" s="2">
        <v>1</v>
      </c>
      <c r="U3677" s="2" t="s">
        <v>79</v>
      </c>
      <c r="V3677" s="2">
        <v>1</v>
      </c>
      <c r="W3677" s="2" t="s">
        <v>80</v>
      </c>
      <c r="X3677" s="2">
        <v>12</v>
      </c>
      <c r="Y3677" s="2" t="s">
        <v>148</v>
      </c>
      <c r="Z3677" s="2">
        <v>1</v>
      </c>
      <c r="AA3677" s="2" t="s">
        <v>82</v>
      </c>
      <c r="AB3677" s="2">
        <v>6</v>
      </c>
      <c r="AC3677" s="2" t="s">
        <v>83</v>
      </c>
      <c r="AD3677" s="3">
        <v>40427</v>
      </c>
      <c r="AE3677" s="2"/>
      <c r="AF3677" s="3">
        <v>40427</v>
      </c>
      <c r="AG3677" s="4">
        <v>0.87847222222222221</v>
      </c>
      <c r="AH3677" s="2">
        <v>2</v>
      </c>
      <c r="AI3677" s="2" t="s">
        <v>84</v>
      </c>
      <c r="AJ3677" s="2">
        <v>9</v>
      </c>
      <c r="AK3677" s="2" t="s">
        <v>103</v>
      </c>
      <c r="AL3677" s="2">
        <v>26</v>
      </c>
      <c r="AM3677" s="2" t="s">
        <v>6036</v>
      </c>
      <c r="AN3677" s="2"/>
      <c r="AO3677" s="2" t="s">
        <v>11733</v>
      </c>
      <c r="AP3677" s="2">
        <v>11</v>
      </c>
      <c r="AQ3677" s="2" t="s">
        <v>82</v>
      </c>
      <c r="AR3677" s="2"/>
      <c r="AS3677" s="2"/>
      <c r="AT3677" s="2" t="s">
        <v>11734</v>
      </c>
      <c r="AU3677" s="2"/>
      <c r="AV3677" s="2"/>
      <c r="AW3677" s="2"/>
      <c r="AX3677" s="2"/>
      <c r="AY3677" s="2">
        <v>41</v>
      </c>
      <c r="AZ3677" s="2" t="s">
        <v>82</v>
      </c>
      <c r="BA3677" s="2">
        <v>41</v>
      </c>
      <c r="BB3677" s="2" t="s">
        <v>82</v>
      </c>
      <c r="BC3677" s="2">
        <v>41</v>
      </c>
      <c r="BD3677" s="2" t="s">
        <v>82</v>
      </c>
      <c r="BE3677" s="2">
        <v>41</v>
      </c>
      <c r="BF3677" s="2" t="s">
        <v>82</v>
      </c>
      <c r="BG3677" s="2"/>
      <c r="BH3677" s="2"/>
      <c r="BI3677" s="2"/>
      <c r="BJ3677" s="2">
        <v>241</v>
      </c>
      <c r="BK3677" s="2" t="s">
        <v>82</v>
      </c>
      <c r="BL3677" s="2"/>
      <c r="BM3677" s="2">
        <v>241</v>
      </c>
      <c r="BN3677" s="2" t="s">
        <v>82</v>
      </c>
      <c r="BO3677" s="2"/>
      <c r="BP3677" s="2">
        <v>241</v>
      </c>
      <c r="BQ3677" s="2" t="s">
        <v>82</v>
      </c>
      <c r="BR3677" s="2"/>
      <c r="BS3677" s="3">
        <v>40428</v>
      </c>
      <c r="BT3677" s="4">
        <v>0.1388425925925926</v>
      </c>
    </row>
    <row r="3678" spans="1:72" x14ac:dyDescent="0.25">
      <c r="A3678" s="2">
        <v>5429</v>
      </c>
      <c r="B3678" s="2">
        <v>2010</v>
      </c>
      <c r="C3678" s="2" t="s">
        <v>171</v>
      </c>
      <c r="D3678" s="2" t="s">
        <v>122</v>
      </c>
      <c r="E3678" s="2" t="s">
        <v>11735</v>
      </c>
      <c r="F3678" s="2">
        <v>394</v>
      </c>
      <c r="G3678" s="2" t="s">
        <v>172</v>
      </c>
      <c r="H3678" s="2">
        <v>4</v>
      </c>
      <c r="I3678" s="2" t="s">
        <v>173</v>
      </c>
      <c r="J3678" s="2">
        <v>241</v>
      </c>
      <c r="K3678" s="2" t="s">
        <v>174</v>
      </c>
      <c r="L3678" s="2" t="s">
        <v>175</v>
      </c>
      <c r="M3678" s="3">
        <v>40428</v>
      </c>
      <c r="N3678" s="2" t="s">
        <v>11688</v>
      </c>
      <c r="O3678" s="2"/>
      <c r="P3678" s="2" t="s">
        <v>107</v>
      </c>
      <c r="Q3678" s="2" t="str">
        <f>"453-E/10"</f>
        <v>453-E/10</v>
      </c>
      <c r="R3678" s="2" t="s">
        <v>391</v>
      </c>
      <c r="S3678" s="2" t="s">
        <v>391</v>
      </c>
      <c r="T3678" s="2">
        <v>1</v>
      </c>
      <c r="U3678" s="2" t="s">
        <v>79</v>
      </c>
      <c r="V3678" s="2">
        <v>1</v>
      </c>
      <c r="W3678" s="2" t="s">
        <v>80</v>
      </c>
      <c r="X3678" s="2">
        <v>11</v>
      </c>
      <c r="Y3678" s="2" t="s">
        <v>1920</v>
      </c>
      <c r="Z3678" s="2">
        <v>1</v>
      </c>
      <c r="AA3678" s="2" t="s">
        <v>82</v>
      </c>
      <c r="AB3678" s="2">
        <v>1</v>
      </c>
      <c r="AC3678" s="2" t="s">
        <v>178</v>
      </c>
      <c r="AD3678" s="3">
        <v>40426</v>
      </c>
      <c r="AE3678" s="4">
        <v>0.4375</v>
      </c>
      <c r="AF3678" s="2"/>
      <c r="AG3678" s="2"/>
      <c r="AH3678" s="2">
        <v>2</v>
      </c>
      <c r="AI3678" s="2" t="s">
        <v>84</v>
      </c>
      <c r="AJ3678" s="2">
        <v>9</v>
      </c>
      <c r="AK3678" s="2" t="s">
        <v>103</v>
      </c>
      <c r="AL3678" s="2">
        <v>12</v>
      </c>
      <c r="AM3678" s="2" t="s">
        <v>86</v>
      </c>
      <c r="AN3678" s="2"/>
      <c r="AO3678" s="2" t="s">
        <v>11690</v>
      </c>
      <c r="AP3678" s="2">
        <v>11</v>
      </c>
      <c r="AQ3678" s="2" t="s">
        <v>82</v>
      </c>
      <c r="AR3678" s="2"/>
      <c r="AS3678" s="2"/>
      <c r="AT3678" s="2" t="s">
        <v>11736</v>
      </c>
      <c r="AU3678" s="2"/>
      <c r="AV3678" s="2">
        <v>1</v>
      </c>
      <c r="AW3678" s="2"/>
      <c r="AX3678" s="2"/>
      <c r="AY3678" s="2">
        <v>42</v>
      </c>
      <c r="AZ3678" s="2" t="s">
        <v>182</v>
      </c>
      <c r="BA3678" s="2">
        <v>41</v>
      </c>
      <c r="BB3678" s="2" t="s">
        <v>82</v>
      </c>
      <c r="BC3678" s="2">
        <v>41</v>
      </c>
      <c r="BD3678" s="2" t="s">
        <v>82</v>
      </c>
      <c r="BE3678" s="2">
        <v>31</v>
      </c>
      <c r="BF3678" s="2" t="s">
        <v>398</v>
      </c>
      <c r="BG3678" s="2">
        <v>6842</v>
      </c>
      <c r="BH3678" s="4">
        <v>0</v>
      </c>
      <c r="BI3678" s="4">
        <v>0.53472222222222221</v>
      </c>
      <c r="BJ3678" s="2">
        <v>13</v>
      </c>
      <c r="BK3678" s="2" t="s">
        <v>91</v>
      </c>
      <c r="BL3678" s="2" t="s">
        <v>360</v>
      </c>
      <c r="BM3678" s="2">
        <v>241</v>
      </c>
      <c r="BN3678" s="2" t="s">
        <v>82</v>
      </c>
      <c r="BO3678" s="2" t="s">
        <v>82</v>
      </c>
      <c r="BP3678" s="2">
        <v>73</v>
      </c>
      <c r="BQ3678" s="2" t="s">
        <v>186</v>
      </c>
      <c r="BR3678" s="2" t="s">
        <v>187</v>
      </c>
      <c r="BS3678" s="3">
        <v>40428</v>
      </c>
      <c r="BT3678" s="4">
        <v>0.27822916666666669</v>
      </c>
    </row>
    <row r="3679" spans="1:72" x14ac:dyDescent="0.25">
      <c r="A3679" s="2">
        <v>5430</v>
      </c>
      <c r="B3679" s="2">
        <v>2010</v>
      </c>
      <c r="C3679" s="2" t="s">
        <v>171</v>
      </c>
      <c r="D3679" s="2" t="s">
        <v>122</v>
      </c>
      <c r="E3679" s="2" t="s">
        <v>11737</v>
      </c>
      <c r="F3679" s="2">
        <v>402</v>
      </c>
      <c r="G3679" s="2" t="s">
        <v>6564</v>
      </c>
      <c r="H3679" s="2">
        <v>4</v>
      </c>
      <c r="I3679" s="2" t="s">
        <v>173</v>
      </c>
      <c r="J3679" s="2">
        <v>2</v>
      </c>
      <c r="K3679" s="2" t="s">
        <v>3661</v>
      </c>
      <c r="L3679" s="2" t="s">
        <v>3662</v>
      </c>
      <c r="M3679" s="3">
        <v>40428</v>
      </c>
      <c r="N3679" s="2" t="s">
        <v>176</v>
      </c>
      <c r="O3679" s="2" t="s">
        <v>82</v>
      </c>
      <c r="P3679" s="2" t="s">
        <v>82</v>
      </c>
      <c r="Q3679" s="2" t="str">
        <f>"455-E/10"</f>
        <v>455-E/10</v>
      </c>
      <c r="R3679" s="2" t="s">
        <v>391</v>
      </c>
      <c r="S3679" s="2" t="s">
        <v>391</v>
      </c>
      <c r="T3679" s="2">
        <v>1</v>
      </c>
      <c r="U3679" s="2" t="s">
        <v>79</v>
      </c>
      <c r="V3679" s="2">
        <v>1</v>
      </c>
      <c r="W3679" s="2" t="s">
        <v>80</v>
      </c>
      <c r="X3679" s="2">
        <v>5</v>
      </c>
      <c r="Y3679" s="2" t="s">
        <v>82</v>
      </c>
      <c r="Z3679" s="2">
        <v>1</v>
      </c>
      <c r="AA3679" s="2" t="s">
        <v>82</v>
      </c>
      <c r="AB3679" s="2">
        <v>1</v>
      </c>
      <c r="AC3679" s="2" t="s">
        <v>178</v>
      </c>
      <c r="AD3679" s="3">
        <v>40427</v>
      </c>
      <c r="AE3679" s="4">
        <v>0.45833333333333331</v>
      </c>
      <c r="AF3679" s="2"/>
      <c r="AG3679" s="2"/>
      <c r="AH3679" s="2">
        <v>2</v>
      </c>
      <c r="AI3679" s="2" t="s">
        <v>84</v>
      </c>
      <c r="AJ3679" s="2">
        <v>9</v>
      </c>
      <c r="AK3679" s="2" t="s">
        <v>103</v>
      </c>
      <c r="AL3679" s="2">
        <v>14</v>
      </c>
      <c r="AM3679" s="2" t="s">
        <v>216</v>
      </c>
      <c r="AN3679" s="2"/>
      <c r="AO3679" s="2" t="s">
        <v>179</v>
      </c>
      <c r="AP3679" s="2">
        <v>11</v>
      </c>
      <c r="AQ3679" s="2" t="s">
        <v>82</v>
      </c>
      <c r="AR3679" s="2"/>
      <c r="AS3679" s="2"/>
      <c r="AT3679" s="2" t="s">
        <v>11738</v>
      </c>
      <c r="AU3679" s="2"/>
      <c r="AV3679" s="2">
        <v>1</v>
      </c>
      <c r="AW3679" s="2"/>
      <c r="AX3679" s="2"/>
      <c r="AY3679" s="2">
        <v>41</v>
      </c>
      <c r="AZ3679" s="2" t="s">
        <v>82</v>
      </c>
      <c r="BA3679" s="2">
        <v>41</v>
      </c>
      <c r="BB3679" s="2" t="s">
        <v>82</v>
      </c>
      <c r="BC3679" s="2">
        <v>41</v>
      </c>
      <c r="BD3679" s="2" t="s">
        <v>82</v>
      </c>
      <c r="BE3679" s="2">
        <v>31</v>
      </c>
      <c r="BF3679" s="2" t="s">
        <v>398</v>
      </c>
      <c r="BG3679" s="2">
        <v>6842</v>
      </c>
      <c r="BH3679" s="2"/>
      <c r="BI3679" s="4">
        <v>0.52777777777777779</v>
      </c>
      <c r="BJ3679" s="2">
        <v>13</v>
      </c>
      <c r="BK3679" s="2" t="s">
        <v>91</v>
      </c>
      <c r="BL3679" s="2" t="s">
        <v>185</v>
      </c>
      <c r="BM3679" s="2">
        <v>241</v>
      </c>
      <c r="BN3679" s="2" t="s">
        <v>82</v>
      </c>
      <c r="BO3679" s="2"/>
      <c r="BP3679" s="2">
        <v>73</v>
      </c>
      <c r="BQ3679" s="2" t="s">
        <v>186</v>
      </c>
      <c r="BR3679" s="2" t="s">
        <v>11739</v>
      </c>
      <c r="BS3679" s="3">
        <v>40428</v>
      </c>
      <c r="BT3679" s="4">
        <v>0.28496527777777775</v>
      </c>
    </row>
    <row r="3680" spans="1:72" x14ac:dyDescent="0.25">
      <c r="A3680" s="2">
        <v>5433</v>
      </c>
      <c r="B3680" s="2">
        <v>2010</v>
      </c>
      <c r="C3680" s="2" t="s">
        <v>171</v>
      </c>
      <c r="D3680" s="2" t="s">
        <v>73</v>
      </c>
      <c r="E3680" s="2" t="s">
        <v>11740</v>
      </c>
      <c r="F3680" s="2">
        <v>425</v>
      </c>
      <c r="G3680" s="2" t="s">
        <v>286</v>
      </c>
      <c r="H3680" s="2">
        <v>30</v>
      </c>
      <c r="I3680" s="2" t="s">
        <v>912</v>
      </c>
      <c r="J3680" s="2">
        <v>310</v>
      </c>
      <c r="K3680" s="2" t="s">
        <v>288</v>
      </c>
      <c r="L3680" s="2" t="s">
        <v>289</v>
      </c>
      <c r="M3680" s="3">
        <v>40428</v>
      </c>
      <c r="N3680" s="2" t="s">
        <v>2049</v>
      </c>
      <c r="O3680" s="2" t="s">
        <v>2490</v>
      </c>
      <c r="P3680" s="2" t="s">
        <v>11741</v>
      </c>
      <c r="Q3680" s="2" t="str">
        <f>"092/10"</f>
        <v>092/10</v>
      </c>
      <c r="R3680" s="2"/>
      <c r="S3680" s="2" t="s">
        <v>822</v>
      </c>
      <c r="T3680" s="2">
        <v>1</v>
      </c>
      <c r="U3680" s="2" t="s">
        <v>79</v>
      </c>
      <c r="V3680" s="2">
        <v>1</v>
      </c>
      <c r="W3680" s="2" t="s">
        <v>80</v>
      </c>
      <c r="X3680" s="2">
        <v>1</v>
      </c>
      <c r="Y3680" s="2" t="s">
        <v>81</v>
      </c>
      <c r="Z3680" s="2">
        <v>1</v>
      </c>
      <c r="AA3680" s="2" t="s">
        <v>82</v>
      </c>
      <c r="AB3680" s="2">
        <v>1</v>
      </c>
      <c r="AC3680" s="2" t="s">
        <v>178</v>
      </c>
      <c r="AD3680" s="3">
        <v>40428</v>
      </c>
      <c r="AE3680" s="4">
        <v>0.4513888888888889</v>
      </c>
      <c r="AF3680" s="2"/>
      <c r="AG3680" s="2"/>
      <c r="AH3680" s="2">
        <v>4</v>
      </c>
      <c r="AI3680" s="2" t="s">
        <v>125</v>
      </c>
      <c r="AJ3680" s="2">
        <v>29</v>
      </c>
      <c r="AK3680" s="2" t="s">
        <v>227</v>
      </c>
      <c r="AL3680" s="2">
        <v>16</v>
      </c>
      <c r="AM3680" s="2" t="s">
        <v>392</v>
      </c>
      <c r="AN3680" s="2"/>
      <c r="AO3680" s="2" t="s">
        <v>9764</v>
      </c>
      <c r="AP3680" s="2">
        <v>12</v>
      </c>
      <c r="AQ3680" s="2" t="s">
        <v>322</v>
      </c>
      <c r="AR3680" s="2" t="s">
        <v>824</v>
      </c>
      <c r="AS3680" s="2" t="s">
        <v>825</v>
      </c>
      <c r="AT3680" s="2" t="s">
        <v>11742</v>
      </c>
      <c r="AU3680" s="2"/>
      <c r="AV3680" s="2"/>
      <c r="AW3680" s="2"/>
      <c r="AX3680" s="2"/>
      <c r="AY3680" s="2">
        <v>41</v>
      </c>
      <c r="AZ3680" s="2" t="s">
        <v>82</v>
      </c>
      <c r="BA3680" s="2">
        <v>41</v>
      </c>
      <c r="BB3680" s="2" t="s">
        <v>82</v>
      </c>
      <c r="BC3680" s="2">
        <v>51</v>
      </c>
      <c r="BD3680" s="2" t="s">
        <v>827</v>
      </c>
      <c r="BE3680" s="2">
        <v>47</v>
      </c>
      <c r="BF3680" s="2" t="s">
        <v>167</v>
      </c>
      <c r="BG3680" s="2">
        <v>2459</v>
      </c>
      <c r="BH3680" s="4">
        <v>0.91319444444444453</v>
      </c>
      <c r="BI3680" s="4">
        <v>0.94097222222222221</v>
      </c>
      <c r="BJ3680" s="2">
        <v>13</v>
      </c>
      <c r="BK3680" s="2" t="s">
        <v>91</v>
      </c>
      <c r="BL3680" s="2" t="s">
        <v>828</v>
      </c>
      <c r="BM3680" s="2">
        <v>241</v>
      </c>
      <c r="BN3680" s="2" t="s">
        <v>82</v>
      </c>
      <c r="BO3680" s="2"/>
      <c r="BP3680" s="2">
        <v>13</v>
      </c>
      <c r="BQ3680" s="2" t="s">
        <v>91</v>
      </c>
      <c r="BR3680" s="2" t="s">
        <v>185</v>
      </c>
      <c r="BS3680" s="3">
        <v>40428</v>
      </c>
      <c r="BT3680" s="4">
        <v>0.50010416666666668</v>
      </c>
    </row>
    <row r="3681" spans="1:72" x14ac:dyDescent="0.25">
      <c r="A3681" s="2">
        <v>5436</v>
      </c>
      <c r="B3681" s="2">
        <v>2010</v>
      </c>
      <c r="C3681" s="2" t="s">
        <v>147</v>
      </c>
      <c r="D3681" s="2" t="s">
        <v>73</v>
      </c>
      <c r="E3681" s="2"/>
      <c r="F3681" s="2">
        <v>1</v>
      </c>
      <c r="G3681" s="2" t="s">
        <v>82</v>
      </c>
      <c r="H3681" s="2">
        <v>1</v>
      </c>
      <c r="I3681" s="2" t="s">
        <v>82</v>
      </c>
      <c r="J3681" s="2">
        <v>1</v>
      </c>
      <c r="K3681" s="2" t="s">
        <v>107</v>
      </c>
      <c r="L3681" s="2" t="s">
        <v>107</v>
      </c>
      <c r="M3681" s="3">
        <v>40428</v>
      </c>
      <c r="N3681" s="2"/>
      <c r="O3681" s="2"/>
      <c r="P3681" s="2"/>
      <c r="Q3681" s="2" t="str">
        <f>""</f>
        <v/>
      </c>
      <c r="R3681" s="2"/>
      <c r="S3681" s="2"/>
      <c r="T3681" s="2">
        <v>2</v>
      </c>
      <c r="U3681" s="2" t="s">
        <v>123</v>
      </c>
      <c r="V3681" s="2">
        <v>1</v>
      </c>
      <c r="W3681" s="2" t="s">
        <v>80</v>
      </c>
      <c r="X3681" s="2">
        <v>12</v>
      </c>
      <c r="Y3681" s="2" t="s">
        <v>148</v>
      </c>
      <c r="Z3681" s="2">
        <v>1</v>
      </c>
      <c r="AA3681" s="2" t="s">
        <v>82</v>
      </c>
      <c r="AB3681" s="2">
        <v>9</v>
      </c>
      <c r="AC3681" s="2" t="s">
        <v>124</v>
      </c>
      <c r="AD3681" s="3">
        <v>40428</v>
      </c>
      <c r="AE3681" s="4">
        <v>0.39583333333333331</v>
      </c>
      <c r="AF3681" s="3">
        <v>40428</v>
      </c>
      <c r="AG3681" s="4">
        <v>0.59027777777777779</v>
      </c>
      <c r="AH3681" s="2">
        <v>3</v>
      </c>
      <c r="AI3681" s="2" t="s">
        <v>214</v>
      </c>
      <c r="AJ3681" s="2">
        <v>24</v>
      </c>
      <c r="AK3681" s="2" t="s">
        <v>215</v>
      </c>
      <c r="AL3681" s="2">
        <v>19</v>
      </c>
      <c r="AM3681" s="2" t="s">
        <v>107</v>
      </c>
      <c r="AN3681" s="2" t="s">
        <v>11743</v>
      </c>
      <c r="AO3681" s="2" t="s">
        <v>107</v>
      </c>
      <c r="AP3681" s="2">
        <v>11</v>
      </c>
      <c r="AQ3681" s="2" t="s">
        <v>82</v>
      </c>
      <c r="AR3681" s="2"/>
      <c r="AS3681" s="2"/>
      <c r="AT3681" s="2" t="s">
        <v>11744</v>
      </c>
      <c r="AU3681" s="2"/>
      <c r="AV3681" s="2"/>
      <c r="AW3681" s="2"/>
      <c r="AX3681" s="2"/>
      <c r="AY3681" s="2">
        <v>41</v>
      </c>
      <c r="AZ3681" s="2" t="s">
        <v>82</v>
      </c>
      <c r="BA3681" s="2">
        <v>41</v>
      </c>
      <c r="BB3681" s="2" t="s">
        <v>82</v>
      </c>
      <c r="BC3681" s="2">
        <v>41</v>
      </c>
      <c r="BD3681" s="2" t="s">
        <v>82</v>
      </c>
      <c r="BE3681" s="2">
        <v>41</v>
      </c>
      <c r="BF3681" s="2" t="s">
        <v>82</v>
      </c>
      <c r="BG3681" s="2"/>
      <c r="BH3681" s="2"/>
      <c r="BI3681" s="2"/>
      <c r="BJ3681" s="2">
        <v>241</v>
      </c>
      <c r="BK3681" s="2" t="s">
        <v>82</v>
      </c>
      <c r="BL3681" s="2"/>
      <c r="BM3681" s="2">
        <v>241</v>
      </c>
      <c r="BN3681" s="2" t="s">
        <v>82</v>
      </c>
      <c r="BO3681" s="2"/>
      <c r="BP3681" s="2">
        <v>241</v>
      </c>
      <c r="BQ3681" s="2" t="s">
        <v>82</v>
      </c>
      <c r="BR3681" s="2"/>
      <c r="BS3681" s="3">
        <v>40428</v>
      </c>
      <c r="BT3681" s="4">
        <v>0.6151388888888889</v>
      </c>
    </row>
    <row r="3682" spans="1:72" x14ac:dyDescent="0.25">
      <c r="A3682" s="2">
        <v>5437</v>
      </c>
      <c r="B3682" s="2">
        <v>2010</v>
      </c>
      <c r="C3682" s="2" t="s">
        <v>414</v>
      </c>
      <c r="D3682" s="2" t="s">
        <v>122</v>
      </c>
      <c r="E3682" s="2" t="s">
        <v>11745</v>
      </c>
      <c r="F3682" s="2">
        <v>1</v>
      </c>
      <c r="G3682" s="2" t="s">
        <v>82</v>
      </c>
      <c r="H3682" s="2">
        <v>1</v>
      </c>
      <c r="I3682" s="2" t="s">
        <v>82</v>
      </c>
      <c r="J3682" s="2">
        <v>1</v>
      </c>
      <c r="K3682" s="2" t="s">
        <v>107</v>
      </c>
      <c r="L3682" s="2" t="s">
        <v>107</v>
      </c>
      <c r="M3682" s="3">
        <v>40428</v>
      </c>
      <c r="N3682" s="2" t="s">
        <v>82</v>
      </c>
      <c r="O3682" s="2" t="s">
        <v>82</v>
      </c>
      <c r="P3682" s="2" t="s">
        <v>82</v>
      </c>
      <c r="Q3682" s="2" t="str">
        <f>"N/C"</f>
        <v>N/C</v>
      </c>
      <c r="R3682" s="2" t="s">
        <v>11728</v>
      </c>
      <c r="S3682" s="2" t="s">
        <v>82</v>
      </c>
      <c r="T3682" s="2">
        <v>1</v>
      </c>
      <c r="U3682" s="2" t="s">
        <v>79</v>
      </c>
      <c r="V3682" s="2">
        <v>1</v>
      </c>
      <c r="W3682" s="2" t="s">
        <v>80</v>
      </c>
      <c r="X3682" s="2">
        <v>1</v>
      </c>
      <c r="Y3682" s="2" t="s">
        <v>81</v>
      </c>
      <c r="Z3682" s="2">
        <v>1</v>
      </c>
      <c r="AA3682" s="2" t="s">
        <v>82</v>
      </c>
      <c r="AB3682" s="2">
        <v>9</v>
      </c>
      <c r="AC3682" s="2" t="s">
        <v>124</v>
      </c>
      <c r="AD3682" s="3">
        <v>40427</v>
      </c>
      <c r="AE3682" s="4">
        <v>0.91666666666666663</v>
      </c>
      <c r="AF3682" s="2"/>
      <c r="AG3682" s="2"/>
      <c r="AH3682" s="2">
        <v>6</v>
      </c>
      <c r="AI3682" s="2" t="s">
        <v>197</v>
      </c>
      <c r="AJ3682" s="2">
        <v>60</v>
      </c>
      <c r="AK3682" s="2" t="s">
        <v>543</v>
      </c>
      <c r="AL3682" s="2">
        <v>11</v>
      </c>
      <c r="AM3682" s="2" t="s">
        <v>137</v>
      </c>
      <c r="AN3682" s="2" t="s">
        <v>11729</v>
      </c>
      <c r="AO3682" s="2" t="s">
        <v>11730</v>
      </c>
      <c r="AP3682" s="2">
        <v>11</v>
      </c>
      <c r="AQ3682" s="2" t="s">
        <v>82</v>
      </c>
      <c r="AR3682" s="2" t="s">
        <v>82</v>
      </c>
      <c r="AS3682" s="2" t="s">
        <v>82</v>
      </c>
      <c r="AT3682" s="2" t="s">
        <v>11746</v>
      </c>
      <c r="AU3682" s="2"/>
      <c r="AV3682" s="2"/>
      <c r="AW3682" s="2"/>
      <c r="AX3682" s="2"/>
      <c r="AY3682" s="2">
        <v>41</v>
      </c>
      <c r="AZ3682" s="2" t="s">
        <v>82</v>
      </c>
      <c r="BA3682" s="2">
        <v>41</v>
      </c>
      <c r="BB3682" s="2" t="s">
        <v>82</v>
      </c>
      <c r="BC3682" s="2">
        <v>41</v>
      </c>
      <c r="BD3682" s="2" t="s">
        <v>82</v>
      </c>
      <c r="BE3682" s="2">
        <v>41</v>
      </c>
      <c r="BF3682" s="2" t="s">
        <v>82</v>
      </c>
      <c r="BG3682" s="2" t="s">
        <v>8086</v>
      </c>
      <c r="BH3682" s="2"/>
      <c r="BI3682" s="2"/>
      <c r="BJ3682" s="2">
        <v>13</v>
      </c>
      <c r="BK3682" s="2" t="s">
        <v>91</v>
      </c>
      <c r="BL3682" s="2" t="s">
        <v>895</v>
      </c>
      <c r="BM3682" s="2">
        <v>13</v>
      </c>
      <c r="BN3682" s="2" t="s">
        <v>91</v>
      </c>
      <c r="BO3682" s="2" t="s">
        <v>82</v>
      </c>
      <c r="BP3682" s="2">
        <v>13</v>
      </c>
      <c r="BQ3682" s="2" t="s">
        <v>91</v>
      </c>
      <c r="BR3682" s="2" t="s">
        <v>11732</v>
      </c>
      <c r="BS3682" s="3">
        <v>40428</v>
      </c>
      <c r="BT3682" s="4">
        <v>0.61942129629629628</v>
      </c>
    </row>
    <row r="3683" spans="1:72" x14ac:dyDescent="0.25">
      <c r="A3683" s="2">
        <v>5438</v>
      </c>
      <c r="B3683" s="2">
        <v>2010</v>
      </c>
      <c r="C3683" s="2" t="s">
        <v>171</v>
      </c>
      <c r="D3683" s="2" t="s">
        <v>122</v>
      </c>
      <c r="E3683" s="2" t="s">
        <v>11747</v>
      </c>
      <c r="F3683" s="2">
        <v>393</v>
      </c>
      <c r="G3683" s="2" t="s">
        <v>3660</v>
      </c>
      <c r="H3683" s="2">
        <v>2</v>
      </c>
      <c r="I3683" s="2" t="s">
        <v>267</v>
      </c>
      <c r="J3683" s="2">
        <v>2</v>
      </c>
      <c r="K3683" s="2" t="s">
        <v>3661</v>
      </c>
      <c r="L3683" s="2" t="s">
        <v>3662</v>
      </c>
      <c r="M3683" s="3">
        <v>40428</v>
      </c>
      <c r="N3683" s="2" t="s">
        <v>11684</v>
      </c>
      <c r="O3683" s="2" t="s">
        <v>11685</v>
      </c>
      <c r="P3683" s="2">
        <v>5836</v>
      </c>
      <c r="Q3683" s="2" t="str">
        <f>"06R/10"</f>
        <v>06R/10</v>
      </c>
      <c r="R3683" s="2" t="s">
        <v>11686</v>
      </c>
      <c r="S3683" s="2" t="s">
        <v>1893</v>
      </c>
      <c r="T3683" s="2">
        <v>1</v>
      </c>
      <c r="U3683" s="2" t="s">
        <v>79</v>
      </c>
      <c r="V3683" s="2">
        <v>1</v>
      </c>
      <c r="W3683" s="2" t="s">
        <v>80</v>
      </c>
      <c r="X3683" s="2">
        <v>6</v>
      </c>
      <c r="Y3683" s="2" t="s">
        <v>249</v>
      </c>
      <c r="Z3683" s="2">
        <v>10</v>
      </c>
      <c r="AA3683" s="2" t="s">
        <v>236</v>
      </c>
      <c r="AB3683" s="2">
        <v>1</v>
      </c>
      <c r="AC3683" s="2" t="s">
        <v>178</v>
      </c>
      <c r="AD3683" s="3">
        <v>40428</v>
      </c>
      <c r="AE3683" s="4">
        <v>0.58333333333333337</v>
      </c>
      <c r="AF3683" s="3">
        <v>40415</v>
      </c>
      <c r="AG3683" s="4">
        <v>0.65277777777777779</v>
      </c>
      <c r="AH3683" s="2">
        <v>2</v>
      </c>
      <c r="AI3683" s="2" t="s">
        <v>84</v>
      </c>
      <c r="AJ3683" s="2">
        <v>6</v>
      </c>
      <c r="AK3683" s="2" t="s">
        <v>453</v>
      </c>
      <c r="AL3683" s="2">
        <v>23</v>
      </c>
      <c r="AM3683" s="2" t="s">
        <v>251</v>
      </c>
      <c r="AN3683" s="2"/>
      <c r="AO3683" s="2" t="s">
        <v>11748</v>
      </c>
      <c r="AP3683" s="2">
        <v>11</v>
      </c>
      <c r="AQ3683" s="2" t="s">
        <v>82</v>
      </c>
      <c r="AR3683" s="2"/>
      <c r="AS3683" s="2"/>
      <c r="AT3683" s="2" t="s">
        <v>11749</v>
      </c>
      <c r="AU3683" s="2"/>
      <c r="AV3683" s="2">
        <v>1</v>
      </c>
      <c r="AW3683" s="2"/>
      <c r="AX3683" s="2"/>
      <c r="AY3683" s="2">
        <v>42</v>
      </c>
      <c r="AZ3683" s="2" t="s">
        <v>182</v>
      </c>
      <c r="BA3683" s="2">
        <v>70</v>
      </c>
      <c r="BB3683" s="2" t="s">
        <v>236</v>
      </c>
      <c r="BC3683" s="2">
        <v>70</v>
      </c>
      <c r="BD3683" s="2" t="s">
        <v>236</v>
      </c>
      <c r="BE3683" s="2">
        <v>18</v>
      </c>
      <c r="BF3683" s="2" t="s">
        <v>1091</v>
      </c>
      <c r="BG3683" s="2" t="s">
        <v>1092</v>
      </c>
      <c r="BH3683" s="2"/>
      <c r="BI3683" s="4">
        <v>0.84722222222222221</v>
      </c>
      <c r="BJ3683" s="2">
        <v>13</v>
      </c>
      <c r="BK3683" s="2" t="s">
        <v>91</v>
      </c>
      <c r="BL3683" s="2" t="s">
        <v>360</v>
      </c>
      <c r="BM3683" s="2">
        <v>241</v>
      </c>
      <c r="BN3683" s="2" t="s">
        <v>82</v>
      </c>
      <c r="BO3683" s="2"/>
      <c r="BP3683" s="2">
        <v>205</v>
      </c>
      <c r="BQ3683" s="2" t="s">
        <v>1085</v>
      </c>
      <c r="BR3683" s="2" t="s">
        <v>11236</v>
      </c>
      <c r="BS3683" s="3">
        <v>40428</v>
      </c>
      <c r="BT3683" s="4">
        <v>0.62076388888888889</v>
      </c>
    </row>
    <row r="3684" spans="1:72" x14ac:dyDescent="0.25">
      <c r="A3684" s="2">
        <v>5439</v>
      </c>
      <c r="B3684" s="2">
        <v>2010</v>
      </c>
      <c r="C3684" s="2" t="s">
        <v>385</v>
      </c>
      <c r="D3684" s="2" t="s">
        <v>122</v>
      </c>
      <c r="E3684" s="2"/>
      <c r="F3684" s="2">
        <v>393</v>
      </c>
      <c r="G3684" s="2" t="s">
        <v>3660</v>
      </c>
      <c r="H3684" s="2">
        <v>2</v>
      </c>
      <c r="I3684" s="2" t="s">
        <v>267</v>
      </c>
      <c r="J3684" s="2">
        <v>2</v>
      </c>
      <c r="K3684" s="2" t="s">
        <v>3661</v>
      </c>
      <c r="L3684" s="2" t="s">
        <v>3662</v>
      </c>
      <c r="M3684" s="3">
        <v>40428</v>
      </c>
      <c r="N3684" s="2" t="s">
        <v>11715</v>
      </c>
      <c r="O3684" s="2" t="s">
        <v>11685</v>
      </c>
      <c r="P3684" s="2">
        <v>5836</v>
      </c>
      <c r="Q3684" s="2" t="str">
        <f>"06R/10"</f>
        <v>06R/10</v>
      </c>
      <c r="R3684" s="2"/>
      <c r="S3684" s="2" t="s">
        <v>11686</v>
      </c>
      <c r="T3684" s="2">
        <v>1</v>
      </c>
      <c r="U3684" s="2" t="s">
        <v>79</v>
      </c>
      <c r="V3684" s="2">
        <v>1</v>
      </c>
      <c r="W3684" s="2" t="s">
        <v>80</v>
      </c>
      <c r="X3684" s="2">
        <v>11</v>
      </c>
      <c r="Y3684" s="2" t="s">
        <v>1920</v>
      </c>
      <c r="Z3684" s="2">
        <v>10</v>
      </c>
      <c r="AA3684" s="2" t="s">
        <v>236</v>
      </c>
      <c r="AB3684" s="2">
        <v>9</v>
      </c>
      <c r="AC3684" s="2" t="s">
        <v>124</v>
      </c>
      <c r="AD3684" s="3">
        <v>40428</v>
      </c>
      <c r="AE3684" s="4">
        <v>0.25</v>
      </c>
      <c r="AF3684" s="2"/>
      <c r="AG3684" s="2"/>
      <c r="AH3684" s="2">
        <v>2</v>
      </c>
      <c r="AI3684" s="2" t="s">
        <v>84</v>
      </c>
      <c r="AJ3684" s="2">
        <v>6</v>
      </c>
      <c r="AK3684" s="2" t="s">
        <v>453</v>
      </c>
      <c r="AL3684" s="2">
        <v>23</v>
      </c>
      <c r="AM3684" s="2" t="s">
        <v>251</v>
      </c>
      <c r="AN3684" s="2" t="s">
        <v>11750</v>
      </c>
      <c r="AO3684" s="2" t="s">
        <v>1394</v>
      </c>
      <c r="AP3684" s="2">
        <v>11</v>
      </c>
      <c r="AQ3684" s="2" t="s">
        <v>82</v>
      </c>
      <c r="AR3684" s="2"/>
      <c r="AS3684" s="2"/>
      <c r="AT3684" s="2" t="s">
        <v>11751</v>
      </c>
      <c r="AU3684" s="2">
        <v>2</v>
      </c>
      <c r="AV3684" s="2"/>
      <c r="AW3684" s="2"/>
      <c r="AX3684" s="2"/>
      <c r="AY3684" s="2">
        <v>41</v>
      </c>
      <c r="AZ3684" s="2" t="s">
        <v>82</v>
      </c>
      <c r="BA3684" s="2">
        <v>70</v>
      </c>
      <c r="BB3684" s="2" t="s">
        <v>236</v>
      </c>
      <c r="BC3684" s="2">
        <v>70</v>
      </c>
      <c r="BD3684" s="2" t="s">
        <v>236</v>
      </c>
      <c r="BE3684" s="2">
        <v>41</v>
      </c>
      <c r="BF3684" s="2" t="s">
        <v>82</v>
      </c>
      <c r="BG3684" s="2"/>
      <c r="BH3684" s="2"/>
      <c r="BI3684" s="2"/>
      <c r="BJ3684" s="2">
        <v>241</v>
      </c>
      <c r="BK3684" s="2" t="s">
        <v>82</v>
      </c>
      <c r="BL3684" s="2"/>
      <c r="BM3684" s="2">
        <v>241</v>
      </c>
      <c r="BN3684" s="2" t="s">
        <v>82</v>
      </c>
      <c r="BO3684" s="2"/>
      <c r="BP3684" s="2">
        <v>241</v>
      </c>
      <c r="BQ3684" s="2" t="s">
        <v>82</v>
      </c>
      <c r="BR3684" s="2"/>
      <c r="BS3684" s="3">
        <v>40428</v>
      </c>
      <c r="BT3684" s="4">
        <v>0.62725694444444446</v>
      </c>
    </row>
    <row r="3685" spans="1:72" x14ac:dyDescent="0.25">
      <c r="A3685" s="2">
        <v>5444</v>
      </c>
      <c r="B3685" s="2">
        <v>2010</v>
      </c>
      <c r="C3685" s="2" t="s">
        <v>93</v>
      </c>
      <c r="D3685" s="2" t="s">
        <v>73</v>
      </c>
      <c r="E3685" s="2"/>
      <c r="F3685" s="2">
        <v>674</v>
      </c>
      <c r="G3685" s="2" t="s">
        <v>11752</v>
      </c>
      <c r="H3685" s="2">
        <v>139</v>
      </c>
      <c r="I3685" s="2" t="s">
        <v>11753</v>
      </c>
      <c r="J3685" s="2">
        <v>658</v>
      </c>
      <c r="K3685" s="2" t="s">
        <v>11754</v>
      </c>
      <c r="L3685" s="2" t="s">
        <v>11755</v>
      </c>
      <c r="M3685" s="3">
        <v>40428</v>
      </c>
      <c r="N3685" s="2" t="s">
        <v>11756</v>
      </c>
      <c r="O3685" s="2" t="s">
        <v>11757</v>
      </c>
      <c r="P3685" s="2">
        <v>1145</v>
      </c>
      <c r="Q3685" s="2" t="str">
        <f>""</f>
        <v/>
      </c>
      <c r="R3685" s="2"/>
      <c r="S3685" s="2"/>
      <c r="T3685" s="2">
        <v>1</v>
      </c>
      <c r="U3685" s="2" t="s">
        <v>79</v>
      </c>
      <c r="V3685" s="2">
        <v>1</v>
      </c>
      <c r="W3685" s="2" t="s">
        <v>80</v>
      </c>
      <c r="X3685" s="2">
        <v>12</v>
      </c>
      <c r="Y3685" s="2" t="s">
        <v>148</v>
      </c>
      <c r="Z3685" s="2">
        <v>6</v>
      </c>
      <c r="AA3685" s="2" t="s">
        <v>101</v>
      </c>
      <c r="AB3685" s="2">
        <v>2</v>
      </c>
      <c r="AC3685" s="2" t="s">
        <v>102</v>
      </c>
      <c r="AD3685" s="3">
        <v>40428</v>
      </c>
      <c r="AE3685" s="2"/>
      <c r="AF3685" s="3">
        <v>40428</v>
      </c>
      <c r="AG3685" s="4">
        <v>0.29930555555555555</v>
      </c>
      <c r="AH3685" s="2">
        <v>2</v>
      </c>
      <c r="AI3685" s="2" t="s">
        <v>84</v>
      </c>
      <c r="AJ3685" s="2">
        <v>9</v>
      </c>
      <c r="AK3685" s="2" t="s">
        <v>103</v>
      </c>
      <c r="AL3685" s="2">
        <v>15</v>
      </c>
      <c r="AM3685" s="2" t="s">
        <v>104</v>
      </c>
      <c r="AN3685" s="2" t="s">
        <v>11758</v>
      </c>
      <c r="AO3685" s="2"/>
      <c r="AP3685" s="2">
        <v>11</v>
      </c>
      <c r="AQ3685" s="2" t="s">
        <v>82</v>
      </c>
      <c r="AR3685" s="2"/>
      <c r="AS3685" s="2"/>
      <c r="AT3685" s="2" t="s">
        <v>11759</v>
      </c>
      <c r="AU3685" s="2">
        <v>1</v>
      </c>
      <c r="AV3685" s="2"/>
      <c r="AW3685" s="2"/>
      <c r="AX3685" s="2"/>
      <c r="AY3685" s="2">
        <v>41</v>
      </c>
      <c r="AZ3685" s="2" t="s">
        <v>82</v>
      </c>
      <c r="BA3685" s="2">
        <v>115</v>
      </c>
      <c r="BB3685" s="2" t="s">
        <v>101</v>
      </c>
      <c r="BC3685" s="2">
        <v>41</v>
      </c>
      <c r="BD3685" s="2" t="s">
        <v>82</v>
      </c>
      <c r="BE3685" s="2">
        <v>13</v>
      </c>
      <c r="BF3685" s="2" t="s">
        <v>108</v>
      </c>
      <c r="BG3685" s="2" t="s">
        <v>2323</v>
      </c>
      <c r="BH3685" s="2"/>
      <c r="BI3685" s="2"/>
      <c r="BJ3685" s="2">
        <v>242</v>
      </c>
      <c r="BK3685" s="2" t="s">
        <v>107</v>
      </c>
      <c r="BL3685" s="2"/>
      <c r="BM3685" s="2">
        <v>241</v>
      </c>
      <c r="BN3685" s="2" t="s">
        <v>82</v>
      </c>
      <c r="BO3685" s="2"/>
      <c r="BP3685" s="2">
        <v>13</v>
      </c>
      <c r="BQ3685" s="2" t="s">
        <v>91</v>
      </c>
      <c r="BR3685" s="2" t="s">
        <v>360</v>
      </c>
      <c r="BS3685" s="3">
        <v>40428</v>
      </c>
      <c r="BT3685" s="4">
        <v>0.66953703703703704</v>
      </c>
    </row>
    <row r="3686" spans="1:72" x14ac:dyDescent="0.25">
      <c r="A3686" s="2">
        <v>5445</v>
      </c>
      <c r="B3686" s="2">
        <v>2010</v>
      </c>
      <c r="C3686" s="2" t="s">
        <v>819</v>
      </c>
      <c r="D3686" s="2" t="s">
        <v>73</v>
      </c>
      <c r="E3686" s="2" t="s">
        <v>11760</v>
      </c>
      <c r="F3686" s="2">
        <v>425</v>
      </c>
      <c r="G3686" s="2" t="s">
        <v>286</v>
      </c>
      <c r="H3686" s="2">
        <v>39</v>
      </c>
      <c r="I3686" s="2" t="s">
        <v>1117</v>
      </c>
      <c r="J3686" s="2">
        <v>310</v>
      </c>
      <c r="K3686" s="2" t="s">
        <v>288</v>
      </c>
      <c r="L3686" s="2" t="s">
        <v>289</v>
      </c>
      <c r="M3686" s="3">
        <v>40428</v>
      </c>
      <c r="N3686" s="2" t="s">
        <v>2049</v>
      </c>
      <c r="O3686" s="2" t="s">
        <v>2490</v>
      </c>
      <c r="P3686" s="2" t="s">
        <v>11761</v>
      </c>
      <c r="Q3686" s="2" t="str">
        <f>"065/10"</f>
        <v>065/10</v>
      </c>
      <c r="R3686" s="2"/>
      <c r="S3686" s="2" t="s">
        <v>822</v>
      </c>
      <c r="T3686" s="2">
        <v>1</v>
      </c>
      <c r="U3686" s="2" t="s">
        <v>79</v>
      </c>
      <c r="V3686" s="2">
        <v>1</v>
      </c>
      <c r="W3686" s="2" t="s">
        <v>80</v>
      </c>
      <c r="X3686" s="2">
        <v>1</v>
      </c>
      <c r="Y3686" s="2" t="s">
        <v>81</v>
      </c>
      <c r="Z3686" s="2">
        <v>1</v>
      </c>
      <c r="AA3686" s="2" t="s">
        <v>82</v>
      </c>
      <c r="AB3686" s="2">
        <v>9</v>
      </c>
      <c r="AC3686" s="2" t="s">
        <v>124</v>
      </c>
      <c r="AD3686" s="3">
        <v>40428</v>
      </c>
      <c r="AE3686" s="4">
        <v>0.61805555555555558</v>
      </c>
      <c r="AF3686" s="2"/>
      <c r="AG3686" s="2"/>
      <c r="AH3686" s="2">
        <v>4</v>
      </c>
      <c r="AI3686" s="2" t="s">
        <v>125</v>
      </c>
      <c r="AJ3686" s="2">
        <v>29</v>
      </c>
      <c r="AK3686" s="2" t="s">
        <v>227</v>
      </c>
      <c r="AL3686" s="2">
        <v>16</v>
      </c>
      <c r="AM3686" s="2" t="s">
        <v>392</v>
      </c>
      <c r="AN3686" s="2" t="s">
        <v>9764</v>
      </c>
      <c r="AO3686" s="2"/>
      <c r="AP3686" s="2">
        <v>11</v>
      </c>
      <c r="AQ3686" s="2" t="s">
        <v>82</v>
      </c>
      <c r="AR3686" s="2" t="s">
        <v>7938</v>
      </c>
      <c r="AS3686" s="2" t="s">
        <v>7939</v>
      </c>
      <c r="AT3686" s="2" t="s">
        <v>11762</v>
      </c>
      <c r="AU3686" s="2"/>
      <c r="AV3686" s="2"/>
      <c r="AW3686" s="2"/>
      <c r="AX3686" s="2"/>
      <c r="AY3686" s="2">
        <v>41</v>
      </c>
      <c r="AZ3686" s="2" t="s">
        <v>82</v>
      </c>
      <c r="BA3686" s="2">
        <v>41</v>
      </c>
      <c r="BB3686" s="2" t="s">
        <v>82</v>
      </c>
      <c r="BC3686" s="2">
        <v>1</v>
      </c>
      <c r="BD3686" s="2" t="s">
        <v>107</v>
      </c>
      <c r="BE3686" s="2">
        <v>48</v>
      </c>
      <c r="BF3686" s="2" t="s">
        <v>1123</v>
      </c>
      <c r="BG3686" s="2">
        <v>853</v>
      </c>
      <c r="BH3686" s="4">
        <v>0.91666666666666663</v>
      </c>
      <c r="BI3686" s="4">
        <v>0.33333333333333331</v>
      </c>
      <c r="BJ3686" s="2">
        <v>13</v>
      </c>
      <c r="BK3686" s="2" t="s">
        <v>91</v>
      </c>
      <c r="BL3686" s="2" t="s">
        <v>828</v>
      </c>
      <c r="BM3686" s="2">
        <v>241</v>
      </c>
      <c r="BN3686" s="2" t="s">
        <v>82</v>
      </c>
      <c r="BO3686" s="2" t="s">
        <v>82</v>
      </c>
      <c r="BP3686" s="2">
        <v>13</v>
      </c>
      <c r="BQ3686" s="2" t="s">
        <v>91</v>
      </c>
      <c r="BR3686" s="2" t="s">
        <v>1108</v>
      </c>
      <c r="BS3686" s="3">
        <v>40428</v>
      </c>
      <c r="BT3686" s="4">
        <v>0.67054398148148142</v>
      </c>
    </row>
    <row r="3687" spans="1:72" x14ac:dyDescent="0.25">
      <c r="A3687" s="2">
        <v>5446</v>
      </c>
      <c r="B3687" s="2">
        <v>2010</v>
      </c>
      <c r="C3687" s="2" t="s">
        <v>171</v>
      </c>
      <c r="D3687" s="2" t="s">
        <v>73</v>
      </c>
      <c r="E3687" s="2" t="s">
        <v>11763</v>
      </c>
      <c r="F3687" s="2">
        <v>100</v>
      </c>
      <c r="G3687" s="2" t="s">
        <v>517</v>
      </c>
      <c r="H3687" s="2">
        <v>47</v>
      </c>
      <c r="I3687" s="2" t="s">
        <v>1409</v>
      </c>
      <c r="J3687" s="2">
        <v>119</v>
      </c>
      <c r="K3687" s="2" t="s">
        <v>325</v>
      </c>
      <c r="L3687" s="2" t="s">
        <v>326</v>
      </c>
      <c r="M3687" s="3">
        <v>40428</v>
      </c>
      <c r="N3687" s="2" t="s">
        <v>4106</v>
      </c>
      <c r="O3687" s="2" t="s">
        <v>11764</v>
      </c>
      <c r="P3687" s="2" t="s">
        <v>4499</v>
      </c>
      <c r="Q3687" s="2" t="str">
        <f>""</f>
        <v/>
      </c>
      <c r="R3687" s="2"/>
      <c r="S3687" s="2"/>
      <c r="T3687" s="2">
        <v>1</v>
      </c>
      <c r="U3687" s="2" t="s">
        <v>79</v>
      </c>
      <c r="V3687" s="2">
        <v>3</v>
      </c>
      <c r="W3687" s="2" t="s">
        <v>225</v>
      </c>
      <c r="X3687" s="2">
        <v>2</v>
      </c>
      <c r="Y3687" s="2" t="s">
        <v>136</v>
      </c>
      <c r="Z3687" s="2">
        <v>1</v>
      </c>
      <c r="AA3687" s="2" t="s">
        <v>82</v>
      </c>
      <c r="AB3687" s="2">
        <v>9</v>
      </c>
      <c r="AC3687" s="2" t="s">
        <v>124</v>
      </c>
      <c r="AD3687" s="3">
        <v>40428</v>
      </c>
      <c r="AE3687" s="4">
        <v>0.52847222222222223</v>
      </c>
      <c r="AF3687" s="2"/>
      <c r="AG3687" s="2"/>
      <c r="AH3687" s="2">
        <v>6</v>
      </c>
      <c r="AI3687" s="2" t="s">
        <v>197</v>
      </c>
      <c r="AJ3687" s="2">
        <v>47</v>
      </c>
      <c r="AK3687" s="2" t="s">
        <v>250</v>
      </c>
      <c r="AL3687" s="2">
        <v>23</v>
      </c>
      <c r="AM3687" s="2" t="s">
        <v>251</v>
      </c>
      <c r="AN3687" s="2"/>
      <c r="AO3687" s="2"/>
      <c r="AP3687" s="2">
        <v>11</v>
      </c>
      <c r="AQ3687" s="2" t="s">
        <v>82</v>
      </c>
      <c r="AR3687" s="2"/>
      <c r="AS3687" s="2"/>
      <c r="AT3687" s="2" t="s">
        <v>11765</v>
      </c>
      <c r="AU3687" s="2"/>
      <c r="AV3687" s="2"/>
      <c r="AW3687" s="2"/>
      <c r="AX3687" s="2"/>
      <c r="AY3687" s="2">
        <v>41</v>
      </c>
      <c r="AZ3687" s="2" t="s">
        <v>82</v>
      </c>
      <c r="BA3687" s="2">
        <v>41</v>
      </c>
      <c r="BB3687" s="2" t="s">
        <v>82</v>
      </c>
      <c r="BC3687" s="2">
        <v>41</v>
      </c>
      <c r="BD3687" s="2" t="s">
        <v>82</v>
      </c>
      <c r="BE3687" s="2">
        <v>41</v>
      </c>
      <c r="BF3687" s="2" t="s">
        <v>82</v>
      </c>
      <c r="BG3687" s="2"/>
      <c r="BH3687" s="2"/>
      <c r="BI3687" s="2"/>
      <c r="BJ3687" s="2">
        <v>241</v>
      </c>
      <c r="BK3687" s="2" t="s">
        <v>82</v>
      </c>
      <c r="BL3687" s="2"/>
      <c r="BM3687" s="2">
        <v>241</v>
      </c>
      <c r="BN3687" s="2" t="s">
        <v>82</v>
      </c>
      <c r="BO3687" s="2"/>
      <c r="BP3687" s="2">
        <v>241</v>
      </c>
      <c r="BQ3687" s="2" t="s">
        <v>82</v>
      </c>
      <c r="BR3687" s="2"/>
      <c r="BS3687" s="3">
        <v>40428</v>
      </c>
      <c r="BT3687" s="4">
        <v>0.67778935185185185</v>
      </c>
    </row>
    <row r="3688" spans="1:72" x14ac:dyDescent="0.25">
      <c r="A3688" s="2">
        <v>5447</v>
      </c>
      <c r="B3688" s="2">
        <v>2010</v>
      </c>
      <c r="C3688" s="2" t="s">
        <v>72</v>
      </c>
      <c r="D3688" s="2" t="s">
        <v>73</v>
      </c>
      <c r="E3688" s="2"/>
      <c r="F3688" s="2">
        <v>167</v>
      </c>
      <c r="G3688" s="2" t="s">
        <v>11567</v>
      </c>
      <c r="H3688" s="2">
        <v>42</v>
      </c>
      <c r="I3688" s="2" t="s">
        <v>1096</v>
      </c>
      <c r="J3688" s="2">
        <v>656</v>
      </c>
      <c r="K3688" s="2" t="s">
        <v>11603</v>
      </c>
      <c r="L3688" s="2" t="s">
        <v>4885</v>
      </c>
      <c r="M3688" s="3">
        <v>40428</v>
      </c>
      <c r="N3688" s="2" t="s">
        <v>11604</v>
      </c>
      <c r="O3688" s="2"/>
      <c r="P3688" s="2"/>
      <c r="Q3688" s="2" t="str">
        <f>"355-A/10"</f>
        <v>355-A/10</v>
      </c>
      <c r="R3688" s="2" t="s">
        <v>11766</v>
      </c>
      <c r="S3688" s="2" t="s">
        <v>11766</v>
      </c>
      <c r="T3688" s="2">
        <v>1</v>
      </c>
      <c r="U3688" s="2" t="s">
        <v>79</v>
      </c>
      <c r="V3688" s="2">
        <v>1</v>
      </c>
      <c r="W3688" s="2" t="s">
        <v>80</v>
      </c>
      <c r="X3688" s="2">
        <v>12</v>
      </c>
      <c r="Y3688" s="2" t="s">
        <v>148</v>
      </c>
      <c r="Z3688" s="2">
        <v>1</v>
      </c>
      <c r="AA3688" s="2" t="s">
        <v>82</v>
      </c>
      <c r="AB3688" s="2">
        <v>6</v>
      </c>
      <c r="AC3688" s="2" t="s">
        <v>83</v>
      </c>
      <c r="AD3688" s="2"/>
      <c r="AE3688" s="2"/>
      <c r="AF3688" s="3">
        <v>40428</v>
      </c>
      <c r="AG3688" s="4">
        <v>0.63194444444444442</v>
      </c>
      <c r="AH3688" s="2">
        <v>2</v>
      </c>
      <c r="AI3688" s="2" t="s">
        <v>84</v>
      </c>
      <c r="AJ3688" s="2">
        <v>12</v>
      </c>
      <c r="AK3688" s="2" t="s">
        <v>85</v>
      </c>
      <c r="AL3688" s="2">
        <v>21</v>
      </c>
      <c r="AM3688" s="2" t="s">
        <v>1311</v>
      </c>
      <c r="AN3688" s="2" t="s">
        <v>11767</v>
      </c>
      <c r="AO3688" s="2"/>
      <c r="AP3688" s="2">
        <v>11</v>
      </c>
      <c r="AQ3688" s="2" t="s">
        <v>82</v>
      </c>
      <c r="AR3688" s="2"/>
      <c r="AS3688" s="2"/>
      <c r="AT3688" s="2" t="s">
        <v>11768</v>
      </c>
      <c r="AU3688" s="2"/>
      <c r="AV3688" s="2"/>
      <c r="AW3688" s="2"/>
      <c r="AX3688" s="2"/>
      <c r="AY3688" s="2">
        <v>41</v>
      </c>
      <c r="AZ3688" s="2" t="s">
        <v>82</v>
      </c>
      <c r="BA3688" s="2">
        <v>41</v>
      </c>
      <c r="BB3688" s="2" t="s">
        <v>82</v>
      </c>
      <c r="BC3688" s="2">
        <v>70</v>
      </c>
      <c r="BD3688" s="2" t="s">
        <v>236</v>
      </c>
      <c r="BE3688" s="2">
        <v>41</v>
      </c>
      <c r="BF3688" s="2" t="s">
        <v>82</v>
      </c>
      <c r="BG3688" s="2"/>
      <c r="BH3688" s="2"/>
      <c r="BI3688" s="2"/>
      <c r="BJ3688" s="2">
        <v>241</v>
      </c>
      <c r="BK3688" s="2" t="s">
        <v>82</v>
      </c>
      <c r="BL3688" s="2"/>
      <c r="BM3688" s="2">
        <v>241</v>
      </c>
      <c r="BN3688" s="2" t="s">
        <v>82</v>
      </c>
      <c r="BO3688" s="2"/>
      <c r="BP3688" s="2">
        <v>241</v>
      </c>
      <c r="BQ3688" s="2" t="s">
        <v>82</v>
      </c>
      <c r="BR3688" s="2"/>
      <c r="BS3688" s="3">
        <v>40428</v>
      </c>
      <c r="BT3688" s="4">
        <v>0.72854166666666664</v>
      </c>
    </row>
    <row r="3689" spans="1:72" x14ac:dyDescent="0.25">
      <c r="A3689" s="2">
        <v>5448</v>
      </c>
      <c r="B3689" s="2">
        <v>2010</v>
      </c>
      <c r="C3689" s="2" t="s">
        <v>171</v>
      </c>
      <c r="D3689" s="2" t="s">
        <v>122</v>
      </c>
      <c r="E3689" s="2" t="s">
        <v>11713</v>
      </c>
      <c r="F3689" s="2">
        <v>394</v>
      </c>
      <c r="G3689" s="2" t="s">
        <v>172</v>
      </c>
      <c r="H3689" s="2">
        <v>4</v>
      </c>
      <c r="I3689" s="2" t="s">
        <v>173</v>
      </c>
      <c r="J3689" s="2">
        <v>241</v>
      </c>
      <c r="K3689" s="2" t="s">
        <v>174</v>
      </c>
      <c r="L3689" s="2" t="s">
        <v>175</v>
      </c>
      <c r="M3689" s="3">
        <v>40428</v>
      </c>
      <c r="N3689" s="2" t="s">
        <v>176</v>
      </c>
      <c r="O3689" s="2"/>
      <c r="P3689" s="2"/>
      <c r="Q3689" s="2" t="str">
        <f>"447-E/10"</f>
        <v>447-E/10</v>
      </c>
      <c r="R3689" s="2" t="s">
        <v>391</v>
      </c>
      <c r="S3689" s="2"/>
      <c r="T3689" s="2">
        <v>1</v>
      </c>
      <c r="U3689" s="2" t="s">
        <v>79</v>
      </c>
      <c r="V3689" s="2">
        <v>1</v>
      </c>
      <c r="W3689" s="2" t="s">
        <v>80</v>
      </c>
      <c r="X3689" s="2">
        <v>1</v>
      </c>
      <c r="Y3689" s="2" t="s">
        <v>81</v>
      </c>
      <c r="Z3689" s="2">
        <v>10</v>
      </c>
      <c r="AA3689" s="2" t="s">
        <v>236</v>
      </c>
      <c r="AB3689" s="2">
        <v>1</v>
      </c>
      <c r="AC3689" s="2" t="s">
        <v>178</v>
      </c>
      <c r="AD3689" s="3">
        <v>40424</v>
      </c>
      <c r="AE3689" s="4">
        <v>0.72916666666666663</v>
      </c>
      <c r="AF3689" s="2"/>
      <c r="AG3689" s="2"/>
      <c r="AH3689" s="2">
        <v>2</v>
      </c>
      <c r="AI3689" s="2" t="s">
        <v>84</v>
      </c>
      <c r="AJ3689" s="2">
        <v>9</v>
      </c>
      <c r="AK3689" s="2" t="s">
        <v>103</v>
      </c>
      <c r="AL3689" s="2">
        <v>14</v>
      </c>
      <c r="AM3689" s="2" t="s">
        <v>216</v>
      </c>
      <c r="AN3689" s="2" t="s">
        <v>1340</v>
      </c>
      <c r="AO3689" s="2"/>
      <c r="AP3689" s="2">
        <v>11</v>
      </c>
      <c r="AQ3689" s="2" t="s">
        <v>82</v>
      </c>
      <c r="AR3689" s="2"/>
      <c r="AS3689" s="2"/>
      <c r="AT3689" s="2" t="s">
        <v>11769</v>
      </c>
      <c r="AU3689" s="2"/>
      <c r="AV3689" s="2">
        <v>1</v>
      </c>
      <c r="AW3689" s="2"/>
      <c r="AX3689" s="2"/>
      <c r="AY3689" s="2">
        <v>42</v>
      </c>
      <c r="AZ3689" s="2" t="s">
        <v>182</v>
      </c>
      <c r="BA3689" s="2">
        <v>41</v>
      </c>
      <c r="BB3689" s="2" t="s">
        <v>82</v>
      </c>
      <c r="BC3689" s="2">
        <v>70</v>
      </c>
      <c r="BD3689" s="2" t="s">
        <v>236</v>
      </c>
      <c r="BE3689" s="2">
        <v>33</v>
      </c>
      <c r="BF3689" s="2" t="s">
        <v>1083</v>
      </c>
      <c r="BG3689" s="2" t="s">
        <v>9308</v>
      </c>
      <c r="BH3689" s="2"/>
      <c r="BI3689" s="4">
        <v>0.73958333333333337</v>
      </c>
      <c r="BJ3689" s="2">
        <v>13</v>
      </c>
      <c r="BK3689" s="2" t="s">
        <v>91</v>
      </c>
      <c r="BL3689" s="2" t="s">
        <v>360</v>
      </c>
      <c r="BM3689" s="2">
        <v>241</v>
      </c>
      <c r="BN3689" s="2" t="s">
        <v>82</v>
      </c>
      <c r="BO3689" s="2"/>
      <c r="BP3689" s="2">
        <v>205</v>
      </c>
      <c r="BQ3689" s="2" t="s">
        <v>1085</v>
      </c>
      <c r="BR3689" s="2" t="s">
        <v>1086</v>
      </c>
      <c r="BS3689" s="3">
        <v>40428</v>
      </c>
      <c r="BT3689" s="4">
        <v>0.73965277777777771</v>
      </c>
    </row>
    <row r="3690" spans="1:72" x14ac:dyDescent="0.25">
      <c r="A3690" s="2">
        <v>5449</v>
      </c>
      <c r="B3690" s="2">
        <v>2010</v>
      </c>
      <c r="C3690" s="2" t="s">
        <v>171</v>
      </c>
      <c r="D3690" s="2" t="s">
        <v>122</v>
      </c>
      <c r="E3690" s="2" t="s">
        <v>11770</v>
      </c>
      <c r="F3690" s="2">
        <v>393</v>
      </c>
      <c r="G3690" s="2" t="s">
        <v>3660</v>
      </c>
      <c r="H3690" s="2">
        <v>2</v>
      </c>
      <c r="I3690" s="2" t="s">
        <v>267</v>
      </c>
      <c r="J3690" s="2">
        <v>2</v>
      </c>
      <c r="K3690" s="2" t="s">
        <v>3661</v>
      </c>
      <c r="L3690" s="2" t="s">
        <v>3662</v>
      </c>
      <c r="M3690" s="3">
        <v>40428</v>
      </c>
      <c r="N3690" s="2" t="s">
        <v>11481</v>
      </c>
      <c r="O3690" s="2" t="s">
        <v>82</v>
      </c>
      <c r="P3690" s="2"/>
      <c r="Q3690" s="2" t="str">
        <f>"445-E/10"</f>
        <v>445-E/10</v>
      </c>
      <c r="R3690" s="2" t="s">
        <v>391</v>
      </c>
      <c r="S3690" s="2" t="s">
        <v>391</v>
      </c>
      <c r="T3690" s="2">
        <v>1</v>
      </c>
      <c r="U3690" s="2" t="s">
        <v>79</v>
      </c>
      <c r="V3690" s="2">
        <v>1</v>
      </c>
      <c r="W3690" s="2" t="s">
        <v>80</v>
      </c>
      <c r="X3690" s="2">
        <v>1</v>
      </c>
      <c r="Y3690" s="2" t="s">
        <v>81</v>
      </c>
      <c r="Z3690" s="2">
        <v>1</v>
      </c>
      <c r="AA3690" s="2" t="s">
        <v>82</v>
      </c>
      <c r="AB3690" s="2">
        <v>1</v>
      </c>
      <c r="AC3690" s="2" t="s">
        <v>178</v>
      </c>
      <c r="AD3690" s="3">
        <v>40427</v>
      </c>
      <c r="AE3690" s="4">
        <v>0.55555555555555558</v>
      </c>
      <c r="AF3690" s="2"/>
      <c r="AG3690" s="2"/>
      <c r="AH3690" s="2">
        <v>2</v>
      </c>
      <c r="AI3690" s="2" t="s">
        <v>84</v>
      </c>
      <c r="AJ3690" s="2">
        <v>9</v>
      </c>
      <c r="AK3690" s="2" t="s">
        <v>103</v>
      </c>
      <c r="AL3690" s="2">
        <v>25</v>
      </c>
      <c r="AM3690" s="2" t="s">
        <v>3073</v>
      </c>
      <c r="AN3690" s="2"/>
      <c r="AO3690" s="2" t="s">
        <v>11486</v>
      </c>
      <c r="AP3690" s="2">
        <v>11</v>
      </c>
      <c r="AQ3690" s="2" t="s">
        <v>82</v>
      </c>
      <c r="AR3690" s="2"/>
      <c r="AS3690" s="2"/>
      <c r="AT3690" s="2" t="s">
        <v>11771</v>
      </c>
      <c r="AU3690" s="2"/>
      <c r="AV3690" s="2">
        <v>1</v>
      </c>
      <c r="AW3690" s="2"/>
      <c r="AX3690" s="2"/>
      <c r="AY3690" s="2">
        <v>41</v>
      </c>
      <c r="AZ3690" s="2" t="s">
        <v>82</v>
      </c>
      <c r="BA3690" s="2">
        <v>41</v>
      </c>
      <c r="BB3690" s="2" t="s">
        <v>82</v>
      </c>
      <c r="BC3690" s="2">
        <v>41</v>
      </c>
      <c r="BD3690" s="2" t="s">
        <v>82</v>
      </c>
      <c r="BE3690" s="2">
        <v>13</v>
      </c>
      <c r="BF3690" s="2" t="s">
        <v>108</v>
      </c>
      <c r="BG3690" s="2" t="s">
        <v>1769</v>
      </c>
      <c r="BH3690" s="2"/>
      <c r="BI3690" s="4">
        <v>0.875</v>
      </c>
      <c r="BJ3690" s="2">
        <v>13</v>
      </c>
      <c r="BK3690" s="2" t="s">
        <v>91</v>
      </c>
      <c r="BL3690" s="2" t="s">
        <v>185</v>
      </c>
      <c r="BM3690" s="2">
        <v>241</v>
      </c>
      <c r="BN3690" s="2" t="s">
        <v>82</v>
      </c>
      <c r="BO3690" s="2" t="s">
        <v>82</v>
      </c>
      <c r="BP3690" s="2">
        <v>73</v>
      </c>
      <c r="BQ3690" s="2" t="s">
        <v>186</v>
      </c>
      <c r="BR3690" s="2" t="s">
        <v>187</v>
      </c>
      <c r="BS3690" s="3">
        <v>40428</v>
      </c>
      <c r="BT3690" s="4">
        <v>0.77865740740740741</v>
      </c>
    </row>
    <row r="3691" spans="1:72" x14ac:dyDescent="0.25">
      <c r="A3691" s="2">
        <v>5451</v>
      </c>
      <c r="B3691" s="2">
        <v>2010</v>
      </c>
      <c r="C3691" s="2" t="s">
        <v>1568</v>
      </c>
      <c r="D3691" s="2" t="s">
        <v>73</v>
      </c>
      <c r="E3691" s="2"/>
      <c r="F3691" s="2">
        <v>121</v>
      </c>
      <c r="G3691" s="2" t="s">
        <v>2501</v>
      </c>
      <c r="H3691" s="2">
        <v>39</v>
      </c>
      <c r="I3691" s="2" t="s">
        <v>1117</v>
      </c>
      <c r="J3691" s="2">
        <v>660</v>
      </c>
      <c r="K3691" s="2" t="s">
        <v>2818</v>
      </c>
      <c r="L3691" s="2" t="s">
        <v>1908</v>
      </c>
      <c r="M3691" s="3">
        <v>40428</v>
      </c>
      <c r="N3691" s="2" t="s">
        <v>11772</v>
      </c>
      <c r="O3691" s="2" t="s">
        <v>11773</v>
      </c>
      <c r="P3691" s="2" t="s">
        <v>11774</v>
      </c>
      <c r="Q3691" s="2" t="str">
        <f>"0006/2010 "</f>
        <v xml:space="preserve">0006/2010 </v>
      </c>
      <c r="R3691" s="2" t="s">
        <v>11775</v>
      </c>
      <c r="S3691" s="2" t="s">
        <v>11776</v>
      </c>
      <c r="T3691" s="2">
        <v>1</v>
      </c>
      <c r="U3691" s="2" t="s">
        <v>79</v>
      </c>
      <c r="V3691" s="2">
        <v>1</v>
      </c>
      <c r="W3691" s="2" t="s">
        <v>80</v>
      </c>
      <c r="X3691" s="2">
        <v>1</v>
      </c>
      <c r="Y3691" s="2" t="s">
        <v>81</v>
      </c>
      <c r="Z3691" s="2">
        <v>1</v>
      </c>
      <c r="AA3691" s="2" t="s">
        <v>82</v>
      </c>
      <c r="AB3691" s="2">
        <v>4</v>
      </c>
      <c r="AC3691" s="2" t="s">
        <v>1569</v>
      </c>
      <c r="AD3691" s="3">
        <v>40428</v>
      </c>
      <c r="AE3691" s="4">
        <v>0.55902777777777779</v>
      </c>
      <c r="AF3691" s="2"/>
      <c r="AG3691" s="2"/>
      <c r="AH3691" s="2">
        <v>6</v>
      </c>
      <c r="AI3691" s="2" t="s">
        <v>197</v>
      </c>
      <c r="AJ3691" s="2">
        <v>58</v>
      </c>
      <c r="AK3691" s="2" t="s">
        <v>406</v>
      </c>
      <c r="AL3691" s="2">
        <v>16</v>
      </c>
      <c r="AM3691" s="2" t="s">
        <v>392</v>
      </c>
      <c r="AN3691" s="2" t="s">
        <v>11777</v>
      </c>
      <c r="AO3691" s="2" t="s">
        <v>11778</v>
      </c>
      <c r="AP3691" s="2">
        <v>12</v>
      </c>
      <c r="AQ3691" s="2" t="s">
        <v>322</v>
      </c>
      <c r="AR3691" s="2" t="s">
        <v>107</v>
      </c>
      <c r="AS3691" s="2" t="s">
        <v>107</v>
      </c>
      <c r="AT3691" s="2" t="s">
        <v>11779</v>
      </c>
      <c r="AU3691" s="2"/>
      <c r="AV3691" s="2"/>
      <c r="AW3691" s="2"/>
      <c r="AX3691" s="2"/>
      <c r="AY3691" s="2">
        <v>41</v>
      </c>
      <c r="AZ3691" s="2" t="s">
        <v>82</v>
      </c>
      <c r="BA3691" s="2">
        <v>41</v>
      </c>
      <c r="BB3691" s="2" t="s">
        <v>82</v>
      </c>
      <c r="BC3691" s="2">
        <v>129</v>
      </c>
      <c r="BD3691" s="2" t="s">
        <v>322</v>
      </c>
      <c r="BE3691" s="2">
        <v>13</v>
      </c>
      <c r="BF3691" s="2" t="s">
        <v>108</v>
      </c>
      <c r="BG3691" s="2">
        <v>2880</v>
      </c>
      <c r="BH3691" s="4">
        <v>0.56944444444444442</v>
      </c>
      <c r="BI3691" s="4">
        <v>0.59722222222222221</v>
      </c>
      <c r="BJ3691" s="2">
        <v>13</v>
      </c>
      <c r="BK3691" s="2" t="s">
        <v>91</v>
      </c>
      <c r="BL3691" s="2" t="s">
        <v>4995</v>
      </c>
      <c r="BM3691" s="2">
        <v>13</v>
      </c>
      <c r="BN3691" s="2" t="s">
        <v>91</v>
      </c>
      <c r="BO3691" s="2" t="s">
        <v>492</v>
      </c>
      <c r="BP3691" s="2">
        <v>13</v>
      </c>
      <c r="BQ3691" s="2" t="s">
        <v>91</v>
      </c>
      <c r="BR3691" s="2" t="s">
        <v>895</v>
      </c>
      <c r="BS3691" s="3">
        <v>40428</v>
      </c>
      <c r="BT3691" s="4">
        <v>0.79586805555555562</v>
      </c>
    </row>
    <row r="3692" spans="1:72" x14ac:dyDescent="0.25">
      <c r="A3692" s="2">
        <v>5452</v>
      </c>
      <c r="B3692" s="2">
        <v>2010</v>
      </c>
      <c r="C3692" s="2" t="s">
        <v>147</v>
      </c>
      <c r="D3692" s="2" t="s">
        <v>122</v>
      </c>
      <c r="E3692" s="2"/>
      <c r="F3692" s="2">
        <v>1</v>
      </c>
      <c r="G3692" s="2" t="s">
        <v>82</v>
      </c>
      <c r="H3692" s="2">
        <v>1</v>
      </c>
      <c r="I3692" s="2" t="s">
        <v>82</v>
      </c>
      <c r="J3692" s="2">
        <v>1</v>
      </c>
      <c r="K3692" s="2" t="s">
        <v>107</v>
      </c>
      <c r="L3692" s="2" t="s">
        <v>107</v>
      </c>
      <c r="M3692" s="3">
        <v>40428</v>
      </c>
      <c r="N3692" s="2" t="s">
        <v>82</v>
      </c>
      <c r="O3692" s="2" t="s">
        <v>82</v>
      </c>
      <c r="P3692" s="2" t="s">
        <v>82</v>
      </c>
      <c r="Q3692" s="2" t="str">
        <f>"N/C"</f>
        <v>N/C</v>
      </c>
      <c r="R3692" s="2" t="s">
        <v>82</v>
      </c>
      <c r="S3692" s="2" t="s">
        <v>82</v>
      </c>
      <c r="T3692" s="2">
        <v>2</v>
      </c>
      <c r="U3692" s="2" t="s">
        <v>123</v>
      </c>
      <c r="V3692" s="2">
        <v>1</v>
      </c>
      <c r="W3692" s="2" t="s">
        <v>80</v>
      </c>
      <c r="X3692" s="2">
        <v>5</v>
      </c>
      <c r="Y3692" s="2" t="s">
        <v>82</v>
      </c>
      <c r="Z3692" s="2">
        <v>1</v>
      </c>
      <c r="AA3692" s="2" t="s">
        <v>82</v>
      </c>
      <c r="AB3692" s="2">
        <v>9</v>
      </c>
      <c r="AC3692" s="2" t="s">
        <v>124</v>
      </c>
      <c r="AD3692" s="3">
        <v>40440</v>
      </c>
      <c r="AE3692" s="4">
        <v>0.375</v>
      </c>
      <c r="AF3692" s="3">
        <v>40428</v>
      </c>
      <c r="AG3692" s="4">
        <v>0.80208333333333337</v>
      </c>
      <c r="AH3692" s="2">
        <v>6</v>
      </c>
      <c r="AI3692" s="2" t="s">
        <v>197</v>
      </c>
      <c r="AJ3692" s="2">
        <v>50</v>
      </c>
      <c r="AK3692" s="2" t="s">
        <v>330</v>
      </c>
      <c r="AL3692" s="2">
        <v>9</v>
      </c>
      <c r="AM3692" s="2" t="s">
        <v>259</v>
      </c>
      <c r="AN3692" s="2" t="s">
        <v>5754</v>
      </c>
      <c r="AO3692" s="2" t="s">
        <v>82</v>
      </c>
      <c r="AP3692" s="2">
        <v>11</v>
      </c>
      <c r="AQ3692" s="2" t="s">
        <v>82</v>
      </c>
      <c r="AR3692" s="2" t="s">
        <v>82</v>
      </c>
      <c r="AS3692" s="2" t="s">
        <v>82</v>
      </c>
      <c r="AT3692" s="2" t="s">
        <v>11780</v>
      </c>
      <c r="AU3692" s="2"/>
      <c r="AV3692" s="2"/>
      <c r="AW3692" s="2"/>
      <c r="AX3692" s="2"/>
      <c r="AY3692" s="2">
        <v>41</v>
      </c>
      <c r="AZ3692" s="2" t="s">
        <v>82</v>
      </c>
      <c r="BA3692" s="2">
        <v>41</v>
      </c>
      <c r="BB3692" s="2" t="s">
        <v>82</v>
      </c>
      <c r="BC3692" s="2">
        <v>95</v>
      </c>
      <c r="BD3692" s="2" t="s">
        <v>6381</v>
      </c>
      <c r="BE3692" s="2">
        <v>41</v>
      </c>
      <c r="BF3692" s="2" t="s">
        <v>82</v>
      </c>
      <c r="BG3692" s="2" t="s">
        <v>82</v>
      </c>
      <c r="BH3692" s="2"/>
      <c r="BI3692" s="2"/>
      <c r="BJ3692" s="2">
        <v>241</v>
      </c>
      <c r="BK3692" s="2" t="s">
        <v>82</v>
      </c>
      <c r="BL3692" s="2" t="s">
        <v>82</v>
      </c>
      <c r="BM3692" s="2">
        <v>241</v>
      </c>
      <c r="BN3692" s="2" t="s">
        <v>82</v>
      </c>
      <c r="BO3692" s="2" t="s">
        <v>82</v>
      </c>
      <c r="BP3692" s="2">
        <v>241</v>
      </c>
      <c r="BQ3692" s="2" t="s">
        <v>82</v>
      </c>
      <c r="BR3692" s="2" t="s">
        <v>82</v>
      </c>
      <c r="BS3692" s="3">
        <v>40428</v>
      </c>
      <c r="BT3692" s="4">
        <v>0.86729166666666668</v>
      </c>
    </row>
    <row r="3693" spans="1:72" x14ac:dyDescent="0.25">
      <c r="A3693" s="2">
        <v>5453</v>
      </c>
      <c r="B3693" s="2">
        <v>2010</v>
      </c>
      <c r="C3693" s="2" t="s">
        <v>171</v>
      </c>
      <c r="D3693" s="2" t="s">
        <v>122</v>
      </c>
      <c r="E3693" s="2" t="s">
        <v>11781</v>
      </c>
      <c r="F3693" s="2">
        <v>394</v>
      </c>
      <c r="G3693" s="2" t="s">
        <v>172</v>
      </c>
      <c r="H3693" s="2">
        <v>4</v>
      </c>
      <c r="I3693" s="2" t="s">
        <v>173</v>
      </c>
      <c r="J3693" s="2">
        <v>241</v>
      </c>
      <c r="K3693" s="2" t="s">
        <v>174</v>
      </c>
      <c r="L3693" s="2" t="s">
        <v>175</v>
      </c>
      <c r="M3693" s="3">
        <v>40428</v>
      </c>
      <c r="N3693" s="2" t="s">
        <v>11688</v>
      </c>
      <c r="O3693" s="2"/>
      <c r="P3693" s="2" t="s">
        <v>107</v>
      </c>
      <c r="Q3693" s="2" t="str">
        <f>"454-E/10"</f>
        <v>454-E/10</v>
      </c>
      <c r="R3693" s="2" t="s">
        <v>391</v>
      </c>
      <c r="S3693" s="2" t="s">
        <v>391</v>
      </c>
      <c r="T3693" s="2">
        <v>1</v>
      </c>
      <c r="U3693" s="2" t="s">
        <v>79</v>
      </c>
      <c r="V3693" s="2">
        <v>1</v>
      </c>
      <c r="W3693" s="2" t="s">
        <v>80</v>
      </c>
      <c r="X3693" s="2">
        <v>5</v>
      </c>
      <c r="Y3693" s="2" t="s">
        <v>82</v>
      </c>
      <c r="Z3693" s="2">
        <v>1</v>
      </c>
      <c r="AA3693" s="2" t="s">
        <v>82</v>
      </c>
      <c r="AB3693" s="2">
        <v>1</v>
      </c>
      <c r="AC3693" s="2" t="s">
        <v>178</v>
      </c>
      <c r="AD3693" s="3">
        <v>40428</v>
      </c>
      <c r="AE3693" s="4">
        <v>0.31944444444444448</v>
      </c>
      <c r="AF3693" s="2"/>
      <c r="AG3693" s="2"/>
      <c r="AH3693" s="2">
        <v>2</v>
      </c>
      <c r="AI3693" s="2" t="s">
        <v>84</v>
      </c>
      <c r="AJ3693" s="2">
        <v>9</v>
      </c>
      <c r="AK3693" s="2" t="s">
        <v>103</v>
      </c>
      <c r="AL3693" s="2">
        <v>11</v>
      </c>
      <c r="AM3693" s="2" t="s">
        <v>137</v>
      </c>
      <c r="AN3693" s="2"/>
      <c r="AO3693" s="2" t="s">
        <v>11782</v>
      </c>
      <c r="AP3693" s="2">
        <v>11</v>
      </c>
      <c r="AQ3693" s="2" t="s">
        <v>82</v>
      </c>
      <c r="AR3693" s="2"/>
      <c r="AS3693" s="2"/>
      <c r="AT3693" s="2" t="s">
        <v>11783</v>
      </c>
      <c r="AU3693" s="2"/>
      <c r="AV3693" s="2">
        <v>1</v>
      </c>
      <c r="AW3693" s="2"/>
      <c r="AX3693" s="2"/>
      <c r="AY3693" s="2">
        <v>42</v>
      </c>
      <c r="AZ3693" s="2" t="s">
        <v>182</v>
      </c>
      <c r="BA3693" s="2">
        <v>41</v>
      </c>
      <c r="BB3693" s="2" t="s">
        <v>82</v>
      </c>
      <c r="BC3693" s="2">
        <v>41</v>
      </c>
      <c r="BD3693" s="2" t="s">
        <v>82</v>
      </c>
      <c r="BE3693" s="2">
        <v>27</v>
      </c>
      <c r="BF3693" s="2" t="s">
        <v>2197</v>
      </c>
      <c r="BG3693" s="2" t="s">
        <v>2198</v>
      </c>
      <c r="BH3693" s="4">
        <v>0.16666666666666666</v>
      </c>
      <c r="BI3693" s="4">
        <v>0.5625</v>
      </c>
      <c r="BJ3693" s="2">
        <v>13</v>
      </c>
      <c r="BK3693" s="2" t="s">
        <v>91</v>
      </c>
      <c r="BL3693" s="2" t="s">
        <v>360</v>
      </c>
      <c r="BM3693" s="2">
        <v>241</v>
      </c>
      <c r="BN3693" s="2" t="s">
        <v>82</v>
      </c>
      <c r="BO3693" s="2" t="s">
        <v>82</v>
      </c>
      <c r="BP3693" s="2">
        <v>112</v>
      </c>
      <c r="BQ3693" s="2" t="s">
        <v>110</v>
      </c>
      <c r="BR3693" s="2" t="s">
        <v>111</v>
      </c>
      <c r="BS3693" s="3">
        <v>40428</v>
      </c>
      <c r="BT3693" s="4">
        <v>0.94672453703703707</v>
      </c>
    </row>
    <row r="3694" spans="1:72" x14ac:dyDescent="0.25">
      <c r="A3694" s="2">
        <v>5454</v>
      </c>
      <c r="B3694" s="2">
        <v>2010</v>
      </c>
      <c r="C3694" s="2" t="s">
        <v>255</v>
      </c>
      <c r="D3694" s="2" t="s">
        <v>73</v>
      </c>
      <c r="E3694" s="2"/>
      <c r="F3694" s="2">
        <v>3</v>
      </c>
      <c r="G3694" s="2" t="s">
        <v>1041</v>
      </c>
      <c r="H3694" s="2">
        <v>50</v>
      </c>
      <c r="I3694" s="2" t="s">
        <v>107</v>
      </c>
      <c r="J3694" s="2">
        <v>368</v>
      </c>
      <c r="K3694" s="2" t="s">
        <v>1042</v>
      </c>
      <c r="L3694" s="2" t="s">
        <v>1043</v>
      </c>
      <c r="M3694" s="3">
        <v>40429</v>
      </c>
      <c r="N3694" s="2"/>
      <c r="O3694" s="2"/>
      <c r="P3694" s="2"/>
      <c r="Q3694" s="2" t="str">
        <f>"457-E/10"</f>
        <v>457-E/10</v>
      </c>
      <c r="R3694" s="2"/>
      <c r="S3694" s="2" t="s">
        <v>947</v>
      </c>
      <c r="T3694" s="2">
        <v>1</v>
      </c>
      <c r="U3694" s="2" t="s">
        <v>79</v>
      </c>
      <c r="V3694" s="2">
        <v>1</v>
      </c>
      <c r="W3694" s="2" t="s">
        <v>80</v>
      </c>
      <c r="X3694" s="2">
        <v>12</v>
      </c>
      <c r="Y3694" s="2" t="s">
        <v>148</v>
      </c>
      <c r="Z3694" s="2">
        <v>1</v>
      </c>
      <c r="AA3694" s="2" t="s">
        <v>82</v>
      </c>
      <c r="AB3694" s="2">
        <v>9</v>
      </c>
      <c r="AC3694" s="2" t="s">
        <v>124</v>
      </c>
      <c r="AD3694" s="3">
        <v>40428</v>
      </c>
      <c r="AE3694" s="2"/>
      <c r="AF3694" s="3">
        <v>40428</v>
      </c>
      <c r="AG3694" s="4">
        <v>0.89583333333333337</v>
      </c>
      <c r="AH3694" s="2">
        <v>2</v>
      </c>
      <c r="AI3694" s="2" t="s">
        <v>84</v>
      </c>
      <c r="AJ3694" s="2">
        <v>9</v>
      </c>
      <c r="AK3694" s="2" t="s">
        <v>103</v>
      </c>
      <c r="AL3694" s="2">
        <v>29</v>
      </c>
      <c r="AM3694" s="2" t="s">
        <v>5416</v>
      </c>
      <c r="AN3694" s="2" t="s">
        <v>11784</v>
      </c>
      <c r="AO3694" s="2"/>
      <c r="AP3694" s="2">
        <v>11</v>
      </c>
      <c r="AQ3694" s="2" t="s">
        <v>82</v>
      </c>
      <c r="AR3694" s="2"/>
      <c r="AS3694" s="2"/>
      <c r="AT3694" s="2" t="s">
        <v>11785</v>
      </c>
      <c r="AU3694" s="2"/>
      <c r="AV3694" s="2"/>
      <c r="AW3694" s="2"/>
      <c r="AX3694" s="2"/>
      <c r="AY3694" s="2">
        <v>41</v>
      </c>
      <c r="AZ3694" s="2" t="s">
        <v>82</v>
      </c>
      <c r="BA3694" s="2">
        <v>41</v>
      </c>
      <c r="BB3694" s="2" t="s">
        <v>82</v>
      </c>
      <c r="BC3694" s="2">
        <v>41</v>
      </c>
      <c r="BD3694" s="2" t="s">
        <v>82</v>
      </c>
      <c r="BE3694" s="2">
        <v>41</v>
      </c>
      <c r="BF3694" s="2" t="s">
        <v>82</v>
      </c>
      <c r="BG3694" s="2"/>
      <c r="BH3694" s="2"/>
      <c r="BI3694" s="2"/>
      <c r="BJ3694" s="2">
        <v>241</v>
      </c>
      <c r="BK3694" s="2" t="s">
        <v>82</v>
      </c>
      <c r="BL3694" s="2"/>
      <c r="BM3694" s="2">
        <v>241</v>
      </c>
      <c r="BN3694" s="2" t="s">
        <v>82</v>
      </c>
      <c r="BO3694" s="2"/>
      <c r="BP3694" s="2">
        <v>241</v>
      </c>
      <c r="BQ3694" s="2" t="s">
        <v>82</v>
      </c>
      <c r="BR3694" s="2"/>
      <c r="BS3694" s="3">
        <v>40429</v>
      </c>
      <c r="BT3694" s="4">
        <v>8.2303240740740746E-2</v>
      </c>
    </row>
    <row r="3695" spans="1:72" x14ac:dyDescent="0.25">
      <c r="A3695" s="2">
        <v>5455</v>
      </c>
      <c r="B3695" s="2">
        <v>2010</v>
      </c>
      <c r="C3695" s="2" t="s">
        <v>128</v>
      </c>
      <c r="D3695" s="2" t="s">
        <v>73</v>
      </c>
      <c r="E3695" s="2"/>
      <c r="F3695" s="2">
        <v>158</v>
      </c>
      <c r="G3695" s="2" t="s">
        <v>3026</v>
      </c>
      <c r="H3695" s="2">
        <v>16</v>
      </c>
      <c r="I3695" s="2" t="s">
        <v>3027</v>
      </c>
      <c r="J3695" s="2">
        <v>164</v>
      </c>
      <c r="K3695" s="2" t="s">
        <v>3254</v>
      </c>
      <c r="L3695" s="2" t="s">
        <v>946</v>
      </c>
      <c r="M3695" s="3">
        <v>40429</v>
      </c>
      <c r="N3695" s="2" t="s">
        <v>3306</v>
      </c>
      <c r="O3695" s="2" t="s">
        <v>82</v>
      </c>
      <c r="P3695" s="2" t="s">
        <v>82</v>
      </c>
      <c r="Q3695" s="2" t="str">
        <f>"356-A/10"</f>
        <v>356-A/10</v>
      </c>
      <c r="R3695" s="2" t="s">
        <v>82</v>
      </c>
      <c r="S3695" s="2" t="s">
        <v>11786</v>
      </c>
      <c r="T3695" s="2">
        <v>1</v>
      </c>
      <c r="U3695" s="2" t="s">
        <v>79</v>
      </c>
      <c r="V3695" s="2">
        <v>1</v>
      </c>
      <c r="W3695" s="2" t="s">
        <v>80</v>
      </c>
      <c r="X3695" s="2">
        <v>12</v>
      </c>
      <c r="Y3695" s="2" t="s">
        <v>148</v>
      </c>
      <c r="Z3695" s="2">
        <v>6</v>
      </c>
      <c r="AA3695" s="2" t="s">
        <v>101</v>
      </c>
      <c r="AB3695" s="2">
        <v>9</v>
      </c>
      <c r="AC3695" s="2" t="s">
        <v>124</v>
      </c>
      <c r="AD3695" s="3">
        <v>40428</v>
      </c>
      <c r="AE3695" s="4">
        <v>0.77083333333333337</v>
      </c>
      <c r="AF3695" s="3">
        <v>40428</v>
      </c>
      <c r="AG3695" s="4">
        <v>0.92291666666666661</v>
      </c>
      <c r="AH3695" s="2">
        <v>2</v>
      </c>
      <c r="AI3695" s="2" t="s">
        <v>84</v>
      </c>
      <c r="AJ3695" s="2">
        <v>12</v>
      </c>
      <c r="AK3695" s="2" t="s">
        <v>85</v>
      </c>
      <c r="AL3695" s="2">
        <v>25</v>
      </c>
      <c r="AM3695" s="2" t="s">
        <v>3073</v>
      </c>
      <c r="AN3695" s="2" t="s">
        <v>2840</v>
      </c>
      <c r="AO3695" s="2"/>
      <c r="AP3695" s="2">
        <v>11</v>
      </c>
      <c r="AQ3695" s="2" t="s">
        <v>82</v>
      </c>
      <c r="AR3695" s="2" t="s">
        <v>82</v>
      </c>
      <c r="AS3695" s="2" t="s">
        <v>82</v>
      </c>
      <c r="AT3695" s="2" t="s">
        <v>11787</v>
      </c>
      <c r="AU3695" s="2"/>
      <c r="AV3695" s="2"/>
      <c r="AW3695" s="2"/>
      <c r="AX3695" s="2"/>
      <c r="AY3695" s="2">
        <v>41</v>
      </c>
      <c r="AZ3695" s="2" t="s">
        <v>82</v>
      </c>
      <c r="BA3695" s="2">
        <v>115</v>
      </c>
      <c r="BB3695" s="2" t="s">
        <v>101</v>
      </c>
      <c r="BC3695" s="2">
        <v>41</v>
      </c>
      <c r="BD3695" s="2" t="s">
        <v>82</v>
      </c>
      <c r="BE3695" s="2">
        <v>64</v>
      </c>
      <c r="BF3695" s="2" t="s">
        <v>11788</v>
      </c>
      <c r="BG3695" s="2" t="s">
        <v>107</v>
      </c>
      <c r="BH3695" s="4">
        <v>0.77083333333333337</v>
      </c>
      <c r="BI3695" s="2"/>
      <c r="BJ3695" s="2">
        <v>229</v>
      </c>
      <c r="BK3695" s="2" t="s">
        <v>300</v>
      </c>
      <c r="BL3695" s="2" t="s">
        <v>573</v>
      </c>
      <c r="BM3695" s="2">
        <v>241</v>
      </c>
      <c r="BN3695" s="2" t="s">
        <v>82</v>
      </c>
      <c r="BO3695" s="2" t="s">
        <v>82</v>
      </c>
      <c r="BP3695" s="2">
        <v>13</v>
      </c>
      <c r="BQ3695" s="2" t="s">
        <v>91</v>
      </c>
      <c r="BR3695" s="2" t="s">
        <v>564</v>
      </c>
      <c r="BS3695" s="3">
        <v>40429</v>
      </c>
      <c r="BT3695" s="4">
        <v>0.10115740740740742</v>
      </c>
    </row>
    <row r="3696" spans="1:72" x14ac:dyDescent="0.25">
      <c r="A3696" s="2">
        <v>5456</v>
      </c>
      <c r="B3696" s="2">
        <v>2010</v>
      </c>
      <c r="C3696" s="2" t="s">
        <v>385</v>
      </c>
      <c r="D3696" s="2" t="s">
        <v>122</v>
      </c>
      <c r="E3696" s="2"/>
      <c r="F3696" s="2">
        <v>1</v>
      </c>
      <c r="G3696" s="2" t="s">
        <v>82</v>
      </c>
      <c r="H3696" s="2">
        <v>1</v>
      </c>
      <c r="I3696" s="2" t="s">
        <v>82</v>
      </c>
      <c r="J3696" s="2">
        <v>1</v>
      </c>
      <c r="K3696" s="2" t="s">
        <v>107</v>
      </c>
      <c r="L3696" s="2" t="s">
        <v>107</v>
      </c>
      <c r="M3696" s="3">
        <v>40429</v>
      </c>
      <c r="N3696" s="2" t="s">
        <v>107</v>
      </c>
      <c r="O3696" s="2" t="s">
        <v>107</v>
      </c>
      <c r="P3696" s="2" t="s">
        <v>107</v>
      </c>
      <c r="Q3696" s="2" t="str">
        <f>"S/D"</f>
        <v>S/D</v>
      </c>
      <c r="R3696" s="2" t="s">
        <v>107</v>
      </c>
      <c r="S3696" s="2" t="s">
        <v>107</v>
      </c>
      <c r="T3696" s="2">
        <v>1</v>
      </c>
      <c r="U3696" s="2" t="s">
        <v>79</v>
      </c>
      <c r="V3696" s="2">
        <v>1</v>
      </c>
      <c r="W3696" s="2" t="s">
        <v>80</v>
      </c>
      <c r="X3696" s="2">
        <v>11</v>
      </c>
      <c r="Y3696" s="2" t="s">
        <v>1920</v>
      </c>
      <c r="Z3696" s="2">
        <v>1</v>
      </c>
      <c r="AA3696" s="2" t="s">
        <v>82</v>
      </c>
      <c r="AB3696" s="2">
        <v>9</v>
      </c>
      <c r="AC3696" s="2" t="s">
        <v>124</v>
      </c>
      <c r="AD3696" s="3">
        <v>40428</v>
      </c>
      <c r="AE3696" s="4">
        <v>0.84722222222222221</v>
      </c>
      <c r="AF3696" s="2"/>
      <c r="AG3696" s="2"/>
      <c r="AH3696" s="2">
        <v>2</v>
      </c>
      <c r="AI3696" s="2" t="s">
        <v>84</v>
      </c>
      <c r="AJ3696" s="2">
        <v>12</v>
      </c>
      <c r="AK3696" s="2" t="s">
        <v>85</v>
      </c>
      <c r="AL3696" s="2">
        <v>10</v>
      </c>
      <c r="AM3696" s="2" t="s">
        <v>200</v>
      </c>
      <c r="AN3696" s="2" t="s">
        <v>107</v>
      </c>
      <c r="AO3696" s="2" t="s">
        <v>107</v>
      </c>
      <c r="AP3696" s="2">
        <v>11</v>
      </c>
      <c r="AQ3696" s="2" t="s">
        <v>82</v>
      </c>
      <c r="AR3696" s="2" t="s">
        <v>82</v>
      </c>
      <c r="AS3696" s="2" t="s">
        <v>82</v>
      </c>
      <c r="AT3696" s="2" t="s">
        <v>11789</v>
      </c>
      <c r="AU3696" s="2"/>
      <c r="AV3696" s="2"/>
      <c r="AW3696" s="2"/>
      <c r="AX3696" s="2"/>
      <c r="AY3696" s="2">
        <v>41</v>
      </c>
      <c r="AZ3696" s="2" t="s">
        <v>82</v>
      </c>
      <c r="BA3696" s="2">
        <v>41</v>
      </c>
      <c r="BB3696" s="2" t="s">
        <v>82</v>
      </c>
      <c r="BC3696" s="2">
        <v>41</v>
      </c>
      <c r="BD3696" s="2" t="s">
        <v>82</v>
      </c>
      <c r="BE3696" s="2">
        <v>10</v>
      </c>
      <c r="BF3696" s="2" t="s">
        <v>901</v>
      </c>
      <c r="BG3696" s="2" t="s">
        <v>11627</v>
      </c>
      <c r="BH3696" s="4">
        <v>0.84722222222222221</v>
      </c>
      <c r="BI3696" s="4">
        <v>0.81597222222222221</v>
      </c>
      <c r="BJ3696" s="2">
        <v>229</v>
      </c>
      <c r="BK3696" s="2" t="s">
        <v>300</v>
      </c>
      <c r="BL3696" s="2" t="s">
        <v>573</v>
      </c>
      <c r="BM3696" s="2">
        <v>241</v>
      </c>
      <c r="BN3696" s="2" t="s">
        <v>82</v>
      </c>
      <c r="BO3696" s="2" t="s">
        <v>82</v>
      </c>
      <c r="BP3696" s="2">
        <v>13</v>
      </c>
      <c r="BQ3696" s="2" t="s">
        <v>91</v>
      </c>
      <c r="BR3696" s="2" t="s">
        <v>185</v>
      </c>
      <c r="BS3696" s="3">
        <v>40429</v>
      </c>
      <c r="BT3696" s="4">
        <v>0.12568287037037038</v>
      </c>
    </row>
    <row r="3697" spans="1:72" x14ac:dyDescent="0.25">
      <c r="A3697" s="2">
        <v>5457</v>
      </c>
      <c r="B3697" s="2">
        <v>2010</v>
      </c>
      <c r="C3697" s="2" t="s">
        <v>171</v>
      </c>
      <c r="D3697" s="2" t="s">
        <v>122</v>
      </c>
      <c r="E3697" s="2" t="s">
        <v>11735</v>
      </c>
      <c r="F3697" s="2">
        <v>394</v>
      </c>
      <c r="G3697" s="2" t="s">
        <v>172</v>
      </c>
      <c r="H3697" s="2">
        <v>4</v>
      </c>
      <c r="I3697" s="2" t="s">
        <v>173</v>
      </c>
      <c r="J3697" s="2">
        <v>241</v>
      </c>
      <c r="K3697" s="2" t="s">
        <v>174</v>
      </c>
      <c r="L3697" s="2" t="s">
        <v>175</v>
      </c>
      <c r="M3697" s="3">
        <v>40429</v>
      </c>
      <c r="N3697" s="2" t="s">
        <v>11688</v>
      </c>
      <c r="O3697" s="2"/>
      <c r="P3697" s="2" t="s">
        <v>107</v>
      </c>
      <c r="Q3697" s="2" t="str">
        <f>"453-E/10"</f>
        <v>453-E/10</v>
      </c>
      <c r="R3697" s="2" t="s">
        <v>391</v>
      </c>
      <c r="S3697" s="2" t="s">
        <v>391</v>
      </c>
      <c r="T3697" s="2">
        <v>1</v>
      </c>
      <c r="U3697" s="2" t="s">
        <v>79</v>
      </c>
      <c r="V3697" s="2">
        <v>1</v>
      </c>
      <c r="W3697" s="2" t="s">
        <v>80</v>
      </c>
      <c r="X3697" s="2">
        <v>11</v>
      </c>
      <c r="Y3697" s="2" t="s">
        <v>1920</v>
      </c>
      <c r="Z3697" s="2">
        <v>1</v>
      </c>
      <c r="AA3697" s="2" t="s">
        <v>82</v>
      </c>
      <c r="AB3697" s="2">
        <v>1</v>
      </c>
      <c r="AC3697" s="2" t="s">
        <v>178</v>
      </c>
      <c r="AD3697" s="3">
        <v>40428</v>
      </c>
      <c r="AE3697" s="4">
        <v>0.70138888888888884</v>
      </c>
      <c r="AF3697" s="2"/>
      <c r="AG3697" s="2"/>
      <c r="AH3697" s="2">
        <v>2</v>
      </c>
      <c r="AI3697" s="2" t="s">
        <v>84</v>
      </c>
      <c r="AJ3697" s="2">
        <v>9</v>
      </c>
      <c r="AK3697" s="2" t="s">
        <v>103</v>
      </c>
      <c r="AL3697" s="2">
        <v>12</v>
      </c>
      <c r="AM3697" s="2" t="s">
        <v>86</v>
      </c>
      <c r="AN3697" s="2"/>
      <c r="AO3697" s="2" t="s">
        <v>11690</v>
      </c>
      <c r="AP3697" s="2">
        <v>11</v>
      </c>
      <c r="AQ3697" s="2" t="s">
        <v>82</v>
      </c>
      <c r="AR3697" s="2"/>
      <c r="AS3697" s="2"/>
      <c r="AT3697" s="2" t="s">
        <v>11790</v>
      </c>
      <c r="AU3697" s="2"/>
      <c r="AV3697" s="2">
        <v>1</v>
      </c>
      <c r="AW3697" s="2"/>
      <c r="AX3697" s="2"/>
      <c r="AY3697" s="2">
        <v>42</v>
      </c>
      <c r="AZ3697" s="2" t="s">
        <v>182</v>
      </c>
      <c r="BA3697" s="2">
        <v>41</v>
      </c>
      <c r="BB3697" s="2" t="s">
        <v>82</v>
      </c>
      <c r="BC3697" s="2">
        <v>41</v>
      </c>
      <c r="BD3697" s="2" t="s">
        <v>82</v>
      </c>
      <c r="BE3697" s="2">
        <v>31</v>
      </c>
      <c r="BF3697" s="2" t="s">
        <v>398</v>
      </c>
      <c r="BG3697" s="2">
        <v>6842</v>
      </c>
      <c r="BH3697" s="4">
        <v>0</v>
      </c>
      <c r="BI3697" s="4">
        <v>0.53472222222222221</v>
      </c>
      <c r="BJ3697" s="2">
        <v>13</v>
      </c>
      <c r="BK3697" s="2" t="s">
        <v>91</v>
      </c>
      <c r="BL3697" s="2" t="s">
        <v>360</v>
      </c>
      <c r="BM3697" s="2">
        <v>241</v>
      </c>
      <c r="BN3697" s="2" t="s">
        <v>82</v>
      </c>
      <c r="BO3697" s="2" t="s">
        <v>82</v>
      </c>
      <c r="BP3697" s="2">
        <v>73</v>
      </c>
      <c r="BQ3697" s="2" t="s">
        <v>186</v>
      </c>
      <c r="BR3697" s="2" t="s">
        <v>187</v>
      </c>
      <c r="BS3697" s="3">
        <v>40429</v>
      </c>
      <c r="BT3697" s="4">
        <v>0.17643518518518519</v>
      </c>
    </row>
    <row r="3698" spans="1:72" x14ac:dyDescent="0.25">
      <c r="A3698" s="2">
        <v>5458</v>
      </c>
      <c r="B3698" s="2">
        <v>2010</v>
      </c>
      <c r="C3698" s="2" t="s">
        <v>4543</v>
      </c>
      <c r="D3698" s="2" t="s">
        <v>122</v>
      </c>
      <c r="E3698" s="2"/>
      <c r="F3698" s="2">
        <v>1</v>
      </c>
      <c r="G3698" s="2" t="s">
        <v>82</v>
      </c>
      <c r="H3698" s="2">
        <v>1</v>
      </c>
      <c r="I3698" s="2" t="s">
        <v>82</v>
      </c>
      <c r="J3698" s="2">
        <v>1</v>
      </c>
      <c r="K3698" s="2" t="s">
        <v>107</v>
      </c>
      <c r="L3698" s="2" t="s">
        <v>107</v>
      </c>
      <c r="M3698" s="3">
        <v>40429</v>
      </c>
      <c r="N3698" s="2"/>
      <c r="O3698" s="2"/>
      <c r="P3698" s="2"/>
      <c r="Q3698" s="2" t="str">
        <f>""</f>
        <v/>
      </c>
      <c r="R3698" s="2"/>
      <c r="S3698" s="2"/>
      <c r="T3698" s="2">
        <v>2</v>
      </c>
      <c r="U3698" s="2" t="s">
        <v>123</v>
      </c>
      <c r="V3698" s="2">
        <v>1</v>
      </c>
      <c r="W3698" s="2" t="s">
        <v>80</v>
      </c>
      <c r="X3698" s="2">
        <v>11</v>
      </c>
      <c r="Y3698" s="2" t="s">
        <v>1920</v>
      </c>
      <c r="Z3698" s="2">
        <v>1</v>
      </c>
      <c r="AA3698" s="2" t="s">
        <v>82</v>
      </c>
      <c r="AB3698" s="2">
        <v>9</v>
      </c>
      <c r="AC3698" s="2" t="s">
        <v>124</v>
      </c>
      <c r="AD3698" s="3">
        <v>40429</v>
      </c>
      <c r="AE3698" s="4">
        <v>0.10069444444444443</v>
      </c>
      <c r="AF3698" s="2"/>
      <c r="AG3698" s="2"/>
      <c r="AH3698" s="2">
        <v>6</v>
      </c>
      <c r="AI3698" s="2" t="s">
        <v>197</v>
      </c>
      <c r="AJ3698" s="2">
        <v>54</v>
      </c>
      <c r="AK3698" s="2" t="s">
        <v>348</v>
      </c>
      <c r="AL3698" s="2">
        <v>18</v>
      </c>
      <c r="AM3698" s="2" t="s">
        <v>82</v>
      </c>
      <c r="AN3698" s="2" t="s">
        <v>595</v>
      </c>
      <c r="AO3698" s="2" t="s">
        <v>200</v>
      </c>
      <c r="AP3698" s="2">
        <v>14</v>
      </c>
      <c r="AQ3698" s="2" t="s">
        <v>3301</v>
      </c>
      <c r="AR3698" s="2" t="s">
        <v>596</v>
      </c>
      <c r="AS3698" s="2" t="s">
        <v>596</v>
      </c>
      <c r="AT3698" s="2" t="s">
        <v>11791</v>
      </c>
      <c r="AU3698" s="2"/>
      <c r="AV3698" s="2"/>
      <c r="AW3698" s="2"/>
      <c r="AX3698" s="2"/>
      <c r="AY3698" s="2">
        <v>1</v>
      </c>
      <c r="AZ3698" s="2" t="s">
        <v>107</v>
      </c>
      <c r="BA3698" s="2">
        <v>1</v>
      </c>
      <c r="BB3698" s="2" t="s">
        <v>107</v>
      </c>
      <c r="BC3698" s="2">
        <v>1</v>
      </c>
      <c r="BD3698" s="2" t="s">
        <v>107</v>
      </c>
      <c r="BE3698" s="2">
        <v>4</v>
      </c>
      <c r="BF3698" s="2" t="s">
        <v>90</v>
      </c>
      <c r="BG3698" s="2" t="s">
        <v>598</v>
      </c>
      <c r="BH3698" s="4">
        <v>4.8611111111111112E-2</v>
      </c>
      <c r="BI3698" s="4">
        <v>0.10069444444444443</v>
      </c>
      <c r="BJ3698" s="2">
        <v>13</v>
      </c>
      <c r="BK3698" s="2" t="s">
        <v>91</v>
      </c>
      <c r="BL3698" s="2" t="s">
        <v>849</v>
      </c>
      <c r="BM3698" s="2">
        <v>242</v>
      </c>
      <c r="BN3698" s="2" t="s">
        <v>107</v>
      </c>
      <c r="BO3698" s="2" t="s">
        <v>107</v>
      </c>
      <c r="BP3698" s="2">
        <v>13</v>
      </c>
      <c r="BQ3698" s="2" t="s">
        <v>91</v>
      </c>
      <c r="BR3698" s="2" t="s">
        <v>1834</v>
      </c>
      <c r="BS3698" s="3">
        <v>40429</v>
      </c>
      <c r="BT3698" s="4">
        <v>0.34637731481481482</v>
      </c>
    </row>
    <row r="3699" spans="1:72" x14ac:dyDescent="0.25">
      <c r="A3699" s="2">
        <v>5459</v>
      </c>
      <c r="B3699" s="2">
        <v>2010</v>
      </c>
      <c r="C3699" s="2" t="s">
        <v>171</v>
      </c>
      <c r="D3699" s="2" t="s">
        <v>73</v>
      </c>
      <c r="E3699" s="2"/>
      <c r="F3699" s="2">
        <v>523</v>
      </c>
      <c r="G3699" s="2" t="s">
        <v>11792</v>
      </c>
      <c r="H3699" s="2">
        <v>17</v>
      </c>
      <c r="I3699" s="2" t="s">
        <v>3602</v>
      </c>
      <c r="J3699" s="2">
        <v>164</v>
      </c>
      <c r="K3699" s="2" t="s">
        <v>3254</v>
      </c>
      <c r="L3699" s="2" t="s">
        <v>946</v>
      </c>
      <c r="M3699" s="3">
        <v>40429</v>
      </c>
      <c r="N3699" s="2" t="s">
        <v>3723</v>
      </c>
      <c r="O3699" s="2"/>
      <c r="P3699" s="2"/>
      <c r="Q3699" s="2" t="str">
        <f>"357-A/10"</f>
        <v>357-A/10</v>
      </c>
      <c r="R3699" s="2" t="s">
        <v>1035</v>
      </c>
      <c r="S3699" s="2" t="s">
        <v>1035</v>
      </c>
      <c r="T3699" s="2">
        <v>1</v>
      </c>
      <c r="U3699" s="2" t="s">
        <v>79</v>
      </c>
      <c r="V3699" s="2">
        <v>1</v>
      </c>
      <c r="W3699" s="2" t="s">
        <v>80</v>
      </c>
      <c r="X3699" s="2">
        <v>1</v>
      </c>
      <c r="Y3699" s="2" t="s">
        <v>81</v>
      </c>
      <c r="Z3699" s="2">
        <v>1</v>
      </c>
      <c r="AA3699" s="2" t="s">
        <v>82</v>
      </c>
      <c r="AB3699" s="2">
        <v>1</v>
      </c>
      <c r="AC3699" s="2" t="s">
        <v>178</v>
      </c>
      <c r="AD3699" s="3">
        <v>40429</v>
      </c>
      <c r="AE3699" s="4">
        <v>0.19097222222222221</v>
      </c>
      <c r="AF3699" s="2"/>
      <c r="AG3699" s="2"/>
      <c r="AH3699" s="2">
        <v>2</v>
      </c>
      <c r="AI3699" s="2" t="s">
        <v>84</v>
      </c>
      <c r="AJ3699" s="2">
        <v>12</v>
      </c>
      <c r="AK3699" s="2" t="s">
        <v>85</v>
      </c>
      <c r="AL3699" s="2">
        <v>16</v>
      </c>
      <c r="AM3699" s="2" t="s">
        <v>392</v>
      </c>
      <c r="AN3699" s="2" t="s">
        <v>6519</v>
      </c>
      <c r="AO3699" s="2" t="s">
        <v>322</v>
      </c>
      <c r="AP3699" s="2">
        <v>5</v>
      </c>
      <c r="AQ3699" s="2" t="s">
        <v>827</v>
      </c>
      <c r="AR3699" s="2" t="s">
        <v>107</v>
      </c>
      <c r="AS3699" s="2" t="s">
        <v>11793</v>
      </c>
      <c r="AT3699" s="2" t="s">
        <v>11794</v>
      </c>
      <c r="AU3699" s="2"/>
      <c r="AV3699" s="2"/>
      <c r="AW3699" s="2"/>
      <c r="AX3699" s="2"/>
      <c r="AY3699" s="2">
        <v>41</v>
      </c>
      <c r="AZ3699" s="2" t="s">
        <v>82</v>
      </c>
      <c r="BA3699" s="2">
        <v>41</v>
      </c>
      <c r="BB3699" s="2" t="s">
        <v>82</v>
      </c>
      <c r="BC3699" s="2">
        <v>41</v>
      </c>
      <c r="BD3699" s="2" t="s">
        <v>82</v>
      </c>
      <c r="BE3699" s="2">
        <v>1</v>
      </c>
      <c r="BF3699" s="2" t="s">
        <v>107</v>
      </c>
      <c r="BG3699" s="2"/>
      <c r="BH3699" s="2"/>
      <c r="BI3699" s="2"/>
      <c r="BJ3699" s="2">
        <v>13</v>
      </c>
      <c r="BK3699" s="2" t="s">
        <v>91</v>
      </c>
      <c r="BL3699" s="2" t="s">
        <v>4062</v>
      </c>
      <c r="BM3699" s="2">
        <v>13</v>
      </c>
      <c r="BN3699" s="2" t="s">
        <v>91</v>
      </c>
      <c r="BO3699" s="2" t="s">
        <v>564</v>
      </c>
      <c r="BP3699" s="2">
        <v>13</v>
      </c>
      <c r="BQ3699" s="2" t="s">
        <v>91</v>
      </c>
      <c r="BR3699" s="2" t="s">
        <v>492</v>
      </c>
      <c r="BS3699" s="3">
        <v>40429</v>
      </c>
      <c r="BT3699" s="4">
        <v>0.42178240740740741</v>
      </c>
    </row>
    <row r="3700" spans="1:72" x14ac:dyDescent="0.25">
      <c r="A3700" s="2">
        <v>5461</v>
      </c>
      <c r="B3700" s="2">
        <v>2010</v>
      </c>
      <c r="C3700" s="2" t="s">
        <v>147</v>
      </c>
      <c r="D3700" s="2" t="s">
        <v>122</v>
      </c>
      <c r="E3700" s="2" t="s">
        <v>11795</v>
      </c>
      <c r="F3700" s="2">
        <v>1</v>
      </c>
      <c r="G3700" s="2" t="s">
        <v>82</v>
      </c>
      <c r="H3700" s="2">
        <v>1</v>
      </c>
      <c r="I3700" s="2" t="s">
        <v>82</v>
      </c>
      <c r="J3700" s="2">
        <v>1</v>
      </c>
      <c r="K3700" s="2" t="s">
        <v>107</v>
      </c>
      <c r="L3700" s="2" t="s">
        <v>107</v>
      </c>
      <c r="M3700" s="3">
        <v>40429</v>
      </c>
      <c r="N3700" s="2" t="s">
        <v>82</v>
      </c>
      <c r="O3700" s="2" t="s">
        <v>82</v>
      </c>
      <c r="P3700" s="2" t="s">
        <v>82</v>
      </c>
      <c r="Q3700" s="2" t="str">
        <f>"N/C"</f>
        <v>N/C</v>
      </c>
      <c r="R3700" s="2" t="s">
        <v>82</v>
      </c>
      <c r="S3700" s="2" t="s">
        <v>82</v>
      </c>
      <c r="T3700" s="2">
        <v>2</v>
      </c>
      <c r="U3700" s="2" t="s">
        <v>123</v>
      </c>
      <c r="V3700" s="2">
        <v>1</v>
      </c>
      <c r="W3700" s="2" t="s">
        <v>80</v>
      </c>
      <c r="X3700" s="2">
        <v>5</v>
      </c>
      <c r="Y3700" s="2" t="s">
        <v>82</v>
      </c>
      <c r="Z3700" s="2">
        <v>1</v>
      </c>
      <c r="AA3700" s="2" t="s">
        <v>82</v>
      </c>
      <c r="AB3700" s="2">
        <v>9</v>
      </c>
      <c r="AC3700" s="2" t="s">
        <v>124</v>
      </c>
      <c r="AD3700" s="3">
        <v>40429</v>
      </c>
      <c r="AE3700" s="4">
        <v>0.4375</v>
      </c>
      <c r="AF3700" s="3">
        <v>40429</v>
      </c>
      <c r="AG3700" s="4">
        <v>0.4513888888888889</v>
      </c>
      <c r="AH3700" s="2">
        <v>6</v>
      </c>
      <c r="AI3700" s="2" t="s">
        <v>197</v>
      </c>
      <c r="AJ3700" s="2">
        <v>50</v>
      </c>
      <c r="AK3700" s="2" t="s">
        <v>330</v>
      </c>
      <c r="AL3700" s="2">
        <v>19</v>
      </c>
      <c r="AM3700" s="2" t="s">
        <v>107</v>
      </c>
      <c r="AN3700" s="2" t="s">
        <v>82</v>
      </c>
      <c r="AO3700" s="2" t="s">
        <v>82</v>
      </c>
      <c r="AP3700" s="2">
        <v>11</v>
      </c>
      <c r="AQ3700" s="2" t="s">
        <v>82</v>
      </c>
      <c r="AR3700" s="2" t="s">
        <v>82</v>
      </c>
      <c r="AS3700" s="2" t="s">
        <v>82</v>
      </c>
      <c r="AT3700" s="2" t="s">
        <v>11796</v>
      </c>
      <c r="AU3700" s="2"/>
      <c r="AV3700" s="2"/>
      <c r="AW3700" s="2"/>
      <c r="AX3700" s="2"/>
      <c r="AY3700" s="2">
        <v>41</v>
      </c>
      <c r="AZ3700" s="2" t="s">
        <v>82</v>
      </c>
      <c r="BA3700" s="2">
        <v>41</v>
      </c>
      <c r="BB3700" s="2" t="s">
        <v>82</v>
      </c>
      <c r="BC3700" s="2">
        <v>95</v>
      </c>
      <c r="BD3700" s="2" t="s">
        <v>6381</v>
      </c>
      <c r="BE3700" s="2">
        <v>41</v>
      </c>
      <c r="BF3700" s="2" t="s">
        <v>82</v>
      </c>
      <c r="BG3700" s="2" t="s">
        <v>82</v>
      </c>
      <c r="BH3700" s="2"/>
      <c r="BI3700" s="2"/>
      <c r="BJ3700" s="2">
        <v>241</v>
      </c>
      <c r="BK3700" s="2" t="s">
        <v>82</v>
      </c>
      <c r="BL3700" s="2" t="s">
        <v>82</v>
      </c>
      <c r="BM3700" s="2">
        <v>241</v>
      </c>
      <c r="BN3700" s="2" t="s">
        <v>82</v>
      </c>
      <c r="BO3700" s="2" t="s">
        <v>82</v>
      </c>
      <c r="BP3700" s="2">
        <v>241</v>
      </c>
      <c r="BQ3700" s="2" t="s">
        <v>82</v>
      </c>
      <c r="BR3700" s="2" t="s">
        <v>82</v>
      </c>
      <c r="BS3700" s="3">
        <v>40429</v>
      </c>
      <c r="BT3700" s="4">
        <v>0.45280092592592597</v>
      </c>
    </row>
    <row r="3701" spans="1:72" x14ac:dyDescent="0.25">
      <c r="A3701" s="2">
        <v>5465</v>
      </c>
      <c r="B3701" s="2">
        <v>2010</v>
      </c>
      <c r="C3701" s="2" t="s">
        <v>147</v>
      </c>
      <c r="D3701" s="2" t="s">
        <v>73</v>
      </c>
      <c r="E3701" s="2"/>
      <c r="F3701" s="2">
        <v>1</v>
      </c>
      <c r="G3701" s="2" t="s">
        <v>82</v>
      </c>
      <c r="H3701" s="2">
        <v>1</v>
      </c>
      <c r="I3701" s="2" t="s">
        <v>82</v>
      </c>
      <c r="J3701" s="2">
        <v>1</v>
      </c>
      <c r="K3701" s="2" t="s">
        <v>107</v>
      </c>
      <c r="L3701" s="2" t="s">
        <v>107</v>
      </c>
      <c r="M3701" s="3">
        <v>40429</v>
      </c>
      <c r="N3701" s="2"/>
      <c r="O3701" s="2"/>
      <c r="P3701" s="2"/>
      <c r="Q3701" s="2" t="str">
        <f>""</f>
        <v/>
      </c>
      <c r="R3701" s="2"/>
      <c r="S3701" s="2"/>
      <c r="T3701" s="2">
        <v>2</v>
      </c>
      <c r="U3701" s="2" t="s">
        <v>123</v>
      </c>
      <c r="V3701" s="2">
        <v>1</v>
      </c>
      <c r="W3701" s="2" t="s">
        <v>80</v>
      </c>
      <c r="X3701" s="2">
        <v>12</v>
      </c>
      <c r="Y3701" s="2" t="s">
        <v>148</v>
      </c>
      <c r="Z3701" s="2">
        <v>1</v>
      </c>
      <c r="AA3701" s="2" t="s">
        <v>82</v>
      </c>
      <c r="AB3701" s="2">
        <v>9</v>
      </c>
      <c r="AC3701" s="2" t="s">
        <v>124</v>
      </c>
      <c r="AD3701" s="2"/>
      <c r="AE3701" s="2"/>
      <c r="AF3701" s="3">
        <v>40429</v>
      </c>
      <c r="AG3701" s="4">
        <v>0.54166666666666663</v>
      </c>
      <c r="AH3701" s="2">
        <v>2</v>
      </c>
      <c r="AI3701" s="2" t="s">
        <v>84</v>
      </c>
      <c r="AJ3701" s="2">
        <v>11</v>
      </c>
      <c r="AK3701" s="2" t="s">
        <v>751</v>
      </c>
      <c r="AL3701" s="2">
        <v>19</v>
      </c>
      <c r="AM3701" s="2" t="s">
        <v>107</v>
      </c>
      <c r="AN3701" s="2" t="s">
        <v>11187</v>
      </c>
      <c r="AO3701" s="2"/>
      <c r="AP3701" s="2">
        <v>11</v>
      </c>
      <c r="AQ3701" s="2" t="s">
        <v>82</v>
      </c>
      <c r="AR3701" s="2"/>
      <c r="AS3701" s="2"/>
      <c r="AT3701" s="2" t="s">
        <v>11797</v>
      </c>
      <c r="AU3701" s="2"/>
      <c r="AV3701" s="2"/>
      <c r="AW3701" s="2"/>
      <c r="AX3701" s="2"/>
      <c r="AY3701" s="2">
        <v>41</v>
      </c>
      <c r="AZ3701" s="2" t="s">
        <v>82</v>
      </c>
      <c r="BA3701" s="2">
        <v>41</v>
      </c>
      <c r="BB3701" s="2" t="s">
        <v>82</v>
      </c>
      <c r="BC3701" s="2">
        <v>41</v>
      </c>
      <c r="BD3701" s="2" t="s">
        <v>82</v>
      </c>
      <c r="BE3701" s="2">
        <v>41</v>
      </c>
      <c r="BF3701" s="2" t="s">
        <v>82</v>
      </c>
      <c r="BG3701" s="2"/>
      <c r="BH3701" s="2"/>
      <c r="BI3701" s="2"/>
      <c r="BJ3701" s="2">
        <v>241</v>
      </c>
      <c r="BK3701" s="2" t="s">
        <v>82</v>
      </c>
      <c r="BL3701" s="2"/>
      <c r="BM3701" s="2">
        <v>241</v>
      </c>
      <c r="BN3701" s="2" t="s">
        <v>82</v>
      </c>
      <c r="BO3701" s="2"/>
      <c r="BP3701" s="2">
        <v>241</v>
      </c>
      <c r="BQ3701" s="2" t="s">
        <v>82</v>
      </c>
      <c r="BR3701" s="2"/>
      <c r="BS3701" s="3">
        <v>40429</v>
      </c>
      <c r="BT3701" s="4">
        <v>0.59079861111111109</v>
      </c>
    </row>
    <row r="3702" spans="1:72" x14ac:dyDescent="0.25">
      <c r="A3702" s="2">
        <v>5466</v>
      </c>
      <c r="B3702" s="2">
        <v>2010</v>
      </c>
      <c r="C3702" s="2" t="s">
        <v>128</v>
      </c>
      <c r="D3702" s="2" t="s">
        <v>122</v>
      </c>
      <c r="E3702" s="2" t="s">
        <v>11798</v>
      </c>
      <c r="F3702" s="2">
        <v>535</v>
      </c>
      <c r="G3702" s="2" t="s">
        <v>9438</v>
      </c>
      <c r="H3702" s="2">
        <v>3</v>
      </c>
      <c r="I3702" s="2" t="s">
        <v>315</v>
      </c>
      <c r="J3702" s="2">
        <v>1</v>
      </c>
      <c r="K3702" s="2" t="s">
        <v>107</v>
      </c>
      <c r="L3702" s="2" t="s">
        <v>107</v>
      </c>
      <c r="M3702" s="3">
        <v>40429</v>
      </c>
      <c r="N3702" s="2" t="s">
        <v>3716</v>
      </c>
      <c r="O3702" s="2" t="s">
        <v>11614</v>
      </c>
      <c r="P3702" s="2" t="s">
        <v>2907</v>
      </c>
      <c r="Q3702" s="2" t="str">
        <f>"104"</f>
        <v>104</v>
      </c>
      <c r="R3702" s="2" t="s">
        <v>11615</v>
      </c>
      <c r="S3702" s="2"/>
      <c r="T3702" s="2">
        <v>1</v>
      </c>
      <c r="U3702" s="2" t="s">
        <v>79</v>
      </c>
      <c r="V3702" s="2">
        <v>3</v>
      </c>
      <c r="W3702" s="2" t="s">
        <v>225</v>
      </c>
      <c r="X3702" s="2">
        <v>6</v>
      </c>
      <c r="Y3702" s="2" t="s">
        <v>249</v>
      </c>
      <c r="Z3702" s="2">
        <v>10</v>
      </c>
      <c r="AA3702" s="2" t="s">
        <v>236</v>
      </c>
      <c r="AB3702" s="2">
        <v>9</v>
      </c>
      <c r="AC3702" s="2" t="s">
        <v>124</v>
      </c>
      <c r="AD3702" s="2"/>
      <c r="AE3702" s="2"/>
      <c r="AF3702" s="2"/>
      <c r="AG3702" s="2"/>
      <c r="AH3702" s="2">
        <v>4</v>
      </c>
      <c r="AI3702" s="2" t="s">
        <v>125</v>
      </c>
      <c r="AJ3702" s="2">
        <v>26</v>
      </c>
      <c r="AK3702" s="2" t="s">
        <v>293</v>
      </c>
      <c r="AL3702" s="2">
        <v>19</v>
      </c>
      <c r="AM3702" s="2" t="s">
        <v>107</v>
      </c>
      <c r="AN3702" s="2" t="s">
        <v>11616</v>
      </c>
      <c r="AO3702" s="2" t="s">
        <v>11465</v>
      </c>
      <c r="AP3702" s="2">
        <v>11</v>
      </c>
      <c r="AQ3702" s="2" t="s">
        <v>82</v>
      </c>
      <c r="AR3702" s="2"/>
      <c r="AS3702" s="2"/>
      <c r="AT3702" s="2" t="s">
        <v>11799</v>
      </c>
      <c r="AU3702" s="2"/>
      <c r="AV3702" s="2"/>
      <c r="AW3702" s="2"/>
      <c r="AX3702" s="2"/>
      <c r="AY3702" s="2">
        <v>1</v>
      </c>
      <c r="AZ3702" s="2" t="s">
        <v>107</v>
      </c>
      <c r="BA3702" s="2">
        <v>1</v>
      </c>
      <c r="BB3702" s="2" t="s">
        <v>107</v>
      </c>
      <c r="BC3702" s="2">
        <v>1</v>
      </c>
      <c r="BD3702" s="2" t="s">
        <v>107</v>
      </c>
      <c r="BE3702" s="2">
        <v>1</v>
      </c>
      <c r="BF3702" s="2" t="s">
        <v>107</v>
      </c>
      <c r="BG3702" s="2"/>
      <c r="BH3702" s="2"/>
      <c r="BI3702" s="2"/>
      <c r="BJ3702" s="2">
        <v>242</v>
      </c>
      <c r="BK3702" s="2" t="s">
        <v>107</v>
      </c>
      <c r="BL3702" s="2"/>
      <c r="BM3702" s="2">
        <v>242</v>
      </c>
      <c r="BN3702" s="2" t="s">
        <v>107</v>
      </c>
      <c r="BO3702" s="2"/>
      <c r="BP3702" s="2">
        <v>242</v>
      </c>
      <c r="BQ3702" s="2" t="s">
        <v>107</v>
      </c>
      <c r="BR3702" s="2"/>
      <c r="BS3702" s="3">
        <v>40429</v>
      </c>
      <c r="BT3702" s="4">
        <v>0.59787037037037039</v>
      </c>
    </row>
    <row r="3703" spans="1:72" x14ac:dyDescent="0.25">
      <c r="A3703" s="2">
        <v>5468</v>
      </c>
      <c r="B3703" s="2">
        <v>2010</v>
      </c>
      <c r="C3703" s="2" t="s">
        <v>171</v>
      </c>
      <c r="D3703" s="2" t="s">
        <v>73</v>
      </c>
      <c r="E3703" s="2" t="s">
        <v>11800</v>
      </c>
      <c r="F3703" s="2">
        <v>425</v>
      </c>
      <c r="G3703" s="2" t="s">
        <v>286</v>
      </c>
      <c r="H3703" s="2">
        <v>30</v>
      </c>
      <c r="I3703" s="2" t="s">
        <v>912</v>
      </c>
      <c r="J3703" s="2">
        <v>310</v>
      </c>
      <c r="K3703" s="2" t="s">
        <v>288</v>
      </c>
      <c r="L3703" s="2" t="s">
        <v>289</v>
      </c>
      <c r="M3703" s="3">
        <v>40429</v>
      </c>
      <c r="N3703" s="2" t="s">
        <v>1882</v>
      </c>
      <c r="O3703" s="2" t="s">
        <v>11801</v>
      </c>
      <c r="P3703" s="2" t="s">
        <v>11802</v>
      </c>
      <c r="Q3703" s="2" t="str">
        <f>"075/10"</f>
        <v>075/10</v>
      </c>
      <c r="R3703" s="2"/>
      <c r="S3703" s="2" t="s">
        <v>822</v>
      </c>
      <c r="T3703" s="2">
        <v>1</v>
      </c>
      <c r="U3703" s="2" t="s">
        <v>79</v>
      </c>
      <c r="V3703" s="2">
        <v>1</v>
      </c>
      <c r="W3703" s="2" t="s">
        <v>80</v>
      </c>
      <c r="X3703" s="2">
        <v>1</v>
      </c>
      <c r="Y3703" s="2" t="s">
        <v>81</v>
      </c>
      <c r="Z3703" s="2">
        <v>1</v>
      </c>
      <c r="AA3703" s="2" t="s">
        <v>82</v>
      </c>
      <c r="AB3703" s="2">
        <v>1</v>
      </c>
      <c r="AC3703" s="2" t="s">
        <v>178</v>
      </c>
      <c r="AD3703" s="3">
        <v>40429</v>
      </c>
      <c r="AE3703" s="4">
        <v>0.60416666666666663</v>
      </c>
      <c r="AF3703" s="2"/>
      <c r="AG3703" s="2"/>
      <c r="AH3703" s="2">
        <v>4</v>
      </c>
      <c r="AI3703" s="2" t="s">
        <v>125</v>
      </c>
      <c r="AJ3703" s="2">
        <v>29</v>
      </c>
      <c r="AK3703" s="2" t="s">
        <v>227</v>
      </c>
      <c r="AL3703" s="2">
        <v>16</v>
      </c>
      <c r="AM3703" s="2" t="s">
        <v>392</v>
      </c>
      <c r="AN3703" s="2" t="s">
        <v>6877</v>
      </c>
      <c r="AO3703" s="2"/>
      <c r="AP3703" s="2">
        <v>12</v>
      </c>
      <c r="AQ3703" s="2" t="s">
        <v>322</v>
      </c>
      <c r="AR3703" s="2" t="s">
        <v>824</v>
      </c>
      <c r="AS3703" s="2" t="s">
        <v>825</v>
      </c>
      <c r="AT3703" s="2" t="s">
        <v>11803</v>
      </c>
      <c r="AU3703" s="2"/>
      <c r="AV3703" s="2"/>
      <c r="AW3703" s="2"/>
      <c r="AX3703" s="2"/>
      <c r="AY3703" s="2">
        <v>41</v>
      </c>
      <c r="AZ3703" s="2" t="s">
        <v>82</v>
      </c>
      <c r="BA3703" s="2">
        <v>41</v>
      </c>
      <c r="BB3703" s="2" t="s">
        <v>82</v>
      </c>
      <c r="BC3703" s="2">
        <v>51</v>
      </c>
      <c r="BD3703" s="2" t="s">
        <v>827</v>
      </c>
      <c r="BE3703" s="2">
        <v>47</v>
      </c>
      <c r="BF3703" s="2" t="s">
        <v>167</v>
      </c>
      <c r="BG3703" s="2">
        <v>2459</v>
      </c>
      <c r="BH3703" s="4">
        <v>0.91666666666666663</v>
      </c>
      <c r="BI3703" s="4">
        <v>0.94097222222222221</v>
      </c>
      <c r="BJ3703" s="2">
        <v>13</v>
      </c>
      <c r="BK3703" s="2" t="s">
        <v>91</v>
      </c>
      <c r="BL3703" s="2" t="s">
        <v>828</v>
      </c>
      <c r="BM3703" s="2">
        <v>241</v>
      </c>
      <c r="BN3703" s="2" t="s">
        <v>82</v>
      </c>
      <c r="BO3703" s="2" t="s">
        <v>82</v>
      </c>
      <c r="BP3703" s="2">
        <v>13</v>
      </c>
      <c r="BQ3703" s="2" t="s">
        <v>91</v>
      </c>
      <c r="BR3703" s="2" t="s">
        <v>185</v>
      </c>
      <c r="BS3703" s="3">
        <v>40429</v>
      </c>
      <c r="BT3703" s="4">
        <v>0.6610300925925926</v>
      </c>
    </row>
    <row r="3704" spans="1:72" x14ac:dyDescent="0.25">
      <c r="A3704" s="2">
        <v>5470</v>
      </c>
      <c r="B3704" s="2">
        <v>2010</v>
      </c>
      <c r="C3704" s="2" t="s">
        <v>171</v>
      </c>
      <c r="D3704" s="2" t="s">
        <v>122</v>
      </c>
      <c r="E3704" s="2" t="s">
        <v>11781</v>
      </c>
      <c r="F3704" s="2">
        <v>394</v>
      </c>
      <c r="G3704" s="2" t="s">
        <v>172</v>
      </c>
      <c r="H3704" s="2">
        <v>4</v>
      </c>
      <c r="I3704" s="2" t="s">
        <v>173</v>
      </c>
      <c r="J3704" s="2">
        <v>241</v>
      </c>
      <c r="K3704" s="2" t="s">
        <v>174</v>
      </c>
      <c r="L3704" s="2" t="s">
        <v>175</v>
      </c>
      <c r="M3704" s="3">
        <v>40429</v>
      </c>
      <c r="N3704" s="2" t="s">
        <v>11688</v>
      </c>
      <c r="O3704" s="2"/>
      <c r="P3704" s="2" t="s">
        <v>107</v>
      </c>
      <c r="Q3704" s="2" t="str">
        <f>"454-E/10"</f>
        <v>454-E/10</v>
      </c>
      <c r="R3704" s="2" t="s">
        <v>391</v>
      </c>
      <c r="S3704" s="2" t="s">
        <v>391</v>
      </c>
      <c r="T3704" s="2">
        <v>1</v>
      </c>
      <c r="U3704" s="2" t="s">
        <v>79</v>
      </c>
      <c r="V3704" s="2">
        <v>1</v>
      </c>
      <c r="W3704" s="2" t="s">
        <v>80</v>
      </c>
      <c r="X3704" s="2">
        <v>5</v>
      </c>
      <c r="Y3704" s="2" t="s">
        <v>82</v>
      </c>
      <c r="Z3704" s="2">
        <v>1</v>
      </c>
      <c r="AA3704" s="2" t="s">
        <v>82</v>
      </c>
      <c r="AB3704" s="2">
        <v>1</v>
      </c>
      <c r="AC3704" s="2" t="s">
        <v>178</v>
      </c>
      <c r="AD3704" s="3">
        <v>40426</v>
      </c>
      <c r="AE3704" s="4">
        <v>0.52430555555555558</v>
      </c>
      <c r="AF3704" s="2"/>
      <c r="AG3704" s="2"/>
      <c r="AH3704" s="2">
        <v>2</v>
      </c>
      <c r="AI3704" s="2" t="s">
        <v>84</v>
      </c>
      <c r="AJ3704" s="2">
        <v>9</v>
      </c>
      <c r="AK3704" s="2" t="s">
        <v>103</v>
      </c>
      <c r="AL3704" s="2">
        <v>11</v>
      </c>
      <c r="AM3704" s="2" t="s">
        <v>137</v>
      </c>
      <c r="AN3704" s="2"/>
      <c r="AO3704" s="2" t="s">
        <v>11782</v>
      </c>
      <c r="AP3704" s="2">
        <v>11</v>
      </c>
      <c r="AQ3704" s="2" t="s">
        <v>82</v>
      </c>
      <c r="AR3704" s="2"/>
      <c r="AS3704" s="2"/>
      <c r="AT3704" s="2" t="s">
        <v>11804</v>
      </c>
      <c r="AU3704" s="2"/>
      <c r="AV3704" s="2">
        <v>1</v>
      </c>
      <c r="AW3704" s="2"/>
      <c r="AX3704" s="2"/>
      <c r="AY3704" s="2">
        <v>42</v>
      </c>
      <c r="AZ3704" s="2" t="s">
        <v>182</v>
      </c>
      <c r="BA3704" s="2">
        <v>41</v>
      </c>
      <c r="BB3704" s="2" t="s">
        <v>82</v>
      </c>
      <c r="BC3704" s="2">
        <v>41</v>
      </c>
      <c r="BD3704" s="2" t="s">
        <v>82</v>
      </c>
      <c r="BE3704" s="2">
        <v>27</v>
      </c>
      <c r="BF3704" s="2" t="s">
        <v>2197</v>
      </c>
      <c r="BG3704" s="2" t="s">
        <v>2198</v>
      </c>
      <c r="BH3704" s="4">
        <v>0.16666666666666666</v>
      </c>
      <c r="BI3704" s="4">
        <v>0.5625</v>
      </c>
      <c r="BJ3704" s="2">
        <v>13</v>
      </c>
      <c r="BK3704" s="2" t="s">
        <v>91</v>
      </c>
      <c r="BL3704" s="2" t="s">
        <v>360</v>
      </c>
      <c r="BM3704" s="2">
        <v>241</v>
      </c>
      <c r="BN3704" s="2" t="s">
        <v>82</v>
      </c>
      <c r="BO3704" s="2" t="s">
        <v>82</v>
      </c>
      <c r="BP3704" s="2">
        <v>112</v>
      </c>
      <c r="BQ3704" s="2" t="s">
        <v>110</v>
      </c>
      <c r="BR3704" s="2" t="s">
        <v>111</v>
      </c>
      <c r="BS3704" s="3">
        <v>40429</v>
      </c>
      <c r="BT3704" s="4">
        <v>0.67418981481481488</v>
      </c>
    </row>
    <row r="3705" spans="1:72" x14ac:dyDescent="0.25">
      <c r="A3705" s="2">
        <v>5472</v>
      </c>
      <c r="B3705" s="2">
        <v>2010</v>
      </c>
      <c r="C3705" s="2" t="s">
        <v>255</v>
      </c>
      <c r="D3705" s="2" t="s">
        <v>73</v>
      </c>
      <c r="E3705" s="2"/>
      <c r="F3705" s="2">
        <v>545</v>
      </c>
      <c r="G3705" s="2" t="s">
        <v>3969</v>
      </c>
      <c r="H3705" s="2">
        <v>22</v>
      </c>
      <c r="I3705" s="2" t="s">
        <v>75</v>
      </c>
      <c r="J3705" s="2">
        <v>472</v>
      </c>
      <c r="K3705" s="2" t="s">
        <v>7277</v>
      </c>
      <c r="L3705" s="2" t="s">
        <v>7278</v>
      </c>
      <c r="M3705" s="3">
        <v>40429</v>
      </c>
      <c r="N3705" s="2" t="s">
        <v>4011</v>
      </c>
      <c r="O3705" s="2" t="s">
        <v>107</v>
      </c>
      <c r="P3705" s="2" t="s">
        <v>107</v>
      </c>
      <c r="Q3705" s="2" t="str">
        <f>"015/10"</f>
        <v>015/10</v>
      </c>
      <c r="R3705" s="2" t="s">
        <v>11805</v>
      </c>
      <c r="S3705" s="2" t="s">
        <v>11805</v>
      </c>
      <c r="T3705" s="2">
        <v>1</v>
      </c>
      <c r="U3705" s="2" t="s">
        <v>79</v>
      </c>
      <c r="V3705" s="2">
        <v>1</v>
      </c>
      <c r="W3705" s="2" t="s">
        <v>80</v>
      </c>
      <c r="X3705" s="2">
        <v>12</v>
      </c>
      <c r="Y3705" s="2" t="s">
        <v>148</v>
      </c>
      <c r="Z3705" s="2">
        <v>1</v>
      </c>
      <c r="AA3705" s="2" t="s">
        <v>82</v>
      </c>
      <c r="AB3705" s="2">
        <v>9</v>
      </c>
      <c r="AC3705" s="2" t="s">
        <v>124</v>
      </c>
      <c r="AD3705" s="2"/>
      <c r="AE3705" s="2"/>
      <c r="AF3705" s="3">
        <v>40429</v>
      </c>
      <c r="AG3705" s="4">
        <v>0.6875</v>
      </c>
      <c r="AH3705" s="2">
        <v>6</v>
      </c>
      <c r="AI3705" s="2" t="s">
        <v>197</v>
      </c>
      <c r="AJ3705" s="2">
        <v>60</v>
      </c>
      <c r="AK3705" s="2" t="s">
        <v>543</v>
      </c>
      <c r="AL3705" s="2">
        <v>20</v>
      </c>
      <c r="AM3705" s="2" t="s">
        <v>992</v>
      </c>
      <c r="AN3705" s="2" t="s">
        <v>11806</v>
      </c>
      <c r="AO3705" s="2" t="s">
        <v>82</v>
      </c>
      <c r="AP3705" s="2">
        <v>11</v>
      </c>
      <c r="AQ3705" s="2" t="s">
        <v>82</v>
      </c>
      <c r="AR3705" s="2" t="s">
        <v>82</v>
      </c>
      <c r="AS3705" s="2" t="s">
        <v>82</v>
      </c>
      <c r="AT3705" s="2" t="s">
        <v>11807</v>
      </c>
      <c r="AU3705" s="2"/>
      <c r="AV3705" s="2"/>
      <c r="AW3705" s="2"/>
      <c r="AX3705" s="2"/>
      <c r="AY3705" s="2">
        <v>41</v>
      </c>
      <c r="AZ3705" s="2" t="s">
        <v>82</v>
      </c>
      <c r="BA3705" s="2">
        <v>41</v>
      </c>
      <c r="BB3705" s="2" t="s">
        <v>82</v>
      </c>
      <c r="BC3705" s="2">
        <v>41</v>
      </c>
      <c r="BD3705" s="2" t="s">
        <v>82</v>
      </c>
      <c r="BE3705" s="2">
        <v>41</v>
      </c>
      <c r="BF3705" s="2" t="s">
        <v>82</v>
      </c>
      <c r="BG3705" s="2" t="s">
        <v>82</v>
      </c>
      <c r="BH3705" s="2"/>
      <c r="BI3705" s="2"/>
      <c r="BJ3705" s="2">
        <v>241</v>
      </c>
      <c r="BK3705" s="2" t="s">
        <v>82</v>
      </c>
      <c r="BL3705" s="2" t="s">
        <v>82</v>
      </c>
      <c r="BM3705" s="2">
        <v>241</v>
      </c>
      <c r="BN3705" s="2" t="s">
        <v>82</v>
      </c>
      <c r="BO3705" s="2" t="s">
        <v>82</v>
      </c>
      <c r="BP3705" s="2">
        <v>241</v>
      </c>
      <c r="BQ3705" s="2" t="s">
        <v>82</v>
      </c>
      <c r="BR3705" s="2" t="s">
        <v>82</v>
      </c>
      <c r="BS3705" s="3">
        <v>40429</v>
      </c>
      <c r="BT3705" s="4">
        <v>0.72581018518518514</v>
      </c>
    </row>
    <row r="3706" spans="1:72" x14ac:dyDescent="0.25">
      <c r="A3706" s="2">
        <v>5473</v>
      </c>
      <c r="B3706" s="2">
        <v>2010</v>
      </c>
      <c r="C3706" s="2" t="s">
        <v>171</v>
      </c>
      <c r="D3706" s="2" t="s">
        <v>122</v>
      </c>
      <c r="E3706" s="2" t="s">
        <v>11781</v>
      </c>
      <c r="F3706" s="2">
        <v>394</v>
      </c>
      <c r="G3706" s="2" t="s">
        <v>172</v>
      </c>
      <c r="H3706" s="2">
        <v>4</v>
      </c>
      <c r="I3706" s="2" t="s">
        <v>173</v>
      </c>
      <c r="J3706" s="2">
        <v>241</v>
      </c>
      <c r="K3706" s="2" t="s">
        <v>174</v>
      </c>
      <c r="L3706" s="2" t="s">
        <v>175</v>
      </c>
      <c r="M3706" s="3">
        <v>40429</v>
      </c>
      <c r="N3706" s="2" t="s">
        <v>11688</v>
      </c>
      <c r="O3706" s="2"/>
      <c r="P3706" s="2" t="s">
        <v>107</v>
      </c>
      <c r="Q3706" s="2" t="str">
        <f>"454-E/10"</f>
        <v>454-E/10</v>
      </c>
      <c r="R3706" s="2" t="s">
        <v>391</v>
      </c>
      <c r="S3706" s="2" t="s">
        <v>391</v>
      </c>
      <c r="T3706" s="2">
        <v>1</v>
      </c>
      <c r="U3706" s="2" t="s">
        <v>79</v>
      </c>
      <c r="V3706" s="2">
        <v>1</v>
      </c>
      <c r="W3706" s="2" t="s">
        <v>80</v>
      </c>
      <c r="X3706" s="2">
        <v>5</v>
      </c>
      <c r="Y3706" s="2" t="s">
        <v>82</v>
      </c>
      <c r="Z3706" s="2">
        <v>1</v>
      </c>
      <c r="AA3706" s="2" t="s">
        <v>82</v>
      </c>
      <c r="AB3706" s="2">
        <v>1</v>
      </c>
      <c r="AC3706" s="2" t="s">
        <v>178</v>
      </c>
      <c r="AD3706" s="3">
        <v>40426</v>
      </c>
      <c r="AE3706" s="4">
        <v>0.52430555555555558</v>
      </c>
      <c r="AF3706" s="2"/>
      <c r="AG3706" s="2"/>
      <c r="AH3706" s="2">
        <v>2</v>
      </c>
      <c r="AI3706" s="2" t="s">
        <v>84</v>
      </c>
      <c r="AJ3706" s="2">
        <v>9</v>
      </c>
      <c r="AK3706" s="2" t="s">
        <v>103</v>
      </c>
      <c r="AL3706" s="2">
        <v>11</v>
      </c>
      <c r="AM3706" s="2" t="s">
        <v>137</v>
      </c>
      <c r="AN3706" s="2"/>
      <c r="AO3706" s="2" t="s">
        <v>11782</v>
      </c>
      <c r="AP3706" s="2">
        <v>11</v>
      </c>
      <c r="AQ3706" s="2" t="s">
        <v>82</v>
      </c>
      <c r="AR3706" s="2"/>
      <c r="AS3706" s="2"/>
      <c r="AT3706" s="2" t="s">
        <v>11808</v>
      </c>
      <c r="AU3706" s="2"/>
      <c r="AV3706" s="2">
        <v>1</v>
      </c>
      <c r="AW3706" s="2"/>
      <c r="AX3706" s="2"/>
      <c r="AY3706" s="2">
        <v>42</v>
      </c>
      <c r="AZ3706" s="2" t="s">
        <v>182</v>
      </c>
      <c r="BA3706" s="2">
        <v>41</v>
      </c>
      <c r="BB3706" s="2" t="s">
        <v>82</v>
      </c>
      <c r="BC3706" s="2">
        <v>41</v>
      </c>
      <c r="BD3706" s="2" t="s">
        <v>82</v>
      </c>
      <c r="BE3706" s="2">
        <v>27</v>
      </c>
      <c r="BF3706" s="2" t="s">
        <v>2197</v>
      </c>
      <c r="BG3706" s="2" t="s">
        <v>2198</v>
      </c>
      <c r="BH3706" s="4">
        <v>0.16666666666666666</v>
      </c>
      <c r="BI3706" s="4">
        <v>0.5625</v>
      </c>
      <c r="BJ3706" s="2">
        <v>13</v>
      </c>
      <c r="BK3706" s="2" t="s">
        <v>91</v>
      </c>
      <c r="BL3706" s="2" t="s">
        <v>360</v>
      </c>
      <c r="BM3706" s="2">
        <v>241</v>
      </c>
      <c r="BN3706" s="2" t="s">
        <v>82</v>
      </c>
      <c r="BO3706" s="2" t="s">
        <v>82</v>
      </c>
      <c r="BP3706" s="2">
        <v>112</v>
      </c>
      <c r="BQ3706" s="2" t="s">
        <v>110</v>
      </c>
      <c r="BR3706" s="2" t="s">
        <v>111</v>
      </c>
      <c r="BS3706" s="3">
        <v>40429</v>
      </c>
      <c r="BT3706" s="4">
        <v>0.74646990740740737</v>
      </c>
    </row>
    <row r="3707" spans="1:72" x14ac:dyDescent="0.25">
      <c r="A3707" s="2">
        <v>5474</v>
      </c>
      <c r="B3707" s="2">
        <v>2010</v>
      </c>
      <c r="C3707" s="2" t="s">
        <v>171</v>
      </c>
      <c r="D3707" s="2" t="s">
        <v>122</v>
      </c>
      <c r="E3707" s="2" t="s">
        <v>11781</v>
      </c>
      <c r="F3707" s="2">
        <v>394</v>
      </c>
      <c r="G3707" s="2" t="s">
        <v>172</v>
      </c>
      <c r="H3707" s="2">
        <v>4</v>
      </c>
      <c r="I3707" s="2" t="s">
        <v>173</v>
      </c>
      <c r="J3707" s="2">
        <v>241</v>
      </c>
      <c r="K3707" s="2" t="s">
        <v>174</v>
      </c>
      <c r="L3707" s="2" t="s">
        <v>175</v>
      </c>
      <c r="M3707" s="3">
        <v>40429</v>
      </c>
      <c r="N3707" s="2" t="s">
        <v>11688</v>
      </c>
      <c r="O3707" s="2"/>
      <c r="P3707" s="2" t="s">
        <v>107</v>
      </c>
      <c r="Q3707" s="2" t="str">
        <f>"454-E/10"</f>
        <v>454-E/10</v>
      </c>
      <c r="R3707" s="2" t="s">
        <v>391</v>
      </c>
      <c r="S3707" s="2" t="s">
        <v>391</v>
      </c>
      <c r="T3707" s="2">
        <v>1</v>
      </c>
      <c r="U3707" s="2" t="s">
        <v>79</v>
      </c>
      <c r="V3707" s="2">
        <v>1</v>
      </c>
      <c r="W3707" s="2" t="s">
        <v>80</v>
      </c>
      <c r="X3707" s="2">
        <v>5</v>
      </c>
      <c r="Y3707" s="2" t="s">
        <v>82</v>
      </c>
      <c r="Z3707" s="2">
        <v>1</v>
      </c>
      <c r="AA3707" s="2" t="s">
        <v>82</v>
      </c>
      <c r="AB3707" s="2">
        <v>1</v>
      </c>
      <c r="AC3707" s="2" t="s">
        <v>178</v>
      </c>
      <c r="AD3707" s="3">
        <v>40426</v>
      </c>
      <c r="AE3707" s="4">
        <v>0.52430555555555558</v>
      </c>
      <c r="AF3707" s="2"/>
      <c r="AG3707" s="2"/>
      <c r="AH3707" s="2">
        <v>2</v>
      </c>
      <c r="AI3707" s="2" t="s">
        <v>84</v>
      </c>
      <c r="AJ3707" s="2">
        <v>9</v>
      </c>
      <c r="AK3707" s="2" t="s">
        <v>103</v>
      </c>
      <c r="AL3707" s="2">
        <v>11</v>
      </c>
      <c r="AM3707" s="2" t="s">
        <v>137</v>
      </c>
      <c r="AN3707" s="2"/>
      <c r="AO3707" s="2" t="s">
        <v>11782</v>
      </c>
      <c r="AP3707" s="2">
        <v>11</v>
      </c>
      <c r="AQ3707" s="2" t="s">
        <v>82</v>
      </c>
      <c r="AR3707" s="2"/>
      <c r="AS3707" s="2"/>
      <c r="AT3707" s="2" t="s">
        <v>11809</v>
      </c>
      <c r="AU3707" s="2"/>
      <c r="AV3707" s="2">
        <v>1</v>
      </c>
      <c r="AW3707" s="2"/>
      <c r="AX3707" s="2"/>
      <c r="AY3707" s="2">
        <v>42</v>
      </c>
      <c r="AZ3707" s="2" t="s">
        <v>182</v>
      </c>
      <c r="BA3707" s="2">
        <v>41</v>
      </c>
      <c r="BB3707" s="2" t="s">
        <v>82</v>
      </c>
      <c r="BC3707" s="2">
        <v>41</v>
      </c>
      <c r="BD3707" s="2" t="s">
        <v>82</v>
      </c>
      <c r="BE3707" s="2">
        <v>27</v>
      </c>
      <c r="BF3707" s="2" t="s">
        <v>2197</v>
      </c>
      <c r="BG3707" s="2" t="s">
        <v>2198</v>
      </c>
      <c r="BH3707" s="4">
        <v>0.16666666666666666</v>
      </c>
      <c r="BI3707" s="4">
        <v>0.5625</v>
      </c>
      <c r="BJ3707" s="2">
        <v>13</v>
      </c>
      <c r="BK3707" s="2" t="s">
        <v>91</v>
      </c>
      <c r="BL3707" s="2" t="s">
        <v>360</v>
      </c>
      <c r="BM3707" s="2">
        <v>241</v>
      </c>
      <c r="BN3707" s="2" t="s">
        <v>82</v>
      </c>
      <c r="BO3707" s="2" t="s">
        <v>82</v>
      </c>
      <c r="BP3707" s="2">
        <v>112</v>
      </c>
      <c r="BQ3707" s="2" t="s">
        <v>110</v>
      </c>
      <c r="BR3707" s="2" t="s">
        <v>111</v>
      </c>
      <c r="BS3707" s="3">
        <v>40429</v>
      </c>
      <c r="BT3707" s="4">
        <v>0.74906249999999996</v>
      </c>
    </row>
    <row r="3708" spans="1:72" x14ac:dyDescent="0.25">
      <c r="A3708" s="2">
        <v>5476</v>
      </c>
      <c r="B3708" s="2">
        <v>2010</v>
      </c>
      <c r="C3708" s="2" t="s">
        <v>819</v>
      </c>
      <c r="D3708" s="2" t="s">
        <v>73</v>
      </c>
      <c r="E3708" s="2"/>
      <c r="F3708" s="2">
        <v>310</v>
      </c>
      <c r="G3708" s="2" t="s">
        <v>3186</v>
      </c>
      <c r="H3708" s="2">
        <v>2</v>
      </c>
      <c r="I3708" s="2" t="s">
        <v>267</v>
      </c>
      <c r="J3708" s="2">
        <v>371</v>
      </c>
      <c r="K3708" s="2" t="s">
        <v>1138</v>
      </c>
      <c r="L3708" s="2" t="s">
        <v>1139</v>
      </c>
      <c r="M3708" s="3">
        <v>40429</v>
      </c>
      <c r="N3708" s="2" t="s">
        <v>11810</v>
      </c>
      <c r="O3708" s="2"/>
      <c r="P3708" s="2"/>
      <c r="Q3708" s="2" t="str">
        <f>"0116/2010"</f>
        <v>0116/2010</v>
      </c>
      <c r="R3708" s="2"/>
      <c r="S3708" s="2" t="s">
        <v>11811</v>
      </c>
      <c r="T3708" s="2">
        <v>1</v>
      </c>
      <c r="U3708" s="2" t="s">
        <v>79</v>
      </c>
      <c r="V3708" s="2">
        <v>1</v>
      </c>
      <c r="W3708" s="2" t="s">
        <v>80</v>
      </c>
      <c r="X3708" s="2">
        <v>1</v>
      </c>
      <c r="Y3708" s="2" t="s">
        <v>81</v>
      </c>
      <c r="Z3708" s="2">
        <v>1</v>
      </c>
      <c r="AA3708" s="2" t="s">
        <v>82</v>
      </c>
      <c r="AB3708" s="2">
        <v>9</v>
      </c>
      <c r="AC3708" s="2" t="s">
        <v>124</v>
      </c>
      <c r="AD3708" s="3">
        <v>40429</v>
      </c>
      <c r="AE3708" s="4">
        <v>0.66666666666666663</v>
      </c>
      <c r="AF3708" s="2"/>
      <c r="AG3708" s="2"/>
      <c r="AH3708" s="2">
        <v>5</v>
      </c>
      <c r="AI3708" s="2" t="s">
        <v>274</v>
      </c>
      <c r="AJ3708" s="2">
        <v>38</v>
      </c>
      <c r="AK3708" s="2" t="s">
        <v>1120</v>
      </c>
      <c r="AL3708" s="2">
        <v>10</v>
      </c>
      <c r="AM3708" s="2" t="s">
        <v>200</v>
      </c>
      <c r="AN3708" s="2"/>
      <c r="AO3708" s="2" t="s">
        <v>179</v>
      </c>
      <c r="AP3708" s="2">
        <v>12</v>
      </c>
      <c r="AQ3708" s="2" t="s">
        <v>322</v>
      </c>
      <c r="AR3708" s="2"/>
      <c r="AS3708" s="2"/>
      <c r="AT3708" s="2" t="s">
        <v>11812</v>
      </c>
      <c r="AU3708" s="2"/>
      <c r="AV3708" s="2"/>
      <c r="AW3708" s="2"/>
      <c r="AX3708" s="2"/>
      <c r="AY3708" s="2">
        <v>42</v>
      </c>
      <c r="AZ3708" s="2" t="s">
        <v>182</v>
      </c>
      <c r="BA3708" s="2">
        <v>41</v>
      </c>
      <c r="BB3708" s="2" t="s">
        <v>82</v>
      </c>
      <c r="BC3708" s="2">
        <v>41</v>
      </c>
      <c r="BD3708" s="2" t="s">
        <v>82</v>
      </c>
      <c r="BE3708" s="2">
        <v>47</v>
      </c>
      <c r="BF3708" s="2" t="s">
        <v>167</v>
      </c>
      <c r="BG3708" s="2">
        <v>2739</v>
      </c>
      <c r="BH3708" s="4">
        <v>0.65277777777777779</v>
      </c>
      <c r="BI3708" s="4">
        <v>0.68055555555555547</v>
      </c>
      <c r="BJ3708" s="2">
        <v>13</v>
      </c>
      <c r="BK3708" s="2" t="s">
        <v>91</v>
      </c>
      <c r="BL3708" s="2" t="s">
        <v>3140</v>
      </c>
      <c r="BM3708" s="2">
        <v>241</v>
      </c>
      <c r="BN3708" s="2" t="s">
        <v>82</v>
      </c>
      <c r="BO3708" s="2"/>
      <c r="BP3708" s="2">
        <v>13</v>
      </c>
      <c r="BQ3708" s="2" t="s">
        <v>91</v>
      </c>
      <c r="BR3708" s="2" t="s">
        <v>185</v>
      </c>
      <c r="BS3708" s="3">
        <v>40429</v>
      </c>
      <c r="BT3708" s="4">
        <v>0.76618055555555553</v>
      </c>
    </row>
    <row r="3709" spans="1:72" x14ac:dyDescent="0.25">
      <c r="A3709" s="2">
        <v>5477</v>
      </c>
      <c r="B3709" s="2">
        <v>2010</v>
      </c>
      <c r="C3709" s="2" t="s">
        <v>171</v>
      </c>
      <c r="D3709" s="2" t="s">
        <v>122</v>
      </c>
      <c r="E3709" s="2" t="s">
        <v>11735</v>
      </c>
      <c r="F3709" s="2">
        <v>394</v>
      </c>
      <c r="G3709" s="2" t="s">
        <v>172</v>
      </c>
      <c r="H3709" s="2">
        <v>4</v>
      </c>
      <c r="I3709" s="2" t="s">
        <v>173</v>
      </c>
      <c r="J3709" s="2">
        <v>241</v>
      </c>
      <c r="K3709" s="2" t="s">
        <v>174</v>
      </c>
      <c r="L3709" s="2" t="s">
        <v>175</v>
      </c>
      <c r="M3709" s="3">
        <v>40429</v>
      </c>
      <c r="N3709" s="2" t="s">
        <v>11688</v>
      </c>
      <c r="O3709" s="2"/>
      <c r="P3709" s="2" t="s">
        <v>107</v>
      </c>
      <c r="Q3709" s="2" t="str">
        <f>"453-E/10"</f>
        <v>453-E/10</v>
      </c>
      <c r="R3709" s="2" t="s">
        <v>391</v>
      </c>
      <c r="S3709" s="2" t="s">
        <v>391</v>
      </c>
      <c r="T3709" s="2">
        <v>1</v>
      </c>
      <c r="U3709" s="2" t="s">
        <v>79</v>
      </c>
      <c r="V3709" s="2">
        <v>1</v>
      </c>
      <c r="W3709" s="2" t="s">
        <v>80</v>
      </c>
      <c r="X3709" s="2">
        <v>11</v>
      </c>
      <c r="Y3709" s="2" t="s">
        <v>1920</v>
      </c>
      <c r="Z3709" s="2">
        <v>1</v>
      </c>
      <c r="AA3709" s="2" t="s">
        <v>82</v>
      </c>
      <c r="AB3709" s="2">
        <v>1</v>
      </c>
      <c r="AC3709" s="2" t="s">
        <v>178</v>
      </c>
      <c r="AD3709" s="3">
        <v>40426</v>
      </c>
      <c r="AE3709" s="4">
        <v>0.4375</v>
      </c>
      <c r="AF3709" s="2"/>
      <c r="AG3709" s="2"/>
      <c r="AH3709" s="2">
        <v>2</v>
      </c>
      <c r="AI3709" s="2" t="s">
        <v>84</v>
      </c>
      <c r="AJ3709" s="2">
        <v>9</v>
      </c>
      <c r="AK3709" s="2" t="s">
        <v>103</v>
      </c>
      <c r="AL3709" s="2">
        <v>12</v>
      </c>
      <c r="AM3709" s="2" t="s">
        <v>86</v>
      </c>
      <c r="AN3709" s="2"/>
      <c r="AO3709" s="2" t="s">
        <v>11690</v>
      </c>
      <c r="AP3709" s="2">
        <v>11</v>
      </c>
      <c r="AQ3709" s="2" t="s">
        <v>82</v>
      </c>
      <c r="AR3709" s="2"/>
      <c r="AS3709" s="2"/>
      <c r="AT3709" s="2" t="s">
        <v>11813</v>
      </c>
      <c r="AU3709" s="2"/>
      <c r="AV3709" s="2">
        <v>1</v>
      </c>
      <c r="AW3709" s="2"/>
      <c r="AX3709" s="2"/>
      <c r="AY3709" s="2">
        <v>42</v>
      </c>
      <c r="AZ3709" s="2" t="s">
        <v>182</v>
      </c>
      <c r="BA3709" s="2">
        <v>41</v>
      </c>
      <c r="BB3709" s="2" t="s">
        <v>82</v>
      </c>
      <c r="BC3709" s="2">
        <v>41</v>
      </c>
      <c r="BD3709" s="2" t="s">
        <v>82</v>
      </c>
      <c r="BE3709" s="2">
        <v>31</v>
      </c>
      <c r="BF3709" s="2" t="s">
        <v>398</v>
      </c>
      <c r="BG3709" s="2">
        <v>6842</v>
      </c>
      <c r="BH3709" s="4">
        <v>0</v>
      </c>
      <c r="BI3709" s="4">
        <v>0.53472222222222221</v>
      </c>
      <c r="BJ3709" s="2">
        <v>13</v>
      </c>
      <c r="BK3709" s="2" t="s">
        <v>91</v>
      </c>
      <c r="BL3709" s="2" t="s">
        <v>360</v>
      </c>
      <c r="BM3709" s="2">
        <v>241</v>
      </c>
      <c r="BN3709" s="2" t="s">
        <v>82</v>
      </c>
      <c r="BO3709" s="2" t="s">
        <v>82</v>
      </c>
      <c r="BP3709" s="2">
        <v>73</v>
      </c>
      <c r="BQ3709" s="2" t="s">
        <v>186</v>
      </c>
      <c r="BR3709" s="2" t="s">
        <v>187</v>
      </c>
      <c r="BS3709" s="3">
        <v>40429</v>
      </c>
      <c r="BT3709" s="4">
        <v>0.81687500000000002</v>
      </c>
    </row>
    <row r="3710" spans="1:72" x14ac:dyDescent="0.25">
      <c r="A3710" s="2">
        <v>5478</v>
      </c>
      <c r="B3710" s="2">
        <v>2010</v>
      </c>
      <c r="C3710" s="2" t="s">
        <v>171</v>
      </c>
      <c r="D3710" s="2" t="s">
        <v>73</v>
      </c>
      <c r="E3710" s="2"/>
      <c r="F3710" s="2">
        <v>523</v>
      </c>
      <c r="G3710" s="2" t="s">
        <v>11792</v>
      </c>
      <c r="H3710" s="2">
        <v>17</v>
      </c>
      <c r="I3710" s="2" t="s">
        <v>3602</v>
      </c>
      <c r="J3710" s="2">
        <v>164</v>
      </c>
      <c r="K3710" s="2" t="s">
        <v>3254</v>
      </c>
      <c r="L3710" s="2" t="s">
        <v>946</v>
      </c>
      <c r="M3710" s="3">
        <v>40429</v>
      </c>
      <c r="N3710" s="2" t="s">
        <v>11814</v>
      </c>
      <c r="O3710" s="2"/>
      <c r="P3710" s="2"/>
      <c r="Q3710" s="2" t="str">
        <f>"358-A/10"</f>
        <v>358-A/10</v>
      </c>
      <c r="R3710" s="2" t="s">
        <v>489</v>
      </c>
      <c r="S3710" s="2"/>
      <c r="T3710" s="2">
        <v>1</v>
      </c>
      <c r="U3710" s="2" t="s">
        <v>79</v>
      </c>
      <c r="V3710" s="2">
        <v>1</v>
      </c>
      <c r="W3710" s="2" t="s">
        <v>80</v>
      </c>
      <c r="X3710" s="2">
        <v>1</v>
      </c>
      <c r="Y3710" s="2" t="s">
        <v>81</v>
      </c>
      <c r="Z3710" s="2">
        <v>1</v>
      </c>
      <c r="AA3710" s="2" t="s">
        <v>82</v>
      </c>
      <c r="AB3710" s="2">
        <v>1</v>
      </c>
      <c r="AC3710" s="2" t="s">
        <v>178</v>
      </c>
      <c r="AD3710" s="3">
        <v>40429</v>
      </c>
      <c r="AE3710" s="4">
        <v>0.46527777777777773</v>
      </c>
      <c r="AF3710" s="2"/>
      <c r="AG3710" s="2"/>
      <c r="AH3710" s="2">
        <v>2</v>
      </c>
      <c r="AI3710" s="2" t="s">
        <v>84</v>
      </c>
      <c r="AJ3710" s="2">
        <v>12</v>
      </c>
      <c r="AK3710" s="2" t="s">
        <v>85</v>
      </c>
      <c r="AL3710" s="2">
        <v>13</v>
      </c>
      <c r="AM3710" s="2" t="s">
        <v>117</v>
      </c>
      <c r="AN3710" s="2"/>
      <c r="AO3710" s="2" t="s">
        <v>11815</v>
      </c>
      <c r="AP3710" s="2">
        <v>11</v>
      </c>
      <c r="AQ3710" s="2" t="s">
        <v>82</v>
      </c>
      <c r="AR3710" s="2"/>
      <c r="AS3710" s="2"/>
      <c r="AT3710" s="2" t="s">
        <v>11816</v>
      </c>
      <c r="AU3710" s="2">
        <v>1</v>
      </c>
      <c r="AV3710" s="2"/>
      <c r="AW3710" s="2"/>
      <c r="AX3710" s="2"/>
      <c r="AY3710" s="2">
        <v>41</v>
      </c>
      <c r="AZ3710" s="2" t="s">
        <v>82</v>
      </c>
      <c r="BA3710" s="2">
        <v>41</v>
      </c>
      <c r="BB3710" s="2" t="s">
        <v>82</v>
      </c>
      <c r="BC3710" s="2">
        <v>41</v>
      </c>
      <c r="BD3710" s="2" t="s">
        <v>82</v>
      </c>
      <c r="BE3710" s="2">
        <v>41</v>
      </c>
      <c r="BF3710" s="2" t="s">
        <v>82</v>
      </c>
      <c r="BG3710" s="2"/>
      <c r="BH3710" s="2"/>
      <c r="BI3710" s="2"/>
      <c r="BJ3710" s="2">
        <v>241</v>
      </c>
      <c r="BK3710" s="2" t="s">
        <v>82</v>
      </c>
      <c r="BL3710" s="2"/>
      <c r="BM3710" s="2">
        <v>241</v>
      </c>
      <c r="BN3710" s="2" t="s">
        <v>82</v>
      </c>
      <c r="BO3710" s="2"/>
      <c r="BP3710" s="2">
        <v>241</v>
      </c>
      <c r="BQ3710" s="2" t="s">
        <v>82</v>
      </c>
      <c r="BR3710" s="2"/>
      <c r="BS3710" s="3">
        <v>40429</v>
      </c>
      <c r="BT3710" s="4">
        <v>0.83881944444444445</v>
      </c>
    </row>
    <row r="3711" spans="1:72" x14ac:dyDescent="0.25">
      <c r="A3711" s="2">
        <v>5479</v>
      </c>
      <c r="B3711" s="2">
        <v>2010</v>
      </c>
      <c r="C3711" s="2" t="s">
        <v>2219</v>
      </c>
      <c r="D3711" s="2" t="s">
        <v>73</v>
      </c>
      <c r="E3711" s="2"/>
      <c r="F3711" s="2">
        <v>167</v>
      </c>
      <c r="G3711" s="2" t="s">
        <v>11567</v>
      </c>
      <c r="H3711" s="2">
        <v>138</v>
      </c>
      <c r="I3711" s="2" t="s">
        <v>11568</v>
      </c>
      <c r="J3711" s="2">
        <v>173</v>
      </c>
      <c r="K3711" s="2" t="s">
        <v>11569</v>
      </c>
      <c r="L3711" s="2" t="s">
        <v>11570</v>
      </c>
      <c r="M3711" s="3">
        <v>40429</v>
      </c>
      <c r="N3711" s="2" t="s">
        <v>11817</v>
      </c>
      <c r="O3711" s="2" t="s">
        <v>4173</v>
      </c>
      <c r="P3711" s="2"/>
      <c r="Q3711" s="2" t="str">
        <f>"359-A/10"</f>
        <v>359-A/10</v>
      </c>
      <c r="R3711" s="2"/>
      <c r="S3711" s="2"/>
      <c r="T3711" s="2">
        <v>1</v>
      </c>
      <c r="U3711" s="2" t="s">
        <v>79</v>
      </c>
      <c r="V3711" s="2">
        <v>1</v>
      </c>
      <c r="W3711" s="2" t="s">
        <v>80</v>
      </c>
      <c r="X3711" s="2">
        <v>1</v>
      </c>
      <c r="Y3711" s="2" t="s">
        <v>81</v>
      </c>
      <c r="Z3711" s="2">
        <v>1</v>
      </c>
      <c r="AA3711" s="2" t="s">
        <v>82</v>
      </c>
      <c r="AB3711" s="2">
        <v>9</v>
      </c>
      <c r="AC3711" s="2" t="s">
        <v>124</v>
      </c>
      <c r="AD3711" s="3">
        <v>40429</v>
      </c>
      <c r="AE3711" s="4">
        <v>0.46527777777777773</v>
      </c>
      <c r="AF3711" s="2"/>
      <c r="AG3711" s="2"/>
      <c r="AH3711" s="2">
        <v>2</v>
      </c>
      <c r="AI3711" s="2" t="s">
        <v>84</v>
      </c>
      <c r="AJ3711" s="2">
        <v>12</v>
      </c>
      <c r="AK3711" s="2" t="s">
        <v>85</v>
      </c>
      <c r="AL3711" s="2">
        <v>13</v>
      </c>
      <c r="AM3711" s="2" t="s">
        <v>117</v>
      </c>
      <c r="AN3711" s="2" t="s">
        <v>11818</v>
      </c>
      <c r="AO3711" s="2"/>
      <c r="AP3711" s="2">
        <v>11</v>
      </c>
      <c r="AQ3711" s="2" t="s">
        <v>82</v>
      </c>
      <c r="AR3711" s="2"/>
      <c r="AS3711" s="2"/>
      <c r="AT3711" s="2" t="s">
        <v>11819</v>
      </c>
      <c r="AU3711" s="2">
        <v>1</v>
      </c>
      <c r="AV3711" s="2"/>
      <c r="AW3711" s="2"/>
      <c r="AX3711" s="2"/>
      <c r="AY3711" s="2">
        <v>41</v>
      </c>
      <c r="AZ3711" s="2" t="s">
        <v>82</v>
      </c>
      <c r="BA3711" s="2">
        <v>41</v>
      </c>
      <c r="BB3711" s="2" t="s">
        <v>82</v>
      </c>
      <c r="BC3711" s="2">
        <v>41</v>
      </c>
      <c r="BD3711" s="2" t="s">
        <v>82</v>
      </c>
      <c r="BE3711" s="2">
        <v>41</v>
      </c>
      <c r="BF3711" s="2" t="s">
        <v>82</v>
      </c>
      <c r="BG3711" s="2"/>
      <c r="BH3711" s="2"/>
      <c r="BI3711" s="2"/>
      <c r="BJ3711" s="2">
        <v>241</v>
      </c>
      <c r="BK3711" s="2" t="s">
        <v>82</v>
      </c>
      <c r="BL3711" s="2"/>
      <c r="BM3711" s="2">
        <v>241</v>
      </c>
      <c r="BN3711" s="2" t="s">
        <v>82</v>
      </c>
      <c r="BO3711" s="2"/>
      <c r="BP3711" s="2">
        <v>241</v>
      </c>
      <c r="BQ3711" s="2" t="s">
        <v>82</v>
      </c>
      <c r="BR3711" s="2"/>
      <c r="BS3711" s="3">
        <v>40429</v>
      </c>
      <c r="BT3711" s="4">
        <v>0.85061342592592604</v>
      </c>
    </row>
    <row r="3712" spans="1:72" x14ac:dyDescent="0.25">
      <c r="A3712" s="2">
        <v>5480</v>
      </c>
      <c r="B3712" s="2">
        <v>2010</v>
      </c>
      <c r="C3712" s="2" t="s">
        <v>72</v>
      </c>
      <c r="D3712" s="2" t="s">
        <v>73</v>
      </c>
      <c r="E3712" s="2"/>
      <c r="F3712" s="2">
        <v>673</v>
      </c>
      <c r="G3712" s="2" t="s">
        <v>11655</v>
      </c>
      <c r="H3712" s="2">
        <v>42</v>
      </c>
      <c r="I3712" s="2" t="s">
        <v>1096</v>
      </c>
      <c r="J3712" s="2">
        <v>657</v>
      </c>
      <c r="K3712" s="2" t="s">
        <v>11502</v>
      </c>
      <c r="L3712" s="2" t="s">
        <v>11656</v>
      </c>
      <c r="M3712" s="3">
        <v>40429</v>
      </c>
      <c r="N3712" s="2" t="s">
        <v>11820</v>
      </c>
      <c r="O3712" s="2"/>
      <c r="P3712" s="2"/>
      <c r="Q3712" s="2" t="str">
        <f>"360-A/10"</f>
        <v>360-A/10</v>
      </c>
      <c r="R3712" s="2" t="s">
        <v>601</v>
      </c>
      <c r="S3712" s="2" t="s">
        <v>601</v>
      </c>
      <c r="T3712" s="2">
        <v>1</v>
      </c>
      <c r="U3712" s="2" t="s">
        <v>79</v>
      </c>
      <c r="V3712" s="2">
        <v>1</v>
      </c>
      <c r="W3712" s="2" t="s">
        <v>80</v>
      </c>
      <c r="X3712" s="2">
        <v>12</v>
      </c>
      <c r="Y3712" s="2" t="s">
        <v>148</v>
      </c>
      <c r="Z3712" s="2">
        <v>1</v>
      </c>
      <c r="AA3712" s="2" t="s">
        <v>82</v>
      </c>
      <c r="AB3712" s="2">
        <v>6</v>
      </c>
      <c r="AC3712" s="2" t="s">
        <v>83</v>
      </c>
      <c r="AD3712" s="3">
        <v>40429</v>
      </c>
      <c r="AE3712" s="2"/>
      <c r="AF3712" s="3">
        <v>40429</v>
      </c>
      <c r="AG3712" s="4">
        <v>0.82638888888888884</v>
      </c>
      <c r="AH3712" s="2">
        <v>2</v>
      </c>
      <c r="AI3712" s="2" t="s">
        <v>84</v>
      </c>
      <c r="AJ3712" s="2">
        <v>12</v>
      </c>
      <c r="AK3712" s="2" t="s">
        <v>85</v>
      </c>
      <c r="AL3712" s="2">
        <v>22</v>
      </c>
      <c r="AM3712" s="2" t="s">
        <v>1853</v>
      </c>
      <c r="AN3712" s="2"/>
      <c r="AO3712" s="2" t="s">
        <v>11821</v>
      </c>
      <c r="AP3712" s="2">
        <v>11</v>
      </c>
      <c r="AQ3712" s="2" t="s">
        <v>82</v>
      </c>
      <c r="AR3712" s="2"/>
      <c r="AS3712" s="2"/>
      <c r="AT3712" s="2" t="s">
        <v>11822</v>
      </c>
      <c r="AU3712" s="2"/>
      <c r="AV3712" s="2"/>
      <c r="AW3712" s="2"/>
      <c r="AX3712" s="2"/>
      <c r="AY3712" s="2">
        <v>41</v>
      </c>
      <c r="AZ3712" s="2" t="s">
        <v>82</v>
      </c>
      <c r="BA3712" s="2">
        <v>41</v>
      </c>
      <c r="BB3712" s="2" t="s">
        <v>82</v>
      </c>
      <c r="BC3712" s="2">
        <v>41</v>
      </c>
      <c r="BD3712" s="2" t="s">
        <v>82</v>
      </c>
      <c r="BE3712" s="2">
        <v>13</v>
      </c>
      <c r="BF3712" s="2" t="s">
        <v>108</v>
      </c>
      <c r="BG3712" s="2">
        <v>1665</v>
      </c>
      <c r="BH3712" s="4">
        <v>0.72916666666666663</v>
      </c>
      <c r="BI3712" s="4">
        <v>0.64583333333333337</v>
      </c>
      <c r="BJ3712" s="2">
        <v>13</v>
      </c>
      <c r="BK3712" s="2" t="s">
        <v>91</v>
      </c>
      <c r="BL3712" s="2" t="s">
        <v>10512</v>
      </c>
      <c r="BM3712" s="2">
        <v>241</v>
      </c>
      <c r="BN3712" s="2" t="s">
        <v>82</v>
      </c>
      <c r="BO3712" s="2"/>
      <c r="BP3712" s="2">
        <v>13</v>
      </c>
      <c r="BQ3712" s="2" t="s">
        <v>91</v>
      </c>
      <c r="BR3712" s="2" t="s">
        <v>564</v>
      </c>
      <c r="BS3712" s="3">
        <v>40429</v>
      </c>
      <c r="BT3712" s="4">
        <v>0.93473379629629638</v>
      </c>
    </row>
    <row r="3713" spans="1:72" x14ac:dyDescent="0.25">
      <c r="A3713" s="2">
        <v>5481</v>
      </c>
      <c r="B3713" s="2">
        <v>2010</v>
      </c>
      <c r="C3713" s="2" t="s">
        <v>806</v>
      </c>
      <c r="D3713" s="2" t="s">
        <v>73</v>
      </c>
      <c r="E3713" s="2"/>
      <c r="F3713" s="2">
        <v>507</v>
      </c>
      <c r="G3713" s="2" t="s">
        <v>2475</v>
      </c>
      <c r="H3713" s="2">
        <v>57</v>
      </c>
      <c r="I3713" s="2" t="s">
        <v>3043</v>
      </c>
      <c r="J3713" s="2">
        <v>424</v>
      </c>
      <c r="K3713" s="2" t="s">
        <v>2476</v>
      </c>
      <c r="L3713" s="2" t="s">
        <v>2477</v>
      </c>
      <c r="M3713" s="3">
        <v>40430</v>
      </c>
      <c r="N3713" s="2" t="s">
        <v>2593</v>
      </c>
      <c r="O3713" s="2" t="s">
        <v>11823</v>
      </c>
      <c r="P3713" s="2">
        <v>16419</v>
      </c>
      <c r="Q3713" s="2" t="str">
        <f>"N/C"</f>
        <v>N/C</v>
      </c>
      <c r="R3713" s="2" t="s">
        <v>82</v>
      </c>
      <c r="S3713" s="2" t="s">
        <v>82</v>
      </c>
      <c r="T3713" s="2">
        <v>1</v>
      </c>
      <c r="U3713" s="2" t="s">
        <v>79</v>
      </c>
      <c r="V3713" s="2">
        <v>1</v>
      </c>
      <c r="W3713" s="2" t="s">
        <v>80</v>
      </c>
      <c r="X3713" s="2">
        <v>7</v>
      </c>
      <c r="Y3713" s="2" t="s">
        <v>1964</v>
      </c>
      <c r="Z3713" s="2">
        <v>1</v>
      </c>
      <c r="AA3713" s="2" t="s">
        <v>82</v>
      </c>
      <c r="AB3713" s="2">
        <v>9</v>
      </c>
      <c r="AC3713" s="2" t="s">
        <v>124</v>
      </c>
      <c r="AD3713" s="3">
        <v>40428</v>
      </c>
      <c r="AE3713" s="4">
        <v>0.92708333333333337</v>
      </c>
      <c r="AF3713" s="2"/>
      <c r="AG3713" s="2"/>
      <c r="AH3713" s="2">
        <v>3</v>
      </c>
      <c r="AI3713" s="2" t="s">
        <v>214</v>
      </c>
      <c r="AJ3713" s="2">
        <v>13</v>
      </c>
      <c r="AK3713" s="2" t="s">
        <v>214</v>
      </c>
      <c r="AL3713" s="2">
        <v>23</v>
      </c>
      <c r="AM3713" s="2" t="s">
        <v>251</v>
      </c>
      <c r="AN3713" s="2"/>
      <c r="AO3713" s="2" t="s">
        <v>11824</v>
      </c>
      <c r="AP3713" s="2">
        <v>11</v>
      </c>
      <c r="AQ3713" s="2" t="s">
        <v>82</v>
      </c>
      <c r="AR3713" s="2"/>
      <c r="AS3713" s="2"/>
      <c r="AT3713" s="2" t="s">
        <v>11825</v>
      </c>
      <c r="AU3713" s="2"/>
      <c r="AV3713" s="2">
        <v>1</v>
      </c>
      <c r="AW3713" s="2"/>
      <c r="AX3713" s="2"/>
      <c r="AY3713" s="2">
        <v>41</v>
      </c>
      <c r="AZ3713" s="2" t="s">
        <v>82</v>
      </c>
      <c r="BA3713" s="2">
        <v>41</v>
      </c>
      <c r="BB3713" s="2" t="s">
        <v>82</v>
      </c>
      <c r="BC3713" s="2">
        <v>41</v>
      </c>
      <c r="BD3713" s="2" t="s">
        <v>82</v>
      </c>
      <c r="BE3713" s="2">
        <v>41</v>
      </c>
      <c r="BF3713" s="2" t="s">
        <v>82</v>
      </c>
      <c r="BG3713" s="2"/>
      <c r="BH3713" s="2"/>
      <c r="BI3713" s="2"/>
      <c r="BJ3713" s="2">
        <v>241</v>
      </c>
      <c r="BK3713" s="2" t="s">
        <v>82</v>
      </c>
      <c r="BL3713" s="2"/>
      <c r="BM3713" s="2">
        <v>241</v>
      </c>
      <c r="BN3713" s="2" t="s">
        <v>82</v>
      </c>
      <c r="BO3713" s="2"/>
      <c r="BP3713" s="2">
        <v>241</v>
      </c>
      <c r="BQ3713" s="2" t="s">
        <v>82</v>
      </c>
      <c r="BR3713" s="2"/>
      <c r="BS3713" s="3">
        <v>40430</v>
      </c>
      <c r="BT3713" s="4">
        <v>1.9930555555555556E-2</v>
      </c>
    </row>
    <row r="3714" spans="1:72" x14ac:dyDescent="0.25">
      <c r="A3714" s="2">
        <v>5482</v>
      </c>
      <c r="B3714" s="2">
        <v>2010</v>
      </c>
      <c r="C3714" s="2" t="s">
        <v>377</v>
      </c>
      <c r="D3714" s="2" t="s">
        <v>73</v>
      </c>
      <c r="E3714" s="2"/>
      <c r="F3714" s="2">
        <v>426</v>
      </c>
      <c r="G3714" s="2" t="s">
        <v>378</v>
      </c>
      <c r="H3714" s="2">
        <v>42</v>
      </c>
      <c r="I3714" s="2" t="s">
        <v>1096</v>
      </c>
      <c r="J3714" s="2">
        <v>311</v>
      </c>
      <c r="K3714" s="2" t="s">
        <v>379</v>
      </c>
      <c r="L3714" s="2" t="s">
        <v>380</v>
      </c>
      <c r="M3714" s="3">
        <v>40430</v>
      </c>
      <c r="N3714" s="2" t="s">
        <v>5164</v>
      </c>
      <c r="O3714" s="2"/>
      <c r="P3714" s="2"/>
      <c r="Q3714" s="2" t="str">
        <f>"239-C/10"</f>
        <v>239-C/10</v>
      </c>
      <c r="R3714" s="2" t="s">
        <v>4428</v>
      </c>
      <c r="S3714" s="2"/>
      <c r="T3714" s="2">
        <v>1</v>
      </c>
      <c r="U3714" s="2" t="s">
        <v>79</v>
      </c>
      <c r="V3714" s="2">
        <v>1</v>
      </c>
      <c r="W3714" s="2" t="s">
        <v>80</v>
      </c>
      <c r="X3714" s="2">
        <v>1</v>
      </c>
      <c r="Y3714" s="2" t="s">
        <v>81</v>
      </c>
      <c r="Z3714" s="2">
        <v>1</v>
      </c>
      <c r="AA3714" s="2" t="s">
        <v>82</v>
      </c>
      <c r="AB3714" s="2">
        <v>9</v>
      </c>
      <c r="AC3714" s="2" t="s">
        <v>124</v>
      </c>
      <c r="AD3714" s="3">
        <v>40429</v>
      </c>
      <c r="AE3714" s="4">
        <v>0.65972222222222221</v>
      </c>
      <c r="AF3714" s="2"/>
      <c r="AG3714" s="2"/>
      <c r="AH3714" s="2">
        <v>2</v>
      </c>
      <c r="AI3714" s="2" t="s">
        <v>84</v>
      </c>
      <c r="AJ3714" s="2">
        <v>9</v>
      </c>
      <c r="AK3714" s="2" t="s">
        <v>103</v>
      </c>
      <c r="AL3714" s="2">
        <v>29</v>
      </c>
      <c r="AM3714" s="2" t="s">
        <v>5416</v>
      </c>
      <c r="AN3714" s="2"/>
      <c r="AO3714" s="2" t="s">
        <v>4220</v>
      </c>
      <c r="AP3714" s="2">
        <v>11</v>
      </c>
      <c r="AQ3714" s="2" t="s">
        <v>82</v>
      </c>
      <c r="AR3714" s="2"/>
      <c r="AS3714" s="2"/>
      <c r="AT3714" s="2" t="s">
        <v>11826</v>
      </c>
      <c r="AU3714" s="2"/>
      <c r="AV3714" s="2"/>
      <c r="AW3714" s="2"/>
      <c r="AX3714" s="2"/>
      <c r="AY3714" s="2">
        <v>41</v>
      </c>
      <c r="AZ3714" s="2" t="s">
        <v>82</v>
      </c>
      <c r="BA3714" s="2">
        <v>41</v>
      </c>
      <c r="BB3714" s="2" t="s">
        <v>82</v>
      </c>
      <c r="BC3714" s="2">
        <v>41</v>
      </c>
      <c r="BD3714" s="2" t="s">
        <v>82</v>
      </c>
      <c r="BE3714" s="2">
        <v>41</v>
      </c>
      <c r="BF3714" s="2" t="s">
        <v>82</v>
      </c>
      <c r="BG3714" s="2"/>
      <c r="BH3714" s="2"/>
      <c r="BI3714" s="2"/>
      <c r="BJ3714" s="2">
        <v>241</v>
      </c>
      <c r="BK3714" s="2" t="s">
        <v>82</v>
      </c>
      <c r="BL3714" s="2"/>
      <c r="BM3714" s="2">
        <v>241</v>
      </c>
      <c r="BN3714" s="2" t="s">
        <v>82</v>
      </c>
      <c r="BO3714" s="2"/>
      <c r="BP3714" s="2">
        <v>241</v>
      </c>
      <c r="BQ3714" s="2" t="s">
        <v>82</v>
      </c>
      <c r="BR3714" s="2"/>
      <c r="BS3714" s="3">
        <v>40430</v>
      </c>
      <c r="BT3714" s="4">
        <v>2.2766203703703702E-2</v>
      </c>
    </row>
    <row r="3715" spans="1:72" x14ac:dyDescent="0.25">
      <c r="A3715" s="2">
        <v>5483</v>
      </c>
      <c r="B3715" s="2">
        <v>2010</v>
      </c>
      <c r="C3715" s="2" t="s">
        <v>171</v>
      </c>
      <c r="D3715" s="2" t="s">
        <v>122</v>
      </c>
      <c r="E3715" s="2" t="s">
        <v>11827</v>
      </c>
      <c r="F3715" s="2">
        <v>523</v>
      </c>
      <c r="G3715" s="2" t="s">
        <v>11792</v>
      </c>
      <c r="H3715" s="2">
        <v>17</v>
      </c>
      <c r="I3715" s="2" t="s">
        <v>3602</v>
      </c>
      <c r="J3715" s="2">
        <v>164</v>
      </c>
      <c r="K3715" s="2" t="s">
        <v>3254</v>
      </c>
      <c r="L3715" s="2" t="s">
        <v>946</v>
      </c>
      <c r="M3715" s="3">
        <v>40430</v>
      </c>
      <c r="N3715" s="2" t="s">
        <v>11814</v>
      </c>
      <c r="O3715" s="2"/>
      <c r="P3715" s="2"/>
      <c r="Q3715" s="2" t="str">
        <f>"358-A/10"</f>
        <v>358-A/10</v>
      </c>
      <c r="R3715" s="2" t="s">
        <v>489</v>
      </c>
      <c r="S3715" s="2"/>
      <c r="T3715" s="2">
        <v>1</v>
      </c>
      <c r="U3715" s="2" t="s">
        <v>79</v>
      </c>
      <c r="V3715" s="2">
        <v>1</v>
      </c>
      <c r="W3715" s="2" t="s">
        <v>80</v>
      </c>
      <c r="X3715" s="2">
        <v>1</v>
      </c>
      <c r="Y3715" s="2" t="s">
        <v>81</v>
      </c>
      <c r="Z3715" s="2">
        <v>10</v>
      </c>
      <c r="AA3715" s="2" t="s">
        <v>236</v>
      </c>
      <c r="AB3715" s="2">
        <v>1</v>
      </c>
      <c r="AC3715" s="2" t="s">
        <v>178</v>
      </c>
      <c r="AD3715" s="3">
        <v>40429</v>
      </c>
      <c r="AE3715" s="4">
        <v>0.47222222222222227</v>
      </c>
      <c r="AF3715" s="2"/>
      <c r="AG3715" s="2"/>
      <c r="AH3715" s="2">
        <v>2</v>
      </c>
      <c r="AI3715" s="2" t="s">
        <v>84</v>
      </c>
      <c r="AJ3715" s="2">
        <v>12</v>
      </c>
      <c r="AK3715" s="2" t="s">
        <v>85</v>
      </c>
      <c r="AL3715" s="2">
        <v>13</v>
      </c>
      <c r="AM3715" s="2" t="s">
        <v>117</v>
      </c>
      <c r="AN3715" s="2" t="s">
        <v>11828</v>
      </c>
      <c r="AO3715" s="2"/>
      <c r="AP3715" s="2">
        <v>11</v>
      </c>
      <c r="AQ3715" s="2" t="s">
        <v>82</v>
      </c>
      <c r="AR3715" s="2"/>
      <c r="AS3715" s="2"/>
      <c r="AT3715" s="2" t="s">
        <v>11829</v>
      </c>
      <c r="AU3715" s="2">
        <v>1</v>
      </c>
      <c r="AV3715" s="2"/>
      <c r="AW3715" s="2"/>
      <c r="AX3715" s="2"/>
      <c r="AY3715" s="2">
        <v>41</v>
      </c>
      <c r="AZ3715" s="2" t="s">
        <v>82</v>
      </c>
      <c r="BA3715" s="2">
        <v>41</v>
      </c>
      <c r="BB3715" s="2" t="s">
        <v>82</v>
      </c>
      <c r="BC3715" s="2">
        <v>41</v>
      </c>
      <c r="BD3715" s="2" t="s">
        <v>82</v>
      </c>
      <c r="BE3715" s="2">
        <v>48</v>
      </c>
      <c r="BF3715" s="2" t="s">
        <v>1123</v>
      </c>
      <c r="BG3715" s="2">
        <v>860</v>
      </c>
      <c r="BH3715" s="4">
        <v>0.66666666666666663</v>
      </c>
      <c r="BI3715" s="4">
        <v>0.4375</v>
      </c>
      <c r="BJ3715" s="2">
        <v>13</v>
      </c>
      <c r="BK3715" s="2" t="s">
        <v>91</v>
      </c>
      <c r="BL3715" s="2" t="s">
        <v>185</v>
      </c>
      <c r="BM3715" s="2">
        <v>241</v>
      </c>
      <c r="BN3715" s="2" t="s">
        <v>82</v>
      </c>
      <c r="BO3715" s="2"/>
      <c r="BP3715" s="2">
        <v>13</v>
      </c>
      <c r="BQ3715" s="2" t="s">
        <v>91</v>
      </c>
      <c r="BR3715" s="2" t="s">
        <v>332</v>
      </c>
      <c r="BS3715" s="3">
        <v>40430</v>
      </c>
      <c r="BT3715" s="4">
        <v>5.019675925925926E-2</v>
      </c>
    </row>
    <row r="3716" spans="1:72" x14ac:dyDescent="0.25">
      <c r="A3716" s="2">
        <v>5484</v>
      </c>
      <c r="B3716" s="2">
        <v>2010</v>
      </c>
      <c r="C3716" s="2" t="s">
        <v>11830</v>
      </c>
      <c r="D3716" s="2" t="s">
        <v>122</v>
      </c>
      <c r="E3716" s="2" t="s">
        <v>11831</v>
      </c>
      <c r="F3716" s="2">
        <v>167</v>
      </c>
      <c r="G3716" s="2" t="s">
        <v>11567</v>
      </c>
      <c r="H3716" s="2">
        <v>138</v>
      </c>
      <c r="I3716" s="2" t="s">
        <v>11568</v>
      </c>
      <c r="J3716" s="2">
        <v>173</v>
      </c>
      <c r="K3716" s="2" t="s">
        <v>11569</v>
      </c>
      <c r="L3716" s="2" t="s">
        <v>11570</v>
      </c>
      <c r="M3716" s="3">
        <v>40430</v>
      </c>
      <c r="N3716" s="2" t="s">
        <v>11817</v>
      </c>
      <c r="O3716" s="2"/>
      <c r="P3716" s="2"/>
      <c r="Q3716" s="2" t="str">
        <f>"359-A/10"</f>
        <v>359-A/10</v>
      </c>
      <c r="R3716" s="2" t="s">
        <v>4173</v>
      </c>
      <c r="S3716" s="2"/>
      <c r="T3716" s="2">
        <v>1</v>
      </c>
      <c r="U3716" s="2" t="s">
        <v>79</v>
      </c>
      <c r="V3716" s="2">
        <v>1</v>
      </c>
      <c r="W3716" s="2" t="s">
        <v>80</v>
      </c>
      <c r="X3716" s="2">
        <v>1</v>
      </c>
      <c r="Y3716" s="2" t="s">
        <v>81</v>
      </c>
      <c r="Z3716" s="2">
        <v>10</v>
      </c>
      <c r="AA3716" s="2" t="s">
        <v>236</v>
      </c>
      <c r="AB3716" s="2">
        <v>9</v>
      </c>
      <c r="AC3716" s="2" t="s">
        <v>124</v>
      </c>
      <c r="AD3716" s="3">
        <v>40429</v>
      </c>
      <c r="AE3716" s="4">
        <v>0.47222222222222227</v>
      </c>
      <c r="AF3716" s="2"/>
      <c r="AG3716" s="2"/>
      <c r="AH3716" s="2">
        <v>2</v>
      </c>
      <c r="AI3716" s="2" t="s">
        <v>84</v>
      </c>
      <c r="AJ3716" s="2">
        <v>12</v>
      </c>
      <c r="AK3716" s="2" t="s">
        <v>85</v>
      </c>
      <c r="AL3716" s="2">
        <v>13</v>
      </c>
      <c r="AM3716" s="2" t="s">
        <v>117</v>
      </c>
      <c r="AN3716" s="2" t="s">
        <v>11832</v>
      </c>
      <c r="AO3716" s="2"/>
      <c r="AP3716" s="2">
        <v>11</v>
      </c>
      <c r="AQ3716" s="2" t="s">
        <v>82</v>
      </c>
      <c r="AR3716" s="2"/>
      <c r="AS3716" s="2"/>
      <c r="AT3716" s="2" t="s">
        <v>11833</v>
      </c>
      <c r="AU3716" s="2">
        <v>1</v>
      </c>
      <c r="AV3716" s="2"/>
      <c r="AW3716" s="2"/>
      <c r="AX3716" s="2"/>
      <c r="AY3716" s="2">
        <v>41</v>
      </c>
      <c r="AZ3716" s="2" t="s">
        <v>82</v>
      </c>
      <c r="BA3716" s="2">
        <v>41</v>
      </c>
      <c r="BB3716" s="2" t="s">
        <v>82</v>
      </c>
      <c r="BC3716" s="2">
        <v>41</v>
      </c>
      <c r="BD3716" s="2" t="s">
        <v>82</v>
      </c>
      <c r="BE3716" s="2">
        <v>48</v>
      </c>
      <c r="BF3716" s="2" t="s">
        <v>1123</v>
      </c>
      <c r="BG3716" s="2">
        <v>860</v>
      </c>
      <c r="BH3716" s="4">
        <v>0.66666666666666663</v>
      </c>
      <c r="BI3716" s="4">
        <v>0.4375</v>
      </c>
      <c r="BJ3716" s="2">
        <v>13</v>
      </c>
      <c r="BK3716" s="2" t="s">
        <v>91</v>
      </c>
      <c r="BL3716" s="2" t="s">
        <v>185</v>
      </c>
      <c r="BM3716" s="2">
        <v>241</v>
      </c>
      <c r="BN3716" s="2" t="s">
        <v>82</v>
      </c>
      <c r="BO3716" s="2"/>
      <c r="BP3716" s="2">
        <v>13</v>
      </c>
      <c r="BQ3716" s="2" t="s">
        <v>91</v>
      </c>
      <c r="BR3716" s="2" t="s">
        <v>332</v>
      </c>
      <c r="BS3716" s="3">
        <v>40430</v>
      </c>
      <c r="BT3716" s="4">
        <v>7.7175925925925926E-2</v>
      </c>
    </row>
    <row r="3717" spans="1:72" x14ac:dyDescent="0.25">
      <c r="A3717" s="2">
        <v>5488</v>
      </c>
      <c r="B3717" s="2">
        <v>2010</v>
      </c>
      <c r="C3717" s="2" t="s">
        <v>147</v>
      </c>
      <c r="D3717" s="2" t="s">
        <v>73</v>
      </c>
      <c r="E3717" s="2"/>
      <c r="F3717" s="2">
        <v>1</v>
      </c>
      <c r="G3717" s="2" t="s">
        <v>82</v>
      </c>
      <c r="H3717" s="2">
        <v>1</v>
      </c>
      <c r="I3717" s="2" t="s">
        <v>82</v>
      </c>
      <c r="J3717" s="2">
        <v>1</v>
      </c>
      <c r="K3717" s="2" t="s">
        <v>107</v>
      </c>
      <c r="L3717" s="2" t="s">
        <v>107</v>
      </c>
      <c r="M3717" s="3">
        <v>40430</v>
      </c>
      <c r="N3717" s="2" t="s">
        <v>82</v>
      </c>
      <c r="O3717" s="2" t="s">
        <v>82</v>
      </c>
      <c r="P3717" s="2" t="s">
        <v>1893</v>
      </c>
      <c r="Q3717" s="2" t="str">
        <f>"A. P Nº 0046/10"</f>
        <v>A. P Nº 0046/10</v>
      </c>
      <c r="R3717" s="2" t="s">
        <v>82</v>
      </c>
      <c r="S3717" s="2" t="s">
        <v>11834</v>
      </c>
      <c r="T3717" s="2">
        <v>2</v>
      </c>
      <c r="U3717" s="2" t="s">
        <v>123</v>
      </c>
      <c r="V3717" s="2">
        <v>1</v>
      </c>
      <c r="W3717" s="2" t="s">
        <v>80</v>
      </c>
      <c r="X3717" s="2">
        <v>12</v>
      </c>
      <c r="Y3717" s="2" t="s">
        <v>148</v>
      </c>
      <c r="Z3717" s="2">
        <v>1</v>
      </c>
      <c r="AA3717" s="2" t="s">
        <v>82</v>
      </c>
      <c r="AB3717" s="2">
        <v>9</v>
      </c>
      <c r="AC3717" s="2" t="s">
        <v>124</v>
      </c>
      <c r="AD3717" s="2"/>
      <c r="AE3717" s="2"/>
      <c r="AF3717" s="3">
        <v>40430</v>
      </c>
      <c r="AG3717" s="4">
        <v>0.53125</v>
      </c>
      <c r="AH3717" s="2">
        <v>6</v>
      </c>
      <c r="AI3717" s="2" t="s">
        <v>197</v>
      </c>
      <c r="AJ3717" s="2">
        <v>61</v>
      </c>
      <c r="AK3717" s="2" t="s">
        <v>686</v>
      </c>
      <c r="AL3717" s="2">
        <v>19</v>
      </c>
      <c r="AM3717" s="2" t="s">
        <v>107</v>
      </c>
      <c r="AN3717" s="2" t="s">
        <v>107</v>
      </c>
      <c r="AO3717" s="2" t="s">
        <v>107</v>
      </c>
      <c r="AP3717" s="2">
        <v>11</v>
      </c>
      <c r="AQ3717" s="2" t="s">
        <v>82</v>
      </c>
      <c r="AR3717" s="2"/>
      <c r="AS3717" s="2"/>
      <c r="AT3717" s="2" t="s">
        <v>11835</v>
      </c>
      <c r="AU3717" s="2"/>
      <c r="AV3717" s="2"/>
      <c r="AW3717" s="2"/>
      <c r="AX3717" s="2"/>
      <c r="AY3717" s="2">
        <v>41</v>
      </c>
      <c r="AZ3717" s="2" t="s">
        <v>82</v>
      </c>
      <c r="BA3717" s="2">
        <v>41</v>
      </c>
      <c r="BB3717" s="2" t="s">
        <v>82</v>
      </c>
      <c r="BC3717" s="2">
        <v>41</v>
      </c>
      <c r="BD3717" s="2" t="s">
        <v>82</v>
      </c>
      <c r="BE3717" s="2">
        <v>41</v>
      </c>
      <c r="BF3717" s="2" t="s">
        <v>82</v>
      </c>
      <c r="BG3717" s="2"/>
      <c r="BH3717" s="2"/>
      <c r="BI3717" s="2"/>
      <c r="BJ3717" s="2">
        <v>241</v>
      </c>
      <c r="BK3717" s="2" t="s">
        <v>82</v>
      </c>
      <c r="BL3717" s="2"/>
      <c r="BM3717" s="2">
        <v>241</v>
      </c>
      <c r="BN3717" s="2" t="s">
        <v>82</v>
      </c>
      <c r="BO3717" s="2"/>
      <c r="BP3717" s="2">
        <v>241</v>
      </c>
      <c r="BQ3717" s="2" t="s">
        <v>82</v>
      </c>
      <c r="BR3717" s="2"/>
      <c r="BS3717" s="3">
        <v>40430</v>
      </c>
      <c r="BT3717" s="4">
        <v>0.50601851851851853</v>
      </c>
    </row>
    <row r="3718" spans="1:72" x14ac:dyDescent="0.25">
      <c r="A3718" s="2">
        <v>5490</v>
      </c>
      <c r="B3718" s="2">
        <v>2010</v>
      </c>
      <c r="C3718" s="2" t="s">
        <v>806</v>
      </c>
      <c r="D3718" s="2" t="s">
        <v>122</v>
      </c>
      <c r="E3718" s="2"/>
      <c r="F3718" s="2">
        <v>507</v>
      </c>
      <c r="G3718" s="2" t="s">
        <v>2475</v>
      </c>
      <c r="H3718" s="2">
        <v>89</v>
      </c>
      <c r="I3718" s="2" t="s">
        <v>5137</v>
      </c>
      <c r="J3718" s="2">
        <v>424</v>
      </c>
      <c r="K3718" s="2" t="s">
        <v>2476</v>
      </c>
      <c r="L3718" s="2" t="s">
        <v>2477</v>
      </c>
      <c r="M3718" s="3">
        <v>40430</v>
      </c>
      <c r="N3718" s="2" t="s">
        <v>2478</v>
      </c>
      <c r="O3718" s="2" t="s">
        <v>11836</v>
      </c>
      <c r="P3718" s="2">
        <v>16419</v>
      </c>
      <c r="Q3718" s="2" t="str">
        <f>"008/10"</f>
        <v>008/10</v>
      </c>
      <c r="R3718" s="2" t="s">
        <v>82</v>
      </c>
      <c r="S3718" s="2" t="s">
        <v>82</v>
      </c>
      <c r="T3718" s="2">
        <v>1</v>
      </c>
      <c r="U3718" s="2" t="s">
        <v>79</v>
      </c>
      <c r="V3718" s="2">
        <v>1</v>
      </c>
      <c r="W3718" s="2" t="s">
        <v>80</v>
      </c>
      <c r="X3718" s="2">
        <v>7</v>
      </c>
      <c r="Y3718" s="2" t="s">
        <v>1964</v>
      </c>
      <c r="Z3718" s="2">
        <v>1</v>
      </c>
      <c r="AA3718" s="2" t="s">
        <v>82</v>
      </c>
      <c r="AB3718" s="2">
        <v>9</v>
      </c>
      <c r="AC3718" s="2" t="s">
        <v>124</v>
      </c>
      <c r="AD3718" s="3">
        <v>40428</v>
      </c>
      <c r="AE3718" s="4">
        <v>0.92708333333333337</v>
      </c>
      <c r="AF3718" s="2"/>
      <c r="AG3718" s="2"/>
      <c r="AH3718" s="2">
        <v>3</v>
      </c>
      <c r="AI3718" s="2" t="s">
        <v>214</v>
      </c>
      <c r="AJ3718" s="2">
        <v>18</v>
      </c>
      <c r="AK3718" s="2" t="s">
        <v>4469</v>
      </c>
      <c r="AL3718" s="2">
        <v>23</v>
      </c>
      <c r="AM3718" s="2" t="s">
        <v>251</v>
      </c>
      <c r="AN3718" s="2" t="s">
        <v>607</v>
      </c>
      <c r="AO3718" s="2" t="s">
        <v>11837</v>
      </c>
      <c r="AP3718" s="2">
        <v>11</v>
      </c>
      <c r="AQ3718" s="2" t="s">
        <v>82</v>
      </c>
      <c r="AR3718" s="2"/>
      <c r="AS3718" s="2"/>
      <c r="AT3718" s="2" t="s">
        <v>11838</v>
      </c>
      <c r="AU3718" s="2">
        <v>1</v>
      </c>
      <c r="AV3718" s="2"/>
      <c r="AW3718" s="2"/>
      <c r="AX3718" s="2"/>
      <c r="AY3718" s="2">
        <v>41</v>
      </c>
      <c r="AZ3718" s="2" t="s">
        <v>82</v>
      </c>
      <c r="BA3718" s="2">
        <v>41</v>
      </c>
      <c r="BB3718" s="2" t="s">
        <v>82</v>
      </c>
      <c r="BC3718" s="2">
        <v>41</v>
      </c>
      <c r="BD3718" s="2" t="s">
        <v>82</v>
      </c>
      <c r="BE3718" s="2">
        <v>41</v>
      </c>
      <c r="BF3718" s="2" t="s">
        <v>82</v>
      </c>
      <c r="BG3718" s="2"/>
      <c r="BH3718" s="2"/>
      <c r="BI3718" s="2"/>
      <c r="BJ3718" s="2">
        <v>241</v>
      </c>
      <c r="BK3718" s="2" t="s">
        <v>82</v>
      </c>
      <c r="BL3718" s="2"/>
      <c r="BM3718" s="2">
        <v>241</v>
      </c>
      <c r="BN3718" s="2" t="s">
        <v>82</v>
      </c>
      <c r="BO3718" s="2"/>
      <c r="BP3718" s="2">
        <v>241</v>
      </c>
      <c r="BQ3718" s="2" t="s">
        <v>82</v>
      </c>
      <c r="BR3718" s="2"/>
      <c r="BS3718" s="3">
        <v>40430</v>
      </c>
      <c r="BT3718" s="4">
        <v>0.52385416666666662</v>
      </c>
    </row>
    <row r="3719" spans="1:72" x14ac:dyDescent="0.25">
      <c r="A3719" s="2">
        <v>5492</v>
      </c>
      <c r="B3719" s="2">
        <v>2010</v>
      </c>
      <c r="C3719" s="2" t="s">
        <v>806</v>
      </c>
      <c r="D3719" s="2" t="s">
        <v>73</v>
      </c>
      <c r="E3719" s="2"/>
      <c r="F3719" s="2">
        <v>35</v>
      </c>
      <c r="G3719" s="2" t="s">
        <v>2057</v>
      </c>
      <c r="H3719" s="2">
        <v>89</v>
      </c>
      <c r="I3719" s="2" t="s">
        <v>5137</v>
      </c>
      <c r="J3719" s="2">
        <v>538</v>
      </c>
      <c r="K3719" s="2" t="s">
        <v>7264</v>
      </c>
      <c r="L3719" s="2" t="s">
        <v>7265</v>
      </c>
      <c r="M3719" s="3">
        <v>40430</v>
      </c>
      <c r="N3719" s="2" t="s">
        <v>3064</v>
      </c>
      <c r="O3719" s="2" t="s">
        <v>11839</v>
      </c>
      <c r="P3719" s="7">
        <v>12627</v>
      </c>
      <c r="Q3719" s="2" t="str">
        <f>"15/2010"</f>
        <v>15/2010</v>
      </c>
      <c r="R3719" s="2" t="s">
        <v>82</v>
      </c>
      <c r="S3719" s="2" t="s">
        <v>82</v>
      </c>
      <c r="T3719" s="2">
        <v>1</v>
      </c>
      <c r="U3719" s="2" t="s">
        <v>79</v>
      </c>
      <c r="V3719" s="2">
        <v>3</v>
      </c>
      <c r="W3719" s="2" t="s">
        <v>225</v>
      </c>
      <c r="X3719" s="2">
        <v>6</v>
      </c>
      <c r="Y3719" s="2" t="s">
        <v>249</v>
      </c>
      <c r="Z3719" s="2">
        <v>1</v>
      </c>
      <c r="AA3719" s="2" t="s">
        <v>82</v>
      </c>
      <c r="AB3719" s="2">
        <v>9</v>
      </c>
      <c r="AC3719" s="2" t="s">
        <v>124</v>
      </c>
      <c r="AD3719" s="3">
        <v>40430</v>
      </c>
      <c r="AE3719" s="4">
        <v>0.47916666666666669</v>
      </c>
      <c r="AF3719" s="2"/>
      <c r="AG3719" s="2"/>
      <c r="AH3719" s="2">
        <v>3</v>
      </c>
      <c r="AI3719" s="2" t="s">
        <v>214</v>
      </c>
      <c r="AJ3719" s="2">
        <v>14</v>
      </c>
      <c r="AK3719" s="2" t="s">
        <v>342</v>
      </c>
      <c r="AL3719" s="2">
        <v>23</v>
      </c>
      <c r="AM3719" s="2" t="s">
        <v>251</v>
      </c>
      <c r="AN3719" s="2" t="s">
        <v>11840</v>
      </c>
      <c r="AO3719" s="2" t="s">
        <v>82</v>
      </c>
      <c r="AP3719" s="2">
        <v>11</v>
      </c>
      <c r="AQ3719" s="2" t="s">
        <v>82</v>
      </c>
      <c r="AR3719" s="2"/>
      <c r="AS3719" s="2"/>
      <c r="AT3719" s="2" t="s">
        <v>11841</v>
      </c>
      <c r="AU3719" s="2"/>
      <c r="AV3719" s="2"/>
      <c r="AW3719" s="2"/>
      <c r="AX3719" s="2"/>
      <c r="AY3719" s="2">
        <v>41</v>
      </c>
      <c r="AZ3719" s="2" t="s">
        <v>82</v>
      </c>
      <c r="BA3719" s="2">
        <v>41</v>
      </c>
      <c r="BB3719" s="2" t="s">
        <v>82</v>
      </c>
      <c r="BC3719" s="2">
        <v>41</v>
      </c>
      <c r="BD3719" s="2" t="s">
        <v>82</v>
      </c>
      <c r="BE3719" s="2">
        <v>41</v>
      </c>
      <c r="BF3719" s="2" t="s">
        <v>82</v>
      </c>
      <c r="BG3719" s="2"/>
      <c r="BH3719" s="2"/>
      <c r="BI3719" s="2"/>
      <c r="BJ3719" s="2">
        <v>241</v>
      </c>
      <c r="BK3719" s="2" t="s">
        <v>82</v>
      </c>
      <c r="BL3719" s="2"/>
      <c r="BM3719" s="2">
        <v>241</v>
      </c>
      <c r="BN3719" s="2" t="s">
        <v>82</v>
      </c>
      <c r="BO3719" s="2"/>
      <c r="BP3719" s="2">
        <v>241</v>
      </c>
      <c r="BQ3719" s="2" t="s">
        <v>82</v>
      </c>
      <c r="BR3719" s="2"/>
      <c r="BS3719" s="3">
        <v>40430</v>
      </c>
      <c r="BT3719" s="4">
        <v>0.58425925925925926</v>
      </c>
    </row>
    <row r="3720" spans="1:72" x14ac:dyDescent="0.25">
      <c r="A3720" s="2">
        <v>5494</v>
      </c>
      <c r="B3720" s="2">
        <v>2010</v>
      </c>
      <c r="C3720" s="2" t="s">
        <v>171</v>
      </c>
      <c r="D3720" s="2" t="s">
        <v>73</v>
      </c>
      <c r="E3720" s="2" t="s">
        <v>11265</v>
      </c>
      <c r="F3720" s="2">
        <v>425</v>
      </c>
      <c r="G3720" s="2" t="s">
        <v>286</v>
      </c>
      <c r="H3720" s="2">
        <v>39</v>
      </c>
      <c r="I3720" s="2" t="s">
        <v>1117</v>
      </c>
      <c r="J3720" s="2">
        <v>310</v>
      </c>
      <c r="K3720" s="2" t="s">
        <v>288</v>
      </c>
      <c r="L3720" s="2" t="s">
        <v>289</v>
      </c>
      <c r="M3720" s="3">
        <v>40430</v>
      </c>
      <c r="N3720" s="2" t="s">
        <v>1882</v>
      </c>
      <c r="O3720" s="2" t="s">
        <v>11243</v>
      </c>
      <c r="P3720" s="2" t="s">
        <v>1688</v>
      </c>
      <c r="Q3720" s="2" t="str">
        <f>"101"</f>
        <v>101</v>
      </c>
      <c r="R3720" s="2" t="s">
        <v>318</v>
      </c>
      <c r="S3720" s="2"/>
      <c r="T3720" s="2">
        <v>1</v>
      </c>
      <c r="U3720" s="2" t="s">
        <v>79</v>
      </c>
      <c r="V3720" s="2">
        <v>3</v>
      </c>
      <c r="W3720" s="2" t="s">
        <v>225</v>
      </c>
      <c r="X3720" s="2">
        <v>5</v>
      </c>
      <c r="Y3720" s="2" t="s">
        <v>82</v>
      </c>
      <c r="Z3720" s="2">
        <v>1</v>
      </c>
      <c r="AA3720" s="2" t="s">
        <v>82</v>
      </c>
      <c r="AB3720" s="2">
        <v>9</v>
      </c>
      <c r="AC3720" s="2" t="s">
        <v>124</v>
      </c>
      <c r="AD3720" s="2"/>
      <c r="AE3720" s="2"/>
      <c r="AF3720" s="2"/>
      <c r="AG3720" s="2"/>
      <c r="AH3720" s="2">
        <v>4</v>
      </c>
      <c r="AI3720" s="2" t="s">
        <v>125</v>
      </c>
      <c r="AJ3720" s="2">
        <v>26</v>
      </c>
      <c r="AK3720" s="2" t="s">
        <v>293</v>
      </c>
      <c r="AL3720" s="2">
        <v>23</v>
      </c>
      <c r="AM3720" s="2" t="s">
        <v>251</v>
      </c>
      <c r="AN3720" s="2" t="s">
        <v>11842</v>
      </c>
      <c r="AO3720" s="2" t="s">
        <v>534</v>
      </c>
      <c r="AP3720" s="2">
        <v>11</v>
      </c>
      <c r="AQ3720" s="2" t="s">
        <v>82</v>
      </c>
      <c r="AR3720" s="2"/>
      <c r="AS3720" s="2"/>
      <c r="AT3720" s="2" t="s">
        <v>11843</v>
      </c>
      <c r="AU3720" s="2"/>
      <c r="AV3720" s="2"/>
      <c r="AW3720" s="2"/>
      <c r="AX3720" s="2"/>
      <c r="AY3720" s="2">
        <v>1</v>
      </c>
      <c r="AZ3720" s="2" t="s">
        <v>107</v>
      </c>
      <c r="BA3720" s="2">
        <v>1</v>
      </c>
      <c r="BB3720" s="2" t="s">
        <v>107</v>
      </c>
      <c r="BC3720" s="2">
        <v>1</v>
      </c>
      <c r="BD3720" s="2" t="s">
        <v>107</v>
      </c>
      <c r="BE3720" s="2">
        <v>1</v>
      </c>
      <c r="BF3720" s="2" t="s">
        <v>107</v>
      </c>
      <c r="BG3720" s="2"/>
      <c r="BH3720" s="2"/>
      <c r="BI3720" s="2"/>
      <c r="BJ3720" s="2">
        <v>242</v>
      </c>
      <c r="BK3720" s="2" t="s">
        <v>107</v>
      </c>
      <c r="BL3720" s="2"/>
      <c r="BM3720" s="2">
        <v>242</v>
      </c>
      <c r="BN3720" s="2" t="s">
        <v>107</v>
      </c>
      <c r="BO3720" s="2"/>
      <c r="BP3720" s="2">
        <v>242</v>
      </c>
      <c r="BQ3720" s="2" t="s">
        <v>107</v>
      </c>
      <c r="BR3720" s="2"/>
      <c r="BS3720" s="3">
        <v>40430</v>
      </c>
      <c r="BT3720" s="4">
        <v>0.62039351851851854</v>
      </c>
    </row>
    <row r="3721" spans="1:72" x14ac:dyDescent="0.25">
      <c r="A3721" s="2">
        <v>5495</v>
      </c>
      <c r="B3721" s="2">
        <v>2010</v>
      </c>
      <c r="C3721" s="2" t="s">
        <v>121</v>
      </c>
      <c r="D3721" s="2" t="s">
        <v>122</v>
      </c>
      <c r="E3721" s="2"/>
      <c r="F3721" s="2">
        <v>1</v>
      </c>
      <c r="G3721" s="2" t="s">
        <v>82</v>
      </c>
      <c r="H3721" s="2">
        <v>1</v>
      </c>
      <c r="I3721" s="2" t="s">
        <v>82</v>
      </c>
      <c r="J3721" s="2">
        <v>1</v>
      </c>
      <c r="K3721" s="2" t="s">
        <v>107</v>
      </c>
      <c r="L3721" s="2" t="s">
        <v>107</v>
      </c>
      <c r="M3721" s="3">
        <v>40430</v>
      </c>
      <c r="N3721" s="2"/>
      <c r="O3721" s="2"/>
      <c r="P3721" s="2"/>
      <c r="Q3721" s="2" t="str">
        <f>""</f>
        <v/>
      </c>
      <c r="R3721" s="2"/>
      <c r="S3721" s="2"/>
      <c r="T3721" s="2">
        <v>2</v>
      </c>
      <c r="U3721" s="2" t="s">
        <v>123</v>
      </c>
      <c r="V3721" s="2">
        <v>1</v>
      </c>
      <c r="W3721" s="2" t="s">
        <v>80</v>
      </c>
      <c r="X3721" s="2">
        <v>1</v>
      </c>
      <c r="Y3721" s="2" t="s">
        <v>81</v>
      </c>
      <c r="Z3721" s="2">
        <v>4</v>
      </c>
      <c r="AA3721" s="2" t="s">
        <v>182</v>
      </c>
      <c r="AB3721" s="2">
        <v>9</v>
      </c>
      <c r="AC3721" s="2" t="s">
        <v>124</v>
      </c>
      <c r="AD3721" s="3">
        <v>40430</v>
      </c>
      <c r="AE3721" s="2"/>
      <c r="AF3721" s="2"/>
      <c r="AG3721" s="2"/>
      <c r="AH3721" s="2">
        <v>5</v>
      </c>
      <c r="AI3721" s="2" t="s">
        <v>274</v>
      </c>
      <c r="AJ3721" s="2">
        <v>37</v>
      </c>
      <c r="AK3721" s="2" t="s">
        <v>497</v>
      </c>
      <c r="AL3721" s="2">
        <v>14</v>
      </c>
      <c r="AM3721" s="2" t="s">
        <v>216</v>
      </c>
      <c r="AN3721" s="2" t="s">
        <v>11844</v>
      </c>
      <c r="AO3721" s="2" t="s">
        <v>230</v>
      </c>
      <c r="AP3721" s="2">
        <v>11</v>
      </c>
      <c r="AQ3721" s="2" t="s">
        <v>82</v>
      </c>
      <c r="AR3721" s="2"/>
      <c r="AS3721" s="2"/>
      <c r="AT3721" s="2" t="s">
        <v>11845</v>
      </c>
      <c r="AU3721" s="2"/>
      <c r="AV3721" s="2"/>
      <c r="AW3721" s="2"/>
      <c r="AX3721" s="2"/>
      <c r="AY3721" s="2">
        <v>41</v>
      </c>
      <c r="AZ3721" s="2" t="s">
        <v>82</v>
      </c>
      <c r="BA3721" s="2">
        <v>41</v>
      </c>
      <c r="BB3721" s="2" t="s">
        <v>82</v>
      </c>
      <c r="BC3721" s="2">
        <v>41</v>
      </c>
      <c r="BD3721" s="2" t="s">
        <v>82</v>
      </c>
      <c r="BE3721" s="2">
        <v>42</v>
      </c>
      <c r="BF3721" s="2" t="s">
        <v>182</v>
      </c>
      <c r="BG3721" s="2" t="s">
        <v>6743</v>
      </c>
      <c r="BH3721" s="4">
        <v>0.56944444444444442</v>
      </c>
      <c r="BI3721" s="4">
        <v>0.51388888888888895</v>
      </c>
      <c r="BJ3721" s="2">
        <v>13</v>
      </c>
      <c r="BK3721" s="2" t="s">
        <v>91</v>
      </c>
      <c r="BL3721" s="2" t="s">
        <v>170</v>
      </c>
      <c r="BM3721" s="2">
        <v>241</v>
      </c>
      <c r="BN3721" s="2" t="s">
        <v>82</v>
      </c>
      <c r="BO3721" s="2"/>
      <c r="BP3721" s="2">
        <v>13</v>
      </c>
      <c r="BQ3721" s="2" t="s">
        <v>91</v>
      </c>
      <c r="BR3721" s="2"/>
      <c r="BS3721" s="3">
        <v>40430</v>
      </c>
      <c r="BT3721" s="4">
        <v>0.62231481481481488</v>
      </c>
    </row>
    <row r="3722" spans="1:72" x14ac:dyDescent="0.25">
      <c r="A3722" s="2">
        <v>5496</v>
      </c>
      <c r="B3722" s="2">
        <v>2010</v>
      </c>
      <c r="C3722" s="2" t="s">
        <v>171</v>
      </c>
      <c r="D3722" s="2" t="s">
        <v>73</v>
      </c>
      <c r="E3722" s="2"/>
      <c r="F3722" s="2">
        <v>338</v>
      </c>
      <c r="G3722" s="2" t="s">
        <v>4459</v>
      </c>
      <c r="H3722" s="2">
        <v>40</v>
      </c>
      <c r="I3722" s="2" t="s">
        <v>2101</v>
      </c>
      <c r="J3722" s="2">
        <v>309</v>
      </c>
      <c r="K3722" s="2" t="s">
        <v>268</v>
      </c>
      <c r="L3722" s="2" t="s">
        <v>269</v>
      </c>
      <c r="M3722" s="3">
        <v>40430</v>
      </c>
      <c r="N3722" s="2" t="s">
        <v>11846</v>
      </c>
      <c r="O3722" s="2" t="s">
        <v>11847</v>
      </c>
      <c r="P3722" s="2" t="s">
        <v>11848</v>
      </c>
      <c r="Q3722" s="2" t="str">
        <f>"0021/2010"</f>
        <v>0021/2010</v>
      </c>
      <c r="R3722" s="2"/>
      <c r="S3722" s="2"/>
      <c r="T3722" s="2">
        <v>1</v>
      </c>
      <c r="U3722" s="2" t="s">
        <v>79</v>
      </c>
      <c r="V3722" s="2">
        <v>3</v>
      </c>
      <c r="W3722" s="2" t="s">
        <v>225</v>
      </c>
      <c r="X3722" s="2">
        <v>6</v>
      </c>
      <c r="Y3722" s="2" t="s">
        <v>249</v>
      </c>
      <c r="Z3722" s="2">
        <v>1</v>
      </c>
      <c r="AA3722" s="2" t="s">
        <v>82</v>
      </c>
      <c r="AB3722" s="2">
        <v>9</v>
      </c>
      <c r="AC3722" s="2" t="s">
        <v>124</v>
      </c>
      <c r="AD3722" s="2"/>
      <c r="AE3722" s="2"/>
      <c r="AF3722" s="2"/>
      <c r="AG3722" s="2"/>
      <c r="AH3722" s="2">
        <v>5</v>
      </c>
      <c r="AI3722" s="2" t="s">
        <v>274</v>
      </c>
      <c r="AJ3722" s="2">
        <v>35</v>
      </c>
      <c r="AK3722" s="2" t="s">
        <v>275</v>
      </c>
      <c r="AL3722" s="2">
        <v>23</v>
      </c>
      <c r="AM3722" s="2" t="s">
        <v>251</v>
      </c>
      <c r="AN3722" s="2" t="s">
        <v>11849</v>
      </c>
      <c r="AO3722" s="2" t="s">
        <v>6998</v>
      </c>
      <c r="AP3722" s="2">
        <v>11</v>
      </c>
      <c r="AQ3722" s="2" t="s">
        <v>82</v>
      </c>
      <c r="AR3722" s="2"/>
      <c r="AS3722" s="2"/>
      <c r="AT3722" s="2" t="s">
        <v>11850</v>
      </c>
      <c r="AU3722" s="2"/>
      <c r="AV3722" s="2"/>
      <c r="AW3722" s="2"/>
      <c r="AX3722" s="2"/>
      <c r="AY3722" s="2">
        <v>1</v>
      </c>
      <c r="AZ3722" s="2" t="s">
        <v>107</v>
      </c>
      <c r="BA3722" s="2">
        <v>1</v>
      </c>
      <c r="BB3722" s="2" t="s">
        <v>107</v>
      </c>
      <c r="BC3722" s="2">
        <v>1</v>
      </c>
      <c r="BD3722" s="2" t="s">
        <v>107</v>
      </c>
      <c r="BE3722" s="2">
        <v>1</v>
      </c>
      <c r="BF3722" s="2" t="s">
        <v>107</v>
      </c>
      <c r="BG3722" s="2"/>
      <c r="BH3722" s="2"/>
      <c r="BI3722" s="2"/>
      <c r="BJ3722" s="2">
        <v>242</v>
      </c>
      <c r="BK3722" s="2" t="s">
        <v>107</v>
      </c>
      <c r="BL3722" s="2"/>
      <c r="BM3722" s="2">
        <v>242</v>
      </c>
      <c r="BN3722" s="2" t="s">
        <v>107</v>
      </c>
      <c r="BO3722" s="2"/>
      <c r="BP3722" s="2">
        <v>242</v>
      </c>
      <c r="BQ3722" s="2" t="s">
        <v>107</v>
      </c>
      <c r="BR3722" s="2"/>
      <c r="BS3722" s="3">
        <v>40430</v>
      </c>
      <c r="BT3722" s="4">
        <v>0.6271296296296297</v>
      </c>
    </row>
    <row r="3723" spans="1:72" x14ac:dyDescent="0.25">
      <c r="A3723" s="2">
        <v>5497</v>
      </c>
      <c r="B3723" s="2">
        <v>2010</v>
      </c>
      <c r="C3723" s="2" t="s">
        <v>1559</v>
      </c>
      <c r="D3723" s="2" t="s">
        <v>73</v>
      </c>
      <c r="E3723" s="2"/>
      <c r="F3723" s="2">
        <v>125</v>
      </c>
      <c r="G3723" s="2" t="s">
        <v>1483</v>
      </c>
      <c r="H3723" s="2">
        <v>47</v>
      </c>
      <c r="I3723" s="2" t="s">
        <v>1409</v>
      </c>
      <c r="J3723" s="2">
        <v>661</v>
      </c>
      <c r="K3723" s="2" t="s">
        <v>11851</v>
      </c>
      <c r="L3723" s="2" t="s">
        <v>11852</v>
      </c>
      <c r="M3723" s="3">
        <v>40430</v>
      </c>
      <c r="N3723" s="2" t="s">
        <v>2776</v>
      </c>
      <c r="O3723" s="2" t="s">
        <v>11853</v>
      </c>
      <c r="P3723" s="2" t="s">
        <v>11854</v>
      </c>
      <c r="Q3723" s="2" t="str">
        <f>""</f>
        <v/>
      </c>
      <c r="R3723" s="2"/>
      <c r="S3723" s="2"/>
      <c r="T3723" s="2">
        <v>1</v>
      </c>
      <c r="U3723" s="2" t="s">
        <v>79</v>
      </c>
      <c r="V3723" s="2">
        <v>3</v>
      </c>
      <c r="W3723" s="2" t="s">
        <v>225</v>
      </c>
      <c r="X3723" s="2">
        <v>6</v>
      </c>
      <c r="Y3723" s="2" t="s">
        <v>249</v>
      </c>
      <c r="Z3723" s="2">
        <v>1</v>
      </c>
      <c r="AA3723" s="2" t="s">
        <v>82</v>
      </c>
      <c r="AB3723" s="2">
        <v>9</v>
      </c>
      <c r="AC3723" s="2" t="s">
        <v>124</v>
      </c>
      <c r="AD3723" s="3">
        <v>40430</v>
      </c>
      <c r="AE3723" s="4">
        <v>0.55902777777777779</v>
      </c>
      <c r="AF3723" s="2"/>
      <c r="AG3723" s="2"/>
      <c r="AH3723" s="2">
        <v>6</v>
      </c>
      <c r="AI3723" s="2" t="s">
        <v>197</v>
      </c>
      <c r="AJ3723" s="2">
        <v>47</v>
      </c>
      <c r="AK3723" s="2" t="s">
        <v>250</v>
      </c>
      <c r="AL3723" s="2">
        <v>23</v>
      </c>
      <c r="AM3723" s="2" t="s">
        <v>251</v>
      </c>
      <c r="AN3723" s="2"/>
      <c r="AO3723" s="2" t="s">
        <v>11855</v>
      </c>
      <c r="AP3723" s="2">
        <v>11</v>
      </c>
      <c r="AQ3723" s="2" t="s">
        <v>82</v>
      </c>
      <c r="AR3723" s="2"/>
      <c r="AS3723" s="2"/>
      <c r="AT3723" s="2" t="s">
        <v>11856</v>
      </c>
      <c r="AU3723" s="2"/>
      <c r="AV3723" s="2"/>
      <c r="AW3723" s="2"/>
      <c r="AX3723" s="2"/>
      <c r="AY3723" s="2">
        <v>1</v>
      </c>
      <c r="AZ3723" s="2" t="s">
        <v>107</v>
      </c>
      <c r="BA3723" s="2">
        <v>1</v>
      </c>
      <c r="BB3723" s="2" t="s">
        <v>107</v>
      </c>
      <c r="BC3723" s="2">
        <v>1</v>
      </c>
      <c r="BD3723" s="2" t="s">
        <v>107</v>
      </c>
      <c r="BE3723" s="2">
        <v>1</v>
      </c>
      <c r="BF3723" s="2" t="s">
        <v>107</v>
      </c>
      <c r="BG3723" s="2"/>
      <c r="BH3723" s="2"/>
      <c r="BI3723" s="2"/>
      <c r="BJ3723" s="2">
        <v>242</v>
      </c>
      <c r="BK3723" s="2" t="s">
        <v>107</v>
      </c>
      <c r="BL3723" s="2"/>
      <c r="BM3723" s="2">
        <v>242</v>
      </c>
      <c r="BN3723" s="2" t="s">
        <v>107</v>
      </c>
      <c r="BO3723" s="2"/>
      <c r="BP3723" s="2">
        <v>242</v>
      </c>
      <c r="BQ3723" s="2" t="s">
        <v>107</v>
      </c>
      <c r="BR3723" s="2"/>
      <c r="BS3723" s="3">
        <v>40430</v>
      </c>
      <c r="BT3723" s="4">
        <v>0.64511574074074074</v>
      </c>
    </row>
    <row r="3724" spans="1:72" x14ac:dyDescent="0.25">
      <c r="A3724" s="2">
        <v>5498</v>
      </c>
      <c r="B3724" s="2">
        <v>2010</v>
      </c>
      <c r="C3724" s="2" t="s">
        <v>196</v>
      </c>
      <c r="D3724" s="2" t="s">
        <v>122</v>
      </c>
      <c r="E3724" s="2"/>
      <c r="F3724" s="2">
        <v>1</v>
      </c>
      <c r="G3724" s="2" t="s">
        <v>82</v>
      </c>
      <c r="H3724" s="2">
        <v>1</v>
      </c>
      <c r="I3724" s="2" t="s">
        <v>82</v>
      </c>
      <c r="J3724" s="2">
        <v>1</v>
      </c>
      <c r="K3724" s="2" t="s">
        <v>107</v>
      </c>
      <c r="L3724" s="2" t="s">
        <v>107</v>
      </c>
      <c r="M3724" s="3">
        <v>40430</v>
      </c>
      <c r="N3724" s="2"/>
      <c r="O3724" s="2"/>
      <c r="P3724" s="2"/>
      <c r="Q3724" s="2" t="str">
        <f>""</f>
        <v/>
      </c>
      <c r="R3724" s="2"/>
      <c r="S3724" s="2"/>
      <c r="T3724" s="2">
        <v>2</v>
      </c>
      <c r="U3724" s="2" t="s">
        <v>123</v>
      </c>
      <c r="V3724" s="2">
        <v>1</v>
      </c>
      <c r="W3724" s="2" t="s">
        <v>80</v>
      </c>
      <c r="X3724" s="2">
        <v>5</v>
      </c>
      <c r="Y3724" s="2" t="s">
        <v>82</v>
      </c>
      <c r="Z3724" s="2">
        <v>1</v>
      </c>
      <c r="AA3724" s="2" t="s">
        <v>82</v>
      </c>
      <c r="AB3724" s="2">
        <v>9</v>
      </c>
      <c r="AC3724" s="2" t="s">
        <v>124</v>
      </c>
      <c r="AD3724" s="3">
        <v>40430</v>
      </c>
      <c r="AE3724" s="4">
        <v>0.52083333333333337</v>
      </c>
      <c r="AF3724" s="2"/>
      <c r="AG3724" s="2"/>
      <c r="AH3724" s="2">
        <v>2</v>
      </c>
      <c r="AI3724" s="2" t="s">
        <v>84</v>
      </c>
      <c r="AJ3724" s="2">
        <v>12</v>
      </c>
      <c r="AK3724" s="2" t="s">
        <v>85</v>
      </c>
      <c r="AL3724" s="2">
        <v>18</v>
      </c>
      <c r="AM3724" s="2" t="s">
        <v>82</v>
      </c>
      <c r="AN3724" s="2"/>
      <c r="AO3724" s="2" t="s">
        <v>992</v>
      </c>
      <c r="AP3724" s="2">
        <v>11</v>
      </c>
      <c r="AQ3724" s="2" t="s">
        <v>82</v>
      </c>
      <c r="AR3724" s="2"/>
      <c r="AS3724" s="2"/>
      <c r="AT3724" s="2" t="s">
        <v>11857</v>
      </c>
      <c r="AU3724" s="2"/>
      <c r="AV3724" s="2"/>
      <c r="AW3724" s="2"/>
      <c r="AX3724" s="2"/>
      <c r="AY3724" s="2">
        <v>1</v>
      </c>
      <c r="AZ3724" s="2" t="s">
        <v>107</v>
      </c>
      <c r="BA3724" s="2">
        <v>1</v>
      </c>
      <c r="BB3724" s="2" t="s">
        <v>107</v>
      </c>
      <c r="BC3724" s="2">
        <v>1</v>
      </c>
      <c r="BD3724" s="2" t="s">
        <v>107</v>
      </c>
      <c r="BE3724" s="2">
        <v>1</v>
      </c>
      <c r="BF3724" s="2" t="s">
        <v>107</v>
      </c>
      <c r="BG3724" s="2"/>
      <c r="BH3724" s="4">
        <v>0.62361111111111112</v>
      </c>
      <c r="BI3724" s="4">
        <v>0.63402777777777775</v>
      </c>
      <c r="BJ3724" s="2">
        <v>13</v>
      </c>
      <c r="BK3724" s="2" t="s">
        <v>91</v>
      </c>
      <c r="BL3724" s="2" t="s">
        <v>185</v>
      </c>
      <c r="BM3724" s="2">
        <v>242</v>
      </c>
      <c r="BN3724" s="2" t="s">
        <v>107</v>
      </c>
      <c r="BO3724" s="2"/>
      <c r="BP3724" s="2">
        <v>13</v>
      </c>
      <c r="BQ3724" s="2" t="s">
        <v>91</v>
      </c>
      <c r="BR3724" s="2" t="s">
        <v>11858</v>
      </c>
      <c r="BS3724" s="3">
        <v>40430</v>
      </c>
      <c r="BT3724" s="4">
        <v>0.67866898148148147</v>
      </c>
    </row>
    <row r="3725" spans="1:72" x14ac:dyDescent="0.25">
      <c r="A3725" s="2">
        <v>5500</v>
      </c>
      <c r="B3725" s="2">
        <v>2010</v>
      </c>
      <c r="C3725" s="2" t="s">
        <v>4543</v>
      </c>
      <c r="D3725" s="2" t="s">
        <v>122</v>
      </c>
      <c r="E3725" s="2"/>
      <c r="F3725" s="2">
        <v>675</v>
      </c>
      <c r="G3725" s="2" t="s">
        <v>11859</v>
      </c>
      <c r="H3725" s="2">
        <v>82</v>
      </c>
      <c r="I3725" s="2" t="s">
        <v>6297</v>
      </c>
      <c r="J3725" s="2">
        <v>164</v>
      </c>
      <c r="K3725" s="2" t="s">
        <v>3254</v>
      </c>
      <c r="L3725" s="2" t="s">
        <v>946</v>
      </c>
      <c r="M3725" s="3">
        <v>40430</v>
      </c>
      <c r="N3725" s="2" t="s">
        <v>3708</v>
      </c>
      <c r="O3725" s="2"/>
      <c r="P3725" s="2"/>
      <c r="Q3725" s="2" t="str">
        <f>""</f>
        <v/>
      </c>
      <c r="R3725" s="2"/>
      <c r="S3725" s="2"/>
      <c r="T3725" s="2">
        <v>2</v>
      </c>
      <c r="U3725" s="2" t="s">
        <v>123</v>
      </c>
      <c r="V3725" s="2">
        <v>1</v>
      </c>
      <c r="W3725" s="2" t="s">
        <v>80</v>
      </c>
      <c r="X3725" s="2">
        <v>1</v>
      </c>
      <c r="Y3725" s="2" t="s">
        <v>81</v>
      </c>
      <c r="Z3725" s="2">
        <v>10</v>
      </c>
      <c r="AA3725" s="2" t="s">
        <v>236</v>
      </c>
      <c r="AB3725" s="2">
        <v>9</v>
      </c>
      <c r="AC3725" s="2" t="s">
        <v>124</v>
      </c>
      <c r="AD3725" s="3">
        <v>40430</v>
      </c>
      <c r="AE3725" s="4">
        <v>0.3888888888888889</v>
      </c>
      <c r="AF3725" s="2"/>
      <c r="AG3725" s="2"/>
      <c r="AH3725" s="2">
        <v>2</v>
      </c>
      <c r="AI3725" s="2" t="s">
        <v>84</v>
      </c>
      <c r="AJ3725" s="2">
        <v>12</v>
      </c>
      <c r="AK3725" s="2" t="s">
        <v>85</v>
      </c>
      <c r="AL3725" s="2">
        <v>10</v>
      </c>
      <c r="AM3725" s="2" t="s">
        <v>200</v>
      </c>
      <c r="AN3725" s="2"/>
      <c r="AO3725" s="2" t="s">
        <v>11860</v>
      </c>
      <c r="AP3725" s="2">
        <v>11</v>
      </c>
      <c r="AQ3725" s="2" t="s">
        <v>82</v>
      </c>
      <c r="AR3725" s="2"/>
      <c r="AS3725" s="2"/>
      <c r="AT3725" s="2" t="s">
        <v>11861</v>
      </c>
      <c r="AU3725" s="2"/>
      <c r="AV3725" s="2"/>
      <c r="AW3725" s="2"/>
      <c r="AX3725" s="2"/>
      <c r="AY3725" s="2">
        <v>41</v>
      </c>
      <c r="AZ3725" s="2" t="s">
        <v>82</v>
      </c>
      <c r="BA3725" s="2">
        <v>41</v>
      </c>
      <c r="BB3725" s="2" t="s">
        <v>82</v>
      </c>
      <c r="BC3725" s="2">
        <v>41</v>
      </c>
      <c r="BD3725" s="2" t="s">
        <v>82</v>
      </c>
      <c r="BE3725" s="2">
        <v>10</v>
      </c>
      <c r="BF3725" s="2" t="s">
        <v>901</v>
      </c>
      <c r="BG3725" s="2" t="s">
        <v>11862</v>
      </c>
      <c r="BH3725" s="2"/>
      <c r="BI3725" s="4">
        <v>0.49305555555555558</v>
      </c>
      <c r="BJ3725" s="2">
        <v>13</v>
      </c>
      <c r="BK3725" s="2" t="s">
        <v>91</v>
      </c>
      <c r="BL3725" s="2" t="s">
        <v>1394</v>
      </c>
      <c r="BM3725" s="2">
        <v>229</v>
      </c>
      <c r="BN3725" s="2" t="s">
        <v>300</v>
      </c>
      <c r="BO3725" s="2" t="s">
        <v>573</v>
      </c>
      <c r="BP3725" s="2">
        <v>229</v>
      </c>
      <c r="BQ3725" s="2" t="s">
        <v>300</v>
      </c>
      <c r="BR3725" s="2" t="s">
        <v>11863</v>
      </c>
      <c r="BS3725" s="3">
        <v>40430</v>
      </c>
      <c r="BT3725" s="4">
        <v>0.73600694444444448</v>
      </c>
    </row>
    <row r="3726" spans="1:72" x14ac:dyDescent="0.25">
      <c r="A3726" s="2">
        <v>5504</v>
      </c>
      <c r="B3726" s="2">
        <v>2010</v>
      </c>
      <c r="C3726" s="2" t="s">
        <v>806</v>
      </c>
      <c r="D3726" s="2" t="s">
        <v>73</v>
      </c>
      <c r="E3726" s="2"/>
      <c r="F3726" s="2">
        <v>389</v>
      </c>
      <c r="G3726" s="2" t="s">
        <v>1819</v>
      </c>
      <c r="H3726" s="2">
        <v>57</v>
      </c>
      <c r="I3726" s="2" t="s">
        <v>3043</v>
      </c>
      <c r="J3726" s="2">
        <v>662</v>
      </c>
      <c r="K3726" s="2" t="s">
        <v>11864</v>
      </c>
      <c r="L3726" s="2" t="s">
        <v>3749</v>
      </c>
      <c r="M3726" s="3">
        <v>40430</v>
      </c>
      <c r="N3726" s="2"/>
      <c r="O3726" s="2" t="s">
        <v>11865</v>
      </c>
      <c r="P3726" s="2">
        <v>3229</v>
      </c>
      <c r="Q3726" s="2" t="str">
        <f>""</f>
        <v/>
      </c>
      <c r="R3726" s="2"/>
      <c r="S3726" s="2"/>
      <c r="T3726" s="2">
        <v>1</v>
      </c>
      <c r="U3726" s="2" t="s">
        <v>79</v>
      </c>
      <c r="V3726" s="2">
        <v>3</v>
      </c>
      <c r="W3726" s="2" t="s">
        <v>225</v>
      </c>
      <c r="X3726" s="2">
        <v>6</v>
      </c>
      <c r="Y3726" s="2" t="s">
        <v>249</v>
      </c>
      <c r="Z3726" s="2">
        <v>1</v>
      </c>
      <c r="AA3726" s="2" t="s">
        <v>82</v>
      </c>
      <c r="AB3726" s="2">
        <v>9</v>
      </c>
      <c r="AC3726" s="2" t="s">
        <v>124</v>
      </c>
      <c r="AD3726" s="3">
        <v>40430</v>
      </c>
      <c r="AE3726" s="4">
        <v>0.41666666666666669</v>
      </c>
      <c r="AF3726" s="2"/>
      <c r="AG3726" s="2"/>
      <c r="AH3726" s="2">
        <v>7</v>
      </c>
      <c r="AI3726" s="2" t="s">
        <v>801</v>
      </c>
      <c r="AJ3726" s="2">
        <v>4</v>
      </c>
      <c r="AK3726" s="2" t="s">
        <v>2397</v>
      </c>
      <c r="AL3726" s="2">
        <v>23</v>
      </c>
      <c r="AM3726" s="2" t="s">
        <v>251</v>
      </c>
      <c r="AN3726" s="2"/>
      <c r="AO3726" s="2" t="s">
        <v>11866</v>
      </c>
      <c r="AP3726" s="2">
        <v>11</v>
      </c>
      <c r="AQ3726" s="2" t="s">
        <v>82</v>
      </c>
      <c r="AR3726" s="2"/>
      <c r="AS3726" s="2"/>
      <c r="AT3726" s="2" t="s">
        <v>11867</v>
      </c>
      <c r="AU3726" s="2"/>
      <c r="AV3726" s="2"/>
      <c r="AW3726" s="2"/>
      <c r="AX3726" s="2"/>
      <c r="AY3726" s="2">
        <v>41</v>
      </c>
      <c r="AZ3726" s="2" t="s">
        <v>82</v>
      </c>
      <c r="BA3726" s="2">
        <v>41</v>
      </c>
      <c r="BB3726" s="2" t="s">
        <v>82</v>
      </c>
      <c r="BC3726" s="2">
        <v>41</v>
      </c>
      <c r="BD3726" s="2" t="s">
        <v>82</v>
      </c>
      <c r="BE3726" s="2">
        <v>41</v>
      </c>
      <c r="BF3726" s="2" t="s">
        <v>82</v>
      </c>
      <c r="BG3726" s="2"/>
      <c r="BH3726" s="2"/>
      <c r="BI3726" s="2"/>
      <c r="BJ3726" s="2">
        <v>241</v>
      </c>
      <c r="BK3726" s="2" t="s">
        <v>82</v>
      </c>
      <c r="BL3726" s="2"/>
      <c r="BM3726" s="2">
        <v>241</v>
      </c>
      <c r="BN3726" s="2" t="s">
        <v>82</v>
      </c>
      <c r="BO3726" s="2"/>
      <c r="BP3726" s="2">
        <v>241</v>
      </c>
      <c r="BQ3726" s="2" t="s">
        <v>82</v>
      </c>
      <c r="BR3726" s="2"/>
      <c r="BS3726" s="3">
        <v>40430</v>
      </c>
      <c r="BT3726" s="4">
        <v>0.79418981481481488</v>
      </c>
    </row>
    <row r="3727" spans="1:72" x14ac:dyDescent="0.25">
      <c r="A3727" s="2">
        <v>5506</v>
      </c>
      <c r="B3727" s="2">
        <v>2010</v>
      </c>
      <c r="C3727" s="2" t="s">
        <v>377</v>
      </c>
      <c r="D3727" s="2" t="s">
        <v>73</v>
      </c>
      <c r="E3727" s="2"/>
      <c r="F3727" s="2">
        <v>426</v>
      </c>
      <c r="G3727" s="2" t="s">
        <v>378</v>
      </c>
      <c r="H3727" s="2">
        <v>42</v>
      </c>
      <c r="I3727" s="2" t="s">
        <v>1096</v>
      </c>
      <c r="J3727" s="2">
        <v>311</v>
      </c>
      <c r="K3727" s="2" t="s">
        <v>379</v>
      </c>
      <c r="L3727" s="2" t="s">
        <v>380</v>
      </c>
      <c r="M3727" s="3">
        <v>40430</v>
      </c>
      <c r="N3727" s="2" t="s">
        <v>5164</v>
      </c>
      <c r="O3727" s="2"/>
      <c r="P3727" s="2"/>
      <c r="Q3727" s="2" t="str">
        <f>"240-C/10"</f>
        <v>240-C/10</v>
      </c>
      <c r="R3727" s="2" t="s">
        <v>3458</v>
      </c>
      <c r="S3727" s="2"/>
      <c r="T3727" s="2">
        <v>1</v>
      </c>
      <c r="U3727" s="2" t="s">
        <v>79</v>
      </c>
      <c r="V3727" s="2">
        <v>1</v>
      </c>
      <c r="W3727" s="2" t="s">
        <v>80</v>
      </c>
      <c r="X3727" s="2">
        <v>1</v>
      </c>
      <c r="Y3727" s="2" t="s">
        <v>81</v>
      </c>
      <c r="Z3727" s="2">
        <v>1</v>
      </c>
      <c r="AA3727" s="2" t="s">
        <v>82</v>
      </c>
      <c r="AB3727" s="2">
        <v>9</v>
      </c>
      <c r="AC3727" s="2" t="s">
        <v>124</v>
      </c>
      <c r="AD3727" s="3">
        <v>40430</v>
      </c>
      <c r="AE3727" s="4">
        <v>0.46180555555555558</v>
      </c>
      <c r="AF3727" s="2"/>
      <c r="AG3727" s="2"/>
      <c r="AH3727" s="2">
        <v>2</v>
      </c>
      <c r="AI3727" s="2" t="s">
        <v>84</v>
      </c>
      <c r="AJ3727" s="2">
        <v>9</v>
      </c>
      <c r="AK3727" s="2" t="s">
        <v>103</v>
      </c>
      <c r="AL3727" s="2">
        <v>29</v>
      </c>
      <c r="AM3727" s="2" t="s">
        <v>5416</v>
      </c>
      <c r="AN3727" s="2" t="s">
        <v>11868</v>
      </c>
      <c r="AO3727" s="2"/>
      <c r="AP3727" s="2">
        <v>11</v>
      </c>
      <c r="AQ3727" s="2" t="s">
        <v>82</v>
      </c>
      <c r="AR3727" s="2"/>
      <c r="AS3727" s="2"/>
      <c r="AT3727" s="2" t="s">
        <v>11869</v>
      </c>
      <c r="AU3727" s="2"/>
      <c r="AV3727" s="2"/>
      <c r="AW3727" s="2"/>
      <c r="AX3727" s="2"/>
      <c r="AY3727" s="2">
        <v>41</v>
      </c>
      <c r="AZ3727" s="2" t="s">
        <v>82</v>
      </c>
      <c r="BA3727" s="2">
        <v>41</v>
      </c>
      <c r="BB3727" s="2" t="s">
        <v>82</v>
      </c>
      <c r="BC3727" s="2">
        <v>41</v>
      </c>
      <c r="BD3727" s="2" t="s">
        <v>82</v>
      </c>
      <c r="BE3727" s="2">
        <v>41</v>
      </c>
      <c r="BF3727" s="2" t="s">
        <v>82</v>
      </c>
      <c r="BG3727" s="2"/>
      <c r="BH3727" s="2"/>
      <c r="BI3727" s="2"/>
      <c r="BJ3727" s="2">
        <v>241</v>
      </c>
      <c r="BK3727" s="2" t="s">
        <v>82</v>
      </c>
      <c r="BL3727" s="2"/>
      <c r="BM3727" s="2">
        <v>241</v>
      </c>
      <c r="BN3727" s="2" t="s">
        <v>82</v>
      </c>
      <c r="BO3727" s="2"/>
      <c r="BP3727" s="2">
        <v>241</v>
      </c>
      <c r="BQ3727" s="2" t="s">
        <v>82</v>
      </c>
      <c r="BR3727" s="2"/>
      <c r="BS3727" s="3">
        <v>40430</v>
      </c>
      <c r="BT3727" s="4">
        <v>0.83859953703703705</v>
      </c>
    </row>
    <row r="3728" spans="1:72" x14ac:dyDescent="0.25">
      <c r="A3728" s="2">
        <v>5507</v>
      </c>
      <c r="B3728" s="2">
        <v>2010</v>
      </c>
      <c r="C3728" s="2" t="s">
        <v>121</v>
      </c>
      <c r="D3728" s="2" t="s">
        <v>122</v>
      </c>
      <c r="E3728" s="2" t="s">
        <v>11870</v>
      </c>
      <c r="F3728" s="2">
        <v>1</v>
      </c>
      <c r="G3728" s="2" t="s">
        <v>82</v>
      </c>
      <c r="H3728" s="2">
        <v>1</v>
      </c>
      <c r="I3728" s="2" t="s">
        <v>82</v>
      </c>
      <c r="J3728" s="2">
        <v>1</v>
      </c>
      <c r="K3728" s="2" t="s">
        <v>107</v>
      </c>
      <c r="L3728" s="2" t="s">
        <v>107</v>
      </c>
      <c r="M3728" s="3">
        <v>40430</v>
      </c>
      <c r="N3728" s="2"/>
      <c r="O3728" s="2"/>
      <c r="P3728" s="2"/>
      <c r="Q3728" s="2" t="str">
        <f>""</f>
        <v/>
      </c>
      <c r="R3728" s="2"/>
      <c r="S3728" s="2"/>
      <c r="T3728" s="2">
        <v>2</v>
      </c>
      <c r="U3728" s="2" t="s">
        <v>123</v>
      </c>
      <c r="V3728" s="2">
        <v>1</v>
      </c>
      <c r="W3728" s="2" t="s">
        <v>80</v>
      </c>
      <c r="X3728" s="2">
        <v>1</v>
      </c>
      <c r="Y3728" s="2" t="s">
        <v>81</v>
      </c>
      <c r="Z3728" s="2">
        <v>4</v>
      </c>
      <c r="AA3728" s="2" t="s">
        <v>182</v>
      </c>
      <c r="AB3728" s="2">
        <v>9</v>
      </c>
      <c r="AC3728" s="2" t="s">
        <v>124</v>
      </c>
      <c r="AD3728" s="3">
        <v>40430</v>
      </c>
      <c r="AE3728" s="2"/>
      <c r="AF3728" s="2"/>
      <c r="AG3728" s="2"/>
      <c r="AH3728" s="2">
        <v>5</v>
      </c>
      <c r="AI3728" s="2" t="s">
        <v>274</v>
      </c>
      <c r="AJ3728" s="2">
        <v>37</v>
      </c>
      <c r="AK3728" s="2" t="s">
        <v>497</v>
      </c>
      <c r="AL3728" s="2">
        <v>14</v>
      </c>
      <c r="AM3728" s="2" t="s">
        <v>216</v>
      </c>
      <c r="AN3728" s="2" t="s">
        <v>11844</v>
      </c>
      <c r="AO3728" s="2" t="s">
        <v>230</v>
      </c>
      <c r="AP3728" s="2">
        <v>11</v>
      </c>
      <c r="AQ3728" s="2" t="s">
        <v>82</v>
      </c>
      <c r="AR3728" s="2"/>
      <c r="AS3728" s="2"/>
      <c r="AT3728" s="2" t="s">
        <v>11871</v>
      </c>
      <c r="AU3728" s="2"/>
      <c r="AV3728" s="2"/>
      <c r="AW3728" s="2"/>
      <c r="AX3728" s="2"/>
      <c r="AY3728" s="2">
        <v>41</v>
      </c>
      <c r="AZ3728" s="2" t="s">
        <v>82</v>
      </c>
      <c r="BA3728" s="2">
        <v>41</v>
      </c>
      <c r="BB3728" s="2" t="s">
        <v>82</v>
      </c>
      <c r="BC3728" s="2">
        <v>41</v>
      </c>
      <c r="BD3728" s="2" t="s">
        <v>82</v>
      </c>
      <c r="BE3728" s="2">
        <v>42</v>
      </c>
      <c r="BF3728" s="2" t="s">
        <v>182</v>
      </c>
      <c r="BG3728" s="2" t="s">
        <v>6921</v>
      </c>
      <c r="BH3728" s="4">
        <v>0.84027777777777779</v>
      </c>
      <c r="BI3728" s="4">
        <v>0.87291666666666667</v>
      </c>
      <c r="BJ3728" s="2">
        <v>13</v>
      </c>
      <c r="BK3728" s="2" t="s">
        <v>91</v>
      </c>
      <c r="BL3728" s="2" t="s">
        <v>1552</v>
      </c>
      <c r="BM3728" s="2">
        <v>241</v>
      </c>
      <c r="BN3728" s="2" t="s">
        <v>82</v>
      </c>
      <c r="BO3728" s="2"/>
      <c r="BP3728" s="2">
        <v>13</v>
      </c>
      <c r="BQ3728" s="2" t="s">
        <v>91</v>
      </c>
      <c r="BR3728" s="2" t="s">
        <v>170</v>
      </c>
      <c r="BS3728" s="3">
        <v>40430</v>
      </c>
      <c r="BT3728" s="4">
        <v>0.87861111111111112</v>
      </c>
    </row>
    <row r="3729" spans="1:72" x14ac:dyDescent="0.25">
      <c r="A3729" s="2">
        <v>5508</v>
      </c>
      <c r="B3729" s="2">
        <v>2010</v>
      </c>
      <c r="C3729" s="2" t="s">
        <v>196</v>
      </c>
      <c r="D3729" s="2" t="s">
        <v>122</v>
      </c>
      <c r="E3729" s="2"/>
      <c r="F3729" s="2">
        <v>1</v>
      </c>
      <c r="G3729" s="2" t="s">
        <v>82</v>
      </c>
      <c r="H3729" s="2">
        <v>1</v>
      </c>
      <c r="I3729" s="2" t="s">
        <v>82</v>
      </c>
      <c r="J3729" s="2">
        <v>1</v>
      </c>
      <c r="K3729" s="2" t="s">
        <v>107</v>
      </c>
      <c r="L3729" s="2" t="s">
        <v>107</v>
      </c>
      <c r="M3729" s="3">
        <v>40430</v>
      </c>
      <c r="N3729" s="2"/>
      <c r="O3729" s="2"/>
      <c r="P3729" s="2"/>
      <c r="Q3729" s="2" t="str">
        <f>""</f>
        <v/>
      </c>
      <c r="R3729" s="2"/>
      <c r="S3729" s="2"/>
      <c r="T3729" s="2">
        <v>2</v>
      </c>
      <c r="U3729" s="2" t="s">
        <v>123</v>
      </c>
      <c r="V3729" s="2">
        <v>1</v>
      </c>
      <c r="W3729" s="2" t="s">
        <v>80</v>
      </c>
      <c r="X3729" s="2">
        <v>11</v>
      </c>
      <c r="Y3729" s="2" t="s">
        <v>1920</v>
      </c>
      <c r="Z3729" s="2">
        <v>10</v>
      </c>
      <c r="AA3729" s="2" t="s">
        <v>236</v>
      </c>
      <c r="AB3729" s="2">
        <v>9</v>
      </c>
      <c r="AC3729" s="2" t="s">
        <v>124</v>
      </c>
      <c r="AD3729" s="3">
        <v>40430</v>
      </c>
      <c r="AE3729" s="4">
        <v>0.84583333333333333</v>
      </c>
      <c r="AF3729" s="2"/>
      <c r="AG3729" s="2"/>
      <c r="AH3729" s="2">
        <v>2</v>
      </c>
      <c r="AI3729" s="2" t="s">
        <v>84</v>
      </c>
      <c r="AJ3729" s="2">
        <v>12</v>
      </c>
      <c r="AK3729" s="2" t="s">
        <v>85</v>
      </c>
      <c r="AL3729" s="2">
        <v>20</v>
      </c>
      <c r="AM3729" s="2" t="s">
        <v>992</v>
      </c>
      <c r="AN3729" s="2" t="s">
        <v>993</v>
      </c>
      <c r="AO3729" s="2"/>
      <c r="AP3729" s="2">
        <v>11</v>
      </c>
      <c r="AQ3729" s="2" t="s">
        <v>82</v>
      </c>
      <c r="AR3729" s="2"/>
      <c r="AS3729" s="2"/>
      <c r="AT3729" s="2" t="s">
        <v>11872</v>
      </c>
      <c r="AU3729" s="2"/>
      <c r="AV3729" s="2"/>
      <c r="AW3729" s="2"/>
      <c r="AX3729" s="2"/>
      <c r="AY3729" s="2">
        <v>41</v>
      </c>
      <c r="AZ3729" s="2" t="s">
        <v>82</v>
      </c>
      <c r="BA3729" s="2">
        <v>41</v>
      </c>
      <c r="BB3729" s="2" t="s">
        <v>82</v>
      </c>
      <c r="BC3729" s="2">
        <v>41</v>
      </c>
      <c r="BD3729" s="2" t="s">
        <v>82</v>
      </c>
      <c r="BE3729" s="2">
        <v>41</v>
      </c>
      <c r="BF3729" s="2" t="s">
        <v>82</v>
      </c>
      <c r="BG3729" s="2"/>
      <c r="BH3729" s="2"/>
      <c r="BI3729" s="2"/>
      <c r="BJ3729" s="2">
        <v>13</v>
      </c>
      <c r="BK3729" s="2" t="s">
        <v>91</v>
      </c>
      <c r="BL3729" s="2" t="s">
        <v>11858</v>
      </c>
      <c r="BM3729" s="2">
        <v>241</v>
      </c>
      <c r="BN3729" s="2" t="s">
        <v>82</v>
      </c>
      <c r="BO3729" s="2"/>
      <c r="BP3729" s="2">
        <v>13</v>
      </c>
      <c r="BQ3729" s="2" t="s">
        <v>91</v>
      </c>
      <c r="BR3729" s="2" t="s">
        <v>185</v>
      </c>
      <c r="BS3729" s="3">
        <v>40430</v>
      </c>
      <c r="BT3729" s="4">
        <v>0.88165509259259256</v>
      </c>
    </row>
    <row r="3730" spans="1:72" x14ac:dyDescent="0.25">
      <c r="A3730" s="2">
        <v>5509</v>
      </c>
      <c r="B3730" s="2">
        <v>2010</v>
      </c>
      <c r="C3730" s="2" t="s">
        <v>4543</v>
      </c>
      <c r="D3730" s="2" t="s">
        <v>122</v>
      </c>
      <c r="E3730" s="2" t="s">
        <v>9406</v>
      </c>
      <c r="F3730" s="2">
        <v>293</v>
      </c>
      <c r="G3730" s="2" t="s">
        <v>8731</v>
      </c>
      <c r="H3730" s="2">
        <v>44</v>
      </c>
      <c r="I3730" s="2" t="s">
        <v>1272</v>
      </c>
      <c r="J3730" s="2">
        <v>608</v>
      </c>
      <c r="K3730" s="2" t="s">
        <v>9194</v>
      </c>
      <c r="L3730" s="2" t="s">
        <v>9195</v>
      </c>
      <c r="M3730" s="3">
        <v>40430</v>
      </c>
      <c r="N3730" s="2" t="s">
        <v>11873</v>
      </c>
      <c r="O3730" s="2" t="s">
        <v>11874</v>
      </c>
      <c r="P3730" s="2" t="s">
        <v>9375</v>
      </c>
      <c r="Q3730" s="2" t="str">
        <f>""</f>
        <v/>
      </c>
      <c r="R3730" s="2"/>
      <c r="S3730" s="2"/>
      <c r="T3730" s="2">
        <v>2</v>
      </c>
      <c r="U3730" s="2" t="s">
        <v>123</v>
      </c>
      <c r="V3730" s="2">
        <v>1</v>
      </c>
      <c r="W3730" s="2" t="s">
        <v>80</v>
      </c>
      <c r="X3730" s="2">
        <v>5</v>
      </c>
      <c r="Y3730" s="2" t="s">
        <v>82</v>
      </c>
      <c r="Z3730" s="2">
        <v>1</v>
      </c>
      <c r="AA3730" s="2" t="s">
        <v>82</v>
      </c>
      <c r="AB3730" s="2">
        <v>9</v>
      </c>
      <c r="AC3730" s="2" t="s">
        <v>124</v>
      </c>
      <c r="AD3730" s="3">
        <v>40431</v>
      </c>
      <c r="AE3730" s="4">
        <v>0.5</v>
      </c>
      <c r="AF3730" s="2"/>
      <c r="AG3730" s="2"/>
      <c r="AH3730" s="2">
        <v>5</v>
      </c>
      <c r="AI3730" s="2" t="s">
        <v>274</v>
      </c>
      <c r="AJ3730" s="2">
        <v>39</v>
      </c>
      <c r="AK3730" s="2" t="s">
        <v>8737</v>
      </c>
      <c r="AL3730" s="2">
        <v>24</v>
      </c>
      <c r="AM3730" s="2" t="s">
        <v>1540</v>
      </c>
      <c r="AN3730" s="2" t="s">
        <v>11875</v>
      </c>
      <c r="AO3730" s="2" t="s">
        <v>11876</v>
      </c>
      <c r="AP3730" s="2">
        <v>11</v>
      </c>
      <c r="AQ3730" s="2" t="s">
        <v>82</v>
      </c>
      <c r="AR3730" s="2"/>
      <c r="AS3730" s="2"/>
      <c r="AT3730" s="2" t="s">
        <v>11877</v>
      </c>
      <c r="AU3730" s="2"/>
      <c r="AV3730" s="2"/>
      <c r="AW3730" s="2"/>
      <c r="AX3730" s="2"/>
      <c r="AY3730" s="2">
        <v>1</v>
      </c>
      <c r="AZ3730" s="2" t="s">
        <v>107</v>
      </c>
      <c r="BA3730" s="2">
        <v>1</v>
      </c>
      <c r="BB3730" s="2" t="s">
        <v>107</v>
      </c>
      <c r="BC3730" s="2">
        <v>1</v>
      </c>
      <c r="BD3730" s="2" t="s">
        <v>107</v>
      </c>
      <c r="BE3730" s="2">
        <v>1</v>
      </c>
      <c r="BF3730" s="2" t="s">
        <v>107</v>
      </c>
      <c r="BG3730" s="2"/>
      <c r="BH3730" s="2"/>
      <c r="BI3730" s="2"/>
      <c r="BJ3730" s="2">
        <v>242</v>
      </c>
      <c r="BK3730" s="2" t="s">
        <v>107</v>
      </c>
      <c r="BL3730" s="2"/>
      <c r="BM3730" s="2">
        <v>242</v>
      </c>
      <c r="BN3730" s="2" t="s">
        <v>107</v>
      </c>
      <c r="BO3730" s="2"/>
      <c r="BP3730" s="2">
        <v>242</v>
      </c>
      <c r="BQ3730" s="2" t="s">
        <v>107</v>
      </c>
      <c r="BR3730" s="2"/>
      <c r="BS3730" s="3">
        <v>40430</v>
      </c>
      <c r="BT3730" s="4">
        <v>0.95392361111111112</v>
      </c>
    </row>
    <row r="3731" spans="1:72" x14ac:dyDescent="0.25">
      <c r="A3731" s="2">
        <v>5510</v>
      </c>
      <c r="B3731" s="2">
        <v>2010</v>
      </c>
      <c r="C3731" s="2" t="s">
        <v>1094</v>
      </c>
      <c r="D3731" s="2" t="s">
        <v>73</v>
      </c>
      <c r="E3731" s="2"/>
      <c r="F3731" s="2">
        <v>347</v>
      </c>
      <c r="G3731" s="2" t="s">
        <v>1690</v>
      </c>
      <c r="H3731" s="2">
        <v>42</v>
      </c>
      <c r="I3731" s="2" t="s">
        <v>1096</v>
      </c>
      <c r="J3731" s="2">
        <v>121</v>
      </c>
      <c r="K3731" s="2" t="s">
        <v>7723</v>
      </c>
      <c r="L3731" s="2" t="s">
        <v>7724</v>
      </c>
      <c r="M3731" s="3">
        <v>40431</v>
      </c>
      <c r="N3731" s="2" t="s">
        <v>11878</v>
      </c>
      <c r="O3731" s="2" t="s">
        <v>107</v>
      </c>
      <c r="P3731" s="2" t="s">
        <v>107</v>
      </c>
      <c r="Q3731" s="2" t="str">
        <f>"039/2010"</f>
        <v>039/2010</v>
      </c>
      <c r="R3731" s="2" t="s">
        <v>11879</v>
      </c>
      <c r="S3731" s="2" t="s">
        <v>11879</v>
      </c>
      <c r="T3731" s="2">
        <v>1</v>
      </c>
      <c r="U3731" s="2" t="s">
        <v>79</v>
      </c>
      <c r="V3731" s="2">
        <v>1</v>
      </c>
      <c r="W3731" s="2" t="s">
        <v>80</v>
      </c>
      <c r="X3731" s="2">
        <v>12</v>
      </c>
      <c r="Y3731" s="2" t="s">
        <v>148</v>
      </c>
      <c r="Z3731" s="2">
        <v>1</v>
      </c>
      <c r="AA3731" s="2" t="s">
        <v>82</v>
      </c>
      <c r="AB3731" s="2">
        <v>9</v>
      </c>
      <c r="AC3731" s="2" t="s">
        <v>124</v>
      </c>
      <c r="AD3731" s="3">
        <v>40430</v>
      </c>
      <c r="AE3731" s="4">
        <v>0.86805555555555547</v>
      </c>
      <c r="AF3731" s="3">
        <v>40430</v>
      </c>
      <c r="AG3731" s="4">
        <v>0.90625</v>
      </c>
      <c r="AH3731" s="2">
        <v>6</v>
      </c>
      <c r="AI3731" s="2" t="s">
        <v>197</v>
      </c>
      <c r="AJ3731" s="2">
        <v>50</v>
      </c>
      <c r="AK3731" s="2" t="s">
        <v>330</v>
      </c>
      <c r="AL3731" s="2">
        <v>25</v>
      </c>
      <c r="AM3731" s="2" t="s">
        <v>3073</v>
      </c>
      <c r="AN3731" s="2" t="s">
        <v>11880</v>
      </c>
      <c r="AO3731" s="2" t="s">
        <v>82</v>
      </c>
      <c r="AP3731" s="2">
        <v>11</v>
      </c>
      <c r="AQ3731" s="2" t="s">
        <v>82</v>
      </c>
      <c r="AR3731" s="2"/>
      <c r="AS3731" s="2"/>
      <c r="AT3731" s="2" t="s">
        <v>11881</v>
      </c>
      <c r="AU3731" s="2"/>
      <c r="AV3731" s="2"/>
      <c r="AW3731" s="2"/>
      <c r="AX3731" s="2"/>
      <c r="AY3731" s="2">
        <v>41</v>
      </c>
      <c r="AZ3731" s="2" t="s">
        <v>82</v>
      </c>
      <c r="BA3731" s="2">
        <v>41</v>
      </c>
      <c r="BB3731" s="2" t="s">
        <v>82</v>
      </c>
      <c r="BC3731" s="2">
        <v>41</v>
      </c>
      <c r="BD3731" s="2" t="s">
        <v>82</v>
      </c>
      <c r="BE3731" s="2">
        <v>41</v>
      </c>
      <c r="BF3731" s="2" t="s">
        <v>82</v>
      </c>
      <c r="BG3731" s="2"/>
      <c r="BH3731" s="2"/>
      <c r="BI3731" s="2"/>
      <c r="BJ3731" s="2">
        <v>241</v>
      </c>
      <c r="BK3731" s="2" t="s">
        <v>82</v>
      </c>
      <c r="BL3731" s="2"/>
      <c r="BM3731" s="2">
        <v>241</v>
      </c>
      <c r="BN3731" s="2" t="s">
        <v>82</v>
      </c>
      <c r="BO3731" s="2"/>
      <c r="BP3731" s="2">
        <v>241</v>
      </c>
      <c r="BQ3731" s="2" t="s">
        <v>82</v>
      </c>
      <c r="BR3731" s="2"/>
      <c r="BS3731" s="3">
        <v>40431</v>
      </c>
      <c r="BT3731" s="4">
        <v>1.1562499999999998E-2</v>
      </c>
    </row>
    <row r="3732" spans="1:72" x14ac:dyDescent="0.25">
      <c r="A3732" s="2">
        <v>5511</v>
      </c>
      <c r="B3732" s="2">
        <v>2010</v>
      </c>
      <c r="C3732" s="2" t="s">
        <v>93</v>
      </c>
      <c r="D3732" s="2" t="s">
        <v>73</v>
      </c>
      <c r="E3732" s="2"/>
      <c r="F3732" s="2">
        <v>189</v>
      </c>
      <c r="G3732" s="2" t="s">
        <v>4603</v>
      </c>
      <c r="H3732" s="2">
        <v>132</v>
      </c>
      <c r="I3732" s="2" t="s">
        <v>10877</v>
      </c>
      <c r="J3732" s="2">
        <v>197</v>
      </c>
      <c r="K3732" s="2" t="s">
        <v>10878</v>
      </c>
      <c r="L3732" s="2" t="s">
        <v>10879</v>
      </c>
      <c r="M3732" s="3">
        <v>40431</v>
      </c>
      <c r="N3732" s="2" t="s">
        <v>11882</v>
      </c>
      <c r="O3732" s="2" t="s">
        <v>11883</v>
      </c>
      <c r="P3732" s="2">
        <v>33111</v>
      </c>
      <c r="Q3732" s="2" t="str">
        <f>""</f>
        <v/>
      </c>
      <c r="R3732" s="2"/>
      <c r="S3732" s="2"/>
      <c r="T3732" s="2">
        <v>1</v>
      </c>
      <c r="U3732" s="2" t="s">
        <v>79</v>
      </c>
      <c r="V3732" s="2">
        <v>1</v>
      </c>
      <c r="W3732" s="2" t="s">
        <v>80</v>
      </c>
      <c r="X3732" s="2">
        <v>10</v>
      </c>
      <c r="Y3732" s="2" t="s">
        <v>226</v>
      </c>
      <c r="Z3732" s="2">
        <v>6</v>
      </c>
      <c r="AA3732" s="2" t="s">
        <v>101</v>
      </c>
      <c r="AB3732" s="2">
        <v>2</v>
      </c>
      <c r="AC3732" s="2" t="s">
        <v>102</v>
      </c>
      <c r="AD3732" s="3">
        <v>40430</v>
      </c>
      <c r="AE3732" s="2"/>
      <c r="AF3732" s="3">
        <v>40430</v>
      </c>
      <c r="AG3732" s="4">
        <v>0.98263888888888884</v>
      </c>
      <c r="AH3732" s="2">
        <v>2</v>
      </c>
      <c r="AI3732" s="2" t="s">
        <v>84</v>
      </c>
      <c r="AJ3732" s="2">
        <v>9</v>
      </c>
      <c r="AK3732" s="2" t="s">
        <v>103</v>
      </c>
      <c r="AL3732" s="2">
        <v>14</v>
      </c>
      <c r="AM3732" s="2" t="s">
        <v>216</v>
      </c>
      <c r="AN3732" s="2" t="s">
        <v>11884</v>
      </c>
      <c r="AO3732" s="2"/>
      <c r="AP3732" s="2">
        <v>11</v>
      </c>
      <c r="AQ3732" s="2" t="s">
        <v>82</v>
      </c>
      <c r="AR3732" s="2"/>
      <c r="AS3732" s="2"/>
      <c r="AT3732" s="2" t="s">
        <v>11885</v>
      </c>
      <c r="AU3732" s="2">
        <v>1</v>
      </c>
      <c r="AV3732" s="2"/>
      <c r="AW3732" s="2"/>
      <c r="AX3732" s="2"/>
      <c r="AY3732" s="2">
        <v>41</v>
      </c>
      <c r="AZ3732" s="2" t="s">
        <v>82</v>
      </c>
      <c r="BA3732" s="2">
        <v>41</v>
      </c>
      <c r="BB3732" s="2" t="s">
        <v>82</v>
      </c>
      <c r="BC3732" s="2">
        <v>41</v>
      </c>
      <c r="BD3732" s="2" t="s">
        <v>82</v>
      </c>
      <c r="BE3732" s="2">
        <v>25</v>
      </c>
      <c r="BF3732" s="2" t="s">
        <v>358</v>
      </c>
      <c r="BG3732" s="2" t="s">
        <v>11886</v>
      </c>
      <c r="BH3732" s="2"/>
      <c r="BI3732" s="2"/>
      <c r="BJ3732" s="2">
        <v>33</v>
      </c>
      <c r="BK3732" s="2" t="s">
        <v>361</v>
      </c>
      <c r="BL3732" s="2" t="s">
        <v>1706</v>
      </c>
      <c r="BM3732" s="2">
        <v>241</v>
      </c>
      <c r="BN3732" s="2" t="s">
        <v>82</v>
      </c>
      <c r="BO3732" s="2"/>
      <c r="BP3732" s="2">
        <v>13</v>
      </c>
      <c r="BQ3732" s="2" t="s">
        <v>91</v>
      </c>
      <c r="BR3732" s="2" t="s">
        <v>360</v>
      </c>
      <c r="BS3732" s="3">
        <v>40431</v>
      </c>
      <c r="BT3732" s="4">
        <v>0.27894675925925927</v>
      </c>
    </row>
    <row r="3733" spans="1:72" x14ac:dyDescent="0.25">
      <c r="A3733" s="2">
        <v>5512</v>
      </c>
      <c r="B3733" s="2">
        <v>2010</v>
      </c>
      <c r="C3733" s="2" t="s">
        <v>4543</v>
      </c>
      <c r="D3733" s="2" t="s">
        <v>122</v>
      </c>
      <c r="E3733" s="2"/>
      <c r="F3733" s="2">
        <v>1</v>
      </c>
      <c r="G3733" s="2" t="s">
        <v>82</v>
      </c>
      <c r="H3733" s="2">
        <v>1</v>
      </c>
      <c r="I3733" s="2" t="s">
        <v>82</v>
      </c>
      <c r="J3733" s="2">
        <v>1</v>
      </c>
      <c r="K3733" s="2" t="s">
        <v>107</v>
      </c>
      <c r="L3733" s="2" t="s">
        <v>107</v>
      </c>
      <c r="M3733" s="3">
        <v>40431</v>
      </c>
      <c r="N3733" s="2"/>
      <c r="O3733" s="2"/>
      <c r="P3733" s="2"/>
      <c r="Q3733" s="2" t="str">
        <f>""</f>
        <v/>
      </c>
      <c r="R3733" s="2"/>
      <c r="S3733" s="2"/>
      <c r="T3733" s="2">
        <v>2</v>
      </c>
      <c r="U3733" s="2" t="s">
        <v>123</v>
      </c>
      <c r="V3733" s="2">
        <v>1</v>
      </c>
      <c r="W3733" s="2" t="s">
        <v>80</v>
      </c>
      <c r="X3733" s="2">
        <v>11</v>
      </c>
      <c r="Y3733" s="2" t="s">
        <v>1920</v>
      </c>
      <c r="Z3733" s="2">
        <v>1</v>
      </c>
      <c r="AA3733" s="2" t="s">
        <v>82</v>
      </c>
      <c r="AB3733" s="2">
        <v>9</v>
      </c>
      <c r="AC3733" s="2" t="s">
        <v>124</v>
      </c>
      <c r="AD3733" s="3">
        <v>40431</v>
      </c>
      <c r="AE3733" s="4">
        <v>9.7222222222222224E-2</v>
      </c>
      <c r="AF3733" s="2"/>
      <c r="AG3733" s="2"/>
      <c r="AH3733" s="2">
        <v>6</v>
      </c>
      <c r="AI3733" s="2" t="s">
        <v>197</v>
      </c>
      <c r="AJ3733" s="2">
        <v>54</v>
      </c>
      <c r="AK3733" s="2" t="s">
        <v>348</v>
      </c>
      <c r="AL3733" s="2">
        <v>18</v>
      </c>
      <c r="AM3733" s="2" t="s">
        <v>82</v>
      </c>
      <c r="AN3733" s="2" t="s">
        <v>595</v>
      </c>
      <c r="AO3733" s="2" t="s">
        <v>200</v>
      </c>
      <c r="AP3733" s="2">
        <v>14</v>
      </c>
      <c r="AQ3733" s="2" t="s">
        <v>3301</v>
      </c>
      <c r="AR3733" s="2" t="s">
        <v>596</v>
      </c>
      <c r="AS3733" s="2" t="s">
        <v>596</v>
      </c>
      <c r="AT3733" s="2" t="s">
        <v>11887</v>
      </c>
      <c r="AU3733" s="2"/>
      <c r="AV3733" s="2"/>
      <c r="AW3733" s="2"/>
      <c r="AX3733" s="2"/>
      <c r="AY3733" s="2">
        <v>41</v>
      </c>
      <c r="AZ3733" s="2" t="s">
        <v>82</v>
      </c>
      <c r="BA3733" s="2">
        <v>1</v>
      </c>
      <c r="BB3733" s="2" t="s">
        <v>107</v>
      </c>
      <c r="BC3733" s="2">
        <v>1</v>
      </c>
      <c r="BD3733" s="2" t="s">
        <v>107</v>
      </c>
      <c r="BE3733" s="2">
        <v>4</v>
      </c>
      <c r="BF3733" s="2" t="s">
        <v>90</v>
      </c>
      <c r="BG3733" s="2" t="s">
        <v>598</v>
      </c>
      <c r="BH3733" s="4">
        <v>4.5138888888888888E-2</v>
      </c>
      <c r="BI3733" s="4">
        <v>9.5138888888888884E-2</v>
      </c>
      <c r="BJ3733" s="2">
        <v>13</v>
      </c>
      <c r="BK3733" s="2" t="s">
        <v>91</v>
      </c>
      <c r="BL3733" s="2" t="s">
        <v>5863</v>
      </c>
      <c r="BM3733" s="2">
        <v>242</v>
      </c>
      <c r="BN3733" s="2" t="s">
        <v>107</v>
      </c>
      <c r="BO3733" s="2"/>
      <c r="BP3733" s="2">
        <v>13</v>
      </c>
      <c r="BQ3733" s="2" t="s">
        <v>91</v>
      </c>
      <c r="BR3733" s="2" t="s">
        <v>11888</v>
      </c>
      <c r="BS3733" s="3">
        <v>40431</v>
      </c>
      <c r="BT3733" s="4">
        <v>0.33399305555555553</v>
      </c>
    </row>
    <row r="3734" spans="1:72" x14ac:dyDescent="0.25">
      <c r="A3734" s="2">
        <v>5513</v>
      </c>
      <c r="B3734" s="2">
        <v>2010</v>
      </c>
      <c r="C3734" s="2" t="s">
        <v>385</v>
      </c>
      <c r="D3734" s="2" t="s">
        <v>122</v>
      </c>
      <c r="E3734" s="2"/>
      <c r="F3734" s="2">
        <v>393</v>
      </c>
      <c r="G3734" s="2" t="s">
        <v>3660</v>
      </c>
      <c r="H3734" s="2">
        <v>2</v>
      </c>
      <c r="I3734" s="2" t="s">
        <v>267</v>
      </c>
      <c r="J3734" s="2">
        <v>2</v>
      </c>
      <c r="K3734" s="2" t="s">
        <v>3661</v>
      </c>
      <c r="L3734" s="2" t="s">
        <v>3662</v>
      </c>
      <c r="M3734" s="3">
        <v>40431</v>
      </c>
      <c r="N3734" s="2" t="s">
        <v>11889</v>
      </c>
      <c r="O3734" s="2" t="s">
        <v>11685</v>
      </c>
      <c r="P3734" s="2">
        <v>5836</v>
      </c>
      <c r="Q3734" s="2" t="str">
        <f>"06R/10"</f>
        <v>06R/10</v>
      </c>
      <c r="R3734" s="2" t="s">
        <v>11686</v>
      </c>
      <c r="S3734" s="2"/>
      <c r="T3734" s="2">
        <v>1</v>
      </c>
      <c r="U3734" s="2" t="s">
        <v>79</v>
      </c>
      <c r="V3734" s="2">
        <v>1</v>
      </c>
      <c r="W3734" s="2" t="s">
        <v>80</v>
      </c>
      <c r="X3734" s="2">
        <v>11</v>
      </c>
      <c r="Y3734" s="2" t="s">
        <v>1920</v>
      </c>
      <c r="Z3734" s="2">
        <v>10</v>
      </c>
      <c r="AA3734" s="2" t="s">
        <v>236</v>
      </c>
      <c r="AB3734" s="2">
        <v>9</v>
      </c>
      <c r="AC3734" s="2" t="s">
        <v>124</v>
      </c>
      <c r="AD3734" s="3">
        <v>40431</v>
      </c>
      <c r="AE3734" s="4">
        <v>0.47916666666666669</v>
      </c>
      <c r="AF3734" s="2"/>
      <c r="AG3734" s="2"/>
      <c r="AH3734" s="2">
        <v>2</v>
      </c>
      <c r="AI3734" s="2" t="s">
        <v>84</v>
      </c>
      <c r="AJ3734" s="2">
        <v>6</v>
      </c>
      <c r="AK3734" s="2" t="s">
        <v>453</v>
      </c>
      <c r="AL3734" s="2">
        <v>23</v>
      </c>
      <c r="AM3734" s="2" t="s">
        <v>251</v>
      </c>
      <c r="AN3734" s="2" t="s">
        <v>11890</v>
      </c>
      <c r="AO3734" s="2" t="s">
        <v>1394</v>
      </c>
      <c r="AP3734" s="2">
        <v>11</v>
      </c>
      <c r="AQ3734" s="2" t="s">
        <v>82</v>
      </c>
      <c r="AR3734" s="2"/>
      <c r="AS3734" s="2"/>
      <c r="AT3734" s="2" t="s">
        <v>11891</v>
      </c>
      <c r="AU3734" s="2">
        <v>2</v>
      </c>
      <c r="AV3734" s="2"/>
      <c r="AW3734" s="2"/>
      <c r="AX3734" s="2"/>
      <c r="AY3734" s="2">
        <v>42</v>
      </c>
      <c r="AZ3734" s="2" t="s">
        <v>182</v>
      </c>
      <c r="BA3734" s="2">
        <v>70</v>
      </c>
      <c r="BB3734" s="2" t="s">
        <v>236</v>
      </c>
      <c r="BC3734" s="2">
        <v>70</v>
      </c>
      <c r="BD3734" s="2" t="s">
        <v>236</v>
      </c>
      <c r="BE3734" s="2">
        <v>41</v>
      </c>
      <c r="BF3734" s="2" t="s">
        <v>82</v>
      </c>
      <c r="BG3734" s="2"/>
      <c r="BH3734" s="2"/>
      <c r="BI3734" s="2"/>
      <c r="BJ3734" s="2">
        <v>241</v>
      </c>
      <c r="BK3734" s="2" t="s">
        <v>82</v>
      </c>
      <c r="BL3734" s="2"/>
      <c r="BM3734" s="2">
        <v>241</v>
      </c>
      <c r="BN3734" s="2" t="s">
        <v>82</v>
      </c>
      <c r="BO3734" s="2"/>
      <c r="BP3734" s="2">
        <v>241</v>
      </c>
      <c r="BQ3734" s="2" t="s">
        <v>82</v>
      </c>
      <c r="BR3734" s="2"/>
      <c r="BS3734" s="3">
        <v>40431</v>
      </c>
      <c r="BT3734" s="4">
        <v>0.44473379629629628</v>
      </c>
    </row>
    <row r="3735" spans="1:72" x14ac:dyDescent="0.25">
      <c r="A3735" s="2">
        <v>5517</v>
      </c>
      <c r="B3735" s="2">
        <v>2010</v>
      </c>
      <c r="C3735" s="2" t="s">
        <v>93</v>
      </c>
      <c r="D3735" s="2" t="s">
        <v>122</v>
      </c>
      <c r="E3735" s="2" t="s">
        <v>11892</v>
      </c>
      <c r="F3735" s="2">
        <v>189</v>
      </c>
      <c r="G3735" s="2" t="s">
        <v>4603</v>
      </c>
      <c r="H3735" s="2">
        <v>132</v>
      </c>
      <c r="I3735" s="2" t="s">
        <v>10877</v>
      </c>
      <c r="J3735" s="2">
        <v>197</v>
      </c>
      <c r="K3735" s="2" t="s">
        <v>10878</v>
      </c>
      <c r="L3735" s="2" t="s">
        <v>10879</v>
      </c>
      <c r="M3735" s="3">
        <v>40431</v>
      </c>
      <c r="N3735" s="2" t="s">
        <v>11882</v>
      </c>
      <c r="O3735" s="2" t="s">
        <v>11883</v>
      </c>
      <c r="P3735" s="2"/>
      <c r="Q3735" s="2" t="str">
        <f>""</f>
        <v/>
      </c>
      <c r="R3735" s="2"/>
      <c r="S3735" s="2"/>
      <c r="T3735" s="2">
        <v>1</v>
      </c>
      <c r="U3735" s="2" t="s">
        <v>79</v>
      </c>
      <c r="V3735" s="2">
        <v>1</v>
      </c>
      <c r="W3735" s="2" t="s">
        <v>80</v>
      </c>
      <c r="X3735" s="2">
        <v>7</v>
      </c>
      <c r="Y3735" s="2" t="s">
        <v>1964</v>
      </c>
      <c r="Z3735" s="2">
        <v>6</v>
      </c>
      <c r="AA3735" s="2" t="s">
        <v>101</v>
      </c>
      <c r="AB3735" s="2">
        <v>2</v>
      </c>
      <c r="AC3735" s="2" t="s">
        <v>102</v>
      </c>
      <c r="AD3735" s="3">
        <v>40430</v>
      </c>
      <c r="AE3735" s="4">
        <v>0.98263888888888884</v>
      </c>
      <c r="AF3735" s="2"/>
      <c r="AG3735" s="2"/>
      <c r="AH3735" s="2">
        <v>2</v>
      </c>
      <c r="AI3735" s="2" t="s">
        <v>84</v>
      </c>
      <c r="AJ3735" s="2">
        <v>9</v>
      </c>
      <c r="AK3735" s="2" t="s">
        <v>103</v>
      </c>
      <c r="AL3735" s="2">
        <v>14</v>
      </c>
      <c r="AM3735" s="2" t="s">
        <v>216</v>
      </c>
      <c r="AN3735" s="2"/>
      <c r="AO3735" s="2" t="s">
        <v>11884</v>
      </c>
      <c r="AP3735" s="2">
        <v>11</v>
      </c>
      <c r="AQ3735" s="2" t="s">
        <v>82</v>
      </c>
      <c r="AR3735" s="2"/>
      <c r="AS3735" s="2"/>
      <c r="AT3735" s="2" t="s">
        <v>11893</v>
      </c>
      <c r="AU3735" s="2">
        <v>1</v>
      </c>
      <c r="AV3735" s="2"/>
      <c r="AW3735" s="2"/>
      <c r="AX3735" s="2"/>
      <c r="AY3735" s="2">
        <v>41</v>
      </c>
      <c r="AZ3735" s="2" t="s">
        <v>82</v>
      </c>
      <c r="BA3735" s="2">
        <v>41</v>
      </c>
      <c r="BB3735" s="2" t="s">
        <v>82</v>
      </c>
      <c r="BC3735" s="2">
        <v>41</v>
      </c>
      <c r="BD3735" s="2" t="s">
        <v>82</v>
      </c>
      <c r="BE3735" s="2">
        <v>25</v>
      </c>
      <c r="BF3735" s="2" t="s">
        <v>358</v>
      </c>
      <c r="BG3735" s="2" t="s">
        <v>11886</v>
      </c>
      <c r="BH3735" s="4">
        <v>0.97222222222222221</v>
      </c>
      <c r="BI3735" s="4">
        <v>0.75</v>
      </c>
      <c r="BJ3735" s="2">
        <v>33</v>
      </c>
      <c r="BK3735" s="2" t="s">
        <v>361</v>
      </c>
      <c r="BL3735" s="2" t="s">
        <v>1706</v>
      </c>
      <c r="BM3735" s="2">
        <v>241</v>
      </c>
      <c r="BN3735" s="2" t="s">
        <v>82</v>
      </c>
      <c r="BO3735" s="2"/>
      <c r="BP3735" s="2">
        <v>13</v>
      </c>
      <c r="BQ3735" s="2" t="s">
        <v>91</v>
      </c>
      <c r="BR3735" s="2" t="s">
        <v>360</v>
      </c>
      <c r="BS3735" s="3">
        <v>40431</v>
      </c>
      <c r="BT3735" s="4">
        <v>0.49909722222222225</v>
      </c>
    </row>
    <row r="3736" spans="1:72" x14ac:dyDescent="0.25">
      <c r="A3736" s="2">
        <v>5519</v>
      </c>
      <c r="B3736" s="2">
        <v>2010</v>
      </c>
      <c r="C3736" s="2" t="s">
        <v>72</v>
      </c>
      <c r="D3736" s="2" t="s">
        <v>73</v>
      </c>
      <c r="E3736" s="2"/>
      <c r="F3736" s="2">
        <v>390</v>
      </c>
      <c r="G3736" s="2" t="s">
        <v>475</v>
      </c>
      <c r="H3736" s="2">
        <v>7</v>
      </c>
      <c r="I3736" s="2" t="s">
        <v>476</v>
      </c>
      <c r="J3736" s="2">
        <v>533</v>
      </c>
      <c r="K3736" s="2" t="s">
        <v>6511</v>
      </c>
      <c r="L3736" s="2" t="s">
        <v>478</v>
      </c>
      <c r="M3736" s="3">
        <v>40431</v>
      </c>
      <c r="N3736" s="2" t="s">
        <v>11894</v>
      </c>
      <c r="O3736" s="2"/>
      <c r="P3736" s="2"/>
      <c r="Q3736" s="2" t="str">
        <f>"458-E/10"</f>
        <v>458-E/10</v>
      </c>
      <c r="R3736" s="2" t="s">
        <v>480</v>
      </c>
      <c r="S3736" s="2" t="s">
        <v>480</v>
      </c>
      <c r="T3736" s="2">
        <v>1</v>
      </c>
      <c r="U3736" s="2" t="s">
        <v>79</v>
      </c>
      <c r="V3736" s="2">
        <v>1</v>
      </c>
      <c r="W3736" s="2" t="s">
        <v>80</v>
      </c>
      <c r="X3736" s="2">
        <v>12</v>
      </c>
      <c r="Y3736" s="2" t="s">
        <v>148</v>
      </c>
      <c r="Z3736" s="2">
        <v>1</v>
      </c>
      <c r="AA3736" s="2" t="s">
        <v>82</v>
      </c>
      <c r="AB3736" s="2">
        <v>6</v>
      </c>
      <c r="AC3736" s="2" t="s">
        <v>83</v>
      </c>
      <c r="AD3736" s="3">
        <v>40428</v>
      </c>
      <c r="AE3736" s="2"/>
      <c r="AF3736" s="3">
        <v>40431</v>
      </c>
      <c r="AG3736" s="4">
        <v>0.53125</v>
      </c>
      <c r="AH3736" s="2">
        <v>2</v>
      </c>
      <c r="AI3736" s="2" t="s">
        <v>84</v>
      </c>
      <c r="AJ3736" s="2">
        <v>9</v>
      </c>
      <c r="AK3736" s="2" t="s">
        <v>103</v>
      </c>
      <c r="AL3736" s="2">
        <v>14</v>
      </c>
      <c r="AM3736" s="2" t="s">
        <v>216</v>
      </c>
      <c r="AN3736" s="2" t="s">
        <v>11895</v>
      </c>
      <c r="AO3736" s="2"/>
      <c r="AP3736" s="2">
        <v>11</v>
      </c>
      <c r="AQ3736" s="2" t="s">
        <v>82</v>
      </c>
      <c r="AR3736" s="2"/>
      <c r="AS3736" s="2"/>
      <c r="AT3736" s="2" t="s">
        <v>11896</v>
      </c>
      <c r="AU3736" s="2"/>
      <c r="AV3736" s="2"/>
      <c r="AW3736" s="2"/>
      <c r="AX3736" s="2"/>
      <c r="AY3736" s="2">
        <v>41</v>
      </c>
      <c r="AZ3736" s="2" t="s">
        <v>82</v>
      </c>
      <c r="BA3736" s="2">
        <v>41</v>
      </c>
      <c r="BB3736" s="2" t="s">
        <v>82</v>
      </c>
      <c r="BC3736" s="2">
        <v>41</v>
      </c>
      <c r="BD3736" s="2" t="s">
        <v>82</v>
      </c>
      <c r="BE3736" s="2">
        <v>25</v>
      </c>
      <c r="BF3736" s="2" t="s">
        <v>358</v>
      </c>
      <c r="BG3736" s="2">
        <v>7660</v>
      </c>
      <c r="BH3736" s="4">
        <v>0.89583333333333337</v>
      </c>
      <c r="BI3736" s="2"/>
      <c r="BJ3736" s="2">
        <v>33</v>
      </c>
      <c r="BK3736" s="2" t="s">
        <v>361</v>
      </c>
      <c r="BL3736" s="2" t="s">
        <v>2723</v>
      </c>
      <c r="BM3736" s="2">
        <v>33</v>
      </c>
      <c r="BN3736" s="2" t="s">
        <v>361</v>
      </c>
      <c r="BO3736" s="2" t="s">
        <v>6659</v>
      </c>
      <c r="BP3736" s="2">
        <v>13</v>
      </c>
      <c r="BQ3736" s="2" t="s">
        <v>91</v>
      </c>
      <c r="BR3736" s="2" t="s">
        <v>360</v>
      </c>
      <c r="BS3736" s="3">
        <v>40431</v>
      </c>
      <c r="BT3736" s="4">
        <v>0.51930555555555558</v>
      </c>
    </row>
    <row r="3737" spans="1:72" x14ac:dyDescent="0.25">
      <c r="A3737" s="2">
        <v>5521</v>
      </c>
      <c r="B3737" s="2">
        <v>2010</v>
      </c>
      <c r="C3737" s="2" t="s">
        <v>2219</v>
      </c>
      <c r="D3737" s="2" t="s">
        <v>73</v>
      </c>
      <c r="E3737" s="2"/>
      <c r="F3737" s="2">
        <v>675</v>
      </c>
      <c r="G3737" s="2" t="s">
        <v>11859</v>
      </c>
      <c r="H3737" s="2">
        <v>17</v>
      </c>
      <c r="I3737" s="2" t="s">
        <v>3602</v>
      </c>
      <c r="J3737" s="2">
        <v>164</v>
      </c>
      <c r="K3737" s="2" t="s">
        <v>3254</v>
      </c>
      <c r="L3737" s="2" t="s">
        <v>946</v>
      </c>
      <c r="M3737" s="3">
        <v>40431</v>
      </c>
      <c r="N3737" s="2" t="s">
        <v>3837</v>
      </c>
      <c r="O3737" s="2" t="s">
        <v>10013</v>
      </c>
      <c r="P3737" s="2" t="s">
        <v>82</v>
      </c>
      <c r="Q3737" s="2" t="str">
        <f>"362-A/10"</f>
        <v>362-A/10</v>
      </c>
      <c r="R3737" s="2"/>
      <c r="S3737" s="2"/>
      <c r="T3737" s="2">
        <v>1</v>
      </c>
      <c r="U3737" s="2" t="s">
        <v>79</v>
      </c>
      <c r="V3737" s="2">
        <v>1</v>
      </c>
      <c r="W3737" s="2" t="s">
        <v>80</v>
      </c>
      <c r="X3737" s="2">
        <v>12</v>
      </c>
      <c r="Y3737" s="2" t="s">
        <v>148</v>
      </c>
      <c r="Z3737" s="2">
        <v>1</v>
      </c>
      <c r="AA3737" s="2" t="s">
        <v>82</v>
      </c>
      <c r="AB3737" s="2">
        <v>9</v>
      </c>
      <c r="AC3737" s="2" t="s">
        <v>124</v>
      </c>
      <c r="AD3737" s="3">
        <v>40322</v>
      </c>
      <c r="AE3737" s="4">
        <v>0.64583333333333337</v>
      </c>
      <c r="AF3737" s="3">
        <v>40430</v>
      </c>
      <c r="AG3737" s="4">
        <v>0.61458333333333337</v>
      </c>
      <c r="AH3737" s="2">
        <v>2</v>
      </c>
      <c r="AI3737" s="2" t="s">
        <v>84</v>
      </c>
      <c r="AJ3737" s="2">
        <v>12</v>
      </c>
      <c r="AK3737" s="2" t="s">
        <v>85</v>
      </c>
      <c r="AL3737" s="2">
        <v>11</v>
      </c>
      <c r="AM3737" s="2" t="s">
        <v>137</v>
      </c>
      <c r="AN3737" s="2" t="s">
        <v>6519</v>
      </c>
      <c r="AO3737" s="2" t="s">
        <v>1869</v>
      </c>
      <c r="AP3737" s="2">
        <v>11</v>
      </c>
      <c r="AQ3737" s="2" t="s">
        <v>82</v>
      </c>
      <c r="AR3737" s="2"/>
      <c r="AS3737" s="2"/>
      <c r="AT3737" s="2" t="s">
        <v>11897</v>
      </c>
      <c r="AU3737" s="2"/>
      <c r="AV3737" s="2"/>
      <c r="AW3737" s="2"/>
      <c r="AX3737" s="2"/>
      <c r="AY3737" s="2">
        <v>41</v>
      </c>
      <c r="AZ3737" s="2" t="s">
        <v>82</v>
      </c>
      <c r="BA3737" s="2">
        <v>41</v>
      </c>
      <c r="BB3737" s="2" t="s">
        <v>82</v>
      </c>
      <c r="BC3737" s="2">
        <v>41</v>
      </c>
      <c r="BD3737" s="2" t="s">
        <v>82</v>
      </c>
      <c r="BE3737" s="2">
        <v>41</v>
      </c>
      <c r="BF3737" s="2" t="s">
        <v>82</v>
      </c>
      <c r="BG3737" s="2"/>
      <c r="BH3737" s="2"/>
      <c r="BI3737" s="2"/>
      <c r="BJ3737" s="2">
        <v>241</v>
      </c>
      <c r="BK3737" s="2" t="s">
        <v>82</v>
      </c>
      <c r="BL3737" s="2"/>
      <c r="BM3737" s="2">
        <v>241</v>
      </c>
      <c r="BN3737" s="2" t="s">
        <v>82</v>
      </c>
      <c r="BO3737" s="2"/>
      <c r="BP3737" s="2">
        <v>241</v>
      </c>
      <c r="BQ3737" s="2" t="s">
        <v>82</v>
      </c>
      <c r="BR3737" s="2"/>
      <c r="BS3737" s="3">
        <v>40431</v>
      </c>
      <c r="BT3737" s="4">
        <v>0.55725694444444451</v>
      </c>
    </row>
    <row r="3738" spans="1:72" x14ac:dyDescent="0.25">
      <c r="A3738" s="2">
        <v>5523</v>
      </c>
      <c r="B3738" s="2">
        <v>2010</v>
      </c>
      <c r="C3738" s="2" t="s">
        <v>72</v>
      </c>
      <c r="D3738" s="2" t="s">
        <v>73</v>
      </c>
      <c r="E3738" s="2"/>
      <c r="F3738" s="2">
        <v>673</v>
      </c>
      <c r="G3738" s="2" t="s">
        <v>11655</v>
      </c>
      <c r="H3738" s="2">
        <v>42</v>
      </c>
      <c r="I3738" s="2" t="s">
        <v>1096</v>
      </c>
      <c r="J3738" s="2">
        <v>657</v>
      </c>
      <c r="K3738" s="2" t="s">
        <v>11502</v>
      </c>
      <c r="L3738" s="2" t="s">
        <v>11656</v>
      </c>
      <c r="M3738" s="3">
        <v>40431</v>
      </c>
      <c r="N3738" s="2" t="s">
        <v>11898</v>
      </c>
      <c r="O3738" s="2" t="s">
        <v>107</v>
      </c>
      <c r="P3738" s="2" t="s">
        <v>107</v>
      </c>
      <c r="Q3738" s="2" t="str">
        <f>"363-A/10"</f>
        <v>363-A/10</v>
      </c>
      <c r="R3738" s="2" t="s">
        <v>156</v>
      </c>
      <c r="S3738" s="2" t="s">
        <v>156</v>
      </c>
      <c r="T3738" s="2">
        <v>1</v>
      </c>
      <c r="U3738" s="2" t="s">
        <v>79</v>
      </c>
      <c r="V3738" s="2">
        <v>1</v>
      </c>
      <c r="W3738" s="2" t="s">
        <v>80</v>
      </c>
      <c r="X3738" s="2">
        <v>12</v>
      </c>
      <c r="Y3738" s="2" t="s">
        <v>148</v>
      </c>
      <c r="Z3738" s="2">
        <v>1</v>
      </c>
      <c r="AA3738" s="2" t="s">
        <v>82</v>
      </c>
      <c r="AB3738" s="2">
        <v>6</v>
      </c>
      <c r="AC3738" s="2" t="s">
        <v>83</v>
      </c>
      <c r="AD3738" s="3">
        <v>40431</v>
      </c>
      <c r="AE3738" s="2"/>
      <c r="AF3738" s="3">
        <v>40431</v>
      </c>
      <c r="AG3738" s="4">
        <v>0.35972222222222222</v>
      </c>
      <c r="AH3738" s="2">
        <v>2</v>
      </c>
      <c r="AI3738" s="2" t="s">
        <v>84</v>
      </c>
      <c r="AJ3738" s="2">
        <v>12</v>
      </c>
      <c r="AK3738" s="2" t="s">
        <v>85</v>
      </c>
      <c r="AL3738" s="2">
        <v>23</v>
      </c>
      <c r="AM3738" s="2" t="s">
        <v>251</v>
      </c>
      <c r="AN3738" s="2" t="s">
        <v>82</v>
      </c>
      <c r="AO3738" s="2" t="s">
        <v>1226</v>
      </c>
      <c r="AP3738" s="2">
        <v>11</v>
      </c>
      <c r="AQ3738" s="2" t="s">
        <v>82</v>
      </c>
      <c r="AR3738" s="2" t="s">
        <v>82</v>
      </c>
      <c r="AS3738" s="2" t="s">
        <v>82</v>
      </c>
      <c r="AT3738" s="2" t="s">
        <v>11899</v>
      </c>
      <c r="AU3738" s="2"/>
      <c r="AV3738" s="2"/>
      <c r="AW3738" s="2"/>
      <c r="AX3738" s="2"/>
      <c r="AY3738" s="2">
        <v>41</v>
      </c>
      <c r="AZ3738" s="2" t="s">
        <v>82</v>
      </c>
      <c r="BA3738" s="2">
        <v>41</v>
      </c>
      <c r="BB3738" s="2" t="s">
        <v>82</v>
      </c>
      <c r="BC3738" s="2">
        <v>41</v>
      </c>
      <c r="BD3738" s="2" t="s">
        <v>82</v>
      </c>
      <c r="BE3738" s="2">
        <v>41</v>
      </c>
      <c r="BF3738" s="2" t="s">
        <v>82</v>
      </c>
      <c r="BG3738" s="2" t="s">
        <v>82</v>
      </c>
      <c r="BH3738" s="2"/>
      <c r="BI3738" s="2"/>
      <c r="BJ3738" s="2">
        <v>241</v>
      </c>
      <c r="BK3738" s="2" t="s">
        <v>82</v>
      </c>
      <c r="BL3738" s="2" t="s">
        <v>82</v>
      </c>
      <c r="BM3738" s="2">
        <v>241</v>
      </c>
      <c r="BN3738" s="2" t="s">
        <v>82</v>
      </c>
      <c r="BO3738" s="2"/>
      <c r="BP3738" s="2">
        <v>241</v>
      </c>
      <c r="BQ3738" s="2" t="s">
        <v>82</v>
      </c>
      <c r="BR3738" s="2"/>
      <c r="BS3738" s="3">
        <v>40431</v>
      </c>
      <c r="BT3738" s="4">
        <v>0.5811574074074074</v>
      </c>
    </row>
    <row r="3739" spans="1:72" x14ac:dyDescent="0.25">
      <c r="A3739" s="2">
        <v>5526</v>
      </c>
      <c r="B3739" s="2">
        <v>2010</v>
      </c>
      <c r="C3739" s="2" t="s">
        <v>93</v>
      </c>
      <c r="D3739" s="2" t="s">
        <v>73</v>
      </c>
      <c r="E3739" s="2"/>
      <c r="F3739" s="2">
        <v>614</v>
      </c>
      <c r="G3739" s="2" t="s">
        <v>6682</v>
      </c>
      <c r="H3739" s="2">
        <v>72</v>
      </c>
      <c r="I3739" s="2" t="s">
        <v>3988</v>
      </c>
      <c r="J3739" s="2">
        <v>223</v>
      </c>
      <c r="K3739" s="2" t="s">
        <v>11900</v>
      </c>
      <c r="L3739" s="2" t="s">
        <v>11901</v>
      </c>
      <c r="M3739" s="3">
        <v>40431</v>
      </c>
      <c r="N3739" s="2" t="s">
        <v>11902</v>
      </c>
      <c r="O3739" s="2" t="s">
        <v>11903</v>
      </c>
      <c r="P3739" s="2">
        <v>80456</v>
      </c>
      <c r="Q3739" s="2" t="str">
        <f>"0117/2010"</f>
        <v>0117/2010</v>
      </c>
      <c r="R3739" s="2" t="s">
        <v>8305</v>
      </c>
      <c r="S3739" s="2"/>
      <c r="T3739" s="2">
        <v>1</v>
      </c>
      <c r="U3739" s="2" t="s">
        <v>79</v>
      </c>
      <c r="V3739" s="2">
        <v>1</v>
      </c>
      <c r="W3739" s="2" t="s">
        <v>80</v>
      </c>
      <c r="X3739" s="2">
        <v>10</v>
      </c>
      <c r="Y3739" s="2" t="s">
        <v>226</v>
      </c>
      <c r="Z3739" s="2">
        <v>9</v>
      </c>
      <c r="AA3739" s="2" t="s">
        <v>1119</v>
      </c>
      <c r="AB3739" s="2">
        <v>2</v>
      </c>
      <c r="AC3739" s="2" t="s">
        <v>102</v>
      </c>
      <c r="AD3739" s="3">
        <v>40431</v>
      </c>
      <c r="AE3739" s="4">
        <v>0.59722222222222221</v>
      </c>
      <c r="AF3739" s="2"/>
      <c r="AG3739" s="2"/>
      <c r="AH3739" s="2">
        <v>5</v>
      </c>
      <c r="AI3739" s="2" t="s">
        <v>274</v>
      </c>
      <c r="AJ3739" s="2">
        <v>38</v>
      </c>
      <c r="AK3739" s="2" t="s">
        <v>1120</v>
      </c>
      <c r="AL3739" s="2">
        <v>14</v>
      </c>
      <c r="AM3739" s="2" t="s">
        <v>216</v>
      </c>
      <c r="AN3739" s="2"/>
      <c r="AO3739" s="2" t="s">
        <v>11904</v>
      </c>
      <c r="AP3739" s="2">
        <v>11</v>
      </c>
      <c r="AQ3739" s="2" t="s">
        <v>82</v>
      </c>
      <c r="AR3739" s="2"/>
      <c r="AS3739" s="2"/>
      <c r="AT3739" s="2" t="s">
        <v>11905</v>
      </c>
      <c r="AU3739" s="2"/>
      <c r="AV3739" s="2"/>
      <c r="AW3739" s="2"/>
      <c r="AX3739" s="2"/>
      <c r="AY3739" s="2">
        <v>41</v>
      </c>
      <c r="AZ3739" s="2" t="s">
        <v>82</v>
      </c>
      <c r="BA3739" s="2">
        <v>41</v>
      </c>
      <c r="BB3739" s="2" t="s">
        <v>82</v>
      </c>
      <c r="BC3739" s="2">
        <v>41</v>
      </c>
      <c r="BD3739" s="2" t="s">
        <v>82</v>
      </c>
      <c r="BE3739" s="2">
        <v>47</v>
      </c>
      <c r="BF3739" s="2" t="s">
        <v>167</v>
      </c>
      <c r="BG3739" s="2">
        <v>2725</v>
      </c>
      <c r="BH3739" s="4">
        <v>0.46180555555555558</v>
      </c>
      <c r="BI3739" s="4">
        <v>0.48958333333333331</v>
      </c>
      <c r="BJ3739" s="2">
        <v>13</v>
      </c>
      <c r="BK3739" s="2" t="s">
        <v>91</v>
      </c>
      <c r="BL3739" s="2" t="s">
        <v>8930</v>
      </c>
      <c r="BM3739" s="2">
        <v>241</v>
      </c>
      <c r="BN3739" s="2" t="s">
        <v>82</v>
      </c>
      <c r="BO3739" s="2"/>
      <c r="BP3739" s="2">
        <v>13</v>
      </c>
      <c r="BQ3739" s="2" t="s">
        <v>91</v>
      </c>
      <c r="BR3739" s="2" t="s">
        <v>170</v>
      </c>
      <c r="BS3739" s="3">
        <v>40431</v>
      </c>
      <c r="BT3739" s="4">
        <v>0.71553240740740742</v>
      </c>
    </row>
    <row r="3740" spans="1:72" x14ac:dyDescent="0.25">
      <c r="A3740" s="2">
        <v>5527</v>
      </c>
      <c r="B3740" s="2">
        <v>2010</v>
      </c>
      <c r="C3740" s="2" t="s">
        <v>171</v>
      </c>
      <c r="D3740" s="2" t="s">
        <v>73</v>
      </c>
      <c r="E3740" s="2" t="s">
        <v>11906</v>
      </c>
      <c r="F3740" s="2">
        <v>425</v>
      </c>
      <c r="G3740" s="2" t="s">
        <v>286</v>
      </c>
      <c r="H3740" s="2">
        <v>39</v>
      </c>
      <c r="I3740" s="2" t="s">
        <v>1117</v>
      </c>
      <c r="J3740" s="2">
        <v>310</v>
      </c>
      <c r="K3740" s="2" t="s">
        <v>288</v>
      </c>
      <c r="L3740" s="2" t="s">
        <v>289</v>
      </c>
      <c r="M3740" s="3">
        <v>40431</v>
      </c>
      <c r="N3740" s="2" t="s">
        <v>2049</v>
      </c>
      <c r="O3740" s="2" t="s">
        <v>2490</v>
      </c>
      <c r="P3740" s="2" t="s">
        <v>11907</v>
      </c>
      <c r="Q3740" s="2" t="str">
        <f>"078/10"</f>
        <v>078/10</v>
      </c>
      <c r="R3740" s="2"/>
      <c r="S3740" s="2" t="s">
        <v>822</v>
      </c>
      <c r="T3740" s="2">
        <v>1</v>
      </c>
      <c r="U3740" s="2" t="s">
        <v>79</v>
      </c>
      <c r="V3740" s="2">
        <v>1</v>
      </c>
      <c r="W3740" s="2" t="s">
        <v>80</v>
      </c>
      <c r="X3740" s="2">
        <v>1</v>
      </c>
      <c r="Y3740" s="2" t="s">
        <v>81</v>
      </c>
      <c r="Z3740" s="2">
        <v>1</v>
      </c>
      <c r="AA3740" s="2" t="s">
        <v>82</v>
      </c>
      <c r="AB3740" s="2">
        <v>1</v>
      </c>
      <c r="AC3740" s="2" t="s">
        <v>178</v>
      </c>
      <c r="AD3740" s="3">
        <v>40431</v>
      </c>
      <c r="AE3740" s="4">
        <v>0.6875</v>
      </c>
      <c r="AF3740" s="2"/>
      <c r="AG3740" s="2"/>
      <c r="AH3740" s="2">
        <v>4</v>
      </c>
      <c r="AI3740" s="2" t="s">
        <v>125</v>
      </c>
      <c r="AJ3740" s="2">
        <v>29</v>
      </c>
      <c r="AK3740" s="2" t="s">
        <v>227</v>
      </c>
      <c r="AL3740" s="2">
        <v>16</v>
      </c>
      <c r="AM3740" s="2" t="s">
        <v>392</v>
      </c>
      <c r="AN3740" s="2"/>
      <c r="AO3740" s="2" t="s">
        <v>9764</v>
      </c>
      <c r="AP3740" s="2">
        <v>12</v>
      </c>
      <c r="AQ3740" s="2" t="s">
        <v>322</v>
      </c>
      <c r="AR3740" s="2" t="s">
        <v>824</v>
      </c>
      <c r="AS3740" s="2" t="s">
        <v>825</v>
      </c>
      <c r="AT3740" s="2" t="s">
        <v>11908</v>
      </c>
      <c r="AU3740" s="2"/>
      <c r="AV3740" s="2"/>
      <c r="AW3740" s="2"/>
      <c r="AX3740" s="2"/>
      <c r="AY3740" s="2">
        <v>41</v>
      </c>
      <c r="AZ3740" s="2" t="s">
        <v>82</v>
      </c>
      <c r="BA3740" s="2">
        <v>41</v>
      </c>
      <c r="BB3740" s="2" t="s">
        <v>82</v>
      </c>
      <c r="BC3740" s="2">
        <v>51</v>
      </c>
      <c r="BD3740" s="2" t="s">
        <v>827</v>
      </c>
      <c r="BE3740" s="2">
        <v>47</v>
      </c>
      <c r="BF3740" s="2" t="s">
        <v>167</v>
      </c>
      <c r="BG3740" s="2">
        <v>2459</v>
      </c>
      <c r="BH3740" s="4">
        <v>0.92361111111111116</v>
      </c>
      <c r="BI3740" s="4">
        <v>0.94791666666666663</v>
      </c>
      <c r="BJ3740" s="2">
        <v>13</v>
      </c>
      <c r="BK3740" s="2" t="s">
        <v>91</v>
      </c>
      <c r="BL3740" s="2" t="s">
        <v>828</v>
      </c>
      <c r="BM3740" s="2">
        <v>241</v>
      </c>
      <c r="BN3740" s="2" t="s">
        <v>82</v>
      </c>
      <c r="BO3740" s="2" t="s">
        <v>82</v>
      </c>
      <c r="BP3740" s="2">
        <v>13</v>
      </c>
      <c r="BQ3740" s="2" t="s">
        <v>91</v>
      </c>
      <c r="BR3740" s="2" t="s">
        <v>185</v>
      </c>
      <c r="BS3740" s="3">
        <v>40431</v>
      </c>
      <c r="BT3740" s="4">
        <v>0.73686342592592602</v>
      </c>
    </row>
    <row r="3741" spans="1:72" x14ac:dyDescent="0.25">
      <c r="A3741" s="2">
        <v>5530</v>
      </c>
      <c r="B3741" s="2">
        <v>2010</v>
      </c>
      <c r="C3741" s="2" t="s">
        <v>385</v>
      </c>
      <c r="D3741" s="2" t="s">
        <v>122</v>
      </c>
      <c r="E3741" s="2"/>
      <c r="F3741" s="2">
        <v>393</v>
      </c>
      <c r="G3741" s="2" t="s">
        <v>3660</v>
      </c>
      <c r="H3741" s="2">
        <v>2</v>
      </c>
      <c r="I3741" s="2" t="s">
        <v>267</v>
      </c>
      <c r="J3741" s="2">
        <v>2</v>
      </c>
      <c r="K3741" s="2" t="s">
        <v>3661</v>
      </c>
      <c r="L3741" s="2" t="s">
        <v>3662</v>
      </c>
      <c r="M3741" s="3">
        <v>40431</v>
      </c>
      <c r="N3741" s="2" t="s">
        <v>11909</v>
      </c>
      <c r="O3741" s="2" t="s">
        <v>11910</v>
      </c>
      <c r="P3741" s="2">
        <v>5836</v>
      </c>
      <c r="Q3741" s="2" t="str">
        <f>"N/C"</f>
        <v>N/C</v>
      </c>
      <c r="R3741" s="2" t="s">
        <v>107</v>
      </c>
      <c r="S3741" s="2" t="s">
        <v>82</v>
      </c>
      <c r="T3741" s="2">
        <v>1</v>
      </c>
      <c r="U3741" s="2" t="s">
        <v>79</v>
      </c>
      <c r="V3741" s="2">
        <v>1</v>
      </c>
      <c r="W3741" s="2" t="s">
        <v>80</v>
      </c>
      <c r="X3741" s="2">
        <v>11</v>
      </c>
      <c r="Y3741" s="2" t="s">
        <v>1920</v>
      </c>
      <c r="Z3741" s="2">
        <v>1</v>
      </c>
      <c r="AA3741" s="2" t="s">
        <v>82</v>
      </c>
      <c r="AB3741" s="2">
        <v>9</v>
      </c>
      <c r="AC3741" s="2" t="s">
        <v>124</v>
      </c>
      <c r="AD3741" s="3">
        <v>40431</v>
      </c>
      <c r="AE3741" s="4">
        <v>0.4826388888888889</v>
      </c>
      <c r="AF3741" s="2"/>
      <c r="AG3741" s="2"/>
      <c r="AH3741" s="2">
        <v>2</v>
      </c>
      <c r="AI3741" s="2" t="s">
        <v>84</v>
      </c>
      <c r="AJ3741" s="2">
        <v>12</v>
      </c>
      <c r="AK3741" s="2" t="s">
        <v>85</v>
      </c>
      <c r="AL3741" s="2">
        <v>19</v>
      </c>
      <c r="AM3741" s="2" t="s">
        <v>107</v>
      </c>
      <c r="AN3741" s="2" t="s">
        <v>107</v>
      </c>
      <c r="AO3741" s="2" t="s">
        <v>107</v>
      </c>
      <c r="AP3741" s="2">
        <v>11</v>
      </c>
      <c r="AQ3741" s="2" t="s">
        <v>82</v>
      </c>
      <c r="AR3741" s="2" t="s">
        <v>82</v>
      </c>
      <c r="AS3741" s="2" t="s">
        <v>82</v>
      </c>
      <c r="AT3741" s="2" t="s">
        <v>11911</v>
      </c>
      <c r="AU3741" s="2">
        <v>2</v>
      </c>
      <c r="AV3741" s="2"/>
      <c r="AW3741" s="2"/>
      <c r="AX3741" s="2"/>
      <c r="AY3741" s="2">
        <v>41</v>
      </c>
      <c r="AZ3741" s="2" t="s">
        <v>82</v>
      </c>
      <c r="BA3741" s="2">
        <v>41</v>
      </c>
      <c r="BB3741" s="2" t="s">
        <v>82</v>
      </c>
      <c r="BC3741" s="2">
        <v>41</v>
      </c>
      <c r="BD3741" s="2" t="s">
        <v>82</v>
      </c>
      <c r="BE3741" s="2">
        <v>41</v>
      </c>
      <c r="BF3741" s="2" t="s">
        <v>82</v>
      </c>
      <c r="BG3741" s="2" t="s">
        <v>82</v>
      </c>
      <c r="BH3741" s="2"/>
      <c r="BI3741" s="2"/>
      <c r="BJ3741" s="2">
        <v>241</v>
      </c>
      <c r="BK3741" s="2" t="s">
        <v>82</v>
      </c>
      <c r="BL3741" s="2" t="s">
        <v>82</v>
      </c>
      <c r="BM3741" s="2">
        <v>241</v>
      </c>
      <c r="BN3741" s="2" t="s">
        <v>82</v>
      </c>
      <c r="BO3741" s="2" t="s">
        <v>82</v>
      </c>
      <c r="BP3741" s="2">
        <v>241</v>
      </c>
      <c r="BQ3741" s="2" t="s">
        <v>82</v>
      </c>
      <c r="BR3741" s="2" t="s">
        <v>82</v>
      </c>
      <c r="BS3741" s="3">
        <v>40431</v>
      </c>
      <c r="BT3741" s="4">
        <v>0.7834606481481482</v>
      </c>
    </row>
    <row r="3742" spans="1:72" x14ac:dyDescent="0.25">
      <c r="A3742" s="2">
        <v>5531</v>
      </c>
      <c r="B3742" s="2">
        <v>2010</v>
      </c>
      <c r="C3742" s="2" t="s">
        <v>171</v>
      </c>
      <c r="D3742" s="2" t="s">
        <v>73</v>
      </c>
      <c r="E3742" s="2"/>
      <c r="F3742" s="2">
        <v>394</v>
      </c>
      <c r="G3742" s="2" t="s">
        <v>172</v>
      </c>
      <c r="H3742" s="2">
        <v>5</v>
      </c>
      <c r="I3742" s="2" t="s">
        <v>634</v>
      </c>
      <c r="J3742" s="2">
        <v>241</v>
      </c>
      <c r="K3742" s="2" t="s">
        <v>174</v>
      </c>
      <c r="L3742" s="2" t="s">
        <v>175</v>
      </c>
      <c r="M3742" s="3">
        <v>40431</v>
      </c>
      <c r="N3742" s="2" t="s">
        <v>11912</v>
      </c>
      <c r="O3742" s="2" t="s">
        <v>82</v>
      </c>
      <c r="P3742" s="2" t="s">
        <v>82</v>
      </c>
      <c r="Q3742" s="2" t="str">
        <f>"459-E/10"</f>
        <v>459-E/10</v>
      </c>
      <c r="R3742" s="2" t="s">
        <v>391</v>
      </c>
      <c r="S3742" s="2" t="s">
        <v>391</v>
      </c>
      <c r="T3742" s="2">
        <v>1</v>
      </c>
      <c r="U3742" s="2" t="s">
        <v>79</v>
      </c>
      <c r="V3742" s="2">
        <v>1</v>
      </c>
      <c r="W3742" s="2" t="s">
        <v>80</v>
      </c>
      <c r="X3742" s="2">
        <v>1</v>
      </c>
      <c r="Y3742" s="2" t="s">
        <v>81</v>
      </c>
      <c r="Z3742" s="2">
        <v>1</v>
      </c>
      <c r="AA3742" s="2" t="s">
        <v>82</v>
      </c>
      <c r="AB3742" s="2">
        <v>1</v>
      </c>
      <c r="AC3742" s="2" t="s">
        <v>178</v>
      </c>
      <c r="AD3742" s="3">
        <v>40431</v>
      </c>
      <c r="AE3742" s="4">
        <v>0.4861111111111111</v>
      </c>
      <c r="AF3742" s="2"/>
      <c r="AG3742" s="2"/>
      <c r="AH3742" s="2">
        <v>2</v>
      </c>
      <c r="AI3742" s="2" t="s">
        <v>84</v>
      </c>
      <c r="AJ3742" s="2">
        <v>9</v>
      </c>
      <c r="AK3742" s="2" t="s">
        <v>103</v>
      </c>
      <c r="AL3742" s="2">
        <v>25</v>
      </c>
      <c r="AM3742" s="2" t="s">
        <v>3073</v>
      </c>
      <c r="AN3742" s="2" t="s">
        <v>179</v>
      </c>
      <c r="AO3742" s="2" t="s">
        <v>987</v>
      </c>
      <c r="AP3742" s="2">
        <v>11</v>
      </c>
      <c r="AQ3742" s="2" t="s">
        <v>82</v>
      </c>
      <c r="AR3742" s="2" t="s">
        <v>82</v>
      </c>
      <c r="AS3742" s="2" t="s">
        <v>82</v>
      </c>
      <c r="AT3742" s="2" t="s">
        <v>11913</v>
      </c>
      <c r="AU3742" s="2"/>
      <c r="AV3742" s="2">
        <v>2</v>
      </c>
      <c r="AW3742" s="2"/>
      <c r="AX3742" s="2"/>
      <c r="AY3742" s="2">
        <v>41</v>
      </c>
      <c r="AZ3742" s="2" t="s">
        <v>82</v>
      </c>
      <c r="BA3742" s="2">
        <v>41</v>
      </c>
      <c r="BB3742" s="2" t="s">
        <v>82</v>
      </c>
      <c r="BC3742" s="2">
        <v>41</v>
      </c>
      <c r="BD3742" s="2" t="s">
        <v>82</v>
      </c>
      <c r="BE3742" s="2">
        <v>31</v>
      </c>
      <c r="BF3742" s="2" t="s">
        <v>398</v>
      </c>
      <c r="BG3742" s="2" t="s">
        <v>399</v>
      </c>
      <c r="BH3742" s="2"/>
      <c r="BI3742" s="4">
        <v>0.53472222222222221</v>
      </c>
      <c r="BJ3742" s="2">
        <v>13</v>
      </c>
      <c r="BK3742" s="2" t="s">
        <v>91</v>
      </c>
      <c r="BL3742" s="2" t="s">
        <v>360</v>
      </c>
      <c r="BM3742" s="2">
        <v>241</v>
      </c>
      <c r="BN3742" s="2" t="s">
        <v>82</v>
      </c>
      <c r="BO3742" s="2" t="s">
        <v>82</v>
      </c>
      <c r="BP3742" s="2">
        <v>73</v>
      </c>
      <c r="BQ3742" s="2" t="s">
        <v>186</v>
      </c>
      <c r="BR3742" s="2" t="s">
        <v>675</v>
      </c>
      <c r="BS3742" s="3">
        <v>40431</v>
      </c>
      <c r="BT3742" s="4">
        <v>0.79079861111111116</v>
      </c>
    </row>
    <row r="3743" spans="1:72" x14ac:dyDescent="0.25">
      <c r="A3743" s="2">
        <v>5532</v>
      </c>
      <c r="B3743" s="2">
        <v>2010</v>
      </c>
      <c r="C3743" s="2" t="s">
        <v>72</v>
      </c>
      <c r="D3743" s="2" t="s">
        <v>73</v>
      </c>
      <c r="E3743" s="2"/>
      <c r="F3743" s="2">
        <v>167</v>
      </c>
      <c r="G3743" s="2" t="s">
        <v>11567</v>
      </c>
      <c r="H3743" s="2">
        <v>42</v>
      </c>
      <c r="I3743" s="2" t="s">
        <v>1096</v>
      </c>
      <c r="J3743" s="2">
        <v>656</v>
      </c>
      <c r="K3743" s="2" t="s">
        <v>11603</v>
      </c>
      <c r="L3743" s="2" t="s">
        <v>4885</v>
      </c>
      <c r="M3743" s="3">
        <v>40431</v>
      </c>
      <c r="N3743" s="2" t="s">
        <v>11604</v>
      </c>
      <c r="O3743" s="2" t="s">
        <v>82</v>
      </c>
      <c r="P3743" s="2" t="s">
        <v>82</v>
      </c>
      <c r="Q3743" s="2" t="str">
        <f>"364-A/10"</f>
        <v>364-A/10</v>
      </c>
      <c r="R3743" s="2" t="s">
        <v>78</v>
      </c>
      <c r="S3743" s="2" t="s">
        <v>78</v>
      </c>
      <c r="T3743" s="2">
        <v>1</v>
      </c>
      <c r="U3743" s="2" t="s">
        <v>79</v>
      </c>
      <c r="V3743" s="2">
        <v>1</v>
      </c>
      <c r="W3743" s="2" t="s">
        <v>80</v>
      </c>
      <c r="X3743" s="2">
        <v>12</v>
      </c>
      <c r="Y3743" s="2" t="s">
        <v>148</v>
      </c>
      <c r="Z3743" s="2">
        <v>1</v>
      </c>
      <c r="AA3743" s="2" t="s">
        <v>82</v>
      </c>
      <c r="AB3743" s="2">
        <v>6</v>
      </c>
      <c r="AC3743" s="2" t="s">
        <v>83</v>
      </c>
      <c r="AD3743" s="3">
        <v>40431</v>
      </c>
      <c r="AE3743" s="4">
        <v>0.60416666666666663</v>
      </c>
      <c r="AF3743" s="3">
        <v>40431</v>
      </c>
      <c r="AG3743" s="4">
        <v>0.66875000000000007</v>
      </c>
      <c r="AH3743" s="2">
        <v>2</v>
      </c>
      <c r="AI3743" s="2" t="s">
        <v>84</v>
      </c>
      <c r="AJ3743" s="2">
        <v>12</v>
      </c>
      <c r="AK3743" s="2" t="s">
        <v>85</v>
      </c>
      <c r="AL3743" s="2">
        <v>29</v>
      </c>
      <c r="AM3743" s="2" t="s">
        <v>5416</v>
      </c>
      <c r="AN3743" s="2" t="s">
        <v>107</v>
      </c>
      <c r="AO3743" s="2" t="s">
        <v>11914</v>
      </c>
      <c r="AP3743" s="2">
        <v>11</v>
      </c>
      <c r="AQ3743" s="2" t="s">
        <v>82</v>
      </c>
      <c r="AR3743" s="2" t="s">
        <v>82</v>
      </c>
      <c r="AS3743" s="2" t="s">
        <v>82</v>
      </c>
      <c r="AT3743" s="2" t="s">
        <v>11915</v>
      </c>
      <c r="AU3743" s="2"/>
      <c r="AV3743" s="2"/>
      <c r="AW3743" s="2"/>
      <c r="AX3743" s="2"/>
      <c r="AY3743" s="2">
        <v>41</v>
      </c>
      <c r="AZ3743" s="2" t="s">
        <v>82</v>
      </c>
      <c r="BA3743" s="2">
        <v>41</v>
      </c>
      <c r="BB3743" s="2" t="s">
        <v>82</v>
      </c>
      <c r="BC3743" s="2">
        <v>41</v>
      </c>
      <c r="BD3743" s="2" t="s">
        <v>82</v>
      </c>
      <c r="BE3743" s="2">
        <v>41</v>
      </c>
      <c r="BF3743" s="2" t="s">
        <v>82</v>
      </c>
      <c r="BG3743" s="2" t="s">
        <v>82</v>
      </c>
      <c r="BH3743" s="2"/>
      <c r="BI3743" s="2"/>
      <c r="BJ3743" s="2">
        <v>241</v>
      </c>
      <c r="BK3743" s="2" t="s">
        <v>82</v>
      </c>
      <c r="BL3743" s="2" t="s">
        <v>82</v>
      </c>
      <c r="BM3743" s="2">
        <v>241</v>
      </c>
      <c r="BN3743" s="2" t="s">
        <v>82</v>
      </c>
      <c r="BO3743" s="2" t="s">
        <v>82</v>
      </c>
      <c r="BP3743" s="2">
        <v>241</v>
      </c>
      <c r="BQ3743" s="2" t="s">
        <v>82</v>
      </c>
      <c r="BR3743" s="2" t="s">
        <v>82</v>
      </c>
      <c r="BS3743" s="3">
        <v>40431</v>
      </c>
      <c r="BT3743" s="4">
        <v>0.81196759259259255</v>
      </c>
    </row>
    <row r="3744" spans="1:72" x14ac:dyDescent="0.25">
      <c r="A3744" s="2">
        <v>5536</v>
      </c>
      <c r="B3744" s="2">
        <v>2010</v>
      </c>
      <c r="C3744" s="2" t="s">
        <v>385</v>
      </c>
      <c r="D3744" s="2" t="s">
        <v>122</v>
      </c>
      <c r="E3744" s="2"/>
      <c r="F3744" s="2">
        <v>394</v>
      </c>
      <c r="G3744" s="2" t="s">
        <v>172</v>
      </c>
      <c r="H3744" s="2">
        <v>5</v>
      </c>
      <c r="I3744" s="2" t="s">
        <v>634</v>
      </c>
      <c r="J3744" s="2">
        <v>241</v>
      </c>
      <c r="K3744" s="2" t="s">
        <v>174</v>
      </c>
      <c r="L3744" s="2" t="s">
        <v>175</v>
      </c>
      <c r="M3744" s="3">
        <v>40432</v>
      </c>
      <c r="N3744" s="2" t="s">
        <v>719</v>
      </c>
      <c r="O3744" s="2"/>
      <c r="P3744" s="2"/>
      <c r="Q3744" s="2" t="str">
        <f>"459-E/10"</f>
        <v>459-E/10</v>
      </c>
      <c r="R3744" s="2"/>
      <c r="S3744" s="2" t="s">
        <v>7308</v>
      </c>
      <c r="T3744" s="2">
        <v>1</v>
      </c>
      <c r="U3744" s="2" t="s">
        <v>79</v>
      </c>
      <c r="V3744" s="2">
        <v>1</v>
      </c>
      <c r="W3744" s="2" t="s">
        <v>80</v>
      </c>
      <c r="X3744" s="2">
        <v>1</v>
      </c>
      <c r="Y3744" s="2" t="s">
        <v>81</v>
      </c>
      <c r="Z3744" s="2">
        <v>1</v>
      </c>
      <c r="AA3744" s="2" t="s">
        <v>82</v>
      </c>
      <c r="AB3744" s="2">
        <v>9</v>
      </c>
      <c r="AC3744" s="2" t="s">
        <v>124</v>
      </c>
      <c r="AD3744" s="3">
        <v>40431</v>
      </c>
      <c r="AE3744" s="4">
        <v>0.4861111111111111</v>
      </c>
      <c r="AF3744" s="2"/>
      <c r="AG3744" s="2"/>
      <c r="AH3744" s="2">
        <v>2</v>
      </c>
      <c r="AI3744" s="2" t="s">
        <v>84</v>
      </c>
      <c r="AJ3744" s="2">
        <v>9</v>
      </c>
      <c r="AK3744" s="2" t="s">
        <v>103</v>
      </c>
      <c r="AL3744" s="2">
        <v>14</v>
      </c>
      <c r="AM3744" s="2" t="s">
        <v>216</v>
      </c>
      <c r="AN3744" s="2" t="s">
        <v>1230</v>
      </c>
      <c r="AO3744" s="2"/>
      <c r="AP3744" s="2">
        <v>11</v>
      </c>
      <c r="AQ3744" s="2" t="s">
        <v>82</v>
      </c>
      <c r="AR3744" s="2"/>
      <c r="AS3744" s="2"/>
      <c r="AT3744" s="2" t="s">
        <v>11916</v>
      </c>
      <c r="AU3744" s="2"/>
      <c r="AV3744" s="2">
        <v>2</v>
      </c>
      <c r="AW3744" s="2"/>
      <c r="AX3744" s="2"/>
      <c r="AY3744" s="2">
        <v>41</v>
      </c>
      <c r="AZ3744" s="2" t="s">
        <v>82</v>
      </c>
      <c r="BA3744" s="2">
        <v>41</v>
      </c>
      <c r="BB3744" s="2" t="s">
        <v>82</v>
      </c>
      <c r="BC3744" s="2">
        <v>41</v>
      </c>
      <c r="BD3744" s="2" t="s">
        <v>82</v>
      </c>
      <c r="BE3744" s="2">
        <v>31</v>
      </c>
      <c r="BF3744" s="2" t="s">
        <v>398</v>
      </c>
      <c r="BG3744" s="2">
        <v>6842</v>
      </c>
      <c r="BH3744" s="2"/>
      <c r="BI3744" s="4">
        <v>0.53472222222222221</v>
      </c>
      <c r="BJ3744" s="2">
        <v>13</v>
      </c>
      <c r="BK3744" s="2" t="s">
        <v>91</v>
      </c>
      <c r="BL3744" s="2" t="s">
        <v>2592</v>
      </c>
      <c r="BM3744" s="2">
        <v>241</v>
      </c>
      <c r="BN3744" s="2" t="s">
        <v>82</v>
      </c>
      <c r="BO3744" s="2"/>
      <c r="BP3744" s="2">
        <v>73</v>
      </c>
      <c r="BQ3744" s="2" t="s">
        <v>186</v>
      </c>
      <c r="BR3744" s="2" t="s">
        <v>675</v>
      </c>
      <c r="BS3744" s="3">
        <v>40432</v>
      </c>
      <c r="BT3744" s="4">
        <v>8.7986111111111112E-2</v>
      </c>
    </row>
    <row r="3745" spans="1:72" x14ac:dyDescent="0.25">
      <c r="A3745" s="2">
        <v>5537</v>
      </c>
      <c r="B3745" s="2">
        <v>2010</v>
      </c>
      <c r="C3745" s="2" t="s">
        <v>72</v>
      </c>
      <c r="D3745" s="2" t="s">
        <v>73</v>
      </c>
      <c r="E3745" s="2"/>
      <c r="F3745" s="2">
        <v>673</v>
      </c>
      <c r="G3745" s="2" t="s">
        <v>11655</v>
      </c>
      <c r="H3745" s="2">
        <v>42</v>
      </c>
      <c r="I3745" s="2" t="s">
        <v>1096</v>
      </c>
      <c r="J3745" s="2">
        <v>657</v>
      </c>
      <c r="K3745" s="2" t="s">
        <v>11502</v>
      </c>
      <c r="L3745" s="2" t="s">
        <v>11656</v>
      </c>
      <c r="M3745" s="3">
        <v>40432</v>
      </c>
      <c r="N3745" s="2" t="s">
        <v>11917</v>
      </c>
      <c r="O3745" s="2" t="s">
        <v>107</v>
      </c>
      <c r="P3745" s="2" t="s">
        <v>107</v>
      </c>
      <c r="Q3745" s="2" t="str">
        <f>"365-A/10"</f>
        <v>365-A/10</v>
      </c>
      <c r="R3745" s="2" t="s">
        <v>1547</v>
      </c>
      <c r="S3745" s="2" t="s">
        <v>1547</v>
      </c>
      <c r="T3745" s="2">
        <v>1</v>
      </c>
      <c r="U3745" s="2" t="s">
        <v>79</v>
      </c>
      <c r="V3745" s="2">
        <v>1</v>
      </c>
      <c r="W3745" s="2" t="s">
        <v>80</v>
      </c>
      <c r="X3745" s="2">
        <v>12</v>
      </c>
      <c r="Y3745" s="2" t="s">
        <v>148</v>
      </c>
      <c r="Z3745" s="2">
        <v>1</v>
      </c>
      <c r="AA3745" s="2" t="s">
        <v>82</v>
      </c>
      <c r="AB3745" s="2">
        <v>6</v>
      </c>
      <c r="AC3745" s="2" t="s">
        <v>83</v>
      </c>
      <c r="AD3745" s="3">
        <v>40427</v>
      </c>
      <c r="AE3745" s="2"/>
      <c r="AF3745" s="3">
        <v>40432</v>
      </c>
      <c r="AG3745" s="4">
        <v>3.4722222222222224E-2</v>
      </c>
      <c r="AH3745" s="2">
        <v>2</v>
      </c>
      <c r="AI3745" s="2" t="s">
        <v>84</v>
      </c>
      <c r="AJ3745" s="2">
        <v>12</v>
      </c>
      <c r="AK3745" s="2" t="s">
        <v>85</v>
      </c>
      <c r="AL3745" s="2">
        <v>17</v>
      </c>
      <c r="AM3745" s="2" t="s">
        <v>232</v>
      </c>
      <c r="AN3745" s="2"/>
      <c r="AO3745" s="2" t="s">
        <v>11918</v>
      </c>
      <c r="AP3745" s="2">
        <v>11</v>
      </c>
      <c r="AQ3745" s="2" t="s">
        <v>82</v>
      </c>
      <c r="AR3745" s="2"/>
      <c r="AS3745" s="2"/>
      <c r="AT3745" s="2" t="s">
        <v>11919</v>
      </c>
      <c r="AU3745" s="2"/>
      <c r="AV3745" s="2"/>
      <c r="AW3745" s="2"/>
      <c r="AX3745" s="2"/>
      <c r="AY3745" s="2">
        <v>41</v>
      </c>
      <c r="AZ3745" s="2" t="s">
        <v>82</v>
      </c>
      <c r="BA3745" s="2">
        <v>41</v>
      </c>
      <c r="BB3745" s="2" t="s">
        <v>82</v>
      </c>
      <c r="BC3745" s="2">
        <v>41</v>
      </c>
      <c r="BD3745" s="2" t="s">
        <v>82</v>
      </c>
      <c r="BE3745" s="2">
        <v>41</v>
      </c>
      <c r="BF3745" s="2" t="s">
        <v>82</v>
      </c>
      <c r="BG3745" s="2"/>
      <c r="BH3745" s="2"/>
      <c r="BI3745" s="2"/>
      <c r="BJ3745" s="2">
        <v>241</v>
      </c>
      <c r="BK3745" s="2" t="s">
        <v>82</v>
      </c>
      <c r="BL3745" s="2"/>
      <c r="BM3745" s="2">
        <v>241</v>
      </c>
      <c r="BN3745" s="2" t="s">
        <v>82</v>
      </c>
      <c r="BO3745" s="2"/>
      <c r="BP3745" s="2">
        <v>241</v>
      </c>
      <c r="BQ3745" s="2" t="s">
        <v>82</v>
      </c>
      <c r="BR3745" s="2"/>
      <c r="BS3745" s="3">
        <v>40432</v>
      </c>
      <c r="BT3745" s="4">
        <v>0.1978587962962963</v>
      </c>
    </row>
    <row r="3746" spans="1:72" x14ac:dyDescent="0.25">
      <c r="A3746" s="2">
        <v>5540</v>
      </c>
      <c r="B3746" s="2">
        <v>2010</v>
      </c>
      <c r="C3746" s="2" t="s">
        <v>377</v>
      </c>
      <c r="D3746" s="2" t="s">
        <v>73</v>
      </c>
      <c r="E3746" s="2"/>
      <c r="F3746" s="2">
        <v>426</v>
      </c>
      <c r="G3746" s="2" t="s">
        <v>378</v>
      </c>
      <c r="H3746" s="2">
        <v>42</v>
      </c>
      <c r="I3746" s="2" t="s">
        <v>1096</v>
      </c>
      <c r="J3746" s="2">
        <v>311</v>
      </c>
      <c r="K3746" s="2" t="s">
        <v>379</v>
      </c>
      <c r="L3746" s="2" t="s">
        <v>380</v>
      </c>
      <c r="M3746" s="3">
        <v>40432</v>
      </c>
      <c r="N3746" s="2" t="s">
        <v>5164</v>
      </c>
      <c r="O3746" s="2"/>
      <c r="P3746" s="2"/>
      <c r="Q3746" s="2" t="str">
        <f>"241-C/10"</f>
        <v>241-C/10</v>
      </c>
      <c r="R3746" s="2"/>
      <c r="S3746" s="2" t="s">
        <v>4428</v>
      </c>
      <c r="T3746" s="2">
        <v>1</v>
      </c>
      <c r="U3746" s="2" t="s">
        <v>79</v>
      </c>
      <c r="V3746" s="2">
        <v>1</v>
      </c>
      <c r="W3746" s="2" t="s">
        <v>80</v>
      </c>
      <c r="X3746" s="2">
        <v>1</v>
      </c>
      <c r="Y3746" s="2" t="s">
        <v>81</v>
      </c>
      <c r="Z3746" s="2">
        <v>1</v>
      </c>
      <c r="AA3746" s="2" t="s">
        <v>82</v>
      </c>
      <c r="AB3746" s="2">
        <v>9</v>
      </c>
      <c r="AC3746" s="2" t="s">
        <v>124</v>
      </c>
      <c r="AD3746" s="3">
        <v>40431</v>
      </c>
      <c r="AE3746" s="4">
        <v>0.95833333333333337</v>
      </c>
      <c r="AF3746" s="2"/>
      <c r="AG3746" s="2"/>
      <c r="AH3746" s="2">
        <v>2</v>
      </c>
      <c r="AI3746" s="2" t="s">
        <v>84</v>
      </c>
      <c r="AJ3746" s="2">
        <v>9</v>
      </c>
      <c r="AK3746" s="2" t="s">
        <v>103</v>
      </c>
      <c r="AL3746" s="2">
        <v>24</v>
      </c>
      <c r="AM3746" s="2" t="s">
        <v>1540</v>
      </c>
      <c r="AN3746" s="2" t="s">
        <v>5705</v>
      </c>
      <c r="AO3746" s="2"/>
      <c r="AP3746" s="2">
        <v>11</v>
      </c>
      <c r="AQ3746" s="2" t="s">
        <v>82</v>
      </c>
      <c r="AR3746" s="2"/>
      <c r="AS3746" s="2"/>
      <c r="AT3746" s="2" t="s">
        <v>11920</v>
      </c>
      <c r="AU3746" s="2"/>
      <c r="AV3746" s="2"/>
      <c r="AW3746" s="2"/>
      <c r="AX3746" s="2"/>
      <c r="AY3746" s="2">
        <v>41</v>
      </c>
      <c r="AZ3746" s="2" t="s">
        <v>82</v>
      </c>
      <c r="BA3746" s="2">
        <v>41</v>
      </c>
      <c r="BB3746" s="2" t="s">
        <v>82</v>
      </c>
      <c r="BC3746" s="2">
        <v>41</v>
      </c>
      <c r="BD3746" s="2" t="s">
        <v>82</v>
      </c>
      <c r="BE3746" s="2">
        <v>41</v>
      </c>
      <c r="BF3746" s="2" t="s">
        <v>82</v>
      </c>
      <c r="BG3746" s="2"/>
      <c r="BH3746" s="2"/>
      <c r="BI3746" s="2"/>
      <c r="BJ3746" s="2">
        <v>241</v>
      </c>
      <c r="BK3746" s="2" t="s">
        <v>82</v>
      </c>
      <c r="BL3746" s="2"/>
      <c r="BM3746" s="2">
        <v>241</v>
      </c>
      <c r="BN3746" s="2" t="s">
        <v>82</v>
      </c>
      <c r="BO3746" s="2"/>
      <c r="BP3746" s="2">
        <v>241</v>
      </c>
      <c r="BQ3746" s="2" t="s">
        <v>82</v>
      </c>
      <c r="BR3746" s="2"/>
      <c r="BS3746" s="3">
        <v>40432</v>
      </c>
      <c r="BT3746" s="4">
        <v>0.62084490740740739</v>
      </c>
    </row>
    <row r="3747" spans="1:72" x14ac:dyDescent="0.25">
      <c r="A3747" s="2">
        <v>5541</v>
      </c>
      <c r="B3747" s="2">
        <v>2010</v>
      </c>
      <c r="C3747" s="2" t="s">
        <v>72</v>
      </c>
      <c r="D3747" s="2" t="s">
        <v>73</v>
      </c>
      <c r="E3747" s="2"/>
      <c r="F3747" s="2">
        <v>3</v>
      </c>
      <c r="G3747" s="2" t="s">
        <v>1041</v>
      </c>
      <c r="H3747" s="2">
        <v>22</v>
      </c>
      <c r="I3747" s="2" t="s">
        <v>75</v>
      </c>
      <c r="J3747" s="2">
        <v>368</v>
      </c>
      <c r="K3747" s="2" t="s">
        <v>1042</v>
      </c>
      <c r="L3747" s="2" t="s">
        <v>1043</v>
      </c>
      <c r="M3747" s="3">
        <v>40432</v>
      </c>
      <c r="N3747" s="2"/>
      <c r="O3747" s="2"/>
      <c r="P3747" s="2"/>
      <c r="Q3747" s="2" t="str">
        <f>"460-E/10"</f>
        <v>460-E/10</v>
      </c>
      <c r="R3747" s="2" t="s">
        <v>116</v>
      </c>
      <c r="S3747" s="2" t="s">
        <v>116</v>
      </c>
      <c r="T3747" s="2">
        <v>1</v>
      </c>
      <c r="U3747" s="2" t="s">
        <v>79</v>
      </c>
      <c r="V3747" s="2">
        <v>1</v>
      </c>
      <c r="W3747" s="2" t="s">
        <v>80</v>
      </c>
      <c r="X3747" s="2">
        <v>12</v>
      </c>
      <c r="Y3747" s="2" t="s">
        <v>148</v>
      </c>
      <c r="Z3747" s="2">
        <v>1</v>
      </c>
      <c r="AA3747" s="2" t="s">
        <v>82</v>
      </c>
      <c r="AB3747" s="2">
        <v>6</v>
      </c>
      <c r="AC3747" s="2" t="s">
        <v>83</v>
      </c>
      <c r="AD3747" s="3">
        <v>40425</v>
      </c>
      <c r="AE3747" s="2"/>
      <c r="AF3747" s="3">
        <v>40432</v>
      </c>
      <c r="AG3747" s="4">
        <v>0.60069444444444442</v>
      </c>
      <c r="AH3747" s="2">
        <v>2</v>
      </c>
      <c r="AI3747" s="2" t="s">
        <v>84</v>
      </c>
      <c r="AJ3747" s="2">
        <v>9</v>
      </c>
      <c r="AK3747" s="2" t="s">
        <v>103</v>
      </c>
      <c r="AL3747" s="2">
        <v>23</v>
      </c>
      <c r="AM3747" s="2" t="s">
        <v>251</v>
      </c>
      <c r="AN3747" s="2"/>
      <c r="AO3747" s="2" t="s">
        <v>11921</v>
      </c>
      <c r="AP3747" s="2">
        <v>11</v>
      </c>
      <c r="AQ3747" s="2" t="s">
        <v>82</v>
      </c>
      <c r="AR3747" s="2"/>
      <c r="AS3747" s="2"/>
      <c r="AT3747" s="2" t="s">
        <v>11922</v>
      </c>
      <c r="AU3747" s="2"/>
      <c r="AV3747" s="2"/>
      <c r="AW3747" s="2"/>
      <c r="AX3747" s="2"/>
      <c r="AY3747" s="2">
        <v>41</v>
      </c>
      <c r="AZ3747" s="2" t="s">
        <v>82</v>
      </c>
      <c r="BA3747" s="2">
        <v>41</v>
      </c>
      <c r="BB3747" s="2" t="s">
        <v>82</v>
      </c>
      <c r="BC3747" s="2">
        <v>41</v>
      </c>
      <c r="BD3747" s="2" t="s">
        <v>82</v>
      </c>
      <c r="BE3747" s="2">
        <v>41</v>
      </c>
      <c r="BF3747" s="2" t="s">
        <v>82</v>
      </c>
      <c r="BG3747" s="2"/>
      <c r="BH3747" s="2"/>
      <c r="BI3747" s="2"/>
      <c r="BJ3747" s="2">
        <v>241</v>
      </c>
      <c r="BK3747" s="2" t="s">
        <v>82</v>
      </c>
      <c r="BL3747" s="2"/>
      <c r="BM3747" s="2">
        <v>241</v>
      </c>
      <c r="BN3747" s="2" t="s">
        <v>82</v>
      </c>
      <c r="BO3747" s="2"/>
      <c r="BP3747" s="2">
        <v>241</v>
      </c>
      <c r="BQ3747" s="2" t="s">
        <v>82</v>
      </c>
      <c r="BR3747" s="2"/>
      <c r="BS3747" s="3">
        <v>40432</v>
      </c>
      <c r="BT3747" s="4">
        <v>0.68027777777777787</v>
      </c>
    </row>
    <row r="3748" spans="1:72" x14ac:dyDescent="0.25">
      <c r="A3748" s="2">
        <v>5542</v>
      </c>
      <c r="B3748" s="2">
        <v>2010</v>
      </c>
      <c r="C3748" s="2" t="s">
        <v>196</v>
      </c>
      <c r="D3748" s="2" t="s">
        <v>122</v>
      </c>
      <c r="E3748" s="2"/>
      <c r="F3748" s="2">
        <v>1</v>
      </c>
      <c r="G3748" s="2" t="s">
        <v>82</v>
      </c>
      <c r="H3748" s="2">
        <v>1</v>
      </c>
      <c r="I3748" s="2" t="s">
        <v>82</v>
      </c>
      <c r="J3748" s="2">
        <v>1</v>
      </c>
      <c r="K3748" s="2" t="s">
        <v>107</v>
      </c>
      <c r="L3748" s="2" t="s">
        <v>107</v>
      </c>
      <c r="M3748" s="3">
        <v>40432</v>
      </c>
      <c r="N3748" s="2"/>
      <c r="O3748" s="2"/>
      <c r="P3748" s="2"/>
      <c r="Q3748" s="2" t="str">
        <f>""</f>
        <v/>
      </c>
      <c r="R3748" s="2"/>
      <c r="S3748" s="2"/>
      <c r="T3748" s="2">
        <v>2</v>
      </c>
      <c r="U3748" s="2" t="s">
        <v>123</v>
      </c>
      <c r="V3748" s="2">
        <v>1</v>
      </c>
      <c r="W3748" s="2" t="s">
        <v>80</v>
      </c>
      <c r="X3748" s="2">
        <v>11</v>
      </c>
      <c r="Y3748" s="2" t="s">
        <v>1920</v>
      </c>
      <c r="Z3748" s="2">
        <v>10</v>
      </c>
      <c r="AA3748" s="2" t="s">
        <v>236</v>
      </c>
      <c r="AB3748" s="2">
        <v>9</v>
      </c>
      <c r="AC3748" s="2" t="s">
        <v>124</v>
      </c>
      <c r="AD3748" s="3">
        <v>40432</v>
      </c>
      <c r="AE3748" s="4">
        <v>0.6875</v>
      </c>
      <c r="AF3748" s="2"/>
      <c r="AG3748" s="2"/>
      <c r="AH3748" s="2">
        <v>4</v>
      </c>
      <c r="AI3748" s="2" t="s">
        <v>125</v>
      </c>
      <c r="AJ3748" s="2">
        <v>28</v>
      </c>
      <c r="AK3748" s="2" t="s">
        <v>741</v>
      </c>
      <c r="AL3748" s="2">
        <v>10</v>
      </c>
      <c r="AM3748" s="2" t="s">
        <v>200</v>
      </c>
      <c r="AN3748" s="2" t="s">
        <v>200</v>
      </c>
      <c r="AO3748" s="2" t="s">
        <v>11923</v>
      </c>
      <c r="AP3748" s="2">
        <v>11</v>
      </c>
      <c r="AQ3748" s="2" t="s">
        <v>82</v>
      </c>
      <c r="AR3748" s="2"/>
      <c r="AS3748" s="2"/>
      <c r="AT3748" s="2" t="s">
        <v>11924</v>
      </c>
      <c r="AU3748" s="2"/>
      <c r="AV3748" s="2"/>
      <c r="AW3748" s="2"/>
      <c r="AX3748" s="2"/>
      <c r="AY3748" s="2">
        <v>41</v>
      </c>
      <c r="AZ3748" s="2" t="s">
        <v>82</v>
      </c>
      <c r="BA3748" s="2">
        <v>41</v>
      </c>
      <c r="BB3748" s="2" t="s">
        <v>82</v>
      </c>
      <c r="BC3748" s="2">
        <v>41</v>
      </c>
      <c r="BD3748" s="2" t="s">
        <v>82</v>
      </c>
      <c r="BE3748" s="2">
        <v>41</v>
      </c>
      <c r="BF3748" s="2" t="s">
        <v>82</v>
      </c>
      <c r="BG3748" s="2"/>
      <c r="BH3748" s="4">
        <v>0.6972222222222223</v>
      </c>
      <c r="BI3748" s="4">
        <v>0.77083333333333337</v>
      </c>
      <c r="BJ3748" s="2">
        <v>241</v>
      </c>
      <c r="BK3748" s="2" t="s">
        <v>82</v>
      </c>
      <c r="BL3748" s="2" t="s">
        <v>8272</v>
      </c>
      <c r="BM3748" s="2">
        <v>241</v>
      </c>
      <c r="BN3748" s="2" t="s">
        <v>82</v>
      </c>
      <c r="BO3748" s="2" t="s">
        <v>744</v>
      </c>
      <c r="BP3748" s="2">
        <v>241</v>
      </c>
      <c r="BQ3748" s="2" t="s">
        <v>82</v>
      </c>
      <c r="BR3748" s="2" t="s">
        <v>445</v>
      </c>
      <c r="BS3748" s="3">
        <v>40432</v>
      </c>
      <c r="BT3748" s="4">
        <v>0.79423611111111114</v>
      </c>
    </row>
    <row r="3749" spans="1:72" x14ac:dyDescent="0.25">
      <c r="A3749" s="2">
        <v>5543</v>
      </c>
      <c r="B3749" s="2">
        <v>2010</v>
      </c>
      <c r="C3749" s="2" t="s">
        <v>72</v>
      </c>
      <c r="D3749" s="2" t="s">
        <v>73</v>
      </c>
      <c r="E3749" s="2"/>
      <c r="F3749" s="2">
        <v>540</v>
      </c>
      <c r="G3749" s="2" t="s">
        <v>7178</v>
      </c>
      <c r="H3749" s="2">
        <v>7</v>
      </c>
      <c r="I3749" s="2" t="s">
        <v>476</v>
      </c>
      <c r="J3749" s="2">
        <v>533</v>
      </c>
      <c r="K3749" s="2" t="s">
        <v>6511</v>
      </c>
      <c r="L3749" s="2" t="s">
        <v>478</v>
      </c>
      <c r="M3749" s="3">
        <v>40432</v>
      </c>
      <c r="N3749" s="2" t="s">
        <v>11925</v>
      </c>
      <c r="O3749" s="2"/>
      <c r="P3749" s="2"/>
      <c r="Q3749" s="2" t="str">
        <f>"461-E/10"</f>
        <v>461-E/10</v>
      </c>
      <c r="R3749" s="2" t="s">
        <v>601</v>
      </c>
      <c r="S3749" s="2" t="s">
        <v>601</v>
      </c>
      <c r="T3749" s="2">
        <v>1</v>
      </c>
      <c r="U3749" s="2" t="s">
        <v>79</v>
      </c>
      <c r="V3749" s="2">
        <v>1</v>
      </c>
      <c r="W3749" s="2" t="s">
        <v>80</v>
      </c>
      <c r="X3749" s="2">
        <v>12</v>
      </c>
      <c r="Y3749" s="2" t="s">
        <v>148</v>
      </c>
      <c r="Z3749" s="2">
        <v>1</v>
      </c>
      <c r="AA3749" s="2" t="s">
        <v>82</v>
      </c>
      <c r="AB3749" s="2">
        <v>6</v>
      </c>
      <c r="AC3749" s="2" t="s">
        <v>83</v>
      </c>
      <c r="AD3749" s="3">
        <v>40427</v>
      </c>
      <c r="AE3749" s="2"/>
      <c r="AF3749" s="3">
        <v>40432</v>
      </c>
      <c r="AG3749" s="4">
        <v>0.8125</v>
      </c>
      <c r="AH3749" s="2">
        <v>2</v>
      </c>
      <c r="AI3749" s="2" t="s">
        <v>84</v>
      </c>
      <c r="AJ3749" s="2">
        <v>9</v>
      </c>
      <c r="AK3749" s="2" t="s">
        <v>103</v>
      </c>
      <c r="AL3749" s="2">
        <v>22</v>
      </c>
      <c r="AM3749" s="2" t="s">
        <v>1853</v>
      </c>
      <c r="AN3749" s="2"/>
      <c r="AO3749" s="2" t="s">
        <v>11926</v>
      </c>
      <c r="AP3749" s="2">
        <v>11</v>
      </c>
      <c r="AQ3749" s="2" t="s">
        <v>82</v>
      </c>
      <c r="AR3749" s="2"/>
      <c r="AS3749" s="2"/>
      <c r="AT3749" s="2" t="s">
        <v>11927</v>
      </c>
      <c r="AU3749" s="2"/>
      <c r="AV3749" s="2"/>
      <c r="AW3749" s="2"/>
      <c r="AX3749" s="2"/>
      <c r="AY3749" s="2">
        <v>41</v>
      </c>
      <c r="AZ3749" s="2" t="s">
        <v>82</v>
      </c>
      <c r="BA3749" s="2">
        <v>41</v>
      </c>
      <c r="BB3749" s="2" t="s">
        <v>82</v>
      </c>
      <c r="BC3749" s="2">
        <v>41</v>
      </c>
      <c r="BD3749" s="2" t="s">
        <v>82</v>
      </c>
      <c r="BE3749" s="2">
        <v>31</v>
      </c>
      <c r="BF3749" s="2" t="s">
        <v>398</v>
      </c>
      <c r="BG3749" s="2" t="s">
        <v>1800</v>
      </c>
      <c r="BH3749" s="2"/>
      <c r="BI3749" s="2"/>
      <c r="BJ3749" s="2">
        <v>73</v>
      </c>
      <c r="BK3749" s="2" t="s">
        <v>186</v>
      </c>
      <c r="BL3749" s="2" t="s">
        <v>187</v>
      </c>
      <c r="BM3749" s="2">
        <v>241</v>
      </c>
      <c r="BN3749" s="2" t="s">
        <v>82</v>
      </c>
      <c r="BO3749" s="2"/>
      <c r="BP3749" s="2">
        <v>13</v>
      </c>
      <c r="BQ3749" s="2" t="s">
        <v>91</v>
      </c>
      <c r="BR3749" s="2" t="s">
        <v>360</v>
      </c>
      <c r="BS3749" s="3">
        <v>40432</v>
      </c>
      <c r="BT3749" s="4">
        <v>0.84929398148148139</v>
      </c>
    </row>
    <row r="3750" spans="1:72" x14ac:dyDescent="0.25">
      <c r="A3750" s="2">
        <v>5544</v>
      </c>
      <c r="B3750" s="2">
        <v>2010</v>
      </c>
      <c r="C3750" s="2" t="s">
        <v>72</v>
      </c>
      <c r="D3750" s="2" t="s">
        <v>73</v>
      </c>
      <c r="E3750" s="2"/>
      <c r="F3750" s="2">
        <v>390</v>
      </c>
      <c r="G3750" s="2" t="s">
        <v>475</v>
      </c>
      <c r="H3750" s="2">
        <v>7</v>
      </c>
      <c r="I3750" s="2" t="s">
        <v>476</v>
      </c>
      <c r="J3750" s="2">
        <v>533</v>
      </c>
      <c r="K3750" s="2" t="s">
        <v>6511</v>
      </c>
      <c r="L3750" s="2" t="s">
        <v>478</v>
      </c>
      <c r="M3750" s="3">
        <v>40433</v>
      </c>
      <c r="N3750" s="2" t="s">
        <v>11894</v>
      </c>
      <c r="O3750" s="2"/>
      <c r="P3750" s="2"/>
      <c r="Q3750" s="2" t="str">
        <f>"462-E/10"</f>
        <v>462-E/10</v>
      </c>
      <c r="R3750" s="2" t="s">
        <v>601</v>
      </c>
      <c r="S3750" s="2" t="s">
        <v>601</v>
      </c>
      <c r="T3750" s="2">
        <v>1</v>
      </c>
      <c r="U3750" s="2" t="s">
        <v>79</v>
      </c>
      <c r="V3750" s="2">
        <v>1</v>
      </c>
      <c r="W3750" s="2" t="s">
        <v>80</v>
      </c>
      <c r="X3750" s="2">
        <v>12</v>
      </c>
      <c r="Y3750" s="2" t="s">
        <v>148</v>
      </c>
      <c r="Z3750" s="2">
        <v>1</v>
      </c>
      <c r="AA3750" s="2" t="s">
        <v>82</v>
      </c>
      <c r="AB3750" s="2">
        <v>6</v>
      </c>
      <c r="AC3750" s="2" t="s">
        <v>83</v>
      </c>
      <c r="AD3750" s="3">
        <v>40432</v>
      </c>
      <c r="AE3750" s="2"/>
      <c r="AF3750" s="3">
        <v>40433</v>
      </c>
      <c r="AG3750" s="4">
        <v>1.3888888888888888E-2</v>
      </c>
      <c r="AH3750" s="2">
        <v>2</v>
      </c>
      <c r="AI3750" s="2" t="s">
        <v>84</v>
      </c>
      <c r="AJ3750" s="2">
        <v>9</v>
      </c>
      <c r="AK3750" s="2" t="s">
        <v>103</v>
      </c>
      <c r="AL3750" s="2">
        <v>22</v>
      </c>
      <c r="AM3750" s="2" t="s">
        <v>1853</v>
      </c>
      <c r="AN3750" s="2" t="s">
        <v>1346</v>
      </c>
      <c r="AO3750" s="2" t="s">
        <v>11928</v>
      </c>
      <c r="AP3750" s="2">
        <v>11</v>
      </c>
      <c r="AQ3750" s="2" t="s">
        <v>82</v>
      </c>
      <c r="AR3750" s="2"/>
      <c r="AS3750" s="2"/>
      <c r="AT3750" s="2" t="s">
        <v>11929</v>
      </c>
      <c r="AU3750" s="2"/>
      <c r="AV3750" s="2"/>
      <c r="AW3750" s="2"/>
      <c r="AX3750" s="2"/>
      <c r="AY3750" s="2">
        <v>41</v>
      </c>
      <c r="AZ3750" s="2" t="s">
        <v>82</v>
      </c>
      <c r="BA3750" s="2">
        <v>41</v>
      </c>
      <c r="BB3750" s="2" t="s">
        <v>82</v>
      </c>
      <c r="BC3750" s="2">
        <v>41</v>
      </c>
      <c r="BD3750" s="2" t="s">
        <v>82</v>
      </c>
      <c r="BE3750" s="2">
        <v>17</v>
      </c>
      <c r="BF3750" s="2" t="s">
        <v>508</v>
      </c>
      <c r="BG3750" s="2" t="s">
        <v>11930</v>
      </c>
      <c r="BH3750" s="4">
        <v>0.96666666666666667</v>
      </c>
      <c r="BI3750" s="2"/>
      <c r="BJ3750" s="2">
        <v>46</v>
      </c>
      <c r="BK3750" s="2" t="s">
        <v>307</v>
      </c>
      <c r="BL3750" s="2" t="s">
        <v>308</v>
      </c>
      <c r="BM3750" s="2">
        <v>241</v>
      </c>
      <c r="BN3750" s="2" t="s">
        <v>82</v>
      </c>
      <c r="BO3750" s="2"/>
      <c r="BP3750" s="2">
        <v>13</v>
      </c>
      <c r="BQ3750" s="2" t="s">
        <v>91</v>
      </c>
      <c r="BR3750" s="2" t="s">
        <v>360</v>
      </c>
      <c r="BS3750" s="3">
        <v>40433</v>
      </c>
      <c r="BT3750" s="4">
        <v>0.19990740740740742</v>
      </c>
    </row>
    <row r="3751" spans="1:72" x14ac:dyDescent="0.25">
      <c r="A3751" s="2">
        <v>5545</v>
      </c>
      <c r="B3751" s="2">
        <v>2010</v>
      </c>
      <c r="C3751" s="2" t="s">
        <v>72</v>
      </c>
      <c r="D3751" s="2" t="s">
        <v>73</v>
      </c>
      <c r="E3751" s="2"/>
      <c r="F3751" s="2">
        <v>279</v>
      </c>
      <c r="G3751" s="2" t="s">
        <v>4464</v>
      </c>
      <c r="H3751" s="2">
        <v>22</v>
      </c>
      <c r="I3751" s="2" t="s">
        <v>75</v>
      </c>
      <c r="J3751" s="2">
        <v>284</v>
      </c>
      <c r="K3751" s="2" t="s">
        <v>4465</v>
      </c>
      <c r="L3751" s="2" t="s">
        <v>4466</v>
      </c>
      <c r="M3751" s="3">
        <v>40433</v>
      </c>
      <c r="N3751" s="2" t="s">
        <v>9222</v>
      </c>
      <c r="O3751" s="2" t="s">
        <v>601</v>
      </c>
      <c r="P3751" s="2" t="s">
        <v>11931</v>
      </c>
      <c r="Q3751" s="2" t="str">
        <f>"009/2010"</f>
        <v>009/2010</v>
      </c>
      <c r="R3751" s="2" t="s">
        <v>601</v>
      </c>
      <c r="S3751" s="2" t="s">
        <v>601</v>
      </c>
      <c r="T3751" s="2">
        <v>1</v>
      </c>
      <c r="U3751" s="2" t="s">
        <v>79</v>
      </c>
      <c r="V3751" s="2">
        <v>1</v>
      </c>
      <c r="W3751" s="2" t="s">
        <v>80</v>
      </c>
      <c r="X3751" s="2">
        <v>1</v>
      </c>
      <c r="Y3751" s="2" t="s">
        <v>81</v>
      </c>
      <c r="Z3751" s="2">
        <v>1</v>
      </c>
      <c r="AA3751" s="2" t="s">
        <v>82</v>
      </c>
      <c r="AB3751" s="2">
        <v>6</v>
      </c>
      <c r="AC3751" s="2" t="s">
        <v>83</v>
      </c>
      <c r="AD3751" s="3">
        <v>40433</v>
      </c>
      <c r="AE3751" s="4">
        <v>2.0833333333333332E-2</v>
      </c>
      <c r="AF3751" s="2"/>
      <c r="AG3751" s="2"/>
      <c r="AH3751" s="2">
        <v>3</v>
      </c>
      <c r="AI3751" s="2" t="s">
        <v>214</v>
      </c>
      <c r="AJ3751" s="2">
        <v>18</v>
      </c>
      <c r="AK3751" s="2" t="s">
        <v>4469</v>
      </c>
      <c r="AL3751" s="2">
        <v>9</v>
      </c>
      <c r="AM3751" s="2" t="s">
        <v>259</v>
      </c>
      <c r="AN3751" s="2" t="s">
        <v>11932</v>
      </c>
      <c r="AO3751" s="2"/>
      <c r="AP3751" s="2">
        <v>11</v>
      </c>
      <c r="AQ3751" s="2" t="s">
        <v>82</v>
      </c>
      <c r="AR3751" s="2"/>
      <c r="AS3751" s="2"/>
      <c r="AT3751" s="2" t="s">
        <v>11933</v>
      </c>
      <c r="AU3751" s="2"/>
      <c r="AV3751" s="2"/>
      <c r="AW3751" s="2"/>
      <c r="AX3751" s="2"/>
      <c r="AY3751" s="2">
        <v>44</v>
      </c>
      <c r="AZ3751" s="2" t="s">
        <v>262</v>
      </c>
      <c r="BA3751" s="2">
        <v>41</v>
      </c>
      <c r="BB3751" s="2" t="s">
        <v>82</v>
      </c>
      <c r="BC3751" s="2">
        <v>41</v>
      </c>
      <c r="BD3751" s="2" t="s">
        <v>82</v>
      </c>
      <c r="BE3751" s="2">
        <v>41</v>
      </c>
      <c r="BF3751" s="2" t="s">
        <v>82</v>
      </c>
      <c r="BG3751" s="2"/>
      <c r="BH3751" s="2"/>
      <c r="BI3751" s="2"/>
      <c r="BJ3751" s="2">
        <v>241</v>
      </c>
      <c r="BK3751" s="2" t="s">
        <v>82</v>
      </c>
      <c r="BL3751" s="2"/>
      <c r="BM3751" s="2">
        <v>241</v>
      </c>
      <c r="BN3751" s="2" t="s">
        <v>82</v>
      </c>
      <c r="BO3751" s="2"/>
      <c r="BP3751" s="2">
        <v>241</v>
      </c>
      <c r="BQ3751" s="2" t="s">
        <v>82</v>
      </c>
      <c r="BR3751" s="2"/>
      <c r="BS3751" s="3">
        <v>40433</v>
      </c>
      <c r="BT3751" s="4">
        <v>0.43180555555555555</v>
      </c>
    </row>
    <row r="3752" spans="1:72" x14ac:dyDescent="0.25">
      <c r="A3752" s="2">
        <v>5546</v>
      </c>
      <c r="B3752" s="2">
        <v>2010</v>
      </c>
      <c r="C3752" s="2" t="s">
        <v>418</v>
      </c>
      <c r="D3752" s="2" t="s">
        <v>122</v>
      </c>
      <c r="E3752" s="2"/>
      <c r="F3752" s="2">
        <v>1</v>
      </c>
      <c r="G3752" s="2" t="s">
        <v>82</v>
      </c>
      <c r="H3752" s="2">
        <v>1</v>
      </c>
      <c r="I3752" s="2" t="s">
        <v>82</v>
      </c>
      <c r="J3752" s="2">
        <v>1</v>
      </c>
      <c r="K3752" s="2" t="s">
        <v>107</v>
      </c>
      <c r="L3752" s="2" t="s">
        <v>107</v>
      </c>
      <c r="M3752" s="3">
        <v>40433</v>
      </c>
      <c r="N3752" s="2"/>
      <c r="O3752" s="2"/>
      <c r="P3752" s="2"/>
      <c r="Q3752" s="2" t="str">
        <f>""</f>
        <v/>
      </c>
      <c r="R3752" s="2"/>
      <c r="S3752" s="2"/>
      <c r="T3752" s="2">
        <v>2</v>
      </c>
      <c r="U3752" s="2" t="s">
        <v>123</v>
      </c>
      <c r="V3752" s="2">
        <v>1</v>
      </c>
      <c r="W3752" s="2" t="s">
        <v>80</v>
      </c>
      <c r="X3752" s="2">
        <v>5</v>
      </c>
      <c r="Y3752" s="2" t="s">
        <v>82</v>
      </c>
      <c r="Z3752" s="2">
        <v>1</v>
      </c>
      <c r="AA3752" s="2" t="s">
        <v>82</v>
      </c>
      <c r="AB3752" s="2">
        <v>9</v>
      </c>
      <c r="AC3752" s="2" t="s">
        <v>124</v>
      </c>
      <c r="AD3752" s="3">
        <v>40433</v>
      </c>
      <c r="AE3752" s="4">
        <v>0.4375</v>
      </c>
      <c r="AF3752" s="2"/>
      <c r="AG3752" s="2"/>
      <c r="AH3752" s="2">
        <v>4</v>
      </c>
      <c r="AI3752" s="2" t="s">
        <v>125</v>
      </c>
      <c r="AJ3752" s="2">
        <v>28</v>
      </c>
      <c r="AK3752" s="2" t="s">
        <v>741</v>
      </c>
      <c r="AL3752" s="2">
        <v>18</v>
      </c>
      <c r="AM3752" s="2" t="s">
        <v>82</v>
      </c>
      <c r="AN3752" s="2" t="s">
        <v>11934</v>
      </c>
      <c r="AO3752" s="2" t="s">
        <v>11935</v>
      </c>
      <c r="AP3752" s="2">
        <v>11</v>
      </c>
      <c r="AQ3752" s="2" t="s">
        <v>82</v>
      </c>
      <c r="AR3752" s="2"/>
      <c r="AS3752" s="2"/>
      <c r="AT3752" s="2" t="s">
        <v>11936</v>
      </c>
      <c r="AU3752" s="2"/>
      <c r="AV3752" s="2"/>
      <c r="AW3752" s="2"/>
      <c r="AX3752" s="2"/>
      <c r="AY3752" s="2">
        <v>1</v>
      </c>
      <c r="AZ3752" s="2" t="s">
        <v>107</v>
      </c>
      <c r="BA3752" s="2">
        <v>1</v>
      </c>
      <c r="BB3752" s="2" t="s">
        <v>107</v>
      </c>
      <c r="BC3752" s="2">
        <v>1</v>
      </c>
      <c r="BD3752" s="2" t="s">
        <v>107</v>
      </c>
      <c r="BE3752" s="2">
        <v>1</v>
      </c>
      <c r="BF3752" s="2" t="s">
        <v>107</v>
      </c>
      <c r="BG3752" s="2"/>
      <c r="BH3752" s="2"/>
      <c r="BI3752" s="4">
        <v>0.43055555555555558</v>
      </c>
      <c r="BJ3752" s="2">
        <v>242</v>
      </c>
      <c r="BK3752" s="2" t="s">
        <v>107</v>
      </c>
      <c r="BL3752" s="2"/>
      <c r="BM3752" s="2">
        <v>242</v>
      </c>
      <c r="BN3752" s="2" t="s">
        <v>107</v>
      </c>
      <c r="BO3752" s="2"/>
      <c r="BP3752" s="2">
        <v>242</v>
      </c>
      <c r="BQ3752" s="2" t="s">
        <v>107</v>
      </c>
      <c r="BR3752" s="2"/>
      <c r="BS3752" s="3">
        <v>40433</v>
      </c>
      <c r="BT3752" s="4">
        <v>0.52317129629629633</v>
      </c>
    </row>
    <row r="3753" spans="1:72" x14ac:dyDescent="0.25">
      <c r="A3753" s="2">
        <v>5547</v>
      </c>
      <c r="B3753" s="2">
        <v>2010</v>
      </c>
      <c r="C3753" s="2" t="s">
        <v>418</v>
      </c>
      <c r="D3753" s="2" t="s">
        <v>122</v>
      </c>
      <c r="E3753" s="2" t="s">
        <v>11937</v>
      </c>
      <c r="F3753" s="2">
        <v>1</v>
      </c>
      <c r="G3753" s="2" t="s">
        <v>82</v>
      </c>
      <c r="H3753" s="2">
        <v>1</v>
      </c>
      <c r="I3753" s="2" t="s">
        <v>82</v>
      </c>
      <c r="J3753" s="2">
        <v>1</v>
      </c>
      <c r="K3753" s="2" t="s">
        <v>107</v>
      </c>
      <c r="L3753" s="2" t="s">
        <v>107</v>
      </c>
      <c r="M3753" s="3">
        <v>40433</v>
      </c>
      <c r="N3753" s="2"/>
      <c r="O3753" s="2"/>
      <c r="P3753" s="2"/>
      <c r="Q3753" s="2" t="str">
        <f>""</f>
        <v/>
      </c>
      <c r="R3753" s="2"/>
      <c r="S3753" s="2"/>
      <c r="T3753" s="2">
        <v>2</v>
      </c>
      <c r="U3753" s="2" t="s">
        <v>123</v>
      </c>
      <c r="V3753" s="2">
        <v>1</v>
      </c>
      <c r="W3753" s="2" t="s">
        <v>80</v>
      </c>
      <c r="X3753" s="2">
        <v>5</v>
      </c>
      <c r="Y3753" s="2" t="s">
        <v>82</v>
      </c>
      <c r="Z3753" s="2">
        <v>1</v>
      </c>
      <c r="AA3753" s="2" t="s">
        <v>82</v>
      </c>
      <c r="AB3753" s="2">
        <v>9</v>
      </c>
      <c r="AC3753" s="2" t="s">
        <v>124</v>
      </c>
      <c r="AD3753" s="3">
        <v>40433</v>
      </c>
      <c r="AE3753" s="4">
        <v>0.4375</v>
      </c>
      <c r="AF3753" s="2"/>
      <c r="AG3753" s="2"/>
      <c r="AH3753" s="2">
        <v>4</v>
      </c>
      <c r="AI3753" s="2" t="s">
        <v>125</v>
      </c>
      <c r="AJ3753" s="2">
        <v>28</v>
      </c>
      <c r="AK3753" s="2" t="s">
        <v>741</v>
      </c>
      <c r="AL3753" s="2">
        <v>19</v>
      </c>
      <c r="AM3753" s="2" t="s">
        <v>107</v>
      </c>
      <c r="AN3753" s="2" t="s">
        <v>11934</v>
      </c>
      <c r="AO3753" s="2" t="s">
        <v>11935</v>
      </c>
      <c r="AP3753" s="2">
        <v>11</v>
      </c>
      <c r="AQ3753" s="2" t="s">
        <v>82</v>
      </c>
      <c r="AR3753" s="2"/>
      <c r="AS3753" s="2"/>
      <c r="AT3753" s="2" t="s">
        <v>11938</v>
      </c>
      <c r="AU3753" s="2"/>
      <c r="AV3753" s="2"/>
      <c r="AW3753" s="2"/>
      <c r="AX3753" s="2"/>
      <c r="AY3753" s="2">
        <v>1</v>
      </c>
      <c r="AZ3753" s="2" t="s">
        <v>107</v>
      </c>
      <c r="BA3753" s="2">
        <v>1</v>
      </c>
      <c r="BB3753" s="2" t="s">
        <v>107</v>
      </c>
      <c r="BC3753" s="2">
        <v>1</v>
      </c>
      <c r="BD3753" s="2" t="s">
        <v>107</v>
      </c>
      <c r="BE3753" s="2">
        <v>1</v>
      </c>
      <c r="BF3753" s="2" t="s">
        <v>107</v>
      </c>
      <c r="BG3753" s="2"/>
      <c r="BH3753" s="2"/>
      <c r="BI3753" s="4">
        <v>0.43055555555555558</v>
      </c>
      <c r="BJ3753" s="2">
        <v>242</v>
      </c>
      <c r="BK3753" s="2" t="s">
        <v>107</v>
      </c>
      <c r="BL3753" s="2"/>
      <c r="BM3753" s="2">
        <v>242</v>
      </c>
      <c r="BN3753" s="2" t="s">
        <v>107</v>
      </c>
      <c r="BO3753" s="2"/>
      <c r="BP3753" s="2">
        <v>242</v>
      </c>
      <c r="BQ3753" s="2" t="s">
        <v>107</v>
      </c>
      <c r="BR3753" s="2"/>
      <c r="BS3753" s="3">
        <v>40433</v>
      </c>
      <c r="BT3753" s="4">
        <v>0.76719907407407406</v>
      </c>
    </row>
    <row r="3754" spans="1:72" x14ac:dyDescent="0.25">
      <c r="A3754" s="2">
        <v>5548</v>
      </c>
      <c r="B3754" s="2">
        <v>2010</v>
      </c>
      <c r="C3754" s="2" t="s">
        <v>72</v>
      </c>
      <c r="D3754" s="2" t="s">
        <v>73</v>
      </c>
      <c r="E3754" s="2"/>
      <c r="F3754" s="2">
        <v>167</v>
      </c>
      <c r="G3754" s="2" t="s">
        <v>11567</v>
      </c>
      <c r="H3754" s="2">
        <v>138</v>
      </c>
      <c r="I3754" s="2" t="s">
        <v>11568</v>
      </c>
      <c r="J3754" s="2">
        <v>173</v>
      </c>
      <c r="K3754" s="2" t="s">
        <v>11569</v>
      </c>
      <c r="L3754" s="2" t="s">
        <v>11570</v>
      </c>
      <c r="M3754" s="3">
        <v>40433</v>
      </c>
      <c r="N3754" s="2" t="s">
        <v>11939</v>
      </c>
      <c r="O3754" s="2"/>
      <c r="P3754" s="2"/>
      <c r="Q3754" s="2" t="str">
        <f>"366-A/10"</f>
        <v>366-A/10</v>
      </c>
      <c r="R3754" s="2" t="s">
        <v>302</v>
      </c>
      <c r="S3754" s="2" t="s">
        <v>302</v>
      </c>
      <c r="T3754" s="2">
        <v>1</v>
      </c>
      <c r="U3754" s="2" t="s">
        <v>79</v>
      </c>
      <c r="V3754" s="2">
        <v>1</v>
      </c>
      <c r="W3754" s="2" t="s">
        <v>80</v>
      </c>
      <c r="X3754" s="2">
        <v>1</v>
      </c>
      <c r="Y3754" s="2" t="s">
        <v>81</v>
      </c>
      <c r="Z3754" s="2">
        <v>1</v>
      </c>
      <c r="AA3754" s="2" t="s">
        <v>82</v>
      </c>
      <c r="AB3754" s="2">
        <v>6</v>
      </c>
      <c r="AC3754" s="2" t="s">
        <v>83</v>
      </c>
      <c r="AD3754" s="3">
        <v>40433</v>
      </c>
      <c r="AE3754" s="4">
        <v>9.0277777777777776E-2</v>
      </c>
      <c r="AF3754" s="2"/>
      <c r="AG3754" s="2"/>
      <c r="AH3754" s="2">
        <v>2</v>
      </c>
      <c r="AI3754" s="2" t="s">
        <v>84</v>
      </c>
      <c r="AJ3754" s="2">
        <v>12</v>
      </c>
      <c r="AK3754" s="2" t="s">
        <v>85</v>
      </c>
      <c r="AL3754" s="2">
        <v>25</v>
      </c>
      <c r="AM3754" s="2" t="s">
        <v>3073</v>
      </c>
      <c r="AN3754" s="2" t="s">
        <v>11940</v>
      </c>
      <c r="AO3754" s="2" t="s">
        <v>11941</v>
      </c>
      <c r="AP3754" s="2">
        <v>11</v>
      </c>
      <c r="AQ3754" s="2" t="s">
        <v>82</v>
      </c>
      <c r="AR3754" s="2"/>
      <c r="AS3754" s="2"/>
      <c r="AT3754" s="2" t="s">
        <v>11942</v>
      </c>
      <c r="AU3754" s="2">
        <v>1</v>
      </c>
      <c r="AV3754" s="2"/>
      <c r="AW3754" s="2"/>
      <c r="AX3754" s="2"/>
      <c r="AY3754" s="2">
        <v>41</v>
      </c>
      <c r="AZ3754" s="2" t="s">
        <v>82</v>
      </c>
      <c r="BA3754" s="2">
        <v>41</v>
      </c>
      <c r="BB3754" s="2" t="s">
        <v>82</v>
      </c>
      <c r="BC3754" s="2">
        <v>41</v>
      </c>
      <c r="BD3754" s="2" t="s">
        <v>82</v>
      </c>
      <c r="BE3754" s="2">
        <v>41</v>
      </c>
      <c r="BF3754" s="2" t="s">
        <v>82</v>
      </c>
      <c r="BG3754" s="2"/>
      <c r="BH3754" s="2"/>
      <c r="BI3754" s="2"/>
      <c r="BJ3754" s="2">
        <v>241</v>
      </c>
      <c r="BK3754" s="2" t="s">
        <v>82</v>
      </c>
      <c r="BL3754" s="2"/>
      <c r="BM3754" s="2">
        <v>241</v>
      </c>
      <c r="BN3754" s="2" t="s">
        <v>82</v>
      </c>
      <c r="BO3754" s="2"/>
      <c r="BP3754" s="2">
        <v>241</v>
      </c>
      <c r="BQ3754" s="2" t="s">
        <v>82</v>
      </c>
      <c r="BR3754" s="2"/>
      <c r="BS3754" s="3">
        <v>40433</v>
      </c>
      <c r="BT3754" s="4">
        <v>0.93557870370370377</v>
      </c>
    </row>
    <row r="3755" spans="1:72" x14ac:dyDescent="0.25">
      <c r="A3755" s="2">
        <v>5549</v>
      </c>
      <c r="B3755" s="2">
        <v>2010</v>
      </c>
      <c r="C3755" s="2" t="s">
        <v>171</v>
      </c>
      <c r="D3755" s="2" t="s">
        <v>73</v>
      </c>
      <c r="E3755" s="2"/>
      <c r="F3755" s="2">
        <v>402</v>
      </c>
      <c r="G3755" s="2" t="s">
        <v>6564</v>
      </c>
      <c r="H3755" s="2">
        <v>5</v>
      </c>
      <c r="I3755" s="2" t="s">
        <v>634</v>
      </c>
      <c r="J3755" s="2">
        <v>241</v>
      </c>
      <c r="K3755" s="2" t="s">
        <v>174</v>
      </c>
      <c r="L3755" s="2" t="s">
        <v>175</v>
      </c>
      <c r="M3755" s="3">
        <v>40433</v>
      </c>
      <c r="N3755" s="2" t="s">
        <v>11912</v>
      </c>
      <c r="O3755" s="2"/>
      <c r="P3755" s="2"/>
      <c r="Q3755" s="2" t="str">
        <f>"463-E/10"</f>
        <v>463-E/10</v>
      </c>
      <c r="R3755" s="2" t="s">
        <v>391</v>
      </c>
      <c r="S3755" s="2" t="s">
        <v>391</v>
      </c>
      <c r="T3755" s="2">
        <v>1</v>
      </c>
      <c r="U3755" s="2" t="s">
        <v>79</v>
      </c>
      <c r="V3755" s="2">
        <v>1</v>
      </c>
      <c r="W3755" s="2" t="s">
        <v>80</v>
      </c>
      <c r="X3755" s="2">
        <v>1</v>
      </c>
      <c r="Y3755" s="2" t="s">
        <v>81</v>
      </c>
      <c r="Z3755" s="2">
        <v>1</v>
      </c>
      <c r="AA3755" s="2" t="s">
        <v>82</v>
      </c>
      <c r="AB3755" s="2">
        <v>1</v>
      </c>
      <c r="AC3755" s="2" t="s">
        <v>178</v>
      </c>
      <c r="AD3755" s="3">
        <v>40433</v>
      </c>
      <c r="AE3755" s="4">
        <v>0.65625</v>
      </c>
      <c r="AF3755" s="2"/>
      <c r="AG3755" s="2"/>
      <c r="AH3755" s="2">
        <v>2</v>
      </c>
      <c r="AI3755" s="2" t="s">
        <v>84</v>
      </c>
      <c r="AJ3755" s="2">
        <v>9</v>
      </c>
      <c r="AK3755" s="2" t="s">
        <v>103</v>
      </c>
      <c r="AL3755" s="2">
        <v>25</v>
      </c>
      <c r="AM3755" s="2" t="s">
        <v>3073</v>
      </c>
      <c r="AN3755" s="2" t="s">
        <v>179</v>
      </c>
      <c r="AO3755" s="2" t="s">
        <v>987</v>
      </c>
      <c r="AP3755" s="2">
        <v>11</v>
      </c>
      <c r="AQ3755" s="2" t="s">
        <v>82</v>
      </c>
      <c r="AR3755" s="2"/>
      <c r="AS3755" s="2"/>
      <c r="AT3755" s="2" t="s">
        <v>11943</v>
      </c>
      <c r="AU3755" s="2"/>
      <c r="AV3755" s="2">
        <v>1</v>
      </c>
      <c r="AW3755" s="2"/>
      <c r="AX3755" s="2"/>
      <c r="AY3755" s="2">
        <v>41</v>
      </c>
      <c r="AZ3755" s="2" t="s">
        <v>82</v>
      </c>
      <c r="BA3755" s="2">
        <v>41</v>
      </c>
      <c r="BB3755" s="2" t="s">
        <v>82</v>
      </c>
      <c r="BC3755" s="2">
        <v>41</v>
      </c>
      <c r="BD3755" s="2" t="s">
        <v>82</v>
      </c>
      <c r="BE3755" s="2">
        <v>14</v>
      </c>
      <c r="BF3755" s="2" t="s">
        <v>484</v>
      </c>
      <c r="BG3755" s="2" t="s">
        <v>3450</v>
      </c>
      <c r="BH3755" s="2"/>
      <c r="BI3755" s="4">
        <v>0.71180555555555547</v>
      </c>
      <c r="BJ3755" s="2">
        <v>13</v>
      </c>
      <c r="BK3755" s="2" t="s">
        <v>91</v>
      </c>
      <c r="BL3755" s="2" t="s">
        <v>360</v>
      </c>
      <c r="BM3755" s="2">
        <v>82</v>
      </c>
      <c r="BN3755" s="2" t="s">
        <v>487</v>
      </c>
      <c r="BO3755" s="2" t="s">
        <v>488</v>
      </c>
      <c r="BP3755" s="2">
        <v>166</v>
      </c>
      <c r="BQ3755" s="2" t="s">
        <v>401</v>
      </c>
      <c r="BR3755" s="2" t="s">
        <v>5028</v>
      </c>
      <c r="BS3755" s="3">
        <v>40433</v>
      </c>
      <c r="BT3755" s="4">
        <v>0.98201388888888896</v>
      </c>
    </row>
    <row r="3756" spans="1:72" x14ac:dyDescent="0.25">
      <c r="A3756" s="2">
        <v>5550</v>
      </c>
      <c r="B3756" s="2">
        <v>2010</v>
      </c>
      <c r="C3756" s="2" t="s">
        <v>72</v>
      </c>
      <c r="D3756" s="2" t="s">
        <v>73</v>
      </c>
      <c r="E3756" s="2"/>
      <c r="F3756" s="2">
        <v>167</v>
      </c>
      <c r="G3756" s="2" t="s">
        <v>11567</v>
      </c>
      <c r="H3756" s="2">
        <v>138</v>
      </c>
      <c r="I3756" s="2" t="s">
        <v>11568</v>
      </c>
      <c r="J3756" s="2">
        <v>173</v>
      </c>
      <c r="K3756" s="2" t="s">
        <v>11569</v>
      </c>
      <c r="L3756" s="2" t="s">
        <v>11570</v>
      </c>
      <c r="M3756" s="3">
        <v>40434</v>
      </c>
      <c r="N3756" s="2" t="s">
        <v>11571</v>
      </c>
      <c r="O3756" s="2"/>
      <c r="P3756" s="2"/>
      <c r="Q3756" s="2" t="str">
        <f>"367-A/10"</f>
        <v>367-A/10</v>
      </c>
      <c r="R3756" s="2" t="s">
        <v>302</v>
      </c>
      <c r="S3756" s="2" t="s">
        <v>302</v>
      </c>
      <c r="T3756" s="2">
        <v>1</v>
      </c>
      <c r="U3756" s="2" t="s">
        <v>79</v>
      </c>
      <c r="V3756" s="2">
        <v>1</v>
      </c>
      <c r="W3756" s="2" t="s">
        <v>80</v>
      </c>
      <c r="X3756" s="2">
        <v>12</v>
      </c>
      <c r="Y3756" s="2" t="s">
        <v>148</v>
      </c>
      <c r="Z3756" s="2">
        <v>1</v>
      </c>
      <c r="AA3756" s="2" t="s">
        <v>82</v>
      </c>
      <c r="AB3756" s="2">
        <v>6</v>
      </c>
      <c r="AC3756" s="2" t="s">
        <v>83</v>
      </c>
      <c r="AD3756" s="3">
        <v>40433</v>
      </c>
      <c r="AE3756" s="2"/>
      <c r="AF3756" s="3">
        <v>40433</v>
      </c>
      <c r="AG3756" s="4">
        <v>0.4381944444444445</v>
      </c>
      <c r="AH3756" s="2">
        <v>2</v>
      </c>
      <c r="AI3756" s="2" t="s">
        <v>84</v>
      </c>
      <c r="AJ3756" s="2">
        <v>12</v>
      </c>
      <c r="AK3756" s="2" t="s">
        <v>85</v>
      </c>
      <c r="AL3756" s="2">
        <v>13</v>
      </c>
      <c r="AM3756" s="2" t="s">
        <v>117</v>
      </c>
      <c r="AN3756" s="2" t="s">
        <v>11944</v>
      </c>
      <c r="AO3756" s="2" t="s">
        <v>11945</v>
      </c>
      <c r="AP3756" s="2">
        <v>11</v>
      </c>
      <c r="AQ3756" s="2" t="s">
        <v>82</v>
      </c>
      <c r="AR3756" s="2"/>
      <c r="AS3756" s="2"/>
      <c r="AT3756" s="2" t="s">
        <v>11946</v>
      </c>
      <c r="AU3756" s="2">
        <v>1</v>
      </c>
      <c r="AV3756" s="2"/>
      <c r="AW3756" s="2"/>
      <c r="AX3756" s="2"/>
      <c r="AY3756" s="2">
        <v>41</v>
      </c>
      <c r="AZ3756" s="2" t="s">
        <v>82</v>
      </c>
      <c r="BA3756" s="2">
        <v>41</v>
      </c>
      <c r="BB3756" s="2" t="s">
        <v>82</v>
      </c>
      <c r="BC3756" s="2">
        <v>41</v>
      </c>
      <c r="BD3756" s="2" t="s">
        <v>82</v>
      </c>
      <c r="BE3756" s="2">
        <v>41</v>
      </c>
      <c r="BF3756" s="2" t="s">
        <v>82</v>
      </c>
      <c r="BG3756" s="2"/>
      <c r="BH3756" s="2"/>
      <c r="BI3756" s="2"/>
      <c r="BJ3756" s="2">
        <v>241</v>
      </c>
      <c r="BK3756" s="2" t="s">
        <v>82</v>
      </c>
      <c r="BL3756" s="2"/>
      <c r="BM3756" s="2">
        <v>241</v>
      </c>
      <c r="BN3756" s="2" t="s">
        <v>82</v>
      </c>
      <c r="BO3756" s="2"/>
      <c r="BP3756" s="2">
        <v>241</v>
      </c>
      <c r="BQ3756" s="2" t="s">
        <v>82</v>
      </c>
      <c r="BR3756" s="2"/>
      <c r="BS3756" s="3">
        <v>40434</v>
      </c>
      <c r="BT3756" s="4">
        <v>0.11966435185185186</v>
      </c>
    </row>
    <row r="3757" spans="1:72" x14ac:dyDescent="0.25">
      <c r="A3757" s="2">
        <v>5551</v>
      </c>
      <c r="B3757" s="2">
        <v>2010</v>
      </c>
      <c r="C3757" s="2" t="s">
        <v>72</v>
      </c>
      <c r="D3757" s="2" t="s">
        <v>73</v>
      </c>
      <c r="E3757" s="2"/>
      <c r="F3757" s="2">
        <v>673</v>
      </c>
      <c r="G3757" s="2" t="s">
        <v>11655</v>
      </c>
      <c r="H3757" s="2">
        <v>22</v>
      </c>
      <c r="I3757" s="2" t="s">
        <v>75</v>
      </c>
      <c r="J3757" s="2">
        <v>657</v>
      </c>
      <c r="K3757" s="2" t="s">
        <v>11502</v>
      </c>
      <c r="L3757" s="2" t="s">
        <v>11656</v>
      </c>
      <c r="M3757" s="3">
        <v>40434</v>
      </c>
      <c r="N3757" s="2" t="s">
        <v>11947</v>
      </c>
      <c r="O3757" s="2"/>
      <c r="P3757" s="2"/>
      <c r="Q3757" s="2" t="str">
        <f>"368-A/10"</f>
        <v>368-A/10</v>
      </c>
      <c r="R3757" s="2" t="s">
        <v>156</v>
      </c>
      <c r="S3757" s="2" t="s">
        <v>156</v>
      </c>
      <c r="T3757" s="2">
        <v>1</v>
      </c>
      <c r="U3757" s="2" t="s">
        <v>79</v>
      </c>
      <c r="V3757" s="2">
        <v>1</v>
      </c>
      <c r="W3757" s="2" t="s">
        <v>80</v>
      </c>
      <c r="X3757" s="2">
        <v>12</v>
      </c>
      <c r="Y3757" s="2" t="s">
        <v>148</v>
      </c>
      <c r="Z3757" s="2">
        <v>1</v>
      </c>
      <c r="AA3757" s="2" t="s">
        <v>82</v>
      </c>
      <c r="AB3757" s="2">
        <v>6</v>
      </c>
      <c r="AC3757" s="2" t="s">
        <v>83</v>
      </c>
      <c r="AD3757" s="3">
        <v>40433</v>
      </c>
      <c r="AE3757" s="2"/>
      <c r="AF3757" s="3">
        <v>40433</v>
      </c>
      <c r="AG3757" s="4">
        <v>0.91666666666666663</v>
      </c>
      <c r="AH3757" s="2">
        <v>2</v>
      </c>
      <c r="AI3757" s="2" t="s">
        <v>84</v>
      </c>
      <c r="AJ3757" s="2">
        <v>12</v>
      </c>
      <c r="AK3757" s="2" t="s">
        <v>85</v>
      </c>
      <c r="AL3757" s="2">
        <v>22</v>
      </c>
      <c r="AM3757" s="2" t="s">
        <v>1853</v>
      </c>
      <c r="AN3757" s="2"/>
      <c r="AO3757" s="2" t="s">
        <v>11948</v>
      </c>
      <c r="AP3757" s="2">
        <v>11</v>
      </c>
      <c r="AQ3757" s="2" t="s">
        <v>82</v>
      </c>
      <c r="AR3757" s="2"/>
      <c r="AS3757" s="2"/>
      <c r="AT3757" s="2" t="s">
        <v>11949</v>
      </c>
      <c r="AU3757" s="2"/>
      <c r="AV3757" s="2"/>
      <c r="AW3757" s="2"/>
      <c r="AX3757" s="2"/>
      <c r="AY3757" s="2">
        <v>41</v>
      </c>
      <c r="AZ3757" s="2" t="s">
        <v>82</v>
      </c>
      <c r="BA3757" s="2">
        <v>41</v>
      </c>
      <c r="BB3757" s="2" t="s">
        <v>82</v>
      </c>
      <c r="BC3757" s="2">
        <v>70</v>
      </c>
      <c r="BD3757" s="2" t="s">
        <v>236</v>
      </c>
      <c r="BE3757" s="2">
        <v>47</v>
      </c>
      <c r="BF3757" s="2" t="s">
        <v>167</v>
      </c>
      <c r="BG3757" s="2" t="s">
        <v>11950</v>
      </c>
      <c r="BH3757" s="4">
        <v>0.84097222222222223</v>
      </c>
      <c r="BI3757" s="2"/>
      <c r="BJ3757" s="2">
        <v>13</v>
      </c>
      <c r="BK3757" s="2" t="s">
        <v>91</v>
      </c>
      <c r="BL3757" s="2" t="s">
        <v>92</v>
      </c>
      <c r="BM3757" s="2">
        <v>241</v>
      </c>
      <c r="BN3757" s="2" t="s">
        <v>82</v>
      </c>
      <c r="BO3757" s="2"/>
      <c r="BP3757" s="2">
        <v>13</v>
      </c>
      <c r="BQ3757" s="2" t="s">
        <v>91</v>
      </c>
      <c r="BR3757" s="2" t="s">
        <v>564</v>
      </c>
      <c r="BS3757" s="3">
        <v>40434</v>
      </c>
      <c r="BT3757" s="4">
        <v>0.23046296296296295</v>
      </c>
    </row>
    <row r="3758" spans="1:72" x14ac:dyDescent="0.25">
      <c r="A3758" s="2">
        <v>5555</v>
      </c>
      <c r="B3758" s="2">
        <v>2010</v>
      </c>
      <c r="C3758" s="2" t="s">
        <v>171</v>
      </c>
      <c r="D3758" s="2" t="s">
        <v>73</v>
      </c>
      <c r="E3758" s="2" t="s">
        <v>11265</v>
      </c>
      <c r="F3758" s="2">
        <v>425</v>
      </c>
      <c r="G3758" s="2" t="s">
        <v>286</v>
      </c>
      <c r="H3758" s="2">
        <v>39</v>
      </c>
      <c r="I3758" s="2" t="s">
        <v>1117</v>
      </c>
      <c r="J3758" s="2">
        <v>310</v>
      </c>
      <c r="K3758" s="2" t="s">
        <v>288</v>
      </c>
      <c r="L3758" s="2" t="s">
        <v>289</v>
      </c>
      <c r="M3758" s="3">
        <v>40434</v>
      </c>
      <c r="N3758" s="2" t="s">
        <v>1882</v>
      </c>
      <c r="O3758" s="2" t="s">
        <v>11243</v>
      </c>
      <c r="P3758" s="2" t="s">
        <v>1688</v>
      </c>
      <c r="Q3758" s="2" t="str">
        <f>"101"</f>
        <v>101</v>
      </c>
      <c r="R3758" s="2" t="s">
        <v>318</v>
      </c>
      <c r="S3758" s="2"/>
      <c r="T3758" s="2">
        <v>1</v>
      </c>
      <c r="U3758" s="2" t="s">
        <v>79</v>
      </c>
      <c r="V3758" s="2">
        <v>3</v>
      </c>
      <c r="W3758" s="2" t="s">
        <v>225</v>
      </c>
      <c r="X3758" s="2">
        <v>6</v>
      </c>
      <c r="Y3758" s="2" t="s">
        <v>249</v>
      </c>
      <c r="Z3758" s="2">
        <v>1</v>
      </c>
      <c r="AA3758" s="2" t="s">
        <v>82</v>
      </c>
      <c r="AB3758" s="2">
        <v>9</v>
      </c>
      <c r="AC3758" s="2" t="s">
        <v>124</v>
      </c>
      <c r="AD3758" s="3">
        <v>40433</v>
      </c>
      <c r="AE3758" s="4">
        <v>0.39583333333333331</v>
      </c>
      <c r="AF3758" s="2"/>
      <c r="AG3758" s="2"/>
      <c r="AH3758" s="2">
        <v>4</v>
      </c>
      <c r="AI3758" s="2" t="s">
        <v>125</v>
      </c>
      <c r="AJ3758" s="2">
        <v>26</v>
      </c>
      <c r="AK3758" s="2" t="s">
        <v>293</v>
      </c>
      <c r="AL3758" s="2">
        <v>23</v>
      </c>
      <c r="AM3758" s="2" t="s">
        <v>251</v>
      </c>
      <c r="AN3758" s="2" t="s">
        <v>11951</v>
      </c>
      <c r="AO3758" s="2" t="s">
        <v>534</v>
      </c>
      <c r="AP3758" s="2">
        <v>11</v>
      </c>
      <c r="AQ3758" s="2" t="s">
        <v>82</v>
      </c>
      <c r="AR3758" s="2"/>
      <c r="AS3758" s="2"/>
      <c r="AT3758" s="2" t="s">
        <v>11952</v>
      </c>
      <c r="AU3758" s="2"/>
      <c r="AV3758" s="2"/>
      <c r="AW3758" s="2"/>
      <c r="AX3758" s="2"/>
      <c r="AY3758" s="2">
        <v>41</v>
      </c>
      <c r="AZ3758" s="2" t="s">
        <v>82</v>
      </c>
      <c r="BA3758" s="2">
        <v>41</v>
      </c>
      <c r="BB3758" s="2" t="s">
        <v>82</v>
      </c>
      <c r="BC3758" s="2">
        <v>41</v>
      </c>
      <c r="BD3758" s="2" t="s">
        <v>82</v>
      </c>
      <c r="BE3758" s="2">
        <v>41</v>
      </c>
      <c r="BF3758" s="2" t="s">
        <v>82</v>
      </c>
      <c r="BG3758" s="2"/>
      <c r="BH3758" s="2"/>
      <c r="BI3758" s="2"/>
      <c r="BJ3758" s="2">
        <v>241</v>
      </c>
      <c r="BK3758" s="2" t="s">
        <v>82</v>
      </c>
      <c r="BL3758" s="2"/>
      <c r="BM3758" s="2">
        <v>241</v>
      </c>
      <c r="BN3758" s="2" t="s">
        <v>82</v>
      </c>
      <c r="BO3758" s="2"/>
      <c r="BP3758" s="2">
        <v>241</v>
      </c>
      <c r="BQ3758" s="2" t="s">
        <v>82</v>
      </c>
      <c r="BR3758" s="2"/>
      <c r="BS3758" s="3">
        <v>40434</v>
      </c>
      <c r="BT3758" s="4">
        <v>0.44935185185185184</v>
      </c>
    </row>
    <row r="3759" spans="1:72" x14ac:dyDescent="0.25">
      <c r="A3759" s="2">
        <v>5557</v>
      </c>
      <c r="B3759" s="2">
        <v>2010</v>
      </c>
      <c r="C3759" s="2" t="s">
        <v>72</v>
      </c>
      <c r="D3759" s="2" t="s">
        <v>73</v>
      </c>
      <c r="E3759" s="2"/>
      <c r="F3759" s="2">
        <v>63</v>
      </c>
      <c r="G3759" s="2" t="s">
        <v>11953</v>
      </c>
      <c r="H3759" s="2">
        <v>22</v>
      </c>
      <c r="I3759" s="2" t="s">
        <v>75</v>
      </c>
      <c r="J3759" s="2">
        <v>95</v>
      </c>
      <c r="K3759" s="2" t="s">
        <v>3740</v>
      </c>
      <c r="L3759" s="2" t="s">
        <v>3741</v>
      </c>
      <c r="M3759" s="3">
        <v>40434</v>
      </c>
      <c r="N3759" s="2" t="s">
        <v>11954</v>
      </c>
      <c r="O3759" s="2"/>
      <c r="P3759" s="2"/>
      <c r="Q3759" s="2" t="str">
        <f>"031/10"</f>
        <v>031/10</v>
      </c>
      <c r="R3759" s="2" t="s">
        <v>601</v>
      </c>
      <c r="S3759" s="2" t="s">
        <v>601</v>
      </c>
      <c r="T3759" s="2">
        <v>1</v>
      </c>
      <c r="U3759" s="2" t="s">
        <v>79</v>
      </c>
      <c r="V3759" s="2">
        <v>1</v>
      </c>
      <c r="W3759" s="2" t="s">
        <v>80</v>
      </c>
      <c r="X3759" s="2">
        <v>12</v>
      </c>
      <c r="Y3759" s="2" t="s">
        <v>148</v>
      </c>
      <c r="Z3759" s="2">
        <v>1</v>
      </c>
      <c r="AA3759" s="2" t="s">
        <v>82</v>
      </c>
      <c r="AB3759" s="2">
        <v>6</v>
      </c>
      <c r="AC3759" s="2" t="s">
        <v>83</v>
      </c>
      <c r="AD3759" s="2"/>
      <c r="AE3759" s="2"/>
      <c r="AF3759" s="3">
        <v>40434</v>
      </c>
      <c r="AG3759" s="4">
        <v>0.39583333333333331</v>
      </c>
      <c r="AH3759" s="2">
        <v>4</v>
      </c>
      <c r="AI3759" s="2" t="s">
        <v>125</v>
      </c>
      <c r="AJ3759" s="2">
        <v>28</v>
      </c>
      <c r="AK3759" s="2" t="s">
        <v>741</v>
      </c>
      <c r="AL3759" s="2">
        <v>21</v>
      </c>
      <c r="AM3759" s="2" t="s">
        <v>1311</v>
      </c>
      <c r="AN3759" s="2" t="s">
        <v>11955</v>
      </c>
      <c r="AO3759" s="2"/>
      <c r="AP3759" s="2">
        <v>11</v>
      </c>
      <c r="AQ3759" s="2" t="s">
        <v>82</v>
      </c>
      <c r="AR3759" s="2"/>
      <c r="AS3759" s="2"/>
      <c r="AT3759" s="2" t="s">
        <v>11956</v>
      </c>
      <c r="AU3759" s="2"/>
      <c r="AV3759" s="2"/>
      <c r="AW3759" s="2"/>
      <c r="AX3759" s="2"/>
      <c r="AY3759" s="2">
        <v>41</v>
      </c>
      <c r="AZ3759" s="2" t="s">
        <v>82</v>
      </c>
      <c r="BA3759" s="2">
        <v>41</v>
      </c>
      <c r="BB3759" s="2" t="s">
        <v>82</v>
      </c>
      <c r="BC3759" s="2">
        <v>41</v>
      </c>
      <c r="BD3759" s="2" t="s">
        <v>82</v>
      </c>
      <c r="BE3759" s="2">
        <v>41</v>
      </c>
      <c r="BF3759" s="2" t="s">
        <v>82</v>
      </c>
      <c r="BG3759" s="2"/>
      <c r="BH3759" s="2"/>
      <c r="BI3759" s="2"/>
      <c r="BJ3759" s="2">
        <v>241</v>
      </c>
      <c r="BK3759" s="2" t="s">
        <v>82</v>
      </c>
      <c r="BL3759" s="2"/>
      <c r="BM3759" s="2">
        <v>241</v>
      </c>
      <c r="BN3759" s="2" t="s">
        <v>82</v>
      </c>
      <c r="BO3759" s="2"/>
      <c r="BP3759" s="2">
        <v>241</v>
      </c>
      <c r="BQ3759" s="2" t="s">
        <v>82</v>
      </c>
      <c r="BR3759" s="2"/>
      <c r="BS3759" s="3">
        <v>40434</v>
      </c>
      <c r="BT3759" s="4">
        <v>0.45585648148148145</v>
      </c>
    </row>
    <row r="3760" spans="1:72" x14ac:dyDescent="0.25">
      <c r="A3760" s="2">
        <v>5558</v>
      </c>
      <c r="B3760" s="2">
        <v>2010</v>
      </c>
      <c r="C3760" s="2" t="s">
        <v>2754</v>
      </c>
      <c r="D3760" s="2" t="s">
        <v>73</v>
      </c>
      <c r="E3760" s="2"/>
      <c r="F3760" s="2">
        <v>92</v>
      </c>
      <c r="G3760" s="2" t="s">
        <v>1432</v>
      </c>
      <c r="H3760" s="2">
        <v>47</v>
      </c>
      <c r="I3760" s="2" t="s">
        <v>1409</v>
      </c>
      <c r="J3760" s="2">
        <v>119</v>
      </c>
      <c r="K3760" s="2" t="s">
        <v>325</v>
      </c>
      <c r="L3760" s="2" t="s">
        <v>326</v>
      </c>
      <c r="M3760" s="3">
        <v>40434</v>
      </c>
      <c r="N3760" s="2" t="s">
        <v>11957</v>
      </c>
      <c r="O3760" s="2" t="s">
        <v>107</v>
      </c>
      <c r="P3760" s="2" t="s">
        <v>107</v>
      </c>
      <c r="Q3760" s="2" t="str">
        <f>"AP 0695/10"</f>
        <v>AP 0695/10</v>
      </c>
      <c r="R3760" s="2" t="s">
        <v>11958</v>
      </c>
      <c r="S3760" s="2" t="s">
        <v>82</v>
      </c>
      <c r="T3760" s="2">
        <v>1</v>
      </c>
      <c r="U3760" s="2" t="s">
        <v>79</v>
      </c>
      <c r="V3760" s="2">
        <v>1</v>
      </c>
      <c r="W3760" s="2" t="s">
        <v>80</v>
      </c>
      <c r="X3760" s="2">
        <v>1</v>
      </c>
      <c r="Y3760" s="2" t="s">
        <v>81</v>
      </c>
      <c r="Z3760" s="2">
        <v>1</v>
      </c>
      <c r="AA3760" s="2" t="s">
        <v>82</v>
      </c>
      <c r="AB3760" s="2">
        <v>8</v>
      </c>
      <c r="AC3760" s="2" t="s">
        <v>2760</v>
      </c>
      <c r="AD3760" s="3">
        <v>40433</v>
      </c>
      <c r="AE3760" s="4">
        <v>0.51388888888888895</v>
      </c>
      <c r="AF3760" s="2"/>
      <c r="AG3760" s="2"/>
      <c r="AH3760" s="2">
        <v>6</v>
      </c>
      <c r="AI3760" s="2" t="s">
        <v>197</v>
      </c>
      <c r="AJ3760" s="2">
        <v>50</v>
      </c>
      <c r="AK3760" s="2" t="s">
        <v>330</v>
      </c>
      <c r="AL3760" s="2">
        <v>11</v>
      </c>
      <c r="AM3760" s="2" t="s">
        <v>137</v>
      </c>
      <c r="AN3760" s="2" t="s">
        <v>11959</v>
      </c>
      <c r="AO3760" s="2" t="s">
        <v>11960</v>
      </c>
      <c r="AP3760" s="2">
        <v>11</v>
      </c>
      <c r="AQ3760" s="2" t="s">
        <v>82</v>
      </c>
      <c r="AR3760" s="2"/>
      <c r="AS3760" s="2"/>
      <c r="AT3760" s="2" t="s">
        <v>11961</v>
      </c>
      <c r="AU3760" s="2"/>
      <c r="AV3760" s="2"/>
      <c r="AW3760" s="2"/>
      <c r="AX3760" s="2"/>
      <c r="AY3760" s="2">
        <v>41</v>
      </c>
      <c r="AZ3760" s="2" t="s">
        <v>82</v>
      </c>
      <c r="BA3760" s="2">
        <v>41</v>
      </c>
      <c r="BB3760" s="2" t="s">
        <v>82</v>
      </c>
      <c r="BC3760" s="2">
        <v>1</v>
      </c>
      <c r="BD3760" s="2" t="s">
        <v>107</v>
      </c>
      <c r="BE3760" s="2">
        <v>4</v>
      </c>
      <c r="BF3760" s="2" t="s">
        <v>90</v>
      </c>
      <c r="BG3760" s="2">
        <v>4347</v>
      </c>
      <c r="BH3760" s="2"/>
      <c r="BI3760" s="4">
        <v>0.55208333333333337</v>
      </c>
      <c r="BJ3760" s="2">
        <v>13</v>
      </c>
      <c r="BK3760" s="2" t="s">
        <v>91</v>
      </c>
      <c r="BL3760" s="2" t="s">
        <v>1199</v>
      </c>
      <c r="BM3760" s="2">
        <v>241</v>
      </c>
      <c r="BN3760" s="2" t="s">
        <v>82</v>
      </c>
      <c r="BO3760" s="2"/>
      <c r="BP3760" s="2">
        <v>13</v>
      </c>
      <c r="BQ3760" s="2" t="s">
        <v>91</v>
      </c>
      <c r="BR3760" s="2" t="s">
        <v>170</v>
      </c>
      <c r="BS3760" s="3">
        <v>40434</v>
      </c>
      <c r="BT3760" s="4">
        <v>0.50351851851851859</v>
      </c>
    </row>
    <row r="3761" spans="1:72" x14ac:dyDescent="0.25">
      <c r="A3761" s="2">
        <v>5559</v>
      </c>
      <c r="B3761" s="2">
        <v>2010</v>
      </c>
      <c r="C3761" s="2" t="s">
        <v>385</v>
      </c>
      <c r="D3761" s="2" t="s">
        <v>122</v>
      </c>
      <c r="E3761" s="2"/>
      <c r="F3761" s="2">
        <v>394</v>
      </c>
      <c r="G3761" s="2" t="s">
        <v>172</v>
      </c>
      <c r="H3761" s="2">
        <v>3</v>
      </c>
      <c r="I3761" s="2" t="s">
        <v>315</v>
      </c>
      <c r="J3761" s="2">
        <v>241</v>
      </c>
      <c r="K3761" s="2" t="s">
        <v>174</v>
      </c>
      <c r="L3761" s="2" t="s">
        <v>175</v>
      </c>
      <c r="M3761" s="3">
        <v>40434</v>
      </c>
      <c r="N3761" s="2" t="s">
        <v>176</v>
      </c>
      <c r="O3761" s="2" t="s">
        <v>107</v>
      </c>
      <c r="P3761" s="2" t="s">
        <v>107</v>
      </c>
      <c r="Q3761" s="2" t="str">
        <f>"453-E/10"</f>
        <v>453-E/10</v>
      </c>
      <c r="R3761" s="2" t="s">
        <v>391</v>
      </c>
      <c r="S3761" s="2" t="s">
        <v>391</v>
      </c>
      <c r="T3761" s="2">
        <v>1</v>
      </c>
      <c r="U3761" s="2" t="s">
        <v>79</v>
      </c>
      <c r="V3761" s="2">
        <v>1</v>
      </c>
      <c r="W3761" s="2" t="s">
        <v>80</v>
      </c>
      <c r="X3761" s="2">
        <v>5</v>
      </c>
      <c r="Y3761" s="2" t="s">
        <v>82</v>
      </c>
      <c r="Z3761" s="2">
        <v>1</v>
      </c>
      <c r="AA3761" s="2" t="s">
        <v>82</v>
      </c>
      <c r="AB3761" s="2">
        <v>9</v>
      </c>
      <c r="AC3761" s="2" t="s">
        <v>124</v>
      </c>
      <c r="AD3761" s="3">
        <v>40434</v>
      </c>
      <c r="AE3761" s="4">
        <v>0.49305555555555558</v>
      </c>
      <c r="AF3761" s="2"/>
      <c r="AG3761" s="2"/>
      <c r="AH3761" s="2">
        <v>2</v>
      </c>
      <c r="AI3761" s="2" t="s">
        <v>84</v>
      </c>
      <c r="AJ3761" s="2">
        <v>9</v>
      </c>
      <c r="AK3761" s="2" t="s">
        <v>103</v>
      </c>
      <c r="AL3761" s="2">
        <v>19</v>
      </c>
      <c r="AM3761" s="2" t="s">
        <v>107</v>
      </c>
      <c r="AN3761" s="2"/>
      <c r="AO3761" s="2"/>
      <c r="AP3761" s="2">
        <v>11</v>
      </c>
      <c r="AQ3761" s="2" t="s">
        <v>82</v>
      </c>
      <c r="AR3761" s="2"/>
      <c r="AS3761" s="2"/>
      <c r="AT3761" s="2" t="s">
        <v>11962</v>
      </c>
      <c r="AU3761" s="2"/>
      <c r="AV3761" s="2">
        <v>1</v>
      </c>
      <c r="AW3761" s="2"/>
      <c r="AX3761" s="2"/>
      <c r="AY3761" s="2">
        <v>1</v>
      </c>
      <c r="AZ3761" s="2" t="s">
        <v>107</v>
      </c>
      <c r="BA3761" s="2">
        <v>1</v>
      </c>
      <c r="BB3761" s="2" t="s">
        <v>107</v>
      </c>
      <c r="BC3761" s="2">
        <v>1</v>
      </c>
      <c r="BD3761" s="2" t="s">
        <v>107</v>
      </c>
      <c r="BE3761" s="2">
        <v>1</v>
      </c>
      <c r="BF3761" s="2" t="s">
        <v>107</v>
      </c>
      <c r="BG3761" s="2"/>
      <c r="BH3761" s="2"/>
      <c r="BI3761" s="2"/>
      <c r="BJ3761" s="2">
        <v>242</v>
      </c>
      <c r="BK3761" s="2" t="s">
        <v>107</v>
      </c>
      <c r="BL3761" s="2"/>
      <c r="BM3761" s="2">
        <v>242</v>
      </c>
      <c r="BN3761" s="2" t="s">
        <v>107</v>
      </c>
      <c r="BO3761" s="2"/>
      <c r="BP3761" s="2">
        <v>242</v>
      </c>
      <c r="BQ3761" s="2" t="s">
        <v>107</v>
      </c>
      <c r="BR3761" s="2"/>
      <c r="BS3761" s="3">
        <v>40434</v>
      </c>
      <c r="BT3761" s="4">
        <v>0.51454861111111116</v>
      </c>
    </row>
    <row r="3762" spans="1:72" x14ac:dyDescent="0.25">
      <c r="A3762" s="2">
        <v>5560</v>
      </c>
      <c r="B3762" s="2">
        <v>2010</v>
      </c>
      <c r="C3762" s="2" t="s">
        <v>72</v>
      </c>
      <c r="D3762" s="2" t="s">
        <v>73</v>
      </c>
      <c r="E3762" s="2"/>
      <c r="F3762" s="2">
        <v>638</v>
      </c>
      <c r="G3762" s="2" t="s">
        <v>8288</v>
      </c>
      <c r="H3762" s="2">
        <v>1</v>
      </c>
      <c r="I3762" s="2" t="s">
        <v>82</v>
      </c>
      <c r="J3762" s="2">
        <v>583</v>
      </c>
      <c r="K3762" s="2" t="s">
        <v>8289</v>
      </c>
      <c r="L3762" s="2" t="s">
        <v>8290</v>
      </c>
      <c r="M3762" s="3">
        <v>40434</v>
      </c>
      <c r="N3762" s="2" t="s">
        <v>11963</v>
      </c>
      <c r="O3762" s="2" t="s">
        <v>107</v>
      </c>
      <c r="P3762" s="2" t="s">
        <v>107</v>
      </c>
      <c r="Q3762" s="2" t="str">
        <f>"52-10"</f>
        <v>52-10</v>
      </c>
      <c r="R3762" s="2" t="s">
        <v>116</v>
      </c>
      <c r="S3762" s="2" t="s">
        <v>116</v>
      </c>
      <c r="T3762" s="2">
        <v>1</v>
      </c>
      <c r="U3762" s="2" t="s">
        <v>79</v>
      </c>
      <c r="V3762" s="2">
        <v>1</v>
      </c>
      <c r="W3762" s="2" t="s">
        <v>80</v>
      </c>
      <c r="X3762" s="2">
        <v>12</v>
      </c>
      <c r="Y3762" s="2" t="s">
        <v>148</v>
      </c>
      <c r="Z3762" s="2">
        <v>1</v>
      </c>
      <c r="AA3762" s="2" t="s">
        <v>82</v>
      </c>
      <c r="AB3762" s="2">
        <v>6</v>
      </c>
      <c r="AC3762" s="2" t="s">
        <v>83</v>
      </c>
      <c r="AD3762" s="3">
        <v>40433</v>
      </c>
      <c r="AE3762" s="4">
        <v>0.4375</v>
      </c>
      <c r="AF3762" s="3">
        <v>40434</v>
      </c>
      <c r="AG3762" s="4">
        <v>0.43958333333333338</v>
      </c>
      <c r="AH3762" s="2">
        <v>3</v>
      </c>
      <c r="AI3762" s="2" t="s">
        <v>214</v>
      </c>
      <c r="AJ3762" s="2">
        <v>24</v>
      </c>
      <c r="AK3762" s="2" t="s">
        <v>215</v>
      </c>
      <c r="AL3762" s="2">
        <v>17</v>
      </c>
      <c r="AM3762" s="2" t="s">
        <v>232</v>
      </c>
      <c r="AN3762" s="2" t="s">
        <v>11964</v>
      </c>
      <c r="AO3762" s="2" t="s">
        <v>107</v>
      </c>
      <c r="AP3762" s="2">
        <v>11</v>
      </c>
      <c r="AQ3762" s="2" t="s">
        <v>82</v>
      </c>
      <c r="AR3762" s="2"/>
      <c r="AS3762" s="2"/>
      <c r="AT3762" s="2" t="s">
        <v>11965</v>
      </c>
      <c r="AU3762" s="2"/>
      <c r="AV3762" s="2"/>
      <c r="AW3762" s="2"/>
      <c r="AX3762" s="2"/>
      <c r="AY3762" s="2">
        <v>41</v>
      </c>
      <c r="AZ3762" s="2" t="s">
        <v>82</v>
      </c>
      <c r="BA3762" s="2">
        <v>41</v>
      </c>
      <c r="BB3762" s="2" t="s">
        <v>82</v>
      </c>
      <c r="BC3762" s="2">
        <v>41</v>
      </c>
      <c r="BD3762" s="2" t="s">
        <v>82</v>
      </c>
      <c r="BE3762" s="2">
        <v>13</v>
      </c>
      <c r="BF3762" s="2" t="s">
        <v>108</v>
      </c>
      <c r="BG3762" s="2" t="s">
        <v>107</v>
      </c>
      <c r="BH3762" s="4">
        <v>0.375</v>
      </c>
      <c r="BI3762" s="4">
        <v>0.31944444444444448</v>
      </c>
      <c r="BJ3762" s="2">
        <v>13</v>
      </c>
      <c r="BK3762" s="2" t="s">
        <v>91</v>
      </c>
      <c r="BL3762" s="2" t="s">
        <v>9724</v>
      </c>
      <c r="BM3762" s="2">
        <v>241</v>
      </c>
      <c r="BN3762" s="2" t="s">
        <v>82</v>
      </c>
      <c r="BO3762" s="2" t="s">
        <v>82</v>
      </c>
      <c r="BP3762" s="2">
        <v>13</v>
      </c>
      <c r="BQ3762" s="2" t="s">
        <v>91</v>
      </c>
      <c r="BR3762" s="2" t="s">
        <v>169</v>
      </c>
      <c r="BS3762" s="3">
        <v>40434</v>
      </c>
      <c r="BT3762" s="4">
        <v>0.51703703703703707</v>
      </c>
    </row>
    <row r="3763" spans="1:72" x14ac:dyDescent="0.25">
      <c r="A3763" s="2">
        <v>5562</v>
      </c>
      <c r="B3763" s="2">
        <v>2010</v>
      </c>
      <c r="C3763" s="2" t="s">
        <v>385</v>
      </c>
      <c r="D3763" s="2" t="s">
        <v>122</v>
      </c>
      <c r="E3763" s="2"/>
      <c r="F3763" s="2">
        <v>394</v>
      </c>
      <c r="G3763" s="2" t="s">
        <v>172</v>
      </c>
      <c r="H3763" s="2">
        <v>3</v>
      </c>
      <c r="I3763" s="2" t="s">
        <v>315</v>
      </c>
      <c r="J3763" s="2">
        <v>241</v>
      </c>
      <c r="K3763" s="2" t="s">
        <v>174</v>
      </c>
      <c r="L3763" s="2" t="s">
        <v>175</v>
      </c>
      <c r="M3763" s="3">
        <v>40434</v>
      </c>
      <c r="N3763" s="2" t="s">
        <v>176</v>
      </c>
      <c r="O3763" s="2" t="s">
        <v>107</v>
      </c>
      <c r="P3763" s="2" t="s">
        <v>107</v>
      </c>
      <c r="Q3763" s="2" t="str">
        <f>"454-E/10"</f>
        <v>454-E/10</v>
      </c>
      <c r="R3763" s="2" t="s">
        <v>391</v>
      </c>
      <c r="S3763" s="2" t="s">
        <v>391</v>
      </c>
      <c r="T3763" s="2">
        <v>1</v>
      </c>
      <c r="U3763" s="2" t="s">
        <v>79</v>
      </c>
      <c r="V3763" s="2">
        <v>1</v>
      </c>
      <c r="W3763" s="2" t="s">
        <v>80</v>
      </c>
      <c r="X3763" s="2">
        <v>5</v>
      </c>
      <c r="Y3763" s="2" t="s">
        <v>82</v>
      </c>
      <c r="Z3763" s="2">
        <v>1</v>
      </c>
      <c r="AA3763" s="2" t="s">
        <v>82</v>
      </c>
      <c r="AB3763" s="2">
        <v>9</v>
      </c>
      <c r="AC3763" s="2" t="s">
        <v>124</v>
      </c>
      <c r="AD3763" s="3">
        <v>40434</v>
      </c>
      <c r="AE3763" s="4">
        <v>0.49305555555555558</v>
      </c>
      <c r="AF3763" s="2"/>
      <c r="AG3763" s="2"/>
      <c r="AH3763" s="2">
        <v>2</v>
      </c>
      <c r="AI3763" s="2" t="s">
        <v>84</v>
      </c>
      <c r="AJ3763" s="2">
        <v>9</v>
      </c>
      <c r="AK3763" s="2" t="s">
        <v>103</v>
      </c>
      <c r="AL3763" s="2">
        <v>19</v>
      </c>
      <c r="AM3763" s="2" t="s">
        <v>107</v>
      </c>
      <c r="AN3763" s="2"/>
      <c r="AO3763" s="2"/>
      <c r="AP3763" s="2">
        <v>11</v>
      </c>
      <c r="AQ3763" s="2" t="s">
        <v>82</v>
      </c>
      <c r="AR3763" s="2"/>
      <c r="AS3763" s="2"/>
      <c r="AT3763" s="2" t="s">
        <v>11966</v>
      </c>
      <c r="AU3763" s="2"/>
      <c r="AV3763" s="2">
        <v>1</v>
      </c>
      <c r="AW3763" s="2"/>
      <c r="AX3763" s="2"/>
      <c r="AY3763" s="2">
        <v>1</v>
      </c>
      <c r="AZ3763" s="2" t="s">
        <v>107</v>
      </c>
      <c r="BA3763" s="2">
        <v>1</v>
      </c>
      <c r="BB3763" s="2" t="s">
        <v>107</v>
      </c>
      <c r="BC3763" s="2">
        <v>1</v>
      </c>
      <c r="BD3763" s="2" t="s">
        <v>107</v>
      </c>
      <c r="BE3763" s="2">
        <v>1</v>
      </c>
      <c r="BF3763" s="2" t="s">
        <v>107</v>
      </c>
      <c r="BG3763" s="2"/>
      <c r="BH3763" s="2"/>
      <c r="BI3763" s="2"/>
      <c r="BJ3763" s="2">
        <v>242</v>
      </c>
      <c r="BK3763" s="2" t="s">
        <v>107</v>
      </c>
      <c r="BL3763" s="2"/>
      <c r="BM3763" s="2">
        <v>242</v>
      </c>
      <c r="BN3763" s="2" t="s">
        <v>107</v>
      </c>
      <c r="BO3763" s="2"/>
      <c r="BP3763" s="2">
        <v>242</v>
      </c>
      <c r="BQ3763" s="2" t="s">
        <v>107</v>
      </c>
      <c r="BR3763" s="2"/>
      <c r="BS3763" s="3">
        <v>40434</v>
      </c>
      <c r="BT3763" s="4">
        <v>0.52319444444444441</v>
      </c>
    </row>
    <row r="3764" spans="1:72" x14ac:dyDescent="0.25">
      <c r="A3764" s="2">
        <v>5566</v>
      </c>
      <c r="B3764" s="2">
        <v>2010</v>
      </c>
      <c r="C3764" s="2" t="s">
        <v>72</v>
      </c>
      <c r="D3764" s="2" t="s">
        <v>73</v>
      </c>
      <c r="E3764" s="2"/>
      <c r="F3764" s="2">
        <v>3</v>
      </c>
      <c r="G3764" s="2" t="s">
        <v>1041</v>
      </c>
      <c r="H3764" s="2">
        <v>22</v>
      </c>
      <c r="I3764" s="2" t="s">
        <v>75</v>
      </c>
      <c r="J3764" s="2">
        <v>368</v>
      </c>
      <c r="K3764" s="2" t="s">
        <v>1042</v>
      </c>
      <c r="L3764" s="2" t="s">
        <v>1043</v>
      </c>
      <c r="M3764" s="3">
        <v>40434</v>
      </c>
      <c r="N3764" s="2" t="s">
        <v>107</v>
      </c>
      <c r="O3764" s="2" t="s">
        <v>107</v>
      </c>
      <c r="P3764" s="2" t="s">
        <v>107</v>
      </c>
      <c r="Q3764" s="2" t="str">
        <f>"464-E/10"</f>
        <v>464-E/10</v>
      </c>
      <c r="R3764" s="2" t="s">
        <v>601</v>
      </c>
      <c r="S3764" s="2" t="s">
        <v>601</v>
      </c>
      <c r="T3764" s="2">
        <v>1</v>
      </c>
      <c r="U3764" s="2" t="s">
        <v>79</v>
      </c>
      <c r="V3764" s="2">
        <v>1</v>
      </c>
      <c r="W3764" s="2" t="s">
        <v>80</v>
      </c>
      <c r="X3764" s="2">
        <v>12</v>
      </c>
      <c r="Y3764" s="2" t="s">
        <v>148</v>
      </c>
      <c r="Z3764" s="2">
        <v>1</v>
      </c>
      <c r="AA3764" s="2" t="s">
        <v>82</v>
      </c>
      <c r="AB3764" s="2">
        <v>6</v>
      </c>
      <c r="AC3764" s="2" t="s">
        <v>83</v>
      </c>
      <c r="AD3764" s="3">
        <v>40434</v>
      </c>
      <c r="AE3764" s="2"/>
      <c r="AF3764" s="3">
        <v>40434</v>
      </c>
      <c r="AG3764" s="4">
        <v>0.54166666666666663</v>
      </c>
      <c r="AH3764" s="2">
        <v>2</v>
      </c>
      <c r="AI3764" s="2" t="s">
        <v>84</v>
      </c>
      <c r="AJ3764" s="2">
        <v>9</v>
      </c>
      <c r="AK3764" s="2" t="s">
        <v>103</v>
      </c>
      <c r="AL3764" s="2">
        <v>22</v>
      </c>
      <c r="AM3764" s="2" t="s">
        <v>1853</v>
      </c>
      <c r="AN3764" s="2" t="s">
        <v>1505</v>
      </c>
      <c r="AO3764" s="2" t="s">
        <v>11967</v>
      </c>
      <c r="AP3764" s="2">
        <v>11</v>
      </c>
      <c r="AQ3764" s="2" t="s">
        <v>82</v>
      </c>
      <c r="AR3764" s="2"/>
      <c r="AS3764" s="2"/>
      <c r="AT3764" s="2" t="s">
        <v>11968</v>
      </c>
      <c r="AU3764" s="2"/>
      <c r="AV3764" s="2"/>
      <c r="AW3764" s="2"/>
      <c r="AX3764" s="2"/>
      <c r="AY3764" s="2">
        <v>41</v>
      </c>
      <c r="AZ3764" s="2" t="s">
        <v>82</v>
      </c>
      <c r="BA3764" s="2">
        <v>41</v>
      </c>
      <c r="BB3764" s="2" t="s">
        <v>82</v>
      </c>
      <c r="BC3764" s="2">
        <v>41</v>
      </c>
      <c r="BD3764" s="2" t="s">
        <v>82</v>
      </c>
      <c r="BE3764" s="2">
        <v>17</v>
      </c>
      <c r="BF3764" s="2" t="s">
        <v>508</v>
      </c>
      <c r="BG3764" s="2" t="s">
        <v>3994</v>
      </c>
      <c r="BH3764" s="4">
        <v>0.27083333333333331</v>
      </c>
      <c r="BI3764" s="2"/>
      <c r="BJ3764" s="2">
        <v>75</v>
      </c>
      <c r="BK3764" s="2" t="s">
        <v>1264</v>
      </c>
      <c r="BL3764" s="2" t="s">
        <v>1361</v>
      </c>
      <c r="BM3764" s="2">
        <v>241</v>
      </c>
      <c r="BN3764" s="2" t="s">
        <v>82</v>
      </c>
      <c r="BO3764" s="2"/>
      <c r="BP3764" s="2">
        <v>13</v>
      </c>
      <c r="BQ3764" s="2" t="s">
        <v>91</v>
      </c>
      <c r="BR3764" s="2" t="s">
        <v>360</v>
      </c>
      <c r="BS3764" s="3">
        <v>40434</v>
      </c>
      <c r="BT3764" s="4">
        <v>0.60832175925925924</v>
      </c>
    </row>
    <row r="3765" spans="1:72" x14ac:dyDescent="0.25">
      <c r="A3765" s="2">
        <v>5569</v>
      </c>
      <c r="B3765" s="2">
        <v>2010</v>
      </c>
      <c r="C3765" s="2" t="s">
        <v>457</v>
      </c>
      <c r="D3765" s="2" t="s">
        <v>73</v>
      </c>
      <c r="E3765" s="2"/>
      <c r="F3765" s="2">
        <v>467</v>
      </c>
      <c r="G3765" s="2" t="s">
        <v>1053</v>
      </c>
      <c r="H3765" s="2">
        <v>42</v>
      </c>
      <c r="I3765" s="2" t="s">
        <v>1096</v>
      </c>
      <c r="J3765" s="2">
        <v>369</v>
      </c>
      <c r="K3765" s="2" t="s">
        <v>1054</v>
      </c>
      <c r="L3765" s="2" t="s">
        <v>1055</v>
      </c>
      <c r="M3765" s="3">
        <v>40434</v>
      </c>
      <c r="N3765" s="2" t="s">
        <v>11705</v>
      </c>
      <c r="O3765" s="2" t="s">
        <v>11969</v>
      </c>
      <c r="P3765" s="2" t="s">
        <v>11970</v>
      </c>
      <c r="Q3765" s="2" t="str">
        <f>""</f>
        <v/>
      </c>
      <c r="R3765" s="2"/>
      <c r="S3765" s="2"/>
      <c r="T3765" s="2">
        <v>1</v>
      </c>
      <c r="U3765" s="2" t="s">
        <v>79</v>
      </c>
      <c r="V3765" s="2">
        <v>1</v>
      </c>
      <c r="W3765" s="2" t="s">
        <v>80</v>
      </c>
      <c r="X3765" s="2">
        <v>4</v>
      </c>
      <c r="Y3765" s="2" t="s">
        <v>463</v>
      </c>
      <c r="Z3765" s="2">
        <v>6</v>
      </c>
      <c r="AA3765" s="2" t="s">
        <v>101</v>
      </c>
      <c r="AB3765" s="2">
        <v>9</v>
      </c>
      <c r="AC3765" s="2" t="s">
        <v>124</v>
      </c>
      <c r="AD3765" s="3">
        <v>40434</v>
      </c>
      <c r="AE3765" s="4">
        <v>0.625</v>
      </c>
      <c r="AF3765" s="2"/>
      <c r="AG3765" s="2"/>
      <c r="AH3765" s="2">
        <v>4</v>
      </c>
      <c r="AI3765" s="2" t="s">
        <v>125</v>
      </c>
      <c r="AJ3765" s="2">
        <v>29</v>
      </c>
      <c r="AK3765" s="2" t="s">
        <v>227</v>
      </c>
      <c r="AL3765" s="2">
        <v>11</v>
      </c>
      <c r="AM3765" s="2" t="s">
        <v>137</v>
      </c>
      <c r="AN3765" s="2" t="s">
        <v>2701</v>
      </c>
      <c r="AO3765" s="2"/>
      <c r="AP3765" s="2">
        <v>11</v>
      </c>
      <c r="AQ3765" s="2" t="s">
        <v>82</v>
      </c>
      <c r="AR3765" s="2" t="s">
        <v>82</v>
      </c>
      <c r="AS3765" s="2" t="s">
        <v>82</v>
      </c>
      <c r="AT3765" s="2" t="s">
        <v>11971</v>
      </c>
      <c r="AU3765" s="2"/>
      <c r="AV3765" s="2"/>
      <c r="AW3765" s="2"/>
      <c r="AX3765" s="2"/>
      <c r="AY3765" s="2">
        <v>41</v>
      </c>
      <c r="AZ3765" s="2" t="s">
        <v>82</v>
      </c>
      <c r="BA3765" s="2">
        <v>41</v>
      </c>
      <c r="BB3765" s="2" t="s">
        <v>82</v>
      </c>
      <c r="BC3765" s="2">
        <v>41</v>
      </c>
      <c r="BD3765" s="2" t="s">
        <v>82</v>
      </c>
      <c r="BE3765" s="2">
        <v>19</v>
      </c>
      <c r="BF3765" s="2" t="s">
        <v>1061</v>
      </c>
      <c r="BG3765" s="2" t="s">
        <v>11709</v>
      </c>
      <c r="BH3765" s="4">
        <v>0.49305555555555558</v>
      </c>
      <c r="BI3765" s="4">
        <v>0.625</v>
      </c>
      <c r="BJ3765" s="2">
        <v>13</v>
      </c>
      <c r="BK3765" s="2" t="s">
        <v>91</v>
      </c>
      <c r="BL3765" s="2" t="s">
        <v>828</v>
      </c>
      <c r="BM3765" s="2">
        <v>241</v>
      </c>
      <c r="BN3765" s="2" t="s">
        <v>82</v>
      </c>
      <c r="BO3765" s="2" t="s">
        <v>82</v>
      </c>
      <c r="BP3765" s="2">
        <v>29</v>
      </c>
      <c r="BQ3765" s="2" t="s">
        <v>962</v>
      </c>
      <c r="BR3765" s="2" t="s">
        <v>963</v>
      </c>
      <c r="BS3765" s="3">
        <v>40434</v>
      </c>
      <c r="BT3765" s="4">
        <v>0.63422453703703707</v>
      </c>
    </row>
    <row r="3766" spans="1:72" x14ac:dyDescent="0.25">
      <c r="A3766" s="2">
        <v>5570</v>
      </c>
      <c r="B3766" s="2">
        <v>2010</v>
      </c>
      <c r="C3766" s="2" t="s">
        <v>171</v>
      </c>
      <c r="D3766" s="2" t="s">
        <v>122</v>
      </c>
      <c r="E3766" s="2"/>
      <c r="F3766" s="2">
        <v>338</v>
      </c>
      <c r="G3766" s="2" t="s">
        <v>4459</v>
      </c>
      <c r="H3766" s="2">
        <v>84</v>
      </c>
      <c r="I3766" s="2" t="s">
        <v>8117</v>
      </c>
      <c r="J3766" s="2">
        <v>309</v>
      </c>
      <c r="K3766" s="2" t="s">
        <v>268</v>
      </c>
      <c r="L3766" s="2" t="s">
        <v>269</v>
      </c>
      <c r="M3766" s="3">
        <v>40434</v>
      </c>
      <c r="N3766" s="2" t="s">
        <v>11972</v>
      </c>
      <c r="O3766" s="2" t="s">
        <v>11973</v>
      </c>
      <c r="P3766" s="2" t="s">
        <v>11974</v>
      </c>
      <c r="Q3766" s="2" t="str">
        <f>"S/NRO."</f>
        <v>S/NRO.</v>
      </c>
      <c r="R3766" s="2"/>
      <c r="S3766" s="2" t="s">
        <v>11975</v>
      </c>
      <c r="T3766" s="2">
        <v>1</v>
      </c>
      <c r="U3766" s="2" t="s">
        <v>79</v>
      </c>
      <c r="V3766" s="2">
        <v>3</v>
      </c>
      <c r="W3766" s="2" t="s">
        <v>225</v>
      </c>
      <c r="X3766" s="2">
        <v>6</v>
      </c>
      <c r="Y3766" s="2" t="s">
        <v>249</v>
      </c>
      <c r="Z3766" s="2">
        <v>1</v>
      </c>
      <c r="AA3766" s="2" t="s">
        <v>82</v>
      </c>
      <c r="AB3766" s="2">
        <v>9</v>
      </c>
      <c r="AC3766" s="2" t="s">
        <v>124</v>
      </c>
      <c r="AD3766" s="2"/>
      <c r="AE3766" s="2"/>
      <c r="AF3766" s="2"/>
      <c r="AG3766" s="2"/>
      <c r="AH3766" s="2">
        <v>5</v>
      </c>
      <c r="AI3766" s="2" t="s">
        <v>274</v>
      </c>
      <c r="AJ3766" s="2">
        <v>35</v>
      </c>
      <c r="AK3766" s="2" t="s">
        <v>275</v>
      </c>
      <c r="AL3766" s="2">
        <v>18</v>
      </c>
      <c r="AM3766" s="2" t="s">
        <v>82</v>
      </c>
      <c r="AN3766" s="2" t="s">
        <v>11976</v>
      </c>
      <c r="AO3766" s="2" t="s">
        <v>11977</v>
      </c>
      <c r="AP3766" s="2">
        <v>11</v>
      </c>
      <c r="AQ3766" s="2" t="s">
        <v>82</v>
      </c>
      <c r="AR3766" s="2"/>
      <c r="AS3766" s="2"/>
      <c r="AT3766" s="2" t="s">
        <v>11978</v>
      </c>
      <c r="AU3766" s="2"/>
      <c r="AV3766" s="2"/>
      <c r="AW3766" s="2"/>
      <c r="AX3766" s="2"/>
      <c r="AY3766" s="2">
        <v>1</v>
      </c>
      <c r="AZ3766" s="2" t="s">
        <v>107</v>
      </c>
      <c r="BA3766" s="2">
        <v>1</v>
      </c>
      <c r="BB3766" s="2" t="s">
        <v>107</v>
      </c>
      <c r="BC3766" s="2">
        <v>1</v>
      </c>
      <c r="BD3766" s="2" t="s">
        <v>107</v>
      </c>
      <c r="BE3766" s="2">
        <v>1</v>
      </c>
      <c r="BF3766" s="2" t="s">
        <v>107</v>
      </c>
      <c r="BG3766" s="2"/>
      <c r="BH3766" s="2"/>
      <c r="BI3766" s="2"/>
      <c r="BJ3766" s="2">
        <v>242</v>
      </c>
      <c r="BK3766" s="2" t="s">
        <v>107</v>
      </c>
      <c r="BL3766" s="2"/>
      <c r="BM3766" s="2">
        <v>242</v>
      </c>
      <c r="BN3766" s="2" t="s">
        <v>107</v>
      </c>
      <c r="BO3766" s="2"/>
      <c r="BP3766" s="2">
        <v>242</v>
      </c>
      <c r="BQ3766" s="2" t="s">
        <v>107</v>
      </c>
      <c r="BR3766" s="2"/>
      <c r="BS3766" s="3">
        <v>40434</v>
      </c>
      <c r="BT3766" s="4">
        <v>0.63975694444444442</v>
      </c>
    </row>
    <row r="3767" spans="1:72" x14ac:dyDescent="0.25">
      <c r="A3767" s="2">
        <v>5571</v>
      </c>
      <c r="B3767" s="2">
        <v>2010</v>
      </c>
      <c r="C3767" s="2" t="s">
        <v>171</v>
      </c>
      <c r="D3767" s="2" t="s">
        <v>122</v>
      </c>
      <c r="E3767" s="2"/>
      <c r="F3767" s="2">
        <v>338</v>
      </c>
      <c r="G3767" s="2" t="s">
        <v>4459</v>
      </c>
      <c r="H3767" s="2">
        <v>84</v>
      </c>
      <c r="I3767" s="2" t="s">
        <v>8117</v>
      </c>
      <c r="J3767" s="2">
        <v>309</v>
      </c>
      <c r="K3767" s="2" t="s">
        <v>268</v>
      </c>
      <c r="L3767" s="2" t="s">
        <v>269</v>
      </c>
      <c r="M3767" s="3">
        <v>40434</v>
      </c>
      <c r="N3767" s="2" t="s">
        <v>11979</v>
      </c>
      <c r="O3767" s="2" t="s">
        <v>11980</v>
      </c>
      <c r="P3767" s="2" t="s">
        <v>11981</v>
      </c>
      <c r="Q3767" s="2" t="str">
        <f>"S/NRO."</f>
        <v>S/NRO.</v>
      </c>
      <c r="R3767" s="2"/>
      <c r="S3767" s="2" t="s">
        <v>11982</v>
      </c>
      <c r="T3767" s="2">
        <v>1</v>
      </c>
      <c r="U3767" s="2" t="s">
        <v>79</v>
      </c>
      <c r="V3767" s="2">
        <v>3</v>
      </c>
      <c r="W3767" s="2" t="s">
        <v>225</v>
      </c>
      <c r="X3767" s="2">
        <v>6</v>
      </c>
      <c r="Y3767" s="2" t="s">
        <v>249</v>
      </c>
      <c r="Z3767" s="2">
        <v>1</v>
      </c>
      <c r="AA3767" s="2" t="s">
        <v>82</v>
      </c>
      <c r="AB3767" s="2">
        <v>9</v>
      </c>
      <c r="AC3767" s="2" t="s">
        <v>124</v>
      </c>
      <c r="AD3767" s="2"/>
      <c r="AE3767" s="2"/>
      <c r="AF3767" s="2"/>
      <c r="AG3767" s="2"/>
      <c r="AH3767" s="2">
        <v>5</v>
      </c>
      <c r="AI3767" s="2" t="s">
        <v>274</v>
      </c>
      <c r="AJ3767" s="2">
        <v>35</v>
      </c>
      <c r="AK3767" s="2" t="s">
        <v>275</v>
      </c>
      <c r="AL3767" s="2">
        <v>18</v>
      </c>
      <c r="AM3767" s="2" t="s">
        <v>82</v>
      </c>
      <c r="AN3767" s="2" t="s">
        <v>11976</v>
      </c>
      <c r="AO3767" s="2" t="s">
        <v>11983</v>
      </c>
      <c r="AP3767" s="2">
        <v>11</v>
      </c>
      <c r="AQ3767" s="2" t="s">
        <v>82</v>
      </c>
      <c r="AR3767" s="2"/>
      <c r="AS3767" s="2"/>
      <c r="AT3767" s="2" t="s">
        <v>11984</v>
      </c>
      <c r="AU3767" s="2"/>
      <c r="AV3767" s="2"/>
      <c r="AW3767" s="2"/>
      <c r="AX3767" s="2"/>
      <c r="AY3767" s="2">
        <v>1</v>
      </c>
      <c r="AZ3767" s="2" t="s">
        <v>107</v>
      </c>
      <c r="BA3767" s="2">
        <v>1</v>
      </c>
      <c r="BB3767" s="2" t="s">
        <v>107</v>
      </c>
      <c r="BC3767" s="2">
        <v>1</v>
      </c>
      <c r="BD3767" s="2" t="s">
        <v>107</v>
      </c>
      <c r="BE3767" s="2">
        <v>1</v>
      </c>
      <c r="BF3767" s="2" t="s">
        <v>107</v>
      </c>
      <c r="BG3767" s="2"/>
      <c r="BH3767" s="2"/>
      <c r="BI3767" s="2"/>
      <c r="BJ3767" s="2">
        <v>242</v>
      </c>
      <c r="BK3767" s="2" t="s">
        <v>107</v>
      </c>
      <c r="BL3767" s="2"/>
      <c r="BM3767" s="2">
        <v>242</v>
      </c>
      <c r="BN3767" s="2" t="s">
        <v>107</v>
      </c>
      <c r="BO3767" s="2"/>
      <c r="BP3767" s="2">
        <v>242</v>
      </c>
      <c r="BQ3767" s="2" t="s">
        <v>107</v>
      </c>
      <c r="BR3767" s="2"/>
      <c r="BS3767" s="3">
        <v>40434</v>
      </c>
      <c r="BT3767" s="4">
        <v>0.6486574074074074</v>
      </c>
    </row>
    <row r="3768" spans="1:72" x14ac:dyDescent="0.25">
      <c r="A3768" s="2">
        <v>5572</v>
      </c>
      <c r="B3768" s="2">
        <v>2010</v>
      </c>
      <c r="C3768" s="2" t="s">
        <v>171</v>
      </c>
      <c r="D3768" s="2" t="s">
        <v>122</v>
      </c>
      <c r="E3768" s="2"/>
      <c r="F3768" s="2">
        <v>424</v>
      </c>
      <c r="G3768" s="2" t="s">
        <v>266</v>
      </c>
      <c r="H3768" s="2">
        <v>84</v>
      </c>
      <c r="I3768" s="2" t="s">
        <v>8117</v>
      </c>
      <c r="J3768" s="2">
        <v>309</v>
      </c>
      <c r="K3768" s="2" t="s">
        <v>268</v>
      </c>
      <c r="L3768" s="2" t="s">
        <v>269</v>
      </c>
      <c r="M3768" s="3">
        <v>40434</v>
      </c>
      <c r="N3768" s="2" t="s">
        <v>11985</v>
      </c>
      <c r="O3768" s="2" t="s">
        <v>11986</v>
      </c>
      <c r="P3768" s="2" t="s">
        <v>11987</v>
      </c>
      <c r="Q3768" s="2" t="str">
        <f>"S/NRO."</f>
        <v>S/NRO.</v>
      </c>
      <c r="R3768" s="2"/>
      <c r="S3768" s="2" t="s">
        <v>11988</v>
      </c>
      <c r="T3768" s="2">
        <v>1</v>
      </c>
      <c r="U3768" s="2" t="s">
        <v>79</v>
      </c>
      <c r="V3768" s="2">
        <v>3</v>
      </c>
      <c r="W3768" s="2" t="s">
        <v>225</v>
      </c>
      <c r="X3768" s="2">
        <v>6</v>
      </c>
      <c r="Y3768" s="2" t="s">
        <v>249</v>
      </c>
      <c r="Z3768" s="2">
        <v>1</v>
      </c>
      <c r="AA3768" s="2" t="s">
        <v>82</v>
      </c>
      <c r="AB3768" s="2">
        <v>9</v>
      </c>
      <c r="AC3768" s="2" t="s">
        <v>124</v>
      </c>
      <c r="AD3768" s="2"/>
      <c r="AE3768" s="2"/>
      <c r="AF3768" s="2"/>
      <c r="AG3768" s="2"/>
      <c r="AH3768" s="2">
        <v>5</v>
      </c>
      <c r="AI3768" s="2" t="s">
        <v>274</v>
      </c>
      <c r="AJ3768" s="2">
        <v>35</v>
      </c>
      <c r="AK3768" s="2" t="s">
        <v>275</v>
      </c>
      <c r="AL3768" s="2">
        <v>18</v>
      </c>
      <c r="AM3768" s="2" t="s">
        <v>82</v>
      </c>
      <c r="AN3768" s="2" t="s">
        <v>11989</v>
      </c>
      <c r="AO3768" s="2" t="s">
        <v>6998</v>
      </c>
      <c r="AP3768" s="2">
        <v>11</v>
      </c>
      <c r="AQ3768" s="2" t="s">
        <v>82</v>
      </c>
      <c r="AR3768" s="2"/>
      <c r="AS3768" s="2"/>
      <c r="AT3768" s="2" t="s">
        <v>11990</v>
      </c>
      <c r="AU3768" s="2"/>
      <c r="AV3768" s="2"/>
      <c r="AW3768" s="2"/>
      <c r="AX3768" s="2"/>
      <c r="AY3768" s="2">
        <v>1</v>
      </c>
      <c r="AZ3768" s="2" t="s">
        <v>107</v>
      </c>
      <c r="BA3768" s="2">
        <v>1</v>
      </c>
      <c r="BB3768" s="2" t="s">
        <v>107</v>
      </c>
      <c r="BC3768" s="2">
        <v>1</v>
      </c>
      <c r="BD3768" s="2" t="s">
        <v>107</v>
      </c>
      <c r="BE3768" s="2">
        <v>1</v>
      </c>
      <c r="BF3768" s="2" t="s">
        <v>107</v>
      </c>
      <c r="BG3768" s="2"/>
      <c r="BH3768" s="2"/>
      <c r="BI3768" s="2"/>
      <c r="BJ3768" s="2">
        <v>242</v>
      </c>
      <c r="BK3768" s="2" t="s">
        <v>107</v>
      </c>
      <c r="BL3768" s="2"/>
      <c r="BM3768" s="2">
        <v>242</v>
      </c>
      <c r="BN3768" s="2" t="s">
        <v>107</v>
      </c>
      <c r="BO3768" s="2"/>
      <c r="BP3768" s="2">
        <v>242</v>
      </c>
      <c r="BQ3768" s="2" t="s">
        <v>107</v>
      </c>
      <c r="BR3768" s="2"/>
      <c r="BS3768" s="3">
        <v>40434</v>
      </c>
      <c r="BT3768" s="4">
        <v>0.65658564814814813</v>
      </c>
    </row>
    <row r="3769" spans="1:72" x14ac:dyDescent="0.25">
      <c r="A3769" s="2">
        <v>5573</v>
      </c>
      <c r="B3769" s="2">
        <v>2010</v>
      </c>
      <c r="C3769" s="2" t="s">
        <v>171</v>
      </c>
      <c r="D3769" s="2" t="s">
        <v>122</v>
      </c>
      <c r="E3769" s="2"/>
      <c r="F3769" s="2">
        <v>424</v>
      </c>
      <c r="G3769" s="2" t="s">
        <v>266</v>
      </c>
      <c r="H3769" s="2">
        <v>84</v>
      </c>
      <c r="I3769" s="2" t="s">
        <v>8117</v>
      </c>
      <c r="J3769" s="2">
        <v>309</v>
      </c>
      <c r="K3769" s="2" t="s">
        <v>268</v>
      </c>
      <c r="L3769" s="2" t="s">
        <v>269</v>
      </c>
      <c r="M3769" s="3">
        <v>40434</v>
      </c>
      <c r="N3769" s="2" t="s">
        <v>11985</v>
      </c>
      <c r="O3769" s="2" t="s">
        <v>11991</v>
      </c>
      <c r="P3769" s="2" t="s">
        <v>11992</v>
      </c>
      <c r="Q3769" s="2" t="str">
        <f>"S/NRO."</f>
        <v>S/NRO.</v>
      </c>
      <c r="R3769" s="2"/>
      <c r="S3769" s="2" t="s">
        <v>11993</v>
      </c>
      <c r="T3769" s="2">
        <v>1</v>
      </c>
      <c r="U3769" s="2" t="s">
        <v>79</v>
      </c>
      <c r="V3769" s="2">
        <v>3</v>
      </c>
      <c r="W3769" s="2" t="s">
        <v>225</v>
      </c>
      <c r="X3769" s="2">
        <v>6</v>
      </c>
      <c r="Y3769" s="2" t="s">
        <v>249</v>
      </c>
      <c r="Z3769" s="2">
        <v>1</v>
      </c>
      <c r="AA3769" s="2" t="s">
        <v>82</v>
      </c>
      <c r="AB3769" s="2">
        <v>9</v>
      </c>
      <c r="AC3769" s="2" t="s">
        <v>124</v>
      </c>
      <c r="AD3769" s="2"/>
      <c r="AE3769" s="2"/>
      <c r="AF3769" s="2"/>
      <c r="AG3769" s="2"/>
      <c r="AH3769" s="2">
        <v>5</v>
      </c>
      <c r="AI3769" s="2" t="s">
        <v>274</v>
      </c>
      <c r="AJ3769" s="2">
        <v>35</v>
      </c>
      <c r="AK3769" s="2" t="s">
        <v>275</v>
      </c>
      <c r="AL3769" s="2">
        <v>18</v>
      </c>
      <c r="AM3769" s="2" t="s">
        <v>82</v>
      </c>
      <c r="AN3769" s="2" t="s">
        <v>11994</v>
      </c>
      <c r="AO3769" s="2" t="s">
        <v>6998</v>
      </c>
      <c r="AP3769" s="2">
        <v>11</v>
      </c>
      <c r="AQ3769" s="2" t="s">
        <v>82</v>
      </c>
      <c r="AR3769" s="2"/>
      <c r="AS3769" s="2"/>
      <c r="AT3769" s="2" t="s">
        <v>11995</v>
      </c>
      <c r="AU3769" s="2"/>
      <c r="AV3769" s="2"/>
      <c r="AW3769" s="2"/>
      <c r="AX3769" s="2"/>
      <c r="AY3769" s="2">
        <v>1</v>
      </c>
      <c r="AZ3769" s="2" t="s">
        <v>107</v>
      </c>
      <c r="BA3769" s="2">
        <v>1</v>
      </c>
      <c r="BB3769" s="2" t="s">
        <v>107</v>
      </c>
      <c r="BC3769" s="2">
        <v>1</v>
      </c>
      <c r="BD3769" s="2" t="s">
        <v>107</v>
      </c>
      <c r="BE3769" s="2">
        <v>1</v>
      </c>
      <c r="BF3769" s="2" t="s">
        <v>107</v>
      </c>
      <c r="BG3769" s="2"/>
      <c r="BH3769" s="2"/>
      <c r="BI3769" s="2"/>
      <c r="BJ3769" s="2">
        <v>242</v>
      </c>
      <c r="BK3769" s="2" t="s">
        <v>107</v>
      </c>
      <c r="BL3769" s="2"/>
      <c r="BM3769" s="2">
        <v>242</v>
      </c>
      <c r="BN3769" s="2" t="s">
        <v>107</v>
      </c>
      <c r="BO3769" s="2"/>
      <c r="BP3769" s="2">
        <v>242</v>
      </c>
      <c r="BQ3769" s="2" t="s">
        <v>107</v>
      </c>
      <c r="BR3769" s="2"/>
      <c r="BS3769" s="3">
        <v>40434</v>
      </c>
      <c r="BT3769" s="4">
        <v>0.66467592592592595</v>
      </c>
    </row>
    <row r="3770" spans="1:72" x14ac:dyDescent="0.25">
      <c r="A3770" s="2">
        <v>5575</v>
      </c>
      <c r="B3770" s="2">
        <v>2010</v>
      </c>
      <c r="C3770" s="2" t="s">
        <v>171</v>
      </c>
      <c r="D3770" s="2" t="s">
        <v>73</v>
      </c>
      <c r="E3770" s="2"/>
      <c r="F3770" s="2">
        <v>394</v>
      </c>
      <c r="G3770" s="2" t="s">
        <v>172</v>
      </c>
      <c r="H3770" s="2">
        <v>5</v>
      </c>
      <c r="I3770" s="2" t="s">
        <v>634</v>
      </c>
      <c r="J3770" s="2">
        <v>241</v>
      </c>
      <c r="K3770" s="2" t="s">
        <v>174</v>
      </c>
      <c r="L3770" s="2" t="s">
        <v>175</v>
      </c>
      <c r="M3770" s="3">
        <v>40434</v>
      </c>
      <c r="N3770" s="2" t="s">
        <v>11996</v>
      </c>
      <c r="O3770" s="2" t="s">
        <v>11997</v>
      </c>
      <c r="P3770" s="7">
        <v>21226</v>
      </c>
      <c r="Q3770" s="2" t="str">
        <f>"463E-10"</f>
        <v>463E-10</v>
      </c>
      <c r="R3770" s="2" t="s">
        <v>391</v>
      </c>
      <c r="S3770" s="2"/>
      <c r="T3770" s="2">
        <v>1</v>
      </c>
      <c r="U3770" s="2" t="s">
        <v>79</v>
      </c>
      <c r="V3770" s="2">
        <v>1</v>
      </c>
      <c r="W3770" s="2" t="s">
        <v>80</v>
      </c>
      <c r="X3770" s="2">
        <v>8</v>
      </c>
      <c r="Y3770" s="2" t="s">
        <v>375</v>
      </c>
      <c r="Z3770" s="2">
        <v>1</v>
      </c>
      <c r="AA3770" s="2" t="s">
        <v>82</v>
      </c>
      <c r="AB3770" s="2">
        <v>1</v>
      </c>
      <c r="AC3770" s="2" t="s">
        <v>178</v>
      </c>
      <c r="AD3770" s="3">
        <v>40434</v>
      </c>
      <c r="AE3770" s="4">
        <v>0.53125</v>
      </c>
      <c r="AF3770" s="2"/>
      <c r="AG3770" s="2"/>
      <c r="AH3770" s="2">
        <v>2</v>
      </c>
      <c r="AI3770" s="2" t="s">
        <v>84</v>
      </c>
      <c r="AJ3770" s="2">
        <v>6</v>
      </c>
      <c r="AK3770" s="2" t="s">
        <v>453</v>
      </c>
      <c r="AL3770" s="2">
        <v>23</v>
      </c>
      <c r="AM3770" s="2" t="s">
        <v>251</v>
      </c>
      <c r="AN3770" s="2"/>
      <c r="AO3770" s="2" t="s">
        <v>11998</v>
      </c>
      <c r="AP3770" s="2">
        <v>11</v>
      </c>
      <c r="AQ3770" s="2" t="s">
        <v>82</v>
      </c>
      <c r="AR3770" s="2"/>
      <c r="AS3770" s="2"/>
      <c r="AT3770" s="2" t="s">
        <v>11999</v>
      </c>
      <c r="AU3770" s="2"/>
      <c r="AV3770" s="2"/>
      <c r="AW3770" s="2"/>
      <c r="AX3770" s="2"/>
      <c r="AY3770" s="2">
        <v>41</v>
      </c>
      <c r="AZ3770" s="2" t="s">
        <v>82</v>
      </c>
      <c r="BA3770" s="2">
        <v>41</v>
      </c>
      <c r="BB3770" s="2" t="s">
        <v>82</v>
      </c>
      <c r="BC3770" s="2">
        <v>41</v>
      </c>
      <c r="BD3770" s="2" t="s">
        <v>82</v>
      </c>
      <c r="BE3770" s="2">
        <v>41</v>
      </c>
      <c r="BF3770" s="2" t="s">
        <v>82</v>
      </c>
      <c r="BG3770" s="2"/>
      <c r="BH3770" s="2"/>
      <c r="BI3770" s="2"/>
      <c r="BJ3770" s="2">
        <v>241</v>
      </c>
      <c r="BK3770" s="2" t="s">
        <v>82</v>
      </c>
      <c r="BL3770" s="2"/>
      <c r="BM3770" s="2">
        <v>241</v>
      </c>
      <c r="BN3770" s="2" t="s">
        <v>82</v>
      </c>
      <c r="BO3770" s="2"/>
      <c r="BP3770" s="2">
        <v>241</v>
      </c>
      <c r="BQ3770" s="2" t="s">
        <v>82</v>
      </c>
      <c r="BR3770" s="2"/>
      <c r="BS3770" s="3">
        <v>40434</v>
      </c>
      <c r="BT3770" s="4">
        <v>0.7106365740740741</v>
      </c>
    </row>
    <row r="3771" spans="1:72" x14ac:dyDescent="0.25">
      <c r="A3771" s="2">
        <v>5577</v>
      </c>
      <c r="B3771" s="2">
        <v>2010</v>
      </c>
      <c r="C3771" s="2" t="s">
        <v>377</v>
      </c>
      <c r="D3771" s="2" t="s">
        <v>73</v>
      </c>
      <c r="E3771" s="2"/>
      <c r="F3771" s="2">
        <v>426</v>
      </c>
      <c r="G3771" s="2" t="s">
        <v>378</v>
      </c>
      <c r="H3771" s="2">
        <v>42</v>
      </c>
      <c r="I3771" s="2" t="s">
        <v>1096</v>
      </c>
      <c r="J3771" s="2">
        <v>311</v>
      </c>
      <c r="K3771" s="2" t="s">
        <v>379</v>
      </c>
      <c r="L3771" s="2" t="s">
        <v>380</v>
      </c>
      <c r="M3771" s="3">
        <v>40434</v>
      </c>
      <c r="N3771" s="2" t="s">
        <v>7171</v>
      </c>
      <c r="O3771" s="2"/>
      <c r="P3771" s="2"/>
      <c r="Q3771" s="2" t="str">
        <f>"242-C/10"</f>
        <v>242-C/10</v>
      </c>
      <c r="R3771" s="2"/>
      <c r="S3771" s="2" t="s">
        <v>3458</v>
      </c>
      <c r="T3771" s="2">
        <v>1</v>
      </c>
      <c r="U3771" s="2" t="s">
        <v>79</v>
      </c>
      <c r="V3771" s="2">
        <v>1</v>
      </c>
      <c r="W3771" s="2" t="s">
        <v>80</v>
      </c>
      <c r="X3771" s="2">
        <v>1</v>
      </c>
      <c r="Y3771" s="2" t="s">
        <v>81</v>
      </c>
      <c r="Z3771" s="2">
        <v>1</v>
      </c>
      <c r="AA3771" s="2" t="s">
        <v>82</v>
      </c>
      <c r="AB3771" s="2">
        <v>9</v>
      </c>
      <c r="AC3771" s="2" t="s">
        <v>124</v>
      </c>
      <c r="AD3771" s="3">
        <v>40434</v>
      </c>
      <c r="AE3771" s="4">
        <v>0.4861111111111111</v>
      </c>
      <c r="AF3771" s="2"/>
      <c r="AG3771" s="2"/>
      <c r="AH3771" s="2">
        <v>2</v>
      </c>
      <c r="AI3771" s="2" t="s">
        <v>84</v>
      </c>
      <c r="AJ3771" s="2">
        <v>9</v>
      </c>
      <c r="AK3771" s="2" t="s">
        <v>103</v>
      </c>
      <c r="AL3771" s="2">
        <v>29</v>
      </c>
      <c r="AM3771" s="2" t="s">
        <v>5416</v>
      </c>
      <c r="AN3771" s="2" t="s">
        <v>12000</v>
      </c>
      <c r="AO3771" s="2" t="s">
        <v>12001</v>
      </c>
      <c r="AP3771" s="2">
        <v>11</v>
      </c>
      <c r="AQ3771" s="2" t="s">
        <v>82</v>
      </c>
      <c r="AR3771" s="2"/>
      <c r="AS3771" s="2"/>
      <c r="AT3771" s="2" t="s">
        <v>12002</v>
      </c>
      <c r="AU3771" s="2"/>
      <c r="AV3771" s="2"/>
      <c r="AW3771" s="2"/>
      <c r="AX3771" s="2"/>
      <c r="AY3771" s="2">
        <v>41</v>
      </c>
      <c r="AZ3771" s="2" t="s">
        <v>82</v>
      </c>
      <c r="BA3771" s="2">
        <v>41</v>
      </c>
      <c r="BB3771" s="2" t="s">
        <v>82</v>
      </c>
      <c r="BC3771" s="2">
        <v>41</v>
      </c>
      <c r="BD3771" s="2" t="s">
        <v>82</v>
      </c>
      <c r="BE3771" s="2">
        <v>41</v>
      </c>
      <c r="BF3771" s="2" t="s">
        <v>82</v>
      </c>
      <c r="BG3771" s="2"/>
      <c r="BH3771" s="2"/>
      <c r="BI3771" s="2"/>
      <c r="BJ3771" s="2">
        <v>241</v>
      </c>
      <c r="BK3771" s="2" t="s">
        <v>82</v>
      </c>
      <c r="BL3771" s="2"/>
      <c r="BM3771" s="2">
        <v>241</v>
      </c>
      <c r="BN3771" s="2" t="s">
        <v>82</v>
      </c>
      <c r="BO3771" s="2"/>
      <c r="BP3771" s="2">
        <v>241</v>
      </c>
      <c r="BQ3771" s="2" t="s">
        <v>82</v>
      </c>
      <c r="BR3771" s="2"/>
      <c r="BS3771" s="3">
        <v>40434</v>
      </c>
      <c r="BT3771" s="4">
        <v>0.79973379629629626</v>
      </c>
    </row>
    <row r="3772" spans="1:72" x14ac:dyDescent="0.25">
      <c r="A3772" s="2">
        <v>5578</v>
      </c>
      <c r="B3772" s="2">
        <v>2010</v>
      </c>
      <c r="C3772" s="2" t="s">
        <v>414</v>
      </c>
      <c r="D3772" s="2" t="s">
        <v>122</v>
      </c>
      <c r="E3772" s="2"/>
      <c r="F3772" s="2">
        <v>1</v>
      </c>
      <c r="G3772" s="2" t="s">
        <v>82</v>
      </c>
      <c r="H3772" s="2">
        <v>1</v>
      </c>
      <c r="I3772" s="2" t="s">
        <v>82</v>
      </c>
      <c r="J3772" s="2">
        <v>1</v>
      </c>
      <c r="K3772" s="2" t="s">
        <v>107</v>
      </c>
      <c r="L3772" s="2" t="s">
        <v>107</v>
      </c>
      <c r="M3772" s="3">
        <v>40434</v>
      </c>
      <c r="N3772" s="2"/>
      <c r="O3772" s="2"/>
      <c r="P3772" s="2"/>
      <c r="Q3772" s="2" t="str">
        <f>""</f>
        <v/>
      </c>
      <c r="R3772" s="2"/>
      <c r="S3772" s="2"/>
      <c r="T3772" s="2">
        <v>1</v>
      </c>
      <c r="U3772" s="2" t="s">
        <v>79</v>
      </c>
      <c r="V3772" s="2">
        <v>1</v>
      </c>
      <c r="W3772" s="2" t="s">
        <v>80</v>
      </c>
      <c r="X3772" s="2">
        <v>1</v>
      </c>
      <c r="Y3772" s="2" t="s">
        <v>81</v>
      </c>
      <c r="Z3772" s="2">
        <v>10</v>
      </c>
      <c r="AA3772" s="2" t="s">
        <v>236</v>
      </c>
      <c r="AB3772" s="2">
        <v>9</v>
      </c>
      <c r="AC3772" s="2" t="s">
        <v>124</v>
      </c>
      <c r="AD3772" s="3">
        <v>40434</v>
      </c>
      <c r="AE3772" s="4">
        <v>0.79166666666666663</v>
      </c>
      <c r="AF3772" s="2"/>
      <c r="AG3772" s="2"/>
      <c r="AH3772" s="2">
        <v>2</v>
      </c>
      <c r="AI3772" s="2" t="s">
        <v>84</v>
      </c>
      <c r="AJ3772" s="2">
        <v>12</v>
      </c>
      <c r="AK3772" s="2" t="s">
        <v>85</v>
      </c>
      <c r="AL3772" s="2">
        <v>24</v>
      </c>
      <c r="AM3772" s="2" t="s">
        <v>1540</v>
      </c>
      <c r="AN3772" s="2" t="s">
        <v>12003</v>
      </c>
      <c r="AO3772" s="2" t="s">
        <v>12004</v>
      </c>
      <c r="AP3772" s="2">
        <v>11</v>
      </c>
      <c r="AQ3772" s="2" t="s">
        <v>82</v>
      </c>
      <c r="AR3772" s="2"/>
      <c r="AS3772" s="2"/>
      <c r="AT3772" s="2" t="s">
        <v>12005</v>
      </c>
      <c r="AU3772" s="2"/>
      <c r="AV3772" s="2"/>
      <c r="AW3772" s="2"/>
      <c r="AX3772" s="2"/>
      <c r="AY3772" s="2">
        <v>41</v>
      </c>
      <c r="AZ3772" s="2" t="s">
        <v>82</v>
      </c>
      <c r="BA3772" s="2">
        <v>41</v>
      </c>
      <c r="BB3772" s="2" t="s">
        <v>82</v>
      </c>
      <c r="BC3772" s="2">
        <v>41</v>
      </c>
      <c r="BD3772" s="2" t="s">
        <v>82</v>
      </c>
      <c r="BE3772" s="2">
        <v>41</v>
      </c>
      <c r="BF3772" s="2" t="s">
        <v>82</v>
      </c>
      <c r="BG3772" s="2"/>
      <c r="BH3772" s="2"/>
      <c r="BI3772" s="2"/>
      <c r="BJ3772" s="2">
        <v>241</v>
      </c>
      <c r="BK3772" s="2" t="s">
        <v>82</v>
      </c>
      <c r="BL3772" s="2"/>
      <c r="BM3772" s="2">
        <v>241</v>
      </c>
      <c r="BN3772" s="2" t="s">
        <v>82</v>
      </c>
      <c r="BO3772" s="2"/>
      <c r="BP3772" s="2">
        <v>241</v>
      </c>
      <c r="BQ3772" s="2" t="s">
        <v>82</v>
      </c>
      <c r="BR3772" s="2"/>
      <c r="BS3772" s="3">
        <v>40434</v>
      </c>
      <c r="BT3772" s="4">
        <v>0.83266203703703701</v>
      </c>
    </row>
    <row r="3773" spans="1:72" x14ac:dyDescent="0.25">
      <c r="A3773" s="2">
        <v>5579</v>
      </c>
      <c r="B3773" s="2">
        <v>2010</v>
      </c>
      <c r="C3773" s="2" t="s">
        <v>72</v>
      </c>
      <c r="D3773" s="2" t="s">
        <v>73</v>
      </c>
      <c r="E3773" s="2"/>
      <c r="F3773" s="2">
        <v>390</v>
      </c>
      <c r="G3773" s="2" t="s">
        <v>475</v>
      </c>
      <c r="H3773" s="2">
        <v>7</v>
      </c>
      <c r="I3773" s="2" t="s">
        <v>476</v>
      </c>
      <c r="J3773" s="2">
        <v>533</v>
      </c>
      <c r="K3773" s="2" t="s">
        <v>6511</v>
      </c>
      <c r="L3773" s="2" t="s">
        <v>478</v>
      </c>
      <c r="M3773" s="3">
        <v>40435</v>
      </c>
      <c r="N3773" s="2" t="s">
        <v>765</v>
      </c>
      <c r="O3773" s="2"/>
      <c r="P3773" s="2" t="s">
        <v>107</v>
      </c>
      <c r="Q3773" s="2" t="str">
        <f>"465-E/10"</f>
        <v>465-E/10</v>
      </c>
      <c r="R3773" s="2" t="s">
        <v>480</v>
      </c>
      <c r="S3773" s="2" t="s">
        <v>12006</v>
      </c>
      <c r="T3773" s="2">
        <v>1</v>
      </c>
      <c r="U3773" s="2" t="s">
        <v>79</v>
      </c>
      <c r="V3773" s="2">
        <v>1</v>
      </c>
      <c r="W3773" s="2" t="s">
        <v>80</v>
      </c>
      <c r="X3773" s="2">
        <v>1</v>
      </c>
      <c r="Y3773" s="2" t="s">
        <v>81</v>
      </c>
      <c r="Z3773" s="2">
        <v>1</v>
      </c>
      <c r="AA3773" s="2" t="s">
        <v>82</v>
      </c>
      <c r="AB3773" s="2">
        <v>6</v>
      </c>
      <c r="AC3773" s="2" t="s">
        <v>83</v>
      </c>
      <c r="AD3773" s="2"/>
      <c r="AE3773" s="2"/>
      <c r="AF3773" s="3">
        <v>40434</v>
      </c>
      <c r="AG3773" s="4">
        <v>0.95138888888888884</v>
      </c>
      <c r="AH3773" s="2">
        <v>2</v>
      </c>
      <c r="AI3773" s="2" t="s">
        <v>84</v>
      </c>
      <c r="AJ3773" s="2">
        <v>9</v>
      </c>
      <c r="AK3773" s="2" t="s">
        <v>103</v>
      </c>
      <c r="AL3773" s="2">
        <v>25</v>
      </c>
      <c r="AM3773" s="2" t="s">
        <v>3073</v>
      </c>
      <c r="AN3773" s="2"/>
      <c r="AO3773" s="2" t="s">
        <v>5800</v>
      </c>
      <c r="AP3773" s="2">
        <v>11</v>
      </c>
      <c r="AQ3773" s="2" t="s">
        <v>82</v>
      </c>
      <c r="AR3773" s="2"/>
      <c r="AS3773" s="2"/>
      <c r="AT3773" s="2" t="s">
        <v>12007</v>
      </c>
      <c r="AU3773" s="2"/>
      <c r="AV3773" s="2"/>
      <c r="AW3773" s="2"/>
      <c r="AX3773" s="2"/>
      <c r="AY3773" s="2">
        <v>1</v>
      </c>
      <c r="AZ3773" s="2" t="s">
        <v>107</v>
      </c>
      <c r="BA3773" s="2">
        <v>41</v>
      </c>
      <c r="BB3773" s="2" t="s">
        <v>82</v>
      </c>
      <c r="BC3773" s="2">
        <v>41</v>
      </c>
      <c r="BD3773" s="2" t="s">
        <v>82</v>
      </c>
      <c r="BE3773" s="2">
        <v>41</v>
      </c>
      <c r="BF3773" s="2" t="s">
        <v>82</v>
      </c>
      <c r="BG3773" s="2"/>
      <c r="BH3773" s="2"/>
      <c r="BI3773" s="2"/>
      <c r="BJ3773" s="2">
        <v>241</v>
      </c>
      <c r="BK3773" s="2" t="s">
        <v>82</v>
      </c>
      <c r="BL3773" s="2"/>
      <c r="BM3773" s="2">
        <v>241</v>
      </c>
      <c r="BN3773" s="2" t="s">
        <v>82</v>
      </c>
      <c r="BO3773" s="2"/>
      <c r="BP3773" s="2">
        <v>241</v>
      </c>
      <c r="BQ3773" s="2" t="s">
        <v>82</v>
      </c>
      <c r="BR3773" s="2"/>
      <c r="BS3773" s="3">
        <v>40435</v>
      </c>
      <c r="BT3773" s="4">
        <v>5.2314814814814814E-2</v>
      </c>
    </row>
    <row r="3774" spans="1:72" x14ac:dyDescent="0.25">
      <c r="A3774" s="2">
        <v>5580</v>
      </c>
      <c r="B3774" s="2">
        <v>2010</v>
      </c>
      <c r="C3774" s="2" t="s">
        <v>72</v>
      </c>
      <c r="D3774" s="2" t="s">
        <v>73</v>
      </c>
      <c r="E3774" s="2"/>
      <c r="F3774" s="2">
        <v>673</v>
      </c>
      <c r="G3774" s="2" t="s">
        <v>11655</v>
      </c>
      <c r="H3774" s="2">
        <v>42</v>
      </c>
      <c r="I3774" s="2" t="s">
        <v>1096</v>
      </c>
      <c r="J3774" s="2">
        <v>657</v>
      </c>
      <c r="K3774" s="2" t="s">
        <v>11502</v>
      </c>
      <c r="L3774" s="2" t="s">
        <v>11656</v>
      </c>
      <c r="M3774" s="3">
        <v>40435</v>
      </c>
      <c r="N3774" s="2" t="s">
        <v>12008</v>
      </c>
      <c r="O3774" s="2"/>
      <c r="P3774" s="2"/>
      <c r="Q3774" s="2" t="str">
        <f>"369-A/10"</f>
        <v>369-A/10</v>
      </c>
      <c r="R3774" s="2" t="s">
        <v>12009</v>
      </c>
      <c r="S3774" s="2" t="s">
        <v>12009</v>
      </c>
      <c r="T3774" s="2">
        <v>1</v>
      </c>
      <c r="U3774" s="2" t="s">
        <v>79</v>
      </c>
      <c r="V3774" s="2">
        <v>1</v>
      </c>
      <c r="W3774" s="2" t="s">
        <v>80</v>
      </c>
      <c r="X3774" s="2">
        <v>12</v>
      </c>
      <c r="Y3774" s="2" t="s">
        <v>148</v>
      </c>
      <c r="Z3774" s="2">
        <v>1</v>
      </c>
      <c r="AA3774" s="2" t="s">
        <v>82</v>
      </c>
      <c r="AB3774" s="2">
        <v>6</v>
      </c>
      <c r="AC3774" s="2" t="s">
        <v>83</v>
      </c>
      <c r="AD3774" s="3">
        <v>40434</v>
      </c>
      <c r="AE3774" s="2"/>
      <c r="AF3774" s="3">
        <v>40435</v>
      </c>
      <c r="AG3774" s="4">
        <v>3.8194444444444441E-2</v>
      </c>
      <c r="AH3774" s="2">
        <v>2</v>
      </c>
      <c r="AI3774" s="2" t="s">
        <v>84</v>
      </c>
      <c r="AJ3774" s="2">
        <v>12</v>
      </c>
      <c r="AK3774" s="2" t="s">
        <v>85</v>
      </c>
      <c r="AL3774" s="2">
        <v>22</v>
      </c>
      <c r="AM3774" s="2" t="s">
        <v>1853</v>
      </c>
      <c r="AN3774" s="2" t="s">
        <v>10895</v>
      </c>
      <c r="AO3774" s="2" t="s">
        <v>11928</v>
      </c>
      <c r="AP3774" s="2">
        <v>11</v>
      </c>
      <c r="AQ3774" s="2" t="s">
        <v>82</v>
      </c>
      <c r="AR3774" s="2"/>
      <c r="AS3774" s="2"/>
      <c r="AT3774" s="2" t="s">
        <v>12010</v>
      </c>
      <c r="AU3774" s="2"/>
      <c r="AV3774" s="2"/>
      <c r="AW3774" s="2"/>
      <c r="AX3774" s="2"/>
      <c r="AY3774" s="2">
        <v>41</v>
      </c>
      <c r="AZ3774" s="2" t="s">
        <v>82</v>
      </c>
      <c r="BA3774" s="2">
        <v>41</v>
      </c>
      <c r="BB3774" s="2" t="s">
        <v>82</v>
      </c>
      <c r="BC3774" s="2">
        <v>41</v>
      </c>
      <c r="BD3774" s="2" t="s">
        <v>82</v>
      </c>
      <c r="BE3774" s="2">
        <v>13</v>
      </c>
      <c r="BF3774" s="2" t="s">
        <v>108</v>
      </c>
      <c r="BG3774" s="2" t="s">
        <v>12011</v>
      </c>
      <c r="BH3774" s="4">
        <v>0.9375</v>
      </c>
      <c r="BI3774" s="4">
        <v>0.88194444444444453</v>
      </c>
      <c r="BJ3774" s="2">
        <v>13</v>
      </c>
      <c r="BK3774" s="2" t="s">
        <v>91</v>
      </c>
      <c r="BL3774" s="2" t="s">
        <v>744</v>
      </c>
      <c r="BM3774" s="2">
        <v>241</v>
      </c>
      <c r="BN3774" s="2" t="s">
        <v>82</v>
      </c>
      <c r="BO3774" s="2"/>
      <c r="BP3774" s="2">
        <v>13</v>
      </c>
      <c r="BQ3774" s="2" t="s">
        <v>91</v>
      </c>
      <c r="BR3774" s="2" t="s">
        <v>564</v>
      </c>
      <c r="BS3774" s="3">
        <v>40435</v>
      </c>
      <c r="BT3774" s="4">
        <v>0.15324074074074073</v>
      </c>
    </row>
    <row r="3775" spans="1:72" x14ac:dyDescent="0.25">
      <c r="A3775" s="2">
        <v>5581</v>
      </c>
      <c r="B3775" s="2">
        <v>2010</v>
      </c>
      <c r="C3775" s="2" t="s">
        <v>4543</v>
      </c>
      <c r="D3775" s="2" t="s">
        <v>122</v>
      </c>
      <c r="E3775" s="2"/>
      <c r="F3775" s="2">
        <v>1</v>
      </c>
      <c r="G3775" s="2" t="s">
        <v>82</v>
      </c>
      <c r="H3775" s="2">
        <v>1</v>
      </c>
      <c r="I3775" s="2" t="s">
        <v>82</v>
      </c>
      <c r="J3775" s="2">
        <v>1</v>
      </c>
      <c r="K3775" s="2" t="s">
        <v>107</v>
      </c>
      <c r="L3775" s="2" t="s">
        <v>107</v>
      </c>
      <c r="M3775" s="3">
        <v>40435</v>
      </c>
      <c r="N3775" s="2"/>
      <c r="O3775" s="2"/>
      <c r="P3775" s="2"/>
      <c r="Q3775" s="2" t="str">
        <f>""</f>
        <v/>
      </c>
      <c r="R3775" s="2"/>
      <c r="S3775" s="2"/>
      <c r="T3775" s="2">
        <v>2</v>
      </c>
      <c r="U3775" s="2" t="s">
        <v>123</v>
      </c>
      <c r="V3775" s="2">
        <v>1</v>
      </c>
      <c r="W3775" s="2" t="s">
        <v>80</v>
      </c>
      <c r="X3775" s="2">
        <v>11</v>
      </c>
      <c r="Y3775" s="2" t="s">
        <v>1920</v>
      </c>
      <c r="Z3775" s="2">
        <v>1</v>
      </c>
      <c r="AA3775" s="2" t="s">
        <v>82</v>
      </c>
      <c r="AB3775" s="2">
        <v>9</v>
      </c>
      <c r="AC3775" s="2" t="s">
        <v>124</v>
      </c>
      <c r="AD3775" s="3">
        <v>40435</v>
      </c>
      <c r="AE3775" s="4">
        <v>0.16319444444444445</v>
      </c>
      <c r="AF3775" s="2"/>
      <c r="AG3775" s="2"/>
      <c r="AH3775" s="2">
        <v>6</v>
      </c>
      <c r="AI3775" s="2" t="s">
        <v>197</v>
      </c>
      <c r="AJ3775" s="2">
        <v>54</v>
      </c>
      <c r="AK3775" s="2" t="s">
        <v>348</v>
      </c>
      <c r="AL3775" s="2">
        <v>18</v>
      </c>
      <c r="AM3775" s="2" t="s">
        <v>82</v>
      </c>
      <c r="AN3775" s="2" t="s">
        <v>595</v>
      </c>
      <c r="AO3775" s="2" t="s">
        <v>200</v>
      </c>
      <c r="AP3775" s="2">
        <v>14</v>
      </c>
      <c r="AQ3775" s="2" t="s">
        <v>3301</v>
      </c>
      <c r="AR3775" s="2" t="s">
        <v>596</v>
      </c>
      <c r="AS3775" s="2" t="s">
        <v>596</v>
      </c>
      <c r="AT3775" s="2" t="s">
        <v>12012</v>
      </c>
      <c r="AU3775" s="2"/>
      <c r="AV3775" s="2"/>
      <c r="AW3775" s="2"/>
      <c r="AX3775" s="2"/>
      <c r="AY3775" s="2">
        <v>1</v>
      </c>
      <c r="AZ3775" s="2" t="s">
        <v>107</v>
      </c>
      <c r="BA3775" s="2">
        <v>1</v>
      </c>
      <c r="BB3775" s="2" t="s">
        <v>107</v>
      </c>
      <c r="BC3775" s="2">
        <v>1</v>
      </c>
      <c r="BD3775" s="2" t="s">
        <v>107</v>
      </c>
      <c r="BE3775" s="2">
        <v>4</v>
      </c>
      <c r="BF3775" s="2" t="s">
        <v>90</v>
      </c>
      <c r="BG3775" s="2" t="s">
        <v>598</v>
      </c>
      <c r="BH3775" s="4">
        <v>5.2083333333333336E-2</v>
      </c>
      <c r="BI3775" s="4">
        <v>0.15763888888888888</v>
      </c>
      <c r="BJ3775" s="2">
        <v>13</v>
      </c>
      <c r="BK3775" s="2" t="s">
        <v>91</v>
      </c>
      <c r="BL3775" s="2" t="s">
        <v>2764</v>
      </c>
      <c r="BM3775" s="2">
        <v>242</v>
      </c>
      <c r="BN3775" s="2" t="s">
        <v>107</v>
      </c>
      <c r="BO3775" s="2"/>
      <c r="BP3775" s="2">
        <v>13</v>
      </c>
      <c r="BQ3775" s="2" t="s">
        <v>91</v>
      </c>
      <c r="BR3775" s="2" t="s">
        <v>2168</v>
      </c>
      <c r="BS3775" s="3">
        <v>40435</v>
      </c>
      <c r="BT3775" s="4">
        <v>0.37210648148148145</v>
      </c>
    </row>
    <row r="3776" spans="1:72" x14ac:dyDescent="0.25">
      <c r="A3776" s="2">
        <v>5582</v>
      </c>
      <c r="B3776" s="2">
        <v>2010</v>
      </c>
      <c r="C3776" s="2" t="s">
        <v>128</v>
      </c>
      <c r="D3776" s="2" t="s">
        <v>73</v>
      </c>
      <c r="E3776" s="2" t="s">
        <v>11464</v>
      </c>
      <c r="F3776" s="2">
        <v>425</v>
      </c>
      <c r="G3776" s="2" t="s">
        <v>286</v>
      </c>
      <c r="H3776" s="2">
        <v>39</v>
      </c>
      <c r="I3776" s="2" t="s">
        <v>1117</v>
      </c>
      <c r="J3776" s="2">
        <v>310</v>
      </c>
      <c r="K3776" s="2" t="s">
        <v>288</v>
      </c>
      <c r="L3776" s="2" t="s">
        <v>289</v>
      </c>
      <c r="M3776" s="3">
        <v>40435</v>
      </c>
      <c r="N3776" s="2" t="s">
        <v>1917</v>
      </c>
      <c r="O3776" s="2" t="s">
        <v>11437</v>
      </c>
      <c r="P3776" s="2" t="s">
        <v>11438</v>
      </c>
      <c r="Q3776" s="2" t="str">
        <f>"101"</f>
        <v>101</v>
      </c>
      <c r="R3776" s="2"/>
      <c r="S3776" s="2"/>
      <c r="T3776" s="2">
        <v>1</v>
      </c>
      <c r="U3776" s="2" t="s">
        <v>79</v>
      </c>
      <c r="V3776" s="2">
        <v>3</v>
      </c>
      <c r="W3776" s="2" t="s">
        <v>225</v>
      </c>
      <c r="X3776" s="2">
        <v>6</v>
      </c>
      <c r="Y3776" s="2" t="s">
        <v>249</v>
      </c>
      <c r="Z3776" s="2">
        <v>1</v>
      </c>
      <c r="AA3776" s="2" t="s">
        <v>82</v>
      </c>
      <c r="AB3776" s="2">
        <v>9</v>
      </c>
      <c r="AC3776" s="2" t="s">
        <v>124</v>
      </c>
      <c r="AD3776" s="2"/>
      <c r="AE3776" s="2"/>
      <c r="AF3776" s="2"/>
      <c r="AG3776" s="2"/>
      <c r="AH3776" s="2">
        <v>4</v>
      </c>
      <c r="AI3776" s="2" t="s">
        <v>125</v>
      </c>
      <c r="AJ3776" s="2">
        <v>26</v>
      </c>
      <c r="AK3776" s="2" t="s">
        <v>293</v>
      </c>
      <c r="AL3776" s="2">
        <v>23</v>
      </c>
      <c r="AM3776" s="2" t="s">
        <v>251</v>
      </c>
      <c r="AN3776" s="2"/>
      <c r="AO3776" s="2" t="s">
        <v>7578</v>
      </c>
      <c r="AP3776" s="2">
        <v>11</v>
      </c>
      <c r="AQ3776" s="2" t="s">
        <v>82</v>
      </c>
      <c r="AR3776" s="2"/>
      <c r="AS3776" s="2"/>
      <c r="AT3776" s="2" t="s">
        <v>12013</v>
      </c>
      <c r="AU3776" s="2"/>
      <c r="AV3776" s="2"/>
      <c r="AW3776" s="2"/>
      <c r="AX3776" s="2"/>
      <c r="AY3776" s="2">
        <v>1</v>
      </c>
      <c r="AZ3776" s="2" t="s">
        <v>107</v>
      </c>
      <c r="BA3776" s="2">
        <v>1</v>
      </c>
      <c r="BB3776" s="2" t="s">
        <v>107</v>
      </c>
      <c r="BC3776" s="2">
        <v>1</v>
      </c>
      <c r="BD3776" s="2" t="s">
        <v>107</v>
      </c>
      <c r="BE3776" s="2">
        <v>1</v>
      </c>
      <c r="BF3776" s="2" t="s">
        <v>107</v>
      </c>
      <c r="BG3776" s="2"/>
      <c r="BH3776" s="2"/>
      <c r="BI3776" s="2"/>
      <c r="BJ3776" s="2">
        <v>242</v>
      </c>
      <c r="BK3776" s="2" t="s">
        <v>107</v>
      </c>
      <c r="BL3776" s="2"/>
      <c r="BM3776" s="2">
        <v>242</v>
      </c>
      <c r="BN3776" s="2" t="s">
        <v>107</v>
      </c>
      <c r="BO3776" s="2"/>
      <c r="BP3776" s="2">
        <v>242</v>
      </c>
      <c r="BQ3776" s="2" t="s">
        <v>107</v>
      </c>
      <c r="BR3776" s="2"/>
      <c r="BS3776" s="3">
        <v>40435</v>
      </c>
      <c r="BT3776" s="4">
        <v>0.41524305555555557</v>
      </c>
    </row>
    <row r="3777" spans="1:72" x14ac:dyDescent="0.25">
      <c r="A3777" s="2">
        <v>5583</v>
      </c>
      <c r="B3777" s="2">
        <v>2010</v>
      </c>
      <c r="C3777" s="2" t="s">
        <v>1660</v>
      </c>
      <c r="D3777" s="2" t="s">
        <v>73</v>
      </c>
      <c r="E3777" s="2"/>
      <c r="F3777" s="2">
        <v>390</v>
      </c>
      <c r="G3777" s="2" t="s">
        <v>475</v>
      </c>
      <c r="H3777" s="2">
        <v>7</v>
      </c>
      <c r="I3777" s="2" t="s">
        <v>476</v>
      </c>
      <c r="J3777" s="2">
        <v>314</v>
      </c>
      <c r="K3777" s="2" t="s">
        <v>477</v>
      </c>
      <c r="L3777" s="2" t="s">
        <v>478</v>
      </c>
      <c r="M3777" s="3">
        <v>40435</v>
      </c>
      <c r="N3777" s="2" t="s">
        <v>765</v>
      </c>
      <c r="O3777" s="2"/>
      <c r="P3777" s="2"/>
      <c r="Q3777" s="2" t="str">
        <f>"466-E/10"</f>
        <v>466-E/10</v>
      </c>
      <c r="R3777" s="2" t="s">
        <v>12014</v>
      </c>
      <c r="S3777" s="2"/>
      <c r="T3777" s="2">
        <v>1</v>
      </c>
      <c r="U3777" s="2" t="s">
        <v>79</v>
      </c>
      <c r="V3777" s="2">
        <v>1</v>
      </c>
      <c r="W3777" s="2" t="s">
        <v>80</v>
      </c>
      <c r="X3777" s="2">
        <v>12</v>
      </c>
      <c r="Y3777" s="2" t="s">
        <v>148</v>
      </c>
      <c r="Z3777" s="2">
        <v>6</v>
      </c>
      <c r="AA3777" s="2" t="s">
        <v>101</v>
      </c>
      <c r="AB3777" s="2">
        <v>3</v>
      </c>
      <c r="AC3777" s="2" t="s">
        <v>1663</v>
      </c>
      <c r="AD3777" s="3">
        <v>40435</v>
      </c>
      <c r="AE3777" s="2"/>
      <c r="AF3777" s="3">
        <v>40435</v>
      </c>
      <c r="AG3777" s="4">
        <v>0.25</v>
      </c>
      <c r="AH3777" s="2">
        <v>2</v>
      </c>
      <c r="AI3777" s="2" t="s">
        <v>84</v>
      </c>
      <c r="AJ3777" s="2">
        <v>9</v>
      </c>
      <c r="AK3777" s="2" t="s">
        <v>103</v>
      </c>
      <c r="AL3777" s="2">
        <v>14</v>
      </c>
      <c r="AM3777" s="2" t="s">
        <v>216</v>
      </c>
      <c r="AN3777" s="2"/>
      <c r="AO3777" s="2" t="s">
        <v>12015</v>
      </c>
      <c r="AP3777" s="2">
        <v>11</v>
      </c>
      <c r="AQ3777" s="2" t="s">
        <v>82</v>
      </c>
      <c r="AR3777" s="2"/>
      <c r="AS3777" s="2"/>
      <c r="AT3777" s="2" t="s">
        <v>12016</v>
      </c>
      <c r="AU3777" s="2"/>
      <c r="AV3777" s="2">
        <v>1</v>
      </c>
      <c r="AW3777" s="2"/>
      <c r="AX3777" s="2"/>
      <c r="AY3777" s="2">
        <v>41</v>
      </c>
      <c r="AZ3777" s="2" t="s">
        <v>82</v>
      </c>
      <c r="BA3777" s="2">
        <v>115</v>
      </c>
      <c r="BB3777" s="2" t="s">
        <v>101</v>
      </c>
      <c r="BC3777" s="2">
        <v>41</v>
      </c>
      <c r="BD3777" s="2" t="s">
        <v>82</v>
      </c>
      <c r="BE3777" s="2">
        <v>39</v>
      </c>
      <c r="BF3777" s="2" t="s">
        <v>440</v>
      </c>
      <c r="BG3777" s="2" t="s">
        <v>12017</v>
      </c>
      <c r="BH3777" s="2"/>
      <c r="BI3777" s="2"/>
      <c r="BJ3777" s="2">
        <v>13</v>
      </c>
      <c r="BK3777" s="2" t="s">
        <v>91</v>
      </c>
      <c r="BL3777" s="2" t="s">
        <v>360</v>
      </c>
      <c r="BM3777" s="2">
        <v>241</v>
      </c>
      <c r="BN3777" s="2" t="s">
        <v>82</v>
      </c>
      <c r="BO3777" s="2"/>
      <c r="BP3777" s="2">
        <v>33</v>
      </c>
      <c r="BQ3777" s="2" t="s">
        <v>361</v>
      </c>
      <c r="BR3777" s="2" t="s">
        <v>1739</v>
      </c>
      <c r="BS3777" s="3">
        <v>40435</v>
      </c>
      <c r="BT3777" s="4">
        <v>0.42260416666666667</v>
      </c>
    </row>
    <row r="3778" spans="1:72" x14ac:dyDescent="0.25">
      <c r="A3778" s="2">
        <v>5587</v>
      </c>
      <c r="B3778" s="2">
        <v>2010</v>
      </c>
      <c r="C3778" s="2" t="s">
        <v>72</v>
      </c>
      <c r="D3778" s="2" t="s">
        <v>73</v>
      </c>
      <c r="E3778" s="2"/>
      <c r="F3778" s="2">
        <v>77</v>
      </c>
      <c r="G3778" s="2" t="s">
        <v>2425</v>
      </c>
      <c r="H3778" s="2">
        <v>42</v>
      </c>
      <c r="I3778" s="2" t="s">
        <v>1096</v>
      </c>
      <c r="J3778" s="2">
        <v>109</v>
      </c>
      <c r="K3778" s="2" t="s">
        <v>2426</v>
      </c>
      <c r="L3778" s="2" t="s">
        <v>2427</v>
      </c>
      <c r="M3778" s="3">
        <v>40435</v>
      </c>
      <c r="N3778" s="2" t="s">
        <v>107</v>
      </c>
      <c r="O3778" s="2"/>
      <c r="P3778" s="2" t="s">
        <v>107</v>
      </c>
      <c r="Q3778" s="2" t="str">
        <f>"0011/2010"</f>
        <v>0011/2010</v>
      </c>
      <c r="R3778" s="2" t="s">
        <v>116</v>
      </c>
      <c r="S3778" s="2" t="s">
        <v>116</v>
      </c>
      <c r="T3778" s="2">
        <v>1</v>
      </c>
      <c r="U3778" s="2" t="s">
        <v>79</v>
      </c>
      <c r="V3778" s="2">
        <v>1</v>
      </c>
      <c r="W3778" s="2" t="s">
        <v>80</v>
      </c>
      <c r="X3778" s="2">
        <v>12</v>
      </c>
      <c r="Y3778" s="2" t="s">
        <v>148</v>
      </c>
      <c r="Z3778" s="2">
        <v>1</v>
      </c>
      <c r="AA3778" s="2" t="s">
        <v>82</v>
      </c>
      <c r="AB3778" s="2">
        <v>6</v>
      </c>
      <c r="AC3778" s="2" t="s">
        <v>83</v>
      </c>
      <c r="AD3778" s="3">
        <v>40434</v>
      </c>
      <c r="AE3778" s="2"/>
      <c r="AF3778" s="3">
        <v>40434</v>
      </c>
      <c r="AG3778" s="4">
        <v>0.93055555555555547</v>
      </c>
      <c r="AH3778" s="2">
        <v>6</v>
      </c>
      <c r="AI3778" s="2" t="s">
        <v>197</v>
      </c>
      <c r="AJ3778" s="2">
        <v>51</v>
      </c>
      <c r="AK3778" s="2" t="s">
        <v>238</v>
      </c>
      <c r="AL3778" s="2">
        <v>24</v>
      </c>
      <c r="AM3778" s="2" t="s">
        <v>1540</v>
      </c>
      <c r="AN3778" s="2" t="s">
        <v>12018</v>
      </c>
      <c r="AO3778" s="2" t="s">
        <v>12019</v>
      </c>
      <c r="AP3778" s="2">
        <v>11</v>
      </c>
      <c r="AQ3778" s="2" t="s">
        <v>82</v>
      </c>
      <c r="AR3778" s="2"/>
      <c r="AS3778" s="2"/>
      <c r="AT3778" s="2" t="s">
        <v>12020</v>
      </c>
      <c r="AU3778" s="2"/>
      <c r="AV3778" s="2"/>
      <c r="AW3778" s="2"/>
      <c r="AX3778" s="2"/>
      <c r="AY3778" s="2">
        <v>41</v>
      </c>
      <c r="AZ3778" s="2" t="s">
        <v>82</v>
      </c>
      <c r="BA3778" s="2">
        <v>41</v>
      </c>
      <c r="BB3778" s="2" t="s">
        <v>82</v>
      </c>
      <c r="BC3778" s="2">
        <v>41</v>
      </c>
      <c r="BD3778" s="2" t="s">
        <v>82</v>
      </c>
      <c r="BE3778" s="2">
        <v>41</v>
      </c>
      <c r="BF3778" s="2" t="s">
        <v>82</v>
      </c>
      <c r="BG3778" s="2"/>
      <c r="BH3778" s="2"/>
      <c r="BI3778" s="2"/>
      <c r="BJ3778" s="2">
        <v>241</v>
      </c>
      <c r="BK3778" s="2" t="s">
        <v>82</v>
      </c>
      <c r="BL3778" s="2"/>
      <c r="BM3778" s="2">
        <v>241</v>
      </c>
      <c r="BN3778" s="2" t="s">
        <v>82</v>
      </c>
      <c r="BO3778" s="2"/>
      <c r="BP3778" s="2">
        <v>241</v>
      </c>
      <c r="BQ3778" s="2" t="s">
        <v>82</v>
      </c>
      <c r="BR3778" s="2"/>
      <c r="BS3778" s="3">
        <v>40435</v>
      </c>
      <c r="BT3778" s="4">
        <v>0.45548611111111109</v>
      </c>
    </row>
    <row r="3779" spans="1:72" x14ac:dyDescent="0.25">
      <c r="A3779" s="2">
        <v>5590</v>
      </c>
      <c r="B3779" s="2">
        <v>2010</v>
      </c>
      <c r="C3779" s="2" t="s">
        <v>2138</v>
      </c>
      <c r="D3779" s="2" t="s">
        <v>122</v>
      </c>
      <c r="E3779" s="2"/>
      <c r="F3779" s="2">
        <v>1</v>
      </c>
      <c r="G3779" s="2" t="s">
        <v>82</v>
      </c>
      <c r="H3779" s="2">
        <v>1</v>
      </c>
      <c r="I3779" s="2" t="s">
        <v>82</v>
      </c>
      <c r="J3779" s="2">
        <v>1</v>
      </c>
      <c r="K3779" s="2" t="s">
        <v>107</v>
      </c>
      <c r="L3779" s="2" t="s">
        <v>107</v>
      </c>
      <c r="M3779" s="3">
        <v>40435</v>
      </c>
      <c r="N3779" s="2"/>
      <c r="O3779" s="2"/>
      <c r="P3779" s="2"/>
      <c r="Q3779" s="2" t="str">
        <f>""</f>
        <v/>
      </c>
      <c r="R3779" s="2"/>
      <c r="S3779" s="2"/>
      <c r="T3779" s="2">
        <v>1</v>
      </c>
      <c r="U3779" s="2" t="s">
        <v>79</v>
      </c>
      <c r="V3779" s="2">
        <v>1</v>
      </c>
      <c r="W3779" s="2" t="s">
        <v>80</v>
      </c>
      <c r="X3779" s="2">
        <v>11</v>
      </c>
      <c r="Y3779" s="2" t="s">
        <v>1920</v>
      </c>
      <c r="Z3779" s="2">
        <v>10</v>
      </c>
      <c r="AA3779" s="2" t="s">
        <v>236</v>
      </c>
      <c r="AB3779" s="2">
        <v>9</v>
      </c>
      <c r="AC3779" s="2" t="s">
        <v>124</v>
      </c>
      <c r="AD3779" s="3">
        <v>40435</v>
      </c>
      <c r="AE3779" s="4">
        <v>0.51041666666666663</v>
      </c>
      <c r="AF3779" s="2"/>
      <c r="AG3779" s="2"/>
      <c r="AH3779" s="2">
        <v>2</v>
      </c>
      <c r="AI3779" s="2" t="s">
        <v>84</v>
      </c>
      <c r="AJ3779" s="2">
        <v>9</v>
      </c>
      <c r="AK3779" s="2" t="s">
        <v>103</v>
      </c>
      <c r="AL3779" s="2">
        <v>14</v>
      </c>
      <c r="AM3779" s="2" t="s">
        <v>216</v>
      </c>
      <c r="AN3779" s="2" t="s">
        <v>12021</v>
      </c>
      <c r="AO3779" s="2"/>
      <c r="AP3779" s="2">
        <v>11</v>
      </c>
      <c r="AQ3779" s="2" t="s">
        <v>82</v>
      </c>
      <c r="AR3779" s="2"/>
      <c r="AS3779" s="2"/>
      <c r="AT3779" s="2" t="s">
        <v>12022</v>
      </c>
      <c r="AU3779" s="2"/>
      <c r="AV3779" s="2"/>
      <c r="AW3779" s="2"/>
      <c r="AX3779" s="2"/>
      <c r="AY3779" s="2">
        <v>41</v>
      </c>
      <c r="AZ3779" s="2" t="s">
        <v>82</v>
      </c>
      <c r="BA3779" s="2">
        <v>41</v>
      </c>
      <c r="BB3779" s="2" t="s">
        <v>82</v>
      </c>
      <c r="BC3779" s="2">
        <v>41</v>
      </c>
      <c r="BD3779" s="2" t="s">
        <v>82</v>
      </c>
      <c r="BE3779" s="2">
        <v>31</v>
      </c>
      <c r="BF3779" s="2" t="s">
        <v>398</v>
      </c>
      <c r="BG3779" s="2" t="s">
        <v>399</v>
      </c>
      <c r="BH3779" s="2"/>
      <c r="BI3779" s="4">
        <v>0.53472222222222221</v>
      </c>
      <c r="BJ3779" s="2">
        <v>13</v>
      </c>
      <c r="BK3779" s="2" t="s">
        <v>91</v>
      </c>
      <c r="BL3779" s="2" t="s">
        <v>185</v>
      </c>
      <c r="BM3779" s="2">
        <v>241</v>
      </c>
      <c r="BN3779" s="2" t="s">
        <v>82</v>
      </c>
      <c r="BO3779" s="2"/>
      <c r="BP3779" s="2">
        <v>73</v>
      </c>
      <c r="BQ3779" s="2" t="s">
        <v>186</v>
      </c>
      <c r="BR3779" s="2" t="s">
        <v>187</v>
      </c>
      <c r="BS3779" s="3">
        <v>40435</v>
      </c>
      <c r="BT3779" s="4">
        <v>0.56488425925925922</v>
      </c>
    </row>
    <row r="3780" spans="1:72" x14ac:dyDescent="0.25">
      <c r="A3780" s="2">
        <v>5593</v>
      </c>
      <c r="B3780" s="2">
        <v>2010</v>
      </c>
      <c r="C3780" s="2" t="s">
        <v>819</v>
      </c>
      <c r="D3780" s="2" t="s">
        <v>73</v>
      </c>
      <c r="E3780" s="2"/>
      <c r="F3780" s="2">
        <v>310</v>
      </c>
      <c r="G3780" s="2" t="s">
        <v>3186</v>
      </c>
      <c r="H3780" s="2">
        <v>2</v>
      </c>
      <c r="I3780" s="2" t="s">
        <v>267</v>
      </c>
      <c r="J3780" s="2">
        <v>371</v>
      </c>
      <c r="K3780" s="2" t="s">
        <v>1138</v>
      </c>
      <c r="L3780" s="2" t="s">
        <v>1139</v>
      </c>
      <c r="M3780" s="3">
        <v>40435</v>
      </c>
      <c r="N3780" s="2" t="s">
        <v>12023</v>
      </c>
      <c r="O3780" s="2"/>
      <c r="P3780" s="2"/>
      <c r="Q3780" s="2" t="str">
        <f>"0118/2010"</f>
        <v>0118/2010</v>
      </c>
      <c r="R3780" s="2" t="s">
        <v>12024</v>
      </c>
      <c r="S3780" s="2"/>
      <c r="T3780" s="2">
        <v>1</v>
      </c>
      <c r="U3780" s="2" t="s">
        <v>79</v>
      </c>
      <c r="V3780" s="2">
        <v>1</v>
      </c>
      <c r="W3780" s="2" t="s">
        <v>80</v>
      </c>
      <c r="X3780" s="2">
        <v>1</v>
      </c>
      <c r="Y3780" s="2" t="s">
        <v>81</v>
      </c>
      <c r="Z3780" s="2">
        <v>1</v>
      </c>
      <c r="AA3780" s="2" t="s">
        <v>82</v>
      </c>
      <c r="AB3780" s="2">
        <v>9</v>
      </c>
      <c r="AC3780" s="2" t="s">
        <v>124</v>
      </c>
      <c r="AD3780" s="3">
        <v>40435</v>
      </c>
      <c r="AE3780" s="4">
        <v>0.44791666666666669</v>
      </c>
      <c r="AF3780" s="2"/>
      <c r="AG3780" s="2"/>
      <c r="AH3780" s="2">
        <v>5</v>
      </c>
      <c r="AI3780" s="2" t="s">
        <v>274</v>
      </c>
      <c r="AJ3780" s="2">
        <v>38</v>
      </c>
      <c r="AK3780" s="2" t="s">
        <v>1120</v>
      </c>
      <c r="AL3780" s="2">
        <v>10</v>
      </c>
      <c r="AM3780" s="2" t="s">
        <v>200</v>
      </c>
      <c r="AN3780" s="2"/>
      <c r="AO3780" s="2" t="s">
        <v>179</v>
      </c>
      <c r="AP3780" s="2">
        <v>12</v>
      </c>
      <c r="AQ3780" s="2" t="s">
        <v>322</v>
      </c>
      <c r="AR3780" s="2" t="s">
        <v>12025</v>
      </c>
      <c r="AS3780" s="2" t="s">
        <v>12026</v>
      </c>
      <c r="AT3780" s="2" t="s">
        <v>12027</v>
      </c>
      <c r="AU3780" s="2"/>
      <c r="AV3780" s="2"/>
      <c r="AW3780" s="2"/>
      <c r="AX3780" s="2"/>
      <c r="AY3780" s="2">
        <v>41</v>
      </c>
      <c r="AZ3780" s="2" t="s">
        <v>82</v>
      </c>
      <c r="BA3780" s="2">
        <v>41</v>
      </c>
      <c r="BB3780" s="2" t="s">
        <v>82</v>
      </c>
      <c r="BC3780" s="2">
        <v>41</v>
      </c>
      <c r="BD3780" s="2" t="s">
        <v>82</v>
      </c>
      <c r="BE3780" s="2">
        <v>47</v>
      </c>
      <c r="BF3780" s="2" t="s">
        <v>167</v>
      </c>
      <c r="BG3780" s="2">
        <v>2725</v>
      </c>
      <c r="BH3780" s="4">
        <v>0.46180555555555558</v>
      </c>
      <c r="BI3780" s="4">
        <v>0.48958333333333331</v>
      </c>
      <c r="BJ3780" s="2">
        <v>13</v>
      </c>
      <c r="BK3780" s="2" t="s">
        <v>91</v>
      </c>
      <c r="BL3780" s="2" t="s">
        <v>2005</v>
      </c>
      <c r="BM3780" s="2">
        <v>241</v>
      </c>
      <c r="BN3780" s="2" t="s">
        <v>82</v>
      </c>
      <c r="BO3780" s="2"/>
      <c r="BP3780" s="2">
        <v>13</v>
      </c>
      <c r="BQ3780" s="2" t="s">
        <v>91</v>
      </c>
      <c r="BR3780" s="2" t="s">
        <v>170</v>
      </c>
      <c r="BS3780" s="3">
        <v>40435</v>
      </c>
      <c r="BT3780" s="4">
        <v>0.58760416666666659</v>
      </c>
    </row>
    <row r="3781" spans="1:72" x14ac:dyDescent="0.25">
      <c r="A3781" s="2">
        <v>5598</v>
      </c>
      <c r="B3781" s="2">
        <v>2010</v>
      </c>
      <c r="C3781" s="2" t="s">
        <v>72</v>
      </c>
      <c r="D3781" s="2" t="s">
        <v>73</v>
      </c>
      <c r="E3781" s="2"/>
      <c r="F3781" s="2">
        <v>390</v>
      </c>
      <c r="G3781" s="2" t="s">
        <v>475</v>
      </c>
      <c r="H3781" s="2">
        <v>7</v>
      </c>
      <c r="I3781" s="2" t="s">
        <v>476</v>
      </c>
      <c r="J3781" s="2">
        <v>533</v>
      </c>
      <c r="K3781" s="2" t="s">
        <v>6511</v>
      </c>
      <c r="L3781" s="2" t="s">
        <v>478</v>
      </c>
      <c r="M3781" s="3">
        <v>40435</v>
      </c>
      <c r="N3781" s="2" t="s">
        <v>11894</v>
      </c>
      <c r="O3781" s="2"/>
      <c r="P3781" s="2"/>
      <c r="Q3781" s="2" t="str">
        <f>"467-E/10"</f>
        <v>467-E/10</v>
      </c>
      <c r="R3781" s="2" t="s">
        <v>116</v>
      </c>
      <c r="S3781" s="2" t="s">
        <v>116</v>
      </c>
      <c r="T3781" s="2">
        <v>1</v>
      </c>
      <c r="U3781" s="2" t="s">
        <v>79</v>
      </c>
      <c r="V3781" s="2">
        <v>1</v>
      </c>
      <c r="W3781" s="2" t="s">
        <v>80</v>
      </c>
      <c r="X3781" s="2">
        <v>12</v>
      </c>
      <c r="Y3781" s="2" t="s">
        <v>148</v>
      </c>
      <c r="Z3781" s="2">
        <v>1</v>
      </c>
      <c r="AA3781" s="2" t="s">
        <v>82</v>
      </c>
      <c r="AB3781" s="2">
        <v>6</v>
      </c>
      <c r="AC3781" s="2" t="s">
        <v>83</v>
      </c>
      <c r="AD3781" s="3">
        <v>40435</v>
      </c>
      <c r="AE3781" s="2"/>
      <c r="AF3781" s="3">
        <v>40435</v>
      </c>
      <c r="AG3781" s="4">
        <v>0.58333333333333337</v>
      </c>
      <c r="AH3781" s="2">
        <v>2</v>
      </c>
      <c r="AI3781" s="2" t="s">
        <v>84</v>
      </c>
      <c r="AJ3781" s="2">
        <v>9</v>
      </c>
      <c r="AK3781" s="2" t="s">
        <v>103</v>
      </c>
      <c r="AL3781" s="2">
        <v>15</v>
      </c>
      <c r="AM3781" s="2" t="s">
        <v>104</v>
      </c>
      <c r="AN3781" s="2" t="s">
        <v>12028</v>
      </c>
      <c r="AO3781" s="2"/>
      <c r="AP3781" s="2">
        <v>11</v>
      </c>
      <c r="AQ3781" s="2" t="s">
        <v>82</v>
      </c>
      <c r="AR3781" s="2"/>
      <c r="AS3781" s="2"/>
      <c r="AT3781" s="2" t="s">
        <v>12029</v>
      </c>
      <c r="AU3781" s="2"/>
      <c r="AV3781" s="2"/>
      <c r="AW3781" s="2"/>
      <c r="AX3781" s="2"/>
      <c r="AY3781" s="2">
        <v>149</v>
      </c>
      <c r="AZ3781" s="2" t="s">
        <v>12030</v>
      </c>
      <c r="BA3781" s="2">
        <v>41</v>
      </c>
      <c r="BB3781" s="2" t="s">
        <v>82</v>
      </c>
      <c r="BC3781" s="2">
        <v>41</v>
      </c>
      <c r="BD3781" s="2" t="s">
        <v>82</v>
      </c>
      <c r="BE3781" s="2">
        <v>41</v>
      </c>
      <c r="BF3781" s="2" t="s">
        <v>82</v>
      </c>
      <c r="BG3781" s="2"/>
      <c r="BH3781" s="2"/>
      <c r="BI3781" s="2"/>
      <c r="BJ3781" s="2">
        <v>241</v>
      </c>
      <c r="BK3781" s="2" t="s">
        <v>82</v>
      </c>
      <c r="BL3781" s="2"/>
      <c r="BM3781" s="2">
        <v>241</v>
      </c>
      <c r="BN3781" s="2" t="s">
        <v>82</v>
      </c>
      <c r="BO3781" s="2"/>
      <c r="BP3781" s="2">
        <v>241</v>
      </c>
      <c r="BQ3781" s="2" t="s">
        <v>82</v>
      </c>
      <c r="BR3781" s="2"/>
      <c r="BS3781" s="3">
        <v>40435</v>
      </c>
      <c r="BT3781" s="4">
        <v>0.68793981481481481</v>
      </c>
    </row>
    <row r="3782" spans="1:72" x14ac:dyDescent="0.25">
      <c r="A3782" s="2">
        <v>5600</v>
      </c>
      <c r="B3782" s="2">
        <v>2010</v>
      </c>
      <c r="C3782" s="2" t="s">
        <v>418</v>
      </c>
      <c r="D3782" s="2" t="s">
        <v>122</v>
      </c>
      <c r="E3782" s="2" t="s">
        <v>12031</v>
      </c>
      <c r="F3782" s="2">
        <v>1</v>
      </c>
      <c r="G3782" s="2" t="s">
        <v>82</v>
      </c>
      <c r="H3782" s="2">
        <v>1</v>
      </c>
      <c r="I3782" s="2" t="s">
        <v>82</v>
      </c>
      <c r="J3782" s="2">
        <v>1</v>
      </c>
      <c r="K3782" s="2" t="s">
        <v>107</v>
      </c>
      <c r="L3782" s="2" t="s">
        <v>107</v>
      </c>
      <c r="M3782" s="3">
        <v>40435</v>
      </c>
      <c r="N3782" s="2"/>
      <c r="O3782" s="2"/>
      <c r="P3782" s="2"/>
      <c r="Q3782" s="2" t="str">
        <f>""</f>
        <v/>
      </c>
      <c r="R3782" s="2"/>
      <c r="S3782" s="2"/>
      <c r="T3782" s="2">
        <v>2</v>
      </c>
      <c r="U3782" s="2" t="s">
        <v>123</v>
      </c>
      <c r="V3782" s="2">
        <v>1</v>
      </c>
      <c r="W3782" s="2" t="s">
        <v>80</v>
      </c>
      <c r="X3782" s="2">
        <v>5</v>
      </c>
      <c r="Y3782" s="2" t="s">
        <v>82</v>
      </c>
      <c r="Z3782" s="2">
        <v>10</v>
      </c>
      <c r="AA3782" s="2" t="s">
        <v>236</v>
      </c>
      <c r="AB3782" s="2">
        <v>9</v>
      </c>
      <c r="AC3782" s="2" t="s">
        <v>124</v>
      </c>
      <c r="AD3782" s="3">
        <v>40433</v>
      </c>
      <c r="AE3782" s="4">
        <v>0.4375</v>
      </c>
      <c r="AF3782" s="2"/>
      <c r="AG3782" s="2"/>
      <c r="AH3782" s="2">
        <v>4</v>
      </c>
      <c r="AI3782" s="2" t="s">
        <v>125</v>
      </c>
      <c r="AJ3782" s="2">
        <v>28</v>
      </c>
      <c r="AK3782" s="2" t="s">
        <v>741</v>
      </c>
      <c r="AL3782" s="2">
        <v>19</v>
      </c>
      <c r="AM3782" s="2" t="s">
        <v>107</v>
      </c>
      <c r="AN3782" s="2" t="s">
        <v>11934</v>
      </c>
      <c r="AO3782" s="2" t="s">
        <v>11935</v>
      </c>
      <c r="AP3782" s="2">
        <v>11</v>
      </c>
      <c r="AQ3782" s="2" t="s">
        <v>82</v>
      </c>
      <c r="AR3782" s="2"/>
      <c r="AS3782" s="2"/>
      <c r="AT3782" s="2" t="s">
        <v>12032</v>
      </c>
      <c r="AU3782" s="2"/>
      <c r="AV3782" s="2"/>
      <c r="AW3782" s="2"/>
      <c r="AX3782" s="2"/>
      <c r="AY3782" s="2">
        <v>1</v>
      </c>
      <c r="AZ3782" s="2" t="s">
        <v>107</v>
      </c>
      <c r="BA3782" s="2">
        <v>1</v>
      </c>
      <c r="BB3782" s="2" t="s">
        <v>107</v>
      </c>
      <c r="BC3782" s="2">
        <v>1</v>
      </c>
      <c r="BD3782" s="2" t="s">
        <v>107</v>
      </c>
      <c r="BE3782" s="2">
        <v>1</v>
      </c>
      <c r="BF3782" s="2" t="s">
        <v>107</v>
      </c>
      <c r="BG3782" s="2"/>
      <c r="BH3782" s="2"/>
      <c r="BI3782" s="4">
        <v>0.43055555555555558</v>
      </c>
      <c r="BJ3782" s="2">
        <v>242</v>
      </c>
      <c r="BK3782" s="2" t="s">
        <v>107</v>
      </c>
      <c r="BL3782" s="2"/>
      <c r="BM3782" s="2">
        <v>242</v>
      </c>
      <c r="BN3782" s="2" t="s">
        <v>107</v>
      </c>
      <c r="BO3782" s="2"/>
      <c r="BP3782" s="2">
        <v>242</v>
      </c>
      <c r="BQ3782" s="2" t="s">
        <v>107</v>
      </c>
      <c r="BR3782" s="2"/>
      <c r="BS3782" s="3">
        <v>40435</v>
      </c>
      <c r="BT3782" s="4">
        <v>0.71307870370370363</v>
      </c>
    </row>
    <row r="3783" spans="1:72" x14ac:dyDescent="0.25">
      <c r="A3783" s="2">
        <v>5601</v>
      </c>
      <c r="B3783" s="2">
        <v>2010</v>
      </c>
      <c r="C3783" s="2" t="s">
        <v>171</v>
      </c>
      <c r="D3783" s="2" t="s">
        <v>73</v>
      </c>
      <c r="E3783" s="2" t="s">
        <v>12033</v>
      </c>
      <c r="F3783" s="2">
        <v>451</v>
      </c>
      <c r="G3783" s="2" t="s">
        <v>879</v>
      </c>
      <c r="H3783" s="2">
        <v>31</v>
      </c>
      <c r="I3783" s="2" t="s">
        <v>880</v>
      </c>
      <c r="J3783" s="2">
        <v>326</v>
      </c>
      <c r="K3783" s="2" t="s">
        <v>881</v>
      </c>
      <c r="L3783" s="2" t="s">
        <v>882</v>
      </c>
      <c r="M3783" s="3">
        <v>40435</v>
      </c>
      <c r="N3783" s="2" t="s">
        <v>1072</v>
      </c>
      <c r="O3783" s="2" t="s">
        <v>12034</v>
      </c>
      <c r="P3783" s="2" t="s">
        <v>12035</v>
      </c>
      <c r="Q3783" s="2" t="str">
        <f>"080/10"</f>
        <v>080/10</v>
      </c>
      <c r="R3783" s="2"/>
      <c r="S3783" s="2" t="s">
        <v>822</v>
      </c>
      <c r="T3783" s="2">
        <v>1</v>
      </c>
      <c r="U3783" s="2" t="s">
        <v>79</v>
      </c>
      <c r="V3783" s="2">
        <v>1</v>
      </c>
      <c r="W3783" s="2" t="s">
        <v>80</v>
      </c>
      <c r="X3783" s="2">
        <v>1</v>
      </c>
      <c r="Y3783" s="2" t="s">
        <v>81</v>
      </c>
      <c r="Z3783" s="2">
        <v>1</v>
      </c>
      <c r="AA3783" s="2" t="s">
        <v>82</v>
      </c>
      <c r="AB3783" s="2">
        <v>1</v>
      </c>
      <c r="AC3783" s="2" t="s">
        <v>178</v>
      </c>
      <c r="AD3783" s="3">
        <v>40435</v>
      </c>
      <c r="AE3783" s="4">
        <v>0.61805555555555558</v>
      </c>
      <c r="AF3783" s="2"/>
      <c r="AG3783" s="2"/>
      <c r="AH3783" s="2">
        <v>4</v>
      </c>
      <c r="AI3783" s="2" t="s">
        <v>125</v>
      </c>
      <c r="AJ3783" s="2">
        <v>29</v>
      </c>
      <c r="AK3783" s="2" t="s">
        <v>227</v>
      </c>
      <c r="AL3783" s="2">
        <v>16</v>
      </c>
      <c r="AM3783" s="2" t="s">
        <v>392</v>
      </c>
      <c r="AN3783" s="2" t="s">
        <v>6877</v>
      </c>
      <c r="AO3783" s="2"/>
      <c r="AP3783" s="2">
        <v>12</v>
      </c>
      <c r="AQ3783" s="2" t="s">
        <v>322</v>
      </c>
      <c r="AR3783" s="2" t="s">
        <v>824</v>
      </c>
      <c r="AS3783" s="2" t="s">
        <v>825</v>
      </c>
      <c r="AT3783" s="2" t="s">
        <v>12036</v>
      </c>
      <c r="AU3783" s="2"/>
      <c r="AV3783" s="2"/>
      <c r="AW3783" s="2"/>
      <c r="AX3783" s="2"/>
      <c r="AY3783" s="2">
        <v>41</v>
      </c>
      <c r="AZ3783" s="2" t="s">
        <v>82</v>
      </c>
      <c r="BA3783" s="2">
        <v>41</v>
      </c>
      <c r="BB3783" s="2" t="s">
        <v>82</v>
      </c>
      <c r="BC3783" s="2">
        <v>51</v>
      </c>
      <c r="BD3783" s="2" t="s">
        <v>827</v>
      </c>
      <c r="BE3783" s="2">
        <v>13</v>
      </c>
      <c r="BF3783" s="2" t="s">
        <v>108</v>
      </c>
      <c r="BG3783" s="2">
        <v>1459</v>
      </c>
      <c r="BH3783" s="4">
        <v>0.9375</v>
      </c>
      <c r="BI3783" s="4">
        <v>0.95486111111111116</v>
      </c>
      <c r="BJ3783" s="2">
        <v>13</v>
      </c>
      <c r="BK3783" s="2" t="s">
        <v>91</v>
      </c>
      <c r="BL3783" s="2" t="s">
        <v>828</v>
      </c>
      <c r="BM3783" s="2">
        <v>241</v>
      </c>
      <c r="BN3783" s="2" t="s">
        <v>82</v>
      </c>
      <c r="BO3783" s="2"/>
      <c r="BP3783" s="2">
        <v>13</v>
      </c>
      <c r="BQ3783" s="2" t="s">
        <v>91</v>
      </c>
      <c r="BR3783" s="2" t="s">
        <v>185</v>
      </c>
      <c r="BS3783" s="3">
        <v>40435</v>
      </c>
      <c r="BT3783" s="4">
        <v>0.73317129629629629</v>
      </c>
    </row>
    <row r="3784" spans="1:72" x14ac:dyDescent="0.25">
      <c r="A3784" s="2">
        <v>5602</v>
      </c>
      <c r="B3784" s="2">
        <v>2010</v>
      </c>
      <c r="C3784" s="2" t="s">
        <v>171</v>
      </c>
      <c r="D3784" s="2" t="s">
        <v>73</v>
      </c>
      <c r="E3784" s="2"/>
      <c r="F3784" s="2">
        <v>92</v>
      </c>
      <c r="G3784" s="2" t="s">
        <v>1432</v>
      </c>
      <c r="H3784" s="2">
        <v>42</v>
      </c>
      <c r="I3784" s="2" t="s">
        <v>1096</v>
      </c>
      <c r="J3784" s="2">
        <v>119</v>
      </c>
      <c r="K3784" s="2" t="s">
        <v>325</v>
      </c>
      <c r="L3784" s="2" t="s">
        <v>326</v>
      </c>
      <c r="M3784" s="3">
        <v>40435</v>
      </c>
      <c r="N3784" s="2" t="s">
        <v>4106</v>
      </c>
      <c r="O3784" s="2" t="s">
        <v>107</v>
      </c>
      <c r="P3784" s="2" t="s">
        <v>107</v>
      </c>
      <c r="Q3784" s="2" t="str">
        <f>"040/2010"</f>
        <v>040/2010</v>
      </c>
      <c r="R3784" s="2" t="s">
        <v>12037</v>
      </c>
      <c r="S3784" s="2" t="s">
        <v>12037</v>
      </c>
      <c r="T3784" s="2">
        <v>1</v>
      </c>
      <c r="U3784" s="2" t="s">
        <v>79</v>
      </c>
      <c r="V3784" s="2">
        <v>1</v>
      </c>
      <c r="W3784" s="2" t="s">
        <v>80</v>
      </c>
      <c r="X3784" s="2">
        <v>1</v>
      </c>
      <c r="Y3784" s="2" t="s">
        <v>81</v>
      </c>
      <c r="Z3784" s="2">
        <v>1</v>
      </c>
      <c r="AA3784" s="2" t="s">
        <v>82</v>
      </c>
      <c r="AB3784" s="2">
        <v>1</v>
      </c>
      <c r="AC3784" s="2" t="s">
        <v>178</v>
      </c>
      <c r="AD3784" s="3">
        <v>40435</v>
      </c>
      <c r="AE3784" s="4">
        <v>0.60069444444444442</v>
      </c>
      <c r="AF3784" s="2"/>
      <c r="AG3784" s="2"/>
      <c r="AH3784" s="2">
        <v>6</v>
      </c>
      <c r="AI3784" s="2" t="s">
        <v>197</v>
      </c>
      <c r="AJ3784" s="2">
        <v>50</v>
      </c>
      <c r="AK3784" s="2" t="s">
        <v>330</v>
      </c>
      <c r="AL3784" s="2">
        <v>25</v>
      </c>
      <c r="AM3784" s="2" t="s">
        <v>3073</v>
      </c>
      <c r="AN3784" s="2" t="s">
        <v>9411</v>
      </c>
      <c r="AO3784" s="2" t="s">
        <v>12038</v>
      </c>
      <c r="AP3784" s="2">
        <v>11</v>
      </c>
      <c r="AQ3784" s="2" t="s">
        <v>82</v>
      </c>
      <c r="AR3784" s="2"/>
      <c r="AS3784" s="2"/>
      <c r="AT3784" s="2" t="s">
        <v>12039</v>
      </c>
      <c r="AU3784" s="2"/>
      <c r="AV3784" s="2"/>
      <c r="AW3784" s="2"/>
      <c r="AX3784" s="2"/>
      <c r="AY3784" s="2">
        <v>41</v>
      </c>
      <c r="AZ3784" s="2" t="s">
        <v>82</v>
      </c>
      <c r="BA3784" s="2">
        <v>41</v>
      </c>
      <c r="BB3784" s="2" t="s">
        <v>82</v>
      </c>
      <c r="BC3784" s="2">
        <v>41</v>
      </c>
      <c r="BD3784" s="2" t="s">
        <v>82</v>
      </c>
      <c r="BE3784" s="2">
        <v>41</v>
      </c>
      <c r="BF3784" s="2" t="s">
        <v>82</v>
      </c>
      <c r="BG3784" s="2"/>
      <c r="BH3784" s="2"/>
      <c r="BI3784" s="2"/>
      <c r="BJ3784" s="2">
        <v>241</v>
      </c>
      <c r="BK3784" s="2" t="s">
        <v>82</v>
      </c>
      <c r="BL3784" s="2"/>
      <c r="BM3784" s="2">
        <v>241</v>
      </c>
      <c r="BN3784" s="2" t="s">
        <v>82</v>
      </c>
      <c r="BO3784" s="2"/>
      <c r="BP3784" s="2">
        <v>241</v>
      </c>
      <c r="BQ3784" s="2" t="s">
        <v>82</v>
      </c>
      <c r="BR3784" s="2"/>
      <c r="BS3784" s="3">
        <v>40435</v>
      </c>
      <c r="BT3784" s="4">
        <v>0.74241898148148155</v>
      </c>
    </row>
    <row r="3785" spans="1:72" x14ac:dyDescent="0.25">
      <c r="A3785" s="2">
        <v>5603</v>
      </c>
      <c r="B3785" s="2">
        <v>2010</v>
      </c>
      <c r="C3785" s="2" t="s">
        <v>385</v>
      </c>
      <c r="D3785" s="2" t="s">
        <v>122</v>
      </c>
      <c r="E3785" s="2"/>
      <c r="F3785" s="2">
        <v>393</v>
      </c>
      <c r="G3785" s="2" t="s">
        <v>3660</v>
      </c>
      <c r="H3785" s="2">
        <v>2</v>
      </c>
      <c r="I3785" s="2" t="s">
        <v>267</v>
      </c>
      <c r="J3785" s="2">
        <v>2</v>
      </c>
      <c r="K3785" s="2" t="s">
        <v>3661</v>
      </c>
      <c r="L3785" s="2" t="s">
        <v>3662</v>
      </c>
      <c r="M3785" s="3">
        <v>40435</v>
      </c>
      <c r="N3785" s="2" t="s">
        <v>12040</v>
      </c>
      <c r="O3785" s="2" t="s">
        <v>12041</v>
      </c>
      <c r="P3785" s="2">
        <v>5836</v>
      </c>
      <c r="Q3785" s="2" t="str">
        <f>"06R/10"</f>
        <v>06R/10</v>
      </c>
      <c r="R3785" s="2" t="s">
        <v>12042</v>
      </c>
      <c r="S3785" s="2"/>
      <c r="T3785" s="2">
        <v>1</v>
      </c>
      <c r="U3785" s="2" t="s">
        <v>79</v>
      </c>
      <c r="V3785" s="2">
        <v>1</v>
      </c>
      <c r="W3785" s="2" t="s">
        <v>80</v>
      </c>
      <c r="X3785" s="2">
        <v>11</v>
      </c>
      <c r="Y3785" s="2" t="s">
        <v>1920</v>
      </c>
      <c r="Z3785" s="2">
        <v>10</v>
      </c>
      <c r="AA3785" s="2" t="s">
        <v>236</v>
      </c>
      <c r="AB3785" s="2">
        <v>9</v>
      </c>
      <c r="AC3785" s="2" t="s">
        <v>124</v>
      </c>
      <c r="AD3785" s="3">
        <v>40435</v>
      </c>
      <c r="AE3785" s="4">
        <v>0.33333333333333331</v>
      </c>
      <c r="AF3785" s="2"/>
      <c r="AG3785" s="2"/>
      <c r="AH3785" s="2">
        <v>2</v>
      </c>
      <c r="AI3785" s="2" t="s">
        <v>84</v>
      </c>
      <c r="AJ3785" s="2">
        <v>6</v>
      </c>
      <c r="AK3785" s="2" t="s">
        <v>453</v>
      </c>
      <c r="AL3785" s="2">
        <v>23</v>
      </c>
      <c r="AM3785" s="2" t="s">
        <v>251</v>
      </c>
      <c r="AN3785" s="2" t="s">
        <v>11750</v>
      </c>
      <c r="AO3785" s="2" t="s">
        <v>1394</v>
      </c>
      <c r="AP3785" s="2">
        <v>11</v>
      </c>
      <c r="AQ3785" s="2" t="s">
        <v>82</v>
      </c>
      <c r="AR3785" s="2"/>
      <c r="AS3785" s="2"/>
      <c r="AT3785" s="2" t="s">
        <v>12043</v>
      </c>
      <c r="AU3785" s="2"/>
      <c r="AV3785" s="2">
        <v>1</v>
      </c>
      <c r="AW3785" s="2"/>
      <c r="AX3785" s="2"/>
      <c r="AY3785" s="2">
        <v>41</v>
      </c>
      <c r="AZ3785" s="2" t="s">
        <v>82</v>
      </c>
      <c r="BA3785" s="2">
        <v>70</v>
      </c>
      <c r="BB3785" s="2" t="s">
        <v>236</v>
      </c>
      <c r="BC3785" s="2">
        <v>70</v>
      </c>
      <c r="BD3785" s="2" t="s">
        <v>236</v>
      </c>
      <c r="BE3785" s="2">
        <v>41</v>
      </c>
      <c r="BF3785" s="2" t="s">
        <v>82</v>
      </c>
      <c r="BG3785" s="2"/>
      <c r="BH3785" s="2"/>
      <c r="BI3785" s="2"/>
      <c r="BJ3785" s="2">
        <v>241</v>
      </c>
      <c r="BK3785" s="2" t="s">
        <v>82</v>
      </c>
      <c r="BL3785" s="2"/>
      <c r="BM3785" s="2">
        <v>241</v>
      </c>
      <c r="BN3785" s="2" t="s">
        <v>82</v>
      </c>
      <c r="BO3785" s="2"/>
      <c r="BP3785" s="2">
        <v>241</v>
      </c>
      <c r="BQ3785" s="2" t="s">
        <v>82</v>
      </c>
      <c r="BR3785" s="2"/>
      <c r="BS3785" s="3">
        <v>40435</v>
      </c>
      <c r="BT3785" s="4">
        <v>0.74577546296296304</v>
      </c>
    </row>
    <row r="3786" spans="1:72" x14ac:dyDescent="0.25">
      <c r="A3786" s="2">
        <v>5607</v>
      </c>
      <c r="B3786" s="2">
        <v>2010</v>
      </c>
      <c r="C3786" s="2" t="s">
        <v>147</v>
      </c>
      <c r="D3786" s="2" t="s">
        <v>73</v>
      </c>
      <c r="E3786" s="2"/>
      <c r="F3786" s="2">
        <v>1</v>
      </c>
      <c r="G3786" s="2" t="s">
        <v>82</v>
      </c>
      <c r="H3786" s="2">
        <v>1</v>
      </c>
      <c r="I3786" s="2" t="s">
        <v>82</v>
      </c>
      <c r="J3786" s="2">
        <v>1</v>
      </c>
      <c r="K3786" s="2" t="s">
        <v>107</v>
      </c>
      <c r="L3786" s="2" t="s">
        <v>107</v>
      </c>
      <c r="M3786" s="3">
        <v>40435</v>
      </c>
      <c r="N3786" s="2"/>
      <c r="O3786" s="2"/>
      <c r="P3786" s="2"/>
      <c r="Q3786" s="2" t="str">
        <f>""</f>
        <v/>
      </c>
      <c r="R3786" s="2"/>
      <c r="S3786" s="2"/>
      <c r="T3786" s="2">
        <v>2</v>
      </c>
      <c r="U3786" s="2" t="s">
        <v>123</v>
      </c>
      <c r="V3786" s="2">
        <v>1</v>
      </c>
      <c r="W3786" s="2" t="s">
        <v>80</v>
      </c>
      <c r="X3786" s="2">
        <v>12</v>
      </c>
      <c r="Y3786" s="2" t="s">
        <v>148</v>
      </c>
      <c r="Z3786" s="2">
        <v>1</v>
      </c>
      <c r="AA3786" s="2" t="s">
        <v>82</v>
      </c>
      <c r="AB3786" s="2">
        <v>9</v>
      </c>
      <c r="AC3786" s="2" t="s">
        <v>124</v>
      </c>
      <c r="AD3786" s="3">
        <v>40435</v>
      </c>
      <c r="AE3786" s="2"/>
      <c r="AF3786" s="3">
        <v>40435</v>
      </c>
      <c r="AG3786" s="4">
        <v>0.65625</v>
      </c>
      <c r="AH3786" s="2">
        <v>3</v>
      </c>
      <c r="AI3786" s="2" t="s">
        <v>214</v>
      </c>
      <c r="AJ3786" s="2">
        <v>18</v>
      </c>
      <c r="AK3786" s="2" t="s">
        <v>4469</v>
      </c>
      <c r="AL3786" s="2">
        <v>19</v>
      </c>
      <c r="AM3786" s="2" t="s">
        <v>107</v>
      </c>
      <c r="AN3786" s="2"/>
      <c r="AO3786" s="2"/>
      <c r="AP3786" s="2">
        <v>11</v>
      </c>
      <c r="AQ3786" s="2" t="s">
        <v>82</v>
      </c>
      <c r="AR3786" s="2"/>
      <c r="AS3786" s="2"/>
      <c r="AT3786" s="2" t="s">
        <v>12044</v>
      </c>
      <c r="AU3786" s="2"/>
      <c r="AV3786" s="2"/>
      <c r="AW3786" s="2"/>
      <c r="AX3786" s="2"/>
      <c r="AY3786" s="2">
        <v>70</v>
      </c>
      <c r="AZ3786" s="2" t="s">
        <v>236</v>
      </c>
      <c r="BA3786" s="2">
        <v>41</v>
      </c>
      <c r="BB3786" s="2" t="s">
        <v>82</v>
      </c>
      <c r="BC3786" s="2">
        <v>41</v>
      </c>
      <c r="BD3786" s="2" t="s">
        <v>82</v>
      </c>
      <c r="BE3786" s="2">
        <v>41</v>
      </c>
      <c r="BF3786" s="2" t="s">
        <v>82</v>
      </c>
      <c r="BG3786" s="2"/>
      <c r="BH3786" s="2"/>
      <c r="BI3786" s="2"/>
      <c r="BJ3786" s="2">
        <v>241</v>
      </c>
      <c r="BK3786" s="2" t="s">
        <v>82</v>
      </c>
      <c r="BL3786" s="2"/>
      <c r="BM3786" s="2">
        <v>241</v>
      </c>
      <c r="BN3786" s="2" t="s">
        <v>82</v>
      </c>
      <c r="BO3786" s="2"/>
      <c r="BP3786" s="2">
        <v>241</v>
      </c>
      <c r="BQ3786" s="2" t="s">
        <v>82</v>
      </c>
      <c r="BR3786" s="2"/>
      <c r="BS3786" s="3">
        <v>40435</v>
      </c>
      <c r="BT3786" s="4">
        <v>0.7887615740740741</v>
      </c>
    </row>
    <row r="3787" spans="1:72" x14ac:dyDescent="0.25">
      <c r="A3787" s="2">
        <v>5608</v>
      </c>
      <c r="B3787" s="2">
        <v>2010</v>
      </c>
      <c r="C3787" s="2" t="s">
        <v>385</v>
      </c>
      <c r="D3787" s="2" t="s">
        <v>122</v>
      </c>
      <c r="E3787" s="2" t="s">
        <v>12045</v>
      </c>
      <c r="F3787" s="2">
        <v>390</v>
      </c>
      <c r="G3787" s="2" t="s">
        <v>475</v>
      </c>
      <c r="H3787" s="2">
        <v>7</v>
      </c>
      <c r="I3787" s="2" t="s">
        <v>476</v>
      </c>
      <c r="J3787" s="2">
        <v>533</v>
      </c>
      <c r="K3787" s="2" t="s">
        <v>6511</v>
      </c>
      <c r="L3787" s="2" t="s">
        <v>478</v>
      </c>
      <c r="M3787" s="3">
        <v>40435</v>
      </c>
      <c r="N3787" s="2" t="s">
        <v>765</v>
      </c>
      <c r="O3787" s="2"/>
      <c r="P3787" s="2"/>
      <c r="Q3787" s="2" t="str">
        <f>"466-E/10"</f>
        <v>466-E/10</v>
      </c>
      <c r="R3787" s="2" t="s">
        <v>12014</v>
      </c>
      <c r="S3787" s="2" t="s">
        <v>12014</v>
      </c>
      <c r="T3787" s="2">
        <v>1</v>
      </c>
      <c r="U3787" s="2" t="s">
        <v>79</v>
      </c>
      <c r="V3787" s="2">
        <v>1</v>
      </c>
      <c r="W3787" s="2" t="s">
        <v>80</v>
      </c>
      <c r="X3787" s="2">
        <v>10</v>
      </c>
      <c r="Y3787" s="2" t="s">
        <v>226</v>
      </c>
      <c r="Z3787" s="2">
        <v>6</v>
      </c>
      <c r="AA3787" s="2" t="s">
        <v>101</v>
      </c>
      <c r="AB3787" s="2">
        <v>9</v>
      </c>
      <c r="AC3787" s="2" t="s">
        <v>124</v>
      </c>
      <c r="AD3787" s="3">
        <v>40435</v>
      </c>
      <c r="AE3787" s="4">
        <v>0.1875</v>
      </c>
      <c r="AF3787" s="3">
        <v>40435</v>
      </c>
      <c r="AG3787" s="4">
        <v>0.25</v>
      </c>
      <c r="AH3787" s="2">
        <v>2</v>
      </c>
      <c r="AI3787" s="2" t="s">
        <v>84</v>
      </c>
      <c r="AJ3787" s="2">
        <v>9</v>
      </c>
      <c r="AK3787" s="2" t="s">
        <v>103</v>
      </c>
      <c r="AL3787" s="2">
        <v>14</v>
      </c>
      <c r="AM3787" s="2" t="s">
        <v>216</v>
      </c>
      <c r="AN3787" s="2"/>
      <c r="AO3787" s="2" t="s">
        <v>12015</v>
      </c>
      <c r="AP3787" s="2">
        <v>11</v>
      </c>
      <c r="AQ3787" s="2" t="s">
        <v>82</v>
      </c>
      <c r="AR3787" s="2"/>
      <c r="AS3787" s="2"/>
      <c r="AT3787" s="2" t="s">
        <v>12046</v>
      </c>
      <c r="AU3787" s="2"/>
      <c r="AV3787" s="2">
        <v>1</v>
      </c>
      <c r="AW3787" s="2"/>
      <c r="AX3787" s="2"/>
      <c r="AY3787" s="2">
        <v>42</v>
      </c>
      <c r="AZ3787" s="2" t="s">
        <v>182</v>
      </c>
      <c r="BA3787" s="2">
        <v>115</v>
      </c>
      <c r="BB3787" s="2" t="s">
        <v>101</v>
      </c>
      <c r="BC3787" s="2">
        <v>41</v>
      </c>
      <c r="BD3787" s="2" t="s">
        <v>82</v>
      </c>
      <c r="BE3787" s="2">
        <v>39</v>
      </c>
      <c r="BF3787" s="2" t="s">
        <v>440</v>
      </c>
      <c r="BG3787" s="2" t="s">
        <v>12047</v>
      </c>
      <c r="BH3787" s="4">
        <v>0.41666666666666669</v>
      </c>
      <c r="BI3787" s="4">
        <v>0.20833333333333334</v>
      </c>
      <c r="BJ3787" s="2">
        <v>13</v>
      </c>
      <c r="BK3787" s="2" t="s">
        <v>91</v>
      </c>
      <c r="BL3787" s="2" t="s">
        <v>360</v>
      </c>
      <c r="BM3787" s="2">
        <v>241</v>
      </c>
      <c r="BN3787" s="2" t="s">
        <v>82</v>
      </c>
      <c r="BO3787" s="2"/>
      <c r="BP3787" s="2">
        <v>33</v>
      </c>
      <c r="BQ3787" s="2" t="s">
        <v>361</v>
      </c>
      <c r="BR3787" s="2" t="s">
        <v>1739</v>
      </c>
      <c r="BS3787" s="3">
        <v>40435</v>
      </c>
      <c r="BT3787" s="4">
        <v>0.83216435185185189</v>
      </c>
    </row>
    <row r="3788" spans="1:72" x14ac:dyDescent="0.25">
      <c r="A3788" s="2">
        <v>5609</v>
      </c>
      <c r="B3788" s="2">
        <v>2010</v>
      </c>
      <c r="C3788" s="2" t="s">
        <v>819</v>
      </c>
      <c r="D3788" s="2" t="s">
        <v>122</v>
      </c>
      <c r="E3788" s="2"/>
      <c r="F3788" s="2">
        <v>451</v>
      </c>
      <c r="G3788" s="2" t="s">
        <v>879</v>
      </c>
      <c r="H3788" s="2">
        <v>31</v>
      </c>
      <c r="I3788" s="2" t="s">
        <v>880</v>
      </c>
      <c r="J3788" s="2">
        <v>326</v>
      </c>
      <c r="K3788" s="2" t="s">
        <v>881</v>
      </c>
      <c r="L3788" s="2" t="s">
        <v>882</v>
      </c>
      <c r="M3788" s="3">
        <v>40435</v>
      </c>
      <c r="N3788" s="2" t="s">
        <v>1072</v>
      </c>
      <c r="O3788" s="2"/>
      <c r="P3788" s="2"/>
      <c r="Q3788" s="2" t="str">
        <f>"094/10"</f>
        <v>094/10</v>
      </c>
      <c r="R3788" s="2"/>
      <c r="S3788" s="2" t="s">
        <v>822</v>
      </c>
      <c r="T3788" s="2">
        <v>1</v>
      </c>
      <c r="U3788" s="2" t="s">
        <v>79</v>
      </c>
      <c r="V3788" s="2">
        <v>1</v>
      </c>
      <c r="W3788" s="2" t="s">
        <v>80</v>
      </c>
      <c r="X3788" s="2">
        <v>1</v>
      </c>
      <c r="Y3788" s="2" t="s">
        <v>81</v>
      </c>
      <c r="Z3788" s="2">
        <v>10</v>
      </c>
      <c r="AA3788" s="2" t="s">
        <v>236</v>
      </c>
      <c r="AB3788" s="2">
        <v>9</v>
      </c>
      <c r="AC3788" s="2" t="s">
        <v>124</v>
      </c>
      <c r="AD3788" s="3">
        <v>40435</v>
      </c>
      <c r="AE3788" s="4">
        <v>0.89583333333333337</v>
      </c>
      <c r="AF3788" s="2"/>
      <c r="AG3788" s="2"/>
      <c r="AH3788" s="2">
        <v>4</v>
      </c>
      <c r="AI3788" s="2" t="s">
        <v>125</v>
      </c>
      <c r="AJ3788" s="2">
        <v>29</v>
      </c>
      <c r="AK3788" s="2" t="s">
        <v>227</v>
      </c>
      <c r="AL3788" s="2">
        <v>10</v>
      </c>
      <c r="AM3788" s="2" t="s">
        <v>200</v>
      </c>
      <c r="AN3788" s="2" t="s">
        <v>6207</v>
      </c>
      <c r="AO3788" s="2" t="s">
        <v>179</v>
      </c>
      <c r="AP3788" s="2">
        <v>12</v>
      </c>
      <c r="AQ3788" s="2" t="s">
        <v>322</v>
      </c>
      <c r="AR3788" s="2" t="s">
        <v>824</v>
      </c>
      <c r="AS3788" s="2" t="s">
        <v>884</v>
      </c>
      <c r="AT3788" s="2" t="s">
        <v>12048</v>
      </c>
      <c r="AU3788" s="2"/>
      <c r="AV3788" s="2"/>
      <c r="AW3788" s="2"/>
      <c r="AX3788" s="2"/>
      <c r="AY3788" s="2">
        <v>41</v>
      </c>
      <c r="AZ3788" s="2" t="s">
        <v>82</v>
      </c>
      <c r="BA3788" s="2">
        <v>41</v>
      </c>
      <c r="BB3788" s="2" t="s">
        <v>82</v>
      </c>
      <c r="BC3788" s="2">
        <v>41</v>
      </c>
      <c r="BD3788" s="2" t="s">
        <v>82</v>
      </c>
      <c r="BE3788" s="2">
        <v>13</v>
      </c>
      <c r="BF3788" s="2" t="s">
        <v>108</v>
      </c>
      <c r="BG3788" s="2">
        <v>1459</v>
      </c>
      <c r="BH3788" s="4">
        <v>0.89583333333333337</v>
      </c>
      <c r="BI3788" s="4">
        <v>0.93055555555555547</v>
      </c>
      <c r="BJ3788" s="2">
        <v>13</v>
      </c>
      <c r="BK3788" s="2" t="s">
        <v>91</v>
      </c>
      <c r="BL3788" s="2" t="s">
        <v>828</v>
      </c>
      <c r="BM3788" s="2">
        <v>241</v>
      </c>
      <c r="BN3788" s="2" t="s">
        <v>82</v>
      </c>
      <c r="BO3788" s="2" t="s">
        <v>82</v>
      </c>
      <c r="BP3788" s="2">
        <v>13</v>
      </c>
      <c r="BQ3788" s="2" t="s">
        <v>91</v>
      </c>
      <c r="BR3788" s="2" t="s">
        <v>185</v>
      </c>
      <c r="BS3788" s="3">
        <v>40435</v>
      </c>
      <c r="BT3788" s="4">
        <v>0.93987268518518519</v>
      </c>
    </row>
    <row r="3789" spans="1:72" x14ac:dyDescent="0.25">
      <c r="A3789" s="2">
        <v>5615</v>
      </c>
      <c r="B3789" s="2">
        <v>2010</v>
      </c>
      <c r="C3789" s="2" t="s">
        <v>2219</v>
      </c>
      <c r="D3789" s="2" t="s">
        <v>73</v>
      </c>
      <c r="E3789" s="2"/>
      <c r="F3789" s="2">
        <v>12</v>
      </c>
      <c r="G3789" s="2" t="s">
        <v>2494</v>
      </c>
      <c r="H3789" s="2">
        <v>42</v>
      </c>
      <c r="I3789" s="2" t="s">
        <v>1096</v>
      </c>
      <c r="J3789" s="2">
        <v>18</v>
      </c>
      <c r="K3789" s="2" t="s">
        <v>365</v>
      </c>
      <c r="L3789" s="2" t="s">
        <v>115</v>
      </c>
      <c r="M3789" s="3">
        <v>40436</v>
      </c>
      <c r="N3789" s="2" t="s">
        <v>12049</v>
      </c>
      <c r="O3789" s="2" t="s">
        <v>12050</v>
      </c>
      <c r="P3789" s="2" t="s">
        <v>12051</v>
      </c>
      <c r="Q3789" s="2" t="str">
        <f>"16/10"</f>
        <v>16/10</v>
      </c>
      <c r="R3789" s="2"/>
      <c r="S3789" s="2"/>
      <c r="T3789" s="2">
        <v>1</v>
      </c>
      <c r="U3789" s="2" t="s">
        <v>79</v>
      </c>
      <c r="V3789" s="2">
        <v>3</v>
      </c>
      <c r="W3789" s="2" t="s">
        <v>225</v>
      </c>
      <c r="X3789" s="2">
        <v>6</v>
      </c>
      <c r="Y3789" s="2" t="s">
        <v>249</v>
      </c>
      <c r="Z3789" s="2">
        <v>1</v>
      </c>
      <c r="AA3789" s="2" t="s">
        <v>82</v>
      </c>
      <c r="AB3789" s="2">
        <v>9</v>
      </c>
      <c r="AC3789" s="2" t="s">
        <v>124</v>
      </c>
      <c r="AD3789" s="3">
        <v>40436</v>
      </c>
      <c r="AE3789" s="4">
        <v>0.47916666666666669</v>
      </c>
      <c r="AF3789" s="2"/>
      <c r="AG3789" s="2"/>
      <c r="AH3789" s="2">
        <v>3</v>
      </c>
      <c r="AI3789" s="2" t="s">
        <v>214</v>
      </c>
      <c r="AJ3789" s="2">
        <v>14</v>
      </c>
      <c r="AK3789" s="2" t="s">
        <v>342</v>
      </c>
      <c r="AL3789" s="2">
        <v>23</v>
      </c>
      <c r="AM3789" s="2" t="s">
        <v>251</v>
      </c>
      <c r="AN3789" s="2" t="s">
        <v>82</v>
      </c>
      <c r="AO3789" s="2" t="s">
        <v>82</v>
      </c>
      <c r="AP3789" s="2">
        <v>11</v>
      </c>
      <c r="AQ3789" s="2" t="s">
        <v>82</v>
      </c>
      <c r="AR3789" s="2"/>
      <c r="AS3789" s="2"/>
      <c r="AT3789" s="2" t="s">
        <v>12052</v>
      </c>
      <c r="AU3789" s="2"/>
      <c r="AV3789" s="2"/>
      <c r="AW3789" s="2"/>
      <c r="AX3789" s="2"/>
      <c r="AY3789" s="2">
        <v>41</v>
      </c>
      <c r="AZ3789" s="2" t="s">
        <v>82</v>
      </c>
      <c r="BA3789" s="2">
        <v>41</v>
      </c>
      <c r="BB3789" s="2" t="s">
        <v>82</v>
      </c>
      <c r="BC3789" s="2">
        <v>41</v>
      </c>
      <c r="BD3789" s="2" t="s">
        <v>82</v>
      </c>
      <c r="BE3789" s="2">
        <v>41</v>
      </c>
      <c r="BF3789" s="2" t="s">
        <v>82</v>
      </c>
      <c r="BG3789" s="2"/>
      <c r="BH3789" s="2"/>
      <c r="BI3789" s="2"/>
      <c r="BJ3789" s="2">
        <v>241</v>
      </c>
      <c r="BK3789" s="2" t="s">
        <v>82</v>
      </c>
      <c r="BL3789" s="2"/>
      <c r="BM3789" s="2">
        <v>241</v>
      </c>
      <c r="BN3789" s="2" t="s">
        <v>82</v>
      </c>
      <c r="BO3789" s="2"/>
      <c r="BP3789" s="2">
        <v>241</v>
      </c>
      <c r="BQ3789" s="2" t="s">
        <v>82</v>
      </c>
      <c r="BR3789" s="2"/>
      <c r="BS3789" s="3">
        <v>40436</v>
      </c>
      <c r="BT3789" s="4">
        <v>0.49394675925925924</v>
      </c>
    </row>
    <row r="3790" spans="1:72" x14ac:dyDescent="0.25">
      <c r="A3790" s="2">
        <v>5617</v>
      </c>
      <c r="B3790" s="2">
        <v>2010</v>
      </c>
      <c r="C3790" s="2" t="s">
        <v>72</v>
      </c>
      <c r="D3790" s="2" t="s">
        <v>73</v>
      </c>
      <c r="E3790" s="2"/>
      <c r="F3790" s="2">
        <v>481</v>
      </c>
      <c r="G3790" s="2" t="s">
        <v>1438</v>
      </c>
      <c r="H3790" s="2">
        <v>1</v>
      </c>
      <c r="I3790" s="2" t="s">
        <v>82</v>
      </c>
      <c r="J3790" s="2">
        <v>57</v>
      </c>
      <c r="K3790" s="2" t="s">
        <v>431</v>
      </c>
      <c r="L3790" s="2" t="s">
        <v>432</v>
      </c>
      <c r="M3790" s="3">
        <v>40436</v>
      </c>
      <c r="N3790" s="2"/>
      <c r="O3790" s="2" t="s">
        <v>7781</v>
      </c>
      <c r="P3790" s="2"/>
      <c r="Q3790" s="2" t="str">
        <f>"42/10"</f>
        <v>42/10</v>
      </c>
      <c r="R3790" s="2" t="s">
        <v>7781</v>
      </c>
      <c r="S3790" s="2"/>
      <c r="T3790" s="2">
        <v>1</v>
      </c>
      <c r="U3790" s="2" t="s">
        <v>79</v>
      </c>
      <c r="V3790" s="2">
        <v>1</v>
      </c>
      <c r="W3790" s="2" t="s">
        <v>80</v>
      </c>
      <c r="X3790" s="2">
        <v>12</v>
      </c>
      <c r="Y3790" s="2" t="s">
        <v>148</v>
      </c>
      <c r="Z3790" s="2">
        <v>1</v>
      </c>
      <c r="AA3790" s="2" t="s">
        <v>82</v>
      </c>
      <c r="AB3790" s="2">
        <v>6</v>
      </c>
      <c r="AC3790" s="2" t="s">
        <v>83</v>
      </c>
      <c r="AD3790" s="3">
        <v>40436</v>
      </c>
      <c r="AE3790" s="2"/>
      <c r="AF3790" s="3">
        <v>40436</v>
      </c>
      <c r="AG3790" s="4">
        <v>0.41666666666666669</v>
      </c>
      <c r="AH3790" s="2">
        <v>3</v>
      </c>
      <c r="AI3790" s="2" t="s">
        <v>214</v>
      </c>
      <c r="AJ3790" s="2">
        <v>17</v>
      </c>
      <c r="AK3790" s="2" t="s">
        <v>309</v>
      </c>
      <c r="AL3790" s="2">
        <v>28</v>
      </c>
      <c r="AM3790" s="2" t="s">
        <v>5969</v>
      </c>
      <c r="AN3790" s="2" t="s">
        <v>12053</v>
      </c>
      <c r="AO3790" s="2"/>
      <c r="AP3790" s="2">
        <v>11</v>
      </c>
      <c r="AQ3790" s="2" t="s">
        <v>82</v>
      </c>
      <c r="AR3790" s="2"/>
      <c r="AS3790" s="2"/>
      <c r="AT3790" s="2" t="s">
        <v>12054</v>
      </c>
      <c r="AU3790" s="2"/>
      <c r="AV3790" s="2"/>
      <c r="AW3790" s="2"/>
      <c r="AX3790" s="2"/>
      <c r="AY3790" s="2">
        <v>68</v>
      </c>
      <c r="AZ3790" s="2" t="s">
        <v>12055</v>
      </c>
      <c r="BA3790" s="2">
        <v>68</v>
      </c>
      <c r="BB3790" s="2" t="s">
        <v>12055</v>
      </c>
      <c r="BC3790" s="2">
        <v>1</v>
      </c>
      <c r="BD3790" s="2" t="s">
        <v>107</v>
      </c>
      <c r="BE3790" s="2">
        <v>41</v>
      </c>
      <c r="BF3790" s="2" t="s">
        <v>82</v>
      </c>
      <c r="BG3790" s="2"/>
      <c r="BH3790" s="2"/>
      <c r="BI3790" s="2"/>
      <c r="BJ3790" s="2">
        <v>241</v>
      </c>
      <c r="BK3790" s="2" t="s">
        <v>82</v>
      </c>
      <c r="BL3790" s="2"/>
      <c r="BM3790" s="2">
        <v>241</v>
      </c>
      <c r="BN3790" s="2" t="s">
        <v>82</v>
      </c>
      <c r="BO3790" s="2"/>
      <c r="BP3790" s="2">
        <v>241</v>
      </c>
      <c r="BQ3790" s="2" t="s">
        <v>82</v>
      </c>
      <c r="BR3790" s="2"/>
      <c r="BS3790" s="3">
        <v>40436</v>
      </c>
      <c r="BT3790" s="4">
        <v>0.54500000000000004</v>
      </c>
    </row>
    <row r="3791" spans="1:72" x14ac:dyDescent="0.25">
      <c r="A3791" s="2">
        <v>5618</v>
      </c>
      <c r="B3791" s="2">
        <v>2010</v>
      </c>
      <c r="C3791" s="2" t="s">
        <v>72</v>
      </c>
      <c r="D3791" s="2" t="s">
        <v>73</v>
      </c>
      <c r="E3791" s="2"/>
      <c r="F3791" s="2">
        <v>390</v>
      </c>
      <c r="G3791" s="2" t="s">
        <v>475</v>
      </c>
      <c r="H3791" s="2">
        <v>7</v>
      </c>
      <c r="I3791" s="2" t="s">
        <v>476</v>
      </c>
      <c r="J3791" s="2">
        <v>314</v>
      </c>
      <c r="K3791" s="2" t="s">
        <v>477</v>
      </c>
      <c r="L3791" s="2" t="s">
        <v>478</v>
      </c>
      <c r="M3791" s="3">
        <v>40436</v>
      </c>
      <c r="N3791" s="2" t="s">
        <v>11925</v>
      </c>
      <c r="O3791" s="2"/>
      <c r="P3791" s="2"/>
      <c r="Q3791" s="2" t="str">
        <f>"468-E/10"</f>
        <v>468-E/10</v>
      </c>
      <c r="R3791" s="2" t="s">
        <v>116</v>
      </c>
      <c r="S3791" s="2" t="s">
        <v>116</v>
      </c>
      <c r="T3791" s="2">
        <v>1</v>
      </c>
      <c r="U3791" s="2" t="s">
        <v>79</v>
      </c>
      <c r="V3791" s="2">
        <v>1</v>
      </c>
      <c r="W3791" s="2" t="s">
        <v>80</v>
      </c>
      <c r="X3791" s="2">
        <v>12</v>
      </c>
      <c r="Y3791" s="2" t="s">
        <v>148</v>
      </c>
      <c r="Z3791" s="2">
        <v>1</v>
      </c>
      <c r="AA3791" s="2" t="s">
        <v>82</v>
      </c>
      <c r="AB3791" s="2">
        <v>6</v>
      </c>
      <c r="AC3791" s="2" t="s">
        <v>83</v>
      </c>
      <c r="AD3791" s="3">
        <v>40436</v>
      </c>
      <c r="AE3791" s="4">
        <v>0.44444444444444442</v>
      </c>
      <c r="AF3791" s="3">
        <v>40436</v>
      </c>
      <c r="AG3791" s="4">
        <v>0.47916666666666669</v>
      </c>
      <c r="AH3791" s="2">
        <v>2</v>
      </c>
      <c r="AI3791" s="2" t="s">
        <v>84</v>
      </c>
      <c r="AJ3791" s="2">
        <v>9</v>
      </c>
      <c r="AK3791" s="2" t="s">
        <v>103</v>
      </c>
      <c r="AL3791" s="2">
        <v>1</v>
      </c>
      <c r="AM3791" s="2" t="s">
        <v>2148</v>
      </c>
      <c r="AN3791" s="2" t="s">
        <v>12056</v>
      </c>
      <c r="AO3791" s="2" t="s">
        <v>12057</v>
      </c>
      <c r="AP3791" s="2">
        <v>11</v>
      </c>
      <c r="AQ3791" s="2" t="s">
        <v>82</v>
      </c>
      <c r="AR3791" s="2"/>
      <c r="AS3791" s="2"/>
      <c r="AT3791" s="2" t="s">
        <v>12058</v>
      </c>
      <c r="AU3791" s="2"/>
      <c r="AV3791" s="2"/>
      <c r="AW3791" s="2"/>
      <c r="AX3791" s="2"/>
      <c r="AY3791" s="2">
        <v>41</v>
      </c>
      <c r="AZ3791" s="2" t="s">
        <v>82</v>
      </c>
      <c r="BA3791" s="2">
        <v>41</v>
      </c>
      <c r="BB3791" s="2" t="s">
        <v>82</v>
      </c>
      <c r="BC3791" s="2">
        <v>41</v>
      </c>
      <c r="BD3791" s="2" t="s">
        <v>82</v>
      </c>
      <c r="BE3791" s="2">
        <v>41</v>
      </c>
      <c r="BF3791" s="2" t="s">
        <v>82</v>
      </c>
      <c r="BG3791" s="2"/>
      <c r="BH3791" s="2"/>
      <c r="BI3791" s="2"/>
      <c r="BJ3791" s="2">
        <v>241</v>
      </c>
      <c r="BK3791" s="2" t="s">
        <v>82</v>
      </c>
      <c r="BL3791" s="2"/>
      <c r="BM3791" s="2">
        <v>241</v>
      </c>
      <c r="BN3791" s="2" t="s">
        <v>82</v>
      </c>
      <c r="BO3791" s="2"/>
      <c r="BP3791" s="2">
        <v>241</v>
      </c>
      <c r="BQ3791" s="2" t="s">
        <v>82</v>
      </c>
      <c r="BR3791" s="2"/>
      <c r="BS3791" s="3">
        <v>40436</v>
      </c>
      <c r="BT3791" s="4">
        <v>0.5647685185185185</v>
      </c>
    </row>
    <row r="3792" spans="1:72" x14ac:dyDescent="0.25">
      <c r="A3792" s="2">
        <v>5620</v>
      </c>
      <c r="B3792" s="2">
        <v>2010</v>
      </c>
      <c r="C3792" s="2" t="s">
        <v>93</v>
      </c>
      <c r="D3792" s="2" t="s">
        <v>73</v>
      </c>
      <c r="E3792" s="2"/>
      <c r="F3792" s="2">
        <v>1</v>
      </c>
      <c r="G3792" s="2" t="s">
        <v>82</v>
      </c>
      <c r="H3792" s="2">
        <v>1</v>
      </c>
      <c r="I3792" s="2" t="s">
        <v>82</v>
      </c>
      <c r="J3792" s="2">
        <v>1</v>
      </c>
      <c r="K3792" s="2" t="s">
        <v>107</v>
      </c>
      <c r="L3792" s="2" t="s">
        <v>107</v>
      </c>
      <c r="M3792" s="3">
        <v>40436</v>
      </c>
      <c r="N3792" s="2" t="s">
        <v>3197</v>
      </c>
      <c r="O3792" s="2" t="s">
        <v>1493</v>
      </c>
      <c r="P3792" s="2" t="s">
        <v>12059</v>
      </c>
      <c r="Q3792" s="2" t="str">
        <f>"AP Nº 0047_10"</f>
        <v>AP Nº 0047_10</v>
      </c>
      <c r="R3792" s="2" t="s">
        <v>685</v>
      </c>
      <c r="S3792" s="2" t="s">
        <v>82</v>
      </c>
      <c r="T3792" s="2">
        <v>1</v>
      </c>
      <c r="U3792" s="2" t="s">
        <v>79</v>
      </c>
      <c r="V3792" s="2">
        <v>1</v>
      </c>
      <c r="W3792" s="2" t="s">
        <v>80</v>
      </c>
      <c r="X3792" s="2">
        <v>1</v>
      </c>
      <c r="Y3792" s="2" t="s">
        <v>81</v>
      </c>
      <c r="Z3792" s="2">
        <v>1</v>
      </c>
      <c r="AA3792" s="2" t="s">
        <v>82</v>
      </c>
      <c r="AB3792" s="2">
        <v>2</v>
      </c>
      <c r="AC3792" s="2" t="s">
        <v>102</v>
      </c>
      <c r="AD3792" s="3">
        <v>40436</v>
      </c>
      <c r="AE3792" s="4">
        <v>0.53125</v>
      </c>
      <c r="AF3792" s="2"/>
      <c r="AG3792" s="2"/>
      <c r="AH3792" s="2">
        <v>6</v>
      </c>
      <c r="AI3792" s="2" t="s">
        <v>197</v>
      </c>
      <c r="AJ3792" s="2">
        <v>61</v>
      </c>
      <c r="AK3792" s="2" t="s">
        <v>686</v>
      </c>
      <c r="AL3792" s="2">
        <v>11</v>
      </c>
      <c r="AM3792" s="2" t="s">
        <v>137</v>
      </c>
      <c r="AN3792" s="2" t="s">
        <v>82</v>
      </c>
      <c r="AO3792" s="2" t="s">
        <v>2949</v>
      </c>
      <c r="AP3792" s="2">
        <v>11</v>
      </c>
      <c r="AQ3792" s="2" t="s">
        <v>82</v>
      </c>
      <c r="AR3792" s="2" t="s">
        <v>82</v>
      </c>
      <c r="AS3792" s="2" t="s">
        <v>82</v>
      </c>
      <c r="AT3792" s="2" t="s">
        <v>12060</v>
      </c>
      <c r="AU3792" s="2"/>
      <c r="AV3792" s="2"/>
      <c r="AW3792" s="2"/>
      <c r="AX3792" s="2"/>
      <c r="AY3792" s="2">
        <v>41</v>
      </c>
      <c r="AZ3792" s="2" t="s">
        <v>82</v>
      </c>
      <c r="BA3792" s="2">
        <v>41</v>
      </c>
      <c r="BB3792" s="2" t="s">
        <v>82</v>
      </c>
      <c r="BC3792" s="2">
        <v>41</v>
      </c>
      <c r="BD3792" s="2" t="s">
        <v>82</v>
      </c>
      <c r="BE3792" s="2">
        <v>47</v>
      </c>
      <c r="BF3792" s="2" t="s">
        <v>167</v>
      </c>
      <c r="BG3792" s="2" t="s">
        <v>2951</v>
      </c>
      <c r="BH3792" s="2"/>
      <c r="BI3792" s="4">
        <v>0.57638888888888895</v>
      </c>
      <c r="BJ3792" s="2">
        <v>13</v>
      </c>
      <c r="BK3792" s="2" t="s">
        <v>91</v>
      </c>
      <c r="BL3792" s="2" t="s">
        <v>690</v>
      </c>
      <c r="BM3792" s="2">
        <v>241</v>
      </c>
      <c r="BN3792" s="2" t="s">
        <v>82</v>
      </c>
      <c r="BO3792" s="2" t="s">
        <v>82</v>
      </c>
      <c r="BP3792" s="2">
        <v>13</v>
      </c>
      <c r="BQ3792" s="2" t="s">
        <v>91</v>
      </c>
      <c r="BR3792" s="2" t="s">
        <v>185</v>
      </c>
      <c r="BS3792" s="3">
        <v>40436</v>
      </c>
      <c r="BT3792" s="4">
        <v>0.60035879629629629</v>
      </c>
    </row>
    <row r="3793" spans="1:72" x14ac:dyDescent="0.25">
      <c r="A3793" s="2">
        <v>5625</v>
      </c>
      <c r="B3793" s="2">
        <v>2010</v>
      </c>
      <c r="C3793" s="2" t="s">
        <v>72</v>
      </c>
      <c r="D3793" s="2" t="s">
        <v>73</v>
      </c>
      <c r="E3793" s="2"/>
      <c r="F3793" s="2">
        <v>673</v>
      </c>
      <c r="G3793" s="2" t="s">
        <v>11655</v>
      </c>
      <c r="H3793" s="2">
        <v>22</v>
      </c>
      <c r="I3793" s="2" t="s">
        <v>75</v>
      </c>
      <c r="J3793" s="2">
        <v>657</v>
      </c>
      <c r="K3793" s="2" t="s">
        <v>11502</v>
      </c>
      <c r="L3793" s="2" t="s">
        <v>11656</v>
      </c>
      <c r="M3793" s="3">
        <v>40436</v>
      </c>
      <c r="N3793" s="2" t="s">
        <v>12061</v>
      </c>
      <c r="O3793" s="2"/>
      <c r="P3793" s="2"/>
      <c r="Q3793" s="2" t="str">
        <f>"370-A/10"</f>
        <v>370-A/10</v>
      </c>
      <c r="R3793" s="2" t="s">
        <v>601</v>
      </c>
      <c r="S3793" s="2" t="s">
        <v>601</v>
      </c>
      <c r="T3793" s="2">
        <v>1</v>
      </c>
      <c r="U3793" s="2" t="s">
        <v>79</v>
      </c>
      <c r="V3793" s="2">
        <v>1</v>
      </c>
      <c r="W3793" s="2" t="s">
        <v>80</v>
      </c>
      <c r="X3793" s="2">
        <v>12</v>
      </c>
      <c r="Y3793" s="2" t="s">
        <v>148</v>
      </c>
      <c r="Z3793" s="2">
        <v>1</v>
      </c>
      <c r="AA3793" s="2" t="s">
        <v>82</v>
      </c>
      <c r="AB3793" s="2">
        <v>6</v>
      </c>
      <c r="AC3793" s="2" t="s">
        <v>83</v>
      </c>
      <c r="AD3793" s="3">
        <v>40436</v>
      </c>
      <c r="AE3793" s="4">
        <v>0.4861111111111111</v>
      </c>
      <c r="AF3793" s="3">
        <v>40436</v>
      </c>
      <c r="AG3793" s="4">
        <v>0.52083333333333337</v>
      </c>
      <c r="AH3793" s="2">
        <v>2</v>
      </c>
      <c r="AI3793" s="2" t="s">
        <v>84</v>
      </c>
      <c r="AJ3793" s="2">
        <v>12</v>
      </c>
      <c r="AK3793" s="2" t="s">
        <v>85</v>
      </c>
      <c r="AL3793" s="2">
        <v>23</v>
      </c>
      <c r="AM3793" s="2" t="s">
        <v>251</v>
      </c>
      <c r="AN3793" s="2" t="s">
        <v>12062</v>
      </c>
      <c r="AO3793" s="2" t="s">
        <v>8468</v>
      </c>
      <c r="AP3793" s="2">
        <v>11</v>
      </c>
      <c r="AQ3793" s="2" t="s">
        <v>82</v>
      </c>
      <c r="AR3793" s="2"/>
      <c r="AS3793" s="2"/>
      <c r="AT3793" s="2" t="s">
        <v>12063</v>
      </c>
      <c r="AU3793" s="2"/>
      <c r="AV3793" s="2"/>
      <c r="AW3793" s="2"/>
      <c r="AX3793" s="2"/>
      <c r="AY3793" s="2">
        <v>41</v>
      </c>
      <c r="AZ3793" s="2" t="s">
        <v>82</v>
      </c>
      <c r="BA3793" s="2">
        <v>41</v>
      </c>
      <c r="BB3793" s="2" t="s">
        <v>82</v>
      </c>
      <c r="BC3793" s="2">
        <v>41</v>
      </c>
      <c r="BD3793" s="2" t="s">
        <v>82</v>
      </c>
      <c r="BE3793" s="2">
        <v>41</v>
      </c>
      <c r="BF3793" s="2" t="s">
        <v>82</v>
      </c>
      <c r="BG3793" s="2"/>
      <c r="BH3793" s="2"/>
      <c r="BI3793" s="2"/>
      <c r="BJ3793" s="2">
        <v>241</v>
      </c>
      <c r="BK3793" s="2" t="s">
        <v>82</v>
      </c>
      <c r="BL3793" s="2"/>
      <c r="BM3793" s="2">
        <v>241</v>
      </c>
      <c r="BN3793" s="2" t="s">
        <v>82</v>
      </c>
      <c r="BO3793" s="2"/>
      <c r="BP3793" s="2">
        <v>241</v>
      </c>
      <c r="BQ3793" s="2" t="s">
        <v>82</v>
      </c>
      <c r="BR3793" s="2"/>
      <c r="BS3793" s="3">
        <v>40436</v>
      </c>
      <c r="BT3793" s="4">
        <v>0.68684027777777779</v>
      </c>
    </row>
    <row r="3794" spans="1:72" x14ac:dyDescent="0.25">
      <c r="A3794" s="2">
        <v>5628</v>
      </c>
      <c r="B3794" s="2">
        <v>2010</v>
      </c>
      <c r="C3794" s="2" t="s">
        <v>171</v>
      </c>
      <c r="D3794" s="2" t="s">
        <v>73</v>
      </c>
      <c r="E3794" s="2"/>
      <c r="F3794" s="2">
        <v>390</v>
      </c>
      <c r="G3794" s="2" t="s">
        <v>475</v>
      </c>
      <c r="H3794" s="2">
        <v>7</v>
      </c>
      <c r="I3794" s="2" t="s">
        <v>476</v>
      </c>
      <c r="J3794" s="2">
        <v>533</v>
      </c>
      <c r="K3794" s="2" t="s">
        <v>6511</v>
      </c>
      <c r="L3794" s="2" t="s">
        <v>478</v>
      </c>
      <c r="M3794" s="3">
        <v>40436</v>
      </c>
      <c r="N3794" s="2" t="s">
        <v>765</v>
      </c>
      <c r="O3794" s="2" t="s">
        <v>12064</v>
      </c>
      <c r="P3794" s="2" t="s">
        <v>107</v>
      </c>
      <c r="Q3794" s="2" t="str">
        <f>"05/2010"</f>
        <v>05/2010</v>
      </c>
      <c r="R3794" s="2" t="s">
        <v>107</v>
      </c>
      <c r="S3794" s="2" t="s">
        <v>107</v>
      </c>
      <c r="T3794" s="2">
        <v>1</v>
      </c>
      <c r="U3794" s="2" t="s">
        <v>79</v>
      </c>
      <c r="V3794" s="2">
        <v>1</v>
      </c>
      <c r="W3794" s="2" t="s">
        <v>80</v>
      </c>
      <c r="X3794" s="2">
        <v>12</v>
      </c>
      <c r="Y3794" s="2" t="s">
        <v>148</v>
      </c>
      <c r="Z3794" s="2">
        <v>1</v>
      </c>
      <c r="AA3794" s="2" t="s">
        <v>82</v>
      </c>
      <c r="AB3794" s="2">
        <v>1</v>
      </c>
      <c r="AC3794" s="2" t="s">
        <v>178</v>
      </c>
      <c r="AD3794" s="3">
        <v>40435</v>
      </c>
      <c r="AE3794" s="4">
        <v>0.76388888888888884</v>
      </c>
      <c r="AF3794" s="3">
        <v>40436</v>
      </c>
      <c r="AG3794" s="4">
        <v>0.33333333333333331</v>
      </c>
      <c r="AH3794" s="2">
        <v>7</v>
      </c>
      <c r="AI3794" s="2" t="s">
        <v>801</v>
      </c>
      <c r="AJ3794" s="2">
        <v>3</v>
      </c>
      <c r="AK3794" s="2" t="s">
        <v>802</v>
      </c>
      <c r="AL3794" s="2">
        <v>23</v>
      </c>
      <c r="AM3794" s="2" t="s">
        <v>251</v>
      </c>
      <c r="AN3794" s="2" t="s">
        <v>107</v>
      </c>
      <c r="AO3794" s="2" t="s">
        <v>12065</v>
      </c>
      <c r="AP3794" s="2">
        <v>11</v>
      </c>
      <c r="AQ3794" s="2" t="s">
        <v>82</v>
      </c>
      <c r="AR3794" s="2" t="s">
        <v>82</v>
      </c>
      <c r="AS3794" s="2" t="s">
        <v>82</v>
      </c>
      <c r="AT3794" s="2" t="s">
        <v>12066</v>
      </c>
      <c r="AU3794" s="2"/>
      <c r="AV3794" s="2"/>
      <c r="AW3794" s="2"/>
      <c r="AX3794" s="2"/>
      <c r="AY3794" s="2">
        <v>41</v>
      </c>
      <c r="AZ3794" s="2" t="s">
        <v>82</v>
      </c>
      <c r="BA3794" s="2">
        <v>41</v>
      </c>
      <c r="BB3794" s="2" t="s">
        <v>82</v>
      </c>
      <c r="BC3794" s="2">
        <v>41</v>
      </c>
      <c r="BD3794" s="2" t="s">
        <v>82</v>
      </c>
      <c r="BE3794" s="2">
        <v>41</v>
      </c>
      <c r="BF3794" s="2" t="s">
        <v>82</v>
      </c>
      <c r="BG3794" s="2" t="s">
        <v>82</v>
      </c>
      <c r="BH3794" s="2"/>
      <c r="BI3794" s="2"/>
      <c r="BJ3794" s="2">
        <v>241</v>
      </c>
      <c r="BK3794" s="2" t="s">
        <v>82</v>
      </c>
      <c r="BL3794" s="2" t="s">
        <v>82</v>
      </c>
      <c r="BM3794" s="2">
        <v>241</v>
      </c>
      <c r="BN3794" s="2" t="s">
        <v>82</v>
      </c>
      <c r="BO3794" s="2"/>
      <c r="BP3794" s="2">
        <v>241</v>
      </c>
      <c r="BQ3794" s="2" t="s">
        <v>82</v>
      </c>
      <c r="BR3794" s="2" t="s">
        <v>82</v>
      </c>
      <c r="BS3794" s="3">
        <v>40436</v>
      </c>
      <c r="BT3794" s="4">
        <v>0.69686342592592598</v>
      </c>
    </row>
    <row r="3795" spans="1:72" x14ac:dyDescent="0.25">
      <c r="A3795" s="2">
        <v>5628</v>
      </c>
      <c r="B3795" s="2">
        <v>2010</v>
      </c>
      <c r="C3795" s="2" t="s">
        <v>72</v>
      </c>
      <c r="D3795" s="2" t="s">
        <v>73</v>
      </c>
      <c r="E3795" s="2"/>
      <c r="F3795" s="2">
        <v>390</v>
      </c>
      <c r="G3795" s="2" t="s">
        <v>475</v>
      </c>
      <c r="H3795" s="2">
        <v>7</v>
      </c>
      <c r="I3795" s="2" t="s">
        <v>476</v>
      </c>
      <c r="J3795" s="2">
        <v>533</v>
      </c>
      <c r="K3795" s="2" t="s">
        <v>6511</v>
      </c>
      <c r="L3795" s="2" t="s">
        <v>478</v>
      </c>
      <c r="M3795" s="3">
        <v>40436</v>
      </c>
      <c r="N3795" s="2" t="s">
        <v>765</v>
      </c>
      <c r="O3795" s="2" t="s">
        <v>12064</v>
      </c>
      <c r="P3795" s="2" t="s">
        <v>107</v>
      </c>
      <c r="Q3795" s="2" t="str">
        <f>"05/2010"</f>
        <v>05/2010</v>
      </c>
      <c r="R3795" s="2" t="s">
        <v>107</v>
      </c>
      <c r="S3795" s="2" t="s">
        <v>107</v>
      </c>
      <c r="T3795" s="2">
        <v>1</v>
      </c>
      <c r="U3795" s="2" t="s">
        <v>79</v>
      </c>
      <c r="V3795" s="2">
        <v>1</v>
      </c>
      <c r="W3795" s="2" t="s">
        <v>80</v>
      </c>
      <c r="X3795" s="2">
        <v>12</v>
      </c>
      <c r="Y3795" s="2" t="s">
        <v>148</v>
      </c>
      <c r="Z3795" s="2">
        <v>1</v>
      </c>
      <c r="AA3795" s="2" t="s">
        <v>82</v>
      </c>
      <c r="AB3795" s="2">
        <v>6</v>
      </c>
      <c r="AC3795" s="2" t="s">
        <v>83</v>
      </c>
      <c r="AD3795" s="3">
        <v>40435</v>
      </c>
      <c r="AE3795" s="4">
        <v>0.76388888888888884</v>
      </c>
      <c r="AF3795" s="3">
        <v>40436</v>
      </c>
      <c r="AG3795" s="4">
        <v>0.33333333333333331</v>
      </c>
      <c r="AH3795" s="2">
        <v>7</v>
      </c>
      <c r="AI3795" s="2" t="s">
        <v>801</v>
      </c>
      <c r="AJ3795" s="2">
        <v>3</v>
      </c>
      <c r="AK3795" s="2" t="s">
        <v>802</v>
      </c>
      <c r="AL3795" s="2">
        <v>23</v>
      </c>
      <c r="AM3795" s="2" t="s">
        <v>251</v>
      </c>
      <c r="AN3795" s="2" t="s">
        <v>107</v>
      </c>
      <c r="AO3795" s="2" t="s">
        <v>12065</v>
      </c>
      <c r="AP3795" s="2">
        <v>11</v>
      </c>
      <c r="AQ3795" s="2" t="s">
        <v>82</v>
      </c>
      <c r="AR3795" s="2" t="s">
        <v>82</v>
      </c>
      <c r="AS3795" s="2" t="s">
        <v>82</v>
      </c>
      <c r="AT3795" s="2" t="s">
        <v>12066</v>
      </c>
      <c r="AU3795" s="2"/>
      <c r="AV3795" s="2"/>
      <c r="AW3795" s="2"/>
      <c r="AX3795" s="2"/>
      <c r="AY3795" s="2">
        <v>41</v>
      </c>
      <c r="AZ3795" s="2" t="s">
        <v>82</v>
      </c>
      <c r="BA3795" s="2">
        <v>41</v>
      </c>
      <c r="BB3795" s="2" t="s">
        <v>82</v>
      </c>
      <c r="BC3795" s="2">
        <v>41</v>
      </c>
      <c r="BD3795" s="2" t="s">
        <v>82</v>
      </c>
      <c r="BE3795" s="2">
        <v>41</v>
      </c>
      <c r="BF3795" s="2" t="s">
        <v>82</v>
      </c>
      <c r="BG3795" s="2" t="s">
        <v>82</v>
      </c>
      <c r="BH3795" s="2"/>
      <c r="BI3795" s="2"/>
      <c r="BJ3795" s="2">
        <v>241</v>
      </c>
      <c r="BK3795" s="2" t="s">
        <v>82</v>
      </c>
      <c r="BL3795" s="2" t="s">
        <v>82</v>
      </c>
      <c r="BM3795" s="2">
        <v>241</v>
      </c>
      <c r="BN3795" s="2" t="s">
        <v>82</v>
      </c>
      <c r="BO3795" s="2"/>
      <c r="BP3795" s="2">
        <v>241</v>
      </c>
      <c r="BQ3795" s="2" t="s">
        <v>82</v>
      </c>
      <c r="BR3795" s="2" t="s">
        <v>82</v>
      </c>
      <c r="BS3795" s="3">
        <v>40436</v>
      </c>
      <c r="BT3795" s="4">
        <v>0.69686342592592598</v>
      </c>
    </row>
    <row r="3796" spans="1:72" x14ac:dyDescent="0.25">
      <c r="A3796" s="2">
        <v>5629</v>
      </c>
      <c r="B3796" s="2">
        <v>2010</v>
      </c>
      <c r="C3796" s="2" t="s">
        <v>171</v>
      </c>
      <c r="D3796" s="2" t="s">
        <v>73</v>
      </c>
      <c r="E3796" s="2"/>
      <c r="F3796" s="2">
        <v>451</v>
      </c>
      <c r="G3796" s="2" t="s">
        <v>879</v>
      </c>
      <c r="H3796" s="2">
        <v>31</v>
      </c>
      <c r="I3796" s="2" t="s">
        <v>880</v>
      </c>
      <c r="J3796" s="2">
        <v>326</v>
      </c>
      <c r="K3796" s="2" t="s">
        <v>881</v>
      </c>
      <c r="L3796" s="2" t="s">
        <v>882</v>
      </c>
      <c r="M3796" s="3">
        <v>40436</v>
      </c>
      <c r="N3796" s="2" t="s">
        <v>1072</v>
      </c>
      <c r="O3796" s="2" t="s">
        <v>3243</v>
      </c>
      <c r="P3796" s="2" t="s">
        <v>12067</v>
      </c>
      <c r="Q3796" s="2" t="str">
        <f>"033/09"</f>
        <v>033/09</v>
      </c>
      <c r="R3796" s="2"/>
      <c r="S3796" s="2" t="s">
        <v>822</v>
      </c>
      <c r="T3796" s="2">
        <v>1</v>
      </c>
      <c r="U3796" s="2" t="s">
        <v>79</v>
      </c>
      <c r="V3796" s="2">
        <v>1</v>
      </c>
      <c r="W3796" s="2" t="s">
        <v>80</v>
      </c>
      <c r="X3796" s="2">
        <v>1</v>
      </c>
      <c r="Y3796" s="2" t="s">
        <v>81</v>
      </c>
      <c r="Z3796" s="2">
        <v>1</v>
      </c>
      <c r="AA3796" s="2" t="s">
        <v>82</v>
      </c>
      <c r="AB3796" s="2">
        <v>1</v>
      </c>
      <c r="AC3796" s="2" t="s">
        <v>178</v>
      </c>
      <c r="AD3796" s="3">
        <v>40436</v>
      </c>
      <c r="AE3796" s="4">
        <v>0.70833333333333337</v>
      </c>
      <c r="AF3796" s="2"/>
      <c r="AG3796" s="2"/>
      <c r="AH3796" s="2">
        <v>4</v>
      </c>
      <c r="AI3796" s="2" t="s">
        <v>125</v>
      </c>
      <c r="AJ3796" s="2">
        <v>29</v>
      </c>
      <c r="AK3796" s="2" t="s">
        <v>227</v>
      </c>
      <c r="AL3796" s="2">
        <v>16</v>
      </c>
      <c r="AM3796" s="2" t="s">
        <v>392</v>
      </c>
      <c r="AN3796" s="2"/>
      <c r="AO3796" s="2" t="s">
        <v>12068</v>
      </c>
      <c r="AP3796" s="2">
        <v>12</v>
      </c>
      <c r="AQ3796" s="2" t="s">
        <v>322</v>
      </c>
      <c r="AR3796" s="2" t="s">
        <v>824</v>
      </c>
      <c r="AS3796" s="2" t="s">
        <v>6942</v>
      </c>
      <c r="AT3796" s="2" t="s">
        <v>12069</v>
      </c>
      <c r="AU3796" s="2"/>
      <c r="AV3796" s="2"/>
      <c r="AW3796" s="2"/>
      <c r="AX3796" s="2"/>
      <c r="AY3796" s="2">
        <v>41</v>
      </c>
      <c r="AZ3796" s="2" t="s">
        <v>82</v>
      </c>
      <c r="BA3796" s="2">
        <v>41</v>
      </c>
      <c r="BB3796" s="2" t="s">
        <v>82</v>
      </c>
      <c r="BC3796" s="2">
        <v>51</v>
      </c>
      <c r="BD3796" s="2" t="s">
        <v>827</v>
      </c>
      <c r="BE3796" s="2">
        <v>47</v>
      </c>
      <c r="BF3796" s="2" t="s">
        <v>167</v>
      </c>
      <c r="BG3796" s="2">
        <v>1459</v>
      </c>
      <c r="BH3796" s="4">
        <v>0.86111111111111116</v>
      </c>
      <c r="BI3796" s="4">
        <v>0.88194444444444453</v>
      </c>
      <c r="BJ3796" s="2">
        <v>13</v>
      </c>
      <c r="BK3796" s="2" t="s">
        <v>91</v>
      </c>
      <c r="BL3796" s="2" t="s">
        <v>828</v>
      </c>
      <c r="BM3796" s="2">
        <v>241</v>
      </c>
      <c r="BN3796" s="2" t="s">
        <v>82</v>
      </c>
      <c r="BO3796" s="2" t="s">
        <v>82</v>
      </c>
      <c r="BP3796" s="2">
        <v>13</v>
      </c>
      <c r="BQ3796" s="2" t="s">
        <v>91</v>
      </c>
      <c r="BR3796" s="2" t="s">
        <v>185</v>
      </c>
      <c r="BS3796" s="3">
        <v>40436</v>
      </c>
      <c r="BT3796" s="4">
        <v>0.74885416666666671</v>
      </c>
    </row>
    <row r="3797" spans="1:72" x14ac:dyDescent="0.25">
      <c r="A3797" s="2">
        <v>5630</v>
      </c>
      <c r="B3797" s="2">
        <v>2010</v>
      </c>
      <c r="C3797" s="2" t="s">
        <v>806</v>
      </c>
      <c r="D3797" s="2" t="s">
        <v>73</v>
      </c>
      <c r="E3797" s="2"/>
      <c r="F3797" s="2">
        <v>530</v>
      </c>
      <c r="G3797" s="2" t="s">
        <v>3315</v>
      </c>
      <c r="H3797" s="2">
        <v>89</v>
      </c>
      <c r="I3797" s="2" t="s">
        <v>5137</v>
      </c>
      <c r="J3797" s="2">
        <v>461</v>
      </c>
      <c r="K3797" s="2" t="s">
        <v>3316</v>
      </c>
      <c r="L3797" s="2" t="s">
        <v>3317</v>
      </c>
      <c r="M3797" s="3">
        <v>40436</v>
      </c>
      <c r="N3797" s="2" t="s">
        <v>12070</v>
      </c>
      <c r="O3797" s="2" t="s">
        <v>12071</v>
      </c>
      <c r="P3797" s="2" t="s">
        <v>12072</v>
      </c>
      <c r="Q3797" s="2" t="str">
        <f>"S/D"</f>
        <v>S/D</v>
      </c>
      <c r="R3797" s="2" t="s">
        <v>107</v>
      </c>
      <c r="S3797" s="2" t="s">
        <v>107</v>
      </c>
      <c r="T3797" s="2">
        <v>1</v>
      </c>
      <c r="U3797" s="2" t="s">
        <v>79</v>
      </c>
      <c r="V3797" s="2">
        <v>3</v>
      </c>
      <c r="W3797" s="2" t="s">
        <v>225</v>
      </c>
      <c r="X3797" s="2">
        <v>6</v>
      </c>
      <c r="Y3797" s="2" t="s">
        <v>249</v>
      </c>
      <c r="Z3797" s="2">
        <v>1</v>
      </c>
      <c r="AA3797" s="2" t="s">
        <v>82</v>
      </c>
      <c r="AB3797" s="2">
        <v>9</v>
      </c>
      <c r="AC3797" s="2" t="s">
        <v>124</v>
      </c>
      <c r="AD3797" s="3">
        <v>40435</v>
      </c>
      <c r="AE3797" s="4">
        <v>0.66666666666666663</v>
      </c>
      <c r="AF3797" s="3">
        <v>40430</v>
      </c>
      <c r="AG3797" s="4">
        <v>0.4375</v>
      </c>
      <c r="AH3797" s="2">
        <v>7</v>
      </c>
      <c r="AI3797" s="2" t="s">
        <v>801</v>
      </c>
      <c r="AJ3797" s="2">
        <v>3</v>
      </c>
      <c r="AK3797" s="2" t="s">
        <v>802</v>
      </c>
      <c r="AL3797" s="2">
        <v>23</v>
      </c>
      <c r="AM3797" s="2" t="s">
        <v>251</v>
      </c>
      <c r="AN3797" s="2" t="s">
        <v>107</v>
      </c>
      <c r="AO3797" s="2" t="s">
        <v>12073</v>
      </c>
      <c r="AP3797" s="2">
        <v>11</v>
      </c>
      <c r="AQ3797" s="2" t="s">
        <v>82</v>
      </c>
      <c r="AR3797" s="2"/>
      <c r="AS3797" s="2"/>
      <c r="AT3797" s="2" t="s">
        <v>12074</v>
      </c>
      <c r="AU3797" s="2"/>
      <c r="AV3797" s="2"/>
      <c r="AW3797" s="2"/>
      <c r="AX3797" s="2"/>
      <c r="AY3797" s="2">
        <v>41</v>
      </c>
      <c r="AZ3797" s="2" t="s">
        <v>82</v>
      </c>
      <c r="BA3797" s="2">
        <v>41</v>
      </c>
      <c r="BB3797" s="2" t="s">
        <v>82</v>
      </c>
      <c r="BC3797" s="2">
        <v>41</v>
      </c>
      <c r="BD3797" s="2" t="s">
        <v>82</v>
      </c>
      <c r="BE3797" s="2">
        <v>41</v>
      </c>
      <c r="BF3797" s="2" t="s">
        <v>82</v>
      </c>
      <c r="BG3797" s="2" t="s">
        <v>82</v>
      </c>
      <c r="BH3797" s="2"/>
      <c r="BI3797" s="2"/>
      <c r="BJ3797" s="2">
        <v>241</v>
      </c>
      <c r="BK3797" s="2" t="s">
        <v>82</v>
      </c>
      <c r="BL3797" s="2" t="s">
        <v>82</v>
      </c>
      <c r="BM3797" s="2">
        <v>241</v>
      </c>
      <c r="BN3797" s="2" t="s">
        <v>82</v>
      </c>
      <c r="BO3797" s="2"/>
      <c r="BP3797" s="2">
        <v>241</v>
      </c>
      <c r="BQ3797" s="2" t="s">
        <v>82</v>
      </c>
      <c r="BR3797" s="2" t="s">
        <v>82</v>
      </c>
      <c r="BS3797" s="3">
        <v>40436</v>
      </c>
      <c r="BT3797" s="4">
        <v>0.77951388888888884</v>
      </c>
    </row>
    <row r="3798" spans="1:72" x14ac:dyDescent="0.25">
      <c r="A3798" s="2">
        <v>5631</v>
      </c>
      <c r="B3798" s="2">
        <v>2010</v>
      </c>
      <c r="C3798" s="2" t="s">
        <v>171</v>
      </c>
      <c r="D3798" s="2" t="s">
        <v>73</v>
      </c>
      <c r="E3798" s="2" t="s">
        <v>9004</v>
      </c>
      <c r="F3798" s="2">
        <v>451</v>
      </c>
      <c r="G3798" s="2" t="s">
        <v>879</v>
      </c>
      <c r="H3798" s="2">
        <v>31</v>
      </c>
      <c r="I3798" s="2" t="s">
        <v>880</v>
      </c>
      <c r="J3798" s="2">
        <v>326</v>
      </c>
      <c r="K3798" s="2" t="s">
        <v>881</v>
      </c>
      <c r="L3798" s="2" t="s">
        <v>882</v>
      </c>
      <c r="M3798" s="3">
        <v>40436</v>
      </c>
      <c r="N3798" s="2" t="s">
        <v>7596</v>
      </c>
      <c r="O3798" s="2" t="s">
        <v>11611</v>
      </c>
      <c r="P3798" s="2" t="s">
        <v>1522</v>
      </c>
      <c r="Q3798" s="2" t="str">
        <f>"062/10"</f>
        <v>062/10</v>
      </c>
      <c r="R3798" s="2"/>
      <c r="S3798" s="2" t="s">
        <v>822</v>
      </c>
      <c r="T3798" s="2">
        <v>1</v>
      </c>
      <c r="U3798" s="2" t="s">
        <v>79</v>
      </c>
      <c r="V3798" s="2">
        <v>1</v>
      </c>
      <c r="W3798" s="2" t="s">
        <v>80</v>
      </c>
      <c r="X3798" s="2">
        <v>1</v>
      </c>
      <c r="Y3798" s="2" t="s">
        <v>81</v>
      </c>
      <c r="Z3798" s="2">
        <v>1</v>
      </c>
      <c r="AA3798" s="2" t="s">
        <v>82</v>
      </c>
      <c r="AB3798" s="2">
        <v>1</v>
      </c>
      <c r="AC3798" s="2" t="s">
        <v>178</v>
      </c>
      <c r="AD3798" s="3">
        <v>40436</v>
      </c>
      <c r="AE3798" s="4">
        <v>0.77083333333333337</v>
      </c>
      <c r="AF3798" s="2"/>
      <c r="AG3798" s="2"/>
      <c r="AH3798" s="2">
        <v>4</v>
      </c>
      <c r="AI3798" s="2" t="s">
        <v>125</v>
      </c>
      <c r="AJ3798" s="2">
        <v>29</v>
      </c>
      <c r="AK3798" s="2" t="s">
        <v>227</v>
      </c>
      <c r="AL3798" s="2">
        <v>16</v>
      </c>
      <c r="AM3798" s="2" t="s">
        <v>392</v>
      </c>
      <c r="AN3798" s="2"/>
      <c r="AO3798" s="2" t="s">
        <v>6877</v>
      </c>
      <c r="AP3798" s="2">
        <v>12</v>
      </c>
      <c r="AQ3798" s="2" t="s">
        <v>322</v>
      </c>
      <c r="AR3798" s="2" t="s">
        <v>824</v>
      </c>
      <c r="AS3798" s="2" t="s">
        <v>825</v>
      </c>
      <c r="AT3798" s="2" t="s">
        <v>12075</v>
      </c>
      <c r="AU3798" s="2"/>
      <c r="AV3798" s="2"/>
      <c r="AW3798" s="2"/>
      <c r="AX3798" s="2"/>
      <c r="AY3798" s="2">
        <v>41</v>
      </c>
      <c r="AZ3798" s="2" t="s">
        <v>82</v>
      </c>
      <c r="BA3798" s="2">
        <v>41</v>
      </c>
      <c r="BB3798" s="2" t="s">
        <v>82</v>
      </c>
      <c r="BC3798" s="2">
        <v>51</v>
      </c>
      <c r="BD3798" s="2" t="s">
        <v>827</v>
      </c>
      <c r="BE3798" s="2">
        <v>47</v>
      </c>
      <c r="BF3798" s="2" t="s">
        <v>167</v>
      </c>
      <c r="BG3798" s="2">
        <v>2451</v>
      </c>
      <c r="BH3798" s="4">
        <v>0.38194444444444442</v>
      </c>
      <c r="BI3798" s="4">
        <v>0.4236111111111111</v>
      </c>
      <c r="BJ3798" s="2">
        <v>13</v>
      </c>
      <c r="BK3798" s="2" t="s">
        <v>91</v>
      </c>
      <c r="BL3798" s="2" t="s">
        <v>828</v>
      </c>
      <c r="BM3798" s="2">
        <v>241</v>
      </c>
      <c r="BN3798" s="2" t="s">
        <v>82</v>
      </c>
      <c r="BO3798" s="2" t="s">
        <v>82</v>
      </c>
      <c r="BP3798" s="2">
        <v>13</v>
      </c>
      <c r="BQ3798" s="2" t="s">
        <v>91</v>
      </c>
      <c r="BR3798" s="2" t="s">
        <v>185</v>
      </c>
      <c r="BS3798" s="3">
        <v>40436</v>
      </c>
      <c r="BT3798" s="4">
        <v>0.80033564814814817</v>
      </c>
    </row>
    <row r="3799" spans="1:72" x14ac:dyDescent="0.25">
      <c r="A3799" s="2">
        <v>5632</v>
      </c>
      <c r="B3799" s="2">
        <v>2010</v>
      </c>
      <c r="C3799" s="2" t="s">
        <v>171</v>
      </c>
      <c r="D3799" s="2" t="s">
        <v>73</v>
      </c>
      <c r="E3799" s="2"/>
      <c r="F3799" s="2">
        <v>117</v>
      </c>
      <c r="G3799" s="2" t="s">
        <v>3284</v>
      </c>
      <c r="H3799" s="2">
        <v>40</v>
      </c>
      <c r="I3799" s="2" t="s">
        <v>2101</v>
      </c>
      <c r="J3799" s="2">
        <v>134</v>
      </c>
      <c r="K3799" s="2" t="s">
        <v>3285</v>
      </c>
      <c r="L3799" s="2" t="s">
        <v>3286</v>
      </c>
      <c r="M3799" s="3">
        <v>40436</v>
      </c>
      <c r="N3799" s="2" t="s">
        <v>3287</v>
      </c>
      <c r="O3799" s="2" t="s">
        <v>107</v>
      </c>
      <c r="P3799" s="2"/>
      <c r="Q3799" s="2" t="str">
        <f>"0006/10"</f>
        <v>0006/10</v>
      </c>
      <c r="R3799" s="2" t="s">
        <v>107</v>
      </c>
      <c r="S3799" s="2" t="s">
        <v>12076</v>
      </c>
      <c r="T3799" s="2">
        <v>1</v>
      </c>
      <c r="U3799" s="2" t="s">
        <v>79</v>
      </c>
      <c r="V3799" s="2">
        <v>1</v>
      </c>
      <c r="W3799" s="2" t="s">
        <v>80</v>
      </c>
      <c r="X3799" s="2">
        <v>1</v>
      </c>
      <c r="Y3799" s="2" t="s">
        <v>81</v>
      </c>
      <c r="Z3799" s="2">
        <v>1</v>
      </c>
      <c r="AA3799" s="2" t="s">
        <v>82</v>
      </c>
      <c r="AB3799" s="2">
        <v>1</v>
      </c>
      <c r="AC3799" s="2" t="s">
        <v>178</v>
      </c>
      <c r="AD3799" s="3">
        <v>40436</v>
      </c>
      <c r="AE3799" s="4">
        <v>0.6875</v>
      </c>
      <c r="AF3799" s="2"/>
      <c r="AG3799" s="2"/>
      <c r="AH3799" s="2">
        <v>6</v>
      </c>
      <c r="AI3799" s="2" t="s">
        <v>197</v>
      </c>
      <c r="AJ3799" s="2">
        <v>59</v>
      </c>
      <c r="AK3799" s="2" t="s">
        <v>198</v>
      </c>
      <c r="AL3799" s="2">
        <v>11</v>
      </c>
      <c r="AM3799" s="2" t="s">
        <v>137</v>
      </c>
      <c r="AN3799" s="2" t="s">
        <v>12077</v>
      </c>
      <c r="AO3799" s="2" t="s">
        <v>82</v>
      </c>
      <c r="AP3799" s="2">
        <v>11</v>
      </c>
      <c r="AQ3799" s="2" t="s">
        <v>82</v>
      </c>
      <c r="AR3799" s="2"/>
      <c r="AS3799" s="2"/>
      <c r="AT3799" s="2" t="s">
        <v>12078</v>
      </c>
      <c r="AU3799" s="2"/>
      <c r="AV3799" s="2"/>
      <c r="AW3799" s="2"/>
      <c r="AX3799" s="2"/>
      <c r="AY3799" s="2">
        <v>41</v>
      </c>
      <c r="AZ3799" s="2" t="s">
        <v>82</v>
      </c>
      <c r="BA3799" s="2">
        <v>41</v>
      </c>
      <c r="BB3799" s="2" t="s">
        <v>82</v>
      </c>
      <c r="BC3799" s="2">
        <v>41</v>
      </c>
      <c r="BD3799" s="2" t="s">
        <v>82</v>
      </c>
      <c r="BE3799" s="2">
        <v>13</v>
      </c>
      <c r="BF3799" s="2" t="s">
        <v>108</v>
      </c>
      <c r="BG3799" s="2">
        <v>1896</v>
      </c>
      <c r="BH3799" s="4">
        <v>0.63194444444444442</v>
      </c>
      <c r="BI3799" s="4">
        <v>0.66319444444444442</v>
      </c>
      <c r="BJ3799" s="2">
        <v>13</v>
      </c>
      <c r="BK3799" s="2" t="s">
        <v>91</v>
      </c>
      <c r="BL3799" s="2" t="s">
        <v>895</v>
      </c>
      <c r="BM3799" s="2">
        <v>13</v>
      </c>
      <c r="BN3799" s="2" t="s">
        <v>91</v>
      </c>
      <c r="BO3799" s="2" t="s">
        <v>204</v>
      </c>
      <c r="BP3799" s="2">
        <v>13</v>
      </c>
      <c r="BQ3799" s="2" t="s">
        <v>91</v>
      </c>
      <c r="BR3799" s="2" t="s">
        <v>524</v>
      </c>
      <c r="BS3799" s="3">
        <v>40436</v>
      </c>
      <c r="BT3799" s="4">
        <v>0.81849537037037035</v>
      </c>
    </row>
    <row r="3800" spans="1:72" x14ac:dyDescent="0.25">
      <c r="A3800" s="2">
        <v>5633</v>
      </c>
      <c r="B3800" s="2">
        <v>2010</v>
      </c>
      <c r="C3800" s="2" t="s">
        <v>171</v>
      </c>
      <c r="D3800" s="2" t="s">
        <v>73</v>
      </c>
      <c r="E3800" s="2"/>
      <c r="F3800" s="2">
        <v>390</v>
      </c>
      <c r="G3800" s="2" t="s">
        <v>475</v>
      </c>
      <c r="H3800" s="2">
        <v>7</v>
      </c>
      <c r="I3800" s="2" t="s">
        <v>476</v>
      </c>
      <c r="J3800" s="2">
        <v>533</v>
      </c>
      <c r="K3800" s="2" t="s">
        <v>6511</v>
      </c>
      <c r="L3800" s="2" t="s">
        <v>478</v>
      </c>
      <c r="M3800" s="3">
        <v>40436</v>
      </c>
      <c r="N3800" s="2" t="s">
        <v>12079</v>
      </c>
      <c r="O3800" s="2"/>
      <c r="P3800" s="2"/>
      <c r="Q3800" s="2" t="str">
        <f>"470-E/10"</f>
        <v>470-E/10</v>
      </c>
      <c r="R3800" s="2" t="s">
        <v>2334</v>
      </c>
      <c r="S3800" s="2" t="s">
        <v>2334</v>
      </c>
      <c r="T3800" s="2">
        <v>1</v>
      </c>
      <c r="U3800" s="2" t="s">
        <v>79</v>
      </c>
      <c r="V3800" s="2">
        <v>1</v>
      </c>
      <c r="W3800" s="2" t="s">
        <v>80</v>
      </c>
      <c r="X3800" s="2">
        <v>1</v>
      </c>
      <c r="Y3800" s="2" t="s">
        <v>81</v>
      </c>
      <c r="Z3800" s="2">
        <v>1</v>
      </c>
      <c r="AA3800" s="2" t="s">
        <v>82</v>
      </c>
      <c r="AB3800" s="2">
        <v>1</v>
      </c>
      <c r="AC3800" s="2" t="s">
        <v>178</v>
      </c>
      <c r="AD3800" s="3">
        <v>40436</v>
      </c>
      <c r="AE3800" s="4">
        <v>0.59027777777777779</v>
      </c>
      <c r="AF3800" s="2"/>
      <c r="AG3800" s="2"/>
      <c r="AH3800" s="2">
        <v>2</v>
      </c>
      <c r="AI3800" s="2" t="s">
        <v>84</v>
      </c>
      <c r="AJ3800" s="2">
        <v>9</v>
      </c>
      <c r="AK3800" s="2" t="s">
        <v>103</v>
      </c>
      <c r="AL3800" s="2">
        <v>16</v>
      </c>
      <c r="AM3800" s="2" t="s">
        <v>392</v>
      </c>
      <c r="AN3800" s="2" t="s">
        <v>6519</v>
      </c>
      <c r="AO3800" s="2" t="s">
        <v>827</v>
      </c>
      <c r="AP3800" s="2">
        <v>5</v>
      </c>
      <c r="AQ3800" s="2" t="s">
        <v>827</v>
      </c>
      <c r="AR3800" s="2" t="s">
        <v>12080</v>
      </c>
      <c r="AS3800" s="2" t="s">
        <v>12081</v>
      </c>
      <c r="AT3800" s="2" t="s">
        <v>12082</v>
      </c>
      <c r="AU3800" s="2"/>
      <c r="AV3800" s="2"/>
      <c r="AW3800" s="2"/>
      <c r="AX3800" s="2"/>
      <c r="AY3800" s="2">
        <v>41</v>
      </c>
      <c r="AZ3800" s="2" t="s">
        <v>82</v>
      </c>
      <c r="BA3800" s="2">
        <v>41</v>
      </c>
      <c r="BB3800" s="2" t="s">
        <v>82</v>
      </c>
      <c r="BC3800" s="2">
        <v>41</v>
      </c>
      <c r="BD3800" s="2" t="s">
        <v>82</v>
      </c>
      <c r="BE3800" s="2">
        <v>6</v>
      </c>
      <c r="BF3800" s="2" t="s">
        <v>616</v>
      </c>
      <c r="BG3800" s="2" t="s">
        <v>1599</v>
      </c>
      <c r="BH3800" s="2"/>
      <c r="BI3800" s="2"/>
      <c r="BJ3800" s="2">
        <v>13</v>
      </c>
      <c r="BK3800" s="2" t="s">
        <v>91</v>
      </c>
      <c r="BL3800" s="2" t="s">
        <v>360</v>
      </c>
      <c r="BM3800" s="2">
        <v>4</v>
      </c>
      <c r="BN3800" s="2" t="s">
        <v>618</v>
      </c>
      <c r="BO3800" s="2" t="s">
        <v>12083</v>
      </c>
      <c r="BP3800" s="2">
        <v>47</v>
      </c>
      <c r="BQ3800" s="2" t="s">
        <v>4078</v>
      </c>
      <c r="BR3800" s="2" t="s">
        <v>5025</v>
      </c>
      <c r="BS3800" s="3">
        <v>40436</v>
      </c>
      <c r="BT3800" s="4">
        <v>0.85060185185185189</v>
      </c>
    </row>
    <row r="3801" spans="1:72" x14ac:dyDescent="0.25">
      <c r="A3801" s="2">
        <v>5634</v>
      </c>
      <c r="B3801" s="2">
        <v>2010</v>
      </c>
      <c r="C3801" s="2" t="s">
        <v>72</v>
      </c>
      <c r="D3801" s="2" t="s">
        <v>122</v>
      </c>
      <c r="E3801" s="2"/>
      <c r="F3801" s="2">
        <v>3</v>
      </c>
      <c r="G3801" s="2" t="s">
        <v>1041</v>
      </c>
      <c r="H3801" s="2">
        <v>1</v>
      </c>
      <c r="I3801" s="2" t="s">
        <v>82</v>
      </c>
      <c r="J3801" s="2">
        <v>368</v>
      </c>
      <c r="K3801" s="2" t="s">
        <v>1042</v>
      </c>
      <c r="L3801" s="2" t="s">
        <v>1043</v>
      </c>
      <c r="M3801" s="3">
        <v>40436</v>
      </c>
      <c r="N3801" s="2" t="s">
        <v>1893</v>
      </c>
      <c r="O3801" s="2" t="s">
        <v>116</v>
      </c>
      <c r="P3801" s="2" t="s">
        <v>11526</v>
      </c>
      <c r="Q3801" s="2" t="str">
        <f>"469-E/10"</f>
        <v>469-E/10</v>
      </c>
      <c r="R3801" s="2" t="s">
        <v>116</v>
      </c>
      <c r="S3801" s="2" t="s">
        <v>116</v>
      </c>
      <c r="T3801" s="2">
        <v>1</v>
      </c>
      <c r="U3801" s="2" t="s">
        <v>79</v>
      </c>
      <c r="V3801" s="2">
        <v>3</v>
      </c>
      <c r="W3801" s="2" t="s">
        <v>225</v>
      </c>
      <c r="X3801" s="2">
        <v>6</v>
      </c>
      <c r="Y3801" s="2" t="s">
        <v>249</v>
      </c>
      <c r="Z3801" s="2">
        <v>10</v>
      </c>
      <c r="AA3801" s="2" t="s">
        <v>236</v>
      </c>
      <c r="AB3801" s="2">
        <v>9</v>
      </c>
      <c r="AC3801" s="2" t="s">
        <v>124</v>
      </c>
      <c r="AD3801" s="3">
        <v>40436</v>
      </c>
      <c r="AE3801" s="4">
        <v>0.70833333333333337</v>
      </c>
      <c r="AF3801" s="3">
        <v>40436</v>
      </c>
      <c r="AG3801" s="4">
        <v>0.5</v>
      </c>
      <c r="AH3801" s="2">
        <v>2</v>
      </c>
      <c r="AI3801" s="2" t="s">
        <v>84</v>
      </c>
      <c r="AJ3801" s="2">
        <v>6</v>
      </c>
      <c r="AK3801" s="2" t="s">
        <v>453</v>
      </c>
      <c r="AL3801" s="2">
        <v>23</v>
      </c>
      <c r="AM3801" s="2" t="s">
        <v>251</v>
      </c>
      <c r="AN3801" s="2" t="s">
        <v>12084</v>
      </c>
      <c r="AO3801" s="2" t="s">
        <v>1394</v>
      </c>
      <c r="AP3801" s="2">
        <v>11</v>
      </c>
      <c r="AQ3801" s="2" t="s">
        <v>82</v>
      </c>
      <c r="AR3801" s="2"/>
      <c r="AS3801" s="2"/>
      <c r="AT3801" s="2" t="s">
        <v>12085</v>
      </c>
      <c r="AU3801" s="2"/>
      <c r="AV3801" s="2"/>
      <c r="AW3801" s="2"/>
      <c r="AX3801" s="2"/>
      <c r="AY3801" s="2">
        <v>41</v>
      </c>
      <c r="AZ3801" s="2" t="s">
        <v>82</v>
      </c>
      <c r="BA3801" s="2">
        <v>70</v>
      </c>
      <c r="BB3801" s="2" t="s">
        <v>236</v>
      </c>
      <c r="BC3801" s="2">
        <v>70</v>
      </c>
      <c r="BD3801" s="2" t="s">
        <v>236</v>
      </c>
      <c r="BE3801" s="2">
        <v>41</v>
      </c>
      <c r="BF3801" s="2" t="s">
        <v>82</v>
      </c>
      <c r="BG3801" s="2"/>
      <c r="BH3801" s="2"/>
      <c r="BI3801" s="2"/>
      <c r="BJ3801" s="2">
        <v>241</v>
      </c>
      <c r="BK3801" s="2" t="s">
        <v>82</v>
      </c>
      <c r="BL3801" s="2"/>
      <c r="BM3801" s="2">
        <v>241</v>
      </c>
      <c r="BN3801" s="2" t="s">
        <v>82</v>
      </c>
      <c r="BO3801" s="2"/>
      <c r="BP3801" s="2">
        <v>241</v>
      </c>
      <c r="BQ3801" s="2" t="s">
        <v>82</v>
      </c>
      <c r="BR3801" s="2"/>
      <c r="BS3801" s="3">
        <v>40436</v>
      </c>
      <c r="BT3801" s="4">
        <v>0.86756944444444439</v>
      </c>
    </row>
    <row r="3802" spans="1:72" x14ac:dyDescent="0.25">
      <c r="A3802" s="2">
        <v>5635</v>
      </c>
      <c r="B3802" s="2">
        <v>2010</v>
      </c>
      <c r="C3802" s="2" t="s">
        <v>93</v>
      </c>
      <c r="D3802" s="2" t="s">
        <v>73</v>
      </c>
      <c r="E3802" s="2"/>
      <c r="F3802" s="2">
        <v>209</v>
      </c>
      <c r="G3802" s="2" t="s">
        <v>8169</v>
      </c>
      <c r="H3802" s="2">
        <v>125</v>
      </c>
      <c r="I3802" s="2" t="s">
        <v>8170</v>
      </c>
      <c r="J3802" s="2">
        <v>663</v>
      </c>
      <c r="K3802" s="2" t="s">
        <v>12086</v>
      </c>
      <c r="L3802" s="2" t="s">
        <v>12087</v>
      </c>
      <c r="M3802" s="3">
        <v>40436</v>
      </c>
      <c r="N3802" s="2" t="s">
        <v>12088</v>
      </c>
      <c r="O3802" s="2" t="s">
        <v>107</v>
      </c>
      <c r="P3802" s="2">
        <v>23641</v>
      </c>
      <c r="Q3802" s="2" t="str">
        <f>"0011/2010"</f>
        <v>0011/2010</v>
      </c>
      <c r="R3802" s="2" t="s">
        <v>5681</v>
      </c>
      <c r="S3802" s="2"/>
      <c r="T3802" s="2">
        <v>1</v>
      </c>
      <c r="U3802" s="2" t="s">
        <v>79</v>
      </c>
      <c r="V3802" s="2">
        <v>1</v>
      </c>
      <c r="W3802" s="2" t="s">
        <v>80</v>
      </c>
      <c r="X3802" s="2">
        <v>1</v>
      </c>
      <c r="Y3802" s="2" t="s">
        <v>81</v>
      </c>
      <c r="Z3802" s="2">
        <v>1</v>
      </c>
      <c r="AA3802" s="2" t="s">
        <v>82</v>
      </c>
      <c r="AB3802" s="2">
        <v>2</v>
      </c>
      <c r="AC3802" s="2" t="s">
        <v>102</v>
      </c>
      <c r="AD3802" s="3">
        <v>40436</v>
      </c>
      <c r="AE3802" s="4">
        <v>0.80555555555555547</v>
      </c>
      <c r="AF3802" s="2"/>
      <c r="AG3802" s="2"/>
      <c r="AH3802" s="2">
        <v>5</v>
      </c>
      <c r="AI3802" s="2" t="s">
        <v>274</v>
      </c>
      <c r="AJ3802" s="2">
        <v>45</v>
      </c>
      <c r="AK3802" s="2" t="s">
        <v>834</v>
      </c>
      <c r="AL3802" s="2">
        <v>11</v>
      </c>
      <c r="AM3802" s="2" t="s">
        <v>137</v>
      </c>
      <c r="AN3802" s="2" t="s">
        <v>12089</v>
      </c>
      <c r="AO3802" s="2" t="s">
        <v>82</v>
      </c>
      <c r="AP3802" s="2">
        <v>11</v>
      </c>
      <c r="AQ3802" s="2" t="s">
        <v>82</v>
      </c>
      <c r="AR3802" s="2" t="s">
        <v>82</v>
      </c>
      <c r="AS3802" s="2" t="s">
        <v>82</v>
      </c>
      <c r="AT3802" s="2" t="s">
        <v>12090</v>
      </c>
      <c r="AU3802" s="2"/>
      <c r="AV3802" s="2"/>
      <c r="AW3802" s="2">
        <v>1</v>
      </c>
      <c r="AX3802" s="2"/>
      <c r="AY3802" s="2">
        <v>41</v>
      </c>
      <c r="AZ3802" s="2" t="s">
        <v>82</v>
      </c>
      <c r="BA3802" s="2">
        <v>41</v>
      </c>
      <c r="BB3802" s="2" t="s">
        <v>82</v>
      </c>
      <c r="BC3802" s="2">
        <v>41</v>
      </c>
      <c r="BD3802" s="2" t="s">
        <v>82</v>
      </c>
      <c r="BE3802" s="2">
        <v>45</v>
      </c>
      <c r="BF3802" s="2" t="s">
        <v>1855</v>
      </c>
      <c r="BG3802" s="2">
        <v>5628</v>
      </c>
      <c r="BH3802" s="2"/>
      <c r="BI3802" s="4">
        <v>0.81944444444444453</v>
      </c>
      <c r="BJ3802" s="2">
        <v>13</v>
      </c>
      <c r="BK3802" s="2" t="s">
        <v>91</v>
      </c>
      <c r="BL3802" s="2" t="s">
        <v>1705</v>
      </c>
      <c r="BM3802" s="2">
        <v>241</v>
      </c>
      <c r="BN3802" s="2" t="s">
        <v>82</v>
      </c>
      <c r="BO3802" s="2"/>
      <c r="BP3802" s="2">
        <v>13</v>
      </c>
      <c r="BQ3802" s="2" t="s">
        <v>91</v>
      </c>
      <c r="BR3802" s="2" t="s">
        <v>170</v>
      </c>
      <c r="BS3802" s="3">
        <v>40436</v>
      </c>
      <c r="BT3802" s="4">
        <v>0.89792824074074085</v>
      </c>
    </row>
    <row r="3803" spans="1:72" x14ac:dyDescent="0.25">
      <c r="A3803" s="2">
        <v>5636</v>
      </c>
      <c r="B3803" s="2">
        <v>2010</v>
      </c>
      <c r="C3803" s="2" t="s">
        <v>171</v>
      </c>
      <c r="D3803" s="2" t="s">
        <v>73</v>
      </c>
      <c r="E3803" s="2"/>
      <c r="F3803" s="2">
        <v>92</v>
      </c>
      <c r="G3803" s="2" t="s">
        <v>1432</v>
      </c>
      <c r="H3803" s="2">
        <v>42</v>
      </c>
      <c r="I3803" s="2" t="s">
        <v>1096</v>
      </c>
      <c r="J3803" s="2">
        <v>119</v>
      </c>
      <c r="K3803" s="2" t="s">
        <v>325</v>
      </c>
      <c r="L3803" s="2" t="s">
        <v>326</v>
      </c>
      <c r="M3803" s="3">
        <v>40436</v>
      </c>
      <c r="N3803" s="2" t="s">
        <v>3905</v>
      </c>
      <c r="O3803" s="2" t="s">
        <v>107</v>
      </c>
      <c r="P3803" s="2" t="s">
        <v>107</v>
      </c>
      <c r="Q3803" s="2" t="str">
        <f>"041/2010"</f>
        <v>041/2010</v>
      </c>
      <c r="R3803" s="2" t="s">
        <v>12091</v>
      </c>
      <c r="S3803" s="2" t="s">
        <v>12091</v>
      </c>
      <c r="T3803" s="2">
        <v>1</v>
      </c>
      <c r="U3803" s="2" t="s">
        <v>79</v>
      </c>
      <c r="V3803" s="2">
        <v>1</v>
      </c>
      <c r="W3803" s="2" t="s">
        <v>80</v>
      </c>
      <c r="X3803" s="2">
        <v>1</v>
      </c>
      <c r="Y3803" s="2" t="s">
        <v>81</v>
      </c>
      <c r="Z3803" s="2">
        <v>1</v>
      </c>
      <c r="AA3803" s="2" t="s">
        <v>82</v>
      </c>
      <c r="AB3803" s="2">
        <v>1</v>
      </c>
      <c r="AC3803" s="2" t="s">
        <v>178</v>
      </c>
      <c r="AD3803" s="3">
        <v>40436</v>
      </c>
      <c r="AE3803" s="4">
        <v>0.88541666666666663</v>
      </c>
      <c r="AF3803" s="2"/>
      <c r="AG3803" s="2"/>
      <c r="AH3803" s="2">
        <v>6</v>
      </c>
      <c r="AI3803" s="2" t="s">
        <v>197</v>
      </c>
      <c r="AJ3803" s="2">
        <v>50</v>
      </c>
      <c r="AK3803" s="2" t="s">
        <v>330</v>
      </c>
      <c r="AL3803" s="2">
        <v>11</v>
      </c>
      <c r="AM3803" s="2" t="s">
        <v>137</v>
      </c>
      <c r="AN3803" s="2" t="s">
        <v>12092</v>
      </c>
      <c r="AO3803" s="2"/>
      <c r="AP3803" s="2">
        <v>11</v>
      </c>
      <c r="AQ3803" s="2" t="s">
        <v>82</v>
      </c>
      <c r="AR3803" s="2"/>
      <c r="AS3803" s="2"/>
      <c r="AT3803" s="2" t="s">
        <v>12093</v>
      </c>
      <c r="AU3803" s="2"/>
      <c r="AV3803" s="2"/>
      <c r="AW3803" s="2"/>
      <c r="AX3803" s="2"/>
      <c r="AY3803" s="2">
        <v>41</v>
      </c>
      <c r="AZ3803" s="2" t="s">
        <v>82</v>
      </c>
      <c r="BA3803" s="2">
        <v>41</v>
      </c>
      <c r="BB3803" s="2" t="s">
        <v>82</v>
      </c>
      <c r="BC3803" s="2">
        <v>41</v>
      </c>
      <c r="BD3803" s="2" t="s">
        <v>82</v>
      </c>
      <c r="BE3803" s="2">
        <v>13</v>
      </c>
      <c r="BF3803" s="2" t="s">
        <v>108</v>
      </c>
      <c r="BG3803" s="2">
        <v>1695</v>
      </c>
      <c r="BH3803" s="4">
        <v>0.88541666666666663</v>
      </c>
      <c r="BI3803" s="4">
        <v>0.90625</v>
      </c>
      <c r="BJ3803" s="2">
        <v>13</v>
      </c>
      <c r="BK3803" s="2" t="s">
        <v>91</v>
      </c>
      <c r="BL3803" s="2" t="s">
        <v>204</v>
      </c>
      <c r="BM3803" s="2">
        <v>241</v>
      </c>
      <c r="BN3803" s="2" t="s">
        <v>82</v>
      </c>
      <c r="BO3803" s="2" t="s">
        <v>332</v>
      </c>
      <c r="BP3803" s="2">
        <v>13</v>
      </c>
      <c r="BQ3803" s="2" t="s">
        <v>91</v>
      </c>
      <c r="BR3803" s="2" t="s">
        <v>170</v>
      </c>
      <c r="BS3803" s="3">
        <v>40436</v>
      </c>
      <c r="BT3803" s="4">
        <v>0.99349537037037028</v>
      </c>
    </row>
    <row r="3804" spans="1:72" x14ac:dyDescent="0.25">
      <c r="A3804" s="2">
        <v>5638</v>
      </c>
      <c r="B3804" s="2">
        <v>2010</v>
      </c>
      <c r="C3804" s="2" t="s">
        <v>93</v>
      </c>
      <c r="D3804" s="2" t="s">
        <v>122</v>
      </c>
      <c r="E3804" s="2" t="s">
        <v>12094</v>
      </c>
      <c r="F3804" s="2">
        <v>209</v>
      </c>
      <c r="G3804" s="2" t="s">
        <v>8169</v>
      </c>
      <c r="H3804" s="2">
        <v>125</v>
      </c>
      <c r="I3804" s="2" t="s">
        <v>8170</v>
      </c>
      <c r="J3804" s="2">
        <v>663</v>
      </c>
      <c r="K3804" s="2" t="s">
        <v>12086</v>
      </c>
      <c r="L3804" s="2" t="s">
        <v>12087</v>
      </c>
      <c r="M3804" s="3">
        <v>40437</v>
      </c>
      <c r="N3804" s="2" t="s">
        <v>12088</v>
      </c>
      <c r="O3804" s="2" t="s">
        <v>107</v>
      </c>
      <c r="P3804" s="2">
        <v>23641</v>
      </c>
      <c r="Q3804" s="2" t="str">
        <f>"NRO 07/2010"</f>
        <v>NRO 07/2010</v>
      </c>
      <c r="R3804" s="2" t="s">
        <v>82</v>
      </c>
      <c r="S3804" s="2" t="s">
        <v>5681</v>
      </c>
      <c r="T3804" s="2">
        <v>1</v>
      </c>
      <c r="U3804" s="2" t="s">
        <v>79</v>
      </c>
      <c r="V3804" s="2">
        <v>1</v>
      </c>
      <c r="W3804" s="2" t="s">
        <v>80</v>
      </c>
      <c r="X3804" s="2">
        <v>1</v>
      </c>
      <c r="Y3804" s="2" t="s">
        <v>81</v>
      </c>
      <c r="Z3804" s="2">
        <v>1</v>
      </c>
      <c r="AA3804" s="2" t="s">
        <v>82</v>
      </c>
      <c r="AB3804" s="2">
        <v>2</v>
      </c>
      <c r="AC3804" s="2" t="s">
        <v>102</v>
      </c>
      <c r="AD3804" s="3">
        <v>40436</v>
      </c>
      <c r="AE3804" s="4">
        <v>0.8125</v>
      </c>
      <c r="AF3804" s="2"/>
      <c r="AG3804" s="2"/>
      <c r="AH3804" s="2">
        <v>5</v>
      </c>
      <c r="AI3804" s="2" t="s">
        <v>274</v>
      </c>
      <c r="AJ3804" s="2">
        <v>45</v>
      </c>
      <c r="AK3804" s="2" t="s">
        <v>834</v>
      </c>
      <c r="AL3804" s="2">
        <v>11</v>
      </c>
      <c r="AM3804" s="2" t="s">
        <v>137</v>
      </c>
      <c r="AN3804" s="2" t="s">
        <v>12089</v>
      </c>
      <c r="AO3804" s="2" t="s">
        <v>82</v>
      </c>
      <c r="AP3804" s="2">
        <v>11</v>
      </c>
      <c r="AQ3804" s="2" t="s">
        <v>82</v>
      </c>
      <c r="AR3804" s="2" t="s">
        <v>82</v>
      </c>
      <c r="AS3804" s="2" t="s">
        <v>82</v>
      </c>
      <c r="AT3804" s="2" t="s">
        <v>12095</v>
      </c>
      <c r="AU3804" s="2"/>
      <c r="AV3804" s="2"/>
      <c r="AW3804" s="2">
        <v>1</v>
      </c>
      <c r="AX3804" s="2"/>
      <c r="AY3804" s="2">
        <v>41</v>
      </c>
      <c r="AZ3804" s="2" t="s">
        <v>82</v>
      </c>
      <c r="BA3804" s="2">
        <v>41</v>
      </c>
      <c r="BB3804" s="2" t="s">
        <v>82</v>
      </c>
      <c r="BC3804" s="2">
        <v>41</v>
      </c>
      <c r="BD3804" s="2" t="s">
        <v>82</v>
      </c>
      <c r="BE3804" s="2">
        <v>45</v>
      </c>
      <c r="BF3804" s="2" t="s">
        <v>1855</v>
      </c>
      <c r="BG3804" s="2">
        <v>5628</v>
      </c>
      <c r="BH3804" s="2"/>
      <c r="BI3804" s="4">
        <v>0.81944444444444453</v>
      </c>
      <c r="BJ3804" s="2">
        <v>13</v>
      </c>
      <c r="BK3804" s="2" t="s">
        <v>91</v>
      </c>
      <c r="BL3804" s="2" t="s">
        <v>1705</v>
      </c>
      <c r="BM3804" s="2">
        <v>13</v>
      </c>
      <c r="BN3804" s="2" t="s">
        <v>91</v>
      </c>
      <c r="BO3804" s="2" t="s">
        <v>534</v>
      </c>
      <c r="BP3804" s="2">
        <v>13</v>
      </c>
      <c r="BQ3804" s="2" t="s">
        <v>91</v>
      </c>
      <c r="BR3804" s="2" t="s">
        <v>1705</v>
      </c>
      <c r="BS3804" s="3">
        <v>40437</v>
      </c>
      <c r="BT3804" s="4">
        <v>3.802083333333333E-2</v>
      </c>
    </row>
    <row r="3805" spans="1:72" x14ac:dyDescent="0.25">
      <c r="A3805" s="2">
        <v>5639</v>
      </c>
      <c r="B3805" s="2">
        <v>2010</v>
      </c>
      <c r="C3805" s="2" t="s">
        <v>72</v>
      </c>
      <c r="D3805" s="2" t="s">
        <v>73</v>
      </c>
      <c r="E3805" s="2"/>
      <c r="F3805" s="2">
        <v>3</v>
      </c>
      <c r="G3805" s="2" t="s">
        <v>1041</v>
      </c>
      <c r="H3805" s="2">
        <v>1</v>
      </c>
      <c r="I3805" s="2" t="s">
        <v>82</v>
      </c>
      <c r="J3805" s="2">
        <v>368</v>
      </c>
      <c r="K3805" s="2" t="s">
        <v>1042</v>
      </c>
      <c r="L3805" s="2" t="s">
        <v>1043</v>
      </c>
      <c r="M3805" s="3">
        <v>40437</v>
      </c>
      <c r="N3805" s="2"/>
      <c r="O3805" s="2"/>
      <c r="P3805" s="2"/>
      <c r="Q3805" s="2" t="str">
        <f>"469-E/10"</f>
        <v>469-E/10</v>
      </c>
      <c r="R3805" s="2" t="s">
        <v>116</v>
      </c>
      <c r="S3805" s="2" t="s">
        <v>116</v>
      </c>
      <c r="T3805" s="2">
        <v>1</v>
      </c>
      <c r="U3805" s="2" t="s">
        <v>79</v>
      </c>
      <c r="V3805" s="2">
        <v>1</v>
      </c>
      <c r="W3805" s="2" t="s">
        <v>80</v>
      </c>
      <c r="X3805" s="2">
        <v>12</v>
      </c>
      <c r="Y3805" s="2" t="s">
        <v>148</v>
      </c>
      <c r="Z3805" s="2">
        <v>1</v>
      </c>
      <c r="AA3805" s="2" t="s">
        <v>82</v>
      </c>
      <c r="AB3805" s="2">
        <v>6</v>
      </c>
      <c r="AC3805" s="2" t="s">
        <v>83</v>
      </c>
      <c r="AD3805" s="3">
        <v>40436</v>
      </c>
      <c r="AE3805" s="2"/>
      <c r="AF3805" s="3">
        <v>40436</v>
      </c>
      <c r="AG3805" s="4">
        <v>0.5</v>
      </c>
      <c r="AH3805" s="2">
        <v>2</v>
      </c>
      <c r="AI3805" s="2" t="s">
        <v>84</v>
      </c>
      <c r="AJ3805" s="2">
        <v>9</v>
      </c>
      <c r="AK3805" s="2" t="s">
        <v>103</v>
      </c>
      <c r="AL3805" s="2">
        <v>12</v>
      </c>
      <c r="AM3805" s="2" t="s">
        <v>86</v>
      </c>
      <c r="AN3805" s="2" t="s">
        <v>12096</v>
      </c>
      <c r="AO3805" s="2" t="s">
        <v>1081</v>
      </c>
      <c r="AP3805" s="2">
        <v>11</v>
      </c>
      <c r="AQ3805" s="2" t="s">
        <v>82</v>
      </c>
      <c r="AR3805" s="2"/>
      <c r="AS3805" s="2"/>
      <c r="AT3805" s="2" t="s">
        <v>12097</v>
      </c>
      <c r="AU3805" s="2"/>
      <c r="AV3805" s="2"/>
      <c r="AW3805" s="2"/>
      <c r="AX3805" s="2"/>
      <c r="AY3805" s="2">
        <v>41</v>
      </c>
      <c r="AZ3805" s="2" t="s">
        <v>82</v>
      </c>
      <c r="BA3805" s="2">
        <v>41</v>
      </c>
      <c r="BB3805" s="2" t="s">
        <v>82</v>
      </c>
      <c r="BC3805" s="2">
        <v>41</v>
      </c>
      <c r="BD3805" s="2" t="s">
        <v>82</v>
      </c>
      <c r="BE3805" s="2">
        <v>41</v>
      </c>
      <c r="BF3805" s="2" t="s">
        <v>82</v>
      </c>
      <c r="BG3805" s="2"/>
      <c r="BH3805" s="2"/>
      <c r="BI3805" s="2"/>
      <c r="BJ3805" s="2">
        <v>241</v>
      </c>
      <c r="BK3805" s="2" t="s">
        <v>82</v>
      </c>
      <c r="BL3805" s="2"/>
      <c r="BM3805" s="2">
        <v>241</v>
      </c>
      <c r="BN3805" s="2" t="s">
        <v>82</v>
      </c>
      <c r="BO3805" s="2"/>
      <c r="BP3805" s="2">
        <v>241</v>
      </c>
      <c r="BQ3805" s="2" t="s">
        <v>82</v>
      </c>
      <c r="BR3805" s="2"/>
      <c r="BS3805" s="3">
        <v>40437</v>
      </c>
      <c r="BT3805" s="4">
        <v>0.33067129629629627</v>
      </c>
    </row>
    <row r="3806" spans="1:72" x14ac:dyDescent="0.25">
      <c r="A3806" s="2">
        <v>5646</v>
      </c>
      <c r="B3806" s="2">
        <v>2010</v>
      </c>
      <c r="C3806" s="2" t="s">
        <v>147</v>
      </c>
      <c r="D3806" s="2" t="s">
        <v>73</v>
      </c>
      <c r="E3806" s="2"/>
      <c r="F3806" s="2">
        <v>1</v>
      </c>
      <c r="G3806" s="2" t="s">
        <v>82</v>
      </c>
      <c r="H3806" s="2">
        <v>1</v>
      </c>
      <c r="I3806" s="2" t="s">
        <v>82</v>
      </c>
      <c r="J3806" s="2">
        <v>1</v>
      </c>
      <c r="K3806" s="2" t="s">
        <v>107</v>
      </c>
      <c r="L3806" s="2" t="s">
        <v>107</v>
      </c>
      <c r="M3806" s="3">
        <v>40437</v>
      </c>
      <c r="N3806" s="2"/>
      <c r="O3806" s="2"/>
      <c r="P3806" s="2"/>
      <c r="Q3806" s="2" t="str">
        <f>""</f>
        <v/>
      </c>
      <c r="R3806" s="2"/>
      <c r="S3806" s="2"/>
      <c r="T3806" s="2">
        <v>2</v>
      </c>
      <c r="U3806" s="2" t="s">
        <v>123</v>
      </c>
      <c r="V3806" s="2">
        <v>1</v>
      </c>
      <c r="W3806" s="2" t="s">
        <v>80</v>
      </c>
      <c r="X3806" s="2">
        <v>12</v>
      </c>
      <c r="Y3806" s="2" t="s">
        <v>148</v>
      </c>
      <c r="Z3806" s="2">
        <v>1</v>
      </c>
      <c r="AA3806" s="2" t="s">
        <v>82</v>
      </c>
      <c r="AB3806" s="2">
        <v>9</v>
      </c>
      <c r="AC3806" s="2" t="s">
        <v>124</v>
      </c>
      <c r="AD3806" s="2"/>
      <c r="AE3806" s="2"/>
      <c r="AF3806" s="3">
        <v>40437</v>
      </c>
      <c r="AG3806" s="4">
        <v>0.45833333333333331</v>
      </c>
      <c r="AH3806" s="2">
        <v>2</v>
      </c>
      <c r="AI3806" s="2" t="s">
        <v>84</v>
      </c>
      <c r="AJ3806" s="2">
        <v>11</v>
      </c>
      <c r="AK3806" s="2" t="s">
        <v>751</v>
      </c>
      <c r="AL3806" s="2">
        <v>19</v>
      </c>
      <c r="AM3806" s="2" t="s">
        <v>107</v>
      </c>
      <c r="AN3806" s="2"/>
      <c r="AO3806" s="2" t="s">
        <v>12098</v>
      </c>
      <c r="AP3806" s="2">
        <v>11</v>
      </c>
      <c r="AQ3806" s="2" t="s">
        <v>82</v>
      </c>
      <c r="AR3806" s="2"/>
      <c r="AS3806" s="2"/>
      <c r="AT3806" s="2" t="s">
        <v>12099</v>
      </c>
      <c r="AU3806" s="2"/>
      <c r="AV3806" s="2"/>
      <c r="AW3806" s="2"/>
      <c r="AX3806" s="2"/>
      <c r="AY3806" s="2">
        <v>41</v>
      </c>
      <c r="AZ3806" s="2" t="s">
        <v>82</v>
      </c>
      <c r="BA3806" s="2">
        <v>41</v>
      </c>
      <c r="BB3806" s="2" t="s">
        <v>82</v>
      </c>
      <c r="BC3806" s="2">
        <v>41</v>
      </c>
      <c r="BD3806" s="2" t="s">
        <v>82</v>
      </c>
      <c r="BE3806" s="2">
        <v>41</v>
      </c>
      <c r="BF3806" s="2" t="s">
        <v>82</v>
      </c>
      <c r="BG3806" s="2"/>
      <c r="BH3806" s="2"/>
      <c r="BI3806" s="2"/>
      <c r="BJ3806" s="2">
        <v>241</v>
      </c>
      <c r="BK3806" s="2" t="s">
        <v>82</v>
      </c>
      <c r="BL3806" s="2"/>
      <c r="BM3806" s="2">
        <v>241</v>
      </c>
      <c r="BN3806" s="2" t="s">
        <v>82</v>
      </c>
      <c r="BO3806" s="2"/>
      <c r="BP3806" s="2">
        <v>241</v>
      </c>
      <c r="BQ3806" s="2" t="s">
        <v>82</v>
      </c>
      <c r="BR3806" s="2"/>
      <c r="BS3806" s="3">
        <v>40437</v>
      </c>
      <c r="BT3806" s="4">
        <v>0.51065972222222222</v>
      </c>
    </row>
    <row r="3807" spans="1:72" x14ac:dyDescent="0.25">
      <c r="A3807" s="2">
        <v>5647</v>
      </c>
      <c r="B3807" s="2">
        <v>2010</v>
      </c>
      <c r="C3807" s="2" t="s">
        <v>819</v>
      </c>
      <c r="D3807" s="2" t="s">
        <v>122</v>
      </c>
      <c r="E3807" s="2" t="s">
        <v>12100</v>
      </c>
      <c r="F3807" s="2">
        <v>451</v>
      </c>
      <c r="G3807" s="2" t="s">
        <v>879</v>
      </c>
      <c r="H3807" s="2">
        <v>31</v>
      </c>
      <c r="I3807" s="2" t="s">
        <v>880</v>
      </c>
      <c r="J3807" s="2">
        <v>326</v>
      </c>
      <c r="K3807" s="2" t="s">
        <v>881</v>
      </c>
      <c r="L3807" s="2" t="s">
        <v>882</v>
      </c>
      <c r="M3807" s="3">
        <v>40437</v>
      </c>
      <c r="N3807" s="2" t="s">
        <v>1072</v>
      </c>
      <c r="O3807" s="2"/>
      <c r="P3807" s="2"/>
      <c r="Q3807" s="2" t="str">
        <f>"094/10"</f>
        <v>094/10</v>
      </c>
      <c r="R3807" s="2" t="s">
        <v>822</v>
      </c>
      <c r="S3807" s="2"/>
      <c r="T3807" s="2">
        <v>1</v>
      </c>
      <c r="U3807" s="2" t="s">
        <v>79</v>
      </c>
      <c r="V3807" s="2">
        <v>1</v>
      </c>
      <c r="W3807" s="2" t="s">
        <v>80</v>
      </c>
      <c r="X3807" s="2">
        <v>1</v>
      </c>
      <c r="Y3807" s="2" t="s">
        <v>81</v>
      </c>
      <c r="Z3807" s="2">
        <v>10</v>
      </c>
      <c r="AA3807" s="2" t="s">
        <v>236</v>
      </c>
      <c r="AB3807" s="2">
        <v>9</v>
      </c>
      <c r="AC3807" s="2" t="s">
        <v>124</v>
      </c>
      <c r="AD3807" s="3">
        <v>40437</v>
      </c>
      <c r="AE3807" s="4">
        <v>0.39583333333333331</v>
      </c>
      <c r="AF3807" s="2"/>
      <c r="AG3807" s="2"/>
      <c r="AH3807" s="2">
        <v>4</v>
      </c>
      <c r="AI3807" s="2" t="s">
        <v>125</v>
      </c>
      <c r="AJ3807" s="2">
        <v>29</v>
      </c>
      <c r="AK3807" s="2" t="s">
        <v>227</v>
      </c>
      <c r="AL3807" s="2">
        <v>16</v>
      </c>
      <c r="AM3807" s="2" t="s">
        <v>392</v>
      </c>
      <c r="AN3807" s="2" t="s">
        <v>883</v>
      </c>
      <c r="AO3807" s="2" t="s">
        <v>3718</v>
      </c>
      <c r="AP3807" s="2">
        <v>12</v>
      </c>
      <c r="AQ3807" s="2" t="s">
        <v>322</v>
      </c>
      <c r="AR3807" s="2" t="s">
        <v>824</v>
      </c>
      <c r="AS3807" s="2" t="s">
        <v>884</v>
      </c>
      <c r="AT3807" s="2" t="s">
        <v>12101</v>
      </c>
      <c r="AU3807" s="2"/>
      <c r="AV3807" s="2"/>
      <c r="AW3807" s="2"/>
      <c r="AX3807" s="2"/>
      <c r="AY3807" s="2">
        <v>41</v>
      </c>
      <c r="AZ3807" s="2" t="s">
        <v>82</v>
      </c>
      <c r="BA3807" s="2">
        <v>41</v>
      </c>
      <c r="BB3807" s="2" t="s">
        <v>82</v>
      </c>
      <c r="BC3807" s="2">
        <v>41</v>
      </c>
      <c r="BD3807" s="2" t="s">
        <v>82</v>
      </c>
      <c r="BE3807" s="2">
        <v>13</v>
      </c>
      <c r="BF3807" s="2" t="s">
        <v>108</v>
      </c>
      <c r="BG3807" s="2">
        <v>1459</v>
      </c>
      <c r="BH3807" s="4">
        <v>0.89583333333333337</v>
      </c>
      <c r="BI3807" s="4">
        <v>0.93055555555555547</v>
      </c>
      <c r="BJ3807" s="2">
        <v>13</v>
      </c>
      <c r="BK3807" s="2" t="s">
        <v>91</v>
      </c>
      <c r="BL3807" s="2" t="s">
        <v>828</v>
      </c>
      <c r="BM3807" s="2">
        <v>241</v>
      </c>
      <c r="BN3807" s="2" t="s">
        <v>82</v>
      </c>
      <c r="BO3807" s="2" t="s">
        <v>82</v>
      </c>
      <c r="BP3807" s="2">
        <v>13</v>
      </c>
      <c r="BQ3807" s="2" t="s">
        <v>91</v>
      </c>
      <c r="BR3807" s="2" t="s">
        <v>185</v>
      </c>
      <c r="BS3807" s="3">
        <v>40437</v>
      </c>
      <c r="BT3807" s="4">
        <v>0.54199074074074072</v>
      </c>
    </row>
    <row r="3808" spans="1:72" x14ac:dyDescent="0.25">
      <c r="A3808" s="2">
        <v>5648</v>
      </c>
      <c r="B3808" s="2">
        <v>2010</v>
      </c>
      <c r="C3808" s="2" t="s">
        <v>147</v>
      </c>
      <c r="D3808" s="2" t="s">
        <v>122</v>
      </c>
      <c r="E3808" s="2"/>
      <c r="F3808" s="2">
        <v>1</v>
      </c>
      <c r="G3808" s="2" t="s">
        <v>82</v>
      </c>
      <c r="H3808" s="2">
        <v>1</v>
      </c>
      <c r="I3808" s="2" t="s">
        <v>82</v>
      </c>
      <c r="J3808" s="2">
        <v>1</v>
      </c>
      <c r="K3808" s="2" t="s">
        <v>107</v>
      </c>
      <c r="L3808" s="2" t="s">
        <v>107</v>
      </c>
      <c r="M3808" s="3">
        <v>40437</v>
      </c>
      <c r="N3808" s="2"/>
      <c r="O3808" s="2"/>
      <c r="P3808" s="2"/>
      <c r="Q3808" s="2" t="str">
        <f>""</f>
        <v/>
      </c>
      <c r="R3808" s="2"/>
      <c r="S3808" s="2"/>
      <c r="T3808" s="2">
        <v>2</v>
      </c>
      <c r="U3808" s="2" t="s">
        <v>123</v>
      </c>
      <c r="V3808" s="2">
        <v>1</v>
      </c>
      <c r="W3808" s="2" t="s">
        <v>80</v>
      </c>
      <c r="X3808" s="2">
        <v>12</v>
      </c>
      <c r="Y3808" s="2" t="s">
        <v>148</v>
      </c>
      <c r="Z3808" s="2">
        <v>1</v>
      </c>
      <c r="AA3808" s="2" t="s">
        <v>82</v>
      </c>
      <c r="AB3808" s="2">
        <v>9</v>
      </c>
      <c r="AC3808" s="2" t="s">
        <v>124</v>
      </c>
      <c r="AD3808" s="3">
        <v>40436</v>
      </c>
      <c r="AE3808" s="4">
        <v>0.5625</v>
      </c>
      <c r="AF3808" s="3">
        <v>40437</v>
      </c>
      <c r="AG3808" s="4">
        <v>0.49305555555555558</v>
      </c>
      <c r="AH3808" s="2">
        <v>4</v>
      </c>
      <c r="AI3808" s="2" t="s">
        <v>125</v>
      </c>
      <c r="AJ3808" s="2">
        <v>30</v>
      </c>
      <c r="AK3808" s="2" t="s">
        <v>258</v>
      </c>
      <c r="AL3808" s="2">
        <v>19</v>
      </c>
      <c r="AM3808" s="2" t="s">
        <v>107</v>
      </c>
      <c r="AN3808" s="2"/>
      <c r="AO3808" s="2"/>
      <c r="AP3808" s="2">
        <v>11</v>
      </c>
      <c r="AQ3808" s="2" t="s">
        <v>82</v>
      </c>
      <c r="AR3808" s="2"/>
      <c r="AS3808" s="2"/>
      <c r="AT3808" s="2" t="s">
        <v>12102</v>
      </c>
      <c r="AU3808" s="2"/>
      <c r="AV3808" s="2"/>
      <c r="AW3808" s="2"/>
      <c r="AX3808" s="2"/>
      <c r="AY3808" s="2">
        <v>41</v>
      </c>
      <c r="AZ3808" s="2" t="s">
        <v>82</v>
      </c>
      <c r="BA3808" s="2">
        <v>41</v>
      </c>
      <c r="BB3808" s="2" t="s">
        <v>82</v>
      </c>
      <c r="BC3808" s="2">
        <v>41</v>
      </c>
      <c r="BD3808" s="2" t="s">
        <v>82</v>
      </c>
      <c r="BE3808" s="2">
        <v>41</v>
      </c>
      <c r="BF3808" s="2" t="s">
        <v>82</v>
      </c>
      <c r="BG3808" s="2"/>
      <c r="BH3808" s="2"/>
      <c r="BI3808" s="2"/>
      <c r="BJ3808" s="2">
        <v>241</v>
      </c>
      <c r="BK3808" s="2" t="s">
        <v>82</v>
      </c>
      <c r="BL3808" s="2"/>
      <c r="BM3808" s="2">
        <v>241</v>
      </c>
      <c r="BN3808" s="2" t="s">
        <v>82</v>
      </c>
      <c r="BO3808" s="2"/>
      <c r="BP3808" s="2">
        <v>241</v>
      </c>
      <c r="BQ3808" s="2" t="s">
        <v>82</v>
      </c>
      <c r="BR3808" s="2"/>
      <c r="BS3808" s="3">
        <v>40437</v>
      </c>
      <c r="BT3808" s="4">
        <v>0.58212962962962966</v>
      </c>
    </row>
    <row r="3809" spans="1:72" x14ac:dyDescent="0.25">
      <c r="A3809" s="2">
        <v>5650</v>
      </c>
      <c r="B3809" s="2">
        <v>2010</v>
      </c>
      <c r="C3809" s="2" t="s">
        <v>171</v>
      </c>
      <c r="D3809" s="2" t="s">
        <v>73</v>
      </c>
      <c r="E3809" s="2"/>
      <c r="F3809" s="2">
        <v>471</v>
      </c>
      <c r="G3809" s="2" t="s">
        <v>6201</v>
      </c>
      <c r="H3809" s="2">
        <v>66</v>
      </c>
      <c r="I3809" s="2" t="s">
        <v>3190</v>
      </c>
      <c r="J3809" s="2">
        <v>374</v>
      </c>
      <c r="K3809" s="2" t="s">
        <v>1191</v>
      </c>
      <c r="L3809" s="2" t="s">
        <v>132</v>
      </c>
      <c r="M3809" s="3">
        <v>40437</v>
      </c>
      <c r="N3809" s="2" t="s">
        <v>6995</v>
      </c>
      <c r="O3809" s="2" t="s">
        <v>12103</v>
      </c>
      <c r="P3809" s="2" t="s">
        <v>12104</v>
      </c>
      <c r="Q3809" s="2" t="str">
        <f>"0022/2010"</f>
        <v>0022/2010</v>
      </c>
      <c r="R3809" s="2"/>
      <c r="S3809" s="2" t="s">
        <v>12105</v>
      </c>
      <c r="T3809" s="2">
        <v>1</v>
      </c>
      <c r="U3809" s="2" t="s">
        <v>79</v>
      </c>
      <c r="V3809" s="2">
        <v>3</v>
      </c>
      <c r="W3809" s="2" t="s">
        <v>225</v>
      </c>
      <c r="X3809" s="2">
        <v>6</v>
      </c>
      <c r="Y3809" s="2" t="s">
        <v>249</v>
      </c>
      <c r="Z3809" s="2">
        <v>1</v>
      </c>
      <c r="AA3809" s="2" t="s">
        <v>82</v>
      </c>
      <c r="AB3809" s="2">
        <v>9</v>
      </c>
      <c r="AC3809" s="2" t="s">
        <v>124</v>
      </c>
      <c r="AD3809" s="3">
        <v>40437</v>
      </c>
      <c r="AE3809" s="2"/>
      <c r="AF3809" s="2"/>
      <c r="AG3809" s="2"/>
      <c r="AH3809" s="2">
        <v>5</v>
      </c>
      <c r="AI3809" s="2" t="s">
        <v>274</v>
      </c>
      <c r="AJ3809" s="2">
        <v>35</v>
      </c>
      <c r="AK3809" s="2" t="s">
        <v>275</v>
      </c>
      <c r="AL3809" s="2">
        <v>23</v>
      </c>
      <c r="AM3809" s="2" t="s">
        <v>251</v>
      </c>
      <c r="AN3809" s="2"/>
      <c r="AO3809" s="2" t="s">
        <v>12106</v>
      </c>
      <c r="AP3809" s="2">
        <v>11</v>
      </c>
      <c r="AQ3809" s="2" t="s">
        <v>82</v>
      </c>
      <c r="AR3809" s="2"/>
      <c r="AS3809" s="2"/>
      <c r="AT3809" s="2" t="s">
        <v>12107</v>
      </c>
      <c r="AU3809" s="2"/>
      <c r="AV3809" s="2"/>
      <c r="AW3809" s="2"/>
      <c r="AX3809" s="2"/>
      <c r="AY3809" s="2">
        <v>1</v>
      </c>
      <c r="AZ3809" s="2" t="s">
        <v>107</v>
      </c>
      <c r="BA3809" s="2">
        <v>1</v>
      </c>
      <c r="BB3809" s="2" t="s">
        <v>107</v>
      </c>
      <c r="BC3809" s="2">
        <v>1</v>
      </c>
      <c r="BD3809" s="2" t="s">
        <v>107</v>
      </c>
      <c r="BE3809" s="2">
        <v>1</v>
      </c>
      <c r="BF3809" s="2" t="s">
        <v>107</v>
      </c>
      <c r="BG3809" s="2"/>
      <c r="BH3809" s="2"/>
      <c r="BI3809" s="2"/>
      <c r="BJ3809" s="2">
        <v>242</v>
      </c>
      <c r="BK3809" s="2" t="s">
        <v>107</v>
      </c>
      <c r="BL3809" s="2"/>
      <c r="BM3809" s="2">
        <v>242</v>
      </c>
      <c r="BN3809" s="2" t="s">
        <v>107</v>
      </c>
      <c r="BO3809" s="2"/>
      <c r="BP3809" s="2">
        <v>242</v>
      </c>
      <c r="BQ3809" s="2" t="s">
        <v>107</v>
      </c>
      <c r="BR3809" s="2"/>
      <c r="BS3809" s="3">
        <v>40437</v>
      </c>
      <c r="BT3809" s="4">
        <v>0.77019675925925923</v>
      </c>
    </row>
    <row r="3810" spans="1:72" x14ac:dyDescent="0.25">
      <c r="A3810" s="2">
        <v>5651</v>
      </c>
      <c r="B3810" s="2">
        <v>2010</v>
      </c>
      <c r="C3810" s="2" t="s">
        <v>171</v>
      </c>
      <c r="D3810" s="2" t="s">
        <v>73</v>
      </c>
      <c r="E3810" s="2"/>
      <c r="F3810" s="2">
        <v>338</v>
      </c>
      <c r="G3810" s="2" t="s">
        <v>4459</v>
      </c>
      <c r="H3810" s="2">
        <v>2</v>
      </c>
      <c r="I3810" s="2" t="s">
        <v>267</v>
      </c>
      <c r="J3810" s="2">
        <v>309</v>
      </c>
      <c r="K3810" s="2" t="s">
        <v>268</v>
      </c>
      <c r="L3810" s="2" t="s">
        <v>269</v>
      </c>
      <c r="M3810" s="3">
        <v>40437</v>
      </c>
      <c r="N3810" s="2" t="s">
        <v>12108</v>
      </c>
      <c r="O3810" s="2" t="s">
        <v>12109</v>
      </c>
      <c r="P3810" s="2" t="s">
        <v>12110</v>
      </c>
      <c r="Q3810" s="2" t="str">
        <f>"0023/2010"</f>
        <v>0023/2010</v>
      </c>
      <c r="R3810" s="2"/>
      <c r="S3810" s="2" t="s">
        <v>12111</v>
      </c>
      <c r="T3810" s="2">
        <v>1</v>
      </c>
      <c r="U3810" s="2" t="s">
        <v>79</v>
      </c>
      <c r="V3810" s="2">
        <v>3</v>
      </c>
      <c r="W3810" s="2" t="s">
        <v>225</v>
      </c>
      <c r="X3810" s="2">
        <v>6</v>
      </c>
      <c r="Y3810" s="2" t="s">
        <v>249</v>
      </c>
      <c r="Z3810" s="2">
        <v>1</v>
      </c>
      <c r="AA3810" s="2" t="s">
        <v>82</v>
      </c>
      <c r="AB3810" s="2">
        <v>9</v>
      </c>
      <c r="AC3810" s="2" t="s">
        <v>124</v>
      </c>
      <c r="AD3810" s="3">
        <v>40437</v>
      </c>
      <c r="AE3810" s="2"/>
      <c r="AF3810" s="2"/>
      <c r="AG3810" s="2"/>
      <c r="AH3810" s="2">
        <v>5</v>
      </c>
      <c r="AI3810" s="2" t="s">
        <v>274</v>
      </c>
      <c r="AJ3810" s="2">
        <v>35</v>
      </c>
      <c r="AK3810" s="2" t="s">
        <v>275</v>
      </c>
      <c r="AL3810" s="2">
        <v>23</v>
      </c>
      <c r="AM3810" s="2" t="s">
        <v>251</v>
      </c>
      <c r="AN3810" s="2"/>
      <c r="AO3810" s="2" t="s">
        <v>10773</v>
      </c>
      <c r="AP3810" s="2">
        <v>11</v>
      </c>
      <c r="AQ3810" s="2" t="s">
        <v>82</v>
      </c>
      <c r="AR3810" s="2"/>
      <c r="AS3810" s="2"/>
      <c r="AT3810" s="2" t="s">
        <v>12112</v>
      </c>
      <c r="AU3810" s="2"/>
      <c r="AV3810" s="2"/>
      <c r="AW3810" s="2"/>
      <c r="AX3810" s="2"/>
      <c r="AY3810" s="2">
        <v>1</v>
      </c>
      <c r="AZ3810" s="2" t="s">
        <v>107</v>
      </c>
      <c r="BA3810" s="2">
        <v>1</v>
      </c>
      <c r="BB3810" s="2" t="s">
        <v>107</v>
      </c>
      <c r="BC3810" s="2">
        <v>1</v>
      </c>
      <c r="BD3810" s="2" t="s">
        <v>107</v>
      </c>
      <c r="BE3810" s="2">
        <v>1</v>
      </c>
      <c r="BF3810" s="2" t="s">
        <v>107</v>
      </c>
      <c r="BG3810" s="2"/>
      <c r="BH3810" s="2"/>
      <c r="BI3810" s="2"/>
      <c r="BJ3810" s="2">
        <v>242</v>
      </c>
      <c r="BK3810" s="2" t="s">
        <v>107</v>
      </c>
      <c r="BL3810" s="2"/>
      <c r="BM3810" s="2">
        <v>242</v>
      </c>
      <c r="BN3810" s="2" t="s">
        <v>107</v>
      </c>
      <c r="BO3810" s="2"/>
      <c r="BP3810" s="2">
        <v>242</v>
      </c>
      <c r="BQ3810" s="2" t="s">
        <v>107</v>
      </c>
      <c r="BR3810" s="2"/>
      <c r="BS3810" s="3">
        <v>40437</v>
      </c>
      <c r="BT3810" s="4">
        <v>0.77675925925925926</v>
      </c>
    </row>
    <row r="3811" spans="1:72" x14ac:dyDescent="0.25">
      <c r="A3811" s="2">
        <v>5653</v>
      </c>
      <c r="B3811" s="2">
        <v>2010</v>
      </c>
      <c r="C3811" s="2" t="s">
        <v>72</v>
      </c>
      <c r="D3811" s="2" t="s">
        <v>73</v>
      </c>
      <c r="E3811" s="2"/>
      <c r="F3811" s="2">
        <v>390</v>
      </c>
      <c r="G3811" s="2" t="s">
        <v>475</v>
      </c>
      <c r="H3811" s="2">
        <v>7</v>
      </c>
      <c r="I3811" s="2" t="s">
        <v>476</v>
      </c>
      <c r="J3811" s="2">
        <v>533</v>
      </c>
      <c r="K3811" s="2" t="s">
        <v>6511</v>
      </c>
      <c r="L3811" s="2" t="s">
        <v>478</v>
      </c>
      <c r="M3811" s="3">
        <v>40437</v>
      </c>
      <c r="N3811" s="2" t="s">
        <v>479</v>
      </c>
      <c r="O3811" s="2" t="s">
        <v>107</v>
      </c>
      <c r="P3811" s="2" t="s">
        <v>107</v>
      </c>
      <c r="Q3811" s="2" t="str">
        <f>"471-E/10"</f>
        <v>471-E/10</v>
      </c>
      <c r="R3811" s="2" t="s">
        <v>12113</v>
      </c>
      <c r="S3811" s="2" t="s">
        <v>12113</v>
      </c>
      <c r="T3811" s="2">
        <v>1</v>
      </c>
      <c r="U3811" s="2" t="s">
        <v>79</v>
      </c>
      <c r="V3811" s="2">
        <v>1</v>
      </c>
      <c r="W3811" s="2" t="s">
        <v>80</v>
      </c>
      <c r="X3811" s="2">
        <v>12</v>
      </c>
      <c r="Y3811" s="2" t="s">
        <v>148</v>
      </c>
      <c r="Z3811" s="2">
        <v>1</v>
      </c>
      <c r="AA3811" s="2" t="s">
        <v>82</v>
      </c>
      <c r="AB3811" s="2">
        <v>6</v>
      </c>
      <c r="AC3811" s="2" t="s">
        <v>83</v>
      </c>
      <c r="AD3811" s="3">
        <v>40424</v>
      </c>
      <c r="AE3811" s="2"/>
      <c r="AF3811" s="3">
        <v>40437</v>
      </c>
      <c r="AG3811" s="4">
        <v>0.34722222222222227</v>
      </c>
      <c r="AH3811" s="2">
        <v>2</v>
      </c>
      <c r="AI3811" s="2" t="s">
        <v>84</v>
      </c>
      <c r="AJ3811" s="2">
        <v>9</v>
      </c>
      <c r="AK3811" s="2" t="s">
        <v>103</v>
      </c>
      <c r="AL3811" s="2">
        <v>22</v>
      </c>
      <c r="AM3811" s="2" t="s">
        <v>1853</v>
      </c>
      <c r="AN3811" s="2" t="s">
        <v>12114</v>
      </c>
      <c r="AO3811" s="2" t="s">
        <v>12115</v>
      </c>
      <c r="AP3811" s="2">
        <v>11</v>
      </c>
      <c r="AQ3811" s="2" t="s">
        <v>82</v>
      </c>
      <c r="AR3811" s="2"/>
      <c r="AS3811" s="2"/>
      <c r="AT3811" s="2" t="s">
        <v>12116</v>
      </c>
      <c r="AU3811" s="2"/>
      <c r="AV3811" s="2"/>
      <c r="AW3811" s="2"/>
      <c r="AX3811" s="2"/>
      <c r="AY3811" s="2">
        <v>41</v>
      </c>
      <c r="AZ3811" s="2" t="s">
        <v>82</v>
      </c>
      <c r="BA3811" s="2">
        <v>41</v>
      </c>
      <c r="BB3811" s="2" t="s">
        <v>82</v>
      </c>
      <c r="BC3811" s="2">
        <v>41</v>
      </c>
      <c r="BD3811" s="2" t="s">
        <v>82</v>
      </c>
      <c r="BE3811" s="2">
        <v>23</v>
      </c>
      <c r="BF3811" s="2" t="s">
        <v>183</v>
      </c>
      <c r="BG3811" s="2" t="s">
        <v>9043</v>
      </c>
      <c r="BH3811" s="4">
        <v>0.99652777777777779</v>
      </c>
      <c r="BI3811" s="4">
        <v>0.55347222222222225</v>
      </c>
      <c r="BJ3811" s="2">
        <v>73</v>
      </c>
      <c r="BK3811" s="2" t="s">
        <v>186</v>
      </c>
      <c r="BL3811" s="2" t="s">
        <v>187</v>
      </c>
      <c r="BM3811" s="2">
        <v>13</v>
      </c>
      <c r="BN3811" s="2" t="s">
        <v>91</v>
      </c>
      <c r="BO3811" s="2"/>
      <c r="BP3811" s="2">
        <v>13</v>
      </c>
      <c r="BQ3811" s="2" t="s">
        <v>91</v>
      </c>
      <c r="BR3811" s="2" t="s">
        <v>360</v>
      </c>
      <c r="BS3811" s="3">
        <v>40437</v>
      </c>
      <c r="BT3811" s="4">
        <v>0.78954861111111108</v>
      </c>
    </row>
    <row r="3812" spans="1:72" x14ac:dyDescent="0.25">
      <c r="A3812" s="2">
        <v>5654</v>
      </c>
      <c r="B3812" s="2">
        <v>2010</v>
      </c>
      <c r="C3812" s="2" t="s">
        <v>72</v>
      </c>
      <c r="D3812" s="2" t="s">
        <v>122</v>
      </c>
      <c r="E3812" s="2" t="s">
        <v>12117</v>
      </c>
      <c r="F3812" s="2">
        <v>481</v>
      </c>
      <c r="G3812" s="2" t="s">
        <v>1438</v>
      </c>
      <c r="H3812" s="2">
        <v>1</v>
      </c>
      <c r="I3812" s="2" t="s">
        <v>82</v>
      </c>
      <c r="J3812" s="2">
        <v>57</v>
      </c>
      <c r="K3812" s="2" t="s">
        <v>431</v>
      </c>
      <c r="L3812" s="2" t="s">
        <v>432</v>
      </c>
      <c r="M3812" s="3">
        <v>40437</v>
      </c>
      <c r="N3812" s="2"/>
      <c r="O3812" s="2" t="s">
        <v>7781</v>
      </c>
      <c r="P3812" s="2"/>
      <c r="Q3812" s="2" t="str">
        <f>"42/10"</f>
        <v>42/10</v>
      </c>
      <c r="R3812" s="2"/>
      <c r="S3812" s="2" t="s">
        <v>7781</v>
      </c>
      <c r="T3812" s="2">
        <v>1</v>
      </c>
      <c r="U3812" s="2" t="s">
        <v>79</v>
      </c>
      <c r="V3812" s="2">
        <v>1</v>
      </c>
      <c r="W3812" s="2" t="s">
        <v>80</v>
      </c>
      <c r="X3812" s="2">
        <v>12</v>
      </c>
      <c r="Y3812" s="2" t="s">
        <v>148</v>
      </c>
      <c r="Z3812" s="2">
        <v>1</v>
      </c>
      <c r="AA3812" s="2" t="s">
        <v>82</v>
      </c>
      <c r="AB3812" s="2">
        <v>6</v>
      </c>
      <c r="AC3812" s="2" t="s">
        <v>83</v>
      </c>
      <c r="AD3812" s="3">
        <v>40436</v>
      </c>
      <c r="AE3812" s="2"/>
      <c r="AF3812" s="3">
        <v>40436</v>
      </c>
      <c r="AG3812" s="4">
        <v>0.41666666666666669</v>
      </c>
      <c r="AH3812" s="2">
        <v>3</v>
      </c>
      <c r="AI3812" s="2" t="s">
        <v>214</v>
      </c>
      <c r="AJ3812" s="2">
        <v>17</v>
      </c>
      <c r="AK3812" s="2" t="s">
        <v>309</v>
      </c>
      <c r="AL3812" s="2">
        <v>19</v>
      </c>
      <c r="AM3812" s="2" t="s">
        <v>107</v>
      </c>
      <c r="AN3812" s="2" t="s">
        <v>12118</v>
      </c>
      <c r="AO3812" s="2" t="s">
        <v>12053</v>
      </c>
      <c r="AP3812" s="2">
        <v>11</v>
      </c>
      <c r="AQ3812" s="2" t="s">
        <v>82</v>
      </c>
      <c r="AR3812" s="2"/>
      <c r="AS3812" s="2"/>
      <c r="AT3812" s="2" t="s">
        <v>12119</v>
      </c>
      <c r="AU3812" s="2"/>
      <c r="AV3812" s="2"/>
      <c r="AW3812" s="2"/>
      <c r="AX3812" s="2"/>
      <c r="AY3812" s="2">
        <v>68</v>
      </c>
      <c r="AZ3812" s="2" t="s">
        <v>12055</v>
      </c>
      <c r="BA3812" s="2">
        <v>68</v>
      </c>
      <c r="BB3812" s="2" t="s">
        <v>12055</v>
      </c>
      <c r="BC3812" s="2">
        <v>1</v>
      </c>
      <c r="BD3812" s="2" t="s">
        <v>107</v>
      </c>
      <c r="BE3812" s="2">
        <v>41</v>
      </c>
      <c r="BF3812" s="2" t="s">
        <v>82</v>
      </c>
      <c r="BG3812" s="2"/>
      <c r="BH3812" s="2"/>
      <c r="BI3812" s="2"/>
      <c r="BJ3812" s="2">
        <v>241</v>
      </c>
      <c r="BK3812" s="2" t="s">
        <v>82</v>
      </c>
      <c r="BL3812" s="2"/>
      <c r="BM3812" s="2">
        <v>241</v>
      </c>
      <c r="BN3812" s="2" t="s">
        <v>82</v>
      </c>
      <c r="BO3812" s="2"/>
      <c r="BP3812" s="2">
        <v>241</v>
      </c>
      <c r="BQ3812" s="2" t="s">
        <v>82</v>
      </c>
      <c r="BR3812" s="2"/>
      <c r="BS3812" s="3">
        <v>40437</v>
      </c>
      <c r="BT3812" s="4">
        <v>0.7915740740740741</v>
      </c>
    </row>
    <row r="3813" spans="1:72" x14ac:dyDescent="0.25">
      <c r="A3813" s="2">
        <v>5655</v>
      </c>
      <c r="B3813" s="2">
        <v>2010</v>
      </c>
      <c r="C3813" s="2" t="s">
        <v>72</v>
      </c>
      <c r="D3813" s="2" t="s">
        <v>73</v>
      </c>
      <c r="E3813" s="2"/>
      <c r="F3813" s="2">
        <v>638</v>
      </c>
      <c r="G3813" s="2" t="s">
        <v>8288</v>
      </c>
      <c r="H3813" s="2">
        <v>1</v>
      </c>
      <c r="I3813" s="2" t="s">
        <v>82</v>
      </c>
      <c r="J3813" s="2">
        <v>583</v>
      </c>
      <c r="K3813" s="2" t="s">
        <v>8289</v>
      </c>
      <c r="L3813" s="2" t="s">
        <v>8290</v>
      </c>
      <c r="M3813" s="3">
        <v>40437</v>
      </c>
      <c r="N3813" s="2" t="s">
        <v>12120</v>
      </c>
      <c r="O3813" s="2"/>
      <c r="P3813" s="2"/>
      <c r="Q3813" s="2" t="str">
        <f>"53/10"</f>
        <v>53/10</v>
      </c>
      <c r="R3813" s="2"/>
      <c r="S3813" s="2" t="s">
        <v>601</v>
      </c>
      <c r="T3813" s="2">
        <v>1</v>
      </c>
      <c r="U3813" s="2" t="s">
        <v>79</v>
      </c>
      <c r="V3813" s="2">
        <v>1</v>
      </c>
      <c r="W3813" s="2" t="s">
        <v>80</v>
      </c>
      <c r="X3813" s="2">
        <v>12</v>
      </c>
      <c r="Y3813" s="2" t="s">
        <v>148</v>
      </c>
      <c r="Z3813" s="2">
        <v>1</v>
      </c>
      <c r="AA3813" s="2" t="s">
        <v>82</v>
      </c>
      <c r="AB3813" s="2">
        <v>6</v>
      </c>
      <c r="AC3813" s="2" t="s">
        <v>83</v>
      </c>
      <c r="AD3813" s="3">
        <v>40437</v>
      </c>
      <c r="AE3813" s="2"/>
      <c r="AF3813" s="3">
        <v>40437</v>
      </c>
      <c r="AG3813" s="4">
        <v>0.64583333333333337</v>
      </c>
      <c r="AH3813" s="2">
        <v>3</v>
      </c>
      <c r="AI3813" s="2" t="s">
        <v>214</v>
      </c>
      <c r="AJ3813" s="2">
        <v>24</v>
      </c>
      <c r="AK3813" s="2" t="s">
        <v>215</v>
      </c>
      <c r="AL3813" s="2">
        <v>22</v>
      </c>
      <c r="AM3813" s="2" t="s">
        <v>1853</v>
      </c>
      <c r="AN3813" s="2"/>
      <c r="AO3813" s="2"/>
      <c r="AP3813" s="2">
        <v>11</v>
      </c>
      <c r="AQ3813" s="2" t="s">
        <v>82</v>
      </c>
      <c r="AR3813" s="2"/>
      <c r="AS3813" s="2"/>
      <c r="AT3813" s="2" t="s">
        <v>12121</v>
      </c>
      <c r="AU3813" s="2"/>
      <c r="AV3813" s="2"/>
      <c r="AW3813" s="2"/>
      <c r="AX3813" s="2"/>
      <c r="AY3813" s="2">
        <v>41</v>
      </c>
      <c r="AZ3813" s="2" t="s">
        <v>82</v>
      </c>
      <c r="BA3813" s="2">
        <v>41</v>
      </c>
      <c r="BB3813" s="2" t="s">
        <v>82</v>
      </c>
      <c r="BC3813" s="2">
        <v>41</v>
      </c>
      <c r="BD3813" s="2" t="s">
        <v>82</v>
      </c>
      <c r="BE3813" s="2">
        <v>13</v>
      </c>
      <c r="BF3813" s="2" t="s">
        <v>108</v>
      </c>
      <c r="BG3813" s="2" t="s">
        <v>3196</v>
      </c>
      <c r="BH3813" s="4">
        <v>0.60416666666666663</v>
      </c>
      <c r="BI3813" s="4">
        <v>0.55555555555555558</v>
      </c>
      <c r="BJ3813" s="2">
        <v>13</v>
      </c>
      <c r="BK3813" s="2" t="s">
        <v>91</v>
      </c>
      <c r="BL3813" s="2" t="s">
        <v>360</v>
      </c>
      <c r="BM3813" s="2">
        <v>13</v>
      </c>
      <c r="BN3813" s="2" t="s">
        <v>91</v>
      </c>
      <c r="BO3813" s="2"/>
      <c r="BP3813" s="2">
        <v>13</v>
      </c>
      <c r="BQ3813" s="2" t="s">
        <v>91</v>
      </c>
      <c r="BR3813" s="2" t="s">
        <v>169</v>
      </c>
      <c r="BS3813" s="3">
        <v>40437</v>
      </c>
      <c r="BT3813" s="4">
        <v>0.8089467592592593</v>
      </c>
    </row>
    <row r="3814" spans="1:72" x14ac:dyDescent="0.25">
      <c r="A3814" s="2">
        <v>5656</v>
      </c>
      <c r="B3814" s="2">
        <v>2010</v>
      </c>
      <c r="C3814" s="2" t="s">
        <v>72</v>
      </c>
      <c r="D3814" s="2" t="s">
        <v>73</v>
      </c>
      <c r="E3814" s="2"/>
      <c r="F3814" s="2">
        <v>167</v>
      </c>
      <c r="G3814" s="2" t="s">
        <v>11567</v>
      </c>
      <c r="H3814" s="2">
        <v>42</v>
      </c>
      <c r="I3814" s="2" t="s">
        <v>1096</v>
      </c>
      <c r="J3814" s="2">
        <v>656</v>
      </c>
      <c r="K3814" s="2" t="s">
        <v>11603</v>
      </c>
      <c r="L3814" s="2" t="s">
        <v>4885</v>
      </c>
      <c r="M3814" s="3">
        <v>40437</v>
      </c>
      <c r="N3814" s="2" t="s">
        <v>12122</v>
      </c>
      <c r="O3814" s="2"/>
      <c r="P3814" s="2"/>
      <c r="Q3814" s="2" t="str">
        <f>"371-A/10"</f>
        <v>371-A/10</v>
      </c>
      <c r="R3814" s="2" t="s">
        <v>78</v>
      </c>
      <c r="S3814" s="2" t="s">
        <v>78</v>
      </c>
      <c r="T3814" s="2">
        <v>1</v>
      </c>
      <c r="U3814" s="2" t="s">
        <v>79</v>
      </c>
      <c r="V3814" s="2">
        <v>1</v>
      </c>
      <c r="W3814" s="2" t="s">
        <v>80</v>
      </c>
      <c r="X3814" s="2">
        <v>12</v>
      </c>
      <c r="Y3814" s="2" t="s">
        <v>148</v>
      </c>
      <c r="Z3814" s="2">
        <v>1</v>
      </c>
      <c r="AA3814" s="2" t="s">
        <v>82</v>
      </c>
      <c r="AB3814" s="2">
        <v>6</v>
      </c>
      <c r="AC3814" s="2" t="s">
        <v>83</v>
      </c>
      <c r="AD3814" s="3">
        <v>40437</v>
      </c>
      <c r="AE3814" s="2"/>
      <c r="AF3814" s="3">
        <v>40437</v>
      </c>
      <c r="AG3814" s="4">
        <v>0.70486111111111116</v>
      </c>
      <c r="AH3814" s="2">
        <v>2</v>
      </c>
      <c r="AI3814" s="2" t="s">
        <v>84</v>
      </c>
      <c r="AJ3814" s="2">
        <v>12</v>
      </c>
      <c r="AK3814" s="2" t="s">
        <v>85</v>
      </c>
      <c r="AL3814" s="2">
        <v>12</v>
      </c>
      <c r="AM3814" s="2" t="s">
        <v>86</v>
      </c>
      <c r="AN3814" s="2" t="s">
        <v>12123</v>
      </c>
      <c r="AO3814" s="2" t="s">
        <v>12124</v>
      </c>
      <c r="AP3814" s="2">
        <v>11</v>
      </c>
      <c r="AQ3814" s="2" t="s">
        <v>82</v>
      </c>
      <c r="AR3814" s="2"/>
      <c r="AS3814" s="2"/>
      <c r="AT3814" s="2" t="s">
        <v>12125</v>
      </c>
      <c r="AU3814" s="2"/>
      <c r="AV3814" s="2"/>
      <c r="AW3814" s="2"/>
      <c r="AX3814" s="2"/>
      <c r="AY3814" s="2">
        <v>41</v>
      </c>
      <c r="AZ3814" s="2" t="s">
        <v>82</v>
      </c>
      <c r="BA3814" s="2">
        <v>41</v>
      </c>
      <c r="BB3814" s="2" t="s">
        <v>82</v>
      </c>
      <c r="BC3814" s="2">
        <v>41</v>
      </c>
      <c r="BD3814" s="2" t="s">
        <v>82</v>
      </c>
      <c r="BE3814" s="2">
        <v>41</v>
      </c>
      <c r="BF3814" s="2" t="s">
        <v>82</v>
      </c>
      <c r="BG3814" s="2"/>
      <c r="BH3814" s="2"/>
      <c r="BI3814" s="2"/>
      <c r="BJ3814" s="2">
        <v>241</v>
      </c>
      <c r="BK3814" s="2" t="s">
        <v>82</v>
      </c>
      <c r="BL3814" s="2"/>
      <c r="BM3814" s="2">
        <v>241</v>
      </c>
      <c r="BN3814" s="2" t="s">
        <v>82</v>
      </c>
      <c r="BO3814" s="2" t="s">
        <v>82</v>
      </c>
      <c r="BP3814" s="2">
        <v>241</v>
      </c>
      <c r="BQ3814" s="2" t="s">
        <v>82</v>
      </c>
      <c r="BR3814" s="2"/>
      <c r="BS3814" s="3">
        <v>40437</v>
      </c>
      <c r="BT3814" s="4">
        <v>0.80956018518518524</v>
      </c>
    </row>
    <row r="3815" spans="1:72" x14ac:dyDescent="0.25">
      <c r="A3815" s="2">
        <v>5658</v>
      </c>
      <c r="B3815" s="2">
        <v>2010</v>
      </c>
      <c r="C3815" s="2" t="s">
        <v>196</v>
      </c>
      <c r="D3815" s="2" t="s">
        <v>122</v>
      </c>
      <c r="E3815" s="2"/>
      <c r="F3815" s="2">
        <v>1</v>
      </c>
      <c r="G3815" s="2" t="s">
        <v>82</v>
      </c>
      <c r="H3815" s="2">
        <v>1</v>
      </c>
      <c r="I3815" s="2" t="s">
        <v>82</v>
      </c>
      <c r="J3815" s="2">
        <v>1</v>
      </c>
      <c r="K3815" s="2" t="s">
        <v>107</v>
      </c>
      <c r="L3815" s="2" t="s">
        <v>107</v>
      </c>
      <c r="M3815" s="3">
        <v>40437</v>
      </c>
      <c r="N3815" s="2"/>
      <c r="O3815" s="2"/>
      <c r="P3815" s="2"/>
      <c r="Q3815" s="2" t="str">
        <f>""</f>
        <v/>
      </c>
      <c r="R3815" s="2"/>
      <c r="S3815" s="2"/>
      <c r="T3815" s="2">
        <v>2</v>
      </c>
      <c r="U3815" s="2" t="s">
        <v>123</v>
      </c>
      <c r="V3815" s="2">
        <v>1</v>
      </c>
      <c r="W3815" s="2" t="s">
        <v>80</v>
      </c>
      <c r="X3815" s="2">
        <v>11</v>
      </c>
      <c r="Y3815" s="2" t="s">
        <v>1920</v>
      </c>
      <c r="Z3815" s="2">
        <v>10</v>
      </c>
      <c r="AA3815" s="2" t="s">
        <v>236</v>
      </c>
      <c r="AB3815" s="2">
        <v>9</v>
      </c>
      <c r="AC3815" s="2" t="s">
        <v>124</v>
      </c>
      <c r="AD3815" s="3">
        <v>40437</v>
      </c>
      <c r="AE3815" s="4">
        <v>0.70833333333333337</v>
      </c>
      <c r="AF3815" s="2"/>
      <c r="AG3815" s="2"/>
      <c r="AH3815" s="2">
        <v>2</v>
      </c>
      <c r="AI3815" s="2" t="s">
        <v>84</v>
      </c>
      <c r="AJ3815" s="2">
        <v>12</v>
      </c>
      <c r="AK3815" s="2" t="s">
        <v>85</v>
      </c>
      <c r="AL3815" s="2">
        <v>20</v>
      </c>
      <c r="AM3815" s="2" t="s">
        <v>992</v>
      </c>
      <c r="AN3815" s="2" t="s">
        <v>993</v>
      </c>
      <c r="AO3815" s="2"/>
      <c r="AP3815" s="2">
        <v>11</v>
      </c>
      <c r="AQ3815" s="2" t="s">
        <v>82</v>
      </c>
      <c r="AR3815" s="2"/>
      <c r="AS3815" s="2"/>
      <c r="AT3815" s="2" t="s">
        <v>12126</v>
      </c>
      <c r="AU3815" s="2"/>
      <c r="AV3815" s="2"/>
      <c r="AW3815" s="2"/>
      <c r="AX3815" s="2"/>
      <c r="AY3815" s="2">
        <v>41</v>
      </c>
      <c r="AZ3815" s="2" t="s">
        <v>82</v>
      </c>
      <c r="BA3815" s="2">
        <v>41</v>
      </c>
      <c r="BB3815" s="2" t="s">
        <v>82</v>
      </c>
      <c r="BC3815" s="2">
        <v>41</v>
      </c>
      <c r="BD3815" s="2" t="s">
        <v>82</v>
      </c>
      <c r="BE3815" s="2">
        <v>41</v>
      </c>
      <c r="BF3815" s="2" t="s">
        <v>82</v>
      </c>
      <c r="BG3815" s="2"/>
      <c r="BH3815" s="4">
        <v>0.80347222222222225</v>
      </c>
      <c r="BI3815" s="4">
        <v>0.81111111111111101</v>
      </c>
      <c r="BJ3815" s="2">
        <v>13</v>
      </c>
      <c r="BK3815" s="2" t="s">
        <v>91</v>
      </c>
      <c r="BL3815" s="2" t="s">
        <v>185</v>
      </c>
      <c r="BM3815" s="2">
        <v>242</v>
      </c>
      <c r="BN3815" s="2" t="s">
        <v>107</v>
      </c>
      <c r="BO3815" s="2"/>
      <c r="BP3815" s="2">
        <v>13</v>
      </c>
      <c r="BQ3815" s="2" t="s">
        <v>91</v>
      </c>
      <c r="BR3815" s="2" t="s">
        <v>1705</v>
      </c>
      <c r="BS3815" s="3">
        <v>40437</v>
      </c>
      <c r="BT3815" s="4">
        <v>0.82989583333333339</v>
      </c>
    </row>
    <row r="3816" spans="1:72" x14ac:dyDescent="0.25">
      <c r="A3816" s="2">
        <v>5660</v>
      </c>
      <c r="B3816" s="2">
        <v>2010</v>
      </c>
      <c r="C3816" s="2" t="s">
        <v>385</v>
      </c>
      <c r="D3816" s="2" t="s">
        <v>122</v>
      </c>
      <c r="E3816" s="2"/>
      <c r="F3816" s="2">
        <v>114</v>
      </c>
      <c r="G3816" s="2" t="s">
        <v>2817</v>
      </c>
      <c r="H3816" s="2">
        <v>99</v>
      </c>
      <c r="I3816" s="2" t="s">
        <v>6285</v>
      </c>
      <c r="J3816" s="2">
        <v>664</v>
      </c>
      <c r="K3816" s="2" t="s">
        <v>441</v>
      </c>
      <c r="L3816" s="2" t="s">
        <v>12127</v>
      </c>
      <c r="M3816" s="3">
        <v>40437</v>
      </c>
      <c r="N3816" s="2" t="s">
        <v>12128</v>
      </c>
      <c r="O3816" s="2" t="s">
        <v>12129</v>
      </c>
      <c r="P3816" s="2" t="s">
        <v>11057</v>
      </c>
      <c r="Q3816" s="2" t="str">
        <f>""</f>
        <v/>
      </c>
      <c r="R3816" s="2"/>
      <c r="S3816" s="2"/>
      <c r="T3816" s="2">
        <v>1</v>
      </c>
      <c r="U3816" s="2" t="s">
        <v>79</v>
      </c>
      <c r="V3816" s="2">
        <v>1</v>
      </c>
      <c r="W3816" s="2" t="s">
        <v>80</v>
      </c>
      <c r="X3816" s="2">
        <v>4</v>
      </c>
      <c r="Y3816" s="2" t="s">
        <v>463</v>
      </c>
      <c r="Z3816" s="2">
        <v>1</v>
      </c>
      <c r="AA3816" s="2" t="s">
        <v>82</v>
      </c>
      <c r="AB3816" s="2">
        <v>9</v>
      </c>
      <c r="AC3816" s="2" t="s">
        <v>124</v>
      </c>
      <c r="AD3816" s="3">
        <v>40437</v>
      </c>
      <c r="AE3816" s="4">
        <v>0.75</v>
      </c>
      <c r="AF3816" s="2"/>
      <c r="AG3816" s="2"/>
      <c r="AH3816" s="2">
        <v>5</v>
      </c>
      <c r="AI3816" s="2" t="s">
        <v>274</v>
      </c>
      <c r="AJ3816" s="2">
        <v>41</v>
      </c>
      <c r="AK3816" s="2" t="s">
        <v>2751</v>
      </c>
      <c r="AL3816" s="2">
        <v>25</v>
      </c>
      <c r="AM3816" s="2" t="s">
        <v>3073</v>
      </c>
      <c r="AN3816" s="2"/>
      <c r="AO3816" s="2"/>
      <c r="AP3816" s="2">
        <v>11</v>
      </c>
      <c r="AQ3816" s="2" t="s">
        <v>82</v>
      </c>
      <c r="AR3816" s="2"/>
      <c r="AS3816" s="2"/>
      <c r="AT3816" s="2" t="s">
        <v>12130</v>
      </c>
      <c r="AU3816" s="2"/>
      <c r="AV3816" s="2">
        <v>1</v>
      </c>
      <c r="AW3816" s="2"/>
      <c r="AX3816" s="2"/>
      <c r="AY3816" s="2">
        <v>41</v>
      </c>
      <c r="AZ3816" s="2" t="s">
        <v>82</v>
      </c>
      <c r="BA3816" s="2">
        <v>41</v>
      </c>
      <c r="BB3816" s="2" t="s">
        <v>82</v>
      </c>
      <c r="BC3816" s="2">
        <v>41</v>
      </c>
      <c r="BD3816" s="2" t="s">
        <v>82</v>
      </c>
      <c r="BE3816" s="2">
        <v>13</v>
      </c>
      <c r="BF3816" s="2" t="s">
        <v>108</v>
      </c>
      <c r="BG3816" s="2">
        <v>1713</v>
      </c>
      <c r="BH3816" s="4">
        <v>0.73611111111111116</v>
      </c>
      <c r="BI3816" s="4">
        <v>0.76388888888888884</v>
      </c>
      <c r="BJ3816" s="2">
        <v>13</v>
      </c>
      <c r="BK3816" s="2" t="s">
        <v>91</v>
      </c>
      <c r="BL3816" s="2" t="s">
        <v>185</v>
      </c>
      <c r="BM3816" s="2">
        <v>13</v>
      </c>
      <c r="BN3816" s="2" t="s">
        <v>91</v>
      </c>
      <c r="BO3816" s="2" t="s">
        <v>4062</v>
      </c>
      <c r="BP3816" s="2">
        <v>13</v>
      </c>
      <c r="BQ3816" s="2" t="s">
        <v>91</v>
      </c>
      <c r="BR3816" s="2" t="s">
        <v>185</v>
      </c>
      <c r="BS3816" s="3">
        <v>40437</v>
      </c>
      <c r="BT3816" s="4">
        <v>0.8550578703703704</v>
      </c>
    </row>
    <row r="3817" spans="1:72" x14ac:dyDescent="0.25">
      <c r="A3817" s="2">
        <v>5661</v>
      </c>
      <c r="B3817" s="2">
        <v>2010</v>
      </c>
      <c r="C3817" s="2" t="s">
        <v>4543</v>
      </c>
      <c r="D3817" s="2" t="s">
        <v>122</v>
      </c>
      <c r="E3817" s="2"/>
      <c r="F3817" s="2">
        <v>1</v>
      </c>
      <c r="G3817" s="2" t="s">
        <v>82</v>
      </c>
      <c r="H3817" s="2">
        <v>1</v>
      </c>
      <c r="I3817" s="2" t="s">
        <v>82</v>
      </c>
      <c r="J3817" s="2">
        <v>1</v>
      </c>
      <c r="K3817" s="2" t="s">
        <v>107</v>
      </c>
      <c r="L3817" s="2" t="s">
        <v>107</v>
      </c>
      <c r="M3817" s="3">
        <v>40437</v>
      </c>
      <c r="N3817" s="2"/>
      <c r="O3817" s="2"/>
      <c r="P3817" s="2"/>
      <c r="Q3817" s="2" t="str">
        <f>""</f>
        <v/>
      </c>
      <c r="R3817" s="2"/>
      <c r="S3817" s="2"/>
      <c r="T3817" s="2">
        <v>2</v>
      </c>
      <c r="U3817" s="2" t="s">
        <v>123</v>
      </c>
      <c r="V3817" s="2">
        <v>1</v>
      </c>
      <c r="W3817" s="2" t="s">
        <v>80</v>
      </c>
      <c r="X3817" s="2">
        <v>5</v>
      </c>
      <c r="Y3817" s="2" t="s">
        <v>82</v>
      </c>
      <c r="Z3817" s="2">
        <v>1</v>
      </c>
      <c r="AA3817" s="2" t="s">
        <v>82</v>
      </c>
      <c r="AB3817" s="2">
        <v>9</v>
      </c>
      <c r="AC3817" s="2" t="s">
        <v>124</v>
      </c>
      <c r="AD3817" s="2"/>
      <c r="AE3817" s="2"/>
      <c r="AF3817" s="2"/>
      <c r="AG3817" s="2"/>
      <c r="AH3817" s="2">
        <v>2</v>
      </c>
      <c r="AI3817" s="2" t="s">
        <v>84</v>
      </c>
      <c r="AJ3817" s="2">
        <v>9</v>
      </c>
      <c r="AK3817" s="2" t="s">
        <v>103</v>
      </c>
      <c r="AL3817" s="2">
        <v>18</v>
      </c>
      <c r="AM3817" s="2" t="s">
        <v>82</v>
      </c>
      <c r="AN3817" s="2"/>
      <c r="AO3817" s="2" t="s">
        <v>12131</v>
      </c>
      <c r="AP3817" s="2">
        <v>11</v>
      </c>
      <c r="AQ3817" s="2" t="s">
        <v>82</v>
      </c>
      <c r="AR3817" s="2"/>
      <c r="AS3817" s="2"/>
      <c r="AT3817" s="2" t="s">
        <v>12132</v>
      </c>
      <c r="AU3817" s="2"/>
      <c r="AV3817" s="2"/>
      <c r="AW3817" s="2"/>
      <c r="AX3817" s="2"/>
      <c r="AY3817" s="2">
        <v>118</v>
      </c>
      <c r="AZ3817" s="2" t="s">
        <v>10639</v>
      </c>
      <c r="BA3817" s="2">
        <v>1</v>
      </c>
      <c r="BB3817" s="2" t="s">
        <v>107</v>
      </c>
      <c r="BC3817" s="2">
        <v>1</v>
      </c>
      <c r="BD3817" s="2" t="s">
        <v>107</v>
      </c>
      <c r="BE3817" s="2">
        <v>1</v>
      </c>
      <c r="BF3817" s="2" t="s">
        <v>107</v>
      </c>
      <c r="BG3817" s="2"/>
      <c r="BH3817" s="2"/>
      <c r="BI3817" s="2"/>
      <c r="BJ3817" s="2">
        <v>242</v>
      </c>
      <c r="BK3817" s="2" t="s">
        <v>107</v>
      </c>
      <c r="BL3817" s="2"/>
      <c r="BM3817" s="2">
        <v>242</v>
      </c>
      <c r="BN3817" s="2" t="s">
        <v>107</v>
      </c>
      <c r="BO3817" s="2"/>
      <c r="BP3817" s="2">
        <v>242</v>
      </c>
      <c r="BQ3817" s="2" t="s">
        <v>107</v>
      </c>
      <c r="BR3817" s="2"/>
      <c r="BS3817" s="3">
        <v>40437</v>
      </c>
      <c r="BT3817" s="4">
        <v>0.85806712962962972</v>
      </c>
    </row>
    <row r="3818" spans="1:72" x14ac:dyDescent="0.25">
      <c r="A3818" s="2">
        <v>5662</v>
      </c>
      <c r="B3818" s="2">
        <v>2010</v>
      </c>
      <c r="C3818" s="2" t="s">
        <v>196</v>
      </c>
      <c r="D3818" s="2" t="s">
        <v>122</v>
      </c>
      <c r="E3818" s="2"/>
      <c r="F3818" s="2">
        <v>1</v>
      </c>
      <c r="G3818" s="2" t="s">
        <v>82</v>
      </c>
      <c r="H3818" s="2">
        <v>1</v>
      </c>
      <c r="I3818" s="2" t="s">
        <v>82</v>
      </c>
      <c r="J3818" s="2">
        <v>1</v>
      </c>
      <c r="K3818" s="2" t="s">
        <v>107</v>
      </c>
      <c r="L3818" s="2" t="s">
        <v>107</v>
      </c>
      <c r="M3818" s="3">
        <v>40437</v>
      </c>
      <c r="N3818" s="2" t="s">
        <v>82</v>
      </c>
      <c r="O3818" s="2" t="s">
        <v>82</v>
      </c>
      <c r="P3818" s="2" t="s">
        <v>82</v>
      </c>
      <c r="Q3818" s="2" t="str">
        <f>"N/C"</f>
        <v>N/C</v>
      </c>
      <c r="R3818" s="2" t="s">
        <v>82</v>
      </c>
      <c r="S3818" s="2" t="s">
        <v>82</v>
      </c>
      <c r="T3818" s="2">
        <v>2</v>
      </c>
      <c r="U3818" s="2" t="s">
        <v>123</v>
      </c>
      <c r="V3818" s="2">
        <v>1</v>
      </c>
      <c r="W3818" s="2" t="s">
        <v>80</v>
      </c>
      <c r="X3818" s="2">
        <v>11</v>
      </c>
      <c r="Y3818" s="2" t="s">
        <v>1920</v>
      </c>
      <c r="Z3818" s="2">
        <v>4</v>
      </c>
      <c r="AA3818" s="2" t="s">
        <v>182</v>
      </c>
      <c r="AB3818" s="2">
        <v>9</v>
      </c>
      <c r="AC3818" s="2" t="s">
        <v>124</v>
      </c>
      <c r="AD3818" s="3">
        <v>40437</v>
      </c>
      <c r="AE3818" s="4">
        <v>0.70833333333333337</v>
      </c>
      <c r="AF3818" s="2"/>
      <c r="AG3818" s="2"/>
      <c r="AH3818" s="2">
        <v>5</v>
      </c>
      <c r="AI3818" s="2" t="s">
        <v>274</v>
      </c>
      <c r="AJ3818" s="2">
        <v>45</v>
      </c>
      <c r="AK3818" s="2" t="s">
        <v>834</v>
      </c>
      <c r="AL3818" s="2">
        <v>10</v>
      </c>
      <c r="AM3818" s="2" t="s">
        <v>200</v>
      </c>
      <c r="AN3818" s="2" t="s">
        <v>82</v>
      </c>
      <c r="AO3818" s="2" t="s">
        <v>82</v>
      </c>
      <c r="AP3818" s="2">
        <v>11</v>
      </c>
      <c r="AQ3818" s="2" t="s">
        <v>82</v>
      </c>
      <c r="AR3818" s="2" t="s">
        <v>82</v>
      </c>
      <c r="AS3818" s="2" t="s">
        <v>82</v>
      </c>
      <c r="AT3818" s="2" t="s">
        <v>12133</v>
      </c>
      <c r="AU3818" s="2"/>
      <c r="AV3818" s="2"/>
      <c r="AW3818" s="2"/>
      <c r="AX3818" s="2"/>
      <c r="AY3818" s="2">
        <v>41</v>
      </c>
      <c r="AZ3818" s="2" t="s">
        <v>82</v>
      </c>
      <c r="BA3818" s="2">
        <v>41</v>
      </c>
      <c r="BB3818" s="2" t="s">
        <v>82</v>
      </c>
      <c r="BC3818" s="2">
        <v>41</v>
      </c>
      <c r="BD3818" s="2" t="s">
        <v>82</v>
      </c>
      <c r="BE3818" s="2">
        <v>42</v>
      </c>
      <c r="BF3818" s="2" t="s">
        <v>182</v>
      </c>
      <c r="BG3818" s="2" t="s">
        <v>265</v>
      </c>
      <c r="BH3818" s="4">
        <v>0.83680555555555547</v>
      </c>
      <c r="BI3818" s="2"/>
      <c r="BJ3818" s="2">
        <v>13</v>
      </c>
      <c r="BK3818" s="2" t="s">
        <v>91</v>
      </c>
      <c r="BL3818" s="2" t="s">
        <v>534</v>
      </c>
      <c r="BM3818" s="2">
        <v>13</v>
      </c>
      <c r="BN3818" s="2" t="s">
        <v>91</v>
      </c>
      <c r="BO3818" s="2" t="s">
        <v>1705</v>
      </c>
      <c r="BP3818" s="2">
        <v>13</v>
      </c>
      <c r="BQ3818" s="2" t="s">
        <v>91</v>
      </c>
      <c r="BR3818" s="2" t="s">
        <v>534</v>
      </c>
      <c r="BS3818" s="3">
        <v>40437</v>
      </c>
      <c r="BT3818" s="4">
        <v>0.86906250000000007</v>
      </c>
    </row>
    <row r="3819" spans="1:72" x14ac:dyDescent="0.25">
      <c r="A3819" s="2">
        <v>5663</v>
      </c>
      <c r="B3819" s="2">
        <v>2010</v>
      </c>
      <c r="C3819" s="2" t="s">
        <v>147</v>
      </c>
      <c r="D3819" s="2" t="s">
        <v>73</v>
      </c>
      <c r="E3819" s="2"/>
      <c r="F3819" s="2">
        <v>1</v>
      </c>
      <c r="G3819" s="2" t="s">
        <v>82</v>
      </c>
      <c r="H3819" s="2">
        <v>1</v>
      </c>
      <c r="I3819" s="2" t="s">
        <v>82</v>
      </c>
      <c r="J3819" s="2">
        <v>1</v>
      </c>
      <c r="K3819" s="2" t="s">
        <v>107</v>
      </c>
      <c r="L3819" s="2" t="s">
        <v>107</v>
      </c>
      <c r="M3819" s="3">
        <v>40437</v>
      </c>
      <c r="N3819" s="2"/>
      <c r="O3819" s="2"/>
      <c r="P3819" s="2"/>
      <c r="Q3819" s="2" t="str">
        <f>"AP 0028/10"</f>
        <v>AP 0028/10</v>
      </c>
      <c r="R3819" s="2" t="s">
        <v>12134</v>
      </c>
      <c r="S3819" s="2"/>
      <c r="T3819" s="2">
        <v>2</v>
      </c>
      <c r="U3819" s="2" t="s">
        <v>123</v>
      </c>
      <c r="V3819" s="2">
        <v>1</v>
      </c>
      <c r="W3819" s="2" t="s">
        <v>80</v>
      </c>
      <c r="X3819" s="2">
        <v>12</v>
      </c>
      <c r="Y3819" s="2" t="s">
        <v>148</v>
      </c>
      <c r="Z3819" s="2">
        <v>1</v>
      </c>
      <c r="AA3819" s="2" t="s">
        <v>82</v>
      </c>
      <c r="AB3819" s="2">
        <v>9</v>
      </c>
      <c r="AC3819" s="2" t="s">
        <v>124</v>
      </c>
      <c r="AD3819" s="2"/>
      <c r="AE3819" s="2"/>
      <c r="AF3819" s="3">
        <v>40437</v>
      </c>
      <c r="AG3819" s="4">
        <v>0.85416666666666663</v>
      </c>
      <c r="AH3819" s="2">
        <v>6</v>
      </c>
      <c r="AI3819" s="2" t="s">
        <v>197</v>
      </c>
      <c r="AJ3819" s="2">
        <v>59</v>
      </c>
      <c r="AK3819" s="2" t="s">
        <v>198</v>
      </c>
      <c r="AL3819" s="2">
        <v>19</v>
      </c>
      <c r="AM3819" s="2" t="s">
        <v>107</v>
      </c>
      <c r="AN3819" s="2"/>
      <c r="AO3819" s="2" t="s">
        <v>82</v>
      </c>
      <c r="AP3819" s="2">
        <v>11</v>
      </c>
      <c r="AQ3819" s="2" t="s">
        <v>82</v>
      </c>
      <c r="AR3819" s="2"/>
      <c r="AS3819" s="2"/>
      <c r="AT3819" s="2" t="s">
        <v>12135</v>
      </c>
      <c r="AU3819" s="2"/>
      <c r="AV3819" s="2"/>
      <c r="AW3819" s="2"/>
      <c r="AX3819" s="2"/>
      <c r="AY3819" s="2">
        <v>1</v>
      </c>
      <c r="AZ3819" s="2" t="s">
        <v>107</v>
      </c>
      <c r="BA3819" s="2">
        <v>1</v>
      </c>
      <c r="BB3819" s="2" t="s">
        <v>107</v>
      </c>
      <c r="BC3819" s="2">
        <v>1</v>
      </c>
      <c r="BD3819" s="2" t="s">
        <v>107</v>
      </c>
      <c r="BE3819" s="2">
        <v>1</v>
      </c>
      <c r="BF3819" s="2" t="s">
        <v>107</v>
      </c>
      <c r="BG3819" s="2"/>
      <c r="BH3819" s="2"/>
      <c r="BI3819" s="2"/>
      <c r="BJ3819" s="2">
        <v>242</v>
      </c>
      <c r="BK3819" s="2" t="s">
        <v>107</v>
      </c>
      <c r="BL3819" s="2"/>
      <c r="BM3819" s="2">
        <v>242</v>
      </c>
      <c r="BN3819" s="2" t="s">
        <v>107</v>
      </c>
      <c r="BO3819" s="2"/>
      <c r="BP3819" s="2">
        <v>242</v>
      </c>
      <c r="BQ3819" s="2" t="s">
        <v>107</v>
      </c>
      <c r="BR3819" s="2"/>
      <c r="BS3819" s="3">
        <v>40437</v>
      </c>
      <c r="BT3819" s="4">
        <v>0.87958333333333327</v>
      </c>
    </row>
    <row r="3820" spans="1:72" x14ac:dyDescent="0.25">
      <c r="A3820" s="2">
        <v>5664</v>
      </c>
      <c r="B3820" s="2">
        <v>2010</v>
      </c>
      <c r="C3820" s="2" t="s">
        <v>121</v>
      </c>
      <c r="D3820" s="2" t="s">
        <v>122</v>
      </c>
      <c r="E3820" s="2"/>
      <c r="F3820" s="2">
        <v>1</v>
      </c>
      <c r="G3820" s="2" t="s">
        <v>82</v>
      </c>
      <c r="H3820" s="2">
        <v>1</v>
      </c>
      <c r="I3820" s="2" t="s">
        <v>82</v>
      </c>
      <c r="J3820" s="2">
        <v>1</v>
      </c>
      <c r="K3820" s="2" t="s">
        <v>107</v>
      </c>
      <c r="L3820" s="2" t="s">
        <v>107</v>
      </c>
      <c r="M3820" s="3">
        <v>40437</v>
      </c>
      <c r="N3820" s="2" t="s">
        <v>82</v>
      </c>
      <c r="O3820" s="2" t="s">
        <v>82</v>
      </c>
      <c r="P3820" s="2" t="s">
        <v>82</v>
      </c>
      <c r="Q3820" s="2" t="str">
        <f>"N/C"</f>
        <v>N/C</v>
      </c>
      <c r="R3820" s="2" t="s">
        <v>82</v>
      </c>
      <c r="S3820" s="2" t="s">
        <v>82</v>
      </c>
      <c r="T3820" s="2">
        <v>2</v>
      </c>
      <c r="U3820" s="2" t="s">
        <v>123</v>
      </c>
      <c r="V3820" s="2">
        <v>1</v>
      </c>
      <c r="W3820" s="2" t="s">
        <v>80</v>
      </c>
      <c r="X3820" s="2">
        <v>11</v>
      </c>
      <c r="Y3820" s="2" t="s">
        <v>1920</v>
      </c>
      <c r="Z3820" s="2">
        <v>1</v>
      </c>
      <c r="AA3820" s="2" t="s">
        <v>82</v>
      </c>
      <c r="AB3820" s="2">
        <v>9</v>
      </c>
      <c r="AC3820" s="2" t="s">
        <v>124</v>
      </c>
      <c r="AD3820" s="3">
        <v>40437</v>
      </c>
      <c r="AE3820" s="4">
        <v>0.33333333333333331</v>
      </c>
      <c r="AF3820" s="2"/>
      <c r="AG3820" s="2"/>
      <c r="AH3820" s="2">
        <v>5</v>
      </c>
      <c r="AI3820" s="2" t="s">
        <v>274</v>
      </c>
      <c r="AJ3820" s="2">
        <v>45</v>
      </c>
      <c r="AK3820" s="2" t="s">
        <v>834</v>
      </c>
      <c r="AL3820" s="2">
        <v>10</v>
      </c>
      <c r="AM3820" s="2" t="s">
        <v>200</v>
      </c>
      <c r="AN3820" s="2" t="s">
        <v>82</v>
      </c>
      <c r="AO3820" s="2" t="s">
        <v>1059</v>
      </c>
      <c r="AP3820" s="2">
        <v>11</v>
      </c>
      <c r="AQ3820" s="2" t="s">
        <v>82</v>
      </c>
      <c r="AR3820" s="2" t="s">
        <v>82</v>
      </c>
      <c r="AS3820" s="2" t="s">
        <v>82</v>
      </c>
      <c r="AT3820" s="2" t="s">
        <v>12136</v>
      </c>
      <c r="AU3820" s="2"/>
      <c r="AV3820" s="2"/>
      <c r="AW3820" s="2"/>
      <c r="AX3820" s="2"/>
      <c r="AY3820" s="2">
        <v>41</v>
      </c>
      <c r="AZ3820" s="2" t="s">
        <v>82</v>
      </c>
      <c r="BA3820" s="2">
        <v>41</v>
      </c>
      <c r="BB3820" s="2" t="s">
        <v>82</v>
      </c>
      <c r="BC3820" s="2">
        <v>41</v>
      </c>
      <c r="BD3820" s="2" t="s">
        <v>82</v>
      </c>
      <c r="BE3820" s="2">
        <v>1</v>
      </c>
      <c r="BF3820" s="2" t="s">
        <v>107</v>
      </c>
      <c r="BG3820" s="2" t="s">
        <v>12137</v>
      </c>
      <c r="BH3820" s="4">
        <v>0.46875</v>
      </c>
      <c r="BI3820" s="4">
        <v>0.86458333333333337</v>
      </c>
      <c r="BJ3820" s="2">
        <v>13</v>
      </c>
      <c r="BK3820" s="2" t="s">
        <v>91</v>
      </c>
      <c r="BL3820" s="2" t="s">
        <v>534</v>
      </c>
      <c r="BM3820" s="2">
        <v>13</v>
      </c>
      <c r="BN3820" s="2" t="s">
        <v>91</v>
      </c>
      <c r="BO3820" s="2" t="s">
        <v>1705</v>
      </c>
      <c r="BP3820" s="2">
        <v>13</v>
      </c>
      <c r="BQ3820" s="2" t="s">
        <v>91</v>
      </c>
      <c r="BR3820" s="2" t="s">
        <v>1705</v>
      </c>
      <c r="BS3820" s="3">
        <v>40437</v>
      </c>
      <c r="BT3820" s="4">
        <v>0.88555555555555554</v>
      </c>
    </row>
    <row r="3821" spans="1:72" x14ac:dyDescent="0.25">
      <c r="A3821" s="2">
        <v>5665</v>
      </c>
      <c r="B3821" s="2">
        <v>2010</v>
      </c>
      <c r="C3821" s="2" t="s">
        <v>243</v>
      </c>
      <c r="D3821" s="2" t="s">
        <v>73</v>
      </c>
      <c r="E3821" s="2" t="s">
        <v>12138</v>
      </c>
      <c r="F3821" s="2">
        <v>2</v>
      </c>
      <c r="G3821" s="2" t="s">
        <v>113</v>
      </c>
      <c r="H3821" s="2">
        <v>4</v>
      </c>
      <c r="I3821" s="2" t="s">
        <v>173</v>
      </c>
      <c r="J3821" s="2">
        <v>300</v>
      </c>
      <c r="K3821" s="2" t="s">
        <v>114</v>
      </c>
      <c r="L3821" s="2" t="s">
        <v>115</v>
      </c>
      <c r="M3821" s="3">
        <v>40437</v>
      </c>
      <c r="N3821" s="2" t="s">
        <v>2621</v>
      </c>
      <c r="O3821" s="2" t="s">
        <v>7404</v>
      </c>
      <c r="P3821" s="2" t="s">
        <v>10559</v>
      </c>
      <c r="Q3821" s="2" t="str">
        <f>"293-E/10"</f>
        <v>293-E/10</v>
      </c>
      <c r="R3821" s="2"/>
      <c r="S3821" s="2"/>
      <c r="T3821" s="2">
        <v>1</v>
      </c>
      <c r="U3821" s="2" t="s">
        <v>79</v>
      </c>
      <c r="V3821" s="2">
        <v>1</v>
      </c>
      <c r="W3821" s="2" t="s">
        <v>80</v>
      </c>
      <c r="X3821" s="2">
        <v>12</v>
      </c>
      <c r="Y3821" s="2" t="s">
        <v>148</v>
      </c>
      <c r="Z3821" s="2">
        <v>1</v>
      </c>
      <c r="AA3821" s="2" t="s">
        <v>82</v>
      </c>
      <c r="AB3821" s="2">
        <v>9</v>
      </c>
      <c r="AC3821" s="2" t="s">
        <v>124</v>
      </c>
      <c r="AD3821" s="3">
        <v>40437</v>
      </c>
      <c r="AE3821" s="2"/>
      <c r="AF3821" s="3">
        <v>40437</v>
      </c>
      <c r="AG3821" s="4">
        <v>0.40972222222222227</v>
      </c>
      <c r="AH3821" s="2">
        <v>2</v>
      </c>
      <c r="AI3821" s="2" t="s">
        <v>84</v>
      </c>
      <c r="AJ3821" s="2">
        <v>9</v>
      </c>
      <c r="AK3821" s="2" t="s">
        <v>103</v>
      </c>
      <c r="AL3821" s="2">
        <v>14</v>
      </c>
      <c r="AM3821" s="2" t="s">
        <v>216</v>
      </c>
      <c r="AN3821" s="2" t="s">
        <v>12139</v>
      </c>
      <c r="AO3821" s="2"/>
      <c r="AP3821" s="2">
        <v>11</v>
      </c>
      <c r="AQ3821" s="2" t="s">
        <v>82</v>
      </c>
      <c r="AR3821" s="2"/>
      <c r="AS3821" s="2"/>
      <c r="AT3821" s="2" t="s">
        <v>12140</v>
      </c>
      <c r="AU3821" s="2"/>
      <c r="AV3821" s="2"/>
      <c r="AW3821" s="2">
        <v>1</v>
      </c>
      <c r="AX3821" s="2"/>
      <c r="AY3821" s="2">
        <v>69</v>
      </c>
      <c r="AZ3821" s="2" t="s">
        <v>483</v>
      </c>
      <c r="BA3821" s="2">
        <v>41</v>
      </c>
      <c r="BB3821" s="2" t="s">
        <v>82</v>
      </c>
      <c r="BC3821" s="2">
        <v>41</v>
      </c>
      <c r="BD3821" s="2" t="s">
        <v>82</v>
      </c>
      <c r="BE3821" s="2">
        <v>41</v>
      </c>
      <c r="BF3821" s="2" t="s">
        <v>82</v>
      </c>
      <c r="BG3821" s="2"/>
      <c r="BH3821" s="2"/>
      <c r="BI3821" s="2"/>
      <c r="BJ3821" s="2">
        <v>241</v>
      </c>
      <c r="BK3821" s="2" t="s">
        <v>82</v>
      </c>
      <c r="BL3821" s="2"/>
      <c r="BM3821" s="2">
        <v>241</v>
      </c>
      <c r="BN3821" s="2" t="s">
        <v>82</v>
      </c>
      <c r="BO3821" s="2"/>
      <c r="BP3821" s="2">
        <v>241</v>
      </c>
      <c r="BQ3821" s="2" t="s">
        <v>82</v>
      </c>
      <c r="BR3821" s="2"/>
      <c r="BS3821" s="3">
        <v>40437</v>
      </c>
      <c r="BT3821" s="4">
        <v>0.90127314814814818</v>
      </c>
    </row>
    <row r="3822" spans="1:72" x14ac:dyDescent="0.25">
      <c r="A3822" s="2">
        <v>5665</v>
      </c>
      <c r="B3822" s="2">
        <v>2010</v>
      </c>
      <c r="C3822" s="2" t="s">
        <v>554</v>
      </c>
      <c r="D3822" s="2" t="s">
        <v>73</v>
      </c>
      <c r="E3822" s="2" t="s">
        <v>12138</v>
      </c>
      <c r="F3822" s="2">
        <v>2</v>
      </c>
      <c r="G3822" s="2" t="s">
        <v>113</v>
      </c>
      <c r="H3822" s="2">
        <v>4</v>
      </c>
      <c r="I3822" s="2" t="s">
        <v>173</v>
      </c>
      <c r="J3822" s="2">
        <v>300</v>
      </c>
      <c r="K3822" s="2" t="s">
        <v>114</v>
      </c>
      <c r="L3822" s="2" t="s">
        <v>115</v>
      </c>
      <c r="M3822" s="3">
        <v>40437</v>
      </c>
      <c r="N3822" s="2" t="s">
        <v>2621</v>
      </c>
      <c r="O3822" s="2" t="s">
        <v>7404</v>
      </c>
      <c r="P3822" s="2" t="s">
        <v>10559</v>
      </c>
      <c r="Q3822" s="2" t="str">
        <f>"293-E/10"</f>
        <v>293-E/10</v>
      </c>
      <c r="R3822" s="2"/>
      <c r="S3822" s="2"/>
      <c r="T3822" s="2">
        <v>1</v>
      </c>
      <c r="U3822" s="2" t="s">
        <v>79</v>
      </c>
      <c r="V3822" s="2">
        <v>1</v>
      </c>
      <c r="W3822" s="2" t="s">
        <v>80</v>
      </c>
      <c r="X3822" s="2">
        <v>12</v>
      </c>
      <c r="Y3822" s="2" t="s">
        <v>148</v>
      </c>
      <c r="Z3822" s="2">
        <v>1</v>
      </c>
      <c r="AA3822" s="2" t="s">
        <v>82</v>
      </c>
      <c r="AB3822" s="2">
        <v>5</v>
      </c>
      <c r="AC3822" s="2" t="s">
        <v>559</v>
      </c>
      <c r="AD3822" s="3">
        <v>40437</v>
      </c>
      <c r="AE3822" s="2"/>
      <c r="AF3822" s="3">
        <v>40437</v>
      </c>
      <c r="AG3822" s="4">
        <v>0.40972222222222227</v>
      </c>
      <c r="AH3822" s="2">
        <v>2</v>
      </c>
      <c r="AI3822" s="2" t="s">
        <v>84</v>
      </c>
      <c r="AJ3822" s="2">
        <v>9</v>
      </c>
      <c r="AK3822" s="2" t="s">
        <v>103</v>
      </c>
      <c r="AL3822" s="2">
        <v>14</v>
      </c>
      <c r="AM3822" s="2" t="s">
        <v>216</v>
      </c>
      <c r="AN3822" s="2" t="s">
        <v>12139</v>
      </c>
      <c r="AO3822" s="2"/>
      <c r="AP3822" s="2">
        <v>11</v>
      </c>
      <c r="AQ3822" s="2" t="s">
        <v>82</v>
      </c>
      <c r="AR3822" s="2"/>
      <c r="AS3822" s="2"/>
      <c r="AT3822" s="2" t="s">
        <v>12140</v>
      </c>
      <c r="AU3822" s="2"/>
      <c r="AV3822" s="2"/>
      <c r="AW3822" s="2">
        <v>1</v>
      </c>
      <c r="AX3822" s="2"/>
      <c r="AY3822" s="2">
        <v>69</v>
      </c>
      <c r="AZ3822" s="2" t="s">
        <v>483</v>
      </c>
      <c r="BA3822" s="2">
        <v>41</v>
      </c>
      <c r="BB3822" s="2" t="s">
        <v>82</v>
      </c>
      <c r="BC3822" s="2">
        <v>41</v>
      </c>
      <c r="BD3822" s="2" t="s">
        <v>82</v>
      </c>
      <c r="BE3822" s="2">
        <v>41</v>
      </c>
      <c r="BF3822" s="2" t="s">
        <v>82</v>
      </c>
      <c r="BG3822" s="2"/>
      <c r="BH3822" s="2"/>
      <c r="BI3822" s="2"/>
      <c r="BJ3822" s="2">
        <v>241</v>
      </c>
      <c r="BK3822" s="2" t="s">
        <v>82</v>
      </c>
      <c r="BL3822" s="2"/>
      <c r="BM3822" s="2">
        <v>241</v>
      </c>
      <c r="BN3822" s="2" t="s">
        <v>82</v>
      </c>
      <c r="BO3822" s="2"/>
      <c r="BP3822" s="2">
        <v>241</v>
      </c>
      <c r="BQ3822" s="2" t="s">
        <v>82</v>
      </c>
      <c r="BR3822" s="2"/>
      <c r="BS3822" s="3">
        <v>40437</v>
      </c>
      <c r="BT3822" s="4">
        <v>0.90127314814814818</v>
      </c>
    </row>
    <row r="3823" spans="1:72" x14ac:dyDescent="0.25">
      <c r="A3823" s="2">
        <v>5666</v>
      </c>
      <c r="B3823" s="2">
        <v>2010</v>
      </c>
      <c r="C3823" s="2" t="s">
        <v>171</v>
      </c>
      <c r="D3823" s="2" t="s">
        <v>73</v>
      </c>
      <c r="E3823" s="2"/>
      <c r="F3823" s="2">
        <v>651</v>
      </c>
      <c r="G3823" s="2" t="s">
        <v>2454</v>
      </c>
      <c r="H3823" s="2">
        <v>56</v>
      </c>
      <c r="I3823" s="2" t="s">
        <v>3372</v>
      </c>
      <c r="J3823" s="2">
        <v>19</v>
      </c>
      <c r="K3823" s="2" t="s">
        <v>2144</v>
      </c>
      <c r="L3823" s="2" t="s">
        <v>2145</v>
      </c>
      <c r="M3823" s="3">
        <v>40437</v>
      </c>
      <c r="N3823" s="2" t="s">
        <v>3555</v>
      </c>
      <c r="O3823" s="2"/>
      <c r="P3823" s="2"/>
      <c r="Q3823" s="2" t="str">
        <f>"54/10"</f>
        <v>54/10</v>
      </c>
      <c r="R3823" s="2"/>
      <c r="S3823" s="2" t="s">
        <v>8493</v>
      </c>
      <c r="T3823" s="2">
        <v>1</v>
      </c>
      <c r="U3823" s="2" t="s">
        <v>79</v>
      </c>
      <c r="V3823" s="2">
        <v>1</v>
      </c>
      <c r="W3823" s="2" t="s">
        <v>80</v>
      </c>
      <c r="X3823" s="2">
        <v>3</v>
      </c>
      <c r="Y3823" s="2" t="s">
        <v>698</v>
      </c>
      <c r="Z3823" s="2">
        <v>2</v>
      </c>
      <c r="AA3823" s="2" t="s">
        <v>2148</v>
      </c>
      <c r="AB3823" s="2">
        <v>1</v>
      </c>
      <c r="AC3823" s="2" t="s">
        <v>178</v>
      </c>
      <c r="AD3823" s="3">
        <v>40437</v>
      </c>
      <c r="AE3823" s="4">
        <v>0.62708333333333333</v>
      </c>
      <c r="AF3823" s="2"/>
      <c r="AG3823" s="2"/>
      <c r="AH3823" s="2">
        <v>3</v>
      </c>
      <c r="AI3823" s="2" t="s">
        <v>214</v>
      </c>
      <c r="AJ3823" s="2">
        <v>24</v>
      </c>
      <c r="AK3823" s="2" t="s">
        <v>215</v>
      </c>
      <c r="AL3823" s="2">
        <v>25</v>
      </c>
      <c r="AM3823" s="2" t="s">
        <v>3073</v>
      </c>
      <c r="AN3823" s="2" t="s">
        <v>12141</v>
      </c>
      <c r="AO3823" s="2"/>
      <c r="AP3823" s="2">
        <v>11</v>
      </c>
      <c r="AQ3823" s="2" t="s">
        <v>82</v>
      </c>
      <c r="AR3823" s="2"/>
      <c r="AS3823" s="2"/>
      <c r="AT3823" s="2" t="s">
        <v>12142</v>
      </c>
      <c r="AU3823" s="2">
        <v>1</v>
      </c>
      <c r="AV3823" s="2"/>
      <c r="AW3823" s="2"/>
      <c r="AX3823" s="2"/>
      <c r="AY3823" s="2">
        <v>42</v>
      </c>
      <c r="AZ3823" s="2" t="s">
        <v>182</v>
      </c>
      <c r="BA3823" s="2">
        <v>41</v>
      </c>
      <c r="BB3823" s="2" t="s">
        <v>82</v>
      </c>
      <c r="BC3823" s="2">
        <v>41</v>
      </c>
      <c r="BD3823" s="2" t="s">
        <v>82</v>
      </c>
      <c r="BE3823" s="2">
        <v>17</v>
      </c>
      <c r="BF3823" s="2" t="s">
        <v>508</v>
      </c>
      <c r="BG3823" s="2" t="s">
        <v>6256</v>
      </c>
      <c r="BH3823" s="4">
        <v>0.79583333333333339</v>
      </c>
      <c r="BI3823" s="4">
        <v>0.73888888888888893</v>
      </c>
      <c r="BJ3823" s="2">
        <v>13</v>
      </c>
      <c r="BK3823" s="2" t="s">
        <v>91</v>
      </c>
      <c r="BL3823" s="2" t="s">
        <v>169</v>
      </c>
      <c r="BM3823" s="2">
        <v>46</v>
      </c>
      <c r="BN3823" s="2" t="s">
        <v>307</v>
      </c>
      <c r="BO3823" s="2"/>
      <c r="BP3823" s="2">
        <v>46</v>
      </c>
      <c r="BQ3823" s="2" t="s">
        <v>307</v>
      </c>
      <c r="BR3823" s="2" t="s">
        <v>308</v>
      </c>
      <c r="BS3823" s="3">
        <v>40437</v>
      </c>
      <c r="BT3823" s="4">
        <v>0.92155092592592591</v>
      </c>
    </row>
    <row r="3824" spans="1:72" x14ac:dyDescent="0.25">
      <c r="A3824" s="2">
        <v>5667</v>
      </c>
      <c r="B3824" s="2">
        <v>2010</v>
      </c>
      <c r="C3824" s="2" t="s">
        <v>4543</v>
      </c>
      <c r="D3824" s="2" t="s">
        <v>122</v>
      </c>
      <c r="E3824" s="2"/>
      <c r="F3824" s="2">
        <v>1</v>
      </c>
      <c r="G3824" s="2" t="s">
        <v>82</v>
      </c>
      <c r="H3824" s="2">
        <v>1</v>
      </c>
      <c r="I3824" s="2" t="s">
        <v>82</v>
      </c>
      <c r="J3824" s="2">
        <v>1</v>
      </c>
      <c r="K3824" s="2" t="s">
        <v>107</v>
      </c>
      <c r="L3824" s="2" t="s">
        <v>107</v>
      </c>
      <c r="M3824" s="3">
        <v>40437</v>
      </c>
      <c r="N3824" s="2"/>
      <c r="O3824" s="2"/>
      <c r="P3824" s="2"/>
      <c r="Q3824" s="2" t="str">
        <f>""</f>
        <v/>
      </c>
      <c r="R3824" s="2"/>
      <c r="S3824" s="2"/>
      <c r="T3824" s="2">
        <v>2</v>
      </c>
      <c r="U3824" s="2" t="s">
        <v>123</v>
      </c>
      <c r="V3824" s="2">
        <v>1</v>
      </c>
      <c r="W3824" s="2" t="s">
        <v>80</v>
      </c>
      <c r="X3824" s="2">
        <v>5</v>
      </c>
      <c r="Y3824" s="2" t="s">
        <v>82</v>
      </c>
      <c r="Z3824" s="2">
        <v>1</v>
      </c>
      <c r="AA3824" s="2" t="s">
        <v>82</v>
      </c>
      <c r="AB3824" s="2">
        <v>9</v>
      </c>
      <c r="AC3824" s="2" t="s">
        <v>124</v>
      </c>
      <c r="AD3824" s="3">
        <v>40437</v>
      </c>
      <c r="AE3824" s="4">
        <v>0.86805555555555547</v>
      </c>
      <c r="AF3824" s="2"/>
      <c r="AG3824" s="2"/>
      <c r="AH3824" s="2">
        <v>6</v>
      </c>
      <c r="AI3824" s="2" t="s">
        <v>197</v>
      </c>
      <c r="AJ3824" s="2">
        <v>51</v>
      </c>
      <c r="AK3824" s="2" t="s">
        <v>238</v>
      </c>
      <c r="AL3824" s="2">
        <v>24</v>
      </c>
      <c r="AM3824" s="2" t="s">
        <v>1540</v>
      </c>
      <c r="AN3824" s="2"/>
      <c r="AO3824" s="2"/>
      <c r="AP3824" s="2">
        <v>11</v>
      </c>
      <c r="AQ3824" s="2" t="s">
        <v>82</v>
      </c>
      <c r="AR3824" s="2"/>
      <c r="AS3824" s="2"/>
      <c r="AT3824" s="2" t="s">
        <v>12143</v>
      </c>
      <c r="AU3824" s="2"/>
      <c r="AV3824" s="2"/>
      <c r="AW3824" s="2"/>
      <c r="AX3824" s="2"/>
      <c r="AY3824" s="2">
        <v>41</v>
      </c>
      <c r="AZ3824" s="2" t="s">
        <v>82</v>
      </c>
      <c r="BA3824" s="2">
        <v>41</v>
      </c>
      <c r="BB3824" s="2" t="s">
        <v>82</v>
      </c>
      <c r="BC3824" s="2">
        <v>41</v>
      </c>
      <c r="BD3824" s="2" t="s">
        <v>82</v>
      </c>
      <c r="BE3824" s="2">
        <v>47</v>
      </c>
      <c r="BF3824" s="2" t="s">
        <v>167</v>
      </c>
      <c r="BG3824" s="2">
        <v>2656</v>
      </c>
      <c r="BH3824" s="4">
        <v>0.86111111111111116</v>
      </c>
      <c r="BI3824" s="2"/>
      <c r="BJ3824" s="2">
        <v>13</v>
      </c>
      <c r="BK3824" s="2" t="s">
        <v>91</v>
      </c>
      <c r="BL3824" s="2" t="s">
        <v>185</v>
      </c>
      <c r="BM3824" s="2">
        <v>241</v>
      </c>
      <c r="BN3824" s="2" t="s">
        <v>82</v>
      </c>
      <c r="BO3824" s="2"/>
      <c r="BP3824" s="2">
        <v>13</v>
      </c>
      <c r="BQ3824" s="2" t="s">
        <v>91</v>
      </c>
      <c r="BR3824" s="2" t="s">
        <v>241</v>
      </c>
      <c r="BS3824" s="3">
        <v>40437</v>
      </c>
      <c r="BT3824" s="4">
        <v>0.97525462962962972</v>
      </c>
    </row>
    <row r="3825" spans="1:72" x14ac:dyDescent="0.25">
      <c r="A3825" s="2">
        <v>5668</v>
      </c>
      <c r="B3825" s="2">
        <v>2010</v>
      </c>
      <c r="C3825" s="2" t="s">
        <v>196</v>
      </c>
      <c r="D3825" s="2" t="s">
        <v>122</v>
      </c>
      <c r="E3825" s="2" t="s">
        <v>12144</v>
      </c>
      <c r="F3825" s="2">
        <v>1</v>
      </c>
      <c r="G3825" s="2" t="s">
        <v>82</v>
      </c>
      <c r="H3825" s="2">
        <v>1</v>
      </c>
      <c r="I3825" s="2" t="s">
        <v>82</v>
      </c>
      <c r="J3825" s="2">
        <v>1</v>
      </c>
      <c r="K3825" s="2" t="s">
        <v>107</v>
      </c>
      <c r="L3825" s="2" t="s">
        <v>107</v>
      </c>
      <c r="M3825" s="3">
        <v>40437</v>
      </c>
      <c r="N3825" s="2" t="s">
        <v>82</v>
      </c>
      <c r="O3825" s="2" t="s">
        <v>82</v>
      </c>
      <c r="P3825" s="2" t="s">
        <v>82</v>
      </c>
      <c r="Q3825" s="2" t="str">
        <f>"N/C"</f>
        <v>N/C</v>
      </c>
      <c r="R3825" s="2" t="s">
        <v>82</v>
      </c>
      <c r="S3825" s="2" t="s">
        <v>82</v>
      </c>
      <c r="T3825" s="2">
        <v>2</v>
      </c>
      <c r="U3825" s="2" t="s">
        <v>123</v>
      </c>
      <c r="V3825" s="2">
        <v>1</v>
      </c>
      <c r="W3825" s="2" t="s">
        <v>80</v>
      </c>
      <c r="X3825" s="2">
        <v>11</v>
      </c>
      <c r="Y3825" s="2" t="s">
        <v>1920</v>
      </c>
      <c r="Z3825" s="2">
        <v>4</v>
      </c>
      <c r="AA3825" s="2" t="s">
        <v>182</v>
      </c>
      <c r="AB3825" s="2">
        <v>9</v>
      </c>
      <c r="AC3825" s="2" t="s">
        <v>124</v>
      </c>
      <c r="AD3825" s="3">
        <v>40437</v>
      </c>
      <c r="AE3825" s="4">
        <v>0.70833333333333337</v>
      </c>
      <c r="AF3825" s="2"/>
      <c r="AG3825" s="2"/>
      <c r="AH3825" s="2">
        <v>5</v>
      </c>
      <c r="AI3825" s="2" t="s">
        <v>274</v>
      </c>
      <c r="AJ3825" s="2">
        <v>45</v>
      </c>
      <c r="AK3825" s="2" t="s">
        <v>834</v>
      </c>
      <c r="AL3825" s="2">
        <v>10</v>
      </c>
      <c r="AM3825" s="2" t="s">
        <v>200</v>
      </c>
      <c r="AN3825" s="2" t="s">
        <v>82</v>
      </c>
      <c r="AO3825" s="2" t="s">
        <v>82</v>
      </c>
      <c r="AP3825" s="2">
        <v>11</v>
      </c>
      <c r="AQ3825" s="2" t="s">
        <v>82</v>
      </c>
      <c r="AR3825" s="2" t="s">
        <v>82</v>
      </c>
      <c r="AS3825" s="2" t="s">
        <v>82</v>
      </c>
      <c r="AT3825" s="2" t="s">
        <v>12145</v>
      </c>
      <c r="AU3825" s="2"/>
      <c r="AV3825" s="2"/>
      <c r="AW3825" s="2"/>
      <c r="AX3825" s="2"/>
      <c r="AY3825" s="2">
        <v>41</v>
      </c>
      <c r="AZ3825" s="2" t="s">
        <v>82</v>
      </c>
      <c r="BA3825" s="2">
        <v>41</v>
      </c>
      <c r="BB3825" s="2" t="s">
        <v>82</v>
      </c>
      <c r="BC3825" s="2">
        <v>41</v>
      </c>
      <c r="BD3825" s="2" t="s">
        <v>82</v>
      </c>
      <c r="BE3825" s="2">
        <v>42</v>
      </c>
      <c r="BF3825" s="2" t="s">
        <v>182</v>
      </c>
      <c r="BG3825" s="2" t="s">
        <v>265</v>
      </c>
      <c r="BH3825" s="4">
        <v>0.83680555555555547</v>
      </c>
      <c r="BI3825" s="4">
        <v>0.97569444444444453</v>
      </c>
      <c r="BJ3825" s="2">
        <v>13</v>
      </c>
      <c r="BK3825" s="2" t="s">
        <v>91</v>
      </c>
      <c r="BL3825" s="2" t="s">
        <v>534</v>
      </c>
      <c r="BM3825" s="2">
        <v>13</v>
      </c>
      <c r="BN3825" s="2" t="s">
        <v>91</v>
      </c>
      <c r="BO3825" s="2" t="s">
        <v>1705</v>
      </c>
      <c r="BP3825" s="2">
        <v>13</v>
      </c>
      <c r="BQ3825" s="2" t="s">
        <v>91</v>
      </c>
      <c r="BR3825" s="2" t="s">
        <v>534</v>
      </c>
      <c r="BS3825" s="3">
        <v>40437</v>
      </c>
      <c r="BT3825" s="4">
        <v>0.98184027777777771</v>
      </c>
    </row>
    <row r="3826" spans="1:72" x14ac:dyDescent="0.25">
      <c r="A3826" s="2">
        <v>5669</v>
      </c>
      <c r="B3826" s="2">
        <v>2010</v>
      </c>
      <c r="C3826" s="2" t="s">
        <v>72</v>
      </c>
      <c r="D3826" s="2" t="s">
        <v>73</v>
      </c>
      <c r="E3826" s="2"/>
      <c r="F3826" s="2">
        <v>219</v>
      </c>
      <c r="G3826" s="2" t="s">
        <v>2325</v>
      </c>
      <c r="H3826" s="2">
        <v>42</v>
      </c>
      <c r="I3826" s="2" t="s">
        <v>1096</v>
      </c>
      <c r="J3826" s="2">
        <v>665</v>
      </c>
      <c r="K3826" s="2" t="s">
        <v>12146</v>
      </c>
      <c r="L3826" s="2" t="s">
        <v>12147</v>
      </c>
      <c r="M3826" s="3">
        <v>40438</v>
      </c>
      <c r="N3826" s="2" t="s">
        <v>12148</v>
      </c>
      <c r="O3826" s="2"/>
      <c r="P3826" s="2"/>
      <c r="Q3826" s="2" t="str">
        <f>"372-A/10"</f>
        <v>372-A/10</v>
      </c>
      <c r="R3826" s="2" t="s">
        <v>156</v>
      </c>
      <c r="S3826" s="2" t="s">
        <v>156</v>
      </c>
      <c r="T3826" s="2">
        <v>1</v>
      </c>
      <c r="U3826" s="2" t="s">
        <v>79</v>
      </c>
      <c r="V3826" s="2">
        <v>1</v>
      </c>
      <c r="W3826" s="2" t="s">
        <v>80</v>
      </c>
      <c r="X3826" s="2">
        <v>12</v>
      </c>
      <c r="Y3826" s="2" t="s">
        <v>148</v>
      </c>
      <c r="Z3826" s="2">
        <v>1</v>
      </c>
      <c r="AA3826" s="2" t="s">
        <v>82</v>
      </c>
      <c r="AB3826" s="2">
        <v>6</v>
      </c>
      <c r="AC3826" s="2" t="s">
        <v>83</v>
      </c>
      <c r="AD3826" s="3">
        <v>40402</v>
      </c>
      <c r="AE3826" s="2"/>
      <c r="AF3826" s="3">
        <v>40437</v>
      </c>
      <c r="AG3826" s="4">
        <v>0.84722222222222221</v>
      </c>
      <c r="AH3826" s="2">
        <v>2</v>
      </c>
      <c r="AI3826" s="2" t="s">
        <v>84</v>
      </c>
      <c r="AJ3826" s="2">
        <v>12</v>
      </c>
      <c r="AK3826" s="2" t="s">
        <v>85</v>
      </c>
      <c r="AL3826" s="2">
        <v>22</v>
      </c>
      <c r="AM3826" s="2" t="s">
        <v>1853</v>
      </c>
      <c r="AN3826" s="2"/>
      <c r="AO3826" s="2" t="s">
        <v>12149</v>
      </c>
      <c r="AP3826" s="2">
        <v>11</v>
      </c>
      <c r="AQ3826" s="2" t="s">
        <v>82</v>
      </c>
      <c r="AR3826" s="2"/>
      <c r="AS3826" s="2"/>
      <c r="AT3826" s="2" t="s">
        <v>12150</v>
      </c>
      <c r="AU3826" s="2"/>
      <c r="AV3826" s="2"/>
      <c r="AW3826" s="2"/>
      <c r="AX3826" s="2"/>
      <c r="AY3826" s="2">
        <v>41</v>
      </c>
      <c r="AZ3826" s="2" t="s">
        <v>82</v>
      </c>
      <c r="BA3826" s="2">
        <v>41</v>
      </c>
      <c r="BB3826" s="2" t="s">
        <v>82</v>
      </c>
      <c r="BC3826" s="2">
        <v>41</v>
      </c>
      <c r="BD3826" s="2" t="s">
        <v>82</v>
      </c>
      <c r="BE3826" s="2">
        <v>4</v>
      </c>
      <c r="BF3826" s="2" t="s">
        <v>90</v>
      </c>
      <c r="BG3826" s="2" t="s">
        <v>12151</v>
      </c>
      <c r="BH3826" s="4">
        <v>0.66666666666666663</v>
      </c>
      <c r="BI3826" s="4">
        <v>0.60069444444444442</v>
      </c>
      <c r="BJ3826" s="2">
        <v>13</v>
      </c>
      <c r="BK3826" s="2" t="s">
        <v>91</v>
      </c>
      <c r="BL3826" s="2" t="s">
        <v>92</v>
      </c>
      <c r="BM3826" s="2">
        <v>241</v>
      </c>
      <c r="BN3826" s="2" t="s">
        <v>82</v>
      </c>
      <c r="BO3826" s="2"/>
      <c r="BP3826" s="2">
        <v>13</v>
      </c>
      <c r="BQ3826" s="2" t="s">
        <v>91</v>
      </c>
      <c r="BR3826" s="2" t="s">
        <v>564</v>
      </c>
      <c r="BS3826" s="3">
        <v>40438</v>
      </c>
      <c r="BT3826" s="4">
        <v>1.6608796296296299E-2</v>
      </c>
    </row>
    <row r="3827" spans="1:72" x14ac:dyDescent="0.25">
      <c r="A3827" s="2">
        <v>5670</v>
      </c>
      <c r="B3827" s="2">
        <v>2010</v>
      </c>
      <c r="C3827" s="2" t="s">
        <v>196</v>
      </c>
      <c r="D3827" s="2" t="s">
        <v>122</v>
      </c>
      <c r="E3827" s="2"/>
      <c r="F3827" s="2">
        <v>1</v>
      </c>
      <c r="G3827" s="2" t="s">
        <v>82</v>
      </c>
      <c r="H3827" s="2">
        <v>1</v>
      </c>
      <c r="I3827" s="2" t="s">
        <v>82</v>
      </c>
      <c r="J3827" s="2">
        <v>1</v>
      </c>
      <c r="K3827" s="2" t="s">
        <v>107</v>
      </c>
      <c r="L3827" s="2" t="s">
        <v>107</v>
      </c>
      <c r="M3827" s="3">
        <v>40438</v>
      </c>
      <c r="N3827" s="2"/>
      <c r="O3827" s="2"/>
      <c r="P3827" s="2"/>
      <c r="Q3827" s="2" t="str">
        <f>""</f>
        <v/>
      </c>
      <c r="R3827" s="2"/>
      <c r="S3827" s="2"/>
      <c r="T3827" s="2">
        <v>2</v>
      </c>
      <c r="U3827" s="2" t="s">
        <v>123</v>
      </c>
      <c r="V3827" s="2">
        <v>1</v>
      </c>
      <c r="W3827" s="2" t="s">
        <v>80</v>
      </c>
      <c r="X3827" s="2">
        <v>11</v>
      </c>
      <c r="Y3827" s="2" t="s">
        <v>1920</v>
      </c>
      <c r="Z3827" s="2">
        <v>1</v>
      </c>
      <c r="AA3827" s="2" t="s">
        <v>82</v>
      </c>
      <c r="AB3827" s="2">
        <v>9</v>
      </c>
      <c r="AC3827" s="2" t="s">
        <v>124</v>
      </c>
      <c r="AD3827" s="3">
        <v>40437</v>
      </c>
      <c r="AE3827" s="4">
        <v>0.9375</v>
      </c>
      <c r="AF3827" s="2"/>
      <c r="AG3827" s="2"/>
      <c r="AH3827" s="2">
        <v>2</v>
      </c>
      <c r="AI3827" s="2" t="s">
        <v>84</v>
      </c>
      <c r="AJ3827" s="2">
        <v>12</v>
      </c>
      <c r="AK3827" s="2" t="s">
        <v>85</v>
      </c>
      <c r="AL3827" s="2">
        <v>20</v>
      </c>
      <c r="AM3827" s="2" t="s">
        <v>992</v>
      </c>
      <c r="AN3827" s="2" t="s">
        <v>8386</v>
      </c>
      <c r="AO3827" s="2"/>
      <c r="AP3827" s="2">
        <v>11</v>
      </c>
      <c r="AQ3827" s="2" t="s">
        <v>82</v>
      </c>
      <c r="AR3827" s="2"/>
      <c r="AS3827" s="2"/>
      <c r="AT3827" s="2" t="s">
        <v>12152</v>
      </c>
      <c r="AU3827" s="2"/>
      <c r="AV3827" s="2"/>
      <c r="AW3827" s="2"/>
      <c r="AX3827" s="2"/>
      <c r="AY3827" s="2">
        <v>41</v>
      </c>
      <c r="AZ3827" s="2" t="s">
        <v>82</v>
      </c>
      <c r="BA3827" s="2">
        <v>41</v>
      </c>
      <c r="BB3827" s="2" t="s">
        <v>82</v>
      </c>
      <c r="BC3827" s="2">
        <v>70</v>
      </c>
      <c r="BD3827" s="2" t="s">
        <v>236</v>
      </c>
      <c r="BE3827" s="2">
        <v>41</v>
      </c>
      <c r="BF3827" s="2" t="s">
        <v>82</v>
      </c>
      <c r="BG3827" s="2"/>
      <c r="BH3827" s="4">
        <v>0.99652777777777779</v>
      </c>
      <c r="BI3827" s="4">
        <v>6.9444444444444447E-4</v>
      </c>
      <c r="BJ3827" s="2">
        <v>13</v>
      </c>
      <c r="BK3827" s="2" t="s">
        <v>91</v>
      </c>
      <c r="BL3827" s="2" t="s">
        <v>1705</v>
      </c>
      <c r="BM3827" s="2">
        <v>241</v>
      </c>
      <c r="BN3827" s="2" t="s">
        <v>82</v>
      </c>
      <c r="BO3827" s="2"/>
      <c r="BP3827" s="2">
        <v>13</v>
      </c>
      <c r="BQ3827" s="2" t="s">
        <v>91</v>
      </c>
      <c r="BR3827" s="2" t="s">
        <v>185</v>
      </c>
      <c r="BS3827" s="3">
        <v>40438</v>
      </c>
      <c r="BT3827" s="4">
        <v>4.7407407407407405E-2</v>
      </c>
    </row>
    <row r="3828" spans="1:72" x14ac:dyDescent="0.25">
      <c r="A3828" s="2">
        <v>5671</v>
      </c>
      <c r="B3828" s="2">
        <v>2010</v>
      </c>
      <c r="C3828" s="2" t="s">
        <v>171</v>
      </c>
      <c r="D3828" s="2" t="s">
        <v>73</v>
      </c>
      <c r="E3828" s="2"/>
      <c r="F3828" s="2">
        <v>400</v>
      </c>
      <c r="G3828" s="2" t="s">
        <v>3601</v>
      </c>
      <c r="H3828" s="2">
        <v>17</v>
      </c>
      <c r="I3828" s="2" t="s">
        <v>3602</v>
      </c>
      <c r="J3828" s="2">
        <v>316</v>
      </c>
      <c r="K3828" s="2" t="s">
        <v>574</v>
      </c>
      <c r="L3828" s="2" t="s">
        <v>575</v>
      </c>
      <c r="M3828" s="3">
        <v>40438</v>
      </c>
      <c r="N3828" s="2" t="s">
        <v>12153</v>
      </c>
      <c r="O3828" s="2" t="s">
        <v>12154</v>
      </c>
      <c r="P3828" s="2">
        <v>9995</v>
      </c>
      <c r="Q3828" s="2" t="str">
        <f>""</f>
        <v/>
      </c>
      <c r="R3828" s="2" t="s">
        <v>82</v>
      </c>
      <c r="S3828" s="2"/>
      <c r="T3828" s="2">
        <v>1</v>
      </c>
      <c r="U3828" s="2" t="s">
        <v>79</v>
      </c>
      <c r="V3828" s="2">
        <v>1</v>
      </c>
      <c r="W3828" s="2" t="s">
        <v>80</v>
      </c>
      <c r="X3828" s="2">
        <v>9</v>
      </c>
      <c r="Y3828" s="2" t="s">
        <v>3393</v>
      </c>
      <c r="Z3828" s="2">
        <v>1</v>
      </c>
      <c r="AA3828" s="2" t="s">
        <v>82</v>
      </c>
      <c r="AB3828" s="2">
        <v>1</v>
      </c>
      <c r="AC3828" s="2" t="s">
        <v>178</v>
      </c>
      <c r="AD3828" s="3">
        <v>40438</v>
      </c>
      <c r="AE3828" s="4">
        <v>0</v>
      </c>
      <c r="AF3828" s="2"/>
      <c r="AG3828" s="2"/>
      <c r="AH3828" s="2">
        <v>2</v>
      </c>
      <c r="AI3828" s="2" t="s">
        <v>84</v>
      </c>
      <c r="AJ3828" s="2">
        <v>6</v>
      </c>
      <c r="AK3828" s="2" t="s">
        <v>453</v>
      </c>
      <c r="AL3828" s="2">
        <v>23</v>
      </c>
      <c r="AM3828" s="2" t="s">
        <v>251</v>
      </c>
      <c r="AN3828" s="2"/>
      <c r="AO3828" s="2" t="s">
        <v>12155</v>
      </c>
      <c r="AP3828" s="2">
        <v>11</v>
      </c>
      <c r="AQ3828" s="2" t="s">
        <v>82</v>
      </c>
      <c r="AR3828" s="2"/>
      <c r="AS3828" s="2"/>
      <c r="AT3828" s="2" t="s">
        <v>12156</v>
      </c>
      <c r="AU3828" s="2"/>
      <c r="AV3828" s="2"/>
      <c r="AW3828" s="2"/>
      <c r="AX3828" s="2"/>
      <c r="AY3828" s="2">
        <v>41</v>
      </c>
      <c r="AZ3828" s="2" t="s">
        <v>82</v>
      </c>
      <c r="BA3828" s="2">
        <v>41</v>
      </c>
      <c r="BB3828" s="2" t="s">
        <v>82</v>
      </c>
      <c r="BC3828" s="2">
        <v>41</v>
      </c>
      <c r="BD3828" s="2" t="s">
        <v>82</v>
      </c>
      <c r="BE3828" s="2">
        <v>41</v>
      </c>
      <c r="BF3828" s="2" t="s">
        <v>82</v>
      </c>
      <c r="BG3828" s="2"/>
      <c r="BH3828" s="2"/>
      <c r="BI3828" s="2"/>
      <c r="BJ3828" s="2">
        <v>241</v>
      </c>
      <c r="BK3828" s="2" t="s">
        <v>82</v>
      </c>
      <c r="BL3828" s="2"/>
      <c r="BM3828" s="2">
        <v>241</v>
      </c>
      <c r="BN3828" s="2" t="s">
        <v>82</v>
      </c>
      <c r="BO3828" s="2"/>
      <c r="BP3828" s="2">
        <v>241</v>
      </c>
      <c r="BQ3828" s="2" t="s">
        <v>82</v>
      </c>
      <c r="BR3828" s="2"/>
      <c r="BS3828" s="3">
        <v>40438</v>
      </c>
      <c r="BT3828" s="4">
        <v>4.927083333333334E-2</v>
      </c>
    </row>
    <row r="3829" spans="1:72" x14ac:dyDescent="0.25">
      <c r="A3829" s="2">
        <v>5672</v>
      </c>
      <c r="B3829" s="2">
        <v>2010</v>
      </c>
      <c r="C3829" s="2" t="s">
        <v>385</v>
      </c>
      <c r="D3829" s="2" t="s">
        <v>122</v>
      </c>
      <c r="E3829" s="2"/>
      <c r="F3829" s="2">
        <v>651</v>
      </c>
      <c r="G3829" s="2" t="s">
        <v>2454</v>
      </c>
      <c r="H3829" s="2">
        <v>4</v>
      </c>
      <c r="I3829" s="2" t="s">
        <v>173</v>
      </c>
      <c r="J3829" s="2">
        <v>19</v>
      </c>
      <c r="K3829" s="2" t="s">
        <v>2144</v>
      </c>
      <c r="L3829" s="2" t="s">
        <v>2145</v>
      </c>
      <c r="M3829" s="3">
        <v>40438</v>
      </c>
      <c r="N3829" s="2" t="s">
        <v>3178</v>
      </c>
      <c r="O3829" s="2" t="s">
        <v>107</v>
      </c>
      <c r="P3829" s="2" t="s">
        <v>107</v>
      </c>
      <c r="Q3829" s="2" t="str">
        <f>"54/10"</f>
        <v>54/10</v>
      </c>
      <c r="R3829" s="2" t="s">
        <v>8493</v>
      </c>
      <c r="S3829" s="2" t="s">
        <v>8493</v>
      </c>
      <c r="T3829" s="2">
        <v>1</v>
      </c>
      <c r="U3829" s="2" t="s">
        <v>79</v>
      </c>
      <c r="V3829" s="2">
        <v>1</v>
      </c>
      <c r="W3829" s="2" t="s">
        <v>80</v>
      </c>
      <c r="X3829" s="2">
        <v>11</v>
      </c>
      <c r="Y3829" s="2" t="s">
        <v>1920</v>
      </c>
      <c r="Z3829" s="2">
        <v>10</v>
      </c>
      <c r="AA3829" s="2" t="s">
        <v>236</v>
      </c>
      <c r="AB3829" s="2">
        <v>9</v>
      </c>
      <c r="AC3829" s="2" t="s">
        <v>124</v>
      </c>
      <c r="AD3829" s="3">
        <v>40438</v>
      </c>
      <c r="AE3829" s="4">
        <v>2.7777777777777776E-2</v>
      </c>
      <c r="AF3829" s="2"/>
      <c r="AG3829" s="2"/>
      <c r="AH3829" s="2">
        <v>3</v>
      </c>
      <c r="AI3829" s="2" t="s">
        <v>214</v>
      </c>
      <c r="AJ3829" s="2">
        <v>24</v>
      </c>
      <c r="AK3829" s="2" t="s">
        <v>215</v>
      </c>
      <c r="AL3829" s="2">
        <v>23</v>
      </c>
      <c r="AM3829" s="2" t="s">
        <v>251</v>
      </c>
      <c r="AN3829" s="2" t="s">
        <v>12157</v>
      </c>
      <c r="AO3829" s="2" t="s">
        <v>12158</v>
      </c>
      <c r="AP3829" s="2">
        <v>11</v>
      </c>
      <c r="AQ3829" s="2" t="s">
        <v>82</v>
      </c>
      <c r="AR3829" s="2"/>
      <c r="AS3829" s="2"/>
      <c r="AT3829" s="2" t="s">
        <v>12159</v>
      </c>
      <c r="AU3829" s="2">
        <v>1</v>
      </c>
      <c r="AV3829" s="2"/>
      <c r="AW3829" s="2"/>
      <c r="AX3829" s="2"/>
      <c r="AY3829" s="2">
        <v>42</v>
      </c>
      <c r="AZ3829" s="2" t="s">
        <v>182</v>
      </c>
      <c r="BA3829" s="2">
        <v>41</v>
      </c>
      <c r="BB3829" s="2" t="s">
        <v>82</v>
      </c>
      <c r="BC3829" s="2">
        <v>41</v>
      </c>
      <c r="BD3829" s="2" t="s">
        <v>82</v>
      </c>
      <c r="BE3829" s="2">
        <v>41</v>
      </c>
      <c r="BF3829" s="2" t="s">
        <v>82</v>
      </c>
      <c r="BG3829" s="2"/>
      <c r="BH3829" s="2"/>
      <c r="BI3829" s="2"/>
      <c r="BJ3829" s="2">
        <v>241</v>
      </c>
      <c r="BK3829" s="2" t="s">
        <v>82</v>
      </c>
      <c r="BL3829" s="2"/>
      <c r="BM3829" s="2">
        <v>241</v>
      </c>
      <c r="BN3829" s="2" t="s">
        <v>82</v>
      </c>
      <c r="BO3829" s="2"/>
      <c r="BP3829" s="2">
        <v>241</v>
      </c>
      <c r="BQ3829" s="2" t="s">
        <v>82</v>
      </c>
      <c r="BR3829" s="2"/>
      <c r="BS3829" s="3">
        <v>40438</v>
      </c>
      <c r="BT3829" s="4">
        <v>0.13206018518518517</v>
      </c>
    </row>
    <row r="3830" spans="1:72" x14ac:dyDescent="0.25">
      <c r="A3830" s="2">
        <v>5673</v>
      </c>
      <c r="B3830" s="2">
        <v>2010</v>
      </c>
      <c r="C3830" s="2" t="s">
        <v>72</v>
      </c>
      <c r="D3830" s="2" t="s">
        <v>73</v>
      </c>
      <c r="E3830" s="2"/>
      <c r="F3830" s="2">
        <v>167</v>
      </c>
      <c r="G3830" s="2" t="s">
        <v>11567</v>
      </c>
      <c r="H3830" s="2">
        <v>42</v>
      </c>
      <c r="I3830" s="2" t="s">
        <v>1096</v>
      </c>
      <c r="J3830" s="2">
        <v>656</v>
      </c>
      <c r="K3830" s="2" t="s">
        <v>11603</v>
      </c>
      <c r="L3830" s="2" t="s">
        <v>4885</v>
      </c>
      <c r="M3830" s="3">
        <v>40438</v>
      </c>
      <c r="N3830" s="2" t="s">
        <v>12160</v>
      </c>
      <c r="O3830" s="2" t="s">
        <v>82</v>
      </c>
      <c r="P3830" s="2" t="s">
        <v>82</v>
      </c>
      <c r="Q3830" s="2" t="str">
        <f>"373-A/10"</f>
        <v>373-A/10</v>
      </c>
      <c r="R3830" s="2" t="s">
        <v>78</v>
      </c>
      <c r="S3830" s="2" t="s">
        <v>78</v>
      </c>
      <c r="T3830" s="2">
        <v>1</v>
      </c>
      <c r="U3830" s="2" t="s">
        <v>79</v>
      </c>
      <c r="V3830" s="2">
        <v>1</v>
      </c>
      <c r="W3830" s="2" t="s">
        <v>80</v>
      </c>
      <c r="X3830" s="2">
        <v>12</v>
      </c>
      <c r="Y3830" s="2" t="s">
        <v>148</v>
      </c>
      <c r="Z3830" s="2">
        <v>1</v>
      </c>
      <c r="AA3830" s="2" t="s">
        <v>82</v>
      </c>
      <c r="AB3830" s="2">
        <v>6</v>
      </c>
      <c r="AC3830" s="2" t="s">
        <v>83</v>
      </c>
      <c r="AD3830" s="3">
        <v>40438</v>
      </c>
      <c r="AE3830" s="2"/>
      <c r="AF3830" s="3">
        <v>40438</v>
      </c>
      <c r="AG3830" s="4">
        <v>0.22916666666666666</v>
      </c>
      <c r="AH3830" s="2">
        <v>2</v>
      </c>
      <c r="AI3830" s="2" t="s">
        <v>84</v>
      </c>
      <c r="AJ3830" s="2">
        <v>12</v>
      </c>
      <c r="AK3830" s="2" t="s">
        <v>85</v>
      </c>
      <c r="AL3830" s="2">
        <v>12</v>
      </c>
      <c r="AM3830" s="2" t="s">
        <v>86</v>
      </c>
      <c r="AN3830" s="2" t="s">
        <v>12161</v>
      </c>
      <c r="AO3830" s="2" t="s">
        <v>12162</v>
      </c>
      <c r="AP3830" s="2">
        <v>11</v>
      </c>
      <c r="AQ3830" s="2" t="s">
        <v>82</v>
      </c>
      <c r="AR3830" s="2" t="s">
        <v>82</v>
      </c>
      <c r="AS3830" s="2" t="s">
        <v>82</v>
      </c>
      <c r="AT3830" s="2" t="s">
        <v>12163</v>
      </c>
      <c r="AU3830" s="2"/>
      <c r="AV3830" s="2"/>
      <c r="AW3830" s="2"/>
      <c r="AX3830" s="2"/>
      <c r="AY3830" s="2">
        <v>41</v>
      </c>
      <c r="AZ3830" s="2" t="s">
        <v>82</v>
      </c>
      <c r="BA3830" s="2">
        <v>41</v>
      </c>
      <c r="BB3830" s="2" t="s">
        <v>82</v>
      </c>
      <c r="BC3830" s="2">
        <v>41</v>
      </c>
      <c r="BD3830" s="2" t="s">
        <v>82</v>
      </c>
      <c r="BE3830" s="2">
        <v>41</v>
      </c>
      <c r="BF3830" s="2" t="s">
        <v>82</v>
      </c>
      <c r="BG3830" s="2"/>
      <c r="BH3830" s="2"/>
      <c r="BI3830" s="2"/>
      <c r="BJ3830" s="2">
        <v>241</v>
      </c>
      <c r="BK3830" s="2" t="s">
        <v>82</v>
      </c>
      <c r="BL3830" s="2" t="s">
        <v>82</v>
      </c>
      <c r="BM3830" s="2">
        <v>241</v>
      </c>
      <c r="BN3830" s="2" t="s">
        <v>82</v>
      </c>
      <c r="BO3830" s="2"/>
      <c r="BP3830" s="2">
        <v>241</v>
      </c>
      <c r="BQ3830" s="2" t="s">
        <v>82</v>
      </c>
      <c r="BR3830" s="2" t="s">
        <v>82</v>
      </c>
      <c r="BS3830" s="3">
        <v>40438</v>
      </c>
      <c r="BT3830" s="4">
        <v>0.29128472222222224</v>
      </c>
    </row>
    <row r="3831" spans="1:72" x14ac:dyDescent="0.25">
      <c r="A3831" s="2">
        <v>5675</v>
      </c>
      <c r="B3831" s="2">
        <v>2010</v>
      </c>
      <c r="C3831" s="2" t="s">
        <v>147</v>
      </c>
      <c r="D3831" s="2" t="s">
        <v>73</v>
      </c>
      <c r="E3831" s="2"/>
      <c r="F3831" s="2">
        <v>1</v>
      </c>
      <c r="G3831" s="2" t="s">
        <v>82</v>
      </c>
      <c r="H3831" s="2">
        <v>1</v>
      </c>
      <c r="I3831" s="2" t="s">
        <v>82</v>
      </c>
      <c r="J3831" s="2">
        <v>1</v>
      </c>
      <c r="K3831" s="2" t="s">
        <v>107</v>
      </c>
      <c r="L3831" s="2" t="s">
        <v>107</v>
      </c>
      <c r="M3831" s="3">
        <v>40438</v>
      </c>
      <c r="N3831" s="2"/>
      <c r="O3831" s="2"/>
      <c r="P3831" s="2"/>
      <c r="Q3831" s="2" t="str">
        <f>"AP_0079/10"</f>
        <v>AP_0079/10</v>
      </c>
      <c r="R3831" s="2" t="s">
        <v>12164</v>
      </c>
      <c r="S3831" s="2"/>
      <c r="T3831" s="2">
        <v>2</v>
      </c>
      <c r="U3831" s="2" t="s">
        <v>123</v>
      </c>
      <c r="V3831" s="2">
        <v>1</v>
      </c>
      <c r="W3831" s="2" t="s">
        <v>80</v>
      </c>
      <c r="X3831" s="2">
        <v>12</v>
      </c>
      <c r="Y3831" s="2" t="s">
        <v>148</v>
      </c>
      <c r="Z3831" s="2">
        <v>1</v>
      </c>
      <c r="AA3831" s="2" t="s">
        <v>82</v>
      </c>
      <c r="AB3831" s="2">
        <v>9</v>
      </c>
      <c r="AC3831" s="2" t="s">
        <v>124</v>
      </c>
      <c r="AD3831" s="2"/>
      <c r="AE3831" s="2"/>
      <c r="AF3831" s="3">
        <v>40438</v>
      </c>
      <c r="AG3831" s="4">
        <v>0.36458333333333331</v>
      </c>
      <c r="AH3831" s="2">
        <v>6</v>
      </c>
      <c r="AI3831" s="2" t="s">
        <v>197</v>
      </c>
      <c r="AJ3831" s="2">
        <v>52</v>
      </c>
      <c r="AK3831" s="2" t="s">
        <v>4746</v>
      </c>
      <c r="AL3831" s="2">
        <v>19</v>
      </c>
      <c r="AM3831" s="2" t="s">
        <v>107</v>
      </c>
      <c r="AN3831" s="2" t="s">
        <v>82</v>
      </c>
      <c r="AO3831" s="2" t="s">
        <v>82</v>
      </c>
      <c r="AP3831" s="2">
        <v>11</v>
      </c>
      <c r="AQ3831" s="2" t="s">
        <v>82</v>
      </c>
      <c r="AR3831" s="2"/>
      <c r="AS3831" s="2"/>
      <c r="AT3831" s="2" t="s">
        <v>12165</v>
      </c>
      <c r="AU3831" s="2"/>
      <c r="AV3831" s="2"/>
      <c r="AW3831" s="2"/>
      <c r="AX3831" s="2"/>
      <c r="AY3831" s="2">
        <v>41</v>
      </c>
      <c r="AZ3831" s="2" t="s">
        <v>82</v>
      </c>
      <c r="BA3831" s="2">
        <v>41</v>
      </c>
      <c r="BB3831" s="2" t="s">
        <v>82</v>
      </c>
      <c r="BC3831" s="2">
        <v>41</v>
      </c>
      <c r="BD3831" s="2" t="s">
        <v>82</v>
      </c>
      <c r="BE3831" s="2">
        <v>41</v>
      </c>
      <c r="BF3831" s="2" t="s">
        <v>82</v>
      </c>
      <c r="BG3831" s="2"/>
      <c r="BH3831" s="2"/>
      <c r="BI3831" s="2"/>
      <c r="BJ3831" s="2">
        <v>241</v>
      </c>
      <c r="BK3831" s="2" t="s">
        <v>82</v>
      </c>
      <c r="BL3831" s="2"/>
      <c r="BM3831" s="2">
        <v>241</v>
      </c>
      <c r="BN3831" s="2" t="s">
        <v>82</v>
      </c>
      <c r="BO3831" s="2"/>
      <c r="BP3831" s="2">
        <v>241</v>
      </c>
      <c r="BQ3831" s="2" t="s">
        <v>82</v>
      </c>
      <c r="BR3831" s="2"/>
      <c r="BS3831" s="3">
        <v>40438</v>
      </c>
      <c r="BT3831" s="4">
        <v>0.40468750000000003</v>
      </c>
    </row>
    <row r="3832" spans="1:72" x14ac:dyDescent="0.25">
      <c r="A3832" s="2">
        <v>5678</v>
      </c>
      <c r="B3832" s="2">
        <v>2010</v>
      </c>
      <c r="C3832" s="2" t="s">
        <v>72</v>
      </c>
      <c r="D3832" s="2" t="s">
        <v>73</v>
      </c>
      <c r="E3832" s="2"/>
      <c r="F3832" s="2">
        <v>2</v>
      </c>
      <c r="G3832" s="2" t="s">
        <v>113</v>
      </c>
      <c r="H3832" s="2">
        <v>42</v>
      </c>
      <c r="I3832" s="2" t="s">
        <v>1096</v>
      </c>
      <c r="J3832" s="2">
        <v>300</v>
      </c>
      <c r="K3832" s="2" t="s">
        <v>114</v>
      </c>
      <c r="L3832" s="2" t="s">
        <v>115</v>
      </c>
      <c r="M3832" s="3">
        <v>40438</v>
      </c>
      <c r="N3832" s="2" t="s">
        <v>107</v>
      </c>
      <c r="O3832" s="2"/>
      <c r="P3832" s="2"/>
      <c r="Q3832" s="2" t="str">
        <f>"472-E/10"</f>
        <v>472-E/10</v>
      </c>
      <c r="R3832" s="2" t="s">
        <v>116</v>
      </c>
      <c r="S3832" s="2" t="s">
        <v>116</v>
      </c>
      <c r="T3832" s="2">
        <v>1</v>
      </c>
      <c r="U3832" s="2" t="s">
        <v>79</v>
      </c>
      <c r="V3832" s="2">
        <v>1</v>
      </c>
      <c r="W3832" s="2" t="s">
        <v>80</v>
      </c>
      <c r="X3832" s="2">
        <v>12</v>
      </c>
      <c r="Y3832" s="2" t="s">
        <v>148</v>
      </c>
      <c r="Z3832" s="2">
        <v>1</v>
      </c>
      <c r="AA3832" s="2" t="s">
        <v>82</v>
      </c>
      <c r="AB3832" s="2">
        <v>6</v>
      </c>
      <c r="AC3832" s="2" t="s">
        <v>83</v>
      </c>
      <c r="AD3832" s="3">
        <v>40435</v>
      </c>
      <c r="AE3832" s="2"/>
      <c r="AF3832" s="3">
        <v>40438</v>
      </c>
      <c r="AG3832" s="4">
        <v>0.43055555555555558</v>
      </c>
      <c r="AH3832" s="2">
        <v>2</v>
      </c>
      <c r="AI3832" s="2" t="s">
        <v>84</v>
      </c>
      <c r="AJ3832" s="2">
        <v>9</v>
      </c>
      <c r="AK3832" s="2" t="s">
        <v>103</v>
      </c>
      <c r="AL3832" s="2">
        <v>17</v>
      </c>
      <c r="AM3832" s="2" t="s">
        <v>232</v>
      </c>
      <c r="AN3832" s="2" t="s">
        <v>12166</v>
      </c>
      <c r="AO3832" s="2"/>
      <c r="AP3832" s="2">
        <v>11</v>
      </c>
      <c r="AQ3832" s="2" t="s">
        <v>82</v>
      </c>
      <c r="AR3832" s="2"/>
      <c r="AS3832" s="2"/>
      <c r="AT3832" s="2" t="s">
        <v>12167</v>
      </c>
      <c r="AU3832" s="2"/>
      <c r="AV3832" s="2"/>
      <c r="AW3832" s="2"/>
      <c r="AX3832" s="2"/>
      <c r="AY3832" s="2">
        <v>41</v>
      </c>
      <c r="AZ3832" s="2" t="s">
        <v>82</v>
      </c>
      <c r="BA3832" s="2">
        <v>41</v>
      </c>
      <c r="BB3832" s="2" t="s">
        <v>82</v>
      </c>
      <c r="BC3832" s="2">
        <v>41</v>
      </c>
      <c r="BD3832" s="2" t="s">
        <v>82</v>
      </c>
      <c r="BE3832" s="2">
        <v>41</v>
      </c>
      <c r="BF3832" s="2" t="s">
        <v>82</v>
      </c>
      <c r="BG3832" s="2"/>
      <c r="BH3832" s="2"/>
      <c r="BI3832" s="2"/>
      <c r="BJ3832" s="2">
        <v>241</v>
      </c>
      <c r="BK3832" s="2" t="s">
        <v>82</v>
      </c>
      <c r="BL3832" s="2"/>
      <c r="BM3832" s="2">
        <v>241</v>
      </c>
      <c r="BN3832" s="2" t="s">
        <v>82</v>
      </c>
      <c r="BO3832" s="2"/>
      <c r="BP3832" s="2">
        <v>241</v>
      </c>
      <c r="BQ3832" s="2" t="s">
        <v>82</v>
      </c>
      <c r="BR3832" s="2"/>
      <c r="BS3832" s="3">
        <v>40438</v>
      </c>
      <c r="BT3832" s="4">
        <v>0.49524305555555559</v>
      </c>
    </row>
    <row r="3833" spans="1:72" x14ac:dyDescent="0.25">
      <c r="A3833" s="2">
        <v>5684</v>
      </c>
      <c r="B3833" s="2">
        <v>2010</v>
      </c>
      <c r="C3833" s="2" t="s">
        <v>93</v>
      </c>
      <c r="D3833" s="2" t="s">
        <v>73</v>
      </c>
      <c r="E3833" s="2"/>
      <c r="F3833" s="2">
        <v>131</v>
      </c>
      <c r="G3833" s="2" t="s">
        <v>8806</v>
      </c>
      <c r="H3833" s="2">
        <v>42</v>
      </c>
      <c r="I3833" s="2" t="s">
        <v>1096</v>
      </c>
      <c r="J3833" s="2">
        <v>146</v>
      </c>
      <c r="K3833" s="2" t="s">
        <v>9164</v>
      </c>
      <c r="L3833" s="2" t="s">
        <v>9165</v>
      </c>
      <c r="M3833" s="3">
        <v>40438</v>
      </c>
      <c r="N3833" s="2" t="s">
        <v>12168</v>
      </c>
      <c r="O3833" s="2" t="s">
        <v>12169</v>
      </c>
      <c r="P3833" s="2">
        <v>469</v>
      </c>
      <c r="Q3833" s="2" t="str">
        <f>"AP_0048_10"</f>
        <v>AP_0048_10</v>
      </c>
      <c r="R3833" s="2" t="s">
        <v>685</v>
      </c>
      <c r="S3833" s="2" t="s">
        <v>82</v>
      </c>
      <c r="T3833" s="2">
        <v>1</v>
      </c>
      <c r="U3833" s="2" t="s">
        <v>79</v>
      </c>
      <c r="V3833" s="2">
        <v>1</v>
      </c>
      <c r="W3833" s="2" t="s">
        <v>80</v>
      </c>
      <c r="X3833" s="2">
        <v>1</v>
      </c>
      <c r="Y3833" s="2" t="s">
        <v>81</v>
      </c>
      <c r="Z3833" s="2">
        <v>1</v>
      </c>
      <c r="AA3833" s="2" t="s">
        <v>82</v>
      </c>
      <c r="AB3833" s="2">
        <v>2</v>
      </c>
      <c r="AC3833" s="2" t="s">
        <v>102</v>
      </c>
      <c r="AD3833" s="3">
        <v>40438</v>
      </c>
      <c r="AE3833" s="4">
        <v>0.54861111111111105</v>
      </c>
      <c r="AF3833" s="2"/>
      <c r="AG3833" s="2"/>
      <c r="AH3833" s="2">
        <v>6</v>
      </c>
      <c r="AI3833" s="2" t="s">
        <v>197</v>
      </c>
      <c r="AJ3833" s="2">
        <v>61</v>
      </c>
      <c r="AK3833" s="2" t="s">
        <v>686</v>
      </c>
      <c r="AL3833" s="2">
        <v>11</v>
      </c>
      <c r="AM3833" s="2" t="s">
        <v>137</v>
      </c>
      <c r="AN3833" s="2" t="s">
        <v>10766</v>
      </c>
      <c r="AO3833" s="2" t="s">
        <v>6881</v>
      </c>
      <c r="AP3833" s="2">
        <v>11</v>
      </c>
      <c r="AQ3833" s="2" t="s">
        <v>82</v>
      </c>
      <c r="AR3833" s="2" t="s">
        <v>82</v>
      </c>
      <c r="AS3833" s="2" t="s">
        <v>82</v>
      </c>
      <c r="AT3833" s="2" t="s">
        <v>12170</v>
      </c>
      <c r="AU3833" s="2"/>
      <c r="AV3833" s="2"/>
      <c r="AW3833" s="2"/>
      <c r="AX3833" s="2"/>
      <c r="AY3833" s="2">
        <v>41</v>
      </c>
      <c r="AZ3833" s="2" t="s">
        <v>82</v>
      </c>
      <c r="BA3833" s="2">
        <v>41</v>
      </c>
      <c r="BB3833" s="2" t="s">
        <v>82</v>
      </c>
      <c r="BC3833" s="2">
        <v>41</v>
      </c>
      <c r="BD3833" s="2" t="s">
        <v>82</v>
      </c>
      <c r="BE3833" s="2">
        <v>13</v>
      </c>
      <c r="BF3833" s="2" t="s">
        <v>108</v>
      </c>
      <c r="BG3833" s="2" t="s">
        <v>12171</v>
      </c>
      <c r="BH3833" s="2"/>
      <c r="BI3833" s="4">
        <v>0.57638888888888895</v>
      </c>
      <c r="BJ3833" s="2">
        <v>13</v>
      </c>
      <c r="BK3833" s="2" t="s">
        <v>91</v>
      </c>
      <c r="BL3833" s="2" t="s">
        <v>690</v>
      </c>
      <c r="BM3833" s="2">
        <v>13</v>
      </c>
      <c r="BN3833" s="2" t="s">
        <v>91</v>
      </c>
      <c r="BO3833" s="2"/>
      <c r="BP3833" s="2">
        <v>13</v>
      </c>
      <c r="BQ3833" s="2" t="s">
        <v>91</v>
      </c>
      <c r="BR3833" s="2" t="s">
        <v>4995</v>
      </c>
      <c r="BS3833" s="3">
        <v>40438</v>
      </c>
      <c r="BT3833" s="4">
        <v>0.60753472222222216</v>
      </c>
    </row>
    <row r="3834" spans="1:72" x14ac:dyDescent="0.25">
      <c r="A3834" s="2">
        <v>5686</v>
      </c>
      <c r="B3834" s="2">
        <v>2010</v>
      </c>
      <c r="C3834" s="2" t="s">
        <v>385</v>
      </c>
      <c r="D3834" s="2" t="s">
        <v>122</v>
      </c>
      <c r="E3834" s="2"/>
      <c r="F3834" s="2">
        <v>499</v>
      </c>
      <c r="G3834" s="2" t="s">
        <v>2177</v>
      </c>
      <c r="H3834" s="2">
        <v>9</v>
      </c>
      <c r="I3834" s="2" t="s">
        <v>794</v>
      </c>
      <c r="J3834" s="2">
        <v>33</v>
      </c>
      <c r="K3834" s="2" t="s">
        <v>2178</v>
      </c>
      <c r="L3834" s="2" t="s">
        <v>1877</v>
      </c>
      <c r="M3834" s="3">
        <v>40438</v>
      </c>
      <c r="N3834" s="2" t="s">
        <v>10476</v>
      </c>
      <c r="O3834" s="2" t="s">
        <v>12172</v>
      </c>
      <c r="P3834" s="2">
        <v>5385</v>
      </c>
      <c r="Q3834" s="2" t="str">
        <f>""</f>
        <v/>
      </c>
      <c r="R3834" s="2"/>
      <c r="S3834" s="2"/>
      <c r="T3834" s="2">
        <v>1</v>
      </c>
      <c r="U3834" s="2" t="s">
        <v>79</v>
      </c>
      <c r="V3834" s="2">
        <v>1</v>
      </c>
      <c r="W3834" s="2" t="s">
        <v>80</v>
      </c>
      <c r="X3834" s="2">
        <v>11</v>
      </c>
      <c r="Y3834" s="2" t="s">
        <v>1920</v>
      </c>
      <c r="Z3834" s="2">
        <v>10</v>
      </c>
      <c r="AA3834" s="2" t="s">
        <v>236</v>
      </c>
      <c r="AB3834" s="2">
        <v>9</v>
      </c>
      <c r="AC3834" s="2" t="s">
        <v>124</v>
      </c>
      <c r="AD3834" s="3">
        <v>40438</v>
      </c>
      <c r="AE3834" s="4">
        <v>0.52083333333333337</v>
      </c>
      <c r="AF3834" s="2"/>
      <c r="AG3834" s="2"/>
      <c r="AH3834" s="2">
        <v>2</v>
      </c>
      <c r="AI3834" s="2" t="s">
        <v>84</v>
      </c>
      <c r="AJ3834" s="2">
        <v>6</v>
      </c>
      <c r="AK3834" s="2" t="s">
        <v>453</v>
      </c>
      <c r="AL3834" s="2">
        <v>23</v>
      </c>
      <c r="AM3834" s="2" t="s">
        <v>251</v>
      </c>
      <c r="AN3834" s="2" t="s">
        <v>12173</v>
      </c>
      <c r="AO3834" s="2" t="s">
        <v>584</v>
      </c>
      <c r="AP3834" s="2">
        <v>11</v>
      </c>
      <c r="AQ3834" s="2" t="s">
        <v>82</v>
      </c>
      <c r="AR3834" s="2"/>
      <c r="AS3834" s="2"/>
      <c r="AT3834" s="2" t="s">
        <v>12174</v>
      </c>
      <c r="AU3834" s="2">
        <v>1</v>
      </c>
      <c r="AV3834" s="2"/>
      <c r="AW3834" s="2"/>
      <c r="AX3834" s="2"/>
      <c r="AY3834" s="2">
        <v>42</v>
      </c>
      <c r="AZ3834" s="2" t="s">
        <v>182</v>
      </c>
      <c r="BA3834" s="2">
        <v>70</v>
      </c>
      <c r="BB3834" s="2" t="s">
        <v>236</v>
      </c>
      <c r="BC3834" s="2">
        <v>70</v>
      </c>
      <c r="BD3834" s="2" t="s">
        <v>236</v>
      </c>
      <c r="BE3834" s="2">
        <v>41</v>
      </c>
      <c r="BF3834" s="2" t="s">
        <v>82</v>
      </c>
      <c r="BG3834" s="2"/>
      <c r="BH3834" s="2"/>
      <c r="BI3834" s="2"/>
      <c r="BJ3834" s="2">
        <v>241</v>
      </c>
      <c r="BK3834" s="2" t="s">
        <v>82</v>
      </c>
      <c r="BL3834" s="2"/>
      <c r="BM3834" s="2">
        <v>241</v>
      </c>
      <c r="BN3834" s="2" t="s">
        <v>82</v>
      </c>
      <c r="BO3834" s="2"/>
      <c r="BP3834" s="2">
        <v>241</v>
      </c>
      <c r="BQ3834" s="2" t="s">
        <v>82</v>
      </c>
      <c r="BR3834" s="2"/>
      <c r="BS3834" s="3">
        <v>40438</v>
      </c>
      <c r="BT3834" s="4">
        <v>0.63995370370370364</v>
      </c>
    </row>
    <row r="3835" spans="1:72" x14ac:dyDescent="0.25">
      <c r="A3835" s="2">
        <v>5688</v>
      </c>
      <c r="B3835" s="2">
        <v>2010</v>
      </c>
      <c r="C3835" s="2" t="s">
        <v>72</v>
      </c>
      <c r="D3835" s="2" t="s">
        <v>73</v>
      </c>
      <c r="E3835" s="2"/>
      <c r="F3835" s="2">
        <v>438</v>
      </c>
      <c r="G3835" s="2" t="s">
        <v>7090</v>
      </c>
      <c r="H3835" s="2">
        <v>42</v>
      </c>
      <c r="I3835" s="2" t="s">
        <v>1096</v>
      </c>
      <c r="J3835" s="2">
        <v>327</v>
      </c>
      <c r="K3835" s="2" t="s">
        <v>7091</v>
      </c>
      <c r="L3835" s="2" t="s">
        <v>7092</v>
      </c>
      <c r="M3835" s="3">
        <v>40438</v>
      </c>
      <c r="N3835" s="2" t="s">
        <v>7093</v>
      </c>
      <c r="O3835" s="2"/>
      <c r="P3835" s="2"/>
      <c r="Q3835" s="2" t="str">
        <f>"0095/10"</f>
        <v>0095/10</v>
      </c>
      <c r="R3835" s="2"/>
      <c r="S3835" s="2" t="s">
        <v>12175</v>
      </c>
      <c r="T3835" s="2">
        <v>1</v>
      </c>
      <c r="U3835" s="2" t="s">
        <v>79</v>
      </c>
      <c r="V3835" s="2">
        <v>1</v>
      </c>
      <c r="W3835" s="2" t="s">
        <v>80</v>
      </c>
      <c r="X3835" s="2">
        <v>12</v>
      </c>
      <c r="Y3835" s="2" t="s">
        <v>148</v>
      </c>
      <c r="Z3835" s="2">
        <v>1</v>
      </c>
      <c r="AA3835" s="2" t="s">
        <v>82</v>
      </c>
      <c r="AB3835" s="2">
        <v>6</v>
      </c>
      <c r="AC3835" s="2" t="s">
        <v>83</v>
      </c>
      <c r="AD3835" s="3">
        <v>40438</v>
      </c>
      <c r="AE3835" s="2"/>
      <c r="AF3835" s="3">
        <v>40438</v>
      </c>
      <c r="AG3835" s="4">
        <v>0.42708333333333331</v>
      </c>
      <c r="AH3835" s="2">
        <v>4</v>
      </c>
      <c r="AI3835" s="2" t="s">
        <v>125</v>
      </c>
      <c r="AJ3835" s="2">
        <v>29</v>
      </c>
      <c r="AK3835" s="2" t="s">
        <v>227</v>
      </c>
      <c r="AL3835" s="2">
        <v>22</v>
      </c>
      <c r="AM3835" s="2" t="s">
        <v>1853</v>
      </c>
      <c r="AN3835" s="2"/>
      <c r="AO3835" s="2"/>
      <c r="AP3835" s="2">
        <v>12</v>
      </c>
      <c r="AQ3835" s="2" t="s">
        <v>322</v>
      </c>
      <c r="AR3835" s="2" t="s">
        <v>12176</v>
      </c>
      <c r="AS3835" s="2" t="s">
        <v>12177</v>
      </c>
      <c r="AT3835" s="2" t="s">
        <v>12178</v>
      </c>
      <c r="AU3835" s="2"/>
      <c r="AV3835" s="2"/>
      <c r="AW3835" s="2"/>
      <c r="AX3835" s="2"/>
      <c r="AY3835" s="2">
        <v>53</v>
      </c>
      <c r="AZ3835" s="2" t="s">
        <v>12179</v>
      </c>
      <c r="BA3835" s="2">
        <v>70</v>
      </c>
      <c r="BB3835" s="2" t="s">
        <v>236</v>
      </c>
      <c r="BC3835" s="2">
        <v>129</v>
      </c>
      <c r="BD3835" s="2" t="s">
        <v>322</v>
      </c>
      <c r="BE3835" s="2">
        <v>13</v>
      </c>
      <c r="BF3835" s="2" t="s">
        <v>108</v>
      </c>
      <c r="BG3835" s="2">
        <v>1450</v>
      </c>
      <c r="BH3835" s="4">
        <v>0.36458333333333331</v>
      </c>
      <c r="BI3835" s="4">
        <v>0.3888888888888889</v>
      </c>
      <c r="BJ3835" s="2">
        <v>13</v>
      </c>
      <c r="BK3835" s="2" t="s">
        <v>91</v>
      </c>
      <c r="BL3835" s="2" t="s">
        <v>828</v>
      </c>
      <c r="BM3835" s="2">
        <v>13</v>
      </c>
      <c r="BN3835" s="2" t="s">
        <v>91</v>
      </c>
      <c r="BO3835" s="2"/>
      <c r="BP3835" s="2">
        <v>13</v>
      </c>
      <c r="BQ3835" s="2" t="s">
        <v>91</v>
      </c>
      <c r="BR3835" s="2" t="s">
        <v>185</v>
      </c>
      <c r="BS3835" s="3">
        <v>40438</v>
      </c>
      <c r="BT3835" s="4">
        <v>0.66346064814814809</v>
      </c>
    </row>
    <row r="3836" spans="1:72" x14ac:dyDescent="0.25">
      <c r="A3836" s="2">
        <v>5689</v>
      </c>
      <c r="B3836" s="2">
        <v>2010</v>
      </c>
      <c r="C3836" s="2" t="s">
        <v>171</v>
      </c>
      <c r="D3836" s="2" t="s">
        <v>122</v>
      </c>
      <c r="E3836" s="2" t="s">
        <v>11265</v>
      </c>
      <c r="F3836" s="2">
        <v>425</v>
      </c>
      <c r="G3836" s="2" t="s">
        <v>286</v>
      </c>
      <c r="H3836" s="2">
        <v>39</v>
      </c>
      <c r="I3836" s="2" t="s">
        <v>1117</v>
      </c>
      <c r="J3836" s="2">
        <v>310</v>
      </c>
      <c r="K3836" s="2" t="s">
        <v>288</v>
      </c>
      <c r="L3836" s="2" t="s">
        <v>289</v>
      </c>
      <c r="M3836" s="3">
        <v>40438</v>
      </c>
      <c r="N3836" s="2" t="s">
        <v>1882</v>
      </c>
      <c r="O3836" s="2" t="s">
        <v>11243</v>
      </c>
      <c r="P3836" s="2" t="s">
        <v>1688</v>
      </c>
      <c r="Q3836" s="2" t="str">
        <f>"101"</f>
        <v>101</v>
      </c>
      <c r="R3836" s="2" t="s">
        <v>318</v>
      </c>
      <c r="S3836" s="2"/>
      <c r="T3836" s="2">
        <v>1</v>
      </c>
      <c r="U3836" s="2" t="s">
        <v>79</v>
      </c>
      <c r="V3836" s="2">
        <v>3</v>
      </c>
      <c r="W3836" s="2" t="s">
        <v>225</v>
      </c>
      <c r="X3836" s="2">
        <v>5</v>
      </c>
      <c r="Y3836" s="2" t="s">
        <v>82</v>
      </c>
      <c r="Z3836" s="2">
        <v>1</v>
      </c>
      <c r="AA3836" s="2" t="s">
        <v>82</v>
      </c>
      <c r="AB3836" s="2">
        <v>9</v>
      </c>
      <c r="AC3836" s="2" t="s">
        <v>124</v>
      </c>
      <c r="AD3836" s="2"/>
      <c r="AE3836" s="2"/>
      <c r="AF3836" s="2"/>
      <c r="AG3836" s="2"/>
      <c r="AH3836" s="2">
        <v>4</v>
      </c>
      <c r="AI3836" s="2" t="s">
        <v>125</v>
      </c>
      <c r="AJ3836" s="2">
        <v>26</v>
      </c>
      <c r="AK3836" s="2" t="s">
        <v>293</v>
      </c>
      <c r="AL3836" s="2">
        <v>23</v>
      </c>
      <c r="AM3836" s="2" t="s">
        <v>251</v>
      </c>
      <c r="AN3836" s="2" t="s">
        <v>11244</v>
      </c>
      <c r="AO3836" s="2" t="s">
        <v>11245</v>
      </c>
      <c r="AP3836" s="2">
        <v>11</v>
      </c>
      <c r="AQ3836" s="2" t="s">
        <v>82</v>
      </c>
      <c r="AR3836" s="2"/>
      <c r="AS3836" s="2"/>
      <c r="AT3836" s="2" t="s">
        <v>12180</v>
      </c>
      <c r="AU3836" s="2"/>
      <c r="AV3836" s="2"/>
      <c r="AW3836" s="2"/>
      <c r="AX3836" s="2"/>
      <c r="AY3836" s="2">
        <v>1</v>
      </c>
      <c r="AZ3836" s="2" t="s">
        <v>107</v>
      </c>
      <c r="BA3836" s="2">
        <v>1</v>
      </c>
      <c r="BB3836" s="2" t="s">
        <v>107</v>
      </c>
      <c r="BC3836" s="2">
        <v>1</v>
      </c>
      <c r="BD3836" s="2" t="s">
        <v>107</v>
      </c>
      <c r="BE3836" s="2">
        <v>1</v>
      </c>
      <c r="BF3836" s="2" t="s">
        <v>107</v>
      </c>
      <c r="BG3836" s="2"/>
      <c r="BH3836" s="2"/>
      <c r="BI3836" s="2"/>
      <c r="BJ3836" s="2">
        <v>242</v>
      </c>
      <c r="BK3836" s="2" t="s">
        <v>107</v>
      </c>
      <c r="BL3836" s="2"/>
      <c r="BM3836" s="2">
        <v>242</v>
      </c>
      <c r="BN3836" s="2" t="s">
        <v>107</v>
      </c>
      <c r="BO3836" s="2"/>
      <c r="BP3836" s="2">
        <v>242</v>
      </c>
      <c r="BQ3836" s="2" t="s">
        <v>107</v>
      </c>
      <c r="BR3836" s="2"/>
      <c r="BS3836" s="3">
        <v>40438</v>
      </c>
      <c r="BT3836" s="4">
        <v>0.69409722222222225</v>
      </c>
    </row>
    <row r="3837" spans="1:72" x14ac:dyDescent="0.25">
      <c r="A3837" s="2">
        <v>5692</v>
      </c>
      <c r="B3837" s="2">
        <v>2010</v>
      </c>
      <c r="C3837" s="2" t="s">
        <v>4543</v>
      </c>
      <c r="D3837" s="2" t="s">
        <v>122</v>
      </c>
      <c r="E3837" s="2"/>
      <c r="F3837" s="2">
        <v>1</v>
      </c>
      <c r="G3837" s="2" t="s">
        <v>82</v>
      </c>
      <c r="H3837" s="2">
        <v>1</v>
      </c>
      <c r="I3837" s="2" t="s">
        <v>82</v>
      </c>
      <c r="J3837" s="2">
        <v>1</v>
      </c>
      <c r="K3837" s="2" t="s">
        <v>107</v>
      </c>
      <c r="L3837" s="2" t="s">
        <v>107</v>
      </c>
      <c r="M3837" s="3">
        <v>40438</v>
      </c>
      <c r="N3837" s="2"/>
      <c r="O3837" s="2"/>
      <c r="P3837" s="2"/>
      <c r="Q3837" s="2" t="str">
        <f>""</f>
        <v/>
      </c>
      <c r="R3837" s="2"/>
      <c r="S3837" s="2"/>
      <c r="T3837" s="2">
        <v>2</v>
      </c>
      <c r="U3837" s="2" t="s">
        <v>123</v>
      </c>
      <c r="V3837" s="2">
        <v>1</v>
      </c>
      <c r="W3837" s="2" t="s">
        <v>80</v>
      </c>
      <c r="X3837" s="2">
        <v>1</v>
      </c>
      <c r="Y3837" s="2" t="s">
        <v>81</v>
      </c>
      <c r="Z3837" s="2">
        <v>1</v>
      </c>
      <c r="AA3837" s="2" t="s">
        <v>82</v>
      </c>
      <c r="AB3837" s="2">
        <v>9</v>
      </c>
      <c r="AC3837" s="2" t="s">
        <v>124</v>
      </c>
      <c r="AD3837" s="3">
        <v>40438</v>
      </c>
      <c r="AE3837" s="2"/>
      <c r="AF3837" s="2"/>
      <c r="AG3837" s="2"/>
      <c r="AH3837" s="2">
        <v>6</v>
      </c>
      <c r="AI3837" s="2" t="s">
        <v>197</v>
      </c>
      <c r="AJ3837" s="2">
        <v>50</v>
      </c>
      <c r="AK3837" s="2" t="s">
        <v>330</v>
      </c>
      <c r="AL3837" s="2">
        <v>12</v>
      </c>
      <c r="AM3837" s="2" t="s">
        <v>86</v>
      </c>
      <c r="AN3837" s="2"/>
      <c r="AO3837" s="2" t="s">
        <v>12181</v>
      </c>
      <c r="AP3837" s="2">
        <v>11</v>
      </c>
      <c r="AQ3837" s="2" t="s">
        <v>82</v>
      </c>
      <c r="AR3837" s="2"/>
      <c r="AS3837" s="2"/>
      <c r="AT3837" s="2" t="s">
        <v>12182</v>
      </c>
      <c r="AU3837" s="2"/>
      <c r="AV3837" s="2"/>
      <c r="AW3837" s="2"/>
      <c r="AX3837" s="2"/>
      <c r="AY3837" s="2">
        <v>1</v>
      </c>
      <c r="AZ3837" s="2" t="s">
        <v>107</v>
      </c>
      <c r="BA3837" s="2">
        <v>41</v>
      </c>
      <c r="BB3837" s="2" t="s">
        <v>82</v>
      </c>
      <c r="BC3837" s="2">
        <v>41</v>
      </c>
      <c r="BD3837" s="2" t="s">
        <v>82</v>
      </c>
      <c r="BE3837" s="2">
        <v>41</v>
      </c>
      <c r="BF3837" s="2" t="s">
        <v>82</v>
      </c>
      <c r="BG3837" s="2"/>
      <c r="BH3837" s="2"/>
      <c r="BI3837" s="2"/>
      <c r="BJ3837" s="2">
        <v>241</v>
      </c>
      <c r="BK3837" s="2" t="s">
        <v>82</v>
      </c>
      <c r="BL3837" s="2"/>
      <c r="BM3837" s="2">
        <v>241</v>
      </c>
      <c r="BN3837" s="2" t="s">
        <v>82</v>
      </c>
      <c r="BO3837" s="2"/>
      <c r="BP3837" s="2">
        <v>241</v>
      </c>
      <c r="BQ3837" s="2" t="s">
        <v>82</v>
      </c>
      <c r="BR3837" s="2"/>
      <c r="BS3837" s="3">
        <v>40438</v>
      </c>
      <c r="BT3837" s="4">
        <v>0.71420138888888884</v>
      </c>
    </row>
    <row r="3838" spans="1:72" x14ac:dyDescent="0.25">
      <c r="A3838" s="2">
        <v>5693</v>
      </c>
      <c r="B3838" s="2">
        <v>2010</v>
      </c>
      <c r="C3838" s="2" t="s">
        <v>819</v>
      </c>
      <c r="D3838" s="2" t="s">
        <v>73</v>
      </c>
      <c r="E3838" s="2"/>
      <c r="F3838" s="2">
        <v>319</v>
      </c>
      <c r="G3838" s="2" t="s">
        <v>6516</v>
      </c>
      <c r="H3838" s="2">
        <v>42</v>
      </c>
      <c r="I3838" s="2" t="s">
        <v>1096</v>
      </c>
      <c r="J3838" s="2">
        <v>385</v>
      </c>
      <c r="K3838" s="2" t="s">
        <v>1314</v>
      </c>
      <c r="L3838" s="2" t="s">
        <v>1315</v>
      </c>
      <c r="M3838" s="3">
        <v>40438</v>
      </c>
      <c r="N3838" s="2" t="s">
        <v>6517</v>
      </c>
      <c r="O3838" s="2"/>
      <c r="P3838" s="2"/>
      <c r="Q3838" s="2" t="str">
        <f>"0011/2010"</f>
        <v>0011/2010</v>
      </c>
      <c r="R3838" s="2"/>
      <c r="S3838" s="2" t="s">
        <v>2003</v>
      </c>
      <c r="T3838" s="2">
        <v>1</v>
      </c>
      <c r="U3838" s="2" t="s">
        <v>79</v>
      </c>
      <c r="V3838" s="2">
        <v>1</v>
      </c>
      <c r="W3838" s="2" t="s">
        <v>80</v>
      </c>
      <c r="X3838" s="2">
        <v>1</v>
      </c>
      <c r="Y3838" s="2" t="s">
        <v>81</v>
      </c>
      <c r="Z3838" s="2">
        <v>1</v>
      </c>
      <c r="AA3838" s="2" t="s">
        <v>82</v>
      </c>
      <c r="AB3838" s="2">
        <v>9</v>
      </c>
      <c r="AC3838" s="2" t="s">
        <v>124</v>
      </c>
      <c r="AD3838" s="3">
        <v>40438</v>
      </c>
      <c r="AE3838" s="4">
        <v>0.58333333333333337</v>
      </c>
      <c r="AF3838" s="2"/>
      <c r="AG3838" s="2"/>
      <c r="AH3838" s="2">
        <v>5</v>
      </c>
      <c r="AI3838" s="2" t="s">
        <v>274</v>
      </c>
      <c r="AJ3838" s="2">
        <v>44</v>
      </c>
      <c r="AK3838" s="2" t="s">
        <v>667</v>
      </c>
      <c r="AL3838" s="2">
        <v>11</v>
      </c>
      <c r="AM3838" s="2" t="s">
        <v>137</v>
      </c>
      <c r="AN3838" s="2" t="s">
        <v>12183</v>
      </c>
      <c r="AO3838" s="2"/>
      <c r="AP3838" s="2">
        <v>12</v>
      </c>
      <c r="AQ3838" s="2" t="s">
        <v>322</v>
      </c>
      <c r="AR3838" s="2"/>
      <c r="AS3838" s="2"/>
      <c r="AT3838" s="2" t="s">
        <v>12184</v>
      </c>
      <c r="AU3838" s="2"/>
      <c r="AV3838" s="2"/>
      <c r="AW3838" s="2"/>
      <c r="AX3838" s="2"/>
      <c r="AY3838" s="2">
        <v>41</v>
      </c>
      <c r="AZ3838" s="2" t="s">
        <v>82</v>
      </c>
      <c r="BA3838" s="2">
        <v>41</v>
      </c>
      <c r="BB3838" s="2" t="s">
        <v>82</v>
      </c>
      <c r="BC3838" s="2">
        <v>129</v>
      </c>
      <c r="BD3838" s="2" t="s">
        <v>322</v>
      </c>
      <c r="BE3838" s="2">
        <v>13</v>
      </c>
      <c r="BF3838" s="2" t="s">
        <v>108</v>
      </c>
      <c r="BG3838" s="2">
        <v>1779</v>
      </c>
      <c r="BH3838" s="4">
        <v>0.60069444444444442</v>
      </c>
      <c r="BI3838" s="2"/>
      <c r="BJ3838" s="2">
        <v>13</v>
      </c>
      <c r="BK3838" s="2" t="s">
        <v>91</v>
      </c>
      <c r="BL3838" s="2" t="s">
        <v>12185</v>
      </c>
      <c r="BM3838" s="2">
        <v>13</v>
      </c>
      <c r="BN3838" s="2" t="s">
        <v>91</v>
      </c>
      <c r="BO3838" s="2"/>
      <c r="BP3838" s="2">
        <v>13</v>
      </c>
      <c r="BQ3838" s="2" t="s">
        <v>91</v>
      </c>
      <c r="BR3838" s="2" t="s">
        <v>170</v>
      </c>
      <c r="BS3838" s="3">
        <v>40438</v>
      </c>
      <c r="BT3838" s="4">
        <v>0.71708333333333341</v>
      </c>
    </row>
    <row r="3839" spans="1:72" x14ac:dyDescent="0.25">
      <c r="A3839" s="2">
        <v>5694</v>
      </c>
      <c r="B3839" s="2">
        <v>2010</v>
      </c>
      <c r="C3839" s="2" t="s">
        <v>385</v>
      </c>
      <c r="D3839" s="2" t="s">
        <v>122</v>
      </c>
      <c r="E3839" s="2"/>
      <c r="F3839" s="2">
        <v>114</v>
      </c>
      <c r="G3839" s="2" t="s">
        <v>2817</v>
      </c>
      <c r="H3839" s="2">
        <v>42</v>
      </c>
      <c r="I3839" s="2" t="s">
        <v>1096</v>
      </c>
      <c r="J3839" s="2">
        <v>133</v>
      </c>
      <c r="K3839" s="2" t="s">
        <v>3844</v>
      </c>
      <c r="L3839" s="2" t="s">
        <v>3845</v>
      </c>
      <c r="M3839" s="3">
        <v>40438</v>
      </c>
      <c r="N3839" s="2" t="s">
        <v>12186</v>
      </c>
      <c r="O3839" s="2" t="s">
        <v>12187</v>
      </c>
      <c r="P3839" s="2" t="s">
        <v>12188</v>
      </c>
      <c r="Q3839" s="2" t="str">
        <f>"N/C"</f>
        <v>N/C</v>
      </c>
      <c r="R3839" s="2" t="s">
        <v>107</v>
      </c>
      <c r="S3839" s="2" t="s">
        <v>82</v>
      </c>
      <c r="T3839" s="2">
        <v>1</v>
      </c>
      <c r="U3839" s="2" t="s">
        <v>79</v>
      </c>
      <c r="V3839" s="2">
        <v>1</v>
      </c>
      <c r="W3839" s="2" t="s">
        <v>80</v>
      </c>
      <c r="X3839" s="2">
        <v>4</v>
      </c>
      <c r="Y3839" s="2" t="s">
        <v>463</v>
      </c>
      <c r="Z3839" s="2">
        <v>7</v>
      </c>
      <c r="AA3839" s="2" t="s">
        <v>1462</v>
      </c>
      <c r="AB3839" s="2">
        <v>9</v>
      </c>
      <c r="AC3839" s="2" t="s">
        <v>124</v>
      </c>
      <c r="AD3839" s="3">
        <v>40437</v>
      </c>
      <c r="AE3839" s="4">
        <v>2.0833333333333332E-2</v>
      </c>
      <c r="AF3839" s="2"/>
      <c r="AG3839" s="2"/>
      <c r="AH3839" s="2">
        <v>6</v>
      </c>
      <c r="AI3839" s="2" t="s">
        <v>197</v>
      </c>
      <c r="AJ3839" s="2">
        <v>54</v>
      </c>
      <c r="AK3839" s="2" t="s">
        <v>348</v>
      </c>
      <c r="AL3839" s="2">
        <v>25</v>
      </c>
      <c r="AM3839" s="2" t="s">
        <v>3073</v>
      </c>
      <c r="AN3839" s="2" t="s">
        <v>12189</v>
      </c>
      <c r="AO3839" s="2" t="s">
        <v>12190</v>
      </c>
      <c r="AP3839" s="2">
        <v>11</v>
      </c>
      <c r="AQ3839" s="2" t="s">
        <v>82</v>
      </c>
      <c r="AR3839" s="2" t="s">
        <v>82</v>
      </c>
      <c r="AS3839" s="2" t="s">
        <v>82</v>
      </c>
      <c r="AT3839" s="2" t="s">
        <v>12191</v>
      </c>
      <c r="AU3839" s="2"/>
      <c r="AV3839" s="2"/>
      <c r="AW3839" s="2"/>
      <c r="AX3839" s="2"/>
      <c r="AY3839" s="2">
        <v>41</v>
      </c>
      <c r="AZ3839" s="2" t="s">
        <v>82</v>
      </c>
      <c r="BA3839" s="2">
        <v>41</v>
      </c>
      <c r="BB3839" s="2" t="s">
        <v>82</v>
      </c>
      <c r="BC3839" s="2">
        <v>41</v>
      </c>
      <c r="BD3839" s="2" t="s">
        <v>82</v>
      </c>
      <c r="BE3839" s="2">
        <v>47</v>
      </c>
      <c r="BF3839" s="2" t="s">
        <v>167</v>
      </c>
      <c r="BG3839" s="2">
        <v>2831</v>
      </c>
      <c r="BH3839" s="4">
        <v>2.7777777777777776E-2</v>
      </c>
      <c r="BI3839" s="4">
        <v>0.33333333333333331</v>
      </c>
      <c r="BJ3839" s="2">
        <v>13</v>
      </c>
      <c r="BK3839" s="2" t="s">
        <v>91</v>
      </c>
      <c r="BL3839" s="2" t="s">
        <v>3520</v>
      </c>
      <c r="BM3839" s="2">
        <v>242</v>
      </c>
      <c r="BN3839" s="2" t="s">
        <v>107</v>
      </c>
      <c r="BO3839" s="2" t="s">
        <v>107</v>
      </c>
      <c r="BP3839" s="2">
        <v>13</v>
      </c>
      <c r="BQ3839" s="2" t="s">
        <v>91</v>
      </c>
      <c r="BR3839" s="2" t="s">
        <v>3520</v>
      </c>
      <c r="BS3839" s="3">
        <v>40438</v>
      </c>
      <c r="BT3839" s="4">
        <v>0.73181712962962964</v>
      </c>
    </row>
    <row r="3840" spans="1:72" x14ac:dyDescent="0.25">
      <c r="A3840" s="2">
        <v>5696</v>
      </c>
      <c r="B3840" s="2">
        <v>2010</v>
      </c>
      <c r="C3840" s="2" t="s">
        <v>385</v>
      </c>
      <c r="D3840" s="2" t="s">
        <v>122</v>
      </c>
      <c r="E3840" s="2" t="s">
        <v>12192</v>
      </c>
      <c r="F3840" s="2">
        <v>2</v>
      </c>
      <c r="G3840" s="2" t="s">
        <v>113</v>
      </c>
      <c r="H3840" s="2">
        <v>4</v>
      </c>
      <c r="I3840" s="2" t="s">
        <v>173</v>
      </c>
      <c r="J3840" s="2">
        <v>300</v>
      </c>
      <c r="K3840" s="2" t="s">
        <v>114</v>
      </c>
      <c r="L3840" s="2" t="s">
        <v>115</v>
      </c>
      <c r="M3840" s="3">
        <v>40438</v>
      </c>
      <c r="N3840" s="2" t="s">
        <v>2621</v>
      </c>
      <c r="O3840" s="2"/>
      <c r="P3840" s="2"/>
      <c r="Q3840" s="2" t="str">
        <f>"293-E/10"</f>
        <v>293-E/10</v>
      </c>
      <c r="R3840" s="2" t="s">
        <v>7793</v>
      </c>
      <c r="S3840" s="2" t="s">
        <v>7793</v>
      </c>
      <c r="T3840" s="2">
        <v>1</v>
      </c>
      <c r="U3840" s="2" t="s">
        <v>79</v>
      </c>
      <c r="V3840" s="2">
        <v>1</v>
      </c>
      <c r="W3840" s="2" t="s">
        <v>80</v>
      </c>
      <c r="X3840" s="2">
        <v>11</v>
      </c>
      <c r="Y3840" s="2" t="s">
        <v>1920</v>
      </c>
      <c r="Z3840" s="2">
        <v>1</v>
      </c>
      <c r="AA3840" s="2" t="s">
        <v>82</v>
      </c>
      <c r="AB3840" s="2">
        <v>9</v>
      </c>
      <c r="AC3840" s="2" t="s">
        <v>124</v>
      </c>
      <c r="AD3840" s="3">
        <v>40438</v>
      </c>
      <c r="AE3840" s="4">
        <v>0.33333333333333331</v>
      </c>
      <c r="AF3840" s="2"/>
      <c r="AG3840" s="2"/>
      <c r="AH3840" s="2">
        <v>2</v>
      </c>
      <c r="AI3840" s="2" t="s">
        <v>84</v>
      </c>
      <c r="AJ3840" s="2">
        <v>9</v>
      </c>
      <c r="AK3840" s="2" t="s">
        <v>103</v>
      </c>
      <c r="AL3840" s="2">
        <v>19</v>
      </c>
      <c r="AM3840" s="2" t="s">
        <v>107</v>
      </c>
      <c r="AN3840" s="2"/>
      <c r="AO3840" s="2" t="s">
        <v>12193</v>
      </c>
      <c r="AP3840" s="2">
        <v>11</v>
      </c>
      <c r="AQ3840" s="2" t="s">
        <v>82</v>
      </c>
      <c r="AR3840" s="2"/>
      <c r="AS3840" s="2"/>
      <c r="AT3840" s="2" t="s">
        <v>12194</v>
      </c>
      <c r="AU3840" s="2"/>
      <c r="AV3840" s="2"/>
      <c r="AW3840" s="2">
        <v>2</v>
      </c>
      <c r="AX3840" s="2"/>
      <c r="AY3840" s="2">
        <v>41</v>
      </c>
      <c r="AZ3840" s="2" t="s">
        <v>82</v>
      </c>
      <c r="BA3840" s="2">
        <v>41</v>
      </c>
      <c r="BB3840" s="2" t="s">
        <v>82</v>
      </c>
      <c r="BC3840" s="2">
        <v>41</v>
      </c>
      <c r="BD3840" s="2" t="s">
        <v>82</v>
      </c>
      <c r="BE3840" s="2">
        <v>41</v>
      </c>
      <c r="BF3840" s="2" t="s">
        <v>82</v>
      </c>
      <c r="BG3840" s="2"/>
      <c r="BH3840" s="2"/>
      <c r="BI3840" s="2"/>
      <c r="BJ3840" s="2">
        <v>241</v>
      </c>
      <c r="BK3840" s="2" t="s">
        <v>82</v>
      </c>
      <c r="BL3840" s="2"/>
      <c r="BM3840" s="2">
        <v>241</v>
      </c>
      <c r="BN3840" s="2" t="s">
        <v>82</v>
      </c>
      <c r="BO3840" s="2"/>
      <c r="BP3840" s="2">
        <v>241</v>
      </c>
      <c r="BQ3840" s="2" t="s">
        <v>82</v>
      </c>
      <c r="BR3840" s="2"/>
      <c r="BS3840" s="3">
        <v>40438</v>
      </c>
      <c r="BT3840" s="4">
        <v>0.7359837962962964</v>
      </c>
    </row>
    <row r="3841" spans="1:72" x14ac:dyDescent="0.25">
      <c r="A3841" s="2">
        <v>5699</v>
      </c>
      <c r="B3841" s="2">
        <v>2010</v>
      </c>
      <c r="C3841" s="2" t="s">
        <v>93</v>
      </c>
      <c r="D3841" s="2" t="s">
        <v>73</v>
      </c>
      <c r="E3841" s="2"/>
      <c r="F3841" s="2">
        <v>621</v>
      </c>
      <c r="G3841" s="2" t="s">
        <v>7199</v>
      </c>
      <c r="H3841" s="2">
        <v>42</v>
      </c>
      <c r="I3841" s="2" t="s">
        <v>1096</v>
      </c>
      <c r="J3841" s="2">
        <v>158</v>
      </c>
      <c r="K3841" s="2" t="s">
        <v>7200</v>
      </c>
      <c r="L3841" s="2" t="s">
        <v>7201</v>
      </c>
      <c r="M3841" s="3">
        <v>40439</v>
      </c>
      <c r="N3841" s="2" t="s">
        <v>12195</v>
      </c>
      <c r="O3841" s="2" t="s">
        <v>12196</v>
      </c>
      <c r="P3841" s="2">
        <v>547</v>
      </c>
      <c r="Q3841" s="2" t="str">
        <f>"AP_0042/10"</f>
        <v>AP_0042/10</v>
      </c>
      <c r="R3841" s="2" t="s">
        <v>12197</v>
      </c>
      <c r="S3841" s="2" t="s">
        <v>82</v>
      </c>
      <c r="T3841" s="2">
        <v>1</v>
      </c>
      <c r="U3841" s="2" t="s">
        <v>79</v>
      </c>
      <c r="V3841" s="2">
        <v>1</v>
      </c>
      <c r="W3841" s="2" t="s">
        <v>80</v>
      </c>
      <c r="X3841" s="2">
        <v>1</v>
      </c>
      <c r="Y3841" s="2" t="s">
        <v>81</v>
      </c>
      <c r="Z3841" s="2">
        <v>1</v>
      </c>
      <c r="AA3841" s="2" t="s">
        <v>82</v>
      </c>
      <c r="AB3841" s="2">
        <v>2</v>
      </c>
      <c r="AC3841" s="2" t="s">
        <v>102</v>
      </c>
      <c r="AD3841" s="3">
        <v>40438</v>
      </c>
      <c r="AE3841" s="4">
        <v>0.88194444444444453</v>
      </c>
      <c r="AF3841" s="2"/>
      <c r="AG3841" s="2"/>
      <c r="AH3841" s="2">
        <v>6</v>
      </c>
      <c r="AI3841" s="2" t="s">
        <v>197</v>
      </c>
      <c r="AJ3841" s="2">
        <v>60</v>
      </c>
      <c r="AK3841" s="2" t="s">
        <v>543</v>
      </c>
      <c r="AL3841" s="2">
        <v>11</v>
      </c>
      <c r="AM3841" s="2" t="s">
        <v>137</v>
      </c>
      <c r="AN3841" s="2"/>
      <c r="AO3841" s="2" t="s">
        <v>5183</v>
      </c>
      <c r="AP3841" s="2">
        <v>11</v>
      </c>
      <c r="AQ3841" s="2" t="s">
        <v>82</v>
      </c>
      <c r="AR3841" s="2" t="s">
        <v>82</v>
      </c>
      <c r="AS3841" s="2" t="s">
        <v>82</v>
      </c>
      <c r="AT3841" s="2" t="s">
        <v>12198</v>
      </c>
      <c r="AU3841" s="2"/>
      <c r="AV3841" s="2"/>
      <c r="AW3841" s="2"/>
      <c r="AX3841" s="2"/>
      <c r="AY3841" s="2">
        <v>41</v>
      </c>
      <c r="AZ3841" s="2" t="s">
        <v>82</v>
      </c>
      <c r="BA3841" s="2">
        <v>41</v>
      </c>
      <c r="BB3841" s="2" t="s">
        <v>82</v>
      </c>
      <c r="BC3841" s="2">
        <v>41</v>
      </c>
      <c r="BD3841" s="2" t="s">
        <v>82</v>
      </c>
      <c r="BE3841" s="2">
        <v>13</v>
      </c>
      <c r="BF3841" s="2" t="s">
        <v>108</v>
      </c>
      <c r="BG3841" s="2" t="s">
        <v>12199</v>
      </c>
      <c r="BH3841" s="2"/>
      <c r="BI3841" s="4">
        <v>0.86736111111111114</v>
      </c>
      <c r="BJ3841" s="2">
        <v>13</v>
      </c>
      <c r="BK3841" s="2" t="s">
        <v>91</v>
      </c>
      <c r="BL3841" s="2" t="s">
        <v>895</v>
      </c>
      <c r="BM3841" s="2">
        <v>13</v>
      </c>
      <c r="BN3841" s="2" t="s">
        <v>91</v>
      </c>
      <c r="BO3841" s="2"/>
      <c r="BP3841" s="2">
        <v>13</v>
      </c>
      <c r="BQ3841" s="2" t="s">
        <v>91</v>
      </c>
      <c r="BR3841" s="2" t="s">
        <v>421</v>
      </c>
      <c r="BS3841" s="3">
        <v>40439</v>
      </c>
      <c r="BT3841" s="4">
        <v>2.3344907407407408E-2</v>
      </c>
    </row>
    <row r="3842" spans="1:72" x14ac:dyDescent="0.25">
      <c r="A3842" s="2">
        <v>5700</v>
      </c>
      <c r="B3842" s="2">
        <v>2010</v>
      </c>
      <c r="C3842" s="2" t="s">
        <v>171</v>
      </c>
      <c r="D3842" s="2" t="s">
        <v>73</v>
      </c>
      <c r="E3842" s="2"/>
      <c r="F3842" s="2">
        <v>651</v>
      </c>
      <c r="G3842" s="2" t="s">
        <v>2454</v>
      </c>
      <c r="H3842" s="2">
        <v>56</v>
      </c>
      <c r="I3842" s="2" t="s">
        <v>3372</v>
      </c>
      <c r="J3842" s="2">
        <v>19</v>
      </c>
      <c r="K3842" s="2" t="s">
        <v>2144</v>
      </c>
      <c r="L3842" s="2" t="s">
        <v>2145</v>
      </c>
      <c r="M3842" s="3">
        <v>40439</v>
      </c>
      <c r="N3842" s="2" t="s">
        <v>3555</v>
      </c>
      <c r="O3842" s="2"/>
      <c r="P3842" s="2"/>
      <c r="Q3842" s="2" t="str">
        <f>"55/10"</f>
        <v>55/10</v>
      </c>
      <c r="R3842" s="2"/>
      <c r="S3842" s="2" t="s">
        <v>8493</v>
      </c>
      <c r="T3842" s="2">
        <v>1</v>
      </c>
      <c r="U3842" s="2" t="s">
        <v>79</v>
      </c>
      <c r="V3842" s="2">
        <v>1</v>
      </c>
      <c r="W3842" s="2" t="s">
        <v>80</v>
      </c>
      <c r="X3842" s="2">
        <v>1</v>
      </c>
      <c r="Y3842" s="2" t="s">
        <v>81</v>
      </c>
      <c r="Z3842" s="2">
        <v>1</v>
      </c>
      <c r="AA3842" s="2" t="s">
        <v>82</v>
      </c>
      <c r="AB3842" s="2">
        <v>1</v>
      </c>
      <c r="AC3842" s="2" t="s">
        <v>178</v>
      </c>
      <c r="AD3842" s="3">
        <v>40438</v>
      </c>
      <c r="AE3842" s="4">
        <v>0.68055555555555547</v>
      </c>
      <c r="AF3842" s="2"/>
      <c r="AG3842" s="2"/>
      <c r="AH3842" s="2">
        <v>3</v>
      </c>
      <c r="AI3842" s="2" t="s">
        <v>214</v>
      </c>
      <c r="AJ3842" s="2">
        <v>24</v>
      </c>
      <c r="AK3842" s="2" t="s">
        <v>215</v>
      </c>
      <c r="AL3842" s="2">
        <v>25</v>
      </c>
      <c r="AM3842" s="2" t="s">
        <v>3073</v>
      </c>
      <c r="AN3842" s="2" t="s">
        <v>12141</v>
      </c>
      <c r="AO3842" s="2"/>
      <c r="AP3842" s="2">
        <v>11</v>
      </c>
      <c r="AQ3842" s="2" t="s">
        <v>82</v>
      </c>
      <c r="AR3842" s="2"/>
      <c r="AS3842" s="2"/>
      <c r="AT3842" s="2" t="s">
        <v>12200</v>
      </c>
      <c r="AU3842" s="2"/>
      <c r="AV3842" s="2">
        <v>2</v>
      </c>
      <c r="AW3842" s="2"/>
      <c r="AX3842" s="2"/>
      <c r="AY3842" s="2">
        <v>42</v>
      </c>
      <c r="AZ3842" s="2" t="s">
        <v>182</v>
      </c>
      <c r="BA3842" s="2">
        <v>41</v>
      </c>
      <c r="BB3842" s="2" t="s">
        <v>82</v>
      </c>
      <c r="BC3842" s="2">
        <v>41</v>
      </c>
      <c r="BD3842" s="2" t="s">
        <v>82</v>
      </c>
      <c r="BE3842" s="2">
        <v>17</v>
      </c>
      <c r="BF3842" s="2" t="s">
        <v>508</v>
      </c>
      <c r="BG3842" s="2" t="s">
        <v>12201</v>
      </c>
      <c r="BH3842" s="4">
        <v>0.77777777777777779</v>
      </c>
      <c r="BI3842" s="4">
        <v>0.72916666666666663</v>
      </c>
      <c r="BJ3842" s="2">
        <v>13</v>
      </c>
      <c r="BK3842" s="2" t="s">
        <v>91</v>
      </c>
      <c r="BL3842" s="2" t="s">
        <v>169</v>
      </c>
      <c r="BM3842" s="2">
        <v>46</v>
      </c>
      <c r="BN3842" s="2" t="s">
        <v>307</v>
      </c>
      <c r="BO3842" s="2"/>
      <c r="BP3842" s="2">
        <v>46</v>
      </c>
      <c r="BQ3842" s="2" t="s">
        <v>307</v>
      </c>
      <c r="BR3842" s="2" t="s">
        <v>308</v>
      </c>
      <c r="BS3842" s="3">
        <v>40439</v>
      </c>
      <c r="BT3842" s="4">
        <v>0.10716435185185186</v>
      </c>
    </row>
    <row r="3843" spans="1:72" x14ac:dyDescent="0.25">
      <c r="A3843" s="2">
        <v>5701</v>
      </c>
      <c r="B3843" s="2">
        <v>2010</v>
      </c>
      <c r="C3843" s="2" t="s">
        <v>385</v>
      </c>
      <c r="D3843" s="2" t="s">
        <v>122</v>
      </c>
      <c r="E3843" s="2" t="s">
        <v>12202</v>
      </c>
      <c r="F3843" s="2">
        <v>651</v>
      </c>
      <c r="G3843" s="2" t="s">
        <v>2454</v>
      </c>
      <c r="H3843" s="2">
        <v>56</v>
      </c>
      <c r="I3843" s="2" t="s">
        <v>3372</v>
      </c>
      <c r="J3843" s="2">
        <v>19</v>
      </c>
      <c r="K3843" s="2" t="s">
        <v>2144</v>
      </c>
      <c r="L3843" s="2" t="s">
        <v>2145</v>
      </c>
      <c r="M3843" s="3">
        <v>40439</v>
      </c>
      <c r="N3843" s="2" t="s">
        <v>3555</v>
      </c>
      <c r="O3843" s="2"/>
      <c r="P3843" s="2"/>
      <c r="Q3843" s="2" t="str">
        <f>"55/10"</f>
        <v>55/10</v>
      </c>
      <c r="R3843" s="2" t="s">
        <v>8493</v>
      </c>
      <c r="S3843" s="2"/>
      <c r="T3843" s="2">
        <v>1</v>
      </c>
      <c r="U3843" s="2" t="s">
        <v>79</v>
      </c>
      <c r="V3843" s="2">
        <v>1</v>
      </c>
      <c r="W3843" s="2" t="s">
        <v>80</v>
      </c>
      <c r="X3843" s="2">
        <v>11</v>
      </c>
      <c r="Y3843" s="2" t="s">
        <v>1920</v>
      </c>
      <c r="Z3843" s="2">
        <v>10</v>
      </c>
      <c r="AA3843" s="2" t="s">
        <v>236</v>
      </c>
      <c r="AB3843" s="2">
        <v>9</v>
      </c>
      <c r="AC3843" s="2" t="s">
        <v>124</v>
      </c>
      <c r="AD3843" s="3">
        <v>40439</v>
      </c>
      <c r="AE3843" s="4">
        <v>7.2916666666666671E-2</v>
      </c>
      <c r="AF3843" s="2"/>
      <c r="AG3843" s="2"/>
      <c r="AH3843" s="2">
        <v>3</v>
      </c>
      <c r="AI3843" s="2" t="s">
        <v>214</v>
      </c>
      <c r="AJ3843" s="2">
        <v>24</v>
      </c>
      <c r="AK3843" s="2" t="s">
        <v>215</v>
      </c>
      <c r="AL3843" s="2">
        <v>23</v>
      </c>
      <c r="AM3843" s="2" t="s">
        <v>251</v>
      </c>
      <c r="AN3843" s="2" t="s">
        <v>12203</v>
      </c>
      <c r="AO3843" s="2" t="s">
        <v>12204</v>
      </c>
      <c r="AP3843" s="2">
        <v>11</v>
      </c>
      <c r="AQ3843" s="2" t="s">
        <v>82</v>
      </c>
      <c r="AR3843" s="2"/>
      <c r="AS3843" s="2"/>
      <c r="AT3843" s="2" t="s">
        <v>12205</v>
      </c>
      <c r="AU3843" s="2"/>
      <c r="AV3843" s="2">
        <v>2</v>
      </c>
      <c r="AW3843" s="2"/>
      <c r="AX3843" s="2"/>
      <c r="AY3843" s="2">
        <v>42</v>
      </c>
      <c r="AZ3843" s="2" t="s">
        <v>182</v>
      </c>
      <c r="BA3843" s="2">
        <v>41</v>
      </c>
      <c r="BB3843" s="2" t="s">
        <v>82</v>
      </c>
      <c r="BC3843" s="2">
        <v>41</v>
      </c>
      <c r="BD3843" s="2" t="s">
        <v>82</v>
      </c>
      <c r="BE3843" s="2">
        <v>41</v>
      </c>
      <c r="BF3843" s="2" t="s">
        <v>82</v>
      </c>
      <c r="BG3843" s="2"/>
      <c r="BH3843" s="2"/>
      <c r="BI3843" s="2"/>
      <c r="BJ3843" s="2">
        <v>241</v>
      </c>
      <c r="BK3843" s="2" t="s">
        <v>82</v>
      </c>
      <c r="BL3843" s="2"/>
      <c r="BM3843" s="2">
        <v>241</v>
      </c>
      <c r="BN3843" s="2" t="s">
        <v>82</v>
      </c>
      <c r="BO3843" s="2"/>
      <c r="BP3843" s="2">
        <v>241</v>
      </c>
      <c r="BQ3843" s="2" t="s">
        <v>82</v>
      </c>
      <c r="BR3843" s="2"/>
      <c r="BS3843" s="3">
        <v>40439</v>
      </c>
      <c r="BT3843" s="4">
        <v>0.17849537037037036</v>
      </c>
    </row>
    <row r="3844" spans="1:72" x14ac:dyDescent="0.25">
      <c r="A3844" s="2">
        <v>5702</v>
      </c>
      <c r="B3844" s="2">
        <v>2010</v>
      </c>
      <c r="C3844" s="2" t="s">
        <v>2138</v>
      </c>
      <c r="D3844" s="2" t="s">
        <v>122</v>
      </c>
      <c r="E3844" s="2"/>
      <c r="F3844" s="2">
        <v>1</v>
      </c>
      <c r="G3844" s="2" t="s">
        <v>82</v>
      </c>
      <c r="H3844" s="2">
        <v>1</v>
      </c>
      <c r="I3844" s="2" t="s">
        <v>82</v>
      </c>
      <c r="J3844" s="2">
        <v>1</v>
      </c>
      <c r="K3844" s="2" t="s">
        <v>107</v>
      </c>
      <c r="L3844" s="2" t="s">
        <v>107</v>
      </c>
      <c r="M3844" s="3">
        <v>40439</v>
      </c>
      <c r="N3844" s="2" t="s">
        <v>82</v>
      </c>
      <c r="O3844" s="2" t="s">
        <v>82</v>
      </c>
      <c r="P3844" s="2" t="s">
        <v>82</v>
      </c>
      <c r="Q3844" s="2" t="str">
        <f>"N/C"</f>
        <v>N/C</v>
      </c>
      <c r="R3844" s="2" t="s">
        <v>82</v>
      </c>
      <c r="S3844" s="2" t="s">
        <v>82</v>
      </c>
      <c r="T3844" s="2">
        <v>1</v>
      </c>
      <c r="U3844" s="2" t="s">
        <v>79</v>
      </c>
      <c r="V3844" s="2">
        <v>1</v>
      </c>
      <c r="W3844" s="2" t="s">
        <v>80</v>
      </c>
      <c r="X3844" s="2">
        <v>11</v>
      </c>
      <c r="Y3844" s="2" t="s">
        <v>1920</v>
      </c>
      <c r="Z3844" s="2">
        <v>10</v>
      </c>
      <c r="AA3844" s="2" t="s">
        <v>236</v>
      </c>
      <c r="AB3844" s="2">
        <v>9</v>
      </c>
      <c r="AC3844" s="2" t="s">
        <v>124</v>
      </c>
      <c r="AD3844" s="3">
        <v>40439</v>
      </c>
      <c r="AE3844" s="4">
        <v>0.20833333333333334</v>
      </c>
      <c r="AF3844" s="3">
        <v>40439</v>
      </c>
      <c r="AG3844" s="2"/>
      <c r="AH3844" s="2">
        <v>6</v>
      </c>
      <c r="AI3844" s="2" t="s">
        <v>197</v>
      </c>
      <c r="AJ3844" s="2">
        <v>51</v>
      </c>
      <c r="AK3844" s="2" t="s">
        <v>238</v>
      </c>
      <c r="AL3844" s="2">
        <v>9</v>
      </c>
      <c r="AM3844" s="2" t="s">
        <v>259</v>
      </c>
      <c r="AN3844" s="2" t="s">
        <v>12206</v>
      </c>
      <c r="AO3844" s="2" t="s">
        <v>12207</v>
      </c>
      <c r="AP3844" s="2">
        <v>11</v>
      </c>
      <c r="AQ3844" s="2" t="s">
        <v>82</v>
      </c>
      <c r="AR3844" s="2" t="s">
        <v>82</v>
      </c>
      <c r="AS3844" s="2" t="s">
        <v>82</v>
      </c>
      <c r="AT3844" s="2" t="s">
        <v>12208</v>
      </c>
      <c r="AU3844" s="2"/>
      <c r="AV3844" s="2"/>
      <c r="AW3844" s="2"/>
      <c r="AX3844" s="2"/>
      <c r="AY3844" s="2">
        <v>41</v>
      </c>
      <c r="AZ3844" s="2" t="s">
        <v>82</v>
      </c>
      <c r="BA3844" s="2">
        <v>41</v>
      </c>
      <c r="BB3844" s="2" t="s">
        <v>82</v>
      </c>
      <c r="BC3844" s="2">
        <v>41</v>
      </c>
      <c r="BD3844" s="2" t="s">
        <v>82</v>
      </c>
      <c r="BE3844" s="2">
        <v>13</v>
      </c>
      <c r="BF3844" s="2" t="s">
        <v>108</v>
      </c>
      <c r="BG3844" s="2" t="s">
        <v>12209</v>
      </c>
      <c r="BH3844" s="4">
        <v>2.0833333333333332E-2</v>
      </c>
      <c r="BI3844" s="4">
        <v>0.2673611111111111</v>
      </c>
      <c r="BJ3844" s="2">
        <v>13</v>
      </c>
      <c r="BK3844" s="2" t="s">
        <v>91</v>
      </c>
      <c r="BL3844" s="2" t="s">
        <v>170</v>
      </c>
      <c r="BM3844" s="2">
        <v>13</v>
      </c>
      <c r="BN3844" s="2" t="s">
        <v>91</v>
      </c>
      <c r="BO3844" s="2"/>
      <c r="BP3844" s="2">
        <v>13</v>
      </c>
      <c r="BQ3844" s="2" t="s">
        <v>91</v>
      </c>
      <c r="BR3844" s="2" t="s">
        <v>241</v>
      </c>
      <c r="BS3844" s="3">
        <v>40439</v>
      </c>
      <c r="BT3844" s="4">
        <v>0.32560185185185186</v>
      </c>
    </row>
    <row r="3845" spans="1:72" x14ac:dyDescent="0.25">
      <c r="A3845" s="2">
        <v>5703</v>
      </c>
      <c r="B3845" s="2">
        <v>2010</v>
      </c>
      <c r="C3845" s="2" t="s">
        <v>243</v>
      </c>
      <c r="D3845" s="2" t="s">
        <v>122</v>
      </c>
      <c r="E3845" s="2" t="s">
        <v>12192</v>
      </c>
      <c r="F3845" s="2">
        <v>2</v>
      </c>
      <c r="G3845" s="2" t="s">
        <v>113</v>
      </c>
      <c r="H3845" s="2">
        <v>4</v>
      </c>
      <c r="I3845" s="2" t="s">
        <v>173</v>
      </c>
      <c r="J3845" s="2">
        <v>300</v>
      </c>
      <c r="K3845" s="2" t="s">
        <v>114</v>
      </c>
      <c r="L3845" s="2" t="s">
        <v>115</v>
      </c>
      <c r="M3845" s="3">
        <v>40439</v>
      </c>
      <c r="N3845" s="2" t="s">
        <v>2621</v>
      </c>
      <c r="O3845" s="2"/>
      <c r="P3845" s="2"/>
      <c r="Q3845" s="2" t="str">
        <f>"293-E/10"</f>
        <v>293-E/10</v>
      </c>
      <c r="R3845" s="2" t="s">
        <v>7793</v>
      </c>
      <c r="S3845" s="2" t="s">
        <v>7793</v>
      </c>
      <c r="T3845" s="2">
        <v>1</v>
      </c>
      <c r="U3845" s="2" t="s">
        <v>79</v>
      </c>
      <c r="V3845" s="2">
        <v>1</v>
      </c>
      <c r="W3845" s="2" t="s">
        <v>80</v>
      </c>
      <c r="X3845" s="2">
        <v>12</v>
      </c>
      <c r="Y3845" s="2" t="s">
        <v>148</v>
      </c>
      <c r="Z3845" s="2">
        <v>1</v>
      </c>
      <c r="AA3845" s="2" t="s">
        <v>82</v>
      </c>
      <c r="AB3845" s="2">
        <v>9</v>
      </c>
      <c r="AC3845" s="2" t="s">
        <v>124</v>
      </c>
      <c r="AD3845" s="3">
        <v>40211</v>
      </c>
      <c r="AE3845" s="4">
        <v>0.54166666666666663</v>
      </c>
      <c r="AF3845" s="3">
        <v>40211</v>
      </c>
      <c r="AG3845" s="4">
        <v>0.79166666666666663</v>
      </c>
      <c r="AH3845" s="2">
        <v>2</v>
      </c>
      <c r="AI3845" s="2" t="s">
        <v>84</v>
      </c>
      <c r="AJ3845" s="2">
        <v>9</v>
      </c>
      <c r="AK3845" s="2" t="s">
        <v>103</v>
      </c>
      <c r="AL3845" s="2">
        <v>19</v>
      </c>
      <c r="AM3845" s="2" t="s">
        <v>107</v>
      </c>
      <c r="AN3845" s="2"/>
      <c r="AO3845" s="2" t="s">
        <v>12193</v>
      </c>
      <c r="AP3845" s="2">
        <v>11</v>
      </c>
      <c r="AQ3845" s="2" t="s">
        <v>82</v>
      </c>
      <c r="AR3845" s="2"/>
      <c r="AS3845" s="2"/>
      <c r="AT3845" s="2" t="s">
        <v>12210</v>
      </c>
      <c r="AU3845" s="2"/>
      <c r="AV3845" s="2"/>
      <c r="AW3845" s="2">
        <v>1</v>
      </c>
      <c r="AX3845" s="2"/>
      <c r="AY3845" s="2">
        <v>41</v>
      </c>
      <c r="AZ3845" s="2" t="s">
        <v>82</v>
      </c>
      <c r="BA3845" s="2">
        <v>41</v>
      </c>
      <c r="BB3845" s="2" t="s">
        <v>82</v>
      </c>
      <c r="BC3845" s="2">
        <v>41</v>
      </c>
      <c r="BD3845" s="2" t="s">
        <v>82</v>
      </c>
      <c r="BE3845" s="2">
        <v>41</v>
      </c>
      <c r="BF3845" s="2" t="s">
        <v>82</v>
      </c>
      <c r="BG3845" s="2"/>
      <c r="BH3845" s="2"/>
      <c r="BI3845" s="2"/>
      <c r="BJ3845" s="2">
        <v>241</v>
      </c>
      <c r="BK3845" s="2" t="s">
        <v>82</v>
      </c>
      <c r="BL3845" s="2"/>
      <c r="BM3845" s="2">
        <v>241</v>
      </c>
      <c r="BN3845" s="2" t="s">
        <v>82</v>
      </c>
      <c r="BO3845" s="2"/>
      <c r="BP3845" s="2">
        <v>241</v>
      </c>
      <c r="BQ3845" s="2" t="s">
        <v>82</v>
      </c>
      <c r="BR3845" s="2"/>
      <c r="BS3845" s="3">
        <v>40439</v>
      </c>
      <c r="BT3845" s="4">
        <v>0.38196759259259255</v>
      </c>
    </row>
    <row r="3846" spans="1:72" x14ac:dyDescent="0.25">
      <c r="A3846" s="2">
        <v>5704</v>
      </c>
      <c r="B3846" s="2">
        <v>2010</v>
      </c>
      <c r="C3846" s="2" t="s">
        <v>72</v>
      </c>
      <c r="D3846" s="2" t="s">
        <v>73</v>
      </c>
      <c r="E3846" s="2"/>
      <c r="F3846" s="2">
        <v>390</v>
      </c>
      <c r="G3846" s="2" t="s">
        <v>475</v>
      </c>
      <c r="H3846" s="2">
        <v>7</v>
      </c>
      <c r="I3846" s="2" t="s">
        <v>476</v>
      </c>
      <c r="J3846" s="2">
        <v>533</v>
      </c>
      <c r="K3846" s="2" t="s">
        <v>6511</v>
      </c>
      <c r="L3846" s="2" t="s">
        <v>478</v>
      </c>
      <c r="M3846" s="3">
        <v>40439</v>
      </c>
      <c r="N3846" s="2" t="s">
        <v>765</v>
      </c>
      <c r="O3846" s="2" t="s">
        <v>107</v>
      </c>
      <c r="P3846" s="2" t="s">
        <v>107</v>
      </c>
      <c r="Q3846" s="2" t="str">
        <f>"473-E/10"</f>
        <v>473-E/10</v>
      </c>
      <c r="R3846" s="2" t="s">
        <v>116</v>
      </c>
      <c r="S3846" s="2" t="s">
        <v>116</v>
      </c>
      <c r="T3846" s="2">
        <v>1</v>
      </c>
      <c r="U3846" s="2" t="s">
        <v>79</v>
      </c>
      <c r="V3846" s="2">
        <v>1</v>
      </c>
      <c r="W3846" s="2" t="s">
        <v>80</v>
      </c>
      <c r="X3846" s="2">
        <v>12</v>
      </c>
      <c r="Y3846" s="2" t="s">
        <v>148</v>
      </c>
      <c r="Z3846" s="2">
        <v>1</v>
      </c>
      <c r="AA3846" s="2" t="s">
        <v>82</v>
      </c>
      <c r="AB3846" s="2">
        <v>6</v>
      </c>
      <c r="AC3846" s="2" t="s">
        <v>83</v>
      </c>
      <c r="AD3846" s="3">
        <v>40436</v>
      </c>
      <c r="AE3846" s="2"/>
      <c r="AF3846" s="3">
        <v>40438</v>
      </c>
      <c r="AG3846" s="4">
        <v>0.86111111111111116</v>
      </c>
      <c r="AH3846" s="2">
        <v>2</v>
      </c>
      <c r="AI3846" s="2" t="s">
        <v>84</v>
      </c>
      <c r="AJ3846" s="2">
        <v>9</v>
      </c>
      <c r="AK3846" s="2" t="s">
        <v>103</v>
      </c>
      <c r="AL3846" s="2">
        <v>22</v>
      </c>
      <c r="AM3846" s="2" t="s">
        <v>1853</v>
      </c>
      <c r="AN3846" s="2" t="s">
        <v>12211</v>
      </c>
      <c r="AO3846" s="2" t="s">
        <v>12115</v>
      </c>
      <c r="AP3846" s="2">
        <v>11</v>
      </c>
      <c r="AQ3846" s="2" t="s">
        <v>82</v>
      </c>
      <c r="AR3846" s="2"/>
      <c r="AS3846" s="2"/>
      <c r="AT3846" s="2" t="s">
        <v>12212</v>
      </c>
      <c r="AU3846" s="2"/>
      <c r="AV3846" s="2"/>
      <c r="AW3846" s="2"/>
      <c r="AX3846" s="2"/>
      <c r="AY3846" s="2">
        <v>41</v>
      </c>
      <c r="AZ3846" s="2" t="s">
        <v>82</v>
      </c>
      <c r="BA3846" s="2">
        <v>41</v>
      </c>
      <c r="BB3846" s="2" t="s">
        <v>82</v>
      </c>
      <c r="BC3846" s="2">
        <v>41</v>
      </c>
      <c r="BD3846" s="2" t="s">
        <v>82</v>
      </c>
      <c r="BE3846" s="2">
        <v>18</v>
      </c>
      <c r="BF3846" s="2" t="s">
        <v>1091</v>
      </c>
      <c r="BG3846" s="2" t="s">
        <v>5582</v>
      </c>
      <c r="BH3846" s="4">
        <v>0.64583333333333337</v>
      </c>
      <c r="BI3846" s="2"/>
      <c r="BJ3846" s="2">
        <v>205</v>
      </c>
      <c r="BK3846" s="2" t="s">
        <v>1085</v>
      </c>
      <c r="BL3846" s="2" t="s">
        <v>11236</v>
      </c>
      <c r="BM3846" s="2">
        <v>13</v>
      </c>
      <c r="BN3846" s="2" t="s">
        <v>91</v>
      </c>
      <c r="BO3846" s="2"/>
      <c r="BP3846" s="2">
        <v>13</v>
      </c>
      <c r="BQ3846" s="2" t="s">
        <v>91</v>
      </c>
      <c r="BR3846" s="2" t="s">
        <v>360</v>
      </c>
      <c r="BS3846" s="3">
        <v>40439</v>
      </c>
      <c r="BT3846" s="4">
        <v>0.40546296296296297</v>
      </c>
    </row>
    <row r="3847" spans="1:72" x14ac:dyDescent="0.25">
      <c r="A3847" s="2">
        <v>5705</v>
      </c>
      <c r="B3847" s="2">
        <v>2010</v>
      </c>
      <c r="C3847" s="2" t="s">
        <v>8160</v>
      </c>
      <c r="D3847" s="2" t="s">
        <v>73</v>
      </c>
      <c r="E3847" s="2"/>
      <c r="F3847" s="2">
        <v>159</v>
      </c>
      <c r="G3847" s="2" t="s">
        <v>3883</v>
      </c>
      <c r="H3847" s="2">
        <v>18</v>
      </c>
      <c r="I3847" s="2" t="s">
        <v>3884</v>
      </c>
      <c r="J3847" s="2">
        <v>172</v>
      </c>
      <c r="K3847" s="2" t="s">
        <v>3885</v>
      </c>
      <c r="L3847" s="2" t="s">
        <v>3886</v>
      </c>
      <c r="M3847" s="3">
        <v>40439</v>
      </c>
      <c r="N3847" s="2" t="s">
        <v>4167</v>
      </c>
      <c r="O3847" s="2" t="s">
        <v>82</v>
      </c>
      <c r="P3847" s="2" t="s">
        <v>82</v>
      </c>
      <c r="Q3847" s="2" t="str">
        <f>"374-A/10"</f>
        <v>374-A/10</v>
      </c>
      <c r="R3847" s="2" t="s">
        <v>2013</v>
      </c>
      <c r="S3847" s="2"/>
      <c r="T3847" s="2">
        <v>1</v>
      </c>
      <c r="U3847" s="2" t="s">
        <v>79</v>
      </c>
      <c r="V3847" s="2">
        <v>1</v>
      </c>
      <c r="W3847" s="2" t="s">
        <v>80</v>
      </c>
      <c r="X3847" s="2">
        <v>1</v>
      </c>
      <c r="Y3847" s="2" t="s">
        <v>81</v>
      </c>
      <c r="Z3847" s="2">
        <v>1</v>
      </c>
      <c r="AA3847" s="2" t="s">
        <v>82</v>
      </c>
      <c r="AB3847" s="2">
        <v>9</v>
      </c>
      <c r="AC3847" s="2" t="s">
        <v>124</v>
      </c>
      <c r="AD3847" s="3">
        <v>40438</v>
      </c>
      <c r="AE3847" s="4">
        <v>0.79513888888888884</v>
      </c>
      <c r="AF3847" s="2"/>
      <c r="AG3847" s="2"/>
      <c r="AH3847" s="2">
        <v>2</v>
      </c>
      <c r="AI3847" s="2" t="s">
        <v>84</v>
      </c>
      <c r="AJ3847" s="2">
        <v>12</v>
      </c>
      <c r="AK3847" s="2" t="s">
        <v>85</v>
      </c>
      <c r="AL3847" s="2">
        <v>25</v>
      </c>
      <c r="AM3847" s="2" t="s">
        <v>3073</v>
      </c>
      <c r="AN3847" s="2" t="s">
        <v>107</v>
      </c>
      <c r="AO3847" s="2" t="s">
        <v>12213</v>
      </c>
      <c r="AP3847" s="2">
        <v>11</v>
      </c>
      <c r="AQ3847" s="2" t="s">
        <v>82</v>
      </c>
      <c r="AR3847" s="2" t="s">
        <v>82</v>
      </c>
      <c r="AS3847" s="2" t="s">
        <v>82</v>
      </c>
      <c r="AT3847" s="2" t="s">
        <v>12214</v>
      </c>
      <c r="AU3847" s="2"/>
      <c r="AV3847" s="2"/>
      <c r="AW3847" s="2"/>
      <c r="AX3847" s="2"/>
      <c r="AY3847" s="2">
        <v>41</v>
      </c>
      <c r="AZ3847" s="2" t="s">
        <v>82</v>
      </c>
      <c r="BA3847" s="2">
        <v>41</v>
      </c>
      <c r="BB3847" s="2" t="s">
        <v>82</v>
      </c>
      <c r="BC3847" s="2">
        <v>41</v>
      </c>
      <c r="BD3847" s="2" t="s">
        <v>82</v>
      </c>
      <c r="BE3847" s="2">
        <v>41</v>
      </c>
      <c r="BF3847" s="2" t="s">
        <v>82</v>
      </c>
      <c r="BG3847" s="2"/>
      <c r="BH3847" s="2"/>
      <c r="BI3847" s="2"/>
      <c r="BJ3847" s="2">
        <v>241</v>
      </c>
      <c r="BK3847" s="2" t="s">
        <v>82</v>
      </c>
      <c r="BL3847" s="2" t="s">
        <v>82</v>
      </c>
      <c r="BM3847" s="2">
        <v>241</v>
      </c>
      <c r="BN3847" s="2" t="s">
        <v>82</v>
      </c>
      <c r="BO3847" s="2"/>
      <c r="BP3847" s="2">
        <v>241</v>
      </c>
      <c r="BQ3847" s="2" t="s">
        <v>82</v>
      </c>
      <c r="BR3847" s="2" t="s">
        <v>82</v>
      </c>
      <c r="BS3847" s="3">
        <v>40439</v>
      </c>
      <c r="BT3847" s="4">
        <v>0.42652777777777778</v>
      </c>
    </row>
    <row r="3848" spans="1:72" x14ac:dyDescent="0.25">
      <c r="A3848" s="2">
        <v>5706</v>
      </c>
      <c r="B3848" s="2">
        <v>2010</v>
      </c>
      <c r="C3848" s="2" t="s">
        <v>72</v>
      </c>
      <c r="D3848" s="2" t="s">
        <v>73</v>
      </c>
      <c r="E3848" s="2"/>
      <c r="F3848" s="2">
        <v>390</v>
      </c>
      <c r="G3848" s="2" t="s">
        <v>475</v>
      </c>
      <c r="H3848" s="2">
        <v>7</v>
      </c>
      <c r="I3848" s="2" t="s">
        <v>476</v>
      </c>
      <c r="J3848" s="2">
        <v>533</v>
      </c>
      <c r="K3848" s="2" t="s">
        <v>6511</v>
      </c>
      <c r="L3848" s="2" t="s">
        <v>478</v>
      </c>
      <c r="M3848" s="3">
        <v>40439</v>
      </c>
      <c r="N3848" s="2" t="s">
        <v>765</v>
      </c>
      <c r="O3848" s="2"/>
      <c r="P3848" s="2"/>
      <c r="Q3848" s="2" t="str">
        <f>"474-E/10"</f>
        <v>474-E/10</v>
      </c>
      <c r="R3848" s="2" t="s">
        <v>601</v>
      </c>
      <c r="S3848" s="2" t="s">
        <v>601</v>
      </c>
      <c r="T3848" s="2">
        <v>1</v>
      </c>
      <c r="U3848" s="2" t="s">
        <v>79</v>
      </c>
      <c r="V3848" s="2">
        <v>1</v>
      </c>
      <c r="W3848" s="2" t="s">
        <v>80</v>
      </c>
      <c r="X3848" s="2">
        <v>12</v>
      </c>
      <c r="Y3848" s="2" t="s">
        <v>148</v>
      </c>
      <c r="Z3848" s="2">
        <v>1</v>
      </c>
      <c r="AA3848" s="2" t="s">
        <v>82</v>
      </c>
      <c r="AB3848" s="2">
        <v>6</v>
      </c>
      <c r="AC3848" s="2" t="s">
        <v>83</v>
      </c>
      <c r="AD3848" s="3">
        <v>40438</v>
      </c>
      <c r="AE3848" s="2"/>
      <c r="AF3848" s="3">
        <v>40438</v>
      </c>
      <c r="AG3848" s="4">
        <v>0.9375</v>
      </c>
      <c r="AH3848" s="2">
        <v>2</v>
      </c>
      <c r="AI3848" s="2" t="s">
        <v>84</v>
      </c>
      <c r="AJ3848" s="2">
        <v>9</v>
      </c>
      <c r="AK3848" s="2" t="s">
        <v>103</v>
      </c>
      <c r="AL3848" s="2">
        <v>22</v>
      </c>
      <c r="AM3848" s="2" t="s">
        <v>1853</v>
      </c>
      <c r="AN3848" s="2" t="s">
        <v>590</v>
      </c>
      <c r="AO3848" s="2" t="s">
        <v>12115</v>
      </c>
      <c r="AP3848" s="2">
        <v>11</v>
      </c>
      <c r="AQ3848" s="2" t="s">
        <v>82</v>
      </c>
      <c r="AR3848" s="2"/>
      <c r="AS3848" s="2"/>
      <c r="AT3848" s="2" t="s">
        <v>12215</v>
      </c>
      <c r="AU3848" s="2"/>
      <c r="AV3848" s="2"/>
      <c r="AW3848" s="2"/>
      <c r="AX3848" s="2"/>
      <c r="AY3848" s="2">
        <v>41</v>
      </c>
      <c r="AZ3848" s="2" t="s">
        <v>82</v>
      </c>
      <c r="BA3848" s="2">
        <v>41</v>
      </c>
      <c r="BB3848" s="2" t="s">
        <v>82</v>
      </c>
      <c r="BC3848" s="2">
        <v>41</v>
      </c>
      <c r="BD3848" s="2" t="s">
        <v>82</v>
      </c>
      <c r="BE3848" s="2">
        <v>13</v>
      </c>
      <c r="BF3848" s="2" t="s">
        <v>108</v>
      </c>
      <c r="BG3848" s="2" t="s">
        <v>12216</v>
      </c>
      <c r="BH3848" s="4">
        <v>0.84722222222222221</v>
      </c>
      <c r="BI3848" s="2"/>
      <c r="BJ3848" s="2">
        <v>52</v>
      </c>
      <c r="BK3848" s="2" t="s">
        <v>3942</v>
      </c>
      <c r="BL3848" s="2" t="s">
        <v>3943</v>
      </c>
      <c r="BM3848" s="2">
        <v>13</v>
      </c>
      <c r="BN3848" s="2" t="s">
        <v>91</v>
      </c>
      <c r="BO3848" s="2"/>
      <c r="BP3848" s="2">
        <v>13</v>
      </c>
      <c r="BQ3848" s="2" t="s">
        <v>91</v>
      </c>
      <c r="BR3848" s="2" t="s">
        <v>360</v>
      </c>
      <c r="BS3848" s="3">
        <v>40439</v>
      </c>
      <c r="BT3848" s="4">
        <v>0.43099537037037039</v>
      </c>
    </row>
    <row r="3849" spans="1:72" x14ac:dyDescent="0.25">
      <c r="A3849" s="2">
        <v>5707</v>
      </c>
      <c r="B3849" s="2">
        <v>2010</v>
      </c>
      <c r="C3849" s="2" t="s">
        <v>72</v>
      </c>
      <c r="D3849" s="2" t="s">
        <v>73</v>
      </c>
      <c r="E3849" s="2"/>
      <c r="F3849" s="2">
        <v>167</v>
      </c>
      <c r="G3849" s="2" t="s">
        <v>11567</v>
      </c>
      <c r="H3849" s="2">
        <v>42</v>
      </c>
      <c r="I3849" s="2" t="s">
        <v>1096</v>
      </c>
      <c r="J3849" s="2">
        <v>656</v>
      </c>
      <c r="K3849" s="2" t="s">
        <v>11603</v>
      </c>
      <c r="L3849" s="2" t="s">
        <v>4885</v>
      </c>
      <c r="M3849" s="3">
        <v>40439</v>
      </c>
      <c r="N3849" s="2" t="s">
        <v>11604</v>
      </c>
      <c r="O3849" s="2" t="s">
        <v>82</v>
      </c>
      <c r="P3849" s="2" t="s">
        <v>82</v>
      </c>
      <c r="Q3849" s="2" t="str">
        <f>"375-A/10"</f>
        <v>375-A/10</v>
      </c>
      <c r="R3849" s="2" t="s">
        <v>78</v>
      </c>
      <c r="S3849" s="2" t="s">
        <v>78</v>
      </c>
      <c r="T3849" s="2">
        <v>1</v>
      </c>
      <c r="U3849" s="2" t="s">
        <v>79</v>
      </c>
      <c r="V3849" s="2">
        <v>1</v>
      </c>
      <c r="W3849" s="2" t="s">
        <v>80</v>
      </c>
      <c r="X3849" s="2">
        <v>12</v>
      </c>
      <c r="Y3849" s="2" t="s">
        <v>148</v>
      </c>
      <c r="Z3849" s="2">
        <v>1</v>
      </c>
      <c r="AA3849" s="2" t="s">
        <v>82</v>
      </c>
      <c r="AB3849" s="2">
        <v>6</v>
      </c>
      <c r="AC3849" s="2" t="s">
        <v>83</v>
      </c>
      <c r="AD3849" s="3">
        <v>40438</v>
      </c>
      <c r="AE3849" s="2"/>
      <c r="AF3849" s="3">
        <v>40438</v>
      </c>
      <c r="AG3849" s="4">
        <v>0.95138888888888884</v>
      </c>
      <c r="AH3849" s="2">
        <v>2</v>
      </c>
      <c r="AI3849" s="2" t="s">
        <v>84</v>
      </c>
      <c r="AJ3849" s="2">
        <v>12</v>
      </c>
      <c r="AK3849" s="2" t="s">
        <v>85</v>
      </c>
      <c r="AL3849" s="2">
        <v>14</v>
      </c>
      <c r="AM3849" s="2" t="s">
        <v>216</v>
      </c>
      <c r="AN3849" s="2" t="s">
        <v>107</v>
      </c>
      <c r="AO3849" s="2" t="s">
        <v>12217</v>
      </c>
      <c r="AP3849" s="2">
        <v>11</v>
      </c>
      <c r="AQ3849" s="2" t="s">
        <v>82</v>
      </c>
      <c r="AR3849" s="2" t="s">
        <v>82</v>
      </c>
      <c r="AS3849" s="2" t="s">
        <v>82</v>
      </c>
      <c r="AT3849" s="2" t="s">
        <v>12218</v>
      </c>
      <c r="AU3849" s="2"/>
      <c r="AV3849" s="2"/>
      <c r="AW3849" s="2"/>
      <c r="AX3849" s="2"/>
      <c r="AY3849" s="2">
        <v>41</v>
      </c>
      <c r="AZ3849" s="2" t="s">
        <v>82</v>
      </c>
      <c r="BA3849" s="2">
        <v>41</v>
      </c>
      <c r="BB3849" s="2" t="s">
        <v>82</v>
      </c>
      <c r="BC3849" s="2">
        <v>41</v>
      </c>
      <c r="BD3849" s="2" t="s">
        <v>82</v>
      </c>
      <c r="BE3849" s="2">
        <v>41</v>
      </c>
      <c r="BF3849" s="2" t="s">
        <v>82</v>
      </c>
      <c r="BG3849" s="2"/>
      <c r="BH3849" s="2"/>
      <c r="BI3849" s="2"/>
      <c r="BJ3849" s="2">
        <v>241</v>
      </c>
      <c r="BK3849" s="2" t="s">
        <v>82</v>
      </c>
      <c r="BL3849" s="2" t="s">
        <v>82</v>
      </c>
      <c r="BM3849" s="2">
        <v>241</v>
      </c>
      <c r="BN3849" s="2" t="s">
        <v>82</v>
      </c>
      <c r="BO3849" s="2"/>
      <c r="BP3849" s="2">
        <v>241</v>
      </c>
      <c r="BQ3849" s="2" t="s">
        <v>82</v>
      </c>
      <c r="BR3849" s="2" t="s">
        <v>82</v>
      </c>
      <c r="BS3849" s="3">
        <v>40439</v>
      </c>
      <c r="BT3849" s="4">
        <v>0.44160879629629629</v>
      </c>
    </row>
    <row r="3850" spans="1:72" x14ac:dyDescent="0.25">
      <c r="A3850" s="2">
        <v>5708</v>
      </c>
      <c r="B3850" s="2">
        <v>2010</v>
      </c>
      <c r="C3850" s="2" t="s">
        <v>171</v>
      </c>
      <c r="D3850" s="2" t="s">
        <v>73</v>
      </c>
      <c r="E3850" s="2"/>
      <c r="F3850" s="2">
        <v>395</v>
      </c>
      <c r="G3850" s="2" t="s">
        <v>1076</v>
      </c>
      <c r="H3850" s="2">
        <v>6</v>
      </c>
      <c r="I3850" s="2" t="s">
        <v>1088</v>
      </c>
      <c r="J3850" s="2">
        <v>242</v>
      </c>
      <c r="K3850" s="2" t="s">
        <v>1077</v>
      </c>
      <c r="L3850" s="2" t="s">
        <v>1078</v>
      </c>
      <c r="M3850" s="3">
        <v>40439</v>
      </c>
      <c r="N3850" s="2" t="s">
        <v>7163</v>
      </c>
      <c r="O3850" s="2"/>
      <c r="P3850" s="2"/>
      <c r="Q3850" s="2" t="str">
        <f>"475-E/10"</f>
        <v>475-E/10</v>
      </c>
      <c r="R3850" s="2" t="s">
        <v>391</v>
      </c>
      <c r="S3850" s="2" t="s">
        <v>391</v>
      </c>
      <c r="T3850" s="2">
        <v>1</v>
      </c>
      <c r="U3850" s="2" t="s">
        <v>79</v>
      </c>
      <c r="V3850" s="2">
        <v>1</v>
      </c>
      <c r="W3850" s="2" t="s">
        <v>80</v>
      </c>
      <c r="X3850" s="2">
        <v>1</v>
      </c>
      <c r="Y3850" s="2" t="s">
        <v>81</v>
      </c>
      <c r="Z3850" s="2">
        <v>1</v>
      </c>
      <c r="AA3850" s="2" t="s">
        <v>82</v>
      </c>
      <c r="AB3850" s="2">
        <v>1</v>
      </c>
      <c r="AC3850" s="2" t="s">
        <v>178</v>
      </c>
      <c r="AD3850" s="3">
        <v>40438</v>
      </c>
      <c r="AE3850" s="4">
        <v>0.94444444444444453</v>
      </c>
      <c r="AF3850" s="2"/>
      <c r="AG3850" s="2"/>
      <c r="AH3850" s="2">
        <v>2</v>
      </c>
      <c r="AI3850" s="2" t="s">
        <v>84</v>
      </c>
      <c r="AJ3850" s="2">
        <v>9</v>
      </c>
      <c r="AK3850" s="2" t="s">
        <v>103</v>
      </c>
      <c r="AL3850" s="2">
        <v>11</v>
      </c>
      <c r="AM3850" s="2" t="s">
        <v>137</v>
      </c>
      <c r="AN3850" s="2" t="s">
        <v>12219</v>
      </c>
      <c r="AO3850" s="2" t="s">
        <v>590</v>
      </c>
      <c r="AP3850" s="2">
        <v>11</v>
      </c>
      <c r="AQ3850" s="2" t="s">
        <v>82</v>
      </c>
      <c r="AR3850" s="2"/>
      <c r="AS3850" s="2"/>
      <c r="AT3850" s="2" t="s">
        <v>12220</v>
      </c>
      <c r="AU3850" s="2"/>
      <c r="AV3850" s="2">
        <v>1</v>
      </c>
      <c r="AW3850" s="2"/>
      <c r="AX3850" s="2"/>
      <c r="AY3850" s="2">
        <v>41</v>
      </c>
      <c r="AZ3850" s="2" t="s">
        <v>82</v>
      </c>
      <c r="BA3850" s="2">
        <v>41</v>
      </c>
      <c r="BB3850" s="2" t="s">
        <v>82</v>
      </c>
      <c r="BC3850" s="2">
        <v>41</v>
      </c>
      <c r="BD3850" s="2" t="s">
        <v>82</v>
      </c>
      <c r="BE3850" s="2">
        <v>13</v>
      </c>
      <c r="BF3850" s="2" t="s">
        <v>108</v>
      </c>
      <c r="BG3850" s="2" t="s">
        <v>12221</v>
      </c>
      <c r="BH3850" s="2"/>
      <c r="BI3850" s="4">
        <v>0.99652777777777779</v>
      </c>
      <c r="BJ3850" s="2">
        <v>13</v>
      </c>
      <c r="BK3850" s="2" t="s">
        <v>91</v>
      </c>
      <c r="BL3850" s="2" t="s">
        <v>360</v>
      </c>
      <c r="BM3850" s="2">
        <v>13</v>
      </c>
      <c r="BN3850" s="2" t="s">
        <v>91</v>
      </c>
      <c r="BO3850" s="2"/>
      <c r="BP3850" s="2">
        <v>73</v>
      </c>
      <c r="BQ3850" s="2" t="s">
        <v>186</v>
      </c>
      <c r="BR3850" s="2" t="s">
        <v>675</v>
      </c>
      <c r="BS3850" s="3">
        <v>40439</v>
      </c>
      <c r="BT3850" s="4">
        <v>0.45444444444444443</v>
      </c>
    </row>
    <row r="3851" spans="1:72" x14ac:dyDescent="0.25">
      <c r="A3851" s="2">
        <v>5709</v>
      </c>
      <c r="B3851" s="2">
        <v>2010</v>
      </c>
      <c r="C3851" s="2" t="s">
        <v>2138</v>
      </c>
      <c r="D3851" s="2" t="s">
        <v>122</v>
      </c>
      <c r="E3851" s="2"/>
      <c r="F3851" s="2">
        <v>1</v>
      </c>
      <c r="G3851" s="2" t="s">
        <v>82</v>
      </c>
      <c r="H3851" s="2">
        <v>1</v>
      </c>
      <c r="I3851" s="2" t="s">
        <v>82</v>
      </c>
      <c r="J3851" s="2">
        <v>1</v>
      </c>
      <c r="K3851" s="2" t="s">
        <v>107</v>
      </c>
      <c r="L3851" s="2" t="s">
        <v>107</v>
      </c>
      <c r="M3851" s="3">
        <v>40439</v>
      </c>
      <c r="N3851" s="2" t="s">
        <v>82</v>
      </c>
      <c r="O3851" s="2" t="s">
        <v>82</v>
      </c>
      <c r="P3851" s="2" t="s">
        <v>82</v>
      </c>
      <c r="Q3851" s="2" t="str">
        <f>"N/C"</f>
        <v>N/C</v>
      </c>
      <c r="R3851" s="2" t="s">
        <v>82</v>
      </c>
      <c r="S3851" s="2" t="s">
        <v>82</v>
      </c>
      <c r="T3851" s="2">
        <v>1</v>
      </c>
      <c r="U3851" s="2" t="s">
        <v>79</v>
      </c>
      <c r="V3851" s="2">
        <v>1</v>
      </c>
      <c r="W3851" s="2" t="s">
        <v>80</v>
      </c>
      <c r="X3851" s="2">
        <v>11</v>
      </c>
      <c r="Y3851" s="2" t="s">
        <v>1920</v>
      </c>
      <c r="Z3851" s="2">
        <v>10</v>
      </c>
      <c r="AA3851" s="2" t="s">
        <v>236</v>
      </c>
      <c r="AB3851" s="2">
        <v>9</v>
      </c>
      <c r="AC3851" s="2" t="s">
        <v>124</v>
      </c>
      <c r="AD3851" s="3">
        <v>40439</v>
      </c>
      <c r="AE3851" s="4">
        <v>0.30555555555555552</v>
      </c>
      <c r="AF3851" s="2"/>
      <c r="AG3851" s="2"/>
      <c r="AH3851" s="2">
        <v>2</v>
      </c>
      <c r="AI3851" s="2" t="s">
        <v>84</v>
      </c>
      <c r="AJ3851" s="2">
        <v>12</v>
      </c>
      <c r="AK3851" s="2" t="s">
        <v>85</v>
      </c>
      <c r="AL3851" s="2">
        <v>2</v>
      </c>
      <c r="AM3851" s="2" t="s">
        <v>163</v>
      </c>
      <c r="AN3851" s="2" t="s">
        <v>107</v>
      </c>
      <c r="AO3851" s="2" t="s">
        <v>107</v>
      </c>
      <c r="AP3851" s="2">
        <v>11</v>
      </c>
      <c r="AQ3851" s="2" t="s">
        <v>82</v>
      </c>
      <c r="AR3851" s="2" t="s">
        <v>82</v>
      </c>
      <c r="AS3851" s="2" t="s">
        <v>82</v>
      </c>
      <c r="AT3851" s="2" t="s">
        <v>12222</v>
      </c>
      <c r="AU3851" s="2"/>
      <c r="AV3851" s="2"/>
      <c r="AW3851" s="2"/>
      <c r="AX3851" s="2"/>
      <c r="AY3851" s="2">
        <v>41</v>
      </c>
      <c r="AZ3851" s="2" t="s">
        <v>82</v>
      </c>
      <c r="BA3851" s="2">
        <v>41</v>
      </c>
      <c r="BB3851" s="2" t="s">
        <v>82</v>
      </c>
      <c r="BC3851" s="2">
        <v>41</v>
      </c>
      <c r="BD3851" s="2" t="s">
        <v>82</v>
      </c>
      <c r="BE3851" s="2">
        <v>47</v>
      </c>
      <c r="BF3851" s="2" t="s">
        <v>167</v>
      </c>
      <c r="BG3851" s="2"/>
      <c r="BH3851" s="4">
        <v>0.31597222222222221</v>
      </c>
      <c r="BI3851" s="4">
        <v>0.25</v>
      </c>
      <c r="BJ3851" s="2">
        <v>13</v>
      </c>
      <c r="BK3851" s="2" t="s">
        <v>91</v>
      </c>
      <c r="BL3851" s="2" t="s">
        <v>241</v>
      </c>
      <c r="BM3851" s="2">
        <v>241</v>
      </c>
      <c r="BN3851" s="2" t="s">
        <v>82</v>
      </c>
      <c r="BO3851" s="2"/>
      <c r="BP3851" s="2">
        <v>13</v>
      </c>
      <c r="BQ3851" s="2" t="s">
        <v>91</v>
      </c>
      <c r="BR3851" s="2" t="s">
        <v>185</v>
      </c>
      <c r="BS3851" s="3">
        <v>40439</v>
      </c>
      <c r="BT3851" s="4">
        <v>0.53978009259259252</v>
      </c>
    </row>
    <row r="3852" spans="1:72" x14ac:dyDescent="0.25">
      <c r="A3852" s="2">
        <v>5710</v>
      </c>
      <c r="B3852" s="2">
        <v>2010</v>
      </c>
      <c r="C3852" s="2" t="s">
        <v>72</v>
      </c>
      <c r="D3852" s="2" t="s">
        <v>73</v>
      </c>
      <c r="E3852" s="2"/>
      <c r="F3852" s="2">
        <v>457</v>
      </c>
      <c r="G3852" s="2" t="s">
        <v>1416</v>
      </c>
      <c r="H3852" s="2">
        <v>2</v>
      </c>
      <c r="I3852" s="2" t="s">
        <v>267</v>
      </c>
      <c r="J3852" s="2">
        <v>340</v>
      </c>
      <c r="K3852" s="2" t="s">
        <v>1417</v>
      </c>
      <c r="L3852" s="2" t="s">
        <v>1418</v>
      </c>
      <c r="M3852" s="3">
        <v>40439</v>
      </c>
      <c r="N3852" s="2" t="s">
        <v>12223</v>
      </c>
      <c r="O3852" s="2"/>
      <c r="P3852" s="2"/>
      <c r="Q3852" s="2" t="str">
        <f>"0014/2010"</f>
        <v>0014/2010</v>
      </c>
      <c r="R3852" s="2" t="s">
        <v>116</v>
      </c>
      <c r="S3852" s="2"/>
      <c r="T3852" s="2">
        <v>1</v>
      </c>
      <c r="U3852" s="2" t="s">
        <v>79</v>
      </c>
      <c r="V3852" s="2">
        <v>1</v>
      </c>
      <c r="W3852" s="2" t="s">
        <v>80</v>
      </c>
      <c r="X3852" s="2">
        <v>12</v>
      </c>
      <c r="Y3852" s="2" t="s">
        <v>148</v>
      </c>
      <c r="Z3852" s="2">
        <v>1</v>
      </c>
      <c r="AA3852" s="2" t="s">
        <v>82</v>
      </c>
      <c r="AB3852" s="2">
        <v>6</v>
      </c>
      <c r="AC3852" s="2" t="s">
        <v>83</v>
      </c>
      <c r="AD3852" s="3">
        <v>40439</v>
      </c>
      <c r="AE3852" s="2"/>
      <c r="AF3852" s="3">
        <v>40439</v>
      </c>
      <c r="AG3852" s="4">
        <v>0.4548611111111111</v>
      </c>
      <c r="AH3852" s="2">
        <v>5</v>
      </c>
      <c r="AI3852" s="2" t="s">
        <v>274</v>
      </c>
      <c r="AJ3852" s="2">
        <v>37</v>
      </c>
      <c r="AK3852" s="2" t="s">
        <v>497</v>
      </c>
      <c r="AL3852" s="2">
        <v>22</v>
      </c>
      <c r="AM3852" s="2" t="s">
        <v>1853</v>
      </c>
      <c r="AN3852" s="2"/>
      <c r="AO3852" s="2"/>
      <c r="AP3852" s="2">
        <v>11</v>
      </c>
      <c r="AQ3852" s="2" t="s">
        <v>82</v>
      </c>
      <c r="AR3852" s="2" t="s">
        <v>2529</v>
      </c>
      <c r="AS3852" s="2" t="s">
        <v>2529</v>
      </c>
      <c r="AT3852" s="2" t="s">
        <v>12224</v>
      </c>
      <c r="AU3852" s="2"/>
      <c r="AV3852" s="2"/>
      <c r="AW3852" s="2"/>
      <c r="AX3852" s="2"/>
      <c r="AY3852" s="2">
        <v>41</v>
      </c>
      <c r="AZ3852" s="2" t="s">
        <v>82</v>
      </c>
      <c r="BA3852" s="2">
        <v>41</v>
      </c>
      <c r="BB3852" s="2" t="s">
        <v>82</v>
      </c>
      <c r="BC3852" s="2">
        <v>13</v>
      </c>
      <c r="BD3852" s="2" t="s">
        <v>108</v>
      </c>
      <c r="BE3852" s="2">
        <v>13</v>
      </c>
      <c r="BF3852" s="2" t="s">
        <v>108</v>
      </c>
      <c r="BG3852" s="2" t="s">
        <v>1422</v>
      </c>
      <c r="BH3852" s="4">
        <v>0.41597222222222219</v>
      </c>
      <c r="BI3852" s="4">
        <v>0.34375</v>
      </c>
      <c r="BJ3852" s="2">
        <v>13</v>
      </c>
      <c r="BK3852" s="2" t="s">
        <v>91</v>
      </c>
      <c r="BL3852" s="2" t="s">
        <v>12225</v>
      </c>
      <c r="BM3852" s="2">
        <v>13</v>
      </c>
      <c r="BN3852" s="2" t="s">
        <v>91</v>
      </c>
      <c r="BO3852" s="2"/>
      <c r="BP3852" s="2">
        <v>13</v>
      </c>
      <c r="BQ3852" s="2" t="s">
        <v>91</v>
      </c>
      <c r="BR3852" s="2" t="s">
        <v>1552</v>
      </c>
      <c r="BS3852" s="3">
        <v>40439</v>
      </c>
      <c r="BT3852" s="4">
        <v>0.5718981481481481</v>
      </c>
    </row>
    <row r="3853" spans="1:72" x14ac:dyDescent="0.25">
      <c r="A3853" s="2">
        <v>5712</v>
      </c>
      <c r="B3853" s="2">
        <v>2010</v>
      </c>
      <c r="C3853" s="2" t="s">
        <v>549</v>
      </c>
      <c r="D3853" s="2" t="s">
        <v>73</v>
      </c>
      <c r="E3853" s="2"/>
      <c r="F3853" s="2">
        <v>24</v>
      </c>
      <c r="G3853" s="2" t="s">
        <v>532</v>
      </c>
      <c r="H3853" s="2">
        <v>1</v>
      </c>
      <c r="I3853" s="2" t="s">
        <v>82</v>
      </c>
      <c r="J3853" s="2">
        <v>300</v>
      </c>
      <c r="K3853" s="2" t="s">
        <v>114</v>
      </c>
      <c r="L3853" s="2" t="s">
        <v>115</v>
      </c>
      <c r="M3853" s="3">
        <v>40439</v>
      </c>
      <c r="N3853" s="2" t="s">
        <v>82</v>
      </c>
      <c r="O3853" s="2"/>
      <c r="P3853" s="2" t="s">
        <v>82</v>
      </c>
      <c r="Q3853" s="2" t="str">
        <f>"476-E/10"</f>
        <v>476-E/10</v>
      </c>
      <c r="R3853" s="2" t="s">
        <v>550</v>
      </c>
      <c r="S3853" s="2"/>
      <c r="T3853" s="2">
        <v>1</v>
      </c>
      <c r="U3853" s="2" t="s">
        <v>79</v>
      </c>
      <c r="V3853" s="2">
        <v>1</v>
      </c>
      <c r="W3853" s="2" t="s">
        <v>80</v>
      </c>
      <c r="X3853" s="2">
        <v>1</v>
      </c>
      <c r="Y3853" s="2" t="s">
        <v>81</v>
      </c>
      <c r="Z3853" s="2">
        <v>1</v>
      </c>
      <c r="AA3853" s="2" t="s">
        <v>82</v>
      </c>
      <c r="AB3853" s="2">
        <v>9</v>
      </c>
      <c r="AC3853" s="2" t="s">
        <v>124</v>
      </c>
      <c r="AD3853" s="3">
        <v>40439</v>
      </c>
      <c r="AE3853" s="4">
        <v>0.2986111111111111</v>
      </c>
      <c r="AF3853" s="2"/>
      <c r="AG3853" s="2"/>
      <c r="AH3853" s="2">
        <v>2</v>
      </c>
      <c r="AI3853" s="2" t="s">
        <v>84</v>
      </c>
      <c r="AJ3853" s="2">
        <v>9</v>
      </c>
      <c r="AK3853" s="2" t="s">
        <v>103</v>
      </c>
      <c r="AL3853" s="2">
        <v>24</v>
      </c>
      <c r="AM3853" s="2" t="s">
        <v>1540</v>
      </c>
      <c r="AN3853" s="2"/>
      <c r="AO3853" s="2" t="s">
        <v>12226</v>
      </c>
      <c r="AP3853" s="2">
        <v>11</v>
      </c>
      <c r="AQ3853" s="2" t="s">
        <v>82</v>
      </c>
      <c r="AR3853" s="2"/>
      <c r="AS3853" s="2"/>
      <c r="AT3853" s="2" t="s">
        <v>12227</v>
      </c>
      <c r="AU3853" s="2"/>
      <c r="AV3853" s="2"/>
      <c r="AW3853" s="2"/>
      <c r="AX3853" s="2"/>
      <c r="AY3853" s="2">
        <v>41</v>
      </c>
      <c r="AZ3853" s="2" t="s">
        <v>82</v>
      </c>
      <c r="BA3853" s="2">
        <v>41</v>
      </c>
      <c r="BB3853" s="2" t="s">
        <v>82</v>
      </c>
      <c r="BC3853" s="2">
        <v>41</v>
      </c>
      <c r="BD3853" s="2" t="s">
        <v>82</v>
      </c>
      <c r="BE3853" s="2">
        <v>41</v>
      </c>
      <c r="BF3853" s="2" t="s">
        <v>82</v>
      </c>
      <c r="BG3853" s="2"/>
      <c r="BH3853" s="2"/>
      <c r="BI3853" s="2"/>
      <c r="BJ3853" s="2">
        <v>241</v>
      </c>
      <c r="BK3853" s="2" t="s">
        <v>82</v>
      </c>
      <c r="BL3853" s="2"/>
      <c r="BM3853" s="2">
        <v>241</v>
      </c>
      <c r="BN3853" s="2" t="s">
        <v>82</v>
      </c>
      <c r="BO3853" s="2"/>
      <c r="BP3853" s="2">
        <v>241</v>
      </c>
      <c r="BQ3853" s="2" t="s">
        <v>82</v>
      </c>
      <c r="BR3853" s="2"/>
      <c r="BS3853" s="3">
        <v>40439</v>
      </c>
      <c r="BT3853" s="4">
        <v>0.71392361111111102</v>
      </c>
    </row>
    <row r="3854" spans="1:72" x14ac:dyDescent="0.25">
      <c r="A3854" s="2">
        <v>5714</v>
      </c>
      <c r="B3854" s="2">
        <v>2010</v>
      </c>
      <c r="C3854" s="2" t="s">
        <v>196</v>
      </c>
      <c r="D3854" s="2" t="s">
        <v>122</v>
      </c>
      <c r="E3854" s="2"/>
      <c r="F3854" s="2">
        <v>1</v>
      </c>
      <c r="G3854" s="2" t="s">
        <v>82</v>
      </c>
      <c r="H3854" s="2">
        <v>1</v>
      </c>
      <c r="I3854" s="2" t="s">
        <v>82</v>
      </c>
      <c r="J3854" s="2">
        <v>1</v>
      </c>
      <c r="K3854" s="2" t="s">
        <v>107</v>
      </c>
      <c r="L3854" s="2" t="s">
        <v>107</v>
      </c>
      <c r="M3854" s="3">
        <v>40439</v>
      </c>
      <c r="N3854" s="2" t="s">
        <v>82</v>
      </c>
      <c r="O3854" s="2" t="s">
        <v>82</v>
      </c>
      <c r="P3854" s="2" t="s">
        <v>82</v>
      </c>
      <c r="Q3854" s="2" t="str">
        <f>"N/C"</f>
        <v>N/C</v>
      </c>
      <c r="R3854" s="2" t="s">
        <v>82</v>
      </c>
      <c r="S3854" s="2" t="s">
        <v>82</v>
      </c>
      <c r="T3854" s="2">
        <v>2</v>
      </c>
      <c r="U3854" s="2" t="s">
        <v>123</v>
      </c>
      <c r="V3854" s="2">
        <v>1</v>
      </c>
      <c r="W3854" s="2" t="s">
        <v>80</v>
      </c>
      <c r="X3854" s="2">
        <v>11</v>
      </c>
      <c r="Y3854" s="2" t="s">
        <v>1920</v>
      </c>
      <c r="Z3854" s="2">
        <v>10</v>
      </c>
      <c r="AA3854" s="2" t="s">
        <v>236</v>
      </c>
      <c r="AB3854" s="2">
        <v>9</v>
      </c>
      <c r="AC3854" s="2" t="s">
        <v>124</v>
      </c>
      <c r="AD3854" s="3">
        <v>40439</v>
      </c>
      <c r="AE3854" s="4">
        <v>0.65972222222222221</v>
      </c>
      <c r="AF3854" s="2"/>
      <c r="AG3854" s="2"/>
      <c r="AH3854" s="2">
        <v>2</v>
      </c>
      <c r="AI3854" s="2" t="s">
        <v>84</v>
      </c>
      <c r="AJ3854" s="2">
        <v>12</v>
      </c>
      <c r="AK3854" s="2" t="s">
        <v>85</v>
      </c>
      <c r="AL3854" s="2">
        <v>20</v>
      </c>
      <c r="AM3854" s="2" t="s">
        <v>992</v>
      </c>
      <c r="AN3854" s="2" t="s">
        <v>107</v>
      </c>
      <c r="AO3854" s="2" t="s">
        <v>107</v>
      </c>
      <c r="AP3854" s="2">
        <v>11</v>
      </c>
      <c r="AQ3854" s="2" t="s">
        <v>82</v>
      </c>
      <c r="AR3854" s="2" t="s">
        <v>82</v>
      </c>
      <c r="AS3854" s="2" t="s">
        <v>82</v>
      </c>
      <c r="AT3854" s="2" t="s">
        <v>12228</v>
      </c>
      <c r="AU3854" s="2"/>
      <c r="AV3854" s="2"/>
      <c r="AW3854" s="2"/>
      <c r="AX3854" s="2"/>
      <c r="AY3854" s="2">
        <v>41</v>
      </c>
      <c r="AZ3854" s="2" t="s">
        <v>82</v>
      </c>
      <c r="BA3854" s="2">
        <v>41</v>
      </c>
      <c r="BB3854" s="2" t="s">
        <v>82</v>
      </c>
      <c r="BC3854" s="2">
        <v>41</v>
      </c>
      <c r="BD3854" s="2" t="s">
        <v>82</v>
      </c>
      <c r="BE3854" s="2">
        <v>41</v>
      </c>
      <c r="BF3854" s="2" t="s">
        <v>82</v>
      </c>
      <c r="BG3854" s="2"/>
      <c r="BH3854" s="2"/>
      <c r="BI3854" s="4">
        <v>0.75</v>
      </c>
      <c r="BJ3854" s="2">
        <v>13</v>
      </c>
      <c r="BK3854" s="2" t="s">
        <v>91</v>
      </c>
      <c r="BL3854" s="2" t="s">
        <v>185</v>
      </c>
      <c r="BM3854" s="2">
        <v>241</v>
      </c>
      <c r="BN3854" s="2" t="s">
        <v>82</v>
      </c>
      <c r="BO3854" s="2"/>
      <c r="BP3854" s="2">
        <v>46</v>
      </c>
      <c r="BQ3854" s="2" t="s">
        <v>307</v>
      </c>
      <c r="BR3854" s="2" t="s">
        <v>308</v>
      </c>
      <c r="BS3854" s="3">
        <v>40439</v>
      </c>
      <c r="BT3854" s="4">
        <v>0.77295138888888892</v>
      </c>
    </row>
    <row r="3855" spans="1:72" x14ac:dyDescent="0.25">
      <c r="A3855" s="2">
        <v>5716</v>
      </c>
      <c r="B3855" s="2">
        <v>2010</v>
      </c>
      <c r="C3855" s="2" t="s">
        <v>377</v>
      </c>
      <c r="D3855" s="2" t="s">
        <v>122</v>
      </c>
      <c r="E3855" s="2"/>
      <c r="F3855" s="2">
        <v>1</v>
      </c>
      <c r="G3855" s="2" t="s">
        <v>82</v>
      </c>
      <c r="H3855" s="2">
        <v>1</v>
      </c>
      <c r="I3855" s="2" t="s">
        <v>82</v>
      </c>
      <c r="J3855" s="2">
        <v>1</v>
      </c>
      <c r="K3855" s="2" t="s">
        <v>107</v>
      </c>
      <c r="L3855" s="2" t="s">
        <v>107</v>
      </c>
      <c r="M3855" s="3">
        <v>40439</v>
      </c>
      <c r="N3855" s="2"/>
      <c r="O3855" s="2"/>
      <c r="P3855" s="2"/>
      <c r="Q3855" s="2" t="str">
        <f>"AP-0718-10"</f>
        <v>AP-0718-10</v>
      </c>
      <c r="R3855" s="2" t="s">
        <v>12229</v>
      </c>
      <c r="S3855" s="2"/>
      <c r="T3855" s="2">
        <v>1</v>
      </c>
      <c r="U3855" s="2" t="s">
        <v>79</v>
      </c>
      <c r="V3855" s="2">
        <v>1</v>
      </c>
      <c r="W3855" s="2" t="s">
        <v>80</v>
      </c>
      <c r="X3855" s="2">
        <v>1</v>
      </c>
      <c r="Y3855" s="2" t="s">
        <v>81</v>
      </c>
      <c r="Z3855" s="2">
        <v>1</v>
      </c>
      <c r="AA3855" s="2" t="s">
        <v>82</v>
      </c>
      <c r="AB3855" s="2">
        <v>9</v>
      </c>
      <c r="AC3855" s="2" t="s">
        <v>124</v>
      </c>
      <c r="AD3855" s="3">
        <v>40439</v>
      </c>
      <c r="AE3855" s="4">
        <v>0.70138888888888884</v>
      </c>
      <c r="AF3855" s="2"/>
      <c r="AG3855" s="2"/>
      <c r="AH3855" s="2">
        <v>6</v>
      </c>
      <c r="AI3855" s="2" t="s">
        <v>197</v>
      </c>
      <c r="AJ3855" s="2">
        <v>50</v>
      </c>
      <c r="AK3855" s="2" t="s">
        <v>330</v>
      </c>
      <c r="AL3855" s="2">
        <v>10</v>
      </c>
      <c r="AM3855" s="2" t="s">
        <v>200</v>
      </c>
      <c r="AN3855" s="2" t="s">
        <v>12230</v>
      </c>
      <c r="AO3855" s="2" t="s">
        <v>82</v>
      </c>
      <c r="AP3855" s="2">
        <v>11</v>
      </c>
      <c r="AQ3855" s="2" t="s">
        <v>82</v>
      </c>
      <c r="AR3855" s="2"/>
      <c r="AS3855" s="2"/>
      <c r="AT3855" s="2" t="s">
        <v>12231</v>
      </c>
      <c r="AU3855" s="2"/>
      <c r="AV3855" s="2"/>
      <c r="AW3855" s="2"/>
      <c r="AX3855" s="2"/>
      <c r="AY3855" s="2">
        <v>41</v>
      </c>
      <c r="AZ3855" s="2" t="s">
        <v>82</v>
      </c>
      <c r="BA3855" s="2">
        <v>41</v>
      </c>
      <c r="BB3855" s="2" t="s">
        <v>82</v>
      </c>
      <c r="BC3855" s="2">
        <v>41</v>
      </c>
      <c r="BD3855" s="2" t="s">
        <v>82</v>
      </c>
      <c r="BE3855" s="2">
        <v>41</v>
      </c>
      <c r="BF3855" s="2" t="s">
        <v>82</v>
      </c>
      <c r="BG3855" s="2"/>
      <c r="BH3855" s="2"/>
      <c r="BI3855" s="2"/>
      <c r="BJ3855" s="2">
        <v>241</v>
      </c>
      <c r="BK3855" s="2" t="s">
        <v>82</v>
      </c>
      <c r="BL3855" s="2"/>
      <c r="BM3855" s="2">
        <v>241</v>
      </c>
      <c r="BN3855" s="2" t="s">
        <v>82</v>
      </c>
      <c r="BO3855" s="2"/>
      <c r="BP3855" s="2">
        <v>241</v>
      </c>
      <c r="BQ3855" s="2" t="s">
        <v>82</v>
      </c>
      <c r="BR3855" s="2"/>
      <c r="BS3855" s="3">
        <v>40439</v>
      </c>
      <c r="BT3855" s="4">
        <v>0.87359953703703708</v>
      </c>
    </row>
    <row r="3856" spans="1:72" x14ac:dyDescent="0.25">
      <c r="A3856" s="2">
        <v>5717</v>
      </c>
      <c r="B3856" s="2">
        <v>2010</v>
      </c>
      <c r="C3856" s="2" t="s">
        <v>72</v>
      </c>
      <c r="D3856" s="2" t="s">
        <v>73</v>
      </c>
      <c r="E3856" s="2"/>
      <c r="F3856" s="2">
        <v>390</v>
      </c>
      <c r="G3856" s="2" t="s">
        <v>475</v>
      </c>
      <c r="H3856" s="2">
        <v>7</v>
      </c>
      <c r="I3856" s="2" t="s">
        <v>476</v>
      </c>
      <c r="J3856" s="2">
        <v>533</v>
      </c>
      <c r="K3856" s="2" t="s">
        <v>6511</v>
      </c>
      <c r="L3856" s="2" t="s">
        <v>478</v>
      </c>
      <c r="M3856" s="3">
        <v>40440</v>
      </c>
      <c r="N3856" s="2" t="s">
        <v>765</v>
      </c>
      <c r="O3856" s="2"/>
      <c r="P3856" s="2"/>
      <c r="Q3856" s="2" t="str">
        <f>"477-E/10"</f>
        <v>477-E/10</v>
      </c>
      <c r="R3856" s="2" t="s">
        <v>116</v>
      </c>
      <c r="S3856" s="2" t="s">
        <v>116</v>
      </c>
      <c r="T3856" s="2">
        <v>1</v>
      </c>
      <c r="U3856" s="2" t="s">
        <v>79</v>
      </c>
      <c r="V3856" s="2">
        <v>1</v>
      </c>
      <c r="W3856" s="2" t="s">
        <v>80</v>
      </c>
      <c r="X3856" s="2">
        <v>12</v>
      </c>
      <c r="Y3856" s="2" t="s">
        <v>148</v>
      </c>
      <c r="Z3856" s="2">
        <v>1</v>
      </c>
      <c r="AA3856" s="2" t="s">
        <v>82</v>
      </c>
      <c r="AB3856" s="2">
        <v>6</v>
      </c>
      <c r="AC3856" s="2" t="s">
        <v>83</v>
      </c>
      <c r="AD3856" s="3">
        <v>40439</v>
      </c>
      <c r="AE3856" s="4">
        <v>0.56944444444444442</v>
      </c>
      <c r="AF3856" s="3">
        <v>40439</v>
      </c>
      <c r="AG3856" s="4">
        <v>0.75</v>
      </c>
      <c r="AH3856" s="2">
        <v>2</v>
      </c>
      <c r="AI3856" s="2" t="s">
        <v>84</v>
      </c>
      <c r="AJ3856" s="2">
        <v>9</v>
      </c>
      <c r="AK3856" s="2" t="s">
        <v>103</v>
      </c>
      <c r="AL3856" s="2">
        <v>15</v>
      </c>
      <c r="AM3856" s="2" t="s">
        <v>104</v>
      </c>
      <c r="AN3856" s="2" t="s">
        <v>12232</v>
      </c>
      <c r="AO3856" s="2"/>
      <c r="AP3856" s="2">
        <v>11</v>
      </c>
      <c r="AQ3856" s="2" t="s">
        <v>82</v>
      </c>
      <c r="AR3856" s="2"/>
      <c r="AS3856" s="2"/>
      <c r="AT3856" s="2" t="s">
        <v>12233</v>
      </c>
      <c r="AU3856" s="2">
        <v>1</v>
      </c>
      <c r="AV3856" s="2"/>
      <c r="AW3856" s="2"/>
      <c r="AX3856" s="2"/>
      <c r="AY3856" s="2">
        <v>41</v>
      </c>
      <c r="AZ3856" s="2" t="s">
        <v>82</v>
      </c>
      <c r="BA3856" s="2">
        <v>69</v>
      </c>
      <c r="BB3856" s="2" t="s">
        <v>483</v>
      </c>
      <c r="BC3856" s="2">
        <v>41</v>
      </c>
      <c r="BD3856" s="2" t="s">
        <v>82</v>
      </c>
      <c r="BE3856" s="2">
        <v>41</v>
      </c>
      <c r="BF3856" s="2" t="s">
        <v>82</v>
      </c>
      <c r="BG3856" s="2"/>
      <c r="BH3856" s="2"/>
      <c r="BI3856" s="2"/>
      <c r="BJ3856" s="2">
        <v>241</v>
      </c>
      <c r="BK3856" s="2" t="s">
        <v>82</v>
      </c>
      <c r="BL3856" s="2"/>
      <c r="BM3856" s="2">
        <v>241</v>
      </c>
      <c r="BN3856" s="2" t="s">
        <v>82</v>
      </c>
      <c r="BO3856" s="2"/>
      <c r="BP3856" s="2">
        <v>241</v>
      </c>
      <c r="BQ3856" s="2" t="s">
        <v>82</v>
      </c>
      <c r="BR3856" s="2"/>
      <c r="BS3856" s="3">
        <v>40440</v>
      </c>
      <c r="BT3856" s="4">
        <v>0.11474537037037037</v>
      </c>
    </row>
    <row r="3857" spans="1:72" x14ac:dyDescent="0.25">
      <c r="A3857" s="2">
        <v>5718</v>
      </c>
      <c r="B3857" s="2">
        <v>2010</v>
      </c>
      <c r="C3857" s="2" t="s">
        <v>196</v>
      </c>
      <c r="D3857" s="2" t="s">
        <v>122</v>
      </c>
      <c r="E3857" s="2"/>
      <c r="F3857" s="2">
        <v>1</v>
      </c>
      <c r="G3857" s="2" t="s">
        <v>82</v>
      </c>
      <c r="H3857" s="2">
        <v>1</v>
      </c>
      <c r="I3857" s="2" t="s">
        <v>82</v>
      </c>
      <c r="J3857" s="2">
        <v>1</v>
      </c>
      <c r="K3857" s="2" t="s">
        <v>107</v>
      </c>
      <c r="L3857" s="2" t="s">
        <v>107</v>
      </c>
      <c r="M3857" s="3">
        <v>40440</v>
      </c>
      <c r="N3857" s="2"/>
      <c r="O3857" s="2"/>
      <c r="P3857" s="2"/>
      <c r="Q3857" s="2" t="str">
        <f>""</f>
        <v/>
      </c>
      <c r="R3857" s="2"/>
      <c r="S3857" s="2"/>
      <c r="T3857" s="2">
        <v>2</v>
      </c>
      <c r="U3857" s="2" t="s">
        <v>123</v>
      </c>
      <c r="V3857" s="2">
        <v>1</v>
      </c>
      <c r="W3857" s="2" t="s">
        <v>80</v>
      </c>
      <c r="X3857" s="2">
        <v>11</v>
      </c>
      <c r="Y3857" s="2" t="s">
        <v>1920</v>
      </c>
      <c r="Z3857" s="2">
        <v>1</v>
      </c>
      <c r="AA3857" s="2" t="s">
        <v>82</v>
      </c>
      <c r="AB3857" s="2">
        <v>9</v>
      </c>
      <c r="AC3857" s="2" t="s">
        <v>124</v>
      </c>
      <c r="AD3857" s="3">
        <v>40440</v>
      </c>
      <c r="AE3857" s="4">
        <v>0</v>
      </c>
      <c r="AF3857" s="2"/>
      <c r="AG3857" s="2"/>
      <c r="AH3857" s="2">
        <v>2</v>
      </c>
      <c r="AI3857" s="2" t="s">
        <v>84</v>
      </c>
      <c r="AJ3857" s="2">
        <v>12</v>
      </c>
      <c r="AK3857" s="2" t="s">
        <v>85</v>
      </c>
      <c r="AL3857" s="2">
        <v>20</v>
      </c>
      <c r="AM3857" s="2" t="s">
        <v>992</v>
      </c>
      <c r="AN3857" s="2"/>
      <c r="AO3857" s="2"/>
      <c r="AP3857" s="2">
        <v>11</v>
      </c>
      <c r="AQ3857" s="2" t="s">
        <v>82</v>
      </c>
      <c r="AR3857" s="2"/>
      <c r="AS3857" s="2"/>
      <c r="AT3857" s="2" t="s">
        <v>12234</v>
      </c>
      <c r="AU3857" s="2"/>
      <c r="AV3857" s="2"/>
      <c r="AW3857" s="2"/>
      <c r="AX3857" s="2"/>
      <c r="AY3857" s="2">
        <v>41</v>
      </c>
      <c r="AZ3857" s="2" t="s">
        <v>82</v>
      </c>
      <c r="BA3857" s="2">
        <v>41</v>
      </c>
      <c r="BB3857" s="2" t="s">
        <v>82</v>
      </c>
      <c r="BC3857" s="2">
        <v>41</v>
      </c>
      <c r="BD3857" s="2" t="s">
        <v>82</v>
      </c>
      <c r="BE3857" s="2">
        <v>41</v>
      </c>
      <c r="BF3857" s="2" t="s">
        <v>82</v>
      </c>
      <c r="BG3857" s="2"/>
      <c r="BH3857" s="2"/>
      <c r="BI3857" s="2"/>
      <c r="BJ3857" s="2">
        <v>241</v>
      </c>
      <c r="BK3857" s="2" t="s">
        <v>82</v>
      </c>
      <c r="BL3857" s="2"/>
      <c r="BM3857" s="2">
        <v>241</v>
      </c>
      <c r="BN3857" s="2" t="s">
        <v>82</v>
      </c>
      <c r="BO3857" s="2"/>
      <c r="BP3857" s="2">
        <v>241</v>
      </c>
      <c r="BQ3857" s="2" t="s">
        <v>82</v>
      </c>
      <c r="BR3857" s="2"/>
      <c r="BS3857" s="3">
        <v>40440</v>
      </c>
      <c r="BT3857" s="4">
        <v>0.16651620370370371</v>
      </c>
    </row>
    <row r="3858" spans="1:72" x14ac:dyDescent="0.25">
      <c r="A3858" s="2">
        <v>5719</v>
      </c>
      <c r="B3858" s="2">
        <v>2010</v>
      </c>
      <c r="C3858" s="2" t="s">
        <v>72</v>
      </c>
      <c r="D3858" s="2" t="s">
        <v>73</v>
      </c>
      <c r="E3858" s="2"/>
      <c r="F3858" s="2">
        <v>24</v>
      </c>
      <c r="G3858" s="2" t="s">
        <v>532</v>
      </c>
      <c r="H3858" s="2">
        <v>50</v>
      </c>
      <c r="I3858" s="2" t="s">
        <v>107</v>
      </c>
      <c r="J3858" s="2">
        <v>300</v>
      </c>
      <c r="K3858" s="2" t="s">
        <v>114</v>
      </c>
      <c r="L3858" s="2" t="s">
        <v>115</v>
      </c>
      <c r="M3858" s="3">
        <v>40440</v>
      </c>
      <c r="N3858" s="2"/>
      <c r="O3858" s="2"/>
      <c r="P3858" s="2"/>
      <c r="Q3858" s="2" t="str">
        <f>"479-E/10"</f>
        <v>479-E/10</v>
      </c>
      <c r="R3858" s="2" t="s">
        <v>116</v>
      </c>
      <c r="S3858" s="2" t="s">
        <v>116</v>
      </c>
      <c r="T3858" s="2">
        <v>1</v>
      </c>
      <c r="U3858" s="2" t="s">
        <v>79</v>
      </c>
      <c r="V3858" s="2">
        <v>1</v>
      </c>
      <c r="W3858" s="2" t="s">
        <v>80</v>
      </c>
      <c r="X3858" s="2">
        <v>12</v>
      </c>
      <c r="Y3858" s="2" t="s">
        <v>148</v>
      </c>
      <c r="Z3858" s="2">
        <v>1</v>
      </c>
      <c r="AA3858" s="2" t="s">
        <v>82</v>
      </c>
      <c r="AB3858" s="2">
        <v>6</v>
      </c>
      <c r="AC3858" s="2" t="s">
        <v>83</v>
      </c>
      <c r="AD3858" s="3">
        <v>40437</v>
      </c>
      <c r="AE3858" s="2"/>
      <c r="AF3858" s="3">
        <v>40440</v>
      </c>
      <c r="AG3858" s="4">
        <v>0.74305555555555547</v>
      </c>
      <c r="AH3858" s="2">
        <v>2</v>
      </c>
      <c r="AI3858" s="2" t="s">
        <v>84</v>
      </c>
      <c r="AJ3858" s="2">
        <v>9</v>
      </c>
      <c r="AK3858" s="2" t="s">
        <v>103</v>
      </c>
      <c r="AL3858" s="2">
        <v>14</v>
      </c>
      <c r="AM3858" s="2" t="s">
        <v>216</v>
      </c>
      <c r="AN3858" s="2"/>
      <c r="AO3858" s="2" t="s">
        <v>12235</v>
      </c>
      <c r="AP3858" s="2">
        <v>11</v>
      </c>
      <c r="AQ3858" s="2" t="s">
        <v>82</v>
      </c>
      <c r="AR3858" s="2"/>
      <c r="AS3858" s="2"/>
      <c r="AT3858" s="2" t="s">
        <v>12236</v>
      </c>
      <c r="AU3858" s="2"/>
      <c r="AV3858" s="2"/>
      <c r="AW3858" s="2"/>
      <c r="AX3858" s="2"/>
      <c r="AY3858" s="2">
        <v>41</v>
      </c>
      <c r="AZ3858" s="2" t="s">
        <v>82</v>
      </c>
      <c r="BA3858" s="2">
        <v>41</v>
      </c>
      <c r="BB3858" s="2" t="s">
        <v>82</v>
      </c>
      <c r="BC3858" s="2">
        <v>41</v>
      </c>
      <c r="BD3858" s="2" t="s">
        <v>82</v>
      </c>
      <c r="BE3858" s="2">
        <v>41</v>
      </c>
      <c r="BF3858" s="2" t="s">
        <v>82</v>
      </c>
      <c r="BG3858" s="2"/>
      <c r="BH3858" s="2"/>
      <c r="BI3858" s="2"/>
      <c r="BJ3858" s="2">
        <v>241</v>
      </c>
      <c r="BK3858" s="2" t="s">
        <v>82</v>
      </c>
      <c r="BL3858" s="2"/>
      <c r="BM3858" s="2">
        <v>241</v>
      </c>
      <c r="BN3858" s="2" t="s">
        <v>82</v>
      </c>
      <c r="BO3858" s="2"/>
      <c r="BP3858" s="2">
        <v>241</v>
      </c>
      <c r="BQ3858" s="2" t="s">
        <v>82</v>
      </c>
      <c r="BR3858" s="2"/>
      <c r="BS3858" s="3">
        <v>40440</v>
      </c>
      <c r="BT3858" s="4">
        <v>0.85738425925925921</v>
      </c>
    </row>
    <row r="3859" spans="1:72" x14ac:dyDescent="0.25">
      <c r="A3859" s="2">
        <v>5721</v>
      </c>
      <c r="B3859" s="2">
        <v>2010</v>
      </c>
      <c r="C3859" s="2" t="s">
        <v>819</v>
      </c>
      <c r="D3859" s="2" t="s">
        <v>122</v>
      </c>
      <c r="E3859" s="2"/>
      <c r="F3859" s="2">
        <v>451</v>
      </c>
      <c r="G3859" s="2" t="s">
        <v>879</v>
      </c>
      <c r="H3859" s="2">
        <v>31</v>
      </c>
      <c r="I3859" s="2" t="s">
        <v>880</v>
      </c>
      <c r="J3859" s="2">
        <v>326</v>
      </c>
      <c r="K3859" s="2" t="s">
        <v>881</v>
      </c>
      <c r="L3859" s="2" t="s">
        <v>882</v>
      </c>
      <c r="M3859" s="3">
        <v>40440</v>
      </c>
      <c r="N3859" s="2" t="s">
        <v>7596</v>
      </c>
      <c r="O3859" s="2"/>
      <c r="P3859" s="2"/>
      <c r="Q3859" s="2" t="str">
        <f>"096/10"</f>
        <v>096/10</v>
      </c>
      <c r="R3859" s="2"/>
      <c r="S3859" s="2" t="s">
        <v>822</v>
      </c>
      <c r="T3859" s="2">
        <v>1</v>
      </c>
      <c r="U3859" s="2" t="s">
        <v>79</v>
      </c>
      <c r="V3859" s="2">
        <v>1</v>
      </c>
      <c r="W3859" s="2" t="s">
        <v>80</v>
      </c>
      <c r="X3859" s="2">
        <v>1</v>
      </c>
      <c r="Y3859" s="2" t="s">
        <v>81</v>
      </c>
      <c r="Z3859" s="2">
        <v>10</v>
      </c>
      <c r="AA3859" s="2" t="s">
        <v>236</v>
      </c>
      <c r="AB3859" s="2">
        <v>9</v>
      </c>
      <c r="AC3859" s="2" t="s">
        <v>124</v>
      </c>
      <c r="AD3859" s="3">
        <v>40440</v>
      </c>
      <c r="AE3859" s="4">
        <v>0.875</v>
      </c>
      <c r="AF3859" s="2"/>
      <c r="AG3859" s="2"/>
      <c r="AH3859" s="2">
        <v>4</v>
      </c>
      <c r="AI3859" s="2" t="s">
        <v>125</v>
      </c>
      <c r="AJ3859" s="2">
        <v>29</v>
      </c>
      <c r="AK3859" s="2" t="s">
        <v>227</v>
      </c>
      <c r="AL3859" s="2">
        <v>10</v>
      </c>
      <c r="AM3859" s="2" t="s">
        <v>200</v>
      </c>
      <c r="AN3859" s="2" t="s">
        <v>1015</v>
      </c>
      <c r="AO3859" s="2" t="s">
        <v>8817</v>
      </c>
      <c r="AP3859" s="2">
        <v>12</v>
      </c>
      <c r="AQ3859" s="2" t="s">
        <v>322</v>
      </c>
      <c r="AR3859" s="2" t="s">
        <v>824</v>
      </c>
      <c r="AS3859" s="2" t="s">
        <v>825</v>
      </c>
      <c r="AT3859" s="2" t="s">
        <v>12237</v>
      </c>
      <c r="AU3859" s="2"/>
      <c r="AV3859" s="2"/>
      <c r="AW3859" s="2"/>
      <c r="AX3859" s="2"/>
      <c r="AY3859" s="2">
        <v>41</v>
      </c>
      <c r="AZ3859" s="2" t="s">
        <v>82</v>
      </c>
      <c r="BA3859" s="2">
        <v>41</v>
      </c>
      <c r="BB3859" s="2" t="s">
        <v>82</v>
      </c>
      <c r="BC3859" s="2">
        <v>51</v>
      </c>
      <c r="BD3859" s="2" t="s">
        <v>827</v>
      </c>
      <c r="BE3859" s="2">
        <v>47</v>
      </c>
      <c r="BF3859" s="2" t="s">
        <v>167</v>
      </c>
      <c r="BG3859" s="2">
        <v>2459</v>
      </c>
      <c r="BH3859" s="4">
        <v>0.90972222222222221</v>
      </c>
      <c r="BI3859" s="2"/>
      <c r="BJ3859" s="2">
        <v>13</v>
      </c>
      <c r="BK3859" s="2" t="s">
        <v>91</v>
      </c>
      <c r="BL3859" s="2" t="s">
        <v>828</v>
      </c>
      <c r="BM3859" s="2">
        <v>13</v>
      </c>
      <c r="BN3859" s="2" t="s">
        <v>91</v>
      </c>
      <c r="BO3859" s="2"/>
      <c r="BP3859" s="2">
        <v>13</v>
      </c>
      <c r="BQ3859" s="2" t="s">
        <v>91</v>
      </c>
      <c r="BR3859" s="2" t="s">
        <v>185</v>
      </c>
      <c r="BS3859" s="3">
        <v>40440</v>
      </c>
      <c r="BT3859" s="4">
        <v>0.92556712962962961</v>
      </c>
    </row>
    <row r="3860" spans="1:72" x14ac:dyDescent="0.25">
      <c r="A3860" s="2">
        <v>5722</v>
      </c>
      <c r="B3860" s="2">
        <v>2010</v>
      </c>
      <c r="C3860" s="2" t="s">
        <v>72</v>
      </c>
      <c r="D3860" s="2" t="s">
        <v>73</v>
      </c>
      <c r="E3860" s="2"/>
      <c r="F3860" s="2">
        <v>2</v>
      </c>
      <c r="G3860" s="2" t="s">
        <v>113</v>
      </c>
      <c r="H3860" s="2">
        <v>50</v>
      </c>
      <c r="I3860" s="2" t="s">
        <v>107</v>
      </c>
      <c r="J3860" s="2">
        <v>300</v>
      </c>
      <c r="K3860" s="2" t="s">
        <v>114</v>
      </c>
      <c r="L3860" s="2" t="s">
        <v>115</v>
      </c>
      <c r="M3860" s="3">
        <v>40440</v>
      </c>
      <c r="N3860" s="2"/>
      <c r="O3860" s="2"/>
      <c r="P3860" s="2"/>
      <c r="Q3860" s="2" t="str">
        <f>"478-E/10"</f>
        <v>478-E/10</v>
      </c>
      <c r="R3860" s="2" t="s">
        <v>116</v>
      </c>
      <c r="S3860" s="2" t="s">
        <v>116</v>
      </c>
      <c r="T3860" s="2">
        <v>1</v>
      </c>
      <c r="U3860" s="2" t="s">
        <v>79</v>
      </c>
      <c r="V3860" s="2">
        <v>1</v>
      </c>
      <c r="W3860" s="2" t="s">
        <v>80</v>
      </c>
      <c r="X3860" s="2">
        <v>12</v>
      </c>
      <c r="Y3860" s="2" t="s">
        <v>148</v>
      </c>
      <c r="Z3860" s="2">
        <v>1</v>
      </c>
      <c r="AA3860" s="2" t="s">
        <v>82</v>
      </c>
      <c r="AB3860" s="2">
        <v>6</v>
      </c>
      <c r="AC3860" s="2" t="s">
        <v>83</v>
      </c>
      <c r="AD3860" s="3">
        <v>40437</v>
      </c>
      <c r="AE3860" s="2"/>
      <c r="AF3860" s="3">
        <v>40440</v>
      </c>
      <c r="AG3860" s="4">
        <v>0.52083333333333337</v>
      </c>
      <c r="AH3860" s="2">
        <v>2</v>
      </c>
      <c r="AI3860" s="2" t="s">
        <v>84</v>
      </c>
      <c r="AJ3860" s="2">
        <v>9</v>
      </c>
      <c r="AK3860" s="2" t="s">
        <v>103</v>
      </c>
      <c r="AL3860" s="2">
        <v>26</v>
      </c>
      <c r="AM3860" s="2" t="s">
        <v>6036</v>
      </c>
      <c r="AN3860" s="2"/>
      <c r="AO3860" s="2" t="s">
        <v>12238</v>
      </c>
      <c r="AP3860" s="2">
        <v>11</v>
      </c>
      <c r="AQ3860" s="2" t="s">
        <v>82</v>
      </c>
      <c r="AR3860" s="2"/>
      <c r="AS3860" s="2"/>
      <c r="AT3860" s="2" t="s">
        <v>12239</v>
      </c>
      <c r="AU3860" s="2"/>
      <c r="AV3860" s="2"/>
      <c r="AW3860" s="2"/>
      <c r="AX3860" s="2"/>
      <c r="AY3860" s="2">
        <v>41</v>
      </c>
      <c r="AZ3860" s="2" t="s">
        <v>82</v>
      </c>
      <c r="BA3860" s="2">
        <v>41</v>
      </c>
      <c r="BB3860" s="2" t="s">
        <v>82</v>
      </c>
      <c r="BC3860" s="2">
        <v>41</v>
      </c>
      <c r="BD3860" s="2" t="s">
        <v>82</v>
      </c>
      <c r="BE3860" s="2">
        <v>1</v>
      </c>
      <c r="BF3860" s="2" t="s">
        <v>107</v>
      </c>
      <c r="BG3860" s="2"/>
      <c r="BH3860" s="2"/>
      <c r="BI3860" s="2"/>
      <c r="BJ3860" s="2">
        <v>242</v>
      </c>
      <c r="BK3860" s="2" t="s">
        <v>107</v>
      </c>
      <c r="BL3860" s="2"/>
      <c r="BM3860" s="2">
        <v>241</v>
      </c>
      <c r="BN3860" s="2" t="s">
        <v>82</v>
      </c>
      <c r="BO3860" s="2"/>
      <c r="BP3860" s="2">
        <v>241</v>
      </c>
      <c r="BQ3860" s="2" t="s">
        <v>82</v>
      </c>
      <c r="BR3860" s="2"/>
      <c r="BS3860" s="3">
        <v>40440</v>
      </c>
      <c r="BT3860" s="4">
        <v>0.93071759259259268</v>
      </c>
    </row>
    <row r="3861" spans="1:72" x14ac:dyDescent="0.25">
      <c r="A3861" s="2">
        <v>5728</v>
      </c>
      <c r="B3861" s="2">
        <v>2010</v>
      </c>
      <c r="C3861" s="2" t="s">
        <v>819</v>
      </c>
      <c r="D3861" s="2" t="s">
        <v>122</v>
      </c>
      <c r="E3861" s="2" t="s">
        <v>12240</v>
      </c>
      <c r="F3861" s="2">
        <v>451</v>
      </c>
      <c r="G3861" s="2" t="s">
        <v>879</v>
      </c>
      <c r="H3861" s="2">
        <v>31</v>
      </c>
      <c r="I3861" s="2" t="s">
        <v>880</v>
      </c>
      <c r="J3861" s="2">
        <v>326</v>
      </c>
      <c r="K3861" s="2" t="s">
        <v>881</v>
      </c>
      <c r="L3861" s="2" t="s">
        <v>882</v>
      </c>
      <c r="M3861" s="3">
        <v>40441</v>
      </c>
      <c r="N3861" s="2" t="s">
        <v>7596</v>
      </c>
      <c r="O3861" s="2"/>
      <c r="P3861" s="2"/>
      <c r="Q3861" s="2" t="str">
        <f>"096/10"</f>
        <v>096/10</v>
      </c>
      <c r="R3861" s="2" t="s">
        <v>822</v>
      </c>
      <c r="S3861" s="2"/>
      <c r="T3861" s="2">
        <v>1</v>
      </c>
      <c r="U3861" s="2" t="s">
        <v>79</v>
      </c>
      <c r="V3861" s="2">
        <v>1</v>
      </c>
      <c r="W3861" s="2" t="s">
        <v>80</v>
      </c>
      <c r="X3861" s="2">
        <v>1</v>
      </c>
      <c r="Y3861" s="2" t="s">
        <v>81</v>
      </c>
      <c r="Z3861" s="2">
        <v>10</v>
      </c>
      <c r="AA3861" s="2" t="s">
        <v>236</v>
      </c>
      <c r="AB3861" s="2">
        <v>9</v>
      </c>
      <c r="AC3861" s="2" t="s">
        <v>124</v>
      </c>
      <c r="AD3861" s="3">
        <v>40441</v>
      </c>
      <c r="AE3861" s="4">
        <v>0.40277777777777773</v>
      </c>
      <c r="AF3861" s="2"/>
      <c r="AG3861" s="2"/>
      <c r="AH3861" s="2">
        <v>4</v>
      </c>
      <c r="AI3861" s="2" t="s">
        <v>125</v>
      </c>
      <c r="AJ3861" s="2">
        <v>29</v>
      </c>
      <c r="AK3861" s="2" t="s">
        <v>227</v>
      </c>
      <c r="AL3861" s="2">
        <v>16</v>
      </c>
      <c r="AM3861" s="2" t="s">
        <v>392</v>
      </c>
      <c r="AN3861" s="2" t="s">
        <v>3040</v>
      </c>
      <c r="AO3861" s="2" t="s">
        <v>8454</v>
      </c>
      <c r="AP3861" s="2">
        <v>12</v>
      </c>
      <c r="AQ3861" s="2" t="s">
        <v>322</v>
      </c>
      <c r="AR3861" s="2" t="s">
        <v>824</v>
      </c>
      <c r="AS3861" s="2" t="s">
        <v>825</v>
      </c>
      <c r="AT3861" s="2" t="s">
        <v>12241</v>
      </c>
      <c r="AU3861" s="2"/>
      <c r="AV3861" s="2"/>
      <c r="AW3861" s="2"/>
      <c r="AX3861" s="2"/>
      <c r="AY3861" s="2">
        <v>41</v>
      </c>
      <c r="AZ3861" s="2" t="s">
        <v>82</v>
      </c>
      <c r="BA3861" s="2">
        <v>41</v>
      </c>
      <c r="BB3861" s="2" t="s">
        <v>82</v>
      </c>
      <c r="BC3861" s="2">
        <v>51</v>
      </c>
      <c r="BD3861" s="2" t="s">
        <v>827</v>
      </c>
      <c r="BE3861" s="2">
        <v>47</v>
      </c>
      <c r="BF3861" s="2" t="s">
        <v>167</v>
      </c>
      <c r="BG3861" s="2">
        <v>2459</v>
      </c>
      <c r="BH3861" s="4">
        <v>0.90972222222222221</v>
      </c>
      <c r="BI3861" s="2"/>
      <c r="BJ3861" s="2">
        <v>13</v>
      </c>
      <c r="BK3861" s="2" t="s">
        <v>91</v>
      </c>
      <c r="BL3861" s="2" t="s">
        <v>828</v>
      </c>
      <c r="BM3861" s="2">
        <v>13</v>
      </c>
      <c r="BN3861" s="2" t="s">
        <v>91</v>
      </c>
      <c r="BO3861" s="2"/>
      <c r="BP3861" s="2">
        <v>13</v>
      </c>
      <c r="BQ3861" s="2" t="s">
        <v>91</v>
      </c>
      <c r="BR3861" s="2" t="s">
        <v>185</v>
      </c>
      <c r="BS3861" s="3">
        <v>40441</v>
      </c>
      <c r="BT3861" s="4">
        <v>0.51932870370370365</v>
      </c>
    </row>
    <row r="3862" spans="1:72" x14ac:dyDescent="0.25">
      <c r="A3862" s="2">
        <v>5732</v>
      </c>
      <c r="B3862" s="2">
        <v>2010</v>
      </c>
      <c r="C3862" s="2" t="s">
        <v>171</v>
      </c>
      <c r="D3862" s="2" t="s">
        <v>73</v>
      </c>
      <c r="E3862" s="2"/>
      <c r="F3862" s="2">
        <v>159</v>
      </c>
      <c r="G3862" s="2" t="s">
        <v>3883</v>
      </c>
      <c r="H3862" s="2">
        <v>18</v>
      </c>
      <c r="I3862" s="2" t="s">
        <v>3884</v>
      </c>
      <c r="J3862" s="2">
        <v>632</v>
      </c>
      <c r="K3862" s="2" t="s">
        <v>10017</v>
      </c>
      <c r="L3862" s="2" t="s">
        <v>10018</v>
      </c>
      <c r="M3862" s="3">
        <v>40441</v>
      </c>
      <c r="N3862" s="2" t="s">
        <v>12242</v>
      </c>
      <c r="O3862" s="2"/>
      <c r="P3862" s="2"/>
      <c r="Q3862" s="2" t="str">
        <f>"376-A/10"</f>
        <v>376-A/10</v>
      </c>
      <c r="R3862" s="2" t="s">
        <v>2334</v>
      </c>
      <c r="S3862" s="2" t="s">
        <v>1035</v>
      </c>
      <c r="T3862" s="2">
        <v>1</v>
      </c>
      <c r="U3862" s="2" t="s">
        <v>79</v>
      </c>
      <c r="V3862" s="2">
        <v>1</v>
      </c>
      <c r="W3862" s="2" t="s">
        <v>80</v>
      </c>
      <c r="X3862" s="2">
        <v>1</v>
      </c>
      <c r="Y3862" s="2" t="s">
        <v>81</v>
      </c>
      <c r="Z3862" s="2">
        <v>1</v>
      </c>
      <c r="AA3862" s="2" t="s">
        <v>82</v>
      </c>
      <c r="AB3862" s="2">
        <v>1</v>
      </c>
      <c r="AC3862" s="2" t="s">
        <v>178</v>
      </c>
      <c r="AD3862" s="3">
        <v>40441</v>
      </c>
      <c r="AE3862" s="4">
        <v>0.39583333333333331</v>
      </c>
      <c r="AF3862" s="2"/>
      <c r="AG3862" s="2"/>
      <c r="AH3862" s="2">
        <v>2</v>
      </c>
      <c r="AI3862" s="2" t="s">
        <v>84</v>
      </c>
      <c r="AJ3862" s="2">
        <v>12</v>
      </c>
      <c r="AK3862" s="2" t="s">
        <v>85</v>
      </c>
      <c r="AL3862" s="2">
        <v>11</v>
      </c>
      <c r="AM3862" s="2" t="s">
        <v>137</v>
      </c>
      <c r="AN3862" s="2" t="s">
        <v>919</v>
      </c>
      <c r="AO3862" s="2" t="s">
        <v>12243</v>
      </c>
      <c r="AP3862" s="2">
        <v>11</v>
      </c>
      <c r="AQ3862" s="2" t="s">
        <v>82</v>
      </c>
      <c r="AR3862" s="2"/>
      <c r="AS3862" s="2"/>
      <c r="AT3862" s="2" t="s">
        <v>12244</v>
      </c>
      <c r="AU3862" s="2">
        <v>1</v>
      </c>
      <c r="AV3862" s="2"/>
      <c r="AW3862" s="2"/>
      <c r="AX3862" s="2"/>
      <c r="AY3862" s="2">
        <v>41</v>
      </c>
      <c r="AZ3862" s="2" t="s">
        <v>82</v>
      </c>
      <c r="BA3862" s="2">
        <v>41</v>
      </c>
      <c r="BB3862" s="2" t="s">
        <v>82</v>
      </c>
      <c r="BC3862" s="2">
        <v>41</v>
      </c>
      <c r="BD3862" s="2" t="s">
        <v>82</v>
      </c>
      <c r="BE3862" s="2">
        <v>48</v>
      </c>
      <c r="BF3862" s="2" t="s">
        <v>1123</v>
      </c>
      <c r="BG3862" s="2">
        <v>860</v>
      </c>
      <c r="BH3862" s="4">
        <v>0.5</v>
      </c>
      <c r="BI3862" s="4">
        <v>0.42708333333333331</v>
      </c>
      <c r="BJ3862" s="2">
        <v>13</v>
      </c>
      <c r="BK3862" s="2" t="s">
        <v>91</v>
      </c>
      <c r="BL3862" s="2" t="s">
        <v>564</v>
      </c>
      <c r="BM3862" s="2">
        <v>13</v>
      </c>
      <c r="BN3862" s="2" t="s">
        <v>91</v>
      </c>
      <c r="BO3862" s="2"/>
      <c r="BP3862" s="2">
        <v>13</v>
      </c>
      <c r="BQ3862" s="2" t="s">
        <v>91</v>
      </c>
      <c r="BR3862" s="2" t="s">
        <v>1199</v>
      </c>
      <c r="BS3862" s="3">
        <v>40441</v>
      </c>
      <c r="BT3862" s="4">
        <v>0.62239583333333337</v>
      </c>
    </row>
    <row r="3863" spans="1:72" x14ac:dyDescent="0.25">
      <c r="A3863" s="2">
        <v>5740</v>
      </c>
      <c r="B3863" s="2">
        <v>2010</v>
      </c>
      <c r="C3863" s="2" t="s">
        <v>171</v>
      </c>
      <c r="D3863" s="2" t="s">
        <v>122</v>
      </c>
      <c r="E3863" s="2" t="s">
        <v>12245</v>
      </c>
      <c r="F3863" s="2">
        <v>471</v>
      </c>
      <c r="G3863" s="2" t="s">
        <v>6201</v>
      </c>
      <c r="H3863" s="2">
        <v>66</v>
      </c>
      <c r="I3863" s="2" t="s">
        <v>3190</v>
      </c>
      <c r="J3863" s="2">
        <v>374</v>
      </c>
      <c r="K3863" s="2" t="s">
        <v>1191</v>
      </c>
      <c r="L3863" s="2" t="s">
        <v>132</v>
      </c>
      <c r="M3863" s="3">
        <v>40441</v>
      </c>
      <c r="N3863" s="2" t="s">
        <v>6995</v>
      </c>
      <c r="O3863" s="2" t="s">
        <v>12103</v>
      </c>
      <c r="P3863" s="2" t="s">
        <v>12104</v>
      </c>
      <c r="Q3863" s="2" t="str">
        <f>"022/2010"</f>
        <v>022/2010</v>
      </c>
      <c r="R3863" s="2" t="s">
        <v>12105</v>
      </c>
      <c r="S3863" s="2"/>
      <c r="T3863" s="2">
        <v>1</v>
      </c>
      <c r="U3863" s="2" t="s">
        <v>79</v>
      </c>
      <c r="V3863" s="2">
        <v>3</v>
      </c>
      <c r="W3863" s="2" t="s">
        <v>225</v>
      </c>
      <c r="X3863" s="2">
        <v>6</v>
      </c>
      <c r="Y3863" s="2" t="s">
        <v>249</v>
      </c>
      <c r="Z3863" s="2">
        <v>1</v>
      </c>
      <c r="AA3863" s="2" t="s">
        <v>82</v>
      </c>
      <c r="AB3863" s="2">
        <v>9</v>
      </c>
      <c r="AC3863" s="2" t="s">
        <v>124</v>
      </c>
      <c r="AD3863" s="2"/>
      <c r="AE3863" s="2"/>
      <c r="AF3863" s="2"/>
      <c r="AG3863" s="2"/>
      <c r="AH3863" s="2">
        <v>5</v>
      </c>
      <c r="AI3863" s="2" t="s">
        <v>274</v>
      </c>
      <c r="AJ3863" s="2">
        <v>35</v>
      </c>
      <c r="AK3863" s="2" t="s">
        <v>275</v>
      </c>
      <c r="AL3863" s="2">
        <v>19</v>
      </c>
      <c r="AM3863" s="2" t="s">
        <v>107</v>
      </c>
      <c r="AN3863" s="2" t="s">
        <v>12106</v>
      </c>
      <c r="AO3863" s="2" t="s">
        <v>6998</v>
      </c>
      <c r="AP3863" s="2">
        <v>11</v>
      </c>
      <c r="AQ3863" s="2" t="s">
        <v>82</v>
      </c>
      <c r="AR3863" s="2"/>
      <c r="AS3863" s="2"/>
      <c r="AT3863" s="2" t="s">
        <v>12246</v>
      </c>
      <c r="AU3863" s="2"/>
      <c r="AV3863" s="2"/>
      <c r="AW3863" s="2"/>
      <c r="AX3863" s="2"/>
      <c r="AY3863" s="2">
        <v>41</v>
      </c>
      <c r="AZ3863" s="2" t="s">
        <v>82</v>
      </c>
      <c r="BA3863" s="2">
        <v>41</v>
      </c>
      <c r="BB3863" s="2" t="s">
        <v>82</v>
      </c>
      <c r="BC3863" s="2">
        <v>41</v>
      </c>
      <c r="BD3863" s="2" t="s">
        <v>82</v>
      </c>
      <c r="BE3863" s="2">
        <v>41</v>
      </c>
      <c r="BF3863" s="2" t="s">
        <v>82</v>
      </c>
      <c r="BG3863" s="2"/>
      <c r="BH3863" s="2"/>
      <c r="BI3863" s="2"/>
      <c r="BJ3863" s="2">
        <v>241</v>
      </c>
      <c r="BK3863" s="2" t="s">
        <v>82</v>
      </c>
      <c r="BL3863" s="2"/>
      <c r="BM3863" s="2">
        <v>241</v>
      </c>
      <c r="BN3863" s="2" t="s">
        <v>82</v>
      </c>
      <c r="BO3863" s="2"/>
      <c r="BP3863" s="2">
        <v>241</v>
      </c>
      <c r="BQ3863" s="2" t="s">
        <v>82</v>
      </c>
      <c r="BR3863" s="2"/>
      <c r="BS3863" s="3">
        <v>40441</v>
      </c>
      <c r="BT3863" s="4">
        <v>0.69630787037037034</v>
      </c>
    </row>
    <row r="3864" spans="1:72" x14ac:dyDescent="0.25">
      <c r="A3864" s="2">
        <v>5744</v>
      </c>
      <c r="B3864" s="2">
        <v>2010</v>
      </c>
      <c r="C3864" s="2" t="s">
        <v>1559</v>
      </c>
      <c r="D3864" s="2" t="s">
        <v>73</v>
      </c>
      <c r="E3864" s="2" t="s">
        <v>12247</v>
      </c>
      <c r="F3864" s="2">
        <v>454</v>
      </c>
      <c r="G3864" s="2" t="s">
        <v>11123</v>
      </c>
      <c r="H3864" s="2">
        <v>22</v>
      </c>
      <c r="I3864" s="2" t="s">
        <v>75</v>
      </c>
      <c r="J3864" s="2">
        <v>337</v>
      </c>
      <c r="K3864" s="2" t="s">
        <v>11124</v>
      </c>
      <c r="L3864" s="2" t="s">
        <v>11125</v>
      </c>
      <c r="M3864" s="3">
        <v>40441</v>
      </c>
      <c r="N3864" s="2" t="s">
        <v>11126</v>
      </c>
      <c r="O3864" s="2" t="s">
        <v>11207</v>
      </c>
      <c r="P3864" s="2" t="s">
        <v>11208</v>
      </c>
      <c r="Q3864" s="2" t="str">
        <f>"0020/2010"</f>
        <v>0020/2010</v>
      </c>
      <c r="R3864" s="2" t="s">
        <v>11207</v>
      </c>
      <c r="S3864" s="2"/>
      <c r="T3864" s="2">
        <v>1</v>
      </c>
      <c r="U3864" s="2" t="s">
        <v>79</v>
      </c>
      <c r="V3864" s="2">
        <v>3</v>
      </c>
      <c r="W3864" s="2" t="s">
        <v>225</v>
      </c>
      <c r="X3864" s="2">
        <v>6</v>
      </c>
      <c r="Y3864" s="2" t="s">
        <v>249</v>
      </c>
      <c r="Z3864" s="2">
        <v>1</v>
      </c>
      <c r="AA3864" s="2" t="s">
        <v>82</v>
      </c>
      <c r="AB3864" s="2">
        <v>9</v>
      </c>
      <c r="AC3864" s="2" t="s">
        <v>124</v>
      </c>
      <c r="AD3864" s="3">
        <v>40441</v>
      </c>
      <c r="AE3864" s="2"/>
      <c r="AF3864" s="2"/>
      <c r="AG3864" s="2"/>
      <c r="AH3864" s="2">
        <v>5</v>
      </c>
      <c r="AI3864" s="2" t="s">
        <v>274</v>
      </c>
      <c r="AJ3864" s="2">
        <v>35</v>
      </c>
      <c r="AK3864" s="2" t="s">
        <v>275</v>
      </c>
      <c r="AL3864" s="2">
        <v>23</v>
      </c>
      <c r="AM3864" s="2" t="s">
        <v>251</v>
      </c>
      <c r="AN3864" s="2" t="s">
        <v>12248</v>
      </c>
      <c r="AO3864" s="2"/>
      <c r="AP3864" s="2">
        <v>11</v>
      </c>
      <c r="AQ3864" s="2" t="s">
        <v>82</v>
      </c>
      <c r="AR3864" s="2"/>
      <c r="AS3864" s="2"/>
      <c r="AT3864" s="2" t="s">
        <v>12249</v>
      </c>
      <c r="AU3864" s="2"/>
      <c r="AV3864" s="2"/>
      <c r="AW3864" s="2"/>
      <c r="AX3864" s="2"/>
      <c r="AY3864" s="2">
        <v>41</v>
      </c>
      <c r="AZ3864" s="2" t="s">
        <v>82</v>
      </c>
      <c r="BA3864" s="2">
        <v>41</v>
      </c>
      <c r="BB3864" s="2" t="s">
        <v>82</v>
      </c>
      <c r="BC3864" s="2">
        <v>41</v>
      </c>
      <c r="BD3864" s="2" t="s">
        <v>82</v>
      </c>
      <c r="BE3864" s="2">
        <v>41</v>
      </c>
      <c r="BF3864" s="2" t="s">
        <v>82</v>
      </c>
      <c r="BG3864" s="2"/>
      <c r="BH3864" s="2"/>
      <c r="BI3864" s="2"/>
      <c r="BJ3864" s="2">
        <v>241</v>
      </c>
      <c r="BK3864" s="2" t="s">
        <v>82</v>
      </c>
      <c r="BL3864" s="2"/>
      <c r="BM3864" s="2">
        <v>241</v>
      </c>
      <c r="BN3864" s="2" t="s">
        <v>82</v>
      </c>
      <c r="BO3864" s="2"/>
      <c r="BP3864" s="2">
        <v>241</v>
      </c>
      <c r="BQ3864" s="2" t="s">
        <v>82</v>
      </c>
      <c r="BR3864" s="2"/>
      <c r="BS3864" s="3">
        <v>40441</v>
      </c>
      <c r="BT3864" s="4">
        <v>0.81383101851851858</v>
      </c>
    </row>
    <row r="3865" spans="1:72" x14ac:dyDescent="0.25">
      <c r="A3865" s="2">
        <v>5746</v>
      </c>
      <c r="B3865" s="2">
        <v>2010</v>
      </c>
      <c r="C3865" s="2" t="s">
        <v>72</v>
      </c>
      <c r="D3865" s="2" t="s">
        <v>73</v>
      </c>
      <c r="E3865" s="2"/>
      <c r="F3865" s="2">
        <v>2</v>
      </c>
      <c r="G3865" s="2" t="s">
        <v>113</v>
      </c>
      <c r="H3865" s="2">
        <v>50</v>
      </c>
      <c r="I3865" s="2" t="s">
        <v>107</v>
      </c>
      <c r="J3865" s="2">
        <v>300</v>
      </c>
      <c r="K3865" s="2" t="s">
        <v>114</v>
      </c>
      <c r="L3865" s="2" t="s">
        <v>115</v>
      </c>
      <c r="M3865" s="3">
        <v>40441</v>
      </c>
      <c r="N3865" s="2" t="s">
        <v>5649</v>
      </c>
      <c r="O3865" s="2"/>
      <c r="P3865" s="2"/>
      <c r="Q3865" s="2" t="str">
        <f>"480-E/10"</f>
        <v>480-E/10</v>
      </c>
      <c r="R3865" s="2" t="s">
        <v>116</v>
      </c>
      <c r="S3865" s="2" t="s">
        <v>116</v>
      </c>
      <c r="T3865" s="2">
        <v>1</v>
      </c>
      <c r="U3865" s="2" t="s">
        <v>79</v>
      </c>
      <c r="V3865" s="2">
        <v>1</v>
      </c>
      <c r="W3865" s="2" t="s">
        <v>80</v>
      </c>
      <c r="X3865" s="2">
        <v>12</v>
      </c>
      <c r="Y3865" s="2" t="s">
        <v>148</v>
      </c>
      <c r="Z3865" s="2">
        <v>1</v>
      </c>
      <c r="AA3865" s="2" t="s">
        <v>82</v>
      </c>
      <c r="AB3865" s="2">
        <v>6</v>
      </c>
      <c r="AC3865" s="2" t="s">
        <v>83</v>
      </c>
      <c r="AD3865" s="3">
        <v>40441</v>
      </c>
      <c r="AE3865" s="2"/>
      <c r="AF3865" s="3">
        <v>40441</v>
      </c>
      <c r="AG3865" s="4">
        <v>0.63194444444444442</v>
      </c>
      <c r="AH3865" s="2">
        <v>2</v>
      </c>
      <c r="AI3865" s="2" t="s">
        <v>84</v>
      </c>
      <c r="AJ3865" s="2">
        <v>9</v>
      </c>
      <c r="AK3865" s="2" t="s">
        <v>103</v>
      </c>
      <c r="AL3865" s="2">
        <v>29</v>
      </c>
      <c r="AM3865" s="2" t="s">
        <v>5416</v>
      </c>
      <c r="AN3865" s="2"/>
      <c r="AO3865" s="2" t="s">
        <v>3166</v>
      </c>
      <c r="AP3865" s="2">
        <v>11</v>
      </c>
      <c r="AQ3865" s="2" t="s">
        <v>82</v>
      </c>
      <c r="AR3865" s="2"/>
      <c r="AS3865" s="2"/>
      <c r="AT3865" s="2" t="s">
        <v>12250</v>
      </c>
      <c r="AU3865" s="2"/>
      <c r="AV3865" s="2"/>
      <c r="AW3865" s="2">
        <v>1</v>
      </c>
      <c r="AX3865" s="2"/>
      <c r="AY3865" s="2">
        <v>41</v>
      </c>
      <c r="AZ3865" s="2" t="s">
        <v>82</v>
      </c>
      <c r="BA3865" s="2">
        <v>41</v>
      </c>
      <c r="BB3865" s="2" t="s">
        <v>82</v>
      </c>
      <c r="BC3865" s="2">
        <v>41</v>
      </c>
      <c r="BD3865" s="2" t="s">
        <v>82</v>
      </c>
      <c r="BE3865" s="2">
        <v>41</v>
      </c>
      <c r="BF3865" s="2" t="s">
        <v>82</v>
      </c>
      <c r="BG3865" s="2"/>
      <c r="BH3865" s="2"/>
      <c r="BI3865" s="2"/>
      <c r="BJ3865" s="2">
        <v>241</v>
      </c>
      <c r="BK3865" s="2" t="s">
        <v>82</v>
      </c>
      <c r="BL3865" s="2"/>
      <c r="BM3865" s="2">
        <v>241</v>
      </c>
      <c r="BN3865" s="2" t="s">
        <v>82</v>
      </c>
      <c r="BO3865" s="2"/>
      <c r="BP3865" s="2">
        <v>241</v>
      </c>
      <c r="BQ3865" s="2" t="s">
        <v>82</v>
      </c>
      <c r="BR3865" s="2"/>
      <c r="BS3865" s="3">
        <v>40441</v>
      </c>
      <c r="BT3865" s="4">
        <v>0.83850694444444451</v>
      </c>
    </row>
    <row r="3866" spans="1:72" x14ac:dyDescent="0.25">
      <c r="A3866" s="2">
        <v>5748</v>
      </c>
      <c r="B3866" s="2">
        <v>2010</v>
      </c>
      <c r="C3866" s="2" t="s">
        <v>171</v>
      </c>
      <c r="D3866" s="2" t="s">
        <v>122</v>
      </c>
      <c r="E3866" s="2" t="s">
        <v>12251</v>
      </c>
      <c r="F3866" s="2">
        <v>159</v>
      </c>
      <c r="G3866" s="2" t="s">
        <v>3883</v>
      </c>
      <c r="H3866" s="2">
        <v>18</v>
      </c>
      <c r="I3866" s="2" t="s">
        <v>3884</v>
      </c>
      <c r="J3866" s="2">
        <v>632</v>
      </c>
      <c r="K3866" s="2" t="s">
        <v>10017</v>
      </c>
      <c r="L3866" s="2" t="s">
        <v>10018</v>
      </c>
      <c r="M3866" s="3">
        <v>40441</v>
      </c>
      <c r="N3866" s="2" t="s">
        <v>12242</v>
      </c>
      <c r="O3866" s="2"/>
      <c r="P3866" s="2"/>
      <c r="Q3866" s="2" t="str">
        <f>"376-A/10"</f>
        <v>376-A/10</v>
      </c>
      <c r="R3866" s="2" t="s">
        <v>1035</v>
      </c>
      <c r="S3866" s="2"/>
      <c r="T3866" s="2">
        <v>1</v>
      </c>
      <c r="U3866" s="2" t="s">
        <v>79</v>
      </c>
      <c r="V3866" s="2">
        <v>1</v>
      </c>
      <c r="W3866" s="2" t="s">
        <v>80</v>
      </c>
      <c r="X3866" s="2">
        <v>1</v>
      </c>
      <c r="Y3866" s="2" t="s">
        <v>81</v>
      </c>
      <c r="Z3866" s="2">
        <v>10</v>
      </c>
      <c r="AA3866" s="2" t="s">
        <v>236</v>
      </c>
      <c r="AB3866" s="2">
        <v>1</v>
      </c>
      <c r="AC3866" s="2" t="s">
        <v>178</v>
      </c>
      <c r="AD3866" s="3">
        <v>40441</v>
      </c>
      <c r="AE3866" s="4">
        <v>0.85416666666666663</v>
      </c>
      <c r="AF3866" s="3">
        <v>40441</v>
      </c>
      <c r="AG3866" s="4">
        <v>0.38541666666666669</v>
      </c>
      <c r="AH3866" s="2">
        <v>2</v>
      </c>
      <c r="AI3866" s="2" t="s">
        <v>84</v>
      </c>
      <c r="AJ3866" s="2">
        <v>12</v>
      </c>
      <c r="AK3866" s="2" t="s">
        <v>85</v>
      </c>
      <c r="AL3866" s="2">
        <v>11</v>
      </c>
      <c r="AM3866" s="2" t="s">
        <v>137</v>
      </c>
      <c r="AN3866" s="2"/>
      <c r="AO3866" s="2"/>
      <c r="AP3866" s="2">
        <v>11</v>
      </c>
      <c r="AQ3866" s="2" t="s">
        <v>82</v>
      </c>
      <c r="AR3866" s="2"/>
      <c r="AS3866" s="2"/>
      <c r="AT3866" s="2" t="s">
        <v>12252</v>
      </c>
      <c r="AU3866" s="2">
        <v>1</v>
      </c>
      <c r="AV3866" s="2"/>
      <c r="AW3866" s="2"/>
      <c r="AX3866" s="2"/>
      <c r="AY3866" s="2">
        <v>41</v>
      </c>
      <c r="AZ3866" s="2" t="s">
        <v>82</v>
      </c>
      <c r="BA3866" s="2">
        <v>41</v>
      </c>
      <c r="BB3866" s="2" t="s">
        <v>82</v>
      </c>
      <c r="BC3866" s="2">
        <v>70</v>
      </c>
      <c r="BD3866" s="2" t="s">
        <v>236</v>
      </c>
      <c r="BE3866" s="2">
        <v>41</v>
      </c>
      <c r="BF3866" s="2" t="s">
        <v>82</v>
      </c>
      <c r="BG3866" s="2">
        <v>860</v>
      </c>
      <c r="BH3866" s="2"/>
      <c r="BI3866" s="2"/>
      <c r="BJ3866" s="2">
        <v>241</v>
      </c>
      <c r="BK3866" s="2" t="s">
        <v>82</v>
      </c>
      <c r="BL3866" s="2"/>
      <c r="BM3866" s="2">
        <v>13</v>
      </c>
      <c r="BN3866" s="2" t="s">
        <v>91</v>
      </c>
      <c r="BO3866" s="2"/>
      <c r="BP3866" s="2">
        <v>241</v>
      </c>
      <c r="BQ3866" s="2" t="s">
        <v>82</v>
      </c>
      <c r="BR3866" s="2"/>
      <c r="BS3866" s="3">
        <v>40441</v>
      </c>
      <c r="BT3866" s="4">
        <v>0.89254629629629623</v>
      </c>
    </row>
    <row r="3867" spans="1:72" x14ac:dyDescent="0.25">
      <c r="A3867" s="2">
        <v>5750</v>
      </c>
      <c r="B3867" s="2">
        <v>2010</v>
      </c>
      <c r="C3867" s="2" t="s">
        <v>72</v>
      </c>
      <c r="D3867" s="2" t="s">
        <v>73</v>
      </c>
      <c r="E3867" s="2"/>
      <c r="F3867" s="2">
        <v>2</v>
      </c>
      <c r="G3867" s="2" t="s">
        <v>113</v>
      </c>
      <c r="H3867" s="2">
        <v>22</v>
      </c>
      <c r="I3867" s="2" t="s">
        <v>75</v>
      </c>
      <c r="J3867" s="2">
        <v>300</v>
      </c>
      <c r="K3867" s="2" t="s">
        <v>114</v>
      </c>
      <c r="L3867" s="2" t="s">
        <v>115</v>
      </c>
      <c r="M3867" s="3">
        <v>40442</v>
      </c>
      <c r="N3867" s="2"/>
      <c r="O3867" s="2"/>
      <c r="P3867" s="2"/>
      <c r="Q3867" s="2" t="str">
        <f>"481-E/10"</f>
        <v>481-E/10</v>
      </c>
      <c r="R3867" s="2" t="s">
        <v>116</v>
      </c>
      <c r="S3867" s="2" t="s">
        <v>116</v>
      </c>
      <c r="T3867" s="2">
        <v>1</v>
      </c>
      <c r="U3867" s="2" t="s">
        <v>79</v>
      </c>
      <c r="V3867" s="2">
        <v>1</v>
      </c>
      <c r="W3867" s="2" t="s">
        <v>80</v>
      </c>
      <c r="X3867" s="2">
        <v>12</v>
      </c>
      <c r="Y3867" s="2" t="s">
        <v>148</v>
      </c>
      <c r="Z3867" s="2">
        <v>1</v>
      </c>
      <c r="AA3867" s="2" t="s">
        <v>82</v>
      </c>
      <c r="AB3867" s="2">
        <v>6</v>
      </c>
      <c r="AC3867" s="2" t="s">
        <v>83</v>
      </c>
      <c r="AD3867" s="3">
        <v>40441</v>
      </c>
      <c r="AE3867" s="4">
        <v>0.89583333333333337</v>
      </c>
      <c r="AF3867" s="3">
        <v>40441</v>
      </c>
      <c r="AG3867" s="4">
        <v>0.99652777777777779</v>
      </c>
      <c r="AH3867" s="2">
        <v>2</v>
      </c>
      <c r="AI3867" s="2" t="s">
        <v>84</v>
      </c>
      <c r="AJ3867" s="2">
        <v>9</v>
      </c>
      <c r="AK3867" s="2" t="s">
        <v>103</v>
      </c>
      <c r="AL3867" s="2">
        <v>12</v>
      </c>
      <c r="AM3867" s="2" t="s">
        <v>86</v>
      </c>
      <c r="AN3867" s="2" t="s">
        <v>12253</v>
      </c>
      <c r="AO3867" s="2" t="s">
        <v>984</v>
      </c>
      <c r="AP3867" s="2">
        <v>11</v>
      </c>
      <c r="AQ3867" s="2" t="s">
        <v>82</v>
      </c>
      <c r="AR3867" s="2"/>
      <c r="AS3867" s="2"/>
      <c r="AT3867" s="2" t="s">
        <v>12254</v>
      </c>
      <c r="AU3867" s="2"/>
      <c r="AV3867" s="2"/>
      <c r="AW3867" s="2"/>
      <c r="AX3867" s="2"/>
      <c r="AY3867" s="2">
        <v>41</v>
      </c>
      <c r="AZ3867" s="2" t="s">
        <v>82</v>
      </c>
      <c r="BA3867" s="2">
        <v>41</v>
      </c>
      <c r="BB3867" s="2" t="s">
        <v>82</v>
      </c>
      <c r="BC3867" s="2">
        <v>41</v>
      </c>
      <c r="BD3867" s="2" t="s">
        <v>82</v>
      </c>
      <c r="BE3867" s="2">
        <v>41</v>
      </c>
      <c r="BF3867" s="2" t="s">
        <v>82</v>
      </c>
      <c r="BG3867" s="2"/>
      <c r="BH3867" s="2"/>
      <c r="BI3867" s="2"/>
      <c r="BJ3867" s="2">
        <v>241</v>
      </c>
      <c r="BK3867" s="2" t="s">
        <v>82</v>
      </c>
      <c r="BL3867" s="2"/>
      <c r="BM3867" s="2">
        <v>241</v>
      </c>
      <c r="BN3867" s="2" t="s">
        <v>82</v>
      </c>
      <c r="BO3867" s="2"/>
      <c r="BP3867" s="2">
        <v>241</v>
      </c>
      <c r="BQ3867" s="2" t="s">
        <v>82</v>
      </c>
      <c r="BR3867" s="2"/>
      <c r="BS3867" s="3">
        <v>40442</v>
      </c>
      <c r="BT3867" s="4">
        <v>0.11872685185185185</v>
      </c>
    </row>
    <row r="3868" spans="1:72" x14ac:dyDescent="0.25">
      <c r="A3868" s="2">
        <v>5751</v>
      </c>
      <c r="B3868" s="2">
        <v>2010</v>
      </c>
      <c r="C3868" s="2" t="s">
        <v>549</v>
      </c>
      <c r="D3868" s="2" t="s">
        <v>73</v>
      </c>
      <c r="E3868" s="2"/>
      <c r="F3868" s="2">
        <v>167</v>
      </c>
      <c r="G3868" s="2" t="s">
        <v>11567</v>
      </c>
      <c r="H3868" s="2">
        <v>138</v>
      </c>
      <c r="I3868" s="2" t="s">
        <v>11568</v>
      </c>
      <c r="J3868" s="2">
        <v>173</v>
      </c>
      <c r="K3868" s="2" t="s">
        <v>11569</v>
      </c>
      <c r="L3868" s="2" t="s">
        <v>11570</v>
      </c>
      <c r="M3868" s="3">
        <v>40442</v>
      </c>
      <c r="N3868" s="2" t="s">
        <v>11571</v>
      </c>
      <c r="O3868" s="2"/>
      <c r="P3868" s="2"/>
      <c r="Q3868" s="2" t="str">
        <f>"377-A/10"</f>
        <v>377-A/10</v>
      </c>
      <c r="R3868" s="2" t="s">
        <v>1044</v>
      </c>
      <c r="S3868" s="2"/>
      <c r="T3868" s="2">
        <v>1</v>
      </c>
      <c r="U3868" s="2" t="s">
        <v>79</v>
      </c>
      <c r="V3868" s="2">
        <v>1</v>
      </c>
      <c r="W3868" s="2" t="s">
        <v>80</v>
      </c>
      <c r="X3868" s="2">
        <v>1</v>
      </c>
      <c r="Y3868" s="2" t="s">
        <v>81</v>
      </c>
      <c r="Z3868" s="2">
        <v>1</v>
      </c>
      <c r="AA3868" s="2" t="s">
        <v>82</v>
      </c>
      <c r="AB3868" s="2">
        <v>9</v>
      </c>
      <c r="AC3868" s="2" t="s">
        <v>124</v>
      </c>
      <c r="AD3868" s="3">
        <v>40441</v>
      </c>
      <c r="AE3868" s="4">
        <v>0.82638888888888884</v>
      </c>
      <c r="AF3868" s="2"/>
      <c r="AG3868" s="2"/>
      <c r="AH3868" s="2">
        <v>2</v>
      </c>
      <c r="AI3868" s="2" t="s">
        <v>84</v>
      </c>
      <c r="AJ3868" s="2">
        <v>12</v>
      </c>
      <c r="AK3868" s="2" t="s">
        <v>85</v>
      </c>
      <c r="AL3868" s="2">
        <v>9</v>
      </c>
      <c r="AM3868" s="2" t="s">
        <v>259</v>
      </c>
      <c r="AN3868" s="2" t="s">
        <v>10222</v>
      </c>
      <c r="AO3868" s="2" t="s">
        <v>12255</v>
      </c>
      <c r="AP3868" s="2">
        <v>11</v>
      </c>
      <c r="AQ3868" s="2" t="s">
        <v>82</v>
      </c>
      <c r="AR3868" s="2"/>
      <c r="AS3868" s="2"/>
      <c r="AT3868" s="2" t="s">
        <v>12256</v>
      </c>
      <c r="AU3868" s="2">
        <v>1</v>
      </c>
      <c r="AV3868" s="2"/>
      <c r="AW3868" s="2"/>
      <c r="AX3868" s="2"/>
      <c r="AY3868" s="2">
        <v>41</v>
      </c>
      <c r="AZ3868" s="2" t="s">
        <v>82</v>
      </c>
      <c r="BA3868" s="2">
        <v>41</v>
      </c>
      <c r="BB3868" s="2" t="s">
        <v>82</v>
      </c>
      <c r="BC3868" s="2">
        <v>41</v>
      </c>
      <c r="BD3868" s="2" t="s">
        <v>82</v>
      </c>
      <c r="BE3868" s="2">
        <v>41</v>
      </c>
      <c r="BF3868" s="2" t="s">
        <v>82</v>
      </c>
      <c r="BG3868" s="2"/>
      <c r="BH3868" s="2"/>
      <c r="BI3868" s="2"/>
      <c r="BJ3868" s="2">
        <v>241</v>
      </c>
      <c r="BK3868" s="2" t="s">
        <v>82</v>
      </c>
      <c r="BL3868" s="2"/>
      <c r="BM3868" s="2">
        <v>241</v>
      </c>
      <c r="BN3868" s="2" t="s">
        <v>82</v>
      </c>
      <c r="BO3868" s="2"/>
      <c r="BP3868" s="2">
        <v>241</v>
      </c>
      <c r="BQ3868" s="2" t="s">
        <v>82</v>
      </c>
      <c r="BR3868" s="2"/>
      <c r="BS3868" s="3">
        <v>40442</v>
      </c>
      <c r="BT3868" s="4">
        <v>0.17708333333333334</v>
      </c>
    </row>
    <row r="3869" spans="1:72" x14ac:dyDescent="0.25">
      <c r="A3869" s="2">
        <v>5757</v>
      </c>
      <c r="B3869" s="2">
        <v>2010</v>
      </c>
      <c r="C3869" s="2" t="s">
        <v>121</v>
      </c>
      <c r="D3869" s="2" t="s">
        <v>122</v>
      </c>
      <c r="E3869" s="2"/>
      <c r="F3869" s="2">
        <v>1</v>
      </c>
      <c r="G3869" s="2" t="s">
        <v>82</v>
      </c>
      <c r="H3869" s="2">
        <v>1</v>
      </c>
      <c r="I3869" s="2" t="s">
        <v>82</v>
      </c>
      <c r="J3869" s="2">
        <v>1</v>
      </c>
      <c r="K3869" s="2" t="s">
        <v>107</v>
      </c>
      <c r="L3869" s="2" t="s">
        <v>107</v>
      </c>
      <c r="M3869" s="3">
        <v>40442</v>
      </c>
      <c r="N3869" s="2"/>
      <c r="O3869" s="2"/>
      <c r="P3869" s="2"/>
      <c r="Q3869" s="2" t="str">
        <f>""</f>
        <v/>
      </c>
      <c r="R3869" s="2"/>
      <c r="S3869" s="2"/>
      <c r="T3869" s="2">
        <v>2</v>
      </c>
      <c r="U3869" s="2" t="s">
        <v>123</v>
      </c>
      <c r="V3869" s="2">
        <v>1</v>
      </c>
      <c r="W3869" s="2" t="s">
        <v>80</v>
      </c>
      <c r="X3869" s="2">
        <v>5</v>
      </c>
      <c r="Y3869" s="2" t="s">
        <v>82</v>
      </c>
      <c r="Z3869" s="2">
        <v>1</v>
      </c>
      <c r="AA3869" s="2" t="s">
        <v>82</v>
      </c>
      <c r="AB3869" s="2">
        <v>9</v>
      </c>
      <c r="AC3869" s="2" t="s">
        <v>124</v>
      </c>
      <c r="AD3869" s="3">
        <v>40442</v>
      </c>
      <c r="AE3869" s="4">
        <v>0.44722222222222219</v>
      </c>
      <c r="AF3869" s="2"/>
      <c r="AG3869" s="2"/>
      <c r="AH3869" s="2">
        <v>4</v>
      </c>
      <c r="AI3869" s="2" t="s">
        <v>125</v>
      </c>
      <c r="AJ3869" s="2">
        <v>28</v>
      </c>
      <c r="AK3869" s="2" t="s">
        <v>741</v>
      </c>
      <c r="AL3869" s="2">
        <v>10</v>
      </c>
      <c r="AM3869" s="2" t="s">
        <v>200</v>
      </c>
      <c r="AN3869" s="2"/>
      <c r="AO3869" s="2"/>
      <c r="AP3869" s="2">
        <v>11</v>
      </c>
      <c r="AQ3869" s="2" t="s">
        <v>82</v>
      </c>
      <c r="AR3869" s="2"/>
      <c r="AS3869" s="2"/>
      <c r="AT3869" s="2" t="s">
        <v>12257</v>
      </c>
      <c r="AU3869" s="2"/>
      <c r="AV3869" s="2"/>
      <c r="AW3869" s="2"/>
      <c r="AX3869" s="2"/>
      <c r="AY3869" s="2">
        <v>41</v>
      </c>
      <c r="AZ3869" s="2" t="s">
        <v>82</v>
      </c>
      <c r="BA3869" s="2">
        <v>41</v>
      </c>
      <c r="BB3869" s="2" t="s">
        <v>82</v>
      </c>
      <c r="BC3869" s="2">
        <v>41</v>
      </c>
      <c r="BD3869" s="2" t="s">
        <v>82</v>
      </c>
      <c r="BE3869" s="2">
        <v>42</v>
      </c>
      <c r="BF3869" s="2" t="s">
        <v>182</v>
      </c>
      <c r="BG3869" s="2" t="s">
        <v>12258</v>
      </c>
      <c r="BH3869" s="4">
        <v>0.44722222222222219</v>
      </c>
      <c r="BI3869" s="2"/>
      <c r="BJ3869" s="2">
        <v>13</v>
      </c>
      <c r="BK3869" s="2" t="s">
        <v>91</v>
      </c>
      <c r="BL3869" s="2" t="s">
        <v>185</v>
      </c>
      <c r="BM3869" s="2">
        <v>13</v>
      </c>
      <c r="BN3869" s="2" t="s">
        <v>91</v>
      </c>
      <c r="BO3869" s="2"/>
      <c r="BP3869" s="2">
        <v>13</v>
      </c>
      <c r="BQ3869" s="2" t="s">
        <v>91</v>
      </c>
      <c r="BR3869" s="2" t="s">
        <v>185</v>
      </c>
      <c r="BS3869" s="3">
        <v>40442</v>
      </c>
      <c r="BT3869" s="4">
        <v>0.5503703703703704</v>
      </c>
    </row>
    <row r="3870" spans="1:72" x14ac:dyDescent="0.25">
      <c r="A3870" s="2">
        <v>5759</v>
      </c>
      <c r="B3870" s="2">
        <v>2010</v>
      </c>
      <c r="C3870" s="2" t="s">
        <v>128</v>
      </c>
      <c r="D3870" s="2" t="s">
        <v>73</v>
      </c>
      <c r="E3870" s="2" t="s">
        <v>11464</v>
      </c>
      <c r="F3870" s="2">
        <v>425</v>
      </c>
      <c r="G3870" s="2" t="s">
        <v>286</v>
      </c>
      <c r="H3870" s="2">
        <v>39</v>
      </c>
      <c r="I3870" s="2" t="s">
        <v>1117</v>
      </c>
      <c r="J3870" s="2">
        <v>310</v>
      </c>
      <c r="K3870" s="2" t="s">
        <v>288</v>
      </c>
      <c r="L3870" s="2" t="s">
        <v>289</v>
      </c>
      <c r="M3870" s="3">
        <v>40442</v>
      </c>
      <c r="N3870" s="2" t="s">
        <v>1917</v>
      </c>
      <c r="O3870" s="2" t="s">
        <v>11437</v>
      </c>
      <c r="P3870" s="2" t="s">
        <v>11438</v>
      </c>
      <c r="Q3870" s="2" t="str">
        <f>"101"</f>
        <v>101</v>
      </c>
      <c r="R3870" s="2"/>
      <c r="S3870" s="2"/>
      <c r="T3870" s="2">
        <v>1</v>
      </c>
      <c r="U3870" s="2" t="s">
        <v>79</v>
      </c>
      <c r="V3870" s="2">
        <v>3</v>
      </c>
      <c r="W3870" s="2" t="s">
        <v>225</v>
      </c>
      <c r="X3870" s="2">
        <v>6</v>
      </c>
      <c r="Y3870" s="2" t="s">
        <v>249</v>
      </c>
      <c r="Z3870" s="2">
        <v>1</v>
      </c>
      <c r="AA3870" s="2" t="s">
        <v>82</v>
      </c>
      <c r="AB3870" s="2">
        <v>9</v>
      </c>
      <c r="AC3870" s="2" t="s">
        <v>124</v>
      </c>
      <c r="AD3870" s="2"/>
      <c r="AE3870" s="2"/>
      <c r="AF3870" s="2"/>
      <c r="AG3870" s="2"/>
      <c r="AH3870" s="2">
        <v>4</v>
      </c>
      <c r="AI3870" s="2" t="s">
        <v>125</v>
      </c>
      <c r="AJ3870" s="2">
        <v>26</v>
      </c>
      <c r="AK3870" s="2" t="s">
        <v>293</v>
      </c>
      <c r="AL3870" s="2">
        <v>23</v>
      </c>
      <c r="AM3870" s="2" t="s">
        <v>251</v>
      </c>
      <c r="AN3870" s="2" t="s">
        <v>12259</v>
      </c>
      <c r="AO3870" s="2" t="s">
        <v>11465</v>
      </c>
      <c r="AP3870" s="2">
        <v>11</v>
      </c>
      <c r="AQ3870" s="2" t="s">
        <v>82</v>
      </c>
      <c r="AR3870" s="2"/>
      <c r="AS3870" s="2"/>
      <c r="AT3870" s="2" t="s">
        <v>12260</v>
      </c>
      <c r="AU3870" s="2"/>
      <c r="AV3870" s="2"/>
      <c r="AW3870" s="2"/>
      <c r="AX3870" s="2"/>
      <c r="AY3870" s="2">
        <v>41</v>
      </c>
      <c r="AZ3870" s="2" t="s">
        <v>82</v>
      </c>
      <c r="BA3870" s="2">
        <v>41</v>
      </c>
      <c r="BB3870" s="2" t="s">
        <v>82</v>
      </c>
      <c r="BC3870" s="2">
        <v>41</v>
      </c>
      <c r="BD3870" s="2" t="s">
        <v>82</v>
      </c>
      <c r="BE3870" s="2">
        <v>41</v>
      </c>
      <c r="BF3870" s="2" t="s">
        <v>82</v>
      </c>
      <c r="BG3870" s="2"/>
      <c r="BH3870" s="2"/>
      <c r="BI3870" s="2"/>
      <c r="BJ3870" s="2">
        <v>241</v>
      </c>
      <c r="BK3870" s="2" t="s">
        <v>82</v>
      </c>
      <c r="BL3870" s="2"/>
      <c r="BM3870" s="2">
        <v>241</v>
      </c>
      <c r="BN3870" s="2" t="s">
        <v>82</v>
      </c>
      <c r="BO3870" s="2"/>
      <c r="BP3870" s="2">
        <v>241</v>
      </c>
      <c r="BQ3870" s="2" t="s">
        <v>82</v>
      </c>
      <c r="BR3870" s="2"/>
      <c r="BS3870" s="3">
        <v>40442</v>
      </c>
      <c r="BT3870" s="4">
        <v>0.57835648148148155</v>
      </c>
    </row>
    <row r="3871" spans="1:72" x14ac:dyDescent="0.25">
      <c r="A3871" s="2">
        <v>5760</v>
      </c>
      <c r="B3871" s="2">
        <v>2010</v>
      </c>
      <c r="C3871" s="2" t="s">
        <v>121</v>
      </c>
      <c r="D3871" s="2" t="s">
        <v>122</v>
      </c>
      <c r="E3871" s="2" t="s">
        <v>12261</v>
      </c>
      <c r="F3871" s="2">
        <v>1</v>
      </c>
      <c r="G3871" s="2" t="s">
        <v>82</v>
      </c>
      <c r="H3871" s="2">
        <v>1</v>
      </c>
      <c r="I3871" s="2" t="s">
        <v>82</v>
      </c>
      <c r="J3871" s="2">
        <v>1</v>
      </c>
      <c r="K3871" s="2" t="s">
        <v>107</v>
      </c>
      <c r="L3871" s="2" t="s">
        <v>107</v>
      </c>
      <c r="M3871" s="3">
        <v>40442</v>
      </c>
      <c r="N3871" s="2"/>
      <c r="O3871" s="2"/>
      <c r="P3871" s="2"/>
      <c r="Q3871" s="2" t="str">
        <f>""</f>
        <v/>
      </c>
      <c r="R3871" s="2"/>
      <c r="S3871" s="2"/>
      <c r="T3871" s="2">
        <v>2</v>
      </c>
      <c r="U3871" s="2" t="s">
        <v>123</v>
      </c>
      <c r="V3871" s="2">
        <v>1</v>
      </c>
      <c r="W3871" s="2" t="s">
        <v>80</v>
      </c>
      <c r="X3871" s="2">
        <v>5</v>
      </c>
      <c r="Y3871" s="2" t="s">
        <v>82</v>
      </c>
      <c r="Z3871" s="2">
        <v>1</v>
      </c>
      <c r="AA3871" s="2" t="s">
        <v>82</v>
      </c>
      <c r="AB3871" s="2">
        <v>9</v>
      </c>
      <c r="AC3871" s="2" t="s">
        <v>124</v>
      </c>
      <c r="AD3871" s="3">
        <v>40442</v>
      </c>
      <c r="AE3871" s="4">
        <v>0.44722222222222219</v>
      </c>
      <c r="AF3871" s="2"/>
      <c r="AG3871" s="2"/>
      <c r="AH3871" s="2">
        <v>4</v>
      </c>
      <c r="AI3871" s="2" t="s">
        <v>125</v>
      </c>
      <c r="AJ3871" s="2">
        <v>28</v>
      </c>
      <c r="AK3871" s="2" t="s">
        <v>741</v>
      </c>
      <c r="AL3871" s="2">
        <v>10</v>
      </c>
      <c r="AM3871" s="2" t="s">
        <v>200</v>
      </c>
      <c r="AN3871" s="2"/>
      <c r="AO3871" s="2"/>
      <c r="AP3871" s="2">
        <v>11</v>
      </c>
      <c r="AQ3871" s="2" t="s">
        <v>82</v>
      </c>
      <c r="AR3871" s="2"/>
      <c r="AS3871" s="2"/>
      <c r="AT3871" s="2" t="s">
        <v>12262</v>
      </c>
      <c r="AU3871" s="2"/>
      <c r="AV3871" s="2"/>
      <c r="AW3871" s="2"/>
      <c r="AX3871" s="2"/>
      <c r="AY3871" s="2">
        <v>41</v>
      </c>
      <c r="AZ3871" s="2" t="s">
        <v>82</v>
      </c>
      <c r="BA3871" s="2">
        <v>41</v>
      </c>
      <c r="BB3871" s="2" t="s">
        <v>82</v>
      </c>
      <c r="BC3871" s="2">
        <v>41</v>
      </c>
      <c r="BD3871" s="2" t="s">
        <v>82</v>
      </c>
      <c r="BE3871" s="2">
        <v>42</v>
      </c>
      <c r="BF3871" s="2" t="s">
        <v>182</v>
      </c>
      <c r="BG3871" s="2" t="s">
        <v>12258</v>
      </c>
      <c r="BH3871" s="4">
        <v>0.44722222222222219</v>
      </c>
      <c r="BI3871" s="4">
        <v>0.58611111111111114</v>
      </c>
      <c r="BJ3871" s="2">
        <v>13</v>
      </c>
      <c r="BK3871" s="2" t="s">
        <v>91</v>
      </c>
      <c r="BL3871" s="2" t="s">
        <v>185</v>
      </c>
      <c r="BM3871" s="2">
        <v>13</v>
      </c>
      <c r="BN3871" s="2" t="s">
        <v>91</v>
      </c>
      <c r="BO3871" s="2"/>
      <c r="BP3871" s="2">
        <v>13</v>
      </c>
      <c r="BQ3871" s="2" t="s">
        <v>91</v>
      </c>
      <c r="BR3871" s="2" t="s">
        <v>185</v>
      </c>
      <c r="BS3871" s="3">
        <v>40442</v>
      </c>
      <c r="BT3871" s="4">
        <v>0.63099537037037035</v>
      </c>
    </row>
    <row r="3872" spans="1:72" x14ac:dyDescent="0.25">
      <c r="A3872" s="2">
        <v>5761</v>
      </c>
      <c r="B3872" s="2">
        <v>2010</v>
      </c>
      <c r="C3872" s="2" t="s">
        <v>171</v>
      </c>
      <c r="D3872" s="2" t="s">
        <v>73</v>
      </c>
      <c r="E3872" s="2" t="s">
        <v>5904</v>
      </c>
      <c r="F3872" s="2">
        <v>425</v>
      </c>
      <c r="G3872" s="2" t="s">
        <v>286</v>
      </c>
      <c r="H3872" s="2">
        <v>30</v>
      </c>
      <c r="I3872" s="2" t="s">
        <v>912</v>
      </c>
      <c r="J3872" s="2">
        <v>326</v>
      </c>
      <c r="K3872" s="2" t="s">
        <v>881</v>
      </c>
      <c r="L3872" s="2" t="s">
        <v>882</v>
      </c>
      <c r="M3872" s="3">
        <v>40442</v>
      </c>
      <c r="N3872" s="2" t="s">
        <v>1203</v>
      </c>
      <c r="O3872" s="2" t="s">
        <v>1204</v>
      </c>
      <c r="P3872" s="2" t="s">
        <v>1205</v>
      </c>
      <c r="Q3872" s="2" t="str">
        <f>"001/09"</f>
        <v>001/09</v>
      </c>
      <c r="R3872" s="2" t="s">
        <v>1206</v>
      </c>
      <c r="S3872" s="2"/>
      <c r="T3872" s="2">
        <v>1</v>
      </c>
      <c r="U3872" s="2" t="s">
        <v>79</v>
      </c>
      <c r="V3872" s="2">
        <v>3</v>
      </c>
      <c r="W3872" s="2" t="s">
        <v>225</v>
      </c>
      <c r="X3872" s="2">
        <v>6</v>
      </c>
      <c r="Y3872" s="2" t="s">
        <v>249</v>
      </c>
      <c r="Z3872" s="2">
        <v>1</v>
      </c>
      <c r="AA3872" s="2" t="s">
        <v>82</v>
      </c>
      <c r="AB3872" s="2">
        <v>9</v>
      </c>
      <c r="AC3872" s="2" t="s">
        <v>124</v>
      </c>
      <c r="AD3872" s="2"/>
      <c r="AE3872" s="2"/>
      <c r="AF3872" s="2"/>
      <c r="AG3872" s="2"/>
      <c r="AH3872" s="2">
        <v>4</v>
      </c>
      <c r="AI3872" s="2" t="s">
        <v>125</v>
      </c>
      <c r="AJ3872" s="2">
        <v>26</v>
      </c>
      <c r="AK3872" s="2" t="s">
        <v>293</v>
      </c>
      <c r="AL3872" s="2">
        <v>23</v>
      </c>
      <c r="AM3872" s="2" t="s">
        <v>251</v>
      </c>
      <c r="AN3872" s="2"/>
      <c r="AO3872" s="2" t="s">
        <v>1207</v>
      </c>
      <c r="AP3872" s="2">
        <v>11</v>
      </c>
      <c r="AQ3872" s="2" t="s">
        <v>82</v>
      </c>
      <c r="AR3872" s="2"/>
      <c r="AS3872" s="2"/>
      <c r="AT3872" s="2" t="s">
        <v>12263</v>
      </c>
      <c r="AU3872" s="2"/>
      <c r="AV3872" s="2"/>
      <c r="AW3872" s="2"/>
      <c r="AX3872" s="2"/>
      <c r="AY3872" s="2">
        <v>41</v>
      </c>
      <c r="AZ3872" s="2" t="s">
        <v>82</v>
      </c>
      <c r="BA3872" s="2">
        <v>41</v>
      </c>
      <c r="BB3872" s="2" t="s">
        <v>82</v>
      </c>
      <c r="BC3872" s="2">
        <v>41</v>
      </c>
      <c r="BD3872" s="2" t="s">
        <v>82</v>
      </c>
      <c r="BE3872" s="2">
        <v>41</v>
      </c>
      <c r="BF3872" s="2" t="s">
        <v>82</v>
      </c>
      <c r="BG3872" s="2"/>
      <c r="BH3872" s="2"/>
      <c r="BI3872" s="2"/>
      <c r="BJ3872" s="2">
        <v>241</v>
      </c>
      <c r="BK3872" s="2" t="s">
        <v>82</v>
      </c>
      <c r="BL3872" s="2"/>
      <c r="BM3872" s="2">
        <v>241</v>
      </c>
      <c r="BN3872" s="2" t="s">
        <v>82</v>
      </c>
      <c r="BO3872" s="2"/>
      <c r="BP3872" s="2">
        <v>241</v>
      </c>
      <c r="BQ3872" s="2" t="s">
        <v>82</v>
      </c>
      <c r="BR3872" s="2"/>
      <c r="BS3872" s="3">
        <v>40442</v>
      </c>
      <c r="BT3872" s="4">
        <v>0.63589120370370367</v>
      </c>
    </row>
    <row r="3873" spans="1:72" x14ac:dyDescent="0.25">
      <c r="A3873" s="2">
        <v>5762</v>
      </c>
      <c r="B3873" s="2">
        <v>2010</v>
      </c>
      <c r="C3873" s="2" t="s">
        <v>819</v>
      </c>
      <c r="D3873" s="2" t="s">
        <v>122</v>
      </c>
      <c r="E3873" s="2" t="s">
        <v>12264</v>
      </c>
      <c r="F3873" s="2">
        <v>319</v>
      </c>
      <c r="G3873" s="2" t="s">
        <v>6516</v>
      </c>
      <c r="H3873" s="2">
        <v>42</v>
      </c>
      <c r="I3873" s="2" t="s">
        <v>1096</v>
      </c>
      <c r="J3873" s="2">
        <v>385</v>
      </c>
      <c r="K3873" s="2" t="s">
        <v>1314</v>
      </c>
      <c r="L3873" s="2" t="s">
        <v>1315</v>
      </c>
      <c r="M3873" s="3">
        <v>40442</v>
      </c>
      <c r="N3873" s="2" t="s">
        <v>6517</v>
      </c>
      <c r="O3873" s="2"/>
      <c r="P3873" s="2"/>
      <c r="Q3873" s="2" t="str">
        <f>"0024-10"</f>
        <v>0024-10</v>
      </c>
      <c r="R3873" s="2" t="s">
        <v>2003</v>
      </c>
      <c r="S3873" s="2"/>
      <c r="T3873" s="2">
        <v>1</v>
      </c>
      <c r="U3873" s="2" t="s">
        <v>79</v>
      </c>
      <c r="V3873" s="2">
        <v>1</v>
      </c>
      <c r="W3873" s="2" t="s">
        <v>80</v>
      </c>
      <c r="X3873" s="2">
        <v>1</v>
      </c>
      <c r="Y3873" s="2" t="s">
        <v>81</v>
      </c>
      <c r="Z3873" s="2">
        <v>10</v>
      </c>
      <c r="AA3873" s="2" t="s">
        <v>236</v>
      </c>
      <c r="AB3873" s="2">
        <v>9</v>
      </c>
      <c r="AC3873" s="2" t="s">
        <v>124</v>
      </c>
      <c r="AD3873" s="3">
        <v>40438</v>
      </c>
      <c r="AE3873" s="4">
        <v>0.58333333333333337</v>
      </c>
      <c r="AF3873" s="2"/>
      <c r="AG3873" s="2"/>
      <c r="AH3873" s="2">
        <v>5</v>
      </c>
      <c r="AI3873" s="2" t="s">
        <v>274</v>
      </c>
      <c r="AJ3873" s="2">
        <v>44</v>
      </c>
      <c r="AK3873" s="2" t="s">
        <v>667</v>
      </c>
      <c r="AL3873" s="2">
        <v>11</v>
      </c>
      <c r="AM3873" s="2" t="s">
        <v>137</v>
      </c>
      <c r="AN3873" s="2"/>
      <c r="AO3873" s="2"/>
      <c r="AP3873" s="2">
        <v>12</v>
      </c>
      <c r="AQ3873" s="2" t="s">
        <v>322</v>
      </c>
      <c r="AR3873" s="2"/>
      <c r="AS3873" s="2"/>
      <c r="AT3873" s="2" t="s">
        <v>12265</v>
      </c>
      <c r="AU3873" s="2"/>
      <c r="AV3873" s="2"/>
      <c r="AW3873" s="2"/>
      <c r="AX3873" s="2"/>
      <c r="AY3873" s="2">
        <v>42</v>
      </c>
      <c r="AZ3873" s="2" t="s">
        <v>182</v>
      </c>
      <c r="BA3873" s="2">
        <v>70</v>
      </c>
      <c r="BB3873" s="2" t="s">
        <v>236</v>
      </c>
      <c r="BC3873" s="2">
        <v>129</v>
      </c>
      <c r="BD3873" s="2" t="s">
        <v>322</v>
      </c>
      <c r="BE3873" s="2">
        <v>13</v>
      </c>
      <c r="BF3873" s="2" t="s">
        <v>108</v>
      </c>
      <c r="BG3873" s="2">
        <v>1779</v>
      </c>
      <c r="BH3873" s="4">
        <v>0.60069444444444442</v>
      </c>
      <c r="BI3873" s="2"/>
      <c r="BJ3873" s="2">
        <v>13</v>
      </c>
      <c r="BK3873" s="2" t="s">
        <v>91</v>
      </c>
      <c r="BL3873" s="2"/>
      <c r="BM3873" s="2">
        <v>13</v>
      </c>
      <c r="BN3873" s="2" t="s">
        <v>91</v>
      </c>
      <c r="BO3873" s="2"/>
      <c r="BP3873" s="2">
        <v>13</v>
      </c>
      <c r="BQ3873" s="2" t="s">
        <v>91</v>
      </c>
      <c r="BR3873" s="2"/>
      <c r="BS3873" s="3">
        <v>40442</v>
      </c>
      <c r="BT3873" s="4">
        <v>0.65270833333333333</v>
      </c>
    </row>
    <row r="3874" spans="1:72" x14ac:dyDescent="0.25">
      <c r="A3874" s="2">
        <v>5772</v>
      </c>
      <c r="B3874" s="2">
        <v>2010</v>
      </c>
      <c r="C3874" s="2" t="s">
        <v>1094</v>
      </c>
      <c r="D3874" s="2" t="s">
        <v>73</v>
      </c>
      <c r="E3874" s="2"/>
      <c r="F3874" s="2">
        <v>2</v>
      </c>
      <c r="G3874" s="2" t="s">
        <v>113</v>
      </c>
      <c r="H3874" s="2">
        <v>50</v>
      </c>
      <c r="I3874" s="2" t="s">
        <v>107</v>
      </c>
      <c r="J3874" s="2">
        <v>300</v>
      </c>
      <c r="K3874" s="2" t="s">
        <v>114</v>
      </c>
      <c r="L3874" s="2" t="s">
        <v>115</v>
      </c>
      <c r="M3874" s="3">
        <v>40442</v>
      </c>
      <c r="N3874" s="2" t="s">
        <v>107</v>
      </c>
      <c r="O3874" s="2"/>
      <c r="P3874" s="2"/>
      <c r="Q3874" s="2" t="str">
        <f>"482-E/10"</f>
        <v>482-E/10</v>
      </c>
      <c r="R3874" s="2" t="s">
        <v>1100</v>
      </c>
      <c r="S3874" s="2"/>
      <c r="T3874" s="2">
        <v>1</v>
      </c>
      <c r="U3874" s="2" t="s">
        <v>79</v>
      </c>
      <c r="V3874" s="2">
        <v>1</v>
      </c>
      <c r="W3874" s="2" t="s">
        <v>80</v>
      </c>
      <c r="X3874" s="2">
        <v>12</v>
      </c>
      <c r="Y3874" s="2" t="s">
        <v>148</v>
      </c>
      <c r="Z3874" s="2">
        <v>1</v>
      </c>
      <c r="AA3874" s="2" t="s">
        <v>82</v>
      </c>
      <c r="AB3874" s="2">
        <v>9</v>
      </c>
      <c r="AC3874" s="2" t="s">
        <v>124</v>
      </c>
      <c r="AD3874" s="3">
        <v>40438</v>
      </c>
      <c r="AE3874" s="4">
        <v>0.70833333333333337</v>
      </c>
      <c r="AF3874" s="3">
        <v>40442</v>
      </c>
      <c r="AG3874" s="4">
        <v>0.54166666666666663</v>
      </c>
      <c r="AH3874" s="2">
        <v>2</v>
      </c>
      <c r="AI3874" s="2" t="s">
        <v>84</v>
      </c>
      <c r="AJ3874" s="2">
        <v>9</v>
      </c>
      <c r="AK3874" s="2" t="s">
        <v>103</v>
      </c>
      <c r="AL3874" s="2">
        <v>24</v>
      </c>
      <c r="AM3874" s="2" t="s">
        <v>1540</v>
      </c>
      <c r="AN3874" s="2" t="s">
        <v>12266</v>
      </c>
      <c r="AO3874" s="2" t="s">
        <v>12267</v>
      </c>
      <c r="AP3874" s="2">
        <v>11</v>
      </c>
      <c r="AQ3874" s="2" t="s">
        <v>82</v>
      </c>
      <c r="AR3874" s="2"/>
      <c r="AS3874" s="2"/>
      <c r="AT3874" s="2" t="s">
        <v>12268</v>
      </c>
      <c r="AU3874" s="2"/>
      <c r="AV3874" s="2"/>
      <c r="AW3874" s="2"/>
      <c r="AX3874" s="2"/>
      <c r="AY3874" s="2">
        <v>41</v>
      </c>
      <c r="AZ3874" s="2" t="s">
        <v>82</v>
      </c>
      <c r="BA3874" s="2">
        <v>41</v>
      </c>
      <c r="BB3874" s="2" t="s">
        <v>82</v>
      </c>
      <c r="BC3874" s="2">
        <v>41</v>
      </c>
      <c r="BD3874" s="2" t="s">
        <v>82</v>
      </c>
      <c r="BE3874" s="2">
        <v>41</v>
      </c>
      <c r="BF3874" s="2" t="s">
        <v>82</v>
      </c>
      <c r="BG3874" s="2"/>
      <c r="BH3874" s="2"/>
      <c r="BI3874" s="2"/>
      <c r="BJ3874" s="2">
        <v>241</v>
      </c>
      <c r="BK3874" s="2" t="s">
        <v>82</v>
      </c>
      <c r="BL3874" s="2"/>
      <c r="BM3874" s="2">
        <v>241</v>
      </c>
      <c r="BN3874" s="2" t="s">
        <v>82</v>
      </c>
      <c r="BO3874" s="2"/>
      <c r="BP3874" s="2">
        <v>241</v>
      </c>
      <c r="BQ3874" s="2" t="s">
        <v>82</v>
      </c>
      <c r="BR3874" s="2"/>
      <c r="BS3874" s="3">
        <v>40442</v>
      </c>
      <c r="BT3874" s="4">
        <v>0.79877314814814815</v>
      </c>
    </row>
    <row r="3875" spans="1:72" x14ac:dyDescent="0.25">
      <c r="A3875" s="2">
        <v>5774</v>
      </c>
      <c r="B3875" s="2">
        <v>2010</v>
      </c>
      <c r="C3875" s="2" t="s">
        <v>171</v>
      </c>
      <c r="D3875" s="2" t="s">
        <v>73</v>
      </c>
      <c r="E3875" s="2"/>
      <c r="F3875" s="2">
        <v>395</v>
      </c>
      <c r="G3875" s="2" t="s">
        <v>1076</v>
      </c>
      <c r="H3875" s="2">
        <v>7</v>
      </c>
      <c r="I3875" s="2" t="s">
        <v>476</v>
      </c>
      <c r="J3875" s="2">
        <v>242</v>
      </c>
      <c r="K3875" s="2" t="s">
        <v>1077</v>
      </c>
      <c r="L3875" s="2" t="s">
        <v>1078</v>
      </c>
      <c r="M3875" s="3">
        <v>40442</v>
      </c>
      <c r="N3875" s="2" t="s">
        <v>1079</v>
      </c>
      <c r="O3875" s="2"/>
      <c r="P3875" s="2"/>
      <c r="Q3875" s="2" t="str">
        <f>"483-E/10"</f>
        <v>483-E/10</v>
      </c>
      <c r="R3875" s="2" t="s">
        <v>391</v>
      </c>
      <c r="S3875" s="2" t="s">
        <v>391</v>
      </c>
      <c r="T3875" s="2">
        <v>1</v>
      </c>
      <c r="U3875" s="2" t="s">
        <v>79</v>
      </c>
      <c r="V3875" s="2">
        <v>1</v>
      </c>
      <c r="W3875" s="2" t="s">
        <v>80</v>
      </c>
      <c r="X3875" s="2">
        <v>1</v>
      </c>
      <c r="Y3875" s="2" t="s">
        <v>81</v>
      </c>
      <c r="Z3875" s="2">
        <v>1</v>
      </c>
      <c r="AA3875" s="2" t="s">
        <v>82</v>
      </c>
      <c r="AB3875" s="2">
        <v>1</v>
      </c>
      <c r="AC3875" s="2" t="s">
        <v>178</v>
      </c>
      <c r="AD3875" s="3">
        <v>40442</v>
      </c>
      <c r="AE3875" s="4">
        <v>0.48958333333333331</v>
      </c>
      <c r="AF3875" s="2"/>
      <c r="AG3875" s="2"/>
      <c r="AH3875" s="2">
        <v>2</v>
      </c>
      <c r="AI3875" s="2" t="s">
        <v>84</v>
      </c>
      <c r="AJ3875" s="2">
        <v>9</v>
      </c>
      <c r="AK3875" s="2" t="s">
        <v>103</v>
      </c>
      <c r="AL3875" s="2">
        <v>25</v>
      </c>
      <c r="AM3875" s="2" t="s">
        <v>3073</v>
      </c>
      <c r="AN3875" s="2" t="s">
        <v>179</v>
      </c>
      <c r="AO3875" s="2" t="s">
        <v>987</v>
      </c>
      <c r="AP3875" s="2">
        <v>11</v>
      </c>
      <c r="AQ3875" s="2" t="s">
        <v>82</v>
      </c>
      <c r="AR3875" s="2"/>
      <c r="AS3875" s="2"/>
      <c r="AT3875" s="2" t="s">
        <v>12269</v>
      </c>
      <c r="AU3875" s="2"/>
      <c r="AV3875" s="2">
        <v>1</v>
      </c>
      <c r="AW3875" s="2"/>
      <c r="AX3875" s="2"/>
      <c r="AY3875" s="2">
        <v>41</v>
      </c>
      <c r="AZ3875" s="2" t="s">
        <v>82</v>
      </c>
      <c r="BA3875" s="2">
        <v>41</v>
      </c>
      <c r="BB3875" s="2" t="s">
        <v>82</v>
      </c>
      <c r="BC3875" s="2">
        <v>41</v>
      </c>
      <c r="BD3875" s="2" t="s">
        <v>82</v>
      </c>
      <c r="BE3875" s="2">
        <v>27</v>
      </c>
      <c r="BF3875" s="2" t="s">
        <v>2197</v>
      </c>
      <c r="BG3875" s="2" t="s">
        <v>8204</v>
      </c>
      <c r="BH3875" s="4">
        <v>4.1666666666666664E-2</v>
      </c>
      <c r="BI3875" s="4">
        <v>0.50694444444444442</v>
      </c>
      <c r="BJ3875" s="2">
        <v>13</v>
      </c>
      <c r="BK3875" s="2" t="s">
        <v>91</v>
      </c>
      <c r="BL3875" s="2" t="s">
        <v>360</v>
      </c>
      <c r="BM3875" s="2">
        <v>112</v>
      </c>
      <c r="BN3875" s="2" t="s">
        <v>110</v>
      </c>
      <c r="BO3875" s="2"/>
      <c r="BP3875" s="2">
        <v>112</v>
      </c>
      <c r="BQ3875" s="2" t="s">
        <v>110</v>
      </c>
      <c r="BR3875" s="2" t="s">
        <v>111</v>
      </c>
      <c r="BS3875" s="3">
        <v>40442</v>
      </c>
      <c r="BT3875" s="4">
        <v>0.83181712962962961</v>
      </c>
    </row>
    <row r="3876" spans="1:72" x14ac:dyDescent="0.25">
      <c r="A3876" s="2">
        <v>5775</v>
      </c>
      <c r="B3876" s="2">
        <v>2010</v>
      </c>
      <c r="C3876" s="2" t="s">
        <v>72</v>
      </c>
      <c r="D3876" s="2" t="s">
        <v>73</v>
      </c>
      <c r="E3876" s="2"/>
      <c r="F3876" s="2">
        <v>219</v>
      </c>
      <c r="G3876" s="2" t="s">
        <v>2325</v>
      </c>
      <c r="H3876" s="2">
        <v>22</v>
      </c>
      <c r="I3876" s="2" t="s">
        <v>75</v>
      </c>
      <c r="J3876" s="2">
        <v>665</v>
      </c>
      <c r="K3876" s="2" t="s">
        <v>12146</v>
      </c>
      <c r="L3876" s="2" t="s">
        <v>12147</v>
      </c>
      <c r="M3876" s="3">
        <v>40442</v>
      </c>
      <c r="N3876" s="2" t="s">
        <v>12270</v>
      </c>
      <c r="O3876" s="2"/>
      <c r="P3876" s="2"/>
      <c r="Q3876" s="2" t="str">
        <f>"378-A/10"</f>
        <v>378-A/10</v>
      </c>
      <c r="R3876" s="2" t="s">
        <v>1547</v>
      </c>
      <c r="S3876" s="2" t="s">
        <v>1547</v>
      </c>
      <c r="T3876" s="2">
        <v>1</v>
      </c>
      <c r="U3876" s="2" t="s">
        <v>79</v>
      </c>
      <c r="V3876" s="2">
        <v>1</v>
      </c>
      <c r="W3876" s="2" t="s">
        <v>80</v>
      </c>
      <c r="X3876" s="2">
        <v>1</v>
      </c>
      <c r="Y3876" s="2" t="s">
        <v>81</v>
      </c>
      <c r="Z3876" s="2">
        <v>1</v>
      </c>
      <c r="AA3876" s="2" t="s">
        <v>82</v>
      </c>
      <c r="AB3876" s="2">
        <v>6</v>
      </c>
      <c r="AC3876" s="2" t="s">
        <v>83</v>
      </c>
      <c r="AD3876" s="3">
        <v>40442</v>
      </c>
      <c r="AE3876" s="4">
        <v>0.65625</v>
      </c>
      <c r="AF3876" s="3">
        <v>40442</v>
      </c>
      <c r="AG3876" s="4">
        <v>0.69444444444444453</v>
      </c>
      <c r="AH3876" s="2">
        <v>2</v>
      </c>
      <c r="AI3876" s="2" t="s">
        <v>84</v>
      </c>
      <c r="AJ3876" s="2">
        <v>12</v>
      </c>
      <c r="AK3876" s="2" t="s">
        <v>85</v>
      </c>
      <c r="AL3876" s="2">
        <v>22</v>
      </c>
      <c r="AM3876" s="2" t="s">
        <v>1853</v>
      </c>
      <c r="AN3876" s="2" t="s">
        <v>3056</v>
      </c>
      <c r="AO3876" s="2" t="s">
        <v>12271</v>
      </c>
      <c r="AP3876" s="2">
        <v>11</v>
      </c>
      <c r="AQ3876" s="2" t="s">
        <v>82</v>
      </c>
      <c r="AR3876" s="2"/>
      <c r="AS3876" s="2"/>
      <c r="AT3876" s="2" t="s">
        <v>12272</v>
      </c>
      <c r="AU3876" s="2"/>
      <c r="AV3876" s="2"/>
      <c r="AW3876" s="2"/>
      <c r="AX3876" s="2"/>
      <c r="AY3876" s="2">
        <v>41</v>
      </c>
      <c r="AZ3876" s="2" t="s">
        <v>82</v>
      </c>
      <c r="BA3876" s="2">
        <v>41</v>
      </c>
      <c r="BB3876" s="2" t="s">
        <v>82</v>
      </c>
      <c r="BC3876" s="2">
        <v>41</v>
      </c>
      <c r="BD3876" s="2" t="s">
        <v>82</v>
      </c>
      <c r="BE3876" s="2">
        <v>4</v>
      </c>
      <c r="BF3876" s="2" t="s">
        <v>90</v>
      </c>
      <c r="BG3876" s="2" t="s">
        <v>12273</v>
      </c>
      <c r="BH3876" s="4">
        <v>0.61805555555555558</v>
      </c>
      <c r="BI3876" s="4">
        <v>0.50694444444444442</v>
      </c>
      <c r="BJ3876" s="2">
        <v>13</v>
      </c>
      <c r="BK3876" s="2" t="s">
        <v>91</v>
      </c>
      <c r="BL3876" s="2" t="s">
        <v>204</v>
      </c>
      <c r="BM3876" s="2">
        <v>13</v>
      </c>
      <c r="BN3876" s="2" t="s">
        <v>91</v>
      </c>
      <c r="BO3876" s="2"/>
      <c r="BP3876" s="2">
        <v>13</v>
      </c>
      <c r="BQ3876" s="2" t="s">
        <v>91</v>
      </c>
      <c r="BR3876" s="2" t="s">
        <v>564</v>
      </c>
      <c r="BS3876" s="3">
        <v>40442</v>
      </c>
      <c r="BT3876" s="4">
        <v>0.84271990740740732</v>
      </c>
    </row>
    <row r="3877" spans="1:72" x14ac:dyDescent="0.25">
      <c r="A3877" s="2">
        <v>5776</v>
      </c>
      <c r="B3877" s="2">
        <v>2010</v>
      </c>
      <c r="C3877" s="2" t="s">
        <v>4543</v>
      </c>
      <c r="D3877" s="2" t="s">
        <v>122</v>
      </c>
      <c r="E3877" s="2"/>
      <c r="F3877" s="2">
        <v>1</v>
      </c>
      <c r="G3877" s="2" t="s">
        <v>82</v>
      </c>
      <c r="H3877" s="2">
        <v>1</v>
      </c>
      <c r="I3877" s="2" t="s">
        <v>82</v>
      </c>
      <c r="J3877" s="2">
        <v>1</v>
      </c>
      <c r="K3877" s="2" t="s">
        <v>107</v>
      </c>
      <c r="L3877" s="2" t="s">
        <v>107</v>
      </c>
      <c r="M3877" s="3">
        <v>40443</v>
      </c>
      <c r="N3877" s="2"/>
      <c r="O3877" s="2"/>
      <c r="P3877" s="2"/>
      <c r="Q3877" s="2" t="str">
        <f>""</f>
        <v/>
      </c>
      <c r="R3877" s="2"/>
      <c r="S3877" s="2"/>
      <c r="T3877" s="2">
        <v>2</v>
      </c>
      <c r="U3877" s="2" t="s">
        <v>123</v>
      </c>
      <c r="V3877" s="2">
        <v>1</v>
      </c>
      <c r="W3877" s="2" t="s">
        <v>80</v>
      </c>
      <c r="X3877" s="2">
        <v>11</v>
      </c>
      <c r="Y3877" s="2" t="s">
        <v>1920</v>
      </c>
      <c r="Z3877" s="2">
        <v>1</v>
      </c>
      <c r="AA3877" s="2" t="s">
        <v>82</v>
      </c>
      <c r="AB3877" s="2">
        <v>9</v>
      </c>
      <c r="AC3877" s="2" t="s">
        <v>124</v>
      </c>
      <c r="AD3877" s="3">
        <v>40443</v>
      </c>
      <c r="AE3877" s="4">
        <v>0.12847222222222224</v>
      </c>
      <c r="AF3877" s="2"/>
      <c r="AG3877" s="2"/>
      <c r="AH3877" s="2">
        <v>6</v>
      </c>
      <c r="AI3877" s="2" t="s">
        <v>197</v>
      </c>
      <c r="AJ3877" s="2">
        <v>54</v>
      </c>
      <c r="AK3877" s="2" t="s">
        <v>348</v>
      </c>
      <c r="AL3877" s="2">
        <v>19</v>
      </c>
      <c r="AM3877" s="2" t="s">
        <v>107</v>
      </c>
      <c r="AN3877" s="2" t="s">
        <v>595</v>
      </c>
      <c r="AO3877" s="2" t="s">
        <v>200</v>
      </c>
      <c r="AP3877" s="2">
        <v>14</v>
      </c>
      <c r="AQ3877" s="2" t="s">
        <v>3301</v>
      </c>
      <c r="AR3877" s="2" t="s">
        <v>596</v>
      </c>
      <c r="AS3877" s="2" t="s">
        <v>596</v>
      </c>
      <c r="AT3877" s="2" t="s">
        <v>12274</v>
      </c>
      <c r="AU3877" s="2"/>
      <c r="AV3877" s="2"/>
      <c r="AW3877" s="2"/>
      <c r="AX3877" s="2"/>
      <c r="AY3877" s="2">
        <v>41</v>
      </c>
      <c r="AZ3877" s="2" t="s">
        <v>82</v>
      </c>
      <c r="BA3877" s="2">
        <v>41</v>
      </c>
      <c r="BB3877" s="2" t="s">
        <v>82</v>
      </c>
      <c r="BC3877" s="2">
        <v>41</v>
      </c>
      <c r="BD3877" s="2" t="s">
        <v>82</v>
      </c>
      <c r="BE3877" s="2">
        <v>4</v>
      </c>
      <c r="BF3877" s="2" t="s">
        <v>90</v>
      </c>
      <c r="BG3877" s="2" t="s">
        <v>598</v>
      </c>
      <c r="BH3877" s="4">
        <v>5.9027777777777783E-2</v>
      </c>
      <c r="BI3877" s="4">
        <v>0.12430555555555556</v>
      </c>
      <c r="BJ3877" s="2">
        <v>13</v>
      </c>
      <c r="BK3877" s="2" t="s">
        <v>91</v>
      </c>
      <c r="BL3877" s="2" t="s">
        <v>12275</v>
      </c>
      <c r="BM3877" s="2">
        <v>13</v>
      </c>
      <c r="BN3877" s="2" t="s">
        <v>91</v>
      </c>
      <c r="BO3877" s="2"/>
      <c r="BP3877" s="2">
        <v>13</v>
      </c>
      <c r="BQ3877" s="2" t="s">
        <v>91</v>
      </c>
      <c r="BR3877" s="2" t="s">
        <v>2168</v>
      </c>
      <c r="BS3877" s="3">
        <v>40443</v>
      </c>
      <c r="BT3877" s="4">
        <v>0.33246527777777779</v>
      </c>
    </row>
    <row r="3878" spans="1:72" x14ac:dyDescent="0.25">
      <c r="A3878" s="2">
        <v>5785</v>
      </c>
      <c r="B3878" s="2">
        <v>2010</v>
      </c>
      <c r="C3878" s="2" t="s">
        <v>806</v>
      </c>
      <c r="D3878" s="2" t="s">
        <v>122</v>
      </c>
      <c r="E3878" s="2"/>
      <c r="F3878" s="2">
        <v>54</v>
      </c>
      <c r="G3878" s="2" t="s">
        <v>2963</v>
      </c>
      <c r="H3878" s="2">
        <v>57</v>
      </c>
      <c r="I3878" s="2" t="s">
        <v>3043</v>
      </c>
      <c r="J3878" s="2">
        <v>516</v>
      </c>
      <c r="K3878" s="2" t="s">
        <v>5138</v>
      </c>
      <c r="L3878" s="2" t="s">
        <v>5139</v>
      </c>
      <c r="M3878" s="3">
        <v>40443</v>
      </c>
      <c r="N3878" s="2" t="s">
        <v>12276</v>
      </c>
      <c r="O3878" s="2" t="s">
        <v>11584</v>
      </c>
      <c r="P3878" s="2" t="s">
        <v>12277</v>
      </c>
      <c r="Q3878" s="2" t="str">
        <f>""</f>
        <v/>
      </c>
      <c r="R3878" s="2"/>
      <c r="S3878" s="2"/>
      <c r="T3878" s="2">
        <v>1</v>
      </c>
      <c r="U3878" s="2" t="s">
        <v>79</v>
      </c>
      <c r="V3878" s="2">
        <v>1</v>
      </c>
      <c r="W3878" s="2" t="s">
        <v>80</v>
      </c>
      <c r="X3878" s="2">
        <v>7</v>
      </c>
      <c r="Y3878" s="2" t="s">
        <v>1964</v>
      </c>
      <c r="Z3878" s="2">
        <v>1</v>
      </c>
      <c r="AA3878" s="2" t="s">
        <v>82</v>
      </c>
      <c r="AB3878" s="2">
        <v>9</v>
      </c>
      <c r="AC3878" s="2" t="s">
        <v>124</v>
      </c>
      <c r="AD3878" s="3">
        <v>40443</v>
      </c>
      <c r="AE3878" s="4">
        <v>0.76458333333333339</v>
      </c>
      <c r="AF3878" s="2"/>
      <c r="AG3878" s="2"/>
      <c r="AH3878" s="2">
        <v>4</v>
      </c>
      <c r="AI3878" s="2" t="s">
        <v>125</v>
      </c>
      <c r="AJ3878" s="2">
        <v>25</v>
      </c>
      <c r="AK3878" s="2" t="s">
        <v>125</v>
      </c>
      <c r="AL3878" s="2">
        <v>23</v>
      </c>
      <c r="AM3878" s="2" t="s">
        <v>251</v>
      </c>
      <c r="AN3878" s="2" t="s">
        <v>12278</v>
      </c>
      <c r="AO3878" s="2" t="s">
        <v>12279</v>
      </c>
      <c r="AP3878" s="2">
        <v>11</v>
      </c>
      <c r="AQ3878" s="2" t="s">
        <v>82</v>
      </c>
      <c r="AR3878" s="2"/>
      <c r="AS3878" s="2"/>
      <c r="AT3878" s="2" t="s">
        <v>12280</v>
      </c>
      <c r="AU3878" s="2">
        <v>1</v>
      </c>
      <c r="AV3878" s="2"/>
      <c r="AW3878" s="2"/>
      <c r="AX3878" s="2"/>
      <c r="AY3878" s="2">
        <v>41</v>
      </c>
      <c r="AZ3878" s="2" t="s">
        <v>82</v>
      </c>
      <c r="BA3878" s="2">
        <v>41</v>
      </c>
      <c r="BB3878" s="2" t="s">
        <v>82</v>
      </c>
      <c r="BC3878" s="2">
        <v>41</v>
      </c>
      <c r="BD3878" s="2" t="s">
        <v>82</v>
      </c>
      <c r="BE3878" s="2">
        <v>41</v>
      </c>
      <c r="BF3878" s="2" t="s">
        <v>82</v>
      </c>
      <c r="BG3878" s="2"/>
      <c r="BH3878" s="2"/>
      <c r="BI3878" s="2"/>
      <c r="BJ3878" s="2">
        <v>241</v>
      </c>
      <c r="BK3878" s="2" t="s">
        <v>82</v>
      </c>
      <c r="BL3878" s="2"/>
      <c r="BM3878" s="2">
        <v>241</v>
      </c>
      <c r="BN3878" s="2" t="s">
        <v>82</v>
      </c>
      <c r="BO3878" s="2"/>
      <c r="BP3878" s="2">
        <v>241</v>
      </c>
      <c r="BQ3878" s="2" t="s">
        <v>82</v>
      </c>
      <c r="BR3878" s="2"/>
      <c r="BS3878" s="3">
        <v>40443</v>
      </c>
      <c r="BT3878" s="4">
        <v>0.7402777777777777</v>
      </c>
    </row>
    <row r="3879" spans="1:72" x14ac:dyDescent="0.25">
      <c r="A3879" s="2">
        <v>5786</v>
      </c>
      <c r="B3879" s="2">
        <v>2010</v>
      </c>
      <c r="C3879" s="2" t="s">
        <v>8688</v>
      </c>
      <c r="D3879" s="2" t="s">
        <v>122</v>
      </c>
      <c r="E3879" s="2"/>
      <c r="F3879" s="2">
        <v>573</v>
      </c>
      <c r="G3879" s="2" t="s">
        <v>4703</v>
      </c>
      <c r="H3879" s="2">
        <v>86</v>
      </c>
      <c r="I3879" s="2" t="s">
        <v>4704</v>
      </c>
      <c r="J3879" s="2">
        <v>221</v>
      </c>
      <c r="K3879" s="2" t="s">
        <v>4705</v>
      </c>
      <c r="L3879" s="2" t="s">
        <v>4706</v>
      </c>
      <c r="M3879" s="3">
        <v>40443</v>
      </c>
      <c r="N3879" s="2" t="s">
        <v>12281</v>
      </c>
      <c r="O3879" s="2" t="s">
        <v>6171</v>
      </c>
      <c r="P3879" s="2" t="s">
        <v>4709</v>
      </c>
      <c r="Q3879" s="2" t="str">
        <f>""</f>
        <v/>
      </c>
      <c r="R3879" s="2"/>
      <c r="S3879" s="2"/>
      <c r="T3879" s="2">
        <v>1</v>
      </c>
      <c r="U3879" s="2" t="s">
        <v>79</v>
      </c>
      <c r="V3879" s="2">
        <v>1</v>
      </c>
      <c r="W3879" s="2" t="s">
        <v>80</v>
      </c>
      <c r="X3879" s="2">
        <v>8</v>
      </c>
      <c r="Y3879" s="2" t="s">
        <v>375</v>
      </c>
      <c r="Z3879" s="2">
        <v>10</v>
      </c>
      <c r="AA3879" s="2" t="s">
        <v>236</v>
      </c>
      <c r="AB3879" s="2">
        <v>9</v>
      </c>
      <c r="AC3879" s="2" t="s">
        <v>124</v>
      </c>
      <c r="AD3879" s="3">
        <v>40443</v>
      </c>
      <c r="AE3879" s="4">
        <v>0.6875</v>
      </c>
      <c r="AF3879" s="2"/>
      <c r="AG3879" s="2"/>
      <c r="AH3879" s="2">
        <v>2</v>
      </c>
      <c r="AI3879" s="2" t="s">
        <v>84</v>
      </c>
      <c r="AJ3879" s="2">
        <v>6</v>
      </c>
      <c r="AK3879" s="2" t="s">
        <v>453</v>
      </c>
      <c r="AL3879" s="2">
        <v>23</v>
      </c>
      <c r="AM3879" s="2" t="s">
        <v>251</v>
      </c>
      <c r="AN3879" s="2" t="s">
        <v>12282</v>
      </c>
      <c r="AO3879" s="2" t="s">
        <v>9894</v>
      </c>
      <c r="AP3879" s="2">
        <v>11</v>
      </c>
      <c r="AQ3879" s="2" t="s">
        <v>82</v>
      </c>
      <c r="AR3879" s="2"/>
      <c r="AS3879" s="2"/>
      <c r="AT3879" s="2" t="s">
        <v>12283</v>
      </c>
      <c r="AU3879" s="2"/>
      <c r="AV3879" s="2"/>
      <c r="AW3879" s="2"/>
      <c r="AX3879" s="2"/>
      <c r="AY3879" s="2">
        <v>41</v>
      </c>
      <c r="AZ3879" s="2" t="s">
        <v>82</v>
      </c>
      <c r="BA3879" s="2">
        <v>41</v>
      </c>
      <c r="BB3879" s="2" t="s">
        <v>82</v>
      </c>
      <c r="BC3879" s="2">
        <v>41</v>
      </c>
      <c r="BD3879" s="2" t="s">
        <v>82</v>
      </c>
      <c r="BE3879" s="2">
        <v>41</v>
      </c>
      <c r="BF3879" s="2" t="s">
        <v>82</v>
      </c>
      <c r="BG3879" s="2"/>
      <c r="BH3879" s="2"/>
      <c r="BI3879" s="2"/>
      <c r="BJ3879" s="2">
        <v>241</v>
      </c>
      <c r="BK3879" s="2" t="s">
        <v>82</v>
      </c>
      <c r="BL3879" s="2"/>
      <c r="BM3879" s="2">
        <v>241</v>
      </c>
      <c r="BN3879" s="2" t="s">
        <v>82</v>
      </c>
      <c r="BO3879" s="2"/>
      <c r="BP3879" s="2">
        <v>241</v>
      </c>
      <c r="BQ3879" s="2" t="s">
        <v>82</v>
      </c>
      <c r="BR3879" s="2"/>
      <c r="BS3879" s="3">
        <v>40443</v>
      </c>
      <c r="BT3879" s="4">
        <v>0.75454861111111116</v>
      </c>
    </row>
    <row r="3880" spans="1:72" x14ac:dyDescent="0.25">
      <c r="A3880" s="2">
        <v>5790</v>
      </c>
      <c r="B3880" s="2">
        <v>2010</v>
      </c>
      <c r="C3880" s="2" t="s">
        <v>72</v>
      </c>
      <c r="D3880" s="2" t="s">
        <v>73</v>
      </c>
      <c r="E3880" s="2"/>
      <c r="F3880" s="2">
        <v>573</v>
      </c>
      <c r="G3880" s="2" t="s">
        <v>4703</v>
      </c>
      <c r="H3880" s="2">
        <v>86</v>
      </c>
      <c r="I3880" s="2" t="s">
        <v>4704</v>
      </c>
      <c r="J3880" s="2">
        <v>224</v>
      </c>
      <c r="K3880" s="2" t="s">
        <v>4705</v>
      </c>
      <c r="L3880" s="2" t="s">
        <v>4706</v>
      </c>
      <c r="M3880" s="3">
        <v>40443</v>
      </c>
      <c r="N3880" s="2" t="s">
        <v>12281</v>
      </c>
      <c r="O3880" s="2" t="s">
        <v>6171</v>
      </c>
      <c r="P3880" s="2" t="s">
        <v>4709</v>
      </c>
      <c r="Q3880" s="2" t="str">
        <f>""</f>
        <v/>
      </c>
      <c r="R3880" s="2"/>
      <c r="S3880" s="2"/>
      <c r="T3880" s="2">
        <v>1</v>
      </c>
      <c r="U3880" s="2" t="s">
        <v>79</v>
      </c>
      <c r="V3880" s="2">
        <v>1</v>
      </c>
      <c r="W3880" s="2" t="s">
        <v>80</v>
      </c>
      <c r="X3880" s="2">
        <v>8</v>
      </c>
      <c r="Y3880" s="2" t="s">
        <v>375</v>
      </c>
      <c r="Z3880" s="2">
        <v>1</v>
      </c>
      <c r="AA3880" s="2" t="s">
        <v>82</v>
      </c>
      <c r="AB3880" s="2">
        <v>6</v>
      </c>
      <c r="AC3880" s="2" t="s">
        <v>83</v>
      </c>
      <c r="AD3880" s="3">
        <v>40443</v>
      </c>
      <c r="AE3880" s="4">
        <v>0.68055555555555547</v>
      </c>
      <c r="AF3880" s="2"/>
      <c r="AG3880" s="2"/>
      <c r="AH3880" s="2">
        <v>2</v>
      </c>
      <c r="AI3880" s="2" t="s">
        <v>84</v>
      </c>
      <c r="AJ3880" s="2">
        <v>6</v>
      </c>
      <c r="AK3880" s="2" t="s">
        <v>453</v>
      </c>
      <c r="AL3880" s="2">
        <v>23</v>
      </c>
      <c r="AM3880" s="2" t="s">
        <v>251</v>
      </c>
      <c r="AN3880" s="2"/>
      <c r="AO3880" s="2" t="s">
        <v>12284</v>
      </c>
      <c r="AP3880" s="2">
        <v>11</v>
      </c>
      <c r="AQ3880" s="2" t="s">
        <v>82</v>
      </c>
      <c r="AR3880" s="2"/>
      <c r="AS3880" s="2"/>
      <c r="AT3880" s="2" t="s">
        <v>12285</v>
      </c>
      <c r="AU3880" s="2"/>
      <c r="AV3880" s="2"/>
      <c r="AW3880" s="2"/>
      <c r="AX3880" s="2"/>
      <c r="AY3880" s="2">
        <v>41</v>
      </c>
      <c r="AZ3880" s="2" t="s">
        <v>82</v>
      </c>
      <c r="BA3880" s="2">
        <v>41</v>
      </c>
      <c r="BB3880" s="2" t="s">
        <v>82</v>
      </c>
      <c r="BC3880" s="2">
        <v>41</v>
      </c>
      <c r="BD3880" s="2" t="s">
        <v>82</v>
      </c>
      <c r="BE3880" s="2">
        <v>41</v>
      </c>
      <c r="BF3880" s="2" t="s">
        <v>82</v>
      </c>
      <c r="BG3880" s="2"/>
      <c r="BH3880" s="2"/>
      <c r="BI3880" s="2"/>
      <c r="BJ3880" s="2">
        <v>241</v>
      </c>
      <c r="BK3880" s="2" t="s">
        <v>82</v>
      </c>
      <c r="BL3880" s="2"/>
      <c r="BM3880" s="2">
        <v>241</v>
      </c>
      <c r="BN3880" s="2" t="s">
        <v>82</v>
      </c>
      <c r="BO3880" s="2"/>
      <c r="BP3880" s="2">
        <v>241</v>
      </c>
      <c r="BQ3880" s="2" t="s">
        <v>82</v>
      </c>
      <c r="BR3880" s="2"/>
      <c r="BS3880" s="3">
        <v>40443</v>
      </c>
      <c r="BT3880" s="4">
        <v>0.84887731481481488</v>
      </c>
    </row>
    <row r="3881" spans="1:72" x14ac:dyDescent="0.25">
      <c r="A3881" s="2">
        <v>5792</v>
      </c>
      <c r="B3881" s="2">
        <v>2010</v>
      </c>
      <c r="C3881" s="2" t="s">
        <v>196</v>
      </c>
      <c r="D3881" s="2" t="s">
        <v>122</v>
      </c>
      <c r="E3881" s="2"/>
      <c r="F3881" s="2">
        <v>1</v>
      </c>
      <c r="G3881" s="2" t="s">
        <v>82</v>
      </c>
      <c r="H3881" s="2">
        <v>1</v>
      </c>
      <c r="I3881" s="2" t="s">
        <v>82</v>
      </c>
      <c r="J3881" s="2">
        <v>1</v>
      </c>
      <c r="K3881" s="2" t="s">
        <v>107</v>
      </c>
      <c r="L3881" s="2" t="s">
        <v>107</v>
      </c>
      <c r="M3881" s="3">
        <v>40443</v>
      </c>
      <c r="N3881" s="2"/>
      <c r="O3881" s="2"/>
      <c r="P3881" s="2"/>
      <c r="Q3881" s="2" t="str">
        <f>""</f>
        <v/>
      </c>
      <c r="R3881" s="2"/>
      <c r="S3881" s="2"/>
      <c r="T3881" s="2">
        <v>2</v>
      </c>
      <c r="U3881" s="2" t="s">
        <v>123</v>
      </c>
      <c r="V3881" s="2">
        <v>1</v>
      </c>
      <c r="W3881" s="2" t="s">
        <v>80</v>
      </c>
      <c r="X3881" s="2">
        <v>11</v>
      </c>
      <c r="Y3881" s="2" t="s">
        <v>1920</v>
      </c>
      <c r="Z3881" s="2">
        <v>10</v>
      </c>
      <c r="AA3881" s="2" t="s">
        <v>236</v>
      </c>
      <c r="AB3881" s="2">
        <v>9</v>
      </c>
      <c r="AC3881" s="2" t="s">
        <v>124</v>
      </c>
      <c r="AD3881" s="3">
        <v>40443</v>
      </c>
      <c r="AE3881" s="4">
        <v>0.75</v>
      </c>
      <c r="AF3881" s="2"/>
      <c r="AG3881" s="2"/>
      <c r="AH3881" s="2">
        <v>2</v>
      </c>
      <c r="AI3881" s="2" t="s">
        <v>84</v>
      </c>
      <c r="AJ3881" s="2">
        <v>12</v>
      </c>
      <c r="AK3881" s="2" t="s">
        <v>85</v>
      </c>
      <c r="AL3881" s="2">
        <v>20</v>
      </c>
      <c r="AM3881" s="2" t="s">
        <v>992</v>
      </c>
      <c r="AN3881" s="2"/>
      <c r="AO3881" s="2"/>
      <c r="AP3881" s="2">
        <v>11</v>
      </c>
      <c r="AQ3881" s="2" t="s">
        <v>82</v>
      </c>
      <c r="AR3881" s="2"/>
      <c r="AS3881" s="2"/>
      <c r="AT3881" s="2" t="s">
        <v>12286</v>
      </c>
      <c r="AU3881" s="2"/>
      <c r="AV3881" s="2"/>
      <c r="AW3881" s="2"/>
      <c r="AX3881" s="2"/>
      <c r="AY3881" s="2">
        <v>41</v>
      </c>
      <c r="AZ3881" s="2" t="s">
        <v>82</v>
      </c>
      <c r="BA3881" s="2">
        <v>41</v>
      </c>
      <c r="BB3881" s="2" t="s">
        <v>82</v>
      </c>
      <c r="BC3881" s="2">
        <v>41</v>
      </c>
      <c r="BD3881" s="2" t="s">
        <v>82</v>
      </c>
      <c r="BE3881" s="2">
        <v>41</v>
      </c>
      <c r="BF3881" s="2" t="s">
        <v>82</v>
      </c>
      <c r="BG3881" s="2"/>
      <c r="BH3881" s="2"/>
      <c r="BI3881" s="2"/>
      <c r="BJ3881" s="2">
        <v>241</v>
      </c>
      <c r="BK3881" s="2" t="s">
        <v>82</v>
      </c>
      <c r="BL3881" s="2"/>
      <c r="BM3881" s="2">
        <v>241</v>
      </c>
      <c r="BN3881" s="2" t="s">
        <v>82</v>
      </c>
      <c r="BO3881" s="2"/>
      <c r="BP3881" s="2">
        <v>241</v>
      </c>
      <c r="BQ3881" s="2" t="s">
        <v>82</v>
      </c>
      <c r="BR3881" s="2"/>
      <c r="BS3881" s="3">
        <v>40443</v>
      </c>
      <c r="BT3881" s="4">
        <v>0.87171296296296286</v>
      </c>
    </row>
    <row r="3882" spans="1:72" x14ac:dyDescent="0.25">
      <c r="A3882" s="2">
        <v>5794</v>
      </c>
      <c r="B3882" s="2">
        <v>2010</v>
      </c>
      <c r="C3882" s="2" t="s">
        <v>385</v>
      </c>
      <c r="D3882" s="2" t="s">
        <v>122</v>
      </c>
      <c r="E3882" s="2" t="s">
        <v>12287</v>
      </c>
      <c r="F3882" s="2">
        <v>395</v>
      </c>
      <c r="G3882" s="2" t="s">
        <v>1076</v>
      </c>
      <c r="H3882" s="2">
        <v>7</v>
      </c>
      <c r="I3882" s="2" t="s">
        <v>476</v>
      </c>
      <c r="J3882" s="2">
        <v>242</v>
      </c>
      <c r="K3882" s="2" t="s">
        <v>1077</v>
      </c>
      <c r="L3882" s="2" t="s">
        <v>1078</v>
      </c>
      <c r="M3882" s="3">
        <v>40443</v>
      </c>
      <c r="N3882" s="2" t="s">
        <v>1079</v>
      </c>
      <c r="O3882" s="2"/>
      <c r="P3882" s="2"/>
      <c r="Q3882" s="2" t="str">
        <f>"483-E/10"</f>
        <v>483-E/10</v>
      </c>
      <c r="R3882" s="2" t="s">
        <v>3768</v>
      </c>
      <c r="S3882" s="2"/>
      <c r="T3882" s="2">
        <v>1</v>
      </c>
      <c r="U3882" s="2" t="s">
        <v>79</v>
      </c>
      <c r="V3882" s="2">
        <v>1</v>
      </c>
      <c r="W3882" s="2" t="s">
        <v>80</v>
      </c>
      <c r="X3882" s="2">
        <v>11</v>
      </c>
      <c r="Y3882" s="2" t="s">
        <v>1920</v>
      </c>
      <c r="Z3882" s="2">
        <v>10</v>
      </c>
      <c r="AA3882" s="2" t="s">
        <v>236</v>
      </c>
      <c r="AB3882" s="2">
        <v>9</v>
      </c>
      <c r="AC3882" s="2" t="s">
        <v>124</v>
      </c>
      <c r="AD3882" s="3">
        <v>40443</v>
      </c>
      <c r="AE3882" s="4">
        <v>0.79166666666666663</v>
      </c>
      <c r="AF3882" s="2"/>
      <c r="AG3882" s="2"/>
      <c r="AH3882" s="2">
        <v>2</v>
      </c>
      <c r="AI3882" s="2" t="s">
        <v>84</v>
      </c>
      <c r="AJ3882" s="2">
        <v>9</v>
      </c>
      <c r="AK3882" s="2" t="s">
        <v>103</v>
      </c>
      <c r="AL3882" s="2">
        <v>14</v>
      </c>
      <c r="AM3882" s="2" t="s">
        <v>216</v>
      </c>
      <c r="AN3882" s="2" t="s">
        <v>179</v>
      </c>
      <c r="AO3882" s="2"/>
      <c r="AP3882" s="2">
        <v>11</v>
      </c>
      <c r="AQ3882" s="2" t="s">
        <v>82</v>
      </c>
      <c r="AR3882" s="2"/>
      <c r="AS3882" s="2"/>
      <c r="AT3882" s="2" t="s">
        <v>12288</v>
      </c>
      <c r="AU3882" s="2"/>
      <c r="AV3882" s="2">
        <v>1</v>
      </c>
      <c r="AW3882" s="2"/>
      <c r="AX3882" s="2"/>
      <c r="AY3882" s="2">
        <v>41</v>
      </c>
      <c r="AZ3882" s="2" t="s">
        <v>82</v>
      </c>
      <c r="BA3882" s="2">
        <v>41</v>
      </c>
      <c r="BB3882" s="2" t="s">
        <v>82</v>
      </c>
      <c r="BC3882" s="2">
        <v>41</v>
      </c>
      <c r="BD3882" s="2" t="s">
        <v>82</v>
      </c>
      <c r="BE3882" s="2">
        <v>27</v>
      </c>
      <c r="BF3882" s="2" t="s">
        <v>2197</v>
      </c>
      <c r="BG3882" s="2" t="s">
        <v>8204</v>
      </c>
      <c r="BH3882" s="4">
        <v>4.1666666666666664E-2</v>
      </c>
      <c r="BI3882" s="4">
        <v>0.50694444444444442</v>
      </c>
      <c r="BJ3882" s="2">
        <v>13</v>
      </c>
      <c r="BK3882" s="2" t="s">
        <v>91</v>
      </c>
      <c r="BL3882" s="2" t="s">
        <v>185</v>
      </c>
      <c r="BM3882" s="2">
        <v>112</v>
      </c>
      <c r="BN3882" s="2" t="s">
        <v>110</v>
      </c>
      <c r="BO3882" s="2"/>
      <c r="BP3882" s="2">
        <v>112</v>
      </c>
      <c r="BQ3882" s="2" t="s">
        <v>110</v>
      </c>
      <c r="BR3882" s="2" t="s">
        <v>111</v>
      </c>
      <c r="BS3882" s="3">
        <v>40443</v>
      </c>
      <c r="BT3882" s="4">
        <v>0.88605324074074077</v>
      </c>
    </row>
    <row r="3883" spans="1:72" x14ac:dyDescent="0.25">
      <c r="A3883" s="2">
        <v>5795</v>
      </c>
      <c r="B3883" s="2">
        <v>2010</v>
      </c>
      <c r="C3883" s="2" t="s">
        <v>806</v>
      </c>
      <c r="D3883" s="2" t="s">
        <v>73</v>
      </c>
      <c r="E3883" s="2"/>
      <c r="F3883" s="2">
        <v>52</v>
      </c>
      <c r="G3883" s="2" t="s">
        <v>2963</v>
      </c>
      <c r="H3883" s="2">
        <v>89</v>
      </c>
      <c r="I3883" s="2" t="s">
        <v>5137</v>
      </c>
      <c r="J3883" s="2">
        <v>516</v>
      </c>
      <c r="K3883" s="2" t="s">
        <v>5138</v>
      </c>
      <c r="L3883" s="2" t="s">
        <v>5139</v>
      </c>
      <c r="M3883" s="3">
        <v>40443</v>
      </c>
      <c r="N3883" s="2" t="s">
        <v>5140</v>
      </c>
      <c r="O3883" s="2" t="s">
        <v>12289</v>
      </c>
      <c r="P3883" s="2" t="s">
        <v>12290</v>
      </c>
      <c r="Q3883" s="2" t="str">
        <f>"S/D"</f>
        <v>S/D</v>
      </c>
      <c r="R3883" s="2" t="s">
        <v>107</v>
      </c>
      <c r="S3883" s="2" t="s">
        <v>107</v>
      </c>
      <c r="T3883" s="2">
        <v>1</v>
      </c>
      <c r="U3883" s="2" t="s">
        <v>79</v>
      </c>
      <c r="V3883" s="2">
        <v>1</v>
      </c>
      <c r="W3883" s="2" t="s">
        <v>80</v>
      </c>
      <c r="X3883" s="2">
        <v>9</v>
      </c>
      <c r="Y3883" s="2" t="s">
        <v>3393</v>
      </c>
      <c r="Z3883" s="2">
        <v>1</v>
      </c>
      <c r="AA3883" s="2" t="s">
        <v>82</v>
      </c>
      <c r="AB3883" s="2">
        <v>9</v>
      </c>
      <c r="AC3883" s="2" t="s">
        <v>124</v>
      </c>
      <c r="AD3883" s="3">
        <v>40443</v>
      </c>
      <c r="AE3883" s="4">
        <v>0.75</v>
      </c>
      <c r="AF3883" s="3">
        <v>40443</v>
      </c>
      <c r="AG3883" s="4">
        <v>0.46527777777777773</v>
      </c>
      <c r="AH3883" s="2">
        <v>7</v>
      </c>
      <c r="AI3883" s="2" t="s">
        <v>801</v>
      </c>
      <c r="AJ3883" s="2">
        <v>4</v>
      </c>
      <c r="AK3883" s="2" t="s">
        <v>2397</v>
      </c>
      <c r="AL3883" s="2">
        <v>23</v>
      </c>
      <c r="AM3883" s="2" t="s">
        <v>251</v>
      </c>
      <c r="AN3883" s="2" t="s">
        <v>107</v>
      </c>
      <c r="AO3883" s="2" t="s">
        <v>12291</v>
      </c>
      <c r="AP3883" s="2">
        <v>11</v>
      </c>
      <c r="AQ3883" s="2" t="s">
        <v>82</v>
      </c>
      <c r="AR3883" s="2"/>
      <c r="AS3883" s="2"/>
      <c r="AT3883" s="2" t="s">
        <v>12292</v>
      </c>
      <c r="AU3883" s="2">
        <v>1</v>
      </c>
      <c r="AV3883" s="2"/>
      <c r="AW3883" s="2"/>
      <c r="AX3883" s="2"/>
      <c r="AY3883" s="2">
        <v>41</v>
      </c>
      <c r="AZ3883" s="2" t="s">
        <v>82</v>
      </c>
      <c r="BA3883" s="2">
        <v>41</v>
      </c>
      <c r="BB3883" s="2" t="s">
        <v>82</v>
      </c>
      <c r="BC3883" s="2">
        <v>41</v>
      </c>
      <c r="BD3883" s="2" t="s">
        <v>82</v>
      </c>
      <c r="BE3883" s="2">
        <v>41</v>
      </c>
      <c r="BF3883" s="2" t="s">
        <v>82</v>
      </c>
      <c r="BG3883" s="2" t="s">
        <v>82</v>
      </c>
      <c r="BH3883" s="2"/>
      <c r="BI3883" s="2"/>
      <c r="BJ3883" s="2">
        <v>241</v>
      </c>
      <c r="BK3883" s="2" t="s">
        <v>82</v>
      </c>
      <c r="BL3883" s="2" t="s">
        <v>82</v>
      </c>
      <c r="BM3883" s="2">
        <v>242</v>
      </c>
      <c r="BN3883" s="2" t="s">
        <v>107</v>
      </c>
      <c r="BO3883" s="2"/>
      <c r="BP3883" s="2">
        <v>241</v>
      </c>
      <c r="BQ3883" s="2" t="s">
        <v>82</v>
      </c>
      <c r="BR3883" s="2" t="s">
        <v>82</v>
      </c>
      <c r="BS3883" s="3">
        <v>40443</v>
      </c>
      <c r="BT3883" s="4">
        <v>0.90537037037037038</v>
      </c>
    </row>
    <row r="3884" spans="1:72" x14ac:dyDescent="0.25">
      <c r="A3884" s="2">
        <v>5796</v>
      </c>
      <c r="B3884" s="2">
        <v>2010</v>
      </c>
      <c r="C3884" s="2" t="s">
        <v>72</v>
      </c>
      <c r="D3884" s="2" t="s">
        <v>73</v>
      </c>
      <c r="E3884" s="2"/>
      <c r="F3884" s="2">
        <v>390</v>
      </c>
      <c r="G3884" s="2" t="s">
        <v>475</v>
      </c>
      <c r="H3884" s="2">
        <v>7</v>
      </c>
      <c r="I3884" s="2" t="s">
        <v>476</v>
      </c>
      <c r="J3884" s="2">
        <v>533</v>
      </c>
      <c r="K3884" s="2" t="s">
        <v>6511</v>
      </c>
      <c r="L3884" s="2" t="s">
        <v>478</v>
      </c>
      <c r="M3884" s="3">
        <v>40443</v>
      </c>
      <c r="N3884" s="2" t="s">
        <v>765</v>
      </c>
      <c r="O3884" s="2"/>
      <c r="P3884" s="2"/>
      <c r="Q3884" s="2" t="str">
        <f>"484-E/10"</f>
        <v>484-E/10</v>
      </c>
      <c r="R3884" s="2" t="s">
        <v>601</v>
      </c>
      <c r="S3884" s="2" t="s">
        <v>601</v>
      </c>
      <c r="T3884" s="2">
        <v>1</v>
      </c>
      <c r="U3884" s="2" t="s">
        <v>79</v>
      </c>
      <c r="V3884" s="2">
        <v>1</v>
      </c>
      <c r="W3884" s="2" t="s">
        <v>80</v>
      </c>
      <c r="X3884" s="2">
        <v>12</v>
      </c>
      <c r="Y3884" s="2" t="s">
        <v>148</v>
      </c>
      <c r="Z3884" s="2">
        <v>1</v>
      </c>
      <c r="AA3884" s="2" t="s">
        <v>82</v>
      </c>
      <c r="AB3884" s="2">
        <v>6</v>
      </c>
      <c r="AC3884" s="2" t="s">
        <v>83</v>
      </c>
      <c r="AD3884" s="3">
        <v>40443</v>
      </c>
      <c r="AE3884" s="2"/>
      <c r="AF3884" s="3">
        <v>40443</v>
      </c>
      <c r="AG3884" s="4">
        <v>0.88888888888888884</v>
      </c>
      <c r="AH3884" s="2">
        <v>2</v>
      </c>
      <c r="AI3884" s="2" t="s">
        <v>84</v>
      </c>
      <c r="AJ3884" s="2">
        <v>9</v>
      </c>
      <c r="AK3884" s="2" t="s">
        <v>103</v>
      </c>
      <c r="AL3884" s="2">
        <v>22</v>
      </c>
      <c r="AM3884" s="2" t="s">
        <v>1853</v>
      </c>
      <c r="AN3884" s="2"/>
      <c r="AO3884" s="2" t="s">
        <v>12115</v>
      </c>
      <c r="AP3884" s="2">
        <v>11</v>
      </c>
      <c r="AQ3884" s="2" t="s">
        <v>82</v>
      </c>
      <c r="AR3884" s="2"/>
      <c r="AS3884" s="2"/>
      <c r="AT3884" s="2" t="s">
        <v>12293</v>
      </c>
      <c r="AU3884" s="2"/>
      <c r="AV3884" s="2"/>
      <c r="AW3884" s="2"/>
      <c r="AX3884" s="2"/>
      <c r="AY3884" s="2">
        <v>41</v>
      </c>
      <c r="AZ3884" s="2" t="s">
        <v>82</v>
      </c>
      <c r="BA3884" s="2">
        <v>41</v>
      </c>
      <c r="BB3884" s="2" t="s">
        <v>82</v>
      </c>
      <c r="BC3884" s="2">
        <v>41</v>
      </c>
      <c r="BD3884" s="2" t="s">
        <v>82</v>
      </c>
      <c r="BE3884" s="2">
        <v>17</v>
      </c>
      <c r="BF3884" s="2" t="s">
        <v>508</v>
      </c>
      <c r="BG3884" s="2" t="s">
        <v>12294</v>
      </c>
      <c r="BH3884" s="4">
        <v>0.85069444444444453</v>
      </c>
      <c r="BI3884" s="2"/>
      <c r="BJ3884" s="2">
        <v>46</v>
      </c>
      <c r="BK3884" s="2" t="s">
        <v>307</v>
      </c>
      <c r="BL3884" s="2" t="s">
        <v>308</v>
      </c>
      <c r="BM3884" s="2">
        <v>13</v>
      </c>
      <c r="BN3884" s="2" t="s">
        <v>91</v>
      </c>
      <c r="BO3884" s="2"/>
      <c r="BP3884" s="2">
        <v>13</v>
      </c>
      <c r="BQ3884" s="2" t="s">
        <v>91</v>
      </c>
      <c r="BR3884" s="2" t="s">
        <v>360</v>
      </c>
      <c r="BS3884" s="3">
        <v>40443</v>
      </c>
      <c r="BT3884" s="4">
        <v>0.94622685185185185</v>
      </c>
    </row>
    <row r="3885" spans="1:72" x14ac:dyDescent="0.25">
      <c r="A3885" s="2">
        <v>5797</v>
      </c>
      <c r="B3885" s="2">
        <v>2010</v>
      </c>
      <c r="C3885" s="2" t="s">
        <v>72</v>
      </c>
      <c r="D3885" s="2" t="s">
        <v>73</v>
      </c>
      <c r="E3885" s="2"/>
      <c r="F3885" s="2">
        <v>219</v>
      </c>
      <c r="G3885" s="2" t="s">
        <v>2325</v>
      </c>
      <c r="H3885" s="2">
        <v>22</v>
      </c>
      <c r="I3885" s="2" t="s">
        <v>75</v>
      </c>
      <c r="J3885" s="2">
        <v>665</v>
      </c>
      <c r="K3885" s="2" t="s">
        <v>12146</v>
      </c>
      <c r="L3885" s="2" t="s">
        <v>12147</v>
      </c>
      <c r="M3885" s="3">
        <v>40443</v>
      </c>
      <c r="N3885" s="2" t="s">
        <v>12295</v>
      </c>
      <c r="O3885" s="2"/>
      <c r="P3885" s="2"/>
      <c r="Q3885" s="2" t="str">
        <f>"379-A/10"</f>
        <v>379-A/10</v>
      </c>
      <c r="R3885" s="2" t="s">
        <v>156</v>
      </c>
      <c r="S3885" s="2" t="s">
        <v>156</v>
      </c>
      <c r="T3885" s="2">
        <v>1</v>
      </c>
      <c r="U3885" s="2" t="s">
        <v>79</v>
      </c>
      <c r="V3885" s="2">
        <v>1</v>
      </c>
      <c r="W3885" s="2" t="s">
        <v>80</v>
      </c>
      <c r="X3885" s="2">
        <v>12</v>
      </c>
      <c r="Y3885" s="2" t="s">
        <v>148</v>
      </c>
      <c r="Z3885" s="2">
        <v>1</v>
      </c>
      <c r="AA3885" s="2" t="s">
        <v>82</v>
      </c>
      <c r="AB3885" s="2">
        <v>6</v>
      </c>
      <c r="AC3885" s="2" t="s">
        <v>83</v>
      </c>
      <c r="AD3885" s="3">
        <v>40443</v>
      </c>
      <c r="AE3885" s="2"/>
      <c r="AF3885" s="3">
        <v>40443</v>
      </c>
      <c r="AG3885" s="4">
        <v>0.92361111111111116</v>
      </c>
      <c r="AH3885" s="2">
        <v>2</v>
      </c>
      <c r="AI3885" s="2" t="s">
        <v>84</v>
      </c>
      <c r="AJ3885" s="2">
        <v>12</v>
      </c>
      <c r="AK3885" s="2" t="s">
        <v>85</v>
      </c>
      <c r="AL3885" s="2">
        <v>22</v>
      </c>
      <c r="AM3885" s="2" t="s">
        <v>1853</v>
      </c>
      <c r="AN3885" s="2"/>
      <c r="AO3885" s="2" t="s">
        <v>12115</v>
      </c>
      <c r="AP3885" s="2">
        <v>11</v>
      </c>
      <c r="AQ3885" s="2" t="s">
        <v>82</v>
      </c>
      <c r="AR3885" s="2"/>
      <c r="AS3885" s="2"/>
      <c r="AT3885" s="2" t="s">
        <v>12296</v>
      </c>
      <c r="AU3885" s="2"/>
      <c r="AV3885" s="2"/>
      <c r="AW3885" s="2"/>
      <c r="AX3885" s="2"/>
      <c r="AY3885" s="2">
        <v>41</v>
      </c>
      <c r="AZ3885" s="2" t="s">
        <v>82</v>
      </c>
      <c r="BA3885" s="2">
        <v>41</v>
      </c>
      <c r="BB3885" s="2" t="s">
        <v>82</v>
      </c>
      <c r="BC3885" s="2">
        <v>41</v>
      </c>
      <c r="BD3885" s="2" t="s">
        <v>82</v>
      </c>
      <c r="BE3885" s="2">
        <v>13</v>
      </c>
      <c r="BF3885" s="2" t="s">
        <v>108</v>
      </c>
      <c r="BG3885" s="2" t="s">
        <v>4949</v>
      </c>
      <c r="BH3885" s="4">
        <v>0.85763888888888884</v>
      </c>
      <c r="BI3885" s="4">
        <v>0.83333333333333337</v>
      </c>
      <c r="BJ3885" s="2">
        <v>229</v>
      </c>
      <c r="BK3885" s="2" t="s">
        <v>300</v>
      </c>
      <c r="BL3885" s="2" t="s">
        <v>573</v>
      </c>
      <c r="BM3885" s="2">
        <v>13</v>
      </c>
      <c r="BN3885" s="2" t="s">
        <v>91</v>
      </c>
      <c r="BO3885" s="2"/>
      <c r="BP3885" s="2">
        <v>13</v>
      </c>
      <c r="BQ3885" s="2" t="s">
        <v>91</v>
      </c>
      <c r="BR3885" s="2" t="s">
        <v>564</v>
      </c>
      <c r="BS3885" s="3">
        <v>40443</v>
      </c>
      <c r="BT3885" s="4">
        <v>0.99282407407407414</v>
      </c>
    </row>
    <row r="3886" spans="1:72" x14ac:dyDescent="0.25">
      <c r="A3886" s="2">
        <v>5798</v>
      </c>
      <c r="B3886" s="2">
        <v>2010</v>
      </c>
      <c r="C3886" s="2" t="s">
        <v>4543</v>
      </c>
      <c r="D3886" s="2" t="s">
        <v>122</v>
      </c>
      <c r="E3886" s="2"/>
      <c r="F3886" s="2">
        <v>676</v>
      </c>
      <c r="G3886" s="2" t="s">
        <v>12297</v>
      </c>
      <c r="H3886" s="2">
        <v>1</v>
      </c>
      <c r="I3886" s="2" t="s">
        <v>82</v>
      </c>
      <c r="J3886" s="2">
        <v>604</v>
      </c>
      <c r="K3886" s="2" t="s">
        <v>9113</v>
      </c>
      <c r="L3886" s="2" t="s">
        <v>9114</v>
      </c>
      <c r="M3886" s="3">
        <v>40444</v>
      </c>
      <c r="N3886" s="2"/>
      <c r="O3886" s="2"/>
      <c r="P3886" s="2"/>
      <c r="Q3886" s="2" t="str">
        <f>""</f>
        <v/>
      </c>
      <c r="R3886" s="2"/>
      <c r="S3886" s="2"/>
      <c r="T3886" s="2">
        <v>2</v>
      </c>
      <c r="U3886" s="2" t="s">
        <v>123</v>
      </c>
      <c r="V3886" s="2">
        <v>1</v>
      </c>
      <c r="W3886" s="2" t="s">
        <v>80</v>
      </c>
      <c r="X3886" s="2">
        <v>5</v>
      </c>
      <c r="Y3886" s="2" t="s">
        <v>82</v>
      </c>
      <c r="Z3886" s="2">
        <v>1</v>
      </c>
      <c r="AA3886" s="2" t="s">
        <v>82</v>
      </c>
      <c r="AB3886" s="2">
        <v>9</v>
      </c>
      <c r="AC3886" s="2" t="s">
        <v>124</v>
      </c>
      <c r="AD3886" s="3">
        <v>40443</v>
      </c>
      <c r="AE3886" s="4">
        <v>0.75694444444444453</v>
      </c>
      <c r="AF3886" s="2"/>
      <c r="AG3886" s="2"/>
      <c r="AH3886" s="2">
        <v>5</v>
      </c>
      <c r="AI3886" s="2" t="s">
        <v>274</v>
      </c>
      <c r="AJ3886" s="2">
        <v>41</v>
      </c>
      <c r="AK3886" s="2" t="s">
        <v>2751</v>
      </c>
      <c r="AL3886" s="2">
        <v>19</v>
      </c>
      <c r="AM3886" s="2" t="s">
        <v>107</v>
      </c>
      <c r="AN3886" s="2" t="s">
        <v>12298</v>
      </c>
      <c r="AO3886" s="2" t="s">
        <v>4889</v>
      </c>
      <c r="AP3886" s="2">
        <v>11</v>
      </c>
      <c r="AQ3886" s="2" t="s">
        <v>82</v>
      </c>
      <c r="AR3886" s="2"/>
      <c r="AS3886" s="2"/>
      <c r="AT3886" s="2" t="s">
        <v>12299</v>
      </c>
      <c r="AU3886" s="2"/>
      <c r="AV3886" s="2"/>
      <c r="AW3886" s="2"/>
      <c r="AX3886" s="2"/>
      <c r="AY3886" s="2">
        <v>41</v>
      </c>
      <c r="AZ3886" s="2" t="s">
        <v>82</v>
      </c>
      <c r="BA3886" s="2">
        <v>41</v>
      </c>
      <c r="BB3886" s="2" t="s">
        <v>82</v>
      </c>
      <c r="BC3886" s="2">
        <v>41</v>
      </c>
      <c r="BD3886" s="2" t="s">
        <v>82</v>
      </c>
      <c r="BE3886" s="2">
        <v>41</v>
      </c>
      <c r="BF3886" s="2" t="s">
        <v>82</v>
      </c>
      <c r="BG3886" s="2"/>
      <c r="BH3886" s="2"/>
      <c r="BI3886" s="2"/>
      <c r="BJ3886" s="2">
        <v>241</v>
      </c>
      <c r="BK3886" s="2" t="s">
        <v>82</v>
      </c>
      <c r="BL3886" s="2"/>
      <c r="BM3886" s="2">
        <v>241</v>
      </c>
      <c r="BN3886" s="2" t="s">
        <v>82</v>
      </c>
      <c r="BO3886" s="2"/>
      <c r="BP3886" s="2">
        <v>241</v>
      </c>
      <c r="BQ3886" s="2" t="s">
        <v>82</v>
      </c>
      <c r="BR3886" s="2"/>
      <c r="BS3886" s="3">
        <v>40444</v>
      </c>
      <c r="BT3886" s="4">
        <v>2.5069444444444446E-2</v>
      </c>
    </row>
    <row r="3887" spans="1:72" x14ac:dyDescent="0.25">
      <c r="A3887" s="2">
        <v>5799</v>
      </c>
      <c r="B3887" s="2">
        <v>2010</v>
      </c>
      <c r="C3887" s="2" t="s">
        <v>806</v>
      </c>
      <c r="D3887" s="2" t="s">
        <v>73</v>
      </c>
      <c r="E3887" s="2"/>
      <c r="F3887" s="2">
        <v>52</v>
      </c>
      <c r="G3887" s="2" t="s">
        <v>2963</v>
      </c>
      <c r="H3887" s="2">
        <v>57</v>
      </c>
      <c r="I3887" s="2" t="s">
        <v>3043</v>
      </c>
      <c r="J3887" s="2">
        <v>516</v>
      </c>
      <c r="K3887" s="2" t="s">
        <v>5138</v>
      </c>
      <c r="L3887" s="2" t="s">
        <v>5139</v>
      </c>
      <c r="M3887" s="3">
        <v>40444</v>
      </c>
      <c r="N3887" s="2" t="s">
        <v>5140</v>
      </c>
      <c r="O3887" s="2" t="s">
        <v>11584</v>
      </c>
      <c r="P3887" s="2" t="s">
        <v>12290</v>
      </c>
      <c r="Q3887" s="2" t="str">
        <f>"N/C"</f>
        <v>N/C</v>
      </c>
      <c r="R3887" s="2" t="s">
        <v>82</v>
      </c>
      <c r="S3887" s="2" t="s">
        <v>82</v>
      </c>
      <c r="T3887" s="2">
        <v>1</v>
      </c>
      <c r="U3887" s="2" t="s">
        <v>79</v>
      </c>
      <c r="V3887" s="2">
        <v>1</v>
      </c>
      <c r="W3887" s="2" t="s">
        <v>80</v>
      </c>
      <c r="X3887" s="2">
        <v>9</v>
      </c>
      <c r="Y3887" s="2" t="s">
        <v>3393</v>
      </c>
      <c r="Z3887" s="2">
        <v>1</v>
      </c>
      <c r="AA3887" s="2" t="s">
        <v>82</v>
      </c>
      <c r="AB3887" s="2">
        <v>9</v>
      </c>
      <c r="AC3887" s="2" t="s">
        <v>124</v>
      </c>
      <c r="AD3887" s="3">
        <v>40443</v>
      </c>
      <c r="AE3887" s="4">
        <v>0.74652777777777779</v>
      </c>
      <c r="AF3887" s="3">
        <v>40423</v>
      </c>
      <c r="AG3887" s="4">
        <v>0.45833333333333331</v>
      </c>
      <c r="AH3887" s="2">
        <v>7</v>
      </c>
      <c r="AI3887" s="2" t="s">
        <v>801</v>
      </c>
      <c r="AJ3887" s="2">
        <v>4</v>
      </c>
      <c r="AK3887" s="2" t="s">
        <v>2397</v>
      </c>
      <c r="AL3887" s="2">
        <v>23</v>
      </c>
      <c r="AM3887" s="2" t="s">
        <v>251</v>
      </c>
      <c r="AN3887" s="2"/>
      <c r="AO3887" s="2" t="s">
        <v>12300</v>
      </c>
      <c r="AP3887" s="2">
        <v>11</v>
      </c>
      <c r="AQ3887" s="2" t="s">
        <v>82</v>
      </c>
      <c r="AR3887" s="2"/>
      <c r="AS3887" s="2"/>
      <c r="AT3887" s="2" t="s">
        <v>12301</v>
      </c>
      <c r="AU3887" s="2">
        <v>1</v>
      </c>
      <c r="AV3887" s="2"/>
      <c r="AW3887" s="2"/>
      <c r="AX3887" s="2"/>
      <c r="AY3887" s="2">
        <v>41</v>
      </c>
      <c r="AZ3887" s="2" t="s">
        <v>82</v>
      </c>
      <c r="BA3887" s="2">
        <v>41</v>
      </c>
      <c r="BB3887" s="2" t="s">
        <v>82</v>
      </c>
      <c r="BC3887" s="2">
        <v>41</v>
      </c>
      <c r="BD3887" s="2" t="s">
        <v>82</v>
      </c>
      <c r="BE3887" s="2">
        <v>41</v>
      </c>
      <c r="BF3887" s="2" t="s">
        <v>82</v>
      </c>
      <c r="BG3887" s="2" t="s">
        <v>82</v>
      </c>
      <c r="BH3887" s="2"/>
      <c r="BI3887" s="2"/>
      <c r="BJ3887" s="2">
        <v>241</v>
      </c>
      <c r="BK3887" s="2" t="s">
        <v>82</v>
      </c>
      <c r="BL3887" s="2" t="s">
        <v>82</v>
      </c>
      <c r="BM3887" s="2">
        <v>241</v>
      </c>
      <c r="BN3887" s="2" t="s">
        <v>82</v>
      </c>
      <c r="BO3887" s="2"/>
      <c r="BP3887" s="2">
        <v>241</v>
      </c>
      <c r="BQ3887" s="2" t="s">
        <v>82</v>
      </c>
      <c r="BR3887" s="2" t="s">
        <v>82</v>
      </c>
      <c r="BS3887" s="3">
        <v>40444</v>
      </c>
      <c r="BT3887" s="4">
        <v>0.29657407407407405</v>
      </c>
    </row>
    <row r="3888" spans="1:72" x14ac:dyDescent="0.25">
      <c r="A3888" s="2">
        <v>5800</v>
      </c>
      <c r="B3888" s="2">
        <v>2010</v>
      </c>
      <c r="C3888" s="2" t="s">
        <v>4543</v>
      </c>
      <c r="D3888" s="2" t="s">
        <v>122</v>
      </c>
      <c r="E3888" s="2"/>
      <c r="F3888" s="2">
        <v>1</v>
      </c>
      <c r="G3888" s="2" t="s">
        <v>82</v>
      </c>
      <c r="H3888" s="2">
        <v>1</v>
      </c>
      <c r="I3888" s="2" t="s">
        <v>82</v>
      </c>
      <c r="J3888" s="2">
        <v>1</v>
      </c>
      <c r="K3888" s="2" t="s">
        <v>107</v>
      </c>
      <c r="L3888" s="2" t="s">
        <v>107</v>
      </c>
      <c r="M3888" s="3">
        <v>40444</v>
      </c>
      <c r="N3888" s="2"/>
      <c r="O3888" s="2"/>
      <c r="P3888" s="2"/>
      <c r="Q3888" s="2" t="str">
        <f>""</f>
        <v/>
      </c>
      <c r="R3888" s="2"/>
      <c r="S3888" s="2"/>
      <c r="T3888" s="2">
        <v>2</v>
      </c>
      <c r="U3888" s="2" t="s">
        <v>123</v>
      </c>
      <c r="V3888" s="2">
        <v>1</v>
      </c>
      <c r="W3888" s="2" t="s">
        <v>80</v>
      </c>
      <c r="X3888" s="2">
        <v>11</v>
      </c>
      <c r="Y3888" s="2" t="s">
        <v>1920</v>
      </c>
      <c r="Z3888" s="2">
        <v>1</v>
      </c>
      <c r="AA3888" s="2" t="s">
        <v>82</v>
      </c>
      <c r="AB3888" s="2">
        <v>9</v>
      </c>
      <c r="AC3888" s="2" t="s">
        <v>124</v>
      </c>
      <c r="AD3888" s="3">
        <v>40444</v>
      </c>
      <c r="AE3888" s="4">
        <v>0.15625</v>
      </c>
      <c r="AF3888" s="2"/>
      <c r="AG3888" s="2"/>
      <c r="AH3888" s="2">
        <v>6</v>
      </c>
      <c r="AI3888" s="2" t="s">
        <v>197</v>
      </c>
      <c r="AJ3888" s="2">
        <v>54</v>
      </c>
      <c r="AK3888" s="2" t="s">
        <v>348</v>
      </c>
      <c r="AL3888" s="2">
        <v>19</v>
      </c>
      <c r="AM3888" s="2" t="s">
        <v>107</v>
      </c>
      <c r="AN3888" s="2" t="s">
        <v>595</v>
      </c>
      <c r="AO3888" s="2" t="s">
        <v>200</v>
      </c>
      <c r="AP3888" s="2">
        <v>14</v>
      </c>
      <c r="AQ3888" s="2" t="s">
        <v>3301</v>
      </c>
      <c r="AR3888" s="2" t="s">
        <v>596</v>
      </c>
      <c r="AS3888" s="2" t="s">
        <v>596</v>
      </c>
      <c r="AT3888" s="2" t="s">
        <v>12302</v>
      </c>
      <c r="AU3888" s="2"/>
      <c r="AV3888" s="2"/>
      <c r="AW3888" s="2"/>
      <c r="AX3888" s="2"/>
      <c r="AY3888" s="2">
        <v>1</v>
      </c>
      <c r="AZ3888" s="2" t="s">
        <v>107</v>
      </c>
      <c r="BA3888" s="2">
        <v>41</v>
      </c>
      <c r="BB3888" s="2" t="s">
        <v>82</v>
      </c>
      <c r="BC3888" s="2">
        <v>41</v>
      </c>
      <c r="BD3888" s="2" t="s">
        <v>82</v>
      </c>
      <c r="BE3888" s="2">
        <v>4</v>
      </c>
      <c r="BF3888" s="2" t="s">
        <v>90</v>
      </c>
      <c r="BG3888" s="2"/>
      <c r="BH3888" s="4">
        <v>6.25E-2</v>
      </c>
      <c r="BI3888" s="4">
        <v>0.15625</v>
      </c>
      <c r="BJ3888" s="2">
        <v>13</v>
      </c>
      <c r="BK3888" s="2" t="s">
        <v>91</v>
      </c>
      <c r="BL3888" s="2" t="s">
        <v>904</v>
      </c>
      <c r="BM3888" s="2">
        <v>241</v>
      </c>
      <c r="BN3888" s="2" t="s">
        <v>82</v>
      </c>
      <c r="BO3888" s="2"/>
      <c r="BP3888" s="2">
        <v>13</v>
      </c>
      <c r="BQ3888" s="2" t="s">
        <v>91</v>
      </c>
      <c r="BR3888" s="2" t="s">
        <v>905</v>
      </c>
      <c r="BS3888" s="3">
        <v>40444</v>
      </c>
      <c r="BT3888" s="4">
        <v>0.35150462962962964</v>
      </c>
    </row>
    <row r="3889" spans="1:72" x14ac:dyDescent="0.25">
      <c r="A3889" s="2">
        <v>5801</v>
      </c>
      <c r="B3889" s="2">
        <v>2010</v>
      </c>
      <c r="C3889" s="2" t="s">
        <v>171</v>
      </c>
      <c r="D3889" s="2" t="s">
        <v>122</v>
      </c>
      <c r="E3889" s="2"/>
      <c r="F3889" s="2">
        <v>515</v>
      </c>
      <c r="G3889" s="2" t="s">
        <v>12303</v>
      </c>
      <c r="H3889" s="2">
        <v>66</v>
      </c>
      <c r="I3889" s="2" t="s">
        <v>3190</v>
      </c>
      <c r="J3889" s="2">
        <v>374</v>
      </c>
      <c r="K3889" s="2" t="s">
        <v>1191</v>
      </c>
      <c r="L3889" s="2" t="s">
        <v>132</v>
      </c>
      <c r="M3889" s="3">
        <v>40444</v>
      </c>
      <c r="N3889" s="2" t="s">
        <v>6995</v>
      </c>
      <c r="O3889" s="2" t="s">
        <v>12304</v>
      </c>
      <c r="P3889" s="2" t="s">
        <v>12305</v>
      </c>
      <c r="Q3889" s="2" t="str">
        <f>"S/NRO."</f>
        <v>S/NRO.</v>
      </c>
      <c r="R3889" s="2"/>
      <c r="S3889" s="2" t="s">
        <v>12306</v>
      </c>
      <c r="T3889" s="2">
        <v>1</v>
      </c>
      <c r="U3889" s="2" t="s">
        <v>79</v>
      </c>
      <c r="V3889" s="2">
        <v>3</v>
      </c>
      <c r="W3889" s="2" t="s">
        <v>225</v>
      </c>
      <c r="X3889" s="2">
        <v>6</v>
      </c>
      <c r="Y3889" s="2" t="s">
        <v>249</v>
      </c>
      <c r="Z3889" s="2">
        <v>1</v>
      </c>
      <c r="AA3889" s="2" t="s">
        <v>82</v>
      </c>
      <c r="AB3889" s="2">
        <v>9</v>
      </c>
      <c r="AC3889" s="2" t="s">
        <v>124</v>
      </c>
      <c r="AD3889" s="2"/>
      <c r="AE3889" s="2"/>
      <c r="AF3889" s="2"/>
      <c r="AG3889" s="2"/>
      <c r="AH3889" s="2">
        <v>5</v>
      </c>
      <c r="AI3889" s="2" t="s">
        <v>274</v>
      </c>
      <c r="AJ3889" s="2">
        <v>35</v>
      </c>
      <c r="AK3889" s="2" t="s">
        <v>275</v>
      </c>
      <c r="AL3889" s="2">
        <v>19</v>
      </c>
      <c r="AM3889" s="2" t="s">
        <v>107</v>
      </c>
      <c r="AN3889" s="2" t="s">
        <v>12307</v>
      </c>
      <c r="AO3889" s="2" t="s">
        <v>6998</v>
      </c>
      <c r="AP3889" s="2">
        <v>11</v>
      </c>
      <c r="AQ3889" s="2" t="s">
        <v>82</v>
      </c>
      <c r="AR3889" s="2"/>
      <c r="AS3889" s="2"/>
      <c r="AT3889" s="2" t="s">
        <v>12308</v>
      </c>
      <c r="AU3889" s="2"/>
      <c r="AV3889" s="2"/>
      <c r="AW3889" s="2"/>
      <c r="AX3889" s="2"/>
      <c r="AY3889" s="2">
        <v>41</v>
      </c>
      <c r="AZ3889" s="2" t="s">
        <v>82</v>
      </c>
      <c r="BA3889" s="2">
        <v>41</v>
      </c>
      <c r="BB3889" s="2" t="s">
        <v>82</v>
      </c>
      <c r="BC3889" s="2">
        <v>41</v>
      </c>
      <c r="BD3889" s="2" t="s">
        <v>82</v>
      </c>
      <c r="BE3889" s="2">
        <v>41</v>
      </c>
      <c r="BF3889" s="2" t="s">
        <v>82</v>
      </c>
      <c r="BG3889" s="2"/>
      <c r="BH3889" s="2"/>
      <c r="BI3889" s="2"/>
      <c r="BJ3889" s="2">
        <v>241</v>
      </c>
      <c r="BK3889" s="2" t="s">
        <v>82</v>
      </c>
      <c r="BL3889" s="2"/>
      <c r="BM3889" s="2">
        <v>241</v>
      </c>
      <c r="BN3889" s="2" t="s">
        <v>82</v>
      </c>
      <c r="BO3889" s="2"/>
      <c r="BP3889" s="2">
        <v>241</v>
      </c>
      <c r="BQ3889" s="2" t="s">
        <v>82</v>
      </c>
      <c r="BR3889" s="2"/>
      <c r="BS3889" s="3">
        <v>40444</v>
      </c>
      <c r="BT3889" s="4">
        <v>0.39024305555555555</v>
      </c>
    </row>
    <row r="3890" spans="1:72" x14ac:dyDescent="0.25">
      <c r="A3890" s="2">
        <v>5804</v>
      </c>
      <c r="B3890" s="2">
        <v>2010</v>
      </c>
      <c r="C3890" s="2" t="s">
        <v>171</v>
      </c>
      <c r="D3890" s="2" t="s">
        <v>73</v>
      </c>
      <c r="E3890" s="2" t="s">
        <v>12309</v>
      </c>
      <c r="F3890" s="2">
        <v>471</v>
      </c>
      <c r="G3890" s="2" t="s">
        <v>6201</v>
      </c>
      <c r="H3890" s="2">
        <v>66</v>
      </c>
      <c r="I3890" s="2" t="s">
        <v>3190</v>
      </c>
      <c r="J3890" s="2">
        <v>374</v>
      </c>
      <c r="K3890" s="2" t="s">
        <v>1191</v>
      </c>
      <c r="L3890" s="2" t="s">
        <v>132</v>
      </c>
      <c r="M3890" s="3">
        <v>40444</v>
      </c>
      <c r="N3890" s="2" t="s">
        <v>6995</v>
      </c>
      <c r="O3890" s="2" t="s">
        <v>12103</v>
      </c>
      <c r="P3890" s="2" t="s">
        <v>12104</v>
      </c>
      <c r="Q3890" s="2" t="str">
        <f>"022/2010"</f>
        <v>022/2010</v>
      </c>
      <c r="R3890" s="2"/>
      <c r="S3890" s="2" t="s">
        <v>12105</v>
      </c>
      <c r="T3890" s="2">
        <v>1</v>
      </c>
      <c r="U3890" s="2" t="s">
        <v>79</v>
      </c>
      <c r="V3890" s="2">
        <v>3</v>
      </c>
      <c r="W3890" s="2" t="s">
        <v>225</v>
      </c>
      <c r="X3890" s="2">
        <v>8</v>
      </c>
      <c r="Y3890" s="2" t="s">
        <v>375</v>
      </c>
      <c r="Z3890" s="2">
        <v>1</v>
      </c>
      <c r="AA3890" s="2" t="s">
        <v>82</v>
      </c>
      <c r="AB3890" s="2">
        <v>9</v>
      </c>
      <c r="AC3890" s="2" t="s">
        <v>124</v>
      </c>
      <c r="AD3890" s="3">
        <v>40444</v>
      </c>
      <c r="AE3890" s="2"/>
      <c r="AF3890" s="2"/>
      <c r="AG3890" s="2"/>
      <c r="AH3890" s="2">
        <v>5</v>
      </c>
      <c r="AI3890" s="2" t="s">
        <v>274</v>
      </c>
      <c r="AJ3890" s="2">
        <v>35</v>
      </c>
      <c r="AK3890" s="2" t="s">
        <v>275</v>
      </c>
      <c r="AL3890" s="2">
        <v>23</v>
      </c>
      <c r="AM3890" s="2" t="s">
        <v>251</v>
      </c>
      <c r="AN3890" s="2" t="s">
        <v>12310</v>
      </c>
      <c r="AO3890" s="2"/>
      <c r="AP3890" s="2">
        <v>11</v>
      </c>
      <c r="AQ3890" s="2" t="s">
        <v>82</v>
      </c>
      <c r="AR3890" s="2"/>
      <c r="AS3890" s="2"/>
      <c r="AT3890" s="2" t="s">
        <v>12311</v>
      </c>
      <c r="AU3890" s="2"/>
      <c r="AV3890" s="2"/>
      <c r="AW3890" s="2"/>
      <c r="AX3890" s="2"/>
      <c r="AY3890" s="2">
        <v>41</v>
      </c>
      <c r="AZ3890" s="2" t="s">
        <v>82</v>
      </c>
      <c r="BA3890" s="2">
        <v>41</v>
      </c>
      <c r="BB3890" s="2" t="s">
        <v>82</v>
      </c>
      <c r="BC3890" s="2">
        <v>41</v>
      </c>
      <c r="BD3890" s="2" t="s">
        <v>82</v>
      </c>
      <c r="BE3890" s="2">
        <v>41</v>
      </c>
      <c r="BF3890" s="2" t="s">
        <v>82</v>
      </c>
      <c r="BG3890" s="2"/>
      <c r="BH3890" s="2"/>
      <c r="BI3890" s="2"/>
      <c r="BJ3890" s="2">
        <v>241</v>
      </c>
      <c r="BK3890" s="2" t="s">
        <v>82</v>
      </c>
      <c r="BL3890" s="2"/>
      <c r="BM3890" s="2">
        <v>241</v>
      </c>
      <c r="BN3890" s="2" t="s">
        <v>82</v>
      </c>
      <c r="BO3890" s="2"/>
      <c r="BP3890" s="2">
        <v>241</v>
      </c>
      <c r="BQ3890" s="2" t="s">
        <v>82</v>
      </c>
      <c r="BR3890" s="2"/>
      <c r="BS3890" s="3">
        <v>40444</v>
      </c>
      <c r="BT3890" s="4">
        <v>0.47885416666666664</v>
      </c>
    </row>
    <row r="3891" spans="1:72" x14ac:dyDescent="0.25">
      <c r="A3891" s="2">
        <v>5806</v>
      </c>
      <c r="B3891" s="2">
        <v>2010</v>
      </c>
      <c r="C3891" s="2" t="s">
        <v>819</v>
      </c>
      <c r="D3891" s="2" t="s">
        <v>73</v>
      </c>
      <c r="E3891" s="2"/>
      <c r="F3891" s="2">
        <v>651</v>
      </c>
      <c r="G3891" s="2" t="s">
        <v>2454</v>
      </c>
      <c r="H3891" s="2">
        <v>4</v>
      </c>
      <c r="I3891" s="2" t="s">
        <v>173</v>
      </c>
      <c r="J3891" s="2">
        <v>538</v>
      </c>
      <c r="K3891" s="2" t="s">
        <v>7264</v>
      </c>
      <c r="L3891" s="2" t="s">
        <v>7265</v>
      </c>
      <c r="M3891" s="3">
        <v>40444</v>
      </c>
      <c r="N3891" s="2" t="s">
        <v>3178</v>
      </c>
      <c r="O3891" s="2" t="s">
        <v>107</v>
      </c>
      <c r="P3891" s="2" t="s">
        <v>107</v>
      </c>
      <c r="Q3891" s="2" t="str">
        <f>"56/10"</f>
        <v>56/10</v>
      </c>
      <c r="R3891" s="2" t="s">
        <v>107</v>
      </c>
      <c r="S3891" s="2" t="s">
        <v>12312</v>
      </c>
      <c r="T3891" s="2">
        <v>1</v>
      </c>
      <c r="U3891" s="2" t="s">
        <v>79</v>
      </c>
      <c r="V3891" s="2">
        <v>1</v>
      </c>
      <c r="W3891" s="2" t="s">
        <v>80</v>
      </c>
      <c r="X3891" s="2">
        <v>1</v>
      </c>
      <c r="Y3891" s="2" t="s">
        <v>81</v>
      </c>
      <c r="Z3891" s="2">
        <v>1</v>
      </c>
      <c r="AA3891" s="2" t="s">
        <v>82</v>
      </c>
      <c r="AB3891" s="2">
        <v>9</v>
      </c>
      <c r="AC3891" s="2" t="s">
        <v>124</v>
      </c>
      <c r="AD3891" s="3">
        <v>40444</v>
      </c>
      <c r="AE3891" s="4">
        <v>0.34027777777777773</v>
      </c>
      <c r="AF3891" s="2"/>
      <c r="AG3891" s="2"/>
      <c r="AH3891" s="2">
        <v>3</v>
      </c>
      <c r="AI3891" s="2" t="s">
        <v>214</v>
      </c>
      <c r="AJ3891" s="2">
        <v>24</v>
      </c>
      <c r="AK3891" s="2" t="s">
        <v>215</v>
      </c>
      <c r="AL3891" s="2">
        <v>22</v>
      </c>
      <c r="AM3891" s="2" t="s">
        <v>1853</v>
      </c>
      <c r="AN3891" s="2" t="s">
        <v>12313</v>
      </c>
      <c r="AO3891" s="2"/>
      <c r="AP3891" s="2">
        <v>11</v>
      </c>
      <c r="AQ3891" s="2" t="s">
        <v>82</v>
      </c>
      <c r="AR3891" s="2"/>
      <c r="AS3891" s="2"/>
      <c r="AT3891" s="2" t="s">
        <v>12314</v>
      </c>
      <c r="AU3891" s="2"/>
      <c r="AV3891" s="2"/>
      <c r="AW3891" s="2"/>
      <c r="AX3891" s="2"/>
      <c r="AY3891" s="2">
        <v>42</v>
      </c>
      <c r="AZ3891" s="2" t="s">
        <v>182</v>
      </c>
      <c r="BA3891" s="2">
        <v>41</v>
      </c>
      <c r="BB3891" s="2" t="s">
        <v>82</v>
      </c>
      <c r="BC3891" s="2">
        <v>41</v>
      </c>
      <c r="BD3891" s="2" t="s">
        <v>82</v>
      </c>
      <c r="BE3891" s="2">
        <v>38</v>
      </c>
      <c r="BF3891" s="2" t="s">
        <v>221</v>
      </c>
      <c r="BG3891" s="2">
        <v>2422</v>
      </c>
      <c r="BH3891" s="2"/>
      <c r="BI3891" s="4">
        <v>0.39930555555555558</v>
      </c>
      <c r="BJ3891" s="2">
        <v>13</v>
      </c>
      <c r="BK3891" s="2" t="s">
        <v>91</v>
      </c>
      <c r="BL3891" s="2" t="s">
        <v>12315</v>
      </c>
      <c r="BM3891" s="2">
        <v>173</v>
      </c>
      <c r="BN3891" s="2" t="s">
        <v>223</v>
      </c>
      <c r="BO3891" s="2"/>
      <c r="BP3891" s="2">
        <v>173</v>
      </c>
      <c r="BQ3891" s="2" t="s">
        <v>223</v>
      </c>
      <c r="BR3891" s="2" t="s">
        <v>224</v>
      </c>
      <c r="BS3891" s="3">
        <v>40444</v>
      </c>
      <c r="BT3891" s="4">
        <v>0.48098379629629634</v>
      </c>
    </row>
    <row r="3892" spans="1:72" x14ac:dyDescent="0.25">
      <c r="A3892" s="2">
        <v>5808</v>
      </c>
      <c r="B3892" s="2">
        <v>2010</v>
      </c>
      <c r="C3892" s="2" t="s">
        <v>806</v>
      </c>
      <c r="D3892" s="2" t="s">
        <v>73</v>
      </c>
      <c r="E3892" s="2"/>
      <c r="F3892" s="2">
        <v>54</v>
      </c>
      <c r="G3892" s="2" t="s">
        <v>2963</v>
      </c>
      <c r="H3892" s="2">
        <v>57</v>
      </c>
      <c r="I3892" s="2" t="s">
        <v>3043</v>
      </c>
      <c r="J3892" s="2">
        <v>516</v>
      </c>
      <c r="K3892" s="2" t="s">
        <v>5138</v>
      </c>
      <c r="L3892" s="2" t="s">
        <v>5139</v>
      </c>
      <c r="M3892" s="3">
        <v>40444</v>
      </c>
      <c r="N3892" s="2" t="s">
        <v>5140</v>
      </c>
      <c r="O3892" s="2" t="s">
        <v>12316</v>
      </c>
      <c r="P3892" s="2" t="s">
        <v>12290</v>
      </c>
      <c r="Q3892" s="2" t="str">
        <f>"S/D"</f>
        <v>S/D</v>
      </c>
      <c r="R3892" s="2" t="s">
        <v>107</v>
      </c>
      <c r="S3892" s="2" t="s">
        <v>107</v>
      </c>
      <c r="T3892" s="2">
        <v>1</v>
      </c>
      <c r="U3892" s="2" t="s">
        <v>79</v>
      </c>
      <c r="V3892" s="2">
        <v>1</v>
      </c>
      <c r="W3892" s="2" t="s">
        <v>80</v>
      </c>
      <c r="X3892" s="2">
        <v>7</v>
      </c>
      <c r="Y3892" s="2" t="s">
        <v>1964</v>
      </c>
      <c r="Z3892" s="2">
        <v>1</v>
      </c>
      <c r="AA3892" s="2" t="s">
        <v>82</v>
      </c>
      <c r="AB3892" s="2">
        <v>9</v>
      </c>
      <c r="AC3892" s="2" t="s">
        <v>124</v>
      </c>
      <c r="AD3892" s="3">
        <v>40443</v>
      </c>
      <c r="AE3892" s="4">
        <v>0.89583333333333337</v>
      </c>
      <c r="AF3892" s="3">
        <v>40443</v>
      </c>
      <c r="AG3892" s="4">
        <v>0.45833333333333331</v>
      </c>
      <c r="AH3892" s="2">
        <v>7</v>
      </c>
      <c r="AI3892" s="2" t="s">
        <v>801</v>
      </c>
      <c r="AJ3892" s="2">
        <v>4</v>
      </c>
      <c r="AK3892" s="2" t="s">
        <v>2397</v>
      </c>
      <c r="AL3892" s="2">
        <v>23</v>
      </c>
      <c r="AM3892" s="2" t="s">
        <v>251</v>
      </c>
      <c r="AN3892" s="2"/>
      <c r="AO3892" s="2" t="s">
        <v>12317</v>
      </c>
      <c r="AP3892" s="2">
        <v>11</v>
      </c>
      <c r="AQ3892" s="2" t="s">
        <v>82</v>
      </c>
      <c r="AR3892" s="2"/>
      <c r="AS3892" s="2"/>
      <c r="AT3892" s="2" t="s">
        <v>12318</v>
      </c>
      <c r="AU3892" s="2">
        <v>1</v>
      </c>
      <c r="AV3892" s="2"/>
      <c r="AW3892" s="2"/>
      <c r="AX3892" s="2"/>
      <c r="AY3892" s="2">
        <v>41</v>
      </c>
      <c r="AZ3892" s="2" t="s">
        <v>82</v>
      </c>
      <c r="BA3892" s="2">
        <v>41</v>
      </c>
      <c r="BB3892" s="2" t="s">
        <v>82</v>
      </c>
      <c r="BC3892" s="2">
        <v>41</v>
      </c>
      <c r="BD3892" s="2" t="s">
        <v>82</v>
      </c>
      <c r="BE3892" s="2">
        <v>41</v>
      </c>
      <c r="BF3892" s="2" t="s">
        <v>82</v>
      </c>
      <c r="BG3892" s="2" t="s">
        <v>82</v>
      </c>
      <c r="BH3892" s="2"/>
      <c r="BI3892" s="2"/>
      <c r="BJ3892" s="2">
        <v>241</v>
      </c>
      <c r="BK3892" s="2" t="s">
        <v>82</v>
      </c>
      <c r="BL3892" s="2" t="s">
        <v>82</v>
      </c>
      <c r="BM3892" s="2">
        <v>241</v>
      </c>
      <c r="BN3892" s="2" t="s">
        <v>82</v>
      </c>
      <c r="BO3892" s="2"/>
      <c r="BP3892" s="2">
        <v>241</v>
      </c>
      <c r="BQ3892" s="2" t="s">
        <v>82</v>
      </c>
      <c r="BR3892" s="2" t="s">
        <v>82</v>
      </c>
      <c r="BS3892" s="3">
        <v>40444</v>
      </c>
      <c r="BT3892" s="4">
        <v>0.50253472222222217</v>
      </c>
    </row>
    <row r="3893" spans="1:72" x14ac:dyDescent="0.25">
      <c r="A3893" s="2">
        <v>5810</v>
      </c>
      <c r="B3893" s="2">
        <v>2010</v>
      </c>
      <c r="C3893" s="2" t="s">
        <v>4543</v>
      </c>
      <c r="D3893" s="2" t="s">
        <v>122</v>
      </c>
      <c r="E3893" s="2"/>
      <c r="F3893" s="2">
        <v>146</v>
      </c>
      <c r="G3893" s="2" t="s">
        <v>753</v>
      </c>
      <c r="H3893" s="2">
        <v>39</v>
      </c>
      <c r="I3893" s="2" t="s">
        <v>1117</v>
      </c>
      <c r="J3893" s="2">
        <v>509</v>
      </c>
      <c r="K3893" s="2" t="s">
        <v>4860</v>
      </c>
      <c r="L3893" s="2" t="s">
        <v>4861</v>
      </c>
      <c r="M3893" s="3">
        <v>40444</v>
      </c>
      <c r="N3893" s="2" t="s">
        <v>756</v>
      </c>
      <c r="O3893" s="2" t="s">
        <v>12319</v>
      </c>
      <c r="P3893" s="7">
        <v>2549</v>
      </c>
      <c r="Q3893" s="2" t="str">
        <f>"N/C"</f>
        <v>N/C</v>
      </c>
      <c r="R3893" s="2" t="s">
        <v>82</v>
      </c>
      <c r="S3893" s="2" t="s">
        <v>82</v>
      </c>
      <c r="T3893" s="2">
        <v>2</v>
      </c>
      <c r="U3893" s="2" t="s">
        <v>123</v>
      </c>
      <c r="V3893" s="2">
        <v>1</v>
      </c>
      <c r="W3893" s="2" t="s">
        <v>80</v>
      </c>
      <c r="X3893" s="2">
        <v>4</v>
      </c>
      <c r="Y3893" s="2" t="s">
        <v>463</v>
      </c>
      <c r="Z3893" s="2">
        <v>10</v>
      </c>
      <c r="AA3893" s="2" t="s">
        <v>236</v>
      </c>
      <c r="AB3893" s="2">
        <v>9</v>
      </c>
      <c r="AC3893" s="2" t="s">
        <v>124</v>
      </c>
      <c r="AD3893" s="3">
        <v>40444</v>
      </c>
      <c r="AE3893" s="4">
        <v>0.44791666666666669</v>
      </c>
      <c r="AF3893" s="2"/>
      <c r="AG3893" s="2"/>
      <c r="AH3893" s="2">
        <v>6</v>
      </c>
      <c r="AI3893" s="2" t="s">
        <v>197</v>
      </c>
      <c r="AJ3893" s="2">
        <v>60</v>
      </c>
      <c r="AK3893" s="2" t="s">
        <v>543</v>
      </c>
      <c r="AL3893" s="2">
        <v>19</v>
      </c>
      <c r="AM3893" s="2" t="s">
        <v>107</v>
      </c>
      <c r="AN3893" s="2" t="s">
        <v>82</v>
      </c>
      <c r="AO3893" s="2" t="s">
        <v>2249</v>
      </c>
      <c r="AP3893" s="2">
        <v>11</v>
      </c>
      <c r="AQ3893" s="2" t="s">
        <v>82</v>
      </c>
      <c r="AR3893" s="2" t="s">
        <v>82</v>
      </c>
      <c r="AS3893" s="2" t="s">
        <v>82</v>
      </c>
      <c r="AT3893" s="2" t="s">
        <v>12320</v>
      </c>
      <c r="AU3893" s="2"/>
      <c r="AV3893" s="2"/>
      <c r="AW3893" s="2"/>
      <c r="AX3893" s="2"/>
      <c r="AY3893" s="2">
        <v>41</v>
      </c>
      <c r="AZ3893" s="2" t="s">
        <v>82</v>
      </c>
      <c r="BA3893" s="2">
        <v>41</v>
      </c>
      <c r="BB3893" s="2" t="s">
        <v>82</v>
      </c>
      <c r="BC3893" s="2">
        <v>41</v>
      </c>
      <c r="BD3893" s="2" t="s">
        <v>82</v>
      </c>
      <c r="BE3893" s="2">
        <v>49</v>
      </c>
      <c r="BF3893" s="2" t="s">
        <v>1254</v>
      </c>
      <c r="BG3893" s="2" t="s">
        <v>12321</v>
      </c>
      <c r="BH3893" s="4">
        <v>0.44791666666666669</v>
      </c>
      <c r="BI3893" s="4">
        <v>0.47569444444444442</v>
      </c>
      <c r="BJ3893" s="2">
        <v>13</v>
      </c>
      <c r="BK3893" s="2" t="s">
        <v>91</v>
      </c>
      <c r="BL3893" s="2" t="s">
        <v>11378</v>
      </c>
      <c r="BM3893" s="2">
        <v>13</v>
      </c>
      <c r="BN3893" s="2" t="s">
        <v>91</v>
      </c>
      <c r="BO3893" s="2"/>
      <c r="BP3893" s="2">
        <v>13</v>
      </c>
      <c r="BQ3893" s="2" t="s">
        <v>91</v>
      </c>
      <c r="BR3893" s="2" t="s">
        <v>12322</v>
      </c>
      <c r="BS3893" s="3">
        <v>40444</v>
      </c>
      <c r="BT3893" s="4">
        <v>0.50841435185185191</v>
      </c>
    </row>
    <row r="3894" spans="1:72" x14ac:dyDescent="0.25">
      <c r="A3894" s="2">
        <v>5812</v>
      </c>
      <c r="B3894" s="2">
        <v>2010</v>
      </c>
      <c r="C3894" s="2" t="s">
        <v>121</v>
      </c>
      <c r="D3894" s="2" t="s">
        <v>122</v>
      </c>
      <c r="E3894" s="2"/>
      <c r="F3894" s="2">
        <v>1</v>
      </c>
      <c r="G3894" s="2" t="s">
        <v>82</v>
      </c>
      <c r="H3894" s="2">
        <v>1</v>
      </c>
      <c r="I3894" s="2" t="s">
        <v>82</v>
      </c>
      <c r="J3894" s="2">
        <v>1</v>
      </c>
      <c r="K3894" s="2" t="s">
        <v>107</v>
      </c>
      <c r="L3894" s="2" t="s">
        <v>107</v>
      </c>
      <c r="M3894" s="3">
        <v>40444</v>
      </c>
      <c r="N3894" s="2"/>
      <c r="O3894" s="2"/>
      <c r="P3894" s="2"/>
      <c r="Q3894" s="2" t="str">
        <f>""</f>
        <v/>
      </c>
      <c r="R3894" s="2"/>
      <c r="S3894" s="2"/>
      <c r="T3894" s="2">
        <v>2</v>
      </c>
      <c r="U3894" s="2" t="s">
        <v>123</v>
      </c>
      <c r="V3894" s="2">
        <v>1</v>
      </c>
      <c r="W3894" s="2" t="s">
        <v>80</v>
      </c>
      <c r="X3894" s="2">
        <v>1</v>
      </c>
      <c r="Y3894" s="2" t="s">
        <v>81</v>
      </c>
      <c r="Z3894" s="2">
        <v>13</v>
      </c>
      <c r="AA3894" s="2" t="s">
        <v>3158</v>
      </c>
      <c r="AB3894" s="2">
        <v>9</v>
      </c>
      <c r="AC3894" s="2" t="s">
        <v>124</v>
      </c>
      <c r="AD3894" s="3">
        <v>40444</v>
      </c>
      <c r="AE3894" s="4">
        <v>0.4513888888888889</v>
      </c>
      <c r="AF3894" s="2"/>
      <c r="AG3894" s="2"/>
      <c r="AH3894" s="2">
        <v>4</v>
      </c>
      <c r="AI3894" s="2" t="s">
        <v>125</v>
      </c>
      <c r="AJ3894" s="2">
        <v>33</v>
      </c>
      <c r="AK3894" s="2" t="s">
        <v>126</v>
      </c>
      <c r="AL3894" s="2">
        <v>10</v>
      </c>
      <c r="AM3894" s="2" t="s">
        <v>200</v>
      </c>
      <c r="AN3894" s="2" t="s">
        <v>12323</v>
      </c>
      <c r="AO3894" s="2"/>
      <c r="AP3894" s="2">
        <v>11</v>
      </c>
      <c r="AQ3894" s="2" t="s">
        <v>82</v>
      </c>
      <c r="AR3894" s="2"/>
      <c r="AS3894" s="2"/>
      <c r="AT3894" s="2" t="s">
        <v>12324</v>
      </c>
      <c r="AU3894" s="2"/>
      <c r="AV3894" s="2"/>
      <c r="AW3894" s="2"/>
      <c r="AX3894" s="2"/>
      <c r="AY3894" s="2">
        <v>41</v>
      </c>
      <c r="AZ3894" s="2" t="s">
        <v>82</v>
      </c>
      <c r="BA3894" s="2">
        <v>41</v>
      </c>
      <c r="BB3894" s="2" t="s">
        <v>82</v>
      </c>
      <c r="BC3894" s="2">
        <v>41</v>
      </c>
      <c r="BD3894" s="2" t="s">
        <v>82</v>
      </c>
      <c r="BE3894" s="2">
        <v>42</v>
      </c>
      <c r="BF3894" s="2" t="s">
        <v>182</v>
      </c>
      <c r="BG3894" s="2" t="s">
        <v>853</v>
      </c>
      <c r="BH3894" s="4">
        <v>0.4513888888888889</v>
      </c>
      <c r="BI3894" s="2"/>
      <c r="BJ3894" s="2">
        <v>241</v>
      </c>
      <c r="BK3894" s="2" t="s">
        <v>82</v>
      </c>
      <c r="BL3894" s="2" t="s">
        <v>185</v>
      </c>
      <c r="BM3894" s="2">
        <v>13</v>
      </c>
      <c r="BN3894" s="2" t="s">
        <v>91</v>
      </c>
      <c r="BO3894" s="2"/>
      <c r="BP3894" s="2">
        <v>241</v>
      </c>
      <c r="BQ3894" s="2" t="s">
        <v>82</v>
      </c>
      <c r="BR3894" s="2" t="s">
        <v>6582</v>
      </c>
      <c r="BS3894" s="3">
        <v>40444</v>
      </c>
      <c r="BT3894" s="4">
        <v>0.56884259259259262</v>
      </c>
    </row>
    <row r="3895" spans="1:72" x14ac:dyDescent="0.25">
      <c r="A3895" s="2">
        <v>5814</v>
      </c>
      <c r="B3895" s="2">
        <v>2010</v>
      </c>
      <c r="C3895" s="2" t="s">
        <v>171</v>
      </c>
      <c r="D3895" s="2" t="s">
        <v>73</v>
      </c>
      <c r="E3895" s="2"/>
      <c r="F3895" s="2">
        <v>100</v>
      </c>
      <c r="G3895" s="2" t="s">
        <v>517</v>
      </c>
      <c r="H3895" s="2">
        <v>47</v>
      </c>
      <c r="I3895" s="2" t="s">
        <v>1409</v>
      </c>
      <c r="J3895" s="2">
        <v>119</v>
      </c>
      <c r="K3895" s="2" t="s">
        <v>325</v>
      </c>
      <c r="L3895" s="2" t="s">
        <v>326</v>
      </c>
      <c r="M3895" s="3">
        <v>40444</v>
      </c>
      <c r="N3895" s="2" t="s">
        <v>327</v>
      </c>
      <c r="O3895" s="2"/>
      <c r="P3895" s="2"/>
      <c r="Q3895" s="2" t="str">
        <f>"042/2010"</f>
        <v>042/2010</v>
      </c>
      <c r="R3895" s="2" t="s">
        <v>12325</v>
      </c>
      <c r="S3895" s="2" t="s">
        <v>12325</v>
      </c>
      <c r="T3895" s="2">
        <v>1</v>
      </c>
      <c r="U3895" s="2" t="s">
        <v>79</v>
      </c>
      <c r="V3895" s="2">
        <v>1</v>
      </c>
      <c r="W3895" s="2" t="s">
        <v>80</v>
      </c>
      <c r="X3895" s="2">
        <v>1</v>
      </c>
      <c r="Y3895" s="2" t="s">
        <v>81</v>
      </c>
      <c r="Z3895" s="2">
        <v>1</v>
      </c>
      <c r="AA3895" s="2" t="s">
        <v>82</v>
      </c>
      <c r="AB3895" s="2">
        <v>1</v>
      </c>
      <c r="AC3895" s="2" t="s">
        <v>178</v>
      </c>
      <c r="AD3895" s="3">
        <v>40444</v>
      </c>
      <c r="AE3895" s="4">
        <v>0.47916666666666669</v>
      </c>
      <c r="AF3895" s="2"/>
      <c r="AG3895" s="2"/>
      <c r="AH3895" s="2">
        <v>6</v>
      </c>
      <c r="AI3895" s="2" t="s">
        <v>197</v>
      </c>
      <c r="AJ3895" s="2">
        <v>50</v>
      </c>
      <c r="AK3895" s="2" t="s">
        <v>330</v>
      </c>
      <c r="AL3895" s="2">
        <v>11</v>
      </c>
      <c r="AM3895" s="2" t="s">
        <v>137</v>
      </c>
      <c r="AN3895" s="2"/>
      <c r="AO3895" s="2" t="s">
        <v>12326</v>
      </c>
      <c r="AP3895" s="2">
        <v>11</v>
      </c>
      <c r="AQ3895" s="2" t="s">
        <v>82</v>
      </c>
      <c r="AR3895" s="2" t="s">
        <v>82</v>
      </c>
      <c r="AS3895" s="2" t="s">
        <v>82</v>
      </c>
      <c r="AT3895" s="2" t="s">
        <v>12327</v>
      </c>
      <c r="AU3895" s="2"/>
      <c r="AV3895" s="2"/>
      <c r="AW3895" s="2"/>
      <c r="AX3895" s="2"/>
      <c r="AY3895" s="2">
        <v>41</v>
      </c>
      <c r="AZ3895" s="2" t="s">
        <v>82</v>
      </c>
      <c r="BA3895" s="2">
        <v>41</v>
      </c>
      <c r="BB3895" s="2" t="s">
        <v>82</v>
      </c>
      <c r="BC3895" s="2">
        <v>41</v>
      </c>
      <c r="BD3895" s="2" t="s">
        <v>82</v>
      </c>
      <c r="BE3895" s="2">
        <v>4</v>
      </c>
      <c r="BF3895" s="2" t="s">
        <v>90</v>
      </c>
      <c r="BG3895" s="2">
        <v>4345</v>
      </c>
      <c r="BH3895" s="2"/>
      <c r="BI3895" s="4">
        <v>0.5</v>
      </c>
      <c r="BJ3895" s="2">
        <v>13</v>
      </c>
      <c r="BK3895" s="2" t="s">
        <v>91</v>
      </c>
      <c r="BL3895" s="2" t="s">
        <v>332</v>
      </c>
      <c r="BM3895" s="2">
        <v>13</v>
      </c>
      <c r="BN3895" s="2" t="s">
        <v>91</v>
      </c>
      <c r="BO3895" s="2"/>
      <c r="BP3895" s="2">
        <v>13</v>
      </c>
      <c r="BQ3895" s="2" t="s">
        <v>91</v>
      </c>
      <c r="BR3895" s="2" t="s">
        <v>170</v>
      </c>
      <c r="BS3895" s="3">
        <v>40444</v>
      </c>
      <c r="BT3895" s="4">
        <v>0.61717592592592596</v>
      </c>
    </row>
    <row r="3896" spans="1:72" x14ac:dyDescent="0.25">
      <c r="A3896" s="2">
        <v>5815</v>
      </c>
      <c r="B3896" s="2">
        <v>2010</v>
      </c>
      <c r="C3896" s="2" t="s">
        <v>128</v>
      </c>
      <c r="D3896" s="2" t="s">
        <v>73</v>
      </c>
      <c r="E3896" s="2" t="s">
        <v>11467</v>
      </c>
      <c r="F3896" s="2">
        <v>425</v>
      </c>
      <c r="G3896" s="2" t="s">
        <v>286</v>
      </c>
      <c r="H3896" s="2">
        <v>122</v>
      </c>
      <c r="I3896" s="2" t="s">
        <v>8431</v>
      </c>
      <c r="J3896" s="2">
        <v>310</v>
      </c>
      <c r="K3896" s="2" t="s">
        <v>288</v>
      </c>
      <c r="L3896" s="2" t="s">
        <v>289</v>
      </c>
      <c r="M3896" s="3">
        <v>40444</v>
      </c>
      <c r="N3896" s="2" t="s">
        <v>1882</v>
      </c>
      <c r="O3896" s="2" t="s">
        <v>11433</v>
      </c>
      <c r="P3896" s="2" t="s">
        <v>11434</v>
      </c>
      <c r="Q3896" s="2" t="str">
        <f>"102"</f>
        <v>102</v>
      </c>
      <c r="R3896" s="2"/>
      <c r="S3896" s="2"/>
      <c r="T3896" s="2">
        <v>1</v>
      </c>
      <c r="U3896" s="2" t="s">
        <v>79</v>
      </c>
      <c r="V3896" s="2">
        <v>3</v>
      </c>
      <c r="W3896" s="2" t="s">
        <v>225</v>
      </c>
      <c r="X3896" s="2">
        <v>6</v>
      </c>
      <c r="Y3896" s="2" t="s">
        <v>249</v>
      </c>
      <c r="Z3896" s="2">
        <v>1</v>
      </c>
      <c r="AA3896" s="2" t="s">
        <v>82</v>
      </c>
      <c r="AB3896" s="2">
        <v>9</v>
      </c>
      <c r="AC3896" s="2" t="s">
        <v>124</v>
      </c>
      <c r="AD3896" s="2"/>
      <c r="AE3896" s="2"/>
      <c r="AF3896" s="2"/>
      <c r="AG3896" s="2"/>
      <c r="AH3896" s="2">
        <v>4</v>
      </c>
      <c r="AI3896" s="2" t="s">
        <v>125</v>
      </c>
      <c r="AJ3896" s="2">
        <v>26</v>
      </c>
      <c r="AK3896" s="2" t="s">
        <v>293</v>
      </c>
      <c r="AL3896" s="2">
        <v>23</v>
      </c>
      <c r="AM3896" s="2" t="s">
        <v>251</v>
      </c>
      <c r="AN3896" s="2"/>
      <c r="AO3896" s="2" t="s">
        <v>11465</v>
      </c>
      <c r="AP3896" s="2">
        <v>11</v>
      </c>
      <c r="AQ3896" s="2" t="s">
        <v>82</v>
      </c>
      <c r="AR3896" s="2"/>
      <c r="AS3896" s="2"/>
      <c r="AT3896" s="2" t="s">
        <v>12328</v>
      </c>
      <c r="AU3896" s="2"/>
      <c r="AV3896" s="2"/>
      <c r="AW3896" s="2"/>
      <c r="AX3896" s="2"/>
      <c r="AY3896" s="2">
        <v>41</v>
      </c>
      <c r="AZ3896" s="2" t="s">
        <v>82</v>
      </c>
      <c r="BA3896" s="2">
        <v>41</v>
      </c>
      <c r="BB3896" s="2" t="s">
        <v>82</v>
      </c>
      <c r="BC3896" s="2">
        <v>41</v>
      </c>
      <c r="BD3896" s="2" t="s">
        <v>82</v>
      </c>
      <c r="BE3896" s="2">
        <v>41</v>
      </c>
      <c r="BF3896" s="2" t="s">
        <v>82</v>
      </c>
      <c r="BG3896" s="2"/>
      <c r="BH3896" s="2"/>
      <c r="BI3896" s="2"/>
      <c r="BJ3896" s="2">
        <v>241</v>
      </c>
      <c r="BK3896" s="2" t="s">
        <v>82</v>
      </c>
      <c r="BL3896" s="2"/>
      <c r="BM3896" s="2">
        <v>241</v>
      </c>
      <c r="BN3896" s="2" t="s">
        <v>82</v>
      </c>
      <c r="BO3896" s="2"/>
      <c r="BP3896" s="2">
        <v>241</v>
      </c>
      <c r="BQ3896" s="2" t="s">
        <v>82</v>
      </c>
      <c r="BR3896" s="2"/>
      <c r="BS3896" s="3">
        <v>40444</v>
      </c>
      <c r="BT3896" s="4">
        <v>0.62644675925925919</v>
      </c>
    </row>
    <row r="3897" spans="1:72" x14ac:dyDescent="0.25">
      <c r="A3897" s="2">
        <v>5816</v>
      </c>
      <c r="B3897" s="2">
        <v>2010</v>
      </c>
      <c r="C3897" s="2" t="s">
        <v>806</v>
      </c>
      <c r="D3897" s="2" t="s">
        <v>73</v>
      </c>
      <c r="E3897" s="2"/>
      <c r="F3897" s="2">
        <v>651</v>
      </c>
      <c r="G3897" s="2" t="s">
        <v>2454</v>
      </c>
      <c r="H3897" s="2">
        <v>89</v>
      </c>
      <c r="I3897" s="2" t="s">
        <v>5137</v>
      </c>
      <c r="J3897" s="2">
        <v>538</v>
      </c>
      <c r="K3897" s="2" t="s">
        <v>7264</v>
      </c>
      <c r="L3897" s="2" t="s">
        <v>7265</v>
      </c>
      <c r="M3897" s="3">
        <v>40444</v>
      </c>
      <c r="N3897" s="2" t="s">
        <v>11133</v>
      </c>
      <c r="O3897" s="2" t="s">
        <v>12329</v>
      </c>
      <c r="P3897" s="7">
        <v>12627</v>
      </c>
      <c r="Q3897" s="2" t="str">
        <f>"15/2010"</f>
        <v>15/2010</v>
      </c>
      <c r="R3897" s="2" t="s">
        <v>82</v>
      </c>
      <c r="S3897" s="2" t="s">
        <v>82</v>
      </c>
      <c r="T3897" s="2">
        <v>1</v>
      </c>
      <c r="U3897" s="2" t="s">
        <v>79</v>
      </c>
      <c r="V3897" s="2">
        <v>3</v>
      </c>
      <c r="W3897" s="2" t="s">
        <v>225</v>
      </c>
      <c r="X3897" s="2">
        <v>2</v>
      </c>
      <c r="Y3897" s="2" t="s">
        <v>136</v>
      </c>
      <c r="Z3897" s="2">
        <v>1</v>
      </c>
      <c r="AA3897" s="2" t="s">
        <v>82</v>
      </c>
      <c r="AB3897" s="2">
        <v>9</v>
      </c>
      <c r="AC3897" s="2" t="s">
        <v>124</v>
      </c>
      <c r="AD3897" s="2"/>
      <c r="AE3897" s="2"/>
      <c r="AF3897" s="2"/>
      <c r="AG3897" s="2"/>
      <c r="AH3897" s="2">
        <v>3</v>
      </c>
      <c r="AI3897" s="2" t="s">
        <v>214</v>
      </c>
      <c r="AJ3897" s="2">
        <v>14</v>
      </c>
      <c r="AK3897" s="2" t="s">
        <v>342</v>
      </c>
      <c r="AL3897" s="2">
        <v>23</v>
      </c>
      <c r="AM3897" s="2" t="s">
        <v>251</v>
      </c>
      <c r="AN3897" s="2" t="s">
        <v>82</v>
      </c>
      <c r="AO3897" s="2" t="s">
        <v>82</v>
      </c>
      <c r="AP3897" s="2">
        <v>11</v>
      </c>
      <c r="AQ3897" s="2" t="s">
        <v>82</v>
      </c>
      <c r="AR3897" s="2"/>
      <c r="AS3897" s="2"/>
      <c r="AT3897" s="2" t="s">
        <v>12330</v>
      </c>
      <c r="AU3897" s="2"/>
      <c r="AV3897" s="2"/>
      <c r="AW3897" s="2"/>
      <c r="AX3897" s="2"/>
      <c r="AY3897" s="2">
        <v>41</v>
      </c>
      <c r="AZ3897" s="2" t="s">
        <v>82</v>
      </c>
      <c r="BA3897" s="2">
        <v>41</v>
      </c>
      <c r="BB3897" s="2" t="s">
        <v>82</v>
      </c>
      <c r="BC3897" s="2">
        <v>41</v>
      </c>
      <c r="BD3897" s="2" t="s">
        <v>82</v>
      </c>
      <c r="BE3897" s="2">
        <v>41</v>
      </c>
      <c r="BF3897" s="2" t="s">
        <v>82</v>
      </c>
      <c r="BG3897" s="2"/>
      <c r="BH3897" s="2"/>
      <c r="BI3897" s="2"/>
      <c r="BJ3897" s="2">
        <v>241</v>
      </c>
      <c r="BK3897" s="2" t="s">
        <v>82</v>
      </c>
      <c r="BL3897" s="2"/>
      <c r="BM3897" s="2">
        <v>241</v>
      </c>
      <c r="BN3897" s="2" t="s">
        <v>82</v>
      </c>
      <c r="BO3897" s="2"/>
      <c r="BP3897" s="2">
        <v>241</v>
      </c>
      <c r="BQ3897" s="2" t="s">
        <v>82</v>
      </c>
      <c r="BR3897" s="2"/>
      <c r="BS3897" s="3">
        <v>40444</v>
      </c>
      <c r="BT3897" s="4">
        <v>0.64358796296296295</v>
      </c>
    </row>
    <row r="3898" spans="1:72" x14ac:dyDescent="0.25">
      <c r="A3898" s="2">
        <v>5823</v>
      </c>
      <c r="B3898" s="2">
        <v>2010</v>
      </c>
      <c r="C3898" s="2" t="s">
        <v>121</v>
      </c>
      <c r="D3898" s="2" t="s">
        <v>122</v>
      </c>
      <c r="E3898" s="2" t="s">
        <v>12331</v>
      </c>
      <c r="F3898" s="2">
        <v>1</v>
      </c>
      <c r="G3898" s="2" t="s">
        <v>82</v>
      </c>
      <c r="H3898" s="2">
        <v>1</v>
      </c>
      <c r="I3898" s="2" t="s">
        <v>82</v>
      </c>
      <c r="J3898" s="2">
        <v>1</v>
      </c>
      <c r="K3898" s="2" t="s">
        <v>107</v>
      </c>
      <c r="L3898" s="2" t="s">
        <v>107</v>
      </c>
      <c r="M3898" s="3">
        <v>40444</v>
      </c>
      <c r="N3898" s="2"/>
      <c r="O3898" s="2"/>
      <c r="P3898" s="2"/>
      <c r="Q3898" s="2" t="str">
        <f>""</f>
        <v/>
      </c>
      <c r="R3898" s="2"/>
      <c r="S3898" s="2"/>
      <c r="T3898" s="2">
        <v>2</v>
      </c>
      <c r="U3898" s="2" t="s">
        <v>123</v>
      </c>
      <c r="V3898" s="2">
        <v>1</v>
      </c>
      <c r="W3898" s="2" t="s">
        <v>80</v>
      </c>
      <c r="X3898" s="2">
        <v>1</v>
      </c>
      <c r="Y3898" s="2" t="s">
        <v>81</v>
      </c>
      <c r="Z3898" s="2">
        <v>13</v>
      </c>
      <c r="AA3898" s="2" t="s">
        <v>3158</v>
      </c>
      <c r="AB3898" s="2">
        <v>9</v>
      </c>
      <c r="AC3898" s="2" t="s">
        <v>124</v>
      </c>
      <c r="AD3898" s="3">
        <v>40444</v>
      </c>
      <c r="AE3898" s="4">
        <v>0.74305555555555547</v>
      </c>
      <c r="AF3898" s="2"/>
      <c r="AG3898" s="2"/>
      <c r="AH3898" s="2">
        <v>4</v>
      </c>
      <c r="AI3898" s="2" t="s">
        <v>125</v>
      </c>
      <c r="AJ3898" s="2">
        <v>33</v>
      </c>
      <c r="AK3898" s="2" t="s">
        <v>126</v>
      </c>
      <c r="AL3898" s="2">
        <v>10</v>
      </c>
      <c r="AM3898" s="2" t="s">
        <v>200</v>
      </c>
      <c r="AN3898" s="2" t="s">
        <v>12323</v>
      </c>
      <c r="AO3898" s="2"/>
      <c r="AP3898" s="2">
        <v>11</v>
      </c>
      <c r="AQ3898" s="2" t="s">
        <v>82</v>
      </c>
      <c r="AR3898" s="2"/>
      <c r="AS3898" s="2"/>
      <c r="AT3898" s="2" t="s">
        <v>12332</v>
      </c>
      <c r="AU3898" s="2"/>
      <c r="AV3898" s="2"/>
      <c r="AW3898" s="2"/>
      <c r="AX3898" s="2"/>
      <c r="AY3898" s="2">
        <v>41</v>
      </c>
      <c r="AZ3898" s="2" t="s">
        <v>82</v>
      </c>
      <c r="BA3898" s="2">
        <v>41</v>
      </c>
      <c r="BB3898" s="2" t="s">
        <v>82</v>
      </c>
      <c r="BC3898" s="2">
        <v>41</v>
      </c>
      <c r="BD3898" s="2" t="s">
        <v>82</v>
      </c>
      <c r="BE3898" s="2">
        <v>42</v>
      </c>
      <c r="BF3898" s="2" t="s">
        <v>182</v>
      </c>
      <c r="BG3898" s="2" t="s">
        <v>853</v>
      </c>
      <c r="BH3898" s="4">
        <v>0.4513888888888889</v>
      </c>
      <c r="BI3898" s="4">
        <v>0.74305555555555547</v>
      </c>
      <c r="BJ3898" s="2">
        <v>241</v>
      </c>
      <c r="BK3898" s="2" t="s">
        <v>82</v>
      </c>
      <c r="BL3898" s="2" t="s">
        <v>6582</v>
      </c>
      <c r="BM3898" s="2">
        <v>13</v>
      </c>
      <c r="BN3898" s="2" t="s">
        <v>91</v>
      </c>
      <c r="BO3898" s="2"/>
      <c r="BP3898" s="2">
        <v>241</v>
      </c>
      <c r="BQ3898" s="2" t="s">
        <v>82</v>
      </c>
      <c r="BR3898" s="2" t="s">
        <v>185</v>
      </c>
      <c r="BS3898" s="3">
        <v>40444</v>
      </c>
      <c r="BT3898" s="4">
        <v>0.74493055555555554</v>
      </c>
    </row>
    <row r="3899" spans="1:72" x14ac:dyDescent="0.25">
      <c r="A3899" s="2">
        <v>5825</v>
      </c>
      <c r="B3899" s="2">
        <v>2010</v>
      </c>
      <c r="C3899" s="2" t="s">
        <v>806</v>
      </c>
      <c r="D3899" s="2" t="s">
        <v>73</v>
      </c>
      <c r="E3899" s="2"/>
      <c r="F3899" s="2">
        <v>52</v>
      </c>
      <c r="G3899" s="2" t="s">
        <v>2963</v>
      </c>
      <c r="H3899" s="2">
        <v>89</v>
      </c>
      <c r="I3899" s="2" t="s">
        <v>5137</v>
      </c>
      <c r="J3899" s="2">
        <v>516</v>
      </c>
      <c r="K3899" s="2" t="s">
        <v>5138</v>
      </c>
      <c r="L3899" s="2" t="s">
        <v>5139</v>
      </c>
      <c r="M3899" s="3">
        <v>40444</v>
      </c>
      <c r="N3899" s="2" t="s">
        <v>5140</v>
      </c>
      <c r="O3899" s="2" t="s">
        <v>11584</v>
      </c>
      <c r="P3899" s="2" t="s">
        <v>12277</v>
      </c>
      <c r="Q3899" s="2" t="str">
        <f>""</f>
        <v/>
      </c>
      <c r="R3899" s="2"/>
      <c r="S3899" s="2"/>
      <c r="T3899" s="2">
        <v>1</v>
      </c>
      <c r="U3899" s="2" t="s">
        <v>79</v>
      </c>
      <c r="V3899" s="2">
        <v>1</v>
      </c>
      <c r="W3899" s="2" t="s">
        <v>80</v>
      </c>
      <c r="X3899" s="2">
        <v>7</v>
      </c>
      <c r="Y3899" s="2" t="s">
        <v>1964</v>
      </c>
      <c r="Z3899" s="2">
        <v>1</v>
      </c>
      <c r="AA3899" s="2" t="s">
        <v>82</v>
      </c>
      <c r="AB3899" s="2">
        <v>9</v>
      </c>
      <c r="AC3899" s="2" t="s">
        <v>124</v>
      </c>
      <c r="AD3899" s="3">
        <v>40444</v>
      </c>
      <c r="AE3899" s="4">
        <v>0.6875</v>
      </c>
      <c r="AF3899" s="3">
        <v>40443</v>
      </c>
      <c r="AG3899" s="4">
        <v>0.45833333333333331</v>
      </c>
      <c r="AH3899" s="2">
        <v>7</v>
      </c>
      <c r="AI3899" s="2" t="s">
        <v>801</v>
      </c>
      <c r="AJ3899" s="2">
        <v>4</v>
      </c>
      <c r="AK3899" s="2" t="s">
        <v>2397</v>
      </c>
      <c r="AL3899" s="2">
        <v>23</v>
      </c>
      <c r="AM3899" s="2" t="s">
        <v>251</v>
      </c>
      <c r="AN3899" s="2"/>
      <c r="AO3899" s="2" t="s">
        <v>12333</v>
      </c>
      <c r="AP3899" s="2">
        <v>11</v>
      </c>
      <c r="AQ3899" s="2" t="s">
        <v>82</v>
      </c>
      <c r="AR3899" s="2"/>
      <c r="AS3899" s="2"/>
      <c r="AT3899" s="2" t="s">
        <v>12334</v>
      </c>
      <c r="AU3899" s="2">
        <v>1</v>
      </c>
      <c r="AV3899" s="2"/>
      <c r="AW3899" s="2"/>
      <c r="AX3899" s="2"/>
      <c r="AY3899" s="2">
        <v>41</v>
      </c>
      <c r="AZ3899" s="2" t="s">
        <v>82</v>
      </c>
      <c r="BA3899" s="2">
        <v>41</v>
      </c>
      <c r="BB3899" s="2" t="s">
        <v>82</v>
      </c>
      <c r="BC3899" s="2">
        <v>41</v>
      </c>
      <c r="BD3899" s="2" t="s">
        <v>82</v>
      </c>
      <c r="BE3899" s="2">
        <v>41</v>
      </c>
      <c r="BF3899" s="2" t="s">
        <v>82</v>
      </c>
      <c r="BG3899" s="2" t="s">
        <v>82</v>
      </c>
      <c r="BH3899" s="2"/>
      <c r="BI3899" s="2"/>
      <c r="BJ3899" s="2">
        <v>241</v>
      </c>
      <c r="BK3899" s="2" t="s">
        <v>82</v>
      </c>
      <c r="BL3899" s="2" t="s">
        <v>82</v>
      </c>
      <c r="BM3899" s="2">
        <v>241</v>
      </c>
      <c r="BN3899" s="2" t="s">
        <v>82</v>
      </c>
      <c r="BO3899" s="2"/>
      <c r="BP3899" s="2">
        <v>241</v>
      </c>
      <c r="BQ3899" s="2" t="s">
        <v>82</v>
      </c>
      <c r="BR3899" s="2" t="s">
        <v>82</v>
      </c>
      <c r="BS3899" s="3">
        <v>40444</v>
      </c>
      <c r="BT3899" s="4">
        <v>0.84576388888888887</v>
      </c>
    </row>
    <row r="3900" spans="1:72" x14ac:dyDescent="0.25">
      <c r="A3900" s="2">
        <v>5826</v>
      </c>
      <c r="B3900" s="2">
        <v>2010</v>
      </c>
      <c r="C3900" s="2" t="s">
        <v>171</v>
      </c>
      <c r="D3900" s="2" t="s">
        <v>73</v>
      </c>
      <c r="E3900" s="2"/>
      <c r="F3900" s="2">
        <v>471</v>
      </c>
      <c r="G3900" s="2" t="s">
        <v>6201</v>
      </c>
      <c r="H3900" s="2">
        <v>66</v>
      </c>
      <c r="I3900" s="2" t="s">
        <v>3190</v>
      </c>
      <c r="J3900" s="2">
        <v>374</v>
      </c>
      <c r="K3900" s="2" t="s">
        <v>1191</v>
      </c>
      <c r="L3900" s="2" t="s">
        <v>132</v>
      </c>
      <c r="M3900" s="3">
        <v>40444</v>
      </c>
      <c r="N3900" s="2" t="s">
        <v>1192</v>
      </c>
      <c r="O3900" s="2" t="s">
        <v>12335</v>
      </c>
      <c r="P3900" s="2" t="s">
        <v>12104</v>
      </c>
      <c r="Q3900" s="2" t="str">
        <f>"0022/2010"</f>
        <v>0022/2010</v>
      </c>
      <c r="R3900" s="2" t="s">
        <v>12336</v>
      </c>
      <c r="S3900" s="2"/>
      <c r="T3900" s="2">
        <v>1</v>
      </c>
      <c r="U3900" s="2" t="s">
        <v>79</v>
      </c>
      <c r="V3900" s="2">
        <v>1</v>
      </c>
      <c r="W3900" s="2" t="s">
        <v>80</v>
      </c>
      <c r="X3900" s="2">
        <v>8</v>
      </c>
      <c r="Y3900" s="2" t="s">
        <v>375</v>
      </c>
      <c r="Z3900" s="2">
        <v>1</v>
      </c>
      <c r="AA3900" s="2" t="s">
        <v>82</v>
      </c>
      <c r="AB3900" s="2">
        <v>1</v>
      </c>
      <c r="AC3900" s="2" t="s">
        <v>178</v>
      </c>
      <c r="AD3900" s="3">
        <v>40444</v>
      </c>
      <c r="AE3900" s="4">
        <v>0.625</v>
      </c>
      <c r="AF3900" s="2"/>
      <c r="AG3900" s="2"/>
      <c r="AH3900" s="2">
        <v>5</v>
      </c>
      <c r="AI3900" s="2" t="s">
        <v>274</v>
      </c>
      <c r="AJ3900" s="2">
        <v>35</v>
      </c>
      <c r="AK3900" s="2" t="s">
        <v>275</v>
      </c>
      <c r="AL3900" s="2">
        <v>23</v>
      </c>
      <c r="AM3900" s="2" t="s">
        <v>251</v>
      </c>
      <c r="AN3900" s="2" t="s">
        <v>12337</v>
      </c>
      <c r="AO3900" s="2" t="s">
        <v>284</v>
      </c>
      <c r="AP3900" s="2">
        <v>11</v>
      </c>
      <c r="AQ3900" s="2" t="s">
        <v>82</v>
      </c>
      <c r="AR3900" s="2"/>
      <c r="AS3900" s="2"/>
      <c r="AT3900" s="2" t="s">
        <v>12338</v>
      </c>
      <c r="AU3900" s="2"/>
      <c r="AV3900" s="2"/>
      <c r="AW3900" s="2"/>
      <c r="AX3900" s="2"/>
      <c r="AY3900" s="2">
        <v>41</v>
      </c>
      <c r="AZ3900" s="2" t="s">
        <v>82</v>
      </c>
      <c r="BA3900" s="2">
        <v>41</v>
      </c>
      <c r="BB3900" s="2" t="s">
        <v>82</v>
      </c>
      <c r="BC3900" s="2">
        <v>41</v>
      </c>
      <c r="BD3900" s="2" t="s">
        <v>82</v>
      </c>
      <c r="BE3900" s="2">
        <v>41</v>
      </c>
      <c r="BF3900" s="2" t="s">
        <v>82</v>
      </c>
      <c r="BG3900" s="2"/>
      <c r="BH3900" s="2"/>
      <c r="BI3900" s="2"/>
      <c r="BJ3900" s="2">
        <v>241</v>
      </c>
      <c r="BK3900" s="2" t="s">
        <v>82</v>
      </c>
      <c r="BL3900" s="2"/>
      <c r="BM3900" s="2">
        <v>241</v>
      </c>
      <c r="BN3900" s="2" t="s">
        <v>82</v>
      </c>
      <c r="BO3900" s="2"/>
      <c r="BP3900" s="2">
        <v>241</v>
      </c>
      <c r="BQ3900" s="2" t="s">
        <v>82</v>
      </c>
      <c r="BR3900" s="2"/>
      <c r="BS3900" s="3">
        <v>40444</v>
      </c>
      <c r="BT3900" s="4">
        <v>0.84652777777777777</v>
      </c>
    </row>
    <row r="3901" spans="1:72" x14ac:dyDescent="0.25">
      <c r="A3901" s="2">
        <v>5827</v>
      </c>
      <c r="B3901" s="2">
        <v>2010</v>
      </c>
      <c r="C3901" s="2" t="s">
        <v>385</v>
      </c>
      <c r="D3901" s="2" t="s">
        <v>122</v>
      </c>
      <c r="E3901" s="2" t="s">
        <v>12339</v>
      </c>
      <c r="F3901" s="2">
        <v>395</v>
      </c>
      <c r="G3901" s="2" t="s">
        <v>1076</v>
      </c>
      <c r="H3901" s="2">
        <v>7</v>
      </c>
      <c r="I3901" s="2" t="s">
        <v>476</v>
      </c>
      <c r="J3901" s="2">
        <v>242</v>
      </c>
      <c r="K3901" s="2" t="s">
        <v>1077</v>
      </c>
      <c r="L3901" s="2" t="s">
        <v>1078</v>
      </c>
      <c r="M3901" s="3">
        <v>40444</v>
      </c>
      <c r="N3901" s="2" t="s">
        <v>1079</v>
      </c>
      <c r="O3901" s="2"/>
      <c r="P3901" s="2"/>
      <c r="Q3901" s="2" t="str">
        <f>"483-E/10"</f>
        <v>483-E/10</v>
      </c>
      <c r="R3901" s="2"/>
      <c r="S3901" s="2" t="s">
        <v>3768</v>
      </c>
      <c r="T3901" s="2">
        <v>1</v>
      </c>
      <c r="U3901" s="2" t="s">
        <v>79</v>
      </c>
      <c r="V3901" s="2">
        <v>1</v>
      </c>
      <c r="W3901" s="2" t="s">
        <v>80</v>
      </c>
      <c r="X3901" s="2">
        <v>11</v>
      </c>
      <c r="Y3901" s="2" t="s">
        <v>1920</v>
      </c>
      <c r="Z3901" s="2">
        <v>10</v>
      </c>
      <c r="AA3901" s="2" t="s">
        <v>236</v>
      </c>
      <c r="AB3901" s="2">
        <v>9</v>
      </c>
      <c r="AC3901" s="2" t="s">
        <v>124</v>
      </c>
      <c r="AD3901" s="3">
        <v>40443</v>
      </c>
      <c r="AE3901" s="4">
        <v>0.79166666666666663</v>
      </c>
      <c r="AF3901" s="2"/>
      <c r="AG3901" s="2"/>
      <c r="AH3901" s="2">
        <v>2</v>
      </c>
      <c r="AI3901" s="2" t="s">
        <v>84</v>
      </c>
      <c r="AJ3901" s="2">
        <v>9</v>
      </c>
      <c r="AK3901" s="2" t="s">
        <v>103</v>
      </c>
      <c r="AL3901" s="2">
        <v>14</v>
      </c>
      <c r="AM3901" s="2" t="s">
        <v>216</v>
      </c>
      <c r="AN3901" s="2" t="s">
        <v>179</v>
      </c>
      <c r="AO3901" s="2"/>
      <c r="AP3901" s="2">
        <v>11</v>
      </c>
      <c r="AQ3901" s="2" t="s">
        <v>82</v>
      </c>
      <c r="AR3901" s="2"/>
      <c r="AS3901" s="2"/>
      <c r="AT3901" s="2" t="s">
        <v>12340</v>
      </c>
      <c r="AU3901" s="2"/>
      <c r="AV3901" s="2">
        <v>1</v>
      </c>
      <c r="AW3901" s="2"/>
      <c r="AX3901" s="2"/>
      <c r="AY3901" s="2">
        <v>41</v>
      </c>
      <c r="AZ3901" s="2" t="s">
        <v>82</v>
      </c>
      <c r="BA3901" s="2">
        <v>41</v>
      </c>
      <c r="BB3901" s="2" t="s">
        <v>82</v>
      </c>
      <c r="BC3901" s="2">
        <v>41</v>
      </c>
      <c r="BD3901" s="2" t="s">
        <v>82</v>
      </c>
      <c r="BE3901" s="2">
        <v>27</v>
      </c>
      <c r="BF3901" s="2" t="s">
        <v>2197</v>
      </c>
      <c r="BG3901" s="2" t="s">
        <v>8204</v>
      </c>
      <c r="BH3901" s="4">
        <v>4.1666666666666664E-2</v>
      </c>
      <c r="BI3901" s="4">
        <v>0.50694444444444442</v>
      </c>
      <c r="BJ3901" s="2">
        <v>13</v>
      </c>
      <c r="BK3901" s="2" t="s">
        <v>91</v>
      </c>
      <c r="BL3901" s="2" t="s">
        <v>185</v>
      </c>
      <c r="BM3901" s="2">
        <v>112</v>
      </c>
      <c r="BN3901" s="2" t="s">
        <v>110</v>
      </c>
      <c r="BO3901" s="2"/>
      <c r="BP3901" s="2">
        <v>112</v>
      </c>
      <c r="BQ3901" s="2" t="s">
        <v>110</v>
      </c>
      <c r="BR3901" s="2" t="s">
        <v>111</v>
      </c>
      <c r="BS3901" s="3">
        <v>40444</v>
      </c>
      <c r="BT3901" s="4">
        <v>0.86237268518518517</v>
      </c>
    </row>
    <row r="3902" spans="1:72" x14ac:dyDescent="0.25">
      <c r="A3902" s="2">
        <v>5828</v>
      </c>
      <c r="B3902" s="2">
        <v>2010</v>
      </c>
      <c r="C3902" s="2" t="s">
        <v>121</v>
      </c>
      <c r="D3902" s="2" t="s">
        <v>122</v>
      </c>
      <c r="E3902" s="2"/>
      <c r="F3902" s="2">
        <v>1</v>
      </c>
      <c r="G3902" s="2" t="s">
        <v>82</v>
      </c>
      <c r="H3902" s="2">
        <v>1</v>
      </c>
      <c r="I3902" s="2" t="s">
        <v>82</v>
      </c>
      <c r="J3902" s="2">
        <v>1</v>
      </c>
      <c r="K3902" s="2" t="s">
        <v>107</v>
      </c>
      <c r="L3902" s="2" t="s">
        <v>107</v>
      </c>
      <c r="M3902" s="3">
        <v>40444</v>
      </c>
      <c r="N3902" s="2"/>
      <c r="O3902" s="2"/>
      <c r="P3902" s="2"/>
      <c r="Q3902" s="2" t="str">
        <f>""</f>
        <v/>
      </c>
      <c r="R3902" s="2"/>
      <c r="S3902" s="2"/>
      <c r="T3902" s="2">
        <v>2</v>
      </c>
      <c r="U3902" s="2" t="s">
        <v>123</v>
      </c>
      <c r="V3902" s="2">
        <v>1</v>
      </c>
      <c r="W3902" s="2" t="s">
        <v>80</v>
      </c>
      <c r="X3902" s="2">
        <v>1</v>
      </c>
      <c r="Y3902" s="2" t="s">
        <v>81</v>
      </c>
      <c r="Z3902" s="2">
        <v>1</v>
      </c>
      <c r="AA3902" s="2" t="s">
        <v>82</v>
      </c>
      <c r="AB3902" s="2">
        <v>9</v>
      </c>
      <c r="AC3902" s="2" t="s">
        <v>124</v>
      </c>
      <c r="AD3902" s="3">
        <v>40444</v>
      </c>
      <c r="AE3902" s="2"/>
      <c r="AF3902" s="2"/>
      <c r="AG3902" s="2"/>
      <c r="AH3902" s="2">
        <v>5</v>
      </c>
      <c r="AI3902" s="2" t="s">
        <v>274</v>
      </c>
      <c r="AJ3902" s="2">
        <v>41</v>
      </c>
      <c r="AK3902" s="2" t="s">
        <v>2751</v>
      </c>
      <c r="AL3902" s="2">
        <v>19</v>
      </c>
      <c r="AM3902" s="2" t="s">
        <v>107</v>
      </c>
      <c r="AN3902" s="2"/>
      <c r="AO3902" s="2"/>
      <c r="AP3902" s="2">
        <v>11</v>
      </c>
      <c r="AQ3902" s="2" t="s">
        <v>82</v>
      </c>
      <c r="AR3902" s="2"/>
      <c r="AS3902" s="2"/>
      <c r="AT3902" s="2" t="s">
        <v>12341</v>
      </c>
      <c r="AU3902" s="2"/>
      <c r="AV3902" s="2"/>
      <c r="AW3902" s="2"/>
      <c r="AX3902" s="2"/>
      <c r="AY3902" s="2">
        <v>41</v>
      </c>
      <c r="AZ3902" s="2" t="s">
        <v>82</v>
      </c>
      <c r="BA3902" s="2">
        <v>41</v>
      </c>
      <c r="BB3902" s="2" t="s">
        <v>82</v>
      </c>
      <c r="BC3902" s="2">
        <v>41</v>
      </c>
      <c r="BD3902" s="2" t="s">
        <v>82</v>
      </c>
      <c r="BE3902" s="2">
        <v>41</v>
      </c>
      <c r="BF3902" s="2" t="s">
        <v>82</v>
      </c>
      <c r="BG3902" s="2"/>
      <c r="BH3902" s="2"/>
      <c r="BI3902" s="2"/>
      <c r="BJ3902" s="2">
        <v>241</v>
      </c>
      <c r="BK3902" s="2" t="s">
        <v>82</v>
      </c>
      <c r="BL3902" s="2"/>
      <c r="BM3902" s="2">
        <v>241</v>
      </c>
      <c r="BN3902" s="2" t="s">
        <v>82</v>
      </c>
      <c r="BO3902" s="2"/>
      <c r="BP3902" s="2">
        <v>241</v>
      </c>
      <c r="BQ3902" s="2" t="s">
        <v>82</v>
      </c>
      <c r="BR3902" s="2"/>
      <c r="BS3902" s="3">
        <v>40444</v>
      </c>
      <c r="BT3902" s="4">
        <v>0.89839120370370373</v>
      </c>
    </row>
    <row r="3903" spans="1:72" x14ac:dyDescent="0.25">
      <c r="A3903" s="2">
        <v>5829</v>
      </c>
      <c r="B3903" s="2">
        <v>2010</v>
      </c>
      <c r="C3903" s="2" t="s">
        <v>72</v>
      </c>
      <c r="D3903" s="2" t="s">
        <v>73</v>
      </c>
      <c r="E3903" s="2"/>
      <c r="F3903" s="2">
        <v>638</v>
      </c>
      <c r="G3903" s="2" t="s">
        <v>8288</v>
      </c>
      <c r="H3903" s="2">
        <v>4</v>
      </c>
      <c r="I3903" s="2" t="s">
        <v>173</v>
      </c>
      <c r="J3903" s="2">
        <v>587</v>
      </c>
      <c r="K3903" s="2" t="s">
        <v>8411</v>
      </c>
      <c r="L3903" s="2" t="s">
        <v>8412</v>
      </c>
      <c r="M3903" s="3">
        <v>40444</v>
      </c>
      <c r="N3903" s="2" t="s">
        <v>10459</v>
      </c>
      <c r="O3903" s="2" t="s">
        <v>107</v>
      </c>
      <c r="P3903" s="2" t="s">
        <v>107</v>
      </c>
      <c r="Q3903" s="2" t="str">
        <f>"57/2010"</f>
        <v>57/2010</v>
      </c>
      <c r="R3903" s="2" t="s">
        <v>116</v>
      </c>
      <c r="S3903" s="2" t="s">
        <v>116</v>
      </c>
      <c r="T3903" s="2">
        <v>1</v>
      </c>
      <c r="U3903" s="2" t="s">
        <v>79</v>
      </c>
      <c r="V3903" s="2">
        <v>1</v>
      </c>
      <c r="W3903" s="2" t="s">
        <v>80</v>
      </c>
      <c r="X3903" s="2">
        <v>12</v>
      </c>
      <c r="Y3903" s="2" t="s">
        <v>148</v>
      </c>
      <c r="Z3903" s="2">
        <v>1</v>
      </c>
      <c r="AA3903" s="2" t="s">
        <v>82</v>
      </c>
      <c r="AB3903" s="2">
        <v>6</v>
      </c>
      <c r="AC3903" s="2" t="s">
        <v>83</v>
      </c>
      <c r="AD3903" s="3">
        <v>40444</v>
      </c>
      <c r="AE3903" s="4">
        <v>0.75347222222222221</v>
      </c>
      <c r="AF3903" s="3">
        <v>40444</v>
      </c>
      <c r="AG3903" s="4">
        <v>0.88888888888888884</v>
      </c>
      <c r="AH3903" s="2">
        <v>3</v>
      </c>
      <c r="AI3903" s="2" t="s">
        <v>214</v>
      </c>
      <c r="AJ3903" s="2">
        <v>24</v>
      </c>
      <c r="AK3903" s="2" t="s">
        <v>215</v>
      </c>
      <c r="AL3903" s="2">
        <v>22</v>
      </c>
      <c r="AM3903" s="2" t="s">
        <v>1853</v>
      </c>
      <c r="AN3903" s="2"/>
      <c r="AO3903" s="2"/>
      <c r="AP3903" s="2">
        <v>11</v>
      </c>
      <c r="AQ3903" s="2" t="s">
        <v>82</v>
      </c>
      <c r="AR3903" s="2" t="s">
        <v>82</v>
      </c>
      <c r="AS3903" s="2" t="s">
        <v>82</v>
      </c>
      <c r="AT3903" s="2" t="s">
        <v>12342</v>
      </c>
      <c r="AU3903" s="2"/>
      <c r="AV3903" s="2"/>
      <c r="AW3903" s="2"/>
      <c r="AX3903" s="2"/>
      <c r="AY3903" s="2">
        <v>41</v>
      </c>
      <c r="AZ3903" s="2" t="s">
        <v>82</v>
      </c>
      <c r="BA3903" s="2">
        <v>41</v>
      </c>
      <c r="BB3903" s="2" t="s">
        <v>82</v>
      </c>
      <c r="BC3903" s="2">
        <v>41</v>
      </c>
      <c r="BD3903" s="2" t="s">
        <v>82</v>
      </c>
      <c r="BE3903" s="2">
        <v>4</v>
      </c>
      <c r="BF3903" s="2" t="s">
        <v>90</v>
      </c>
      <c r="BG3903" s="2">
        <v>4216</v>
      </c>
      <c r="BH3903" s="4">
        <v>0.84722222222222221</v>
      </c>
      <c r="BI3903" s="4">
        <v>0.80208333333333337</v>
      </c>
      <c r="BJ3903" s="2">
        <v>13</v>
      </c>
      <c r="BK3903" s="2" t="s">
        <v>91</v>
      </c>
      <c r="BL3903" s="2" t="s">
        <v>170</v>
      </c>
      <c r="BM3903" s="2">
        <v>13</v>
      </c>
      <c r="BN3903" s="2" t="s">
        <v>91</v>
      </c>
      <c r="BO3903" s="2"/>
      <c r="BP3903" s="2">
        <v>13</v>
      </c>
      <c r="BQ3903" s="2" t="s">
        <v>91</v>
      </c>
      <c r="BR3903" s="2" t="s">
        <v>169</v>
      </c>
      <c r="BS3903" s="3">
        <v>40444</v>
      </c>
      <c r="BT3903" s="4">
        <v>0.91226851851851853</v>
      </c>
    </row>
    <row r="3904" spans="1:72" x14ac:dyDescent="0.25">
      <c r="A3904" s="2">
        <v>5833</v>
      </c>
      <c r="B3904" s="2">
        <v>2010</v>
      </c>
      <c r="C3904" s="2" t="s">
        <v>171</v>
      </c>
      <c r="D3904" s="2" t="s">
        <v>73</v>
      </c>
      <c r="E3904" s="2"/>
      <c r="F3904" s="2">
        <v>337</v>
      </c>
      <c r="G3904" s="2" t="s">
        <v>1190</v>
      </c>
      <c r="H3904" s="2">
        <v>66</v>
      </c>
      <c r="I3904" s="2" t="s">
        <v>3190</v>
      </c>
      <c r="J3904" s="2">
        <v>374</v>
      </c>
      <c r="K3904" s="2" t="s">
        <v>1191</v>
      </c>
      <c r="L3904" s="2" t="s">
        <v>132</v>
      </c>
      <c r="M3904" s="3">
        <v>40445</v>
      </c>
      <c r="N3904" s="2" t="s">
        <v>6981</v>
      </c>
      <c r="O3904" s="2" t="s">
        <v>12343</v>
      </c>
      <c r="P3904" s="2" t="s">
        <v>12344</v>
      </c>
      <c r="Q3904" s="2" t="str">
        <f>"0022/10"</f>
        <v>0022/10</v>
      </c>
      <c r="R3904" s="2"/>
      <c r="S3904" s="2"/>
      <c r="T3904" s="2">
        <v>1</v>
      </c>
      <c r="U3904" s="2" t="s">
        <v>79</v>
      </c>
      <c r="V3904" s="2">
        <v>1</v>
      </c>
      <c r="W3904" s="2" t="s">
        <v>80</v>
      </c>
      <c r="X3904" s="2">
        <v>9</v>
      </c>
      <c r="Y3904" s="2" t="s">
        <v>3393</v>
      </c>
      <c r="Z3904" s="2">
        <v>1</v>
      </c>
      <c r="AA3904" s="2" t="s">
        <v>82</v>
      </c>
      <c r="AB3904" s="2">
        <v>1</v>
      </c>
      <c r="AC3904" s="2" t="s">
        <v>178</v>
      </c>
      <c r="AD3904" s="3">
        <v>40444</v>
      </c>
      <c r="AE3904" s="4">
        <v>0.625</v>
      </c>
      <c r="AF3904" s="2"/>
      <c r="AG3904" s="2"/>
      <c r="AH3904" s="2">
        <v>5</v>
      </c>
      <c r="AI3904" s="2" t="s">
        <v>274</v>
      </c>
      <c r="AJ3904" s="2">
        <v>35</v>
      </c>
      <c r="AK3904" s="2" t="s">
        <v>275</v>
      </c>
      <c r="AL3904" s="2">
        <v>23</v>
      </c>
      <c r="AM3904" s="2" t="s">
        <v>251</v>
      </c>
      <c r="AN3904" s="2" t="s">
        <v>12345</v>
      </c>
      <c r="AO3904" s="2" t="s">
        <v>284</v>
      </c>
      <c r="AP3904" s="2">
        <v>11</v>
      </c>
      <c r="AQ3904" s="2" t="s">
        <v>82</v>
      </c>
      <c r="AR3904" s="2"/>
      <c r="AS3904" s="2"/>
      <c r="AT3904" s="2" t="s">
        <v>12346</v>
      </c>
      <c r="AU3904" s="2"/>
      <c r="AV3904" s="2">
        <v>2</v>
      </c>
      <c r="AW3904" s="2"/>
      <c r="AX3904" s="2"/>
      <c r="AY3904" s="2">
        <v>41</v>
      </c>
      <c r="AZ3904" s="2" t="s">
        <v>82</v>
      </c>
      <c r="BA3904" s="2">
        <v>41</v>
      </c>
      <c r="BB3904" s="2" t="s">
        <v>82</v>
      </c>
      <c r="BC3904" s="2">
        <v>41</v>
      </c>
      <c r="BD3904" s="2" t="s">
        <v>82</v>
      </c>
      <c r="BE3904" s="2">
        <v>41</v>
      </c>
      <c r="BF3904" s="2" t="s">
        <v>82</v>
      </c>
      <c r="BG3904" s="2"/>
      <c r="BH3904" s="2"/>
      <c r="BI3904" s="2"/>
      <c r="BJ3904" s="2">
        <v>241</v>
      </c>
      <c r="BK3904" s="2" t="s">
        <v>82</v>
      </c>
      <c r="BL3904" s="2"/>
      <c r="BM3904" s="2">
        <v>241</v>
      </c>
      <c r="BN3904" s="2" t="s">
        <v>82</v>
      </c>
      <c r="BO3904" s="2"/>
      <c r="BP3904" s="2">
        <v>241</v>
      </c>
      <c r="BQ3904" s="2" t="s">
        <v>82</v>
      </c>
      <c r="BR3904" s="2"/>
      <c r="BS3904" s="3">
        <v>40445</v>
      </c>
      <c r="BT3904" s="4">
        <v>6.159722222222222E-2</v>
      </c>
    </row>
    <row r="3905" spans="1:72" x14ac:dyDescent="0.25">
      <c r="A3905" s="2">
        <v>5834</v>
      </c>
      <c r="B3905" s="2">
        <v>2010</v>
      </c>
      <c r="C3905" s="2" t="s">
        <v>72</v>
      </c>
      <c r="D3905" s="2" t="s">
        <v>73</v>
      </c>
      <c r="E3905" s="2"/>
      <c r="F3905" s="2">
        <v>219</v>
      </c>
      <c r="G3905" s="2" t="s">
        <v>2325</v>
      </c>
      <c r="H3905" s="2">
        <v>42</v>
      </c>
      <c r="I3905" s="2" t="s">
        <v>1096</v>
      </c>
      <c r="J3905" s="2">
        <v>665</v>
      </c>
      <c r="K3905" s="2" t="s">
        <v>12146</v>
      </c>
      <c r="L3905" s="2" t="s">
        <v>12147</v>
      </c>
      <c r="M3905" s="3">
        <v>40445</v>
      </c>
      <c r="N3905" s="2" t="s">
        <v>12148</v>
      </c>
      <c r="O3905" s="2" t="s">
        <v>82</v>
      </c>
      <c r="P3905" s="2" t="s">
        <v>82</v>
      </c>
      <c r="Q3905" s="2" t="str">
        <f>"380-A/10"</f>
        <v>380-A/10</v>
      </c>
      <c r="R3905" s="2" t="s">
        <v>156</v>
      </c>
      <c r="S3905" s="2" t="s">
        <v>156</v>
      </c>
      <c r="T3905" s="2">
        <v>1</v>
      </c>
      <c r="U3905" s="2" t="s">
        <v>79</v>
      </c>
      <c r="V3905" s="2">
        <v>1</v>
      </c>
      <c r="W3905" s="2" t="s">
        <v>80</v>
      </c>
      <c r="X3905" s="2">
        <v>12</v>
      </c>
      <c r="Y3905" s="2" t="s">
        <v>148</v>
      </c>
      <c r="Z3905" s="2">
        <v>1</v>
      </c>
      <c r="AA3905" s="2" t="s">
        <v>82</v>
      </c>
      <c r="AB3905" s="2">
        <v>6</v>
      </c>
      <c r="AC3905" s="2" t="s">
        <v>83</v>
      </c>
      <c r="AD3905" s="3">
        <v>40444</v>
      </c>
      <c r="AE3905" s="2"/>
      <c r="AF3905" s="3">
        <v>40444</v>
      </c>
      <c r="AG3905" s="4">
        <v>0.90763888888888899</v>
      </c>
      <c r="AH3905" s="2">
        <v>2</v>
      </c>
      <c r="AI3905" s="2" t="s">
        <v>84</v>
      </c>
      <c r="AJ3905" s="2">
        <v>12</v>
      </c>
      <c r="AK3905" s="2" t="s">
        <v>85</v>
      </c>
      <c r="AL3905" s="2">
        <v>23</v>
      </c>
      <c r="AM3905" s="2" t="s">
        <v>251</v>
      </c>
      <c r="AN3905" s="2" t="s">
        <v>12347</v>
      </c>
      <c r="AO3905" s="2" t="s">
        <v>12348</v>
      </c>
      <c r="AP3905" s="2">
        <v>11</v>
      </c>
      <c r="AQ3905" s="2" t="s">
        <v>82</v>
      </c>
      <c r="AR3905" s="2"/>
      <c r="AS3905" s="2"/>
      <c r="AT3905" s="2" t="s">
        <v>12349</v>
      </c>
      <c r="AU3905" s="2"/>
      <c r="AV3905" s="2"/>
      <c r="AW3905" s="2"/>
      <c r="AX3905" s="2"/>
      <c r="AY3905" s="2">
        <v>41</v>
      </c>
      <c r="AZ3905" s="2" t="s">
        <v>82</v>
      </c>
      <c r="BA3905" s="2">
        <v>41</v>
      </c>
      <c r="BB3905" s="2" t="s">
        <v>82</v>
      </c>
      <c r="BC3905" s="2">
        <v>41</v>
      </c>
      <c r="BD3905" s="2" t="s">
        <v>82</v>
      </c>
      <c r="BE3905" s="2">
        <v>41</v>
      </c>
      <c r="BF3905" s="2" t="s">
        <v>82</v>
      </c>
      <c r="BG3905" s="2"/>
      <c r="BH3905" s="2"/>
      <c r="BI3905" s="2"/>
      <c r="BJ3905" s="2">
        <v>241</v>
      </c>
      <c r="BK3905" s="2" t="s">
        <v>82</v>
      </c>
      <c r="BL3905" s="2"/>
      <c r="BM3905" s="2">
        <v>241</v>
      </c>
      <c r="BN3905" s="2" t="s">
        <v>82</v>
      </c>
      <c r="BO3905" s="2"/>
      <c r="BP3905" s="2">
        <v>241</v>
      </c>
      <c r="BQ3905" s="2" t="s">
        <v>82</v>
      </c>
      <c r="BR3905" s="2"/>
      <c r="BS3905" s="3">
        <v>40445</v>
      </c>
      <c r="BT3905" s="4">
        <v>0.12685185185185185</v>
      </c>
    </row>
    <row r="3906" spans="1:72" x14ac:dyDescent="0.25">
      <c r="A3906" s="2">
        <v>5835</v>
      </c>
      <c r="B3906" s="2">
        <v>2010</v>
      </c>
      <c r="C3906" s="2" t="s">
        <v>1402</v>
      </c>
      <c r="D3906" s="2" t="s">
        <v>73</v>
      </c>
      <c r="E3906" s="2"/>
      <c r="F3906" s="2">
        <v>152</v>
      </c>
      <c r="G3906" s="2" t="s">
        <v>7866</v>
      </c>
      <c r="H3906" s="2">
        <v>7</v>
      </c>
      <c r="I3906" s="2" t="s">
        <v>476</v>
      </c>
      <c r="J3906" s="2">
        <v>533</v>
      </c>
      <c r="K3906" s="2" t="s">
        <v>6511</v>
      </c>
      <c r="L3906" s="2" t="s">
        <v>478</v>
      </c>
      <c r="M3906" s="3">
        <v>40445</v>
      </c>
      <c r="N3906" s="2" t="s">
        <v>1384</v>
      </c>
      <c r="O3906" s="2" t="s">
        <v>82</v>
      </c>
      <c r="P3906" s="2" t="s">
        <v>82</v>
      </c>
      <c r="Q3906" s="2" t="str">
        <f>"486-E/10"</f>
        <v>486-E/10</v>
      </c>
      <c r="R3906" s="2" t="s">
        <v>12350</v>
      </c>
      <c r="S3906" s="2" t="s">
        <v>12350</v>
      </c>
      <c r="T3906" s="2">
        <v>1</v>
      </c>
      <c r="U3906" s="2" t="s">
        <v>79</v>
      </c>
      <c r="V3906" s="2">
        <v>1</v>
      </c>
      <c r="W3906" s="2" t="s">
        <v>80</v>
      </c>
      <c r="X3906" s="2">
        <v>12</v>
      </c>
      <c r="Y3906" s="2" t="s">
        <v>148</v>
      </c>
      <c r="Z3906" s="2">
        <v>1</v>
      </c>
      <c r="AA3906" s="2" t="s">
        <v>82</v>
      </c>
      <c r="AB3906" s="2">
        <v>9</v>
      </c>
      <c r="AC3906" s="2" t="s">
        <v>124</v>
      </c>
      <c r="AD3906" s="3">
        <v>40444</v>
      </c>
      <c r="AE3906" s="2"/>
      <c r="AF3906" s="3">
        <v>40444</v>
      </c>
      <c r="AG3906" s="4">
        <v>0.85416666666666663</v>
      </c>
      <c r="AH3906" s="2">
        <v>2</v>
      </c>
      <c r="AI3906" s="2" t="s">
        <v>84</v>
      </c>
      <c r="AJ3906" s="2">
        <v>9</v>
      </c>
      <c r="AK3906" s="2" t="s">
        <v>103</v>
      </c>
      <c r="AL3906" s="2">
        <v>2</v>
      </c>
      <c r="AM3906" s="2" t="s">
        <v>163</v>
      </c>
      <c r="AN3906" s="2" t="s">
        <v>12351</v>
      </c>
      <c r="AO3906" s="2" t="s">
        <v>12352</v>
      </c>
      <c r="AP3906" s="2">
        <v>11</v>
      </c>
      <c r="AQ3906" s="2" t="s">
        <v>82</v>
      </c>
      <c r="AR3906" s="2"/>
      <c r="AS3906" s="2"/>
      <c r="AT3906" s="2" t="s">
        <v>12353</v>
      </c>
      <c r="AU3906" s="2"/>
      <c r="AV3906" s="2"/>
      <c r="AW3906" s="2"/>
      <c r="AX3906" s="2"/>
      <c r="AY3906" s="2">
        <v>41</v>
      </c>
      <c r="AZ3906" s="2" t="s">
        <v>82</v>
      </c>
      <c r="BA3906" s="2">
        <v>41</v>
      </c>
      <c r="BB3906" s="2" t="s">
        <v>82</v>
      </c>
      <c r="BC3906" s="2">
        <v>41</v>
      </c>
      <c r="BD3906" s="2" t="s">
        <v>82</v>
      </c>
      <c r="BE3906" s="2">
        <v>13</v>
      </c>
      <c r="BF3906" s="2" t="s">
        <v>108</v>
      </c>
      <c r="BG3906" s="2">
        <v>1363</v>
      </c>
      <c r="BH3906" s="2"/>
      <c r="BI3906" s="2"/>
      <c r="BJ3906" s="2">
        <v>29</v>
      </c>
      <c r="BK3906" s="2" t="s">
        <v>962</v>
      </c>
      <c r="BL3906" s="2" t="s">
        <v>9486</v>
      </c>
      <c r="BM3906" s="2">
        <v>13</v>
      </c>
      <c r="BN3906" s="2" t="s">
        <v>91</v>
      </c>
      <c r="BO3906" s="2"/>
      <c r="BP3906" s="2">
        <v>13</v>
      </c>
      <c r="BQ3906" s="2" t="s">
        <v>91</v>
      </c>
      <c r="BR3906" s="2" t="s">
        <v>360</v>
      </c>
      <c r="BS3906" s="3">
        <v>40445</v>
      </c>
      <c r="BT3906" s="4">
        <v>0.1436574074074074</v>
      </c>
    </row>
    <row r="3907" spans="1:72" x14ac:dyDescent="0.25">
      <c r="A3907" s="2">
        <v>5836</v>
      </c>
      <c r="B3907" s="2">
        <v>2010</v>
      </c>
      <c r="C3907" s="2" t="s">
        <v>4543</v>
      </c>
      <c r="D3907" s="2" t="s">
        <v>122</v>
      </c>
      <c r="E3907" s="2"/>
      <c r="F3907" s="2">
        <v>204</v>
      </c>
      <c r="G3907" s="2" t="s">
        <v>12354</v>
      </c>
      <c r="H3907" s="2">
        <v>140</v>
      </c>
      <c r="I3907" s="2" t="s">
        <v>12355</v>
      </c>
      <c r="J3907" s="2">
        <v>212</v>
      </c>
      <c r="K3907" s="2" t="s">
        <v>3540</v>
      </c>
      <c r="L3907" s="2" t="s">
        <v>12356</v>
      </c>
      <c r="M3907" s="3">
        <v>40445</v>
      </c>
      <c r="N3907" s="2" t="s">
        <v>12357</v>
      </c>
      <c r="O3907" s="2" t="s">
        <v>82</v>
      </c>
      <c r="P3907" s="2" t="s">
        <v>82</v>
      </c>
      <c r="Q3907" s="2" t="str">
        <f>"N/C"</f>
        <v>N/C</v>
      </c>
      <c r="R3907" s="2" t="s">
        <v>82</v>
      </c>
      <c r="S3907" s="2" t="s">
        <v>82</v>
      </c>
      <c r="T3907" s="2">
        <v>2</v>
      </c>
      <c r="U3907" s="2" t="s">
        <v>123</v>
      </c>
      <c r="V3907" s="2">
        <v>1</v>
      </c>
      <c r="W3907" s="2" t="s">
        <v>80</v>
      </c>
      <c r="X3907" s="2">
        <v>1</v>
      </c>
      <c r="Y3907" s="2" t="s">
        <v>81</v>
      </c>
      <c r="Z3907" s="2">
        <v>1</v>
      </c>
      <c r="AA3907" s="2" t="s">
        <v>82</v>
      </c>
      <c r="AB3907" s="2">
        <v>9</v>
      </c>
      <c r="AC3907" s="2" t="s">
        <v>124</v>
      </c>
      <c r="AD3907" s="3">
        <v>40444</v>
      </c>
      <c r="AE3907" s="4">
        <v>0.93055555555555547</v>
      </c>
      <c r="AF3907" s="2"/>
      <c r="AG3907" s="2"/>
      <c r="AH3907" s="2">
        <v>2</v>
      </c>
      <c r="AI3907" s="2" t="s">
        <v>84</v>
      </c>
      <c r="AJ3907" s="2">
        <v>12</v>
      </c>
      <c r="AK3907" s="2" t="s">
        <v>85</v>
      </c>
      <c r="AL3907" s="2">
        <v>22</v>
      </c>
      <c r="AM3907" s="2" t="s">
        <v>1853</v>
      </c>
      <c r="AN3907" s="2" t="s">
        <v>5016</v>
      </c>
      <c r="AO3907" s="2" t="s">
        <v>179</v>
      </c>
      <c r="AP3907" s="2">
        <v>11</v>
      </c>
      <c r="AQ3907" s="2" t="s">
        <v>82</v>
      </c>
      <c r="AR3907" s="2"/>
      <c r="AS3907" s="2"/>
      <c r="AT3907" s="2" t="s">
        <v>12358</v>
      </c>
      <c r="AU3907" s="2"/>
      <c r="AV3907" s="2"/>
      <c r="AW3907" s="2"/>
      <c r="AX3907" s="2"/>
      <c r="AY3907" s="2">
        <v>41</v>
      </c>
      <c r="AZ3907" s="2" t="s">
        <v>82</v>
      </c>
      <c r="BA3907" s="2">
        <v>41</v>
      </c>
      <c r="BB3907" s="2" t="s">
        <v>82</v>
      </c>
      <c r="BC3907" s="2">
        <v>41</v>
      </c>
      <c r="BD3907" s="2" t="s">
        <v>82</v>
      </c>
      <c r="BE3907" s="2">
        <v>4</v>
      </c>
      <c r="BF3907" s="2" t="s">
        <v>90</v>
      </c>
      <c r="BG3907" s="2" t="s">
        <v>12359</v>
      </c>
      <c r="BH3907" s="2"/>
      <c r="BI3907" s="2"/>
      <c r="BJ3907" s="2">
        <v>13</v>
      </c>
      <c r="BK3907" s="2" t="s">
        <v>91</v>
      </c>
      <c r="BL3907" s="2" t="s">
        <v>564</v>
      </c>
      <c r="BM3907" s="2">
        <v>13</v>
      </c>
      <c r="BN3907" s="2" t="s">
        <v>91</v>
      </c>
      <c r="BO3907" s="2"/>
      <c r="BP3907" s="2">
        <v>13</v>
      </c>
      <c r="BQ3907" s="2" t="s">
        <v>91</v>
      </c>
      <c r="BR3907" s="2" t="s">
        <v>353</v>
      </c>
      <c r="BS3907" s="3">
        <v>40445</v>
      </c>
      <c r="BT3907" s="4">
        <v>0.15280092592592592</v>
      </c>
    </row>
    <row r="3908" spans="1:72" x14ac:dyDescent="0.25">
      <c r="A3908" s="2">
        <v>5837</v>
      </c>
      <c r="B3908" s="2">
        <v>2010</v>
      </c>
      <c r="C3908" s="2" t="s">
        <v>1568</v>
      </c>
      <c r="D3908" s="2" t="s">
        <v>73</v>
      </c>
      <c r="E3908" s="2"/>
      <c r="F3908" s="2">
        <v>390</v>
      </c>
      <c r="G3908" s="2" t="s">
        <v>475</v>
      </c>
      <c r="H3908" s="2">
        <v>7</v>
      </c>
      <c r="I3908" s="2" t="s">
        <v>476</v>
      </c>
      <c r="J3908" s="2">
        <v>533</v>
      </c>
      <c r="K3908" s="2" t="s">
        <v>6511</v>
      </c>
      <c r="L3908" s="2" t="s">
        <v>478</v>
      </c>
      <c r="M3908" s="3">
        <v>40445</v>
      </c>
      <c r="N3908" s="2" t="s">
        <v>11894</v>
      </c>
      <c r="O3908" s="2"/>
      <c r="P3908" s="2"/>
      <c r="Q3908" s="2" t="str">
        <f>"485-E/10"</f>
        <v>485-E/10</v>
      </c>
      <c r="R3908" s="2" t="s">
        <v>7105</v>
      </c>
      <c r="S3908" s="2"/>
      <c r="T3908" s="2">
        <v>1</v>
      </c>
      <c r="U3908" s="2" t="s">
        <v>79</v>
      </c>
      <c r="V3908" s="2">
        <v>1</v>
      </c>
      <c r="W3908" s="2" t="s">
        <v>80</v>
      </c>
      <c r="X3908" s="2">
        <v>1</v>
      </c>
      <c r="Y3908" s="2" t="s">
        <v>81</v>
      </c>
      <c r="Z3908" s="2">
        <v>1</v>
      </c>
      <c r="AA3908" s="2" t="s">
        <v>82</v>
      </c>
      <c r="AB3908" s="2">
        <v>4</v>
      </c>
      <c r="AC3908" s="2" t="s">
        <v>1569</v>
      </c>
      <c r="AD3908" s="3">
        <v>40444</v>
      </c>
      <c r="AE3908" s="4">
        <v>0.79166666666666663</v>
      </c>
      <c r="AF3908" s="2"/>
      <c r="AG3908" s="2"/>
      <c r="AH3908" s="2">
        <v>2</v>
      </c>
      <c r="AI3908" s="2" t="s">
        <v>84</v>
      </c>
      <c r="AJ3908" s="2">
        <v>9</v>
      </c>
      <c r="AK3908" s="2" t="s">
        <v>103</v>
      </c>
      <c r="AL3908" s="2">
        <v>25</v>
      </c>
      <c r="AM3908" s="2" t="s">
        <v>3073</v>
      </c>
      <c r="AN3908" s="2"/>
      <c r="AO3908" s="2" t="s">
        <v>5362</v>
      </c>
      <c r="AP3908" s="2">
        <v>11</v>
      </c>
      <c r="AQ3908" s="2" t="s">
        <v>82</v>
      </c>
      <c r="AR3908" s="2"/>
      <c r="AS3908" s="2"/>
      <c r="AT3908" s="2" t="s">
        <v>12360</v>
      </c>
      <c r="AU3908" s="2"/>
      <c r="AV3908" s="2"/>
      <c r="AW3908" s="2"/>
      <c r="AX3908" s="2"/>
      <c r="AY3908" s="2">
        <v>41</v>
      </c>
      <c r="AZ3908" s="2" t="s">
        <v>82</v>
      </c>
      <c r="BA3908" s="2">
        <v>41</v>
      </c>
      <c r="BB3908" s="2" t="s">
        <v>82</v>
      </c>
      <c r="BC3908" s="2">
        <v>41</v>
      </c>
      <c r="BD3908" s="2" t="s">
        <v>82</v>
      </c>
      <c r="BE3908" s="2">
        <v>13</v>
      </c>
      <c r="BF3908" s="2" t="s">
        <v>108</v>
      </c>
      <c r="BG3908" s="2" t="s">
        <v>2726</v>
      </c>
      <c r="BH3908" s="2"/>
      <c r="BI3908" s="2"/>
      <c r="BJ3908" s="2">
        <v>13</v>
      </c>
      <c r="BK3908" s="2" t="s">
        <v>91</v>
      </c>
      <c r="BL3908" s="2" t="s">
        <v>360</v>
      </c>
      <c r="BM3908" s="2">
        <v>173</v>
      </c>
      <c r="BN3908" s="2" t="s">
        <v>223</v>
      </c>
      <c r="BO3908" s="2"/>
      <c r="BP3908" s="2">
        <v>173</v>
      </c>
      <c r="BQ3908" s="2" t="s">
        <v>223</v>
      </c>
      <c r="BR3908" s="2" t="s">
        <v>224</v>
      </c>
      <c r="BS3908" s="3">
        <v>40445</v>
      </c>
      <c r="BT3908" s="4">
        <v>0.22836805555555553</v>
      </c>
    </row>
    <row r="3909" spans="1:72" x14ac:dyDescent="0.25">
      <c r="A3909" s="2">
        <v>5839</v>
      </c>
      <c r="B3909" s="2">
        <v>2010</v>
      </c>
      <c r="C3909" s="2" t="s">
        <v>4543</v>
      </c>
      <c r="D3909" s="2" t="s">
        <v>122</v>
      </c>
      <c r="E3909" s="2"/>
      <c r="F3909" s="2">
        <v>1</v>
      </c>
      <c r="G3909" s="2" t="s">
        <v>82</v>
      </c>
      <c r="H3909" s="2">
        <v>1</v>
      </c>
      <c r="I3909" s="2" t="s">
        <v>82</v>
      </c>
      <c r="J3909" s="2">
        <v>1</v>
      </c>
      <c r="K3909" s="2" t="s">
        <v>107</v>
      </c>
      <c r="L3909" s="2" t="s">
        <v>107</v>
      </c>
      <c r="M3909" s="3">
        <v>40445</v>
      </c>
      <c r="N3909" s="2" t="s">
        <v>82</v>
      </c>
      <c r="O3909" s="2" t="s">
        <v>82</v>
      </c>
      <c r="P3909" s="2" t="s">
        <v>82</v>
      </c>
      <c r="Q3909" s="2" t="str">
        <f>"N/C"</f>
        <v>N/C</v>
      </c>
      <c r="R3909" s="2" t="s">
        <v>82</v>
      </c>
      <c r="S3909" s="2" t="s">
        <v>82</v>
      </c>
      <c r="T3909" s="2">
        <v>2</v>
      </c>
      <c r="U3909" s="2" t="s">
        <v>123</v>
      </c>
      <c r="V3909" s="2">
        <v>1</v>
      </c>
      <c r="W3909" s="2" t="s">
        <v>80</v>
      </c>
      <c r="X3909" s="2">
        <v>11</v>
      </c>
      <c r="Y3909" s="2" t="s">
        <v>1920</v>
      </c>
      <c r="Z3909" s="2">
        <v>1</v>
      </c>
      <c r="AA3909" s="2" t="s">
        <v>82</v>
      </c>
      <c r="AB3909" s="2">
        <v>9</v>
      </c>
      <c r="AC3909" s="2" t="s">
        <v>124</v>
      </c>
      <c r="AD3909" s="3">
        <v>40445</v>
      </c>
      <c r="AE3909" s="4">
        <v>0.10069444444444443</v>
      </c>
      <c r="AF3909" s="2"/>
      <c r="AG3909" s="2"/>
      <c r="AH3909" s="2">
        <v>6</v>
      </c>
      <c r="AI3909" s="2" t="s">
        <v>197</v>
      </c>
      <c r="AJ3909" s="2">
        <v>54</v>
      </c>
      <c r="AK3909" s="2" t="s">
        <v>348</v>
      </c>
      <c r="AL3909" s="2">
        <v>10</v>
      </c>
      <c r="AM3909" s="2" t="s">
        <v>200</v>
      </c>
      <c r="AN3909" s="2" t="s">
        <v>12361</v>
      </c>
      <c r="AO3909" s="2" t="s">
        <v>200</v>
      </c>
      <c r="AP3909" s="2">
        <v>14</v>
      </c>
      <c r="AQ3909" s="2" t="s">
        <v>3301</v>
      </c>
      <c r="AR3909" s="2" t="s">
        <v>1261</v>
      </c>
      <c r="AS3909" s="2" t="s">
        <v>1261</v>
      </c>
      <c r="AT3909" s="2" t="s">
        <v>12362</v>
      </c>
      <c r="AU3909" s="2"/>
      <c r="AV3909" s="2"/>
      <c r="AW3909" s="2"/>
      <c r="AX3909" s="2"/>
      <c r="AY3909" s="2">
        <v>41</v>
      </c>
      <c r="AZ3909" s="2" t="s">
        <v>82</v>
      </c>
      <c r="BA3909" s="2">
        <v>41</v>
      </c>
      <c r="BB3909" s="2" t="s">
        <v>82</v>
      </c>
      <c r="BC3909" s="2">
        <v>41</v>
      </c>
      <c r="BD3909" s="2" t="s">
        <v>82</v>
      </c>
      <c r="BE3909" s="2">
        <v>4</v>
      </c>
      <c r="BF3909" s="2" t="s">
        <v>90</v>
      </c>
      <c r="BG3909" s="2">
        <v>4429</v>
      </c>
      <c r="BH3909" s="4">
        <v>5.2083333333333336E-2</v>
      </c>
      <c r="BI3909" s="4">
        <v>0.10069444444444443</v>
      </c>
      <c r="BJ3909" s="2">
        <v>13</v>
      </c>
      <c r="BK3909" s="2" t="s">
        <v>91</v>
      </c>
      <c r="BL3909" s="2" t="s">
        <v>12363</v>
      </c>
      <c r="BM3909" s="2">
        <v>13</v>
      </c>
      <c r="BN3909" s="2" t="s">
        <v>91</v>
      </c>
      <c r="BO3909" s="2"/>
      <c r="BP3909" s="2">
        <v>13</v>
      </c>
      <c r="BQ3909" s="2" t="s">
        <v>91</v>
      </c>
      <c r="BR3909" s="2" t="s">
        <v>3507</v>
      </c>
      <c r="BS3909" s="3">
        <v>40445</v>
      </c>
      <c r="BT3909" s="4">
        <v>0.52212962962962961</v>
      </c>
    </row>
    <row r="3910" spans="1:72" x14ac:dyDescent="0.25">
      <c r="A3910" s="2">
        <v>5840</v>
      </c>
      <c r="B3910" s="2">
        <v>2010</v>
      </c>
      <c r="C3910" s="2" t="s">
        <v>4543</v>
      </c>
      <c r="D3910" s="2" t="s">
        <v>122</v>
      </c>
      <c r="E3910" s="2"/>
      <c r="F3910" s="2">
        <v>146</v>
      </c>
      <c r="G3910" s="2" t="s">
        <v>753</v>
      </c>
      <c r="H3910" s="2">
        <v>122</v>
      </c>
      <c r="I3910" s="2" t="s">
        <v>8431</v>
      </c>
      <c r="J3910" s="2">
        <v>509</v>
      </c>
      <c r="K3910" s="2" t="s">
        <v>4860</v>
      </c>
      <c r="L3910" s="2" t="s">
        <v>4861</v>
      </c>
      <c r="M3910" s="3">
        <v>40445</v>
      </c>
      <c r="N3910" s="2" t="s">
        <v>756</v>
      </c>
      <c r="O3910" s="2" t="s">
        <v>12364</v>
      </c>
      <c r="P3910" s="7">
        <v>2549</v>
      </c>
      <c r="Q3910" s="2" t="str">
        <f>"N/C"</f>
        <v>N/C</v>
      </c>
      <c r="R3910" s="2" t="s">
        <v>82</v>
      </c>
      <c r="S3910" s="2" t="s">
        <v>82</v>
      </c>
      <c r="T3910" s="2">
        <v>2</v>
      </c>
      <c r="U3910" s="2" t="s">
        <v>123</v>
      </c>
      <c r="V3910" s="2">
        <v>1</v>
      </c>
      <c r="W3910" s="2" t="s">
        <v>80</v>
      </c>
      <c r="X3910" s="2">
        <v>5</v>
      </c>
      <c r="Y3910" s="2" t="s">
        <v>82</v>
      </c>
      <c r="Z3910" s="2">
        <v>1</v>
      </c>
      <c r="AA3910" s="2" t="s">
        <v>82</v>
      </c>
      <c r="AB3910" s="2">
        <v>9</v>
      </c>
      <c r="AC3910" s="2" t="s">
        <v>124</v>
      </c>
      <c r="AD3910" s="3">
        <v>40445</v>
      </c>
      <c r="AE3910" s="4">
        <v>0.49305555555555558</v>
      </c>
      <c r="AF3910" s="2"/>
      <c r="AG3910" s="2"/>
      <c r="AH3910" s="2">
        <v>6</v>
      </c>
      <c r="AI3910" s="2" t="s">
        <v>197</v>
      </c>
      <c r="AJ3910" s="2">
        <v>54</v>
      </c>
      <c r="AK3910" s="2" t="s">
        <v>348</v>
      </c>
      <c r="AL3910" s="2">
        <v>19</v>
      </c>
      <c r="AM3910" s="2" t="s">
        <v>107</v>
      </c>
      <c r="AN3910" s="2" t="s">
        <v>12365</v>
      </c>
      <c r="AO3910" s="2" t="s">
        <v>12366</v>
      </c>
      <c r="AP3910" s="2">
        <v>11</v>
      </c>
      <c r="AQ3910" s="2" t="s">
        <v>82</v>
      </c>
      <c r="AR3910" s="2" t="s">
        <v>82</v>
      </c>
      <c r="AS3910" s="2" t="s">
        <v>82</v>
      </c>
      <c r="AT3910" s="2" t="s">
        <v>12367</v>
      </c>
      <c r="AU3910" s="2"/>
      <c r="AV3910" s="2"/>
      <c r="AW3910" s="2"/>
      <c r="AX3910" s="2"/>
      <c r="AY3910" s="2">
        <v>41</v>
      </c>
      <c r="AZ3910" s="2" t="s">
        <v>82</v>
      </c>
      <c r="BA3910" s="2">
        <v>41</v>
      </c>
      <c r="BB3910" s="2" t="s">
        <v>82</v>
      </c>
      <c r="BC3910" s="2">
        <v>41</v>
      </c>
      <c r="BD3910" s="2" t="s">
        <v>82</v>
      </c>
      <c r="BE3910" s="2">
        <v>41</v>
      </c>
      <c r="BF3910" s="2" t="s">
        <v>82</v>
      </c>
      <c r="BG3910" s="2"/>
      <c r="BH3910" s="2"/>
      <c r="BI3910" s="2"/>
      <c r="BJ3910" s="2">
        <v>241</v>
      </c>
      <c r="BK3910" s="2" t="s">
        <v>82</v>
      </c>
      <c r="BL3910" s="2" t="s">
        <v>82</v>
      </c>
      <c r="BM3910" s="2">
        <v>241</v>
      </c>
      <c r="BN3910" s="2" t="s">
        <v>82</v>
      </c>
      <c r="BO3910" s="2"/>
      <c r="BP3910" s="2">
        <v>241</v>
      </c>
      <c r="BQ3910" s="2" t="s">
        <v>82</v>
      </c>
      <c r="BR3910" s="2" t="s">
        <v>82</v>
      </c>
      <c r="BS3910" s="3">
        <v>40445</v>
      </c>
      <c r="BT3910" s="4">
        <v>0.56240740740740736</v>
      </c>
    </row>
    <row r="3911" spans="1:72" x14ac:dyDescent="0.25">
      <c r="A3911" s="2">
        <v>5841</v>
      </c>
      <c r="B3911" s="2">
        <v>2010</v>
      </c>
      <c r="C3911" s="2" t="s">
        <v>72</v>
      </c>
      <c r="D3911" s="2" t="s">
        <v>73</v>
      </c>
      <c r="E3911" s="2"/>
      <c r="F3911" s="2">
        <v>2</v>
      </c>
      <c r="G3911" s="2" t="s">
        <v>113</v>
      </c>
      <c r="H3911" s="2">
        <v>108</v>
      </c>
      <c r="I3911" s="2" t="s">
        <v>1096</v>
      </c>
      <c r="J3911" s="2">
        <v>300</v>
      </c>
      <c r="K3911" s="2" t="s">
        <v>114</v>
      </c>
      <c r="L3911" s="2" t="s">
        <v>115</v>
      </c>
      <c r="M3911" s="3">
        <v>40445</v>
      </c>
      <c r="N3911" s="2" t="s">
        <v>107</v>
      </c>
      <c r="O3911" s="2" t="s">
        <v>107</v>
      </c>
      <c r="P3911" s="2" t="s">
        <v>107</v>
      </c>
      <c r="Q3911" s="2" t="str">
        <f>"487-E/10"</f>
        <v>487-E/10</v>
      </c>
      <c r="R3911" s="2" t="s">
        <v>116</v>
      </c>
      <c r="S3911" s="2" t="s">
        <v>116</v>
      </c>
      <c r="T3911" s="2">
        <v>1</v>
      </c>
      <c r="U3911" s="2" t="s">
        <v>79</v>
      </c>
      <c r="V3911" s="2">
        <v>1</v>
      </c>
      <c r="W3911" s="2" t="s">
        <v>80</v>
      </c>
      <c r="X3911" s="2">
        <v>12</v>
      </c>
      <c r="Y3911" s="2" t="s">
        <v>148</v>
      </c>
      <c r="Z3911" s="2">
        <v>1</v>
      </c>
      <c r="AA3911" s="2" t="s">
        <v>82</v>
      </c>
      <c r="AB3911" s="2">
        <v>6</v>
      </c>
      <c r="AC3911" s="2" t="s">
        <v>83</v>
      </c>
      <c r="AD3911" s="3">
        <v>40444</v>
      </c>
      <c r="AE3911" s="2"/>
      <c r="AF3911" s="3">
        <v>40445</v>
      </c>
      <c r="AG3911" s="4">
        <v>0.3979166666666667</v>
      </c>
      <c r="AH3911" s="2">
        <v>2</v>
      </c>
      <c r="AI3911" s="2" t="s">
        <v>84</v>
      </c>
      <c r="AJ3911" s="2">
        <v>9</v>
      </c>
      <c r="AK3911" s="2" t="s">
        <v>103</v>
      </c>
      <c r="AL3911" s="2">
        <v>22</v>
      </c>
      <c r="AM3911" s="2" t="s">
        <v>1853</v>
      </c>
      <c r="AN3911" s="2" t="s">
        <v>1346</v>
      </c>
      <c r="AO3911" s="2" t="s">
        <v>12368</v>
      </c>
      <c r="AP3911" s="2">
        <v>11</v>
      </c>
      <c r="AQ3911" s="2" t="s">
        <v>82</v>
      </c>
      <c r="AR3911" s="2"/>
      <c r="AS3911" s="2"/>
      <c r="AT3911" s="2" t="s">
        <v>12369</v>
      </c>
      <c r="AU3911" s="2"/>
      <c r="AV3911" s="2"/>
      <c r="AW3911" s="2"/>
      <c r="AX3911" s="2"/>
      <c r="AY3911" s="2">
        <v>41</v>
      </c>
      <c r="AZ3911" s="2" t="s">
        <v>82</v>
      </c>
      <c r="BA3911" s="2">
        <v>41</v>
      </c>
      <c r="BB3911" s="2" t="s">
        <v>82</v>
      </c>
      <c r="BC3911" s="2">
        <v>41</v>
      </c>
      <c r="BD3911" s="2" t="s">
        <v>82</v>
      </c>
      <c r="BE3911" s="2">
        <v>13</v>
      </c>
      <c r="BF3911" s="2" t="s">
        <v>108</v>
      </c>
      <c r="BG3911" s="2" t="s">
        <v>7317</v>
      </c>
      <c r="BH3911" s="4">
        <v>0.84375</v>
      </c>
      <c r="BI3911" s="2"/>
      <c r="BJ3911" s="2">
        <v>29</v>
      </c>
      <c r="BK3911" s="2" t="s">
        <v>962</v>
      </c>
      <c r="BL3911" s="2" t="s">
        <v>963</v>
      </c>
      <c r="BM3911" s="2">
        <v>13</v>
      </c>
      <c r="BN3911" s="2" t="s">
        <v>91</v>
      </c>
      <c r="BO3911" s="2"/>
      <c r="BP3911" s="2">
        <v>13</v>
      </c>
      <c r="BQ3911" s="2" t="s">
        <v>91</v>
      </c>
      <c r="BR3911" s="2" t="s">
        <v>360</v>
      </c>
      <c r="BS3911" s="3">
        <v>40445</v>
      </c>
      <c r="BT3911" s="4">
        <v>0.61232638888888891</v>
      </c>
    </row>
    <row r="3912" spans="1:72" x14ac:dyDescent="0.25">
      <c r="A3912" s="2">
        <v>5843</v>
      </c>
      <c r="B3912" s="2">
        <v>2010</v>
      </c>
      <c r="C3912" s="2" t="s">
        <v>819</v>
      </c>
      <c r="D3912" s="2" t="s">
        <v>73</v>
      </c>
      <c r="E3912" s="2" t="s">
        <v>12370</v>
      </c>
      <c r="F3912" s="2">
        <v>451</v>
      </c>
      <c r="G3912" s="2" t="s">
        <v>879</v>
      </c>
      <c r="H3912" s="2">
        <v>31</v>
      </c>
      <c r="I3912" s="2" t="s">
        <v>880</v>
      </c>
      <c r="J3912" s="2">
        <v>326</v>
      </c>
      <c r="K3912" s="2" t="s">
        <v>881</v>
      </c>
      <c r="L3912" s="2" t="s">
        <v>882</v>
      </c>
      <c r="M3912" s="3">
        <v>40445</v>
      </c>
      <c r="N3912" s="2" t="s">
        <v>1072</v>
      </c>
      <c r="O3912" s="2" t="s">
        <v>12371</v>
      </c>
      <c r="P3912" s="2" t="s">
        <v>12372</v>
      </c>
      <c r="Q3912" s="2" t="str">
        <f>"061/10"</f>
        <v>061/10</v>
      </c>
      <c r="R3912" s="2" t="s">
        <v>3299</v>
      </c>
      <c r="S3912" s="2" t="s">
        <v>822</v>
      </c>
      <c r="T3912" s="2">
        <v>1</v>
      </c>
      <c r="U3912" s="2" t="s">
        <v>79</v>
      </c>
      <c r="V3912" s="2">
        <v>1</v>
      </c>
      <c r="W3912" s="2" t="s">
        <v>80</v>
      </c>
      <c r="X3912" s="2">
        <v>1</v>
      </c>
      <c r="Y3912" s="2" t="s">
        <v>81</v>
      </c>
      <c r="Z3912" s="2">
        <v>1</v>
      </c>
      <c r="AA3912" s="2" t="s">
        <v>82</v>
      </c>
      <c r="AB3912" s="2">
        <v>9</v>
      </c>
      <c r="AC3912" s="2" t="s">
        <v>124</v>
      </c>
      <c r="AD3912" s="3">
        <v>40445</v>
      </c>
      <c r="AE3912" s="4">
        <v>0.59375</v>
      </c>
      <c r="AF3912" s="2"/>
      <c r="AG3912" s="2"/>
      <c r="AH3912" s="2">
        <v>4</v>
      </c>
      <c r="AI3912" s="2" t="s">
        <v>125</v>
      </c>
      <c r="AJ3912" s="2">
        <v>29</v>
      </c>
      <c r="AK3912" s="2" t="s">
        <v>227</v>
      </c>
      <c r="AL3912" s="2">
        <v>16</v>
      </c>
      <c r="AM3912" s="2" t="s">
        <v>392</v>
      </c>
      <c r="AN3912" s="2" t="s">
        <v>6877</v>
      </c>
      <c r="AO3912" s="2"/>
      <c r="AP3912" s="2">
        <v>12</v>
      </c>
      <c r="AQ3912" s="2" t="s">
        <v>322</v>
      </c>
      <c r="AR3912" s="2" t="s">
        <v>824</v>
      </c>
      <c r="AS3912" s="2" t="s">
        <v>825</v>
      </c>
      <c r="AT3912" s="2" t="s">
        <v>12373</v>
      </c>
      <c r="AU3912" s="2"/>
      <c r="AV3912" s="2"/>
      <c r="AW3912" s="2"/>
      <c r="AX3912" s="2"/>
      <c r="AY3912" s="2">
        <v>41</v>
      </c>
      <c r="AZ3912" s="2" t="s">
        <v>82</v>
      </c>
      <c r="BA3912" s="2">
        <v>41</v>
      </c>
      <c r="BB3912" s="2" t="s">
        <v>82</v>
      </c>
      <c r="BC3912" s="2">
        <v>51</v>
      </c>
      <c r="BD3912" s="2" t="s">
        <v>827</v>
      </c>
      <c r="BE3912" s="2">
        <v>47</v>
      </c>
      <c r="BF3912" s="2" t="s">
        <v>167</v>
      </c>
      <c r="BG3912" s="2">
        <v>2459</v>
      </c>
      <c r="BH3912" s="4">
        <v>0.89236111111111116</v>
      </c>
      <c r="BI3912" s="4">
        <v>0.92013888888888884</v>
      </c>
      <c r="BJ3912" s="2">
        <v>13</v>
      </c>
      <c r="BK3912" s="2" t="s">
        <v>91</v>
      </c>
      <c r="BL3912" s="2" t="s">
        <v>828</v>
      </c>
      <c r="BM3912" s="2">
        <v>13</v>
      </c>
      <c r="BN3912" s="2" t="s">
        <v>91</v>
      </c>
      <c r="BO3912" s="2"/>
      <c r="BP3912" s="2">
        <v>13</v>
      </c>
      <c r="BQ3912" s="2" t="s">
        <v>91</v>
      </c>
      <c r="BR3912" s="2" t="s">
        <v>185</v>
      </c>
      <c r="BS3912" s="3">
        <v>40445</v>
      </c>
      <c r="BT3912" s="4">
        <v>0.6320486111111111</v>
      </c>
    </row>
    <row r="3913" spans="1:72" x14ac:dyDescent="0.25">
      <c r="A3913" s="2">
        <v>5851</v>
      </c>
      <c r="B3913" s="2">
        <v>2010</v>
      </c>
      <c r="C3913" s="2" t="s">
        <v>72</v>
      </c>
      <c r="D3913" s="2" t="s">
        <v>73</v>
      </c>
      <c r="E3913" s="2"/>
      <c r="F3913" s="2">
        <v>114</v>
      </c>
      <c r="G3913" s="2" t="s">
        <v>2817</v>
      </c>
      <c r="H3913" s="2">
        <v>22</v>
      </c>
      <c r="I3913" s="2" t="s">
        <v>75</v>
      </c>
      <c r="J3913" s="2">
        <v>133</v>
      </c>
      <c r="K3913" s="2" t="s">
        <v>3844</v>
      </c>
      <c r="L3913" s="2" t="s">
        <v>3845</v>
      </c>
      <c r="M3913" s="3">
        <v>40445</v>
      </c>
      <c r="N3913" s="2" t="s">
        <v>10818</v>
      </c>
      <c r="O3913" s="2"/>
      <c r="P3913" s="2" t="s">
        <v>107</v>
      </c>
      <c r="Q3913" s="2" t="str">
        <f>"0019/10"</f>
        <v>0019/10</v>
      </c>
      <c r="R3913" s="2" t="s">
        <v>833</v>
      </c>
      <c r="S3913" s="2" t="s">
        <v>833</v>
      </c>
      <c r="T3913" s="2">
        <v>1</v>
      </c>
      <c r="U3913" s="2" t="s">
        <v>79</v>
      </c>
      <c r="V3913" s="2">
        <v>1</v>
      </c>
      <c r="W3913" s="2" t="s">
        <v>80</v>
      </c>
      <c r="X3913" s="2">
        <v>12</v>
      </c>
      <c r="Y3913" s="2" t="s">
        <v>148</v>
      </c>
      <c r="Z3913" s="2">
        <v>1</v>
      </c>
      <c r="AA3913" s="2" t="s">
        <v>82</v>
      </c>
      <c r="AB3913" s="2">
        <v>6</v>
      </c>
      <c r="AC3913" s="2" t="s">
        <v>83</v>
      </c>
      <c r="AD3913" s="3">
        <v>40444</v>
      </c>
      <c r="AE3913" s="2"/>
      <c r="AF3913" s="3">
        <v>40445</v>
      </c>
      <c r="AG3913" s="4">
        <v>0.63541666666666663</v>
      </c>
      <c r="AH3913" s="2">
        <v>6</v>
      </c>
      <c r="AI3913" s="2" t="s">
        <v>197</v>
      </c>
      <c r="AJ3913" s="2">
        <v>54</v>
      </c>
      <c r="AK3913" s="2" t="s">
        <v>348</v>
      </c>
      <c r="AL3913" s="2">
        <v>12</v>
      </c>
      <c r="AM3913" s="2" t="s">
        <v>86</v>
      </c>
      <c r="AN3913" s="2" t="s">
        <v>12374</v>
      </c>
      <c r="AO3913" s="2" t="s">
        <v>12375</v>
      </c>
      <c r="AP3913" s="2">
        <v>11</v>
      </c>
      <c r="AQ3913" s="2" t="s">
        <v>82</v>
      </c>
      <c r="AR3913" s="2" t="s">
        <v>82</v>
      </c>
      <c r="AS3913" s="2" t="s">
        <v>82</v>
      </c>
      <c r="AT3913" s="2" t="s">
        <v>12376</v>
      </c>
      <c r="AU3913" s="2"/>
      <c r="AV3913" s="2"/>
      <c r="AW3913" s="2"/>
      <c r="AX3913" s="2"/>
      <c r="AY3913" s="2">
        <v>41</v>
      </c>
      <c r="AZ3913" s="2" t="s">
        <v>82</v>
      </c>
      <c r="BA3913" s="2">
        <v>41</v>
      </c>
      <c r="BB3913" s="2" t="s">
        <v>82</v>
      </c>
      <c r="BC3913" s="2">
        <v>41</v>
      </c>
      <c r="BD3913" s="2" t="s">
        <v>82</v>
      </c>
      <c r="BE3913" s="2">
        <v>41</v>
      </c>
      <c r="BF3913" s="2" t="s">
        <v>82</v>
      </c>
      <c r="BG3913" s="2"/>
      <c r="BH3913" s="2"/>
      <c r="BI3913" s="2"/>
      <c r="BJ3913" s="2">
        <v>241</v>
      </c>
      <c r="BK3913" s="2" t="s">
        <v>82</v>
      </c>
      <c r="BL3913" s="2" t="s">
        <v>82</v>
      </c>
      <c r="BM3913" s="2">
        <v>241</v>
      </c>
      <c r="BN3913" s="2" t="s">
        <v>82</v>
      </c>
      <c r="BO3913" s="2"/>
      <c r="BP3913" s="2">
        <v>241</v>
      </c>
      <c r="BQ3913" s="2" t="s">
        <v>82</v>
      </c>
      <c r="BR3913" s="2" t="s">
        <v>82</v>
      </c>
      <c r="BS3913" s="3">
        <v>40445</v>
      </c>
      <c r="BT3913" s="4">
        <v>0.76906249999999998</v>
      </c>
    </row>
    <row r="3914" spans="1:72" x14ac:dyDescent="0.25">
      <c r="A3914" s="2">
        <v>5852</v>
      </c>
      <c r="B3914" s="2">
        <v>2010</v>
      </c>
      <c r="C3914" s="2" t="s">
        <v>121</v>
      </c>
      <c r="D3914" s="2" t="s">
        <v>122</v>
      </c>
      <c r="E3914" s="2"/>
      <c r="F3914" s="2">
        <v>1</v>
      </c>
      <c r="G3914" s="2" t="s">
        <v>82</v>
      </c>
      <c r="H3914" s="2">
        <v>1</v>
      </c>
      <c r="I3914" s="2" t="s">
        <v>82</v>
      </c>
      <c r="J3914" s="2">
        <v>1</v>
      </c>
      <c r="K3914" s="2" t="s">
        <v>107</v>
      </c>
      <c r="L3914" s="2" t="s">
        <v>107</v>
      </c>
      <c r="M3914" s="3">
        <v>40445</v>
      </c>
      <c r="N3914" s="2"/>
      <c r="O3914" s="2"/>
      <c r="P3914" s="2"/>
      <c r="Q3914" s="2" t="str">
        <f>""</f>
        <v/>
      </c>
      <c r="R3914" s="2"/>
      <c r="S3914" s="2"/>
      <c r="T3914" s="2">
        <v>2</v>
      </c>
      <c r="U3914" s="2" t="s">
        <v>123</v>
      </c>
      <c r="V3914" s="2">
        <v>1</v>
      </c>
      <c r="W3914" s="2" t="s">
        <v>80</v>
      </c>
      <c r="X3914" s="2">
        <v>11</v>
      </c>
      <c r="Y3914" s="2" t="s">
        <v>1920</v>
      </c>
      <c r="Z3914" s="2">
        <v>4</v>
      </c>
      <c r="AA3914" s="2" t="s">
        <v>182</v>
      </c>
      <c r="AB3914" s="2">
        <v>9</v>
      </c>
      <c r="AC3914" s="2" t="s">
        <v>124</v>
      </c>
      <c r="AD3914" s="3">
        <v>40445</v>
      </c>
      <c r="AE3914" s="4">
        <v>0.76388888888888884</v>
      </c>
      <c r="AF3914" s="2"/>
      <c r="AG3914" s="2"/>
      <c r="AH3914" s="2">
        <v>5</v>
      </c>
      <c r="AI3914" s="2" t="s">
        <v>274</v>
      </c>
      <c r="AJ3914" s="2">
        <v>37</v>
      </c>
      <c r="AK3914" s="2" t="s">
        <v>497</v>
      </c>
      <c r="AL3914" s="2">
        <v>14</v>
      </c>
      <c r="AM3914" s="2" t="s">
        <v>216</v>
      </c>
      <c r="AN3914" s="2" t="s">
        <v>12377</v>
      </c>
      <c r="AO3914" s="2" t="s">
        <v>12378</v>
      </c>
      <c r="AP3914" s="2">
        <v>11</v>
      </c>
      <c r="AQ3914" s="2" t="s">
        <v>82</v>
      </c>
      <c r="AR3914" s="2"/>
      <c r="AS3914" s="2"/>
      <c r="AT3914" s="2" t="s">
        <v>12379</v>
      </c>
      <c r="AU3914" s="2"/>
      <c r="AV3914" s="2"/>
      <c r="AW3914" s="2"/>
      <c r="AX3914" s="2"/>
      <c r="AY3914" s="2">
        <v>41</v>
      </c>
      <c r="AZ3914" s="2" t="s">
        <v>82</v>
      </c>
      <c r="BA3914" s="2">
        <v>41</v>
      </c>
      <c r="BB3914" s="2" t="s">
        <v>82</v>
      </c>
      <c r="BC3914" s="2">
        <v>41</v>
      </c>
      <c r="BD3914" s="2" t="s">
        <v>82</v>
      </c>
      <c r="BE3914" s="2">
        <v>41</v>
      </c>
      <c r="BF3914" s="2" t="s">
        <v>82</v>
      </c>
      <c r="BG3914" s="2"/>
      <c r="BH3914" s="4">
        <v>0.76388888888888884</v>
      </c>
      <c r="BI3914" s="2"/>
      <c r="BJ3914" s="2">
        <v>13</v>
      </c>
      <c r="BK3914" s="2" t="s">
        <v>91</v>
      </c>
      <c r="BL3914" s="2" t="s">
        <v>170</v>
      </c>
      <c r="BM3914" s="2">
        <v>241</v>
      </c>
      <c r="BN3914" s="2" t="s">
        <v>82</v>
      </c>
      <c r="BO3914" s="2"/>
      <c r="BP3914" s="2">
        <v>13</v>
      </c>
      <c r="BQ3914" s="2" t="s">
        <v>91</v>
      </c>
      <c r="BR3914" s="2" t="s">
        <v>12380</v>
      </c>
      <c r="BS3914" s="3">
        <v>40445</v>
      </c>
      <c r="BT3914" s="4">
        <v>0.78956018518518523</v>
      </c>
    </row>
    <row r="3915" spans="1:72" x14ac:dyDescent="0.25">
      <c r="A3915" s="2">
        <v>5853</v>
      </c>
      <c r="B3915" s="2">
        <v>2010</v>
      </c>
      <c r="C3915" s="2" t="s">
        <v>4543</v>
      </c>
      <c r="D3915" s="2" t="s">
        <v>122</v>
      </c>
      <c r="E3915" s="2"/>
      <c r="F3915" s="2">
        <v>1</v>
      </c>
      <c r="G3915" s="2" t="s">
        <v>82</v>
      </c>
      <c r="H3915" s="2">
        <v>1</v>
      </c>
      <c r="I3915" s="2" t="s">
        <v>82</v>
      </c>
      <c r="J3915" s="2">
        <v>1</v>
      </c>
      <c r="K3915" s="2" t="s">
        <v>107</v>
      </c>
      <c r="L3915" s="2" t="s">
        <v>107</v>
      </c>
      <c r="M3915" s="3">
        <v>40445</v>
      </c>
      <c r="N3915" s="2"/>
      <c r="O3915" s="2"/>
      <c r="P3915" s="2"/>
      <c r="Q3915" s="2" t="str">
        <f>""</f>
        <v/>
      </c>
      <c r="R3915" s="2"/>
      <c r="S3915" s="2"/>
      <c r="T3915" s="2">
        <v>2</v>
      </c>
      <c r="U3915" s="2" t="s">
        <v>123</v>
      </c>
      <c r="V3915" s="2">
        <v>1</v>
      </c>
      <c r="W3915" s="2" t="s">
        <v>80</v>
      </c>
      <c r="X3915" s="2">
        <v>5</v>
      </c>
      <c r="Y3915" s="2" t="s">
        <v>82</v>
      </c>
      <c r="Z3915" s="2">
        <v>1</v>
      </c>
      <c r="AA3915" s="2" t="s">
        <v>82</v>
      </c>
      <c r="AB3915" s="2">
        <v>9</v>
      </c>
      <c r="AC3915" s="2" t="s">
        <v>124</v>
      </c>
      <c r="AD3915" s="2"/>
      <c r="AE3915" s="2"/>
      <c r="AF3915" s="2"/>
      <c r="AG3915" s="2"/>
      <c r="AH3915" s="2">
        <v>5</v>
      </c>
      <c r="AI3915" s="2" t="s">
        <v>274</v>
      </c>
      <c r="AJ3915" s="2">
        <v>43</v>
      </c>
      <c r="AK3915" s="2" t="s">
        <v>918</v>
      </c>
      <c r="AL3915" s="2">
        <v>19</v>
      </c>
      <c r="AM3915" s="2" t="s">
        <v>107</v>
      </c>
      <c r="AN3915" s="2"/>
      <c r="AO3915" s="2"/>
      <c r="AP3915" s="2">
        <v>11</v>
      </c>
      <c r="AQ3915" s="2" t="s">
        <v>82</v>
      </c>
      <c r="AR3915" s="2"/>
      <c r="AS3915" s="2"/>
      <c r="AT3915" s="2" t="s">
        <v>12381</v>
      </c>
      <c r="AU3915" s="2"/>
      <c r="AV3915" s="2"/>
      <c r="AW3915" s="2"/>
      <c r="AX3915" s="2"/>
      <c r="AY3915" s="2">
        <v>41</v>
      </c>
      <c r="AZ3915" s="2" t="s">
        <v>82</v>
      </c>
      <c r="BA3915" s="2">
        <v>41</v>
      </c>
      <c r="BB3915" s="2" t="s">
        <v>82</v>
      </c>
      <c r="BC3915" s="2">
        <v>41</v>
      </c>
      <c r="BD3915" s="2" t="s">
        <v>82</v>
      </c>
      <c r="BE3915" s="2">
        <v>41</v>
      </c>
      <c r="BF3915" s="2" t="s">
        <v>82</v>
      </c>
      <c r="BG3915" s="2"/>
      <c r="BH3915" s="2"/>
      <c r="BI3915" s="2"/>
      <c r="BJ3915" s="2">
        <v>241</v>
      </c>
      <c r="BK3915" s="2" t="s">
        <v>82</v>
      </c>
      <c r="BL3915" s="2"/>
      <c r="BM3915" s="2">
        <v>241</v>
      </c>
      <c r="BN3915" s="2" t="s">
        <v>82</v>
      </c>
      <c r="BO3915" s="2"/>
      <c r="BP3915" s="2">
        <v>241</v>
      </c>
      <c r="BQ3915" s="2" t="s">
        <v>82</v>
      </c>
      <c r="BR3915" s="2"/>
      <c r="BS3915" s="3">
        <v>40445</v>
      </c>
      <c r="BT3915" s="4">
        <v>0.80961805555555555</v>
      </c>
    </row>
    <row r="3916" spans="1:72" x14ac:dyDescent="0.25">
      <c r="A3916" s="2">
        <v>5854</v>
      </c>
      <c r="B3916" s="2">
        <v>2010</v>
      </c>
      <c r="C3916" s="2" t="s">
        <v>72</v>
      </c>
      <c r="D3916" s="2" t="s">
        <v>73</v>
      </c>
      <c r="E3916" s="2"/>
      <c r="F3916" s="2">
        <v>2</v>
      </c>
      <c r="G3916" s="2" t="s">
        <v>113</v>
      </c>
      <c r="H3916" s="2">
        <v>108</v>
      </c>
      <c r="I3916" s="2" t="s">
        <v>1096</v>
      </c>
      <c r="J3916" s="2">
        <v>300</v>
      </c>
      <c r="K3916" s="2" t="s">
        <v>114</v>
      </c>
      <c r="L3916" s="2" t="s">
        <v>115</v>
      </c>
      <c r="M3916" s="3">
        <v>40445</v>
      </c>
      <c r="N3916" s="2" t="s">
        <v>107</v>
      </c>
      <c r="O3916" s="2" t="s">
        <v>107</v>
      </c>
      <c r="P3916" s="2" t="s">
        <v>107</v>
      </c>
      <c r="Q3916" s="2" t="str">
        <f>"488-E/10"</f>
        <v>488-E/10</v>
      </c>
      <c r="R3916" s="2" t="s">
        <v>116</v>
      </c>
      <c r="S3916" s="2" t="s">
        <v>116</v>
      </c>
      <c r="T3916" s="2">
        <v>1</v>
      </c>
      <c r="U3916" s="2" t="s">
        <v>79</v>
      </c>
      <c r="V3916" s="2">
        <v>1</v>
      </c>
      <c r="W3916" s="2" t="s">
        <v>80</v>
      </c>
      <c r="X3916" s="2">
        <v>12</v>
      </c>
      <c r="Y3916" s="2" t="s">
        <v>148</v>
      </c>
      <c r="Z3916" s="2">
        <v>1</v>
      </c>
      <c r="AA3916" s="2" t="s">
        <v>82</v>
      </c>
      <c r="AB3916" s="2">
        <v>6</v>
      </c>
      <c r="AC3916" s="2" t="s">
        <v>83</v>
      </c>
      <c r="AD3916" s="3">
        <v>40445</v>
      </c>
      <c r="AE3916" s="2"/>
      <c r="AF3916" s="3">
        <v>40445</v>
      </c>
      <c r="AG3916" s="4">
        <v>0.44097222222222227</v>
      </c>
      <c r="AH3916" s="2">
        <v>2</v>
      </c>
      <c r="AI3916" s="2" t="s">
        <v>84</v>
      </c>
      <c r="AJ3916" s="2">
        <v>9</v>
      </c>
      <c r="AK3916" s="2" t="s">
        <v>103</v>
      </c>
      <c r="AL3916" s="2">
        <v>13</v>
      </c>
      <c r="AM3916" s="2" t="s">
        <v>117</v>
      </c>
      <c r="AN3916" s="2" t="s">
        <v>2887</v>
      </c>
      <c r="AO3916" s="2" t="s">
        <v>12382</v>
      </c>
      <c r="AP3916" s="2">
        <v>11</v>
      </c>
      <c r="AQ3916" s="2" t="s">
        <v>82</v>
      </c>
      <c r="AR3916" s="2"/>
      <c r="AS3916" s="2"/>
      <c r="AT3916" s="2" t="s">
        <v>12383</v>
      </c>
      <c r="AU3916" s="2"/>
      <c r="AV3916" s="2"/>
      <c r="AW3916" s="2"/>
      <c r="AX3916" s="2"/>
      <c r="AY3916" s="2">
        <v>41</v>
      </c>
      <c r="AZ3916" s="2" t="s">
        <v>82</v>
      </c>
      <c r="BA3916" s="2">
        <v>41</v>
      </c>
      <c r="BB3916" s="2" t="s">
        <v>82</v>
      </c>
      <c r="BC3916" s="2">
        <v>41</v>
      </c>
      <c r="BD3916" s="2" t="s">
        <v>82</v>
      </c>
      <c r="BE3916" s="2">
        <v>41</v>
      </c>
      <c r="BF3916" s="2" t="s">
        <v>82</v>
      </c>
      <c r="BG3916" s="2"/>
      <c r="BH3916" s="2"/>
      <c r="BI3916" s="2"/>
      <c r="BJ3916" s="2">
        <v>241</v>
      </c>
      <c r="BK3916" s="2" t="s">
        <v>82</v>
      </c>
      <c r="BL3916" s="2"/>
      <c r="BM3916" s="2">
        <v>241</v>
      </c>
      <c r="BN3916" s="2" t="s">
        <v>82</v>
      </c>
      <c r="BO3916" s="2"/>
      <c r="BP3916" s="2">
        <v>241</v>
      </c>
      <c r="BQ3916" s="2" t="s">
        <v>82</v>
      </c>
      <c r="BR3916" s="2"/>
      <c r="BS3916" s="3">
        <v>40445</v>
      </c>
      <c r="BT3916" s="4">
        <v>0.82203703703703701</v>
      </c>
    </row>
    <row r="3917" spans="1:72" x14ac:dyDescent="0.25">
      <c r="A3917" s="2">
        <v>5855</v>
      </c>
      <c r="B3917" s="2">
        <v>2010</v>
      </c>
      <c r="C3917" s="2" t="s">
        <v>385</v>
      </c>
      <c r="D3917" s="2" t="s">
        <v>122</v>
      </c>
      <c r="E3917" s="2" t="s">
        <v>12287</v>
      </c>
      <c r="F3917" s="2">
        <v>395</v>
      </c>
      <c r="G3917" s="2" t="s">
        <v>1076</v>
      </c>
      <c r="H3917" s="2">
        <v>7</v>
      </c>
      <c r="I3917" s="2" t="s">
        <v>476</v>
      </c>
      <c r="J3917" s="2">
        <v>242</v>
      </c>
      <c r="K3917" s="2" t="s">
        <v>1077</v>
      </c>
      <c r="L3917" s="2" t="s">
        <v>1078</v>
      </c>
      <c r="M3917" s="3">
        <v>40445</v>
      </c>
      <c r="N3917" s="2" t="s">
        <v>1079</v>
      </c>
      <c r="O3917" s="2"/>
      <c r="P3917" s="2"/>
      <c r="Q3917" s="2" t="str">
        <f>"483-E/10"</f>
        <v>483-E/10</v>
      </c>
      <c r="R3917" s="2" t="s">
        <v>3768</v>
      </c>
      <c r="S3917" s="2"/>
      <c r="T3917" s="2">
        <v>1</v>
      </c>
      <c r="U3917" s="2" t="s">
        <v>79</v>
      </c>
      <c r="V3917" s="2">
        <v>1</v>
      </c>
      <c r="W3917" s="2" t="s">
        <v>80</v>
      </c>
      <c r="X3917" s="2">
        <v>1</v>
      </c>
      <c r="Y3917" s="2" t="s">
        <v>81</v>
      </c>
      <c r="Z3917" s="2">
        <v>10</v>
      </c>
      <c r="AA3917" s="2" t="s">
        <v>236</v>
      </c>
      <c r="AB3917" s="2">
        <v>9</v>
      </c>
      <c r="AC3917" s="2" t="s">
        <v>124</v>
      </c>
      <c r="AD3917" s="3">
        <v>40442</v>
      </c>
      <c r="AE3917" s="4">
        <v>0.48958333333333331</v>
      </c>
      <c r="AF3917" s="2"/>
      <c r="AG3917" s="2"/>
      <c r="AH3917" s="2">
        <v>2</v>
      </c>
      <c r="AI3917" s="2" t="s">
        <v>84</v>
      </c>
      <c r="AJ3917" s="2">
        <v>9</v>
      </c>
      <c r="AK3917" s="2" t="s">
        <v>103</v>
      </c>
      <c r="AL3917" s="2">
        <v>14</v>
      </c>
      <c r="AM3917" s="2" t="s">
        <v>216</v>
      </c>
      <c r="AN3917" s="2" t="s">
        <v>179</v>
      </c>
      <c r="AO3917" s="2"/>
      <c r="AP3917" s="2">
        <v>11</v>
      </c>
      <c r="AQ3917" s="2" t="s">
        <v>82</v>
      </c>
      <c r="AR3917" s="2"/>
      <c r="AS3917" s="2"/>
      <c r="AT3917" s="2" t="s">
        <v>12384</v>
      </c>
      <c r="AU3917" s="2"/>
      <c r="AV3917" s="2">
        <v>1</v>
      </c>
      <c r="AW3917" s="2"/>
      <c r="AX3917" s="2"/>
      <c r="AY3917" s="2">
        <v>41</v>
      </c>
      <c r="AZ3917" s="2" t="s">
        <v>82</v>
      </c>
      <c r="BA3917" s="2">
        <v>41</v>
      </c>
      <c r="BB3917" s="2" t="s">
        <v>82</v>
      </c>
      <c r="BC3917" s="2">
        <v>41</v>
      </c>
      <c r="BD3917" s="2" t="s">
        <v>82</v>
      </c>
      <c r="BE3917" s="2">
        <v>27</v>
      </c>
      <c r="BF3917" s="2" t="s">
        <v>2197</v>
      </c>
      <c r="BG3917" s="2" t="s">
        <v>8204</v>
      </c>
      <c r="BH3917" s="4">
        <v>4.1666666666666664E-2</v>
      </c>
      <c r="BI3917" s="4">
        <v>0.50694444444444442</v>
      </c>
      <c r="BJ3917" s="2">
        <v>13</v>
      </c>
      <c r="BK3917" s="2" t="s">
        <v>91</v>
      </c>
      <c r="BL3917" s="2" t="s">
        <v>185</v>
      </c>
      <c r="BM3917" s="2">
        <v>112</v>
      </c>
      <c r="BN3917" s="2" t="s">
        <v>110</v>
      </c>
      <c r="BO3917" s="2"/>
      <c r="BP3917" s="2">
        <v>112</v>
      </c>
      <c r="BQ3917" s="2" t="s">
        <v>110</v>
      </c>
      <c r="BR3917" s="2" t="s">
        <v>111</v>
      </c>
      <c r="BS3917" s="3">
        <v>40445</v>
      </c>
      <c r="BT3917" s="4">
        <v>0.83285879629629633</v>
      </c>
    </row>
    <row r="3918" spans="1:72" x14ac:dyDescent="0.25">
      <c r="A3918" s="2">
        <v>5856</v>
      </c>
      <c r="B3918" s="2">
        <v>2010</v>
      </c>
      <c r="C3918" s="2" t="s">
        <v>1094</v>
      </c>
      <c r="D3918" s="2" t="s">
        <v>73</v>
      </c>
      <c r="E3918" s="2"/>
      <c r="F3918" s="2">
        <v>159</v>
      </c>
      <c r="G3918" s="2" t="s">
        <v>3883</v>
      </c>
      <c r="H3918" s="2">
        <v>19</v>
      </c>
      <c r="I3918" s="2" t="s">
        <v>4355</v>
      </c>
      <c r="J3918" s="2">
        <v>632</v>
      </c>
      <c r="K3918" s="2" t="s">
        <v>10017</v>
      </c>
      <c r="L3918" s="2" t="s">
        <v>10018</v>
      </c>
      <c r="M3918" s="3">
        <v>40445</v>
      </c>
      <c r="N3918" s="2" t="s">
        <v>4684</v>
      </c>
      <c r="O3918" s="2"/>
      <c r="P3918" s="2"/>
      <c r="Q3918" s="2" t="str">
        <f>"381-A/10"</f>
        <v>381-A/10</v>
      </c>
      <c r="R3918" s="2" t="s">
        <v>1100</v>
      </c>
      <c r="S3918" s="2" t="s">
        <v>1100</v>
      </c>
      <c r="T3918" s="2">
        <v>1</v>
      </c>
      <c r="U3918" s="2" t="s">
        <v>79</v>
      </c>
      <c r="V3918" s="2">
        <v>1</v>
      </c>
      <c r="W3918" s="2" t="s">
        <v>80</v>
      </c>
      <c r="X3918" s="2">
        <v>12</v>
      </c>
      <c r="Y3918" s="2" t="s">
        <v>148</v>
      </c>
      <c r="Z3918" s="2">
        <v>1</v>
      </c>
      <c r="AA3918" s="2" t="s">
        <v>82</v>
      </c>
      <c r="AB3918" s="2">
        <v>9</v>
      </c>
      <c r="AC3918" s="2" t="s">
        <v>124</v>
      </c>
      <c r="AD3918" s="3">
        <v>40445</v>
      </c>
      <c r="AE3918" s="4">
        <v>0.3833333333333333</v>
      </c>
      <c r="AF3918" s="3">
        <v>40445</v>
      </c>
      <c r="AG3918" s="4">
        <v>0.42708333333333331</v>
      </c>
      <c r="AH3918" s="2">
        <v>2</v>
      </c>
      <c r="AI3918" s="2" t="s">
        <v>84</v>
      </c>
      <c r="AJ3918" s="2">
        <v>12</v>
      </c>
      <c r="AK3918" s="2" t="s">
        <v>85</v>
      </c>
      <c r="AL3918" s="2">
        <v>2</v>
      </c>
      <c r="AM3918" s="2" t="s">
        <v>163</v>
      </c>
      <c r="AN3918" s="2" t="s">
        <v>12385</v>
      </c>
      <c r="AO3918" s="2" t="s">
        <v>12386</v>
      </c>
      <c r="AP3918" s="2">
        <v>11</v>
      </c>
      <c r="AQ3918" s="2" t="s">
        <v>82</v>
      </c>
      <c r="AR3918" s="2"/>
      <c r="AS3918" s="2"/>
      <c r="AT3918" s="2" t="s">
        <v>12387</v>
      </c>
      <c r="AU3918" s="2">
        <v>1</v>
      </c>
      <c r="AV3918" s="2"/>
      <c r="AW3918" s="2"/>
      <c r="AX3918" s="2"/>
      <c r="AY3918" s="2">
        <v>41</v>
      </c>
      <c r="AZ3918" s="2" t="s">
        <v>82</v>
      </c>
      <c r="BA3918" s="2">
        <v>41</v>
      </c>
      <c r="BB3918" s="2" t="s">
        <v>82</v>
      </c>
      <c r="BC3918" s="2">
        <v>41</v>
      </c>
      <c r="BD3918" s="2" t="s">
        <v>82</v>
      </c>
      <c r="BE3918" s="2">
        <v>13</v>
      </c>
      <c r="BF3918" s="2" t="s">
        <v>108</v>
      </c>
      <c r="BG3918" s="2" t="s">
        <v>1638</v>
      </c>
      <c r="BH3918" s="2"/>
      <c r="BI3918" s="4">
        <v>0.38194444444444442</v>
      </c>
      <c r="BJ3918" s="2">
        <v>13</v>
      </c>
      <c r="BK3918" s="2" t="s">
        <v>91</v>
      </c>
      <c r="BL3918" s="2" t="s">
        <v>564</v>
      </c>
      <c r="BM3918" s="2">
        <v>229</v>
      </c>
      <c r="BN3918" s="2" t="s">
        <v>300</v>
      </c>
      <c r="BO3918" s="2"/>
      <c r="BP3918" s="2">
        <v>229</v>
      </c>
      <c r="BQ3918" s="2" t="s">
        <v>300</v>
      </c>
      <c r="BR3918" s="2" t="s">
        <v>573</v>
      </c>
      <c r="BS3918" s="3">
        <v>40445</v>
      </c>
      <c r="BT3918" s="4">
        <v>0.83324074074074073</v>
      </c>
    </row>
    <row r="3919" spans="1:72" x14ac:dyDescent="0.25">
      <c r="A3919" s="2">
        <v>5858</v>
      </c>
      <c r="B3919" s="2">
        <v>2010</v>
      </c>
      <c r="C3919" s="2" t="s">
        <v>171</v>
      </c>
      <c r="D3919" s="2" t="s">
        <v>73</v>
      </c>
      <c r="E3919" s="2"/>
      <c r="F3919" s="2">
        <v>395</v>
      </c>
      <c r="G3919" s="2" t="s">
        <v>1076</v>
      </c>
      <c r="H3919" s="2">
        <v>7</v>
      </c>
      <c r="I3919" s="2" t="s">
        <v>476</v>
      </c>
      <c r="J3919" s="2">
        <v>242</v>
      </c>
      <c r="K3919" s="2" t="s">
        <v>1077</v>
      </c>
      <c r="L3919" s="2" t="s">
        <v>1078</v>
      </c>
      <c r="M3919" s="3">
        <v>40445</v>
      </c>
      <c r="N3919" s="2" t="s">
        <v>1079</v>
      </c>
      <c r="O3919" s="2" t="s">
        <v>107</v>
      </c>
      <c r="P3919" s="2" t="s">
        <v>107</v>
      </c>
      <c r="Q3919" s="2" t="str">
        <f>"489-E/10"</f>
        <v>489-E/10</v>
      </c>
      <c r="R3919" s="2" t="s">
        <v>391</v>
      </c>
      <c r="S3919" s="2" t="s">
        <v>391</v>
      </c>
      <c r="T3919" s="2">
        <v>1</v>
      </c>
      <c r="U3919" s="2" t="s">
        <v>79</v>
      </c>
      <c r="V3919" s="2">
        <v>1</v>
      </c>
      <c r="W3919" s="2" t="s">
        <v>80</v>
      </c>
      <c r="X3919" s="2">
        <v>1</v>
      </c>
      <c r="Y3919" s="2" t="s">
        <v>81</v>
      </c>
      <c r="Z3919" s="2">
        <v>1</v>
      </c>
      <c r="AA3919" s="2" t="s">
        <v>82</v>
      </c>
      <c r="AB3919" s="2">
        <v>1</v>
      </c>
      <c r="AC3919" s="2" t="s">
        <v>178</v>
      </c>
      <c r="AD3919" s="3">
        <v>40445</v>
      </c>
      <c r="AE3919" s="4">
        <v>0.58333333333333337</v>
      </c>
      <c r="AF3919" s="2"/>
      <c r="AG3919" s="2"/>
      <c r="AH3919" s="2">
        <v>2</v>
      </c>
      <c r="AI3919" s="2" t="s">
        <v>84</v>
      </c>
      <c r="AJ3919" s="2">
        <v>9</v>
      </c>
      <c r="AK3919" s="2" t="s">
        <v>103</v>
      </c>
      <c r="AL3919" s="2">
        <v>25</v>
      </c>
      <c r="AM3919" s="2" t="s">
        <v>3073</v>
      </c>
      <c r="AN3919" s="2" t="s">
        <v>827</v>
      </c>
      <c r="AO3919" s="2" t="s">
        <v>392</v>
      </c>
      <c r="AP3919" s="2">
        <v>5</v>
      </c>
      <c r="AQ3919" s="2" t="s">
        <v>827</v>
      </c>
      <c r="AR3919" s="2" t="s">
        <v>12388</v>
      </c>
      <c r="AS3919" s="2" t="s">
        <v>12389</v>
      </c>
      <c r="AT3919" s="2" t="s">
        <v>12390</v>
      </c>
      <c r="AU3919" s="2"/>
      <c r="AV3919" s="2"/>
      <c r="AW3919" s="2"/>
      <c r="AX3919" s="2"/>
      <c r="AY3919" s="2">
        <v>41</v>
      </c>
      <c r="AZ3919" s="2" t="s">
        <v>82</v>
      </c>
      <c r="BA3919" s="2">
        <v>41</v>
      </c>
      <c r="BB3919" s="2" t="s">
        <v>82</v>
      </c>
      <c r="BC3919" s="2">
        <v>41</v>
      </c>
      <c r="BD3919" s="2" t="s">
        <v>82</v>
      </c>
      <c r="BE3919" s="2">
        <v>14</v>
      </c>
      <c r="BF3919" s="2" t="s">
        <v>484</v>
      </c>
      <c r="BG3919" s="2" t="s">
        <v>818</v>
      </c>
      <c r="BH3919" s="2"/>
      <c r="BI3919" s="4">
        <v>0.70833333333333337</v>
      </c>
      <c r="BJ3919" s="2">
        <v>13</v>
      </c>
      <c r="BK3919" s="2" t="s">
        <v>91</v>
      </c>
      <c r="BL3919" s="2" t="s">
        <v>360</v>
      </c>
      <c r="BM3919" s="2">
        <v>82</v>
      </c>
      <c r="BN3919" s="2" t="s">
        <v>487</v>
      </c>
      <c r="BO3919" s="2"/>
      <c r="BP3919" s="2">
        <v>82</v>
      </c>
      <c r="BQ3919" s="2" t="s">
        <v>487</v>
      </c>
      <c r="BR3919" s="2" t="s">
        <v>488</v>
      </c>
      <c r="BS3919" s="3">
        <v>40445</v>
      </c>
      <c r="BT3919" s="4">
        <v>0.88243055555555561</v>
      </c>
    </row>
    <row r="3920" spans="1:72" x14ac:dyDescent="0.25">
      <c r="A3920" s="2">
        <v>5859</v>
      </c>
      <c r="B3920" s="2">
        <v>2010</v>
      </c>
      <c r="C3920" s="2" t="s">
        <v>763</v>
      </c>
      <c r="D3920" s="2" t="s">
        <v>122</v>
      </c>
      <c r="E3920" s="2" t="s">
        <v>12391</v>
      </c>
      <c r="F3920" s="2">
        <v>159</v>
      </c>
      <c r="G3920" s="2" t="s">
        <v>3883</v>
      </c>
      <c r="H3920" s="2">
        <v>19</v>
      </c>
      <c r="I3920" s="2" t="s">
        <v>4355</v>
      </c>
      <c r="J3920" s="2">
        <v>632</v>
      </c>
      <c r="K3920" s="2" t="s">
        <v>10017</v>
      </c>
      <c r="L3920" s="2" t="s">
        <v>10018</v>
      </c>
      <c r="M3920" s="3">
        <v>40445</v>
      </c>
      <c r="N3920" s="2" t="s">
        <v>4684</v>
      </c>
      <c r="O3920" s="2"/>
      <c r="P3920" s="2"/>
      <c r="Q3920" s="2" t="str">
        <f>"PS 381-A/10"</f>
        <v>PS 381-A/10</v>
      </c>
      <c r="R3920" s="2" t="s">
        <v>1694</v>
      </c>
      <c r="S3920" s="2"/>
      <c r="T3920" s="2">
        <v>1</v>
      </c>
      <c r="U3920" s="2" t="s">
        <v>79</v>
      </c>
      <c r="V3920" s="2">
        <v>1</v>
      </c>
      <c r="W3920" s="2" t="s">
        <v>80</v>
      </c>
      <c r="X3920" s="2">
        <v>12</v>
      </c>
      <c r="Y3920" s="2" t="s">
        <v>148</v>
      </c>
      <c r="Z3920" s="2">
        <v>10</v>
      </c>
      <c r="AA3920" s="2" t="s">
        <v>236</v>
      </c>
      <c r="AB3920" s="2">
        <v>9</v>
      </c>
      <c r="AC3920" s="2" t="s">
        <v>124</v>
      </c>
      <c r="AD3920" s="3">
        <v>40445</v>
      </c>
      <c r="AE3920" s="4">
        <v>0.38194444444444442</v>
      </c>
      <c r="AF3920" s="3">
        <v>40445</v>
      </c>
      <c r="AG3920" s="4">
        <v>0.42708333333333331</v>
      </c>
      <c r="AH3920" s="2">
        <v>2</v>
      </c>
      <c r="AI3920" s="2" t="s">
        <v>84</v>
      </c>
      <c r="AJ3920" s="2">
        <v>12</v>
      </c>
      <c r="AK3920" s="2" t="s">
        <v>85</v>
      </c>
      <c r="AL3920" s="2">
        <v>2</v>
      </c>
      <c r="AM3920" s="2" t="s">
        <v>163</v>
      </c>
      <c r="AN3920" s="2"/>
      <c r="AO3920" s="2" t="s">
        <v>12386</v>
      </c>
      <c r="AP3920" s="2">
        <v>11</v>
      </c>
      <c r="AQ3920" s="2" t="s">
        <v>82</v>
      </c>
      <c r="AR3920" s="2"/>
      <c r="AS3920" s="2"/>
      <c r="AT3920" s="2" t="s">
        <v>12392</v>
      </c>
      <c r="AU3920" s="2">
        <v>1</v>
      </c>
      <c r="AV3920" s="2"/>
      <c r="AW3920" s="2"/>
      <c r="AX3920" s="2"/>
      <c r="AY3920" s="2">
        <v>41</v>
      </c>
      <c r="AZ3920" s="2" t="s">
        <v>82</v>
      </c>
      <c r="BA3920" s="2">
        <v>41</v>
      </c>
      <c r="BB3920" s="2" t="s">
        <v>82</v>
      </c>
      <c r="BC3920" s="2">
        <v>41</v>
      </c>
      <c r="BD3920" s="2" t="s">
        <v>82</v>
      </c>
      <c r="BE3920" s="2">
        <v>13</v>
      </c>
      <c r="BF3920" s="2" t="s">
        <v>108</v>
      </c>
      <c r="BG3920" s="2" t="s">
        <v>1638</v>
      </c>
      <c r="BH3920" s="4">
        <v>0.39930555555555558</v>
      </c>
      <c r="BI3920" s="4">
        <v>0.3576388888888889</v>
      </c>
      <c r="BJ3920" s="2">
        <v>13</v>
      </c>
      <c r="BK3920" s="2" t="s">
        <v>91</v>
      </c>
      <c r="BL3920" s="2" t="s">
        <v>185</v>
      </c>
      <c r="BM3920" s="2">
        <v>229</v>
      </c>
      <c r="BN3920" s="2" t="s">
        <v>300</v>
      </c>
      <c r="BO3920" s="2"/>
      <c r="BP3920" s="2">
        <v>229</v>
      </c>
      <c r="BQ3920" s="2" t="s">
        <v>300</v>
      </c>
      <c r="BR3920" s="2" t="s">
        <v>573</v>
      </c>
      <c r="BS3920" s="3">
        <v>40445</v>
      </c>
      <c r="BT3920" s="4">
        <v>0.99754629629629632</v>
      </c>
    </row>
    <row r="3921" spans="1:72" x14ac:dyDescent="0.25">
      <c r="A3921" s="2">
        <v>5860</v>
      </c>
      <c r="B3921" s="2">
        <v>2010</v>
      </c>
      <c r="C3921" s="2" t="s">
        <v>4543</v>
      </c>
      <c r="D3921" s="2" t="s">
        <v>122</v>
      </c>
      <c r="E3921" s="2"/>
      <c r="F3921" s="2">
        <v>159</v>
      </c>
      <c r="G3921" s="2" t="s">
        <v>3883</v>
      </c>
      <c r="H3921" s="2">
        <v>19</v>
      </c>
      <c r="I3921" s="2" t="s">
        <v>4355</v>
      </c>
      <c r="J3921" s="2">
        <v>172</v>
      </c>
      <c r="K3921" s="2" t="s">
        <v>3885</v>
      </c>
      <c r="L3921" s="2" t="s">
        <v>3886</v>
      </c>
      <c r="M3921" s="3">
        <v>40446</v>
      </c>
      <c r="N3921" s="2" t="s">
        <v>12393</v>
      </c>
      <c r="O3921" s="2"/>
      <c r="P3921" s="2"/>
      <c r="Q3921" s="2" t="str">
        <f>""</f>
        <v/>
      </c>
      <c r="R3921" s="2"/>
      <c r="S3921" s="2"/>
      <c r="T3921" s="2">
        <v>2</v>
      </c>
      <c r="U3921" s="2" t="s">
        <v>123</v>
      </c>
      <c r="V3921" s="2">
        <v>1</v>
      </c>
      <c r="W3921" s="2" t="s">
        <v>80</v>
      </c>
      <c r="X3921" s="2">
        <v>4</v>
      </c>
      <c r="Y3921" s="2" t="s">
        <v>463</v>
      </c>
      <c r="Z3921" s="2">
        <v>5</v>
      </c>
      <c r="AA3921" s="2" t="s">
        <v>1124</v>
      </c>
      <c r="AB3921" s="2">
        <v>9</v>
      </c>
      <c r="AC3921" s="2" t="s">
        <v>124</v>
      </c>
      <c r="AD3921" s="3">
        <v>40446</v>
      </c>
      <c r="AE3921" s="4">
        <v>7.6388888888888895E-2</v>
      </c>
      <c r="AF3921" s="2"/>
      <c r="AG3921" s="2"/>
      <c r="AH3921" s="2">
        <v>2</v>
      </c>
      <c r="AI3921" s="2" t="s">
        <v>84</v>
      </c>
      <c r="AJ3921" s="2">
        <v>12</v>
      </c>
      <c r="AK3921" s="2" t="s">
        <v>85</v>
      </c>
      <c r="AL3921" s="2">
        <v>25</v>
      </c>
      <c r="AM3921" s="2" t="s">
        <v>3073</v>
      </c>
      <c r="AN3921" s="2"/>
      <c r="AO3921" s="2" t="s">
        <v>12394</v>
      </c>
      <c r="AP3921" s="2">
        <v>12</v>
      </c>
      <c r="AQ3921" s="2" t="s">
        <v>322</v>
      </c>
      <c r="AR3921" s="2" t="s">
        <v>12395</v>
      </c>
      <c r="AS3921" s="2" t="s">
        <v>12396</v>
      </c>
      <c r="AT3921" s="2" t="s">
        <v>12397</v>
      </c>
      <c r="AU3921" s="2"/>
      <c r="AV3921" s="2"/>
      <c r="AW3921" s="2"/>
      <c r="AX3921" s="2"/>
      <c r="AY3921" s="2">
        <v>41</v>
      </c>
      <c r="AZ3921" s="2" t="s">
        <v>82</v>
      </c>
      <c r="BA3921" s="2">
        <v>41</v>
      </c>
      <c r="BB3921" s="2" t="s">
        <v>82</v>
      </c>
      <c r="BC3921" s="2">
        <v>70</v>
      </c>
      <c r="BD3921" s="2" t="s">
        <v>236</v>
      </c>
      <c r="BE3921" s="2">
        <v>13</v>
      </c>
      <c r="BF3921" s="2" t="s">
        <v>108</v>
      </c>
      <c r="BG3921" s="2"/>
      <c r="BH3921" s="4">
        <v>1.3888888888888888E-2</v>
      </c>
      <c r="BI3921" s="2"/>
      <c r="BJ3921" s="2">
        <v>13</v>
      </c>
      <c r="BK3921" s="2" t="s">
        <v>91</v>
      </c>
      <c r="BL3921" s="2" t="s">
        <v>828</v>
      </c>
      <c r="BM3921" s="2">
        <v>241</v>
      </c>
      <c r="BN3921" s="2" t="s">
        <v>82</v>
      </c>
      <c r="BO3921" s="2"/>
      <c r="BP3921" s="2">
        <v>13</v>
      </c>
      <c r="BQ3921" s="2" t="s">
        <v>91</v>
      </c>
      <c r="BR3921" s="2" t="s">
        <v>185</v>
      </c>
      <c r="BS3921" s="3">
        <v>40446</v>
      </c>
      <c r="BT3921" s="4">
        <v>0.29868055555555556</v>
      </c>
    </row>
    <row r="3922" spans="1:72" x14ac:dyDescent="0.25">
      <c r="A3922" s="2">
        <v>5861</v>
      </c>
      <c r="B3922" s="2">
        <v>2010</v>
      </c>
      <c r="C3922" s="2" t="s">
        <v>377</v>
      </c>
      <c r="D3922" s="2" t="s">
        <v>73</v>
      </c>
      <c r="E3922" s="2"/>
      <c r="F3922" s="2">
        <v>426</v>
      </c>
      <c r="G3922" s="2" t="s">
        <v>378</v>
      </c>
      <c r="H3922" s="2">
        <v>22</v>
      </c>
      <c r="I3922" s="2" t="s">
        <v>75</v>
      </c>
      <c r="J3922" s="2">
        <v>311</v>
      </c>
      <c r="K3922" s="2" t="s">
        <v>379</v>
      </c>
      <c r="L3922" s="2" t="s">
        <v>380</v>
      </c>
      <c r="M3922" s="3">
        <v>40446</v>
      </c>
      <c r="N3922" s="2" t="s">
        <v>5164</v>
      </c>
      <c r="O3922" s="2"/>
      <c r="P3922" s="2"/>
      <c r="Q3922" s="2" t="str">
        <f>"249-C/10"</f>
        <v>249-C/10</v>
      </c>
      <c r="R3922" s="2" t="s">
        <v>4428</v>
      </c>
      <c r="S3922" s="2" t="s">
        <v>4428</v>
      </c>
      <c r="T3922" s="2">
        <v>1</v>
      </c>
      <c r="U3922" s="2" t="s">
        <v>79</v>
      </c>
      <c r="V3922" s="2">
        <v>1</v>
      </c>
      <c r="W3922" s="2" t="s">
        <v>80</v>
      </c>
      <c r="X3922" s="2">
        <v>1</v>
      </c>
      <c r="Y3922" s="2" t="s">
        <v>81</v>
      </c>
      <c r="Z3922" s="2">
        <v>1</v>
      </c>
      <c r="AA3922" s="2" t="s">
        <v>82</v>
      </c>
      <c r="AB3922" s="2">
        <v>9</v>
      </c>
      <c r="AC3922" s="2" t="s">
        <v>124</v>
      </c>
      <c r="AD3922" s="3">
        <v>40445</v>
      </c>
      <c r="AE3922" s="4">
        <v>0.93055555555555547</v>
      </c>
      <c r="AF3922" s="2"/>
      <c r="AG3922" s="2"/>
      <c r="AH3922" s="2">
        <v>2</v>
      </c>
      <c r="AI3922" s="2" t="s">
        <v>84</v>
      </c>
      <c r="AJ3922" s="2">
        <v>9</v>
      </c>
      <c r="AK3922" s="2" t="s">
        <v>103</v>
      </c>
      <c r="AL3922" s="2">
        <v>24</v>
      </c>
      <c r="AM3922" s="2" t="s">
        <v>1540</v>
      </c>
      <c r="AN3922" s="2"/>
      <c r="AO3922" s="2" t="s">
        <v>12398</v>
      </c>
      <c r="AP3922" s="2">
        <v>11</v>
      </c>
      <c r="AQ3922" s="2" t="s">
        <v>82</v>
      </c>
      <c r="AR3922" s="2"/>
      <c r="AS3922" s="2"/>
      <c r="AT3922" s="2" t="s">
        <v>12399</v>
      </c>
      <c r="AU3922" s="2"/>
      <c r="AV3922" s="2"/>
      <c r="AW3922" s="2"/>
      <c r="AX3922" s="2"/>
      <c r="AY3922" s="2">
        <v>41</v>
      </c>
      <c r="AZ3922" s="2" t="s">
        <v>82</v>
      </c>
      <c r="BA3922" s="2">
        <v>41</v>
      </c>
      <c r="BB3922" s="2" t="s">
        <v>82</v>
      </c>
      <c r="BC3922" s="2">
        <v>41</v>
      </c>
      <c r="BD3922" s="2" t="s">
        <v>82</v>
      </c>
      <c r="BE3922" s="2">
        <v>41</v>
      </c>
      <c r="BF3922" s="2" t="s">
        <v>82</v>
      </c>
      <c r="BG3922" s="2"/>
      <c r="BH3922" s="2"/>
      <c r="BI3922" s="2"/>
      <c r="BJ3922" s="2">
        <v>241</v>
      </c>
      <c r="BK3922" s="2" t="s">
        <v>82</v>
      </c>
      <c r="BL3922" s="2"/>
      <c r="BM3922" s="2">
        <v>241</v>
      </c>
      <c r="BN3922" s="2" t="s">
        <v>82</v>
      </c>
      <c r="BO3922" s="2"/>
      <c r="BP3922" s="2">
        <v>241</v>
      </c>
      <c r="BQ3922" s="2" t="s">
        <v>82</v>
      </c>
      <c r="BR3922" s="2"/>
      <c r="BS3922" s="3">
        <v>40446</v>
      </c>
      <c r="BT3922" s="4">
        <v>0.32778935185185182</v>
      </c>
    </row>
    <row r="3923" spans="1:72" x14ac:dyDescent="0.25">
      <c r="A3923" s="2">
        <v>5862</v>
      </c>
      <c r="B3923" s="2">
        <v>2010</v>
      </c>
      <c r="C3923" s="2" t="s">
        <v>171</v>
      </c>
      <c r="D3923" s="2" t="s">
        <v>122</v>
      </c>
      <c r="E3923" s="2" t="s">
        <v>12400</v>
      </c>
      <c r="F3923" s="2">
        <v>337</v>
      </c>
      <c r="G3923" s="2" t="s">
        <v>1190</v>
      </c>
      <c r="H3923" s="2">
        <v>66</v>
      </c>
      <c r="I3923" s="2" t="s">
        <v>3190</v>
      </c>
      <c r="J3923" s="2">
        <v>374</v>
      </c>
      <c r="K3923" s="2" t="s">
        <v>1191</v>
      </c>
      <c r="L3923" s="2" t="s">
        <v>132</v>
      </c>
      <c r="M3923" s="3">
        <v>40446</v>
      </c>
      <c r="N3923" s="2" t="s">
        <v>6981</v>
      </c>
      <c r="O3923" s="2" t="s">
        <v>12401</v>
      </c>
      <c r="P3923" s="2" t="s">
        <v>12344</v>
      </c>
      <c r="Q3923" s="2" t="str">
        <f>"22/10"</f>
        <v>22/10</v>
      </c>
      <c r="R3923" s="2"/>
      <c r="S3923" s="2"/>
      <c r="T3923" s="2">
        <v>1</v>
      </c>
      <c r="U3923" s="2" t="s">
        <v>79</v>
      </c>
      <c r="V3923" s="2">
        <v>1</v>
      </c>
      <c r="W3923" s="2" t="s">
        <v>80</v>
      </c>
      <c r="X3923" s="2">
        <v>8</v>
      </c>
      <c r="Y3923" s="2" t="s">
        <v>375</v>
      </c>
      <c r="Z3923" s="2">
        <v>1</v>
      </c>
      <c r="AA3923" s="2" t="s">
        <v>82</v>
      </c>
      <c r="AB3923" s="2">
        <v>1</v>
      </c>
      <c r="AC3923" s="2" t="s">
        <v>178</v>
      </c>
      <c r="AD3923" s="3">
        <v>40444</v>
      </c>
      <c r="AE3923" s="4">
        <v>0.625</v>
      </c>
      <c r="AF3923" s="2"/>
      <c r="AG3923" s="2"/>
      <c r="AH3923" s="2">
        <v>5</v>
      </c>
      <c r="AI3923" s="2" t="s">
        <v>274</v>
      </c>
      <c r="AJ3923" s="2">
        <v>35</v>
      </c>
      <c r="AK3923" s="2" t="s">
        <v>275</v>
      </c>
      <c r="AL3923" s="2">
        <v>23</v>
      </c>
      <c r="AM3923" s="2" t="s">
        <v>251</v>
      </c>
      <c r="AN3923" s="2" t="s">
        <v>12345</v>
      </c>
      <c r="AO3923" s="2" t="s">
        <v>284</v>
      </c>
      <c r="AP3923" s="2">
        <v>11</v>
      </c>
      <c r="AQ3923" s="2" t="s">
        <v>82</v>
      </c>
      <c r="AR3923" s="2"/>
      <c r="AS3923" s="2"/>
      <c r="AT3923" s="2" t="s">
        <v>12402</v>
      </c>
      <c r="AU3923" s="2">
        <v>2</v>
      </c>
      <c r="AV3923" s="2"/>
      <c r="AW3923" s="2"/>
      <c r="AX3923" s="2"/>
      <c r="AY3923" s="2">
        <v>41</v>
      </c>
      <c r="AZ3923" s="2" t="s">
        <v>82</v>
      </c>
      <c r="BA3923" s="2">
        <v>41</v>
      </c>
      <c r="BB3923" s="2" t="s">
        <v>82</v>
      </c>
      <c r="BC3923" s="2">
        <v>41</v>
      </c>
      <c r="BD3923" s="2" t="s">
        <v>82</v>
      </c>
      <c r="BE3923" s="2">
        <v>41</v>
      </c>
      <c r="BF3923" s="2" t="s">
        <v>82</v>
      </c>
      <c r="BG3923" s="2"/>
      <c r="BH3923" s="2"/>
      <c r="BI3923" s="2"/>
      <c r="BJ3923" s="2">
        <v>241</v>
      </c>
      <c r="BK3923" s="2" t="s">
        <v>82</v>
      </c>
      <c r="BL3923" s="2"/>
      <c r="BM3923" s="2">
        <v>241</v>
      </c>
      <c r="BN3923" s="2" t="s">
        <v>82</v>
      </c>
      <c r="BO3923" s="2"/>
      <c r="BP3923" s="2">
        <v>241</v>
      </c>
      <c r="BQ3923" s="2" t="s">
        <v>82</v>
      </c>
      <c r="BR3923" s="2"/>
      <c r="BS3923" s="3">
        <v>40446</v>
      </c>
      <c r="BT3923" s="4">
        <v>0.4138310185185185</v>
      </c>
    </row>
    <row r="3924" spans="1:72" x14ac:dyDescent="0.25">
      <c r="A3924" s="2">
        <v>5863</v>
      </c>
      <c r="B3924" s="2">
        <v>2010</v>
      </c>
      <c r="C3924" s="2" t="s">
        <v>72</v>
      </c>
      <c r="D3924" s="2" t="s">
        <v>73</v>
      </c>
      <c r="E3924" s="2"/>
      <c r="F3924" s="2">
        <v>545</v>
      </c>
      <c r="G3924" s="2" t="s">
        <v>3969</v>
      </c>
      <c r="H3924" s="2">
        <v>22</v>
      </c>
      <c r="I3924" s="2" t="s">
        <v>75</v>
      </c>
      <c r="J3924" s="2">
        <v>472</v>
      </c>
      <c r="K3924" s="2" t="s">
        <v>7277</v>
      </c>
      <c r="L3924" s="2" t="s">
        <v>7278</v>
      </c>
      <c r="M3924" s="3">
        <v>40446</v>
      </c>
      <c r="N3924" s="2" t="s">
        <v>12403</v>
      </c>
      <c r="O3924" s="2" t="s">
        <v>107</v>
      </c>
      <c r="P3924" s="2" t="s">
        <v>82</v>
      </c>
      <c r="Q3924" s="2" t="str">
        <f>"16/10"</f>
        <v>16/10</v>
      </c>
      <c r="R3924" s="2" t="s">
        <v>82</v>
      </c>
      <c r="S3924" s="2" t="s">
        <v>12404</v>
      </c>
      <c r="T3924" s="2">
        <v>1</v>
      </c>
      <c r="U3924" s="2" t="s">
        <v>79</v>
      </c>
      <c r="V3924" s="2">
        <v>1</v>
      </c>
      <c r="W3924" s="2" t="s">
        <v>80</v>
      </c>
      <c r="X3924" s="2">
        <v>12</v>
      </c>
      <c r="Y3924" s="2" t="s">
        <v>148</v>
      </c>
      <c r="Z3924" s="2">
        <v>1</v>
      </c>
      <c r="AA3924" s="2" t="s">
        <v>82</v>
      </c>
      <c r="AB3924" s="2">
        <v>6</v>
      </c>
      <c r="AC3924" s="2" t="s">
        <v>83</v>
      </c>
      <c r="AD3924" s="3">
        <v>40444</v>
      </c>
      <c r="AE3924" s="2"/>
      <c r="AF3924" s="3">
        <v>40445</v>
      </c>
      <c r="AG3924" s="4">
        <v>0.75</v>
      </c>
      <c r="AH3924" s="2">
        <v>6</v>
      </c>
      <c r="AI3924" s="2" t="s">
        <v>197</v>
      </c>
      <c r="AJ3924" s="2">
        <v>60</v>
      </c>
      <c r="AK3924" s="2" t="s">
        <v>543</v>
      </c>
      <c r="AL3924" s="2">
        <v>22</v>
      </c>
      <c r="AM3924" s="2" t="s">
        <v>1853</v>
      </c>
      <c r="AN3924" s="2" t="s">
        <v>82</v>
      </c>
      <c r="AO3924" s="2" t="s">
        <v>82</v>
      </c>
      <c r="AP3924" s="2">
        <v>11</v>
      </c>
      <c r="AQ3924" s="2" t="s">
        <v>82</v>
      </c>
      <c r="AR3924" s="2" t="s">
        <v>82</v>
      </c>
      <c r="AS3924" s="2" t="s">
        <v>82</v>
      </c>
      <c r="AT3924" s="2" t="s">
        <v>12405</v>
      </c>
      <c r="AU3924" s="2"/>
      <c r="AV3924" s="2"/>
      <c r="AW3924" s="2"/>
      <c r="AX3924" s="2"/>
      <c r="AY3924" s="2">
        <v>41</v>
      </c>
      <c r="AZ3924" s="2" t="s">
        <v>82</v>
      </c>
      <c r="BA3924" s="2">
        <v>41</v>
      </c>
      <c r="BB3924" s="2" t="s">
        <v>82</v>
      </c>
      <c r="BC3924" s="2">
        <v>41</v>
      </c>
      <c r="BD3924" s="2" t="s">
        <v>82</v>
      </c>
      <c r="BE3924" s="2">
        <v>13</v>
      </c>
      <c r="BF3924" s="2" t="s">
        <v>108</v>
      </c>
      <c r="BG3924" s="2">
        <v>2856</v>
      </c>
      <c r="BH3924" s="4">
        <v>0.82291666666666663</v>
      </c>
      <c r="BI3924" s="4">
        <v>0.85416666666666663</v>
      </c>
      <c r="BJ3924" s="2">
        <v>13</v>
      </c>
      <c r="BK3924" s="2" t="s">
        <v>91</v>
      </c>
      <c r="BL3924" s="2" t="s">
        <v>895</v>
      </c>
      <c r="BM3924" s="2">
        <v>13</v>
      </c>
      <c r="BN3924" s="2" t="s">
        <v>91</v>
      </c>
      <c r="BO3924" s="2"/>
      <c r="BP3924" s="2">
        <v>13</v>
      </c>
      <c r="BQ3924" s="2" t="s">
        <v>91</v>
      </c>
      <c r="BR3924" s="2" t="s">
        <v>2348</v>
      </c>
      <c r="BS3924" s="3">
        <v>40446</v>
      </c>
      <c r="BT3924" s="4">
        <v>0.4186111111111111</v>
      </c>
    </row>
    <row r="3925" spans="1:72" x14ac:dyDescent="0.25">
      <c r="A3925" s="2">
        <v>5866</v>
      </c>
      <c r="B3925" s="2">
        <v>2010</v>
      </c>
      <c r="C3925" s="2" t="s">
        <v>171</v>
      </c>
      <c r="D3925" s="2" t="s">
        <v>73</v>
      </c>
      <c r="E3925" s="2"/>
      <c r="F3925" s="2">
        <v>110</v>
      </c>
      <c r="G3925" s="2" t="s">
        <v>7444</v>
      </c>
      <c r="H3925" s="2">
        <v>99</v>
      </c>
      <c r="I3925" s="2" t="s">
        <v>6285</v>
      </c>
      <c r="J3925" s="2">
        <v>126</v>
      </c>
      <c r="K3925" s="2" t="s">
        <v>7445</v>
      </c>
      <c r="L3925" s="2" t="s">
        <v>7446</v>
      </c>
      <c r="M3925" s="3">
        <v>40446</v>
      </c>
      <c r="N3925" s="2" t="s">
        <v>12406</v>
      </c>
      <c r="O3925" s="2" t="s">
        <v>107</v>
      </c>
      <c r="P3925" s="2"/>
      <c r="Q3925" s="2" t="str">
        <f>"004/2010"</f>
        <v>004/2010</v>
      </c>
      <c r="R3925" s="2" t="s">
        <v>107</v>
      </c>
      <c r="S3925" s="2" t="s">
        <v>12407</v>
      </c>
      <c r="T3925" s="2">
        <v>1</v>
      </c>
      <c r="U3925" s="2" t="s">
        <v>79</v>
      </c>
      <c r="V3925" s="2">
        <v>1</v>
      </c>
      <c r="W3925" s="2" t="s">
        <v>80</v>
      </c>
      <c r="X3925" s="2">
        <v>1</v>
      </c>
      <c r="Y3925" s="2" t="s">
        <v>81</v>
      </c>
      <c r="Z3925" s="2">
        <v>1</v>
      </c>
      <c r="AA3925" s="2" t="s">
        <v>82</v>
      </c>
      <c r="AB3925" s="2">
        <v>1</v>
      </c>
      <c r="AC3925" s="2" t="s">
        <v>178</v>
      </c>
      <c r="AD3925" s="3">
        <v>40445</v>
      </c>
      <c r="AE3925" s="4">
        <v>0.5625</v>
      </c>
      <c r="AF3925" s="2"/>
      <c r="AG3925" s="2"/>
      <c r="AH3925" s="2">
        <v>6</v>
      </c>
      <c r="AI3925" s="2" t="s">
        <v>197</v>
      </c>
      <c r="AJ3925" s="2">
        <v>56</v>
      </c>
      <c r="AK3925" s="2" t="s">
        <v>7719</v>
      </c>
      <c r="AL3925" s="2">
        <v>11</v>
      </c>
      <c r="AM3925" s="2" t="s">
        <v>137</v>
      </c>
      <c r="AN3925" s="2"/>
      <c r="AO3925" s="2" t="s">
        <v>10149</v>
      </c>
      <c r="AP3925" s="2">
        <v>11</v>
      </c>
      <c r="AQ3925" s="2" t="s">
        <v>82</v>
      </c>
      <c r="AR3925" s="2"/>
      <c r="AS3925" s="2"/>
      <c r="AT3925" s="2" t="s">
        <v>12408</v>
      </c>
      <c r="AU3925" s="2"/>
      <c r="AV3925" s="2"/>
      <c r="AW3925" s="2"/>
      <c r="AX3925" s="2"/>
      <c r="AY3925" s="2">
        <v>41</v>
      </c>
      <c r="AZ3925" s="2" t="s">
        <v>82</v>
      </c>
      <c r="BA3925" s="2">
        <v>41</v>
      </c>
      <c r="BB3925" s="2" t="s">
        <v>82</v>
      </c>
      <c r="BC3925" s="2">
        <v>41</v>
      </c>
      <c r="BD3925" s="2" t="s">
        <v>82</v>
      </c>
      <c r="BE3925" s="2">
        <v>48</v>
      </c>
      <c r="BF3925" s="2" t="s">
        <v>1123</v>
      </c>
      <c r="BG3925" s="2">
        <v>865</v>
      </c>
      <c r="BH3925" s="2"/>
      <c r="BI3925" s="4">
        <v>0.58333333333333337</v>
      </c>
      <c r="BJ3925" s="2">
        <v>13</v>
      </c>
      <c r="BK3925" s="2" t="s">
        <v>91</v>
      </c>
      <c r="BL3925" s="2" t="s">
        <v>8585</v>
      </c>
      <c r="BM3925" s="2">
        <v>13</v>
      </c>
      <c r="BN3925" s="2" t="s">
        <v>91</v>
      </c>
      <c r="BO3925" s="2"/>
      <c r="BP3925" s="2">
        <v>13</v>
      </c>
      <c r="BQ3925" s="2" t="s">
        <v>91</v>
      </c>
      <c r="BR3925" s="2" t="s">
        <v>564</v>
      </c>
      <c r="BS3925" s="3">
        <v>40446</v>
      </c>
      <c r="BT3925" s="4">
        <v>0.58046296296296296</v>
      </c>
    </row>
    <row r="3926" spans="1:72" x14ac:dyDescent="0.25">
      <c r="A3926" s="2">
        <v>5867</v>
      </c>
      <c r="B3926" s="2">
        <v>2010</v>
      </c>
      <c r="C3926" s="2" t="s">
        <v>121</v>
      </c>
      <c r="D3926" s="2" t="s">
        <v>122</v>
      </c>
      <c r="E3926" s="2" t="s">
        <v>12409</v>
      </c>
      <c r="F3926" s="2">
        <v>1</v>
      </c>
      <c r="G3926" s="2" t="s">
        <v>82</v>
      </c>
      <c r="H3926" s="2">
        <v>1</v>
      </c>
      <c r="I3926" s="2" t="s">
        <v>82</v>
      </c>
      <c r="J3926" s="2">
        <v>1</v>
      </c>
      <c r="K3926" s="2" t="s">
        <v>107</v>
      </c>
      <c r="L3926" s="2" t="s">
        <v>107</v>
      </c>
      <c r="M3926" s="3">
        <v>40446</v>
      </c>
      <c r="N3926" s="2"/>
      <c r="O3926" s="2"/>
      <c r="P3926" s="2"/>
      <c r="Q3926" s="2" t="str">
        <f>""</f>
        <v/>
      </c>
      <c r="R3926" s="2"/>
      <c r="S3926" s="2"/>
      <c r="T3926" s="2">
        <v>2</v>
      </c>
      <c r="U3926" s="2" t="s">
        <v>123</v>
      </c>
      <c r="V3926" s="2">
        <v>1</v>
      </c>
      <c r="W3926" s="2" t="s">
        <v>80</v>
      </c>
      <c r="X3926" s="2">
        <v>11</v>
      </c>
      <c r="Y3926" s="2" t="s">
        <v>1920</v>
      </c>
      <c r="Z3926" s="2">
        <v>4</v>
      </c>
      <c r="AA3926" s="2" t="s">
        <v>182</v>
      </c>
      <c r="AB3926" s="2">
        <v>9</v>
      </c>
      <c r="AC3926" s="2" t="s">
        <v>124</v>
      </c>
      <c r="AD3926" s="3">
        <v>40445</v>
      </c>
      <c r="AE3926" s="4">
        <v>0.76388888888888884</v>
      </c>
      <c r="AF3926" s="2"/>
      <c r="AG3926" s="2"/>
      <c r="AH3926" s="2">
        <v>5</v>
      </c>
      <c r="AI3926" s="2" t="s">
        <v>274</v>
      </c>
      <c r="AJ3926" s="2">
        <v>37</v>
      </c>
      <c r="AK3926" s="2" t="s">
        <v>497</v>
      </c>
      <c r="AL3926" s="2">
        <v>14</v>
      </c>
      <c r="AM3926" s="2" t="s">
        <v>216</v>
      </c>
      <c r="AN3926" s="2" t="s">
        <v>12377</v>
      </c>
      <c r="AO3926" s="2" t="s">
        <v>12378</v>
      </c>
      <c r="AP3926" s="2">
        <v>11</v>
      </c>
      <c r="AQ3926" s="2" t="s">
        <v>82</v>
      </c>
      <c r="AR3926" s="2"/>
      <c r="AS3926" s="2"/>
      <c r="AT3926" s="2" t="s">
        <v>12410</v>
      </c>
      <c r="AU3926" s="2"/>
      <c r="AV3926" s="2"/>
      <c r="AW3926" s="2"/>
      <c r="AX3926" s="2"/>
      <c r="AY3926" s="2">
        <v>41</v>
      </c>
      <c r="AZ3926" s="2" t="s">
        <v>82</v>
      </c>
      <c r="BA3926" s="2">
        <v>41</v>
      </c>
      <c r="BB3926" s="2" t="s">
        <v>82</v>
      </c>
      <c r="BC3926" s="2">
        <v>41</v>
      </c>
      <c r="BD3926" s="2" t="s">
        <v>82</v>
      </c>
      <c r="BE3926" s="2">
        <v>41</v>
      </c>
      <c r="BF3926" s="2" t="s">
        <v>82</v>
      </c>
      <c r="BG3926" s="2"/>
      <c r="BH3926" s="4">
        <v>0.76388888888888884</v>
      </c>
      <c r="BI3926" s="2"/>
      <c r="BJ3926" s="2">
        <v>13</v>
      </c>
      <c r="BK3926" s="2" t="s">
        <v>91</v>
      </c>
      <c r="BL3926" s="2" t="s">
        <v>170</v>
      </c>
      <c r="BM3926" s="2">
        <v>241</v>
      </c>
      <c r="BN3926" s="2" t="s">
        <v>82</v>
      </c>
      <c r="BO3926" s="2"/>
      <c r="BP3926" s="2">
        <v>13</v>
      </c>
      <c r="BQ3926" s="2" t="s">
        <v>91</v>
      </c>
      <c r="BR3926" s="2" t="s">
        <v>12380</v>
      </c>
      <c r="BS3926" s="3">
        <v>40446</v>
      </c>
      <c r="BT3926" s="4">
        <v>0.70607638888888891</v>
      </c>
    </row>
    <row r="3927" spans="1:72" x14ac:dyDescent="0.25">
      <c r="A3927" s="2">
        <v>5868</v>
      </c>
      <c r="B3927" s="2">
        <v>2010</v>
      </c>
      <c r="C3927" s="2" t="s">
        <v>1568</v>
      </c>
      <c r="D3927" s="2" t="s">
        <v>73</v>
      </c>
      <c r="E3927" s="2"/>
      <c r="F3927" s="2">
        <v>390</v>
      </c>
      <c r="G3927" s="2" t="s">
        <v>475</v>
      </c>
      <c r="H3927" s="2">
        <v>7</v>
      </c>
      <c r="I3927" s="2" t="s">
        <v>476</v>
      </c>
      <c r="J3927" s="2">
        <v>533</v>
      </c>
      <c r="K3927" s="2" t="s">
        <v>6511</v>
      </c>
      <c r="L3927" s="2" t="s">
        <v>478</v>
      </c>
      <c r="M3927" s="3">
        <v>40446</v>
      </c>
      <c r="N3927" s="2" t="s">
        <v>12411</v>
      </c>
      <c r="O3927" s="2" t="s">
        <v>12412</v>
      </c>
      <c r="P3927" s="2"/>
      <c r="Q3927" s="2" t="str">
        <f>"490-E/10"</f>
        <v>490-E/10</v>
      </c>
      <c r="R3927" s="2"/>
      <c r="S3927" s="2"/>
      <c r="T3927" s="2">
        <v>1</v>
      </c>
      <c r="U3927" s="2" t="s">
        <v>79</v>
      </c>
      <c r="V3927" s="2">
        <v>1</v>
      </c>
      <c r="W3927" s="2" t="s">
        <v>80</v>
      </c>
      <c r="X3927" s="2">
        <v>1</v>
      </c>
      <c r="Y3927" s="2" t="s">
        <v>81</v>
      </c>
      <c r="Z3927" s="2">
        <v>1</v>
      </c>
      <c r="AA3927" s="2" t="s">
        <v>82</v>
      </c>
      <c r="AB3927" s="2">
        <v>4</v>
      </c>
      <c r="AC3927" s="2" t="s">
        <v>1569</v>
      </c>
      <c r="AD3927" s="3">
        <v>40446</v>
      </c>
      <c r="AE3927" s="4">
        <v>0.33333333333333331</v>
      </c>
      <c r="AF3927" s="2"/>
      <c r="AG3927" s="2"/>
      <c r="AH3927" s="2">
        <v>2</v>
      </c>
      <c r="AI3927" s="2" t="s">
        <v>84</v>
      </c>
      <c r="AJ3927" s="2">
        <v>9</v>
      </c>
      <c r="AK3927" s="2" t="s">
        <v>103</v>
      </c>
      <c r="AL3927" s="2">
        <v>11</v>
      </c>
      <c r="AM3927" s="2" t="s">
        <v>137</v>
      </c>
      <c r="AN3927" s="2" t="s">
        <v>12413</v>
      </c>
      <c r="AO3927" s="2"/>
      <c r="AP3927" s="2">
        <v>11</v>
      </c>
      <c r="AQ3927" s="2" t="s">
        <v>82</v>
      </c>
      <c r="AR3927" s="2"/>
      <c r="AS3927" s="2"/>
      <c r="AT3927" s="2" t="s">
        <v>12414</v>
      </c>
      <c r="AU3927" s="2">
        <v>1</v>
      </c>
      <c r="AV3927" s="2"/>
      <c r="AW3927" s="2"/>
      <c r="AX3927" s="2"/>
      <c r="AY3927" s="2">
        <v>41</v>
      </c>
      <c r="AZ3927" s="2" t="s">
        <v>82</v>
      </c>
      <c r="BA3927" s="2">
        <v>41</v>
      </c>
      <c r="BB3927" s="2" t="s">
        <v>82</v>
      </c>
      <c r="BC3927" s="2">
        <v>41</v>
      </c>
      <c r="BD3927" s="2" t="s">
        <v>82</v>
      </c>
      <c r="BE3927" s="2">
        <v>13</v>
      </c>
      <c r="BF3927" s="2" t="s">
        <v>108</v>
      </c>
      <c r="BG3927" s="2" t="s">
        <v>961</v>
      </c>
      <c r="BH3927" s="2"/>
      <c r="BI3927" s="4">
        <v>0.41666666666666669</v>
      </c>
      <c r="BJ3927" s="2">
        <v>13</v>
      </c>
      <c r="BK3927" s="2" t="s">
        <v>91</v>
      </c>
      <c r="BL3927" s="2" t="s">
        <v>360</v>
      </c>
      <c r="BM3927" s="2">
        <v>29</v>
      </c>
      <c r="BN3927" s="2" t="s">
        <v>962</v>
      </c>
      <c r="BO3927" s="2"/>
      <c r="BP3927" s="2">
        <v>29</v>
      </c>
      <c r="BQ3927" s="2" t="s">
        <v>962</v>
      </c>
      <c r="BR3927" s="2" t="s">
        <v>963</v>
      </c>
      <c r="BS3927" s="3">
        <v>40446</v>
      </c>
      <c r="BT3927" s="4">
        <v>0.75466435185185177</v>
      </c>
    </row>
    <row r="3928" spans="1:72" x14ac:dyDescent="0.25">
      <c r="A3928" s="2">
        <v>5869</v>
      </c>
      <c r="B3928" s="2">
        <v>2010</v>
      </c>
      <c r="C3928" s="2" t="s">
        <v>2219</v>
      </c>
      <c r="D3928" s="2" t="s">
        <v>73</v>
      </c>
      <c r="E3928" s="2"/>
      <c r="F3928" s="2">
        <v>390</v>
      </c>
      <c r="G3928" s="2" t="s">
        <v>475</v>
      </c>
      <c r="H3928" s="2">
        <v>7</v>
      </c>
      <c r="I3928" s="2" t="s">
        <v>476</v>
      </c>
      <c r="J3928" s="2">
        <v>533</v>
      </c>
      <c r="K3928" s="2" t="s">
        <v>6511</v>
      </c>
      <c r="L3928" s="2" t="s">
        <v>478</v>
      </c>
      <c r="M3928" s="3">
        <v>40446</v>
      </c>
      <c r="N3928" s="2" t="s">
        <v>479</v>
      </c>
      <c r="O3928" s="2"/>
      <c r="P3928" s="2"/>
      <c r="Q3928" s="2" t="str">
        <f>"491-E/10"</f>
        <v>491-E/10</v>
      </c>
      <c r="R3928" s="2"/>
      <c r="S3928" s="2" t="s">
        <v>12415</v>
      </c>
      <c r="T3928" s="2">
        <v>1</v>
      </c>
      <c r="U3928" s="2" t="s">
        <v>79</v>
      </c>
      <c r="V3928" s="2">
        <v>1</v>
      </c>
      <c r="W3928" s="2" t="s">
        <v>80</v>
      </c>
      <c r="X3928" s="2">
        <v>1</v>
      </c>
      <c r="Y3928" s="2" t="s">
        <v>81</v>
      </c>
      <c r="Z3928" s="2">
        <v>1</v>
      </c>
      <c r="AA3928" s="2" t="s">
        <v>82</v>
      </c>
      <c r="AB3928" s="2">
        <v>9</v>
      </c>
      <c r="AC3928" s="2" t="s">
        <v>124</v>
      </c>
      <c r="AD3928" s="3">
        <v>40446</v>
      </c>
      <c r="AE3928" s="4">
        <v>0.37152777777777773</v>
      </c>
      <c r="AF3928" s="2"/>
      <c r="AG3928" s="2"/>
      <c r="AH3928" s="2">
        <v>2</v>
      </c>
      <c r="AI3928" s="2" t="s">
        <v>84</v>
      </c>
      <c r="AJ3928" s="2">
        <v>9</v>
      </c>
      <c r="AK3928" s="2" t="s">
        <v>103</v>
      </c>
      <c r="AL3928" s="2">
        <v>24</v>
      </c>
      <c r="AM3928" s="2" t="s">
        <v>1540</v>
      </c>
      <c r="AN3928" s="2" t="s">
        <v>12416</v>
      </c>
      <c r="AO3928" s="2"/>
      <c r="AP3928" s="2">
        <v>11</v>
      </c>
      <c r="AQ3928" s="2" t="s">
        <v>82</v>
      </c>
      <c r="AR3928" s="2"/>
      <c r="AS3928" s="2"/>
      <c r="AT3928" s="2" t="s">
        <v>12417</v>
      </c>
      <c r="AU3928" s="2">
        <v>1</v>
      </c>
      <c r="AV3928" s="2"/>
      <c r="AW3928" s="2"/>
      <c r="AX3928" s="2"/>
      <c r="AY3928" s="2">
        <v>41</v>
      </c>
      <c r="AZ3928" s="2" t="s">
        <v>82</v>
      </c>
      <c r="BA3928" s="2">
        <v>41</v>
      </c>
      <c r="BB3928" s="2" t="s">
        <v>82</v>
      </c>
      <c r="BC3928" s="2">
        <v>41</v>
      </c>
      <c r="BD3928" s="2" t="s">
        <v>82</v>
      </c>
      <c r="BE3928" s="2">
        <v>41</v>
      </c>
      <c r="BF3928" s="2" t="s">
        <v>82</v>
      </c>
      <c r="BG3928" s="2"/>
      <c r="BH3928" s="2"/>
      <c r="BI3928" s="2"/>
      <c r="BJ3928" s="2">
        <v>241</v>
      </c>
      <c r="BK3928" s="2" t="s">
        <v>82</v>
      </c>
      <c r="BL3928" s="2"/>
      <c r="BM3928" s="2">
        <v>241</v>
      </c>
      <c r="BN3928" s="2" t="s">
        <v>82</v>
      </c>
      <c r="BO3928" s="2"/>
      <c r="BP3928" s="2">
        <v>241</v>
      </c>
      <c r="BQ3928" s="2" t="s">
        <v>82</v>
      </c>
      <c r="BR3928" s="2"/>
      <c r="BS3928" s="3">
        <v>40446</v>
      </c>
      <c r="BT3928" s="4">
        <v>0.76927083333333324</v>
      </c>
    </row>
    <row r="3929" spans="1:72" x14ac:dyDescent="0.25">
      <c r="A3929" s="2">
        <v>5870</v>
      </c>
      <c r="B3929" s="2">
        <v>2010</v>
      </c>
      <c r="C3929" s="2" t="s">
        <v>243</v>
      </c>
      <c r="D3929" s="2" t="s">
        <v>122</v>
      </c>
      <c r="E3929" s="2" t="s">
        <v>12192</v>
      </c>
      <c r="F3929" s="2">
        <v>2</v>
      </c>
      <c r="G3929" s="2" t="s">
        <v>113</v>
      </c>
      <c r="H3929" s="2">
        <v>4</v>
      </c>
      <c r="I3929" s="2" t="s">
        <v>173</v>
      </c>
      <c r="J3929" s="2">
        <v>300</v>
      </c>
      <c r="K3929" s="2" t="s">
        <v>114</v>
      </c>
      <c r="L3929" s="2" t="s">
        <v>115</v>
      </c>
      <c r="M3929" s="3">
        <v>40446</v>
      </c>
      <c r="N3929" s="2" t="s">
        <v>2621</v>
      </c>
      <c r="O3929" s="2"/>
      <c r="P3929" s="2"/>
      <c r="Q3929" s="2" t="str">
        <f>"293-E/10"</f>
        <v>293-E/10</v>
      </c>
      <c r="R3929" s="2" t="s">
        <v>7793</v>
      </c>
      <c r="S3929" s="2" t="s">
        <v>7793</v>
      </c>
      <c r="T3929" s="2">
        <v>1</v>
      </c>
      <c r="U3929" s="2" t="s">
        <v>79</v>
      </c>
      <c r="V3929" s="2">
        <v>1</v>
      </c>
      <c r="W3929" s="2" t="s">
        <v>80</v>
      </c>
      <c r="X3929" s="2">
        <v>12</v>
      </c>
      <c r="Y3929" s="2" t="s">
        <v>148</v>
      </c>
      <c r="Z3929" s="2">
        <v>1</v>
      </c>
      <c r="AA3929" s="2" t="s">
        <v>82</v>
      </c>
      <c r="AB3929" s="2">
        <v>9</v>
      </c>
      <c r="AC3929" s="2" t="s">
        <v>124</v>
      </c>
      <c r="AD3929" s="3">
        <v>40211</v>
      </c>
      <c r="AE3929" s="4">
        <v>0.54166666666666663</v>
      </c>
      <c r="AF3929" s="3">
        <v>40211</v>
      </c>
      <c r="AG3929" s="4">
        <v>0.79166666666666663</v>
      </c>
      <c r="AH3929" s="2">
        <v>2</v>
      </c>
      <c r="AI3929" s="2" t="s">
        <v>84</v>
      </c>
      <c r="AJ3929" s="2">
        <v>9</v>
      </c>
      <c r="AK3929" s="2" t="s">
        <v>103</v>
      </c>
      <c r="AL3929" s="2">
        <v>19</v>
      </c>
      <c r="AM3929" s="2" t="s">
        <v>107</v>
      </c>
      <c r="AN3929" s="2"/>
      <c r="AO3929" s="2" t="s">
        <v>12193</v>
      </c>
      <c r="AP3929" s="2">
        <v>11</v>
      </c>
      <c r="AQ3929" s="2" t="s">
        <v>82</v>
      </c>
      <c r="AR3929" s="2"/>
      <c r="AS3929" s="2"/>
      <c r="AT3929" s="2" t="s">
        <v>12418</v>
      </c>
      <c r="AU3929" s="2"/>
      <c r="AV3929" s="2"/>
      <c r="AW3929" s="2">
        <v>1</v>
      </c>
      <c r="AX3929" s="2"/>
      <c r="AY3929" s="2">
        <v>41</v>
      </c>
      <c r="AZ3929" s="2" t="s">
        <v>82</v>
      </c>
      <c r="BA3929" s="2">
        <v>41</v>
      </c>
      <c r="BB3929" s="2" t="s">
        <v>82</v>
      </c>
      <c r="BC3929" s="2">
        <v>41</v>
      </c>
      <c r="BD3929" s="2" t="s">
        <v>82</v>
      </c>
      <c r="BE3929" s="2">
        <v>41</v>
      </c>
      <c r="BF3929" s="2" t="s">
        <v>82</v>
      </c>
      <c r="BG3929" s="2"/>
      <c r="BH3929" s="2"/>
      <c r="BI3929" s="2"/>
      <c r="BJ3929" s="2">
        <v>241</v>
      </c>
      <c r="BK3929" s="2" t="s">
        <v>82</v>
      </c>
      <c r="BL3929" s="2"/>
      <c r="BM3929" s="2">
        <v>241</v>
      </c>
      <c r="BN3929" s="2" t="s">
        <v>82</v>
      </c>
      <c r="BO3929" s="2"/>
      <c r="BP3929" s="2">
        <v>241</v>
      </c>
      <c r="BQ3929" s="2" t="s">
        <v>82</v>
      </c>
      <c r="BR3929" s="2"/>
      <c r="BS3929" s="3">
        <v>40446</v>
      </c>
      <c r="BT3929" s="4">
        <v>0.84601851851851861</v>
      </c>
    </row>
    <row r="3930" spans="1:72" x14ac:dyDescent="0.25">
      <c r="A3930" s="2">
        <v>5871</v>
      </c>
      <c r="B3930" s="2">
        <v>2010</v>
      </c>
      <c r="C3930" s="2" t="s">
        <v>72</v>
      </c>
      <c r="D3930" s="2" t="s">
        <v>73</v>
      </c>
      <c r="E3930" s="2"/>
      <c r="F3930" s="2">
        <v>167</v>
      </c>
      <c r="G3930" s="2" t="s">
        <v>11567</v>
      </c>
      <c r="H3930" s="2">
        <v>138</v>
      </c>
      <c r="I3930" s="2" t="s">
        <v>11568</v>
      </c>
      <c r="J3930" s="2">
        <v>173</v>
      </c>
      <c r="K3930" s="2" t="s">
        <v>11569</v>
      </c>
      <c r="L3930" s="2" t="s">
        <v>11570</v>
      </c>
      <c r="M3930" s="3">
        <v>40446</v>
      </c>
      <c r="N3930" s="2" t="s">
        <v>12419</v>
      </c>
      <c r="O3930" s="2"/>
      <c r="P3930" s="2"/>
      <c r="Q3930" s="2" t="str">
        <f>"382-A/10"</f>
        <v>382-A/10</v>
      </c>
      <c r="R3930" s="2" t="s">
        <v>671</v>
      </c>
      <c r="S3930" s="2" t="s">
        <v>671</v>
      </c>
      <c r="T3930" s="2">
        <v>1</v>
      </c>
      <c r="U3930" s="2" t="s">
        <v>79</v>
      </c>
      <c r="V3930" s="2">
        <v>1</v>
      </c>
      <c r="W3930" s="2" t="s">
        <v>80</v>
      </c>
      <c r="X3930" s="2">
        <v>1</v>
      </c>
      <c r="Y3930" s="2" t="s">
        <v>81</v>
      </c>
      <c r="Z3930" s="2">
        <v>10</v>
      </c>
      <c r="AA3930" s="2" t="s">
        <v>236</v>
      </c>
      <c r="AB3930" s="2">
        <v>6</v>
      </c>
      <c r="AC3930" s="2" t="s">
        <v>83</v>
      </c>
      <c r="AD3930" s="3">
        <v>40446</v>
      </c>
      <c r="AE3930" s="4">
        <v>0.55902777777777779</v>
      </c>
      <c r="AF3930" s="3">
        <v>40446</v>
      </c>
      <c r="AG3930" s="4">
        <v>0.6</v>
      </c>
      <c r="AH3930" s="2">
        <v>2</v>
      </c>
      <c r="AI3930" s="2" t="s">
        <v>84</v>
      </c>
      <c r="AJ3930" s="2">
        <v>12</v>
      </c>
      <c r="AK3930" s="2" t="s">
        <v>85</v>
      </c>
      <c r="AL3930" s="2">
        <v>22</v>
      </c>
      <c r="AM3930" s="2" t="s">
        <v>1853</v>
      </c>
      <c r="AN3930" s="2" t="s">
        <v>12420</v>
      </c>
      <c r="AO3930" s="2" t="s">
        <v>12421</v>
      </c>
      <c r="AP3930" s="2">
        <v>11</v>
      </c>
      <c r="AQ3930" s="2" t="s">
        <v>82</v>
      </c>
      <c r="AR3930" s="2"/>
      <c r="AS3930" s="2"/>
      <c r="AT3930" s="2" t="s">
        <v>12422</v>
      </c>
      <c r="AU3930" s="2">
        <v>1</v>
      </c>
      <c r="AV3930" s="2"/>
      <c r="AW3930" s="2"/>
      <c r="AX3930" s="2"/>
      <c r="AY3930" s="2">
        <v>41</v>
      </c>
      <c r="AZ3930" s="2" t="s">
        <v>82</v>
      </c>
      <c r="BA3930" s="2">
        <v>41</v>
      </c>
      <c r="BB3930" s="2" t="s">
        <v>82</v>
      </c>
      <c r="BC3930" s="2">
        <v>41</v>
      </c>
      <c r="BD3930" s="2" t="s">
        <v>82</v>
      </c>
      <c r="BE3930" s="2">
        <v>13</v>
      </c>
      <c r="BF3930" s="2" t="s">
        <v>108</v>
      </c>
      <c r="BG3930" s="2" t="s">
        <v>12423</v>
      </c>
      <c r="BH3930" s="2"/>
      <c r="BI3930" s="2"/>
      <c r="BJ3930" s="2">
        <v>33</v>
      </c>
      <c r="BK3930" s="2" t="s">
        <v>361</v>
      </c>
      <c r="BL3930" s="2" t="s">
        <v>1739</v>
      </c>
      <c r="BM3930" s="2">
        <v>13</v>
      </c>
      <c r="BN3930" s="2" t="s">
        <v>91</v>
      </c>
      <c r="BO3930" s="2"/>
      <c r="BP3930" s="2">
        <v>13</v>
      </c>
      <c r="BQ3930" s="2" t="s">
        <v>91</v>
      </c>
      <c r="BR3930" s="2" t="s">
        <v>564</v>
      </c>
      <c r="BS3930" s="3">
        <v>40446</v>
      </c>
      <c r="BT3930" s="4">
        <v>0.88306712962962963</v>
      </c>
    </row>
    <row r="3931" spans="1:72" x14ac:dyDescent="0.25">
      <c r="A3931" s="2">
        <v>5872</v>
      </c>
      <c r="B3931" s="2">
        <v>2010</v>
      </c>
      <c r="C3931" s="2" t="s">
        <v>72</v>
      </c>
      <c r="D3931" s="2" t="s">
        <v>122</v>
      </c>
      <c r="E3931" s="2" t="s">
        <v>12424</v>
      </c>
      <c r="F3931" s="2">
        <v>167</v>
      </c>
      <c r="G3931" s="2" t="s">
        <v>11567</v>
      </c>
      <c r="H3931" s="2">
        <v>138</v>
      </c>
      <c r="I3931" s="2" t="s">
        <v>11568</v>
      </c>
      <c r="J3931" s="2">
        <v>173</v>
      </c>
      <c r="K3931" s="2" t="s">
        <v>11569</v>
      </c>
      <c r="L3931" s="2" t="s">
        <v>11570</v>
      </c>
      <c r="M3931" s="3">
        <v>40447</v>
      </c>
      <c r="N3931" s="2" t="s">
        <v>12419</v>
      </c>
      <c r="O3931" s="2"/>
      <c r="P3931" s="2"/>
      <c r="Q3931" s="2" t="str">
        <f>"382-A/10"</f>
        <v>382-A/10</v>
      </c>
      <c r="R3931" s="2" t="s">
        <v>671</v>
      </c>
      <c r="S3931" s="2"/>
      <c r="T3931" s="2">
        <v>1</v>
      </c>
      <c r="U3931" s="2" t="s">
        <v>79</v>
      </c>
      <c r="V3931" s="2">
        <v>1</v>
      </c>
      <c r="W3931" s="2" t="s">
        <v>80</v>
      </c>
      <c r="X3931" s="2">
        <v>1</v>
      </c>
      <c r="Y3931" s="2" t="s">
        <v>81</v>
      </c>
      <c r="Z3931" s="2">
        <v>10</v>
      </c>
      <c r="AA3931" s="2" t="s">
        <v>236</v>
      </c>
      <c r="AB3931" s="2">
        <v>6</v>
      </c>
      <c r="AC3931" s="2" t="s">
        <v>83</v>
      </c>
      <c r="AD3931" s="3">
        <v>40446</v>
      </c>
      <c r="AE3931" s="4">
        <v>0.56041666666666667</v>
      </c>
      <c r="AF3931" s="3">
        <v>40446</v>
      </c>
      <c r="AG3931" s="4">
        <v>0.6</v>
      </c>
      <c r="AH3931" s="2">
        <v>2</v>
      </c>
      <c r="AI3931" s="2" t="s">
        <v>84</v>
      </c>
      <c r="AJ3931" s="2">
        <v>12</v>
      </c>
      <c r="AK3931" s="2" t="s">
        <v>85</v>
      </c>
      <c r="AL3931" s="2">
        <v>22</v>
      </c>
      <c r="AM3931" s="2" t="s">
        <v>1853</v>
      </c>
      <c r="AN3931" s="2" t="s">
        <v>12420</v>
      </c>
      <c r="AO3931" s="2" t="s">
        <v>12421</v>
      </c>
      <c r="AP3931" s="2">
        <v>11</v>
      </c>
      <c r="AQ3931" s="2" t="s">
        <v>82</v>
      </c>
      <c r="AR3931" s="2"/>
      <c r="AS3931" s="2"/>
      <c r="AT3931" s="2" t="s">
        <v>12425</v>
      </c>
      <c r="AU3931" s="2">
        <v>1</v>
      </c>
      <c r="AV3931" s="2"/>
      <c r="AW3931" s="2"/>
      <c r="AX3931" s="2"/>
      <c r="AY3931" s="2">
        <v>41</v>
      </c>
      <c r="AZ3931" s="2" t="s">
        <v>82</v>
      </c>
      <c r="BA3931" s="2">
        <v>41</v>
      </c>
      <c r="BB3931" s="2" t="s">
        <v>82</v>
      </c>
      <c r="BC3931" s="2">
        <v>41</v>
      </c>
      <c r="BD3931" s="2" t="s">
        <v>82</v>
      </c>
      <c r="BE3931" s="2">
        <v>13</v>
      </c>
      <c r="BF3931" s="2" t="s">
        <v>108</v>
      </c>
      <c r="BG3931" s="2" t="s">
        <v>12423</v>
      </c>
      <c r="BH3931" s="4">
        <v>0.53472222222222221</v>
      </c>
      <c r="BI3931" s="4">
        <v>0.39583333333333331</v>
      </c>
      <c r="BJ3931" s="2">
        <v>33</v>
      </c>
      <c r="BK3931" s="2" t="s">
        <v>361</v>
      </c>
      <c r="BL3931" s="2" t="s">
        <v>1739</v>
      </c>
      <c r="BM3931" s="2">
        <v>13</v>
      </c>
      <c r="BN3931" s="2" t="s">
        <v>91</v>
      </c>
      <c r="BO3931" s="2"/>
      <c r="BP3931" s="2">
        <v>13</v>
      </c>
      <c r="BQ3931" s="2" t="s">
        <v>91</v>
      </c>
      <c r="BR3931" s="2" t="s">
        <v>185</v>
      </c>
      <c r="BS3931" s="3">
        <v>40447</v>
      </c>
      <c r="BT3931" s="4">
        <v>0.10582175925925925</v>
      </c>
    </row>
    <row r="3932" spans="1:72" x14ac:dyDescent="0.25">
      <c r="A3932" s="2">
        <v>5873</v>
      </c>
      <c r="B3932" s="2">
        <v>2010</v>
      </c>
      <c r="C3932" s="2" t="s">
        <v>1660</v>
      </c>
      <c r="D3932" s="2" t="s">
        <v>73</v>
      </c>
      <c r="E3932" s="2"/>
      <c r="F3932" s="2">
        <v>390</v>
      </c>
      <c r="G3932" s="2" t="s">
        <v>475</v>
      </c>
      <c r="H3932" s="2">
        <v>7</v>
      </c>
      <c r="I3932" s="2" t="s">
        <v>476</v>
      </c>
      <c r="J3932" s="2">
        <v>533</v>
      </c>
      <c r="K3932" s="2" t="s">
        <v>6511</v>
      </c>
      <c r="L3932" s="2" t="s">
        <v>478</v>
      </c>
      <c r="M3932" s="3">
        <v>40447</v>
      </c>
      <c r="N3932" s="2" t="s">
        <v>479</v>
      </c>
      <c r="O3932" s="2" t="s">
        <v>107</v>
      </c>
      <c r="P3932" s="2" t="s">
        <v>107</v>
      </c>
      <c r="Q3932" s="2" t="str">
        <f>"492-E10"</f>
        <v>492-E10</v>
      </c>
      <c r="R3932" s="2" t="s">
        <v>12426</v>
      </c>
      <c r="S3932" s="2" t="s">
        <v>12427</v>
      </c>
      <c r="T3932" s="2">
        <v>1</v>
      </c>
      <c r="U3932" s="2" t="s">
        <v>79</v>
      </c>
      <c r="V3932" s="2">
        <v>1</v>
      </c>
      <c r="W3932" s="2" t="s">
        <v>80</v>
      </c>
      <c r="X3932" s="2">
        <v>10</v>
      </c>
      <c r="Y3932" s="2" t="s">
        <v>226</v>
      </c>
      <c r="Z3932" s="2">
        <v>6</v>
      </c>
      <c r="AA3932" s="2" t="s">
        <v>101</v>
      </c>
      <c r="AB3932" s="2">
        <v>3</v>
      </c>
      <c r="AC3932" s="2" t="s">
        <v>1663</v>
      </c>
      <c r="AD3932" s="3">
        <v>40446</v>
      </c>
      <c r="AE3932" s="4">
        <v>0.625</v>
      </c>
      <c r="AF3932" s="2"/>
      <c r="AG3932" s="2"/>
      <c r="AH3932" s="2">
        <v>2</v>
      </c>
      <c r="AI3932" s="2" t="s">
        <v>84</v>
      </c>
      <c r="AJ3932" s="2">
        <v>9</v>
      </c>
      <c r="AK3932" s="2" t="s">
        <v>103</v>
      </c>
      <c r="AL3932" s="2">
        <v>14</v>
      </c>
      <c r="AM3932" s="2" t="s">
        <v>216</v>
      </c>
      <c r="AN3932" s="2"/>
      <c r="AO3932" s="2" t="s">
        <v>7664</v>
      </c>
      <c r="AP3932" s="2">
        <v>11</v>
      </c>
      <c r="AQ3932" s="2" t="s">
        <v>82</v>
      </c>
      <c r="AR3932" s="2"/>
      <c r="AS3932" s="2"/>
      <c r="AT3932" s="2" t="s">
        <v>12428</v>
      </c>
      <c r="AU3932" s="2"/>
      <c r="AV3932" s="2">
        <v>1</v>
      </c>
      <c r="AW3932" s="2"/>
      <c r="AX3932" s="2"/>
      <c r="AY3932" s="2">
        <v>41</v>
      </c>
      <c r="AZ3932" s="2" t="s">
        <v>82</v>
      </c>
      <c r="BA3932" s="2">
        <v>41</v>
      </c>
      <c r="BB3932" s="2" t="s">
        <v>82</v>
      </c>
      <c r="BC3932" s="2">
        <v>41</v>
      </c>
      <c r="BD3932" s="2" t="s">
        <v>82</v>
      </c>
      <c r="BE3932" s="2">
        <v>23</v>
      </c>
      <c r="BF3932" s="2" t="s">
        <v>183</v>
      </c>
      <c r="BG3932" s="2" t="s">
        <v>11357</v>
      </c>
      <c r="BH3932" s="2"/>
      <c r="BI3932" s="2"/>
      <c r="BJ3932" s="2">
        <v>13</v>
      </c>
      <c r="BK3932" s="2" t="s">
        <v>91</v>
      </c>
      <c r="BL3932" s="2" t="s">
        <v>360</v>
      </c>
      <c r="BM3932" s="2">
        <v>73</v>
      </c>
      <c r="BN3932" s="2" t="s">
        <v>186</v>
      </c>
      <c r="BO3932" s="2"/>
      <c r="BP3932" s="2">
        <v>73</v>
      </c>
      <c r="BQ3932" s="2" t="s">
        <v>186</v>
      </c>
      <c r="BR3932" s="2" t="s">
        <v>187</v>
      </c>
      <c r="BS3932" s="3">
        <v>40447</v>
      </c>
      <c r="BT3932" s="4">
        <v>0.24104166666666668</v>
      </c>
    </row>
    <row r="3933" spans="1:72" x14ac:dyDescent="0.25">
      <c r="A3933" s="2">
        <v>5874</v>
      </c>
      <c r="B3933" s="2">
        <v>2010</v>
      </c>
      <c r="C3933" s="2" t="s">
        <v>2219</v>
      </c>
      <c r="D3933" s="2" t="s">
        <v>122</v>
      </c>
      <c r="E3933" s="2" t="s">
        <v>12429</v>
      </c>
      <c r="F3933" s="2">
        <v>390</v>
      </c>
      <c r="G3933" s="2" t="s">
        <v>475</v>
      </c>
      <c r="H3933" s="2">
        <v>7</v>
      </c>
      <c r="I3933" s="2" t="s">
        <v>476</v>
      </c>
      <c r="J3933" s="2">
        <v>533</v>
      </c>
      <c r="K3933" s="2" t="s">
        <v>6511</v>
      </c>
      <c r="L3933" s="2" t="s">
        <v>478</v>
      </c>
      <c r="M3933" s="3">
        <v>40447</v>
      </c>
      <c r="N3933" s="2" t="s">
        <v>479</v>
      </c>
      <c r="O3933" s="2"/>
      <c r="P3933" s="2"/>
      <c r="Q3933" s="2" t="str">
        <f>"491-E/10"</f>
        <v>491-E/10</v>
      </c>
      <c r="R3933" s="2" t="s">
        <v>12415</v>
      </c>
      <c r="S3933" s="2"/>
      <c r="T3933" s="2">
        <v>1</v>
      </c>
      <c r="U3933" s="2" t="s">
        <v>79</v>
      </c>
      <c r="V3933" s="2">
        <v>1</v>
      </c>
      <c r="W3933" s="2" t="s">
        <v>80</v>
      </c>
      <c r="X3933" s="2">
        <v>1</v>
      </c>
      <c r="Y3933" s="2" t="s">
        <v>81</v>
      </c>
      <c r="Z3933" s="2">
        <v>1</v>
      </c>
      <c r="AA3933" s="2" t="s">
        <v>82</v>
      </c>
      <c r="AB3933" s="2">
        <v>9</v>
      </c>
      <c r="AC3933" s="2" t="s">
        <v>124</v>
      </c>
      <c r="AD3933" s="3">
        <v>40446</v>
      </c>
      <c r="AE3933" s="4">
        <v>0.34027777777777773</v>
      </c>
      <c r="AF3933" s="2"/>
      <c r="AG3933" s="2"/>
      <c r="AH3933" s="2">
        <v>2</v>
      </c>
      <c r="AI3933" s="2" t="s">
        <v>84</v>
      </c>
      <c r="AJ3933" s="2">
        <v>9</v>
      </c>
      <c r="AK3933" s="2" t="s">
        <v>103</v>
      </c>
      <c r="AL3933" s="2">
        <v>24</v>
      </c>
      <c r="AM3933" s="2" t="s">
        <v>1540</v>
      </c>
      <c r="AN3933" s="2" t="s">
        <v>12430</v>
      </c>
      <c r="AO3933" s="2"/>
      <c r="AP3933" s="2">
        <v>11</v>
      </c>
      <c r="AQ3933" s="2" t="s">
        <v>82</v>
      </c>
      <c r="AR3933" s="2"/>
      <c r="AS3933" s="2"/>
      <c r="AT3933" s="2" t="s">
        <v>12431</v>
      </c>
      <c r="AU3933" s="2">
        <v>1</v>
      </c>
      <c r="AV3933" s="2"/>
      <c r="AW3933" s="2"/>
      <c r="AX3933" s="2"/>
      <c r="AY3933" s="2">
        <v>41</v>
      </c>
      <c r="AZ3933" s="2" t="s">
        <v>82</v>
      </c>
      <c r="BA3933" s="2">
        <v>41</v>
      </c>
      <c r="BB3933" s="2" t="s">
        <v>82</v>
      </c>
      <c r="BC3933" s="2">
        <v>41</v>
      </c>
      <c r="BD3933" s="2" t="s">
        <v>82</v>
      </c>
      <c r="BE3933" s="2">
        <v>41</v>
      </c>
      <c r="BF3933" s="2" t="s">
        <v>82</v>
      </c>
      <c r="BG3933" s="2"/>
      <c r="BH3933" s="2"/>
      <c r="BI3933" s="2"/>
      <c r="BJ3933" s="2">
        <v>241</v>
      </c>
      <c r="BK3933" s="2" t="s">
        <v>82</v>
      </c>
      <c r="BL3933" s="2"/>
      <c r="BM3933" s="2">
        <v>241</v>
      </c>
      <c r="BN3933" s="2" t="s">
        <v>82</v>
      </c>
      <c r="BO3933" s="2"/>
      <c r="BP3933" s="2">
        <v>241</v>
      </c>
      <c r="BQ3933" s="2" t="s">
        <v>82</v>
      </c>
      <c r="BR3933" s="2"/>
      <c r="BS3933" s="3">
        <v>40447</v>
      </c>
      <c r="BT3933" s="4">
        <v>0.24494212962962961</v>
      </c>
    </row>
    <row r="3934" spans="1:72" x14ac:dyDescent="0.25">
      <c r="A3934" s="2">
        <v>5875</v>
      </c>
      <c r="B3934" s="2">
        <v>2010</v>
      </c>
      <c r="C3934" s="2" t="s">
        <v>171</v>
      </c>
      <c r="D3934" s="2" t="s">
        <v>73</v>
      </c>
      <c r="E3934" s="2"/>
      <c r="F3934" s="2">
        <v>395</v>
      </c>
      <c r="G3934" s="2" t="s">
        <v>1076</v>
      </c>
      <c r="H3934" s="2">
        <v>6</v>
      </c>
      <c r="I3934" s="2" t="s">
        <v>1088</v>
      </c>
      <c r="J3934" s="2">
        <v>242</v>
      </c>
      <c r="K3934" s="2" t="s">
        <v>1077</v>
      </c>
      <c r="L3934" s="2" t="s">
        <v>1078</v>
      </c>
      <c r="M3934" s="3">
        <v>40447</v>
      </c>
      <c r="N3934" s="2" t="s">
        <v>7163</v>
      </c>
      <c r="O3934" s="2" t="s">
        <v>107</v>
      </c>
      <c r="P3934" s="2" t="s">
        <v>107</v>
      </c>
      <c r="Q3934" s="2" t="str">
        <f>"493-E/10"</f>
        <v>493-E/10</v>
      </c>
      <c r="R3934" s="2" t="s">
        <v>391</v>
      </c>
      <c r="S3934" s="2" t="s">
        <v>391</v>
      </c>
      <c r="T3934" s="2">
        <v>1</v>
      </c>
      <c r="U3934" s="2" t="s">
        <v>79</v>
      </c>
      <c r="V3934" s="2">
        <v>1</v>
      </c>
      <c r="W3934" s="2" t="s">
        <v>80</v>
      </c>
      <c r="X3934" s="2">
        <v>1</v>
      </c>
      <c r="Y3934" s="2" t="s">
        <v>81</v>
      </c>
      <c r="Z3934" s="2">
        <v>1</v>
      </c>
      <c r="AA3934" s="2" t="s">
        <v>82</v>
      </c>
      <c r="AB3934" s="2">
        <v>1</v>
      </c>
      <c r="AC3934" s="2" t="s">
        <v>178</v>
      </c>
      <c r="AD3934" s="3">
        <v>40446</v>
      </c>
      <c r="AE3934" s="4">
        <v>0.86458333333333337</v>
      </c>
      <c r="AF3934" s="2"/>
      <c r="AG3934" s="2"/>
      <c r="AH3934" s="2">
        <v>2</v>
      </c>
      <c r="AI3934" s="2" t="s">
        <v>84</v>
      </c>
      <c r="AJ3934" s="2">
        <v>9</v>
      </c>
      <c r="AK3934" s="2" t="s">
        <v>103</v>
      </c>
      <c r="AL3934" s="2">
        <v>25</v>
      </c>
      <c r="AM3934" s="2" t="s">
        <v>3073</v>
      </c>
      <c r="AN3934" s="2" t="s">
        <v>179</v>
      </c>
      <c r="AO3934" s="2" t="s">
        <v>987</v>
      </c>
      <c r="AP3934" s="2">
        <v>11</v>
      </c>
      <c r="AQ3934" s="2" t="s">
        <v>82</v>
      </c>
      <c r="AR3934" s="2"/>
      <c r="AS3934" s="2"/>
      <c r="AT3934" s="2" t="s">
        <v>12432</v>
      </c>
      <c r="AU3934" s="2"/>
      <c r="AV3934" s="2">
        <v>1</v>
      </c>
      <c r="AW3934" s="2"/>
      <c r="AX3934" s="2"/>
      <c r="AY3934" s="2">
        <v>41</v>
      </c>
      <c r="AZ3934" s="2" t="s">
        <v>82</v>
      </c>
      <c r="BA3934" s="2">
        <v>41</v>
      </c>
      <c r="BB3934" s="2" t="s">
        <v>82</v>
      </c>
      <c r="BC3934" s="2">
        <v>41</v>
      </c>
      <c r="BD3934" s="2" t="s">
        <v>82</v>
      </c>
      <c r="BE3934" s="2">
        <v>31</v>
      </c>
      <c r="BF3934" s="2" t="s">
        <v>398</v>
      </c>
      <c r="BG3934" s="2" t="s">
        <v>722</v>
      </c>
      <c r="BH3934" s="2"/>
      <c r="BI3934" s="4">
        <v>0.9375</v>
      </c>
      <c r="BJ3934" s="2">
        <v>13</v>
      </c>
      <c r="BK3934" s="2" t="s">
        <v>91</v>
      </c>
      <c r="BL3934" s="2" t="s">
        <v>360</v>
      </c>
      <c r="BM3934" s="2">
        <v>73</v>
      </c>
      <c r="BN3934" s="2" t="s">
        <v>186</v>
      </c>
      <c r="BO3934" s="2"/>
      <c r="BP3934" s="2">
        <v>73</v>
      </c>
      <c r="BQ3934" s="2" t="s">
        <v>186</v>
      </c>
      <c r="BR3934" s="2" t="s">
        <v>187</v>
      </c>
      <c r="BS3934" s="3">
        <v>40447</v>
      </c>
      <c r="BT3934" s="4">
        <v>0.28605324074074073</v>
      </c>
    </row>
    <row r="3935" spans="1:72" x14ac:dyDescent="0.25">
      <c r="A3935" s="2">
        <v>5876</v>
      </c>
      <c r="B3935" s="2">
        <v>2010</v>
      </c>
      <c r="C3935" s="2" t="s">
        <v>385</v>
      </c>
      <c r="D3935" s="2" t="s">
        <v>122</v>
      </c>
      <c r="E3935" s="2" t="s">
        <v>12433</v>
      </c>
      <c r="F3935" s="2">
        <v>390</v>
      </c>
      <c r="G3935" s="2" t="s">
        <v>475</v>
      </c>
      <c r="H3935" s="2">
        <v>7</v>
      </c>
      <c r="I3935" s="2" t="s">
        <v>476</v>
      </c>
      <c r="J3935" s="2">
        <v>533</v>
      </c>
      <c r="K3935" s="2" t="s">
        <v>6511</v>
      </c>
      <c r="L3935" s="2" t="s">
        <v>478</v>
      </c>
      <c r="M3935" s="3">
        <v>40447</v>
      </c>
      <c r="N3935" s="2" t="s">
        <v>479</v>
      </c>
      <c r="O3935" s="2" t="s">
        <v>107</v>
      </c>
      <c r="P3935" s="2" t="s">
        <v>107</v>
      </c>
      <c r="Q3935" s="2" t="str">
        <f>"492-E10"</f>
        <v>492-E10</v>
      </c>
      <c r="R3935" s="2" t="s">
        <v>12427</v>
      </c>
      <c r="S3935" s="2" t="s">
        <v>12426</v>
      </c>
      <c r="T3935" s="2">
        <v>1</v>
      </c>
      <c r="U3935" s="2" t="s">
        <v>79</v>
      </c>
      <c r="V3935" s="2">
        <v>1</v>
      </c>
      <c r="W3935" s="2" t="s">
        <v>80</v>
      </c>
      <c r="X3935" s="2">
        <v>4</v>
      </c>
      <c r="Y3935" s="2" t="s">
        <v>463</v>
      </c>
      <c r="Z3935" s="2">
        <v>6</v>
      </c>
      <c r="AA3935" s="2" t="s">
        <v>101</v>
      </c>
      <c r="AB3935" s="2">
        <v>9</v>
      </c>
      <c r="AC3935" s="2" t="s">
        <v>124</v>
      </c>
      <c r="AD3935" s="3">
        <v>40446</v>
      </c>
      <c r="AE3935" s="4">
        <v>0.61041666666666672</v>
      </c>
      <c r="AF3935" s="3">
        <v>40446</v>
      </c>
      <c r="AG3935" s="4">
        <v>0.625</v>
      </c>
      <c r="AH3935" s="2">
        <v>2</v>
      </c>
      <c r="AI3935" s="2" t="s">
        <v>84</v>
      </c>
      <c r="AJ3935" s="2">
        <v>9</v>
      </c>
      <c r="AK3935" s="2" t="s">
        <v>103</v>
      </c>
      <c r="AL3935" s="2">
        <v>14</v>
      </c>
      <c r="AM3935" s="2" t="s">
        <v>216</v>
      </c>
      <c r="AN3935" s="2" t="s">
        <v>12434</v>
      </c>
      <c r="AO3935" s="2" t="s">
        <v>82</v>
      </c>
      <c r="AP3935" s="2">
        <v>11</v>
      </c>
      <c r="AQ3935" s="2" t="s">
        <v>82</v>
      </c>
      <c r="AR3935" s="2"/>
      <c r="AS3935" s="2"/>
      <c r="AT3935" s="2" t="s">
        <v>12435</v>
      </c>
      <c r="AU3935" s="2"/>
      <c r="AV3935" s="2">
        <v>1</v>
      </c>
      <c r="AW3935" s="2"/>
      <c r="AX3935" s="2"/>
      <c r="AY3935" s="2">
        <v>41</v>
      </c>
      <c r="AZ3935" s="2" t="s">
        <v>82</v>
      </c>
      <c r="BA3935" s="2">
        <v>41</v>
      </c>
      <c r="BB3935" s="2" t="s">
        <v>82</v>
      </c>
      <c r="BC3935" s="2">
        <v>41</v>
      </c>
      <c r="BD3935" s="2" t="s">
        <v>82</v>
      </c>
      <c r="BE3935" s="2">
        <v>23</v>
      </c>
      <c r="BF3935" s="2" t="s">
        <v>183</v>
      </c>
      <c r="BG3935" s="2" t="s">
        <v>11357</v>
      </c>
      <c r="BH3935" s="2"/>
      <c r="BI3935" s="2"/>
      <c r="BJ3935" s="2">
        <v>13</v>
      </c>
      <c r="BK3935" s="2" t="s">
        <v>91</v>
      </c>
      <c r="BL3935" s="2" t="s">
        <v>185</v>
      </c>
      <c r="BM3935" s="2">
        <v>73</v>
      </c>
      <c r="BN3935" s="2" t="s">
        <v>186</v>
      </c>
      <c r="BO3935" s="2"/>
      <c r="BP3935" s="2">
        <v>73</v>
      </c>
      <c r="BQ3935" s="2" t="s">
        <v>186</v>
      </c>
      <c r="BR3935" s="2" t="s">
        <v>187</v>
      </c>
      <c r="BS3935" s="3">
        <v>40447</v>
      </c>
      <c r="BT3935" s="4">
        <v>0.33369212962962963</v>
      </c>
    </row>
    <row r="3936" spans="1:72" x14ac:dyDescent="0.25">
      <c r="A3936" s="2">
        <v>5877</v>
      </c>
      <c r="B3936" s="2">
        <v>2010</v>
      </c>
      <c r="C3936" s="2" t="s">
        <v>377</v>
      </c>
      <c r="D3936" s="2" t="s">
        <v>73</v>
      </c>
      <c r="E3936" s="2"/>
      <c r="F3936" s="2">
        <v>426</v>
      </c>
      <c r="G3936" s="2" t="s">
        <v>378</v>
      </c>
      <c r="H3936" s="2">
        <v>108</v>
      </c>
      <c r="I3936" s="2" t="s">
        <v>1096</v>
      </c>
      <c r="J3936" s="2">
        <v>311</v>
      </c>
      <c r="K3936" s="2" t="s">
        <v>379</v>
      </c>
      <c r="L3936" s="2" t="s">
        <v>380</v>
      </c>
      <c r="M3936" s="3">
        <v>40447</v>
      </c>
      <c r="N3936" s="2" t="s">
        <v>7171</v>
      </c>
      <c r="O3936" s="2"/>
      <c r="P3936" s="2"/>
      <c r="Q3936" s="2" t="str">
        <f>"246-C/10"</f>
        <v>246-C/10</v>
      </c>
      <c r="R3936" s="2" t="s">
        <v>12436</v>
      </c>
      <c r="S3936" s="2"/>
      <c r="T3936" s="2">
        <v>1</v>
      </c>
      <c r="U3936" s="2" t="s">
        <v>79</v>
      </c>
      <c r="V3936" s="2">
        <v>1</v>
      </c>
      <c r="W3936" s="2" t="s">
        <v>80</v>
      </c>
      <c r="X3936" s="2">
        <v>1</v>
      </c>
      <c r="Y3936" s="2" t="s">
        <v>81</v>
      </c>
      <c r="Z3936" s="2">
        <v>1</v>
      </c>
      <c r="AA3936" s="2" t="s">
        <v>82</v>
      </c>
      <c r="AB3936" s="2">
        <v>9</v>
      </c>
      <c r="AC3936" s="2" t="s">
        <v>124</v>
      </c>
      <c r="AD3936" s="3">
        <v>40444</v>
      </c>
      <c r="AE3936" s="4">
        <v>0.95138888888888884</v>
      </c>
      <c r="AF3936" s="2"/>
      <c r="AG3936" s="2"/>
      <c r="AH3936" s="2">
        <v>2</v>
      </c>
      <c r="AI3936" s="2" t="s">
        <v>84</v>
      </c>
      <c r="AJ3936" s="2">
        <v>9</v>
      </c>
      <c r="AK3936" s="2" t="s">
        <v>103</v>
      </c>
      <c r="AL3936" s="2">
        <v>29</v>
      </c>
      <c r="AM3936" s="2" t="s">
        <v>5416</v>
      </c>
      <c r="AN3936" s="2" t="s">
        <v>12001</v>
      </c>
      <c r="AO3936" s="2" t="s">
        <v>987</v>
      </c>
      <c r="AP3936" s="2">
        <v>11</v>
      </c>
      <c r="AQ3936" s="2" t="s">
        <v>82</v>
      </c>
      <c r="AR3936" s="2"/>
      <c r="AS3936" s="2"/>
      <c r="AT3936" s="2" t="s">
        <v>12437</v>
      </c>
      <c r="AU3936" s="2"/>
      <c r="AV3936" s="2"/>
      <c r="AW3936" s="2"/>
      <c r="AX3936" s="2"/>
      <c r="AY3936" s="2">
        <v>41</v>
      </c>
      <c r="AZ3936" s="2" t="s">
        <v>82</v>
      </c>
      <c r="BA3936" s="2">
        <v>41</v>
      </c>
      <c r="BB3936" s="2" t="s">
        <v>82</v>
      </c>
      <c r="BC3936" s="2">
        <v>41</v>
      </c>
      <c r="BD3936" s="2" t="s">
        <v>82</v>
      </c>
      <c r="BE3936" s="2">
        <v>41</v>
      </c>
      <c r="BF3936" s="2" t="s">
        <v>82</v>
      </c>
      <c r="BG3936" s="2"/>
      <c r="BH3936" s="2"/>
      <c r="BI3936" s="2"/>
      <c r="BJ3936" s="2">
        <v>241</v>
      </c>
      <c r="BK3936" s="2" t="s">
        <v>82</v>
      </c>
      <c r="BL3936" s="2"/>
      <c r="BM3936" s="2">
        <v>241</v>
      </c>
      <c r="BN3936" s="2" t="s">
        <v>82</v>
      </c>
      <c r="BO3936" s="2"/>
      <c r="BP3936" s="2">
        <v>241</v>
      </c>
      <c r="BQ3936" s="2" t="s">
        <v>82</v>
      </c>
      <c r="BR3936" s="2"/>
      <c r="BS3936" s="3">
        <v>40447</v>
      </c>
      <c r="BT3936" s="4">
        <v>0.6318287037037037</v>
      </c>
    </row>
    <row r="3937" spans="1:72" x14ac:dyDescent="0.25">
      <c r="A3937" s="2">
        <v>5878</v>
      </c>
      <c r="B3937" s="2">
        <v>2010</v>
      </c>
      <c r="C3937" s="2" t="s">
        <v>72</v>
      </c>
      <c r="D3937" s="2" t="s">
        <v>73</v>
      </c>
      <c r="E3937" s="2"/>
      <c r="F3937" s="2">
        <v>152</v>
      </c>
      <c r="G3937" s="2" t="s">
        <v>7866</v>
      </c>
      <c r="H3937" s="2">
        <v>7</v>
      </c>
      <c r="I3937" s="2" t="s">
        <v>476</v>
      </c>
      <c r="J3937" s="2">
        <v>533</v>
      </c>
      <c r="K3937" s="2" t="s">
        <v>6511</v>
      </c>
      <c r="L3937" s="2" t="s">
        <v>478</v>
      </c>
      <c r="M3937" s="3">
        <v>40447</v>
      </c>
      <c r="N3937" s="2" t="s">
        <v>727</v>
      </c>
      <c r="O3937" s="2"/>
      <c r="P3937" s="2"/>
      <c r="Q3937" s="2" t="str">
        <f>"494E/2010"</f>
        <v>494E/2010</v>
      </c>
      <c r="R3937" s="2" t="s">
        <v>116</v>
      </c>
      <c r="S3937" s="2" t="s">
        <v>116</v>
      </c>
      <c r="T3937" s="2">
        <v>1</v>
      </c>
      <c r="U3937" s="2" t="s">
        <v>79</v>
      </c>
      <c r="V3937" s="2">
        <v>1</v>
      </c>
      <c r="W3937" s="2" t="s">
        <v>80</v>
      </c>
      <c r="X3937" s="2">
        <v>12</v>
      </c>
      <c r="Y3937" s="2" t="s">
        <v>148</v>
      </c>
      <c r="Z3937" s="2">
        <v>1</v>
      </c>
      <c r="AA3937" s="2" t="s">
        <v>82</v>
      </c>
      <c r="AB3937" s="2">
        <v>6</v>
      </c>
      <c r="AC3937" s="2" t="s">
        <v>83</v>
      </c>
      <c r="AD3937" s="3">
        <v>40447</v>
      </c>
      <c r="AE3937" s="4">
        <v>0.27777777777777779</v>
      </c>
      <c r="AF3937" s="3">
        <v>40447</v>
      </c>
      <c r="AG3937" s="4">
        <v>0.3888888888888889</v>
      </c>
      <c r="AH3937" s="2">
        <v>2</v>
      </c>
      <c r="AI3937" s="2" t="s">
        <v>84</v>
      </c>
      <c r="AJ3937" s="2">
        <v>9</v>
      </c>
      <c r="AK3937" s="2" t="s">
        <v>103</v>
      </c>
      <c r="AL3937" s="2">
        <v>15</v>
      </c>
      <c r="AM3937" s="2" t="s">
        <v>104</v>
      </c>
      <c r="AN3937" s="2" t="s">
        <v>12438</v>
      </c>
      <c r="AO3937" s="2" t="s">
        <v>7686</v>
      </c>
      <c r="AP3937" s="2">
        <v>11</v>
      </c>
      <c r="AQ3937" s="2" t="s">
        <v>82</v>
      </c>
      <c r="AR3937" s="2"/>
      <c r="AS3937" s="2"/>
      <c r="AT3937" s="2" t="s">
        <v>12439</v>
      </c>
      <c r="AU3937" s="2"/>
      <c r="AV3937" s="2">
        <v>1</v>
      </c>
      <c r="AW3937" s="2"/>
      <c r="AX3937" s="2"/>
      <c r="AY3937" s="2">
        <v>41</v>
      </c>
      <c r="AZ3937" s="2" t="s">
        <v>82</v>
      </c>
      <c r="BA3937" s="2">
        <v>41</v>
      </c>
      <c r="BB3937" s="2" t="s">
        <v>82</v>
      </c>
      <c r="BC3937" s="2">
        <v>41</v>
      </c>
      <c r="BD3937" s="2" t="s">
        <v>82</v>
      </c>
      <c r="BE3937" s="2">
        <v>41</v>
      </c>
      <c r="BF3937" s="2" t="s">
        <v>82</v>
      </c>
      <c r="BG3937" s="2"/>
      <c r="BH3937" s="4">
        <v>0.2638888888888889</v>
      </c>
      <c r="BI3937" s="2"/>
      <c r="BJ3937" s="2">
        <v>241</v>
      </c>
      <c r="BK3937" s="2" t="s">
        <v>82</v>
      </c>
      <c r="BL3937" s="2"/>
      <c r="BM3937" s="2">
        <v>241</v>
      </c>
      <c r="BN3937" s="2" t="s">
        <v>82</v>
      </c>
      <c r="BO3937" s="2"/>
      <c r="BP3937" s="2">
        <v>241</v>
      </c>
      <c r="BQ3937" s="2" t="s">
        <v>82</v>
      </c>
      <c r="BR3937" s="2"/>
      <c r="BS3937" s="3">
        <v>40447</v>
      </c>
      <c r="BT3937" s="4">
        <v>0.65552083333333333</v>
      </c>
    </row>
    <row r="3938" spans="1:72" x14ac:dyDescent="0.25">
      <c r="A3938" s="2">
        <v>5879</v>
      </c>
      <c r="B3938" s="2">
        <v>2010</v>
      </c>
      <c r="C3938" s="2" t="s">
        <v>377</v>
      </c>
      <c r="D3938" s="2" t="s">
        <v>73</v>
      </c>
      <c r="E3938" s="2"/>
      <c r="F3938" s="2">
        <v>426</v>
      </c>
      <c r="G3938" s="2" t="s">
        <v>378</v>
      </c>
      <c r="H3938" s="2">
        <v>22</v>
      </c>
      <c r="I3938" s="2" t="s">
        <v>75</v>
      </c>
      <c r="J3938" s="2">
        <v>311</v>
      </c>
      <c r="K3938" s="2" t="s">
        <v>379</v>
      </c>
      <c r="L3938" s="2" t="s">
        <v>380</v>
      </c>
      <c r="M3938" s="3">
        <v>40447</v>
      </c>
      <c r="N3938" s="2" t="s">
        <v>7171</v>
      </c>
      <c r="O3938" s="2"/>
      <c r="P3938" s="2"/>
      <c r="Q3938" s="2" t="str">
        <f>"247-C/10"</f>
        <v>247-C/10</v>
      </c>
      <c r="R3938" s="2" t="s">
        <v>12440</v>
      </c>
      <c r="S3938" s="2" t="s">
        <v>12440</v>
      </c>
      <c r="T3938" s="2">
        <v>1</v>
      </c>
      <c r="U3938" s="2" t="s">
        <v>79</v>
      </c>
      <c r="V3938" s="2">
        <v>1</v>
      </c>
      <c r="W3938" s="2" t="s">
        <v>80</v>
      </c>
      <c r="X3938" s="2">
        <v>1</v>
      </c>
      <c r="Y3938" s="2" t="s">
        <v>81</v>
      </c>
      <c r="Z3938" s="2">
        <v>1</v>
      </c>
      <c r="AA3938" s="2" t="s">
        <v>82</v>
      </c>
      <c r="AB3938" s="2">
        <v>9</v>
      </c>
      <c r="AC3938" s="2" t="s">
        <v>124</v>
      </c>
      <c r="AD3938" s="3">
        <v>40444</v>
      </c>
      <c r="AE3938" s="4">
        <v>0.4513888888888889</v>
      </c>
      <c r="AF3938" s="2"/>
      <c r="AG3938" s="2"/>
      <c r="AH3938" s="2">
        <v>2</v>
      </c>
      <c r="AI3938" s="2" t="s">
        <v>84</v>
      </c>
      <c r="AJ3938" s="2">
        <v>9</v>
      </c>
      <c r="AK3938" s="2" t="s">
        <v>103</v>
      </c>
      <c r="AL3938" s="2">
        <v>24</v>
      </c>
      <c r="AM3938" s="2" t="s">
        <v>1540</v>
      </c>
      <c r="AN3938" s="2" t="s">
        <v>107</v>
      </c>
      <c r="AO3938" s="2" t="s">
        <v>107</v>
      </c>
      <c r="AP3938" s="2">
        <v>11</v>
      </c>
      <c r="AQ3938" s="2" t="s">
        <v>82</v>
      </c>
      <c r="AR3938" s="2"/>
      <c r="AS3938" s="2"/>
      <c r="AT3938" s="2" t="s">
        <v>12441</v>
      </c>
      <c r="AU3938" s="2"/>
      <c r="AV3938" s="2"/>
      <c r="AW3938" s="2"/>
      <c r="AX3938" s="2"/>
      <c r="AY3938" s="2">
        <v>41</v>
      </c>
      <c r="AZ3938" s="2" t="s">
        <v>82</v>
      </c>
      <c r="BA3938" s="2">
        <v>41</v>
      </c>
      <c r="BB3938" s="2" t="s">
        <v>82</v>
      </c>
      <c r="BC3938" s="2">
        <v>41</v>
      </c>
      <c r="BD3938" s="2" t="s">
        <v>82</v>
      </c>
      <c r="BE3938" s="2">
        <v>41</v>
      </c>
      <c r="BF3938" s="2" t="s">
        <v>82</v>
      </c>
      <c r="BG3938" s="2"/>
      <c r="BH3938" s="2"/>
      <c r="BI3938" s="2"/>
      <c r="BJ3938" s="2">
        <v>241</v>
      </c>
      <c r="BK3938" s="2" t="s">
        <v>82</v>
      </c>
      <c r="BL3938" s="2"/>
      <c r="BM3938" s="2">
        <v>241</v>
      </c>
      <c r="BN3938" s="2" t="s">
        <v>82</v>
      </c>
      <c r="BO3938" s="2"/>
      <c r="BP3938" s="2">
        <v>241</v>
      </c>
      <c r="BQ3938" s="2" t="s">
        <v>82</v>
      </c>
      <c r="BR3938" s="2"/>
      <c r="BS3938" s="3">
        <v>40447</v>
      </c>
      <c r="BT3938" s="4">
        <v>0.6580555555555555</v>
      </c>
    </row>
    <row r="3939" spans="1:72" x14ac:dyDescent="0.25">
      <c r="A3939" s="2">
        <v>5880</v>
      </c>
      <c r="B3939" s="2">
        <v>2010</v>
      </c>
      <c r="C3939" s="2" t="s">
        <v>377</v>
      </c>
      <c r="D3939" s="2" t="s">
        <v>73</v>
      </c>
      <c r="E3939" s="2"/>
      <c r="F3939" s="2">
        <v>426</v>
      </c>
      <c r="G3939" s="2" t="s">
        <v>378</v>
      </c>
      <c r="H3939" s="2">
        <v>108</v>
      </c>
      <c r="I3939" s="2" t="s">
        <v>1096</v>
      </c>
      <c r="J3939" s="2">
        <v>311</v>
      </c>
      <c r="K3939" s="2" t="s">
        <v>379</v>
      </c>
      <c r="L3939" s="2" t="s">
        <v>380</v>
      </c>
      <c r="M3939" s="3">
        <v>40447</v>
      </c>
      <c r="N3939" s="2" t="s">
        <v>5164</v>
      </c>
      <c r="O3939" s="2"/>
      <c r="P3939" s="2"/>
      <c r="Q3939" s="2" t="str">
        <f>"244-C/10"</f>
        <v>244-C/10</v>
      </c>
      <c r="R3939" s="2" t="s">
        <v>3458</v>
      </c>
      <c r="S3939" s="2"/>
      <c r="T3939" s="2">
        <v>1</v>
      </c>
      <c r="U3939" s="2" t="s">
        <v>79</v>
      </c>
      <c r="V3939" s="2">
        <v>1</v>
      </c>
      <c r="W3939" s="2" t="s">
        <v>80</v>
      </c>
      <c r="X3939" s="2">
        <v>1</v>
      </c>
      <c r="Y3939" s="2" t="s">
        <v>81</v>
      </c>
      <c r="Z3939" s="2">
        <v>1</v>
      </c>
      <c r="AA3939" s="2" t="s">
        <v>82</v>
      </c>
      <c r="AB3939" s="2">
        <v>9</v>
      </c>
      <c r="AC3939" s="2" t="s">
        <v>124</v>
      </c>
      <c r="AD3939" s="3">
        <v>40443</v>
      </c>
      <c r="AE3939" s="4">
        <v>0.34027777777777773</v>
      </c>
      <c r="AF3939" s="2"/>
      <c r="AG3939" s="2"/>
      <c r="AH3939" s="2">
        <v>2</v>
      </c>
      <c r="AI3939" s="2" t="s">
        <v>84</v>
      </c>
      <c r="AJ3939" s="2">
        <v>9</v>
      </c>
      <c r="AK3939" s="2" t="s">
        <v>103</v>
      </c>
      <c r="AL3939" s="2">
        <v>24</v>
      </c>
      <c r="AM3939" s="2" t="s">
        <v>1540</v>
      </c>
      <c r="AN3939" s="2" t="s">
        <v>12442</v>
      </c>
      <c r="AO3939" s="2" t="s">
        <v>12443</v>
      </c>
      <c r="AP3939" s="2">
        <v>11</v>
      </c>
      <c r="AQ3939" s="2" t="s">
        <v>82</v>
      </c>
      <c r="AR3939" s="2"/>
      <c r="AS3939" s="2"/>
      <c r="AT3939" s="2" t="s">
        <v>12444</v>
      </c>
      <c r="AU3939" s="2"/>
      <c r="AV3939" s="2"/>
      <c r="AW3939" s="2"/>
      <c r="AX3939" s="2"/>
      <c r="AY3939" s="2">
        <v>41</v>
      </c>
      <c r="AZ3939" s="2" t="s">
        <v>82</v>
      </c>
      <c r="BA3939" s="2">
        <v>41</v>
      </c>
      <c r="BB3939" s="2" t="s">
        <v>82</v>
      </c>
      <c r="BC3939" s="2">
        <v>41</v>
      </c>
      <c r="BD3939" s="2" t="s">
        <v>82</v>
      </c>
      <c r="BE3939" s="2">
        <v>41</v>
      </c>
      <c r="BF3939" s="2" t="s">
        <v>82</v>
      </c>
      <c r="BG3939" s="2"/>
      <c r="BH3939" s="2"/>
      <c r="BI3939" s="2"/>
      <c r="BJ3939" s="2">
        <v>241</v>
      </c>
      <c r="BK3939" s="2" t="s">
        <v>82</v>
      </c>
      <c r="BL3939" s="2"/>
      <c r="BM3939" s="2">
        <v>241</v>
      </c>
      <c r="BN3939" s="2" t="s">
        <v>82</v>
      </c>
      <c r="BO3939" s="2"/>
      <c r="BP3939" s="2">
        <v>241</v>
      </c>
      <c r="BQ3939" s="2" t="s">
        <v>82</v>
      </c>
      <c r="BR3939" s="2"/>
      <c r="BS3939" s="3">
        <v>40447</v>
      </c>
      <c r="BT3939" s="4">
        <v>0.7034259259259259</v>
      </c>
    </row>
    <row r="3940" spans="1:72" x14ac:dyDescent="0.25">
      <c r="A3940" s="2">
        <v>5881</v>
      </c>
      <c r="B3940" s="2">
        <v>2010</v>
      </c>
      <c r="C3940" s="2" t="s">
        <v>385</v>
      </c>
      <c r="D3940" s="2" t="s">
        <v>122</v>
      </c>
      <c r="E3940" s="2" t="s">
        <v>12445</v>
      </c>
      <c r="F3940" s="2">
        <v>390</v>
      </c>
      <c r="G3940" s="2" t="s">
        <v>475</v>
      </c>
      <c r="H3940" s="2">
        <v>7</v>
      </c>
      <c r="I3940" s="2" t="s">
        <v>476</v>
      </c>
      <c r="J3940" s="2">
        <v>533</v>
      </c>
      <c r="K3940" s="2" t="s">
        <v>6511</v>
      </c>
      <c r="L3940" s="2" t="s">
        <v>478</v>
      </c>
      <c r="M3940" s="3">
        <v>40447</v>
      </c>
      <c r="N3940" s="2" t="s">
        <v>12411</v>
      </c>
      <c r="O3940" s="2"/>
      <c r="P3940" s="2"/>
      <c r="Q3940" s="2" t="str">
        <f>"490-E/10"</f>
        <v>490-E/10</v>
      </c>
      <c r="R3940" s="2" t="s">
        <v>12412</v>
      </c>
      <c r="S3940" s="2"/>
      <c r="T3940" s="2">
        <v>1</v>
      </c>
      <c r="U3940" s="2" t="s">
        <v>79</v>
      </c>
      <c r="V3940" s="2">
        <v>1</v>
      </c>
      <c r="W3940" s="2" t="s">
        <v>80</v>
      </c>
      <c r="X3940" s="2">
        <v>1</v>
      </c>
      <c r="Y3940" s="2" t="s">
        <v>81</v>
      </c>
      <c r="Z3940" s="2">
        <v>1</v>
      </c>
      <c r="AA3940" s="2" t="s">
        <v>82</v>
      </c>
      <c r="AB3940" s="2">
        <v>9</v>
      </c>
      <c r="AC3940" s="2" t="s">
        <v>124</v>
      </c>
      <c r="AD3940" s="3">
        <v>40446</v>
      </c>
      <c r="AE3940" s="4">
        <v>0.95833333333333337</v>
      </c>
      <c r="AF3940" s="2"/>
      <c r="AG3940" s="2"/>
      <c r="AH3940" s="2">
        <v>2</v>
      </c>
      <c r="AI3940" s="2" t="s">
        <v>84</v>
      </c>
      <c r="AJ3940" s="2">
        <v>9</v>
      </c>
      <c r="AK3940" s="2" t="s">
        <v>103</v>
      </c>
      <c r="AL3940" s="2">
        <v>15</v>
      </c>
      <c r="AM3940" s="2" t="s">
        <v>104</v>
      </c>
      <c r="AN3940" s="2" t="s">
        <v>12446</v>
      </c>
      <c r="AO3940" s="2"/>
      <c r="AP3940" s="2">
        <v>11</v>
      </c>
      <c r="AQ3940" s="2" t="s">
        <v>82</v>
      </c>
      <c r="AR3940" s="2"/>
      <c r="AS3940" s="2"/>
      <c r="AT3940" s="2" t="s">
        <v>12447</v>
      </c>
      <c r="AU3940" s="2">
        <v>1</v>
      </c>
      <c r="AV3940" s="2"/>
      <c r="AW3940" s="2"/>
      <c r="AX3940" s="2"/>
      <c r="AY3940" s="2">
        <v>41</v>
      </c>
      <c r="AZ3940" s="2" t="s">
        <v>82</v>
      </c>
      <c r="BA3940" s="2">
        <v>41</v>
      </c>
      <c r="BB3940" s="2" t="s">
        <v>82</v>
      </c>
      <c r="BC3940" s="2">
        <v>41</v>
      </c>
      <c r="BD3940" s="2" t="s">
        <v>82</v>
      </c>
      <c r="BE3940" s="2">
        <v>13</v>
      </c>
      <c r="BF3940" s="2" t="s">
        <v>108</v>
      </c>
      <c r="BG3940" s="2" t="s">
        <v>961</v>
      </c>
      <c r="BH3940" s="2"/>
      <c r="BI3940" s="4">
        <v>0.41666666666666669</v>
      </c>
      <c r="BJ3940" s="2">
        <v>13</v>
      </c>
      <c r="BK3940" s="2" t="s">
        <v>91</v>
      </c>
      <c r="BL3940" s="2" t="s">
        <v>2655</v>
      </c>
      <c r="BM3940" s="2">
        <v>29</v>
      </c>
      <c r="BN3940" s="2" t="s">
        <v>962</v>
      </c>
      <c r="BO3940" s="2"/>
      <c r="BP3940" s="2">
        <v>29</v>
      </c>
      <c r="BQ3940" s="2" t="s">
        <v>962</v>
      </c>
      <c r="BR3940" s="2" t="s">
        <v>963</v>
      </c>
      <c r="BS3940" s="3">
        <v>40447</v>
      </c>
      <c r="BT3940" s="4">
        <v>0.73018518518518516</v>
      </c>
    </row>
    <row r="3941" spans="1:72" x14ac:dyDescent="0.25">
      <c r="A3941" s="2">
        <v>5882</v>
      </c>
      <c r="B3941" s="2">
        <v>2010</v>
      </c>
      <c r="C3941" s="2" t="s">
        <v>72</v>
      </c>
      <c r="D3941" s="2" t="s">
        <v>73</v>
      </c>
      <c r="E3941" s="2"/>
      <c r="F3941" s="2">
        <v>167</v>
      </c>
      <c r="G3941" s="2" t="s">
        <v>11567</v>
      </c>
      <c r="H3941" s="2">
        <v>22</v>
      </c>
      <c r="I3941" s="2" t="s">
        <v>75</v>
      </c>
      <c r="J3941" s="2">
        <v>656</v>
      </c>
      <c r="K3941" s="2" t="s">
        <v>11603</v>
      </c>
      <c r="L3941" s="2" t="s">
        <v>4885</v>
      </c>
      <c r="M3941" s="3">
        <v>40447</v>
      </c>
      <c r="N3941" s="2" t="s">
        <v>12448</v>
      </c>
      <c r="O3941" s="2" t="s">
        <v>82</v>
      </c>
      <c r="P3941" s="2" t="s">
        <v>82</v>
      </c>
      <c r="Q3941" s="2" t="str">
        <f>"383-A/10"</f>
        <v>383-A/10</v>
      </c>
      <c r="R3941" s="2" t="s">
        <v>12449</v>
      </c>
      <c r="S3941" s="2" t="s">
        <v>12449</v>
      </c>
      <c r="T3941" s="2">
        <v>1</v>
      </c>
      <c r="U3941" s="2" t="s">
        <v>79</v>
      </c>
      <c r="V3941" s="2">
        <v>1</v>
      </c>
      <c r="W3941" s="2" t="s">
        <v>80</v>
      </c>
      <c r="X3941" s="2">
        <v>12</v>
      </c>
      <c r="Y3941" s="2" t="s">
        <v>148</v>
      </c>
      <c r="Z3941" s="2">
        <v>1</v>
      </c>
      <c r="AA3941" s="2" t="s">
        <v>82</v>
      </c>
      <c r="AB3941" s="2">
        <v>6</v>
      </c>
      <c r="AC3941" s="2" t="s">
        <v>83</v>
      </c>
      <c r="AD3941" s="3">
        <v>40447</v>
      </c>
      <c r="AE3941" s="4">
        <v>0.52083333333333337</v>
      </c>
      <c r="AF3941" s="3">
        <v>40447</v>
      </c>
      <c r="AG3941" s="4">
        <v>0.58333333333333337</v>
      </c>
      <c r="AH3941" s="2">
        <v>2</v>
      </c>
      <c r="AI3941" s="2" t="s">
        <v>84</v>
      </c>
      <c r="AJ3941" s="2">
        <v>12</v>
      </c>
      <c r="AK3941" s="2" t="s">
        <v>85</v>
      </c>
      <c r="AL3941" s="2">
        <v>23</v>
      </c>
      <c r="AM3941" s="2" t="s">
        <v>251</v>
      </c>
      <c r="AN3941" s="2" t="s">
        <v>12450</v>
      </c>
      <c r="AO3941" s="2" t="s">
        <v>12451</v>
      </c>
      <c r="AP3941" s="2">
        <v>11</v>
      </c>
      <c r="AQ3941" s="2" t="s">
        <v>82</v>
      </c>
      <c r="AR3941" s="2" t="s">
        <v>82</v>
      </c>
      <c r="AS3941" s="2" t="s">
        <v>82</v>
      </c>
      <c r="AT3941" s="2" t="s">
        <v>12452</v>
      </c>
      <c r="AU3941" s="2"/>
      <c r="AV3941" s="2"/>
      <c r="AW3941" s="2"/>
      <c r="AX3941" s="2"/>
      <c r="AY3941" s="2">
        <v>41</v>
      </c>
      <c r="AZ3941" s="2" t="s">
        <v>82</v>
      </c>
      <c r="BA3941" s="2">
        <v>41</v>
      </c>
      <c r="BB3941" s="2" t="s">
        <v>82</v>
      </c>
      <c r="BC3941" s="2">
        <v>41</v>
      </c>
      <c r="BD3941" s="2" t="s">
        <v>82</v>
      </c>
      <c r="BE3941" s="2">
        <v>41</v>
      </c>
      <c r="BF3941" s="2" t="s">
        <v>82</v>
      </c>
      <c r="BG3941" s="2"/>
      <c r="BH3941" s="2"/>
      <c r="BI3941" s="2"/>
      <c r="BJ3941" s="2">
        <v>241</v>
      </c>
      <c r="BK3941" s="2" t="s">
        <v>82</v>
      </c>
      <c r="BL3941" s="2" t="s">
        <v>82</v>
      </c>
      <c r="BM3941" s="2">
        <v>241</v>
      </c>
      <c r="BN3941" s="2" t="s">
        <v>82</v>
      </c>
      <c r="BO3941" s="2"/>
      <c r="BP3941" s="2">
        <v>241</v>
      </c>
      <c r="BQ3941" s="2" t="s">
        <v>82</v>
      </c>
      <c r="BR3941" s="2" t="s">
        <v>82</v>
      </c>
      <c r="BS3941" s="3">
        <v>40447</v>
      </c>
      <c r="BT3941" s="4">
        <v>0.75460648148148157</v>
      </c>
    </row>
    <row r="3942" spans="1:72" x14ac:dyDescent="0.25">
      <c r="A3942" s="2">
        <v>5883</v>
      </c>
      <c r="B3942" s="2">
        <v>2010</v>
      </c>
      <c r="C3942" s="2" t="s">
        <v>171</v>
      </c>
      <c r="D3942" s="2" t="s">
        <v>73</v>
      </c>
      <c r="E3942" s="2"/>
      <c r="F3942" s="2">
        <v>395</v>
      </c>
      <c r="G3942" s="2" t="s">
        <v>1076</v>
      </c>
      <c r="H3942" s="2">
        <v>6</v>
      </c>
      <c r="I3942" s="2" t="s">
        <v>1088</v>
      </c>
      <c r="J3942" s="2">
        <v>242</v>
      </c>
      <c r="K3942" s="2" t="s">
        <v>1077</v>
      </c>
      <c r="L3942" s="2" t="s">
        <v>1078</v>
      </c>
      <c r="M3942" s="3">
        <v>40447</v>
      </c>
      <c r="N3942" s="2" t="s">
        <v>1228</v>
      </c>
      <c r="O3942" s="2"/>
      <c r="P3942" s="2" t="s">
        <v>107</v>
      </c>
      <c r="Q3942" s="2" t="str">
        <f>"493E/10"</f>
        <v>493E/10</v>
      </c>
      <c r="R3942" s="2" t="s">
        <v>391</v>
      </c>
      <c r="S3942" s="2" t="s">
        <v>391</v>
      </c>
      <c r="T3942" s="2">
        <v>1</v>
      </c>
      <c r="U3942" s="2" t="s">
        <v>79</v>
      </c>
      <c r="V3942" s="2">
        <v>3</v>
      </c>
      <c r="W3942" s="2" t="s">
        <v>225</v>
      </c>
      <c r="X3942" s="2">
        <v>6</v>
      </c>
      <c r="Y3942" s="2" t="s">
        <v>249</v>
      </c>
      <c r="Z3942" s="2">
        <v>1</v>
      </c>
      <c r="AA3942" s="2" t="s">
        <v>82</v>
      </c>
      <c r="AB3942" s="2">
        <v>9</v>
      </c>
      <c r="AC3942" s="2" t="s">
        <v>124</v>
      </c>
      <c r="AD3942" s="3">
        <v>40447</v>
      </c>
      <c r="AE3942" s="2"/>
      <c r="AF3942" s="2"/>
      <c r="AG3942" s="2"/>
      <c r="AH3942" s="2">
        <v>2</v>
      </c>
      <c r="AI3942" s="2" t="s">
        <v>84</v>
      </c>
      <c r="AJ3942" s="2">
        <v>6</v>
      </c>
      <c r="AK3942" s="2" t="s">
        <v>453</v>
      </c>
      <c r="AL3942" s="2">
        <v>23</v>
      </c>
      <c r="AM3942" s="2" t="s">
        <v>251</v>
      </c>
      <c r="AN3942" s="2"/>
      <c r="AO3942" s="2" t="s">
        <v>12453</v>
      </c>
      <c r="AP3942" s="2">
        <v>11</v>
      </c>
      <c r="AQ3942" s="2" t="s">
        <v>82</v>
      </c>
      <c r="AR3942" s="2"/>
      <c r="AS3942" s="2"/>
      <c r="AT3942" s="2" t="s">
        <v>12454</v>
      </c>
      <c r="AU3942" s="2"/>
      <c r="AV3942" s="2"/>
      <c r="AW3942" s="2"/>
      <c r="AX3942" s="2"/>
      <c r="AY3942" s="2">
        <v>41</v>
      </c>
      <c r="AZ3942" s="2" t="s">
        <v>82</v>
      </c>
      <c r="BA3942" s="2">
        <v>41</v>
      </c>
      <c r="BB3942" s="2" t="s">
        <v>82</v>
      </c>
      <c r="BC3942" s="2">
        <v>41</v>
      </c>
      <c r="BD3942" s="2" t="s">
        <v>82</v>
      </c>
      <c r="BE3942" s="2">
        <v>41</v>
      </c>
      <c r="BF3942" s="2" t="s">
        <v>82</v>
      </c>
      <c r="BG3942" s="2"/>
      <c r="BH3942" s="2"/>
      <c r="BI3942" s="2"/>
      <c r="BJ3942" s="2">
        <v>241</v>
      </c>
      <c r="BK3942" s="2" t="s">
        <v>82</v>
      </c>
      <c r="BL3942" s="2"/>
      <c r="BM3942" s="2">
        <v>241</v>
      </c>
      <c r="BN3942" s="2" t="s">
        <v>82</v>
      </c>
      <c r="BO3942" s="2"/>
      <c r="BP3942" s="2">
        <v>241</v>
      </c>
      <c r="BQ3942" s="2" t="s">
        <v>82</v>
      </c>
      <c r="BR3942" s="2"/>
      <c r="BS3942" s="3">
        <v>40447</v>
      </c>
      <c r="BT3942" s="4">
        <v>0.79348379629629628</v>
      </c>
    </row>
    <row r="3943" spans="1:72" x14ac:dyDescent="0.25">
      <c r="A3943" s="2">
        <v>5884</v>
      </c>
      <c r="B3943" s="2">
        <v>2010</v>
      </c>
      <c r="C3943" s="2" t="s">
        <v>72</v>
      </c>
      <c r="D3943" s="2" t="s">
        <v>73</v>
      </c>
      <c r="E3943" s="2"/>
      <c r="F3943" s="2">
        <v>167</v>
      </c>
      <c r="G3943" s="2" t="s">
        <v>11567</v>
      </c>
      <c r="H3943" s="2">
        <v>22</v>
      </c>
      <c r="I3943" s="2" t="s">
        <v>75</v>
      </c>
      <c r="J3943" s="2">
        <v>656</v>
      </c>
      <c r="K3943" s="2" t="s">
        <v>11603</v>
      </c>
      <c r="L3943" s="2" t="s">
        <v>4885</v>
      </c>
      <c r="M3943" s="3">
        <v>40447</v>
      </c>
      <c r="N3943" s="2" t="s">
        <v>11642</v>
      </c>
      <c r="O3943" s="2" t="s">
        <v>82</v>
      </c>
      <c r="P3943" s="2" t="s">
        <v>82</v>
      </c>
      <c r="Q3943" s="2" t="str">
        <f>"PS A-384/10"</f>
        <v>PS A-384/10</v>
      </c>
      <c r="R3943" s="2" t="s">
        <v>12455</v>
      </c>
      <c r="S3943" s="2" t="s">
        <v>12455</v>
      </c>
      <c r="T3943" s="2">
        <v>1</v>
      </c>
      <c r="U3943" s="2" t="s">
        <v>79</v>
      </c>
      <c r="V3943" s="2">
        <v>1</v>
      </c>
      <c r="W3943" s="2" t="s">
        <v>80</v>
      </c>
      <c r="X3943" s="2">
        <v>12</v>
      </c>
      <c r="Y3943" s="2" t="s">
        <v>148</v>
      </c>
      <c r="Z3943" s="2">
        <v>1</v>
      </c>
      <c r="AA3943" s="2" t="s">
        <v>82</v>
      </c>
      <c r="AB3943" s="2">
        <v>6</v>
      </c>
      <c r="AC3943" s="2" t="s">
        <v>83</v>
      </c>
      <c r="AD3943" s="3">
        <v>40446</v>
      </c>
      <c r="AE3943" s="4">
        <v>0.95833333333333337</v>
      </c>
      <c r="AF3943" s="3">
        <v>40447</v>
      </c>
      <c r="AG3943" s="4">
        <v>0.70486111111111116</v>
      </c>
      <c r="AH3943" s="2">
        <v>2</v>
      </c>
      <c r="AI3943" s="2" t="s">
        <v>84</v>
      </c>
      <c r="AJ3943" s="2">
        <v>12</v>
      </c>
      <c r="AK3943" s="2" t="s">
        <v>85</v>
      </c>
      <c r="AL3943" s="2">
        <v>23</v>
      </c>
      <c r="AM3943" s="2" t="s">
        <v>251</v>
      </c>
      <c r="AN3943" s="2"/>
      <c r="AO3943" s="2"/>
      <c r="AP3943" s="2">
        <v>11</v>
      </c>
      <c r="AQ3943" s="2" t="s">
        <v>82</v>
      </c>
      <c r="AR3943" s="2" t="s">
        <v>82</v>
      </c>
      <c r="AS3943" s="2" t="s">
        <v>82</v>
      </c>
      <c r="AT3943" s="2" t="s">
        <v>12456</v>
      </c>
      <c r="AU3943" s="2"/>
      <c r="AV3943" s="2"/>
      <c r="AW3943" s="2"/>
      <c r="AX3943" s="2"/>
      <c r="AY3943" s="2">
        <v>41</v>
      </c>
      <c r="AZ3943" s="2" t="s">
        <v>82</v>
      </c>
      <c r="BA3943" s="2">
        <v>41</v>
      </c>
      <c r="BB3943" s="2" t="s">
        <v>82</v>
      </c>
      <c r="BC3943" s="2">
        <v>41</v>
      </c>
      <c r="BD3943" s="2" t="s">
        <v>82</v>
      </c>
      <c r="BE3943" s="2">
        <v>41</v>
      </c>
      <c r="BF3943" s="2" t="s">
        <v>82</v>
      </c>
      <c r="BG3943" s="2"/>
      <c r="BH3943" s="2"/>
      <c r="BI3943" s="2"/>
      <c r="BJ3943" s="2">
        <v>241</v>
      </c>
      <c r="BK3943" s="2" t="s">
        <v>82</v>
      </c>
      <c r="BL3943" s="2"/>
      <c r="BM3943" s="2">
        <v>241</v>
      </c>
      <c r="BN3943" s="2" t="s">
        <v>82</v>
      </c>
      <c r="BO3943" s="2"/>
      <c r="BP3943" s="2">
        <v>241</v>
      </c>
      <c r="BQ3943" s="2" t="s">
        <v>82</v>
      </c>
      <c r="BR3943" s="2"/>
      <c r="BS3943" s="3">
        <v>40447</v>
      </c>
      <c r="BT3943" s="4">
        <v>0.81165509259259261</v>
      </c>
    </row>
    <row r="3944" spans="1:72" x14ac:dyDescent="0.25">
      <c r="A3944" s="2">
        <v>5885</v>
      </c>
      <c r="B3944" s="2">
        <v>2010</v>
      </c>
      <c r="C3944" s="2" t="s">
        <v>171</v>
      </c>
      <c r="D3944" s="2" t="s">
        <v>73</v>
      </c>
      <c r="E3944" s="2"/>
      <c r="F3944" s="2">
        <v>395</v>
      </c>
      <c r="G3944" s="2" t="s">
        <v>1076</v>
      </c>
      <c r="H3944" s="2">
        <v>6</v>
      </c>
      <c r="I3944" s="2" t="s">
        <v>1088</v>
      </c>
      <c r="J3944" s="2">
        <v>242</v>
      </c>
      <c r="K3944" s="2" t="s">
        <v>1077</v>
      </c>
      <c r="L3944" s="2" t="s">
        <v>1078</v>
      </c>
      <c r="M3944" s="3">
        <v>40448</v>
      </c>
      <c r="N3944" s="2" t="s">
        <v>1228</v>
      </c>
      <c r="O3944" s="2" t="s">
        <v>12457</v>
      </c>
      <c r="P3944" s="2" t="s">
        <v>12458</v>
      </c>
      <c r="Q3944" s="2" t="str">
        <f>"493E/10"</f>
        <v>493E/10</v>
      </c>
      <c r="R3944" s="2" t="s">
        <v>391</v>
      </c>
      <c r="S3944" s="2"/>
      <c r="T3944" s="2">
        <v>1</v>
      </c>
      <c r="U3944" s="2" t="s">
        <v>79</v>
      </c>
      <c r="V3944" s="2">
        <v>1</v>
      </c>
      <c r="W3944" s="2" t="s">
        <v>80</v>
      </c>
      <c r="X3944" s="2">
        <v>8</v>
      </c>
      <c r="Y3944" s="2" t="s">
        <v>375</v>
      </c>
      <c r="Z3944" s="2">
        <v>1</v>
      </c>
      <c r="AA3944" s="2" t="s">
        <v>82</v>
      </c>
      <c r="AB3944" s="2">
        <v>1</v>
      </c>
      <c r="AC3944" s="2" t="s">
        <v>178</v>
      </c>
      <c r="AD3944" s="3">
        <v>40447</v>
      </c>
      <c r="AE3944" s="4">
        <v>0.91319444444444453</v>
      </c>
      <c r="AF3944" s="2"/>
      <c r="AG3944" s="2"/>
      <c r="AH3944" s="2">
        <v>2</v>
      </c>
      <c r="AI3944" s="2" t="s">
        <v>84</v>
      </c>
      <c r="AJ3944" s="2">
        <v>6</v>
      </c>
      <c r="AK3944" s="2" t="s">
        <v>453</v>
      </c>
      <c r="AL3944" s="2">
        <v>23</v>
      </c>
      <c r="AM3944" s="2" t="s">
        <v>251</v>
      </c>
      <c r="AN3944" s="2"/>
      <c r="AO3944" s="2" t="s">
        <v>12459</v>
      </c>
      <c r="AP3944" s="2">
        <v>11</v>
      </c>
      <c r="AQ3944" s="2" t="s">
        <v>82</v>
      </c>
      <c r="AR3944" s="2"/>
      <c r="AS3944" s="2"/>
      <c r="AT3944" s="2" t="s">
        <v>12460</v>
      </c>
      <c r="AU3944" s="2"/>
      <c r="AV3944" s="2"/>
      <c r="AW3944" s="2"/>
      <c r="AX3944" s="2"/>
      <c r="AY3944" s="2">
        <v>41</v>
      </c>
      <c r="AZ3944" s="2" t="s">
        <v>82</v>
      </c>
      <c r="BA3944" s="2">
        <v>41</v>
      </c>
      <c r="BB3944" s="2" t="s">
        <v>82</v>
      </c>
      <c r="BC3944" s="2">
        <v>41</v>
      </c>
      <c r="BD3944" s="2" t="s">
        <v>82</v>
      </c>
      <c r="BE3944" s="2">
        <v>41</v>
      </c>
      <c r="BF3944" s="2" t="s">
        <v>82</v>
      </c>
      <c r="BG3944" s="2"/>
      <c r="BH3944" s="2"/>
      <c r="BI3944" s="2"/>
      <c r="BJ3944" s="2">
        <v>241</v>
      </c>
      <c r="BK3944" s="2" t="s">
        <v>82</v>
      </c>
      <c r="BL3944" s="2"/>
      <c r="BM3944" s="2">
        <v>241</v>
      </c>
      <c r="BN3944" s="2" t="s">
        <v>82</v>
      </c>
      <c r="BO3944" s="2"/>
      <c r="BP3944" s="2">
        <v>241</v>
      </c>
      <c r="BQ3944" s="2" t="s">
        <v>82</v>
      </c>
      <c r="BR3944" s="2"/>
      <c r="BS3944" s="3">
        <v>40448</v>
      </c>
      <c r="BT3944" s="4">
        <v>5.8263888888888893E-2</v>
      </c>
    </row>
    <row r="3945" spans="1:72" x14ac:dyDescent="0.25">
      <c r="A3945" s="2">
        <v>5886</v>
      </c>
      <c r="B3945" s="2">
        <v>2010</v>
      </c>
      <c r="C3945" s="2" t="s">
        <v>72</v>
      </c>
      <c r="D3945" s="2" t="s">
        <v>122</v>
      </c>
      <c r="E3945" s="2" t="s">
        <v>12461</v>
      </c>
      <c r="F3945" s="2">
        <v>402</v>
      </c>
      <c r="G3945" s="2" t="s">
        <v>6564</v>
      </c>
      <c r="H3945" s="2">
        <v>7</v>
      </c>
      <c r="I3945" s="2" t="s">
        <v>476</v>
      </c>
      <c r="J3945" s="2">
        <v>533</v>
      </c>
      <c r="K3945" s="2" t="s">
        <v>6511</v>
      </c>
      <c r="L3945" s="2" t="s">
        <v>478</v>
      </c>
      <c r="M3945" s="3">
        <v>40448</v>
      </c>
      <c r="N3945" s="2" t="s">
        <v>727</v>
      </c>
      <c r="O3945" s="2"/>
      <c r="P3945" s="2"/>
      <c r="Q3945" s="2" t="str">
        <f>"494E/2010"</f>
        <v>494E/2010</v>
      </c>
      <c r="R3945" s="2" t="s">
        <v>116</v>
      </c>
      <c r="S3945" s="2" t="s">
        <v>116</v>
      </c>
      <c r="T3945" s="2">
        <v>1</v>
      </c>
      <c r="U3945" s="2" t="s">
        <v>79</v>
      </c>
      <c r="V3945" s="2">
        <v>1</v>
      </c>
      <c r="W3945" s="2" t="s">
        <v>80</v>
      </c>
      <c r="X3945" s="2">
        <v>11</v>
      </c>
      <c r="Y3945" s="2" t="s">
        <v>1920</v>
      </c>
      <c r="Z3945" s="2">
        <v>1</v>
      </c>
      <c r="AA3945" s="2" t="s">
        <v>82</v>
      </c>
      <c r="AB3945" s="2">
        <v>6</v>
      </c>
      <c r="AC3945" s="2" t="s">
        <v>83</v>
      </c>
      <c r="AD3945" s="3">
        <v>40447</v>
      </c>
      <c r="AE3945" s="4">
        <v>0.30555555555555552</v>
      </c>
      <c r="AF3945" s="3">
        <v>40447</v>
      </c>
      <c r="AG3945" s="4">
        <v>0.41666666666666669</v>
      </c>
      <c r="AH3945" s="2">
        <v>2</v>
      </c>
      <c r="AI3945" s="2" t="s">
        <v>84</v>
      </c>
      <c r="AJ3945" s="2">
        <v>9</v>
      </c>
      <c r="AK3945" s="2" t="s">
        <v>103</v>
      </c>
      <c r="AL3945" s="2">
        <v>15</v>
      </c>
      <c r="AM3945" s="2" t="s">
        <v>104</v>
      </c>
      <c r="AN3945" s="2"/>
      <c r="AO3945" s="2" t="s">
        <v>12462</v>
      </c>
      <c r="AP3945" s="2">
        <v>11</v>
      </c>
      <c r="AQ3945" s="2" t="s">
        <v>82</v>
      </c>
      <c r="AR3945" s="2"/>
      <c r="AS3945" s="2"/>
      <c r="AT3945" s="2" t="s">
        <v>12463</v>
      </c>
      <c r="AU3945" s="2"/>
      <c r="AV3945" s="2">
        <v>1</v>
      </c>
      <c r="AW3945" s="2"/>
      <c r="AX3945" s="2"/>
      <c r="AY3945" s="2">
        <v>41</v>
      </c>
      <c r="AZ3945" s="2" t="s">
        <v>82</v>
      </c>
      <c r="BA3945" s="2">
        <v>41</v>
      </c>
      <c r="BB3945" s="2" t="s">
        <v>82</v>
      </c>
      <c r="BC3945" s="2">
        <v>41</v>
      </c>
      <c r="BD3945" s="2" t="s">
        <v>82</v>
      </c>
      <c r="BE3945" s="2">
        <v>13</v>
      </c>
      <c r="BF3945" s="2" t="s">
        <v>108</v>
      </c>
      <c r="BG3945" s="2"/>
      <c r="BH3945" s="4">
        <v>0.2638888888888889</v>
      </c>
      <c r="BI3945" s="2"/>
      <c r="BJ3945" s="2">
        <v>173</v>
      </c>
      <c r="BK3945" s="2" t="s">
        <v>223</v>
      </c>
      <c r="BL3945" s="2" t="s">
        <v>224</v>
      </c>
      <c r="BM3945" s="2">
        <v>241</v>
      </c>
      <c r="BN3945" s="2" t="s">
        <v>82</v>
      </c>
      <c r="BO3945" s="2"/>
      <c r="BP3945" s="2">
        <v>13</v>
      </c>
      <c r="BQ3945" s="2" t="s">
        <v>91</v>
      </c>
      <c r="BR3945" s="2" t="s">
        <v>185</v>
      </c>
      <c r="BS3945" s="3">
        <v>40448</v>
      </c>
      <c r="BT3945" s="4">
        <v>8.9085648148148136E-2</v>
      </c>
    </row>
    <row r="3946" spans="1:72" x14ac:dyDescent="0.25">
      <c r="A3946" s="2">
        <v>5886</v>
      </c>
      <c r="B3946" s="2">
        <v>2010</v>
      </c>
      <c r="C3946" s="2" t="s">
        <v>385</v>
      </c>
      <c r="D3946" s="2" t="s">
        <v>122</v>
      </c>
      <c r="E3946" s="2" t="s">
        <v>12461</v>
      </c>
      <c r="F3946" s="2">
        <v>402</v>
      </c>
      <c r="G3946" s="2" t="s">
        <v>6564</v>
      </c>
      <c r="H3946" s="2">
        <v>7</v>
      </c>
      <c r="I3946" s="2" t="s">
        <v>476</v>
      </c>
      <c r="J3946" s="2">
        <v>533</v>
      </c>
      <c r="K3946" s="2" t="s">
        <v>6511</v>
      </c>
      <c r="L3946" s="2" t="s">
        <v>478</v>
      </c>
      <c r="M3946" s="3">
        <v>40448</v>
      </c>
      <c r="N3946" s="2" t="s">
        <v>727</v>
      </c>
      <c r="O3946" s="2"/>
      <c r="P3946" s="2"/>
      <c r="Q3946" s="2" t="str">
        <f>"494E/2010"</f>
        <v>494E/2010</v>
      </c>
      <c r="R3946" s="2" t="s">
        <v>116</v>
      </c>
      <c r="S3946" s="2" t="s">
        <v>116</v>
      </c>
      <c r="T3946" s="2">
        <v>1</v>
      </c>
      <c r="U3946" s="2" t="s">
        <v>79</v>
      </c>
      <c r="V3946" s="2">
        <v>1</v>
      </c>
      <c r="W3946" s="2" t="s">
        <v>80</v>
      </c>
      <c r="X3946" s="2">
        <v>11</v>
      </c>
      <c r="Y3946" s="2" t="s">
        <v>1920</v>
      </c>
      <c r="Z3946" s="2">
        <v>1</v>
      </c>
      <c r="AA3946" s="2" t="s">
        <v>82</v>
      </c>
      <c r="AB3946" s="2">
        <v>9</v>
      </c>
      <c r="AC3946" s="2" t="s">
        <v>124</v>
      </c>
      <c r="AD3946" s="3">
        <v>40447</v>
      </c>
      <c r="AE3946" s="4">
        <v>0.30555555555555552</v>
      </c>
      <c r="AF3946" s="3">
        <v>40447</v>
      </c>
      <c r="AG3946" s="4">
        <v>0.41666666666666669</v>
      </c>
      <c r="AH3946" s="2">
        <v>2</v>
      </c>
      <c r="AI3946" s="2" t="s">
        <v>84</v>
      </c>
      <c r="AJ3946" s="2">
        <v>9</v>
      </c>
      <c r="AK3946" s="2" t="s">
        <v>103</v>
      </c>
      <c r="AL3946" s="2">
        <v>15</v>
      </c>
      <c r="AM3946" s="2" t="s">
        <v>104</v>
      </c>
      <c r="AN3946" s="2"/>
      <c r="AO3946" s="2" t="s">
        <v>12462</v>
      </c>
      <c r="AP3946" s="2">
        <v>11</v>
      </c>
      <c r="AQ3946" s="2" t="s">
        <v>82</v>
      </c>
      <c r="AR3946" s="2"/>
      <c r="AS3946" s="2"/>
      <c r="AT3946" s="2" t="s">
        <v>12463</v>
      </c>
      <c r="AU3946" s="2"/>
      <c r="AV3946" s="2">
        <v>1</v>
      </c>
      <c r="AW3946" s="2"/>
      <c r="AX3946" s="2"/>
      <c r="AY3946" s="2">
        <v>41</v>
      </c>
      <c r="AZ3946" s="2" t="s">
        <v>82</v>
      </c>
      <c r="BA3946" s="2">
        <v>41</v>
      </c>
      <c r="BB3946" s="2" t="s">
        <v>82</v>
      </c>
      <c r="BC3946" s="2">
        <v>41</v>
      </c>
      <c r="BD3946" s="2" t="s">
        <v>82</v>
      </c>
      <c r="BE3946" s="2">
        <v>13</v>
      </c>
      <c r="BF3946" s="2" t="s">
        <v>108</v>
      </c>
      <c r="BG3946" s="2"/>
      <c r="BH3946" s="4">
        <v>0.2638888888888889</v>
      </c>
      <c r="BI3946" s="2"/>
      <c r="BJ3946" s="2">
        <v>173</v>
      </c>
      <c r="BK3946" s="2" t="s">
        <v>223</v>
      </c>
      <c r="BL3946" s="2" t="s">
        <v>224</v>
      </c>
      <c r="BM3946" s="2">
        <v>241</v>
      </c>
      <c r="BN3946" s="2" t="s">
        <v>82</v>
      </c>
      <c r="BO3946" s="2"/>
      <c r="BP3946" s="2">
        <v>13</v>
      </c>
      <c r="BQ3946" s="2" t="s">
        <v>91</v>
      </c>
      <c r="BR3946" s="2" t="s">
        <v>185</v>
      </c>
      <c r="BS3946" s="3">
        <v>40448</v>
      </c>
      <c r="BT3946" s="4">
        <v>8.9085648148148136E-2</v>
      </c>
    </row>
    <row r="3947" spans="1:72" x14ac:dyDescent="0.25">
      <c r="A3947" s="2">
        <v>5887</v>
      </c>
      <c r="B3947" s="2">
        <v>2010</v>
      </c>
      <c r="C3947" s="2" t="s">
        <v>171</v>
      </c>
      <c r="D3947" s="2" t="s">
        <v>122</v>
      </c>
      <c r="E3947" s="2" t="s">
        <v>12464</v>
      </c>
      <c r="F3947" s="2">
        <v>395</v>
      </c>
      <c r="G3947" s="2" t="s">
        <v>1076</v>
      </c>
      <c r="H3947" s="2">
        <v>6</v>
      </c>
      <c r="I3947" s="2" t="s">
        <v>1088</v>
      </c>
      <c r="J3947" s="2">
        <v>242</v>
      </c>
      <c r="K3947" s="2" t="s">
        <v>1077</v>
      </c>
      <c r="L3947" s="2" t="s">
        <v>1078</v>
      </c>
      <c r="M3947" s="3">
        <v>40448</v>
      </c>
      <c r="N3947" s="2" t="s">
        <v>7163</v>
      </c>
      <c r="O3947" s="2" t="s">
        <v>107</v>
      </c>
      <c r="P3947" s="2" t="s">
        <v>107</v>
      </c>
      <c r="Q3947" s="2" t="str">
        <f>"493-E/10"</f>
        <v>493-E/10</v>
      </c>
      <c r="R3947" s="2" t="s">
        <v>391</v>
      </c>
      <c r="S3947" s="2" t="s">
        <v>391</v>
      </c>
      <c r="T3947" s="2">
        <v>1</v>
      </c>
      <c r="U3947" s="2" t="s">
        <v>79</v>
      </c>
      <c r="V3947" s="2">
        <v>1</v>
      </c>
      <c r="W3947" s="2" t="s">
        <v>80</v>
      </c>
      <c r="X3947" s="2">
        <v>11</v>
      </c>
      <c r="Y3947" s="2" t="s">
        <v>1920</v>
      </c>
      <c r="Z3947" s="2">
        <v>1</v>
      </c>
      <c r="AA3947" s="2" t="s">
        <v>82</v>
      </c>
      <c r="AB3947" s="2">
        <v>1</v>
      </c>
      <c r="AC3947" s="2" t="s">
        <v>178</v>
      </c>
      <c r="AD3947" s="3">
        <v>40446</v>
      </c>
      <c r="AE3947" s="4">
        <v>0.86458333333333337</v>
      </c>
      <c r="AF3947" s="2"/>
      <c r="AG3947" s="2"/>
      <c r="AH3947" s="2">
        <v>2</v>
      </c>
      <c r="AI3947" s="2" t="s">
        <v>84</v>
      </c>
      <c r="AJ3947" s="2">
        <v>9</v>
      </c>
      <c r="AK3947" s="2" t="s">
        <v>103</v>
      </c>
      <c r="AL3947" s="2">
        <v>14</v>
      </c>
      <c r="AM3947" s="2" t="s">
        <v>216</v>
      </c>
      <c r="AN3947" s="2" t="s">
        <v>179</v>
      </c>
      <c r="AO3947" s="2" t="s">
        <v>82</v>
      </c>
      <c r="AP3947" s="2">
        <v>11</v>
      </c>
      <c r="AQ3947" s="2" t="s">
        <v>82</v>
      </c>
      <c r="AR3947" s="2"/>
      <c r="AS3947" s="2"/>
      <c r="AT3947" s="2" t="s">
        <v>12465</v>
      </c>
      <c r="AU3947" s="2"/>
      <c r="AV3947" s="2">
        <v>1</v>
      </c>
      <c r="AW3947" s="2"/>
      <c r="AX3947" s="2"/>
      <c r="AY3947" s="2">
        <v>41</v>
      </c>
      <c r="AZ3947" s="2" t="s">
        <v>82</v>
      </c>
      <c r="BA3947" s="2">
        <v>41</v>
      </c>
      <c r="BB3947" s="2" t="s">
        <v>82</v>
      </c>
      <c r="BC3947" s="2">
        <v>41</v>
      </c>
      <c r="BD3947" s="2" t="s">
        <v>82</v>
      </c>
      <c r="BE3947" s="2">
        <v>31</v>
      </c>
      <c r="BF3947" s="2" t="s">
        <v>398</v>
      </c>
      <c r="BG3947" s="2" t="s">
        <v>722</v>
      </c>
      <c r="BH3947" s="2"/>
      <c r="BI3947" s="4">
        <v>0.9375</v>
      </c>
      <c r="BJ3947" s="2">
        <v>13</v>
      </c>
      <c r="BK3947" s="2" t="s">
        <v>91</v>
      </c>
      <c r="BL3947" s="2" t="s">
        <v>185</v>
      </c>
      <c r="BM3947" s="2">
        <v>73</v>
      </c>
      <c r="BN3947" s="2" t="s">
        <v>186</v>
      </c>
      <c r="BO3947" s="2"/>
      <c r="BP3947" s="2">
        <v>73</v>
      </c>
      <c r="BQ3947" s="2" t="s">
        <v>186</v>
      </c>
      <c r="BR3947" s="2" t="s">
        <v>187</v>
      </c>
      <c r="BS3947" s="3">
        <v>40448</v>
      </c>
      <c r="BT3947" s="4">
        <v>0.32040509259259259</v>
      </c>
    </row>
    <row r="3948" spans="1:72" x14ac:dyDescent="0.25">
      <c r="A3948" s="2">
        <v>5887</v>
      </c>
      <c r="B3948" s="2">
        <v>2010</v>
      </c>
      <c r="C3948" s="2" t="s">
        <v>385</v>
      </c>
      <c r="D3948" s="2" t="s">
        <v>122</v>
      </c>
      <c r="E3948" s="2" t="s">
        <v>12464</v>
      </c>
      <c r="F3948" s="2">
        <v>395</v>
      </c>
      <c r="G3948" s="2" t="s">
        <v>1076</v>
      </c>
      <c r="H3948" s="2">
        <v>6</v>
      </c>
      <c r="I3948" s="2" t="s">
        <v>1088</v>
      </c>
      <c r="J3948" s="2">
        <v>242</v>
      </c>
      <c r="K3948" s="2" t="s">
        <v>1077</v>
      </c>
      <c r="L3948" s="2" t="s">
        <v>1078</v>
      </c>
      <c r="M3948" s="3">
        <v>40448</v>
      </c>
      <c r="N3948" s="2" t="s">
        <v>7163</v>
      </c>
      <c r="O3948" s="2" t="s">
        <v>107</v>
      </c>
      <c r="P3948" s="2" t="s">
        <v>107</v>
      </c>
      <c r="Q3948" s="2" t="str">
        <f>"493-E/10"</f>
        <v>493-E/10</v>
      </c>
      <c r="R3948" s="2" t="s">
        <v>391</v>
      </c>
      <c r="S3948" s="2" t="s">
        <v>391</v>
      </c>
      <c r="T3948" s="2">
        <v>1</v>
      </c>
      <c r="U3948" s="2" t="s">
        <v>79</v>
      </c>
      <c r="V3948" s="2">
        <v>1</v>
      </c>
      <c r="W3948" s="2" t="s">
        <v>80</v>
      </c>
      <c r="X3948" s="2">
        <v>11</v>
      </c>
      <c r="Y3948" s="2" t="s">
        <v>1920</v>
      </c>
      <c r="Z3948" s="2">
        <v>1</v>
      </c>
      <c r="AA3948" s="2" t="s">
        <v>82</v>
      </c>
      <c r="AB3948" s="2">
        <v>9</v>
      </c>
      <c r="AC3948" s="2" t="s">
        <v>124</v>
      </c>
      <c r="AD3948" s="3">
        <v>40446</v>
      </c>
      <c r="AE3948" s="4">
        <v>0.86458333333333337</v>
      </c>
      <c r="AF3948" s="2"/>
      <c r="AG3948" s="2"/>
      <c r="AH3948" s="2">
        <v>2</v>
      </c>
      <c r="AI3948" s="2" t="s">
        <v>84</v>
      </c>
      <c r="AJ3948" s="2">
        <v>9</v>
      </c>
      <c r="AK3948" s="2" t="s">
        <v>103</v>
      </c>
      <c r="AL3948" s="2">
        <v>14</v>
      </c>
      <c r="AM3948" s="2" t="s">
        <v>216</v>
      </c>
      <c r="AN3948" s="2" t="s">
        <v>179</v>
      </c>
      <c r="AO3948" s="2" t="s">
        <v>82</v>
      </c>
      <c r="AP3948" s="2">
        <v>11</v>
      </c>
      <c r="AQ3948" s="2" t="s">
        <v>82</v>
      </c>
      <c r="AR3948" s="2"/>
      <c r="AS3948" s="2"/>
      <c r="AT3948" s="2" t="s">
        <v>12465</v>
      </c>
      <c r="AU3948" s="2"/>
      <c r="AV3948" s="2">
        <v>1</v>
      </c>
      <c r="AW3948" s="2"/>
      <c r="AX3948" s="2"/>
      <c r="AY3948" s="2">
        <v>41</v>
      </c>
      <c r="AZ3948" s="2" t="s">
        <v>82</v>
      </c>
      <c r="BA3948" s="2">
        <v>41</v>
      </c>
      <c r="BB3948" s="2" t="s">
        <v>82</v>
      </c>
      <c r="BC3948" s="2">
        <v>41</v>
      </c>
      <c r="BD3948" s="2" t="s">
        <v>82</v>
      </c>
      <c r="BE3948" s="2">
        <v>31</v>
      </c>
      <c r="BF3948" s="2" t="s">
        <v>398</v>
      </c>
      <c r="BG3948" s="2" t="s">
        <v>722</v>
      </c>
      <c r="BH3948" s="2"/>
      <c r="BI3948" s="4">
        <v>0.9375</v>
      </c>
      <c r="BJ3948" s="2">
        <v>13</v>
      </c>
      <c r="BK3948" s="2" t="s">
        <v>91</v>
      </c>
      <c r="BL3948" s="2" t="s">
        <v>185</v>
      </c>
      <c r="BM3948" s="2">
        <v>73</v>
      </c>
      <c r="BN3948" s="2" t="s">
        <v>186</v>
      </c>
      <c r="BO3948" s="2"/>
      <c r="BP3948" s="2">
        <v>73</v>
      </c>
      <c r="BQ3948" s="2" t="s">
        <v>186</v>
      </c>
      <c r="BR3948" s="2" t="s">
        <v>187</v>
      </c>
      <c r="BS3948" s="3">
        <v>40448</v>
      </c>
      <c r="BT3948" s="4">
        <v>0.32040509259259259</v>
      </c>
    </row>
    <row r="3949" spans="1:72" x14ac:dyDescent="0.25">
      <c r="A3949" s="2">
        <v>5888</v>
      </c>
      <c r="B3949" s="2">
        <v>2010</v>
      </c>
      <c r="C3949" s="2" t="s">
        <v>4543</v>
      </c>
      <c r="D3949" s="2" t="s">
        <v>122</v>
      </c>
      <c r="E3949" s="2"/>
      <c r="F3949" s="2">
        <v>1</v>
      </c>
      <c r="G3949" s="2" t="s">
        <v>82</v>
      </c>
      <c r="H3949" s="2">
        <v>1</v>
      </c>
      <c r="I3949" s="2" t="s">
        <v>82</v>
      </c>
      <c r="J3949" s="2">
        <v>1</v>
      </c>
      <c r="K3949" s="2" t="s">
        <v>107</v>
      </c>
      <c r="L3949" s="2" t="s">
        <v>107</v>
      </c>
      <c r="M3949" s="3">
        <v>40448</v>
      </c>
      <c r="N3949" s="2"/>
      <c r="O3949" s="2"/>
      <c r="P3949" s="2"/>
      <c r="Q3949" s="2" t="str">
        <f>""</f>
        <v/>
      </c>
      <c r="R3949" s="2"/>
      <c r="S3949" s="2"/>
      <c r="T3949" s="2">
        <v>2</v>
      </c>
      <c r="U3949" s="2" t="s">
        <v>123</v>
      </c>
      <c r="V3949" s="2">
        <v>1</v>
      </c>
      <c r="W3949" s="2" t="s">
        <v>80</v>
      </c>
      <c r="X3949" s="2">
        <v>11</v>
      </c>
      <c r="Y3949" s="2" t="s">
        <v>1920</v>
      </c>
      <c r="Z3949" s="2">
        <v>1</v>
      </c>
      <c r="AA3949" s="2" t="s">
        <v>82</v>
      </c>
      <c r="AB3949" s="2">
        <v>9</v>
      </c>
      <c r="AC3949" s="2" t="s">
        <v>124</v>
      </c>
      <c r="AD3949" s="3">
        <v>40448</v>
      </c>
      <c r="AE3949" s="4">
        <v>0.3520833333333333</v>
      </c>
      <c r="AF3949" s="2"/>
      <c r="AG3949" s="2"/>
      <c r="AH3949" s="2">
        <v>6</v>
      </c>
      <c r="AI3949" s="2" t="s">
        <v>197</v>
      </c>
      <c r="AJ3949" s="2">
        <v>54</v>
      </c>
      <c r="AK3949" s="2" t="s">
        <v>348</v>
      </c>
      <c r="AL3949" s="2">
        <v>19</v>
      </c>
      <c r="AM3949" s="2" t="s">
        <v>107</v>
      </c>
      <c r="AN3949" s="2" t="s">
        <v>595</v>
      </c>
      <c r="AO3949" s="2" t="s">
        <v>200</v>
      </c>
      <c r="AP3949" s="2">
        <v>12</v>
      </c>
      <c r="AQ3949" s="2" t="s">
        <v>322</v>
      </c>
      <c r="AR3949" s="2" t="s">
        <v>596</v>
      </c>
      <c r="AS3949" s="2" t="s">
        <v>596</v>
      </c>
      <c r="AT3949" s="2" t="s">
        <v>12466</v>
      </c>
      <c r="AU3949" s="2"/>
      <c r="AV3949" s="2"/>
      <c r="AW3949" s="2"/>
      <c r="AX3949" s="2"/>
      <c r="AY3949" s="2">
        <v>41</v>
      </c>
      <c r="AZ3949" s="2" t="s">
        <v>82</v>
      </c>
      <c r="BA3949" s="2">
        <v>41</v>
      </c>
      <c r="BB3949" s="2" t="s">
        <v>82</v>
      </c>
      <c r="BC3949" s="2">
        <v>41</v>
      </c>
      <c r="BD3949" s="2" t="s">
        <v>82</v>
      </c>
      <c r="BE3949" s="2">
        <v>47</v>
      </c>
      <c r="BF3949" s="2" t="s">
        <v>167</v>
      </c>
      <c r="BG3949" s="2" t="s">
        <v>1165</v>
      </c>
      <c r="BH3949" s="4">
        <v>0.97222222222222221</v>
      </c>
      <c r="BI3949" s="4">
        <v>0.34375</v>
      </c>
      <c r="BJ3949" s="2">
        <v>13</v>
      </c>
      <c r="BK3949" s="2" t="s">
        <v>91</v>
      </c>
      <c r="BL3949" s="2" t="s">
        <v>2769</v>
      </c>
      <c r="BM3949" s="2">
        <v>13</v>
      </c>
      <c r="BN3949" s="2" t="s">
        <v>91</v>
      </c>
      <c r="BO3949" s="2"/>
      <c r="BP3949" s="2">
        <v>13</v>
      </c>
      <c r="BQ3949" s="2" t="s">
        <v>91</v>
      </c>
      <c r="BR3949" s="2" t="s">
        <v>2168</v>
      </c>
      <c r="BS3949" s="3">
        <v>40448</v>
      </c>
      <c r="BT3949" s="4">
        <v>0.36319444444444443</v>
      </c>
    </row>
    <row r="3950" spans="1:72" x14ac:dyDescent="0.25">
      <c r="A3950" s="2">
        <v>5895</v>
      </c>
      <c r="B3950" s="2">
        <v>2010</v>
      </c>
      <c r="C3950" s="2" t="s">
        <v>4543</v>
      </c>
      <c r="D3950" s="2" t="s">
        <v>122</v>
      </c>
      <c r="E3950" s="2"/>
      <c r="F3950" s="2">
        <v>1</v>
      </c>
      <c r="G3950" s="2" t="s">
        <v>82</v>
      </c>
      <c r="H3950" s="2">
        <v>1</v>
      </c>
      <c r="I3950" s="2" t="s">
        <v>82</v>
      </c>
      <c r="J3950" s="2">
        <v>1</v>
      </c>
      <c r="K3950" s="2" t="s">
        <v>107</v>
      </c>
      <c r="L3950" s="2" t="s">
        <v>107</v>
      </c>
      <c r="M3950" s="3">
        <v>40448</v>
      </c>
      <c r="N3950" s="2" t="s">
        <v>82</v>
      </c>
      <c r="O3950" s="2" t="s">
        <v>82</v>
      </c>
      <c r="P3950" s="2" t="s">
        <v>82</v>
      </c>
      <c r="Q3950" s="2" t="str">
        <f>"N/C"</f>
        <v>N/C</v>
      </c>
      <c r="R3950" s="2" t="s">
        <v>82</v>
      </c>
      <c r="S3950" s="2" t="s">
        <v>82</v>
      </c>
      <c r="T3950" s="2">
        <v>2</v>
      </c>
      <c r="U3950" s="2" t="s">
        <v>123</v>
      </c>
      <c r="V3950" s="2">
        <v>1</v>
      </c>
      <c r="W3950" s="2" t="s">
        <v>80</v>
      </c>
      <c r="X3950" s="2">
        <v>11</v>
      </c>
      <c r="Y3950" s="2" t="s">
        <v>1920</v>
      </c>
      <c r="Z3950" s="2">
        <v>10</v>
      </c>
      <c r="AA3950" s="2" t="s">
        <v>236</v>
      </c>
      <c r="AB3950" s="2">
        <v>9</v>
      </c>
      <c r="AC3950" s="2" t="s">
        <v>124</v>
      </c>
      <c r="AD3950" s="3">
        <v>40448</v>
      </c>
      <c r="AE3950" s="4">
        <v>0.47916666666666669</v>
      </c>
      <c r="AF3950" s="2"/>
      <c r="AG3950" s="2"/>
      <c r="AH3950" s="2">
        <v>6</v>
      </c>
      <c r="AI3950" s="2" t="s">
        <v>197</v>
      </c>
      <c r="AJ3950" s="2">
        <v>54</v>
      </c>
      <c r="AK3950" s="2" t="s">
        <v>348</v>
      </c>
      <c r="AL3950" s="2">
        <v>22</v>
      </c>
      <c r="AM3950" s="2" t="s">
        <v>1853</v>
      </c>
      <c r="AN3950" s="2" t="s">
        <v>12467</v>
      </c>
      <c r="AO3950" s="2" t="s">
        <v>200</v>
      </c>
      <c r="AP3950" s="2">
        <v>12</v>
      </c>
      <c r="AQ3950" s="2" t="s">
        <v>322</v>
      </c>
      <c r="AR3950" s="2" t="s">
        <v>1261</v>
      </c>
      <c r="AS3950" s="2" t="s">
        <v>1261</v>
      </c>
      <c r="AT3950" s="2" t="s">
        <v>12468</v>
      </c>
      <c r="AU3950" s="2"/>
      <c r="AV3950" s="2"/>
      <c r="AW3950" s="2"/>
      <c r="AX3950" s="2"/>
      <c r="AY3950" s="2">
        <v>41</v>
      </c>
      <c r="AZ3950" s="2" t="s">
        <v>82</v>
      </c>
      <c r="BA3950" s="2">
        <v>41</v>
      </c>
      <c r="BB3950" s="2" t="s">
        <v>82</v>
      </c>
      <c r="BC3950" s="2">
        <v>47</v>
      </c>
      <c r="BD3950" s="2" t="s">
        <v>167</v>
      </c>
      <c r="BE3950" s="2">
        <v>47</v>
      </c>
      <c r="BF3950" s="2" t="s">
        <v>167</v>
      </c>
      <c r="BG3950" s="2">
        <v>2832</v>
      </c>
      <c r="BH3950" s="4">
        <v>0.43263888888888885</v>
      </c>
      <c r="BI3950" s="4">
        <v>0.47916666666666669</v>
      </c>
      <c r="BJ3950" s="2">
        <v>13</v>
      </c>
      <c r="BK3950" s="2" t="s">
        <v>91</v>
      </c>
      <c r="BL3950" s="2" t="s">
        <v>12363</v>
      </c>
      <c r="BM3950" s="2">
        <v>13</v>
      </c>
      <c r="BN3950" s="2" t="s">
        <v>91</v>
      </c>
      <c r="BO3950" s="2"/>
      <c r="BP3950" s="2">
        <v>13</v>
      </c>
      <c r="BQ3950" s="2" t="s">
        <v>91</v>
      </c>
      <c r="BR3950" s="2" t="s">
        <v>3520</v>
      </c>
      <c r="BS3950" s="3">
        <v>40448</v>
      </c>
      <c r="BT3950" s="4">
        <v>0.67085648148148147</v>
      </c>
    </row>
    <row r="3951" spans="1:72" x14ac:dyDescent="0.25">
      <c r="A3951" s="2">
        <v>5896</v>
      </c>
      <c r="B3951" s="2">
        <v>2010</v>
      </c>
      <c r="C3951" s="2" t="s">
        <v>171</v>
      </c>
      <c r="D3951" s="2" t="s">
        <v>73</v>
      </c>
      <c r="E3951" s="2" t="s">
        <v>12469</v>
      </c>
      <c r="F3951" s="2">
        <v>451</v>
      </c>
      <c r="G3951" s="2" t="s">
        <v>879</v>
      </c>
      <c r="H3951" s="2">
        <v>31</v>
      </c>
      <c r="I3951" s="2" t="s">
        <v>880</v>
      </c>
      <c r="J3951" s="2">
        <v>326</v>
      </c>
      <c r="K3951" s="2" t="s">
        <v>881</v>
      </c>
      <c r="L3951" s="2" t="s">
        <v>882</v>
      </c>
      <c r="M3951" s="3">
        <v>40448</v>
      </c>
      <c r="N3951" s="2" t="s">
        <v>1072</v>
      </c>
      <c r="O3951" s="2" t="s">
        <v>7774</v>
      </c>
      <c r="P3951" s="2" t="s">
        <v>12470</v>
      </c>
      <c r="Q3951" s="2" t="str">
        <f>"094/10"</f>
        <v>094/10</v>
      </c>
      <c r="R3951" s="2"/>
      <c r="S3951" s="2" t="s">
        <v>822</v>
      </c>
      <c r="T3951" s="2">
        <v>1</v>
      </c>
      <c r="U3951" s="2" t="s">
        <v>79</v>
      </c>
      <c r="V3951" s="2">
        <v>1</v>
      </c>
      <c r="W3951" s="2" t="s">
        <v>80</v>
      </c>
      <c r="X3951" s="2">
        <v>1</v>
      </c>
      <c r="Y3951" s="2" t="s">
        <v>81</v>
      </c>
      <c r="Z3951" s="2">
        <v>1</v>
      </c>
      <c r="AA3951" s="2" t="s">
        <v>82</v>
      </c>
      <c r="AB3951" s="2">
        <v>1</v>
      </c>
      <c r="AC3951" s="2" t="s">
        <v>178</v>
      </c>
      <c r="AD3951" s="3">
        <v>40448</v>
      </c>
      <c r="AE3951" s="4">
        <v>0.61805555555555558</v>
      </c>
      <c r="AF3951" s="2"/>
      <c r="AG3951" s="2"/>
      <c r="AH3951" s="2">
        <v>4</v>
      </c>
      <c r="AI3951" s="2" t="s">
        <v>125</v>
      </c>
      <c r="AJ3951" s="2">
        <v>29</v>
      </c>
      <c r="AK3951" s="2" t="s">
        <v>227</v>
      </c>
      <c r="AL3951" s="2">
        <v>16</v>
      </c>
      <c r="AM3951" s="2" t="s">
        <v>392</v>
      </c>
      <c r="AN3951" s="2"/>
      <c r="AO3951" s="2" t="s">
        <v>9764</v>
      </c>
      <c r="AP3951" s="2">
        <v>12</v>
      </c>
      <c r="AQ3951" s="2" t="s">
        <v>322</v>
      </c>
      <c r="AR3951" s="2" t="s">
        <v>824</v>
      </c>
      <c r="AS3951" s="2" t="s">
        <v>884</v>
      </c>
      <c r="AT3951" s="2" t="s">
        <v>12471</v>
      </c>
      <c r="AU3951" s="2"/>
      <c r="AV3951" s="2"/>
      <c r="AW3951" s="2"/>
      <c r="AX3951" s="2"/>
      <c r="AY3951" s="2">
        <v>41</v>
      </c>
      <c r="AZ3951" s="2" t="s">
        <v>82</v>
      </c>
      <c r="BA3951" s="2">
        <v>41</v>
      </c>
      <c r="BB3951" s="2" t="s">
        <v>82</v>
      </c>
      <c r="BC3951" s="2">
        <v>41</v>
      </c>
      <c r="BD3951" s="2" t="s">
        <v>82</v>
      </c>
      <c r="BE3951" s="2">
        <v>13</v>
      </c>
      <c r="BF3951" s="2" t="s">
        <v>108</v>
      </c>
      <c r="BG3951" s="2">
        <v>1459</v>
      </c>
      <c r="BH3951" s="4">
        <v>0.89583333333333337</v>
      </c>
      <c r="BI3951" s="4">
        <v>0.93055555555555547</v>
      </c>
      <c r="BJ3951" s="2">
        <v>13</v>
      </c>
      <c r="BK3951" s="2" t="s">
        <v>91</v>
      </c>
      <c r="BL3951" s="2" t="s">
        <v>828</v>
      </c>
      <c r="BM3951" s="2">
        <v>13</v>
      </c>
      <c r="BN3951" s="2" t="s">
        <v>91</v>
      </c>
      <c r="BO3951" s="2"/>
      <c r="BP3951" s="2">
        <v>13</v>
      </c>
      <c r="BQ3951" s="2" t="s">
        <v>91</v>
      </c>
      <c r="BR3951" s="2" t="s">
        <v>185</v>
      </c>
      <c r="BS3951" s="3">
        <v>40448</v>
      </c>
      <c r="BT3951" s="4">
        <v>0.67387731481481483</v>
      </c>
    </row>
    <row r="3952" spans="1:72" x14ac:dyDescent="0.25">
      <c r="A3952" s="2">
        <v>5901</v>
      </c>
      <c r="B3952" s="2">
        <v>2010</v>
      </c>
      <c r="C3952" s="2" t="s">
        <v>806</v>
      </c>
      <c r="D3952" s="2" t="s">
        <v>73</v>
      </c>
      <c r="E3952" s="2"/>
      <c r="F3952" s="2">
        <v>52</v>
      </c>
      <c r="G3952" s="2" t="s">
        <v>2963</v>
      </c>
      <c r="H3952" s="2">
        <v>61</v>
      </c>
      <c r="I3952" s="2" t="s">
        <v>3043</v>
      </c>
      <c r="J3952" s="2">
        <v>516</v>
      </c>
      <c r="K3952" s="2" t="s">
        <v>5138</v>
      </c>
      <c r="L3952" s="2" t="s">
        <v>5139</v>
      </c>
      <c r="M3952" s="3">
        <v>40448</v>
      </c>
      <c r="N3952" s="2" t="s">
        <v>12472</v>
      </c>
      <c r="O3952" s="2" t="s">
        <v>11584</v>
      </c>
      <c r="P3952" s="2" t="s">
        <v>12473</v>
      </c>
      <c r="Q3952" s="2" t="str">
        <f>""</f>
        <v/>
      </c>
      <c r="R3952" s="2"/>
      <c r="S3952" s="2"/>
      <c r="T3952" s="2">
        <v>1</v>
      </c>
      <c r="U3952" s="2" t="s">
        <v>79</v>
      </c>
      <c r="V3952" s="2">
        <v>1</v>
      </c>
      <c r="W3952" s="2" t="s">
        <v>80</v>
      </c>
      <c r="X3952" s="2">
        <v>7</v>
      </c>
      <c r="Y3952" s="2" t="s">
        <v>1964</v>
      </c>
      <c r="Z3952" s="2">
        <v>1</v>
      </c>
      <c r="AA3952" s="2" t="s">
        <v>82</v>
      </c>
      <c r="AB3952" s="2">
        <v>9</v>
      </c>
      <c r="AC3952" s="2" t="s">
        <v>124</v>
      </c>
      <c r="AD3952" s="3">
        <v>40445</v>
      </c>
      <c r="AE3952" s="4">
        <v>0.75</v>
      </c>
      <c r="AF3952" s="2"/>
      <c r="AG3952" s="4">
        <v>0.46527777777777773</v>
      </c>
      <c r="AH3952" s="2">
        <v>7</v>
      </c>
      <c r="AI3952" s="2" t="s">
        <v>801</v>
      </c>
      <c r="AJ3952" s="2">
        <v>4</v>
      </c>
      <c r="AK3952" s="2" t="s">
        <v>2397</v>
      </c>
      <c r="AL3952" s="2">
        <v>23</v>
      </c>
      <c r="AM3952" s="2" t="s">
        <v>251</v>
      </c>
      <c r="AN3952" s="2"/>
      <c r="AO3952" s="2" t="s">
        <v>12474</v>
      </c>
      <c r="AP3952" s="2">
        <v>11</v>
      </c>
      <c r="AQ3952" s="2" t="s">
        <v>82</v>
      </c>
      <c r="AR3952" s="2"/>
      <c r="AS3952" s="2"/>
      <c r="AT3952" s="2" t="s">
        <v>12475</v>
      </c>
      <c r="AU3952" s="2">
        <v>1</v>
      </c>
      <c r="AV3952" s="2"/>
      <c r="AW3952" s="2"/>
      <c r="AX3952" s="2"/>
      <c r="AY3952" s="2">
        <v>41</v>
      </c>
      <c r="AZ3952" s="2" t="s">
        <v>82</v>
      </c>
      <c r="BA3952" s="2">
        <v>41</v>
      </c>
      <c r="BB3952" s="2" t="s">
        <v>82</v>
      </c>
      <c r="BC3952" s="2">
        <v>41</v>
      </c>
      <c r="BD3952" s="2" t="s">
        <v>82</v>
      </c>
      <c r="BE3952" s="2">
        <v>41</v>
      </c>
      <c r="BF3952" s="2" t="s">
        <v>82</v>
      </c>
      <c r="BG3952" s="2"/>
      <c r="BH3952" s="2"/>
      <c r="BI3952" s="2"/>
      <c r="BJ3952" s="2">
        <v>241</v>
      </c>
      <c r="BK3952" s="2" t="s">
        <v>82</v>
      </c>
      <c r="BL3952" s="2"/>
      <c r="BM3952" s="2">
        <v>241</v>
      </c>
      <c r="BN3952" s="2" t="s">
        <v>82</v>
      </c>
      <c r="BO3952" s="2"/>
      <c r="BP3952" s="2">
        <v>241</v>
      </c>
      <c r="BQ3952" s="2" t="s">
        <v>82</v>
      </c>
      <c r="BR3952" s="2"/>
      <c r="BS3952" s="3">
        <v>40448</v>
      </c>
      <c r="BT3952" s="4">
        <v>0.71531250000000002</v>
      </c>
    </row>
    <row r="3953" spans="1:72" x14ac:dyDescent="0.25">
      <c r="A3953" s="2">
        <v>5902</v>
      </c>
      <c r="B3953" s="2">
        <v>2010</v>
      </c>
      <c r="C3953" s="2" t="s">
        <v>414</v>
      </c>
      <c r="D3953" s="2" t="s">
        <v>122</v>
      </c>
      <c r="E3953" s="2"/>
      <c r="F3953" s="2">
        <v>1</v>
      </c>
      <c r="G3953" s="2" t="s">
        <v>82</v>
      </c>
      <c r="H3953" s="2">
        <v>1</v>
      </c>
      <c r="I3953" s="2" t="s">
        <v>82</v>
      </c>
      <c r="J3953" s="2">
        <v>1</v>
      </c>
      <c r="K3953" s="2" t="s">
        <v>107</v>
      </c>
      <c r="L3953" s="2" t="s">
        <v>107</v>
      </c>
      <c r="M3953" s="3">
        <v>40448</v>
      </c>
      <c r="N3953" s="2"/>
      <c r="O3953" s="2"/>
      <c r="P3953" s="2"/>
      <c r="Q3953" s="2" t="str">
        <f>""</f>
        <v/>
      </c>
      <c r="R3953" s="2"/>
      <c r="S3953" s="2"/>
      <c r="T3953" s="2">
        <v>1</v>
      </c>
      <c r="U3953" s="2" t="s">
        <v>79</v>
      </c>
      <c r="V3953" s="2">
        <v>1</v>
      </c>
      <c r="W3953" s="2" t="s">
        <v>80</v>
      </c>
      <c r="X3953" s="2">
        <v>1</v>
      </c>
      <c r="Y3953" s="2" t="s">
        <v>81</v>
      </c>
      <c r="Z3953" s="2">
        <v>10</v>
      </c>
      <c r="AA3953" s="2" t="s">
        <v>236</v>
      </c>
      <c r="AB3953" s="2">
        <v>9</v>
      </c>
      <c r="AC3953" s="2" t="s">
        <v>124</v>
      </c>
      <c r="AD3953" s="3">
        <v>40448</v>
      </c>
      <c r="AE3953" s="4">
        <v>0.75</v>
      </c>
      <c r="AF3953" s="3">
        <v>40448</v>
      </c>
      <c r="AG3953" s="2"/>
      <c r="AH3953" s="2">
        <v>2</v>
      </c>
      <c r="AI3953" s="2" t="s">
        <v>84</v>
      </c>
      <c r="AJ3953" s="2">
        <v>12</v>
      </c>
      <c r="AK3953" s="2" t="s">
        <v>85</v>
      </c>
      <c r="AL3953" s="2">
        <v>12</v>
      </c>
      <c r="AM3953" s="2" t="s">
        <v>86</v>
      </c>
      <c r="AN3953" s="2" t="s">
        <v>12476</v>
      </c>
      <c r="AO3953" s="2" t="s">
        <v>12477</v>
      </c>
      <c r="AP3953" s="2">
        <v>11</v>
      </c>
      <c r="AQ3953" s="2" t="s">
        <v>82</v>
      </c>
      <c r="AR3953" s="2"/>
      <c r="AS3953" s="2"/>
      <c r="AT3953" s="2" t="s">
        <v>12478</v>
      </c>
      <c r="AU3953" s="2"/>
      <c r="AV3953" s="2"/>
      <c r="AW3953" s="2"/>
      <c r="AX3953" s="2"/>
      <c r="AY3953" s="2">
        <v>41</v>
      </c>
      <c r="AZ3953" s="2" t="s">
        <v>82</v>
      </c>
      <c r="BA3953" s="2">
        <v>41</v>
      </c>
      <c r="BB3953" s="2" t="s">
        <v>82</v>
      </c>
      <c r="BC3953" s="2">
        <v>41</v>
      </c>
      <c r="BD3953" s="2" t="s">
        <v>82</v>
      </c>
      <c r="BE3953" s="2">
        <v>41</v>
      </c>
      <c r="BF3953" s="2" t="s">
        <v>82</v>
      </c>
      <c r="BG3953" s="2"/>
      <c r="BH3953" s="2"/>
      <c r="BI3953" s="2"/>
      <c r="BJ3953" s="2">
        <v>241</v>
      </c>
      <c r="BK3953" s="2" t="s">
        <v>82</v>
      </c>
      <c r="BL3953" s="2"/>
      <c r="BM3953" s="2">
        <v>241</v>
      </c>
      <c r="BN3953" s="2" t="s">
        <v>82</v>
      </c>
      <c r="BO3953" s="2"/>
      <c r="BP3953" s="2">
        <v>241</v>
      </c>
      <c r="BQ3953" s="2" t="s">
        <v>82</v>
      </c>
      <c r="BR3953" s="2"/>
      <c r="BS3953" s="3">
        <v>40448</v>
      </c>
      <c r="BT3953" s="4">
        <v>0.79599537037037038</v>
      </c>
    </row>
    <row r="3954" spans="1:72" x14ac:dyDescent="0.25">
      <c r="A3954" s="2">
        <v>5904</v>
      </c>
      <c r="B3954" s="2">
        <v>2010</v>
      </c>
      <c r="C3954" s="2" t="s">
        <v>255</v>
      </c>
      <c r="D3954" s="2" t="s">
        <v>73</v>
      </c>
      <c r="E3954" s="2"/>
      <c r="F3954" s="2">
        <v>279</v>
      </c>
      <c r="G3954" s="2" t="s">
        <v>4464</v>
      </c>
      <c r="H3954" s="2">
        <v>22</v>
      </c>
      <c r="I3954" s="2" t="s">
        <v>75</v>
      </c>
      <c r="J3954" s="2">
        <v>284</v>
      </c>
      <c r="K3954" s="2" t="s">
        <v>4465</v>
      </c>
      <c r="L3954" s="2" t="s">
        <v>4466</v>
      </c>
      <c r="M3954" s="3">
        <v>40448</v>
      </c>
      <c r="N3954" s="2" t="s">
        <v>12479</v>
      </c>
      <c r="O3954" s="2" t="s">
        <v>947</v>
      </c>
      <c r="P3954" s="2"/>
      <c r="Q3954" s="2" t="str">
        <f>"010/2010"</f>
        <v>010/2010</v>
      </c>
      <c r="R3954" s="2" t="s">
        <v>947</v>
      </c>
      <c r="S3954" s="2" t="s">
        <v>947</v>
      </c>
      <c r="T3954" s="2">
        <v>1</v>
      </c>
      <c r="U3954" s="2" t="s">
        <v>79</v>
      </c>
      <c r="V3954" s="2">
        <v>1</v>
      </c>
      <c r="W3954" s="2" t="s">
        <v>80</v>
      </c>
      <c r="X3954" s="2">
        <v>1</v>
      </c>
      <c r="Y3954" s="2" t="s">
        <v>81</v>
      </c>
      <c r="Z3954" s="2">
        <v>1</v>
      </c>
      <c r="AA3954" s="2" t="s">
        <v>82</v>
      </c>
      <c r="AB3954" s="2">
        <v>9</v>
      </c>
      <c r="AC3954" s="2" t="s">
        <v>124</v>
      </c>
      <c r="AD3954" s="3">
        <v>40448</v>
      </c>
      <c r="AE3954" s="2"/>
      <c r="AF3954" s="2"/>
      <c r="AG3954" s="2"/>
      <c r="AH3954" s="2">
        <v>3</v>
      </c>
      <c r="AI3954" s="2" t="s">
        <v>214</v>
      </c>
      <c r="AJ3954" s="2">
        <v>18</v>
      </c>
      <c r="AK3954" s="2" t="s">
        <v>4469</v>
      </c>
      <c r="AL3954" s="2">
        <v>9</v>
      </c>
      <c r="AM3954" s="2" t="s">
        <v>259</v>
      </c>
      <c r="AN3954" s="2" t="s">
        <v>12480</v>
      </c>
      <c r="AO3954" s="2"/>
      <c r="AP3954" s="2">
        <v>11</v>
      </c>
      <c r="AQ3954" s="2" t="s">
        <v>82</v>
      </c>
      <c r="AR3954" s="2"/>
      <c r="AS3954" s="2"/>
      <c r="AT3954" s="2" t="s">
        <v>12481</v>
      </c>
      <c r="AU3954" s="2"/>
      <c r="AV3954" s="2"/>
      <c r="AW3954" s="2"/>
      <c r="AX3954" s="2"/>
      <c r="AY3954" s="2">
        <v>44</v>
      </c>
      <c r="AZ3954" s="2" t="s">
        <v>262</v>
      </c>
      <c r="BA3954" s="2">
        <v>41</v>
      </c>
      <c r="BB3954" s="2" t="s">
        <v>82</v>
      </c>
      <c r="BC3954" s="2">
        <v>41</v>
      </c>
      <c r="BD3954" s="2" t="s">
        <v>82</v>
      </c>
      <c r="BE3954" s="2">
        <v>41</v>
      </c>
      <c r="BF3954" s="2" t="s">
        <v>82</v>
      </c>
      <c r="BG3954" s="2"/>
      <c r="BH3954" s="2"/>
      <c r="BI3954" s="2"/>
      <c r="BJ3954" s="2">
        <v>241</v>
      </c>
      <c r="BK3954" s="2" t="s">
        <v>82</v>
      </c>
      <c r="BL3954" s="2"/>
      <c r="BM3954" s="2">
        <v>241</v>
      </c>
      <c r="BN3954" s="2" t="s">
        <v>82</v>
      </c>
      <c r="BO3954" s="2"/>
      <c r="BP3954" s="2">
        <v>241</v>
      </c>
      <c r="BQ3954" s="2" t="s">
        <v>82</v>
      </c>
      <c r="BR3954" s="2"/>
      <c r="BS3954" s="3">
        <v>40448</v>
      </c>
      <c r="BT3954" s="4">
        <v>0.85731481481481486</v>
      </c>
    </row>
    <row r="3955" spans="1:72" x14ac:dyDescent="0.25">
      <c r="A3955" s="2">
        <v>5905</v>
      </c>
      <c r="B3955" s="2">
        <v>2010</v>
      </c>
      <c r="C3955" s="2" t="s">
        <v>128</v>
      </c>
      <c r="D3955" s="2" t="s">
        <v>73</v>
      </c>
      <c r="E3955" s="2"/>
      <c r="F3955" s="2">
        <v>3</v>
      </c>
      <c r="G3955" s="2" t="s">
        <v>1041</v>
      </c>
      <c r="H3955" s="2">
        <v>22</v>
      </c>
      <c r="I3955" s="2" t="s">
        <v>75</v>
      </c>
      <c r="J3955" s="2">
        <v>368</v>
      </c>
      <c r="K3955" s="2" t="s">
        <v>1042</v>
      </c>
      <c r="L3955" s="2" t="s">
        <v>1043</v>
      </c>
      <c r="M3955" s="3">
        <v>40448</v>
      </c>
      <c r="N3955" s="2"/>
      <c r="O3955" s="2"/>
      <c r="P3955" s="2"/>
      <c r="Q3955" s="2" t="str">
        <f>"495-E/10"</f>
        <v>495-E/10</v>
      </c>
      <c r="R3955" s="2" t="s">
        <v>12482</v>
      </c>
      <c r="S3955" s="2" t="s">
        <v>12482</v>
      </c>
      <c r="T3955" s="2">
        <v>1</v>
      </c>
      <c r="U3955" s="2" t="s">
        <v>79</v>
      </c>
      <c r="V3955" s="2">
        <v>1</v>
      </c>
      <c r="W3955" s="2" t="s">
        <v>80</v>
      </c>
      <c r="X3955" s="2">
        <v>12</v>
      </c>
      <c r="Y3955" s="2" t="s">
        <v>148</v>
      </c>
      <c r="Z3955" s="2">
        <v>1</v>
      </c>
      <c r="AA3955" s="2" t="s">
        <v>82</v>
      </c>
      <c r="AB3955" s="2">
        <v>9</v>
      </c>
      <c r="AC3955" s="2" t="s">
        <v>124</v>
      </c>
      <c r="AD3955" s="2"/>
      <c r="AE3955" s="2"/>
      <c r="AF3955" s="3">
        <v>40447</v>
      </c>
      <c r="AG3955" s="4">
        <v>0.95138888888888884</v>
      </c>
      <c r="AH3955" s="2">
        <v>2</v>
      </c>
      <c r="AI3955" s="2" t="s">
        <v>84</v>
      </c>
      <c r="AJ3955" s="2">
        <v>9</v>
      </c>
      <c r="AK3955" s="2" t="s">
        <v>103</v>
      </c>
      <c r="AL3955" s="2">
        <v>24</v>
      </c>
      <c r="AM3955" s="2" t="s">
        <v>1540</v>
      </c>
      <c r="AN3955" s="2"/>
      <c r="AO3955" s="2" t="s">
        <v>12483</v>
      </c>
      <c r="AP3955" s="2">
        <v>11</v>
      </c>
      <c r="AQ3955" s="2" t="s">
        <v>82</v>
      </c>
      <c r="AR3955" s="2"/>
      <c r="AS3955" s="2"/>
      <c r="AT3955" s="2" t="s">
        <v>12484</v>
      </c>
      <c r="AU3955" s="2"/>
      <c r="AV3955" s="2"/>
      <c r="AW3955" s="2"/>
      <c r="AX3955" s="2"/>
      <c r="AY3955" s="2">
        <v>41</v>
      </c>
      <c r="AZ3955" s="2" t="s">
        <v>82</v>
      </c>
      <c r="BA3955" s="2">
        <v>41</v>
      </c>
      <c r="BB3955" s="2" t="s">
        <v>82</v>
      </c>
      <c r="BC3955" s="2">
        <v>41</v>
      </c>
      <c r="BD3955" s="2" t="s">
        <v>82</v>
      </c>
      <c r="BE3955" s="2">
        <v>41</v>
      </c>
      <c r="BF3955" s="2" t="s">
        <v>82</v>
      </c>
      <c r="BG3955" s="2"/>
      <c r="BH3955" s="2"/>
      <c r="BI3955" s="2"/>
      <c r="BJ3955" s="2">
        <v>241</v>
      </c>
      <c r="BK3955" s="2" t="s">
        <v>82</v>
      </c>
      <c r="BL3955" s="2"/>
      <c r="BM3955" s="2">
        <v>241</v>
      </c>
      <c r="BN3955" s="2" t="s">
        <v>82</v>
      </c>
      <c r="BO3955" s="2"/>
      <c r="BP3955" s="2">
        <v>241</v>
      </c>
      <c r="BQ3955" s="2" t="s">
        <v>82</v>
      </c>
      <c r="BR3955" s="2"/>
      <c r="BS3955" s="3">
        <v>40448</v>
      </c>
      <c r="BT3955" s="4">
        <v>0.88252314814814825</v>
      </c>
    </row>
    <row r="3956" spans="1:72" x14ac:dyDescent="0.25">
      <c r="A3956" s="2">
        <v>5906</v>
      </c>
      <c r="B3956" s="2">
        <v>2010</v>
      </c>
      <c r="C3956" s="2" t="s">
        <v>72</v>
      </c>
      <c r="D3956" s="2" t="s">
        <v>73</v>
      </c>
      <c r="E3956" s="2"/>
      <c r="F3956" s="2">
        <v>219</v>
      </c>
      <c r="G3956" s="2" t="s">
        <v>2325</v>
      </c>
      <c r="H3956" s="2">
        <v>22</v>
      </c>
      <c r="I3956" s="2" t="s">
        <v>75</v>
      </c>
      <c r="J3956" s="2">
        <v>665</v>
      </c>
      <c r="K3956" s="2" t="s">
        <v>12146</v>
      </c>
      <c r="L3956" s="2" t="s">
        <v>12147</v>
      </c>
      <c r="M3956" s="3">
        <v>40448</v>
      </c>
      <c r="N3956" s="2" t="s">
        <v>395</v>
      </c>
      <c r="O3956" s="2"/>
      <c r="P3956" s="2"/>
      <c r="Q3956" s="2" t="str">
        <f>"385-A/10"</f>
        <v>385-A/10</v>
      </c>
      <c r="R3956" s="2" t="s">
        <v>156</v>
      </c>
      <c r="S3956" s="2" t="s">
        <v>156</v>
      </c>
      <c r="T3956" s="2">
        <v>1</v>
      </c>
      <c r="U3956" s="2" t="s">
        <v>79</v>
      </c>
      <c r="V3956" s="2">
        <v>1</v>
      </c>
      <c r="W3956" s="2" t="s">
        <v>80</v>
      </c>
      <c r="X3956" s="2">
        <v>12</v>
      </c>
      <c r="Y3956" s="2" t="s">
        <v>148</v>
      </c>
      <c r="Z3956" s="2">
        <v>1</v>
      </c>
      <c r="AA3956" s="2" t="s">
        <v>82</v>
      </c>
      <c r="AB3956" s="2">
        <v>6</v>
      </c>
      <c r="AC3956" s="2" t="s">
        <v>83</v>
      </c>
      <c r="AD3956" s="3">
        <v>40446</v>
      </c>
      <c r="AE3956" s="2"/>
      <c r="AF3956" s="3">
        <v>40448</v>
      </c>
      <c r="AG3956" s="4">
        <v>0.85763888888888884</v>
      </c>
      <c r="AH3956" s="2">
        <v>2</v>
      </c>
      <c r="AI3956" s="2" t="s">
        <v>84</v>
      </c>
      <c r="AJ3956" s="2">
        <v>12</v>
      </c>
      <c r="AK3956" s="2" t="s">
        <v>85</v>
      </c>
      <c r="AL3956" s="2">
        <v>22</v>
      </c>
      <c r="AM3956" s="2" t="s">
        <v>1853</v>
      </c>
      <c r="AN3956" s="2"/>
      <c r="AO3956" s="2" t="s">
        <v>12485</v>
      </c>
      <c r="AP3956" s="2">
        <v>11</v>
      </c>
      <c r="AQ3956" s="2" t="s">
        <v>82</v>
      </c>
      <c r="AR3956" s="2"/>
      <c r="AS3956" s="2"/>
      <c r="AT3956" s="2" t="s">
        <v>12486</v>
      </c>
      <c r="AU3956" s="2"/>
      <c r="AV3956" s="2"/>
      <c r="AW3956" s="2"/>
      <c r="AX3956" s="2"/>
      <c r="AY3956" s="2">
        <v>41</v>
      </c>
      <c r="AZ3956" s="2" t="s">
        <v>82</v>
      </c>
      <c r="BA3956" s="2">
        <v>41</v>
      </c>
      <c r="BB3956" s="2" t="s">
        <v>82</v>
      </c>
      <c r="BC3956" s="2">
        <v>4</v>
      </c>
      <c r="BD3956" s="2" t="s">
        <v>90</v>
      </c>
      <c r="BE3956" s="2">
        <v>4</v>
      </c>
      <c r="BF3956" s="2" t="s">
        <v>90</v>
      </c>
      <c r="BG3956" s="2" t="s">
        <v>12487</v>
      </c>
      <c r="BH3956" s="4">
        <v>0.45833333333333331</v>
      </c>
      <c r="BI3956" s="2"/>
      <c r="BJ3956" s="2">
        <v>13</v>
      </c>
      <c r="BK3956" s="2" t="s">
        <v>91</v>
      </c>
      <c r="BL3956" s="2" t="s">
        <v>564</v>
      </c>
      <c r="BM3956" s="2">
        <v>13</v>
      </c>
      <c r="BN3956" s="2" t="s">
        <v>91</v>
      </c>
      <c r="BO3956" s="2"/>
      <c r="BP3956" s="2">
        <v>13</v>
      </c>
      <c r="BQ3956" s="2" t="s">
        <v>91</v>
      </c>
      <c r="BR3956" s="2" t="s">
        <v>92</v>
      </c>
      <c r="BS3956" s="3">
        <v>40448</v>
      </c>
      <c r="BT3956" s="4">
        <v>0.91424768518518518</v>
      </c>
    </row>
    <row r="3957" spans="1:72" x14ac:dyDescent="0.25">
      <c r="A3957" s="2">
        <v>5907</v>
      </c>
      <c r="B3957" s="2">
        <v>2010</v>
      </c>
      <c r="C3957" s="2" t="s">
        <v>4543</v>
      </c>
      <c r="D3957" s="2" t="s">
        <v>122</v>
      </c>
      <c r="E3957" s="2"/>
      <c r="F3957" s="2">
        <v>1</v>
      </c>
      <c r="G3957" s="2" t="s">
        <v>82</v>
      </c>
      <c r="H3957" s="2">
        <v>1</v>
      </c>
      <c r="I3957" s="2" t="s">
        <v>82</v>
      </c>
      <c r="J3957" s="2">
        <v>1</v>
      </c>
      <c r="K3957" s="2" t="s">
        <v>107</v>
      </c>
      <c r="L3957" s="2" t="s">
        <v>107</v>
      </c>
      <c r="M3957" s="3">
        <v>40448</v>
      </c>
      <c r="N3957" s="2"/>
      <c r="O3957" s="2"/>
      <c r="P3957" s="2"/>
      <c r="Q3957" s="2" t="str">
        <f>""</f>
        <v/>
      </c>
      <c r="R3957" s="2"/>
      <c r="S3957" s="2"/>
      <c r="T3957" s="2">
        <v>2</v>
      </c>
      <c r="U3957" s="2" t="s">
        <v>123</v>
      </c>
      <c r="V3957" s="2">
        <v>1</v>
      </c>
      <c r="W3957" s="2" t="s">
        <v>80</v>
      </c>
      <c r="X3957" s="2">
        <v>1</v>
      </c>
      <c r="Y3957" s="2" t="s">
        <v>81</v>
      </c>
      <c r="Z3957" s="2">
        <v>1</v>
      </c>
      <c r="AA3957" s="2" t="s">
        <v>82</v>
      </c>
      <c r="AB3957" s="2">
        <v>9</v>
      </c>
      <c r="AC3957" s="2" t="s">
        <v>124</v>
      </c>
      <c r="AD3957" s="3">
        <v>40444</v>
      </c>
      <c r="AE3957" s="4">
        <v>0.89930555555555547</v>
      </c>
      <c r="AF3957" s="3">
        <v>40444</v>
      </c>
      <c r="AG3957" s="4">
        <v>0.89930555555555547</v>
      </c>
      <c r="AH3957" s="2">
        <v>6</v>
      </c>
      <c r="AI3957" s="2" t="s">
        <v>197</v>
      </c>
      <c r="AJ3957" s="2">
        <v>50</v>
      </c>
      <c r="AK3957" s="2" t="s">
        <v>330</v>
      </c>
      <c r="AL3957" s="2">
        <v>2</v>
      </c>
      <c r="AM3957" s="2" t="s">
        <v>163</v>
      </c>
      <c r="AN3957" s="2"/>
      <c r="AO3957" s="2" t="s">
        <v>2437</v>
      </c>
      <c r="AP3957" s="2">
        <v>11</v>
      </c>
      <c r="AQ3957" s="2" t="s">
        <v>82</v>
      </c>
      <c r="AR3957" s="2"/>
      <c r="AS3957" s="2"/>
      <c r="AT3957" s="2" t="s">
        <v>12488</v>
      </c>
      <c r="AU3957" s="2"/>
      <c r="AV3957" s="2"/>
      <c r="AW3957" s="2"/>
      <c r="AX3957" s="2"/>
      <c r="AY3957" s="2">
        <v>41</v>
      </c>
      <c r="AZ3957" s="2" t="s">
        <v>82</v>
      </c>
      <c r="BA3957" s="2">
        <v>41</v>
      </c>
      <c r="BB3957" s="2" t="s">
        <v>82</v>
      </c>
      <c r="BC3957" s="2">
        <v>13</v>
      </c>
      <c r="BD3957" s="2" t="s">
        <v>108</v>
      </c>
      <c r="BE3957" s="2">
        <v>13</v>
      </c>
      <c r="BF3957" s="2" t="s">
        <v>108</v>
      </c>
      <c r="BG3957" s="2">
        <v>1695</v>
      </c>
      <c r="BH3957" s="4">
        <v>0.90763888888888899</v>
      </c>
      <c r="BI3957" s="2"/>
      <c r="BJ3957" s="2">
        <v>13</v>
      </c>
      <c r="BK3957" s="2" t="s">
        <v>91</v>
      </c>
      <c r="BL3957" s="2" t="s">
        <v>6083</v>
      </c>
      <c r="BM3957" s="2">
        <v>13</v>
      </c>
      <c r="BN3957" s="2" t="s">
        <v>91</v>
      </c>
      <c r="BO3957" s="2"/>
      <c r="BP3957" s="2">
        <v>13</v>
      </c>
      <c r="BQ3957" s="2" t="s">
        <v>91</v>
      </c>
      <c r="BR3957" s="2" t="s">
        <v>170</v>
      </c>
      <c r="BS3957" s="3">
        <v>40448</v>
      </c>
      <c r="BT3957" s="4">
        <v>0.97062500000000007</v>
      </c>
    </row>
    <row r="3958" spans="1:72" x14ac:dyDescent="0.25">
      <c r="A3958" s="2">
        <v>5908</v>
      </c>
      <c r="B3958" s="2">
        <v>2010</v>
      </c>
      <c r="C3958" s="2" t="s">
        <v>128</v>
      </c>
      <c r="D3958" s="2" t="s">
        <v>122</v>
      </c>
      <c r="E3958" s="2" t="s">
        <v>12489</v>
      </c>
      <c r="F3958" s="2">
        <v>167</v>
      </c>
      <c r="G3958" s="2" t="s">
        <v>11567</v>
      </c>
      <c r="H3958" s="2">
        <v>138</v>
      </c>
      <c r="I3958" s="2" t="s">
        <v>11568</v>
      </c>
      <c r="J3958" s="2">
        <v>656</v>
      </c>
      <c r="K3958" s="2" t="s">
        <v>11603</v>
      </c>
      <c r="L3958" s="2" t="s">
        <v>4885</v>
      </c>
      <c r="M3958" s="3">
        <v>40448</v>
      </c>
      <c r="N3958" s="2" t="s">
        <v>11642</v>
      </c>
      <c r="O3958" s="2" t="s">
        <v>82</v>
      </c>
      <c r="P3958" s="2" t="s">
        <v>82</v>
      </c>
      <c r="Q3958" s="2" t="str">
        <f>"PS A-384/10"</f>
        <v>PS A-384/10</v>
      </c>
      <c r="R3958" s="2" t="s">
        <v>12455</v>
      </c>
      <c r="S3958" s="2" t="s">
        <v>82</v>
      </c>
      <c r="T3958" s="2">
        <v>1</v>
      </c>
      <c r="U3958" s="2" t="s">
        <v>79</v>
      </c>
      <c r="V3958" s="2">
        <v>1</v>
      </c>
      <c r="W3958" s="2" t="s">
        <v>80</v>
      </c>
      <c r="X3958" s="2">
        <v>12</v>
      </c>
      <c r="Y3958" s="2" t="s">
        <v>148</v>
      </c>
      <c r="Z3958" s="2">
        <v>1</v>
      </c>
      <c r="AA3958" s="2" t="s">
        <v>82</v>
      </c>
      <c r="AB3958" s="2">
        <v>9</v>
      </c>
      <c r="AC3958" s="2" t="s">
        <v>124</v>
      </c>
      <c r="AD3958" s="3">
        <v>40448</v>
      </c>
      <c r="AE3958" s="4">
        <v>0.91666666666666663</v>
      </c>
      <c r="AF3958" s="3">
        <v>40447</v>
      </c>
      <c r="AG3958" s="4">
        <v>0.70486111111111116</v>
      </c>
      <c r="AH3958" s="2">
        <v>2</v>
      </c>
      <c r="AI3958" s="2" t="s">
        <v>84</v>
      </c>
      <c r="AJ3958" s="2">
        <v>12</v>
      </c>
      <c r="AK3958" s="2" t="s">
        <v>85</v>
      </c>
      <c r="AL3958" s="2">
        <v>2</v>
      </c>
      <c r="AM3958" s="2" t="s">
        <v>163</v>
      </c>
      <c r="AN3958" s="2" t="s">
        <v>82</v>
      </c>
      <c r="AO3958" s="2" t="s">
        <v>12490</v>
      </c>
      <c r="AP3958" s="2">
        <v>11</v>
      </c>
      <c r="AQ3958" s="2" t="s">
        <v>82</v>
      </c>
      <c r="AR3958" s="2" t="s">
        <v>82</v>
      </c>
      <c r="AS3958" s="2" t="s">
        <v>82</v>
      </c>
      <c r="AT3958" s="2" t="s">
        <v>12491</v>
      </c>
      <c r="AU3958" s="2"/>
      <c r="AV3958" s="2"/>
      <c r="AW3958" s="2"/>
      <c r="AX3958" s="2"/>
      <c r="AY3958" s="2">
        <v>41</v>
      </c>
      <c r="AZ3958" s="2" t="s">
        <v>82</v>
      </c>
      <c r="BA3958" s="2">
        <v>41</v>
      </c>
      <c r="BB3958" s="2" t="s">
        <v>82</v>
      </c>
      <c r="BC3958" s="2">
        <v>41</v>
      </c>
      <c r="BD3958" s="2" t="s">
        <v>82</v>
      </c>
      <c r="BE3958" s="2">
        <v>13</v>
      </c>
      <c r="BF3958" s="2" t="s">
        <v>108</v>
      </c>
      <c r="BG3958" s="2"/>
      <c r="BH3958" s="4">
        <v>0.95833333333333337</v>
      </c>
      <c r="BI3958" s="4">
        <v>0.89583333333333337</v>
      </c>
      <c r="BJ3958" s="2">
        <v>13</v>
      </c>
      <c r="BK3958" s="2" t="s">
        <v>91</v>
      </c>
      <c r="BL3958" s="2" t="s">
        <v>1552</v>
      </c>
      <c r="BM3958" s="2">
        <v>241</v>
      </c>
      <c r="BN3958" s="2" t="s">
        <v>82</v>
      </c>
      <c r="BO3958" s="2"/>
      <c r="BP3958" s="2">
        <v>13</v>
      </c>
      <c r="BQ3958" s="2" t="s">
        <v>91</v>
      </c>
      <c r="BR3958" s="2" t="s">
        <v>185</v>
      </c>
      <c r="BS3958" s="3">
        <v>40448</v>
      </c>
      <c r="BT3958" s="4">
        <v>0.97832175925925924</v>
      </c>
    </row>
    <row r="3959" spans="1:72" x14ac:dyDescent="0.25">
      <c r="A3959" s="2">
        <v>5909</v>
      </c>
      <c r="B3959" s="2">
        <v>2010</v>
      </c>
      <c r="C3959" s="2" t="s">
        <v>819</v>
      </c>
      <c r="D3959" s="2" t="s">
        <v>122</v>
      </c>
      <c r="E3959" s="2"/>
      <c r="F3959" s="2">
        <v>451</v>
      </c>
      <c r="G3959" s="2" t="s">
        <v>879</v>
      </c>
      <c r="H3959" s="2">
        <v>31</v>
      </c>
      <c r="I3959" s="2" t="s">
        <v>880</v>
      </c>
      <c r="J3959" s="2">
        <v>326</v>
      </c>
      <c r="K3959" s="2" t="s">
        <v>881</v>
      </c>
      <c r="L3959" s="2" t="s">
        <v>882</v>
      </c>
      <c r="M3959" s="3">
        <v>40448</v>
      </c>
      <c r="N3959" s="2" t="s">
        <v>1072</v>
      </c>
      <c r="O3959" s="2"/>
      <c r="P3959" s="2"/>
      <c r="Q3959" s="2" t="str">
        <f>"097/10"</f>
        <v>097/10</v>
      </c>
      <c r="R3959" s="2"/>
      <c r="S3959" s="2" t="s">
        <v>822</v>
      </c>
      <c r="T3959" s="2">
        <v>1</v>
      </c>
      <c r="U3959" s="2" t="s">
        <v>79</v>
      </c>
      <c r="V3959" s="2">
        <v>1</v>
      </c>
      <c r="W3959" s="2" t="s">
        <v>80</v>
      </c>
      <c r="X3959" s="2">
        <v>1</v>
      </c>
      <c r="Y3959" s="2" t="s">
        <v>81</v>
      </c>
      <c r="Z3959" s="2">
        <v>10</v>
      </c>
      <c r="AA3959" s="2" t="s">
        <v>236</v>
      </c>
      <c r="AB3959" s="2">
        <v>9</v>
      </c>
      <c r="AC3959" s="2" t="s">
        <v>124</v>
      </c>
      <c r="AD3959" s="3">
        <v>40448</v>
      </c>
      <c r="AE3959" s="4">
        <v>0.92708333333333337</v>
      </c>
      <c r="AF3959" s="2"/>
      <c r="AG3959" s="2"/>
      <c r="AH3959" s="2">
        <v>4</v>
      </c>
      <c r="AI3959" s="2" t="s">
        <v>125</v>
      </c>
      <c r="AJ3959" s="2">
        <v>29</v>
      </c>
      <c r="AK3959" s="2" t="s">
        <v>227</v>
      </c>
      <c r="AL3959" s="2">
        <v>10</v>
      </c>
      <c r="AM3959" s="2" t="s">
        <v>200</v>
      </c>
      <c r="AN3959" s="2" t="s">
        <v>1015</v>
      </c>
      <c r="AO3959" s="2" t="s">
        <v>8817</v>
      </c>
      <c r="AP3959" s="2">
        <v>12</v>
      </c>
      <c r="AQ3959" s="2" t="s">
        <v>322</v>
      </c>
      <c r="AR3959" s="2" t="s">
        <v>824</v>
      </c>
      <c r="AS3959" s="2" t="s">
        <v>825</v>
      </c>
      <c r="AT3959" s="2" t="s">
        <v>12492</v>
      </c>
      <c r="AU3959" s="2"/>
      <c r="AV3959" s="2"/>
      <c r="AW3959" s="2"/>
      <c r="AX3959" s="2"/>
      <c r="AY3959" s="2">
        <v>41</v>
      </c>
      <c r="AZ3959" s="2" t="s">
        <v>82</v>
      </c>
      <c r="BA3959" s="2">
        <v>41</v>
      </c>
      <c r="BB3959" s="2" t="s">
        <v>82</v>
      </c>
      <c r="BC3959" s="2">
        <v>51</v>
      </c>
      <c r="BD3959" s="2" t="s">
        <v>827</v>
      </c>
      <c r="BE3959" s="2">
        <v>47</v>
      </c>
      <c r="BF3959" s="2" t="s">
        <v>167</v>
      </c>
      <c r="BG3959" s="2">
        <v>2459</v>
      </c>
      <c r="BH3959" s="4">
        <v>0.89583333333333337</v>
      </c>
      <c r="BI3959" s="4">
        <v>0.94791666666666663</v>
      </c>
      <c r="BJ3959" s="2">
        <v>13</v>
      </c>
      <c r="BK3959" s="2" t="s">
        <v>91</v>
      </c>
      <c r="BL3959" s="2" t="s">
        <v>828</v>
      </c>
      <c r="BM3959" s="2">
        <v>13</v>
      </c>
      <c r="BN3959" s="2" t="s">
        <v>91</v>
      </c>
      <c r="BO3959" s="2"/>
      <c r="BP3959" s="2">
        <v>13</v>
      </c>
      <c r="BQ3959" s="2" t="s">
        <v>91</v>
      </c>
      <c r="BR3959" s="2" t="s">
        <v>185</v>
      </c>
      <c r="BS3959" s="3">
        <v>40448</v>
      </c>
      <c r="BT3959" s="4">
        <v>0.98541666666666661</v>
      </c>
    </row>
    <row r="3960" spans="1:72" x14ac:dyDescent="0.25">
      <c r="A3960" s="2">
        <v>5910</v>
      </c>
      <c r="B3960" s="2">
        <v>2010</v>
      </c>
      <c r="C3960" s="2" t="s">
        <v>414</v>
      </c>
      <c r="D3960" s="2" t="s">
        <v>122</v>
      </c>
      <c r="E3960" s="2"/>
      <c r="F3960" s="2">
        <v>1</v>
      </c>
      <c r="G3960" s="2" t="s">
        <v>82</v>
      </c>
      <c r="H3960" s="2">
        <v>1</v>
      </c>
      <c r="I3960" s="2" t="s">
        <v>82</v>
      </c>
      <c r="J3960" s="2">
        <v>1</v>
      </c>
      <c r="K3960" s="2" t="s">
        <v>107</v>
      </c>
      <c r="L3960" s="2" t="s">
        <v>107</v>
      </c>
      <c r="M3960" s="3">
        <v>40449</v>
      </c>
      <c r="N3960" s="2"/>
      <c r="O3960" s="2"/>
      <c r="P3960" s="2"/>
      <c r="Q3960" s="2" t="str">
        <f>""</f>
        <v/>
      </c>
      <c r="R3960" s="2"/>
      <c r="S3960" s="2"/>
      <c r="T3960" s="2">
        <v>1</v>
      </c>
      <c r="U3960" s="2" t="s">
        <v>79</v>
      </c>
      <c r="V3960" s="2">
        <v>1</v>
      </c>
      <c r="W3960" s="2" t="s">
        <v>80</v>
      </c>
      <c r="X3960" s="2">
        <v>1</v>
      </c>
      <c r="Y3960" s="2" t="s">
        <v>81</v>
      </c>
      <c r="Z3960" s="2">
        <v>1</v>
      </c>
      <c r="AA3960" s="2" t="s">
        <v>82</v>
      </c>
      <c r="AB3960" s="2">
        <v>9</v>
      </c>
      <c r="AC3960" s="2" t="s">
        <v>124</v>
      </c>
      <c r="AD3960" s="3">
        <v>40448</v>
      </c>
      <c r="AE3960" s="4">
        <v>0.95833333333333337</v>
      </c>
      <c r="AF3960" s="2"/>
      <c r="AG3960" s="2"/>
      <c r="AH3960" s="2">
        <v>2</v>
      </c>
      <c r="AI3960" s="2" t="s">
        <v>84</v>
      </c>
      <c r="AJ3960" s="2">
        <v>12</v>
      </c>
      <c r="AK3960" s="2" t="s">
        <v>85</v>
      </c>
      <c r="AL3960" s="2">
        <v>12</v>
      </c>
      <c r="AM3960" s="2" t="s">
        <v>86</v>
      </c>
      <c r="AN3960" s="2"/>
      <c r="AO3960" s="2" t="s">
        <v>12493</v>
      </c>
      <c r="AP3960" s="2">
        <v>11</v>
      </c>
      <c r="AQ3960" s="2" t="s">
        <v>82</v>
      </c>
      <c r="AR3960" s="2"/>
      <c r="AS3960" s="2"/>
      <c r="AT3960" s="2" t="s">
        <v>12494</v>
      </c>
      <c r="AU3960" s="2"/>
      <c r="AV3960" s="2"/>
      <c r="AW3960" s="2"/>
      <c r="AX3960" s="2"/>
      <c r="AY3960" s="2">
        <v>41</v>
      </c>
      <c r="AZ3960" s="2" t="s">
        <v>82</v>
      </c>
      <c r="BA3960" s="2">
        <v>41</v>
      </c>
      <c r="BB3960" s="2" t="s">
        <v>82</v>
      </c>
      <c r="BC3960" s="2">
        <v>41</v>
      </c>
      <c r="BD3960" s="2" t="s">
        <v>82</v>
      </c>
      <c r="BE3960" s="2">
        <v>41</v>
      </c>
      <c r="BF3960" s="2" t="s">
        <v>82</v>
      </c>
      <c r="BG3960" s="2"/>
      <c r="BH3960" s="2"/>
      <c r="BI3960" s="2"/>
      <c r="BJ3960" s="2">
        <v>241</v>
      </c>
      <c r="BK3960" s="2" t="s">
        <v>82</v>
      </c>
      <c r="BL3960" s="2"/>
      <c r="BM3960" s="2">
        <v>241</v>
      </c>
      <c r="BN3960" s="2" t="s">
        <v>82</v>
      </c>
      <c r="BO3960" s="2"/>
      <c r="BP3960" s="2">
        <v>241</v>
      </c>
      <c r="BQ3960" s="2" t="s">
        <v>82</v>
      </c>
      <c r="BR3960" s="2"/>
      <c r="BS3960" s="3">
        <v>40449</v>
      </c>
      <c r="BT3960" s="4">
        <v>1.5416666666666667E-2</v>
      </c>
    </row>
    <row r="3961" spans="1:72" x14ac:dyDescent="0.25">
      <c r="A3961" s="2">
        <v>5911</v>
      </c>
      <c r="B3961" s="2">
        <v>2010</v>
      </c>
      <c r="C3961" s="2" t="s">
        <v>377</v>
      </c>
      <c r="D3961" s="2" t="s">
        <v>73</v>
      </c>
      <c r="E3961" s="2"/>
      <c r="F3961" s="2">
        <v>426</v>
      </c>
      <c r="G3961" s="2" t="s">
        <v>378</v>
      </c>
      <c r="H3961" s="2">
        <v>108</v>
      </c>
      <c r="I3961" s="2" t="s">
        <v>1096</v>
      </c>
      <c r="J3961" s="2">
        <v>311</v>
      </c>
      <c r="K3961" s="2" t="s">
        <v>379</v>
      </c>
      <c r="L3961" s="2" t="s">
        <v>380</v>
      </c>
      <c r="M3961" s="3">
        <v>40449</v>
      </c>
      <c r="N3961" s="2" t="s">
        <v>7171</v>
      </c>
      <c r="O3961" s="2"/>
      <c r="P3961" s="2"/>
      <c r="Q3961" s="2" t="str">
        <f>"250-C/10"</f>
        <v>250-C/10</v>
      </c>
      <c r="R3961" s="2" t="s">
        <v>7074</v>
      </c>
      <c r="S3961" s="2"/>
      <c r="T3961" s="2">
        <v>1</v>
      </c>
      <c r="U3961" s="2" t="s">
        <v>79</v>
      </c>
      <c r="V3961" s="2">
        <v>1</v>
      </c>
      <c r="W3961" s="2" t="s">
        <v>80</v>
      </c>
      <c r="X3961" s="2">
        <v>1</v>
      </c>
      <c r="Y3961" s="2" t="s">
        <v>81</v>
      </c>
      <c r="Z3961" s="2">
        <v>1</v>
      </c>
      <c r="AA3961" s="2" t="s">
        <v>82</v>
      </c>
      <c r="AB3961" s="2">
        <v>9</v>
      </c>
      <c r="AC3961" s="2" t="s">
        <v>124</v>
      </c>
      <c r="AD3961" s="3">
        <v>40447</v>
      </c>
      <c r="AE3961" s="4">
        <v>0.75</v>
      </c>
      <c r="AF3961" s="2"/>
      <c r="AG3961" s="2"/>
      <c r="AH3961" s="2">
        <v>2</v>
      </c>
      <c r="AI3961" s="2" t="s">
        <v>84</v>
      </c>
      <c r="AJ3961" s="2">
        <v>9</v>
      </c>
      <c r="AK3961" s="2" t="s">
        <v>103</v>
      </c>
      <c r="AL3961" s="2">
        <v>29</v>
      </c>
      <c r="AM3961" s="2" t="s">
        <v>5416</v>
      </c>
      <c r="AN3961" s="2" t="s">
        <v>12495</v>
      </c>
      <c r="AO3961" s="2"/>
      <c r="AP3961" s="2">
        <v>11</v>
      </c>
      <c r="AQ3961" s="2" t="s">
        <v>82</v>
      </c>
      <c r="AR3961" s="2"/>
      <c r="AS3961" s="2"/>
      <c r="AT3961" s="2" t="s">
        <v>12496</v>
      </c>
      <c r="AU3961" s="2"/>
      <c r="AV3961" s="2"/>
      <c r="AW3961" s="2"/>
      <c r="AX3961" s="2"/>
      <c r="AY3961" s="2">
        <v>41</v>
      </c>
      <c r="AZ3961" s="2" t="s">
        <v>82</v>
      </c>
      <c r="BA3961" s="2">
        <v>41</v>
      </c>
      <c r="BB3961" s="2" t="s">
        <v>82</v>
      </c>
      <c r="BC3961" s="2">
        <v>41</v>
      </c>
      <c r="BD3961" s="2" t="s">
        <v>82</v>
      </c>
      <c r="BE3961" s="2">
        <v>41</v>
      </c>
      <c r="BF3961" s="2" t="s">
        <v>82</v>
      </c>
      <c r="BG3961" s="2"/>
      <c r="BH3961" s="2"/>
      <c r="BI3961" s="2"/>
      <c r="BJ3961" s="2">
        <v>241</v>
      </c>
      <c r="BK3961" s="2" t="s">
        <v>82</v>
      </c>
      <c r="BL3961" s="2"/>
      <c r="BM3961" s="2">
        <v>241</v>
      </c>
      <c r="BN3961" s="2" t="s">
        <v>82</v>
      </c>
      <c r="BO3961" s="2"/>
      <c r="BP3961" s="2">
        <v>241</v>
      </c>
      <c r="BQ3961" s="2" t="s">
        <v>82</v>
      </c>
      <c r="BR3961" s="2"/>
      <c r="BS3961" s="3">
        <v>40449</v>
      </c>
      <c r="BT3961" s="4">
        <v>9.9050925925925917E-2</v>
      </c>
    </row>
    <row r="3962" spans="1:72" x14ac:dyDescent="0.25">
      <c r="A3962" s="2">
        <v>5912</v>
      </c>
      <c r="B3962" s="2">
        <v>2010</v>
      </c>
      <c r="C3962" s="2" t="s">
        <v>4543</v>
      </c>
      <c r="D3962" s="2" t="s">
        <v>122</v>
      </c>
      <c r="E3962" s="2"/>
      <c r="F3962" s="2">
        <v>1</v>
      </c>
      <c r="G3962" s="2" t="s">
        <v>82</v>
      </c>
      <c r="H3962" s="2">
        <v>1</v>
      </c>
      <c r="I3962" s="2" t="s">
        <v>82</v>
      </c>
      <c r="J3962" s="2">
        <v>1</v>
      </c>
      <c r="K3962" s="2" t="s">
        <v>107</v>
      </c>
      <c r="L3962" s="2" t="s">
        <v>107</v>
      </c>
      <c r="M3962" s="3">
        <v>40449</v>
      </c>
      <c r="N3962" s="2"/>
      <c r="O3962" s="2"/>
      <c r="P3962" s="2"/>
      <c r="Q3962" s="2" t="str">
        <f>""</f>
        <v/>
      </c>
      <c r="R3962" s="2"/>
      <c r="S3962" s="2"/>
      <c r="T3962" s="2">
        <v>2</v>
      </c>
      <c r="U3962" s="2" t="s">
        <v>123</v>
      </c>
      <c r="V3962" s="2">
        <v>1</v>
      </c>
      <c r="W3962" s="2" t="s">
        <v>80</v>
      </c>
      <c r="X3962" s="2">
        <v>5</v>
      </c>
      <c r="Y3962" s="2" t="s">
        <v>82</v>
      </c>
      <c r="Z3962" s="2">
        <v>1</v>
      </c>
      <c r="AA3962" s="2" t="s">
        <v>82</v>
      </c>
      <c r="AB3962" s="2">
        <v>9</v>
      </c>
      <c r="AC3962" s="2" t="s">
        <v>124</v>
      </c>
      <c r="AD3962" s="3">
        <v>40449</v>
      </c>
      <c r="AE3962" s="4">
        <v>8.3333333333333329E-2</v>
      </c>
      <c r="AF3962" s="2"/>
      <c r="AG3962" s="2"/>
      <c r="AH3962" s="2">
        <v>6</v>
      </c>
      <c r="AI3962" s="2" t="s">
        <v>197</v>
      </c>
      <c r="AJ3962" s="2">
        <v>58</v>
      </c>
      <c r="AK3962" s="2" t="s">
        <v>406</v>
      </c>
      <c r="AL3962" s="2">
        <v>19</v>
      </c>
      <c r="AM3962" s="2" t="s">
        <v>107</v>
      </c>
      <c r="AN3962" s="2" t="s">
        <v>1853</v>
      </c>
      <c r="AO3962" s="2" t="s">
        <v>3056</v>
      </c>
      <c r="AP3962" s="2">
        <v>11</v>
      </c>
      <c r="AQ3962" s="2" t="s">
        <v>82</v>
      </c>
      <c r="AR3962" s="2" t="s">
        <v>322</v>
      </c>
      <c r="AS3962" s="2" t="s">
        <v>82</v>
      </c>
      <c r="AT3962" s="2" t="s">
        <v>12497</v>
      </c>
      <c r="AU3962" s="2"/>
      <c r="AV3962" s="2"/>
      <c r="AW3962" s="2"/>
      <c r="AX3962" s="2"/>
      <c r="AY3962" s="2">
        <v>41</v>
      </c>
      <c r="AZ3962" s="2" t="s">
        <v>82</v>
      </c>
      <c r="BA3962" s="2">
        <v>41</v>
      </c>
      <c r="BB3962" s="2" t="s">
        <v>82</v>
      </c>
      <c r="BC3962" s="2">
        <v>41</v>
      </c>
      <c r="BD3962" s="2" t="s">
        <v>82</v>
      </c>
      <c r="BE3962" s="2">
        <v>47</v>
      </c>
      <c r="BF3962" s="2" t="s">
        <v>167</v>
      </c>
      <c r="BG3962" s="2" t="s">
        <v>12498</v>
      </c>
      <c r="BH3962" s="4">
        <v>0.1111111111111111</v>
      </c>
      <c r="BI3962" s="4">
        <v>0.14583333333333334</v>
      </c>
      <c r="BJ3962" s="2">
        <v>13</v>
      </c>
      <c r="BK3962" s="2" t="s">
        <v>91</v>
      </c>
      <c r="BL3962" s="2" t="s">
        <v>185</v>
      </c>
      <c r="BM3962" s="2">
        <v>241</v>
      </c>
      <c r="BN3962" s="2" t="s">
        <v>82</v>
      </c>
      <c r="BO3962" s="2"/>
      <c r="BP3962" s="2">
        <v>13</v>
      </c>
      <c r="BQ3962" s="2" t="s">
        <v>91</v>
      </c>
      <c r="BR3962" s="2" t="s">
        <v>185</v>
      </c>
      <c r="BS3962" s="3">
        <v>40449</v>
      </c>
      <c r="BT3962" s="4">
        <v>0.10491898148148149</v>
      </c>
    </row>
    <row r="3963" spans="1:72" x14ac:dyDescent="0.25">
      <c r="A3963" s="2">
        <v>5913</v>
      </c>
      <c r="B3963" s="2">
        <v>2010</v>
      </c>
      <c r="C3963" s="2" t="s">
        <v>554</v>
      </c>
      <c r="D3963" s="2" t="s">
        <v>73</v>
      </c>
      <c r="E3963" s="2"/>
      <c r="F3963" s="2">
        <v>2</v>
      </c>
      <c r="G3963" s="2" t="s">
        <v>113</v>
      </c>
      <c r="H3963" s="2">
        <v>50</v>
      </c>
      <c r="I3963" s="2" t="s">
        <v>107</v>
      </c>
      <c r="J3963" s="2">
        <v>300</v>
      </c>
      <c r="K3963" s="2" t="s">
        <v>114</v>
      </c>
      <c r="L3963" s="2" t="s">
        <v>115</v>
      </c>
      <c r="M3963" s="3">
        <v>40449</v>
      </c>
      <c r="N3963" s="2" t="s">
        <v>107</v>
      </c>
      <c r="O3963" s="2"/>
      <c r="P3963" s="2"/>
      <c r="Q3963" s="2" t="str">
        <f>"497-E/10"</f>
        <v>497-E/10</v>
      </c>
      <c r="R3963" s="2" t="s">
        <v>1130</v>
      </c>
      <c r="S3963" s="2" t="s">
        <v>1130</v>
      </c>
      <c r="T3963" s="2">
        <v>1</v>
      </c>
      <c r="U3963" s="2" t="s">
        <v>79</v>
      </c>
      <c r="V3963" s="2">
        <v>1</v>
      </c>
      <c r="W3963" s="2" t="s">
        <v>80</v>
      </c>
      <c r="X3963" s="2">
        <v>12</v>
      </c>
      <c r="Y3963" s="2" t="s">
        <v>148</v>
      </c>
      <c r="Z3963" s="2">
        <v>1</v>
      </c>
      <c r="AA3963" s="2" t="s">
        <v>82</v>
      </c>
      <c r="AB3963" s="2">
        <v>5</v>
      </c>
      <c r="AC3963" s="2" t="s">
        <v>559</v>
      </c>
      <c r="AD3963" s="3">
        <v>40448</v>
      </c>
      <c r="AE3963" s="2"/>
      <c r="AF3963" s="3">
        <v>40448</v>
      </c>
      <c r="AG3963" s="4">
        <v>0.90625</v>
      </c>
      <c r="AH3963" s="2">
        <v>2</v>
      </c>
      <c r="AI3963" s="2" t="s">
        <v>84</v>
      </c>
      <c r="AJ3963" s="2">
        <v>9</v>
      </c>
      <c r="AK3963" s="2" t="s">
        <v>103</v>
      </c>
      <c r="AL3963" s="2">
        <v>17</v>
      </c>
      <c r="AM3963" s="2" t="s">
        <v>232</v>
      </c>
      <c r="AN3963" s="2"/>
      <c r="AO3963" s="2" t="s">
        <v>12499</v>
      </c>
      <c r="AP3963" s="2">
        <v>11</v>
      </c>
      <c r="AQ3963" s="2" t="s">
        <v>82</v>
      </c>
      <c r="AR3963" s="2"/>
      <c r="AS3963" s="2"/>
      <c r="AT3963" s="2" t="s">
        <v>12500</v>
      </c>
      <c r="AU3963" s="2"/>
      <c r="AV3963" s="2"/>
      <c r="AW3963" s="2">
        <v>1</v>
      </c>
      <c r="AX3963" s="2"/>
      <c r="AY3963" s="2">
        <v>41</v>
      </c>
      <c r="AZ3963" s="2" t="s">
        <v>82</v>
      </c>
      <c r="BA3963" s="2">
        <v>41</v>
      </c>
      <c r="BB3963" s="2" t="s">
        <v>82</v>
      </c>
      <c r="BC3963" s="2">
        <v>41</v>
      </c>
      <c r="BD3963" s="2" t="s">
        <v>82</v>
      </c>
      <c r="BE3963" s="2">
        <v>41</v>
      </c>
      <c r="BF3963" s="2" t="s">
        <v>82</v>
      </c>
      <c r="BG3963" s="2"/>
      <c r="BH3963" s="2"/>
      <c r="BI3963" s="2"/>
      <c r="BJ3963" s="2">
        <v>241</v>
      </c>
      <c r="BK3963" s="2" t="s">
        <v>82</v>
      </c>
      <c r="BL3963" s="2"/>
      <c r="BM3963" s="2">
        <v>241</v>
      </c>
      <c r="BN3963" s="2" t="s">
        <v>82</v>
      </c>
      <c r="BO3963" s="2"/>
      <c r="BP3963" s="2">
        <v>241</v>
      </c>
      <c r="BQ3963" s="2" t="s">
        <v>82</v>
      </c>
      <c r="BR3963" s="2"/>
      <c r="BS3963" s="3">
        <v>40449</v>
      </c>
      <c r="BT3963" s="4">
        <v>0.32542824074074073</v>
      </c>
    </row>
    <row r="3964" spans="1:72" x14ac:dyDescent="0.25">
      <c r="A3964" s="2">
        <v>5914</v>
      </c>
      <c r="B3964" s="2">
        <v>2010</v>
      </c>
      <c r="C3964" s="2" t="s">
        <v>1660</v>
      </c>
      <c r="D3964" s="2" t="s">
        <v>73</v>
      </c>
      <c r="E3964" s="2"/>
      <c r="F3964" s="2">
        <v>390</v>
      </c>
      <c r="G3964" s="2" t="s">
        <v>475</v>
      </c>
      <c r="H3964" s="2">
        <v>7</v>
      </c>
      <c r="I3964" s="2" t="s">
        <v>476</v>
      </c>
      <c r="J3964" s="2">
        <v>533</v>
      </c>
      <c r="K3964" s="2" t="s">
        <v>6511</v>
      </c>
      <c r="L3964" s="2" t="s">
        <v>478</v>
      </c>
      <c r="M3964" s="3">
        <v>40449</v>
      </c>
      <c r="N3964" s="2" t="s">
        <v>12501</v>
      </c>
      <c r="O3964" s="2" t="s">
        <v>12502</v>
      </c>
      <c r="P3964" s="2"/>
      <c r="Q3964" s="2" t="str">
        <f>"496-E/10"</f>
        <v>496-E/10</v>
      </c>
      <c r="R3964" s="2" t="s">
        <v>12502</v>
      </c>
      <c r="S3964" s="2"/>
      <c r="T3964" s="2">
        <v>1</v>
      </c>
      <c r="U3964" s="2" t="s">
        <v>79</v>
      </c>
      <c r="V3964" s="2">
        <v>1</v>
      </c>
      <c r="W3964" s="2" t="s">
        <v>80</v>
      </c>
      <c r="X3964" s="2">
        <v>10</v>
      </c>
      <c r="Y3964" s="2" t="s">
        <v>226</v>
      </c>
      <c r="Z3964" s="2">
        <v>6</v>
      </c>
      <c r="AA3964" s="2" t="s">
        <v>101</v>
      </c>
      <c r="AB3964" s="2">
        <v>3</v>
      </c>
      <c r="AC3964" s="2" t="s">
        <v>1663</v>
      </c>
      <c r="AD3964" s="3">
        <v>40448</v>
      </c>
      <c r="AE3964" s="2"/>
      <c r="AF3964" s="3">
        <v>40448</v>
      </c>
      <c r="AG3964" s="4">
        <v>0.71180555555555547</v>
      </c>
      <c r="AH3964" s="2">
        <v>2</v>
      </c>
      <c r="AI3964" s="2" t="s">
        <v>84</v>
      </c>
      <c r="AJ3964" s="2">
        <v>9</v>
      </c>
      <c r="AK3964" s="2" t="s">
        <v>103</v>
      </c>
      <c r="AL3964" s="2">
        <v>14</v>
      </c>
      <c r="AM3964" s="2" t="s">
        <v>216</v>
      </c>
      <c r="AN3964" s="2"/>
      <c r="AO3964" s="2" t="s">
        <v>7664</v>
      </c>
      <c r="AP3964" s="2">
        <v>11</v>
      </c>
      <c r="AQ3964" s="2" t="s">
        <v>82</v>
      </c>
      <c r="AR3964" s="2"/>
      <c r="AS3964" s="2"/>
      <c r="AT3964" s="2" t="s">
        <v>12503</v>
      </c>
      <c r="AU3964" s="2">
        <v>1</v>
      </c>
      <c r="AV3964" s="2"/>
      <c r="AW3964" s="2"/>
      <c r="AX3964" s="2"/>
      <c r="AY3964" s="2">
        <v>41</v>
      </c>
      <c r="AZ3964" s="2" t="s">
        <v>82</v>
      </c>
      <c r="BA3964" s="2">
        <v>115</v>
      </c>
      <c r="BB3964" s="2" t="s">
        <v>101</v>
      </c>
      <c r="BC3964" s="2">
        <v>41</v>
      </c>
      <c r="BD3964" s="2" t="s">
        <v>82</v>
      </c>
      <c r="BE3964" s="2">
        <v>2</v>
      </c>
      <c r="BF3964" s="2" t="s">
        <v>1232</v>
      </c>
      <c r="BG3964" s="2" t="s">
        <v>12504</v>
      </c>
      <c r="BH3964" s="2"/>
      <c r="BI3964" s="2"/>
      <c r="BJ3964" s="2">
        <v>46</v>
      </c>
      <c r="BK3964" s="2" t="s">
        <v>307</v>
      </c>
      <c r="BL3964" s="2" t="s">
        <v>308</v>
      </c>
      <c r="BM3964" s="2">
        <v>13</v>
      </c>
      <c r="BN3964" s="2" t="s">
        <v>91</v>
      </c>
      <c r="BO3964" s="2"/>
      <c r="BP3964" s="2">
        <v>13</v>
      </c>
      <c r="BQ3964" s="2" t="s">
        <v>91</v>
      </c>
      <c r="BR3964" s="2" t="s">
        <v>360</v>
      </c>
      <c r="BS3964" s="3">
        <v>40449</v>
      </c>
      <c r="BT3964" s="4">
        <v>0.33109953703703704</v>
      </c>
    </row>
    <row r="3965" spans="1:72" x14ac:dyDescent="0.25">
      <c r="A3965" s="2">
        <v>5917</v>
      </c>
      <c r="B3965" s="2">
        <v>2010</v>
      </c>
      <c r="C3965" s="2" t="s">
        <v>4543</v>
      </c>
      <c r="D3965" s="2" t="s">
        <v>122</v>
      </c>
      <c r="E3965" s="2" t="s">
        <v>12505</v>
      </c>
      <c r="F3965" s="2">
        <v>1</v>
      </c>
      <c r="G3965" s="2" t="s">
        <v>82</v>
      </c>
      <c r="H3965" s="2">
        <v>1</v>
      </c>
      <c r="I3965" s="2" t="s">
        <v>82</v>
      </c>
      <c r="J3965" s="2">
        <v>1</v>
      </c>
      <c r="K3965" s="2" t="s">
        <v>107</v>
      </c>
      <c r="L3965" s="2" t="s">
        <v>107</v>
      </c>
      <c r="M3965" s="3">
        <v>40449</v>
      </c>
      <c r="N3965" s="2"/>
      <c r="O3965" s="2"/>
      <c r="P3965" s="2"/>
      <c r="Q3965" s="2" t="str">
        <f>""</f>
        <v/>
      </c>
      <c r="R3965" s="2"/>
      <c r="S3965" s="2"/>
      <c r="T3965" s="2">
        <v>2</v>
      </c>
      <c r="U3965" s="2" t="s">
        <v>123</v>
      </c>
      <c r="V3965" s="2">
        <v>1</v>
      </c>
      <c r="W3965" s="2" t="s">
        <v>80</v>
      </c>
      <c r="X3965" s="2">
        <v>5</v>
      </c>
      <c r="Y3965" s="2" t="s">
        <v>82</v>
      </c>
      <c r="Z3965" s="2">
        <v>1</v>
      </c>
      <c r="AA3965" s="2" t="s">
        <v>82</v>
      </c>
      <c r="AB3965" s="2">
        <v>9</v>
      </c>
      <c r="AC3965" s="2" t="s">
        <v>124</v>
      </c>
      <c r="AD3965" s="3">
        <v>40448</v>
      </c>
      <c r="AE3965" s="4">
        <v>0.29166666666666669</v>
      </c>
      <c r="AF3965" s="2"/>
      <c r="AG3965" s="2"/>
      <c r="AH3965" s="2">
        <v>5</v>
      </c>
      <c r="AI3965" s="2" t="s">
        <v>274</v>
      </c>
      <c r="AJ3965" s="2">
        <v>43</v>
      </c>
      <c r="AK3965" s="2" t="s">
        <v>918</v>
      </c>
      <c r="AL3965" s="2">
        <v>19</v>
      </c>
      <c r="AM3965" s="2" t="s">
        <v>107</v>
      </c>
      <c r="AN3965" s="2"/>
      <c r="AO3965" s="2"/>
      <c r="AP3965" s="2">
        <v>11</v>
      </c>
      <c r="AQ3965" s="2" t="s">
        <v>82</v>
      </c>
      <c r="AR3965" s="2"/>
      <c r="AS3965" s="2"/>
      <c r="AT3965" s="2" t="s">
        <v>12506</v>
      </c>
      <c r="AU3965" s="2"/>
      <c r="AV3965" s="2"/>
      <c r="AW3965" s="2"/>
      <c r="AX3965" s="2"/>
      <c r="AY3965" s="2">
        <v>41</v>
      </c>
      <c r="AZ3965" s="2" t="s">
        <v>82</v>
      </c>
      <c r="BA3965" s="2">
        <v>41</v>
      </c>
      <c r="BB3965" s="2" t="s">
        <v>82</v>
      </c>
      <c r="BC3965" s="2">
        <v>41</v>
      </c>
      <c r="BD3965" s="2" t="s">
        <v>82</v>
      </c>
      <c r="BE3965" s="2">
        <v>41</v>
      </c>
      <c r="BF3965" s="2" t="s">
        <v>82</v>
      </c>
      <c r="BG3965" s="2"/>
      <c r="BH3965" s="2"/>
      <c r="BI3965" s="2"/>
      <c r="BJ3965" s="2">
        <v>241</v>
      </c>
      <c r="BK3965" s="2" t="s">
        <v>82</v>
      </c>
      <c r="BL3965" s="2"/>
      <c r="BM3965" s="2">
        <v>241</v>
      </c>
      <c r="BN3965" s="2" t="s">
        <v>82</v>
      </c>
      <c r="BO3965" s="2"/>
      <c r="BP3965" s="2">
        <v>241</v>
      </c>
      <c r="BQ3965" s="2" t="s">
        <v>82</v>
      </c>
      <c r="BR3965" s="2"/>
      <c r="BS3965" s="3">
        <v>40449</v>
      </c>
      <c r="BT3965" s="4">
        <v>0.38622685185185185</v>
      </c>
    </row>
    <row r="3966" spans="1:72" x14ac:dyDescent="0.25">
      <c r="A3966" s="2">
        <v>5920</v>
      </c>
      <c r="B3966" s="2">
        <v>2010</v>
      </c>
      <c r="C3966" s="2" t="s">
        <v>819</v>
      </c>
      <c r="D3966" s="2" t="s">
        <v>122</v>
      </c>
      <c r="E3966" s="2" t="s">
        <v>12507</v>
      </c>
      <c r="F3966" s="2">
        <v>451</v>
      </c>
      <c r="G3966" s="2" t="s">
        <v>879</v>
      </c>
      <c r="H3966" s="2">
        <v>31</v>
      </c>
      <c r="I3966" s="2" t="s">
        <v>880</v>
      </c>
      <c r="J3966" s="2">
        <v>326</v>
      </c>
      <c r="K3966" s="2" t="s">
        <v>881</v>
      </c>
      <c r="L3966" s="2" t="s">
        <v>882</v>
      </c>
      <c r="M3966" s="3">
        <v>40449</v>
      </c>
      <c r="N3966" s="2" t="s">
        <v>1072</v>
      </c>
      <c r="O3966" s="2"/>
      <c r="P3966" s="2"/>
      <c r="Q3966" s="2" t="str">
        <f>"097/10"</f>
        <v>097/10</v>
      </c>
      <c r="R3966" s="2"/>
      <c r="S3966" s="2" t="s">
        <v>822</v>
      </c>
      <c r="T3966" s="2">
        <v>1</v>
      </c>
      <c r="U3966" s="2" t="s">
        <v>79</v>
      </c>
      <c r="V3966" s="2">
        <v>1</v>
      </c>
      <c r="W3966" s="2" t="s">
        <v>80</v>
      </c>
      <c r="X3966" s="2">
        <v>1</v>
      </c>
      <c r="Y3966" s="2" t="s">
        <v>81</v>
      </c>
      <c r="Z3966" s="2">
        <v>10</v>
      </c>
      <c r="AA3966" s="2" t="s">
        <v>236</v>
      </c>
      <c r="AB3966" s="2">
        <v>9</v>
      </c>
      <c r="AC3966" s="2" t="s">
        <v>124</v>
      </c>
      <c r="AD3966" s="3">
        <v>40449</v>
      </c>
      <c r="AE3966" s="4">
        <v>0.4236111111111111</v>
      </c>
      <c r="AF3966" s="2"/>
      <c r="AG3966" s="2"/>
      <c r="AH3966" s="2">
        <v>4</v>
      </c>
      <c r="AI3966" s="2" t="s">
        <v>125</v>
      </c>
      <c r="AJ3966" s="2">
        <v>29</v>
      </c>
      <c r="AK3966" s="2" t="s">
        <v>227</v>
      </c>
      <c r="AL3966" s="2">
        <v>16</v>
      </c>
      <c r="AM3966" s="2" t="s">
        <v>392</v>
      </c>
      <c r="AN3966" s="2" t="s">
        <v>3040</v>
      </c>
      <c r="AO3966" s="2" t="s">
        <v>3176</v>
      </c>
      <c r="AP3966" s="2">
        <v>12</v>
      </c>
      <c r="AQ3966" s="2" t="s">
        <v>322</v>
      </c>
      <c r="AR3966" s="2" t="s">
        <v>824</v>
      </c>
      <c r="AS3966" s="2" t="s">
        <v>825</v>
      </c>
      <c r="AT3966" s="2" t="s">
        <v>12508</v>
      </c>
      <c r="AU3966" s="2"/>
      <c r="AV3966" s="2"/>
      <c r="AW3966" s="2"/>
      <c r="AX3966" s="2"/>
      <c r="AY3966" s="2">
        <v>41</v>
      </c>
      <c r="AZ3966" s="2" t="s">
        <v>82</v>
      </c>
      <c r="BA3966" s="2">
        <v>41</v>
      </c>
      <c r="BB3966" s="2" t="s">
        <v>82</v>
      </c>
      <c r="BC3966" s="2">
        <v>51</v>
      </c>
      <c r="BD3966" s="2" t="s">
        <v>827</v>
      </c>
      <c r="BE3966" s="2">
        <v>47</v>
      </c>
      <c r="BF3966" s="2" t="s">
        <v>167</v>
      </c>
      <c r="BG3966" s="2">
        <v>2459</v>
      </c>
      <c r="BH3966" s="4">
        <v>0.89583333333333337</v>
      </c>
      <c r="BI3966" s="4">
        <v>0.94791666666666663</v>
      </c>
      <c r="BJ3966" s="2">
        <v>13</v>
      </c>
      <c r="BK3966" s="2" t="s">
        <v>91</v>
      </c>
      <c r="BL3966" s="2" t="s">
        <v>828</v>
      </c>
      <c r="BM3966" s="2">
        <v>13</v>
      </c>
      <c r="BN3966" s="2" t="s">
        <v>91</v>
      </c>
      <c r="BO3966" s="2"/>
      <c r="BP3966" s="2">
        <v>13</v>
      </c>
      <c r="BQ3966" s="2" t="s">
        <v>91</v>
      </c>
      <c r="BR3966" s="2" t="s">
        <v>185</v>
      </c>
      <c r="BS3966" s="3">
        <v>40449</v>
      </c>
      <c r="BT3966" s="4">
        <v>0.47826388888888888</v>
      </c>
    </row>
    <row r="3967" spans="1:72" x14ac:dyDescent="0.25">
      <c r="A3967" s="2">
        <v>5922</v>
      </c>
      <c r="B3967" s="2">
        <v>2010</v>
      </c>
      <c r="C3967" s="2" t="s">
        <v>806</v>
      </c>
      <c r="D3967" s="2" t="s">
        <v>73</v>
      </c>
      <c r="E3967" s="2"/>
      <c r="F3967" s="2">
        <v>52</v>
      </c>
      <c r="G3967" s="2" t="s">
        <v>2963</v>
      </c>
      <c r="H3967" s="2">
        <v>89</v>
      </c>
      <c r="I3967" s="2" t="s">
        <v>5137</v>
      </c>
      <c r="J3967" s="2">
        <v>516</v>
      </c>
      <c r="K3967" s="2" t="s">
        <v>5138</v>
      </c>
      <c r="L3967" s="2" t="s">
        <v>5139</v>
      </c>
      <c r="M3967" s="3">
        <v>40449</v>
      </c>
      <c r="N3967" s="2" t="s">
        <v>5140</v>
      </c>
      <c r="O3967" s="2" t="s">
        <v>11584</v>
      </c>
      <c r="P3967" s="2" t="s">
        <v>12509</v>
      </c>
      <c r="Q3967" s="2" t="str">
        <f>""</f>
        <v/>
      </c>
      <c r="R3967" s="2"/>
      <c r="S3967" s="2"/>
      <c r="T3967" s="2">
        <v>1</v>
      </c>
      <c r="U3967" s="2" t="s">
        <v>79</v>
      </c>
      <c r="V3967" s="2">
        <v>1</v>
      </c>
      <c r="W3967" s="2" t="s">
        <v>80</v>
      </c>
      <c r="X3967" s="2">
        <v>7</v>
      </c>
      <c r="Y3967" s="2" t="s">
        <v>1964</v>
      </c>
      <c r="Z3967" s="2">
        <v>1</v>
      </c>
      <c r="AA3967" s="2" t="s">
        <v>82</v>
      </c>
      <c r="AB3967" s="2">
        <v>9</v>
      </c>
      <c r="AC3967" s="2" t="s">
        <v>124</v>
      </c>
      <c r="AD3967" s="3">
        <v>40448</v>
      </c>
      <c r="AE3967" s="4">
        <v>0.64583333333333337</v>
      </c>
      <c r="AF3967" s="3">
        <v>40443</v>
      </c>
      <c r="AG3967" s="4">
        <v>0.45833333333333331</v>
      </c>
      <c r="AH3967" s="2">
        <v>7</v>
      </c>
      <c r="AI3967" s="2" t="s">
        <v>801</v>
      </c>
      <c r="AJ3967" s="2">
        <v>4</v>
      </c>
      <c r="AK3967" s="2" t="s">
        <v>2397</v>
      </c>
      <c r="AL3967" s="2">
        <v>23</v>
      </c>
      <c r="AM3967" s="2" t="s">
        <v>251</v>
      </c>
      <c r="AN3967" s="2"/>
      <c r="AO3967" s="2" t="s">
        <v>12510</v>
      </c>
      <c r="AP3967" s="2">
        <v>11</v>
      </c>
      <c r="AQ3967" s="2" t="s">
        <v>82</v>
      </c>
      <c r="AR3967" s="2"/>
      <c r="AS3967" s="2"/>
      <c r="AT3967" s="2" t="s">
        <v>12511</v>
      </c>
      <c r="AU3967" s="2">
        <v>1</v>
      </c>
      <c r="AV3967" s="2"/>
      <c r="AW3967" s="2"/>
      <c r="AX3967" s="2"/>
      <c r="AY3967" s="2">
        <v>41</v>
      </c>
      <c r="AZ3967" s="2" t="s">
        <v>82</v>
      </c>
      <c r="BA3967" s="2">
        <v>41</v>
      </c>
      <c r="BB3967" s="2" t="s">
        <v>82</v>
      </c>
      <c r="BC3967" s="2">
        <v>41</v>
      </c>
      <c r="BD3967" s="2" t="s">
        <v>82</v>
      </c>
      <c r="BE3967" s="2">
        <v>41</v>
      </c>
      <c r="BF3967" s="2" t="s">
        <v>82</v>
      </c>
      <c r="BG3967" s="2"/>
      <c r="BH3967" s="2"/>
      <c r="BI3967" s="2"/>
      <c r="BJ3967" s="2">
        <v>241</v>
      </c>
      <c r="BK3967" s="2" t="s">
        <v>82</v>
      </c>
      <c r="BL3967" s="2"/>
      <c r="BM3967" s="2">
        <v>241</v>
      </c>
      <c r="BN3967" s="2" t="s">
        <v>82</v>
      </c>
      <c r="BO3967" s="2"/>
      <c r="BP3967" s="2">
        <v>241</v>
      </c>
      <c r="BQ3967" s="2" t="s">
        <v>82</v>
      </c>
      <c r="BR3967" s="2"/>
      <c r="BS3967" s="3">
        <v>40449</v>
      </c>
      <c r="BT3967" s="4">
        <v>0.52956018518518522</v>
      </c>
    </row>
    <row r="3968" spans="1:72" x14ac:dyDescent="0.25">
      <c r="A3968" s="2">
        <v>5923</v>
      </c>
      <c r="B3968" s="2">
        <v>2010</v>
      </c>
      <c r="C3968" s="2" t="s">
        <v>121</v>
      </c>
      <c r="D3968" s="2" t="s">
        <v>122</v>
      </c>
      <c r="E3968" s="2"/>
      <c r="F3968" s="2">
        <v>1</v>
      </c>
      <c r="G3968" s="2" t="s">
        <v>82</v>
      </c>
      <c r="H3968" s="2">
        <v>1</v>
      </c>
      <c r="I3968" s="2" t="s">
        <v>82</v>
      </c>
      <c r="J3968" s="2">
        <v>1</v>
      </c>
      <c r="K3968" s="2" t="s">
        <v>107</v>
      </c>
      <c r="L3968" s="2" t="s">
        <v>107</v>
      </c>
      <c r="M3968" s="3">
        <v>40449</v>
      </c>
      <c r="N3968" s="2"/>
      <c r="O3968" s="2"/>
      <c r="P3968" s="2"/>
      <c r="Q3968" s="2" t="str">
        <f>""</f>
        <v/>
      </c>
      <c r="R3968" s="2"/>
      <c r="S3968" s="2"/>
      <c r="T3968" s="2">
        <v>2</v>
      </c>
      <c r="U3968" s="2" t="s">
        <v>123</v>
      </c>
      <c r="V3968" s="2">
        <v>1</v>
      </c>
      <c r="W3968" s="2" t="s">
        <v>80</v>
      </c>
      <c r="X3968" s="2">
        <v>1</v>
      </c>
      <c r="Y3968" s="2" t="s">
        <v>81</v>
      </c>
      <c r="Z3968" s="2">
        <v>13</v>
      </c>
      <c r="AA3968" s="2" t="s">
        <v>3158</v>
      </c>
      <c r="AB3968" s="2">
        <v>9</v>
      </c>
      <c r="AC3968" s="2" t="s">
        <v>124</v>
      </c>
      <c r="AD3968" s="3">
        <v>40449</v>
      </c>
      <c r="AE3968" s="4">
        <v>0.48333333333333334</v>
      </c>
      <c r="AF3968" s="2"/>
      <c r="AG3968" s="2"/>
      <c r="AH3968" s="2">
        <v>4</v>
      </c>
      <c r="AI3968" s="2" t="s">
        <v>125</v>
      </c>
      <c r="AJ3968" s="2">
        <v>33</v>
      </c>
      <c r="AK3968" s="2" t="s">
        <v>126</v>
      </c>
      <c r="AL3968" s="2">
        <v>10</v>
      </c>
      <c r="AM3968" s="2" t="s">
        <v>200</v>
      </c>
      <c r="AN3968" s="2" t="s">
        <v>12323</v>
      </c>
      <c r="AO3968" s="2"/>
      <c r="AP3968" s="2">
        <v>11</v>
      </c>
      <c r="AQ3968" s="2" t="s">
        <v>82</v>
      </c>
      <c r="AR3968" s="2"/>
      <c r="AS3968" s="2"/>
      <c r="AT3968" s="2" t="s">
        <v>12512</v>
      </c>
      <c r="AU3968" s="2"/>
      <c r="AV3968" s="2"/>
      <c r="AW3968" s="2"/>
      <c r="AX3968" s="2"/>
      <c r="AY3968" s="2">
        <v>41</v>
      </c>
      <c r="AZ3968" s="2" t="s">
        <v>82</v>
      </c>
      <c r="BA3968" s="2">
        <v>41</v>
      </c>
      <c r="BB3968" s="2" t="s">
        <v>82</v>
      </c>
      <c r="BC3968" s="2">
        <v>41</v>
      </c>
      <c r="BD3968" s="2" t="s">
        <v>82</v>
      </c>
      <c r="BE3968" s="2">
        <v>42</v>
      </c>
      <c r="BF3968" s="2" t="s">
        <v>182</v>
      </c>
      <c r="BG3968" s="2"/>
      <c r="BH3968" s="4">
        <v>0.48333333333333334</v>
      </c>
      <c r="BI3968" s="2"/>
      <c r="BJ3968" s="2">
        <v>241</v>
      </c>
      <c r="BK3968" s="2" t="s">
        <v>82</v>
      </c>
      <c r="BL3968" s="2" t="s">
        <v>185</v>
      </c>
      <c r="BM3968" s="2">
        <v>13</v>
      </c>
      <c r="BN3968" s="2" t="s">
        <v>91</v>
      </c>
      <c r="BO3968" s="2"/>
      <c r="BP3968" s="2">
        <v>241</v>
      </c>
      <c r="BQ3968" s="2" t="s">
        <v>82</v>
      </c>
      <c r="BR3968" s="2" t="s">
        <v>6582</v>
      </c>
      <c r="BS3968" s="3">
        <v>40449</v>
      </c>
      <c r="BT3968" s="4">
        <v>0.53</v>
      </c>
    </row>
    <row r="3969" spans="1:72" x14ac:dyDescent="0.25">
      <c r="A3969" s="2">
        <v>5926</v>
      </c>
      <c r="B3969" s="2">
        <v>2010</v>
      </c>
      <c r="C3969" s="2" t="s">
        <v>385</v>
      </c>
      <c r="D3969" s="2" t="s">
        <v>122</v>
      </c>
      <c r="E3969" s="2" t="s">
        <v>12513</v>
      </c>
      <c r="F3969" s="2">
        <v>2</v>
      </c>
      <c r="G3969" s="2" t="s">
        <v>113</v>
      </c>
      <c r="H3969" s="2">
        <v>1</v>
      </c>
      <c r="I3969" s="2" t="s">
        <v>82</v>
      </c>
      <c r="J3969" s="2">
        <v>300</v>
      </c>
      <c r="K3969" s="2" t="s">
        <v>114</v>
      </c>
      <c r="L3969" s="2" t="s">
        <v>115</v>
      </c>
      <c r="M3969" s="3">
        <v>40449</v>
      </c>
      <c r="N3969" s="2"/>
      <c r="O3969" s="2"/>
      <c r="P3969" s="2"/>
      <c r="Q3969" s="2" t="str">
        <f>"497-E/10"</f>
        <v>497-E/10</v>
      </c>
      <c r="R3969" s="2" t="s">
        <v>1130</v>
      </c>
      <c r="S3969" s="2"/>
      <c r="T3969" s="2">
        <v>1</v>
      </c>
      <c r="U3969" s="2" t="s">
        <v>79</v>
      </c>
      <c r="V3969" s="2">
        <v>1</v>
      </c>
      <c r="W3969" s="2" t="s">
        <v>80</v>
      </c>
      <c r="X3969" s="2">
        <v>12</v>
      </c>
      <c r="Y3969" s="2" t="s">
        <v>148</v>
      </c>
      <c r="Z3969" s="2">
        <v>1</v>
      </c>
      <c r="AA3969" s="2" t="s">
        <v>82</v>
      </c>
      <c r="AB3969" s="2">
        <v>9</v>
      </c>
      <c r="AC3969" s="2" t="s">
        <v>124</v>
      </c>
      <c r="AD3969" s="3">
        <v>40448</v>
      </c>
      <c r="AE3969" s="4">
        <v>0.77083333333333337</v>
      </c>
      <c r="AF3969" s="3">
        <v>40448</v>
      </c>
      <c r="AG3969" s="4">
        <v>0.87847222222222221</v>
      </c>
      <c r="AH3969" s="2">
        <v>2</v>
      </c>
      <c r="AI3969" s="2" t="s">
        <v>84</v>
      </c>
      <c r="AJ3969" s="2">
        <v>9</v>
      </c>
      <c r="AK3969" s="2" t="s">
        <v>103</v>
      </c>
      <c r="AL3969" s="2">
        <v>24</v>
      </c>
      <c r="AM3969" s="2" t="s">
        <v>1540</v>
      </c>
      <c r="AN3969" s="2"/>
      <c r="AO3969" s="2" t="s">
        <v>12499</v>
      </c>
      <c r="AP3969" s="2">
        <v>11</v>
      </c>
      <c r="AQ3969" s="2" t="s">
        <v>82</v>
      </c>
      <c r="AR3969" s="2"/>
      <c r="AS3969" s="2"/>
      <c r="AT3969" s="2" t="s">
        <v>12514</v>
      </c>
      <c r="AU3969" s="2"/>
      <c r="AV3969" s="2"/>
      <c r="AW3969" s="2"/>
      <c r="AX3969" s="2"/>
      <c r="AY3969" s="2">
        <v>41</v>
      </c>
      <c r="AZ3969" s="2" t="s">
        <v>82</v>
      </c>
      <c r="BA3969" s="2">
        <v>41</v>
      </c>
      <c r="BB3969" s="2" t="s">
        <v>82</v>
      </c>
      <c r="BC3969" s="2">
        <v>41</v>
      </c>
      <c r="BD3969" s="2" t="s">
        <v>82</v>
      </c>
      <c r="BE3969" s="2">
        <v>25</v>
      </c>
      <c r="BF3969" s="2" t="s">
        <v>358</v>
      </c>
      <c r="BG3969" s="2" t="s">
        <v>12515</v>
      </c>
      <c r="BH3969" s="4">
        <v>0.76041666666666663</v>
      </c>
      <c r="BI3969" s="2"/>
      <c r="BJ3969" s="2">
        <v>33</v>
      </c>
      <c r="BK3969" s="2" t="s">
        <v>361</v>
      </c>
      <c r="BL3969" s="2" t="s">
        <v>1739</v>
      </c>
      <c r="BM3969" s="2">
        <v>241</v>
      </c>
      <c r="BN3969" s="2" t="s">
        <v>82</v>
      </c>
      <c r="BO3969" s="2"/>
      <c r="BP3969" s="2">
        <v>13</v>
      </c>
      <c r="BQ3969" s="2" t="s">
        <v>91</v>
      </c>
      <c r="BR3969" s="2" t="s">
        <v>185</v>
      </c>
      <c r="BS3969" s="3">
        <v>40449</v>
      </c>
      <c r="BT3969" s="4">
        <v>0.59641203703703705</v>
      </c>
    </row>
    <row r="3970" spans="1:72" x14ac:dyDescent="0.25">
      <c r="A3970" s="2">
        <v>5927</v>
      </c>
      <c r="B3970" s="2">
        <v>2010</v>
      </c>
      <c r="C3970" s="2" t="s">
        <v>377</v>
      </c>
      <c r="D3970" s="2" t="s">
        <v>73</v>
      </c>
      <c r="E3970" s="2"/>
      <c r="F3970" s="2">
        <v>426</v>
      </c>
      <c r="G3970" s="2" t="s">
        <v>378</v>
      </c>
      <c r="H3970" s="2">
        <v>108</v>
      </c>
      <c r="I3970" s="2" t="s">
        <v>1096</v>
      </c>
      <c r="J3970" s="2">
        <v>311</v>
      </c>
      <c r="K3970" s="2" t="s">
        <v>379</v>
      </c>
      <c r="L3970" s="2" t="s">
        <v>380</v>
      </c>
      <c r="M3970" s="3">
        <v>40449</v>
      </c>
      <c r="N3970" s="2" t="s">
        <v>7171</v>
      </c>
      <c r="O3970" s="2" t="s">
        <v>82</v>
      </c>
      <c r="P3970" s="2" t="s">
        <v>82</v>
      </c>
      <c r="Q3970" s="2" t="str">
        <f>"243-C/10"</f>
        <v>243-C/10</v>
      </c>
      <c r="R3970" s="2" t="s">
        <v>12516</v>
      </c>
      <c r="S3970" s="2"/>
      <c r="T3970" s="2">
        <v>1</v>
      </c>
      <c r="U3970" s="2" t="s">
        <v>79</v>
      </c>
      <c r="V3970" s="2">
        <v>1</v>
      </c>
      <c r="W3970" s="2" t="s">
        <v>80</v>
      </c>
      <c r="X3970" s="2">
        <v>1</v>
      </c>
      <c r="Y3970" s="2" t="s">
        <v>81</v>
      </c>
      <c r="Z3970" s="2">
        <v>1</v>
      </c>
      <c r="AA3970" s="2" t="s">
        <v>82</v>
      </c>
      <c r="AB3970" s="2">
        <v>9</v>
      </c>
      <c r="AC3970" s="2" t="s">
        <v>124</v>
      </c>
      <c r="AD3970" s="3">
        <v>40435</v>
      </c>
      <c r="AE3970" s="4">
        <v>0.96527777777777779</v>
      </c>
      <c r="AF3970" s="2"/>
      <c r="AG3970" s="2"/>
      <c r="AH3970" s="2">
        <v>2</v>
      </c>
      <c r="AI3970" s="2" t="s">
        <v>84</v>
      </c>
      <c r="AJ3970" s="2">
        <v>9</v>
      </c>
      <c r="AK3970" s="2" t="s">
        <v>103</v>
      </c>
      <c r="AL3970" s="2">
        <v>25</v>
      </c>
      <c r="AM3970" s="2" t="s">
        <v>3073</v>
      </c>
      <c r="AN3970" s="2" t="s">
        <v>5800</v>
      </c>
      <c r="AO3970" s="2" t="s">
        <v>12517</v>
      </c>
      <c r="AP3970" s="2">
        <v>11</v>
      </c>
      <c r="AQ3970" s="2" t="s">
        <v>82</v>
      </c>
      <c r="AR3970" s="2"/>
      <c r="AS3970" s="2"/>
      <c r="AT3970" s="2" t="s">
        <v>12518</v>
      </c>
      <c r="AU3970" s="2"/>
      <c r="AV3970" s="2"/>
      <c r="AW3970" s="2"/>
      <c r="AX3970" s="2"/>
      <c r="AY3970" s="2">
        <v>41</v>
      </c>
      <c r="AZ3970" s="2" t="s">
        <v>82</v>
      </c>
      <c r="BA3970" s="2">
        <v>41</v>
      </c>
      <c r="BB3970" s="2" t="s">
        <v>82</v>
      </c>
      <c r="BC3970" s="2">
        <v>41</v>
      </c>
      <c r="BD3970" s="2" t="s">
        <v>82</v>
      </c>
      <c r="BE3970" s="2">
        <v>41</v>
      </c>
      <c r="BF3970" s="2" t="s">
        <v>82</v>
      </c>
      <c r="BG3970" s="2"/>
      <c r="BH3970" s="2"/>
      <c r="BI3970" s="2"/>
      <c r="BJ3970" s="2">
        <v>241</v>
      </c>
      <c r="BK3970" s="2" t="s">
        <v>82</v>
      </c>
      <c r="BL3970" s="2"/>
      <c r="BM3970" s="2">
        <v>241</v>
      </c>
      <c r="BN3970" s="2" t="s">
        <v>82</v>
      </c>
      <c r="BO3970" s="2"/>
      <c r="BP3970" s="2">
        <v>241</v>
      </c>
      <c r="BQ3970" s="2" t="s">
        <v>82</v>
      </c>
      <c r="BR3970" s="2"/>
      <c r="BS3970" s="3">
        <v>40449</v>
      </c>
      <c r="BT3970" s="4">
        <v>0.5991319444444444</v>
      </c>
    </row>
    <row r="3971" spans="1:72" x14ac:dyDescent="0.25">
      <c r="A3971" s="2">
        <v>5928</v>
      </c>
      <c r="B3971" s="2">
        <v>2010</v>
      </c>
      <c r="C3971" s="2" t="s">
        <v>385</v>
      </c>
      <c r="D3971" s="2" t="s">
        <v>122</v>
      </c>
      <c r="E3971" s="2" t="s">
        <v>12519</v>
      </c>
      <c r="F3971" s="2">
        <v>390</v>
      </c>
      <c r="G3971" s="2" t="s">
        <v>475</v>
      </c>
      <c r="H3971" s="2">
        <v>7</v>
      </c>
      <c r="I3971" s="2" t="s">
        <v>476</v>
      </c>
      <c r="J3971" s="2">
        <v>533</v>
      </c>
      <c r="K3971" s="2" t="s">
        <v>6511</v>
      </c>
      <c r="L3971" s="2" t="s">
        <v>478</v>
      </c>
      <c r="M3971" s="3">
        <v>40449</v>
      </c>
      <c r="N3971" s="2" t="s">
        <v>12501</v>
      </c>
      <c r="O3971" s="2" t="s">
        <v>12520</v>
      </c>
      <c r="P3971" s="2"/>
      <c r="Q3971" s="2" t="str">
        <f>"496-E/10"</f>
        <v>496-E/10</v>
      </c>
      <c r="R3971" s="2"/>
      <c r="S3971" s="2"/>
      <c r="T3971" s="2">
        <v>1</v>
      </c>
      <c r="U3971" s="2" t="s">
        <v>79</v>
      </c>
      <c r="V3971" s="2">
        <v>1</v>
      </c>
      <c r="W3971" s="2" t="s">
        <v>80</v>
      </c>
      <c r="X3971" s="2">
        <v>12</v>
      </c>
      <c r="Y3971" s="2" t="s">
        <v>148</v>
      </c>
      <c r="Z3971" s="2">
        <v>6</v>
      </c>
      <c r="AA3971" s="2" t="s">
        <v>101</v>
      </c>
      <c r="AB3971" s="2">
        <v>9</v>
      </c>
      <c r="AC3971" s="2" t="s">
        <v>124</v>
      </c>
      <c r="AD3971" s="2"/>
      <c r="AE3971" s="2"/>
      <c r="AF3971" s="3">
        <v>40448</v>
      </c>
      <c r="AG3971" s="4">
        <v>0.71180555555555547</v>
      </c>
      <c r="AH3971" s="2">
        <v>2</v>
      </c>
      <c r="AI3971" s="2" t="s">
        <v>84</v>
      </c>
      <c r="AJ3971" s="2">
        <v>9</v>
      </c>
      <c r="AK3971" s="2" t="s">
        <v>103</v>
      </c>
      <c r="AL3971" s="2">
        <v>14</v>
      </c>
      <c r="AM3971" s="2" t="s">
        <v>216</v>
      </c>
      <c r="AN3971" s="2"/>
      <c r="AO3971" s="2" t="s">
        <v>7664</v>
      </c>
      <c r="AP3971" s="2">
        <v>11</v>
      </c>
      <c r="AQ3971" s="2" t="s">
        <v>82</v>
      </c>
      <c r="AR3971" s="2"/>
      <c r="AS3971" s="2"/>
      <c r="AT3971" s="2" t="s">
        <v>12521</v>
      </c>
      <c r="AU3971" s="2"/>
      <c r="AV3971" s="2"/>
      <c r="AW3971" s="2"/>
      <c r="AX3971" s="2"/>
      <c r="AY3971" s="2">
        <v>41</v>
      </c>
      <c r="AZ3971" s="2" t="s">
        <v>82</v>
      </c>
      <c r="BA3971" s="2">
        <v>115</v>
      </c>
      <c r="BB3971" s="2" t="s">
        <v>101</v>
      </c>
      <c r="BC3971" s="2">
        <v>41</v>
      </c>
      <c r="BD3971" s="2" t="s">
        <v>82</v>
      </c>
      <c r="BE3971" s="2">
        <v>2</v>
      </c>
      <c r="BF3971" s="2" t="s">
        <v>1232</v>
      </c>
      <c r="BG3971" s="2" t="s">
        <v>12504</v>
      </c>
      <c r="BH3971" s="4">
        <v>0.64583333333333337</v>
      </c>
      <c r="BI3971" s="2"/>
      <c r="BJ3971" s="2">
        <v>46</v>
      </c>
      <c r="BK3971" s="2" t="s">
        <v>307</v>
      </c>
      <c r="BL3971" s="2" t="s">
        <v>308</v>
      </c>
      <c r="BM3971" s="2">
        <v>13</v>
      </c>
      <c r="BN3971" s="2" t="s">
        <v>91</v>
      </c>
      <c r="BO3971" s="2"/>
      <c r="BP3971" s="2">
        <v>13</v>
      </c>
      <c r="BQ3971" s="2" t="s">
        <v>91</v>
      </c>
      <c r="BR3971" s="2" t="s">
        <v>185</v>
      </c>
      <c r="BS3971" s="3">
        <v>40449</v>
      </c>
      <c r="BT3971" s="4">
        <v>0.6004976851851852</v>
      </c>
    </row>
    <row r="3972" spans="1:72" x14ac:dyDescent="0.25">
      <c r="A3972" s="2">
        <v>5929</v>
      </c>
      <c r="B3972" s="2">
        <v>2010</v>
      </c>
      <c r="C3972" s="2" t="s">
        <v>377</v>
      </c>
      <c r="D3972" s="2" t="s">
        <v>73</v>
      </c>
      <c r="E3972" s="2"/>
      <c r="F3972" s="2">
        <v>426</v>
      </c>
      <c r="G3972" s="2" t="s">
        <v>378</v>
      </c>
      <c r="H3972" s="2">
        <v>22</v>
      </c>
      <c r="I3972" s="2" t="s">
        <v>75</v>
      </c>
      <c r="J3972" s="2">
        <v>311</v>
      </c>
      <c r="K3972" s="2" t="s">
        <v>379</v>
      </c>
      <c r="L3972" s="2" t="s">
        <v>380</v>
      </c>
      <c r="M3972" s="3">
        <v>40449</v>
      </c>
      <c r="N3972" s="2" t="s">
        <v>7171</v>
      </c>
      <c r="O3972" s="2" t="s">
        <v>107</v>
      </c>
      <c r="P3972" s="2" t="s">
        <v>107</v>
      </c>
      <c r="Q3972" s="2" t="str">
        <f>"245-C/10"</f>
        <v>245-C/10</v>
      </c>
      <c r="R3972" s="2" t="s">
        <v>12516</v>
      </c>
      <c r="S3972" s="2"/>
      <c r="T3972" s="2">
        <v>1</v>
      </c>
      <c r="U3972" s="2" t="s">
        <v>79</v>
      </c>
      <c r="V3972" s="2">
        <v>1</v>
      </c>
      <c r="W3972" s="2" t="s">
        <v>80</v>
      </c>
      <c r="X3972" s="2">
        <v>1</v>
      </c>
      <c r="Y3972" s="2" t="s">
        <v>81</v>
      </c>
      <c r="Z3972" s="2">
        <v>1</v>
      </c>
      <c r="AA3972" s="2" t="s">
        <v>82</v>
      </c>
      <c r="AB3972" s="2">
        <v>9</v>
      </c>
      <c r="AC3972" s="2" t="s">
        <v>124</v>
      </c>
      <c r="AD3972" s="3">
        <v>40444</v>
      </c>
      <c r="AE3972" s="4">
        <v>0.3298611111111111</v>
      </c>
      <c r="AF3972" s="2"/>
      <c r="AG3972" s="2"/>
      <c r="AH3972" s="2">
        <v>2</v>
      </c>
      <c r="AI3972" s="2" t="s">
        <v>84</v>
      </c>
      <c r="AJ3972" s="2">
        <v>9</v>
      </c>
      <c r="AK3972" s="2" t="s">
        <v>103</v>
      </c>
      <c r="AL3972" s="2">
        <v>29</v>
      </c>
      <c r="AM3972" s="2" t="s">
        <v>5416</v>
      </c>
      <c r="AN3972" s="2" t="s">
        <v>12522</v>
      </c>
      <c r="AO3972" s="2"/>
      <c r="AP3972" s="2">
        <v>11</v>
      </c>
      <c r="AQ3972" s="2" t="s">
        <v>82</v>
      </c>
      <c r="AR3972" s="2"/>
      <c r="AS3972" s="2"/>
      <c r="AT3972" s="2" t="s">
        <v>12523</v>
      </c>
      <c r="AU3972" s="2"/>
      <c r="AV3972" s="2"/>
      <c r="AW3972" s="2"/>
      <c r="AX3972" s="2"/>
      <c r="AY3972" s="2">
        <v>41</v>
      </c>
      <c r="AZ3972" s="2" t="s">
        <v>82</v>
      </c>
      <c r="BA3972" s="2">
        <v>41</v>
      </c>
      <c r="BB3972" s="2" t="s">
        <v>82</v>
      </c>
      <c r="BC3972" s="2">
        <v>41</v>
      </c>
      <c r="BD3972" s="2" t="s">
        <v>82</v>
      </c>
      <c r="BE3972" s="2">
        <v>41</v>
      </c>
      <c r="BF3972" s="2" t="s">
        <v>82</v>
      </c>
      <c r="BG3972" s="2"/>
      <c r="BH3972" s="2"/>
      <c r="BI3972" s="2"/>
      <c r="BJ3972" s="2">
        <v>241</v>
      </c>
      <c r="BK3972" s="2" t="s">
        <v>82</v>
      </c>
      <c r="BL3972" s="2"/>
      <c r="BM3972" s="2">
        <v>241</v>
      </c>
      <c r="BN3972" s="2" t="s">
        <v>82</v>
      </c>
      <c r="BO3972" s="2"/>
      <c r="BP3972" s="2">
        <v>241</v>
      </c>
      <c r="BQ3972" s="2" t="s">
        <v>82</v>
      </c>
      <c r="BR3972" s="2"/>
      <c r="BS3972" s="3">
        <v>40449</v>
      </c>
      <c r="BT3972" s="4">
        <v>0.61821759259259257</v>
      </c>
    </row>
    <row r="3973" spans="1:72" x14ac:dyDescent="0.25">
      <c r="A3973" s="2">
        <v>5930</v>
      </c>
      <c r="B3973" s="2">
        <v>2010</v>
      </c>
      <c r="C3973" s="2" t="s">
        <v>72</v>
      </c>
      <c r="D3973" s="2" t="s">
        <v>73</v>
      </c>
      <c r="E3973" s="2"/>
      <c r="F3973" s="2">
        <v>2</v>
      </c>
      <c r="G3973" s="2" t="s">
        <v>113</v>
      </c>
      <c r="H3973" s="2">
        <v>108</v>
      </c>
      <c r="I3973" s="2" t="s">
        <v>1096</v>
      </c>
      <c r="J3973" s="2">
        <v>300</v>
      </c>
      <c r="K3973" s="2" t="s">
        <v>114</v>
      </c>
      <c r="L3973" s="2" t="s">
        <v>115</v>
      </c>
      <c r="M3973" s="3">
        <v>40449</v>
      </c>
      <c r="N3973" s="2" t="s">
        <v>107</v>
      </c>
      <c r="O3973" s="2" t="s">
        <v>107</v>
      </c>
      <c r="P3973" s="2" t="s">
        <v>107</v>
      </c>
      <c r="Q3973" s="2" t="str">
        <f>"498-E/10"</f>
        <v>498-E/10</v>
      </c>
      <c r="R3973" s="2" t="s">
        <v>116</v>
      </c>
      <c r="S3973" s="2" t="s">
        <v>116</v>
      </c>
      <c r="T3973" s="2">
        <v>1</v>
      </c>
      <c r="U3973" s="2" t="s">
        <v>79</v>
      </c>
      <c r="V3973" s="2">
        <v>1</v>
      </c>
      <c r="W3973" s="2" t="s">
        <v>80</v>
      </c>
      <c r="X3973" s="2">
        <v>12</v>
      </c>
      <c r="Y3973" s="2" t="s">
        <v>148</v>
      </c>
      <c r="Z3973" s="2">
        <v>1</v>
      </c>
      <c r="AA3973" s="2" t="s">
        <v>82</v>
      </c>
      <c r="AB3973" s="2">
        <v>6</v>
      </c>
      <c r="AC3973" s="2" t="s">
        <v>83</v>
      </c>
      <c r="AD3973" s="3">
        <v>40449</v>
      </c>
      <c r="AE3973" s="2"/>
      <c r="AF3973" s="3">
        <v>40449</v>
      </c>
      <c r="AG3973" s="4">
        <v>0.49305555555555558</v>
      </c>
      <c r="AH3973" s="2">
        <v>2</v>
      </c>
      <c r="AI3973" s="2" t="s">
        <v>84</v>
      </c>
      <c r="AJ3973" s="2">
        <v>9</v>
      </c>
      <c r="AK3973" s="2" t="s">
        <v>103</v>
      </c>
      <c r="AL3973" s="2">
        <v>17</v>
      </c>
      <c r="AM3973" s="2" t="s">
        <v>232</v>
      </c>
      <c r="AN3973" s="2" t="s">
        <v>12524</v>
      </c>
      <c r="AO3973" s="2" t="s">
        <v>1346</v>
      </c>
      <c r="AP3973" s="2">
        <v>11</v>
      </c>
      <c r="AQ3973" s="2" t="s">
        <v>82</v>
      </c>
      <c r="AR3973" s="2"/>
      <c r="AS3973" s="2"/>
      <c r="AT3973" s="2" t="s">
        <v>12525</v>
      </c>
      <c r="AU3973" s="2"/>
      <c r="AV3973" s="2"/>
      <c r="AW3973" s="2"/>
      <c r="AX3973" s="2"/>
      <c r="AY3973" s="2">
        <v>41</v>
      </c>
      <c r="AZ3973" s="2" t="s">
        <v>82</v>
      </c>
      <c r="BA3973" s="2">
        <v>41</v>
      </c>
      <c r="BB3973" s="2" t="s">
        <v>82</v>
      </c>
      <c r="BC3973" s="2">
        <v>41</v>
      </c>
      <c r="BD3973" s="2" t="s">
        <v>82</v>
      </c>
      <c r="BE3973" s="2">
        <v>41</v>
      </c>
      <c r="BF3973" s="2" t="s">
        <v>82</v>
      </c>
      <c r="BG3973" s="2"/>
      <c r="BH3973" s="2"/>
      <c r="BI3973" s="2"/>
      <c r="BJ3973" s="2">
        <v>241</v>
      </c>
      <c r="BK3973" s="2" t="s">
        <v>82</v>
      </c>
      <c r="BL3973" s="2"/>
      <c r="BM3973" s="2">
        <v>241</v>
      </c>
      <c r="BN3973" s="2" t="s">
        <v>82</v>
      </c>
      <c r="BO3973" s="2"/>
      <c r="BP3973" s="2">
        <v>241</v>
      </c>
      <c r="BQ3973" s="2" t="s">
        <v>82</v>
      </c>
      <c r="BR3973" s="2"/>
      <c r="BS3973" s="3">
        <v>40449</v>
      </c>
      <c r="BT3973" s="4">
        <v>0.6262847222222222</v>
      </c>
    </row>
    <row r="3974" spans="1:72" x14ac:dyDescent="0.25">
      <c r="A3974" s="2">
        <v>5931</v>
      </c>
      <c r="B3974" s="2">
        <v>2010</v>
      </c>
      <c r="C3974" s="2" t="s">
        <v>377</v>
      </c>
      <c r="D3974" s="2" t="s">
        <v>73</v>
      </c>
      <c r="E3974" s="2"/>
      <c r="F3974" s="2">
        <v>426</v>
      </c>
      <c r="G3974" s="2" t="s">
        <v>378</v>
      </c>
      <c r="H3974" s="2">
        <v>22</v>
      </c>
      <c r="I3974" s="2" t="s">
        <v>75</v>
      </c>
      <c r="J3974" s="2">
        <v>311</v>
      </c>
      <c r="K3974" s="2" t="s">
        <v>379</v>
      </c>
      <c r="L3974" s="2" t="s">
        <v>380</v>
      </c>
      <c r="M3974" s="3">
        <v>40449</v>
      </c>
      <c r="N3974" s="2" t="s">
        <v>7171</v>
      </c>
      <c r="O3974" s="2" t="s">
        <v>107</v>
      </c>
      <c r="P3974" s="2" t="s">
        <v>107</v>
      </c>
      <c r="Q3974" s="2" t="str">
        <f>"248-C/10"</f>
        <v>248-C/10</v>
      </c>
      <c r="R3974" s="2" t="s">
        <v>12526</v>
      </c>
      <c r="S3974" s="2"/>
      <c r="T3974" s="2">
        <v>1</v>
      </c>
      <c r="U3974" s="2" t="s">
        <v>79</v>
      </c>
      <c r="V3974" s="2">
        <v>1</v>
      </c>
      <c r="W3974" s="2" t="s">
        <v>80</v>
      </c>
      <c r="X3974" s="2">
        <v>1</v>
      </c>
      <c r="Y3974" s="2" t="s">
        <v>81</v>
      </c>
      <c r="Z3974" s="2">
        <v>1</v>
      </c>
      <c r="AA3974" s="2" t="s">
        <v>82</v>
      </c>
      <c r="AB3974" s="2">
        <v>9</v>
      </c>
      <c r="AC3974" s="2" t="s">
        <v>124</v>
      </c>
      <c r="AD3974" s="3">
        <v>40445</v>
      </c>
      <c r="AE3974" s="4">
        <v>0.54861111111111105</v>
      </c>
      <c r="AF3974" s="2"/>
      <c r="AG3974" s="2"/>
      <c r="AH3974" s="2">
        <v>2</v>
      </c>
      <c r="AI3974" s="2" t="s">
        <v>84</v>
      </c>
      <c r="AJ3974" s="2">
        <v>9</v>
      </c>
      <c r="AK3974" s="2" t="s">
        <v>103</v>
      </c>
      <c r="AL3974" s="2">
        <v>29</v>
      </c>
      <c r="AM3974" s="2" t="s">
        <v>5416</v>
      </c>
      <c r="AN3974" s="2" t="s">
        <v>12527</v>
      </c>
      <c r="AO3974" s="2" t="s">
        <v>8710</v>
      </c>
      <c r="AP3974" s="2">
        <v>11</v>
      </c>
      <c r="AQ3974" s="2" t="s">
        <v>82</v>
      </c>
      <c r="AR3974" s="2"/>
      <c r="AS3974" s="2"/>
      <c r="AT3974" s="2" t="s">
        <v>12528</v>
      </c>
      <c r="AU3974" s="2"/>
      <c r="AV3974" s="2"/>
      <c r="AW3974" s="2"/>
      <c r="AX3974" s="2"/>
      <c r="AY3974" s="2">
        <v>41</v>
      </c>
      <c r="AZ3974" s="2" t="s">
        <v>82</v>
      </c>
      <c r="BA3974" s="2">
        <v>41</v>
      </c>
      <c r="BB3974" s="2" t="s">
        <v>82</v>
      </c>
      <c r="BC3974" s="2">
        <v>41</v>
      </c>
      <c r="BD3974" s="2" t="s">
        <v>82</v>
      </c>
      <c r="BE3974" s="2">
        <v>41</v>
      </c>
      <c r="BF3974" s="2" t="s">
        <v>82</v>
      </c>
      <c r="BG3974" s="2"/>
      <c r="BH3974" s="2"/>
      <c r="BI3974" s="2"/>
      <c r="BJ3974" s="2">
        <v>241</v>
      </c>
      <c r="BK3974" s="2" t="s">
        <v>82</v>
      </c>
      <c r="BL3974" s="2"/>
      <c r="BM3974" s="2">
        <v>241</v>
      </c>
      <c r="BN3974" s="2" t="s">
        <v>82</v>
      </c>
      <c r="BO3974" s="2"/>
      <c r="BP3974" s="2">
        <v>241</v>
      </c>
      <c r="BQ3974" s="2" t="s">
        <v>82</v>
      </c>
      <c r="BR3974" s="2"/>
      <c r="BS3974" s="3">
        <v>40449</v>
      </c>
      <c r="BT3974" s="4">
        <v>0.6363657407407407</v>
      </c>
    </row>
    <row r="3975" spans="1:72" x14ac:dyDescent="0.25">
      <c r="A3975" s="2">
        <v>5937</v>
      </c>
      <c r="B3975" s="2">
        <v>2010</v>
      </c>
      <c r="C3975" s="2" t="s">
        <v>121</v>
      </c>
      <c r="D3975" s="2" t="s">
        <v>122</v>
      </c>
      <c r="E3975" s="2" t="s">
        <v>12529</v>
      </c>
      <c r="F3975" s="2">
        <v>1</v>
      </c>
      <c r="G3975" s="2" t="s">
        <v>82</v>
      </c>
      <c r="H3975" s="2">
        <v>1</v>
      </c>
      <c r="I3975" s="2" t="s">
        <v>82</v>
      </c>
      <c r="J3975" s="2">
        <v>1</v>
      </c>
      <c r="K3975" s="2" t="s">
        <v>107</v>
      </c>
      <c r="L3975" s="2" t="s">
        <v>107</v>
      </c>
      <c r="M3975" s="3">
        <v>40449</v>
      </c>
      <c r="N3975" s="2"/>
      <c r="O3975" s="2"/>
      <c r="P3975" s="2"/>
      <c r="Q3975" s="2" t="str">
        <f>""</f>
        <v/>
      </c>
      <c r="R3975" s="2"/>
      <c r="S3975" s="2"/>
      <c r="T3975" s="2">
        <v>2</v>
      </c>
      <c r="U3975" s="2" t="s">
        <v>123</v>
      </c>
      <c r="V3975" s="2">
        <v>1</v>
      </c>
      <c r="W3975" s="2" t="s">
        <v>80</v>
      </c>
      <c r="X3975" s="2">
        <v>1</v>
      </c>
      <c r="Y3975" s="2" t="s">
        <v>81</v>
      </c>
      <c r="Z3975" s="2">
        <v>13</v>
      </c>
      <c r="AA3975" s="2" t="s">
        <v>3158</v>
      </c>
      <c r="AB3975" s="2">
        <v>9</v>
      </c>
      <c r="AC3975" s="2" t="s">
        <v>124</v>
      </c>
      <c r="AD3975" s="3">
        <v>40449</v>
      </c>
      <c r="AE3975" s="4">
        <v>0.48333333333333334</v>
      </c>
      <c r="AF3975" s="2"/>
      <c r="AG3975" s="2"/>
      <c r="AH3975" s="2">
        <v>4</v>
      </c>
      <c r="AI3975" s="2" t="s">
        <v>125</v>
      </c>
      <c r="AJ3975" s="2">
        <v>33</v>
      </c>
      <c r="AK3975" s="2" t="s">
        <v>126</v>
      </c>
      <c r="AL3975" s="2">
        <v>10</v>
      </c>
      <c r="AM3975" s="2" t="s">
        <v>200</v>
      </c>
      <c r="AN3975" s="2" t="s">
        <v>12323</v>
      </c>
      <c r="AO3975" s="2"/>
      <c r="AP3975" s="2">
        <v>11</v>
      </c>
      <c r="AQ3975" s="2" t="s">
        <v>82</v>
      </c>
      <c r="AR3975" s="2"/>
      <c r="AS3975" s="2"/>
      <c r="AT3975" s="2" t="s">
        <v>12530</v>
      </c>
      <c r="AU3975" s="2"/>
      <c r="AV3975" s="2"/>
      <c r="AW3975" s="2"/>
      <c r="AX3975" s="2"/>
      <c r="AY3975" s="2">
        <v>41</v>
      </c>
      <c r="AZ3975" s="2" t="s">
        <v>82</v>
      </c>
      <c r="BA3975" s="2">
        <v>41</v>
      </c>
      <c r="BB3975" s="2" t="s">
        <v>82</v>
      </c>
      <c r="BC3975" s="2">
        <v>41</v>
      </c>
      <c r="BD3975" s="2" t="s">
        <v>82</v>
      </c>
      <c r="BE3975" s="2">
        <v>42</v>
      </c>
      <c r="BF3975" s="2" t="s">
        <v>182</v>
      </c>
      <c r="BG3975" s="2"/>
      <c r="BH3975" s="4">
        <v>0.48333333333333334</v>
      </c>
      <c r="BI3975" s="4">
        <v>0.71736111111111101</v>
      </c>
      <c r="BJ3975" s="2">
        <v>241</v>
      </c>
      <c r="BK3975" s="2" t="s">
        <v>82</v>
      </c>
      <c r="BL3975" s="2" t="s">
        <v>12531</v>
      </c>
      <c r="BM3975" s="2">
        <v>13</v>
      </c>
      <c r="BN3975" s="2" t="s">
        <v>91</v>
      </c>
      <c r="BO3975" s="2"/>
      <c r="BP3975" s="2">
        <v>241</v>
      </c>
      <c r="BQ3975" s="2" t="s">
        <v>82</v>
      </c>
      <c r="BR3975" s="2" t="s">
        <v>185</v>
      </c>
      <c r="BS3975" s="3">
        <v>40449</v>
      </c>
      <c r="BT3975" s="4">
        <v>0.72535879629629629</v>
      </c>
    </row>
    <row r="3976" spans="1:72" x14ac:dyDescent="0.25">
      <c r="A3976" s="2">
        <v>5938</v>
      </c>
      <c r="B3976" s="2">
        <v>2010</v>
      </c>
      <c r="C3976" s="2" t="s">
        <v>171</v>
      </c>
      <c r="D3976" s="2" t="s">
        <v>73</v>
      </c>
      <c r="E3976" s="2"/>
      <c r="F3976" s="2">
        <v>677</v>
      </c>
      <c r="G3976" s="2" t="s">
        <v>12532</v>
      </c>
      <c r="H3976" s="2">
        <v>22</v>
      </c>
      <c r="I3976" s="2" t="s">
        <v>75</v>
      </c>
      <c r="J3976" s="2">
        <v>666</v>
      </c>
      <c r="K3976" s="2" t="s">
        <v>12533</v>
      </c>
      <c r="L3976" s="2" t="s">
        <v>12534</v>
      </c>
      <c r="M3976" s="3">
        <v>40449</v>
      </c>
      <c r="N3976" s="2" t="s">
        <v>12535</v>
      </c>
      <c r="O3976" s="2" t="s">
        <v>12536</v>
      </c>
      <c r="P3976" s="2">
        <v>928</v>
      </c>
      <c r="Q3976" s="2" t="str">
        <f>""</f>
        <v/>
      </c>
      <c r="R3976" s="2"/>
      <c r="S3976" s="2"/>
      <c r="T3976" s="2">
        <v>1</v>
      </c>
      <c r="U3976" s="2" t="s">
        <v>79</v>
      </c>
      <c r="V3976" s="2">
        <v>3</v>
      </c>
      <c r="W3976" s="2" t="s">
        <v>225</v>
      </c>
      <c r="X3976" s="2">
        <v>6</v>
      </c>
      <c r="Y3976" s="2" t="s">
        <v>249</v>
      </c>
      <c r="Z3976" s="2">
        <v>1</v>
      </c>
      <c r="AA3976" s="2" t="s">
        <v>82</v>
      </c>
      <c r="AB3976" s="2">
        <v>9</v>
      </c>
      <c r="AC3976" s="2" t="s">
        <v>124</v>
      </c>
      <c r="AD3976" s="3">
        <v>40449</v>
      </c>
      <c r="AE3976" s="4">
        <v>0.5</v>
      </c>
      <c r="AF3976" s="2"/>
      <c r="AG3976" s="2"/>
      <c r="AH3976" s="2">
        <v>2</v>
      </c>
      <c r="AI3976" s="2" t="s">
        <v>84</v>
      </c>
      <c r="AJ3976" s="2">
        <v>6</v>
      </c>
      <c r="AK3976" s="2" t="s">
        <v>453</v>
      </c>
      <c r="AL3976" s="2">
        <v>23</v>
      </c>
      <c r="AM3976" s="2" t="s">
        <v>251</v>
      </c>
      <c r="AN3976" s="2"/>
      <c r="AO3976" s="2" t="s">
        <v>12537</v>
      </c>
      <c r="AP3976" s="2">
        <v>11</v>
      </c>
      <c r="AQ3976" s="2" t="s">
        <v>82</v>
      </c>
      <c r="AR3976" s="2"/>
      <c r="AS3976" s="2"/>
      <c r="AT3976" s="2" t="s">
        <v>12538</v>
      </c>
      <c r="AU3976" s="2"/>
      <c r="AV3976" s="2"/>
      <c r="AW3976" s="2"/>
      <c r="AX3976" s="2"/>
      <c r="AY3976" s="2">
        <v>41</v>
      </c>
      <c r="AZ3976" s="2" t="s">
        <v>82</v>
      </c>
      <c r="BA3976" s="2">
        <v>41</v>
      </c>
      <c r="BB3976" s="2" t="s">
        <v>82</v>
      </c>
      <c r="BC3976" s="2">
        <v>41</v>
      </c>
      <c r="BD3976" s="2" t="s">
        <v>82</v>
      </c>
      <c r="BE3976" s="2">
        <v>41</v>
      </c>
      <c r="BF3976" s="2" t="s">
        <v>82</v>
      </c>
      <c r="BG3976" s="2"/>
      <c r="BH3976" s="2"/>
      <c r="BI3976" s="2"/>
      <c r="BJ3976" s="2">
        <v>241</v>
      </c>
      <c r="BK3976" s="2" t="s">
        <v>82</v>
      </c>
      <c r="BL3976" s="2"/>
      <c r="BM3976" s="2">
        <v>241</v>
      </c>
      <c r="BN3976" s="2" t="s">
        <v>82</v>
      </c>
      <c r="BO3976" s="2"/>
      <c r="BP3976" s="2">
        <v>241</v>
      </c>
      <c r="BQ3976" s="2" t="s">
        <v>82</v>
      </c>
      <c r="BR3976" s="2"/>
      <c r="BS3976" s="3">
        <v>40449</v>
      </c>
      <c r="BT3976" s="4">
        <v>0.80219907407407398</v>
      </c>
    </row>
    <row r="3977" spans="1:72" x14ac:dyDescent="0.25">
      <c r="A3977" s="2">
        <v>5939</v>
      </c>
      <c r="B3977" s="2">
        <v>2010</v>
      </c>
      <c r="C3977" s="2" t="s">
        <v>2138</v>
      </c>
      <c r="D3977" s="2" t="s">
        <v>73</v>
      </c>
      <c r="E3977" s="2"/>
      <c r="F3977" s="2">
        <v>678</v>
      </c>
      <c r="G3977" s="2" t="s">
        <v>12539</v>
      </c>
      <c r="H3977" s="2">
        <v>22</v>
      </c>
      <c r="I3977" s="2" t="s">
        <v>75</v>
      </c>
      <c r="J3977" s="2">
        <v>667</v>
      </c>
      <c r="K3977" s="2" t="s">
        <v>12540</v>
      </c>
      <c r="L3977" s="2" t="s">
        <v>3286</v>
      </c>
      <c r="M3977" s="3">
        <v>40449</v>
      </c>
      <c r="N3977" s="2" t="s">
        <v>12541</v>
      </c>
      <c r="O3977" s="2" t="s">
        <v>82</v>
      </c>
      <c r="P3977" s="2" t="s">
        <v>82</v>
      </c>
      <c r="Q3977" s="2" t="str">
        <f>"0039/2010"</f>
        <v>0039/2010</v>
      </c>
      <c r="R3977" s="2" t="s">
        <v>82</v>
      </c>
      <c r="S3977" s="2" t="s">
        <v>82</v>
      </c>
      <c r="T3977" s="2">
        <v>1</v>
      </c>
      <c r="U3977" s="2" t="s">
        <v>79</v>
      </c>
      <c r="V3977" s="2">
        <v>1</v>
      </c>
      <c r="W3977" s="2" t="s">
        <v>80</v>
      </c>
      <c r="X3977" s="2">
        <v>1</v>
      </c>
      <c r="Y3977" s="2" t="s">
        <v>81</v>
      </c>
      <c r="Z3977" s="2">
        <v>1</v>
      </c>
      <c r="AA3977" s="2" t="s">
        <v>82</v>
      </c>
      <c r="AB3977" s="2">
        <v>9</v>
      </c>
      <c r="AC3977" s="2" t="s">
        <v>124</v>
      </c>
      <c r="AD3977" s="3">
        <v>40449</v>
      </c>
      <c r="AE3977" s="4">
        <v>0.41666666666666669</v>
      </c>
      <c r="AF3977" s="2"/>
      <c r="AG3977" s="2"/>
      <c r="AH3977" s="2">
        <v>5</v>
      </c>
      <c r="AI3977" s="2" t="s">
        <v>274</v>
      </c>
      <c r="AJ3977" s="2">
        <v>42</v>
      </c>
      <c r="AK3977" s="2" t="s">
        <v>660</v>
      </c>
      <c r="AL3977" s="2">
        <v>12</v>
      </c>
      <c r="AM3977" s="2" t="s">
        <v>86</v>
      </c>
      <c r="AN3977" s="2" t="s">
        <v>82</v>
      </c>
      <c r="AO3977" s="2" t="s">
        <v>12542</v>
      </c>
      <c r="AP3977" s="2">
        <v>11</v>
      </c>
      <c r="AQ3977" s="2" t="s">
        <v>82</v>
      </c>
      <c r="AR3977" s="2" t="s">
        <v>82</v>
      </c>
      <c r="AS3977" s="2" t="s">
        <v>82</v>
      </c>
      <c r="AT3977" s="2" t="s">
        <v>12543</v>
      </c>
      <c r="AU3977" s="2"/>
      <c r="AV3977" s="2"/>
      <c r="AW3977" s="2"/>
      <c r="AX3977" s="2"/>
      <c r="AY3977" s="2">
        <v>41</v>
      </c>
      <c r="AZ3977" s="2" t="s">
        <v>82</v>
      </c>
      <c r="BA3977" s="2">
        <v>41</v>
      </c>
      <c r="BB3977" s="2" t="s">
        <v>82</v>
      </c>
      <c r="BC3977" s="2">
        <v>41</v>
      </c>
      <c r="BD3977" s="2" t="s">
        <v>82</v>
      </c>
      <c r="BE3977" s="2">
        <v>41</v>
      </c>
      <c r="BF3977" s="2" t="s">
        <v>82</v>
      </c>
      <c r="BG3977" s="2" t="s">
        <v>82</v>
      </c>
      <c r="BH3977" s="2"/>
      <c r="BI3977" s="2"/>
      <c r="BJ3977" s="2">
        <v>241</v>
      </c>
      <c r="BK3977" s="2" t="s">
        <v>82</v>
      </c>
      <c r="BL3977" s="2" t="s">
        <v>82</v>
      </c>
      <c r="BM3977" s="2">
        <v>241</v>
      </c>
      <c r="BN3977" s="2" t="s">
        <v>82</v>
      </c>
      <c r="BO3977" s="2"/>
      <c r="BP3977" s="2">
        <v>241</v>
      </c>
      <c r="BQ3977" s="2" t="s">
        <v>82</v>
      </c>
      <c r="BR3977" s="2" t="s">
        <v>82</v>
      </c>
      <c r="BS3977" s="3">
        <v>40449</v>
      </c>
      <c r="BT3977" s="4">
        <v>0.81027777777777776</v>
      </c>
    </row>
    <row r="3978" spans="1:72" x14ac:dyDescent="0.25">
      <c r="A3978" s="2">
        <v>5941</v>
      </c>
      <c r="B3978" s="2">
        <v>2010</v>
      </c>
      <c r="C3978" s="2" t="s">
        <v>171</v>
      </c>
      <c r="D3978" s="2" t="s">
        <v>122</v>
      </c>
      <c r="E3978" s="2" t="s">
        <v>12544</v>
      </c>
      <c r="F3978" s="2">
        <v>337</v>
      </c>
      <c r="G3978" s="2" t="s">
        <v>1190</v>
      </c>
      <c r="H3978" s="2">
        <v>66</v>
      </c>
      <c r="I3978" s="2" t="s">
        <v>3190</v>
      </c>
      <c r="J3978" s="2">
        <v>374</v>
      </c>
      <c r="K3978" s="2" t="s">
        <v>1191</v>
      </c>
      <c r="L3978" s="2" t="s">
        <v>132</v>
      </c>
      <c r="M3978" s="3">
        <v>40449</v>
      </c>
      <c r="N3978" s="2" t="s">
        <v>6981</v>
      </c>
      <c r="O3978" s="2" t="s">
        <v>12401</v>
      </c>
      <c r="P3978" s="2" t="s">
        <v>12344</v>
      </c>
      <c r="Q3978" s="2" t="str">
        <f>"22/10"</f>
        <v>22/10</v>
      </c>
      <c r="R3978" s="2"/>
      <c r="S3978" s="2"/>
      <c r="T3978" s="2">
        <v>1</v>
      </c>
      <c r="U3978" s="2" t="s">
        <v>79</v>
      </c>
      <c r="V3978" s="2">
        <v>1</v>
      </c>
      <c r="W3978" s="2" t="s">
        <v>80</v>
      </c>
      <c r="X3978" s="2">
        <v>10</v>
      </c>
      <c r="Y3978" s="2" t="s">
        <v>226</v>
      </c>
      <c r="Z3978" s="2">
        <v>1</v>
      </c>
      <c r="AA3978" s="2" t="s">
        <v>82</v>
      </c>
      <c r="AB3978" s="2">
        <v>1</v>
      </c>
      <c r="AC3978" s="2" t="s">
        <v>178</v>
      </c>
      <c r="AD3978" s="3">
        <v>40449</v>
      </c>
      <c r="AE3978" s="4">
        <v>0.84375</v>
      </c>
      <c r="AF3978" s="2"/>
      <c r="AG3978" s="2"/>
      <c r="AH3978" s="2">
        <v>5</v>
      </c>
      <c r="AI3978" s="2" t="s">
        <v>274</v>
      </c>
      <c r="AJ3978" s="2">
        <v>35</v>
      </c>
      <c r="AK3978" s="2" t="s">
        <v>275</v>
      </c>
      <c r="AL3978" s="2">
        <v>23</v>
      </c>
      <c r="AM3978" s="2" t="s">
        <v>251</v>
      </c>
      <c r="AN3978" s="2" t="s">
        <v>12545</v>
      </c>
      <c r="AO3978" s="2" t="s">
        <v>284</v>
      </c>
      <c r="AP3978" s="2">
        <v>11</v>
      </c>
      <c r="AQ3978" s="2" t="s">
        <v>82</v>
      </c>
      <c r="AR3978" s="2"/>
      <c r="AS3978" s="2"/>
      <c r="AT3978" s="2" t="s">
        <v>12546</v>
      </c>
      <c r="AU3978" s="2"/>
      <c r="AV3978" s="2"/>
      <c r="AW3978" s="2"/>
      <c r="AX3978" s="2"/>
      <c r="AY3978" s="2">
        <v>41</v>
      </c>
      <c r="AZ3978" s="2" t="s">
        <v>82</v>
      </c>
      <c r="BA3978" s="2">
        <v>41</v>
      </c>
      <c r="BB3978" s="2" t="s">
        <v>82</v>
      </c>
      <c r="BC3978" s="2">
        <v>41</v>
      </c>
      <c r="BD3978" s="2" t="s">
        <v>82</v>
      </c>
      <c r="BE3978" s="2">
        <v>41</v>
      </c>
      <c r="BF3978" s="2" t="s">
        <v>82</v>
      </c>
      <c r="BG3978" s="2"/>
      <c r="BH3978" s="2"/>
      <c r="BI3978" s="2"/>
      <c r="BJ3978" s="2">
        <v>241</v>
      </c>
      <c r="BK3978" s="2" t="s">
        <v>82</v>
      </c>
      <c r="BL3978" s="2"/>
      <c r="BM3978" s="2">
        <v>241</v>
      </c>
      <c r="BN3978" s="2" t="s">
        <v>82</v>
      </c>
      <c r="BO3978" s="2"/>
      <c r="BP3978" s="2">
        <v>241</v>
      </c>
      <c r="BQ3978" s="2" t="s">
        <v>82</v>
      </c>
      <c r="BR3978" s="2"/>
      <c r="BS3978" s="3">
        <v>40449</v>
      </c>
      <c r="BT3978" s="4">
        <v>0.88832175925925927</v>
      </c>
    </row>
    <row r="3979" spans="1:72" x14ac:dyDescent="0.25">
      <c r="A3979" s="2">
        <v>5944</v>
      </c>
      <c r="B3979" s="2">
        <v>2010</v>
      </c>
      <c r="C3979" s="2" t="s">
        <v>385</v>
      </c>
      <c r="D3979" s="2" t="s">
        <v>122</v>
      </c>
      <c r="E3979" s="2"/>
      <c r="F3979" s="2">
        <v>145</v>
      </c>
      <c r="G3979" s="2" t="s">
        <v>1247</v>
      </c>
      <c r="H3979" s="2">
        <v>22</v>
      </c>
      <c r="I3979" s="2" t="s">
        <v>75</v>
      </c>
      <c r="J3979" s="2">
        <v>668</v>
      </c>
      <c r="K3979" s="2" t="s">
        <v>12547</v>
      </c>
      <c r="L3979" s="2" t="s">
        <v>12548</v>
      </c>
      <c r="M3979" s="3">
        <v>40449</v>
      </c>
      <c r="N3979" s="2" t="s">
        <v>12549</v>
      </c>
      <c r="O3979" s="2" t="s">
        <v>12550</v>
      </c>
      <c r="P3979" s="2" t="s">
        <v>12551</v>
      </c>
      <c r="Q3979" s="2" t="str">
        <f>"N/C"</f>
        <v>N/C</v>
      </c>
      <c r="R3979" s="2" t="s">
        <v>82</v>
      </c>
      <c r="S3979" s="2" t="s">
        <v>82</v>
      </c>
      <c r="T3979" s="2">
        <v>1</v>
      </c>
      <c r="U3979" s="2" t="s">
        <v>79</v>
      </c>
      <c r="V3979" s="2">
        <v>1</v>
      </c>
      <c r="W3979" s="2" t="s">
        <v>80</v>
      </c>
      <c r="X3979" s="2">
        <v>4</v>
      </c>
      <c r="Y3979" s="2" t="s">
        <v>463</v>
      </c>
      <c r="Z3979" s="2">
        <v>1</v>
      </c>
      <c r="AA3979" s="2" t="s">
        <v>82</v>
      </c>
      <c r="AB3979" s="2">
        <v>9</v>
      </c>
      <c r="AC3979" s="2" t="s">
        <v>124</v>
      </c>
      <c r="AD3979" s="3">
        <v>40449</v>
      </c>
      <c r="AE3979" s="4">
        <v>0.90277777777777779</v>
      </c>
      <c r="AF3979" s="3">
        <v>40449</v>
      </c>
      <c r="AG3979" s="2"/>
      <c r="AH3979" s="2">
        <v>6</v>
      </c>
      <c r="AI3979" s="2" t="s">
        <v>197</v>
      </c>
      <c r="AJ3979" s="2">
        <v>60</v>
      </c>
      <c r="AK3979" s="2" t="s">
        <v>543</v>
      </c>
      <c r="AL3979" s="2">
        <v>9</v>
      </c>
      <c r="AM3979" s="2" t="s">
        <v>259</v>
      </c>
      <c r="AN3979" s="2" t="s">
        <v>82</v>
      </c>
      <c r="AO3979" s="2" t="s">
        <v>12552</v>
      </c>
      <c r="AP3979" s="2">
        <v>11</v>
      </c>
      <c r="AQ3979" s="2" t="s">
        <v>82</v>
      </c>
      <c r="AR3979" s="2" t="s">
        <v>82</v>
      </c>
      <c r="AS3979" s="2" t="s">
        <v>82</v>
      </c>
      <c r="AT3979" s="2" t="s">
        <v>12553</v>
      </c>
      <c r="AU3979" s="2">
        <v>1</v>
      </c>
      <c r="AV3979" s="2"/>
      <c r="AW3979" s="2"/>
      <c r="AX3979" s="2"/>
      <c r="AY3979" s="2">
        <v>41</v>
      </c>
      <c r="AZ3979" s="2" t="s">
        <v>82</v>
      </c>
      <c r="BA3979" s="2">
        <v>41</v>
      </c>
      <c r="BB3979" s="2" t="s">
        <v>82</v>
      </c>
      <c r="BC3979" s="2">
        <v>41</v>
      </c>
      <c r="BD3979" s="2" t="s">
        <v>82</v>
      </c>
      <c r="BE3979" s="2">
        <v>13</v>
      </c>
      <c r="BF3979" s="2" t="s">
        <v>108</v>
      </c>
      <c r="BG3979" s="2" t="s">
        <v>12554</v>
      </c>
      <c r="BH3979" s="4">
        <v>0.875</v>
      </c>
      <c r="BI3979" s="4">
        <v>0.90277777777777779</v>
      </c>
      <c r="BJ3979" s="2">
        <v>241</v>
      </c>
      <c r="BK3979" s="2" t="s">
        <v>82</v>
      </c>
      <c r="BL3979" s="2" t="s">
        <v>185</v>
      </c>
      <c r="BM3979" s="2">
        <v>13</v>
      </c>
      <c r="BN3979" s="2" t="s">
        <v>91</v>
      </c>
      <c r="BO3979" s="2"/>
      <c r="BP3979" s="2">
        <v>13</v>
      </c>
      <c r="BQ3979" s="2" t="s">
        <v>91</v>
      </c>
      <c r="BR3979" s="2" t="s">
        <v>895</v>
      </c>
      <c r="BS3979" s="3">
        <v>40449</v>
      </c>
      <c r="BT3979" s="4">
        <v>0.93295138888888884</v>
      </c>
    </row>
    <row r="3980" spans="1:72" x14ac:dyDescent="0.25">
      <c r="A3980" s="2">
        <v>5945</v>
      </c>
      <c r="B3980" s="2">
        <v>2010</v>
      </c>
      <c r="C3980" s="2" t="s">
        <v>4543</v>
      </c>
      <c r="D3980" s="2" t="s">
        <v>122</v>
      </c>
      <c r="E3980" s="2"/>
      <c r="F3980" s="2">
        <v>680</v>
      </c>
      <c r="G3980" s="2" t="s">
        <v>12555</v>
      </c>
      <c r="H3980" s="2">
        <v>1</v>
      </c>
      <c r="I3980" s="2" t="s">
        <v>82</v>
      </c>
      <c r="J3980" s="2">
        <v>669</v>
      </c>
      <c r="K3980" s="2" t="s">
        <v>1791</v>
      </c>
      <c r="L3980" s="2" t="s">
        <v>12556</v>
      </c>
      <c r="M3980" s="3">
        <v>40450</v>
      </c>
      <c r="N3980" s="2"/>
      <c r="O3980" s="2"/>
      <c r="P3980" s="2"/>
      <c r="Q3980" s="2" t="str">
        <f>"172/10"</f>
        <v>172/10</v>
      </c>
      <c r="R3980" s="2"/>
      <c r="S3980" s="2"/>
      <c r="T3980" s="2">
        <v>2</v>
      </c>
      <c r="U3980" s="2" t="s">
        <v>123</v>
      </c>
      <c r="V3980" s="2">
        <v>1</v>
      </c>
      <c r="W3980" s="2" t="s">
        <v>80</v>
      </c>
      <c r="X3980" s="2">
        <v>1</v>
      </c>
      <c r="Y3980" s="2" t="s">
        <v>81</v>
      </c>
      <c r="Z3980" s="2">
        <v>1</v>
      </c>
      <c r="AA3980" s="2" t="s">
        <v>82</v>
      </c>
      <c r="AB3980" s="2">
        <v>9</v>
      </c>
      <c r="AC3980" s="2" t="s">
        <v>124</v>
      </c>
      <c r="AD3980" s="3">
        <v>40449</v>
      </c>
      <c r="AE3980" s="4">
        <v>0.89583333333333337</v>
      </c>
      <c r="AF3980" s="2"/>
      <c r="AG3980" s="2"/>
      <c r="AH3980" s="2">
        <v>5</v>
      </c>
      <c r="AI3980" s="2" t="s">
        <v>274</v>
      </c>
      <c r="AJ3980" s="2">
        <v>37</v>
      </c>
      <c r="AK3980" s="2" t="s">
        <v>497</v>
      </c>
      <c r="AL3980" s="2">
        <v>14</v>
      </c>
      <c r="AM3980" s="2" t="s">
        <v>216</v>
      </c>
      <c r="AN3980" s="2" t="s">
        <v>12557</v>
      </c>
      <c r="AO3980" s="2" t="s">
        <v>12558</v>
      </c>
      <c r="AP3980" s="2">
        <v>11</v>
      </c>
      <c r="AQ3980" s="2" t="s">
        <v>82</v>
      </c>
      <c r="AR3980" s="2"/>
      <c r="AS3980" s="2"/>
      <c r="AT3980" s="2" t="s">
        <v>12559</v>
      </c>
      <c r="AU3980" s="2"/>
      <c r="AV3980" s="2"/>
      <c r="AW3980" s="2"/>
      <c r="AX3980" s="2"/>
      <c r="AY3980" s="2">
        <v>41</v>
      </c>
      <c r="AZ3980" s="2" t="s">
        <v>82</v>
      </c>
      <c r="BA3980" s="2">
        <v>41</v>
      </c>
      <c r="BB3980" s="2" t="s">
        <v>82</v>
      </c>
      <c r="BC3980" s="2">
        <v>41</v>
      </c>
      <c r="BD3980" s="2" t="s">
        <v>82</v>
      </c>
      <c r="BE3980" s="2">
        <v>13</v>
      </c>
      <c r="BF3980" s="2" t="s">
        <v>108</v>
      </c>
      <c r="BG3980" s="2">
        <v>1759</v>
      </c>
      <c r="BH3980" s="4">
        <v>0</v>
      </c>
      <c r="BI3980" s="4">
        <v>0.94444444444444453</v>
      </c>
      <c r="BJ3980" s="2">
        <v>13</v>
      </c>
      <c r="BK3980" s="2" t="s">
        <v>91</v>
      </c>
      <c r="BL3980" s="2" t="s">
        <v>170</v>
      </c>
      <c r="BM3980" s="2">
        <v>13</v>
      </c>
      <c r="BN3980" s="2" t="s">
        <v>91</v>
      </c>
      <c r="BO3980" s="2"/>
      <c r="BP3980" s="2">
        <v>13</v>
      </c>
      <c r="BQ3980" s="2" t="s">
        <v>91</v>
      </c>
      <c r="BR3980" s="2" t="s">
        <v>12380</v>
      </c>
      <c r="BS3980" s="3">
        <v>40450</v>
      </c>
      <c r="BT3980" s="4">
        <v>6.3657407407407402E-4</v>
      </c>
    </row>
    <row r="3981" spans="1:72" x14ac:dyDescent="0.25">
      <c r="A3981" s="2">
        <v>5946</v>
      </c>
      <c r="B3981" s="2">
        <v>2010</v>
      </c>
      <c r="C3981" s="2" t="s">
        <v>385</v>
      </c>
      <c r="D3981" s="2" t="s">
        <v>122</v>
      </c>
      <c r="E3981" s="2"/>
      <c r="F3981" s="2">
        <v>1</v>
      </c>
      <c r="G3981" s="2" t="s">
        <v>82</v>
      </c>
      <c r="H3981" s="2">
        <v>50</v>
      </c>
      <c r="I3981" s="2" t="s">
        <v>107</v>
      </c>
      <c r="J3981" s="2">
        <v>1</v>
      </c>
      <c r="K3981" s="2" t="s">
        <v>107</v>
      </c>
      <c r="L3981" s="2" t="s">
        <v>107</v>
      </c>
      <c r="M3981" s="3">
        <v>40450</v>
      </c>
      <c r="N3981" s="2"/>
      <c r="O3981" s="2"/>
      <c r="P3981" s="2"/>
      <c r="Q3981" s="2" t="str">
        <f>""</f>
        <v/>
      </c>
      <c r="R3981" s="2"/>
      <c r="S3981" s="2"/>
      <c r="T3981" s="2">
        <v>1</v>
      </c>
      <c r="U3981" s="2" t="s">
        <v>79</v>
      </c>
      <c r="V3981" s="2">
        <v>1</v>
      </c>
      <c r="W3981" s="2" t="s">
        <v>80</v>
      </c>
      <c r="X3981" s="2">
        <v>11</v>
      </c>
      <c r="Y3981" s="2" t="s">
        <v>1920</v>
      </c>
      <c r="Z3981" s="2">
        <v>1</v>
      </c>
      <c r="AA3981" s="2" t="s">
        <v>82</v>
      </c>
      <c r="AB3981" s="2">
        <v>9</v>
      </c>
      <c r="AC3981" s="2" t="s">
        <v>124</v>
      </c>
      <c r="AD3981" s="3">
        <v>40450</v>
      </c>
      <c r="AE3981" s="4">
        <v>3.4722222222222224E-2</v>
      </c>
      <c r="AF3981" s="2"/>
      <c r="AG3981" s="2"/>
      <c r="AH3981" s="2">
        <v>2</v>
      </c>
      <c r="AI3981" s="2" t="s">
        <v>84</v>
      </c>
      <c r="AJ3981" s="2">
        <v>12</v>
      </c>
      <c r="AK3981" s="2" t="s">
        <v>85</v>
      </c>
      <c r="AL3981" s="2">
        <v>10</v>
      </c>
      <c r="AM3981" s="2" t="s">
        <v>200</v>
      </c>
      <c r="AN3981" s="2"/>
      <c r="AO3981" s="2" t="s">
        <v>12560</v>
      </c>
      <c r="AP3981" s="2">
        <v>11</v>
      </c>
      <c r="AQ3981" s="2" t="s">
        <v>82</v>
      </c>
      <c r="AR3981" s="2"/>
      <c r="AS3981" s="2"/>
      <c r="AT3981" s="2" t="s">
        <v>12561</v>
      </c>
      <c r="AU3981" s="2">
        <v>1</v>
      </c>
      <c r="AV3981" s="2"/>
      <c r="AW3981" s="2"/>
      <c r="AX3981" s="2"/>
      <c r="AY3981" s="2">
        <v>41</v>
      </c>
      <c r="AZ3981" s="2" t="s">
        <v>82</v>
      </c>
      <c r="BA3981" s="2">
        <v>41</v>
      </c>
      <c r="BB3981" s="2" t="s">
        <v>82</v>
      </c>
      <c r="BC3981" s="2">
        <v>70</v>
      </c>
      <c r="BD3981" s="2" t="s">
        <v>236</v>
      </c>
      <c r="BE3981" s="2">
        <v>13</v>
      </c>
      <c r="BF3981" s="2" t="s">
        <v>108</v>
      </c>
      <c r="BG3981" s="2" t="s">
        <v>12554</v>
      </c>
      <c r="BH3981" s="4">
        <v>4.7916666666666663E-2</v>
      </c>
      <c r="BI3981" s="2"/>
      <c r="BJ3981" s="2">
        <v>13</v>
      </c>
      <c r="BK3981" s="2" t="s">
        <v>91</v>
      </c>
      <c r="BL3981" s="2" t="s">
        <v>895</v>
      </c>
      <c r="BM3981" s="2">
        <v>241</v>
      </c>
      <c r="BN3981" s="2" t="s">
        <v>82</v>
      </c>
      <c r="BO3981" s="2"/>
      <c r="BP3981" s="2">
        <v>13</v>
      </c>
      <c r="BQ3981" s="2" t="s">
        <v>91</v>
      </c>
      <c r="BR3981" s="2" t="s">
        <v>185</v>
      </c>
      <c r="BS3981" s="3">
        <v>40450</v>
      </c>
      <c r="BT3981" s="4">
        <v>0.10857638888888889</v>
      </c>
    </row>
    <row r="3982" spans="1:72" x14ac:dyDescent="0.25">
      <c r="A3982" s="2">
        <v>5947</v>
      </c>
      <c r="B3982" s="2">
        <v>2010</v>
      </c>
      <c r="C3982" s="2" t="s">
        <v>72</v>
      </c>
      <c r="D3982" s="2" t="s">
        <v>73</v>
      </c>
      <c r="E3982" s="2"/>
      <c r="F3982" s="2">
        <v>390</v>
      </c>
      <c r="G3982" s="2" t="s">
        <v>475</v>
      </c>
      <c r="H3982" s="2">
        <v>7</v>
      </c>
      <c r="I3982" s="2" t="s">
        <v>476</v>
      </c>
      <c r="J3982" s="2">
        <v>533</v>
      </c>
      <c r="K3982" s="2" t="s">
        <v>6511</v>
      </c>
      <c r="L3982" s="2" t="s">
        <v>478</v>
      </c>
      <c r="M3982" s="3">
        <v>40450</v>
      </c>
      <c r="N3982" s="2" t="s">
        <v>580</v>
      </c>
      <c r="O3982" s="2"/>
      <c r="P3982" s="2"/>
      <c r="Q3982" s="2" t="str">
        <f>"499-E/10"</f>
        <v>499-E/10</v>
      </c>
      <c r="R3982" s="2" t="s">
        <v>116</v>
      </c>
      <c r="S3982" s="2" t="s">
        <v>116</v>
      </c>
      <c r="T3982" s="2">
        <v>1</v>
      </c>
      <c r="U3982" s="2" t="s">
        <v>79</v>
      </c>
      <c r="V3982" s="2">
        <v>1</v>
      </c>
      <c r="W3982" s="2" t="s">
        <v>80</v>
      </c>
      <c r="X3982" s="2">
        <v>12</v>
      </c>
      <c r="Y3982" s="2" t="s">
        <v>148</v>
      </c>
      <c r="Z3982" s="2">
        <v>1</v>
      </c>
      <c r="AA3982" s="2" t="s">
        <v>82</v>
      </c>
      <c r="AB3982" s="2">
        <v>6</v>
      </c>
      <c r="AC3982" s="2" t="s">
        <v>83</v>
      </c>
      <c r="AD3982" s="3">
        <v>40449</v>
      </c>
      <c r="AE3982" s="2"/>
      <c r="AF3982" s="3">
        <v>40449</v>
      </c>
      <c r="AG3982" s="2"/>
      <c r="AH3982" s="2">
        <v>2</v>
      </c>
      <c r="AI3982" s="2" t="s">
        <v>84</v>
      </c>
      <c r="AJ3982" s="2">
        <v>9</v>
      </c>
      <c r="AK3982" s="2" t="s">
        <v>103</v>
      </c>
      <c r="AL3982" s="2">
        <v>14</v>
      </c>
      <c r="AM3982" s="2" t="s">
        <v>216</v>
      </c>
      <c r="AN3982" s="2" t="s">
        <v>1473</v>
      </c>
      <c r="AO3982" s="2" t="s">
        <v>12562</v>
      </c>
      <c r="AP3982" s="2">
        <v>11</v>
      </c>
      <c r="AQ3982" s="2" t="s">
        <v>82</v>
      </c>
      <c r="AR3982" s="2"/>
      <c r="AS3982" s="2"/>
      <c r="AT3982" s="2" t="s">
        <v>12563</v>
      </c>
      <c r="AU3982" s="2">
        <v>1</v>
      </c>
      <c r="AV3982" s="2"/>
      <c r="AW3982" s="2"/>
      <c r="AX3982" s="2"/>
      <c r="AY3982" s="2">
        <v>69</v>
      </c>
      <c r="AZ3982" s="2" t="s">
        <v>483</v>
      </c>
      <c r="BA3982" s="2">
        <v>69</v>
      </c>
      <c r="BB3982" s="2" t="s">
        <v>483</v>
      </c>
      <c r="BC3982" s="2">
        <v>41</v>
      </c>
      <c r="BD3982" s="2" t="s">
        <v>82</v>
      </c>
      <c r="BE3982" s="2">
        <v>41</v>
      </c>
      <c r="BF3982" s="2" t="s">
        <v>82</v>
      </c>
      <c r="BG3982" s="2"/>
      <c r="BH3982" s="2"/>
      <c r="BI3982" s="2"/>
      <c r="BJ3982" s="2">
        <v>241</v>
      </c>
      <c r="BK3982" s="2" t="s">
        <v>82</v>
      </c>
      <c r="BL3982" s="2"/>
      <c r="BM3982" s="2">
        <v>241</v>
      </c>
      <c r="BN3982" s="2" t="s">
        <v>82</v>
      </c>
      <c r="BO3982" s="2"/>
      <c r="BP3982" s="2">
        <v>241</v>
      </c>
      <c r="BQ3982" s="2" t="s">
        <v>82</v>
      </c>
      <c r="BR3982" s="2"/>
      <c r="BS3982" s="3">
        <v>40450</v>
      </c>
      <c r="BT3982" s="4">
        <v>0.24695601851851853</v>
      </c>
    </row>
    <row r="3983" spans="1:72" x14ac:dyDescent="0.25">
      <c r="A3983" s="2">
        <v>5948</v>
      </c>
      <c r="B3983" s="2">
        <v>2010</v>
      </c>
      <c r="C3983" s="2" t="s">
        <v>806</v>
      </c>
      <c r="D3983" s="2" t="s">
        <v>73</v>
      </c>
      <c r="E3983" s="2"/>
      <c r="F3983" s="2">
        <v>54</v>
      </c>
      <c r="G3983" s="2" t="s">
        <v>2963</v>
      </c>
      <c r="H3983" s="2">
        <v>89</v>
      </c>
      <c r="I3983" s="2" t="s">
        <v>5137</v>
      </c>
      <c r="J3983" s="2">
        <v>516</v>
      </c>
      <c r="K3983" s="2" t="s">
        <v>5138</v>
      </c>
      <c r="L3983" s="2" t="s">
        <v>5139</v>
      </c>
      <c r="M3983" s="3">
        <v>40450</v>
      </c>
      <c r="N3983" s="2" t="s">
        <v>12564</v>
      </c>
      <c r="O3983" s="2" t="s">
        <v>11584</v>
      </c>
      <c r="P3983" s="2" t="s">
        <v>12565</v>
      </c>
      <c r="Q3983" s="2" t="str">
        <f>""</f>
        <v/>
      </c>
      <c r="R3983" s="2"/>
      <c r="S3983" s="2"/>
      <c r="T3983" s="2">
        <v>1</v>
      </c>
      <c r="U3983" s="2" t="s">
        <v>79</v>
      </c>
      <c r="V3983" s="2">
        <v>1</v>
      </c>
      <c r="W3983" s="2" t="s">
        <v>80</v>
      </c>
      <c r="X3983" s="2">
        <v>7</v>
      </c>
      <c r="Y3983" s="2" t="s">
        <v>1964</v>
      </c>
      <c r="Z3983" s="2">
        <v>1</v>
      </c>
      <c r="AA3983" s="2" t="s">
        <v>82</v>
      </c>
      <c r="AB3983" s="2">
        <v>9</v>
      </c>
      <c r="AC3983" s="2" t="s">
        <v>124</v>
      </c>
      <c r="AD3983" s="3">
        <v>40449</v>
      </c>
      <c r="AE3983" s="4">
        <v>0.66666666666666663</v>
      </c>
      <c r="AF3983" s="2"/>
      <c r="AG3983" s="4">
        <v>0.45833333333333331</v>
      </c>
      <c r="AH3983" s="2">
        <v>7</v>
      </c>
      <c r="AI3983" s="2" t="s">
        <v>801</v>
      </c>
      <c r="AJ3983" s="2">
        <v>4</v>
      </c>
      <c r="AK3983" s="2" t="s">
        <v>2397</v>
      </c>
      <c r="AL3983" s="2">
        <v>23</v>
      </c>
      <c r="AM3983" s="2" t="s">
        <v>251</v>
      </c>
      <c r="AN3983" s="2"/>
      <c r="AO3983" s="2" t="s">
        <v>12566</v>
      </c>
      <c r="AP3983" s="2">
        <v>11</v>
      </c>
      <c r="AQ3983" s="2" t="s">
        <v>82</v>
      </c>
      <c r="AR3983" s="2"/>
      <c r="AS3983" s="2"/>
      <c r="AT3983" s="2" t="s">
        <v>12567</v>
      </c>
      <c r="AU3983" s="2">
        <v>1</v>
      </c>
      <c r="AV3983" s="2"/>
      <c r="AW3983" s="2"/>
      <c r="AX3983" s="2"/>
      <c r="AY3983" s="2">
        <v>41</v>
      </c>
      <c r="AZ3983" s="2" t="s">
        <v>82</v>
      </c>
      <c r="BA3983" s="2">
        <v>41</v>
      </c>
      <c r="BB3983" s="2" t="s">
        <v>82</v>
      </c>
      <c r="BC3983" s="2">
        <v>41</v>
      </c>
      <c r="BD3983" s="2" t="s">
        <v>82</v>
      </c>
      <c r="BE3983" s="2">
        <v>41</v>
      </c>
      <c r="BF3983" s="2" t="s">
        <v>82</v>
      </c>
      <c r="BG3983" s="2"/>
      <c r="BH3983" s="2"/>
      <c r="BI3983" s="2"/>
      <c r="BJ3983" s="2">
        <v>241</v>
      </c>
      <c r="BK3983" s="2" t="s">
        <v>82</v>
      </c>
      <c r="BL3983" s="2"/>
      <c r="BM3983" s="2">
        <v>241</v>
      </c>
      <c r="BN3983" s="2" t="s">
        <v>82</v>
      </c>
      <c r="BO3983" s="2"/>
      <c r="BP3983" s="2">
        <v>241</v>
      </c>
      <c r="BQ3983" s="2" t="s">
        <v>82</v>
      </c>
      <c r="BR3983" s="2"/>
      <c r="BS3983" s="3">
        <v>40450</v>
      </c>
      <c r="BT3983" s="4">
        <v>0.26489583333333333</v>
      </c>
    </row>
    <row r="3984" spans="1:72" x14ac:dyDescent="0.25">
      <c r="A3984" s="2">
        <v>5949</v>
      </c>
      <c r="B3984" s="2">
        <v>2010</v>
      </c>
      <c r="C3984" s="2" t="s">
        <v>554</v>
      </c>
      <c r="D3984" s="2" t="s">
        <v>122</v>
      </c>
      <c r="E3984" s="2" t="s">
        <v>12513</v>
      </c>
      <c r="F3984" s="2">
        <v>2</v>
      </c>
      <c r="G3984" s="2" t="s">
        <v>113</v>
      </c>
      <c r="H3984" s="2">
        <v>1</v>
      </c>
      <c r="I3984" s="2" t="s">
        <v>82</v>
      </c>
      <c r="J3984" s="2">
        <v>300</v>
      </c>
      <c r="K3984" s="2" t="s">
        <v>114</v>
      </c>
      <c r="L3984" s="2" t="s">
        <v>115</v>
      </c>
      <c r="M3984" s="3">
        <v>40450</v>
      </c>
      <c r="N3984" s="2"/>
      <c r="O3984" s="2"/>
      <c r="P3984" s="2"/>
      <c r="Q3984" s="2" t="str">
        <f>"497-E/10"</f>
        <v>497-E/10</v>
      </c>
      <c r="R3984" s="2" t="s">
        <v>1130</v>
      </c>
      <c r="S3984" s="2"/>
      <c r="T3984" s="2">
        <v>1</v>
      </c>
      <c r="U3984" s="2" t="s">
        <v>79</v>
      </c>
      <c r="V3984" s="2">
        <v>1</v>
      </c>
      <c r="W3984" s="2" t="s">
        <v>80</v>
      </c>
      <c r="X3984" s="2">
        <v>12</v>
      </c>
      <c r="Y3984" s="2" t="s">
        <v>148</v>
      </c>
      <c r="Z3984" s="2">
        <v>1</v>
      </c>
      <c r="AA3984" s="2" t="s">
        <v>82</v>
      </c>
      <c r="AB3984" s="2">
        <v>5</v>
      </c>
      <c r="AC3984" s="2" t="s">
        <v>559</v>
      </c>
      <c r="AD3984" s="3">
        <v>40448</v>
      </c>
      <c r="AE3984" s="4">
        <v>0.77083333333333337</v>
      </c>
      <c r="AF3984" s="3">
        <v>40448</v>
      </c>
      <c r="AG3984" s="4">
        <v>0.87847222222222221</v>
      </c>
      <c r="AH3984" s="2">
        <v>2</v>
      </c>
      <c r="AI3984" s="2" t="s">
        <v>84</v>
      </c>
      <c r="AJ3984" s="2">
        <v>9</v>
      </c>
      <c r="AK3984" s="2" t="s">
        <v>103</v>
      </c>
      <c r="AL3984" s="2">
        <v>24</v>
      </c>
      <c r="AM3984" s="2" t="s">
        <v>1540</v>
      </c>
      <c r="AN3984" s="2"/>
      <c r="AO3984" s="2" t="s">
        <v>12499</v>
      </c>
      <c r="AP3984" s="2">
        <v>11</v>
      </c>
      <c r="AQ3984" s="2" t="s">
        <v>82</v>
      </c>
      <c r="AR3984" s="2"/>
      <c r="AS3984" s="2"/>
      <c r="AT3984" s="2" t="s">
        <v>12568</v>
      </c>
      <c r="AU3984" s="2"/>
      <c r="AV3984" s="2"/>
      <c r="AW3984" s="2">
        <v>1</v>
      </c>
      <c r="AX3984" s="2"/>
      <c r="AY3984" s="2">
        <v>41</v>
      </c>
      <c r="AZ3984" s="2" t="s">
        <v>82</v>
      </c>
      <c r="BA3984" s="2">
        <v>41</v>
      </c>
      <c r="BB3984" s="2" t="s">
        <v>82</v>
      </c>
      <c r="BC3984" s="2">
        <v>41</v>
      </c>
      <c r="BD3984" s="2" t="s">
        <v>82</v>
      </c>
      <c r="BE3984" s="2">
        <v>25</v>
      </c>
      <c r="BF3984" s="2" t="s">
        <v>358</v>
      </c>
      <c r="BG3984" s="2" t="s">
        <v>12515</v>
      </c>
      <c r="BH3984" s="4">
        <v>0.76041666666666663</v>
      </c>
      <c r="BI3984" s="2"/>
      <c r="BJ3984" s="2">
        <v>33</v>
      </c>
      <c r="BK3984" s="2" t="s">
        <v>361</v>
      </c>
      <c r="BL3984" s="2" t="s">
        <v>1739</v>
      </c>
      <c r="BM3984" s="2">
        <v>241</v>
      </c>
      <c r="BN3984" s="2" t="s">
        <v>82</v>
      </c>
      <c r="BO3984" s="2"/>
      <c r="BP3984" s="2">
        <v>13</v>
      </c>
      <c r="BQ3984" s="2" t="s">
        <v>91</v>
      </c>
      <c r="BR3984" s="2" t="s">
        <v>185</v>
      </c>
      <c r="BS3984" s="3">
        <v>40450</v>
      </c>
      <c r="BT3984" s="4">
        <v>0.27259259259259255</v>
      </c>
    </row>
    <row r="3985" spans="1:72" x14ac:dyDescent="0.25">
      <c r="A3985" s="2">
        <v>5952</v>
      </c>
      <c r="B3985" s="2">
        <v>2010</v>
      </c>
      <c r="C3985" s="2" t="s">
        <v>72</v>
      </c>
      <c r="D3985" s="2" t="s">
        <v>73</v>
      </c>
      <c r="E3985" s="2"/>
      <c r="F3985" s="2">
        <v>481</v>
      </c>
      <c r="G3985" s="2" t="s">
        <v>1438</v>
      </c>
      <c r="H3985" s="2">
        <v>1</v>
      </c>
      <c r="I3985" s="2" t="s">
        <v>82</v>
      </c>
      <c r="J3985" s="2">
        <v>58</v>
      </c>
      <c r="K3985" s="2" t="s">
        <v>3405</v>
      </c>
      <c r="L3985" s="2" t="s">
        <v>1692</v>
      </c>
      <c r="M3985" s="3">
        <v>40450</v>
      </c>
      <c r="N3985" s="2" t="s">
        <v>82</v>
      </c>
      <c r="O3985" s="2" t="s">
        <v>78</v>
      </c>
      <c r="P3985" s="2" t="s">
        <v>107</v>
      </c>
      <c r="Q3985" s="2" t="str">
        <f>"43/10"</f>
        <v>43/10</v>
      </c>
      <c r="R3985" s="2" t="s">
        <v>116</v>
      </c>
      <c r="S3985" s="2" t="s">
        <v>116</v>
      </c>
      <c r="T3985" s="2">
        <v>1</v>
      </c>
      <c r="U3985" s="2" t="s">
        <v>79</v>
      </c>
      <c r="V3985" s="2">
        <v>1</v>
      </c>
      <c r="W3985" s="2" t="s">
        <v>80</v>
      </c>
      <c r="X3985" s="2">
        <v>12</v>
      </c>
      <c r="Y3985" s="2" t="s">
        <v>148</v>
      </c>
      <c r="Z3985" s="2">
        <v>1</v>
      </c>
      <c r="AA3985" s="2" t="s">
        <v>82</v>
      </c>
      <c r="AB3985" s="2">
        <v>6</v>
      </c>
      <c r="AC3985" s="2" t="s">
        <v>83</v>
      </c>
      <c r="AD3985" s="3">
        <v>40447</v>
      </c>
      <c r="AE3985" s="2"/>
      <c r="AF3985" s="3">
        <v>40449</v>
      </c>
      <c r="AG3985" s="4">
        <v>0.4513888888888889</v>
      </c>
      <c r="AH3985" s="2">
        <v>3</v>
      </c>
      <c r="AI3985" s="2" t="s">
        <v>214</v>
      </c>
      <c r="AJ3985" s="2">
        <v>17</v>
      </c>
      <c r="AK3985" s="2" t="s">
        <v>309</v>
      </c>
      <c r="AL3985" s="2">
        <v>22</v>
      </c>
      <c r="AM3985" s="2" t="s">
        <v>1853</v>
      </c>
      <c r="AN3985" s="2" t="s">
        <v>82</v>
      </c>
      <c r="AO3985" s="2" t="s">
        <v>82</v>
      </c>
      <c r="AP3985" s="2">
        <v>11</v>
      </c>
      <c r="AQ3985" s="2" t="s">
        <v>82</v>
      </c>
      <c r="AR3985" s="2" t="s">
        <v>82</v>
      </c>
      <c r="AS3985" s="2" t="s">
        <v>82</v>
      </c>
      <c r="AT3985" s="2" t="s">
        <v>12569</v>
      </c>
      <c r="AU3985" s="2"/>
      <c r="AV3985" s="2"/>
      <c r="AW3985" s="2"/>
      <c r="AX3985" s="2"/>
      <c r="AY3985" s="2">
        <v>41</v>
      </c>
      <c r="AZ3985" s="2" t="s">
        <v>82</v>
      </c>
      <c r="BA3985" s="2">
        <v>41</v>
      </c>
      <c r="BB3985" s="2" t="s">
        <v>82</v>
      </c>
      <c r="BC3985" s="2">
        <v>4</v>
      </c>
      <c r="BD3985" s="2" t="s">
        <v>90</v>
      </c>
      <c r="BE3985" s="2">
        <v>4</v>
      </c>
      <c r="BF3985" s="2" t="s">
        <v>90</v>
      </c>
      <c r="BG3985" s="2">
        <v>4250</v>
      </c>
      <c r="BH3985" s="4">
        <v>0.85416666666666663</v>
      </c>
      <c r="BI3985" s="4">
        <v>0.78472222222222221</v>
      </c>
      <c r="BJ3985" s="2">
        <v>13</v>
      </c>
      <c r="BK3985" s="2" t="s">
        <v>91</v>
      </c>
      <c r="BL3985" s="2" t="s">
        <v>12570</v>
      </c>
      <c r="BM3985" s="2">
        <v>13</v>
      </c>
      <c r="BN3985" s="2" t="s">
        <v>91</v>
      </c>
      <c r="BO3985" s="2"/>
      <c r="BP3985" s="2">
        <v>13</v>
      </c>
      <c r="BQ3985" s="2" t="s">
        <v>91</v>
      </c>
      <c r="BR3985" s="2" t="s">
        <v>12571</v>
      </c>
      <c r="BS3985" s="3">
        <v>40450</v>
      </c>
      <c r="BT3985" s="4">
        <v>0.51518518518518519</v>
      </c>
    </row>
    <row r="3986" spans="1:72" x14ac:dyDescent="0.25">
      <c r="A3986" s="2">
        <v>5955</v>
      </c>
      <c r="B3986" s="2">
        <v>2010</v>
      </c>
      <c r="C3986" s="2" t="s">
        <v>806</v>
      </c>
      <c r="D3986" s="2" t="s">
        <v>73</v>
      </c>
      <c r="E3986" s="2"/>
      <c r="F3986" s="2">
        <v>52</v>
      </c>
      <c r="G3986" s="2" t="s">
        <v>2963</v>
      </c>
      <c r="H3986" s="2">
        <v>89</v>
      </c>
      <c r="I3986" s="2" t="s">
        <v>5137</v>
      </c>
      <c r="J3986" s="2">
        <v>516</v>
      </c>
      <c r="K3986" s="2" t="s">
        <v>5138</v>
      </c>
      <c r="L3986" s="2" t="s">
        <v>5139</v>
      </c>
      <c r="M3986" s="3">
        <v>40450</v>
      </c>
      <c r="N3986" s="2" t="s">
        <v>5140</v>
      </c>
      <c r="O3986" s="2" t="s">
        <v>11584</v>
      </c>
      <c r="P3986" s="2" t="s">
        <v>12572</v>
      </c>
      <c r="Q3986" s="2" t="str">
        <f>""</f>
        <v/>
      </c>
      <c r="R3986" s="2"/>
      <c r="S3986" s="2"/>
      <c r="T3986" s="2">
        <v>1</v>
      </c>
      <c r="U3986" s="2" t="s">
        <v>79</v>
      </c>
      <c r="V3986" s="2">
        <v>1</v>
      </c>
      <c r="W3986" s="2" t="s">
        <v>80</v>
      </c>
      <c r="X3986" s="2">
        <v>7</v>
      </c>
      <c r="Y3986" s="2" t="s">
        <v>1964</v>
      </c>
      <c r="Z3986" s="2">
        <v>1</v>
      </c>
      <c r="AA3986" s="2" t="s">
        <v>82</v>
      </c>
      <c r="AB3986" s="2">
        <v>9</v>
      </c>
      <c r="AC3986" s="2" t="s">
        <v>124</v>
      </c>
      <c r="AD3986" s="3">
        <v>40449</v>
      </c>
      <c r="AE3986" s="4">
        <v>0.6875</v>
      </c>
      <c r="AF3986" s="2"/>
      <c r="AG3986" s="4">
        <v>0.45833333333333331</v>
      </c>
      <c r="AH3986" s="2">
        <v>7</v>
      </c>
      <c r="AI3986" s="2" t="s">
        <v>801</v>
      </c>
      <c r="AJ3986" s="2">
        <v>4</v>
      </c>
      <c r="AK3986" s="2" t="s">
        <v>2397</v>
      </c>
      <c r="AL3986" s="2">
        <v>23</v>
      </c>
      <c r="AM3986" s="2" t="s">
        <v>251</v>
      </c>
      <c r="AN3986" s="2"/>
      <c r="AO3986" s="2" t="s">
        <v>12566</v>
      </c>
      <c r="AP3986" s="2">
        <v>11</v>
      </c>
      <c r="AQ3986" s="2" t="s">
        <v>82</v>
      </c>
      <c r="AR3986" s="2"/>
      <c r="AS3986" s="2"/>
      <c r="AT3986" s="2" t="s">
        <v>12573</v>
      </c>
      <c r="AU3986" s="2">
        <v>1</v>
      </c>
      <c r="AV3986" s="2"/>
      <c r="AW3986" s="2"/>
      <c r="AX3986" s="2"/>
      <c r="AY3986" s="2">
        <v>41</v>
      </c>
      <c r="AZ3986" s="2" t="s">
        <v>82</v>
      </c>
      <c r="BA3986" s="2">
        <v>41</v>
      </c>
      <c r="BB3986" s="2" t="s">
        <v>82</v>
      </c>
      <c r="BC3986" s="2">
        <v>41</v>
      </c>
      <c r="BD3986" s="2" t="s">
        <v>82</v>
      </c>
      <c r="BE3986" s="2">
        <v>41</v>
      </c>
      <c r="BF3986" s="2" t="s">
        <v>82</v>
      </c>
      <c r="BG3986" s="2"/>
      <c r="BH3986" s="2"/>
      <c r="BI3986" s="2"/>
      <c r="BJ3986" s="2">
        <v>241</v>
      </c>
      <c r="BK3986" s="2" t="s">
        <v>82</v>
      </c>
      <c r="BL3986" s="2"/>
      <c r="BM3986" s="2">
        <v>241</v>
      </c>
      <c r="BN3986" s="2" t="s">
        <v>82</v>
      </c>
      <c r="BO3986" s="2"/>
      <c r="BP3986" s="2">
        <v>241</v>
      </c>
      <c r="BQ3986" s="2" t="s">
        <v>82</v>
      </c>
      <c r="BR3986" s="2"/>
      <c r="BS3986" s="3">
        <v>40450</v>
      </c>
      <c r="BT3986" s="4">
        <v>0.5687268518518519</v>
      </c>
    </row>
    <row r="3987" spans="1:72" x14ac:dyDescent="0.25">
      <c r="A3987" s="2">
        <v>5956</v>
      </c>
      <c r="B3987" s="2">
        <v>2010</v>
      </c>
      <c r="C3987" s="2" t="s">
        <v>147</v>
      </c>
      <c r="D3987" s="2" t="s">
        <v>73</v>
      </c>
      <c r="E3987" s="2"/>
      <c r="F3987" s="2">
        <v>1</v>
      </c>
      <c r="G3987" s="2" t="s">
        <v>82</v>
      </c>
      <c r="H3987" s="2">
        <v>1</v>
      </c>
      <c r="I3987" s="2" t="s">
        <v>82</v>
      </c>
      <c r="J3987" s="2">
        <v>1</v>
      </c>
      <c r="K3987" s="2" t="s">
        <v>107</v>
      </c>
      <c r="L3987" s="2" t="s">
        <v>107</v>
      </c>
      <c r="M3987" s="3">
        <v>40450</v>
      </c>
      <c r="N3987" s="2"/>
      <c r="O3987" s="2"/>
      <c r="P3987" s="2"/>
      <c r="Q3987" s="2" t="str">
        <f>""</f>
        <v/>
      </c>
      <c r="R3987" s="2"/>
      <c r="S3987" s="2"/>
      <c r="T3987" s="2">
        <v>2</v>
      </c>
      <c r="U3987" s="2" t="s">
        <v>123</v>
      </c>
      <c r="V3987" s="2">
        <v>1</v>
      </c>
      <c r="W3987" s="2" t="s">
        <v>80</v>
      </c>
      <c r="X3987" s="2">
        <v>12</v>
      </c>
      <c r="Y3987" s="2" t="s">
        <v>148</v>
      </c>
      <c r="Z3987" s="2">
        <v>1</v>
      </c>
      <c r="AA3987" s="2" t="s">
        <v>82</v>
      </c>
      <c r="AB3987" s="2">
        <v>9</v>
      </c>
      <c r="AC3987" s="2" t="s">
        <v>124</v>
      </c>
      <c r="AD3987" s="2"/>
      <c r="AE3987" s="2"/>
      <c r="AF3987" s="3">
        <v>40450</v>
      </c>
      <c r="AG3987" s="4">
        <v>0.54166666666666663</v>
      </c>
      <c r="AH3987" s="2">
        <v>3</v>
      </c>
      <c r="AI3987" s="2" t="s">
        <v>214</v>
      </c>
      <c r="AJ3987" s="2">
        <v>24</v>
      </c>
      <c r="AK3987" s="2" t="s">
        <v>215</v>
      </c>
      <c r="AL3987" s="2">
        <v>19</v>
      </c>
      <c r="AM3987" s="2" t="s">
        <v>107</v>
      </c>
      <c r="AN3987" s="2"/>
      <c r="AO3987" s="2"/>
      <c r="AP3987" s="2">
        <v>11</v>
      </c>
      <c r="AQ3987" s="2" t="s">
        <v>82</v>
      </c>
      <c r="AR3987" s="2"/>
      <c r="AS3987" s="2"/>
      <c r="AT3987" s="2" t="s">
        <v>12574</v>
      </c>
      <c r="AU3987" s="2"/>
      <c r="AV3987" s="2"/>
      <c r="AW3987" s="2"/>
      <c r="AX3987" s="2"/>
      <c r="AY3987" s="2">
        <v>70</v>
      </c>
      <c r="AZ3987" s="2" t="s">
        <v>236</v>
      </c>
      <c r="BA3987" s="2">
        <v>41</v>
      </c>
      <c r="BB3987" s="2" t="s">
        <v>82</v>
      </c>
      <c r="BC3987" s="2">
        <v>41</v>
      </c>
      <c r="BD3987" s="2" t="s">
        <v>82</v>
      </c>
      <c r="BE3987" s="2">
        <v>41</v>
      </c>
      <c r="BF3987" s="2" t="s">
        <v>82</v>
      </c>
      <c r="BG3987" s="2"/>
      <c r="BH3987" s="2"/>
      <c r="BI3987" s="2"/>
      <c r="BJ3987" s="2">
        <v>241</v>
      </c>
      <c r="BK3987" s="2" t="s">
        <v>82</v>
      </c>
      <c r="BL3987" s="2"/>
      <c r="BM3987" s="2">
        <v>241</v>
      </c>
      <c r="BN3987" s="2" t="s">
        <v>82</v>
      </c>
      <c r="BO3987" s="2"/>
      <c r="BP3987" s="2">
        <v>241</v>
      </c>
      <c r="BQ3987" s="2" t="s">
        <v>82</v>
      </c>
      <c r="BR3987" s="2"/>
      <c r="BS3987" s="3">
        <v>40450</v>
      </c>
      <c r="BT3987" s="4">
        <v>0.57020833333333332</v>
      </c>
    </row>
    <row r="3988" spans="1:72" x14ac:dyDescent="0.25">
      <c r="A3988" s="2">
        <v>5957</v>
      </c>
      <c r="B3988" s="2">
        <v>2010</v>
      </c>
      <c r="C3988" s="2" t="s">
        <v>196</v>
      </c>
      <c r="D3988" s="2" t="s">
        <v>122</v>
      </c>
      <c r="E3988" s="2"/>
      <c r="F3988" s="2">
        <v>1</v>
      </c>
      <c r="G3988" s="2" t="s">
        <v>82</v>
      </c>
      <c r="H3988" s="2">
        <v>1</v>
      </c>
      <c r="I3988" s="2" t="s">
        <v>82</v>
      </c>
      <c r="J3988" s="2">
        <v>1</v>
      </c>
      <c r="K3988" s="2" t="s">
        <v>107</v>
      </c>
      <c r="L3988" s="2" t="s">
        <v>107</v>
      </c>
      <c r="M3988" s="3">
        <v>40450</v>
      </c>
      <c r="N3988" s="2"/>
      <c r="O3988" s="2"/>
      <c r="P3988" s="2"/>
      <c r="Q3988" s="2" t="str">
        <f>""</f>
        <v/>
      </c>
      <c r="R3988" s="2"/>
      <c r="S3988" s="2"/>
      <c r="T3988" s="2">
        <v>2</v>
      </c>
      <c r="U3988" s="2" t="s">
        <v>123</v>
      </c>
      <c r="V3988" s="2">
        <v>1</v>
      </c>
      <c r="W3988" s="2" t="s">
        <v>80</v>
      </c>
      <c r="X3988" s="2">
        <v>11</v>
      </c>
      <c r="Y3988" s="2" t="s">
        <v>1920</v>
      </c>
      <c r="Z3988" s="2">
        <v>10</v>
      </c>
      <c r="AA3988" s="2" t="s">
        <v>236</v>
      </c>
      <c r="AB3988" s="2">
        <v>9</v>
      </c>
      <c r="AC3988" s="2" t="s">
        <v>124</v>
      </c>
      <c r="AD3988" s="3">
        <v>40450</v>
      </c>
      <c r="AE3988" s="4">
        <v>0.3125</v>
      </c>
      <c r="AF3988" s="2"/>
      <c r="AG3988" s="2"/>
      <c r="AH3988" s="2">
        <v>2</v>
      </c>
      <c r="AI3988" s="2" t="s">
        <v>84</v>
      </c>
      <c r="AJ3988" s="2">
        <v>12</v>
      </c>
      <c r="AK3988" s="2" t="s">
        <v>85</v>
      </c>
      <c r="AL3988" s="2">
        <v>20</v>
      </c>
      <c r="AM3988" s="2" t="s">
        <v>992</v>
      </c>
      <c r="AN3988" s="2"/>
      <c r="AO3988" s="2"/>
      <c r="AP3988" s="2">
        <v>11</v>
      </c>
      <c r="AQ3988" s="2" t="s">
        <v>82</v>
      </c>
      <c r="AR3988" s="2"/>
      <c r="AS3988" s="2"/>
      <c r="AT3988" s="2" t="s">
        <v>12575</v>
      </c>
      <c r="AU3988" s="2"/>
      <c r="AV3988" s="2"/>
      <c r="AW3988" s="2"/>
      <c r="AX3988" s="2"/>
      <c r="AY3988" s="2">
        <v>41</v>
      </c>
      <c r="AZ3988" s="2" t="s">
        <v>82</v>
      </c>
      <c r="BA3988" s="2">
        <v>41</v>
      </c>
      <c r="BB3988" s="2" t="s">
        <v>82</v>
      </c>
      <c r="BC3988" s="2">
        <v>41</v>
      </c>
      <c r="BD3988" s="2" t="s">
        <v>82</v>
      </c>
      <c r="BE3988" s="2">
        <v>41</v>
      </c>
      <c r="BF3988" s="2" t="s">
        <v>82</v>
      </c>
      <c r="BG3988" s="2"/>
      <c r="BH3988" s="2"/>
      <c r="BI3988" s="2"/>
      <c r="BJ3988" s="2">
        <v>241</v>
      </c>
      <c r="BK3988" s="2" t="s">
        <v>82</v>
      </c>
      <c r="BL3988" s="2"/>
      <c r="BM3988" s="2">
        <v>241</v>
      </c>
      <c r="BN3988" s="2" t="s">
        <v>82</v>
      </c>
      <c r="BO3988" s="2"/>
      <c r="BP3988" s="2">
        <v>241</v>
      </c>
      <c r="BQ3988" s="2" t="s">
        <v>82</v>
      </c>
      <c r="BR3988" s="2"/>
      <c r="BS3988" s="3">
        <v>40450</v>
      </c>
      <c r="BT3988" s="4">
        <v>0.58516203703703706</v>
      </c>
    </row>
    <row r="3989" spans="1:72" x14ac:dyDescent="0.25">
      <c r="A3989" s="2">
        <v>5959</v>
      </c>
      <c r="B3989" s="2">
        <v>2010</v>
      </c>
      <c r="C3989" s="2" t="s">
        <v>72</v>
      </c>
      <c r="D3989" s="2" t="s">
        <v>73</v>
      </c>
      <c r="E3989" s="2"/>
      <c r="F3989" s="2">
        <v>167</v>
      </c>
      <c r="G3989" s="2" t="s">
        <v>11567</v>
      </c>
      <c r="H3989" s="2">
        <v>22</v>
      </c>
      <c r="I3989" s="2" t="s">
        <v>75</v>
      </c>
      <c r="J3989" s="2">
        <v>656</v>
      </c>
      <c r="K3989" s="2" t="s">
        <v>11603</v>
      </c>
      <c r="L3989" s="2" t="s">
        <v>4885</v>
      </c>
      <c r="M3989" s="3">
        <v>40450</v>
      </c>
      <c r="N3989" s="2" t="s">
        <v>12576</v>
      </c>
      <c r="O3989" s="2"/>
      <c r="P3989" s="2"/>
      <c r="Q3989" s="2" t="str">
        <f>"386-A/10"</f>
        <v>386-A/10</v>
      </c>
      <c r="R3989" s="2" t="s">
        <v>116</v>
      </c>
      <c r="S3989" s="2" t="s">
        <v>116</v>
      </c>
      <c r="T3989" s="2">
        <v>1</v>
      </c>
      <c r="U3989" s="2" t="s">
        <v>79</v>
      </c>
      <c r="V3989" s="2">
        <v>1</v>
      </c>
      <c r="W3989" s="2" t="s">
        <v>80</v>
      </c>
      <c r="X3989" s="2">
        <v>12</v>
      </c>
      <c r="Y3989" s="2" t="s">
        <v>148</v>
      </c>
      <c r="Z3989" s="2">
        <v>1</v>
      </c>
      <c r="AA3989" s="2" t="s">
        <v>82</v>
      </c>
      <c r="AB3989" s="2">
        <v>6</v>
      </c>
      <c r="AC3989" s="2" t="s">
        <v>83</v>
      </c>
      <c r="AD3989" s="3">
        <v>40450</v>
      </c>
      <c r="AE3989" s="2"/>
      <c r="AF3989" s="3">
        <v>40450</v>
      </c>
      <c r="AG3989" s="4">
        <v>0.49652777777777773</v>
      </c>
      <c r="AH3989" s="2">
        <v>2</v>
      </c>
      <c r="AI3989" s="2" t="s">
        <v>84</v>
      </c>
      <c r="AJ3989" s="2">
        <v>12</v>
      </c>
      <c r="AK3989" s="2" t="s">
        <v>85</v>
      </c>
      <c r="AL3989" s="2">
        <v>2</v>
      </c>
      <c r="AM3989" s="2" t="s">
        <v>163</v>
      </c>
      <c r="AN3989" s="2" t="s">
        <v>12577</v>
      </c>
      <c r="AO3989" s="2" t="s">
        <v>12578</v>
      </c>
      <c r="AP3989" s="2">
        <v>11</v>
      </c>
      <c r="AQ3989" s="2" t="s">
        <v>82</v>
      </c>
      <c r="AR3989" s="2"/>
      <c r="AS3989" s="2"/>
      <c r="AT3989" s="2" t="s">
        <v>12579</v>
      </c>
      <c r="AU3989" s="2"/>
      <c r="AV3989" s="2"/>
      <c r="AW3989" s="2"/>
      <c r="AX3989" s="2"/>
      <c r="AY3989" s="2">
        <v>41</v>
      </c>
      <c r="AZ3989" s="2" t="s">
        <v>82</v>
      </c>
      <c r="BA3989" s="2">
        <v>41</v>
      </c>
      <c r="BB3989" s="2" t="s">
        <v>82</v>
      </c>
      <c r="BC3989" s="2">
        <v>41</v>
      </c>
      <c r="BD3989" s="2" t="s">
        <v>82</v>
      </c>
      <c r="BE3989" s="2">
        <v>13</v>
      </c>
      <c r="BF3989" s="2" t="s">
        <v>108</v>
      </c>
      <c r="BG3989" s="2" t="s">
        <v>12580</v>
      </c>
      <c r="BH3989" s="4">
        <v>0.44791666666666669</v>
      </c>
      <c r="BI3989" s="4">
        <v>0.41666666666666669</v>
      </c>
      <c r="BJ3989" s="2">
        <v>229</v>
      </c>
      <c r="BK3989" s="2" t="s">
        <v>300</v>
      </c>
      <c r="BL3989" s="2" t="s">
        <v>573</v>
      </c>
      <c r="BM3989" s="2">
        <v>229</v>
      </c>
      <c r="BN3989" s="2" t="s">
        <v>300</v>
      </c>
      <c r="BO3989" s="2"/>
      <c r="BP3989" s="2">
        <v>13</v>
      </c>
      <c r="BQ3989" s="2" t="s">
        <v>91</v>
      </c>
      <c r="BR3989" s="2" t="s">
        <v>564</v>
      </c>
      <c r="BS3989" s="3">
        <v>40450</v>
      </c>
      <c r="BT3989" s="4">
        <v>0.6149189814814815</v>
      </c>
    </row>
    <row r="3990" spans="1:72" x14ac:dyDescent="0.25">
      <c r="A3990" s="2">
        <v>5963</v>
      </c>
      <c r="B3990" s="2">
        <v>2010</v>
      </c>
      <c r="C3990" s="2" t="s">
        <v>806</v>
      </c>
      <c r="D3990" s="2" t="s">
        <v>73</v>
      </c>
      <c r="E3990" s="2"/>
      <c r="F3990" s="2">
        <v>52</v>
      </c>
      <c r="G3990" s="2" t="s">
        <v>2963</v>
      </c>
      <c r="H3990" s="2">
        <v>57</v>
      </c>
      <c r="I3990" s="2" t="s">
        <v>3043</v>
      </c>
      <c r="J3990" s="2">
        <v>516</v>
      </c>
      <c r="K3990" s="2" t="s">
        <v>5138</v>
      </c>
      <c r="L3990" s="2" t="s">
        <v>5139</v>
      </c>
      <c r="M3990" s="3">
        <v>40450</v>
      </c>
      <c r="N3990" s="2" t="s">
        <v>5140</v>
      </c>
      <c r="O3990" s="2" t="s">
        <v>11584</v>
      </c>
      <c r="P3990" s="2" t="s">
        <v>12277</v>
      </c>
      <c r="Q3990" s="2" t="str">
        <f>"N/C.-"</f>
        <v>N/C.-</v>
      </c>
      <c r="R3990" s="2" t="s">
        <v>12581</v>
      </c>
      <c r="S3990" s="2" t="s">
        <v>12581</v>
      </c>
      <c r="T3990" s="2">
        <v>1</v>
      </c>
      <c r="U3990" s="2" t="s">
        <v>79</v>
      </c>
      <c r="V3990" s="2">
        <v>1</v>
      </c>
      <c r="W3990" s="2" t="s">
        <v>80</v>
      </c>
      <c r="X3990" s="2">
        <v>7</v>
      </c>
      <c r="Y3990" s="2" t="s">
        <v>1964</v>
      </c>
      <c r="Z3990" s="2">
        <v>1</v>
      </c>
      <c r="AA3990" s="2" t="s">
        <v>82</v>
      </c>
      <c r="AB3990" s="2">
        <v>9</v>
      </c>
      <c r="AC3990" s="2" t="s">
        <v>124</v>
      </c>
      <c r="AD3990" s="3">
        <v>40450</v>
      </c>
      <c r="AE3990" s="4">
        <v>0.34375</v>
      </c>
      <c r="AF3990" s="2"/>
      <c r="AG3990" s="2"/>
      <c r="AH3990" s="2">
        <v>7</v>
      </c>
      <c r="AI3990" s="2" t="s">
        <v>801</v>
      </c>
      <c r="AJ3990" s="2">
        <v>4</v>
      </c>
      <c r="AK3990" s="2" t="s">
        <v>2397</v>
      </c>
      <c r="AL3990" s="2">
        <v>23</v>
      </c>
      <c r="AM3990" s="2" t="s">
        <v>251</v>
      </c>
      <c r="AN3990" s="2" t="s">
        <v>12582</v>
      </c>
      <c r="AO3990" s="2" t="s">
        <v>12583</v>
      </c>
      <c r="AP3990" s="2">
        <v>11</v>
      </c>
      <c r="AQ3990" s="2" t="s">
        <v>82</v>
      </c>
      <c r="AR3990" s="2"/>
      <c r="AS3990" s="2"/>
      <c r="AT3990" s="2" t="s">
        <v>12584</v>
      </c>
      <c r="AU3990" s="2">
        <v>1</v>
      </c>
      <c r="AV3990" s="2"/>
      <c r="AW3990" s="2"/>
      <c r="AX3990" s="2"/>
      <c r="AY3990" s="2">
        <v>41</v>
      </c>
      <c r="AZ3990" s="2" t="s">
        <v>82</v>
      </c>
      <c r="BA3990" s="2">
        <v>41</v>
      </c>
      <c r="BB3990" s="2" t="s">
        <v>82</v>
      </c>
      <c r="BC3990" s="2">
        <v>41</v>
      </c>
      <c r="BD3990" s="2" t="s">
        <v>82</v>
      </c>
      <c r="BE3990" s="2">
        <v>41</v>
      </c>
      <c r="BF3990" s="2" t="s">
        <v>82</v>
      </c>
      <c r="BG3990" s="2"/>
      <c r="BH3990" s="2"/>
      <c r="BI3990" s="2"/>
      <c r="BJ3990" s="2">
        <v>241</v>
      </c>
      <c r="BK3990" s="2" t="s">
        <v>82</v>
      </c>
      <c r="BL3990" s="2"/>
      <c r="BM3990" s="2">
        <v>241</v>
      </c>
      <c r="BN3990" s="2" t="s">
        <v>82</v>
      </c>
      <c r="BO3990" s="2"/>
      <c r="BP3990" s="2">
        <v>241</v>
      </c>
      <c r="BQ3990" s="2" t="s">
        <v>82</v>
      </c>
      <c r="BR3990" s="2"/>
      <c r="BS3990" s="3">
        <v>40450</v>
      </c>
      <c r="BT3990" s="4">
        <v>0.66768518518518516</v>
      </c>
    </row>
    <row r="3991" spans="1:72" x14ac:dyDescent="0.25">
      <c r="A3991" s="2">
        <v>5968</v>
      </c>
      <c r="B3991" s="2">
        <v>2010</v>
      </c>
      <c r="C3991" s="2" t="s">
        <v>806</v>
      </c>
      <c r="D3991" s="2" t="s">
        <v>73</v>
      </c>
      <c r="E3991" s="2"/>
      <c r="F3991" s="2">
        <v>52</v>
      </c>
      <c r="G3991" s="2" t="s">
        <v>2963</v>
      </c>
      <c r="H3991" s="2">
        <v>57</v>
      </c>
      <c r="I3991" s="2" t="s">
        <v>3043</v>
      </c>
      <c r="J3991" s="2">
        <v>516</v>
      </c>
      <c r="K3991" s="2" t="s">
        <v>5138</v>
      </c>
      <c r="L3991" s="2" t="s">
        <v>5139</v>
      </c>
      <c r="M3991" s="3">
        <v>40450</v>
      </c>
      <c r="N3991" s="2" t="s">
        <v>5140</v>
      </c>
      <c r="O3991" s="2" t="s">
        <v>11584</v>
      </c>
      <c r="P3991" s="2" t="s">
        <v>12277</v>
      </c>
      <c r="Q3991" s="2" t="str">
        <f>"N/C.-"</f>
        <v>N/C.-</v>
      </c>
      <c r="R3991" s="2" t="s">
        <v>12581</v>
      </c>
      <c r="S3991" s="2" t="s">
        <v>12581</v>
      </c>
      <c r="T3991" s="2">
        <v>1</v>
      </c>
      <c r="U3991" s="2" t="s">
        <v>79</v>
      </c>
      <c r="V3991" s="2">
        <v>1</v>
      </c>
      <c r="W3991" s="2" t="s">
        <v>80</v>
      </c>
      <c r="X3991" s="2">
        <v>7</v>
      </c>
      <c r="Y3991" s="2" t="s">
        <v>1964</v>
      </c>
      <c r="Z3991" s="2">
        <v>1</v>
      </c>
      <c r="AA3991" s="2" t="s">
        <v>82</v>
      </c>
      <c r="AB3991" s="2">
        <v>9</v>
      </c>
      <c r="AC3991" s="2" t="s">
        <v>124</v>
      </c>
      <c r="AD3991" s="3">
        <v>40450</v>
      </c>
      <c r="AE3991" s="4">
        <v>0.53680555555555554</v>
      </c>
      <c r="AF3991" s="2"/>
      <c r="AG3991" s="2"/>
      <c r="AH3991" s="2">
        <v>7</v>
      </c>
      <c r="AI3991" s="2" t="s">
        <v>801</v>
      </c>
      <c r="AJ3991" s="2">
        <v>4</v>
      </c>
      <c r="AK3991" s="2" t="s">
        <v>2397</v>
      </c>
      <c r="AL3991" s="2">
        <v>23</v>
      </c>
      <c r="AM3991" s="2" t="s">
        <v>251</v>
      </c>
      <c r="AN3991" s="2" t="s">
        <v>12585</v>
      </c>
      <c r="AO3991" s="2" t="s">
        <v>12586</v>
      </c>
      <c r="AP3991" s="2">
        <v>11</v>
      </c>
      <c r="AQ3991" s="2" t="s">
        <v>82</v>
      </c>
      <c r="AR3991" s="2"/>
      <c r="AS3991" s="2"/>
      <c r="AT3991" s="2" t="s">
        <v>12587</v>
      </c>
      <c r="AU3991" s="2">
        <v>1</v>
      </c>
      <c r="AV3991" s="2"/>
      <c r="AW3991" s="2"/>
      <c r="AX3991" s="2"/>
      <c r="AY3991" s="2">
        <v>41</v>
      </c>
      <c r="AZ3991" s="2" t="s">
        <v>82</v>
      </c>
      <c r="BA3991" s="2">
        <v>41</v>
      </c>
      <c r="BB3991" s="2" t="s">
        <v>82</v>
      </c>
      <c r="BC3991" s="2">
        <v>41</v>
      </c>
      <c r="BD3991" s="2" t="s">
        <v>82</v>
      </c>
      <c r="BE3991" s="2">
        <v>41</v>
      </c>
      <c r="BF3991" s="2" t="s">
        <v>82</v>
      </c>
      <c r="BG3991" s="2"/>
      <c r="BH3991" s="2"/>
      <c r="BI3991" s="2"/>
      <c r="BJ3991" s="2">
        <v>241</v>
      </c>
      <c r="BK3991" s="2" t="s">
        <v>82</v>
      </c>
      <c r="BL3991" s="2"/>
      <c r="BM3991" s="2">
        <v>241</v>
      </c>
      <c r="BN3991" s="2" t="s">
        <v>82</v>
      </c>
      <c r="BO3991" s="2"/>
      <c r="BP3991" s="2">
        <v>241</v>
      </c>
      <c r="BQ3991" s="2" t="s">
        <v>82</v>
      </c>
      <c r="BR3991" s="2"/>
      <c r="BS3991" s="3">
        <v>40450</v>
      </c>
      <c r="BT3991" s="4">
        <v>0.70116898148148143</v>
      </c>
    </row>
    <row r="3992" spans="1:72" x14ac:dyDescent="0.25">
      <c r="A3992" s="2">
        <v>5971</v>
      </c>
      <c r="B3992" s="2">
        <v>2010</v>
      </c>
      <c r="C3992" s="2" t="s">
        <v>93</v>
      </c>
      <c r="D3992" s="2" t="s">
        <v>73</v>
      </c>
      <c r="E3992" s="2"/>
      <c r="F3992" s="2">
        <v>134</v>
      </c>
      <c r="G3992" s="2" t="s">
        <v>8834</v>
      </c>
      <c r="H3992" s="2">
        <v>108</v>
      </c>
      <c r="I3992" s="2" t="s">
        <v>1096</v>
      </c>
      <c r="J3992" s="2">
        <v>151</v>
      </c>
      <c r="K3992" s="2" t="s">
        <v>1485</v>
      </c>
      <c r="L3992" s="2" t="s">
        <v>1626</v>
      </c>
      <c r="M3992" s="3">
        <v>40450</v>
      </c>
      <c r="N3992" s="2" t="s">
        <v>10562</v>
      </c>
      <c r="O3992" s="2" t="s">
        <v>12588</v>
      </c>
      <c r="P3992" s="2" t="s">
        <v>12589</v>
      </c>
      <c r="Q3992" s="2" t="str">
        <f>"0049"</f>
        <v>0049</v>
      </c>
      <c r="R3992" s="2" t="s">
        <v>82</v>
      </c>
      <c r="S3992" s="2" t="s">
        <v>12590</v>
      </c>
      <c r="T3992" s="2">
        <v>1</v>
      </c>
      <c r="U3992" s="2" t="s">
        <v>79</v>
      </c>
      <c r="V3992" s="2">
        <v>1</v>
      </c>
      <c r="W3992" s="2" t="s">
        <v>80</v>
      </c>
      <c r="X3992" s="2">
        <v>1</v>
      </c>
      <c r="Y3992" s="2" t="s">
        <v>81</v>
      </c>
      <c r="Z3992" s="2">
        <v>1</v>
      </c>
      <c r="AA3992" s="2" t="s">
        <v>82</v>
      </c>
      <c r="AB3992" s="2">
        <v>2</v>
      </c>
      <c r="AC3992" s="2" t="s">
        <v>102</v>
      </c>
      <c r="AD3992" s="3">
        <v>40450</v>
      </c>
      <c r="AE3992" s="4">
        <v>0.58333333333333337</v>
      </c>
      <c r="AF3992" s="2"/>
      <c r="AG3992" s="2"/>
      <c r="AH3992" s="2">
        <v>6</v>
      </c>
      <c r="AI3992" s="2" t="s">
        <v>197</v>
      </c>
      <c r="AJ3992" s="2">
        <v>61</v>
      </c>
      <c r="AK3992" s="2" t="s">
        <v>686</v>
      </c>
      <c r="AL3992" s="2">
        <v>11</v>
      </c>
      <c r="AM3992" s="2" t="s">
        <v>137</v>
      </c>
      <c r="AN3992" s="2" t="s">
        <v>82</v>
      </c>
      <c r="AO3992" s="2" t="s">
        <v>5668</v>
      </c>
      <c r="AP3992" s="2">
        <v>11</v>
      </c>
      <c r="AQ3992" s="2" t="s">
        <v>82</v>
      </c>
      <c r="AR3992" s="2" t="s">
        <v>82</v>
      </c>
      <c r="AS3992" s="2" t="s">
        <v>82</v>
      </c>
      <c r="AT3992" s="2" t="s">
        <v>12591</v>
      </c>
      <c r="AU3992" s="2"/>
      <c r="AV3992" s="2"/>
      <c r="AW3992" s="2"/>
      <c r="AX3992" s="2"/>
      <c r="AY3992" s="2">
        <v>41</v>
      </c>
      <c r="AZ3992" s="2" t="s">
        <v>82</v>
      </c>
      <c r="BA3992" s="2">
        <v>41</v>
      </c>
      <c r="BB3992" s="2" t="s">
        <v>82</v>
      </c>
      <c r="BC3992" s="2">
        <v>41</v>
      </c>
      <c r="BD3992" s="2" t="s">
        <v>82</v>
      </c>
      <c r="BE3992" s="2">
        <v>47</v>
      </c>
      <c r="BF3992" s="2" t="s">
        <v>167</v>
      </c>
      <c r="BG3992" s="2" t="s">
        <v>2951</v>
      </c>
      <c r="BH3992" s="2"/>
      <c r="BI3992" s="4">
        <v>0.625</v>
      </c>
      <c r="BJ3992" s="2">
        <v>13</v>
      </c>
      <c r="BK3992" s="2" t="s">
        <v>91</v>
      </c>
      <c r="BL3992" s="2" t="s">
        <v>82</v>
      </c>
      <c r="BM3992" s="2">
        <v>241</v>
      </c>
      <c r="BN3992" s="2" t="s">
        <v>82</v>
      </c>
      <c r="BO3992" s="2"/>
      <c r="BP3992" s="2">
        <v>241</v>
      </c>
      <c r="BQ3992" s="2" t="s">
        <v>82</v>
      </c>
      <c r="BR3992" s="2" t="s">
        <v>185</v>
      </c>
      <c r="BS3992" s="3">
        <v>40450</v>
      </c>
      <c r="BT3992" s="4">
        <v>0.74940972222222213</v>
      </c>
    </row>
    <row r="3993" spans="1:72" x14ac:dyDescent="0.25">
      <c r="A3993" s="2">
        <v>5972</v>
      </c>
      <c r="B3993" s="2">
        <v>2010</v>
      </c>
      <c r="C3993" s="2" t="s">
        <v>554</v>
      </c>
      <c r="D3993" s="2" t="s">
        <v>73</v>
      </c>
      <c r="E3993" s="2"/>
      <c r="F3993" s="2">
        <v>2</v>
      </c>
      <c r="G3993" s="2" t="s">
        <v>113</v>
      </c>
      <c r="H3993" s="2">
        <v>22</v>
      </c>
      <c r="I3993" s="2" t="s">
        <v>75</v>
      </c>
      <c r="J3993" s="2">
        <v>300</v>
      </c>
      <c r="K3993" s="2" t="s">
        <v>114</v>
      </c>
      <c r="L3993" s="2" t="s">
        <v>115</v>
      </c>
      <c r="M3993" s="3">
        <v>40450</v>
      </c>
      <c r="N3993" s="2" t="s">
        <v>107</v>
      </c>
      <c r="O3993" s="2" t="s">
        <v>12592</v>
      </c>
      <c r="P3993" s="2" t="s">
        <v>107</v>
      </c>
      <c r="Q3993" s="2" t="str">
        <f>"500-E/10"</f>
        <v>500-E/10</v>
      </c>
      <c r="R3993" s="2"/>
      <c r="S3993" s="2"/>
      <c r="T3993" s="2">
        <v>1</v>
      </c>
      <c r="U3993" s="2" t="s">
        <v>79</v>
      </c>
      <c r="V3993" s="2">
        <v>1</v>
      </c>
      <c r="W3993" s="2" t="s">
        <v>80</v>
      </c>
      <c r="X3993" s="2">
        <v>12</v>
      </c>
      <c r="Y3993" s="2" t="s">
        <v>148</v>
      </c>
      <c r="Z3993" s="2">
        <v>1</v>
      </c>
      <c r="AA3993" s="2" t="s">
        <v>82</v>
      </c>
      <c r="AB3993" s="2">
        <v>5</v>
      </c>
      <c r="AC3993" s="2" t="s">
        <v>559</v>
      </c>
      <c r="AD3993" s="3">
        <v>40450</v>
      </c>
      <c r="AE3993" s="2"/>
      <c r="AF3993" s="3">
        <v>40450</v>
      </c>
      <c r="AG3993" s="4">
        <v>0.47916666666666669</v>
      </c>
      <c r="AH3993" s="2">
        <v>2</v>
      </c>
      <c r="AI3993" s="2" t="s">
        <v>84</v>
      </c>
      <c r="AJ3993" s="2">
        <v>9</v>
      </c>
      <c r="AK3993" s="2" t="s">
        <v>103</v>
      </c>
      <c r="AL3993" s="2">
        <v>12</v>
      </c>
      <c r="AM3993" s="2" t="s">
        <v>86</v>
      </c>
      <c r="AN3993" s="2" t="s">
        <v>9615</v>
      </c>
      <c r="AO3993" s="2" t="s">
        <v>8942</v>
      </c>
      <c r="AP3993" s="2">
        <v>11</v>
      </c>
      <c r="AQ3993" s="2" t="s">
        <v>82</v>
      </c>
      <c r="AR3993" s="2"/>
      <c r="AS3993" s="2"/>
      <c r="AT3993" s="2" t="s">
        <v>12593</v>
      </c>
      <c r="AU3993" s="2"/>
      <c r="AV3993" s="2"/>
      <c r="AW3993" s="2">
        <v>1</v>
      </c>
      <c r="AX3993" s="2"/>
      <c r="AY3993" s="2">
        <v>41</v>
      </c>
      <c r="AZ3993" s="2" t="s">
        <v>82</v>
      </c>
      <c r="BA3993" s="2">
        <v>41</v>
      </c>
      <c r="BB3993" s="2" t="s">
        <v>82</v>
      </c>
      <c r="BC3993" s="2">
        <v>41</v>
      </c>
      <c r="BD3993" s="2" t="s">
        <v>82</v>
      </c>
      <c r="BE3993" s="2">
        <v>41</v>
      </c>
      <c r="BF3993" s="2" t="s">
        <v>82</v>
      </c>
      <c r="BG3993" s="2"/>
      <c r="BH3993" s="2"/>
      <c r="BI3993" s="2"/>
      <c r="BJ3993" s="2">
        <v>241</v>
      </c>
      <c r="BK3993" s="2" t="s">
        <v>82</v>
      </c>
      <c r="BL3993" s="2"/>
      <c r="BM3993" s="2">
        <v>241</v>
      </c>
      <c r="BN3993" s="2" t="s">
        <v>82</v>
      </c>
      <c r="BO3993" s="2"/>
      <c r="BP3993" s="2">
        <v>241</v>
      </c>
      <c r="BQ3993" s="2" t="s">
        <v>82</v>
      </c>
      <c r="BR3993" s="2"/>
      <c r="BS3993" s="3">
        <v>40450</v>
      </c>
      <c r="BT3993" s="4">
        <v>0.780787037037037</v>
      </c>
    </row>
    <row r="3994" spans="1:72" x14ac:dyDescent="0.25">
      <c r="A3994" s="2">
        <v>5973</v>
      </c>
      <c r="B3994" s="2">
        <v>2010</v>
      </c>
      <c r="C3994" s="2" t="s">
        <v>806</v>
      </c>
      <c r="D3994" s="2" t="s">
        <v>73</v>
      </c>
      <c r="E3994" s="2"/>
      <c r="F3994" s="2">
        <v>54</v>
      </c>
      <c r="G3994" s="2" t="s">
        <v>2963</v>
      </c>
      <c r="H3994" s="2">
        <v>89</v>
      </c>
      <c r="I3994" s="2" t="s">
        <v>5137</v>
      </c>
      <c r="J3994" s="2">
        <v>516</v>
      </c>
      <c r="K3994" s="2" t="s">
        <v>5138</v>
      </c>
      <c r="L3994" s="2" t="s">
        <v>5139</v>
      </c>
      <c r="M3994" s="3">
        <v>40450</v>
      </c>
      <c r="N3994" s="2" t="s">
        <v>5140</v>
      </c>
      <c r="O3994" s="2" t="s">
        <v>11584</v>
      </c>
      <c r="P3994" s="2" t="s">
        <v>12565</v>
      </c>
      <c r="Q3994" s="2" t="str">
        <f>""</f>
        <v/>
      </c>
      <c r="R3994" s="2"/>
      <c r="S3994" s="2"/>
      <c r="T3994" s="2">
        <v>1</v>
      </c>
      <c r="U3994" s="2" t="s">
        <v>79</v>
      </c>
      <c r="V3994" s="2">
        <v>1</v>
      </c>
      <c r="W3994" s="2" t="s">
        <v>80</v>
      </c>
      <c r="X3994" s="2">
        <v>7</v>
      </c>
      <c r="Y3994" s="2" t="s">
        <v>1964</v>
      </c>
      <c r="Z3994" s="2">
        <v>1</v>
      </c>
      <c r="AA3994" s="2" t="s">
        <v>82</v>
      </c>
      <c r="AB3994" s="2">
        <v>9</v>
      </c>
      <c r="AC3994" s="2" t="s">
        <v>124</v>
      </c>
      <c r="AD3994" s="3">
        <v>40450</v>
      </c>
      <c r="AE3994" s="4">
        <v>0.55902777777777779</v>
      </c>
      <c r="AF3994" s="2"/>
      <c r="AG3994" s="4">
        <v>0.45833333333333331</v>
      </c>
      <c r="AH3994" s="2">
        <v>7</v>
      </c>
      <c r="AI3994" s="2" t="s">
        <v>801</v>
      </c>
      <c r="AJ3994" s="2">
        <v>4</v>
      </c>
      <c r="AK3994" s="2" t="s">
        <v>2397</v>
      </c>
      <c r="AL3994" s="2">
        <v>23</v>
      </c>
      <c r="AM3994" s="2" t="s">
        <v>251</v>
      </c>
      <c r="AN3994" s="2"/>
      <c r="AO3994" s="2" t="s">
        <v>12594</v>
      </c>
      <c r="AP3994" s="2">
        <v>11</v>
      </c>
      <c r="AQ3994" s="2" t="s">
        <v>82</v>
      </c>
      <c r="AR3994" s="2"/>
      <c r="AS3994" s="2"/>
      <c r="AT3994" s="2" t="s">
        <v>12595</v>
      </c>
      <c r="AU3994" s="2">
        <v>1</v>
      </c>
      <c r="AV3994" s="2"/>
      <c r="AW3994" s="2"/>
      <c r="AX3994" s="2"/>
      <c r="AY3994" s="2">
        <v>41</v>
      </c>
      <c r="AZ3994" s="2" t="s">
        <v>82</v>
      </c>
      <c r="BA3994" s="2">
        <v>41</v>
      </c>
      <c r="BB3994" s="2" t="s">
        <v>82</v>
      </c>
      <c r="BC3994" s="2">
        <v>41</v>
      </c>
      <c r="BD3994" s="2" t="s">
        <v>82</v>
      </c>
      <c r="BE3994" s="2">
        <v>41</v>
      </c>
      <c r="BF3994" s="2" t="s">
        <v>82</v>
      </c>
      <c r="BG3994" s="2"/>
      <c r="BH3994" s="2"/>
      <c r="BI3994" s="2"/>
      <c r="BJ3994" s="2">
        <v>241</v>
      </c>
      <c r="BK3994" s="2" t="s">
        <v>82</v>
      </c>
      <c r="BL3994" s="2"/>
      <c r="BM3994" s="2">
        <v>241</v>
      </c>
      <c r="BN3994" s="2" t="s">
        <v>82</v>
      </c>
      <c r="BO3994" s="2"/>
      <c r="BP3994" s="2">
        <v>241</v>
      </c>
      <c r="BQ3994" s="2" t="s">
        <v>82</v>
      </c>
      <c r="BR3994" s="2"/>
      <c r="BS3994" s="3">
        <v>40450</v>
      </c>
      <c r="BT3994" s="4">
        <v>0.80482638888888891</v>
      </c>
    </row>
    <row r="3995" spans="1:72" x14ac:dyDescent="0.25">
      <c r="A3995" s="2">
        <v>5977</v>
      </c>
      <c r="B3995" s="2">
        <v>2010</v>
      </c>
      <c r="C3995" s="2" t="s">
        <v>414</v>
      </c>
      <c r="D3995" s="2" t="s">
        <v>122</v>
      </c>
      <c r="E3995" s="2"/>
      <c r="F3995" s="2">
        <v>390</v>
      </c>
      <c r="G3995" s="2" t="s">
        <v>475</v>
      </c>
      <c r="H3995" s="2">
        <v>7</v>
      </c>
      <c r="I3995" s="2" t="s">
        <v>476</v>
      </c>
      <c r="J3995" s="2">
        <v>533</v>
      </c>
      <c r="K3995" s="2" t="s">
        <v>6511</v>
      </c>
      <c r="L3995" s="2" t="s">
        <v>478</v>
      </c>
      <c r="M3995" s="3">
        <v>40450</v>
      </c>
      <c r="N3995" s="2" t="s">
        <v>12596</v>
      </c>
      <c r="O3995" s="2" t="s">
        <v>82</v>
      </c>
      <c r="P3995" s="2" t="s">
        <v>82</v>
      </c>
      <c r="Q3995" s="2" t="str">
        <f>"N/C"</f>
        <v>N/C</v>
      </c>
      <c r="R3995" s="2" t="s">
        <v>82</v>
      </c>
      <c r="S3995" s="2" t="s">
        <v>82</v>
      </c>
      <c r="T3995" s="2">
        <v>1</v>
      </c>
      <c r="U3995" s="2" t="s">
        <v>79</v>
      </c>
      <c r="V3995" s="2">
        <v>1</v>
      </c>
      <c r="W3995" s="2" t="s">
        <v>80</v>
      </c>
      <c r="X3995" s="2">
        <v>5</v>
      </c>
      <c r="Y3995" s="2" t="s">
        <v>82</v>
      </c>
      <c r="Z3995" s="2">
        <v>1</v>
      </c>
      <c r="AA3995" s="2" t="s">
        <v>82</v>
      </c>
      <c r="AB3995" s="2">
        <v>9</v>
      </c>
      <c r="AC3995" s="2" t="s">
        <v>124</v>
      </c>
      <c r="AD3995" s="2"/>
      <c r="AE3995" s="2"/>
      <c r="AF3995" s="2"/>
      <c r="AG3995" s="2"/>
      <c r="AH3995" s="2">
        <v>2</v>
      </c>
      <c r="AI3995" s="2" t="s">
        <v>84</v>
      </c>
      <c r="AJ3995" s="2">
        <v>9</v>
      </c>
      <c r="AK3995" s="2" t="s">
        <v>103</v>
      </c>
      <c r="AL3995" s="2">
        <v>19</v>
      </c>
      <c r="AM3995" s="2" t="s">
        <v>107</v>
      </c>
      <c r="AN3995" s="2"/>
      <c r="AO3995" s="2"/>
      <c r="AP3995" s="2">
        <v>11</v>
      </c>
      <c r="AQ3995" s="2" t="s">
        <v>82</v>
      </c>
      <c r="AR3995" s="2"/>
      <c r="AS3995" s="2"/>
      <c r="AT3995" s="2" t="s">
        <v>12597</v>
      </c>
      <c r="AU3995" s="2"/>
      <c r="AV3995" s="2"/>
      <c r="AW3995" s="2"/>
      <c r="AX3995" s="2"/>
      <c r="AY3995" s="2">
        <v>41</v>
      </c>
      <c r="AZ3995" s="2" t="s">
        <v>82</v>
      </c>
      <c r="BA3995" s="2">
        <v>41</v>
      </c>
      <c r="BB3995" s="2" t="s">
        <v>82</v>
      </c>
      <c r="BC3995" s="2">
        <v>41</v>
      </c>
      <c r="BD3995" s="2" t="s">
        <v>82</v>
      </c>
      <c r="BE3995" s="2">
        <v>41</v>
      </c>
      <c r="BF3995" s="2" t="s">
        <v>82</v>
      </c>
      <c r="BG3995" s="2"/>
      <c r="BH3995" s="2"/>
      <c r="BI3995" s="2"/>
      <c r="BJ3995" s="2">
        <v>241</v>
      </c>
      <c r="BK3995" s="2" t="s">
        <v>82</v>
      </c>
      <c r="BL3995" s="2"/>
      <c r="BM3995" s="2">
        <v>241</v>
      </c>
      <c r="BN3995" s="2" t="s">
        <v>82</v>
      </c>
      <c r="BO3995" s="2"/>
      <c r="BP3995" s="2">
        <v>241</v>
      </c>
      <c r="BQ3995" s="2" t="s">
        <v>82</v>
      </c>
      <c r="BR3995" s="2"/>
      <c r="BS3995" s="3">
        <v>40450</v>
      </c>
      <c r="BT3995" s="4">
        <v>0.92195601851851849</v>
      </c>
    </row>
    <row r="3996" spans="1:72" x14ac:dyDescent="0.25">
      <c r="A3996" s="2">
        <v>5978</v>
      </c>
      <c r="B3996" s="2">
        <v>2010</v>
      </c>
      <c r="C3996" s="2" t="s">
        <v>93</v>
      </c>
      <c r="D3996" s="2" t="s">
        <v>73</v>
      </c>
      <c r="E3996" s="2"/>
      <c r="F3996" s="2">
        <v>505</v>
      </c>
      <c r="G3996" s="2" t="s">
        <v>2391</v>
      </c>
      <c r="H3996" s="2">
        <v>5</v>
      </c>
      <c r="I3996" s="2" t="s">
        <v>634</v>
      </c>
      <c r="J3996" s="2">
        <v>423</v>
      </c>
      <c r="K3996" s="2" t="s">
        <v>2392</v>
      </c>
      <c r="L3996" s="2" t="s">
        <v>2393</v>
      </c>
      <c r="M3996" s="3">
        <v>40450</v>
      </c>
      <c r="N3996" s="2" t="s">
        <v>12598</v>
      </c>
      <c r="O3996" s="2" t="s">
        <v>2334</v>
      </c>
      <c r="P3996" s="2" t="s">
        <v>12599</v>
      </c>
      <c r="Q3996" s="2" t="str">
        <f>"N/C"</f>
        <v>N/C</v>
      </c>
      <c r="R3996" s="2" t="s">
        <v>82</v>
      </c>
      <c r="S3996" s="2" t="s">
        <v>82</v>
      </c>
      <c r="T3996" s="2">
        <v>1</v>
      </c>
      <c r="U3996" s="2" t="s">
        <v>79</v>
      </c>
      <c r="V3996" s="2">
        <v>1</v>
      </c>
      <c r="W3996" s="2" t="s">
        <v>80</v>
      </c>
      <c r="X3996" s="2">
        <v>10</v>
      </c>
      <c r="Y3996" s="2" t="s">
        <v>226</v>
      </c>
      <c r="Z3996" s="2">
        <v>6</v>
      </c>
      <c r="AA3996" s="2" t="s">
        <v>101</v>
      </c>
      <c r="AB3996" s="2">
        <v>2</v>
      </c>
      <c r="AC3996" s="2" t="s">
        <v>102</v>
      </c>
      <c r="AD3996" s="3">
        <v>40450</v>
      </c>
      <c r="AE3996" s="4">
        <v>0.83333333333333337</v>
      </c>
      <c r="AF3996" s="2"/>
      <c r="AG3996" s="2"/>
      <c r="AH3996" s="2">
        <v>2</v>
      </c>
      <c r="AI3996" s="2" t="s">
        <v>84</v>
      </c>
      <c r="AJ3996" s="2">
        <v>9</v>
      </c>
      <c r="AK3996" s="2" t="s">
        <v>103</v>
      </c>
      <c r="AL3996" s="2">
        <v>14</v>
      </c>
      <c r="AM3996" s="2" t="s">
        <v>216</v>
      </c>
      <c r="AN3996" s="2"/>
      <c r="AO3996" s="2" t="s">
        <v>105</v>
      </c>
      <c r="AP3996" s="2">
        <v>11</v>
      </c>
      <c r="AQ3996" s="2" t="s">
        <v>82</v>
      </c>
      <c r="AR3996" s="2"/>
      <c r="AS3996" s="2"/>
      <c r="AT3996" s="2" t="s">
        <v>12600</v>
      </c>
      <c r="AU3996" s="2"/>
      <c r="AV3996" s="2">
        <v>1</v>
      </c>
      <c r="AW3996" s="2"/>
      <c r="AX3996" s="2"/>
      <c r="AY3996" s="2">
        <v>41</v>
      </c>
      <c r="AZ3996" s="2" t="s">
        <v>82</v>
      </c>
      <c r="BA3996" s="2">
        <v>41</v>
      </c>
      <c r="BB3996" s="2" t="s">
        <v>82</v>
      </c>
      <c r="BC3996" s="2">
        <v>41</v>
      </c>
      <c r="BD3996" s="2" t="s">
        <v>82</v>
      </c>
      <c r="BE3996" s="2">
        <v>41</v>
      </c>
      <c r="BF3996" s="2" t="s">
        <v>82</v>
      </c>
      <c r="BG3996" s="2"/>
      <c r="BH3996" s="2"/>
      <c r="BI3996" s="2"/>
      <c r="BJ3996" s="2">
        <v>241</v>
      </c>
      <c r="BK3996" s="2" t="s">
        <v>82</v>
      </c>
      <c r="BL3996" s="2"/>
      <c r="BM3996" s="2">
        <v>241</v>
      </c>
      <c r="BN3996" s="2" t="s">
        <v>82</v>
      </c>
      <c r="BO3996" s="2"/>
      <c r="BP3996" s="2">
        <v>241</v>
      </c>
      <c r="BQ3996" s="2" t="s">
        <v>82</v>
      </c>
      <c r="BR3996" s="2"/>
      <c r="BS3996" s="3">
        <v>40450</v>
      </c>
      <c r="BT3996" s="4">
        <v>0.94888888888888889</v>
      </c>
    </row>
    <row r="3997" spans="1:72" x14ac:dyDescent="0.25">
      <c r="A3997" s="2">
        <v>5979</v>
      </c>
      <c r="B3997" s="2">
        <v>2010</v>
      </c>
      <c r="C3997" s="2" t="s">
        <v>1094</v>
      </c>
      <c r="D3997" s="2" t="s">
        <v>73</v>
      </c>
      <c r="E3997" s="2"/>
      <c r="F3997" s="2">
        <v>93</v>
      </c>
      <c r="G3997" s="2" t="s">
        <v>9926</v>
      </c>
      <c r="H3997" s="2">
        <v>8</v>
      </c>
      <c r="I3997" s="2" t="s">
        <v>3451</v>
      </c>
      <c r="J3997" s="2">
        <v>120</v>
      </c>
      <c r="K3997" s="2" t="s">
        <v>9927</v>
      </c>
      <c r="L3997" s="2" t="s">
        <v>115</v>
      </c>
      <c r="M3997" s="3">
        <v>40450</v>
      </c>
      <c r="N3997" s="2" t="s">
        <v>12601</v>
      </c>
      <c r="O3997" s="2"/>
      <c r="P3997" s="2" t="s">
        <v>107</v>
      </c>
      <c r="Q3997" s="2" t="str">
        <f>"0044/2010"</f>
        <v>0044/2010</v>
      </c>
      <c r="R3997" s="2" t="s">
        <v>12602</v>
      </c>
      <c r="S3997" s="2" t="s">
        <v>12602</v>
      </c>
      <c r="T3997" s="2">
        <v>1</v>
      </c>
      <c r="U3997" s="2" t="s">
        <v>79</v>
      </c>
      <c r="V3997" s="2">
        <v>1</v>
      </c>
      <c r="W3997" s="2" t="s">
        <v>80</v>
      </c>
      <c r="X3997" s="2">
        <v>12</v>
      </c>
      <c r="Y3997" s="2" t="s">
        <v>148</v>
      </c>
      <c r="Z3997" s="2">
        <v>1</v>
      </c>
      <c r="AA3997" s="2" t="s">
        <v>82</v>
      </c>
      <c r="AB3997" s="2">
        <v>9</v>
      </c>
      <c r="AC3997" s="2" t="s">
        <v>124</v>
      </c>
      <c r="AD3997" s="3">
        <v>40447</v>
      </c>
      <c r="AE3997" s="2"/>
      <c r="AF3997" s="3">
        <v>40447</v>
      </c>
      <c r="AG3997" s="4">
        <v>0.78472222222222221</v>
      </c>
      <c r="AH3997" s="2">
        <v>6</v>
      </c>
      <c r="AI3997" s="2" t="s">
        <v>197</v>
      </c>
      <c r="AJ3997" s="2">
        <v>50</v>
      </c>
      <c r="AK3997" s="2" t="s">
        <v>330</v>
      </c>
      <c r="AL3997" s="2">
        <v>12</v>
      </c>
      <c r="AM3997" s="2" t="s">
        <v>86</v>
      </c>
      <c r="AN3997" s="2" t="s">
        <v>416</v>
      </c>
      <c r="AO3997" s="2" t="s">
        <v>12603</v>
      </c>
      <c r="AP3997" s="2">
        <v>11</v>
      </c>
      <c r="AQ3997" s="2" t="s">
        <v>82</v>
      </c>
      <c r="AR3997" s="2"/>
      <c r="AS3997" s="2"/>
      <c r="AT3997" s="2" t="s">
        <v>12604</v>
      </c>
      <c r="AU3997" s="2"/>
      <c r="AV3997" s="2"/>
      <c r="AW3997" s="2"/>
      <c r="AX3997" s="2"/>
      <c r="AY3997" s="2">
        <v>41</v>
      </c>
      <c r="AZ3997" s="2" t="s">
        <v>82</v>
      </c>
      <c r="BA3997" s="2">
        <v>41</v>
      </c>
      <c r="BB3997" s="2" t="s">
        <v>82</v>
      </c>
      <c r="BC3997" s="2">
        <v>41</v>
      </c>
      <c r="BD3997" s="2" t="s">
        <v>82</v>
      </c>
      <c r="BE3997" s="2">
        <v>41</v>
      </c>
      <c r="BF3997" s="2" t="s">
        <v>82</v>
      </c>
      <c r="BG3997" s="2"/>
      <c r="BH3997" s="2"/>
      <c r="BI3997" s="2"/>
      <c r="BJ3997" s="2">
        <v>241</v>
      </c>
      <c r="BK3997" s="2" t="s">
        <v>82</v>
      </c>
      <c r="BL3997" s="2"/>
      <c r="BM3997" s="2">
        <v>241</v>
      </c>
      <c r="BN3997" s="2" t="s">
        <v>82</v>
      </c>
      <c r="BO3997" s="2"/>
      <c r="BP3997" s="2">
        <v>241</v>
      </c>
      <c r="BQ3997" s="2" t="s">
        <v>82</v>
      </c>
      <c r="BR3997" s="2"/>
      <c r="BS3997" s="3">
        <v>40450</v>
      </c>
      <c r="BT3997" s="4">
        <v>0.99285879629629636</v>
      </c>
    </row>
    <row r="3998" spans="1:72" x14ac:dyDescent="0.25">
      <c r="A3998" s="2">
        <v>5980</v>
      </c>
      <c r="B3998" s="2">
        <v>2010</v>
      </c>
      <c r="C3998" s="2" t="s">
        <v>72</v>
      </c>
      <c r="D3998" s="2" t="s">
        <v>73</v>
      </c>
      <c r="E3998" s="2"/>
      <c r="F3998" s="2">
        <v>93</v>
      </c>
      <c r="G3998" s="2" t="s">
        <v>9926</v>
      </c>
      <c r="H3998" s="2">
        <v>8</v>
      </c>
      <c r="I3998" s="2" t="s">
        <v>3451</v>
      </c>
      <c r="J3998" s="2">
        <v>120</v>
      </c>
      <c r="K3998" s="2" t="s">
        <v>9927</v>
      </c>
      <c r="L3998" s="2" t="s">
        <v>115</v>
      </c>
      <c r="M3998" s="3">
        <v>40451</v>
      </c>
      <c r="N3998" s="2" t="s">
        <v>12601</v>
      </c>
      <c r="O3998" s="2"/>
      <c r="P3998" s="2" t="s">
        <v>107</v>
      </c>
      <c r="Q3998" s="2" t="str">
        <f>"0043/2010"</f>
        <v>0043/2010</v>
      </c>
      <c r="R3998" s="2" t="s">
        <v>10995</v>
      </c>
      <c r="S3998" s="2" t="s">
        <v>10995</v>
      </c>
      <c r="T3998" s="2">
        <v>1</v>
      </c>
      <c r="U3998" s="2" t="s">
        <v>79</v>
      </c>
      <c r="V3998" s="2">
        <v>1</v>
      </c>
      <c r="W3998" s="2" t="s">
        <v>80</v>
      </c>
      <c r="X3998" s="2">
        <v>12</v>
      </c>
      <c r="Y3998" s="2" t="s">
        <v>148</v>
      </c>
      <c r="Z3998" s="2">
        <v>1</v>
      </c>
      <c r="AA3998" s="2" t="s">
        <v>82</v>
      </c>
      <c r="AB3998" s="2">
        <v>6</v>
      </c>
      <c r="AC3998" s="2" t="s">
        <v>83</v>
      </c>
      <c r="AD3998" s="3">
        <v>40445</v>
      </c>
      <c r="AE3998" s="2"/>
      <c r="AF3998" s="3">
        <v>40445</v>
      </c>
      <c r="AG3998" s="4">
        <v>0.90277777777777779</v>
      </c>
      <c r="AH3998" s="2">
        <v>6</v>
      </c>
      <c r="AI3998" s="2" t="s">
        <v>197</v>
      </c>
      <c r="AJ3998" s="2">
        <v>50</v>
      </c>
      <c r="AK3998" s="2" t="s">
        <v>330</v>
      </c>
      <c r="AL3998" s="2">
        <v>21</v>
      </c>
      <c r="AM3998" s="2" t="s">
        <v>1311</v>
      </c>
      <c r="AN3998" s="2" t="s">
        <v>82</v>
      </c>
      <c r="AO3998" s="2" t="s">
        <v>5754</v>
      </c>
      <c r="AP3998" s="2">
        <v>11</v>
      </c>
      <c r="AQ3998" s="2" t="s">
        <v>82</v>
      </c>
      <c r="AR3998" s="2"/>
      <c r="AS3998" s="2"/>
      <c r="AT3998" s="2" t="s">
        <v>12605</v>
      </c>
      <c r="AU3998" s="2"/>
      <c r="AV3998" s="2"/>
      <c r="AW3998" s="2"/>
      <c r="AX3998" s="2"/>
      <c r="AY3998" s="2">
        <v>41</v>
      </c>
      <c r="AZ3998" s="2" t="s">
        <v>82</v>
      </c>
      <c r="BA3998" s="2">
        <v>41</v>
      </c>
      <c r="BB3998" s="2" t="s">
        <v>82</v>
      </c>
      <c r="BC3998" s="2">
        <v>41</v>
      </c>
      <c r="BD3998" s="2" t="s">
        <v>82</v>
      </c>
      <c r="BE3998" s="2">
        <v>41</v>
      </c>
      <c r="BF3998" s="2" t="s">
        <v>82</v>
      </c>
      <c r="BG3998" s="2"/>
      <c r="BH3998" s="2"/>
      <c r="BI3998" s="2"/>
      <c r="BJ3998" s="2">
        <v>241</v>
      </c>
      <c r="BK3998" s="2" t="s">
        <v>82</v>
      </c>
      <c r="BL3998" s="2"/>
      <c r="BM3998" s="2">
        <v>241</v>
      </c>
      <c r="BN3998" s="2" t="s">
        <v>82</v>
      </c>
      <c r="BO3998" s="2"/>
      <c r="BP3998" s="2">
        <v>241</v>
      </c>
      <c r="BQ3998" s="2" t="s">
        <v>82</v>
      </c>
      <c r="BR3998" s="2"/>
      <c r="BS3998" s="3">
        <v>40451</v>
      </c>
      <c r="BT3998" s="4">
        <v>3.577546296296296E-2</v>
      </c>
    </row>
    <row r="3999" spans="1:72" x14ac:dyDescent="0.25">
      <c r="A3999" s="2">
        <v>5981</v>
      </c>
      <c r="B3999" s="2">
        <v>2010</v>
      </c>
      <c r="C3999" s="2" t="s">
        <v>72</v>
      </c>
      <c r="D3999" s="2" t="s">
        <v>73</v>
      </c>
      <c r="E3999" s="2"/>
      <c r="F3999" s="2">
        <v>2</v>
      </c>
      <c r="G3999" s="2" t="s">
        <v>113</v>
      </c>
      <c r="H3999" s="2">
        <v>108</v>
      </c>
      <c r="I3999" s="2" t="s">
        <v>1096</v>
      </c>
      <c r="J3999" s="2">
        <v>300</v>
      </c>
      <c r="K3999" s="2" t="s">
        <v>114</v>
      </c>
      <c r="L3999" s="2" t="s">
        <v>115</v>
      </c>
      <c r="M3999" s="3">
        <v>40451</v>
      </c>
      <c r="N3999" s="2" t="s">
        <v>107</v>
      </c>
      <c r="O3999" s="2" t="s">
        <v>107</v>
      </c>
      <c r="P3999" s="2" t="s">
        <v>107</v>
      </c>
      <c r="Q3999" s="2" t="str">
        <f>"501-E/10"</f>
        <v>501-E/10</v>
      </c>
      <c r="R3999" s="2" t="s">
        <v>116</v>
      </c>
      <c r="S3999" s="2" t="s">
        <v>116</v>
      </c>
      <c r="T3999" s="2">
        <v>1</v>
      </c>
      <c r="U3999" s="2" t="s">
        <v>79</v>
      </c>
      <c r="V3999" s="2">
        <v>1</v>
      </c>
      <c r="W3999" s="2" t="s">
        <v>80</v>
      </c>
      <c r="X3999" s="2">
        <v>12</v>
      </c>
      <c r="Y3999" s="2" t="s">
        <v>148</v>
      </c>
      <c r="Z3999" s="2">
        <v>1</v>
      </c>
      <c r="AA3999" s="2" t="s">
        <v>82</v>
      </c>
      <c r="AB3999" s="2">
        <v>6</v>
      </c>
      <c r="AC3999" s="2" t="s">
        <v>83</v>
      </c>
      <c r="AD3999" s="2"/>
      <c r="AE3999" s="2"/>
      <c r="AF3999" s="3">
        <v>40450</v>
      </c>
      <c r="AG3999" s="4">
        <v>0.95833333333333337</v>
      </c>
      <c r="AH3999" s="2">
        <v>2</v>
      </c>
      <c r="AI3999" s="2" t="s">
        <v>84</v>
      </c>
      <c r="AJ3999" s="2">
        <v>9</v>
      </c>
      <c r="AK3999" s="2" t="s">
        <v>103</v>
      </c>
      <c r="AL3999" s="2">
        <v>21</v>
      </c>
      <c r="AM3999" s="2" t="s">
        <v>1311</v>
      </c>
      <c r="AN3999" s="2" t="s">
        <v>12606</v>
      </c>
      <c r="AO3999" s="2" t="s">
        <v>12607</v>
      </c>
      <c r="AP3999" s="2">
        <v>11</v>
      </c>
      <c r="AQ3999" s="2" t="s">
        <v>82</v>
      </c>
      <c r="AR3999" s="2"/>
      <c r="AS3999" s="2"/>
      <c r="AT3999" s="2" t="s">
        <v>12608</v>
      </c>
      <c r="AU3999" s="2"/>
      <c r="AV3999" s="2"/>
      <c r="AW3999" s="2"/>
      <c r="AX3999" s="2"/>
      <c r="AY3999" s="2">
        <v>41</v>
      </c>
      <c r="AZ3999" s="2" t="s">
        <v>82</v>
      </c>
      <c r="BA3999" s="2">
        <v>41</v>
      </c>
      <c r="BB3999" s="2" t="s">
        <v>82</v>
      </c>
      <c r="BC3999" s="2">
        <v>41</v>
      </c>
      <c r="BD3999" s="2" t="s">
        <v>82</v>
      </c>
      <c r="BE3999" s="2">
        <v>41</v>
      </c>
      <c r="BF3999" s="2" t="s">
        <v>82</v>
      </c>
      <c r="BG3999" s="2"/>
      <c r="BH3999" s="2"/>
      <c r="BI3999" s="2"/>
      <c r="BJ3999" s="2">
        <v>241</v>
      </c>
      <c r="BK3999" s="2" t="s">
        <v>82</v>
      </c>
      <c r="BL3999" s="2"/>
      <c r="BM3999" s="2">
        <v>241</v>
      </c>
      <c r="BN3999" s="2" t="s">
        <v>82</v>
      </c>
      <c r="BO3999" s="2"/>
      <c r="BP3999" s="2">
        <v>241</v>
      </c>
      <c r="BQ3999" s="2" t="s">
        <v>82</v>
      </c>
      <c r="BR3999" s="2"/>
      <c r="BS3999" s="3">
        <v>40451</v>
      </c>
      <c r="BT3999" s="4">
        <v>6.4537037037037046E-2</v>
      </c>
    </row>
    <row r="4000" spans="1:72" x14ac:dyDescent="0.25">
      <c r="A4000" s="2">
        <v>5982</v>
      </c>
      <c r="B4000" s="2">
        <v>2010</v>
      </c>
      <c r="C4000" s="2" t="s">
        <v>72</v>
      </c>
      <c r="D4000" s="2" t="s">
        <v>122</v>
      </c>
      <c r="E4000" s="2" t="s">
        <v>12609</v>
      </c>
      <c r="F4000" s="2">
        <v>2</v>
      </c>
      <c r="G4000" s="2" t="s">
        <v>113</v>
      </c>
      <c r="H4000" s="2">
        <v>22</v>
      </c>
      <c r="I4000" s="2" t="s">
        <v>75</v>
      </c>
      <c r="J4000" s="2">
        <v>300</v>
      </c>
      <c r="K4000" s="2" t="s">
        <v>114</v>
      </c>
      <c r="L4000" s="2" t="s">
        <v>115</v>
      </c>
      <c r="M4000" s="3">
        <v>40451</v>
      </c>
      <c r="N4000" s="2" t="s">
        <v>107</v>
      </c>
      <c r="O4000" s="2" t="s">
        <v>107</v>
      </c>
      <c r="P4000" s="2" t="s">
        <v>107</v>
      </c>
      <c r="Q4000" s="2" t="str">
        <f>"500-E/10"</f>
        <v>500-E/10</v>
      </c>
      <c r="R4000" s="2" t="s">
        <v>12610</v>
      </c>
      <c r="S4000" s="2" t="s">
        <v>12610</v>
      </c>
      <c r="T4000" s="2">
        <v>1</v>
      </c>
      <c r="U4000" s="2" t="s">
        <v>79</v>
      </c>
      <c r="V4000" s="2">
        <v>1</v>
      </c>
      <c r="W4000" s="2" t="s">
        <v>80</v>
      </c>
      <c r="X4000" s="2">
        <v>12</v>
      </c>
      <c r="Y4000" s="2" t="s">
        <v>148</v>
      </c>
      <c r="Z4000" s="2">
        <v>1</v>
      </c>
      <c r="AA4000" s="2" t="s">
        <v>82</v>
      </c>
      <c r="AB4000" s="2">
        <v>6</v>
      </c>
      <c r="AC4000" s="2" t="s">
        <v>83</v>
      </c>
      <c r="AD4000" s="3">
        <v>40450</v>
      </c>
      <c r="AE4000" s="4">
        <v>0.33333333333333331</v>
      </c>
      <c r="AF4000" s="3">
        <v>40450</v>
      </c>
      <c r="AG4000" s="4">
        <v>0.47916666666666669</v>
      </c>
      <c r="AH4000" s="2">
        <v>2</v>
      </c>
      <c r="AI4000" s="2" t="s">
        <v>84</v>
      </c>
      <c r="AJ4000" s="2">
        <v>9</v>
      </c>
      <c r="AK4000" s="2" t="s">
        <v>103</v>
      </c>
      <c r="AL4000" s="2">
        <v>12</v>
      </c>
      <c r="AM4000" s="2" t="s">
        <v>86</v>
      </c>
      <c r="AN4000" s="2" t="s">
        <v>12611</v>
      </c>
      <c r="AO4000" s="2" t="s">
        <v>82</v>
      </c>
      <c r="AP4000" s="2">
        <v>11</v>
      </c>
      <c r="AQ4000" s="2" t="s">
        <v>82</v>
      </c>
      <c r="AR4000" s="2"/>
      <c r="AS4000" s="2"/>
      <c r="AT4000" s="2" t="s">
        <v>12612</v>
      </c>
      <c r="AU4000" s="2"/>
      <c r="AV4000" s="2"/>
      <c r="AW4000" s="2">
        <v>1</v>
      </c>
      <c r="AX4000" s="2"/>
      <c r="AY4000" s="2">
        <v>41</v>
      </c>
      <c r="AZ4000" s="2" t="s">
        <v>82</v>
      </c>
      <c r="BA4000" s="2">
        <v>41</v>
      </c>
      <c r="BB4000" s="2" t="s">
        <v>82</v>
      </c>
      <c r="BC4000" s="2">
        <v>41</v>
      </c>
      <c r="BD4000" s="2" t="s">
        <v>82</v>
      </c>
      <c r="BE4000" s="2">
        <v>22</v>
      </c>
      <c r="BF4000" s="2" t="s">
        <v>1262</v>
      </c>
      <c r="BG4000" s="2" t="s">
        <v>5290</v>
      </c>
      <c r="BH4000" s="4">
        <v>0.33333333333333331</v>
      </c>
      <c r="BI4000" s="2"/>
      <c r="BJ4000" s="2">
        <v>24</v>
      </c>
      <c r="BK4000" s="2" t="s">
        <v>6738</v>
      </c>
      <c r="BL4000" s="2" t="s">
        <v>6739</v>
      </c>
      <c r="BM4000" s="2">
        <v>13</v>
      </c>
      <c r="BN4000" s="2" t="s">
        <v>91</v>
      </c>
      <c r="BO4000" s="2"/>
      <c r="BP4000" s="2">
        <v>13</v>
      </c>
      <c r="BQ4000" s="2" t="s">
        <v>91</v>
      </c>
      <c r="BR4000" s="2" t="s">
        <v>185</v>
      </c>
      <c r="BS4000" s="3">
        <v>40451</v>
      </c>
      <c r="BT4000" s="4">
        <v>6.7557870370370365E-2</v>
      </c>
    </row>
    <row r="4001" spans="1:72" x14ac:dyDescent="0.25">
      <c r="A4001" s="2">
        <v>5983</v>
      </c>
      <c r="B4001" s="2">
        <v>2010</v>
      </c>
      <c r="C4001" s="2" t="s">
        <v>171</v>
      </c>
      <c r="D4001" s="2" t="s">
        <v>73</v>
      </c>
      <c r="E4001" s="2"/>
      <c r="F4001" s="2">
        <v>395</v>
      </c>
      <c r="G4001" s="2" t="s">
        <v>1076</v>
      </c>
      <c r="H4001" s="2">
        <v>7</v>
      </c>
      <c r="I4001" s="2" t="s">
        <v>476</v>
      </c>
      <c r="J4001" s="2">
        <v>242</v>
      </c>
      <c r="K4001" s="2" t="s">
        <v>1077</v>
      </c>
      <c r="L4001" s="2" t="s">
        <v>1078</v>
      </c>
      <c r="M4001" s="3">
        <v>40451</v>
      </c>
      <c r="N4001" s="2" t="s">
        <v>1079</v>
      </c>
      <c r="O4001" s="2" t="s">
        <v>107</v>
      </c>
      <c r="P4001" s="2" t="s">
        <v>107</v>
      </c>
      <c r="Q4001" s="2" t="str">
        <f>"502-E/10"</f>
        <v>502-E/10</v>
      </c>
      <c r="R4001" s="2" t="s">
        <v>391</v>
      </c>
      <c r="S4001" s="2" t="s">
        <v>391</v>
      </c>
      <c r="T4001" s="2">
        <v>1</v>
      </c>
      <c r="U4001" s="2" t="s">
        <v>79</v>
      </c>
      <c r="V4001" s="2">
        <v>1</v>
      </c>
      <c r="W4001" s="2" t="s">
        <v>80</v>
      </c>
      <c r="X4001" s="2">
        <v>1</v>
      </c>
      <c r="Y4001" s="2" t="s">
        <v>81</v>
      </c>
      <c r="Z4001" s="2">
        <v>1</v>
      </c>
      <c r="AA4001" s="2" t="s">
        <v>82</v>
      </c>
      <c r="AB4001" s="2">
        <v>1</v>
      </c>
      <c r="AC4001" s="2" t="s">
        <v>178</v>
      </c>
      <c r="AD4001" s="3">
        <v>40451</v>
      </c>
      <c r="AE4001" s="4">
        <v>8.3333333333333329E-2</v>
      </c>
      <c r="AF4001" s="2"/>
      <c r="AG4001" s="2"/>
      <c r="AH4001" s="2">
        <v>2</v>
      </c>
      <c r="AI4001" s="2" t="s">
        <v>84</v>
      </c>
      <c r="AJ4001" s="2">
        <v>9</v>
      </c>
      <c r="AK4001" s="2" t="s">
        <v>103</v>
      </c>
      <c r="AL4001" s="2">
        <v>16</v>
      </c>
      <c r="AM4001" s="2" t="s">
        <v>392</v>
      </c>
      <c r="AN4001" s="2" t="s">
        <v>6519</v>
      </c>
      <c r="AO4001" s="2" t="s">
        <v>12613</v>
      </c>
      <c r="AP4001" s="2">
        <v>10</v>
      </c>
      <c r="AQ4001" s="2" t="s">
        <v>8613</v>
      </c>
      <c r="AR4001" s="2" t="s">
        <v>12614</v>
      </c>
      <c r="AS4001" s="2" t="s">
        <v>12615</v>
      </c>
      <c r="AT4001" s="2" t="s">
        <v>12616</v>
      </c>
      <c r="AU4001" s="2"/>
      <c r="AV4001" s="2"/>
      <c r="AW4001" s="2"/>
      <c r="AX4001" s="2"/>
      <c r="AY4001" s="2">
        <v>41</v>
      </c>
      <c r="AZ4001" s="2" t="s">
        <v>82</v>
      </c>
      <c r="BA4001" s="2">
        <v>41</v>
      </c>
      <c r="BB4001" s="2" t="s">
        <v>82</v>
      </c>
      <c r="BC4001" s="2">
        <v>41</v>
      </c>
      <c r="BD4001" s="2" t="s">
        <v>82</v>
      </c>
      <c r="BE4001" s="2">
        <v>62</v>
      </c>
      <c r="BF4001" s="2" t="s">
        <v>8613</v>
      </c>
      <c r="BG4001" s="2" t="s">
        <v>12617</v>
      </c>
      <c r="BH4001" s="2"/>
      <c r="BI4001" s="4">
        <v>0.20833333333333334</v>
      </c>
      <c r="BJ4001" s="2">
        <v>13</v>
      </c>
      <c r="BK4001" s="2" t="s">
        <v>91</v>
      </c>
      <c r="BL4001" s="2" t="s">
        <v>360</v>
      </c>
      <c r="BM4001" s="2">
        <v>75</v>
      </c>
      <c r="BN4001" s="2" t="s">
        <v>1264</v>
      </c>
      <c r="BO4001" s="2"/>
      <c r="BP4001" s="2">
        <v>75</v>
      </c>
      <c r="BQ4001" s="2" t="s">
        <v>1264</v>
      </c>
      <c r="BR4001" s="2" t="s">
        <v>1361</v>
      </c>
      <c r="BS4001" s="3">
        <v>40451</v>
      </c>
      <c r="BT4001" s="4">
        <v>0.32635416666666667</v>
      </c>
    </row>
    <row r="4002" spans="1:72" x14ac:dyDescent="0.25">
      <c r="A4002" s="2">
        <v>5989</v>
      </c>
      <c r="B4002" s="2">
        <v>2010</v>
      </c>
      <c r="C4002" s="2" t="s">
        <v>147</v>
      </c>
      <c r="D4002" s="2" t="s">
        <v>73</v>
      </c>
      <c r="E4002" s="2"/>
      <c r="F4002" s="2">
        <v>1</v>
      </c>
      <c r="G4002" s="2" t="s">
        <v>82</v>
      </c>
      <c r="H4002" s="2">
        <v>1</v>
      </c>
      <c r="I4002" s="2" t="s">
        <v>82</v>
      </c>
      <c r="J4002" s="2">
        <v>1</v>
      </c>
      <c r="K4002" s="2" t="s">
        <v>107</v>
      </c>
      <c r="L4002" s="2" t="s">
        <v>107</v>
      </c>
      <c r="M4002" s="3">
        <v>40451</v>
      </c>
      <c r="N4002" s="2" t="s">
        <v>82</v>
      </c>
      <c r="O4002" s="2" t="s">
        <v>82</v>
      </c>
      <c r="P4002" s="2" t="s">
        <v>82</v>
      </c>
      <c r="Q4002" s="2" t="str">
        <f>"AP_0050_10"</f>
        <v>AP_0050_10</v>
      </c>
      <c r="R4002" s="2" t="s">
        <v>12618</v>
      </c>
      <c r="S4002" s="2"/>
      <c r="T4002" s="2">
        <v>2</v>
      </c>
      <c r="U4002" s="2" t="s">
        <v>123</v>
      </c>
      <c r="V4002" s="2">
        <v>1</v>
      </c>
      <c r="W4002" s="2" t="s">
        <v>80</v>
      </c>
      <c r="X4002" s="2">
        <v>12</v>
      </c>
      <c r="Y4002" s="2" t="s">
        <v>148</v>
      </c>
      <c r="Z4002" s="2">
        <v>1</v>
      </c>
      <c r="AA4002" s="2" t="s">
        <v>82</v>
      </c>
      <c r="AB4002" s="2">
        <v>9</v>
      </c>
      <c r="AC4002" s="2" t="s">
        <v>124</v>
      </c>
      <c r="AD4002" s="2"/>
      <c r="AE4002" s="2"/>
      <c r="AF4002" s="3">
        <v>40451</v>
      </c>
      <c r="AG4002" s="4">
        <v>0.39583333333333331</v>
      </c>
      <c r="AH4002" s="2">
        <v>6</v>
      </c>
      <c r="AI4002" s="2" t="s">
        <v>197</v>
      </c>
      <c r="AJ4002" s="2">
        <v>61</v>
      </c>
      <c r="AK4002" s="2" t="s">
        <v>686</v>
      </c>
      <c r="AL4002" s="2">
        <v>19</v>
      </c>
      <c r="AM4002" s="2" t="s">
        <v>107</v>
      </c>
      <c r="AN4002" s="2" t="s">
        <v>107</v>
      </c>
      <c r="AO4002" s="2" t="s">
        <v>107</v>
      </c>
      <c r="AP4002" s="2">
        <v>11</v>
      </c>
      <c r="AQ4002" s="2" t="s">
        <v>82</v>
      </c>
      <c r="AR4002" s="2" t="s">
        <v>82</v>
      </c>
      <c r="AS4002" s="2" t="s">
        <v>82</v>
      </c>
      <c r="AT4002" s="2" t="s">
        <v>12619</v>
      </c>
      <c r="AU4002" s="2"/>
      <c r="AV4002" s="2"/>
      <c r="AW4002" s="2"/>
      <c r="AX4002" s="2"/>
      <c r="AY4002" s="2">
        <v>41</v>
      </c>
      <c r="AZ4002" s="2" t="s">
        <v>82</v>
      </c>
      <c r="BA4002" s="2">
        <v>41</v>
      </c>
      <c r="BB4002" s="2" t="s">
        <v>82</v>
      </c>
      <c r="BC4002" s="2">
        <v>41</v>
      </c>
      <c r="BD4002" s="2" t="s">
        <v>82</v>
      </c>
      <c r="BE4002" s="2">
        <v>41</v>
      </c>
      <c r="BF4002" s="2" t="s">
        <v>82</v>
      </c>
      <c r="BG4002" s="2" t="s">
        <v>82</v>
      </c>
      <c r="BH4002" s="2"/>
      <c r="BI4002" s="2"/>
      <c r="BJ4002" s="2">
        <v>241</v>
      </c>
      <c r="BK4002" s="2" t="s">
        <v>82</v>
      </c>
      <c r="BL4002" s="2" t="s">
        <v>82</v>
      </c>
      <c r="BM4002" s="2">
        <v>241</v>
      </c>
      <c r="BN4002" s="2" t="s">
        <v>82</v>
      </c>
      <c r="BO4002" s="2"/>
      <c r="BP4002" s="2">
        <v>241</v>
      </c>
      <c r="BQ4002" s="2" t="s">
        <v>82</v>
      </c>
      <c r="BR4002" s="2" t="s">
        <v>82</v>
      </c>
      <c r="BS4002" s="3">
        <v>40451</v>
      </c>
      <c r="BT4002" s="4">
        <v>0.46314814814814814</v>
      </c>
    </row>
    <row r="4003" spans="1:72" x14ac:dyDescent="0.25">
      <c r="A4003" s="2">
        <v>5990</v>
      </c>
      <c r="B4003" s="2">
        <v>2010</v>
      </c>
      <c r="C4003" s="2" t="s">
        <v>147</v>
      </c>
      <c r="D4003" s="2" t="s">
        <v>73</v>
      </c>
      <c r="E4003" s="2"/>
      <c r="F4003" s="2">
        <v>1</v>
      </c>
      <c r="G4003" s="2" t="s">
        <v>82</v>
      </c>
      <c r="H4003" s="2">
        <v>1</v>
      </c>
      <c r="I4003" s="2" t="s">
        <v>82</v>
      </c>
      <c r="J4003" s="2">
        <v>1</v>
      </c>
      <c r="K4003" s="2" t="s">
        <v>107</v>
      </c>
      <c r="L4003" s="2" t="s">
        <v>107</v>
      </c>
      <c r="M4003" s="3">
        <v>40451</v>
      </c>
      <c r="N4003" s="2" t="s">
        <v>82</v>
      </c>
      <c r="O4003" s="2" t="s">
        <v>82</v>
      </c>
      <c r="P4003" s="2" t="s">
        <v>82</v>
      </c>
      <c r="Q4003" s="2" t="str">
        <f>"0051_10"</f>
        <v>0051_10</v>
      </c>
      <c r="R4003" s="2" t="s">
        <v>12620</v>
      </c>
      <c r="S4003" s="2"/>
      <c r="T4003" s="2">
        <v>2</v>
      </c>
      <c r="U4003" s="2" t="s">
        <v>123</v>
      </c>
      <c r="V4003" s="2">
        <v>1</v>
      </c>
      <c r="W4003" s="2" t="s">
        <v>80</v>
      </c>
      <c r="X4003" s="2">
        <v>12</v>
      </c>
      <c r="Y4003" s="2" t="s">
        <v>148</v>
      </c>
      <c r="Z4003" s="2">
        <v>1</v>
      </c>
      <c r="AA4003" s="2" t="s">
        <v>82</v>
      </c>
      <c r="AB4003" s="2">
        <v>9</v>
      </c>
      <c r="AC4003" s="2" t="s">
        <v>124</v>
      </c>
      <c r="AD4003" s="2"/>
      <c r="AE4003" s="2"/>
      <c r="AF4003" s="3">
        <v>40451</v>
      </c>
      <c r="AG4003" s="4">
        <v>0.40625</v>
      </c>
      <c r="AH4003" s="2">
        <v>6</v>
      </c>
      <c r="AI4003" s="2" t="s">
        <v>197</v>
      </c>
      <c r="AJ4003" s="2">
        <v>61</v>
      </c>
      <c r="AK4003" s="2" t="s">
        <v>686</v>
      </c>
      <c r="AL4003" s="2">
        <v>19</v>
      </c>
      <c r="AM4003" s="2" t="s">
        <v>107</v>
      </c>
      <c r="AN4003" s="2" t="s">
        <v>107</v>
      </c>
      <c r="AO4003" s="2" t="s">
        <v>107</v>
      </c>
      <c r="AP4003" s="2">
        <v>11</v>
      </c>
      <c r="AQ4003" s="2" t="s">
        <v>82</v>
      </c>
      <c r="AR4003" s="2" t="s">
        <v>82</v>
      </c>
      <c r="AS4003" s="2" t="s">
        <v>82</v>
      </c>
      <c r="AT4003" s="2" t="s">
        <v>12621</v>
      </c>
      <c r="AU4003" s="2"/>
      <c r="AV4003" s="2"/>
      <c r="AW4003" s="2"/>
      <c r="AX4003" s="2"/>
      <c r="AY4003" s="2">
        <v>41</v>
      </c>
      <c r="AZ4003" s="2" t="s">
        <v>82</v>
      </c>
      <c r="BA4003" s="2">
        <v>41</v>
      </c>
      <c r="BB4003" s="2" t="s">
        <v>82</v>
      </c>
      <c r="BC4003" s="2">
        <v>41</v>
      </c>
      <c r="BD4003" s="2" t="s">
        <v>82</v>
      </c>
      <c r="BE4003" s="2">
        <v>41</v>
      </c>
      <c r="BF4003" s="2" t="s">
        <v>82</v>
      </c>
      <c r="BG4003" s="2" t="s">
        <v>82</v>
      </c>
      <c r="BH4003" s="2"/>
      <c r="BI4003" s="2"/>
      <c r="BJ4003" s="2">
        <v>241</v>
      </c>
      <c r="BK4003" s="2" t="s">
        <v>82</v>
      </c>
      <c r="BL4003" s="2" t="s">
        <v>82</v>
      </c>
      <c r="BM4003" s="2">
        <v>241</v>
      </c>
      <c r="BN4003" s="2" t="s">
        <v>82</v>
      </c>
      <c r="BO4003" s="2"/>
      <c r="BP4003" s="2">
        <v>241</v>
      </c>
      <c r="BQ4003" s="2" t="s">
        <v>82</v>
      </c>
      <c r="BR4003" s="2" t="s">
        <v>82</v>
      </c>
      <c r="BS4003" s="3">
        <v>40451</v>
      </c>
      <c r="BT4003" s="4">
        <v>0.47552083333333334</v>
      </c>
    </row>
    <row r="4004" spans="1:72" x14ac:dyDescent="0.25">
      <c r="A4004" s="2">
        <v>5991</v>
      </c>
      <c r="B4004" s="2">
        <v>2010</v>
      </c>
      <c r="C4004" s="2" t="s">
        <v>385</v>
      </c>
      <c r="D4004" s="2" t="s">
        <v>122</v>
      </c>
      <c r="E4004" s="2"/>
      <c r="F4004" s="2">
        <v>545</v>
      </c>
      <c r="G4004" s="2" t="s">
        <v>3969</v>
      </c>
      <c r="H4004" s="2">
        <v>50</v>
      </c>
      <c r="I4004" s="2" t="s">
        <v>107</v>
      </c>
      <c r="J4004" s="2">
        <v>140</v>
      </c>
      <c r="K4004" s="2" t="s">
        <v>864</v>
      </c>
      <c r="L4004" s="2" t="s">
        <v>865</v>
      </c>
      <c r="M4004" s="3">
        <v>40451</v>
      </c>
      <c r="N4004" s="2" t="s">
        <v>12622</v>
      </c>
      <c r="O4004" s="2" t="s">
        <v>12623</v>
      </c>
      <c r="P4004" s="2"/>
      <c r="Q4004" s="2" t="str">
        <f>""</f>
        <v/>
      </c>
      <c r="R4004" s="2" t="s">
        <v>82</v>
      </c>
      <c r="S4004" s="2"/>
      <c r="T4004" s="2">
        <v>1</v>
      </c>
      <c r="U4004" s="2" t="s">
        <v>79</v>
      </c>
      <c r="V4004" s="2">
        <v>1</v>
      </c>
      <c r="W4004" s="2" t="s">
        <v>80</v>
      </c>
      <c r="X4004" s="2">
        <v>11</v>
      </c>
      <c r="Y4004" s="2" t="s">
        <v>1920</v>
      </c>
      <c r="Z4004" s="2">
        <v>1</v>
      </c>
      <c r="AA4004" s="2" t="s">
        <v>82</v>
      </c>
      <c r="AB4004" s="2">
        <v>9</v>
      </c>
      <c r="AC4004" s="2" t="s">
        <v>124</v>
      </c>
      <c r="AD4004" s="2"/>
      <c r="AE4004" s="2"/>
      <c r="AF4004" s="3">
        <v>40451</v>
      </c>
      <c r="AG4004" s="2"/>
      <c r="AH4004" s="2">
        <v>6</v>
      </c>
      <c r="AI4004" s="2" t="s">
        <v>197</v>
      </c>
      <c r="AJ4004" s="2">
        <v>51</v>
      </c>
      <c r="AK4004" s="2" t="s">
        <v>238</v>
      </c>
      <c r="AL4004" s="2">
        <v>10</v>
      </c>
      <c r="AM4004" s="2" t="s">
        <v>200</v>
      </c>
      <c r="AN4004" s="2" t="s">
        <v>82</v>
      </c>
      <c r="AO4004" s="2" t="s">
        <v>230</v>
      </c>
      <c r="AP4004" s="2">
        <v>11</v>
      </c>
      <c r="AQ4004" s="2" t="s">
        <v>82</v>
      </c>
      <c r="AR4004" s="2"/>
      <c r="AS4004" s="2"/>
      <c r="AT4004" s="2" t="s">
        <v>12624</v>
      </c>
      <c r="AU4004" s="2"/>
      <c r="AV4004" s="2">
        <v>1</v>
      </c>
      <c r="AW4004" s="2"/>
      <c r="AX4004" s="2"/>
      <c r="AY4004" s="2">
        <v>41</v>
      </c>
      <c r="AZ4004" s="2" t="s">
        <v>82</v>
      </c>
      <c r="BA4004" s="2">
        <v>1</v>
      </c>
      <c r="BB4004" s="2" t="s">
        <v>107</v>
      </c>
      <c r="BC4004" s="2">
        <v>41</v>
      </c>
      <c r="BD4004" s="2" t="s">
        <v>82</v>
      </c>
      <c r="BE4004" s="2">
        <v>13</v>
      </c>
      <c r="BF4004" s="2" t="s">
        <v>108</v>
      </c>
      <c r="BG4004" s="2">
        <v>1653</v>
      </c>
      <c r="BH4004" s="4">
        <v>0.4236111111111111</v>
      </c>
      <c r="BI4004" s="4">
        <v>0.3611111111111111</v>
      </c>
      <c r="BJ4004" s="2">
        <v>13</v>
      </c>
      <c r="BK4004" s="2" t="s">
        <v>91</v>
      </c>
      <c r="BL4004" s="2" t="s">
        <v>185</v>
      </c>
      <c r="BM4004" s="2">
        <v>13</v>
      </c>
      <c r="BN4004" s="2" t="s">
        <v>91</v>
      </c>
      <c r="BO4004" s="2"/>
      <c r="BP4004" s="2">
        <v>13</v>
      </c>
      <c r="BQ4004" s="2" t="s">
        <v>91</v>
      </c>
      <c r="BR4004" s="2" t="s">
        <v>185</v>
      </c>
      <c r="BS4004" s="3">
        <v>40451</v>
      </c>
      <c r="BT4004" s="4">
        <v>0.47798611111111117</v>
      </c>
    </row>
    <row r="4005" spans="1:72" x14ac:dyDescent="0.25">
      <c r="A4005" s="2">
        <v>5992</v>
      </c>
      <c r="B4005" s="2">
        <v>2010</v>
      </c>
      <c r="C4005" s="2" t="s">
        <v>147</v>
      </c>
      <c r="D4005" s="2" t="s">
        <v>73</v>
      </c>
      <c r="E4005" s="2"/>
      <c r="F4005" s="2">
        <v>1</v>
      </c>
      <c r="G4005" s="2" t="s">
        <v>82</v>
      </c>
      <c r="H4005" s="2">
        <v>1</v>
      </c>
      <c r="I4005" s="2" t="s">
        <v>82</v>
      </c>
      <c r="J4005" s="2">
        <v>1</v>
      </c>
      <c r="K4005" s="2" t="s">
        <v>107</v>
      </c>
      <c r="L4005" s="2" t="s">
        <v>107</v>
      </c>
      <c r="M4005" s="3">
        <v>40451</v>
      </c>
      <c r="N4005" s="2" t="s">
        <v>82</v>
      </c>
      <c r="O4005" s="2" t="s">
        <v>82</v>
      </c>
      <c r="P4005" s="2" t="s">
        <v>82</v>
      </c>
      <c r="Q4005" s="2" t="str">
        <f>"0052_10"</f>
        <v>0052_10</v>
      </c>
      <c r="R4005" s="2" t="s">
        <v>12625</v>
      </c>
      <c r="S4005" s="2" t="s">
        <v>82</v>
      </c>
      <c r="T4005" s="2">
        <v>2</v>
      </c>
      <c r="U4005" s="2" t="s">
        <v>123</v>
      </c>
      <c r="V4005" s="2">
        <v>1</v>
      </c>
      <c r="W4005" s="2" t="s">
        <v>80</v>
      </c>
      <c r="X4005" s="2">
        <v>12</v>
      </c>
      <c r="Y4005" s="2" t="s">
        <v>148</v>
      </c>
      <c r="Z4005" s="2">
        <v>1</v>
      </c>
      <c r="AA4005" s="2" t="s">
        <v>82</v>
      </c>
      <c r="AB4005" s="2">
        <v>9</v>
      </c>
      <c r="AC4005" s="2" t="s">
        <v>124</v>
      </c>
      <c r="AD4005" s="2"/>
      <c r="AE4005" s="2"/>
      <c r="AF4005" s="3">
        <v>40451</v>
      </c>
      <c r="AG4005" s="4">
        <v>0.41666666666666669</v>
      </c>
      <c r="AH4005" s="2">
        <v>6</v>
      </c>
      <c r="AI4005" s="2" t="s">
        <v>197</v>
      </c>
      <c r="AJ4005" s="2">
        <v>61</v>
      </c>
      <c r="AK4005" s="2" t="s">
        <v>686</v>
      </c>
      <c r="AL4005" s="2">
        <v>19</v>
      </c>
      <c r="AM4005" s="2" t="s">
        <v>107</v>
      </c>
      <c r="AN4005" s="2" t="s">
        <v>107</v>
      </c>
      <c r="AO4005" s="2" t="s">
        <v>107</v>
      </c>
      <c r="AP4005" s="2">
        <v>11</v>
      </c>
      <c r="AQ4005" s="2" t="s">
        <v>82</v>
      </c>
      <c r="AR4005" s="2" t="s">
        <v>82</v>
      </c>
      <c r="AS4005" s="2" t="s">
        <v>82</v>
      </c>
      <c r="AT4005" s="2" t="s">
        <v>12626</v>
      </c>
      <c r="AU4005" s="2"/>
      <c r="AV4005" s="2"/>
      <c r="AW4005" s="2"/>
      <c r="AX4005" s="2"/>
      <c r="AY4005" s="2">
        <v>41</v>
      </c>
      <c r="AZ4005" s="2" t="s">
        <v>82</v>
      </c>
      <c r="BA4005" s="2">
        <v>41</v>
      </c>
      <c r="BB4005" s="2" t="s">
        <v>82</v>
      </c>
      <c r="BC4005" s="2">
        <v>41</v>
      </c>
      <c r="BD4005" s="2" t="s">
        <v>82</v>
      </c>
      <c r="BE4005" s="2">
        <v>41</v>
      </c>
      <c r="BF4005" s="2" t="s">
        <v>82</v>
      </c>
      <c r="BG4005" s="2" t="s">
        <v>82</v>
      </c>
      <c r="BH4005" s="2"/>
      <c r="BI4005" s="2"/>
      <c r="BJ4005" s="2">
        <v>241</v>
      </c>
      <c r="BK4005" s="2" t="s">
        <v>82</v>
      </c>
      <c r="BL4005" s="2" t="s">
        <v>82</v>
      </c>
      <c r="BM4005" s="2">
        <v>241</v>
      </c>
      <c r="BN4005" s="2" t="s">
        <v>82</v>
      </c>
      <c r="BO4005" s="2"/>
      <c r="BP4005" s="2">
        <v>241</v>
      </c>
      <c r="BQ4005" s="2" t="s">
        <v>82</v>
      </c>
      <c r="BR4005" s="2" t="s">
        <v>82</v>
      </c>
      <c r="BS4005" s="3">
        <v>40451</v>
      </c>
      <c r="BT4005" s="4">
        <v>0.48443287037037036</v>
      </c>
    </row>
    <row r="4006" spans="1:72" x14ac:dyDescent="0.25">
      <c r="A4006" s="2">
        <v>5993</v>
      </c>
      <c r="B4006" s="2">
        <v>2010</v>
      </c>
      <c r="C4006" s="2" t="s">
        <v>147</v>
      </c>
      <c r="D4006" s="2" t="s">
        <v>73</v>
      </c>
      <c r="E4006" s="2"/>
      <c r="F4006" s="2">
        <v>1</v>
      </c>
      <c r="G4006" s="2" t="s">
        <v>82</v>
      </c>
      <c r="H4006" s="2">
        <v>1</v>
      </c>
      <c r="I4006" s="2" t="s">
        <v>82</v>
      </c>
      <c r="J4006" s="2">
        <v>1</v>
      </c>
      <c r="K4006" s="2" t="s">
        <v>107</v>
      </c>
      <c r="L4006" s="2" t="s">
        <v>107</v>
      </c>
      <c r="M4006" s="3">
        <v>40451</v>
      </c>
      <c r="N4006" s="2" t="s">
        <v>82</v>
      </c>
      <c r="O4006" s="2" t="s">
        <v>82</v>
      </c>
      <c r="P4006" s="2" t="s">
        <v>82</v>
      </c>
      <c r="Q4006" s="2" t="str">
        <f>"0053_10"</f>
        <v>0053_10</v>
      </c>
      <c r="R4006" s="2" t="s">
        <v>12627</v>
      </c>
      <c r="S4006" s="2" t="s">
        <v>82</v>
      </c>
      <c r="T4006" s="2">
        <v>2</v>
      </c>
      <c r="U4006" s="2" t="s">
        <v>123</v>
      </c>
      <c r="V4006" s="2">
        <v>1</v>
      </c>
      <c r="W4006" s="2" t="s">
        <v>80</v>
      </c>
      <c r="X4006" s="2">
        <v>12</v>
      </c>
      <c r="Y4006" s="2" t="s">
        <v>148</v>
      </c>
      <c r="Z4006" s="2">
        <v>1</v>
      </c>
      <c r="AA4006" s="2" t="s">
        <v>82</v>
      </c>
      <c r="AB4006" s="2">
        <v>9</v>
      </c>
      <c r="AC4006" s="2" t="s">
        <v>124</v>
      </c>
      <c r="AD4006" s="2"/>
      <c r="AE4006" s="2"/>
      <c r="AF4006" s="3">
        <v>40451</v>
      </c>
      <c r="AG4006" s="4">
        <v>0.42708333333333331</v>
      </c>
      <c r="AH4006" s="2">
        <v>6</v>
      </c>
      <c r="AI4006" s="2" t="s">
        <v>197</v>
      </c>
      <c r="AJ4006" s="2">
        <v>61</v>
      </c>
      <c r="AK4006" s="2" t="s">
        <v>686</v>
      </c>
      <c r="AL4006" s="2">
        <v>19</v>
      </c>
      <c r="AM4006" s="2" t="s">
        <v>107</v>
      </c>
      <c r="AN4006" s="2" t="s">
        <v>107</v>
      </c>
      <c r="AO4006" s="2" t="s">
        <v>107</v>
      </c>
      <c r="AP4006" s="2">
        <v>11</v>
      </c>
      <c r="AQ4006" s="2" t="s">
        <v>82</v>
      </c>
      <c r="AR4006" s="2" t="s">
        <v>82</v>
      </c>
      <c r="AS4006" s="2" t="s">
        <v>82</v>
      </c>
      <c r="AT4006" s="2" t="s">
        <v>12628</v>
      </c>
      <c r="AU4006" s="2"/>
      <c r="AV4006" s="2"/>
      <c r="AW4006" s="2"/>
      <c r="AX4006" s="2"/>
      <c r="AY4006" s="2">
        <v>41</v>
      </c>
      <c r="AZ4006" s="2" t="s">
        <v>82</v>
      </c>
      <c r="BA4006" s="2">
        <v>41</v>
      </c>
      <c r="BB4006" s="2" t="s">
        <v>82</v>
      </c>
      <c r="BC4006" s="2">
        <v>41</v>
      </c>
      <c r="BD4006" s="2" t="s">
        <v>82</v>
      </c>
      <c r="BE4006" s="2">
        <v>41</v>
      </c>
      <c r="BF4006" s="2" t="s">
        <v>82</v>
      </c>
      <c r="BG4006" s="2" t="s">
        <v>82</v>
      </c>
      <c r="BH4006" s="2"/>
      <c r="BI4006" s="2"/>
      <c r="BJ4006" s="2">
        <v>241</v>
      </c>
      <c r="BK4006" s="2" t="s">
        <v>82</v>
      </c>
      <c r="BL4006" s="2" t="s">
        <v>82</v>
      </c>
      <c r="BM4006" s="2">
        <v>241</v>
      </c>
      <c r="BN4006" s="2" t="s">
        <v>82</v>
      </c>
      <c r="BO4006" s="2"/>
      <c r="BP4006" s="2">
        <v>241</v>
      </c>
      <c r="BQ4006" s="2" t="s">
        <v>82</v>
      </c>
      <c r="BR4006" s="2" t="s">
        <v>82</v>
      </c>
      <c r="BS4006" s="3">
        <v>40451</v>
      </c>
      <c r="BT4006" s="4">
        <v>0.49472222222222223</v>
      </c>
    </row>
    <row r="4007" spans="1:72" x14ac:dyDescent="0.25">
      <c r="A4007" s="2">
        <v>5994</v>
      </c>
      <c r="B4007" s="2">
        <v>2010</v>
      </c>
      <c r="C4007" s="2" t="s">
        <v>4543</v>
      </c>
      <c r="D4007" s="2" t="s">
        <v>122</v>
      </c>
      <c r="E4007" s="2"/>
      <c r="F4007" s="2">
        <v>1</v>
      </c>
      <c r="G4007" s="2" t="s">
        <v>82</v>
      </c>
      <c r="H4007" s="2">
        <v>1</v>
      </c>
      <c r="I4007" s="2" t="s">
        <v>82</v>
      </c>
      <c r="J4007" s="2">
        <v>1</v>
      </c>
      <c r="K4007" s="2" t="s">
        <v>107</v>
      </c>
      <c r="L4007" s="2" t="s">
        <v>107</v>
      </c>
      <c r="M4007" s="3">
        <v>40451</v>
      </c>
      <c r="N4007" s="2"/>
      <c r="O4007" s="2"/>
      <c r="P4007" s="2"/>
      <c r="Q4007" s="2" t="str">
        <f>""</f>
        <v/>
      </c>
      <c r="R4007" s="2"/>
      <c r="S4007" s="2"/>
      <c r="T4007" s="2">
        <v>2</v>
      </c>
      <c r="U4007" s="2" t="s">
        <v>123</v>
      </c>
      <c r="V4007" s="2">
        <v>1</v>
      </c>
      <c r="W4007" s="2" t="s">
        <v>80</v>
      </c>
      <c r="X4007" s="2">
        <v>1</v>
      </c>
      <c r="Y4007" s="2" t="s">
        <v>81</v>
      </c>
      <c r="Z4007" s="2">
        <v>4</v>
      </c>
      <c r="AA4007" s="2" t="s">
        <v>182</v>
      </c>
      <c r="AB4007" s="2">
        <v>9</v>
      </c>
      <c r="AC4007" s="2" t="s">
        <v>124</v>
      </c>
      <c r="AD4007" s="3">
        <v>40451</v>
      </c>
      <c r="AE4007" s="4">
        <v>0.4375</v>
      </c>
      <c r="AF4007" s="2"/>
      <c r="AG4007" s="2"/>
      <c r="AH4007" s="2">
        <v>3</v>
      </c>
      <c r="AI4007" s="2" t="s">
        <v>214</v>
      </c>
      <c r="AJ4007" s="2">
        <v>24</v>
      </c>
      <c r="AK4007" s="2" t="s">
        <v>215</v>
      </c>
      <c r="AL4007" s="2">
        <v>23</v>
      </c>
      <c r="AM4007" s="2" t="s">
        <v>251</v>
      </c>
      <c r="AN4007" s="2" t="s">
        <v>12629</v>
      </c>
      <c r="AO4007" s="2" t="s">
        <v>82</v>
      </c>
      <c r="AP4007" s="2">
        <v>11</v>
      </c>
      <c r="AQ4007" s="2" t="s">
        <v>82</v>
      </c>
      <c r="AR4007" s="2"/>
      <c r="AS4007" s="2"/>
      <c r="AT4007" s="2" t="s">
        <v>12630</v>
      </c>
      <c r="AU4007" s="2"/>
      <c r="AV4007" s="2"/>
      <c r="AW4007" s="2"/>
      <c r="AX4007" s="2"/>
      <c r="AY4007" s="2">
        <v>41</v>
      </c>
      <c r="AZ4007" s="2" t="s">
        <v>82</v>
      </c>
      <c r="BA4007" s="2">
        <v>41</v>
      </c>
      <c r="BB4007" s="2" t="s">
        <v>82</v>
      </c>
      <c r="BC4007" s="2">
        <v>41</v>
      </c>
      <c r="BD4007" s="2" t="s">
        <v>82</v>
      </c>
      <c r="BE4007" s="2">
        <v>41</v>
      </c>
      <c r="BF4007" s="2" t="s">
        <v>82</v>
      </c>
      <c r="BG4007" s="2"/>
      <c r="BH4007" s="2"/>
      <c r="BI4007" s="2"/>
      <c r="BJ4007" s="2">
        <v>241</v>
      </c>
      <c r="BK4007" s="2" t="s">
        <v>82</v>
      </c>
      <c r="BL4007" s="2"/>
      <c r="BM4007" s="2">
        <v>241</v>
      </c>
      <c r="BN4007" s="2" t="s">
        <v>82</v>
      </c>
      <c r="BO4007" s="2"/>
      <c r="BP4007" s="2">
        <v>241</v>
      </c>
      <c r="BQ4007" s="2" t="s">
        <v>82</v>
      </c>
      <c r="BR4007" s="2"/>
      <c r="BS4007" s="3">
        <v>40451</v>
      </c>
      <c r="BT4007" s="4">
        <v>0.50265046296296301</v>
      </c>
    </row>
    <row r="4008" spans="1:72" x14ac:dyDescent="0.25">
      <c r="A4008" s="2">
        <v>5995</v>
      </c>
      <c r="B4008" s="2">
        <v>2010</v>
      </c>
      <c r="C4008" s="2" t="s">
        <v>171</v>
      </c>
      <c r="D4008" s="2" t="s">
        <v>73</v>
      </c>
      <c r="E4008" s="2"/>
      <c r="F4008" s="2">
        <v>571</v>
      </c>
      <c r="G4008" s="2" t="s">
        <v>8061</v>
      </c>
      <c r="H4008" s="2">
        <v>47</v>
      </c>
      <c r="I4008" s="2" t="s">
        <v>1409</v>
      </c>
      <c r="J4008" s="2">
        <v>119</v>
      </c>
      <c r="K4008" s="2" t="s">
        <v>325</v>
      </c>
      <c r="L4008" s="2" t="s">
        <v>326</v>
      </c>
      <c r="M4008" s="3">
        <v>40451</v>
      </c>
      <c r="N4008" s="2" t="s">
        <v>327</v>
      </c>
      <c r="O4008" s="2" t="s">
        <v>107</v>
      </c>
      <c r="P4008" s="2" t="s">
        <v>107</v>
      </c>
      <c r="Q4008" s="2" t="str">
        <f>"0045/10"</f>
        <v>0045/10</v>
      </c>
      <c r="R4008" s="2" t="s">
        <v>10702</v>
      </c>
      <c r="S4008" s="2"/>
      <c r="T4008" s="2">
        <v>1</v>
      </c>
      <c r="U4008" s="2" t="s">
        <v>79</v>
      </c>
      <c r="V4008" s="2">
        <v>1</v>
      </c>
      <c r="W4008" s="2" t="s">
        <v>80</v>
      </c>
      <c r="X4008" s="2">
        <v>1</v>
      </c>
      <c r="Y4008" s="2" t="s">
        <v>81</v>
      </c>
      <c r="Z4008" s="2">
        <v>1</v>
      </c>
      <c r="AA4008" s="2" t="s">
        <v>82</v>
      </c>
      <c r="AB4008" s="2">
        <v>1</v>
      </c>
      <c r="AC4008" s="2" t="s">
        <v>178</v>
      </c>
      <c r="AD4008" s="3">
        <v>40448</v>
      </c>
      <c r="AE4008" s="4">
        <v>0.63888888888888895</v>
      </c>
      <c r="AF4008" s="2"/>
      <c r="AG4008" s="2"/>
      <c r="AH4008" s="2">
        <v>6</v>
      </c>
      <c r="AI4008" s="2" t="s">
        <v>197</v>
      </c>
      <c r="AJ4008" s="2">
        <v>50</v>
      </c>
      <c r="AK4008" s="2" t="s">
        <v>330</v>
      </c>
      <c r="AL4008" s="2">
        <v>11</v>
      </c>
      <c r="AM4008" s="2" t="s">
        <v>137</v>
      </c>
      <c r="AN4008" s="2"/>
      <c r="AO4008" s="2" t="s">
        <v>6881</v>
      </c>
      <c r="AP4008" s="2">
        <v>11</v>
      </c>
      <c r="AQ4008" s="2" t="s">
        <v>82</v>
      </c>
      <c r="AR4008" s="2"/>
      <c r="AS4008" s="2"/>
      <c r="AT4008" s="2" t="s">
        <v>12631</v>
      </c>
      <c r="AU4008" s="2"/>
      <c r="AV4008" s="2"/>
      <c r="AW4008" s="2"/>
      <c r="AX4008" s="2"/>
      <c r="AY4008" s="2">
        <v>41</v>
      </c>
      <c r="AZ4008" s="2" t="s">
        <v>82</v>
      </c>
      <c r="BA4008" s="2">
        <v>41</v>
      </c>
      <c r="BB4008" s="2" t="s">
        <v>82</v>
      </c>
      <c r="BC4008" s="2">
        <v>41</v>
      </c>
      <c r="BD4008" s="2" t="s">
        <v>82</v>
      </c>
      <c r="BE4008" s="2">
        <v>13</v>
      </c>
      <c r="BF4008" s="2" t="s">
        <v>108</v>
      </c>
      <c r="BG4008" s="2">
        <v>1685</v>
      </c>
      <c r="BH4008" s="2"/>
      <c r="BI4008" s="4">
        <v>0.65625</v>
      </c>
      <c r="BJ4008" s="2">
        <v>13</v>
      </c>
      <c r="BK4008" s="2" t="s">
        <v>91</v>
      </c>
      <c r="BL4008" s="2" t="s">
        <v>332</v>
      </c>
      <c r="BM4008" s="2">
        <v>13</v>
      </c>
      <c r="BN4008" s="2" t="s">
        <v>91</v>
      </c>
      <c r="BO4008" s="2"/>
      <c r="BP4008" s="2">
        <v>13</v>
      </c>
      <c r="BQ4008" s="2" t="s">
        <v>91</v>
      </c>
      <c r="BR4008" s="2" t="s">
        <v>12632</v>
      </c>
      <c r="BS4008" s="3">
        <v>40451</v>
      </c>
      <c r="BT4008" s="4">
        <v>0.50973379629629634</v>
      </c>
    </row>
    <row r="4009" spans="1:72" x14ac:dyDescent="0.25">
      <c r="A4009" s="2">
        <v>6003</v>
      </c>
      <c r="B4009" s="2">
        <v>2010</v>
      </c>
      <c r="C4009" s="2" t="s">
        <v>385</v>
      </c>
      <c r="D4009" s="2" t="s">
        <v>122</v>
      </c>
      <c r="E4009" s="2" t="s">
        <v>12633</v>
      </c>
      <c r="F4009" s="2">
        <v>505</v>
      </c>
      <c r="G4009" s="2" t="s">
        <v>2391</v>
      </c>
      <c r="H4009" s="2">
        <v>5</v>
      </c>
      <c r="I4009" s="2" t="s">
        <v>634</v>
      </c>
      <c r="J4009" s="2">
        <v>423</v>
      </c>
      <c r="K4009" s="2" t="s">
        <v>2392</v>
      </c>
      <c r="L4009" s="2" t="s">
        <v>2393</v>
      </c>
      <c r="M4009" s="3">
        <v>40451</v>
      </c>
      <c r="N4009" s="2" t="s">
        <v>12598</v>
      </c>
      <c r="O4009" s="2" t="s">
        <v>12634</v>
      </c>
      <c r="P4009" s="2" t="s">
        <v>12599</v>
      </c>
      <c r="Q4009" s="2" t="str">
        <f>"N/C"</f>
        <v>N/C</v>
      </c>
      <c r="R4009" s="2" t="s">
        <v>82</v>
      </c>
      <c r="S4009" s="2" t="s">
        <v>82</v>
      </c>
      <c r="T4009" s="2">
        <v>1</v>
      </c>
      <c r="U4009" s="2" t="s">
        <v>79</v>
      </c>
      <c r="V4009" s="2">
        <v>1</v>
      </c>
      <c r="W4009" s="2" t="s">
        <v>80</v>
      </c>
      <c r="X4009" s="2">
        <v>10</v>
      </c>
      <c r="Y4009" s="2" t="s">
        <v>226</v>
      </c>
      <c r="Z4009" s="2">
        <v>6</v>
      </c>
      <c r="AA4009" s="2" t="s">
        <v>101</v>
      </c>
      <c r="AB4009" s="2">
        <v>9</v>
      </c>
      <c r="AC4009" s="2" t="s">
        <v>124</v>
      </c>
      <c r="AD4009" s="3">
        <v>40451</v>
      </c>
      <c r="AE4009" s="4">
        <v>0.33333333333333331</v>
      </c>
      <c r="AF4009" s="2"/>
      <c r="AG4009" s="2"/>
      <c r="AH4009" s="2">
        <v>2</v>
      </c>
      <c r="AI4009" s="2" t="s">
        <v>84</v>
      </c>
      <c r="AJ4009" s="2">
        <v>9</v>
      </c>
      <c r="AK4009" s="2" t="s">
        <v>103</v>
      </c>
      <c r="AL4009" s="2">
        <v>12</v>
      </c>
      <c r="AM4009" s="2" t="s">
        <v>86</v>
      </c>
      <c r="AN4009" s="2" t="s">
        <v>105</v>
      </c>
      <c r="AO4009" s="2" t="s">
        <v>82</v>
      </c>
      <c r="AP4009" s="2">
        <v>11</v>
      </c>
      <c r="AQ4009" s="2" t="s">
        <v>82</v>
      </c>
      <c r="AR4009" s="2"/>
      <c r="AS4009" s="2"/>
      <c r="AT4009" s="2" t="s">
        <v>12635</v>
      </c>
      <c r="AU4009" s="2">
        <v>1</v>
      </c>
      <c r="AV4009" s="2"/>
      <c r="AW4009" s="2"/>
      <c r="AX4009" s="2"/>
      <c r="AY4009" s="2">
        <v>41</v>
      </c>
      <c r="AZ4009" s="2" t="s">
        <v>82</v>
      </c>
      <c r="BA4009" s="2">
        <v>41</v>
      </c>
      <c r="BB4009" s="2" t="s">
        <v>82</v>
      </c>
      <c r="BC4009" s="2">
        <v>41</v>
      </c>
      <c r="BD4009" s="2" t="s">
        <v>82</v>
      </c>
      <c r="BE4009" s="2">
        <v>19</v>
      </c>
      <c r="BF4009" s="2" t="s">
        <v>1061</v>
      </c>
      <c r="BG4009" s="2" t="s">
        <v>12636</v>
      </c>
      <c r="BH4009" s="2"/>
      <c r="BI4009" s="4">
        <v>0.79166666666666663</v>
      </c>
      <c r="BJ4009" s="2">
        <v>13</v>
      </c>
      <c r="BK4009" s="2" t="s">
        <v>91</v>
      </c>
      <c r="BL4009" s="2" t="s">
        <v>185</v>
      </c>
      <c r="BM4009" s="2">
        <v>29</v>
      </c>
      <c r="BN4009" s="2" t="s">
        <v>962</v>
      </c>
      <c r="BO4009" s="2"/>
      <c r="BP4009" s="2">
        <v>29</v>
      </c>
      <c r="BQ4009" s="2" t="s">
        <v>962</v>
      </c>
      <c r="BR4009" s="2" t="s">
        <v>11492</v>
      </c>
      <c r="BS4009" s="3">
        <v>40451</v>
      </c>
      <c r="BT4009" s="4">
        <v>0.64761574074074069</v>
      </c>
    </row>
    <row r="4010" spans="1:72" x14ac:dyDescent="0.25">
      <c r="A4010" s="2">
        <v>6007</v>
      </c>
      <c r="B4010" s="2">
        <v>2010</v>
      </c>
      <c r="C4010" s="2" t="s">
        <v>147</v>
      </c>
      <c r="D4010" s="2" t="s">
        <v>73</v>
      </c>
      <c r="E4010" s="2"/>
      <c r="F4010" s="2">
        <v>1</v>
      </c>
      <c r="G4010" s="2" t="s">
        <v>82</v>
      </c>
      <c r="H4010" s="2">
        <v>1</v>
      </c>
      <c r="I4010" s="2" t="s">
        <v>82</v>
      </c>
      <c r="J4010" s="2">
        <v>1</v>
      </c>
      <c r="K4010" s="2" t="s">
        <v>107</v>
      </c>
      <c r="L4010" s="2" t="s">
        <v>107</v>
      </c>
      <c r="M4010" s="3">
        <v>40451</v>
      </c>
      <c r="N4010" s="2" t="s">
        <v>82</v>
      </c>
      <c r="O4010" s="2" t="s">
        <v>82</v>
      </c>
      <c r="P4010" s="2" t="s">
        <v>82</v>
      </c>
      <c r="Q4010" s="2" t="str">
        <f>"AP_0054_10"</f>
        <v>AP_0054_10</v>
      </c>
      <c r="R4010" s="2" t="s">
        <v>12637</v>
      </c>
      <c r="S4010" s="2" t="s">
        <v>82</v>
      </c>
      <c r="T4010" s="2">
        <v>2</v>
      </c>
      <c r="U4010" s="2" t="s">
        <v>123</v>
      </c>
      <c r="V4010" s="2">
        <v>1</v>
      </c>
      <c r="W4010" s="2" t="s">
        <v>80</v>
      </c>
      <c r="X4010" s="2">
        <v>12</v>
      </c>
      <c r="Y4010" s="2" t="s">
        <v>148</v>
      </c>
      <c r="Z4010" s="2">
        <v>1</v>
      </c>
      <c r="AA4010" s="2" t="s">
        <v>82</v>
      </c>
      <c r="AB4010" s="2">
        <v>9</v>
      </c>
      <c r="AC4010" s="2" t="s">
        <v>124</v>
      </c>
      <c r="AD4010" s="2"/>
      <c r="AE4010" s="2"/>
      <c r="AF4010" s="3">
        <v>40451</v>
      </c>
      <c r="AG4010" s="4">
        <v>0.63541666666666663</v>
      </c>
      <c r="AH4010" s="2">
        <v>6</v>
      </c>
      <c r="AI4010" s="2" t="s">
        <v>197</v>
      </c>
      <c r="AJ4010" s="2">
        <v>61</v>
      </c>
      <c r="AK4010" s="2" t="s">
        <v>686</v>
      </c>
      <c r="AL4010" s="2">
        <v>19</v>
      </c>
      <c r="AM4010" s="2" t="s">
        <v>107</v>
      </c>
      <c r="AN4010" s="2" t="s">
        <v>82</v>
      </c>
      <c r="AO4010" s="2" t="s">
        <v>82</v>
      </c>
      <c r="AP4010" s="2">
        <v>11</v>
      </c>
      <c r="AQ4010" s="2" t="s">
        <v>82</v>
      </c>
      <c r="AR4010" s="2" t="s">
        <v>82</v>
      </c>
      <c r="AS4010" s="2" t="s">
        <v>82</v>
      </c>
      <c r="AT4010" s="2" t="s">
        <v>12638</v>
      </c>
      <c r="AU4010" s="2"/>
      <c r="AV4010" s="2"/>
      <c r="AW4010" s="2"/>
      <c r="AX4010" s="2"/>
      <c r="AY4010" s="2">
        <v>41</v>
      </c>
      <c r="AZ4010" s="2" t="s">
        <v>82</v>
      </c>
      <c r="BA4010" s="2">
        <v>41</v>
      </c>
      <c r="BB4010" s="2" t="s">
        <v>82</v>
      </c>
      <c r="BC4010" s="2">
        <v>41</v>
      </c>
      <c r="BD4010" s="2" t="s">
        <v>82</v>
      </c>
      <c r="BE4010" s="2">
        <v>41</v>
      </c>
      <c r="BF4010" s="2" t="s">
        <v>82</v>
      </c>
      <c r="BG4010" s="2" t="s">
        <v>82</v>
      </c>
      <c r="BH4010" s="2"/>
      <c r="BI4010" s="2"/>
      <c r="BJ4010" s="2">
        <v>241</v>
      </c>
      <c r="BK4010" s="2" t="s">
        <v>82</v>
      </c>
      <c r="BL4010" s="2" t="s">
        <v>82</v>
      </c>
      <c r="BM4010" s="2">
        <v>241</v>
      </c>
      <c r="BN4010" s="2" t="s">
        <v>82</v>
      </c>
      <c r="BO4010" s="2"/>
      <c r="BP4010" s="2">
        <v>241</v>
      </c>
      <c r="BQ4010" s="2" t="s">
        <v>82</v>
      </c>
      <c r="BR4010" s="2" t="s">
        <v>82</v>
      </c>
      <c r="BS4010" s="3">
        <v>40451</v>
      </c>
      <c r="BT4010" s="4">
        <v>0.69574074074074066</v>
      </c>
    </row>
    <row r="4011" spans="1:72" x14ac:dyDescent="0.25">
      <c r="A4011" s="2">
        <v>6008</v>
      </c>
      <c r="B4011" s="2">
        <v>2010</v>
      </c>
      <c r="C4011" s="2" t="s">
        <v>385</v>
      </c>
      <c r="D4011" s="2" t="s">
        <v>122</v>
      </c>
      <c r="E4011" s="2"/>
      <c r="F4011" s="2">
        <v>1</v>
      </c>
      <c r="G4011" s="2" t="s">
        <v>82</v>
      </c>
      <c r="H4011" s="2">
        <v>1</v>
      </c>
      <c r="I4011" s="2" t="s">
        <v>82</v>
      </c>
      <c r="J4011" s="2">
        <v>1</v>
      </c>
      <c r="K4011" s="2" t="s">
        <v>107</v>
      </c>
      <c r="L4011" s="2" t="s">
        <v>107</v>
      </c>
      <c r="M4011" s="3">
        <v>40451</v>
      </c>
      <c r="N4011" s="2" t="s">
        <v>107</v>
      </c>
      <c r="O4011" s="2" t="s">
        <v>107</v>
      </c>
      <c r="P4011" s="2" t="s">
        <v>107</v>
      </c>
      <c r="Q4011" s="2" t="str">
        <f>"S/D"</f>
        <v>S/D</v>
      </c>
      <c r="R4011" s="2" t="s">
        <v>107</v>
      </c>
      <c r="S4011" s="2" t="s">
        <v>107</v>
      </c>
      <c r="T4011" s="2">
        <v>1</v>
      </c>
      <c r="U4011" s="2" t="s">
        <v>79</v>
      </c>
      <c r="V4011" s="2">
        <v>1</v>
      </c>
      <c r="W4011" s="2" t="s">
        <v>80</v>
      </c>
      <c r="X4011" s="2">
        <v>11</v>
      </c>
      <c r="Y4011" s="2" t="s">
        <v>1920</v>
      </c>
      <c r="Z4011" s="2">
        <v>1</v>
      </c>
      <c r="AA4011" s="2" t="s">
        <v>82</v>
      </c>
      <c r="AB4011" s="2">
        <v>9</v>
      </c>
      <c r="AC4011" s="2" t="s">
        <v>124</v>
      </c>
      <c r="AD4011" s="3">
        <v>40451</v>
      </c>
      <c r="AE4011" s="4">
        <v>0.5</v>
      </c>
      <c r="AF4011" s="2"/>
      <c r="AG4011" s="2"/>
      <c r="AH4011" s="2">
        <v>2</v>
      </c>
      <c r="AI4011" s="2" t="s">
        <v>84</v>
      </c>
      <c r="AJ4011" s="2">
        <v>12</v>
      </c>
      <c r="AK4011" s="2" t="s">
        <v>85</v>
      </c>
      <c r="AL4011" s="2">
        <v>2</v>
      </c>
      <c r="AM4011" s="2" t="s">
        <v>163</v>
      </c>
      <c r="AN4011" s="2" t="s">
        <v>107</v>
      </c>
      <c r="AO4011" s="2" t="s">
        <v>107</v>
      </c>
      <c r="AP4011" s="2">
        <v>11</v>
      </c>
      <c r="AQ4011" s="2" t="s">
        <v>82</v>
      </c>
      <c r="AR4011" s="2" t="s">
        <v>82</v>
      </c>
      <c r="AS4011" s="2" t="s">
        <v>82</v>
      </c>
      <c r="AT4011" s="2" t="s">
        <v>12639</v>
      </c>
      <c r="AU4011" s="2"/>
      <c r="AV4011" s="2"/>
      <c r="AW4011" s="2"/>
      <c r="AX4011" s="2"/>
      <c r="AY4011" s="2">
        <v>41</v>
      </c>
      <c r="AZ4011" s="2" t="s">
        <v>82</v>
      </c>
      <c r="BA4011" s="2">
        <v>41</v>
      </c>
      <c r="BB4011" s="2" t="s">
        <v>82</v>
      </c>
      <c r="BC4011" s="2">
        <v>41</v>
      </c>
      <c r="BD4011" s="2" t="s">
        <v>82</v>
      </c>
      <c r="BE4011" s="2">
        <v>13</v>
      </c>
      <c r="BF4011" s="2" t="s">
        <v>108</v>
      </c>
      <c r="BG4011" s="2" t="s">
        <v>12640</v>
      </c>
      <c r="BH4011" s="2"/>
      <c r="BI4011" s="4">
        <v>0.60416666666666663</v>
      </c>
      <c r="BJ4011" s="2">
        <v>13</v>
      </c>
      <c r="BK4011" s="2" t="s">
        <v>91</v>
      </c>
      <c r="BL4011" s="2" t="s">
        <v>185</v>
      </c>
      <c r="BM4011" s="2">
        <v>241</v>
      </c>
      <c r="BN4011" s="2" t="s">
        <v>82</v>
      </c>
      <c r="BO4011" s="2"/>
      <c r="BP4011" s="2">
        <v>13</v>
      </c>
      <c r="BQ4011" s="2" t="s">
        <v>91</v>
      </c>
      <c r="BR4011" s="2" t="s">
        <v>895</v>
      </c>
      <c r="BS4011" s="3">
        <v>40451</v>
      </c>
      <c r="BT4011" s="4">
        <v>0.70000000000000007</v>
      </c>
    </row>
    <row r="4012" spans="1:72" x14ac:dyDescent="0.25">
      <c r="A4012" s="2">
        <v>6011</v>
      </c>
      <c r="B4012" s="2">
        <v>2010</v>
      </c>
      <c r="C4012" s="2" t="s">
        <v>385</v>
      </c>
      <c r="D4012" s="2" t="s">
        <v>122</v>
      </c>
      <c r="E4012" s="2"/>
      <c r="F4012" s="2">
        <v>1</v>
      </c>
      <c r="G4012" s="2" t="s">
        <v>82</v>
      </c>
      <c r="H4012" s="2">
        <v>1</v>
      </c>
      <c r="I4012" s="2" t="s">
        <v>82</v>
      </c>
      <c r="J4012" s="2">
        <v>1</v>
      </c>
      <c r="K4012" s="2" t="s">
        <v>107</v>
      </c>
      <c r="L4012" s="2" t="s">
        <v>107</v>
      </c>
      <c r="M4012" s="3">
        <v>40451</v>
      </c>
      <c r="N4012" s="2" t="s">
        <v>107</v>
      </c>
      <c r="O4012" s="2" t="s">
        <v>12641</v>
      </c>
      <c r="P4012" s="2" t="s">
        <v>107</v>
      </c>
      <c r="Q4012" s="2" t="str">
        <f>"S/D"</f>
        <v>S/D</v>
      </c>
      <c r="R4012" s="2" t="s">
        <v>107</v>
      </c>
      <c r="S4012" s="2" t="s">
        <v>107</v>
      </c>
      <c r="T4012" s="2">
        <v>1</v>
      </c>
      <c r="U4012" s="2" t="s">
        <v>79</v>
      </c>
      <c r="V4012" s="2">
        <v>1</v>
      </c>
      <c r="W4012" s="2" t="s">
        <v>80</v>
      </c>
      <c r="X4012" s="2">
        <v>11</v>
      </c>
      <c r="Y4012" s="2" t="s">
        <v>1920</v>
      </c>
      <c r="Z4012" s="2">
        <v>1</v>
      </c>
      <c r="AA4012" s="2" t="s">
        <v>82</v>
      </c>
      <c r="AB4012" s="2">
        <v>9</v>
      </c>
      <c r="AC4012" s="2" t="s">
        <v>124</v>
      </c>
      <c r="AD4012" s="3">
        <v>40451</v>
      </c>
      <c r="AE4012" s="4">
        <v>0.60416666666666663</v>
      </c>
      <c r="AF4012" s="2"/>
      <c r="AG4012" s="2"/>
      <c r="AH4012" s="2">
        <v>2</v>
      </c>
      <c r="AI4012" s="2" t="s">
        <v>84</v>
      </c>
      <c r="AJ4012" s="2">
        <v>12</v>
      </c>
      <c r="AK4012" s="2" t="s">
        <v>85</v>
      </c>
      <c r="AL4012" s="2">
        <v>2</v>
      </c>
      <c r="AM4012" s="2" t="s">
        <v>163</v>
      </c>
      <c r="AN4012" s="2" t="s">
        <v>107</v>
      </c>
      <c r="AO4012" s="2" t="s">
        <v>107</v>
      </c>
      <c r="AP4012" s="2">
        <v>11</v>
      </c>
      <c r="AQ4012" s="2" t="s">
        <v>82</v>
      </c>
      <c r="AR4012" s="2" t="s">
        <v>82</v>
      </c>
      <c r="AS4012" s="2" t="s">
        <v>82</v>
      </c>
      <c r="AT4012" s="2" t="s">
        <v>12642</v>
      </c>
      <c r="AU4012" s="2"/>
      <c r="AV4012" s="2"/>
      <c r="AW4012" s="2"/>
      <c r="AX4012" s="2"/>
      <c r="AY4012" s="2">
        <v>41</v>
      </c>
      <c r="AZ4012" s="2" t="s">
        <v>82</v>
      </c>
      <c r="BA4012" s="2">
        <v>41</v>
      </c>
      <c r="BB4012" s="2" t="s">
        <v>82</v>
      </c>
      <c r="BC4012" s="2">
        <v>41</v>
      </c>
      <c r="BD4012" s="2" t="s">
        <v>82</v>
      </c>
      <c r="BE4012" s="2">
        <v>39</v>
      </c>
      <c r="BF4012" s="2" t="s">
        <v>440</v>
      </c>
      <c r="BG4012" s="2" t="s">
        <v>12643</v>
      </c>
      <c r="BH4012" s="4">
        <v>0.60416666666666663</v>
      </c>
      <c r="BI4012" s="2"/>
      <c r="BJ4012" s="2">
        <v>33</v>
      </c>
      <c r="BK4012" s="2" t="s">
        <v>361</v>
      </c>
      <c r="BL4012" s="2" t="s">
        <v>1706</v>
      </c>
      <c r="BM4012" s="2">
        <v>241</v>
      </c>
      <c r="BN4012" s="2" t="s">
        <v>82</v>
      </c>
      <c r="BO4012" s="2"/>
      <c r="BP4012" s="2">
        <v>13</v>
      </c>
      <c r="BQ4012" s="2" t="s">
        <v>91</v>
      </c>
      <c r="BR4012" s="2" t="s">
        <v>185</v>
      </c>
      <c r="BS4012" s="3">
        <v>40451</v>
      </c>
      <c r="BT4012" s="4">
        <v>0.72239583333333324</v>
      </c>
    </row>
    <row r="4013" spans="1:72" x14ac:dyDescent="0.25">
      <c r="A4013" s="2">
        <v>6014</v>
      </c>
      <c r="B4013" s="2">
        <v>2010</v>
      </c>
      <c r="C4013" s="2" t="s">
        <v>1017</v>
      </c>
      <c r="D4013" s="2" t="s">
        <v>73</v>
      </c>
      <c r="E4013" s="2"/>
      <c r="F4013" s="2">
        <v>319</v>
      </c>
      <c r="G4013" s="2" t="s">
        <v>6516</v>
      </c>
      <c r="H4013" s="2">
        <v>22</v>
      </c>
      <c r="I4013" s="2" t="s">
        <v>75</v>
      </c>
      <c r="J4013" s="2">
        <v>385</v>
      </c>
      <c r="K4013" s="2" t="s">
        <v>1314</v>
      </c>
      <c r="L4013" s="2" t="s">
        <v>1315</v>
      </c>
      <c r="M4013" s="3">
        <v>40451</v>
      </c>
      <c r="N4013" s="2" t="s">
        <v>12644</v>
      </c>
      <c r="O4013" s="2" t="s">
        <v>12645</v>
      </c>
      <c r="P4013" s="2" t="s">
        <v>82</v>
      </c>
      <c r="Q4013" s="2" t="str">
        <f>"0012/2010"</f>
        <v>0012/2010</v>
      </c>
      <c r="R4013" s="2" t="s">
        <v>12645</v>
      </c>
      <c r="S4013" s="2" t="s">
        <v>12646</v>
      </c>
      <c r="T4013" s="2">
        <v>1</v>
      </c>
      <c r="U4013" s="2" t="s">
        <v>79</v>
      </c>
      <c r="V4013" s="2">
        <v>1</v>
      </c>
      <c r="W4013" s="2" t="s">
        <v>80</v>
      </c>
      <c r="X4013" s="2">
        <v>1</v>
      </c>
      <c r="Y4013" s="2" t="s">
        <v>81</v>
      </c>
      <c r="Z4013" s="2">
        <v>1</v>
      </c>
      <c r="AA4013" s="2" t="s">
        <v>82</v>
      </c>
      <c r="AB4013" s="2">
        <v>7</v>
      </c>
      <c r="AC4013" s="2" t="s">
        <v>1023</v>
      </c>
      <c r="AD4013" s="3">
        <v>40451</v>
      </c>
      <c r="AE4013" s="4">
        <v>0.56944444444444442</v>
      </c>
      <c r="AF4013" s="2"/>
      <c r="AG4013" s="2"/>
      <c r="AH4013" s="2">
        <v>5</v>
      </c>
      <c r="AI4013" s="2" t="s">
        <v>274</v>
      </c>
      <c r="AJ4013" s="2">
        <v>44</v>
      </c>
      <c r="AK4013" s="2" t="s">
        <v>667</v>
      </c>
      <c r="AL4013" s="2">
        <v>11</v>
      </c>
      <c r="AM4013" s="2" t="s">
        <v>137</v>
      </c>
      <c r="AN4013" s="2" t="s">
        <v>6519</v>
      </c>
      <c r="AO4013" s="2" t="s">
        <v>7968</v>
      </c>
      <c r="AP4013" s="2">
        <v>11</v>
      </c>
      <c r="AQ4013" s="2" t="s">
        <v>82</v>
      </c>
      <c r="AR4013" s="2"/>
      <c r="AS4013" s="2"/>
      <c r="AT4013" s="2" t="s">
        <v>12647</v>
      </c>
      <c r="AU4013" s="2"/>
      <c r="AV4013" s="2"/>
      <c r="AW4013" s="2"/>
      <c r="AX4013" s="2"/>
      <c r="AY4013" s="2">
        <v>41</v>
      </c>
      <c r="AZ4013" s="2" t="s">
        <v>82</v>
      </c>
      <c r="BA4013" s="2">
        <v>41</v>
      </c>
      <c r="BB4013" s="2" t="s">
        <v>82</v>
      </c>
      <c r="BC4013" s="2">
        <v>41</v>
      </c>
      <c r="BD4013" s="2" t="s">
        <v>82</v>
      </c>
      <c r="BE4013" s="2">
        <v>13</v>
      </c>
      <c r="BF4013" s="2" t="s">
        <v>108</v>
      </c>
      <c r="BG4013" s="2">
        <v>1779</v>
      </c>
      <c r="BH4013" s="4">
        <v>0.59861111111111109</v>
      </c>
      <c r="BI4013" s="4">
        <v>0.63958333333333328</v>
      </c>
      <c r="BJ4013" s="2">
        <v>13</v>
      </c>
      <c r="BK4013" s="2" t="s">
        <v>91</v>
      </c>
      <c r="BL4013" s="2" t="s">
        <v>1026</v>
      </c>
      <c r="BM4013" s="2">
        <v>13</v>
      </c>
      <c r="BN4013" s="2" t="s">
        <v>91</v>
      </c>
      <c r="BO4013" s="2"/>
      <c r="BP4013" s="2">
        <v>13</v>
      </c>
      <c r="BQ4013" s="2" t="s">
        <v>91</v>
      </c>
      <c r="BR4013" s="2" t="s">
        <v>185</v>
      </c>
      <c r="BS4013" s="3">
        <v>40451</v>
      </c>
      <c r="BT4013" s="4">
        <v>0.73788194444444455</v>
      </c>
    </row>
    <row r="4014" spans="1:72" x14ac:dyDescent="0.25">
      <c r="A4014" s="2">
        <v>6015</v>
      </c>
      <c r="B4014" s="2">
        <v>2010</v>
      </c>
      <c r="C4014" s="2" t="s">
        <v>255</v>
      </c>
      <c r="D4014" s="2" t="s">
        <v>73</v>
      </c>
      <c r="E4014" s="2"/>
      <c r="F4014" s="2">
        <v>121</v>
      </c>
      <c r="G4014" s="2" t="s">
        <v>2501</v>
      </c>
      <c r="H4014" s="2">
        <v>39</v>
      </c>
      <c r="I4014" s="2" t="s">
        <v>1117</v>
      </c>
      <c r="J4014" s="2">
        <v>135</v>
      </c>
      <c r="K4014" s="2" t="s">
        <v>2502</v>
      </c>
      <c r="L4014" s="2" t="s">
        <v>2503</v>
      </c>
      <c r="M4014" s="3">
        <v>40451</v>
      </c>
      <c r="N4014" s="2" t="s">
        <v>12648</v>
      </c>
      <c r="O4014" s="2" t="s">
        <v>107</v>
      </c>
      <c r="P4014" s="2" t="s">
        <v>107</v>
      </c>
      <c r="Q4014" s="2" t="str">
        <f>"0007/2.010"</f>
        <v>0007/2.010</v>
      </c>
      <c r="R4014" s="2" t="s">
        <v>12649</v>
      </c>
      <c r="S4014" s="2" t="s">
        <v>12649</v>
      </c>
      <c r="T4014" s="2">
        <v>1</v>
      </c>
      <c r="U4014" s="2" t="s">
        <v>79</v>
      </c>
      <c r="V4014" s="2">
        <v>1</v>
      </c>
      <c r="W4014" s="2" t="s">
        <v>80</v>
      </c>
      <c r="X4014" s="2">
        <v>12</v>
      </c>
      <c r="Y4014" s="2" t="s">
        <v>148</v>
      </c>
      <c r="Z4014" s="2">
        <v>1</v>
      </c>
      <c r="AA4014" s="2" t="s">
        <v>82</v>
      </c>
      <c r="AB4014" s="2">
        <v>9</v>
      </c>
      <c r="AC4014" s="2" t="s">
        <v>124</v>
      </c>
      <c r="AD4014" s="3">
        <v>40447</v>
      </c>
      <c r="AE4014" s="2"/>
      <c r="AF4014" s="3">
        <v>40451</v>
      </c>
      <c r="AG4014" s="4">
        <v>0.43055555555555558</v>
      </c>
      <c r="AH4014" s="2">
        <v>6</v>
      </c>
      <c r="AI4014" s="2" t="s">
        <v>197</v>
      </c>
      <c r="AJ4014" s="2">
        <v>58</v>
      </c>
      <c r="AK4014" s="2" t="s">
        <v>406</v>
      </c>
      <c r="AL4014" s="2">
        <v>9</v>
      </c>
      <c r="AM4014" s="2" t="s">
        <v>259</v>
      </c>
      <c r="AN4014" s="2" t="s">
        <v>12650</v>
      </c>
      <c r="AO4014" s="2" t="s">
        <v>12651</v>
      </c>
      <c r="AP4014" s="2">
        <v>11</v>
      </c>
      <c r="AQ4014" s="2" t="s">
        <v>82</v>
      </c>
      <c r="AR4014" s="2"/>
      <c r="AS4014" s="2"/>
      <c r="AT4014" s="2" t="s">
        <v>12652</v>
      </c>
      <c r="AU4014" s="2"/>
      <c r="AV4014" s="2"/>
      <c r="AW4014" s="2"/>
      <c r="AX4014" s="2"/>
      <c r="AY4014" s="2">
        <v>41</v>
      </c>
      <c r="AZ4014" s="2" t="s">
        <v>82</v>
      </c>
      <c r="BA4014" s="2">
        <v>41</v>
      </c>
      <c r="BB4014" s="2" t="s">
        <v>82</v>
      </c>
      <c r="BC4014" s="2">
        <v>41</v>
      </c>
      <c r="BD4014" s="2" t="s">
        <v>82</v>
      </c>
      <c r="BE4014" s="2">
        <v>41</v>
      </c>
      <c r="BF4014" s="2" t="s">
        <v>82</v>
      </c>
      <c r="BG4014" s="2" t="s">
        <v>82</v>
      </c>
      <c r="BH4014" s="2"/>
      <c r="BI4014" s="2"/>
      <c r="BJ4014" s="2">
        <v>241</v>
      </c>
      <c r="BK4014" s="2" t="s">
        <v>82</v>
      </c>
      <c r="BL4014" s="2"/>
      <c r="BM4014" s="2">
        <v>241</v>
      </c>
      <c r="BN4014" s="2" t="s">
        <v>82</v>
      </c>
      <c r="BO4014" s="2"/>
      <c r="BP4014" s="2">
        <v>241</v>
      </c>
      <c r="BQ4014" s="2" t="s">
        <v>82</v>
      </c>
      <c r="BR4014" s="2"/>
      <c r="BS4014" s="3">
        <v>40451</v>
      </c>
      <c r="BT4014" s="4">
        <v>0.73971064814814813</v>
      </c>
    </row>
    <row r="4015" spans="1:72" x14ac:dyDescent="0.25">
      <c r="A4015" s="2">
        <v>6017</v>
      </c>
      <c r="B4015" s="2">
        <v>2010</v>
      </c>
      <c r="C4015" s="2" t="s">
        <v>121</v>
      </c>
      <c r="D4015" s="2" t="s">
        <v>122</v>
      </c>
      <c r="E4015" s="2"/>
      <c r="F4015" s="2">
        <v>1</v>
      </c>
      <c r="G4015" s="2" t="s">
        <v>82</v>
      </c>
      <c r="H4015" s="2">
        <v>1</v>
      </c>
      <c r="I4015" s="2" t="s">
        <v>82</v>
      </c>
      <c r="J4015" s="2">
        <v>1</v>
      </c>
      <c r="K4015" s="2" t="s">
        <v>107</v>
      </c>
      <c r="L4015" s="2" t="s">
        <v>107</v>
      </c>
      <c r="M4015" s="3">
        <v>40451</v>
      </c>
      <c r="N4015" s="2"/>
      <c r="O4015" s="2"/>
      <c r="P4015" s="2"/>
      <c r="Q4015" s="2" t="str">
        <f>""</f>
        <v/>
      </c>
      <c r="R4015" s="2"/>
      <c r="S4015" s="2"/>
      <c r="T4015" s="2">
        <v>2</v>
      </c>
      <c r="U4015" s="2" t="s">
        <v>123</v>
      </c>
      <c r="V4015" s="2">
        <v>1</v>
      </c>
      <c r="W4015" s="2" t="s">
        <v>80</v>
      </c>
      <c r="X4015" s="2">
        <v>11</v>
      </c>
      <c r="Y4015" s="2" t="s">
        <v>1920</v>
      </c>
      <c r="Z4015" s="2">
        <v>4</v>
      </c>
      <c r="AA4015" s="2" t="s">
        <v>182</v>
      </c>
      <c r="AB4015" s="2">
        <v>9</v>
      </c>
      <c r="AC4015" s="2" t="s">
        <v>124</v>
      </c>
      <c r="AD4015" s="3">
        <v>40451</v>
      </c>
      <c r="AE4015" s="4">
        <v>0.46388888888888885</v>
      </c>
      <c r="AF4015" s="2"/>
      <c r="AG4015" s="2"/>
      <c r="AH4015" s="2">
        <v>5</v>
      </c>
      <c r="AI4015" s="2" t="s">
        <v>274</v>
      </c>
      <c r="AJ4015" s="2">
        <v>37</v>
      </c>
      <c r="AK4015" s="2" t="s">
        <v>497</v>
      </c>
      <c r="AL4015" s="2">
        <v>14</v>
      </c>
      <c r="AM4015" s="2" t="s">
        <v>216</v>
      </c>
      <c r="AN4015" s="2"/>
      <c r="AO4015" s="2" t="s">
        <v>12653</v>
      </c>
      <c r="AP4015" s="2">
        <v>11</v>
      </c>
      <c r="AQ4015" s="2" t="s">
        <v>82</v>
      </c>
      <c r="AR4015" s="2" t="s">
        <v>473</v>
      </c>
      <c r="AS4015" s="2" t="s">
        <v>473</v>
      </c>
      <c r="AT4015" s="2" t="s">
        <v>12654</v>
      </c>
      <c r="AU4015" s="2"/>
      <c r="AV4015" s="2"/>
      <c r="AW4015" s="2"/>
      <c r="AX4015" s="2"/>
      <c r="AY4015" s="2">
        <v>41</v>
      </c>
      <c r="AZ4015" s="2" t="s">
        <v>82</v>
      </c>
      <c r="BA4015" s="2">
        <v>41</v>
      </c>
      <c r="BB4015" s="2" t="s">
        <v>82</v>
      </c>
      <c r="BC4015" s="2">
        <v>41</v>
      </c>
      <c r="BD4015" s="2" t="s">
        <v>82</v>
      </c>
      <c r="BE4015" s="2">
        <v>13</v>
      </c>
      <c r="BF4015" s="2" t="s">
        <v>108</v>
      </c>
      <c r="BG4015" s="2" t="s">
        <v>12655</v>
      </c>
      <c r="BH4015" s="4">
        <v>0.46388888888888885</v>
      </c>
      <c r="BI4015" s="2"/>
      <c r="BJ4015" s="2">
        <v>13</v>
      </c>
      <c r="BK4015" s="2" t="s">
        <v>91</v>
      </c>
      <c r="BL4015" s="2" t="s">
        <v>12225</v>
      </c>
      <c r="BM4015" s="2">
        <v>13</v>
      </c>
      <c r="BN4015" s="2" t="s">
        <v>91</v>
      </c>
      <c r="BO4015" s="2"/>
      <c r="BP4015" s="2">
        <v>13</v>
      </c>
      <c r="BQ4015" s="2" t="s">
        <v>91</v>
      </c>
      <c r="BR4015" s="2" t="s">
        <v>12656</v>
      </c>
      <c r="BS4015" s="3">
        <v>40451</v>
      </c>
      <c r="BT4015" s="4">
        <v>0.78766203703703708</v>
      </c>
    </row>
    <row r="4016" spans="1:72" x14ac:dyDescent="0.25">
      <c r="A4016" s="2">
        <v>6018</v>
      </c>
      <c r="B4016" s="2">
        <v>2010</v>
      </c>
      <c r="C4016" s="2" t="s">
        <v>385</v>
      </c>
      <c r="D4016" s="2" t="s">
        <v>122</v>
      </c>
      <c r="E4016" s="2"/>
      <c r="F4016" s="2">
        <v>448</v>
      </c>
      <c r="G4016" s="2" t="s">
        <v>863</v>
      </c>
      <c r="H4016" s="2">
        <v>22</v>
      </c>
      <c r="I4016" s="2" t="s">
        <v>75</v>
      </c>
      <c r="J4016" s="2">
        <v>140</v>
      </c>
      <c r="K4016" s="2" t="s">
        <v>864</v>
      </c>
      <c r="L4016" s="2" t="s">
        <v>865</v>
      </c>
      <c r="M4016" s="3">
        <v>40452</v>
      </c>
      <c r="N4016" s="2" t="s">
        <v>12657</v>
      </c>
      <c r="O4016" s="2" t="s">
        <v>12658</v>
      </c>
      <c r="P4016" s="2" t="s">
        <v>12659</v>
      </c>
      <c r="Q4016" s="2" t="str">
        <f>"N/C"</f>
        <v>N/C</v>
      </c>
      <c r="R4016" s="2" t="s">
        <v>82</v>
      </c>
      <c r="S4016" s="2" t="s">
        <v>82</v>
      </c>
      <c r="T4016" s="2">
        <v>1</v>
      </c>
      <c r="U4016" s="2" t="s">
        <v>79</v>
      </c>
      <c r="V4016" s="2">
        <v>1</v>
      </c>
      <c r="W4016" s="2" t="s">
        <v>80</v>
      </c>
      <c r="X4016" s="2">
        <v>4</v>
      </c>
      <c r="Y4016" s="2" t="s">
        <v>463</v>
      </c>
      <c r="Z4016" s="2">
        <v>22</v>
      </c>
      <c r="AA4016" s="2" t="s">
        <v>4417</v>
      </c>
      <c r="AB4016" s="2">
        <v>9</v>
      </c>
      <c r="AC4016" s="2" t="s">
        <v>124</v>
      </c>
      <c r="AD4016" s="3">
        <v>40451</v>
      </c>
      <c r="AE4016" s="4">
        <v>0.84722222222222221</v>
      </c>
      <c r="AF4016" s="2"/>
      <c r="AG4016" s="2"/>
      <c r="AH4016" s="2">
        <v>6</v>
      </c>
      <c r="AI4016" s="2" t="s">
        <v>197</v>
      </c>
      <c r="AJ4016" s="2">
        <v>60</v>
      </c>
      <c r="AK4016" s="2" t="s">
        <v>543</v>
      </c>
      <c r="AL4016" s="2">
        <v>9</v>
      </c>
      <c r="AM4016" s="2" t="s">
        <v>259</v>
      </c>
      <c r="AN4016" s="2" t="s">
        <v>82</v>
      </c>
      <c r="AO4016" s="2" t="s">
        <v>12660</v>
      </c>
      <c r="AP4016" s="2">
        <v>11</v>
      </c>
      <c r="AQ4016" s="2" t="s">
        <v>82</v>
      </c>
      <c r="AR4016" s="2" t="s">
        <v>82</v>
      </c>
      <c r="AS4016" s="2" t="s">
        <v>82</v>
      </c>
      <c r="AT4016" s="2" t="s">
        <v>12661</v>
      </c>
      <c r="AU4016" s="2">
        <v>1</v>
      </c>
      <c r="AV4016" s="2"/>
      <c r="AW4016" s="2"/>
      <c r="AX4016" s="2"/>
      <c r="AY4016" s="2">
        <v>41</v>
      </c>
      <c r="AZ4016" s="2" t="s">
        <v>82</v>
      </c>
      <c r="BA4016" s="2">
        <v>41</v>
      </c>
      <c r="BB4016" s="2" t="s">
        <v>82</v>
      </c>
      <c r="BC4016" s="2">
        <v>41</v>
      </c>
      <c r="BD4016" s="2" t="s">
        <v>82</v>
      </c>
      <c r="BE4016" s="2">
        <v>13</v>
      </c>
      <c r="BF4016" s="2" t="s">
        <v>108</v>
      </c>
      <c r="BG4016" s="2" t="s">
        <v>12640</v>
      </c>
      <c r="BH4016" s="4">
        <v>0.84722222222222221</v>
      </c>
      <c r="BI4016" s="4">
        <v>0.875</v>
      </c>
      <c r="BJ4016" s="2">
        <v>13</v>
      </c>
      <c r="BK4016" s="2" t="s">
        <v>91</v>
      </c>
      <c r="BL4016" s="2" t="s">
        <v>3520</v>
      </c>
      <c r="BM4016" s="2">
        <v>13</v>
      </c>
      <c r="BN4016" s="2" t="s">
        <v>91</v>
      </c>
      <c r="BO4016" s="2"/>
      <c r="BP4016" s="2">
        <v>13</v>
      </c>
      <c r="BQ4016" s="2" t="s">
        <v>91</v>
      </c>
      <c r="BR4016" s="2" t="s">
        <v>895</v>
      </c>
      <c r="BS4016" s="3">
        <v>40452</v>
      </c>
      <c r="BT4016" s="4">
        <v>2.7141203703703706E-2</v>
      </c>
    </row>
    <row r="4017" spans="1:72" x14ac:dyDescent="0.25">
      <c r="A4017" s="2">
        <v>6019</v>
      </c>
      <c r="B4017" s="2">
        <v>2010</v>
      </c>
      <c r="C4017" s="2" t="s">
        <v>72</v>
      </c>
      <c r="D4017" s="2" t="s">
        <v>73</v>
      </c>
      <c r="E4017" s="2"/>
      <c r="F4017" s="2">
        <v>219</v>
      </c>
      <c r="G4017" s="2" t="s">
        <v>2325</v>
      </c>
      <c r="H4017" s="2">
        <v>22</v>
      </c>
      <c r="I4017" s="2" t="s">
        <v>75</v>
      </c>
      <c r="J4017" s="2">
        <v>665</v>
      </c>
      <c r="K4017" s="2" t="s">
        <v>12146</v>
      </c>
      <c r="L4017" s="2" t="s">
        <v>12147</v>
      </c>
      <c r="M4017" s="3">
        <v>40452</v>
      </c>
      <c r="N4017" s="2" t="s">
        <v>395</v>
      </c>
      <c r="O4017" s="2"/>
      <c r="P4017" s="2"/>
      <c r="Q4017" s="2" t="str">
        <f>"387-A/10"</f>
        <v>387-A/10</v>
      </c>
      <c r="R4017" s="2" t="s">
        <v>1547</v>
      </c>
      <c r="S4017" s="2" t="s">
        <v>1547</v>
      </c>
      <c r="T4017" s="2">
        <v>1</v>
      </c>
      <c r="U4017" s="2" t="s">
        <v>79</v>
      </c>
      <c r="V4017" s="2">
        <v>1</v>
      </c>
      <c r="W4017" s="2" t="s">
        <v>80</v>
      </c>
      <c r="X4017" s="2">
        <v>12</v>
      </c>
      <c r="Y4017" s="2" t="s">
        <v>148</v>
      </c>
      <c r="Z4017" s="2">
        <v>1</v>
      </c>
      <c r="AA4017" s="2" t="s">
        <v>82</v>
      </c>
      <c r="AB4017" s="2">
        <v>6</v>
      </c>
      <c r="AC4017" s="2" t="s">
        <v>83</v>
      </c>
      <c r="AD4017" s="3">
        <v>40450</v>
      </c>
      <c r="AE4017" s="2"/>
      <c r="AF4017" s="3">
        <v>40451</v>
      </c>
      <c r="AG4017" s="4">
        <v>0.86458333333333337</v>
      </c>
      <c r="AH4017" s="2">
        <v>2</v>
      </c>
      <c r="AI4017" s="2" t="s">
        <v>84</v>
      </c>
      <c r="AJ4017" s="2">
        <v>12</v>
      </c>
      <c r="AK4017" s="2" t="s">
        <v>85</v>
      </c>
      <c r="AL4017" s="2">
        <v>22</v>
      </c>
      <c r="AM4017" s="2" t="s">
        <v>1853</v>
      </c>
      <c r="AN4017" s="2"/>
      <c r="AO4017" s="2" t="s">
        <v>12115</v>
      </c>
      <c r="AP4017" s="2">
        <v>11</v>
      </c>
      <c r="AQ4017" s="2" t="s">
        <v>82</v>
      </c>
      <c r="AR4017" s="2"/>
      <c r="AS4017" s="2"/>
      <c r="AT4017" s="2" t="s">
        <v>12662</v>
      </c>
      <c r="AU4017" s="2"/>
      <c r="AV4017" s="2"/>
      <c r="AW4017" s="2"/>
      <c r="AX4017" s="2"/>
      <c r="AY4017" s="2">
        <v>41</v>
      </c>
      <c r="AZ4017" s="2" t="s">
        <v>82</v>
      </c>
      <c r="BA4017" s="2">
        <v>41</v>
      </c>
      <c r="BB4017" s="2" t="s">
        <v>82</v>
      </c>
      <c r="BC4017" s="2">
        <v>41</v>
      </c>
      <c r="BD4017" s="2" t="s">
        <v>82</v>
      </c>
      <c r="BE4017" s="2">
        <v>4</v>
      </c>
      <c r="BF4017" s="2" t="s">
        <v>90</v>
      </c>
      <c r="BG4017" s="2" t="s">
        <v>2158</v>
      </c>
      <c r="BH4017" s="4">
        <v>0.84513888888888899</v>
      </c>
      <c r="BI4017" s="4">
        <v>0.77083333333333337</v>
      </c>
      <c r="BJ4017" s="2">
        <v>13</v>
      </c>
      <c r="BK4017" s="2" t="s">
        <v>91</v>
      </c>
      <c r="BL4017" s="2" t="s">
        <v>92</v>
      </c>
      <c r="BM4017" s="2">
        <v>13</v>
      </c>
      <c r="BN4017" s="2" t="s">
        <v>91</v>
      </c>
      <c r="BO4017" s="2"/>
      <c r="BP4017" s="2">
        <v>13</v>
      </c>
      <c r="BQ4017" s="2" t="s">
        <v>91</v>
      </c>
      <c r="BR4017" s="2" t="s">
        <v>564</v>
      </c>
      <c r="BS4017" s="3">
        <v>40452</v>
      </c>
      <c r="BT4017" s="4">
        <v>5.5891203703703707E-2</v>
      </c>
    </row>
    <row r="4018" spans="1:72" x14ac:dyDescent="0.25">
      <c r="A4018" s="2">
        <v>6020</v>
      </c>
      <c r="B4018" s="2">
        <v>2010</v>
      </c>
      <c r="C4018" s="2" t="s">
        <v>1568</v>
      </c>
      <c r="D4018" s="2" t="s">
        <v>73</v>
      </c>
      <c r="E4018" s="2"/>
      <c r="F4018" s="2">
        <v>390</v>
      </c>
      <c r="G4018" s="2" t="s">
        <v>475</v>
      </c>
      <c r="H4018" s="2">
        <v>7</v>
      </c>
      <c r="I4018" s="2" t="s">
        <v>476</v>
      </c>
      <c r="J4018" s="2">
        <v>533</v>
      </c>
      <c r="K4018" s="2" t="s">
        <v>6511</v>
      </c>
      <c r="L4018" s="2" t="s">
        <v>478</v>
      </c>
      <c r="M4018" s="3">
        <v>40452</v>
      </c>
      <c r="N4018" s="2" t="s">
        <v>12663</v>
      </c>
      <c r="O4018" s="2"/>
      <c r="P4018" s="2"/>
      <c r="Q4018" s="2" t="str">
        <f>"07-R/10"</f>
        <v>07-R/10</v>
      </c>
      <c r="R4018" s="2"/>
      <c r="S4018" s="2" t="s">
        <v>12664</v>
      </c>
      <c r="T4018" s="2">
        <v>1</v>
      </c>
      <c r="U4018" s="2" t="s">
        <v>79</v>
      </c>
      <c r="V4018" s="2">
        <v>1</v>
      </c>
      <c r="W4018" s="2" t="s">
        <v>80</v>
      </c>
      <c r="X4018" s="2">
        <v>1</v>
      </c>
      <c r="Y4018" s="2" t="s">
        <v>81</v>
      </c>
      <c r="Z4018" s="2">
        <v>1</v>
      </c>
      <c r="AA4018" s="2" t="s">
        <v>82</v>
      </c>
      <c r="AB4018" s="2">
        <v>4</v>
      </c>
      <c r="AC4018" s="2" t="s">
        <v>1569</v>
      </c>
      <c r="AD4018" s="3">
        <v>40451</v>
      </c>
      <c r="AE4018" s="4">
        <v>0.625</v>
      </c>
      <c r="AF4018" s="2"/>
      <c r="AG4018" s="2"/>
      <c r="AH4018" s="2">
        <v>2</v>
      </c>
      <c r="AI4018" s="2" t="s">
        <v>84</v>
      </c>
      <c r="AJ4018" s="2">
        <v>5</v>
      </c>
      <c r="AK4018" s="2" t="s">
        <v>84</v>
      </c>
      <c r="AL4018" s="2">
        <v>25</v>
      </c>
      <c r="AM4018" s="2" t="s">
        <v>3073</v>
      </c>
      <c r="AN4018" s="2" t="s">
        <v>12665</v>
      </c>
      <c r="AO4018" s="2" t="s">
        <v>12666</v>
      </c>
      <c r="AP4018" s="2">
        <v>11</v>
      </c>
      <c r="AQ4018" s="2" t="s">
        <v>82</v>
      </c>
      <c r="AR4018" s="2"/>
      <c r="AS4018" s="2"/>
      <c r="AT4018" s="2" t="s">
        <v>12667</v>
      </c>
      <c r="AU4018" s="2"/>
      <c r="AV4018" s="2"/>
      <c r="AW4018" s="2"/>
      <c r="AX4018" s="2"/>
      <c r="AY4018" s="2">
        <v>41</v>
      </c>
      <c r="AZ4018" s="2" t="s">
        <v>82</v>
      </c>
      <c r="BA4018" s="2">
        <v>41</v>
      </c>
      <c r="BB4018" s="2" t="s">
        <v>82</v>
      </c>
      <c r="BC4018" s="2">
        <v>41</v>
      </c>
      <c r="BD4018" s="2" t="s">
        <v>82</v>
      </c>
      <c r="BE4018" s="2">
        <v>41</v>
      </c>
      <c r="BF4018" s="2" t="s">
        <v>82</v>
      </c>
      <c r="BG4018" s="2"/>
      <c r="BH4018" s="2"/>
      <c r="BI4018" s="2"/>
      <c r="BJ4018" s="2">
        <v>241</v>
      </c>
      <c r="BK4018" s="2" t="s">
        <v>82</v>
      </c>
      <c r="BL4018" s="2"/>
      <c r="BM4018" s="2">
        <v>241</v>
      </c>
      <c r="BN4018" s="2" t="s">
        <v>82</v>
      </c>
      <c r="BO4018" s="2"/>
      <c r="BP4018" s="2">
        <v>241</v>
      </c>
      <c r="BQ4018" s="2" t="s">
        <v>82</v>
      </c>
      <c r="BR4018" s="2"/>
      <c r="BS4018" s="3">
        <v>40452</v>
      </c>
      <c r="BT4018" s="4">
        <v>6.0659722222222219E-2</v>
      </c>
    </row>
    <row r="4019" spans="1:72" x14ac:dyDescent="0.25">
      <c r="A4019" s="2">
        <v>6021</v>
      </c>
      <c r="B4019" s="2">
        <v>2010</v>
      </c>
      <c r="C4019" s="2" t="s">
        <v>819</v>
      </c>
      <c r="D4019" s="2" t="s">
        <v>122</v>
      </c>
      <c r="E4019" s="2"/>
      <c r="F4019" s="2">
        <v>281</v>
      </c>
      <c r="G4019" s="2" t="s">
        <v>7482</v>
      </c>
      <c r="H4019" s="2">
        <v>4</v>
      </c>
      <c r="I4019" s="2" t="s">
        <v>173</v>
      </c>
      <c r="J4019" s="2">
        <v>335</v>
      </c>
      <c r="K4019" s="2" t="s">
        <v>2804</v>
      </c>
      <c r="L4019" s="2" t="s">
        <v>3947</v>
      </c>
      <c r="M4019" s="3">
        <v>40452</v>
      </c>
      <c r="N4019" s="2" t="s">
        <v>12668</v>
      </c>
      <c r="O4019" s="2"/>
      <c r="P4019" s="2"/>
      <c r="Q4019" s="2" t="str">
        <f>"08/2010"</f>
        <v>08/2010</v>
      </c>
      <c r="R4019" s="2" t="s">
        <v>12669</v>
      </c>
      <c r="S4019" s="2" t="s">
        <v>12670</v>
      </c>
      <c r="T4019" s="2">
        <v>1</v>
      </c>
      <c r="U4019" s="2" t="s">
        <v>79</v>
      </c>
      <c r="V4019" s="2">
        <v>1</v>
      </c>
      <c r="W4019" s="2" t="s">
        <v>80</v>
      </c>
      <c r="X4019" s="2">
        <v>1</v>
      </c>
      <c r="Y4019" s="2" t="s">
        <v>81</v>
      </c>
      <c r="Z4019" s="2">
        <v>1</v>
      </c>
      <c r="AA4019" s="2" t="s">
        <v>82</v>
      </c>
      <c r="AB4019" s="2">
        <v>9</v>
      </c>
      <c r="AC4019" s="2" t="s">
        <v>124</v>
      </c>
      <c r="AD4019" s="3">
        <v>40451</v>
      </c>
      <c r="AE4019" s="4">
        <v>0.85416666666666663</v>
      </c>
      <c r="AF4019" s="2"/>
      <c r="AG4019" s="2"/>
      <c r="AH4019" s="2">
        <v>5</v>
      </c>
      <c r="AI4019" s="2" t="s">
        <v>274</v>
      </c>
      <c r="AJ4019" s="2">
        <v>37</v>
      </c>
      <c r="AK4019" s="2" t="s">
        <v>497</v>
      </c>
      <c r="AL4019" s="2">
        <v>16</v>
      </c>
      <c r="AM4019" s="2" t="s">
        <v>392</v>
      </c>
      <c r="AN4019" s="2" t="s">
        <v>12671</v>
      </c>
      <c r="AO4019" s="2" t="s">
        <v>82</v>
      </c>
      <c r="AP4019" s="2">
        <v>5</v>
      </c>
      <c r="AQ4019" s="2" t="s">
        <v>827</v>
      </c>
      <c r="AR4019" s="2" t="s">
        <v>12672</v>
      </c>
      <c r="AS4019" s="2" t="s">
        <v>12673</v>
      </c>
      <c r="AT4019" s="2" t="s">
        <v>12674</v>
      </c>
      <c r="AU4019" s="2"/>
      <c r="AV4019" s="2"/>
      <c r="AW4019" s="2"/>
      <c r="AX4019" s="2"/>
      <c r="AY4019" s="2">
        <v>41</v>
      </c>
      <c r="AZ4019" s="2" t="s">
        <v>82</v>
      </c>
      <c r="BA4019" s="2">
        <v>41</v>
      </c>
      <c r="BB4019" s="2" t="s">
        <v>82</v>
      </c>
      <c r="BC4019" s="2">
        <v>41</v>
      </c>
      <c r="BD4019" s="2" t="s">
        <v>82</v>
      </c>
      <c r="BE4019" s="2">
        <v>13</v>
      </c>
      <c r="BF4019" s="2" t="s">
        <v>108</v>
      </c>
      <c r="BG4019" s="2">
        <v>1759</v>
      </c>
      <c r="BH4019" s="4">
        <v>0.96527777777777779</v>
      </c>
      <c r="BI4019" s="4">
        <v>0.90833333333333333</v>
      </c>
      <c r="BJ4019" s="2">
        <v>13</v>
      </c>
      <c r="BK4019" s="2" t="s">
        <v>91</v>
      </c>
      <c r="BL4019" s="2" t="s">
        <v>1552</v>
      </c>
      <c r="BM4019" s="2">
        <v>241</v>
      </c>
      <c r="BN4019" s="2" t="s">
        <v>82</v>
      </c>
      <c r="BO4019" s="2"/>
      <c r="BP4019" s="2">
        <v>13</v>
      </c>
      <c r="BQ4019" s="2" t="s">
        <v>91</v>
      </c>
      <c r="BR4019" s="2" t="s">
        <v>12675</v>
      </c>
      <c r="BS4019" s="3">
        <v>40452</v>
      </c>
      <c r="BT4019" s="4">
        <v>7.6909722222222213E-2</v>
      </c>
    </row>
    <row r="4020" spans="1:72" x14ac:dyDescent="0.25">
      <c r="A4020" s="2">
        <v>6022</v>
      </c>
      <c r="B4020" s="2">
        <v>2010</v>
      </c>
      <c r="C4020" s="2" t="s">
        <v>72</v>
      </c>
      <c r="D4020" s="2" t="s">
        <v>73</v>
      </c>
      <c r="E4020" s="2"/>
      <c r="F4020" s="2">
        <v>2</v>
      </c>
      <c r="G4020" s="2" t="s">
        <v>113</v>
      </c>
      <c r="H4020" s="2">
        <v>42</v>
      </c>
      <c r="I4020" s="2" t="s">
        <v>1096</v>
      </c>
      <c r="J4020" s="2">
        <v>300</v>
      </c>
      <c r="K4020" s="2" t="s">
        <v>114</v>
      </c>
      <c r="L4020" s="2" t="s">
        <v>115</v>
      </c>
      <c r="M4020" s="3">
        <v>40452</v>
      </c>
      <c r="N4020" s="2" t="s">
        <v>107</v>
      </c>
      <c r="O4020" s="2"/>
      <c r="P4020" s="2"/>
      <c r="Q4020" s="2" t="str">
        <f>"503-E/10"</f>
        <v>503-E/10</v>
      </c>
      <c r="R4020" s="2" t="s">
        <v>116</v>
      </c>
      <c r="S4020" s="2" t="s">
        <v>116</v>
      </c>
      <c r="T4020" s="2">
        <v>1</v>
      </c>
      <c r="U4020" s="2" t="s">
        <v>79</v>
      </c>
      <c r="V4020" s="2">
        <v>1</v>
      </c>
      <c r="W4020" s="2" t="s">
        <v>80</v>
      </c>
      <c r="X4020" s="2">
        <v>12</v>
      </c>
      <c r="Y4020" s="2" t="s">
        <v>148</v>
      </c>
      <c r="Z4020" s="2">
        <v>1</v>
      </c>
      <c r="AA4020" s="2" t="s">
        <v>82</v>
      </c>
      <c r="AB4020" s="2">
        <v>6</v>
      </c>
      <c r="AC4020" s="2" t="s">
        <v>83</v>
      </c>
      <c r="AD4020" s="3">
        <v>40451</v>
      </c>
      <c r="AE4020" s="2"/>
      <c r="AF4020" s="3">
        <v>40451</v>
      </c>
      <c r="AG4020" s="4">
        <v>0.8125</v>
      </c>
      <c r="AH4020" s="2">
        <v>2</v>
      </c>
      <c r="AI4020" s="2" t="s">
        <v>84</v>
      </c>
      <c r="AJ4020" s="2">
        <v>9</v>
      </c>
      <c r="AK4020" s="2" t="s">
        <v>103</v>
      </c>
      <c r="AL4020" s="2">
        <v>17</v>
      </c>
      <c r="AM4020" s="2" t="s">
        <v>232</v>
      </c>
      <c r="AN4020" s="2" t="s">
        <v>12676</v>
      </c>
      <c r="AO4020" s="2" t="s">
        <v>12677</v>
      </c>
      <c r="AP4020" s="2">
        <v>11</v>
      </c>
      <c r="AQ4020" s="2" t="s">
        <v>82</v>
      </c>
      <c r="AR4020" s="2"/>
      <c r="AS4020" s="2"/>
      <c r="AT4020" s="2" t="s">
        <v>12678</v>
      </c>
      <c r="AU4020" s="2"/>
      <c r="AV4020" s="2"/>
      <c r="AW4020" s="2"/>
      <c r="AX4020" s="2"/>
      <c r="AY4020" s="2">
        <v>41</v>
      </c>
      <c r="AZ4020" s="2" t="s">
        <v>82</v>
      </c>
      <c r="BA4020" s="2">
        <v>41</v>
      </c>
      <c r="BB4020" s="2" t="s">
        <v>82</v>
      </c>
      <c r="BC4020" s="2">
        <v>41</v>
      </c>
      <c r="BD4020" s="2" t="s">
        <v>82</v>
      </c>
      <c r="BE4020" s="2">
        <v>41</v>
      </c>
      <c r="BF4020" s="2" t="s">
        <v>82</v>
      </c>
      <c r="BG4020" s="2"/>
      <c r="BH4020" s="2"/>
      <c r="BI4020" s="2"/>
      <c r="BJ4020" s="2">
        <v>241</v>
      </c>
      <c r="BK4020" s="2" t="s">
        <v>82</v>
      </c>
      <c r="BL4020" s="2"/>
      <c r="BM4020" s="2">
        <v>241</v>
      </c>
      <c r="BN4020" s="2" t="s">
        <v>82</v>
      </c>
      <c r="BO4020" s="2"/>
      <c r="BP4020" s="2">
        <v>241</v>
      </c>
      <c r="BQ4020" s="2" t="s">
        <v>82</v>
      </c>
      <c r="BR4020" s="2"/>
      <c r="BS4020" s="3">
        <v>40452</v>
      </c>
      <c r="BT4020" s="4">
        <v>7.9456018518518523E-2</v>
      </c>
    </row>
    <row r="4021" spans="1:72" x14ac:dyDescent="0.25">
      <c r="A4021" s="2">
        <v>6023</v>
      </c>
      <c r="B4021" s="2">
        <v>2010</v>
      </c>
      <c r="C4021" s="2" t="s">
        <v>121</v>
      </c>
      <c r="D4021" s="2" t="s">
        <v>122</v>
      </c>
      <c r="E4021" s="2"/>
      <c r="F4021" s="2">
        <v>1</v>
      </c>
      <c r="G4021" s="2" t="s">
        <v>82</v>
      </c>
      <c r="H4021" s="2">
        <v>1</v>
      </c>
      <c r="I4021" s="2" t="s">
        <v>82</v>
      </c>
      <c r="J4021" s="2">
        <v>1</v>
      </c>
      <c r="K4021" s="2" t="s">
        <v>107</v>
      </c>
      <c r="L4021" s="2" t="s">
        <v>107</v>
      </c>
      <c r="M4021" s="3">
        <v>40452</v>
      </c>
      <c r="N4021" s="2"/>
      <c r="O4021" s="2"/>
      <c r="P4021" s="2"/>
      <c r="Q4021" s="2" t="str">
        <f>""</f>
        <v/>
      </c>
      <c r="R4021" s="2"/>
      <c r="S4021" s="2"/>
      <c r="T4021" s="2">
        <v>2</v>
      </c>
      <c r="U4021" s="2" t="s">
        <v>123</v>
      </c>
      <c r="V4021" s="2">
        <v>1</v>
      </c>
      <c r="W4021" s="2" t="s">
        <v>80</v>
      </c>
      <c r="X4021" s="2">
        <v>11</v>
      </c>
      <c r="Y4021" s="2" t="s">
        <v>1920</v>
      </c>
      <c r="Z4021" s="2">
        <v>10</v>
      </c>
      <c r="AA4021" s="2" t="s">
        <v>236</v>
      </c>
      <c r="AB4021" s="2">
        <v>9</v>
      </c>
      <c r="AC4021" s="2" t="s">
        <v>124</v>
      </c>
      <c r="AD4021" s="3">
        <v>40451</v>
      </c>
      <c r="AE4021" s="4">
        <v>0.75</v>
      </c>
      <c r="AF4021" s="2"/>
      <c r="AG4021" s="2"/>
      <c r="AH4021" s="2">
        <v>2</v>
      </c>
      <c r="AI4021" s="2" t="s">
        <v>84</v>
      </c>
      <c r="AJ4021" s="2">
        <v>12</v>
      </c>
      <c r="AK4021" s="2" t="s">
        <v>85</v>
      </c>
      <c r="AL4021" s="2">
        <v>20</v>
      </c>
      <c r="AM4021" s="2" t="s">
        <v>992</v>
      </c>
      <c r="AN4021" s="2"/>
      <c r="AO4021" s="2"/>
      <c r="AP4021" s="2">
        <v>11</v>
      </c>
      <c r="AQ4021" s="2" t="s">
        <v>82</v>
      </c>
      <c r="AR4021" s="2"/>
      <c r="AS4021" s="2"/>
      <c r="AT4021" s="2" t="s">
        <v>12679</v>
      </c>
      <c r="AU4021" s="2"/>
      <c r="AV4021" s="2"/>
      <c r="AW4021" s="2"/>
      <c r="AX4021" s="2"/>
      <c r="AY4021" s="2">
        <v>41</v>
      </c>
      <c r="AZ4021" s="2" t="s">
        <v>82</v>
      </c>
      <c r="BA4021" s="2">
        <v>41</v>
      </c>
      <c r="BB4021" s="2" t="s">
        <v>82</v>
      </c>
      <c r="BC4021" s="2">
        <v>41</v>
      </c>
      <c r="BD4021" s="2" t="s">
        <v>82</v>
      </c>
      <c r="BE4021" s="2">
        <v>41</v>
      </c>
      <c r="BF4021" s="2" t="s">
        <v>82</v>
      </c>
      <c r="BG4021" s="2"/>
      <c r="BH4021" s="2"/>
      <c r="BI4021" s="2"/>
      <c r="BJ4021" s="2">
        <v>229</v>
      </c>
      <c r="BK4021" s="2" t="s">
        <v>300</v>
      </c>
      <c r="BL4021" s="2" t="s">
        <v>573</v>
      </c>
      <c r="BM4021" s="2">
        <v>241</v>
      </c>
      <c r="BN4021" s="2" t="s">
        <v>82</v>
      </c>
      <c r="BO4021" s="2"/>
      <c r="BP4021" s="2">
        <v>13</v>
      </c>
      <c r="BQ4021" s="2" t="s">
        <v>91</v>
      </c>
      <c r="BR4021" s="2" t="s">
        <v>564</v>
      </c>
      <c r="BS4021" s="3">
        <v>40452</v>
      </c>
      <c r="BT4021" s="4">
        <v>9.1539351851851858E-2</v>
      </c>
    </row>
    <row r="4022" spans="1:72" x14ac:dyDescent="0.25">
      <c r="A4022" s="2">
        <v>6024</v>
      </c>
      <c r="B4022" s="2">
        <v>2010</v>
      </c>
      <c r="C4022" s="2" t="s">
        <v>414</v>
      </c>
      <c r="D4022" s="2" t="s">
        <v>122</v>
      </c>
      <c r="E4022" s="2"/>
      <c r="F4022" s="2">
        <v>390</v>
      </c>
      <c r="G4022" s="2" t="s">
        <v>475</v>
      </c>
      <c r="H4022" s="2">
        <v>7</v>
      </c>
      <c r="I4022" s="2" t="s">
        <v>476</v>
      </c>
      <c r="J4022" s="2">
        <v>533</v>
      </c>
      <c r="K4022" s="2" t="s">
        <v>6511</v>
      </c>
      <c r="L4022" s="2" t="s">
        <v>478</v>
      </c>
      <c r="M4022" s="3">
        <v>40452</v>
      </c>
      <c r="N4022" s="2" t="s">
        <v>479</v>
      </c>
      <c r="O4022" s="2"/>
      <c r="P4022" s="2"/>
      <c r="Q4022" s="2" t="str">
        <f>""</f>
        <v/>
      </c>
      <c r="R4022" s="2"/>
      <c r="S4022" s="2"/>
      <c r="T4022" s="2">
        <v>1</v>
      </c>
      <c r="U4022" s="2" t="s">
        <v>79</v>
      </c>
      <c r="V4022" s="2">
        <v>1</v>
      </c>
      <c r="W4022" s="2" t="s">
        <v>80</v>
      </c>
      <c r="X4022" s="2">
        <v>1</v>
      </c>
      <c r="Y4022" s="2" t="s">
        <v>81</v>
      </c>
      <c r="Z4022" s="2">
        <v>1</v>
      </c>
      <c r="AA4022" s="2" t="s">
        <v>82</v>
      </c>
      <c r="AB4022" s="2">
        <v>9</v>
      </c>
      <c r="AC4022" s="2" t="s">
        <v>124</v>
      </c>
      <c r="AD4022" s="3">
        <v>40451</v>
      </c>
      <c r="AE4022" s="4">
        <v>0.92708333333333337</v>
      </c>
      <c r="AF4022" s="2"/>
      <c r="AG4022" s="2"/>
      <c r="AH4022" s="2">
        <v>2</v>
      </c>
      <c r="AI4022" s="2" t="s">
        <v>84</v>
      </c>
      <c r="AJ4022" s="2">
        <v>9</v>
      </c>
      <c r="AK4022" s="2" t="s">
        <v>103</v>
      </c>
      <c r="AL4022" s="2">
        <v>13</v>
      </c>
      <c r="AM4022" s="2" t="s">
        <v>117</v>
      </c>
      <c r="AN4022" s="2" t="s">
        <v>4116</v>
      </c>
      <c r="AO4022" s="2"/>
      <c r="AP4022" s="2">
        <v>11</v>
      </c>
      <c r="AQ4022" s="2" t="s">
        <v>82</v>
      </c>
      <c r="AR4022" s="2"/>
      <c r="AS4022" s="2"/>
      <c r="AT4022" s="2" t="s">
        <v>12680</v>
      </c>
      <c r="AU4022" s="2"/>
      <c r="AV4022" s="2"/>
      <c r="AW4022" s="2"/>
      <c r="AX4022" s="2"/>
      <c r="AY4022" s="2">
        <v>41</v>
      </c>
      <c r="AZ4022" s="2" t="s">
        <v>82</v>
      </c>
      <c r="BA4022" s="2">
        <v>41</v>
      </c>
      <c r="BB4022" s="2" t="s">
        <v>82</v>
      </c>
      <c r="BC4022" s="2">
        <v>41</v>
      </c>
      <c r="BD4022" s="2" t="s">
        <v>82</v>
      </c>
      <c r="BE4022" s="2">
        <v>41</v>
      </c>
      <c r="BF4022" s="2" t="s">
        <v>82</v>
      </c>
      <c r="BG4022" s="2"/>
      <c r="BH4022" s="2"/>
      <c r="BI4022" s="2"/>
      <c r="BJ4022" s="2">
        <v>241</v>
      </c>
      <c r="BK4022" s="2" t="s">
        <v>82</v>
      </c>
      <c r="BL4022" s="2"/>
      <c r="BM4022" s="2">
        <v>241</v>
      </c>
      <c r="BN4022" s="2" t="s">
        <v>82</v>
      </c>
      <c r="BO4022" s="2"/>
      <c r="BP4022" s="2">
        <v>241</v>
      </c>
      <c r="BQ4022" s="2" t="s">
        <v>82</v>
      </c>
      <c r="BR4022" s="2"/>
      <c r="BS4022" s="3">
        <v>40452</v>
      </c>
      <c r="BT4022" s="4">
        <v>9.2048611111111109E-2</v>
      </c>
    </row>
    <row r="4023" spans="1:72" x14ac:dyDescent="0.25">
      <c r="A4023" s="2">
        <v>6025</v>
      </c>
      <c r="B4023" s="2">
        <v>2010</v>
      </c>
      <c r="C4023" s="2" t="s">
        <v>377</v>
      </c>
      <c r="D4023" s="2" t="s">
        <v>73</v>
      </c>
      <c r="E4023" s="2"/>
      <c r="F4023" s="2">
        <v>426</v>
      </c>
      <c r="G4023" s="2" t="s">
        <v>378</v>
      </c>
      <c r="H4023" s="2">
        <v>22</v>
      </c>
      <c r="I4023" s="2" t="s">
        <v>75</v>
      </c>
      <c r="J4023" s="2">
        <v>311</v>
      </c>
      <c r="K4023" s="2" t="s">
        <v>379</v>
      </c>
      <c r="L4023" s="2" t="s">
        <v>380</v>
      </c>
      <c r="M4023" s="3">
        <v>40452</v>
      </c>
      <c r="N4023" s="2" t="s">
        <v>5164</v>
      </c>
      <c r="O4023" s="2"/>
      <c r="P4023" s="2"/>
      <c r="Q4023" s="2" t="str">
        <f>"254-C/10"</f>
        <v>254-C/10</v>
      </c>
      <c r="R4023" s="2" t="s">
        <v>3458</v>
      </c>
      <c r="S4023" s="2"/>
      <c r="T4023" s="2">
        <v>1</v>
      </c>
      <c r="U4023" s="2" t="s">
        <v>79</v>
      </c>
      <c r="V4023" s="2">
        <v>1</v>
      </c>
      <c r="W4023" s="2" t="s">
        <v>80</v>
      </c>
      <c r="X4023" s="2">
        <v>1</v>
      </c>
      <c r="Y4023" s="2" t="s">
        <v>81</v>
      </c>
      <c r="Z4023" s="2">
        <v>1</v>
      </c>
      <c r="AA4023" s="2" t="s">
        <v>82</v>
      </c>
      <c r="AB4023" s="2">
        <v>9</v>
      </c>
      <c r="AC4023" s="2" t="s">
        <v>124</v>
      </c>
      <c r="AD4023" s="3">
        <v>40451</v>
      </c>
      <c r="AE4023" s="4">
        <v>0.44444444444444442</v>
      </c>
      <c r="AF4023" s="2"/>
      <c r="AG4023" s="2"/>
      <c r="AH4023" s="2">
        <v>2</v>
      </c>
      <c r="AI4023" s="2" t="s">
        <v>84</v>
      </c>
      <c r="AJ4023" s="2">
        <v>9</v>
      </c>
      <c r="AK4023" s="2" t="s">
        <v>103</v>
      </c>
      <c r="AL4023" s="2">
        <v>29</v>
      </c>
      <c r="AM4023" s="2" t="s">
        <v>5416</v>
      </c>
      <c r="AN4023" s="2"/>
      <c r="AO4023" s="2" t="s">
        <v>987</v>
      </c>
      <c r="AP4023" s="2">
        <v>11</v>
      </c>
      <c r="AQ4023" s="2" t="s">
        <v>82</v>
      </c>
      <c r="AR4023" s="2"/>
      <c r="AS4023" s="2"/>
      <c r="AT4023" s="2" t="s">
        <v>12681</v>
      </c>
      <c r="AU4023" s="2"/>
      <c r="AV4023" s="2"/>
      <c r="AW4023" s="2"/>
      <c r="AX4023" s="2"/>
      <c r="AY4023" s="2">
        <v>41</v>
      </c>
      <c r="AZ4023" s="2" t="s">
        <v>82</v>
      </c>
      <c r="BA4023" s="2">
        <v>41</v>
      </c>
      <c r="BB4023" s="2" t="s">
        <v>82</v>
      </c>
      <c r="BC4023" s="2">
        <v>41</v>
      </c>
      <c r="BD4023" s="2" t="s">
        <v>82</v>
      </c>
      <c r="BE4023" s="2">
        <v>41</v>
      </c>
      <c r="BF4023" s="2" t="s">
        <v>82</v>
      </c>
      <c r="BG4023" s="2"/>
      <c r="BH4023" s="2"/>
      <c r="BI4023" s="2"/>
      <c r="BJ4023" s="2">
        <v>241</v>
      </c>
      <c r="BK4023" s="2" t="s">
        <v>82</v>
      </c>
      <c r="BL4023" s="2"/>
      <c r="BM4023" s="2">
        <v>241</v>
      </c>
      <c r="BN4023" s="2" t="s">
        <v>82</v>
      </c>
      <c r="BO4023" s="2"/>
      <c r="BP4023" s="2">
        <v>241</v>
      </c>
      <c r="BQ4023" s="2" t="s">
        <v>82</v>
      </c>
      <c r="BR4023" s="2"/>
      <c r="BS4023" s="3">
        <v>40452</v>
      </c>
      <c r="BT4023" s="4">
        <v>9.4537037037037031E-2</v>
      </c>
    </row>
    <row r="4024" spans="1:72" x14ac:dyDescent="0.25">
      <c r="A4024" s="2">
        <v>6026</v>
      </c>
      <c r="B4024" s="2">
        <v>2010</v>
      </c>
      <c r="C4024" s="2" t="s">
        <v>377</v>
      </c>
      <c r="D4024" s="2" t="s">
        <v>73</v>
      </c>
      <c r="E4024" s="2"/>
      <c r="F4024" s="2">
        <v>426</v>
      </c>
      <c r="G4024" s="2" t="s">
        <v>378</v>
      </c>
      <c r="H4024" s="2">
        <v>22</v>
      </c>
      <c r="I4024" s="2" t="s">
        <v>75</v>
      </c>
      <c r="J4024" s="2">
        <v>311</v>
      </c>
      <c r="K4024" s="2" t="s">
        <v>379</v>
      </c>
      <c r="L4024" s="2" t="s">
        <v>380</v>
      </c>
      <c r="M4024" s="3">
        <v>40452</v>
      </c>
      <c r="N4024" s="2" t="s">
        <v>5164</v>
      </c>
      <c r="O4024" s="2"/>
      <c r="P4024" s="2"/>
      <c r="Q4024" s="2" t="str">
        <f>"255-C/10"</f>
        <v>255-C/10</v>
      </c>
      <c r="R4024" s="2" t="s">
        <v>3458</v>
      </c>
      <c r="S4024" s="2"/>
      <c r="T4024" s="2">
        <v>1</v>
      </c>
      <c r="U4024" s="2" t="s">
        <v>79</v>
      </c>
      <c r="V4024" s="2">
        <v>1</v>
      </c>
      <c r="W4024" s="2" t="s">
        <v>80</v>
      </c>
      <c r="X4024" s="2">
        <v>1</v>
      </c>
      <c r="Y4024" s="2" t="s">
        <v>81</v>
      </c>
      <c r="Z4024" s="2">
        <v>1</v>
      </c>
      <c r="AA4024" s="2" t="s">
        <v>82</v>
      </c>
      <c r="AB4024" s="2">
        <v>9</v>
      </c>
      <c r="AC4024" s="2" t="s">
        <v>124</v>
      </c>
      <c r="AD4024" s="3">
        <v>40451</v>
      </c>
      <c r="AE4024" s="2"/>
      <c r="AF4024" s="2"/>
      <c r="AG4024" s="2"/>
      <c r="AH4024" s="2">
        <v>2</v>
      </c>
      <c r="AI4024" s="2" t="s">
        <v>84</v>
      </c>
      <c r="AJ4024" s="2">
        <v>9</v>
      </c>
      <c r="AK4024" s="2" t="s">
        <v>103</v>
      </c>
      <c r="AL4024" s="2">
        <v>29</v>
      </c>
      <c r="AM4024" s="2" t="s">
        <v>5416</v>
      </c>
      <c r="AN4024" s="2"/>
      <c r="AO4024" s="2" t="s">
        <v>12682</v>
      </c>
      <c r="AP4024" s="2">
        <v>11</v>
      </c>
      <c r="AQ4024" s="2" t="s">
        <v>82</v>
      </c>
      <c r="AR4024" s="2"/>
      <c r="AS4024" s="2"/>
      <c r="AT4024" s="2" t="s">
        <v>12683</v>
      </c>
      <c r="AU4024" s="2"/>
      <c r="AV4024" s="2"/>
      <c r="AW4024" s="2"/>
      <c r="AX4024" s="2"/>
      <c r="AY4024" s="2">
        <v>41</v>
      </c>
      <c r="AZ4024" s="2" t="s">
        <v>82</v>
      </c>
      <c r="BA4024" s="2">
        <v>41</v>
      </c>
      <c r="BB4024" s="2" t="s">
        <v>82</v>
      </c>
      <c r="BC4024" s="2">
        <v>41</v>
      </c>
      <c r="BD4024" s="2" t="s">
        <v>82</v>
      </c>
      <c r="BE4024" s="2">
        <v>41</v>
      </c>
      <c r="BF4024" s="2" t="s">
        <v>82</v>
      </c>
      <c r="BG4024" s="2"/>
      <c r="BH4024" s="2"/>
      <c r="BI4024" s="2"/>
      <c r="BJ4024" s="2">
        <v>241</v>
      </c>
      <c r="BK4024" s="2" t="s">
        <v>82</v>
      </c>
      <c r="BL4024" s="2"/>
      <c r="BM4024" s="2">
        <v>241</v>
      </c>
      <c r="BN4024" s="2" t="s">
        <v>82</v>
      </c>
      <c r="BO4024" s="2"/>
      <c r="BP4024" s="2">
        <v>241</v>
      </c>
      <c r="BQ4024" s="2" t="s">
        <v>82</v>
      </c>
      <c r="BR4024" s="2"/>
      <c r="BS4024" s="3">
        <v>40452</v>
      </c>
      <c r="BT4024" s="4">
        <v>0.11921296296296297</v>
      </c>
    </row>
    <row r="4025" spans="1:72" x14ac:dyDescent="0.25">
      <c r="A4025" s="2">
        <v>6027</v>
      </c>
      <c r="B4025" s="2">
        <v>2010</v>
      </c>
      <c r="C4025" s="2" t="s">
        <v>121</v>
      </c>
      <c r="D4025" s="2" t="s">
        <v>122</v>
      </c>
      <c r="E4025" s="2" t="s">
        <v>12684</v>
      </c>
      <c r="F4025" s="2">
        <v>1</v>
      </c>
      <c r="G4025" s="2" t="s">
        <v>82</v>
      </c>
      <c r="H4025" s="2">
        <v>1</v>
      </c>
      <c r="I4025" s="2" t="s">
        <v>82</v>
      </c>
      <c r="J4025" s="2">
        <v>1</v>
      </c>
      <c r="K4025" s="2" t="s">
        <v>107</v>
      </c>
      <c r="L4025" s="2" t="s">
        <v>107</v>
      </c>
      <c r="M4025" s="3">
        <v>40452</v>
      </c>
      <c r="N4025" s="2"/>
      <c r="O4025" s="2"/>
      <c r="P4025" s="2"/>
      <c r="Q4025" s="2" t="str">
        <f>""</f>
        <v/>
      </c>
      <c r="R4025" s="2"/>
      <c r="S4025" s="2"/>
      <c r="T4025" s="2">
        <v>2</v>
      </c>
      <c r="U4025" s="2" t="s">
        <v>123</v>
      </c>
      <c r="V4025" s="2">
        <v>1</v>
      </c>
      <c r="W4025" s="2" t="s">
        <v>80</v>
      </c>
      <c r="X4025" s="2">
        <v>11</v>
      </c>
      <c r="Y4025" s="2" t="s">
        <v>1920</v>
      </c>
      <c r="Z4025" s="2">
        <v>10</v>
      </c>
      <c r="AA4025" s="2" t="s">
        <v>236</v>
      </c>
      <c r="AB4025" s="2">
        <v>9</v>
      </c>
      <c r="AC4025" s="2" t="s">
        <v>124</v>
      </c>
      <c r="AD4025" s="3">
        <v>40451</v>
      </c>
      <c r="AE4025" s="4">
        <v>0.75</v>
      </c>
      <c r="AF4025" s="2"/>
      <c r="AG4025" s="2"/>
      <c r="AH4025" s="2">
        <v>2</v>
      </c>
      <c r="AI4025" s="2" t="s">
        <v>84</v>
      </c>
      <c r="AJ4025" s="2">
        <v>12</v>
      </c>
      <c r="AK4025" s="2" t="s">
        <v>85</v>
      </c>
      <c r="AL4025" s="2">
        <v>20</v>
      </c>
      <c r="AM4025" s="2" t="s">
        <v>992</v>
      </c>
      <c r="AN4025" s="2"/>
      <c r="AO4025" s="2"/>
      <c r="AP4025" s="2">
        <v>11</v>
      </c>
      <c r="AQ4025" s="2" t="s">
        <v>82</v>
      </c>
      <c r="AR4025" s="2"/>
      <c r="AS4025" s="2"/>
      <c r="AT4025" s="2" t="s">
        <v>12685</v>
      </c>
      <c r="AU4025" s="2"/>
      <c r="AV4025" s="2"/>
      <c r="AW4025" s="2"/>
      <c r="AX4025" s="2"/>
      <c r="AY4025" s="2">
        <v>41</v>
      </c>
      <c r="AZ4025" s="2" t="s">
        <v>82</v>
      </c>
      <c r="BA4025" s="2">
        <v>41</v>
      </c>
      <c r="BB4025" s="2" t="s">
        <v>82</v>
      </c>
      <c r="BC4025" s="2">
        <v>41</v>
      </c>
      <c r="BD4025" s="2" t="s">
        <v>82</v>
      </c>
      <c r="BE4025" s="2">
        <v>41</v>
      </c>
      <c r="BF4025" s="2" t="s">
        <v>82</v>
      </c>
      <c r="BG4025" s="2"/>
      <c r="BH4025" s="2"/>
      <c r="BI4025" s="2"/>
      <c r="BJ4025" s="2">
        <v>232</v>
      </c>
      <c r="BK4025" s="2" t="s">
        <v>4351</v>
      </c>
      <c r="BL4025" s="2" t="s">
        <v>4411</v>
      </c>
      <c r="BM4025" s="2">
        <v>241</v>
      </c>
      <c r="BN4025" s="2" t="s">
        <v>82</v>
      </c>
      <c r="BO4025" s="2"/>
      <c r="BP4025" s="2">
        <v>13</v>
      </c>
      <c r="BQ4025" s="2" t="s">
        <v>91</v>
      </c>
      <c r="BR4025" s="2" t="s">
        <v>564</v>
      </c>
      <c r="BS4025" s="3">
        <v>40452</v>
      </c>
      <c r="BT4025" s="4">
        <v>0.15380787037037039</v>
      </c>
    </row>
    <row r="4026" spans="1:72" x14ac:dyDescent="0.25">
      <c r="A4026" s="2">
        <v>6028</v>
      </c>
      <c r="B4026" s="2">
        <v>2010</v>
      </c>
      <c r="C4026" s="2" t="s">
        <v>377</v>
      </c>
      <c r="D4026" s="2" t="s">
        <v>73</v>
      </c>
      <c r="E4026" s="2"/>
      <c r="F4026" s="2">
        <v>426</v>
      </c>
      <c r="G4026" s="2" t="s">
        <v>378</v>
      </c>
      <c r="H4026" s="2">
        <v>22</v>
      </c>
      <c r="I4026" s="2" t="s">
        <v>75</v>
      </c>
      <c r="J4026" s="2">
        <v>311</v>
      </c>
      <c r="K4026" s="2" t="s">
        <v>379</v>
      </c>
      <c r="L4026" s="2" t="s">
        <v>380</v>
      </c>
      <c r="M4026" s="3">
        <v>40452</v>
      </c>
      <c r="N4026" s="2" t="s">
        <v>12686</v>
      </c>
      <c r="O4026" s="2"/>
      <c r="P4026" s="2" t="s">
        <v>107</v>
      </c>
      <c r="Q4026" s="2" t="str">
        <f>"252-C/10"</f>
        <v>252-C/10</v>
      </c>
      <c r="R4026" s="2" t="s">
        <v>4072</v>
      </c>
      <c r="S4026" s="2"/>
      <c r="T4026" s="2">
        <v>1</v>
      </c>
      <c r="U4026" s="2" t="s">
        <v>79</v>
      </c>
      <c r="V4026" s="2">
        <v>1</v>
      </c>
      <c r="W4026" s="2" t="s">
        <v>80</v>
      </c>
      <c r="X4026" s="2">
        <v>1</v>
      </c>
      <c r="Y4026" s="2" t="s">
        <v>81</v>
      </c>
      <c r="Z4026" s="2">
        <v>1</v>
      </c>
      <c r="AA4026" s="2" t="s">
        <v>82</v>
      </c>
      <c r="AB4026" s="2">
        <v>9</v>
      </c>
      <c r="AC4026" s="2" t="s">
        <v>124</v>
      </c>
      <c r="AD4026" s="3">
        <v>40450</v>
      </c>
      <c r="AE4026" s="4">
        <v>0.45833333333333331</v>
      </c>
      <c r="AF4026" s="2"/>
      <c r="AG4026" s="2"/>
      <c r="AH4026" s="2">
        <v>2</v>
      </c>
      <c r="AI4026" s="2" t="s">
        <v>84</v>
      </c>
      <c r="AJ4026" s="2">
        <v>9</v>
      </c>
      <c r="AK4026" s="2" t="s">
        <v>103</v>
      </c>
      <c r="AL4026" s="2">
        <v>24</v>
      </c>
      <c r="AM4026" s="2" t="s">
        <v>1540</v>
      </c>
      <c r="AN4026" s="2"/>
      <c r="AO4026" s="2" t="s">
        <v>12687</v>
      </c>
      <c r="AP4026" s="2">
        <v>11</v>
      </c>
      <c r="AQ4026" s="2" t="s">
        <v>82</v>
      </c>
      <c r="AR4026" s="2"/>
      <c r="AS4026" s="2"/>
      <c r="AT4026" s="2" t="s">
        <v>12688</v>
      </c>
      <c r="AU4026" s="2"/>
      <c r="AV4026" s="2"/>
      <c r="AW4026" s="2"/>
      <c r="AX4026" s="2"/>
      <c r="AY4026" s="2">
        <v>41</v>
      </c>
      <c r="AZ4026" s="2" t="s">
        <v>82</v>
      </c>
      <c r="BA4026" s="2">
        <v>41</v>
      </c>
      <c r="BB4026" s="2" t="s">
        <v>82</v>
      </c>
      <c r="BC4026" s="2">
        <v>41</v>
      </c>
      <c r="BD4026" s="2" t="s">
        <v>82</v>
      </c>
      <c r="BE4026" s="2">
        <v>41</v>
      </c>
      <c r="BF4026" s="2" t="s">
        <v>82</v>
      </c>
      <c r="BG4026" s="2"/>
      <c r="BH4026" s="2"/>
      <c r="BI4026" s="2"/>
      <c r="BJ4026" s="2">
        <v>241</v>
      </c>
      <c r="BK4026" s="2" t="s">
        <v>82</v>
      </c>
      <c r="BL4026" s="2"/>
      <c r="BM4026" s="2">
        <v>241</v>
      </c>
      <c r="BN4026" s="2" t="s">
        <v>82</v>
      </c>
      <c r="BO4026" s="2"/>
      <c r="BP4026" s="2">
        <v>241</v>
      </c>
      <c r="BQ4026" s="2" t="s">
        <v>82</v>
      </c>
      <c r="BR4026" s="2"/>
      <c r="BS4026" s="3">
        <v>40452</v>
      </c>
      <c r="BT4026" s="4">
        <v>0.16282407407407407</v>
      </c>
    </row>
    <row r="4027" spans="1:72" x14ac:dyDescent="0.25">
      <c r="A4027" s="2">
        <v>6029</v>
      </c>
      <c r="B4027" s="2">
        <v>2010</v>
      </c>
      <c r="C4027" s="2" t="s">
        <v>255</v>
      </c>
      <c r="D4027" s="2" t="s">
        <v>73</v>
      </c>
      <c r="E4027" s="2"/>
      <c r="F4027" s="2">
        <v>389</v>
      </c>
      <c r="G4027" s="2" t="s">
        <v>1819</v>
      </c>
      <c r="H4027" s="2">
        <v>2</v>
      </c>
      <c r="I4027" s="2" t="s">
        <v>267</v>
      </c>
      <c r="J4027" s="2">
        <v>399</v>
      </c>
      <c r="K4027" s="2" t="s">
        <v>1820</v>
      </c>
      <c r="L4027" s="2" t="s">
        <v>1821</v>
      </c>
      <c r="M4027" s="3">
        <v>40452</v>
      </c>
      <c r="N4027" s="2" t="s">
        <v>5653</v>
      </c>
      <c r="O4027" s="2"/>
      <c r="P4027" s="2"/>
      <c r="Q4027" s="2" t="str">
        <f>"504-E/10"</f>
        <v>504-E/10</v>
      </c>
      <c r="R4027" s="2" t="s">
        <v>480</v>
      </c>
      <c r="S4027" s="2" t="s">
        <v>480</v>
      </c>
      <c r="T4027" s="2">
        <v>1</v>
      </c>
      <c r="U4027" s="2" t="s">
        <v>79</v>
      </c>
      <c r="V4027" s="2">
        <v>1</v>
      </c>
      <c r="W4027" s="2" t="s">
        <v>80</v>
      </c>
      <c r="X4027" s="2">
        <v>12</v>
      </c>
      <c r="Y4027" s="2" t="s">
        <v>148</v>
      </c>
      <c r="Z4027" s="2">
        <v>1</v>
      </c>
      <c r="AA4027" s="2" t="s">
        <v>82</v>
      </c>
      <c r="AB4027" s="2">
        <v>9</v>
      </c>
      <c r="AC4027" s="2" t="s">
        <v>124</v>
      </c>
      <c r="AD4027" s="3">
        <v>40444</v>
      </c>
      <c r="AE4027" s="2"/>
      <c r="AF4027" s="3">
        <v>40452</v>
      </c>
      <c r="AG4027" s="4">
        <v>3.125E-2</v>
      </c>
      <c r="AH4027" s="2">
        <v>2</v>
      </c>
      <c r="AI4027" s="2" t="s">
        <v>84</v>
      </c>
      <c r="AJ4027" s="2">
        <v>9</v>
      </c>
      <c r="AK4027" s="2" t="s">
        <v>103</v>
      </c>
      <c r="AL4027" s="2">
        <v>22</v>
      </c>
      <c r="AM4027" s="2" t="s">
        <v>1853</v>
      </c>
      <c r="AN4027" s="2"/>
      <c r="AO4027" s="2"/>
      <c r="AP4027" s="2">
        <v>11</v>
      </c>
      <c r="AQ4027" s="2" t="s">
        <v>82</v>
      </c>
      <c r="AR4027" s="2"/>
      <c r="AS4027" s="2"/>
      <c r="AT4027" s="2" t="s">
        <v>12689</v>
      </c>
      <c r="AU4027" s="2"/>
      <c r="AV4027" s="2"/>
      <c r="AW4027" s="2"/>
      <c r="AX4027" s="2"/>
      <c r="AY4027" s="2">
        <v>41</v>
      </c>
      <c r="AZ4027" s="2" t="s">
        <v>82</v>
      </c>
      <c r="BA4027" s="2">
        <v>41</v>
      </c>
      <c r="BB4027" s="2" t="s">
        <v>82</v>
      </c>
      <c r="BC4027" s="2">
        <v>41</v>
      </c>
      <c r="BD4027" s="2" t="s">
        <v>82</v>
      </c>
      <c r="BE4027" s="2">
        <v>35</v>
      </c>
      <c r="BF4027" s="2" t="s">
        <v>5816</v>
      </c>
      <c r="BG4027" s="2" t="s">
        <v>12690</v>
      </c>
      <c r="BH4027" s="4">
        <v>0.60416666666666663</v>
      </c>
      <c r="BI4027" s="4">
        <v>0.27083333333333331</v>
      </c>
      <c r="BJ4027" s="2">
        <v>13</v>
      </c>
      <c r="BK4027" s="2" t="s">
        <v>91</v>
      </c>
      <c r="BL4027" s="2" t="s">
        <v>360</v>
      </c>
      <c r="BM4027" s="2">
        <v>33</v>
      </c>
      <c r="BN4027" s="2" t="s">
        <v>361</v>
      </c>
      <c r="BO4027" s="2"/>
      <c r="BP4027" s="2">
        <v>33</v>
      </c>
      <c r="BQ4027" s="2" t="s">
        <v>361</v>
      </c>
      <c r="BR4027" s="2" t="s">
        <v>12691</v>
      </c>
      <c r="BS4027" s="3">
        <v>40452</v>
      </c>
      <c r="BT4027" s="4">
        <v>0.21373842592592593</v>
      </c>
    </row>
    <row r="4028" spans="1:72" x14ac:dyDescent="0.25">
      <c r="A4028" s="2">
        <v>6030</v>
      </c>
      <c r="B4028" s="2">
        <v>2010</v>
      </c>
      <c r="C4028" s="2" t="s">
        <v>121</v>
      </c>
      <c r="D4028" s="2" t="s">
        <v>122</v>
      </c>
      <c r="E4028" s="2" t="s">
        <v>12692</v>
      </c>
      <c r="F4028" s="2">
        <v>1</v>
      </c>
      <c r="G4028" s="2" t="s">
        <v>82</v>
      </c>
      <c r="H4028" s="2">
        <v>1</v>
      </c>
      <c r="I4028" s="2" t="s">
        <v>82</v>
      </c>
      <c r="J4028" s="2">
        <v>1</v>
      </c>
      <c r="K4028" s="2" t="s">
        <v>107</v>
      </c>
      <c r="L4028" s="2" t="s">
        <v>107</v>
      </c>
      <c r="M4028" s="3">
        <v>40452</v>
      </c>
      <c r="N4028" s="2"/>
      <c r="O4028" s="2"/>
      <c r="P4028" s="2"/>
      <c r="Q4028" s="2" t="str">
        <f>""</f>
        <v/>
      </c>
      <c r="R4028" s="2"/>
      <c r="S4028" s="2"/>
      <c r="T4028" s="2">
        <v>2</v>
      </c>
      <c r="U4028" s="2" t="s">
        <v>123</v>
      </c>
      <c r="V4028" s="2">
        <v>1</v>
      </c>
      <c r="W4028" s="2" t="s">
        <v>80</v>
      </c>
      <c r="X4028" s="2">
        <v>11</v>
      </c>
      <c r="Y4028" s="2" t="s">
        <v>1920</v>
      </c>
      <c r="Z4028" s="2">
        <v>10</v>
      </c>
      <c r="AA4028" s="2" t="s">
        <v>236</v>
      </c>
      <c r="AB4028" s="2">
        <v>9</v>
      </c>
      <c r="AC4028" s="2" t="s">
        <v>124</v>
      </c>
      <c r="AD4028" s="3">
        <v>40451</v>
      </c>
      <c r="AE4028" s="4">
        <v>0.75</v>
      </c>
      <c r="AF4028" s="2"/>
      <c r="AG4028" s="2"/>
      <c r="AH4028" s="2">
        <v>2</v>
      </c>
      <c r="AI4028" s="2" t="s">
        <v>84</v>
      </c>
      <c r="AJ4028" s="2">
        <v>12</v>
      </c>
      <c r="AK4028" s="2" t="s">
        <v>85</v>
      </c>
      <c r="AL4028" s="2">
        <v>20</v>
      </c>
      <c r="AM4028" s="2" t="s">
        <v>992</v>
      </c>
      <c r="AN4028" s="2"/>
      <c r="AO4028" s="2"/>
      <c r="AP4028" s="2">
        <v>11</v>
      </c>
      <c r="AQ4028" s="2" t="s">
        <v>82</v>
      </c>
      <c r="AR4028" s="2"/>
      <c r="AS4028" s="2"/>
      <c r="AT4028" s="2" t="s">
        <v>12693</v>
      </c>
      <c r="AU4028" s="2"/>
      <c r="AV4028" s="2"/>
      <c r="AW4028" s="2"/>
      <c r="AX4028" s="2"/>
      <c r="AY4028" s="2">
        <v>41</v>
      </c>
      <c r="AZ4028" s="2" t="s">
        <v>82</v>
      </c>
      <c r="BA4028" s="2">
        <v>41</v>
      </c>
      <c r="BB4028" s="2" t="s">
        <v>82</v>
      </c>
      <c r="BC4028" s="2">
        <v>41</v>
      </c>
      <c r="BD4028" s="2" t="s">
        <v>82</v>
      </c>
      <c r="BE4028" s="2">
        <v>41</v>
      </c>
      <c r="BF4028" s="2" t="s">
        <v>82</v>
      </c>
      <c r="BG4028" s="2"/>
      <c r="BH4028" s="2"/>
      <c r="BI4028" s="2"/>
      <c r="BJ4028" s="2">
        <v>241</v>
      </c>
      <c r="BK4028" s="2" t="s">
        <v>82</v>
      </c>
      <c r="BL4028" s="2"/>
      <c r="BM4028" s="2">
        <v>241</v>
      </c>
      <c r="BN4028" s="2" t="s">
        <v>82</v>
      </c>
      <c r="BO4028" s="2"/>
      <c r="BP4028" s="2">
        <v>241</v>
      </c>
      <c r="BQ4028" s="2" t="s">
        <v>82</v>
      </c>
      <c r="BR4028" s="2"/>
      <c r="BS4028" s="3">
        <v>40452</v>
      </c>
      <c r="BT4028" s="4">
        <v>0.29233796296296294</v>
      </c>
    </row>
    <row r="4029" spans="1:72" x14ac:dyDescent="0.25">
      <c r="A4029" s="2">
        <v>6032</v>
      </c>
      <c r="B4029" s="2">
        <v>2010</v>
      </c>
      <c r="C4029" s="2" t="s">
        <v>121</v>
      </c>
      <c r="D4029" s="2" t="s">
        <v>122</v>
      </c>
      <c r="E4029" s="2"/>
      <c r="F4029" s="2">
        <v>1</v>
      </c>
      <c r="G4029" s="2" t="s">
        <v>82</v>
      </c>
      <c r="H4029" s="2">
        <v>1</v>
      </c>
      <c r="I4029" s="2" t="s">
        <v>82</v>
      </c>
      <c r="J4029" s="2">
        <v>1</v>
      </c>
      <c r="K4029" s="2" t="s">
        <v>107</v>
      </c>
      <c r="L4029" s="2" t="s">
        <v>107</v>
      </c>
      <c r="M4029" s="3">
        <v>40452</v>
      </c>
      <c r="N4029" s="2"/>
      <c r="O4029" s="2"/>
      <c r="P4029" s="2"/>
      <c r="Q4029" s="2" t="str">
        <f>""</f>
        <v/>
      </c>
      <c r="R4029" s="2"/>
      <c r="S4029" s="2"/>
      <c r="T4029" s="2">
        <v>2</v>
      </c>
      <c r="U4029" s="2" t="s">
        <v>123</v>
      </c>
      <c r="V4029" s="2">
        <v>1</v>
      </c>
      <c r="W4029" s="2" t="s">
        <v>80</v>
      </c>
      <c r="X4029" s="2">
        <v>11</v>
      </c>
      <c r="Y4029" s="2" t="s">
        <v>1920</v>
      </c>
      <c r="Z4029" s="2">
        <v>1</v>
      </c>
      <c r="AA4029" s="2" t="s">
        <v>82</v>
      </c>
      <c r="AB4029" s="2">
        <v>9</v>
      </c>
      <c r="AC4029" s="2" t="s">
        <v>124</v>
      </c>
      <c r="AD4029" s="3">
        <v>40451</v>
      </c>
      <c r="AE4029" s="4">
        <v>0.89583333333333337</v>
      </c>
      <c r="AF4029" s="2"/>
      <c r="AG4029" s="2"/>
      <c r="AH4029" s="2">
        <v>2</v>
      </c>
      <c r="AI4029" s="2" t="s">
        <v>84</v>
      </c>
      <c r="AJ4029" s="2">
        <v>9</v>
      </c>
      <c r="AK4029" s="2" t="s">
        <v>103</v>
      </c>
      <c r="AL4029" s="2">
        <v>19</v>
      </c>
      <c r="AM4029" s="2" t="s">
        <v>107</v>
      </c>
      <c r="AN4029" s="2"/>
      <c r="AO4029" s="2"/>
      <c r="AP4029" s="2">
        <v>11</v>
      </c>
      <c r="AQ4029" s="2" t="s">
        <v>82</v>
      </c>
      <c r="AR4029" s="2"/>
      <c r="AS4029" s="2"/>
      <c r="AT4029" s="2" t="s">
        <v>12694</v>
      </c>
      <c r="AU4029" s="2"/>
      <c r="AV4029" s="2"/>
      <c r="AW4029" s="2"/>
      <c r="AX4029" s="2"/>
      <c r="AY4029" s="2">
        <v>41</v>
      </c>
      <c r="AZ4029" s="2" t="s">
        <v>82</v>
      </c>
      <c r="BA4029" s="2">
        <v>41</v>
      </c>
      <c r="BB4029" s="2" t="s">
        <v>82</v>
      </c>
      <c r="BC4029" s="2">
        <v>41</v>
      </c>
      <c r="BD4029" s="2" t="s">
        <v>82</v>
      </c>
      <c r="BE4029" s="2">
        <v>35</v>
      </c>
      <c r="BF4029" s="2" t="s">
        <v>5816</v>
      </c>
      <c r="BG4029" s="2">
        <v>701</v>
      </c>
      <c r="BH4029" s="4">
        <v>0.89583333333333337</v>
      </c>
      <c r="BI4029" s="2"/>
      <c r="BJ4029" s="2">
        <v>172</v>
      </c>
      <c r="BK4029" s="2" t="s">
        <v>843</v>
      </c>
      <c r="BL4029" s="2" t="s">
        <v>844</v>
      </c>
      <c r="BM4029" s="2">
        <v>13</v>
      </c>
      <c r="BN4029" s="2" t="s">
        <v>91</v>
      </c>
      <c r="BO4029" s="2"/>
      <c r="BP4029" s="2">
        <v>13</v>
      </c>
      <c r="BQ4029" s="2" t="s">
        <v>91</v>
      </c>
      <c r="BR4029" s="2" t="s">
        <v>360</v>
      </c>
      <c r="BS4029" s="3">
        <v>40452</v>
      </c>
      <c r="BT4029" s="4">
        <v>0.31377314814814816</v>
      </c>
    </row>
    <row r="4030" spans="1:72" x14ac:dyDescent="0.25">
      <c r="A4030" s="2">
        <v>6033</v>
      </c>
      <c r="B4030" s="2">
        <v>2010</v>
      </c>
      <c r="C4030" s="2" t="s">
        <v>121</v>
      </c>
      <c r="D4030" s="2" t="s">
        <v>122</v>
      </c>
      <c r="E4030" s="2" t="s">
        <v>12695</v>
      </c>
      <c r="F4030" s="2">
        <v>1</v>
      </c>
      <c r="G4030" s="2" t="s">
        <v>82</v>
      </c>
      <c r="H4030" s="2">
        <v>1</v>
      </c>
      <c r="I4030" s="2" t="s">
        <v>82</v>
      </c>
      <c r="J4030" s="2">
        <v>1</v>
      </c>
      <c r="K4030" s="2" t="s">
        <v>107</v>
      </c>
      <c r="L4030" s="2" t="s">
        <v>107</v>
      </c>
      <c r="M4030" s="3">
        <v>40452</v>
      </c>
      <c r="N4030" s="2"/>
      <c r="O4030" s="2"/>
      <c r="P4030" s="2"/>
      <c r="Q4030" s="2" t="str">
        <f>""</f>
        <v/>
      </c>
      <c r="R4030" s="2"/>
      <c r="S4030" s="2"/>
      <c r="T4030" s="2">
        <v>2</v>
      </c>
      <c r="U4030" s="2" t="s">
        <v>123</v>
      </c>
      <c r="V4030" s="2">
        <v>1</v>
      </c>
      <c r="W4030" s="2" t="s">
        <v>80</v>
      </c>
      <c r="X4030" s="2">
        <v>11</v>
      </c>
      <c r="Y4030" s="2" t="s">
        <v>1920</v>
      </c>
      <c r="Z4030" s="2">
        <v>10</v>
      </c>
      <c r="AA4030" s="2" t="s">
        <v>236</v>
      </c>
      <c r="AB4030" s="2">
        <v>9</v>
      </c>
      <c r="AC4030" s="2" t="s">
        <v>124</v>
      </c>
      <c r="AD4030" s="3">
        <v>40451</v>
      </c>
      <c r="AE4030" s="4">
        <v>0.75</v>
      </c>
      <c r="AF4030" s="2"/>
      <c r="AG4030" s="2"/>
      <c r="AH4030" s="2">
        <v>2</v>
      </c>
      <c r="AI4030" s="2" t="s">
        <v>84</v>
      </c>
      <c r="AJ4030" s="2">
        <v>12</v>
      </c>
      <c r="AK4030" s="2" t="s">
        <v>85</v>
      </c>
      <c r="AL4030" s="2">
        <v>20</v>
      </c>
      <c r="AM4030" s="2" t="s">
        <v>992</v>
      </c>
      <c r="AN4030" s="2"/>
      <c r="AO4030" s="2"/>
      <c r="AP4030" s="2">
        <v>11</v>
      </c>
      <c r="AQ4030" s="2" t="s">
        <v>82</v>
      </c>
      <c r="AR4030" s="2"/>
      <c r="AS4030" s="2"/>
      <c r="AT4030" s="2" t="s">
        <v>12696</v>
      </c>
      <c r="AU4030" s="2"/>
      <c r="AV4030" s="2"/>
      <c r="AW4030" s="2"/>
      <c r="AX4030" s="2"/>
      <c r="AY4030" s="2">
        <v>41</v>
      </c>
      <c r="AZ4030" s="2" t="s">
        <v>82</v>
      </c>
      <c r="BA4030" s="2">
        <v>41</v>
      </c>
      <c r="BB4030" s="2" t="s">
        <v>82</v>
      </c>
      <c r="BC4030" s="2">
        <v>41</v>
      </c>
      <c r="BD4030" s="2" t="s">
        <v>82</v>
      </c>
      <c r="BE4030" s="2">
        <v>41</v>
      </c>
      <c r="BF4030" s="2" t="s">
        <v>82</v>
      </c>
      <c r="BG4030" s="2"/>
      <c r="BH4030" s="2"/>
      <c r="BI4030" s="2"/>
      <c r="BJ4030" s="2">
        <v>241</v>
      </c>
      <c r="BK4030" s="2" t="s">
        <v>82</v>
      </c>
      <c r="BL4030" s="2"/>
      <c r="BM4030" s="2">
        <v>241</v>
      </c>
      <c r="BN4030" s="2" t="s">
        <v>82</v>
      </c>
      <c r="BO4030" s="2"/>
      <c r="BP4030" s="2">
        <v>241</v>
      </c>
      <c r="BQ4030" s="2" t="s">
        <v>82</v>
      </c>
      <c r="BR4030" s="2"/>
      <c r="BS4030" s="3">
        <v>40452</v>
      </c>
      <c r="BT4030" s="4">
        <v>0.3830439814814815</v>
      </c>
    </row>
    <row r="4031" spans="1:72" x14ac:dyDescent="0.25">
      <c r="A4031" s="2">
        <v>6035</v>
      </c>
      <c r="B4031" s="2">
        <v>2010</v>
      </c>
      <c r="C4031" s="2" t="s">
        <v>72</v>
      </c>
      <c r="D4031" s="2" t="s">
        <v>73</v>
      </c>
      <c r="E4031" s="2"/>
      <c r="F4031" s="2">
        <v>389</v>
      </c>
      <c r="G4031" s="2" t="s">
        <v>1819</v>
      </c>
      <c r="H4031" s="2">
        <v>40</v>
      </c>
      <c r="I4031" s="2" t="s">
        <v>2101</v>
      </c>
      <c r="J4031" s="2">
        <v>399</v>
      </c>
      <c r="K4031" s="2" t="s">
        <v>1820</v>
      </c>
      <c r="L4031" s="2" t="s">
        <v>1821</v>
      </c>
      <c r="M4031" s="3">
        <v>40452</v>
      </c>
      <c r="N4031" s="2" t="s">
        <v>12697</v>
      </c>
      <c r="O4031" s="2"/>
      <c r="P4031" s="2"/>
      <c r="Q4031" s="2" t="str">
        <f>"505-E/10"</f>
        <v>505-E/10</v>
      </c>
      <c r="R4031" s="2" t="s">
        <v>601</v>
      </c>
      <c r="S4031" s="2" t="s">
        <v>601</v>
      </c>
      <c r="T4031" s="2">
        <v>1</v>
      </c>
      <c r="U4031" s="2" t="s">
        <v>79</v>
      </c>
      <c r="V4031" s="2">
        <v>1</v>
      </c>
      <c r="W4031" s="2" t="s">
        <v>80</v>
      </c>
      <c r="X4031" s="2">
        <v>12</v>
      </c>
      <c r="Y4031" s="2" t="s">
        <v>148</v>
      </c>
      <c r="Z4031" s="2">
        <v>1</v>
      </c>
      <c r="AA4031" s="2" t="s">
        <v>82</v>
      </c>
      <c r="AB4031" s="2">
        <v>6</v>
      </c>
      <c r="AC4031" s="2" t="s">
        <v>83</v>
      </c>
      <c r="AD4031" s="3">
        <v>40444</v>
      </c>
      <c r="AE4031" s="2"/>
      <c r="AF4031" s="3">
        <v>40452</v>
      </c>
      <c r="AG4031" s="4">
        <v>0.45833333333333331</v>
      </c>
      <c r="AH4031" s="2">
        <v>2</v>
      </c>
      <c r="AI4031" s="2" t="s">
        <v>84</v>
      </c>
      <c r="AJ4031" s="2">
        <v>9</v>
      </c>
      <c r="AK4031" s="2" t="s">
        <v>103</v>
      </c>
      <c r="AL4031" s="2">
        <v>22</v>
      </c>
      <c r="AM4031" s="2" t="s">
        <v>1853</v>
      </c>
      <c r="AN4031" s="2" t="s">
        <v>12698</v>
      </c>
      <c r="AO4031" s="2" t="s">
        <v>12699</v>
      </c>
      <c r="AP4031" s="2">
        <v>11</v>
      </c>
      <c r="AQ4031" s="2" t="s">
        <v>82</v>
      </c>
      <c r="AR4031" s="2"/>
      <c r="AS4031" s="2"/>
      <c r="AT4031" s="2" t="s">
        <v>12700</v>
      </c>
      <c r="AU4031" s="2"/>
      <c r="AV4031" s="2"/>
      <c r="AW4031" s="2"/>
      <c r="AX4031" s="2"/>
      <c r="AY4031" s="2">
        <v>41</v>
      </c>
      <c r="AZ4031" s="2" t="s">
        <v>82</v>
      </c>
      <c r="BA4031" s="2">
        <v>41</v>
      </c>
      <c r="BB4031" s="2" t="s">
        <v>82</v>
      </c>
      <c r="BC4031" s="2">
        <v>41</v>
      </c>
      <c r="BD4031" s="2" t="s">
        <v>82</v>
      </c>
      <c r="BE4031" s="2">
        <v>23</v>
      </c>
      <c r="BF4031" s="2" t="s">
        <v>183</v>
      </c>
      <c r="BG4031" s="2" t="s">
        <v>11357</v>
      </c>
      <c r="BH4031" s="4">
        <v>0.35416666666666669</v>
      </c>
      <c r="BI4031" s="2"/>
      <c r="BJ4031" s="2">
        <v>73</v>
      </c>
      <c r="BK4031" s="2" t="s">
        <v>186</v>
      </c>
      <c r="BL4031" s="2" t="s">
        <v>187</v>
      </c>
      <c r="BM4031" s="2">
        <v>73</v>
      </c>
      <c r="BN4031" s="2" t="s">
        <v>186</v>
      </c>
      <c r="BO4031" s="2"/>
      <c r="BP4031" s="2">
        <v>13</v>
      </c>
      <c r="BQ4031" s="2" t="s">
        <v>91</v>
      </c>
      <c r="BR4031" s="2" t="s">
        <v>360</v>
      </c>
      <c r="BS4031" s="3">
        <v>40452</v>
      </c>
      <c r="BT4031" s="4">
        <v>0.47326388888888887</v>
      </c>
    </row>
    <row r="4032" spans="1:72" x14ac:dyDescent="0.25">
      <c r="A4032" s="2">
        <v>6036</v>
      </c>
      <c r="B4032" s="2">
        <v>2010</v>
      </c>
      <c r="C4032" s="2" t="s">
        <v>457</v>
      </c>
      <c r="D4032" s="2" t="s">
        <v>73</v>
      </c>
      <c r="E4032" s="2"/>
      <c r="F4032" s="2">
        <v>1</v>
      </c>
      <c r="G4032" s="2" t="s">
        <v>82</v>
      </c>
      <c r="H4032" s="2">
        <v>50</v>
      </c>
      <c r="I4032" s="2" t="s">
        <v>107</v>
      </c>
      <c r="J4032" s="2">
        <v>1</v>
      </c>
      <c r="K4032" s="2" t="s">
        <v>107</v>
      </c>
      <c r="L4032" s="2" t="s">
        <v>107</v>
      </c>
      <c r="M4032" s="3">
        <v>40452</v>
      </c>
      <c r="N4032" s="2" t="s">
        <v>107</v>
      </c>
      <c r="O4032" s="2"/>
      <c r="P4032" s="2"/>
      <c r="Q4032" s="2" t="str">
        <f>""</f>
        <v/>
      </c>
      <c r="R4032" s="2"/>
      <c r="S4032" s="2"/>
      <c r="T4032" s="2">
        <v>1</v>
      </c>
      <c r="U4032" s="2" t="s">
        <v>79</v>
      </c>
      <c r="V4032" s="2">
        <v>1</v>
      </c>
      <c r="W4032" s="2" t="s">
        <v>80</v>
      </c>
      <c r="X4032" s="2">
        <v>11</v>
      </c>
      <c r="Y4032" s="2" t="s">
        <v>1920</v>
      </c>
      <c r="Z4032" s="2">
        <v>6</v>
      </c>
      <c r="AA4032" s="2" t="s">
        <v>101</v>
      </c>
      <c r="AB4032" s="2">
        <v>9</v>
      </c>
      <c r="AC4032" s="2" t="s">
        <v>124</v>
      </c>
      <c r="AD4032" s="3">
        <v>40452</v>
      </c>
      <c r="AE4032" s="4">
        <v>0.3888888888888889</v>
      </c>
      <c r="AF4032" s="2"/>
      <c r="AG4032" s="2"/>
      <c r="AH4032" s="2">
        <v>2</v>
      </c>
      <c r="AI4032" s="2" t="s">
        <v>84</v>
      </c>
      <c r="AJ4032" s="2">
        <v>12</v>
      </c>
      <c r="AK4032" s="2" t="s">
        <v>85</v>
      </c>
      <c r="AL4032" s="2">
        <v>2</v>
      </c>
      <c r="AM4032" s="2" t="s">
        <v>163</v>
      </c>
      <c r="AN4032" s="2" t="s">
        <v>12701</v>
      </c>
      <c r="AO4032" s="2"/>
      <c r="AP4032" s="2">
        <v>11</v>
      </c>
      <c r="AQ4032" s="2" t="s">
        <v>82</v>
      </c>
      <c r="AR4032" s="2"/>
      <c r="AS4032" s="2"/>
      <c r="AT4032" s="2" t="s">
        <v>12702</v>
      </c>
      <c r="AU4032" s="2"/>
      <c r="AV4032" s="2"/>
      <c r="AW4032" s="2"/>
      <c r="AX4032" s="2"/>
      <c r="AY4032" s="2">
        <v>41</v>
      </c>
      <c r="AZ4032" s="2" t="s">
        <v>82</v>
      </c>
      <c r="BA4032" s="2">
        <v>41</v>
      </c>
      <c r="BB4032" s="2" t="s">
        <v>82</v>
      </c>
      <c r="BC4032" s="2">
        <v>41</v>
      </c>
      <c r="BD4032" s="2" t="s">
        <v>82</v>
      </c>
      <c r="BE4032" s="2">
        <v>47</v>
      </c>
      <c r="BF4032" s="2" t="s">
        <v>167</v>
      </c>
      <c r="BG4032" s="2" t="s">
        <v>12703</v>
      </c>
      <c r="BH4032" s="4">
        <v>0.4236111111111111</v>
      </c>
      <c r="BI4032" s="2"/>
      <c r="BJ4032" s="2">
        <v>13</v>
      </c>
      <c r="BK4032" s="2" t="s">
        <v>91</v>
      </c>
      <c r="BL4032" s="2" t="s">
        <v>169</v>
      </c>
      <c r="BM4032" s="2">
        <v>13</v>
      </c>
      <c r="BN4032" s="2" t="s">
        <v>91</v>
      </c>
      <c r="BO4032" s="2"/>
      <c r="BP4032" s="2">
        <v>13</v>
      </c>
      <c r="BQ4032" s="2" t="s">
        <v>91</v>
      </c>
      <c r="BR4032" s="2" t="s">
        <v>564</v>
      </c>
      <c r="BS4032" s="3">
        <v>40452</v>
      </c>
      <c r="BT4032" s="4">
        <v>0.49268518518518517</v>
      </c>
    </row>
    <row r="4033" spans="1:72" x14ac:dyDescent="0.25">
      <c r="A4033" s="2">
        <v>6040</v>
      </c>
      <c r="B4033" s="2">
        <v>2010</v>
      </c>
      <c r="C4033" s="2" t="s">
        <v>121</v>
      </c>
      <c r="D4033" s="2" t="s">
        <v>122</v>
      </c>
      <c r="E4033" s="2" t="s">
        <v>12695</v>
      </c>
      <c r="F4033" s="2">
        <v>1</v>
      </c>
      <c r="G4033" s="2" t="s">
        <v>82</v>
      </c>
      <c r="H4033" s="2">
        <v>1</v>
      </c>
      <c r="I4033" s="2" t="s">
        <v>82</v>
      </c>
      <c r="J4033" s="2">
        <v>1</v>
      </c>
      <c r="K4033" s="2" t="s">
        <v>107</v>
      </c>
      <c r="L4033" s="2" t="s">
        <v>107</v>
      </c>
      <c r="M4033" s="3">
        <v>40452</v>
      </c>
      <c r="N4033" s="2"/>
      <c r="O4033" s="2"/>
      <c r="P4033" s="2"/>
      <c r="Q4033" s="2" t="str">
        <f>""</f>
        <v/>
      </c>
      <c r="R4033" s="2"/>
      <c r="S4033" s="2"/>
      <c r="T4033" s="2">
        <v>2</v>
      </c>
      <c r="U4033" s="2" t="s">
        <v>123</v>
      </c>
      <c r="V4033" s="2">
        <v>1</v>
      </c>
      <c r="W4033" s="2" t="s">
        <v>80</v>
      </c>
      <c r="X4033" s="2">
        <v>11</v>
      </c>
      <c r="Y4033" s="2" t="s">
        <v>1920</v>
      </c>
      <c r="Z4033" s="2">
        <v>10</v>
      </c>
      <c r="AA4033" s="2" t="s">
        <v>236</v>
      </c>
      <c r="AB4033" s="2">
        <v>9</v>
      </c>
      <c r="AC4033" s="2" t="s">
        <v>124</v>
      </c>
      <c r="AD4033" s="3">
        <v>40451</v>
      </c>
      <c r="AE4033" s="4">
        <v>0.75</v>
      </c>
      <c r="AF4033" s="2"/>
      <c r="AG4033" s="2"/>
      <c r="AH4033" s="2">
        <v>2</v>
      </c>
      <c r="AI4033" s="2" t="s">
        <v>84</v>
      </c>
      <c r="AJ4033" s="2">
        <v>12</v>
      </c>
      <c r="AK4033" s="2" t="s">
        <v>85</v>
      </c>
      <c r="AL4033" s="2">
        <v>20</v>
      </c>
      <c r="AM4033" s="2" t="s">
        <v>992</v>
      </c>
      <c r="AN4033" s="2"/>
      <c r="AO4033" s="2"/>
      <c r="AP4033" s="2">
        <v>11</v>
      </c>
      <c r="AQ4033" s="2" t="s">
        <v>82</v>
      </c>
      <c r="AR4033" s="2"/>
      <c r="AS4033" s="2"/>
      <c r="AT4033" s="2" t="s">
        <v>12704</v>
      </c>
      <c r="AU4033" s="2"/>
      <c r="AV4033" s="2"/>
      <c r="AW4033" s="2"/>
      <c r="AX4033" s="2"/>
      <c r="AY4033" s="2">
        <v>41</v>
      </c>
      <c r="AZ4033" s="2" t="s">
        <v>82</v>
      </c>
      <c r="BA4033" s="2">
        <v>41</v>
      </c>
      <c r="BB4033" s="2" t="s">
        <v>82</v>
      </c>
      <c r="BC4033" s="2">
        <v>41</v>
      </c>
      <c r="BD4033" s="2" t="s">
        <v>82</v>
      </c>
      <c r="BE4033" s="2">
        <v>41</v>
      </c>
      <c r="BF4033" s="2" t="s">
        <v>82</v>
      </c>
      <c r="BG4033" s="2"/>
      <c r="BH4033" s="2"/>
      <c r="BI4033" s="2"/>
      <c r="BJ4033" s="2">
        <v>241</v>
      </c>
      <c r="BK4033" s="2" t="s">
        <v>82</v>
      </c>
      <c r="BL4033" s="2"/>
      <c r="BM4033" s="2">
        <v>241</v>
      </c>
      <c r="BN4033" s="2" t="s">
        <v>82</v>
      </c>
      <c r="BO4033" s="2"/>
      <c r="BP4033" s="2">
        <v>241</v>
      </c>
      <c r="BQ4033" s="2" t="s">
        <v>82</v>
      </c>
      <c r="BR4033" s="2"/>
      <c r="BS4033" s="3">
        <v>40452</v>
      </c>
      <c r="BT4033" s="4">
        <v>0.52077546296296295</v>
      </c>
    </row>
    <row r="4034" spans="1:72" x14ac:dyDescent="0.25">
      <c r="A4034" s="2">
        <v>6042</v>
      </c>
      <c r="B4034" s="2">
        <v>2010</v>
      </c>
      <c r="C4034" s="2" t="s">
        <v>121</v>
      </c>
      <c r="D4034" s="2" t="s">
        <v>122</v>
      </c>
      <c r="E4034" s="2"/>
      <c r="F4034" s="2">
        <v>1</v>
      </c>
      <c r="G4034" s="2" t="s">
        <v>82</v>
      </c>
      <c r="H4034" s="2">
        <v>1</v>
      </c>
      <c r="I4034" s="2" t="s">
        <v>82</v>
      </c>
      <c r="J4034" s="2">
        <v>1</v>
      </c>
      <c r="K4034" s="2" t="s">
        <v>107</v>
      </c>
      <c r="L4034" s="2" t="s">
        <v>107</v>
      </c>
      <c r="M4034" s="3">
        <v>40452</v>
      </c>
      <c r="N4034" s="2"/>
      <c r="O4034" s="2"/>
      <c r="P4034" s="2"/>
      <c r="Q4034" s="2" t="str">
        <f>""</f>
        <v/>
      </c>
      <c r="R4034" s="2"/>
      <c r="S4034" s="2"/>
      <c r="T4034" s="2">
        <v>2</v>
      </c>
      <c r="U4034" s="2" t="s">
        <v>123</v>
      </c>
      <c r="V4034" s="2">
        <v>1</v>
      </c>
      <c r="W4034" s="2" t="s">
        <v>80</v>
      </c>
      <c r="X4034" s="2">
        <v>5</v>
      </c>
      <c r="Y4034" s="2" t="s">
        <v>82</v>
      </c>
      <c r="Z4034" s="2">
        <v>1</v>
      </c>
      <c r="AA4034" s="2" t="s">
        <v>82</v>
      </c>
      <c r="AB4034" s="2">
        <v>9</v>
      </c>
      <c r="AC4034" s="2" t="s">
        <v>124</v>
      </c>
      <c r="AD4034" s="3">
        <v>40452</v>
      </c>
      <c r="AE4034" s="4">
        <v>0.4548611111111111</v>
      </c>
      <c r="AF4034" s="2"/>
      <c r="AG4034" s="2"/>
      <c r="AH4034" s="2">
        <v>5</v>
      </c>
      <c r="AI4034" s="2" t="s">
        <v>274</v>
      </c>
      <c r="AJ4034" s="2">
        <v>37</v>
      </c>
      <c r="AK4034" s="2" t="s">
        <v>497</v>
      </c>
      <c r="AL4034" s="2">
        <v>14</v>
      </c>
      <c r="AM4034" s="2" t="s">
        <v>216</v>
      </c>
      <c r="AN4034" s="2"/>
      <c r="AO4034" s="2" t="s">
        <v>12705</v>
      </c>
      <c r="AP4034" s="2">
        <v>11</v>
      </c>
      <c r="AQ4034" s="2" t="s">
        <v>82</v>
      </c>
      <c r="AR4034" s="2"/>
      <c r="AS4034" s="2"/>
      <c r="AT4034" s="2" t="s">
        <v>12706</v>
      </c>
      <c r="AU4034" s="2"/>
      <c r="AV4034" s="2"/>
      <c r="AW4034" s="2"/>
      <c r="AX4034" s="2"/>
      <c r="AY4034" s="2">
        <v>41</v>
      </c>
      <c r="AZ4034" s="2" t="s">
        <v>82</v>
      </c>
      <c r="BA4034" s="2">
        <v>41</v>
      </c>
      <c r="BB4034" s="2" t="s">
        <v>82</v>
      </c>
      <c r="BC4034" s="2">
        <v>41</v>
      </c>
      <c r="BD4034" s="2" t="s">
        <v>82</v>
      </c>
      <c r="BE4034" s="2">
        <v>41</v>
      </c>
      <c r="BF4034" s="2" t="s">
        <v>82</v>
      </c>
      <c r="BG4034" s="2"/>
      <c r="BH4034" s="4">
        <v>0.4548611111111111</v>
      </c>
      <c r="BI4034" s="2"/>
      <c r="BJ4034" s="2">
        <v>13</v>
      </c>
      <c r="BK4034" s="2" t="s">
        <v>91</v>
      </c>
      <c r="BL4034" s="2"/>
      <c r="BM4034" s="2">
        <v>13</v>
      </c>
      <c r="BN4034" s="2" t="s">
        <v>91</v>
      </c>
      <c r="BO4034" s="2"/>
      <c r="BP4034" s="2">
        <v>13</v>
      </c>
      <c r="BQ4034" s="2" t="s">
        <v>91</v>
      </c>
      <c r="BR4034" s="2" t="s">
        <v>1552</v>
      </c>
      <c r="BS4034" s="3">
        <v>40452</v>
      </c>
      <c r="BT4034" s="4">
        <v>0.53546296296296292</v>
      </c>
    </row>
    <row r="4035" spans="1:72" x14ac:dyDescent="0.25">
      <c r="A4035" s="2">
        <v>6045</v>
      </c>
      <c r="B4035" s="2">
        <v>2010</v>
      </c>
      <c r="C4035" s="2" t="s">
        <v>121</v>
      </c>
      <c r="D4035" s="2" t="s">
        <v>122</v>
      </c>
      <c r="E4035" s="2"/>
      <c r="F4035" s="2">
        <v>1</v>
      </c>
      <c r="G4035" s="2" t="s">
        <v>82</v>
      </c>
      <c r="H4035" s="2">
        <v>1</v>
      </c>
      <c r="I4035" s="2" t="s">
        <v>82</v>
      </c>
      <c r="J4035" s="2">
        <v>1</v>
      </c>
      <c r="K4035" s="2" t="s">
        <v>107</v>
      </c>
      <c r="L4035" s="2" t="s">
        <v>107</v>
      </c>
      <c r="M4035" s="3">
        <v>40452</v>
      </c>
      <c r="N4035" s="2"/>
      <c r="O4035" s="2"/>
      <c r="P4035" s="2"/>
      <c r="Q4035" s="2" t="str">
        <f>""</f>
        <v/>
      </c>
      <c r="R4035" s="2"/>
      <c r="S4035" s="2"/>
      <c r="T4035" s="2">
        <v>2</v>
      </c>
      <c r="U4035" s="2" t="s">
        <v>123</v>
      </c>
      <c r="V4035" s="2">
        <v>1</v>
      </c>
      <c r="W4035" s="2" t="s">
        <v>80</v>
      </c>
      <c r="X4035" s="2">
        <v>5</v>
      </c>
      <c r="Y4035" s="2" t="s">
        <v>82</v>
      </c>
      <c r="Z4035" s="2">
        <v>1</v>
      </c>
      <c r="AA4035" s="2" t="s">
        <v>82</v>
      </c>
      <c r="AB4035" s="2">
        <v>9</v>
      </c>
      <c r="AC4035" s="2" t="s">
        <v>124</v>
      </c>
      <c r="AD4035" s="3">
        <v>40452</v>
      </c>
      <c r="AE4035" s="2"/>
      <c r="AF4035" s="2"/>
      <c r="AG4035" s="2"/>
      <c r="AH4035" s="2">
        <v>5</v>
      </c>
      <c r="AI4035" s="2" t="s">
        <v>274</v>
      </c>
      <c r="AJ4035" s="2">
        <v>37</v>
      </c>
      <c r="AK4035" s="2" t="s">
        <v>497</v>
      </c>
      <c r="AL4035" s="2">
        <v>14</v>
      </c>
      <c r="AM4035" s="2" t="s">
        <v>216</v>
      </c>
      <c r="AN4035" s="2"/>
      <c r="AO4035" s="2" t="s">
        <v>12707</v>
      </c>
      <c r="AP4035" s="2">
        <v>11</v>
      </c>
      <c r="AQ4035" s="2" t="s">
        <v>82</v>
      </c>
      <c r="AR4035" s="2"/>
      <c r="AS4035" s="2"/>
      <c r="AT4035" s="2" t="s">
        <v>12708</v>
      </c>
      <c r="AU4035" s="2"/>
      <c r="AV4035" s="2"/>
      <c r="AW4035" s="2"/>
      <c r="AX4035" s="2"/>
      <c r="AY4035" s="2">
        <v>41</v>
      </c>
      <c r="AZ4035" s="2" t="s">
        <v>82</v>
      </c>
      <c r="BA4035" s="2">
        <v>41</v>
      </c>
      <c r="BB4035" s="2" t="s">
        <v>82</v>
      </c>
      <c r="BC4035" s="2">
        <v>41</v>
      </c>
      <c r="BD4035" s="2" t="s">
        <v>82</v>
      </c>
      <c r="BE4035" s="2">
        <v>52</v>
      </c>
      <c r="BF4035" s="2" t="s">
        <v>1185</v>
      </c>
      <c r="BG4035" s="2"/>
      <c r="BH4035" s="4">
        <v>0.47916666666666669</v>
      </c>
      <c r="BI4035" s="2"/>
      <c r="BJ4035" s="2">
        <v>13</v>
      </c>
      <c r="BK4035" s="2" t="s">
        <v>91</v>
      </c>
      <c r="BL4035" s="2" t="s">
        <v>170</v>
      </c>
      <c r="BM4035" s="2">
        <v>13</v>
      </c>
      <c r="BN4035" s="2" t="s">
        <v>91</v>
      </c>
      <c r="BO4035" s="2"/>
      <c r="BP4035" s="2">
        <v>13</v>
      </c>
      <c r="BQ4035" s="2" t="s">
        <v>91</v>
      </c>
      <c r="BR4035" s="2" t="s">
        <v>1552</v>
      </c>
      <c r="BS4035" s="3">
        <v>40452</v>
      </c>
      <c r="BT4035" s="4">
        <v>0.55879629629629635</v>
      </c>
    </row>
    <row r="4036" spans="1:72" x14ac:dyDescent="0.25">
      <c r="A4036" s="2">
        <v>6046</v>
      </c>
      <c r="B4036" s="2">
        <v>2010</v>
      </c>
      <c r="C4036" s="2" t="s">
        <v>457</v>
      </c>
      <c r="D4036" s="2" t="s">
        <v>122</v>
      </c>
      <c r="E4036" s="2"/>
      <c r="F4036" s="2">
        <v>10</v>
      </c>
      <c r="G4036" s="2" t="s">
        <v>2143</v>
      </c>
      <c r="H4036" s="2">
        <v>30</v>
      </c>
      <c r="I4036" s="2" t="s">
        <v>912</v>
      </c>
      <c r="J4036" s="2">
        <v>538</v>
      </c>
      <c r="K4036" s="2" t="s">
        <v>7264</v>
      </c>
      <c r="L4036" s="2" t="s">
        <v>7265</v>
      </c>
      <c r="M4036" s="3">
        <v>40452</v>
      </c>
      <c r="N4036" s="2" t="s">
        <v>2214</v>
      </c>
      <c r="O4036" s="2" t="s">
        <v>12709</v>
      </c>
      <c r="P4036" s="2" t="s">
        <v>12710</v>
      </c>
      <c r="Q4036" s="2" t="str">
        <f>""</f>
        <v/>
      </c>
      <c r="R4036" s="2"/>
      <c r="S4036" s="2"/>
      <c r="T4036" s="2">
        <v>1</v>
      </c>
      <c r="U4036" s="2" t="s">
        <v>79</v>
      </c>
      <c r="V4036" s="2">
        <v>1</v>
      </c>
      <c r="W4036" s="2" t="s">
        <v>80</v>
      </c>
      <c r="X4036" s="2">
        <v>11</v>
      </c>
      <c r="Y4036" s="2" t="s">
        <v>1920</v>
      </c>
      <c r="Z4036" s="2">
        <v>10</v>
      </c>
      <c r="AA4036" s="2" t="s">
        <v>236</v>
      </c>
      <c r="AB4036" s="2">
        <v>9</v>
      </c>
      <c r="AC4036" s="2" t="s">
        <v>124</v>
      </c>
      <c r="AD4036" s="3">
        <v>40452</v>
      </c>
      <c r="AE4036" s="4">
        <v>0.28472222222222221</v>
      </c>
      <c r="AF4036" s="2"/>
      <c r="AG4036" s="2"/>
      <c r="AH4036" s="2">
        <v>3</v>
      </c>
      <c r="AI4036" s="2" t="s">
        <v>214</v>
      </c>
      <c r="AJ4036" s="2">
        <v>24</v>
      </c>
      <c r="AK4036" s="2" t="s">
        <v>215</v>
      </c>
      <c r="AL4036" s="2">
        <v>23</v>
      </c>
      <c r="AM4036" s="2" t="s">
        <v>251</v>
      </c>
      <c r="AN4036" s="2"/>
      <c r="AO4036" s="2" t="s">
        <v>12711</v>
      </c>
      <c r="AP4036" s="2">
        <v>11</v>
      </c>
      <c r="AQ4036" s="2" t="s">
        <v>82</v>
      </c>
      <c r="AR4036" s="2"/>
      <c r="AS4036" s="2"/>
      <c r="AT4036" s="2" t="s">
        <v>12712</v>
      </c>
      <c r="AU4036" s="2"/>
      <c r="AV4036" s="2"/>
      <c r="AW4036" s="2"/>
      <c r="AX4036" s="2"/>
      <c r="AY4036" s="2">
        <v>41</v>
      </c>
      <c r="AZ4036" s="2" t="s">
        <v>82</v>
      </c>
      <c r="BA4036" s="2">
        <v>41</v>
      </c>
      <c r="BB4036" s="2" t="s">
        <v>82</v>
      </c>
      <c r="BC4036" s="2">
        <v>70</v>
      </c>
      <c r="BD4036" s="2" t="s">
        <v>236</v>
      </c>
      <c r="BE4036" s="2">
        <v>47</v>
      </c>
      <c r="BF4036" s="2" t="s">
        <v>167</v>
      </c>
      <c r="BG4036" s="2">
        <v>2503</v>
      </c>
      <c r="BH4036" s="4">
        <v>0.41666666666666669</v>
      </c>
      <c r="BI4036" s="4">
        <v>0.36458333333333331</v>
      </c>
      <c r="BJ4036" s="2">
        <v>13</v>
      </c>
      <c r="BK4036" s="2" t="s">
        <v>91</v>
      </c>
      <c r="BL4036" s="2" t="s">
        <v>12713</v>
      </c>
      <c r="BM4036" s="2">
        <v>241</v>
      </c>
      <c r="BN4036" s="2" t="s">
        <v>82</v>
      </c>
      <c r="BO4036" s="2"/>
      <c r="BP4036" s="2">
        <v>13</v>
      </c>
      <c r="BQ4036" s="2" t="s">
        <v>91</v>
      </c>
      <c r="BR4036" s="2" t="s">
        <v>185</v>
      </c>
      <c r="BS4036" s="3">
        <v>40452</v>
      </c>
      <c r="BT4036" s="4">
        <v>0.56032407407407414</v>
      </c>
    </row>
    <row r="4037" spans="1:72" x14ac:dyDescent="0.25">
      <c r="A4037" s="2">
        <v>6047</v>
      </c>
      <c r="B4037" s="2">
        <v>2010</v>
      </c>
      <c r="C4037" s="2" t="s">
        <v>171</v>
      </c>
      <c r="D4037" s="2" t="s">
        <v>73</v>
      </c>
      <c r="E4037" s="2"/>
      <c r="F4037" s="2">
        <v>390</v>
      </c>
      <c r="G4037" s="2" t="s">
        <v>475</v>
      </c>
      <c r="H4037" s="2">
        <v>7</v>
      </c>
      <c r="I4037" s="2" t="s">
        <v>476</v>
      </c>
      <c r="J4037" s="2">
        <v>533</v>
      </c>
      <c r="K4037" s="2" t="s">
        <v>6511</v>
      </c>
      <c r="L4037" s="2" t="s">
        <v>478</v>
      </c>
      <c r="M4037" s="3">
        <v>40452</v>
      </c>
      <c r="N4037" s="2" t="s">
        <v>11894</v>
      </c>
      <c r="O4037" s="2" t="s">
        <v>12714</v>
      </c>
      <c r="P4037" s="2"/>
      <c r="Q4037" s="2" t="str">
        <f>"470E/10"</f>
        <v>470E/10</v>
      </c>
      <c r="R4037" s="2"/>
      <c r="S4037" s="2"/>
      <c r="T4037" s="2">
        <v>1</v>
      </c>
      <c r="U4037" s="2" t="s">
        <v>79</v>
      </c>
      <c r="V4037" s="2">
        <v>3</v>
      </c>
      <c r="W4037" s="2" t="s">
        <v>225</v>
      </c>
      <c r="X4037" s="2">
        <v>6</v>
      </c>
      <c r="Y4037" s="2" t="s">
        <v>249</v>
      </c>
      <c r="Z4037" s="2">
        <v>1</v>
      </c>
      <c r="AA4037" s="2" t="s">
        <v>82</v>
      </c>
      <c r="AB4037" s="2">
        <v>9</v>
      </c>
      <c r="AC4037" s="2" t="s">
        <v>124</v>
      </c>
      <c r="AD4037" s="3">
        <v>40452</v>
      </c>
      <c r="AE4037" s="2"/>
      <c r="AF4037" s="2"/>
      <c r="AG4037" s="2"/>
      <c r="AH4037" s="2">
        <v>5</v>
      </c>
      <c r="AI4037" s="2" t="s">
        <v>274</v>
      </c>
      <c r="AJ4037" s="2">
        <v>35</v>
      </c>
      <c r="AK4037" s="2" t="s">
        <v>275</v>
      </c>
      <c r="AL4037" s="2">
        <v>23</v>
      </c>
      <c r="AM4037" s="2" t="s">
        <v>251</v>
      </c>
      <c r="AN4037" s="2" t="s">
        <v>12715</v>
      </c>
      <c r="AO4037" s="2" t="s">
        <v>12716</v>
      </c>
      <c r="AP4037" s="2">
        <v>11</v>
      </c>
      <c r="AQ4037" s="2" t="s">
        <v>82</v>
      </c>
      <c r="AR4037" s="2"/>
      <c r="AS4037" s="2"/>
      <c r="AT4037" s="2" t="s">
        <v>12717</v>
      </c>
      <c r="AU4037" s="2"/>
      <c r="AV4037" s="2"/>
      <c r="AW4037" s="2"/>
      <c r="AX4037" s="2"/>
      <c r="AY4037" s="2">
        <v>41</v>
      </c>
      <c r="AZ4037" s="2" t="s">
        <v>82</v>
      </c>
      <c r="BA4037" s="2">
        <v>41</v>
      </c>
      <c r="BB4037" s="2" t="s">
        <v>82</v>
      </c>
      <c r="BC4037" s="2">
        <v>41</v>
      </c>
      <c r="BD4037" s="2" t="s">
        <v>82</v>
      </c>
      <c r="BE4037" s="2">
        <v>41</v>
      </c>
      <c r="BF4037" s="2" t="s">
        <v>82</v>
      </c>
      <c r="BG4037" s="2"/>
      <c r="BH4037" s="2"/>
      <c r="BI4037" s="2"/>
      <c r="BJ4037" s="2">
        <v>241</v>
      </c>
      <c r="BK4037" s="2" t="s">
        <v>82</v>
      </c>
      <c r="BL4037" s="2"/>
      <c r="BM4037" s="2">
        <v>241</v>
      </c>
      <c r="BN4037" s="2" t="s">
        <v>82</v>
      </c>
      <c r="BO4037" s="2"/>
      <c r="BP4037" s="2">
        <v>241</v>
      </c>
      <c r="BQ4037" s="2" t="s">
        <v>82</v>
      </c>
      <c r="BR4037" s="2"/>
      <c r="BS4037" s="3">
        <v>40452</v>
      </c>
      <c r="BT4037" s="4">
        <v>0.57717592592592593</v>
      </c>
    </row>
    <row r="4038" spans="1:72" x14ac:dyDescent="0.25">
      <c r="A4038" s="2">
        <v>6048</v>
      </c>
      <c r="B4038" s="2">
        <v>2010</v>
      </c>
      <c r="C4038" s="2" t="s">
        <v>377</v>
      </c>
      <c r="D4038" s="2" t="s">
        <v>73</v>
      </c>
      <c r="E4038" s="2"/>
      <c r="F4038" s="2">
        <v>426</v>
      </c>
      <c r="G4038" s="2" t="s">
        <v>378</v>
      </c>
      <c r="H4038" s="2">
        <v>42</v>
      </c>
      <c r="I4038" s="2" t="s">
        <v>1096</v>
      </c>
      <c r="J4038" s="2">
        <v>311</v>
      </c>
      <c r="K4038" s="2" t="s">
        <v>379</v>
      </c>
      <c r="L4038" s="2" t="s">
        <v>380</v>
      </c>
      <c r="M4038" s="3">
        <v>40452</v>
      </c>
      <c r="N4038" s="2" t="s">
        <v>107</v>
      </c>
      <c r="O4038" s="2" t="s">
        <v>107</v>
      </c>
      <c r="P4038" s="2" t="s">
        <v>107</v>
      </c>
      <c r="Q4038" s="2" t="str">
        <f>"251-C/10"</f>
        <v>251-C/10</v>
      </c>
      <c r="R4038" s="2" t="s">
        <v>12718</v>
      </c>
      <c r="S4038" s="2"/>
      <c r="T4038" s="2">
        <v>1</v>
      </c>
      <c r="U4038" s="2" t="s">
        <v>79</v>
      </c>
      <c r="V4038" s="2">
        <v>1</v>
      </c>
      <c r="W4038" s="2" t="s">
        <v>80</v>
      </c>
      <c r="X4038" s="2">
        <v>1</v>
      </c>
      <c r="Y4038" s="2" t="s">
        <v>81</v>
      </c>
      <c r="Z4038" s="2">
        <v>1</v>
      </c>
      <c r="AA4038" s="2" t="s">
        <v>82</v>
      </c>
      <c r="AB4038" s="2">
        <v>9</v>
      </c>
      <c r="AC4038" s="2" t="s">
        <v>124</v>
      </c>
      <c r="AD4038" s="3">
        <v>40449</v>
      </c>
      <c r="AE4038" s="4">
        <v>0.41666666666666669</v>
      </c>
      <c r="AF4038" s="2"/>
      <c r="AG4038" s="2"/>
      <c r="AH4038" s="2">
        <v>2</v>
      </c>
      <c r="AI4038" s="2" t="s">
        <v>84</v>
      </c>
      <c r="AJ4038" s="2">
        <v>9</v>
      </c>
      <c r="AK4038" s="2" t="s">
        <v>103</v>
      </c>
      <c r="AL4038" s="2">
        <v>21</v>
      </c>
      <c r="AM4038" s="2" t="s">
        <v>1311</v>
      </c>
      <c r="AN4038" s="2" t="s">
        <v>12719</v>
      </c>
      <c r="AO4038" s="2"/>
      <c r="AP4038" s="2">
        <v>11</v>
      </c>
      <c r="AQ4038" s="2" t="s">
        <v>82</v>
      </c>
      <c r="AR4038" s="2"/>
      <c r="AS4038" s="2"/>
      <c r="AT4038" s="2" t="s">
        <v>12720</v>
      </c>
      <c r="AU4038" s="2"/>
      <c r="AV4038" s="2"/>
      <c r="AW4038" s="2"/>
      <c r="AX4038" s="2"/>
      <c r="AY4038" s="2">
        <v>41</v>
      </c>
      <c r="AZ4038" s="2" t="s">
        <v>82</v>
      </c>
      <c r="BA4038" s="2">
        <v>41</v>
      </c>
      <c r="BB4038" s="2" t="s">
        <v>82</v>
      </c>
      <c r="BC4038" s="2">
        <v>41</v>
      </c>
      <c r="BD4038" s="2" t="s">
        <v>82</v>
      </c>
      <c r="BE4038" s="2">
        <v>41</v>
      </c>
      <c r="BF4038" s="2" t="s">
        <v>82</v>
      </c>
      <c r="BG4038" s="2"/>
      <c r="BH4038" s="2"/>
      <c r="BI4038" s="2"/>
      <c r="BJ4038" s="2">
        <v>241</v>
      </c>
      <c r="BK4038" s="2" t="s">
        <v>82</v>
      </c>
      <c r="BL4038" s="2"/>
      <c r="BM4038" s="2">
        <v>241</v>
      </c>
      <c r="BN4038" s="2" t="s">
        <v>82</v>
      </c>
      <c r="BO4038" s="2"/>
      <c r="BP4038" s="2">
        <v>241</v>
      </c>
      <c r="BQ4038" s="2" t="s">
        <v>82</v>
      </c>
      <c r="BR4038" s="2"/>
      <c r="BS4038" s="3">
        <v>40452</v>
      </c>
      <c r="BT4038" s="4">
        <v>0.58195601851851853</v>
      </c>
    </row>
    <row r="4039" spans="1:72" x14ac:dyDescent="0.25">
      <c r="A4039" s="2">
        <v>6049</v>
      </c>
      <c r="B4039" s="2">
        <v>2010</v>
      </c>
      <c r="C4039" s="2" t="s">
        <v>121</v>
      </c>
      <c r="D4039" s="2" t="s">
        <v>122</v>
      </c>
      <c r="E4039" s="2" t="s">
        <v>12721</v>
      </c>
      <c r="F4039" s="2">
        <v>1</v>
      </c>
      <c r="G4039" s="2" t="s">
        <v>82</v>
      </c>
      <c r="H4039" s="2">
        <v>1</v>
      </c>
      <c r="I4039" s="2" t="s">
        <v>82</v>
      </c>
      <c r="J4039" s="2">
        <v>1</v>
      </c>
      <c r="K4039" s="2" t="s">
        <v>107</v>
      </c>
      <c r="L4039" s="2" t="s">
        <v>107</v>
      </c>
      <c r="M4039" s="3">
        <v>40452</v>
      </c>
      <c r="N4039" s="2"/>
      <c r="O4039" s="2"/>
      <c r="P4039" s="2"/>
      <c r="Q4039" s="2" t="str">
        <f>""</f>
        <v/>
      </c>
      <c r="R4039" s="2"/>
      <c r="S4039" s="2"/>
      <c r="T4039" s="2">
        <v>2</v>
      </c>
      <c r="U4039" s="2" t="s">
        <v>123</v>
      </c>
      <c r="V4039" s="2">
        <v>1</v>
      </c>
      <c r="W4039" s="2" t="s">
        <v>80</v>
      </c>
      <c r="X4039" s="2">
        <v>11</v>
      </c>
      <c r="Y4039" s="2" t="s">
        <v>1920</v>
      </c>
      <c r="Z4039" s="2">
        <v>10</v>
      </c>
      <c r="AA4039" s="2" t="s">
        <v>236</v>
      </c>
      <c r="AB4039" s="2">
        <v>9</v>
      </c>
      <c r="AC4039" s="2" t="s">
        <v>124</v>
      </c>
      <c r="AD4039" s="3">
        <v>40451</v>
      </c>
      <c r="AE4039" s="4">
        <v>0.75</v>
      </c>
      <c r="AF4039" s="2"/>
      <c r="AG4039" s="2"/>
      <c r="AH4039" s="2">
        <v>2</v>
      </c>
      <c r="AI4039" s="2" t="s">
        <v>84</v>
      </c>
      <c r="AJ4039" s="2">
        <v>12</v>
      </c>
      <c r="AK4039" s="2" t="s">
        <v>85</v>
      </c>
      <c r="AL4039" s="2">
        <v>20</v>
      </c>
      <c r="AM4039" s="2" t="s">
        <v>992</v>
      </c>
      <c r="AN4039" s="2"/>
      <c r="AO4039" s="2"/>
      <c r="AP4039" s="2">
        <v>11</v>
      </c>
      <c r="AQ4039" s="2" t="s">
        <v>82</v>
      </c>
      <c r="AR4039" s="2"/>
      <c r="AS4039" s="2"/>
      <c r="AT4039" s="2" t="s">
        <v>12722</v>
      </c>
      <c r="AU4039" s="2"/>
      <c r="AV4039" s="2"/>
      <c r="AW4039" s="2"/>
      <c r="AX4039" s="2"/>
      <c r="AY4039" s="2">
        <v>41</v>
      </c>
      <c r="AZ4039" s="2" t="s">
        <v>82</v>
      </c>
      <c r="BA4039" s="2">
        <v>41</v>
      </c>
      <c r="BB4039" s="2" t="s">
        <v>82</v>
      </c>
      <c r="BC4039" s="2">
        <v>41</v>
      </c>
      <c r="BD4039" s="2" t="s">
        <v>82</v>
      </c>
      <c r="BE4039" s="2">
        <v>41</v>
      </c>
      <c r="BF4039" s="2" t="s">
        <v>82</v>
      </c>
      <c r="BG4039" s="2"/>
      <c r="BH4039" s="2"/>
      <c r="BI4039" s="2"/>
      <c r="BJ4039" s="2">
        <v>241</v>
      </c>
      <c r="BK4039" s="2" t="s">
        <v>82</v>
      </c>
      <c r="BL4039" s="2"/>
      <c r="BM4039" s="2">
        <v>241</v>
      </c>
      <c r="BN4039" s="2" t="s">
        <v>82</v>
      </c>
      <c r="BO4039" s="2"/>
      <c r="BP4039" s="2">
        <v>241</v>
      </c>
      <c r="BQ4039" s="2" t="s">
        <v>82</v>
      </c>
      <c r="BR4039" s="2"/>
      <c r="BS4039" s="3">
        <v>40452</v>
      </c>
      <c r="BT4039" s="4">
        <v>0.60614583333333327</v>
      </c>
    </row>
    <row r="4040" spans="1:72" x14ac:dyDescent="0.25">
      <c r="A4040" s="2">
        <v>6052</v>
      </c>
      <c r="B4040" s="2">
        <v>2010</v>
      </c>
      <c r="C4040" s="2" t="s">
        <v>377</v>
      </c>
      <c r="D4040" s="2" t="s">
        <v>73</v>
      </c>
      <c r="E4040" s="2"/>
      <c r="F4040" s="2">
        <v>426</v>
      </c>
      <c r="G4040" s="2" t="s">
        <v>378</v>
      </c>
      <c r="H4040" s="2">
        <v>108</v>
      </c>
      <c r="I4040" s="2" t="s">
        <v>1096</v>
      </c>
      <c r="J4040" s="2">
        <v>311</v>
      </c>
      <c r="K4040" s="2" t="s">
        <v>379</v>
      </c>
      <c r="L4040" s="2" t="s">
        <v>380</v>
      </c>
      <c r="M4040" s="3">
        <v>40452</v>
      </c>
      <c r="N4040" s="2" t="s">
        <v>12723</v>
      </c>
      <c r="O4040" s="2"/>
      <c r="P4040" s="2"/>
      <c r="Q4040" s="2" t="str">
        <f>"260-C/10"</f>
        <v>260-C/10</v>
      </c>
      <c r="R4040" s="2"/>
      <c r="S4040" s="2" t="s">
        <v>5773</v>
      </c>
      <c r="T4040" s="2">
        <v>1</v>
      </c>
      <c r="U4040" s="2" t="s">
        <v>79</v>
      </c>
      <c r="V4040" s="2">
        <v>1</v>
      </c>
      <c r="W4040" s="2" t="s">
        <v>80</v>
      </c>
      <c r="X4040" s="2">
        <v>1</v>
      </c>
      <c r="Y4040" s="2" t="s">
        <v>81</v>
      </c>
      <c r="Z4040" s="2">
        <v>1</v>
      </c>
      <c r="AA4040" s="2" t="s">
        <v>82</v>
      </c>
      <c r="AB4040" s="2">
        <v>9</v>
      </c>
      <c r="AC4040" s="2" t="s">
        <v>124</v>
      </c>
      <c r="AD4040" s="3">
        <v>40451</v>
      </c>
      <c r="AE4040" s="4">
        <v>0.89583333333333337</v>
      </c>
      <c r="AF4040" s="2"/>
      <c r="AG4040" s="2"/>
      <c r="AH4040" s="2">
        <v>2</v>
      </c>
      <c r="AI4040" s="2" t="s">
        <v>84</v>
      </c>
      <c r="AJ4040" s="2">
        <v>9</v>
      </c>
      <c r="AK4040" s="2" t="s">
        <v>103</v>
      </c>
      <c r="AL4040" s="2">
        <v>25</v>
      </c>
      <c r="AM4040" s="2" t="s">
        <v>3073</v>
      </c>
      <c r="AN4040" s="2" t="s">
        <v>12724</v>
      </c>
      <c r="AO4040" s="2"/>
      <c r="AP4040" s="2">
        <v>11</v>
      </c>
      <c r="AQ4040" s="2" t="s">
        <v>82</v>
      </c>
      <c r="AR4040" s="2"/>
      <c r="AS4040" s="2"/>
      <c r="AT4040" s="2" t="s">
        <v>12725</v>
      </c>
      <c r="AU4040" s="2"/>
      <c r="AV4040" s="2"/>
      <c r="AW4040" s="2"/>
      <c r="AX4040" s="2"/>
      <c r="AY4040" s="2">
        <v>41</v>
      </c>
      <c r="AZ4040" s="2" t="s">
        <v>82</v>
      </c>
      <c r="BA4040" s="2">
        <v>41</v>
      </c>
      <c r="BB4040" s="2" t="s">
        <v>82</v>
      </c>
      <c r="BC4040" s="2">
        <v>41</v>
      </c>
      <c r="BD4040" s="2" t="s">
        <v>82</v>
      </c>
      <c r="BE4040" s="2">
        <v>41</v>
      </c>
      <c r="BF4040" s="2" t="s">
        <v>82</v>
      </c>
      <c r="BG4040" s="2"/>
      <c r="BH4040" s="2"/>
      <c r="BI4040" s="2"/>
      <c r="BJ4040" s="2">
        <v>241</v>
      </c>
      <c r="BK4040" s="2" t="s">
        <v>82</v>
      </c>
      <c r="BL4040" s="2"/>
      <c r="BM4040" s="2">
        <v>241</v>
      </c>
      <c r="BN4040" s="2" t="s">
        <v>82</v>
      </c>
      <c r="BO4040" s="2"/>
      <c r="BP4040" s="2">
        <v>241</v>
      </c>
      <c r="BQ4040" s="2" t="s">
        <v>82</v>
      </c>
      <c r="BR4040" s="2"/>
      <c r="BS4040" s="3">
        <v>40452</v>
      </c>
      <c r="BT4040" s="4">
        <v>0.66343750000000001</v>
      </c>
    </row>
    <row r="4041" spans="1:72" x14ac:dyDescent="0.25">
      <c r="A4041" s="2">
        <v>6055</v>
      </c>
      <c r="B4041" s="2">
        <v>2010</v>
      </c>
      <c r="C4041" s="2" t="s">
        <v>377</v>
      </c>
      <c r="D4041" s="2" t="s">
        <v>73</v>
      </c>
      <c r="E4041" s="2"/>
      <c r="F4041" s="2">
        <v>426</v>
      </c>
      <c r="G4041" s="2" t="s">
        <v>378</v>
      </c>
      <c r="H4041" s="2">
        <v>108</v>
      </c>
      <c r="I4041" s="2" t="s">
        <v>1096</v>
      </c>
      <c r="J4041" s="2">
        <v>311</v>
      </c>
      <c r="K4041" s="2" t="s">
        <v>379</v>
      </c>
      <c r="L4041" s="2" t="s">
        <v>380</v>
      </c>
      <c r="M4041" s="3">
        <v>40452</v>
      </c>
      <c r="N4041" s="2" t="s">
        <v>7171</v>
      </c>
      <c r="O4041" s="2" t="s">
        <v>107</v>
      </c>
      <c r="P4041" s="2" t="s">
        <v>107</v>
      </c>
      <c r="Q4041" s="2" t="str">
        <f>"253-C/10"</f>
        <v>253-C/10</v>
      </c>
      <c r="R4041" s="2" t="s">
        <v>4136</v>
      </c>
      <c r="S4041" s="2"/>
      <c r="T4041" s="2">
        <v>1</v>
      </c>
      <c r="U4041" s="2" t="s">
        <v>79</v>
      </c>
      <c r="V4041" s="2">
        <v>1</v>
      </c>
      <c r="W4041" s="2" t="s">
        <v>80</v>
      </c>
      <c r="X4041" s="2">
        <v>1</v>
      </c>
      <c r="Y4041" s="2" t="s">
        <v>81</v>
      </c>
      <c r="Z4041" s="2">
        <v>1</v>
      </c>
      <c r="AA4041" s="2" t="s">
        <v>82</v>
      </c>
      <c r="AB4041" s="2">
        <v>9</v>
      </c>
      <c r="AC4041" s="2" t="s">
        <v>124</v>
      </c>
      <c r="AD4041" s="3">
        <v>40450</v>
      </c>
      <c r="AE4041" s="4">
        <v>0.52083333333333337</v>
      </c>
      <c r="AF4041" s="2"/>
      <c r="AG4041" s="2"/>
      <c r="AH4041" s="2">
        <v>2</v>
      </c>
      <c r="AI4041" s="2" t="s">
        <v>84</v>
      </c>
      <c r="AJ4041" s="2">
        <v>9</v>
      </c>
      <c r="AK4041" s="2" t="s">
        <v>103</v>
      </c>
      <c r="AL4041" s="2">
        <v>24</v>
      </c>
      <c r="AM4041" s="2" t="s">
        <v>1540</v>
      </c>
      <c r="AN4041" s="2" t="s">
        <v>12726</v>
      </c>
      <c r="AO4041" s="2"/>
      <c r="AP4041" s="2">
        <v>11</v>
      </c>
      <c r="AQ4041" s="2" t="s">
        <v>82</v>
      </c>
      <c r="AR4041" s="2"/>
      <c r="AS4041" s="2"/>
      <c r="AT4041" s="2" t="s">
        <v>12727</v>
      </c>
      <c r="AU4041" s="2"/>
      <c r="AV4041" s="2"/>
      <c r="AW4041" s="2"/>
      <c r="AX4041" s="2"/>
      <c r="AY4041" s="2">
        <v>41</v>
      </c>
      <c r="AZ4041" s="2" t="s">
        <v>82</v>
      </c>
      <c r="BA4041" s="2">
        <v>41</v>
      </c>
      <c r="BB4041" s="2" t="s">
        <v>82</v>
      </c>
      <c r="BC4041" s="2">
        <v>41</v>
      </c>
      <c r="BD4041" s="2" t="s">
        <v>82</v>
      </c>
      <c r="BE4041" s="2">
        <v>41</v>
      </c>
      <c r="BF4041" s="2" t="s">
        <v>82</v>
      </c>
      <c r="BG4041" s="2"/>
      <c r="BH4041" s="2"/>
      <c r="BI4041" s="2"/>
      <c r="BJ4041" s="2">
        <v>241</v>
      </c>
      <c r="BK4041" s="2" t="s">
        <v>82</v>
      </c>
      <c r="BL4041" s="2"/>
      <c r="BM4041" s="2">
        <v>241</v>
      </c>
      <c r="BN4041" s="2" t="s">
        <v>82</v>
      </c>
      <c r="BO4041" s="2"/>
      <c r="BP4041" s="2">
        <v>241</v>
      </c>
      <c r="BQ4041" s="2" t="s">
        <v>82</v>
      </c>
      <c r="BR4041" s="2"/>
      <c r="BS4041" s="3">
        <v>40452</v>
      </c>
      <c r="BT4041" s="4">
        <v>0.70825231481481488</v>
      </c>
    </row>
    <row r="4042" spans="1:72" x14ac:dyDescent="0.25">
      <c r="A4042" s="2">
        <v>6056</v>
      </c>
      <c r="B4042" s="2">
        <v>2010</v>
      </c>
      <c r="C4042" s="2" t="s">
        <v>121</v>
      </c>
      <c r="D4042" s="2" t="s">
        <v>122</v>
      </c>
      <c r="E4042" s="2" t="s">
        <v>12728</v>
      </c>
      <c r="F4042" s="2">
        <v>1</v>
      </c>
      <c r="G4042" s="2" t="s">
        <v>82</v>
      </c>
      <c r="H4042" s="2">
        <v>1</v>
      </c>
      <c r="I4042" s="2" t="s">
        <v>82</v>
      </c>
      <c r="J4042" s="2">
        <v>1</v>
      </c>
      <c r="K4042" s="2" t="s">
        <v>107</v>
      </c>
      <c r="L4042" s="2" t="s">
        <v>107</v>
      </c>
      <c r="M4042" s="3">
        <v>40452</v>
      </c>
      <c r="N4042" s="2"/>
      <c r="O4042" s="2"/>
      <c r="P4042" s="2"/>
      <c r="Q4042" s="2" t="str">
        <f>""</f>
        <v/>
      </c>
      <c r="R4042" s="2"/>
      <c r="S4042" s="2"/>
      <c r="T4042" s="2">
        <v>2</v>
      </c>
      <c r="U4042" s="2" t="s">
        <v>123</v>
      </c>
      <c r="V4042" s="2">
        <v>1</v>
      </c>
      <c r="W4042" s="2" t="s">
        <v>80</v>
      </c>
      <c r="X4042" s="2">
        <v>11</v>
      </c>
      <c r="Y4042" s="2" t="s">
        <v>1920</v>
      </c>
      <c r="Z4042" s="2">
        <v>1</v>
      </c>
      <c r="AA4042" s="2" t="s">
        <v>82</v>
      </c>
      <c r="AB4042" s="2">
        <v>9</v>
      </c>
      <c r="AC4042" s="2" t="s">
        <v>124</v>
      </c>
      <c r="AD4042" s="3">
        <v>40452</v>
      </c>
      <c r="AE4042" s="4">
        <v>0.67361111111111116</v>
      </c>
      <c r="AF4042" s="2"/>
      <c r="AG4042" s="2"/>
      <c r="AH4042" s="2">
        <v>5</v>
      </c>
      <c r="AI4042" s="2" t="s">
        <v>274</v>
      </c>
      <c r="AJ4042" s="2">
        <v>37</v>
      </c>
      <c r="AK4042" s="2" t="s">
        <v>497</v>
      </c>
      <c r="AL4042" s="2">
        <v>14</v>
      </c>
      <c r="AM4042" s="2" t="s">
        <v>216</v>
      </c>
      <c r="AN4042" s="2" t="s">
        <v>12729</v>
      </c>
      <c r="AO4042" s="2" t="s">
        <v>11156</v>
      </c>
      <c r="AP4042" s="2">
        <v>11</v>
      </c>
      <c r="AQ4042" s="2" t="s">
        <v>82</v>
      </c>
      <c r="AR4042" s="2"/>
      <c r="AS4042" s="2"/>
      <c r="AT4042" s="2" t="s">
        <v>12730</v>
      </c>
      <c r="AU4042" s="2"/>
      <c r="AV4042" s="2"/>
      <c r="AW4042" s="2"/>
      <c r="AX4042" s="2"/>
      <c r="AY4042" s="2">
        <v>41</v>
      </c>
      <c r="AZ4042" s="2" t="s">
        <v>82</v>
      </c>
      <c r="BA4042" s="2">
        <v>41</v>
      </c>
      <c r="BB4042" s="2" t="s">
        <v>82</v>
      </c>
      <c r="BC4042" s="2">
        <v>41</v>
      </c>
      <c r="BD4042" s="2" t="s">
        <v>82</v>
      </c>
      <c r="BE4042" s="2">
        <v>52</v>
      </c>
      <c r="BF4042" s="2" t="s">
        <v>1185</v>
      </c>
      <c r="BG4042" s="2"/>
      <c r="BH4042" s="4">
        <v>0.47916666666666669</v>
      </c>
      <c r="BI4042" s="4">
        <v>0.67361111111111116</v>
      </c>
      <c r="BJ4042" s="2">
        <v>13</v>
      </c>
      <c r="BK4042" s="2" t="s">
        <v>91</v>
      </c>
      <c r="BL4042" s="2" t="s">
        <v>1552</v>
      </c>
      <c r="BM4042" s="2">
        <v>13</v>
      </c>
      <c r="BN4042" s="2" t="s">
        <v>91</v>
      </c>
      <c r="BO4042" s="2"/>
      <c r="BP4042" s="2">
        <v>13</v>
      </c>
      <c r="BQ4042" s="2" t="s">
        <v>91</v>
      </c>
      <c r="BR4042" s="2" t="s">
        <v>170</v>
      </c>
      <c r="BS4042" s="3">
        <v>40452</v>
      </c>
      <c r="BT4042" s="4">
        <v>0.71884259259259264</v>
      </c>
    </row>
    <row r="4043" spans="1:72" x14ac:dyDescent="0.25">
      <c r="A4043" s="2">
        <v>6057</v>
      </c>
      <c r="B4043" s="2">
        <v>2010</v>
      </c>
      <c r="C4043" s="2" t="s">
        <v>377</v>
      </c>
      <c r="D4043" s="2" t="s">
        <v>73</v>
      </c>
      <c r="E4043" s="2"/>
      <c r="F4043" s="2">
        <v>426</v>
      </c>
      <c r="G4043" s="2" t="s">
        <v>378</v>
      </c>
      <c r="H4043" s="2">
        <v>22</v>
      </c>
      <c r="I4043" s="2" t="s">
        <v>75</v>
      </c>
      <c r="J4043" s="2">
        <v>311</v>
      </c>
      <c r="K4043" s="2" t="s">
        <v>379</v>
      </c>
      <c r="L4043" s="2" t="s">
        <v>380</v>
      </c>
      <c r="M4043" s="3">
        <v>40452</v>
      </c>
      <c r="N4043" s="2" t="s">
        <v>7171</v>
      </c>
      <c r="O4043" s="2" t="s">
        <v>107</v>
      </c>
      <c r="P4043" s="2" t="s">
        <v>107</v>
      </c>
      <c r="Q4043" s="2" t="str">
        <f>"256-C/10"</f>
        <v>256-C/10</v>
      </c>
      <c r="R4043" s="2" t="s">
        <v>12526</v>
      </c>
      <c r="S4043" s="2"/>
      <c r="T4043" s="2">
        <v>1</v>
      </c>
      <c r="U4043" s="2" t="s">
        <v>79</v>
      </c>
      <c r="V4043" s="2">
        <v>1</v>
      </c>
      <c r="W4043" s="2" t="s">
        <v>80</v>
      </c>
      <c r="X4043" s="2">
        <v>1</v>
      </c>
      <c r="Y4043" s="2" t="s">
        <v>81</v>
      </c>
      <c r="Z4043" s="2">
        <v>10</v>
      </c>
      <c r="AA4043" s="2" t="s">
        <v>236</v>
      </c>
      <c r="AB4043" s="2">
        <v>9</v>
      </c>
      <c r="AC4043" s="2" t="s">
        <v>124</v>
      </c>
      <c r="AD4043" s="3">
        <v>40451</v>
      </c>
      <c r="AE4043" s="2"/>
      <c r="AF4043" s="2"/>
      <c r="AG4043" s="2"/>
      <c r="AH4043" s="2">
        <v>2</v>
      </c>
      <c r="AI4043" s="2" t="s">
        <v>84</v>
      </c>
      <c r="AJ4043" s="2">
        <v>9</v>
      </c>
      <c r="AK4043" s="2" t="s">
        <v>103</v>
      </c>
      <c r="AL4043" s="2">
        <v>29</v>
      </c>
      <c r="AM4043" s="2" t="s">
        <v>5416</v>
      </c>
      <c r="AN4043" s="2"/>
      <c r="AO4043" s="2" t="s">
        <v>10971</v>
      </c>
      <c r="AP4043" s="2">
        <v>11</v>
      </c>
      <c r="AQ4043" s="2" t="s">
        <v>82</v>
      </c>
      <c r="AR4043" s="2"/>
      <c r="AS4043" s="2"/>
      <c r="AT4043" s="2" t="s">
        <v>12731</v>
      </c>
      <c r="AU4043" s="2"/>
      <c r="AV4043" s="2"/>
      <c r="AW4043" s="2"/>
      <c r="AX4043" s="2"/>
      <c r="AY4043" s="2">
        <v>41</v>
      </c>
      <c r="AZ4043" s="2" t="s">
        <v>82</v>
      </c>
      <c r="BA4043" s="2">
        <v>41</v>
      </c>
      <c r="BB4043" s="2" t="s">
        <v>82</v>
      </c>
      <c r="BC4043" s="2">
        <v>41</v>
      </c>
      <c r="BD4043" s="2" t="s">
        <v>82</v>
      </c>
      <c r="BE4043" s="2">
        <v>41</v>
      </c>
      <c r="BF4043" s="2" t="s">
        <v>82</v>
      </c>
      <c r="BG4043" s="2"/>
      <c r="BH4043" s="2"/>
      <c r="BI4043" s="2"/>
      <c r="BJ4043" s="2">
        <v>241</v>
      </c>
      <c r="BK4043" s="2" t="s">
        <v>82</v>
      </c>
      <c r="BL4043" s="2"/>
      <c r="BM4043" s="2">
        <v>241</v>
      </c>
      <c r="BN4043" s="2" t="s">
        <v>82</v>
      </c>
      <c r="BO4043" s="2"/>
      <c r="BP4043" s="2">
        <v>241</v>
      </c>
      <c r="BQ4043" s="2" t="s">
        <v>82</v>
      </c>
      <c r="BR4043" s="2"/>
      <c r="BS4043" s="3">
        <v>40452</v>
      </c>
      <c r="BT4043" s="4">
        <v>0.72936342592592596</v>
      </c>
    </row>
    <row r="4044" spans="1:72" x14ac:dyDescent="0.25">
      <c r="A4044" s="2">
        <v>6060</v>
      </c>
      <c r="B4044" s="2">
        <v>2010</v>
      </c>
      <c r="C4044" s="2" t="s">
        <v>377</v>
      </c>
      <c r="D4044" s="2" t="s">
        <v>73</v>
      </c>
      <c r="E4044" s="2"/>
      <c r="F4044" s="2">
        <v>426</v>
      </c>
      <c r="G4044" s="2" t="s">
        <v>378</v>
      </c>
      <c r="H4044" s="2">
        <v>22</v>
      </c>
      <c r="I4044" s="2" t="s">
        <v>75</v>
      </c>
      <c r="J4044" s="2">
        <v>311</v>
      </c>
      <c r="K4044" s="2" t="s">
        <v>379</v>
      </c>
      <c r="L4044" s="2" t="s">
        <v>380</v>
      </c>
      <c r="M4044" s="3">
        <v>40452</v>
      </c>
      <c r="N4044" s="2" t="s">
        <v>7171</v>
      </c>
      <c r="O4044" s="2"/>
      <c r="P4044" s="2"/>
      <c r="Q4044" s="2" t="str">
        <f>"257-C/10"</f>
        <v>257-C/10</v>
      </c>
      <c r="R4044" s="2" t="s">
        <v>12526</v>
      </c>
      <c r="S4044" s="2"/>
      <c r="T4044" s="2">
        <v>1</v>
      </c>
      <c r="U4044" s="2" t="s">
        <v>79</v>
      </c>
      <c r="V4044" s="2">
        <v>1</v>
      </c>
      <c r="W4044" s="2" t="s">
        <v>80</v>
      </c>
      <c r="X4044" s="2">
        <v>1</v>
      </c>
      <c r="Y4044" s="2" t="s">
        <v>81</v>
      </c>
      <c r="Z4044" s="2">
        <v>10</v>
      </c>
      <c r="AA4044" s="2" t="s">
        <v>236</v>
      </c>
      <c r="AB4044" s="2">
        <v>9</v>
      </c>
      <c r="AC4044" s="2" t="s">
        <v>124</v>
      </c>
      <c r="AD4044" s="3">
        <v>40451</v>
      </c>
      <c r="AE4044" s="4">
        <v>0.51041666666666663</v>
      </c>
      <c r="AF4044" s="3">
        <v>40451</v>
      </c>
      <c r="AG4044" s="2"/>
      <c r="AH4044" s="2">
        <v>2</v>
      </c>
      <c r="AI4044" s="2" t="s">
        <v>84</v>
      </c>
      <c r="AJ4044" s="2">
        <v>9</v>
      </c>
      <c r="AK4044" s="2" t="s">
        <v>103</v>
      </c>
      <c r="AL4044" s="2">
        <v>29</v>
      </c>
      <c r="AM4044" s="2" t="s">
        <v>5416</v>
      </c>
      <c r="AN4044" s="2"/>
      <c r="AO4044" s="2" t="s">
        <v>12732</v>
      </c>
      <c r="AP4044" s="2">
        <v>11</v>
      </c>
      <c r="AQ4044" s="2" t="s">
        <v>82</v>
      </c>
      <c r="AR4044" s="2"/>
      <c r="AS4044" s="2"/>
      <c r="AT4044" s="2" t="s">
        <v>12733</v>
      </c>
      <c r="AU4044" s="2"/>
      <c r="AV4044" s="2"/>
      <c r="AW4044" s="2"/>
      <c r="AX4044" s="2"/>
      <c r="AY4044" s="2">
        <v>41</v>
      </c>
      <c r="AZ4044" s="2" t="s">
        <v>82</v>
      </c>
      <c r="BA4044" s="2">
        <v>41</v>
      </c>
      <c r="BB4044" s="2" t="s">
        <v>82</v>
      </c>
      <c r="BC4044" s="2">
        <v>41</v>
      </c>
      <c r="BD4044" s="2" t="s">
        <v>82</v>
      </c>
      <c r="BE4044" s="2">
        <v>41</v>
      </c>
      <c r="BF4044" s="2" t="s">
        <v>82</v>
      </c>
      <c r="BG4044" s="2"/>
      <c r="BH4044" s="2"/>
      <c r="BI4044" s="2"/>
      <c r="BJ4044" s="2">
        <v>241</v>
      </c>
      <c r="BK4044" s="2" t="s">
        <v>82</v>
      </c>
      <c r="BL4044" s="2"/>
      <c r="BM4044" s="2">
        <v>241</v>
      </c>
      <c r="BN4044" s="2" t="s">
        <v>82</v>
      </c>
      <c r="BO4044" s="2"/>
      <c r="BP4044" s="2">
        <v>241</v>
      </c>
      <c r="BQ4044" s="2" t="s">
        <v>82</v>
      </c>
      <c r="BR4044" s="2"/>
      <c r="BS4044" s="3">
        <v>40452</v>
      </c>
      <c r="BT4044" s="4">
        <v>0.74791666666666667</v>
      </c>
    </row>
    <row r="4045" spans="1:72" x14ac:dyDescent="0.25">
      <c r="A4045" s="2">
        <v>6061</v>
      </c>
      <c r="B4045" s="2">
        <v>2010</v>
      </c>
      <c r="C4045" s="2" t="s">
        <v>377</v>
      </c>
      <c r="D4045" s="2" t="s">
        <v>73</v>
      </c>
      <c r="E4045" s="2"/>
      <c r="F4045" s="2">
        <v>426</v>
      </c>
      <c r="G4045" s="2" t="s">
        <v>378</v>
      </c>
      <c r="H4045" s="2">
        <v>22</v>
      </c>
      <c r="I4045" s="2" t="s">
        <v>75</v>
      </c>
      <c r="J4045" s="2">
        <v>311</v>
      </c>
      <c r="K4045" s="2" t="s">
        <v>379</v>
      </c>
      <c r="L4045" s="2" t="s">
        <v>380</v>
      </c>
      <c r="M4045" s="3">
        <v>40452</v>
      </c>
      <c r="N4045" s="2" t="s">
        <v>7171</v>
      </c>
      <c r="O4045" s="2"/>
      <c r="P4045" s="2"/>
      <c r="Q4045" s="2" t="str">
        <f>"258-C/10"</f>
        <v>258-C/10</v>
      </c>
      <c r="R4045" s="2" t="s">
        <v>4136</v>
      </c>
      <c r="S4045" s="2"/>
      <c r="T4045" s="2">
        <v>1</v>
      </c>
      <c r="U4045" s="2" t="s">
        <v>79</v>
      </c>
      <c r="V4045" s="2">
        <v>1</v>
      </c>
      <c r="W4045" s="2" t="s">
        <v>80</v>
      </c>
      <c r="X4045" s="2">
        <v>1</v>
      </c>
      <c r="Y4045" s="2" t="s">
        <v>81</v>
      </c>
      <c r="Z4045" s="2">
        <v>1</v>
      </c>
      <c r="AA4045" s="2" t="s">
        <v>82</v>
      </c>
      <c r="AB4045" s="2">
        <v>9</v>
      </c>
      <c r="AC4045" s="2" t="s">
        <v>124</v>
      </c>
      <c r="AD4045" s="3">
        <v>40451</v>
      </c>
      <c r="AE4045" s="4">
        <v>0.5</v>
      </c>
      <c r="AF4045" s="2"/>
      <c r="AG4045" s="2"/>
      <c r="AH4045" s="2">
        <v>2</v>
      </c>
      <c r="AI4045" s="2" t="s">
        <v>84</v>
      </c>
      <c r="AJ4045" s="2">
        <v>9</v>
      </c>
      <c r="AK4045" s="2" t="s">
        <v>103</v>
      </c>
      <c r="AL4045" s="2">
        <v>29</v>
      </c>
      <c r="AM4045" s="2" t="s">
        <v>5416</v>
      </c>
      <c r="AN4045" s="2"/>
      <c r="AO4045" s="2" t="s">
        <v>12732</v>
      </c>
      <c r="AP4045" s="2">
        <v>11</v>
      </c>
      <c r="AQ4045" s="2" t="s">
        <v>82</v>
      </c>
      <c r="AR4045" s="2"/>
      <c r="AS4045" s="2"/>
      <c r="AT4045" s="2" t="s">
        <v>12734</v>
      </c>
      <c r="AU4045" s="2"/>
      <c r="AV4045" s="2"/>
      <c r="AW4045" s="2"/>
      <c r="AX4045" s="2"/>
      <c r="AY4045" s="2">
        <v>41</v>
      </c>
      <c r="AZ4045" s="2" t="s">
        <v>82</v>
      </c>
      <c r="BA4045" s="2">
        <v>41</v>
      </c>
      <c r="BB4045" s="2" t="s">
        <v>82</v>
      </c>
      <c r="BC4045" s="2">
        <v>41</v>
      </c>
      <c r="BD4045" s="2" t="s">
        <v>82</v>
      </c>
      <c r="BE4045" s="2">
        <v>41</v>
      </c>
      <c r="BF4045" s="2" t="s">
        <v>82</v>
      </c>
      <c r="BG4045" s="2"/>
      <c r="BH4045" s="2"/>
      <c r="BI4045" s="2"/>
      <c r="BJ4045" s="2">
        <v>241</v>
      </c>
      <c r="BK4045" s="2" t="s">
        <v>82</v>
      </c>
      <c r="BL4045" s="2"/>
      <c r="BM4045" s="2">
        <v>241</v>
      </c>
      <c r="BN4045" s="2" t="s">
        <v>82</v>
      </c>
      <c r="BO4045" s="2"/>
      <c r="BP4045" s="2">
        <v>241</v>
      </c>
      <c r="BQ4045" s="2" t="s">
        <v>82</v>
      </c>
      <c r="BR4045" s="2"/>
      <c r="BS4045" s="3">
        <v>40452</v>
      </c>
      <c r="BT4045" s="4">
        <v>0.76501157407407405</v>
      </c>
    </row>
    <row r="4046" spans="1:72" x14ac:dyDescent="0.25">
      <c r="A4046" s="2">
        <v>6063</v>
      </c>
      <c r="B4046" s="2">
        <v>2010</v>
      </c>
      <c r="C4046" s="2" t="s">
        <v>377</v>
      </c>
      <c r="D4046" s="2" t="s">
        <v>73</v>
      </c>
      <c r="E4046" s="2"/>
      <c r="F4046" s="2">
        <v>426</v>
      </c>
      <c r="G4046" s="2" t="s">
        <v>378</v>
      </c>
      <c r="H4046" s="2">
        <v>22</v>
      </c>
      <c r="I4046" s="2" t="s">
        <v>75</v>
      </c>
      <c r="J4046" s="2">
        <v>311</v>
      </c>
      <c r="K4046" s="2" t="s">
        <v>379</v>
      </c>
      <c r="L4046" s="2" t="s">
        <v>380</v>
      </c>
      <c r="M4046" s="3">
        <v>40452</v>
      </c>
      <c r="N4046" s="2" t="s">
        <v>7171</v>
      </c>
      <c r="O4046" s="2"/>
      <c r="P4046" s="2"/>
      <c r="Q4046" s="2" t="str">
        <f>"259-C/10"</f>
        <v>259-C/10</v>
      </c>
      <c r="R4046" s="2" t="s">
        <v>4136</v>
      </c>
      <c r="S4046" s="2"/>
      <c r="T4046" s="2">
        <v>1</v>
      </c>
      <c r="U4046" s="2" t="s">
        <v>79</v>
      </c>
      <c r="V4046" s="2">
        <v>1</v>
      </c>
      <c r="W4046" s="2" t="s">
        <v>80</v>
      </c>
      <c r="X4046" s="2">
        <v>1</v>
      </c>
      <c r="Y4046" s="2" t="s">
        <v>81</v>
      </c>
      <c r="Z4046" s="2">
        <v>1</v>
      </c>
      <c r="AA4046" s="2" t="s">
        <v>82</v>
      </c>
      <c r="AB4046" s="2">
        <v>9</v>
      </c>
      <c r="AC4046" s="2" t="s">
        <v>124</v>
      </c>
      <c r="AD4046" s="3">
        <v>40451</v>
      </c>
      <c r="AE4046" s="4">
        <v>0.75</v>
      </c>
      <c r="AF4046" s="2"/>
      <c r="AG4046" s="2"/>
      <c r="AH4046" s="2">
        <v>2</v>
      </c>
      <c r="AI4046" s="2" t="s">
        <v>84</v>
      </c>
      <c r="AJ4046" s="2">
        <v>9</v>
      </c>
      <c r="AK4046" s="2" t="s">
        <v>103</v>
      </c>
      <c r="AL4046" s="2">
        <v>29</v>
      </c>
      <c r="AM4046" s="2" t="s">
        <v>5416</v>
      </c>
      <c r="AN4046" s="2"/>
      <c r="AO4046" s="2" t="s">
        <v>12735</v>
      </c>
      <c r="AP4046" s="2">
        <v>11</v>
      </c>
      <c r="AQ4046" s="2" t="s">
        <v>82</v>
      </c>
      <c r="AR4046" s="2"/>
      <c r="AS4046" s="2"/>
      <c r="AT4046" s="2" t="s">
        <v>12736</v>
      </c>
      <c r="AU4046" s="2"/>
      <c r="AV4046" s="2"/>
      <c r="AW4046" s="2"/>
      <c r="AX4046" s="2"/>
      <c r="AY4046" s="2">
        <v>41</v>
      </c>
      <c r="AZ4046" s="2" t="s">
        <v>82</v>
      </c>
      <c r="BA4046" s="2">
        <v>41</v>
      </c>
      <c r="BB4046" s="2" t="s">
        <v>82</v>
      </c>
      <c r="BC4046" s="2">
        <v>41</v>
      </c>
      <c r="BD4046" s="2" t="s">
        <v>82</v>
      </c>
      <c r="BE4046" s="2">
        <v>41</v>
      </c>
      <c r="BF4046" s="2" t="s">
        <v>82</v>
      </c>
      <c r="BG4046" s="2"/>
      <c r="BH4046" s="2"/>
      <c r="BI4046" s="2"/>
      <c r="BJ4046" s="2">
        <v>241</v>
      </c>
      <c r="BK4046" s="2" t="s">
        <v>82</v>
      </c>
      <c r="BL4046" s="2"/>
      <c r="BM4046" s="2">
        <v>241</v>
      </c>
      <c r="BN4046" s="2" t="s">
        <v>82</v>
      </c>
      <c r="BO4046" s="2"/>
      <c r="BP4046" s="2">
        <v>241</v>
      </c>
      <c r="BQ4046" s="2" t="s">
        <v>82</v>
      </c>
      <c r="BR4046" s="2"/>
      <c r="BS4046" s="3">
        <v>40452</v>
      </c>
      <c r="BT4046" s="4">
        <v>0.78195601851851848</v>
      </c>
    </row>
    <row r="4047" spans="1:72" x14ac:dyDescent="0.25">
      <c r="A4047" s="2">
        <v>6067</v>
      </c>
      <c r="B4047" s="2">
        <v>2010</v>
      </c>
      <c r="C4047" s="2" t="s">
        <v>72</v>
      </c>
      <c r="D4047" s="2" t="s">
        <v>73</v>
      </c>
      <c r="E4047" s="2"/>
      <c r="F4047" s="2">
        <v>188</v>
      </c>
      <c r="G4047" s="2" t="s">
        <v>11384</v>
      </c>
      <c r="H4047" s="2">
        <v>108</v>
      </c>
      <c r="I4047" s="2" t="s">
        <v>1096</v>
      </c>
      <c r="J4047" s="2">
        <v>671</v>
      </c>
      <c r="K4047" s="2" t="s">
        <v>12737</v>
      </c>
      <c r="L4047" s="2" t="s">
        <v>12738</v>
      </c>
      <c r="M4047" s="3">
        <v>40452</v>
      </c>
      <c r="N4047" s="2" t="s">
        <v>12739</v>
      </c>
      <c r="O4047" s="2" t="s">
        <v>82</v>
      </c>
      <c r="P4047" s="2" t="s">
        <v>82</v>
      </c>
      <c r="Q4047" s="2" t="str">
        <f>"PS 388-A/10"</f>
        <v>PS 388-A/10</v>
      </c>
      <c r="R4047" s="2" t="s">
        <v>1547</v>
      </c>
      <c r="S4047" s="2" t="s">
        <v>1547</v>
      </c>
      <c r="T4047" s="2">
        <v>1</v>
      </c>
      <c r="U4047" s="2" t="s">
        <v>79</v>
      </c>
      <c r="V4047" s="2">
        <v>1</v>
      </c>
      <c r="W4047" s="2" t="s">
        <v>80</v>
      </c>
      <c r="X4047" s="2">
        <v>12</v>
      </c>
      <c r="Y4047" s="2" t="s">
        <v>148</v>
      </c>
      <c r="Z4047" s="2">
        <v>1</v>
      </c>
      <c r="AA4047" s="2" t="s">
        <v>82</v>
      </c>
      <c r="AB4047" s="2">
        <v>6</v>
      </c>
      <c r="AC4047" s="2" t="s">
        <v>83</v>
      </c>
      <c r="AD4047" s="3">
        <v>40447</v>
      </c>
      <c r="AE4047" s="2"/>
      <c r="AF4047" s="3">
        <v>40452</v>
      </c>
      <c r="AG4047" s="4">
        <v>0.77430555555555547</v>
      </c>
      <c r="AH4047" s="2">
        <v>2</v>
      </c>
      <c r="AI4047" s="2" t="s">
        <v>84</v>
      </c>
      <c r="AJ4047" s="2">
        <v>12</v>
      </c>
      <c r="AK4047" s="2" t="s">
        <v>85</v>
      </c>
      <c r="AL4047" s="2">
        <v>22</v>
      </c>
      <c r="AM4047" s="2" t="s">
        <v>1853</v>
      </c>
      <c r="AN4047" s="2" t="s">
        <v>82</v>
      </c>
      <c r="AO4047" s="2" t="s">
        <v>12740</v>
      </c>
      <c r="AP4047" s="2">
        <v>11</v>
      </c>
      <c r="AQ4047" s="2" t="s">
        <v>82</v>
      </c>
      <c r="AR4047" s="2" t="s">
        <v>82</v>
      </c>
      <c r="AS4047" s="2" t="s">
        <v>82</v>
      </c>
      <c r="AT4047" s="2" t="s">
        <v>12741</v>
      </c>
      <c r="AU4047" s="2"/>
      <c r="AV4047" s="2"/>
      <c r="AW4047" s="2"/>
      <c r="AX4047" s="2"/>
      <c r="AY4047" s="2">
        <v>41</v>
      </c>
      <c r="AZ4047" s="2" t="s">
        <v>82</v>
      </c>
      <c r="BA4047" s="2">
        <v>41</v>
      </c>
      <c r="BB4047" s="2" t="s">
        <v>82</v>
      </c>
      <c r="BC4047" s="2">
        <v>41</v>
      </c>
      <c r="BD4047" s="2" t="s">
        <v>82</v>
      </c>
      <c r="BE4047" s="2">
        <v>13</v>
      </c>
      <c r="BF4047" s="2" t="s">
        <v>108</v>
      </c>
      <c r="BG4047" s="2" t="s">
        <v>12742</v>
      </c>
      <c r="BH4047" s="4">
        <v>0.50694444444444442</v>
      </c>
      <c r="BI4047" s="4">
        <v>0.38194444444444442</v>
      </c>
      <c r="BJ4047" s="2">
        <v>13</v>
      </c>
      <c r="BK4047" s="2" t="s">
        <v>91</v>
      </c>
      <c r="BL4047" s="2" t="s">
        <v>564</v>
      </c>
      <c r="BM4047" s="2">
        <v>13</v>
      </c>
      <c r="BN4047" s="2" t="s">
        <v>91</v>
      </c>
      <c r="BO4047" s="2"/>
      <c r="BP4047" s="2">
        <v>13</v>
      </c>
      <c r="BQ4047" s="2" t="s">
        <v>91</v>
      </c>
      <c r="BR4047" s="2" t="s">
        <v>332</v>
      </c>
      <c r="BS4047" s="3">
        <v>40452</v>
      </c>
      <c r="BT4047" s="4">
        <v>0.98115740740740742</v>
      </c>
    </row>
    <row r="4048" spans="1:72" x14ac:dyDescent="0.25">
      <c r="A4048" s="2">
        <v>6068</v>
      </c>
      <c r="B4048" s="2">
        <v>2010</v>
      </c>
      <c r="C4048" s="2" t="s">
        <v>554</v>
      </c>
      <c r="D4048" s="2" t="s">
        <v>73</v>
      </c>
      <c r="E4048" s="2"/>
      <c r="F4048" s="2">
        <v>188</v>
      </c>
      <c r="G4048" s="2" t="s">
        <v>11384</v>
      </c>
      <c r="H4048" s="2">
        <v>108</v>
      </c>
      <c r="I4048" s="2" t="s">
        <v>1096</v>
      </c>
      <c r="J4048" s="2">
        <v>670</v>
      </c>
      <c r="K4048" s="2" t="s">
        <v>12743</v>
      </c>
      <c r="L4048" s="2" t="s">
        <v>12744</v>
      </c>
      <c r="M4048" s="3">
        <v>40453</v>
      </c>
      <c r="N4048" s="2" t="s">
        <v>12739</v>
      </c>
      <c r="O4048" s="2" t="s">
        <v>82</v>
      </c>
      <c r="P4048" s="2" t="s">
        <v>82</v>
      </c>
      <c r="Q4048" s="2" t="str">
        <f>"389-A/10"</f>
        <v>389-A/10</v>
      </c>
      <c r="R4048" s="2" t="s">
        <v>1130</v>
      </c>
      <c r="S4048" s="2" t="s">
        <v>1130</v>
      </c>
      <c r="T4048" s="2">
        <v>1</v>
      </c>
      <c r="U4048" s="2" t="s">
        <v>79</v>
      </c>
      <c r="V4048" s="2">
        <v>1</v>
      </c>
      <c r="W4048" s="2" t="s">
        <v>80</v>
      </c>
      <c r="X4048" s="2">
        <v>12</v>
      </c>
      <c r="Y4048" s="2" t="s">
        <v>148</v>
      </c>
      <c r="Z4048" s="2">
        <v>1</v>
      </c>
      <c r="AA4048" s="2" t="s">
        <v>82</v>
      </c>
      <c r="AB4048" s="2">
        <v>5</v>
      </c>
      <c r="AC4048" s="2" t="s">
        <v>559</v>
      </c>
      <c r="AD4048" s="3">
        <v>40451</v>
      </c>
      <c r="AE4048" s="2"/>
      <c r="AF4048" s="3">
        <v>40452</v>
      </c>
      <c r="AG4048" s="4">
        <v>0.83333333333333337</v>
      </c>
      <c r="AH4048" s="2">
        <v>2</v>
      </c>
      <c r="AI4048" s="2" t="s">
        <v>84</v>
      </c>
      <c r="AJ4048" s="2">
        <v>12</v>
      </c>
      <c r="AK4048" s="2" t="s">
        <v>85</v>
      </c>
      <c r="AL4048" s="2">
        <v>12</v>
      </c>
      <c r="AM4048" s="2" t="s">
        <v>86</v>
      </c>
      <c r="AN4048" s="2" t="s">
        <v>12745</v>
      </c>
      <c r="AO4048" s="2"/>
      <c r="AP4048" s="2">
        <v>11</v>
      </c>
      <c r="AQ4048" s="2" t="s">
        <v>82</v>
      </c>
      <c r="AR4048" s="2" t="s">
        <v>82</v>
      </c>
      <c r="AS4048" s="2" t="s">
        <v>82</v>
      </c>
      <c r="AT4048" s="2" t="s">
        <v>12746</v>
      </c>
      <c r="AU4048" s="2"/>
      <c r="AV4048" s="2"/>
      <c r="AW4048" s="2"/>
      <c r="AX4048" s="2"/>
      <c r="AY4048" s="2">
        <v>41</v>
      </c>
      <c r="AZ4048" s="2" t="s">
        <v>82</v>
      </c>
      <c r="BA4048" s="2">
        <v>41</v>
      </c>
      <c r="BB4048" s="2" t="s">
        <v>82</v>
      </c>
      <c r="BC4048" s="2">
        <v>41</v>
      </c>
      <c r="BD4048" s="2" t="s">
        <v>82</v>
      </c>
      <c r="BE4048" s="2">
        <v>41</v>
      </c>
      <c r="BF4048" s="2" t="s">
        <v>82</v>
      </c>
      <c r="BG4048" s="2"/>
      <c r="BH4048" s="2"/>
      <c r="BI4048" s="2"/>
      <c r="BJ4048" s="2">
        <v>241</v>
      </c>
      <c r="BK4048" s="2" t="s">
        <v>82</v>
      </c>
      <c r="BL4048" s="2"/>
      <c r="BM4048" s="2">
        <v>241</v>
      </c>
      <c r="BN4048" s="2" t="s">
        <v>82</v>
      </c>
      <c r="BO4048" s="2"/>
      <c r="BP4048" s="2">
        <v>241</v>
      </c>
      <c r="BQ4048" s="2" t="s">
        <v>82</v>
      </c>
      <c r="BR4048" s="2"/>
      <c r="BS4048" s="3">
        <v>40453</v>
      </c>
      <c r="BT4048" s="4">
        <v>3.2638888888888891E-2</v>
      </c>
    </row>
    <row r="4049" spans="1:72" x14ac:dyDescent="0.25">
      <c r="A4049" s="2">
        <v>6069</v>
      </c>
      <c r="B4049" s="2">
        <v>2010</v>
      </c>
      <c r="C4049" s="2" t="s">
        <v>2138</v>
      </c>
      <c r="D4049" s="2" t="s">
        <v>73</v>
      </c>
      <c r="E4049" s="2"/>
      <c r="F4049" s="2">
        <v>389</v>
      </c>
      <c r="G4049" s="2" t="s">
        <v>1819</v>
      </c>
      <c r="H4049" s="2">
        <v>40</v>
      </c>
      <c r="I4049" s="2" t="s">
        <v>2101</v>
      </c>
      <c r="J4049" s="2">
        <v>399</v>
      </c>
      <c r="K4049" s="2" t="s">
        <v>1820</v>
      </c>
      <c r="L4049" s="2" t="s">
        <v>1821</v>
      </c>
      <c r="M4049" s="3">
        <v>40453</v>
      </c>
      <c r="N4049" s="2" t="s">
        <v>5653</v>
      </c>
      <c r="O4049" s="2"/>
      <c r="P4049" s="2"/>
      <c r="Q4049" s="2" t="str">
        <f>"506E/10"</f>
        <v>506E/10</v>
      </c>
      <c r="R4049" s="2" t="s">
        <v>480</v>
      </c>
      <c r="S4049" s="2"/>
      <c r="T4049" s="2">
        <v>1</v>
      </c>
      <c r="U4049" s="2" t="s">
        <v>79</v>
      </c>
      <c r="V4049" s="2">
        <v>1</v>
      </c>
      <c r="W4049" s="2" t="s">
        <v>80</v>
      </c>
      <c r="X4049" s="2">
        <v>1</v>
      </c>
      <c r="Y4049" s="2" t="s">
        <v>81</v>
      </c>
      <c r="Z4049" s="2">
        <v>1</v>
      </c>
      <c r="AA4049" s="2" t="s">
        <v>82</v>
      </c>
      <c r="AB4049" s="2">
        <v>9</v>
      </c>
      <c r="AC4049" s="2" t="s">
        <v>124</v>
      </c>
      <c r="AD4049" s="3">
        <v>40452</v>
      </c>
      <c r="AE4049" s="4">
        <v>0.52083333333333337</v>
      </c>
      <c r="AF4049" s="2"/>
      <c r="AG4049" s="2"/>
      <c r="AH4049" s="2">
        <v>2</v>
      </c>
      <c r="AI4049" s="2" t="s">
        <v>84</v>
      </c>
      <c r="AJ4049" s="2">
        <v>9</v>
      </c>
      <c r="AK4049" s="2" t="s">
        <v>103</v>
      </c>
      <c r="AL4049" s="2">
        <v>14</v>
      </c>
      <c r="AM4049" s="2" t="s">
        <v>216</v>
      </c>
      <c r="AN4049" s="2" t="s">
        <v>12747</v>
      </c>
      <c r="AO4049" s="2" t="s">
        <v>12748</v>
      </c>
      <c r="AP4049" s="2">
        <v>11</v>
      </c>
      <c r="AQ4049" s="2" t="s">
        <v>82</v>
      </c>
      <c r="AR4049" s="2"/>
      <c r="AS4049" s="2"/>
      <c r="AT4049" s="2" t="s">
        <v>12749</v>
      </c>
      <c r="AU4049" s="2"/>
      <c r="AV4049" s="2"/>
      <c r="AW4049" s="2"/>
      <c r="AX4049" s="2"/>
      <c r="AY4049" s="2">
        <v>41</v>
      </c>
      <c r="AZ4049" s="2" t="s">
        <v>82</v>
      </c>
      <c r="BA4049" s="2">
        <v>41</v>
      </c>
      <c r="BB4049" s="2" t="s">
        <v>82</v>
      </c>
      <c r="BC4049" s="2">
        <v>41</v>
      </c>
      <c r="BD4049" s="2" t="s">
        <v>82</v>
      </c>
      <c r="BE4049" s="2">
        <v>41</v>
      </c>
      <c r="BF4049" s="2" t="s">
        <v>82</v>
      </c>
      <c r="BG4049" s="2"/>
      <c r="BH4049" s="2"/>
      <c r="BI4049" s="2"/>
      <c r="BJ4049" s="2">
        <v>241</v>
      </c>
      <c r="BK4049" s="2" t="s">
        <v>82</v>
      </c>
      <c r="BL4049" s="2"/>
      <c r="BM4049" s="2">
        <v>241</v>
      </c>
      <c r="BN4049" s="2" t="s">
        <v>82</v>
      </c>
      <c r="BO4049" s="2"/>
      <c r="BP4049" s="2">
        <v>241</v>
      </c>
      <c r="BQ4049" s="2" t="s">
        <v>82</v>
      </c>
      <c r="BR4049" s="2"/>
      <c r="BS4049" s="3">
        <v>40453</v>
      </c>
      <c r="BT4049" s="4">
        <v>3.3993055555555561E-2</v>
      </c>
    </row>
    <row r="4050" spans="1:72" x14ac:dyDescent="0.25">
      <c r="A4050" s="2">
        <v>6070</v>
      </c>
      <c r="B4050" s="2">
        <v>2010</v>
      </c>
      <c r="C4050" s="2" t="s">
        <v>1660</v>
      </c>
      <c r="D4050" s="2" t="s">
        <v>73</v>
      </c>
      <c r="E4050" s="2"/>
      <c r="F4050" s="2">
        <v>389</v>
      </c>
      <c r="G4050" s="2" t="s">
        <v>1819</v>
      </c>
      <c r="H4050" s="2">
        <v>40</v>
      </c>
      <c r="I4050" s="2" t="s">
        <v>2101</v>
      </c>
      <c r="J4050" s="2">
        <v>399</v>
      </c>
      <c r="K4050" s="2" t="s">
        <v>1820</v>
      </c>
      <c r="L4050" s="2" t="s">
        <v>1821</v>
      </c>
      <c r="M4050" s="3">
        <v>40453</v>
      </c>
      <c r="N4050" s="2" t="s">
        <v>12697</v>
      </c>
      <c r="O4050" s="2"/>
      <c r="P4050" s="2" t="s">
        <v>107</v>
      </c>
      <c r="Q4050" s="2" t="str">
        <f>"507-E/10"</f>
        <v>507-E/10</v>
      </c>
      <c r="R4050" s="2" t="s">
        <v>12750</v>
      </c>
      <c r="S4050" s="2" t="s">
        <v>12750</v>
      </c>
      <c r="T4050" s="2">
        <v>1</v>
      </c>
      <c r="U4050" s="2" t="s">
        <v>79</v>
      </c>
      <c r="V4050" s="2">
        <v>1</v>
      </c>
      <c r="W4050" s="2" t="s">
        <v>80</v>
      </c>
      <c r="X4050" s="2">
        <v>10</v>
      </c>
      <c r="Y4050" s="2" t="s">
        <v>226</v>
      </c>
      <c r="Z4050" s="2">
        <v>6</v>
      </c>
      <c r="AA4050" s="2" t="s">
        <v>101</v>
      </c>
      <c r="AB4050" s="2">
        <v>3</v>
      </c>
      <c r="AC4050" s="2" t="s">
        <v>1663</v>
      </c>
      <c r="AD4050" s="3">
        <v>40452</v>
      </c>
      <c r="AE4050" s="2"/>
      <c r="AF4050" s="3">
        <v>40452</v>
      </c>
      <c r="AG4050" s="4">
        <v>0.71180555555555547</v>
      </c>
      <c r="AH4050" s="2">
        <v>2</v>
      </c>
      <c r="AI4050" s="2" t="s">
        <v>84</v>
      </c>
      <c r="AJ4050" s="2">
        <v>9</v>
      </c>
      <c r="AK4050" s="2" t="s">
        <v>103</v>
      </c>
      <c r="AL4050" s="2">
        <v>25</v>
      </c>
      <c r="AM4050" s="2" t="s">
        <v>3073</v>
      </c>
      <c r="AN4050" s="2" t="s">
        <v>987</v>
      </c>
      <c r="AO4050" s="2" t="s">
        <v>12751</v>
      </c>
      <c r="AP4050" s="2">
        <v>11</v>
      </c>
      <c r="AQ4050" s="2" t="s">
        <v>82</v>
      </c>
      <c r="AR4050" s="2"/>
      <c r="AS4050" s="2"/>
      <c r="AT4050" s="2" t="s">
        <v>12752</v>
      </c>
      <c r="AU4050" s="2">
        <v>1</v>
      </c>
      <c r="AV4050" s="2"/>
      <c r="AW4050" s="2"/>
      <c r="AX4050" s="2"/>
      <c r="AY4050" s="2">
        <v>41</v>
      </c>
      <c r="AZ4050" s="2" t="s">
        <v>82</v>
      </c>
      <c r="BA4050" s="2">
        <v>41</v>
      </c>
      <c r="BB4050" s="2" t="s">
        <v>82</v>
      </c>
      <c r="BC4050" s="2">
        <v>41</v>
      </c>
      <c r="BD4050" s="2" t="s">
        <v>82</v>
      </c>
      <c r="BE4050" s="2">
        <v>41</v>
      </c>
      <c r="BF4050" s="2" t="s">
        <v>82</v>
      </c>
      <c r="BG4050" s="2"/>
      <c r="BH4050" s="2"/>
      <c r="BI4050" s="2"/>
      <c r="BJ4050" s="2">
        <v>241</v>
      </c>
      <c r="BK4050" s="2" t="s">
        <v>82</v>
      </c>
      <c r="BL4050" s="2"/>
      <c r="BM4050" s="2">
        <v>241</v>
      </c>
      <c r="BN4050" s="2" t="s">
        <v>82</v>
      </c>
      <c r="BO4050" s="2"/>
      <c r="BP4050" s="2">
        <v>241</v>
      </c>
      <c r="BQ4050" s="2" t="s">
        <v>82</v>
      </c>
      <c r="BR4050" s="2"/>
      <c r="BS4050" s="3">
        <v>40453</v>
      </c>
      <c r="BT4050" s="4">
        <v>4.9537037037037039E-2</v>
      </c>
    </row>
    <row r="4051" spans="1:72" x14ac:dyDescent="0.25">
      <c r="A4051" s="2">
        <v>6071</v>
      </c>
      <c r="B4051" s="2">
        <v>2010</v>
      </c>
      <c r="C4051" s="2" t="s">
        <v>171</v>
      </c>
      <c r="D4051" s="2" t="s">
        <v>73</v>
      </c>
      <c r="E4051" s="2"/>
      <c r="F4051" s="2">
        <v>396</v>
      </c>
      <c r="G4051" s="2" t="s">
        <v>2159</v>
      </c>
      <c r="H4051" s="2">
        <v>8</v>
      </c>
      <c r="I4051" s="2" t="s">
        <v>3451</v>
      </c>
      <c r="J4051" s="2">
        <v>243</v>
      </c>
      <c r="K4051" s="2" t="s">
        <v>2160</v>
      </c>
      <c r="L4051" s="2" t="s">
        <v>2145</v>
      </c>
      <c r="M4051" s="3">
        <v>40453</v>
      </c>
      <c r="N4051" s="2" t="s">
        <v>12753</v>
      </c>
      <c r="O4051" s="2"/>
      <c r="P4051" s="2"/>
      <c r="Q4051" s="2" t="str">
        <f>"508-E/10"</f>
        <v>508-E/10</v>
      </c>
      <c r="R4051" s="2" t="s">
        <v>391</v>
      </c>
      <c r="S4051" s="2" t="s">
        <v>391</v>
      </c>
      <c r="T4051" s="2">
        <v>1</v>
      </c>
      <c r="U4051" s="2" t="s">
        <v>79</v>
      </c>
      <c r="V4051" s="2">
        <v>1</v>
      </c>
      <c r="W4051" s="2" t="s">
        <v>80</v>
      </c>
      <c r="X4051" s="2">
        <v>1</v>
      </c>
      <c r="Y4051" s="2" t="s">
        <v>81</v>
      </c>
      <c r="Z4051" s="2">
        <v>1</v>
      </c>
      <c r="AA4051" s="2" t="s">
        <v>82</v>
      </c>
      <c r="AB4051" s="2">
        <v>1</v>
      </c>
      <c r="AC4051" s="2" t="s">
        <v>178</v>
      </c>
      <c r="AD4051" s="3">
        <v>40452</v>
      </c>
      <c r="AE4051" s="4">
        <v>0.74305555555555547</v>
      </c>
      <c r="AF4051" s="2"/>
      <c r="AG4051" s="2"/>
      <c r="AH4051" s="2">
        <v>2</v>
      </c>
      <c r="AI4051" s="2" t="s">
        <v>84</v>
      </c>
      <c r="AJ4051" s="2">
        <v>9</v>
      </c>
      <c r="AK4051" s="2" t="s">
        <v>103</v>
      </c>
      <c r="AL4051" s="2">
        <v>14</v>
      </c>
      <c r="AM4051" s="2" t="s">
        <v>216</v>
      </c>
      <c r="AN4051" s="2" t="s">
        <v>6519</v>
      </c>
      <c r="AO4051" s="2" t="s">
        <v>179</v>
      </c>
      <c r="AP4051" s="2">
        <v>11</v>
      </c>
      <c r="AQ4051" s="2" t="s">
        <v>82</v>
      </c>
      <c r="AR4051" s="2"/>
      <c r="AS4051" s="2"/>
      <c r="AT4051" s="2" t="s">
        <v>12754</v>
      </c>
      <c r="AU4051" s="2"/>
      <c r="AV4051" s="2">
        <v>2</v>
      </c>
      <c r="AW4051" s="2"/>
      <c r="AX4051" s="2"/>
      <c r="AY4051" s="2">
        <v>41</v>
      </c>
      <c r="AZ4051" s="2" t="s">
        <v>82</v>
      </c>
      <c r="BA4051" s="2">
        <v>41</v>
      </c>
      <c r="BB4051" s="2" t="s">
        <v>82</v>
      </c>
      <c r="BC4051" s="2">
        <v>41</v>
      </c>
      <c r="BD4051" s="2" t="s">
        <v>82</v>
      </c>
      <c r="BE4051" s="2">
        <v>33</v>
      </c>
      <c r="BF4051" s="2" t="s">
        <v>1083</v>
      </c>
      <c r="BG4051" s="2" t="s">
        <v>9308</v>
      </c>
      <c r="BH4051" s="2"/>
      <c r="BI4051" s="4">
        <v>0.76041666666666663</v>
      </c>
      <c r="BJ4051" s="2">
        <v>13</v>
      </c>
      <c r="BK4051" s="2" t="s">
        <v>91</v>
      </c>
      <c r="BL4051" s="2" t="s">
        <v>185</v>
      </c>
      <c r="BM4051" s="2">
        <v>205</v>
      </c>
      <c r="BN4051" s="2" t="s">
        <v>1085</v>
      </c>
      <c r="BO4051" s="2"/>
      <c r="BP4051" s="2">
        <v>205</v>
      </c>
      <c r="BQ4051" s="2" t="s">
        <v>1085</v>
      </c>
      <c r="BR4051" s="2" t="s">
        <v>1086</v>
      </c>
      <c r="BS4051" s="3">
        <v>40453</v>
      </c>
      <c r="BT4051" s="4">
        <v>0.27090277777777777</v>
      </c>
    </row>
    <row r="4052" spans="1:72" x14ac:dyDescent="0.25">
      <c r="A4052" s="2">
        <v>6072</v>
      </c>
      <c r="B4052" s="2">
        <v>2010</v>
      </c>
      <c r="C4052" s="2" t="s">
        <v>385</v>
      </c>
      <c r="D4052" s="2" t="s">
        <v>122</v>
      </c>
      <c r="E4052" s="2"/>
      <c r="F4052" s="2">
        <v>441</v>
      </c>
      <c r="G4052" s="2" t="s">
        <v>696</v>
      </c>
      <c r="H4052" s="2">
        <v>25</v>
      </c>
      <c r="I4052" s="2" t="s">
        <v>505</v>
      </c>
      <c r="J4052" s="2">
        <v>404</v>
      </c>
      <c r="K4052" s="2" t="s">
        <v>1960</v>
      </c>
      <c r="L4052" s="2" t="s">
        <v>1961</v>
      </c>
      <c r="M4052" s="3">
        <v>40453</v>
      </c>
      <c r="N4052" s="2" t="s">
        <v>12755</v>
      </c>
      <c r="O4052" s="2" t="s">
        <v>12756</v>
      </c>
      <c r="P4052" s="2" t="s">
        <v>12757</v>
      </c>
      <c r="Q4052" s="2" t="str">
        <f>"S/D"</f>
        <v>S/D</v>
      </c>
      <c r="R4052" s="2" t="s">
        <v>107</v>
      </c>
      <c r="S4052" s="2" t="s">
        <v>107</v>
      </c>
      <c r="T4052" s="2">
        <v>1</v>
      </c>
      <c r="U4052" s="2" t="s">
        <v>79</v>
      </c>
      <c r="V4052" s="2">
        <v>1</v>
      </c>
      <c r="W4052" s="2" t="s">
        <v>80</v>
      </c>
      <c r="X4052" s="2">
        <v>11</v>
      </c>
      <c r="Y4052" s="2" t="s">
        <v>1920</v>
      </c>
      <c r="Z4052" s="2">
        <v>1</v>
      </c>
      <c r="AA4052" s="2" t="s">
        <v>82</v>
      </c>
      <c r="AB4052" s="2">
        <v>9</v>
      </c>
      <c r="AC4052" s="2" t="s">
        <v>124</v>
      </c>
      <c r="AD4052" s="3">
        <v>40453</v>
      </c>
      <c r="AE4052" s="4">
        <v>0.36805555555555558</v>
      </c>
      <c r="AF4052" s="2"/>
      <c r="AG4052" s="2"/>
      <c r="AH4052" s="2">
        <v>6</v>
      </c>
      <c r="AI4052" s="2" t="s">
        <v>197</v>
      </c>
      <c r="AJ4052" s="2">
        <v>51</v>
      </c>
      <c r="AK4052" s="2" t="s">
        <v>238</v>
      </c>
      <c r="AL4052" s="2">
        <v>10</v>
      </c>
      <c r="AM4052" s="2" t="s">
        <v>200</v>
      </c>
      <c r="AN4052" s="2" t="s">
        <v>107</v>
      </c>
      <c r="AO4052" s="2" t="s">
        <v>230</v>
      </c>
      <c r="AP4052" s="2">
        <v>11</v>
      </c>
      <c r="AQ4052" s="2" t="s">
        <v>82</v>
      </c>
      <c r="AR4052" s="2" t="s">
        <v>82</v>
      </c>
      <c r="AS4052" s="2" t="s">
        <v>82</v>
      </c>
      <c r="AT4052" s="2" t="s">
        <v>12758</v>
      </c>
      <c r="AU4052" s="2">
        <v>1</v>
      </c>
      <c r="AV4052" s="2"/>
      <c r="AW4052" s="2"/>
      <c r="AX4052" s="2"/>
      <c r="AY4052" s="2">
        <v>41</v>
      </c>
      <c r="AZ4052" s="2" t="s">
        <v>82</v>
      </c>
      <c r="BA4052" s="2">
        <v>41</v>
      </c>
      <c r="BB4052" s="2" t="s">
        <v>82</v>
      </c>
      <c r="BC4052" s="2">
        <v>41</v>
      </c>
      <c r="BD4052" s="2" t="s">
        <v>82</v>
      </c>
      <c r="BE4052" s="2">
        <v>47</v>
      </c>
      <c r="BF4052" s="2" t="s">
        <v>167</v>
      </c>
      <c r="BG4052" s="2">
        <v>2653</v>
      </c>
      <c r="BH4052" s="4">
        <v>0.34375</v>
      </c>
      <c r="BI4052" s="4">
        <v>0.38194444444444442</v>
      </c>
      <c r="BJ4052" s="2">
        <v>13</v>
      </c>
      <c r="BK4052" s="2" t="s">
        <v>91</v>
      </c>
      <c r="BL4052" s="2" t="s">
        <v>170</v>
      </c>
      <c r="BM4052" s="2">
        <v>13</v>
      </c>
      <c r="BN4052" s="2" t="s">
        <v>91</v>
      </c>
      <c r="BO4052" s="2"/>
      <c r="BP4052" s="2">
        <v>13</v>
      </c>
      <c r="BQ4052" s="2" t="s">
        <v>91</v>
      </c>
      <c r="BR4052" s="2" t="s">
        <v>9604</v>
      </c>
      <c r="BS4052" s="3">
        <v>40453</v>
      </c>
      <c r="BT4052" s="4">
        <v>0.38523148148148145</v>
      </c>
    </row>
    <row r="4053" spans="1:72" x14ac:dyDescent="0.25">
      <c r="A4053" s="2">
        <v>6074</v>
      </c>
      <c r="B4053" s="2">
        <v>2010</v>
      </c>
      <c r="C4053" s="2" t="s">
        <v>171</v>
      </c>
      <c r="D4053" s="2" t="s">
        <v>73</v>
      </c>
      <c r="E4053" s="2"/>
      <c r="F4053" s="2">
        <v>114</v>
      </c>
      <c r="G4053" s="2" t="s">
        <v>2817</v>
      </c>
      <c r="H4053" s="2">
        <v>22</v>
      </c>
      <c r="I4053" s="2" t="s">
        <v>75</v>
      </c>
      <c r="J4053" s="2">
        <v>133</v>
      </c>
      <c r="K4053" s="2" t="s">
        <v>3844</v>
      </c>
      <c r="L4053" s="2" t="s">
        <v>3845</v>
      </c>
      <c r="M4053" s="3">
        <v>40453</v>
      </c>
      <c r="N4053" s="2" t="s">
        <v>10818</v>
      </c>
      <c r="O4053" s="2" t="s">
        <v>82</v>
      </c>
      <c r="P4053" s="2" t="s">
        <v>107</v>
      </c>
      <c r="Q4053" s="2" t="str">
        <f>"0020/10"</f>
        <v>0020/10</v>
      </c>
      <c r="R4053" s="2" t="s">
        <v>12759</v>
      </c>
      <c r="S4053" s="2" t="s">
        <v>12759</v>
      </c>
      <c r="T4053" s="2">
        <v>1</v>
      </c>
      <c r="U4053" s="2" t="s">
        <v>79</v>
      </c>
      <c r="V4053" s="2">
        <v>1</v>
      </c>
      <c r="W4053" s="2" t="s">
        <v>80</v>
      </c>
      <c r="X4053" s="2">
        <v>1</v>
      </c>
      <c r="Y4053" s="2" t="s">
        <v>81</v>
      </c>
      <c r="Z4053" s="2">
        <v>1</v>
      </c>
      <c r="AA4053" s="2" t="s">
        <v>82</v>
      </c>
      <c r="AB4053" s="2">
        <v>1</v>
      </c>
      <c r="AC4053" s="2" t="s">
        <v>178</v>
      </c>
      <c r="AD4053" s="3">
        <v>40453</v>
      </c>
      <c r="AE4053" s="4">
        <v>0.45833333333333331</v>
      </c>
      <c r="AF4053" s="2"/>
      <c r="AG4053" s="2"/>
      <c r="AH4053" s="2">
        <v>6</v>
      </c>
      <c r="AI4053" s="2" t="s">
        <v>197</v>
      </c>
      <c r="AJ4053" s="2">
        <v>54</v>
      </c>
      <c r="AK4053" s="2" t="s">
        <v>348</v>
      </c>
      <c r="AL4053" s="2">
        <v>11</v>
      </c>
      <c r="AM4053" s="2" t="s">
        <v>137</v>
      </c>
      <c r="AN4053" s="2" t="s">
        <v>349</v>
      </c>
      <c r="AO4053" s="2" t="s">
        <v>12760</v>
      </c>
      <c r="AP4053" s="2">
        <v>11</v>
      </c>
      <c r="AQ4053" s="2" t="s">
        <v>82</v>
      </c>
      <c r="AR4053" s="2" t="s">
        <v>82</v>
      </c>
      <c r="AS4053" s="2" t="s">
        <v>82</v>
      </c>
      <c r="AT4053" s="2" t="s">
        <v>12761</v>
      </c>
      <c r="AU4053" s="2"/>
      <c r="AV4053" s="2"/>
      <c r="AW4053" s="2"/>
      <c r="AX4053" s="2"/>
      <c r="AY4053" s="2">
        <v>41</v>
      </c>
      <c r="AZ4053" s="2" t="s">
        <v>82</v>
      </c>
      <c r="BA4053" s="2">
        <v>1</v>
      </c>
      <c r="BB4053" s="2" t="s">
        <v>107</v>
      </c>
      <c r="BC4053" s="2">
        <v>41</v>
      </c>
      <c r="BD4053" s="2" t="s">
        <v>82</v>
      </c>
      <c r="BE4053" s="2">
        <v>47</v>
      </c>
      <c r="BF4053" s="2" t="s">
        <v>167</v>
      </c>
      <c r="BG4053" s="2">
        <v>2833</v>
      </c>
      <c r="BH4053" s="2"/>
      <c r="BI4053" s="4">
        <v>0.49652777777777773</v>
      </c>
      <c r="BJ4053" s="2">
        <v>13</v>
      </c>
      <c r="BK4053" s="2" t="s">
        <v>91</v>
      </c>
      <c r="BL4053" s="2" t="s">
        <v>2469</v>
      </c>
      <c r="BM4053" s="2">
        <v>13</v>
      </c>
      <c r="BN4053" s="2" t="s">
        <v>91</v>
      </c>
      <c r="BO4053" s="2"/>
      <c r="BP4053" s="2">
        <v>13</v>
      </c>
      <c r="BQ4053" s="2" t="s">
        <v>91</v>
      </c>
      <c r="BR4053" s="2" t="s">
        <v>3520</v>
      </c>
      <c r="BS4053" s="3">
        <v>40453</v>
      </c>
      <c r="BT4053" s="4">
        <v>0.61831018518518521</v>
      </c>
    </row>
    <row r="4054" spans="1:72" x14ac:dyDescent="0.25">
      <c r="A4054" s="2">
        <v>6075</v>
      </c>
      <c r="B4054" s="2">
        <v>2010</v>
      </c>
      <c r="C4054" s="2" t="s">
        <v>414</v>
      </c>
      <c r="D4054" s="2" t="s">
        <v>122</v>
      </c>
      <c r="E4054" s="2"/>
      <c r="F4054" s="2">
        <v>1</v>
      </c>
      <c r="G4054" s="2" t="s">
        <v>82</v>
      </c>
      <c r="H4054" s="2">
        <v>1</v>
      </c>
      <c r="I4054" s="2" t="s">
        <v>82</v>
      </c>
      <c r="J4054" s="2">
        <v>1</v>
      </c>
      <c r="K4054" s="2" t="s">
        <v>107</v>
      </c>
      <c r="L4054" s="2" t="s">
        <v>107</v>
      </c>
      <c r="M4054" s="3">
        <v>40453</v>
      </c>
      <c r="N4054" s="2"/>
      <c r="O4054" s="2"/>
      <c r="P4054" s="2"/>
      <c r="Q4054" s="2" t="str">
        <f>""</f>
        <v/>
      </c>
      <c r="R4054" s="2"/>
      <c r="S4054" s="2"/>
      <c r="T4054" s="2">
        <v>1</v>
      </c>
      <c r="U4054" s="2" t="s">
        <v>79</v>
      </c>
      <c r="V4054" s="2">
        <v>1</v>
      </c>
      <c r="W4054" s="2" t="s">
        <v>80</v>
      </c>
      <c r="X4054" s="2">
        <v>1</v>
      </c>
      <c r="Y4054" s="2" t="s">
        <v>81</v>
      </c>
      <c r="Z4054" s="2">
        <v>1</v>
      </c>
      <c r="AA4054" s="2" t="s">
        <v>82</v>
      </c>
      <c r="AB4054" s="2">
        <v>9</v>
      </c>
      <c r="AC4054" s="2" t="s">
        <v>124</v>
      </c>
      <c r="AD4054" s="3">
        <v>40453</v>
      </c>
      <c r="AE4054" s="4">
        <v>0.56944444444444442</v>
      </c>
      <c r="AF4054" s="2"/>
      <c r="AG4054" s="2"/>
      <c r="AH4054" s="2">
        <v>2</v>
      </c>
      <c r="AI4054" s="2" t="s">
        <v>84</v>
      </c>
      <c r="AJ4054" s="2">
        <v>12</v>
      </c>
      <c r="AK4054" s="2" t="s">
        <v>85</v>
      </c>
      <c r="AL4054" s="2">
        <v>24</v>
      </c>
      <c r="AM4054" s="2" t="s">
        <v>1540</v>
      </c>
      <c r="AN4054" s="2"/>
      <c r="AO4054" s="2" t="s">
        <v>12762</v>
      </c>
      <c r="AP4054" s="2">
        <v>11</v>
      </c>
      <c r="AQ4054" s="2" t="s">
        <v>82</v>
      </c>
      <c r="AR4054" s="2"/>
      <c r="AS4054" s="2"/>
      <c r="AT4054" s="2" t="s">
        <v>12763</v>
      </c>
      <c r="AU4054" s="2"/>
      <c r="AV4054" s="2"/>
      <c r="AW4054" s="2"/>
      <c r="AX4054" s="2"/>
      <c r="AY4054" s="2">
        <v>41</v>
      </c>
      <c r="AZ4054" s="2" t="s">
        <v>82</v>
      </c>
      <c r="BA4054" s="2">
        <v>41</v>
      </c>
      <c r="BB4054" s="2" t="s">
        <v>82</v>
      </c>
      <c r="BC4054" s="2">
        <v>41</v>
      </c>
      <c r="BD4054" s="2" t="s">
        <v>82</v>
      </c>
      <c r="BE4054" s="2">
        <v>41</v>
      </c>
      <c r="BF4054" s="2" t="s">
        <v>82</v>
      </c>
      <c r="BG4054" s="2"/>
      <c r="BH4054" s="2"/>
      <c r="BI4054" s="2"/>
      <c r="BJ4054" s="2">
        <v>241</v>
      </c>
      <c r="BK4054" s="2" t="s">
        <v>82</v>
      </c>
      <c r="BL4054" s="2"/>
      <c r="BM4054" s="2">
        <v>241</v>
      </c>
      <c r="BN4054" s="2" t="s">
        <v>82</v>
      </c>
      <c r="BO4054" s="2"/>
      <c r="BP4054" s="2">
        <v>241</v>
      </c>
      <c r="BQ4054" s="2" t="s">
        <v>82</v>
      </c>
      <c r="BR4054" s="2"/>
      <c r="BS4054" s="3">
        <v>40453</v>
      </c>
      <c r="BT4054" s="4">
        <v>0.64744212962962966</v>
      </c>
    </row>
    <row r="4055" spans="1:72" x14ac:dyDescent="0.25">
      <c r="A4055" s="2">
        <v>6076</v>
      </c>
      <c r="B4055" s="2">
        <v>2010</v>
      </c>
      <c r="C4055" s="2" t="s">
        <v>385</v>
      </c>
      <c r="D4055" s="2" t="s">
        <v>122</v>
      </c>
      <c r="E4055" s="2" t="s">
        <v>12764</v>
      </c>
      <c r="F4055" s="2">
        <v>396</v>
      </c>
      <c r="G4055" s="2" t="s">
        <v>2159</v>
      </c>
      <c r="H4055" s="2">
        <v>8</v>
      </c>
      <c r="I4055" s="2" t="s">
        <v>3451</v>
      </c>
      <c r="J4055" s="2">
        <v>243</v>
      </c>
      <c r="K4055" s="2" t="s">
        <v>2160</v>
      </c>
      <c r="L4055" s="2" t="s">
        <v>2145</v>
      </c>
      <c r="M4055" s="3">
        <v>40453</v>
      </c>
      <c r="N4055" s="2" t="s">
        <v>12753</v>
      </c>
      <c r="O4055" s="2"/>
      <c r="P4055" s="2"/>
      <c r="Q4055" s="2" t="str">
        <f>"508-E/10"</f>
        <v>508-E/10</v>
      </c>
      <c r="R4055" s="2" t="s">
        <v>391</v>
      </c>
      <c r="S4055" s="2"/>
      <c r="T4055" s="2">
        <v>1</v>
      </c>
      <c r="U4055" s="2" t="s">
        <v>79</v>
      </c>
      <c r="V4055" s="2">
        <v>1</v>
      </c>
      <c r="W4055" s="2" t="s">
        <v>80</v>
      </c>
      <c r="X4055" s="2">
        <v>1</v>
      </c>
      <c r="Y4055" s="2" t="s">
        <v>81</v>
      </c>
      <c r="Z4055" s="2">
        <v>1</v>
      </c>
      <c r="AA4055" s="2" t="s">
        <v>82</v>
      </c>
      <c r="AB4055" s="2">
        <v>9</v>
      </c>
      <c r="AC4055" s="2" t="s">
        <v>124</v>
      </c>
      <c r="AD4055" s="3">
        <v>40453</v>
      </c>
      <c r="AE4055" s="4">
        <v>0.3125</v>
      </c>
      <c r="AF4055" s="2"/>
      <c r="AG4055" s="2"/>
      <c r="AH4055" s="2">
        <v>2</v>
      </c>
      <c r="AI4055" s="2" t="s">
        <v>84</v>
      </c>
      <c r="AJ4055" s="2">
        <v>9</v>
      </c>
      <c r="AK4055" s="2" t="s">
        <v>103</v>
      </c>
      <c r="AL4055" s="2">
        <v>14</v>
      </c>
      <c r="AM4055" s="2" t="s">
        <v>216</v>
      </c>
      <c r="AN4055" s="2" t="s">
        <v>12765</v>
      </c>
      <c r="AO4055" s="2"/>
      <c r="AP4055" s="2">
        <v>11</v>
      </c>
      <c r="AQ4055" s="2" t="s">
        <v>82</v>
      </c>
      <c r="AR4055" s="2"/>
      <c r="AS4055" s="2"/>
      <c r="AT4055" s="2" t="s">
        <v>12766</v>
      </c>
      <c r="AU4055" s="2"/>
      <c r="AV4055" s="2"/>
      <c r="AW4055" s="2"/>
      <c r="AX4055" s="2"/>
      <c r="AY4055" s="2">
        <v>41</v>
      </c>
      <c r="AZ4055" s="2" t="s">
        <v>82</v>
      </c>
      <c r="BA4055" s="2">
        <v>41</v>
      </c>
      <c r="BB4055" s="2" t="s">
        <v>82</v>
      </c>
      <c r="BC4055" s="2">
        <v>41</v>
      </c>
      <c r="BD4055" s="2" t="s">
        <v>82</v>
      </c>
      <c r="BE4055" s="2">
        <v>33</v>
      </c>
      <c r="BF4055" s="2" t="s">
        <v>1083</v>
      </c>
      <c r="BG4055" s="2" t="s">
        <v>9308</v>
      </c>
      <c r="BH4055" s="2"/>
      <c r="BI4055" s="4">
        <v>0.76041666666666663</v>
      </c>
      <c r="BJ4055" s="2">
        <v>13</v>
      </c>
      <c r="BK4055" s="2" t="s">
        <v>91</v>
      </c>
      <c r="BL4055" s="2" t="s">
        <v>185</v>
      </c>
      <c r="BM4055" s="2">
        <v>205</v>
      </c>
      <c r="BN4055" s="2" t="s">
        <v>1085</v>
      </c>
      <c r="BO4055" s="2"/>
      <c r="BP4055" s="2">
        <v>205</v>
      </c>
      <c r="BQ4055" s="2" t="s">
        <v>1085</v>
      </c>
      <c r="BR4055" s="2" t="s">
        <v>1086</v>
      </c>
      <c r="BS4055" s="3">
        <v>40453</v>
      </c>
      <c r="BT4055" s="4">
        <v>0.74494212962962969</v>
      </c>
    </row>
    <row r="4056" spans="1:72" x14ac:dyDescent="0.25">
      <c r="A4056" s="2">
        <v>6077</v>
      </c>
      <c r="B4056" s="2">
        <v>2010</v>
      </c>
      <c r="C4056" s="2" t="s">
        <v>72</v>
      </c>
      <c r="D4056" s="2" t="s">
        <v>73</v>
      </c>
      <c r="E4056" s="2"/>
      <c r="F4056" s="2">
        <v>37</v>
      </c>
      <c r="G4056" s="2" t="s">
        <v>1790</v>
      </c>
      <c r="H4056" s="2">
        <v>22</v>
      </c>
      <c r="I4056" s="2" t="s">
        <v>75</v>
      </c>
      <c r="J4056" s="2">
        <v>328</v>
      </c>
      <c r="K4056" s="2" t="s">
        <v>1791</v>
      </c>
      <c r="L4056" s="2" t="s">
        <v>1792</v>
      </c>
      <c r="M4056" s="3">
        <v>40453</v>
      </c>
      <c r="N4056" s="2" t="s">
        <v>3716</v>
      </c>
      <c r="O4056" s="2"/>
      <c r="P4056" s="2"/>
      <c r="Q4056" s="2" t="str">
        <f>"098/10"</f>
        <v>098/10</v>
      </c>
      <c r="R4056" s="2" t="s">
        <v>1794</v>
      </c>
      <c r="S4056" s="2"/>
      <c r="T4056" s="2">
        <v>1</v>
      </c>
      <c r="U4056" s="2" t="s">
        <v>79</v>
      </c>
      <c r="V4056" s="2">
        <v>1</v>
      </c>
      <c r="W4056" s="2" t="s">
        <v>80</v>
      </c>
      <c r="X4056" s="2">
        <v>12</v>
      </c>
      <c r="Y4056" s="2" t="s">
        <v>148</v>
      </c>
      <c r="Z4056" s="2">
        <v>1</v>
      </c>
      <c r="AA4056" s="2" t="s">
        <v>82</v>
      </c>
      <c r="AB4056" s="2">
        <v>6</v>
      </c>
      <c r="AC4056" s="2" t="s">
        <v>83</v>
      </c>
      <c r="AD4056" s="3">
        <v>40453</v>
      </c>
      <c r="AE4056" s="2"/>
      <c r="AF4056" s="3">
        <v>40453</v>
      </c>
      <c r="AG4056" s="4">
        <v>0.83333333333333337</v>
      </c>
      <c r="AH4056" s="2">
        <v>4</v>
      </c>
      <c r="AI4056" s="2" t="s">
        <v>125</v>
      </c>
      <c r="AJ4056" s="2">
        <v>29</v>
      </c>
      <c r="AK4056" s="2" t="s">
        <v>227</v>
      </c>
      <c r="AL4056" s="2">
        <v>22</v>
      </c>
      <c r="AM4056" s="2" t="s">
        <v>1853</v>
      </c>
      <c r="AN4056" s="2"/>
      <c r="AO4056" s="2"/>
      <c r="AP4056" s="2">
        <v>11</v>
      </c>
      <c r="AQ4056" s="2" t="s">
        <v>82</v>
      </c>
      <c r="AR4056" s="2"/>
      <c r="AS4056" s="2"/>
      <c r="AT4056" s="2" t="s">
        <v>12767</v>
      </c>
      <c r="AU4056" s="2"/>
      <c r="AV4056" s="2"/>
      <c r="AW4056" s="2"/>
      <c r="AX4056" s="2"/>
      <c r="AY4056" s="2">
        <v>41</v>
      </c>
      <c r="AZ4056" s="2" t="s">
        <v>82</v>
      </c>
      <c r="BA4056" s="2">
        <v>41</v>
      </c>
      <c r="BB4056" s="2" t="s">
        <v>82</v>
      </c>
      <c r="BC4056" s="2">
        <v>41</v>
      </c>
      <c r="BD4056" s="2" t="s">
        <v>82</v>
      </c>
      <c r="BE4056" s="2">
        <v>4</v>
      </c>
      <c r="BF4056" s="2" t="s">
        <v>90</v>
      </c>
      <c r="BG4056" s="2">
        <v>4134</v>
      </c>
      <c r="BH4056" s="4">
        <v>0.79166666666666663</v>
      </c>
      <c r="BI4056" s="4">
        <v>0.71875</v>
      </c>
      <c r="BJ4056" s="2">
        <v>13</v>
      </c>
      <c r="BK4056" s="2" t="s">
        <v>91</v>
      </c>
      <c r="BL4056" s="2" t="s">
        <v>185</v>
      </c>
      <c r="BM4056" s="2">
        <v>13</v>
      </c>
      <c r="BN4056" s="2" t="s">
        <v>91</v>
      </c>
      <c r="BO4056" s="2"/>
      <c r="BP4056" s="2">
        <v>13</v>
      </c>
      <c r="BQ4056" s="2" t="s">
        <v>91</v>
      </c>
      <c r="BR4056" s="2" t="s">
        <v>828</v>
      </c>
      <c r="BS4056" s="3">
        <v>40453</v>
      </c>
      <c r="BT4056" s="4">
        <v>0.96719907407407402</v>
      </c>
    </row>
    <row r="4057" spans="1:72" x14ac:dyDescent="0.25">
      <c r="A4057" s="2">
        <v>6079</v>
      </c>
      <c r="B4057" s="2">
        <v>2010</v>
      </c>
      <c r="C4057" s="2" t="s">
        <v>72</v>
      </c>
      <c r="D4057" s="2" t="s">
        <v>73</v>
      </c>
      <c r="E4057" s="2"/>
      <c r="F4057" s="2">
        <v>389</v>
      </c>
      <c r="G4057" s="2" t="s">
        <v>1819</v>
      </c>
      <c r="H4057" s="2">
        <v>2</v>
      </c>
      <c r="I4057" s="2" t="s">
        <v>267</v>
      </c>
      <c r="J4057" s="2">
        <v>399</v>
      </c>
      <c r="K4057" s="2" t="s">
        <v>1820</v>
      </c>
      <c r="L4057" s="2" t="s">
        <v>1821</v>
      </c>
      <c r="M4057" s="3">
        <v>40454</v>
      </c>
      <c r="N4057" s="2" t="s">
        <v>5653</v>
      </c>
      <c r="O4057" s="2"/>
      <c r="P4057" s="2"/>
      <c r="Q4057" s="2" t="str">
        <f>"509-E/10"</f>
        <v>509-E/10</v>
      </c>
      <c r="R4057" s="2" t="s">
        <v>601</v>
      </c>
      <c r="S4057" s="2" t="s">
        <v>601</v>
      </c>
      <c r="T4057" s="2">
        <v>1</v>
      </c>
      <c r="U4057" s="2" t="s">
        <v>79</v>
      </c>
      <c r="V4057" s="2">
        <v>1</v>
      </c>
      <c r="W4057" s="2" t="s">
        <v>80</v>
      </c>
      <c r="X4057" s="2">
        <v>12</v>
      </c>
      <c r="Y4057" s="2" t="s">
        <v>148</v>
      </c>
      <c r="Z4057" s="2">
        <v>1</v>
      </c>
      <c r="AA4057" s="2" t="s">
        <v>82</v>
      </c>
      <c r="AB4057" s="2">
        <v>6</v>
      </c>
      <c r="AC4057" s="2" t="s">
        <v>83</v>
      </c>
      <c r="AD4057" s="3">
        <v>40454</v>
      </c>
      <c r="AE4057" s="2"/>
      <c r="AF4057" s="3">
        <v>40454</v>
      </c>
      <c r="AG4057" s="4">
        <v>0.375</v>
      </c>
      <c r="AH4057" s="2">
        <v>2</v>
      </c>
      <c r="AI4057" s="2" t="s">
        <v>84</v>
      </c>
      <c r="AJ4057" s="2">
        <v>9</v>
      </c>
      <c r="AK4057" s="2" t="s">
        <v>103</v>
      </c>
      <c r="AL4057" s="2">
        <v>22</v>
      </c>
      <c r="AM4057" s="2" t="s">
        <v>1853</v>
      </c>
      <c r="AN4057" s="2" t="s">
        <v>12768</v>
      </c>
      <c r="AO4057" s="2" t="s">
        <v>12699</v>
      </c>
      <c r="AP4057" s="2">
        <v>11</v>
      </c>
      <c r="AQ4057" s="2" t="s">
        <v>82</v>
      </c>
      <c r="AR4057" s="2"/>
      <c r="AS4057" s="2"/>
      <c r="AT4057" s="2" t="s">
        <v>12769</v>
      </c>
      <c r="AU4057" s="2"/>
      <c r="AV4057" s="2"/>
      <c r="AW4057" s="2"/>
      <c r="AX4057" s="2"/>
      <c r="AY4057" s="2">
        <v>41</v>
      </c>
      <c r="AZ4057" s="2" t="s">
        <v>82</v>
      </c>
      <c r="BA4057" s="2">
        <v>41</v>
      </c>
      <c r="BB4057" s="2" t="s">
        <v>82</v>
      </c>
      <c r="BC4057" s="2">
        <v>41</v>
      </c>
      <c r="BD4057" s="2" t="s">
        <v>82</v>
      </c>
      <c r="BE4057" s="2">
        <v>38</v>
      </c>
      <c r="BF4057" s="2" t="s">
        <v>221</v>
      </c>
      <c r="BG4057" s="2" t="s">
        <v>12770</v>
      </c>
      <c r="BH4057" s="4">
        <v>0.28125</v>
      </c>
      <c r="BI4057" s="2"/>
      <c r="BJ4057" s="2">
        <v>173</v>
      </c>
      <c r="BK4057" s="2" t="s">
        <v>223</v>
      </c>
      <c r="BL4057" s="2" t="s">
        <v>224</v>
      </c>
      <c r="BM4057" s="2">
        <v>173</v>
      </c>
      <c r="BN4057" s="2" t="s">
        <v>223</v>
      </c>
      <c r="BO4057" s="2"/>
      <c r="BP4057" s="2">
        <v>13</v>
      </c>
      <c r="BQ4057" s="2" t="s">
        <v>91</v>
      </c>
      <c r="BR4057" s="2" t="s">
        <v>360</v>
      </c>
      <c r="BS4057" s="3">
        <v>40454</v>
      </c>
      <c r="BT4057" s="4">
        <v>0.57792824074074078</v>
      </c>
    </row>
    <row r="4058" spans="1:72" x14ac:dyDescent="0.25">
      <c r="A4058" s="2">
        <v>6080</v>
      </c>
      <c r="B4058" s="2">
        <v>2010</v>
      </c>
      <c r="C4058" s="2" t="s">
        <v>93</v>
      </c>
      <c r="D4058" s="2" t="s">
        <v>73</v>
      </c>
      <c r="E4058" s="2"/>
      <c r="F4058" s="2">
        <v>394</v>
      </c>
      <c r="G4058" s="2" t="s">
        <v>172</v>
      </c>
      <c r="H4058" s="2">
        <v>4</v>
      </c>
      <c r="I4058" s="2" t="s">
        <v>173</v>
      </c>
      <c r="J4058" s="2">
        <v>241</v>
      </c>
      <c r="K4058" s="2" t="s">
        <v>174</v>
      </c>
      <c r="L4058" s="2" t="s">
        <v>175</v>
      </c>
      <c r="M4058" s="3">
        <v>40454</v>
      </c>
      <c r="N4058" s="2" t="s">
        <v>176</v>
      </c>
      <c r="O4058" s="2" t="s">
        <v>12771</v>
      </c>
      <c r="P4058" s="2" t="s">
        <v>12772</v>
      </c>
      <c r="Q4058" s="2" t="str">
        <f>""</f>
        <v/>
      </c>
      <c r="R4058" s="2"/>
      <c r="S4058" s="2"/>
      <c r="T4058" s="2">
        <v>1</v>
      </c>
      <c r="U4058" s="2" t="s">
        <v>79</v>
      </c>
      <c r="V4058" s="2">
        <v>1</v>
      </c>
      <c r="W4058" s="2" t="s">
        <v>80</v>
      </c>
      <c r="X4058" s="2">
        <v>10</v>
      </c>
      <c r="Y4058" s="2" t="s">
        <v>226</v>
      </c>
      <c r="Z4058" s="2">
        <v>6</v>
      </c>
      <c r="AA4058" s="2" t="s">
        <v>101</v>
      </c>
      <c r="AB4058" s="2">
        <v>2</v>
      </c>
      <c r="AC4058" s="2" t="s">
        <v>102</v>
      </c>
      <c r="AD4058" s="3">
        <v>40454</v>
      </c>
      <c r="AE4058" s="4">
        <v>0.33680555555555558</v>
      </c>
      <c r="AF4058" s="2"/>
      <c r="AG4058" s="2"/>
      <c r="AH4058" s="2">
        <v>2</v>
      </c>
      <c r="AI4058" s="2" t="s">
        <v>84</v>
      </c>
      <c r="AJ4058" s="2">
        <v>9</v>
      </c>
      <c r="AK4058" s="2" t="s">
        <v>103</v>
      </c>
      <c r="AL4058" s="2">
        <v>14</v>
      </c>
      <c r="AM4058" s="2" t="s">
        <v>216</v>
      </c>
      <c r="AN4058" s="2"/>
      <c r="AO4058" s="2" t="s">
        <v>105</v>
      </c>
      <c r="AP4058" s="2">
        <v>11</v>
      </c>
      <c r="AQ4058" s="2" t="s">
        <v>82</v>
      </c>
      <c r="AR4058" s="2"/>
      <c r="AS4058" s="2"/>
      <c r="AT4058" s="2" t="s">
        <v>12773</v>
      </c>
      <c r="AU4058" s="2">
        <v>1</v>
      </c>
      <c r="AV4058" s="2"/>
      <c r="AW4058" s="2"/>
      <c r="AX4058" s="2"/>
      <c r="AY4058" s="2">
        <v>41</v>
      </c>
      <c r="AZ4058" s="2" t="s">
        <v>82</v>
      </c>
      <c r="BA4058" s="2">
        <v>115</v>
      </c>
      <c r="BB4058" s="2" t="s">
        <v>101</v>
      </c>
      <c r="BC4058" s="2">
        <v>41</v>
      </c>
      <c r="BD4058" s="2" t="s">
        <v>82</v>
      </c>
      <c r="BE4058" s="2">
        <v>13</v>
      </c>
      <c r="BF4058" s="2" t="s">
        <v>108</v>
      </c>
      <c r="BG4058" s="2" t="s">
        <v>605</v>
      </c>
      <c r="BH4058" s="4">
        <v>0.20833333333333334</v>
      </c>
      <c r="BI4058" s="2"/>
      <c r="BJ4058" s="2">
        <v>73</v>
      </c>
      <c r="BK4058" s="2" t="s">
        <v>186</v>
      </c>
      <c r="BL4058" s="2" t="s">
        <v>187</v>
      </c>
      <c r="BM4058" s="2">
        <v>13</v>
      </c>
      <c r="BN4058" s="2" t="s">
        <v>91</v>
      </c>
      <c r="BO4058" s="2"/>
      <c r="BP4058" s="2">
        <v>13</v>
      </c>
      <c r="BQ4058" s="2" t="s">
        <v>91</v>
      </c>
      <c r="BR4058" s="2" t="s">
        <v>360</v>
      </c>
      <c r="BS4058" s="3">
        <v>40454</v>
      </c>
      <c r="BT4058" s="4">
        <v>0.60605324074074074</v>
      </c>
    </row>
    <row r="4059" spans="1:72" x14ac:dyDescent="0.25">
      <c r="A4059" s="2">
        <v>6082</v>
      </c>
      <c r="B4059" s="2">
        <v>2010</v>
      </c>
      <c r="C4059" s="2" t="s">
        <v>4543</v>
      </c>
      <c r="D4059" s="2" t="s">
        <v>122</v>
      </c>
      <c r="E4059" s="2"/>
      <c r="F4059" s="2">
        <v>389</v>
      </c>
      <c r="G4059" s="2" t="s">
        <v>1819</v>
      </c>
      <c r="H4059" s="2">
        <v>2</v>
      </c>
      <c r="I4059" s="2" t="s">
        <v>267</v>
      </c>
      <c r="J4059" s="2">
        <v>399</v>
      </c>
      <c r="K4059" s="2" t="s">
        <v>1820</v>
      </c>
      <c r="L4059" s="2" t="s">
        <v>1821</v>
      </c>
      <c r="M4059" s="3">
        <v>40454</v>
      </c>
      <c r="N4059" s="2" t="s">
        <v>5653</v>
      </c>
      <c r="O4059" s="2"/>
      <c r="P4059" s="2"/>
      <c r="Q4059" s="2" t="str">
        <f>""</f>
        <v/>
      </c>
      <c r="R4059" s="2"/>
      <c r="S4059" s="2"/>
      <c r="T4059" s="2">
        <v>2</v>
      </c>
      <c r="U4059" s="2" t="s">
        <v>123</v>
      </c>
      <c r="V4059" s="2">
        <v>1</v>
      </c>
      <c r="W4059" s="2" t="s">
        <v>80</v>
      </c>
      <c r="X4059" s="2">
        <v>1</v>
      </c>
      <c r="Y4059" s="2" t="s">
        <v>81</v>
      </c>
      <c r="Z4059" s="2">
        <v>10</v>
      </c>
      <c r="AA4059" s="2" t="s">
        <v>236</v>
      </c>
      <c r="AB4059" s="2">
        <v>9</v>
      </c>
      <c r="AC4059" s="2" t="s">
        <v>124</v>
      </c>
      <c r="AD4059" s="3">
        <v>40454</v>
      </c>
      <c r="AE4059" s="4">
        <v>0.77083333333333337</v>
      </c>
      <c r="AF4059" s="2"/>
      <c r="AG4059" s="2"/>
      <c r="AH4059" s="2">
        <v>2</v>
      </c>
      <c r="AI4059" s="2" t="s">
        <v>84</v>
      </c>
      <c r="AJ4059" s="2">
        <v>9</v>
      </c>
      <c r="AK4059" s="2" t="s">
        <v>103</v>
      </c>
      <c r="AL4059" s="2">
        <v>15</v>
      </c>
      <c r="AM4059" s="2" t="s">
        <v>104</v>
      </c>
      <c r="AN4059" s="2" t="s">
        <v>12774</v>
      </c>
      <c r="AO4059" s="2"/>
      <c r="AP4059" s="2">
        <v>11</v>
      </c>
      <c r="AQ4059" s="2" t="s">
        <v>82</v>
      </c>
      <c r="AR4059" s="2"/>
      <c r="AS4059" s="2"/>
      <c r="AT4059" s="2" t="s">
        <v>12775</v>
      </c>
      <c r="AU4059" s="2"/>
      <c r="AV4059" s="2"/>
      <c r="AW4059" s="2"/>
      <c r="AX4059" s="2"/>
      <c r="AY4059" s="2">
        <v>41</v>
      </c>
      <c r="AZ4059" s="2" t="s">
        <v>82</v>
      </c>
      <c r="BA4059" s="2">
        <v>41</v>
      </c>
      <c r="BB4059" s="2" t="s">
        <v>82</v>
      </c>
      <c r="BC4059" s="2">
        <v>41</v>
      </c>
      <c r="BD4059" s="2" t="s">
        <v>82</v>
      </c>
      <c r="BE4059" s="2">
        <v>13</v>
      </c>
      <c r="BF4059" s="2" t="s">
        <v>108</v>
      </c>
      <c r="BG4059" s="2" t="s">
        <v>674</v>
      </c>
      <c r="BH4059" s="2"/>
      <c r="BI4059" s="4">
        <v>0.90277777777777779</v>
      </c>
      <c r="BJ4059" s="2">
        <v>13</v>
      </c>
      <c r="BK4059" s="2" t="s">
        <v>91</v>
      </c>
      <c r="BL4059" s="2" t="s">
        <v>360</v>
      </c>
      <c r="BM4059" s="2">
        <v>13</v>
      </c>
      <c r="BN4059" s="2" t="s">
        <v>91</v>
      </c>
      <c r="BO4059" s="2"/>
      <c r="BP4059" s="2">
        <v>73</v>
      </c>
      <c r="BQ4059" s="2" t="s">
        <v>186</v>
      </c>
      <c r="BR4059" s="2" t="s">
        <v>675</v>
      </c>
      <c r="BS4059" s="3">
        <v>40454</v>
      </c>
      <c r="BT4059" s="4">
        <v>0.83248842592592587</v>
      </c>
    </row>
    <row r="4060" spans="1:72" x14ac:dyDescent="0.25">
      <c r="A4060" s="2">
        <v>6084</v>
      </c>
      <c r="B4060" s="2">
        <v>2010</v>
      </c>
      <c r="C4060" s="2" t="s">
        <v>196</v>
      </c>
      <c r="D4060" s="2" t="s">
        <v>122</v>
      </c>
      <c r="E4060" s="2"/>
      <c r="F4060" s="2">
        <v>1</v>
      </c>
      <c r="G4060" s="2" t="s">
        <v>82</v>
      </c>
      <c r="H4060" s="2">
        <v>1</v>
      </c>
      <c r="I4060" s="2" t="s">
        <v>82</v>
      </c>
      <c r="J4060" s="2">
        <v>1</v>
      </c>
      <c r="K4060" s="2" t="s">
        <v>107</v>
      </c>
      <c r="L4060" s="2" t="s">
        <v>107</v>
      </c>
      <c r="M4060" s="3">
        <v>40454</v>
      </c>
      <c r="N4060" s="2"/>
      <c r="O4060" s="2"/>
      <c r="P4060" s="2"/>
      <c r="Q4060" s="2" t="str">
        <f>""</f>
        <v/>
      </c>
      <c r="R4060" s="2"/>
      <c r="S4060" s="2"/>
      <c r="T4060" s="2">
        <v>2</v>
      </c>
      <c r="U4060" s="2" t="s">
        <v>123</v>
      </c>
      <c r="V4060" s="2">
        <v>1</v>
      </c>
      <c r="W4060" s="2" t="s">
        <v>80</v>
      </c>
      <c r="X4060" s="2">
        <v>11</v>
      </c>
      <c r="Y4060" s="2" t="s">
        <v>1920</v>
      </c>
      <c r="Z4060" s="2">
        <v>10</v>
      </c>
      <c r="AA4060" s="2" t="s">
        <v>236</v>
      </c>
      <c r="AB4060" s="2">
        <v>9</v>
      </c>
      <c r="AC4060" s="2" t="s">
        <v>124</v>
      </c>
      <c r="AD4060" s="3">
        <v>40454</v>
      </c>
      <c r="AE4060" s="4">
        <v>0.82986111111111116</v>
      </c>
      <c r="AF4060" s="2"/>
      <c r="AG4060" s="2"/>
      <c r="AH4060" s="2">
        <v>2</v>
      </c>
      <c r="AI4060" s="2" t="s">
        <v>84</v>
      </c>
      <c r="AJ4060" s="2">
        <v>12</v>
      </c>
      <c r="AK4060" s="2" t="s">
        <v>85</v>
      </c>
      <c r="AL4060" s="2">
        <v>20</v>
      </c>
      <c r="AM4060" s="2" t="s">
        <v>992</v>
      </c>
      <c r="AN4060" s="2"/>
      <c r="AO4060" s="2"/>
      <c r="AP4060" s="2">
        <v>11</v>
      </c>
      <c r="AQ4060" s="2" t="s">
        <v>82</v>
      </c>
      <c r="AR4060" s="2"/>
      <c r="AS4060" s="2"/>
      <c r="AT4060" s="2" t="s">
        <v>12776</v>
      </c>
      <c r="AU4060" s="2"/>
      <c r="AV4060" s="2"/>
      <c r="AW4060" s="2"/>
      <c r="AX4060" s="2"/>
      <c r="AY4060" s="2">
        <v>41</v>
      </c>
      <c r="AZ4060" s="2" t="s">
        <v>82</v>
      </c>
      <c r="BA4060" s="2">
        <v>41</v>
      </c>
      <c r="BB4060" s="2" t="s">
        <v>82</v>
      </c>
      <c r="BC4060" s="2">
        <v>41</v>
      </c>
      <c r="BD4060" s="2" t="s">
        <v>82</v>
      </c>
      <c r="BE4060" s="2">
        <v>41</v>
      </c>
      <c r="BF4060" s="2" t="s">
        <v>82</v>
      </c>
      <c r="BG4060" s="2"/>
      <c r="BH4060" s="2"/>
      <c r="BI4060" s="2"/>
      <c r="BJ4060" s="2">
        <v>13</v>
      </c>
      <c r="BK4060" s="2" t="s">
        <v>91</v>
      </c>
      <c r="BL4060" s="2" t="s">
        <v>185</v>
      </c>
      <c r="BM4060" s="2">
        <v>241</v>
      </c>
      <c r="BN4060" s="2" t="s">
        <v>82</v>
      </c>
      <c r="BO4060" s="2"/>
      <c r="BP4060" s="2">
        <v>4</v>
      </c>
      <c r="BQ4060" s="2" t="s">
        <v>618</v>
      </c>
      <c r="BR4060" s="2"/>
      <c r="BS4060" s="3">
        <v>40454</v>
      </c>
      <c r="BT4060" s="4">
        <v>0.95843750000000005</v>
      </c>
    </row>
    <row r="4061" spans="1:72" x14ac:dyDescent="0.25">
      <c r="A4061" s="2">
        <v>6085</v>
      </c>
      <c r="B4061" s="2">
        <v>2010</v>
      </c>
      <c r="C4061" s="2" t="s">
        <v>8160</v>
      </c>
      <c r="D4061" s="2" t="s">
        <v>73</v>
      </c>
      <c r="E4061" s="2"/>
      <c r="F4061" s="2">
        <v>389</v>
      </c>
      <c r="G4061" s="2" t="s">
        <v>1819</v>
      </c>
      <c r="H4061" s="2">
        <v>2</v>
      </c>
      <c r="I4061" s="2" t="s">
        <v>267</v>
      </c>
      <c r="J4061" s="2">
        <v>399</v>
      </c>
      <c r="K4061" s="2" t="s">
        <v>1820</v>
      </c>
      <c r="L4061" s="2" t="s">
        <v>1821</v>
      </c>
      <c r="M4061" s="3">
        <v>40455</v>
      </c>
      <c r="N4061" s="2" t="s">
        <v>5653</v>
      </c>
      <c r="O4061" s="2"/>
      <c r="P4061" s="2"/>
      <c r="Q4061" s="2" t="str">
        <f>"510-E/10"</f>
        <v>510-E/10</v>
      </c>
      <c r="R4061" s="2" t="s">
        <v>12777</v>
      </c>
      <c r="S4061" s="2"/>
      <c r="T4061" s="2">
        <v>1</v>
      </c>
      <c r="U4061" s="2" t="s">
        <v>79</v>
      </c>
      <c r="V4061" s="2">
        <v>1</v>
      </c>
      <c r="W4061" s="2" t="s">
        <v>80</v>
      </c>
      <c r="X4061" s="2">
        <v>1</v>
      </c>
      <c r="Y4061" s="2" t="s">
        <v>81</v>
      </c>
      <c r="Z4061" s="2">
        <v>1</v>
      </c>
      <c r="AA4061" s="2" t="s">
        <v>82</v>
      </c>
      <c r="AB4061" s="2">
        <v>9</v>
      </c>
      <c r="AC4061" s="2" t="s">
        <v>124</v>
      </c>
      <c r="AD4061" s="3">
        <v>40454</v>
      </c>
      <c r="AE4061" s="4">
        <v>0.84375</v>
      </c>
      <c r="AF4061" s="2"/>
      <c r="AG4061" s="2"/>
      <c r="AH4061" s="2">
        <v>2</v>
      </c>
      <c r="AI4061" s="2" t="s">
        <v>84</v>
      </c>
      <c r="AJ4061" s="2">
        <v>9</v>
      </c>
      <c r="AK4061" s="2" t="s">
        <v>103</v>
      </c>
      <c r="AL4061" s="2">
        <v>21</v>
      </c>
      <c r="AM4061" s="2" t="s">
        <v>1311</v>
      </c>
      <c r="AN4061" s="2"/>
      <c r="AO4061" s="2" t="s">
        <v>590</v>
      </c>
      <c r="AP4061" s="2">
        <v>11</v>
      </c>
      <c r="AQ4061" s="2" t="s">
        <v>82</v>
      </c>
      <c r="AR4061" s="2"/>
      <c r="AS4061" s="2"/>
      <c r="AT4061" s="2" t="s">
        <v>12778</v>
      </c>
      <c r="AU4061" s="2"/>
      <c r="AV4061" s="2"/>
      <c r="AW4061" s="2"/>
      <c r="AX4061" s="2"/>
      <c r="AY4061" s="2">
        <v>41</v>
      </c>
      <c r="AZ4061" s="2" t="s">
        <v>82</v>
      </c>
      <c r="BA4061" s="2">
        <v>41</v>
      </c>
      <c r="BB4061" s="2" t="s">
        <v>82</v>
      </c>
      <c r="BC4061" s="2">
        <v>41</v>
      </c>
      <c r="BD4061" s="2" t="s">
        <v>82</v>
      </c>
      <c r="BE4061" s="2">
        <v>41</v>
      </c>
      <c r="BF4061" s="2" t="s">
        <v>82</v>
      </c>
      <c r="BG4061" s="2"/>
      <c r="BH4061" s="2"/>
      <c r="BI4061" s="2"/>
      <c r="BJ4061" s="2">
        <v>241</v>
      </c>
      <c r="BK4061" s="2" t="s">
        <v>82</v>
      </c>
      <c r="BL4061" s="2"/>
      <c r="BM4061" s="2">
        <v>241</v>
      </c>
      <c r="BN4061" s="2" t="s">
        <v>82</v>
      </c>
      <c r="BO4061" s="2"/>
      <c r="BP4061" s="2">
        <v>241</v>
      </c>
      <c r="BQ4061" s="2" t="s">
        <v>82</v>
      </c>
      <c r="BR4061" s="2"/>
      <c r="BS4061" s="3">
        <v>40455</v>
      </c>
      <c r="BT4061" s="4">
        <v>0.14234953703703704</v>
      </c>
    </row>
    <row r="4062" spans="1:72" x14ac:dyDescent="0.25">
      <c r="A4062" s="2">
        <v>6088</v>
      </c>
      <c r="B4062" s="2">
        <v>2010</v>
      </c>
      <c r="C4062" s="2" t="s">
        <v>72</v>
      </c>
      <c r="D4062" s="2" t="s">
        <v>73</v>
      </c>
      <c r="E4062" s="2"/>
      <c r="F4062" s="2">
        <v>681</v>
      </c>
      <c r="G4062" s="2" t="s">
        <v>12779</v>
      </c>
      <c r="H4062" s="2">
        <v>40</v>
      </c>
      <c r="I4062" s="2" t="s">
        <v>2101</v>
      </c>
      <c r="J4062" s="2">
        <v>518</v>
      </c>
      <c r="K4062" s="2" t="s">
        <v>5197</v>
      </c>
      <c r="L4062" s="2" t="s">
        <v>5198</v>
      </c>
      <c r="M4062" s="3">
        <v>40455</v>
      </c>
      <c r="N4062" s="2" t="s">
        <v>12780</v>
      </c>
      <c r="O4062" s="2" t="s">
        <v>107</v>
      </c>
      <c r="P4062" s="2" t="s">
        <v>107</v>
      </c>
      <c r="Q4062" s="2" t="str">
        <f>"0008/2010"</f>
        <v>0008/2010</v>
      </c>
      <c r="R4062" s="2" t="s">
        <v>12781</v>
      </c>
      <c r="S4062" s="2" t="s">
        <v>12781</v>
      </c>
      <c r="T4062" s="2">
        <v>1</v>
      </c>
      <c r="U4062" s="2" t="s">
        <v>79</v>
      </c>
      <c r="V4062" s="2">
        <v>1</v>
      </c>
      <c r="W4062" s="2" t="s">
        <v>80</v>
      </c>
      <c r="X4062" s="2">
        <v>12</v>
      </c>
      <c r="Y4062" s="2" t="s">
        <v>148</v>
      </c>
      <c r="Z4062" s="2">
        <v>1</v>
      </c>
      <c r="AA4062" s="2" t="s">
        <v>82</v>
      </c>
      <c r="AB4062" s="2">
        <v>6</v>
      </c>
      <c r="AC4062" s="2" t="s">
        <v>83</v>
      </c>
      <c r="AD4062" s="2"/>
      <c r="AE4062" s="2"/>
      <c r="AF4062" s="3">
        <v>40455</v>
      </c>
      <c r="AG4062" s="4">
        <v>0.125</v>
      </c>
      <c r="AH4062" s="2">
        <v>6</v>
      </c>
      <c r="AI4062" s="2" t="s">
        <v>197</v>
      </c>
      <c r="AJ4062" s="2">
        <v>58</v>
      </c>
      <c r="AK4062" s="2" t="s">
        <v>406</v>
      </c>
      <c r="AL4062" s="2">
        <v>22</v>
      </c>
      <c r="AM4062" s="2" t="s">
        <v>1853</v>
      </c>
      <c r="AN4062" s="2"/>
      <c r="AO4062" s="2" t="s">
        <v>12782</v>
      </c>
      <c r="AP4062" s="2">
        <v>11</v>
      </c>
      <c r="AQ4062" s="2" t="s">
        <v>82</v>
      </c>
      <c r="AR4062" s="2"/>
      <c r="AS4062" s="2"/>
      <c r="AT4062" s="2" t="s">
        <v>12783</v>
      </c>
      <c r="AU4062" s="2"/>
      <c r="AV4062" s="2"/>
      <c r="AW4062" s="2"/>
      <c r="AX4062" s="2"/>
      <c r="AY4062" s="2">
        <v>41</v>
      </c>
      <c r="AZ4062" s="2" t="s">
        <v>82</v>
      </c>
      <c r="BA4062" s="2">
        <v>41</v>
      </c>
      <c r="BB4062" s="2" t="s">
        <v>82</v>
      </c>
      <c r="BC4062" s="2">
        <v>41</v>
      </c>
      <c r="BD4062" s="2" t="s">
        <v>82</v>
      </c>
      <c r="BE4062" s="2">
        <v>4</v>
      </c>
      <c r="BF4062" s="2" t="s">
        <v>90</v>
      </c>
      <c r="BG4062" s="2">
        <v>4422</v>
      </c>
      <c r="BH4062" s="4">
        <v>0.10069444444444443</v>
      </c>
      <c r="BI4062" s="2"/>
      <c r="BJ4062" s="2">
        <v>13</v>
      </c>
      <c r="BK4062" s="2" t="s">
        <v>91</v>
      </c>
      <c r="BL4062" s="2" t="s">
        <v>170</v>
      </c>
      <c r="BM4062" s="2">
        <v>13</v>
      </c>
      <c r="BN4062" s="2" t="s">
        <v>91</v>
      </c>
      <c r="BO4062" s="2"/>
      <c r="BP4062" s="2">
        <v>13</v>
      </c>
      <c r="BQ4062" s="2" t="s">
        <v>91</v>
      </c>
      <c r="BR4062" s="2" t="s">
        <v>492</v>
      </c>
      <c r="BS4062" s="3">
        <v>40455</v>
      </c>
      <c r="BT4062" s="4">
        <v>0.32225694444444447</v>
      </c>
    </row>
    <row r="4063" spans="1:72" x14ac:dyDescent="0.25">
      <c r="A4063" s="2">
        <v>6089</v>
      </c>
      <c r="B4063" s="2">
        <v>2010</v>
      </c>
      <c r="C4063" s="2" t="s">
        <v>377</v>
      </c>
      <c r="D4063" s="2" t="s">
        <v>73</v>
      </c>
      <c r="E4063" s="2"/>
      <c r="F4063" s="2">
        <v>426</v>
      </c>
      <c r="G4063" s="2" t="s">
        <v>378</v>
      </c>
      <c r="H4063" s="2">
        <v>22</v>
      </c>
      <c r="I4063" s="2" t="s">
        <v>75</v>
      </c>
      <c r="J4063" s="2">
        <v>311</v>
      </c>
      <c r="K4063" s="2" t="s">
        <v>379</v>
      </c>
      <c r="L4063" s="2" t="s">
        <v>380</v>
      </c>
      <c r="M4063" s="3">
        <v>40455</v>
      </c>
      <c r="N4063" s="2" t="s">
        <v>12784</v>
      </c>
      <c r="O4063" s="2"/>
      <c r="P4063" s="2"/>
      <c r="Q4063" s="2" t="str">
        <f>"261-C/10"</f>
        <v>261-C/10</v>
      </c>
      <c r="R4063" s="2" t="s">
        <v>7074</v>
      </c>
      <c r="S4063" s="2"/>
      <c r="T4063" s="2">
        <v>1</v>
      </c>
      <c r="U4063" s="2" t="s">
        <v>79</v>
      </c>
      <c r="V4063" s="2">
        <v>1</v>
      </c>
      <c r="W4063" s="2" t="s">
        <v>80</v>
      </c>
      <c r="X4063" s="2">
        <v>1</v>
      </c>
      <c r="Y4063" s="2" t="s">
        <v>81</v>
      </c>
      <c r="Z4063" s="2">
        <v>1</v>
      </c>
      <c r="AA4063" s="2" t="s">
        <v>82</v>
      </c>
      <c r="AB4063" s="2">
        <v>9</v>
      </c>
      <c r="AC4063" s="2" t="s">
        <v>124</v>
      </c>
      <c r="AD4063" s="3">
        <v>40454</v>
      </c>
      <c r="AE4063" s="4">
        <v>0.77777777777777779</v>
      </c>
      <c r="AF4063" s="2"/>
      <c r="AG4063" s="2"/>
      <c r="AH4063" s="2">
        <v>2</v>
      </c>
      <c r="AI4063" s="2" t="s">
        <v>84</v>
      </c>
      <c r="AJ4063" s="2">
        <v>9</v>
      </c>
      <c r="AK4063" s="2" t="s">
        <v>103</v>
      </c>
      <c r="AL4063" s="2">
        <v>24</v>
      </c>
      <c r="AM4063" s="2" t="s">
        <v>1540</v>
      </c>
      <c r="AN4063" s="2" t="s">
        <v>12785</v>
      </c>
      <c r="AO4063" s="2"/>
      <c r="AP4063" s="2">
        <v>11</v>
      </c>
      <c r="AQ4063" s="2" t="s">
        <v>82</v>
      </c>
      <c r="AR4063" s="2"/>
      <c r="AS4063" s="2"/>
      <c r="AT4063" s="2" t="s">
        <v>12786</v>
      </c>
      <c r="AU4063" s="2"/>
      <c r="AV4063" s="2"/>
      <c r="AW4063" s="2"/>
      <c r="AX4063" s="2"/>
      <c r="AY4063" s="2">
        <v>41</v>
      </c>
      <c r="AZ4063" s="2" t="s">
        <v>82</v>
      </c>
      <c r="BA4063" s="2">
        <v>41</v>
      </c>
      <c r="BB4063" s="2" t="s">
        <v>82</v>
      </c>
      <c r="BC4063" s="2">
        <v>41</v>
      </c>
      <c r="BD4063" s="2" t="s">
        <v>82</v>
      </c>
      <c r="BE4063" s="2">
        <v>41</v>
      </c>
      <c r="BF4063" s="2" t="s">
        <v>82</v>
      </c>
      <c r="BG4063" s="2"/>
      <c r="BH4063" s="2"/>
      <c r="BI4063" s="2"/>
      <c r="BJ4063" s="2">
        <v>241</v>
      </c>
      <c r="BK4063" s="2" t="s">
        <v>82</v>
      </c>
      <c r="BL4063" s="2"/>
      <c r="BM4063" s="2">
        <v>241</v>
      </c>
      <c r="BN4063" s="2" t="s">
        <v>82</v>
      </c>
      <c r="BO4063" s="2"/>
      <c r="BP4063" s="2">
        <v>241</v>
      </c>
      <c r="BQ4063" s="2" t="s">
        <v>82</v>
      </c>
      <c r="BR4063" s="2"/>
      <c r="BS4063" s="3">
        <v>40455</v>
      </c>
      <c r="BT4063" s="4">
        <v>0.34593750000000001</v>
      </c>
    </row>
    <row r="4064" spans="1:72" x14ac:dyDescent="0.25">
      <c r="A4064" s="2">
        <v>6090</v>
      </c>
      <c r="B4064" s="2">
        <v>2010</v>
      </c>
      <c r="C4064" s="2" t="s">
        <v>377</v>
      </c>
      <c r="D4064" s="2" t="s">
        <v>73</v>
      </c>
      <c r="E4064" s="2"/>
      <c r="F4064" s="2">
        <v>426</v>
      </c>
      <c r="G4064" s="2" t="s">
        <v>378</v>
      </c>
      <c r="H4064" s="2">
        <v>108</v>
      </c>
      <c r="I4064" s="2" t="s">
        <v>1096</v>
      </c>
      <c r="J4064" s="2">
        <v>311</v>
      </c>
      <c r="K4064" s="2" t="s">
        <v>379</v>
      </c>
      <c r="L4064" s="2" t="s">
        <v>380</v>
      </c>
      <c r="M4064" s="3">
        <v>40455</v>
      </c>
      <c r="N4064" s="2" t="s">
        <v>7171</v>
      </c>
      <c r="O4064" s="2"/>
      <c r="P4064" s="2"/>
      <c r="Q4064" s="2" t="str">
        <f>"262-C/10"</f>
        <v>262-C/10</v>
      </c>
      <c r="R4064" s="2" t="s">
        <v>5773</v>
      </c>
      <c r="S4064" s="2" t="s">
        <v>5773</v>
      </c>
      <c r="T4064" s="2">
        <v>1</v>
      </c>
      <c r="U4064" s="2" t="s">
        <v>79</v>
      </c>
      <c r="V4064" s="2">
        <v>1</v>
      </c>
      <c r="W4064" s="2" t="s">
        <v>80</v>
      </c>
      <c r="X4064" s="2">
        <v>1</v>
      </c>
      <c r="Y4064" s="2" t="s">
        <v>81</v>
      </c>
      <c r="Z4064" s="2">
        <v>1</v>
      </c>
      <c r="AA4064" s="2" t="s">
        <v>82</v>
      </c>
      <c r="AB4064" s="2">
        <v>9</v>
      </c>
      <c r="AC4064" s="2" t="s">
        <v>124</v>
      </c>
      <c r="AD4064" s="3">
        <v>40454</v>
      </c>
      <c r="AE4064" s="4">
        <v>0.94444444444444453</v>
      </c>
      <c r="AF4064" s="2"/>
      <c r="AG4064" s="2"/>
      <c r="AH4064" s="2">
        <v>2</v>
      </c>
      <c r="AI4064" s="2" t="s">
        <v>84</v>
      </c>
      <c r="AJ4064" s="2">
        <v>9</v>
      </c>
      <c r="AK4064" s="2" t="s">
        <v>103</v>
      </c>
      <c r="AL4064" s="2">
        <v>24</v>
      </c>
      <c r="AM4064" s="2" t="s">
        <v>1540</v>
      </c>
      <c r="AN4064" s="2"/>
      <c r="AO4064" s="2" t="s">
        <v>5705</v>
      </c>
      <c r="AP4064" s="2">
        <v>11</v>
      </c>
      <c r="AQ4064" s="2" t="s">
        <v>82</v>
      </c>
      <c r="AR4064" s="2"/>
      <c r="AS4064" s="2"/>
      <c r="AT4064" s="2" t="s">
        <v>12787</v>
      </c>
      <c r="AU4064" s="2"/>
      <c r="AV4064" s="2"/>
      <c r="AW4064" s="2"/>
      <c r="AX4064" s="2"/>
      <c r="AY4064" s="2">
        <v>41</v>
      </c>
      <c r="AZ4064" s="2" t="s">
        <v>82</v>
      </c>
      <c r="BA4064" s="2">
        <v>41</v>
      </c>
      <c r="BB4064" s="2" t="s">
        <v>82</v>
      </c>
      <c r="BC4064" s="2">
        <v>41</v>
      </c>
      <c r="BD4064" s="2" t="s">
        <v>82</v>
      </c>
      <c r="BE4064" s="2">
        <v>41</v>
      </c>
      <c r="BF4064" s="2" t="s">
        <v>82</v>
      </c>
      <c r="BG4064" s="2"/>
      <c r="BH4064" s="2"/>
      <c r="BI4064" s="2"/>
      <c r="BJ4064" s="2">
        <v>241</v>
      </c>
      <c r="BK4064" s="2" t="s">
        <v>82</v>
      </c>
      <c r="BL4064" s="2"/>
      <c r="BM4064" s="2">
        <v>241</v>
      </c>
      <c r="BN4064" s="2" t="s">
        <v>82</v>
      </c>
      <c r="BO4064" s="2"/>
      <c r="BP4064" s="2">
        <v>241</v>
      </c>
      <c r="BQ4064" s="2" t="s">
        <v>82</v>
      </c>
      <c r="BR4064" s="2"/>
      <c r="BS4064" s="3">
        <v>40455</v>
      </c>
      <c r="BT4064" s="4">
        <v>0.35745370370370372</v>
      </c>
    </row>
    <row r="4065" spans="1:72" x14ac:dyDescent="0.25">
      <c r="A4065" s="2">
        <v>6092</v>
      </c>
      <c r="B4065" s="2">
        <v>2010</v>
      </c>
      <c r="C4065" s="2" t="s">
        <v>377</v>
      </c>
      <c r="D4065" s="2" t="s">
        <v>73</v>
      </c>
      <c r="E4065" s="2"/>
      <c r="F4065" s="2">
        <v>426</v>
      </c>
      <c r="G4065" s="2" t="s">
        <v>378</v>
      </c>
      <c r="H4065" s="2">
        <v>108</v>
      </c>
      <c r="I4065" s="2" t="s">
        <v>1096</v>
      </c>
      <c r="J4065" s="2">
        <v>311</v>
      </c>
      <c r="K4065" s="2" t="s">
        <v>379</v>
      </c>
      <c r="L4065" s="2" t="s">
        <v>380</v>
      </c>
      <c r="M4065" s="3">
        <v>40455</v>
      </c>
      <c r="N4065" s="2" t="s">
        <v>7171</v>
      </c>
      <c r="O4065" s="2"/>
      <c r="P4065" s="2"/>
      <c r="Q4065" s="2" t="str">
        <f>"263-C/10"</f>
        <v>263-C/10</v>
      </c>
      <c r="R4065" s="2" t="s">
        <v>1924</v>
      </c>
      <c r="S4065" s="2" t="s">
        <v>1924</v>
      </c>
      <c r="T4065" s="2">
        <v>1</v>
      </c>
      <c r="U4065" s="2" t="s">
        <v>79</v>
      </c>
      <c r="V4065" s="2">
        <v>1</v>
      </c>
      <c r="W4065" s="2" t="s">
        <v>80</v>
      </c>
      <c r="X4065" s="2">
        <v>1</v>
      </c>
      <c r="Y4065" s="2" t="s">
        <v>81</v>
      </c>
      <c r="Z4065" s="2">
        <v>1</v>
      </c>
      <c r="AA4065" s="2" t="s">
        <v>82</v>
      </c>
      <c r="AB4065" s="2">
        <v>9</v>
      </c>
      <c r="AC4065" s="2" t="s">
        <v>124</v>
      </c>
      <c r="AD4065" s="3">
        <v>40455</v>
      </c>
      <c r="AE4065" s="4">
        <v>5.5555555555555552E-2</v>
      </c>
      <c r="AF4065" s="2"/>
      <c r="AG4065" s="2"/>
      <c r="AH4065" s="2">
        <v>2</v>
      </c>
      <c r="AI4065" s="2" t="s">
        <v>84</v>
      </c>
      <c r="AJ4065" s="2">
        <v>9</v>
      </c>
      <c r="AK4065" s="2" t="s">
        <v>103</v>
      </c>
      <c r="AL4065" s="2">
        <v>29</v>
      </c>
      <c r="AM4065" s="2" t="s">
        <v>5416</v>
      </c>
      <c r="AN4065" s="2" t="s">
        <v>2585</v>
      </c>
      <c r="AO4065" s="2"/>
      <c r="AP4065" s="2">
        <v>11</v>
      </c>
      <c r="AQ4065" s="2" t="s">
        <v>82</v>
      </c>
      <c r="AR4065" s="2"/>
      <c r="AS4065" s="2"/>
      <c r="AT4065" s="2" t="s">
        <v>12788</v>
      </c>
      <c r="AU4065" s="2"/>
      <c r="AV4065" s="2"/>
      <c r="AW4065" s="2"/>
      <c r="AX4065" s="2"/>
      <c r="AY4065" s="2">
        <v>41</v>
      </c>
      <c r="AZ4065" s="2" t="s">
        <v>82</v>
      </c>
      <c r="BA4065" s="2">
        <v>41</v>
      </c>
      <c r="BB4065" s="2" t="s">
        <v>82</v>
      </c>
      <c r="BC4065" s="2">
        <v>41</v>
      </c>
      <c r="BD4065" s="2" t="s">
        <v>82</v>
      </c>
      <c r="BE4065" s="2">
        <v>41</v>
      </c>
      <c r="BF4065" s="2" t="s">
        <v>82</v>
      </c>
      <c r="BG4065" s="2"/>
      <c r="BH4065" s="2"/>
      <c r="BI4065" s="2"/>
      <c r="BJ4065" s="2">
        <v>241</v>
      </c>
      <c r="BK4065" s="2" t="s">
        <v>82</v>
      </c>
      <c r="BL4065" s="2"/>
      <c r="BM4065" s="2">
        <v>241</v>
      </c>
      <c r="BN4065" s="2" t="s">
        <v>82</v>
      </c>
      <c r="BO4065" s="2"/>
      <c r="BP4065" s="2">
        <v>241</v>
      </c>
      <c r="BQ4065" s="2" t="s">
        <v>82</v>
      </c>
      <c r="BR4065" s="2"/>
      <c r="BS4065" s="3">
        <v>40455</v>
      </c>
      <c r="BT4065" s="4">
        <v>0.36953703703703705</v>
      </c>
    </row>
    <row r="4066" spans="1:72" x14ac:dyDescent="0.25">
      <c r="A4066" s="2">
        <v>6094</v>
      </c>
      <c r="B4066" s="2">
        <v>2010</v>
      </c>
      <c r="C4066" s="2" t="s">
        <v>72</v>
      </c>
      <c r="D4066" s="2" t="s">
        <v>122</v>
      </c>
      <c r="E4066" s="2" t="s">
        <v>12789</v>
      </c>
      <c r="F4066" s="2">
        <v>37</v>
      </c>
      <c r="G4066" s="2" t="s">
        <v>1790</v>
      </c>
      <c r="H4066" s="2">
        <v>22</v>
      </c>
      <c r="I4066" s="2" t="s">
        <v>75</v>
      </c>
      <c r="J4066" s="2">
        <v>328</v>
      </c>
      <c r="K4066" s="2" t="s">
        <v>1791</v>
      </c>
      <c r="L4066" s="2" t="s">
        <v>1792</v>
      </c>
      <c r="M4066" s="3">
        <v>40455</v>
      </c>
      <c r="N4066" s="2" t="s">
        <v>3716</v>
      </c>
      <c r="O4066" s="2"/>
      <c r="P4066" s="2"/>
      <c r="Q4066" s="2" t="str">
        <f>"098/10"</f>
        <v>098/10</v>
      </c>
      <c r="R4066" s="2"/>
      <c r="S4066" s="2" t="s">
        <v>1794</v>
      </c>
      <c r="T4066" s="2">
        <v>1</v>
      </c>
      <c r="U4066" s="2" t="s">
        <v>79</v>
      </c>
      <c r="V4066" s="2">
        <v>1</v>
      </c>
      <c r="W4066" s="2" t="s">
        <v>80</v>
      </c>
      <c r="X4066" s="2">
        <v>12</v>
      </c>
      <c r="Y4066" s="2" t="s">
        <v>148</v>
      </c>
      <c r="Z4066" s="2">
        <v>1</v>
      </c>
      <c r="AA4066" s="2" t="s">
        <v>82</v>
      </c>
      <c r="AB4066" s="2">
        <v>6</v>
      </c>
      <c r="AC4066" s="2" t="s">
        <v>83</v>
      </c>
      <c r="AD4066" s="3">
        <v>40453</v>
      </c>
      <c r="AE4066" s="2"/>
      <c r="AF4066" s="3">
        <v>40453</v>
      </c>
      <c r="AG4066" s="4">
        <v>0.83333333333333337</v>
      </c>
      <c r="AH4066" s="2">
        <v>4</v>
      </c>
      <c r="AI4066" s="2" t="s">
        <v>125</v>
      </c>
      <c r="AJ4066" s="2">
        <v>29</v>
      </c>
      <c r="AK4066" s="2" t="s">
        <v>227</v>
      </c>
      <c r="AL4066" s="2">
        <v>22</v>
      </c>
      <c r="AM4066" s="2" t="s">
        <v>1853</v>
      </c>
      <c r="AN4066" s="2"/>
      <c r="AO4066" s="2"/>
      <c r="AP4066" s="2">
        <v>11</v>
      </c>
      <c r="AQ4066" s="2" t="s">
        <v>82</v>
      </c>
      <c r="AR4066" s="2"/>
      <c r="AS4066" s="2"/>
      <c r="AT4066" s="2" t="s">
        <v>12790</v>
      </c>
      <c r="AU4066" s="2"/>
      <c r="AV4066" s="2"/>
      <c r="AW4066" s="2"/>
      <c r="AX4066" s="2"/>
      <c r="AY4066" s="2">
        <v>41</v>
      </c>
      <c r="AZ4066" s="2" t="s">
        <v>82</v>
      </c>
      <c r="BA4066" s="2">
        <v>41</v>
      </c>
      <c r="BB4066" s="2" t="s">
        <v>82</v>
      </c>
      <c r="BC4066" s="2">
        <v>41</v>
      </c>
      <c r="BD4066" s="2" t="s">
        <v>82</v>
      </c>
      <c r="BE4066" s="2">
        <v>4</v>
      </c>
      <c r="BF4066" s="2" t="s">
        <v>90</v>
      </c>
      <c r="BG4066" s="2">
        <v>4134</v>
      </c>
      <c r="BH4066" s="4">
        <v>0.79166666666666663</v>
      </c>
      <c r="BI4066" s="4">
        <v>0.71875</v>
      </c>
      <c r="BJ4066" s="2">
        <v>13</v>
      </c>
      <c r="BK4066" s="2" t="s">
        <v>91</v>
      </c>
      <c r="BL4066" s="2" t="s">
        <v>185</v>
      </c>
      <c r="BM4066" s="2">
        <v>13</v>
      </c>
      <c r="BN4066" s="2" t="s">
        <v>91</v>
      </c>
      <c r="BO4066" s="2"/>
      <c r="BP4066" s="2">
        <v>13</v>
      </c>
      <c r="BQ4066" s="2" t="s">
        <v>91</v>
      </c>
      <c r="BR4066" s="2" t="s">
        <v>828</v>
      </c>
      <c r="BS4066" s="3">
        <v>40455</v>
      </c>
      <c r="BT4066" s="4">
        <v>0.40956018518518517</v>
      </c>
    </row>
    <row r="4067" spans="1:72" x14ac:dyDescent="0.25">
      <c r="A4067" s="2">
        <v>6097</v>
      </c>
      <c r="B4067" s="2">
        <v>2010</v>
      </c>
      <c r="C4067" s="2" t="s">
        <v>72</v>
      </c>
      <c r="D4067" s="2" t="s">
        <v>73</v>
      </c>
      <c r="E4067" s="2"/>
      <c r="F4067" s="2">
        <v>24</v>
      </c>
      <c r="G4067" s="2" t="s">
        <v>532</v>
      </c>
      <c r="H4067" s="2">
        <v>1</v>
      </c>
      <c r="I4067" s="2" t="s">
        <v>82</v>
      </c>
      <c r="J4067" s="2">
        <v>300</v>
      </c>
      <c r="K4067" s="2" t="s">
        <v>114</v>
      </c>
      <c r="L4067" s="2" t="s">
        <v>115</v>
      </c>
      <c r="M4067" s="3">
        <v>40455</v>
      </c>
      <c r="N4067" s="2"/>
      <c r="O4067" s="2"/>
      <c r="P4067" s="2"/>
      <c r="Q4067" s="2" t="str">
        <f>"511-E/10"</f>
        <v>511-E/10</v>
      </c>
      <c r="R4067" s="2" t="s">
        <v>116</v>
      </c>
      <c r="S4067" s="2" t="s">
        <v>116</v>
      </c>
      <c r="T4067" s="2">
        <v>1</v>
      </c>
      <c r="U4067" s="2" t="s">
        <v>79</v>
      </c>
      <c r="V4067" s="2">
        <v>1</v>
      </c>
      <c r="W4067" s="2" t="s">
        <v>80</v>
      </c>
      <c r="X4067" s="2">
        <v>12</v>
      </c>
      <c r="Y4067" s="2" t="s">
        <v>148</v>
      </c>
      <c r="Z4067" s="2">
        <v>1</v>
      </c>
      <c r="AA4067" s="2" t="s">
        <v>82</v>
      </c>
      <c r="AB4067" s="2">
        <v>6</v>
      </c>
      <c r="AC4067" s="2" t="s">
        <v>83</v>
      </c>
      <c r="AD4067" s="3">
        <v>40446</v>
      </c>
      <c r="AE4067" s="2"/>
      <c r="AF4067" s="3">
        <v>40455</v>
      </c>
      <c r="AG4067" s="4">
        <v>0.43055555555555558</v>
      </c>
      <c r="AH4067" s="2">
        <v>2</v>
      </c>
      <c r="AI4067" s="2" t="s">
        <v>84</v>
      </c>
      <c r="AJ4067" s="2">
        <v>9</v>
      </c>
      <c r="AK4067" s="2" t="s">
        <v>103</v>
      </c>
      <c r="AL4067" s="2">
        <v>9</v>
      </c>
      <c r="AM4067" s="2" t="s">
        <v>259</v>
      </c>
      <c r="AN4067" s="2" t="s">
        <v>12791</v>
      </c>
      <c r="AO4067" s="2" t="s">
        <v>12792</v>
      </c>
      <c r="AP4067" s="2">
        <v>11</v>
      </c>
      <c r="AQ4067" s="2" t="s">
        <v>82</v>
      </c>
      <c r="AR4067" s="2"/>
      <c r="AS4067" s="2"/>
      <c r="AT4067" s="2" t="s">
        <v>12793</v>
      </c>
      <c r="AU4067" s="2"/>
      <c r="AV4067" s="2"/>
      <c r="AW4067" s="2"/>
      <c r="AX4067" s="2"/>
      <c r="AY4067" s="2">
        <v>41</v>
      </c>
      <c r="AZ4067" s="2" t="s">
        <v>82</v>
      </c>
      <c r="BA4067" s="2">
        <v>41</v>
      </c>
      <c r="BB4067" s="2" t="s">
        <v>82</v>
      </c>
      <c r="BC4067" s="2">
        <v>41</v>
      </c>
      <c r="BD4067" s="2" t="s">
        <v>82</v>
      </c>
      <c r="BE4067" s="2">
        <v>41</v>
      </c>
      <c r="BF4067" s="2" t="s">
        <v>82</v>
      </c>
      <c r="BG4067" s="2"/>
      <c r="BH4067" s="2"/>
      <c r="BI4067" s="2"/>
      <c r="BJ4067" s="2">
        <v>241</v>
      </c>
      <c r="BK4067" s="2" t="s">
        <v>82</v>
      </c>
      <c r="BL4067" s="2"/>
      <c r="BM4067" s="2">
        <v>241</v>
      </c>
      <c r="BN4067" s="2" t="s">
        <v>82</v>
      </c>
      <c r="BO4067" s="2"/>
      <c r="BP4067" s="2">
        <v>241</v>
      </c>
      <c r="BQ4067" s="2" t="s">
        <v>82</v>
      </c>
      <c r="BR4067" s="2"/>
      <c r="BS4067" s="3">
        <v>40455</v>
      </c>
      <c r="BT4067" s="4">
        <v>0.49100694444444443</v>
      </c>
    </row>
    <row r="4068" spans="1:72" x14ac:dyDescent="0.25">
      <c r="A4068" s="2">
        <v>6098</v>
      </c>
      <c r="B4068" s="2">
        <v>2010</v>
      </c>
      <c r="C4068" s="2" t="s">
        <v>72</v>
      </c>
      <c r="D4068" s="2" t="s">
        <v>73</v>
      </c>
      <c r="E4068" s="2"/>
      <c r="F4068" s="2">
        <v>682</v>
      </c>
      <c r="G4068" s="2" t="s">
        <v>12794</v>
      </c>
      <c r="H4068" s="2">
        <v>1</v>
      </c>
      <c r="I4068" s="2" t="s">
        <v>82</v>
      </c>
      <c r="J4068" s="2">
        <v>506</v>
      </c>
      <c r="K4068" s="2" t="s">
        <v>4056</v>
      </c>
      <c r="L4068" s="2" t="s">
        <v>12795</v>
      </c>
      <c r="M4068" s="3">
        <v>40455</v>
      </c>
      <c r="N4068" s="2"/>
      <c r="O4068" s="2" t="s">
        <v>12796</v>
      </c>
      <c r="P4068" s="2">
        <v>4557</v>
      </c>
      <c r="Q4068" s="2" t="str">
        <f>""</f>
        <v/>
      </c>
      <c r="R4068" s="2"/>
      <c r="S4068" s="2"/>
      <c r="T4068" s="2">
        <v>1</v>
      </c>
      <c r="U4068" s="2" t="s">
        <v>79</v>
      </c>
      <c r="V4068" s="2">
        <v>1</v>
      </c>
      <c r="W4068" s="2" t="s">
        <v>80</v>
      </c>
      <c r="X4068" s="2">
        <v>12</v>
      </c>
      <c r="Y4068" s="2" t="s">
        <v>148</v>
      </c>
      <c r="Z4068" s="2">
        <v>1</v>
      </c>
      <c r="AA4068" s="2" t="s">
        <v>82</v>
      </c>
      <c r="AB4068" s="2">
        <v>6</v>
      </c>
      <c r="AC4068" s="2" t="s">
        <v>83</v>
      </c>
      <c r="AD4068" s="3">
        <v>40454</v>
      </c>
      <c r="AE4068" s="4">
        <v>0.60416666666666663</v>
      </c>
      <c r="AF4068" s="3">
        <v>40454</v>
      </c>
      <c r="AG4068" s="2"/>
      <c r="AH4068" s="2">
        <v>2</v>
      </c>
      <c r="AI4068" s="2" t="s">
        <v>84</v>
      </c>
      <c r="AJ4068" s="2">
        <v>6</v>
      </c>
      <c r="AK4068" s="2" t="s">
        <v>453</v>
      </c>
      <c r="AL4068" s="2">
        <v>23</v>
      </c>
      <c r="AM4068" s="2" t="s">
        <v>251</v>
      </c>
      <c r="AN4068" s="2" t="s">
        <v>12797</v>
      </c>
      <c r="AO4068" s="2" t="s">
        <v>170</v>
      </c>
      <c r="AP4068" s="2">
        <v>11</v>
      </c>
      <c r="AQ4068" s="2" t="s">
        <v>82</v>
      </c>
      <c r="AR4068" s="2"/>
      <c r="AS4068" s="2"/>
      <c r="AT4068" s="2" t="s">
        <v>12798</v>
      </c>
      <c r="AU4068" s="2"/>
      <c r="AV4068" s="2"/>
      <c r="AW4068" s="2"/>
      <c r="AX4068" s="2"/>
      <c r="AY4068" s="2">
        <v>41</v>
      </c>
      <c r="AZ4068" s="2" t="s">
        <v>82</v>
      </c>
      <c r="BA4068" s="2">
        <v>41</v>
      </c>
      <c r="BB4068" s="2" t="s">
        <v>82</v>
      </c>
      <c r="BC4068" s="2">
        <v>41</v>
      </c>
      <c r="BD4068" s="2" t="s">
        <v>82</v>
      </c>
      <c r="BE4068" s="2">
        <v>41</v>
      </c>
      <c r="BF4068" s="2" t="s">
        <v>82</v>
      </c>
      <c r="BG4068" s="2"/>
      <c r="BH4068" s="2"/>
      <c r="BI4068" s="2"/>
      <c r="BJ4068" s="2">
        <v>241</v>
      </c>
      <c r="BK4068" s="2" t="s">
        <v>82</v>
      </c>
      <c r="BL4068" s="2"/>
      <c r="BM4068" s="2">
        <v>241</v>
      </c>
      <c r="BN4068" s="2" t="s">
        <v>82</v>
      </c>
      <c r="BO4068" s="2"/>
      <c r="BP4068" s="2">
        <v>241</v>
      </c>
      <c r="BQ4068" s="2" t="s">
        <v>82</v>
      </c>
      <c r="BR4068" s="2"/>
      <c r="BS4068" s="3">
        <v>40455</v>
      </c>
      <c r="BT4068" s="4">
        <v>0.50837962962962957</v>
      </c>
    </row>
    <row r="4069" spans="1:72" x14ac:dyDescent="0.25">
      <c r="A4069" s="2">
        <v>6100</v>
      </c>
      <c r="B4069" s="2">
        <v>2010</v>
      </c>
      <c r="C4069" s="2" t="s">
        <v>8160</v>
      </c>
      <c r="D4069" s="2" t="s">
        <v>122</v>
      </c>
      <c r="E4069" s="2" t="s">
        <v>12799</v>
      </c>
      <c r="F4069" s="2">
        <v>389</v>
      </c>
      <c r="G4069" s="2" t="s">
        <v>1819</v>
      </c>
      <c r="H4069" s="2">
        <v>2</v>
      </c>
      <c r="I4069" s="2" t="s">
        <v>267</v>
      </c>
      <c r="J4069" s="2">
        <v>399</v>
      </c>
      <c r="K4069" s="2" t="s">
        <v>1820</v>
      </c>
      <c r="L4069" s="2" t="s">
        <v>1821</v>
      </c>
      <c r="M4069" s="3">
        <v>40455</v>
      </c>
      <c r="N4069" s="2" t="s">
        <v>5653</v>
      </c>
      <c r="O4069" s="2"/>
      <c r="P4069" s="2"/>
      <c r="Q4069" s="2" t="str">
        <f>"510-E/10"</f>
        <v>510-E/10</v>
      </c>
      <c r="R4069" s="2" t="s">
        <v>12777</v>
      </c>
      <c r="S4069" s="2" t="s">
        <v>12777</v>
      </c>
      <c r="T4069" s="2">
        <v>1</v>
      </c>
      <c r="U4069" s="2" t="s">
        <v>79</v>
      </c>
      <c r="V4069" s="2">
        <v>1</v>
      </c>
      <c r="W4069" s="2" t="s">
        <v>80</v>
      </c>
      <c r="X4069" s="2">
        <v>1</v>
      </c>
      <c r="Y4069" s="2" t="s">
        <v>81</v>
      </c>
      <c r="Z4069" s="2">
        <v>1</v>
      </c>
      <c r="AA4069" s="2" t="s">
        <v>82</v>
      </c>
      <c r="AB4069" s="2">
        <v>9</v>
      </c>
      <c r="AC4069" s="2" t="s">
        <v>124</v>
      </c>
      <c r="AD4069" s="3">
        <v>40454</v>
      </c>
      <c r="AE4069" s="4">
        <v>0.84375</v>
      </c>
      <c r="AF4069" s="2"/>
      <c r="AG4069" s="2"/>
      <c r="AH4069" s="2">
        <v>2</v>
      </c>
      <c r="AI4069" s="2" t="s">
        <v>84</v>
      </c>
      <c r="AJ4069" s="2">
        <v>9</v>
      </c>
      <c r="AK4069" s="2" t="s">
        <v>103</v>
      </c>
      <c r="AL4069" s="2">
        <v>21</v>
      </c>
      <c r="AM4069" s="2" t="s">
        <v>1311</v>
      </c>
      <c r="AN4069" s="2"/>
      <c r="AO4069" s="2" t="s">
        <v>12800</v>
      </c>
      <c r="AP4069" s="2">
        <v>11</v>
      </c>
      <c r="AQ4069" s="2" t="s">
        <v>82</v>
      </c>
      <c r="AR4069" s="2"/>
      <c r="AS4069" s="2"/>
      <c r="AT4069" s="2" t="s">
        <v>12801</v>
      </c>
      <c r="AU4069" s="2"/>
      <c r="AV4069" s="2"/>
      <c r="AW4069" s="2"/>
      <c r="AX4069" s="2"/>
      <c r="AY4069" s="2">
        <v>41</v>
      </c>
      <c r="AZ4069" s="2" t="s">
        <v>82</v>
      </c>
      <c r="BA4069" s="2">
        <v>41</v>
      </c>
      <c r="BB4069" s="2" t="s">
        <v>82</v>
      </c>
      <c r="BC4069" s="2">
        <v>41</v>
      </c>
      <c r="BD4069" s="2" t="s">
        <v>82</v>
      </c>
      <c r="BE4069" s="2">
        <v>41</v>
      </c>
      <c r="BF4069" s="2" t="s">
        <v>82</v>
      </c>
      <c r="BG4069" s="2"/>
      <c r="BH4069" s="2"/>
      <c r="BI4069" s="2"/>
      <c r="BJ4069" s="2">
        <v>241</v>
      </c>
      <c r="BK4069" s="2" t="s">
        <v>82</v>
      </c>
      <c r="BL4069" s="2"/>
      <c r="BM4069" s="2">
        <v>241</v>
      </c>
      <c r="BN4069" s="2" t="s">
        <v>82</v>
      </c>
      <c r="BO4069" s="2"/>
      <c r="BP4069" s="2">
        <v>241</v>
      </c>
      <c r="BQ4069" s="2" t="s">
        <v>82</v>
      </c>
      <c r="BR4069" s="2"/>
      <c r="BS4069" s="3">
        <v>40455</v>
      </c>
      <c r="BT4069" s="4">
        <v>0.595636574074074</v>
      </c>
    </row>
    <row r="4070" spans="1:72" x14ac:dyDescent="0.25">
      <c r="A4070" s="2">
        <v>6106</v>
      </c>
      <c r="B4070" s="2">
        <v>2010</v>
      </c>
      <c r="C4070" s="2" t="s">
        <v>171</v>
      </c>
      <c r="D4070" s="2" t="s">
        <v>73</v>
      </c>
      <c r="E4070" s="2"/>
      <c r="F4070" s="2">
        <v>390</v>
      </c>
      <c r="G4070" s="2" t="s">
        <v>475</v>
      </c>
      <c r="H4070" s="2">
        <v>7</v>
      </c>
      <c r="I4070" s="2" t="s">
        <v>476</v>
      </c>
      <c r="J4070" s="2">
        <v>533</v>
      </c>
      <c r="K4070" s="2" t="s">
        <v>6511</v>
      </c>
      <c r="L4070" s="2" t="s">
        <v>478</v>
      </c>
      <c r="M4070" s="3">
        <v>40455</v>
      </c>
      <c r="N4070" s="2" t="s">
        <v>765</v>
      </c>
      <c r="O4070" s="2" t="s">
        <v>12802</v>
      </c>
      <c r="P4070" s="2" t="s">
        <v>12803</v>
      </c>
      <c r="Q4070" s="2" t="str">
        <f>"S/D"</f>
        <v>S/D</v>
      </c>
      <c r="R4070" s="2" t="s">
        <v>107</v>
      </c>
      <c r="S4070" s="2" t="s">
        <v>107</v>
      </c>
      <c r="T4070" s="2">
        <v>1</v>
      </c>
      <c r="U4070" s="2" t="s">
        <v>79</v>
      </c>
      <c r="V4070" s="2">
        <v>3</v>
      </c>
      <c r="W4070" s="2" t="s">
        <v>225</v>
      </c>
      <c r="X4070" s="2">
        <v>6</v>
      </c>
      <c r="Y4070" s="2" t="s">
        <v>249</v>
      </c>
      <c r="Z4070" s="2">
        <v>1</v>
      </c>
      <c r="AA4070" s="2" t="s">
        <v>82</v>
      </c>
      <c r="AB4070" s="2">
        <v>9</v>
      </c>
      <c r="AC4070" s="2" t="s">
        <v>124</v>
      </c>
      <c r="AD4070" s="3">
        <v>40455</v>
      </c>
      <c r="AE4070" s="2"/>
      <c r="AF4070" s="3">
        <v>40455</v>
      </c>
      <c r="AG4070" s="2"/>
      <c r="AH4070" s="2">
        <v>7</v>
      </c>
      <c r="AI4070" s="2" t="s">
        <v>801</v>
      </c>
      <c r="AJ4070" s="2">
        <v>3</v>
      </c>
      <c r="AK4070" s="2" t="s">
        <v>802</v>
      </c>
      <c r="AL4070" s="2">
        <v>23</v>
      </c>
      <c r="AM4070" s="2" t="s">
        <v>251</v>
      </c>
      <c r="AN4070" s="2" t="s">
        <v>107</v>
      </c>
      <c r="AO4070" s="2" t="s">
        <v>12804</v>
      </c>
      <c r="AP4070" s="2">
        <v>11</v>
      </c>
      <c r="AQ4070" s="2" t="s">
        <v>82</v>
      </c>
      <c r="AR4070" s="2"/>
      <c r="AS4070" s="2"/>
      <c r="AT4070" s="2" t="s">
        <v>12805</v>
      </c>
      <c r="AU4070" s="2"/>
      <c r="AV4070" s="2"/>
      <c r="AW4070" s="2"/>
      <c r="AX4070" s="2"/>
      <c r="AY4070" s="2">
        <v>41</v>
      </c>
      <c r="AZ4070" s="2" t="s">
        <v>82</v>
      </c>
      <c r="BA4070" s="2">
        <v>41</v>
      </c>
      <c r="BB4070" s="2" t="s">
        <v>82</v>
      </c>
      <c r="BC4070" s="2">
        <v>41</v>
      </c>
      <c r="BD4070" s="2" t="s">
        <v>82</v>
      </c>
      <c r="BE4070" s="2">
        <v>41</v>
      </c>
      <c r="BF4070" s="2" t="s">
        <v>82</v>
      </c>
      <c r="BG4070" s="2" t="s">
        <v>82</v>
      </c>
      <c r="BH4070" s="2"/>
      <c r="BI4070" s="2"/>
      <c r="BJ4070" s="2">
        <v>241</v>
      </c>
      <c r="BK4070" s="2" t="s">
        <v>82</v>
      </c>
      <c r="BL4070" s="2" t="s">
        <v>82</v>
      </c>
      <c r="BM4070" s="2">
        <v>241</v>
      </c>
      <c r="BN4070" s="2" t="s">
        <v>82</v>
      </c>
      <c r="BO4070" s="2"/>
      <c r="BP4070" s="2">
        <v>241</v>
      </c>
      <c r="BQ4070" s="2" t="s">
        <v>82</v>
      </c>
      <c r="BR4070" s="2" t="s">
        <v>82</v>
      </c>
      <c r="BS4070" s="3">
        <v>40455</v>
      </c>
      <c r="BT4070" s="4">
        <v>0.78153935185185175</v>
      </c>
    </row>
    <row r="4071" spans="1:72" x14ac:dyDescent="0.25">
      <c r="A4071" s="2">
        <v>6107</v>
      </c>
      <c r="B4071" s="2">
        <v>2010</v>
      </c>
      <c r="C4071" s="2" t="s">
        <v>72</v>
      </c>
      <c r="D4071" s="2" t="s">
        <v>73</v>
      </c>
      <c r="E4071" s="2"/>
      <c r="F4071" s="2">
        <v>350</v>
      </c>
      <c r="G4071" s="2" t="s">
        <v>12806</v>
      </c>
      <c r="H4071" s="2">
        <v>22</v>
      </c>
      <c r="I4071" s="2" t="s">
        <v>75</v>
      </c>
      <c r="J4071" s="2">
        <v>673</v>
      </c>
      <c r="K4071" s="2" t="s">
        <v>12807</v>
      </c>
      <c r="L4071" s="2" t="s">
        <v>7022</v>
      </c>
      <c r="M4071" s="3">
        <v>40455</v>
      </c>
      <c r="N4071" s="2" t="s">
        <v>12808</v>
      </c>
      <c r="O4071" s="2" t="s">
        <v>107</v>
      </c>
      <c r="P4071" s="2" t="s">
        <v>107</v>
      </c>
      <c r="Q4071" s="2" t="str">
        <f>"0012/2010"</f>
        <v>0012/2010</v>
      </c>
      <c r="R4071" s="2" t="s">
        <v>107</v>
      </c>
      <c r="S4071" s="2" t="s">
        <v>107</v>
      </c>
      <c r="T4071" s="2">
        <v>1</v>
      </c>
      <c r="U4071" s="2" t="s">
        <v>79</v>
      </c>
      <c r="V4071" s="2">
        <v>1</v>
      </c>
      <c r="W4071" s="2" t="s">
        <v>80</v>
      </c>
      <c r="X4071" s="2">
        <v>12</v>
      </c>
      <c r="Y4071" s="2" t="s">
        <v>148</v>
      </c>
      <c r="Z4071" s="2">
        <v>1</v>
      </c>
      <c r="AA4071" s="2" t="s">
        <v>82</v>
      </c>
      <c r="AB4071" s="2">
        <v>6</v>
      </c>
      <c r="AC4071" s="2" t="s">
        <v>83</v>
      </c>
      <c r="AD4071" s="3">
        <v>40450</v>
      </c>
      <c r="AE4071" s="4">
        <v>0.35416666666666669</v>
      </c>
      <c r="AF4071" s="3">
        <v>40455</v>
      </c>
      <c r="AG4071" s="4">
        <v>0.55902777777777779</v>
      </c>
      <c r="AH4071" s="2">
        <v>5</v>
      </c>
      <c r="AI4071" s="2" t="s">
        <v>274</v>
      </c>
      <c r="AJ4071" s="2">
        <v>45</v>
      </c>
      <c r="AK4071" s="2" t="s">
        <v>834</v>
      </c>
      <c r="AL4071" s="2">
        <v>22</v>
      </c>
      <c r="AM4071" s="2" t="s">
        <v>1853</v>
      </c>
      <c r="AN4071" s="2" t="s">
        <v>12809</v>
      </c>
      <c r="AO4071" s="2" t="s">
        <v>12810</v>
      </c>
      <c r="AP4071" s="2">
        <v>11</v>
      </c>
      <c r="AQ4071" s="2" t="s">
        <v>82</v>
      </c>
      <c r="AR4071" s="2" t="s">
        <v>82</v>
      </c>
      <c r="AS4071" s="2" t="s">
        <v>82</v>
      </c>
      <c r="AT4071" s="2" t="s">
        <v>12811</v>
      </c>
      <c r="AU4071" s="2"/>
      <c r="AV4071" s="2"/>
      <c r="AW4071" s="2"/>
      <c r="AX4071" s="2"/>
      <c r="AY4071" s="2">
        <v>41</v>
      </c>
      <c r="AZ4071" s="2" t="s">
        <v>82</v>
      </c>
      <c r="BA4071" s="2">
        <v>41</v>
      </c>
      <c r="BB4071" s="2" t="s">
        <v>82</v>
      </c>
      <c r="BC4071" s="2">
        <v>41</v>
      </c>
      <c r="BD4071" s="2" t="s">
        <v>82</v>
      </c>
      <c r="BE4071" s="2">
        <v>23</v>
      </c>
      <c r="BF4071" s="2" t="s">
        <v>183</v>
      </c>
      <c r="BG4071" s="2" t="s">
        <v>1375</v>
      </c>
      <c r="BH4071" s="4">
        <v>0.33333333333333331</v>
      </c>
      <c r="BI4071" s="4">
        <v>0.99652777777777779</v>
      </c>
      <c r="BJ4071" s="2">
        <v>73</v>
      </c>
      <c r="BK4071" s="2" t="s">
        <v>186</v>
      </c>
      <c r="BL4071" s="2" t="s">
        <v>187</v>
      </c>
      <c r="BM4071" s="2">
        <v>13</v>
      </c>
      <c r="BN4071" s="2" t="s">
        <v>91</v>
      </c>
      <c r="BO4071" s="2"/>
      <c r="BP4071" s="2">
        <v>13</v>
      </c>
      <c r="BQ4071" s="2" t="s">
        <v>91</v>
      </c>
      <c r="BR4071" s="2" t="s">
        <v>360</v>
      </c>
      <c r="BS4071" s="3">
        <v>40455</v>
      </c>
      <c r="BT4071" s="4">
        <v>0.79877314814814815</v>
      </c>
    </row>
    <row r="4072" spans="1:72" x14ac:dyDescent="0.25">
      <c r="A4072" s="2">
        <v>6108</v>
      </c>
      <c r="B4072" s="2">
        <v>2010</v>
      </c>
      <c r="C4072" s="2" t="s">
        <v>72</v>
      </c>
      <c r="D4072" s="2" t="s">
        <v>122</v>
      </c>
      <c r="E4072" s="2"/>
      <c r="F4072" s="2">
        <v>389</v>
      </c>
      <c r="G4072" s="2" t="s">
        <v>1819</v>
      </c>
      <c r="H4072" s="2">
        <v>2</v>
      </c>
      <c r="I4072" s="2" t="s">
        <v>267</v>
      </c>
      <c r="J4072" s="2">
        <v>399</v>
      </c>
      <c r="K4072" s="2" t="s">
        <v>1820</v>
      </c>
      <c r="L4072" s="2" t="s">
        <v>1821</v>
      </c>
      <c r="M4072" s="3">
        <v>40455</v>
      </c>
      <c r="N4072" s="2" t="s">
        <v>5653</v>
      </c>
      <c r="O4072" s="2"/>
      <c r="P4072" s="2"/>
      <c r="Q4072" s="2" t="str">
        <f>""</f>
        <v/>
      </c>
      <c r="R4072" s="2"/>
      <c r="S4072" s="2"/>
      <c r="T4072" s="2">
        <v>1</v>
      </c>
      <c r="U4072" s="2" t="s">
        <v>79</v>
      </c>
      <c r="V4072" s="2">
        <v>1</v>
      </c>
      <c r="W4072" s="2" t="s">
        <v>80</v>
      </c>
      <c r="X4072" s="2">
        <v>12</v>
      </c>
      <c r="Y4072" s="2" t="s">
        <v>148</v>
      </c>
      <c r="Z4072" s="2">
        <v>1</v>
      </c>
      <c r="AA4072" s="2" t="s">
        <v>82</v>
      </c>
      <c r="AB4072" s="2">
        <v>6</v>
      </c>
      <c r="AC4072" s="2" t="s">
        <v>83</v>
      </c>
      <c r="AD4072" s="3">
        <v>40455</v>
      </c>
      <c r="AE4072" s="4">
        <v>0.60069444444444442</v>
      </c>
      <c r="AF4072" s="3">
        <v>40455</v>
      </c>
      <c r="AG4072" s="4">
        <v>0.70138888888888884</v>
      </c>
      <c r="AH4072" s="2">
        <v>2</v>
      </c>
      <c r="AI4072" s="2" t="s">
        <v>84</v>
      </c>
      <c r="AJ4072" s="2">
        <v>9</v>
      </c>
      <c r="AK4072" s="2" t="s">
        <v>103</v>
      </c>
      <c r="AL4072" s="2">
        <v>23</v>
      </c>
      <c r="AM4072" s="2" t="s">
        <v>251</v>
      </c>
      <c r="AN4072" s="2" t="s">
        <v>12812</v>
      </c>
      <c r="AO4072" s="2" t="s">
        <v>564</v>
      </c>
      <c r="AP4072" s="2">
        <v>11</v>
      </c>
      <c r="AQ4072" s="2" t="s">
        <v>82</v>
      </c>
      <c r="AR4072" s="2"/>
      <c r="AS4072" s="2"/>
      <c r="AT4072" s="2" t="s">
        <v>12813</v>
      </c>
      <c r="AU4072" s="2"/>
      <c r="AV4072" s="2"/>
      <c r="AW4072" s="2"/>
      <c r="AX4072" s="2"/>
      <c r="AY4072" s="2">
        <v>41</v>
      </c>
      <c r="AZ4072" s="2" t="s">
        <v>82</v>
      </c>
      <c r="BA4072" s="2">
        <v>41</v>
      </c>
      <c r="BB4072" s="2" t="s">
        <v>82</v>
      </c>
      <c r="BC4072" s="2">
        <v>41</v>
      </c>
      <c r="BD4072" s="2" t="s">
        <v>82</v>
      </c>
      <c r="BE4072" s="2">
        <v>4</v>
      </c>
      <c r="BF4072" s="2" t="s">
        <v>90</v>
      </c>
      <c r="BG4072" s="2" t="s">
        <v>12814</v>
      </c>
      <c r="BH4072" s="4">
        <v>0.59027777777777779</v>
      </c>
      <c r="BI4072" s="2"/>
      <c r="BJ4072" s="2">
        <v>13</v>
      </c>
      <c r="BK4072" s="2" t="s">
        <v>91</v>
      </c>
      <c r="BL4072" s="2" t="s">
        <v>3140</v>
      </c>
      <c r="BM4072" s="2">
        <v>241</v>
      </c>
      <c r="BN4072" s="2" t="s">
        <v>82</v>
      </c>
      <c r="BO4072" s="2"/>
      <c r="BP4072" s="2">
        <v>13</v>
      </c>
      <c r="BQ4072" s="2" t="s">
        <v>91</v>
      </c>
      <c r="BR4072" s="2" t="s">
        <v>185</v>
      </c>
      <c r="BS4072" s="3">
        <v>40455</v>
      </c>
      <c r="BT4072" s="4">
        <v>0.8012731481481481</v>
      </c>
    </row>
    <row r="4073" spans="1:72" x14ac:dyDescent="0.25">
      <c r="A4073" s="2">
        <v>6110</v>
      </c>
      <c r="B4073" s="2">
        <v>2010</v>
      </c>
      <c r="C4073" s="2" t="s">
        <v>72</v>
      </c>
      <c r="D4073" s="2" t="s">
        <v>73</v>
      </c>
      <c r="E4073" s="2"/>
      <c r="F4073" s="2">
        <v>24</v>
      </c>
      <c r="G4073" s="2" t="s">
        <v>532</v>
      </c>
      <c r="H4073" s="2">
        <v>1</v>
      </c>
      <c r="I4073" s="2" t="s">
        <v>82</v>
      </c>
      <c r="J4073" s="2">
        <v>300</v>
      </c>
      <c r="K4073" s="2" t="s">
        <v>114</v>
      </c>
      <c r="L4073" s="2" t="s">
        <v>115</v>
      </c>
      <c r="M4073" s="3">
        <v>40455</v>
      </c>
      <c r="N4073" s="2"/>
      <c r="O4073" s="2"/>
      <c r="P4073" s="2"/>
      <c r="Q4073" s="2" t="str">
        <f>"513-E/10"</f>
        <v>513-E/10</v>
      </c>
      <c r="R4073" s="2" t="s">
        <v>116</v>
      </c>
      <c r="S4073" s="2" t="s">
        <v>116</v>
      </c>
      <c r="T4073" s="2">
        <v>1</v>
      </c>
      <c r="U4073" s="2" t="s">
        <v>79</v>
      </c>
      <c r="V4073" s="2">
        <v>1</v>
      </c>
      <c r="W4073" s="2" t="s">
        <v>80</v>
      </c>
      <c r="X4073" s="2">
        <v>12</v>
      </c>
      <c r="Y4073" s="2" t="s">
        <v>148</v>
      </c>
      <c r="Z4073" s="2">
        <v>1</v>
      </c>
      <c r="AA4073" s="2" t="s">
        <v>82</v>
      </c>
      <c r="AB4073" s="2">
        <v>6</v>
      </c>
      <c r="AC4073" s="2" t="s">
        <v>83</v>
      </c>
      <c r="AD4073" s="3">
        <v>40453</v>
      </c>
      <c r="AE4073" s="2"/>
      <c r="AF4073" s="3">
        <v>40455</v>
      </c>
      <c r="AG4073" s="4">
        <v>0.43055555555555558</v>
      </c>
      <c r="AH4073" s="2">
        <v>2</v>
      </c>
      <c r="AI4073" s="2" t="s">
        <v>84</v>
      </c>
      <c r="AJ4073" s="2">
        <v>9</v>
      </c>
      <c r="AK4073" s="2" t="s">
        <v>103</v>
      </c>
      <c r="AL4073" s="2">
        <v>24</v>
      </c>
      <c r="AM4073" s="2" t="s">
        <v>1540</v>
      </c>
      <c r="AN4073" s="2" t="s">
        <v>12815</v>
      </c>
      <c r="AO4073" s="2"/>
      <c r="AP4073" s="2">
        <v>11</v>
      </c>
      <c r="AQ4073" s="2" t="s">
        <v>82</v>
      </c>
      <c r="AR4073" s="2"/>
      <c r="AS4073" s="2"/>
      <c r="AT4073" s="2" t="s">
        <v>12816</v>
      </c>
      <c r="AU4073" s="2"/>
      <c r="AV4073" s="2"/>
      <c r="AW4073" s="2"/>
      <c r="AX4073" s="2"/>
      <c r="AY4073" s="2">
        <v>41</v>
      </c>
      <c r="AZ4073" s="2" t="s">
        <v>82</v>
      </c>
      <c r="BA4073" s="2">
        <v>41</v>
      </c>
      <c r="BB4073" s="2" t="s">
        <v>82</v>
      </c>
      <c r="BC4073" s="2">
        <v>41</v>
      </c>
      <c r="BD4073" s="2" t="s">
        <v>82</v>
      </c>
      <c r="BE4073" s="2">
        <v>41</v>
      </c>
      <c r="BF4073" s="2" t="s">
        <v>82</v>
      </c>
      <c r="BG4073" s="2"/>
      <c r="BH4073" s="2"/>
      <c r="BI4073" s="2"/>
      <c r="BJ4073" s="2">
        <v>241</v>
      </c>
      <c r="BK4073" s="2" t="s">
        <v>82</v>
      </c>
      <c r="BL4073" s="2"/>
      <c r="BM4073" s="2">
        <v>241</v>
      </c>
      <c r="BN4073" s="2" t="s">
        <v>82</v>
      </c>
      <c r="BO4073" s="2"/>
      <c r="BP4073" s="2">
        <v>241</v>
      </c>
      <c r="BQ4073" s="2" t="s">
        <v>82</v>
      </c>
      <c r="BR4073" s="2"/>
      <c r="BS4073" s="3">
        <v>40455</v>
      </c>
      <c r="BT4073" s="4">
        <v>0.81765046296296295</v>
      </c>
    </row>
    <row r="4074" spans="1:72" x14ac:dyDescent="0.25">
      <c r="A4074" s="2">
        <v>6111</v>
      </c>
      <c r="B4074" s="2">
        <v>2010</v>
      </c>
      <c r="C4074" s="2" t="s">
        <v>385</v>
      </c>
      <c r="D4074" s="2" t="s">
        <v>122</v>
      </c>
      <c r="E4074" s="2" t="s">
        <v>12817</v>
      </c>
      <c r="F4074" s="2">
        <v>391</v>
      </c>
      <c r="G4074" s="2" t="s">
        <v>2400</v>
      </c>
      <c r="H4074" s="2">
        <v>40</v>
      </c>
      <c r="I4074" s="2" t="s">
        <v>2101</v>
      </c>
      <c r="J4074" s="2">
        <v>399</v>
      </c>
      <c r="K4074" s="2" t="s">
        <v>1820</v>
      </c>
      <c r="L4074" s="2" t="s">
        <v>1821</v>
      </c>
      <c r="M4074" s="3">
        <v>40455</v>
      </c>
      <c r="N4074" s="2" t="s">
        <v>12697</v>
      </c>
      <c r="O4074" s="2"/>
      <c r="P4074" s="2" t="s">
        <v>107</v>
      </c>
      <c r="Q4074" s="2" t="str">
        <f>"507-E/10"</f>
        <v>507-E/10</v>
      </c>
      <c r="R4074" s="2" t="s">
        <v>12750</v>
      </c>
      <c r="S4074" s="2" t="s">
        <v>12750</v>
      </c>
      <c r="T4074" s="2">
        <v>1</v>
      </c>
      <c r="U4074" s="2" t="s">
        <v>79</v>
      </c>
      <c r="V4074" s="2">
        <v>1</v>
      </c>
      <c r="W4074" s="2" t="s">
        <v>80</v>
      </c>
      <c r="X4074" s="2">
        <v>11</v>
      </c>
      <c r="Y4074" s="2" t="s">
        <v>1920</v>
      </c>
      <c r="Z4074" s="2">
        <v>6</v>
      </c>
      <c r="AA4074" s="2" t="s">
        <v>101</v>
      </c>
      <c r="AB4074" s="2">
        <v>9</v>
      </c>
      <c r="AC4074" s="2" t="s">
        <v>124</v>
      </c>
      <c r="AD4074" s="3">
        <v>40455</v>
      </c>
      <c r="AE4074" s="4">
        <v>0.3125</v>
      </c>
      <c r="AF4074" s="2"/>
      <c r="AG4074" s="2"/>
      <c r="AH4074" s="2">
        <v>2</v>
      </c>
      <c r="AI4074" s="2" t="s">
        <v>84</v>
      </c>
      <c r="AJ4074" s="2">
        <v>9</v>
      </c>
      <c r="AK4074" s="2" t="s">
        <v>103</v>
      </c>
      <c r="AL4074" s="2">
        <v>24</v>
      </c>
      <c r="AM4074" s="2" t="s">
        <v>1540</v>
      </c>
      <c r="AN4074" s="2"/>
      <c r="AO4074" s="2" t="s">
        <v>12818</v>
      </c>
      <c r="AP4074" s="2">
        <v>11</v>
      </c>
      <c r="AQ4074" s="2" t="s">
        <v>82</v>
      </c>
      <c r="AR4074" s="2"/>
      <c r="AS4074" s="2"/>
      <c r="AT4074" s="2" t="s">
        <v>12819</v>
      </c>
      <c r="AU4074" s="2">
        <v>1</v>
      </c>
      <c r="AV4074" s="2"/>
      <c r="AW4074" s="2"/>
      <c r="AX4074" s="2"/>
      <c r="AY4074" s="2">
        <v>41</v>
      </c>
      <c r="AZ4074" s="2" t="s">
        <v>82</v>
      </c>
      <c r="BA4074" s="2">
        <v>41</v>
      </c>
      <c r="BB4074" s="2" t="s">
        <v>82</v>
      </c>
      <c r="BC4074" s="2">
        <v>41</v>
      </c>
      <c r="BD4074" s="2" t="s">
        <v>82</v>
      </c>
      <c r="BE4074" s="2">
        <v>41</v>
      </c>
      <c r="BF4074" s="2" t="s">
        <v>82</v>
      </c>
      <c r="BG4074" s="2"/>
      <c r="BH4074" s="2"/>
      <c r="BI4074" s="2"/>
      <c r="BJ4074" s="2">
        <v>241</v>
      </c>
      <c r="BK4074" s="2" t="s">
        <v>82</v>
      </c>
      <c r="BL4074" s="2"/>
      <c r="BM4074" s="2">
        <v>241</v>
      </c>
      <c r="BN4074" s="2" t="s">
        <v>82</v>
      </c>
      <c r="BO4074" s="2"/>
      <c r="BP4074" s="2">
        <v>241</v>
      </c>
      <c r="BQ4074" s="2" t="s">
        <v>82</v>
      </c>
      <c r="BR4074" s="2"/>
      <c r="BS4074" s="3">
        <v>40455</v>
      </c>
      <c r="BT4074" s="4">
        <v>0.82224537037037038</v>
      </c>
    </row>
    <row r="4075" spans="1:72" x14ac:dyDescent="0.25">
      <c r="A4075" s="2">
        <v>6112</v>
      </c>
      <c r="B4075" s="2">
        <v>2010</v>
      </c>
      <c r="C4075" s="2" t="s">
        <v>72</v>
      </c>
      <c r="D4075" s="2" t="s">
        <v>73</v>
      </c>
      <c r="E4075" s="2"/>
      <c r="F4075" s="2">
        <v>37</v>
      </c>
      <c r="G4075" s="2" t="s">
        <v>1790</v>
      </c>
      <c r="H4075" s="2">
        <v>22</v>
      </c>
      <c r="I4075" s="2" t="s">
        <v>75</v>
      </c>
      <c r="J4075" s="2">
        <v>328</v>
      </c>
      <c r="K4075" s="2" t="s">
        <v>1791</v>
      </c>
      <c r="L4075" s="2" t="s">
        <v>1792</v>
      </c>
      <c r="M4075" s="3">
        <v>40455</v>
      </c>
      <c r="N4075" s="2" t="s">
        <v>3716</v>
      </c>
      <c r="O4075" s="2"/>
      <c r="P4075" s="2"/>
      <c r="Q4075" s="2" t="str">
        <f>"099/10"</f>
        <v>099/10</v>
      </c>
      <c r="R4075" s="2"/>
      <c r="S4075" s="2" t="s">
        <v>1794</v>
      </c>
      <c r="T4075" s="2">
        <v>1</v>
      </c>
      <c r="U4075" s="2" t="s">
        <v>79</v>
      </c>
      <c r="V4075" s="2">
        <v>1</v>
      </c>
      <c r="W4075" s="2" t="s">
        <v>80</v>
      </c>
      <c r="X4075" s="2">
        <v>12</v>
      </c>
      <c r="Y4075" s="2" t="s">
        <v>148</v>
      </c>
      <c r="Z4075" s="2">
        <v>1</v>
      </c>
      <c r="AA4075" s="2" t="s">
        <v>82</v>
      </c>
      <c r="AB4075" s="2">
        <v>6</v>
      </c>
      <c r="AC4075" s="2" t="s">
        <v>83</v>
      </c>
      <c r="AD4075" s="3">
        <v>40454</v>
      </c>
      <c r="AE4075" s="2"/>
      <c r="AF4075" s="3">
        <v>40455</v>
      </c>
      <c r="AG4075" s="4">
        <v>0.67708333333333337</v>
      </c>
      <c r="AH4075" s="2">
        <v>4</v>
      </c>
      <c r="AI4075" s="2" t="s">
        <v>125</v>
      </c>
      <c r="AJ4075" s="2">
        <v>29</v>
      </c>
      <c r="AK4075" s="2" t="s">
        <v>227</v>
      </c>
      <c r="AL4075" s="2">
        <v>2</v>
      </c>
      <c r="AM4075" s="2" t="s">
        <v>163</v>
      </c>
      <c r="AN4075" s="2" t="s">
        <v>2437</v>
      </c>
      <c r="AO4075" s="2"/>
      <c r="AP4075" s="2">
        <v>11</v>
      </c>
      <c r="AQ4075" s="2" t="s">
        <v>82</v>
      </c>
      <c r="AR4075" s="2"/>
      <c r="AS4075" s="2"/>
      <c r="AT4075" s="2" t="s">
        <v>12820</v>
      </c>
      <c r="AU4075" s="2"/>
      <c r="AV4075" s="2"/>
      <c r="AW4075" s="2"/>
      <c r="AX4075" s="2"/>
      <c r="AY4075" s="2">
        <v>41</v>
      </c>
      <c r="AZ4075" s="2" t="s">
        <v>82</v>
      </c>
      <c r="BA4075" s="2">
        <v>41</v>
      </c>
      <c r="BB4075" s="2" t="s">
        <v>82</v>
      </c>
      <c r="BC4075" s="2">
        <v>41</v>
      </c>
      <c r="BD4075" s="2" t="s">
        <v>82</v>
      </c>
      <c r="BE4075" s="2">
        <v>13</v>
      </c>
      <c r="BF4075" s="2" t="s">
        <v>108</v>
      </c>
      <c r="BG4075" s="2">
        <v>1458</v>
      </c>
      <c r="BH4075" s="4">
        <v>0.91666666666666663</v>
      </c>
      <c r="BI4075" s="4">
        <v>0.95833333333333337</v>
      </c>
      <c r="BJ4075" s="2">
        <v>13</v>
      </c>
      <c r="BK4075" s="2" t="s">
        <v>91</v>
      </c>
      <c r="BL4075" s="2" t="s">
        <v>185</v>
      </c>
      <c r="BM4075" s="2">
        <v>13</v>
      </c>
      <c r="BN4075" s="2" t="s">
        <v>91</v>
      </c>
      <c r="BO4075" s="2"/>
      <c r="BP4075" s="2">
        <v>13</v>
      </c>
      <c r="BQ4075" s="2" t="s">
        <v>91</v>
      </c>
      <c r="BR4075" s="2" t="s">
        <v>828</v>
      </c>
      <c r="BS4075" s="3">
        <v>40455</v>
      </c>
      <c r="BT4075" s="4">
        <v>0.8325231481481481</v>
      </c>
    </row>
    <row r="4076" spans="1:72" x14ac:dyDescent="0.25">
      <c r="A4076" s="2">
        <v>6113</v>
      </c>
      <c r="B4076" s="2">
        <v>2010</v>
      </c>
      <c r="C4076" s="2" t="s">
        <v>72</v>
      </c>
      <c r="D4076" s="2" t="s">
        <v>73</v>
      </c>
      <c r="E4076" s="2"/>
      <c r="F4076" s="2">
        <v>164</v>
      </c>
      <c r="G4076" s="2" t="s">
        <v>4963</v>
      </c>
      <c r="H4076" s="2">
        <v>22</v>
      </c>
      <c r="I4076" s="2" t="s">
        <v>75</v>
      </c>
      <c r="J4076" s="2">
        <v>674</v>
      </c>
      <c r="K4076" s="2" t="s">
        <v>12821</v>
      </c>
      <c r="L4076" s="2" t="s">
        <v>12822</v>
      </c>
      <c r="M4076" s="3">
        <v>40455</v>
      </c>
      <c r="N4076" s="2" t="s">
        <v>12823</v>
      </c>
      <c r="O4076" s="2" t="s">
        <v>82</v>
      </c>
      <c r="P4076" s="2" t="s">
        <v>82</v>
      </c>
      <c r="Q4076" s="2" t="str">
        <f>"PS 390-A/10"</f>
        <v>PS 390-A/10</v>
      </c>
      <c r="R4076" s="2" t="s">
        <v>116</v>
      </c>
      <c r="S4076" s="2" t="s">
        <v>78</v>
      </c>
      <c r="T4076" s="2">
        <v>1</v>
      </c>
      <c r="U4076" s="2" t="s">
        <v>79</v>
      </c>
      <c r="V4076" s="2">
        <v>1</v>
      </c>
      <c r="W4076" s="2" t="s">
        <v>80</v>
      </c>
      <c r="X4076" s="2">
        <v>12</v>
      </c>
      <c r="Y4076" s="2" t="s">
        <v>148</v>
      </c>
      <c r="Z4076" s="2">
        <v>1</v>
      </c>
      <c r="AA4076" s="2" t="s">
        <v>82</v>
      </c>
      <c r="AB4076" s="2">
        <v>6</v>
      </c>
      <c r="AC4076" s="2" t="s">
        <v>83</v>
      </c>
      <c r="AD4076" s="3">
        <v>40451</v>
      </c>
      <c r="AE4076" s="2"/>
      <c r="AF4076" s="3">
        <v>40455</v>
      </c>
      <c r="AG4076" s="4">
        <v>0.76388888888888884</v>
      </c>
      <c r="AH4076" s="2">
        <v>2</v>
      </c>
      <c r="AI4076" s="2" t="s">
        <v>84</v>
      </c>
      <c r="AJ4076" s="2">
        <v>12</v>
      </c>
      <c r="AK4076" s="2" t="s">
        <v>85</v>
      </c>
      <c r="AL4076" s="2">
        <v>21</v>
      </c>
      <c r="AM4076" s="2" t="s">
        <v>1311</v>
      </c>
      <c r="AN4076" s="2" t="s">
        <v>12824</v>
      </c>
      <c r="AO4076" s="2" t="s">
        <v>12825</v>
      </c>
      <c r="AP4076" s="2">
        <v>11</v>
      </c>
      <c r="AQ4076" s="2" t="s">
        <v>82</v>
      </c>
      <c r="AR4076" s="2"/>
      <c r="AS4076" s="2"/>
      <c r="AT4076" s="2" t="s">
        <v>12826</v>
      </c>
      <c r="AU4076" s="2"/>
      <c r="AV4076" s="2"/>
      <c r="AW4076" s="2"/>
      <c r="AX4076" s="2"/>
      <c r="AY4076" s="2">
        <v>41</v>
      </c>
      <c r="AZ4076" s="2" t="s">
        <v>82</v>
      </c>
      <c r="BA4076" s="2">
        <v>41</v>
      </c>
      <c r="BB4076" s="2" t="s">
        <v>82</v>
      </c>
      <c r="BC4076" s="2">
        <v>41</v>
      </c>
      <c r="BD4076" s="2" t="s">
        <v>82</v>
      </c>
      <c r="BE4076" s="2">
        <v>41</v>
      </c>
      <c r="BF4076" s="2" t="s">
        <v>82</v>
      </c>
      <c r="BG4076" s="2" t="s">
        <v>82</v>
      </c>
      <c r="BH4076" s="2"/>
      <c r="BI4076" s="2"/>
      <c r="BJ4076" s="2">
        <v>241</v>
      </c>
      <c r="BK4076" s="2" t="s">
        <v>82</v>
      </c>
      <c r="BL4076" s="2" t="s">
        <v>82</v>
      </c>
      <c r="BM4076" s="2">
        <v>241</v>
      </c>
      <c r="BN4076" s="2" t="s">
        <v>82</v>
      </c>
      <c r="BO4076" s="2"/>
      <c r="BP4076" s="2">
        <v>241</v>
      </c>
      <c r="BQ4076" s="2" t="s">
        <v>82</v>
      </c>
      <c r="BR4076" s="2"/>
      <c r="BS4076" s="3">
        <v>40455</v>
      </c>
      <c r="BT4076" s="4">
        <v>0.84893518518518529</v>
      </c>
    </row>
    <row r="4077" spans="1:72" x14ac:dyDescent="0.25">
      <c r="A4077" s="2">
        <v>6115</v>
      </c>
      <c r="B4077" s="2">
        <v>2010</v>
      </c>
      <c r="C4077" s="2" t="s">
        <v>2138</v>
      </c>
      <c r="D4077" s="2" t="s">
        <v>73</v>
      </c>
      <c r="E4077" s="2"/>
      <c r="F4077" s="2">
        <v>550</v>
      </c>
      <c r="G4077" s="2" t="s">
        <v>4883</v>
      </c>
      <c r="H4077" s="2">
        <v>42</v>
      </c>
      <c r="I4077" s="2" t="s">
        <v>1096</v>
      </c>
      <c r="J4077" s="2">
        <v>510</v>
      </c>
      <c r="K4077" s="2" t="s">
        <v>4884</v>
      </c>
      <c r="L4077" s="2" t="s">
        <v>4885</v>
      </c>
      <c r="M4077" s="3">
        <v>40455</v>
      </c>
      <c r="N4077" s="2" t="s">
        <v>12827</v>
      </c>
      <c r="O4077" s="2" t="s">
        <v>12828</v>
      </c>
      <c r="P4077" s="2" t="s">
        <v>82</v>
      </c>
      <c r="Q4077" s="2" t="str">
        <f>"0040/2010"</f>
        <v>0040/2010</v>
      </c>
      <c r="R4077" s="2" t="s">
        <v>12828</v>
      </c>
      <c r="S4077" s="2" t="s">
        <v>12828</v>
      </c>
      <c r="T4077" s="2">
        <v>1</v>
      </c>
      <c r="U4077" s="2" t="s">
        <v>79</v>
      </c>
      <c r="V4077" s="2">
        <v>1</v>
      </c>
      <c r="W4077" s="2" t="s">
        <v>80</v>
      </c>
      <c r="X4077" s="2">
        <v>12</v>
      </c>
      <c r="Y4077" s="2" t="s">
        <v>148</v>
      </c>
      <c r="Z4077" s="2">
        <v>1</v>
      </c>
      <c r="AA4077" s="2" t="s">
        <v>82</v>
      </c>
      <c r="AB4077" s="2">
        <v>9</v>
      </c>
      <c r="AC4077" s="2" t="s">
        <v>124</v>
      </c>
      <c r="AD4077" s="3">
        <v>40455</v>
      </c>
      <c r="AE4077" s="4">
        <v>0.78819444444444453</v>
      </c>
      <c r="AF4077" s="2"/>
      <c r="AG4077" s="2"/>
      <c r="AH4077" s="2">
        <v>5</v>
      </c>
      <c r="AI4077" s="2" t="s">
        <v>274</v>
      </c>
      <c r="AJ4077" s="2">
        <v>42</v>
      </c>
      <c r="AK4077" s="2" t="s">
        <v>660</v>
      </c>
      <c r="AL4077" s="2">
        <v>24</v>
      </c>
      <c r="AM4077" s="2" t="s">
        <v>1540</v>
      </c>
      <c r="AN4077" s="2" t="s">
        <v>12829</v>
      </c>
      <c r="AO4077" s="2" t="s">
        <v>12830</v>
      </c>
      <c r="AP4077" s="2">
        <v>11</v>
      </c>
      <c r="AQ4077" s="2" t="s">
        <v>82</v>
      </c>
      <c r="AR4077" s="2"/>
      <c r="AS4077" s="2"/>
      <c r="AT4077" s="2" t="s">
        <v>12831</v>
      </c>
      <c r="AU4077" s="2"/>
      <c r="AV4077" s="2"/>
      <c r="AW4077" s="2"/>
      <c r="AX4077" s="2"/>
      <c r="AY4077" s="2">
        <v>41</v>
      </c>
      <c r="AZ4077" s="2" t="s">
        <v>82</v>
      </c>
      <c r="BA4077" s="2">
        <v>41</v>
      </c>
      <c r="BB4077" s="2" t="s">
        <v>82</v>
      </c>
      <c r="BC4077" s="2">
        <v>41</v>
      </c>
      <c r="BD4077" s="2" t="s">
        <v>82</v>
      </c>
      <c r="BE4077" s="2">
        <v>41</v>
      </c>
      <c r="BF4077" s="2" t="s">
        <v>82</v>
      </c>
      <c r="BG4077" s="2"/>
      <c r="BH4077" s="2"/>
      <c r="BI4077" s="2"/>
      <c r="BJ4077" s="2">
        <v>241</v>
      </c>
      <c r="BK4077" s="2" t="s">
        <v>82</v>
      </c>
      <c r="BL4077" s="2"/>
      <c r="BM4077" s="2">
        <v>241</v>
      </c>
      <c r="BN4077" s="2" t="s">
        <v>82</v>
      </c>
      <c r="BO4077" s="2"/>
      <c r="BP4077" s="2">
        <v>241</v>
      </c>
      <c r="BQ4077" s="2" t="s">
        <v>82</v>
      </c>
      <c r="BR4077" s="2"/>
      <c r="BS4077" s="3">
        <v>40455</v>
      </c>
      <c r="BT4077" s="4">
        <v>0.89960648148148137</v>
      </c>
    </row>
    <row r="4078" spans="1:72" x14ac:dyDescent="0.25">
      <c r="A4078" s="2">
        <v>6119</v>
      </c>
      <c r="B4078" s="2">
        <v>2010</v>
      </c>
      <c r="C4078" s="2" t="s">
        <v>4543</v>
      </c>
      <c r="D4078" s="2" t="s">
        <v>122</v>
      </c>
      <c r="E4078" s="2"/>
      <c r="F4078" s="2">
        <v>389</v>
      </c>
      <c r="G4078" s="2" t="s">
        <v>1819</v>
      </c>
      <c r="H4078" s="2">
        <v>2</v>
      </c>
      <c r="I4078" s="2" t="s">
        <v>267</v>
      </c>
      <c r="J4078" s="2">
        <v>399</v>
      </c>
      <c r="K4078" s="2" t="s">
        <v>1820</v>
      </c>
      <c r="L4078" s="2" t="s">
        <v>1821</v>
      </c>
      <c r="M4078" s="3">
        <v>40456</v>
      </c>
      <c r="N4078" s="2" t="s">
        <v>5653</v>
      </c>
      <c r="O4078" s="2"/>
      <c r="P4078" s="2"/>
      <c r="Q4078" s="2" t="str">
        <f>""</f>
        <v/>
      </c>
      <c r="R4078" s="2"/>
      <c r="S4078" s="2"/>
      <c r="T4078" s="2">
        <v>2</v>
      </c>
      <c r="U4078" s="2" t="s">
        <v>123</v>
      </c>
      <c r="V4078" s="2">
        <v>1</v>
      </c>
      <c r="W4078" s="2" t="s">
        <v>80</v>
      </c>
      <c r="X4078" s="2">
        <v>5</v>
      </c>
      <c r="Y4078" s="2" t="s">
        <v>82</v>
      </c>
      <c r="Z4078" s="2">
        <v>1</v>
      </c>
      <c r="AA4078" s="2" t="s">
        <v>82</v>
      </c>
      <c r="AB4078" s="2">
        <v>9</v>
      </c>
      <c r="AC4078" s="2" t="s">
        <v>124</v>
      </c>
      <c r="AD4078" s="3">
        <v>40455</v>
      </c>
      <c r="AE4078" s="4">
        <v>0.75</v>
      </c>
      <c r="AF4078" s="2"/>
      <c r="AG4078" s="2"/>
      <c r="AH4078" s="2">
        <v>2</v>
      </c>
      <c r="AI4078" s="2" t="s">
        <v>84</v>
      </c>
      <c r="AJ4078" s="2">
        <v>9</v>
      </c>
      <c r="AK4078" s="2" t="s">
        <v>103</v>
      </c>
      <c r="AL4078" s="2">
        <v>19</v>
      </c>
      <c r="AM4078" s="2" t="s">
        <v>107</v>
      </c>
      <c r="AN4078" s="2" t="s">
        <v>12832</v>
      </c>
      <c r="AO4078" s="2" t="s">
        <v>12833</v>
      </c>
      <c r="AP4078" s="2">
        <v>11</v>
      </c>
      <c r="AQ4078" s="2" t="s">
        <v>82</v>
      </c>
      <c r="AR4078" s="2"/>
      <c r="AS4078" s="2"/>
      <c r="AT4078" s="2" t="s">
        <v>12834</v>
      </c>
      <c r="AU4078" s="2"/>
      <c r="AV4078" s="2"/>
      <c r="AW4078" s="2"/>
      <c r="AX4078" s="2"/>
      <c r="AY4078" s="2">
        <v>41</v>
      </c>
      <c r="AZ4078" s="2" t="s">
        <v>82</v>
      </c>
      <c r="BA4078" s="2">
        <v>41</v>
      </c>
      <c r="BB4078" s="2" t="s">
        <v>82</v>
      </c>
      <c r="BC4078" s="2">
        <v>41</v>
      </c>
      <c r="BD4078" s="2" t="s">
        <v>82</v>
      </c>
      <c r="BE4078" s="2">
        <v>47</v>
      </c>
      <c r="BF4078" s="2" t="s">
        <v>167</v>
      </c>
      <c r="BG4078" s="2" t="s">
        <v>12835</v>
      </c>
      <c r="BH4078" s="4">
        <v>0.78472222222222221</v>
      </c>
      <c r="BI4078" s="2"/>
      <c r="BJ4078" s="2">
        <v>13</v>
      </c>
      <c r="BK4078" s="2" t="s">
        <v>91</v>
      </c>
      <c r="BL4078" s="2" t="s">
        <v>185</v>
      </c>
      <c r="BM4078" s="2">
        <v>13</v>
      </c>
      <c r="BN4078" s="2" t="s">
        <v>91</v>
      </c>
      <c r="BO4078" s="2"/>
      <c r="BP4078" s="2">
        <v>13</v>
      </c>
      <c r="BQ4078" s="2" t="s">
        <v>91</v>
      </c>
      <c r="BR4078" s="2" t="s">
        <v>204</v>
      </c>
      <c r="BS4078" s="3">
        <v>40456</v>
      </c>
      <c r="BT4078" s="4">
        <v>9.4328703703703706E-2</v>
      </c>
    </row>
    <row r="4079" spans="1:72" x14ac:dyDescent="0.25">
      <c r="A4079" s="2">
        <v>6120</v>
      </c>
      <c r="B4079" s="2">
        <v>2010</v>
      </c>
      <c r="C4079" s="2" t="s">
        <v>72</v>
      </c>
      <c r="D4079" s="2" t="s">
        <v>73</v>
      </c>
      <c r="E4079" s="2"/>
      <c r="F4079" s="2">
        <v>37</v>
      </c>
      <c r="G4079" s="2" t="s">
        <v>1790</v>
      </c>
      <c r="H4079" s="2">
        <v>22</v>
      </c>
      <c r="I4079" s="2" t="s">
        <v>75</v>
      </c>
      <c r="J4079" s="2">
        <v>328</v>
      </c>
      <c r="K4079" s="2" t="s">
        <v>1791</v>
      </c>
      <c r="L4079" s="2" t="s">
        <v>1792</v>
      </c>
      <c r="M4079" s="3">
        <v>40456</v>
      </c>
      <c r="N4079" s="2" t="s">
        <v>3716</v>
      </c>
      <c r="O4079" s="2"/>
      <c r="P4079" s="2"/>
      <c r="Q4079" s="2" t="str">
        <f>"100"</f>
        <v>100</v>
      </c>
      <c r="R4079" s="2"/>
      <c r="S4079" s="2" t="s">
        <v>156</v>
      </c>
      <c r="T4079" s="2">
        <v>1</v>
      </c>
      <c r="U4079" s="2" t="s">
        <v>79</v>
      </c>
      <c r="V4079" s="2">
        <v>1</v>
      </c>
      <c r="W4079" s="2" t="s">
        <v>80</v>
      </c>
      <c r="X4079" s="2">
        <v>12</v>
      </c>
      <c r="Y4079" s="2" t="s">
        <v>148</v>
      </c>
      <c r="Z4079" s="2">
        <v>1</v>
      </c>
      <c r="AA4079" s="2" t="s">
        <v>82</v>
      </c>
      <c r="AB4079" s="2">
        <v>6</v>
      </c>
      <c r="AC4079" s="2" t="s">
        <v>83</v>
      </c>
      <c r="AD4079" s="3">
        <v>40455</v>
      </c>
      <c r="AE4079" s="2"/>
      <c r="AF4079" s="3">
        <v>40455</v>
      </c>
      <c r="AG4079" s="4">
        <v>0.97916666666666663</v>
      </c>
      <c r="AH4079" s="2">
        <v>4</v>
      </c>
      <c r="AI4079" s="2" t="s">
        <v>125</v>
      </c>
      <c r="AJ4079" s="2">
        <v>29</v>
      </c>
      <c r="AK4079" s="2" t="s">
        <v>227</v>
      </c>
      <c r="AL4079" s="2">
        <v>22</v>
      </c>
      <c r="AM4079" s="2" t="s">
        <v>1853</v>
      </c>
      <c r="AN4079" s="2"/>
      <c r="AO4079" s="2"/>
      <c r="AP4079" s="2">
        <v>11</v>
      </c>
      <c r="AQ4079" s="2" t="s">
        <v>82</v>
      </c>
      <c r="AR4079" s="2" t="s">
        <v>82</v>
      </c>
      <c r="AS4079" s="2" t="s">
        <v>82</v>
      </c>
      <c r="AT4079" s="2" t="s">
        <v>12836</v>
      </c>
      <c r="AU4079" s="2"/>
      <c r="AV4079" s="2"/>
      <c r="AW4079" s="2"/>
      <c r="AX4079" s="2"/>
      <c r="AY4079" s="2">
        <v>41</v>
      </c>
      <c r="AZ4079" s="2" t="s">
        <v>82</v>
      </c>
      <c r="BA4079" s="2">
        <v>41</v>
      </c>
      <c r="BB4079" s="2" t="s">
        <v>82</v>
      </c>
      <c r="BC4079" s="2">
        <v>41</v>
      </c>
      <c r="BD4079" s="2" t="s">
        <v>82</v>
      </c>
      <c r="BE4079" s="2">
        <v>13</v>
      </c>
      <c r="BF4079" s="2" t="s">
        <v>108</v>
      </c>
      <c r="BG4079" s="2" t="s">
        <v>12837</v>
      </c>
      <c r="BH4079" s="4">
        <v>0.89583333333333337</v>
      </c>
      <c r="BI4079" s="4">
        <v>0.61111111111111105</v>
      </c>
      <c r="BJ4079" s="2">
        <v>13</v>
      </c>
      <c r="BK4079" s="2" t="s">
        <v>91</v>
      </c>
      <c r="BL4079" s="2" t="s">
        <v>353</v>
      </c>
      <c r="BM4079" s="2">
        <v>13</v>
      </c>
      <c r="BN4079" s="2" t="s">
        <v>91</v>
      </c>
      <c r="BO4079" s="2"/>
      <c r="BP4079" s="2">
        <v>13</v>
      </c>
      <c r="BQ4079" s="2" t="s">
        <v>91</v>
      </c>
      <c r="BR4079" s="2" t="s">
        <v>828</v>
      </c>
      <c r="BS4079" s="3">
        <v>40456</v>
      </c>
      <c r="BT4079" s="4">
        <v>9.6805555555555547E-2</v>
      </c>
    </row>
    <row r="4080" spans="1:72" x14ac:dyDescent="0.25">
      <c r="A4080" s="2">
        <v>6121</v>
      </c>
      <c r="B4080" s="2">
        <v>2010</v>
      </c>
      <c r="C4080" s="2" t="s">
        <v>147</v>
      </c>
      <c r="D4080" s="2" t="s">
        <v>122</v>
      </c>
      <c r="E4080" s="2"/>
      <c r="F4080" s="2">
        <v>1</v>
      </c>
      <c r="G4080" s="2" t="s">
        <v>82</v>
      </c>
      <c r="H4080" s="2">
        <v>1</v>
      </c>
      <c r="I4080" s="2" t="s">
        <v>82</v>
      </c>
      <c r="J4080" s="2">
        <v>1</v>
      </c>
      <c r="K4080" s="2" t="s">
        <v>107</v>
      </c>
      <c r="L4080" s="2" t="s">
        <v>107</v>
      </c>
      <c r="M4080" s="3">
        <v>40456</v>
      </c>
      <c r="N4080" s="2"/>
      <c r="O4080" s="2"/>
      <c r="P4080" s="2"/>
      <c r="Q4080" s="2" t="str">
        <f>""</f>
        <v/>
      </c>
      <c r="R4080" s="2"/>
      <c r="S4080" s="2"/>
      <c r="T4080" s="2">
        <v>2</v>
      </c>
      <c r="U4080" s="2" t="s">
        <v>123</v>
      </c>
      <c r="V4080" s="2">
        <v>1</v>
      </c>
      <c r="W4080" s="2" t="s">
        <v>80</v>
      </c>
      <c r="X4080" s="2">
        <v>12</v>
      </c>
      <c r="Y4080" s="2" t="s">
        <v>148</v>
      </c>
      <c r="Z4080" s="2">
        <v>7</v>
      </c>
      <c r="AA4080" s="2" t="s">
        <v>1462</v>
      </c>
      <c r="AB4080" s="2">
        <v>9</v>
      </c>
      <c r="AC4080" s="2" t="s">
        <v>124</v>
      </c>
      <c r="AD4080" s="3">
        <v>40455</v>
      </c>
      <c r="AE4080" s="4">
        <v>0.66666666666666663</v>
      </c>
      <c r="AF4080" s="3">
        <v>40456</v>
      </c>
      <c r="AG4080" s="4">
        <v>0.375</v>
      </c>
      <c r="AH4080" s="2">
        <v>6</v>
      </c>
      <c r="AI4080" s="2" t="s">
        <v>197</v>
      </c>
      <c r="AJ4080" s="2">
        <v>50</v>
      </c>
      <c r="AK4080" s="2" t="s">
        <v>330</v>
      </c>
      <c r="AL4080" s="2">
        <v>23</v>
      </c>
      <c r="AM4080" s="2" t="s">
        <v>251</v>
      </c>
      <c r="AN4080" s="2" t="s">
        <v>12838</v>
      </c>
      <c r="AO4080" s="2" t="s">
        <v>12839</v>
      </c>
      <c r="AP4080" s="2">
        <v>11</v>
      </c>
      <c r="AQ4080" s="2" t="s">
        <v>82</v>
      </c>
      <c r="AR4080" s="2"/>
      <c r="AS4080" s="2"/>
      <c r="AT4080" s="2" t="s">
        <v>12840</v>
      </c>
      <c r="AU4080" s="2"/>
      <c r="AV4080" s="2"/>
      <c r="AW4080" s="2"/>
      <c r="AX4080" s="2"/>
      <c r="AY4080" s="2">
        <v>41</v>
      </c>
      <c r="AZ4080" s="2" t="s">
        <v>82</v>
      </c>
      <c r="BA4080" s="2">
        <v>41</v>
      </c>
      <c r="BB4080" s="2" t="s">
        <v>82</v>
      </c>
      <c r="BC4080" s="2">
        <v>41</v>
      </c>
      <c r="BD4080" s="2" t="s">
        <v>82</v>
      </c>
      <c r="BE4080" s="2">
        <v>41</v>
      </c>
      <c r="BF4080" s="2" t="s">
        <v>82</v>
      </c>
      <c r="BG4080" s="2"/>
      <c r="BH4080" s="2"/>
      <c r="BI4080" s="2"/>
      <c r="BJ4080" s="2">
        <v>241</v>
      </c>
      <c r="BK4080" s="2" t="s">
        <v>82</v>
      </c>
      <c r="BL4080" s="2"/>
      <c r="BM4080" s="2">
        <v>241</v>
      </c>
      <c r="BN4080" s="2" t="s">
        <v>82</v>
      </c>
      <c r="BO4080" s="2"/>
      <c r="BP4080" s="2">
        <v>241</v>
      </c>
      <c r="BQ4080" s="2" t="s">
        <v>82</v>
      </c>
      <c r="BR4080" s="2"/>
      <c r="BS4080" s="3">
        <v>40456</v>
      </c>
      <c r="BT4080" s="4">
        <v>0.41646990740740741</v>
      </c>
    </row>
    <row r="4081" spans="1:72" x14ac:dyDescent="0.25">
      <c r="A4081" s="2">
        <v>6122</v>
      </c>
      <c r="B4081" s="2">
        <v>2010</v>
      </c>
      <c r="C4081" s="2" t="s">
        <v>72</v>
      </c>
      <c r="D4081" s="2" t="s">
        <v>73</v>
      </c>
      <c r="E4081" s="2"/>
      <c r="F4081" s="2">
        <v>24</v>
      </c>
      <c r="G4081" s="2" t="s">
        <v>532</v>
      </c>
      <c r="H4081" s="2">
        <v>22</v>
      </c>
      <c r="I4081" s="2" t="s">
        <v>75</v>
      </c>
      <c r="J4081" s="2">
        <v>300</v>
      </c>
      <c r="K4081" s="2" t="s">
        <v>114</v>
      </c>
      <c r="L4081" s="2" t="s">
        <v>115</v>
      </c>
      <c r="M4081" s="3">
        <v>40456</v>
      </c>
      <c r="N4081" s="2" t="s">
        <v>107</v>
      </c>
      <c r="O4081" s="2" t="s">
        <v>107</v>
      </c>
      <c r="P4081" s="2" t="s">
        <v>107</v>
      </c>
      <c r="Q4081" s="2" t="str">
        <f>"512-E/10"</f>
        <v>512-E/10</v>
      </c>
      <c r="R4081" s="2" t="s">
        <v>116</v>
      </c>
      <c r="S4081" s="2" t="s">
        <v>116</v>
      </c>
      <c r="T4081" s="2">
        <v>1</v>
      </c>
      <c r="U4081" s="2" t="s">
        <v>79</v>
      </c>
      <c r="V4081" s="2">
        <v>1</v>
      </c>
      <c r="W4081" s="2" t="s">
        <v>80</v>
      </c>
      <c r="X4081" s="2">
        <v>12</v>
      </c>
      <c r="Y4081" s="2" t="s">
        <v>148</v>
      </c>
      <c r="Z4081" s="2">
        <v>1</v>
      </c>
      <c r="AA4081" s="2" t="s">
        <v>82</v>
      </c>
      <c r="AB4081" s="2">
        <v>6</v>
      </c>
      <c r="AC4081" s="2" t="s">
        <v>83</v>
      </c>
      <c r="AD4081" s="3">
        <v>40448</v>
      </c>
      <c r="AE4081" s="2"/>
      <c r="AF4081" s="3">
        <v>40455</v>
      </c>
      <c r="AG4081" s="2"/>
      <c r="AH4081" s="2">
        <v>2</v>
      </c>
      <c r="AI4081" s="2" t="s">
        <v>84</v>
      </c>
      <c r="AJ4081" s="2">
        <v>9</v>
      </c>
      <c r="AK4081" s="2" t="s">
        <v>103</v>
      </c>
      <c r="AL4081" s="2">
        <v>29</v>
      </c>
      <c r="AM4081" s="2" t="s">
        <v>5416</v>
      </c>
      <c r="AN4081" s="2" t="s">
        <v>12841</v>
      </c>
      <c r="AO4081" s="2" t="s">
        <v>987</v>
      </c>
      <c r="AP4081" s="2">
        <v>11</v>
      </c>
      <c r="AQ4081" s="2" t="s">
        <v>82</v>
      </c>
      <c r="AR4081" s="2" t="s">
        <v>82</v>
      </c>
      <c r="AS4081" s="2" t="s">
        <v>82</v>
      </c>
      <c r="AT4081" s="2" t="s">
        <v>12842</v>
      </c>
      <c r="AU4081" s="2"/>
      <c r="AV4081" s="2"/>
      <c r="AW4081" s="2"/>
      <c r="AX4081" s="2"/>
      <c r="AY4081" s="2">
        <v>41</v>
      </c>
      <c r="AZ4081" s="2" t="s">
        <v>82</v>
      </c>
      <c r="BA4081" s="2">
        <v>41</v>
      </c>
      <c r="BB4081" s="2" t="s">
        <v>82</v>
      </c>
      <c r="BC4081" s="2">
        <v>41</v>
      </c>
      <c r="BD4081" s="2" t="s">
        <v>82</v>
      </c>
      <c r="BE4081" s="2">
        <v>41</v>
      </c>
      <c r="BF4081" s="2" t="s">
        <v>82</v>
      </c>
      <c r="BG4081" s="2"/>
      <c r="BH4081" s="2"/>
      <c r="BI4081" s="2"/>
      <c r="BJ4081" s="2">
        <v>241</v>
      </c>
      <c r="BK4081" s="2" t="s">
        <v>82</v>
      </c>
      <c r="BL4081" s="2"/>
      <c r="BM4081" s="2">
        <v>241</v>
      </c>
      <c r="BN4081" s="2" t="s">
        <v>82</v>
      </c>
      <c r="BO4081" s="2"/>
      <c r="BP4081" s="2">
        <v>241</v>
      </c>
      <c r="BQ4081" s="2" t="s">
        <v>82</v>
      </c>
      <c r="BR4081" s="2"/>
      <c r="BS4081" s="3">
        <v>40456</v>
      </c>
      <c r="BT4081" s="4">
        <v>0.43004629629629632</v>
      </c>
    </row>
    <row r="4082" spans="1:72" x14ac:dyDescent="0.25">
      <c r="A4082" s="2">
        <v>6125</v>
      </c>
      <c r="B4082" s="2">
        <v>2010</v>
      </c>
      <c r="C4082" s="2" t="s">
        <v>147</v>
      </c>
      <c r="D4082" s="2" t="s">
        <v>73</v>
      </c>
      <c r="E4082" s="2"/>
      <c r="F4082" s="2">
        <v>1</v>
      </c>
      <c r="G4082" s="2" t="s">
        <v>82</v>
      </c>
      <c r="H4082" s="2">
        <v>1</v>
      </c>
      <c r="I4082" s="2" t="s">
        <v>82</v>
      </c>
      <c r="J4082" s="2">
        <v>1</v>
      </c>
      <c r="K4082" s="2" t="s">
        <v>107</v>
      </c>
      <c r="L4082" s="2" t="s">
        <v>107</v>
      </c>
      <c r="M4082" s="3">
        <v>40456</v>
      </c>
      <c r="N4082" s="2" t="s">
        <v>82</v>
      </c>
      <c r="O4082" s="2" t="s">
        <v>82</v>
      </c>
      <c r="P4082" s="2" t="s">
        <v>82</v>
      </c>
      <c r="Q4082" s="2" t="str">
        <f>"0013/2010"</f>
        <v>0013/2010</v>
      </c>
      <c r="R4082" s="2" t="s">
        <v>82</v>
      </c>
      <c r="S4082" s="2" t="s">
        <v>82</v>
      </c>
      <c r="T4082" s="2">
        <v>2</v>
      </c>
      <c r="U4082" s="2" t="s">
        <v>123</v>
      </c>
      <c r="V4082" s="2">
        <v>1</v>
      </c>
      <c r="W4082" s="2" t="s">
        <v>80</v>
      </c>
      <c r="X4082" s="2">
        <v>12</v>
      </c>
      <c r="Y4082" s="2" t="s">
        <v>148</v>
      </c>
      <c r="Z4082" s="2">
        <v>1</v>
      </c>
      <c r="AA4082" s="2" t="s">
        <v>82</v>
      </c>
      <c r="AB4082" s="2">
        <v>9</v>
      </c>
      <c r="AC4082" s="2" t="s">
        <v>124</v>
      </c>
      <c r="AD4082" s="3">
        <v>40455</v>
      </c>
      <c r="AE4082" s="2"/>
      <c r="AF4082" s="3">
        <v>40456</v>
      </c>
      <c r="AG4082" s="4">
        <v>0.47916666666666669</v>
      </c>
      <c r="AH4082" s="2">
        <v>5</v>
      </c>
      <c r="AI4082" s="2" t="s">
        <v>274</v>
      </c>
      <c r="AJ4082" s="2">
        <v>45</v>
      </c>
      <c r="AK4082" s="2" t="s">
        <v>834</v>
      </c>
      <c r="AL4082" s="2">
        <v>19</v>
      </c>
      <c r="AM4082" s="2" t="s">
        <v>107</v>
      </c>
      <c r="AN4082" s="2" t="s">
        <v>82</v>
      </c>
      <c r="AO4082" s="2" t="s">
        <v>1648</v>
      </c>
      <c r="AP4082" s="2">
        <v>11</v>
      </c>
      <c r="AQ4082" s="2" t="s">
        <v>82</v>
      </c>
      <c r="AR4082" s="2" t="s">
        <v>82</v>
      </c>
      <c r="AS4082" s="2" t="s">
        <v>82</v>
      </c>
      <c r="AT4082" s="2" t="s">
        <v>12843</v>
      </c>
      <c r="AU4082" s="2"/>
      <c r="AV4082" s="2"/>
      <c r="AW4082" s="2"/>
      <c r="AX4082" s="2"/>
      <c r="AY4082" s="2">
        <v>41</v>
      </c>
      <c r="AZ4082" s="2" t="s">
        <v>82</v>
      </c>
      <c r="BA4082" s="2">
        <v>41</v>
      </c>
      <c r="BB4082" s="2" t="s">
        <v>82</v>
      </c>
      <c r="BC4082" s="2">
        <v>41</v>
      </c>
      <c r="BD4082" s="2" t="s">
        <v>82</v>
      </c>
      <c r="BE4082" s="2">
        <v>41</v>
      </c>
      <c r="BF4082" s="2" t="s">
        <v>82</v>
      </c>
      <c r="BG4082" s="2" t="s">
        <v>82</v>
      </c>
      <c r="BH4082" s="2"/>
      <c r="BI4082" s="2"/>
      <c r="BJ4082" s="2">
        <v>241</v>
      </c>
      <c r="BK4082" s="2" t="s">
        <v>82</v>
      </c>
      <c r="BL4082" s="2" t="s">
        <v>82</v>
      </c>
      <c r="BM4082" s="2">
        <v>241</v>
      </c>
      <c r="BN4082" s="2" t="s">
        <v>82</v>
      </c>
      <c r="BO4082" s="2"/>
      <c r="BP4082" s="2">
        <v>241</v>
      </c>
      <c r="BQ4082" s="2" t="s">
        <v>82</v>
      </c>
      <c r="BR4082" s="2" t="s">
        <v>82</v>
      </c>
      <c r="BS4082" s="3">
        <v>40456</v>
      </c>
      <c r="BT4082" s="4">
        <v>0.49687500000000001</v>
      </c>
    </row>
    <row r="4083" spans="1:72" x14ac:dyDescent="0.25">
      <c r="A4083" s="2">
        <v>6126</v>
      </c>
      <c r="B4083" s="2">
        <v>2010</v>
      </c>
      <c r="C4083" s="2" t="s">
        <v>171</v>
      </c>
      <c r="D4083" s="2" t="s">
        <v>73</v>
      </c>
      <c r="E4083" s="2"/>
      <c r="F4083" s="2">
        <v>396</v>
      </c>
      <c r="G4083" s="2" t="s">
        <v>2159</v>
      </c>
      <c r="H4083" s="2">
        <v>8</v>
      </c>
      <c r="I4083" s="2" t="s">
        <v>3451</v>
      </c>
      <c r="J4083" s="2">
        <v>243</v>
      </c>
      <c r="K4083" s="2" t="s">
        <v>2160</v>
      </c>
      <c r="L4083" s="2" t="s">
        <v>2145</v>
      </c>
      <c r="M4083" s="3">
        <v>40456</v>
      </c>
      <c r="N4083" s="2" t="s">
        <v>12844</v>
      </c>
      <c r="O4083" s="2" t="s">
        <v>12845</v>
      </c>
      <c r="P4083" s="2">
        <v>13763</v>
      </c>
      <c r="Q4083" s="2" t="str">
        <f>"508E/10"</f>
        <v>508E/10</v>
      </c>
      <c r="R4083" s="2" t="s">
        <v>391</v>
      </c>
      <c r="S4083" s="2"/>
      <c r="T4083" s="2">
        <v>1</v>
      </c>
      <c r="U4083" s="2" t="s">
        <v>79</v>
      </c>
      <c r="V4083" s="2">
        <v>3</v>
      </c>
      <c r="W4083" s="2" t="s">
        <v>225</v>
      </c>
      <c r="X4083" s="2">
        <v>6</v>
      </c>
      <c r="Y4083" s="2" t="s">
        <v>249</v>
      </c>
      <c r="Z4083" s="2">
        <v>1</v>
      </c>
      <c r="AA4083" s="2" t="s">
        <v>82</v>
      </c>
      <c r="AB4083" s="2">
        <v>9</v>
      </c>
      <c r="AC4083" s="2" t="s">
        <v>124</v>
      </c>
      <c r="AD4083" s="3">
        <v>40456</v>
      </c>
      <c r="AE4083" s="4">
        <v>0.41666666666666669</v>
      </c>
      <c r="AF4083" s="3">
        <v>40452</v>
      </c>
      <c r="AG4083" s="4">
        <v>0.95833333333333337</v>
      </c>
      <c r="AH4083" s="2">
        <v>2</v>
      </c>
      <c r="AI4083" s="2" t="s">
        <v>84</v>
      </c>
      <c r="AJ4083" s="2">
        <v>6</v>
      </c>
      <c r="AK4083" s="2" t="s">
        <v>453</v>
      </c>
      <c r="AL4083" s="2">
        <v>23</v>
      </c>
      <c r="AM4083" s="2" t="s">
        <v>251</v>
      </c>
      <c r="AN4083" s="2" t="s">
        <v>107</v>
      </c>
      <c r="AO4083" s="2" t="s">
        <v>107</v>
      </c>
      <c r="AP4083" s="2">
        <v>11</v>
      </c>
      <c r="AQ4083" s="2" t="s">
        <v>82</v>
      </c>
      <c r="AR4083" s="2"/>
      <c r="AS4083" s="2"/>
      <c r="AT4083" s="2" t="s">
        <v>12846</v>
      </c>
      <c r="AU4083" s="2"/>
      <c r="AV4083" s="2"/>
      <c r="AW4083" s="2"/>
      <c r="AX4083" s="2"/>
      <c r="AY4083" s="2">
        <v>41</v>
      </c>
      <c r="AZ4083" s="2" t="s">
        <v>82</v>
      </c>
      <c r="BA4083" s="2">
        <v>41</v>
      </c>
      <c r="BB4083" s="2" t="s">
        <v>82</v>
      </c>
      <c r="BC4083" s="2">
        <v>41</v>
      </c>
      <c r="BD4083" s="2" t="s">
        <v>82</v>
      </c>
      <c r="BE4083" s="2">
        <v>41</v>
      </c>
      <c r="BF4083" s="2" t="s">
        <v>82</v>
      </c>
      <c r="BG4083" s="2"/>
      <c r="BH4083" s="2"/>
      <c r="BI4083" s="2"/>
      <c r="BJ4083" s="2">
        <v>241</v>
      </c>
      <c r="BK4083" s="2" t="s">
        <v>82</v>
      </c>
      <c r="BL4083" s="2"/>
      <c r="BM4083" s="2">
        <v>241</v>
      </c>
      <c r="BN4083" s="2" t="s">
        <v>82</v>
      </c>
      <c r="BO4083" s="2"/>
      <c r="BP4083" s="2">
        <v>241</v>
      </c>
      <c r="BQ4083" s="2" t="s">
        <v>82</v>
      </c>
      <c r="BR4083" s="2"/>
      <c r="BS4083" s="3">
        <v>40456</v>
      </c>
      <c r="BT4083" s="4">
        <v>0.53097222222222229</v>
      </c>
    </row>
    <row r="4084" spans="1:72" x14ac:dyDescent="0.25">
      <c r="A4084" s="2">
        <v>6127</v>
      </c>
      <c r="B4084" s="2">
        <v>2010</v>
      </c>
      <c r="C4084" s="2" t="s">
        <v>819</v>
      </c>
      <c r="D4084" s="2" t="s">
        <v>122</v>
      </c>
      <c r="E4084" s="2"/>
      <c r="F4084" s="2">
        <v>1</v>
      </c>
      <c r="G4084" s="2" t="s">
        <v>82</v>
      </c>
      <c r="H4084" s="2">
        <v>1</v>
      </c>
      <c r="I4084" s="2" t="s">
        <v>82</v>
      </c>
      <c r="J4084" s="2">
        <v>1</v>
      </c>
      <c r="K4084" s="2" t="s">
        <v>107</v>
      </c>
      <c r="L4084" s="2" t="s">
        <v>107</v>
      </c>
      <c r="M4084" s="3">
        <v>40456</v>
      </c>
      <c r="N4084" s="2"/>
      <c r="O4084" s="2"/>
      <c r="P4084" s="2"/>
      <c r="Q4084" s="2" t="str">
        <f>""</f>
        <v/>
      </c>
      <c r="R4084" s="2"/>
      <c r="S4084" s="2"/>
      <c r="T4084" s="2">
        <v>1</v>
      </c>
      <c r="U4084" s="2" t="s">
        <v>79</v>
      </c>
      <c r="V4084" s="2">
        <v>1</v>
      </c>
      <c r="W4084" s="2" t="s">
        <v>80</v>
      </c>
      <c r="X4084" s="2">
        <v>4</v>
      </c>
      <c r="Y4084" s="2" t="s">
        <v>463</v>
      </c>
      <c r="Z4084" s="2">
        <v>2</v>
      </c>
      <c r="AA4084" s="2" t="s">
        <v>2148</v>
      </c>
      <c r="AB4084" s="2">
        <v>9</v>
      </c>
      <c r="AC4084" s="2" t="s">
        <v>124</v>
      </c>
      <c r="AD4084" s="3">
        <v>40456</v>
      </c>
      <c r="AE4084" s="4">
        <v>0.46527777777777773</v>
      </c>
      <c r="AF4084" s="2"/>
      <c r="AG4084" s="2"/>
      <c r="AH4084" s="2">
        <v>6</v>
      </c>
      <c r="AI4084" s="2" t="s">
        <v>197</v>
      </c>
      <c r="AJ4084" s="2">
        <v>60</v>
      </c>
      <c r="AK4084" s="2" t="s">
        <v>543</v>
      </c>
      <c r="AL4084" s="2">
        <v>22</v>
      </c>
      <c r="AM4084" s="2" t="s">
        <v>1853</v>
      </c>
      <c r="AN4084" s="2"/>
      <c r="AO4084" s="2" t="s">
        <v>12847</v>
      </c>
      <c r="AP4084" s="2">
        <v>11</v>
      </c>
      <c r="AQ4084" s="2" t="s">
        <v>82</v>
      </c>
      <c r="AR4084" s="2"/>
      <c r="AS4084" s="2"/>
      <c r="AT4084" s="2" t="s">
        <v>12848</v>
      </c>
      <c r="AU4084" s="2"/>
      <c r="AV4084" s="2"/>
      <c r="AW4084" s="2"/>
      <c r="AX4084" s="2"/>
      <c r="AY4084" s="2">
        <v>42</v>
      </c>
      <c r="AZ4084" s="2" t="s">
        <v>182</v>
      </c>
      <c r="BA4084" s="2">
        <v>41</v>
      </c>
      <c r="BB4084" s="2" t="s">
        <v>82</v>
      </c>
      <c r="BC4084" s="2">
        <v>41</v>
      </c>
      <c r="BD4084" s="2" t="s">
        <v>82</v>
      </c>
      <c r="BE4084" s="2">
        <v>13</v>
      </c>
      <c r="BF4084" s="2" t="s">
        <v>108</v>
      </c>
      <c r="BG4084" s="2" t="s">
        <v>12849</v>
      </c>
      <c r="BH4084" s="4">
        <v>0.46527777777777773</v>
      </c>
      <c r="BI4084" s="4">
        <v>0.51041666666666663</v>
      </c>
      <c r="BJ4084" s="2">
        <v>13</v>
      </c>
      <c r="BK4084" s="2" t="s">
        <v>91</v>
      </c>
      <c r="BL4084" s="2" t="s">
        <v>421</v>
      </c>
      <c r="BM4084" s="2">
        <v>13</v>
      </c>
      <c r="BN4084" s="2" t="s">
        <v>91</v>
      </c>
      <c r="BO4084" s="2"/>
      <c r="BP4084" s="2">
        <v>13</v>
      </c>
      <c r="BQ4084" s="2" t="s">
        <v>91</v>
      </c>
      <c r="BR4084" s="2" t="s">
        <v>895</v>
      </c>
      <c r="BS4084" s="3">
        <v>40456</v>
      </c>
      <c r="BT4084" s="4">
        <v>0.57490740740740742</v>
      </c>
    </row>
    <row r="4085" spans="1:72" x14ac:dyDescent="0.25">
      <c r="A4085" s="2">
        <v>6129</v>
      </c>
      <c r="B4085" s="2">
        <v>2010</v>
      </c>
      <c r="C4085" s="2" t="s">
        <v>72</v>
      </c>
      <c r="D4085" s="2" t="s">
        <v>122</v>
      </c>
      <c r="E4085" s="2" t="s">
        <v>12850</v>
      </c>
      <c r="F4085" s="2">
        <v>37</v>
      </c>
      <c r="G4085" s="2" t="s">
        <v>1790</v>
      </c>
      <c r="H4085" s="2">
        <v>22</v>
      </c>
      <c r="I4085" s="2" t="s">
        <v>75</v>
      </c>
      <c r="J4085" s="2">
        <v>328</v>
      </c>
      <c r="K4085" s="2" t="s">
        <v>1791</v>
      </c>
      <c r="L4085" s="2" t="s">
        <v>1792</v>
      </c>
      <c r="M4085" s="3">
        <v>40456</v>
      </c>
      <c r="N4085" s="2" t="s">
        <v>3716</v>
      </c>
      <c r="O4085" s="2"/>
      <c r="P4085" s="2"/>
      <c r="Q4085" s="2" t="str">
        <f>"100/10"</f>
        <v>100/10</v>
      </c>
      <c r="R4085" s="2" t="s">
        <v>12851</v>
      </c>
      <c r="S4085" s="2"/>
      <c r="T4085" s="2">
        <v>1</v>
      </c>
      <c r="U4085" s="2" t="s">
        <v>79</v>
      </c>
      <c r="V4085" s="2">
        <v>1</v>
      </c>
      <c r="W4085" s="2" t="s">
        <v>80</v>
      </c>
      <c r="X4085" s="2">
        <v>12</v>
      </c>
      <c r="Y4085" s="2" t="s">
        <v>148</v>
      </c>
      <c r="Z4085" s="2">
        <v>10</v>
      </c>
      <c r="AA4085" s="2" t="s">
        <v>236</v>
      </c>
      <c r="AB4085" s="2">
        <v>6</v>
      </c>
      <c r="AC4085" s="2" t="s">
        <v>83</v>
      </c>
      <c r="AD4085" s="3">
        <v>40455</v>
      </c>
      <c r="AE4085" s="2"/>
      <c r="AF4085" s="3">
        <v>40455</v>
      </c>
      <c r="AG4085" s="4">
        <v>0.97916666666666663</v>
      </c>
      <c r="AH4085" s="2">
        <v>4</v>
      </c>
      <c r="AI4085" s="2" t="s">
        <v>125</v>
      </c>
      <c r="AJ4085" s="2">
        <v>29</v>
      </c>
      <c r="AK4085" s="2" t="s">
        <v>227</v>
      </c>
      <c r="AL4085" s="2">
        <v>22</v>
      </c>
      <c r="AM4085" s="2" t="s">
        <v>1853</v>
      </c>
      <c r="AN4085" s="2"/>
      <c r="AO4085" s="2"/>
      <c r="AP4085" s="2">
        <v>11</v>
      </c>
      <c r="AQ4085" s="2" t="s">
        <v>82</v>
      </c>
      <c r="AR4085" s="2" t="s">
        <v>82</v>
      </c>
      <c r="AS4085" s="2" t="s">
        <v>82</v>
      </c>
      <c r="AT4085" s="2" t="s">
        <v>12852</v>
      </c>
      <c r="AU4085" s="2"/>
      <c r="AV4085" s="2"/>
      <c r="AW4085" s="2"/>
      <c r="AX4085" s="2"/>
      <c r="AY4085" s="2">
        <v>41</v>
      </c>
      <c r="AZ4085" s="2" t="s">
        <v>82</v>
      </c>
      <c r="BA4085" s="2">
        <v>41</v>
      </c>
      <c r="BB4085" s="2" t="s">
        <v>82</v>
      </c>
      <c r="BC4085" s="2">
        <v>41</v>
      </c>
      <c r="BD4085" s="2" t="s">
        <v>82</v>
      </c>
      <c r="BE4085" s="2">
        <v>13</v>
      </c>
      <c r="BF4085" s="2" t="s">
        <v>108</v>
      </c>
      <c r="BG4085" s="2" t="s">
        <v>12837</v>
      </c>
      <c r="BH4085" s="4">
        <v>0.89583333333333337</v>
      </c>
      <c r="BI4085" s="4">
        <v>0.61111111111111105</v>
      </c>
      <c r="BJ4085" s="2">
        <v>13</v>
      </c>
      <c r="BK4085" s="2" t="s">
        <v>91</v>
      </c>
      <c r="BL4085" s="2" t="s">
        <v>353</v>
      </c>
      <c r="BM4085" s="2">
        <v>13</v>
      </c>
      <c r="BN4085" s="2" t="s">
        <v>91</v>
      </c>
      <c r="BO4085" s="2"/>
      <c r="BP4085" s="2">
        <v>13</v>
      </c>
      <c r="BQ4085" s="2" t="s">
        <v>91</v>
      </c>
      <c r="BR4085" s="2" t="s">
        <v>828</v>
      </c>
      <c r="BS4085" s="3">
        <v>40456</v>
      </c>
      <c r="BT4085" s="4">
        <v>0.58585648148148151</v>
      </c>
    </row>
    <row r="4086" spans="1:72" x14ac:dyDescent="0.25">
      <c r="A4086" s="2">
        <v>6132</v>
      </c>
      <c r="B4086" s="2">
        <v>2010</v>
      </c>
      <c r="C4086" s="2" t="s">
        <v>147</v>
      </c>
      <c r="D4086" s="2" t="s">
        <v>73</v>
      </c>
      <c r="E4086" s="2"/>
      <c r="F4086" s="2">
        <v>1</v>
      </c>
      <c r="G4086" s="2" t="s">
        <v>82</v>
      </c>
      <c r="H4086" s="2">
        <v>1</v>
      </c>
      <c r="I4086" s="2" t="s">
        <v>82</v>
      </c>
      <c r="J4086" s="2">
        <v>1</v>
      </c>
      <c r="K4086" s="2" t="s">
        <v>107</v>
      </c>
      <c r="L4086" s="2" t="s">
        <v>107</v>
      </c>
      <c r="M4086" s="3">
        <v>40456</v>
      </c>
      <c r="N4086" s="2"/>
      <c r="O4086" s="2"/>
      <c r="P4086" s="2"/>
      <c r="Q4086" s="2" t="str">
        <f>""</f>
        <v/>
      </c>
      <c r="R4086" s="2"/>
      <c r="S4086" s="2"/>
      <c r="T4086" s="2">
        <v>2</v>
      </c>
      <c r="U4086" s="2" t="s">
        <v>123</v>
      </c>
      <c r="V4086" s="2">
        <v>1</v>
      </c>
      <c r="W4086" s="2" t="s">
        <v>80</v>
      </c>
      <c r="X4086" s="2">
        <v>12</v>
      </c>
      <c r="Y4086" s="2" t="s">
        <v>148</v>
      </c>
      <c r="Z4086" s="2">
        <v>1</v>
      </c>
      <c r="AA4086" s="2" t="s">
        <v>82</v>
      </c>
      <c r="AB4086" s="2">
        <v>9</v>
      </c>
      <c r="AC4086" s="2" t="s">
        <v>124</v>
      </c>
      <c r="AD4086" s="3">
        <v>40453</v>
      </c>
      <c r="AE4086" s="4">
        <v>0.5</v>
      </c>
      <c r="AF4086" s="2"/>
      <c r="AG4086" s="2"/>
      <c r="AH4086" s="2">
        <v>3</v>
      </c>
      <c r="AI4086" s="2" t="s">
        <v>214</v>
      </c>
      <c r="AJ4086" s="2">
        <v>23</v>
      </c>
      <c r="AK4086" s="2" t="s">
        <v>851</v>
      </c>
      <c r="AL4086" s="2">
        <v>19</v>
      </c>
      <c r="AM4086" s="2" t="s">
        <v>107</v>
      </c>
      <c r="AN4086" s="2" t="s">
        <v>589</v>
      </c>
      <c r="AO4086" s="2" t="s">
        <v>589</v>
      </c>
      <c r="AP4086" s="2">
        <v>11</v>
      </c>
      <c r="AQ4086" s="2" t="s">
        <v>82</v>
      </c>
      <c r="AR4086" s="2"/>
      <c r="AS4086" s="2"/>
      <c r="AT4086" s="2" t="s">
        <v>12853</v>
      </c>
      <c r="AU4086" s="2"/>
      <c r="AV4086" s="2"/>
      <c r="AW4086" s="2"/>
      <c r="AX4086" s="2"/>
      <c r="AY4086" s="2">
        <v>41</v>
      </c>
      <c r="AZ4086" s="2" t="s">
        <v>82</v>
      </c>
      <c r="BA4086" s="2">
        <v>41</v>
      </c>
      <c r="BB4086" s="2" t="s">
        <v>82</v>
      </c>
      <c r="BC4086" s="2">
        <v>41</v>
      </c>
      <c r="BD4086" s="2" t="s">
        <v>82</v>
      </c>
      <c r="BE4086" s="2">
        <v>41</v>
      </c>
      <c r="BF4086" s="2" t="s">
        <v>82</v>
      </c>
      <c r="BG4086" s="2"/>
      <c r="BH4086" s="2"/>
      <c r="BI4086" s="2"/>
      <c r="BJ4086" s="2">
        <v>241</v>
      </c>
      <c r="BK4086" s="2" t="s">
        <v>82</v>
      </c>
      <c r="BL4086" s="2"/>
      <c r="BM4086" s="2">
        <v>241</v>
      </c>
      <c r="BN4086" s="2" t="s">
        <v>82</v>
      </c>
      <c r="BO4086" s="2"/>
      <c r="BP4086" s="2">
        <v>241</v>
      </c>
      <c r="BQ4086" s="2" t="s">
        <v>82</v>
      </c>
      <c r="BR4086" s="2"/>
      <c r="BS4086" s="3">
        <v>40456</v>
      </c>
      <c r="BT4086" s="4">
        <v>0.64818287037037037</v>
      </c>
    </row>
    <row r="4087" spans="1:72" x14ac:dyDescent="0.25">
      <c r="A4087" s="2">
        <v>6138</v>
      </c>
      <c r="B4087" s="2">
        <v>2010</v>
      </c>
      <c r="C4087" s="2" t="s">
        <v>72</v>
      </c>
      <c r="D4087" s="2" t="s">
        <v>73</v>
      </c>
      <c r="E4087" s="2"/>
      <c r="F4087" s="2">
        <v>573</v>
      </c>
      <c r="G4087" s="2" t="s">
        <v>4703</v>
      </c>
      <c r="H4087" s="2">
        <v>86</v>
      </c>
      <c r="I4087" s="2" t="s">
        <v>4704</v>
      </c>
      <c r="J4087" s="2">
        <v>224</v>
      </c>
      <c r="K4087" s="2" t="s">
        <v>4705</v>
      </c>
      <c r="L4087" s="2" t="s">
        <v>4706</v>
      </c>
      <c r="M4087" s="3">
        <v>40456</v>
      </c>
      <c r="N4087" s="2" t="s">
        <v>12281</v>
      </c>
      <c r="O4087" s="2" t="s">
        <v>12854</v>
      </c>
      <c r="P4087" s="2" t="s">
        <v>4709</v>
      </c>
      <c r="Q4087" s="2" t="str">
        <f>""</f>
        <v/>
      </c>
      <c r="R4087" s="2"/>
      <c r="S4087" s="2"/>
      <c r="T4087" s="2">
        <v>1</v>
      </c>
      <c r="U4087" s="2" t="s">
        <v>79</v>
      </c>
      <c r="V4087" s="2">
        <v>1</v>
      </c>
      <c r="W4087" s="2" t="s">
        <v>80</v>
      </c>
      <c r="X4087" s="2">
        <v>8</v>
      </c>
      <c r="Y4087" s="2" t="s">
        <v>375</v>
      </c>
      <c r="Z4087" s="2">
        <v>1</v>
      </c>
      <c r="AA4087" s="2" t="s">
        <v>82</v>
      </c>
      <c r="AB4087" s="2">
        <v>6</v>
      </c>
      <c r="AC4087" s="2" t="s">
        <v>83</v>
      </c>
      <c r="AD4087" s="3">
        <v>40456</v>
      </c>
      <c r="AE4087" s="4">
        <v>0.60416666666666663</v>
      </c>
      <c r="AF4087" s="2"/>
      <c r="AG4087" s="2"/>
      <c r="AH4087" s="2">
        <v>2</v>
      </c>
      <c r="AI4087" s="2" t="s">
        <v>84</v>
      </c>
      <c r="AJ4087" s="2">
        <v>6</v>
      </c>
      <c r="AK4087" s="2" t="s">
        <v>453</v>
      </c>
      <c r="AL4087" s="2">
        <v>23</v>
      </c>
      <c r="AM4087" s="2" t="s">
        <v>251</v>
      </c>
      <c r="AN4087" s="2"/>
      <c r="AO4087" s="2" t="s">
        <v>12855</v>
      </c>
      <c r="AP4087" s="2">
        <v>11</v>
      </c>
      <c r="AQ4087" s="2" t="s">
        <v>82</v>
      </c>
      <c r="AR4087" s="2"/>
      <c r="AS4087" s="2"/>
      <c r="AT4087" s="2" t="s">
        <v>12856</v>
      </c>
      <c r="AU4087" s="2"/>
      <c r="AV4087" s="2"/>
      <c r="AW4087" s="2"/>
      <c r="AX4087" s="2"/>
      <c r="AY4087" s="2">
        <v>41</v>
      </c>
      <c r="AZ4087" s="2" t="s">
        <v>82</v>
      </c>
      <c r="BA4087" s="2">
        <v>41</v>
      </c>
      <c r="BB4087" s="2" t="s">
        <v>82</v>
      </c>
      <c r="BC4087" s="2">
        <v>41</v>
      </c>
      <c r="BD4087" s="2" t="s">
        <v>82</v>
      </c>
      <c r="BE4087" s="2">
        <v>41</v>
      </c>
      <c r="BF4087" s="2" t="s">
        <v>82</v>
      </c>
      <c r="BG4087" s="2"/>
      <c r="BH4087" s="2"/>
      <c r="BI4087" s="2"/>
      <c r="BJ4087" s="2">
        <v>241</v>
      </c>
      <c r="BK4087" s="2" t="s">
        <v>82</v>
      </c>
      <c r="BL4087" s="2"/>
      <c r="BM4087" s="2">
        <v>241</v>
      </c>
      <c r="BN4087" s="2" t="s">
        <v>82</v>
      </c>
      <c r="BO4087" s="2"/>
      <c r="BP4087" s="2">
        <v>241</v>
      </c>
      <c r="BQ4087" s="2" t="s">
        <v>82</v>
      </c>
      <c r="BR4087" s="2"/>
      <c r="BS4087" s="3">
        <v>40456</v>
      </c>
      <c r="BT4087" s="4">
        <v>0.74261574074074066</v>
      </c>
    </row>
    <row r="4088" spans="1:72" x14ac:dyDescent="0.25">
      <c r="A4088" s="2">
        <v>6140</v>
      </c>
      <c r="B4088" s="2">
        <v>2010</v>
      </c>
      <c r="C4088" s="2" t="s">
        <v>806</v>
      </c>
      <c r="D4088" s="2" t="s">
        <v>73</v>
      </c>
      <c r="E4088" s="2"/>
      <c r="F4088" s="2">
        <v>54</v>
      </c>
      <c r="G4088" s="2" t="s">
        <v>2963</v>
      </c>
      <c r="H4088" s="2">
        <v>89</v>
      </c>
      <c r="I4088" s="2" t="s">
        <v>5137</v>
      </c>
      <c r="J4088" s="2">
        <v>516</v>
      </c>
      <c r="K4088" s="2" t="s">
        <v>5138</v>
      </c>
      <c r="L4088" s="2" t="s">
        <v>5139</v>
      </c>
      <c r="M4088" s="3">
        <v>40456</v>
      </c>
      <c r="N4088" s="2" t="s">
        <v>3332</v>
      </c>
      <c r="O4088" s="2" t="s">
        <v>12857</v>
      </c>
      <c r="P4088" s="2" t="s">
        <v>12290</v>
      </c>
      <c r="Q4088" s="2" t="str">
        <f>""</f>
        <v/>
      </c>
      <c r="R4088" s="2"/>
      <c r="S4088" s="2"/>
      <c r="T4088" s="2">
        <v>1</v>
      </c>
      <c r="U4088" s="2" t="s">
        <v>79</v>
      </c>
      <c r="V4088" s="2">
        <v>1</v>
      </c>
      <c r="W4088" s="2" t="s">
        <v>80</v>
      </c>
      <c r="X4088" s="2">
        <v>8</v>
      </c>
      <c r="Y4088" s="2" t="s">
        <v>375</v>
      </c>
      <c r="Z4088" s="2">
        <v>1</v>
      </c>
      <c r="AA4088" s="2" t="s">
        <v>82</v>
      </c>
      <c r="AB4088" s="2">
        <v>9</v>
      </c>
      <c r="AC4088" s="2" t="s">
        <v>124</v>
      </c>
      <c r="AD4088" s="3">
        <v>40443</v>
      </c>
      <c r="AE4088" s="4">
        <v>0.80902777777777779</v>
      </c>
      <c r="AF4088" s="3">
        <v>40443</v>
      </c>
      <c r="AG4088" s="2"/>
      <c r="AH4088" s="2">
        <v>7</v>
      </c>
      <c r="AI4088" s="2" t="s">
        <v>801</v>
      </c>
      <c r="AJ4088" s="2">
        <v>4</v>
      </c>
      <c r="AK4088" s="2" t="s">
        <v>2397</v>
      </c>
      <c r="AL4088" s="2">
        <v>23</v>
      </c>
      <c r="AM4088" s="2" t="s">
        <v>251</v>
      </c>
      <c r="AN4088" s="2"/>
      <c r="AO4088" s="2" t="s">
        <v>12858</v>
      </c>
      <c r="AP4088" s="2">
        <v>11</v>
      </c>
      <c r="AQ4088" s="2" t="s">
        <v>82</v>
      </c>
      <c r="AR4088" s="2"/>
      <c r="AS4088" s="2"/>
      <c r="AT4088" s="2" t="s">
        <v>12859</v>
      </c>
      <c r="AU4088" s="2"/>
      <c r="AV4088" s="2"/>
      <c r="AW4088" s="2"/>
      <c r="AX4088" s="2"/>
      <c r="AY4088" s="2">
        <v>41</v>
      </c>
      <c r="AZ4088" s="2" t="s">
        <v>82</v>
      </c>
      <c r="BA4088" s="2">
        <v>41</v>
      </c>
      <c r="BB4088" s="2" t="s">
        <v>82</v>
      </c>
      <c r="BC4088" s="2">
        <v>41</v>
      </c>
      <c r="BD4088" s="2" t="s">
        <v>82</v>
      </c>
      <c r="BE4088" s="2">
        <v>41</v>
      </c>
      <c r="BF4088" s="2" t="s">
        <v>82</v>
      </c>
      <c r="BG4088" s="2"/>
      <c r="BH4088" s="2"/>
      <c r="BI4088" s="2"/>
      <c r="BJ4088" s="2">
        <v>241</v>
      </c>
      <c r="BK4088" s="2" t="s">
        <v>82</v>
      </c>
      <c r="BL4088" s="2"/>
      <c r="BM4088" s="2">
        <v>241</v>
      </c>
      <c r="BN4088" s="2" t="s">
        <v>82</v>
      </c>
      <c r="BO4088" s="2"/>
      <c r="BP4088" s="2">
        <v>241</v>
      </c>
      <c r="BQ4088" s="2" t="s">
        <v>82</v>
      </c>
      <c r="BR4088" s="2"/>
      <c r="BS4088" s="3">
        <v>40456</v>
      </c>
      <c r="BT4088" s="4">
        <v>0.74613425925925936</v>
      </c>
    </row>
    <row r="4089" spans="1:72" x14ac:dyDescent="0.25">
      <c r="A4089" s="2">
        <v>6142</v>
      </c>
      <c r="B4089" s="2">
        <v>2010</v>
      </c>
      <c r="C4089" s="2" t="s">
        <v>93</v>
      </c>
      <c r="D4089" s="2" t="s">
        <v>122</v>
      </c>
      <c r="E4089" s="2"/>
      <c r="F4089" s="2">
        <v>684</v>
      </c>
      <c r="G4089" s="2" t="s">
        <v>12860</v>
      </c>
      <c r="H4089" s="2">
        <v>141</v>
      </c>
      <c r="I4089" s="2" t="s">
        <v>12861</v>
      </c>
      <c r="J4089" s="2">
        <v>238</v>
      </c>
      <c r="K4089" s="2" t="s">
        <v>1151</v>
      </c>
      <c r="L4089" s="2" t="s">
        <v>1859</v>
      </c>
      <c r="M4089" s="3">
        <v>40456</v>
      </c>
      <c r="N4089" s="2" t="s">
        <v>12862</v>
      </c>
      <c r="O4089" s="2" t="s">
        <v>12863</v>
      </c>
      <c r="P4089" s="2">
        <v>19285</v>
      </c>
      <c r="Q4089" s="2" t="str">
        <f>"125"</f>
        <v>125</v>
      </c>
      <c r="R4089" s="2" t="s">
        <v>7656</v>
      </c>
      <c r="S4089" s="2"/>
      <c r="T4089" s="2">
        <v>1</v>
      </c>
      <c r="U4089" s="2" t="s">
        <v>79</v>
      </c>
      <c r="V4089" s="2">
        <v>1</v>
      </c>
      <c r="W4089" s="2" t="s">
        <v>80</v>
      </c>
      <c r="X4089" s="2">
        <v>3</v>
      </c>
      <c r="Y4089" s="2" t="s">
        <v>698</v>
      </c>
      <c r="Z4089" s="2">
        <v>9</v>
      </c>
      <c r="AA4089" s="2" t="s">
        <v>1119</v>
      </c>
      <c r="AB4089" s="2">
        <v>2</v>
      </c>
      <c r="AC4089" s="2" t="s">
        <v>102</v>
      </c>
      <c r="AD4089" s="3">
        <v>40456</v>
      </c>
      <c r="AE4089" s="4">
        <v>0.68055555555555547</v>
      </c>
      <c r="AF4089" s="2"/>
      <c r="AG4089" s="2"/>
      <c r="AH4089" s="2">
        <v>5</v>
      </c>
      <c r="AI4089" s="2" t="s">
        <v>274</v>
      </c>
      <c r="AJ4089" s="2">
        <v>38</v>
      </c>
      <c r="AK4089" s="2" t="s">
        <v>1120</v>
      </c>
      <c r="AL4089" s="2">
        <v>14</v>
      </c>
      <c r="AM4089" s="2" t="s">
        <v>216</v>
      </c>
      <c r="AN4089" s="2"/>
      <c r="AO4089" s="2" t="s">
        <v>7650</v>
      </c>
      <c r="AP4089" s="2">
        <v>11</v>
      </c>
      <c r="AQ4089" s="2" t="s">
        <v>82</v>
      </c>
      <c r="AR4089" s="2"/>
      <c r="AS4089" s="2"/>
      <c r="AT4089" s="2" t="s">
        <v>12864</v>
      </c>
      <c r="AU4089" s="2"/>
      <c r="AV4089" s="2"/>
      <c r="AW4089" s="2"/>
      <c r="AX4089" s="2"/>
      <c r="AY4089" s="2">
        <v>41</v>
      </c>
      <c r="AZ4089" s="2" t="s">
        <v>82</v>
      </c>
      <c r="BA4089" s="2">
        <v>41</v>
      </c>
      <c r="BB4089" s="2" t="s">
        <v>82</v>
      </c>
      <c r="BC4089" s="2">
        <v>41</v>
      </c>
      <c r="BD4089" s="2" t="s">
        <v>82</v>
      </c>
      <c r="BE4089" s="2">
        <v>4</v>
      </c>
      <c r="BF4089" s="2" t="s">
        <v>90</v>
      </c>
      <c r="BG4089" s="2">
        <v>4027</v>
      </c>
      <c r="BH4089" s="4">
        <v>0.63541666666666663</v>
      </c>
      <c r="BI4089" s="4">
        <v>0.66319444444444442</v>
      </c>
      <c r="BJ4089" s="2">
        <v>13</v>
      </c>
      <c r="BK4089" s="2" t="s">
        <v>91</v>
      </c>
      <c r="BL4089" s="2" t="s">
        <v>2005</v>
      </c>
      <c r="BM4089" s="2">
        <v>13</v>
      </c>
      <c r="BN4089" s="2" t="s">
        <v>91</v>
      </c>
      <c r="BO4089" s="2"/>
      <c r="BP4089" s="2">
        <v>13</v>
      </c>
      <c r="BQ4089" s="2" t="s">
        <v>91</v>
      </c>
      <c r="BR4089" s="2" t="s">
        <v>170</v>
      </c>
      <c r="BS4089" s="3">
        <v>40456</v>
      </c>
      <c r="BT4089" s="4">
        <v>0.77583333333333337</v>
      </c>
    </row>
    <row r="4090" spans="1:72" x14ac:dyDescent="0.25">
      <c r="A4090" s="2">
        <v>6143</v>
      </c>
      <c r="B4090" s="2">
        <v>2010</v>
      </c>
      <c r="C4090" s="2" t="s">
        <v>72</v>
      </c>
      <c r="D4090" s="2" t="s">
        <v>73</v>
      </c>
      <c r="E4090" s="2"/>
      <c r="F4090" s="2">
        <v>164</v>
      </c>
      <c r="G4090" s="2" t="s">
        <v>4963</v>
      </c>
      <c r="H4090" s="2">
        <v>22</v>
      </c>
      <c r="I4090" s="2" t="s">
        <v>75</v>
      </c>
      <c r="J4090" s="2">
        <v>674</v>
      </c>
      <c r="K4090" s="2" t="s">
        <v>12821</v>
      </c>
      <c r="L4090" s="2" t="s">
        <v>12822</v>
      </c>
      <c r="M4090" s="3">
        <v>40456</v>
      </c>
      <c r="N4090" s="2" t="s">
        <v>12865</v>
      </c>
      <c r="O4090" s="2"/>
      <c r="P4090" s="2"/>
      <c r="Q4090" s="2" t="str">
        <f>"392-A/10"</f>
        <v>392-A/10</v>
      </c>
      <c r="R4090" s="2" t="s">
        <v>480</v>
      </c>
      <c r="S4090" s="2" t="s">
        <v>12866</v>
      </c>
      <c r="T4090" s="2">
        <v>1</v>
      </c>
      <c r="U4090" s="2" t="s">
        <v>79</v>
      </c>
      <c r="V4090" s="2">
        <v>1</v>
      </c>
      <c r="W4090" s="2" t="s">
        <v>80</v>
      </c>
      <c r="X4090" s="2">
        <v>1</v>
      </c>
      <c r="Y4090" s="2" t="s">
        <v>81</v>
      </c>
      <c r="Z4090" s="2">
        <v>1</v>
      </c>
      <c r="AA4090" s="2" t="s">
        <v>82</v>
      </c>
      <c r="AB4090" s="2">
        <v>6</v>
      </c>
      <c r="AC4090" s="2" t="s">
        <v>83</v>
      </c>
      <c r="AD4090" s="3">
        <v>40456</v>
      </c>
      <c r="AE4090" s="4">
        <v>0.4826388888888889</v>
      </c>
      <c r="AF4090" s="2"/>
      <c r="AG4090" s="2"/>
      <c r="AH4090" s="2">
        <v>2</v>
      </c>
      <c r="AI4090" s="2" t="s">
        <v>84</v>
      </c>
      <c r="AJ4090" s="2">
        <v>12</v>
      </c>
      <c r="AK4090" s="2" t="s">
        <v>85</v>
      </c>
      <c r="AL4090" s="2">
        <v>11</v>
      </c>
      <c r="AM4090" s="2" t="s">
        <v>137</v>
      </c>
      <c r="AN4090" s="2" t="s">
        <v>1869</v>
      </c>
      <c r="AO4090" s="2" t="s">
        <v>12867</v>
      </c>
      <c r="AP4090" s="2">
        <v>11</v>
      </c>
      <c r="AQ4090" s="2" t="s">
        <v>82</v>
      </c>
      <c r="AR4090" s="2"/>
      <c r="AS4090" s="2"/>
      <c r="AT4090" s="2" t="s">
        <v>12868</v>
      </c>
      <c r="AU4090" s="2"/>
      <c r="AV4090" s="2"/>
      <c r="AW4090" s="2"/>
      <c r="AX4090" s="2"/>
      <c r="AY4090" s="2">
        <v>41</v>
      </c>
      <c r="AZ4090" s="2" t="s">
        <v>82</v>
      </c>
      <c r="BA4090" s="2">
        <v>41</v>
      </c>
      <c r="BB4090" s="2" t="s">
        <v>82</v>
      </c>
      <c r="BC4090" s="2">
        <v>41</v>
      </c>
      <c r="BD4090" s="2" t="s">
        <v>82</v>
      </c>
      <c r="BE4090" s="2">
        <v>13</v>
      </c>
      <c r="BF4090" s="2" t="s">
        <v>108</v>
      </c>
      <c r="BG4090" s="2" t="s">
        <v>12869</v>
      </c>
      <c r="BH4090" s="2"/>
      <c r="BI4090" s="2"/>
      <c r="BJ4090" s="2">
        <v>13</v>
      </c>
      <c r="BK4090" s="2" t="s">
        <v>91</v>
      </c>
      <c r="BL4090" s="2" t="s">
        <v>564</v>
      </c>
      <c r="BM4090" s="2">
        <v>13</v>
      </c>
      <c r="BN4090" s="2" t="s">
        <v>91</v>
      </c>
      <c r="BO4090" s="2"/>
      <c r="BP4090" s="2">
        <v>13</v>
      </c>
      <c r="BQ4090" s="2" t="s">
        <v>91</v>
      </c>
      <c r="BR4090" s="2" t="s">
        <v>445</v>
      </c>
      <c r="BS4090" s="3">
        <v>40456</v>
      </c>
      <c r="BT4090" s="4">
        <v>0.8027777777777777</v>
      </c>
    </row>
    <row r="4091" spans="1:72" x14ac:dyDescent="0.25">
      <c r="A4091" s="2">
        <v>6144</v>
      </c>
      <c r="B4091" s="2">
        <v>2010</v>
      </c>
      <c r="C4091" s="2" t="s">
        <v>171</v>
      </c>
      <c r="D4091" s="2" t="s">
        <v>73</v>
      </c>
      <c r="E4091" s="2"/>
      <c r="F4091" s="2">
        <v>229</v>
      </c>
      <c r="G4091" s="2" t="s">
        <v>2244</v>
      </c>
      <c r="H4091" s="2">
        <v>9</v>
      </c>
      <c r="I4091" s="2" t="s">
        <v>794</v>
      </c>
      <c r="J4091" s="2">
        <v>243</v>
      </c>
      <c r="K4091" s="2" t="s">
        <v>2160</v>
      </c>
      <c r="L4091" s="2" t="s">
        <v>2145</v>
      </c>
      <c r="M4091" s="3">
        <v>40456</v>
      </c>
      <c r="N4091" s="2" t="s">
        <v>2245</v>
      </c>
      <c r="O4091" s="2" t="s">
        <v>107</v>
      </c>
      <c r="P4091" s="2" t="s">
        <v>107</v>
      </c>
      <c r="Q4091" s="2" t="str">
        <f>"07/10"</f>
        <v>07/10</v>
      </c>
      <c r="R4091" s="2" t="s">
        <v>107</v>
      </c>
      <c r="S4091" s="2" t="s">
        <v>12870</v>
      </c>
      <c r="T4091" s="2">
        <v>1</v>
      </c>
      <c r="U4091" s="2" t="s">
        <v>79</v>
      </c>
      <c r="V4091" s="2">
        <v>1</v>
      </c>
      <c r="W4091" s="2" t="s">
        <v>80</v>
      </c>
      <c r="X4091" s="2">
        <v>12</v>
      </c>
      <c r="Y4091" s="2" t="s">
        <v>148</v>
      </c>
      <c r="Z4091" s="2">
        <v>1</v>
      </c>
      <c r="AA4091" s="2" t="s">
        <v>82</v>
      </c>
      <c r="AB4091" s="2">
        <v>1</v>
      </c>
      <c r="AC4091" s="2" t="s">
        <v>178</v>
      </c>
      <c r="AD4091" s="3">
        <v>40456</v>
      </c>
      <c r="AE4091" s="2"/>
      <c r="AF4091" s="3">
        <v>40456</v>
      </c>
      <c r="AG4091" s="4">
        <v>0.45833333333333331</v>
      </c>
      <c r="AH4091" s="2">
        <v>7</v>
      </c>
      <c r="AI4091" s="2" t="s">
        <v>801</v>
      </c>
      <c r="AJ4091" s="2">
        <v>3</v>
      </c>
      <c r="AK4091" s="2" t="s">
        <v>802</v>
      </c>
      <c r="AL4091" s="2">
        <v>25</v>
      </c>
      <c r="AM4091" s="2" t="s">
        <v>3073</v>
      </c>
      <c r="AN4091" s="2" t="s">
        <v>107</v>
      </c>
      <c r="AO4091" s="2" t="s">
        <v>107</v>
      </c>
      <c r="AP4091" s="2">
        <v>11</v>
      </c>
      <c r="AQ4091" s="2" t="s">
        <v>82</v>
      </c>
      <c r="AR4091" s="2"/>
      <c r="AS4091" s="2"/>
      <c r="AT4091" s="2" t="s">
        <v>12871</v>
      </c>
      <c r="AU4091" s="2"/>
      <c r="AV4091" s="2"/>
      <c r="AW4091" s="2"/>
      <c r="AX4091" s="2"/>
      <c r="AY4091" s="2">
        <v>41</v>
      </c>
      <c r="AZ4091" s="2" t="s">
        <v>82</v>
      </c>
      <c r="BA4091" s="2">
        <v>41</v>
      </c>
      <c r="BB4091" s="2" t="s">
        <v>82</v>
      </c>
      <c r="BC4091" s="2">
        <v>41</v>
      </c>
      <c r="BD4091" s="2" t="s">
        <v>82</v>
      </c>
      <c r="BE4091" s="2">
        <v>41</v>
      </c>
      <c r="BF4091" s="2" t="s">
        <v>82</v>
      </c>
      <c r="BG4091" s="2"/>
      <c r="BH4091" s="2"/>
      <c r="BI4091" s="2"/>
      <c r="BJ4091" s="2">
        <v>241</v>
      </c>
      <c r="BK4091" s="2" t="s">
        <v>82</v>
      </c>
      <c r="BL4091" s="2"/>
      <c r="BM4091" s="2">
        <v>241</v>
      </c>
      <c r="BN4091" s="2" t="s">
        <v>82</v>
      </c>
      <c r="BO4091" s="2"/>
      <c r="BP4091" s="2">
        <v>241</v>
      </c>
      <c r="BQ4091" s="2" t="s">
        <v>82</v>
      </c>
      <c r="BR4091" s="2"/>
      <c r="BS4091" s="3">
        <v>40456</v>
      </c>
      <c r="BT4091" s="4">
        <v>0.82414351851851853</v>
      </c>
    </row>
    <row r="4092" spans="1:72" x14ac:dyDescent="0.25">
      <c r="A4092" s="2">
        <v>6146</v>
      </c>
      <c r="B4092" s="2">
        <v>2010</v>
      </c>
      <c r="C4092" s="2" t="s">
        <v>4543</v>
      </c>
      <c r="D4092" s="2" t="s">
        <v>122</v>
      </c>
      <c r="E4092" s="2"/>
      <c r="F4092" s="2">
        <v>1</v>
      </c>
      <c r="G4092" s="2" t="s">
        <v>82</v>
      </c>
      <c r="H4092" s="2">
        <v>1</v>
      </c>
      <c r="I4092" s="2" t="s">
        <v>82</v>
      </c>
      <c r="J4092" s="2">
        <v>1</v>
      </c>
      <c r="K4092" s="2" t="s">
        <v>107</v>
      </c>
      <c r="L4092" s="2" t="s">
        <v>107</v>
      </c>
      <c r="M4092" s="3">
        <v>40456</v>
      </c>
      <c r="N4092" s="2"/>
      <c r="O4092" s="2"/>
      <c r="P4092" s="2"/>
      <c r="Q4092" s="2" t="str">
        <f>""</f>
        <v/>
      </c>
      <c r="R4092" s="2"/>
      <c r="S4092" s="2"/>
      <c r="T4092" s="2">
        <v>2</v>
      </c>
      <c r="U4092" s="2" t="s">
        <v>123</v>
      </c>
      <c r="V4092" s="2">
        <v>1</v>
      </c>
      <c r="W4092" s="2" t="s">
        <v>80</v>
      </c>
      <c r="X4092" s="2">
        <v>11</v>
      </c>
      <c r="Y4092" s="2" t="s">
        <v>1920</v>
      </c>
      <c r="Z4092" s="2">
        <v>7</v>
      </c>
      <c r="AA4092" s="2" t="s">
        <v>1462</v>
      </c>
      <c r="AB4092" s="2">
        <v>9</v>
      </c>
      <c r="AC4092" s="2" t="s">
        <v>124</v>
      </c>
      <c r="AD4092" s="3">
        <v>40456</v>
      </c>
      <c r="AE4092" s="4">
        <v>0.875</v>
      </c>
      <c r="AF4092" s="2"/>
      <c r="AG4092" s="2"/>
      <c r="AH4092" s="2">
        <v>2</v>
      </c>
      <c r="AI4092" s="2" t="s">
        <v>84</v>
      </c>
      <c r="AJ4092" s="2">
        <v>9</v>
      </c>
      <c r="AK4092" s="2" t="s">
        <v>103</v>
      </c>
      <c r="AL4092" s="2">
        <v>15</v>
      </c>
      <c r="AM4092" s="2" t="s">
        <v>104</v>
      </c>
      <c r="AN4092" s="2" t="s">
        <v>12872</v>
      </c>
      <c r="AO4092" s="2"/>
      <c r="AP4092" s="2">
        <v>11</v>
      </c>
      <c r="AQ4092" s="2" t="s">
        <v>82</v>
      </c>
      <c r="AR4092" s="2"/>
      <c r="AS4092" s="2"/>
      <c r="AT4092" s="2" t="s">
        <v>12873</v>
      </c>
      <c r="AU4092" s="2"/>
      <c r="AV4092" s="2"/>
      <c r="AW4092" s="2"/>
      <c r="AX4092" s="2"/>
      <c r="AY4092" s="2">
        <v>41</v>
      </c>
      <c r="AZ4092" s="2" t="s">
        <v>82</v>
      </c>
      <c r="BA4092" s="2">
        <v>41</v>
      </c>
      <c r="BB4092" s="2" t="s">
        <v>82</v>
      </c>
      <c r="BC4092" s="2">
        <v>41</v>
      </c>
      <c r="BD4092" s="2" t="s">
        <v>82</v>
      </c>
      <c r="BE4092" s="2">
        <v>13</v>
      </c>
      <c r="BF4092" s="2" t="s">
        <v>108</v>
      </c>
      <c r="BG4092" s="2" t="s">
        <v>1769</v>
      </c>
      <c r="BH4092" s="2"/>
      <c r="BI4092" s="4">
        <v>0.875</v>
      </c>
      <c r="BJ4092" s="2">
        <v>13</v>
      </c>
      <c r="BK4092" s="2" t="s">
        <v>91</v>
      </c>
      <c r="BL4092" s="2" t="s">
        <v>185</v>
      </c>
      <c r="BM4092" s="2">
        <v>241</v>
      </c>
      <c r="BN4092" s="2" t="s">
        <v>82</v>
      </c>
      <c r="BO4092" s="2"/>
      <c r="BP4092" s="2">
        <v>73</v>
      </c>
      <c r="BQ4092" s="2" t="s">
        <v>186</v>
      </c>
      <c r="BR4092" s="2" t="s">
        <v>187</v>
      </c>
      <c r="BS4092" s="3">
        <v>40456</v>
      </c>
      <c r="BT4092" s="4">
        <v>0.89372685185185186</v>
      </c>
    </row>
    <row r="4093" spans="1:72" x14ac:dyDescent="0.25">
      <c r="A4093" s="2">
        <v>6147</v>
      </c>
      <c r="B4093" s="2">
        <v>2010</v>
      </c>
      <c r="C4093" s="2" t="s">
        <v>72</v>
      </c>
      <c r="D4093" s="2" t="s">
        <v>73</v>
      </c>
      <c r="E4093" s="2"/>
      <c r="F4093" s="2">
        <v>188</v>
      </c>
      <c r="G4093" s="2" t="s">
        <v>11384</v>
      </c>
      <c r="H4093" s="2">
        <v>22</v>
      </c>
      <c r="I4093" s="2" t="s">
        <v>75</v>
      </c>
      <c r="J4093" s="2">
        <v>671</v>
      </c>
      <c r="K4093" s="2" t="s">
        <v>12737</v>
      </c>
      <c r="L4093" s="2" t="s">
        <v>12738</v>
      </c>
      <c r="M4093" s="3">
        <v>40456</v>
      </c>
      <c r="N4093" s="2" t="s">
        <v>12874</v>
      </c>
      <c r="O4093" s="2" t="s">
        <v>82</v>
      </c>
      <c r="P4093" s="2" t="s">
        <v>82</v>
      </c>
      <c r="Q4093" s="2" t="str">
        <f>"391-A/10"</f>
        <v>391-A/10</v>
      </c>
      <c r="R4093" s="2" t="s">
        <v>1547</v>
      </c>
      <c r="S4093" s="2" t="s">
        <v>1547</v>
      </c>
      <c r="T4093" s="2">
        <v>1</v>
      </c>
      <c r="U4093" s="2" t="s">
        <v>79</v>
      </c>
      <c r="V4093" s="2">
        <v>1</v>
      </c>
      <c r="W4093" s="2" t="s">
        <v>80</v>
      </c>
      <c r="X4093" s="2">
        <v>12</v>
      </c>
      <c r="Y4093" s="2" t="s">
        <v>148</v>
      </c>
      <c r="Z4093" s="2">
        <v>1</v>
      </c>
      <c r="AA4093" s="2" t="s">
        <v>82</v>
      </c>
      <c r="AB4093" s="2">
        <v>6</v>
      </c>
      <c r="AC4093" s="2" t="s">
        <v>83</v>
      </c>
      <c r="AD4093" s="3">
        <v>40455</v>
      </c>
      <c r="AE4093" s="2"/>
      <c r="AF4093" s="3">
        <v>40455</v>
      </c>
      <c r="AG4093" s="4">
        <v>0.70138888888888884</v>
      </c>
      <c r="AH4093" s="2">
        <v>2</v>
      </c>
      <c r="AI4093" s="2" t="s">
        <v>84</v>
      </c>
      <c r="AJ4093" s="2">
        <v>12</v>
      </c>
      <c r="AK4093" s="2" t="s">
        <v>85</v>
      </c>
      <c r="AL4093" s="2">
        <v>22</v>
      </c>
      <c r="AM4093" s="2" t="s">
        <v>1853</v>
      </c>
      <c r="AN4093" s="2" t="s">
        <v>107</v>
      </c>
      <c r="AO4093" s="2" t="s">
        <v>12115</v>
      </c>
      <c r="AP4093" s="2">
        <v>11</v>
      </c>
      <c r="AQ4093" s="2" t="s">
        <v>82</v>
      </c>
      <c r="AR4093" s="2" t="s">
        <v>82</v>
      </c>
      <c r="AS4093" s="2" t="s">
        <v>82</v>
      </c>
      <c r="AT4093" s="2" t="s">
        <v>12875</v>
      </c>
      <c r="AU4093" s="2"/>
      <c r="AV4093" s="2"/>
      <c r="AW4093" s="2"/>
      <c r="AX4093" s="2"/>
      <c r="AY4093" s="2">
        <v>41</v>
      </c>
      <c r="AZ4093" s="2" t="s">
        <v>82</v>
      </c>
      <c r="BA4093" s="2">
        <v>41</v>
      </c>
      <c r="BB4093" s="2" t="s">
        <v>82</v>
      </c>
      <c r="BC4093" s="2">
        <v>41</v>
      </c>
      <c r="BD4093" s="2" t="s">
        <v>82</v>
      </c>
      <c r="BE4093" s="2">
        <v>4</v>
      </c>
      <c r="BF4093" s="2" t="s">
        <v>90</v>
      </c>
      <c r="BG4093" s="2" t="s">
        <v>11345</v>
      </c>
      <c r="BH4093" s="4">
        <v>0.59027777777777779</v>
      </c>
      <c r="BI4093" s="2"/>
      <c r="BJ4093" s="2">
        <v>13</v>
      </c>
      <c r="BK4093" s="2" t="s">
        <v>91</v>
      </c>
      <c r="BL4093" s="2" t="s">
        <v>92</v>
      </c>
      <c r="BM4093" s="2">
        <v>13</v>
      </c>
      <c r="BN4093" s="2" t="s">
        <v>91</v>
      </c>
      <c r="BO4093" s="2"/>
      <c r="BP4093" s="2">
        <v>13</v>
      </c>
      <c r="BQ4093" s="2" t="s">
        <v>91</v>
      </c>
      <c r="BR4093" s="2" t="s">
        <v>564</v>
      </c>
      <c r="BS4093" s="3">
        <v>40456</v>
      </c>
      <c r="BT4093" s="4">
        <v>0.93875000000000008</v>
      </c>
    </row>
    <row r="4094" spans="1:72" x14ac:dyDescent="0.25">
      <c r="A4094" s="2">
        <v>6148</v>
      </c>
      <c r="B4094" s="2">
        <v>2010</v>
      </c>
      <c r="C4094" s="2" t="s">
        <v>72</v>
      </c>
      <c r="D4094" s="2" t="s">
        <v>73</v>
      </c>
      <c r="E4094" s="2"/>
      <c r="F4094" s="2">
        <v>164</v>
      </c>
      <c r="G4094" s="2" t="s">
        <v>4963</v>
      </c>
      <c r="H4094" s="2">
        <v>22</v>
      </c>
      <c r="I4094" s="2" t="s">
        <v>75</v>
      </c>
      <c r="J4094" s="2">
        <v>674</v>
      </c>
      <c r="K4094" s="2" t="s">
        <v>12821</v>
      </c>
      <c r="L4094" s="2" t="s">
        <v>12822</v>
      </c>
      <c r="M4094" s="3">
        <v>40456</v>
      </c>
      <c r="N4094" s="2" t="s">
        <v>12865</v>
      </c>
      <c r="O4094" s="2" t="s">
        <v>107</v>
      </c>
      <c r="P4094" s="2" t="s">
        <v>107</v>
      </c>
      <c r="Q4094" s="2" t="str">
        <f>"393-A/10"</f>
        <v>393-A/10</v>
      </c>
      <c r="R4094" s="2" t="s">
        <v>78</v>
      </c>
      <c r="S4094" s="2" t="s">
        <v>78</v>
      </c>
      <c r="T4094" s="2">
        <v>1</v>
      </c>
      <c r="U4094" s="2" t="s">
        <v>79</v>
      </c>
      <c r="V4094" s="2">
        <v>1</v>
      </c>
      <c r="W4094" s="2" t="s">
        <v>80</v>
      </c>
      <c r="X4094" s="2">
        <v>12</v>
      </c>
      <c r="Y4094" s="2" t="s">
        <v>148</v>
      </c>
      <c r="Z4094" s="2">
        <v>1</v>
      </c>
      <c r="AA4094" s="2" t="s">
        <v>82</v>
      </c>
      <c r="AB4094" s="2">
        <v>6</v>
      </c>
      <c r="AC4094" s="2" t="s">
        <v>83</v>
      </c>
      <c r="AD4094" s="3">
        <v>40456</v>
      </c>
      <c r="AE4094" s="4">
        <v>0.58333333333333337</v>
      </c>
      <c r="AF4094" s="3">
        <v>40456</v>
      </c>
      <c r="AG4094" s="4">
        <v>0.61111111111111105</v>
      </c>
      <c r="AH4094" s="2">
        <v>2</v>
      </c>
      <c r="AI4094" s="2" t="s">
        <v>84</v>
      </c>
      <c r="AJ4094" s="2">
        <v>12</v>
      </c>
      <c r="AK4094" s="2" t="s">
        <v>85</v>
      </c>
      <c r="AL4094" s="2">
        <v>23</v>
      </c>
      <c r="AM4094" s="2" t="s">
        <v>251</v>
      </c>
      <c r="AN4094" s="2"/>
      <c r="AO4094" s="2" t="s">
        <v>12876</v>
      </c>
      <c r="AP4094" s="2">
        <v>11</v>
      </c>
      <c r="AQ4094" s="2" t="s">
        <v>82</v>
      </c>
      <c r="AR4094" s="2"/>
      <c r="AS4094" s="2"/>
      <c r="AT4094" s="2" t="s">
        <v>12877</v>
      </c>
      <c r="AU4094" s="2"/>
      <c r="AV4094" s="2"/>
      <c r="AW4094" s="2"/>
      <c r="AX4094" s="2"/>
      <c r="AY4094" s="2">
        <v>41</v>
      </c>
      <c r="AZ4094" s="2" t="s">
        <v>82</v>
      </c>
      <c r="BA4094" s="2">
        <v>41</v>
      </c>
      <c r="BB4094" s="2" t="s">
        <v>82</v>
      </c>
      <c r="BC4094" s="2">
        <v>41</v>
      </c>
      <c r="BD4094" s="2" t="s">
        <v>82</v>
      </c>
      <c r="BE4094" s="2">
        <v>41</v>
      </c>
      <c r="BF4094" s="2" t="s">
        <v>82</v>
      </c>
      <c r="BG4094" s="2"/>
      <c r="BH4094" s="2"/>
      <c r="BI4094" s="2"/>
      <c r="BJ4094" s="2">
        <v>241</v>
      </c>
      <c r="BK4094" s="2" t="s">
        <v>82</v>
      </c>
      <c r="BL4094" s="2"/>
      <c r="BM4094" s="2">
        <v>241</v>
      </c>
      <c r="BN4094" s="2" t="s">
        <v>82</v>
      </c>
      <c r="BO4094" s="2"/>
      <c r="BP4094" s="2">
        <v>241</v>
      </c>
      <c r="BQ4094" s="2" t="s">
        <v>82</v>
      </c>
      <c r="BR4094" s="2"/>
      <c r="BS4094" s="3">
        <v>40456</v>
      </c>
      <c r="BT4094" s="4">
        <v>0.95729166666666676</v>
      </c>
    </row>
    <row r="4095" spans="1:72" x14ac:dyDescent="0.25">
      <c r="A4095" s="2">
        <v>6149</v>
      </c>
      <c r="B4095" s="2">
        <v>2010</v>
      </c>
      <c r="C4095" s="2" t="s">
        <v>93</v>
      </c>
      <c r="D4095" s="2" t="s">
        <v>73</v>
      </c>
      <c r="E4095" s="2"/>
      <c r="F4095" s="2">
        <v>146</v>
      </c>
      <c r="G4095" s="2" t="s">
        <v>753</v>
      </c>
      <c r="H4095" s="2">
        <v>39</v>
      </c>
      <c r="I4095" s="2" t="s">
        <v>1117</v>
      </c>
      <c r="J4095" s="2">
        <v>161</v>
      </c>
      <c r="K4095" s="2" t="s">
        <v>1900</v>
      </c>
      <c r="L4095" s="2" t="s">
        <v>1901</v>
      </c>
      <c r="M4095" s="3">
        <v>40457</v>
      </c>
      <c r="N4095" s="2" t="s">
        <v>756</v>
      </c>
      <c r="O4095" s="2" t="s">
        <v>12878</v>
      </c>
      <c r="P4095" s="2" t="s">
        <v>12879</v>
      </c>
      <c r="Q4095" s="2" t="str">
        <f>"AP-0044/10"</f>
        <v>AP-0044/10</v>
      </c>
      <c r="R4095" s="2" t="s">
        <v>12880</v>
      </c>
      <c r="S4095" s="2"/>
      <c r="T4095" s="2">
        <v>1</v>
      </c>
      <c r="U4095" s="2" t="s">
        <v>79</v>
      </c>
      <c r="V4095" s="2">
        <v>1</v>
      </c>
      <c r="W4095" s="2" t="s">
        <v>80</v>
      </c>
      <c r="X4095" s="2">
        <v>1</v>
      </c>
      <c r="Y4095" s="2" t="s">
        <v>81</v>
      </c>
      <c r="Z4095" s="2">
        <v>1</v>
      </c>
      <c r="AA4095" s="2" t="s">
        <v>82</v>
      </c>
      <c r="AB4095" s="2">
        <v>2</v>
      </c>
      <c r="AC4095" s="2" t="s">
        <v>102</v>
      </c>
      <c r="AD4095" s="3">
        <v>40456</v>
      </c>
      <c r="AE4095" s="4">
        <v>0.92361111111111116</v>
      </c>
      <c r="AF4095" s="2"/>
      <c r="AG4095" s="2"/>
      <c r="AH4095" s="2">
        <v>6</v>
      </c>
      <c r="AI4095" s="2" t="s">
        <v>197</v>
      </c>
      <c r="AJ4095" s="2">
        <v>60</v>
      </c>
      <c r="AK4095" s="2" t="s">
        <v>543</v>
      </c>
      <c r="AL4095" s="2">
        <v>11</v>
      </c>
      <c r="AM4095" s="2" t="s">
        <v>137</v>
      </c>
      <c r="AN4095" s="2" t="s">
        <v>5183</v>
      </c>
      <c r="AO4095" s="2" t="s">
        <v>82</v>
      </c>
      <c r="AP4095" s="2">
        <v>11</v>
      </c>
      <c r="AQ4095" s="2" t="s">
        <v>82</v>
      </c>
      <c r="AR4095" s="2" t="s">
        <v>82</v>
      </c>
      <c r="AS4095" s="2" t="s">
        <v>82</v>
      </c>
      <c r="AT4095" s="2" t="s">
        <v>12881</v>
      </c>
      <c r="AU4095" s="2"/>
      <c r="AV4095" s="2"/>
      <c r="AW4095" s="2"/>
      <c r="AX4095" s="2"/>
      <c r="AY4095" s="2">
        <v>41</v>
      </c>
      <c r="AZ4095" s="2" t="s">
        <v>82</v>
      </c>
      <c r="BA4095" s="2">
        <v>41</v>
      </c>
      <c r="BB4095" s="2" t="s">
        <v>82</v>
      </c>
      <c r="BC4095" s="2">
        <v>41</v>
      </c>
      <c r="BD4095" s="2" t="s">
        <v>82</v>
      </c>
      <c r="BE4095" s="2">
        <v>13</v>
      </c>
      <c r="BF4095" s="2" t="s">
        <v>108</v>
      </c>
      <c r="BG4095" s="2" t="s">
        <v>12882</v>
      </c>
      <c r="BH4095" s="2"/>
      <c r="BI4095" s="4">
        <v>0.91319444444444453</v>
      </c>
      <c r="BJ4095" s="2">
        <v>13</v>
      </c>
      <c r="BK4095" s="2" t="s">
        <v>91</v>
      </c>
      <c r="BL4095" s="2" t="s">
        <v>895</v>
      </c>
      <c r="BM4095" s="2">
        <v>13</v>
      </c>
      <c r="BN4095" s="2" t="s">
        <v>91</v>
      </c>
      <c r="BO4095" s="2"/>
      <c r="BP4095" s="2">
        <v>13</v>
      </c>
      <c r="BQ4095" s="2" t="s">
        <v>91</v>
      </c>
      <c r="BR4095" s="2" t="s">
        <v>185</v>
      </c>
      <c r="BS4095" s="3">
        <v>40457</v>
      </c>
      <c r="BT4095" s="4">
        <v>2.9618055555555554E-2</v>
      </c>
    </row>
    <row r="4096" spans="1:72" x14ac:dyDescent="0.25">
      <c r="A4096" s="2">
        <v>6150</v>
      </c>
      <c r="B4096" s="2">
        <v>2010</v>
      </c>
      <c r="C4096" s="2" t="s">
        <v>72</v>
      </c>
      <c r="D4096" s="2" t="s">
        <v>73</v>
      </c>
      <c r="E4096" s="2"/>
      <c r="F4096" s="2">
        <v>164</v>
      </c>
      <c r="G4096" s="2" t="s">
        <v>4963</v>
      </c>
      <c r="H4096" s="2">
        <v>108</v>
      </c>
      <c r="I4096" s="2" t="s">
        <v>1096</v>
      </c>
      <c r="J4096" s="2">
        <v>674</v>
      </c>
      <c r="K4096" s="2" t="s">
        <v>12821</v>
      </c>
      <c r="L4096" s="2" t="s">
        <v>12822</v>
      </c>
      <c r="M4096" s="3">
        <v>40457</v>
      </c>
      <c r="N4096" s="2" t="s">
        <v>12865</v>
      </c>
      <c r="O4096" s="2" t="s">
        <v>107</v>
      </c>
      <c r="P4096" s="2" t="s">
        <v>107</v>
      </c>
      <c r="Q4096" s="2" t="str">
        <f>"394-A/10"</f>
        <v>394-A/10</v>
      </c>
      <c r="R4096" s="2" t="s">
        <v>12883</v>
      </c>
      <c r="S4096" s="2" t="s">
        <v>12883</v>
      </c>
      <c r="T4096" s="2">
        <v>1</v>
      </c>
      <c r="U4096" s="2" t="s">
        <v>79</v>
      </c>
      <c r="V4096" s="2">
        <v>1</v>
      </c>
      <c r="W4096" s="2" t="s">
        <v>80</v>
      </c>
      <c r="X4096" s="2">
        <v>12</v>
      </c>
      <c r="Y4096" s="2" t="s">
        <v>148</v>
      </c>
      <c r="Z4096" s="2">
        <v>1</v>
      </c>
      <c r="AA4096" s="2" t="s">
        <v>82</v>
      </c>
      <c r="AB4096" s="2">
        <v>6</v>
      </c>
      <c r="AC4096" s="2" t="s">
        <v>83</v>
      </c>
      <c r="AD4096" s="3">
        <v>40456</v>
      </c>
      <c r="AE4096" s="2"/>
      <c r="AF4096" s="3">
        <v>40457</v>
      </c>
      <c r="AG4096" s="4">
        <v>1.3888888888888888E-2</v>
      </c>
      <c r="AH4096" s="2">
        <v>2</v>
      </c>
      <c r="AI4096" s="2" t="s">
        <v>84</v>
      </c>
      <c r="AJ4096" s="2">
        <v>12</v>
      </c>
      <c r="AK4096" s="2" t="s">
        <v>85</v>
      </c>
      <c r="AL4096" s="2">
        <v>21</v>
      </c>
      <c r="AM4096" s="2" t="s">
        <v>1311</v>
      </c>
      <c r="AN4096" s="2" t="s">
        <v>12884</v>
      </c>
      <c r="AO4096" s="2" t="s">
        <v>12885</v>
      </c>
      <c r="AP4096" s="2">
        <v>11</v>
      </c>
      <c r="AQ4096" s="2" t="s">
        <v>82</v>
      </c>
      <c r="AR4096" s="2"/>
      <c r="AS4096" s="2"/>
      <c r="AT4096" s="2" t="s">
        <v>12886</v>
      </c>
      <c r="AU4096" s="2"/>
      <c r="AV4096" s="2"/>
      <c r="AW4096" s="2"/>
      <c r="AX4096" s="2"/>
      <c r="AY4096" s="2">
        <v>41</v>
      </c>
      <c r="AZ4096" s="2" t="s">
        <v>82</v>
      </c>
      <c r="BA4096" s="2">
        <v>41</v>
      </c>
      <c r="BB4096" s="2" t="s">
        <v>82</v>
      </c>
      <c r="BC4096" s="2">
        <v>41</v>
      </c>
      <c r="BD4096" s="2" t="s">
        <v>82</v>
      </c>
      <c r="BE4096" s="2">
        <v>41</v>
      </c>
      <c r="BF4096" s="2" t="s">
        <v>82</v>
      </c>
      <c r="BG4096" s="2"/>
      <c r="BH4096" s="2"/>
      <c r="BI4096" s="2"/>
      <c r="BJ4096" s="2">
        <v>241</v>
      </c>
      <c r="BK4096" s="2" t="s">
        <v>82</v>
      </c>
      <c r="BL4096" s="2"/>
      <c r="BM4096" s="2">
        <v>241</v>
      </c>
      <c r="BN4096" s="2" t="s">
        <v>82</v>
      </c>
      <c r="BO4096" s="2"/>
      <c r="BP4096" s="2">
        <v>241</v>
      </c>
      <c r="BQ4096" s="2" t="s">
        <v>82</v>
      </c>
      <c r="BR4096" s="2"/>
      <c r="BS4096" s="3">
        <v>40457</v>
      </c>
      <c r="BT4096" s="4">
        <v>0.11306712962962963</v>
      </c>
    </row>
    <row r="4097" spans="1:72" x14ac:dyDescent="0.25">
      <c r="A4097" s="2">
        <v>6151</v>
      </c>
      <c r="B4097" s="2">
        <v>2010</v>
      </c>
      <c r="C4097" s="2" t="s">
        <v>72</v>
      </c>
      <c r="D4097" s="2" t="s">
        <v>73</v>
      </c>
      <c r="E4097" s="2"/>
      <c r="F4097" s="2">
        <v>481</v>
      </c>
      <c r="G4097" s="2" t="s">
        <v>1438</v>
      </c>
      <c r="H4097" s="2">
        <v>1</v>
      </c>
      <c r="I4097" s="2" t="s">
        <v>82</v>
      </c>
      <c r="J4097" s="2">
        <v>54</v>
      </c>
      <c r="K4097" s="2" t="s">
        <v>12887</v>
      </c>
      <c r="L4097" s="2" t="s">
        <v>12888</v>
      </c>
      <c r="M4097" s="3">
        <v>40457</v>
      </c>
      <c r="N4097" s="2" t="s">
        <v>12889</v>
      </c>
      <c r="O4097" s="2" t="s">
        <v>116</v>
      </c>
      <c r="P4097" s="2" t="s">
        <v>107</v>
      </c>
      <c r="Q4097" s="2" t="str">
        <f>"44/10"</f>
        <v>44/10</v>
      </c>
      <c r="R4097" s="2" t="s">
        <v>116</v>
      </c>
      <c r="S4097" s="2" t="s">
        <v>116</v>
      </c>
      <c r="T4097" s="2">
        <v>1</v>
      </c>
      <c r="U4097" s="2" t="s">
        <v>79</v>
      </c>
      <c r="V4097" s="2">
        <v>1</v>
      </c>
      <c r="W4097" s="2" t="s">
        <v>80</v>
      </c>
      <c r="X4097" s="2">
        <v>12</v>
      </c>
      <c r="Y4097" s="2" t="s">
        <v>148</v>
      </c>
      <c r="Z4097" s="2">
        <v>1</v>
      </c>
      <c r="AA4097" s="2" t="s">
        <v>82</v>
      </c>
      <c r="AB4097" s="2">
        <v>6</v>
      </c>
      <c r="AC4097" s="2" t="s">
        <v>83</v>
      </c>
      <c r="AD4097" s="3">
        <v>40456</v>
      </c>
      <c r="AE4097" s="4">
        <v>0.94444444444444453</v>
      </c>
      <c r="AF4097" s="3">
        <v>40457</v>
      </c>
      <c r="AG4097" s="4">
        <v>2.0833333333333332E-2</v>
      </c>
      <c r="AH4097" s="2">
        <v>3</v>
      </c>
      <c r="AI4097" s="2" t="s">
        <v>214</v>
      </c>
      <c r="AJ4097" s="2">
        <v>17</v>
      </c>
      <c r="AK4097" s="2" t="s">
        <v>309</v>
      </c>
      <c r="AL4097" s="2">
        <v>22</v>
      </c>
      <c r="AM4097" s="2" t="s">
        <v>1853</v>
      </c>
      <c r="AN4097" s="2" t="s">
        <v>200</v>
      </c>
      <c r="AO4097" s="2" t="s">
        <v>200</v>
      </c>
      <c r="AP4097" s="2">
        <v>11</v>
      </c>
      <c r="AQ4097" s="2" t="s">
        <v>82</v>
      </c>
      <c r="AR4097" s="2" t="s">
        <v>82</v>
      </c>
      <c r="AS4097" s="2" t="s">
        <v>82</v>
      </c>
      <c r="AT4097" s="2" t="s">
        <v>12890</v>
      </c>
      <c r="AU4097" s="2"/>
      <c r="AV4097" s="2"/>
      <c r="AW4097" s="2"/>
      <c r="AX4097" s="2"/>
      <c r="AY4097" s="2">
        <v>41</v>
      </c>
      <c r="AZ4097" s="2" t="s">
        <v>82</v>
      </c>
      <c r="BA4097" s="2">
        <v>41</v>
      </c>
      <c r="BB4097" s="2" t="s">
        <v>82</v>
      </c>
      <c r="BC4097" s="2">
        <v>13</v>
      </c>
      <c r="BD4097" s="2" t="s">
        <v>108</v>
      </c>
      <c r="BE4097" s="2">
        <v>13</v>
      </c>
      <c r="BF4097" s="2" t="s">
        <v>108</v>
      </c>
      <c r="BG4097" s="2">
        <v>2428</v>
      </c>
      <c r="BH4097" s="4">
        <v>2.0833333333333332E-2</v>
      </c>
      <c r="BI4097" s="4">
        <v>0.95138888888888884</v>
      </c>
      <c r="BJ4097" s="2">
        <v>13</v>
      </c>
      <c r="BK4097" s="2" t="s">
        <v>91</v>
      </c>
      <c r="BL4097" s="2" t="s">
        <v>564</v>
      </c>
      <c r="BM4097" s="2">
        <v>13</v>
      </c>
      <c r="BN4097" s="2" t="s">
        <v>91</v>
      </c>
      <c r="BO4097" s="2"/>
      <c r="BP4097" s="2">
        <v>13</v>
      </c>
      <c r="BQ4097" s="2" t="s">
        <v>91</v>
      </c>
      <c r="BR4097" s="2" t="s">
        <v>445</v>
      </c>
      <c r="BS4097" s="3">
        <v>40457</v>
      </c>
      <c r="BT4097" s="4">
        <v>0.27028935185185182</v>
      </c>
    </row>
    <row r="4098" spans="1:72" x14ac:dyDescent="0.25">
      <c r="A4098" s="2">
        <v>6153</v>
      </c>
      <c r="B4098" s="2">
        <v>2010</v>
      </c>
      <c r="C4098" s="2" t="s">
        <v>72</v>
      </c>
      <c r="D4098" s="2" t="s">
        <v>73</v>
      </c>
      <c r="E4098" s="2"/>
      <c r="F4098" s="2">
        <v>389</v>
      </c>
      <c r="G4098" s="2" t="s">
        <v>1819</v>
      </c>
      <c r="H4098" s="2">
        <v>2</v>
      </c>
      <c r="I4098" s="2" t="s">
        <v>267</v>
      </c>
      <c r="J4098" s="2">
        <v>399</v>
      </c>
      <c r="K4098" s="2" t="s">
        <v>1820</v>
      </c>
      <c r="L4098" s="2" t="s">
        <v>1821</v>
      </c>
      <c r="M4098" s="3">
        <v>40457</v>
      </c>
      <c r="N4098" s="2" t="s">
        <v>5653</v>
      </c>
      <c r="O4098" s="2"/>
      <c r="P4098" s="2" t="s">
        <v>107</v>
      </c>
      <c r="Q4098" s="2" t="str">
        <f>"514-E/10"</f>
        <v>514-E/10</v>
      </c>
      <c r="R4098" s="2" t="s">
        <v>116</v>
      </c>
      <c r="S4098" s="2" t="s">
        <v>116</v>
      </c>
      <c r="T4098" s="2">
        <v>1</v>
      </c>
      <c r="U4098" s="2" t="s">
        <v>79</v>
      </c>
      <c r="V4098" s="2">
        <v>1</v>
      </c>
      <c r="W4098" s="2" t="s">
        <v>80</v>
      </c>
      <c r="X4098" s="2">
        <v>12</v>
      </c>
      <c r="Y4098" s="2" t="s">
        <v>148</v>
      </c>
      <c r="Z4098" s="2">
        <v>1</v>
      </c>
      <c r="AA4098" s="2" t="s">
        <v>82</v>
      </c>
      <c r="AB4098" s="2">
        <v>6</v>
      </c>
      <c r="AC4098" s="2" t="s">
        <v>83</v>
      </c>
      <c r="AD4098" s="3">
        <v>40456</v>
      </c>
      <c r="AE4098" s="2"/>
      <c r="AF4098" s="3">
        <v>40457</v>
      </c>
      <c r="AG4098" s="4">
        <v>0.96875</v>
      </c>
      <c r="AH4098" s="2">
        <v>2</v>
      </c>
      <c r="AI4098" s="2" t="s">
        <v>84</v>
      </c>
      <c r="AJ4098" s="2">
        <v>9</v>
      </c>
      <c r="AK4098" s="2" t="s">
        <v>103</v>
      </c>
      <c r="AL4098" s="2">
        <v>11</v>
      </c>
      <c r="AM4098" s="2" t="s">
        <v>137</v>
      </c>
      <c r="AN4098" s="2" t="s">
        <v>987</v>
      </c>
      <c r="AO4098" s="5">
        <v>42370</v>
      </c>
      <c r="AP4098" s="2">
        <v>11</v>
      </c>
      <c r="AQ4098" s="2" t="s">
        <v>82</v>
      </c>
      <c r="AR4098" s="2"/>
      <c r="AS4098" s="2"/>
      <c r="AT4098" s="2" t="s">
        <v>12891</v>
      </c>
      <c r="AU4098" s="2"/>
      <c r="AV4098" s="2"/>
      <c r="AW4098" s="2"/>
      <c r="AX4098" s="2"/>
      <c r="AY4098" s="2">
        <v>41</v>
      </c>
      <c r="AZ4098" s="2" t="s">
        <v>82</v>
      </c>
      <c r="BA4098" s="2">
        <v>41</v>
      </c>
      <c r="BB4098" s="2" t="s">
        <v>82</v>
      </c>
      <c r="BC4098" s="2">
        <v>41</v>
      </c>
      <c r="BD4098" s="2" t="s">
        <v>82</v>
      </c>
      <c r="BE4098" s="2">
        <v>17</v>
      </c>
      <c r="BF4098" s="2" t="s">
        <v>508</v>
      </c>
      <c r="BG4098" s="2" t="s">
        <v>12892</v>
      </c>
      <c r="BH4098" s="2"/>
      <c r="BI4098" s="4">
        <v>0.98611111111111116</v>
      </c>
      <c r="BJ4098" s="2">
        <v>13</v>
      </c>
      <c r="BK4098" s="2" t="s">
        <v>91</v>
      </c>
      <c r="BL4098" s="2" t="s">
        <v>360</v>
      </c>
      <c r="BM4098" s="2">
        <v>75</v>
      </c>
      <c r="BN4098" s="2" t="s">
        <v>1264</v>
      </c>
      <c r="BO4098" s="2"/>
      <c r="BP4098" s="2">
        <v>75</v>
      </c>
      <c r="BQ4098" s="2" t="s">
        <v>1264</v>
      </c>
      <c r="BR4098" s="2" t="s">
        <v>1361</v>
      </c>
      <c r="BS4098" s="3">
        <v>40457</v>
      </c>
      <c r="BT4098" s="4">
        <v>0.41737268518518517</v>
      </c>
    </row>
    <row r="4099" spans="1:72" x14ac:dyDescent="0.25">
      <c r="A4099" s="2">
        <v>6155</v>
      </c>
      <c r="B4099" s="2">
        <v>2010</v>
      </c>
      <c r="C4099" s="2" t="s">
        <v>72</v>
      </c>
      <c r="D4099" s="2" t="s">
        <v>73</v>
      </c>
      <c r="E4099" s="2"/>
      <c r="F4099" s="2">
        <v>389</v>
      </c>
      <c r="G4099" s="2" t="s">
        <v>1819</v>
      </c>
      <c r="H4099" s="2">
        <v>2</v>
      </c>
      <c r="I4099" s="2" t="s">
        <v>267</v>
      </c>
      <c r="J4099" s="2">
        <v>399</v>
      </c>
      <c r="K4099" s="2" t="s">
        <v>1820</v>
      </c>
      <c r="L4099" s="2" t="s">
        <v>1821</v>
      </c>
      <c r="M4099" s="3">
        <v>40457</v>
      </c>
      <c r="N4099" s="2" t="s">
        <v>5653</v>
      </c>
      <c r="O4099" s="2" t="s">
        <v>107</v>
      </c>
      <c r="P4099" s="2" t="s">
        <v>107</v>
      </c>
      <c r="Q4099" s="2" t="str">
        <f>"515-E/10"</f>
        <v>515-E/10</v>
      </c>
      <c r="R4099" s="2" t="s">
        <v>116</v>
      </c>
      <c r="S4099" s="2" t="s">
        <v>116</v>
      </c>
      <c r="T4099" s="2">
        <v>1</v>
      </c>
      <c r="U4099" s="2" t="s">
        <v>79</v>
      </c>
      <c r="V4099" s="2">
        <v>1</v>
      </c>
      <c r="W4099" s="2" t="s">
        <v>80</v>
      </c>
      <c r="X4099" s="2">
        <v>12</v>
      </c>
      <c r="Y4099" s="2" t="s">
        <v>148</v>
      </c>
      <c r="Z4099" s="2">
        <v>1</v>
      </c>
      <c r="AA4099" s="2" t="s">
        <v>82</v>
      </c>
      <c r="AB4099" s="2">
        <v>6</v>
      </c>
      <c r="AC4099" s="2" t="s">
        <v>83</v>
      </c>
      <c r="AD4099" s="3">
        <v>40456</v>
      </c>
      <c r="AE4099" s="2"/>
      <c r="AF4099" s="3">
        <v>40457</v>
      </c>
      <c r="AG4099" s="4">
        <v>0.16666666666666666</v>
      </c>
      <c r="AH4099" s="2">
        <v>2</v>
      </c>
      <c r="AI4099" s="2" t="s">
        <v>84</v>
      </c>
      <c r="AJ4099" s="2">
        <v>9</v>
      </c>
      <c r="AK4099" s="2" t="s">
        <v>103</v>
      </c>
      <c r="AL4099" s="2">
        <v>14</v>
      </c>
      <c r="AM4099" s="2" t="s">
        <v>216</v>
      </c>
      <c r="AN4099" s="2" t="s">
        <v>12893</v>
      </c>
      <c r="AO4099" s="2" t="s">
        <v>82</v>
      </c>
      <c r="AP4099" s="2">
        <v>11</v>
      </c>
      <c r="AQ4099" s="2" t="s">
        <v>82</v>
      </c>
      <c r="AR4099" s="2"/>
      <c r="AS4099" s="2"/>
      <c r="AT4099" s="2" t="s">
        <v>12894</v>
      </c>
      <c r="AU4099" s="2"/>
      <c r="AV4099" s="2">
        <v>1</v>
      </c>
      <c r="AW4099" s="2"/>
      <c r="AX4099" s="2"/>
      <c r="AY4099" s="2">
        <v>41</v>
      </c>
      <c r="AZ4099" s="2" t="s">
        <v>82</v>
      </c>
      <c r="BA4099" s="2">
        <v>41</v>
      </c>
      <c r="BB4099" s="2" t="s">
        <v>82</v>
      </c>
      <c r="BC4099" s="2">
        <v>41</v>
      </c>
      <c r="BD4099" s="2" t="s">
        <v>82</v>
      </c>
      <c r="BE4099" s="2">
        <v>41</v>
      </c>
      <c r="BF4099" s="2" t="s">
        <v>82</v>
      </c>
      <c r="BG4099" s="2"/>
      <c r="BH4099" s="2"/>
      <c r="BI4099" s="2"/>
      <c r="BJ4099" s="2">
        <v>241</v>
      </c>
      <c r="BK4099" s="2" t="s">
        <v>82</v>
      </c>
      <c r="BL4099" s="2"/>
      <c r="BM4099" s="2">
        <v>241</v>
      </c>
      <c r="BN4099" s="2" t="s">
        <v>82</v>
      </c>
      <c r="BO4099" s="2"/>
      <c r="BP4099" s="2">
        <v>241</v>
      </c>
      <c r="BQ4099" s="2" t="s">
        <v>82</v>
      </c>
      <c r="BR4099" s="2"/>
      <c r="BS4099" s="3">
        <v>40457</v>
      </c>
      <c r="BT4099" s="4">
        <v>0.45347222222222222</v>
      </c>
    </row>
    <row r="4100" spans="1:72" x14ac:dyDescent="0.25">
      <c r="A4100" s="2">
        <v>6159</v>
      </c>
      <c r="B4100" s="2">
        <v>2010</v>
      </c>
      <c r="C4100" s="2" t="s">
        <v>255</v>
      </c>
      <c r="D4100" s="2" t="s">
        <v>73</v>
      </c>
      <c r="E4100" s="2"/>
      <c r="F4100" s="2">
        <v>64</v>
      </c>
      <c r="G4100" s="2" t="s">
        <v>7713</v>
      </c>
      <c r="H4100" s="2">
        <v>99</v>
      </c>
      <c r="I4100" s="2" t="s">
        <v>6285</v>
      </c>
      <c r="J4100" s="2">
        <v>96</v>
      </c>
      <c r="K4100" s="2" t="s">
        <v>7714</v>
      </c>
      <c r="L4100" s="2" t="s">
        <v>7715</v>
      </c>
      <c r="M4100" s="3">
        <v>40457</v>
      </c>
      <c r="N4100" s="2" t="s">
        <v>12895</v>
      </c>
      <c r="O4100" s="2"/>
      <c r="P4100" s="2"/>
      <c r="Q4100" s="2" t="str">
        <f>"032/10"</f>
        <v>032/10</v>
      </c>
      <c r="R4100" s="2"/>
      <c r="S4100" s="2" t="s">
        <v>12896</v>
      </c>
      <c r="T4100" s="2">
        <v>1</v>
      </c>
      <c r="U4100" s="2" t="s">
        <v>79</v>
      </c>
      <c r="V4100" s="2">
        <v>1</v>
      </c>
      <c r="W4100" s="2" t="s">
        <v>80</v>
      </c>
      <c r="X4100" s="2">
        <v>12</v>
      </c>
      <c r="Y4100" s="2" t="s">
        <v>148</v>
      </c>
      <c r="Z4100" s="2">
        <v>1</v>
      </c>
      <c r="AA4100" s="2" t="s">
        <v>82</v>
      </c>
      <c r="AB4100" s="2">
        <v>9</v>
      </c>
      <c r="AC4100" s="2" t="s">
        <v>124</v>
      </c>
      <c r="AD4100" s="3">
        <v>40456</v>
      </c>
      <c r="AE4100" s="4">
        <v>0.90625</v>
      </c>
      <c r="AF4100" s="3">
        <v>40457</v>
      </c>
      <c r="AG4100" s="4">
        <v>0.375</v>
      </c>
      <c r="AH4100" s="2">
        <v>4</v>
      </c>
      <c r="AI4100" s="2" t="s">
        <v>125</v>
      </c>
      <c r="AJ4100" s="2">
        <v>28</v>
      </c>
      <c r="AK4100" s="2" t="s">
        <v>741</v>
      </c>
      <c r="AL4100" s="2">
        <v>21</v>
      </c>
      <c r="AM4100" s="2" t="s">
        <v>1311</v>
      </c>
      <c r="AN4100" s="2" t="s">
        <v>12897</v>
      </c>
      <c r="AO4100" s="2"/>
      <c r="AP4100" s="2">
        <v>11</v>
      </c>
      <c r="AQ4100" s="2" t="s">
        <v>82</v>
      </c>
      <c r="AR4100" s="2"/>
      <c r="AS4100" s="2"/>
      <c r="AT4100" s="2" t="s">
        <v>12898</v>
      </c>
      <c r="AU4100" s="2"/>
      <c r="AV4100" s="2"/>
      <c r="AW4100" s="2"/>
      <c r="AX4100" s="2"/>
      <c r="AY4100" s="2">
        <v>41</v>
      </c>
      <c r="AZ4100" s="2" t="s">
        <v>82</v>
      </c>
      <c r="BA4100" s="2">
        <v>41</v>
      </c>
      <c r="BB4100" s="2" t="s">
        <v>82</v>
      </c>
      <c r="BC4100" s="2">
        <v>41</v>
      </c>
      <c r="BD4100" s="2" t="s">
        <v>82</v>
      </c>
      <c r="BE4100" s="2">
        <v>41</v>
      </c>
      <c r="BF4100" s="2" t="s">
        <v>82</v>
      </c>
      <c r="BG4100" s="2"/>
      <c r="BH4100" s="2"/>
      <c r="BI4100" s="2"/>
      <c r="BJ4100" s="2">
        <v>241</v>
      </c>
      <c r="BK4100" s="2" t="s">
        <v>82</v>
      </c>
      <c r="BL4100" s="2"/>
      <c r="BM4100" s="2">
        <v>241</v>
      </c>
      <c r="BN4100" s="2" t="s">
        <v>82</v>
      </c>
      <c r="BO4100" s="2"/>
      <c r="BP4100" s="2">
        <v>241</v>
      </c>
      <c r="BQ4100" s="2" t="s">
        <v>82</v>
      </c>
      <c r="BR4100" s="2"/>
      <c r="BS4100" s="3">
        <v>40457</v>
      </c>
      <c r="BT4100" s="4">
        <v>0.5264699074074074</v>
      </c>
    </row>
    <row r="4101" spans="1:72" x14ac:dyDescent="0.25">
      <c r="A4101" s="2">
        <v>6160</v>
      </c>
      <c r="B4101" s="2">
        <v>2010</v>
      </c>
      <c r="C4101" s="2" t="s">
        <v>1568</v>
      </c>
      <c r="D4101" s="2" t="s">
        <v>73</v>
      </c>
      <c r="E4101" s="2"/>
      <c r="F4101" s="2">
        <v>110</v>
      </c>
      <c r="G4101" s="2" t="s">
        <v>7444</v>
      </c>
      <c r="H4101" s="2">
        <v>22</v>
      </c>
      <c r="I4101" s="2" t="s">
        <v>75</v>
      </c>
      <c r="J4101" s="2">
        <v>126</v>
      </c>
      <c r="K4101" s="2" t="s">
        <v>7445</v>
      </c>
      <c r="L4101" s="2" t="s">
        <v>7446</v>
      </c>
      <c r="M4101" s="3">
        <v>40457</v>
      </c>
      <c r="N4101" s="2" t="s">
        <v>12899</v>
      </c>
      <c r="O4101" s="2" t="s">
        <v>107</v>
      </c>
      <c r="P4101" s="2" t="s">
        <v>107</v>
      </c>
      <c r="Q4101" s="2" t="str">
        <f>"0006/10"</f>
        <v>0006/10</v>
      </c>
      <c r="R4101" s="2" t="s">
        <v>12900</v>
      </c>
      <c r="S4101" s="2"/>
      <c r="T4101" s="2">
        <v>1</v>
      </c>
      <c r="U4101" s="2" t="s">
        <v>79</v>
      </c>
      <c r="V4101" s="2">
        <v>1</v>
      </c>
      <c r="W4101" s="2" t="s">
        <v>80</v>
      </c>
      <c r="X4101" s="2">
        <v>1</v>
      </c>
      <c r="Y4101" s="2" t="s">
        <v>81</v>
      </c>
      <c r="Z4101" s="2">
        <v>1</v>
      </c>
      <c r="AA4101" s="2" t="s">
        <v>82</v>
      </c>
      <c r="AB4101" s="2">
        <v>4</v>
      </c>
      <c r="AC4101" s="2" t="s">
        <v>1569</v>
      </c>
      <c r="AD4101" s="3">
        <v>40457</v>
      </c>
      <c r="AE4101" s="4">
        <v>0.33680555555555558</v>
      </c>
      <c r="AF4101" s="3">
        <v>40457</v>
      </c>
      <c r="AG4101" s="4">
        <v>0.33680555555555558</v>
      </c>
      <c r="AH4101" s="2">
        <v>6</v>
      </c>
      <c r="AI4101" s="2" t="s">
        <v>197</v>
      </c>
      <c r="AJ4101" s="2">
        <v>57</v>
      </c>
      <c r="AK4101" s="2" t="s">
        <v>2344</v>
      </c>
      <c r="AL4101" s="2">
        <v>22</v>
      </c>
      <c r="AM4101" s="2" t="s">
        <v>1853</v>
      </c>
      <c r="AN4101" s="2" t="s">
        <v>107</v>
      </c>
      <c r="AO4101" s="2" t="s">
        <v>12901</v>
      </c>
      <c r="AP4101" s="2">
        <v>11</v>
      </c>
      <c r="AQ4101" s="2" t="s">
        <v>82</v>
      </c>
      <c r="AR4101" s="2"/>
      <c r="AS4101" s="2"/>
      <c r="AT4101" s="2" t="s">
        <v>12902</v>
      </c>
      <c r="AU4101" s="2"/>
      <c r="AV4101" s="2"/>
      <c r="AW4101" s="2"/>
      <c r="AX4101" s="2"/>
      <c r="AY4101" s="2">
        <v>41</v>
      </c>
      <c r="AZ4101" s="2" t="s">
        <v>82</v>
      </c>
      <c r="BA4101" s="2">
        <v>41</v>
      </c>
      <c r="BB4101" s="2" t="s">
        <v>82</v>
      </c>
      <c r="BC4101" s="2">
        <v>41</v>
      </c>
      <c r="BD4101" s="2" t="s">
        <v>82</v>
      </c>
      <c r="BE4101" s="2">
        <v>13</v>
      </c>
      <c r="BF4101" s="2" t="s">
        <v>108</v>
      </c>
      <c r="BG4101" s="2">
        <v>2863</v>
      </c>
      <c r="BH4101" s="2"/>
      <c r="BI4101" s="4">
        <v>0.36805555555555558</v>
      </c>
      <c r="BJ4101" s="2">
        <v>13</v>
      </c>
      <c r="BK4101" s="2" t="s">
        <v>91</v>
      </c>
      <c r="BL4101" s="2" t="s">
        <v>1014</v>
      </c>
      <c r="BM4101" s="2">
        <v>13</v>
      </c>
      <c r="BN4101" s="2" t="s">
        <v>91</v>
      </c>
      <c r="BO4101" s="2"/>
      <c r="BP4101" s="2">
        <v>13</v>
      </c>
      <c r="BQ4101" s="2" t="s">
        <v>91</v>
      </c>
      <c r="BR4101" s="2" t="s">
        <v>185</v>
      </c>
      <c r="BS4101" s="3">
        <v>40457</v>
      </c>
      <c r="BT4101" s="4">
        <v>0.54515046296296299</v>
      </c>
    </row>
    <row r="4102" spans="1:72" x14ac:dyDescent="0.25">
      <c r="A4102" s="2">
        <v>6161</v>
      </c>
      <c r="B4102" s="2">
        <v>2010</v>
      </c>
      <c r="C4102" s="2" t="s">
        <v>121</v>
      </c>
      <c r="D4102" s="2" t="s">
        <v>122</v>
      </c>
      <c r="E4102" s="2"/>
      <c r="F4102" s="2">
        <v>1</v>
      </c>
      <c r="G4102" s="2" t="s">
        <v>82</v>
      </c>
      <c r="H4102" s="2">
        <v>1</v>
      </c>
      <c r="I4102" s="2" t="s">
        <v>82</v>
      </c>
      <c r="J4102" s="2">
        <v>1</v>
      </c>
      <c r="K4102" s="2" t="s">
        <v>107</v>
      </c>
      <c r="L4102" s="2" t="s">
        <v>107</v>
      </c>
      <c r="M4102" s="3">
        <v>40457</v>
      </c>
      <c r="N4102" s="2"/>
      <c r="O4102" s="2"/>
      <c r="P4102" s="2"/>
      <c r="Q4102" s="2" t="str">
        <f>""</f>
        <v/>
      </c>
      <c r="R4102" s="2"/>
      <c r="S4102" s="2"/>
      <c r="T4102" s="2">
        <v>2</v>
      </c>
      <c r="U4102" s="2" t="s">
        <v>123</v>
      </c>
      <c r="V4102" s="2">
        <v>1</v>
      </c>
      <c r="W4102" s="2" t="s">
        <v>80</v>
      </c>
      <c r="X4102" s="2">
        <v>11</v>
      </c>
      <c r="Y4102" s="2" t="s">
        <v>1920</v>
      </c>
      <c r="Z4102" s="2">
        <v>4</v>
      </c>
      <c r="AA4102" s="2" t="s">
        <v>182</v>
      </c>
      <c r="AB4102" s="2">
        <v>9</v>
      </c>
      <c r="AC4102" s="2" t="s">
        <v>124</v>
      </c>
      <c r="AD4102" s="3">
        <v>40457</v>
      </c>
      <c r="AE4102" s="4">
        <v>0.41319444444444442</v>
      </c>
      <c r="AF4102" s="2"/>
      <c r="AG4102" s="2"/>
      <c r="AH4102" s="2">
        <v>5</v>
      </c>
      <c r="AI4102" s="2" t="s">
        <v>274</v>
      </c>
      <c r="AJ4102" s="2">
        <v>37</v>
      </c>
      <c r="AK4102" s="2" t="s">
        <v>497</v>
      </c>
      <c r="AL4102" s="2">
        <v>14</v>
      </c>
      <c r="AM4102" s="2" t="s">
        <v>216</v>
      </c>
      <c r="AN4102" s="2" t="s">
        <v>12903</v>
      </c>
      <c r="AO4102" s="2" t="s">
        <v>12378</v>
      </c>
      <c r="AP4102" s="2">
        <v>11</v>
      </c>
      <c r="AQ4102" s="2" t="s">
        <v>82</v>
      </c>
      <c r="AR4102" s="2"/>
      <c r="AS4102" s="2"/>
      <c r="AT4102" s="2" t="s">
        <v>12904</v>
      </c>
      <c r="AU4102" s="2"/>
      <c r="AV4102" s="2"/>
      <c r="AW4102" s="2"/>
      <c r="AX4102" s="2"/>
      <c r="AY4102" s="2">
        <v>41</v>
      </c>
      <c r="AZ4102" s="2" t="s">
        <v>82</v>
      </c>
      <c r="BA4102" s="2">
        <v>41</v>
      </c>
      <c r="BB4102" s="2" t="s">
        <v>82</v>
      </c>
      <c r="BC4102" s="2">
        <v>41</v>
      </c>
      <c r="BD4102" s="2" t="s">
        <v>82</v>
      </c>
      <c r="BE4102" s="2">
        <v>13</v>
      </c>
      <c r="BF4102" s="2" t="s">
        <v>108</v>
      </c>
      <c r="BG4102" s="2">
        <v>1750</v>
      </c>
      <c r="BH4102" s="4">
        <v>0.41319444444444442</v>
      </c>
      <c r="BI4102" s="4">
        <v>0.35416666666666669</v>
      </c>
      <c r="BJ4102" s="2">
        <v>13</v>
      </c>
      <c r="BK4102" s="2" t="s">
        <v>91</v>
      </c>
      <c r="BL4102" s="2" t="s">
        <v>170</v>
      </c>
      <c r="BM4102" s="2">
        <v>13</v>
      </c>
      <c r="BN4102" s="2" t="s">
        <v>91</v>
      </c>
      <c r="BO4102" s="2"/>
      <c r="BP4102" s="2">
        <v>13</v>
      </c>
      <c r="BQ4102" s="2" t="s">
        <v>91</v>
      </c>
      <c r="BR4102" s="2" t="s">
        <v>1552</v>
      </c>
      <c r="BS4102" s="3">
        <v>40457</v>
      </c>
      <c r="BT4102" s="4">
        <v>0.55104166666666665</v>
      </c>
    </row>
    <row r="4103" spans="1:72" x14ac:dyDescent="0.25">
      <c r="A4103" s="2">
        <v>6162</v>
      </c>
      <c r="B4103" s="2">
        <v>2010</v>
      </c>
      <c r="C4103" s="2" t="s">
        <v>457</v>
      </c>
      <c r="D4103" s="2" t="s">
        <v>73</v>
      </c>
      <c r="E4103" s="2"/>
      <c r="F4103" s="2">
        <v>467</v>
      </c>
      <c r="G4103" s="2" t="s">
        <v>1053</v>
      </c>
      <c r="H4103" s="2">
        <v>22</v>
      </c>
      <c r="I4103" s="2" t="s">
        <v>75</v>
      </c>
      <c r="J4103" s="2">
        <v>369</v>
      </c>
      <c r="K4103" s="2" t="s">
        <v>1054</v>
      </c>
      <c r="L4103" s="2" t="s">
        <v>1055</v>
      </c>
      <c r="M4103" s="3">
        <v>40457</v>
      </c>
      <c r="N4103" s="2" t="s">
        <v>12905</v>
      </c>
      <c r="O4103" s="2" t="s">
        <v>12906</v>
      </c>
      <c r="P4103" s="2" t="s">
        <v>12907</v>
      </c>
      <c r="Q4103" s="2" t="str">
        <f>"------"</f>
        <v>------</v>
      </c>
      <c r="R4103" s="2" t="s">
        <v>2104</v>
      </c>
      <c r="S4103" s="2" t="s">
        <v>3296</v>
      </c>
      <c r="T4103" s="2">
        <v>1</v>
      </c>
      <c r="U4103" s="2" t="s">
        <v>79</v>
      </c>
      <c r="V4103" s="2">
        <v>1</v>
      </c>
      <c r="W4103" s="2" t="s">
        <v>80</v>
      </c>
      <c r="X4103" s="2">
        <v>4</v>
      </c>
      <c r="Y4103" s="2" t="s">
        <v>463</v>
      </c>
      <c r="Z4103" s="2">
        <v>6</v>
      </c>
      <c r="AA4103" s="2" t="s">
        <v>101</v>
      </c>
      <c r="AB4103" s="2">
        <v>9</v>
      </c>
      <c r="AC4103" s="2" t="s">
        <v>124</v>
      </c>
      <c r="AD4103" s="3">
        <v>40457</v>
      </c>
      <c r="AE4103" s="4">
        <v>0.55555555555555558</v>
      </c>
      <c r="AF4103" s="2"/>
      <c r="AG4103" s="2"/>
      <c r="AH4103" s="2">
        <v>4</v>
      </c>
      <c r="AI4103" s="2" t="s">
        <v>125</v>
      </c>
      <c r="AJ4103" s="2">
        <v>29</v>
      </c>
      <c r="AK4103" s="2" t="s">
        <v>227</v>
      </c>
      <c r="AL4103" s="2">
        <v>11</v>
      </c>
      <c r="AM4103" s="2" t="s">
        <v>137</v>
      </c>
      <c r="AN4103" s="2" t="s">
        <v>10159</v>
      </c>
      <c r="AO4103" s="2" t="s">
        <v>2104</v>
      </c>
      <c r="AP4103" s="2">
        <v>11</v>
      </c>
      <c r="AQ4103" s="2" t="s">
        <v>82</v>
      </c>
      <c r="AR4103" s="2" t="s">
        <v>82</v>
      </c>
      <c r="AS4103" s="2" t="s">
        <v>82</v>
      </c>
      <c r="AT4103" s="2" t="s">
        <v>12908</v>
      </c>
      <c r="AU4103" s="2"/>
      <c r="AV4103" s="2"/>
      <c r="AW4103" s="2"/>
      <c r="AX4103" s="2"/>
      <c r="AY4103" s="2">
        <v>41</v>
      </c>
      <c r="AZ4103" s="2" t="s">
        <v>82</v>
      </c>
      <c r="BA4103" s="2">
        <v>41</v>
      </c>
      <c r="BB4103" s="2" t="s">
        <v>82</v>
      </c>
      <c r="BC4103" s="2">
        <v>115</v>
      </c>
      <c r="BD4103" s="2" t="s">
        <v>101</v>
      </c>
      <c r="BE4103" s="2">
        <v>19</v>
      </c>
      <c r="BF4103" s="2" t="s">
        <v>1061</v>
      </c>
      <c r="BG4103" s="2" t="s">
        <v>11709</v>
      </c>
      <c r="BH4103" s="4">
        <v>0.52430555555555558</v>
      </c>
      <c r="BI4103" s="4">
        <v>0.56944444444444442</v>
      </c>
      <c r="BJ4103" s="2">
        <v>13</v>
      </c>
      <c r="BK4103" s="2" t="s">
        <v>91</v>
      </c>
      <c r="BL4103" s="2" t="s">
        <v>828</v>
      </c>
      <c r="BM4103" s="2">
        <v>29</v>
      </c>
      <c r="BN4103" s="2" t="s">
        <v>962</v>
      </c>
      <c r="BO4103" s="2"/>
      <c r="BP4103" s="2">
        <v>29</v>
      </c>
      <c r="BQ4103" s="2" t="s">
        <v>962</v>
      </c>
      <c r="BR4103" s="2" t="s">
        <v>963</v>
      </c>
      <c r="BS4103" s="3">
        <v>40457</v>
      </c>
      <c r="BT4103" s="4">
        <v>0.57603009259259264</v>
      </c>
    </row>
    <row r="4104" spans="1:72" x14ac:dyDescent="0.25">
      <c r="A4104" s="2">
        <v>6169</v>
      </c>
      <c r="B4104" s="2">
        <v>2010</v>
      </c>
      <c r="C4104" s="2" t="s">
        <v>93</v>
      </c>
      <c r="D4104" s="2" t="s">
        <v>73</v>
      </c>
      <c r="E4104" s="2"/>
      <c r="F4104" s="2">
        <v>146</v>
      </c>
      <c r="G4104" s="2" t="s">
        <v>753</v>
      </c>
      <c r="H4104" s="2">
        <v>122</v>
      </c>
      <c r="I4104" s="2" t="s">
        <v>8431</v>
      </c>
      <c r="J4104" s="2">
        <v>161</v>
      </c>
      <c r="K4104" s="2" t="s">
        <v>1900</v>
      </c>
      <c r="L4104" s="2" t="s">
        <v>1901</v>
      </c>
      <c r="M4104" s="3">
        <v>40457</v>
      </c>
      <c r="N4104" s="2" t="s">
        <v>756</v>
      </c>
      <c r="O4104" s="2" t="s">
        <v>12909</v>
      </c>
      <c r="P4104" s="2">
        <v>2298</v>
      </c>
      <c r="Q4104" s="2" t="str">
        <f>"AP 0045/10"</f>
        <v>AP 0045/10</v>
      </c>
      <c r="R4104" s="2" t="s">
        <v>12910</v>
      </c>
      <c r="S4104" s="2"/>
      <c r="T4104" s="2">
        <v>1</v>
      </c>
      <c r="U4104" s="2" t="s">
        <v>79</v>
      </c>
      <c r="V4104" s="2">
        <v>1</v>
      </c>
      <c r="W4104" s="2" t="s">
        <v>80</v>
      </c>
      <c r="X4104" s="2">
        <v>1</v>
      </c>
      <c r="Y4104" s="2" t="s">
        <v>81</v>
      </c>
      <c r="Z4104" s="2">
        <v>1</v>
      </c>
      <c r="AA4104" s="2" t="s">
        <v>82</v>
      </c>
      <c r="AB4104" s="2">
        <v>2</v>
      </c>
      <c r="AC4104" s="2" t="s">
        <v>102</v>
      </c>
      <c r="AD4104" s="3">
        <v>40457</v>
      </c>
      <c r="AE4104" s="4">
        <v>0.59027777777777779</v>
      </c>
      <c r="AF4104" s="3">
        <v>40457</v>
      </c>
      <c r="AG4104" s="4">
        <v>0.625</v>
      </c>
      <c r="AH4104" s="2">
        <v>6</v>
      </c>
      <c r="AI4104" s="2" t="s">
        <v>197</v>
      </c>
      <c r="AJ4104" s="2">
        <v>60</v>
      </c>
      <c r="AK4104" s="2" t="s">
        <v>543</v>
      </c>
      <c r="AL4104" s="2">
        <v>11</v>
      </c>
      <c r="AM4104" s="2" t="s">
        <v>137</v>
      </c>
      <c r="AN4104" s="2" t="s">
        <v>82</v>
      </c>
      <c r="AO4104" s="2" t="s">
        <v>5183</v>
      </c>
      <c r="AP4104" s="2">
        <v>11</v>
      </c>
      <c r="AQ4104" s="2" t="s">
        <v>82</v>
      </c>
      <c r="AR4104" s="2" t="s">
        <v>82</v>
      </c>
      <c r="AS4104" s="2" t="s">
        <v>82</v>
      </c>
      <c r="AT4104" s="2" t="s">
        <v>12911</v>
      </c>
      <c r="AU4104" s="2"/>
      <c r="AV4104" s="2"/>
      <c r="AW4104" s="2"/>
      <c r="AX4104" s="2"/>
      <c r="AY4104" s="2">
        <v>41</v>
      </c>
      <c r="AZ4104" s="2" t="s">
        <v>82</v>
      </c>
      <c r="BA4104" s="2">
        <v>41</v>
      </c>
      <c r="BB4104" s="2" t="s">
        <v>82</v>
      </c>
      <c r="BC4104" s="2">
        <v>41</v>
      </c>
      <c r="BD4104" s="2" t="s">
        <v>82</v>
      </c>
      <c r="BE4104" s="2">
        <v>13</v>
      </c>
      <c r="BF4104" s="2" t="s">
        <v>108</v>
      </c>
      <c r="BG4104" s="2" t="s">
        <v>12912</v>
      </c>
      <c r="BH4104" s="2"/>
      <c r="BI4104" s="4">
        <v>0.6020833333333333</v>
      </c>
      <c r="BJ4104" s="2">
        <v>13</v>
      </c>
      <c r="BK4104" s="2" t="s">
        <v>91</v>
      </c>
      <c r="BL4104" s="2" t="s">
        <v>895</v>
      </c>
      <c r="BM4104" s="2">
        <v>13</v>
      </c>
      <c r="BN4104" s="2" t="s">
        <v>91</v>
      </c>
      <c r="BO4104" s="2"/>
      <c r="BP4104" s="2">
        <v>13</v>
      </c>
      <c r="BQ4104" s="2" t="s">
        <v>91</v>
      </c>
      <c r="BR4104" s="2" t="s">
        <v>12913</v>
      </c>
      <c r="BS4104" s="3">
        <v>40457</v>
      </c>
      <c r="BT4104" s="4">
        <v>0.72577546296296302</v>
      </c>
    </row>
    <row r="4105" spans="1:72" x14ac:dyDescent="0.25">
      <c r="A4105" s="2">
        <v>6171</v>
      </c>
      <c r="B4105" s="2">
        <v>2010</v>
      </c>
      <c r="C4105" s="2" t="s">
        <v>121</v>
      </c>
      <c r="D4105" s="2" t="s">
        <v>122</v>
      </c>
      <c r="E4105" s="2"/>
      <c r="F4105" s="2">
        <v>1</v>
      </c>
      <c r="G4105" s="2" t="s">
        <v>82</v>
      </c>
      <c r="H4105" s="2">
        <v>1</v>
      </c>
      <c r="I4105" s="2" t="s">
        <v>82</v>
      </c>
      <c r="J4105" s="2">
        <v>1</v>
      </c>
      <c r="K4105" s="2" t="s">
        <v>107</v>
      </c>
      <c r="L4105" s="2" t="s">
        <v>107</v>
      </c>
      <c r="M4105" s="3">
        <v>40457</v>
      </c>
      <c r="N4105" s="2"/>
      <c r="O4105" s="2"/>
      <c r="P4105" s="2"/>
      <c r="Q4105" s="2" t="str">
        <f>""</f>
        <v/>
      </c>
      <c r="R4105" s="2"/>
      <c r="S4105" s="2"/>
      <c r="T4105" s="2">
        <v>2</v>
      </c>
      <c r="U4105" s="2" t="s">
        <v>123</v>
      </c>
      <c r="V4105" s="2">
        <v>1</v>
      </c>
      <c r="W4105" s="2" t="s">
        <v>80</v>
      </c>
      <c r="X4105" s="2">
        <v>11</v>
      </c>
      <c r="Y4105" s="2" t="s">
        <v>1920</v>
      </c>
      <c r="Z4105" s="2">
        <v>4</v>
      </c>
      <c r="AA4105" s="2" t="s">
        <v>182</v>
      </c>
      <c r="AB4105" s="2">
        <v>9</v>
      </c>
      <c r="AC4105" s="2" t="s">
        <v>124</v>
      </c>
      <c r="AD4105" s="3">
        <v>40457</v>
      </c>
      <c r="AE4105" s="4">
        <v>0.70138888888888884</v>
      </c>
      <c r="AF4105" s="2"/>
      <c r="AG4105" s="2"/>
      <c r="AH4105" s="2">
        <v>5</v>
      </c>
      <c r="AI4105" s="2" t="s">
        <v>274</v>
      </c>
      <c r="AJ4105" s="2">
        <v>38</v>
      </c>
      <c r="AK4105" s="2" t="s">
        <v>1120</v>
      </c>
      <c r="AL4105" s="2">
        <v>14</v>
      </c>
      <c r="AM4105" s="2" t="s">
        <v>216</v>
      </c>
      <c r="AN4105" s="2" t="s">
        <v>12914</v>
      </c>
      <c r="AO4105" s="2" t="s">
        <v>12915</v>
      </c>
      <c r="AP4105" s="2">
        <v>11</v>
      </c>
      <c r="AQ4105" s="2" t="s">
        <v>82</v>
      </c>
      <c r="AR4105" s="2"/>
      <c r="AS4105" s="2"/>
      <c r="AT4105" s="2" t="s">
        <v>12916</v>
      </c>
      <c r="AU4105" s="2"/>
      <c r="AV4105" s="2"/>
      <c r="AW4105" s="2"/>
      <c r="AX4105" s="2"/>
      <c r="AY4105" s="2">
        <v>41</v>
      </c>
      <c r="AZ4105" s="2" t="s">
        <v>82</v>
      </c>
      <c r="BA4105" s="2">
        <v>41</v>
      </c>
      <c r="BB4105" s="2" t="s">
        <v>82</v>
      </c>
      <c r="BC4105" s="2">
        <v>41</v>
      </c>
      <c r="BD4105" s="2" t="s">
        <v>82</v>
      </c>
      <c r="BE4105" s="2">
        <v>47</v>
      </c>
      <c r="BF4105" s="2" t="s">
        <v>167</v>
      </c>
      <c r="BG4105" s="2">
        <v>2739</v>
      </c>
      <c r="BH4105" s="4">
        <v>0.65277777777777779</v>
      </c>
      <c r="BI4105" s="4">
        <v>0.70138888888888884</v>
      </c>
      <c r="BJ4105" s="2">
        <v>13</v>
      </c>
      <c r="BK4105" s="2" t="s">
        <v>91</v>
      </c>
      <c r="BL4105" s="2" t="s">
        <v>2005</v>
      </c>
      <c r="BM4105" s="2">
        <v>241</v>
      </c>
      <c r="BN4105" s="2" t="s">
        <v>82</v>
      </c>
      <c r="BO4105" s="2"/>
      <c r="BP4105" s="2">
        <v>13</v>
      </c>
      <c r="BQ4105" s="2" t="s">
        <v>91</v>
      </c>
      <c r="BR4105" s="2" t="s">
        <v>170</v>
      </c>
      <c r="BS4105" s="3">
        <v>40457</v>
      </c>
      <c r="BT4105" s="4">
        <v>0.74446759259259254</v>
      </c>
    </row>
    <row r="4106" spans="1:72" x14ac:dyDescent="0.25">
      <c r="A4106" s="2">
        <v>6174</v>
      </c>
      <c r="B4106" s="2">
        <v>2010</v>
      </c>
      <c r="C4106" s="2" t="s">
        <v>93</v>
      </c>
      <c r="D4106" s="2" t="s">
        <v>73</v>
      </c>
      <c r="E4106" s="2"/>
      <c r="F4106" s="2">
        <v>34</v>
      </c>
      <c r="G4106" s="2" t="s">
        <v>334</v>
      </c>
      <c r="H4106" s="2">
        <v>91</v>
      </c>
      <c r="I4106" s="2" t="s">
        <v>5420</v>
      </c>
      <c r="J4106" s="2">
        <v>43</v>
      </c>
      <c r="K4106" s="2" t="s">
        <v>2059</v>
      </c>
      <c r="L4106" s="2" t="s">
        <v>2060</v>
      </c>
      <c r="M4106" s="3">
        <v>40457</v>
      </c>
      <c r="N4106" s="2" t="s">
        <v>12917</v>
      </c>
      <c r="O4106" s="2" t="s">
        <v>107</v>
      </c>
      <c r="P4106" s="2" t="s">
        <v>107</v>
      </c>
      <c r="Q4106" s="2" t="str">
        <f>""</f>
        <v/>
      </c>
      <c r="R4106" s="2"/>
      <c r="S4106" s="2"/>
      <c r="T4106" s="2">
        <v>1</v>
      </c>
      <c r="U4106" s="2" t="s">
        <v>79</v>
      </c>
      <c r="V4106" s="2">
        <v>1</v>
      </c>
      <c r="W4106" s="2" t="s">
        <v>80</v>
      </c>
      <c r="X4106" s="2">
        <v>1</v>
      </c>
      <c r="Y4106" s="2" t="s">
        <v>81</v>
      </c>
      <c r="Z4106" s="2">
        <v>1</v>
      </c>
      <c r="AA4106" s="2" t="s">
        <v>82</v>
      </c>
      <c r="AB4106" s="2">
        <v>2</v>
      </c>
      <c r="AC4106" s="2" t="s">
        <v>102</v>
      </c>
      <c r="AD4106" s="3">
        <v>40457</v>
      </c>
      <c r="AE4106" s="4">
        <v>0.69444444444444453</v>
      </c>
      <c r="AF4106" s="3">
        <v>40457</v>
      </c>
      <c r="AG4106" s="2"/>
      <c r="AH4106" s="2">
        <v>3</v>
      </c>
      <c r="AI4106" s="2" t="s">
        <v>214</v>
      </c>
      <c r="AJ4106" s="2">
        <v>17</v>
      </c>
      <c r="AK4106" s="2" t="s">
        <v>309</v>
      </c>
      <c r="AL4106" s="2">
        <v>11</v>
      </c>
      <c r="AM4106" s="2" t="s">
        <v>137</v>
      </c>
      <c r="AN4106" s="2" t="s">
        <v>1059</v>
      </c>
      <c r="AO4106" s="2"/>
      <c r="AP4106" s="2">
        <v>11</v>
      </c>
      <c r="AQ4106" s="2" t="s">
        <v>82</v>
      </c>
      <c r="AR4106" s="2"/>
      <c r="AS4106" s="2"/>
      <c r="AT4106" s="2" t="s">
        <v>12918</v>
      </c>
      <c r="AU4106" s="2"/>
      <c r="AV4106" s="2"/>
      <c r="AW4106" s="2"/>
      <c r="AX4106" s="2"/>
      <c r="AY4106" s="2">
        <v>41</v>
      </c>
      <c r="AZ4106" s="2" t="s">
        <v>82</v>
      </c>
      <c r="BA4106" s="2">
        <v>41</v>
      </c>
      <c r="BB4106" s="2" t="s">
        <v>82</v>
      </c>
      <c r="BC4106" s="2">
        <v>41</v>
      </c>
      <c r="BD4106" s="2" t="s">
        <v>82</v>
      </c>
      <c r="BE4106" s="2">
        <v>17</v>
      </c>
      <c r="BF4106" s="2" t="s">
        <v>508</v>
      </c>
      <c r="BG4106" s="2" t="s">
        <v>12919</v>
      </c>
      <c r="BH4106" s="4">
        <v>0.79166666666666663</v>
      </c>
      <c r="BI4106" s="4">
        <v>0.75694444444444453</v>
      </c>
      <c r="BJ4106" s="2">
        <v>13</v>
      </c>
      <c r="BK4106" s="2" t="s">
        <v>91</v>
      </c>
      <c r="BL4106" s="2" t="s">
        <v>445</v>
      </c>
      <c r="BM4106" s="2">
        <v>46</v>
      </c>
      <c r="BN4106" s="2" t="s">
        <v>307</v>
      </c>
      <c r="BO4106" s="2"/>
      <c r="BP4106" s="2">
        <v>46</v>
      </c>
      <c r="BQ4106" s="2" t="s">
        <v>307</v>
      </c>
      <c r="BR4106" s="2" t="s">
        <v>308</v>
      </c>
      <c r="BS4106" s="3">
        <v>40457</v>
      </c>
      <c r="BT4106" s="4">
        <v>0.84974537037037035</v>
      </c>
    </row>
    <row r="4107" spans="1:72" x14ac:dyDescent="0.25">
      <c r="A4107" s="2">
        <v>6175</v>
      </c>
      <c r="B4107" s="2">
        <v>2010</v>
      </c>
      <c r="C4107" s="2" t="s">
        <v>385</v>
      </c>
      <c r="D4107" s="2" t="s">
        <v>122</v>
      </c>
      <c r="E4107" s="2" t="s">
        <v>12920</v>
      </c>
      <c r="F4107" s="2">
        <v>389</v>
      </c>
      <c r="G4107" s="2" t="s">
        <v>1819</v>
      </c>
      <c r="H4107" s="2">
        <v>2</v>
      </c>
      <c r="I4107" s="2" t="s">
        <v>267</v>
      </c>
      <c r="J4107" s="2">
        <v>399</v>
      </c>
      <c r="K4107" s="2" t="s">
        <v>1820</v>
      </c>
      <c r="L4107" s="2" t="s">
        <v>1821</v>
      </c>
      <c r="M4107" s="3">
        <v>40457</v>
      </c>
      <c r="N4107" s="2" t="s">
        <v>5653</v>
      </c>
      <c r="O4107" s="2" t="s">
        <v>107</v>
      </c>
      <c r="P4107" s="2" t="s">
        <v>107</v>
      </c>
      <c r="Q4107" s="2" t="str">
        <f>"515-E/10"</f>
        <v>515-E/10</v>
      </c>
      <c r="R4107" s="2" t="s">
        <v>116</v>
      </c>
      <c r="S4107" s="2" t="s">
        <v>116</v>
      </c>
      <c r="T4107" s="2">
        <v>1</v>
      </c>
      <c r="U4107" s="2" t="s">
        <v>79</v>
      </c>
      <c r="V4107" s="2">
        <v>1</v>
      </c>
      <c r="W4107" s="2" t="s">
        <v>80</v>
      </c>
      <c r="X4107" s="2">
        <v>12</v>
      </c>
      <c r="Y4107" s="2" t="s">
        <v>148</v>
      </c>
      <c r="Z4107" s="2">
        <v>1</v>
      </c>
      <c r="AA4107" s="2" t="s">
        <v>82</v>
      </c>
      <c r="AB4107" s="2">
        <v>9</v>
      </c>
      <c r="AC4107" s="2" t="s">
        <v>124</v>
      </c>
      <c r="AD4107" s="3">
        <v>40457</v>
      </c>
      <c r="AE4107" s="4">
        <v>0.83333333333333337</v>
      </c>
      <c r="AF4107" s="3">
        <v>40457</v>
      </c>
      <c r="AG4107" s="4">
        <v>0.16666666666666666</v>
      </c>
      <c r="AH4107" s="2">
        <v>2</v>
      </c>
      <c r="AI4107" s="2" t="s">
        <v>84</v>
      </c>
      <c r="AJ4107" s="2">
        <v>9</v>
      </c>
      <c r="AK4107" s="2" t="s">
        <v>103</v>
      </c>
      <c r="AL4107" s="2">
        <v>14</v>
      </c>
      <c r="AM4107" s="2" t="s">
        <v>216</v>
      </c>
      <c r="AN4107" s="2" t="s">
        <v>4365</v>
      </c>
      <c r="AO4107" s="2" t="s">
        <v>82</v>
      </c>
      <c r="AP4107" s="2">
        <v>11</v>
      </c>
      <c r="AQ4107" s="2" t="s">
        <v>82</v>
      </c>
      <c r="AR4107" s="2"/>
      <c r="AS4107" s="2"/>
      <c r="AT4107" s="2" t="s">
        <v>12921</v>
      </c>
      <c r="AU4107" s="2"/>
      <c r="AV4107" s="2"/>
      <c r="AW4107" s="2"/>
      <c r="AX4107" s="2"/>
      <c r="AY4107" s="2">
        <v>41</v>
      </c>
      <c r="AZ4107" s="2" t="s">
        <v>82</v>
      </c>
      <c r="BA4107" s="2">
        <v>41</v>
      </c>
      <c r="BB4107" s="2" t="s">
        <v>82</v>
      </c>
      <c r="BC4107" s="2">
        <v>41</v>
      </c>
      <c r="BD4107" s="2" t="s">
        <v>82</v>
      </c>
      <c r="BE4107" s="2">
        <v>25</v>
      </c>
      <c r="BF4107" s="2" t="s">
        <v>358</v>
      </c>
      <c r="BG4107" s="2">
        <v>7663</v>
      </c>
      <c r="BH4107" s="2"/>
      <c r="BI4107" s="4">
        <v>0.1875</v>
      </c>
      <c r="BJ4107" s="2">
        <v>13</v>
      </c>
      <c r="BK4107" s="2" t="s">
        <v>91</v>
      </c>
      <c r="BL4107" s="2" t="s">
        <v>185</v>
      </c>
      <c r="BM4107" s="2">
        <v>33</v>
      </c>
      <c r="BN4107" s="2" t="s">
        <v>361</v>
      </c>
      <c r="BO4107" s="2"/>
      <c r="BP4107" s="2">
        <v>33</v>
      </c>
      <c r="BQ4107" s="2" t="s">
        <v>361</v>
      </c>
      <c r="BR4107" s="2" t="s">
        <v>1739</v>
      </c>
      <c r="BS4107" s="3">
        <v>40457</v>
      </c>
      <c r="BT4107" s="4">
        <v>0.85310185185185183</v>
      </c>
    </row>
    <row r="4108" spans="1:72" x14ac:dyDescent="0.25">
      <c r="A4108" s="2">
        <v>6178</v>
      </c>
      <c r="B4108" s="2">
        <v>2010</v>
      </c>
      <c r="C4108" s="2" t="s">
        <v>4543</v>
      </c>
      <c r="D4108" s="2" t="s">
        <v>122</v>
      </c>
      <c r="E4108" s="2"/>
      <c r="F4108" s="2">
        <v>1</v>
      </c>
      <c r="G4108" s="2" t="s">
        <v>82</v>
      </c>
      <c r="H4108" s="2">
        <v>1</v>
      </c>
      <c r="I4108" s="2" t="s">
        <v>82</v>
      </c>
      <c r="J4108" s="2">
        <v>1</v>
      </c>
      <c r="K4108" s="2" t="s">
        <v>107</v>
      </c>
      <c r="L4108" s="2" t="s">
        <v>107</v>
      </c>
      <c r="M4108" s="3">
        <v>40458</v>
      </c>
      <c r="N4108" s="2"/>
      <c r="O4108" s="2"/>
      <c r="P4108" s="2"/>
      <c r="Q4108" s="2" t="str">
        <f>""</f>
        <v/>
      </c>
      <c r="R4108" s="2"/>
      <c r="S4108" s="2"/>
      <c r="T4108" s="2">
        <v>2</v>
      </c>
      <c r="U4108" s="2" t="s">
        <v>123</v>
      </c>
      <c r="V4108" s="2">
        <v>1</v>
      </c>
      <c r="W4108" s="2" t="s">
        <v>80</v>
      </c>
      <c r="X4108" s="2">
        <v>11</v>
      </c>
      <c r="Y4108" s="2" t="s">
        <v>1920</v>
      </c>
      <c r="Z4108" s="2">
        <v>1</v>
      </c>
      <c r="AA4108" s="2" t="s">
        <v>82</v>
      </c>
      <c r="AB4108" s="2">
        <v>9</v>
      </c>
      <c r="AC4108" s="2" t="s">
        <v>124</v>
      </c>
      <c r="AD4108" s="3">
        <v>40458</v>
      </c>
      <c r="AE4108" s="4">
        <v>0.14097222222222222</v>
      </c>
      <c r="AF4108" s="2"/>
      <c r="AG4108" s="2"/>
      <c r="AH4108" s="2">
        <v>6</v>
      </c>
      <c r="AI4108" s="2" t="s">
        <v>197</v>
      </c>
      <c r="AJ4108" s="2">
        <v>54</v>
      </c>
      <c r="AK4108" s="2" t="s">
        <v>348</v>
      </c>
      <c r="AL4108" s="2">
        <v>19</v>
      </c>
      <c r="AM4108" s="2" t="s">
        <v>107</v>
      </c>
      <c r="AN4108" s="2" t="s">
        <v>595</v>
      </c>
      <c r="AO4108" s="2" t="s">
        <v>200</v>
      </c>
      <c r="AP4108" s="2">
        <v>14</v>
      </c>
      <c r="AQ4108" s="2" t="s">
        <v>3301</v>
      </c>
      <c r="AR4108" s="2" t="s">
        <v>596</v>
      </c>
      <c r="AS4108" s="2" t="s">
        <v>596</v>
      </c>
      <c r="AT4108" s="2" t="s">
        <v>12922</v>
      </c>
      <c r="AU4108" s="2"/>
      <c r="AV4108" s="2"/>
      <c r="AW4108" s="2"/>
      <c r="AX4108" s="2"/>
      <c r="AY4108" s="2">
        <v>41</v>
      </c>
      <c r="AZ4108" s="2" t="s">
        <v>82</v>
      </c>
      <c r="BA4108" s="2">
        <v>41</v>
      </c>
      <c r="BB4108" s="2" t="s">
        <v>82</v>
      </c>
      <c r="BC4108" s="2">
        <v>41</v>
      </c>
      <c r="BD4108" s="2" t="s">
        <v>82</v>
      </c>
      <c r="BE4108" s="2">
        <v>4</v>
      </c>
      <c r="BF4108" s="2" t="s">
        <v>90</v>
      </c>
      <c r="BG4108" s="2" t="s">
        <v>598</v>
      </c>
      <c r="BH4108" s="4">
        <v>5.9027777777777783E-2</v>
      </c>
      <c r="BI4108" s="4">
        <v>0.14097222222222222</v>
      </c>
      <c r="BJ4108" s="2">
        <v>13</v>
      </c>
      <c r="BK4108" s="2" t="s">
        <v>91</v>
      </c>
      <c r="BL4108" s="2" t="s">
        <v>7629</v>
      </c>
      <c r="BM4108" s="2">
        <v>241</v>
      </c>
      <c r="BN4108" s="2" t="s">
        <v>82</v>
      </c>
      <c r="BO4108" s="2"/>
      <c r="BP4108" s="2">
        <v>13</v>
      </c>
      <c r="BQ4108" s="2" t="s">
        <v>91</v>
      </c>
      <c r="BR4108" s="2" t="s">
        <v>905</v>
      </c>
      <c r="BS4108" s="3">
        <v>40458</v>
      </c>
      <c r="BT4108" s="4">
        <v>0.37490740740740741</v>
      </c>
    </row>
    <row r="4109" spans="1:72" x14ac:dyDescent="0.25">
      <c r="A4109" s="2">
        <v>6179</v>
      </c>
      <c r="B4109" s="2">
        <v>2010</v>
      </c>
      <c r="C4109" s="2" t="s">
        <v>4543</v>
      </c>
      <c r="D4109" s="2" t="s">
        <v>122</v>
      </c>
      <c r="E4109" s="2"/>
      <c r="F4109" s="2">
        <v>1</v>
      </c>
      <c r="G4109" s="2" t="s">
        <v>82</v>
      </c>
      <c r="H4109" s="2">
        <v>1</v>
      </c>
      <c r="I4109" s="2" t="s">
        <v>82</v>
      </c>
      <c r="J4109" s="2">
        <v>1</v>
      </c>
      <c r="K4109" s="2" t="s">
        <v>107</v>
      </c>
      <c r="L4109" s="2" t="s">
        <v>107</v>
      </c>
      <c r="M4109" s="3">
        <v>40458</v>
      </c>
      <c r="N4109" s="2"/>
      <c r="O4109" s="2"/>
      <c r="P4109" s="2"/>
      <c r="Q4109" s="2" t="str">
        <f>""</f>
        <v/>
      </c>
      <c r="R4109" s="2"/>
      <c r="S4109" s="2"/>
      <c r="T4109" s="2">
        <v>2</v>
      </c>
      <c r="U4109" s="2" t="s">
        <v>123</v>
      </c>
      <c r="V4109" s="2">
        <v>1</v>
      </c>
      <c r="W4109" s="2" t="s">
        <v>80</v>
      </c>
      <c r="X4109" s="2">
        <v>11</v>
      </c>
      <c r="Y4109" s="2" t="s">
        <v>1920</v>
      </c>
      <c r="Z4109" s="2">
        <v>1</v>
      </c>
      <c r="AA4109" s="2" t="s">
        <v>82</v>
      </c>
      <c r="AB4109" s="2">
        <v>9</v>
      </c>
      <c r="AC4109" s="2" t="s">
        <v>124</v>
      </c>
      <c r="AD4109" s="3">
        <v>40458</v>
      </c>
      <c r="AE4109" s="4">
        <v>0.34722222222222227</v>
      </c>
      <c r="AF4109" s="2"/>
      <c r="AG4109" s="2"/>
      <c r="AH4109" s="2">
        <v>6</v>
      </c>
      <c r="AI4109" s="2" t="s">
        <v>197</v>
      </c>
      <c r="AJ4109" s="2">
        <v>54</v>
      </c>
      <c r="AK4109" s="2" t="s">
        <v>348</v>
      </c>
      <c r="AL4109" s="2">
        <v>19</v>
      </c>
      <c r="AM4109" s="2" t="s">
        <v>107</v>
      </c>
      <c r="AN4109" s="2" t="s">
        <v>595</v>
      </c>
      <c r="AO4109" s="2" t="s">
        <v>200</v>
      </c>
      <c r="AP4109" s="2">
        <v>12</v>
      </c>
      <c r="AQ4109" s="2" t="s">
        <v>322</v>
      </c>
      <c r="AR4109" s="2" t="s">
        <v>596</v>
      </c>
      <c r="AS4109" s="2" t="s">
        <v>596</v>
      </c>
      <c r="AT4109" s="2" t="s">
        <v>12923</v>
      </c>
      <c r="AU4109" s="2"/>
      <c r="AV4109" s="2"/>
      <c r="AW4109" s="2"/>
      <c r="AX4109" s="2"/>
      <c r="AY4109" s="2">
        <v>41</v>
      </c>
      <c r="AZ4109" s="2" t="s">
        <v>82</v>
      </c>
      <c r="BA4109" s="2">
        <v>41</v>
      </c>
      <c r="BB4109" s="2" t="s">
        <v>82</v>
      </c>
      <c r="BC4109" s="2">
        <v>41</v>
      </c>
      <c r="BD4109" s="2" t="s">
        <v>82</v>
      </c>
      <c r="BE4109" s="2">
        <v>47</v>
      </c>
      <c r="BF4109" s="2" t="s">
        <v>167</v>
      </c>
      <c r="BG4109" s="2" t="s">
        <v>1165</v>
      </c>
      <c r="BH4109" s="4">
        <v>0.98402777777777783</v>
      </c>
      <c r="BI4109" s="4">
        <v>0.34722222222222227</v>
      </c>
      <c r="BJ4109" s="2">
        <v>13</v>
      </c>
      <c r="BK4109" s="2" t="s">
        <v>91</v>
      </c>
      <c r="BL4109" s="2" t="s">
        <v>7629</v>
      </c>
      <c r="BM4109" s="2">
        <v>241</v>
      </c>
      <c r="BN4109" s="2" t="s">
        <v>82</v>
      </c>
      <c r="BO4109" s="2"/>
      <c r="BP4109" s="2">
        <v>13</v>
      </c>
      <c r="BQ4109" s="2" t="s">
        <v>91</v>
      </c>
      <c r="BR4109" s="2" t="s">
        <v>905</v>
      </c>
      <c r="BS4109" s="3">
        <v>40458</v>
      </c>
      <c r="BT4109" s="4">
        <v>0.38425925925925924</v>
      </c>
    </row>
    <row r="4110" spans="1:72" x14ac:dyDescent="0.25">
      <c r="A4110" s="2">
        <v>6181</v>
      </c>
      <c r="B4110" s="2">
        <v>2010</v>
      </c>
      <c r="C4110" s="2" t="s">
        <v>147</v>
      </c>
      <c r="D4110" s="2" t="s">
        <v>73</v>
      </c>
      <c r="E4110" s="2"/>
      <c r="F4110" s="2">
        <v>1</v>
      </c>
      <c r="G4110" s="2" t="s">
        <v>82</v>
      </c>
      <c r="H4110" s="2">
        <v>1</v>
      </c>
      <c r="I4110" s="2" t="s">
        <v>82</v>
      </c>
      <c r="J4110" s="2">
        <v>1</v>
      </c>
      <c r="K4110" s="2" t="s">
        <v>107</v>
      </c>
      <c r="L4110" s="2" t="s">
        <v>107</v>
      </c>
      <c r="M4110" s="3">
        <v>40458</v>
      </c>
      <c r="N4110" s="2"/>
      <c r="O4110" s="2"/>
      <c r="P4110" s="2"/>
      <c r="Q4110" s="2" t="str">
        <f>""</f>
        <v/>
      </c>
      <c r="R4110" s="2"/>
      <c r="S4110" s="2"/>
      <c r="T4110" s="2">
        <v>2</v>
      </c>
      <c r="U4110" s="2" t="s">
        <v>123</v>
      </c>
      <c r="V4110" s="2">
        <v>1</v>
      </c>
      <c r="W4110" s="2" t="s">
        <v>80</v>
      </c>
      <c r="X4110" s="2">
        <v>12</v>
      </c>
      <c r="Y4110" s="2" t="s">
        <v>148</v>
      </c>
      <c r="Z4110" s="2">
        <v>1</v>
      </c>
      <c r="AA4110" s="2" t="s">
        <v>82</v>
      </c>
      <c r="AB4110" s="2">
        <v>9</v>
      </c>
      <c r="AC4110" s="2" t="s">
        <v>124</v>
      </c>
      <c r="AD4110" s="2"/>
      <c r="AE4110" s="2"/>
      <c r="AF4110" s="3">
        <v>40458</v>
      </c>
      <c r="AG4110" s="4">
        <v>0.41666666666666669</v>
      </c>
      <c r="AH4110" s="2">
        <v>2</v>
      </c>
      <c r="AI4110" s="2" t="s">
        <v>84</v>
      </c>
      <c r="AJ4110" s="2">
        <v>11</v>
      </c>
      <c r="AK4110" s="2" t="s">
        <v>751</v>
      </c>
      <c r="AL4110" s="2">
        <v>19</v>
      </c>
      <c r="AM4110" s="2" t="s">
        <v>107</v>
      </c>
      <c r="AN4110" s="2" t="s">
        <v>12924</v>
      </c>
      <c r="AO4110" s="2"/>
      <c r="AP4110" s="2">
        <v>11</v>
      </c>
      <c r="AQ4110" s="2" t="s">
        <v>82</v>
      </c>
      <c r="AR4110" s="2"/>
      <c r="AS4110" s="2"/>
      <c r="AT4110" s="2" t="s">
        <v>12925</v>
      </c>
      <c r="AU4110" s="2"/>
      <c r="AV4110" s="2"/>
      <c r="AW4110" s="2"/>
      <c r="AX4110" s="2"/>
      <c r="AY4110" s="2">
        <v>41</v>
      </c>
      <c r="AZ4110" s="2" t="s">
        <v>82</v>
      </c>
      <c r="BA4110" s="2">
        <v>41</v>
      </c>
      <c r="BB4110" s="2" t="s">
        <v>82</v>
      </c>
      <c r="BC4110" s="2">
        <v>41</v>
      </c>
      <c r="BD4110" s="2" t="s">
        <v>82</v>
      </c>
      <c r="BE4110" s="2">
        <v>41</v>
      </c>
      <c r="BF4110" s="2" t="s">
        <v>82</v>
      </c>
      <c r="BG4110" s="2"/>
      <c r="BH4110" s="2"/>
      <c r="BI4110" s="2"/>
      <c r="BJ4110" s="2">
        <v>241</v>
      </c>
      <c r="BK4110" s="2" t="s">
        <v>82</v>
      </c>
      <c r="BL4110" s="2"/>
      <c r="BM4110" s="2">
        <v>241</v>
      </c>
      <c r="BN4110" s="2" t="s">
        <v>82</v>
      </c>
      <c r="BO4110" s="2"/>
      <c r="BP4110" s="2">
        <v>241</v>
      </c>
      <c r="BQ4110" s="2" t="s">
        <v>82</v>
      </c>
      <c r="BR4110" s="2"/>
      <c r="BS4110" s="3">
        <v>40458</v>
      </c>
      <c r="BT4110" s="4">
        <v>0.5433796296296296</v>
      </c>
    </row>
    <row r="4111" spans="1:72" x14ac:dyDescent="0.25">
      <c r="A4111" s="2">
        <v>6183</v>
      </c>
      <c r="B4111" s="2">
        <v>2010</v>
      </c>
      <c r="C4111" s="2" t="s">
        <v>4543</v>
      </c>
      <c r="D4111" s="2" t="s">
        <v>122</v>
      </c>
      <c r="E4111" s="2"/>
      <c r="F4111" s="2">
        <v>1</v>
      </c>
      <c r="G4111" s="2" t="s">
        <v>82</v>
      </c>
      <c r="H4111" s="2">
        <v>1</v>
      </c>
      <c r="I4111" s="2" t="s">
        <v>82</v>
      </c>
      <c r="J4111" s="2">
        <v>1</v>
      </c>
      <c r="K4111" s="2" t="s">
        <v>107</v>
      </c>
      <c r="L4111" s="2" t="s">
        <v>107</v>
      </c>
      <c r="M4111" s="3">
        <v>40458</v>
      </c>
      <c r="N4111" s="2"/>
      <c r="O4111" s="2"/>
      <c r="P4111" s="2"/>
      <c r="Q4111" s="2" t="str">
        <f>""</f>
        <v/>
      </c>
      <c r="R4111" s="2"/>
      <c r="S4111" s="2"/>
      <c r="T4111" s="2">
        <v>2</v>
      </c>
      <c r="U4111" s="2" t="s">
        <v>123</v>
      </c>
      <c r="V4111" s="2">
        <v>1</v>
      </c>
      <c r="W4111" s="2" t="s">
        <v>80</v>
      </c>
      <c r="X4111" s="2">
        <v>11</v>
      </c>
      <c r="Y4111" s="2" t="s">
        <v>1920</v>
      </c>
      <c r="Z4111" s="2">
        <v>1</v>
      </c>
      <c r="AA4111" s="2" t="s">
        <v>82</v>
      </c>
      <c r="AB4111" s="2">
        <v>9</v>
      </c>
      <c r="AC4111" s="2" t="s">
        <v>124</v>
      </c>
      <c r="AD4111" s="3">
        <v>40458</v>
      </c>
      <c r="AE4111" s="4">
        <v>0.54166666666666663</v>
      </c>
      <c r="AF4111" s="2"/>
      <c r="AG4111" s="2"/>
      <c r="AH4111" s="2">
        <v>6</v>
      </c>
      <c r="AI4111" s="2" t="s">
        <v>197</v>
      </c>
      <c r="AJ4111" s="2">
        <v>54</v>
      </c>
      <c r="AK4111" s="2" t="s">
        <v>348</v>
      </c>
      <c r="AL4111" s="2">
        <v>19</v>
      </c>
      <c r="AM4111" s="2" t="s">
        <v>107</v>
      </c>
      <c r="AN4111" s="2" t="s">
        <v>595</v>
      </c>
      <c r="AO4111" s="2" t="s">
        <v>200</v>
      </c>
      <c r="AP4111" s="2">
        <v>12</v>
      </c>
      <c r="AQ4111" s="2" t="s">
        <v>322</v>
      </c>
      <c r="AR4111" s="2" t="s">
        <v>596</v>
      </c>
      <c r="AS4111" s="2" t="s">
        <v>596</v>
      </c>
      <c r="AT4111" s="2" t="s">
        <v>12926</v>
      </c>
      <c r="AU4111" s="2"/>
      <c r="AV4111" s="2"/>
      <c r="AW4111" s="2"/>
      <c r="AX4111" s="2"/>
      <c r="AY4111" s="2">
        <v>41</v>
      </c>
      <c r="AZ4111" s="2" t="s">
        <v>82</v>
      </c>
      <c r="BA4111" s="2">
        <v>41</v>
      </c>
      <c r="BB4111" s="2" t="s">
        <v>82</v>
      </c>
      <c r="BC4111" s="2">
        <v>41</v>
      </c>
      <c r="BD4111" s="2" t="s">
        <v>82</v>
      </c>
      <c r="BE4111" s="2">
        <v>13</v>
      </c>
      <c r="BF4111" s="2" t="s">
        <v>108</v>
      </c>
      <c r="BG4111" s="2" t="s">
        <v>814</v>
      </c>
      <c r="BH4111" s="4">
        <v>0.50208333333333333</v>
      </c>
      <c r="BI4111" s="4">
        <v>0.54166666666666663</v>
      </c>
      <c r="BJ4111" s="2">
        <v>13</v>
      </c>
      <c r="BK4111" s="2" t="s">
        <v>91</v>
      </c>
      <c r="BL4111" s="2" t="s">
        <v>7629</v>
      </c>
      <c r="BM4111" s="2">
        <v>241</v>
      </c>
      <c r="BN4111" s="2" t="s">
        <v>82</v>
      </c>
      <c r="BO4111" s="2"/>
      <c r="BP4111" s="2">
        <v>13</v>
      </c>
      <c r="BQ4111" s="2" t="s">
        <v>91</v>
      </c>
      <c r="BR4111" s="2" t="s">
        <v>905</v>
      </c>
      <c r="BS4111" s="3">
        <v>40458</v>
      </c>
      <c r="BT4111" s="4">
        <v>0.56201388888888892</v>
      </c>
    </row>
    <row r="4112" spans="1:72" x14ac:dyDescent="0.25">
      <c r="A4112" s="2">
        <v>6186</v>
      </c>
      <c r="B4112" s="2">
        <v>2010</v>
      </c>
      <c r="C4112" s="2" t="s">
        <v>72</v>
      </c>
      <c r="D4112" s="2" t="s">
        <v>73</v>
      </c>
      <c r="E4112" s="2"/>
      <c r="F4112" s="2">
        <v>389</v>
      </c>
      <c r="G4112" s="2" t="s">
        <v>1819</v>
      </c>
      <c r="H4112" s="2">
        <v>2</v>
      </c>
      <c r="I4112" s="2" t="s">
        <v>267</v>
      </c>
      <c r="J4112" s="2">
        <v>399</v>
      </c>
      <c r="K4112" s="2" t="s">
        <v>1820</v>
      </c>
      <c r="L4112" s="2" t="s">
        <v>1821</v>
      </c>
      <c r="M4112" s="3">
        <v>40458</v>
      </c>
      <c r="N4112" s="2" t="s">
        <v>5653</v>
      </c>
      <c r="O4112" s="2" t="s">
        <v>107</v>
      </c>
      <c r="P4112" s="2" t="s">
        <v>107</v>
      </c>
      <c r="Q4112" s="2" t="str">
        <f>"516-E/10"</f>
        <v>516-E/10</v>
      </c>
      <c r="R4112" s="2" t="s">
        <v>480</v>
      </c>
      <c r="S4112" s="2" t="s">
        <v>480</v>
      </c>
      <c r="T4112" s="2">
        <v>1</v>
      </c>
      <c r="U4112" s="2" t="s">
        <v>79</v>
      </c>
      <c r="V4112" s="2">
        <v>1</v>
      </c>
      <c r="W4112" s="2" t="s">
        <v>80</v>
      </c>
      <c r="X4112" s="2">
        <v>12</v>
      </c>
      <c r="Y4112" s="2" t="s">
        <v>148</v>
      </c>
      <c r="Z4112" s="2">
        <v>1</v>
      </c>
      <c r="AA4112" s="2" t="s">
        <v>82</v>
      </c>
      <c r="AB4112" s="2">
        <v>6</v>
      </c>
      <c r="AC4112" s="2" t="s">
        <v>83</v>
      </c>
      <c r="AD4112" s="3">
        <v>40457</v>
      </c>
      <c r="AE4112" s="2"/>
      <c r="AF4112" s="3">
        <v>40457</v>
      </c>
      <c r="AG4112" s="4">
        <v>0.9590277777777777</v>
      </c>
      <c r="AH4112" s="2">
        <v>2</v>
      </c>
      <c r="AI4112" s="2" t="s">
        <v>84</v>
      </c>
      <c r="AJ4112" s="2">
        <v>9</v>
      </c>
      <c r="AK4112" s="2" t="s">
        <v>103</v>
      </c>
      <c r="AL4112" s="2">
        <v>22</v>
      </c>
      <c r="AM4112" s="2" t="s">
        <v>1853</v>
      </c>
      <c r="AN4112" s="2" t="s">
        <v>12927</v>
      </c>
      <c r="AO4112" s="2" t="s">
        <v>12928</v>
      </c>
      <c r="AP4112" s="2">
        <v>11</v>
      </c>
      <c r="AQ4112" s="2" t="s">
        <v>82</v>
      </c>
      <c r="AR4112" s="2" t="s">
        <v>82</v>
      </c>
      <c r="AS4112" s="2" t="s">
        <v>82</v>
      </c>
      <c r="AT4112" s="2" t="s">
        <v>12929</v>
      </c>
      <c r="AU4112" s="2"/>
      <c r="AV4112" s="2">
        <v>2</v>
      </c>
      <c r="AW4112" s="2"/>
      <c r="AX4112" s="2"/>
      <c r="AY4112" s="2">
        <v>41</v>
      </c>
      <c r="AZ4112" s="2" t="s">
        <v>82</v>
      </c>
      <c r="BA4112" s="2">
        <v>6</v>
      </c>
      <c r="BB4112" s="2" t="s">
        <v>616</v>
      </c>
      <c r="BC4112" s="2">
        <v>1</v>
      </c>
      <c r="BD4112" s="2" t="s">
        <v>107</v>
      </c>
      <c r="BE4112" s="2">
        <v>6</v>
      </c>
      <c r="BF4112" s="2" t="s">
        <v>616</v>
      </c>
      <c r="BG4112" s="2" t="s">
        <v>1599</v>
      </c>
      <c r="BH4112" s="2"/>
      <c r="BI4112" s="4">
        <v>0.9375</v>
      </c>
      <c r="BJ4112" s="2">
        <v>13</v>
      </c>
      <c r="BK4112" s="2" t="s">
        <v>91</v>
      </c>
      <c r="BL4112" s="2" t="s">
        <v>360</v>
      </c>
      <c r="BM4112" s="2">
        <v>4</v>
      </c>
      <c r="BN4112" s="2" t="s">
        <v>618</v>
      </c>
      <c r="BO4112" s="2"/>
      <c r="BP4112" s="2">
        <v>4</v>
      </c>
      <c r="BQ4112" s="2" t="s">
        <v>618</v>
      </c>
      <c r="BR4112" s="2" t="s">
        <v>619</v>
      </c>
      <c r="BS4112" s="3">
        <v>40458</v>
      </c>
      <c r="BT4112" s="4">
        <v>0.57153935185185178</v>
      </c>
    </row>
    <row r="4113" spans="1:72" x14ac:dyDescent="0.25">
      <c r="A4113" s="2">
        <v>6187</v>
      </c>
      <c r="B4113" s="2">
        <v>2010</v>
      </c>
      <c r="C4113" s="2" t="s">
        <v>72</v>
      </c>
      <c r="D4113" s="2" t="s">
        <v>73</v>
      </c>
      <c r="E4113" s="2"/>
      <c r="F4113" s="2">
        <v>389</v>
      </c>
      <c r="G4113" s="2" t="s">
        <v>1819</v>
      </c>
      <c r="H4113" s="2">
        <v>2</v>
      </c>
      <c r="I4113" s="2" t="s">
        <v>267</v>
      </c>
      <c r="J4113" s="2">
        <v>399</v>
      </c>
      <c r="K4113" s="2" t="s">
        <v>1820</v>
      </c>
      <c r="L4113" s="2" t="s">
        <v>1821</v>
      </c>
      <c r="M4113" s="3">
        <v>40458</v>
      </c>
      <c r="N4113" s="2" t="s">
        <v>5980</v>
      </c>
      <c r="O4113" s="2"/>
      <c r="P4113" s="2"/>
      <c r="Q4113" s="2" t="str">
        <f>"517-E/10"</f>
        <v>517-E/10</v>
      </c>
      <c r="R4113" s="2" t="s">
        <v>480</v>
      </c>
      <c r="S4113" s="2" t="s">
        <v>480</v>
      </c>
      <c r="T4113" s="2">
        <v>1</v>
      </c>
      <c r="U4113" s="2" t="s">
        <v>79</v>
      </c>
      <c r="V4113" s="2">
        <v>1</v>
      </c>
      <c r="W4113" s="2" t="s">
        <v>80</v>
      </c>
      <c r="X4113" s="2">
        <v>1</v>
      </c>
      <c r="Y4113" s="2" t="s">
        <v>81</v>
      </c>
      <c r="Z4113" s="2">
        <v>1</v>
      </c>
      <c r="AA4113" s="2" t="s">
        <v>82</v>
      </c>
      <c r="AB4113" s="2">
        <v>6</v>
      </c>
      <c r="AC4113" s="2" t="s">
        <v>83</v>
      </c>
      <c r="AD4113" s="3">
        <v>40458</v>
      </c>
      <c r="AE4113" s="4">
        <v>4.1666666666666664E-2</v>
      </c>
      <c r="AF4113" s="3">
        <v>40458</v>
      </c>
      <c r="AG4113" s="4">
        <v>0.12708333333333333</v>
      </c>
      <c r="AH4113" s="2">
        <v>2</v>
      </c>
      <c r="AI4113" s="2" t="s">
        <v>84</v>
      </c>
      <c r="AJ4113" s="2">
        <v>9</v>
      </c>
      <c r="AK4113" s="2" t="s">
        <v>103</v>
      </c>
      <c r="AL4113" s="2">
        <v>10</v>
      </c>
      <c r="AM4113" s="2" t="s">
        <v>200</v>
      </c>
      <c r="AN4113" s="2"/>
      <c r="AO4113" s="2" t="s">
        <v>12930</v>
      </c>
      <c r="AP4113" s="2">
        <v>11</v>
      </c>
      <c r="AQ4113" s="2" t="s">
        <v>82</v>
      </c>
      <c r="AR4113" s="2"/>
      <c r="AS4113" s="2"/>
      <c r="AT4113" s="2" t="s">
        <v>12931</v>
      </c>
      <c r="AU4113" s="2"/>
      <c r="AV4113" s="2"/>
      <c r="AW4113" s="2"/>
      <c r="AX4113" s="2"/>
      <c r="AY4113" s="2">
        <v>11</v>
      </c>
      <c r="AZ4113" s="2" t="s">
        <v>2404</v>
      </c>
      <c r="BA4113" s="2">
        <v>41</v>
      </c>
      <c r="BB4113" s="2" t="s">
        <v>82</v>
      </c>
      <c r="BC4113" s="2">
        <v>41</v>
      </c>
      <c r="BD4113" s="2" t="s">
        <v>82</v>
      </c>
      <c r="BE4113" s="2">
        <v>41</v>
      </c>
      <c r="BF4113" s="2" t="s">
        <v>82</v>
      </c>
      <c r="BG4113" s="2"/>
      <c r="BH4113" s="2"/>
      <c r="BI4113" s="2"/>
      <c r="BJ4113" s="2">
        <v>241</v>
      </c>
      <c r="BK4113" s="2" t="s">
        <v>82</v>
      </c>
      <c r="BL4113" s="2"/>
      <c r="BM4113" s="2">
        <v>241</v>
      </c>
      <c r="BN4113" s="2" t="s">
        <v>82</v>
      </c>
      <c r="BO4113" s="2"/>
      <c r="BP4113" s="2">
        <v>241</v>
      </c>
      <c r="BQ4113" s="2" t="s">
        <v>82</v>
      </c>
      <c r="BR4113" s="2"/>
      <c r="BS4113" s="3">
        <v>40458</v>
      </c>
      <c r="BT4113" s="4">
        <v>0.57476851851851851</v>
      </c>
    </row>
    <row r="4114" spans="1:72" x14ac:dyDescent="0.25">
      <c r="A4114" s="2">
        <v>6189</v>
      </c>
      <c r="B4114" s="2">
        <v>2010</v>
      </c>
      <c r="C4114" s="2" t="s">
        <v>72</v>
      </c>
      <c r="D4114" s="2" t="s">
        <v>73</v>
      </c>
      <c r="E4114" s="2"/>
      <c r="F4114" s="2">
        <v>685</v>
      </c>
      <c r="G4114" s="2" t="s">
        <v>12932</v>
      </c>
      <c r="H4114" s="2">
        <v>22</v>
      </c>
      <c r="I4114" s="2" t="s">
        <v>75</v>
      </c>
      <c r="J4114" s="2">
        <v>674</v>
      </c>
      <c r="K4114" s="2" t="s">
        <v>12821</v>
      </c>
      <c r="L4114" s="2" t="s">
        <v>12822</v>
      </c>
      <c r="M4114" s="3">
        <v>40458</v>
      </c>
      <c r="N4114" s="2" t="s">
        <v>12865</v>
      </c>
      <c r="O4114" s="2"/>
      <c r="P4114" s="2"/>
      <c r="Q4114" s="2" t="str">
        <f>"395-A/10"</f>
        <v>395-A/10</v>
      </c>
      <c r="R4114" s="2" t="s">
        <v>78</v>
      </c>
      <c r="S4114" s="2" t="s">
        <v>78</v>
      </c>
      <c r="T4114" s="2">
        <v>1</v>
      </c>
      <c r="U4114" s="2" t="s">
        <v>79</v>
      </c>
      <c r="V4114" s="2">
        <v>1</v>
      </c>
      <c r="W4114" s="2" t="s">
        <v>80</v>
      </c>
      <c r="X4114" s="2">
        <v>12</v>
      </c>
      <c r="Y4114" s="2" t="s">
        <v>148</v>
      </c>
      <c r="Z4114" s="2">
        <v>1</v>
      </c>
      <c r="AA4114" s="2" t="s">
        <v>82</v>
      </c>
      <c r="AB4114" s="2">
        <v>6</v>
      </c>
      <c r="AC4114" s="2" t="s">
        <v>83</v>
      </c>
      <c r="AD4114" s="3">
        <v>40458</v>
      </c>
      <c r="AE4114" s="2"/>
      <c r="AF4114" s="3">
        <v>40458</v>
      </c>
      <c r="AG4114" s="4">
        <v>0.35416666666666669</v>
      </c>
      <c r="AH4114" s="2">
        <v>2</v>
      </c>
      <c r="AI4114" s="2" t="s">
        <v>84</v>
      </c>
      <c r="AJ4114" s="2">
        <v>12</v>
      </c>
      <c r="AK4114" s="2" t="s">
        <v>85</v>
      </c>
      <c r="AL4114" s="2">
        <v>12</v>
      </c>
      <c r="AM4114" s="2" t="s">
        <v>86</v>
      </c>
      <c r="AN4114" s="2" t="s">
        <v>12933</v>
      </c>
      <c r="AO4114" s="2" t="s">
        <v>9991</v>
      </c>
      <c r="AP4114" s="2">
        <v>11</v>
      </c>
      <c r="AQ4114" s="2" t="s">
        <v>82</v>
      </c>
      <c r="AR4114" s="2"/>
      <c r="AS4114" s="2"/>
      <c r="AT4114" s="2" t="s">
        <v>12934</v>
      </c>
      <c r="AU4114" s="2"/>
      <c r="AV4114" s="2"/>
      <c r="AW4114" s="2"/>
      <c r="AX4114" s="2"/>
      <c r="AY4114" s="2">
        <v>41</v>
      </c>
      <c r="AZ4114" s="2" t="s">
        <v>82</v>
      </c>
      <c r="BA4114" s="2">
        <v>41</v>
      </c>
      <c r="BB4114" s="2" t="s">
        <v>82</v>
      </c>
      <c r="BC4114" s="2">
        <v>41</v>
      </c>
      <c r="BD4114" s="2" t="s">
        <v>82</v>
      </c>
      <c r="BE4114" s="2">
        <v>41</v>
      </c>
      <c r="BF4114" s="2" t="s">
        <v>82</v>
      </c>
      <c r="BG4114" s="2"/>
      <c r="BH4114" s="2"/>
      <c r="BI4114" s="2"/>
      <c r="BJ4114" s="2">
        <v>241</v>
      </c>
      <c r="BK4114" s="2" t="s">
        <v>82</v>
      </c>
      <c r="BL4114" s="2"/>
      <c r="BM4114" s="2">
        <v>241</v>
      </c>
      <c r="BN4114" s="2" t="s">
        <v>82</v>
      </c>
      <c r="BO4114" s="2"/>
      <c r="BP4114" s="2">
        <v>241</v>
      </c>
      <c r="BQ4114" s="2" t="s">
        <v>82</v>
      </c>
      <c r="BR4114" s="2"/>
      <c r="BS4114" s="3">
        <v>40458</v>
      </c>
      <c r="BT4114" s="4">
        <v>0.58760416666666659</v>
      </c>
    </row>
    <row r="4115" spans="1:72" x14ac:dyDescent="0.25">
      <c r="A4115" s="2">
        <v>6191</v>
      </c>
      <c r="B4115" s="2">
        <v>2010</v>
      </c>
      <c r="C4115" s="2" t="s">
        <v>377</v>
      </c>
      <c r="D4115" s="2" t="s">
        <v>73</v>
      </c>
      <c r="E4115" s="2"/>
      <c r="F4115" s="2">
        <v>426</v>
      </c>
      <c r="G4115" s="2" t="s">
        <v>378</v>
      </c>
      <c r="H4115" s="2">
        <v>1</v>
      </c>
      <c r="I4115" s="2" t="s">
        <v>82</v>
      </c>
      <c r="J4115" s="2">
        <v>311</v>
      </c>
      <c r="K4115" s="2" t="s">
        <v>379</v>
      </c>
      <c r="L4115" s="2" t="s">
        <v>380</v>
      </c>
      <c r="M4115" s="3">
        <v>40458</v>
      </c>
      <c r="N4115" s="2" t="s">
        <v>4007</v>
      </c>
      <c r="O4115" s="2"/>
      <c r="P4115" s="2"/>
      <c r="Q4115" s="2" t="str">
        <f>"264-C/10"</f>
        <v>264-C/10</v>
      </c>
      <c r="R4115" s="2"/>
      <c r="S4115" s="2" t="s">
        <v>12935</v>
      </c>
      <c r="T4115" s="2">
        <v>1</v>
      </c>
      <c r="U4115" s="2" t="s">
        <v>79</v>
      </c>
      <c r="V4115" s="2">
        <v>1</v>
      </c>
      <c r="W4115" s="2" t="s">
        <v>80</v>
      </c>
      <c r="X4115" s="2">
        <v>1</v>
      </c>
      <c r="Y4115" s="2" t="s">
        <v>81</v>
      </c>
      <c r="Z4115" s="2">
        <v>1</v>
      </c>
      <c r="AA4115" s="2" t="s">
        <v>82</v>
      </c>
      <c r="AB4115" s="2">
        <v>9</v>
      </c>
      <c r="AC4115" s="2" t="s">
        <v>124</v>
      </c>
      <c r="AD4115" s="3">
        <v>40457</v>
      </c>
      <c r="AE4115" s="4">
        <v>0.99652777777777779</v>
      </c>
      <c r="AF4115" s="2"/>
      <c r="AG4115" s="2"/>
      <c r="AH4115" s="2">
        <v>2</v>
      </c>
      <c r="AI4115" s="2" t="s">
        <v>84</v>
      </c>
      <c r="AJ4115" s="2">
        <v>9</v>
      </c>
      <c r="AK4115" s="2" t="s">
        <v>103</v>
      </c>
      <c r="AL4115" s="2">
        <v>29</v>
      </c>
      <c r="AM4115" s="2" t="s">
        <v>5416</v>
      </c>
      <c r="AN4115" s="2" t="s">
        <v>12936</v>
      </c>
      <c r="AO4115" s="2" t="s">
        <v>8942</v>
      </c>
      <c r="AP4115" s="2">
        <v>11</v>
      </c>
      <c r="AQ4115" s="2" t="s">
        <v>82</v>
      </c>
      <c r="AR4115" s="2"/>
      <c r="AS4115" s="2"/>
      <c r="AT4115" s="2" t="s">
        <v>12937</v>
      </c>
      <c r="AU4115" s="2"/>
      <c r="AV4115" s="2"/>
      <c r="AW4115" s="2"/>
      <c r="AX4115" s="2"/>
      <c r="AY4115" s="2">
        <v>41</v>
      </c>
      <c r="AZ4115" s="2" t="s">
        <v>82</v>
      </c>
      <c r="BA4115" s="2">
        <v>41</v>
      </c>
      <c r="BB4115" s="2" t="s">
        <v>82</v>
      </c>
      <c r="BC4115" s="2">
        <v>41</v>
      </c>
      <c r="BD4115" s="2" t="s">
        <v>82</v>
      </c>
      <c r="BE4115" s="2">
        <v>41</v>
      </c>
      <c r="BF4115" s="2" t="s">
        <v>82</v>
      </c>
      <c r="BG4115" s="2"/>
      <c r="BH4115" s="2"/>
      <c r="BI4115" s="2"/>
      <c r="BJ4115" s="2">
        <v>241</v>
      </c>
      <c r="BK4115" s="2" t="s">
        <v>82</v>
      </c>
      <c r="BL4115" s="2"/>
      <c r="BM4115" s="2">
        <v>241</v>
      </c>
      <c r="BN4115" s="2" t="s">
        <v>82</v>
      </c>
      <c r="BO4115" s="2"/>
      <c r="BP4115" s="2">
        <v>241</v>
      </c>
      <c r="BQ4115" s="2" t="s">
        <v>82</v>
      </c>
      <c r="BR4115" s="2"/>
      <c r="BS4115" s="3">
        <v>40458</v>
      </c>
      <c r="BT4115" s="4">
        <v>0.6071643518518518</v>
      </c>
    </row>
    <row r="4116" spans="1:72" x14ac:dyDescent="0.25">
      <c r="A4116" s="2">
        <v>6192</v>
      </c>
      <c r="B4116" s="2">
        <v>2010</v>
      </c>
      <c r="C4116" s="2" t="s">
        <v>171</v>
      </c>
      <c r="D4116" s="2" t="s">
        <v>73</v>
      </c>
      <c r="E4116" s="2"/>
      <c r="F4116" s="2">
        <v>229</v>
      </c>
      <c r="G4116" s="2" t="s">
        <v>2244</v>
      </c>
      <c r="H4116" s="2">
        <v>9</v>
      </c>
      <c r="I4116" s="2" t="s">
        <v>794</v>
      </c>
      <c r="J4116" s="2">
        <v>243</v>
      </c>
      <c r="K4116" s="2" t="s">
        <v>2160</v>
      </c>
      <c r="L4116" s="2" t="s">
        <v>2145</v>
      </c>
      <c r="M4116" s="3">
        <v>40458</v>
      </c>
      <c r="N4116" s="2" t="s">
        <v>12938</v>
      </c>
      <c r="O4116" s="2" t="s">
        <v>12939</v>
      </c>
      <c r="P4116" s="7">
        <v>13134</v>
      </c>
      <c r="Q4116" s="2" t="str">
        <f>"07/10"</f>
        <v>07/10</v>
      </c>
      <c r="R4116" s="2" t="s">
        <v>12940</v>
      </c>
      <c r="S4116" s="2"/>
      <c r="T4116" s="2">
        <v>1</v>
      </c>
      <c r="U4116" s="2" t="s">
        <v>79</v>
      </c>
      <c r="V4116" s="2">
        <v>3</v>
      </c>
      <c r="W4116" s="2" t="s">
        <v>225</v>
      </c>
      <c r="X4116" s="2">
        <v>6</v>
      </c>
      <c r="Y4116" s="2" t="s">
        <v>249</v>
      </c>
      <c r="Z4116" s="2">
        <v>1</v>
      </c>
      <c r="AA4116" s="2" t="s">
        <v>82</v>
      </c>
      <c r="AB4116" s="2">
        <v>9</v>
      </c>
      <c r="AC4116" s="2" t="s">
        <v>124</v>
      </c>
      <c r="AD4116" s="3">
        <v>40458</v>
      </c>
      <c r="AE4116" s="4">
        <v>0.41666666666666669</v>
      </c>
      <c r="AF4116" s="3">
        <v>40456</v>
      </c>
      <c r="AG4116" s="4">
        <v>0.45833333333333331</v>
      </c>
      <c r="AH4116" s="2">
        <v>7</v>
      </c>
      <c r="AI4116" s="2" t="s">
        <v>801</v>
      </c>
      <c r="AJ4116" s="2">
        <v>3</v>
      </c>
      <c r="AK4116" s="2" t="s">
        <v>802</v>
      </c>
      <c r="AL4116" s="2">
        <v>25</v>
      </c>
      <c r="AM4116" s="2" t="s">
        <v>3073</v>
      </c>
      <c r="AN4116" s="2" t="s">
        <v>12941</v>
      </c>
      <c r="AO4116" s="2" t="s">
        <v>12942</v>
      </c>
      <c r="AP4116" s="2">
        <v>11</v>
      </c>
      <c r="AQ4116" s="2" t="s">
        <v>82</v>
      </c>
      <c r="AR4116" s="2"/>
      <c r="AS4116" s="2"/>
      <c r="AT4116" s="2" t="s">
        <v>12943</v>
      </c>
      <c r="AU4116" s="2"/>
      <c r="AV4116" s="2"/>
      <c r="AW4116" s="2"/>
      <c r="AX4116" s="2"/>
      <c r="AY4116" s="2">
        <v>41</v>
      </c>
      <c r="AZ4116" s="2" t="s">
        <v>82</v>
      </c>
      <c r="BA4116" s="2">
        <v>41</v>
      </c>
      <c r="BB4116" s="2" t="s">
        <v>82</v>
      </c>
      <c r="BC4116" s="2">
        <v>41</v>
      </c>
      <c r="BD4116" s="2" t="s">
        <v>82</v>
      </c>
      <c r="BE4116" s="2">
        <v>41</v>
      </c>
      <c r="BF4116" s="2" t="s">
        <v>82</v>
      </c>
      <c r="BG4116" s="2"/>
      <c r="BH4116" s="2"/>
      <c r="BI4116" s="2"/>
      <c r="BJ4116" s="2">
        <v>241</v>
      </c>
      <c r="BK4116" s="2" t="s">
        <v>82</v>
      </c>
      <c r="BL4116" s="2"/>
      <c r="BM4116" s="2">
        <v>241</v>
      </c>
      <c r="BN4116" s="2" t="s">
        <v>82</v>
      </c>
      <c r="BO4116" s="2"/>
      <c r="BP4116" s="2">
        <v>241</v>
      </c>
      <c r="BQ4116" s="2" t="s">
        <v>82</v>
      </c>
      <c r="BR4116" s="2"/>
      <c r="BS4116" s="3">
        <v>40458</v>
      </c>
      <c r="BT4116" s="4">
        <v>0.63732638888888882</v>
      </c>
    </row>
    <row r="4117" spans="1:72" x14ac:dyDescent="0.25">
      <c r="A4117" s="2">
        <v>6195</v>
      </c>
      <c r="B4117" s="2">
        <v>2010</v>
      </c>
      <c r="C4117" s="2" t="s">
        <v>128</v>
      </c>
      <c r="D4117" s="2" t="s">
        <v>122</v>
      </c>
      <c r="E4117" s="2"/>
      <c r="F4117" s="2">
        <v>533</v>
      </c>
      <c r="G4117" s="2" t="s">
        <v>3397</v>
      </c>
      <c r="H4117" s="2">
        <v>2</v>
      </c>
      <c r="I4117" s="2" t="s">
        <v>267</v>
      </c>
      <c r="J4117" s="2">
        <v>462</v>
      </c>
      <c r="K4117" s="2" t="s">
        <v>3398</v>
      </c>
      <c r="L4117" s="2" t="s">
        <v>3399</v>
      </c>
      <c r="M4117" s="3">
        <v>40458</v>
      </c>
      <c r="N4117" s="2" t="s">
        <v>6383</v>
      </c>
      <c r="O4117" s="2"/>
      <c r="P4117" s="2"/>
      <c r="Q4117" s="2" t="str">
        <f>""</f>
        <v/>
      </c>
      <c r="R4117" s="2"/>
      <c r="S4117" s="2"/>
      <c r="T4117" s="2">
        <v>1</v>
      </c>
      <c r="U4117" s="2" t="s">
        <v>79</v>
      </c>
      <c r="V4117" s="2">
        <v>1</v>
      </c>
      <c r="W4117" s="2" t="s">
        <v>80</v>
      </c>
      <c r="X4117" s="2">
        <v>12</v>
      </c>
      <c r="Y4117" s="2" t="s">
        <v>148</v>
      </c>
      <c r="Z4117" s="2">
        <v>1</v>
      </c>
      <c r="AA4117" s="2" t="s">
        <v>82</v>
      </c>
      <c r="AB4117" s="2">
        <v>9</v>
      </c>
      <c r="AC4117" s="2" t="s">
        <v>124</v>
      </c>
      <c r="AD4117" s="2"/>
      <c r="AE4117" s="2"/>
      <c r="AF4117" s="3">
        <v>40458</v>
      </c>
      <c r="AG4117" s="4">
        <v>0.53472222222222221</v>
      </c>
      <c r="AH4117" s="2">
        <v>5</v>
      </c>
      <c r="AI4117" s="2" t="s">
        <v>274</v>
      </c>
      <c r="AJ4117" s="2">
        <v>38</v>
      </c>
      <c r="AK4117" s="2" t="s">
        <v>1120</v>
      </c>
      <c r="AL4117" s="2">
        <v>19</v>
      </c>
      <c r="AM4117" s="2" t="s">
        <v>107</v>
      </c>
      <c r="AN4117" s="2"/>
      <c r="AO4117" s="2"/>
      <c r="AP4117" s="2">
        <v>11</v>
      </c>
      <c r="AQ4117" s="2" t="s">
        <v>82</v>
      </c>
      <c r="AR4117" s="2"/>
      <c r="AS4117" s="2"/>
      <c r="AT4117" s="2" t="s">
        <v>12944</v>
      </c>
      <c r="AU4117" s="2"/>
      <c r="AV4117" s="2"/>
      <c r="AW4117" s="2"/>
      <c r="AX4117" s="2"/>
      <c r="AY4117" s="2">
        <v>41</v>
      </c>
      <c r="AZ4117" s="2" t="s">
        <v>82</v>
      </c>
      <c r="BA4117" s="2">
        <v>41</v>
      </c>
      <c r="BB4117" s="2" t="s">
        <v>82</v>
      </c>
      <c r="BC4117" s="2">
        <v>41</v>
      </c>
      <c r="BD4117" s="2" t="s">
        <v>82</v>
      </c>
      <c r="BE4117" s="2">
        <v>4</v>
      </c>
      <c r="BF4117" s="2" t="s">
        <v>90</v>
      </c>
      <c r="BG4117" s="2">
        <v>4025</v>
      </c>
      <c r="BH4117" s="4">
        <v>0.59375</v>
      </c>
      <c r="BI4117" s="4">
        <v>0.62152777777777779</v>
      </c>
      <c r="BJ4117" s="2">
        <v>13</v>
      </c>
      <c r="BK4117" s="2" t="s">
        <v>91</v>
      </c>
      <c r="BL4117" s="2" t="s">
        <v>12945</v>
      </c>
      <c r="BM4117" s="2">
        <v>241</v>
      </c>
      <c r="BN4117" s="2" t="s">
        <v>82</v>
      </c>
      <c r="BO4117" s="2"/>
      <c r="BP4117" s="2">
        <v>13</v>
      </c>
      <c r="BQ4117" s="2" t="s">
        <v>91</v>
      </c>
      <c r="BR4117" s="2" t="s">
        <v>170</v>
      </c>
      <c r="BS4117" s="3">
        <v>40458</v>
      </c>
      <c r="BT4117" s="4">
        <v>0.68812499999999999</v>
      </c>
    </row>
    <row r="4118" spans="1:72" x14ac:dyDescent="0.25">
      <c r="A4118" s="2">
        <v>6196</v>
      </c>
      <c r="B4118" s="2">
        <v>2010</v>
      </c>
      <c r="C4118" s="2" t="s">
        <v>147</v>
      </c>
      <c r="D4118" s="2" t="s">
        <v>73</v>
      </c>
      <c r="E4118" s="2"/>
      <c r="F4118" s="2">
        <v>1</v>
      </c>
      <c r="G4118" s="2" t="s">
        <v>82</v>
      </c>
      <c r="H4118" s="2">
        <v>1</v>
      </c>
      <c r="I4118" s="2" t="s">
        <v>82</v>
      </c>
      <c r="J4118" s="2">
        <v>1</v>
      </c>
      <c r="K4118" s="2" t="s">
        <v>107</v>
      </c>
      <c r="L4118" s="2" t="s">
        <v>107</v>
      </c>
      <c r="M4118" s="3">
        <v>40458</v>
      </c>
      <c r="N4118" s="2" t="s">
        <v>82</v>
      </c>
      <c r="O4118" s="2" t="s">
        <v>82</v>
      </c>
      <c r="P4118" s="2"/>
      <c r="Q4118" s="2" t="str">
        <f>"AP-0056/10"</f>
        <v>AP-0056/10</v>
      </c>
      <c r="R4118" s="2" t="s">
        <v>12946</v>
      </c>
      <c r="S4118" s="2" t="s">
        <v>82</v>
      </c>
      <c r="T4118" s="2">
        <v>2</v>
      </c>
      <c r="U4118" s="2" t="s">
        <v>123</v>
      </c>
      <c r="V4118" s="2">
        <v>1</v>
      </c>
      <c r="W4118" s="2" t="s">
        <v>80</v>
      </c>
      <c r="X4118" s="2">
        <v>12</v>
      </c>
      <c r="Y4118" s="2" t="s">
        <v>148</v>
      </c>
      <c r="Z4118" s="2">
        <v>1</v>
      </c>
      <c r="AA4118" s="2" t="s">
        <v>82</v>
      </c>
      <c r="AB4118" s="2">
        <v>9</v>
      </c>
      <c r="AC4118" s="2" t="s">
        <v>124</v>
      </c>
      <c r="AD4118" s="2"/>
      <c r="AE4118" s="2"/>
      <c r="AF4118" s="3">
        <v>40458</v>
      </c>
      <c r="AG4118" s="4">
        <v>0.71180555555555547</v>
      </c>
      <c r="AH4118" s="2">
        <v>6</v>
      </c>
      <c r="AI4118" s="2" t="s">
        <v>197</v>
      </c>
      <c r="AJ4118" s="2">
        <v>61</v>
      </c>
      <c r="AK4118" s="2" t="s">
        <v>686</v>
      </c>
      <c r="AL4118" s="2">
        <v>19</v>
      </c>
      <c r="AM4118" s="2" t="s">
        <v>107</v>
      </c>
      <c r="AN4118" s="2" t="s">
        <v>82</v>
      </c>
      <c r="AO4118" s="2" t="s">
        <v>82</v>
      </c>
      <c r="AP4118" s="2">
        <v>11</v>
      </c>
      <c r="AQ4118" s="2" t="s">
        <v>82</v>
      </c>
      <c r="AR4118" s="2" t="s">
        <v>82</v>
      </c>
      <c r="AS4118" s="2" t="s">
        <v>82</v>
      </c>
      <c r="AT4118" s="2" t="s">
        <v>12947</v>
      </c>
      <c r="AU4118" s="2"/>
      <c r="AV4118" s="2"/>
      <c r="AW4118" s="2"/>
      <c r="AX4118" s="2"/>
      <c r="AY4118" s="2">
        <v>41</v>
      </c>
      <c r="AZ4118" s="2" t="s">
        <v>82</v>
      </c>
      <c r="BA4118" s="2">
        <v>41</v>
      </c>
      <c r="BB4118" s="2" t="s">
        <v>82</v>
      </c>
      <c r="BC4118" s="2">
        <v>41</v>
      </c>
      <c r="BD4118" s="2" t="s">
        <v>82</v>
      </c>
      <c r="BE4118" s="2">
        <v>41</v>
      </c>
      <c r="BF4118" s="2" t="s">
        <v>82</v>
      </c>
      <c r="BG4118" s="2" t="s">
        <v>82</v>
      </c>
      <c r="BH4118" s="2"/>
      <c r="BI4118" s="2"/>
      <c r="BJ4118" s="2">
        <v>241</v>
      </c>
      <c r="BK4118" s="2" t="s">
        <v>82</v>
      </c>
      <c r="BL4118" s="2" t="s">
        <v>82</v>
      </c>
      <c r="BM4118" s="2">
        <v>241</v>
      </c>
      <c r="BN4118" s="2" t="s">
        <v>82</v>
      </c>
      <c r="BO4118" s="2"/>
      <c r="BP4118" s="2">
        <v>241</v>
      </c>
      <c r="BQ4118" s="2" t="s">
        <v>82</v>
      </c>
      <c r="BR4118" s="2" t="s">
        <v>82</v>
      </c>
      <c r="BS4118" s="3">
        <v>40458</v>
      </c>
      <c r="BT4118" s="4">
        <v>0.74486111111111108</v>
      </c>
    </row>
    <row r="4119" spans="1:72" x14ac:dyDescent="0.25">
      <c r="A4119" s="2">
        <v>6197</v>
      </c>
      <c r="B4119" s="2">
        <v>2010</v>
      </c>
      <c r="C4119" s="2" t="s">
        <v>147</v>
      </c>
      <c r="D4119" s="2" t="s">
        <v>73</v>
      </c>
      <c r="E4119" s="2"/>
      <c r="F4119" s="2">
        <v>1</v>
      </c>
      <c r="G4119" s="2" t="s">
        <v>82</v>
      </c>
      <c r="H4119" s="2">
        <v>1</v>
      </c>
      <c r="I4119" s="2" t="s">
        <v>82</v>
      </c>
      <c r="J4119" s="2">
        <v>1</v>
      </c>
      <c r="K4119" s="2" t="s">
        <v>107</v>
      </c>
      <c r="L4119" s="2" t="s">
        <v>107</v>
      </c>
      <c r="M4119" s="3">
        <v>40458</v>
      </c>
      <c r="N4119" s="2" t="s">
        <v>82</v>
      </c>
      <c r="O4119" s="2" t="s">
        <v>82</v>
      </c>
      <c r="P4119" s="2" t="s">
        <v>82</v>
      </c>
      <c r="Q4119" s="2" t="str">
        <f>"GDE_AP_0057_10"</f>
        <v>GDE_AP_0057_10</v>
      </c>
      <c r="R4119" s="2" t="s">
        <v>12948</v>
      </c>
      <c r="S4119" s="2" t="s">
        <v>82</v>
      </c>
      <c r="T4119" s="2">
        <v>2</v>
      </c>
      <c r="U4119" s="2" t="s">
        <v>123</v>
      </c>
      <c r="V4119" s="2">
        <v>1</v>
      </c>
      <c r="W4119" s="2" t="s">
        <v>80</v>
      </c>
      <c r="X4119" s="2">
        <v>12</v>
      </c>
      <c r="Y4119" s="2" t="s">
        <v>148</v>
      </c>
      <c r="Z4119" s="2">
        <v>1</v>
      </c>
      <c r="AA4119" s="2" t="s">
        <v>82</v>
      </c>
      <c r="AB4119" s="2">
        <v>9</v>
      </c>
      <c r="AC4119" s="2" t="s">
        <v>124</v>
      </c>
      <c r="AD4119" s="2"/>
      <c r="AE4119" s="2"/>
      <c r="AF4119" s="3">
        <v>40458</v>
      </c>
      <c r="AG4119" s="4">
        <v>0.75</v>
      </c>
      <c r="AH4119" s="2">
        <v>6</v>
      </c>
      <c r="AI4119" s="2" t="s">
        <v>197</v>
      </c>
      <c r="AJ4119" s="2">
        <v>61</v>
      </c>
      <c r="AK4119" s="2" t="s">
        <v>686</v>
      </c>
      <c r="AL4119" s="2">
        <v>19</v>
      </c>
      <c r="AM4119" s="2" t="s">
        <v>107</v>
      </c>
      <c r="AN4119" s="2" t="s">
        <v>82</v>
      </c>
      <c r="AO4119" s="2" t="s">
        <v>82</v>
      </c>
      <c r="AP4119" s="2">
        <v>11</v>
      </c>
      <c r="AQ4119" s="2" t="s">
        <v>82</v>
      </c>
      <c r="AR4119" s="2" t="s">
        <v>82</v>
      </c>
      <c r="AS4119" s="2" t="s">
        <v>82</v>
      </c>
      <c r="AT4119" s="2" t="s">
        <v>12949</v>
      </c>
      <c r="AU4119" s="2"/>
      <c r="AV4119" s="2"/>
      <c r="AW4119" s="2"/>
      <c r="AX4119" s="2"/>
      <c r="AY4119" s="2">
        <v>41</v>
      </c>
      <c r="AZ4119" s="2" t="s">
        <v>82</v>
      </c>
      <c r="BA4119" s="2">
        <v>41</v>
      </c>
      <c r="BB4119" s="2" t="s">
        <v>82</v>
      </c>
      <c r="BC4119" s="2">
        <v>41</v>
      </c>
      <c r="BD4119" s="2" t="s">
        <v>82</v>
      </c>
      <c r="BE4119" s="2">
        <v>41</v>
      </c>
      <c r="BF4119" s="2" t="s">
        <v>82</v>
      </c>
      <c r="BG4119" s="2" t="s">
        <v>82</v>
      </c>
      <c r="BH4119" s="2"/>
      <c r="BI4119" s="2"/>
      <c r="BJ4119" s="2">
        <v>241</v>
      </c>
      <c r="BK4119" s="2" t="s">
        <v>82</v>
      </c>
      <c r="BL4119" s="2" t="s">
        <v>82</v>
      </c>
      <c r="BM4119" s="2">
        <v>241</v>
      </c>
      <c r="BN4119" s="2" t="s">
        <v>82</v>
      </c>
      <c r="BO4119" s="2"/>
      <c r="BP4119" s="2">
        <v>241</v>
      </c>
      <c r="BQ4119" s="2" t="s">
        <v>82</v>
      </c>
      <c r="BR4119" s="2" t="s">
        <v>82</v>
      </c>
      <c r="BS4119" s="3">
        <v>40458</v>
      </c>
      <c r="BT4119" s="4">
        <v>0.77749999999999997</v>
      </c>
    </row>
    <row r="4120" spans="1:72" x14ac:dyDescent="0.25">
      <c r="A4120" s="2">
        <v>6199</v>
      </c>
      <c r="B4120" s="2">
        <v>2010</v>
      </c>
      <c r="C4120" s="2" t="s">
        <v>72</v>
      </c>
      <c r="D4120" s="2" t="s">
        <v>73</v>
      </c>
      <c r="E4120" s="2"/>
      <c r="F4120" s="2">
        <v>2</v>
      </c>
      <c r="G4120" s="2" t="s">
        <v>113</v>
      </c>
      <c r="H4120" s="2">
        <v>22</v>
      </c>
      <c r="I4120" s="2" t="s">
        <v>75</v>
      </c>
      <c r="J4120" s="2">
        <v>300</v>
      </c>
      <c r="K4120" s="2" t="s">
        <v>114</v>
      </c>
      <c r="L4120" s="2" t="s">
        <v>115</v>
      </c>
      <c r="M4120" s="3">
        <v>40458</v>
      </c>
      <c r="N4120" s="2" t="s">
        <v>12950</v>
      </c>
      <c r="O4120" s="2"/>
      <c r="P4120" s="2"/>
      <c r="Q4120" s="2" t="str">
        <f>"518-E/10"</f>
        <v>518-E/10</v>
      </c>
      <c r="R4120" s="2" t="s">
        <v>480</v>
      </c>
      <c r="S4120" s="2" t="s">
        <v>480</v>
      </c>
      <c r="T4120" s="2">
        <v>1</v>
      </c>
      <c r="U4120" s="2" t="s">
        <v>79</v>
      </c>
      <c r="V4120" s="2">
        <v>1</v>
      </c>
      <c r="W4120" s="2" t="s">
        <v>80</v>
      </c>
      <c r="X4120" s="2">
        <v>1</v>
      </c>
      <c r="Y4120" s="2" t="s">
        <v>81</v>
      </c>
      <c r="Z4120" s="2">
        <v>1</v>
      </c>
      <c r="AA4120" s="2" t="s">
        <v>82</v>
      </c>
      <c r="AB4120" s="2">
        <v>6</v>
      </c>
      <c r="AC4120" s="2" t="s">
        <v>83</v>
      </c>
      <c r="AD4120" s="3">
        <v>40458</v>
      </c>
      <c r="AE4120" s="2"/>
      <c r="AF4120" s="3">
        <v>40458</v>
      </c>
      <c r="AG4120" s="4">
        <v>0.2951388888888889</v>
      </c>
      <c r="AH4120" s="2">
        <v>2</v>
      </c>
      <c r="AI4120" s="2" t="s">
        <v>84</v>
      </c>
      <c r="AJ4120" s="2">
        <v>9</v>
      </c>
      <c r="AK4120" s="2" t="s">
        <v>103</v>
      </c>
      <c r="AL4120" s="2">
        <v>12</v>
      </c>
      <c r="AM4120" s="2" t="s">
        <v>86</v>
      </c>
      <c r="AN4120" s="2" t="s">
        <v>12951</v>
      </c>
      <c r="AO4120" s="2" t="s">
        <v>12952</v>
      </c>
      <c r="AP4120" s="2">
        <v>11</v>
      </c>
      <c r="AQ4120" s="2" t="s">
        <v>82</v>
      </c>
      <c r="AR4120" s="2"/>
      <c r="AS4120" s="2"/>
      <c r="AT4120" s="2" t="s">
        <v>12953</v>
      </c>
      <c r="AU4120" s="2"/>
      <c r="AV4120" s="2"/>
      <c r="AW4120" s="2"/>
      <c r="AX4120" s="2"/>
      <c r="AY4120" s="2">
        <v>41</v>
      </c>
      <c r="AZ4120" s="2" t="s">
        <v>82</v>
      </c>
      <c r="BA4120" s="2">
        <v>41</v>
      </c>
      <c r="BB4120" s="2" t="s">
        <v>82</v>
      </c>
      <c r="BC4120" s="2">
        <v>41</v>
      </c>
      <c r="BD4120" s="2" t="s">
        <v>82</v>
      </c>
      <c r="BE4120" s="2">
        <v>41</v>
      </c>
      <c r="BF4120" s="2" t="s">
        <v>82</v>
      </c>
      <c r="BG4120" s="2"/>
      <c r="BH4120" s="2"/>
      <c r="BI4120" s="2"/>
      <c r="BJ4120" s="2">
        <v>241</v>
      </c>
      <c r="BK4120" s="2" t="s">
        <v>82</v>
      </c>
      <c r="BL4120" s="2"/>
      <c r="BM4120" s="2">
        <v>241</v>
      </c>
      <c r="BN4120" s="2" t="s">
        <v>82</v>
      </c>
      <c r="BO4120" s="2"/>
      <c r="BP4120" s="2">
        <v>241</v>
      </c>
      <c r="BQ4120" s="2" t="s">
        <v>82</v>
      </c>
      <c r="BR4120" s="2"/>
      <c r="BS4120" s="3">
        <v>40458</v>
      </c>
      <c r="BT4120" s="4">
        <v>0.82055555555555559</v>
      </c>
    </row>
    <row r="4121" spans="1:72" x14ac:dyDescent="0.25">
      <c r="A4121" s="2">
        <v>6200</v>
      </c>
      <c r="B4121" s="2">
        <v>2010</v>
      </c>
      <c r="C4121" s="2" t="s">
        <v>4543</v>
      </c>
      <c r="D4121" s="2" t="s">
        <v>122</v>
      </c>
      <c r="E4121" s="2"/>
      <c r="F4121" s="2">
        <v>1</v>
      </c>
      <c r="G4121" s="2" t="s">
        <v>82</v>
      </c>
      <c r="H4121" s="2">
        <v>1</v>
      </c>
      <c r="I4121" s="2" t="s">
        <v>82</v>
      </c>
      <c r="J4121" s="2">
        <v>1</v>
      </c>
      <c r="K4121" s="2" t="s">
        <v>107</v>
      </c>
      <c r="L4121" s="2" t="s">
        <v>107</v>
      </c>
      <c r="M4121" s="3">
        <v>40458</v>
      </c>
      <c r="N4121" s="2"/>
      <c r="O4121" s="2"/>
      <c r="P4121" s="2"/>
      <c r="Q4121" s="2" t="str">
        <f>""</f>
        <v/>
      </c>
      <c r="R4121" s="2"/>
      <c r="S4121" s="2"/>
      <c r="T4121" s="2">
        <v>2</v>
      </c>
      <c r="U4121" s="2" t="s">
        <v>123</v>
      </c>
      <c r="V4121" s="2">
        <v>1</v>
      </c>
      <c r="W4121" s="2" t="s">
        <v>80</v>
      </c>
      <c r="X4121" s="2">
        <v>11</v>
      </c>
      <c r="Y4121" s="2" t="s">
        <v>1920</v>
      </c>
      <c r="Z4121" s="2">
        <v>1</v>
      </c>
      <c r="AA4121" s="2" t="s">
        <v>82</v>
      </c>
      <c r="AB4121" s="2">
        <v>9</v>
      </c>
      <c r="AC4121" s="2" t="s">
        <v>124</v>
      </c>
      <c r="AD4121" s="3">
        <v>40458</v>
      </c>
      <c r="AE4121" s="4">
        <v>0.80902777777777779</v>
      </c>
      <c r="AF4121" s="2"/>
      <c r="AG4121" s="2"/>
      <c r="AH4121" s="2">
        <v>6</v>
      </c>
      <c r="AI4121" s="2" t="s">
        <v>197</v>
      </c>
      <c r="AJ4121" s="2">
        <v>54</v>
      </c>
      <c r="AK4121" s="2" t="s">
        <v>348</v>
      </c>
      <c r="AL4121" s="2">
        <v>19</v>
      </c>
      <c r="AM4121" s="2" t="s">
        <v>107</v>
      </c>
      <c r="AN4121" s="2" t="s">
        <v>595</v>
      </c>
      <c r="AO4121" s="2" t="s">
        <v>200</v>
      </c>
      <c r="AP4121" s="2">
        <v>12</v>
      </c>
      <c r="AQ4121" s="2" t="s">
        <v>322</v>
      </c>
      <c r="AR4121" s="2" t="s">
        <v>596</v>
      </c>
      <c r="AS4121" s="2" t="s">
        <v>596</v>
      </c>
      <c r="AT4121" s="2" t="s">
        <v>12954</v>
      </c>
      <c r="AU4121" s="2"/>
      <c r="AV4121" s="2"/>
      <c r="AW4121" s="2"/>
      <c r="AX4121" s="2"/>
      <c r="AY4121" s="2">
        <v>41</v>
      </c>
      <c r="AZ4121" s="2" t="s">
        <v>82</v>
      </c>
      <c r="BA4121" s="2">
        <v>41</v>
      </c>
      <c r="BB4121" s="2" t="s">
        <v>82</v>
      </c>
      <c r="BC4121" s="2">
        <v>41</v>
      </c>
      <c r="BD4121" s="2" t="s">
        <v>82</v>
      </c>
      <c r="BE4121" s="2">
        <v>47</v>
      </c>
      <c r="BF4121" s="2" t="s">
        <v>167</v>
      </c>
      <c r="BG4121" s="2" t="s">
        <v>848</v>
      </c>
      <c r="BH4121" s="4">
        <v>0.80555555555555547</v>
      </c>
      <c r="BI4121" s="4">
        <v>0.85069444444444453</v>
      </c>
      <c r="BJ4121" s="2">
        <v>13</v>
      </c>
      <c r="BK4121" s="2" t="s">
        <v>91</v>
      </c>
      <c r="BL4121" s="2" t="s">
        <v>7629</v>
      </c>
      <c r="BM4121" s="2">
        <v>241</v>
      </c>
      <c r="BN4121" s="2" t="s">
        <v>82</v>
      </c>
      <c r="BO4121" s="2"/>
      <c r="BP4121" s="2">
        <v>13</v>
      </c>
      <c r="BQ4121" s="2" t="s">
        <v>91</v>
      </c>
      <c r="BR4121" s="2" t="s">
        <v>905</v>
      </c>
      <c r="BS4121" s="3">
        <v>40458</v>
      </c>
      <c r="BT4121" s="4">
        <v>0.87140046296296303</v>
      </c>
    </row>
    <row r="4122" spans="1:72" x14ac:dyDescent="0.25">
      <c r="A4122" s="2">
        <v>6201</v>
      </c>
      <c r="B4122" s="2">
        <v>2010</v>
      </c>
      <c r="C4122" s="2" t="s">
        <v>171</v>
      </c>
      <c r="D4122" s="2" t="s">
        <v>73</v>
      </c>
      <c r="E4122" s="2"/>
      <c r="F4122" s="2">
        <v>396</v>
      </c>
      <c r="G4122" s="2" t="s">
        <v>2159</v>
      </c>
      <c r="H4122" s="2">
        <v>8</v>
      </c>
      <c r="I4122" s="2" t="s">
        <v>3451</v>
      </c>
      <c r="J4122" s="2">
        <v>243</v>
      </c>
      <c r="K4122" s="2" t="s">
        <v>2160</v>
      </c>
      <c r="L4122" s="2" t="s">
        <v>2145</v>
      </c>
      <c r="M4122" s="3">
        <v>40458</v>
      </c>
      <c r="N4122" s="2" t="s">
        <v>6110</v>
      </c>
      <c r="O4122" s="2" t="s">
        <v>107</v>
      </c>
      <c r="P4122" s="2" t="s">
        <v>107</v>
      </c>
      <c r="Q4122" s="2" t="str">
        <f>"519-E/10"</f>
        <v>519-E/10</v>
      </c>
      <c r="R4122" s="2" t="s">
        <v>391</v>
      </c>
      <c r="S4122" s="2" t="s">
        <v>391</v>
      </c>
      <c r="T4122" s="2">
        <v>1</v>
      </c>
      <c r="U4122" s="2" t="s">
        <v>79</v>
      </c>
      <c r="V4122" s="2">
        <v>1</v>
      </c>
      <c r="W4122" s="2" t="s">
        <v>80</v>
      </c>
      <c r="X4122" s="2">
        <v>1</v>
      </c>
      <c r="Y4122" s="2" t="s">
        <v>81</v>
      </c>
      <c r="Z4122" s="2">
        <v>1</v>
      </c>
      <c r="AA4122" s="2" t="s">
        <v>82</v>
      </c>
      <c r="AB4122" s="2">
        <v>1</v>
      </c>
      <c r="AC4122" s="2" t="s">
        <v>178</v>
      </c>
      <c r="AD4122" s="3">
        <v>40458</v>
      </c>
      <c r="AE4122" s="4">
        <v>0.48958333333333331</v>
      </c>
      <c r="AF4122" s="2"/>
      <c r="AG4122" s="2"/>
      <c r="AH4122" s="2">
        <v>2</v>
      </c>
      <c r="AI4122" s="2" t="s">
        <v>84</v>
      </c>
      <c r="AJ4122" s="2">
        <v>9</v>
      </c>
      <c r="AK4122" s="2" t="s">
        <v>103</v>
      </c>
      <c r="AL4122" s="2">
        <v>25</v>
      </c>
      <c r="AM4122" s="2" t="s">
        <v>3073</v>
      </c>
      <c r="AN4122" s="2" t="s">
        <v>179</v>
      </c>
      <c r="AO4122" s="2" t="s">
        <v>987</v>
      </c>
      <c r="AP4122" s="2">
        <v>11</v>
      </c>
      <c r="AQ4122" s="2" t="s">
        <v>82</v>
      </c>
      <c r="AR4122" s="2"/>
      <c r="AS4122" s="2"/>
      <c r="AT4122" s="2" t="s">
        <v>12955</v>
      </c>
      <c r="AU4122" s="2"/>
      <c r="AV4122" s="2">
        <v>1</v>
      </c>
      <c r="AW4122" s="2"/>
      <c r="AX4122" s="2"/>
      <c r="AY4122" s="2">
        <v>41</v>
      </c>
      <c r="AZ4122" s="2" t="s">
        <v>82</v>
      </c>
      <c r="BA4122" s="2">
        <v>41</v>
      </c>
      <c r="BB4122" s="2" t="s">
        <v>82</v>
      </c>
      <c r="BC4122" s="2">
        <v>41</v>
      </c>
      <c r="BD4122" s="2" t="s">
        <v>82</v>
      </c>
      <c r="BE4122" s="2">
        <v>23</v>
      </c>
      <c r="BF4122" s="2" t="s">
        <v>183</v>
      </c>
      <c r="BG4122" s="2" t="s">
        <v>184</v>
      </c>
      <c r="BH4122" s="4">
        <v>0.25</v>
      </c>
      <c r="BI4122" s="4">
        <v>0.53125</v>
      </c>
      <c r="BJ4122" s="2">
        <v>13</v>
      </c>
      <c r="BK4122" s="2" t="s">
        <v>91</v>
      </c>
      <c r="BL4122" s="2" t="s">
        <v>360</v>
      </c>
      <c r="BM4122" s="2">
        <v>73</v>
      </c>
      <c r="BN4122" s="2" t="s">
        <v>186</v>
      </c>
      <c r="BO4122" s="2"/>
      <c r="BP4122" s="2">
        <v>73</v>
      </c>
      <c r="BQ4122" s="2" t="s">
        <v>186</v>
      </c>
      <c r="BR4122" s="2" t="s">
        <v>187</v>
      </c>
      <c r="BS4122" s="3">
        <v>40458</v>
      </c>
      <c r="BT4122" s="4">
        <v>0.91990740740740751</v>
      </c>
    </row>
    <row r="4123" spans="1:72" x14ac:dyDescent="0.25">
      <c r="A4123" s="2">
        <v>6202</v>
      </c>
      <c r="B4123" s="2">
        <v>2010</v>
      </c>
      <c r="C4123" s="2" t="s">
        <v>377</v>
      </c>
      <c r="D4123" s="2" t="s">
        <v>73</v>
      </c>
      <c r="E4123" s="2"/>
      <c r="F4123" s="2">
        <v>686</v>
      </c>
      <c r="G4123" s="2" t="s">
        <v>12956</v>
      </c>
      <c r="H4123" s="2">
        <v>22</v>
      </c>
      <c r="I4123" s="2" t="s">
        <v>75</v>
      </c>
      <c r="J4123" s="2">
        <v>675</v>
      </c>
      <c r="K4123" s="2" t="s">
        <v>12957</v>
      </c>
      <c r="L4123" s="2" t="s">
        <v>12958</v>
      </c>
      <c r="M4123" s="3">
        <v>40458</v>
      </c>
      <c r="N4123" s="2" t="s">
        <v>12959</v>
      </c>
      <c r="O4123" s="2" t="s">
        <v>107</v>
      </c>
      <c r="P4123" s="2" t="s">
        <v>107</v>
      </c>
      <c r="Q4123" s="2" t="str">
        <f>"0014/2010"</f>
        <v>0014/2010</v>
      </c>
      <c r="R4123" s="2" t="s">
        <v>107</v>
      </c>
      <c r="S4123" s="2" t="s">
        <v>12960</v>
      </c>
      <c r="T4123" s="2">
        <v>1</v>
      </c>
      <c r="U4123" s="2" t="s">
        <v>79</v>
      </c>
      <c r="V4123" s="2">
        <v>1</v>
      </c>
      <c r="W4123" s="2" t="s">
        <v>80</v>
      </c>
      <c r="X4123" s="2">
        <v>1</v>
      </c>
      <c r="Y4123" s="2" t="s">
        <v>81</v>
      </c>
      <c r="Z4123" s="2">
        <v>1</v>
      </c>
      <c r="AA4123" s="2" t="s">
        <v>82</v>
      </c>
      <c r="AB4123" s="2">
        <v>9</v>
      </c>
      <c r="AC4123" s="2" t="s">
        <v>124</v>
      </c>
      <c r="AD4123" s="3">
        <v>40458</v>
      </c>
      <c r="AE4123" s="4">
        <v>0.6875</v>
      </c>
      <c r="AF4123" s="3">
        <v>40458</v>
      </c>
      <c r="AG4123" s="4">
        <v>0.75347222222222221</v>
      </c>
      <c r="AH4123" s="2">
        <v>5</v>
      </c>
      <c r="AI4123" s="2" t="s">
        <v>274</v>
      </c>
      <c r="AJ4123" s="2">
        <v>45</v>
      </c>
      <c r="AK4123" s="2" t="s">
        <v>834</v>
      </c>
      <c r="AL4123" s="2">
        <v>25</v>
      </c>
      <c r="AM4123" s="2" t="s">
        <v>3073</v>
      </c>
      <c r="AN4123" s="2" t="s">
        <v>82</v>
      </c>
      <c r="AO4123" s="2" t="s">
        <v>12961</v>
      </c>
      <c r="AP4123" s="2">
        <v>11</v>
      </c>
      <c r="AQ4123" s="2" t="s">
        <v>82</v>
      </c>
      <c r="AR4123" s="2" t="s">
        <v>82</v>
      </c>
      <c r="AS4123" s="2" t="s">
        <v>82</v>
      </c>
      <c r="AT4123" s="2" t="s">
        <v>12962</v>
      </c>
      <c r="AU4123" s="2"/>
      <c r="AV4123" s="2"/>
      <c r="AW4123" s="2"/>
      <c r="AX4123" s="2"/>
      <c r="AY4123" s="2">
        <v>41</v>
      </c>
      <c r="AZ4123" s="2" t="s">
        <v>82</v>
      </c>
      <c r="BA4123" s="2">
        <v>41</v>
      </c>
      <c r="BB4123" s="2" t="s">
        <v>82</v>
      </c>
      <c r="BC4123" s="2">
        <v>41</v>
      </c>
      <c r="BD4123" s="2" t="s">
        <v>82</v>
      </c>
      <c r="BE4123" s="2">
        <v>41</v>
      </c>
      <c r="BF4123" s="2" t="s">
        <v>82</v>
      </c>
      <c r="BG4123" s="2"/>
      <c r="BH4123" s="2"/>
      <c r="BI4123" s="2"/>
      <c r="BJ4123" s="2">
        <v>241</v>
      </c>
      <c r="BK4123" s="2" t="s">
        <v>82</v>
      </c>
      <c r="BL4123" s="2" t="s">
        <v>82</v>
      </c>
      <c r="BM4123" s="2">
        <v>241</v>
      </c>
      <c r="BN4123" s="2" t="s">
        <v>82</v>
      </c>
      <c r="BO4123" s="2"/>
      <c r="BP4123" s="2">
        <v>241</v>
      </c>
      <c r="BQ4123" s="2" t="s">
        <v>82</v>
      </c>
      <c r="BR4123" s="2" t="s">
        <v>82</v>
      </c>
      <c r="BS4123" s="3">
        <v>40458</v>
      </c>
      <c r="BT4123" s="4">
        <v>0.93232638888888886</v>
      </c>
    </row>
    <row r="4124" spans="1:72" x14ac:dyDescent="0.25">
      <c r="A4124" s="2">
        <v>6203</v>
      </c>
      <c r="B4124" s="2">
        <v>2010</v>
      </c>
      <c r="C4124" s="2" t="s">
        <v>93</v>
      </c>
      <c r="D4124" s="2" t="s">
        <v>73</v>
      </c>
      <c r="E4124" s="2"/>
      <c r="F4124" s="2">
        <v>687</v>
      </c>
      <c r="G4124" s="2" t="s">
        <v>12963</v>
      </c>
      <c r="H4124" s="2">
        <v>22</v>
      </c>
      <c r="I4124" s="2" t="s">
        <v>75</v>
      </c>
      <c r="J4124" s="2">
        <v>676</v>
      </c>
      <c r="K4124" s="2" t="s">
        <v>12964</v>
      </c>
      <c r="L4124" s="2" t="s">
        <v>12965</v>
      </c>
      <c r="M4124" s="3">
        <v>40458</v>
      </c>
      <c r="N4124" s="2" t="s">
        <v>12966</v>
      </c>
      <c r="O4124" s="2" t="s">
        <v>12967</v>
      </c>
      <c r="P4124" s="2">
        <v>15805</v>
      </c>
      <c r="Q4124" s="2" t="str">
        <f>"AP-0046/10"</f>
        <v>AP-0046/10</v>
      </c>
      <c r="R4124" s="2" t="s">
        <v>82</v>
      </c>
      <c r="S4124" s="2" t="s">
        <v>82</v>
      </c>
      <c r="T4124" s="2">
        <v>1</v>
      </c>
      <c r="U4124" s="2" t="s">
        <v>79</v>
      </c>
      <c r="V4124" s="2">
        <v>1</v>
      </c>
      <c r="W4124" s="2" t="s">
        <v>80</v>
      </c>
      <c r="X4124" s="2">
        <v>7</v>
      </c>
      <c r="Y4124" s="2" t="s">
        <v>1964</v>
      </c>
      <c r="Z4124" s="2">
        <v>10</v>
      </c>
      <c r="AA4124" s="2" t="s">
        <v>236</v>
      </c>
      <c r="AB4124" s="2">
        <v>2</v>
      </c>
      <c r="AC4124" s="2" t="s">
        <v>102</v>
      </c>
      <c r="AD4124" s="3">
        <v>40458</v>
      </c>
      <c r="AE4124" s="4">
        <v>0.79166666666666663</v>
      </c>
      <c r="AF4124" s="2"/>
      <c r="AG4124" s="2"/>
      <c r="AH4124" s="2">
        <v>6</v>
      </c>
      <c r="AI4124" s="2" t="s">
        <v>197</v>
      </c>
      <c r="AJ4124" s="2">
        <v>60</v>
      </c>
      <c r="AK4124" s="2" t="s">
        <v>543</v>
      </c>
      <c r="AL4124" s="2">
        <v>12</v>
      </c>
      <c r="AM4124" s="2" t="s">
        <v>86</v>
      </c>
      <c r="AN4124" s="2" t="s">
        <v>82</v>
      </c>
      <c r="AO4124" s="2" t="s">
        <v>12968</v>
      </c>
      <c r="AP4124" s="2">
        <v>11</v>
      </c>
      <c r="AQ4124" s="2" t="s">
        <v>82</v>
      </c>
      <c r="AR4124" s="2" t="s">
        <v>82</v>
      </c>
      <c r="AS4124" s="2" t="s">
        <v>82</v>
      </c>
      <c r="AT4124" s="2" t="s">
        <v>12969</v>
      </c>
      <c r="AU4124" s="2"/>
      <c r="AV4124" s="2">
        <v>1</v>
      </c>
      <c r="AW4124" s="2"/>
      <c r="AX4124" s="2"/>
      <c r="AY4124" s="2">
        <v>41</v>
      </c>
      <c r="AZ4124" s="2" t="s">
        <v>82</v>
      </c>
      <c r="BA4124" s="2">
        <v>41</v>
      </c>
      <c r="BB4124" s="2" t="s">
        <v>82</v>
      </c>
      <c r="BC4124" s="2">
        <v>41</v>
      </c>
      <c r="BD4124" s="2" t="s">
        <v>82</v>
      </c>
      <c r="BE4124" s="2">
        <v>41</v>
      </c>
      <c r="BF4124" s="2" t="s">
        <v>82</v>
      </c>
      <c r="BG4124" s="2" t="s">
        <v>82</v>
      </c>
      <c r="BH4124" s="2"/>
      <c r="BI4124" s="2"/>
      <c r="BJ4124" s="2">
        <v>241</v>
      </c>
      <c r="BK4124" s="2" t="s">
        <v>82</v>
      </c>
      <c r="BL4124" s="2" t="s">
        <v>82</v>
      </c>
      <c r="BM4124" s="2">
        <v>241</v>
      </c>
      <c r="BN4124" s="2" t="s">
        <v>82</v>
      </c>
      <c r="BO4124" s="2"/>
      <c r="BP4124" s="2">
        <v>241</v>
      </c>
      <c r="BQ4124" s="2" t="s">
        <v>82</v>
      </c>
      <c r="BR4124" s="2" t="s">
        <v>82</v>
      </c>
      <c r="BS4124" s="3">
        <v>40458</v>
      </c>
      <c r="BT4124" s="4">
        <v>0.96109953703703699</v>
      </c>
    </row>
    <row r="4125" spans="1:72" x14ac:dyDescent="0.25">
      <c r="A4125" s="2">
        <v>6203</v>
      </c>
      <c r="B4125" s="2">
        <v>2010</v>
      </c>
      <c r="C4125" s="2" t="s">
        <v>385</v>
      </c>
      <c r="D4125" s="2" t="s">
        <v>73</v>
      </c>
      <c r="E4125" s="2"/>
      <c r="F4125" s="2">
        <v>687</v>
      </c>
      <c r="G4125" s="2" t="s">
        <v>12963</v>
      </c>
      <c r="H4125" s="2">
        <v>22</v>
      </c>
      <c r="I4125" s="2" t="s">
        <v>75</v>
      </c>
      <c r="J4125" s="2">
        <v>676</v>
      </c>
      <c r="K4125" s="2" t="s">
        <v>12964</v>
      </c>
      <c r="L4125" s="2" t="s">
        <v>12965</v>
      </c>
      <c r="M4125" s="3">
        <v>40458</v>
      </c>
      <c r="N4125" s="2" t="s">
        <v>12966</v>
      </c>
      <c r="O4125" s="2" t="s">
        <v>12967</v>
      </c>
      <c r="P4125" s="2">
        <v>15805</v>
      </c>
      <c r="Q4125" s="2" t="str">
        <f>"AP-0046/10"</f>
        <v>AP-0046/10</v>
      </c>
      <c r="R4125" s="2" t="s">
        <v>82</v>
      </c>
      <c r="S4125" s="2" t="s">
        <v>82</v>
      </c>
      <c r="T4125" s="2">
        <v>1</v>
      </c>
      <c r="U4125" s="2" t="s">
        <v>79</v>
      </c>
      <c r="V4125" s="2">
        <v>1</v>
      </c>
      <c r="W4125" s="2" t="s">
        <v>80</v>
      </c>
      <c r="X4125" s="2">
        <v>7</v>
      </c>
      <c r="Y4125" s="2" t="s">
        <v>1964</v>
      </c>
      <c r="Z4125" s="2">
        <v>10</v>
      </c>
      <c r="AA4125" s="2" t="s">
        <v>236</v>
      </c>
      <c r="AB4125" s="2">
        <v>9</v>
      </c>
      <c r="AC4125" s="2" t="s">
        <v>124</v>
      </c>
      <c r="AD4125" s="3">
        <v>40458</v>
      </c>
      <c r="AE4125" s="4">
        <v>0.79166666666666663</v>
      </c>
      <c r="AF4125" s="2"/>
      <c r="AG4125" s="2"/>
      <c r="AH4125" s="2">
        <v>6</v>
      </c>
      <c r="AI4125" s="2" t="s">
        <v>197</v>
      </c>
      <c r="AJ4125" s="2">
        <v>60</v>
      </c>
      <c r="AK4125" s="2" t="s">
        <v>543</v>
      </c>
      <c r="AL4125" s="2">
        <v>12</v>
      </c>
      <c r="AM4125" s="2" t="s">
        <v>86</v>
      </c>
      <c r="AN4125" s="2" t="s">
        <v>82</v>
      </c>
      <c r="AO4125" s="2" t="s">
        <v>12968</v>
      </c>
      <c r="AP4125" s="2">
        <v>11</v>
      </c>
      <c r="AQ4125" s="2" t="s">
        <v>82</v>
      </c>
      <c r="AR4125" s="2" t="s">
        <v>82</v>
      </c>
      <c r="AS4125" s="2" t="s">
        <v>82</v>
      </c>
      <c r="AT4125" s="2" t="s">
        <v>12969</v>
      </c>
      <c r="AU4125" s="2"/>
      <c r="AV4125" s="2">
        <v>1</v>
      </c>
      <c r="AW4125" s="2"/>
      <c r="AX4125" s="2"/>
      <c r="AY4125" s="2">
        <v>41</v>
      </c>
      <c r="AZ4125" s="2" t="s">
        <v>82</v>
      </c>
      <c r="BA4125" s="2">
        <v>41</v>
      </c>
      <c r="BB4125" s="2" t="s">
        <v>82</v>
      </c>
      <c r="BC4125" s="2">
        <v>41</v>
      </c>
      <c r="BD4125" s="2" t="s">
        <v>82</v>
      </c>
      <c r="BE4125" s="2">
        <v>41</v>
      </c>
      <c r="BF4125" s="2" t="s">
        <v>82</v>
      </c>
      <c r="BG4125" s="2" t="s">
        <v>82</v>
      </c>
      <c r="BH4125" s="2"/>
      <c r="BI4125" s="2"/>
      <c r="BJ4125" s="2">
        <v>241</v>
      </c>
      <c r="BK4125" s="2" t="s">
        <v>82</v>
      </c>
      <c r="BL4125" s="2" t="s">
        <v>82</v>
      </c>
      <c r="BM4125" s="2">
        <v>241</v>
      </c>
      <c r="BN4125" s="2" t="s">
        <v>82</v>
      </c>
      <c r="BO4125" s="2"/>
      <c r="BP4125" s="2">
        <v>241</v>
      </c>
      <c r="BQ4125" s="2" t="s">
        <v>82</v>
      </c>
      <c r="BR4125" s="2" t="s">
        <v>82</v>
      </c>
      <c r="BS4125" s="3">
        <v>40458</v>
      </c>
      <c r="BT4125" s="4">
        <v>0.96109953703703699</v>
      </c>
    </row>
    <row r="4126" spans="1:72" x14ac:dyDescent="0.25">
      <c r="A4126" s="2">
        <v>6204</v>
      </c>
      <c r="B4126" s="2">
        <v>2010</v>
      </c>
      <c r="C4126" s="2" t="s">
        <v>1568</v>
      </c>
      <c r="D4126" s="2" t="s">
        <v>73</v>
      </c>
      <c r="E4126" s="2"/>
      <c r="F4126" s="2">
        <v>114</v>
      </c>
      <c r="G4126" s="2" t="s">
        <v>2817</v>
      </c>
      <c r="H4126" s="2">
        <v>22</v>
      </c>
      <c r="I4126" s="2" t="s">
        <v>75</v>
      </c>
      <c r="J4126" s="2">
        <v>133</v>
      </c>
      <c r="K4126" s="2" t="s">
        <v>3844</v>
      </c>
      <c r="L4126" s="2" t="s">
        <v>3845</v>
      </c>
      <c r="M4126" s="3">
        <v>40458</v>
      </c>
      <c r="N4126" s="2" t="s">
        <v>11138</v>
      </c>
      <c r="O4126" s="2" t="s">
        <v>107</v>
      </c>
      <c r="P4126" s="2" t="s">
        <v>107</v>
      </c>
      <c r="Q4126" s="2" t="str">
        <f>"0021/10"</f>
        <v>0021/10</v>
      </c>
      <c r="R4126" s="2" t="s">
        <v>12970</v>
      </c>
      <c r="S4126" s="2"/>
      <c r="T4126" s="2">
        <v>1</v>
      </c>
      <c r="U4126" s="2" t="s">
        <v>79</v>
      </c>
      <c r="V4126" s="2">
        <v>1</v>
      </c>
      <c r="W4126" s="2" t="s">
        <v>80</v>
      </c>
      <c r="X4126" s="2">
        <v>1</v>
      </c>
      <c r="Y4126" s="2" t="s">
        <v>81</v>
      </c>
      <c r="Z4126" s="2">
        <v>1</v>
      </c>
      <c r="AA4126" s="2" t="s">
        <v>82</v>
      </c>
      <c r="AB4126" s="2">
        <v>4</v>
      </c>
      <c r="AC4126" s="2" t="s">
        <v>1569</v>
      </c>
      <c r="AD4126" s="3">
        <v>40458</v>
      </c>
      <c r="AE4126" s="4">
        <v>0.79861111111111116</v>
      </c>
      <c r="AF4126" s="2"/>
      <c r="AG4126" s="2"/>
      <c r="AH4126" s="2">
        <v>6</v>
      </c>
      <c r="AI4126" s="2" t="s">
        <v>197</v>
      </c>
      <c r="AJ4126" s="2">
        <v>54</v>
      </c>
      <c r="AK4126" s="2" t="s">
        <v>348</v>
      </c>
      <c r="AL4126" s="2">
        <v>25</v>
      </c>
      <c r="AM4126" s="2" t="s">
        <v>3073</v>
      </c>
      <c r="AN4126" s="2" t="s">
        <v>12971</v>
      </c>
      <c r="AO4126" s="2" t="s">
        <v>3322</v>
      </c>
      <c r="AP4126" s="2">
        <v>5</v>
      </c>
      <c r="AQ4126" s="2" t="s">
        <v>827</v>
      </c>
      <c r="AR4126" s="2" t="s">
        <v>827</v>
      </c>
      <c r="AS4126" s="2" t="s">
        <v>827</v>
      </c>
      <c r="AT4126" s="2" t="s">
        <v>12972</v>
      </c>
      <c r="AU4126" s="2"/>
      <c r="AV4126" s="2"/>
      <c r="AW4126" s="2"/>
      <c r="AX4126" s="2"/>
      <c r="AY4126" s="2">
        <v>41</v>
      </c>
      <c r="AZ4126" s="2" t="s">
        <v>82</v>
      </c>
      <c r="BA4126" s="2">
        <v>41</v>
      </c>
      <c r="BB4126" s="2" t="s">
        <v>82</v>
      </c>
      <c r="BC4126" s="2">
        <v>51</v>
      </c>
      <c r="BD4126" s="2" t="s">
        <v>827</v>
      </c>
      <c r="BE4126" s="2">
        <v>47</v>
      </c>
      <c r="BF4126" s="2" t="s">
        <v>167</v>
      </c>
      <c r="BG4126" s="2">
        <v>2837</v>
      </c>
      <c r="BH4126" s="2"/>
      <c r="BI4126" s="4">
        <v>0.85069444444444453</v>
      </c>
      <c r="BJ4126" s="2">
        <v>13</v>
      </c>
      <c r="BK4126" s="2" t="s">
        <v>91</v>
      </c>
      <c r="BL4126" s="2" t="s">
        <v>7629</v>
      </c>
      <c r="BM4126" s="2">
        <v>13</v>
      </c>
      <c r="BN4126" s="2" t="s">
        <v>91</v>
      </c>
      <c r="BO4126" s="2"/>
      <c r="BP4126" s="2">
        <v>13</v>
      </c>
      <c r="BQ4126" s="2" t="s">
        <v>91</v>
      </c>
      <c r="BR4126" s="2" t="s">
        <v>12973</v>
      </c>
      <c r="BS4126" s="3">
        <v>40458</v>
      </c>
      <c r="BT4126" s="4">
        <v>0.99671296296296286</v>
      </c>
    </row>
    <row r="4127" spans="1:72" x14ac:dyDescent="0.25">
      <c r="A4127" s="2">
        <v>6205</v>
      </c>
      <c r="B4127" s="2">
        <v>2010</v>
      </c>
      <c r="C4127" s="2" t="s">
        <v>1660</v>
      </c>
      <c r="D4127" s="2" t="s">
        <v>73</v>
      </c>
      <c r="E4127" s="2"/>
      <c r="F4127" s="2">
        <v>1</v>
      </c>
      <c r="G4127" s="2" t="s">
        <v>82</v>
      </c>
      <c r="H4127" s="2">
        <v>1</v>
      </c>
      <c r="I4127" s="2" t="s">
        <v>82</v>
      </c>
      <c r="J4127" s="2">
        <v>1</v>
      </c>
      <c r="K4127" s="2" t="s">
        <v>107</v>
      </c>
      <c r="L4127" s="2" t="s">
        <v>107</v>
      </c>
      <c r="M4127" s="3">
        <v>40459</v>
      </c>
      <c r="N4127" s="2" t="s">
        <v>5653</v>
      </c>
      <c r="O4127" s="2" t="s">
        <v>107</v>
      </c>
      <c r="P4127" s="2" t="s">
        <v>107</v>
      </c>
      <c r="Q4127" s="2" t="str">
        <f>"520-E/10"</f>
        <v>520-E/10</v>
      </c>
      <c r="R4127" s="2"/>
      <c r="S4127" s="2"/>
      <c r="T4127" s="2">
        <v>1</v>
      </c>
      <c r="U4127" s="2" t="s">
        <v>79</v>
      </c>
      <c r="V4127" s="2">
        <v>1</v>
      </c>
      <c r="W4127" s="2" t="s">
        <v>80</v>
      </c>
      <c r="X4127" s="2">
        <v>10</v>
      </c>
      <c r="Y4127" s="2" t="s">
        <v>226</v>
      </c>
      <c r="Z4127" s="2">
        <v>6</v>
      </c>
      <c r="AA4127" s="2" t="s">
        <v>101</v>
      </c>
      <c r="AB4127" s="2">
        <v>3</v>
      </c>
      <c r="AC4127" s="2" t="s">
        <v>1663</v>
      </c>
      <c r="AD4127" s="3">
        <v>40458</v>
      </c>
      <c r="AE4127" s="4">
        <v>0.75</v>
      </c>
      <c r="AF4127" s="2"/>
      <c r="AG4127" s="2"/>
      <c r="AH4127" s="2">
        <v>2</v>
      </c>
      <c r="AI4127" s="2" t="s">
        <v>84</v>
      </c>
      <c r="AJ4127" s="2">
        <v>9</v>
      </c>
      <c r="AK4127" s="2" t="s">
        <v>103</v>
      </c>
      <c r="AL4127" s="2">
        <v>14</v>
      </c>
      <c r="AM4127" s="2" t="s">
        <v>216</v>
      </c>
      <c r="AN4127" s="2" t="s">
        <v>105</v>
      </c>
      <c r="AO4127" s="2"/>
      <c r="AP4127" s="2">
        <v>11</v>
      </c>
      <c r="AQ4127" s="2" t="s">
        <v>82</v>
      </c>
      <c r="AR4127" s="2"/>
      <c r="AS4127" s="2"/>
      <c r="AT4127" s="2" t="s">
        <v>12974</v>
      </c>
      <c r="AU4127" s="2"/>
      <c r="AV4127" s="2">
        <v>2</v>
      </c>
      <c r="AW4127" s="2"/>
      <c r="AX4127" s="2"/>
      <c r="AY4127" s="2">
        <v>41</v>
      </c>
      <c r="AZ4127" s="2" t="s">
        <v>82</v>
      </c>
      <c r="BA4127" s="2">
        <v>41</v>
      </c>
      <c r="BB4127" s="2" t="s">
        <v>82</v>
      </c>
      <c r="BC4127" s="2">
        <v>41</v>
      </c>
      <c r="BD4127" s="2" t="s">
        <v>82</v>
      </c>
      <c r="BE4127" s="2">
        <v>14</v>
      </c>
      <c r="BF4127" s="2" t="s">
        <v>484</v>
      </c>
      <c r="BG4127" s="2" t="s">
        <v>3450</v>
      </c>
      <c r="BH4127" s="2"/>
      <c r="BI4127" s="4">
        <v>0.83333333333333337</v>
      </c>
      <c r="BJ4127" s="2">
        <v>13</v>
      </c>
      <c r="BK4127" s="2" t="s">
        <v>91</v>
      </c>
      <c r="BL4127" s="2" t="s">
        <v>360</v>
      </c>
      <c r="BM4127" s="2">
        <v>82</v>
      </c>
      <c r="BN4127" s="2" t="s">
        <v>487</v>
      </c>
      <c r="BO4127" s="2"/>
      <c r="BP4127" s="2">
        <v>82</v>
      </c>
      <c r="BQ4127" s="2" t="s">
        <v>487</v>
      </c>
      <c r="BR4127" s="2" t="s">
        <v>488</v>
      </c>
      <c r="BS4127" s="3">
        <v>40459</v>
      </c>
      <c r="BT4127" s="4">
        <v>0.14096064814814815</v>
      </c>
    </row>
    <row r="4128" spans="1:72" x14ac:dyDescent="0.25">
      <c r="A4128" s="2">
        <v>6206</v>
      </c>
      <c r="B4128" s="2">
        <v>2010</v>
      </c>
      <c r="C4128" s="2" t="s">
        <v>72</v>
      </c>
      <c r="D4128" s="2" t="s">
        <v>73</v>
      </c>
      <c r="E4128" s="2"/>
      <c r="F4128" s="2">
        <v>389</v>
      </c>
      <c r="G4128" s="2" t="s">
        <v>1819</v>
      </c>
      <c r="H4128" s="2">
        <v>2</v>
      </c>
      <c r="I4128" s="2" t="s">
        <v>267</v>
      </c>
      <c r="J4128" s="2">
        <v>399</v>
      </c>
      <c r="K4128" s="2" t="s">
        <v>1820</v>
      </c>
      <c r="L4128" s="2" t="s">
        <v>1821</v>
      </c>
      <c r="M4128" s="3">
        <v>40459</v>
      </c>
      <c r="N4128" s="2" t="s">
        <v>5653</v>
      </c>
      <c r="O4128" s="2" t="s">
        <v>107</v>
      </c>
      <c r="P4128" s="2" t="s">
        <v>107</v>
      </c>
      <c r="Q4128" s="2" t="str">
        <f>"521-E/10"</f>
        <v>521-E/10</v>
      </c>
      <c r="R4128" s="2" t="s">
        <v>480</v>
      </c>
      <c r="S4128" s="2" t="s">
        <v>480</v>
      </c>
      <c r="T4128" s="2">
        <v>1</v>
      </c>
      <c r="U4128" s="2" t="s">
        <v>79</v>
      </c>
      <c r="V4128" s="2">
        <v>1</v>
      </c>
      <c r="W4128" s="2" t="s">
        <v>80</v>
      </c>
      <c r="X4128" s="2">
        <v>1</v>
      </c>
      <c r="Y4128" s="2" t="s">
        <v>81</v>
      </c>
      <c r="Z4128" s="2">
        <v>1</v>
      </c>
      <c r="AA4128" s="2" t="s">
        <v>82</v>
      </c>
      <c r="AB4128" s="2">
        <v>6</v>
      </c>
      <c r="AC4128" s="2" t="s">
        <v>83</v>
      </c>
      <c r="AD4128" s="3">
        <v>40458</v>
      </c>
      <c r="AE4128" s="4">
        <v>0.96527777777777779</v>
      </c>
      <c r="AF4128" s="3">
        <v>40459</v>
      </c>
      <c r="AG4128" s="4">
        <v>0.20833333333333334</v>
      </c>
      <c r="AH4128" s="2">
        <v>2</v>
      </c>
      <c r="AI4128" s="2" t="s">
        <v>84</v>
      </c>
      <c r="AJ4128" s="2">
        <v>9</v>
      </c>
      <c r="AK4128" s="2" t="s">
        <v>103</v>
      </c>
      <c r="AL4128" s="2">
        <v>10</v>
      </c>
      <c r="AM4128" s="2" t="s">
        <v>200</v>
      </c>
      <c r="AN4128" s="2" t="s">
        <v>12975</v>
      </c>
      <c r="AO4128" s="2" t="s">
        <v>82</v>
      </c>
      <c r="AP4128" s="2">
        <v>11</v>
      </c>
      <c r="AQ4128" s="2" t="s">
        <v>82</v>
      </c>
      <c r="AR4128" s="2"/>
      <c r="AS4128" s="2"/>
      <c r="AT4128" s="2" t="s">
        <v>12976</v>
      </c>
      <c r="AU4128" s="2"/>
      <c r="AV4128" s="2"/>
      <c r="AW4128" s="2"/>
      <c r="AX4128" s="2"/>
      <c r="AY4128" s="2">
        <v>41</v>
      </c>
      <c r="AZ4128" s="2" t="s">
        <v>82</v>
      </c>
      <c r="BA4128" s="2">
        <v>41</v>
      </c>
      <c r="BB4128" s="2" t="s">
        <v>82</v>
      </c>
      <c r="BC4128" s="2">
        <v>41</v>
      </c>
      <c r="BD4128" s="2" t="s">
        <v>82</v>
      </c>
      <c r="BE4128" s="2">
        <v>41</v>
      </c>
      <c r="BF4128" s="2" t="s">
        <v>82</v>
      </c>
      <c r="BG4128" s="2"/>
      <c r="BH4128" s="2"/>
      <c r="BI4128" s="2"/>
      <c r="BJ4128" s="2">
        <v>241</v>
      </c>
      <c r="BK4128" s="2" t="s">
        <v>82</v>
      </c>
      <c r="BL4128" s="2"/>
      <c r="BM4128" s="2">
        <v>241</v>
      </c>
      <c r="BN4128" s="2" t="s">
        <v>82</v>
      </c>
      <c r="BO4128" s="2"/>
      <c r="BP4128" s="2">
        <v>241</v>
      </c>
      <c r="BQ4128" s="2" t="s">
        <v>82</v>
      </c>
      <c r="BR4128" s="2"/>
      <c r="BS4128" s="3">
        <v>40459</v>
      </c>
      <c r="BT4128" s="4">
        <v>0.14783564814814815</v>
      </c>
    </row>
    <row r="4129" spans="1:72" x14ac:dyDescent="0.25">
      <c r="A4129" s="2">
        <v>6208</v>
      </c>
      <c r="B4129" s="2">
        <v>2010</v>
      </c>
      <c r="C4129" s="2" t="s">
        <v>4543</v>
      </c>
      <c r="D4129" s="2" t="s">
        <v>122</v>
      </c>
      <c r="E4129" s="2"/>
      <c r="F4129" s="2">
        <v>1</v>
      </c>
      <c r="G4129" s="2" t="s">
        <v>82</v>
      </c>
      <c r="H4129" s="2">
        <v>1</v>
      </c>
      <c r="I4129" s="2" t="s">
        <v>82</v>
      </c>
      <c r="J4129" s="2">
        <v>1</v>
      </c>
      <c r="K4129" s="2" t="s">
        <v>107</v>
      </c>
      <c r="L4129" s="2" t="s">
        <v>107</v>
      </c>
      <c r="M4129" s="3">
        <v>40459</v>
      </c>
      <c r="N4129" s="2"/>
      <c r="O4129" s="2"/>
      <c r="P4129" s="2"/>
      <c r="Q4129" s="2" t="str">
        <f>""</f>
        <v/>
      </c>
      <c r="R4129" s="2"/>
      <c r="S4129" s="2"/>
      <c r="T4129" s="2">
        <v>2</v>
      </c>
      <c r="U4129" s="2" t="s">
        <v>123</v>
      </c>
      <c r="V4129" s="2">
        <v>1</v>
      </c>
      <c r="W4129" s="2" t="s">
        <v>80</v>
      </c>
      <c r="X4129" s="2">
        <v>11</v>
      </c>
      <c r="Y4129" s="2" t="s">
        <v>1920</v>
      </c>
      <c r="Z4129" s="2">
        <v>1</v>
      </c>
      <c r="AA4129" s="2" t="s">
        <v>82</v>
      </c>
      <c r="AB4129" s="2">
        <v>9</v>
      </c>
      <c r="AC4129" s="2" t="s">
        <v>124</v>
      </c>
      <c r="AD4129" s="3">
        <v>40459</v>
      </c>
      <c r="AE4129" s="4">
        <v>0.33680555555555558</v>
      </c>
      <c r="AF4129" s="2"/>
      <c r="AG4129" s="2"/>
      <c r="AH4129" s="2">
        <v>6</v>
      </c>
      <c r="AI4129" s="2" t="s">
        <v>197</v>
      </c>
      <c r="AJ4129" s="2">
        <v>54</v>
      </c>
      <c r="AK4129" s="2" t="s">
        <v>348</v>
      </c>
      <c r="AL4129" s="2">
        <v>19</v>
      </c>
      <c r="AM4129" s="2" t="s">
        <v>107</v>
      </c>
      <c r="AN4129" s="2" t="s">
        <v>595</v>
      </c>
      <c r="AO4129" s="2" t="s">
        <v>200</v>
      </c>
      <c r="AP4129" s="2">
        <v>14</v>
      </c>
      <c r="AQ4129" s="2" t="s">
        <v>3301</v>
      </c>
      <c r="AR4129" s="2" t="s">
        <v>596</v>
      </c>
      <c r="AS4129" s="2" t="s">
        <v>596</v>
      </c>
      <c r="AT4129" s="2" t="s">
        <v>12977</v>
      </c>
      <c r="AU4129" s="2"/>
      <c r="AV4129" s="2"/>
      <c r="AW4129" s="2"/>
      <c r="AX4129" s="2"/>
      <c r="AY4129" s="2">
        <v>41</v>
      </c>
      <c r="AZ4129" s="2" t="s">
        <v>82</v>
      </c>
      <c r="BA4129" s="2">
        <v>41</v>
      </c>
      <c r="BB4129" s="2" t="s">
        <v>82</v>
      </c>
      <c r="BC4129" s="2">
        <v>41</v>
      </c>
      <c r="BD4129" s="2" t="s">
        <v>82</v>
      </c>
      <c r="BE4129" s="2">
        <v>4</v>
      </c>
      <c r="BF4129" s="2" t="s">
        <v>90</v>
      </c>
      <c r="BG4129" s="2" t="s">
        <v>598</v>
      </c>
      <c r="BH4129" s="4">
        <v>5.7638888888888885E-2</v>
      </c>
      <c r="BI4129" s="4">
        <v>0.10069444444444443</v>
      </c>
      <c r="BJ4129" s="2">
        <v>13</v>
      </c>
      <c r="BK4129" s="2" t="s">
        <v>91</v>
      </c>
      <c r="BL4129" s="2" t="s">
        <v>2764</v>
      </c>
      <c r="BM4129" s="2">
        <v>13</v>
      </c>
      <c r="BN4129" s="2" t="s">
        <v>91</v>
      </c>
      <c r="BO4129" s="2"/>
      <c r="BP4129" s="2">
        <v>13</v>
      </c>
      <c r="BQ4129" s="2" t="s">
        <v>91</v>
      </c>
      <c r="BR4129" s="2" t="s">
        <v>2168</v>
      </c>
      <c r="BS4129" s="3">
        <v>40459</v>
      </c>
      <c r="BT4129" s="4">
        <v>0.34568287037037032</v>
      </c>
    </row>
    <row r="4130" spans="1:72" x14ac:dyDescent="0.25">
      <c r="A4130" s="2">
        <v>6209</v>
      </c>
      <c r="B4130" s="2">
        <v>2010</v>
      </c>
      <c r="C4130" s="2" t="s">
        <v>385</v>
      </c>
      <c r="D4130" s="2" t="s">
        <v>122</v>
      </c>
      <c r="E4130" s="2" t="s">
        <v>12978</v>
      </c>
      <c r="F4130" s="2">
        <v>396</v>
      </c>
      <c r="G4130" s="2" t="s">
        <v>2159</v>
      </c>
      <c r="H4130" s="2">
        <v>8</v>
      </c>
      <c r="I4130" s="2" t="s">
        <v>3451</v>
      </c>
      <c r="J4130" s="2">
        <v>243</v>
      </c>
      <c r="K4130" s="2" t="s">
        <v>2160</v>
      </c>
      <c r="L4130" s="2" t="s">
        <v>2145</v>
      </c>
      <c r="M4130" s="3">
        <v>40459</v>
      </c>
      <c r="N4130" s="2" t="s">
        <v>6110</v>
      </c>
      <c r="O4130" s="2" t="s">
        <v>107</v>
      </c>
      <c r="P4130" s="2" t="s">
        <v>107</v>
      </c>
      <c r="Q4130" s="2" t="str">
        <f>"519-E/10"</f>
        <v>519-E/10</v>
      </c>
      <c r="R4130" s="2" t="s">
        <v>391</v>
      </c>
      <c r="S4130" s="2" t="s">
        <v>391</v>
      </c>
      <c r="T4130" s="2">
        <v>1</v>
      </c>
      <c r="U4130" s="2" t="s">
        <v>79</v>
      </c>
      <c r="V4130" s="2">
        <v>1</v>
      </c>
      <c r="W4130" s="2" t="s">
        <v>80</v>
      </c>
      <c r="X4130" s="2">
        <v>1</v>
      </c>
      <c r="Y4130" s="2" t="s">
        <v>81</v>
      </c>
      <c r="Z4130" s="2">
        <v>1</v>
      </c>
      <c r="AA4130" s="2" t="s">
        <v>82</v>
      </c>
      <c r="AB4130" s="2">
        <v>9</v>
      </c>
      <c r="AC4130" s="2" t="s">
        <v>124</v>
      </c>
      <c r="AD4130" s="3">
        <v>40459</v>
      </c>
      <c r="AE4130" s="4">
        <v>0.33333333333333331</v>
      </c>
      <c r="AF4130" s="2"/>
      <c r="AG4130" s="2"/>
      <c r="AH4130" s="2">
        <v>2</v>
      </c>
      <c r="AI4130" s="2" t="s">
        <v>84</v>
      </c>
      <c r="AJ4130" s="2">
        <v>9</v>
      </c>
      <c r="AK4130" s="2" t="s">
        <v>103</v>
      </c>
      <c r="AL4130" s="2">
        <v>14</v>
      </c>
      <c r="AM4130" s="2" t="s">
        <v>216</v>
      </c>
      <c r="AN4130" s="2" t="s">
        <v>179</v>
      </c>
      <c r="AO4130" s="2" t="s">
        <v>82</v>
      </c>
      <c r="AP4130" s="2">
        <v>11</v>
      </c>
      <c r="AQ4130" s="2" t="s">
        <v>82</v>
      </c>
      <c r="AR4130" s="2"/>
      <c r="AS4130" s="2"/>
      <c r="AT4130" s="2" t="s">
        <v>12979</v>
      </c>
      <c r="AU4130" s="2"/>
      <c r="AV4130" s="2">
        <v>1</v>
      </c>
      <c r="AW4130" s="2"/>
      <c r="AX4130" s="2"/>
      <c r="AY4130" s="2">
        <v>41</v>
      </c>
      <c r="AZ4130" s="2" t="s">
        <v>82</v>
      </c>
      <c r="BA4130" s="2">
        <v>41</v>
      </c>
      <c r="BB4130" s="2" t="s">
        <v>82</v>
      </c>
      <c r="BC4130" s="2">
        <v>41</v>
      </c>
      <c r="BD4130" s="2" t="s">
        <v>82</v>
      </c>
      <c r="BE4130" s="2">
        <v>23</v>
      </c>
      <c r="BF4130" s="2" t="s">
        <v>183</v>
      </c>
      <c r="BG4130" s="2" t="s">
        <v>184</v>
      </c>
      <c r="BH4130" s="4">
        <v>0.58333333333333337</v>
      </c>
      <c r="BI4130" s="2"/>
      <c r="BJ4130" s="2">
        <v>13</v>
      </c>
      <c r="BK4130" s="2" t="s">
        <v>91</v>
      </c>
      <c r="BL4130" s="2" t="s">
        <v>185</v>
      </c>
      <c r="BM4130" s="2">
        <v>73</v>
      </c>
      <c r="BN4130" s="2" t="s">
        <v>186</v>
      </c>
      <c r="BO4130" s="2"/>
      <c r="BP4130" s="2">
        <v>73</v>
      </c>
      <c r="BQ4130" s="2" t="s">
        <v>186</v>
      </c>
      <c r="BR4130" s="2" t="s">
        <v>187</v>
      </c>
      <c r="BS4130" s="3">
        <v>40459</v>
      </c>
      <c r="BT4130" s="4">
        <v>0.3532986111111111</v>
      </c>
    </row>
    <row r="4131" spans="1:72" x14ac:dyDescent="0.25">
      <c r="A4131" s="2">
        <v>6210</v>
      </c>
      <c r="B4131" s="2">
        <v>2010</v>
      </c>
      <c r="C4131" s="2" t="s">
        <v>4543</v>
      </c>
      <c r="D4131" s="2" t="s">
        <v>122</v>
      </c>
      <c r="E4131" s="2"/>
      <c r="F4131" s="2">
        <v>1</v>
      </c>
      <c r="G4131" s="2" t="s">
        <v>82</v>
      </c>
      <c r="H4131" s="2">
        <v>1</v>
      </c>
      <c r="I4131" s="2" t="s">
        <v>82</v>
      </c>
      <c r="J4131" s="2">
        <v>1</v>
      </c>
      <c r="K4131" s="2" t="s">
        <v>107</v>
      </c>
      <c r="L4131" s="2" t="s">
        <v>107</v>
      </c>
      <c r="M4131" s="3">
        <v>40459</v>
      </c>
      <c r="N4131" s="2"/>
      <c r="O4131" s="2"/>
      <c r="P4131" s="2"/>
      <c r="Q4131" s="2" t="str">
        <f>""</f>
        <v/>
      </c>
      <c r="R4131" s="2"/>
      <c r="S4131" s="2"/>
      <c r="T4131" s="2">
        <v>2</v>
      </c>
      <c r="U4131" s="2" t="s">
        <v>123</v>
      </c>
      <c r="V4131" s="2">
        <v>1</v>
      </c>
      <c r="W4131" s="2" t="s">
        <v>80</v>
      </c>
      <c r="X4131" s="2">
        <v>11</v>
      </c>
      <c r="Y4131" s="2" t="s">
        <v>1920</v>
      </c>
      <c r="Z4131" s="2">
        <v>1</v>
      </c>
      <c r="AA4131" s="2" t="s">
        <v>82</v>
      </c>
      <c r="AB4131" s="2">
        <v>9</v>
      </c>
      <c r="AC4131" s="2" t="s">
        <v>124</v>
      </c>
      <c r="AD4131" s="3">
        <v>40459</v>
      </c>
      <c r="AE4131" s="4">
        <v>0.375</v>
      </c>
      <c r="AF4131" s="2"/>
      <c r="AG4131" s="2"/>
      <c r="AH4131" s="2">
        <v>6</v>
      </c>
      <c r="AI4131" s="2" t="s">
        <v>197</v>
      </c>
      <c r="AJ4131" s="2">
        <v>54</v>
      </c>
      <c r="AK4131" s="2" t="s">
        <v>348</v>
      </c>
      <c r="AL4131" s="2">
        <v>19</v>
      </c>
      <c r="AM4131" s="2" t="s">
        <v>107</v>
      </c>
      <c r="AN4131" s="2" t="s">
        <v>595</v>
      </c>
      <c r="AO4131" s="2" t="s">
        <v>200</v>
      </c>
      <c r="AP4131" s="2">
        <v>12</v>
      </c>
      <c r="AQ4131" s="2" t="s">
        <v>322</v>
      </c>
      <c r="AR4131" s="2" t="s">
        <v>596</v>
      </c>
      <c r="AS4131" s="2" t="s">
        <v>596</v>
      </c>
      <c r="AT4131" s="2" t="s">
        <v>12980</v>
      </c>
      <c r="AU4131" s="2"/>
      <c r="AV4131" s="2"/>
      <c r="AW4131" s="2"/>
      <c r="AX4131" s="2"/>
      <c r="AY4131" s="2">
        <v>41</v>
      </c>
      <c r="AZ4131" s="2" t="s">
        <v>82</v>
      </c>
      <c r="BA4131" s="2">
        <v>41</v>
      </c>
      <c r="BB4131" s="2" t="s">
        <v>82</v>
      </c>
      <c r="BC4131" s="2">
        <v>41</v>
      </c>
      <c r="BD4131" s="2" t="s">
        <v>82</v>
      </c>
      <c r="BE4131" s="2">
        <v>47</v>
      </c>
      <c r="BF4131" s="2" t="s">
        <v>167</v>
      </c>
      <c r="BG4131" s="2" t="s">
        <v>1165</v>
      </c>
      <c r="BH4131" s="4">
        <v>5.7638888888888885E-2</v>
      </c>
      <c r="BI4131" s="4">
        <v>0.375</v>
      </c>
      <c r="BJ4131" s="2">
        <v>13</v>
      </c>
      <c r="BK4131" s="2" t="s">
        <v>91</v>
      </c>
      <c r="BL4131" s="2" t="s">
        <v>7629</v>
      </c>
      <c r="BM4131" s="2">
        <v>241</v>
      </c>
      <c r="BN4131" s="2" t="s">
        <v>82</v>
      </c>
      <c r="BO4131" s="2"/>
      <c r="BP4131" s="2">
        <v>13</v>
      </c>
      <c r="BQ4131" s="2" t="s">
        <v>91</v>
      </c>
      <c r="BR4131" s="2" t="s">
        <v>905</v>
      </c>
      <c r="BS4131" s="3">
        <v>40459</v>
      </c>
      <c r="BT4131" s="4">
        <v>0.39466435185185184</v>
      </c>
    </row>
    <row r="4132" spans="1:72" x14ac:dyDescent="0.25">
      <c r="A4132" s="2">
        <v>6211</v>
      </c>
      <c r="B4132" s="2">
        <v>2010</v>
      </c>
      <c r="C4132" s="2" t="s">
        <v>93</v>
      </c>
      <c r="D4132" s="2" t="s">
        <v>122</v>
      </c>
      <c r="E4132" s="2" t="s">
        <v>12981</v>
      </c>
      <c r="F4132" s="2">
        <v>687</v>
      </c>
      <c r="G4132" s="2" t="s">
        <v>12963</v>
      </c>
      <c r="H4132" s="2">
        <v>22</v>
      </c>
      <c r="I4132" s="2" t="s">
        <v>75</v>
      </c>
      <c r="J4132" s="2">
        <v>676</v>
      </c>
      <c r="K4132" s="2" t="s">
        <v>12964</v>
      </c>
      <c r="L4132" s="2" t="s">
        <v>12965</v>
      </c>
      <c r="M4132" s="3">
        <v>40459</v>
      </c>
      <c r="N4132" s="2" t="s">
        <v>12966</v>
      </c>
      <c r="O4132" s="2" t="s">
        <v>12967</v>
      </c>
      <c r="P4132" s="2">
        <v>15805</v>
      </c>
      <c r="Q4132" s="2" t="str">
        <f>"AP-0046/10"</f>
        <v>AP-0046/10</v>
      </c>
      <c r="R4132" s="2" t="s">
        <v>82</v>
      </c>
      <c r="S4132" s="2" t="s">
        <v>82</v>
      </c>
      <c r="T4132" s="2">
        <v>1</v>
      </c>
      <c r="U4132" s="2" t="s">
        <v>79</v>
      </c>
      <c r="V4132" s="2">
        <v>1</v>
      </c>
      <c r="W4132" s="2" t="s">
        <v>80</v>
      </c>
      <c r="X4132" s="2">
        <v>5</v>
      </c>
      <c r="Y4132" s="2" t="s">
        <v>82</v>
      </c>
      <c r="Z4132" s="2">
        <v>1</v>
      </c>
      <c r="AA4132" s="2" t="s">
        <v>82</v>
      </c>
      <c r="AB4132" s="2">
        <v>2</v>
      </c>
      <c r="AC4132" s="2" t="s">
        <v>102</v>
      </c>
      <c r="AD4132" s="3">
        <v>40459</v>
      </c>
      <c r="AE4132" s="4">
        <v>0.11388888888888889</v>
      </c>
      <c r="AF4132" s="2"/>
      <c r="AG4132" s="2"/>
      <c r="AH4132" s="2">
        <v>6</v>
      </c>
      <c r="AI4132" s="2" t="s">
        <v>197</v>
      </c>
      <c r="AJ4132" s="2">
        <v>60</v>
      </c>
      <c r="AK4132" s="2" t="s">
        <v>543</v>
      </c>
      <c r="AL4132" s="2">
        <v>19</v>
      </c>
      <c r="AM4132" s="2" t="s">
        <v>107</v>
      </c>
      <c r="AN4132" s="2" t="s">
        <v>82</v>
      </c>
      <c r="AO4132" s="2" t="s">
        <v>12982</v>
      </c>
      <c r="AP4132" s="2">
        <v>11</v>
      </c>
      <c r="AQ4132" s="2" t="s">
        <v>82</v>
      </c>
      <c r="AR4132" s="2"/>
      <c r="AS4132" s="2"/>
      <c r="AT4132" s="2" t="s">
        <v>12983</v>
      </c>
      <c r="AU4132" s="2"/>
      <c r="AV4132" s="2">
        <v>1</v>
      </c>
      <c r="AW4132" s="2"/>
      <c r="AX4132" s="2"/>
      <c r="AY4132" s="2">
        <v>41</v>
      </c>
      <c r="AZ4132" s="2" t="s">
        <v>82</v>
      </c>
      <c r="BA4132" s="2">
        <v>41</v>
      </c>
      <c r="BB4132" s="2" t="s">
        <v>82</v>
      </c>
      <c r="BC4132" s="2">
        <v>41</v>
      </c>
      <c r="BD4132" s="2" t="s">
        <v>82</v>
      </c>
      <c r="BE4132" s="2">
        <v>41</v>
      </c>
      <c r="BF4132" s="2" t="s">
        <v>82</v>
      </c>
      <c r="BG4132" s="2"/>
      <c r="BH4132" s="2"/>
      <c r="BI4132" s="2"/>
      <c r="BJ4132" s="2">
        <v>241</v>
      </c>
      <c r="BK4132" s="2" t="s">
        <v>82</v>
      </c>
      <c r="BL4132" s="2"/>
      <c r="BM4132" s="2">
        <v>241</v>
      </c>
      <c r="BN4132" s="2" t="s">
        <v>82</v>
      </c>
      <c r="BO4132" s="2"/>
      <c r="BP4132" s="2">
        <v>241</v>
      </c>
      <c r="BQ4132" s="2" t="s">
        <v>82</v>
      </c>
      <c r="BR4132" s="2"/>
      <c r="BS4132" s="3">
        <v>40459</v>
      </c>
      <c r="BT4132" s="4">
        <v>0.43839120370370371</v>
      </c>
    </row>
    <row r="4133" spans="1:72" x14ac:dyDescent="0.25">
      <c r="A4133" s="2">
        <v>6211</v>
      </c>
      <c r="B4133" s="2">
        <v>2010</v>
      </c>
      <c r="C4133" s="2" t="s">
        <v>385</v>
      </c>
      <c r="D4133" s="2" t="s">
        <v>122</v>
      </c>
      <c r="E4133" s="2" t="s">
        <v>12981</v>
      </c>
      <c r="F4133" s="2">
        <v>687</v>
      </c>
      <c r="G4133" s="2" t="s">
        <v>12963</v>
      </c>
      <c r="H4133" s="2">
        <v>22</v>
      </c>
      <c r="I4133" s="2" t="s">
        <v>75</v>
      </c>
      <c r="J4133" s="2">
        <v>676</v>
      </c>
      <c r="K4133" s="2" t="s">
        <v>12964</v>
      </c>
      <c r="L4133" s="2" t="s">
        <v>12965</v>
      </c>
      <c r="M4133" s="3">
        <v>40459</v>
      </c>
      <c r="N4133" s="2" t="s">
        <v>12966</v>
      </c>
      <c r="O4133" s="2" t="s">
        <v>12967</v>
      </c>
      <c r="P4133" s="2">
        <v>15805</v>
      </c>
      <c r="Q4133" s="2" t="str">
        <f>"AP-0046/10"</f>
        <v>AP-0046/10</v>
      </c>
      <c r="R4133" s="2" t="s">
        <v>82</v>
      </c>
      <c r="S4133" s="2" t="s">
        <v>82</v>
      </c>
      <c r="T4133" s="2">
        <v>1</v>
      </c>
      <c r="U4133" s="2" t="s">
        <v>79</v>
      </c>
      <c r="V4133" s="2">
        <v>1</v>
      </c>
      <c r="W4133" s="2" t="s">
        <v>80</v>
      </c>
      <c r="X4133" s="2">
        <v>5</v>
      </c>
      <c r="Y4133" s="2" t="s">
        <v>82</v>
      </c>
      <c r="Z4133" s="2">
        <v>1</v>
      </c>
      <c r="AA4133" s="2" t="s">
        <v>82</v>
      </c>
      <c r="AB4133" s="2">
        <v>9</v>
      </c>
      <c r="AC4133" s="2" t="s">
        <v>124</v>
      </c>
      <c r="AD4133" s="3">
        <v>40459</v>
      </c>
      <c r="AE4133" s="4">
        <v>0.11388888888888889</v>
      </c>
      <c r="AF4133" s="2"/>
      <c r="AG4133" s="2"/>
      <c r="AH4133" s="2">
        <v>6</v>
      </c>
      <c r="AI4133" s="2" t="s">
        <v>197</v>
      </c>
      <c r="AJ4133" s="2">
        <v>60</v>
      </c>
      <c r="AK4133" s="2" t="s">
        <v>543</v>
      </c>
      <c r="AL4133" s="2">
        <v>19</v>
      </c>
      <c r="AM4133" s="2" t="s">
        <v>107</v>
      </c>
      <c r="AN4133" s="2" t="s">
        <v>82</v>
      </c>
      <c r="AO4133" s="2" t="s">
        <v>12982</v>
      </c>
      <c r="AP4133" s="2">
        <v>11</v>
      </c>
      <c r="AQ4133" s="2" t="s">
        <v>82</v>
      </c>
      <c r="AR4133" s="2"/>
      <c r="AS4133" s="2"/>
      <c r="AT4133" s="2" t="s">
        <v>12983</v>
      </c>
      <c r="AU4133" s="2"/>
      <c r="AV4133" s="2">
        <v>1</v>
      </c>
      <c r="AW4133" s="2"/>
      <c r="AX4133" s="2"/>
      <c r="AY4133" s="2">
        <v>41</v>
      </c>
      <c r="AZ4133" s="2" t="s">
        <v>82</v>
      </c>
      <c r="BA4133" s="2">
        <v>41</v>
      </c>
      <c r="BB4133" s="2" t="s">
        <v>82</v>
      </c>
      <c r="BC4133" s="2">
        <v>41</v>
      </c>
      <c r="BD4133" s="2" t="s">
        <v>82</v>
      </c>
      <c r="BE4133" s="2">
        <v>41</v>
      </c>
      <c r="BF4133" s="2" t="s">
        <v>82</v>
      </c>
      <c r="BG4133" s="2"/>
      <c r="BH4133" s="2"/>
      <c r="BI4133" s="2"/>
      <c r="BJ4133" s="2">
        <v>241</v>
      </c>
      <c r="BK4133" s="2" t="s">
        <v>82</v>
      </c>
      <c r="BL4133" s="2"/>
      <c r="BM4133" s="2">
        <v>241</v>
      </c>
      <c r="BN4133" s="2" t="s">
        <v>82</v>
      </c>
      <c r="BO4133" s="2"/>
      <c r="BP4133" s="2">
        <v>241</v>
      </c>
      <c r="BQ4133" s="2" t="s">
        <v>82</v>
      </c>
      <c r="BR4133" s="2"/>
      <c r="BS4133" s="3">
        <v>40459</v>
      </c>
      <c r="BT4133" s="4">
        <v>0.43839120370370371</v>
      </c>
    </row>
    <row r="4134" spans="1:72" x14ac:dyDescent="0.25">
      <c r="A4134" s="2">
        <v>6216</v>
      </c>
      <c r="B4134" s="2">
        <v>2010</v>
      </c>
      <c r="C4134" s="2" t="s">
        <v>196</v>
      </c>
      <c r="D4134" s="2" t="s">
        <v>122</v>
      </c>
      <c r="E4134" s="2"/>
      <c r="F4134" s="2">
        <v>1</v>
      </c>
      <c r="G4134" s="2" t="s">
        <v>82</v>
      </c>
      <c r="H4134" s="2">
        <v>1</v>
      </c>
      <c r="I4134" s="2" t="s">
        <v>82</v>
      </c>
      <c r="J4134" s="2">
        <v>1</v>
      </c>
      <c r="K4134" s="2" t="s">
        <v>107</v>
      </c>
      <c r="L4134" s="2" t="s">
        <v>107</v>
      </c>
      <c r="M4134" s="3">
        <v>40459</v>
      </c>
      <c r="N4134" s="2" t="s">
        <v>82</v>
      </c>
      <c r="O4134" s="2" t="s">
        <v>82</v>
      </c>
      <c r="P4134" s="2" t="s">
        <v>82</v>
      </c>
      <c r="Q4134" s="2" t="str">
        <f>"N/C"</f>
        <v>N/C</v>
      </c>
      <c r="R4134" s="2" t="s">
        <v>82</v>
      </c>
      <c r="S4134" s="2" t="s">
        <v>82</v>
      </c>
      <c r="T4134" s="2">
        <v>2</v>
      </c>
      <c r="U4134" s="2" t="s">
        <v>123</v>
      </c>
      <c r="V4134" s="2">
        <v>1</v>
      </c>
      <c r="W4134" s="2" t="s">
        <v>80</v>
      </c>
      <c r="X4134" s="2">
        <v>11</v>
      </c>
      <c r="Y4134" s="2" t="s">
        <v>1920</v>
      </c>
      <c r="Z4134" s="2">
        <v>10</v>
      </c>
      <c r="AA4134" s="2" t="s">
        <v>236</v>
      </c>
      <c r="AB4134" s="2">
        <v>9</v>
      </c>
      <c r="AC4134" s="2" t="s">
        <v>124</v>
      </c>
      <c r="AD4134" s="3">
        <v>40459</v>
      </c>
      <c r="AE4134" s="4">
        <v>0.33333333333333331</v>
      </c>
      <c r="AF4134" s="2"/>
      <c r="AG4134" s="2"/>
      <c r="AH4134" s="2">
        <v>2</v>
      </c>
      <c r="AI4134" s="2" t="s">
        <v>84</v>
      </c>
      <c r="AJ4134" s="2">
        <v>12</v>
      </c>
      <c r="AK4134" s="2" t="s">
        <v>85</v>
      </c>
      <c r="AL4134" s="2">
        <v>20</v>
      </c>
      <c r="AM4134" s="2" t="s">
        <v>992</v>
      </c>
      <c r="AN4134" s="2" t="s">
        <v>107</v>
      </c>
      <c r="AO4134" s="2" t="s">
        <v>107</v>
      </c>
      <c r="AP4134" s="2">
        <v>11</v>
      </c>
      <c r="AQ4134" s="2" t="s">
        <v>82</v>
      </c>
      <c r="AR4134" s="2" t="s">
        <v>82</v>
      </c>
      <c r="AS4134" s="2" t="s">
        <v>82</v>
      </c>
      <c r="AT4134" s="2" t="s">
        <v>12984</v>
      </c>
      <c r="AU4134" s="2"/>
      <c r="AV4134" s="2"/>
      <c r="AW4134" s="2"/>
      <c r="AX4134" s="2"/>
      <c r="AY4134" s="2">
        <v>41</v>
      </c>
      <c r="AZ4134" s="2" t="s">
        <v>82</v>
      </c>
      <c r="BA4134" s="2">
        <v>41</v>
      </c>
      <c r="BB4134" s="2" t="s">
        <v>82</v>
      </c>
      <c r="BC4134" s="2">
        <v>41</v>
      </c>
      <c r="BD4134" s="2" t="s">
        <v>82</v>
      </c>
      <c r="BE4134" s="2">
        <v>41</v>
      </c>
      <c r="BF4134" s="2" t="s">
        <v>82</v>
      </c>
      <c r="BG4134" s="2"/>
      <c r="BH4134" s="4">
        <v>0.45</v>
      </c>
      <c r="BI4134" s="4">
        <v>0.45624999999999999</v>
      </c>
      <c r="BJ4134" s="2">
        <v>4</v>
      </c>
      <c r="BK4134" s="2" t="s">
        <v>618</v>
      </c>
      <c r="BL4134" s="2" t="s">
        <v>107</v>
      </c>
      <c r="BM4134" s="2">
        <v>13</v>
      </c>
      <c r="BN4134" s="2" t="s">
        <v>91</v>
      </c>
      <c r="BO4134" s="2"/>
      <c r="BP4134" s="2">
        <v>13</v>
      </c>
      <c r="BQ4134" s="2" t="s">
        <v>91</v>
      </c>
      <c r="BR4134" s="2" t="s">
        <v>185</v>
      </c>
      <c r="BS4134" s="3">
        <v>40459</v>
      </c>
      <c r="BT4134" s="4">
        <v>0.47797453703703702</v>
      </c>
    </row>
    <row r="4135" spans="1:72" x14ac:dyDescent="0.25">
      <c r="A4135" s="2">
        <v>6219</v>
      </c>
      <c r="B4135" s="2">
        <v>2010</v>
      </c>
      <c r="C4135" s="2" t="s">
        <v>4543</v>
      </c>
      <c r="D4135" s="2" t="s">
        <v>122</v>
      </c>
      <c r="E4135" s="2"/>
      <c r="F4135" s="2">
        <v>1</v>
      </c>
      <c r="G4135" s="2" t="s">
        <v>82</v>
      </c>
      <c r="H4135" s="2">
        <v>1</v>
      </c>
      <c r="I4135" s="2" t="s">
        <v>82</v>
      </c>
      <c r="J4135" s="2">
        <v>1</v>
      </c>
      <c r="K4135" s="2" t="s">
        <v>107</v>
      </c>
      <c r="L4135" s="2" t="s">
        <v>107</v>
      </c>
      <c r="M4135" s="3">
        <v>40459</v>
      </c>
      <c r="N4135" s="2"/>
      <c r="O4135" s="2"/>
      <c r="P4135" s="2"/>
      <c r="Q4135" s="2" t="str">
        <f>""</f>
        <v/>
      </c>
      <c r="R4135" s="2"/>
      <c r="S4135" s="2"/>
      <c r="T4135" s="2">
        <v>2</v>
      </c>
      <c r="U4135" s="2" t="s">
        <v>123</v>
      </c>
      <c r="V4135" s="2">
        <v>1</v>
      </c>
      <c r="W4135" s="2" t="s">
        <v>80</v>
      </c>
      <c r="X4135" s="2">
        <v>11</v>
      </c>
      <c r="Y4135" s="2" t="s">
        <v>1920</v>
      </c>
      <c r="Z4135" s="2">
        <v>1</v>
      </c>
      <c r="AA4135" s="2" t="s">
        <v>82</v>
      </c>
      <c r="AB4135" s="2">
        <v>9</v>
      </c>
      <c r="AC4135" s="2" t="s">
        <v>124</v>
      </c>
      <c r="AD4135" s="3">
        <v>40459</v>
      </c>
      <c r="AE4135" s="4">
        <v>0.4826388888888889</v>
      </c>
      <c r="AF4135" s="2"/>
      <c r="AG4135" s="2"/>
      <c r="AH4135" s="2">
        <v>6</v>
      </c>
      <c r="AI4135" s="2" t="s">
        <v>197</v>
      </c>
      <c r="AJ4135" s="2">
        <v>54</v>
      </c>
      <c r="AK4135" s="2" t="s">
        <v>348</v>
      </c>
      <c r="AL4135" s="2">
        <v>19</v>
      </c>
      <c r="AM4135" s="2" t="s">
        <v>107</v>
      </c>
      <c r="AN4135" s="2" t="s">
        <v>595</v>
      </c>
      <c r="AO4135" s="2" t="s">
        <v>200</v>
      </c>
      <c r="AP4135" s="2">
        <v>12</v>
      </c>
      <c r="AQ4135" s="2" t="s">
        <v>322</v>
      </c>
      <c r="AR4135" s="2" t="s">
        <v>596</v>
      </c>
      <c r="AS4135" s="2" t="s">
        <v>596</v>
      </c>
      <c r="AT4135" s="2" t="s">
        <v>12985</v>
      </c>
      <c r="AU4135" s="2"/>
      <c r="AV4135" s="2"/>
      <c r="AW4135" s="2"/>
      <c r="AX4135" s="2"/>
      <c r="AY4135" s="2">
        <v>41</v>
      </c>
      <c r="AZ4135" s="2" t="s">
        <v>82</v>
      </c>
      <c r="BA4135" s="2">
        <v>41</v>
      </c>
      <c r="BB4135" s="2" t="s">
        <v>82</v>
      </c>
      <c r="BC4135" s="2">
        <v>41</v>
      </c>
      <c r="BD4135" s="2" t="s">
        <v>82</v>
      </c>
      <c r="BE4135" s="2">
        <v>47</v>
      </c>
      <c r="BF4135" s="2" t="s">
        <v>167</v>
      </c>
      <c r="BG4135" s="2" t="s">
        <v>4192</v>
      </c>
      <c r="BH4135" s="4">
        <v>0.4375</v>
      </c>
      <c r="BI4135" s="4">
        <v>0.4826388888888889</v>
      </c>
      <c r="BJ4135" s="2">
        <v>13</v>
      </c>
      <c r="BK4135" s="2" t="s">
        <v>91</v>
      </c>
      <c r="BL4135" s="2" t="s">
        <v>7629</v>
      </c>
      <c r="BM4135" s="2">
        <v>241</v>
      </c>
      <c r="BN4135" s="2" t="s">
        <v>82</v>
      </c>
      <c r="BO4135" s="2"/>
      <c r="BP4135" s="2">
        <v>13</v>
      </c>
      <c r="BQ4135" s="2" t="s">
        <v>91</v>
      </c>
      <c r="BR4135" s="2" t="s">
        <v>905</v>
      </c>
      <c r="BS4135" s="3">
        <v>40459</v>
      </c>
      <c r="BT4135" s="4">
        <v>0.50864583333333335</v>
      </c>
    </row>
    <row r="4136" spans="1:72" x14ac:dyDescent="0.25">
      <c r="A4136" s="2">
        <v>6220</v>
      </c>
      <c r="B4136" s="2">
        <v>2010</v>
      </c>
      <c r="C4136" s="2" t="s">
        <v>147</v>
      </c>
      <c r="D4136" s="2" t="s">
        <v>122</v>
      </c>
      <c r="E4136" s="2" t="s">
        <v>12986</v>
      </c>
      <c r="F4136" s="2">
        <v>1</v>
      </c>
      <c r="G4136" s="2" t="s">
        <v>82</v>
      </c>
      <c r="H4136" s="2">
        <v>1</v>
      </c>
      <c r="I4136" s="2" t="s">
        <v>82</v>
      </c>
      <c r="J4136" s="2">
        <v>1</v>
      </c>
      <c r="K4136" s="2" t="s">
        <v>107</v>
      </c>
      <c r="L4136" s="2" t="s">
        <v>107</v>
      </c>
      <c r="M4136" s="3">
        <v>40459</v>
      </c>
      <c r="N4136" s="2"/>
      <c r="O4136" s="2"/>
      <c r="P4136" s="2"/>
      <c r="Q4136" s="2" t="str">
        <f>""</f>
        <v/>
      </c>
      <c r="R4136" s="2"/>
      <c r="S4136" s="2"/>
      <c r="T4136" s="2">
        <v>2</v>
      </c>
      <c r="U4136" s="2" t="s">
        <v>123</v>
      </c>
      <c r="V4136" s="2">
        <v>1</v>
      </c>
      <c r="W4136" s="2" t="s">
        <v>80</v>
      </c>
      <c r="X4136" s="2">
        <v>12</v>
      </c>
      <c r="Y4136" s="2" t="s">
        <v>148</v>
      </c>
      <c r="Z4136" s="2">
        <v>7</v>
      </c>
      <c r="AA4136" s="2" t="s">
        <v>1462</v>
      </c>
      <c r="AB4136" s="2">
        <v>9</v>
      </c>
      <c r="AC4136" s="2" t="s">
        <v>124</v>
      </c>
      <c r="AD4136" s="3">
        <v>40455</v>
      </c>
      <c r="AE4136" s="4">
        <v>0.66666666666666663</v>
      </c>
      <c r="AF4136" s="3">
        <v>40456</v>
      </c>
      <c r="AG4136" s="4">
        <v>0.375</v>
      </c>
      <c r="AH4136" s="2">
        <v>6</v>
      </c>
      <c r="AI4136" s="2" t="s">
        <v>197</v>
      </c>
      <c r="AJ4136" s="2">
        <v>50</v>
      </c>
      <c r="AK4136" s="2" t="s">
        <v>330</v>
      </c>
      <c r="AL4136" s="2">
        <v>23</v>
      </c>
      <c r="AM4136" s="2" t="s">
        <v>251</v>
      </c>
      <c r="AN4136" s="2" t="s">
        <v>12838</v>
      </c>
      <c r="AO4136" s="2" t="s">
        <v>12839</v>
      </c>
      <c r="AP4136" s="2">
        <v>11</v>
      </c>
      <c r="AQ4136" s="2" t="s">
        <v>82</v>
      </c>
      <c r="AR4136" s="2"/>
      <c r="AS4136" s="2"/>
      <c r="AT4136" s="2" t="s">
        <v>12987</v>
      </c>
      <c r="AU4136" s="2"/>
      <c r="AV4136" s="2"/>
      <c r="AW4136" s="2"/>
      <c r="AX4136" s="2"/>
      <c r="AY4136" s="2">
        <v>41</v>
      </c>
      <c r="AZ4136" s="2" t="s">
        <v>82</v>
      </c>
      <c r="BA4136" s="2">
        <v>41</v>
      </c>
      <c r="BB4136" s="2" t="s">
        <v>82</v>
      </c>
      <c r="BC4136" s="2">
        <v>41</v>
      </c>
      <c r="BD4136" s="2" t="s">
        <v>82</v>
      </c>
      <c r="BE4136" s="2">
        <v>41</v>
      </c>
      <c r="BF4136" s="2" t="s">
        <v>82</v>
      </c>
      <c r="BG4136" s="2"/>
      <c r="BH4136" s="2"/>
      <c r="BI4136" s="2"/>
      <c r="BJ4136" s="2">
        <v>241</v>
      </c>
      <c r="BK4136" s="2" t="s">
        <v>82</v>
      </c>
      <c r="BL4136" s="2"/>
      <c r="BM4136" s="2">
        <v>241</v>
      </c>
      <c r="BN4136" s="2" t="s">
        <v>82</v>
      </c>
      <c r="BO4136" s="2"/>
      <c r="BP4136" s="2">
        <v>241</v>
      </c>
      <c r="BQ4136" s="2" t="s">
        <v>82</v>
      </c>
      <c r="BR4136" s="2"/>
      <c r="BS4136" s="3">
        <v>40459</v>
      </c>
      <c r="BT4136" s="4">
        <v>0.50916666666666666</v>
      </c>
    </row>
    <row r="4137" spans="1:72" x14ac:dyDescent="0.25">
      <c r="A4137" s="2">
        <v>6224</v>
      </c>
      <c r="B4137" s="2">
        <v>2010</v>
      </c>
      <c r="C4137" s="2" t="s">
        <v>385</v>
      </c>
      <c r="D4137" s="2" t="s">
        <v>122</v>
      </c>
      <c r="E4137" s="2" t="s">
        <v>12988</v>
      </c>
      <c r="F4137" s="2">
        <v>391</v>
      </c>
      <c r="G4137" s="2" t="s">
        <v>2400</v>
      </c>
      <c r="H4137" s="2">
        <v>2</v>
      </c>
      <c r="I4137" s="2" t="s">
        <v>267</v>
      </c>
      <c r="J4137" s="2">
        <v>399</v>
      </c>
      <c r="K4137" s="2" t="s">
        <v>1820</v>
      </c>
      <c r="L4137" s="2" t="s">
        <v>1821</v>
      </c>
      <c r="M4137" s="3">
        <v>40459</v>
      </c>
      <c r="N4137" s="2" t="s">
        <v>5653</v>
      </c>
      <c r="O4137" s="2" t="s">
        <v>107</v>
      </c>
      <c r="P4137" s="2" t="s">
        <v>107</v>
      </c>
      <c r="Q4137" s="2" t="str">
        <f>"520-E/10"</f>
        <v>520-E/10</v>
      </c>
      <c r="R4137" s="2" t="s">
        <v>2408</v>
      </c>
      <c r="S4137" s="2" t="s">
        <v>2408</v>
      </c>
      <c r="T4137" s="2">
        <v>1</v>
      </c>
      <c r="U4137" s="2" t="s">
        <v>79</v>
      </c>
      <c r="V4137" s="2">
        <v>1</v>
      </c>
      <c r="W4137" s="2" t="s">
        <v>80</v>
      </c>
      <c r="X4137" s="2">
        <v>10</v>
      </c>
      <c r="Y4137" s="2" t="s">
        <v>226</v>
      </c>
      <c r="Z4137" s="2">
        <v>6</v>
      </c>
      <c r="AA4137" s="2" t="s">
        <v>101</v>
      </c>
      <c r="AB4137" s="2">
        <v>9</v>
      </c>
      <c r="AC4137" s="2" t="s">
        <v>124</v>
      </c>
      <c r="AD4137" s="3">
        <v>40459</v>
      </c>
      <c r="AE4137" s="4">
        <v>0.33333333333333331</v>
      </c>
      <c r="AF4137" s="2"/>
      <c r="AG4137" s="2"/>
      <c r="AH4137" s="2">
        <v>2</v>
      </c>
      <c r="AI4137" s="2" t="s">
        <v>84</v>
      </c>
      <c r="AJ4137" s="2">
        <v>9</v>
      </c>
      <c r="AK4137" s="2" t="s">
        <v>103</v>
      </c>
      <c r="AL4137" s="2">
        <v>14</v>
      </c>
      <c r="AM4137" s="2" t="s">
        <v>216</v>
      </c>
      <c r="AN4137" s="2" t="s">
        <v>105</v>
      </c>
      <c r="AO4137" s="2" t="s">
        <v>82</v>
      </c>
      <c r="AP4137" s="2">
        <v>11</v>
      </c>
      <c r="AQ4137" s="2" t="s">
        <v>82</v>
      </c>
      <c r="AR4137" s="2"/>
      <c r="AS4137" s="2"/>
      <c r="AT4137" s="2" t="s">
        <v>12989</v>
      </c>
      <c r="AU4137" s="2"/>
      <c r="AV4137" s="2">
        <v>2</v>
      </c>
      <c r="AW4137" s="2"/>
      <c r="AX4137" s="2"/>
      <c r="AY4137" s="2">
        <v>41</v>
      </c>
      <c r="AZ4137" s="2" t="s">
        <v>82</v>
      </c>
      <c r="BA4137" s="2">
        <v>41</v>
      </c>
      <c r="BB4137" s="2" t="s">
        <v>82</v>
      </c>
      <c r="BC4137" s="2">
        <v>41</v>
      </c>
      <c r="BD4137" s="2" t="s">
        <v>82</v>
      </c>
      <c r="BE4137" s="2">
        <v>14</v>
      </c>
      <c r="BF4137" s="2" t="s">
        <v>484</v>
      </c>
      <c r="BG4137" s="2" t="s">
        <v>3450</v>
      </c>
      <c r="BH4137" s="2"/>
      <c r="BI4137" s="4">
        <v>0.83333333333333337</v>
      </c>
      <c r="BJ4137" s="2">
        <v>13</v>
      </c>
      <c r="BK4137" s="2" t="s">
        <v>91</v>
      </c>
      <c r="BL4137" s="2" t="s">
        <v>185</v>
      </c>
      <c r="BM4137" s="2">
        <v>82</v>
      </c>
      <c r="BN4137" s="2" t="s">
        <v>487</v>
      </c>
      <c r="BO4137" s="2"/>
      <c r="BP4137" s="2">
        <v>82</v>
      </c>
      <c r="BQ4137" s="2" t="s">
        <v>487</v>
      </c>
      <c r="BR4137" s="2" t="s">
        <v>488</v>
      </c>
      <c r="BS4137" s="3">
        <v>40459</v>
      </c>
      <c r="BT4137" s="4">
        <v>0.5599884259259259</v>
      </c>
    </row>
    <row r="4138" spans="1:72" x14ac:dyDescent="0.25">
      <c r="A4138" s="2">
        <v>6225</v>
      </c>
      <c r="B4138" s="2">
        <v>2010</v>
      </c>
      <c r="C4138" s="2" t="s">
        <v>171</v>
      </c>
      <c r="D4138" s="2" t="s">
        <v>122</v>
      </c>
      <c r="E4138" s="2" t="s">
        <v>12978</v>
      </c>
      <c r="F4138" s="2">
        <v>396</v>
      </c>
      <c r="G4138" s="2" t="s">
        <v>2159</v>
      </c>
      <c r="H4138" s="2">
        <v>8</v>
      </c>
      <c r="I4138" s="2" t="s">
        <v>3451</v>
      </c>
      <c r="J4138" s="2">
        <v>243</v>
      </c>
      <c r="K4138" s="2" t="s">
        <v>2160</v>
      </c>
      <c r="L4138" s="2" t="s">
        <v>2145</v>
      </c>
      <c r="M4138" s="3">
        <v>40459</v>
      </c>
      <c r="N4138" s="2" t="s">
        <v>6110</v>
      </c>
      <c r="O4138" s="2" t="s">
        <v>107</v>
      </c>
      <c r="P4138" s="2" t="s">
        <v>107</v>
      </c>
      <c r="Q4138" s="2" t="str">
        <f>"519-E/10"</f>
        <v>519-E/10</v>
      </c>
      <c r="R4138" s="2" t="s">
        <v>391</v>
      </c>
      <c r="S4138" s="2" t="s">
        <v>391</v>
      </c>
      <c r="T4138" s="2">
        <v>1</v>
      </c>
      <c r="U4138" s="2" t="s">
        <v>79</v>
      </c>
      <c r="V4138" s="2">
        <v>1</v>
      </c>
      <c r="W4138" s="2" t="s">
        <v>80</v>
      </c>
      <c r="X4138" s="2">
        <v>1</v>
      </c>
      <c r="Y4138" s="2" t="s">
        <v>81</v>
      </c>
      <c r="Z4138" s="2">
        <v>1</v>
      </c>
      <c r="AA4138" s="2" t="s">
        <v>82</v>
      </c>
      <c r="AB4138" s="2">
        <v>1</v>
      </c>
      <c r="AC4138" s="2" t="s">
        <v>178</v>
      </c>
      <c r="AD4138" s="3">
        <v>40458</v>
      </c>
      <c r="AE4138" s="4">
        <v>0.48958333333333331</v>
      </c>
      <c r="AF4138" s="2"/>
      <c r="AG4138" s="2"/>
      <c r="AH4138" s="2">
        <v>2</v>
      </c>
      <c r="AI4138" s="2" t="s">
        <v>84</v>
      </c>
      <c r="AJ4138" s="2">
        <v>9</v>
      </c>
      <c r="AK4138" s="2" t="s">
        <v>103</v>
      </c>
      <c r="AL4138" s="2">
        <v>14</v>
      </c>
      <c r="AM4138" s="2" t="s">
        <v>216</v>
      </c>
      <c r="AN4138" s="2" t="s">
        <v>179</v>
      </c>
      <c r="AO4138" s="2" t="s">
        <v>82</v>
      </c>
      <c r="AP4138" s="2">
        <v>11</v>
      </c>
      <c r="AQ4138" s="2" t="s">
        <v>82</v>
      </c>
      <c r="AR4138" s="2"/>
      <c r="AS4138" s="2"/>
      <c r="AT4138" s="2" t="s">
        <v>12990</v>
      </c>
      <c r="AU4138" s="2"/>
      <c r="AV4138" s="2">
        <v>1</v>
      </c>
      <c r="AW4138" s="2"/>
      <c r="AX4138" s="2"/>
      <c r="AY4138" s="2">
        <v>41</v>
      </c>
      <c r="AZ4138" s="2" t="s">
        <v>82</v>
      </c>
      <c r="BA4138" s="2">
        <v>41</v>
      </c>
      <c r="BB4138" s="2" t="s">
        <v>82</v>
      </c>
      <c r="BC4138" s="2">
        <v>41</v>
      </c>
      <c r="BD4138" s="2" t="s">
        <v>82</v>
      </c>
      <c r="BE4138" s="2">
        <v>23</v>
      </c>
      <c r="BF4138" s="2" t="s">
        <v>183</v>
      </c>
      <c r="BG4138" s="2" t="s">
        <v>184</v>
      </c>
      <c r="BH4138" s="4">
        <v>0.58333333333333337</v>
      </c>
      <c r="BI4138" s="2"/>
      <c r="BJ4138" s="2">
        <v>13</v>
      </c>
      <c r="BK4138" s="2" t="s">
        <v>91</v>
      </c>
      <c r="BL4138" s="2" t="s">
        <v>185</v>
      </c>
      <c r="BM4138" s="2">
        <v>73</v>
      </c>
      <c r="BN4138" s="2" t="s">
        <v>186</v>
      </c>
      <c r="BO4138" s="2"/>
      <c r="BP4138" s="2">
        <v>73</v>
      </c>
      <c r="BQ4138" s="2" t="s">
        <v>186</v>
      </c>
      <c r="BR4138" s="2" t="s">
        <v>187</v>
      </c>
      <c r="BS4138" s="3">
        <v>40459</v>
      </c>
      <c r="BT4138" s="4">
        <v>0.62502314814814819</v>
      </c>
    </row>
    <row r="4139" spans="1:72" x14ac:dyDescent="0.25">
      <c r="A4139" s="2">
        <v>6226</v>
      </c>
      <c r="B4139" s="2">
        <v>2010</v>
      </c>
      <c r="C4139" s="2" t="s">
        <v>72</v>
      </c>
      <c r="D4139" s="2" t="s">
        <v>73</v>
      </c>
      <c r="E4139" s="2"/>
      <c r="F4139" s="2">
        <v>389</v>
      </c>
      <c r="G4139" s="2" t="s">
        <v>1819</v>
      </c>
      <c r="H4139" s="2">
        <v>2</v>
      </c>
      <c r="I4139" s="2" t="s">
        <v>267</v>
      </c>
      <c r="J4139" s="2">
        <v>399</v>
      </c>
      <c r="K4139" s="2" t="s">
        <v>1820</v>
      </c>
      <c r="L4139" s="2" t="s">
        <v>1821</v>
      </c>
      <c r="M4139" s="3">
        <v>40459</v>
      </c>
      <c r="N4139" s="2" t="s">
        <v>12991</v>
      </c>
      <c r="O4139" s="2"/>
      <c r="P4139" s="2"/>
      <c r="Q4139" s="2" t="str">
        <f>"522-E/10"</f>
        <v>522-E/10</v>
      </c>
      <c r="R4139" s="2" t="s">
        <v>601</v>
      </c>
      <c r="S4139" s="2" t="s">
        <v>601</v>
      </c>
      <c r="T4139" s="2">
        <v>1</v>
      </c>
      <c r="U4139" s="2" t="s">
        <v>79</v>
      </c>
      <c r="V4139" s="2">
        <v>1</v>
      </c>
      <c r="W4139" s="2" t="s">
        <v>80</v>
      </c>
      <c r="X4139" s="2">
        <v>12</v>
      </c>
      <c r="Y4139" s="2" t="s">
        <v>148</v>
      </c>
      <c r="Z4139" s="2">
        <v>1</v>
      </c>
      <c r="AA4139" s="2" t="s">
        <v>82</v>
      </c>
      <c r="AB4139" s="2">
        <v>6</v>
      </c>
      <c r="AC4139" s="2" t="s">
        <v>83</v>
      </c>
      <c r="AD4139" s="3">
        <v>40459</v>
      </c>
      <c r="AE4139" s="2"/>
      <c r="AF4139" s="3">
        <v>40459</v>
      </c>
      <c r="AG4139" s="4">
        <v>0.43055555555555558</v>
      </c>
      <c r="AH4139" s="2">
        <v>2</v>
      </c>
      <c r="AI4139" s="2" t="s">
        <v>84</v>
      </c>
      <c r="AJ4139" s="2">
        <v>9</v>
      </c>
      <c r="AK4139" s="2" t="s">
        <v>103</v>
      </c>
      <c r="AL4139" s="2">
        <v>22</v>
      </c>
      <c r="AM4139" s="2" t="s">
        <v>1853</v>
      </c>
      <c r="AN4139" s="2" t="s">
        <v>12992</v>
      </c>
      <c r="AO4139" s="2" t="s">
        <v>12699</v>
      </c>
      <c r="AP4139" s="2">
        <v>11</v>
      </c>
      <c r="AQ4139" s="2" t="s">
        <v>82</v>
      </c>
      <c r="AR4139" s="2"/>
      <c r="AS4139" s="2"/>
      <c r="AT4139" s="2" t="s">
        <v>12993</v>
      </c>
      <c r="AU4139" s="2"/>
      <c r="AV4139" s="2"/>
      <c r="AW4139" s="2"/>
      <c r="AX4139" s="2"/>
      <c r="AY4139" s="2">
        <v>41</v>
      </c>
      <c r="AZ4139" s="2" t="s">
        <v>82</v>
      </c>
      <c r="BA4139" s="2">
        <v>41</v>
      </c>
      <c r="BB4139" s="2" t="s">
        <v>82</v>
      </c>
      <c r="BC4139" s="2">
        <v>41</v>
      </c>
      <c r="BD4139" s="2" t="s">
        <v>82</v>
      </c>
      <c r="BE4139" s="2">
        <v>31</v>
      </c>
      <c r="BF4139" s="2" t="s">
        <v>398</v>
      </c>
      <c r="BG4139" s="2" t="s">
        <v>1430</v>
      </c>
      <c r="BH4139" s="4">
        <v>0.34375</v>
      </c>
      <c r="BI4139" s="2"/>
      <c r="BJ4139" s="2">
        <v>73</v>
      </c>
      <c r="BK4139" s="2" t="s">
        <v>186</v>
      </c>
      <c r="BL4139" s="2" t="s">
        <v>187</v>
      </c>
      <c r="BM4139" s="2">
        <v>13</v>
      </c>
      <c r="BN4139" s="2" t="s">
        <v>91</v>
      </c>
      <c r="BO4139" s="2"/>
      <c r="BP4139" s="2">
        <v>13</v>
      </c>
      <c r="BQ4139" s="2" t="s">
        <v>91</v>
      </c>
      <c r="BR4139" s="2" t="s">
        <v>360</v>
      </c>
      <c r="BS4139" s="3">
        <v>40459</v>
      </c>
      <c r="BT4139" s="4">
        <v>0.65828703703703706</v>
      </c>
    </row>
    <row r="4140" spans="1:72" x14ac:dyDescent="0.25">
      <c r="A4140" s="2">
        <v>6228</v>
      </c>
      <c r="B4140" s="2">
        <v>2010</v>
      </c>
      <c r="C4140" s="2" t="s">
        <v>121</v>
      </c>
      <c r="D4140" s="2" t="s">
        <v>122</v>
      </c>
      <c r="E4140" s="2"/>
      <c r="F4140" s="2">
        <v>1</v>
      </c>
      <c r="G4140" s="2" t="s">
        <v>82</v>
      </c>
      <c r="H4140" s="2">
        <v>1</v>
      </c>
      <c r="I4140" s="2" t="s">
        <v>82</v>
      </c>
      <c r="J4140" s="2">
        <v>1</v>
      </c>
      <c r="K4140" s="2" t="s">
        <v>107</v>
      </c>
      <c r="L4140" s="2" t="s">
        <v>107</v>
      </c>
      <c r="M4140" s="3">
        <v>40459</v>
      </c>
      <c r="N4140" s="2"/>
      <c r="O4140" s="2"/>
      <c r="P4140" s="2"/>
      <c r="Q4140" s="2" t="str">
        <f>""</f>
        <v/>
      </c>
      <c r="R4140" s="2"/>
      <c r="S4140" s="2"/>
      <c r="T4140" s="2">
        <v>2</v>
      </c>
      <c r="U4140" s="2" t="s">
        <v>123</v>
      </c>
      <c r="V4140" s="2">
        <v>1</v>
      </c>
      <c r="W4140" s="2" t="s">
        <v>80</v>
      </c>
      <c r="X4140" s="2">
        <v>11</v>
      </c>
      <c r="Y4140" s="2" t="s">
        <v>1920</v>
      </c>
      <c r="Z4140" s="2">
        <v>1</v>
      </c>
      <c r="AA4140" s="2" t="s">
        <v>82</v>
      </c>
      <c r="AB4140" s="2">
        <v>9</v>
      </c>
      <c r="AC4140" s="2" t="s">
        <v>124</v>
      </c>
      <c r="AD4140" s="3">
        <v>40459</v>
      </c>
      <c r="AE4140" s="4">
        <v>0.71180555555555547</v>
      </c>
      <c r="AF4140" s="2"/>
      <c r="AG4140" s="2"/>
      <c r="AH4140" s="2">
        <v>4</v>
      </c>
      <c r="AI4140" s="2" t="s">
        <v>125</v>
      </c>
      <c r="AJ4140" s="2">
        <v>28</v>
      </c>
      <c r="AK4140" s="2" t="s">
        <v>741</v>
      </c>
      <c r="AL4140" s="2">
        <v>10</v>
      </c>
      <c r="AM4140" s="2" t="s">
        <v>200</v>
      </c>
      <c r="AN4140" s="2"/>
      <c r="AO4140" s="2"/>
      <c r="AP4140" s="2">
        <v>11</v>
      </c>
      <c r="AQ4140" s="2" t="s">
        <v>82</v>
      </c>
      <c r="AR4140" s="2"/>
      <c r="AS4140" s="2"/>
      <c r="AT4140" s="2" t="s">
        <v>12994</v>
      </c>
      <c r="AU4140" s="2"/>
      <c r="AV4140" s="2"/>
      <c r="AW4140" s="2"/>
      <c r="AX4140" s="2"/>
      <c r="AY4140" s="2">
        <v>41</v>
      </c>
      <c r="AZ4140" s="2" t="s">
        <v>82</v>
      </c>
      <c r="BA4140" s="2">
        <v>41</v>
      </c>
      <c r="BB4140" s="2" t="s">
        <v>82</v>
      </c>
      <c r="BC4140" s="2">
        <v>41</v>
      </c>
      <c r="BD4140" s="2" t="s">
        <v>82</v>
      </c>
      <c r="BE4140" s="2">
        <v>41</v>
      </c>
      <c r="BF4140" s="2" t="s">
        <v>82</v>
      </c>
      <c r="BG4140" s="2"/>
      <c r="BH4140" s="4">
        <v>0.71180555555555547</v>
      </c>
      <c r="BI4140" s="2"/>
      <c r="BJ4140" s="2">
        <v>13</v>
      </c>
      <c r="BK4140" s="2" t="s">
        <v>91</v>
      </c>
      <c r="BL4140" s="2" t="s">
        <v>5573</v>
      </c>
      <c r="BM4140" s="2">
        <v>13</v>
      </c>
      <c r="BN4140" s="2" t="s">
        <v>91</v>
      </c>
      <c r="BO4140" s="2"/>
      <c r="BP4140" s="2">
        <v>13</v>
      </c>
      <c r="BQ4140" s="2" t="s">
        <v>91</v>
      </c>
      <c r="BR4140" s="2" t="s">
        <v>12995</v>
      </c>
      <c r="BS4140" s="3">
        <v>40459</v>
      </c>
      <c r="BT4140" s="4">
        <v>0.72739583333333335</v>
      </c>
    </row>
    <row r="4141" spans="1:72" x14ac:dyDescent="0.25">
      <c r="A4141" s="2">
        <v>6231</v>
      </c>
      <c r="B4141" s="2">
        <v>2010</v>
      </c>
      <c r="C4141" s="2" t="s">
        <v>147</v>
      </c>
      <c r="D4141" s="2" t="s">
        <v>73</v>
      </c>
      <c r="E4141" s="2"/>
      <c r="F4141" s="2">
        <v>1</v>
      </c>
      <c r="G4141" s="2" t="s">
        <v>82</v>
      </c>
      <c r="H4141" s="2">
        <v>1</v>
      </c>
      <c r="I4141" s="2" t="s">
        <v>82</v>
      </c>
      <c r="J4141" s="2">
        <v>1</v>
      </c>
      <c r="K4141" s="2" t="s">
        <v>107</v>
      </c>
      <c r="L4141" s="2" t="s">
        <v>107</v>
      </c>
      <c r="M4141" s="3">
        <v>40459</v>
      </c>
      <c r="N4141" s="2"/>
      <c r="O4141" s="2"/>
      <c r="P4141" s="2"/>
      <c r="Q4141" s="2" t="str">
        <f>""</f>
        <v/>
      </c>
      <c r="R4141" s="2"/>
      <c r="S4141" s="2"/>
      <c r="T4141" s="2">
        <v>2</v>
      </c>
      <c r="U4141" s="2" t="s">
        <v>123</v>
      </c>
      <c r="V4141" s="2">
        <v>1</v>
      </c>
      <c r="W4141" s="2" t="s">
        <v>80</v>
      </c>
      <c r="X4141" s="2">
        <v>12</v>
      </c>
      <c r="Y4141" s="2" t="s">
        <v>148</v>
      </c>
      <c r="Z4141" s="2">
        <v>1</v>
      </c>
      <c r="AA4141" s="2" t="s">
        <v>82</v>
      </c>
      <c r="AB4141" s="2">
        <v>9</v>
      </c>
      <c r="AC4141" s="2" t="s">
        <v>124</v>
      </c>
      <c r="AD4141" s="3">
        <v>40459</v>
      </c>
      <c r="AE4141" s="2"/>
      <c r="AF4141" s="3">
        <v>40459</v>
      </c>
      <c r="AG4141" s="4">
        <v>0.72222222222222221</v>
      </c>
      <c r="AH4141" s="2">
        <v>3</v>
      </c>
      <c r="AI4141" s="2" t="s">
        <v>214</v>
      </c>
      <c r="AJ4141" s="2">
        <v>17</v>
      </c>
      <c r="AK4141" s="2" t="s">
        <v>309</v>
      </c>
      <c r="AL4141" s="2">
        <v>19</v>
      </c>
      <c r="AM4141" s="2" t="s">
        <v>107</v>
      </c>
      <c r="AN4141" s="2" t="s">
        <v>107</v>
      </c>
      <c r="AO4141" s="2" t="s">
        <v>107</v>
      </c>
      <c r="AP4141" s="2">
        <v>11</v>
      </c>
      <c r="AQ4141" s="2" t="s">
        <v>82</v>
      </c>
      <c r="AR4141" s="2" t="s">
        <v>82</v>
      </c>
      <c r="AS4141" s="2" t="s">
        <v>82</v>
      </c>
      <c r="AT4141" s="2" t="s">
        <v>12996</v>
      </c>
      <c r="AU4141" s="2"/>
      <c r="AV4141" s="2"/>
      <c r="AW4141" s="2"/>
      <c r="AX4141" s="2"/>
      <c r="AY4141" s="2">
        <v>70</v>
      </c>
      <c r="AZ4141" s="2" t="s">
        <v>236</v>
      </c>
      <c r="BA4141" s="2">
        <v>41</v>
      </c>
      <c r="BB4141" s="2" t="s">
        <v>82</v>
      </c>
      <c r="BC4141" s="2">
        <v>41</v>
      </c>
      <c r="BD4141" s="2" t="s">
        <v>82</v>
      </c>
      <c r="BE4141" s="2">
        <v>41</v>
      </c>
      <c r="BF4141" s="2" t="s">
        <v>82</v>
      </c>
      <c r="BG4141" s="2" t="s">
        <v>82</v>
      </c>
      <c r="BH4141" s="2"/>
      <c r="BI4141" s="2"/>
      <c r="BJ4141" s="2">
        <v>241</v>
      </c>
      <c r="BK4141" s="2" t="s">
        <v>82</v>
      </c>
      <c r="BL4141" s="2" t="s">
        <v>82</v>
      </c>
      <c r="BM4141" s="2">
        <v>241</v>
      </c>
      <c r="BN4141" s="2" t="s">
        <v>82</v>
      </c>
      <c r="BO4141" s="2"/>
      <c r="BP4141" s="2">
        <v>241</v>
      </c>
      <c r="BQ4141" s="2" t="s">
        <v>82</v>
      </c>
      <c r="BR4141" s="2" t="s">
        <v>82</v>
      </c>
      <c r="BS4141" s="3">
        <v>40459</v>
      </c>
      <c r="BT4141" s="4">
        <v>0.77731481481481479</v>
      </c>
    </row>
    <row r="4142" spans="1:72" x14ac:dyDescent="0.25">
      <c r="A4142" s="2">
        <v>6234</v>
      </c>
      <c r="B4142" s="2">
        <v>2010</v>
      </c>
      <c r="C4142" s="2" t="s">
        <v>196</v>
      </c>
      <c r="D4142" s="2" t="s">
        <v>122</v>
      </c>
      <c r="E4142" s="2"/>
      <c r="F4142" s="2">
        <v>1</v>
      </c>
      <c r="G4142" s="2" t="s">
        <v>82</v>
      </c>
      <c r="H4142" s="2">
        <v>1</v>
      </c>
      <c r="I4142" s="2" t="s">
        <v>82</v>
      </c>
      <c r="J4142" s="2">
        <v>1</v>
      </c>
      <c r="K4142" s="2" t="s">
        <v>107</v>
      </c>
      <c r="L4142" s="2" t="s">
        <v>107</v>
      </c>
      <c r="M4142" s="3">
        <v>40459</v>
      </c>
      <c r="N4142" s="2"/>
      <c r="O4142" s="2"/>
      <c r="P4142" s="2"/>
      <c r="Q4142" s="2" t="str">
        <f>""</f>
        <v/>
      </c>
      <c r="R4142" s="2"/>
      <c r="S4142" s="2"/>
      <c r="T4142" s="2">
        <v>2</v>
      </c>
      <c r="U4142" s="2" t="s">
        <v>123</v>
      </c>
      <c r="V4142" s="2">
        <v>1</v>
      </c>
      <c r="W4142" s="2" t="s">
        <v>80</v>
      </c>
      <c r="X4142" s="2">
        <v>11</v>
      </c>
      <c r="Y4142" s="2" t="s">
        <v>1920</v>
      </c>
      <c r="Z4142" s="2">
        <v>10</v>
      </c>
      <c r="AA4142" s="2" t="s">
        <v>236</v>
      </c>
      <c r="AB4142" s="2">
        <v>9</v>
      </c>
      <c r="AC4142" s="2" t="s">
        <v>124</v>
      </c>
      <c r="AD4142" s="3">
        <v>40459</v>
      </c>
      <c r="AE4142" s="4">
        <v>0.625</v>
      </c>
      <c r="AF4142" s="2"/>
      <c r="AG4142" s="2"/>
      <c r="AH4142" s="2">
        <v>2</v>
      </c>
      <c r="AI4142" s="2" t="s">
        <v>84</v>
      </c>
      <c r="AJ4142" s="2">
        <v>12</v>
      </c>
      <c r="AK4142" s="2" t="s">
        <v>85</v>
      </c>
      <c r="AL4142" s="2">
        <v>20</v>
      </c>
      <c r="AM4142" s="2" t="s">
        <v>992</v>
      </c>
      <c r="AN4142" s="2"/>
      <c r="AO4142" s="2"/>
      <c r="AP4142" s="2">
        <v>11</v>
      </c>
      <c r="AQ4142" s="2" t="s">
        <v>82</v>
      </c>
      <c r="AR4142" s="2"/>
      <c r="AS4142" s="2"/>
      <c r="AT4142" s="2" t="s">
        <v>12997</v>
      </c>
      <c r="AU4142" s="2"/>
      <c r="AV4142" s="2"/>
      <c r="AW4142" s="2"/>
      <c r="AX4142" s="2"/>
      <c r="AY4142" s="2">
        <v>41</v>
      </c>
      <c r="AZ4142" s="2" t="s">
        <v>82</v>
      </c>
      <c r="BA4142" s="2">
        <v>41</v>
      </c>
      <c r="BB4142" s="2" t="s">
        <v>82</v>
      </c>
      <c r="BC4142" s="2">
        <v>41</v>
      </c>
      <c r="BD4142" s="2" t="s">
        <v>82</v>
      </c>
      <c r="BE4142" s="2">
        <v>41</v>
      </c>
      <c r="BF4142" s="2" t="s">
        <v>82</v>
      </c>
      <c r="BG4142" s="2"/>
      <c r="BH4142" s="4">
        <v>0.73402777777777783</v>
      </c>
      <c r="BI4142" s="4">
        <v>0.74513888888888891</v>
      </c>
      <c r="BJ4142" s="2">
        <v>13</v>
      </c>
      <c r="BK4142" s="2" t="s">
        <v>91</v>
      </c>
      <c r="BL4142" s="2" t="s">
        <v>5573</v>
      </c>
      <c r="BM4142" s="2">
        <v>13</v>
      </c>
      <c r="BN4142" s="2" t="s">
        <v>91</v>
      </c>
      <c r="BO4142" s="2"/>
      <c r="BP4142" s="2">
        <v>13</v>
      </c>
      <c r="BQ4142" s="2" t="s">
        <v>91</v>
      </c>
      <c r="BR4142" s="2" t="s">
        <v>204</v>
      </c>
      <c r="BS4142" s="3">
        <v>40459</v>
      </c>
      <c r="BT4142" s="4">
        <v>0.80125000000000002</v>
      </c>
    </row>
    <row r="4143" spans="1:72" x14ac:dyDescent="0.25">
      <c r="A4143" s="2">
        <v>6241</v>
      </c>
      <c r="B4143" s="2">
        <v>2010</v>
      </c>
      <c r="C4143" s="2" t="s">
        <v>1660</v>
      </c>
      <c r="D4143" s="2" t="s">
        <v>122</v>
      </c>
      <c r="E4143" s="2" t="s">
        <v>12988</v>
      </c>
      <c r="F4143" s="2">
        <v>391</v>
      </c>
      <c r="G4143" s="2" t="s">
        <v>2400</v>
      </c>
      <c r="H4143" s="2">
        <v>2</v>
      </c>
      <c r="I4143" s="2" t="s">
        <v>267</v>
      </c>
      <c r="J4143" s="2">
        <v>399</v>
      </c>
      <c r="K4143" s="2" t="s">
        <v>1820</v>
      </c>
      <c r="L4143" s="2" t="s">
        <v>1821</v>
      </c>
      <c r="M4143" s="3">
        <v>40459</v>
      </c>
      <c r="N4143" s="2" t="s">
        <v>5653</v>
      </c>
      <c r="O4143" s="2" t="s">
        <v>107</v>
      </c>
      <c r="P4143" s="2" t="s">
        <v>107</v>
      </c>
      <c r="Q4143" s="2" t="str">
        <f>"520-E/10"</f>
        <v>520-E/10</v>
      </c>
      <c r="R4143" s="2" t="s">
        <v>2408</v>
      </c>
      <c r="S4143" s="2" t="s">
        <v>2408</v>
      </c>
      <c r="T4143" s="2">
        <v>1</v>
      </c>
      <c r="U4143" s="2" t="s">
        <v>79</v>
      </c>
      <c r="V4143" s="2">
        <v>1</v>
      </c>
      <c r="W4143" s="2" t="s">
        <v>80</v>
      </c>
      <c r="X4143" s="2">
        <v>10</v>
      </c>
      <c r="Y4143" s="2" t="s">
        <v>226</v>
      </c>
      <c r="Z4143" s="2">
        <v>6</v>
      </c>
      <c r="AA4143" s="2" t="s">
        <v>101</v>
      </c>
      <c r="AB4143" s="2">
        <v>3</v>
      </c>
      <c r="AC4143" s="2" t="s">
        <v>1663</v>
      </c>
      <c r="AD4143" s="3">
        <v>40459</v>
      </c>
      <c r="AE4143" s="4">
        <v>0.79166666666666663</v>
      </c>
      <c r="AF4143" s="2"/>
      <c r="AG4143" s="2"/>
      <c r="AH4143" s="2">
        <v>2</v>
      </c>
      <c r="AI4143" s="2" t="s">
        <v>84</v>
      </c>
      <c r="AJ4143" s="2">
        <v>9</v>
      </c>
      <c r="AK4143" s="2" t="s">
        <v>103</v>
      </c>
      <c r="AL4143" s="2">
        <v>14</v>
      </c>
      <c r="AM4143" s="2" t="s">
        <v>216</v>
      </c>
      <c r="AN4143" s="2" t="s">
        <v>105</v>
      </c>
      <c r="AO4143" s="2" t="s">
        <v>82</v>
      </c>
      <c r="AP4143" s="2">
        <v>11</v>
      </c>
      <c r="AQ4143" s="2" t="s">
        <v>82</v>
      </c>
      <c r="AR4143" s="2"/>
      <c r="AS4143" s="2"/>
      <c r="AT4143" s="2" t="s">
        <v>12998</v>
      </c>
      <c r="AU4143" s="2"/>
      <c r="AV4143" s="2">
        <v>2</v>
      </c>
      <c r="AW4143" s="2"/>
      <c r="AX4143" s="2"/>
      <c r="AY4143" s="2">
        <v>41</v>
      </c>
      <c r="AZ4143" s="2" t="s">
        <v>82</v>
      </c>
      <c r="BA4143" s="2">
        <v>41</v>
      </c>
      <c r="BB4143" s="2" t="s">
        <v>82</v>
      </c>
      <c r="BC4143" s="2">
        <v>41</v>
      </c>
      <c r="BD4143" s="2" t="s">
        <v>82</v>
      </c>
      <c r="BE4143" s="2">
        <v>14</v>
      </c>
      <c r="BF4143" s="2" t="s">
        <v>484</v>
      </c>
      <c r="BG4143" s="2" t="s">
        <v>3450</v>
      </c>
      <c r="BH4143" s="2"/>
      <c r="BI4143" s="4">
        <v>0.83333333333333337</v>
      </c>
      <c r="BJ4143" s="2">
        <v>13</v>
      </c>
      <c r="BK4143" s="2" t="s">
        <v>91</v>
      </c>
      <c r="BL4143" s="2" t="s">
        <v>185</v>
      </c>
      <c r="BM4143" s="2">
        <v>82</v>
      </c>
      <c r="BN4143" s="2" t="s">
        <v>487</v>
      </c>
      <c r="BO4143" s="2"/>
      <c r="BP4143" s="2">
        <v>82</v>
      </c>
      <c r="BQ4143" s="2" t="s">
        <v>487</v>
      </c>
      <c r="BR4143" s="2" t="s">
        <v>488</v>
      </c>
      <c r="BS4143" s="3">
        <v>40459</v>
      </c>
      <c r="BT4143" s="4">
        <v>0.83924768518518522</v>
      </c>
    </row>
    <row r="4144" spans="1:72" x14ac:dyDescent="0.25">
      <c r="A4144" s="2">
        <v>6243</v>
      </c>
      <c r="B4144" s="2">
        <v>2010</v>
      </c>
      <c r="C4144" s="2" t="s">
        <v>196</v>
      </c>
      <c r="D4144" s="2" t="s">
        <v>122</v>
      </c>
      <c r="E4144" s="2"/>
      <c r="F4144" s="2">
        <v>1</v>
      </c>
      <c r="G4144" s="2" t="s">
        <v>82</v>
      </c>
      <c r="H4144" s="2">
        <v>1</v>
      </c>
      <c r="I4144" s="2" t="s">
        <v>82</v>
      </c>
      <c r="J4144" s="2">
        <v>1</v>
      </c>
      <c r="K4144" s="2" t="s">
        <v>107</v>
      </c>
      <c r="L4144" s="2" t="s">
        <v>107</v>
      </c>
      <c r="M4144" s="3">
        <v>40459</v>
      </c>
      <c r="N4144" s="2"/>
      <c r="O4144" s="2"/>
      <c r="P4144" s="2"/>
      <c r="Q4144" s="2" t="str">
        <f>""</f>
        <v/>
      </c>
      <c r="R4144" s="2"/>
      <c r="S4144" s="2"/>
      <c r="T4144" s="2">
        <v>2</v>
      </c>
      <c r="U4144" s="2" t="s">
        <v>123</v>
      </c>
      <c r="V4144" s="2">
        <v>1</v>
      </c>
      <c r="W4144" s="2" t="s">
        <v>80</v>
      </c>
      <c r="X4144" s="2">
        <v>5</v>
      </c>
      <c r="Y4144" s="2" t="s">
        <v>82</v>
      </c>
      <c r="Z4144" s="2">
        <v>1</v>
      </c>
      <c r="AA4144" s="2" t="s">
        <v>82</v>
      </c>
      <c r="AB4144" s="2">
        <v>9</v>
      </c>
      <c r="AC4144" s="2" t="s">
        <v>124</v>
      </c>
      <c r="AD4144" s="3">
        <v>40459</v>
      </c>
      <c r="AE4144" s="4">
        <v>0.85763888888888884</v>
      </c>
      <c r="AF4144" s="2"/>
      <c r="AG4144" s="2"/>
      <c r="AH4144" s="2">
        <v>6</v>
      </c>
      <c r="AI4144" s="2" t="s">
        <v>197</v>
      </c>
      <c r="AJ4144" s="2">
        <v>59</v>
      </c>
      <c r="AK4144" s="2" t="s">
        <v>198</v>
      </c>
      <c r="AL4144" s="2">
        <v>19</v>
      </c>
      <c r="AM4144" s="2" t="s">
        <v>107</v>
      </c>
      <c r="AN4144" s="2" t="s">
        <v>230</v>
      </c>
      <c r="AO4144" s="2" t="s">
        <v>259</v>
      </c>
      <c r="AP4144" s="2">
        <v>11</v>
      </c>
      <c r="AQ4144" s="2" t="s">
        <v>82</v>
      </c>
      <c r="AR4144" s="2"/>
      <c r="AS4144" s="2"/>
      <c r="AT4144" s="2" t="s">
        <v>12999</v>
      </c>
      <c r="AU4144" s="2"/>
      <c r="AV4144" s="2"/>
      <c r="AW4144" s="2"/>
      <c r="AX4144" s="2"/>
      <c r="AY4144" s="2">
        <v>41</v>
      </c>
      <c r="AZ4144" s="2" t="s">
        <v>82</v>
      </c>
      <c r="BA4144" s="2">
        <v>41</v>
      </c>
      <c r="BB4144" s="2" t="s">
        <v>82</v>
      </c>
      <c r="BC4144" s="2">
        <v>41</v>
      </c>
      <c r="BD4144" s="2" t="s">
        <v>82</v>
      </c>
      <c r="BE4144" s="2">
        <v>41</v>
      </c>
      <c r="BF4144" s="2" t="s">
        <v>82</v>
      </c>
      <c r="BG4144" s="2"/>
      <c r="BH4144" s="4">
        <v>0.85763888888888884</v>
      </c>
      <c r="BI4144" s="2"/>
      <c r="BJ4144" s="2">
        <v>241</v>
      </c>
      <c r="BK4144" s="2" t="s">
        <v>82</v>
      </c>
      <c r="BL4144" s="2" t="s">
        <v>185</v>
      </c>
      <c r="BM4144" s="2">
        <v>241</v>
      </c>
      <c r="BN4144" s="2" t="s">
        <v>82</v>
      </c>
      <c r="BO4144" s="2"/>
      <c r="BP4144" s="2">
        <v>241</v>
      </c>
      <c r="BQ4144" s="2" t="s">
        <v>82</v>
      </c>
      <c r="BR4144" s="2"/>
      <c r="BS4144" s="3">
        <v>40459</v>
      </c>
      <c r="BT4144" s="4">
        <v>0.87555555555555553</v>
      </c>
    </row>
    <row r="4145" spans="1:72" x14ac:dyDescent="0.25">
      <c r="A4145" s="2">
        <v>6244</v>
      </c>
      <c r="B4145" s="2">
        <v>2010</v>
      </c>
      <c r="C4145" s="2" t="s">
        <v>171</v>
      </c>
      <c r="D4145" s="2" t="s">
        <v>73</v>
      </c>
      <c r="E4145" s="2"/>
      <c r="F4145" s="2">
        <v>600</v>
      </c>
      <c r="G4145" s="2" t="s">
        <v>5325</v>
      </c>
      <c r="H4145" s="2">
        <v>20</v>
      </c>
      <c r="I4145" s="2" t="s">
        <v>5073</v>
      </c>
      <c r="J4145" s="2">
        <v>170</v>
      </c>
      <c r="K4145" s="2" t="s">
        <v>5074</v>
      </c>
      <c r="L4145" s="2" t="s">
        <v>5075</v>
      </c>
      <c r="M4145" s="3">
        <v>40459</v>
      </c>
      <c r="N4145" s="2" t="s">
        <v>13000</v>
      </c>
      <c r="O4145" s="2"/>
      <c r="P4145" s="2"/>
      <c r="Q4145" s="2" t="str">
        <f>"396-A/10"</f>
        <v>396-A/10</v>
      </c>
      <c r="R4145" s="2" t="s">
        <v>2334</v>
      </c>
      <c r="S4145" s="2" t="s">
        <v>2334</v>
      </c>
      <c r="T4145" s="2">
        <v>1</v>
      </c>
      <c r="U4145" s="2" t="s">
        <v>79</v>
      </c>
      <c r="V4145" s="2">
        <v>1</v>
      </c>
      <c r="W4145" s="2" t="s">
        <v>80</v>
      </c>
      <c r="X4145" s="2">
        <v>1</v>
      </c>
      <c r="Y4145" s="2" t="s">
        <v>81</v>
      </c>
      <c r="Z4145" s="2">
        <v>1</v>
      </c>
      <c r="AA4145" s="2" t="s">
        <v>82</v>
      </c>
      <c r="AB4145" s="2">
        <v>1</v>
      </c>
      <c r="AC4145" s="2" t="s">
        <v>178</v>
      </c>
      <c r="AD4145" s="3">
        <v>40459</v>
      </c>
      <c r="AE4145" s="4">
        <v>0.59375</v>
      </c>
      <c r="AF4145" s="3">
        <v>40459</v>
      </c>
      <c r="AG4145" s="4">
        <v>0.65277777777777779</v>
      </c>
      <c r="AH4145" s="2">
        <v>2</v>
      </c>
      <c r="AI4145" s="2" t="s">
        <v>84</v>
      </c>
      <c r="AJ4145" s="2">
        <v>12</v>
      </c>
      <c r="AK4145" s="2" t="s">
        <v>85</v>
      </c>
      <c r="AL4145" s="2">
        <v>11</v>
      </c>
      <c r="AM4145" s="2" t="s">
        <v>137</v>
      </c>
      <c r="AN4145" s="2" t="s">
        <v>13001</v>
      </c>
      <c r="AO4145" s="2" t="s">
        <v>1869</v>
      </c>
      <c r="AP4145" s="2">
        <v>11</v>
      </c>
      <c r="AQ4145" s="2" t="s">
        <v>82</v>
      </c>
      <c r="AR4145" s="2"/>
      <c r="AS4145" s="2"/>
      <c r="AT4145" s="2" t="s">
        <v>13002</v>
      </c>
      <c r="AU4145" s="2">
        <v>1</v>
      </c>
      <c r="AV4145" s="2"/>
      <c r="AW4145" s="2"/>
      <c r="AX4145" s="2"/>
      <c r="AY4145" s="2">
        <v>41</v>
      </c>
      <c r="AZ4145" s="2" t="s">
        <v>82</v>
      </c>
      <c r="BA4145" s="2">
        <v>41</v>
      </c>
      <c r="BB4145" s="2" t="s">
        <v>82</v>
      </c>
      <c r="BC4145" s="2">
        <v>41</v>
      </c>
      <c r="BD4145" s="2" t="s">
        <v>82</v>
      </c>
      <c r="BE4145" s="2">
        <v>13</v>
      </c>
      <c r="BF4145" s="2" t="s">
        <v>108</v>
      </c>
      <c r="BG4145" s="2" t="s">
        <v>13003</v>
      </c>
      <c r="BH4145" s="2"/>
      <c r="BI4145" s="4">
        <v>0.5625</v>
      </c>
      <c r="BJ4145" s="2">
        <v>13</v>
      </c>
      <c r="BK4145" s="2" t="s">
        <v>91</v>
      </c>
      <c r="BL4145" s="2" t="s">
        <v>564</v>
      </c>
      <c r="BM4145" s="2">
        <v>13</v>
      </c>
      <c r="BN4145" s="2" t="s">
        <v>91</v>
      </c>
      <c r="BO4145" s="2"/>
      <c r="BP4145" s="2">
        <v>13</v>
      </c>
      <c r="BQ4145" s="2" t="s">
        <v>91</v>
      </c>
      <c r="BR4145" s="2" t="s">
        <v>169</v>
      </c>
      <c r="BS4145" s="3">
        <v>40459</v>
      </c>
      <c r="BT4145" s="4">
        <v>0.88483796296296291</v>
      </c>
    </row>
    <row r="4146" spans="1:72" x14ac:dyDescent="0.25">
      <c r="A4146" s="2">
        <v>6245</v>
      </c>
      <c r="B4146" s="2">
        <v>2010</v>
      </c>
      <c r="C4146" s="2" t="s">
        <v>1568</v>
      </c>
      <c r="D4146" s="2" t="s">
        <v>73</v>
      </c>
      <c r="E4146" s="2"/>
      <c r="F4146" s="2">
        <v>389</v>
      </c>
      <c r="G4146" s="2" t="s">
        <v>1819</v>
      </c>
      <c r="H4146" s="2">
        <v>23</v>
      </c>
      <c r="I4146" s="2" t="s">
        <v>422</v>
      </c>
      <c r="J4146" s="2">
        <v>399</v>
      </c>
      <c r="K4146" s="2" t="s">
        <v>1820</v>
      </c>
      <c r="L4146" s="2" t="s">
        <v>1821</v>
      </c>
      <c r="M4146" s="3">
        <v>40459</v>
      </c>
      <c r="N4146" s="2" t="s">
        <v>5653</v>
      </c>
      <c r="O4146" s="2"/>
      <c r="P4146" s="2" t="s">
        <v>82</v>
      </c>
      <c r="Q4146" s="2" t="str">
        <f>"523-E/10"</f>
        <v>523-E/10</v>
      </c>
      <c r="R4146" s="2" t="s">
        <v>13004</v>
      </c>
      <c r="S4146" s="2" t="s">
        <v>13004</v>
      </c>
      <c r="T4146" s="2">
        <v>1</v>
      </c>
      <c r="U4146" s="2" t="s">
        <v>79</v>
      </c>
      <c r="V4146" s="2">
        <v>1</v>
      </c>
      <c r="W4146" s="2" t="s">
        <v>80</v>
      </c>
      <c r="X4146" s="2">
        <v>1</v>
      </c>
      <c r="Y4146" s="2" t="s">
        <v>81</v>
      </c>
      <c r="Z4146" s="2">
        <v>1</v>
      </c>
      <c r="AA4146" s="2" t="s">
        <v>82</v>
      </c>
      <c r="AB4146" s="2">
        <v>4</v>
      </c>
      <c r="AC4146" s="2" t="s">
        <v>1569</v>
      </c>
      <c r="AD4146" s="3">
        <v>40459</v>
      </c>
      <c r="AE4146" s="4">
        <v>0.625</v>
      </c>
      <c r="AF4146" s="2"/>
      <c r="AG4146" s="2"/>
      <c r="AH4146" s="2">
        <v>2</v>
      </c>
      <c r="AI4146" s="2" t="s">
        <v>84</v>
      </c>
      <c r="AJ4146" s="2">
        <v>9</v>
      </c>
      <c r="AK4146" s="2" t="s">
        <v>103</v>
      </c>
      <c r="AL4146" s="2">
        <v>16</v>
      </c>
      <c r="AM4146" s="2" t="s">
        <v>392</v>
      </c>
      <c r="AN4146" s="2"/>
      <c r="AO4146" s="2" t="s">
        <v>13005</v>
      </c>
      <c r="AP4146" s="2">
        <v>11</v>
      </c>
      <c r="AQ4146" s="2" t="s">
        <v>82</v>
      </c>
      <c r="AR4146" s="2"/>
      <c r="AS4146" s="2"/>
      <c r="AT4146" s="2" t="s">
        <v>13006</v>
      </c>
      <c r="AU4146" s="2"/>
      <c r="AV4146" s="2">
        <v>1</v>
      </c>
      <c r="AW4146" s="2"/>
      <c r="AX4146" s="2"/>
      <c r="AY4146" s="2">
        <v>41</v>
      </c>
      <c r="AZ4146" s="2" t="s">
        <v>82</v>
      </c>
      <c r="BA4146" s="2">
        <v>41</v>
      </c>
      <c r="BB4146" s="2" t="s">
        <v>82</v>
      </c>
      <c r="BC4146" s="2">
        <v>41</v>
      </c>
      <c r="BD4146" s="2" t="s">
        <v>82</v>
      </c>
      <c r="BE4146" s="2">
        <v>41</v>
      </c>
      <c r="BF4146" s="2" t="s">
        <v>82</v>
      </c>
      <c r="BG4146" s="2"/>
      <c r="BH4146" s="2"/>
      <c r="BI4146" s="2"/>
      <c r="BJ4146" s="2">
        <v>241</v>
      </c>
      <c r="BK4146" s="2" t="s">
        <v>82</v>
      </c>
      <c r="BL4146" s="2"/>
      <c r="BM4146" s="2">
        <v>241</v>
      </c>
      <c r="BN4146" s="2" t="s">
        <v>82</v>
      </c>
      <c r="BO4146" s="2"/>
      <c r="BP4146" s="2">
        <v>241</v>
      </c>
      <c r="BQ4146" s="2" t="s">
        <v>82</v>
      </c>
      <c r="BR4146" s="2"/>
      <c r="BS4146" s="3">
        <v>40459</v>
      </c>
      <c r="BT4146" s="4">
        <v>0.92877314814814815</v>
      </c>
    </row>
    <row r="4147" spans="1:72" x14ac:dyDescent="0.25">
      <c r="A4147" s="2">
        <v>6246</v>
      </c>
      <c r="B4147" s="2">
        <v>2010</v>
      </c>
      <c r="C4147" s="2" t="s">
        <v>72</v>
      </c>
      <c r="D4147" s="2" t="s">
        <v>73</v>
      </c>
      <c r="E4147" s="2"/>
      <c r="F4147" s="2">
        <v>685</v>
      </c>
      <c r="G4147" s="2" t="s">
        <v>12932</v>
      </c>
      <c r="H4147" s="2">
        <v>22</v>
      </c>
      <c r="I4147" s="2" t="s">
        <v>75</v>
      </c>
      <c r="J4147" s="2">
        <v>674</v>
      </c>
      <c r="K4147" s="2" t="s">
        <v>12821</v>
      </c>
      <c r="L4147" s="2" t="s">
        <v>12822</v>
      </c>
      <c r="M4147" s="3">
        <v>40460</v>
      </c>
      <c r="N4147" s="2" t="s">
        <v>12823</v>
      </c>
      <c r="O4147" s="2"/>
      <c r="P4147" s="2"/>
      <c r="Q4147" s="2" t="str">
        <f>"397-A/10"</f>
        <v>397-A/10</v>
      </c>
      <c r="R4147" s="2" t="s">
        <v>13007</v>
      </c>
      <c r="S4147" s="2" t="s">
        <v>13007</v>
      </c>
      <c r="T4147" s="2">
        <v>1</v>
      </c>
      <c r="U4147" s="2" t="s">
        <v>79</v>
      </c>
      <c r="V4147" s="2">
        <v>1</v>
      </c>
      <c r="W4147" s="2" t="s">
        <v>80</v>
      </c>
      <c r="X4147" s="2">
        <v>12</v>
      </c>
      <c r="Y4147" s="2" t="s">
        <v>148</v>
      </c>
      <c r="Z4147" s="2">
        <v>1</v>
      </c>
      <c r="AA4147" s="2" t="s">
        <v>82</v>
      </c>
      <c r="AB4147" s="2">
        <v>6</v>
      </c>
      <c r="AC4147" s="2" t="s">
        <v>83</v>
      </c>
      <c r="AD4147" s="3">
        <v>40459</v>
      </c>
      <c r="AE4147" s="2"/>
      <c r="AF4147" s="3">
        <v>40459</v>
      </c>
      <c r="AG4147" s="4">
        <v>0.59375</v>
      </c>
      <c r="AH4147" s="2">
        <v>2</v>
      </c>
      <c r="AI4147" s="2" t="s">
        <v>84</v>
      </c>
      <c r="AJ4147" s="2">
        <v>12</v>
      </c>
      <c r="AK4147" s="2" t="s">
        <v>85</v>
      </c>
      <c r="AL4147" s="2">
        <v>14</v>
      </c>
      <c r="AM4147" s="2" t="s">
        <v>216</v>
      </c>
      <c r="AN4147" s="2" t="s">
        <v>13008</v>
      </c>
      <c r="AO4147" s="2" t="s">
        <v>1869</v>
      </c>
      <c r="AP4147" s="2">
        <v>11</v>
      </c>
      <c r="AQ4147" s="2" t="s">
        <v>82</v>
      </c>
      <c r="AR4147" s="2"/>
      <c r="AS4147" s="2"/>
      <c r="AT4147" s="2" t="s">
        <v>13009</v>
      </c>
      <c r="AU4147" s="2"/>
      <c r="AV4147" s="2"/>
      <c r="AW4147" s="2"/>
      <c r="AX4147" s="2"/>
      <c r="AY4147" s="2">
        <v>41</v>
      </c>
      <c r="AZ4147" s="2" t="s">
        <v>82</v>
      </c>
      <c r="BA4147" s="2">
        <v>41</v>
      </c>
      <c r="BB4147" s="2" t="s">
        <v>82</v>
      </c>
      <c r="BC4147" s="2">
        <v>41</v>
      </c>
      <c r="BD4147" s="2" t="s">
        <v>82</v>
      </c>
      <c r="BE4147" s="2">
        <v>41</v>
      </c>
      <c r="BF4147" s="2" t="s">
        <v>82</v>
      </c>
      <c r="BG4147" s="2"/>
      <c r="BH4147" s="2"/>
      <c r="BI4147" s="2"/>
      <c r="BJ4147" s="2">
        <v>241</v>
      </c>
      <c r="BK4147" s="2" t="s">
        <v>82</v>
      </c>
      <c r="BL4147" s="2"/>
      <c r="BM4147" s="2">
        <v>241</v>
      </c>
      <c r="BN4147" s="2" t="s">
        <v>82</v>
      </c>
      <c r="BO4147" s="2"/>
      <c r="BP4147" s="2">
        <v>241</v>
      </c>
      <c r="BQ4147" s="2" t="s">
        <v>82</v>
      </c>
      <c r="BR4147" s="2"/>
      <c r="BS4147" s="3">
        <v>40460</v>
      </c>
      <c r="BT4147" s="4">
        <v>0.10165509259259259</v>
      </c>
    </row>
    <row r="4148" spans="1:72" x14ac:dyDescent="0.25">
      <c r="A4148" s="2">
        <v>6247</v>
      </c>
      <c r="B4148" s="2">
        <v>2010</v>
      </c>
      <c r="C4148" s="2" t="s">
        <v>549</v>
      </c>
      <c r="D4148" s="2" t="s">
        <v>73</v>
      </c>
      <c r="E4148" s="2"/>
      <c r="F4148" s="2">
        <v>170</v>
      </c>
      <c r="G4148" s="2" t="s">
        <v>7892</v>
      </c>
      <c r="H4148" s="2">
        <v>127</v>
      </c>
      <c r="I4148" s="2" t="s">
        <v>8849</v>
      </c>
      <c r="J4148" s="2">
        <v>178</v>
      </c>
      <c r="K4148" s="2" t="s">
        <v>13010</v>
      </c>
      <c r="L4148" s="2" t="s">
        <v>1582</v>
      </c>
      <c r="M4148" s="3">
        <v>40460</v>
      </c>
      <c r="N4148" s="2" t="s">
        <v>13011</v>
      </c>
      <c r="O4148" s="2"/>
      <c r="P4148" s="2"/>
      <c r="Q4148" s="2" t="str">
        <f>"398-A/10"</f>
        <v>398-A/10</v>
      </c>
      <c r="R4148" s="2" t="s">
        <v>1044</v>
      </c>
      <c r="S4148" s="2"/>
      <c r="T4148" s="2">
        <v>1</v>
      </c>
      <c r="U4148" s="2" t="s">
        <v>79</v>
      </c>
      <c r="V4148" s="2">
        <v>1</v>
      </c>
      <c r="W4148" s="2" t="s">
        <v>80</v>
      </c>
      <c r="X4148" s="2">
        <v>12</v>
      </c>
      <c r="Y4148" s="2" t="s">
        <v>148</v>
      </c>
      <c r="Z4148" s="2">
        <v>1</v>
      </c>
      <c r="AA4148" s="2" t="s">
        <v>82</v>
      </c>
      <c r="AB4148" s="2">
        <v>9</v>
      </c>
      <c r="AC4148" s="2" t="s">
        <v>124</v>
      </c>
      <c r="AD4148" s="3">
        <v>40459</v>
      </c>
      <c r="AE4148" s="4">
        <v>0.875</v>
      </c>
      <c r="AF4148" s="3">
        <v>40459</v>
      </c>
      <c r="AG4148" s="4">
        <v>0.95138888888888884</v>
      </c>
      <c r="AH4148" s="2">
        <v>2</v>
      </c>
      <c r="AI4148" s="2" t="s">
        <v>84</v>
      </c>
      <c r="AJ4148" s="2">
        <v>12</v>
      </c>
      <c r="AK4148" s="2" t="s">
        <v>85</v>
      </c>
      <c r="AL4148" s="2">
        <v>14</v>
      </c>
      <c r="AM4148" s="2" t="s">
        <v>216</v>
      </c>
      <c r="AN4148" s="2"/>
      <c r="AO4148" s="2" t="s">
        <v>13012</v>
      </c>
      <c r="AP4148" s="2">
        <v>11</v>
      </c>
      <c r="AQ4148" s="2" t="s">
        <v>82</v>
      </c>
      <c r="AR4148" s="2"/>
      <c r="AS4148" s="2"/>
      <c r="AT4148" s="2" t="s">
        <v>13013</v>
      </c>
      <c r="AU4148" s="2"/>
      <c r="AV4148" s="2"/>
      <c r="AW4148" s="2"/>
      <c r="AX4148" s="2"/>
      <c r="AY4148" s="2">
        <v>41</v>
      </c>
      <c r="AZ4148" s="2" t="s">
        <v>82</v>
      </c>
      <c r="BA4148" s="2">
        <v>41</v>
      </c>
      <c r="BB4148" s="2" t="s">
        <v>82</v>
      </c>
      <c r="BC4148" s="2">
        <v>41</v>
      </c>
      <c r="BD4148" s="2" t="s">
        <v>82</v>
      </c>
      <c r="BE4148" s="2">
        <v>13</v>
      </c>
      <c r="BF4148" s="2" t="s">
        <v>108</v>
      </c>
      <c r="BG4148" s="2" t="s">
        <v>13014</v>
      </c>
      <c r="BH4148" s="2"/>
      <c r="BI4148" s="2"/>
      <c r="BJ4148" s="2">
        <v>13</v>
      </c>
      <c r="BK4148" s="2" t="s">
        <v>91</v>
      </c>
      <c r="BL4148" s="2" t="s">
        <v>185</v>
      </c>
      <c r="BM4148" s="2">
        <v>33</v>
      </c>
      <c r="BN4148" s="2" t="s">
        <v>361</v>
      </c>
      <c r="BO4148" s="2"/>
      <c r="BP4148" s="2">
        <v>33</v>
      </c>
      <c r="BQ4148" s="2" t="s">
        <v>361</v>
      </c>
      <c r="BR4148" s="2" t="s">
        <v>2723</v>
      </c>
      <c r="BS4148" s="3">
        <v>40460</v>
      </c>
      <c r="BT4148" s="4">
        <v>0.11628472222222223</v>
      </c>
    </row>
    <row r="4149" spans="1:72" x14ac:dyDescent="0.25">
      <c r="A4149" s="2">
        <v>6248</v>
      </c>
      <c r="B4149" s="2">
        <v>2010</v>
      </c>
      <c r="C4149" s="2" t="s">
        <v>171</v>
      </c>
      <c r="D4149" s="2" t="s">
        <v>122</v>
      </c>
      <c r="E4149" s="2" t="s">
        <v>13015</v>
      </c>
      <c r="F4149" s="2">
        <v>600</v>
      </c>
      <c r="G4149" s="2" t="s">
        <v>5325</v>
      </c>
      <c r="H4149" s="2">
        <v>20</v>
      </c>
      <c r="I4149" s="2" t="s">
        <v>5073</v>
      </c>
      <c r="J4149" s="2">
        <v>170</v>
      </c>
      <c r="K4149" s="2" t="s">
        <v>5074</v>
      </c>
      <c r="L4149" s="2" t="s">
        <v>5075</v>
      </c>
      <c r="M4149" s="3">
        <v>40460</v>
      </c>
      <c r="N4149" s="2" t="s">
        <v>5076</v>
      </c>
      <c r="O4149" s="2"/>
      <c r="P4149" s="2"/>
      <c r="Q4149" s="2" t="str">
        <f>"396-A/10"</f>
        <v>396-A/10</v>
      </c>
      <c r="R4149" s="2" t="s">
        <v>2334</v>
      </c>
      <c r="S4149" s="2"/>
      <c r="T4149" s="2">
        <v>1</v>
      </c>
      <c r="U4149" s="2" t="s">
        <v>79</v>
      </c>
      <c r="V4149" s="2">
        <v>1</v>
      </c>
      <c r="W4149" s="2" t="s">
        <v>80</v>
      </c>
      <c r="X4149" s="2">
        <v>1</v>
      </c>
      <c r="Y4149" s="2" t="s">
        <v>81</v>
      </c>
      <c r="Z4149" s="2">
        <v>10</v>
      </c>
      <c r="AA4149" s="2" t="s">
        <v>236</v>
      </c>
      <c r="AB4149" s="2">
        <v>1</v>
      </c>
      <c r="AC4149" s="2" t="s">
        <v>178</v>
      </c>
      <c r="AD4149" s="3">
        <v>40459</v>
      </c>
      <c r="AE4149" s="4">
        <v>0.59375</v>
      </c>
      <c r="AF4149" s="3">
        <v>40459</v>
      </c>
      <c r="AG4149" s="2"/>
      <c r="AH4149" s="2">
        <v>2</v>
      </c>
      <c r="AI4149" s="2" t="s">
        <v>84</v>
      </c>
      <c r="AJ4149" s="2">
        <v>12</v>
      </c>
      <c r="AK4149" s="2" t="s">
        <v>85</v>
      </c>
      <c r="AL4149" s="2">
        <v>27</v>
      </c>
      <c r="AM4149" s="2" t="s">
        <v>6225</v>
      </c>
      <c r="AN4149" s="2"/>
      <c r="AO4149" s="2" t="s">
        <v>1971</v>
      </c>
      <c r="AP4149" s="2">
        <v>11</v>
      </c>
      <c r="AQ4149" s="2" t="s">
        <v>82</v>
      </c>
      <c r="AR4149" s="2"/>
      <c r="AS4149" s="2"/>
      <c r="AT4149" s="2" t="s">
        <v>13016</v>
      </c>
      <c r="AU4149" s="2">
        <v>1</v>
      </c>
      <c r="AV4149" s="2"/>
      <c r="AW4149" s="2"/>
      <c r="AX4149" s="2"/>
      <c r="AY4149" s="2">
        <v>41</v>
      </c>
      <c r="AZ4149" s="2" t="s">
        <v>82</v>
      </c>
      <c r="BA4149" s="2">
        <v>41</v>
      </c>
      <c r="BB4149" s="2" t="s">
        <v>82</v>
      </c>
      <c r="BC4149" s="2">
        <v>41</v>
      </c>
      <c r="BD4149" s="2" t="s">
        <v>82</v>
      </c>
      <c r="BE4149" s="2">
        <v>13</v>
      </c>
      <c r="BF4149" s="2" t="s">
        <v>108</v>
      </c>
      <c r="BG4149" s="2" t="s">
        <v>13003</v>
      </c>
      <c r="BH4149" s="4">
        <v>0.64583333333333337</v>
      </c>
      <c r="BI4149" s="4">
        <v>0.5625</v>
      </c>
      <c r="BJ4149" s="2">
        <v>13</v>
      </c>
      <c r="BK4149" s="2" t="s">
        <v>91</v>
      </c>
      <c r="BL4149" s="2" t="s">
        <v>185</v>
      </c>
      <c r="BM4149" s="2">
        <v>13</v>
      </c>
      <c r="BN4149" s="2" t="s">
        <v>91</v>
      </c>
      <c r="BO4149" s="2"/>
      <c r="BP4149" s="2">
        <v>13</v>
      </c>
      <c r="BQ4149" s="2" t="s">
        <v>91</v>
      </c>
      <c r="BR4149" s="2" t="s">
        <v>169</v>
      </c>
      <c r="BS4149" s="3">
        <v>40460</v>
      </c>
      <c r="BT4149" s="4">
        <v>0.11953703703703704</v>
      </c>
    </row>
    <row r="4150" spans="1:72" x14ac:dyDescent="0.25">
      <c r="A4150" s="2">
        <v>6249</v>
      </c>
      <c r="B4150" s="2">
        <v>2010</v>
      </c>
      <c r="C4150" s="2" t="s">
        <v>171</v>
      </c>
      <c r="D4150" s="2" t="s">
        <v>73</v>
      </c>
      <c r="E4150" s="2"/>
      <c r="F4150" s="2">
        <v>396</v>
      </c>
      <c r="G4150" s="2" t="s">
        <v>2159</v>
      </c>
      <c r="H4150" s="2">
        <v>8</v>
      </c>
      <c r="I4150" s="2" t="s">
        <v>3451</v>
      </c>
      <c r="J4150" s="2">
        <v>243</v>
      </c>
      <c r="K4150" s="2" t="s">
        <v>2160</v>
      </c>
      <c r="L4150" s="2" t="s">
        <v>2145</v>
      </c>
      <c r="M4150" s="3">
        <v>40460</v>
      </c>
      <c r="N4150" s="2" t="s">
        <v>6110</v>
      </c>
      <c r="O4150" s="2"/>
      <c r="P4150" s="2"/>
      <c r="Q4150" s="2" t="str">
        <f>"524-E/10"</f>
        <v>524-E/10</v>
      </c>
      <c r="R4150" s="2" t="s">
        <v>391</v>
      </c>
      <c r="S4150" s="2" t="s">
        <v>391</v>
      </c>
      <c r="T4150" s="2">
        <v>1</v>
      </c>
      <c r="U4150" s="2" t="s">
        <v>79</v>
      </c>
      <c r="V4150" s="2">
        <v>1</v>
      </c>
      <c r="W4150" s="2" t="s">
        <v>80</v>
      </c>
      <c r="X4150" s="2">
        <v>3</v>
      </c>
      <c r="Y4150" s="2" t="s">
        <v>698</v>
      </c>
      <c r="Z4150" s="2">
        <v>2</v>
      </c>
      <c r="AA4150" s="2" t="s">
        <v>2148</v>
      </c>
      <c r="AB4150" s="2">
        <v>1</v>
      </c>
      <c r="AC4150" s="2" t="s">
        <v>178</v>
      </c>
      <c r="AD4150" s="3">
        <v>40460</v>
      </c>
      <c r="AE4150" s="4">
        <v>9.375E-2</v>
      </c>
      <c r="AF4150" s="3">
        <v>40460</v>
      </c>
      <c r="AG4150" s="4">
        <v>0.18055555555555555</v>
      </c>
      <c r="AH4150" s="2">
        <v>2</v>
      </c>
      <c r="AI4150" s="2" t="s">
        <v>84</v>
      </c>
      <c r="AJ4150" s="2">
        <v>9</v>
      </c>
      <c r="AK4150" s="2" t="s">
        <v>103</v>
      </c>
      <c r="AL4150" s="2">
        <v>16</v>
      </c>
      <c r="AM4150" s="2" t="s">
        <v>392</v>
      </c>
      <c r="AN4150" s="2" t="s">
        <v>6519</v>
      </c>
      <c r="AO4150" s="2" t="s">
        <v>10733</v>
      </c>
      <c r="AP4150" s="2">
        <v>6</v>
      </c>
      <c r="AQ4150" s="2" t="s">
        <v>394</v>
      </c>
      <c r="AR4150" s="2" t="s">
        <v>13017</v>
      </c>
      <c r="AS4150" s="2" t="s">
        <v>13018</v>
      </c>
      <c r="AT4150" s="2" t="s">
        <v>13019</v>
      </c>
      <c r="AU4150" s="2"/>
      <c r="AV4150" s="2"/>
      <c r="AW4150" s="2"/>
      <c r="AX4150" s="2"/>
      <c r="AY4150" s="2">
        <v>41</v>
      </c>
      <c r="AZ4150" s="2" t="s">
        <v>82</v>
      </c>
      <c r="BA4150" s="2">
        <v>41</v>
      </c>
      <c r="BB4150" s="2" t="s">
        <v>82</v>
      </c>
      <c r="BC4150" s="2">
        <v>41</v>
      </c>
      <c r="BD4150" s="2" t="s">
        <v>82</v>
      </c>
      <c r="BE4150" s="2">
        <v>31</v>
      </c>
      <c r="BF4150" s="2" t="s">
        <v>398</v>
      </c>
      <c r="BG4150" s="2" t="s">
        <v>7251</v>
      </c>
      <c r="BH4150" s="2"/>
      <c r="BI4150" s="4">
        <v>0.53472222222222221</v>
      </c>
      <c r="BJ4150" s="2">
        <v>13</v>
      </c>
      <c r="BK4150" s="2" t="s">
        <v>91</v>
      </c>
      <c r="BL4150" s="2" t="s">
        <v>360</v>
      </c>
      <c r="BM4150" s="2">
        <v>73</v>
      </c>
      <c r="BN4150" s="2" t="s">
        <v>186</v>
      </c>
      <c r="BO4150" s="2"/>
      <c r="BP4150" s="2">
        <v>73</v>
      </c>
      <c r="BQ4150" s="2" t="s">
        <v>186</v>
      </c>
      <c r="BR4150" s="2" t="s">
        <v>187</v>
      </c>
      <c r="BS4150" s="3">
        <v>40460</v>
      </c>
      <c r="BT4150" s="4">
        <v>0.21159722222222221</v>
      </c>
    </row>
    <row r="4151" spans="1:72" x14ac:dyDescent="0.25">
      <c r="A4151" s="2">
        <v>6251</v>
      </c>
      <c r="B4151" s="2">
        <v>2010</v>
      </c>
      <c r="C4151" s="2" t="s">
        <v>4543</v>
      </c>
      <c r="D4151" s="2" t="s">
        <v>122</v>
      </c>
      <c r="E4151" s="2"/>
      <c r="F4151" s="2">
        <v>1</v>
      </c>
      <c r="G4151" s="2" t="s">
        <v>82</v>
      </c>
      <c r="H4151" s="2">
        <v>1</v>
      </c>
      <c r="I4151" s="2" t="s">
        <v>82</v>
      </c>
      <c r="J4151" s="2">
        <v>1</v>
      </c>
      <c r="K4151" s="2" t="s">
        <v>107</v>
      </c>
      <c r="L4151" s="2" t="s">
        <v>107</v>
      </c>
      <c r="M4151" s="3">
        <v>40460</v>
      </c>
      <c r="N4151" s="2" t="s">
        <v>82</v>
      </c>
      <c r="O4151" s="2" t="s">
        <v>82</v>
      </c>
      <c r="P4151" s="2" t="s">
        <v>82</v>
      </c>
      <c r="Q4151" s="2" t="str">
        <f>"N/C"</f>
        <v>N/C</v>
      </c>
      <c r="R4151" s="2" t="s">
        <v>82</v>
      </c>
      <c r="S4151" s="2" t="s">
        <v>82</v>
      </c>
      <c r="T4151" s="2">
        <v>2</v>
      </c>
      <c r="U4151" s="2" t="s">
        <v>123</v>
      </c>
      <c r="V4151" s="2">
        <v>1</v>
      </c>
      <c r="W4151" s="2" t="s">
        <v>80</v>
      </c>
      <c r="X4151" s="2">
        <v>5</v>
      </c>
      <c r="Y4151" s="2" t="s">
        <v>82</v>
      </c>
      <c r="Z4151" s="2">
        <v>1</v>
      </c>
      <c r="AA4151" s="2" t="s">
        <v>82</v>
      </c>
      <c r="AB4151" s="2">
        <v>9</v>
      </c>
      <c r="AC4151" s="2" t="s">
        <v>124</v>
      </c>
      <c r="AD4151" s="3">
        <v>40460</v>
      </c>
      <c r="AE4151" s="4">
        <v>0.5625</v>
      </c>
      <c r="AF4151" s="2"/>
      <c r="AG4151" s="2"/>
      <c r="AH4151" s="2">
        <v>6</v>
      </c>
      <c r="AI4151" s="2" t="s">
        <v>197</v>
      </c>
      <c r="AJ4151" s="2">
        <v>52</v>
      </c>
      <c r="AK4151" s="2" t="s">
        <v>4746</v>
      </c>
      <c r="AL4151" s="2">
        <v>23</v>
      </c>
      <c r="AM4151" s="2" t="s">
        <v>251</v>
      </c>
      <c r="AN4151" s="2" t="s">
        <v>13020</v>
      </c>
      <c r="AO4151" s="2" t="s">
        <v>13021</v>
      </c>
      <c r="AP4151" s="2">
        <v>11</v>
      </c>
      <c r="AQ4151" s="2" t="s">
        <v>82</v>
      </c>
      <c r="AR4151" s="2" t="s">
        <v>82</v>
      </c>
      <c r="AS4151" s="2" t="s">
        <v>82</v>
      </c>
      <c r="AT4151" s="2" t="s">
        <v>13022</v>
      </c>
      <c r="AU4151" s="2"/>
      <c r="AV4151" s="2"/>
      <c r="AW4151" s="2"/>
      <c r="AX4151" s="2"/>
      <c r="AY4151" s="2">
        <v>41</v>
      </c>
      <c r="AZ4151" s="2" t="s">
        <v>82</v>
      </c>
      <c r="BA4151" s="2">
        <v>41</v>
      </c>
      <c r="BB4151" s="2" t="s">
        <v>82</v>
      </c>
      <c r="BC4151" s="2">
        <v>41</v>
      </c>
      <c r="BD4151" s="2" t="s">
        <v>82</v>
      </c>
      <c r="BE4151" s="2">
        <v>41</v>
      </c>
      <c r="BF4151" s="2" t="s">
        <v>82</v>
      </c>
      <c r="BG4151" s="2" t="s">
        <v>82</v>
      </c>
      <c r="BH4151" s="2"/>
      <c r="BI4151" s="4">
        <v>0.43055555555555558</v>
      </c>
      <c r="BJ4151" s="2">
        <v>241</v>
      </c>
      <c r="BK4151" s="2" t="s">
        <v>82</v>
      </c>
      <c r="BL4151" s="2" t="s">
        <v>82</v>
      </c>
      <c r="BM4151" s="2">
        <v>13</v>
      </c>
      <c r="BN4151" s="2" t="s">
        <v>91</v>
      </c>
      <c r="BO4151" s="2"/>
      <c r="BP4151" s="2">
        <v>13</v>
      </c>
      <c r="BQ4151" s="2" t="s">
        <v>91</v>
      </c>
      <c r="BR4151" s="2" t="s">
        <v>13023</v>
      </c>
      <c r="BS4151" s="3">
        <v>40460</v>
      </c>
      <c r="BT4151" s="4">
        <v>0.64432870370370365</v>
      </c>
    </row>
    <row r="4152" spans="1:72" x14ac:dyDescent="0.25">
      <c r="A4152" s="2">
        <v>6252</v>
      </c>
      <c r="B4152" s="2">
        <v>2010</v>
      </c>
      <c r="C4152" s="2" t="s">
        <v>72</v>
      </c>
      <c r="D4152" s="2" t="s">
        <v>73</v>
      </c>
      <c r="E4152" s="2"/>
      <c r="F4152" s="2">
        <v>685</v>
      </c>
      <c r="G4152" s="2" t="s">
        <v>12932</v>
      </c>
      <c r="H4152" s="2">
        <v>22</v>
      </c>
      <c r="I4152" s="2" t="s">
        <v>75</v>
      </c>
      <c r="J4152" s="2">
        <v>674</v>
      </c>
      <c r="K4152" s="2" t="s">
        <v>12821</v>
      </c>
      <c r="L4152" s="2" t="s">
        <v>12822</v>
      </c>
      <c r="M4152" s="3">
        <v>40460</v>
      </c>
      <c r="N4152" s="2" t="s">
        <v>12865</v>
      </c>
      <c r="O4152" s="2"/>
      <c r="P4152" s="2"/>
      <c r="Q4152" s="2" t="str">
        <f>"399-A/10"</f>
        <v>399-A/10</v>
      </c>
      <c r="R4152" s="2" t="s">
        <v>78</v>
      </c>
      <c r="S4152" s="2" t="s">
        <v>78</v>
      </c>
      <c r="T4152" s="2">
        <v>1</v>
      </c>
      <c r="U4152" s="2" t="s">
        <v>79</v>
      </c>
      <c r="V4152" s="2">
        <v>1</v>
      </c>
      <c r="W4152" s="2" t="s">
        <v>80</v>
      </c>
      <c r="X4152" s="2">
        <v>12</v>
      </c>
      <c r="Y4152" s="2" t="s">
        <v>148</v>
      </c>
      <c r="Z4152" s="2">
        <v>1</v>
      </c>
      <c r="AA4152" s="2" t="s">
        <v>82</v>
      </c>
      <c r="AB4152" s="2">
        <v>6</v>
      </c>
      <c r="AC4152" s="2" t="s">
        <v>83</v>
      </c>
      <c r="AD4152" s="3">
        <v>40460</v>
      </c>
      <c r="AE4152" s="2"/>
      <c r="AF4152" s="3">
        <v>40460</v>
      </c>
      <c r="AG4152" s="4">
        <v>0.54861111111111105</v>
      </c>
      <c r="AH4152" s="2">
        <v>2</v>
      </c>
      <c r="AI4152" s="2" t="s">
        <v>84</v>
      </c>
      <c r="AJ4152" s="2">
        <v>12</v>
      </c>
      <c r="AK4152" s="2" t="s">
        <v>85</v>
      </c>
      <c r="AL4152" s="2">
        <v>12</v>
      </c>
      <c r="AM4152" s="2" t="s">
        <v>86</v>
      </c>
      <c r="AN4152" s="2" t="s">
        <v>13024</v>
      </c>
      <c r="AO4152" s="2" t="s">
        <v>13025</v>
      </c>
      <c r="AP4152" s="2">
        <v>11</v>
      </c>
      <c r="AQ4152" s="2" t="s">
        <v>82</v>
      </c>
      <c r="AR4152" s="2"/>
      <c r="AS4152" s="2"/>
      <c r="AT4152" s="2" t="s">
        <v>13026</v>
      </c>
      <c r="AU4152" s="2"/>
      <c r="AV4152" s="2"/>
      <c r="AW4152" s="2"/>
      <c r="AX4152" s="2"/>
      <c r="AY4152" s="2">
        <v>41</v>
      </c>
      <c r="AZ4152" s="2" t="s">
        <v>82</v>
      </c>
      <c r="BA4152" s="2">
        <v>41</v>
      </c>
      <c r="BB4152" s="2" t="s">
        <v>82</v>
      </c>
      <c r="BC4152" s="2">
        <v>41</v>
      </c>
      <c r="BD4152" s="2" t="s">
        <v>82</v>
      </c>
      <c r="BE4152" s="2">
        <v>41</v>
      </c>
      <c r="BF4152" s="2" t="s">
        <v>82</v>
      </c>
      <c r="BG4152" s="2"/>
      <c r="BH4152" s="2"/>
      <c r="BI4152" s="2"/>
      <c r="BJ4152" s="2">
        <v>241</v>
      </c>
      <c r="BK4152" s="2" t="s">
        <v>82</v>
      </c>
      <c r="BL4152" s="2"/>
      <c r="BM4152" s="2">
        <v>241</v>
      </c>
      <c r="BN4152" s="2" t="s">
        <v>82</v>
      </c>
      <c r="BO4152" s="2"/>
      <c r="BP4152" s="2">
        <v>241</v>
      </c>
      <c r="BQ4152" s="2" t="s">
        <v>82</v>
      </c>
      <c r="BR4152" s="2"/>
      <c r="BS4152" s="3">
        <v>40460</v>
      </c>
      <c r="BT4152" s="4">
        <v>0.66704861111111102</v>
      </c>
    </row>
    <row r="4153" spans="1:72" x14ac:dyDescent="0.25">
      <c r="A4153" s="2">
        <v>6253</v>
      </c>
      <c r="B4153" s="2">
        <v>2010</v>
      </c>
      <c r="C4153" s="2" t="s">
        <v>93</v>
      </c>
      <c r="D4153" s="2" t="s">
        <v>73</v>
      </c>
      <c r="E4153" s="2"/>
      <c r="F4153" s="2">
        <v>34</v>
      </c>
      <c r="G4153" s="2" t="s">
        <v>334</v>
      </c>
      <c r="H4153" s="2">
        <v>71</v>
      </c>
      <c r="I4153" s="2" t="s">
        <v>335</v>
      </c>
      <c r="J4153" s="2">
        <v>43</v>
      </c>
      <c r="K4153" s="2" t="s">
        <v>2059</v>
      </c>
      <c r="L4153" s="2" t="s">
        <v>2060</v>
      </c>
      <c r="M4153" s="3">
        <v>40460</v>
      </c>
      <c r="N4153" s="2" t="s">
        <v>13027</v>
      </c>
      <c r="O4153" s="2" t="s">
        <v>13028</v>
      </c>
      <c r="P4153" s="2">
        <v>9441</v>
      </c>
      <c r="Q4153" s="2" t="str">
        <f>"0127/10"</f>
        <v>0127/10</v>
      </c>
      <c r="R4153" s="2" t="s">
        <v>7393</v>
      </c>
      <c r="S4153" s="2"/>
      <c r="T4153" s="2">
        <v>1</v>
      </c>
      <c r="U4153" s="2" t="s">
        <v>79</v>
      </c>
      <c r="V4153" s="2">
        <v>1</v>
      </c>
      <c r="W4153" s="2" t="s">
        <v>80</v>
      </c>
      <c r="X4153" s="2">
        <v>10</v>
      </c>
      <c r="Y4153" s="2" t="s">
        <v>226</v>
      </c>
      <c r="Z4153" s="2">
        <v>9</v>
      </c>
      <c r="AA4153" s="2" t="s">
        <v>1119</v>
      </c>
      <c r="AB4153" s="2">
        <v>2</v>
      </c>
      <c r="AC4153" s="2" t="s">
        <v>102</v>
      </c>
      <c r="AD4153" s="3">
        <v>40460</v>
      </c>
      <c r="AE4153" s="4">
        <v>0.67708333333333337</v>
      </c>
      <c r="AF4153" s="2"/>
      <c r="AG4153" s="2"/>
      <c r="AH4153" s="2">
        <v>5</v>
      </c>
      <c r="AI4153" s="2" t="s">
        <v>274</v>
      </c>
      <c r="AJ4153" s="2">
        <v>38</v>
      </c>
      <c r="AK4153" s="2" t="s">
        <v>1120</v>
      </c>
      <c r="AL4153" s="2">
        <v>11</v>
      </c>
      <c r="AM4153" s="2" t="s">
        <v>137</v>
      </c>
      <c r="AN4153" s="2"/>
      <c r="AO4153" s="2" t="s">
        <v>7650</v>
      </c>
      <c r="AP4153" s="2">
        <v>11</v>
      </c>
      <c r="AQ4153" s="2" t="s">
        <v>82</v>
      </c>
      <c r="AR4153" s="2"/>
      <c r="AS4153" s="2"/>
      <c r="AT4153" s="2" t="s">
        <v>13029</v>
      </c>
      <c r="AU4153" s="2"/>
      <c r="AV4153" s="2"/>
      <c r="AW4153" s="2"/>
      <c r="AX4153" s="2"/>
      <c r="AY4153" s="2">
        <v>41</v>
      </c>
      <c r="AZ4153" s="2" t="s">
        <v>82</v>
      </c>
      <c r="BA4153" s="2">
        <v>41</v>
      </c>
      <c r="BB4153" s="2" t="s">
        <v>82</v>
      </c>
      <c r="BC4153" s="2">
        <v>41</v>
      </c>
      <c r="BD4153" s="2" t="s">
        <v>82</v>
      </c>
      <c r="BE4153" s="2">
        <v>47</v>
      </c>
      <c r="BF4153" s="2" t="s">
        <v>167</v>
      </c>
      <c r="BG4153" s="2">
        <v>2739</v>
      </c>
      <c r="BH4153" s="4">
        <v>0.65277777777777779</v>
      </c>
      <c r="BI4153" s="4">
        <v>0.68055555555555547</v>
      </c>
      <c r="BJ4153" s="2">
        <v>13</v>
      </c>
      <c r="BK4153" s="2" t="s">
        <v>91</v>
      </c>
      <c r="BL4153" s="2" t="s">
        <v>2005</v>
      </c>
      <c r="BM4153" s="2">
        <v>13</v>
      </c>
      <c r="BN4153" s="2" t="s">
        <v>91</v>
      </c>
      <c r="BO4153" s="2"/>
      <c r="BP4153" s="2">
        <v>13</v>
      </c>
      <c r="BQ4153" s="2" t="s">
        <v>91</v>
      </c>
      <c r="BR4153" s="2" t="s">
        <v>170</v>
      </c>
      <c r="BS4153" s="3">
        <v>40460</v>
      </c>
      <c r="BT4153" s="4">
        <v>0.73151620370370374</v>
      </c>
    </row>
    <row r="4154" spans="1:72" x14ac:dyDescent="0.25">
      <c r="A4154" s="2">
        <v>6254</v>
      </c>
      <c r="B4154" s="2">
        <v>2010</v>
      </c>
      <c r="C4154" s="2" t="s">
        <v>377</v>
      </c>
      <c r="D4154" s="2" t="s">
        <v>73</v>
      </c>
      <c r="E4154" s="2"/>
      <c r="F4154" s="2">
        <v>426</v>
      </c>
      <c r="G4154" s="2" t="s">
        <v>378</v>
      </c>
      <c r="H4154" s="2">
        <v>22</v>
      </c>
      <c r="I4154" s="2" t="s">
        <v>75</v>
      </c>
      <c r="J4154" s="2">
        <v>311</v>
      </c>
      <c r="K4154" s="2" t="s">
        <v>379</v>
      </c>
      <c r="L4154" s="2" t="s">
        <v>380</v>
      </c>
      <c r="M4154" s="3">
        <v>40460</v>
      </c>
      <c r="N4154" s="2" t="s">
        <v>5164</v>
      </c>
      <c r="O4154" s="2"/>
      <c r="P4154" s="2"/>
      <c r="Q4154" s="2" t="str">
        <f>"265-C/10"</f>
        <v>265-C/10</v>
      </c>
      <c r="R4154" s="2" t="s">
        <v>4428</v>
      </c>
      <c r="S4154" s="2"/>
      <c r="T4154" s="2">
        <v>1</v>
      </c>
      <c r="U4154" s="2" t="s">
        <v>79</v>
      </c>
      <c r="V4154" s="2">
        <v>1</v>
      </c>
      <c r="W4154" s="2" t="s">
        <v>80</v>
      </c>
      <c r="X4154" s="2">
        <v>1</v>
      </c>
      <c r="Y4154" s="2" t="s">
        <v>81</v>
      </c>
      <c r="Z4154" s="2">
        <v>1</v>
      </c>
      <c r="AA4154" s="2" t="s">
        <v>82</v>
      </c>
      <c r="AB4154" s="2">
        <v>9</v>
      </c>
      <c r="AC4154" s="2" t="s">
        <v>124</v>
      </c>
      <c r="AD4154" s="3">
        <v>40460</v>
      </c>
      <c r="AE4154" s="4">
        <v>0.47916666666666669</v>
      </c>
      <c r="AF4154" s="2"/>
      <c r="AG4154" s="2"/>
      <c r="AH4154" s="2">
        <v>2</v>
      </c>
      <c r="AI4154" s="2" t="s">
        <v>84</v>
      </c>
      <c r="AJ4154" s="2">
        <v>9</v>
      </c>
      <c r="AK4154" s="2" t="s">
        <v>103</v>
      </c>
      <c r="AL4154" s="2">
        <v>29</v>
      </c>
      <c r="AM4154" s="2" t="s">
        <v>5416</v>
      </c>
      <c r="AN4154" s="2" t="s">
        <v>987</v>
      </c>
      <c r="AO4154" s="2" t="s">
        <v>10787</v>
      </c>
      <c r="AP4154" s="2">
        <v>11</v>
      </c>
      <c r="AQ4154" s="2" t="s">
        <v>82</v>
      </c>
      <c r="AR4154" s="2"/>
      <c r="AS4154" s="2"/>
      <c r="AT4154" s="2" t="s">
        <v>13030</v>
      </c>
      <c r="AU4154" s="2"/>
      <c r="AV4154" s="2"/>
      <c r="AW4154" s="2"/>
      <c r="AX4154" s="2"/>
      <c r="AY4154" s="2">
        <v>41</v>
      </c>
      <c r="AZ4154" s="2" t="s">
        <v>82</v>
      </c>
      <c r="BA4154" s="2">
        <v>41</v>
      </c>
      <c r="BB4154" s="2" t="s">
        <v>82</v>
      </c>
      <c r="BC4154" s="2">
        <v>41</v>
      </c>
      <c r="BD4154" s="2" t="s">
        <v>82</v>
      </c>
      <c r="BE4154" s="2">
        <v>41</v>
      </c>
      <c r="BF4154" s="2" t="s">
        <v>82</v>
      </c>
      <c r="BG4154" s="2"/>
      <c r="BH4154" s="2"/>
      <c r="BI4154" s="2"/>
      <c r="BJ4154" s="2">
        <v>241</v>
      </c>
      <c r="BK4154" s="2" t="s">
        <v>82</v>
      </c>
      <c r="BL4154" s="2"/>
      <c r="BM4154" s="2">
        <v>241</v>
      </c>
      <c r="BN4154" s="2" t="s">
        <v>82</v>
      </c>
      <c r="BO4154" s="2"/>
      <c r="BP4154" s="2">
        <v>241</v>
      </c>
      <c r="BQ4154" s="2" t="s">
        <v>82</v>
      </c>
      <c r="BR4154" s="2"/>
      <c r="BS4154" s="3">
        <v>40460</v>
      </c>
      <c r="BT4154" s="4">
        <v>0.85287037037037028</v>
      </c>
    </row>
    <row r="4155" spans="1:72" x14ac:dyDescent="0.25">
      <c r="A4155" s="2">
        <v>6255</v>
      </c>
      <c r="B4155" s="2">
        <v>2010</v>
      </c>
      <c r="C4155" s="2" t="s">
        <v>72</v>
      </c>
      <c r="D4155" s="2" t="s">
        <v>73</v>
      </c>
      <c r="E4155" s="2"/>
      <c r="F4155" s="2">
        <v>188</v>
      </c>
      <c r="G4155" s="2" t="s">
        <v>11384</v>
      </c>
      <c r="H4155" s="2">
        <v>22</v>
      </c>
      <c r="I4155" s="2" t="s">
        <v>75</v>
      </c>
      <c r="J4155" s="2">
        <v>670</v>
      </c>
      <c r="K4155" s="2" t="s">
        <v>12743</v>
      </c>
      <c r="L4155" s="2" t="s">
        <v>12744</v>
      </c>
      <c r="M4155" s="3">
        <v>40461</v>
      </c>
      <c r="N4155" s="2" t="s">
        <v>12739</v>
      </c>
      <c r="O4155" s="2" t="s">
        <v>82</v>
      </c>
      <c r="P4155" s="2" t="s">
        <v>82</v>
      </c>
      <c r="Q4155" s="2" t="str">
        <f>"PS400-A/10"</f>
        <v>PS400-A/10</v>
      </c>
      <c r="R4155" s="2" t="s">
        <v>206</v>
      </c>
      <c r="S4155" s="2" t="s">
        <v>206</v>
      </c>
      <c r="T4155" s="2">
        <v>1</v>
      </c>
      <c r="U4155" s="2" t="s">
        <v>79</v>
      </c>
      <c r="V4155" s="2">
        <v>1</v>
      </c>
      <c r="W4155" s="2" t="s">
        <v>80</v>
      </c>
      <c r="X4155" s="2">
        <v>12</v>
      </c>
      <c r="Y4155" s="2" t="s">
        <v>148</v>
      </c>
      <c r="Z4155" s="2">
        <v>1</v>
      </c>
      <c r="AA4155" s="2" t="s">
        <v>82</v>
      </c>
      <c r="AB4155" s="2">
        <v>6</v>
      </c>
      <c r="AC4155" s="2" t="s">
        <v>83</v>
      </c>
      <c r="AD4155" s="3">
        <v>40460</v>
      </c>
      <c r="AE4155" s="2"/>
      <c r="AF4155" s="3">
        <v>40460</v>
      </c>
      <c r="AG4155" s="4">
        <v>0.875</v>
      </c>
      <c r="AH4155" s="2">
        <v>2</v>
      </c>
      <c r="AI4155" s="2" t="s">
        <v>84</v>
      </c>
      <c r="AJ4155" s="2">
        <v>12</v>
      </c>
      <c r="AK4155" s="2" t="s">
        <v>85</v>
      </c>
      <c r="AL4155" s="2">
        <v>23</v>
      </c>
      <c r="AM4155" s="2" t="s">
        <v>251</v>
      </c>
      <c r="AN4155" s="2" t="s">
        <v>13031</v>
      </c>
      <c r="AO4155" s="2" t="s">
        <v>13032</v>
      </c>
      <c r="AP4155" s="2">
        <v>11</v>
      </c>
      <c r="AQ4155" s="2" t="s">
        <v>82</v>
      </c>
      <c r="AR4155" s="2"/>
      <c r="AS4155" s="2"/>
      <c r="AT4155" s="2" t="s">
        <v>13033</v>
      </c>
      <c r="AU4155" s="2"/>
      <c r="AV4155" s="2"/>
      <c r="AW4155" s="2"/>
      <c r="AX4155" s="2"/>
      <c r="AY4155" s="2">
        <v>41</v>
      </c>
      <c r="AZ4155" s="2" t="s">
        <v>82</v>
      </c>
      <c r="BA4155" s="2">
        <v>41</v>
      </c>
      <c r="BB4155" s="2" t="s">
        <v>82</v>
      </c>
      <c r="BC4155" s="2">
        <v>41</v>
      </c>
      <c r="BD4155" s="2" t="s">
        <v>82</v>
      </c>
      <c r="BE4155" s="2">
        <v>41</v>
      </c>
      <c r="BF4155" s="2" t="s">
        <v>82</v>
      </c>
      <c r="BG4155" s="2"/>
      <c r="BH4155" s="2"/>
      <c r="BI4155" s="2"/>
      <c r="BJ4155" s="2">
        <v>241</v>
      </c>
      <c r="BK4155" s="2" t="s">
        <v>82</v>
      </c>
      <c r="BL4155" s="2"/>
      <c r="BM4155" s="2">
        <v>241</v>
      </c>
      <c r="BN4155" s="2" t="s">
        <v>82</v>
      </c>
      <c r="BO4155" s="2"/>
      <c r="BP4155" s="2">
        <v>241</v>
      </c>
      <c r="BQ4155" s="2" t="s">
        <v>82</v>
      </c>
      <c r="BR4155" s="2"/>
      <c r="BS4155" s="3">
        <v>40461</v>
      </c>
      <c r="BT4155" s="4">
        <v>8.1747685185185187E-2</v>
      </c>
    </row>
    <row r="4156" spans="1:72" x14ac:dyDescent="0.25">
      <c r="A4156" s="2">
        <v>6256</v>
      </c>
      <c r="B4156" s="2">
        <v>2010</v>
      </c>
      <c r="C4156" s="2" t="s">
        <v>414</v>
      </c>
      <c r="D4156" s="2" t="s">
        <v>122</v>
      </c>
      <c r="E4156" s="2"/>
      <c r="F4156" s="2">
        <v>1</v>
      </c>
      <c r="G4156" s="2" t="s">
        <v>82</v>
      </c>
      <c r="H4156" s="2">
        <v>1</v>
      </c>
      <c r="I4156" s="2" t="s">
        <v>82</v>
      </c>
      <c r="J4156" s="2">
        <v>1</v>
      </c>
      <c r="K4156" s="2" t="s">
        <v>107</v>
      </c>
      <c r="L4156" s="2" t="s">
        <v>107</v>
      </c>
      <c r="M4156" s="3">
        <v>40461</v>
      </c>
      <c r="N4156" s="2" t="s">
        <v>82</v>
      </c>
      <c r="O4156" s="2" t="s">
        <v>82</v>
      </c>
      <c r="P4156" s="2" t="s">
        <v>82</v>
      </c>
      <c r="Q4156" s="2" t="str">
        <f>"N/C"</f>
        <v>N/C</v>
      </c>
      <c r="R4156" s="2" t="s">
        <v>82</v>
      </c>
      <c r="S4156" s="2" t="s">
        <v>82</v>
      </c>
      <c r="T4156" s="2">
        <v>1</v>
      </c>
      <c r="U4156" s="2" t="s">
        <v>79</v>
      </c>
      <c r="V4156" s="2">
        <v>1</v>
      </c>
      <c r="W4156" s="2" t="s">
        <v>80</v>
      </c>
      <c r="X4156" s="2">
        <v>1</v>
      </c>
      <c r="Y4156" s="2" t="s">
        <v>81</v>
      </c>
      <c r="Z4156" s="2">
        <v>10</v>
      </c>
      <c r="AA4156" s="2" t="s">
        <v>236</v>
      </c>
      <c r="AB4156" s="2">
        <v>9</v>
      </c>
      <c r="AC4156" s="2" t="s">
        <v>124</v>
      </c>
      <c r="AD4156" s="3">
        <v>40460</v>
      </c>
      <c r="AE4156" s="4">
        <v>0.89930555555555547</v>
      </c>
      <c r="AF4156" s="2"/>
      <c r="AG4156" s="2"/>
      <c r="AH4156" s="2">
        <v>2</v>
      </c>
      <c r="AI4156" s="2" t="s">
        <v>84</v>
      </c>
      <c r="AJ4156" s="2">
        <v>12</v>
      </c>
      <c r="AK4156" s="2" t="s">
        <v>85</v>
      </c>
      <c r="AL4156" s="2">
        <v>21</v>
      </c>
      <c r="AM4156" s="2" t="s">
        <v>1311</v>
      </c>
      <c r="AN4156" s="2" t="s">
        <v>940</v>
      </c>
      <c r="AO4156" s="2" t="s">
        <v>13034</v>
      </c>
      <c r="AP4156" s="2">
        <v>11</v>
      </c>
      <c r="AQ4156" s="2" t="s">
        <v>82</v>
      </c>
      <c r="AR4156" s="2"/>
      <c r="AS4156" s="2"/>
      <c r="AT4156" s="2" t="s">
        <v>13035</v>
      </c>
      <c r="AU4156" s="2"/>
      <c r="AV4156" s="2"/>
      <c r="AW4156" s="2"/>
      <c r="AX4156" s="2"/>
      <c r="AY4156" s="2">
        <v>41</v>
      </c>
      <c r="AZ4156" s="2" t="s">
        <v>82</v>
      </c>
      <c r="BA4156" s="2">
        <v>41</v>
      </c>
      <c r="BB4156" s="2" t="s">
        <v>82</v>
      </c>
      <c r="BC4156" s="2">
        <v>41</v>
      </c>
      <c r="BD4156" s="2" t="s">
        <v>82</v>
      </c>
      <c r="BE4156" s="2">
        <v>41</v>
      </c>
      <c r="BF4156" s="2" t="s">
        <v>82</v>
      </c>
      <c r="BG4156" s="2"/>
      <c r="BH4156" s="2"/>
      <c r="BI4156" s="2"/>
      <c r="BJ4156" s="2">
        <v>241</v>
      </c>
      <c r="BK4156" s="2" t="s">
        <v>82</v>
      </c>
      <c r="BL4156" s="2"/>
      <c r="BM4156" s="2">
        <v>241</v>
      </c>
      <c r="BN4156" s="2" t="s">
        <v>82</v>
      </c>
      <c r="BO4156" s="2"/>
      <c r="BP4156" s="2">
        <v>241</v>
      </c>
      <c r="BQ4156" s="2" t="s">
        <v>82</v>
      </c>
      <c r="BR4156" s="2"/>
      <c r="BS4156" s="3">
        <v>40461</v>
      </c>
      <c r="BT4156" s="4">
        <v>9.043981481481482E-2</v>
      </c>
    </row>
    <row r="4157" spans="1:72" x14ac:dyDescent="0.25">
      <c r="A4157" s="2">
        <v>6257</v>
      </c>
      <c r="B4157" s="2">
        <v>2010</v>
      </c>
      <c r="C4157" s="2" t="s">
        <v>171</v>
      </c>
      <c r="D4157" s="2" t="s">
        <v>73</v>
      </c>
      <c r="E4157" s="2"/>
      <c r="F4157" s="2">
        <v>396</v>
      </c>
      <c r="G4157" s="2" t="s">
        <v>2159</v>
      </c>
      <c r="H4157" s="2">
        <v>9</v>
      </c>
      <c r="I4157" s="2" t="s">
        <v>794</v>
      </c>
      <c r="J4157" s="2">
        <v>243</v>
      </c>
      <c r="K4157" s="2" t="s">
        <v>2160</v>
      </c>
      <c r="L4157" s="2" t="s">
        <v>2145</v>
      </c>
      <c r="M4157" s="3">
        <v>40461</v>
      </c>
      <c r="N4157" s="2" t="s">
        <v>2161</v>
      </c>
      <c r="O4157" s="2" t="s">
        <v>13036</v>
      </c>
      <c r="P4157" s="7">
        <v>13134</v>
      </c>
      <c r="Q4157" s="2" t="str">
        <f>""</f>
        <v/>
      </c>
      <c r="R4157" s="2"/>
      <c r="S4157" s="2"/>
      <c r="T4157" s="2">
        <v>1</v>
      </c>
      <c r="U4157" s="2" t="s">
        <v>79</v>
      </c>
      <c r="V4157" s="2">
        <v>1</v>
      </c>
      <c r="W4157" s="2" t="s">
        <v>80</v>
      </c>
      <c r="X4157" s="2">
        <v>1</v>
      </c>
      <c r="Y4157" s="2" t="s">
        <v>81</v>
      </c>
      <c r="Z4157" s="2">
        <v>1</v>
      </c>
      <c r="AA4157" s="2" t="s">
        <v>82</v>
      </c>
      <c r="AB4157" s="2">
        <v>1</v>
      </c>
      <c r="AC4157" s="2" t="s">
        <v>178</v>
      </c>
      <c r="AD4157" s="3">
        <v>40460</v>
      </c>
      <c r="AE4157" s="4">
        <v>0.86805555555555547</v>
      </c>
      <c r="AF4157" s="3">
        <v>40457</v>
      </c>
      <c r="AG4157" s="2"/>
      <c r="AH4157" s="2">
        <v>7</v>
      </c>
      <c r="AI4157" s="2" t="s">
        <v>801</v>
      </c>
      <c r="AJ4157" s="2">
        <v>3</v>
      </c>
      <c r="AK4157" s="2" t="s">
        <v>802</v>
      </c>
      <c r="AL4157" s="2">
        <v>25</v>
      </c>
      <c r="AM4157" s="2" t="s">
        <v>3073</v>
      </c>
      <c r="AN4157" s="2" t="s">
        <v>179</v>
      </c>
      <c r="AO4157" s="2"/>
      <c r="AP4157" s="2">
        <v>11</v>
      </c>
      <c r="AQ4157" s="2" t="s">
        <v>82</v>
      </c>
      <c r="AR4157" s="2"/>
      <c r="AS4157" s="2"/>
      <c r="AT4157" s="2" t="s">
        <v>13037</v>
      </c>
      <c r="AU4157" s="2"/>
      <c r="AV4157" s="2">
        <v>1</v>
      </c>
      <c r="AW4157" s="2"/>
      <c r="AX4157" s="2"/>
      <c r="AY4157" s="2">
        <v>42</v>
      </c>
      <c r="AZ4157" s="2" t="s">
        <v>182</v>
      </c>
      <c r="BA4157" s="2">
        <v>41</v>
      </c>
      <c r="BB4157" s="2" t="s">
        <v>82</v>
      </c>
      <c r="BC4157" s="2">
        <v>41</v>
      </c>
      <c r="BD4157" s="2" t="s">
        <v>82</v>
      </c>
      <c r="BE4157" s="2">
        <v>31</v>
      </c>
      <c r="BF4157" s="2" t="s">
        <v>398</v>
      </c>
      <c r="BG4157" s="2" t="s">
        <v>722</v>
      </c>
      <c r="BH4157" s="2"/>
      <c r="BI4157" s="4">
        <v>0.89930555555555547</v>
      </c>
      <c r="BJ4157" s="2">
        <v>13</v>
      </c>
      <c r="BK4157" s="2" t="s">
        <v>91</v>
      </c>
      <c r="BL4157" s="2" t="s">
        <v>360</v>
      </c>
      <c r="BM4157" s="2">
        <v>73</v>
      </c>
      <c r="BN4157" s="2" t="s">
        <v>186</v>
      </c>
      <c r="BO4157" s="2"/>
      <c r="BP4157" s="2">
        <v>24</v>
      </c>
      <c r="BQ4157" s="2" t="s">
        <v>6738</v>
      </c>
      <c r="BR4157" s="2" t="s">
        <v>6739</v>
      </c>
      <c r="BS4157" s="3">
        <v>40461</v>
      </c>
      <c r="BT4157" s="4">
        <v>0.19612268518518516</v>
      </c>
    </row>
    <row r="4158" spans="1:72" x14ac:dyDescent="0.25">
      <c r="A4158" s="2">
        <v>6258</v>
      </c>
      <c r="B4158" s="2">
        <v>2010</v>
      </c>
      <c r="C4158" s="2" t="s">
        <v>171</v>
      </c>
      <c r="D4158" s="2" t="s">
        <v>73</v>
      </c>
      <c r="E4158" s="2"/>
      <c r="F4158" s="2">
        <v>396</v>
      </c>
      <c r="G4158" s="2" t="s">
        <v>2159</v>
      </c>
      <c r="H4158" s="2">
        <v>9</v>
      </c>
      <c r="I4158" s="2" t="s">
        <v>794</v>
      </c>
      <c r="J4158" s="2">
        <v>243</v>
      </c>
      <c r="K4158" s="2" t="s">
        <v>2160</v>
      </c>
      <c r="L4158" s="2" t="s">
        <v>2145</v>
      </c>
      <c r="M4158" s="3">
        <v>40461</v>
      </c>
      <c r="N4158" s="2" t="s">
        <v>13038</v>
      </c>
      <c r="O4158" s="2"/>
      <c r="P4158" s="2"/>
      <c r="Q4158" s="2" t="str">
        <f>"525-E/10"</f>
        <v>525-E/10</v>
      </c>
      <c r="R4158" s="2" t="s">
        <v>3768</v>
      </c>
      <c r="S4158" s="2" t="s">
        <v>3768</v>
      </c>
      <c r="T4158" s="2">
        <v>1</v>
      </c>
      <c r="U4158" s="2" t="s">
        <v>79</v>
      </c>
      <c r="V4158" s="2">
        <v>1</v>
      </c>
      <c r="W4158" s="2" t="s">
        <v>80</v>
      </c>
      <c r="X4158" s="2">
        <v>1</v>
      </c>
      <c r="Y4158" s="2" t="s">
        <v>81</v>
      </c>
      <c r="Z4158" s="2">
        <v>1</v>
      </c>
      <c r="AA4158" s="2" t="s">
        <v>82</v>
      </c>
      <c r="AB4158" s="2">
        <v>1</v>
      </c>
      <c r="AC4158" s="2" t="s">
        <v>178</v>
      </c>
      <c r="AD4158" s="3">
        <v>40460</v>
      </c>
      <c r="AE4158" s="4">
        <v>0.82638888888888884</v>
      </c>
      <c r="AF4158" s="3">
        <v>40460</v>
      </c>
      <c r="AG4158" s="4">
        <v>0.99305555555555547</v>
      </c>
      <c r="AH4158" s="2">
        <v>2</v>
      </c>
      <c r="AI4158" s="2" t="s">
        <v>84</v>
      </c>
      <c r="AJ4158" s="2">
        <v>9</v>
      </c>
      <c r="AK4158" s="2" t="s">
        <v>103</v>
      </c>
      <c r="AL4158" s="2">
        <v>25</v>
      </c>
      <c r="AM4158" s="2" t="s">
        <v>3073</v>
      </c>
      <c r="AN4158" s="2" t="s">
        <v>6519</v>
      </c>
      <c r="AO4158" s="2" t="s">
        <v>5362</v>
      </c>
      <c r="AP4158" s="2">
        <v>11</v>
      </c>
      <c r="AQ4158" s="2" t="s">
        <v>82</v>
      </c>
      <c r="AR4158" s="2"/>
      <c r="AS4158" s="2"/>
      <c r="AT4158" s="2" t="s">
        <v>13039</v>
      </c>
      <c r="AU4158" s="2"/>
      <c r="AV4158" s="2">
        <v>1</v>
      </c>
      <c r="AW4158" s="2"/>
      <c r="AX4158" s="2"/>
      <c r="AY4158" s="2">
        <v>41</v>
      </c>
      <c r="AZ4158" s="2" t="s">
        <v>82</v>
      </c>
      <c r="BA4158" s="2">
        <v>41</v>
      </c>
      <c r="BB4158" s="2" t="s">
        <v>82</v>
      </c>
      <c r="BC4158" s="2">
        <v>41</v>
      </c>
      <c r="BD4158" s="2" t="s">
        <v>82</v>
      </c>
      <c r="BE4158" s="2">
        <v>13</v>
      </c>
      <c r="BF4158" s="2" t="s">
        <v>108</v>
      </c>
      <c r="BG4158" s="2" t="s">
        <v>1769</v>
      </c>
      <c r="BH4158" s="2"/>
      <c r="BI4158" s="2"/>
      <c r="BJ4158" s="2">
        <v>13</v>
      </c>
      <c r="BK4158" s="2" t="s">
        <v>91</v>
      </c>
      <c r="BL4158" s="2" t="s">
        <v>360</v>
      </c>
      <c r="BM4158" s="2">
        <v>73</v>
      </c>
      <c r="BN4158" s="2" t="s">
        <v>186</v>
      </c>
      <c r="BO4158" s="2"/>
      <c r="BP4158" s="2">
        <v>73</v>
      </c>
      <c r="BQ4158" s="2" t="s">
        <v>186</v>
      </c>
      <c r="BR4158" s="2" t="s">
        <v>187</v>
      </c>
      <c r="BS4158" s="3">
        <v>40461</v>
      </c>
      <c r="BT4158" s="4">
        <v>0.20212962962962963</v>
      </c>
    </row>
    <row r="4159" spans="1:72" x14ac:dyDescent="0.25">
      <c r="A4159" s="2">
        <v>6259</v>
      </c>
      <c r="B4159" s="2">
        <v>2010</v>
      </c>
      <c r="C4159" s="2" t="s">
        <v>72</v>
      </c>
      <c r="D4159" s="2" t="s">
        <v>73</v>
      </c>
      <c r="E4159" s="2"/>
      <c r="F4159" s="2">
        <v>24</v>
      </c>
      <c r="G4159" s="2" t="s">
        <v>532</v>
      </c>
      <c r="H4159" s="2">
        <v>1</v>
      </c>
      <c r="I4159" s="2" t="s">
        <v>82</v>
      </c>
      <c r="J4159" s="2">
        <v>300</v>
      </c>
      <c r="K4159" s="2" t="s">
        <v>114</v>
      </c>
      <c r="L4159" s="2" t="s">
        <v>115</v>
      </c>
      <c r="M4159" s="3">
        <v>40461</v>
      </c>
      <c r="N4159" s="2"/>
      <c r="O4159" s="2" t="s">
        <v>107</v>
      </c>
      <c r="P4159" s="2"/>
      <c r="Q4159" s="2" t="str">
        <f>"526-E/10"</f>
        <v>526-E/10</v>
      </c>
      <c r="R4159" s="2" t="s">
        <v>601</v>
      </c>
      <c r="S4159" s="2" t="s">
        <v>601</v>
      </c>
      <c r="T4159" s="2">
        <v>1</v>
      </c>
      <c r="U4159" s="2" t="s">
        <v>79</v>
      </c>
      <c r="V4159" s="2">
        <v>1</v>
      </c>
      <c r="W4159" s="2" t="s">
        <v>80</v>
      </c>
      <c r="X4159" s="2">
        <v>12</v>
      </c>
      <c r="Y4159" s="2" t="s">
        <v>148</v>
      </c>
      <c r="Z4159" s="2">
        <v>1</v>
      </c>
      <c r="AA4159" s="2" t="s">
        <v>82</v>
      </c>
      <c r="AB4159" s="2">
        <v>6</v>
      </c>
      <c r="AC4159" s="2" t="s">
        <v>83</v>
      </c>
      <c r="AD4159" s="3">
        <v>40460</v>
      </c>
      <c r="AE4159" s="2"/>
      <c r="AF4159" s="3">
        <v>40461</v>
      </c>
      <c r="AG4159" s="4">
        <v>0.125</v>
      </c>
      <c r="AH4159" s="2">
        <v>2</v>
      </c>
      <c r="AI4159" s="2" t="s">
        <v>84</v>
      </c>
      <c r="AJ4159" s="2">
        <v>9</v>
      </c>
      <c r="AK4159" s="2" t="s">
        <v>103</v>
      </c>
      <c r="AL4159" s="2">
        <v>22</v>
      </c>
      <c r="AM4159" s="2" t="s">
        <v>1853</v>
      </c>
      <c r="AN4159" s="2" t="s">
        <v>13040</v>
      </c>
      <c r="AO4159" s="2" t="s">
        <v>13041</v>
      </c>
      <c r="AP4159" s="2">
        <v>11</v>
      </c>
      <c r="AQ4159" s="2" t="s">
        <v>82</v>
      </c>
      <c r="AR4159" s="2"/>
      <c r="AS4159" s="2"/>
      <c r="AT4159" s="2" t="s">
        <v>13042</v>
      </c>
      <c r="AU4159" s="2"/>
      <c r="AV4159" s="2"/>
      <c r="AW4159" s="2"/>
      <c r="AX4159" s="2"/>
      <c r="AY4159" s="2">
        <v>41</v>
      </c>
      <c r="AZ4159" s="2" t="s">
        <v>82</v>
      </c>
      <c r="BA4159" s="2">
        <v>41</v>
      </c>
      <c r="BB4159" s="2" t="s">
        <v>82</v>
      </c>
      <c r="BC4159" s="2">
        <v>41</v>
      </c>
      <c r="BD4159" s="2" t="s">
        <v>82</v>
      </c>
      <c r="BE4159" s="2">
        <v>23</v>
      </c>
      <c r="BF4159" s="2" t="s">
        <v>183</v>
      </c>
      <c r="BG4159" s="2" t="s">
        <v>13043</v>
      </c>
      <c r="BH4159" s="4">
        <v>0.90277777777777779</v>
      </c>
      <c r="BI4159" s="2"/>
      <c r="BJ4159" s="2">
        <v>73</v>
      </c>
      <c r="BK4159" s="2" t="s">
        <v>186</v>
      </c>
      <c r="BL4159" s="2" t="s">
        <v>187</v>
      </c>
      <c r="BM4159" s="2">
        <v>13</v>
      </c>
      <c r="BN4159" s="2" t="s">
        <v>91</v>
      </c>
      <c r="BO4159" s="2"/>
      <c r="BP4159" s="2">
        <v>13</v>
      </c>
      <c r="BQ4159" s="2" t="s">
        <v>91</v>
      </c>
      <c r="BR4159" s="2" t="s">
        <v>360</v>
      </c>
      <c r="BS4159" s="3">
        <v>40461</v>
      </c>
      <c r="BT4159" s="4">
        <v>0.37377314814814816</v>
      </c>
    </row>
    <row r="4160" spans="1:72" x14ac:dyDescent="0.25">
      <c r="A4160" s="2">
        <v>6260</v>
      </c>
      <c r="B4160" s="2">
        <v>2010</v>
      </c>
      <c r="C4160" s="2" t="s">
        <v>1559</v>
      </c>
      <c r="D4160" s="2" t="s">
        <v>73</v>
      </c>
      <c r="E4160" s="2"/>
      <c r="F4160" s="2">
        <v>666</v>
      </c>
      <c r="G4160" s="2" t="s">
        <v>13044</v>
      </c>
      <c r="H4160" s="2">
        <v>7</v>
      </c>
      <c r="I4160" s="2" t="s">
        <v>476</v>
      </c>
      <c r="J4160" s="2">
        <v>33</v>
      </c>
      <c r="K4160" s="2" t="s">
        <v>2178</v>
      </c>
      <c r="L4160" s="2" t="s">
        <v>1877</v>
      </c>
      <c r="M4160" s="3">
        <v>40461</v>
      </c>
      <c r="N4160" s="2" t="s">
        <v>13045</v>
      </c>
      <c r="O4160" s="2" t="s">
        <v>13046</v>
      </c>
      <c r="P4160" s="7">
        <v>14003</v>
      </c>
      <c r="Q4160" s="2" t="str">
        <f>""</f>
        <v/>
      </c>
      <c r="R4160" s="2"/>
      <c r="S4160" s="2"/>
      <c r="T4160" s="2">
        <v>1</v>
      </c>
      <c r="U4160" s="2" t="s">
        <v>79</v>
      </c>
      <c r="V4160" s="2">
        <v>1</v>
      </c>
      <c r="W4160" s="2" t="s">
        <v>80</v>
      </c>
      <c r="X4160" s="2">
        <v>8</v>
      </c>
      <c r="Y4160" s="2" t="s">
        <v>375</v>
      </c>
      <c r="Z4160" s="2">
        <v>1</v>
      </c>
      <c r="AA4160" s="2" t="s">
        <v>82</v>
      </c>
      <c r="AB4160" s="2">
        <v>9</v>
      </c>
      <c r="AC4160" s="2" t="s">
        <v>124</v>
      </c>
      <c r="AD4160" s="3">
        <v>40461</v>
      </c>
      <c r="AE4160" s="4">
        <v>3.125E-2</v>
      </c>
      <c r="AF4160" s="2"/>
      <c r="AG4160" s="2"/>
      <c r="AH4160" s="2">
        <v>2</v>
      </c>
      <c r="AI4160" s="2" t="s">
        <v>84</v>
      </c>
      <c r="AJ4160" s="2">
        <v>6</v>
      </c>
      <c r="AK4160" s="2" t="s">
        <v>453</v>
      </c>
      <c r="AL4160" s="2">
        <v>23</v>
      </c>
      <c r="AM4160" s="2" t="s">
        <v>251</v>
      </c>
      <c r="AN4160" s="2"/>
      <c r="AO4160" s="2" t="s">
        <v>13047</v>
      </c>
      <c r="AP4160" s="2">
        <v>11</v>
      </c>
      <c r="AQ4160" s="2" t="s">
        <v>82</v>
      </c>
      <c r="AR4160" s="2"/>
      <c r="AS4160" s="2"/>
      <c r="AT4160" s="2" t="s">
        <v>13048</v>
      </c>
      <c r="AU4160" s="2"/>
      <c r="AV4160" s="2"/>
      <c r="AW4160" s="2"/>
      <c r="AX4160" s="2"/>
      <c r="AY4160" s="2">
        <v>41</v>
      </c>
      <c r="AZ4160" s="2" t="s">
        <v>82</v>
      </c>
      <c r="BA4160" s="2">
        <v>41</v>
      </c>
      <c r="BB4160" s="2" t="s">
        <v>82</v>
      </c>
      <c r="BC4160" s="2">
        <v>41</v>
      </c>
      <c r="BD4160" s="2" t="s">
        <v>82</v>
      </c>
      <c r="BE4160" s="2">
        <v>41</v>
      </c>
      <c r="BF4160" s="2" t="s">
        <v>82</v>
      </c>
      <c r="BG4160" s="2"/>
      <c r="BH4160" s="2"/>
      <c r="BI4160" s="2"/>
      <c r="BJ4160" s="2">
        <v>241</v>
      </c>
      <c r="BK4160" s="2" t="s">
        <v>82</v>
      </c>
      <c r="BL4160" s="2"/>
      <c r="BM4160" s="2">
        <v>241</v>
      </c>
      <c r="BN4160" s="2" t="s">
        <v>82</v>
      </c>
      <c r="BO4160" s="2"/>
      <c r="BP4160" s="2">
        <v>241</v>
      </c>
      <c r="BQ4160" s="2" t="s">
        <v>82</v>
      </c>
      <c r="BR4160" s="2"/>
      <c r="BS4160" s="3">
        <v>40461</v>
      </c>
      <c r="BT4160" s="4">
        <v>0.43520833333333336</v>
      </c>
    </row>
    <row r="4161" spans="1:72" x14ac:dyDescent="0.25">
      <c r="A4161" s="2">
        <v>6260</v>
      </c>
      <c r="B4161" s="2">
        <v>2010</v>
      </c>
      <c r="C4161" s="2" t="s">
        <v>171</v>
      </c>
      <c r="D4161" s="2" t="s">
        <v>73</v>
      </c>
      <c r="E4161" s="2"/>
      <c r="F4161" s="2">
        <v>666</v>
      </c>
      <c r="G4161" s="2" t="s">
        <v>13044</v>
      </c>
      <c r="H4161" s="2">
        <v>7</v>
      </c>
      <c r="I4161" s="2" t="s">
        <v>476</v>
      </c>
      <c r="J4161" s="2">
        <v>33</v>
      </c>
      <c r="K4161" s="2" t="s">
        <v>2178</v>
      </c>
      <c r="L4161" s="2" t="s">
        <v>1877</v>
      </c>
      <c r="M4161" s="3">
        <v>40461</v>
      </c>
      <c r="N4161" s="2" t="s">
        <v>13045</v>
      </c>
      <c r="O4161" s="2" t="s">
        <v>13046</v>
      </c>
      <c r="P4161" s="7">
        <v>14003</v>
      </c>
      <c r="Q4161" s="2" t="str">
        <f>""</f>
        <v/>
      </c>
      <c r="R4161" s="2"/>
      <c r="S4161" s="2"/>
      <c r="T4161" s="2">
        <v>1</v>
      </c>
      <c r="U4161" s="2" t="s">
        <v>79</v>
      </c>
      <c r="V4161" s="2">
        <v>1</v>
      </c>
      <c r="W4161" s="2" t="s">
        <v>80</v>
      </c>
      <c r="X4161" s="2">
        <v>8</v>
      </c>
      <c r="Y4161" s="2" t="s">
        <v>375</v>
      </c>
      <c r="Z4161" s="2">
        <v>1</v>
      </c>
      <c r="AA4161" s="2" t="s">
        <v>82</v>
      </c>
      <c r="AB4161" s="2">
        <v>1</v>
      </c>
      <c r="AC4161" s="2" t="s">
        <v>178</v>
      </c>
      <c r="AD4161" s="3">
        <v>40461</v>
      </c>
      <c r="AE4161" s="4">
        <v>3.125E-2</v>
      </c>
      <c r="AF4161" s="2"/>
      <c r="AG4161" s="2"/>
      <c r="AH4161" s="2">
        <v>2</v>
      </c>
      <c r="AI4161" s="2" t="s">
        <v>84</v>
      </c>
      <c r="AJ4161" s="2">
        <v>6</v>
      </c>
      <c r="AK4161" s="2" t="s">
        <v>453</v>
      </c>
      <c r="AL4161" s="2">
        <v>23</v>
      </c>
      <c r="AM4161" s="2" t="s">
        <v>251</v>
      </c>
      <c r="AN4161" s="2"/>
      <c r="AO4161" s="2" t="s">
        <v>13047</v>
      </c>
      <c r="AP4161" s="2">
        <v>11</v>
      </c>
      <c r="AQ4161" s="2" t="s">
        <v>82</v>
      </c>
      <c r="AR4161" s="2"/>
      <c r="AS4161" s="2"/>
      <c r="AT4161" s="2" t="s">
        <v>13048</v>
      </c>
      <c r="AU4161" s="2"/>
      <c r="AV4161" s="2"/>
      <c r="AW4161" s="2"/>
      <c r="AX4161" s="2"/>
      <c r="AY4161" s="2">
        <v>41</v>
      </c>
      <c r="AZ4161" s="2" t="s">
        <v>82</v>
      </c>
      <c r="BA4161" s="2">
        <v>41</v>
      </c>
      <c r="BB4161" s="2" t="s">
        <v>82</v>
      </c>
      <c r="BC4161" s="2">
        <v>41</v>
      </c>
      <c r="BD4161" s="2" t="s">
        <v>82</v>
      </c>
      <c r="BE4161" s="2">
        <v>41</v>
      </c>
      <c r="BF4161" s="2" t="s">
        <v>82</v>
      </c>
      <c r="BG4161" s="2"/>
      <c r="BH4161" s="2"/>
      <c r="BI4161" s="2"/>
      <c r="BJ4161" s="2">
        <v>241</v>
      </c>
      <c r="BK4161" s="2" t="s">
        <v>82</v>
      </c>
      <c r="BL4161" s="2"/>
      <c r="BM4161" s="2">
        <v>241</v>
      </c>
      <c r="BN4161" s="2" t="s">
        <v>82</v>
      </c>
      <c r="BO4161" s="2"/>
      <c r="BP4161" s="2">
        <v>241</v>
      </c>
      <c r="BQ4161" s="2" t="s">
        <v>82</v>
      </c>
      <c r="BR4161" s="2"/>
      <c r="BS4161" s="3">
        <v>40461</v>
      </c>
      <c r="BT4161" s="4">
        <v>0.43520833333333336</v>
      </c>
    </row>
    <row r="4162" spans="1:72" x14ac:dyDescent="0.25">
      <c r="A4162" s="2">
        <v>6261</v>
      </c>
      <c r="B4162" s="2">
        <v>2010</v>
      </c>
      <c r="C4162" s="2" t="s">
        <v>4543</v>
      </c>
      <c r="D4162" s="2" t="s">
        <v>122</v>
      </c>
      <c r="E4162" s="2"/>
      <c r="F4162" s="2">
        <v>146</v>
      </c>
      <c r="G4162" s="2" t="s">
        <v>753</v>
      </c>
      <c r="H4162" s="2">
        <v>39</v>
      </c>
      <c r="I4162" s="2" t="s">
        <v>1117</v>
      </c>
      <c r="J4162" s="2">
        <v>161</v>
      </c>
      <c r="K4162" s="2" t="s">
        <v>1900</v>
      </c>
      <c r="L4162" s="2" t="s">
        <v>1901</v>
      </c>
      <c r="M4162" s="3">
        <v>40461</v>
      </c>
      <c r="N4162" s="2" t="s">
        <v>1902</v>
      </c>
      <c r="O4162" s="2" t="s">
        <v>13049</v>
      </c>
      <c r="P4162" s="7">
        <v>2633</v>
      </c>
      <c r="Q4162" s="2" t="str">
        <f>"N/C"</f>
        <v>N/C</v>
      </c>
      <c r="R4162" s="2" t="s">
        <v>82</v>
      </c>
      <c r="S4162" s="2" t="s">
        <v>82</v>
      </c>
      <c r="T4162" s="2">
        <v>2</v>
      </c>
      <c r="U4162" s="2" t="s">
        <v>123</v>
      </c>
      <c r="V4162" s="2">
        <v>1</v>
      </c>
      <c r="W4162" s="2" t="s">
        <v>80</v>
      </c>
      <c r="X4162" s="2">
        <v>4</v>
      </c>
      <c r="Y4162" s="2" t="s">
        <v>463</v>
      </c>
      <c r="Z4162" s="2">
        <v>10</v>
      </c>
      <c r="AA4162" s="2" t="s">
        <v>236</v>
      </c>
      <c r="AB4162" s="2">
        <v>9</v>
      </c>
      <c r="AC4162" s="2" t="s">
        <v>124</v>
      </c>
      <c r="AD4162" s="3">
        <v>40461</v>
      </c>
      <c r="AE4162" s="4">
        <v>0.47916666666666669</v>
      </c>
      <c r="AF4162" s="2"/>
      <c r="AG4162" s="2"/>
      <c r="AH4162" s="2">
        <v>6</v>
      </c>
      <c r="AI4162" s="2" t="s">
        <v>197</v>
      </c>
      <c r="AJ4162" s="2">
        <v>60</v>
      </c>
      <c r="AK4162" s="2" t="s">
        <v>543</v>
      </c>
      <c r="AL4162" s="2">
        <v>19</v>
      </c>
      <c r="AM4162" s="2" t="s">
        <v>107</v>
      </c>
      <c r="AN4162" s="2" t="s">
        <v>82</v>
      </c>
      <c r="AO4162" s="2" t="s">
        <v>13050</v>
      </c>
      <c r="AP4162" s="2">
        <v>11</v>
      </c>
      <c r="AQ4162" s="2" t="s">
        <v>82</v>
      </c>
      <c r="AR4162" s="2"/>
      <c r="AS4162" s="2"/>
      <c r="AT4162" s="2" t="s">
        <v>13051</v>
      </c>
      <c r="AU4162" s="2"/>
      <c r="AV4162" s="2"/>
      <c r="AW4162" s="2"/>
      <c r="AX4162" s="2"/>
      <c r="AY4162" s="2">
        <v>41</v>
      </c>
      <c r="AZ4162" s="2" t="s">
        <v>82</v>
      </c>
      <c r="BA4162" s="2">
        <v>41</v>
      </c>
      <c r="BB4162" s="2" t="s">
        <v>82</v>
      </c>
      <c r="BC4162" s="2">
        <v>41</v>
      </c>
      <c r="BD4162" s="2" t="s">
        <v>82</v>
      </c>
      <c r="BE4162" s="2">
        <v>49</v>
      </c>
      <c r="BF4162" s="2" t="s">
        <v>1254</v>
      </c>
      <c r="BG4162" s="2" t="s">
        <v>13052</v>
      </c>
      <c r="BH4162" s="4">
        <v>0.43055555555555558</v>
      </c>
      <c r="BI4162" s="4">
        <v>0.47916666666666669</v>
      </c>
      <c r="BJ4162" s="2">
        <v>13</v>
      </c>
      <c r="BK4162" s="2" t="s">
        <v>91</v>
      </c>
      <c r="BL4162" s="2" t="s">
        <v>895</v>
      </c>
      <c r="BM4162" s="2">
        <v>13</v>
      </c>
      <c r="BN4162" s="2" t="s">
        <v>91</v>
      </c>
      <c r="BO4162" s="2"/>
      <c r="BP4162" s="2">
        <v>13</v>
      </c>
      <c r="BQ4162" s="2" t="s">
        <v>91</v>
      </c>
      <c r="BR4162" s="2" t="s">
        <v>647</v>
      </c>
      <c r="BS4162" s="3">
        <v>40461</v>
      </c>
      <c r="BT4162" s="4">
        <v>0.59378472222222223</v>
      </c>
    </row>
    <row r="4163" spans="1:72" x14ac:dyDescent="0.25">
      <c r="A4163" s="2">
        <v>6262</v>
      </c>
      <c r="B4163" s="2">
        <v>2010</v>
      </c>
      <c r="C4163" s="2" t="s">
        <v>385</v>
      </c>
      <c r="D4163" s="2" t="s">
        <v>122</v>
      </c>
      <c r="E4163" s="2" t="s">
        <v>13053</v>
      </c>
      <c r="F4163" s="2">
        <v>396</v>
      </c>
      <c r="G4163" s="2" t="s">
        <v>2159</v>
      </c>
      <c r="H4163" s="2">
        <v>9</v>
      </c>
      <c r="I4163" s="2" t="s">
        <v>794</v>
      </c>
      <c r="J4163" s="2">
        <v>243</v>
      </c>
      <c r="K4163" s="2" t="s">
        <v>2160</v>
      </c>
      <c r="L4163" s="2" t="s">
        <v>2145</v>
      </c>
      <c r="M4163" s="3">
        <v>40461</v>
      </c>
      <c r="N4163" s="2" t="s">
        <v>13038</v>
      </c>
      <c r="O4163" s="2"/>
      <c r="P4163" s="2"/>
      <c r="Q4163" s="2" t="str">
        <f>"525-E/10"</f>
        <v>525-E/10</v>
      </c>
      <c r="R4163" s="2" t="s">
        <v>3768</v>
      </c>
      <c r="S4163" s="2"/>
      <c r="T4163" s="2">
        <v>1</v>
      </c>
      <c r="U4163" s="2" t="s">
        <v>79</v>
      </c>
      <c r="V4163" s="2">
        <v>1</v>
      </c>
      <c r="W4163" s="2" t="s">
        <v>80</v>
      </c>
      <c r="X4163" s="2">
        <v>1</v>
      </c>
      <c r="Y4163" s="2" t="s">
        <v>81</v>
      </c>
      <c r="Z4163" s="2">
        <v>1</v>
      </c>
      <c r="AA4163" s="2" t="s">
        <v>82</v>
      </c>
      <c r="AB4163" s="2">
        <v>9</v>
      </c>
      <c r="AC4163" s="2" t="s">
        <v>124</v>
      </c>
      <c r="AD4163" s="3">
        <v>40461</v>
      </c>
      <c r="AE4163" s="4">
        <v>0.58333333333333337</v>
      </c>
      <c r="AF4163" s="2"/>
      <c r="AG4163" s="2"/>
      <c r="AH4163" s="2">
        <v>2</v>
      </c>
      <c r="AI4163" s="2" t="s">
        <v>84</v>
      </c>
      <c r="AJ4163" s="2">
        <v>9</v>
      </c>
      <c r="AK4163" s="2" t="s">
        <v>103</v>
      </c>
      <c r="AL4163" s="2">
        <v>15</v>
      </c>
      <c r="AM4163" s="2" t="s">
        <v>104</v>
      </c>
      <c r="AN4163" s="2" t="s">
        <v>13054</v>
      </c>
      <c r="AO4163" s="2"/>
      <c r="AP4163" s="2">
        <v>11</v>
      </c>
      <c r="AQ4163" s="2" t="s">
        <v>82</v>
      </c>
      <c r="AR4163" s="2"/>
      <c r="AS4163" s="2"/>
      <c r="AT4163" s="2" t="s">
        <v>13055</v>
      </c>
      <c r="AU4163" s="2"/>
      <c r="AV4163" s="2">
        <v>1</v>
      </c>
      <c r="AW4163" s="2"/>
      <c r="AX4163" s="2"/>
      <c r="AY4163" s="2">
        <v>41</v>
      </c>
      <c r="AZ4163" s="2" t="s">
        <v>82</v>
      </c>
      <c r="BA4163" s="2">
        <v>41</v>
      </c>
      <c r="BB4163" s="2" t="s">
        <v>82</v>
      </c>
      <c r="BC4163" s="2">
        <v>41</v>
      </c>
      <c r="BD4163" s="2" t="s">
        <v>82</v>
      </c>
      <c r="BE4163" s="2">
        <v>13</v>
      </c>
      <c r="BF4163" s="2" t="s">
        <v>108</v>
      </c>
      <c r="BG4163" s="2" t="s">
        <v>1769</v>
      </c>
      <c r="BH4163" s="2"/>
      <c r="BI4163" s="4">
        <v>0.875</v>
      </c>
      <c r="BJ4163" s="2">
        <v>13</v>
      </c>
      <c r="BK4163" s="2" t="s">
        <v>91</v>
      </c>
      <c r="BL4163" s="2" t="s">
        <v>185</v>
      </c>
      <c r="BM4163" s="2">
        <v>73</v>
      </c>
      <c r="BN4163" s="2" t="s">
        <v>186</v>
      </c>
      <c r="BO4163" s="2"/>
      <c r="BP4163" s="2">
        <v>73</v>
      </c>
      <c r="BQ4163" s="2" t="s">
        <v>186</v>
      </c>
      <c r="BR4163" s="2" t="s">
        <v>187</v>
      </c>
      <c r="BS4163" s="3">
        <v>40461</v>
      </c>
      <c r="BT4163" s="4">
        <v>0.61438657407407404</v>
      </c>
    </row>
    <row r="4164" spans="1:72" x14ac:dyDescent="0.25">
      <c r="A4164" s="2">
        <v>6262</v>
      </c>
      <c r="B4164" s="2">
        <v>2010</v>
      </c>
      <c r="C4164" s="2" t="s">
        <v>171</v>
      </c>
      <c r="D4164" s="2" t="s">
        <v>122</v>
      </c>
      <c r="E4164" s="2" t="s">
        <v>13053</v>
      </c>
      <c r="F4164" s="2">
        <v>396</v>
      </c>
      <c r="G4164" s="2" t="s">
        <v>2159</v>
      </c>
      <c r="H4164" s="2">
        <v>9</v>
      </c>
      <c r="I4164" s="2" t="s">
        <v>794</v>
      </c>
      <c r="J4164" s="2">
        <v>243</v>
      </c>
      <c r="K4164" s="2" t="s">
        <v>2160</v>
      </c>
      <c r="L4164" s="2" t="s">
        <v>2145</v>
      </c>
      <c r="M4164" s="3">
        <v>40461</v>
      </c>
      <c r="N4164" s="2" t="s">
        <v>13038</v>
      </c>
      <c r="O4164" s="2"/>
      <c r="P4164" s="2"/>
      <c r="Q4164" s="2" t="str">
        <f>"525-E/10"</f>
        <v>525-E/10</v>
      </c>
      <c r="R4164" s="2" t="s">
        <v>3768</v>
      </c>
      <c r="S4164" s="2"/>
      <c r="T4164" s="2">
        <v>1</v>
      </c>
      <c r="U4164" s="2" t="s">
        <v>79</v>
      </c>
      <c r="V4164" s="2">
        <v>1</v>
      </c>
      <c r="W4164" s="2" t="s">
        <v>80</v>
      </c>
      <c r="X4164" s="2">
        <v>1</v>
      </c>
      <c r="Y4164" s="2" t="s">
        <v>81</v>
      </c>
      <c r="Z4164" s="2">
        <v>1</v>
      </c>
      <c r="AA4164" s="2" t="s">
        <v>82</v>
      </c>
      <c r="AB4164" s="2">
        <v>1</v>
      </c>
      <c r="AC4164" s="2" t="s">
        <v>178</v>
      </c>
      <c r="AD4164" s="3">
        <v>40461</v>
      </c>
      <c r="AE4164" s="4">
        <v>0.58333333333333337</v>
      </c>
      <c r="AF4164" s="2"/>
      <c r="AG4164" s="2"/>
      <c r="AH4164" s="2">
        <v>2</v>
      </c>
      <c r="AI4164" s="2" t="s">
        <v>84</v>
      </c>
      <c r="AJ4164" s="2">
        <v>9</v>
      </c>
      <c r="AK4164" s="2" t="s">
        <v>103</v>
      </c>
      <c r="AL4164" s="2">
        <v>15</v>
      </c>
      <c r="AM4164" s="2" t="s">
        <v>104</v>
      </c>
      <c r="AN4164" s="2" t="s">
        <v>13054</v>
      </c>
      <c r="AO4164" s="2"/>
      <c r="AP4164" s="2">
        <v>11</v>
      </c>
      <c r="AQ4164" s="2" t="s">
        <v>82</v>
      </c>
      <c r="AR4164" s="2"/>
      <c r="AS4164" s="2"/>
      <c r="AT4164" s="2" t="s">
        <v>13055</v>
      </c>
      <c r="AU4164" s="2"/>
      <c r="AV4164" s="2">
        <v>1</v>
      </c>
      <c r="AW4164" s="2"/>
      <c r="AX4164" s="2"/>
      <c r="AY4164" s="2">
        <v>41</v>
      </c>
      <c r="AZ4164" s="2" t="s">
        <v>82</v>
      </c>
      <c r="BA4164" s="2">
        <v>41</v>
      </c>
      <c r="BB4164" s="2" t="s">
        <v>82</v>
      </c>
      <c r="BC4164" s="2">
        <v>41</v>
      </c>
      <c r="BD4164" s="2" t="s">
        <v>82</v>
      </c>
      <c r="BE4164" s="2">
        <v>13</v>
      </c>
      <c r="BF4164" s="2" t="s">
        <v>108</v>
      </c>
      <c r="BG4164" s="2" t="s">
        <v>1769</v>
      </c>
      <c r="BH4164" s="2"/>
      <c r="BI4164" s="4">
        <v>0.875</v>
      </c>
      <c r="BJ4164" s="2">
        <v>13</v>
      </c>
      <c r="BK4164" s="2" t="s">
        <v>91</v>
      </c>
      <c r="BL4164" s="2" t="s">
        <v>185</v>
      </c>
      <c r="BM4164" s="2">
        <v>73</v>
      </c>
      <c r="BN4164" s="2" t="s">
        <v>186</v>
      </c>
      <c r="BO4164" s="2"/>
      <c r="BP4164" s="2">
        <v>73</v>
      </c>
      <c r="BQ4164" s="2" t="s">
        <v>186</v>
      </c>
      <c r="BR4164" s="2" t="s">
        <v>187</v>
      </c>
      <c r="BS4164" s="3">
        <v>40461</v>
      </c>
      <c r="BT4164" s="4">
        <v>0.61438657407407404</v>
      </c>
    </row>
    <row r="4165" spans="1:72" x14ac:dyDescent="0.25">
      <c r="A4165" s="2">
        <v>6263</v>
      </c>
      <c r="B4165" s="2">
        <v>2010</v>
      </c>
      <c r="C4165" s="2" t="s">
        <v>1559</v>
      </c>
      <c r="D4165" s="2" t="s">
        <v>73</v>
      </c>
      <c r="E4165" s="2"/>
      <c r="F4165" s="2">
        <v>666</v>
      </c>
      <c r="G4165" s="2" t="s">
        <v>13044</v>
      </c>
      <c r="H4165" s="2">
        <v>7</v>
      </c>
      <c r="I4165" s="2" t="s">
        <v>476</v>
      </c>
      <c r="J4165" s="2">
        <v>33</v>
      </c>
      <c r="K4165" s="2" t="s">
        <v>2178</v>
      </c>
      <c r="L4165" s="2" t="s">
        <v>1877</v>
      </c>
      <c r="M4165" s="3">
        <v>40461</v>
      </c>
      <c r="N4165" s="2" t="s">
        <v>13056</v>
      </c>
      <c r="O4165" s="2" t="s">
        <v>13057</v>
      </c>
      <c r="P4165" s="2">
        <v>14003</v>
      </c>
      <c r="Q4165" s="2" t="str">
        <f>""</f>
        <v/>
      </c>
      <c r="R4165" s="2"/>
      <c r="S4165" s="2"/>
      <c r="T4165" s="2">
        <v>1</v>
      </c>
      <c r="U4165" s="2" t="s">
        <v>79</v>
      </c>
      <c r="V4165" s="2">
        <v>1</v>
      </c>
      <c r="W4165" s="2" t="s">
        <v>80</v>
      </c>
      <c r="X4165" s="2">
        <v>8</v>
      </c>
      <c r="Y4165" s="2" t="s">
        <v>375</v>
      </c>
      <c r="Z4165" s="2">
        <v>1</v>
      </c>
      <c r="AA4165" s="2" t="s">
        <v>82</v>
      </c>
      <c r="AB4165" s="2">
        <v>9</v>
      </c>
      <c r="AC4165" s="2" t="s">
        <v>124</v>
      </c>
      <c r="AD4165" s="3">
        <v>40461</v>
      </c>
      <c r="AE4165" s="4">
        <v>2.4305555555555556E-2</v>
      </c>
      <c r="AF4165" s="2"/>
      <c r="AG4165" s="2"/>
      <c r="AH4165" s="2">
        <v>2</v>
      </c>
      <c r="AI4165" s="2" t="s">
        <v>84</v>
      </c>
      <c r="AJ4165" s="2">
        <v>6</v>
      </c>
      <c r="AK4165" s="2" t="s">
        <v>453</v>
      </c>
      <c r="AL4165" s="2">
        <v>23</v>
      </c>
      <c r="AM4165" s="2" t="s">
        <v>251</v>
      </c>
      <c r="AN4165" s="2"/>
      <c r="AO4165" s="2" t="s">
        <v>13058</v>
      </c>
      <c r="AP4165" s="2">
        <v>11</v>
      </c>
      <c r="AQ4165" s="2" t="s">
        <v>82</v>
      </c>
      <c r="AR4165" s="2"/>
      <c r="AS4165" s="2"/>
      <c r="AT4165" s="2" t="s">
        <v>13059</v>
      </c>
      <c r="AU4165" s="2">
        <v>2</v>
      </c>
      <c r="AV4165" s="2"/>
      <c r="AW4165" s="2"/>
      <c r="AX4165" s="2"/>
      <c r="AY4165" s="2">
        <v>41</v>
      </c>
      <c r="AZ4165" s="2" t="s">
        <v>82</v>
      </c>
      <c r="BA4165" s="2">
        <v>41</v>
      </c>
      <c r="BB4165" s="2" t="s">
        <v>82</v>
      </c>
      <c r="BC4165" s="2">
        <v>41</v>
      </c>
      <c r="BD4165" s="2" t="s">
        <v>82</v>
      </c>
      <c r="BE4165" s="2">
        <v>41</v>
      </c>
      <c r="BF4165" s="2" t="s">
        <v>82</v>
      </c>
      <c r="BG4165" s="2"/>
      <c r="BH4165" s="2"/>
      <c r="BI4165" s="2"/>
      <c r="BJ4165" s="2">
        <v>241</v>
      </c>
      <c r="BK4165" s="2" t="s">
        <v>82</v>
      </c>
      <c r="BL4165" s="2"/>
      <c r="BM4165" s="2">
        <v>241</v>
      </c>
      <c r="BN4165" s="2" t="s">
        <v>82</v>
      </c>
      <c r="BO4165" s="2"/>
      <c r="BP4165" s="2">
        <v>241</v>
      </c>
      <c r="BQ4165" s="2" t="s">
        <v>82</v>
      </c>
      <c r="BR4165" s="2"/>
      <c r="BS4165" s="3">
        <v>40461</v>
      </c>
      <c r="BT4165" s="4">
        <v>0.63042824074074078</v>
      </c>
    </row>
    <row r="4166" spans="1:72" x14ac:dyDescent="0.25">
      <c r="A4166" s="2">
        <v>6263</v>
      </c>
      <c r="B4166" s="2">
        <v>2010</v>
      </c>
      <c r="C4166" s="2" t="s">
        <v>171</v>
      </c>
      <c r="D4166" s="2" t="s">
        <v>73</v>
      </c>
      <c r="E4166" s="2"/>
      <c r="F4166" s="2">
        <v>666</v>
      </c>
      <c r="G4166" s="2" t="s">
        <v>13044</v>
      </c>
      <c r="H4166" s="2">
        <v>7</v>
      </c>
      <c r="I4166" s="2" t="s">
        <v>476</v>
      </c>
      <c r="J4166" s="2">
        <v>33</v>
      </c>
      <c r="K4166" s="2" t="s">
        <v>2178</v>
      </c>
      <c r="L4166" s="2" t="s">
        <v>1877</v>
      </c>
      <c r="M4166" s="3">
        <v>40461</v>
      </c>
      <c r="N4166" s="2" t="s">
        <v>13056</v>
      </c>
      <c r="O4166" s="2" t="s">
        <v>13057</v>
      </c>
      <c r="P4166" s="2">
        <v>14003</v>
      </c>
      <c r="Q4166" s="2" t="str">
        <f>""</f>
        <v/>
      </c>
      <c r="R4166" s="2"/>
      <c r="S4166" s="2"/>
      <c r="T4166" s="2">
        <v>1</v>
      </c>
      <c r="U4166" s="2" t="s">
        <v>79</v>
      </c>
      <c r="V4166" s="2">
        <v>1</v>
      </c>
      <c r="W4166" s="2" t="s">
        <v>80</v>
      </c>
      <c r="X4166" s="2">
        <v>8</v>
      </c>
      <c r="Y4166" s="2" t="s">
        <v>375</v>
      </c>
      <c r="Z4166" s="2">
        <v>1</v>
      </c>
      <c r="AA4166" s="2" t="s">
        <v>82</v>
      </c>
      <c r="AB4166" s="2">
        <v>1</v>
      </c>
      <c r="AC4166" s="2" t="s">
        <v>178</v>
      </c>
      <c r="AD4166" s="3">
        <v>40461</v>
      </c>
      <c r="AE4166" s="4">
        <v>2.4305555555555556E-2</v>
      </c>
      <c r="AF4166" s="2"/>
      <c r="AG4166" s="2"/>
      <c r="AH4166" s="2">
        <v>2</v>
      </c>
      <c r="AI4166" s="2" t="s">
        <v>84</v>
      </c>
      <c r="AJ4166" s="2">
        <v>6</v>
      </c>
      <c r="AK4166" s="2" t="s">
        <v>453</v>
      </c>
      <c r="AL4166" s="2">
        <v>23</v>
      </c>
      <c r="AM4166" s="2" t="s">
        <v>251</v>
      </c>
      <c r="AN4166" s="2"/>
      <c r="AO4166" s="2" t="s">
        <v>13058</v>
      </c>
      <c r="AP4166" s="2">
        <v>11</v>
      </c>
      <c r="AQ4166" s="2" t="s">
        <v>82</v>
      </c>
      <c r="AR4166" s="2"/>
      <c r="AS4166" s="2"/>
      <c r="AT4166" s="2" t="s">
        <v>13059</v>
      </c>
      <c r="AU4166" s="2">
        <v>2</v>
      </c>
      <c r="AV4166" s="2"/>
      <c r="AW4166" s="2"/>
      <c r="AX4166" s="2"/>
      <c r="AY4166" s="2">
        <v>41</v>
      </c>
      <c r="AZ4166" s="2" t="s">
        <v>82</v>
      </c>
      <c r="BA4166" s="2">
        <v>41</v>
      </c>
      <c r="BB4166" s="2" t="s">
        <v>82</v>
      </c>
      <c r="BC4166" s="2">
        <v>41</v>
      </c>
      <c r="BD4166" s="2" t="s">
        <v>82</v>
      </c>
      <c r="BE4166" s="2">
        <v>41</v>
      </c>
      <c r="BF4166" s="2" t="s">
        <v>82</v>
      </c>
      <c r="BG4166" s="2"/>
      <c r="BH4166" s="2"/>
      <c r="BI4166" s="2"/>
      <c r="BJ4166" s="2">
        <v>241</v>
      </c>
      <c r="BK4166" s="2" t="s">
        <v>82</v>
      </c>
      <c r="BL4166" s="2"/>
      <c r="BM4166" s="2">
        <v>241</v>
      </c>
      <c r="BN4166" s="2" t="s">
        <v>82</v>
      </c>
      <c r="BO4166" s="2"/>
      <c r="BP4166" s="2">
        <v>241</v>
      </c>
      <c r="BQ4166" s="2" t="s">
        <v>82</v>
      </c>
      <c r="BR4166" s="2"/>
      <c r="BS4166" s="3">
        <v>40461</v>
      </c>
      <c r="BT4166" s="4">
        <v>0.63042824074074078</v>
      </c>
    </row>
    <row r="4167" spans="1:72" x14ac:dyDescent="0.25">
      <c r="A4167" s="2">
        <v>6264</v>
      </c>
      <c r="B4167" s="2">
        <v>2010</v>
      </c>
      <c r="C4167" s="2" t="s">
        <v>4543</v>
      </c>
      <c r="D4167" s="2" t="s">
        <v>122</v>
      </c>
      <c r="E4167" s="2"/>
      <c r="F4167" s="2">
        <v>146</v>
      </c>
      <c r="G4167" s="2" t="s">
        <v>753</v>
      </c>
      <c r="H4167" s="2">
        <v>39</v>
      </c>
      <c r="I4167" s="2" t="s">
        <v>1117</v>
      </c>
      <c r="J4167" s="2">
        <v>161</v>
      </c>
      <c r="K4167" s="2" t="s">
        <v>1900</v>
      </c>
      <c r="L4167" s="2" t="s">
        <v>1901</v>
      </c>
      <c r="M4167" s="3">
        <v>40461</v>
      </c>
      <c r="N4167" s="2" t="s">
        <v>1902</v>
      </c>
      <c r="O4167" s="2" t="s">
        <v>13060</v>
      </c>
      <c r="P4167" s="7">
        <v>1557</v>
      </c>
      <c r="Q4167" s="2" t="str">
        <f>"N/C"</f>
        <v>N/C</v>
      </c>
      <c r="R4167" s="2" t="s">
        <v>82</v>
      </c>
      <c r="S4167" s="2" t="s">
        <v>82</v>
      </c>
      <c r="T4167" s="2">
        <v>2</v>
      </c>
      <c r="U4167" s="2" t="s">
        <v>123</v>
      </c>
      <c r="V4167" s="2">
        <v>1</v>
      </c>
      <c r="W4167" s="2" t="s">
        <v>80</v>
      </c>
      <c r="X4167" s="2">
        <v>4</v>
      </c>
      <c r="Y4167" s="2" t="s">
        <v>463</v>
      </c>
      <c r="Z4167" s="2">
        <v>10</v>
      </c>
      <c r="AA4167" s="2" t="s">
        <v>236</v>
      </c>
      <c r="AB4167" s="2">
        <v>9</v>
      </c>
      <c r="AC4167" s="2" t="s">
        <v>124</v>
      </c>
      <c r="AD4167" s="3">
        <v>40461</v>
      </c>
      <c r="AE4167" s="4">
        <v>0.47916666666666669</v>
      </c>
      <c r="AF4167" s="2"/>
      <c r="AG4167" s="2"/>
      <c r="AH4167" s="2">
        <v>6</v>
      </c>
      <c r="AI4167" s="2" t="s">
        <v>197</v>
      </c>
      <c r="AJ4167" s="2">
        <v>60</v>
      </c>
      <c r="AK4167" s="2" t="s">
        <v>543</v>
      </c>
      <c r="AL4167" s="2">
        <v>19</v>
      </c>
      <c r="AM4167" s="2" t="s">
        <v>107</v>
      </c>
      <c r="AN4167" s="2" t="s">
        <v>82</v>
      </c>
      <c r="AO4167" s="2" t="s">
        <v>2249</v>
      </c>
      <c r="AP4167" s="2">
        <v>11</v>
      </c>
      <c r="AQ4167" s="2" t="s">
        <v>82</v>
      </c>
      <c r="AR4167" s="2"/>
      <c r="AS4167" s="2"/>
      <c r="AT4167" s="2" t="s">
        <v>13061</v>
      </c>
      <c r="AU4167" s="2"/>
      <c r="AV4167" s="2"/>
      <c r="AW4167" s="2"/>
      <c r="AX4167" s="2"/>
      <c r="AY4167" s="2">
        <v>41</v>
      </c>
      <c r="AZ4167" s="2" t="s">
        <v>82</v>
      </c>
      <c r="BA4167" s="2">
        <v>41</v>
      </c>
      <c r="BB4167" s="2" t="s">
        <v>82</v>
      </c>
      <c r="BC4167" s="2">
        <v>41</v>
      </c>
      <c r="BD4167" s="2" t="s">
        <v>82</v>
      </c>
      <c r="BE4167" s="2">
        <v>49</v>
      </c>
      <c r="BF4167" s="2" t="s">
        <v>1254</v>
      </c>
      <c r="BG4167" s="2" t="s">
        <v>13052</v>
      </c>
      <c r="BH4167" s="4">
        <v>0.43055555555555558</v>
      </c>
      <c r="BI4167" s="4">
        <v>0.47916666666666669</v>
      </c>
      <c r="BJ4167" s="2">
        <v>13</v>
      </c>
      <c r="BK4167" s="2" t="s">
        <v>91</v>
      </c>
      <c r="BL4167" s="2" t="s">
        <v>895</v>
      </c>
      <c r="BM4167" s="2">
        <v>13</v>
      </c>
      <c r="BN4167" s="2" t="s">
        <v>91</v>
      </c>
      <c r="BO4167" s="2"/>
      <c r="BP4167" s="2">
        <v>13</v>
      </c>
      <c r="BQ4167" s="2" t="s">
        <v>91</v>
      </c>
      <c r="BR4167" s="2" t="s">
        <v>353</v>
      </c>
      <c r="BS4167" s="3">
        <v>40461</v>
      </c>
      <c r="BT4167" s="4">
        <v>0.63101851851851853</v>
      </c>
    </row>
    <row r="4168" spans="1:72" x14ac:dyDescent="0.25">
      <c r="A4168" s="2">
        <v>6265</v>
      </c>
      <c r="B4168" s="2">
        <v>2010</v>
      </c>
      <c r="C4168" s="2" t="s">
        <v>1559</v>
      </c>
      <c r="D4168" s="2" t="s">
        <v>73</v>
      </c>
      <c r="E4168" s="2"/>
      <c r="F4168" s="2">
        <v>591</v>
      </c>
      <c r="G4168" s="2" t="s">
        <v>5658</v>
      </c>
      <c r="H4168" s="2">
        <v>7</v>
      </c>
      <c r="I4168" s="2" t="s">
        <v>476</v>
      </c>
      <c r="J4168" s="2">
        <v>33</v>
      </c>
      <c r="K4168" s="2" t="s">
        <v>2178</v>
      </c>
      <c r="L4168" s="2" t="s">
        <v>1877</v>
      </c>
      <c r="M4168" s="3">
        <v>40461</v>
      </c>
      <c r="N4168" s="2" t="s">
        <v>13056</v>
      </c>
      <c r="O4168" s="2" t="s">
        <v>13057</v>
      </c>
      <c r="P4168" s="7">
        <v>14003</v>
      </c>
      <c r="Q4168" s="2" t="str">
        <f>""</f>
        <v/>
      </c>
      <c r="R4168" s="2"/>
      <c r="S4168" s="2"/>
      <c r="T4168" s="2">
        <v>1</v>
      </c>
      <c r="U4168" s="2" t="s">
        <v>79</v>
      </c>
      <c r="V4168" s="2">
        <v>1</v>
      </c>
      <c r="W4168" s="2" t="s">
        <v>80</v>
      </c>
      <c r="X4168" s="2">
        <v>8</v>
      </c>
      <c r="Y4168" s="2" t="s">
        <v>375</v>
      </c>
      <c r="Z4168" s="2">
        <v>1</v>
      </c>
      <c r="AA4168" s="2" t="s">
        <v>82</v>
      </c>
      <c r="AB4168" s="2">
        <v>9</v>
      </c>
      <c r="AC4168" s="2" t="s">
        <v>124</v>
      </c>
      <c r="AD4168" s="3">
        <v>40461</v>
      </c>
      <c r="AE4168" s="4">
        <v>3.125E-2</v>
      </c>
      <c r="AF4168" s="2"/>
      <c r="AG4168" s="2"/>
      <c r="AH4168" s="2">
        <v>2</v>
      </c>
      <c r="AI4168" s="2" t="s">
        <v>84</v>
      </c>
      <c r="AJ4168" s="2">
        <v>6</v>
      </c>
      <c r="AK4168" s="2" t="s">
        <v>453</v>
      </c>
      <c r="AL4168" s="2">
        <v>23</v>
      </c>
      <c r="AM4168" s="2" t="s">
        <v>251</v>
      </c>
      <c r="AN4168" s="2"/>
      <c r="AO4168" s="2" t="s">
        <v>13062</v>
      </c>
      <c r="AP4168" s="2">
        <v>11</v>
      </c>
      <c r="AQ4168" s="2" t="s">
        <v>82</v>
      </c>
      <c r="AR4168" s="2"/>
      <c r="AS4168" s="2"/>
      <c r="AT4168" s="2" t="s">
        <v>13063</v>
      </c>
      <c r="AU4168" s="2"/>
      <c r="AV4168" s="2"/>
      <c r="AW4168" s="2"/>
      <c r="AX4168" s="2"/>
      <c r="AY4168" s="2">
        <v>41</v>
      </c>
      <c r="AZ4168" s="2" t="s">
        <v>82</v>
      </c>
      <c r="BA4168" s="2">
        <v>41</v>
      </c>
      <c r="BB4168" s="2" t="s">
        <v>82</v>
      </c>
      <c r="BC4168" s="2">
        <v>41</v>
      </c>
      <c r="BD4168" s="2" t="s">
        <v>82</v>
      </c>
      <c r="BE4168" s="2">
        <v>41</v>
      </c>
      <c r="BF4168" s="2" t="s">
        <v>82</v>
      </c>
      <c r="BG4168" s="2"/>
      <c r="BH4168" s="2"/>
      <c r="BI4168" s="2"/>
      <c r="BJ4168" s="2">
        <v>241</v>
      </c>
      <c r="BK4168" s="2" t="s">
        <v>82</v>
      </c>
      <c r="BL4168" s="2"/>
      <c r="BM4168" s="2">
        <v>241</v>
      </c>
      <c r="BN4168" s="2" t="s">
        <v>82</v>
      </c>
      <c r="BO4168" s="2"/>
      <c r="BP4168" s="2">
        <v>241</v>
      </c>
      <c r="BQ4168" s="2" t="s">
        <v>82</v>
      </c>
      <c r="BR4168" s="2"/>
      <c r="BS4168" s="3">
        <v>40461</v>
      </c>
      <c r="BT4168" s="4">
        <v>0.64648148148148155</v>
      </c>
    </row>
    <row r="4169" spans="1:72" x14ac:dyDescent="0.25">
      <c r="A4169" s="2">
        <v>6266</v>
      </c>
      <c r="B4169" s="2">
        <v>2010</v>
      </c>
      <c r="C4169" s="2" t="s">
        <v>4543</v>
      </c>
      <c r="D4169" s="2" t="s">
        <v>122</v>
      </c>
      <c r="E4169" s="2"/>
      <c r="F4169" s="2">
        <v>146</v>
      </c>
      <c r="G4169" s="2" t="s">
        <v>753</v>
      </c>
      <c r="H4169" s="2">
        <v>39</v>
      </c>
      <c r="I4169" s="2" t="s">
        <v>1117</v>
      </c>
      <c r="J4169" s="2">
        <v>161</v>
      </c>
      <c r="K4169" s="2" t="s">
        <v>1900</v>
      </c>
      <c r="L4169" s="2" t="s">
        <v>1901</v>
      </c>
      <c r="M4169" s="3">
        <v>40461</v>
      </c>
      <c r="N4169" s="2" t="s">
        <v>1902</v>
      </c>
      <c r="O4169" s="2" t="s">
        <v>13064</v>
      </c>
      <c r="P4169" s="7">
        <v>2585</v>
      </c>
      <c r="Q4169" s="2" t="str">
        <f>"N/C"</f>
        <v>N/C</v>
      </c>
      <c r="R4169" s="2" t="s">
        <v>82</v>
      </c>
      <c r="S4169" s="2" t="s">
        <v>82</v>
      </c>
      <c r="T4169" s="2">
        <v>2</v>
      </c>
      <c r="U4169" s="2" t="s">
        <v>123</v>
      </c>
      <c r="V4169" s="2">
        <v>1</v>
      </c>
      <c r="W4169" s="2" t="s">
        <v>80</v>
      </c>
      <c r="X4169" s="2">
        <v>4</v>
      </c>
      <c r="Y4169" s="2" t="s">
        <v>463</v>
      </c>
      <c r="Z4169" s="2">
        <v>10</v>
      </c>
      <c r="AA4169" s="2" t="s">
        <v>236</v>
      </c>
      <c r="AB4169" s="2">
        <v>9</v>
      </c>
      <c r="AC4169" s="2" t="s">
        <v>124</v>
      </c>
      <c r="AD4169" s="3">
        <v>40461</v>
      </c>
      <c r="AE4169" s="4">
        <v>0.47916666666666669</v>
      </c>
      <c r="AF4169" s="2"/>
      <c r="AG4169" s="2"/>
      <c r="AH4169" s="2">
        <v>6</v>
      </c>
      <c r="AI4169" s="2" t="s">
        <v>197</v>
      </c>
      <c r="AJ4169" s="2">
        <v>60</v>
      </c>
      <c r="AK4169" s="2" t="s">
        <v>543</v>
      </c>
      <c r="AL4169" s="2">
        <v>19</v>
      </c>
      <c r="AM4169" s="2" t="s">
        <v>107</v>
      </c>
      <c r="AN4169" s="2" t="s">
        <v>82</v>
      </c>
      <c r="AO4169" s="2" t="s">
        <v>13050</v>
      </c>
      <c r="AP4169" s="2">
        <v>11</v>
      </c>
      <c r="AQ4169" s="2" t="s">
        <v>82</v>
      </c>
      <c r="AR4169" s="2"/>
      <c r="AS4169" s="2"/>
      <c r="AT4169" s="2" t="s">
        <v>13065</v>
      </c>
      <c r="AU4169" s="2"/>
      <c r="AV4169" s="2"/>
      <c r="AW4169" s="2"/>
      <c r="AX4169" s="2"/>
      <c r="AY4169" s="2">
        <v>41</v>
      </c>
      <c r="AZ4169" s="2" t="s">
        <v>82</v>
      </c>
      <c r="BA4169" s="2">
        <v>41</v>
      </c>
      <c r="BB4169" s="2" t="s">
        <v>82</v>
      </c>
      <c r="BC4169" s="2">
        <v>41</v>
      </c>
      <c r="BD4169" s="2" t="s">
        <v>82</v>
      </c>
      <c r="BE4169" s="2">
        <v>49</v>
      </c>
      <c r="BF4169" s="2" t="s">
        <v>1254</v>
      </c>
      <c r="BG4169" s="2" t="s">
        <v>13052</v>
      </c>
      <c r="BH4169" s="4">
        <v>0.43055555555555558</v>
      </c>
      <c r="BI4169" s="4">
        <v>0.47916666666666669</v>
      </c>
      <c r="BJ4169" s="2">
        <v>13</v>
      </c>
      <c r="BK4169" s="2" t="s">
        <v>91</v>
      </c>
      <c r="BL4169" s="2" t="s">
        <v>895</v>
      </c>
      <c r="BM4169" s="2">
        <v>13</v>
      </c>
      <c r="BN4169" s="2" t="s">
        <v>91</v>
      </c>
      <c r="BO4169" s="2"/>
      <c r="BP4169" s="2">
        <v>13</v>
      </c>
      <c r="BQ4169" s="2" t="s">
        <v>91</v>
      </c>
      <c r="BR4169" s="2" t="s">
        <v>353</v>
      </c>
      <c r="BS4169" s="3">
        <v>40461</v>
      </c>
      <c r="BT4169" s="4">
        <v>0.65899305555555554</v>
      </c>
    </row>
    <row r="4170" spans="1:72" x14ac:dyDescent="0.25">
      <c r="A4170" s="2">
        <v>6267</v>
      </c>
      <c r="B4170" s="2">
        <v>2010</v>
      </c>
      <c r="C4170" s="2" t="s">
        <v>1559</v>
      </c>
      <c r="D4170" s="2" t="s">
        <v>73</v>
      </c>
      <c r="E4170" s="2"/>
      <c r="F4170" s="2">
        <v>666</v>
      </c>
      <c r="G4170" s="2" t="s">
        <v>13044</v>
      </c>
      <c r="H4170" s="2">
        <v>7</v>
      </c>
      <c r="I4170" s="2" t="s">
        <v>476</v>
      </c>
      <c r="J4170" s="2">
        <v>33</v>
      </c>
      <c r="K4170" s="2" t="s">
        <v>2178</v>
      </c>
      <c r="L4170" s="2" t="s">
        <v>1877</v>
      </c>
      <c r="M4170" s="3">
        <v>40461</v>
      </c>
      <c r="N4170" s="2" t="s">
        <v>13045</v>
      </c>
      <c r="O4170" s="2" t="s">
        <v>13066</v>
      </c>
      <c r="P4170" s="7">
        <v>14003</v>
      </c>
      <c r="Q4170" s="2" t="str">
        <f>""</f>
        <v/>
      </c>
      <c r="R4170" s="2"/>
      <c r="S4170" s="2"/>
      <c r="T4170" s="2">
        <v>1</v>
      </c>
      <c r="U4170" s="2" t="s">
        <v>79</v>
      </c>
      <c r="V4170" s="2">
        <v>1</v>
      </c>
      <c r="W4170" s="2" t="s">
        <v>80</v>
      </c>
      <c r="X4170" s="2">
        <v>8</v>
      </c>
      <c r="Y4170" s="2" t="s">
        <v>375</v>
      </c>
      <c r="Z4170" s="2">
        <v>1</v>
      </c>
      <c r="AA4170" s="2" t="s">
        <v>82</v>
      </c>
      <c r="AB4170" s="2">
        <v>9</v>
      </c>
      <c r="AC4170" s="2" t="s">
        <v>124</v>
      </c>
      <c r="AD4170" s="3">
        <v>40461</v>
      </c>
      <c r="AE4170" s="4">
        <v>0.53125</v>
      </c>
      <c r="AF4170" s="2"/>
      <c r="AG4170" s="2"/>
      <c r="AH4170" s="2">
        <v>2</v>
      </c>
      <c r="AI4170" s="2" t="s">
        <v>84</v>
      </c>
      <c r="AJ4170" s="2">
        <v>6</v>
      </c>
      <c r="AK4170" s="2" t="s">
        <v>453</v>
      </c>
      <c r="AL4170" s="2">
        <v>23</v>
      </c>
      <c r="AM4170" s="2" t="s">
        <v>251</v>
      </c>
      <c r="AN4170" s="2"/>
      <c r="AO4170" s="2" t="s">
        <v>13067</v>
      </c>
      <c r="AP4170" s="2">
        <v>11</v>
      </c>
      <c r="AQ4170" s="2" t="s">
        <v>82</v>
      </c>
      <c r="AR4170" s="2"/>
      <c r="AS4170" s="2"/>
      <c r="AT4170" s="2" t="s">
        <v>13068</v>
      </c>
      <c r="AU4170" s="2">
        <v>1</v>
      </c>
      <c r="AV4170" s="2"/>
      <c r="AW4170" s="2"/>
      <c r="AX4170" s="2"/>
      <c r="AY4170" s="2">
        <v>41</v>
      </c>
      <c r="AZ4170" s="2" t="s">
        <v>82</v>
      </c>
      <c r="BA4170" s="2">
        <v>41</v>
      </c>
      <c r="BB4170" s="2" t="s">
        <v>82</v>
      </c>
      <c r="BC4170" s="2">
        <v>41</v>
      </c>
      <c r="BD4170" s="2" t="s">
        <v>82</v>
      </c>
      <c r="BE4170" s="2">
        <v>41</v>
      </c>
      <c r="BF4170" s="2" t="s">
        <v>82</v>
      </c>
      <c r="BG4170" s="2"/>
      <c r="BH4170" s="2"/>
      <c r="BI4170" s="2"/>
      <c r="BJ4170" s="2">
        <v>241</v>
      </c>
      <c r="BK4170" s="2" t="s">
        <v>82</v>
      </c>
      <c r="BL4170" s="2"/>
      <c r="BM4170" s="2">
        <v>241</v>
      </c>
      <c r="BN4170" s="2" t="s">
        <v>82</v>
      </c>
      <c r="BO4170" s="2"/>
      <c r="BP4170" s="2">
        <v>241</v>
      </c>
      <c r="BQ4170" s="2" t="s">
        <v>82</v>
      </c>
      <c r="BR4170" s="2"/>
      <c r="BS4170" s="3">
        <v>40461</v>
      </c>
      <c r="BT4170" s="4">
        <v>0.6834837962962963</v>
      </c>
    </row>
    <row r="4171" spans="1:72" x14ac:dyDescent="0.25">
      <c r="A4171" s="2">
        <v>6268</v>
      </c>
      <c r="B4171" s="2">
        <v>2010</v>
      </c>
      <c r="C4171" s="2" t="s">
        <v>385</v>
      </c>
      <c r="D4171" s="2" t="s">
        <v>122</v>
      </c>
      <c r="E4171" s="2"/>
      <c r="F4171" s="2">
        <v>229</v>
      </c>
      <c r="G4171" s="2" t="s">
        <v>2244</v>
      </c>
      <c r="H4171" s="2">
        <v>9</v>
      </c>
      <c r="I4171" s="2" t="s">
        <v>794</v>
      </c>
      <c r="J4171" s="2">
        <v>243</v>
      </c>
      <c r="K4171" s="2" t="s">
        <v>2160</v>
      </c>
      <c r="L4171" s="2" t="s">
        <v>2145</v>
      </c>
      <c r="M4171" s="3">
        <v>40461</v>
      </c>
      <c r="N4171" s="2" t="s">
        <v>2245</v>
      </c>
      <c r="O4171" s="2" t="s">
        <v>13069</v>
      </c>
      <c r="P4171" s="7">
        <v>13134</v>
      </c>
      <c r="Q4171" s="2" t="str">
        <f>""</f>
        <v/>
      </c>
      <c r="R4171" s="2"/>
      <c r="S4171" s="2"/>
      <c r="T4171" s="2">
        <v>1</v>
      </c>
      <c r="U4171" s="2" t="s">
        <v>79</v>
      </c>
      <c r="V4171" s="2">
        <v>1</v>
      </c>
      <c r="W4171" s="2" t="s">
        <v>80</v>
      </c>
      <c r="X4171" s="2">
        <v>5</v>
      </c>
      <c r="Y4171" s="2" t="s">
        <v>82</v>
      </c>
      <c r="Z4171" s="2">
        <v>1</v>
      </c>
      <c r="AA4171" s="2" t="s">
        <v>82</v>
      </c>
      <c r="AB4171" s="2">
        <v>9</v>
      </c>
      <c r="AC4171" s="2" t="s">
        <v>124</v>
      </c>
      <c r="AD4171" s="3">
        <v>40461</v>
      </c>
      <c r="AE4171" s="4">
        <v>0.58333333333333337</v>
      </c>
      <c r="AF4171" s="2"/>
      <c r="AG4171" s="2"/>
      <c r="AH4171" s="2">
        <v>2</v>
      </c>
      <c r="AI4171" s="2" t="s">
        <v>84</v>
      </c>
      <c r="AJ4171" s="2">
        <v>9</v>
      </c>
      <c r="AK4171" s="2" t="s">
        <v>103</v>
      </c>
      <c r="AL4171" s="2">
        <v>19</v>
      </c>
      <c r="AM4171" s="2" t="s">
        <v>107</v>
      </c>
      <c r="AN4171" s="2"/>
      <c r="AO4171" s="2"/>
      <c r="AP4171" s="2">
        <v>11</v>
      </c>
      <c r="AQ4171" s="2" t="s">
        <v>82</v>
      </c>
      <c r="AR4171" s="2"/>
      <c r="AS4171" s="2"/>
      <c r="AT4171" s="2" t="s">
        <v>13070</v>
      </c>
      <c r="AU4171" s="2">
        <v>1</v>
      </c>
      <c r="AV4171" s="2"/>
      <c r="AW4171" s="2"/>
      <c r="AX4171" s="2"/>
      <c r="AY4171" s="2">
        <v>41</v>
      </c>
      <c r="AZ4171" s="2" t="s">
        <v>82</v>
      </c>
      <c r="BA4171" s="2">
        <v>41</v>
      </c>
      <c r="BB4171" s="2" t="s">
        <v>82</v>
      </c>
      <c r="BC4171" s="2">
        <v>41</v>
      </c>
      <c r="BD4171" s="2" t="s">
        <v>82</v>
      </c>
      <c r="BE4171" s="2">
        <v>41</v>
      </c>
      <c r="BF4171" s="2" t="s">
        <v>82</v>
      </c>
      <c r="BG4171" s="2"/>
      <c r="BH4171" s="2"/>
      <c r="BI4171" s="2"/>
      <c r="BJ4171" s="2">
        <v>241</v>
      </c>
      <c r="BK4171" s="2" t="s">
        <v>82</v>
      </c>
      <c r="BL4171" s="2"/>
      <c r="BM4171" s="2">
        <v>241</v>
      </c>
      <c r="BN4171" s="2" t="s">
        <v>82</v>
      </c>
      <c r="BO4171" s="2"/>
      <c r="BP4171" s="2">
        <v>241</v>
      </c>
      <c r="BQ4171" s="2" t="s">
        <v>82</v>
      </c>
      <c r="BR4171" s="2"/>
      <c r="BS4171" s="3">
        <v>40461</v>
      </c>
      <c r="BT4171" s="4">
        <v>0.71961805555555547</v>
      </c>
    </row>
    <row r="4172" spans="1:72" x14ac:dyDescent="0.25">
      <c r="A4172" s="2">
        <v>6269</v>
      </c>
      <c r="B4172" s="2">
        <v>2010</v>
      </c>
      <c r="C4172" s="2" t="s">
        <v>1017</v>
      </c>
      <c r="D4172" s="2" t="s">
        <v>73</v>
      </c>
      <c r="E4172" s="2"/>
      <c r="F4172" s="2">
        <v>635</v>
      </c>
      <c r="G4172" s="2" t="s">
        <v>8029</v>
      </c>
      <c r="H4172" s="2">
        <v>39</v>
      </c>
      <c r="I4172" s="2" t="s">
        <v>1117</v>
      </c>
      <c r="J4172" s="2">
        <v>575</v>
      </c>
      <c r="K4172" s="2" t="s">
        <v>8030</v>
      </c>
      <c r="L4172" s="2" t="s">
        <v>8031</v>
      </c>
      <c r="M4172" s="3">
        <v>40461</v>
      </c>
      <c r="N4172" s="2" t="s">
        <v>13071</v>
      </c>
      <c r="O4172" s="2"/>
      <c r="P4172" s="2"/>
      <c r="Q4172" s="2" t="str">
        <f>"0011/10 PSA"</f>
        <v>0011/10 PSA</v>
      </c>
      <c r="R4172" s="2"/>
      <c r="S4172" s="2" t="s">
        <v>13072</v>
      </c>
      <c r="T4172" s="2">
        <v>1</v>
      </c>
      <c r="U4172" s="2" t="s">
        <v>79</v>
      </c>
      <c r="V4172" s="2">
        <v>1</v>
      </c>
      <c r="W4172" s="2" t="s">
        <v>80</v>
      </c>
      <c r="X4172" s="2">
        <v>1</v>
      </c>
      <c r="Y4172" s="2" t="s">
        <v>81</v>
      </c>
      <c r="Z4172" s="2">
        <v>1</v>
      </c>
      <c r="AA4172" s="2" t="s">
        <v>82</v>
      </c>
      <c r="AB4172" s="2">
        <v>7</v>
      </c>
      <c r="AC4172" s="2" t="s">
        <v>1023</v>
      </c>
      <c r="AD4172" s="3">
        <v>40461</v>
      </c>
      <c r="AE4172" s="4">
        <v>0.65625</v>
      </c>
      <c r="AF4172" s="3">
        <v>40461</v>
      </c>
      <c r="AG4172" s="4">
        <v>0.65625</v>
      </c>
      <c r="AH4172" s="2">
        <v>4</v>
      </c>
      <c r="AI4172" s="2" t="s">
        <v>125</v>
      </c>
      <c r="AJ4172" s="2">
        <v>30</v>
      </c>
      <c r="AK4172" s="2" t="s">
        <v>258</v>
      </c>
      <c r="AL4172" s="2">
        <v>28</v>
      </c>
      <c r="AM4172" s="2" t="s">
        <v>5969</v>
      </c>
      <c r="AN4172" s="2"/>
      <c r="AO4172" s="2"/>
      <c r="AP4172" s="2">
        <v>11</v>
      </c>
      <c r="AQ4172" s="2" t="s">
        <v>82</v>
      </c>
      <c r="AR4172" s="2"/>
      <c r="AS4172" s="2"/>
      <c r="AT4172" s="2" t="s">
        <v>13073</v>
      </c>
      <c r="AU4172" s="2"/>
      <c r="AV4172" s="2"/>
      <c r="AW4172" s="2"/>
      <c r="AX4172" s="2"/>
      <c r="AY4172" s="2">
        <v>43</v>
      </c>
      <c r="AZ4172" s="2" t="s">
        <v>220</v>
      </c>
      <c r="BA4172" s="2">
        <v>41</v>
      </c>
      <c r="BB4172" s="2" t="s">
        <v>82</v>
      </c>
      <c r="BC4172" s="2">
        <v>41</v>
      </c>
      <c r="BD4172" s="2" t="s">
        <v>82</v>
      </c>
      <c r="BE4172" s="2">
        <v>41</v>
      </c>
      <c r="BF4172" s="2" t="s">
        <v>82</v>
      </c>
      <c r="BG4172" s="2"/>
      <c r="BH4172" s="2"/>
      <c r="BI4172" s="2"/>
      <c r="BJ4172" s="2">
        <v>241</v>
      </c>
      <c r="BK4172" s="2" t="s">
        <v>82</v>
      </c>
      <c r="BL4172" s="2"/>
      <c r="BM4172" s="2">
        <v>241</v>
      </c>
      <c r="BN4172" s="2" t="s">
        <v>82</v>
      </c>
      <c r="BO4172" s="2"/>
      <c r="BP4172" s="2">
        <v>241</v>
      </c>
      <c r="BQ4172" s="2" t="s">
        <v>82</v>
      </c>
      <c r="BR4172" s="2"/>
      <c r="BS4172" s="3">
        <v>40461</v>
      </c>
      <c r="BT4172" s="4">
        <v>0.79396990740740747</v>
      </c>
    </row>
    <row r="4173" spans="1:72" x14ac:dyDescent="0.25">
      <c r="A4173" s="2">
        <v>6270</v>
      </c>
      <c r="B4173" s="2">
        <v>2010</v>
      </c>
      <c r="C4173" s="2" t="s">
        <v>121</v>
      </c>
      <c r="D4173" s="2" t="s">
        <v>122</v>
      </c>
      <c r="E4173" s="2"/>
      <c r="F4173" s="2">
        <v>1</v>
      </c>
      <c r="G4173" s="2" t="s">
        <v>82</v>
      </c>
      <c r="H4173" s="2">
        <v>1</v>
      </c>
      <c r="I4173" s="2" t="s">
        <v>82</v>
      </c>
      <c r="J4173" s="2">
        <v>1</v>
      </c>
      <c r="K4173" s="2" t="s">
        <v>107</v>
      </c>
      <c r="L4173" s="2" t="s">
        <v>107</v>
      </c>
      <c r="M4173" s="3">
        <v>40461</v>
      </c>
      <c r="N4173" s="2"/>
      <c r="O4173" s="2"/>
      <c r="P4173" s="2"/>
      <c r="Q4173" s="2" t="str">
        <f>""</f>
        <v/>
      </c>
      <c r="R4173" s="2"/>
      <c r="S4173" s="2"/>
      <c r="T4173" s="2">
        <v>2</v>
      </c>
      <c r="U4173" s="2" t="s">
        <v>123</v>
      </c>
      <c r="V4173" s="2">
        <v>1</v>
      </c>
      <c r="W4173" s="2" t="s">
        <v>80</v>
      </c>
      <c r="X4173" s="2">
        <v>1</v>
      </c>
      <c r="Y4173" s="2" t="s">
        <v>81</v>
      </c>
      <c r="Z4173" s="2">
        <v>1</v>
      </c>
      <c r="AA4173" s="2" t="s">
        <v>82</v>
      </c>
      <c r="AB4173" s="2">
        <v>9</v>
      </c>
      <c r="AC4173" s="2" t="s">
        <v>124</v>
      </c>
      <c r="AD4173" s="3">
        <v>40461</v>
      </c>
      <c r="AE4173" s="4">
        <v>0.72916666666666663</v>
      </c>
      <c r="AF4173" s="2"/>
      <c r="AG4173" s="2"/>
      <c r="AH4173" s="2">
        <v>6</v>
      </c>
      <c r="AI4173" s="2" t="s">
        <v>197</v>
      </c>
      <c r="AJ4173" s="2">
        <v>58</v>
      </c>
      <c r="AK4173" s="2" t="s">
        <v>406</v>
      </c>
      <c r="AL4173" s="2">
        <v>9</v>
      </c>
      <c r="AM4173" s="2" t="s">
        <v>259</v>
      </c>
      <c r="AN4173" s="2"/>
      <c r="AO4173" s="2" t="s">
        <v>13074</v>
      </c>
      <c r="AP4173" s="2">
        <v>11</v>
      </c>
      <c r="AQ4173" s="2" t="s">
        <v>82</v>
      </c>
      <c r="AR4173" s="2"/>
      <c r="AS4173" s="2"/>
      <c r="AT4173" s="2" t="s">
        <v>13075</v>
      </c>
      <c r="AU4173" s="2"/>
      <c r="AV4173" s="2"/>
      <c r="AW4173" s="2"/>
      <c r="AX4173" s="2"/>
      <c r="AY4173" s="2">
        <v>41</v>
      </c>
      <c r="AZ4173" s="2" t="s">
        <v>82</v>
      </c>
      <c r="BA4173" s="2">
        <v>41</v>
      </c>
      <c r="BB4173" s="2" t="s">
        <v>82</v>
      </c>
      <c r="BC4173" s="2">
        <v>41</v>
      </c>
      <c r="BD4173" s="2" t="s">
        <v>82</v>
      </c>
      <c r="BE4173" s="2">
        <v>41</v>
      </c>
      <c r="BF4173" s="2" t="s">
        <v>82</v>
      </c>
      <c r="BG4173" s="2" t="s">
        <v>13076</v>
      </c>
      <c r="BH4173" s="4">
        <v>0.66666666666666663</v>
      </c>
      <c r="BI4173" s="4">
        <v>0.73958333333333337</v>
      </c>
      <c r="BJ4173" s="2">
        <v>13</v>
      </c>
      <c r="BK4173" s="2" t="s">
        <v>91</v>
      </c>
      <c r="BL4173" s="2" t="s">
        <v>690</v>
      </c>
      <c r="BM4173" s="2">
        <v>13</v>
      </c>
      <c r="BN4173" s="2" t="s">
        <v>91</v>
      </c>
      <c r="BO4173" s="2"/>
      <c r="BP4173" s="2">
        <v>13</v>
      </c>
      <c r="BQ4173" s="2" t="s">
        <v>91</v>
      </c>
      <c r="BR4173" s="2" t="s">
        <v>895</v>
      </c>
      <c r="BS4173" s="3">
        <v>40461</v>
      </c>
      <c r="BT4173" s="4">
        <v>0.81476851851851861</v>
      </c>
    </row>
    <row r="4174" spans="1:72" x14ac:dyDescent="0.25">
      <c r="A4174" s="2">
        <v>6271</v>
      </c>
      <c r="B4174" s="2">
        <v>2010</v>
      </c>
      <c r="C4174" s="2" t="s">
        <v>128</v>
      </c>
      <c r="D4174" s="2" t="s">
        <v>122</v>
      </c>
      <c r="E4174" s="2"/>
      <c r="F4174" s="2">
        <v>229</v>
      </c>
      <c r="G4174" s="2" t="s">
        <v>2244</v>
      </c>
      <c r="H4174" s="2">
        <v>9</v>
      </c>
      <c r="I4174" s="2" t="s">
        <v>794</v>
      </c>
      <c r="J4174" s="2">
        <v>243</v>
      </c>
      <c r="K4174" s="2" t="s">
        <v>2160</v>
      </c>
      <c r="L4174" s="2" t="s">
        <v>2145</v>
      </c>
      <c r="M4174" s="3">
        <v>40461</v>
      </c>
      <c r="N4174" s="2" t="s">
        <v>2245</v>
      </c>
      <c r="O4174" s="2"/>
      <c r="P4174" s="2"/>
      <c r="Q4174" s="2" t="str">
        <f>""</f>
        <v/>
      </c>
      <c r="R4174" s="2"/>
      <c r="S4174" s="2"/>
      <c r="T4174" s="2">
        <v>1</v>
      </c>
      <c r="U4174" s="2" t="s">
        <v>79</v>
      </c>
      <c r="V4174" s="2">
        <v>1</v>
      </c>
      <c r="W4174" s="2" t="s">
        <v>80</v>
      </c>
      <c r="X4174" s="2">
        <v>12</v>
      </c>
      <c r="Y4174" s="2" t="s">
        <v>148</v>
      </c>
      <c r="Z4174" s="2">
        <v>1</v>
      </c>
      <c r="AA4174" s="2" t="s">
        <v>82</v>
      </c>
      <c r="AB4174" s="2">
        <v>9</v>
      </c>
      <c r="AC4174" s="2" t="s">
        <v>124</v>
      </c>
      <c r="AD4174" s="3">
        <v>40461</v>
      </c>
      <c r="AE4174" s="4">
        <v>0.70138888888888884</v>
      </c>
      <c r="AF4174" s="2"/>
      <c r="AG4174" s="2"/>
      <c r="AH4174" s="2">
        <v>2</v>
      </c>
      <c r="AI4174" s="2" t="s">
        <v>84</v>
      </c>
      <c r="AJ4174" s="2">
        <v>9</v>
      </c>
      <c r="AK4174" s="2" t="s">
        <v>103</v>
      </c>
      <c r="AL4174" s="2">
        <v>12</v>
      </c>
      <c r="AM4174" s="2" t="s">
        <v>86</v>
      </c>
      <c r="AN4174" s="2" t="s">
        <v>12603</v>
      </c>
      <c r="AO4174" s="2"/>
      <c r="AP4174" s="2">
        <v>11</v>
      </c>
      <c r="AQ4174" s="2" t="s">
        <v>82</v>
      </c>
      <c r="AR4174" s="2"/>
      <c r="AS4174" s="2"/>
      <c r="AT4174" s="2" t="s">
        <v>13077</v>
      </c>
      <c r="AU4174" s="2"/>
      <c r="AV4174" s="2"/>
      <c r="AW4174" s="2"/>
      <c r="AX4174" s="2"/>
      <c r="AY4174" s="2">
        <v>41</v>
      </c>
      <c r="AZ4174" s="2" t="s">
        <v>82</v>
      </c>
      <c r="BA4174" s="2">
        <v>41</v>
      </c>
      <c r="BB4174" s="2" t="s">
        <v>82</v>
      </c>
      <c r="BC4174" s="2">
        <v>41</v>
      </c>
      <c r="BD4174" s="2" t="s">
        <v>82</v>
      </c>
      <c r="BE4174" s="2">
        <v>22</v>
      </c>
      <c r="BF4174" s="2" t="s">
        <v>1262</v>
      </c>
      <c r="BG4174" s="2" t="s">
        <v>13078</v>
      </c>
      <c r="BH4174" s="2"/>
      <c r="BI4174" s="4">
        <v>0.85069444444444453</v>
      </c>
      <c r="BJ4174" s="2">
        <v>13</v>
      </c>
      <c r="BK4174" s="2" t="s">
        <v>91</v>
      </c>
      <c r="BL4174" s="2" t="s">
        <v>360</v>
      </c>
      <c r="BM4174" s="2">
        <v>75</v>
      </c>
      <c r="BN4174" s="2" t="s">
        <v>1264</v>
      </c>
      <c r="BO4174" s="2"/>
      <c r="BP4174" s="2">
        <v>75</v>
      </c>
      <c r="BQ4174" s="2" t="s">
        <v>1264</v>
      </c>
      <c r="BR4174" s="2" t="s">
        <v>5292</v>
      </c>
      <c r="BS4174" s="3">
        <v>40461</v>
      </c>
      <c r="BT4174" s="4">
        <v>0.88324074074074066</v>
      </c>
    </row>
    <row r="4175" spans="1:72" x14ac:dyDescent="0.25">
      <c r="A4175" s="2">
        <v>6272</v>
      </c>
      <c r="B4175" s="2">
        <v>2010</v>
      </c>
      <c r="C4175" s="2" t="s">
        <v>4543</v>
      </c>
      <c r="D4175" s="2" t="s">
        <v>122</v>
      </c>
      <c r="E4175" s="2"/>
      <c r="F4175" s="2">
        <v>1</v>
      </c>
      <c r="G4175" s="2" t="s">
        <v>82</v>
      </c>
      <c r="H4175" s="2">
        <v>1</v>
      </c>
      <c r="I4175" s="2" t="s">
        <v>82</v>
      </c>
      <c r="J4175" s="2">
        <v>1</v>
      </c>
      <c r="K4175" s="2" t="s">
        <v>107</v>
      </c>
      <c r="L4175" s="2" t="s">
        <v>107</v>
      </c>
      <c r="M4175" s="3">
        <v>40461</v>
      </c>
      <c r="N4175" s="2" t="s">
        <v>82</v>
      </c>
      <c r="O4175" s="2" t="s">
        <v>82</v>
      </c>
      <c r="P4175" s="2" t="s">
        <v>82</v>
      </c>
      <c r="Q4175" s="2" t="str">
        <f>"N/C"</f>
        <v>N/C</v>
      </c>
      <c r="R4175" s="2" t="s">
        <v>82</v>
      </c>
      <c r="S4175" s="2" t="s">
        <v>82</v>
      </c>
      <c r="T4175" s="2">
        <v>2</v>
      </c>
      <c r="U4175" s="2" t="s">
        <v>123</v>
      </c>
      <c r="V4175" s="2">
        <v>1</v>
      </c>
      <c r="W4175" s="2" t="s">
        <v>80</v>
      </c>
      <c r="X4175" s="2">
        <v>1</v>
      </c>
      <c r="Y4175" s="2" t="s">
        <v>81</v>
      </c>
      <c r="Z4175" s="2">
        <v>10</v>
      </c>
      <c r="AA4175" s="2" t="s">
        <v>236</v>
      </c>
      <c r="AB4175" s="2">
        <v>9</v>
      </c>
      <c r="AC4175" s="2" t="s">
        <v>124</v>
      </c>
      <c r="AD4175" s="3">
        <v>40461</v>
      </c>
      <c r="AE4175" s="4">
        <v>0.79166666666666663</v>
      </c>
      <c r="AF4175" s="2"/>
      <c r="AG4175" s="2"/>
      <c r="AH4175" s="2">
        <v>6</v>
      </c>
      <c r="AI4175" s="2" t="s">
        <v>197</v>
      </c>
      <c r="AJ4175" s="2">
        <v>60</v>
      </c>
      <c r="AK4175" s="2" t="s">
        <v>543</v>
      </c>
      <c r="AL4175" s="2">
        <v>9</v>
      </c>
      <c r="AM4175" s="2" t="s">
        <v>259</v>
      </c>
      <c r="AN4175" s="2" t="s">
        <v>82</v>
      </c>
      <c r="AO4175" s="2" t="s">
        <v>1436</v>
      </c>
      <c r="AP4175" s="2">
        <v>11</v>
      </c>
      <c r="AQ4175" s="2" t="s">
        <v>82</v>
      </c>
      <c r="AR4175" s="2"/>
      <c r="AS4175" s="2"/>
      <c r="AT4175" s="2" t="s">
        <v>13079</v>
      </c>
      <c r="AU4175" s="2"/>
      <c r="AV4175" s="2"/>
      <c r="AW4175" s="2"/>
      <c r="AX4175" s="2"/>
      <c r="AY4175" s="2">
        <v>41</v>
      </c>
      <c r="AZ4175" s="2" t="s">
        <v>82</v>
      </c>
      <c r="BA4175" s="2">
        <v>41</v>
      </c>
      <c r="BB4175" s="2" t="s">
        <v>82</v>
      </c>
      <c r="BC4175" s="2">
        <v>41</v>
      </c>
      <c r="BD4175" s="2" t="s">
        <v>82</v>
      </c>
      <c r="BE4175" s="2">
        <v>1</v>
      </c>
      <c r="BF4175" s="2" t="s">
        <v>107</v>
      </c>
      <c r="BG4175" s="2" t="s">
        <v>13080</v>
      </c>
      <c r="BH4175" s="4">
        <v>0.79166666666666663</v>
      </c>
      <c r="BI4175" s="4">
        <v>0.73958333333333337</v>
      </c>
      <c r="BJ4175" s="2">
        <v>13</v>
      </c>
      <c r="BK4175" s="2" t="s">
        <v>91</v>
      </c>
      <c r="BL4175" s="2" t="s">
        <v>492</v>
      </c>
      <c r="BM4175" s="2">
        <v>13</v>
      </c>
      <c r="BN4175" s="2" t="s">
        <v>91</v>
      </c>
      <c r="BO4175" s="2"/>
      <c r="BP4175" s="2">
        <v>13</v>
      </c>
      <c r="BQ4175" s="2" t="s">
        <v>91</v>
      </c>
      <c r="BR4175" s="2" t="s">
        <v>895</v>
      </c>
      <c r="BS4175" s="3">
        <v>40461</v>
      </c>
      <c r="BT4175" s="4">
        <v>0.9290046296296296</v>
      </c>
    </row>
    <row r="4176" spans="1:72" x14ac:dyDescent="0.25">
      <c r="A4176" s="2">
        <v>6273</v>
      </c>
      <c r="B4176" s="2">
        <v>2010</v>
      </c>
      <c r="C4176" s="2" t="s">
        <v>93</v>
      </c>
      <c r="D4176" s="2" t="s">
        <v>73</v>
      </c>
      <c r="E4176" s="2"/>
      <c r="F4176" s="2">
        <v>600</v>
      </c>
      <c r="G4176" s="2" t="s">
        <v>5325</v>
      </c>
      <c r="H4176" s="2">
        <v>20</v>
      </c>
      <c r="I4176" s="2" t="s">
        <v>5073</v>
      </c>
      <c r="J4176" s="2">
        <v>170</v>
      </c>
      <c r="K4176" s="2" t="s">
        <v>5074</v>
      </c>
      <c r="L4176" s="2" t="s">
        <v>5075</v>
      </c>
      <c r="M4176" s="3">
        <v>40462</v>
      </c>
      <c r="N4176" s="2" t="s">
        <v>13081</v>
      </c>
      <c r="O4176" s="2" t="s">
        <v>13082</v>
      </c>
      <c r="P4176" s="2" t="s">
        <v>13083</v>
      </c>
      <c r="Q4176" s="2" t="str">
        <f>"0128/2010"</f>
        <v>0128/2010</v>
      </c>
      <c r="R4176" s="2" t="s">
        <v>13084</v>
      </c>
      <c r="S4176" s="2"/>
      <c r="T4176" s="2">
        <v>1</v>
      </c>
      <c r="U4176" s="2" t="s">
        <v>79</v>
      </c>
      <c r="V4176" s="2">
        <v>1</v>
      </c>
      <c r="W4176" s="2" t="s">
        <v>80</v>
      </c>
      <c r="X4176" s="2">
        <v>10</v>
      </c>
      <c r="Y4176" s="2" t="s">
        <v>226</v>
      </c>
      <c r="Z4176" s="2">
        <v>9</v>
      </c>
      <c r="AA4176" s="2" t="s">
        <v>1119</v>
      </c>
      <c r="AB4176" s="2">
        <v>2</v>
      </c>
      <c r="AC4176" s="2" t="s">
        <v>102</v>
      </c>
      <c r="AD4176" s="3">
        <v>40461</v>
      </c>
      <c r="AE4176" s="4">
        <v>0.87152777777777779</v>
      </c>
      <c r="AF4176" s="2"/>
      <c r="AG4176" s="2"/>
      <c r="AH4176" s="2">
        <v>5</v>
      </c>
      <c r="AI4176" s="2" t="s">
        <v>274</v>
      </c>
      <c r="AJ4176" s="2">
        <v>38</v>
      </c>
      <c r="AK4176" s="2" t="s">
        <v>1120</v>
      </c>
      <c r="AL4176" s="2">
        <v>11</v>
      </c>
      <c r="AM4176" s="2" t="s">
        <v>137</v>
      </c>
      <c r="AN4176" s="2"/>
      <c r="AO4176" s="2" t="s">
        <v>7653</v>
      </c>
      <c r="AP4176" s="2">
        <v>11</v>
      </c>
      <c r="AQ4176" s="2" t="s">
        <v>82</v>
      </c>
      <c r="AR4176" s="2" t="s">
        <v>82</v>
      </c>
      <c r="AS4176" s="2" t="s">
        <v>82</v>
      </c>
      <c r="AT4176" s="2" t="s">
        <v>13085</v>
      </c>
      <c r="AU4176" s="2"/>
      <c r="AV4176" s="2"/>
      <c r="AW4176" s="2"/>
      <c r="AX4176" s="2"/>
      <c r="AY4176" s="2">
        <v>47</v>
      </c>
      <c r="AZ4176" s="2" t="s">
        <v>167</v>
      </c>
      <c r="BA4176" s="2">
        <v>41</v>
      </c>
      <c r="BB4176" s="2" t="s">
        <v>82</v>
      </c>
      <c r="BC4176" s="2">
        <v>41</v>
      </c>
      <c r="BD4176" s="2" t="s">
        <v>82</v>
      </c>
      <c r="BE4176" s="2">
        <v>47</v>
      </c>
      <c r="BF4176" s="2" t="s">
        <v>167</v>
      </c>
      <c r="BG4176" s="2">
        <v>2737</v>
      </c>
      <c r="BH4176" s="4">
        <v>0.85555555555555562</v>
      </c>
      <c r="BI4176" s="4">
        <v>0.9</v>
      </c>
      <c r="BJ4176" s="2">
        <v>13</v>
      </c>
      <c r="BK4176" s="2" t="s">
        <v>91</v>
      </c>
      <c r="BL4176" s="2" t="s">
        <v>12945</v>
      </c>
      <c r="BM4176" s="2">
        <v>13</v>
      </c>
      <c r="BN4176" s="2" t="s">
        <v>91</v>
      </c>
      <c r="BO4176" s="2"/>
      <c r="BP4176" s="2">
        <v>13</v>
      </c>
      <c r="BQ4176" s="2" t="s">
        <v>91</v>
      </c>
      <c r="BR4176" s="2" t="s">
        <v>170</v>
      </c>
      <c r="BS4176" s="3">
        <v>40462</v>
      </c>
      <c r="BT4176" s="4">
        <v>8.5717592592592595E-2</v>
      </c>
    </row>
    <row r="4177" spans="1:72" x14ac:dyDescent="0.25">
      <c r="A4177" s="2">
        <v>6274</v>
      </c>
      <c r="B4177" s="2">
        <v>2010</v>
      </c>
      <c r="C4177" s="2" t="s">
        <v>93</v>
      </c>
      <c r="D4177" s="2" t="s">
        <v>73</v>
      </c>
      <c r="E4177" s="2"/>
      <c r="F4177" s="2">
        <v>600</v>
      </c>
      <c r="G4177" s="2" t="s">
        <v>5325</v>
      </c>
      <c r="H4177" s="2">
        <v>20</v>
      </c>
      <c r="I4177" s="2" t="s">
        <v>5073</v>
      </c>
      <c r="J4177" s="2">
        <v>170</v>
      </c>
      <c r="K4177" s="2" t="s">
        <v>5074</v>
      </c>
      <c r="L4177" s="2" t="s">
        <v>5075</v>
      </c>
      <c r="M4177" s="3">
        <v>40462</v>
      </c>
      <c r="N4177" s="2" t="s">
        <v>13086</v>
      </c>
      <c r="O4177" s="2" t="s">
        <v>13082</v>
      </c>
      <c r="P4177" s="2">
        <v>13641</v>
      </c>
      <c r="Q4177" s="2" t="str">
        <f>"0129/2010"</f>
        <v>0129/2010</v>
      </c>
      <c r="R4177" s="2" t="s">
        <v>13087</v>
      </c>
      <c r="S4177" s="2"/>
      <c r="T4177" s="2">
        <v>1</v>
      </c>
      <c r="U4177" s="2" t="s">
        <v>79</v>
      </c>
      <c r="V4177" s="2">
        <v>1</v>
      </c>
      <c r="W4177" s="2" t="s">
        <v>80</v>
      </c>
      <c r="X4177" s="2">
        <v>10</v>
      </c>
      <c r="Y4177" s="2" t="s">
        <v>226</v>
      </c>
      <c r="Z4177" s="2">
        <v>9</v>
      </c>
      <c r="AA4177" s="2" t="s">
        <v>1119</v>
      </c>
      <c r="AB4177" s="2">
        <v>2</v>
      </c>
      <c r="AC4177" s="2" t="s">
        <v>102</v>
      </c>
      <c r="AD4177" s="3">
        <v>40461</v>
      </c>
      <c r="AE4177" s="2"/>
      <c r="AF4177" s="2"/>
      <c r="AG4177" s="2"/>
      <c r="AH4177" s="2">
        <v>5</v>
      </c>
      <c r="AI4177" s="2" t="s">
        <v>274</v>
      </c>
      <c r="AJ4177" s="2">
        <v>38</v>
      </c>
      <c r="AK4177" s="2" t="s">
        <v>1120</v>
      </c>
      <c r="AL4177" s="2">
        <v>11</v>
      </c>
      <c r="AM4177" s="2" t="s">
        <v>137</v>
      </c>
      <c r="AN4177" s="2"/>
      <c r="AO4177" s="2" t="s">
        <v>7653</v>
      </c>
      <c r="AP4177" s="2">
        <v>11</v>
      </c>
      <c r="AQ4177" s="2" t="s">
        <v>82</v>
      </c>
      <c r="AR4177" s="2"/>
      <c r="AS4177" s="2"/>
      <c r="AT4177" s="2" t="s">
        <v>13088</v>
      </c>
      <c r="AU4177" s="2"/>
      <c r="AV4177" s="2"/>
      <c r="AW4177" s="2"/>
      <c r="AX4177" s="2"/>
      <c r="AY4177" s="2">
        <v>41</v>
      </c>
      <c r="AZ4177" s="2" t="s">
        <v>82</v>
      </c>
      <c r="BA4177" s="2">
        <v>41</v>
      </c>
      <c r="BB4177" s="2" t="s">
        <v>82</v>
      </c>
      <c r="BC4177" s="2">
        <v>41</v>
      </c>
      <c r="BD4177" s="2" t="s">
        <v>82</v>
      </c>
      <c r="BE4177" s="2">
        <v>47</v>
      </c>
      <c r="BF4177" s="2" t="s">
        <v>167</v>
      </c>
      <c r="BG4177" s="2">
        <v>2737</v>
      </c>
      <c r="BH4177" s="4">
        <v>0.85555555555555562</v>
      </c>
      <c r="BI4177" s="4">
        <v>0.9</v>
      </c>
      <c r="BJ4177" s="2">
        <v>13</v>
      </c>
      <c r="BK4177" s="2" t="s">
        <v>91</v>
      </c>
      <c r="BL4177" s="2" t="s">
        <v>3140</v>
      </c>
      <c r="BM4177" s="2">
        <v>13</v>
      </c>
      <c r="BN4177" s="2" t="s">
        <v>91</v>
      </c>
      <c r="BO4177" s="2"/>
      <c r="BP4177" s="2">
        <v>13</v>
      </c>
      <c r="BQ4177" s="2" t="s">
        <v>91</v>
      </c>
      <c r="BR4177" s="2" t="s">
        <v>185</v>
      </c>
      <c r="BS4177" s="3">
        <v>40462</v>
      </c>
      <c r="BT4177" s="4">
        <v>0.11806712962962962</v>
      </c>
    </row>
    <row r="4178" spans="1:72" x14ac:dyDescent="0.25">
      <c r="A4178" s="2">
        <v>6276</v>
      </c>
      <c r="B4178" s="2">
        <v>2010</v>
      </c>
      <c r="C4178" s="2" t="s">
        <v>8160</v>
      </c>
      <c r="D4178" s="2" t="s">
        <v>73</v>
      </c>
      <c r="E4178" s="2"/>
      <c r="F4178" s="2">
        <v>600</v>
      </c>
      <c r="G4178" s="2" t="s">
        <v>5325</v>
      </c>
      <c r="H4178" s="2">
        <v>21</v>
      </c>
      <c r="I4178" s="2" t="s">
        <v>5326</v>
      </c>
      <c r="J4178" s="2">
        <v>170</v>
      </c>
      <c r="K4178" s="2" t="s">
        <v>5074</v>
      </c>
      <c r="L4178" s="2" t="s">
        <v>5075</v>
      </c>
      <c r="M4178" s="3">
        <v>40462</v>
      </c>
      <c r="N4178" s="2" t="s">
        <v>13089</v>
      </c>
      <c r="O4178" s="2"/>
      <c r="P4178" s="2"/>
      <c r="Q4178" s="2" t="str">
        <f>"401-A/10"</f>
        <v>401-A/10</v>
      </c>
      <c r="R4178" s="2" t="s">
        <v>2013</v>
      </c>
      <c r="S4178" s="2" t="s">
        <v>2013</v>
      </c>
      <c r="T4178" s="2">
        <v>1</v>
      </c>
      <c r="U4178" s="2" t="s">
        <v>79</v>
      </c>
      <c r="V4178" s="2">
        <v>1</v>
      </c>
      <c r="W4178" s="2" t="s">
        <v>80</v>
      </c>
      <c r="X4178" s="2">
        <v>12</v>
      </c>
      <c r="Y4178" s="2" t="s">
        <v>148</v>
      </c>
      <c r="Z4178" s="2">
        <v>1</v>
      </c>
      <c r="AA4178" s="2" t="s">
        <v>82</v>
      </c>
      <c r="AB4178" s="2">
        <v>9</v>
      </c>
      <c r="AC4178" s="2" t="s">
        <v>124</v>
      </c>
      <c r="AD4178" s="3">
        <v>40461</v>
      </c>
      <c r="AE4178" s="4">
        <v>0.87152777777777779</v>
      </c>
      <c r="AF4178" s="2"/>
      <c r="AG4178" s="2"/>
      <c r="AH4178" s="2">
        <v>2</v>
      </c>
      <c r="AI4178" s="2" t="s">
        <v>84</v>
      </c>
      <c r="AJ4178" s="2">
        <v>12</v>
      </c>
      <c r="AK4178" s="2" t="s">
        <v>85</v>
      </c>
      <c r="AL4178" s="2">
        <v>23</v>
      </c>
      <c r="AM4178" s="2" t="s">
        <v>251</v>
      </c>
      <c r="AN4178" s="2" t="s">
        <v>13090</v>
      </c>
      <c r="AO4178" s="2" t="s">
        <v>13091</v>
      </c>
      <c r="AP4178" s="2">
        <v>11</v>
      </c>
      <c r="AQ4178" s="2" t="s">
        <v>82</v>
      </c>
      <c r="AR4178" s="2"/>
      <c r="AS4178" s="2"/>
      <c r="AT4178" s="2" t="s">
        <v>13092</v>
      </c>
      <c r="AU4178" s="2"/>
      <c r="AV4178" s="2"/>
      <c r="AW4178" s="2"/>
      <c r="AX4178" s="2"/>
      <c r="AY4178" s="2">
        <v>13</v>
      </c>
      <c r="AZ4178" s="2" t="s">
        <v>108</v>
      </c>
      <c r="BA4178" s="2">
        <v>13</v>
      </c>
      <c r="BB4178" s="2" t="s">
        <v>108</v>
      </c>
      <c r="BC4178" s="2">
        <v>41</v>
      </c>
      <c r="BD4178" s="2" t="s">
        <v>82</v>
      </c>
      <c r="BE4178" s="2">
        <v>13</v>
      </c>
      <c r="BF4178" s="2" t="s">
        <v>108</v>
      </c>
      <c r="BG4178" s="2">
        <v>2838</v>
      </c>
      <c r="BH4178" s="4">
        <v>0.89930555555555547</v>
      </c>
      <c r="BI4178" s="4">
        <v>0.87847222222222221</v>
      </c>
      <c r="BJ4178" s="2">
        <v>13</v>
      </c>
      <c r="BK4178" s="2" t="s">
        <v>91</v>
      </c>
      <c r="BL4178" s="2" t="s">
        <v>564</v>
      </c>
      <c r="BM4178" s="2">
        <v>241</v>
      </c>
      <c r="BN4178" s="2" t="s">
        <v>82</v>
      </c>
      <c r="BO4178" s="2"/>
      <c r="BP4178" s="2">
        <v>13</v>
      </c>
      <c r="BQ4178" s="2" t="s">
        <v>91</v>
      </c>
      <c r="BR4178" s="2" t="s">
        <v>353</v>
      </c>
      <c r="BS4178" s="3">
        <v>40462</v>
      </c>
      <c r="BT4178" s="4">
        <v>0.21427083333333333</v>
      </c>
    </row>
    <row r="4179" spans="1:72" x14ac:dyDescent="0.25">
      <c r="A4179" s="2">
        <v>6277</v>
      </c>
      <c r="B4179" s="2">
        <v>2010</v>
      </c>
      <c r="C4179" s="2" t="s">
        <v>4543</v>
      </c>
      <c r="D4179" s="2" t="s">
        <v>122</v>
      </c>
      <c r="E4179" s="2"/>
      <c r="F4179" s="2">
        <v>1</v>
      </c>
      <c r="G4179" s="2" t="s">
        <v>82</v>
      </c>
      <c r="H4179" s="2">
        <v>1</v>
      </c>
      <c r="I4179" s="2" t="s">
        <v>82</v>
      </c>
      <c r="J4179" s="2">
        <v>1</v>
      </c>
      <c r="K4179" s="2" t="s">
        <v>107</v>
      </c>
      <c r="L4179" s="2" t="s">
        <v>107</v>
      </c>
      <c r="M4179" s="3">
        <v>40462</v>
      </c>
      <c r="N4179" s="2"/>
      <c r="O4179" s="2"/>
      <c r="P4179" s="2"/>
      <c r="Q4179" s="2" t="str">
        <f>""</f>
        <v/>
      </c>
      <c r="R4179" s="2"/>
      <c r="S4179" s="2"/>
      <c r="T4179" s="2">
        <v>2</v>
      </c>
      <c r="U4179" s="2" t="s">
        <v>123</v>
      </c>
      <c r="V4179" s="2">
        <v>1</v>
      </c>
      <c r="W4179" s="2" t="s">
        <v>80</v>
      </c>
      <c r="X4179" s="2">
        <v>1</v>
      </c>
      <c r="Y4179" s="2" t="s">
        <v>81</v>
      </c>
      <c r="Z4179" s="2">
        <v>1</v>
      </c>
      <c r="AA4179" s="2" t="s">
        <v>82</v>
      </c>
      <c r="AB4179" s="2">
        <v>9</v>
      </c>
      <c r="AC4179" s="2" t="s">
        <v>124</v>
      </c>
      <c r="AD4179" s="3">
        <v>40462</v>
      </c>
      <c r="AE4179" s="4">
        <v>7.9861111111111105E-2</v>
      </c>
      <c r="AF4179" s="2"/>
      <c r="AG4179" s="2"/>
      <c r="AH4179" s="2">
        <v>2</v>
      </c>
      <c r="AI4179" s="2" t="s">
        <v>84</v>
      </c>
      <c r="AJ4179" s="2">
        <v>12</v>
      </c>
      <c r="AK4179" s="2" t="s">
        <v>85</v>
      </c>
      <c r="AL4179" s="2">
        <v>21</v>
      </c>
      <c r="AM4179" s="2" t="s">
        <v>1311</v>
      </c>
      <c r="AN4179" s="2" t="s">
        <v>13093</v>
      </c>
      <c r="AO4179" s="2" t="s">
        <v>13094</v>
      </c>
      <c r="AP4179" s="2">
        <v>11</v>
      </c>
      <c r="AQ4179" s="2" t="s">
        <v>82</v>
      </c>
      <c r="AR4179" s="2"/>
      <c r="AS4179" s="2"/>
      <c r="AT4179" s="2" t="s">
        <v>13095</v>
      </c>
      <c r="AU4179" s="2"/>
      <c r="AV4179" s="2"/>
      <c r="AW4179" s="2"/>
      <c r="AX4179" s="2"/>
      <c r="AY4179" s="2">
        <v>41</v>
      </c>
      <c r="AZ4179" s="2" t="s">
        <v>82</v>
      </c>
      <c r="BA4179" s="2">
        <v>41</v>
      </c>
      <c r="BB4179" s="2" t="s">
        <v>82</v>
      </c>
      <c r="BC4179" s="2">
        <v>70</v>
      </c>
      <c r="BD4179" s="2" t="s">
        <v>236</v>
      </c>
      <c r="BE4179" s="2">
        <v>41</v>
      </c>
      <c r="BF4179" s="2" t="s">
        <v>82</v>
      </c>
      <c r="BG4179" s="2"/>
      <c r="BH4179" s="2"/>
      <c r="BI4179" s="2"/>
      <c r="BJ4179" s="2">
        <v>241</v>
      </c>
      <c r="BK4179" s="2" t="s">
        <v>82</v>
      </c>
      <c r="BL4179" s="2"/>
      <c r="BM4179" s="2">
        <v>241</v>
      </c>
      <c r="BN4179" s="2" t="s">
        <v>82</v>
      </c>
      <c r="BO4179" s="2"/>
      <c r="BP4179" s="2">
        <v>241</v>
      </c>
      <c r="BQ4179" s="2" t="s">
        <v>82</v>
      </c>
      <c r="BR4179" s="2"/>
      <c r="BS4179" s="3">
        <v>40462</v>
      </c>
      <c r="BT4179" s="4">
        <v>0.23552083333333332</v>
      </c>
    </row>
    <row r="4180" spans="1:72" x14ac:dyDescent="0.25">
      <c r="A4180" s="2">
        <v>6278</v>
      </c>
      <c r="B4180" s="2">
        <v>2010</v>
      </c>
      <c r="C4180" s="2" t="s">
        <v>72</v>
      </c>
      <c r="D4180" s="2" t="s">
        <v>73</v>
      </c>
      <c r="E4180" s="2"/>
      <c r="F4180" s="2">
        <v>188</v>
      </c>
      <c r="G4180" s="2" t="s">
        <v>11384</v>
      </c>
      <c r="H4180" s="2">
        <v>22</v>
      </c>
      <c r="I4180" s="2" t="s">
        <v>75</v>
      </c>
      <c r="J4180" s="2">
        <v>671</v>
      </c>
      <c r="K4180" s="2" t="s">
        <v>12737</v>
      </c>
      <c r="L4180" s="2" t="s">
        <v>12738</v>
      </c>
      <c r="M4180" s="3">
        <v>40462</v>
      </c>
      <c r="N4180" s="2" t="s">
        <v>12874</v>
      </c>
      <c r="O4180" s="2"/>
      <c r="P4180" s="2"/>
      <c r="Q4180" s="2" t="str">
        <f>"402-A/10"</f>
        <v>402-A/10</v>
      </c>
      <c r="R4180" s="2" t="s">
        <v>1547</v>
      </c>
      <c r="S4180" s="2" t="s">
        <v>1547</v>
      </c>
      <c r="T4180" s="2">
        <v>1</v>
      </c>
      <c r="U4180" s="2" t="s">
        <v>79</v>
      </c>
      <c r="V4180" s="2">
        <v>1</v>
      </c>
      <c r="W4180" s="2" t="s">
        <v>80</v>
      </c>
      <c r="X4180" s="2">
        <v>12</v>
      </c>
      <c r="Y4180" s="2" t="s">
        <v>148</v>
      </c>
      <c r="Z4180" s="2">
        <v>1</v>
      </c>
      <c r="AA4180" s="2" t="s">
        <v>82</v>
      </c>
      <c r="AB4180" s="2">
        <v>6</v>
      </c>
      <c r="AC4180" s="2" t="s">
        <v>83</v>
      </c>
      <c r="AD4180" s="3">
        <v>40460</v>
      </c>
      <c r="AE4180" s="2"/>
      <c r="AF4180" s="3">
        <v>40462</v>
      </c>
      <c r="AG4180" s="4">
        <v>0.3263888888888889</v>
      </c>
      <c r="AH4180" s="2">
        <v>2</v>
      </c>
      <c r="AI4180" s="2" t="s">
        <v>84</v>
      </c>
      <c r="AJ4180" s="2">
        <v>12</v>
      </c>
      <c r="AK4180" s="2" t="s">
        <v>85</v>
      </c>
      <c r="AL4180" s="2">
        <v>22</v>
      </c>
      <c r="AM4180" s="2" t="s">
        <v>1853</v>
      </c>
      <c r="AN4180" s="2"/>
      <c r="AO4180" s="2" t="s">
        <v>12115</v>
      </c>
      <c r="AP4180" s="2">
        <v>11</v>
      </c>
      <c r="AQ4180" s="2" t="s">
        <v>82</v>
      </c>
      <c r="AR4180" s="2"/>
      <c r="AS4180" s="2"/>
      <c r="AT4180" s="2" t="s">
        <v>13096</v>
      </c>
      <c r="AU4180" s="2"/>
      <c r="AV4180" s="2"/>
      <c r="AW4180" s="2"/>
      <c r="AX4180" s="2"/>
      <c r="AY4180" s="2">
        <v>41</v>
      </c>
      <c r="AZ4180" s="2" t="s">
        <v>82</v>
      </c>
      <c r="BA4180" s="2">
        <v>41</v>
      </c>
      <c r="BB4180" s="2" t="s">
        <v>82</v>
      </c>
      <c r="BC4180" s="2">
        <v>41</v>
      </c>
      <c r="BD4180" s="2" t="s">
        <v>82</v>
      </c>
      <c r="BE4180" s="2">
        <v>13</v>
      </c>
      <c r="BF4180" s="2" t="s">
        <v>108</v>
      </c>
      <c r="BG4180" s="2" t="s">
        <v>605</v>
      </c>
      <c r="BH4180" s="4">
        <v>0.22916666666666666</v>
      </c>
      <c r="BI4180" s="2"/>
      <c r="BJ4180" s="2">
        <v>73</v>
      </c>
      <c r="BK4180" s="2" t="s">
        <v>186</v>
      </c>
      <c r="BL4180" s="2" t="s">
        <v>187</v>
      </c>
      <c r="BM4180" s="2">
        <v>13</v>
      </c>
      <c r="BN4180" s="2" t="s">
        <v>91</v>
      </c>
      <c r="BO4180" s="2"/>
      <c r="BP4180" s="2">
        <v>13</v>
      </c>
      <c r="BQ4180" s="2" t="s">
        <v>91</v>
      </c>
      <c r="BR4180" s="2" t="s">
        <v>360</v>
      </c>
      <c r="BS4180" s="3">
        <v>40462</v>
      </c>
      <c r="BT4180" s="4">
        <v>0.36758101851851849</v>
      </c>
    </row>
    <row r="4181" spans="1:72" x14ac:dyDescent="0.25">
      <c r="A4181" s="2">
        <v>6279</v>
      </c>
      <c r="B4181" s="2">
        <v>2010</v>
      </c>
      <c r="C4181" s="2" t="s">
        <v>72</v>
      </c>
      <c r="D4181" s="2" t="s">
        <v>73</v>
      </c>
      <c r="E4181" s="2"/>
      <c r="F4181" s="2">
        <v>389</v>
      </c>
      <c r="G4181" s="2" t="s">
        <v>1819</v>
      </c>
      <c r="H4181" s="2">
        <v>2</v>
      </c>
      <c r="I4181" s="2" t="s">
        <v>267</v>
      </c>
      <c r="J4181" s="2">
        <v>399</v>
      </c>
      <c r="K4181" s="2" t="s">
        <v>1820</v>
      </c>
      <c r="L4181" s="2" t="s">
        <v>1821</v>
      </c>
      <c r="M4181" s="3">
        <v>40462</v>
      </c>
      <c r="N4181" s="2" t="s">
        <v>5653</v>
      </c>
      <c r="O4181" s="2"/>
      <c r="P4181" s="2"/>
      <c r="Q4181" s="2" t="str">
        <f>"527-E/10"</f>
        <v>527-E/10</v>
      </c>
      <c r="R4181" s="2" t="s">
        <v>601</v>
      </c>
      <c r="S4181" s="2" t="s">
        <v>601</v>
      </c>
      <c r="T4181" s="2">
        <v>1</v>
      </c>
      <c r="U4181" s="2" t="s">
        <v>79</v>
      </c>
      <c r="V4181" s="2">
        <v>1</v>
      </c>
      <c r="W4181" s="2" t="s">
        <v>80</v>
      </c>
      <c r="X4181" s="2">
        <v>12</v>
      </c>
      <c r="Y4181" s="2" t="s">
        <v>148</v>
      </c>
      <c r="Z4181" s="2">
        <v>1</v>
      </c>
      <c r="AA4181" s="2" t="s">
        <v>82</v>
      </c>
      <c r="AB4181" s="2">
        <v>6</v>
      </c>
      <c r="AC4181" s="2" t="s">
        <v>83</v>
      </c>
      <c r="AD4181" s="3">
        <v>40462</v>
      </c>
      <c r="AE4181" s="2"/>
      <c r="AF4181" s="3">
        <v>40462</v>
      </c>
      <c r="AG4181" s="4">
        <v>0.41666666666666669</v>
      </c>
      <c r="AH4181" s="2">
        <v>2</v>
      </c>
      <c r="AI4181" s="2" t="s">
        <v>84</v>
      </c>
      <c r="AJ4181" s="2">
        <v>9</v>
      </c>
      <c r="AK4181" s="2" t="s">
        <v>103</v>
      </c>
      <c r="AL4181" s="2">
        <v>22</v>
      </c>
      <c r="AM4181" s="2" t="s">
        <v>1853</v>
      </c>
      <c r="AN4181" s="2" t="s">
        <v>13097</v>
      </c>
      <c r="AO4181" s="2" t="s">
        <v>12699</v>
      </c>
      <c r="AP4181" s="2">
        <v>11</v>
      </c>
      <c r="AQ4181" s="2" t="s">
        <v>82</v>
      </c>
      <c r="AR4181" s="2"/>
      <c r="AS4181" s="2"/>
      <c r="AT4181" s="2" t="s">
        <v>13098</v>
      </c>
      <c r="AU4181" s="2"/>
      <c r="AV4181" s="2"/>
      <c r="AW4181" s="2"/>
      <c r="AX4181" s="2"/>
      <c r="AY4181" s="2">
        <v>41</v>
      </c>
      <c r="AZ4181" s="2" t="s">
        <v>82</v>
      </c>
      <c r="BA4181" s="2">
        <v>41</v>
      </c>
      <c r="BB4181" s="2" t="s">
        <v>82</v>
      </c>
      <c r="BC4181" s="2">
        <v>41</v>
      </c>
      <c r="BD4181" s="2" t="s">
        <v>82</v>
      </c>
      <c r="BE4181" s="2">
        <v>23</v>
      </c>
      <c r="BF4181" s="2" t="s">
        <v>183</v>
      </c>
      <c r="BG4181" s="2" t="s">
        <v>2624</v>
      </c>
      <c r="BH4181" s="4">
        <v>0.33333333333333331</v>
      </c>
      <c r="BI4181" s="2"/>
      <c r="BJ4181" s="2">
        <v>73</v>
      </c>
      <c r="BK4181" s="2" t="s">
        <v>186</v>
      </c>
      <c r="BL4181" s="2" t="s">
        <v>187</v>
      </c>
      <c r="BM4181" s="2">
        <v>13</v>
      </c>
      <c r="BN4181" s="2" t="s">
        <v>91</v>
      </c>
      <c r="BO4181" s="2"/>
      <c r="BP4181" s="2">
        <v>13</v>
      </c>
      <c r="BQ4181" s="2" t="s">
        <v>91</v>
      </c>
      <c r="BR4181" s="2" t="s">
        <v>360</v>
      </c>
      <c r="BS4181" s="3">
        <v>40462</v>
      </c>
      <c r="BT4181" s="4">
        <v>0.52627314814814818</v>
      </c>
    </row>
    <row r="4182" spans="1:72" x14ac:dyDescent="0.25">
      <c r="A4182" s="2">
        <v>6280</v>
      </c>
      <c r="B4182" s="2">
        <v>2010</v>
      </c>
      <c r="C4182" s="2" t="s">
        <v>128</v>
      </c>
      <c r="D4182" s="2" t="s">
        <v>122</v>
      </c>
      <c r="E4182" s="2"/>
      <c r="F4182" s="2">
        <v>1</v>
      </c>
      <c r="G4182" s="2" t="s">
        <v>82</v>
      </c>
      <c r="H4182" s="2">
        <v>1</v>
      </c>
      <c r="I4182" s="2" t="s">
        <v>82</v>
      </c>
      <c r="J4182" s="2">
        <v>1</v>
      </c>
      <c r="K4182" s="2" t="s">
        <v>107</v>
      </c>
      <c r="L4182" s="2" t="s">
        <v>107</v>
      </c>
      <c r="M4182" s="3">
        <v>40462</v>
      </c>
      <c r="N4182" s="2"/>
      <c r="O4182" s="2"/>
      <c r="P4182" s="2"/>
      <c r="Q4182" s="2" t="str">
        <f>""</f>
        <v/>
      </c>
      <c r="R4182" s="2"/>
      <c r="S4182" s="2"/>
      <c r="T4182" s="2">
        <v>1</v>
      </c>
      <c r="U4182" s="2" t="s">
        <v>79</v>
      </c>
      <c r="V4182" s="2">
        <v>3</v>
      </c>
      <c r="W4182" s="2" t="s">
        <v>225</v>
      </c>
      <c r="X4182" s="2">
        <v>11</v>
      </c>
      <c r="Y4182" s="2" t="s">
        <v>1920</v>
      </c>
      <c r="Z4182" s="2">
        <v>1</v>
      </c>
      <c r="AA4182" s="2" t="s">
        <v>82</v>
      </c>
      <c r="AB4182" s="2">
        <v>9</v>
      </c>
      <c r="AC4182" s="2" t="s">
        <v>124</v>
      </c>
      <c r="AD4182" s="3">
        <v>40461</v>
      </c>
      <c r="AE4182" s="4">
        <v>0.375</v>
      </c>
      <c r="AF4182" s="3">
        <v>40460</v>
      </c>
      <c r="AG4182" s="4">
        <v>0.83333333333333337</v>
      </c>
      <c r="AH4182" s="2">
        <v>7</v>
      </c>
      <c r="AI4182" s="2" t="s">
        <v>801</v>
      </c>
      <c r="AJ4182" s="2">
        <v>4</v>
      </c>
      <c r="AK4182" s="2" t="s">
        <v>2397</v>
      </c>
      <c r="AL4182" s="2">
        <v>24</v>
      </c>
      <c r="AM4182" s="2" t="s">
        <v>1540</v>
      </c>
      <c r="AN4182" s="2"/>
      <c r="AO4182" s="2" t="s">
        <v>13099</v>
      </c>
      <c r="AP4182" s="2">
        <v>11</v>
      </c>
      <c r="AQ4182" s="2" t="s">
        <v>82</v>
      </c>
      <c r="AR4182" s="2"/>
      <c r="AS4182" s="2"/>
      <c r="AT4182" s="2" t="s">
        <v>13100</v>
      </c>
      <c r="AU4182" s="2"/>
      <c r="AV4182" s="2"/>
      <c r="AW4182" s="2"/>
      <c r="AX4182" s="2"/>
      <c r="AY4182" s="2">
        <v>8</v>
      </c>
      <c r="AZ4182" s="2" t="s">
        <v>3465</v>
      </c>
      <c r="BA4182" s="2">
        <v>41</v>
      </c>
      <c r="BB4182" s="2" t="s">
        <v>82</v>
      </c>
      <c r="BC4182" s="2">
        <v>53</v>
      </c>
      <c r="BD4182" s="2" t="s">
        <v>12179</v>
      </c>
      <c r="BE4182" s="2">
        <v>8</v>
      </c>
      <c r="BF4182" s="2" t="s">
        <v>3465</v>
      </c>
      <c r="BG4182" s="2" t="s">
        <v>13101</v>
      </c>
      <c r="BH4182" s="4">
        <v>0.40625</v>
      </c>
      <c r="BI4182" s="4">
        <v>0.53125</v>
      </c>
      <c r="BJ4182" s="2">
        <v>244</v>
      </c>
      <c r="BK4182" s="2" t="s">
        <v>1236</v>
      </c>
      <c r="BL4182" s="2"/>
      <c r="BM4182" s="2">
        <v>13</v>
      </c>
      <c r="BN4182" s="2" t="s">
        <v>91</v>
      </c>
      <c r="BO4182" s="2"/>
      <c r="BP4182" s="2">
        <v>13</v>
      </c>
      <c r="BQ4182" s="2" t="s">
        <v>91</v>
      </c>
      <c r="BR4182" s="2"/>
      <c r="BS4182" s="3">
        <v>40462</v>
      </c>
      <c r="BT4182" s="4">
        <v>0.53592592592592592</v>
      </c>
    </row>
    <row r="4183" spans="1:72" x14ac:dyDescent="0.25">
      <c r="A4183" s="2">
        <v>6282</v>
      </c>
      <c r="B4183" s="2">
        <v>2010</v>
      </c>
      <c r="C4183" s="2" t="s">
        <v>93</v>
      </c>
      <c r="D4183" s="2" t="s">
        <v>73</v>
      </c>
      <c r="E4183" s="2"/>
      <c r="F4183" s="2">
        <v>134</v>
      </c>
      <c r="G4183" s="2" t="s">
        <v>8834</v>
      </c>
      <c r="H4183" s="2">
        <v>108</v>
      </c>
      <c r="I4183" s="2" t="s">
        <v>1096</v>
      </c>
      <c r="J4183" s="2">
        <v>151</v>
      </c>
      <c r="K4183" s="2" t="s">
        <v>1485</v>
      </c>
      <c r="L4183" s="2" t="s">
        <v>1626</v>
      </c>
      <c r="M4183" s="3">
        <v>40462</v>
      </c>
      <c r="N4183" s="2" t="s">
        <v>8835</v>
      </c>
      <c r="O4183" s="2" t="s">
        <v>13102</v>
      </c>
      <c r="P4183" s="2">
        <v>7296</v>
      </c>
      <c r="Q4183" s="2" t="str">
        <f>"AP_0058_10"</f>
        <v>AP_0058_10</v>
      </c>
      <c r="R4183" s="2" t="s">
        <v>4154</v>
      </c>
      <c r="S4183" s="2"/>
      <c r="T4183" s="2">
        <v>1</v>
      </c>
      <c r="U4183" s="2" t="s">
        <v>79</v>
      </c>
      <c r="V4183" s="2">
        <v>1</v>
      </c>
      <c r="W4183" s="2" t="s">
        <v>80</v>
      </c>
      <c r="X4183" s="2">
        <v>1</v>
      </c>
      <c r="Y4183" s="2" t="s">
        <v>81</v>
      </c>
      <c r="Z4183" s="2">
        <v>1</v>
      </c>
      <c r="AA4183" s="2" t="s">
        <v>82</v>
      </c>
      <c r="AB4183" s="2">
        <v>2</v>
      </c>
      <c r="AC4183" s="2" t="s">
        <v>102</v>
      </c>
      <c r="AD4183" s="3">
        <v>40462</v>
      </c>
      <c r="AE4183" s="4">
        <v>0.53125</v>
      </c>
      <c r="AF4183" s="3">
        <v>40462</v>
      </c>
      <c r="AG4183" s="2"/>
      <c r="AH4183" s="2">
        <v>6</v>
      </c>
      <c r="AI4183" s="2" t="s">
        <v>197</v>
      </c>
      <c r="AJ4183" s="2">
        <v>61</v>
      </c>
      <c r="AK4183" s="2" t="s">
        <v>686</v>
      </c>
      <c r="AL4183" s="2">
        <v>11</v>
      </c>
      <c r="AM4183" s="2" t="s">
        <v>137</v>
      </c>
      <c r="AN4183" s="2" t="s">
        <v>82</v>
      </c>
      <c r="AO4183" s="2" t="s">
        <v>10629</v>
      </c>
      <c r="AP4183" s="2">
        <v>11</v>
      </c>
      <c r="AQ4183" s="2" t="s">
        <v>82</v>
      </c>
      <c r="AR4183" s="2" t="s">
        <v>82</v>
      </c>
      <c r="AS4183" s="2" t="s">
        <v>82</v>
      </c>
      <c r="AT4183" s="2" t="s">
        <v>13103</v>
      </c>
      <c r="AU4183" s="2"/>
      <c r="AV4183" s="2"/>
      <c r="AW4183" s="2"/>
      <c r="AX4183" s="2"/>
      <c r="AY4183" s="2">
        <v>41</v>
      </c>
      <c r="AZ4183" s="2" t="s">
        <v>82</v>
      </c>
      <c r="BA4183" s="2">
        <v>41</v>
      </c>
      <c r="BB4183" s="2" t="s">
        <v>82</v>
      </c>
      <c r="BC4183" s="2">
        <v>41</v>
      </c>
      <c r="BD4183" s="2" t="s">
        <v>82</v>
      </c>
      <c r="BE4183" s="2">
        <v>47</v>
      </c>
      <c r="BF4183" s="2" t="s">
        <v>167</v>
      </c>
      <c r="BG4183" s="2" t="s">
        <v>2951</v>
      </c>
      <c r="BH4183" s="2"/>
      <c r="BI4183" s="4">
        <v>0.54513888888888895</v>
      </c>
      <c r="BJ4183" s="2">
        <v>13</v>
      </c>
      <c r="BK4183" s="2" t="s">
        <v>91</v>
      </c>
      <c r="BL4183" s="2" t="s">
        <v>690</v>
      </c>
      <c r="BM4183" s="2">
        <v>13</v>
      </c>
      <c r="BN4183" s="2" t="s">
        <v>91</v>
      </c>
      <c r="BO4183" s="2"/>
      <c r="BP4183" s="2">
        <v>13</v>
      </c>
      <c r="BQ4183" s="2" t="s">
        <v>91</v>
      </c>
      <c r="BR4183" s="2" t="s">
        <v>185</v>
      </c>
      <c r="BS4183" s="3">
        <v>40462</v>
      </c>
      <c r="BT4183" s="4">
        <v>0.5932291666666667</v>
      </c>
    </row>
    <row r="4184" spans="1:72" x14ac:dyDescent="0.25">
      <c r="A4184" s="2">
        <v>6283</v>
      </c>
      <c r="B4184" s="2">
        <v>2010</v>
      </c>
      <c r="C4184" s="2" t="s">
        <v>457</v>
      </c>
      <c r="D4184" s="2" t="s">
        <v>73</v>
      </c>
      <c r="E4184" s="2"/>
      <c r="F4184" s="2">
        <v>467</v>
      </c>
      <c r="G4184" s="2" t="s">
        <v>1053</v>
      </c>
      <c r="H4184" s="2">
        <v>108</v>
      </c>
      <c r="I4184" s="2" t="s">
        <v>1096</v>
      </c>
      <c r="J4184" s="2">
        <v>369</v>
      </c>
      <c r="K4184" s="2" t="s">
        <v>1054</v>
      </c>
      <c r="L4184" s="2" t="s">
        <v>1055</v>
      </c>
      <c r="M4184" s="3">
        <v>40462</v>
      </c>
      <c r="N4184" s="2" t="s">
        <v>13104</v>
      </c>
      <c r="O4184" s="2" t="s">
        <v>13105</v>
      </c>
      <c r="P4184" s="2" t="s">
        <v>13106</v>
      </c>
      <c r="Q4184" s="2" t="str">
        <f>""</f>
        <v/>
      </c>
      <c r="R4184" s="2"/>
      <c r="S4184" s="2"/>
      <c r="T4184" s="2">
        <v>1</v>
      </c>
      <c r="U4184" s="2" t="s">
        <v>79</v>
      </c>
      <c r="V4184" s="2">
        <v>1</v>
      </c>
      <c r="W4184" s="2" t="s">
        <v>80</v>
      </c>
      <c r="X4184" s="2">
        <v>4</v>
      </c>
      <c r="Y4184" s="2" t="s">
        <v>463</v>
      </c>
      <c r="Z4184" s="2">
        <v>6</v>
      </c>
      <c r="AA4184" s="2" t="s">
        <v>101</v>
      </c>
      <c r="AB4184" s="2">
        <v>9</v>
      </c>
      <c r="AC4184" s="2" t="s">
        <v>124</v>
      </c>
      <c r="AD4184" s="3">
        <v>40462</v>
      </c>
      <c r="AE4184" s="4">
        <v>0.54166666666666663</v>
      </c>
      <c r="AF4184" s="2"/>
      <c r="AG4184" s="2"/>
      <c r="AH4184" s="2">
        <v>4</v>
      </c>
      <c r="AI4184" s="2" t="s">
        <v>125</v>
      </c>
      <c r="AJ4184" s="2">
        <v>29</v>
      </c>
      <c r="AK4184" s="2" t="s">
        <v>227</v>
      </c>
      <c r="AL4184" s="2">
        <v>11</v>
      </c>
      <c r="AM4184" s="2" t="s">
        <v>137</v>
      </c>
      <c r="AN4184" s="2" t="s">
        <v>2701</v>
      </c>
      <c r="AO4184" s="2"/>
      <c r="AP4184" s="2">
        <v>11</v>
      </c>
      <c r="AQ4184" s="2" t="s">
        <v>82</v>
      </c>
      <c r="AR4184" s="2" t="s">
        <v>82</v>
      </c>
      <c r="AS4184" s="2" t="s">
        <v>82</v>
      </c>
      <c r="AT4184" s="2" t="s">
        <v>13107</v>
      </c>
      <c r="AU4184" s="2"/>
      <c r="AV4184" s="2"/>
      <c r="AW4184" s="2"/>
      <c r="AX4184" s="2"/>
      <c r="AY4184" s="2">
        <v>41</v>
      </c>
      <c r="AZ4184" s="2" t="s">
        <v>82</v>
      </c>
      <c r="BA4184" s="2">
        <v>41</v>
      </c>
      <c r="BB4184" s="2" t="s">
        <v>82</v>
      </c>
      <c r="BC4184" s="2">
        <v>115</v>
      </c>
      <c r="BD4184" s="2" t="s">
        <v>101</v>
      </c>
      <c r="BE4184" s="2">
        <v>19</v>
      </c>
      <c r="BF4184" s="2" t="s">
        <v>1061</v>
      </c>
      <c r="BG4184" s="2" t="s">
        <v>11709</v>
      </c>
      <c r="BH4184" s="4">
        <v>0.54166666666666663</v>
      </c>
      <c r="BI4184" s="4">
        <v>0.56944444444444442</v>
      </c>
      <c r="BJ4184" s="2">
        <v>13</v>
      </c>
      <c r="BK4184" s="2" t="s">
        <v>91</v>
      </c>
      <c r="BL4184" s="2" t="s">
        <v>828</v>
      </c>
      <c r="BM4184" s="2">
        <v>29</v>
      </c>
      <c r="BN4184" s="2" t="s">
        <v>962</v>
      </c>
      <c r="BO4184" s="2"/>
      <c r="BP4184" s="2">
        <v>29</v>
      </c>
      <c r="BQ4184" s="2" t="s">
        <v>962</v>
      </c>
      <c r="BR4184" s="2" t="s">
        <v>963</v>
      </c>
      <c r="BS4184" s="3">
        <v>40462</v>
      </c>
      <c r="BT4184" s="4">
        <v>0.60666666666666669</v>
      </c>
    </row>
    <row r="4185" spans="1:72" x14ac:dyDescent="0.25">
      <c r="A4185" s="2">
        <v>6284</v>
      </c>
      <c r="B4185" s="2">
        <v>2010</v>
      </c>
      <c r="C4185" s="2" t="s">
        <v>1568</v>
      </c>
      <c r="D4185" s="2" t="s">
        <v>122</v>
      </c>
      <c r="E4185" s="2" t="s">
        <v>13108</v>
      </c>
      <c r="F4185" s="2">
        <v>391</v>
      </c>
      <c r="G4185" s="2" t="s">
        <v>2400</v>
      </c>
      <c r="H4185" s="2">
        <v>23</v>
      </c>
      <c r="I4185" s="2" t="s">
        <v>422</v>
      </c>
      <c r="J4185" s="2">
        <v>399</v>
      </c>
      <c r="K4185" s="2" t="s">
        <v>1820</v>
      </c>
      <c r="L4185" s="2" t="s">
        <v>1821</v>
      </c>
      <c r="M4185" s="3">
        <v>40462</v>
      </c>
      <c r="N4185" s="2" t="s">
        <v>5653</v>
      </c>
      <c r="O4185" s="2"/>
      <c r="P4185" s="2" t="s">
        <v>82</v>
      </c>
      <c r="Q4185" s="2" t="str">
        <f>"523-E/10"</f>
        <v>523-E/10</v>
      </c>
      <c r="R4185" s="2" t="s">
        <v>13004</v>
      </c>
      <c r="S4185" s="2"/>
      <c r="T4185" s="2">
        <v>1</v>
      </c>
      <c r="U4185" s="2" t="s">
        <v>79</v>
      </c>
      <c r="V4185" s="2">
        <v>1</v>
      </c>
      <c r="W4185" s="2" t="s">
        <v>80</v>
      </c>
      <c r="X4185" s="2">
        <v>11</v>
      </c>
      <c r="Y4185" s="2" t="s">
        <v>1920</v>
      </c>
      <c r="Z4185" s="2">
        <v>1</v>
      </c>
      <c r="AA4185" s="2" t="s">
        <v>82</v>
      </c>
      <c r="AB4185" s="2">
        <v>4</v>
      </c>
      <c r="AC4185" s="2" t="s">
        <v>1569</v>
      </c>
      <c r="AD4185" s="3">
        <v>40462</v>
      </c>
      <c r="AE4185" s="4">
        <v>0.38541666666666669</v>
      </c>
      <c r="AF4185" s="3">
        <v>40459</v>
      </c>
      <c r="AG4185" s="4">
        <v>0.63541666666666663</v>
      </c>
      <c r="AH4185" s="2">
        <v>2</v>
      </c>
      <c r="AI4185" s="2" t="s">
        <v>84</v>
      </c>
      <c r="AJ4185" s="2">
        <v>9</v>
      </c>
      <c r="AK4185" s="2" t="s">
        <v>103</v>
      </c>
      <c r="AL4185" s="2">
        <v>16</v>
      </c>
      <c r="AM4185" s="2" t="s">
        <v>392</v>
      </c>
      <c r="AN4185" s="2"/>
      <c r="AO4185" s="2" t="s">
        <v>13005</v>
      </c>
      <c r="AP4185" s="2">
        <v>11</v>
      </c>
      <c r="AQ4185" s="2" t="s">
        <v>82</v>
      </c>
      <c r="AR4185" s="2"/>
      <c r="AS4185" s="2"/>
      <c r="AT4185" s="2" t="s">
        <v>13109</v>
      </c>
      <c r="AU4185" s="2"/>
      <c r="AV4185" s="2">
        <v>1</v>
      </c>
      <c r="AW4185" s="2"/>
      <c r="AX4185" s="2"/>
      <c r="AY4185" s="2">
        <v>41</v>
      </c>
      <c r="AZ4185" s="2" t="s">
        <v>82</v>
      </c>
      <c r="BA4185" s="2">
        <v>41</v>
      </c>
      <c r="BB4185" s="2" t="s">
        <v>82</v>
      </c>
      <c r="BC4185" s="2">
        <v>41</v>
      </c>
      <c r="BD4185" s="2" t="s">
        <v>82</v>
      </c>
      <c r="BE4185" s="2">
        <v>41</v>
      </c>
      <c r="BF4185" s="2" t="s">
        <v>82</v>
      </c>
      <c r="BG4185" s="2"/>
      <c r="BH4185" s="2"/>
      <c r="BI4185" s="2"/>
      <c r="BJ4185" s="2">
        <v>241</v>
      </c>
      <c r="BK4185" s="2" t="s">
        <v>82</v>
      </c>
      <c r="BL4185" s="2"/>
      <c r="BM4185" s="2">
        <v>241</v>
      </c>
      <c r="BN4185" s="2" t="s">
        <v>82</v>
      </c>
      <c r="BO4185" s="2"/>
      <c r="BP4185" s="2">
        <v>241</v>
      </c>
      <c r="BQ4185" s="2" t="s">
        <v>82</v>
      </c>
      <c r="BR4185" s="2"/>
      <c r="BS4185" s="3">
        <v>40462</v>
      </c>
      <c r="BT4185" s="4">
        <v>0.64921296296296294</v>
      </c>
    </row>
    <row r="4186" spans="1:72" x14ac:dyDescent="0.25">
      <c r="A4186" s="2">
        <v>6284</v>
      </c>
      <c r="B4186" s="2">
        <v>2010</v>
      </c>
      <c r="C4186" s="2" t="s">
        <v>385</v>
      </c>
      <c r="D4186" s="2" t="s">
        <v>122</v>
      </c>
      <c r="E4186" s="2" t="s">
        <v>13108</v>
      </c>
      <c r="F4186" s="2">
        <v>391</v>
      </c>
      <c r="G4186" s="2" t="s">
        <v>2400</v>
      </c>
      <c r="H4186" s="2">
        <v>23</v>
      </c>
      <c r="I4186" s="2" t="s">
        <v>422</v>
      </c>
      <c r="J4186" s="2">
        <v>399</v>
      </c>
      <c r="K4186" s="2" t="s">
        <v>1820</v>
      </c>
      <c r="L4186" s="2" t="s">
        <v>1821</v>
      </c>
      <c r="M4186" s="3">
        <v>40462</v>
      </c>
      <c r="N4186" s="2" t="s">
        <v>5653</v>
      </c>
      <c r="O4186" s="2"/>
      <c r="P4186" s="2" t="s">
        <v>82</v>
      </c>
      <c r="Q4186" s="2" t="str">
        <f>"523-E/10"</f>
        <v>523-E/10</v>
      </c>
      <c r="R4186" s="2" t="s">
        <v>13004</v>
      </c>
      <c r="S4186" s="2"/>
      <c r="T4186" s="2">
        <v>1</v>
      </c>
      <c r="U4186" s="2" t="s">
        <v>79</v>
      </c>
      <c r="V4186" s="2">
        <v>1</v>
      </c>
      <c r="W4186" s="2" t="s">
        <v>80</v>
      </c>
      <c r="X4186" s="2">
        <v>11</v>
      </c>
      <c r="Y4186" s="2" t="s">
        <v>1920</v>
      </c>
      <c r="Z4186" s="2">
        <v>1</v>
      </c>
      <c r="AA4186" s="2" t="s">
        <v>82</v>
      </c>
      <c r="AB4186" s="2">
        <v>9</v>
      </c>
      <c r="AC4186" s="2" t="s">
        <v>124</v>
      </c>
      <c r="AD4186" s="3">
        <v>40462</v>
      </c>
      <c r="AE4186" s="4">
        <v>0.38541666666666669</v>
      </c>
      <c r="AF4186" s="3">
        <v>40459</v>
      </c>
      <c r="AG4186" s="4">
        <v>0.63541666666666663</v>
      </c>
      <c r="AH4186" s="2">
        <v>2</v>
      </c>
      <c r="AI4186" s="2" t="s">
        <v>84</v>
      </c>
      <c r="AJ4186" s="2">
        <v>9</v>
      </c>
      <c r="AK4186" s="2" t="s">
        <v>103</v>
      </c>
      <c r="AL4186" s="2">
        <v>16</v>
      </c>
      <c r="AM4186" s="2" t="s">
        <v>392</v>
      </c>
      <c r="AN4186" s="2"/>
      <c r="AO4186" s="2" t="s">
        <v>13005</v>
      </c>
      <c r="AP4186" s="2">
        <v>11</v>
      </c>
      <c r="AQ4186" s="2" t="s">
        <v>82</v>
      </c>
      <c r="AR4186" s="2"/>
      <c r="AS4186" s="2"/>
      <c r="AT4186" s="2" t="s">
        <v>13109</v>
      </c>
      <c r="AU4186" s="2"/>
      <c r="AV4186" s="2">
        <v>1</v>
      </c>
      <c r="AW4186" s="2"/>
      <c r="AX4186" s="2"/>
      <c r="AY4186" s="2">
        <v>41</v>
      </c>
      <c r="AZ4186" s="2" t="s">
        <v>82</v>
      </c>
      <c r="BA4186" s="2">
        <v>41</v>
      </c>
      <c r="BB4186" s="2" t="s">
        <v>82</v>
      </c>
      <c r="BC4186" s="2">
        <v>41</v>
      </c>
      <c r="BD4186" s="2" t="s">
        <v>82</v>
      </c>
      <c r="BE4186" s="2">
        <v>41</v>
      </c>
      <c r="BF4186" s="2" t="s">
        <v>82</v>
      </c>
      <c r="BG4186" s="2"/>
      <c r="BH4186" s="2"/>
      <c r="BI4186" s="2"/>
      <c r="BJ4186" s="2">
        <v>241</v>
      </c>
      <c r="BK4186" s="2" t="s">
        <v>82</v>
      </c>
      <c r="BL4186" s="2"/>
      <c r="BM4186" s="2">
        <v>241</v>
      </c>
      <c r="BN4186" s="2" t="s">
        <v>82</v>
      </c>
      <c r="BO4186" s="2"/>
      <c r="BP4186" s="2">
        <v>241</v>
      </c>
      <c r="BQ4186" s="2" t="s">
        <v>82</v>
      </c>
      <c r="BR4186" s="2"/>
      <c r="BS4186" s="3">
        <v>40462</v>
      </c>
      <c r="BT4186" s="4">
        <v>0.64921296296296294</v>
      </c>
    </row>
    <row r="4187" spans="1:72" x14ac:dyDescent="0.25">
      <c r="A4187" s="2">
        <v>6285</v>
      </c>
      <c r="B4187" s="2">
        <v>2010</v>
      </c>
      <c r="C4187" s="2" t="s">
        <v>121</v>
      </c>
      <c r="D4187" s="2" t="s">
        <v>122</v>
      </c>
      <c r="E4187" s="2" t="s">
        <v>13110</v>
      </c>
      <c r="F4187" s="2">
        <v>1</v>
      </c>
      <c r="G4187" s="2" t="s">
        <v>82</v>
      </c>
      <c r="H4187" s="2">
        <v>1</v>
      </c>
      <c r="I4187" s="2" t="s">
        <v>82</v>
      </c>
      <c r="J4187" s="2">
        <v>1</v>
      </c>
      <c r="K4187" s="2" t="s">
        <v>107</v>
      </c>
      <c r="L4187" s="2" t="s">
        <v>107</v>
      </c>
      <c r="M4187" s="3">
        <v>40462</v>
      </c>
      <c r="N4187" s="2"/>
      <c r="O4187" s="2"/>
      <c r="P4187" s="2"/>
      <c r="Q4187" s="2" t="str">
        <f>""</f>
        <v/>
      </c>
      <c r="R4187" s="2"/>
      <c r="S4187" s="2"/>
      <c r="T4187" s="2">
        <v>2</v>
      </c>
      <c r="U4187" s="2" t="s">
        <v>123</v>
      </c>
      <c r="V4187" s="2">
        <v>1</v>
      </c>
      <c r="W4187" s="2" t="s">
        <v>80</v>
      </c>
      <c r="X4187" s="2">
        <v>11</v>
      </c>
      <c r="Y4187" s="2" t="s">
        <v>1920</v>
      </c>
      <c r="Z4187" s="2">
        <v>4</v>
      </c>
      <c r="AA4187" s="2" t="s">
        <v>182</v>
      </c>
      <c r="AB4187" s="2">
        <v>9</v>
      </c>
      <c r="AC4187" s="2" t="s">
        <v>124</v>
      </c>
      <c r="AD4187" s="3">
        <v>40462</v>
      </c>
      <c r="AE4187" s="4">
        <v>0.69791666666666663</v>
      </c>
      <c r="AF4187" s="2"/>
      <c r="AG4187" s="2"/>
      <c r="AH4187" s="2">
        <v>4</v>
      </c>
      <c r="AI4187" s="2" t="s">
        <v>125</v>
      </c>
      <c r="AJ4187" s="2">
        <v>28</v>
      </c>
      <c r="AK4187" s="2" t="s">
        <v>741</v>
      </c>
      <c r="AL4187" s="2">
        <v>10</v>
      </c>
      <c r="AM4187" s="2" t="s">
        <v>200</v>
      </c>
      <c r="AN4187" s="2"/>
      <c r="AO4187" s="2"/>
      <c r="AP4187" s="2">
        <v>11</v>
      </c>
      <c r="AQ4187" s="2" t="s">
        <v>82</v>
      </c>
      <c r="AR4187" s="2"/>
      <c r="AS4187" s="2"/>
      <c r="AT4187" s="2" t="s">
        <v>13111</v>
      </c>
      <c r="AU4187" s="2"/>
      <c r="AV4187" s="2"/>
      <c r="AW4187" s="2"/>
      <c r="AX4187" s="2"/>
      <c r="AY4187" s="2">
        <v>41</v>
      </c>
      <c r="AZ4187" s="2" t="s">
        <v>82</v>
      </c>
      <c r="BA4187" s="2">
        <v>41</v>
      </c>
      <c r="BB4187" s="2" t="s">
        <v>82</v>
      </c>
      <c r="BC4187" s="2">
        <v>41</v>
      </c>
      <c r="BD4187" s="2" t="s">
        <v>82</v>
      </c>
      <c r="BE4187" s="2">
        <v>43</v>
      </c>
      <c r="BF4187" s="2" t="s">
        <v>220</v>
      </c>
      <c r="BG4187" s="2" t="s">
        <v>13112</v>
      </c>
      <c r="BH4187" s="2"/>
      <c r="BI4187" s="4">
        <v>0.69791666666666663</v>
      </c>
      <c r="BJ4187" s="2">
        <v>13</v>
      </c>
      <c r="BK4187" s="2" t="s">
        <v>91</v>
      </c>
      <c r="BL4187" s="2" t="s">
        <v>744</v>
      </c>
      <c r="BM4187" s="2">
        <v>13</v>
      </c>
      <c r="BN4187" s="2" t="s">
        <v>91</v>
      </c>
      <c r="BO4187" s="2"/>
      <c r="BP4187" s="2">
        <v>13</v>
      </c>
      <c r="BQ4187" s="2" t="s">
        <v>91</v>
      </c>
      <c r="BR4187" s="2" t="s">
        <v>185</v>
      </c>
      <c r="BS4187" s="3">
        <v>40462</v>
      </c>
      <c r="BT4187" s="4">
        <v>0.71295138888888887</v>
      </c>
    </row>
    <row r="4188" spans="1:72" x14ac:dyDescent="0.25">
      <c r="A4188" s="2">
        <v>6286</v>
      </c>
      <c r="B4188" s="2">
        <v>2010</v>
      </c>
      <c r="C4188" s="2" t="s">
        <v>93</v>
      </c>
      <c r="D4188" s="2" t="s">
        <v>122</v>
      </c>
      <c r="E4188" s="2"/>
      <c r="F4188" s="2">
        <v>689</v>
      </c>
      <c r="G4188" s="2" t="s">
        <v>13113</v>
      </c>
      <c r="H4188" s="2">
        <v>116</v>
      </c>
      <c r="I4188" s="2" t="s">
        <v>7647</v>
      </c>
      <c r="J4188" s="2">
        <v>678</v>
      </c>
      <c r="K4188" s="2" t="s">
        <v>13114</v>
      </c>
      <c r="L4188" s="2" t="s">
        <v>13115</v>
      </c>
      <c r="M4188" s="3">
        <v>40462</v>
      </c>
      <c r="N4188" s="2" t="s">
        <v>13116</v>
      </c>
      <c r="O4188" s="2" t="s">
        <v>13117</v>
      </c>
      <c r="P4188" s="2" t="s">
        <v>13118</v>
      </c>
      <c r="Q4188" s="2" t="str">
        <f>"N/C"</f>
        <v>N/C</v>
      </c>
      <c r="R4188" s="2" t="s">
        <v>82</v>
      </c>
      <c r="S4188" s="2" t="s">
        <v>82</v>
      </c>
      <c r="T4188" s="2">
        <v>1</v>
      </c>
      <c r="U4188" s="2" t="s">
        <v>79</v>
      </c>
      <c r="V4188" s="2">
        <v>1</v>
      </c>
      <c r="W4188" s="2" t="s">
        <v>80</v>
      </c>
      <c r="X4188" s="2">
        <v>1</v>
      </c>
      <c r="Y4188" s="2" t="s">
        <v>81</v>
      </c>
      <c r="Z4188" s="2">
        <v>10</v>
      </c>
      <c r="AA4188" s="2" t="s">
        <v>236</v>
      </c>
      <c r="AB4188" s="2">
        <v>2</v>
      </c>
      <c r="AC4188" s="2" t="s">
        <v>102</v>
      </c>
      <c r="AD4188" s="3">
        <v>40462</v>
      </c>
      <c r="AE4188" s="4">
        <v>0.52083333333333337</v>
      </c>
      <c r="AF4188" s="3">
        <v>40462</v>
      </c>
      <c r="AG4188" s="2"/>
      <c r="AH4188" s="2">
        <v>5</v>
      </c>
      <c r="AI4188" s="2" t="s">
        <v>274</v>
      </c>
      <c r="AJ4188" s="2">
        <v>43</v>
      </c>
      <c r="AK4188" s="2" t="s">
        <v>918</v>
      </c>
      <c r="AL4188" s="2">
        <v>11</v>
      </c>
      <c r="AM4188" s="2" t="s">
        <v>137</v>
      </c>
      <c r="AN4188" s="2" t="s">
        <v>5346</v>
      </c>
      <c r="AO4188" s="2"/>
      <c r="AP4188" s="2">
        <v>11</v>
      </c>
      <c r="AQ4188" s="2" t="s">
        <v>82</v>
      </c>
      <c r="AR4188" s="2" t="s">
        <v>82</v>
      </c>
      <c r="AS4188" s="2" t="s">
        <v>82</v>
      </c>
      <c r="AT4188" s="2" t="s">
        <v>13119</v>
      </c>
      <c r="AU4188" s="2"/>
      <c r="AV4188" s="2"/>
      <c r="AW4188" s="2"/>
      <c r="AX4188" s="2"/>
      <c r="AY4188" s="2">
        <v>41</v>
      </c>
      <c r="AZ4188" s="2" t="s">
        <v>82</v>
      </c>
      <c r="BA4188" s="2">
        <v>41</v>
      </c>
      <c r="BB4188" s="2" t="s">
        <v>82</v>
      </c>
      <c r="BC4188" s="2">
        <v>70</v>
      </c>
      <c r="BD4188" s="2" t="s">
        <v>236</v>
      </c>
      <c r="BE4188" s="2">
        <v>47</v>
      </c>
      <c r="BF4188" s="2" t="s">
        <v>167</v>
      </c>
      <c r="BG4188" s="2">
        <v>2783</v>
      </c>
      <c r="BH4188" s="4">
        <v>0.4201388888888889</v>
      </c>
      <c r="BI4188" s="4">
        <v>0.52777777777777779</v>
      </c>
      <c r="BJ4188" s="2">
        <v>13</v>
      </c>
      <c r="BK4188" s="2" t="s">
        <v>91</v>
      </c>
      <c r="BL4188" s="2" t="s">
        <v>170</v>
      </c>
      <c r="BM4188" s="2">
        <v>13</v>
      </c>
      <c r="BN4188" s="2" t="s">
        <v>91</v>
      </c>
      <c r="BO4188" s="2"/>
      <c r="BP4188" s="2">
        <v>13</v>
      </c>
      <c r="BQ4188" s="2" t="s">
        <v>91</v>
      </c>
      <c r="BR4188" s="2" t="s">
        <v>1467</v>
      </c>
      <c r="BS4188" s="3">
        <v>40462</v>
      </c>
      <c r="BT4188" s="4">
        <v>0.75856481481481486</v>
      </c>
    </row>
    <row r="4189" spans="1:72" x14ac:dyDescent="0.25">
      <c r="A4189" s="2">
        <v>6288</v>
      </c>
      <c r="B4189" s="2">
        <v>2010</v>
      </c>
      <c r="C4189" s="2" t="s">
        <v>171</v>
      </c>
      <c r="D4189" s="2" t="s">
        <v>73</v>
      </c>
      <c r="E4189" s="2"/>
      <c r="F4189" s="2">
        <v>396</v>
      </c>
      <c r="G4189" s="2" t="s">
        <v>2159</v>
      </c>
      <c r="H4189" s="2">
        <v>8</v>
      </c>
      <c r="I4189" s="2" t="s">
        <v>3451</v>
      </c>
      <c r="J4189" s="2">
        <v>243</v>
      </c>
      <c r="K4189" s="2" t="s">
        <v>2160</v>
      </c>
      <c r="L4189" s="2" t="s">
        <v>2145</v>
      </c>
      <c r="M4189" s="3">
        <v>40463</v>
      </c>
      <c r="N4189" s="2" t="s">
        <v>6110</v>
      </c>
      <c r="O4189" s="2"/>
      <c r="P4189" s="2"/>
      <c r="Q4189" s="2" t="str">
        <f>"528-E/10"</f>
        <v>528-E/10</v>
      </c>
      <c r="R4189" s="2" t="s">
        <v>391</v>
      </c>
      <c r="S4189" s="2" t="s">
        <v>391</v>
      </c>
      <c r="T4189" s="2">
        <v>1</v>
      </c>
      <c r="U4189" s="2" t="s">
        <v>79</v>
      </c>
      <c r="V4189" s="2">
        <v>1</v>
      </c>
      <c r="W4189" s="2" t="s">
        <v>80</v>
      </c>
      <c r="X4189" s="2">
        <v>1</v>
      </c>
      <c r="Y4189" s="2" t="s">
        <v>81</v>
      </c>
      <c r="Z4189" s="2">
        <v>1</v>
      </c>
      <c r="AA4189" s="2" t="s">
        <v>82</v>
      </c>
      <c r="AB4189" s="2">
        <v>1</v>
      </c>
      <c r="AC4189" s="2" t="s">
        <v>178</v>
      </c>
      <c r="AD4189" s="3">
        <v>40462</v>
      </c>
      <c r="AE4189" s="4">
        <v>0.69791666666666663</v>
      </c>
      <c r="AF4189" s="3">
        <v>40462</v>
      </c>
      <c r="AG4189" s="4">
        <v>0.81944444444444453</v>
      </c>
      <c r="AH4189" s="2">
        <v>2</v>
      </c>
      <c r="AI4189" s="2" t="s">
        <v>84</v>
      </c>
      <c r="AJ4189" s="2">
        <v>9</v>
      </c>
      <c r="AK4189" s="2" t="s">
        <v>103</v>
      </c>
      <c r="AL4189" s="2">
        <v>25</v>
      </c>
      <c r="AM4189" s="2" t="s">
        <v>3073</v>
      </c>
      <c r="AN4189" s="2" t="s">
        <v>179</v>
      </c>
      <c r="AO4189" s="2" t="s">
        <v>987</v>
      </c>
      <c r="AP4189" s="2">
        <v>11</v>
      </c>
      <c r="AQ4189" s="2" t="s">
        <v>82</v>
      </c>
      <c r="AR4189" s="2"/>
      <c r="AS4189" s="2"/>
      <c r="AT4189" s="2" t="s">
        <v>13120</v>
      </c>
      <c r="AU4189" s="2"/>
      <c r="AV4189" s="2">
        <v>1</v>
      </c>
      <c r="AW4189" s="2"/>
      <c r="AX4189" s="2"/>
      <c r="AY4189" s="2">
        <v>41</v>
      </c>
      <c r="AZ4189" s="2" t="s">
        <v>82</v>
      </c>
      <c r="BA4189" s="2">
        <v>41</v>
      </c>
      <c r="BB4189" s="2" t="s">
        <v>82</v>
      </c>
      <c r="BC4189" s="2">
        <v>41</v>
      </c>
      <c r="BD4189" s="2" t="s">
        <v>82</v>
      </c>
      <c r="BE4189" s="2">
        <v>14</v>
      </c>
      <c r="BF4189" s="2" t="s">
        <v>484</v>
      </c>
      <c r="BG4189" s="2" t="s">
        <v>3450</v>
      </c>
      <c r="BH4189" s="4">
        <v>0.33333333333333331</v>
      </c>
      <c r="BI4189" s="4">
        <v>0.75</v>
      </c>
      <c r="BJ4189" s="2">
        <v>13</v>
      </c>
      <c r="BK4189" s="2" t="s">
        <v>91</v>
      </c>
      <c r="BL4189" s="2" t="s">
        <v>360</v>
      </c>
      <c r="BM4189" s="2">
        <v>82</v>
      </c>
      <c r="BN4189" s="2" t="s">
        <v>487</v>
      </c>
      <c r="BO4189" s="2"/>
      <c r="BP4189" s="2">
        <v>82</v>
      </c>
      <c r="BQ4189" s="2" t="s">
        <v>487</v>
      </c>
      <c r="BR4189" s="2" t="s">
        <v>488</v>
      </c>
      <c r="BS4189" s="3">
        <v>40463</v>
      </c>
      <c r="BT4189" s="4">
        <v>2.8923611111111108E-2</v>
      </c>
    </row>
    <row r="4190" spans="1:72" x14ac:dyDescent="0.25">
      <c r="A4190" s="2">
        <v>6289</v>
      </c>
      <c r="B4190" s="2">
        <v>2010</v>
      </c>
      <c r="C4190" s="2" t="s">
        <v>128</v>
      </c>
      <c r="D4190" s="2" t="s">
        <v>73</v>
      </c>
      <c r="E4190" s="2"/>
      <c r="F4190" s="2">
        <v>389</v>
      </c>
      <c r="G4190" s="2" t="s">
        <v>1819</v>
      </c>
      <c r="H4190" s="2">
        <v>2</v>
      </c>
      <c r="I4190" s="2" t="s">
        <v>267</v>
      </c>
      <c r="J4190" s="2">
        <v>399</v>
      </c>
      <c r="K4190" s="2" t="s">
        <v>1820</v>
      </c>
      <c r="L4190" s="2" t="s">
        <v>1821</v>
      </c>
      <c r="M4190" s="3">
        <v>40463</v>
      </c>
      <c r="N4190" s="2" t="s">
        <v>5653</v>
      </c>
      <c r="O4190" s="2" t="s">
        <v>107</v>
      </c>
      <c r="P4190" s="2" t="s">
        <v>107</v>
      </c>
      <c r="Q4190" s="2" t="str">
        <f>"529-E10"</f>
        <v>529-E10</v>
      </c>
      <c r="R4190" s="2" t="s">
        <v>480</v>
      </c>
      <c r="S4190" s="2" t="s">
        <v>480</v>
      </c>
      <c r="T4190" s="2">
        <v>1</v>
      </c>
      <c r="U4190" s="2" t="s">
        <v>79</v>
      </c>
      <c r="V4190" s="2">
        <v>1</v>
      </c>
      <c r="W4190" s="2" t="s">
        <v>80</v>
      </c>
      <c r="X4190" s="2">
        <v>1</v>
      </c>
      <c r="Y4190" s="2" t="s">
        <v>81</v>
      </c>
      <c r="Z4190" s="2">
        <v>1</v>
      </c>
      <c r="AA4190" s="2" t="s">
        <v>82</v>
      </c>
      <c r="AB4190" s="2">
        <v>9</v>
      </c>
      <c r="AC4190" s="2" t="s">
        <v>124</v>
      </c>
      <c r="AD4190" s="3">
        <v>40462</v>
      </c>
      <c r="AE4190" s="4">
        <v>0.93055555555555547</v>
      </c>
      <c r="AF4190" s="3">
        <v>40463</v>
      </c>
      <c r="AG4190" s="4">
        <v>8.3333333333333329E-2</v>
      </c>
      <c r="AH4190" s="2">
        <v>2</v>
      </c>
      <c r="AI4190" s="2" t="s">
        <v>84</v>
      </c>
      <c r="AJ4190" s="2">
        <v>9</v>
      </c>
      <c r="AK4190" s="2" t="s">
        <v>103</v>
      </c>
      <c r="AL4190" s="2">
        <v>16</v>
      </c>
      <c r="AM4190" s="2" t="s">
        <v>392</v>
      </c>
      <c r="AN4190" s="2" t="s">
        <v>13121</v>
      </c>
      <c r="AO4190" s="2"/>
      <c r="AP4190" s="2">
        <v>11</v>
      </c>
      <c r="AQ4190" s="2" t="s">
        <v>82</v>
      </c>
      <c r="AR4190" s="2"/>
      <c r="AS4190" s="2"/>
      <c r="AT4190" s="2" t="s">
        <v>13122</v>
      </c>
      <c r="AU4190" s="2"/>
      <c r="AV4190" s="2"/>
      <c r="AW4190" s="2"/>
      <c r="AX4190" s="2"/>
      <c r="AY4190" s="2">
        <v>41</v>
      </c>
      <c r="AZ4190" s="2" t="s">
        <v>82</v>
      </c>
      <c r="BA4190" s="2">
        <v>41</v>
      </c>
      <c r="BB4190" s="2" t="s">
        <v>82</v>
      </c>
      <c r="BC4190" s="2">
        <v>41</v>
      </c>
      <c r="BD4190" s="2" t="s">
        <v>82</v>
      </c>
      <c r="BE4190" s="2">
        <v>41</v>
      </c>
      <c r="BF4190" s="2" t="s">
        <v>82</v>
      </c>
      <c r="BG4190" s="2"/>
      <c r="BH4190" s="2"/>
      <c r="BI4190" s="2"/>
      <c r="BJ4190" s="2">
        <v>241</v>
      </c>
      <c r="BK4190" s="2" t="s">
        <v>82</v>
      </c>
      <c r="BL4190" s="2"/>
      <c r="BM4190" s="2">
        <v>241</v>
      </c>
      <c r="BN4190" s="2" t="s">
        <v>82</v>
      </c>
      <c r="BO4190" s="2"/>
      <c r="BP4190" s="2">
        <v>241</v>
      </c>
      <c r="BQ4190" s="2" t="s">
        <v>82</v>
      </c>
      <c r="BR4190" s="2"/>
      <c r="BS4190" s="3">
        <v>40463</v>
      </c>
      <c r="BT4190" s="4">
        <v>0.20671296296296296</v>
      </c>
    </row>
    <row r="4191" spans="1:72" x14ac:dyDescent="0.25">
      <c r="A4191" s="2">
        <v>6290</v>
      </c>
      <c r="B4191" s="2">
        <v>2010</v>
      </c>
      <c r="C4191" s="2" t="s">
        <v>93</v>
      </c>
      <c r="D4191" s="2" t="s">
        <v>73</v>
      </c>
      <c r="E4191" s="2"/>
      <c r="F4191" s="2">
        <v>410</v>
      </c>
      <c r="G4191" s="2" t="s">
        <v>13123</v>
      </c>
      <c r="H4191" s="2">
        <v>108</v>
      </c>
      <c r="I4191" s="2" t="s">
        <v>1096</v>
      </c>
      <c r="J4191" s="2">
        <v>679</v>
      </c>
      <c r="K4191" s="2" t="s">
        <v>13124</v>
      </c>
      <c r="L4191" s="2" t="s">
        <v>1692</v>
      </c>
      <c r="M4191" s="3">
        <v>40463</v>
      </c>
      <c r="N4191" s="2" t="s">
        <v>107</v>
      </c>
      <c r="O4191" s="2" t="s">
        <v>13125</v>
      </c>
      <c r="P4191" s="2">
        <v>91306</v>
      </c>
      <c r="Q4191" s="2" t="str">
        <f>""</f>
        <v/>
      </c>
      <c r="R4191" s="2"/>
      <c r="S4191" s="2"/>
      <c r="T4191" s="2">
        <v>1</v>
      </c>
      <c r="U4191" s="2" t="s">
        <v>79</v>
      </c>
      <c r="V4191" s="2">
        <v>1</v>
      </c>
      <c r="W4191" s="2" t="s">
        <v>80</v>
      </c>
      <c r="X4191" s="2">
        <v>10</v>
      </c>
      <c r="Y4191" s="2" t="s">
        <v>226</v>
      </c>
      <c r="Z4191" s="2">
        <v>6</v>
      </c>
      <c r="AA4191" s="2" t="s">
        <v>101</v>
      </c>
      <c r="AB4191" s="2">
        <v>2</v>
      </c>
      <c r="AC4191" s="2" t="s">
        <v>102</v>
      </c>
      <c r="AD4191" s="3">
        <v>40462</v>
      </c>
      <c r="AE4191" s="4">
        <v>0.93055555555555547</v>
      </c>
      <c r="AF4191" s="2"/>
      <c r="AG4191" s="2"/>
      <c r="AH4191" s="2">
        <v>2</v>
      </c>
      <c r="AI4191" s="2" t="s">
        <v>84</v>
      </c>
      <c r="AJ4191" s="2">
        <v>9</v>
      </c>
      <c r="AK4191" s="2" t="s">
        <v>103</v>
      </c>
      <c r="AL4191" s="2">
        <v>15</v>
      </c>
      <c r="AM4191" s="2" t="s">
        <v>104</v>
      </c>
      <c r="AN4191" s="2" t="s">
        <v>13126</v>
      </c>
      <c r="AO4191" s="2"/>
      <c r="AP4191" s="2">
        <v>11</v>
      </c>
      <c r="AQ4191" s="2" t="s">
        <v>82</v>
      </c>
      <c r="AR4191" s="2"/>
      <c r="AS4191" s="2"/>
      <c r="AT4191" s="2" t="s">
        <v>13127</v>
      </c>
      <c r="AU4191" s="2">
        <v>1</v>
      </c>
      <c r="AV4191" s="2"/>
      <c r="AW4191" s="2"/>
      <c r="AX4191" s="2"/>
      <c r="AY4191" s="2">
        <v>41</v>
      </c>
      <c r="AZ4191" s="2" t="s">
        <v>82</v>
      </c>
      <c r="BA4191" s="2">
        <v>41</v>
      </c>
      <c r="BB4191" s="2" t="s">
        <v>82</v>
      </c>
      <c r="BC4191" s="2">
        <v>41</v>
      </c>
      <c r="BD4191" s="2" t="s">
        <v>82</v>
      </c>
      <c r="BE4191" s="2">
        <v>13</v>
      </c>
      <c r="BF4191" s="2" t="s">
        <v>108</v>
      </c>
      <c r="BG4191" s="2" t="s">
        <v>6477</v>
      </c>
      <c r="BH4191" s="2"/>
      <c r="BI4191" s="2"/>
      <c r="BJ4191" s="2">
        <v>13</v>
      </c>
      <c r="BK4191" s="2" t="s">
        <v>91</v>
      </c>
      <c r="BL4191" s="2" t="s">
        <v>185</v>
      </c>
      <c r="BM4191" s="2">
        <v>242</v>
      </c>
      <c r="BN4191" s="2" t="s">
        <v>107</v>
      </c>
      <c r="BO4191" s="2"/>
      <c r="BP4191" s="2">
        <v>242</v>
      </c>
      <c r="BQ4191" s="2" t="s">
        <v>107</v>
      </c>
      <c r="BR4191" s="2" t="s">
        <v>107</v>
      </c>
      <c r="BS4191" s="3">
        <v>40463</v>
      </c>
      <c r="BT4191" s="4">
        <v>0.31607638888888889</v>
      </c>
    </row>
    <row r="4192" spans="1:72" x14ac:dyDescent="0.25">
      <c r="A4192" s="2">
        <v>6291</v>
      </c>
      <c r="B4192" s="2">
        <v>2010</v>
      </c>
      <c r="C4192" s="2" t="s">
        <v>4543</v>
      </c>
      <c r="D4192" s="2" t="s">
        <v>122</v>
      </c>
      <c r="E4192" s="2"/>
      <c r="F4192" s="2">
        <v>1</v>
      </c>
      <c r="G4192" s="2" t="s">
        <v>82</v>
      </c>
      <c r="H4192" s="2">
        <v>1</v>
      </c>
      <c r="I4192" s="2" t="s">
        <v>82</v>
      </c>
      <c r="J4192" s="2">
        <v>1</v>
      </c>
      <c r="K4192" s="2" t="s">
        <v>107</v>
      </c>
      <c r="L4192" s="2" t="s">
        <v>107</v>
      </c>
      <c r="M4192" s="3">
        <v>40463</v>
      </c>
      <c r="N4192" s="2"/>
      <c r="O4192" s="2"/>
      <c r="P4192" s="2"/>
      <c r="Q4192" s="2" t="str">
        <f>""</f>
        <v/>
      </c>
      <c r="R4192" s="2"/>
      <c r="S4192" s="2"/>
      <c r="T4192" s="2">
        <v>2</v>
      </c>
      <c r="U4192" s="2" t="s">
        <v>123</v>
      </c>
      <c r="V4192" s="2">
        <v>1</v>
      </c>
      <c r="W4192" s="2" t="s">
        <v>80</v>
      </c>
      <c r="X4192" s="2">
        <v>11</v>
      </c>
      <c r="Y4192" s="2" t="s">
        <v>1920</v>
      </c>
      <c r="Z4192" s="2">
        <v>1</v>
      </c>
      <c r="AA4192" s="2" t="s">
        <v>82</v>
      </c>
      <c r="AB4192" s="2">
        <v>9</v>
      </c>
      <c r="AC4192" s="2" t="s">
        <v>124</v>
      </c>
      <c r="AD4192" s="3">
        <v>40463</v>
      </c>
      <c r="AE4192" s="4">
        <v>0.33680555555555558</v>
      </c>
      <c r="AF4192" s="2"/>
      <c r="AG4192" s="2"/>
      <c r="AH4192" s="2">
        <v>6</v>
      </c>
      <c r="AI4192" s="2" t="s">
        <v>197</v>
      </c>
      <c r="AJ4192" s="2">
        <v>54</v>
      </c>
      <c r="AK4192" s="2" t="s">
        <v>348</v>
      </c>
      <c r="AL4192" s="2">
        <v>19</v>
      </c>
      <c r="AM4192" s="2" t="s">
        <v>107</v>
      </c>
      <c r="AN4192" s="2" t="s">
        <v>595</v>
      </c>
      <c r="AO4192" s="2" t="s">
        <v>200</v>
      </c>
      <c r="AP4192" s="2">
        <v>14</v>
      </c>
      <c r="AQ4192" s="2" t="s">
        <v>3301</v>
      </c>
      <c r="AR4192" s="2" t="s">
        <v>596</v>
      </c>
      <c r="AS4192" s="2" t="s">
        <v>596</v>
      </c>
      <c r="AT4192" s="2" t="s">
        <v>13128</v>
      </c>
      <c r="AU4192" s="2"/>
      <c r="AV4192" s="2"/>
      <c r="AW4192" s="2"/>
      <c r="AX4192" s="2"/>
      <c r="AY4192" s="2">
        <v>41</v>
      </c>
      <c r="AZ4192" s="2" t="s">
        <v>82</v>
      </c>
      <c r="BA4192" s="2">
        <v>41</v>
      </c>
      <c r="BB4192" s="2" t="s">
        <v>82</v>
      </c>
      <c r="BC4192" s="2">
        <v>41</v>
      </c>
      <c r="BD4192" s="2" t="s">
        <v>82</v>
      </c>
      <c r="BE4192" s="2">
        <v>4</v>
      </c>
      <c r="BF4192" s="2" t="s">
        <v>90</v>
      </c>
      <c r="BG4192" s="2" t="s">
        <v>598</v>
      </c>
      <c r="BH4192" s="4">
        <v>6.5277777777777782E-2</v>
      </c>
      <c r="BI4192" s="4">
        <v>0.15625</v>
      </c>
      <c r="BJ4192" s="2">
        <v>13</v>
      </c>
      <c r="BK4192" s="2" t="s">
        <v>91</v>
      </c>
      <c r="BL4192" s="2" t="s">
        <v>2764</v>
      </c>
      <c r="BM4192" s="2">
        <v>13</v>
      </c>
      <c r="BN4192" s="2" t="s">
        <v>91</v>
      </c>
      <c r="BO4192" s="2"/>
      <c r="BP4192" s="2">
        <v>13</v>
      </c>
      <c r="BQ4192" s="2" t="s">
        <v>91</v>
      </c>
      <c r="BR4192" s="2" t="s">
        <v>2168</v>
      </c>
      <c r="BS4192" s="3">
        <v>40463</v>
      </c>
      <c r="BT4192" s="4">
        <v>0.35575231481481479</v>
      </c>
    </row>
    <row r="4193" spans="1:72" x14ac:dyDescent="0.25">
      <c r="A4193" s="2">
        <v>6292</v>
      </c>
      <c r="B4193" s="2">
        <v>2010</v>
      </c>
      <c r="C4193" s="2" t="s">
        <v>72</v>
      </c>
      <c r="D4193" s="2" t="s">
        <v>73</v>
      </c>
      <c r="E4193" s="2"/>
      <c r="F4193" s="2">
        <v>188</v>
      </c>
      <c r="G4193" s="2" t="s">
        <v>11384</v>
      </c>
      <c r="H4193" s="2">
        <v>22</v>
      </c>
      <c r="I4193" s="2" t="s">
        <v>75</v>
      </c>
      <c r="J4193" s="2">
        <v>671</v>
      </c>
      <c r="K4193" s="2" t="s">
        <v>12737</v>
      </c>
      <c r="L4193" s="2" t="s">
        <v>12738</v>
      </c>
      <c r="M4193" s="3">
        <v>40463</v>
      </c>
      <c r="N4193" s="2" t="s">
        <v>12739</v>
      </c>
      <c r="O4193" s="2"/>
      <c r="P4193" s="2"/>
      <c r="Q4193" s="2" t="str">
        <f>"403-A/10"</f>
        <v>403-A/10</v>
      </c>
      <c r="R4193" s="2" t="s">
        <v>601</v>
      </c>
      <c r="S4193" s="2" t="s">
        <v>601</v>
      </c>
      <c r="T4193" s="2">
        <v>1</v>
      </c>
      <c r="U4193" s="2" t="s">
        <v>79</v>
      </c>
      <c r="V4193" s="2">
        <v>1</v>
      </c>
      <c r="W4193" s="2" t="s">
        <v>80</v>
      </c>
      <c r="X4193" s="2">
        <v>12</v>
      </c>
      <c r="Y4193" s="2" t="s">
        <v>148</v>
      </c>
      <c r="Z4193" s="2">
        <v>1</v>
      </c>
      <c r="AA4193" s="2" t="s">
        <v>82</v>
      </c>
      <c r="AB4193" s="2">
        <v>6</v>
      </c>
      <c r="AC4193" s="2" t="s">
        <v>83</v>
      </c>
      <c r="AD4193" s="3">
        <v>40462</v>
      </c>
      <c r="AE4193" s="2"/>
      <c r="AF4193" s="3">
        <v>40463</v>
      </c>
      <c r="AG4193" s="4">
        <v>0.27430555555555552</v>
      </c>
      <c r="AH4193" s="2">
        <v>2</v>
      </c>
      <c r="AI4193" s="2" t="s">
        <v>84</v>
      </c>
      <c r="AJ4193" s="2">
        <v>12</v>
      </c>
      <c r="AK4193" s="2" t="s">
        <v>85</v>
      </c>
      <c r="AL4193" s="2">
        <v>9</v>
      </c>
      <c r="AM4193" s="2" t="s">
        <v>259</v>
      </c>
      <c r="AN4193" s="2"/>
      <c r="AO4193" s="2" t="s">
        <v>13129</v>
      </c>
      <c r="AP4193" s="2">
        <v>11</v>
      </c>
      <c r="AQ4193" s="2" t="s">
        <v>82</v>
      </c>
      <c r="AR4193" s="2"/>
      <c r="AS4193" s="2"/>
      <c r="AT4193" s="2" t="s">
        <v>13130</v>
      </c>
      <c r="AU4193" s="2"/>
      <c r="AV4193" s="2"/>
      <c r="AW4193" s="2"/>
      <c r="AX4193" s="2"/>
      <c r="AY4193" s="2">
        <v>41</v>
      </c>
      <c r="AZ4193" s="2" t="s">
        <v>82</v>
      </c>
      <c r="BA4193" s="2">
        <v>41</v>
      </c>
      <c r="BB4193" s="2" t="s">
        <v>82</v>
      </c>
      <c r="BC4193" s="2">
        <v>41</v>
      </c>
      <c r="BD4193" s="2" t="s">
        <v>82</v>
      </c>
      <c r="BE4193" s="2">
        <v>41</v>
      </c>
      <c r="BF4193" s="2" t="s">
        <v>82</v>
      </c>
      <c r="BG4193" s="2"/>
      <c r="BH4193" s="2"/>
      <c r="BI4193" s="2"/>
      <c r="BJ4193" s="2">
        <v>241</v>
      </c>
      <c r="BK4193" s="2" t="s">
        <v>82</v>
      </c>
      <c r="BL4193" s="2"/>
      <c r="BM4193" s="2">
        <v>241</v>
      </c>
      <c r="BN4193" s="2" t="s">
        <v>82</v>
      </c>
      <c r="BO4193" s="2"/>
      <c r="BP4193" s="2">
        <v>241</v>
      </c>
      <c r="BQ4193" s="2" t="s">
        <v>82</v>
      </c>
      <c r="BR4193" s="2"/>
      <c r="BS4193" s="3">
        <v>40463</v>
      </c>
      <c r="BT4193" s="4">
        <v>0.36901620370370369</v>
      </c>
    </row>
    <row r="4194" spans="1:72" x14ac:dyDescent="0.25">
      <c r="A4194" s="2">
        <v>6293</v>
      </c>
      <c r="B4194" s="2">
        <v>2010</v>
      </c>
      <c r="C4194" s="2" t="s">
        <v>4543</v>
      </c>
      <c r="D4194" s="2" t="s">
        <v>122</v>
      </c>
      <c r="E4194" s="2"/>
      <c r="F4194" s="2">
        <v>1</v>
      </c>
      <c r="G4194" s="2" t="s">
        <v>82</v>
      </c>
      <c r="H4194" s="2">
        <v>1</v>
      </c>
      <c r="I4194" s="2" t="s">
        <v>82</v>
      </c>
      <c r="J4194" s="2">
        <v>1</v>
      </c>
      <c r="K4194" s="2" t="s">
        <v>107</v>
      </c>
      <c r="L4194" s="2" t="s">
        <v>107</v>
      </c>
      <c r="M4194" s="3">
        <v>40463</v>
      </c>
      <c r="N4194" s="2"/>
      <c r="O4194" s="2"/>
      <c r="P4194" s="2"/>
      <c r="Q4194" s="2" t="str">
        <f>""</f>
        <v/>
      </c>
      <c r="R4194" s="2"/>
      <c r="S4194" s="2"/>
      <c r="T4194" s="2">
        <v>2</v>
      </c>
      <c r="U4194" s="2" t="s">
        <v>123</v>
      </c>
      <c r="V4194" s="2">
        <v>1</v>
      </c>
      <c r="W4194" s="2" t="s">
        <v>80</v>
      </c>
      <c r="X4194" s="2">
        <v>11</v>
      </c>
      <c r="Y4194" s="2" t="s">
        <v>1920</v>
      </c>
      <c r="Z4194" s="2">
        <v>1</v>
      </c>
      <c r="AA4194" s="2" t="s">
        <v>82</v>
      </c>
      <c r="AB4194" s="2">
        <v>9</v>
      </c>
      <c r="AC4194" s="2" t="s">
        <v>124</v>
      </c>
      <c r="AD4194" s="3">
        <v>40463</v>
      </c>
      <c r="AE4194" s="4">
        <v>0.34722222222222227</v>
      </c>
      <c r="AF4194" s="2"/>
      <c r="AG4194" s="2"/>
      <c r="AH4194" s="2">
        <v>6</v>
      </c>
      <c r="AI4194" s="2" t="s">
        <v>197</v>
      </c>
      <c r="AJ4194" s="2">
        <v>54</v>
      </c>
      <c r="AK4194" s="2" t="s">
        <v>348</v>
      </c>
      <c r="AL4194" s="2">
        <v>19</v>
      </c>
      <c r="AM4194" s="2" t="s">
        <v>107</v>
      </c>
      <c r="AN4194" s="2" t="s">
        <v>595</v>
      </c>
      <c r="AO4194" s="2" t="s">
        <v>200</v>
      </c>
      <c r="AP4194" s="2">
        <v>12</v>
      </c>
      <c r="AQ4194" s="2" t="s">
        <v>322</v>
      </c>
      <c r="AR4194" s="2" t="s">
        <v>596</v>
      </c>
      <c r="AS4194" s="2" t="s">
        <v>596</v>
      </c>
      <c r="AT4194" s="2" t="s">
        <v>13131</v>
      </c>
      <c r="AU4194" s="2"/>
      <c r="AV4194" s="2"/>
      <c r="AW4194" s="2"/>
      <c r="AX4194" s="2"/>
      <c r="AY4194" s="2">
        <v>41</v>
      </c>
      <c r="AZ4194" s="2" t="s">
        <v>82</v>
      </c>
      <c r="BA4194" s="2">
        <v>41</v>
      </c>
      <c r="BB4194" s="2" t="s">
        <v>82</v>
      </c>
      <c r="BC4194" s="2">
        <v>41</v>
      </c>
      <c r="BD4194" s="2" t="s">
        <v>82</v>
      </c>
      <c r="BE4194" s="2">
        <v>47</v>
      </c>
      <c r="BF4194" s="2" t="s">
        <v>167</v>
      </c>
      <c r="BG4194" s="2" t="s">
        <v>1165</v>
      </c>
      <c r="BH4194" s="4">
        <v>1.3888888888888889E-3</v>
      </c>
      <c r="BI4194" s="4">
        <v>0.34722222222222227</v>
      </c>
      <c r="BJ4194" s="2">
        <v>13</v>
      </c>
      <c r="BK4194" s="2" t="s">
        <v>91</v>
      </c>
      <c r="BL4194" s="2" t="s">
        <v>2764</v>
      </c>
      <c r="BM4194" s="2">
        <v>13</v>
      </c>
      <c r="BN4194" s="2" t="s">
        <v>91</v>
      </c>
      <c r="BO4194" s="2"/>
      <c r="BP4194" s="2">
        <v>13</v>
      </c>
      <c r="BQ4194" s="2" t="s">
        <v>91</v>
      </c>
      <c r="BR4194" s="2" t="s">
        <v>2168</v>
      </c>
      <c r="BS4194" s="3">
        <v>40463</v>
      </c>
      <c r="BT4194" s="4">
        <v>0.37718750000000001</v>
      </c>
    </row>
    <row r="4195" spans="1:72" x14ac:dyDescent="0.25">
      <c r="A4195" s="2">
        <v>6294</v>
      </c>
      <c r="B4195" s="2">
        <v>2010</v>
      </c>
      <c r="C4195" s="2" t="s">
        <v>385</v>
      </c>
      <c r="D4195" s="2" t="s">
        <v>122</v>
      </c>
      <c r="E4195" s="2" t="s">
        <v>13132</v>
      </c>
      <c r="F4195" s="2">
        <v>396</v>
      </c>
      <c r="G4195" s="2" t="s">
        <v>2159</v>
      </c>
      <c r="H4195" s="2">
        <v>8</v>
      </c>
      <c r="I4195" s="2" t="s">
        <v>3451</v>
      </c>
      <c r="J4195" s="2">
        <v>243</v>
      </c>
      <c r="K4195" s="2" t="s">
        <v>2160</v>
      </c>
      <c r="L4195" s="2" t="s">
        <v>2145</v>
      </c>
      <c r="M4195" s="3">
        <v>40463</v>
      </c>
      <c r="N4195" s="2" t="s">
        <v>6110</v>
      </c>
      <c r="O4195" s="2"/>
      <c r="P4195" s="2"/>
      <c r="Q4195" s="2" t="str">
        <f>"528-E/10"</f>
        <v>528-E/10</v>
      </c>
      <c r="R4195" s="2" t="s">
        <v>391</v>
      </c>
      <c r="S4195" s="2"/>
      <c r="T4195" s="2">
        <v>1</v>
      </c>
      <c r="U4195" s="2" t="s">
        <v>79</v>
      </c>
      <c r="V4195" s="2">
        <v>1</v>
      </c>
      <c r="W4195" s="2" t="s">
        <v>80</v>
      </c>
      <c r="X4195" s="2">
        <v>1</v>
      </c>
      <c r="Y4195" s="2" t="s">
        <v>81</v>
      </c>
      <c r="Z4195" s="2">
        <v>1</v>
      </c>
      <c r="AA4195" s="2" t="s">
        <v>82</v>
      </c>
      <c r="AB4195" s="2">
        <v>9</v>
      </c>
      <c r="AC4195" s="2" t="s">
        <v>124</v>
      </c>
      <c r="AD4195" s="3">
        <v>40463</v>
      </c>
      <c r="AE4195" s="4">
        <v>0.32291666666666669</v>
      </c>
      <c r="AF4195" s="2"/>
      <c r="AG4195" s="2"/>
      <c r="AH4195" s="2">
        <v>2</v>
      </c>
      <c r="AI4195" s="2" t="s">
        <v>84</v>
      </c>
      <c r="AJ4195" s="2">
        <v>9</v>
      </c>
      <c r="AK4195" s="2" t="s">
        <v>103</v>
      </c>
      <c r="AL4195" s="2">
        <v>22</v>
      </c>
      <c r="AM4195" s="2" t="s">
        <v>1853</v>
      </c>
      <c r="AN4195" s="2" t="s">
        <v>13133</v>
      </c>
      <c r="AO4195" s="2"/>
      <c r="AP4195" s="2">
        <v>11</v>
      </c>
      <c r="AQ4195" s="2" t="s">
        <v>82</v>
      </c>
      <c r="AR4195" s="2"/>
      <c r="AS4195" s="2"/>
      <c r="AT4195" s="2" t="s">
        <v>13134</v>
      </c>
      <c r="AU4195" s="2"/>
      <c r="AV4195" s="2">
        <v>1</v>
      </c>
      <c r="AW4195" s="2"/>
      <c r="AX4195" s="2"/>
      <c r="AY4195" s="2">
        <v>42</v>
      </c>
      <c r="AZ4195" s="2" t="s">
        <v>182</v>
      </c>
      <c r="BA4195" s="2">
        <v>41</v>
      </c>
      <c r="BB4195" s="2" t="s">
        <v>82</v>
      </c>
      <c r="BC4195" s="2">
        <v>41</v>
      </c>
      <c r="BD4195" s="2" t="s">
        <v>82</v>
      </c>
      <c r="BE4195" s="2">
        <v>14</v>
      </c>
      <c r="BF4195" s="2" t="s">
        <v>484</v>
      </c>
      <c r="BG4195" s="2" t="s">
        <v>3450</v>
      </c>
      <c r="BH4195" s="4">
        <v>0.33333333333333331</v>
      </c>
      <c r="BI4195" s="4">
        <v>0.75</v>
      </c>
      <c r="BJ4195" s="2">
        <v>13</v>
      </c>
      <c r="BK4195" s="2" t="s">
        <v>91</v>
      </c>
      <c r="BL4195" s="2" t="s">
        <v>360</v>
      </c>
      <c r="BM4195" s="2">
        <v>82</v>
      </c>
      <c r="BN4195" s="2" t="s">
        <v>487</v>
      </c>
      <c r="BO4195" s="2"/>
      <c r="BP4195" s="2">
        <v>73</v>
      </c>
      <c r="BQ4195" s="2" t="s">
        <v>186</v>
      </c>
      <c r="BR4195" s="2" t="s">
        <v>2600</v>
      </c>
      <c r="BS4195" s="3">
        <v>40463</v>
      </c>
      <c r="BT4195" s="4">
        <v>0.38822916666666668</v>
      </c>
    </row>
    <row r="4196" spans="1:72" x14ac:dyDescent="0.25">
      <c r="A4196" s="2">
        <v>6298</v>
      </c>
      <c r="B4196" s="2">
        <v>2010</v>
      </c>
      <c r="C4196" s="2" t="s">
        <v>4543</v>
      </c>
      <c r="D4196" s="2" t="s">
        <v>122</v>
      </c>
      <c r="E4196" s="2"/>
      <c r="F4196" s="2">
        <v>1</v>
      </c>
      <c r="G4196" s="2" t="s">
        <v>82</v>
      </c>
      <c r="H4196" s="2">
        <v>1</v>
      </c>
      <c r="I4196" s="2" t="s">
        <v>82</v>
      </c>
      <c r="J4196" s="2">
        <v>1</v>
      </c>
      <c r="K4196" s="2" t="s">
        <v>107</v>
      </c>
      <c r="L4196" s="2" t="s">
        <v>107</v>
      </c>
      <c r="M4196" s="3">
        <v>40463</v>
      </c>
      <c r="N4196" s="2"/>
      <c r="O4196" s="2"/>
      <c r="P4196" s="2"/>
      <c r="Q4196" s="2" t="str">
        <f>""</f>
        <v/>
      </c>
      <c r="R4196" s="2"/>
      <c r="S4196" s="2"/>
      <c r="T4196" s="2">
        <v>2</v>
      </c>
      <c r="U4196" s="2" t="s">
        <v>123</v>
      </c>
      <c r="V4196" s="2">
        <v>1</v>
      </c>
      <c r="W4196" s="2" t="s">
        <v>80</v>
      </c>
      <c r="X4196" s="2">
        <v>11</v>
      </c>
      <c r="Y4196" s="2" t="s">
        <v>1920</v>
      </c>
      <c r="Z4196" s="2">
        <v>1</v>
      </c>
      <c r="AA4196" s="2" t="s">
        <v>82</v>
      </c>
      <c r="AB4196" s="2">
        <v>9</v>
      </c>
      <c r="AC4196" s="2" t="s">
        <v>124</v>
      </c>
      <c r="AD4196" s="3">
        <v>40463</v>
      </c>
      <c r="AE4196" s="4">
        <v>0.4826388888888889</v>
      </c>
      <c r="AF4196" s="2"/>
      <c r="AG4196" s="2"/>
      <c r="AH4196" s="2">
        <v>6</v>
      </c>
      <c r="AI4196" s="2" t="s">
        <v>197</v>
      </c>
      <c r="AJ4196" s="2">
        <v>54</v>
      </c>
      <c r="AK4196" s="2" t="s">
        <v>348</v>
      </c>
      <c r="AL4196" s="2">
        <v>19</v>
      </c>
      <c r="AM4196" s="2" t="s">
        <v>107</v>
      </c>
      <c r="AN4196" s="2" t="s">
        <v>595</v>
      </c>
      <c r="AO4196" s="2" t="s">
        <v>200</v>
      </c>
      <c r="AP4196" s="2">
        <v>12</v>
      </c>
      <c r="AQ4196" s="2" t="s">
        <v>322</v>
      </c>
      <c r="AR4196" s="2" t="s">
        <v>596</v>
      </c>
      <c r="AS4196" s="2" t="s">
        <v>596</v>
      </c>
      <c r="AT4196" s="2" t="s">
        <v>13135</v>
      </c>
      <c r="AU4196" s="2"/>
      <c r="AV4196" s="2"/>
      <c r="AW4196" s="2"/>
      <c r="AX4196" s="2"/>
      <c r="AY4196" s="2">
        <v>41</v>
      </c>
      <c r="AZ4196" s="2" t="s">
        <v>82</v>
      </c>
      <c r="BA4196" s="2">
        <v>41</v>
      </c>
      <c r="BB4196" s="2" t="s">
        <v>82</v>
      </c>
      <c r="BC4196" s="2">
        <v>41</v>
      </c>
      <c r="BD4196" s="2" t="s">
        <v>82</v>
      </c>
      <c r="BE4196" s="2">
        <v>47</v>
      </c>
      <c r="BF4196" s="2" t="s">
        <v>167</v>
      </c>
      <c r="BG4196" s="2" t="s">
        <v>4192</v>
      </c>
      <c r="BH4196" s="4">
        <v>0.43263888888888885</v>
      </c>
      <c r="BI4196" s="4">
        <v>0.47916666666666669</v>
      </c>
      <c r="BJ4196" s="2">
        <v>13</v>
      </c>
      <c r="BK4196" s="2" t="s">
        <v>91</v>
      </c>
      <c r="BL4196" s="2" t="s">
        <v>2764</v>
      </c>
      <c r="BM4196" s="2">
        <v>13</v>
      </c>
      <c r="BN4196" s="2" t="s">
        <v>91</v>
      </c>
      <c r="BO4196" s="2"/>
      <c r="BP4196" s="2">
        <v>13</v>
      </c>
      <c r="BQ4196" s="2" t="s">
        <v>91</v>
      </c>
      <c r="BR4196" s="2" t="s">
        <v>2168</v>
      </c>
      <c r="BS4196" s="3">
        <v>40463</v>
      </c>
      <c r="BT4196" s="4">
        <v>0.52563657407407405</v>
      </c>
    </row>
    <row r="4197" spans="1:72" x14ac:dyDescent="0.25">
      <c r="A4197" s="2">
        <v>6301</v>
      </c>
      <c r="B4197" s="2">
        <v>2010</v>
      </c>
      <c r="C4197" s="2" t="s">
        <v>4543</v>
      </c>
      <c r="D4197" s="2" t="s">
        <v>122</v>
      </c>
      <c r="E4197" s="2"/>
      <c r="F4197" s="2">
        <v>146</v>
      </c>
      <c r="G4197" s="2" t="s">
        <v>753</v>
      </c>
      <c r="H4197" s="2">
        <v>122</v>
      </c>
      <c r="I4197" s="2" t="s">
        <v>8431</v>
      </c>
      <c r="J4197" s="2">
        <v>161</v>
      </c>
      <c r="K4197" s="2" t="s">
        <v>1900</v>
      </c>
      <c r="L4197" s="2" t="s">
        <v>1901</v>
      </c>
      <c r="M4197" s="3">
        <v>40463</v>
      </c>
      <c r="N4197" s="2" t="s">
        <v>756</v>
      </c>
      <c r="O4197" s="2" t="s">
        <v>13136</v>
      </c>
      <c r="P4197" s="2">
        <v>2585</v>
      </c>
      <c r="Q4197" s="2" t="str">
        <f>"S/D"</f>
        <v>S/D</v>
      </c>
      <c r="R4197" s="2" t="s">
        <v>107</v>
      </c>
      <c r="S4197" s="2" t="s">
        <v>107</v>
      </c>
      <c r="T4197" s="2">
        <v>2</v>
      </c>
      <c r="U4197" s="2" t="s">
        <v>123</v>
      </c>
      <c r="V4197" s="2">
        <v>1</v>
      </c>
      <c r="W4197" s="2" t="s">
        <v>80</v>
      </c>
      <c r="X4197" s="2">
        <v>5</v>
      </c>
      <c r="Y4197" s="2" t="s">
        <v>82</v>
      </c>
      <c r="Z4197" s="2">
        <v>1</v>
      </c>
      <c r="AA4197" s="2" t="s">
        <v>82</v>
      </c>
      <c r="AB4197" s="2">
        <v>9</v>
      </c>
      <c r="AC4197" s="2" t="s">
        <v>124</v>
      </c>
      <c r="AD4197" s="3">
        <v>40463</v>
      </c>
      <c r="AE4197" s="4">
        <v>0.51041666666666663</v>
      </c>
      <c r="AF4197" s="2"/>
      <c r="AG4197" s="2"/>
      <c r="AH4197" s="2">
        <v>6</v>
      </c>
      <c r="AI4197" s="2" t="s">
        <v>197</v>
      </c>
      <c r="AJ4197" s="2">
        <v>54</v>
      </c>
      <c r="AK4197" s="2" t="s">
        <v>348</v>
      </c>
      <c r="AL4197" s="2">
        <v>19</v>
      </c>
      <c r="AM4197" s="2" t="s">
        <v>107</v>
      </c>
      <c r="AN4197" s="2" t="s">
        <v>9102</v>
      </c>
      <c r="AO4197" s="2" t="s">
        <v>13137</v>
      </c>
      <c r="AP4197" s="2">
        <v>11</v>
      </c>
      <c r="AQ4197" s="2" t="s">
        <v>82</v>
      </c>
      <c r="AR4197" s="2" t="s">
        <v>82</v>
      </c>
      <c r="AS4197" s="2" t="s">
        <v>82</v>
      </c>
      <c r="AT4197" s="2" t="s">
        <v>13138</v>
      </c>
      <c r="AU4197" s="2"/>
      <c r="AV4197" s="2"/>
      <c r="AW4197" s="2"/>
      <c r="AX4197" s="2"/>
      <c r="AY4197" s="2">
        <v>41</v>
      </c>
      <c r="AZ4197" s="2" t="s">
        <v>82</v>
      </c>
      <c r="BA4197" s="2">
        <v>41</v>
      </c>
      <c r="BB4197" s="2" t="s">
        <v>82</v>
      </c>
      <c r="BC4197" s="2">
        <v>41</v>
      </c>
      <c r="BD4197" s="2" t="s">
        <v>82</v>
      </c>
      <c r="BE4197" s="2">
        <v>41</v>
      </c>
      <c r="BF4197" s="2" t="s">
        <v>82</v>
      </c>
      <c r="BG4197" s="2" t="s">
        <v>82</v>
      </c>
      <c r="BH4197" s="2"/>
      <c r="BI4197" s="2"/>
      <c r="BJ4197" s="2">
        <v>241</v>
      </c>
      <c r="BK4197" s="2" t="s">
        <v>82</v>
      </c>
      <c r="BL4197" s="2" t="s">
        <v>82</v>
      </c>
      <c r="BM4197" s="2">
        <v>241</v>
      </c>
      <c r="BN4197" s="2" t="s">
        <v>82</v>
      </c>
      <c r="BO4197" s="2"/>
      <c r="BP4197" s="2">
        <v>241</v>
      </c>
      <c r="BQ4197" s="2" t="s">
        <v>82</v>
      </c>
      <c r="BR4197" s="2" t="s">
        <v>82</v>
      </c>
      <c r="BS4197" s="3">
        <v>40463</v>
      </c>
      <c r="BT4197" s="4">
        <v>0.55833333333333335</v>
      </c>
    </row>
    <row r="4198" spans="1:72" x14ac:dyDescent="0.25">
      <c r="A4198" s="2">
        <v>6302</v>
      </c>
      <c r="B4198" s="2">
        <v>2010</v>
      </c>
      <c r="C4198" s="2" t="s">
        <v>4543</v>
      </c>
      <c r="D4198" s="2" t="s">
        <v>122</v>
      </c>
      <c r="E4198" s="2"/>
      <c r="F4198" s="2">
        <v>146</v>
      </c>
      <c r="G4198" s="2" t="s">
        <v>753</v>
      </c>
      <c r="H4198" s="2">
        <v>122</v>
      </c>
      <c r="I4198" s="2" t="s">
        <v>8431</v>
      </c>
      <c r="J4198" s="2">
        <v>161</v>
      </c>
      <c r="K4198" s="2" t="s">
        <v>1900</v>
      </c>
      <c r="L4198" s="2" t="s">
        <v>1901</v>
      </c>
      <c r="M4198" s="3">
        <v>40463</v>
      </c>
      <c r="N4198" s="2" t="s">
        <v>13139</v>
      </c>
      <c r="O4198" s="2" t="s">
        <v>13140</v>
      </c>
      <c r="P4198" s="2">
        <v>1557</v>
      </c>
      <c r="Q4198" s="2" t="str">
        <f>"S/D"</f>
        <v>S/D</v>
      </c>
      <c r="R4198" s="2" t="s">
        <v>107</v>
      </c>
      <c r="S4198" s="2" t="s">
        <v>107</v>
      </c>
      <c r="T4198" s="2">
        <v>2</v>
      </c>
      <c r="U4198" s="2" t="s">
        <v>123</v>
      </c>
      <c r="V4198" s="2">
        <v>1</v>
      </c>
      <c r="W4198" s="2" t="s">
        <v>80</v>
      </c>
      <c r="X4198" s="2">
        <v>5</v>
      </c>
      <c r="Y4198" s="2" t="s">
        <v>82</v>
      </c>
      <c r="Z4198" s="2">
        <v>1</v>
      </c>
      <c r="AA4198" s="2" t="s">
        <v>82</v>
      </c>
      <c r="AB4198" s="2">
        <v>9</v>
      </c>
      <c r="AC4198" s="2" t="s">
        <v>124</v>
      </c>
      <c r="AD4198" s="3">
        <v>40463</v>
      </c>
      <c r="AE4198" s="4">
        <v>0.51041666666666663</v>
      </c>
      <c r="AF4198" s="2"/>
      <c r="AG4198" s="2"/>
      <c r="AH4198" s="2">
        <v>6</v>
      </c>
      <c r="AI4198" s="2" t="s">
        <v>197</v>
      </c>
      <c r="AJ4198" s="2">
        <v>54</v>
      </c>
      <c r="AK4198" s="2" t="s">
        <v>348</v>
      </c>
      <c r="AL4198" s="2">
        <v>19</v>
      </c>
      <c r="AM4198" s="2" t="s">
        <v>107</v>
      </c>
      <c r="AN4198" s="2" t="s">
        <v>9102</v>
      </c>
      <c r="AO4198" s="2" t="s">
        <v>12366</v>
      </c>
      <c r="AP4198" s="2">
        <v>11</v>
      </c>
      <c r="AQ4198" s="2" t="s">
        <v>82</v>
      </c>
      <c r="AR4198" s="2" t="s">
        <v>82</v>
      </c>
      <c r="AS4198" s="2" t="s">
        <v>82</v>
      </c>
      <c r="AT4198" s="2" t="s">
        <v>13141</v>
      </c>
      <c r="AU4198" s="2"/>
      <c r="AV4198" s="2"/>
      <c r="AW4198" s="2"/>
      <c r="AX4198" s="2"/>
      <c r="AY4198" s="2">
        <v>41</v>
      </c>
      <c r="AZ4198" s="2" t="s">
        <v>82</v>
      </c>
      <c r="BA4198" s="2">
        <v>41</v>
      </c>
      <c r="BB4198" s="2" t="s">
        <v>82</v>
      </c>
      <c r="BC4198" s="2">
        <v>41</v>
      </c>
      <c r="BD4198" s="2" t="s">
        <v>82</v>
      </c>
      <c r="BE4198" s="2">
        <v>41</v>
      </c>
      <c r="BF4198" s="2" t="s">
        <v>82</v>
      </c>
      <c r="BG4198" s="2" t="s">
        <v>82</v>
      </c>
      <c r="BH4198" s="2"/>
      <c r="BI4198" s="2"/>
      <c r="BJ4198" s="2">
        <v>241</v>
      </c>
      <c r="BK4198" s="2" t="s">
        <v>82</v>
      </c>
      <c r="BL4198" s="2" t="s">
        <v>82</v>
      </c>
      <c r="BM4198" s="2">
        <v>241</v>
      </c>
      <c r="BN4198" s="2" t="s">
        <v>82</v>
      </c>
      <c r="BO4198" s="2"/>
      <c r="BP4198" s="2">
        <v>241</v>
      </c>
      <c r="BQ4198" s="2" t="s">
        <v>82</v>
      </c>
      <c r="BR4198" s="2" t="s">
        <v>82</v>
      </c>
      <c r="BS4198" s="3">
        <v>40463</v>
      </c>
      <c r="BT4198" s="4">
        <v>0.57075231481481481</v>
      </c>
    </row>
    <row r="4199" spans="1:72" x14ac:dyDescent="0.25">
      <c r="A4199" s="2">
        <v>6303</v>
      </c>
      <c r="B4199" s="2">
        <v>2010</v>
      </c>
      <c r="C4199" s="2" t="s">
        <v>196</v>
      </c>
      <c r="D4199" s="2" t="s">
        <v>122</v>
      </c>
      <c r="E4199" s="2"/>
      <c r="F4199" s="2">
        <v>1</v>
      </c>
      <c r="G4199" s="2" t="s">
        <v>82</v>
      </c>
      <c r="H4199" s="2">
        <v>1</v>
      </c>
      <c r="I4199" s="2" t="s">
        <v>82</v>
      </c>
      <c r="J4199" s="2">
        <v>1</v>
      </c>
      <c r="K4199" s="2" t="s">
        <v>107</v>
      </c>
      <c r="L4199" s="2" t="s">
        <v>107</v>
      </c>
      <c r="M4199" s="3">
        <v>40463</v>
      </c>
      <c r="N4199" s="2"/>
      <c r="O4199" s="2"/>
      <c r="P4199" s="2"/>
      <c r="Q4199" s="2" t="str">
        <f>""</f>
        <v/>
      </c>
      <c r="R4199" s="2"/>
      <c r="S4199" s="2"/>
      <c r="T4199" s="2">
        <v>2</v>
      </c>
      <c r="U4199" s="2" t="s">
        <v>123</v>
      </c>
      <c r="V4199" s="2">
        <v>1</v>
      </c>
      <c r="W4199" s="2" t="s">
        <v>80</v>
      </c>
      <c r="X4199" s="2">
        <v>5</v>
      </c>
      <c r="Y4199" s="2" t="s">
        <v>82</v>
      </c>
      <c r="Z4199" s="2">
        <v>1</v>
      </c>
      <c r="AA4199" s="2" t="s">
        <v>82</v>
      </c>
      <c r="AB4199" s="2">
        <v>9</v>
      </c>
      <c r="AC4199" s="2" t="s">
        <v>124</v>
      </c>
      <c r="AD4199" s="3">
        <v>40463</v>
      </c>
      <c r="AE4199" s="4">
        <v>0.57291666666666663</v>
      </c>
      <c r="AF4199" s="2"/>
      <c r="AG4199" s="2"/>
      <c r="AH4199" s="2">
        <v>6</v>
      </c>
      <c r="AI4199" s="2" t="s">
        <v>197</v>
      </c>
      <c r="AJ4199" s="2">
        <v>59</v>
      </c>
      <c r="AK4199" s="2" t="s">
        <v>198</v>
      </c>
      <c r="AL4199" s="2">
        <v>19</v>
      </c>
      <c r="AM4199" s="2" t="s">
        <v>107</v>
      </c>
      <c r="AN4199" s="2" t="s">
        <v>230</v>
      </c>
      <c r="AO4199" s="2" t="s">
        <v>259</v>
      </c>
      <c r="AP4199" s="2">
        <v>11</v>
      </c>
      <c r="AQ4199" s="2" t="s">
        <v>82</v>
      </c>
      <c r="AR4199" s="2"/>
      <c r="AS4199" s="2"/>
      <c r="AT4199" s="2" t="s">
        <v>13142</v>
      </c>
      <c r="AU4199" s="2"/>
      <c r="AV4199" s="2"/>
      <c r="AW4199" s="2"/>
      <c r="AX4199" s="2"/>
      <c r="AY4199" s="2">
        <v>41</v>
      </c>
      <c r="AZ4199" s="2" t="s">
        <v>82</v>
      </c>
      <c r="BA4199" s="2">
        <v>41</v>
      </c>
      <c r="BB4199" s="2" t="s">
        <v>82</v>
      </c>
      <c r="BC4199" s="2">
        <v>41</v>
      </c>
      <c r="BD4199" s="2" t="s">
        <v>82</v>
      </c>
      <c r="BE4199" s="2">
        <v>41</v>
      </c>
      <c r="BF4199" s="2" t="s">
        <v>82</v>
      </c>
      <c r="BG4199" s="2"/>
      <c r="BH4199" s="2"/>
      <c r="BI4199" s="2"/>
      <c r="BJ4199" s="2">
        <v>241</v>
      </c>
      <c r="BK4199" s="2" t="s">
        <v>82</v>
      </c>
      <c r="BL4199" s="2" t="s">
        <v>204</v>
      </c>
      <c r="BM4199" s="2">
        <v>241</v>
      </c>
      <c r="BN4199" s="2" t="s">
        <v>82</v>
      </c>
      <c r="BO4199" s="2"/>
      <c r="BP4199" s="2">
        <v>241</v>
      </c>
      <c r="BQ4199" s="2" t="s">
        <v>82</v>
      </c>
      <c r="BR4199" s="2" t="s">
        <v>13143</v>
      </c>
      <c r="BS4199" s="3">
        <v>40463</v>
      </c>
      <c r="BT4199" s="4">
        <v>0.57466435185185183</v>
      </c>
    </row>
    <row r="4200" spans="1:72" x14ac:dyDescent="0.25">
      <c r="A4200" s="2">
        <v>6313</v>
      </c>
      <c r="B4200" s="2">
        <v>2010</v>
      </c>
      <c r="C4200" s="2" t="s">
        <v>93</v>
      </c>
      <c r="D4200" s="2" t="s">
        <v>73</v>
      </c>
      <c r="E4200" s="2"/>
      <c r="F4200" s="2">
        <v>691</v>
      </c>
      <c r="G4200" s="2" t="s">
        <v>13144</v>
      </c>
      <c r="H4200" s="2">
        <v>22</v>
      </c>
      <c r="I4200" s="2" t="s">
        <v>75</v>
      </c>
      <c r="J4200" s="2">
        <v>680</v>
      </c>
      <c r="K4200" s="2" t="s">
        <v>13145</v>
      </c>
      <c r="L4200" s="2" t="s">
        <v>13146</v>
      </c>
      <c r="M4200" s="3">
        <v>40463</v>
      </c>
      <c r="N4200" s="2" t="s">
        <v>13147</v>
      </c>
      <c r="O4200" s="2" t="s">
        <v>13148</v>
      </c>
      <c r="P4200" s="2"/>
      <c r="Q4200" s="2" t="str">
        <f>"0130/2010"</f>
        <v>0130/2010</v>
      </c>
      <c r="R4200" s="2"/>
      <c r="S4200" s="2"/>
      <c r="T4200" s="2">
        <v>1</v>
      </c>
      <c r="U4200" s="2" t="s">
        <v>79</v>
      </c>
      <c r="V4200" s="2">
        <v>1</v>
      </c>
      <c r="W4200" s="2" t="s">
        <v>80</v>
      </c>
      <c r="X4200" s="2">
        <v>10</v>
      </c>
      <c r="Y4200" s="2" t="s">
        <v>226</v>
      </c>
      <c r="Z4200" s="2">
        <v>9</v>
      </c>
      <c r="AA4200" s="2" t="s">
        <v>1119</v>
      </c>
      <c r="AB4200" s="2">
        <v>2</v>
      </c>
      <c r="AC4200" s="2" t="s">
        <v>102</v>
      </c>
      <c r="AD4200" s="3">
        <v>40463</v>
      </c>
      <c r="AE4200" s="4">
        <v>0.45833333333333331</v>
      </c>
      <c r="AF4200" s="2"/>
      <c r="AG4200" s="2"/>
      <c r="AH4200" s="2">
        <v>5</v>
      </c>
      <c r="AI4200" s="2" t="s">
        <v>274</v>
      </c>
      <c r="AJ4200" s="2">
        <v>38</v>
      </c>
      <c r="AK4200" s="2" t="s">
        <v>1120</v>
      </c>
      <c r="AL4200" s="2">
        <v>11</v>
      </c>
      <c r="AM4200" s="2" t="s">
        <v>137</v>
      </c>
      <c r="AN4200" s="2"/>
      <c r="AO4200" s="2" t="s">
        <v>7650</v>
      </c>
      <c r="AP4200" s="2">
        <v>11</v>
      </c>
      <c r="AQ4200" s="2" t="s">
        <v>82</v>
      </c>
      <c r="AR4200" s="2"/>
      <c r="AS4200" s="2"/>
      <c r="AT4200" s="2" t="s">
        <v>13149</v>
      </c>
      <c r="AU4200" s="2"/>
      <c r="AV4200" s="2"/>
      <c r="AW4200" s="2"/>
      <c r="AX4200" s="2"/>
      <c r="AY4200" s="2">
        <v>41</v>
      </c>
      <c r="AZ4200" s="2" t="s">
        <v>82</v>
      </c>
      <c r="BA4200" s="2">
        <v>41</v>
      </c>
      <c r="BB4200" s="2" t="s">
        <v>82</v>
      </c>
      <c r="BC4200" s="2">
        <v>41</v>
      </c>
      <c r="BD4200" s="2" t="s">
        <v>82</v>
      </c>
      <c r="BE4200" s="2">
        <v>13</v>
      </c>
      <c r="BF4200" s="2" t="s">
        <v>108</v>
      </c>
      <c r="BG4200" s="2">
        <v>1721</v>
      </c>
      <c r="BH4200" s="4">
        <v>0.40277777777777773</v>
      </c>
      <c r="BI4200" s="4">
        <v>0.43055555555555558</v>
      </c>
      <c r="BJ4200" s="2">
        <v>13</v>
      </c>
      <c r="BK4200" s="2" t="s">
        <v>91</v>
      </c>
      <c r="BL4200" s="2" t="s">
        <v>1697</v>
      </c>
      <c r="BM4200" s="2">
        <v>13</v>
      </c>
      <c r="BN4200" s="2" t="s">
        <v>91</v>
      </c>
      <c r="BO4200" s="2"/>
      <c r="BP4200" s="2">
        <v>13</v>
      </c>
      <c r="BQ4200" s="2" t="s">
        <v>91</v>
      </c>
      <c r="BR4200" s="2" t="s">
        <v>170</v>
      </c>
      <c r="BS4200" s="3">
        <v>40463</v>
      </c>
      <c r="BT4200" s="4">
        <v>0.62839120370370372</v>
      </c>
    </row>
    <row r="4201" spans="1:72" x14ac:dyDescent="0.25">
      <c r="A4201" s="2">
        <v>6316</v>
      </c>
      <c r="B4201" s="2">
        <v>2010</v>
      </c>
      <c r="C4201" s="2" t="s">
        <v>93</v>
      </c>
      <c r="D4201" s="2" t="s">
        <v>73</v>
      </c>
      <c r="E4201" s="2"/>
      <c r="F4201" s="2">
        <v>692</v>
      </c>
      <c r="G4201" s="2" t="s">
        <v>13150</v>
      </c>
      <c r="H4201" s="2">
        <v>142</v>
      </c>
      <c r="I4201" s="2" t="s">
        <v>13151</v>
      </c>
      <c r="J4201" s="2">
        <v>1</v>
      </c>
      <c r="K4201" s="2" t="s">
        <v>107</v>
      </c>
      <c r="L4201" s="2" t="s">
        <v>107</v>
      </c>
      <c r="M4201" s="3">
        <v>40463</v>
      </c>
      <c r="N4201" s="2" t="s">
        <v>13152</v>
      </c>
      <c r="O4201" s="2" t="s">
        <v>13153</v>
      </c>
      <c r="P4201" s="2">
        <v>29197</v>
      </c>
      <c r="Q4201" s="2" t="str">
        <f>"0131/2010"</f>
        <v>0131/2010</v>
      </c>
      <c r="R4201" s="2" t="s">
        <v>513</v>
      </c>
      <c r="S4201" s="2"/>
      <c r="T4201" s="2">
        <v>1</v>
      </c>
      <c r="U4201" s="2" t="s">
        <v>79</v>
      </c>
      <c r="V4201" s="2">
        <v>1</v>
      </c>
      <c r="W4201" s="2" t="s">
        <v>80</v>
      </c>
      <c r="X4201" s="2">
        <v>10</v>
      </c>
      <c r="Y4201" s="2" t="s">
        <v>226</v>
      </c>
      <c r="Z4201" s="2">
        <v>9</v>
      </c>
      <c r="AA4201" s="2" t="s">
        <v>1119</v>
      </c>
      <c r="AB4201" s="2">
        <v>2</v>
      </c>
      <c r="AC4201" s="2" t="s">
        <v>102</v>
      </c>
      <c r="AD4201" s="3">
        <v>40463</v>
      </c>
      <c r="AE4201" s="4">
        <v>0.47569444444444442</v>
      </c>
      <c r="AF4201" s="2"/>
      <c r="AG4201" s="2"/>
      <c r="AH4201" s="2">
        <v>5</v>
      </c>
      <c r="AI4201" s="2" t="s">
        <v>274</v>
      </c>
      <c r="AJ4201" s="2">
        <v>38</v>
      </c>
      <c r="AK4201" s="2" t="s">
        <v>1120</v>
      </c>
      <c r="AL4201" s="2">
        <v>11</v>
      </c>
      <c r="AM4201" s="2" t="s">
        <v>137</v>
      </c>
      <c r="AN4201" s="2"/>
      <c r="AO4201" s="2" t="s">
        <v>7650</v>
      </c>
      <c r="AP4201" s="2">
        <v>11</v>
      </c>
      <c r="AQ4201" s="2" t="s">
        <v>82</v>
      </c>
      <c r="AR4201" s="2"/>
      <c r="AS4201" s="2"/>
      <c r="AT4201" s="2" t="s">
        <v>13154</v>
      </c>
      <c r="AU4201" s="2"/>
      <c r="AV4201" s="2"/>
      <c r="AW4201" s="2"/>
      <c r="AX4201" s="2"/>
      <c r="AY4201" s="2">
        <v>41</v>
      </c>
      <c r="AZ4201" s="2" t="s">
        <v>82</v>
      </c>
      <c r="BA4201" s="2">
        <v>41</v>
      </c>
      <c r="BB4201" s="2" t="s">
        <v>82</v>
      </c>
      <c r="BC4201" s="2">
        <v>41</v>
      </c>
      <c r="BD4201" s="2" t="s">
        <v>82</v>
      </c>
      <c r="BE4201" s="2">
        <v>4</v>
      </c>
      <c r="BF4201" s="2" t="s">
        <v>90</v>
      </c>
      <c r="BG4201" s="2">
        <v>4023</v>
      </c>
      <c r="BH4201" s="4">
        <v>0.45833333333333331</v>
      </c>
      <c r="BI4201" s="4">
        <v>0.4861111111111111</v>
      </c>
      <c r="BJ4201" s="2">
        <v>13</v>
      </c>
      <c r="BK4201" s="2" t="s">
        <v>91</v>
      </c>
      <c r="BL4201" s="2" t="s">
        <v>1697</v>
      </c>
      <c r="BM4201" s="2">
        <v>13</v>
      </c>
      <c r="BN4201" s="2" t="s">
        <v>91</v>
      </c>
      <c r="BO4201" s="2"/>
      <c r="BP4201" s="2">
        <v>13</v>
      </c>
      <c r="BQ4201" s="2" t="s">
        <v>91</v>
      </c>
      <c r="BR4201" s="2" t="s">
        <v>170</v>
      </c>
      <c r="BS4201" s="3">
        <v>40463</v>
      </c>
      <c r="BT4201" s="4">
        <v>0.65267361111111111</v>
      </c>
    </row>
    <row r="4202" spans="1:72" x14ac:dyDescent="0.25">
      <c r="A4202" s="2">
        <v>6318</v>
      </c>
      <c r="B4202" s="2">
        <v>2010</v>
      </c>
      <c r="C4202" s="2" t="s">
        <v>414</v>
      </c>
      <c r="D4202" s="2" t="s">
        <v>122</v>
      </c>
      <c r="E4202" s="2"/>
      <c r="F4202" s="2">
        <v>1</v>
      </c>
      <c r="G4202" s="2" t="s">
        <v>82</v>
      </c>
      <c r="H4202" s="2">
        <v>1</v>
      </c>
      <c r="I4202" s="2" t="s">
        <v>82</v>
      </c>
      <c r="J4202" s="2">
        <v>1</v>
      </c>
      <c r="K4202" s="2" t="s">
        <v>107</v>
      </c>
      <c r="L4202" s="2" t="s">
        <v>107</v>
      </c>
      <c r="M4202" s="3">
        <v>40463</v>
      </c>
      <c r="N4202" s="2" t="s">
        <v>82</v>
      </c>
      <c r="O4202" s="2" t="s">
        <v>82</v>
      </c>
      <c r="P4202" s="2" t="s">
        <v>82</v>
      </c>
      <c r="Q4202" s="2" t="str">
        <f>"0059_10"</f>
        <v>0059_10</v>
      </c>
      <c r="R4202" s="2" t="s">
        <v>82</v>
      </c>
      <c r="S4202" s="2" t="s">
        <v>13155</v>
      </c>
      <c r="T4202" s="2">
        <v>1</v>
      </c>
      <c r="U4202" s="2" t="s">
        <v>79</v>
      </c>
      <c r="V4202" s="2">
        <v>1</v>
      </c>
      <c r="W4202" s="2" t="s">
        <v>80</v>
      </c>
      <c r="X4202" s="2">
        <v>1</v>
      </c>
      <c r="Y4202" s="2" t="s">
        <v>81</v>
      </c>
      <c r="Z4202" s="2">
        <v>10</v>
      </c>
      <c r="AA4202" s="2" t="s">
        <v>236</v>
      </c>
      <c r="AB4202" s="2">
        <v>9</v>
      </c>
      <c r="AC4202" s="2" t="s">
        <v>124</v>
      </c>
      <c r="AD4202" s="3">
        <v>40463</v>
      </c>
      <c r="AE4202" s="4">
        <v>0.5625</v>
      </c>
      <c r="AF4202" s="3">
        <v>40463</v>
      </c>
      <c r="AG4202" s="2"/>
      <c r="AH4202" s="2">
        <v>6</v>
      </c>
      <c r="AI4202" s="2" t="s">
        <v>197</v>
      </c>
      <c r="AJ4202" s="2">
        <v>61</v>
      </c>
      <c r="AK4202" s="2" t="s">
        <v>686</v>
      </c>
      <c r="AL4202" s="2">
        <v>25</v>
      </c>
      <c r="AM4202" s="2" t="s">
        <v>3073</v>
      </c>
      <c r="AN4202" s="2" t="s">
        <v>13156</v>
      </c>
      <c r="AO4202" s="2" t="s">
        <v>7347</v>
      </c>
      <c r="AP4202" s="2">
        <v>11</v>
      </c>
      <c r="AQ4202" s="2" t="s">
        <v>82</v>
      </c>
      <c r="AR4202" s="2" t="s">
        <v>82</v>
      </c>
      <c r="AS4202" s="2" t="s">
        <v>82</v>
      </c>
      <c r="AT4202" s="2" t="s">
        <v>13157</v>
      </c>
      <c r="AU4202" s="2"/>
      <c r="AV4202" s="2"/>
      <c r="AW4202" s="2"/>
      <c r="AX4202" s="2"/>
      <c r="AY4202" s="2">
        <v>41</v>
      </c>
      <c r="AZ4202" s="2" t="s">
        <v>82</v>
      </c>
      <c r="BA4202" s="2">
        <v>41</v>
      </c>
      <c r="BB4202" s="2" t="s">
        <v>82</v>
      </c>
      <c r="BC4202" s="2">
        <v>41</v>
      </c>
      <c r="BD4202" s="2" t="s">
        <v>82</v>
      </c>
      <c r="BE4202" s="2">
        <v>47</v>
      </c>
      <c r="BF4202" s="2" t="s">
        <v>167</v>
      </c>
      <c r="BG4202" s="2">
        <v>2848</v>
      </c>
      <c r="BH4202" s="4">
        <v>0.52083333333333337</v>
      </c>
      <c r="BI4202" s="4">
        <v>0.56944444444444442</v>
      </c>
      <c r="BJ4202" s="2">
        <v>13</v>
      </c>
      <c r="BK4202" s="2" t="s">
        <v>91</v>
      </c>
      <c r="BL4202" s="2" t="s">
        <v>185</v>
      </c>
      <c r="BM4202" s="2">
        <v>13</v>
      </c>
      <c r="BN4202" s="2" t="s">
        <v>91</v>
      </c>
      <c r="BO4202" s="2"/>
      <c r="BP4202" s="2">
        <v>13</v>
      </c>
      <c r="BQ4202" s="2" t="s">
        <v>91</v>
      </c>
      <c r="BR4202" s="2" t="s">
        <v>690</v>
      </c>
      <c r="BS4202" s="3">
        <v>40463</v>
      </c>
      <c r="BT4202" s="4">
        <v>0.67336805555555557</v>
      </c>
    </row>
    <row r="4203" spans="1:72" x14ac:dyDescent="0.25">
      <c r="A4203" s="2">
        <v>6321</v>
      </c>
      <c r="B4203" s="2">
        <v>2010</v>
      </c>
      <c r="C4203" s="2" t="s">
        <v>72</v>
      </c>
      <c r="D4203" s="2" t="s">
        <v>73</v>
      </c>
      <c r="E4203" s="2"/>
      <c r="F4203" s="2">
        <v>24</v>
      </c>
      <c r="G4203" s="2" t="s">
        <v>532</v>
      </c>
      <c r="H4203" s="2">
        <v>108</v>
      </c>
      <c r="I4203" s="2" t="s">
        <v>1096</v>
      </c>
      <c r="J4203" s="2">
        <v>300</v>
      </c>
      <c r="K4203" s="2" t="s">
        <v>114</v>
      </c>
      <c r="L4203" s="2" t="s">
        <v>115</v>
      </c>
      <c r="M4203" s="3">
        <v>40463</v>
      </c>
      <c r="N4203" s="2"/>
      <c r="O4203" s="2"/>
      <c r="P4203" s="2"/>
      <c r="Q4203" s="2" t="str">
        <f>"530-E/10"</f>
        <v>530-E/10</v>
      </c>
      <c r="R4203" s="2" t="s">
        <v>116</v>
      </c>
      <c r="S4203" s="2" t="s">
        <v>116</v>
      </c>
      <c r="T4203" s="2">
        <v>1</v>
      </c>
      <c r="U4203" s="2" t="s">
        <v>79</v>
      </c>
      <c r="V4203" s="2">
        <v>1</v>
      </c>
      <c r="W4203" s="2" t="s">
        <v>80</v>
      </c>
      <c r="X4203" s="2">
        <v>12</v>
      </c>
      <c r="Y4203" s="2" t="s">
        <v>148</v>
      </c>
      <c r="Z4203" s="2">
        <v>1</v>
      </c>
      <c r="AA4203" s="2" t="s">
        <v>82</v>
      </c>
      <c r="AB4203" s="2">
        <v>6</v>
      </c>
      <c r="AC4203" s="2" t="s">
        <v>83</v>
      </c>
      <c r="AD4203" s="3">
        <v>40462</v>
      </c>
      <c r="AE4203" s="2"/>
      <c r="AF4203" s="3">
        <v>40463</v>
      </c>
      <c r="AG4203" s="4">
        <v>0.51041666666666663</v>
      </c>
      <c r="AH4203" s="2">
        <v>2</v>
      </c>
      <c r="AI4203" s="2" t="s">
        <v>84</v>
      </c>
      <c r="AJ4203" s="2">
        <v>9</v>
      </c>
      <c r="AK4203" s="2" t="s">
        <v>103</v>
      </c>
      <c r="AL4203" s="2">
        <v>26</v>
      </c>
      <c r="AM4203" s="2" t="s">
        <v>6036</v>
      </c>
      <c r="AN4203" s="2"/>
      <c r="AO4203" s="2" t="s">
        <v>13158</v>
      </c>
      <c r="AP4203" s="2">
        <v>11</v>
      </c>
      <c r="AQ4203" s="2" t="s">
        <v>82</v>
      </c>
      <c r="AR4203" s="2"/>
      <c r="AS4203" s="2"/>
      <c r="AT4203" s="2" t="s">
        <v>13159</v>
      </c>
      <c r="AU4203" s="2"/>
      <c r="AV4203" s="2"/>
      <c r="AW4203" s="2"/>
      <c r="AX4203" s="2"/>
      <c r="AY4203" s="2">
        <v>41</v>
      </c>
      <c r="AZ4203" s="2" t="s">
        <v>82</v>
      </c>
      <c r="BA4203" s="2">
        <v>41</v>
      </c>
      <c r="BB4203" s="2" t="s">
        <v>82</v>
      </c>
      <c r="BC4203" s="2">
        <v>41</v>
      </c>
      <c r="BD4203" s="2" t="s">
        <v>82</v>
      </c>
      <c r="BE4203" s="2">
        <v>41</v>
      </c>
      <c r="BF4203" s="2" t="s">
        <v>82</v>
      </c>
      <c r="BG4203" s="2"/>
      <c r="BH4203" s="2"/>
      <c r="BI4203" s="2"/>
      <c r="BJ4203" s="2">
        <v>241</v>
      </c>
      <c r="BK4203" s="2" t="s">
        <v>82</v>
      </c>
      <c r="BL4203" s="2"/>
      <c r="BM4203" s="2">
        <v>241</v>
      </c>
      <c r="BN4203" s="2" t="s">
        <v>82</v>
      </c>
      <c r="BO4203" s="2"/>
      <c r="BP4203" s="2">
        <v>241</v>
      </c>
      <c r="BQ4203" s="2" t="s">
        <v>82</v>
      </c>
      <c r="BR4203" s="2"/>
      <c r="BS4203" s="3">
        <v>40463</v>
      </c>
      <c r="BT4203" s="4">
        <v>0.69107638888888889</v>
      </c>
    </row>
    <row r="4204" spans="1:72" x14ac:dyDescent="0.25">
      <c r="A4204" s="2">
        <v>6322</v>
      </c>
      <c r="B4204" s="2">
        <v>2010</v>
      </c>
      <c r="C4204" s="2" t="s">
        <v>93</v>
      </c>
      <c r="D4204" s="2" t="s">
        <v>122</v>
      </c>
      <c r="E4204" s="2"/>
      <c r="F4204" s="2">
        <v>232</v>
      </c>
      <c r="G4204" s="2" t="s">
        <v>4075</v>
      </c>
      <c r="H4204" s="2">
        <v>14</v>
      </c>
      <c r="I4204" s="2" t="s">
        <v>1458</v>
      </c>
      <c r="J4204" s="2">
        <v>241</v>
      </c>
      <c r="K4204" s="2" t="s">
        <v>174</v>
      </c>
      <c r="L4204" s="2" t="s">
        <v>175</v>
      </c>
      <c r="M4204" s="3">
        <v>40463</v>
      </c>
      <c r="N4204" s="2" t="s">
        <v>13160</v>
      </c>
      <c r="O4204" s="2" t="s">
        <v>13161</v>
      </c>
      <c r="P4204" s="2">
        <v>4649</v>
      </c>
      <c r="Q4204" s="2" t="str">
        <f>"132/10"</f>
        <v>132/10</v>
      </c>
      <c r="R4204" s="2"/>
      <c r="S4204" s="2" t="s">
        <v>7656</v>
      </c>
      <c r="T4204" s="2">
        <v>1</v>
      </c>
      <c r="U4204" s="2" t="s">
        <v>79</v>
      </c>
      <c r="V4204" s="2">
        <v>1</v>
      </c>
      <c r="W4204" s="2" t="s">
        <v>80</v>
      </c>
      <c r="X4204" s="2">
        <v>3</v>
      </c>
      <c r="Y4204" s="2" t="s">
        <v>698</v>
      </c>
      <c r="Z4204" s="2">
        <v>9</v>
      </c>
      <c r="AA4204" s="2" t="s">
        <v>1119</v>
      </c>
      <c r="AB4204" s="2">
        <v>2</v>
      </c>
      <c r="AC4204" s="2" t="s">
        <v>102</v>
      </c>
      <c r="AD4204" s="3">
        <v>40463</v>
      </c>
      <c r="AE4204" s="4">
        <v>0.48958333333333331</v>
      </c>
      <c r="AF4204" s="2"/>
      <c r="AG4204" s="2"/>
      <c r="AH4204" s="2">
        <v>5</v>
      </c>
      <c r="AI4204" s="2" t="s">
        <v>274</v>
      </c>
      <c r="AJ4204" s="2">
        <v>38</v>
      </c>
      <c r="AK4204" s="2" t="s">
        <v>1120</v>
      </c>
      <c r="AL4204" s="2">
        <v>14</v>
      </c>
      <c r="AM4204" s="2" t="s">
        <v>216</v>
      </c>
      <c r="AN4204" s="2"/>
      <c r="AO4204" s="2" t="s">
        <v>7650</v>
      </c>
      <c r="AP4204" s="2">
        <v>11</v>
      </c>
      <c r="AQ4204" s="2" t="s">
        <v>82</v>
      </c>
      <c r="AR4204" s="2"/>
      <c r="AS4204" s="2"/>
      <c r="AT4204" s="2" t="s">
        <v>13162</v>
      </c>
      <c r="AU4204" s="2"/>
      <c r="AV4204" s="2"/>
      <c r="AW4204" s="2"/>
      <c r="AX4204" s="2"/>
      <c r="AY4204" s="2">
        <v>41</v>
      </c>
      <c r="AZ4204" s="2" t="s">
        <v>82</v>
      </c>
      <c r="BA4204" s="2">
        <v>41</v>
      </c>
      <c r="BB4204" s="2" t="s">
        <v>82</v>
      </c>
      <c r="BC4204" s="2">
        <v>41</v>
      </c>
      <c r="BD4204" s="2" t="s">
        <v>82</v>
      </c>
      <c r="BE4204" s="2">
        <v>4</v>
      </c>
      <c r="BF4204" s="2" t="s">
        <v>90</v>
      </c>
      <c r="BG4204" s="2">
        <v>4023</v>
      </c>
      <c r="BH4204" s="4">
        <v>0.45833333333333331</v>
      </c>
      <c r="BI4204" s="4">
        <v>0.4861111111111111</v>
      </c>
      <c r="BJ4204" s="2">
        <v>13</v>
      </c>
      <c r="BK4204" s="2" t="s">
        <v>91</v>
      </c>
      <c r="BL4204" s="2" t="s">
        <v>5688</v>
      </c>
      <c r="BM4204" s="2">
        <v>13</v>
      </c>
      <c r="BN4204" s="2" t="s">
        <v>91</v>
      </c>
      <c r="BO4204" s="2"/>
      <c r="BP4204" s="2">
        <v>13</v>
      </c>
      <c r="BQ4204" s="2" t="s">
        <v>91</v>
      </c>
      <c r="BR4204" s="2" t="s">
        <v>170</v>
      </c>
      <c r="BS4204" s="3">
        <v>40463</v>
      </c>
      <c r="BT4204" s="4">
        <v>0.71748842592592599</v>
      </c>
    </row>
    <row r="4205" spans="1:72" x14ac:dyDescent="0.25">
      <c r="A4205" s="2">
        <v>6328</v>
      </c>
      <c r="B4205" s="2">
        <v>2010</v>
      </c>
      <c r="C4205" s="2" t="s">
        <v>171</v>
      </c>
      <c r="D4205" s="2" t="s">
        <v>73</v>
      </c>
      <c r="E4205" s="2" t="s">
        <v>13163</v>
      </c>
      <c r="F4205" s="2">
        <v>451</v>
      </c>
      <c r="G4205" s="2" t="s">
        <v>879</v>
      </c>
      <c r="H4205" s="2">
        <v>31</v>
      </c>
      <c r="I4205" s="2" t="s">
        <v>880</v>
      </c>
      <c r="J4205" s="2">
        <v>326</v>
      </c>
      <c r="K4205" s="2" t="s">
        <v>881</v>
      </c>
      <c r="L4205" s="2" t="s">
        <v>882</v>
      </c>
      <c r="M4205" s="3">
        <v>40463</v>
      </c>
      <c r="N4205" s="2" t="s">
        <v>1072</v>
      </c>
      <c r="O4205" s="2" t="s">
        <v>4551</v>
      </c>
      <c r="P4205" s="2" t="s">
        <v>13164</v>
      </c>
      <c r="Q4205" s="2" t="str">
        <f>"097/10"</f>
        <v>097/10</v>
      </c>
      <c r="R4205" s="2"/>
      <c r="S4205" s="2" t="s">
        <v>822</v>
      </c>
      <c r="T4205" s="2">
        <v>1</v>
      </c>
      <c r="U4205" s="2" t="s">
        <v>79</v>
      </c>
      <c r="V4205" s="2">
        <v>1</v>
      </c>
      <c r="W4205" s="2" t="s">
        <v>80</v>
      </c>
      <c r="X4205" s="2">
        <v>1</v>
      </c>
      <c r="Y4205" s="2" t="s">
        <v>81</v>
      </c>
      <c r="Z4205" s="2">
        <v>1</v>
      </c>
      <c r="AA4205" s="2" t="s">
        <v>82</v>
      </c>
      <c r="AB4205" s="2">
        <v>1</v>
      </c>
      <c r="AC4205" s="2" t="s">
        <v>178</v>
      </c>
      <c r="AD4205" s="3">
        <v>40463</v>
      </c>
      <c r="AE4205" s="4">
        <v>0.68055555555555547</v>
      </c>
      <c r="AF4205" s="2"/>
      <c r="AG4205" s="2"/>
      <c r="AH4205" s="2">
        <v>4</v>
      </c>
      <c r="AI4205" s="2" t="s">
        <v>125</v>
      </c>
      <c r="AJ4205" s="2">
        <v>29</v>
      </c>
      <c r="AK4205" s="2" t="s">
        <v>227</v>
      </c>
      <c r="AL4205" s="2">
        <v>16</v>
      </c>
      <c r="AM4205" s="2" t="s">
        <v>392</v>
      </c>
      <c r="AN4205" s="2" t="s">
        <v>6877</v>
      </c>
      <c r="AO4205" s="2"/>
      <c r="AP4205" s="2">
        <v>12</v>
      </c>
      <c r="AQ4205" s="2" t="s">
        <v>322</v>
      </c>
      <c r="AR4205" s="2" t="s">
        <v>824</v>
      </c>
      <c r="AS4205" s="2" t="s">
        <v>825</v>
      </c>
      <c r="AT4205" s="2" t="s">
        <v>13165</v>
      </c>
      <c r="AU4205" s="2"/>
      <c r="AV4205" s="2"/>
      <c r="AW4205" s="2"/>
      <c r="AX4205" s="2"/>
      <c r="AY4205" s="2">
        <v>41</v>
      </c>
      <c r="AZ4205" s="2" t="s">
        <v>82</v>
      </c>
      <c r="BA4205" s="2">
        <v>41</v>
      </c>
      <c r="BB4205" s="2" t="s">
        <v>82</v>
      </c>
      <c r="BC4205" s="2">
        <v>51</v>
      </c>
      <c r="BD4205" s="2" t="s">
        <v>827</v>
      </c>
      <c r="BE4205" s="2">
        <v>47</v>
      </c>
      <c r="BF4205" s="2" t="s">
        <v>167</v>
      </c>
      <c r="BG4205" s="2">
        <v>2459</v>
      </c>
      <c r="BH4205" s="4">
        <v>0.89583333333333337</v>
      </c>
      <c r="BI4205" s="4">
        <v>0.94791666666666663</v>
      </c>
      <c r="BJ4205" s="2">
        <v>13</v>
      </c>
      <c r="BK4205" s="2" t="s">
        <v>91</v>
      </c>
      <c r="BL4205" s="2" t="s">
        <v>828</v>
      </c>
      <c r="BM4205" s="2">
        <v>13</v>
      </c>
      <c r="BN4205" s="2" t="s">
        <v>91</v>
      </c>
      <c r="BO4205" s="2"/>
      <c r="BP4205" s="2">
        <v>13</v>
      </c>
      <c r="BQ4205" s="2" t="s">
        <v>91</v>
      </c>
      <c r="BR4205" s="2" t="s">
        <v>185</v>
      </c>
      <c r="BS4205" s="3">
        <v>40463</v>
      </c>
      <c r="BT4205" s="4">
        <v>0.74771990740740746</v>
      </c>
    </row>
    <row r="4206" spans="1:72" x14ac:dyDescent="0.25">
      <c r="A4206" s="2">
        <v>6331</v>
      </c>
      <c r="B4206" s="2">
        <v>2010</v>
      </c>
      <c r="C4206" s="2" t="s">
        <v>93</v>
      </c>
      <c r="D4206" s="2" t="s">
        <v>122</v>
      </c>
      <c r="E4206" s="2"/>
      <c r="F4206" s="2">
        <v>561</v>
      </c>
      <c r="G4206" s="2" t="s">
        <v>4146</v>
      </c>
      <c r="H4206" s="2">
        <v>78</v>
      </c>
      <c r="I4206" s="2" t="s">
        <v>4147</v>
      </c>
      <c r="J4206" s="2">
        <v>234</v>
      </c>
      <c r="K4206" s="2" t="s">
        <v>8423</v>
      </c>
      <c r="L4206" s="2" t="s">
        <v>8424</v>
      </c>
      <c r="M4206" s="3">
        <v>40463</v>
      </c>
      <c r="N4206" s="2" t="s">
        <v>13166</v>
      </c>
      <c r="O4206" s="2" t="s">
        <v>7793</v>
      </c>
      <c r="P4206" s="2">
        <v>26187</v>
      </c>
      <c r="Q4206" s="2" t="str">
        <f>"0133/2010"</f>
        <v>0133/2010</v>
      </c>
      <c r="R4206" s="2" t="s">
        <v>7656</v>
      </c>
      <c r="S4206" s="2"/>
      <c r="T4206" s="2">
        <v>1</v>
      </c>
      <c r="U4206" s="2" t="s">
        <v>79</v>
      </c>
      <c r="V4206" s="2">
        <v>1</v>
      </c>
      <c r="W4206" s="2" t="s">
        <v>80</v>
      </c>
      <c r="X4206" s="2">
        <v>3</v>
      </c>
      <c r="Y4206" s="2" t="s">
        <v>698</v>
      </c>
      <c r="Z4206" s="2">
        <v>9</v>
      </c>
      <c r="AA4206" s="2" t="s">
        <v>1119</v>
      </c>
      <c r="AB4206" s="2">
        <v>2</v>
      </c>
      <c r="AC4206" s="2" t="s">
        <v>102</v>
      </c>
      <c r="AD4206" s="3">
        <v>40463</v>
      </c>
      <c r="AE4206" s="4">
        <v>0.73958333333333337</v>
      </c>
      <c r="AF4206" s="2"/>
      <c r="AG4206" s="2"/>
      <c r="AH4206" s="2">
        <v>5</v>
      </c>
      <c r="AI4206" s="2" t="s">
        <v>274</v>
      </c>
      <c r="AJ4206" s="2">
        <v>38</v>
      </c>
      <c r="AK4206" s="2" t="s">
        <v>1120</v>
      </c>
      <c r="AL4206" s="2">
        <v>14</v>
      </c>
      <c r="AM4206" s="2" t="s">
        <v>216</v>
      </c>
      <c r="AN4206" s="2"/>
      <c r="AO4206" s="2" t="s">
        <v>7650</v>
      </c>
      <c r="AP4206" s="2">
        <v>11</v>
      </c>
      <c r="AQ4206" s="2" t="s">
        <v>82</v>
      </c>
      <c r="AR4206" s="2"/>
      <c r="AS4206" s="2"/>
      <c r="AT4206" s="2" t="s">
        <v>13167</v>
      </c>
      <c r="AU4206" s="2"/>
      <c r="AV4206" s="2"/>
      <c r="AW4206" s="2"/>
      <c r="AX4206" s="2"/>
      <c r="AY4206" s="2">
        <v>41</v>
      </c>
      <c r="AZ4206" s="2" t="s">
        <v>82</v>
      </c>
      <c r="BA4206" s="2">
        <v>41</v>
      </c>
      <c r="BB4206" s="2" t="s">
        <v>82</v>
      </c>
      <c r="BC4206" s="2">
        <v>41</v>
      </c>
      <c r="BD4206" s="2" t="s">
        <v>82</v>
      </c>
      <c r="BE4206" s="2">
        <v>4</v>
      </c>
      <c r="BF4206" s="2" t="s">
        <v>90</v>
      </c>
      <c r="BG4206" s="2">
        <v>4027</v>
      </c>
      <c r="BH4206" s="4">
        <v>0.63541666666666663</v>
      </c>
      <c r="BI4206" s="4">
        <v>0.66319444444444442</v>
      </c>
      <c r="BJ4206" s="2">
        <v>13</v>
      </c>
      <c r="BK4206" s="2" t="s">
        <v>91</v>
      </c>
      <c r="BL4206" s="2" t="s">
        <v>1697</v>
      </c>
      <c r="BM4206" s="2">
        <v>13</v>
      </c>
      <c r="BN4206" s="2" t="s">
        <v>91</v>
      </c>
      <c r="BO4206" s="2"/>
      <c r="BP4206" s="2">
        <v>13</v>
      </c>
      <c r="BQ4206" s="2" t="s">
        <v>91</v>
      </c>
      <c r="BR4206" s="2" t="s">
        <v>170</v>
      </c>
      <c r="BS4206" s="3">
        <v>40463</v>
      </c>
      <c r="BT4206" s="4">
        <v>0.77847222222222223</v>
      </c>
    </row>
    <row r="4207" spans="1:72" x14ac:dyDescent="0.25">
      <c r="A4207" s="2">
        <v>6332</v>
      </c>
      <c r="B4207" s="2">
        <v>2010</v>
      </c>
      <c r="C4207" s="2" t="s">
        <v>2219</v>
      </c>
      <c r="D4207" s="2" t="s">
        <v>73</v>
      </c>
      <c r="E4207" s="2"/>
      <c r="F4207" s="2">
        <v>186</v>
      </c>
      <c r="G4207" s="2" t="s">
        <v>11501</v>
      </c>
      <c r="H4207" s="2">
        <v>21</v>
      </c>
      <c r="I4207" s="2" t="s">
        <v>5326</v>
      </c>
      <c r="J4207" s="2">
        <v>170</v>
      </c>
      <c r="K4207" s="2" t="s">
        <v>5074</v>
      </c>
      <c r="L4207" s="2" t="s">
        <v>5075</v>
      </c>
      <c r="M4207" s="3">
        <v>40463</v>
      </c>
      <c r="N4207" s="2" t="s">
        <v>5359</v>
      </c>
      <c r="O4207" s="2"/>
      <c r="P4207" s="2"/>
      <c r="Q4207" s="2" t="str">
        <f>" 405-A/10"</f>
        <v xml:space="preserve"> 405-A/10</v>
      </c>
      <c r="R4207" s="2"/>
      <c r="S4207" s="2" t="s">
        <v>13168</v>
      </c>
      <c r="T4207" s="2">
        <v>1</v>
      </c>
      <c r="U4207" s="2" t="s">
        <v>79</v>
      </c>
      <c r="V4207" s="2">
        <v>1</v>
      </c>
      <c r="W4207" s="2" t="s">
        <v>80</v>
      </c>
      <c r="X4207" s="2">
        <v>1</v>
      </c>
      <c r="Y4207" s="2" t="s">
        <v>81</v>
      </c>
      <c r="Z4207" s="2">
        <v>1</v>
      </c>
      <c r="AA4207" s="2" t="s">
        <v>82</v>
      </c>
      <c r="AB4207" s="2">
        <v>9</v>
      </c>
      <c r="AC4207" s="2" t="s">
        <v>124</v>
      </c>
      <c r="AD4207" s="3">
        <v>40463</v>
      </c>
      <c r="AE4207" s="4">
        <v>0.45833333333333331</v>
      </c>
      <c r="AF4207" s="2"/>
      <c r="AG4207" s="2"/>
      <c r="AH4207" s="2">
        <v>2</v>
      </c>
      <c r="AI4207" s="2" t="s">
        <v>84</v>
      </c>
      <c r="AJ4207" s="2">
        <v>12</v>
      </c>
      <c r="AK4207" s="2" t="s">
        <v>85</v>
      </c>
      <c r="AL4207" s="2">
        <v>29</v>
      </c>
      <c r="AM4207" s="2" t="s">
        <v>5416</v>
      </c>
      <c r="AN4207" s="2" t="s">
        <v>8760</v>
      </c>
      <c r="AO4207" s="2"/>
      <c r="AP4207" s="2">
        <v>11</v>
      </c>
      <c r="AQ4207" s="2" t="s">
        <v>82</v>
      </c>
      <c r="AR4207" s="2"/>
      <c r="AS4207" s="2"/>
      <c r="AT4207" s="2" t="s">
        <v>13169</v>
      </c>
      <c r="AU4207" s="2">
        <v>1</v>
      </c>
      <c r="AV4207" s="2"/>
      <c r="AW4207" s="2"/>
      <c r="AX4207" s="2"/>
      <c r="AY4207" s="2">
        <v>41</v>
      </c>
      <c r="AZ4207" s="2" t="s">
        <v>82</v>
      </c>
      <c r="BA4207" s="2">
        <v>41</v>
      </c>
      <c r="BB4207" s="2" t="s">
        <v>82</v>
      </c>
      <c r="BC4207" s="2">
        <v>41</v>
      </c>
      <c r="BD4207" s="2" t="s">
        <v>82</v>
      </c>
      <c r="BE4207" s="2">
        <v>41</v>
      </c>
      <c r="BF4207" s="2" t="s">
        <v>82</v>
      </c>
      <c r="BG4207" s="2"/>
      <c r="BH4207" s="2"/>
      <c r="BI4207" s="2"/>
      <c r="BJ4207" s="2">
        <v>241</v>
      </c>
      <c r="BK4207" s="2" t="s">
        <v>82</v>
      </c>
      <c r="BL4207" s="2"/>
      <c r="BM4207" s="2">
        <v>241</v>
      </c>
      <c r="BN4207" s="2" t="s">
        <v>82</v>
      </c>
      <c r="BO4207" s="2"/>
      <c r="BP4207" s="2">
        <v>241</v>
      </c>
      <c r="BQ4207" s="2" t="s">
        <v>82</v>
      </c>
      <c r="BR4207" s="2"/>
      <c r="BS4207" s="3">
        <v>40463</v>
      </c>
      <c r="BT4207" s="4">
        <v>0.80243055555555554</v>
      </c>
    </row>
    <row r="4208" spans="1:72" x14ac:dyDescent="0.25">
      <c r="A4208" s="2">
        <v>6334</v>
      </c>
      <c r="B4208" s="2">
        <v>2010</v>
      </c>
      <c r="C4208" s="2" t="s">
        <v>171</v>
      </c>
      <c r="D4208" s="2" t="s">
        <v>73</v>
      </c>
      <c r="E4208" s="2"/>
      <c r="F4208" s="2">
        <v>600</v>
      </c>
      <c r="G4208" s="2" t="s">
        <v>5325</v>
      </c>
      <c r="H4208" s="2">
        <v>21</v>
      </c>
      <c r="I4208" s="2" t="s">
        <v>5326</v>
      </c>
      <c r="J4208" s="2">
        <v>170</v>
      </c>
      <c r="K4208" s="2" t="s">
        <v>5074</v>
      </c>
      <c r="L4208" s="2" t="s">
        <v>5075</v>
      </c>
      <c r="M4208" s="3">
        <v>40463</v>
      </c>
      <c r="N4208" s="2" t="s">
        <v>13170</v>
      </c>
      <c r="O4208" s="2"/>
      <c r="P4208" s="2"/>
      <c r="Q4208" s="2" t="str">
        <f>"404-A/10"</f>
        <v>404-A/10</v>
      </c>
      <c r="R4208" s="2" t="s">
        <v>1035</v>
      </c>
      <c r="S4208" s="2" t="s">
        <v>1035</v>
      </c>
      <c r="T4208" s="2">
        <v>1</v>
      </c>
      <c r="U4208" s="2" t="s">
        <v>79</v>
      </c>
      <c r="V4208" s="2">
        <v>1</v>
      </c>
      <c r="W4208" s="2" t="s">
        <v>80</v>
      </c>
      <c r="X4208" s="2">
        <v>1</v>
      </c>
      <c r="Y4208" s="2" t="s">
        <v>81</v>
      </c>
      <c r="Z4208" s="2">
        <v>1</v>
      </c>
      <c r="AA4208" s="2" t="s">
        <v>82</v>
      </c>
      <c r="AB4208" s="2">
        <v>1</v>
      </c>
      <c r="AC4208" s="2" t="s">
        <v>178</v>
      </c>
      <c r="AD4208" s="3">
        <v>40463</v>
      </c>
      <c r="AE4208" s="4">
        <v>0.34375</v>
      </c>
      <c r="AF4208" s="3">
        <v>40463</v>
      </c>
      <c r="AG4208" s="4">
        <v>0.47916666666666669</v>
      </c>
      <c r="AH4208" s="2">
        <v>2</v>
      </c>
      <c r="AI4208" s="2" t="s">
        <v>84</v>
      </c>
      <c r="AJ4208" s="2">
        <v>12</v>
      </c>
      <c r="AK4208" s="2" t="s">
        <v>85</v>
      </c>
      <c r="AL4208" s="2">
        <v>11</v>
      </c>
      <c r="AM4208" s="2" t="s">
        <v>137</v>
      </c>
      <c r="AN4208" s="2" t="s">
        <v>13171</v>
      </c>
      <c r="AO4208" s="2" t="s">
        <v>788</v>
      </c>
      <c r="AP4208" s="2">
        <v>11</v>
      </c>
      <c r="AQ4208" s="2" t="s">
        <v>82</v>
      </c>
      <c r="AR4208" s="2"/>
      <c r="AS4208" s="2"/>
      <c r="AT4208" s="2" t="s">
        <v>13172</v>
      </c>
      <c r="AU4208" s="2">
        <v>1</v>
      </c>
      <c r="AV4208" s="2"/>
      <c r="AW4208" s="2"/>
      <c r="AX4208" s="2"/>
      <c r="AY4208" s="2">
        <v>41</v>
      </c>
      <c r="AZ4208" s="2" t="s">
        <v>82</v>
      </c>
      <c r="BA4208" s="2">
        <v>41</v>
      </c>
      <c r="BB4208" s="2" t="s">
        <v>82</v>
      </c>
      <c r="BC4208" s="2">
        <v>41</v>
      </c>
      <c r="BD4208" s="2" t="s">
        <v>82</v>
      </c>
      <c r="BE4208" s="2">
        <v>4</v>
      </c>
      <c r="BF4208" s="2" t="s">
        <v>90</v>
      </c>
      <c r="BG4208" s="2" t="s">
        <v>13173</v>
      </c>
      <c r="BH4208" s="2"/>
      <c r="BI4208" s="4">
        <v>0.36458333333333331</v>
      </c>
      <c r="BJ4208" s="2">
        <v>13</v>
      </c>
      <c r="BK4208" s="2" t="s">
        <v>91</v>
      </c>
      <c r="BL4208" s="2" t="s">
        <v>564</v>
      </c>
      <c r="BM4208" s="2">
        <v>13</v>
      </c>
      <c r="BN4208" s="2" t="s">
        <v>91</v>
      </c>
      <c r="BO4208" s="2"/>
      <c r="BP4208" s="2">
        <v>13</v>
      </c>
      <c r="BQ4208" s="2" t="s">
        <v>91</v>
      </c>
      <c r="BR4208" s="2" t="s">
        <v>204</v>
      </c>
      <c r="BS4208" s="3">
        <v>40463</v>
      </c>
      <c r="BT4208" s="4">
        <v>0.8156944444444445</v>
      </c>
    </row>
    <row r="4209" spans="1:72" x14ac:dyDescent="0.25">
      <c r="A4209" s="2">
        <v>6335</v>
      </c>
      <c r="B4209" s="2">
        <v>2010</v>
      </c>
      <c r="C4209" s="2" t="s">
        <v>93</v>
      </c>
      <c r="D4209" s="2" t="s">
        <v>73</v>
      </c>
      <c r="E4209" s="2"/>
      <c r="F4209" s="2">
        <v>693</v>
      </c>
      <c r="G4209" s="2" t="s">
        <v>13174</v>
      </c>
      <c r="H4209" s="2">
        <v>87</v>
      </c>
      <c r="I4209" s="2" t="s">
        <v>4918</v>
      </c>
      <c r="J4209" s="2">
        <v>228</v>
      </c>
      <c r="K4209" s="2" t="s">
        <v>7058</v>
      </c>
      <c r="L4209" s="2" t="s">
        <v>7059</v>
      </c>
      <c r="M4209" s="3">
        <v>40463</v>
      </c>
      <c r="N4209" s="2" t="s">
        <v>13175</v>
      </c>
      <c r="O4209" s="2" t="s">
        <v>13176</v>
      </c>
      <c r="P4209" s="2" t="s">
        <v>13177</v>
      </c>
      <c r="Q4209" s="2" t="str">
        <f>""</f>
        <v/>
      </c>
      <c r="R4209" s="2"/>
      <c r="S4209" s="2"/>
      <c r="T4209" s="2">
        <v>1</v>
      </c>
      <c r="U4209" s="2" t="s">
        <v>79</v>
      </c>
      <c r="V4209" s="2">
        <v>1</v>
      </c>
      <c r="W4209" s="2" t="s">
        <v>80</v>
      </c>
      <c r="X4209" s="2">
        <v>10</v>
      </c>
      <c r="Y4209" s="2" t="s">
        <v>226</v>
      </c>
      <c r="Z4209" s="2">
        <v>6</v>
      </c>
      <c r="AA4209" s="2" t="s">
        <v>101</v>
      </c>
      <c r="AB4209" s="2">
        <v>2</v>
      </c>
      <c r="AC4209" s="2" t="s">
        <v>102</v>
      </c>
      <c r="AD4209" s="3">
        <v>40463</v>
      </c>
      <c r="AE4209" s="2"/>
      <c r="AF4209" s="3">
        <v>40463</v>
      </c>
      <c r="AG4209" s="4">
        <v>0.27083333333333331</v>
      </c>
      <c r="AH4209" s="2">
        <v>2</v>
      </c>
      <c r="AI4209" s="2" t="s">
        <v>84</v>
      </c>
      <c r="AJ4209" s="2">
        <v>9</v>
      </c>
      <c r="AK4209" s="2" t="s">
        <v>103</v>
      </c>
      <c r="AL4209" s="2">
        <v>12</v>
      </c>
      <c r="AM4209" s="2" t="s">
        <v>86</v>
      </c>
      <c r="AN4209" s="2" t="s">
        <v>13178</v>
      </c>
      <c r="AO4209" s="2"/>
      <c r="AP4209" s="2">
        <v>11</v>
      </c>
      <c r="AQ4209" s="2" t="s">
        <v>82</v>
      </c>
      <c r="AR4209" s="2"/>
      <c r="AS4209" s="2"/>
      <c r="AT4209" s="2" t="s">
        <v>13179</v>
      </c>
      <c r="AU4209" s="2">
        <v>1</v>
      </c>
      <c r="AV4209" s="2"/>
      <c r="AW4209" s="2"/>
      <c r="AX4209" s="2"/>
      <c r="AY4209" s="2">
        <v>41</v>
      </c>
      <c r="AZ4209" s="2" t="s">
        <v>82</v>
      </c>
      <c r="BA4209" s="2">
        <v>41</v>
      </c>
      <c r="BB4209" s="2" t="s">
        <v>82</v>
      </c>
      <c r="BC4209" s="2">
        <v>41</v>
      </c>
      <c r="BD4209" s="2" t="s">
        <v>82</v>
      </c>
      <c r="BE4209" s="2">
        <v>41</v>
      </c>
      <c r="BF4209" s="2" t="s">
        <v>82</v>
      </c>
      <c r="BG4209" s="2"/>
      <c r="BH4209" s="2"/>
      <c r="BI4209" s="2"/>
      <c r="BJ4209" s="2">
        <v>241</v>
      </c>
      <c r="BK4209" s="2" t="s">
        <v>82</v>
      </c>
      <c r="BL4209" s="2"/>
      <c r="BM4209" s="2">
        <v>241</v>
      </c>
      <c r="BN4209" s="2" t="s">
        <v>82</v>
      </c>
      <c r="BO4209" s="2"/>
      <c r="BP4209" s="2">
        <v>241</v>
      </c>
      <c r="BQ4209" s="2" t="s">
        <v>82</v>
      </c>
      <c r="BR4209" s="2"/>
      <c r="BS4209" s="3">
        <v>40463</v>
      </c>
      <c r="BT4209" s="4">
        <v>0.83135416666666673</v>
      </c>
    </row>
    <row r="4210" spans="1:72" x14ac:dyDescent="0.25">
      <c r="A4210" s="2">
        <v>6336</v>
      </c>
      <c r="B4210" s="2">
        <v>2010</v>
      </c>
      <c r="C4210" s="2" t="s">
        <v>72</v>
      </c>
      <c r="D4210" s="2" t="s">
        <v>122</v>
      </c>
      <c r="E4210" s="2" t="s">
        <v>13180</v>
      </c>
      <c r="F4210" s="2">
        <v>309</v>
      </c>
      <c r="G4210" s="2" t="s">
        <v>2199</v>
      </c>
      <c r="H4210" s="2">
        <v>3</v>
      </c>
      <c r="I4210" s="2" t="s">
        <v>315</v>
      </c>
      <c r="J4210" s="2">
        <v>652</v>
      </c>
      <c r="K4210" s="2" t="s">
        <v>11530</v>
      </c>
      <c r="L4210" s="2" t="s">
        <v>11531</v>
      </c>
      <c r="M4210" s="3">
        <v>40463</v>
      </c>
      <c r="N4210" s="2" t="s">
        <v>11532</v>
      </c>
      <c r="O4210" s="2" t="s">
        <v>11533</v>
      </c>
      <c r="P4210" s="7">
        <v>12606</v>
      </c>
      <c r="Q4210" s="2" t="str">
        <f>"002/10"</f>
        <v>002/10</v>
      </c>
      <c r="R4210" s="2"/>
      <c r="S4210" s="2" t="s">
        <v>10961</v>
      </c>
      <c r="T4210" s="2">
        <v>1</v>
      </c>
      <c r="U4210" s="2" t="s">
        <v>79</v>
      </c>
      <c r="V4210" s="2">
        <v>1</v>
      </c>
      <c r="W4210" s="2" t="s">
        <v>80</v>
      </c>
      <c r="X4210" s="2">
        <v>6</v>
      </c>
      <c r="Y4210" s="2" t="s">
        <v>249</v>
      </c>
      <c r="Z4210" s="2">
        <v>10</v>
      </c>
      <c r="AA4210" s="2" t="s">
        <v>236</v>
      </c>
      <c r="AB4210" s="2">
        <v>6</v>
      </c>
      <c r="AC4210" s="2" t="s">
        <v>83</v>
      </c>
      <c r="AD4210" s="3">
        <v>40459</v>
      </c>
      <c r="AE4210" s="4">
        <v>0.52083333333333337</v>
      </c>
      <c r="AF4210" s="2"/>
      <c r="AG4210" s="2"/>
      <c r="AH4210" s="2">
        <v>5</v>
      </c>
      <c r="AI4210" s="2" t="s">
        <v>274</v>
      </c>
      <c r="AJ4210" s="2">
        <v>40</v>
      </c>
      <c r="AK4210" s="2" t="s">
        <v>935</v>
      </c>
      <c r="AL4210" s="2">
        <v>19</v>
      </c>
      <c r="AM4210" s="2" t="s">
        <v>107</v>
      </c>
      <c r="AN4210" s="2"/>
      <c r="AO4210" s="2"/>
      <c r="AP4210" s="2">
        <v>11</v>
      </c>
      <c r="AQ4210" s="2" t="s">
        <v>82</v>
      </c>
      <c r="AR4210" s="2"/>
      <c r="AS4210" s="2"/>
      <c r="AT4210" s="2" t="s">
        <v>13181</v>
      </c>
      <c r="AU4210" s="2"/>
      <c r="AV4210" s="2"/>
      <c r="AW4210" s="2"/>
      <c r="AX4210" s="2"/>
      <c r="AY4210" s="2">
        <v>41</v>
      </c>
      <c r="AZ4210" s="2" t="s">
        <v>82</v>
      </c>
      <c r="BA4210" s="2">
        <v>41</v>
      </c>
      <c r="BB4210" s="2" t="s">
        <v>82</v>
      </c>
      <c r="BC4210" s="2">
        <v>41</v>
      </c>
      <c r="BD4210" s="2" t="s">
        <v>82</v>
      </c>
      <c r="BE4210" s="2">
        <v>41</v>
      </c>
      <c r="BF4210" s="2" t="s">
        <v>82</v>
      </c>
      <c r="BG4210" s="2"/>
      <c r="BH4210" s="2"/>
      <c r="BI4210" s="2"/>
      <c r="BJ4210" s="2">
        <v>241</v>
      </c>
      <c r="BK4210" s="2" t="s">
        <v>82</v>
      </c>
      <c r="BL4210" s="2"/>
      <c r="BM4210" s="2">
        <v>241</v>
      </c>
      <c r="BN4210" s="2" t="s">
        <v>82</v>
      </c>
      <c r="BO4210" s="2"/>
      <c r="BP4210" s="2">
        <v>241</v>
      </c>
      <c r="BQ4210" s="2" t="s">
        <v>82</v>
      </c>
      <c r="BR4210" s="2"/>
      <c r="BS4210" s="3">
        <v>40463</v>
      </c>
      <c r="BT4210" s="4">
        <v>0.83307870370370374</v>
      </c>
    </row>
    <row r="4211" spans="1:72" x14ac:dyDescent="0.25">
      <c r="A4211" s="2">
        <v>6337</v>
      </c>
      <c r="B4211" s="2">
        <v>2010</v>
      </c>
      <c r="C4211" s="2" t="s">
        <v>457</v>
      </c>
      <c r="D4211" s="2" t="s">
        <v>122</v>
      </c>
      <c r="E4211" s="2"/>
      <c r="F4211" s="2">
        <v>35</v>
      </c>
      <c r="G4211" s="2" t="s">
        <v>2057</v>
      </c>
      <c r="H4211" s="2">
        <v>55</v>
      </c>
      <c r="I4211" s="2" t="s">
        <v>2058</v>
      </c>
      <c r="J4211" s="2">
        <v>43</v>
      </c>
      <c r="K4211" s="2" t="s">
        <v>2059</v>
      </c>
      <c r="L4211" s="2" t="s">
        <v>2060</v>
      </c>
      <c r="M4211" s="3">
        <v>40463</v>
      </c>
      <c r="N4211" s="2" t="s">
        <v>82</v>
      </c>
      <c r="O4211" s="2" t="s">
        <v>13182</v>
      </c>
      <c r="P4211" s="2" t="s">
        <v>13183</v>
      </c>
      <c r="Q4211" s="2" t="str">
        <f>"N/C"</f>
        <v>N/C</v>
      </c>
      <c r="R4211" s="2" t="s">
        <v>2063</v>
      </c>
      <c r="S4211" s="2" t="s">
        <v>13184</v>
      </c>
      <c r="T4211" s="2">
        <v>1</v>
      </c>
      <c r="U4211" s="2" t="s">
        <v>79</v>
      </c>
      <c r="V4211" s="2">
        <v>1</v>
      </c>
      <c r="W4211" s="2" t="s">
        <v>80</v>
      </c>
      <c r="X4211" s="2">
        <v>4</v>
      </c>
      <c r="Y4211" s="2" t="s">
        <v>463</v>
      </c>
      <c r="Z4211" s="2">
        <v>1</v>
      </c>
      <c r="AA4211" s="2" t="s">
        <v>82</v>
      </c>
      <c r="AB4211" s="2">
        <v>9</v>
      </c>
      <c r="AC4211" s="2" t="s">
        <v>124</v>
      </c>
      <c r="AD4211" s="3">
        <v>40463</v>
      </c>
      <c r="AE4211" s="4">
        <v>0.75</v>
      </c>
      <c r="AF4211" s="2"/>
      <c r="AG4211" s="2"/>
      <c r="AH4211" s="2">
        <v>3</v>
      </c>
      <c r="AI4211" s="2" t="s">
        <v>214</v>
      </c>
      <c r="AJ4211" s="2">
        <v>17</v>
      </c>
      <c r="AK4211" s="2" t="s">
        <v>309</v>
      </c>
      <c r="AL4211" s="2">
        <v>10</v>
      </c>
      <c r="AM4211" s="2" t="s">
        <v>200</v>
      </c>
      <c r="AN4211" s="2" t="s">
        <v>230</v>
      </c>
      <c r="AO4211" s="2" t="s">
        <v>13185</v>
      </c>
      <c r="AP4211" s="2">
        <v>11</v>
      </c>
      <c r="AQ4211" s="2" t="s">
        <v>82</v>
      </c>
      <c r="AR4211" s="2" t="s">
        <v>82</v>
      </c>
      <c r="AS4211" s="2" t="s">
        <v>82</v>
      </c>
      <c r="AT4211" s="2" t="s">
        <v>13186</v>
      </c>
      <c r="AU4211" s="2">
        <v>1</v>
      </c>
      <c r="AV4211" s="2"/>
      <c r="AW4211" s="2"/>
      <c r="AX4211" s="2"/>
      <c r="AY4211" s="2">
        <v>41</v>
      </c>
      <c r="AZ4211" s="2" t="s">
        <v>82</v>
      </c>
      <c r="BA4211" s="2">
        <v>41</v>
      </c>
      <c r="BB4211" s="2" t="s">
        <v>82</v>
      </c>
      <c r="BC4211" s="2">
        <v>41</v>
      </c>
      <c r="BD4211" s="2" t="s">
        <v>82</v>
      </c>
      <c r="BE4211" s="2">
        <v>47</v>
      </c>
      <c r="BF4211" s="2" t="s">
        <v>167</v>
      </c>
      <c r="BG4211" s="2">
        <v>2413</v>
      </c>
      <c r="BH4211" s="4">
        <v>0.74652777777777779</v>
      </c>
      <c r="BI4211" s="4">
        <v>0.78819444444444453</v>
      </c>
      <c r="BJ4211" s="2">
        <v>13</v>
      </c>
      <c r="BK4211" s="2" t="s">
        <v>91</v>
      </c>
      <c r="BL4211" s="2" t="s">
        <v>445</v>
      </c>
      <c r="BM4211" s="2">
        <v>13</v>
      </c>
      <c r="BN4211" s="2" t="s">
        <v>91</v>
      </c>
      <c r="BO4211" s="2"/>
      <c r="BP4211" s="2">
        <v>13</v>
      </c>
      <c r="BQ4211" s="2" t="s">
        <v>91</v>
      </c>
      <c r="BR4211" s="2" t="s">
        <v>240</v>
      </c>
      <c r="BS4211" s="3">
        <v>40463</v>
      </c>
      <c r="BT4211" s="4">
        <v>0.83468749999999992</v>
      </c>
    </row>
    <row r="4212" spans="1:72" x14ac:dyDescent="0.25">
      <c r="A4212" s="2">
        <v>6338</v>
      </c>
      <c r="B4212" s="2">
        <v>2010</v>
      </c>
      <c r="C4212" s="2" t="s">
        <v>72</v>
      </c>
      <c r="D4212" s="2" t="s">
        <v>73</v>
      </c>
      <c r="E4212" s="2"/>
      <c r="F4212" s="2">
        <v>151</v>
      </c>
      <c r="G4212" s="2" t="s">
        <v>314</v>
      </c>
      <c r="H4212" s="2">
        <v>2</v>
      </c>
      <c r="I4212" s="2" t="s">
        <v>267</v>
      </c>
      <c r="J4212" s="2">
        <v>399</v>
      </c>
      <c r="K4212" s="2" t="s">
        <v>1820</v>
      </c>
      <c r="L4212" s="2" t="s">
        <v>1821</v>
      </c>
      <c r="M4212" s="3">
        <v>40463</v>
      </c>
      <c r="N4212" s="2" t="s">
        <v>13187</v>
      </c>
      <c r="O4212" s="2"/>
      <c r="P4212" s="2"/>
      <c r="Q4212" s="2" t="str">
        <f>"531-E/10"</f>
        <v>531-E/10</v>
      </c>
      <c r="R4212" s="2" t="s">
        <v>601</v>
      </c>
      <c r="S4212" s="2" t="s">
        <v>601</v>
      </c>
      <c r="T4212" s="2">
        <v>1</v>
      </c>
      <c r="U4212" s="2" t="s">
        <v>79</v>
      </c>
      <c r="V4212" s="2">
        <v>1</v>
      </c>
      <c r="W4212" s="2" t="s">
        <v>80</v>
      </c>
      <c r="X4212" s="2">
        <v>12</v>
      </c>
      <c r="Y4212" s="2" t="s">
        <v>148</v>
      </c>
      <c r="Z4212" s="2">
        <v>1</v>
      </c>
      <c r="AA4212" s="2" t="s">
        <v>82</v>
      </c>
      <c r="AB4212" s="2">
        <v>6</v>
      </c>
      <c r="AC4212" s="2" t="s">
        <v>83</v>
      </c>
      <c r="AD4212" s="3">
        <v>40463</v>
      </c>
      <c r="AE4212" s="2"/>
      <c r="AF4212" s="3">
        <v>40463</v>
      </c>
      <c r="AG4212" s="4">
        <v>0.58333333333333337</v>
      </c>
      <c r="AH4212" s="2">
        <v>2</v>
      </c>
      <c r="AI4212" s="2" t="s">
        <v>84</v>
      </c>
      <c r="AJ4212" s="2">
        <v>9</v>
      </c>
      <c r="AK4212" s="2" t="s">
        <v>103</v>
      </c>
      <c r="AL4212" s="2">
        <v>22</v>
      </c>
      <c r="AM4212" s="2" t="s">
        <v>1853</v>
      </c>
      <c r="AN4212" s="2" t="s">
        <v>13188</v>
      </c>
      <c r="AO4212" s="2" t="s">
        <v>12699</v>
      </c>
      <c r="AP4212" s="2">
        <v>11</v>
      </c>
      <c r="AQ4212" s="2" t="s">
        <v>82</v>
      </c>
      <c r="AR4212" s="2"/>
      <c r="AS4212" s="2"/>
      <c r="AT4212" s="2" t="s">
        <v>13189</v>
      </c>
      <c r="AU4212" s="2"/>
      <c r="AV4212" s="2"/>
      <c r="AW4212" s="2"/>
      <c r="AX4212" s="2"/>
      <c r="AY4212" s="2">
        <v>41</v>
      </c>
      <c r="AZ4212" s="2" t="s">
        <v>82</v>
      </c>
      <c r="BA4212" s="2">
        <v>41</v>
      </c>
      <c r="BB4212" s="2" t="s">
        <v>82</v>
      </c>
      <c r="BC4212" s="2">
        <v>41</v>
      </c>
      <c r="BD4212" s="2" t="s">
        <v>82</v>
      </c>
      <c r="BE4212" s="2">
        <v>39</v>
      </c>
      <c r="BF4212" s="2" t="s">
        <v>440</v>
      </c>
      <c r="BG4212" s="2" t="s">
        <v>7948</v>
      </c>
      <c r="BH4212" s="4">
        <v>0.41666666666666669</v>
      </c>
      <c r="BI4212" s="2"/>
      <c r="BJ4212" s="2">
        <v>33</v>
      </c>
      <c r="BK4212" s="2" t="s">
        <v>361</v>
      </c>
      <c r="BL4212" s="2" t="s">
        <v>1739</v>
      </c>
      <c r="BM4212" s="2">
        <v>205</v>
      </c>
      <c r="BN4212" s="2" t="s">
        <v>1085</v>
      </c>
      <c r="BO4212" s="2"/>
      <c r="BP4212" s="2">
        <v>13</v>
      </c>
      <c r="BQ4212" s="2" t="s">
        <v>91</v>
      </c>
      <c r="BR4212" s="2" t="s">
        <v>360</v>
      </c>
      <c r="BS4212" s="3">
        <v>40463</v>
      </c>
      <c r="BT4212" s="4">
        <v>0.86325231481481479</v>
      </c>
    </row>
    <row r="4213" spans="1:72" x14ac:dyDescent="0.25">
      <c r="A4213" s="2">
        <v>6341</v>
      </c>
      <c r="B4213" s="2">
        <v>2010</v>
      </c>
      <c r="C4213" s="2" t="s">
        <v>457</v>
      </c>
      <c r="D4213" s="2" t="s">
        <v>73</v>
      </c>
      <c r="E4213" s="2"/>
      <c r="F4213" s="2">
        <v>35</v>
      </c>
      <c r="G4213" s="2" t="s">
        <v>2057</v>
      </c>
      <c r="H4213" s="2">
        <v>55</v>
      </c>
      <c r="I4213" s="2" t="s">
        <v>2058</v>
      </c>
      <c r="J4213" s="2">
        <v>48</v>
      </c>
      <c r="K4213" s="2" t="s">
        <v>13190</v>
      </c>
      <c r="L4213" s="2" t="s">
        <v>13191</v>
      </c>
      <c r="M4213" s="3">
        <v>40463</v>
      </c>
      <c r="N4213" s="2" t="s">
        <v>7352</v>
      </c>
      <c r="O4213" s="2" t="s">
        <v>6024</v>
      </c>
      <c r="P4213" s="2" t="s">
        <v>13183</v>
      </c>
      <c r="Q4213" s="2" t="str">
        <f>"N/C"</f>
        <v>N/C</v>
      </c>
      <c r="R4213" s="2" t="s">
        <v>107</v>
      </c>
      <c r="S4213" s="2" t="s">
        <v>82</v>
      </c>
      <c r="T4213" s="2">
        <v>1</v>
      </c>
      <c r="U4213" s="2" t="s">
        <v>79</v>
      </c>
      <c r="V4213" s="2">
        <v>1</v>
      </c>
      <c r="W4213" s="2" t="s">
        <v>80</v>
      </c>
      <c r="X4213" s="2">
        <v>11</v>
      </c>
      <c r="Y4213" s="2" t="s">
        <v>1920</v>
      </c>
      <c r="Z4213" s="2">
        <v>1</v>
      </c>
      <c r="AA4213" s="2" t="s">
        <v>82</v>
      </c>
      <c r="AB4213" s="2">
        <v>9</v>
      </c>
      <c r="AC4213" s="2" t="s">
        <v>124</v>
      </c>
      <c r="AD4213" s="3">
        <v>40463</v>
      </c>
      <c r="AE4213" s="4">
        <v>0.65277777777777779</v>
      </c>
      <c r="AF4213" s="2"/>
      <c r="AG4213" s="2"/>
      <c r="AH4213" s="2">
        <v>2</v>
      </c>
      <c r="AI4213" s="2" t="s">
        <v>84</v>
      </c>
      <c r="AJ4213" s="2">
        <v>12</v>
      </c>
      <c r="AK4213" s="2" t="s">
        <v>85</v>
      </c>
      <c r="AL4213" s="2">
        <v>2</v>
      </c>
      <c r="AM4213" s="2" t="s">
        <v>163</v>
      </c>
      <c r="AN4213" s="2" t="s">
        <v>107</v>
      </c>
      <c r="AO4213" s="2" t="s">
        <v>13192</v>
      </c>
      <c r="AP4213" s="2">
        <v>11</v>
      </c>
      <c r="AQ4213" s="2" t="s">
        <v>82</v>
      </c>
      <c r="AR4213" s="2"/>
      <c r="AS4213" s="2"/>
      <c r="AT4213" s="2" t="s">
        <v>13193</v>
      </c>
      <c r="AU4213" s="2"/>
      <c r="AV4213" s="2"/>
      <c r="AW4213" s="2"/>
      <c r="AX4213" s="2"/>
      <c r="AY4213" s="2">
        <v>41</v>
      </c>
      <c r="AZ4213" s="2" t="s">
        <v>82</v>
      </c>
      <c r="BA4213" s="2">
        <v>41</v>
      </c>
      <c r="BB4213" s="2" t="s">
        <v>82</v>
      </c>
      <c r="BC4213" s="2">
        <v>41</v>
      </c>
      <c r="BD4213" s="2" t="s">
        <v>82</v>
      </c>
      <c r="BE4213" s="2">
        <v>13</v>
      </c>
      <c r="BF4213" s="2" t="s">
        <v>108</v>
      </c>
      <c r="BG4213" s="2" t="s">
        <v>13194</v>
      </c>
      <c r="BH4213" s="4">
        <v>0.65277777777777779</v>
      </c>
      <c r="BI4213" s="2"/>
      <c r="BJ4213" s="2">
        <v>13</v>
      </c>
      <c r="BK4213" s="2" t="s">
        <v>91</v>
      </c>
      <c r="BL4213" s="2" t="s">
        <v>445</v>
      </c>
      <c r="BM4213" s="2">
        <v>241</v>
      </c>
      <c r="BN4213" s="2" t="s">
        <v>82</v>
      </c>
      <c r="BO4213" s="2"/>
      <c r="BP4213" s="2">
        <v>13</v>
      </c>
      <c r="BQ4213" s="2" t="s">
        <v>91</v>
      </c>
      <c r="BR4213" s="2" t="s">
        <v>185</v>
      </c>
      <c r="BS4213" s="3">
        <v>40463</v>
      </c>
      <c r="BT4213" s="4">
        <v>0.93128472222222225</v>
      </c>
    </row>
    <row r="4214" spans="1:72" x14ac:dyDescent="0.25">
      <c r="A4214" s="2">
        <v>6342</v>
      </c>
      <c r="B4214" s="2">
        <v>2010</v>
      </c>
      <c r="C4214" s="2" t="s">
        <v>196</v>
      </c>
      <c r="D4214" s="2" t="s">
        <v>122</v>
      </c>
      <c r="E4214" s="2"/>
      <c r="F4214" s="2">
        <v>1</v>
      </c>
      <c r="G4214" s="2" t="s">
        <v>82</v>
      </c>
      <c r="H4214" s="2">
        <v>1</v>
      </c>
      <c r="I4214" s="2" t="s">
        <v>82</v>
      </c>
      <c r="J4214" s="2">
        <v>1</v>
      </c>
      <c r="K4214" s="2" t="s">
        <v>107</v>
      </c>
      <c r="L4214" s="2" t="s">
        <v>107</v>
      </c>
      <c r="M4214" s="3">
        <v>40463</v>
      </c>
      <c r="N4214" s="2"/>
      <c r="O4214" s="2"/>
      <c r="P4214" s="2"/>
      <c r="Q4214" s="2" t="str">
        <f>""</f>
        <v/>
      </c>
      <c r="R4214" s="2"/>
      <c r="S4214" s="2"/>
      <c r="T4214" s="2">
        <v>2</v>
      </c>
      <c r="U4214" s="2" t="s">
        <v>123</v>
      </c>
      <c r="V4214" s="2">
        <v>1</v>
      </c>
      <c r="W4214" s="2" t="s">
        <v>80</v>
      </c>
      <c r="X4214" s="2">
        <v>11</v>
      </c>
      <c r="Y4214" s="2" t="s">
        <v>1920</v>
      </c>
      <c r="Z4214" s="2">
        <v>1</v>
      </c>
      <c r="AA4214" s="2" t="s">
        <v>82</v>
      </c>
      <c r="AB4214" s="2">
        <v>9</v>
      </c>
      <c r="AC4214" s="2" t="s">
        <v>124</v>
      </c>
      <c r="AD4214" s="3">
        <v>40463</v>
      </c>
      <c r="AE4214" s="4">
        <v>0.85416666666666663</v>
      </c>
      <c r="AF4214" s="2"/>
      <c r="AG4214" s="2"/>
      <c r="AH4214" s="2">
        <v>2</v>
      </c>
      <c r="AI4214" s="2" t="s">
        <v>84</v>
      </c>
      <c r="AJ4214" s="2">
        <v>12</v>
      </c>
      <c r="AK4214" s="2" t="s">
        <v>85</v>
      </c>
      <c r="AL4214" s="2">
        <v>20</v>
      </c>
      <c r="AM4214" s="2" t="s">
        <v>992</v>
      </c>
      <c r="AN4214" s="2"/>
      <c r="AO4214" s="2"/>
      <c r="AP4214" s="2">
        <v>11</v>
      </c>
      <c r="AQ4214" s="2" t="s">
        <v>82</v>
      </c>
      <c r="AR4214" s="2"/>
      <c r="AS4214" s="2"/>
      <c r="AT4214" s="2" t="s">
        <v>13195</v>
      </c>
      <c r="AU4214" s="2"/>
      <c r="AV4214" s="2"/>
      <c r="AW4214" s="2"/>
      <c r="AX4214" s="2"/>
      <c r="AY4214" s="2">
        <v>41</v>
      </c>
      <c r="AZ4214" s="2" t="s">
        <v>82</v>
      </c>
      <c r="BA4214" s="2">
        <v>41</v>
      </c>
      <c r="BB4214" s="2" t="s">
        <v>82</v>
      </c>
      <c r="BC4214" s="2">
        <v>41</v>
      </c>
      <c r="BD4214" s="2" t="s">
        <v>82</v>
      </c>
      <c r="BE4214" s="2">
        <v>41</v>
      </c>
      <c r="BF4214" s="2" t="s">
        <v>82</v>
      </c>
      <c r="BG4214" s="2"/>
      <c r="BH4214" s="4">
        <v>0.89513888888888893</v>
      </c>
      <c r="BI4214" s="4">
        <v>0.89861111111111114</v>
      </c>
      <c r="BJ4214" s="2">
        <v>13</v>
      </c>
      <c r="BK4214" s="2" t="s">
        <v>91</v>
      </c>
      <c r="BL4214" s="2" t="s">
        <v>1958</v>
      </c>
      <c r="BM4214" s="2">
        <v>241</v>
      </c>
      <c r="BN4214" s="2" t="s">
        <v>82</v>
      </c>
      <c r="BO4214" s="2"/>
      <c r="BP4214" s="2">
        <v>13</v>
      </c>
      <c r="BQ4214" s="2" t="s">
        <v>91</v>
      </c>
      <c r="BR4214" s="2" t="s">
        <v>185</v>
      </c>
      <c r="BS4214" s="3">
        <v>40463</v>
      </c>
      <c r="BT4214" s="4">
        <v>0.93640046296296298</v>
      </c>
    </row>
    <row r="4215" spans="1:72" x14ac:dyDescent="0.25">
      <c r="A4215" s="2">
        <v>6343</v>
      </c>
      <c r="B4215" s="2">
        <v>2010</v>
      </c>
      <c r="C4215" s="2" t="s">
        <v>128</v>
      </c>
      <c r="D4215" s="2" t="s">
        <v>122</v>
      </c>
      <c r="E4215" s="2" t="s">
        <v>13196</v>
      </c>
      <c r="F4215" s="2">
        <v>186</v>
      </c>
      <c r="G4215" s="2" t="s">
        <v>11501</v>
      </c>
      <c r="H4215" s="2">
        <v>21</v>
      </c>
      <c r="I4215" s="2" t="s">
        <v>5326</v>
      </c>
      <c r="J4215" s="2">
        <v>170</v>
      </c>
      <c r="K4215" s="2" t="s">
        <v>5074</v>
      </c>
      <c r="L4215" s="2" t="s">
        <v>5075</v>
      </c>
      <c r="M4215" s="3">
        <v>40464</v>
      </c>
      <c r="N4215" s="2" t="s">
        <v>5359</v>
      </c>
      <c r="O4215" s="2"/>
      <c r="P4215" s="2"/>
      <c r="Q4215" s="2" t="str">
        <f>"PS 405-A/10"</f>
        <v>PS 405-A/10</v>
      </c>
      <c r="R4215" s="2" t="s">
        <v>13168</v>
      </c>
      <c r="S4215" s="2"/>
      <c r="T4215" s="2">
        <v>1</v>
      </c>
      <c r="U4215" s="2" t="s">
        <v>79</v>
      </c>
      <c r="V4215" s="2">
        <v>1</v>
      </c>
      <c r="W4215" s="2" t="s">
        <v>80</v>
      </c>
      <c r="X4215" s="2">
        <v>1</v>
      </c>
      <c r="Y4215" s="2" t="s">
        <v>81</v>
      </c>
      <c r="Z4215" s="2">
        <v>1</v>
      </c>
      <c r="AA4215" s="2" t="s">
        <v>82</v>
      </c>
      <c r="AB4215" s="2">
        <v>9</v>
      </c>
      <c r="AC4215" s="2" t="s">
        <v>124</v>
      </c>
      <c r="AD4215" s="3">
        <v>40464</v>
      </c>
      <c r="AE4215" s="4">
        <v>2.4305555555555556E-2</v>
      </c>
      <c r="AF4215" s="2"/>
      <c r="AG4215" s="2"/>
      <c r="AH4215" s="2">
        <v>2</v>
      </c>
      <c r="AI4215" s="2" t="s">
        <v>84</v>
      </c>
      <c r="AJ4215" s="2">
        <v>12</v>
      </c>
      <c r="AK4215" s="2" t="s">
        <v>85</v>
      </c>
      <c r="AL4215" s="2">
        <v>29</v>
      </c>
      <c r="AM4215" s="2" t="s">
        <v>5416</v>
      </c>
      <c r="AN4215" s="2" t="s">
        <v>5528</v>
      </c>
      <c r="AO4215" s="2" t="s">
        <v>1945</v>
      </c>
      <c r="AP4215" s="2">
        <v>11</v>
      </c>
      <c r="AQ4215" s="2" t="s">
        <v>82</v>
      </c>
      <c r="AR4215" s="2"/>
      <c r="AS4215" s="2"/>
      <c r="AT4215" s="2" t="s">
        <v>13197</v>
      </c>
      <c r="AU4215" s="2">
        <v>1</v>
      </c>
      <c r="AV4215" s="2"/>
      <c r="AW4215" s="2"/>
      <c r="AX4215" s="2"/>
      <c r="AY4215" s="2">
        <v>41</v>
      </c>
      <c r="AZ4215" s="2" t="s">
        <v>82</v>
      </c>
      <c r="BA4215" s="2">
        <v>41</v>
      </c>
      <c r="BB4215" s="2" t="s">
        <v>82</v>
      </c>
      <c r="BC4215" s="2">
        <v>41</v>
      </c>
      <c r="BD4215" s="2" t="s">
        <v>82</v>
      </c>
      <c r="BE4215" s="2">
        <v>41</v>
      </c>
      <c r="BF4215" s="2" t="s">
        <v>82</v>
      </c>
      <c r="BG4215" s="2"/>
      <c r="BH4215" s="2"/>
      <c r="BI4215" s="2"/>
      <c r="BJ4215" s="2">
        <v>241</v>
      </c>
      <c r="BK4215" s="2" t="s">
        <v>82</v>
      </c>
      <c r="BL4215" s="2"/>
      <c r="BM4215" s="2">
        <v>241</v>
      </c>
      <c r="BN4215" s="2" t="s">
        <v>82</v>
      </c>
      <c r="BO4215" s="2"/>
      <c r="BP4215" s="2">
        <v>241</v>
      </c>
      <c r="BQ4215" s="2" t="s">
        <v>82</v>
      </c>
      <c r="BR4215" s="2"/>
      <c r="BS4215" s="3">
        <v>40464</v>
      </c>
      <c r="BT4215" s="4">
        <v>4.821759259259259E-2</v>
      </c>
    </row>
    <row r="4216" spans="1:72" x14ac:dyDescent="0.25">
      <c r="A4216" s="2">
        <v>6345</v>
      </c>
      <c r="B4216" s="2">
        <v>2010</v>
      </c>
      <c r="C4216" s="2" t="s">
        <v>171</v>
      </c>
      <c r="D4216" s="2" t="s">
        <v>122</v>
      </c>
      <c r="E4216" s="2" t="s">
        <v>13198</v>
      </c>
      <c r="F4216" s="2">
        <v>600</v>
      </c>
      <c r="G4216" s="2" t="s">
        <v>5325</v>
      </c>
      <c r="H4216" s="2">
        <v>21</v>
      </c>
      <c r="I4216" s="2" t="s">
        <v>5326</v>
      </c>
      <c r="J4216" s="2">
        <v>170</v>
      </c>
      <c r="K4216" s="2" t="s">
        <v>5074</v>
      </c>
      <c r="L4216" s="2" t="s">
        <v>5075</v>
      </c>
      <c r="M4216" s="3">
        <v>40464</v>
      </c>
      <c r="N4216" s="2" t="s">
        <v>13170</v>
      </c>
      <c r="O4216" s="2"/>
      <c r="P4216" s="2"/>
      <c r="Q4216" s="2" t="str">
        <f>"PS 404-A/10"</f>
        <v>PS 404-A/10</v>
      </c>
      <c r="R4216" s="2" t="s">
        <v>1035</v>
      </c>
      <c r="S4216" s="2"/>
      <c r="T4216" s="2">
        <v>1</v>
      </c>
      <c r="U4216" s="2" t="s">
        <v>79</v>
      </c>
      <c r="V4216" s="2">
        <v>1</v>
      </c>
      <c r="W4216" s="2" t="s">
        <v>80</v>
      </c>
      <c r="X4216" s="2">
        <v>1</v>
      </c>
      <c r="Y4216" s="2" t="s">
        <v>81</v>
      </c>
      <c r="Z4216" s="2">
        <v>1</v>
      </c>
      <c r="AA4216" s="2" t="s">
        <v>82</v>
      </c>
      <c r="AB4216" s="2">
        <v>1</v>
      </c>
      <c r="AC4216" s="2" t="s">
        <v>178</v>
      </c>
      <c r="AD4216" s="3">
        <v>40463</v>
      </c>
      <c r="AE4216" s="4">
        <v>0.35069444444444442</v>
      </c>
      <c r="AF4216" s="2"/>
      <c r="AG4216" s="2"/>
      <c r="AH4216" s="2">
        <v>2</v>
      </c>
      <c r="AI4216" s="2" t="s">
        <v>84</v>
      </c>
      <c r="AJ4216" s="2">
        <v>12</v>
      </c>
      <c r="AK4216" s="2" t="s">
        <v>85</v>
      </c>
      <c r="AL4216" s="2">
        <v>11</v>
      </c>
      <c r="AM4216" s="2" t="s">
        <v>137</v>
      </c>
      <c r="AN4216" s="2" t="s">
        <v>13199</v>
      </c>
      <c r="AO4216" s="2" t="s">
        <v>788</v>
      </c>
      <c r="AP4216" s="2">
        <v>11</v>
      </c>
      <c r="AQ4216" s="2" t="s">
        <v>82</v>
      </c>
      <c r="AR4216" s="2"/>
      <c r="AS4216" s="2"/>
      <c r="AT4216" s="2" t="s">
        <v>13200</v>
      </c>
      <c r="AU4216" s="2">
        <v>1</v>
      </c>
      <c r="AV4216" s="2"/>
      <c r="AW4216" s="2"/>
      <c r="AX4216" s="2"/>
      <c r="AY4216" s="2">
        <v>41</v>
      </c>
      <c r="AZ4216" s="2" t="s">
        <v>82</v>
      </c>
      <c r="BA4216" s="2">
        <v>41</v>
      </c>
      <c r="BB4216" s="2" t="s">
        <v>82</v>
      </c>
      <c r="BC4216" s="2">
        <v>41</v>
      </c>
      <c r="BD4216" s="2" t="s">
        <v>82</v>
      </c>
      <c r="BE4216" s="2">
        <v>41</v>
      </c>
      <c r="BF4216" s="2" t="s">
        <v>82</v>
      </c>
      <c r="BG4216" s="2"/>
      <c r="BH4216" s="2"/>
      <c r="BI4216" s="2"/>
      <c r="BJ4216" s="2">
        <v>241</v>
      </c>
      <c r="BK4216" s="2" t="s">
        <v>82</v>
      </c>
      <c r="BL4216" s="2"/>
      <c r="BM4216" s="2">
        <v>241</v>
      </c>
      <c r="BN4216" s="2" t="s">
        <v>82</v>
      </c>
      <c r="BO4216" s="2"/>
      <c r="BP4216" s="2">
        <v>241</v>
      </c>
      <c r="BQ4216" s="2" t="s">
        <v>82</v>
      </c>
      <c r="BR4216" s="2"/>
      <c r="BS4216" s="3">
        <v>40464</v>
      </c>
      <c r="BT4216" s="4">
        <v>0.38300925925925927</v>
      </c>
    </row>
    <row r="4217" spans="1:72" x14ac:dyDescent="0.25">
      <c r="A4217" s="2">
        <v>6345</v>
      </c>
      <c r="B4217" s="2">
        <v>2010</v>
      </c>
      <c r="C4217" s="2" t="s">
        <v>385</v>
      </c>
      <c r="D4217" s="2" t="s">
        <v>122</v>
      </c>
      <c r="E4217" s="2" t="s">
        <v>13198</v>
      </c>
      <c r="F4217" s="2">
        <v>600</v>
      </c>
      <c r="G4217" s="2" t="s">
        <v>5325</v>
      </c>
      <c r="H4217" s="2">
        <v>21</v>
      </c>
      <c r="I4217" s="2" t="s">
        <v>5326</v>
      </c>
      <c r="J4217" s="2">
        <v>170</v>
      </c>
      <c r="K4217" s="2" t="s">
        <v>5074</v>
      </c>
      <c r="L4217" s="2" t="s">
        <v>5075</v>
      </c>
      <c r="M4217" s="3">
        <v>40464</v>
      </c>
      <c r="N4217" s="2" t="s">
        <v>13170</v>
      </c>
      <c r="O4217" s="2"/>
      <c r="P4217" s="2"/>
      <c r="Q4217" s="2" t="str">
        <f>"PS 404-A/10"</f>
        <v>PS 404-A/10</v>
      </c>
      <c r="R4217" s="2" t="s">
        <v>1035</v>
      </c>
      <c r="S4217" s="2"/>
      <c r="T4217" s="2">
        <v>1</v>
      </c>
      <c r="U4217" s="2" t="s">
        <v>79</v>
      </c>
      <c r="V4217" s="2">
        <v>1</v>
      </c>
      <c r="W4217" s="2" t="s">
        <v>80</v>
      </c>
      <c r="X4217" s="2">
        <v>1</v>
      </c>
      <c r="Y4217" s="2" t="s">
        <v>81</v>
      </c>
      <c r="Z4217" s="2">
        <v>1</v>
      </c>
      <c r="AA4217" s="2" t="s">
        <v>82</v>
      </c>
      <c r="AB4217" s="2">
        <v>9</v>
      </c>
      <c r="AC4217" s="2" t="s">
        <v>124</v>
      </c>
      <c r="AD4217" s="3">
        <v>40463</v>
      </c>
      <c r="AE4217" s="4">
        <v>0.35069444444444442</v>
      </c>
      <c r="AF4217" s="2"/>
      <c r="AG4217" s="2"/>
      <c r="AH4217" s="2">
        <v>2</v>
      </c>
      <c r="AI4217" s="2" t="s">
        <v>84</v>
      </c>
      <c r="AJ4217" s="2">
        <v>12</v>
      </c>
      <c r="AK4217" s="2" t="s">
        <v>85</v>
      </c>
      <c r="AL4217" s="2">
        <v>11</v>
      </c>
      <c r="AM4217" s="2" t="s">
        <v>137</v>
      </c>
      <c r="AN4217" s="2" t="s">
        <v>13199</v>
      </c>
      <c r="AO4217" s="2" t="s">
        <v>788</v>
      </c>
      <c r="AP4217" s="2">
        <v>11</v>
      </c>
      <c r="AQ4217" s="2" t="s">
        <v>82</v>
      </c>
      <c r="AR4217" s="2"/>
      <c r="AS4217" s="2"/>
      <c r="AT4217" s="2" t="s">
        <v>13200</v>
      </c>
      <c r="AU4217" s="2">
        <v>1</v>
      </c>
      <c r="AV4217" s="2"/>
      <c r="AW4217" s="2"/>
      <c r="AX4217" s="2"/>
      <c r="AY4217" s="2">
        <v>41</v>
      </c>
      <c r="AZ4217" s="2" t="s">
        <v>82</v>
      </c>
      <c r="BA4217" s="2">
        <v>41</v>
      </c>
      <c r="BB4217" s="2" t="s">
        <v>82</v>
      </c>
      <c r="BC4217" s="2">
        <v>41</v>
      </c>
      <c r="BD4217" s="2" t="s">
        <v>82</v>
      </c>
      <c r="BE4217" s="2">
        <v>41</v>
      </c>
      <c r="BF4217" s="2" t="s">
        <v>82</v>
      </c>
      <c r="BG4217" s="2"/>
      <c r="BH4217" s="2"/>
      <c r="BI4217" s="2"/>
      <c r="BJ4217" s="2">
        <v>241</v>
      </c>
      <c r="BK4217" s="2" t="s">
        <v>82</v>
      </c>
      <c r="BL4217" s="2"/>
      <c r="BM4217" s="2">
        <v>241</v>
      </c>
      <c r="BN4217" s="2" t="s">
        <v>82</v>
      </c>
      <c r="BO4217" s="2"/>
      <c r="BP4217" s="2">
        <v>241</v>
      </c>
      <c r="BQ4217" s="2" t="s">
        <v>82</v>
      </c>
      <c r="BR4217" s="2"/>
      <c r="BS4217" s="3">
        <v>40464</v>
      </c>
      <c r="BT4217" s="4">
        <v>0.38300925925925927</v>
      </c>
    </row>
    <row r="4218" spans="1:72" x14ac:dyDescent="0.25">
      <c r="A4218" s="2">
        <v>6348</v>
      </c>
      <c r="B4218" s="2">
        <v>2010</v>
      </c>
      <c r="C4218" s="2" t="s">
        <v>171</v>
      </c>
      <c r="D4218" s="2" t="s">
        <v>73</v>
      </c>
      <c r="E4218" s="2"/>
      <c r="F4218" s="2">
        <v>395</v>
      </c>
      <c r="G4218" s="2" t="s">
        <v>1076</v>
      </c>
      <c r="H4218" s="2">
        <v>7</v>
      </c>
      <c r="I4218" s="2" t="s">
        <v>476</v>
      </c>
      <c r="J4218" s="2">
        <v>242</v>
      </c>
      <c r="K4218" s="2" t="s">
        <v>1077</v>
      </c>
      <c r="L4218" s="2" t="s">
        <v>1078</v>
      </c>
      <c r="M4218" s="3">
        <v>40464</v>
      </c>
      <c r="N4218" s="2" t="s">
        <v>13201</v>
      </c>
      <c r="O4218" s="2" t="s">
        <v>13202</v>
      </c>
      <c r="P4218" s="2" t="s">
        <v>13203</v>
      </c>
      <c r="Q4218" s="2" t="str">
        <f>"483-E / 2010"</f>
        <v>483-E / 2010</v>
      </c>
      <c r="R4218" s="2"/>
      <c r="S4218" s="2"/>
      <c r="T4218" s="2">
        <v>1</v>
      </c>
      <c r="U4218" s="2" t="s">
        <v>79</v>
      </c>
      <c r="V4218" s="2">
        <v>3</v>
      </c>
      <c r="W4218" s="2" t="s">
        <v>225</v>
      </c>
      <c r="X4218" s="2">
        <v>4</v>
      </c>
      <c r="Y4218" s="2" t="s">
        <v>463</v>
      </c>
      <c r="Z4218" s="2">
        <v>1</v>
      </c>
      <c r="AA4218" s="2" t="s">
        <v>82</v>
      </c>
      <c r="AB4218" s="2">
        <v>9</v>
      </c>
      <c r="AC4218" s="2" t="s">
        <v>124</v>
      </c>
      <c r="AD4218" s="2"/>
      <c r="AE4218" s="2"/>
      <c r="AF4218" s="2"/>
      <c r="AG4218" s="2"/>
      <c r="AH4218" s="2">
        <v>5</v>
      </c>
      <c r="AI4218" s="2" t="s">
        <v>274</v>
      </c>
      <c r="AJ4218" s="2">
        <v>35</v>
      </c>
      <c r="AK4218" s="2" t="s">
        <v>275</v>
      </c>
      <c r="AL4218" s="2">
        <v>23</v>
      </c>
      <c r="AM4218" s="2" t="s">
        <v>251</v>
      </c>
      <c r="AN4218" s="2" t="s">
        <v>2498</v>
      </c>
      <c r="AO4218" s="2" t="s">
        <v>6998</v>
      </c>
      <c r="AP4218" s="2">
        <v>11</v>
      </c>
      <c r="AQ4218" s="2" t="s">
        <v>82</v>
      </c>
      <c r="AR4218" s="2"/>
      <c r="AS4218" s="2"/>
      <c r="AT4218" s="2" t="s">
        <v>13204</v>
      </c>
      <c r="AU4218" s="2"/>
      <c r="AV4218" s="2"/>
      <c r="AW4218" s="2"/>
      <c r="AX4218" s="2"/>
      <c r="AY4218" s="2">
        <v>41</v>
      </c>
      <c r="AZ4218" s="2" t="s">
        <v>82</v>
      </c>
      <c r="BA4218" s="2">
        <v>41</v>
      </c>
      <c r="BB4218" s="2" t="s">
        <v>82</v>
      </c>
      <c r="BC4218" s="2">
        <v>41</v>
      </c>
      <c r="BD4218" s="2" t="s">
        <v>82</v>
      </c>
      <c r="BE4218" s="2">
        <v>41</v>
      </c>
      <c r="BF4218" s="2" t="s">
        <v>82</v>
      </c>
      <c r="BG4218" s="2"/>
      <c r="BH4218" s="2"/>
      <c r="BI4218" s="2"/>
      <c r="BJ4218" s="2">
        <v>241</v>
      </c>
      <c r="BK4218" s="2" t="s">
        <v>82</v>
      </c>
      <c r="BL4218" s="2"/>
      <c r="BM4218" s="2">
        <v>241</v>
      </c>
      <c r="BN4218" s="2" t="s">
        <v>82</v>
      </c>
      <c r="BO4218" s="2"/>
      <c r="BP4218" s="2">
        <v>241</v>
      </c>
      <c r="BQ4218" s="2" t="s">
        <v>82</v>
      </c>
      <c r="BR4218" s="2"/>
      <c r="BS4218" s="3">
        <v>40464</v>
      </c>
      <c r="BT4218" s="4">
        <v>0.45729166666666665</v>
      </c>
    </row>
    <row r="4219" spans="1:72" x14ac:dyDescent="0.25">
      <c r="A4219" s="2">
        <v>6364</v>
      </c>
      <c r="B4219" s="2">
        <v>2010</v>
      </c>
      <c r="C4219" s="2" t="s">
        <v>385</v>
      </c>
      <c r="D4219" s="2" t="s">
        <v>122</v>
      </c>
      <c r="E4219" s="2"/>
      <c r="F4219" s="2">
        <v>1</v>
      </c>
      <c r="G4219" s="2" t="s">
        <v>82</v>
      </c>
      <c r="H4219" s="2">
        <v>1</v>
      </c>
      <c r="I4219" s="2" t="s">
        <v>82</v>
      </c>
      <c r="J4219" s="2">
        <v>1</v>
      </c>
      <c r="K4219" s="2" t="s">
        <v>107</v>
      </c>
      <c r="L4219" s="2" t="s">
        <v>107</v>
      </c>
      <c r="M4219" s="3">
        <v>40464</v>
      </c>
      <c r="N4219" s="2"/>
      <c r="O4219" s="2"/>
      <c r="P4219" s="2"/>
      <c r="Q4219" s="2" t="str">
        <f>""</f>
        <v/>
      </c>
      <c r="R4219" s="2"/>
      <c r="S4219" s="2"/>
      <c r="T4219" s="2">
        <v>1</v>
      </c>
      <c r="U4219" s="2" t="s">
        <v>79</v>
      </c>
      <c r="V4219" s="2">
        <v>1</v>
      </c>
      <c r="W4219" s="2" t="s">
        <v>80</v>
      </c>
      <c r="X4219" s="2">
        <v>11</v>
      </c>
      <c r="Y4219" s="2" t="s">
        <v>1920</v>
      </c>
      <c r="Z4219" s="2">
        <v>1</v>
      </c>
      <c r="AA4219" s="2" t="s">
        <v>82</v>
      </c>
      <c r="AB4219" s="2">
        <v>9</v>
      </c>
      <c r="AC4219" s="2" t="s">
        <v>124</v>
      </c>
      <c r="AD4219" s="3">
        <v>40464</v>
      </c>
      <c r="AE4219" s="4">
        <v>0.47916666666666669</v>
      </c>
      <c r="AF4219" s="2"/>
      <c r="AG4219" s="2"/>
      <c r="AH4219" s="2">
        <v>2</v>
      </c>
      <c r="AI4219" s="2" t="s">
        <v>84</v>
      </c>
      <c r="AJ4219" s="2">
        <v>12</v>
      </c>
      <c r="AK4219" s="2" t="s">
        <v>85</v>
      </c>
      <c r="AL4219" s="2">
        <v>10</v>
      </c>
      <c r="AM4219" s="2" t="s">
        <v>200</v>
      </c>
      <c r="AN4219" s="2"/>
      <c r="AO4219" s="2" t="s">
        <v>13205</v>
      </c>
      <c r="AP4219" s="2">
        <v>11</v>
      </c>
      <c r="AQ4219" s="2" t="s">
        <v>82</v>
      </c>
      <c r="AR4219" s="2"/>
      <c r="AS4219" s="2"/>
      <c r="AT4219" s="2" t="s">
        <v>13206</v>
      </c>
      <c r="AU4219" s="2">
        <v>2</v>
      </c>
      <c r="AV4219" s="2"/>
      <c r="AW4219" s="2"/>
      <c r="AX4219" s="2"/>
      <c r="AY4219" s="2">
        <v>41</v>
      </c>
      <c r="AZ4219" s="2" t="s">
        <v>82</v>
      </c>
      <c r="BA4219" s="2">
        <v>41</v>
      </c>
      <c r="BB4219" s="2" t="s">
        <v>82</v>
      </c>
      <c r="BC4219" s="2">
        <v>70</v>
      </c>
      <c r="BD4219" s="2" t="s">
        <v>236</v>
      </c>
      <c r="BE4219" s="2">
        <v>13</v>
      </c>
      <c r="BF4219" s="2" t="s">
        <v>108</v>
      </c>
      <c r="BG4219" s="2">
        <v>1451</v>
      </c>
      <c r="BH4219" s="4">
        <v>0.4861111111111111</v>
      </c>
      <c r="BI4219" s="4">
        <v>0.39583333333333331</v>
      </c>
      <c r="BJ4219" s="2">
        <v>13</v>
      </c>
      <c r="BK4219" s="2" t="s">
        <v>91</v>
      </c>
      <c r="BL4219" s="2" t="s">
        <v>828</v>
      </c>
      <c r="BM4219" s="2">
        <v>241</v>
      </c>
      <c r="BN4219" s="2" t="s">
        <v>82</v>
      </c>
      <c r="BO4219" s="2"/>
      <c r="BP4219" s="2">
        <v>13</v>
      </c>
      <c r="BQ4219" s="2" t="s">
        <v>91</v>
      </c>
      <c r="BR4219" s="2" t="s">
        <v>185</v>
      </c>
      <c r="BS4219" s="3">
        <v>40464</v>
      </c>
      <c r="BT4219" s="4">
        <v>0.59262731481481479</v>
      </c>
    </row>
    <row r="4220" spans="1:72" x14ac:dyDescent="0.25">
      <c r="A4220" s="2">
        <v>6366</v>
      </c>
      <c r="B4220" s="2">
        <v>2010</v>
      </c>
      <c r="C4220" s="2" t="s">
        <v>121</v>
      </c>
      <c r="D4220" s="2" t="s">
        <v>122</v>
      </c>
      <c r="E4220" s="2"/>
      <c r="F4220" s="2">
        <v>1</v>
      </c>
      <c r="G4220" s="2" t="s">
        <v>82</v>
      </c>
      <c r="H4220" s="2">
        <v>1</v>
      </c>
      <c r="I4220" s="2" t="s">
        <v>82</v>
      </c>
      <c r="J4220" s="2">
        <v>1</v>
      </c>
      <c r="K4220" s="2" t="s">
        <v>107</v>
      </c>
      <c r="L4220" s="2" t="s">
        <v>107</v>
      </c>
      <c r="M4220" s="3">
        <v>40464</v>
      </c>
      <c r="N4220" s="2"/>
      <c r="O4220" s="2"/>
      <c r="P4220" s="2"/>
      <c r="Q4220" s="2" t="str">
        <f>""</f>
        <v/>
      </c>
      <c r="R4220" s="2"/>
      <c r="S4220" s="2"/>
      <c r="T4220" s="2">
        <v>2</v>
      </c>
      <c r="U4220" s="2" t="s">
        <v>123</v>
      </c>
      <c r="V4220" s="2">
        <v>1</v>
      </c>
      <c r="W4220" s="2" t="s">
        <v>80</v>
      </c>
      <c r="X4220" s="2">
        <v>11</v>
      </c>
      <c r="Y4220" s="2" t="s">
        <v>1920</v>
      </c>
      <c r="Z4220" s="2">
        <v>1</v>
      </c>
      <c r="AA4220" s="2" t="s">
        <v>82</v>
      </c>
      <c r="AB4220" s="2">
        <v>9</v>
      </c>
      <c r="AC4220" s="2" t="s">
        <v>124</v>
      </c>
      <c r="AD4220" s="3">
        <v>40464</v>
      </c>
      <c r="AE4220" s="4">
        <v>0.54861111111111105</v>
      </c>
      <c r="AF4220" s="2"/>
      <c r="AG4220" s="2"/>
      <c r="AH4220" s="2">
        <v>4</v>
      </c>
      <c r="AI4220" s="2" t="s">
        <v>125</v>
      </c>
      <c r="AJ4220" s="2">
        <v>28</v>
      </c>
      <c r="AK4220" s="2" t="s">
        <v>741</v>
      </c>
      <c r="AL4220" s="2">
        <v>10</v>
      </c>
      <c r="AM4220" s="2" t="s">
        <v>200</v>
      </c>
      <c r="AN4220" s="2"/>
      <c r="AO4220" s="2" t="s">
        <v>13207</v>
      </c>
      <c r="AP4220" s="2">
        <v>11</v>
      </c>
      <c r="AQ4220" s="2" t="s">
        <v>82</v>
      </c>
      <c r="AR4220" s="2"/>
      <c r="AS4220" s="2"/>
      <c r="AT4220" s="2" t="s">
        <v>13208</v>
      </c>
      <c r="AU4220" s="2"/>
      <c r="AV4220" s="2"/>
      <c r="AW4220" s="2"/>
      <c r="AX4220" s="2"/>
      <c r="AY4220" s="2">
        <v>41</v>
      </c>
      <c r="AZ4220" s="2" t="s">
        <v>82</v>
      </c>
      <c r="BA4220" s="2">
        <v>41</v>
      </c>
      <c r="BB4220" s="2" t="s">
        <v>82</v>
      </c>
      <c r="BC4220" s="2">
        <v>41</v>
      </c>
      <c r="BD4220" s="2" t="s">
        <v>82</v>
      </c>
      <c r="BE4220" s="2">
        <v>42</v>
      </c>
      <c r="BF4220" s="2" t="s">
        <v>182</v>
      </c>
      <c r="BG4220" s="2" t="s">
        <v>12258</v>
      </c>
      <c r="BH4220" s="4">
        <v>0.54861111111111105</v>
      </c>
      <c r="BI4220" s="2"/>
      <c r="BJ4220" s="2">
        <v>13</v>
      </c>
      <c r="BK4220" s="2" t="s">
        <v>91</v>
      </c>
      <c r="BL4220" s="2" t="s">
        <v>13209</v>
      </c>
      <c r="BM4220" s="2">
        <v>13</v>
      </c>
      <c r="BN4220" s="2" t="s">
        <v>91</v>
      </c>
      <c r="BO4220" s="2"/>
      <c r="BP4220" s="2">
        <v>13</v>
      </c>
      <c r="BQ4220" s="2" t="s">
        <v>91</v>
      </c>
      <c r="BR4220" s="2" t="s">
        <v>744</v>
      </c>
      <c r="BS4220" s="3">
        <v>40464</v>
      </c>
      <c r="BT4220" s="4">
        <v>0.60628472222222218</v>
      </c>
    </row>
    <row r="4221" spans="1:72" x14ac:dyDescent="0.25">
      <c r="A4221" s="2">
        <v>6368</v>
      </c>
      <c r="B4221" s="2">
        <v>2010</v>
      </c>
      <c r="C4221" s="2" t="s">
        <v>72</v>
      </c>
      <c r="D4221" s="2" t="s">
        <v>73</v>
      </c>
      <c r="E4221" s="2"/>
      <c r="F4221" s="2">
        <v>389</v>
      </c>
      <c r="G4221" s="2" t="s">
        <v>1819</v>
      </c>
      <c r="H4221" s="2">
        <v>2</v>
      </c>
      <c r="I4221" s="2" t="s">
        <v>267</v>
      </c>
      <c r="J4221" s="2">
        <v>399</v>
      </c>
      <c r="K4221" s="2" t="s">
        <v>1820</v>
      </c>
      <c r="L4221" s="2" t="s">
        <v>1821</v>
      </c>
      <c r="M4221" s="3">
        <v>40464</v>
      </c>
      <c r="N4221" s="2" t="s">
        <v>5653</v>
      </c>
      <c r="O4221" s="2" t="s">
        <v>107</v>
      </c>
      <c r="P4221" s="2" t="s">
        <v>107</v>
      </c>
      <c r="Q4221" s="2" t="str">
        <f>"533-E/10"</f>
        <v>533-E/10</v>
      </c>
      <c r="R4221" s="2" t="s">
        <v>480</v>
      </c>
      <c r="S4221" s="2" t="s">
        <v>480</v>
      </c>
      <c r="T4221" s="2">
        <v>1</v>
      </c>
      <c r="U4221" s="2" t="s">
        <v>79</v>
      </c>
      <c r="V4221" s="2">
        <v>1</v>
      </c>
      <c r="W4221" s="2" t="s">
        <v>80</v>
      </c>
      <c r="X4221" s="2">
        <v>1</v>
      </c>
      <c r="Y4221" s="2" t="s">
        <v>81</v>
      </c>
      <c r="Z4221" s="2">
        <v>1</v>
      </c>
      <c r="AA4221" s="2" t="s">
        <v>82</v>
      </c>
      <c r="AB4221" s="2">
        <v>6</v>
      </c>
      <c r="AC4221" s="2" t="s">
        <v>83</v>
      </c>
      <c r="AD4221" s="3">
        <v>40464</v>
      </c>
      <c r="AE4221" s="2"/>
      <c r="AF4221" s="3">
        <v>40464</v>
      </c>
      <c r="AG4221" s="4">
        <v>0.41736111111111113</v>
      </c>
      <c r="AH4221" s="2">
        <v>2</v>
      </c>
      <c r="AI4221" s="2" t="s">
        <v>84</v>
      </c>
      <c r="AJ4221" s="2">
        <v>9</v>
      </c>
      <c r="AK4221" s="2" t="s">
        <v>103</v>
      </c>
      <c r="AL4221" s="2">
        <v>10</v>
      </c>
      <c r="AM4221" s="2" t="s">
        <v>200</v>
      </c>
      <c r="AN4221" s="2"/>
      <c r="AO4221" s="2" t="s">
        <v>13210</v>
      </c>
      <c r="AP4221" s="2">
        <v>11</v>
      </c>
      <c r="AQ4221" s="2" t="s">
        <v>82</v>
      </c>
      <c r="AR4221" s="2" t="s">
        <v>82</v>
      </c>
      <c r="AS4221" s="2" t="s">
        <v>82</v>
      </c>
      <c r="AT4221" s="2" t="s">
        <v>13211</v>
      </c>
      <c r="AU4221" s="2"/>
      <c r="AV4221" s="2"/>
      <c r="AW4221" s="2"/>
      <c r="AX4221" s="2"/>
      <c r="AY4221" s="2">
        <v>41</v>
      </c>
      <c r="AZ4221" s="2" t="s">
        <v>82</v>
      </c>
      <c r="BA4221" s="2">
        <v>41</v>
      </c>
      <c r="BB4221" s="2" t="s">
        <v>82</v>
      </c>
      <c r="BC4221" s="2">
        <v>41</v>
      </c>
      <c r="BD4221" s="2" t="s">
        <v>82</v>
      </c>
      <c r="BE4221" s="2">
        <v>41</v>
      </c>
      <c r="BF4221" s="2" t="s">
        <v>82</v>
      </c>
      <c r="BG4221" s="2" t="s">
        <v>82</v>
      </c>
      <c r="BH4221" s="2"/>
      <c r="BI4221" s="2"/>
      <c r="BJ4221" s="2">
        <v>241</v>
      </c>
      <c r="BK4221" s="2" t="s">
        <v>82</v>
      </c>
      <c r="BL4221" s="2" t="s">
        <v>82</v>
      </c>
      <c r="BM4221" s="2">
        <v>241</v>
      </c>
      <c r="BN4221" s="2" t="s">
        <v>82</v>
      </c>
      <c r="BO4221" s="2"/>
      <c r="BP4221" s="2">
        <v>241</v>
      </c>
      <c r="BQ4221" s="2" t="s">
        <v>82</v>
      </c>
      <c r="BR4221" s="2" t="s">
        <v>82</v>
      </c>
      <c r="BS4221" s="3">
        <v>40464</v>
      </c>
      <c r="BT4221" s="4">
        <v>0.67223379629629632</v>
      </c>
    </row>
    <row r="4222" spans="1:72" x14ac:dyDescent="0.25">
      <c r="A4222" s="2">
        <v>6369</v>
      </c>
      <c r="B4222" s="2">
        <v>2010</v>
      </c>
      <c r="C4222" s="2" t="s">
        <v>414</v>
      </c>
      <c r="D4222" s="2" t="s">
        <v>122</v>
      </c>
      <c r="E4222" s="2"/>
      <c r="F4222" s="2">
        <v>1</v>
      </c>
      <c r="G4222" s="2" t="s">
        <v>82</v>
      </c>
      <c r="H4222" s="2">
        <v>1</v>
      </c>
      <c r="I4222" s="2" t="s">
        <v>82</v>
      </c>
      <c r="J4222" s="2">
        <v>1</v>
      </c>
      <c r="K4222" s="2" t="s">
        <v>107</v>
      </c>
      <c r="L4222" s="2" t="s">
        <v>107</v>
      </c>
      <c r="M4222" s="3">
        <v>40464</v>
      </c>
      <c r="N4222" s="2"/>
      <c r="O4222" s="2"/>
      <c r="P4222" s="2"/>
      <c r="Q4222" s="2" t="str">
        <f>""</f>
        <v/>
      </c>
      <c r="R4222" s="2"/>
      <c r="S4222" s="2"/>
      <c r="T4222" s="2">
        <v>1</v>
      </c>
      <c r="U4222" s="2" t="s">
        <v>79</v>
      </c>
      <c r="V4222" s="2">
        <v>1</v>
      </c>
      <c r="W4222" s="2" t="s">
        <v>80</v>
      </c>
      <c r="X4222" s="2">
        <v>1</v>
      </c>
      <c r="Y4222" s="2" t="s">
        <v>81</v>
      </c>
      <c r="Z4222" s="2">
        <v>1</v>
      </c>
      <c r="AA4222" s="2" t="s">
        <v>82</v>
      </c>
      <c r="AB4222" s="2">
        <v>9</v>
      </c>
      <c r="AC4222" s="2" t="s">
        <v>124</v>
      </c>
      <c r="AD4222" s="3">
        <v>40464</v>
      </c>
      <c r="AE4222" s="4">
        <v>0.69791666666666663</v>
      </c>
      <c r="AF4222" s="2"/>
      <c r="AG4222" s="2"/>
      <c r="AH4222" s="2">
        <v>2</v>
      </c>
      <c r="AI4222" s="2" t="s">
        <v>84</v>
      </c>
      <c r="AJ4222" s="2">
        <v>12</v>
      </c>
      <c r="AK4222" s="2" t="s">
        <v>85</v>
      </c>
      <c r="AL4222" s="2">
        <v>12</v>
      </c>
      <c r="AM4222" s="2" t="s">
        <v>86</v>
      </c>
      <c r="AN4222" s="2" t="s">
        <v>13212</v>
      </c>
      <c r="AO4222" s="2" t="s">
        <v>1945</v>
      </c>
      <c r="AP4222" s="2">
        <v>11</v>
      </c>
      <c r="AQ4222" s="2" t="s">
        <v>82</v>
      </c>
      <c r="AR4222" s="2"/>
      <c r="AS4222" s="2"/>
      <c r="AT4222" s="2" t="s">
        <v>13213</v>
      </c>
      <c r="AU4222" s="2"/>
      <c r="AV4222" s="2"/>
      <c r="AW4222" s="2"/>
      <c r="AX4222" s="2"/>
      <c r="AY4222" s="2">
        <v>41</v>
      </c>
      <c r="AZ4222" s="2" t="s">
        <v>82</v>
      </c>
      <c r="BA4222" s="2">
        <v>41</v>
      </c>
      <c r="BB4222" s="2" t="s">
        <v>82</v>
      </c>
      <c r="BC4222" s="2">
        <v>41</v>
      </c>
      <c r="BD4222" s="2" t="s">
        <v>82</v>
      </c>
      <c r="BE4222" s="2">
        <v>41</v>
      </c>
      <c r="BF4222" s="2" t="s">
        <v>82</v>
      </c>
      <c r="BG4222" s="2"/>
      <c r="BH4222" s="2"/>
      <c r="BI4222" s="2"/>
      <c r="BJ4222" s="2">
        <v>241</v>
      </c>
      <c r="BK4222" s="2" t="s">
        <v>82</v>
      </c>
      <c r="BL4222" s="2"/>
      <c r="BM4222" s="2">
        <v>241</v>
      </c>
      <c r="BN4222" s="2" t="s">
        <v>82</v>
      </c>
      <c r="BO4222" s="2"/>
      <c r="BP4222" s="2">
        <v>241</v>
      </c>
      <c r="BQ4222" s="2" t="s">
        <v>82</v>
      </c>
      <c r="BR4222" s="2"/>
      <c r="BS4222" s="3">
        <v>40464</v>
      </c>
      <c r="BT4222" s="4">
        <v>0.72134259259259259</v>
      </c>
    </row>
    <row r="4223" spans="1:72" x14ac:dyDescent="0.25">
      <c r="A4223" s="2">
        <v>6371</v>
      </c>
      <c r="B4223" s="2">
        <v>2010</v>
      </c>
      <c r="C4223" s="2" t="s">
        <v>121</v>
      </c>
      <c r="D4223" s="2" t="s">
        <v>122</v>
      </c>
      <c r="E4223" s="2" t="s">
        <v>13214</v>
      </c>
      <c r="F4223" s="2">
        <v>1</v>
      </c>
      <c r="G4223" s="2" t="s">
        <v>82</v>
      </c>
      <c r="H4223" s="2">
        <v>1</v>
      </c>
      <c r="I4223" s="2" t="s">
        <v>82</v>
      </c>
      <c r="J4223" s="2">
        <v>1</v>
      </c>
      <c r="K4223" s="2" t="s">
        <v>107</v>
      </c>
      <c r="L4223" s="2" t="s">
        <v>107</v>
      </c>
      <c r="M4223" s="3">
        <v>40464</v>
      </c>
      <c r="N4223" s="2"/>
      <c r="O4223" s="2"/>
      <c r="P4223" s="2"/>
      <c r="Q4223" s="2" t="str">
        <f>""</f>
        <v/>
      </c>
      <c r="R4223" s="2"/>
      <c r="S4223" s="2"/>
      <c r="T4223" s="2">
        <v>2</v>
      </c>
      <c r="U4223" s="2" t="s">
        <v>123</v>
      </c>
      <c r="V4223" s="2">
        <v>1</v>
      </c>
      <c r="W4223" s="2" t="s">
        <v>80</v>
      </c>
      <c r="X4223" s="2">
        <v>11</v>
      </c>
      <c r="Y4223" s="2" t="s">
        <v>1920</v>
      </c>
      <c r="Z4223" s="2">
        <v>1</v>
      </c>
      <c r="AA4223" s="2" t="s">
        <v>82</v>
      </c>
      <c r="AB4223" s="2">
        <v>9</v>
      </c>
      <c r="AC4223" s="2" t="s">
        <v>124</v>
      </c>
      <c r="AD4223" s="3">
        <v>40464</v>
      </c>
      <c r="AE4223" s="4">
        <v>0.72569444444444453</v>
      </c>
      <c r="AF4223" s="2"/>
      <c r="AG4223" s="2"/>
      <c r="AH4223" s="2">
        <v>4</v>
      </c>
      <c r="AI4223" s="2" t="s">
        <v>125</v>
      </c>
      <c r="AJ4223" s="2">
        <v>28</v>
      </c>
      <c r="AK4223" s="2" t="s">
        <v>741</v>
      </c>
      <c r="AL4223" s="2">
        <v>10</v>
      </c>
      <c r="AM4223" s="2" t="s">
        <v>200</v>
      </c>
      <c r="AN4223" s="2"/>
      <c r="AO4223" s="2" t="s">
        <v>13207</v>
      </c>
      <c r="AP4223" s="2">
        <v>11</v>
      </c>
      <c r="AQ4223" s="2" t="s">
        <v>82</v>
      </c>
      <c r="AR4223" s="2"/>
      <c r="AS4223" s="2"/>
      <c r="AT4223" s="2" t="s">
        <v>13215</v>
      </c>
      <c r="AU4223" s="2"/>
      <c r="AV4223" s="2"/>
      <c r="AW4223" s="2"/>
      <c r="AX4223" s="2"/>
      <c r="AY4223" s="2">
        <v>41</v>
      </c>
      <c r="AZ4223" s="2" t="s">
        <v>82</v>
      </c>
      <c r="BA4223" s="2">
        <v>41</v>
      </c>
      <c r="BB4223" s="2" t="s">
        <v>82</v>
      </c>
      <c r="BC4223" s="2">
        <v>41</v>
      </c>
      <c r="BD4223" s="2" t="s">
        <v>82</v>
      </c>
      <c r="BE4223" s="2">
        <v>42</v>
      </c>
      <c r="BF4223" s="2" t="s">
        <v>182</v>
      </c>
      <c r="BG4223" s="2" t="s">
        <v>12258</v>
      </c>
      <c r="BH4223" s="4">
        <v>0.54861111111111105</v>
      </c>
      <c r="BI4223" s="4">
        <v>0.72569444444444453</v>
      </c>
      <c r="BJ4223" s="2">
        <v>13</v>
      </c>
      <c r="BK4223" s="2" t="s">
        <v>91</v>
      </c>
      <c r="BL4223" s="2" t="s">
        <v>744</v>
      </c>
      <c r="BM4223" s="2">
        <v>13</v>
      </c>
      <c r="BN4223" s="2" t="s">
        <v>91</v>
      </c>
      <c r="BO4223" s="2"/>
      <c r="BP4223" s="2">
        <v>13</v>
      </c>
      <c r="BQ4223" s="2" t="s">
        <v>91</v>
      </c>
      <c r="BR4223" s="2" t="s">
        <v>185</v>
      </c>
      <c r="BS4223" s="3">
        <v>40464</v>
      </c>
      <c r="BT4223" s="4">
        <v>0.73261574074074076</v>
      </c>
    </row>
    <row r="4224" spans="1:72" x14ac:dyDescent="0.25">
      <c r="A4224" s="2">
        <v>6372</v>
      </c>
      <c r="B4224" s="2">
        <v>2010</v>
      </c>
      <c r="C4224" s="2" t="s">
        <v>72</v>
      </c>
      <c r="D4224" s="2" t="s">
        <v>73</v>
      </c>
      <c r="E4224" s="2"/>
      <c r="F4224" s="2">
        <v>2</v>
      </c>
      <c r="G4224" s="2" t="s">
        <v>113</v>
      </c>
      <c r="H4224" s="2">
        <v>108</v>
      </c>
      <c r="I4224" s="2" t="s">
        <v>1096</v>
      </c>
      <c r="J4224" s="2">
        <v>300</v>
      </c>
      <c r="K4224" s="2" t="s">
        <v>114</v>
      </c>
      <c r="L4224" s="2" t="s">
        <v>115</v>
      </c>
      <c r="M4224" s="3">
        <v>40464</v>
      </c>
      <c r="N4224" s="2"/>
      <c r="O4224" s="2"/>
      <c r="P4224" s="2"/>
      <c r="Q4224" s="2" t="str">
        <f>"532-E/10"</f>
        <v>532-E/10</v>
      </c>
      <c r="R4224" s="2" t="s">
        <v>116</v>
      </c>
      <c r="S4224" s="2" t="s">
        <v>116</v>
      </c>
      <c r="T4224" s="2">
        <v>1</v>
      </c>
      <c r="U4224" s="2" t="s">
        <v>79</v>
      </c>
      <c r="V4224" s="2">
        <v>1</v>
      </c>
      <c r="W4224" s="2" t="s">
        <v>80</v>
      </c>
      <c r="X4224" s="2">
        <v>12</v>
      </c>
      <c r="Y4224" s="2" t="s">
        <v>148</v>
      </c>
      <c r="Z4224" s="2">
        <v>1</v>
      </c>
      <c r="AA4224" s="2" t="s">
        <v>82</v>
      </c>
      <c r="AB4224" s="2">
        <v>6</v>
      </c>
      <c r="AC4224" s="2" t="s">
        <v>83</v>
      </c>
      <c r="AD4224" s="3">
        <v>40462</v>
      </c>
      <c r="AE4224" s="2"/>
      <c r="AF4224" s="3">
        <v>40464</v>
      </c>
      <c r="AG4224" s="4">
        <v>0.41666666666666669</v>
      </c>
      <c r="AH4224" s="2">
        <v>2</v>
      </c>
      <c r="AI4224" s="2" t="s">
        <v>84</v>
      </c>
      <c r="AJ4224" s="2">
        <v>9</v>
      </c>
      <c r="AK4224" s="2" t="s">
        <v>103</v>
      </c>
      <c r="AL4224" s="2">
        <v>17</v>
      </c>
      <c r="AM4224" s="2" t="s">
        <v>232</v>
      </c>
      <c r="AN4224" s="2" t="s">
        <v>12238</v>
      </c>
      <c r="AO4224" s="2" t="s">
        <v>13216</v>
      </c>
      <c r="AP4224" s="2">
        <v>11</v>
      </c>
      <c r="AQ4224" s="2" t="s">
        <v>82</v>
      </c>
      <c r="AR4224" s="2"/>
      <c r="AS4224" s="2"/>
      <c r="AT4224" s="2" t="s">
        <v>13217</v>
      </c>
      <c r="AU4224" s="2"/>
      <c r="AV4224" s="2"/>
      <c r="AW4224" s="2"/>
      <c r="AX4224" s="2"/>
      <c r="AY4224" s="2">
        <v>41</v>
      </c>
      <c r="AZ4224" s="2" t="s">
        <v>82</v>
      </c>
      <c r="BA4224" s="2">
        <v>41</v>
      </c>
      <c r="BB4224" s="2" t="s">
        <v>82</v>
      </c>
      <c r="BC4224" s="2">
        <v>41</v>
      </c>
      <c r="BD4224" s="2" t="s">
        <v>82</v>
      </c>
      <c r="BE4224" s="2">
        <v>41</v>
      </c>
      <c r="BF4224" s="2" t="s">
        <v>82</v>
      </c>
      <c r="BG4224" s="2"/>
      <c r="BH4224" s="2"/>
      <c r="BI4224" s="2"/>
      <c r="BJ4224" s="2">
        <v>241</v>
      </c>
      <c r="BK4224" s="2" t="s">
        <v>82</v>
      </c>
      <c r="BL4224" s="2"/>
      <c r="BM4224" s="2">
        <v>241</v>
      </c>
      <c r="BN4224" s="2" t="s">
        <v>82</v>
      </c>
      <c r="BO4224" s="2"/>
      <c r="BP4224" s="2">
        <v>241</v>
      </c>
      <c r="BQ4224" s="2" t="s">
        <v>82</v>
      </c>
      <c r="BR4224" s="2"/>
      <c r="BS4224" s="3">
        <v>40464</v>
      </c>
      <c r="BT4224" s="4">
        <v>0.73275462962962967</v>
      </c>
    </row>
    <row r="4225" spans="1:72" x14ac:dyDescent="0.25">
      <c r="A4225" s="2">
        <v>6373</v>
      </c>
      <c r="B4225" s="2">
        <v>2010</v>
      </c>
      <c r="C4225" s="2" t="s">
        <v>414</v>
      </c>
      <c r="D4225" s="2" t="s">
        <v>122</v>
      </c>
      <c r="E4225" s="2" t="s">
        <v>13218</v>
      </c>
      <c r="F4225" s="2">
        <v>1</v>
      </c>
      <c r="G4225" s="2" t="s">
        <v>82</v>
      </c>
      <c r="H4225" s="2">
        <v>1</v>
      </c>
      <c r="I4225" s="2" t="s">
        <v>82</v>
      </c>
      <c r="J4225" s="2">
        <v>1</v>
      </c>
      <c r="K4225" s="2" t="s">
        <v>107</v>
      </c>
      <c r="L4225" s="2" t="s">
        <v>107</v>
      </c>
      <c r="M4225" s="3">
        <v>40464</v>
      </c>
      <c r="N4225" s="2" t="s">
        <v>82</v>
      </c>
      <c r="O4225" s="2" t="s">
        <v>82</v>
      </c>
      <c r="P4225" s="2" t="s">
        <v>82</v>
      </c>
      <c r="Q4225" s="2" t="str">
        <f>"0059_10"</f>
        <v>0059_10</v>
      </c>
      <c r="R4225" s="2" t="s">
        <v>13155</v>
      </c>
      <c r="S4225" s="2" t="s">
        <v>82</v>
      </c>
      <c r="T4225" s="2">
        <v>1</v>
      </c>
      <c r="U4225" s="2" t="s">
        <v>79</v>
      </c>
      <c r="V4225" s="2">
        <v>1</v>
      </c>
      <c r="W4225" s="2" t="s">
        <v>80</v>
      </c>
      <c r="X4225" s="2">
        <v>1</v>
      </c>
      <c r="Y4225" s="2" t="s">
        <v>81</v>
      </c>
      <c r="Z4225" s="2">
        <v>10</v>
      </c>
      <c r="AA4225" s="2" t="s">
        <v>236</v>
      </c>
      <c r="AB4225" s="2">
        <v>9</v>
      </c>
      <c r="AC4225" s="2" t="s">
        <v>124</v>
      </c>
      <c r="AD4225" s="3">
        <v>40464</v>
      </c>
      <c r="AE4225" s="4">
        <v>0.64583333333333337</v>
      </c>
      <c r="AF4225" s="2"/>
      <c r="AG4225" s="2"/>
      <c r="AH4225" s="2">
        <v>6</v>
      </c>
      <c r="AI4225" s="2" t="s">
        <v>197</v>
      </c>
      <c r="AJ4225" s="2">
        <v>61</v>
      </c>
      <c r="AK4225" s="2" t="s">
        <v>686</v>
      </c>
      <c r="AL4225" s="2">
        <v>25</v>
      </c>
      <c r="AM4225" s="2" t="s">
        <v>3073</v>
      </c>
      <c r="AN4225" s="2" t="s">
        <v>13156</v>
      </c>
      <c r="AO4225" s="2" t="s">
        <v>7347</v>
      </c>
      <c r="AP4225" s="2">
        <v>11</v>
      </c>
      <c r="AQ4225" s="2" t="s">
        <v>82</v>
      </c>
      <c r="AR4225" s="2" t="s">
        <v>82</v>
      </c>
      <c r="AS4225" s="2" t="s">
        <v>82</v>
      </c>
      <c r="AT4225" s="2" t="s">
        <v>13219</v>
      </c>
      <c r="AU4225" s="2"/>
      <c r="AV4225" s="2"/>
      <c r="AW4225" s="2"/>
      <c r="AX4225" s="2"/>
      <c r="AY4225" s="2">
        <v>41</v>
      </c>
      <c r="AZ4225" s="2" t="s">
        <v>82</v>
      </c>
      <c r="BA4225" s="2">
        <v>41</v>
      </c>
      <c r="BB4225" s="2" t="s">
        <v>82</v>
      </c>
      <c r="BC4225" s="2">
        <v>41</v>
      </c>
      <c r="BD4225" s="2" t="s">
        <v>82</v>
      </c>
      <c r="BE4225" s="2">
        <v>47</v>
      </c>
      <c r="BF4225" s="2" t="s">
        <v>167</v>
      </c>
      <c r="BG4225" s="2">
        <v>2848</v>
      </c>
      <c r="BH4225" s="4">
        <v>0.52083333333333337</v>
      </c>
      <c r="BI4225" s="4">
        <v>0.56944444444444442</v>
      </c>
      <c r="BJ4225" s="2">
        <v>13</v>
      </c>
      <c r="BK4225" s="2" t="s">
        <v>91</v>
      </c>
      <c r="BL4225" s="2" t="s">
        <v>185</v>
      </c>
      <c r="BM4225" s="2">
        <v>13</v>
      </c>
      <c r="BN4225" s="2" t="s">
        <v>91</v>
      </c>
      <c r="BO4225" s="2"/>
      <c r="BP4225" s="2">
        <v>13</v>
      </c>
      <c r="BQ4225" s="2" t="s">
        <v>91</v>
      </c>
      <c r="BR4225" s="2" t="s">
        <v>690</v>
      </c>
      <c r="BS4225" s="3">
        <v>40464</v>
      </c>
      <c r="BT4225" s="4">
        <v>0.73560185185185178</v>
      </c>
    </row>
    <row r="4226" spans="1:72" x14ac:dyDescent="0.25">
      <c r="A4226" s="2">
        <v>6374</v>
      </c>
      <c r="B4226" s="2">
        <v>2010</v>
      </c>
      <c r="C4226" s="2" t="s">
        <v>457</v>
      </c>
      <c r="D4226" s="2" t="s">
        <v>73</v>
      </c>
      <c r="E4226" s="2"/>
      <c r="F4226" s="2">
        <v>467</v>
      </c>
      <c r="G4226" s="2" t="s">
        <v>1053</v>
      </c>
      <c r="H4226" s="2">
        <v>22</v>
      </c>
      <c r="I4226" s="2" t="s">
        <v>75</v>
      </c>
      <c r="J4226" s="2">
        <v>369</v>
      </c>
      <c r="K4226" s="2" t="s">
        <v>1054</v>
      </c>
      <c r="L4226" s="2" t="s">
        <v>1055</v>
      </c>
      <c r="M4226" s="3">
        <v>40464</v>
      </c>
      <c r="N4226" s="2" t="s">
        <v>13220</v>
      </c>
      <c r="O4226" s="2" t="s">
        <v>13221</v>
      </c>
      <c r="P4226" s="2" t="s">
        <v>13222</v>
      </c>
      <c r="Q4226" s="2" t="str">
        <f>""</f>
        <v/>
      </c>
      <c r="R4226" s="2"/>
      <c r="S4226" s="2"/>
      <c r="T4226" s="2">
        <v>1</v>
      </c>
      <c r="U4226" s="2" t="s">
        <v>79</v>
      </c>
      <c r="V4226" s="2">
        <v>1</v>
      </c>
      <c r="W4226" s="2" t="s">
        <v>80</v>
      </c>
      <c r="X4226" s="2">
        <v>10</v>
      </c>
      <c r="Y4226" s="2" t="s">
        <v>226</v>
      </c>
      <c r="Z4226" s="2">
        <v>6</v>
      </c>
      <c r="AA4226" s="2" t="s">
        <v>101</v>
      </c>
      <c r="AB4226" s="2">
        <v>9</v>
      </c>
      <c r="AC4226" s="2" t="s">
        <v>124</v>
      </c>
      <c r="AD4226" s="3">
        <v>40464</v>
      </c>
      <c r="AE4226" s="4">
        <v>0.40277777777777773</v>
      </c>
      <c r="AF4226" s="3">
        <v>40464</v>
      </c>
      <c r="AG4226" s="4">
        <v>0.40277777777777773</v>
      </c>
      <c r="AH4226" s="2">
        <v>4</v>
      </c>
      <c r="AI4226" s="2" t="s">
        <v>125</v>
      </c>
      <c r="AJ4226" s="2">
        <v>29</v>
      </c>
      <c r="AK4226" s="2" t="s">
        <v>227</v>
      </c>
      <c r="AL4226" s="2">
        <v>2</v>
      </c>
      <c r="AM4226" s="2" t="s">
        <v>163</v>
      </c>
      <c r="AN4226" s="2"/>
      <c r="AO4226" s="2"/>
      <c r="AP4226" s="2">
        <v>11</v>
      </c>
      <c r="AQ4226" s="2" t="s">
        <v>82</v>
      </c>
      <c r="AR4226" s="2"/>
      <c r="AS4226" s="2"/>
      <c r="AT4226" s="2" t="s">
        <v>13223</v>
      </c>
      <c r="AU4226" s="2"/>
      <c r="AV4226" s="2"/>
      <c r="AW4226" s="2"/>
      <c r="AX4226" s="2"/>
      <c r="AY4226" s="2">
        <v>41</v>
      </c>
      <c r="AZ4226" s="2" t="s">
        <v>82</v>
      </c>
      <c r="BA4226" s="2">
        <v>41</v>
      </c>
      <c r="BB4226" s="2" t="s">
        <v>82</v>
      </c>
      <c r="BC4226" s="2">
        <v>70</v>
      </c>
      <c r="BD4226" s="2" t="s">
        <v>236</v>
      </c>
      <c r="BE4226" s="2">
        <v>13</v>
      </c>
      <c r="BF4226" s="2" t="s">
        <v>108</v>
      </c>
      <c r="BG4226" s="2">
        <v>1451</v>
      </c>
      <c r="BH4226" s="4">
        <v>0.3611111111111111</v>
      </c>
      <c r="BI4226" s="4">
        <v>0.40277777777777773</v>
      </c>
      <c r="BJ4226" s="2">
        <v>13</v>
      </c>
      <c r="BK4226" s="2" t="s">
        <v>91</v>
      </c>
      <c r="BL4226" s="2" t="s">
        <v>828</v>
      </c>
      <c r="BM4226" s="2">
        <v>13</v>
      </c>
      <c r="BN4226" s="2" t="s">
        <v>91</v>
      </c>
      <c r="BO4226" s="2"/>
      <c r="BP4226" s="2">
        <v>13</v>
      </c>
      <c r="BQ4226" s="2" t="s">
        <v>91</v>
      </c>
      <c r="BR4226" s="2" t="s">
        <v>1108</v>
      </c>
      <c r="BS4226" s="3">
        <v>40464</v>
      </c>
      <c r="BT4226" s="4">
        <v>0.7362847222222223</v>
      </c>
    </row>
    <row r="4227" spans="1:72" x14ac:dyDescent="0.25">
      <c r="A4227" s="2">
        <v>6375</v>
      </c>
      <c r="B4227" s="2">
        <v>2010</v>
      </c>
      <c r="C4227" s="2" t="s">
        <v>457</v>
      </c>
      <c r="D4227" s="2" t="s">
        <v>73</v>
      </c>
      <c r="E4227" s="2"/>
      <c r="F4227" s="2">
        <v>1</v>
      </c>
      <c r="G4227" s="2" t="s">
        <v>82</v>
      </c>
      <c r="H4227" s="2">
        <v>1</v>
      </c>
      <c r="I4227" s="2" t="s">
        <v>82</v>
      </c>
      <c r="J4227" s="2">
        <v>1</v>
      </c>
      <c r="K4227" s="2" t="s">
        <v>107</v>
      </c>
      <c r="L4227" s="2" t="s">
        <v>107</v>
      </c>
      <c r="M4227" s="3">
        <v>40464</v>
      </c>
      <c r="N4227" s="2"/>
      <c r="O4227" s="2"/>
      <c r="P4227" s="2"/>
      <c r="Q4227" s="2" t="str">
        <f>""</f>
        <v/>
      </c>
      <c r="R4227" s="2"/>
      <c r="S4227" s="2"/>
      <c r="T4227" s="2">
        <v>1</v>
      </c>
      <c r="U4227" s="2" t="s">
        <v>79</v>
      </c>
      <c r="V4227" s="2">
        <v>1</v>
      </c>
      <c r="W4227" s="2" t="s">
        <v>80</v>
      </c>
      <c r="X4227" s="2">
        <v>11</v>
      </c>
      <c r="Y4227" s="2" t="s">
        <v>1920</v>
      </c>
      <c r="Z4227" s="2">
        <v>1</v>
      </c>
      <c r="AA4227" s="2" t="s">
        <v>82</v>
      </c>
      <c r="AB4227" s="2">
        <v>9</v>
      </c>
      <c r="AC4227" s="2" t="s">
        <v>124</v>
      </c>
      <c r="AD4227" s="3">
        <v>40464</v>
      </c>
      <c r="AE4227" s="4">
        <v>0.71527777777777779</v>
      </c>
      <c r="AF4227" s="2"/>
      <c r="AG4227" s="2"/>
      <c r="AH4227" s="2">
        <v>2</v>
      </c>
      <c r="AI4227" s="2" t="s">
        <v>84</v>
      </c>
      <c r="AJ4227" s="2">
        <v>12</v>
      </c>
      <c r="AK4227" s="2" t="s">
        <v>85</v>
      </c>
      <c r="AL4227" s="2">
        <v>2</v>
      </c>
      <c r="AM4227" s="2" t="s">
        <v>163</v>
      </c>
      <c r="AN4227" s="2" t="s">
        <v>13192</v>
      </c>
      <c r="AO4227" s="2"/>
      <c r="AP4227" s="2">
        <v>11</v>
      </c>
      <c r="AQ4227" s="2" t="s">
        <v>82</v>
      </c>
      <c r="AR4227" s="2"/>
      <c r="AS4227" s="2"/>
      <c r="AT4227" s="2" t="s">
        <v>13224</v>
      </c>
      <c r="AU4227" s="2"/>
      <c r="AV4227" s="2"/>
      <c r="AW4227" s="2"/>
      <c r="AX4227" s="2"/>
      <c r="AY4227" s="2">
        <v>41</v>
      </c>
      <c r="AZ4227" s="2" t="s">
        <v>82</v>
      </c>
      <c r="BA4227" s="2">
        <v>41</v>
      </c>
      <c r="BB4227" s="2" t="s">
        <v>82</v>
      </c>
      <c r="BC4227" s="2">
        <v>41</v>
      </c>
      <c r="BD4227" s="2" t="s">
        <v>82</v>
      </c>
      <c r="BE4227" s="2">
        <v>13</v>
      </c>
      <c r="BF4227" s="2" t="s">
        <v>108</v>
      </c>
      <c r="BG4227" s="2" t="s">
        <v>13225</v>
      </c>
      <c r="BH4227" s="4">
        <v>0.71527777777777779</v>
      </c>
      <c r="BI4227" s="2"/>
      <c r="BJ4227" s="2">
        <v>13</v>
      </c>
      <c r="BK4227" s="2" t="s">
        <v>91</v>
      </c>
      <c r="BL4227" s="2" t="s">
        <v>1552</v>
      </c>
      <c r="BM4227" s="2">
        <v>13</v>
      </c>
      <c r="BN4227" s="2" t="s">
        <v>91</v>
      </c>
      <c r="BO4227" s="2"/>
      <c r="BP4227" s="2">
        <v>13</v>
      </c>
      <c r="BQ4227" s="2" t="s">
        <v>91</v>
      </c>
      <c r="BR4227" s="2" t="s">
        <v>564</v>
      </c>
      <c r="BS4227" s="3">
        <v>40464</v>
      </c>
      <c r="BT4227" s="4">
        <v>0.74215277777777777</v>
      </c>
    </row>
    <row r="4228" spans="1:72" x14ac:dyDescent="0.25">
      <c r="A4228" s="2">
        <v>6376</v>
      </c>
      <c r="B4228" s="2">
        <v>2010</v>
      </c>
      <c r="C4228" s="2" t="s">
        <v>385</v>
      </c>
      <c r="D4228" s="2" t="s">
        <v>122</v>
      </c>
      <c r="E4228" s="2"/>
      <c r="F4228" s="2">
        <v>281</v>
      </c>
      <c r="G4228" s="2" t="s">
        <v>7482</v>
      </c>
      <c r="H4228" s="2">
        <v>50</v>
      </c>
      <c r="I4228" s="2" t="s">
        <v>107</v>
      </c>
      <c r="J4228" s="2">
        <v>527</v>
      </c>
      <c r="K4228" s="2" t="s">
        <v>2804</v>
      </c>
      <c r="L4228" s="2" t="s">
        <v>7483</v>
      </c>
      <c r="M4228" s="3">
        <v>40464</v>
      </c>
      <c r="N4228" s="2"/>
      <c r="O4228" s="2" t="s">
        <v>6024</v>
      </c>
      <c r="P4228" s="2" t="s">
        <v>13226</v>
      </c>
      <c r="Q4228" s="2" t="str">
        <f>""</f>
        <v/>
      </c>
      <c r="R4228" s="2"/>
      <c r="S4228" s="2"/>
      <c r="T4228" s="2">
        <v>1</v>
      </c>
      <c r="U4228" s="2" t="s">
        <v>79</v>
      </c>
      <c r="V4228" s="2">
        <v>1</v>
      </c>
      <c r="W4228" s="2" t="s">
        <v>80</v>
      </c>
      <c r="X4228" s="2">
        <v>10</v>
      </c>
      <c r="Y4228" s="2" t="s">
        <v>226</v>
      </c>
      <c r="Z4228" s="2">
        <v>9</v>
      </c>
      <c r="AA4228" s="2" t="s">
        <v>1119</v>
      </c>
      <c r="AB4228" s="2">
        <v>9</v>
      </c>
      <c r="AC4228" s="2" t="s">
        <v>124</v>
      </c>
      <c r="AD4228" s="3">
        <v>40464</v>
      </c>
      <c r="AE4228" s="4">
        <v>0.62152777777777779</v>
      </c>
      <c r="AF4228" s="2"/>
      <c r="AG4228" s="2"/>
      <c r="AH4228" s="2">
        <v>5</v>
      </c>
      <c r="AI4228" s="2" t="s">
        <v>274</v>
      </c>
      <c r="AJ4228" s="2">
        <v>37</v>
      </c>
      <c r="AK4228" s="2" t="s">
        <v>497</v>
      </c>
      <c r="AL4228" s="2">
        <v>14</v>
      </c>
      <c r="AM4228" s="2" t="s">
        <v>216</v>
      </c>
      <c r="AN4228" s="2"/>
      <c r="AO4228" s="2" t="s">
        <v>13227</v>
      </c>
      <c r="AP4228" s="2">
        <v>11</v>
      </c>
      <c r="AQ4228" s="2" t="s">
        <v>82</v>
      </c>
      <c r="AR4228" s="2"/>
      <c r="AS4228" s="2"/>
      <c r="AT4228" s="2" t="s">
        <v>13228</v>
      </c>
      <c r="AU4228" s="2">
        <v>1</v>
      </c>
      <c r="AV4228" s="2"/>
      <c r="AW4228" s="2"/>
      <c r="AX4228" s="2"/>
      <c r="AY4228" s="2">
        <v>1</v>
      </c>
      <c r="AZ4228" s="2" t="s">
        <v>107</v>
      </c>
      <c r="BA4228" s="2">
        <v>1</v>
      </c>
      <c r="BB4228" s="2" t="s">
        <v>107</v>
      </c>
      <c r="BC4228" s="2">
        <v>150</v>
      </c>
      <c r="BD4228" s="2" t="s">
        <v>1119</v>
      </c>
      <c r="BE4228" s="2">
        <v>13</v>
      </c>
      <c r="BF4228" s="2" t="s">
        <v>108</v>
      </c>
      <c r="BG4228" s="2">
        <v>1751</v>
      </c>
      <c r="BH4228" s="4">
        <v>0.71875</v>
      </c>
      <c r="BI4228" s="4">
        <v>0.66319444444444442</v>
      </c>
      <c r="BJ4228" s="2">
        <v>13</v>
      </c>
      <c r="BK4228" s="2" t="s">
        <v>91</v>
      </c>
      <c r="BL4228" s="2" t="s">
        <v>1552</v>
      </c>
      <c r="BM4228" s="2">
        <v>13</v>
      </c>
      <c r="BN4228" s="2" t="s">
        <v>91</v>
      </c>
      <c r="BO4228" s="2"/>
      <c r="BP4228" s="2">
        <v>13</v>
      </c>
      <c r="BQ4228" s="2" t="s">
        <v>91</v>
      </c>
      <c r="BR4228" s="2" t="s">
        <v>170</v>
      </c>
      <c r="BS4228" s="3">
        <v>40464</v>
      </c>
      <c r="BT4228" s="4">
        <v>0.77074074074074073</v>
      </c>
    </row>
    <row r="4229" spans="1:72" x14ac:dyDescent="0.25">
      <c r="A4229" s="2">
        <v>6377</v>
      </c>
      <c r="B4229" s="2">
        <v>2010</v>
      </c>
      <c r="C4229" s="2" t="s">
        <v>457</v>
      </c>
      <c r="D4229" s="2" t="s">
        <v>73</v>
      </c>
      <c r="E4229" s="2"/>
      <c r="F4229" s="2">
        <v>467</v>
      </c>
      <c r="G4229" s="2" t="s">
        <v>1053</v>
      </c>
      <c r="H4229" s="2">
        <v>42</v>
      </c>
      <c r="I4229" s="2" t="s">
        <v>1096</v>
      </c>
      <c r="J4229" s="2">
        <v>369</v>
      </c>
      <c r="K4229" s="2" t="s">
        <v>1054</v>
      </c>
      <c r="L4229" s="2" t="s">
        <v>1055</v>
      </c>
      <c r="M4229" s="3">
        <v>40464</v>
      </c>
      <c r="N4229" s="2" t="s">
        <v>13220</v>
      </c>
      <c r="O4229" s="2" t="s">
        <v>13229</v>
      </c>
      <c r="P4229" s="2" t="s">
        <v>13230</v>
      </c>
      <c r="Q4229" s="2" t="str">
        <f>""</f>
        <v/>
      </c>
      <c r="R4229" s="2"/>
      <c r="S4229" s="2"/>
      <c r="T4229" s="2">
        <v>1</v>
      </c>
      <c r="U4229" s="2" t="s">
        <v>79</v>
      </c>
      <c r="V4229" s="2">
        <v>1</v>
      </c>
      <c r="W4229" s="2" t="s">
        <v>80</v>
      </c>
      <c r="X4229" s="2">
        <v>10</v>
      </c>
      <c r="Y4229" s="2" t="s">
        <v>226</v>
      </c>
      <c r="Z4229" s="2">
        <v>6</v>
      </c>
      <c r="AA4229" s="2" t="s">
        <v>101</v>
      </c>
      <c r="AB4229" s="2">
        <v>9</v>
      </c>
      <c r="AC4229" s="2" t="s">
        <v>124</v>
      </c>
      <c r="AD4229" s="3">
        <v>40464</v>
      </c>
      <c r="AE4229" s="4">
        <v>0.40277777777777773</v>
      </c>
      <c r="AF4229" s="3">
        <v>40464</v>
      </c>
      <c r="AG4229" s="4">
        <v>0.40277777777777773</v>
      </c>
      <c r="AH4229" s="2">
        <v>4</v>
      </c>
      <c r="AI4229" s="2" t="s">
        <v>125</v>
      </c>
      <c r="AJ4229" s="2">
        <v>29</v>
      </c>
      <c r="AK4229" s="2" t="s">
        <v>227</v>
      </c>
      <c r="AL4229" s="2">
        <v>2</v>
      </c>
      <c r="AM4229" s="2" t="s">
        <v>163</v>
      </c>
      <c r="AN4229" s="2"/>
      <c r="AO4229" s="2"/>
      <c r="AP4229" s="2">
        <v>11</v>
      </c>
      <c r="AQ4229" s="2" t="s">
        <v>82</v>
      </c>
      <c r="AR4229" s="2"/>
      <c r="AS4229" s="2"/>
      <c r="AT4229" s="2" t="s">
        <v>13231</v>
      </c>
      <c r="AU4229" s="2"/>
      <c r="AV4229" s="2"/>
      <c r="AW4229" s="2"/>
      <c r="AX4229" s="2"/>
      <c r="AY4229" s="2">
        <v>41</v>
      </c>
      <c r="AZ4229" s="2" t="s">
        <v>82</v>
      </c>
      <c r="BA4229" s="2">
        <v>41</v>
      </c>
      <c r="BB4229" s="2" t="s">
        <v>82</v>
      </c>
      <c r="BC4229" s="2">
        <v>70</v>
      </c>
      <c r="BD4229" s="2" t="s">
        <v>236</v>
      </c>
      <c r="BE4229" s="2">
        <v>13</v>
      </c>
      <c r="BF4229" s="2" t="s">
        <v>108</v>
      </c>
      <c r="BG4229" s="2">
        <v>1451</v>
      </c>
      <c r="BH4229" s="4">
        <v>0.3611111111111111</v>
      </c>
      <c r="BI4229" s="4">
        <v>0.40277777777777773</v>
      </c>
      <c r="BJ4229" s="2">
        <v>13</v>
      </c>
      <c r="BK4229" s="2" t="s">
        <v>91</v>
      </c>
      <c r="BL4229" s="2" t="s">
        <v>828</v>
      </c>
      <c r="BM4229" s="2">
        <v>13</v>
      </c>
      <c r="BN4229" s="2" t="s">
        <v>91</v>
      </c>
      <c r="BO4229" s="2"/>
      <c r="BP4229" s="2">
        <v>13</v>
      </c>
      <c r="BQ4229" s="2" t="s">
        <v>91</v>
      </c>
      <c r="BR4229" s="2" t="s">
        <v>6944</v>
      </c>
      <c r="BS4229" s="3">
        <v>40464</v>
      </c>
      <c r="BT4229" s="4">
        <v>0.77682870370370372</v>
      </c>
    </row>
    <row r="4230" spans="1:72" x14ac:dyDescent="0.25">
      <c r="A4230" s="2">
        <v>6378</v>
      </c>
      <c r="B4230" s="2">
        <v>2010</v>
      </c>
      <c r="C4230" s="2" t="s">
        <v>385</v>
      </c>
      <c r="D4230" s="2" t="s">
        <v>122</v>
      </c>
      <c r="E4230" s="2" t="s">
        <v>13232</v>
      </c>
      <c r="F4230" s="2">
        <v>693</v>
      </c>
      <c r="G4230" s="2" t="s">
        <v>13174</v>
      </c>
      <c r="H4230" s="2">
        <v>87</v>
      </c>
      <c r="I4230" s="2" t="s">
        <v>4918</v>
      </c>
      <c r="J4230" s="2">
        <v>228</v>
      </c>
      <c r="K4230" s="2" t="s">
        <v>7058</v>
      </c>
      <c r="L4230" s="2" t="s">
        <v>7059</v>
      </c>
      <c r="M4230" s="3">
        <v>40464</v>
      </c>
      <c r="N4230" s="2" t="s">
        <v>13175</v>
      </c>
      <c r="O4230" s="2" t="s">
        <v>13233</v>
      </c>
      <c r="P4230" s="2" t="s">
        <v>13177</v>
      </c>
      <c r="Q4230" s="2" t="str">
        <f>""</f>
        <v/>
      </c>
      <c r="R4230" s="2"/>
      <c r="S4230" s="2"/>
      <c r="T4230" s="2">
        <v>1</v>
      </c>
      <c r="U4230" s="2" t="s">
        <v>79</v>
      </c>
      <c r="V4230" s="2">
        <v>1</v>
      </c>
      <c r="W4230" s="2" t="s">
        <v>80</v>
      </c>
      <c r="X4230" s="2">
        <v>5</v>
      </c>
      <c r="Y4230" s="2" t="s">
        <v>82</v>
      </c>
      <c r="Z4230" s="2">
        <v>6</v>
      </c>
      <c r="AA4230" s="2" t="s">
        <v>101</v>
      </c>
      <c r="AB4230" s="2">
        <v>9</v>
      </c>
      <c r="AC4230" s="2" t="s">
        <v>124</v>
      </c>
      <c r="AD4230" s="3">
        <v>40463</v>
      </c>
      <c r="AE4230" s="4">
        <v>0.27083333333333331</v>
      </c>
      <c r="AF4230" s="3">
        <v>40463</v>
      </c>
      <c r="AG4230" s="4">
        <v>0.4375</v>
      </c>
      <c r="AH4230" s="2">
        <v>2</v>
      </c>
      <c r="AI4230" s="2" t="s">
        <v>84</v>
      </c>
      <c r="AJ4230" s="2">
        <v>9</v>
      </c>
      <c r="AK4230" s="2" t="s">
        <v>103</v>
      </c>
      <c r="AL4230" s="2">
        <v>14</v>
      </c>
      <c r="AM4230" s="2" t="s">
        <v>216</v>
      </c>
      <c r="AN4230" s="2"/>
      <c r="AO4230" s="2" t="s">
        <v>12818</v>
      </c>
      <c r="AP4230" s="2">
        <v>11</v>
      </c>
      <c r="AQ4230" s="2" t="s">
        <v>82</v>
      </c>
      <c r="AR4230" s="2"/>
      <c r="AS4230" s="2"/>
      <c r="AT4230" s="2" t="s">
        <v>13234</v>
      </c>
      <c r="AU4230" s="2">
        <v>1</v>
      </c>
      <c r="AV4230" s="2"/>
      <c r="AW4230" s="2"/>
      <c r="AX4230" s="2"/>
      <c r="AY4230" s="2">
        <v>41</v>
      </c>
      <c r="AZ4230" s="2" t="s">
        <v>82</v>
      </c>
      <c r="BA4230" s="2">
        <v>41</v>
      </c>
      <c r="BB4230" s="2" t="s">
        <v>82</v>
      </c>
      <c r="BC4230" s="2">
        <v>41</v>
      </c>
      <c r="BD4230" s="2" t="s">
        <v>82</v>
      </c>
      <c r="BE4230" s="2">
        <v>13</v>
      </c>
      <c r="BF4230" s="2" t="s">
        <v>108</v>
      </c>
      <c r="BG4230" s="2" t="s">
        <v>13235</v>
      </c>
      <c r="BH4230" s="4">
        <v>0.25</v>
      </c>
      <c r="BI4230" s="2"/>
      <c r="BJ4230" s="2">
        <v>173</v>
      </c>
      <c r="BK4230" s="2" t="s">
        <v>223</v>
      </c>
      <c r="BL4230" s="2" t="s">
        <v>224</v>
      </c>
      <c r="BM4230" s="2">
        <v>13</v>
      </c>
      <c r="BN4230" s="2" t="s">
        <v>91</v>
      </c>
      <c r="BO4230" s="2"/>
      <c r="BP4230" s="2">
        <v>13</v>
      </c>
      <c r="BQ4230" s="2" t="s">
        <v>91</v>
      </c>
      <c r="BR4230" s="2" t="s">
        <v>185</v>
      </c>
      <c r="BS4230" s="3">
        <v>40464</v>
      </c>
      <c r="BT4230" s="4">
        <v>0.79215277777777782</v>
      </c>
    </row>
    <row r="4231" spans="1:72" x14ac:dyDescent="0.25">
      <c r="A4231" s="2">
        <v>6379</v>
      </c>
      <c r="B4231" s="2">
        <v>2010</v>
      </c>
      <c r="C4231" s="2" t="s">
        <v>4543</v>
      </c>
      <c r="D4231" s="2" t="s">
        <v>122</v>
      </c>
      <c r="E4231" s="2"/>
      <c r="F4231" s="2">
        <v>486</v>
      </c>
      <c r="G4231" s="2" t="s">
        <v>1580</v>
      </c>
      <c r="H4231" s="2">
        <v>50</v>
      </c>
      <c r="I4231" s="2" t="s">
        <v>107</v>
      </c>
      <c r="J4231" s="2">
        <v>682</v>
      </c>
      <c r="K4231" s="2" t="s">
        <v>3989</v>
      </c>
      <c r="L4231" s="2" t="s">
        <v>13236</v>
      </c>
      <c r="M4231" s="3">
        <v>40464</v>
      </c>
      <c r="N4231" s="2"/>
      <c r="O4231" s="2"/>
      <c r="P4231" s="2"/>
      <c r="Q4231" s="2" t="str">
        <f>""</f>
        <v/>
      </c>
      <c r="R4231" s="2"/>
      <c r="S4231" s="2"/>
      <c r="T4231" s="2">
        <v>2</v>
      </c>
      <c r="U4231" s="2" t="s">
        <v>123</v>
      </c>
      <c r="V4231" s="2">
        <v>1</v>
      </c>
      <c r="W4231" s="2" t="s">
        <v>80</v>
      </c>
      <c r="X4231" s="2">
        <v>11</v>
      </c>
      <c r="Y4231" s="2" t="s">
        <v>1920</v>
      </c>
      <c r="Z4231" s="2">
        <v>1</v>
      </c>
      <c r="AA4231" s="2" t="s">
        <v>82</v>
      </c>
      <c r="AB4231" s="2">
        <v>9</v>
      </c>
      <c r="AC4231" s="2" t="s">
        <v>124</v>
      </c>
      <c r="AD4231" s="3">
        <v>40464</v>
      </c>
      <c r="AE4231" s="4">
        <v>0.65972222222222221</v>
      </c>
      <c r="AF4231" s="2"/>
      <c r="AG4231" s="2"/>
      <c r="AH4231" s="2">
        <v>3</v>
      </c>
      <c r="AI4231" s="2" t="s">
        <v>214</v>
      </c>
      <c r="AJ4231" s="2">
        <v>17</v>
      </c>
      <c r="AK4231" s="2" t="s">
        <v>309</v>
      </c>
      <c r="AL4231" s="2">
        <v>9</v>
      </c>
      <c r="AM4231" s="2" t="s">
        <v>259</v>
      </c>
      <c r="AN4231" s="2" t="s">
        <v>13237</v>
      </c>
      <c r="AO4231" s="2"/>
      <c r="AP4231" s="2">
        <v>11</v>
      </c>
      <c r="AQ4231" s="2" t="s">
        <v>82</v>
      </c>
      <c r="AR4231" s="2"/>
      <c r="AS4231" s="2"/>
      <c r="AT4231" s="2" t="s">
        <v>13238</v>
      </c>
      <c r="AU4231" s="2"/>
      <c r="AV4231" s="2"/>
      <c r="AW4231" s="2"/>
      <c r="AX4231" s="2"/>
      <c r="AY4231" s="2">
        <v>41</v>
      </c>
      <c r="AZ4231" s="2" t="s">
        <v>82</v>
      </c>
      <c r="BA4231" s="2">
        <v>41</v>
      </c>
      <c r="BB4231" s="2" t="s">
        <v>82</v>
      </c>
      <c r="BC4231" s="2">
        <v>41</v>
      </c>
      <c r="BD4231" s="2" t="s">
        <v>82</v>
      </c>
      <c r="BE4231" s="2">
        <v>41</v>
      </c>
      <c r="BF4231" s="2" t="s">
        <v>82</v>
      </c>
      <c r="BG4231" s="2" t="s">
        <v>13239</v>
      </c>
      <c r="BH4231" s="4">
        <v>0.4375</v>
      </c>
      <c r="BI4231" s="4">
        <v>0.65972222222222221</v>
      </c>
      <c r="BJ4231" s="2">
        <v>13</v>
      </c>
      <c r="BK4231" s="2" t="s">
        <v>91</v>
      </c>
      <c r="BL4231" s="2" t="s">
        <v>445</v>
      </c>
      <c r="BM4231" s="2">
        <v>241</v>
      </c>
      <c r="BN4231" s="2" t="s">
        <v>82</v>
      </c>
      <c r="BO4231" s="2"/>
      <c r="BP4231" s="2">
        <v>13</v>
      </c>
      <c r="BQ4231" s="2" t="s">
        <v>91</v>
      </c>
      <c r="BR4231" s="2" t="s">
        <v>13240</v>
      </c>
      <c r="BS4231" s="3">
        <v>40464</v>
      </c>
      <c r="BT4231" s="4">
        <v>0.81429398148148147</v>
      </c>
    </row>
    <row r="4232" spans="1:72" x14ac:dyDescent="0.25">
      <c r="A4232" s="2">
        <v>6380</v>
      </c>
      <c r="B4232" s="2">
        <v>2010</v>
      </c>
      <c r="C4232" s="2" t="s">
        <v>171</v>
      </c>
      <c r="D4232" s="2" t="s">
        <v>73</v>
      </c>
      <c r="E4232" s="2" t="s">
        <v>5266</v>
      </c>
      <c r="F4232" s="2">
        <v>425</v>
      </c>
      <c r="G4232" s="2" t="s">
        <v>286</v>
      </c>
      <c r="H4232" s="2">
        <v>30</v>
      </c>
      <c r="I4232" s="2" t="s">
        <v>912</v>
      </c>
      <c r="J4232" s="2">
        <v>310</v>
      </c>
      <c r="K4232" s="2" t="s">
        <v>288</v>
      </c>
      <c r="L4232" s="2" t="s">
        <v>289</v>
      </c>
      <c r="M4232" s="3">
        <v>40464</v>
      </c>
      <c r="N4232" s="2" t="s">
        <v>1917</v>
      </c>
      <c r="O4232" s="2" t="s">
        <v>1479</v>
      </c>
      <c r="P4232" s="2" t="s">
        <v>4719</v>
      </c>
      <c r="Q4232" s="2" t="str">
        <f>"84"</f>
        <v>84</v>
      </c>
      <c r="R4232" s="2"/>
      <c r="S4232" s="2"/>
      <c r="T4232" s="2">
        <v>1</v>
      </c>
      <c r="U4232" s="2" t="s">
        <v>79</v>
      </c>
      <c r="V4232" s="2">
        <v>3</v>
      </c>
      <c r="W4232" s="2" t="s">
        <v>225</v>
      </c>
      <c r="X4232" s="2">
        <v>6</v>
      </c>
      <c r="Y4232" s="2" t="s">
        <v>249</v>
      </c>
      <c r="Z4232" s="2">
        <v>1</v>
      </c>
      <c r="AA4232" s="2" t="s">
        <v>82</v>
      </c>
      <c r="AB4232" s="2">
        <v>9</v>
      </c>
      <c r="AC4232" s="2" t="s">
        <v>124</v>
      </c>
      <c r="AD4232" s="2"/>
      <c r="AE4232" s="2"/>
      <c r="AF4232" s="2"/>
      <c r="AG4232" s="2"/>
      <c r="AH4232" s="2">
        <v>4</v>
      </c>
      <c r="AI4232" s="2" t="s">
        <v>125</v>
      </c>
      <c r="AJ4232" s="2">
        <v>26</v>
      </c>
      <c r="AK4232" s="2" t="s">
        <v>293</v>
      </c>
      <c r="AL4232" s="2">
        <v>23</v>
      </c>
      <c r="AM4232" s="2" t="s">
        <v>251</v>
      </c>
      <c r="AN4232" s="2"/>
      <c r="AO4232" s="2" t="s">
        <v>11465</v>
      </c>
      <c r="AP4232" s="2">
        <v>11</v>
      </c>
      <c r="AQ4232" s="2" t="s">
        <v>82</v>
      </c>
      <c r="AR4232" s="2"/>
      <c r="AS4232" s="2"/>
      <c r="AT4232" s="2" t="s">
        <v>13241</v>
      </c>
      <c r="AU4232" s="2"/>
      <c r="AV4232" s="2"/>
      <c r="AW4232" s="2"/>
      <c r="AX4232" s="2"/>
      <c r="AY4232" s="2">
        <v>41</v>
      </c>
      <c r="AZ4232" s="2" t="s">
        <v>82</v>
      </c>
      <c r="BA4232" s="2">
        <v>41</v>
      </c>
      <c r="BB4232" s="2" t="s">
        <v>82</v>
      </c>
      <c r="BC4232" s="2">
        <v>41</v>
      </c>
      <c r="BD4232" s="2" t="s">
        <v>82</v>
      </c>
      <c r="BE4232" s="2">
        <v>41</v>
      </c>
      <c r="BF4232" s="2" t="s">
        <v>82</v>
      </c>
      <c r="BG4232" s="2"/>
      <c r="BH4232" s="2"/>
      <c r="BI4232" s="2"/>
      <c r="BJ4232" s="2">
        <v>241</v>
      </c>
      <c r="BK4232" s="2" t="s">
        <v>82</v>
      </c>
      <c r="BL4232" s="2"/>
      <c r="BM4232" s="2">
        <v>241</v>
      </c>
      <c r="BN4232" s="2" t="s">
        <v>82</v>
      </c>
      <c r="BO4232" s="2"/>
      <c r="BP4232" s="2">
        <v>241</v>
      </c>
      <c r="BQ4232" s="2" t="s">
        <v>82</v>
      </c>
      <c r="BR4232" s="2"/>
      <c r="BS4232" s="3">
        <v>40464</v>
      </c>
      <c r="BT4232" s="4">
        <v>0.81797453703703704</v>
      </c>
    </row>
    <row r="4233" spans="1:72" x14ac:dyDescent="0.25">
      <c r="A4233" s="2">
        <v>6381</v>
      </c>
      <c r="B4233" s="2">
        <v>2010</v>
      </c>
      <c r="C4233" s="2" t="s">
        <v>255</v>
      </c>
      <c r="D4233" s="2" t="s">
        <v>122</v>
      </c>
      <c r="E4233" s="2"/>
      <c r="F4233" s="2">
        <v>125</v>
      </c>
      <c r="G4233" s="2" t="s">
        <v>1483</v>
      </c>
      <c r="H4233" s="2">
        <v>47</v>
      </c>
      <c r="I4233" s="2" t="s">
        <v>1409</v>
      </c>
      <c r="J4233" s="2">
        <v>139</v>
      </c>
      <c r="K4233" s="2" t="s">
        <v>1485</v>
      </c>
      <c r="L4233" s="2" t="s">
        <v>1486</v>
      </c>
      <c r="M4233" s="3">
        <v>40464</v>
      </c>
      <c r="N4233" s="2" t="s">
        <v>13242</v>
      </c>
      <c r="O4233" s="2" t="s">
        <v>82</v>
      </c>
      <c r="P4233" s="2" t="s">
        <v>82</v>
      </c>
      <c r="Q4233" s="2" t="str">
        <f>"GDE_CAUSA_0021_10"</f>
        <v>GDE_CAUSA_0021_10</v>
      </c>
      <c r="R4233" s="2" t="s">
        <v>13243</v>
      </c>
      <c r="S4233" s="2"/>
      <c r="T4233" s="2">
        <v>1</v>
      </c>
      <c r="U4233" s="2" t="s">
        <v>79</v>
      </c>
      <c r="V4233" s="2">
        <v>1</v>
      </c>
      <c r="W4233" s="2" t="s">
        <v>80</v>
      </c>
      <c r="X4233" s="2">
        <v>12</v>
      </c>
      <c r="Y4233" s="2" t="s">
        <v>148</v>
      </c>
      <c r="Z4233" s="2">
        <v>1</v>
      </c>
      <c r="AA4233" s="2" t="s">
        <v>82</v>
      </c>
      <c r="AB4233" s="2">
        <v>9</v>
      </c>
      <c r="AC4233" s="2" t="s">
        <v>124</v>
      </c>
      <c r="AD4233" s="2"/>
      <c r="AE4233" s="2"/>
      <c r="AF4233" s="3">
        <v>40464</v>
      </c>
      <c r="AG4233" s="4">
        <v>0.70833333333333337</v>
      </c>
      <c r="AH4233" s="2">
        <v>6</v>
      </c>
      <c r="AI4233" s="2" t="s">
        <v>197</v>
      </c>
      <c r="AJ4233" s="2">
        <v>61</v>
      </c>
      <c r="AK4233" s="2" t="s">
        <v>686</v>
      </c>
      <c r="AL4233" s="2">
        <v>25</v>
      </c>
      <c r="AM4233" s="2" t="s">
        <v>3073</v>
      </c>
      <c r="AN4233" s="2"/>
      <c r="AO4233" s="2" t="s">
        <v>13244</v>
      </c>
      <c r="AP4233" s="2">
        <v>11</v>
      </c>
      <c r="AQ4233" s="2" t="s">
        <v>82</v>
      </c>
      <c r="AR4233" s="2"/>
      <c r="AS4233" s="2"/>
      <c r="AT4233" s="2" t="s">
        <v>13245</v>
      </c>
      <c r="AU4233" s="2"/>
      <c r="AV4233" s="2"/>
      <c r="AW4233" s="2"/>
      <c r="AX4233" s="2"/>
      <c r="AY4233" s="2">
        <v>44</v>
      </c>
      <c r="AZ4233" s="2" t="s">
        <v>262</v>
      </c>
      <c r="BA4233" s="2">
        <v>41</v>
      </c>
      <c r="BB4233" s="2" t="s">
        <v>82</v>
      </c>
      <c r="BC4233" s="2">
        <v>41</v>
      </c>
      <c r="BD4233" s="2" t="s">
        <v>82</v>
      </c>
      <c r="BE4233" s="2">
        <v>41</v>
      </c>
      <c r="BF4233" s="2" t="s">
        <v>82</v>
      </c>
      <c r="BG4233" s="2"/>
      <c r="BH4233" s="2"/>
      <c r="BI4233" s="2"/>
      <c r="BJ4233" s="2">
        <v>241</v>
      </c>
      <c r="BK4233" s="2" t="s">
        <v>82</v>
      </c>
      <c r="BL4233" s="2"/>
      <c r="BM4233" s="2">
        <v>241</v>
      </c>
      <c r="BN4233" s="2" t="s">
        <v>82</v>
      </c>
      <c r="BO4233" s="2"/>
      <c r="BP4233" s="2">
        <v>241</v>
      </c>
      <c r="BQ4233" s="2" t="s">
        <v>82</v>
      </c>
      <c r="BR4233" s="2"/>
      <c r="BS4233" s="3">
        <v>40464</v>
      </c>
      <c r="BT4233" s="4">
        <v>0.83084490740740735</v>
      </c>
    </row>
    <row r="4234" spans="1:72" x14ac:dyDescent="0.25">
      <c r="A4234" s="2">
        <v>6383</v>
      </c>
      <c r="B4234" s="2">
        <v>2010</v>
      </c>
      <c r="C4234" s="2" t="s">
        <v>128</v>
      </c>
      <c r="D4234" s="2" t="s">
        <v>73</v>
      </c>
      <c r="E4234" s="2"/>
      <c r="F4234" s="2">
        <v>310</v>
      </c>
      <c r="G4234" s="2" t="s">
        <v>3186</v>
      </c>
      <c r="H4234" s="2">
        <v>2</v>
      </c>
      <c r="I4234" s="2" t="s">
        <v>267</v>
      </c>
      <c r="J4234" s="2">
        <v>371</v>
      </c>
      <c r="K4234" s="2" t="s">
        <v>1138</v>
      </c>
      <c r="L4234" s="2" t="s">
        <v>1139</v>
      </c>
      <c r="M4234" s="3">
        <v>40464</v>
      </c>
      <c r="N4234" s="2" t="s">
        <v>7616</v>
      </c>
      <c r="O4234" s="2"/>
      <c r="P4234" s="2"/>
      <c r="Q4234" s="2" t="str">
        <f>"0134/2010"</f>
        <v>0134/2010</v>
      </c>
      <c r="R4234" s="2" t="s">
        <v>10606</v>
      </c>
      <c r="S4234" s="2"/>
      <c r="T4234" s="2">
        <v>1</v>
      </c>
      <c r="U4234" s="2" t="s">
        <v>79</v>
      </c>
      <c r="V4234" s="2">
        <v>1</v>
      </c>
      <c r="W4234" s="2" t="s">
        <v>80</v>
      </c>
      <c r="X4234" s="2">
        <v>1</v>
      </c>
      <c r="Y4234" s="2" t="s">
        <v>81</v>
      </c>
      <c r="Z4234" s="2">
        <v>1</v>
      </c>
      <c r="AA4234" s="2" t="s">
        <v>82</v>
      </c>
      <c r="AB4234" s="2">
        <v>9</v>
      </c>
      <c r="AC4234" s="2" t="s">
        <v>124</v>
      </c>
      <c r="AD4234" s="3">
        <v>40464</v>
      </c>
      <c r="AE4234" s="4">
        <v>0.77083333333333337</v>
      </c>
      <c r="AF4234" s="2"/>
      <c r="AG4234" s="2"/>
      <c r="AH4234" s="2">
        <v>5</v>
      </c>
      <c r="AI4234" s="2" t="s">
        <v>274</v>
      </c>
      <c r="AJ4234" s="2">
        <v>38</v>
      </c>
      <c r="AK4234" s="2" t="s">
        <v>1120</v>
      </c>
      <c r="AL4234" s="2">
        <v>14</v>
      </c>
      <c r="AM4234" s="2" t="s">
        <v>216</v>
      </c>
      <c r="AN4234" s="2" t="s">
        <v>13246</v>
      </c>
      <c r="AO4234" s="2" t="s">
        <v>230</v>
      </c>
      <c r="AP4234" s="2">
        <v>12</v>
      </c>
      <c r="AQ4234" s="2" t="s">
        <v>322</v>
      </c>
      <c r="AR4234" s="2" t="s">
        <v>13247</v>
      </c>
      <c r="AS4234" s="2" t="s">
        <v>13248</v>
      </c>
      <c r="AT4234" s="2" t="s">
        <v>13249</v>
      </c>
      <c r="AU4234" s="2"/>
      <c r="AV4234" s="2"/>
      <c r="AW4234" s="2"/>
      <c r="AX4234" s="2"/>
      <c r="AY4234" s="2">
        <v>42</v>
      </c>
      <c r="AZ4234" s="2" t="s">
        <v>182</v>
      </c>
      <c r="BA4234" s="2">
        <v>41</v>
      </c>
      <c r="BB4234" s="2" t="s">
        <v>82</v>
      </c>
      <c r="BC4234" s="2">
        <v>41</v>
      </c>
      <c r="BD4234" s="2" t="s">
        <v>82</v>
      </c>
      <c r="BE4234" s="2">
        <v>47</v>
      </c>
      <c r="BF4234" s="2" t="s">
        <v>167</v>
      </c>
      <c r="BG4234" s="2">
        <v>2729</v>
      </c>
      <c r="BH4234" s="4">
        <v>0.74305555555555547</v>
      </c>
      <c r="BI4234" s="4">
        <v>0.77777777777777779</v>
      </c>
      <c r="BJ4234" s="2">
        <v>13</v>
      </c>
      <c r="BK4234" s="2" t="s">
        <v>91</v>
      </c>
      <c r="BL4234" s="2" t="s">
        <v>2005</v>
      </c>
      <c r="BM4234" s="2">
        <v>13</v>
      </c>
      <c r="BN4234" s="2" t="s">
        <v>91</v>
      </c>
      <c r="BO4234" s="2"/>
      <c r="BP4234" s="2">
        <v>13</v>
      </c>
      <c r="BQ4234" s="2" t="s">
        <v>91</v>
      </c>
      <c r="BR4234" s="2" t="s">
        <v>170</v>
      </c>
      <c r="BS4234" s="3">
        <v>40464</v>
      </c>
      <c r="BT4234" s="4">
        <v>0.87481481481481482</v>
      </c>
    </row>
    <row r="4235" spans="1:72" x14ac:dyDescent="0.25">
      <c r="A4235" s="2">
        <v>6384</v>
      </c>
      <c r="B4235" s="2">
        <v>2010</v>
      </c>
      <c r="C4235" s="2" t="s">
        <v>171</v>
      </c>
      <c r="D4235" s="2" t="s">
        <v>73</v>
      </c>
      <c r="E4235" s="2"/>
      <c r="F4235" s="2">
        <v>398</v>
      </c>
      <c r="G4235" s="2" t="s">
        <v>94</v>
      </c>
      <c r="H4235" s="2">
        <v>13</v>
      </c>
      <c r="I4235" s="2" t="s">
        <v>2229</v>
      </c>
      <c r="J4235" s="2">
        <v>245</v>
      </c>
      <c r="K4235" s="2" t="s">
        <v>96</v>
      </c>
      <c r="L4235" s="2" t="s">
        <v>97</v>
      </c>
      <c r="M4235" s="3">
        <v>40464</v>
      </c>
      <c r="N4235" s="2" t="s">
        <v>13250</v>
      </c>
      <c r="O4235" s="2" t="s">
        <v>13251</v>
      </c>
      <c r="P4235" s="7">
        <v>10680</v>
      </c>
      <c r="Q4235" s="2" t="str">
        <f>"04/10"</f>
        <v>04/10</v>
      </c>
      <c r="R4235" s="2"/>
      <c r="S4235" s="2" t="s">
        <v>13251</v>
      </c>
      <c r="T4235" s="2">
        <v>1</v>
      </c>
      <c r="U4235" s="2" t="s">
        <v>79</v>
      </c>
      <c r="V4235" s="2">
        <v>1</v>
      </c>
      <c r="W4235" s="2" t="s">
        <v>80</v>
      </c>
      <c r="X4235" s="2">
        <v>7</v>
      </c>
      <c r="Y4235" s="2" t="s">
        <v>1964</v>
      </c>
      <c r="Z4235" s="2">
        <v>1</v>
      </c>
      <c r="AA4235" s="2" t="s">
        <v>82</v>
      </c>
      <c r="AB4235" s="2">
        <v>1</v>
      </c>
      <c r="AC4235" s="2" t="s">
        <v>178</v>
      </c>
      <c r="AD4235" s="3">
        <v>40464</v>
      </c>
      <c r="AE4235" s="4">
        <v>0.72916666666666663</v>
      </c>
      <c r="AF4235" s="3">
        <v>40459</v>
      </c>
      <c r="AG4235" s="4">
        <v>0.41666666666666669</v>
      </c>
      <c r="AH4235" s="2">
        <v>7</v>
      </c>
      <c r="AI4235" s="2" t="s">
        <v>801</v>
      </c>
      <c r="AJ4235" s="2">
        <v>3</v>
      </c>
      <c r="AK4235" s="2" t="s">
        <v>802</v>
      </c>
      <c r="AL4235" s="2">
        <v>23</v>
      </c>
      <c r="AM4235" s="2" t="s">
        <v>251</v>
      </c>
      <c r="AN4235" s="2" t="s">
        <v>107</v>
      </c>
      <c r="AO4235" s="2" t="s">
        <v>13252</v>
      </c>
      <c r="AP4235" s="2">
        <v>11</v>
      </c>
      <c r="AQ4235" s="2" t="s">
        <v>82</v>
      </c>
      <c r="AR4235" s="2"/>
      <c r="AS4235" s="2"/>
      <c r="AT4235" s="2" t="s">
        <v>13253</v>
      </c>
      <c r="AU4235" s="2"/>
      <c r="AV4235" s="2">
        <v>1</v>
      </c>
      <c r="AW4235" s="2"/>
      <c r="AX4235" s="2"/>
      <c r="AY4235" s="2">
        <v>41</v>
      </c>
      <c r="AZ4235" s="2" t="s">
        <v>82</v>
      </c>
      <c r="BA4235" s="2">
        <v>41</v>
      </c>
      <c r="BB4235" s="2" t="s">
        <v>82</v>
      </c>
      <c r="BC4235" s="2">
        <v>41</v>
      </c>
      <c r="BD4235" s="2" t="s">
        <v>82</v>
      </c>
      <c r="BE4235" s="2">
        <v>41</v>
      </c>
      <c r="BF4235" s="2" t="s">
        <v>82</v>
      </c>
      <c r="BG4235" s="2"/>
      <c r="BH4235" s="2"/>
      <c r="BI4235" s="2"/>
      <c r="BJ4235" s="2">
        <v>241</v>
      </c>
      <c r="BK4235" s="2" t="s">
        <v>82</v>
      </c>
      <c r="BL4235" s="2"/>
      <c r="BM4235" s="2">
        <v>241</v>
      </c>
      <c r="BN4235" s="2" t="s">
        <v>82</v>
      </c>
      <c r="BO4235" s="2"/>
      <c r="BP4235" s="2">
        <v>241</v>
      </c>
      <c r="BQ4235" s="2" t="s">
        <v>82</v>
      </c>
      <c r="BR4235" s="2"/>
      <c r="BS4235" s="3">
        <v>40464</v>
      </c>
      <c r="BT4235" s="4">
        <v>0.87634259259259262</v>
      </c>
    </row>
    <row r="4236" spans="1:72" x14ac:dyDescent="0.25">
      <c r="A4236" s="2">
        <v>6386</v>
      </c>
      <c r="B4236" s="2">
        <v>2010</v>
      </c>
      <c r="C4236" s="2" t="s">
        <v>72</v>
      </c>
      <c r="D4236" s="2" t="s">
        <v>73</v>
      </c>
      <c r="E4236" s="2"/>
      <c r="F4236" s="2">
        <v>164</v>
      </c>
      <c r="G4236" s="2" t="s">
        <v>4963</v>
      </c>
      <c r="H4236" s="2">
        <v>22</v>
      </c>
      <c r="I4236" s="2" t="s">
        <v>75</v>
      </c>
      <c r="J4236" s="2">
        <v>674</v>
      </c>
      <c r="K4236" s="2" t="s">
        <v>12821</v>
      </c>
      <c r="L4236" s="2" t="s">
        <v>12822</v>
      </c>
      <c r="M4236" s="3">
        <v>40464</v>
      </c>
      <c r="N4236" s="2" t="s">
        <v>12865</v>
      </c>
      <c r="O4236" s="2" t="s">
        <v>82</v>
      </c>
      <c r="P4236" s="2" t="s">
        <v>82</v>
      </c>
      <c r="Q4236" s="2" t="str">
        <f>"406-A/10"</f>
        <v>406-A/10</v>
      </c>
      <c r="R4236" s="2" t="s">
        <v>78</v>
      </c>
      <c r="S4236" s="2" t="s">
        <v>78</v>
      </c>
      <c r="T4236" s="2">
        <v>1</v>
      </c>
      <c r="U4236" s="2" t="s">
        <v>79</v>
      </c>
      <c r="V4236" s="2">
        <v>1</v>
      </c>
      <c r="W4236" s="2" t="s">
        <v>80</v>
      </c>
      <c r="X4236" s="2">
        <v>12</v>
      </c>
      <c r="Y4236" s="2" t="s">
        <v>148</v>
      </c>
      <c r="Z4236" s="2">
        <v>1</v>
      </c>
      <c r="AA4236" s="2" t="s">
        <v>82</v>
      </c>
      <c r="AB4236" s="2">
        <v>6</v>
      </c>
      <c r="AC4236" s="2" t="s">
        <v>83</v>
      </c>
      <c r="AD4236" s="3">
        <v>40464</v>
      </c>
      <c r="AE4236" s="2"/>
      <c r="AF4236" s="3">
        <v>40464</v>
      </c>
      <c r="AG4236" s="4">
        <v>0.82638888888888884</v>
      </c>
      <c r="AH4236" s="2">
        <v>2</v>
      </c>
      <c r="AI4236" s="2" t="s">
        <v>84</v>
      </c>
      <c r="AJ4236" s="2">
        <v>12</v>
      </c>
      <c r="AK4236" s="2" t="s">
        <v>85</v>
      </c>
      <c r="AL4236" s="2">
        <v>12</v>
      </c>
      <c r="AM4236" s="2" t="s">
        <v>86</v>
      </c>
      <c r="AN4236" s="2" t="s">
        <v>13254</v>
      </c>
      <c r="AO4236" s="2" t="s">
        <v>13255</v>
      </c>
      <c r="AP4236" s="2">
        <v>11</v>
      </c>
      <c r="AQ4236" s="2" t="s">
        <v>82</v>
      </c>
      <c r="AR4236" s="2" t="s">
        <v>82</v>
      </c>
      <c r="AS4236" s="2" t="s">
        <v>82</v>
      </c>
      <c r="AT4236" s="2" t="s">
        <v>13256</v>
      </c>
      <c r="AU4236" s="2"/>
      <c r="AV4236" s="2"/>
      <c r="AW4236" s="2"/>
      <c r="AX4236" s="2"/>
      <c r="AY4236" s="2">
        <v>41</v>
      </c>
      <c r="AZ4236" s="2" t="s">
        <v>82</v>
      </c>
      <c r="BA4236" s="2">
        <v>41</v>
      </c>
      <c r="BB4236" s="2" t="s">
        <v>82</v>
      </c>
      <c r="BC4236" s="2">
        <v>41</v>
      </c>
      <c r="BD4236" s="2" t="s">
        <v>82</v>
      </c>
      <c r="BE4236" s="2">
        <v>41</v>
      </c>
      <c r="BF4236" s="2" t="s">
        <v>82</v>
      </c>
      <c r="BG4236" s="2" t="s">
        <v>82</v>
      </c>
      <c r="BH4236" s="2"/>
      <c r="BI4236" s="2"/>
      <c r="BJ4236" s="2">
        <v>241</v>
      </c>
      <c r="BK4236" s="2" t="s">
        <v>82</v>
      </c>
      <c r="BL4236" s="2" t="s">
        <v>82</v>
      </c>
      <c r="BM4236" s="2">
        <v>241</v>
      </c>
      <c r="BN4236" s="2" t="s">
        <v>82</v>
      </c>
      <c r="BO4236" s="2"/>
      <c r="BP4236" s="2">
        <v>241</v>
      </c>
      <c r="BQ4236" s="2" t="s">
        <v>82</v>
      </c>
      <c r="BR4236" s="2" t="s">
        <v>82</v>
      </c>
      <c r="BS4236" s="3">
        <v>40464</v>
      </c>
      <c r="BT4236" s="4">
        <v>0.90107638888888886</v>
      </c>
    </row>
    <row r="4237" spans="1:72" x14ac:dyDescent="0.25">
      <c r="A4237" s="2">
        <v>6387</v>
      </c>
      <c r="B4237" s="2">
        <v>2010</v>
      </c>
      <c r="C4237" s="2" t="s">
        <v>72</v>
      </c>
      <c r="D4237" s="2" t="s">
        <v>73</v>
      </c>
      <c r="E4237" s="2"/>
      <c r="F4237" s="2">
        <v>125</v>
      </c>
      <c r="G4237" s="2" t="s">
        <v>1483</v>
      </c>
      <c r="H4237" s="2">
        <v>47</v>
      </c>
      <c r="I4237" s="2" t="s">
        <v>1409</v>
      </c>
      <c r="J4237" s="2">
        <v>139</v>
      </c>
      <c r="K4237" s="2" t="s">
        <v>1485</v>
      </c>
      <c r="L4237" s="2" t="s">
        <v>1486</v>
      </c>
      <c r="M4237" s="3">
        <v>40464</v>
      </c>
      <c r="N4237" s="2" t="s">
        <v>13242</v>
      </c>
      <c r="O4237" s="2"/>
      <c r="P4237" s="2"/>
      <c r="Q4237" s="2" t="str">
        <f>"0021/10"</f>
        <v>0021/10</v>
      </c>
      <c r="R4237" s="2" t="s">
        <v>13257</v>
      </c>
      <c r="S4237" s="2" t="s">
        <v>13243</v>
      </c>
      <c r="T4237" s="2">
        <v>1</v>
      </c>
      <c r="U4237" s="2" t="s">
        <v>79</v>
      </c>
      <c r="V4237" s="2">
        <v>1</v>
      </c>
      <c r="W4237" s="2" t="s">
        <v>80</v>
      </c>
      <c r="X4237" s="2">
        <v>12</v>
      </c>
      <c r="Y4237" s="2" t="s">
        <v>148</v>
      </c>
      <c r="Z4237" s="2">
        <v>1</v>
      </c>
      <c r="AA4237" s="2" t="s">
        <v>82</v>
      </c>
      <c r="AB4237" s="2">
        <v>6</v>
      </c>
      <c r="AC4237" s="2" t="s">
        <v>83</v>
      </c>
      <c r="AD4237" s="2"/>
      <c r="AE4237" s="2"/>
      <c r="AF4237" s="3">
        <v>40464</v>
      </c>
      <c r="AG4237" s="4">
        <v>0.70833333333333337</v>
      </c>
      <c r="AH4237" s="2">
        <v>6</v>
      </c>
      <c r="AI4237" s="2" t="s">
        <v>197</v>
      </c>
      <c r="AJ4237" s="2">
        <v>61</v>
      </c>
      <c r="AK4237" s="2" t="s">
        <v>686</v>
      </c>
      <c r="AL4237" s="2">
        <v>25</v>
      </c>
      <c r="AM4237" s="2" t="s">
        <v>3073</v>
      </c>
      <c r="AN4237" s="2" t="s">
        <v>82</v>
      </c>
      <c r="AO4237" s="2" t="s">
        <v>13258</v>
      </c>
      <c r="AP4237" s="2">
        <v>11</v>
      </c>
      <c r="AQ4237" s="2" t="s">
        <v>82</v>
      </c>
      <c r="AR4237" s="2" t="s">
        <v>82</v>
      </c>
      <c r="AS4237" s="2" t="s">
        <v>82</v>
      </c>
      <c r="AT4237" s="2" t="s">
        <v>13259</v>
      </c>
      <c r="AU4237" s="2"/>
      <c r="AV4237" s="2"/>
      <c r="AW4237" s="2"/>
      <c r="AX4237" s="2"/>
      <c r="AY4237" s="2">
        <v>41</v>
      </c>
      <c r="AZ4237" s="2" t="s">
        <v>82</v>
      </c>
      <c r="BA4237" s="2">
        <v>41</v>
      </c>
      <c r="BB4237" s="2" t="s">
        <v>82</v>
      </c>
      <c r="BC4237" s="2">
        <v>41</v>
      </c>
      <c r="BD4237" s="2" t="s">
        <v>82</v>
      </c>
      <c r="BE4237" s="2">
        <v>41</v>
      </c>
      <c r="BF4237" s="2" t="s">
        <v>82</v>
      </c>
      <c r="BG4237" s="2" t="s">
        <v>82</v>
      </c>
      <c r="BH4237" s="2"/>
      <c r="BI4237" s="2"/>
      <c r="BJ4237" s="2">
        <v>241</v>
      </c>
      <c r="BK4237" s="2" t="s">
        <v>82</v>
      </c>
      <c r="BL4237" s="2" t="s">
        <v>82</v>
      </c>
      <c r="BM4237" s="2">
        <v>241</v>
      </c>
      <c r="BN4237" s="2" t="s">
        <v>82</v>
      </c>
      <c r="BO4237" s="2"/>
      <c r="BP4237" s="2">
        <v>241</v>
      </c>
      <c r="BQ4237" s="2" t="s">
        <v>82</v>
      </c>
      <c r="BR4237" s="2" t="s">
        <v>82</v>
      </c>
      <c r="BS4237" s="3">
        <v>40464</v>
      </c>
      <c r="BT4237" s="4">
        <v>0.91138888888888892</v>
      </c>
    </row>
    <row r="4238" spans="1:72" x14ac:dyDescent="0.25">
      <c r="A4238" s="2">
        <v>6388</v>
      </c>
      <c r="B4238" s="2">
        <v>2010</v>
      </c>
      <c r="C4238" s="2" t="s">
        <v>128</v>
      </c>
      <c r="D4238" s="2" t="s">
        <v>122</v>
      </c>
      <c r="E4238" s="2"/>
      <c r="F4238" s="2">
        <v>475</v>
      </c>
      <c r="G4238" s="2" t="s">
        <v>1271</v>
      </c>
      <c r="H4238" s="2">
        <v>3</v>
      </c>
      <c r="I4238" s="2" t="s">
        <v>315</v>
      </c>
      <c r="J4238" s="2">
        <v>385</v>
      </c>
      <c r="K4238" s="2" t="s">
        <v>1314</v>
      </c>
      <c r="L4238" s="2" t="s">
        <v>1315</v>
      </c>
      <c r="M4238" s="3">
        <v>40464</v>
      </c>
      <c r="N4238" s="2" t="s">
        <v>4064</v>
      </c>
      <c r="O4238" s="2" t="s">
        <v>3169</v>
      </c>
      <c r="P4238" s="2" t="s">
        <v>82</v>
      </c>
      <c r="Q4238" s="2" t="str">
        <f>"PS Nº 28/10"</f>
        <v>PS Nº 28/10</v>
      </c>
      <c r="R4238" s="2" t="s">
        <v>82</v>
      </c>
      <c r="S4238" s="2" t="s">
        <v>3169</v>
      </c>
      <c r="T4238" s="2">
        <v>1</v>
      </c>
      <c r="U4238" s="2" t="s">
        <v>79</v>
      </c>
      <c r="V4238" s="2">
        <v>1</v>
      </c>
      <c r="W4238" s="2" t="s">
        <v>80</v>
      </c>
      <c r="X4238" s="2">
        <v>1</v>
      </c>
      <c r="Y4238" s="2" t="s">
        <v>81</v>
      </c>
      <c r="Z4238" s="2">
        <v>10</v>
      </c>
      <c r="AA4238" s="2" t="s">
        <v>236</v>
      </c>
      <c r="AB4238" s="2">
        <v>9</v>
      </c>
      <c r="AC4238" s="2" t="s">
        <v>124</v>
      </c>
      <c r="AD4238" s="3">
        <v>40464</v>
      </c>
      <c r="AE4238" s="4">
        <v>0.74305555555555547</v>
      </c>
      <c r="AF4238" s="2"/>
      <c r="AG4238" s="2"/>
      <c r="AH4238" s="2">
        <v>5</v>
      </c>
      <c r="AI4238" s="2" t="s">
        <v>274</v>
      </c>
      <c r="AJ4238" s="2">
        <v>42</v>
      </c>
      <c r="AK4238" s="2" t="s">
        <v>660</v>
      </c>
      <c r="AL4238" s="2">
        <v>11</v>
      </c>
      <c r="AM4238" s="2" t="s">
        <v>137</v>
      </c>
      <c r="AN4238" s="2" t="s">
        <v>82</v>
      </c>
      <c r="AO4238" s="2" t="s">
        <v>82</v>
      </c>
      <c r="AP4238" s="2">
        <v>5</v>
      </c>
      <c r="AQ4238" s="2" t="s">
        <v>827</v>
      </c>
      <c r="AR4238" s="2" t="s">
        <v>82</v>
      </c>
      <c r="AS4238" s="2" t="s">
        <v>82</v>
      </c>
      <c r="AT4238" s="2" t="s">
        <v>13260</v>
      </c>
      <c r="AU4238" s="2"/>
      <c r="AV4238" s="2"/>
      <c r="AW4238" s="2"/>
      <c r="AX4238" s="2"/>
      <c r="AY4238" s="2">
        <v>41</v>
      </c>
      <c r="AZ4238" s="2" t="s">
        <v>82</v>
      </c>
      <c r="BA4238" s="2">
        <v>41</v>
      </c>
      <c r="BB4238" s="2" t="s">
        <v>82</v>
      </c>
      <c r="BC4238" s="2">
        <v>41</v>
      </c>
      <c r="BD4238" s="2" t="s">
        <v>82</v>
      </c>
      <c r="BE4238" s="2">
        <v>13</v>
      </c>
      <c r="BF4238" s="2" t="s">
        <v>108</v>
      </c>
      <c r="BG4238" s="2">
        <v>1789</v>
      </c>
      <c r="BH4238" s="4">
        <v>0.76041666666666663</v>
      </c>
      <c r="BI4238" s="4">
        <v>0.80555555555555547</v>
      </c>
      <c r="BJ4238" s="2">
        <v>13</v>
      </c>
      <c r="BK4238" s="2" t="s">
        <v>91</v>
      </c>
      <c r="BL4238" s="2" t="s">
        <v>185</v>
      </c>
      <c r="BM4238" s="2">
        <v>13</v>
      </c>
      <c r="BN4238" s="2" t="s">
        <v>91</v>
      </c>
      <c r="BO4238" s="2"/>
      <c r="BP4238" s="2">
        <v>13</v>
      </c>
      <c r="BQ4238" s="2" t="s">
        <v>91</v>
      </c>
      <c r="BR4238" s="2" t="s">
        <v>185</v>
      </c>
      <c r="BS4238" s="3">
        <v>40464</v>
      </c>
      <c r="BT4238" s="4">
        <v>0.93439814814814814</v>
      </c>
    </row>
    <row r="4239" spans="1:72" x14ac:dyDescent="0.25">
      <c r="A4239" s="2">
        <v>6389</v>
      </c>
      <c r="B4239" s="2">
        <v>2010</v>
      </c>
      <c r="C4239" s="2" t="s">
        <v>819</v>
      </c>
      <c r="D4239" s="2" t="s">
        <v>122</v>
      </c>
      <c r="E4239" s="2"/>
      <c r="F4239" s="2">
        <v>425</v>
      </c>
      <c r="G4239" s="2" t="s">
        <v>286</v>
      </c>
      <c r="H4239" s="2">
        <v>30</v>
      </c>
      <c r="I4239" s="2" t="s">
        <v>912</v>
      </c>
      <c r="J4239" s="2">
        <v>310</v>
      </c>
      <c r="K4239" s="2" t="s">
        <v>288</v>
      </c>
      <c r="L4239" s="2" t="s">
        <v>289</v>
      </c>
      <c r="M4239" s="3">
        <v>40465</v>
      </c>
      <c r="N4239" s="2" t="s">
        <v>2049</v>
      </c>
      <c r="O4239" s="2"/>
      <c r="P4239" s="2"/>
      <c r="Q4239" s="2" t="str">
        <f>"101/10"</f>
        <v>101/10</v>
      </c>
      <c r="R4239" s="2" t="s">
        <v>822</v>
      </c>
      <c r="S4239" s="2"/>
      <c r="T4239" s="2">
        <v>1</v>
      </c>
      <c r="U4239" s="2" t="s">
        <v>79</v>
      </c>
      <c r="V4239" s="2">
        <v>1</v>
      </c>
      <c r="W4239" s="2" t="s">
        <v>80</v>
      </c>
      <c r="X4239" s="2">
        <v>1</v>
      </c>
      <c r="Y4239" s="2" t="s">
        <v>81</v>
      </c>
      <c r="Z4239" s="2">
        <v>10</v>
      </c>
      <c r="AA4239" s="2" t="s">
        <v>236</v>
      </c>
      <c r="AB4239" s="2">
        <v>9</v>
      </c>
      <c r="AC4239" s="2" t="s">
        <v>124</v>
      </c>
      <c r="AD4239" s="3">
        <v>40464</v>
      </c>
      <c r="AE4239" s="4">
        <v>0.9375</v>
      </c>
      <c r="AF4239" s="2"/>
      <c r="AG4239" s="2"/>
      <c r="AH4239" s="2">
        <v>4</v>
      </c>
      <c r="AI4239" s="2" t="s">
        <v>125</v>
      </c>
      <c r="AJ4239" s="2">
        <v>29</v>
      </c>
      <c r="AK4239" s="2" t="s">
        <v>227</v>
      </c>
      <c r="AL4239" s="2">
        <v>10</v>
      </c>
      <c r="AM4239" s="2" t="s">
        <v>200</v>
      </c>
      <c r="AN4239" s="2" t="s">
        <v>1015</v>
      </c>
      <c r="AO4239" s="2" t="s">
        <v>6863</v>
      </c>
      <c r="AP4239" s="2">
        <v>12</v>
      </c>
      <c r="AQ4239" s="2" t="s">
        <v>322</v>
      </c>
      <c r="AR4239" s="2" t="s">
        <v>824</v>
      </c>
      <c r="AS4239" s="2" t="s">
        <v>825</v>
      </c>
      <c r="AT4239" s="2" t="s">
        <v>13261</v>
      </c>
      <c r="AU4239" s="2"/>
      <c r="AV4239" s="2"/>
      <c r="AW4239" s="2"/>
      <c r="AX4239" s="2"/>
      <c r="AY4239" s="2">
        <v>41</v>
      </c>
      <c r="AZ4239" s="2" t="s">
        <v>82</v>
      </c>
      <c r="BA4239" s="2">
        <v>41</v>
      </c>
      <c r="BB4239" s="2" t="s">
        <v>82</v>
      </c>
      <c r="BC4239" s="2">
        <v>51</v>
      </c>
      <c r="BD4239" s="2" t="s">
        <v>827</v>
      </c>
      <c r="BE4239" s="2">
        <v>47</v>
      </c>
      <c r="BF4239" s="2" t="s">
        <v>167</v>
      </c>
      <c r="BG4239" s="2">
        <v>2459</v>
      </c>
      <c r="BH4239" s="2"/>
      <c r="BI4239" s="2"/>
      <c r="BJ4239" s="2">
        <v>13</v>
      </c>
      <c r="BK4239" s="2" t="s">
        <v>91</v>
      </c>
      <c r="BL4239" s="2" t="s">
        <v>828</v>
      </c>
      <c r="BM4239" s="2">
        <v>13</v>
      </c>
      <c r="BN4239" s="2" t="s">
        <v>91</v>
      </c>
      <c r="BO4239" s="2"/>
      <c r="BP4239" s="2">
        <v>13</v>
      </c>
      <c r="BQ4239" s="2" t="s">
        <v>91</v>
      </c>
      <c r="BR4239" s="2" t="s">
        <v>185</v>
      </c>
      <c r="BS4239" s="3">
        <v>40465</v>
      </c>
      <c r="BT4239" s="4">
        <v>2.3148148148148151E-3</v>
      </c>
    </row>
    <row r="4240" spans="1:72" x14ac:dyDescent="0.25">
      <c r="A4240" s="2">
        <v>6390</v>
      </c>
      <c r="B4240" s="2">
        <v>2010</v>
      </c>
      <c r="C4240" s="2" t="s">
        <v>72</v>
      </c>
      <c r="D4240" s="2" t="s">
        <v>73</v>
      </c>
      <c r="E4240" s="2"/>
      <c r="F4240" s="2">
        <v>65</v>
      </c>
      <c r="G4240" s="2" t="s">
        <v>7996</v>
      </c>
      <c r="H4240" s="2">
        <v>99</v>
      </c>
      <c r="I4240" s="2" t="s">
        <v>6285</v>
      </c>
      <c r="J4240" s="2">
        <v>97</v>
      </c>
      <c r="K4240" s="2" t="s">
        <v>7997</v>
      </c>
      <c r="L4240" s="2" t="s">
        <v>3741</v>
      </c>
      <c r="M4240" s="3">
        <v>40465</v>
      </c>
      <c r="N4240" s="2" t="s">
        <v>13262</v>
      </c>
      <c r="O4240" s="2" t="s">
        <v>107</v>
      </c>
      <c r="P4240" s="2" t="s">
        <v>107</v>
      </c>
      <c r="Q4240" s="2" t="str">
        <f>"033/10"</f>
        <v>033/10</v>
      </c>
      <c r="R4240" s="2" t="s">
        <v>116</v>
      </c>
      <c r="S4240" s="2"/>
      <c r="T4240" s="2">
        <v>1</v>
      </c>
      <c r="U4240" s="2" t="s">
        <v>79</v>
      </c>
      <c r="V4240" s="2">
        <v>1</v>
      </c>
      <c r="W4240" s="2" t="s">
        <v>80</v>
      </c>
      <c r="X4240" s="2">
        <v>12</v>
      </c>
      <c r="Y4240" s="2" t="s">
        <v>148</v>
      </c>
      <c r="Z4240" s="2">
        <v>1</v>
      </c>
      <c r="AA4240" s="2" t="s">
        <v>82</v>
      </c>
      <c r="AB4240" s="2">
        <v>6</v>
      </c>
      <c r="AC4240" s="2" t="s">
        <v>83</v>
      </c>
      <c r="AD4240" s="3">
        <v>40464</v>
      </c>
      <c r="AE4240" s="2"/>
      <c r="AF4240" s="3">
        <v>40464</v>
      </c>
      <c r="AG4240" s="4">
        <v>0.89236111111111116</v>
      </c>
      <c r="AH4240" s="2">
        <v>4</v>
      </c>
      <c r="AI4240" s="2" t="s">
        <v>125</v>
      </c>
      <c r="AJ4240" s="2">
        <v>28</v>
      </c>
      <c r="AK4240" s="2" t="s">
        <v>741</v>
      </c>
      <c r="AL4240" s="2">
        <v>22</v>
      </c>
      <c r="AM4240" s="2" t="s">
        <v>1853</v>
      </c>
      <c r="AN4240" s="2"/>
      <c r="AO4240" s="2"/>
      <c r="AP4240" s="2">
        <v>11</v>
      </c>
      <c r="AQ4240" s="2" t="s">
        <v>82</v>
      </c>
      <c r="AR4240" s="2"/>
      <c r="AS4240" s="2"/>
      <c r="AT4240" s="2" t="s">
        <v>13263</v>
      </c>
      <c r="AU4240" s="2"/>
      <c r="AV4240" s="2"/>
      <c r="AW4240" s="2"/>
      <c r="AX4240" s="2"/>
      <c r="AY4240" s="2">
        <v>41</v>
      </c>
      <c r="AZ4240" s="2" t="s">
        <v>82</v>
      </c>
      <c r="BA4240" s="2">
        <v>41</v>
      </c>
      <c r="BB4240" s="2" t="s">
        <v>82</v>
      </c>
      <c r="BC4240" s="2">
        <v>41</v>
      </c>
      <c r="BD4240" s="2" t="s">
        <v>82</v>
      </c>
      <c r="BE4240" s="2">
        <v>4</v>
      </c>
      <c r="BF4240" s="2" t="s">
        <v>90</v>
      </c>
      <c r="BG4240" s="2" t="s">
        <v>13264</v>
      </c>
      <c r="BH4240" s="4">
        <v>0.84861111111111109</v>
      </c>
      <c r="BI4240" s="2"/>
      <c r="BJ4240" s="2">
        <v>13</v>
      </c>
      <c r="BK4240" s="2" t="s">
        <v>91</v>
      </c>
      <c r="BL4240" s="2" t="s">
        <v>185</v>
      </c>
      <c r="BM4240" s="2">
        <v>13</v>
      </c>
      <c r="BN4240" s="2" t="s">
        <v>91</v>
      </c>
      <c r="BO4240" s="2"/>
      <c r="BP4240" s="2">
        <v>13</v>
      </c>
      <c r="BQ4240" s="2" t="s">
        <v>91</v>
      </c>
      <c r="BR4240" s="2" t="s">
        <v>744</v>
      </c>
      <c r="BS4240" s="3">
        <v>40465</v>
      </c>
      <c r="BT4240" s="4">
        <v>5.0000000000000001E-3</v>
      </c>
    </row>
    <row r="4241" spans="1:72" x14ac:dyDescent="0.25">
      <c r="A4241" s="2">
        <v>6391</v>
      </c>
      <c r="B4241" s="2">
        <v>2010</v>
      </c>
      <c r="C4241" s="2" t="s">
        <v>1568</v>
      </c>
      <c r="D4241" s="2" t="s">
        <v>73</v>
      </c>
      <c r="E4241" s="2"/>
      <c r="F4241" s="2">
        <v>34</v>
      </c>
      <c r="G4241" s="2" t="s">
        <v>334</v>
      </c>
      <c r="H4241" s="2">
        <v>91</v>
      </c>
      <c r="I4241" s="2" t="s">
        <v>5420</v>
      </c>
      <c r="J4241" s="2">
        <v>409</v>
      </c>
      <c r="K4241" s="2" t="s">
        <v>3638</v>
      </c>
      <c r="L4241" s="2" t="s">
        <v>3639</v>
      </c>
      <c r="M4241" s="3">
        <v>40465</v>
      </c>
      <c r="N4241" s="2" t="s">
        <v>13265</v>
      </c>
      <c r="O4241" s="2"/>
      <c r="P4241" s="2"/>
      <c r="Q4241" s="2" t="str">
        <f>"45/10"</f>
        <v>45/10</v>
      </c>
      <c r="R4241" s="2"/>
      <c r="S4241" s="2" t="s">
        <v>13266</v>
      </c>
      <c r="T4241" s="2">
        <v>1</v>
      </c>
      <c r="U4241" s="2" t="s">
        <v>79</v>
      </c>
      <c r="V4241" s="2">
        <v>1</v>
      </c>
      <c r="W4241" s="2" t="s">
        <v>80</v>
      </c>
      <c r="X4241" s="2">
        <v>1</v>
      </c>
      <c r="Y4241" s="2" t="s">
        <v>81</v>
      </c>
      <c r="Z4241" s="2">
        <v>10</v>
      </c>
      <c r="AA4241" s="2" t="s">
        <v>236</v>
      </c>
      <c r="AB4241" s="2">
        <v>4</v>
      </c>
      <c r="AC4241" s="2" t="s">
        <v>1569</v>
      </c>
      <c r="AD4241" s="3">
        <v>40464</v>
      </c>
      <c r="AE4241" s="4">
        <v>0.83333333333333337</v>
      </c>
      <c r="AF4241" s="2"/>
      <c r="AG4241" s="2"/>
      <c r="AH4241" s="2">
        <v>3</v>
      </c>
      <c r="AI4241" s="2" t="s">
        <v>214</v>
      </c>
      <c r="AJ4241" s="2">
        <v>17</v>
      </c>
      <c r="AK4241" s="2" t="s">
        <v>309</v>
      </c>
      <c r="AL4241" s="2">
        <v>11</v>
      </c>
      <c r="AM4241" s="2" t="s">
        <v>137</v>
      </c>
      <c r="AN4241" s="2" t="s">
        <v>13267</v>
      </c>
      <c r="AO4241" s="2"/>
      <c r="AP4241" s="2">
        <v>11</v>
      </c>
      <c r="AQ4241" s="2" t="s">
        <v>82</v>
      </c>
      <c r="AR4241" s="2"/>
      <c r="AS4241" s="2"/>
      <c r="AT4241" s="2" t="s">
        <v>13268</v>
      </c>
      <c r="AU4241" s="2"/>
      <c r="AV4241" s="2"/>
      <c r="AW4241" s="2"/>
      <c r="AX4241" s="2"/>
      <c r="AY4241" s="2">
        <v>42</v>
      </c>
      <c r="AZ4241" s="2" t="s">
        <v>182</v>
      </c>
      <c r="BA4241" s="2">
        <v>42</v>
      </c>
      <c r="BB4241" s="2" t="s">
        <v>182</v>
      </c>
      <c r="BC4241" s="2">
        <v>41</v>
      </c>
      <c r="BD4241" s="2" t="s">
        <v>82</v>
      </c>
      <c r="BE4241" s="2">
        <v>4</v>
      </c>
      <c r="BF4241" s="2" t="s">
        <v>90</v>
      </c>
      <c r="BG4241" s="2">
        <v>4249</v>
      </c>
      <c r="BH4241" s="4">
        <v>0.82638888888888884</v>
      </c>
      <c r="BI4241" s="4">
        <v>0.75694444444444453</v>
      </c>
      <c r="BJ4241" s="2">
        <v>13</v>
      </c>
      <c r="BK4241" s="2" t="s">
        <v>91</v>
      </c>
      <c r="BL4241" s="2" t="s">
        <v>445</v>
      </c>
      <c r="BM4241" s="2">
        <v>13</v>
      </c>
      <c r="BN4241" s="2" t="s">
        <v>91</v>
      </c>
      <c r="BO4241" s="2"/>
      <c r="BP4241" s="2">
        <v>13</v>
      </c>
      <c r="BQ4241" s="2" t="s">
        <v>91</v>
      </c>
      <c r="BR4241" s="2" t="s">
        <v>564</v>
      </c>
      <c r="BS4241" s="3">
        <v>40465</v>
      </c>
      <c r="BT4241" s="4">
        <v>1.091435185185185E-2</v>
      </c>
    </row>
    <row r="4242" spans="1:72" x14ac:dyDescent="0.25">
      <c r="A4242" s="2">
        <v>6392</v>
      </c>
      <c r="B4242" s="2">
        <v>2010</v>
      </c>
      <c r="C4242" s="2" t="s">
        <v>819</v>
      </c>
      <c r="D4242" s="2" t="s">
        <v>122</v>
      </c>
      <c r="E4242" s="2"/>
      <c r="F4242" s="2">
        <v>425</v>
      </c>
      <c r="G4242" s="2" t="s">
        <v>286</v>
      </c>
      <c r="H4242" s="2">
        <v>30</v>
      </c>
      <c r="I4242" s="2" t="s">
        <v>912</v>
      </c>
      <c r="J4242" s="2">
        <v>310</v>
      </c>
      <c r="K4242" s="2" t="s">
        <v>288</v>
      </c>
      <c r="L4242" s="2" t="s">
        <v>289</v>
      </c>
      <c r="M4242" s="3">
        <v>40465</v>
      </c>
      <c r="N4242" s="2" t="s">
        <v>1917</v>
      </c>
      <c r="O4242" s="2"/>
      <c r="P4242" s="2"/>
      <c r="Q4242" s="2" t="str">
        <f>"102/10"</f>
        <v>102/10</v>
      </c>
      <c r="R4242" s="2"/>
      <c r="S4242" s="2" t="s">
        <v>822</v>
      </c>
      <c r="T4242" s="2">
        <v>1</v>
      </c>
      <c r="U4242" s="2" t="s">
        <v>79</v>
      </c>
      <c r="V4242" s="2">
        <v>1</v>
      </c>
      <c r="W4242" s="2" t="s">
        <v>80</v>
      </c>
      <c r="X4242" s="2">
        <v>1</v>
      </c>
      <c r="Y4242" s="2" t="s">
        <v>81</v>
      </c>
      <c r="Z4242" s="2">
        <v>10</v>
      </c>
      <c r="AA4242" s="2" t="s">
        <v>236</v>
      </c>
      <c r="AB4242" s="2">
        <v>9</v>
      </c>
      <c r="AC4242" s="2" t="s">
        <v>124</v>
      </c>
      <c r="AD4242" s="3">
        <v>40465</v>
      </c>
      <c r="AE4242" s="4">
        <v>2.7777777777777776E-2</v>
      </c>
      <c r="AF4242" s="2"/>
      <c r="AG4242" s="2"/>
      <c r="AH4242" s="2">
        <v>4</v>
      </c>
      <c r="AI4242" s="2" t="s">
        <v>125</v>
      </c>
      <c r="AJ4242" s="2">
        <v>29</v>
      </c>
      <c r="AK4242" s="2" t="s">
        <v>227</v>
      </c>
      <c r="AL4242" s="2">
        <v>10</v>
      </c>
      <c r="AM4242" s="2" t="s">
        <v>200</v>
      </c>
      <c r="AN4242" s="2" t="s">
        <v>1015</v>
      </c>
      <c r="AO4242" s="2" t="s">
        <v>6863</v>
      </c>
      <c r="AP4242" s="2">
        <v>12</v>
      </c>
      <c r="AQ4242" s="2" t="s">
        <v>322</v>
      </c>
      <c r="AR4242" s="2" t="s">
        <v>824</v>
      </c>
      <c r="AS4242" s="2" t="s">
        <v>825</v>
      </c>
      <c r="AT4242" s="2" t="s">
        <v>13269</v>
      </c>
      <c r="AU4242" s="2"/>
      <c r="AV4242" s="2"/>
      <c r="AW4242" s="2"/>
      <c r="AX4242" s="2"/>
      <c r="AY4242" s="2">
        <v>41</v>
      </c>
      <c r="AZ4242" s="2" t="s">
        <v>82</v>
      </c>
      <c r="BA4242" s="2">
        <v>41</v>
      </c>
      <c r="BB4242" s="2" t="s">
        <v>82</v>
      </c>
      <c r="BC4242" s="2">
        <v>51</v>
      </c>
      <c r="BD4242" s="2" t="s">
        <v>827</v>
      </c>
      <c r="BE4242" s="2">
        <v>47</v>
      </c>
      <c r="BF4242" s="2" t="s">
        <v>167</v>
      </c>
      <c r="BG4242" s="2">
        <v>2459</v>
      </c>
      <c r="BH4242" s="4">
        <v>1.3888888888888888E-2</v>
      </c>
      <c r="BI4242" s="4">
        <v>4.8611111111111112E-2</v>
      </c>
      <c r="BJ4242" s="2">
        <v>13</v>
      </c>
      <c r="BK4242" s="2" t="s">
        <v>91</v>
      </c>
      <c r="BL4242" s="2" t="s">
        <v>828</v>
      </c>
      <c r="BM4242" s="2">
        <v>13</v>
      </c>
      <c r="BN4242" s="2" t="s">
        <v>91</v>
      </c>
      <c r="BO4242" s="2"/>
      <c r="BP4242" s="2">
        <v>13</v>
      </c>
      <c r="BQ4242" s="2" t="s">
        <v>91</v>
      </c>
      <c r="BR4242" s="2" t="s">
        <v>185</v>
      </c>
      <c r="BS4242" s="3">
        <v>40465</v>
      </c>
      <c r="BT4242" s="4">
        <v>0.13409722222222223</v>
      </c>
    </row>
    <row r="4243" spans="1:72" x14ac:dyDescent="0.25">
      <c r="A4243" s="2">
        <v>6393</v>
      </c>
      <c r="B4243" s="2">
        <v>2010</v>
      </c>
      <c r="C4243" s="2" t="s">
        <v>72</v>
      </c>
      <c r="D4243" s="2" t="s">
        <v>122</v>
      </c>
      <c r="E4243" s="2" t="s">
        <v>13270</v>
      </c>
      <c r="F4243" s="2">
        <v>65</v>
      </c>
      <c r="G4243" s="2" t="s">
        <v>7996</v>
      </c>
      <c r="H4243" s="2">
        <v>99</v>
      </c>
      <c r="I4243" s="2" t="s">
        <v>6285</v>
      </c>
      <c r="J4243" s="2">
        <v>97</v>
      </c>
      <c r="K4243" s="2" t="s">
        <v>7997</v>
      </c>
      <c r="L4243" s="2" t="s">
        <v>3741</v>
      </c>
      <c r="M4243" s="3">
        <v>40465</v>
      </c>
      <c r="N4243" s="2" t="s">
        <v>13262</v>
      </c>
      <c r="O4243" s="2" t="s">
        <v>107</v>
      </c>
      <c r="P4243" s="2" t="s">
        <v>107</v>
      </c>
      <c r="Q4243" s="2" t="str">
        <f>"033/10"</f>
        <v>033/10</v>
      </c>
      <c r="R4243" s="2"/>
      <c r="S4243" s="2" t="s">
        <v>116</v>
      </c>
      <c r="T4243" s="2">
        <v>1</v>
      </c>
      <c r="U4243" s="2" t="s">
        <v>79</v>
      </c>
      <c r="V4243" s="2">
        <v>1</v>
      </c>
      <c r="W4243" s="2" t="s">
        <v>80</v>
      </c>
      <c r="X4243" s="2">
        <v>12</v>
      </c>
      <c r="Y4243" s="2" t="s">
        <v>148</v>
      </c>
      <c r="Z4243" s="2">
        <v>1</v>
      </c>
      <c r="AA4243" s="2" t="s">
        <v>82</v>
      </c>
      <c r="AB4243" s="2">
        <v>6</v>
      </c>
      <c r="AC4243" s="2" t="s">
        <v>83</v>
      </c>
      <c r="AD4243" s="3">
        <v>40464</v>
      </c>
      <c r="AE4243" s="2"/>
      <c r="AF4243" s="3">
        <v>40464</v>
      </c>
      <c r="AG4243" s="4">
        <v>0.89236111111111116</v>
      </c>
      <c r="AH4243" s="2">
        <v>4</v>
      </c>
      <c r="AI4243" s="2" t="s">
        <v>125</v>
      </c>
      <c r="AJ4243" s="2">
        <v>28</v>
      </c>
      <c r="AK4243" s="2" t="s">
        <v>741</v>
      </c>
      <c r="AL4243" s="2">
        <v>22</v>
      </c>
      <c r="AM4243" s="2" t="s">
        <v>1853</v>
      </c>
      <c r="AN4243" s="2"/>
      <c r="AO4243" s="2"/>
      <c r="AP4243" s="2">
        <v>11</v>
      </c>
      <c r="AQ4243" s="2" t="s">
        <v>82</v>
      </c>
      <c r="AR4243" s="2"/>
      <c r="AS4243" s="2"/>
      <c r="AT4243" s="2" t="s">
        <v>13271</v>
      </c>
      <c r="AU4243" s="2"/>
      <c r="AV4243" s="2"/>
      <c r="AW4243" s="2"/>
      <c r="AX4243" s="2"/>
      <c r="AY4243" s="2">
        <v>41</v>
      </c>
      <c r="AZ4243" s="2" t="s">
        <v>82</v>
      </c>
      <c r="BA4243" s="2">
        <v>41</v>
      </c>
      <c r="BB4243" s="2" t="s">
        <v>82</v>
      </c>
      <c r="BC4243" s="2">
        <v>41</v>
      </c>
      <c r="BD4243" s="2" t="s">
        <v>82</v>
      </c>
      <c r="BE4243" s="2">
        <v>4</v>
      </c>
      <c r="BF4243" s="2" t="s">
        <v>90</v>
      </c>
      <c r="BG4243" s="2" t="s">
        <v>13264</v>
      </c>
      <c r="BH4243" s="4">
        <v>0.84861111111111109</v>
      </c>
      <c r="BI4243" s="2"/>
      <c r="BJ4243" s="2">
        <v>13</v>
      </c>
      <c r="BK4243" s="2" t="s">
        <v>91</v>
      </c>
      <c r="BL4243" s="2" t="s">
        <v>185</v>
      </c>
      <c r="BM4243" s="2">
        <v>13</v>
      </c>
      <c r="BN4243" s="2" t="s">
        <v>91</v>
      </c>
      <c r="BO4243" s="2"/>
      <c r="BP4243" s="2">
        <v>13</v>
      </c>
      <c r="BQ4243" s="2" t="s">
        <v>91</v>
      </c>
      <c r="BR4243" s="2" t="s">
        <v>744</v>
      </c>
      <c r="BS4243" s="3">
        <v>40465</v>
      </c>
      <c r="BT4243" s="4">
        <v>0.39391203703703703</v>
      </c>
    </row>
    <row r="4244" spans="1:72" x14ac:dyDescent="0.25">
      <c r="A4244" s="2">
        <v>6396</v>
      </c>
      <c r="B4244" s="2">
        <v>2010</v>
      </c>
      <c r="C4244" s="2" t="s">
        <v>128</v>
      </c>
      <c r="D4244" s="2" t="s">
        <v>73</v>
      </c>
      <c r="E4244" s="2" t="s">
        <v>11467</v>
      </c>
      <c r="F4244" s="2">
        <v>425</v>
      </c>
      <c r="G4244" s="2" t="s">
        <v>286</v>
      </c>
      <c r="H4244" s="2">
        <v>122</v>
      </c>
      <c r="I4244" s="2" t="s">
        <v>8431</v>
      </c>
      <c r="J4244" s="2">
        <v>310</v>
      </c>
      <c r="K4244" s="2" t="s">
        <v>288</v>
      </c>
      <c r="L4244" s="2" t="s">
        <v>289</v>
      </c>
      <c r="M4244" s="3">
        <v>40465</v>
      </c>
      <c r="N4244" s="2" t="s">
        <v>1882</v>
      </c>
      <c r="O4244" s="2" t="s">
        <v>11433</v>
      </c>
      <c r="P4244" s="2" t="s">
        <v>11434</v>
      </c>
      <c r="Q4244" s="2" t="str">
        <f>"102"</f>
        <v>102</v>
      </c>
      <c r="R4244" s="2"/>
      <c r="S4244" s="2"/>
      <c r="T4244" s="2">
        <v>1</v>
      </c>
      <c r="U4244" s="2" t="s">
        <v>79</v>
      </c>
      <c r="V4244" s="2">
        <v>3</v>
      </c>
      <c r="W4244" s="2" t="s">
        <v>225</v>
      </c>
      <c r="X4244" s="2">
        <v>6</v>
      </c>
      <c r="Y4244" s="2" t="s">
        <v>249</v>
      </c>
      <c r="Z4244" s="2">
        <v>1</v>
      </c>
      <c r="AA4244" s="2" t="s">
        <v>82</v>
      </c>
      <c r="AB4244" s="2">
        <v>9</v>
      </c>
      <c r="AC4244" s="2" t="s">
        <v>124</v>
      </c>
      <c r="AD4244" s="2"/>
      <c r="AE4244" s="2"/>
      <c r="AF4244" s="2"/>
      <c r="AG4244" s="2"/>
      <c r="AH4244" s="2">
        <v>4</v>
      </c>
      <c r="AI4244" s="2" t="s">
        <v>125</v>
      </c>
      <c r="AJ4244" s="2">
        <v>26</v>
      </c>
      <c r="AK4244" s="2" t="s">
        <v>293</v>
      </c>
      <c r="AL4244" s="2">
        <v>23</v>
      </c>
      <c r="AM4244" s="2" t="s">
        <v>251</v>
      </c>
      <c r="AN4244" s="2"/>
      <c r="AO4244" s="2" t="s">
        <v>11465</v>
      </c>
      <c r="AP4244" s="2">
        <v>11</v>
      </c>
      <c r="AQ4244" s="2" t="s">
        <v>82</v>
      </c>
      <c r="AR4244" s="2"/>
      <c r="AS4244" s="2"/>
      <c r="AT4244" s="2" t="s">
        <v>13272</v>
      </c>
      <c r="AU4244" s="2"/>
      <c r="AV4244" s="2"/>
      <c r="AW4244" s="2"/>
      <c r="AX4244" s="2"/>
      <c r="AY4244" s="2">
        <v>1</v>
      </c>
      <c r="AZ4244" s="2" t="s">
        <v>107</v>
      </c>
      <c r="BA4244" s="2">
        <v>1</v>
      </c>
      <c r="BB4244" s="2" t="s">
        <v>107</v>
      </c>
      <c r="BC4244" s="2">
        <v>1</v>
      </c>
      <c r="BD4244" s="2" t="s">
        <v>107</v>
      </c>
      <c r="BE4244" s="2">
        <v>1</v>
      </c>
      <c r="BF4244" s="2" t="s">
        <v>107</v>
      </c>
      <c r="BG4244" s="2"/>
      <c r="BH4244" s="2"/>
      <c r="BI4244" s="2"/>
      <c r="BJ4244" s="2">
        <v>242</v>
      </c>
      <c r="BK4244" s="2" t="s">
        <v>107</v>
      </c>
      <c r="BL4244" s="2"/>
      <c r="BM4244" s="2">
        <v>242</v>
      </c>
      <c r="BN4244" s="2" t="s">
        <v>107</v>
      </c>
      <c r="BO4244" s="2"/>
      <c r="BP4244" s="2">
        <v>242</v>
      </c>
      <c r="BQ4244" s="2" t="s">
        <v>107</v>
      </c>
      <c r="BR4244" s="2"/>
      <c r="BS4244" s="3">
        <v>40465</v>
      </c>
      <c r="BT4244" s="4">
        <v>0.46577546296296296</v>
      </c>
    </row>
    <row r="4245" spans="1:72" x14ac:dyDescent="0.25">
      <c r="A4245" s="2">
        <v>6399</v>
      </c>
      <c r="B4245" s="2">
        <v>2010</v>
      </c>
      <c r="C4245" s="2" t="s">
        <v>819</v>
      </c>
      <c r="D4245" s="2" t="s">
        <v>122</v>
      </c>
      <c r="E4245" s="2" t="s">
        <v>13273</v>
      </c>
      <c r="F4245" s="2">
        <v>425</v>
      </c>
      <c r="G4245" s="2" t="s">
        <v>286</v>
      </c>
      <c r="H4245" s="2">
        <v>30</v>
      </c>
      <c r="I4245" s="2" t="s">
        <v>912</v>
      </c>
      <c r="J4245" s="2">
        <v>310</v>
      </c>
      <c r="K4245" s="2" t="s">
        <v>288</v>
      </c>
      <c r="L4245" s="2" t="s">
        <v>289</v>
      </c>
      <c r="M4245" s="3">
        <v>40465</v>
      </c>
      <c r="N4245" s="2" t="s">
        <v>2049</v>
      </c>
      <c r="O4245" s="2"/>
      <c r="P4245" s="2"/>
      <c r="Q4245" s="2" t="str">
        <f>"101/10"</f>
        <v>101/10</v>
      </c>
      <c r="R4245" s="2"/>
      <c r="S4245" s="2" t="s">
        <v>822</v>
      </c>
      <c r="T4245" s="2">
        <v>1</v>
      </c>
      <c r="U4245" s="2" t="s">
        <v>79</v>
      </c>
      <c r="V4245" s="2">
        <v>1</v>
      </c>
      <c r="W4245" s="2" t="s">
        <v>80</v>
      </c>
      <c r="X4245" s="2">
        <v>1</v>
      </c>
      <c r="Y4245" s="2" t="s">
        <v>81</v>
      </c>
      <c r="Z4245" s="2">
        <v>10</v>
      </c>
      <c r="AA4245" s="2" t="s">
        <v>236</v>
      </c>
      <c r="AB4245" s="2">
        <v>9</v>
      </c>
      <c r="AC4245" s="2" t="s">
        <v>124</v>
      </c>
      <c r="AD4245" s="3">
        <v>40464</v>
      </c>
      <c r="AE4245" s="4">
        <v>0.9375</v>
      </c>
      <c r="AF4245" s="2"/>
      <c r="AG4245" s="2"/>
      <c r="AH4245" s="2">
        <v>4</v>
      </c>
      <c r="AI4245" s="2" t="s">
        <v>125</v>
      </c>
      <c r="AJ4245" s="2">
        <v>29</v>
      </c>
      <c r="AK4245" s="2" t="s">
        <v>227</v>
      </c>
      <c r="AL4245" s="2">
        <v>16</v>
      </c>
      <c r="AM4245" s="2" t="s">
        <v>392</v>
      </c>
      <c r="AN4245" s="2" t="s">
        <v>3040</v>
      </c>
      <c r="AO4245" s="2" t="s">
        <v>3176</v>
      </c>
      <c r="AP4245" s="2">
        <v>12</v>
      </c>
      <c r="AQ4245" s="2" t="s">
        <v>322</v>
      </c>
      <c r="AR4245" s="2" t="s">
        <v>824</v>
      </c>
      <c r="AS4245" s="2" t="s">
        <v>825</v>
      </c>
      <c r="AT4245" s="2" t="s">
        <v>13274</v>
      </c>
      <c r="AU4245" s="2"/>
      <c r="AV4245" s="2"/>
      <c r="AW4245" s="2"/>
      <c r="AX4245" s="2"/>
      <c r="AY4245" s="2">
        <v>41</v>
      </c>
      <c r="AZ4245" s="2" t="s">
        <v>82</v>
      </c>
      <c r="BA4245" s="2">
        <v>41</v>
      </c>
      <c r="BB4245" s="2" t="s">
        <v>82</v>
      </c>
      <c r="BC4245" s="2">
        <v>51</v>
      </c>
      <c r="BD4245" s="2" t="s">
        <v>827</v>
      </c>
      <c r="BE4245" s="2">
        <v>47</v>
      </c>
      <c r="BF4245" s="2" t="s">
        <v>167</v>
      </c>
      <c r="BG4245" s="2">
        <v>2459</v>
      </c>
      <c r="BH4245" s="2"/>
      <c r="BI4245" s="2"/>
      <c r="BJ4245" s="2">
        <v>13</v>
      </c>
      <c r="BK4245" s="2" t="s">
        <v>91</v>
      </c>
      <c r="BL4245" s="2" t="s">
        <v>828</v>
      </c>
      <c r="BM4245" s="2">
        <v>13</v>
      </c>
      <c r="BN4245" s="2" t="s">
        <v>91</v>
      </c>
      <c r="BO4245" s="2"/>
      <c r="BP4245" s="2">
        <v>13</v>
      </c>
      <c r="BQ4245" s="2" t="s">
        <v>91</v>
      </c>
      <c r="BR4245" s="2" t="s">
        <v>185</v>
      </c>
      <c r="BS4245" s="3">
        <v>40465</v>
      </c>
      <c r="BT4245" s="4">
        <v>0.48152777777777778</v>
      </c>
    </row>
    <row r="4246" spans="1:72" x14ac:dyDescent="0.25">
      <c r="A4246" s="2">
        <v>6400</v>
      </c>
      <c r="B4246" s="2">
        <v>2010</v>
      </c>
      <c r="C4246" s="2" t="s">
        <v>121</v>
      </c>
      <c r="D4246" s="2" t="s">
        <v>122</v>
      </c>
      <c r="E4246" s="2"/>
      <c r="F4246" s="2">
        <v>1</v>
      </c>
      <c r="G4246" s="2" t="s">
        <v>82</v>
      </c>
      <c r="H4246" s="2">
        <v>1</v>
      </c>
      <c r="I4246" s="2" t="s">
        <v>82</v>
      </c>
      <c r="J4246" s="2">
        <v>1</v>
      </c>
      <c r="K4246" s="2" t="s">
        <v>107</v>
      </c>
      <c r="L4246" s="2" t="s">
        <v>107</v>
      </c>
      <c r="M4246" s="3">
        <v>40465</v>
      </c>
      <c r="N4246" s="2"/>
      <c r="O4246" s="2"/>
      <c r="P4246" s="2"/>
      <c r="Q4246" s="2" t="str">
        <f>""</f>
        <v/>
      </c>
      <c r="R4246" s="2"/>
      <c r="S4246" s="2"/>
      <c r="T4246" s="2">
        <v>2</v>
      </c>
      <c r="U4246" s="2" t="s">
        <v>123</v>
      </c>
      <c r="V4246" s="2">
        <v>1</v>
      </c>
      <c r="W4246" s="2" t="s">
        <v>80</v>
      </c>
      <c r="X4246" s="2">
        <v>11</v>
      </c>
      <c r="Y4246" s="2" t="s">
        <v>1920</v>
      </c>
      <c r="Z4246" s="2">
        <v>10</v>
      </c>
      <c r="AA4246" s="2" t="s">
        <v>236</v>
      </c>
      <c r="AB4246" s="2">
        <v>9</v>
      </c>
      <c r="AC4246" s="2" t="s">
        <v>124</v>
      </c>
      <c r="AD4246" s="3">
        <v>40465</v>
      </c>
      <c r="AE4246" s="4">
        <v>0.47916666666666669</v>
      </c>
      <c r="AF4246" s="2"/>
      <c r="AG4246" s="2"/>
      <c r="AH4246" s="2">
        <v>4</v>
      </c>
      <c r="AI4246" s="2" t="s">
        <v>125</v>
      </c>
      <c r="AJ4246" s="2">
        <v>30</v>
      </c>
      <c r="AK4246" s="2" t="s">
        <v>258</v>
      </c>
      <c r="AL4246" s="2">
        <v>10</v>
      </c>
      <c r="AM4246" s="2" t="s">
        <v>200</v>
      </c>
      <c r="AN4246" s="2"/>
      <c r="AO4246" s="2"/>
      <c r="AP4246" s="2">
        <v>11</v>
      </c>
      <c r="AQ4246" s="2" t="s">
        <v>82</v>
      </c>
      <c r="AR4246" s="2"/>
      <c r="AS4246" s="2"/>
      <c r="AT4246" s="2" t="s">
        <v>13275</v>
      </c>
      <c r="AU4246" s="2"/>
      <c r="AV4246" s="2"/>
      <c r="AW4246" s="2"/>
      <c r="AX4246" s="2"/>
      <c r="AY4246" s="2">
        <v>41</v>
      </c>
      <c r="AZ4246" s="2" t="s">
        <v>82</v>
      </c>
      <c r="BA4246" s="2">
        <v>41</v>
      </c>
      <c r="BB4246" s="2" t="s">
        <v>82</v>
      </c>
      <c r="BC4246" s="2">
        <v>41</v>
      </c>
      <c r="BD4246" s="2" t="s">
        <v>82</v>
      </c>
      <c r="BE4246" s="2">
        <v>42</v>
      </c>
      <c r="BF4246" s="2" t="s">
        <v>182</v>
      </c>
      <c r="BG4246" s="2" t="s">
        <v>6921</v>
      </c>
      <c r="BH4246" s="4">
        <v>0.47916666666666669</v>
      </c>
      <c r="BI4246" s="4">
        <v>0.49513888888888885</v>
      </c>
      <c r="BJ4246" s="2">
        <v>13</v>
      </c>
      <c r="BK4246" s="2" t="s">
        <v>91</v>
      </c>
      <c r="BL4246" s="2" t="s">
        <v>170</v>
      </c>
      <c r="BM4246" s="2">
        <v>13</v>
      </c>
      <c r="BN4246" s="2" t="s">
        <v>91</v>
      </c>
      <c r="BO4246" s="2"/>
      <c r="BP4246" s="2">
        <v>13</v>
      </c>
      <c r="BQ4246" s="2" t="s">
        <v>91</v>
      </c>
      <c r="BR4246" s="2" t="s">
        <v>2865</v>
      </c>
      <c r="BS4246" s="3">
        <v>40465</v>
      </c>
      <c r="BT4246" s="4">
        <v>0.52790509259259266</v>
      </c>
    </row>
    <row r="4247" spans="1:72" x14ac:dyDescent="0.25">
      <c r="A4247" s="2">
        <v>6402</v>
      </c>
      <c r="B4247" s="2">
        <v>2010</v>
      </c>
      <c r="C4247" s="2" t="s">
        <v>819</v>
      </c>
      <c r="D4247" s="2" t="s">
        <v>122</v>
      </c>
      <c r="E4247" s="2" t="s">
        <v>13276</v>
      </c>
      <c r="F4247" s="2">
        <v>425</v>
      </c>
      <c r="G4247" s="2" t="s">
        <v>286</v>
      </c>
      <c r="H4247" s="2">
        <v>30</v>
      </c>
      <c r="I4247" s="2" t="s">
        <v>912</v>
      </c>
      <c r="J4247" s="2">
        <v>310</v>
      </c>
      <c r="K4247" s="2" t="s">
        <v>288</v>
      </c>
      <c r="L4247" s="2" t="s">
        <v>289</v>
      </c>
      <c r="M4247" s="3">
        <v>40465</v>
      </c>
      <c r="N4247" s="2" t="s">
        <v>1917</v>
      </c>
      <c r="O4247" s="2"/>
      <c r="P4247" s="2"/>
      <c r="Q4247" s="2" t="str">
        <f>"102/10"</f>
        <v>102/10</v>
      </c>
      <c r="R4247" s="2"/>
      <c r="S4247" s="2" t="s">
        <v>822</v>
      </c>
      <c r="T4247" s="2">
        <v>1</v>
      </c>
      <c r="U4247" s="2" t="s">
        <v>79</v>
      </c>
      <c r="V4247" s="2">
        <v>1</v>
      </c>
      <c r="W4247" s="2" t="s">
        <v>80</v>
      </c>
      <c r="X4247" s="2">
        <v>1</v>
      </c>
      <c r="Y4247" s="2" t="s">
        <v>81</v>
      </c>
      <c r="Z4247" s="2">
        <v>10</v>
      </c>
      <c r="AA4247" s="2" t="s">
        <v>236</v>
      </c>
      <c r="AB4247" s="2">
        <v>9</v>
      </c>
      <c r="AC4247" s="2" t="s">
        <v>124</v>
      </c>
      <c r="AD4247" s="3">
        <v>40465</v>
      </c>
      <c r="AE4247" s="4">
        <v>0.46527777777777773</v>
      </c>
      <c r="AF4247" s="2"/>
      <c r="AG4247" s="2"/>
      <c r="AH4247" s="2">
        <v>4</v>
      </c>
      <c r="AI4247" s="2" t="s">
        <v>125</v>
      </c>
      <c r="AJ4247" s="2">
        <v>29</v>
      </c>
      <c r="AK4247" s="2" t="s">
        <v>227</v>
      </c>
      <c r="AL4247" s="2">
        <v>16</v>
      </c>
      <c r="AM4247" s="2" t="s">
        <v>392</v>
      </c>
      <c r="AN4247" s="2" t="s">
        <v>3040</v>
      </c>
      <c r="AO4247" s="2" t="s">
        <v>3176</v>
      </c>
      <c r="AP4247" s="2">
        <v>12</v>
      </c>
      <c r="AQ4247" s="2" t="s">
        <v>322</v>
      </c>
      <c r="AR4247" s="2" t="s">
        <v>824</v>
      </c>
      <c r="AS4247" s="2" t="s">
        <v>825</v>
      </c>
      <c r="AT4247" s="2" t="s">
        <v>13277</v>
      </c>
      <c r="AU4247" s="2"/>
      <c r="AV4247" s="2"/>
      <c r="AW4247" s="2"/>
      <c r="AX4247" s="2"/>
      <c r="AY4247" s="2">
        <v>41</v>
      </c>
      <c r="AZ4247" s="2" t="s">
        <v>82</v>
      </c>
      <c r="BA4247" s="2">
        <v>41</v>
      </c>
      <c r="BB4247" s="2" t="s">
        <v>82</v>
      </c>
      <c r="BC4247" s="2">
        <v>51</v>
      </c>
      <c r="BD4247" s="2" t="s">
        <v>827</v>
      </c>
      <c r="BE4247" s="2">
        <v>47</v>
      </c>
      <c r="BF4247" s="2" t="s">
        <v>167</v>
      </c>
      <c r="BG4247" s="2">
        <v>2459</v>
      </c>
      <c r="BH4247" s="4">
        <v>1.3888888888888888E-2</v>
      </c>
      <c r="BI4247" s="4">
        <v>4.8611111111111112E-2</v>
      </c>
      <c r="BJ4247" s="2">
        <v>13</v>
      </c>
      <c r="BK4247" s="2" t="s">
        <v>91</v>
      </c>
      <c r="BL4247" s="2" t="s">
        <v>828</v>
      </c>
      <c r="BM4247" s="2">
        <v>13</v>
      </c>
      <c r="BN4247" s="2" t="s">
        <v>91</v>
      </c>
      <c r="BO4247" s="2"/>
      <c r="BP4247" s="2">
        <v>13</v>
      </c>
      <c r="BQ4247" s="2" t="s">
        <v>91</v>
      </c>
      <c r="BR4247" s="2" t="s">
        <v>185</v>
      </c>
      <c r="BS4247" s="3">
        <v>40465</v>
      </c>
      <c r="BT4247" s="4">
        <v>0.53688657407407414</v>
      </c>
    </row>
    <row r="4248" spans="1:72" x14ac:dyDescent="0.25">
      <c r="A4248" s="2">
        <v>6403</v>
      </c>
      <c r="B4248" s="2">
        <v>2010</v>
      </c>
      <c r="C4248" s="2" t="s">
        <v>128</v>
      </c>
      <c r="D4248" s="2" t="s">
        <v>73</v>
      </c>
      <c r="E4248" s="2" t="s">
        <v>11464</v>
      </c>
      <c r="F4248" s="2">
        <v>425</v>
      </c>
      <c r="G4248" s="2" t="s">
        <v>286</v>
      </c>
      <c r="H4248" s="2">
        <v>39</v>
      </c>
      <c r="I4248" s="2" t="s">
        <v>1117</v>
      </c>
      <c r="J4248" s="2">
        <v>310</v>
      </c>
      <c r="K4248" s="2" t="s">
        <v>288</v>
      </c>
      <c r="L4248" s="2" t="s">
        <v>289</v>
      </c>
      <c r="M4248" s="3">
        <v>40465</v>
      </c>
      <c r="N4248" s="2" t="s">
        <v>1917</v>
      </c>
      <c r="O4248" s="2" t="s">
        <v>11437</v>
      </c>
      <c r="P4248" s="2" t="s">
        <v>11438</v>
      </c>
      <c r="Q4248" s="2" t="str">
        <f>"101"</f>
        <v>101</v>
      </c>
      <c r="R4248" s="2"/>
      <c r="S4248" s="2"/>
      <c r="T4248" s="2">
        <v>1</v>
      </c>
      <c r="U4248" s="2" t="s">
        <v>79</v>
      </c>
      <c r="V4248" s="2">
        <v>3</v>
      </c>
      <c r="W4248" s="2" t="s">
        <v>225</v>
      </c>
      <c r="X4248" s="2">
        <v>6</v>
      </c>
      <c r="Y4248" s="2" t="s">
        <v>249</v>
      </c>
      <c r="Z4248" s="2">
        <v>1</v>
      </c>
      <c r="AA4248" s="2" t="s">
        <v>82</v>
      </c>
      <c r="AB4248" s="2">
        <v>9</v>
      </c>
      <c r="AC4248" s="2" t="s">
        <v>124</v>
      </c>
      <c r="AD4248" s="2"/>
      <c r="AE4248" s="2"/>
      <c r="AF4248" s="2"/>
      <c r="AG4248" s="2"/>
      <c r="AH4248" s="2">
        <v>4</v>
      </c>
      <c r="AI4248" s="2" t="s">
        <v>125</v>
      </c>
      <c r="AJ4248" s="2">
        <v>26</v>
      </c>
      <c r="AK4248" s="2" t="s">
        <v>293</v>
      </c>
      <c r="AL4248" s="2">
        <v>23</v>
      </c>
      <c r="AM4248" s="2" t="s">
        <v>251</v>
      </c>
      <c r="AN4248" s="2"/>
      <c r="AO4248" s="2" t="s">
        <v>11465</v>
      </c>
      <c r="AP4248" s="2">
        <v>11</v>
      </c>
      <c r="AQ4248" s="2" t="s">
        <v>82</v>
      </c>
      <c r="AR4248" s="2"/>
      <c r="AS4248" s="2"/>
      <c r="AT4248" s="2" t="s">
        <v>13278</v>
      </c>
      <c r="AU4248" s="2"/>
      <c r="AV4248" s="2"/>
      <c r="AW4248" s="2"/>
      <c r="AX4248" s="2"/>
      <c r="AY4248" s="2">
        <v>41</v>
      </c>
      <c r="AZ4248" s="2" t="s">
        <v>82</v>
      </c>
      <c r="BA4248" s="2">
        <v>41</v>
      </c>
      <c r="BB4248" s="2" t="s">
        <v>82</v>
      </c>
      <c r="BC4248" s="2">
        <v>41</v>
      </c>
      <c r="BD4248" s="2" t="s">
        <v>82</v>
      </c>
      <c r="BE4248" s="2">
        <v>41</v>
      </c>
      <c r="BF4248" s="2" t="s">
        <v>82</v>
      </c>
      <c r="BG4248" s="2"/>
      <c r="BH4248" s="2"/>
      <c r="BI4248" s="2"/>
      <c r="BJ4248" s="2">
        <v>241</v>
      </c>
      <c r="BK4248" s="2" t="s">
        <v>82</v>
      </c>
      <c r="BL4248" s="2"/>
      <c r="BM4248" s="2">
        <v>241</v>
      </c>
      <c r="BN4248" s="2" t="s">
        <v>82</v>
      </c>
      <c r="BO4248" s="2"/>
      <c r="BP4248" s="2">
        <v>241</v>
      </c>
      <c r="BQ4248" s="2" t="s">
        <v>82</v>
      </c>
      <c r="BR4248" s="2"/>
      <c r="BS4248" s="3">
        <v>40465</v>
      </c>
      <c r="BT4248" s="4">
        <v>0.54917824074074073</v>
      </c>
    </row>
    <row r="4249" spans="1:72" x14ac:dyDescent="0.25">
      <c r="A4249" s="2">
        <v>6404</v>
      </c>
      <c r="B4249" s="2">
        <v>2010</v>
      </c>
      <c r="C4249" s="2" t="s">
        <v>4543</v>
      </c>
      <c r="D4249" s="2" t="s">
        <v>122</v>
      </c>
      <c r="E4249" s="2"/>
      <c r="F4249" s="2">
        <v>471</v>
      </c>
      <c r="G4249" s="2" t="s">
        <v>6201</v>
      </c>
      <c r="H4249" s="2">
        <v>60</v>
      </c>
      <c r="I4249" s="2" t="s">
        <v>2704</v>
      </c>
      <c r="J4249" s="2">
        <v>374</v>
      </c>
      <c r="K4249" s="2" t="s">
        <v>1191</v>
      </c>
      <c r="L4249" s="2" t="s">
        <v>132</v>
      </c>
      <c r="M4249" s="3">
        <v>40465</v>
      </c>
      <c r="N4249" s="2" t="s">
        <v>10046</v>
      </c>
      <c r="O4249" s="2" t="s">
        <v>13279</v>
      </c>
      <c r="P4249" s="2" t="s">
        <v>2707</v>
      </c>
      <c r="Q4249" s="2" t="str">
        <f>"S/NRO."</f>
        <v>S/NRO.</v>
      </c>
      <c r="R4249" s="2"/>
      <c r="S4249" s="2"/>
      <c r="T4249" s="2">
        <v>2</v>
      </c>
      <c r="U4249" s="2" t="s">
        <v>123</v>
      </c>
      <c r="V4249" s="2">
        <v>1</v>
      </c>
      <c r="W4249" s="2" t="s">
        <v>80</v>
      </c>
      <c r="X4249" s="2">
        <v>11</v>
      </c>
      <c r="Y4249" s="2" t="s">
        <v>1920</v>
      </c>
      <c r="Z4249" s="2">
        <v>1</v>
      </c>
      <c r="AA4249" s="2" t="s">
        <v>82</v>
      </c>
      <c r="AB4249" s="2">
        <v>9</v>
      </c>
      <c r="AC4249" s="2" t="s">
        <v>124</v>
      </c>
      <c r="AD4249" s="2"/>
      <c r="AE4249" s="2"/>
      <c r="AF4249" s="2"/>
      <c r="AG4249" s="2"/>
      <c r="AH4249" s="2">
        <v>5</v>
      </c>
      <c r="AI4249" s="2" t="s">
        <v>274</v>
      </c>
      <c r="AJ4249" s="2">
        <v>35</v>
      </c>
      <c r="AK4249" s="2" t="s">
        <v>275</v>
      </c>
      <c r="AL4249" s="2">
        <v>19</v>
      </c>
      <c r="AM4249" s="2" t="s">
        <v>107</v>
      </c>
      <c r="AN4249" s="2" t="s">
        <v>13280</v>
      </c>
      <c r="AO4249" s="2" t="s">
        <v>170</v>
      </c>
      <c r="AP4249" s="2">
        <v>11</v>
      </c>
      <c r="AQ4249" s="2" t="s">
        <v>82</v>
      </c>
      <c r="AR4249" s="2"/>
      <c r="AS4249" s="2"/>
      <c r="AT4249" s="2" t="s">
        <v>13281</v>
      </c>
      <c r="AU4249" s="2"/>
      <c r="AV4249" s="2"/>
      <c r="AW4249" s="2"/>
      <c r="AX4249" s="2"/>
      <c r="AY4249" s="2">
        <v>41</v>
      </c>
      <c r="AZ4249" s="2" t="s">
        <v>82</v>
      </c>
      <c r="BA4249" s="2">
        <v>41</v>
      </c>
      <c r="BB4249" s="2" t="s">
        <v>82</v>
      </c>
      <c r="BC4249" s="2">
        <v>41</v>
      </c>
      <c r="BD4249" s="2" t="s">
        <v>82</v>
      </c>
      <c r="BE4249" s="2">
        <v>41</v>
      </c>
      <c r="BF4249" s="2" t="s">
        <v>82</v>
      </c>
      <c r="BG4249" s="2"/>
      <c r="BH4249" s="2"/>
      <c r="BI4249" s="2"/>
      <c r="BJ4249" s="2">
        <v>241</v>
      </c>
      <c r="BK4249" s="2" t="s">
        <v>82</v>
      </c>
      <c r="BL4249" s="2"/>
      <c r="BM4249" s="2">
        <v>241</v>
      </c>
      <c r="BN4249" s="2" t="s">
        <v>82</v>
      </c>
      <c r="BO4249" s="2"/>
      <c r="BP4249" s="2">
        <v>241</v>
      </c>
      <c r="BQ4249" s="2" t="s">
        <v>82</v>
      </c>
      <c r="BR4249" s="2"/>
      <c r="BS4249" s="3">
        <v>40465</v>
      </c>
      <c r="BT4249" s="4">
        <v>0.56672453703703707</v>
      </c>
    </row>
    <row r="4250" spans="1:72" x14ac:dyDescent="0.25">
      <c r="A4250" s="2">
        <v>6406</v>
      </c>
      <c r="B4250" s="2">
        <v>2010</v>
      </c>
      <c r="C4250" s="2" t="s">
        <v>72</v>
      </c>
      <c r="D4250" s="2" t="s">
        <v>73</v>
      </c>
      <c r="E4250" s="2"/>
      <c r="F4250" s="2">
        <v>82</v>
      </c>
      <c r="G4250" s="2" t="s">
        <v>5526</v>
      </c>
      <c r="H4250" s="2">
        <v>22</v>
      </c>
      <c r="I4250" s="2" t="s">
        <v>75</v>
      </c>
      <c r="J4250" s="2">
        <v>683</v>
      </c>
      <c r="K4250" s="2" t="s">
        <v>13282</v>
      </c>
      <c r="L4250" s="2" t="s">
        <v>946</v>
      </c>
      <c r="M4250" s="3">
        <v>40465</v>
      </c>
      <c r="N4250" s="2" t="s">
        <v>13283</v>
      </c>
      <c r="O4250" s="2"/>
      <c r="P4250" s="2" t="s">
        <v>107</v>
      </c>
      <c r="Q4250" s="2" t="str">
        <f>"CAUSA 0012/10"</f>
        <v>CAUSA 0012/10</v>
      </c>
      <c r="R4250" s="2" t="s">
        <v>116</v>
      </c>
      <c r="S4250" s="2"/>
      <c r="T4250" s="2">
        <v>1</v>
      </c>
      <c r="U4250" s="2" t="s">
        <v>79</v>
      </c>
      <c r="V4250" s="2">
        <v>1</v>
      </c>
      <c r="W4250" s="2" t="s">
        <v>80</v>
      </c>
      <c r="X4250" s="2">
        <v>12</v>
      </c>
      <c r="Y4250" s="2" t="s">
        <v>148</v>
      </c>
      <c r="Z4250" s="2">
        <v>1</v>
      </c>
      <c r="AA4250" s="2" t="s">
        <v>82</v>
      </c>
      <c r="AB4250" s="2">
        <v>6</v>
      </c>
      <c r="AC4250" s="2" t="s">
        <v>83</v>
      </c>
      <c r="AD4250" s="3">
        <v>40464</v>
      </c>
      <c r="AE4250" s="2"/>
      <c r="AF4250" s="3">
        <v>40465</v>
      </c>
      <c r="AG4250" s="4">
        <v>0.47013888888888888</v>
      </c>
      <c r="AH4250" s="2">
        <v>6</v>
      </c>
      <c r="AI4250" s="2" t="s">
        <v>197</v>
      </c>
      <c r="AJ4250" s="2">
        <v>51</v>
      </c>
      <c r="AK4250" s="2" t="s">
        <v>238</v>
      </c>
      <c r="AL4250" s="2">
        <v>12</v>
      </c>
      <c r="AM4250" s="2" t="s">
        <v>86</v>
      </c>
      <c r="AN4250" s="2" t="s">
        <v>13284</v>
      </c>
      <c r="AO4250" s="2" t="s">
        <v>984</v>
      </c>
      <c r="AP4250" s="2">
        <v>11</v>
      </c>
      <c r="AQ4250" s="2" t="s">
        <v>82</v>
      </c>
      <c r="AR4250" s="2" t="s">
        <v>82</v>
      </c>
      <c r="AS4250" s="2" t="s">
        <v>82</v>
      </c>
      <c r="AT4250" s="2" t="s">
        <v>13285</v>
      </c>
      <c r="AU4250" s="2"/>
      <c r="AV4250" s="2"/>
      <c r="AW4250" s="2"/>
      <c r="AX4250" s="2"/>
      <c r="AY4250" s="2">
        <v>41</v>
      </c>
      <c r="AZ4250" s="2" t="s">
        <v>82</v>
      </c>
      <c r="BA4250" s="2">
        <v>41</v>
      </c>
      <c r="BB4250" s="2" t="s">
        <v>82</v>
      </c>
      <c r="BC4250" s="2">
        <v>41</v>
      </c>
      <c r="BD4250" s="2" t="s">
        <v>82</v>
      </c>
      <c r="BE4250" s="2">
        <v>41</v>
      </c>
      <c r="BF4250" s="2" t="s">
        <v>82</v>
      </c>
      <c r="BG4250" s="2"/>
      <c r="BH4250" s="2"/>
      <c r="BI4250" s="2"/>
      <c r="BJ4250" s="2">
        <v>241</v>
      </c>
      <c r="BK4250" s="2" t="s">
        <v>82</v>
      </c>
      <c r="BL4250" s="2"/>
      <c r="BM4250" s="2">
        <v>241</v>
      </c>
      <c r="BN4250" s="2" t="s">
        <v>82</v>
      </c>
      <c r="BO4250" s="2"/>
      <c r="BP4250" s="2">
        <v>241</v>
      </c>
      <c r="BQ4250" s="2" t="s">
        <v>82</v>
      </c>
      <c r="BR4250" s="2"/>
      <c r="BS4250" s="3">
        <v>40465</v>
      </c>
      <c r="BT4250" s="4">
        <v>0.60343749999999996</v>
      </c>
    </row>
    <row r="4251" spans="1:72" x14ac:dyDescent="0.25">
      <c r="A4251" s="2">
        <v>6408</v>
      </c>
      <c r="B4251" s="2">
        <v>2010</v>
      </c>
      <c r="C4251" s="2" t="s">
        <v>2219</v>
      </c>
      <c r="D4251" s="2" t="s">
        <v>73</v>
      </c>
      <c r="E4251" s="2"/>
      <c r="F4251" s="2">
        <v>12</v>
      </c>
      <c r="G4251" s="2" t="s">
        <v>2494</v>
      </c>
      <c r="H4251" s="2">
        <v>22</v>
      </c>
      <c r="I4251" s="2" t="s">
        <v>75</v>
      </c>
      <c r="J4251" s="2">
        <v>21</v>
      </c>
      <c r="K4251" s="2" t="s">
        <v>3908</v>
      </c>
      <c r="L4251" s="2" t="s">
        <v>3909</v>
      </c>
      <c r="M4251" s="3">
        <v>40465</v>
      </c>
      <c r="N4251" s="2" t="s">
        <v>13286</v>
      </c>
      <c r="O4251" s="2" t="s">
        <v>13287</v>
      </c>
      <c r="P4251" s="2" t="s">
        <v>12051</v>
      </c>
      <c r="Q4251" s="2" t="str">
        <f>"16/2010"</f>
        <v>16/2010</v>
      </c>
      <c r="R4251" s="2" t="s">
        <v>82</v>
      </c>
      <c r="S4251" s="2" t="s">
        <v>82</v>
      </c>
      <c r="T4251" s="2">
        <v>1</v>
      </c>
      <c r="U4251" s="2" t="s">
        <v>79</v>
      </c>
      <c r="V4251" s="2">
        <v>3</v>
      </c>
      <c r="W4251" s="2" t="s">
        <v>225</v>
      </c>
      <c r="X4251" s="2">
        <v>6</v>
      </c>
      <c r="Y4251" s="2" t="s">
        <v>249</v>
      </c>
      <c r="Z4251" s="2">
        <v>1</v>
      </c>
      <c r="AA4251" s="2" t="s">
        <v>82</v>
      </c>
      <c r="AB4251" s="2">
        <v>9</v>
      </c>
      <c r="AC4251" s="2" t="s">
        <v>124</v>
      </c>
      <c r="AD4251" s="3">
        <v>40465</v>
      </c>
      <c r="AE4251" s="4">
        <v>0.61805555555555558</v>
      </c>
      <c r="AF4251" s="2"/>
      <c r="AG4251" s="2"/>
      <c r="AH4251" s="2">
        <v>3</v>
      </c>
      <c r="AI4251" s="2" t="s">
        <v>214</v>
      </c>
      <c r="AJ4251" s="2">
        <v>14</v>
      </c>
      <c r="AK4251" s="2" t="s">
        <v>342</v>
      </c>
      <c r="AL4251" s="2">
        <v>23</v>
      </c>
      <c r="AM4251" s="2" t="s">
        <v>251</v>
      </c>
      <c r="AN4251" s="2" t="s">
        <v>82</v>
      </c>
      <c r="AO4251" s="2" t="s">
        <v>13288</v>
      </c>
      <c r="AP4251" s="2">
        <v>11</v>
      </c>
      <c r="AQ4251" s="2" t="s">
        <v>82</v>
      </c>
      <c r="AR4251" s="2"/>
      <c r="AS4251" s="2"/>
      <c r="AT4251" s="2" t="s">
        <v>13289</v>
      </c>
      <c r="AU4251" s="2"/>
      <c r="AV4251" s="2"/>
      <c r="AW4251" s="2"/>
      <c r="AX4251" s="2"/>
      <c r="AY4251" s="2">
        <v>41</v>
      </c>
      <c r="AZ4251" s="2" t="s">
        <v>82</v>
      </c>
      <c r="BA4251" s="2">
        <v>41</v>
      </c>
      <c r="BB4251" s="2" t="s">
        <v>82</v>
      </c>
      <c r="BC4251" s="2">
        <v>41</v>
      </c>
      <c r="BD4251" s="2" t="s">
        <v>82</v>
      </c>
      <c r="BE4251" s="2">
        <v>41</v>
      </c>
      <c r="BF4251" s="2" t="s">
        <v>82</v>
      </c>
      <c r="BG4251" s="2"/>
      <c r="BH4251" s="2"/>
      <c r="BI4251" s="2"/>
      <c r="BJ4251" s="2">
        <v>241</v>
      </c>
      <c r="BK4251" s="2" t="s">
        <v>82</v>
      </c>
      <c r="BL4251" s="2"/>
      <c r="BM4251" s="2">
        <v>241</v>
      </c>
      <c r="BN4251" s="2" t="s">
        <v>82</v>
      </c>
      <c r="BO4251" s="2"/>
      <c r="BP4251" s="2">
        <v>241</v>
      </c>
      <c r="BQ4251" s="2" t="s">
        <v>82</v>
      </c>
      <c r="BR4251" s="2"/>
      <c r="BS4251" s="3">
        <v>40465</v>
      </c>
      <c r="BT4251" s="4">
        <v>0.62491898148148151</v>
      </c>
    </row>
    <row r="4252" spans="1:72" x14ac:dyDescent="0.25">
      <c r="A4252" s="2">
        <v>6409</v>
      </c>
      <c r="B4252" s="2">
        <v>2010</v>
      </c>
      <c r="C4252" s="2" t="s">
        <v>72</v>
      </c>
      <c r="D4252" s="2" t="s">
        <v>73</v>
      </c>
      <c r="E4252" s="2"/>
      <c r="F4252" s="2">
        <v>11</v>
      </c>
      <c r="G4252" s="2" t="s">
        <v>2454</v>
      </c>
      <c r="H4252" s="2">
        <v>56</v>
      </c>
      <c r="I4252" s="2" t="s">
        <v>3372</v>
      </c>
      <c r="J4252" s="2">
        <v>538</v>
      </c>
      <c r="K4252" s="2" t="s">
        <v>7264</v>
      </c>
      <c r="L4252" s="2" t="s">
        <v>7265</v>
      </c>
      <c r="M4252" s="3">
        <v>40465</v>
      </c>
      <c r="N4252" s="2" t="s">
        <v>2455</v>
      </c>
      <c r="O4252" s="2" t="s">
        <v>107</v>
      </c>
      <c r="P4252" s="2" t="s">
        <v>107</v>
      </c>
      <c r="Q4252" s="2" t="str">
        <f>"58-10"</f>
        <v>58-10</v>
      </c>
      <c r="R4252" s="2" t="s">
        <v>601</v>
      </c>
      <c r="S4252" s="2" t="s">
        <v>601</v>
      </c>
      <c r="T4252" s="2">
        <v>1</v>
      </c>
      <c r="U4252" s="2" t="s">
        <v>79</v>
      </c>
      <c r="V4252" s="2">
        <v>1</v>
      </c>
      <c r="W4252" s="2" t="s">
        <v>80</v>
      </c>
      <c r="X4252" s="2">
        <v>12</v>
      </c>
      <c r="Y4252" s="2" t="s">
        <v>148</v>
      </c>
      <c r="Z4252" s="2">
        <v>1</v>
      </c>
      <c r="AA4252" s="2" t="s">
        <v>82</v>
      </c>
      <c r="AB4252" s="2">
        <v>6</v>
      </c>
      <c r="AC4252" s="2" t="s">
        <v>83</v>
      </c>
      <c r="AD4252" s="2"/>
      <c r="AE4252" s="2"/>
      <c r="AF4252" s="3">
        <v>40465</v>
      </c>
      <c r="AG4252" s="4">
        <v>0.49305555555555558</v>
      </c>
      <c r="AH4252" s="2">
        <v>3</v>
      </c>
      <c r="AI4252" s="2" t="s">
        <v>214</v>
      </c>
      <c r="AJ4252" s="2">
        <v>24</v>
      </c>
      <c r="AK4252" s="2" t="s">
        <v>215</v>
      </c>
      <c r="AL4252" s="2">
        <v>22</v>
      </c>
      <c r="AM4252" s="2" t="s">
        <v>1853</v>
      </c>
      <c r="AN4252" s="2" t="s">
        <v>13290</v>
      </c>
      <c r="AO4252" s="2" t="s">
        <v>107</v>
      </c>
      <c r="AP4252" s="2">
        <v>11</v>
      </c>
      <c r="AQ4252" s="2" t="s">
        <v>82</v>
      </c>
      <c r="AR4252" s="2"/>
      <c r="AS4252" s="2"/>
      <c r="AT4252" s="2" t="s">
        <v>13291</v>
      </c>
      <c r="AU4252" s="2"/>
      <c r="AV4252" s="2"/>
      <c r="AW4252" s="2"/>
      <c r="AX4252" s="2"/>
      <c r="AY4252" s="2">
        <v>41</v>
      </c>
      <c r="AZ4252" s="2" t="s">
        <v>82</v>
      </c>
      <c r="BA4252" s="2">
        <v>41</v>
      </c>
      <c r="BB4252" s="2" t="s">
        <v>82</v>
      </c>
      <c r="BC4252" s="2">
        <v>41</v>
      </c>
      <c r="BD4252" s="2" t="s">
        <v>82</v>
      </c>
      <c r="BE4252" s="2">
        <v>31</v>
      </c>
      <c r="BF4252" s="2" t="s">
        <v>398</v>
      </c>
      <c r="BG4252" s="2">
        <v>6849</v>
      </c>
      <c r="BH4252" s="4">
        <v>0.375</v>
      </c>
      <c r="BI4252" s="4">
        <v>0.95833333333333337</v>
      </c>
      <c r="BJ4252" s="2">
        <v>73</v>
      </c>
      <c r="BK4252" s="2" t="s">
        <v>186</v>
      </c>
      <c r="BL4252" s="2" t="s">
        <v>187</v>
      </c>
      <c r="BM4252" s="2">
        <v>13</v>
      </c>
      <c r="BN4252" s="2" t="s">
        <v>91</v>
      </c>
      <c r="BO4252" s="2"/>
      <c r="BP4252" s="2">
        <v>13</v>
      </c>
      <c r="BQ4252" s="2" t="s">
        <v>91</v>
      </c>
      <c r="BR4252" s="2" t="s">
        <v>169</v>
      </c>
      <c r="BS4252" s="3">
        <v>40465</v>
      </c>
      <c r="BT4252" s="4">
        <v>0.62724537037037031</v>
      </c>
    </row>
    <row r="4253" spans="1:72" x14ac:dyDescent="0.25">
      <c r="A4253" s="2">
        <v>6414</v>
      </c>
      <c r="B4253" s="2">
        <v>2010</v>
      </c>
      <c r="C4253" s="2" t="s">
        <v>5621</v>
      </c>
      <c r="D4253" s="2" t="s">
        <v>122</v>
      </c>
      <c r="E4253" s="2"/>
      <c r="F4253" s="2">
        <v>1</v>
      </c>
      <c r="G4253" s="2" t="s">
        <v>82</v>
      </c>
      <c r="H4253" s="2">
        <v>1</v>
      </c>
      <c r="I4253" s="2" t="s">
        <v>82</v>
      </c>
      <c r="J4253" s="2">
        <v>1</v>
      </c>
      <c r="K4253" s="2" t="s">
        <v>107</v>
      </c>
      <c r="L4253" s="2" t="s">
        <v>107</v>
      </c>
      <c r="M4253" s="3">
        <v>40465</v>
      </c>
      <c r="N4253" s="2" t="s">
        <v>82</v>
      </c>
      <c r="O4253" s="2" t="s">
        <v>82</v>
      </c>
      <c r="P4253" s="2" t="s">
        <v>82</v>
      </c>
      <c r="Q4253" s="2" t="str">
        <f>"N/C"</f>
        <v>N/C</v>
      </c>
      <c r="R4253" s="2" t="s">
        <v>82</v>
      </c>
      <c r="S4253" s="2" t="s">
        <v>82</v>
      </c>
      <c r="T4253" s="2">
        <v>2</v>
      </c>
      <c r="U4253" s="2" t="s">
        <v>123</v>
      </c>
      <c r="V4253" s="2">
        <v>1</v>
      </c>
      <c r="W4253" s="2" t="s">
        <v>80</v>
      </c>
      <c r="X4253" s="2">
        <v>5</v>
      </c>
      <c r="Y4253" s="2" t="s">
        <v>82</v>
      </c>
      <c r="Z4253" s="2">
        <v>1</v>
      </c>
      <c r="AA4253" s="2" t="s">
        <v>82</v>
      </c>
      <c r="AB4253" s="2">
        <v>9</v>
      </c>
      <c r="AC4253" s="2" t="s">
        <v>124</v>
      </c>
      <c r="AD4253" s="3">
        <v>40465</v>
      </c>
      <c r="AE4253" s="4">
        <v>0.56388888888888888</v>
      </c>
      <c r="AF4253" s="2"/>
      <c r="AG4253" s="2"/>
      <c r="AH4253" s="2">
        <v>5</v>
      </c>
      <c r="AI4253" s="2" t="s">
        <v>274</v>
      </c>
      <c r="AJ4253" s="2">
        <v>42</v>
      </c>
      <c r="AK4253" s="2" t="s">
        <v>660</v>
      </c>
      <c r="AL4253" s="2">
        <v>25</v>
      </c>
      <c r="AM4253" s="2" t="s">
        <v>3073</v>
      </c>
      <c r="AN4253" s="2" t="s">
        <v>13292</v>
      </c>
      <c r="AO4253" s="2" t="s">
        <v>5433</v>
      </c>
      <c r="AP4253" s="2">
        <v>11</v>
      </c>
      <c r="AQ4253" s="2" t="s">
        <v>82</v>
      </c>
      <c r="AR4253" s="2" t="s">
        <v>82</v>
      </c>
      <c r="AS4253" s="2" t="s">
        <v>82</v>
      </c>
      <c r="AT4253" s="2" t="s">
        <v>13293</v>
      </c>
      <c r="AU4253" s="2"/>
      <c r="AV4253" s="2"/>
      <c r="AW4253" s="2"/>
      <c r="AX4253" s="2"/>
      <c r="AY4253" s="2">
        <v>41</v>
      </c>
      <c r="AZ4253" s="2" t="s">
        <v>82</v>
      </c>
      <c r="BA4253" s="2">
        <v>41</v>
      </c>
      <c r="BB4253" s="2" t="s">
        <v>82</v>
      </c>
      <c r="BC4253" s="2">
        <v>41</v>
      </c>
      <c r="BD4253" s="2" t="s">
        <v>82</v>
      </c>
      <c r="BE4253" s="2">
        <v>41</v>
      </c>
      <c r="BF4253" s="2" t="s">
        <v>82</v>
      </c>
      <c r="BG4253" s="2" t="s">
        <v>82</v>
      </c>
      <c r="BH4253" s="2"/>
      <c r="BI4253" s="4">
        <v>0.54513888888888895</v>
      </c>
      <c r="BJ4253" s="2">
        <v>13</v>
      </c>
      <c r="BK4253" s="2" t="s">
        <v>91</v>
      </c>
      <c r="BL4253" s="2" t="s">
        <v>1958</v>
      </c>
      <c r="BM4253" s="2">
        <v>13</v>
      </c>
      <c r="BN4253" s="2" t="s">
        <v>91</v>
      </c>
      <c r="BO4253" s="2"/>
      <c r="BP4253" s="2">
        <v>13</v>
      </c>
      <c r="BQ4253" s="2" t="s">
        <v>91</v>
      </c>
      <c r="BR4253" s="2" t="s">
        <v>169</v>
      </c>
      <c r="BS4253" s="3">
        <v>40465</v>
      </c>
      <c r="BT4253" s="4">
        <v>0.70436342592592593</v>
      </c>
    </row>
    <row r="4254" spans="1:72" x14ac:dyDescent="0.25">
      <c r="A4254" s="2">
        <v>6419</v>
      </c>
      <c r="B4254" s="2">
        <v>2010</v>
      </c>
      <c r="C4254" s="2" t="s">
        <v>2011</v>
      </c>
      <c r="D4254" s="2" t="s">
        <v>73</v>
      </c>
      <c r="E4254" s="2"/>
      <c r="F4254" s="2">
        <v>389</v>
      </c>
      <c r="G4254" s="2" t="s">
        <v>1819</v>
      </c>
      <c r="H4254" s="2">
        <v>2</v>
      </c>
      <c r="I4254" s="2" t="s">
        <v>267</v>
      </c>
      <c r="J4254" s="2">
        <v>399</v>
      </c>
      <c r="K4254" s="2" t="s">
        <v>1820</v>
      </c>
      <c r="L4254" s="2" t="s">
        <v>1821</v>
      </c>
      <c r="M4254" s="3">
        <v>40465</v>
      </c>
      <c r="N4254" s="2" t="s">
        <v>5653</v>
      </c>
      <c r="O4254" s="2"/>
      <c r="P4254" s="2"/>
      <c r="Q4254" s="2" t="str">
        <f>"534-E/10"</f>
        <v>534-E/10</v>
      </c>
      <c r="R4254" s="2"/>
      <c r="S4254" s="2" t="s">
        <v>13294</v>
      </c>
      <c r="T4254" s="2">
        <v>1</v>
      </c>
      <c r="U4254" s="2" t="s">
        <v>79</v>
      </c>
      <c r="V4254" s="2">
        <v>1</v>
      </c>
      <c r="W4254" s="2" t="s">
        <v>80</v>
      </c>
      <c r="X4254" s="2">
        <v>1</v>
      </c>
      <c r="Y4254" s="2" t="s">
        <v>81</v>
      </c>
      <c r="Z4254" s="2">
        <v>1</v>
      </c>
      <c r="AA4254" s="2" t="s">
        <v>82</v>
      </c>
      <c r="AB4254" s="2">
        <v>9</v>
      </c>
      <c r="AC4254" s="2" t="s">
        <v>124</v>
      </c>
      <c r="AD4254" s="3">
        <v>40464</v>
      </c>
      <c r="AE4254" s="4">
        <v>0.55555555555555558</v>
      </c>
      <c r="AF4254" s="3">
        <v>40464</v>
      </c>
      <c r="AG4254" s="4">
        <v>0.65972222222222221</v>
      </c>
      <c r="AH4254" s="2">
        <v>2</v>
      </c>
      <c r="AI4254" s="2" t="s">
        <v>84</v>
      </c>
      <c r="AJ4254" s="2">
        <v>9</v>
      </c>
      <c r="AK4254" s="2" t="s">
        <v>103</v>
      </c>
      <c r="AL4254" s="2">
        <v>7</v>
      </c>
      <c r="AM4254" s="2" t="s">
        <v>1450</v>
      </c>
      <c r="AN4254" s="2" t="s">
        <v>13295</v>
      </c>
      <c r="AO4254" s="2"/>
      <c r="AP4254" s="2">
        <v>11</v>
      </c>
      <c r="AQ4254" s="2" t="s">
        <v>82</v>
      </c>
      <c r="AR4254" s="2"/>
      <c r="AS4254" s="2"/>
      <c r="AT4254" s="2" t="s">
        <v>13296</v>
      </c>
      <c r="AU4254" s="2"/>
      <c r="AV4254" s="2"/>
      <c r="AW4254" s="2"/>
      <c r="AX4254" s="2"/>
      <c r="AY4254" s="2">
        <v>13</v>
      </c>
      <c r="AZ4254" s="2" t="s">
        <v>108</v>
      </c>
      <c r="BA4254" s="2">
        <v>41</v>
      </c>
      <c r="BB4254" s="2" t="s">
        <v>82</v>
      </c>
      <c r="BC4254" s="2">
        <v>41</v>
      </c>
      <c r="BD4254" s="2" t="s">
        <v>82</v>
      </c>
      <c r="BE4254" s="2">
        <v>41</v>
      </c>
      <c r="BF4254" s="2" t="s">
        <v>82</v>
      </c>
      <c r="BG4254" s="2"/>
      <c r="BH4254" s="2"/>
      <c r="BI4254" s="2"/>
      <c r="BJ4254" s="2">
        <v>241</v>
      </c>
      <c r="BK4254" s="2" t="s">
        <v>82</v>
      </c>
      <c r="BL4254" s="2"/>
      <c r="BM4254" s="2">
        <v>241</v>
      </c>
      <c r="BN4254" s="2" t="s">
        <v>82</v>
      </c>
      <c r="BO4254" s="2"/>
      <c r="BP4254" s="2">
        <v>241</v>
      </c>
      <c r="BQ4254" s="2" t="s">
        <v>82</v>
      </c>
      <c r="BR4254" s="2"/>
      <c r="BS4254" s="3">
        <v>40465</v>
      </c>
      <c r="BT4254" s="4">
        <v>0.84070601851851856</v>
      </c>
    </row>
    <row r="4255" spans="1:72" x14ac:dyDescent="0.25">
      <c r="A4255" s="2">
        <v>6420</v>
      </c>
      <c r="B4255" s="2">
        <v>2010</v>
      </c>
      <c r="C4255" s="2" t="s">
        <v>121</v>
      </c>
      <c r="D4255" s="2" t="s">
        <v>122</v>
      </c>
      <c r="E4255" s="2" t="s">
        <v>13297</v>
      </c>
      <c r="F4255" s="2">
        <v>1</v>
      </c>
      <c r="G4255" s="2" t="s">
        <v>82</v>
      </c>
      <c r="H4255" s="2">
        <v>1</v>
      </c>
      <c r="I4255" s="2" t="s">
        <v>82</v>
      </c>
      <c r="J4255" s="2">
        <v>1</v>
      </c>
      <c r="K4255" s="2" t="s">
        <v>107</v>
      </c>
      <c r="L4255" s="2" t="s">
        <v>107</v>
      </c>
      <c r="M4255" s="3">
        <v>40465</v>
      </c>
      <c r="N4255" s="2"/>
      <c r="O4255" s="2"/>
      <c r="P4255" s="2"/>
      <c r="Q4255" s="2" t="str">
        <f>""</f>
        <v/>
      </c>
      <c r="R4255" s="2"/>
      <c r="S4255" s="2"/>
      <c r="T4255" s="2">
        <v>2</v>
      </c>
      <c r="U4255" s="2" t="s">
        <v>123</v>
      </c>
      <c r="V4255" s="2">
        <v>1</v>
      </c>
      <c r="W4255" s="2" t="s">
        <v>80</v>
      </c>
      <c r="X4255" s="2">
        <v>11</v>
      </c>
      <c r="Y4255" s="2" t="s">
        <v>1920</v>
      </c>
      <c r="Z4255" s="2">
        <v>10</v>
      </c>
      <c r="AA4255" s="2" t="s">
        <v>236</v>
      </c>
      <c r="AB4255" s="2">
        <v>9</v>
      </c>
      <c r="AC4255" s="2" t="s">
        <v>124</v>
      </c>
      <c r="AD4255" s="3">
        <v>40465</v>
      </c>
      <c r="AE4255" s="4">
        <v>0.84027777777777779</v>
      </c>
      <c r="AF4255" s="2"/>
      <c r="AG4255" s="2"/>
      <c r="AH4255" s="2">
        <v>4</v>
      </c>
      <c r="AI4255" s="2" t="s">
        <v>125</v>
      </c>
      <c r="AJ4255" s="2">
        <v>30</v>
      </c>
      <c r="AK4255" s="2" t="s">
        <v>258</v>
      </c>
      <c r="AL4255" s="2">
        <v>10</v>
      </c>
      <c r="AM4255" s="2" t="s">
        <v>200</v>
      </c>
      <c r="AN4255" s="2"/>
      <c r="AO4255" s="2"/>
      <c r="AP4255" s="2">
        <v>11</v>
      </c>
      <c r="AQ4255" s="2" t="s">
        <v>82</v>
      </c>
      <c r="AR4255" s="2"/>
      <c r="AS4255" s="2"/>
      <c r="AT4255" s="2" t="s">
        <v>13298</v>
      </c>
      <c r="AU4255" s="2"/>
      <c r="AV4255" s="2"/>
      <c r="AW4255" s="2"/>
      <c r="AX4255" s="2"/>
      <c r="AY4255" s="2">
        <v>41</v>
      </c>
      <c r="AZ4255" s="2" t="s">
        <v>82</v>
      </c>
      <c r="BA4255" s="2">
        <v>41</v>
      </c>
      <c r="BB4255" s="2" t="s">
        <v>82</v>
      </c>
      <c r="BC4255" s="2">
        <v>41</v>
      </c>
      <c r="BD4255" s="2" t="s">
        <v>82</v>
      </c>
      <c r="BE4255" s="2">
        <v>42</v>
      </c>
      <c r="BF4255" s="2" t="s">
        <v>182</v>
      </c>
      <c r="BG4255" s="2" t="s">
        <v>6921</v>
      </c>
      <c r="BH4255" s="4">
        <v>0.8208333333333333</v>
      </c>
      <c r="BI4255" s="4">
        <v>0.84027777777777779</v>
      </c>
      <c r="BJ4255" s="2">
        <v>13</v>
      </c>
      <c r="BK4255" s="2" t="s">
        <v>91</v>
      </c>
      <c r="BL4255" s="2" t="s">
        <v>2865</v>
      </c>
      <c r="BM4255" s="2">
        <v>13</v>
      </c>
      <c r="BN4255" s="2" t="s">
        <v>91</v>
      </c>
      <c r="BO4255" s="2"/>
      <c r="BP4255" s="2">
        <v>13</v>
      </c>
      <c r="BQ4255" s="2" t="s">
        <v>91</v>
      </c>
      <c r="BR4255" s="2" t="s">
        <v>170</v>
      </c>
      <c r="BS4255" s="3">
        <v>40465</v>
      </c>
      <c r="BT4255" s="4">
        <v>0.8429861111111111</v>
      </c>
    </row>
    <row r="4256" spans="1:72" x14ac:dyDescent="0.25">
      <c r="A4256" s="2">
        <v>6422</v>
      </c>
      <c r="B4256" s="2">
        <v>2010</v>
      </c>
      <c r="C4256" s="2" t="s">
        <v>5621</v>
      </c>
      <c r="D4256" s="2" t="s">
        <v>122</v>
      </c>
      <c r="E4256" s="2" t="s">
        <v>13299</v>
      </c>
      <c r="F4256" s="2">
        <v>1</v>
      </c>
      <c r="G4256" s="2" t="s">
        <v>82</v>
      </c>
      <c r="H4256" s="2">
        <v>1</v>
      </c>
      <c r="I4256" s="2" t="s">
        <v>82</v>
      </c>
      <c r="J4256" s="2">
        <v>1</v>
      </c>
      <c r="K4256" s="2" t="s">
        <v>107</v>
      </c>
      <c r="L4256" s="2" t="s">
        <v>107</v>
      </c>
      <c r="M4256" s="3">
        <v>40465</v>
      </c>
      <c r="N4256" s="2" t="s">
        <v>82</v>
      </c>
      <c r="O4256" s="2" t="s">
        <v>82</v>
      </c>
      <c r="P4256" s="2" t="s">
        <v>82</v>
      </c>
      <c r="Q4256" s="2" t="str">
        <f>"N/C"</f>
        <v>N/C</v>
      </c>
      <c r="R4256" s="2" t="s">
        <v>82</v>
      </c>
      <c r="S4256" s="2" t="s">
        <v>82</v>
      </c>
      <c r="T4256" s="2">
        <v>2</v>
      </c>
      <c r="U4256" s="2" t="s">
        <v>123</v>
      </c>
      <c r="V4256" s="2">
        <v>1</v>
      </c>
      <c r="W4256" s="2" t="s">
        <v>80</v>
      </c>
      <c r="X4256" s="2">
        <v>5</v>
      </c>
      <c r="Y4256" s="2" t="s">
        <v>82</v>
      </c>
      <c r="Z4256" s="2">
        <v>1</v>
      </c>
      <c r="AA4256" s="2" t="s">
        <v>82</v>
      </c>
      <c r="AB4256" s="2">
        <v>9</v>
      </c>
      <c r="AC4256" s="2" t="s">
        <v>124</v>
      </c>
      <c r="AD4256" s="3">
        <v>40465</v>
      </c>
      <c r="AE4256" s="4">
        <v>0.67013888888888884</v>
      </c>
      <c r="AF4256" s="2"/>
      <c r="AG4256" s="2"/>
      <c r="AH4256" s="2">
        <v>5</v>
      </c>
      <c r="AI4256" s="2" t="s">
        <v>274</v>
      </c>
      <c r="AJ4256" s="2">
        <v>42</v>
      </c>
      <c r="AK4256" s="2" t="s">
        <v>660</v>
      </c>
      <c r="AL4256" s="2">
        <v>25</v>
      </c>
      <c r="AM4256" s="2" t="s">
        <v>3073</v>
      </c>
      <c r="AN4256" s="2" t="s">
        <v>82</v>
      </c>
      <c r="AO4256" s="2" t="s">
        <v>82</v>
      </c>
      <c r="AP4256" s="2">
        <v>11</v>
      </c>
      <c r="AQ4256" s="2" t="s">
        <v>82</v>
      </c>
      <c r="AR4256" s="2" t="s">
        <v>82</v>
      </c>
      <c r="AS4256" s="2" t="s">
        <v>82</v>
      </c>
      <c r="AT4256" s="2" t="s">
        <v>13300</v>
      </c>
      <c r="AU4256" s="2"/>
      <c r="AV4256" s="2"/>
      <c r="AW4256" s="2"/>
      <c r="AX4256" s="2"/>
      <c r="AY4256" s="2">
        <v>41</v>
      </c>
      <c r="AZ4256" s="2" t="s">
        <v>82</v>
      </c>
      <c r="BA4256" s="2">
        <v>41</v>
      </c>
      <c r="BB4256" s="2" t="s">
        <v>82</v>
      </c>
      <c r="BC4256" s="2">
        <v>41</v>
      </c>
      <c r="BD4256" s="2" t="s">
        <v>82</v>
      </c>
      <c r="BE4256" s="2">
        <v>41</v>
      </c>
      <c r="BF4256" s="2" t="s">
        <v>82</v>
      </c>
      <c r="BG4256" s="2" t="s">
        <v>82</v>
      </c>
      <c r="BH4256" s="2"/>
      <c r="BI4256" s="2"/>
      <c r="BJ4256" s="2">
        <v>241</v>
      </c>
      <c r="BK4256" s="2" t="s">
        <v>82</v>
      </c>
      <c r="BL4256" s="2" t="s">
        <v>82</v>
      </c>
      <c r="BM4256" s="2">
        <v>241</v>
      </c>
      <c r="BN4256" s="2" t="s">
        <v>82</v>
      </c>
      <c r="BO4256" s="2"/>
      <c r="BP4256" s="2">
        <v>13</v>
      </c>
      <c r="BQ4256" s="2" t="s">
        <v>91</v>
      </c>
      <c r="BR4256" s="2" t="s">
        <v>82</v>
      </c>
      <c r="BS4256" s="3">
        <v>40465</v>
      </c>
      <c r="BT4256" s="4">
        <v>0.86237268518518517</v>
      </c>
    </row>
    <row r="4257" spans="1:72" x14ac:dyDescent="0.25">
      <c r="A4257" s="2">
        <v>6423</v>
      </c>
      <c r="B4257" s="2">
        <v>2010</v>
      </c>
      <c r="C4257" s="2" t="s">
        <v>72</v>
      </c>
      <c r="D4257" s="2" t="s">
        <v>73</v>
      </c>
      <c r="E4257" s="2"/>
      <c r="F4257" s="2">
        <v>685</v>
      </c>
      <c r="G4257" s="2" t="s">
        <v>12932</v>
      </c>
      <c r="H4257" s="2">
        <v>22</v>
      </c>
      <c r="I4257" s="2" t="s">
        <v>75</v>
      </c>
      <c r="J4257" s="2">
        <v>674</v>
      </c>
      <c r="K4257" s="2" t="s">
        <v>12821</v>
      </c>
      <c r="L4257" s="2" t="s">
        <v>12822</v>
      </c>
      <c r="M4257" s="3">
        <v>40465</v>
      </c>
      <c r="N4257" s="2" t="s">
        <v>12865</v>
      </c>
      <c r="O4257" s="2"/>
      <c r="P4257" s="2"/>
      <c r="Q4257" s="2" t="str">
        <f>"407-A/10"</f>
        <v>407-A/10</v>
      </c>
      <c r="R4257" s="2" t="s">
        <v>78</v>
      </c>
      <c r="S4257" s="2" t="s">
        <v>78</v>
      </c>
      <c r="T4257" s="2">
        <v>1</v>
      </c>
      <c r="U4257" s="2" t="s">
        <v>79</v>
      </c>
      <c r="V4257" s="2">
        <v>1</v>
      </c>
      <c r="W4257" s="2" t="s">
        <v>80</v>
      </c>
      <c r="X4257" s="2">
        <v>12</v>
      </c>
      <c r="Y4257" s="2" t="s">
        <v>148</v>
      </c>
      <c r="Z4257" s="2">
        <v>1</v>
      </c>
      <c r="AA4257" s="2" t="s">
        <v>82</v>
      </c>
      <c r="AB4257" s="2">
        <v>6</v>
      </c>
      <c r="AC4257" s="2" t="s">
        <v>83</v>
      </c>
      <c r="AD4257" s="3">
        <v>40465</v>
      </c>
      <c r="AE4257" s="2"/>
      <c r="AF4257" s="3">
        <v>40465</v>
      </c>
      <c r="AG4257" s="4">
        <v>0.84027777777777779</v>
      </c>
      <c r="AH4257" s="2">
        <v>2</v>
      </c>
      <c r="AI4257" s="2" t="s">
        <v>84</v>
      </c>
      <c r="AJ4257" s="2">
        <v>12</v>
      </c>
      <c r="AK4257" s="2" t="s">
        <v>85</v>
      </c>
      <c r="AL4257" s="2">
        <v>29</v>
      </c>
      <c r="AM4257" s="2" t="s">
        <v>5416</v>
      </c>
      <c r="AN4257" s="2"/>
      <c r="AO4257" s="2" t="s">
        <v>8760</v>
      </c>
      <c r="AP4257" s="2">
        <v>11</v>
      </c>
      <c r="AQ4257" s="2" t="s">
        <v>82</v>
      </c>
      <c r="AR4257" s="2"/>
      <c r="AS4257" s="2"/>
      <c r="AT4257" s="2" t="s">
        <v>13301</v>
      </c>
      <c r="AU4257" s="2"/>
      <c r="AV4257" s="2"/>
      <c r="AW4257" s="2"/>
      <c r="AX4257" s="2"/>
      <c r="AY4257" s="2">
        <v>41</v>
      </c>
      <c r="AZ4257" s="2" t="s">
        <v>82</v>
      </c>
      <c r="BA4257" s="2">
        <v>41</v>
      </c>
      <c r="BB4257" s="2" t="s">
        <v>82</v>
      </c>
      <c r="BC4257" s="2">
        <v>41</v>
      </c>
      <c r="BD4257" s="2" t="s">
        <v>82</v>
      </c>
      <c r="BE4257" s="2">
        <v>41</v>
      </c>
      <c r="BF4257" s="2" t="s">
        <v>82</v>
      </c>
      <c r="BG4257" s="2"/>
      <c r="BH4257" s="2"/>
      <c r="BI4257" s="2"/>
      <c r="BJ4257" s="2">
        <v>241</v>
      </c>
      <c r="BK4257" s="2" t="s">
        <v>82</v>
      </c>
      <c r="BL4257" s="2"/>
      <c r="BM4257" s="2">
        <v>241</v>
      </c>
      <c r="BN4257" s="2" t="s">
        <v>82</v>
      </c>
      <c r="BO4257" s="2"/>
      <c r="BP4257" s="2">
        <v>241</v>
      </c>
      <c r="BQ4257" s="2" t="s">
        <v>82</v>
      </c>
      <c r="BR4257" s="2"/>
      <c r="BS4257" s="3">
        <v>40465</v>
      </c>
      <c r="BT4257" s="4">
        <v>0.89814814814814825</v>
      </c>
    </row>
    <row r="4258" spans="1:72" x14ac:dyDescent="0.25">
      <c r="A4258" s="2">
        <v>6424</v>
      </c>
      <c r="B4258" s="2">
        <v>2010</v>
      </c>
      <c r="C4258" s="2" t="s">
        <v>377</v>
      </c>
      <c r="D4258" s="2" t="s">
        <v>73</v>
      </c>
      <c r="E4258" s="2"/>
      <c r="F4258" s="2">
        <v>426</v>
      </c>
      <c r="G4258" s="2" t="s">
        <v>378</v>
      </c>
      <c r="H4258" s="2">
        <v>108</v>
      </c>
      <c r="I4258" s="2" t="s">
        <v>1096</v>
      </c>
      <c r="J4258" s="2">
        <v>311</v>
      </c>
      <c r="K4258" s="2" t="s">
        <v>379</v>
      </c>
      <c r="L4258" s="2" t="s">
        <v>380</v>
      </c>
      <c r="M4258" s="3">
        <v>40465</v>
      </c>
      <c r="N4258" s="2" t="s">
        <v>5164</v>
      </c>
      <c r="O4258" s="2"/>
      <c r="P4258" s="2"/>
      <c r="Q4258" s="2" t="str">
        <f>"266-C/10"</f>
        <v>266-C/10</v>
      </c>
      <c r="R4258" s="2" t="s">
        <v>4428</v>
      </c>
      <c r="S4258" s="2"/>
      <c r="T4258" s="2">
        <v>1</v>
      </c>
      <c r="U4258" s="2" t="s">
        <v>79</v>
      </c>
      <c r="V4258" s="2">
        <v>1</v>
      </c>
      <c r="W4258" s="2" t="s">
        <v>80</v>
      </c>
      <c r="X4258" s="2">
        <v>1</v>
      </c>
      <c r="Y4258" s="2" t="s">
        <v>81</v>
      </c>
      <c r="Z4258" s="2">
        <v>1</v>
      </c>
      <c r="AA4258" s="2" t="s">
        <v>82</v>
      </c>
      <c r="AB4258" s="2">
        <v>9</v>
      </c>
      <c r="AC4258" s="2" t="s">
        <v>124</v>
      </c>
      <c r="AD4258" s="3">
        <v>40464</v>
      </c>
      <c r="AE4258" s="4">
        <v>0.69444444444444453</v>
      </c>
      <c r="AF4258" s="3">
        <v>40464</v>
      </c>
      <c r="AG4258" s="2"/>
      <c r="AH4258" s="2">
        <v>2</v>
      </c>
      <c r="AI4258" s="2" t="s">
        <v>84</v>
      </c>
      <c r="AJ4258" s="2">
        <v>9</v>
      </c>
      <c r="AK4258" s="2" t="s">
        <v>103</v>
      </c>
      <c r="AL4258" s="2">
        <v>29</v>
      </c>
      <c r="AM4258" s="2" t="s">
        <v>5416</v>
      </c>
      <c r="AN4258" s="2" t="s">
        <v>13302</v>
      </c>
      <c r="AO4258" s="2"/>
      <c r="AP4258" s="2">
        <v>11</v>
      </c>
      <c r="AQ4258" s="2" t="s">
        <v>82</v>
      </c>
      <c r="AR4258" s="2"/>
      <c r="AS4258" s="2"/>
      <c r="AT4258" s="2" t="s">
        <v>13303</v>
      </c>
      <c r="AU4258" s="2"/>
      <c r="AV4258" s="2"/>
      <c r="AW4258" s="2"/>
      <c r="AX4258" s="2"/>
      <c r="AY4258" s="2">
        <v>41</v>
      </c>
      <c r="AZ4258" s="2" t="s">
        <v>82</v>
      </c>
      <c r="BA4258" s="2">
        <v>41</v>
      </c>
      <c r="BB4258" s="2" t="s">
        <v>82</v>
      </c>
      <c r="BC4258" s="2">
        <v>41</v>
      </c>
      <c r="BD4258" s="2" t="s">
        <v>82</v>
      </c>
      <c r="BE4258" s="2">
        <v>41</v>
      </c>
      <c r="BF4258" s="2" t="s">
        <v>82</v>
      </c>
      <c r="BG4258" s="2"/>
      <c r="BH4258" s="2"/>
      <c r="BI4258" s="2"/>
      <c r="BJ4258" s="2">
        <v>241</v>
      </c>
      <c r="BK4258" s="2" t="s">
        <v>82</v>
      </c>
      <c r="BL4258" s="2"/>
      <c r="BM4258" s="2">
        <v>241</v>
      </c>
      <c r="BN4258" s="2" t="s">
        <v>82</v>
      </c>
      <c r="BO4258" s="2"/>
      <c r="BP4258" s="2">
        <v>241</v>
      </c>
      <c r="BQ4258" s="2" t="s">
        <v>82</v>
      </c>
      <c r="BR4258" s="2"/>
      <c r="BS4258" s="3">
        <v>40465</v>
      </c>
      <c r="BT4258" s="4">
        <v>0.96690972222222227</v>
      </c>
    </row>
    <row r="4259" spans="1:72" x14ac:dyDescent="0.25">
      <c r="A4259" s="2">
        <v>6425</v>
      </c>
      <c r="B4259" s="2">
        <v>2010</v>
      </c>
      <c r="C4259" s="2" t="s">
        <v>819</v>
      </c>
      <c r="D4259" s="2" t="s">
        <v>122</v>
      </c>
      <c r="E4259" s="2"/>
      <c r="F4259" s="2">
        <v>425</v>
      </c>
      <c r="G4259" s="2" t="s">
        <v>286</v>
      </c>
      <c r="H4259" s="2">
        <v>30</v>
      </c>
      <c r="I4259" s="2" t="s">
        <v>912</v>
      </c>
      <c r="J4259" s="2">
        <v>310</v>
      </c>
      <c r="K4259" s="2" t="s">
        <v>288</v>
      </c>
      <c r="L4259" s="2" t="s">
        <v>289</v>
      </c>
      <c r="M4259" s="3">
        <v>40465</v>
      </c>
      <c r="N4259" s="2" t="s">
        <v>2049</v>
      </c>
      <c r="O4259" s="2"/>
      <c r="P4259" s="2"/>
      <c r="Q4259" s="2" t="str">
        <f>"103/10"</f>
        <v>103/10</v>
      </c>
      <c r="R4259" s="2" t="s">
        <v>822</v>
      </c>
      <c r="S4259" s="2"/>
      <c r="T4259" s="2">
        <v>1</v>
      </c>
      <c r="U4259" s="2" t="s">
        <v>79</v>
      </c>
      <c r="V4259" s="2">
        <v>1</v>
      </c>
      <c r="W4259" s="2" t="s">
        <v>80</v>
      </c>
      <c r="X4259" s="2">
        <v>1</v>
      </c>
      <c r="Y4259" s="2" t="s">
        <v>81</v>
      </c>
      <c r="Z4259" s="2">
        <v>10</v>
      </c>
      <c r="AA4259" s="2" t="s">
        <v>236</v>
      </c>
      <c r="AB4259" s="2">
        <v>9</v>
      </c>
      <c r="AC4259" s="2" t="s">
        <v>124</v>
      </c>
      <c r="AD4259" s="3">
        <v>40465</v>
      </c>
      <c r="AE4259" s="4">
        <v>0.89583333333333337</v>
      </c>
      <c r="AF4259" s="2"/>
      <c r="AG4259" s="2"/>
      <c r="AH4259" s="2">
        <v>4</v>
      </c>
      <c r="AI4259" s="2" t="s">
        <v>125</v>
      </c>
      <c r="AJ4259" s="2">
        <v>29</v>
      </c>
      <c r="AK4259" s="2" t="s">
        <v>227</v>
      </c>
      <c r="AL4259" s="2">
        <v>10</v>
      </c>
      <c r="AM4259" s="2" t="s">
        <v>200</v>
      </c>
      <c r="AN4259" s="2" t="s">
        <v>1015</v>
      </c>
      <c r="AO4259" s="2" t="s">
        <v>6863</v>
      </c>
      <c r="AP4259" s="2">
        <v>12</v>
      </c>
      <c r="AQ4259" s="2" t="s">
        <v>322</v>
      </c>
      <c r="AR4259" s="2" t="s">
        <v>824</v>
      </c>
      <c r="AS4259" s="2" t="s">
        <v>825</v>
      </c>
      <c r="AT4259" s="2" t="s">
        <v>13304</v>
      </c>
      <c r="AU4259" s="2"/>
      <c r="AV4259" s="2"/>
      <c r="AW4259" s="2"/>
      <c r="AX4259" s="2"/>
      <c r="AY4259" s="2">
        <v>41</v>
      </c>
      <c r="AZ4259" s="2" t="s">
        <v>82</v>
      </c>
      <c r="BA4259" s="2">
        <v>41</v>
      </c>
      <c r="BB4259" s="2" t="s">
        <v>82</v>
      </c>
      <c r="BC4259" s="2">
        <v>51</v>
      </c>
      <c r="BD4259" s="2" t="s">
        <v>827</v>
      </c>
      <c r="BE4259" s="2">
        <v>47</v>
      </c>
      <c r="BF4259" s="2" t="s">
        <v>167</v>
      </c>
      <c r="BG4259" s="2">
        <v>2459</v>
      </c>
      <c r="BH4259" s="4">
        <v>0.97916666666666663</v>
      </c>
      <c r="BI4259" s="4">
        <v>1.3888888888888888E-2</v>
      </c>
      <c r="BJ4259" s="2">
        <v>13</v>
      </c>
      <c r="BK4259" s="2" t="s">
        <v>91</v>
      </c>
      <c r="BL4259" s="2" t="s">
        <v>828</v>
      </c>
      <c r="BM4259" s="2">
        <v>13</v>
      </c>
      <c r="BN4259" s="2" t="s">
        <v>91</v>
      </c>
      <c r="BO4259" s="2"/>
      <c r="BP4259" s="2">
        <v>13</v>
      </c>
      <c r="BQ4259" s="2" t="s">
        <v>91</v>
      </c>
      <c r="BR4259" s="2" t="s">
        <v>185</v>
      </c>
      <c r="BS4259" s="3">
        <v>40465</v>
      </c>
      <c r="BT4259" s="4">
        <v>0.97723379629629636</v>
      </c>
    </row>
    <row r="4260" spans="1:72" x14ac:dyDescent="0.25">
      <c r="A4260" s="2">
        <v>6426</v>
      </c>
      <c r="B4260" s="2">
        <v>2010</v>
      </c>
      <c r="C4260" s="2" t="s">
        <v>255</v>
      </c>
      <c r="D4260" s="2" t="s">
        <v>73</v>
      </c>
      <c r="E4260" s="2"/>
      <c r="F4260" s="2">
        <v>638</v>
      </c>
      <c r="G4260" s="2" t="s">
        <v>8288</v>
      </c>
      <c r="H4260" s="2">
        <v>4</v>
      </c>
      <c r="I4260" s="2" t="s">
        <v>173</v>
      </c>
      <c r="J4260" s="2">
        <v>587</v>
      </c>
      <c r="K4260" s="2" t="s">
        <v>8411</v>
      </c>
      <c r="L4260" s="2" t="s">
        <v>8412</v>
      </c>
      <c r="M4260" s="3">
        <v>40466</v>
      </c>
      <c r="N4260" s="2" t="s">
        <v>10459</v>
      </c>
      <c r="O4260" s="2" t="s">
        <v>107</v>
      </c>
      <c r="P4260" s="2" t="s">
        <v>107</v>
      </c>
      <c r="Q4260" s="2" t="str">
        <f>"59/2010"</f>
        <v>59/2010</v>
      </c>
      <c r="R4260" s="2" t="s">
        <v>947</v>
      </c>
      <c r="S4260" s="2" t="s">
        <v>947</v>
      </c>
      <c r="T4260" s="2">
        <v>1</v>
      </c>
      <c r="U4260" s="2" t="s">
        <v>79</v>
      </c>
      <c r="V4260" s="2">
        <v>1</v>
      </c>
      <c r="W4260" s="2" t="s">
        <v>80</v>
      </c>
      <c r="X4260" s="2">
        <v>12</v>
      </c>
      <c r="Y4260" s="2" t="s">
        <v>148</v>
      </c>
      <c r="Z4260" s="2">
        <v>1</v>
      </c>
      <c r="AA4260" s="2" t="s">
        <v>82</v>
      </c>
      <c r="AB4260" s="2">
        <v>9</v>
      </c>
      <c r="AC4260" s="2" t="s">
        <v>124</v>
      </c>
      <c r="AD4260" s="3">
        <v>40465</v>
      </c>
      <c r="AE4260" s="4">
        <v>0.97916666666666663</v>
      </c>
      <c r="AF4260" s="3">
        <v>40466</v>
      </c>
      <c r="AG4260" s="4">
        <v>1.3888888888888888E-2</v>
      </c>
      <c r="AH4260" s="2">
        <v>3</v>
      </c>
      <c r="AI4260" s="2" t="s">
        <v>214</v>
      </c>
      <c r="AJ4260" s="2">
        <v>24</v>
      </c>
      <c r="AK4260" s="2" t="s">
        <v>215</v>
      </c>
      <c r="AL4260" s="2">
        <v>28</v>
      </c>
      <c r="AM4260" s="2" t="s">
        <v>5969</v>
      </c>
      <c r="AN4260" s="2"/>
      <c r="AO4260" s="2" t="s">
        <v>13305</v>
      </c>
      <c r="AP4260" s="2">
        <v>11</v>
      </c>
      <c r="AQ4260" s="2" t="s">
        <v>82</v>
      </c>
      <c r="AR4260" s="2" t="s">
        <v>82</v>
      </c>
      <c r="AS4260" s="2" t="s">
        <v>82</v>
      </c>
      <c r="AT4260" s="2" t="s">
        <v>13306</v>
      </c>
      <c r="AU4260" s="2"/>
      <c r="AV4260" s="2"/>
      <c r="AW4260" s="2"/>
      <c r="AX4260" s="2"/>
      <c r="AY4260" s="2">
        <v>41</v>
      </c>
      <c r="AZ4260" s="2" t="s">
        <v>82</v>
      </c>
      <c r="BA4260" s="2">
        <v>41</v>
      </c>
      <c r="BB4260" s="2" t="s">
        <v>82</v>
      </c>
      <c r="BC4260" s="2">
        <v>41</v>
      </c>
      <c r="BD4260" s="2" t="s">
        <v>82</v>
      </c>
      <c r="BE4260" s="2">
        <v>41</v>
      </c>
      <c r="BF4260" s="2" t="s">
        <v>82</v>
      </c>
      <c r="BG4260" s="2" t="s">
        <v>82</v>
      </c>
      <c r="BH4260" s="2"/>
      <c r="BI4260" s="2"/>
      <c r="BJ4260" s="2">
        <v>241</v>
      </c>
      <c r="BK4260" s="2" t="s">
        <v>82</v>
      </c>
      <c r="BL4260" s="2" t="s">
        <v>82</v>
      </c>
      <c r="BM4260" s="2">
        <v>241</v>
      </c>
      <c r="BN4260" s="2" t="s">
        <v>82</v>
      </c>
      <c r="BO4260" s="2"/>
      <c r="BP4260" s="2">
        <v>241</v>
      </c>
      <c r="BQ4260" s="2" t="s">
        <v>82</v>
      </c>
      <c r="BR4260" s="2" t="s">
        <v>82</v>
      </c>
      <c r="BS4260" s="3">
        <v>40466</v>
      </c>
      <c r="BT4260" s="4">
        <v>6.7233796296296292E-2</v>
      </c>
    </row>
    <row r="4261" spans="1:72" x14ac:dyDescent="0.25">
      <c r="A4261" s="2">
        <v>6427</v>
      </c>
      <c r="B4261" s="2">
        <v>2010</v>
      </c>
      <c r="C4261" s="2" t="s">
        <v>377</v>
      </c>
      <c r="D4261" s="2" t="s">
        <v>73</v>
      </c>
      <c r="E4261" s="2"/>
      <c r="F4261" s="2">
        <v>426</v>
      </c>
      <c r="G4261" s="2" t="s">
        <v>378</v>
      </c>
      <c r="H4261" s="2">
        <v>108</v>
      </c>
      <c r="I4261" s="2" t="s">
        <v>1096</v>
      </c>
      <c r="J4261" s="2">
        <v>311</v>
      </c>
      <c r="K4261" s="2" t="s">
        <v>379</v>
      </c>
      <c r="L4261" s="2" t="s">
        <v>380</v>
      </c>
      <c r="M4261" s="3">
        <v>40466</v>
      </c>
      <c r="N4261" s="2" t="s">
        <v>5164</v>
      </c>
      <c r="O4261" s="2"/>
      <c r="P4261" s="2"/>
      <c r="Q4261" s="2" t="str">
        <f>"267-C/10"</f>
        <v>267-C/10</v>
      </c>
      <c r="R4261" s="2"/>
      <c r="S4261" s="2" t="s">
        <v>4428</v>
      </c>
      <c r="T4261" s="2">
        <v>1</v>
      </c>
      <c r="U4261" s="2" t="s">
        <v>79</v>
      </c>
      <c r="V4261" s="2">
        <v>1</v>
      </c>
      <c r="W4261" s="2" t="s">
        <v>80</v>
      </c>
      <c r="X4261" s="2">
        <v>1</v>
      </c>
      <c r="Y4261" s="2" t="s">
        <v>81</v>
      </c>
      <c r="Z4261" s="2">
        <v>1</v>
      </c>
      <c r="AA4261" s="2" t="s">
        <v>82</v>
      </c>
      <c r="AB4261" s="2">
        <v>9</v>
      </c>
      <c r="AC4261" s="2" t="s">
        <v>124</v>
      </c>
      <c r="AD4261" s="3">
        <v>40464</v>
      </c>
      <c r="AE4261" s="4">
        <v>0.95833333333333337</v>
      </c>
      <c r="AF4261" s="3">
        <v>40464</v>
      </c>
      <c r="AG4261" s="2"/>
      <c r="AH4261" s="2">
        <v>2</v>
      </c>
      <c r="AI4261" s="2" t="s">
        <v>84</v>
      </c>
      <c r="AJ4261" s="2">
        <v>9</v>
      </c>
      <c r="AK4261" s="2" t="s">
        <v>103</v>
      </c>
      <c r="AL4261" s="2">
        <v>24</v>
      </c>
      <c r="AM4261" s="2" t="s">
        <v>1540</v>
      </c>
      <c r="AN4261" s="2" t="s">
        <v>13307</v>
      </c>
      <c r="AO4261" s="2" t="s">
        <v>12443</v>
      </c>
      <c r="AP4261" s="2">
        <v>11</v>
      </c>
      <c r="AQ4261" s="2" t="s">
        <v>82</v>
      </c>
      <c r="AR4261" s="2"/>
      <c r="AS4261" s="2"/>
      <c r="AT4261" s="2" t="s">
        <v>13308</v>
      </c>
      <c r="AU4261" s="2"/>
      <c r="AV4261" s="2"/>
      <c r="AW4261" s="2"/>
      <c r="AX4261" s="2"/>
      <c r="AY4261" s="2">
        <v>41</v>
      </c>
      <c r="AZ4261" s="2" t="s">
        <v>82</v>
      </c>
      <c r="BA4261" s="2">
        <v>41</v>
      </c>
      <c r="BB4261" s="2" t="s">
        <v>82</v>
      </c>
      <c r="BC4261" s="2">
        <v>41</v>
      </c>
      <c r="BD4261" s="2" t="s">
        <v>82</v>
      </c>
      <c r="BE4261" s="2">
        <v>41</v>
      </c>
      <c r="BF4261" s="2" t="s">
        <v>82</v>
      </c>
      <c r="BG4261" s="2"/>
      <c r="BH4261" s="2"/>
      <c r="BI4261" s="2"/>
      <c r="BJ4261" s="2">
        <v>241</v>
      </c>
      <c r="BK4261" s="2" t="s">
        <v>82</v>
      </c>
      <c r="BL4261" s="2"/>
      <c r="BM4261" s="2">
        <v>241</v>
      </c>
      <c r="BN4261" s="2" t="s">
        <v>82</v>
      </c>
      <c r="BO4261" s="2"/>
      <c r="BP4261" s="2">
        <v>241</v>
      </c>
      <c r="BQ4261" s="2" t="s">
        <v>82</v>
      </c>
      <c r="BR4261" s="2"/>
      <c r="BS4261" s="3">
        <v>40466</v>
      </c>
      <c r="BT4261" s="4">
        <v>7.3715277777777768E-2</v>
      </c>
    </row>
    <row r="4262" spans="1:72" x14ac:dyDescent="0.25">
      <c r="A4262" s="2">
        <v>6428</v>
      </c>
      <c r="B4262" s="2">
        <v>2010</v>
      </c>
      <c r="C4262" s="2" t="s">
        <v>171</v>
      </c>
      <c r="D4262" s="2" t="s">
        <v>73</v>
      </c>
      <c r="E4262" s="2"/>
      <c r="F4262" s="2">
        <v>396</v>
      </c>
      <c r="G4262" s="2" t="s">
        <v>2159</v>
      </c>
      <c r="H4262" s="2">
        <v>9</v>
      </c>
      <c r="I4262" s="2" t="s">
        <v>794</v>
      </c>
      <c r="J4262" s="2">
        <v>243</v>
      </c>
      <c r="K4262" s="2" t="s">
        <v>2160</v>
      </c>
      <c r="L4262" s="2" t="s">
        <v>2145</v>
      </c>
      <c r="M4262" s="3">
        <v>40466</v>
      </c>
      <c r="N4262" s="2" t="s">
        <v>11458</v>
      </c>
      <c r="O4262" s="2"/>
      <c r="P4262" s="2"/>
      <c r="Q4262" s="2" t="str">
        <f>"535-E/10"</f>
        <v>535-E/10</v>
      </c>
      <c r="R4262" s="2" t="s">
        <v>391</v>
      </c>
      <c r="S4262" s="2" t="s">
        <v>391</v>
      </c>
      <c r="T4262" s="2">
        <v>1</v>
      </c>
      <c r="U4262" s="2" t="s">
        <v>79</v>
      </c>
      <c r="V4262" s="2">
        <v>1</v>
      </c>
      <c r="W4262" s="2" t="s">
        <v>80</v>
      </c>
      <c r="X4262" s="2">
        <v>1</v>
      </c>
      <c r="Y4262" s="2" t="s">
        <v>81</v>
      </c>
      <c r="Z4262" s="2">
        <v>1</v>
      </c>
      <c r="AA4262" s="2" t="s">
        <v>82</v>
      </c>
      <c r="AB4262" s="2">
        <v>1</v>
      </c>
      <c r="AC4262" s="2" t="s">
        <v>178</v>
      </c>
      <c r="AD4262" s="3">
        <v>40465</v>
      </c>
      <c r="AE4262" s="4">
        <v>0.19444444444444445</v>
      </c>
      <c r="AF4262" s="3">
        <v>40465</v>
      </c>
      <c r="AG4262" s="4">
        <v>0.48333333333333334</v>
      </c>
      <c r="AH4262" s="2">
        <v>2</v>
      </c>
      <c r="AI4262" s="2" t="s">
        <v>84</v>
      </c>
      <c r="AJ4262" s="2">
        <v>9</v>
      </c>
      <c r="AK4262" s="2" t="s">
        <v>103</v>
      </c>
      <c r="AL4262" s="2">
        <v>25</v>
      </c>
      <c r="AM4262" s="2" t="s">
        <v>3073</v>
      </c>
      <c r="AN4262" s="2" t="s">
        <v>179</v>
      </c>
      <c r="AO4262" s="2" t="s">
        <v>987</v>
      </c>
      <c r="AP4262" s="2">
        <v>11</v>
      </c>
      <c r="AQ4262" s="2" t="s">
        <v>82</v>
      </c>
      <c r="AR4262" s="2"/>
      <c r="AS4262" s="2"/>
      <c r="AT4262" s="2" t="s">
        <v>13309</v>
      </c>
      <c r="AU4262" s="2"/>
      <c r="AV4262" s="2">
        <v>1</v>
      </c>
      <c r="AW4262" s="2"/>
      <c r="AX4262" s="2"/>
      <c r="AY4262" s="2">
        <v>41</v>
      </c>
      <c r="AZ4262" s="2" t="s">
        <v>82</v>
      </c>
      <c r="BA4262" s="2">
        <v>41</v>
      </c>
      <c r="BB4262" s="2" t="s">
        <v>82</v>
      </c>
      <c r="BC4262" s="2">
        <v>41</v>
      </c>
      <c r="BD4262" s="2" t="s">
        <v>82</v>
      </c>
      <c r="BE4262" s="2">
        <v>39</v>
      </c>
      <c r="BF4262" s="2" t="s">
        <v>440</v>
      </c>
      <c r="BG4262" s="2" t="s">
        <v>12690</v>
      </c>
      <c r="BH4262" s="2"/>
      <c r="BI4262" s="4">
        <v>0.27083333333333331</v>
      </c>
      <c r="BJ4262" s="2">
        <v>13</v>
      </c>
      <c r="BK4262" s="2" t="s">
        <v>91</v>
      </c>
      <c r="BL4262" s="2" t="s">
        <v>360</v>
      </c>
      <c r="BM4262" s="2">
        <v>33</v>
      </c>
      <c r="BN4262" s="2" t="s">
        <v>361</v>
      </c>
      <c r="BO4262" s="2"/>
      <c r="BP4262" s="2">
        <v>33</v>
      </c>
      <c r="BQ4262" s="2" t="s">
        <v>361</v>
      </c>
      <c r="BR4262" s="2" t="s">
        <v>2723</v>
      </c>
      <c r="BS4262" s="3">
        <v>40466</v>
      </c>
      <c r="BT4262" s="4">
        <v>0.11983796296296297</v>
      </c>
    </row>
    <row r="4263" spans="1:72" x14ac:dyDescent="0.25">
      <c r="A4263" s="2">
        <v>6430</v>
      </c>
      <c r="B4263" s="2">
        <v>2010</v>
      </c>
      <c r="C4263" s="2" t="s">
        <v>121</v>
      </c>
      <c r="D4263" s="2" t="s">
        <v>122</v>
      </c>
      <c r="E4263" s="2" t="s">
        <v>13297</v>
      </c>
      <c r="F4263" s="2">
        <v>1</v>
      </c>
      <c r="G4263" s="2" t="s">
        <v>82</v>
      </c>
      <c r="H4263" s="2">
        <v>1</v>
      </c>
      <c r="I4263" s="2" t="s">
        <v>82</v>
      </c>
      <c r="J4263" s="2">
        <v>1</v>
      </c>
      <c r="K4263" s="2" t="s">
        <v>107</v>
      </c>
      <c r="L4263" s="2" t="s">
        <v>107</v>
      </c>
      <c r="M4263" s="3">
        <v>40466</v>
      </c>
      <c r="N4263" s="2"/>
      <c r="O4263" s="2"/>
      <c r="P4263" s="2"/>
      <c r="Q4263" s="2" t="str">
        <f>""</f>
        <v/>
      </c>
      <c r="R4263" s="2"/>
      <c r="S4263" s="2"/>
      <c r="T4263" s="2">
        <v>2</v>
      </c>
      <c r="U4263" s="2" t="s">
        <v>123</v>
      </c>
      <c r="V4263" s="2">
        <v>1</v>
      </c>
      <c r="W4263" s="2" t="s">
        <v>80</v>
      </c>
      <c r="X4263" s="2">
        <v>11</v>
      </c>
      <c r="Y4263" s="2" t="s">
        <v>1920</v>
      </c>
      <c r="Z4263" s="2">
        <v>10</v>
      </c>
      <c r="AA4263" s="2" t="s">
        <v>236</v>
      </c>
      <c r="AB4263" s="2">
        <v>9</v>
      </c>
      <c r="AC4263" s="2" t="s">
        <v>124</v>
      </c>
      <c r="AD4263" s="3">
        <v>40466</v>
      </c>
      <c r="AE4263" s="4">
        <v>0.40416666666666662</v>
      </c>
      <c r="AF4263" s="2"/>
      <c r="AG4263" s="2"/>
      <c r="AH4263" s="2">
        <v>4</v>
      </c>
      <c r="AI4263" s="2" t="s">
        <v>125</v>
      </c>
      <c r="AJ4263" s="2">
        <v>30</v>
      </c>
      <c r="AK4263" s="2" t="s">
        <v>258</v>
      </c>
      <c r="AL4263" s="2">
        <v>10</v>
      </c>
      <c r="AM4263" s="2" t="s">
        <v>200</v>
      </c>
      <c r="AN4263" s="2"/>
      <c r="AO4263" s="2"/>
      <c r="AP4263" s="2">
        <v>11</v>
      </c>
      <c r="AQ4263" s="2" t="s">
        <v>82</v>
      </c>
      <c r="AR4263" s="2"/>
      <c r="AS4263" s="2"/>
      <c r="AT4263" s="2" t="s">
        <v>13310</v>
      </c>
      <c r="AU4263" s="2"/>
      <c r="AV4263" s="2"/>
      <c r="AW4263" s="2"/>
      <c r="AX4263" s="2"/>
      <c r="AY4263" s="2">
        <v>41</v>
      </c>
      <c r="AZ4263" s="2" t="s">
        <v>82</v>
      </c>
      <c r="BA4263" s="2">
        <v>41</v>
      </c>
      <c r="BB4263" s="2" t="s">
        <v>82</v>
      </c>
      <c r="BC4263" s="2">
        <v>41</v>
      </c>
      <c r="BD4263" s="2" t="s">
        <v>82</v>
      </c>
      <c r="BE4263" s="2">
        <v>41</v>
      </c>
      <c r="BF4263" s="2" t="s">
        <v>82</v>
      </c>
      <c r="BG4263" s="2"/>
      <c r="BH4263" s="4">
        <v>0.39930555555555558</v>
      </c>
      <c r="BI4263" s="4">
        <v>0.40416666666666662</v>
      </c>
      <c r="BJ4263" s="2">
        <v>13</v>
      </c>
      <c r="BK4263" s="2" t="s">
        <v>91</v>
      </c>
      <c r="BL4263" s="2" t="s">
        <v>170</v>
      </c>
      <c r="BM4263" s="2">
        <v>13</v>
      </c>
      <c r="BN4263" s="2" t="s">
        <v>91</v>
      </c>
      <c r="BO4263" s="2"/>
      <c r="BP4263" s="2">
        <v>13</v>
      </c>
      <c r="BQ4263" s="2" t="s">
        <v>91</v>
      </c>
      <c r="BR4263" s="2" t="s">
        <v>2865</v>
      </c>
      <c r="BS4263" s="3">
        <v>40466</v>
      </c>
      <c r="BT4263" s="4">
        <v>0.42241898148148144</v>
      </c>
    </row>
    <row r="4264" spans="1:72" x14ac:dyDescent="0.25">
      <c r="A4264" s="2">
        <v>6431</v>
      </c>
      <c r="B4264" s="2">
        <v>2010</v>
      </c>
      <c r="C4264" s="2" t="s">
        <v>819</v>
      </c>
      <c r="D4264" s="2" t="s">
        <v>122</v>
      </c>
      <c r="E4264" s="2" t="s">
        <v>13311</v>
      </c>
      <c r="F4264" s="2">
        <v>425</v>
      </c>
      <c r="G4264" s="2" t="s">
        <v>286</v>
      </c>
      <c r="H4264" s="2">
        <v>30</v>
      </c>
      <c r="I4264" s="2" t="s">
        <v>912</v>
      </c>
      <c r="J4264" s="2">
        <v>310</v>
      </c>
      <c r="K4264" s="2" t="s">
        <v>288</v>
      </c>
      <c r="L4264" s="2" t="s">
        <v>289</v>
      </c>
      <c r="M4264" s="3">
        <v>40466</v>
      </c>
      <c r="N4264" s="2" t="s">
        <v>2049</v>
      </c>
      <c r="O4264" s="2"/>
      <c r="P4264" s="2"/>
      <c r="Q4264" s="2" t="str">
        <f>"103/10"</f>
        <v>103/10</v>
      </c>
      <c r="R4264" s="2" t="s">
        <v>3719</v>
      </c>
      <c r="S4264" s="2" t="s">
        <v>822</v>
      </c>
      <c r="T4264" s="2">
        <v>1</v>
      </c>
      <c r="U4264" s="2" t="s">
        <v>79</v>
      </c>
      <c r="V4264" s="2">
        <v>1</v>
      </c>
      <c r="W4264" s="2" t="s">
        <v>80</v>
      </c>
      <c r="X4264" s="2">
        <v>1</v>
      </c>
      <c r="Y4264" s="2" t="s">
        <v>81</v>
      </c>
      <c r="Z4264" s="2">
        <v>10</v>
      </c>
      <c r="AA4264" s="2" t="s">
        <v>236</v>
      </c>
      <c r="AB4264" s="2">
        <v>9</v>
      </c>
      <c r="AC4264" s="2" t="s">
        <v>124</v>
      </c>
      <c r="AD4264" s="3">
        <v>40466</v>
      </c>
      <c r="AE4264" s="4">
        <v>0.375</v>
      </c>
      <c r="AF4264" s="2"/>
      <c r="AG4264" s="2"/>
      <c r="AH4264" s="2">
        <v>4</v>
      </c>
      <c r="AI4264" s="2" t="s">
        <v>125</v>
      </c>
      <c r="AJ4264" s="2">
        <v>29</v>
      </c>
      <c r="AK4264" s="2" t="s">
        <v>227</v>
      </c>
      <c r="AL4264" s="2">
        <v>16</v>
      </c>
      <c r="AM4264" s="2" t="s">
        <v>392</v>
      </c>
      <c r="AN4264" s="2" t="s">
        <v>3040</v>
      </c>
      <c r="AO4264" s="2" t="s">
        <v>3176</v>
      </c>
      <c r="AP4264" s="2">
        <v>12</v>
      </c>
      <c r="AQ4264" s="2" t="s">
        <v>322</v>
      </c>
      <c r="AR4264" s="2" t="s">
        <v>824</v>
      </c>
      <c r="AS4264" s="2" t="s">
        <v>825</v>
      </c>
      <c r="AT4264" s="2" t="s">
        <v>13312</v>
      </c>
      <c r="AU4264" s="2"/>
      <c r="AV4264" s="2"/>
      <c r="AW4264" s="2"/>
      <c r="AX4264" s="2"/>
      <c r="AY4264" s="2">
        <v>41</v>
      </c>
      <c r="AZ4264" s="2" t="s">
        <v>82</v>
      </c>
      <c r="BA4264" s="2">
        <v>41</v>
      </c>
      <c r="BB4264" s="2" t="s">
        <v>82</v>
      </c>
      <c r="BC4264" s="2">
        <v>51</v>
      </c>
      <c r="BD4264" s="2" t="s">
        <v>827</v>
      </c>
      <c r="BE4264" s="2">
        <v>47</v>
      </c>
      <c r="BF4264" s="2" t="s">
        <v>167</v>
      </c>
      <c r="BG4264" s="2">
        <v>2459</v>
      </c>
      <c r="BH4264" s="4">
        <v>0.97916666666666663</v>
      </c>
      <c r="BI4264" s="4">
        <v>1.3888888888888888E-2</v>
      </c>
      <c r="BJ4264" s="2">
        <v>13</v>
      </c>
      <c r="BK4264" s="2" t="s">
        <v>91</v>
      </c>
      <c r="BL4264" s="2" t="s">
        <v>828</v>
      </c>
      <c r="BM4264" s="2">
        <v>13</v>
      </c>
      <c r="BN4264" s="2" t="s">
        <v>91</v>
      </c>
      <c r="BO4264" s="2"/>
      <c r="BP4264" s="2">
        <v>13</v>
      </c>
      <c r="BQ4264" s="2" t="s">
        <v>91</v>
      </c>
      <c r="BR4264" s="2" t="s">
        <v>185</v>
      </c>
      <c r="BS4264" s="3">
        <v>40466</v>
      </c>
      <c r="BT4264" s="4">
        <v>0.42689814814814814</v>
      </c>
    </row>
    <row r="4265" spans="1:72" x14ac:dyDescent="0.25">
      <c r="A4265" s="2">
        <v>6432</v>
      </c>
      <c r="B4265" s="2">
        <v>2010</v>
      </c>
      <c r="C4265" s="2" t="s">
        <v>385</v>
      </c>
      <c r="D4265" s="2" t="s">
        <v>122</v>
      </c>
      <c r="E4265" s="2" t="s">
        <v>13313</v>
      </c>
      <c r="F4265" s="2">
        <v>396</v>
      </c>
      <c r="G4265" s="2" t="s">
        <v>2159</v>
      </c>
      <c r="H4265" s="2">
        <v>9</v>
      </c>
      <c r="I4265" s="2" t="s">
        <v>794</v>
      </c>
      <c r="J4265" s="2">
        <v>243</v>
      </c>
      <c r="K4265" s="2" t="s">
        <v>2160</v>
      </c>
      <c r="L4265" s="2" t="s">
        <v>2145</v>
      </c>
      <c r="M4265" s="3">
        <v>40466</v>
      </c>
      <c r="N4265" s="2" t="s">
        <v>11458</v>
      </c>
      <c r="O4265" s="2"/>
      <c r="P4265" s="2"/>
      <c r="Q4265" s="2" t="str">
        <f>"535-E/10"</f>
        <v>535-E/10</v>
      </c>
      <c r="R4265" s="2" t="s">
        <v>391</v>
      </c>
      <c r="S4265" s="2"/>
      <c r="T4265" s="2">
        <v>1</v>
      </c>
      <c r="U4265" s="2" t="s">
        <v>79</v>
      </c>
      <c r="V4265" s="2">
        <v>1</v>
      </c>
      <c r="W4265" s="2" t="s">
        <v>80</v>
      </c>
      <c r="X4265" s="2">
        <v>1</v>
      </c>
      <c r="Y4265" s="2" t="s">
        <v>81</v>
      </c>
      <c r="Z4265" s="2">
        <v>1</v>
      </c>
      <c r="AA4265" s="2" t="s">
        <v>82</v>
      </c>
      <c r="AB4265" s="2">
        <v>9</v>
      </c>
      <c r="AC4265" s="2" t="s">
        <v>124</v>
      </c>
      <c r="AD4265" s="3">
        <v>40465</v>
      </c>
      <c r="AE4265" s="4">
        <v>0.19444444444444445</v>
      </c>
      <c r="AF4265" s="2"/>
      <c r="AG4265" s="2"/>
      <c r="AH4265" s="2">
        <v>2</v>
      </c>
      <c r="AI4265" s="2" t="s">
        <v>84</v>
      </c>
      <c r="AJ4265" s="2">
        <v>9</v>
      </c>
      <c r="AK4265" s="2" t="s">
        <v>103</v>
      </c>
      <c r="AL4265" s="2">
        <v>14</v>
      </c>
      <c r="AM4265" s="2" t="s">
        <v>216</v>
      </c>
      <c r="AN4265" s="2"/>
      <c r="AO4265" s="2" t="s">
        <v>179</v>
      </c>
      <c r="AP4265" s="2">
        <v>11</v>
      </c>
      <c r="AQ4265" s="2" t="s">
        <v>82</v>
      </c>
      <c r="AR4265" s="2"/>
      <c r="AS4265" s="2"/>
      <c r="AT4265" s="2" t="s">
        <v>13314</v>
      </c>
      <c r="AU4265" s="2"/>
      <c r="AV4265" s="2">
        <v>1</v>
      </c>
      <c r="AW4265" s="2"/>
      <c r="AX4265" s="2"/>
      <c r="AY4265" s="2">
        <v>41</v>
      </c>
      <c r="AZ4265" s="2" t="s">
        <v>82</v>
      </c>
      <c r="BA4265" s="2">
        <v>41</v>
      </c>
      <c r="BB4265" s="2" t="s">
        <v>82</v>
      </c>
      <c r="BC4265" s="2">
        <v>41</v>
      </c>
      <c r="BD4265" s="2" t="s">
        <v>82</v>
      </c>
      <c r="BE4265" s="2">
        <v>39</v>
      </c>
      <c r="BF4265" s="2" t="s">
        <v>440</v>
      </c>
      <c r="BG4265" s="2" t="s">
        <v>12690</v>
      </c>
      <c r="BH4265" s="2"/>
      <c r="BI4265" s="4">
        <v>0.27083333333333331</v>
      </c>
      <c r="BJ4265" s="2">
        <v>13</v>
      </c>
      <c r="BK4265" s="2" t="s">
        <v>91</v>
      </c>
      <c r="BL4265" s="2" t="s">
        <v>360</v>
      </c>
      <c r="BM4265" s="2">
        <v>33</v>
      </c>
      <c r="BN4265" s="2" t="s">
        <v>361</v>
      </c>
      <c r="BO4265" s="2"/>
      <c r="BP4265" s="2">
        <v>33</v>
      </c>
      <c r="BQ4265" s="2" t="s">
        <v>361</v>
      </c>
      <c r="BR4265" s="2" t="s">
        <v>2723</v>
      </c>
      <c r="BS4265" s="3">
        <v>40466</v>
      </c>
      <c r="BT4265" s="4">
        <v>0.42711805555555554</v>
      </c>
    </row>
    <row r="4266" spans="1:72" x14ac:dyDescent="0.25">
      <c r="A4266" s="2">
        <v>6433</v>
      </c>
      <c r="B4266" s="2">
        <v>2010</v>
      </c>
      <c r="C4266" s="2" t="s">
        <v>385</v>
      </c>
      <c r="D4266" s="2" t="s">
        <v>122</v>
      </c>
      <c r="E4266" s="2" t="s">
        <v>13315</v>
      </c>
      <c r="F4266" s="2">
        <v>410</v>
      </c>
      <c r="G4266" s="2" t="s">
        <v>13123</v>
      </c>
      <c r="H4266" s="2">
        <v>108</v>
      </c>
      <c r="I4266" s="2" t="s">
        <v>1096</v>
      </c>
      <c r="J4266" s="2">
        <v>679</v>
      </c>
      <c r="K4266" s="2" t="s">
        <v>13124</v>
      </c>
      <c r="L4266" s="2" t="s">
        <v>1692</v>
      </c>
      <c r="M4266" s="3">
        <v>40466</v>
      </c>
      <c r="N4266" s="2" t="s">
        <v>107</v>
      </c>
      <c r="O4266" s="2" t="s">
        <v>13316</v>
      </c>
      <c r="P4266" s="7">
        <v>91306</v>
      </c>
      <c r="Q4266" s="2" t="str">
        <f>"N/C"</f>
        <v>N/C</v>
      </c>
      <c r="R4266" s="2" t="s">
        <v>82</v>
      </c>
      <c r="S4266" s="2" t="s">
        <v>82</v>
      </c>
      <c r="T4266" s="2">
        <v>1</v>
      </c>
      <c r="U4266" s="2" t="s">
        <v>79</v>
      </c>
      <c r="V4266" s="2">
        <v>1</v>
      </c>
      <c r="W4266" s="2" t="s">
        <v>80</v>
      </c>
      <c r="X4266" s="2">
        <v>10</v>
      </c>
      <c r="Y4266" s="2" t="s">
        <v>226</v>
      </c>
      <c r="Z4266" s="2">
        <v>6</v>
      </c>
      <c r="AA4266" s="2" t="s">
        <v>101</v>
      </c>
      <c r="AB4266" s="2">
        <v>9</v>
      </c>
      <c r="AC4266" s="2" t="s">
        <v>124</v>
      </c>
      <c r="AD4266" s="3">
        <v>40462</v>
      </c>
      <c r="AE4266" s="4">
        <v>0.93055555555555547</v>
      </c>
      <c r="AF4266" s="2"/>
      <c r="AG4266" s="2"/>
      <c r="AH4266" s="2">
        <v>2</v>
      </c>
      <c r="AI4266" s="2" t="s">
        <v>84</v>
      </c>
      <c r="AJ4266" s="2">
        <v>9</v>
      </c>
      <c r="AK4266" s="2" t="s">
        <v>103</v>
      </c>
      <c r="AL4266" s="2">
        <v>13</v>
      </c>
      <c r="AM4266" s="2" t="s">
        <v>117</v>
      </c>
      <c r="AN4266" s="2" t="s">
        <v>105</v>
      </c>
      <c r="AO4266" s="2"/>
      <c r="AP4266" s="2">
        <v>11</v>
      </c>
      <c r="AQ4266" s="2" t="s">
        <v>82</v>
      </c>
      <c r="AR4266" s="2"/>
      <c r="AS4266" s="2"/>
      <c r="AT4266" s="2" t="s">
        <v>13317</v>
      </c>
      <c r="AU4266" s="2">
        <v>1</v>
      </c>
      <c r="AV4266" s="2"/>
      <c r="AW4266" s="2"/>
      <c r="AX4266" s="2"/>
      <c r="AY4266" s="2">
        <v>41</v>
      </c>
      <c r="AZ4266" s="2" t="s">
        <v>82</v>
      </c>
      <c r="BA4266" s="2">
        <v>41</v>
      </c>
      <c r="BB4266" s="2" t="s">
        <v>82</v>
      </c>
      <c r="BC4266" s="2">
        <v>41</v>
      </c>
      <c r="BD4266" s="2" t="s">
        <v>82</v>
      </c>
      <c r="BE4266" s="2">
        <v>13</v>
      </c>
      <c r="BF4266" s="2" t="s">
        <v>108</v>
      </c>
      <c r="BG4266" s="2" t="s">
        <v>6477</v>
      </c>
      <c r="BH4266" s="2"/>
      <c r="BI4266" s="4">
        <v>0.9375</v>
      </c>
      <c r="BJ4266" s="2">
        <v>13</v>
      </c>
      <c r="BK4266" s="2" t="s">
        <v>91</v>
      </c>
      <c r="BL4266" s="2" t="s">
        <v>185</v>
      </c>
      <c r="BM4266" s="2">
        <v>75</v>
      </c>
      <c r="BN4266" s="2" t="s">
        <v>1264</v>
      </c>
      <c r="BO4266" s="2"/>
      <c r="BP4266" s="2">
        <v>75</v>
      </c>
      <c r="BQ4266" s="2" t="s">
        <v>1264</v>
      </c>
      <c r="BR4266" s="2" t="s">
        <v>1361</v>
      </c>
      <c r="BS4266" s="3">
        <v>40466</v>
      </c>
      <c r="BT4266" s="4">
        <v>0.43245370370370373</v>
      </c>
    </row>
    <row r="4267" spans="1:72" x14ac:dyDescent="0.25">
      <c r="A4267" s="2">
        <v>6434</v>
      </c>
      <c r="B4267" s="2">
        <v>2010</v>
      </c>
      <c r="C4267" s="2" t="s">
        <v>72</v>
      </c>
      <c r="D4267" s="2" t="s">
        <v>73</v>
      </c>
      <c r="E4267" s="2"/>
      <c r="F4267" s="2">
        <v>389</v>
      </c>
      <c r="G4267" s="2" t="s">
        <v>1819</v>
      </c>
      <c r="H4267" s="2">
        <v>2</v>
      </c>
      <c r="I4267" s="2" t="s">
        <v>267</v>
      </c>
      <c r="J4267" s="2">
        <v>399</v>
      </c>
      <c r="K4267" s="2" t="s">
        <v>1820</v>
      </c>
      <c r="L4267" s="2" t="s">
        <v>1821</v>
      </c>
      <c r="M4267" s="3">
        <v>40466</v>
      </c>
      <c r="N4267" s="2" t="s">
        <v>5653</v>
      </c>
      <c r="O4267" s="2"/>
      <c r="P4267" s="2"/>
      <c r="Q4267" s="2" t="str">
        <f>"536-E/10"</f>
        <v>536-E/10</v>
      </c>
      <c r="R4267" s="2" t="s">
        <v>13318</v>
      </c>
      <c r="S4267" s="2" t="s">
        <v>13319</v>
      </c>
      <c r="T4267" s="2">
        <v>1</v>
      </c>
      <c r="U4267" s="2" t="s">
        <v>79</v>
      </c>
      <c r="V4267" s="2">
        <v>1</v>
      </c>
      <c r="W4267" s="2" t="s">
        <v>80</v>
      </c>
      <c r="X4267" s="2">
        <v>12</v>
      </c>
      <c r="Y4267" s="2" t="s">
        <v>148</v>
      </c>
      <c r="Z4267" s="2">
        <v>1</v>
      </c>
      <c r="AA4267" s="2" t="s">
        <v>82</v>
      </c>
      <c r="AB4267" s="2">
        <v>6</v>
      </c>
      <c r="AC4267" s="2" t="s">
        <v>83</v>
      </c>
      <c r="AD4267" s="3">
        <v>40465</v>
      </c>
      <c r="AE4267" s="2"/>
      <c r="AF4267" s="3">
        <v>40465</v>
      </c>
      <c r="AG4267" s="4">
        <v>0.61319444444444449</v>
      </c>
      <c r="AH4267" s="2">
        <v>2</v>
      </c>
      <c r="AI4267" s="2" t="s">
        <v>84</v>
      </c>
      <c r="AJ4267" s="2">
        <v>9</v>
      </c>
      <c r="AK4267" s="2" t="s">
        <v>103</v>
      </c>
      <c r="AL4267" s="2">
        <v>2</v>
      </c>
      <c r="AM4267" s="2" t="s">
        <v>163</v>
      </c>
      <c r="AN4267" s="2" t="s">
        <v>13320</v>
      </c>
      <c r="AO4267" s="2" t="s">
        <v>13321</v>
      </c>
      <c r="AP4267" s="2">
        <v>11</v>
      </c>
      <c r="AQ4267" s="2" t="s">
        <v>82</v>
      </c>
      <c r="AR4267" s="2"/>
      <c r="AS4267" s="2"/>
      <c r="AT4267" s="2" t="s">
        <v>13322</v>
      </c>
      <c r="AU4267" s="2"/>
      <c r="AV4267" s="2"/>
      <c r="AW4267" s="2"/>
      <c r="AX4267" s="2"/>
      <c r="AY4267" s="2">
        <v>41</v>
      </c>
      <c r="AZ4267" s="2" t="s">
        <v>82</v>
      </c>
      <c r="BA4267" s="2">
        <v>41</v>
      </c>
      <c r="BB4267" s="2" t="s">
        <v>82</v>
      </c>
      <c r="BC4267" s="2">
        <v>41</v>
      </c>
      <c r="BD4267" s="2" t="s">
        <v>82</v>
      </c>
      <c r="BE4267" s="2">
        <v>38</v>
      </c>
      <c r="BF4267" s="2" t="s">
        <v>221</v>
      </c>
      <c r="BG4267" s="2" t="s">
        <v>12770</v>
      </c>
      <c r="BH4267" s="4">
        <v>0.32291666666666669</v>
      </c>
      <c r="BI4267" s="2"/>
      <c r="BJ4267" s="2">
        <v>173</v>
      </c>
      <c r="BK4267" s="2" t="s">
        <v>223</v>
      </c>
      <c r="BL4267" s="2" t="s">
        <v>224</v>
      </c>
      <c r="BM4267" s="2">
        <v>13</v>
      </c>
      <c r="BN4267" s="2" t="s">
        <v>91</v>
      </c>
      <c r="BO4267" s="2"/>
      <c r="BP4267" s="2">
        <v>13</v>
      </c>
      <c r="BQ4267" s="2" t="s">
        <v>91</v>
      </c>
      <c r="BR4267" s="2" t="s">
        <v>360</v>
      </c>
      <c r="BS4267" s="3">
        <v>40466</v>
      </c>
      <c r="BT4267" s="4">
        <v>0.45263888888888887</v>
      </c>
    </row>
    <row r="4268" spans="1:72" x14ac:dyDescent="0.25">
      <c r="A4268" s="2">
        <v>6435</v>
      </c>
      <c r="B4268" s="2">
        <v>2010</v>
      </c>
      <c r="C4268" s="2" t="s">
        <v>385</v>
      </c>
      <c r="D4268" s="2" t="s">
        <v>122</v>
      </c>
      <c r="E4268" s="2"/>
      <c r="F4268" s="2">
        <v>114</v>
      </c>
      <c r="G4268" s="2" t="s">
        <v>2817</v>
      </c>
      <c r="H4268" s="2">
        <v>99</v>
      </c>
      <c r="I4268" s="2" t="s">
        <v>6285</v>
      </c>
      <c r="J4268" s="2">
        <v>133</v>
      </c>
      <c r="K4268" s="2" t="s">
        <v>3844</v>
      </c>
      <c r="L4268" s="2" t="s">
        <v>3845</v>
      </c>
      <c r="M4268" s="3">
        <v>40466</v>
      </c>
      <c r="N4268" s="2" t="s">
        <v>11323</v>
      </c>
      <c r="O4268" s="2" t="s">
        <v>13323</v>
      </c>
      <c r="P4268" s="2">
        <v>8961</v>
      </c>
      <c r="Q4268" s="2" t="str">
        <f>""</f>
        <v/>
      </c>
      <c r="R4268" s="2"/>
      <c r="S4268" s="2"/>
      <c r="T4268" s="2">
        <v>1</v>
      </c>
      <c r="U4268" s="2" t="s">
        <v>79</v>
      </c>
      <c r="V4268" s="2">
        <v>1</v>
      </c>
      <c r="W4268" s="2" t="s">
        <v>80</v>
      </c>
      <c r="X4268" s="2">
        <v>4</v>
      </c>
      <c r="Y4268" s="2" t="s">
        <v>463</v>
      </c>
      <c r="Z4268" s="2">
        <v>7</v>
      </c>
      <c r="AA4268" s="2" t="s">
        <v>1462</v>
      </c>
      <c r="AB4268" s="2">
        <v>9</v>
      </c>
      <c r="AC4268" s="2" t="s">
        <v>124</v>
      </c>
      <c r="AD4268" s="3">
        <v>40466</v>
      </c>
      <c r="AE4268" s="4">
        <v>0.35416666666666669</v>
      </c>
      <c r="AF4268" s="2"/>
      <c r="AG4268" s="2"/>
      <c r="AH4268" s="2">
        <v>2</v>
      </c>
      <c r="AI4268" s="2" t="s">
        <v>84</v>
      </c>
      <c r="AJ4268" s="2">
        <v>12</v>
      </c>
      <c r="AK4268" s="2" t="s">
        <v>85</v>
      </c>
      <c r="AL4268" s="2">
        <v>2</v>
      </c>
      <c r="AM4268" s="2" t="s">
        <v>163</v>
      </c>
      <c r="AN4268" s="2"/>
      <c r="AO4268" s="2" t="s">
        <v>13324</v>
      </c>
      <c r="AP4268" s="2">
        <v>11</v>
      </c>
      <c r="AQ4268" s="2" t="s">
        <v>82</v>
      </c>
      <c r="AR4268" s="2" t="s">
        <v>82</v>
      </c>
      <c r="AS4268" s="2" t="s">
        <v>82</v>
      </c>
      <c r="AT4268" s="2" t="s">
        <v>13325</v>
      </c>
      <c r="AU4268" s="2">
        <v>1</v>
      </c>
      <c r="AV4268" s="2"/>
      <c r="AW4268" s="2"/>
      <c r="AX4268" s="2"/>
      <c r="AY4268" s="2">
        <v>41</v>
      </c>
      <c r="AZ4268" s="2" t="s">
        <v>82</v>
      </c>
      <c r="BA4268" s="2">
        <v>41</v>
      </c>
      <c r="BB4268" s="2" t="s">
        <v>82</v>
      </c>
      <c r="BC4268" s="2">
        <v>41</v>
      </c>
      <c r="BD4268" s="2" t="s">
        <v>82</v>
      </c>
      <c r="BE4268" s="2">
        <v>13</v>
      </c>
      <c r="BF4268" s="2" t="s">
        <v>108</v>
      </c>
      <c r="BG4268" s="2" t="s">
        <v>13326</v>
      </c>
      <c r="BH4268" s="4">
        <v>0.58333333333333337</v>
      </c>
      <c r="BI4268" s="4">
        <v>0.4861111111111111</v>
      </c>
      <c r="BJ4268" s="2">
        <v>13</v>
      </c>
      <c r="BK4268" s="2" t="s">
        <v>91</v>
      </c>
      <c r="BL4268" s="2" t="s">
        <v>185</v>
      </c>
      <c r="BM4268" s="2">
        <v>13</v>
      </c>
      <c r="BN4268" s="2" t="s">
        <v>91</v>
      </c>
      <c r="BO4268" s="2"/>
      <c r="BP4268" s="2">
        <v>13</v>
      </c>
      <c r="BQ4268" s="2" t="s">
        <v>91</v>
      </c>
      <c r="BR4268" s="2" t="s">
        <v>353</v>
      </c>
      <c r="BS4268" s="3">
        <v>40466</v>
      </c>
      <c r="BT4268" s="4">
        <v>0.49384259259259261</v>
      </c>
    </row>
    <row r="4269" spans="1:72" x14ac:dyDescent="0.25">
      <c r="A4269" s="2">
        <v>6441</v>
      </c>
      <c r="B4269" s="2">
        <v>2010</v>
      </c>
      <c r="C4269" s="2" t="s">
        <v>457</v>
      </c>
      <c r="D4269" s="2" t="s">
        <v>73</v>
      </c>
      <c r="E4269" s="2"/>
      <c r="F4269" s="2">
        <v>467</v>
      </c>
      <c r="G4269" s="2" t="s">
        <v>1053</v>
      </c>
      <c r="H4269" s="2">
        <v>22</v>
      </c>
      <c r="I4269" s="2" t="s">
        <v>75</v>
      </c>
      <c r="J4269" s="2">
        <v>369</v>
      </c>
      <c r="K4269" s="2" t="s">
        <v>1054</v>
      </c>
      <c r="L4269" s="2" t="s">
        <v>1055</v>
      </c>
      <c r="M4269" s="3">
        <v>40466</v>
      </c>
      <c r="N4269" s="2" t="s">
        <v>13220</v>
      </c>
      <c r="O4269" s="2" t="s">
        <v>13327</v>
      </c>
      <c r="P4269" s="2" t="s">
        <v>13328</v>
      </c>
      <c r="Q4269" s="2" t="str">
        <f>""</f>
        <v/>
      </c>
      <c r="R4269" s="2"/>
      <c r="S4269" s="2"/>
      <c r="T4269" s="2">
        <v>1</v>
      </c>
      <c r="U4269" s="2" t="s">
        <v>79</v>
      </c>
      <c r="V4269" s="2">
        <v>1</v>
      </c>
      <c r="W4269" s="2" t="s">
        <v>80</v>
      </c>
      <c r="X4269" s="2">
        <v>4</v>
      </c>
      <c r="Y4269" s="2" t="s">
        <v>463</v>
      </c>
      <c r="Z4269" s="2">
        <v>6</v>
      </c>
      <c r="AA4269" s="2" t="s">
        <v>101</v>
      </c>
      <c r="AB4269" s="2">
        <v>9</v>
      </c>
      <c r="AC4269" s="2" t="s">
        <v>124</v>
      </c>
      <c r="AD4269" s="3">
        <v>40466</v>
      </c>
      <c r="AE4269" s="4">
        <v>0.45833333333333331</v>
      </c>
      <c r="AF4269" s="3">
        <v>40466</v>
      </c>
      <c r="AG4269" s="4">
        <v>0.45833333333333331</v>
      </c>
      <c r="AH4269" s="2">
        <v>4</v>
      </c>
      <c r="AI4269" s="2" t="s">
        <v>125</v>
      </c>
      <c r="AJ4269" s="2">
        <v>29</v>
      </c>
      <c r="AK4269" s="2" t="s">
        <v>227</v>
      </c>
      <c r="AL4269" s="2">
        <v>11</v>
      </c>
      <c r="AM4269" s="2" t="s">
        <v>137</v>
      </c>
      <c r="AN4269" s="2" t="s">
        <v>13329</v>
      </c>
      <c r="AO4269" s="2" t="s">
        <v>2529</v>
      </c>
      <c r="AP4269" s="2">
        <v>11</v>
      </c>
      <c r="AQ4269" s="2" t="s">
        <v>82</v>
      </c>
      <c r="AR4269" s="2" t="s">
        <v>82</v>
      </c>
      <c r="AS4269" s="2" t="s">
        <v>82</v>
      </c>
      <c r="AT4269" s="2" t="s">
        <v>13330</v>
      </c>
      <c r="AU4269" s="2"/>
      <c r="AV4269" s="2"/>
      <c r="AW4269" s="2"/>
      <c r="AX4269" s="2"/>
      <c r="AY4269" s="2">
        <v>41</v>
      </c>
      <c r="AZ4269" s="2" t="s">
        <v>82</v>
      </c>
      <c r="BA4269" s="2">
        <v>41</v>
      </c>
      <c r="BB4269" s="2" t="s">
        <v>82</v>
      </c>
      <c r="BC4269" s="2">
        <v>115</v>
      </c>
      <c r="BD4269" s="2" t="s">
        <v>101</v>
      </c>
      <c r="BE4269" s="2">
        <v>19</v>
      </c>
      <c r="BF4269" s="2" t="s">
        <v>1061</v>
      </c>
      <c r="BG4269" s="2" t="s">
        <v>11709</v>
      </c>
      <c r="BH4269" s="4">
        <v>0.54166666666666663</v>
      </c>
      <c r="BI4269" s="4">
        <v>0.56944444444444442</v>
      </c>
      <c r="BJ4269" s="2">
        <v>13</v>
      </c>
      <c r="BK4269" s="2" t="s">
        <v>91</v>
      </c>
      <c r="BL4269" s="2" t="s">
        <v>828</v>
      </c>
      <c r="BM4269" s="2">
        <v>29</v>
      </c>
      <c r="BN4269" s="2" t="s">
        <v>962</v>
      </c>
      <c r="BO4269" s="2"/>
      <c r="BP4269" s="2">
        <v>29</v>
      </c>
      <c r="BQ4269" s="2" t="s">
        <v>962</v>
      </c>
      <c r="BR4269" s="2" t="s">
        <v>11150</v>
      </c>
      <c r="BS4269" s="3">
        <v>40466</v>
      </c>
      <c r="BT4269" s="4">
        <v>0.57532407407407404</v>
      </c>
    </row>
    <row r="4270" spans="1:72" x14ac:dyDescent="0.25">
      <c r="A4270" s="2">
        <v>6443</v>
      </c>
      <c r="B4270" s="2">
        <v>2010</v>
      </c>
      <c r="C4270" s="2" t="s">
        <v>171</v>
      </c>
      <c r="D4270" s="2" t="s">
        <v>122</v>
      </c>
      <c r="E4270" s="2"/>
      <c r="F4270" s="2">
        <v>396</v>
      </c>
      <c r="G4270" s="2" t="s">
        <v>2159</v>
      </c>
      <c r="H4270" s="2">
        <v>8</v>
      </c>
      <c r="I4270" s="2" t="s">
        <v>3451</v>
      </c>
      <c r="J4270" s="2">
        <v>243</v>
      </c>
      <c r="K4270" s="2" t="s">
        <v>2160</v>
      </c>
      <c r="L4270" s="2" t="s">
        <v>2145</v>
      </c>
      <c r="M4270" s="3">
        <v>40466</v>
      </c>
      <c r="N4270" s="2" t="s">
        <v>3452</v>
      </c>
      <c r="O4270" s="2"/>
      <c r="P4270" s="2"/>
      <c r="Q4270" s="2" t="str">
        <f>""</f>
        <v/>
      </c>
      <c r="R4270" s="2"/>
      <c r="S4270" s="2"/>
      <c r="T4270" s="2">
        <v>1</v>
      </c>
      <c r="U4270" s="2" t="s">
        <v>79</v>
      </c>
      <c r="V4270" s="2">
        <v>1</v>
      </c>
      <c r="W4270" s="2" t="s">
        <v>80</v>
      </c>
      <c r="X4270" s="2">
        <v>1</v>
      </c>
      <c r="Y4270" s="2" t="s">
        <v>81</v>
      </c>
      <c r="Z4270" s="2">
        <v>10</v>
      </c>
      <c r="AA4270" s="2" t="s">
        <v>236</v>
      </c>
      <c r="AB4270" s="2">
        <v>1</v>
      </c>
      <c r="AC4270" s="2" t="s">
        <v>178</v>
      </c>
      <c r="AD4270" s="3">
        <v>40464</v>
      </c>
      <c r="AE4270" s="4">
        <v>0.78125</v>
      </c>
      <c r="AF4270" s="2"/>
      <c r="AG4270" s="2"/>
      <c r="AH4270" s="2">
        <v>2</v>
      </c>
      <c r="AI4270" s="2" t="s">
        <v>84</v>
      </c>
      <c r="AJ4270" s="2">
        <v>9</v>
      </c>
      <c r="AK4270" s="2" t="s">
        <v>103</v>
      </c>
      <c r="AL4270" s="2">
        <v>14</v>
      </c>
      <c r="AM4270" s="2" t="s">
        <v>216</v>
      </c>
      <c r="AN4270" s="2"/>
      <c r="AO4270" s="2" t="s">
        <v>179</v>
      </c>
      <c r="AP4270" s="2">
        <v>11</v>
      </c>
      <c r="AQ4270" s="2" t="s">
        <v>82</v>
      </c>
      <c r="AR4270" s="2"/>
      <c r="AS4270" s="2"/>
      <c r="AT4270" s="2" t="s">
        <v>13331</v>
      </c>
      <c r="AU4270" s="2"/>
      <c r="AV4270" s="2"/>
      <c r="AW4270" s="2"/>
      <c r="AX4270" s="2"/>
      <c r="AY4270" s="2">
        <v>41</v>
      </c>
      <c r="AZ4270" s="2" t="s">
        <v>82</v>
      </c>
      <c r="BA4270" s="2">
        <v>41</v>
      </c>
      <c r="BB4270" s="2" t="s">
        <v>82</v>
      </c>
      <c r="BC4270" s="2">
        <v>41</v>
      </c>
      <c r="BD4270" s="2" t="s">
        <v>82</v>
      </c>
      <c r="BE4270" s="2">
        <v>6</v>
      </c>
      <c r="BF4270" s="2" t="s">
        <v>616</v>
      </c>
      <c r="BG4270" s="2" t="s">
        <v>6898</v>
      </c>
      <c r="BH4270" s="2"/>
      <c r="BI4270" s="2"/>
      <c r="BJ4270" s="2">
        <v>13</v>
      </c>
      <c r="BK4270" s="2" t="s">
        <v>91</v>
      </c>
      <c r="BL4270" s="2" t="s">
        <v>360</v>
      </c>
      <c r="BM4270" s="2">
        <v>4</v>
      </c>
      <c r="BN4270" s="2" t="s">
        <v>618</v>
      </c>
      <c r="BO4270" s="2"/>
      <c r="BP4270" s="2">
        <v>4</v>
      </c>
      <c r="BQ4270" s="2" t="s">
        <v>618</v>
      </c>
      <c r="BR4270" s="2" t="s">
        <v>619</v>
      </c>
      <c r="BS4270" s="3">
        <v>40466</v>
      </c>
      <c r="BT4270" s="4">
        <v>0.59480324074074076</v>
      </c>
    </row>
    <row r="4271" spans="1:72" x14ac:dyDescent="0.25">
      <c r="A4271" s="2">
        <v>6445</v>
      </c>
      <c r="B4271" s="2">
        <v>2010</v>
      </c>
      <c r="C4271" s="2" t="s">
        <v>806</v>
      </c>
      <c r="D4271" s="2" t="s">
        <v>73</v>
      </c>
      <c r="E4271" s="2"/>
      <c r="F4271" s="2">
        <v>651</v>
      </c>
      <c r="G4271" s="2" t="s">
        <v>2454</v>
      </c>
      <c r="H4271" s="2">
        <v>89</v>
      </c>
      <c r="I4271" s="2" t="s">
        <v>5137</v>
      </c>
      <c r="J4271" s="2">
        <v>19</v>
      </c>
      <c r="K4271" s="2" t="s">
        <v>2144</v>
      </c>
      <c r="L4271" s="2" t="s">
        <v>2145</v>
      </c>
      <c r="M4271" s="3">
        <v>40466</v>
      </c>
      <c r="N4271" s="2" t="s">
        <v>13332</v>
      </c>
      <c r="O4271" s="2" t="s">
        <v>13333</v>
      </c>
      <c r="P4271" s="7">
        <v>12627</v>
      </c>
      <c r="Q4271" s="2" t="str">
        <f>"15/2010"</f>
        <v>15/2010</v>
      </c>
      <c r="R4271" s="2" t="s">
        <v>82</v>
      </c>
      <c r="S4271" s="2" t="s">
        <v>82</v>
      </c>
      <c r="T4271" s="2">
        <v>1</v>
      </c>
      <c r="U4271" s="2" t="s">
        <v>79</v>
      </c>
      <c r="V4271" s="2">
        <v>3</v>
      </c>
      <c r="W4271" s="2" t="s">
        <v>225</v>
      </c>
      <c r="X4271" s="2">
        <v>9</v>
      </c>
      <c r="Y4271" s="2" t="s">
        <v>3393</v>
      </c>
      <c r="Z4271" s="2">
        <v>1</v>
      </c>
      <c r="AA4271" s="2" t="s">
        <v>82</v>
      </c>
      <c r="AB4271" s="2">
        <v>9</v>
      </c>
      <c r="AC4271" s="2" t="s">
        <v>124</v>
      </c>
      <c r="AD4271" s="3">
        <v>40466</v>
      </c>
      <c r="AE4271" s="4">
        <v>0.54166666666666663</v>
      </c>
      <c r="AF4271" s="2"/>
      <c r="AG4271" s="2"/>
      <c r="AH4271" s="2">
        <v>3</v>
      </c>
      <c r="AI4271" s="2" t="s">
        <v>214</v>
      </c>
      <c r="AJ4271" s="2">
        <v>14</v>
      </c>
      <c r="AK4271" s="2" t="s">
        <v>342</v>
      </c>
      <c r="AL4271" s="2">
        <v>19</v>
      </c>
      <c r="AM4271" s="2" t="s">
        <v>107</v>
      </c>
      <c r="AN4271" s="2" t="s">
        <v>13334</v>
      </c>
      <c r="AO4271" s="2"/>
      <c r="AP4271" s="2">
        <v>11</v>
      </c>
      <c r="AQ4271" s="2" t="s">
        <v>82</v>
      </c>
      <c r="AR4271" s="2"/>
      <c r="AS4271" s="2"/>
      <c r="AT4271" s="2" t="s">
        <v>13335</v>
      </c>
      <c r="AU4271" s="2"/>
      <c r="AV4271" s="2"/>
      <c r="AW4271" s="2"/>
      <c r="AX4271" s="2"/>
      <c r="AY4271" s="2">
        <v>41</v>
      </c>
      <c r="AZ4271" s="2" t="s">
        <v>82</v>
      </c>
      <c r="BA4271" s="2">
        <v>41</v>
      </c>
      <c r="BB4271" s="2" t="s">
        <v>82</v>
      </c>
      <c r="BC4271" s="2">
        <v>41</v>
      </c>
      <c r="BD4271" s="2" t="s">
        <v>82</v>
      </c>
      <c r="BE4271" s="2">
        <v>41</v>
      </c>
      <c r="BF4271" s="2" t="s">
        <v>82</v>
      </c>
      <c r="BG4271" s="2"/>
      <c r="BH4271" s="2"/>
      <c r="BI4271" s="2"/>
      <c r="BJ4271" s="2">
        <v>241</v>
      </c>
      <c r="BK4271" s="2" t="s">
        <v>82</v>
      </c>
      <c r="BL4271" s="2"/>
      <c r="BM4271" s="2">
        <v>241</v>
      </c>
      <c r="BN4271" s="2" t="s">
        <v>82</v>
      </c>
      <c r="BO4271" s="2"/>
      <c r="BP4271" s="2">
        <v>241</v>
      </c>
      <c r="BQ4271" s="2" t="s">
        <v>82</v>
      </c>
      <c r="BR4271" s="2"/>
      <c r="BS4271" s="3">
        <v>40466</v>
      </c>
      <c r="BT4271" s="4">
        <v>0.64935185185185185</v>
      </c>
    </row>
    <row r="4272" spans="1:72" x14ac:dyDescent="0.25">
      <c r="A4272" s="2">
        <v>6446</v>
      </c>
      <c r="B4272" s="2">
        <v>2010</v>
      </c>
      <c r="C4272" s="2" t="s">
        <v>93</v>
      </c>
      <c r="D4272" s="2" t="s">
        <v>73</v>
      </c>
      <c r="E4272" s="2"/>
      <c r="F4272" s="2">
        <v>697</v>
      </c>
      <c r="G4272" s="2" t="s">
        <v>13336</v>
      </c>
      <c r="H4272" s="2">
        <v>6</v>
      </c>
      <c r="I4272" s="2" t="s">
        <v>1088</v>
      </c>
      <c r="J4272" s="2">
        <v>685</v>
      </c>
      <c r="K4272" s="2" t="s">
        <v>12533</v>
      </c>
      <c r="L4272" s="2" t="s">
        <v>13337</v>
      </c>
      <c r="M4272" s="3">
        <v>40466</v>
      </c>
      <c r="N4272" s="2" t="s">
        <v>13338</v>
      </c>
      <c r="O4272" s="2" t="s">
        <v>13339</v>
      </c>
      <c r="P4272" s="2">
        <v>669</v>
      </c>
      <c r="Q4272" s="2" t="str">
        <f>"0135/2010"</f>
        <v>0135/2010</v>
      </c>
      <c r="R4272" s="2" t="s">
        <v>513</v>
      </c>
      <c r="S4272" s="2"/>
      <c r="T4272" s="2">
        <v>1</v>
      </c>
      <c r="U4272" s="2" t="s">
        <v>79</v>
      </c>
      <c r="V4272" s="2">
        <v>1</v>
      </c>
      <c r="W4272" s="2" t="s">
        <v>80</v>
      </c>
      <c r="X4272" s="2">
        <v>10</v>
      </c>
      <c r="Y4272" s="2" t="s">
        <v>226</v>
      </c>
      <c r="Z4272" s="2">
        <v>9</v>
      </c>
      <c r="AA4272" s="2" t="s">
        <v>1119</v>
      </c>
      <c r="AB4272" s="2">
        <v>2</v>
      </c>
      <c r="AC4272" s="2" t="s">
        <v>102</v>
      </c>
      <c r="AD4272" s="3">
        <v>40466</v>
      </c>
      <c r="AE4272" s="4">
        <v>0.58333333333333337</v>
      </c>
      <c r="AF4272" s="2"/>
      <c r="AG4272" s="2"/>
      <c r="AH4272" s="2">
        <v>5</v>
      </c>
      <c r="AI4272" s="2" t="s">
        <v>274</v>
      </c>
      <c r="AJ4272" s="2">
        <v>38</v>
      </c>
      <c r="AK4272" s="2" t="s">
        <v>1120</v>
      </c>
      <c r="AL4272" s="2">
        <v>11</v>
      </c>
      <c r="AM4272" s="2" t="s">
        <v>137</v>
      </c>
      <c r="AN4272" s="2"/>
      <c r="AO4272" s="2" t="s">
        <v>7944</v>
      </c>
      <c r="AP4272" s="2">
        <v>11</v>
      </c>
      <c r="AQ4272" s="2" t="s">
        <v>82</v>
      </c>
      <c r="AR4272" s="2"/>
      <c r="AS4272" s="2"/>
      <c r="AT4272" s="2" t="s">
        <v>13340</v>
      </c>
      <c r="AU4272" s="2"/>
      <c r="AV4272" s="2"/>
      <c r="AW4272" s="2"/>
      <c r="AX4272" s="2"/>
      <c r="AY4272" s="2">
        <v>41</v>
      </c>
      <c r="AZ4272" s="2" t="s">
        <v>82</v>
      </c>
      <c r="BA4272" s="2">
        <v>41</v>
      </c>
      <c r="BB4272" s="2" t="s">
        <v>82</v>
      </c>
      <c r="BC4272" s="2">
        <v>41</v>
      </c>
      <c r="BD4272" s="2" t="s">
        <v>82</v>
      </c>
      <c r="BE4272" s="2">
        <v>4</v>
      </c>
      <c r="BF4272" s="2" t="s">
        <v>90</v>
      </c>
      <c r="BG4272" s="2">
        <v>4025</v>
      </c>
      <c r="BH4272" s="4">
        <v>0.5625</v>
      </c>
      <c r="BI4272" s="4">
        <v>0.59027777777777779</v>
      </c>
      <c r="BJ4272" s="2">
        <v>13</v>
      </c>
      <c r="BK4272" s="2" t="s">
        <v>91</v>
      </c>
      <c r="BL4272" s="2" t="s">
        <v>3140</v>
      </c>
      <c r="BM4272" s="2">
        <v>13</v>
      </c>
      <c r="BN4272" s="2" t="s">
        <v>91</v>
      </c>
      <c r="BO4272" s="2"/>
      <c r="BP4272" s="2">
        <v>13</v>
      </c>
      <c r="BQ4272" s="2" t="s">
        <v>91</v>
      </c>
      <c r="BR4272" s="2" t="s">
        <v>170</v>
      </c>
      <c r="BS4272" s="3">
        <v>40466</v>
      </c>
      <c r="BT4272" s="4">
        <v>0.67697916666666658</v>
      </c>
    </row>
    <row r="4273" spans="1:72" x14ac:dyDescent="0.25">
      <c r="A4273" s="2">
        <v>6447</v>
      </c>
      <c r="B4273" s="2">
        <v>2010</v>
      </c>
      <c r="C4273" s="2" t="s">
        <v>385</v>
      </c>
      <c r="D4273" s="2" t="s">
        <v>122</v>
      </c>
      <c r="E4273" s="2"/>
      <c r="F4273" s="2">
        <v>114</v>
      </c>
      <c r="G4273" s="2" t="s">
        <v>2817</v>
      </c>
      <c r="H4273" s="2">
        <v>22</v>
      </c>
      <c r="I4273" s="2" t="s">
        <v>75</v>
      </c>
      <c r="J4273" s="2">
        <v>133</v>
      </c>
      <c r="K4273" s="2" t="s">
        <v>3844</v>
      </c>
      <c r="L4273" s="2" t="s">
        <v>3845</v>
      </c>
      <c r="M4273" s="3">
        <v>40466</v>
      </c>
      <c r="N4273" s="2" t="s">
        <v>13341</v>
      </c>
      <c r="O4273" s="2" t="s">
        <v>13342</v>
      </c>
      <c r="P4273" s="2">
        <v>8961</v>
      </c>
      <c r="Q4273" s="2" t="str">
        <f>"S/D"</f>
        <v>S/D</v>
      </c>
      <c r="R4273" s="2" t="s">
        <v>107</v>
      </c>
      <c r="S4273" s="2" t="s">
        <v>107</v>
      </c>
      <c r="T4273" s="2">
        <v>1</v>
      </c>
      <c r="U4273" s="2" t="s">
        <v>79</v>
      </c>
      <c r="V4273" s="2">
        <v>1</v>
      </c>
      <c r="W4273" s="2" t="s">
        <v>80</v>
      </c>
      <c r="X4273" s="2">
        <v>4</v>
      </c>
      <c r="Y4273" s="2" t="s">
        <v>463</v>
      </c>
      <c r="Z4273" s="2">
        <v>7</v>
      </c>
      <c r="AA4273" s="2" t="s">
        <v>1462</v>
      </c>
      <c r="AB4273" s="2">
        <v>9</v>
      </c>
      <c r="AC4273" s="2" t="s">
        <v>124</v>
      </c>
      <c r="AD4273" s="3">
        <v>40466</v>
      </c>
      <c r="AE4273" s="4">
        <v>0.59722222222222221</v>
      </c>
      <c r="AF4273" s="2"/>
      <c r="AG4273" s="2"/>
      <c r="AH4273" s="2">
        <v>6</v>
      </c>
      <c r="AI4273" s="2" t="s">
        <v>197</v>
      </c>
      <c r="AJ4273" s="2">
        <v>54</v>
      </c>
      <c r="AK4273" s="2" t="s">
        <v>348</v>
      </c>
      <c r="AL4273" s="2">
        <v>10</v>
      </c>
      <c r="AM4273" s="2" t="s">
        <v>200</v>
      </c>
      <c r="AN4273" s="2" t="s">
        <v>12374</v>
      </c>
      <c r="AO4273" s="2" t="s">
        <v>1319</v>
      </c>
      <c r="AP4273" s="2">
        <v>11</v>
      </c>
      <c r="AQ4273" s="2" t="s">
        <v>82</v>
      </c>
      <c r="AR4273" s="2" t="s">
        <v>82</v>
      </c>
      <c r="AS4273" s="2" t="s">
        <v>82</v>
      </c>
      <c r="AT4273" s="2" t="s">
        <v>13343</v>
      </c>
      <c r="AU4273" s="2"/>
      <c r="AV4273" s="2"/>
      <c r="AW4273" s="2"/>
      <c r="AX4273" s="2"/>
      <c r="AY4273" s="2">
        <v>41</v>
      </c>
      <c r="AZ4273" s="2" t="s">
        <v>82</v>
      </c>
      <c r="BA4273" s="2">
        <v>41</v>
      </c>
      <c r="BB4273" s="2" t="s">
        <v>82</v>
      </c>
      <c r="BC4273" s="2">
        <v>149</v>
      </c>
      <c r="BD4273" s="2" t="s">
        <v>12030</v>
      </c>
      <c r="BE4273" s="2">
        <v>47</v>
      </c>
      <c r="BF4273" s="2" t="s">
        <v>167</v>
      </c>
      <c r="BG4273" s="2">
        <v>2633</v>
      </c>
      <c r="BH4273" s="4">
        <v>0.59722222222222221</v>
      </c>
      <c r="BI4273" s="4">
        <v>0.64027777777777783</v>
      </c>
      <c r="BJ4273" s="2">
        <v>13</v>
      </c>
      <c r="BK4273" s="2" t="s">
        <v>91</v>
      </c>
      <c r="BL4273" s="2" t="s">
        <v>3520</v>
      </c>
      <c r="BM4273" s="2">
        <v>13</v>
      </c>
      <c r="BN4273" s="2" t="s">
        <v>91</v>
      </c>
      <c r="BO4273" s="2"/>
      <c r="BP4273" s="2">
        <v>13</v>
      </c>
      <c r="BQ4273" s="2" t="s">
        <v>91</v>
      </c>
      <c r="BR4273" s="2" t="s">
        <v>13344</v>
      </c>
      <c r="BS4273" s="3">
        <v>40466</v>
      </c>
      <c r="BT4273" s="4">
        <v>0.69726851851851857</v>
      </c>
    </row>
    <row r="4274" spans="1:72" x14ac:dyDescent="0.25">
      <c r="A4274" s="2">
        <v>6449</v>
      </c>
      <c r="B4274" s="2">
        <v>2010</v>
      </c>
      <c r="C4274" s="2" t="s">
        <v>121</v>
      </c>
      <c r="D4274" s="2" t="s">
        <v>122</v>
      </c>
      <c r="E4274" s="2"/>
      <c r="F4274" s="2">
        <v>1</v>
      </c>
      <c r="G4274" s="2" t="s">
        <v>82</v>
      </c>
      <c r="H4274" s="2">
        <v>1</v>
      </c>
      <c r="I4274" s="2" t="s">
        <v>82</v>
      </c>
      <c r="J4274" s="2">
        <v>1</v>
      </c>
      <c r="K4274" s="2" t="s">
        <v>107</v>
      </c>
      <c r="L4274" s="2" t="s">
        <v>107</v>
      </c>
      <c r="M4274" s="3">
        <v>40466</v>
      </c>
      <c r="N4274" s="2"/>
      <c r="O4274" s="2"/>
      <c r="P4274" s="2"/>
      <c r="Q4274" s="2" t="str">
        <f>""</f>
        <v/>
      </c>
      <c r="R4274" s="2"/>
      <c r="S4274" s="2"/>
      <c r="T4274" s="2">
        <v>2</v>
      </c>
      <c r="U4274" s="2" t="s">
        <v>123</v>
      </c>
      <c r="V4274" s="2">
        <v>1</v>
      </c>
      <c r="W4274" s="2" t="s">
        <v>80</v>
      </c>
      <c r="X4274" s="2">
        <v>11</v>
      </c>
      <c r="Y4274" s="2" t="s">
        <v>1920</v>
      </c>
      <c r="Z4274" s="2">
        <v>10</v>
      </c>
      <c r="AA4274" s="2" t="s">
        <v>236</v>
      </c>
      <c r="AB4274" s="2">
        <v>9</v>
      </c>
      <c r="AC4274" s="2" t="s">
        <v>124</v>
      </c>
      <c r="AD4274" s="3">
        <v>40466</v>
      </c>
      <c r="AE4274" s="4">
        <v>0.3263888888888889</v>
      </c>
      <c r="AF4274" s="2"/>
      <c r="AG4274" s="2"/>
      <c r="AH4274" s="2">
        <v>5</v>
      </c>
      <c r="AI4274" s="2" t="s">
        <v>274</v>
      </c>
      <c r="AJ4274" s="2">
        <v>43</v>
      </c>
      <c r="AK4274" s="2" t="s">
        <v>918</v>
      </c>
      <c r="AL4274" s="2">
        <v>10</v>
      </c>
      <c r="AM4274" s="2" t="s">
        <v>200</v>
      </c>
      <c r="AN4274" s="2"/>
      <c r="AO4274" s="2"/>
      <c r="AP4274" s="2">
        <v>11</v>
      </c>
      <c r="AQ4274" s="2" t="s">
        <v>82</v>
      </c>
      <c r="AR4274" s="2"/>
      <c r="AS4274" s="2"/>
      <c r="AT4274" s="2" t="s">
        <v>13345</v>
      </c>
      <c r="AU4274" s="2"/>
      <c r="AV4274" s="2"/>
      <c r="AW4274" s="2"/>
      <c r="AX4274" s="2"/>
      <c r="AY4274" s="2">
        <v>41</v>
      </c>
      <c r="AZ4274" s="2" t="s">
        <v>82</v>
      </c>
      <c r="BA4274" s="2">
        <v>41</v>
      </c>
      <c r="BB4274" s="2" t="s">
        <v>82</v>
      </c>
      <c r="BC4274" s="2">
        <v>41</v>
      </c>
      <c r="BD4274" s="2" t="s">
        <v>82</v>
      </c>
      <c r="BE4274" s="2">
        <v>41</v>
      </c>
      <c r="BF4274" s="2" t="s">
        <v>82</v>
      </c>
      <c r="BG4274" s="2">
        <v>1</v>
      </c>
      <c r="BH4274" s="4">
        <v>0.3263888888888889</v>
      </c>
      <c r="BI4274" s="4">
        <v>0.67361111111111116</v>
      </c>
      <c r="BJ4274" s="2">
        <v>172</v>
      </c>
      <c r="BK4274" s="2" t="s">
        <v>843</v>
      </c>
      <c r="BL4274" s="2" t="s">
        <v>844</v>
      </c>
      <c r="BM4274" s="2">
        <v>13</v>
      </c>
      <c r="BN4274" s="2" t="s">
        <v>91</v>
      </c>
      <c r="BO4274" s="2"/>
      <c r="BP4274" s="2">
        <v>13</v>
      </c>
      <c r="BQ4274" s="2" t="s">
        <v>91</v>
      </c>
      <c r="BR4274" s="2" t="s">
        <v>3387</v>
      </c>
      <c r="BS4274" s="3">
        <v>40466</v>
      </c>
      <c r="BT4274" s="4">
        <v>0.72267361111111106</v>
      </c>
    </row>
    <row r="4275" spans="1:72" x14ac:dyDescent="0.25">
      <c r="A4275" s="2">
        <v>6451</v>
      </c>
      <c r="B4275" s="2">
        <v>2010</v>
      </c>
      <c r="C4275" s="2" t="s">
        <v>72</v>
      </c>
      <c r="D4275" s="2" t="s">
        <v>73</v>
      </c>
      <c r="E4275" s="2"/>
      <c r="F4275" s="2">
        <v>551</v>
      </c>
      <c r="G4275" s="2" t="s">
        <v>13346</v>
      </c>
      <c r="H4275" s="2">
        <v>108</v>
      </c>
      <c r="I4275" s="2" t="s">
        <v>1096</v>
      </c>
      <c r="J4275" s="2">
        <v>684</v>
      </c>
      <c r="K4275" s="2" t="s">
        <v>13347</v>
      </c>
      <c r="L4275" s="2" t="s">
        <v>5539</v>
      </c>
      <c r="M4275" s="3">
        <v>40466</v>
      </c>
      <c r="N4275" s="2" t="s">
        <v>13348</v>
      </c>
      <c r="O4275" s="2" t="s">
        <v>13349</v>
      </c>
      <c r="P4275" s="2"/>
      <c r="Q4275" s="2" t="str">
        <f>"0043/2010"</f>
        <v>0043/2010</v>
      </c>
      <c r="R4275" s="2" t="s">
        <v>13349</v>
      </c>
      <c r="S4275" s="2"/>
      <c r="T4275" s="2">
        <v>1</v>
      </c>
      <c r="U4275" s="2" t="s">
        <v>79</v>
      </c>
      <c r="V4275" s="2">
        <v>1</v>
      </c>
      <c r="W4275" s="2" t="s">
        <v>80</v>
      </c>
      <c r="X4275" s="2">
        <v>12</v>
      </c>
      <c r="Y4275" s="2" t="s">
        <v>148</v>
      </c>
      <c r="Z4275" s="2">
        <v>1</v>
      </c>
      <c r="AA4275" s="2" t="s">
        <v>82</v>
      </c>
      <c r="AB4275" s="2">
        <v>6</v>
      </c>
      <c r="AC4275" s="2" t="s">
        <v>83</v>
      </c>
      <c r="AD4275" s="3">
        <v>40466</v>
      </c>
      <c r="AE4275" s="4">
        <v>0.45833333333333331</v>
      </c>
      <c r="AF4275" s="3">
        <v>40466</v>
      </c>
      <c r="AG4275" s="4">
        <v>0.50694444444444442</v>
      </c>
      <c r="AH4275" s="2">
        <v>5</v>
      </c>
      <c r="AI4275" s="2" t="s">
        <v>274</v>
      </c>
      <c r="AJ4275" s="2">
        <v>42</v>
      </c>
      <c r="AK4275" s="2" t="s">
        <v>660</v>
      </c>
      <c r="AL4275" s="2">
        <v>21</v>
      </c>
      <c r="AM4275" s="2" t="s">
        <v>1311</v>
      </c>
      <c r="AN4275" s="2" t="s">
        <v>13350</v>
      </c>
      <c r="AO4275" s="2" t="s">
        <v>82</v>
      </c>
      <c r="AP4275" s="2">
        <v>11</v>
      </c>
      <c r="AQ4275" s="2" t="s">
        <v>82</v>
      </c>
      <c r="AR4275" s="2"/>
      <c r="AS4275" s="2"/>
      <c r="AT4275" s="2" t="s">
        <v>13351</v>
      </c>
      <c r="AU4275" s="2"/>
      <c r="AV4275" s="2"/>
      <c r="AW4275" s="2"/>
      <c r="AX4275" s="2"/>
      <c r="AY4275" s="2">
        <v>41</v>
      </c>
      <c r="AZ4275" s="2" t="s">
        <v>82</v>
      </c>
      <c r="BA4275" s="2">
        <v>41</v>
      </c>
      <c r="BB4275" s="2" t="s">
        <v>82</v>
      </c>
      <c r="BC4275" s="2">
        <v>41</v>
      </c>
      <c r="BD4275" s="2" t="s">
        <v>82</v>
      </c>
      <c r="BE4275" s="2">
        <v>41</v>
      </c>
      <c r="BF4275" s="2" t="s">
        <v>82</v>
      </c>
      <c r="BG4275" s="2"/>
      <c r="BH4275" s="2"/>
      <c r="BI4275" s="2"/>
      <c r="BJ4275" s="2">
        <v>241</v>
      </c>
      <c r="BK4275" s="2" t="s">
        <v>82</v>
      </c>
      <c r="BL4275" s="2"/>
      <c r="BM4275" s="2">
        <v>241</v>
      </c>
      <c r="BN4275" s="2" t="s">
        <v>82</v>
      </c>
      <c r="BO4275" s="2"/>
      <c r="BP4275" s="2">
        <v>241</v>
      </c>
      <c r="BQ4275" s="2" t="s">
        <v>82</v>
      </c>
      <c r="BR4275" s="2"/>
      <c r="BS4275" s="3">
        <v>40466</v>
      </c>
      <c r="BT4275" s="4">
        <v>0.7648611111111111</v>
      </c>
    </row>
    <row r="4276" spans="1:72" x14ac:dyDescent="0.25">
      <c r="A4276" s="2">
        <v>6452</v>
      </c>
      <c r="B4276" s="2">
        <v>2010</v>
      </c>
      <c r="C4276" s="2" t="s">
        <v>171</v>
      </c>
      <c r="D4276" s="2" t="s">
        <v>73</v>
      </c>
      <c r="E4276" s="2"/>
      <c r="F4276" s="2">
        <v>396</v>
      </c>
      <c r="G4276" s="2" t="s">
        <v>2159</v>
      </c>
      <c r="H4276" s="2">
        <v>9</v>
      </c>
      <c r="I4276" s="2" t="s">
        <v>794</v>
      </c>
      <c r="J4276" s="2">
        <v>243</v>
      </c>
      <c r="K4276" s="2" t="s">
        <v>2160</v>
      </c>
      <c r="L4276" s="2" t="s">
        <v>2145</v>
      </c>
      <c r="M4276" s="3">
        <v>40466</v>
      </c>
      <c r="N4276" s="2" t="s">
        <v>12844</v>
      </c>
      <c r="O4276" s="2" t="s">
        <v>13352</v>
      </c>
      <c r="P4276" s="2">
        <v>13145</v>
      </c>
      <c r="Q4276" s="2" t="str">
        <f>"525-E/10"</f>
        <v>525-E/10</v>
      </c>
      <c r="R4276" s="2" t="s">
        <v>391</v>
      </c>
      <c r="S4276" s="2"/>
      <c r="T4276" s="2">
        <v>1</v>
      </c>
      <c r="U4276" s="2" t="s">
        <v>79</v>
      </c>
      <c r="V4276" s="2">
        <v>3</v>
      </c>
      <c r="W4276" s="2" t="s">
        <v>225</v>
      </c>
      <c r="X4276" s="2">
        <v>6</v>
      </c>
      <c r="Y4276" s="2" t="s">
        <v>249</v>
      </c>
      <c r="Z4276" s="2">
        <v>1</v>
      </c>
      <c r="AA4276" s="2" t="s">
        <v>82</v>
      </c>
      <c r="AB4276" s="2">
        <v>9</v>
      </c>
      <c r="AC4276" s="2" t="s">
        <v>124</v>
      </c>
      <c r="AD4276" s="3">
        <v>40466</v>
      </c>
      <c r="AE4276" s="4">
        <v>0.70833333333333337</v>
      </c>
      <c r="AF4276" s="2"/>
      <c r="AG4276" s="2"/>
      <c r="AH4276" s="2">
        <v>2</v>
      </c>
      <c r="AI4276" s="2" t="s">
        <v>84</v>
      </c>
      <c r="AJ4276" s="2">
        <v>6</v>
      </c>
      <c r="AK4276" s="2" t="s">
        <v>453</v>
      </c>
      <c r="AL4276" s="2">
        <v>23</v>
      </c>
      <c r="AM4276" s="2" t="s">
        <v>251</v>
      </c>
      <c r="AN4276" s="2"/>
      <c r="AO4276" s="2" t="s">
        <v>13353</v>
      </c>
      <c r="AP4276" s="2">
        <v>11</v>
      </c>
      <c r="AQ4276" s="2" t="s">
        <v>82</v>
      </c>
      <c r="AR4276" s="2"/>
      <c r="AS4276" s="2"/>
      <c r="AT4276" s="2" t="s">
        <v>13354</v>
      </c>
      <c r="AU4276" s="2"/>
      <c r="AV4276" s="2"/>
      <c r="AW4276" s="2"/>
      <c r="AX4276" s="2"/>
      <c r="AY4276" s="2">
        <v>41</v>
      </c>
      <c r="AZ4276" s="2" t="s">
        <v>82</v>
      </c>
      <c r="BA4276" s="2">
        <v>41</v>
      </c>
      <c r="BB4276" s="2" t="s">
        <v>82</v>
      </c>
      <c r="BC4276" s="2">
        <v>41</v>
      </c>
      <c r="BD4276" s="2" t="s">
        <v>82</v>
      </c>
      <c r="BE4276" s="2">
        <v>41</v>
      </c>
      <c r="BF4276" s="2" t="s">
        <v>82</v>
      </c>
      <c r="BG4276" s="2"/>
      <c r="BH4276" s="2"/>
      <c r="BI4276" s="2"/>
      <c r="BJ4276" s="2">
        <v>241</v>
      </c>
      <c r="BK4276" s="2" t="s">
        <v>82</v>
      </c>
      <c r="BL4276" s="2"/>
      <c r="BM4276" s="2">
        <v>241</v>
      </c>
      <c r="BN4276" s="2" t="s">
        <v>82</v>
      </c>
      <c r="BO4276" s="2"/>
      <c r="BP4276" s="2">
        <v>241</v>
      </c>
      <c r="BQ4276" s="2" t="s">
        <v>82</v>
      </c>
      <c r="BR4276" s="2"/>
      <c r="BS4276" s="3">
        <v>40466</v>
      </c>
      <c r="BT4276" s="4">
        <v>0.77709490740740739</v>
      </c>
    </row>
    <row r="4277" spans="1:72" x14ac:dyDescent="0.25">
      <c r="A4277" s="2">
        <v>6456</v>
      </c>
      <c r="B4277" s="2">
        <v>2010</v>
      </c>
      <c r="C4277" s="2" t="s">
        <v>171</v>
      </c>
      <c r="D4277" s="2" t="s">
        <v>73</v>
      </c>
      <c r="E4277" s="2" t="s">
        <v>13355</v>
      </c>
      <c r="F4277" s="2">
        <v>100</v>
      </c>
      <c r="G4277" s="2" t="s">
        <v>517</v>
      </c>
      <c r="H4277" s="2">
        <v>47</v>
      </c>
      <c r="I4277" s="2" t="s">
        <v>1409</v>
      </c>
      <c r="J4277" s="2">
        <v>119</v>
      </c>
      <c r="K4277" s="2" t="s">
        <v>325</v>
      </c>
      <c r="L4277" s="2" t="s">
        <v>326</v>
      </c>
      <c r="M4277" s="3">
        <v>40466</v>
      </c>
      <c r="N4277" s="2" t="s">
        <v>327</v>
      </c>
      <c r="O4277" s="2" t="s">
        <v>13356</v>
      </c>
      <c r="P4277" s="2" t="s">
        <v>8063</v>
      </c>
      <c r="Q4277" s="2" t="str">
        <f>""</f>
        <v/>
      </c>
      <c r="R4277" s="2"/>
      <c r="S4277" s="2"/>
      <c r="T4277" s="2">
        <v>1</v>
      </c>
      <c r="U4277" s="2" t="s">
        <v>79</v>
      </c>
      <c r="V4277" s="2">
        <v>3</v>
      </c>
      <c r="W4277" s="2" t="s">
        <v>225</v>
      </c>
      <c r="X4277" s="2">
        <v>7</v>
      </c>
      <c r="Y4277" s="2" t="s">
        <v>1964</v>
      </c>
      <c r="Z4277" s="2">
        <v>1</v>
      </c>
      <c r="AA4277" s="2" t="s">
        <v>82</v>
      </c>
      <c r="AB4277" s="2">
        <v>9</v>
      </c>
      <c r="AC4277" s="2" t="s">
        <v>124</v>
      </c>
      <c r="AD4277" s="3">
        <v>40466</v>
      </c>
      <c r="AE4277" s="4">
        <v>0.78819444444444453</v>
      </c>
      <c r="AF4277" s="2"/>
      <c r="AG4277" s="2"/>
      <c r="AH4277" s="2">
        <v>6</v>
      </c>
      <c r="AI4277" s="2" t="s">
        <v>197</v>
      </c>
      <c r="AJ4277" s="2">
        <v>47</v>
      </c>
      <c r="AK4277" s="2" t="s">
        <v>250</v>
      </c>
      <c r="AL4277" s="2">
        <v>23</v>
      </c>
      <c r="AM4277" s="2" t="s">
        <v>251</v>
      </c>
      <c r="AN4277" s="2"/>
      <c r="AO4277" s="2" t="s">
        <v>13357</v>
      </c>
      <c r="AP4277" s="2">
        <v>11</v>
      </c>
      <c r="AQ4277" s="2" t="s">
        <v>82</v>
      </c>
      <c r="AR4277" s="2"/>
      <c r="AS4277" s="2"/>
      <c r="AT4277" s="2" t="s">
        <v>13358</v>
      </c>
      <c r="AU4277" s="2"/>
      <c r="AV4277" s="2"/>
      <c r="AW4277" s="2"/>
      <c r="AX4277" s="2"/>
      <c r="AY4277" s="2">
        <v>41</v>
      </c>
      <c r="AZ4277" s="2" t="s">
        <v>82</v>
      </c>
      <c r="BA4277" s="2">
        <v>41</v>
      </c>
      <c r="BB4277" s="2" t="s">
        <v>82</v>
      </c>
      <c r="BC4277" s="2">
        <v>41</v>
      </c>
      <c r="BD4277" s="2" t="s">
        <v>82</v>
      </c>
      <c r="BE4277" s="2">
        <v>41</v>
      </c>
      <c r="BF4277" s="2" t="s">
        <v>82</v>
      </c>
      <c r="BG4277" s="2"/>
      <c r="BH4277" s="2"/>
      <c r="BI4277" s="2"/>
      <c r="BJ4277" s="2">
        <v>241</v>
      </c>
      <c r="BK4277" s="2" t="s">
        <v>82</v>
      </c>
      <c r="BL4277" s="2"/>
      <c r="BM4277" s="2">
        <v>241</v>
      </c>
      <c r="BN4277" s="2" t="s">
        <v>82</v>
      </c>
      <c r="BO4277" s="2"/>
      <c r="BP4277" s="2">
        <v>241</v>
      </c>
      <c r="BQ4277" s="2" t="s">
        <v>82</v>
      </c>
      <c r="BR4277" s="2"/>
      <c r="BS4277" s="3">
        <v>40466</v>
      </c>
      <c r="BT4277" s="4">
        <v>0.81973379629629628</v>
      </c>
    </row>
    <row r="4278" spans="1:72" x14ac:dyDescent="0.25">
      <c r="A4278" s="2">
        <v>6457</v>
      </c>
      <c r="B4278" s="2">
        <v>2010</v>
      </c>
      <c r="C4278" s="2" t="s">
        <v>171</v>
      </c>
      <c r="D4278" s="2" t="s">
        <v>73</v>
      </c>
      <c r="E4278" s="2"/>
      <c r="F4278" s="2">
        <v>600</v>
      </c>
      <c r="G4278" s="2" t="s">
        <v>5325</v>
      </c>
      <c r="H4278" s="2">
        <v>21</v>
      </c>
      <c r="I4278" s="2" t="s">
        <v>5326</v>
      </c>
      <c r="J4278" s="2">
        <v>170</v>
      </c>
      <c r="K4278" s="2" t="s">
        <v>5074</v>
      </c>
      <c r="L4278" s="2" t="s">
        <v>5075</v>
      </c>
      <c r="M4278" s="3">
        <v>40466</v>
      </c>
      <c r="N4278" s="2" t="s">
        <v>13359</v>
      </c>
      <c r="O4278" s="2"/>
      <c r="P4278" s="2"/>
      <c r="Q4278" s="2" t="str">
        <f>"408-A/10"</f>
        <v>408-A/10</v>
      </c>
      <c r="R4278" s="2" t="s">
        <v>480</v>
      </c>
      <c r="S4278" s="2" t="s">
        <v>480</v>
      </c>
      <c r="T4278" s="2">
        <v>1</v>
      </c>
      <c r="U4278" s="2" t="s">
        <v>79</v>
      </c>
      <c r="V4278" s="2">
        <v>1</v>
      </c>
      <c r="W4278" s="2" t="s">
        <v>80</v>
      </c>
      <c r="X4278" s="2">
        <v>1</v>
      </c>
      <c r="Y4278" s="2" t="s">
        <v>81</v>
      </c>
      <c r="Z4278" s="2">
        <v>1</v>
      </c>
      <c r="AA4278" s="2" t="s">
        <v>82</v>
      </c>
      <c r="AB4278" s="2">
        <v>1</v>
      </c>
      <c r="AC4278" s="2" t="s">
        <v>178</v>
      </c>
      <c r="AD4278" s="3">
        <v>40466</v>
      </c>
      <c r="AE4278" s="4">
        <v>0.61458333333333337</v>
      </c>
      <c r="AF4278" s="3">
        <v>40466</v>
      </c>
      <c r="AG4278" s="4">
        <v>0.75</v>
      </c>
      <c r="AH4278" s="2">
        <v>2</v>
      </c>
      <c r="AI4278" s="2" t="s">
        <v>84</v>
      </c>
      <c r="AJ4278" s="2">
        <v>12</v>
      </c>
      <c r="AK4278" s="2" t="s">
        <v>85</v>
      </c>
      <c r="AL4278" s="2">
        <v>16</v>
      </c>
      <c r="AM4278" s="2" t="s">
        <v>392</v>
      </c>
      <c r="AN4278" s="2" t="s">
        <v>6519</v>
      </c>
      <c r="AO4278" s="2" t="s">
        <v>13360</v>
      </c>
      <c r="AP4278" s="2">
        <v>12</v>
      </c>
      <c r="AQ4278" s="2" t="s">
        <v>322</v>
      </c>
      <c r="AR4278" s="2"/>
      <c r="AS4278" s="2"/>
      <c r="AT4278" s="2" t="s">
        <v>13361</v>
      </c>
      <c r="AU4278" s="2"/>
      <c r="AV4278" s="2"/>
      <c r="AW4278" s="2"/>
      <c r="AX4278" s="2"/>
      <c r="AY4278" s="2">
        <v>41</v>
      </c>
      <c r="AZ4278" s="2" t="s">
        <v>82</v>
      </c>
      <c r="BA4278" s="2">
        <v>41</v>
      </c>
      <c r="BB4278" s="2" t="s">
        <v>82</v>
      </c>
      <c r="BC4278" s="2">
        <v>41</v>
      </c>
      <c r="BD4278" s="2" t="s">
        <v>82</v>
      </c>
      <c r="BE4278" s="2">
        <v>47</v>
      </c>
      <c r="BF4278" s="2" t="s">
        <v>167</v>
      </c>
      <c r="BG4278" s="2" t="s">
        <v>13362</v>
      </c>
      <c r="BH4278" s="2"/>
      <c r="BI4278" s="2"/>
      <c r="BJ4278" s="2">
        <v>13</v>
      </c>
      <c r="BK4278" s="2" t="s">
        <v>91</v>
      </c>
      <c r="BL4278" s="2" t="s">
        <v>828</v>
      </c>
      <c r="BM4278" s="2">
        <v>13</v>
      </c>
      <c r="BN4278" s="2" t="s">
        <v>91</v>
      </c>
      <c r="BO4278" s="2"/>
      <c r="BP4278" s="2">
        <v>13</v>
      </c>
      <c r="BQ4278" s="2" t="s">
        <v>91</v>
      </c>
      <c r="BR4278" s="2" t="s">
        <v>353</v>
      </c>
      <c r="BS4278" s="3">
        <v>40466</v>
      </c>
      <c r="BT4278" s="4">
        <v>0.82212962962962965</v>
      </c>
    </row>
    <row r="4279" spans="1:72" x14ac:dyDescent="0.25">
      <c r="A4279" s="2">
        <v>6458</v>
      </c>
      <c r="B4279" s="2">
        <v>2010</v>
      </c>
      <c r="C4279" s="2" t="s">
        <v>171</v>
      </c>
      <c r="D4279" s="2" t="s">
        <v>73</v>
      </c>
      <c r="E4279" s="2" t="s">
        <v>13363</v>
      </c>
      <c r="F4279" s="2">
        <v>475</v>
      </c>
      <c r="G4279" s="2" t="s">
        <v>1271</v>
      </c>
      <c r="H4279" s="2">
        <v>3</v>
      </c>
      <c r="I4279" s="2" t="s">
        <v>315</v>
      </c>
      <c r="J4279" s="2">
        <v>385</v>
      </c>
      <c r="K4279" s="2" t="s">
        <v>1314</v>
      </c>
      <c r="L4279" s="2" t="s">
        <v>1315</v>
      </c>
      <c r="M4279" s="3">
        <v>40466</v>
      </c>
      <c r="N4279" s="2" t="s">
        <v>4064</v>
      </c>
      <c r="O4279" s="2" t="s">
        <v>13364</v>
      </c>
      <c r="P4279" s="2"/>
      <c r="Q4279" s="2" t="str">
        <f>"0044/2010"</f>
        <v>0044/2010</v>
      </c>
      <c r="R4279" s="2" t="s">
        <v>13364</v>
      </c>
      <c r="S4279" s="2"/>
      <c r="T4279" s="2">
        <v>1</v>
      </c>
      <c r="U4279" s="2" t="s">
        <v>79</v>
      </c>
      <c r="V4279" s="2">
        <v>1</v>
      </c>
      <c r="W4279" s="2" t="s">
        <v>80</v>
      </c>
      <c r="X4279" s="2">
        <v>1</v>
      </c>
      <c r="Y4279" s="2" t="s">
        <v>81</v>
      </c>
      <c r="Z4279" s="2">
        <v>1</v>
      </c>
      <c r="AA4279" s="2" t="s">
        <v>82</v>
      </c>
      <c r="AB4279" s="2">
        <v>1</v>
      </c>
      <c r="AC4279" s="2" t="s">
        <v>178</v>
      </c>
      <c r="AD4279" s="3">
        <v>40466</v>
      </c>
      <c r="AE4279" s="4">
        <v>0.59375</v>
      </c>
      <c r="AF4279" s="2"/>
      <c r="AG4279" s="2"/>
      <c r="AH4279" s="2">
        <v>5</v>
      </c>
      <c r="AI4279" s="2" t="s">
        <v>274</v>
      </c>
      <c r="AJ4279" s="2">
        <v>42</v>
      </c>
      <c r="AK4279" s="2" t="s">
        <v>660</v>
      </c>
      <c r="AL4279" s="2">
        <v>25</v>
      </c>
      <c r="AM4279" s="2" t="s">
        <v>3073</v>
      </c>
      <c r="AN4279" s="2" t="s">
        <v>82</v>
      </c>
      <c r="AO4279" s="2" t="s">
        <v>13365</v>
      </c>
      <c r="AP4279" s="2">
        <v>5</v>
      </c>
      <c r="AQ4279" s="2" t="s">
        <v>827</v>
      </c>
      <c r="AR4279" s="2" t="s">
        <v>13366</v>
      </c>
      <c r="AS4279" s="2" t="s">
        <v>13367</v>
      </c>
      <c r="AT4279" s="2" t="s">
        <v>13368</v>
      </c>
      <c r="AU4279" s="2"/>
      <c r="AV4279" s="2"/>
      <c r="AW4279" s="2"/>
      <c r="AX4279" s="2"/>
      <c r="AY4279" s="2">
        <v>41</v>
      </c>
      <c r="AZ4279" s="2" t="s">
        <v>82</v>
      </c>
      <c r="BA4279" s="2">
        <v>41</v>
      </c>
      <c r="BB4279" s="2" t="s">
        <v>82</v>
      </c>
      <c r="BC4279" s="2">
        <v>41</v>
      </c>
      <c r="BD4279" s="2" t="s">
        <v>82</v>
      </c>
      <c r="BE4279" s="2">
        <v>13</v>
      </c>
      <c r="BF4279" s="2" t="s">
        <v>108</v>
      </c>
      <c r="BG4279" s="2">
        <v>1789</v>
      </c>
      <c r="BH4279" s="4">
        <v>0.76041666666666663</v>
      </c>
      <c r="BI4279" s="4">
        <v>0.80555555555555547</v>
      </c>
      <c r="BJ4279" s="2">
        <v>13</v>
      </c>
      <c r="BK4279" s="2" t="s">
        <v>91</v>
      </c>
      <c r="BL4279" s="2" t="s">
        <v>13369</v>
      </c>
      <c r="BM4279" s="2">
        <v>13</v>
      </c>
      <c r="BN4279" s="2" t="s">
        <v>91</v>
      </c>
      <c r="BO4279" s="2"/>
      <c r="BP4279" s="2">
        <v>13</v>
      </c>
      <c r="BQ4279" s="2" t="s">
        <v>91</v>
      </c>
      <c r="BR4279" s="2" t="s">
        <v>170</v>
      </c>
      <c r="BS4279" s="3">
        <v>40466</v>
      </c>
      <c r="BT4279" s="4">
        <v>0.82586805555555554</v>
      </c>
    </row>
    <row r="4280" spans="1:72" x14ac:dyDescent="0.25">
      <c r="A4280" s="2">
        <v>6459</v>
      </c>
      <c r="B4280" s="2">
        <v>2010</v>
      </c>
      <c r="C4280" s="2" t="s">
        <v>72</v>
      </c>
      <c r="D4280" s="2" t="s">
        <v>73</v>
      </c>
      <c r="E4280" s="2"/>
      <c r="F4280" s="2">
        <v>690</v>
      </c>
      <c r="G4280" s="2" t="s">
        <v>13370</v>
      </c>
      <c r="H4280" s="2">
        <v>22</v>
      </c>
      <c r="I4280" s="2" t="s">
        <v>75</v>
      </c>
      <c r="J4280" s="2">
        <v>671</v>
      </c>
      <c r="K4280" s="2" t="s">
        <v>12737</v>
      </c>
      <c r="L4280" s="2" t="s">
        <v>12738</v>
      </c>
      <c r="M4280" s="3">
        <v>40466</v>
      </c>
      <c r="N4280" s="2" t="s">
        <v>13371</v>
      </c>
      <c r="O4280" s="2"/>
      <c r="P4280" s="2"/>
      <c r="Q4280" s="2" t="str">
        <f>"409-A/10"</f>
        <v>409-A/10</v>
      </c>
      <c r="R4280" s="2" t="s">
        <v>1547</v>
      </c>
      <c r="S4280" s="2" t="s">
        <v>1547</v>
      </c>
      <c r="T4280" s="2">
        <v>1</v>
      </c>
      <c r="U4280" s="2" t="s">
        <v>79</v>
      </c>
      <c r="V4280" s="2">
        <v>1</v>
      </c>
      <c r="W4280" s="2" t="s">
        <v>80</v>
      </c>
      <c r="X4280" s="2">
        <v>12</v>
      </c>
      <c r="Y4280" s="2" t="s">
        <v>148</v>
      </c>
      <c r="Z4280" s="2">
        <v>1</v>
      </c>
      <c r="AA4280" s="2" t="s">
        <v>82</v>
      </c>
      <c r="AB4280" s="2">
        <v>6</v>
      </c>
      <c r="AC4280" s="2" t="s">
        <v>83</v>
      </c>
      <c r="AD4280" s="3">
        <v>40462</v>
      </c>
      <c r="AE4280" s="2"/>
      <c r="AF4280" s="3">
        <v>40466</v>
      </c>
      <c r="AG4280" s="4">
        <v>0.70833333333333337</v>
      </c>
      <c r="AH4280" s="2">
        <v>2</v>
      </c>
      <c r="AI4280" s="2" t="s">
        <v>84</v>
      </c>
      <c r="AJ4280" s="2">
        <v>12</v>
      </c>
      <c r="AK4280" s="2" t="s">
        <v>85</v>
      </c>
      <c r="AL4280" s="2">
        <v>22</v>
      </c>
      <c r="AM4280" s="2" t="s">
        <v>1853</v>
      </c>
      <c r="AN4280" s="2"/>
      <c r="AO4280" s="2" t="s">
        <v>13372</v>
      </c>
      <c r="AP4280" s="2">
        <v>11</v>
      </c>
      <c r="AQ4280" s="2" t="s">
        <v>82</v>
      </c>
      <c r="AR4280" s="2"/>
      <c r="AS4280" s="2"/>
      <c r="AT4280" s="2" t="s">
        <v>13373</v>
      </c>
      <c r="AU4280" s="2"/>
      <c r="AV4280" s="2"/>
      <c r="AW4280" s="2"/>
      <c r="AX4280" s="2"/>
      <c r="AY4280" s="2">
        <v>41</v>
      </c>
      <c r="AZ4280" s="2" t="s">
        <v>82</v>
      </c>
      <c r="BA4280" s="2">
        <v>41</v>
      </c>
      <c r="BB4280" s="2" t="s">
        <v>82</v>
      </c>
      <c r="BC4280" s="2">
        <v>41</v>
      </c>
      <c r="BD4280" s="2" t="s">
        <v>82</v>
      </c>
      <c r="BE4280" s="2">
        <v>4</v>
      </c>
      <c r="BF4280" s="2" t="s">
        <v>90</v>
      </c>
      <c r="BG4280" s="2" t="s">
        <v>13374</v>
      </c>
      <c r="BH4280" s="2"/>
      <c r="BI4280" s="2"/>
      <c r="BJ4280" s="2">
        <v>13</v>
      </c>
      <c r="BK4280" s="2" t="s">
        <v>91</v>
      </c>
      <c r="BL4280" s="2" t="s">
        <v>564</v>
      </c>
      <c r="BM4280" s="2">
        <v>13</v>
      </c>
      <c r="BN4280" s="2" t="s">
        <v>91</v>
      </c>
      <c r="BO4280" s="2"/>
      <c r="BP4280" s="2">
        <v>13</v>
      </c>
      <c r="BQ4280" s="2" t="s">
        <v>91</v>
      </c>
      <c r="BR4280" s="2" t="s">
        <v>92</v>
      </c>
      <c r="BS4280" s="3">
        <v>40466</v>
      </c>
      <c r="BT4280" s="4">
        <v>0.8306365740740741</v>
      </c>
    </row>
    <row r="4281" spans="1:72" x14ac:dyDescent="0.25">
      <c r="A4281" s="2">
        <v>6460</v>
      </c>
      <c r="B4281" s="2">
        <v>2010</v>
      </c>
      <c r="C4281" s="2" t="s">
        <v>806</v>
      </c>
      <c r="D4281" s="2" t="s">
        <v>73</v>
      </c>
      <c r="E4281" s="2"/>
      <c r="F4281" s="2">
        <v>530</v>
      </c>
      <c r="G4281" s="2" t="s">
        <v>3315</v>
      </c>
      <c r="H4281" s="2">
        <v>144</v>
      </c>
      <c r="I4281" s="2" t="s">
        <v>2111</v>
      </c>
      <c r="J4281" s="2">
        <v>686</v>
      </c>
      <c r="K4281" s="2" t="s">
        <v>13375</v>
      </c>
      <c r="L4281" s="2" t="s">
        <v>1792</v>
      </c>
      <c r="M4281" s="3">
        <v>40466</v>
      </c>
      <c r="N4281" s="2"/>
      <c r="O4281" s="2" t="s">
        <v>13376</v>
      </c>
      <c r="P4281" s="2" t="s">
        <v>13377</v>
      </c>
      <c r="Q4281" s="2" t="str">
        <f>""</f>
        <v/>
      </c>
      <c r="R4281" s="2"/>
      <c r="S4281" s="2"/>
      <c r="T4281" s="2">
        <v>1</v>
      </c>
      <c r="U4281" s="2" t="s">
        <v>79</v>
      </c>
      <c r="V4281" s="2">
        <v>3</v>
      </c>
      <c r="W4281" s="2" t="s">
        <v>225</v>
      </c>
      <c r="X4281" s="2">
        <v>5</v>
      </c>
      <c r="Y4281" s="2" t="s">
        <v>82</v>
      </c>
      <c r="Z4281" s="2">
        <v>1</v>
      </c>
      <c r="AA4281" s="2" t="s">
        <v>82</v>
      </c>
      <c r="AB4281" s="2">
        <v>9</v>
      </c>
      <c r="AC4281" s="2" t="s">
        <v>124</v>
      </c>
      <c r="AD4281" s="3">
        <v>40466</v>
      </c>
      <c r="AE4281" s="4">
        <v>0.65972222222222221</v>
      </c>
      <c r="AF4281" s="3">
        <v>40466</v>
      </c>
      <c r="AG4281" s="2"/>
      <c r="AH4281" s="2">
        <v>3</v>
      </c>
      <c r="AI4281" s="2" t="s">
        <v>214</v>
      </c>
      <c r="AJ4281" s="2">
        <v>19</v>
      </c>
      <c r="AK4281" s="2" t="s">
        <v>4901</v>
      </c>
      <c r="AL4281" s="2">
        <v>19</v>
      </c>
      <c r="AM4281" s="2" t="s">
        <v>107</v>
      </c>
      <c r="AN4281" s="2"/>
      <c r="AO4281" s="2"/>
      <c r="AP4281" s="2">
        <v>11</v>
      </c>
      <c r="AQ4281" s="2" t="s">
        <v>82</v>
      </c>
      <c r="AR4281" s="2"/>
      <c r="AS4281" s="2"/>
      <c r="AT4281" s="2" t="s">
        <v>13378</v>
      </c>
      <c r="AU4281" s="2"/>
      <c r="AV4281" s="2"/>
      <c r="AW4281" s="2"/>
      <c r="AX4281" s="2"/>
      <c r="AY4281" s="2">
        <v>41</v>
      </c>
      <c r="AZ4281" s="2" t="s">
        <v>82</v>
      </c>
      <c r="BA4281" s="2">
        <v>41</v>
      </c>
      <c r="BB4281" s="2" t="s">
        <v>82</v>
      </c>
      <c r="BC4281" s="2">
        <v>41</v>
      </c>
      <c r="BD4281" s="2" t="s">
        <v>82</v>
      </c>
      <c r="BE4281" s="2">
        <v>41</v>
      </c>
      <c r="BF4281" s="2" t="s">
        <v>82</v>
      </c>
      <c r="BG4281" s="2"/>
      <c r="BH4281" s="2"/>
      <c r="BI4281" s="2"/>
      <c r="BJ4281" s="2">
        <v>241</v>
      </c>
      <c r="BK4281" s="2" t="s">
        <v>82</v>
      </c>
      <c r="BL4281" s="2"/>
      <c r="BM4281" s="2">
        <v>241</v>
      </c>
      <c r="BN4281" s="2" t="s">
        <v>82</v>
      </c>
      <c r="BO4281" s="2"/>
      <c r="BP4281" s="2">
        <v>241</v>
      </c>
      <c r="BQ4281" s="2" t="s">
        <v>82</v>
      </c>
      <c r="BR4281" s="2"/>
      <c r="BS4281" s="3">
        <v>40466</v>
      </c>
      <c r="BT4281" s="4">
        <v>0.83369212962962969</v>
      </c>
    </row>
    <row r="4282" spans="1:72" x14ac:dyDescent="0.25">
      <c r="A4282" s="2">
        <v>6461</v>
      </c>
      <c r="B4282" s="2">
        <v>2010</v>
      </c>
      <c r="C4282" s="2" t="s">
        <v>457</v>
      </c>
      <c r="D4282" s="2" t="s">
        <v>73</v>
      </c>
      <c r="E4282" s="2"/>
      <c r="F4282" s="2">
        <v>389</v>
      </c>
      <c r="G4282" s="2" t="s">
        <v>1819</v>
      </c>
      <c r="H4282" s="2">
        <v>4</v>
      </c>
      <c r="I4282" s="2" t="s">
        <v>173</v>
      </c>
      <c r="J4282" s="2">
        <v>399</v>
      </c>
      <c r="K4282" s="2" t="s">
        <v>1820</v>
      </c>
      <c r="L4282" s="2" t="s">
        <v>1821</v>
      </c>
      <c r="M4282" s="3">
        <v>40466</v>
      </c>
      <c r="N4282" s="2" t="s">
        <v>13379</v>
      </c>
      <c r="O4282" s="2" t="s">
        <v>13380</v>
      </c>
      <c r="P4282" s="7">
        <v>16037</v>
      </c>
      <c r="Q4282" s="2" t="str">
        <f>""</f>
        <v/>
      </c>
      <c r="R4282" s="2"/>
      <c r="S4282" s="2"/>
      <c r="T4282" s="2">
        <v>1</v>
      </c>
      <c r="U4282" s="2" t="s">
        <v>79</v>
      </c>
      <c r="V4282" s="2">
        <v>1</v>
      </c>
      <c r="W4282" s="2" t="s">
        <v>80</v>
      </c>
      <c r="X4282" s="2">
        <v>8</v>
      </c>
      <c r="Y4282" s="2" t="s">
        <v>375</v>
      </c>
      <c r="Z4282" s="2">
        <v>1</v>
      </c>
      <c r="AA4282" s="2" t="s">
        <v>82</v>
      </c>
      <c r="AB4282" s="2">
        <v>9</v>
      </c>
      <c r="AC4282" s="2" t="s">
        <v>124</v>
      </c>
      <c r="AD4282" s="3">
        <v>40466</v>
      </c>
      <c r="AE4282" s="4">
        <v>0.51388888888888895</v>
      </c>
      <c r="AF4282" s="2"/>
      <c r="AG4282" s="2"/>
      <c r="AH4282" s="2">
        <v>2</v>
      </c>
      <c r="AI4282" s="2" t="s">
        <v>84</v>
      </c>
      <c r="AJ4282" s="2">
        <v>9</v>
      </c>
      <c r="AK4282" s="2" t="s">
        <v>103</v>
      </c>
      <c r="AL4282" s="2">
        <v>23</v>
      </c>
      <c r="AM4282" s="2" t="s">
        <v>251</v>
      </c>
      <c r="AN4282" s="2"/>
      <c r="AO4282" s="2" t="s">
        <v>13381</v>
      </c>
      <c r="AP4282" s="2">
        <v>11</v>
      </c>
      <c r="AQ4282" s="2" t="s">
        <v>82</v>
      </c>
      <c r="AR4282" s="2"/>
      <c r="AS4282" s="2"/>
      <c r="AT4282" s="2" t="s">
        <v>13382</v>
      </c>
      <c r="AU4282" s="2"/>
      <c r="AV4282" s="2"/>
      <c r="AW4282" s="2"/>
      <c r="AX4282" s="2"/>
      <c r="AY4282" s="2">
        <v>41</v>
      </c>
      <c r="AZ4282" s="2" t="s">
        <v>82</v>
      </c>
      <c r="BA4282" s="2">
        <v>41</v>
      </c>
      <c r="BB4282" s="2" t="s">
        <v>82</v>
      </c>
      <c r="BC4282" s="2">
        <v>41</v>
      </c>
      <c r="BD4282" s="2" t="s">
        <v>82</v>
      </c>
      <c r="BE4282" s="2">
        <v>41</v>
      </c>
      <c r="BF4282" s="2" t="s">
        <v>82</v>
      </c>
      <c r="BG4282" s="2"/>
      <c r="BH4282" s="2"/>
      <c r="BI4282" s="2"/>
      <c r="BJ4282" s="2">
        <v>241</v>
      </c>
      <c r="BK4282" s="2" t="s">
        <v>82</v>
      </c>
      <c r="BL4282" s="2"/>
      <c r="BM4282" s="2">
        <v>241</v>
      </c>
      <c r="BN4282" s="2" t="s">
        <v>82</v>
      </c>
      <c r="BO4282" s="2"/>
      <c r="BP4282" s="2">
        <v>241</v>
      </c>
      <c r="BQ4282" s="2" t="s">
        <v>82</v>
      </c>
      <c r="BR4282" s="2"/>
      <c r="BS4282" s="3">
        <v>40466</v>
      </c>
      <c r="BT4282" s="4">
        <v>0.98775462962962957</v>
      </c>
    </row>
    <row r="4283" spans="1:72" x14ac:dyDescent="0.25">
      <c r="A4283" s="2">
        <v>6462</v>
      </c>
      <c r="B4283" s="2">
        <v>2010</v>
      </c>
      <c r="C4283" s="2" t="s">
        <v>1094</v>
      </c>
      <c r="D4283" s="2" t="s">
        <v>73</v>
      </c>
      <c r="E4283" s="2"/>
      <c r="F4283" s="2">
        <v>221</v>
      </c>
      <c r="G4283" s="2" t="s">
        <v>8422</v>
      </c>
      <c r="H4283" s="2">
        <v>78</v>
      </c>
      <c r="I4283" s="2" t="s">
        <v>4147</v>
      </c>
      <c r="J4283" s="2">
        <v>234</v>
      </c>
      <c r="K4283" s="2" t="s">
        <v>8423</v>
      </c>
      <c r="L4283" s="2" t="s">
        <v>8424</v>
      </c>
      <c r="M4283" s="3">
        <v>40467</v>
      </c>
      <c r="N4283" s="2" t="s">
        <v>13383</v>
      </c>
      <c r="O4283" s="2" t="s">
        <v>82</v>
      </c>
      <c r="P4283" s="2" t="s">
        <v>82</v>
      </c>
      <c r="Q4283" s="2" t="str">
        <f>"PS410-A/10"</f>
        <v>PS410-A/10</v>
      </c>
      <c r="R4283" s="2" t="s">
        <v>1100</v>
      </c>
      <c r="S4283" s="2"/>
      <c r="T4283" s="2">
        <v>1</v>
      </c>
      <c r="U4283" s="2" t="s">
        <v>79</v>
      </c>
      <c r="V4283" s="2">
        <v>1</v>
      </c>
      <c r="W4283" s="2" t="s">
        <v>80</v>
      </c>
      <c r="X4283" s="2">
        <v>12</v>
      </c>
      <c r="Y4283" s="2" t="s">
        <v>148</v>
      </c>
      <c r="Z4283" s="2">
        <v>1</v>
      </c>
      <c r="AA4283" s="2" t="s">
        <v>82</v>
      </c>
      <c r="AB4283" s="2">
        <v>9</v>
      </c>
      <c r="AC4283" s="2" t="s">
        <v>124</v>
      </c>
      <c r="AD4283" s="3">
        <v>40466</v>
      </c>
      <c r="AE4283" s="4">
        <v>0.92013888888888884</v>
      </c>
      <c r="AF4283" s="3">
        <v>40466</v>
      </c>
      <c r="AG4283" s="4">
        <v>0.93055555555555547</v>
      </c>
      <c r="AH4283" s="2">
        <v>2</v>
      </c>
      <c r="AI4283" s="2" t="s">
        <v>84</v>
      </c>
      <c r="AJ4283" s="2">
        <v>12</v>
      </c>
      <c r="AK4283" s="2" t="s">
        <v>85</v>
      </c>
      <c r="AL4283" s="2">
        <v>25</v>
      </c>
      <c r="AM4283" s="2" t="s">
        <v>3073</v>
      </c>
      <c r="AN4283" s="2"/>
      <c r="AO4283" s="2" t="s">
        <v>1289</v>
      </c>
      <c r="AP4283" s="2">
        <v>11</v>
      </c>
      <c r="AQ4283" s="2" t="s">
        <v>82</v>
      </c>
      <c r="AR4283" s="2"/>
      <c r="AS4283" s="2"/>
      <c r="AT4283" s="2" t="s">
        <v>13384</v>
      </c>
      <c r="AU4283" s="2"/>
      <c r="AV4283" s="2"/>
      <c r="AW4283" s="2"/>
      <c r="AX4283" s="2"/>
      <c r="AY4283" s="2">
        <v>41</v>
      </c>
      <c r="AZ4283" s="2" t="s">
        <v>82</v>
      </c>
      <c r="BA4283" s="2">
        <v>41</v>
      </c>
      <c r="BB4283" s="2" t="s">
        <v>82</v>
      </c>
      <c r="BC4283" s="2">
        <v>41</v>
      </c>
      <c r="BD4283" s="2" t="s">
        <v>82</v>
      </c>
      <c r="BE4283" s="2">
        <v>41</v>
      </c>
      <c r="BF4283" s="2" t="s">
        <v>82</v>
      </c>
      <c r="BG4283" s="2"/>
      <c r="BH4283" s="2"/>
      <c r="BI4283" s="2"/>
      <c r="BJ4283" s="2">
        <v>241</v>
      </c>
      <c r="BK4283" s="2" t="s">
        <v>82</v>
      </c>
      <c r="BL4283" s="2"/>
      <c r="BM4283" s="2">
        <v>241</v>
      </c>
      <c r="BN4283" s="2" t="s">
        <v>82</v>
      </c>
      <c r="BO4283" s="2"/>
      <c r="BP4283" s="2">
        <v>241</v>
      </c>
      <c r="BQ4283" s="2" t="s">
        <v>82</v>
      </c>
      <c r="BR4283" s="2"/>
      <c r="BS4283" s="3">
        <v>40467</v>
      </c>
      <c r="BT4283" s="4">
        <v>0.14107638888888888</v>
      </c>
    </row>
    <row r="4284" spans="1:72" x14ac:dyDescent="0.25">
      <c r="A4284" s="2">
        <v>6463</v>
      </c>
      <c r="B4284" s="2">
        <v>2010</v>
      </c>
      <c r="C4284" s="2" t="s">
        <v>4543</v>
      </c>
      <c r="D4284" s="2" t="s">
        <v>122</v>
      </c>
      <c r="E4284" s="2"/>
      <c r="F4284" s="2">
        <v>396</v>
      </c>
      <c r="G4284" s="2" t="s">
        <v>2159</v>
      </c>
      <c r="H4284" s="2">
        <v>5</v>
      </c>
      <c r="I4284" s="2" t="s">
        <v>634</v>
      </c>
      <c r="J4284" s="2">
        <v>243</v>
      </c>
      <c r="K4284" s="2" t="s">
        <v>2160</v>
      </c>
      <c r="L4284" s="2" t="s">
        <v>2145</v>
      </c>
      <c r="M4284" s="3">
        <v>40467</v>
      </c>
      <c r="N4284" s="2" t="s">
        <v>2245</v>
      </c>
      <c r="O4284" s="2"/>
      <c r="P4284" s="2"/>
      <c r="Q4284" s="2" t="str">
        <f>""</f>
        <v/>
      </c>
      <c r="R4284" s="2"/>
      <c r="S4284" s="2"/>
      <c r="T4284" s="2">
        <v>2</v>
      </c>
      <c r="U4284" s="2" t="s">
        <v>123</v>
      </c>
      <c r="V4284" s="2">
        <v>1</v>
      </c>
      <c r="W4284" s="2" t="s">
        <v>80</v>
      </c>
      <c r="X4284" s="2">
        <v>1</v>
      </c>
      <c r="Y4284" s="2" t="s">
        <v>81</v>
      </c>
      <c r="Z4284" s="2">
        <v>1</v>
      </c>
      <c r="AA4284" s="2" t="s">
        <v>82</v>
      </c>
      <c r="AB4284" s="2">
        <v>9</v>
      </c>
      <c r="AC4284" s="2" t="s">
        <v>124</v>
      </c>
      <c r="AD4284" s="3">
        <v>40466</v>
      </c>
      <c r="AE4284" s="4">
        <v>0.90972222222222221</v>
      </c>
      <c r="AF4284" s="2"/>
      <c r="AG4284" s="2"/>
      <c r="AH4284" s="2">
        <v>2</v>
      </c>
      <c r="AI4284" s="2" t="s">
        <v>84</v>
      </c>
      <c r="AJ4284" s="2">
        <v>9</v>
      </c>
      <c r="AK4284" s="2" t="s">
        <v>103</v>
      </c>
      <c r="AL4284" s="2">
        <v>22</v>
      </c>
      <c r="AM4284" s="2" t="s">
        <v>1853</v>
      </c>
      <c r="AN4284" s="2" t="s">
        <v>13385</v>
      </c>
      <c r="AO4284" s="2"/>
      <c r="AP4284" s="2">
        <v>11</v>
      </c>
      <c r="AQ4284" s="2" t="s">
        <v>82</v>
      </c>
      <c r="AR4284" s="2"/>
      <c r="AS4284" s="2"/>
      <c r="AT4284" s="2" t="s">
        <v>13386</v>
      </c>
      <c r="AU4284" s="2"/>
      <c r="AV4284" s="2"/>
      <c r="AW4284" s="2"/>
      <c r="AX4284" s="2"/>
      <c r="AY4284" s="2">
        <v>41</v>
      </c>
      <c r="AZ4284" s="2" t="s">
        <v>82</v>
      </c>
      <c r="BA4284" s="2">
        <v>41</v>
      </c>
      <c r="BB4284" s="2" t="s">
        <v>82</v>
      </c>
      <c r="BC4284" s="2">
        <v>41</v>
      </c>
      <c r="BD4284" s="2" t="s">
        <v>82</v>
      </c>
      <c r="BE4284" s="2">
        <v>13</v>
      </c>
      <c r="BF4284" s="2" t="s">
        <v>108</v>
      </c>
      <c r="BG4284" s="2" t="s">
        <v>592</v>
      </c>
      <c r="BH4284" s="4">
        <v>0.45833333333333331</v>
      </c>
      <c r="BI4284" s="4">
        <v>0.94791666666666663</v>
      </c>
      <c r="BJ4284" s="2">
        <v>13</v>
      </c>
      <c r="BK4284" s="2" t="s">
        <v>91</v>
      </c>
      <c r="BL4284" s="2" t="s">
        <v>360</v>
      </c>
      <c r="BM4284" s="2">
        <v>112</v>
      </c>
      <c r="BN4284" s="2" t="s">
        <v>110</v>
      </c>
      <c r="BO4284" s="2"/>
      <c r="BP4284" s="2">
        <v>112</v>
      </c>
      <c r="BQ4284" s="2" t="s">
        <v>110</v>
      </c>
      <c r="BR4284" s="2" t="s">
        <v>111</v>
      </c>
      <c r="BS4284" s="3">
        <v>40467</v>
      </c>
      <c r="BT4284" s="4">
        <v>0.40319444444444441</v>
      </c>
    </row>
    <row r="4285" spans="1:72" x14ac:dyDescent="0.25">
      <c r="A4285" s="2">
        <v>6464</v>
      </c>
      <c r="B4285" s="2">
        <v>2010</v>
      </c>
      <c r="C4285" s="2" t="s">
        <v>385</v>
      </c>
      <c r="D4285" s="2" t="s">
        <v>122</v>
      </c>
      <c r="E4285" s="2"/>
      <c r="F4285" s="2">
        <v>114</v>
      </c>
      <c r="G4285" s="2" t="s">
        <v>2817</v>
      </c>
      <c r="H4285" s="2">
        <v>50</v>
      </c>
      <c r="I4285" s="2" t="s">
        <v>107</v>
      </c>
      <c r="J4285" s="2">
        <v>133</v>
      </c>
      <c r="K4285" s="2" t="s">
        <v>3844</v>
      </c>
      <c r="L4285" s="2" t="s">
        <v>3845</v>
      </c>
      <c r="M4285" s="3">
        <v>40467</v>
      </c>
      <c r="N4285" s="2"/>
      <c r="O4285" s="2"/>
      <c r="P4285" s="2">
        <v>8961</v>
      </c>
      <c r="Q4285" s="2" t="str">
        <f>""</f>
        <v/>
      </c>
      <c r="R4285" s="2"/>
      <c r="S4285" s="2"/>
      <c r="T4285" s="2">
        <v>1</v>
      </c>
      <c r="U4285" s="2" t="s">
        <v>79</v>
      </c>
      <c r="V4285" s="2">
        <v>1</v>
      </c>
      <c r="W4285" s="2" t="s">
        <v>80</v>
      </c>
      <c r="X4285" s="2">
        <v>5</v>
      </c>
      <c r="Y4285" s="2" t="s">
        <v>82</v>
      </c>
      <c r="Z4285" s="2">
        <v>1</v>
      </c>
      <c r="AA4285" s="2" t="s">
        <v>82</v>
      </c>
      <c r="AB4285" s="2">
        <v>9</v>
      </c>
      <c r="AC4285" s="2" t="s">
        <v>124</v>
      </c>
      <c r="AD4285" s="3">
        <v>40466</v>
      </c>
      <c r="AE4285" s="4">
        <v>0.24305555555555555</v>
      </c>
      <c r="AF4285" s="2"/>
      <c r="AG4285" s="2"/>
      <c r="AH4285" s="2">
        <v>2</v>
      </c>
      <c r="AI4285" s="2" t="s">
        <v>84</v>
      </c>
      <c r="AJ4285" s="2">
        <v>8</v>
      </c>
      <c r="AK4285" s="2" t="s">
        <v>436</v>
      </c>
      <c r="AL4285" s="2">
        <v>19</v>
      </c>
      <c r="AM4285" s="2" t="s">
        <v>107</v>
      </c>
      <c r="AN4285" s="2"/>
      <c r="AO4285" s="2"/>
      <c r="AP4285" s="2">
        <v>11</v>
      </c>
      <c r="AQ4285" s="2" t="s">
        <v>82</v>
      </c>
      <c r="AR4285" s="2"/>
      <c r="AS4285" s="2"/>
      <c r="AT4285" s="2" t="s">
        <v>13387</v>
      </c>
      <c r="AU4285" s="2"/>
      <c r="AV4285" s="2">
        <v>1</v>
      </c>
      <c r="AW4285" s="2"/>
      <c r="AX4285" s="2"/>
      <c r="AY4285" s="2">
        <v>41</v>
      </c>
      <c r="AZ4285" s="2" t="s">
        <v>82</v>
      </c>
      <c r="BA4285" s="2">
        <v>41</v>
      </c>
      <c r="BB4285" s="2" t="s">
        <v>82</v>
      </c>
      <c r="BC4285" s="2">
        <v>41</v>
      </c>
      <c r="BD4285" s="2" t="s">
        <v>82</v>
      </c>
      <c r="BE4285" s="2">
        <v>13</v>
      </c>
      <c r="BF4285" s="2" t="s">
        <v>108</v>
      </c>
      <c r="BG4285" s="2">
        <v>1603</v>
      </c>
      <c r="BH4285" s="4">
        <v>0.28472222222222221</v>
      </c>
      <c r="BI4285" s="4">
        <v>0.31805555555555554</v>
      </c>
      <c r="BJ4285" s="2">
        <v>13</v>
      </c>
      <c r="BK4285" s="2" t="s">
        <v>91</v>
      </c>
      <c r="BL4285" s="2" t="s">
        <v>1394</v>
      </c>
      <c r="BM4285" s="2">
        <v>241</v>
      </c>
      <c r="BN4285" s="2" t="s">
        <v>82</v>
      </c>
      <c r="BO4285" s="2"/>
      <c r="BP4285" s="2">
        <v>13</v>
      </c>
      <c r="BQ4285" s="2" t="s">
        <v>91</v>
      </c>
      <c r="BR4285" s="2" t="s">
        <v>1394</v>
      </c>
      <c r="BS4285" s="3">
        <v>40467</v>
      </c>
      <c r="BT4285" s="4">
        <v>0.48688657407407404</v>
      </c>
    </row>
    <row r="4286" spans="1:72" x14ac:dyDescent="0.25">
      <c r="A4286" s="2">
        <v>6465</v>
      </c>
      <c r="B4286" s="2">
        <v>2010</v>
      </c>
      <c r="C4286" s="2" t="s">
        <v>457</v>
      </c>
      <c r="D4286" s="2" t="s">
        <v>73</v>
      </c>
      <c r="E4286" s="2"/>
      <c r="F4286" s="2">
        <v>434</v>
      </c>
      <c r="G4286" s="2" t="s">
        <v>1517</v>
      </c>
      <c r="H4286" s="2">
        <v>25</v>
      </c>
      <c r="I4286" s="2" t="s">
        <v>505</v>
      </c>
      <c r="J4286" s="2">
        <v>1</v>
      </c>
      <c r="K4286" s="2" t="s">
        <v>107</v>
      </c>
      <c r="L4286" s="2" t="s">
        <v>107</v>
      </c>
      <c r="M4286" s="3">
        <v>40467</v>
      </c>
      <c r="N4286" s="2" t="s">
        <v>13388</v>
      </c>
      <c r="O4286" s="2" t="s">
        <v>13389</v>
      </c>
      <c r="P4286" s="2" t="s">
        <v>13390</v>
      </c>
      <c r="Q4286" s="2" t="str">
        <f>""</f>
        <v/>
      </c>
      <c r="R4286" s="2"/>
      <c r="S4286" s="2"/>
      <c r="T4286" s="2">
        <v>1</v>
      </c>
      <c r="U4286" s="2" t="s">
        <v>79</v>
      </c>
      <c r="V4286" s="2">
        <v>1</v>
      </c>
      <c r="W4286" s="2" t="s">
        <v>80</v>
      </c>
      <c r="X4286" s="2">
        <v>11</v>
      </c>
      <c r="Y4286" s="2" t="s">
        <v>1920</v>
      </c>
      <c r="Z4286" s="2">
        <v>10</v>
      </c>
      <c r="AA4286" s="2" t="s">
        <v>236</v>
      </c>
      <c r="AB4286" s="2">
        <v>9</v>
      </c>
      <c r="AC4286" s="2" t="s">
        <v>124</v>
      </c>
      <c r="AD4286" s="3">
        <v>40467</v>
      </c>
      <c r="AE4286" s="4">
        <v>0.44097222222222227</v>
      </c>
      <c r="AF4286" s="2"/>
      <c r="AG4286" s="2"/>
      <c r="AH4286" s="2">
        <v>3</v>
      </c>
      <c r="AI4286" s="2" t="s">
        <v>214</v>
      </c>
      <c r="AJ4286" s="2">
        <v>24</v>
      </c>
      <c r="AK4286" s="2" t="s">
        <v>215</v>
      </c>
      <c r="AL4286" s="2">
        <v>25</v>
      </c>
      <c r="AM4286" s="2" t="s">
        <v>3073</v>
      </c>
      <c r="AN4286" s="2"/>
      <c r="AO4286" s="2"/>
      <c r="AP4286" s="2">
        <v>11</v>
      </c>
      <c r="AQ4286" s="2" t="s">
        <v>82</v>
      </c>
      <c r="AR4286" s="2"/>
      <c r="AS4286" s="2"/>
      <c r="AT4286" s="2" t="s">
        <v>13391</v>
      </c>
      <c r="AU4286" s="2"/>
      <c r="AV4286" s="2"/>
      <c r="AW4286" s="2"/>
      <c r="AX4286" s="2"/>
      <c r="AY4286" s="2">
        <v>41</v>
      </c>
      <c r="AZ4286" s="2" t="s">
        <v>82</v>
      </c>
      <c r="BA4286" s="2">
        <v>41</v>
      </c>
      <c r="BB4286" s="2" t="s">
        <v>82</v>
      </c>
      <c r="BC4286" s="2">
        <v>70</v>
      </c>
      <c r="BD4286" s="2" t="s">
        <v>236</v>
      </c>
      <c r="BE4286" s="2">
        <v>31</v>
      </c>
      <c r="BF4286" s="2" t="s">
        <v>398</v>
      </c>
      <c r="BG4286" s="2" t="s">
        <v>13392</v>
      </c>
      <c r="BH4286" s="4">
        <v>9.7222222222222224E-2</v>
      </c>
      <c r="BI4286" s="4">
        <v>0.59375</v>
      </c>
      <c r="BJ4286" s="2">
        <v>13</v>
      </c>
      <c r="BK4286" s="2" t="s">
        <v>91</v>
      </c>
      <c r="BL4286" s="2" t="s">
        <v>169</v>
      </c>
      <c r="BM4286" s="2">
        <v>73</v>
      </c>
      <c r="BN4286" s="2" t="s">
        <v>186</v>
      </c>
      <c r="BO4286" s="2"/>
      <c r="BP4286" s="2">
        <v>73</v>
      </c>
      <c r="BQ4286" s="2" t="s">
        <v>186</v>
      </c>
      <c r="BR4286" s="2" t="s">
        <v>187</v>
      </c>
      <c r="BS4286" s="3">
        <v>40467</v>
      </c>
      <c r="BT4286" s="4">
        <v>0.62078703703703708</v>
      </c>
    </row>
    <row r="4287" spans="1:72" x14ac:dyDescent="0.25">
      <c r="A4287" s="2">
        <v>6466</v>
      </c>
      <c r="B4287" s="2">
        <v>2010</v>
      </c>
      <c r="C4287" s="2" t="s">
        <v>121</v>
      </c>
      <c r="D4287" s="2" t="s">
        <v>122</v>
      </c>
      <c r="E4287" s="2"/>
      <c r="F4287" s="2">
        <v>1</v>
      </c>
      <c r="G4287" s="2" t="s">
        <v>82</v>
      </c>
      <c r="H4287" s="2">
        <v>1</v>
      </c>
      <c r="I4287" s="2" t="s">
        <v>82</v>
      </c>
      <c r="J4287" s="2">
        <v>1</v>
      </c>
      <c r="K4287" s="2" t="s">
        <v>107</v>
      </c>
      <c r="L4287" s="2" t="s">
        <v>107</v>
      </c>
      <c r="M4287" s="3">
        <v>40467</v>
      </c>
      <c r="N4287" s="2"/>
      <c r="O4287" s="2"/>
      <c r="P4287" s="2"/>
      <c r="Q4287" s="2" t="str">
        <f>""</f>
        <v/>
      </c>
      <c r="R4287" s="2"/>
      <c r="S4287" s="2"/>
      <c r="T4287" s="2">
        <v>2</v>
      </c>
      <c r="U4287" s="2" t="s">
        <v>123</v>
      </c>
      <c r="V4287" s="2">
        <v>1</v>
      </c>
      <c r="W4287" s="2" t="s">
        <v>80</v>
      </c>
      <c r="X4287" s="2">
        <v>5</v>
      </c>
      <c r="Y4287" s="2" t="s">
        <v>82</v>
      </c>
      <c r="Z4287" s="2">
        <v>1</v>
      </c>
      <c r="AA4287" s="2" t="s">
        <v>82</v>
      </c>
      <c r="AB4287" s="2">
        <v>9</v>
      </c>
      <c r="AC4287" s="2" t="s">
        <v>124</v>
      </c>
      <c r="AD4287" s="3">
        <v>40467</v>
      </c>
      <c r="AE4287" s="4">
        <v>0.68402777777777779</v>
      </c>
      <c r="AF4287" s="2"/>
      <c r="AG4287" s="2"/>
      <c r="AH4287" s="2">
        <v>5</v>
      </c>
      <c r="AI4287" s="2" t="s">
        <v>274</v>
      </c>
      <c r="AJ4287" s="2">
        <v>44</v>
      </c>
      <c r="AK4287" s="2" t="s">
        <v>667</v>
      </c>
      <c r="AL4287" s="2">
        <v>19</v>
      </c>
      <c r="AM4287" s="2" t="s">
        <v>107</v>
      </c>
      <c r="AN4287" s="2"/>
      <c r="AO4287" s="2"/>
      <c r="AP4287" s="2">
        <v>11</v>
      </c>
      <c r="AQ4287" s="2" t="s">
        <v>82</v>
      </c>
      <c r="AR4287" s="2"/>
      <c r="AS4287" s="2"/>
      <c r="AT4287" s="2" t="s">
        <v>13393</v>
      </c>
      <c r="AU4287" s="2"/>
      <c r="AV4287" s="2"/>
      <c r="AW4287" s="2"/>
      <c r="AX4287" s="2"/>
      <c r="AY4287" s="2">
        <v>41</v>
      </c>
      <c r="AZ4287" s="2" t="s">
        <v>82</v>
      </c>
      <c r="BA4287" s="2">
        <v>41</v>
      </c>
      <c r="BB4287" s="2" t="s">
        <v>82</v>
      </c>
      <c r="BC4287" s="2">
        <v>41</v>
      </c>
      <c r="BD4287" s="2" t="s">
        <v>82</v>
      </c>
      <c r="BE4287" s="2">
        <v>41</v>
      </c>
      <c r="BF4287" s="2" t="s">
        <v>82</v>
      </c>
      <c r="BG4287" s="2"/>
      <c r="BH4287" s="2"/>
      <c r="BI4287" s="4">
        <v>0.68402777777777779</v>
      </c>
      <c r="BJ4287" s="2">
        <v>241</v>
      </c>
      <c r="BK4287" s="2" t="s">
        <v>82</v>
      </c>
      <c r="BL4287" s="2"/>
      <c r="BM4287" s="2">
        <v>13</v>
      </c>
      <c r="BN4287" s="2" t="s">
        <v>91</v>
      </c>
      <c r="BO4287" s="2"/>
      <c r="BP4287" s="2">
        <v>13</v>
      </c>
      <c r="BQ4287" s="2" t="s">
        <v>91</v>
      </c>
      <c r="BR4287" s="2" t="s">
        <v>984</v>
      </c>
      <c r="BS4287" s="3">
        <v>40467</v>
      </c>
      <c r="BT4287" s="4">
        <v>0.70112268518518517</v>
      </c>
    </row>
    <row r="4288" spans="1:72" x14ac:dyDescent="0.25">
      <c r="A4288" s="2">
        <v>6467</v>
      </c>
      <c r="B4288" s="2">
        <v>2010</v>
      </c>
      <c r="C4288" s="2" t="s">
        <v>93</v>
      </c>
      <c r="D4288" s="2" t="s">
        <v>73</v>
      </c>
      <c r="E4288" s="2"/>
      <c r="F4288" s="2">
        <v>699</v>
      </c>
      <c r="G4288" s="2" t="s">
        <v>13394</v>
      </c>
      <c r="H4288" s="2">
        <v>9</v>
      </c>
      <c r="I4288" s="2" t="s">
        <v>794</v>
      </c>
      <c r="J4288" s="2">
        <v>166</v>
      </c>
      <c r="K4288" s="2" t="s">
        <v>795</v>
      </c>
      <c r="L4288" s="2" t="s">
        <v>796</v>
      </c>
      <c r="M4288" s="3">
        <v>40467</v>
      </c>
      <c r="N4288" s="2" t="s">
        <v>13395</v>
      </c>
      <c r="O4288" s="2" t="s">
        <v>13396</v>
      </c>
      <c r="P4288" s="2">
        <v>14380</v>
      </c>
      <c r="Q4288" s="2" t="str">
        <f>"0136/2010"</f>
        <v>0136/2010</v>
      </c>
      <c r="R4288" s="2" t="s">
        <v>513</v>
      </c>
      <c r="S4288" s="2"/>
      <c r="T4288" s="2">
        <v>1</v>
      </c>
      <c r="U4288" s="2" t="s">
        <v>79</v>
      </c>
      <c r="V4288" s="2">
        <v>1</v>
      </c>
      <c r="W4288" s="2" t="s">
        <v>80</v>
      </c>
      <c r="X4288" s="2">
        <v>10</v>
      </c>
      <c r="Y4288" s="2" t="s">
        <v>226</v>
      </c>
      <c r="Z4288" s="2">
        <v>9</v>
      </c>
      <c r="AA4288" s="2" t="s">
        <v>1119</v>
      </c>
      <c r="AB4288" s="2">
        <v>2</v>
      </c>
      <c r="AC4288" s="2" t="s">
        <v>102</v>
      </c>
      <c r="AD4288" s="3">
        <v>40467</v>
      </c>
      <c r="AE4288" s="4">
        <v>0.71875</v>
      </c>
      <c r="AF4288" s="2"/>
      <c r="AG4288" s="2"/>
      <c r="AH4288" s="2">
        <v>5</v>
      </c>
      <c r="AI4288" s="2" t="s">
        <v>274</v>
      </c>
      <c r="AJ4288" s="2">
        <v>38</v>
      </c>
      <c r="AK4288" s="2" t="s">
        <v>1120</v>
      </c>
      <c r="AL4288" s="2">
        <v>11</v>
      </c>
      <c r="AM4288" s="2" t="s">
        <v>137</v>
      </c>
      <c r="AN4288" s="2"/>
      <c r="AO4288" s="2" t="s">
        <v>3040</v>
      </c>
      <c r="AP4288" s="2">
        <v>11</v>
      </c>
      <c r="AQ4288" s="2" t="s">
        <v>82</v>
      </c>
      <c r="AR4288" s="2"/>
      <c r="AS4288" s="2"/>
      <c r="AT4288" s="2" t="s">
        <v>13397</v>
      </c>
      <c r="AU4288" s="2"/>
      <c r="AV4288" s="2"/>
      <c r="AW4288" s="2"/>
      <c r="AX4288" s="2"/>
      <c r="AY4288" s="2">
        <v>41</v>
      </c>
      <c r="AZ4288" s="2" t="s">
        <v>82</v>
      </c>
      <c r="BA4288" s="2">
        <v>41</v>
      </c>
      <c r="BB4288" s="2" t="s">
        <v>82</v>
      </c>
      <c r="BC4288" s="2">
        <v>41</v>
      </c>
      <c r="BD4288" s="2" t="s">
        <v>82</v>
      </c>
      <c r="BE4288" s="2">
        <v>4</v>
      </c>
      <c r="BF4288" s="2" t="s">
        <v>90</v>
      </c>
      <c r="BG4288" s="2">
        <v>4033</v>
      </c>
      <c r="BH4288" s="4">
        <v>0.70138888888888884</v>
      </c>
      <c r="BI4288" s="4">
        <v>0.72916666666666663</v>
      </c>
      <c r="BJ4288" s="2">
        <v>13</v>
      </c>
      <c r="BK4288" s="2" t="s">
        <v>91</v>
      </c>
      <c r="BL4288" s="2" t="s">
        <v>5688</v>
      </c>
      <c r="BM4288" s="2">
        <v>13</v>
      </c>
      <c r="BN4288" s="2" t="s">
        <v>91</v>
      </c>
      <c r="BO4288" s="2"/>
      <c r="BP4288" s="2">
        <v>13</v>
      </c>
      <c r="BQ4288" s="2" t="s">
        <v>91</v>
      </c>
      <c r="BR4288" s="2" t="s">
        <v>170</v>
      </c>
      <c r="BS4288" s="3">
        <v>40467</v>
      </c>
      <c r="BT4288" s="4">
        <v>0.77148148148148143</v>
      </c>
    </row>
    <row r="4289" spans="1:72" x14ac:dyDescent="0.25">
      <c r="A4289" s="2">
        <v>6468</v>
      </c>
      <c r="B4289" s="2">
        <v>2010</v>
      </c>
      <c r="C4289" s="2" t="s">
        <v>72</v>
      </c>
      <c r="D4289" s="2" t="s">
        <v>73</v>
      </c>
      <c r="E4289" s="2"/>
      <c r="F4289" s="2">
        <v>170</v>
      </c>
      <c r="G4289" s="2" t="s">
        <v>7892</v>
      </c>
      <c r="H4289" s="2">
        <v>127</v>
      </c>
      <c r="I4289" s="2" t="s">
        <v>8849</v>
      </c>
      <c r="J4289" s="2">
        <v>178</v>
      </c>
      <c r="K4289" s="2" t="s">
        <v>13010</v>
      </c>
      <c r="L4289" s="2" t="s">
        <v>1582</v>
      </c>
      <c r="M4289" s="3">
        <v>40467</v>
      </c>
      <c r="N4289" s="2" t="s">
        <v>13398</v>
      </c>
      <c r="O4289" s="2"/>
      <c r="P4289" s="2"/>
      <c r="Q4289" s="2" t="str">
        <f>"411-A/10"</f>
        <v>411-A/10</v>
      </c>
      <c r="R4289" s="2" t="s">
        <v>671</v>
      </c>
      <c r="S4289" s="2" t="s">
        <v>671</v>
      </c>
      <c r="T4289" s="2">
        <v>1</v>
      </c>
      <c r="U4289" s="2" t="s">
        <v>79</v>
      </c>
      <c r="V4289" s="2">
        <v>1</v>
      </c>
      <c r="W4289" s="2" t="s">
        <v>80</v>
      </c>
      <c r="X4289" s="2">
        <v>1</v>
      </c>
      <c r="Y4289" s="2" t="s">
        <v>81</v>
      </c>
      <c r="Z4289" s="2">
        <v>1</v>
      </c>
      <c r="AA4289" s="2" t="s">
        <v>82</v>
      </c>
      <c r="AB4289" s="2">
        <v>6</v>
      </c>
      <c r="AC4289" s="2" t="s">
        <v>83</v>
      </c>
      <c r="AD4289" s="3">
        <v>40467</v>
      </c>
      <c r="AE4289" s="2"/>
      <c r="AF4289" s="3">
        <v>40467</v>
      </c>
      <c r="AG4289" s="4">
        <v>0.625</v>
      </c>
      <c r="AH4289" s="2">
        <v>2</v>
      </c>
      <c r="AI4289" s="2" t="s">
        <v>84</v>
      </c>
      <c r="AJ4289" s="2">
        <v>12</v>
      </c>
      <c r="AK4289" s="2" t="s">
        <v>85</v>
      </c>
      <c r="AL4289" s="2">
        <v>12</v>
      </c>
      <c r="AM4289" s="2" t="s">
        <v>86</v>
      </c>
      <c r="AN4289" s="2" t="s">
        <v>816</v>
      </c>
      <c r="AO4289" s="2" t="s">
        <v>1212</v>
      </c>
      <c r="AP4289" s="2">
        <v>11</v>
      </c>
      <c r="AQ4289" s="2" t="s">
        <v>82</v>
      </c>
      <c r="AR4289" s="2"/>
      <c r="AS4289" s="2"/>
      <c r="AT4289" s="2" t="s">
        <v>13399</v>
      </c>
      <c r="AU4289" s="2">
        <v>2</v>
      </c>
      <c r="AV4289" s="2"/>
      <c r="AW4289" s="2"/>
      <c r="AX4289" s="2"/>
      <c r="AY4289" s="2">
        <v>41</v>
      </c>
      <c r="AZ4289" s="2" t="s">
        <v>82</v>
      </c>
      <c r="BA4289" s="2">
        <v>41</v>
      </c>
      <c r="BB4289" s="2" t="s">
        <v>82</v>
      </c>
      <c r="BC4289" s="2">
        <v>41</v>
      </c>
      <c r="BD4289" s="2" t="s">
        <v>82</v>
      </c>
      <c r="BE4289" s="2">
        <v>41</v>
      </c>
      <c r="BF4289" s="2" t="s">
        <v>82</v>
      </c>
      <c r="BG4289" s="2"/>
      <c r="BH4289" s="2"/>
      <c r="BI4289" s="2"/>
      <c r="BJ4289" s="2">
        <v>241</v>
      </c>
      <c r="BK4289" s="2" t="s">
        <v>82</v>
      </c>
      <c r="BL4289" s="2"/>
      <c r="BM4289" s="2">
        <v>241</v>
      </c>
      <c r="BN4289" s="2" t="s">
        <v>82</v>
      </c>
      <c r="BO4289" s="2"/>
      <c r="BP4289" s="2">
        <v>241</v>
      </c>
      <c r="BQ4289" s="2" t="s">
        <v>82</v>
      </c>
      <c r="BR4289" s="2"/>
      <c r="BS4289" s="3">
        <v>40467</v>
      </c>
      <c r="BT4289" s="4">
        <v>0.84053240740740742</v>
      </c>
    </row>
    <row r="4290" spans="1:72" x14ac:dyDescent="0.25">
      <c r="A4290" s="2">
        <v>6469</v>
      </c>
      <c r="B4290" s="2">
        <v>2010</v>
      </c>
      <c r="C4290" s="2" t="s">
        <v>385</v>
      </c>
      <c r="D4290" s="2" t="s">
        <v>122</v>
      </c>
      <c r="E4290" s="2"/>
      <c r="F4290" s="2">
        <v>144</v>
      </c>
      <c r="G4290" s="2" t="s">
        <v>537</v>
      </c>
      <c r="H4290" s="2">
        <v>108</v>
      </c>
      <c r="I4290" s="2" t="s">
        <v>1096</v>
      </c>
      <c r="J4290" s="2">
        <v>160</v>
      </c>
      <c r="K4290" s="2" t="s">
        <v>538</v>
      </c>
      <c r="L4290" s="2" t="s">
        <v>539</v>
      </c>
      <c r="M4290" s="3">
        <v>40467</v>
      </c>
      <c r="N4290" s="2" t="s">
        <v>13400</v>
      </c>
      <c r="O4290" s="2" t="s">
        <v>13401</v>
      </c>
      <c r="P4290" s="2" t="s">
        <v>13402</v>
      </c>
      <c r="Q4290" s="2" t="str">
        <f>"N/C"</f>
        <v>N/C</v>
      </c>
      <c r="R4290" s="2" t="s">
        <v>82</v>
      </c>
      <c r="S4290" s="2" t="s">
        <v>82</v>
      </c>
      <c r="T4290" s="2">
        <v>1</v>
      </c>
      <c r="U4290" s="2" t="s">
        <v>79</v>
      </c>
      <c r="V4290" s="2">
        <v>1</v>
      </c>
      <c r="W4290" s="2" t="s">
        <v>80</v>
      </c>
      <c r="X4290" s="2">
        <v>4</v>
      </c>
      <c r="Y4290" s="2" t="s">
        <v>463</v>
      </c>
      <c r="Z4290" s="2">
        <v>1</v>
      </c>
      <c r="AA4290" s="2" t="s">
        <v>82</v>
      </c>
      <c r="AB4290" s="2">
        <v>9</v>
      </c>
      <c r="AC4290" s="2" t="s">
        <v>124</v>
      </c>
      <c r="AD4290" s="3">
        <v>40467</v>
      </c>
      <c r="AE4290" s="4">
        <v>0.83333333333333337</v>
      </c>
      <c r="AF4290" s="2"/>
      <c r="AG4290" s="2"/>
      <c r="AH4290" s="2">
        <v>6</v>
      </c>
      <c r="AI4290" s="2" t="s">
        <v>197</v>
      </c>
      <c r="AJ4290" s="2">
        <v>60</v>
      </c>
      <c r="AK4290" s="2" t="s">
        <v>543</v>
      </c>
      <c r="AL4290" s="2">
        <v>9</v>
      </c>
      <c r="AM4290" s="2" t="s">
        <v>259</v>
      </c>
      <c r="AN4290" s="2" t="s">
        <v>82</v>
      </c>
      <c r="AO4290" s="2" t="s">
        <v>13403</v>
      </c>
      <c r="AP4290" s="2">
        <v>11</v>
      </c>
      <c r="AQ4290" s="2" t="s">
        <v>82</v>
      </c>
      <c r="AR4290" s="2"/>
      <c r="AS4290" s="2"/>
      <c r="AT4290" s="2" t="s">
        <v>13404</v>
      </c>
      <c r="AU4290" s="2">
        <v>1</v>
      </c>
      <c r="AV4290" s="2"/>
      <c r="AW4290" s="2"/>
      <c r="AX4290" s="2"/>
      <c r="AY4290" s="2">
        <v>41</v>
      </c>
      <c r="AZ4290" s="2" t="s">
        <v>82</v>
      </c>
      <c r="BA4290" s="2">
        <v>41</v>
      </c>
      <c r="BB4290" s="2" t="s">
        <v>82</v>
      </c>
      <c r="BC4290" s="2">
        <v>41</v>
      </c>
      <c r="BD4290" s="2" t="s">
        <v>82</v>
      </c>
      <c r="BE4290" s="2">
        <v>13</v>
      </c>
      <c r="BF4290" s="2" t="s">
        <v>108</v>
      </c>
      <c r="BG4290" s="2" t="s">
        <v>12640</v>
      </c>
      <c r="BH4290" s="4">
        <v>0.83472222222222225</v>
      </c>
      <c r="BI4290" s="4">
        <v>0.87847222222222221</v>
      </c>
      <c r="BJ4290" s="2">
        <v>13</v>
      </c>
      <c r="BK4290" s="2" t="s">
        <v>91</v>
      </c>
      <c r="BL4290" s="2" t="s">
        <v>6083</v>
      </c>
      <c r="BM4290" s="2">
        <v>13</v>
      </c>
      <c r="BN4290" s="2" t="s">
        <v>91</v>
      </c>
      <c r="BO4290" s="2"/>
      <c r="BP4290" s="2">
        <v>13</v>
      </c>
      <c r="BQ4290" s="2" t="s">
        <v>91</v>
      </c>
      <c r="BR4290" s="2" t="s">
        <v>185</v>
      </c>
      <c r="BS4290" s="3">
        <v>40467</v>
      </c>
      <c r="BT4290" s="4">
        <v>0.87228009259259265</v>
      </c>
    </row>
    <row r="4291" spans="1:72" x14ac:dyDescent="0.25">
      <c r="A4291" s="2">
        <v>6470</v>
      </c>
      <c r="B4291" s="2">
        <v>2010</v>
      </c>
      <c r="C4291" s="2" t="s">
        <v>255</v>
      </c>
      <c r="D4291" s="2" t="s">
        <v>73</v>
      </c>
      <c r="E4291" s="2"/>
      <c r="F4291" s="2">
        <v>52</v>
      </c>
      <c r="G4291" s="2" t="s">
        <v>2963</v>
      </c>
      <c r="H4291" s="2">
        <v>38</v>
      </c>
      <c r="I4291" s="2" t="s">
        <v>1272</v>
      </c>
      <c r="J4291" s="2">
        <v>87</v>
      </c>
      <c r="K4291" s="2" t="s">
        <v>2964</v>
      </c>
      <c r="L4291" s="2" t="s">
        <v>2534</v>
      </c>
      <c r="M4291" s="3">
        <v>40467</v>
      </c>
      <c r="N4291" s="2" t="s">
        <v>13405</v>
      </c>
      <c r="O4291" s="2"/>
      <c r="P4291" s="2"/>
      <c r="Q4291" s="2" t="str">
        <f>"034/10"</f>
        <v>034/10</v>
      </c>
      <c r="R4291" s="2" t="s">
        <v>13406</v>
      </c>
      <c r="S4291" s="2" t="s">
        <v>947</v>
      </c>
      <c r="T4291" s="2">
        <v>1</v>
      </c>
      <c r="U4291" s="2" t="s">
        <v>79</v>
      </c>
      <c r="V4291" s="2">
        <v>1</v>
      </c>
      <c r="W4291" s="2" t="s">
        <v>80</v>
      </c>
      <c r="X4291" s="2">
        <v>12</v>
      </c>
      <c r="Y4291" s="2" t="s">
        <v>148</v>
      </c>
      <c r="Z4291" s="2">
        <v>1</v>
      </c>
      <c r="AA4291" s="2" t="s">
        <v>82</v>
      </c>
      <c r="AB4291" s="2">
        <v>9</v>
      </c>
      <c r="AC4291" s="2" t="s">
        <v>124</v>
      </c>
      <c r="AD4291" s="3">
        <v>40467</v>
      </c>
      <c r="AE4291" s="2"/>
      <c r="AF4291" s="3">
        <v>40467</v>
      </c>
      <c r="AG4291" s="4">
        <v>0.89930555555555547</v>
      </c>
      <c r="AH4291" s="2">
        <v>4</v>
      </c>
      <c r="AI4291" s="2" t="s">
        <v>125</v>
      </c>
      <c r="AJ4291" s="2">
        <v>28</v>
      </c>
      <c r="AK4291" s="2" t="s">
        <v>741</v>
      </c>
      <c r="AL4291" s="2">
        <v>25</v>
      </c>
      <c r="AM4291" s="2" t="s">
        <v>3073</v>
      </c>
      <c r="AN4291" s="2" t="s">
        <v>13407</v>
      </c>
      <c r="AO4291" s="2" t="s">
        <v>13408</v>
      </c>
      <c r="AP4291" s="2">
        <v>11</v>
      </c>
      <c r="AQ4291" s="2" t="s">
        <v>82</v>
      </c>
      <c r="AR4291" s="2"/>
      <c r="AS4291" s="2"/>
      <c r="AT4291" s="2" t="s">
        <v>13409</v>
      </c>
      <c r="AU4291" s="2"/>
      <c r="AV4291" s="2"/>
      <c r="AW4291" s="2"/>
      <c r="AX4291" s="2"/>
      <c r="AY4291" s="2">
        <v>44</v>
      </c>
      <c r="AZ4291" s="2" t="s">
        <v>262</v>
      </c>
      <c r="BA4291" s="2">
        <v>44</v>
      </c>
      <c r="BB4291" s="2" t="s">
        <v>262</v>
      </c>
      <c r="BC4291" s="2">
        <v>44</v>
      </c>
      <c r="BD4291" s="2" t="s">
        <v>262</v>
      </c>
      <c r="BE4291" s="2">
        <v>41</v>
      </c>
      <c r="BF4291" s="2" t="s">
        <v>82</v>
      </c>
      <c r="BG4291" s="2"/>
      <c r="BH4291" s="2"/>
      <c r="BI4291" s="2"/>
      <c r="BJ4291" s="2">
        <v>241</v>
      </c>
      <c r="BK4291" s="2" t="s">
        <v>82</v>
      </c>
      <c r="BL4291" s="2"/>
      <c r="BM4291" s="2">
        <v>241</v>
      </c>
      <c r="BN4291" s="2" t="s">
        <v>82</v>
      </c>
      <c r="BO4291" s="2"/>
      <c r="BP4291" s="2">
        <v>241</v>
      </c>
      <c r="BQ4291" s="2" t="s">
        <v>82</v>
      </c>
      <c r="BR4291" s="2"/>
      <c r="BS4291" s="3">
        <v>40467</v>
      </c>
      <c r="BT4291" s="4">
        <v>0.95565972222222229</v>
      </c>
    </row>
    <row r="4292" spans="1:72" x14ac:dyDescent="0.25">
      <c r="A4292" s="2">
        <v>6470</v>
      </c>
      <c r="B4292" s="2">
        <v>2010</v>
      </c>
      <c r="C4292" s="2" t="s">
        <v>72</v>
      </c>
      <c r="D4292" s="2" t="s">
        <v>73</v>
      </c>
      <c r="E4292" s="2"/>
      <c r="F4292" s="2">
        <v>52</v>
      </c>
      <c r="G4292" s="2" t="s">
        <v>2963</v>
      </c>
      <c r="H4292" s="2">
        <v>38</v>
      </c>
      <c r="I4292" s="2" t="s">
        <v>1272</v>
      </c>
      <c r="J4292" s="2">
        <v>87</v>
      </c>
      <c r="K4292" s="2" t="s">
        <v>2964</v>
      </c>
      <c r="L4292" s="2" t="s">
        <v>2534</v>
      </c>
      <c r="M4292" s="3">
        <v>40467</v>
      </c>
      <c r="N4292" s="2" t="s">
        <v>13405</v>
      </c>
      <c r="O4292" s="2"/>
      <c r="P4292" s="2"/>
      <c r="Q4292" s="2" t="str">
        <f>"034/10"</f>
        <v>034/10</v>
      </c>
      <c r="R4292" s="2" t="s">
        <v>13406</v>
      </c>
      <c r="S4292" s="2" t="s">
        <v>947</v>
      </c>
      <c r="T4292" s="2">
        <v>1</v>
      </c>
      <c r="U4292" s="2" t="s">
        <v>79</v>
      </c>
      <c r="V4292" s="2">
        <v>1</v>
      </c>
      <c r="W4292" s="2" t="s">
        <v>80</v>
      </c>
      <c r="X4292" s="2">
        <v>12</v>
      </c>
      <c r="Y4292" s="2" t="s">
        <v>148</v>
      </c>
      <c r="Z4292" s="2">
        <v>1</v>
      </c>
      <c r="AA4292" s="2" t="s">
        <v>82</v>
      </c>
      <c r="AB4292" s="2">
        <v>6</v>
      </c>
      <c r="AC4292" s="2" t="s">
        <v>83</v>
      </c>
      <c r="AD4292" s="3">
        <v>40467</v>
      </c>
      <c r="AE4292" s="2"/>
      <c r="AF4292" s="3">
        <v>40467</v>
      </c>
      <c r="AG4292" s="4">
        <v>0.89930555555555547</v>
      </c>
      <c r="AH4292" s="2">
        <v>4</v>
      </c>
      <c r="AI4292" s="2" t="s">
        <v>125</v>
      </c>
      <c r="AJ4292" s="2">
        <v>28</v>
      </c>
      <c r="AK4292" s="2" t="s">
        <v>741</v>
      </c>
      <c r="AL4292" s="2">
        <v>25</v>
      </c>
      <c r="AM4292" s="2" t="s">
        <v>3073</v>
      </c>
      <c r="AN4292" s="2" t="s">
        <v>13407</v>
      </c>
      <c r="AO4292" s="2" t="s">
        <v>13408</v>
      </c>
      <c r="AP4292" s="2">
        <v>11</v>
      </c>
      <c r="AQ4292" s="2" t="s">
        <v>82</v>
      </c>
      <c r="AR4292" s="2"/>
      <c r="AS4292" s="2"/>
      <c r="AT4292" s="2" t="s">
        <v>13409</v>
      </c>
      <c r="AU4292" s="2"/>
      <c r="AV4292" s="2"/>
      <c r="AW4292" s="2"/>
      <c r="AX4292" s="2"/>
      <c r="AY4292" s="2">
        <v>44</v>
      </c>
      <c r="AZ4292" s="2" t="s">
        <v>262</v>
      </c>
      <c r="BA4292" s="2">
        <v>44</v>
      </c>
      <c r="BB4292" s="2" t="s">
        <v>262</v>
      </c>
      <c r="BC4292" s="2">
        <v>44</v>
      </c>
      <c r="BD4292" s="2" t="s">
        <v>262</v>
      </c>
      <c r="BE4292" s="2">
        <v>41</v>
      </c>
      <c r="BF4292" s="2" t="s">
        <v>82</v>
      </c>
      <c r="BG4292" s="2"/>
      <c r="BH4292" s="2"/>
      <c r="BI4292" s="2"/>
      <c r="BJ4292" s="2">
        <v>241</v>
      </c>
      <c r="BK4292" s="2" t="s">
        <v>82</v>
      </c>
      <c r="BL4292" s="2"/>
      <c r="BM4292" s="2">
        <v>241</v>
      </c>
      <c r="BN4292" s="2" t="s">
        <v>82</v>
      </c>
      <c r="BO4292" s="2"/>
      <c r="BP4292" s="2">
        <v>241</v>
      </c>
      <c r="BQ4292" s="2" t="s">
        <v>82</v>
      </c>
      <c r="BR4292" s="2"/>
      <c r="BS4292" s="3">
        <v>40467</v>
      </c>
      <c r="BT4292" s="4">
        <v>0.95565972222222229</v>
      </c>
    </row>
    <row r="4293" spans="1:72" x14ac:dyDescent="0.25">
      <c r="A4293" s="2">
        <v>6472</v>
      </c>
      <c r="B4293" s="2">
        <v>2010</v>
      </c>
      <c r="C4293" s="2" t="s">
        <v>72</v>
      </c>
      <c r="D4293" s="2" t="s">
        <v>122</v>
      </c>
      <c r="E4293" s="2" t="s">
        <v>13410</v>
      </c>
      <c r="F4293" s="2">
        <v>170</v>
      </c>
      <c r="G4293" s="2" t="s">
        <v>7892</v>
      </c>
      <c r="H4293" s="2">
        <v>127</v>
      </c>
      <c r="I4293" s="2" t="s">
        <v>8849</v>
      </c>
      <c r="J4293" s="2">
        <v>178</v>
      </c>
      <c r="K4293" s="2" t="s">
        <v>13010</v>
      </c>
      <c r="L4293" s="2" t="s">
        <v>1582</v>
      </c>
      <c r="M4293" s="3">
        <v>40468</v>
      </c>
      <c r="N4293" s="2" t="s">
        <v>13398</v>
      </c>
      <c r="O4293" s="2"/>
      <c r="P4293" s="2"/>
      <c r="Q4293" s="2" t="str">
        <f>"411-A/10"</f>
        <v>411-A/10</v>
      </c>
      <c r="R4293" s="2" t="s">
        <v>671</v>
      </c>
      <c r="S4293" s="2"/>
      <c r="T4293" s="2">
        <v>1</v>
      </c>
      <c r="U4293" s="2" t="s">
        <v>79</v>
      </c>
      <c r="V4293" s="2">
        <v>1</v>
      </c>
      <c r="W4293" s="2" t="s">
        <v>80</v>
      </c>
      <c r="X4293" s="2">
        <v>1</v>
      </c>
      <c r="Y4293" s="2" t="s">
        <v>81</v>
      </c>
      <c r="Z4293" s="2">
        <v>1</v>
      </c>
      <c r="AA4293" s="2" t="s">
        <v>82</v>
      </c>
      <c r="AB4293" s="2">
        <v>6</v>
      </c>
      <c r="AC4293" s="2" t="s">
        <v>83</v>
      </c>
      <c r="AD4293" s="3">
        <v>40468</v>
      </c>
      <c r="AE4293" s="4">
        <v>7.9861111111111105E-2</v>
      </c>
      <c r="AF4293" s="2"/>
      <c r="AG4293" s="2"/>
      <c r="AH4293" s="2">
        <v>2</v>
      </c>
      <c r="AI4293" s="2" t="s">
        <v>84</v>
      </c>
      <c r="AJ4293" s="2">
        <v>12</v>
      </c>
      <c r="AK4293" s="2" t="s">
        <v>85</v>
      </c>
      <c r="AL4293" s="2">
        <v>27</v>
      </c>
      <c r="AM4293" s="2" t="s">
        <v>6225</v>
      </c>
      <c r="AN4293" s="2"/>
      <c r="AO4293" s="2" t="s">
        <v>1971</v>
      </c>
      <c r="AP4293" s="2">
        <v>11</v>
      </c>
      <c r="AQ4293" s="2" t="s">
        <v>82</v>
      </c>
      <c r="AR4293" s="2"/>
      <c r="AS4293" s="2"/>
      <c r="AT4293" s="2" t="s">
        <v>13411</v>
      </c>
      <c r="AU4293" s="2">
        <v>2</v>
      </c>
      <c r="AV4293" s="2"/>
      <c r="AW4293" s="2"/>
      <c r="AX4293" s="2"/>
      <c r="AY4293" s="2">
        <v>41</v>
      </c>
      <c r="AZ4293" s="2" t="s">
        <v>82</v>
      </c>
      <c r="BA4293" s="2">
        <v>41</v>
      </c>
      <c r="BB4293" s="2" t="s">
        <v>82</v>
      </c>
      <c r="BC4293" s="2">
        <v>41</v>
      </c>
      <c r="BD4293" s="2" t="s">
        <v>82</v>
      </c>
      <c r="BE4293" s="2">
        <v>41</v>
      </c>
      <c r="BF4293" s="2" t="s">
        <v>82</v>
      </c>
      <c r="BG4293" s="2"/>
      <c r="BH4293" s="2"/>
      <c r="BI4293" s="2"/>
      <c r="BJ4293" s="2">
        <v>241</v>
      </c>
      <c r="BK4293" s="2" t="s">
        <v>82</v>
      </c>
      <c r="BL4293" s="2"/>
      <c r="BM4293" s="2">
        <v>241</v>
      </c>
      <c r="BN4293" s="2" t="s">
        <v>82</v>
      </c>
      <c r="BO4293" s="2"/>
      <c r="BP4293" s="2">
        <v>241</v>
      </c>
      <c r="BQ4293" s="2" t="s">
        <v>82</v>
      </c>
      <c r="BR4293" s="2"/>
      <c r="BS4293" s="3">
        <v>40468</v>
      </c>
      <c r="BT4293" s="4">
        <v>0.13143518518518518</v>
      </c>
    </row>
    <row r="4294" spans="1:72" x14ac:dyDescent="0.25">
      <c r="A4294" s="2">
        <v>6473</v>
      </c>
      <c r="B4294" s="2">
        <v>2010</v>
      </c>
      <c r="C4294" s="2" t="s">
        <v>255</v>
      </c>
      <c r="D4294" s="2" t="s">
        <v>73</v>
      </c>
      <c r="E4294" s="2"/>
      <c r="F4294" s="2">
        <v>284</v>
      </c>
      <c r="G4294" s="2" t="s">
        <v>5196</v>
      </c>
      <c r="H4294" s="2">
        <v>2</v>
      </c>
      <c r="I4294" s="2" t="s">
        <v>267</v>
      </c>
      <c r="J4294" s="2">
        <v>103</v>
      </c>
      <c r="K4294" s="2" t="s">
        <v>13412</v>
      </c>
      <c r="L4294" s="2" t="s">
        <v>13413</v>
      </c>
      <c r="M4294" s="3">
        <v>40468</v>
      </c>
      <c r="N4294" s="2" t="s">
        <v>13414</v>
      </c>
      <c r="O4294" s="2"/>
      <c r="P4294" s="2"/>
      <c r="Q4294" s="2" t="str">
        <f>"01/2010"</f>
        <v>01/2010</v>
      </c>
      <c r="R4294" s="2" t="s">
        <v>13415</v>
      </c>
      <c r="S4294" s="2" t="s">
        <v>13415</v>
      </c>
      <c r="T4294" s="2">
        <v>1</v>
      </c>
      <c r="U4294" s="2" t="s">
        <v>79</v>
      </c>
      <c r="V4294" s="2">
        <v>1</v>
      </c>
      <c r="W4294" s="2" t="s">
        <v>80</v>
      </c>
      <c r="X4294" s="2">
        <v>12</v>
      </c>
      <c r="Y4294" s="2" t="s">
        <v>148</v>
      </c>
      <c r="Z4294" s="2">
        <v>1</v>
      </c>
      <c r="AA4294" s="2" t="s">
        <v>82</v>
      </c>
      <c r="AB4294" s="2">
        <v>9</v>
      </c>
      <c r="AC4294" s="2" t="s">
        <v>124</v>
      </c>
      <c r="AD4294" s="3">
        <v>40467</v>
      </c>
      <c r="AE4294" s="2"/>
      <c r="AF4294" s="3">
        <v>40468</v>
      </c>
      <c r="AG4294" s="4">
        <v>3.125E-2</v>
      </c>
      <c r="AH4294" s="2">
        <v>3</v>
      </c>
      <c r="AI4294" s="2" t="s">
        <v>214</v>
      </c>
      <c r="AJ4294" s="2">
        <v>22</v>
      </c>
      <c r="AK4294" s="2" t="s">
        <v>4818</v>
      </c>
      <c r="AL4294" s="2">
        <v>9</v>
      </c>
      <c r="AM4294" s="2" t="s">
        <v>259</v>
      </c>
      <c r="AN4294" s="2" t="s">
        <v>13416</v>
      </c>
      <c r="AO4294" s="2"/>
      <c r="AP4294" s="2">
        <v>11</v>
      </c>
      <c r="AQ4294" s="2" t="s">
        <v>82</v>
      </c>
      <c r="AR4294" s="2"/>
      <c r="AS4294" s="2"/>
      <c r="AT4294" s="2" t="s">
        <v>13417</v>
      </c>
      <c r="AU4294" s="2"/>
      <c r="AV4294" s="2"/>
      <c r="AW4294" s="2"/>
      <c r="AX4294" s="2"/>
      <c r="AY4294" s="2">
        <v>41</v>
      </c>
      <c r="AZ4294" s="2" t="s">
        <v>82</v>
      </c>
      <c r="BA4294" s="2">
        <v>41</v>
      </c>
      <c r="BB4294" s="2" t="s">
        <v>82</v>
      </c>
      <c r="BC4294" s="2">
        <v>41</v>
      </c>
      <c r="BD4294" s="2" t="s">
        <v>82</v>
      </c>
      <c r="BE4294" s="2">
        <v>41</v>
      </c>
      <c r="BF4294" s="2" t="s">
        <v>82</v>
      </c>
      <c r="BG4294" s="2"/>
      <c r="BH4294" s="2"/>
      <c r="BI4294" s="2"/>
      <c r="BJ4294" s="2">
        <v>241</v>
      </c>
      <c r="BK4294" s="2" t="s">
        <v>82</v>
      </c>
      <c r="BL4294" s="2"/>
      <c r="BM4294" s="2">
        <v>241</v>
      </c>
      <c r="BN4294" s="2" t="s">
        <v>82</v>
      </c>
      <c r="BO4294" s="2"/>
      <c r="BP4294" s="2">
        <v>241</v>
      </c>
      <c r="BQ4294" s="2" t="s">
        <v>82</v>
      </c>
      <c r="BR4294" s="2"/>
      <c r="BS4294" s="3">
        <v>40468</v>
      </c>
      <c r="BT4294" s="4">
        <v>0.17826388888888889</v>
      </c>
    </row>
    <row r="4295" spans="1:72" x14ac:dyDescent="0.25">
      <c r="A4295" s="2">
        <v>6474</v>
      </c>
      <c r="B4295" s="2">
        <v>2010</v>
      </c>
      <c r="C4295" s="2" t="s">
        <v>171</v>
      </c>
      <c r="D4295" s="2" t="s">
        <v>73</v>
      </c>
      <c r="E4295" s="2"/>
      <c r="F4295" s="2">
        <v>397</v>
      </c>
      <c r="G4295" s="2" t="s">
        <v>2522</v>
      </c>
      <c r="H4295" s="2">
        <v>11</v>
      </c>
      <c r="I4295" s="2" t="s">
        <v>1397</v>
      </c>
      <c r="J4295" s="2">
        <v>377</v>
      </c>
      <c r="K4295" s="2" t="s">
        <v>1223</v>
      </c>
      <c r="L4295" s="2" t="s">
        <v>1224</v>
      </c>
      <c r="M4295" s="3">
        <v>40468</v>
      </c>
      <c r="N4295" s="2" t="s">
        <v>13418</v>
      </c>
      <c r="O4295" s="2"/>
      <c r="P4295" s="2"/>
      <c r="Q4295" s="2" t="str">
        <f>"538-E/10"</f>
        <v>538-E/10</v>
      </c>
      <c r="R4295" s="2" t="s">
        <v>391</v>
      </c>
      <c r="S4295" s="2" t="s">
        <v>391</v>
      </c>
      <c r="T4295" s="2">
        <v>1</v>
      </c>
      <c r="U4295" s="2" t="s">
        <v>79</v>
      </c>
      <c r="V4295" s="2">
        <v>1</v>
      </c>
      <c r="W4295" s="2" t="s">
        <v>80</v>
      </c>
      <c r="X4295" s="2">
        <v>1</v>
      </c>
      <c r="Y4295" s="2" t="s">
        <v>81</v>
      </c>
      <c r="Z4295" s="2">
        <v>1</v>
      </c>
      <c r="AA4295" s="2" t="s">
        <v>82</v>
      </c>
      <c r="AB4295" s="2">
        <v>1</v>
      </c>
      <c r="AC4295" s="2" t="s">
        <v>178</v>
      </c>
      <c r="AD4295" s="3">
        <v>40467</v>
      </c>
      <c r="AE4295" s="4">
        <v>0.45833333333333331</v>
      </c>
      <c r="AF4295" s="3">
        <v>40467</v>
      </c>
      <c r="AG4295" s="4">
        <v>0.85416666666666663</v>
      </c>
      <c r="AH4295" s="2">
        <v>2</v>
      </c>
      <c r="AI4295" s="2" t="s">
        <v>84</v>
      </c>
      <c r="AJ4295" s="2">
        <v>9</v>
      </c>
      <c r="AK4295" s="2" t="s">
        <v>103</v>
      </c>
      <c r="AL4295" s="2">
        <v>25</v>
      </c>
      <c r="AM4295" s="2" t="s">
        <v>3073</v>
      </c>
      <c r="AN4295" s="2" t="s">
        <v>179</v>
      </c>
      <c r="AO4295" s="2" t="s">
        <v>987</v>
      </c>
      <c r="AP4295" s="2">
        <v>11</v>
      </c>
      <c r="AQ4295" s="2" t="s">
        <v>82</v>
      </c>
      <c r="AR4295" s="2"/>
      <c r="AS4295" s="2"/>
      <c r="AT4295" s="2" t="s">
        <v>13419</v>
      </c>
      <c r="AU4295" s="2"/>
      <c r="AV4295" s="2">
        <v>2</v>
      </c>
      <c r="AW4295" s="2"/>
      <c r="AX4295" s="2"/>
      <c r="AY4295" s="2">
        <v>41</v>
      </c>
      <c r="AZ4295" s="2" t="s">
        <v>82</v>
      </c>
      <c r="BA4295" s="2">
        <v>41</v>
      </c>
      <c r="BB4295" s="2" t="s">
        <v>82</v>
      </c>
      <c r="BC4295" s="2">
        <v>41</v>
      </c>
      <c r="BD4295" s="2" t="s">
        <v>82</v>
      </c>
      <c r="BE4295" s="2">
        <v>23</v>
      </c>
      <c r="BF4295" s="2" t="s">
        <v>183</v>
      </c>
      <c r="BG4295" s="2" t="s">
        <v>5475</v>
      </c>
      <c r="BH4295" s="2"/>
      <c r="BI4295" s="4">
        <v>0.53125</v>
      </c>
      <c r="BJ4295" s="2">
        <v>13</v>
      </c>
      <c r="BK4295" s="2" t="s">
        <v>91</v>
      </c>
      <c r="BL4295" s="2" t="s">
        <v>360</v>
      </c>
      <c r="BM4295" s="2">
        <v>73</v>
      </c>
      <c r="BN4295" s="2" t="s">
        <v>186</v>
      </c>
      <c r="BO4295" s="2"/>
      <c r="BP4295" s="2">
        <v>73</v>
      </c>
      <c r="BQ4295" s="2" t="s">
        <v>186</v>
      </c>
      <c r="BR4295" s="2" t="s">
        <v>187</v>
      </c>
      <c r="BS4295" s="3">
        <v>40468</v>
      </c>
      <c r="BT4295" s="4">
        <v>0.31429398148148152</v>
      </c>
    </row>
    <row r="4296" spans="1:72" x14ac:dyDescent="0.25">
      <c r="A4296" s="2">
        <v>6475</v>
      </c>
      <c r="B4296" s="2">
        <v>2010</v>
      </c>
      <c r="C4296" s="2" t="s">
        <v>72</v>
      </c>
      <c r="D4296" s="2" t="s">
        <v>73</v>
      </c>
      <c r="E4296" s="2"/>
      <c r="F4296" s="2">
        <v>389</v>
      </c>
      <c r="G4296" s="2" t="s">
        <v>1819</v>
      </c>
      <c r="H4296" s="2">
        <v>3</v>
      </c>
      <c r="I4296" s="2" t="s">
        <v>315</v>
      </c>
      <c r="J4296" s="2">
        <v>399</v>
      </c>
      <c r="K4296" s="2" t="s">
        <v>1820</v>
      </c>
      <c r="L4296" s="2" t="s">
        <v>1821</v>
      </c>
      <c r="M4296" s="3">
        <v>40468</v>
      </c>
      <c r="N4296" s="2" t="s">
        <v>1827</v>
      </c>
      <c r="O4296" s="2"/>
      <c r="P4296" s="2"/>
      <c r="Q4296" s="2" t="str">
        <f>"539-E/10"</f>
        <v>539-E/10</v>
      </c>
      <c r="R4296" s="2" t="s">
        <v>116</v>
      </c>
      <c r="S4296" s="2" t="s">
        <v>116</v>
      </c>
      <c r="T4296" s="2">
        <v>1</v>
      </c>
      <c r="U4296" s="2" t="s">
        <v>79</v>
      </c>
      <c r="V4296" s="2">
        <v>1</v>
      </c>
      <c r="W4296" s="2" t="s">
        <v>80</v>
      </c>
      <c r="X4296" s="2">
        <v>12</v>
      </c>
      <c r="Y4296" s="2" t="s">
        <v>148</v>
      </c>
      <c r="Z4296" s="2">
        <v>1</v>
      </c>
      <c r="AA4296" s="2" t="s">
        <v>82</v>
      </c>
      <c r="AB4296" s="2">
        <v>6</v>
      </c>
      <c r="AC4296" s="2" t="s">
        <v>83</v>
      </c>
      <c r="AD4296" s="3">
        <v>40467</v>
      </c>
      <c r="AE4296" s="2"/>
      <c r="AF4296" s="3">
        <v>40467</v>
      </c>
      <c r="AG4296" s="4">
        <v>0.78472222222222221</v>
      </c>
      <c r="AH4296" s="2">
        <v>2</v>
      </c>
      <c r="AI4296" s="2" t="s">
        <v>84</v>
      </c>
      <c r="AJ4296" s="2">
        <v>9</v>
      </c>
      <c r="AK4296" s="2" t="s">
        <v>103</v>
      </c>
      <c r="AL4296" s="2">
        <v>11</v>
      </c>
      <c r="AM4296" s="2" t="s">
        <v>137</v>
      </c>
      <c r="AN4296" s="2" t="s">
        <v>12219</v>
      </c>
      <c r="AO4296" s="2" t="s">
        <v>11275</v>
      </c>
      <c r="AP4296" s="2">
        <v>11</v>
      </c>
      <c r="AQ4296" s="2" t="s">
        <v>82</v>
      </c>
      <c r="AR4296" s="2"/>
      <c r="AS4296" s="2"/>
      <c r="AT4296" s="2" t="s">
        <v>13420</v>
      </c>
      <c r="AU4296" s="2"/>
      <c r="AV4296" s="2"/>
      <c r="AW4296" s="2"/>
      <c r="AX4296" s="2"/>
      <c r="AY4296" s="2">
        <v>41</v>
      </c>
      <c r="AZ4296" s="2" t="s">
        <v>82</v>
      </c>
      <c r="BA4296" s="2">
        <v>41</v>
      </c>
      <c r="BB4296" s="2" t="s">
        <v>82</v>
      </c>
      <c r="BC4296" s="2">
        <v>41</v>
      </c>
      <c r="BD4296" s="2" t="s">
        <v>82</v>
      </c>
      <c r="BE4296" s="2">
        <v>41</v>
      </c>
      <c r="BF4296" s="2" t="s">
        <v>82</v>
      </c>
      <c r="BG4296" s="2"/>
      <c r="BH4296" s="2"/>
      <c r="BI4296" s="2"/>
      <c r="BJ4296" s="2">
        <v>241</v>
      </c>
      <c r="BK4296" s="2" t="s">
        <v>82</v>
      </c>
      <c r="BL4296" s="2"/>
      <c r="BM4296" s="2">
        <v>241</v>
      </c>
      <c r="BN4296" s="2" t="s">
        <v>82</v>
      </c>
      <c r="BO4296" s="2"/>
      <c r="BP4296" s="2">
        <v>241</v>
      </c>
      <c r="BQ4296" s="2" t="s">
        <v>82</v>
      </c>
      <c r="BR4296" s="2"/>
      <c r="BS4296" s="3">
        <v>40468</v>
      </c>
      <c r="BT4296" s="4">
        <v>0.35251157407407407</v>
      </c>
    </row>
    <row r="4297" spans="1:72" x14ac:dyDescent="0.25">
      <c r="A4297" s="2">
        <v>6476</v>
      </c>
      <c r="B4297" s="2">
        <v>2010</v>
      </c>
      <c r="C4297" s="2" t="s">
        <v>72</v>
      </c>
      <c r="D4297" s="2" t="s">
        <v>73</v>
      </c>
      <c r="E4297" s="2"/>
      <c r="F4297" s="2">
        <v>389</v>
      </c>
      <c r="G4297" s="2" t="s">
        <v>1819</v>
      </c>
      <c r="H4297" s="2">
        <v>3</v>
      </c>
      <c r="I4297" s="2" t="s">
        <v>315</v>
      </c>
      <c r="J4297" s="2">
        <v>399</v>
      </c>
      <c r="K4297" s="2" t="s">
        <v>1820</v>
      </c>
      <c r="L4297" s="2" t="s">
        <v>1821</v>
      </c>
      <c r="M4297" s="3">
        <v>40468</v>
      </c>
      <c r="N4297" s="2" t="s">
        <v>1827</v>
      </c>
      <c r="O4297" s="2"/>
      <c r="P4297" s="2"/>
      <c r="Q4297" s="2" t="str">
        <f>"537-E/10"</f>
        <v>537-E/10</v>
      </c>
      <c r="R4297" s="2" t="s">
        <v>601</v>
      </c>
      <c r="S4297" s="2" t="s">
        <v>601</v>
      </c>
      <c r="T4297" s="2">
        <v>1</v>
      </c>
      <c r="U4297" s="2" t="s">
        <v>79</v>
      </c>
      <c r="V4297" s="2">
        <v>1</v>
      </c>
      <c r="W4297" s="2" t="s">
        <v>80</v>
      </c>
      <c r="X4297" s="2">
        <v>12</v>
      </c>
      <c r="Y4297" s="2" t="s">
        <v>148</v>
      </c>
      <c r="Z4297" s="2">
        <v>1</v>
      </c>
      <c r="AA4297" s="2" t="s">
        <v>82</v>
      </c>
      <c r="AB4297" s="2">
        <v>6</v>
      </c>
      <c r="AC4297" s="2" t="s">
        <v>83</v>
      </c>
      <c r="AD4297" s="3">
        <v>40466</v>
      </c>
      <c r="AE4297" s="2"/>
      <c r="AF4297" s="3">
        <v>40467</v>
      </c>
      <c r="AG4297" s="4">
        <v>0.40625</v>
      </c>
      <c r="AH4297" s="2">
        <v>2</v>
      </c>
      <c r="AI4297" s="2" t="s">
        <v>84</v>
      </c>
      <c r="AJ4297" s="2">
        <v>9</v>
      </c>
      <c r="AK4297" s="2" t="s">
        <v>103</v>
      </c>
      <c r="AL4297" s="2">
        <v>22</v>
      </c>
      <c r="AM4297" s="2" t="s">
        <v>1853</v>
      </c>
      <c r="AN4297" s="2" t="s">
        <v>13421</v>
      </c>
      <c r="AO4297" s="2" t="s">
        <v>12699</v>
      </c>
      <c r="AP4297" s="2">
        <v>11</v>
      </c>
      <c r="AQ4297" s="2" t="s">
        <v>82</v>
      </c>
      <c r="AR4297" s="2"/>
      <c r="AS4297" s="2"/>
      <c r="AT4297" s="2" t="s">
        <v>13422</v>
      </c>
      <c r="AU4297" s="2"/>
      <c r="AV4297" s="2"/>
      <c r="AW4297" s="2"/>
      <c r="AX4297" s="2"/>
      <c r="AY4297" s="2">
        <v>41</v>
      </c>
      <c r="AZ4297" s="2" t="s">
        <v>82</v>
      </c>
      <c r="BA4297" s="2">
        <v>41</v>
      </c>
      <c r="BB4297" s="2" t="s">
        <v>82</v>
      </c>
      <c r="BC4297" s="2">
        <v>41</v>
      </c>
      <c r="BD4297" s="2" t="s">
        <v>82</v>
      </c>
      <c r="BE4297" s="2">
        <v>9</v>
      </c>
      <c r="BF4297" s="2" t="s">
        <v>966</v>
      </c>
      <c r="BG4297" s="2" t="s">
        <v>13423</v>
      </c>
      <c r="BH4297" s="2"/>
      <c r="BI4297" s="2"/>
      <c r="BJ4297" s="2">
        <v>170</v>
      </c>
      <c r="BK4297" s="2" t="s">
        <v>968</v>
      </c>
      <c r="BL4297" s="2" t="s">
        <v>1390</v>
      </c>
      <c r="BM4297" s="2">
        <v>170</v>
      </c>
      <c r="BN4297" s="2" t="s">
        <v>968</v>
      </c>
      <c r="BO4297" s="2"/>
      <c r="BP4297" s="2">
        <v>13</v>
      </c>
      <c r="BQ4297" s="2" t="s">
        <v>91</v>
      </c>
      <c r="BR4297" s="2" t="s">
        <v>185</v>
      </c>
      <c r="BS4297" s="3">
        <v>40468</v>
      </c>
      <c r="BT4297" s="4">
        <v>0.38540509259259265</v>
      </c>
    </row>
    <row r="4298" spans="1:72" x14ac:dyDescent="0.25">
      <c r="A4298" s="2">
        <v>6477</v>
      </c>
      <c r="B4298" s="2">
        <v>2010</v>
      </c>
      <c r="C4298" s="2" t="s">
        <v>4543</v>
      </c>
      <c r="D4298" s="2" t="s">
        <v>122</v>
      </c>
      <c r="E4298" s="2"/>
      <c r="F4298" s="2">
        <v>1</v>
      </c>
      <c r="G4298" s="2" t="s">
        <v>82</v>
      </c>
      <c r="H4298" s="2">
        <v>1</v>
      </c>
      <c r="I4298" s="2" t="s">
        <v>82</v>
      </c>
      <c r="J4298" s="2">
        <v>1</v>
      </c>
      <c r="K4298" s="2" t="s">
        <v>107</v>
      </c>
      <c r="L4298" s="2" t="s">
        <v>107</v>
      </c>
      <c r="M4298" s="3">
        <v>40468</v>
      </c>
      <c r="N4298" s="2" t="s">
        <v>82</v>
      </c>
      <c r="O4298" s="2" t="s">
        <v>82</v>
      </c>
      <c r="P4298" s="2" t="s">
        <v>82</v>
      </c>
      <c r="Q4298" s="2" t="str">
        <f>"N/C"</f>
        <v>N/C</v>
      </c>
      <c r="R4298" s="2" t="s">
        <v>82</v>
      </c>
      <c r="S4298" s="2" t="s">
        <v>82</v>
      </c>
      <c r="T4298" s="2">
        <v>2</v>
      </c>
      <c r="U4298" s="2" t="s">
        <v>123</v>
      </c>
      <c r="V4298" s="2">
        <v>1</v>
      </c>
      <c r="W4298" s="2" t="s">
        <v>80</v>
      </c>
      <c r="X4298" s="2">
        <v>1</v>
      </c>
      <c r="Y4298" s="2" t="s">
        <v>81</v>
      </c>
      <c r="Z4298" s="2">
        <v>10</v>
      </c>
      <c r="AA4298" s="2" t="s">
        <v>236</v>
      </c>
      <c r="AB4298" s="2">
        <v>9</v>
      </c>
      <c r="AC4298" s="2" t="s">
        <v>124</v>
      </c>
      <c r="AD4298" s="3">
        <v>40468</v>
      </c>
      <c r="AE4298" s="4">
        <v>0.35416666666666669</v>
      </c>
      <c r="AF4298" s="2"/>
      <c r="AG4298" s="2"/>
      <c r="AH4298" s="2">
        <v>2</v>
      </c>
      <c r="AI4298" s="2" t="s">
        <v>84</v>
      </c>
      <c r="AJ4298" s="2">
        <v>12</v>
      </c>
      <c r="AK4298" s="2" t="s">
        <v>85</v>
      </c>
      <c r="AL4298" s="2">
        <v>12</v>
      </c>
      <c r="AM4298" s="2" t="s">
        <v>86</v>
      </c>
      <c r="AN4298" s="2" t="s">
        <v>13424</v>
      </c>
      <c r="AO4298" s="2" t="s">
        <v>1945</v>
      </c>
      <c r="AP4298" s="2">
        <v>11</v>
      </c>
      <c r="AQ4298" s="2" t="s">
        <v>82</v>
      </c>
      <c r="AR4298" s="2" t="s">
        <v>82</v>
      </c>
      <c r="AS4298" s="2" t="s">
        <v>82</v>
      </c>
      <c r="AT4298" s="2" t="s">
        <v>13425</v>
      </c>
      <c r="AU4298" s="2"/>
      <c r="AV4298" s="2"/>
      <c r="AW4298" s="2"/>
      <c r="AX4298" s="2"/>
      <c r="AY4298" s="2">
        <v>41</v>
      </c>
      <c r="AZ4298" s="2" t="s">
        <v>82</v>
      </c>
      <c r="BA4298" s="2">
        <v>41</v>
      </c>
      <c r="BB4298" s="2" t="s">
        <v>82</v>
      </c>
      <c r="BC4298" s="2">
        <v>41</v>
      </c>
      <c r="BD4298" s="2" t="s">
        <v>82</v>
      </c>
      <c r="BE4298" s="2">
        <v>41</v>
      </c>
      <c r="BF4298" s="2" t="s">
        <v>82</v>
      </c>
      <c r="BG4298" s="2"/>
      <c r="BH4298" s="2"/>
      <c r="BI4298" s="2"/>
      <c r="BJ4298" s="2">
        <v>241</v>
      </c>
      <c r="BK4298" s="2" t="s">
        <v>82</v>
      </c>
      <c r="BL4298" s="2" t="s">
        <v>82</v>
      </c>
      <c r="BM4298" s="2">
        <v>241</v>
      </c>
      <c r="BN4298" s="2" t="s">
        <v>82</v>
      </c>
      <c r="BO4298" s="2"/>
      <c r="BP4298" s="2">
        <v>241</v>
      </c>
      <c r="BQ4298" s="2" t="s">
        <v>82</v>
      </c>
      <c r="BR4298" s="2" t="s">
        <v>82</v>
      </c>
      <c r="BS4298" s="3">
        <v>40468</v>
      </c>
      <c r="BT4298" s="4">
        <v>0.57451388888888888</v>
      </c>
    </row>
    <row r="4299" spans="1:72" x14ac:dyDescent="0.25">
      <c r="A4299" s="2">
        <v>6478</v>
      </c>
      <c r="B4299" s="2">
        <v>2010</v>
      </c>
      <c r="C4299" s="2" t="s">
        <v>72</v>
      </c>
      <c r="D4299" s="2" t="s">
        <v>73</v>
      </c>
      <c r="E4299" s="2"/>
      <c r="F4299" s="2">
        <v>685</v>
      </c>
      <c r="G4299" s="2" t="s">
        <v>12932</v>
      </c>
      <c r="H4299" s="2">
        <v>108</v>
      </c>
      <c r="I4299" s="2" t="s">
        <v>1096</v>
      </c>
      <c r="J4299" s="2">
        <v>674</v>
      </c>
      <c r="K4299" s="2" t="s">
        <v>12821</v>
      </c>
      <c r="L4299" s="2" t="s">
        <v>12822</v>
      </c>
      <c r="M4299" s="3">
        <v>40468</v>
      </c>
      <c r="N4299" s="2" t="s">
        <v>12865</v>
      </c>
      <c r="O4299" s="2"/>
      <c r="P4299" s="2"/>
      <c r="Q4299" s="2" t="str">
        <f>"412-A/10"</f>
        <v>412-A/10</v>
      </c>
      <c r="R4299" s="2" t="s">
        <v>116</v>
      </c>
      <c r="S4299" s="2" t="s">
        <v>116</v>
      </c>
      <c r="T4299" s="2">
        <v>1</v>
      </c>
      <c r="U4299" s="2" t="s">
        <v>79</v>
      </c>
      <c r="V4299" s="2">
        <v>1</v>
      </c>
      <c r="W4299" s="2" t="s">
        <v>80</v>
      </c>
      <c r="X4299" s="2">
        <v>12</v>
      </c>
      <c r="Y4299" s="2" t="s">
        <v>148</v>
      </c>
      <c r="Z4299" s="2">
        <v>1</v>
      </c>
      <c r="AA4299" s="2" t="s">
        <v>82</v>
      </c>
      <c r="AB4299" s="2">
        <v>6</v>
      </c>
      <c r="AC4299" s="2" t="s">
        <v>83</v>
      </c>
      <c r="AD4299" s="3">
        <v>40465</v>
      </c>
      <c r="AE4299" s="2"/>
      <c r="AF4299" s="3">
        <v>40468</v>
      </c>
      <c r="AG4299" s="4">
        <v>0.49305555555555558</v>
      </c>
      <c r="AH4299" s="2">
        <v>2</v>
      </c>
      <c r="AI4299" s="2" t="s">
        <v>84</v>
      </c>
      <c r="AJ4299" s="2">
        <v>12</v>
      </c>
      <c r="AK4299" s="2" t="s">
        <v>85</v>
      </c>
      <c r="AL4299" s="2">
        <v>17</v>
      </c>
      <c r="AM4299" s="2" t="s">
        <v>232</v>
      </c>
      <c r="AN4299" s="2" t="s">
        <v>13426</v>
      </c>
      <c r="AO4299" s="2" t="s">
        <v>13427</v>
      </c>
      <c r="AP4299" s="2">
        <v>11</v>
      </c>
      <c r="AQ4299" s="2" t="s">
        <v>82</v>
      </c>
      <c r="AR4299" s="2"/>
      <c r="AS4299" s="2"/>
      <c r="AT4299" s="2" t="s">
        <v>13428</v>
      </c>
      <c r="AU4299" s="2"/>
      <c r="AV4299" s="2"/>
      <c r="AW4299" s="2"/>
      <c r="AX4299" s="2"/>
      <c r="AY4299" s="2">
        <v>41</v>
      </c>
      <c r="AZ4299" s="2" t="s">
        <v>82</v>
      </c>
      <c r="BA4299" s="2">
        <v>41</v>
      </c>
      <c r="BB4299" s="2" t="s">
        <v>82</v>
      </c>
      <c r="BC4299" s="2">
        <v>41</v>
      </c>
      <c r="BD4299" s="2" t="s">
        <v>82</v>
      </c>
      <c r="BE4299" s="2">
        <v>41</v>
      </c>
      <c r="BF4299" s="2" t="s">
        <v>82</v>
      </c>
      <c r="BG4299" s="2"/>
      <c r="BH4299" s="2"/>
      <c r="BI4299" s="2"/>
      <c r="BJ4299" s="2">
        <v>241</v>
      </c>
      <c r="BK4299" s="2" t="s">
        <v>82</v>
      </c>
      <c r="BL4299" s="2"/>
      <c r="BM4299" s="2">
        <v>241</v>
      </c>
      <c r="BN4299" s="2" t="s">
        <v>82</v>
      </c>
      <c r="BO4299" s="2"/>
      <c r="BP4299" s="2">
        <v>241</v>
      </c>
      <c r="BQ4299" s="2" t="s">
        <v>82</v>
      </c>
      <c r="BR4299" s="2"/>
      <c r="BS4299" s="3">
        <v>40468</v>
      </c>
      <c r="BT4299" s="4">
        <v>0.69273148148148145</v>
      </c>
    </row>
    <row r="4300" spans="1:72" x14ac:dyDescent="0.25">
      <c r="A4300" s="2">
        <v>6479</v>
      </c>
      <c r="B4300" s="2">
        <v>2010</v>
      </c>
      <c r="C4300" s="2" t="s">
        <v>171</v>
      </c>
      <c r="D4300" s="2" t="s">
        <v>73</v>
      </c>
      <c r="E4300" s="2"/>
      <c r="F4300" s="2">
        <v>92</v>
      </c>
      <c r="G4300" s="2" t="s">
        <v>1432</v>
      </c>
      <c r="H4300" s="2">
        <v>108</v>
      </c>
      <c r="I4300" s="2" t="s">
        <v>1096</v>
      </c>
      <c r="J4300" s="2">
        <v>119</v>
      </c>
      <c r="K4300" s="2" t="s">
        <v>325</v>
      </c>
      <c r="L4300" s="2" t="s">
        <v>326</v>
      </c>
      <c r="M4300" s="3">
        <v>40468</v>
      </c>
      <c r="N4300" s="2" t="s">
        <v>4106</v>
      </c>
      <c r="O4300" s="2"/>
      <c r="P4300" s="2"/>
      <c r="Q4300" s="2" t="str">
        <f>"0046/10"</f>
        <v>0046/10</v>
      </c>
      <c r="R4300" s="2" t="s">
        <v>13429</v>
      </c>
      <c r="S4300" s="2" t="s">
        <v>13429</v>
      </c>
      <c r="T4300" s="2">
        <v>1</v>
      </c>
      <c r="U4300" s="2" t="s">
        <v>79</v>
      </c>
      <c r="V4300" s="2">
        <v>1</v>
      </c>
      <c r="W4300" s="2" t="s">
        <v>80</v>
      </c>
      <c r="X4300" s="2">
        <v>1</v>
      </c>
      <c r="Y4300" s="2" t="s">
        <v>81</v>
      </c>
      <c r="Z4300" s="2">
        <v>1</v>
      </c>
      <c r="AA4300" s="2" t="s">
        <v>82</v>
      </c>
      <c r="AB4300" s="2">
        <v>1</v>
      </c>
      <c r="AC4300" s="2" t="s">
        <v>178</v>
      </c>
      <c r="AD4300" s="3">
        <v>40468</v>
      </c>
      <c r="AE4300" s="4">
        <v>0.63888888888888895</v>
      </c>
      <c r="AF4300" s="2"/>
      <c r="AG4300" s="2"/>
      <c r="AH4300" s="2">
        <v>6</v>
      </c>
      <c r="AI4300" s="2" t="s">
        <v>197</v>
      </c>
      <c r="AJ4300" s="2">
        <v>50</v>
      </c>
      <c r="AK4300" s="2" t="s">
        <v>330</v>
      </c>
      <c r="AL4300" s="2">
        <v>11</v>
      </c>
      <c r="AM4300" s="2" t="s">
        <v>137</v>
      </c>
      <c r="AN4300" s="2" t="s">
        <v>416</v>
      </c>
      <c r="AO4300" s="2" t="s">
        <v>2761</v>
      </c>
      <c r="AP4300" s="2">
        <v>11</v>
      </c>
      <c r="AQ4300" s="2" t="s">
        <v>82</v>
      </c>
      <c r="AR4300" s="2"/>
      <c r="AS4300" s="2"/>
      <c r="AT4300" s="2" t="s">
        <v>13430</v>
      </c>
      <c r="AU4300" s="2"/>
      <c r="AV4300" s="2"/>
      <c r="AW4300" s="2"/>
      <c r="AX4300" s="2"/>
      <c r="AY4300" s="2">
        <v>41</v>
      </c>
      <c r="AZ4300" s="2" t="s">
        <v>82</v>
      </c>
      <c r="BA4300" s="2">
        <v>41</v>
      </c>
      <c r="BB4300" s="2" t="s">
        <v>82</v>
      </c>
      <c r="BC4300" s="2">
        <v>41</v>
      </c>
      <c r="BD4300" s="2" t="s">
        <v>82</v>
      </c>
      <c r="BE4300" s="2">
        <v>4</v>
      </c>
      <c r="BF4300" s="2" t="s">
        <v>90</v>
      </c>
      <c r="BG4300" s="2">
        <v>4349</v>
      </c>
      <c r="BH4300" s="2"/>
      <c r="BI4300" s="4">
        <v>0.65277777777777779</v>
      </c>
      <c r="BJ4300" s="2">
        <v>13</v>
      </c>
      <c r="BK4300" s="2" t="s">
        <v>91</v>
      </c>
      <c r="BL4300" s="2" t="s">
        <v>1199</v>
      </c>
      <c r="BM4300" s="2">
        <v>13</v>
      </c>
      <c r="BN4300" s="2" t="s">
        <v>91</v>
      </c>
      <c r="BO4300" s="2"/>
      <c r="BP4300" s="2">
        <v>13</v>
      </c>
      <c r="BQ4300" s="2" t="s">
        <v>91</v>
      </c>
      <c r="BR4300" s="2" t="s">
        <v>185</v>
      </c>
      <c r="BS4300" s="3">
        <v>40468</v>
      </c>
      <c r="BT4300" s="4">
        <v>0.77516203703703701</v>
      </c>
    </row>
    <row r="4301" spans="1:72" x14ac:dyDescent="0.25">
      <c r="A4301" s="2">
        <v>6480</v>
      </c>
      <c r="B4301" s="2">
        <v>2010</v>
      </c>
      <c r="C4301" s="2" t="s">
        <v>171</v>
      </c>
      <c r="D4301" s="2" t="s">
        <v>73</v>
      </c>
      <c r="E4301" s="2"/>
      <c r="F4301" s="2">
        <v>397</v>
      </c>
      <c r="G4301" s="2" t="s">
        <v>2522</v>
      </c>
      <c r="H4301" s="2">
        <v>10</v>
      </c>
      <c r="I4301" s="2" t="s">
        <v>1031</v>
      </c>
      <c r="J4301" s="2">
        <v>377</v>
      </c>
      <c r="K4301" s="2" t="s">
        <v>1223</v>
      </c>
      <c r="L4301" s="2" t="s">
        <v>1224</v>
      </c>
      <c r="M4301" s="3">
        <v>40468</v>
      </c>
      <c r="N4301" s="2" t="s">
        <v>2873</v>
      </c>
      <c r="O4301" s="2"/>
      <c r="P4301" s="2"/>
      <c r="Q4301" s="2" t="str">
        <f>"540-E/10"</f>
        <v>540-E/10</v>
      </c>
      <c r="R4301" s="2" t="s">
        <v>13431</v>
      </c>
      <c r="S4301" s="2" t="s">
        <v>13431</v>
      </c>
      <c r="T4301" s="2">
        <v>1</v>
      </c>
      <c r="U4301" s="2" t="s">
        <v>79</v>
      </c>
      <c r="V4301" s="2">
        <v>1</v>
      </c>
      <c r="W4301" s="2" t="s">
        <v>80</v>
      </c>
      <c r="X4301" s="2">
        <v>1</v>
      </c>
      <c r="Y4301" s="2" t="s">
        <v>81</v>
      </c>
      <c r="Z4301" s="2">
        <v>1</v>
      </c>
      <c r="AA4301" s="2" t="s">
        <v>82</v>
      </c>
      <c r="AB4301" s="2">
        <v>1</v>
      </c>
      <c r="AC4301" s="2" t="s">
        <v>178</v>
      </c>
      <c r="AD4301" s="3">
        <v>40468</v>
      </c>
      <c r="AE4301" s="4">
        <v>2.7777777777777776E-2</v>
      </c>
      <c r="AF4301" s="3">
        <v>40468</v>
      </c>
      <c r="AG4301" s="4">
        <v>0.29166666666666669</v>
      </c>
      <c r="AH4301" s="2">
        <v>2</v>
      </c>
      <c r="AI4301" s="2" t="s">
        <v>84</v>
      </c>
      <c r="AJ4301" s="2">
        <v>9</v>
      </c>
      <c r="AK4301" s="2" t="s">
        <v>103</v>
      </c>
      <c r="AL4301" s="2">
        <v>25</v>
      </c>
      <c r="AM4301" s="2" t="s">
        <v>3073</v>
      </c>
      <c r="AN4301" s="2" t="s">
        <v>179</v>
      </c>
      <c r="AO4301" s="2" t="s">
        <v>987</v>
      </c>
      <c r="AP4301" s="2">
        <v>11</v>
      </c>
      <c r="AQ4301" s="2" t="s">
        <v>82</v>
      </c>
      <c r="AR4301" s="2"/>
      <c r="AS4301" s="2"/>
      <c r="AT4301" s="2" t="s">
        <v>13432</v>
      </c>
      <c r="AU4301" s="2"/>
      <c r="AV4301" s="2">
        <v>1</v>
      </c>
      <c r="AW4301" s="2"/>
      <c r="AX4301" s="2"/>
      <c r="AY4301" s="2">
        <v>41</v>
      </c>
      <c r="AZ4301" s="2" t="s">
        <v>82</v>
      </c>
      <c r="BA4301" s="2">
        <v>41</v>
      </c>
      <c r="BB4301" s="2" t="s">
        <v>82</v>
      </c>
      <c r="BC4301" s="2">
        <v>41</v>
      </c>
      <c r="BD4301" s="2" t="s">
        <v>82</v>
      </c>
      <c r="BE4301" s="2">
        <v>23</v>
      </c>
      <c r="BF4301" s="2" t="s">
        <v>183</v>
      </c>
      <c r="BG4301" s="2" t="s">
        <v>13433</v>
      </c>
      <c r="BH4301" s="2"/>
      <c r="BI4301" s="4">
        <v>4.1666666666666664E-2</v>
      </c>
      <c r="BJ4301" s="2">
        <v>13</v>
      </c>
      <c r="BK4301" s="2" t="s">
        <v>91</v>
      </c>
      <c r="BL4301" s="2" t="s">
        <v>360</v>
      </c>
      <c r="BM4301" s="2">
        <v>73</v>
      </c>
      <c r="BN4301" s="2" t="s">
        <v>186</v>
      </c>
      <c r="BO4301" s="2"/>
      <c r="BP4301" s="2">
        <v>73</v>
      </c>
      <c r="BQ4301" s="2" t="s">
        <v>186</v>
      </c>
      <c r="BR4301" s="2" t="s">
        <v>187</v>
      </c>
      <c r="BS4301" s="3">
        <v>40468</v>
      </c>
      <c r="BT4301" s="4">
        <v>0.83319444444444446</v>
      </c>
    </row>
    <row r="4302" spans="1:72" x14ac:dyDescent="0.25">
      <c r="A4302" s="2">
        <v>6481</v>
      </c>
      <c r="B4302" s="2">
        <v>2010</v>
      </c>
      <c r="C4302" s="2" t="s">
        <v>819</v>
      </c>
      <c r="D4302" s="2" t="s">
        <v>122</v>
      </c>
      <c r="E4302" s="2"/>
      <c r="F4302" s="2">
        <v>425</v>
      </c>
      <c r="G4302" s="2" t="s">
        <v>286</v>
      </c>
      <c r="H4302" s="2">
        <v>39</v>
      </c>
      <c r="I4302" s="2" t="s">
        <v>1117</v>
      </c>
      <c r="J4302" s="2">
        <v>310</v>
      </c>
      <c r="K4302" s="2" t="s">
        <v>288</v>
      </c>
      <c r="L4302" s="2" t="s">
        <v>289</v>
      </c>
      <c r="M4302" s="3">
        <v>40469</v>
      </c>
      <c r="N4302" s="2" t="s">
        <v>13434</v>
      </c>
      <c r="O4302" s="2"/>
      <c r="P4302" s="2"/>
      <c r="Q4302" s="2" t="str">
        <f>"104/10"</f>
        <v>104/10</v>
      </c>
      <c r="R4302" s="2" t="s">
        <v>822</v>
      </c>
      <c r="S4302" s="2"/>
      <c r="T4302" s="2">
        <v>1</v>
      </c>
      <c r="U4302" s="2" t="s">
        <v>79</v>
      </c>
      <c r="V4302" s="2">
        <v>1</v>
      </c>
      <c r="W4302" s="2" t="s">
        <v>80</v>
      </c>
      <c r="X4302" s="2">
        <v>1</v>
      </c>
      <c r="Y4302" s="2" t="s">
        <v>81</v>
      </c>
      <c r="Z4302" s="2">
        <v>10</v>
      </c>
      <c r="AA4302" s="2" t="s">
        <v>236</v>
      </c>
      <c r="AB4302" s="2">
        <v>9</v>
      </c>
      <c r="AC4302" s="2" t="s">
        <v>124</v>
      </c>
      <c r="AD4302" s="3">
        <v>40468</v>
      </c>
      <c r="AE4302" s="4">
        <v>0.90277777777777779</v>
      </c>
      <c r="AF4302" s="2"/>
      <c r="AG4302" s="2"/>
      <c r="AH4302" s="2">
        <v>4</v>
      </c>
      <c r="AI4302" s="2" t="s">
        <v>125</v>
      </c>
      <c r="AJ4302" s="2">
        <v>29</v>
      </c>
      <c r="AK4302" s="2" t="s">
        <v>227</v>
      </c>
      <c r="AL4302" s="2">
        <v>10</v>
      </c>
      <c r="AM4302" s="2" t="s">
        <v>200</v>
      </c>
      <c r="AN4302" s="2" t="s">
        <v>1015</v>
      </c>
      <c r="AO4302" s="2" t="s">
        <v>6863</v>
      </c>
      <c r="AP4302" s="2">
        <v>12</v>
      </c>
      <c r="AQ4302" s="2" t="s">
        <v>322</v>
      </c>
      <c r="AR4302" s="2" t="s">
        <v>824</v>
      </c>
      <c r="AS4302" s="2" t="s">
        <v>825</v>
      </c>
      <c r="AT4302" s="2" t="s">
        <v>13435</v>
      </c>
      <c r="AU4302" s="2"/>
      <c r="AV4302" s="2"/>
      <c r="AW4302" s="2"/>
      <c r="AX4302" s="2"/>
      <c r="AY4302" s="2">
        <v>41</v>
      </c>
      <c r="AZ4302" s="2" t="s">
        <v>82</v>
      </c>
      <c r="BA4302" s="2">
        <v>41</v>
      </c>
      <c r="BB4302" s="2" t="s">
        <v>82</v>
      </c>
      <c r="BC4302" s="2">
        <v>51</v>
      </c>
      <c r="BD4302" s="2" t="s">
        <v>827</v>
      </c>
      <c r="BE4302" s="2">
        <v>13</v>
      </c>
      <c r="BF4302" s="2" t="s">
        <v>108</v>
      </c>
      <c r="BG4302" s="2">
        <v>1459</v>
      </c>
      <c r="BH4302" s="4">
        <v>0.90277777777777779</v>
      </c>
      <c r="BI4302" s="4">
        <v>0.9375</v>
      </c>
      <c r="BJ4302" s="2">
        <v>13</v>
      </c>
      <c r="BK4302" s="2" t="s">
        <v>91</v>
      </c>
      <c r="BL4302" s="2" t="s">
        <v>828</v>
      </c>
      <c r="BM4302" s="2">
        <v>13</v>
      </c>
      <c r="BN4302" s="2" t="s">
        <v>91</v>
      </c>
      <c r="BO4302" s="2"/>
      <c r="BP4302" s="2">
        <v>13</v>
      </c>
      <c r="BQ4302" s="2" t="s">
        <v>91</v>
      </c>
      <c r="BR4302" s="2" t="s">
        <v>185</v>
      </c>
      <c r="BS4302" s="3">
        <v>40469</v>
      </c>
      <c r="BT4302" s="4">
        <v>1.6736111111111111E-2</v>
      </c>
    </row>
    <row r="4303" spans="1:72" x14ac:dyDescent="0.25">
      <c r="A4303" s="2">
        <v>6482</v>
      </c>
      <c r="B4303" s="2">
        <v>2010</v>
      </c>
      <c r="C4303" s="2" t="s">
        <v>171</v>
      </c>
      <c r="D4303" s="2" t="s">
        <v>122</v>
      </c>
      <c r="E4303" s="2" t="s">
        <v>13436</v>
      </c>
      <c r="F4303" s="2">
        <v>397</v>
      </c>
      <c r="G4303" s="2" t="s">
        <v>2522</v>
      </c>
      <c r="H4303" s="2">
        <v>10</v>
      </c>
      <c r="I4303" s="2" t="s">
        <v>1031</v>
      </c>
      <c r="J4303" s="2">
        <v>377</v>
      </c>
      <c r="K4303" s="2" t="s">
        <v>1223</v>
      </c>
      <c r="L4303" s="2" t="s">
        <v>1224</v>
      </c>
      <c r="M4303" s="3">
        <v>40469</v>
      </c>
      <c r="N4303" s="2" t="s">
        <v>2873</v>
      </c>
      <c r="O4303" s="2"/>
      <c r="P4303" s="2"/>
      <c r="Q4303" s="2" t="str">
        <f>"540-E/10"</f>
        <v>540-E/10</v>
      </c>
      <c r="R4303" s="2" t="s">
        <v>13431</v>
      </c>
      <c r="S4303" s="2"/>
      <c r="T4303" s="2">
        <v>1</v>
      </c>
      <c r="U4303" s="2" t="s">
        <v>79</v>
      </c>
      <c r="V4303" s="2">
        <v>1</v>
      </c>
      <c r="W4303" s="2" t="s">
        <v>80</v>
      </c>
      <c r="X4303" s="2">
        <v>1</v>
      </c>
      <c r="Y4303" s="2" t="s">
        <v>81</v>
      </c>
      <c r="Z4303" s="2">
        <v>1</v>
      </c>
      <c r="AA4303" s="2" t="s">
        <v>82</v>
      </c>
      <c r="AB4303" s="2">
        <v>1</v>
      </c>
      <c r="AC4303" s="2" t="s">
        <v>178</v>
      </c>
      <c r="AD4303" s="3">
        <v>40469</v>
      </c>
      <c r="AE4303" s="4">
        <v>0.31944444444444448</v>
      </c>
      <c r="AF4303" s="2"/>
      <c r="AG4303" s="2"/>
      <c r="AH4303" s="2">
        <v>2</v>
      </c>
      <c r="AI4303" s="2" t="s">
        <v>84</v>
      </c>
      <c r="AJ4303" s="2">
        <v>9</v>
      </c>
      <c r="AK4303" s="2" t="s">
        <v>103</v>
      </c>
      <c r="AL4303" s="2">
        <v>14</v>
      </c>
      <c r="AM4303" s="2" t="s">
        <v>216</v>
      </c>
      <c r="AN4303" s="2"/>
      <c r="AO4303" s="2" t="s">
        <v>179</v>
      </c>
      <c r="AP4303" s="2">
        <v>11</v>
      </c>
      <c r="AQ4303" s="2" t="s">
        <v>82</v>
      </c>
      <c r="AR4303" s="2"/>
      <c r="AS4303" s="2"/>
      <c r="AT4303" s="2" t="s">
        <v>13437</v>
      </c>
      <c r="AU4303" s="2"/>
      <c r="AV4303" s="2">
        <v>1</v>
      </c>
      <c r="AW4303" s="2"/>
      <c r="AX4303" s="2"/>
      <c r="AY4303" s="2">
        <v>41</v>
      </c>
      <c r="AZ4303" s="2" t="s">
        <v>82</v>
      </c>
      <c r="BA4303" s="2">
        <v>41</v>
      </c>
      <c r="BB4303" s="2" t="s">
        <v>82</v>
      </c>
      <c r="BC4303" s="2">
        <v>41</v>
      </c>
      <c r="BD4303" s="2" t="s">
        <v>82</v>
      </c>
      <c r="BE4303" s="2">
        <v>23</v>
      </c>
      <c r="BF4303" s="2" t="s">
        <v>183</v>
      </c>
      <c r="BG4303" s="2" t="s">
        <v>13433</v>
      </c>
      <c r="BH4303" s="2"/>
      <c r="BI4303" s="4">
        <v>4.1666666666666664E-2</v>
      </c>
      <c r="BJ4303" s="2">
        <v>13</v>
      </c>
      <c r="BK4303" s="2" t="s">
        <v>91</v>
      </c>
      <c r="BL4303" s="2" t="s">
        <v>360</v>
      </c>
      <c r="BM4303" s="2">
        <v>73</v>
      </c>
      <c r="BN4303" s="2" t="s">
        <v>186</v>
      </c>
      <c r="BO4303" s="2"/>
      <c r="BP4303" s="2">
        <v>73</v>
      </c>
      <c r="BQ4303" s="2" t="s">
        <v>186</v>
      </c>
      <c r="BR4303" s="2" t="s">
        <v>187</v>
      </c>
      <c r="BS4303" s="3">
        <v>40469</v>
      </c>
      <c r="BT4303" s="4">
        <v>0.37084490740740739</v>
      </c>
    </row>
    <row r="4304" spans="1:72" x14ac:dyDescent="0.25">
      <c r="A4304" s="2">
        <v>6482</v>
      </c>
      <c r="B4304" s="2">
        <v>2010</v>
      </c>
      <c r="C4304" s="2" t="s">
        <v>385</v>
      </c>
      <c r="D4304" s="2" t="s">
        <v>122</v>
      </c>
      <c r="E4304" s="2" t="s">
        <v>13436</v>
      </c>
      <c r="F4304" s="2">
        <v>397</v>
      </c>
      <c r="G4304" s="2" t="s">
        <v>2522</v>
      </c>
      <c r="H4304" s="2">
        <v>10</v>
      </c>
      <c r="I4304" s="2" t="s">
        <v>1031</v>
      </c>
      <c r="J4304" s="2">
        <v>377</v>
      </c>
      <c r="K4304" s="2" t="s">
        <v>1223</v>
      </c>
      <c r="L4304" s="2" t="s">
        <v>1224</v>
      </c>
      <c r="M4304" s="3">
        <v>40469</v>
      </c>
      <c r="N4304" s="2" t="s">
        <v>2873</v>
      </c>
      <c r="O4304" s="2"/>
      <c r="P4304" s="2"/>
      <c r="Q4304" s="2" t="str">
        <f>"540-E/10"</f>
        <v>540-E/10</v>
      </c>
      <c r="R4304" s="2" t="s">
        <v>13431</v>
      </c>
      <c r="S4304" s="2"/>
      <c r="T4304" s="2">
        <v>1</v>
      </c>
      <c r="U4304" s="2" t="s">
        <v>79</v>
      </c>
      <c r="V4304" s="2">
        <v>1</v>
      </c>
      <c r="W4304" s="2" t="s">
        <v>80</v>
      </c>
      <c r="X4304" s="2">
        <v>1</v>
      </c>
      <c r="Y4304" s="2" t="s">
        <v>81</v>
      </c>
      <c r="Z4304" s="2">
        <v>1</v>
      </c>
      <c r="AA4304" s="2" t="s">
        <v>82</v>
      </c>
      <c r="AB4304" s="2">
        <v>9</v>
      </c>
      <c r="AC4304" s="2" t="s">
        <v>124</v>
      </c>
      <c r="AD4304" s="3">
        <v>40469</v>
      </c>
      <c r="AE4304" s="4">
        <v>0.31944444444444448</v>
      </c>
      <c r="AF4304" s="2"/>
      <c r="AG4304" s="2"/>
      <c r="AH4304" s="2">
        <v>2</v>
      </c>
      <c r="AI4304" s="2" t="s">
        <v>84</v>
      </c>
      <c r="AJ4304" s="2">
        <v>9</v>
      </c>
      <c r="AK4304" s="2" t="s">
        <v>103</v>
      </c>
      <c r="AL4304" s="2">
        <v>14</v>
      </c>
      <c r="AM4304" s="2" t="s">
        <v>216</v>
      </c>
      <c r="AN4304" s="2"/>
      <c r="AO4304" s="2" t="s">
        <v>179</v>
      </c>
      <c r="AP4304" s="2">
        <v>11</v>
      </c>
      <c r="AQ4304" s="2" t="s">
        <v>82</v>
      </c>
      <c r="AR4304" s="2"/>
      <c r="AS4304" s="2"/>
      <c r="AT4304" s="2" t="s">
        <v>13437</v>
      </c>
      <c r="AU4304" s="2"/>
      <c r="AV4304" s="2">
        <v>1</v>
      </c>
      <c r="AW4304" s="2"/>
      <c r="AX4304" s="2"/>
      <c r="AY4304" s="2">
        <v>41</v>
      </c>
      <c r="AZ4304" s="2" t="s">
        <v>82</v>
      </c>
      <c r="BA4304" s="2">
        <v>41</v>
      </c>
      <c r="BB4304" s="2" t="s">
        <v>82</v>
      </c>
      <c r="BC4304" s="2">
        <v>41</v>
      </c>
      <c r="BD4304" s="2" t="s">
        <v>82</v>
      </c>
      <c r="BE4304" s="2">
        <v>23</v>
      </c>
      <c r="BF4304" s="2" t="s">
        <v>183</v>
      </c>
      <c r="BG4304" s="2" t="s">
        <v>13433</v>
      </c>
      <c r="BH4304" s="2"/>
      <c r="BI4304" s="4">
        <v>4.1666666666666664E-2</v>
      </c>
      <c r="BJ4304" s="2">
        <v>13</v>
      </c>
      <c r="BK4304" s="2" t="s">
        <v>91</v>
      </c>
      <c r="BL4304" s="2" t="s">
        <v>360</v>
      </c>
      <c r="BM4304" s="2">
        <v>73</v>
      </c>
      <c r="BN4304" s="2" t="s">
        <v>186</v>
      </c>
      <c r="BO4304" s="2"/>
      <c r="BP4304" s="2">
        <v>73</v>
      </c>
      <c r="BQ4304" s="2" t="s">
        <v>186</v>
      </c>
      <c r="BR4304" s="2" t="s">
        <v>187</v>
      </c>
      <c r="BS4304" s="3">
        <v>40469</v>
      </c>
      <c r="BT4304" s="4">
        <v>0.37084490740740739</v>
      </c>
    </row>
    <row r="4305" spans="1:72" x14ac:dyDescent="0.25">
      <c r="A4305" s="2">
        <v>6483</v>
      </c>
      <c r="B4305" s="2">
        <v>2010</v>
      </c>
      <c r="C4305" s="2" t="s">
        <v>171</v>
      </c>
      <c r="D4305" s="2" t="s">
        <v>122</v>
      </c>
      <c r="E4305" s="2" t="s">
        <v>13438</v>
      </c>
      <c r="F4305" s="2">
        <v>397</v>
      </c>
      <c r="G4305" s="2" t="s">
        <v>2522</v>
      </c>
      <c r="H4305" s="2">
        <v>11</v>
      </c>
      <c r="I4305" s="2" t="s">
        <v>1397</v>
      </c>
      <c r="J4305" s="2">
        <v>377</v>
      </c>
      <c r="K4305" s="2" t="s">
        <v>1223</v>
      </c>
      <c r="L4305" s="2" t="s">
        <v>1224</v>
      </c>
      <c r="M4305" s="3">
        <v>40469</v>
      </c>
      <c r="N4305" s="2" t="s">
        <v>13418</v>
      </c>
      <c r="O4305" s="2"/>
      <c r="P4305" s="2"/>
      <c r="Q4305" s="2" t="str">
        <f>"538-E/10"</f>
        <v>538-E/10</v>
      </c>
      <c r="R4305" s="2" t="s">
        <v>391</v>
      </c>
      <c r="S4305" s="2" t="s">
        <v>391</v>
      </c>
      <c r="T4305" s="2">
        <v>1</v>
      </c>
      <c r="U4305" s="2" t="s">
        <v>79</v>
      </c>
      <c r="V4305" s="2">
        <v>1</v>
      </c>
      <c r="W4305" s="2" t="s">
        <v>80</v>
      </c>
      <c r="X4305" s="2">
        <v>1</v>
      </c>
      <c r="Y4305" s="2" t="s">
        <v>81</v>
      </c>
      <c r="Z4305" s="2">
        <v>1</v>
      </c>
      <c r="AA4305" s="2" t="s">
        <v>82</v>
      </c>
      <c r="AB4305" s="2">
        <v>1</v>
      </c>
      <c r="AC4305" s="2" t="s">
        <v>178</v>
      </c>
      <c r="AD4305" s="3">
        <v>40469</v>
      </c>
      <c r="AE4305" s="4">
        <v>0.31944444444444448</v>
      </c>
      <c r="AF4305" s="2"/>
      <c r="AG4305" s="2"/>
      <c r="AH4305" s="2">
        <v>2</v>
      </c>
      <c r="AI4305" s="2" t="s">
        <v>84</v>
      </c>
      <c r="AJ4305" s="2">
        <v>9</v>
      </c>
      <c r="AK4305" s="2" t="s">
        <v>103</v>
      </c>
      <c r="AL4305" s="2">
        <v>14</v>
      </c>
      <c r="AM4305" s="2" t="s">
        <v>216</v>
      </c>
      <c r="AN4305" s="2"/>
      <c r="AO4305" s="2" t="s">
        <v>179</v>
      </c>
      <c r="AP4305" s="2">
        <v>11</v>
      </c>
      <c r="AQ4305" s="2" t="s">
        <v>82</v>
      </c>
      <c r="AR4305" s="2"/>
      <c r="AS4305" s="2"/>
      <c r="AT4305" s="2" t="s">
        <v>13439</v>
      </c>
      <c r="AU4305" s="2"/>
      <c r="AV4305" s="2">
        <v>2</v>
      </c>
      <c r="AW4305" s="2"/>
      <c r="AX4305" s="2"/>
      <c r="AY4305" s="2">
        <v>41</v>
      </c>
      <c r="AZ4305" s="2" t="s">
        <v>82</v>
      </c>
      <c r="BA4305" s="2">
        <v>41</v>
      </c>
      <c r="BB4305" s="2" t="s">
        <v>82</v>
      </c>
      <c r="BC4305" s="2">
        <v>41</v>
      </c>
      <c r="BD4305" s="2" t="s">
        <v>82</v>
      </c>
      <c r="BE4305" s="2">
        <v>23</v>
      </c>
      <c r="BF4305" s="2" t="s">
        <v>183</v>
      </c>
      <c r="BG4305" s="2" t="s">
        <v>5475</v>
      </c>
      <c r="BH4305" s="2"/>
      <c r="BI4305" s="4">
        <v>0.5</v>
      </c>
      <c r="BJ4305" s="2">
        <v>13</v>
      </c>
      <c r="BK4305" s="2" t="s">
        <v>91</v>
      </c>
      <c r="BL4305" s="2" t="s">
        <v>185</v>
      </c>
      <c r="BM4305" s="2">
        <v>73</v>
      </c>
      <c r="BN4305" s="2" t="s">
        <v>186</v>
      </c>
      <c r="BO4305" s="2"/>
      <c r="BP4305" s="2">
        <v>73</v>
      </c>
      <c r="BQ4305" s="2" t="s">
        <v>186</v>
      </c>
      <c r="BR4305" s="2" t="s">
        <v>187</v>
      </c>
      <c r="BS4305" s="3">
        <v>40469</v>
      </c>
      <c r="BT4305" s="4">
        <v>0.37405092592592593</v>
      </c>
    </row>
    <row r="4306" spans="1:72" x14ac:dyDescent="0.25">
      <c r="A4306" s="2">
        <v>6483</v>
      </c>
      <c r="B4306" s="2">
        <v>2010</v>
      </c>
      <c r="C4306" s="2" t="s">
        <v>385</v>
      </c>
      <c r="D4306" s="2" t="s">
        <v>122</v>
      </c>
      <c r="E4306" s="2" t="s">
        <v>13438</v>
      </c>
      <c r="F4306" s="2">
        <v>397</v>
      </c>
      <c r="G4306" s="2" t="s">
        <v>2522</v>
      </c>
      <c r="H4306" s="2">
        <v>11</v>
      </c>
      <c r="I4306" s="2" t="s">
        <v>1397</v>
      </c>
      <c r="J4306" s="2">
        <v>377</v>
      </c>
      <c r="K4306" s="2" t="s">
        <v>1223</v>
      </c>
      <c r="L4306" s="2" t="s">
        <v>1224</v>
      </c>
      <c r="M4306" s="3">
        <v>40469</v>
      </c>
      <c r="N4306" s="2" t="s">
        <v>13418</v>
      </c>
      <c r="O4306" s="2"/>
      <c r="P4306" s="2"/>
      <c r="Q4306" s="2" t="str">
        <f>"538-E/10"</f>
        <v>538-E/10</v>
      </c>
      <c r="R4306" s="2" t="s">
        <v>391</v>
      </c>
      <c r="S4306" s="2" t="s">
        <v>391</v>
      </c>
      <c r="T4306" s="2">
        <v>1</v>
      </c>
      <c r="U4306" s="2" t="s">
        <v>79</v>
      </c>
      <c r="V4306" s="2">
        <v>1</v>
      </c>
      <c r="W4306" s="2" t="s">
        <v>80</v>
      </c>
      <c r="X4306" s="2">
        <v>1</v>
      </c>
      <c r="Y4306" s="2" t="s">
        <v>81</v>
      </c>
      <c r="Z4306" s="2">
        <v>1</v>
      </c>
      <c r="AA4306" s="2" t="s">
        <v>82</v>
      </c>
      <c r="AB4306" s="2">
        <v>9</v>
      </c>
      <c r="AC4306" s="2" t="s">
        <v>124</v>
      </c>
      <c r="AD4306" s="3">
        <v>40469</v>
      </c>
      <c r="AE4306" s="4">
        <v>0.31944444444444448</v>
      </c>
      <c r="AF4306" s="2"/>
      <c r="AG4306" s="2"/>
      <c r="AH4306" s="2">
        <v>2</v>
      </c>
      <c r="AI4306" s="2" t="s">
        <v>84</v>
      </c>
      <c r="AJ4306" s="2">
        <v>9</v>
      </c>
      <c r="AK4306" s="2" t="s">
        <v>103</v>
      </c>
      <c r="AL4306" s="2">
        <v>14</v>
      </c>
      <c r="AM4306" s="2" t="s">
        <v>216</v>
      </c>
      <c r="AN4306" s="2"/>
      <c r="AO4306" s="2" t="s">
        <v>179</v>
      </c>
      <c r="AP4306" s="2">
        <v>11</v>
      </c>
      <c r="AQ4306" s="2" t="s">
        <v>82</v>
      </c>
      <c r="AR4306" s="2"/>
      <c r="AS4306" s="2"/>
      <c r="AT4306" s="2" t="s">
        <v>13439</v>
      </c>
      <c r="AU4306" s="2"/>
      <c r="AV4306" s="2">
        <v>2</v>
      </c>
      <c r="AW4306" s="2"/>
      <c r="AX4306" s="2"/>
      <c r="AY4306" s="2">
        <v>41</v>
      </c>
      <c r="AZ4306" s="2" t="s">
        <v>82</v>
      </c>
      <c r="BA4306" s="2">
        <v>41</v>
      </c>
      <c r="BB4306" s="2" t="s">
        <v>82</v>
      </c>
      <c r="BC4306" s="2">
        <v>41</v>
      </c>
      <c r="BD4306" s="2" t="s">
        <v>82</v>
      </c>
      <c r="BE4306" s="2">
        <v>23</v>
      </c>
      <c r="BF4306" s="2" t="s">
        <v>183</v>
      </c>
      <c r="BG4306" s="2" t="s">
        <v>5475</v>
      </c>
      <c r="BH4306" s="2"/>
      <c r="BI4306" s="4">
        <v>0.5</v>
      </c>
      <c r="BJ4306" s="2">
        <v>13</v>
      </c>
      <c r="BK4306" s="2" t="s">
        <v>91</v>
      </c>
      <c r="BL4306" s="2" t="s">
        <v>185</v>
      </c>
      <c r="BM4306" s="2">
        <v>73</v>
      </c>
      <c r="BN4306" s="2" t="s">
        <v>186</v>
      </c>
      <c r="BO4306" s="2"/>
      <c r="BP4306" s="2">
        <v>73</v>
      </c>
      <c r="BQ4306" s="2" t="s">
        <v>186</v>
      </c>
      <c r="BR4306" s="2" t="s">
        <v>187</v>
      </c>
      <c r="BS4306" s="3">
        <v>40469</v>
      </c>
      <c r="BT4306" s="4">
        <v>0.37405092592592593</v>
      </c>
    </row>
    <row r="4307" spans="1:72" x14ac:dyDescent="0.25">
      <c r="A4307" s="2">
        <v>6485</v>
      </c>
      <c r="B4307" s="2">
        <v>2010</v>
      </c>
      <c r="C4307" s="2" t="s">
        <v>72</v>
      </c>
      <c r="D4307" s="2" t="s">
        <v>73</v>
      </c>
      <c r="E4307" s="2"/>
      <c r="F4307" s="2">
        <v>698</v>
      </c>
      <c r="G4307" s="2" t="s">
        <v>13440</v>
      </c>
      <c r="H4307" s="2">
        <v>22</v>
      </c>
      <c r="I4307" s="2" t="s">
        <v>75</v>
      </c>
      <c r="J4307" s="2">
        <v>688</v>
      </c>
      <c r="K4307" s="2" t="s">
        <v>13441</v>
      </c>
      <c r="L4307" s="2" t="s">
        <v>2327</v>
      </c>
      <c r="M4307" s="3">
        <v>40469</v>
      </c>
      <c r="N4307" s="2" t="s">
        <v>13442</v>
      </c>
      <c r="O4307" s="2"/>
      <c r="P4307" s="2"/>
      <c r="Q4307" s="2" t="str">
        <f>"413-A/10"</f>
        <v>413-A/10</v>
      </c>
      <c r="R4307" s="2" t="s">
        <v>156</v>
      </c>
      <c r="S4307" s="2" t="s">
        <v>156</v>
      </c>
      <c r="T4307" s="2">
        <v>1</v>
      </c>
      <c r="U4307" s="2" t="s">
        <v>79</v>
      </c>
      <c r="V4307" s="2">
        <v>1</v>
      </c>
      <c r="W4307" s="2" t="s">
        <v>80</v>
      </c>
      <c r="X4307" s="2">
        <v>1</v>
      </c>
      <c r="Y4307" s="2" t="s">
        <v>81</v>
      </c>
      <c r="Z4307" s="2">
        <v>1</v>
      </c>
      <c r="AA4307" s="2" t="s">
        <v>82</v>
      </c>
      <c r="AB4307" s="2">
        <v>6</v>
      </c>
      <c r="AC4307" s="2" t="s">
        <v>83</v>
      </c>
      <c r="AD4307" s="3">
        <v>40469</v>
      </c>
      <c r="AE4307" s="4">
        <v>0.2986111111111111</v>
      </c>
      <c r="AF4307" s="3">
        <v>40469</v>
      </c>
      <c r="AG4307" s="4">
        <v>0.3125</v>
      </c>
      <c r="AH4307" s="2">
        <v>2</v>
      </c>
      <c r="AI4307" s="2" t="s">
        <v>84</v>
      </c>
      <c r="AJ4307" s="2">
        <v>12</v>
      </c>
      <c r="AK4307" s="2" t="s">
        <v>85</v>
      </c>
      <c r="AL4307" s="2">
        <v>22</v>
      </c>
      <c r="AM4307" s="2" t="s">
        <v>1853</v>
      </c>
      <c r="AN4307" s="2"/>
      <c r="AO4307" s="2" t="s">
        <v>2568</v>
      </c>
      <c r="AP4307" s="2">
        <v>11</v>
      </c>
      <c r="AQ4307" s="2" t="s">
        <v>82</v>
      </c>
      <c r="AR4307" s="2"/>
      <c r="AS4307" s="2"/>
      <c r="AT4307" s="2" t="s">
        <v>13443</v>
      </c>
      <c r="AU4307" s="2"/>
      <c r="AV4307" s="2"/>
      <c r="AW4307" s="2"/>
      <c r="AX4307" s="2"/>
      <c r="AY4307" s="2">
        <v>41</v>
      </c>
      <c r="AZ4307" s="2" t="s">
        <v>82</v>
      </c>
      <c r="BA4307" s="2">
        <v>41</v>
      </c>
      <c r="BB4307" s="2" t="s">
        <v>82</v>
      </c>
      <c r="BC4307" s="2">
        <v>41</v>
      </c>
      <c r="BD4307" s="2" t="s">
        <v>82</v>
      </c>
      <c r="BE4307" s="2">
        <v>13</v>
      </c>
      <c r="BF4307" s="2" t="s">
        <v>108</v>
      </c>
      <c r="BG4307" s="2" t="s">
        <v>13444</v>
      </c>
      <c r="BH4307" s="4">
        <v>0.29166666666666669</v>
      </c>
      <c r="BI4307" s="4">
        <v>0.14583333333333334</v>
      </c>
      <c r="BJ4307" s="2">
        <v>13</v>
      </c>
      <c r="BK4307" s="2" t="s">
        <v>91</v>
      </c>
      <c r="BL4307" s="2" t="s">
        <v>492</v>
      </c>
      <c r="BM4307" s="2">
        <v>13</v>
      </c>
      <c r="BN4307" s="2" t="s">
        <v>91</v>
      </c>
      <c r="BO4307" s="2"/>
      <c r="BP4307" s="2">
        <v>13</v>
      </c>
      <c r="BQ4307" s="2" t="s">
        <v>91</v>
      </c>
      <c r="BR4307" s="2" t="s">
        <v>564</v>
      </c>
      <c r="BS4307" s="3">
        <v>40469</v>
      </c>
      <c r="BT4307" s="4">
        <v>0.47596064814814815</v>
      </c>
    </row>
    <row r="4308" spans="1:72" x14ac:dyDescent="0.25">
      <c r="A4308" s="2">
        <v>6487</v>
      </c>
      <c r="B4308" s="2">
        <v>2010</v>
      </c>
      <c r="C4308" s="2" t="s">
        <v>819</v>
      </c>
      <c r="D4308" s="2" t="s">
        <v>122</v>
      </c>
      <c r="E4308" s="2" t="s">
        <v>13445</v>
      </c>
      <c r="F4308" s="2">
        <v>425</v>
      </c>
      <c r="G4308" s="2" t="s">
        <v>286</v>
      </c>
      <c r="H4308" s="2">
        <v>39</v>
      </c>
      <c r="I4308" s="2" t="s">
        <v>1117</v>
      </c>
      <c r="J4308" s="2">
        <v>310</v>
      </c>
      <c r="K4308" s="2" t="s">
        <v>288</v>
      </c>
      <c r="L4308" s="2" t="s">
        <v>289</v>
      </c>
      <c r="M4308" s="3">
        <v>40469</v>
      </c>
      <c r="N4308" s="2" t="s">
        <v>13434</v>
      </c>
      <c r="O4308" s="2" t="s">
        <v>3296</v>
      </c>
      <c r="P4308" s="2"/>
      <c r="Q4308" s="2" t="str">
        <f>"104/10"</f>
        <v>104/10</v>
      </c>
      <c r="R4308" s="2" t="s">
        <v>3296</v>
      </c>
      <c r="S4308" s="2" t="s">
        <v>822</v>
      </c>
      <c r="T4308" s="2">
        <v>1</v>
      </c>
      <c r="U4308" s="2" t="s">
        <v>79</v>
      </c>
      <c r="V4308" s="2">
        <v>1</v>
      </c>
      <c r="W4308" s="2" t="s">
        <v>80</v>
      </c>
      <c r="X4308" s="2">
        <v>1</v>
      </c>
      <c r="Y4308" s="2" t="s">
        <v>81</v>
      </c>
      <c r="Z4308" s="2">
        <v>10</v>
      </c>
      <c r="AA4308" s="2" t="s">
        <v>236</v>
      </c>
      <c r="AB4308" s="2">
        <v>9</v>
      </c>
      <c r="AC4308" s="2" t="s">
        <v>124</v>
      </c>
      <c r="AD4308" s="3">
        <v>40469</v>
      </c>
      <c r="AE4308" s="4">
        <v>0.41666666666666669</v>
      </c>
      <c r="AF4308" s="2"/>
      <c r="AG4308" s="2"/>
      <c r="AH4308" s="2">
        <v>4</v>
      </c>
      <c r="AI4308" s="2" t="s">
        <v>125</v>
      </c>
      <c r="AJ4308" s="2">
        <v>29</v>
      </c>
      <c r="AK4308" s="2" t="s">
        <v>227</v>
      </c>
      <c r="AL4308" s="2">
        <v>16</v>
      </c>
      <c r="AM4308" s="2" t="s">
        <v>392</v>
      </c>
      <c r="AN4308" s="2" t="s">
        <v>3040</v>
      </c>
      <c r="AO4308" s="2" t="s">
        <v>8454</v>
      </c>
      <c r="AP4308" s="2">
        <v>12</v>
      </c>
      <c r="AQ4308" s="2" t="s">
        <v>322</v>
      </c>
      <c r="AR4308" s="2" t="s">
        <v>824</v>
      </c>
      <c r="AS4308" s="2" t="s">
        <v>825</v>
      </c>
      <c r="AT4308" s="2" t="s">
        <v>13446</v>
      </c>
      <c r="AU4308" s="2"/>
      <c r="AV4308" s="2"/>
      <c r="AW4308" s="2"/>
      <c r="AX4308" s="2"/>
      <c r="AY4308" s="2">
        <v>41</v>
      </c>
      <c r="AZ4308" s="2" t="s">
        <v>82</v>
      </c>
      <c r="BA4308" s="2">
        <v>41</v>
      </c>
      <c r="BB4308" s="2" t="s">
        <v>82</v>
      </c>
      <c r="BC4308" s="2">
        <v>51</v>
      </c>
      <c r="BD4308" s="2" t="s">
        <v>827</v>
      </c>
      <c r="BE4308" s="2">
        <v>13</v>
      </c>
      <c r="BF4308" s="2" t="s">
        <v>108</v>
      </c>
      <c r="BG4308" s="2">
        <v>1459</v>
      </c>
      <c r="BH4308" s="4">
        <v>0.90277777777777779</v>
      </c>
      <c r="BI4308" s="4">
        <v>0.9375</v>
      </c>
      <c r="BJ4308" s="2">
        <v>13</v>
      </c>
      <c r="BK4308" s="2" t="s">
        <v>91</v>
      </c>
      <c r="BL4308" s="2" t="s">
        <v>828</v>
      </c>
      <c r="BM4308" s="2">
        <v>13</v>
      </c>
      <c r="BN4308" s="2" t="s">
        <v>91</v>
      </c>
      <c r="BO4308" s="2"/>
      <c r="BP4308" s="2">
        <v>13</v>
      </c>
      <c r="BQ4308" s="2" t="s">
        <v>91</v>
      </c>
      <c r="BR4308" s="2" t="s">
        <v>185</v>
      </c>
      <c r="BS4308" s="3">
        <v>40469</v>
      </c>
      <c r="BT4308" s="4">
        <v>0.50370370370370365</v>
      </c>
    </row>
    <row r="4309" spans="1:72" x14ac:dyDescent="0.25">
      <c r="A4309" s="2">
        <v>6488</v>
      </c>
      <c r="B4309" s="2">
        <v>2010</v>
      </c>
      <c r="C4309" s="2" t="s">
        <v>93</v>
      </c>
      <c r="D4309" s="2" t="s">
        <v>73</v>
      </c>
      <c r="E4309" s="2"/>
      <c r="F4309" s="2">
        <v>203</v>
      </c>
      <c r="G4309" s="2" t="s">
        <v>7756</v>
      </c>
      <c r="H4309" s="2">
        <v>120</v>
      </c>
      <c r="I4309" s="2" t="s">
        <v>7757</v>
      </c>
      <c r="J4309" s="2">
        <v>507</v>
      </c>
      <c r="K4309" s="2" t="s">
        <v>4188</v>
      </c>
      <c r="L4309" s="2" t="s">
        <v>4189</v>
      </c>
      <c r="M4309" s="3">
        <v>40469</v>
      </c>
      <c r="N4309" s="2" t="s">
        <v>13447</v>
      </c>
      <c r="O4309" s="2" t="s">
        <v>13448</v>
      </c>
      <c r="P4309" s="2">
        <v>32170</v>
      </c>
      <c r="Q4309" s="2" t="str">
        <f>"0137/10"</f>
        <v>0137/10</v>
      </c>
      <c r="R4309" s="2"/>
      <c r="S4309" s="2" t="s">
        <v>7393</v>
      </c>
      <c r="T4309" s="2">
        <v>1</v>
      </c>
      <c r="U4309" s="2" t="s">
        <v>79</v>
      </c>
      <c r="V4309" s="2">
        <v>1</v>
      </c>
      <c r="W4309" s="2" t="s">
        <v>80</v>
      </c>
      <c r="X4309" s="2">
        <v>10</v>
      </c>
      <c r="Y4309" s="2" t="s">
        <v>226</v>
      </c>
      <c r="Z4309" s="2">
        <v>9</v>
      </c>
      <c r="AA4309" s="2" t="s">
        <v>1119</v>
      </c>
      <c r="AB4309" s="2">
        <v>2</v>
      </c>
      <c r="AC4309" s="2" t="s">
        <v>102</v>
      </c>
      <c r="AD4309" s="3">
        <v>40469</v>
      </c>
      <c r="AE4309" s="4">
        <v>0.44791666666666669</v>
      </c>
      <c r="AF4309" s="2"/>
      <c r="AG4309" s="2"/>
      <c r="AH4309" s="2">
        <v>5</v>
      </c>
      <c r="AI4309" s="2" t="s">
        <v>274</v>
      </c>
      <c r="AJ4309" s="2">
        <v>38</v>
      </c>
      <c r="AK4309" s="2" t="s">
        <v>1120</v>
      </c>
      <c r="AL4309" s="2">
        <v>11</v>
      </c>
      <c r="AM4309" s="2" t="s">
        <v>137</v>
      </c>
      <c r="AN4309" s="2"/>
      <c r="AO4309" s="2" t="s">
        <v>3040</v>
      </c>
      <c r="AP4309" s="2">
        <v>11</v>
      </c>
      <c r="AQ4309" s="2" t="s">
        <v>82</v>
      </c>
      <c r="AR4309" s="2"/>
      <c r="AS4309" s="2"/>
      <c r="AT4309" s="2" t="s">
        <v>13449</v>
      </c>
      <c r="AU4309" s="2"/>
      <c r="AV4309" s="2"/>
      <c r="AW4309" s="2"/>
      <c r="AX4309" s="2"/>
      <c r="AY4309" s="2">
        <v>41</v>
      </c>
      <c r="AZ4309" s="2" t="s">
        <v>82</v>
      </c>
      <c r="BA4309" s="2">
        <v>41</v>
      </c>
      <c r="BB4309" s="2" t="s">
        <v>82</v>
      </c>
      <c r="BC4309" s="2">
        <v>41</v>
      </c>
      <c r="BD4309" s="2" t="s">
        <v>82</v>
      </c>
      <c r="BE4309" s="2">
        <v>4</v>
      </c>
      <c r="BF4309" s="2" t="s">
        <v>90</v>
      </c>
      <c r="BG4309" s="2">
        <v>4027</v>
      </c>
      <c r="BH4309" s="4">
        <v>0.4201388888888889</v>
      </c>
      <c r="BI4309" s="4">
        <v>0.44791666666666669</v>
      </c>
      <c r="BJ4309" s="2">
        <v>13</v>
      </c>
      <c r="BK4309" s="2" t="s">
        <v>91</v>
      </c>
      <c r="BL4309" s="2" t="s">
        <v>2005</v>
      </c>
      <c r="BM4309" s="2">
        <v>13</v>
      </c>
      <c r="BN4309" s="2" t="s">
        <v>91</v>
      </c>
      <c r="BO4309" s="2"/>
      <c r="BP4309" s="2">
        <v>13</v>
      </c>
      <c r="BQ4309" s="2" t="s">
        <v>91</v>
      </c>
      <c r="BR4309" s="2" t="s">
        <v>170</v>
      </c>
      <c r="BS4309" s="3">
        <v>40469</v>
      </c>
      <c r="BT4309" s="4">
        <v>0.51482638888888888</v>
      </c>
    </row>
    <row r="4310" spans="1:72" x14ac:dyDescent="0.25">
      <c r="A4310" s="2">
        <v>6489</v>
      </c>
      <c r="B4310" s="2">
        <v>2010</v>
      </c>
      <c r="C4310" s="2" t="s">
        <v>93</v>
      </c>
      <c r="D4310" s="2" t="s">
        <v>73</v>
      </c>
      <c r="E4310" s="2"/>
      <c r="F4310" s="2">
        <v>127</v>
      </c>
      <c r="G4310" s="2" t="s">
        <v>679</v>
      </c>
      <c r="H4310" s="2">
        <v>22</v>
      </c>
      <c r="I4310" s="2" t="s">
        <v>75</v>
      </c>
      <c r="J4310" s="2">
        <v>395</v>
      </c>
      <c r="K4310" s="2" t="s">
        <v>1761</v>
      </c>
      <c r="L4310" s="2" t="s">
        <v>1762</v>
      </c>
      <c r="M4310" s="3">
        <v>40469</v>
      </c>
      <c r="N4310" s="2" t="s">
        <v>13450</v>
      </c>
      <c r="O4310" s="2" t="s">
        <v>13451</v>
      </c>
      <c r="P4310" s="2" t="s">
        <v>13452</v>
      </c>
      <c r="Q4310" s="2" t="str">
        <f>"AP_0060_10_"</f>
        <v>AP_0060_10_</v>
      </c>
      <c r="R4310" s="2" t="s">
        <v>13453</v>
      </c>
      <c r="S4310" s="2"/>
      <c r="T4310" s="2">
        <v>1</v>
      </c>
      <c r="U4310" s="2" t="s">
        <v>79</v>
      </c>
      <c r="V4310" s="2">
        <v>1</v>
      </c>
      <c r="W4310" s="2" t="s">
        <v>80</v>
      </c>
      <c r="X4310" s="2">
        <v>1</v>
      </c>
      <c r="Y4310" s="2" t="s">
        <v>81</v>
      </c>
      <c r="Z4310" s="2">
        <v>1</v>
      </c>
      <c r="AA4310" s="2" t="s">
        <v>82</v>
      </c>
      <c r="AB4310" s="2">
        <v>2</v>
      </c>
      <c r="AC4310" s="2" t="s">
        <v>102</v>
      </c>
      <c r="AD4310" s="3">
        <v>40469</v>
      </c>
      <c r="AE4310" s="4">
        <v>0.53125</v>
      </c>
      <c r="AF4310" s="2"/>
      <c r="AG4310" s="2"/>
      <c r="AH4310" s="2">
        <v>6</v>
      </c>
      <c r="AI4310" s="2" t="s">
        <v>197</v>
      </c>
      <c r="AJ4310" s="2">
        <v>61</v>
      </c>
      <c r="AK4310" s="2" t="s">
        <v>686</v>
      </c>
      <c r="AL4310" s="2">
        <v>11</v>
      </c>
      <c r="AM4310" s="2" t="s">
        <v>137</v>
      </c>
      <c r="AN4310" s="2" t="s">
        <v>82</v>
      </c>
      <c r="AO4310" s="2" t="s">
        <v>10629</v>
      </c>
      <c r="AP4310" s="2">
        <v>11</v>
      </c>
      <c r="AQ4310" s="2" t="s">
        <v>82</v>
      </c>
      <c r="AR4310" s="2" t="s">
        <v>82</v>
      </c>
      <c r="AS4310" s="2" t="s">
        <v>82</v>
      </c>
      <c r="AT4310" s="2" t="s">
        <v>13454</v>
      </c>
      <c r="AU4310" s="2"/>
      <c r="AV4310" s="2"/>
      <c r="AW4310" s="2"/>
      <c r="AX4310" s="2"/>
      <c r="AY4310" s="2">
        <v>41</v>
      </c>
      <c r="AZ4310" s="2" t="s">
        <v>82</v>
      </c>
      <c r="BA4310" s="2">
        <v>41</v>
      </c>
      <c r="BB4310" s="2" t="s">
        <v>82</v>
      </c>
      <c r="BC4310" s="2">
        <v>41</v>
      </c>
      <c r="BD4310" s="2" t="s">
        <v>82</v>
      </c>
      <c r="BE4310" s="2">
        <v>47</v>
      </c>
      <c r="BF4310" s="2" t="s">
        <v>167</v>
      </c>
      <c r="BG4310" s="2" t="s">
        <v>2951</v>
      </c>
      <c r="BH4310" s="2"/>
      <c r="BI4310" s="4">
        <v>0.56944444444444442</v>
      </c>
      <c r="BJ4310" s="2">
        <v>13</v>
      </c>
      <c r="BK4310" s="2" t="s">
        <v>91</v>
      </c>
      <c r="BL4310" s="2" t="s">
        <v>690</v>
      </c>
      <c r="BM4310" s="2">
        <v>13</v>
      </c>
      <c r="BN4310" s="2" t="s">
        <v>91</v>
      </c>
      <c r="BO4310" s="2"/>
      <c r="BP4310" s="2">
        <v>13</v>
      </c>
      <c r="BQ4310" s="2" t="s">
        <v>91</v>
      </c>
      <c r="BR4310" s="2" t="s">
        <v>185</v>
      </c>
      <c r="BS4310" s="3">
        <v>40469</v>
      </c>
      <c r="BT4310" s="4">
        <v>0.62626157407407412</v>
      </c>
    </row>
    <row r="4311" spans="1:72" x14ac:dyDescent="0.25">
      <c r="A4311" s="2">
        <v>6490</v>
      </c>
      <c r="B4311" s="2">
        <v>2010</v>
      </c>
      <c r="C4311" s="2" t="s">
        <v>806</v>
      </c>
      <c r="D4311" s="2" t="s">
        <v>73</v>
      </c>
      <c r="E4311" s="2"/>
      <c r="F4311" s="2">
        <v>11</v>
      </c>
      <c r="G4311" s="2" t="s">
        <v>2454</v>
      </c>
      <c r="H4311" s="2">
        <v>57</v>
      </c>
      <c r="I4311" s="2" t="s">
        <v>3043</v>
      </c>
      <c r="J4311" s="2">
        <v>19</v>
      </c>
      <c r="K4311" s="2" t="s">
        <v>2144</v>
      </c>
      <c r="L4311" s="2" t="s">
        <v>2145</v>
      </c>
      <c r="M4311" s="3">
        <v>40469</v>
      </c>
      <c r="N4311" s="2" t="s">
        <v>13455</v>
      </c>
      <c r="O4311" s="2" t="s">
        <v>13456</v>
      </c>
      <c r="P4311" s="7">
        <v>12627</v>
      </c>
      <c r="Q4311" s="2" t="str">
        <f>"15/10"</f>
        <v>15/10</v>
      </c>
      <c r="R4311" s="2" t="s">
        <v>82</v>
      </c>
      <c r="S4311" s="2" t="s">
        <v>82</v>
      </c>
      <c r="T4311" s="2">
        <v>1</v>
      </c>
      <c r="U4311" s="2" t="s">
        <v>79</v>
      </c>
      <c r="V4311" s="2">
        <v>3</v>
      </c>
      <c r="W4311" s="2" t="s">
        <v>225</v>
      </c>
      <c r="X4311" s="2">
        <v>9</v>
      </c>
      <c r="Y4311" s="2" t="s">
        <v>3393</v>
      </c>
      <c r="Z4311" s="2">
        <v>1</v>
      </c>
      <c r="AA4311" s="2" t="s">
        <v>82</v>
      </c>
      <c r="AB4311" s="2">
        <v>9</v>
      </c>
      <c r="AC4311" s="2" t="s">
        <v>124</v>
      </c>
      <c r="AD4311" s="3">
        <v>40469</v>
      </c>
      <c r="AE4311" s="4">
        <v>0.5</v>
      </c>
      <c r="AF4311" s="2"/>
      <c r="AG4311" s="2"/>
      <c r="AH4311" s="2">
        <v>3</v>
      </c>
      <c r="AI4311" s="2" t="s">
        <v>214</v>
      </c>
      <c r="AJ4311" s="2">
        <v>14</v>
      </c>
      <c r="AK4311" s="2" t="s">
        <v>342</v>
      </c>
      <c r="AL4311" s="2">
        <v>23</v>
      </c>
      <c r="AM4311" s="2" t="s">
        <v>251</v>
      </c>
      <c r="AN4311" s="2" t="s">
        <v>13457</v>
      </c>
      <c r="AO4311" s="2" t="s">
        <v>82</v>
      </c>
      <c r="AP4311" s="2">
        <v>11</v>
      </c>
      <c r="AQ4311" s="2" t="s">
        <v>82</v>
      </c>
      <c r="AR4311" s="2"/>
      <c r="AS4311" s="2"/>
      <c r="AT4311" s="2" t="s">
        <v>13458</v>
      </c>
      <c r="AU4311" s="2"/>
      <c r="AV4311" s="2"/>
      <c r="AW4311" s="2"/>
      <c r="AX4311" s="2"/>
      <c r="AY4311" s="2">
        <v>41</v>
      </c>
      <c r="AZ4311" s="2" t="s">
        <v>82</v>
      </c>
      <c r="BA4311" s="2">
        <v>41</v>
      </c>
      <c r="BB4311" s="2" t="s">
        <v>82</v>
      </c>
      <c r="BC4311" s="2">
        <v>41</v>
      </c>
      <c r="BD4311" s="2" t="s">
        <v>82</v>
      </c>
      <c r="BE4311" s="2">
        <v>41</v>
      </c>
      <c r="BF4311" s="2" t="s">
        <v>82</v>
      </c>
      <c r="BG4311" s="2"/>
      <c r="BH4311" s="2"/>
      <c r="BI4311" s="2"/>
      <c r="BJ4311" s="2">
        <v>241</v>
      </c>
      <c r="BK4311" s="2" t="s">
        <v>82</v>
      </c>
      <c r="BL4311" s="2"/>
      <c r="BM4311" s="2">
        <v>241</v>
      </c>
      <c r="BN4311" s="2" t="s">
        <v>82</v>
      </c>
      <c r="BO4311" s="2"/>
      <c r="BP4311" s="2">
        <v>241</v>
      </c>
      <c r="BQ4311" s="2" t="s">
        <v>82</v>
      </c>
      <c r="BR4311" s="2"/>
      <c r="BS4311" s="3">
        <v>40469</v>
      </c>
      <c r="BT4311" s="4">
        <v>0.62799768518518517</v>
      </c>
    </row>
    <row r="4312" spans="1:72" x14ac:dyDescent="0.25">
      <c r="A4312" s="2">
        <v>6492</v>
      </c>
      <c r="B4312" s="2">
        <v>2010</v>
      </c>
      <c r="C4312" s="2" t="s">
        <v>93</v>
      </c>
      <c r="D4312" s="2" t="s">
        <v>73</v>
      </c>
      <c r="E4312" s="2"/>
      <c r="F4312" s="2">
        <v>144</v>
      </c>
      <c r="G4312" s="2" t="s">
        <v>537</v>
      </c>
      <c r="H4312" s="2">
        <v>108</v>
      </c>
      <c r="I4312" s="2" t="s">
        <v>1096</v>
      </c>
      <c r="J4312" s="2">
        <v>160</v>
      </c>
      <c r="K4312" s="2" t="s">
        <v>538</v>
      </c>
      <c r="L4312" s="2" t="s">
        <v>539</v>
      </c>
      <c r="M4312" s="3">
        <v>40469</v>
      </c>
      <c r="N4312" s="2" t="s">
        <v>2292</v>
      </c>
      <c r="O4312" s="2" t="s">
        <v>13459</v>
      </c>
      <c r="P4312" s="2" t="s">
        <v>13460</v>
      </c>
      <c r="Q4312" s="2" t="str">
        <f>"AP-0047/10"</f>
        <v>AP-0047/10</v>
      </c>
      <c r="R4312" s="2" t="s">
        <v>13461</v>
      </c>
      <c r="S4312" s="2" t="s">
        <v>82</v>
      </c>
      <c r="T4312" s="2">
        <v>1</v>
      </c>
      <c r="U4312" s="2" t="s">
        <v>79</v>
      </c>
      <c r="V4312" s="2">
        <v>1</v>
      </c>
      <c r="W4312" s="2" t="s">
        <v>80</v>
      </c>
      <c r="X4312" s="2">
        <v>1</v>
      </c>
      <c r="Y4312" s="2" t="s">
        <v>81</v>
      </c>
      <c r="Z4312" s="2">
        <v>1</v>
      </c>
      <c r="AA4312" s="2" t="s">
        <v>82</v>
      </c>
      <c r="AB4312" s="2">
        <v>2</v>
      </c>
      <c r="AC4312" s="2" t="s">
        <v>102</v>
      </c>
      <c r="AD4312" s="3">
        <v>40469</v>
      </c>
      <c r="AE4312" s="4">
        <v>0.49305555555555558</v>
      </c>
      <c r="AF4312" s="2"/>
      <c r="AG4312" s="2"/>
      <c r="AH4312" s="2">
        <v>6</v>
      </c>
      <c r="AI4312" s="2" t="s">
        <v>197</v>
      </c>
      <c r="AJ4312" s="2">
        <v>60</v>
      </c>
      <c r="AK4312" s="2" t="s">
        <v>543</v>
      </c>
      <c r="AL4312" s="2">
        <v>11</v>
      </c>
      <c r="AM4312" s="2" t="s">
        <v>137</v>
      </c>
      <c r="AN4312" s="2"/>
      <c r="AO4312" s="2" t="s">
        <v>5183</v>
      </c>
      <c r="AP4312" s="2">
        <v>11</v>
      </c>
      <c r="AQ4312" s="2" t="s">
        <v>82</v>
      </c>
      <c r="AR4312" s="2"/>
      <c r="AS4312" s="2"/>
      <c r="AT4312" s="2" t="s">
        <v>13462</v>
      </c>
      <c r="AU4312" s="2"/>
      <c r="AV4312" s="2"/>
      <c r="AW4312" s="2"/>
      <c r="AX4312" s="2"/>
      <c r="AY4312" s="2">
        <v>41</v>
      </c>
      <c r="AZ4312" s="2" t="s">
        <v>82</v>
      </c>
      <c r="BA4312" s="2">
        <v>41</v>
      </c>
      <c r="BB4312" s="2" t="s">
        <v>82</v>
      </c>
      <c r="BC4312" s="2">
        <v>41</v>
      </c>
      <c r="BD4312" s="2" t="s">
        <v>82</v>
      </c>
      <c r="BE4312" s="2">
        <v>13</v>
      </c>
      <c r="BF4312" s="2" t="s">
        <v>108</v>
      </c>
      <c r="BG4312" s="2" t="s">
        <v>7275</v>
      </c>
      <c r="BH4312" s="2"/>
      <c r="BI4312" s="4">
        <v>0.50694444444444442</v>
      </c>
      <c r="BJ4312" s="2">
        <v>13</v>
      </c>
      <c r="BK4312" s="2" t="s">
        <v>91</v>
      </c>
      <c r="BL4312" s="2" t="s">
        <v>895</v>
      </c>
      <c r="BM4312" s="2">
        <v>13</v>
      </c>
      <c r="BN4312" s="2" t="s">
        <v>91</v>
      </c>
      <c r="BO4312" s="2"/>
      <c r="BP4312" s="2">
        <v>13</v>
      </c>
      <c r="BQ4312" s="2" t="s">
        <v>91</v>
      </c>
      <c r="BR4312" s="2" t="s">
        <v>185</v>
      </c>
      <c r="BS4312" s="3">
        <v>40469</v>
      </c>
      <c r="BT4312" s="4">
        <v>0.65489583333333334</v>
      </c>
    </row>
    <row r="4313" spans="1:72" x14ac:dyDescent="0.25">
      <c r="A4313" s="2">
        <v>6495</v>
      </c>
      <c r="B4313" s="2">
        <v>2010</v>
      </c>
      <c r="C4313" s="2" t="s">
        <v>72</v>
      </c>
      <c r="D4313" s="2" t="s">
        <v>73</v>
      </c>
      <c r="E4313" s="2"/>
      <c r="F4313" s="2">
        <v>685</v>
      </c>
      <c r="G4313" s="2" t="s">
        <v>12932</v>
      </c>
      <c r="H4313" s="2">
        <v>108</v>
      </c>
      <c r="I4313" s="2" t="s">
        <v>1096</v>
      </c>
      <c r="J4313" s="2">
        <v>674</v>
      </c>
      <c r="K4313" s="2" t="s">
        <v>12821</v>
      </c>
      <c r="L4313" s="2" t="s">
        <v>12822</v>
      </c>
      <c r="M4313" s="3">
        <v>40469</v>
      </c>
      <c r="N4313" s="2" t="s">
        <v>12865</v>
      </c>
      <c r="O4313" s="2" t="s">
        <v>107</v>
      </c>
      <c r="P4313" s="2" t="s">
        <v>107</v>
      </c>
      <c r="Q4313" s="2" t="str">
        <f>"414-A/10"</f>
        <v>414-A/10</v>
      </c>
      <c r="R4313" s="2" t="s">
        <v>116</v>
      </c>
      <c r="S4313" s="2" t="s">
        <v>116</v>
      </c>
      <c r="T4313" s="2">
        <v>1</v>
      </c>
      <c r="U4313" s="2" t="s">
        <v>79</v>
      </c>
      <c r="V4313" s="2">
        <v>1</v>
      </c>
      <c r="W4313" s="2" t="s">
        <v>80</v>
      </c>
      <c r="X4313" s="2">
        <v>12</v>
      </c>
      <c r="Y4313" s="2" t="s">
        <v>148</v>
      </c>
      <c r="Z4313" s="2">
        <v>1</v>
      </c>
      <c r="AA4313" s="2" t="s">
        <v>82</v>
      </c>
      <c r="AB4313" s="2">
        <v>6</v>
      </c>
      <c r="AC4313" s="2" t="s">
        <v>83</v>
      </c>
      <c r="AD4313" s="3">
        <v>40469</v>
      </c>
      <c r="AE4313" s="2"/>
      <c r="AF4313" s="3">
        <v>40469</v>
      </c>
      <c r="AG4313" s="4">
        <v>0.65277777777777779</v>
      </c>
      <c r="AH4313" s="2">
        <v>2</v>
      </c>
      <c r="AI4313" s="2" t="s">
        <v>84</v>
      </c>
      <c r="AJ4313" s="2">
        <v>12</v>
      </c>
      <c r="AK4313" s="2" t="s">
        <v>85</v>
      </c>
      <c r="AL4313" s="2">
        <v>29</v>
      </c>
      <c r="AM4313" s="2" t="s">
        <v>5416</v>
      </c>
      <c r="AN4313" s="2"/>
      <c r="AO4313" s="2" t="s">
        <v>8760</v>
      </c>
      <c r="AP4313" s="2">
        <v>11</v>
      </c>
      <c r="AQ4313" s="2" t="s">
        <v>82</v>
      </c>
      <c r="AR4313" s="2"/>
      <c r="AS4313" s="2"/>
      <c r="AT4313" s="2" t="s">
        <v>13463</v>
      </c>
      <c r="AU4313" s="2"/>
      <c r="AV4313" s="2"/>
      <c r="AW4313" s="2"/>
      <c r="AX4313" s="2"/>
      <c r="AY4313" s="2">
        <v>41</v>
      </c>
      <c r="AZ4313" s="2" t="s">
        <v>82</v>
      </c>
      <c r="BA4313" s="2">
        <v>41</v>
      </c>
      <c r="BB4313" s="2" t="s">
        <v>82</v>
      </c>
      <c r="BC4313" s="2">
        <v>41</v>
      </c>
      <c r="BD4313" s="2" t="s">
        <v>82</v>
      </c>
      <c r="BE4313" s="2">
        <v>41</v>
      </c>
      <c r="BF4313" s="2" t="s">
        <v>82</v>
      </c>
      <c r="BG4313" s="2"/>
      <c r="BH4313" s="2"/>
      <c r="BI4313" s="2"/>
      <c r="BJ4313" s="2">
        <v>241</v>
      </c>
      <c r="BK4313" s="2" t="s">
        <v>82</v>
      </c>
      <c r="BL4313" s="2"/>
      <c r="BM4313" s="2">
        <v>241</v>
      </c>
      <c r="BN4313" s="2" t="s">
        <v>82</v>
      </c>
      <c r="BO4313" s="2"/>
      <c r="BP4313" s="2">
        <v>241</v>
      </c>
      <c r="BQ4313" s="2" t="s">
        <v>82</v>
      </c>
      <c r="BR4313" s="2"/>
      <c r="BS4313" s="3">
        <v>40469</v>
      </c>
      <c r="BT4313" s="4">
        <v>0.74737268518518529</v>
      </c>
    </row>
    <row r="4314" spans="1:72" x14ac:dyDescent="0.25">
      <c r="A4314" s="2">
        <v>6496</v>
      </c>
      <c r="B4314" s="2">
        <v>2010</v>
      </c>
      <c r="C4314" s="2" t="s">
        <v>5621</v>
      </c>
      <c r="D4314" s="2" t="s">
        <v>122</v>
      </c>
      <c r="E4314" s="2"/>
      <c r="F4314" s="2">
        <v>146</v>
      </c>
      <c r="G4314" s="2" t="s">
        <v>753</v>
      </c>
      <c r="H4314" s="2">
        <v>122</v>
      </c>
      <c r="I4314" s="2" t="s">
        <v>8431</v>
      </c>
      <c r="J4314" s="2">
        <v>161</v>
      </c>
      <c r="K4314" s="2" t="s">
        <v>1900</v>
      </c>
      <c r="L4314" s="2" t="s">
        <v>1901</v>
      </c>
      <c r="M4314" s="3">
        <v>40469</v>
      </c>
      <c r="N4314" s="2" t="s">
        <v>13139</v>
      </c>
      <c r="O4314" s="2" t="s">
        <v>82</v>
      </c>
      <c r="P4314" s="2" t="s">
        <v>203</v>
      </c>
      <c r="Q4314" s="2" t="str">
        <f>"AP 0048/10"</f>
        <v>AP 0048/10</v>
      </c>
      <c r="R4314" s="2" t="s">
        <v>82</v>
      </c>
      <c r="S4314" s="2" t="s">
        <v>13464</v>
      </c>
      <c r="T4314" s="2">
        <v>2</v>
      </c>
      <c r="U4314" s="2" t="s">
        <v>123</v>
      </c>
      <c r="V4314" s="2">
        <v>1</v>
      </c>
      <c r="W4314" s="2" t="s">
        <v>80</v>
      </c>
      <c r="X4314" s="2">
        <v>4</v>
      </c>
      <c r="Y4314" s="2" t="s">
        <v>463</v>
      </c>
      <c r="Z4314" s="2">
        <v>10</v>
      </c>
      <c r="AA4314" s="2" t="s">
        <v>236</v>
      </c>
      <c r="AB4314" s="2">
        <v>9</v>
      </c>
      <c r="AC4314" s="2" t="s">
        <v>124</v>
      </c>
      <c r="AD4314" s="3">
        <v>40469</v>
      </c>
      <c r="AE4314" s="4">
        <v>0.57638888888888895</v>
      </c>
      <c r="AF4314" s="2"/>
      <c r="AG4314" s="2"/>
      <c r="AH4314" s="2">
        <v>6</v>
      </c>
      <c r="AI4314" s="2" t="s">
        <v>197</v>
      </c>
      <c r="AJ4314" s="2">
        <v>60</v>
      </c>
      <c r="AK4314" s="2" t="s">
        <v>543</v>
      </c>
      <c r="AL4314" s="2">
        <v>10</v>
      </c>
      <c r="AM4314" s="2" t="s">
        <v>200</v>
      </c>
      <c r="AN4314" s="2" t="s">
        <v>82</v>
      </c>
      <c r="AO4314" s="2" t="s">
        <v>13465</v>
      </c>
      <c r="AP4314" s="2">
        <v>11</v>
      </c>
      <c r="AQ4314" s="2" t="s">
        <v>82</v>
      </c>
      <c r="AR4314" s="2"/>
      <c r="AS4314" s="2"/>
      <c r="AT4314" s="2" t="s">
        <v>13466</v>
      </c>
      <c r="AU4314" s="2"/>
      <c r="AV4314" s="2"/>
      <c r="AW4314" s="2"/>
      <c r="AX4314" s="2"/>
      <c r="AY4314" s="2">
        <v>47</v>
      </c>
      <c r="AZ4314" s="2" t="s">
        <v>167</v>
      </c>
      <c r="BA4314" s="2">
        <v>41</v>
      </c>
      <c r="BB4314" s="2" t="s">
        <v>82</v>
      </c>
      <c r="BC4314" s="2">
        <v>65</v>
      </c>
      <c r="BD4314" s="2" t="s">
        <v>3652</v>
      </c>
      <c r="BE4314" s="2">
        <v>47</v>
      </c>
      <c r="BF4314" s="2" t="s">
        <v>167</v>
      </c>
      <c r="BG4314" s="2" t="s">
        <v>13467</v>
      </c>
      <c r="BH4314" s="4">
        <v>0.53819444444444442</v>
      </c>
      <c r="BI4314" s="2"/>
      <c r="BJ4314" s="2">
        <v>13</v>
      </c>
      <c r="BK4314" s="2" t="s">
        <v>91</v>
      </c>
      <c r="BL4314" s="2" t="s">
        <v>185</v>
      </c>
      <c r="BM4314" s="2">
        <v>13</v>
      </c>
      <c r="BN4314" s="2" t="s">
        <v>91</v>
      </c>
      <c r="BO4314" s="2"/>
      <c r="BP4314" s="2">
        <v>13</v>
      </c>
      <c r="BQ4314" s="2" t="s">
        <v>91</v>
      </c>
      <c r="BR4314" s="2" t="s">
        <v>895</v>
      </c>
      <c r="BS4314" s="3">
        <v>40469</v>
      </c>
      <c r="BT4314" s="4">
        <v>0.75114583333333329</v>
      </c>
    </row>
    <row r="4315" spans="1:72" x14ac:dyDescent="0.25">
      <c r="A4315" s="2">
        <v>6497</v>
      </c>
      <c r="B4315" s="2">
        <v>2010</v>
      </c>
      <c r="C4315" s="2" t="s">
        <v>128</v>
      </c>
      <c r="D4315" s="2" t="s">
        <v>73</v>
      </c>
      <c r="E4315" s="2"/>
      <c r="F4315" s="2">
        <v>425</v>
      </c>
      <c r="G4315" s="2" t="s">
        <v>286</v>
      </c>
      <c r="H4315" s="2">
        <v>3</v>
      </c>
      <c r="I4315" s="2" t="s">
        <v>315</v>
      </c>
      <c r="J4315" s="2">
        <v>310</v>
      </c>
      <c r="K4315" s="2" t="s">
        <v>288</v>
      </c>
      <c r="L4315" s="2" t="s">
        <v>289</v>
      </c>
      <c r="M4315" s="3">
        <v>40469</v>
      </c>
      <c r="N4315" s="2" t="s">
        <v>2049</v>
      </c>
      <c r="O4315" s="2"/>
      <c r="P4315" s="2"/>
      <c r="Q4315" s="2" t="str">
        <f>"105/10"</f>
        <v>105/10</v>
      </c>
      <c r="R4315" s="2" t="s">
        <v>6961</v>
      </c>
      <c r="S4315" s="2"/>
      <c r="T4315" s="2">
        <v>1</v>
      </c>
      <c r="U4315" s="2" t="s">
        <v>79</v>
      </c>
      <c r="V4315" s="2">
        <v>1</v>
      </c>
      <c r="W4315" s="2" t="s">
        <v>80</v>
      </c>
      <c r="X4315" s="2">
        <v>12</v>
      </c>
      <c r="Y4315" s="2" t="s">
        <v>148</v>
      </c>
      <c r="Z4315" s="2">
        <v>1</v>
      </c>
      <c r="AA4315" s="2" t="s">
        <v>82</v>
      </c>
      <c r="AB4315" s="2">
        <v>9</v>
      </c>
      <c r="AC4315" s="2" t="s">
        <v>124</v>
      </c>
      <c r="AD4315" s="3">
        <v>40469</v>
      </c>
      <c r="AE4315" s="4">
        <v>0.65972222222222221</v>
      </c>
      <c r="AF4315" s="3">
        <v>40469</v>
      </c>
      <c r="AG4315" s="4">
        <v>0.65972222222222221</v>
      </c>
      <c r="AH4315" s="2">
        <v>4</v>
      </c>
      <c r="AI4315" s="2" t="s">
        <v>125</v>
      </c>
      <c r="AJ4315" s="2">
        <v>29</v>
      </c>
      <c r="AK4315" s="2" t="s">
        <v>227</v>
      </c>
      <c r="AL4315" s="2">
        <v>11</v>
      </c>
      <c r="AM4315" s="2" t="s">
        <v>137</v>
      </c>
      <c r="AN4315" s="2"/>
      <c r="AO4315" s="2"/>
      <c r="AP4315" s="2">
        <v>11</v>
      </c>
      <c r="AQ4315" s="2" t="s">
        <v>82</v>
      </c>
      <c r="AR4315" s="2"/>
      <c r="AS4315" s="2"/>
      <c r="AT4315" s="2" t="s">
        <v>13468</v>
      </c>
      <c r="AU4315" s="2"/>
      <c r="AV4315" s="2"/>
      <c r="AW4315" s="2"/>
      <c r="AX4315" s="2"/>
      <c r="AY4315" s="2">
        <v>41</v>
      </c>
      <c r="AZ4315" s="2" t="s">
        <v>82</v>
      </c>
      <c r="BA4315" s="2">
        <v>41</v>
      </c>
      <c r="BB4315" s="2" t="s">
        <v>82</v>
      </c>
      <c r="BC4315" s="2">
        <v>41</v>
      </c>
      <c r="BD4315" s="2" t="s">
        <v>82</v>
      </c>
      <c r="BE4315" s="2">
        <v>4</v>
      </c>
      <c r="BF4315" s="2" t="s">
        <v>90</v>
      </c>
      <c r="BG4315" s="2">
        <v>4113</v>
      </c>
      <c r="BH4315" s="4">
        <v>0.61805555555555558</v>
      </c>
      <c r="BI4315" s="4">
        <v>0.76388888888888884</v>
      </c>
      <c r="BJ4315" s="2">
        <v>13</v>
      </c>
      <c r="BK4315" s="2" t="s">
        <v>91</v>
      </c>
      <c r="BL4315" s="2" t="s">
        <v>828</v>
      </c>
      <c r="BM4315" s="2">
        <v>13</v>
      </c>
      <c r="BN4315" s="2" t="s">
        <v>91</v>
      </c>
      <c r="BO4315" s="2"/>
      <c r="BP4315" s="2">
        <v>13</v>
      </c>
      <c r="BQ4315" s="2" t="s">
        <v>91</v>
      </c>
      <c r="BR4315" s="2" t="s">
        <v>185</v>
      </c>
      <c r="BS4315" s="3">
        <v>40469</v>
      </c>
      <c r="BT4315" s="4">
        <v>0.76277777777777767</v>
      </c>
    </row>
    <row r="4316" spans="1:72" x14ac:dyDescent="0.25">
      <c r="A4316" s="2">
        <v>6498</v>
      </c>
      <c r="B4316" s="2">
        <v>2010</v>
      </c>
      <c r="C4316" s="2" t="s">
        <v>1094</v>
      </c>
      <c r="D4316" s="2" t="s">
        <v>73</v>
      </c>
      <c r="E4316" s="2"/>
      <c r="F4316" s="2">
        <v>70</v>
      </c>
      <c r="G4316" s="2" t="s">
        <v>3539</v>
      </c>
      <c r="H4316" s="2">
        <v>108</v>
      </c>
      <c r="I4316" s="2" t="s">
        <v>1096</v>
      </c>
      <c r="J4316" s="2">
        <v>689</v>
      </c>
      <c r="K4316" s="2" t="s">
        <v>13469</v>
      </c>
      <c r="L4316" s="2" t="s">
        <v>13470</v>
      </c>
      <c r="M4316" s="3">
        <v>40469</v>
      </c>
      <c r="N4316" s="2" t="s">
        <v>5060</v>
      </c>
      <c r="O4316" s="2"/>
      <c r="P4316" s="2"/>
      <c r="Q4316" s="2" t="str">
        <f>"02/2010"</f>
        <v>02/2010</v>
      </c>
      <c r="R4316" s="2"/>
      <c r="S4316" s="2" t="s">
        <v>13471</v>
      </c>
      <c r="T4316" s="2">
        <v>1</v>
      </c>
      <c r="U4316" s="2" t="s">
        <v>79</v>
      </c>
      <c r="V4316" s="2">
        <v>1</v>
      </c>
      <c r="W4316" s="2" t="s">
        <v>80</v>
      </c>
      <c r="X4316" s="2">
        <v>12</v>
      </c>
      <c r="Y4316" s="2" t="s">
        <v>148</v>
      </c>
      <c r="Z4316" s="2">
        <v>1</v>
      </c>
      <c r="AA4316" s="2" t="s">
        <v>82</v>
      </c>
      <c r="AB4316" s="2">
        <v>9</v>
      </c>
      <c r="AC4316" s="2" t="s">
        <v>124</v>
      </c>
      <c r="AD4316" s="3">
        <v>40463</v>
      </c>
      <c r="AE4316" s="4">
        <v>0.375</v>
      </c>
      <c r="AF4316" s="3">
        <v>40469</v>
      </c>
      <c r="AG4316" s="4">
        <v>0.39583333333333331</v>
      </c>
      <c r="AH4316" s="2">
        <v>3</v>
      </c>
      <c r="AI4316" s="2" t="s">
        <v>214</v>
      </c>
      <c r="AJ4316" s="2">
        <v>21</v>
      </c>
      <c r="AK4316" s="2" t="s">
        <v>3544</v>
      </c>
      <c r="AL4316" s="2">
        <v>25</v>
      </c>
      <c r="AM4316" s="2" t="s">
        <v>3073</v>
      </c>
      <c r="AN4316" s="2" t="s">
        <v>13472</v>
      </c>
      <c r="AO4316" s="2" t="s">
        <v>13473</v>
      </c>
      <c r="AP4316" s="2">
        <v>11</v>
      </c>
      <c r="AQ4316" s="2" t="s">
        <v>82</v>
      </c>
      <c r="AR4316" s="2"/>
      <c r="AS4316" s="2"/>
      <c r="AT4316" s="2" t="s">
        <v>13474</v>
      </c>
      <c r="AU4316" s="2"/>
      <c r="AV4316" s="2"/>
      <c r="AW4316" s="2"/>
      <c r="AX4316" s="2"/>
      <c r="AY4316" s="2">
        <v>1</v>
      </c>
      <c r="AZ4316" s="2" t="s">
        <v>107</v>
      </c>
      <c r="BA4316" s="2">
        <v>1</v>
      </c>
      <c r="BB4316" s="2" t="s">
        <v>107</v>
      </c>
      <c r="BC4316" s="2">
        <v>1</v>
      </c>
      <c r="BD4316" s="2" t="s">
        <v>107</v>
      </c>
      <c r="BE4316" s="2">
        <v>41</v>
      </c>
      <c r="BF4316" s="2" t="s">
        <v>82</v>
      </c>
      <c r="BG4316" s="2"/>
      <c r="BH4316" s="2"/>
      <c r="BI4316" s="2"/>
      <c r="BJ4316" s="2">
        <v>241</v>
      </c>
      <c r="BK4316" s="2" t="s">
        <v>82</v>
      </c>
      <c r="BL4316" s="2"/>
      <c r="BM4316" s="2">
        <v>241</v>
      </c>
      <c r="BN4316" s="2" t="s">
        <v>82</v>
      </c>
      <c r="BO4316" s="2"/>
      <c r="BP4316" s="2">
        <v>241</v>
      </c>
      <c r="BQ4316" s="2" t="s">
        <v>82</v>
      </c>
      <c r="BR4316" s="2"/>
      <c r="BS4316" s="3">
        <v>40469</v>
      </c>
      <c r="BT4316" s="4">
        <v>0.76406249999999998</v>
      </c>
    </row>
    <row r="4317" spans="1:72" x14ac:dyDescent="0.25">
      <c r="A4317" s="2">
        <v>6499</v>
      </c>
      <c r="B4317" s="2">
        <v>2010</v>
      </c>
      <c r="C4317" s="2" t="s">
        <v>72</v>
      </c>
      <c r="D4317" s="2" t="s">
        <v>73</v>
      </c>
      <c r="E4317" s="2"/>
      <c r="F4317" s="2">
        <v>685</v>
      </c>
      <c r="G4317" s="2" t="s">
        <v>12932</v>
      </c>
      <c r="H4317" s="2">
        <v>22</v>
      </c>
      <c r="I4317" s="2" t="s">
        <v>75</v>
      </c>
      <c r="J4317" s="2">
        <v>674</v>
      </c>
      <c r="K4317" s="2" t="s">
        <v>12821</v>
      </c>
      <c r="L4317" s="2" t="s">
        <v>12822</v>
      </c>
      <c r="M4317" s="3">
        <v>40469</v>
      </c>
      <c r="N4317" s="2" t="s">
        <v>12865</v>
      </c>
      <c r="O4317" s="2"/>
      <c r="P4317" s="2"/>
      <c r="Q4317" s="2" t="str">
        <f>"415-A/10"</f>
        <v>415-A/10</v>
      </c>
      <c r="R4317" s="2" t="s">
        <v>78</v>
      </c>
      <c r="S4317" s="2" t="s">
        <v>78</v>
      </c>
      <c r="T4317" s="2">
        <v>1</v>
      </c>
      <c r="U4317" s="2" t="s">
        <v>79</v>
      </c>
      <c r="V4317" s="2">
        <v>1</v>
      </c>
      <c r="W4317" s="2" t="s">
        <v>80</v>
      </c>
      <c r="X4317" s="2">
        <v>12</v>
      </c>
      <c r="Y4317" s="2" t="s">
        <v>148</v>
      </c>
      <c r="Z4317" s="2">
        <v>1</v>
      </c>
      <c r="AA4317" s="2" t="s">
        <v>82</v>
      </c>
      <c r="AB4317" s="2">
        <v>6</v>
      </c>
      <c r="AC4317" s="2" t="s">
        <v>83</v>
      </c>
      <c r="AD4317" s="3">
        <v>40466</v>
      </c>
      <c r="AE4317" s="2"/>
      <c r="AF4317" s="3">
        <v>40469</v>
      </c>
      <c r="AG4317" s="4">
        <v>0.67708333333333337</v>
      </c>
      <c r="AH4317" s="2">
        <v>2</v>
      </c>
      <c r="AI4317" s="2" t="s">
        <v>84</v>
      </c>
      <c r="AJ4317" s="2">
        <v>12</v>
      </c>
      <c r="AK4317" s="2" t="s">
        <v>85</v>
      </c>
      <c r="AL4317" s="2">
        <v>17</v>
      </c>
      <c r="AM4317" s="2" t="s">
        <v>232</v>
      </c>
      <c r="AN4317" s="2" t="s">
        <v>13475</v>
      </c>
      <c r="AO4317" s="2" t="s">
        <v>13476</v>
      </c>
      <c r="AP4317" s="2">
        <v>11</v>
      </c>
      <c r="AQ4317" s="2" t="s">
        <v>82</v>
      </c>
      <c r="AR4317" s="2"/>
      <c r="AS4317" s="2"/>
      <c r="AT4317" s="2" t="s">
        <v>13477</v>
      </c>
      <c r="AU4317" s="2"/>
      <c r="AV4317" s="2"/>
      <c r="AW4317" s="2"/>
      <c r="AX4317" s="2"/>
      <c r="AY4317" s="2">
        <v>41</v>
      </c>
      <c r="AZ4317" s="2" t="s">
        <v>82</v>
      </c>
      <c r="BA4317" s="2">
        <v>41</v>
      </c>
      <c r="BB4317" s="2" t="s">
        <v>82</v>
      </c>
      <c r="BC4317" s="2">
        <v>41</v>
      </c>
      <c r="BD4317" s="2" t="s">
        <v>82</v>
      </c>
      <c r="BE4317" s="2">
        <v>41</v>
      </c>
      <c r="BF4317" s="2" t="s">
        <v>82</v>
      </c>
      <c r="BG4317" s="2"/>
      <c r="BH4317" s="2"/>
      <c r="BI4317" s="2"/>
      <c r="BJ4317" s="2">
        <v>241</v>
      </c>
      <c r="BK4317" s="2" t="s">
        <v>82</v>
      </c>
      <c r="BL4317" s="2"/>
      <c r="BM4317" s="2">
        <v>241</v>
      </c>
      <c r="BN4317" s="2" t="s">
        <v>82</v>
      </c>
      <c r="BO4317" s="2"/>
      <c r="BP4317" s="2">
        <v>241</v>
      </c>
      <c r="BQ4317" s="2" t="s">
        <v>82</v>
      </c>
      <c r="BR4317" s="2"/>
      <c r="BS4317" s="3">
        <v>40469</v>
      </c>
      <c r="BT4317" s="4">
        <v>0.76664351851851853</v>
      </c>
    </row>
    <row r="4318" spans="1:72" x14ac:dyDescent="0.25">
      <c r="A4318" s="2">
        <v>6501</v>
      </c>
      <c r="B4318" s="2">
        <v>2010</v>
      </c>
      <c r="C4318" s="2" t="s">
        <v>171</v>
      </c>
      <c r="D4318" s="2" t="s">
        <v>73</v>
      </c>
      <c r="E4318" s="2"/>
      <c r="F4318" s="2">
        <v>405</v>
      </c>
      <c r="G4318" s="2" t="s">
        <v>13478</v>
      </c>
      <c r="H4318" s="2">
        <v>11</v>
      </c>
      <c r="I4318" s="2" t="s">
        <v>1397</v>
      </c>
      <c r="J4318" s="2">
        <v>377</v>
      </c>
      <c r="K4318" s="2" t="s">
        <v>1223</v>
      </c>
      <c r="L4318" s="2" t="s">
        <v>1224</v>
      </c>
      <c r="M4318" s="3">
        <v>40469</v>
      </c>
      <c r="N4318" s="2" t="s">
        <v>13479</v>
      </c>
      <c r="O4318" s="2"/>
      <c r="P4318" s="2"/>
      <c r="Q4318" s="2" t="str">
        <f>"N/C"</f>
        <v>N/C</v>
      </c>
      <c r="R4318" s="2"/>
      <c r="S4318" s="2" t="s">
        <v>82</v>
      </c>
      <c r="T4318" s="2">
        <v>1</v>
      </c>
      <c r="U4318" s="2" t="s">
        <v>79</v>
      </c>
      <c r="V4318" s="2">
        <v>1</v>
      </c>
      <c r="W4318" s="2" t="s">
        <v>80</v>
      </c>
      <c r="X4318" s="2">
        <v>3</v>
      </c>
      <c r="Y4318" s="2" t="s">
        <v>698</v>
      </c>
      <c r="Z4318" s="2">
        <v>2</v>
      </c>
      <c r="AA4318" s="2" t="s">
        <v>2148</v>
      </c>
      <c r="AB4318" s="2">
        <v>1</v>
      </c>
      <c r="AC4318" s="2" t="s">
        <v>178</v>
      </c>
      <c r="AD4318" s="3">
        <v>40467</v>
      </c>
      <c r="AE4318" s="4">
        <v>6.25E-2</v>
      </c>
      <c r="AF4318" s="3">
        <v>40467</v>
      </c>
      <c r="AG4318" s="4">
        <v>0.10416666666666667</v>
      </c>
      <c r="AH4318" s="2">
        <v>2</v>
      </c>
      <c r="AI4318" s="2" t="s">
        <v>84</v>
      </c>
      <c r="AJ4318" s="2">
        <v>9</v>
      </c>
      <c r="AK4318" s="2" t="s">
        <v>103</v>
      </c>
      <c r="AL4318" s="2">
        <v>16</v>
      </c>
      <c r="AM4318" s="2" t="s">
        <v>392</v>
      </c>
      <c r="AN4318" s="2" t="s">
        <v>13480</v>
      </c>
      <c r="AO4318" s="2" t="s">
        <v>13481</v>
      </c>
      <c r="AP4318" s="2">
        <v>15</v>
      </c>
      <c r="AQ4318" s="2" t="s">
        <v>13482</v>
      </c>
      <c r="AR4318" s="2" t="s">
        <v>13483</v>
      </c>
      <c r="AS4318" s="2" t="s">
        <v>13484</v>
      </c>
      <c r="AT4318" s="2" t="s">
        <v>13485</v>
      </c>
      <c r="AU4318" s="2"/>
      <c r="AV4318" s="2"/>
      <c r="AW4318" s="2"/>
      <c r="AX4318" s="2"/>
      <c r="AY4318" s="2">
        <v>41</v>
      </c>
      <c r="AZ4318" s="2" t="s">
        <v>82</v>
      </c>
      <c r="BA4318" s="2">
        <v>41</v>
      </c>
      <c r="BB4318" s="2" t="s">
        <v>82</v>
      </c>
      <c r="BC4318" s="2">
        <v>41</v>
      </c>
      <c r="BD4318" s="2" t="s">
        <v>82</v>
      </c>
      <c r="BE4318" s="2">
        <v>1</v>
      </c>
      <c r="BF4318" s="2" t="s">
        <v>107</v>
      </c>
      <c r="BG4318" s="2"/>
      <c r="BH4318" s="2"/>
      <c r="BI4318" s="2"/>
      <c r="BJ4318" s="2">
        <v>13</v>
      </c>
      <c r="BK4318" s="2" t="s">
        <v>91</v>
      </c>
      <c r="BL4318" s="2" t="s">
        <v>360</v>
      </c>
      <c r="BM4318" s="2">
        <v>4</v>
      </c>
      <c r="BN4318" s="2" t="s">
        <v>618</v>
      </c>
      <c r="BO4318" s="2"/>
      <c r="BP4318" s="2">
        <v>4</v>
      </c>
      <c r="BQ4318" s="2" t="s">
        <v>618</v>
      </c>
      <c r="BR4318" s="2" t="s">
        <v>13486</v>
      </c>
      <c r="BS4318" s="3">
        <v>40469</v>
      </c>
      <c r="BT4318" s="4">
        <v>0.78263888888888899</v>
      </c>
    </row>
    <row r="4319" spans="1:72" x14ac:dyDescent="0.25">
      <c r="A4319" s="2">
        <v>6504</v>
      </c>
      <c r="B4319" s="2">
        <v>2010</v>
      </c>
      <c r="C4319" s="2" t="s">
        <v>255</v>
      </c>
      <c r="D4319" s="2" t="s">
        <v>73</v>
      </c>
      <c r="E4319" s="2"/>
      <c r="F4319" s="2">
        <v>389</v>
      </c>
      <c r="G4319" s="2" t="s">
        <v>1819</v>
      </c>
      <c r="H4319" s="2">
        <v>3</v>
      </c>
      <c r="I4319" s="2" t="s">
        <v>315</v>
      </c>
      <c r="J4319" s="2">
        <v>399</v>
      </c>
      <c r="K4319" s="2" t="s">
        <v>1820</v>
      </c>
      <c r="L4319" s="2" t="s">
        <v>1821</v>
      </c>
      <c r="M4319" s="3">
        <v>40469</v>
      </c>
      <c r="N4319" s="2" t="s">
        <v>1822</v>
      </c>
      <c r="O4319" s="2"/>
      <c r="P4319" s="2"/>
      <c r="Q4319" s="2" t="str">
        <f>"544-E/10"</f>
        <v>544-E/10</v>
      </c>
      <c r="R4319" s="2" t="s">
        <v>947</v>
      </c>
      <c r="S4319" s="2"/>
      <c r="T4319" s="2">
        <v>1</v>
      </c>
      <c r="U4319" s="2" t="s">
        <v>79</v>
      </c>
      <c r="V4319" s="2">
        <v>1</v>
      </c>
      <c r="W4319" s="2" t="s">
        <v>80</v>
      </c>
      <c r="X4319" s="2">
        <v>12</v>
      </c>
      <c r="Y4319" s="2" t="s">
        <v>148</v>
      </c>
      <c r="Z4319" s="2">
        <v>1</v>
      </c>
      <c r="AA4319" s="2" t="s">
        <v>82</v>
      </c>
      <c r="AB4319" s="2">
        <v>9</v>
      </c>
      <c r="AC4319" s="2" t="s">
        <v>124</v>
      </c>
      <c r="AD4319" s="3">
        <v>40468</v>
      </c>
      <c r="AE4319" s="4">
        <v>0.52083333333333337</v>
      </c>
      <c r="AF4319" s="3">
        <v>40469</v>
      </c>
      <c r="AG4319" s="4">
        <v>0.63888888888888895</v>
      </c>
      <c r="AH4319" s="2">
        <v>2</v>
      </c>
      <c r="AI4319" s="2" t="s">
        <v>84</v>
      </c>
      <c r="AJ4319" s="2">
        <v>9</v>
      </c>
      <c r="AK4319" s="2" t="s">
        <v>103</v>
      </c>
      <c r="AL4319" s="2">
        <v>22</v>
      </c>
      <c r="AM4319" s="2" t="s">
        <v>1853</v>
      </c>
      <c r="AN4319" s="2"/>
      <c r="AO4319" s="2" t="s">
        <v>13487</v>
      </c>
      <c r="AP4319" s="2">
        <v>11</v>
      </c>
      <c r="AQ4319" s="2" t="s">
        <v>82</v>
      </c>
      <c r="AR4319" s="2"/>
      <c r="AS4319" s="2"/>
      <c r="AT4319" s="2" t="s">
        <v>13488</v>
      </c>
      <c r="AU4319" s="2"/>
      <c r="AV4319" s="2"/>
      <c r="AW4319" s="2"/>
      <c r="AX4319" s="2"/>
      <c r="AY4319" s="2">
        <v>41</v>
      </c>
      <c r="AZ4319" s="2" t="s">
        <v>82</v>
      </c>
      <c r="BA4319" s="2">
        <v>41</v>
      </c>
      <c r="BB4319" s="2" t="s">
        <v>82</v>
      </c>
      <c r="BC4319" s="2">
        <v>41</v>
      </c>
      <c r="BD4319" s="2" t="s">
        <v>82</v>
      </c>
      <c r="BE4319" s="2">
        <v>11</v>
      </c>
      <c r="BF4319" s="2" t="s">
        <v>2404</v>
      </c>
      <c r="BG4319" s="2" t="s">
        <v>2405</v>
      </c>
      <c r="BH4319" s="2"/>
      <c r="BI4319" s="2"/>
      <c r="BJ4319" s="2">
        <v>75</v>
      </c>
      <c r="BK4319" s="2" t="s">
        <v>1264</v>
      </c>
      <c r="BL4319" s="2" t="s">
        <v>2406</v>
      </c>
      <c r="BM4319" s="2">
        <v>13</v>
      </c>
      <c r="BN4319" s="2" t="s">
        <v>91</v>
      </c>
      <c r="BO4319" s="2"/>
      <c r="BP4319" s="2">
        <v>13</v>
      </c>
      <c r="BQ4319" s="2" t="s">
        <v>91</v>
      </c>
      <c r="BR4319" s="2" t="s">
        <v>360</v>
      </c>
      <c r="BS4319" s="3">
        <v>40469</v>
      </c>
      <c r="BT4319" s="4">
        <v>0.80504629629629632</v>
      </c>
    </row>
    <row r="4320" spans="1:72" x14ac:dyDescent="0.25">
      <c r="A4320" s="2">
        <v>6506</v>
      </c>
      <c r="B4320" s="2">
        <v>2010</v>
      </c>
      <c r="C4320" s="2" t="s">
        <v>128</v>
      </c>
      <c r="D4320" s="2" t="s">
        <v>73</v>
      </c>
      <c r="E4320" s="2"/>
      <c r="F4320" s="2">
        <v>425</v>
      </c>
      <c r="G4320" s="2" t="s">
        <v>286</v>
      </c>
      <c r="H4320" s="2">
        <v>3</v>
      </c>
      <c r="I4320" s="2" t="s">
        <v>315</v>
      </c>
      <c r="J4320" s="2">
        <v>310</v>
      </c>
      <c r="K4320" s="2" t="s">
        <v>288</v>
      </c>
      <c r="L4320" s="2" t="s">
        <v>289</v>
      </c>
      <c r="M4320" s="3">
        <v>40469</v>
      </c>
      <c r="N4320" s="2" t="s">
        <v>2049</v>
      </c>
      <c r="O4320" s="2" t="s">
        <v>2529</v>
      </c>
      <c r="P4320" s="2"/>
      <c r="Q4320" s="2" t="str">
        <f>"106/10"</f>
        <v>106/10</v>
      </c>
      <c r="R4320" s="2" t="s">
        <v>2957</v>
      </c>
      <c r="S4320" s="2" t="s">
        <v>6961</v>
      </c>
      <c r="T4320" s="2">
        <v>1</v>
      </c>
      <c r="U4320" s="2" t="s">
        <v>79</v>
      </c>
      <c r="V4320" s="2">
        <v>1</v>
      </c>
      <c r="W4320" s="2" t="s">
        <v>80</v>
      </c>
      <c r="X4320" s="2">
        <v>12</v>
      </c>
      <c r="Y4320" s="2" t="s">
        <v>148</v>
      </c>
      <c r="Z4320" s="2">
        <v>1</v>
      </c>
      <c r="AA4320" s="2" t="s">
        <v>82</v>
      </c>
      <c r="AB4320" s="2">
        <v>9</v>
      </c>
      <c r="AC4320" s="2" t="s">
        <v>124</v>
      </c>
      <c r="AD4320" s="3">
        <v>40469</v>
      </c>
      <c r="AE4320" s="4">
        <v>0.70138888888888884</v>
      </c>
      <c r="AF4320" s="3">
        <v>40469</v>
      </c>
      <c r="AG4320" s="4">
        <v>0.70138888888888884</v>
      </c>
      <c r="AH4320" s="2">
        <v>4</v>
      </c>
      <c r="AI4320" s="2" t="s">
        <v>125</v>
      </c>
      <c r="AJ4320" s="2">
        <v>29</v>
      </c>
      <c r="AK4320" s="2" t="s">
        <v>227</v>
      </c>
      <c r="AL4320" s="2">
        <v>11</v>
      </c>
      <c r="AM4320" s="2" t="s">
        <v>137</v>
      </c>
      <c r="AN4320" s="2"/>
      <c r="AO4320" s="2"/>
      <c r="AP4320" s="2">
        <v>11</v>
      </c>
      <c r="AQ4320" s="2" t="s">
        <v>82</v>
      </c>
      <c r="AR4320" s="2"/>
      <c r="AS4320" s="2"/>
      <c r="AT4320" s="2" t="s">
        <v>13489</v>
      </c>
      <c r="AU4320" s="2"/>
      <c r="AV4320" s="2"/>
      <c r="AW4320" s="2"/>
      <c r="AX4320" s="2"/>
      <c r="AY4320" s="2">
        <v>41</v>
      </c>
      <c r="AZ4320" s="2" t="s">
        <v>82</v>
      </c>
      <c r="BA4320" s="2">
        <v>41</v>
      </c>
      <c r="BB4320" s="2" t="s">
        <v>82</v>
      </c>
      <c r="BC4320" s="2">
        <v>41</v>
      </c>
      <c r="BD4320" s="2" t="s">
        <v>82</v>
      </c>
      <c r="BE4320" s="2">
        <v>4</v>
      </c>
      <c r="BF4320" s="2" t="s">
        <v>90</v>
      </c>
      <c r="BG4320" s="2">
        <v>4113</v>
      </c>
      <c r="BH4320" s="4">
        <v>0.61805555555555558</v>
      </c>
      <c r="BI4320" s="4">
        <v>0.76388888888888884</v>
      </c>
      <c r="BJ4320" s="2">
        <v>13</v>
      </c>
      <c r="BK4320" s="2" t="s">
        <v>91</v>
      </c>
      <c r="BL4320" s="2" t="s">
        <v>828</v>
      </c>
      <c r="BM4320" s="2">
        <v>13</v>
      </c>
      <c r="BN4320" s="2" t="s">
        <v>91</v>
      </c>
      <c r="BO4320" s="2"/>
      <c r="BP4320" s="2">
        <v>13</v>
      </c>
      <c r="BQ4320" s="2" t="s">
        <v>91</v>
      </c>
      <c r="BR4320" s="2" t="s">
        <v>185</v>
      </c>
      <c r="BS4320" s="3">
        <v>40469</v>
      </c>
      <c r="BT4320" s="4">
        <v>0.81885416666666666</v>
      </c>
    </row>
    <row r="4321" spans="1:72" x14ac:dyDescent="0.25">
      <c r="A4321" s="2">
        <v>6507</v>
      </c>
      <c r="B4321" s="2">
        <v>2010</v>
      </c>
      <c r="C4321" s="2" t="s">
        <v>72</v>
      </c>
      <c r="D4321" s="2" t="s">
        <v>73</v>
      </c>
      <c r="E4321" s="2"/>
      <c r="F4321" s="2">
        <v>389</v>
      </c>
      <c r="G4321" s="2" t="s">
        <v>1819</v>
      </c>
      <c r="H4321" s="2">
        <v>3</v>
      </c>
      <c r="I4321" s="2" t="s">
        <v>315</v>
      </c>
      <c r="J4321" s="2">
        <v>399</v>
      </c>
      <c r="K4321" s="2" t="s">
        <v>1820</v>
      </c>
      <c r="L4321" s="2" t="s">
        <v>1821</v>
      </c>
      <c r="M4321" s="3">
        <v>40469</v>
      </c>
      <c r="N4321" s="2" t="s">
        <v>4976</v>
      </c>
      <c r="O4321" s="2"/>
      <c r="P4321" s="2"/>
      <c r="Q4321" s="2" t="str">
        <f>"541-E/10"</f>
        <v>541-E/10</v>
      </c>
      <c r="R4321" s="2" t="s">
        <v>601</v>
      </c>
      <c r="S4321" s="2" t="s">
        <v>601</v>
      </c>
      <c r="T4321" s="2">
        <v>1</v>
      </c>
      <c r="U4321" s="2" t="s">
        <v>79</v>
      </c>
      <c r="V4321" s="2">
        <v>1</v>
      </c>
      <c r="W4321" s="2" t="s">
        <v>80</v>
      </c>
      <c r="X4321" s="2">
        <v>12</v>
      </c>
      <c r="Y4321" s="2" t="s">
        <v>148</v>
      </c>
      <c r="Z4321" s="2">
        <v>1</v>
      </c>
      <c r="AA4321" s="2" t="s">
        <v>82</v>
      </c>
      <c r="AB4321" s="2">
        <v>6</v>
      </c>
      <c r="AC4321" s="2" t="s">
        <v>83</v>
      </c>
      <c r="AD4321" s="3">
        <v>40469</v>
      </c>
      <c r="AE4321" s="2"/>
      <c r="AF4321" s="3">
        <v>40469</v>
      </c>
      <c r="AG4321" s="4">
        <v>0.41666666666666669</v>
      </c>
      <c r="AH4321" s="2">
        <v>2</v>
      </c>
      <c r="AI4321" s="2" t="s">
        <v>84</v>
      </c>
      <c r="AJ4321" s="2">
        <v>9</v>
      </c>
      <c r="AK4321" s="2" t="s">
        <v>103</v>
      </c>
      <c r="AL4321" s="2">
        <v>22</v>
      </c>
      <c r="AM4321" s="2" t="s">
        <v>1853</v>
      </c>
      <c r="AN4321" s="2" t="s">
        <v>13490</v>
      </c>
      <c r="AO4321" s="2" t="s">
        <v>12115</v>
      </c>
      <c r="AP4321" s="2">
        <v>11</v>
      </c>
      <c r="AQ4321" s="2" t="s">
        <v>82</v>
      </c>
      <c r="AR4321" s="2"/>
      <c r="AS4321" s="2"/>
      <c r="AT4321" s="2" t="s">
        <v>13491</v>
      </c>
      <c r="AU4321" s="2"/>
      <c r="AV4321" s="2"/>
      <c r="AW4321" s="2"/>
      <c r="AX4321" s="2"/>
      <c r="AY4321" s="2">
        <v>41</v>
      </c>
      <c r="AZ4321" s="2" t="s">
        <v>82</v>
      </c>
      <c r="BA4321" s="2">
        <v>41</v>
      </c>
      <c r="BB4321" s="2" t="s">
        <v>82</v>
      </c>
      <c r="BC4321" s="2">
        <v>41</v>
      </c>
      <c r="BD4321" s="2" t="s">
        <v>82</v>
      </c>
      <c r="BE4321" s="2">
        <v>31</v>
      </c>
      <c r="BF4321" s="2" t="s">
        <v>398</v>
      </c>
      <c r="BG4321" s="2" t="s">
        <v>1800</v>
      </c>
      <c r="BH4321" s="4">
        <v>0.35416666666666669</v>
      </c>
      <c r="BI4321" s="4">
        <v>0.83333333333333337</v>
      </c>
      <c r="BJ4321" s="2">
        <v>73</v>
      </c>
      <c r="BK4321" s="2" t="s">
        <v>186</v>
      </c>
      <c r="BL4321" s="2" t="s">
        <v>187</v>
      </c>
      <c r="BM4321" s="2">
        <v>13</v>
      </c>
      <c r="BN4321" s="2" t="s">
        <v>91</v>
      </c>
      <c r="BO4321" s="2"/>
      <c r="BP4321" s="2">
        <v>13</v>
      </c>
      <c r="BQ4321" s="2" t="s">
        <v>91</v>
      </c>
      <c r="BR4321" s="2" t="s">
        <v>360</v>
      </c>
      <c r="BS4321" s="3">
        <v>40469</v>
      </c>
      <c r="BT4321" s="4">
        <v>0.82592592592592595</v>
      </c>
    </row>
    <row r="4322" spans="1:72" x14ac:dyDescent="0.25">
      <c r="A4322" s="2">
        <v>6509</v>
      </c>
      <c r="B4322" s="2">
        <v>2010</v>
      </c>
      <c r="C4322" s="2" t="s">
        <v>72</v>
      </c>
      <c r="D4322" s="2" t="s">
        <v>73</v>
      </c>
      <c r="E4322" s="2"/>
      <c r="F4322" s="2">
        <v>3</v>
      </c>
      <c r="G4322" s="2" t="s">
        <v>1041</v>
      </c>
      <c r="H4322" s="2">
        <v>50</v>
      </c>
      <c r="I4322" s="2" t="s">
        <v>107</v>
      </c>
      <c r="J4322" s="2">
        <v>368</v>
      </c>
      <c r="K4322" s="2" t="s">
        <v>1042</v>
      </c>
      <c r="L4322" s="2" t="s">
        <v>1043</v>
      </c>
      <c r="M4322" s="3">
        <v>40469</v>
      </c>
      <c r="N4322" s="2"/>
      <c r="O4322" s="2"/>
      <c r="P4322" s="2"/>
      <c r="Q4322" s="2" t="str">
        <f>"542-E/10"</f>
        <v>542-E/10</v>
      </c>
      <c r="R4322" s="2" t="s">
        <v>116</v>
      </c>
      <c r="S4322" s="2" t="s">
        <v>116</v>
      </c>
      <c r="T4322" s="2">
        <v>1</v>
      </c>
      <c r="U4322" s="2" t="s">
        <v>79</v>
      </c>
      <c r="V4322" s="2">
        <v>1</v>
      </c>
      <c r="W4322" s="2" t="s">
        <v>80</v>
      </c>
      <c r="X4322" s="2">
        <v>12</v>
      </c>
      <c r="Y4322" s="2" t="s">
        <v>148</v>
      </c>
      <c r="Z4322" s="2">
        <v>1</v>
      </c>
      <c r="AA4322" s="2" t="s">
        <v>82</v>
      </c>
      <c r="AB4322" s="2">
        <v>6</v>
      </c>
      <c r="AC4322" s="2" t="s">
        <v>83</v>
      </c>
      <c r="AD4322" s="3">
        <v>40469</v>
      </c>
      <c r="AE4322" s="2"/>
      <c r="AF4322" s="3">
        <v>40469</v>
      </c>
      <c r="AG4322" s="4">
        <v>0.47222222222222227</v>
      </c>
      <c r="AH4322" s="2">
        <v>2</v>
      </c>
      <c r="AI4322" s="2" t="s">
        <v>84</v>
      </c>
      <c r="AJ4322" s="2">
        <v>9</v>
      </c>
      <c r="AK4322" s="2" t="s">
        <v>103</v>
      </c>
      <c r="AL4322" s="2">
        <v>13</v>
      </c>
      <c r="AM4322" s="2" t="s">
        <v>117</v>
      </c>
      <c r="AN4322" s="2" t="s">
        <v>13492</v>
      </c>
      <c r="AO4322" s="2" t="s">
        <v>13493</v>
      </c>
      <c r="AP4322" s="2">
        <v>11</v>
      </c>
      <c r="AQ4322" s="2" t="s">
        <v>82</v>
      </c>
      <c r="AR4322" s="2"/>
      <c r="AS4322" s="2"/>
      <c r="AT4322" s="2" t="s">
        <v>13494</v>
      </c>
      <c r="AU4322" s="2"/>
      <c r="AV4322" s="2"/>
      <c r="AW4322" s="2"/>
      <c r="AX4322" s="2"/>
      <c r="AY4322" s="2">
        <v>68</v>
      </c>
      <c r="AZ4322" s="2" t="s">
        <v>12055</v>
      </c>
      <c r="BA4322" s="2">
        <v>68</v>
      </c>
      <c r="BB4322" s="2" t="s">
        <v>12055</v>
      </c>
      <c r="BC4322" s="2">
        <v>41</v>
      </c>
      <c r="BD4322" s="2" t="s">
        <v>82</v>
      </c>
      <c r="BE4322" s="2">
        <v>41</v>
      </c>
      <c r="BF4322" s="2" t="s">
        <v>82</v>
      </c>
      <c r="BG4322" s="2"/>
      <c r="BH4322" s="2"/>
      <c r="BI4322" s="2"/>
      <c r="BJ4322" s="2">
        <v>241</v>
      </c>
      <c r="BK4322" s="2" t="s">
        <v>82</v>
      </c>
      <c r="BL4322" s="2"/>
      <c r="BM4322" s="2">
        <v>241</v>
      </c>
      <c r="BN4322" s="2" t="s">
        <v>82</v>
      </c>
      <c r="BO4322" s="2"/>
      <c r="BP4322" s="2">
        <v>241</v>
      </c>
      <c r="BQ4322" s="2" t="s">
        <v>82</v>
      </c>
      <c r="BR4322" s="2"/>
      <c r="BS4322" s="3">
        <v>40469</v>
      </c>
      <c r="BT4322" s="4">
        <v>0.85184027777777782</v>
      </c>
    </row>
    <row r="4323" spans="1:72" x14ac:dyDescent="0.25">
      <c r="A4323" s="2">
        <v>6510</v>
      </c>
      <c r="B4323" s="2">
        <v>2010</v>
      </c>
      <c r="C4323" s="2" t="s">
        <v>418</v>
      </c>
      <c r="D4323" s="2" t="s">
        <v>122</v>
      </c>
      <c r="E4323" s="2"/>
      <c r="F4323" s="2">
        <v>1</v>
      </c>
      <c r="G4323" s="2" t="s">
        <v>82</v>
      </c>
      <c r="H4323" s="2">
        <v>1</v>
      </c>
      <c r="I4323" s="2" t="s">
        <v>82</v>
      </c>
      <c r="J4323" s="2">
        <v>1</v>
      </c>
      <c r="K4323" s="2" t="s">
        <v>107</v>
      </c>
      <c r="L4323" s="2" t="s">
        <v>107</v>
      </c>
      <c r="M4323" s="3">
        <v>40469</v>
      </c>
      <c r="N4323" s="2"/>
      <c r="O4323" s="2"/>
      <c r="P4323" s="2"/>
      <c r="Q4323" s="2" t="str">
        <f>""</f>
        <v/>
      </c>
      <c r="R4323" s="2"/>
      <c r="S4323" s="2"/>
      <c r="T4323" s="2">
        <v>2</v>
      </c>
      <c r="U4323" s="2" t="s">
        <v>123</v>
      </c>
      <c r="V4323" s="2">
        <v>1</v>
      </c>
      <c r="W4323" s="2" t="s">
        <v>80</v>
      </c>
      <c r="X4323" s="2">
        <v>5</v>
      </c>
      <c r="Y4323" s="2" t="s">
        <v>82</v>
      </c>
      <c r="Z4323" s="2">
        <v>1</v>
      </c>
      <c r="AA4323" s="2" t="s">
        <v>82</v>
      </c>
      <c r="AB4323" s="2">
        <v>9</v>
      </c>
      <c r="AC4323" s="2" t="s">
        <v>124</v>
      </c>
      <c r="AD4323" s="3">
        <v>40469</v>
      </c>
      <c r="AE4323" s="4">
        <v>0.84027777777777779</v>
      </c>
      <c r="AF4323" s="2"/>
      <c r="AG4323" s="2"/>
      <c r="AH4323" s="2">
        <v>4</v>
      </c>
      <c r="AI4323" s="2" t="s">
        <v>125</v>
      </c>
      <c r="AJ4323" s="2">
        <v>28</v>
      </c>
      <c r="AK4323" s="2" t="s">
        <v>741</v>
      </c>
      <c r="AL4323" s="2">
        <v>19</v>
      </c>
      <c r="AM4323" s="2" t="s">
        <v>107</v>
      </c>
      <c r="AN4323" s="2" t="s">
        <v>2047</v>
      </c>
      <c r="AO4323" s="2" t="s">
        <v>5439</v>
      </c>
      <c r="AP4323" s="2">
        <v>11</v>
      </c>
      <c r="AQ4323" s="2" t="s">
        <v>82</v>
      </c>
      <c r="AR4323" s="2" t="s">
        <v>82</v>
      </c>
      <c r="AS4323" s="2" t="s">
        <v>82</v>
      </c>
      <c r="AT4323" s="2" t="s">
        <v>13495</v>
      </c>
      <c r="AU4323" s="2"/>
      <c r="AV4323" s="2"/>
      <c r="AW4323" s="2"/>
      <c r="AX4323" s="2"/>
      <c r="AY4323" s="2">
        <v>41</v>
      </c>
      <c r="AZ4323" s="2" t="s">
        <v>82</v>
      </c>
      <c r="BA4323" s="2">
        <v>41</v>
      </c>
      <c r="BB4323" s="2" t="s">
        <v>82</v>
      </c>
      <c r="BC4323" s="2">
        <v>4</v>
      </c>
      <c r="BD4323" s="2" t="s">
        <v>90</v>
      </c>
      <c r="BE4323" s="2">
        <v>4</v>
      </c>
      <c r="BF4323" s="2" t="s">
        <v>90</v>
      </c>
      <c r="BG4323" s="2">
        <v>4156</v>
      </c>
      <c r="BH4323" s="4">
        <v>0.84722222222222221</v>
      </c>
      <c r="BI4323" s="4">
        <v>0.875</v>
      </c>
      <c r="BJ4323" s="2">
        <v>13</v>
      </c>
      <c r="BK4323" s="2" t="s">
        <v>91</v>
      </c>
      <c r="BL4323" s="2" t="s">
        <v>185</v>
      </c>
      <c r="BM4323" s="2">
        <v>13</v>
      </c>
      <c r="BN4323" s="2" t="s">
        <v>91</v>
      </c>
      <c r="BO4323" s="2"/>
      <c r="BP4323" s="2">
        <v>241</v>
      </c>
      <c r="BQ4323" s="2" t="s">
        <v>82</v>
      </c>
      <c r="BR4323" s="2" t="s">
        <v>744</v>
      </c>
      <c r="BS4323" s="3">
        <v>40469</v>
      </c>
      <c r="BT4323" s="4">
        <v>0.93472222222222223</v>
      </c>
    </row>
    <row r="4324" spans="1:72" x14ac:dyDescent="0.25">
      <c r="A4324" s="2">
        <v>6511</v>
      </c>
      <c r="B4324" s="2">
        <v>2010</v>
      </c>
      <c r="C4324" s="2" t="s">
        <v>93</v>
      </c>
      <c r="D4324" s="2" t="s">
        <v>73</v>
      </c>
      <c r="E4324" s="2"/>
      <c r="F4324" s="2">
        <v>126</v>
      </c>
      <c r="G4324" s="2" t="s">
        <v>4139</v>
      </c>
      <c r="H4324" s="2">
        <v>22</v>
      </c>
      <c r="I4324" s="2" t="s">
        <v>75</v>
      </c>
      <c r="J4324" s="2">
        <v>140</v>
      </c>
      <c r="K4324" s="2" t="s">
        <v>864</v>
      </c>
      <c r="L4324" s="2" t="s">
        <v>865</v>
      </c>
      <c r="M4324" s="3">
        <v>40469</v>
      </c>
      <c r="N4324" s="2" t="s">
        <v>107</v>
      </c>
      <c r="O4324" s="2" t="s">
        <v>13496</v>
      </c>
      <c r="P4324" s="2" t="s">
        <v>13497</v>
      </c>
      <c r="Q4324" s="2" t="str">
        <f>"AP 0049/10"</f>
        <v>AP 0049/10</v>
      </c>
      <c r="R4324" s="2"/>
      <c r="S4324" s="2"/>
      <c r="T4324" s="2">
        <v>1</v>
      </c>
      <c r="U4324" s="2" t="s">
        <v>79</v>
      </c>
      <c r="V4324" s="2">
        <v>1</v>
      </c>
      <c r="W4324" s="2" t="s">
        <v>80</v>
      </c>
      <c r="X4324" s="2">
        <v>1</v>
      </c>
      <c r="Y4324" s="2" t="s">
        <v>81</v>
      </c>
      <c r="Z4324" s="2">
        <v>1</v>
      </c>
      <c r="AA4324" s="2" t="s">
        <v>82</v>
      </c>
      <c r="AB4324" s="2">
        <v>2</v>
      </c>
      <c r="AC4324" s="2" t="s">
        <v>102</v>
      </c>
      <c r="AD4324" s="3">
        <v>40469</v>
      </c>
      <c r="AE4324" s="4">
        <v>0.84375</v>
      </c>
      <c r="AF4324" s="2"/>
      <c r="AG4324" s="2"/>
      <c r="AH4324" s="2">
        <v>6</v>
      </c>
      <c r="AI4324" s="2" t="s">
        <v>197</v>
      </c>
      <c r="AJ4324" s="2">
        <v>60</v>
      </c>
      <c r="AK4324" s="2" t="s">
        <v>543</v>
      </c>
      <c r="AL4324" s="2">
        <v>11</v>
      </c>
      <c r="AM4324" s="2" t="s">
        <v>137</v>
      </c>
      <c r="AN4324" s="2"/>
      <c r="AO4324" s="2" t="s">
        <v>5183</v>
      </c>
      <c r="AP4324" s="2">
        <v>11</v>
      </c>
      <c r="AQ4324" s="2" t="s">
        <v>82</v>
      </c>
      <c r="AR4324" s="2" t="s">
        <v>82</v>
      </c>
      <c r="AS4324" s="2" t="s">
        <v>82</v>
      </c>
      <c r="AT4324" s="2" t="s">
        <v>13498</v>
      </c>
      <c r="AU4324" s="2"/>
      <c r="AV4324" s="2"/>
      <c r="AW4324" s="2"/>
      <c r="AX4324" s="2"/>
      <c r="AY4324" s="2">
        <v>41</v>
      </c>
      <c r="AZ4324" s="2" t="s">
        <v>82</v>
      </c>
      <c r="BA4324" s="2">
        <v>41</v>
      </c>
      <c r="BB4324" s="2" t="s">
        <v>82</v>
      </c>
      <c r="BC4324" s="2">
        <v>41</v>
      </c>
      <c r="BD4324" s="2" t="s">
        <v>82</v>
      </c>
      <c r="BE4324" s="2">
        <v>13</v>
      </c>
      <c r="BF4324" s="2" t="s">
        <v>108</v>
      </c>
      <c r="BG4324" s="2" t="s">
        <v>13499</v>
      </c>
      <c r="BH4324" s="2"/>
      <c r="BI4324" s="4">
        <v>0.86458333333333337</v>
      </c>
      <c r="BJ4324" s="2">
        <v>13</v>
      </c>
      <c r="BK4324" s="2" t="s">
        <v>91</v>
      </c>
      <c r="BL4324" s="2" t="s">
        <v>895</v>
      </c>
      <c r="BM4324" s="2">
        <v>13</v>
      </c>
      <c r="BN4324" s="2" t="s">
        <v>91</v>
      </c>
      <c r="BO4324" s="2"/>
      <c r="BP4324" s="2">
        <v>13</v>
      </c>
      <c r="BQ4324" s="2" t="s">
        <v>91</v>
      </c>
      <c r="BR4324" s="2" t="s">
        <v>185</v>
      </c>
      <c r="BS4324" s="3">
        <v>40469</v>
      </c>
      <c r="BT4324" s="4">
        <v>0.93481481481481488</v>
      </c>
    </row>
    <row r="4325" spans="1:72" x14ac:dyDescent="0.25">
      <c r="A4325" s="2">
        <v>6512</v>
      </c>
      <c r="B4325" s="2">
        <v>2010</v>
      </c>
      <c r="C4325" s="2" t="s">
        <v>171</v>
      </c>
      <c r="D4325" s="2" t="s">
        <v>73</v>
      </c>
      <c r="E4325" s="2"/>
      <c r="F4325" s="2">
        <v>451</v>
      </c>
      <c r="G4325" s="2" t="s">
        <v>879</v>
      </c>
      <c r="H4325" s="2">
        <v>31</v>
      </c>
      <c r="I4325" s="2" t="s">
        <v>880</v>
      </c>
      <c r="J4325" s="2">
        <v>326</v>
      </c>
      <c r="K4325" s="2" t="s">
        <v>881</v>
      </c>
      <c r="L4325" s="2" t="s">
        <v>882</v>
      </c>
      <c r="M4325" s="3">
        <v>40470</v>
      </c>
      <c r="N4325" s="2" t="s">
        <v>13500</v>
      </c>
      <c r="O4325" s="2" t="s">
        <v>13501</v>
      </c>
      <c r="P4325" s="2" t="s">
        <v>13502</v>
      </c>
      <c r="Q4325" s="2" t="str">
        <f>""</f>
        <v/>
      </c>
      <c r="R4325" s="2"/>
      <c r="S4325" s="2"/>
      <c r="T4325" s="2">
        <v>1</v>
      </c>
      <c r="U4325" s="2" t="s">
        <v>79</v>
      </c>
      <c r="V4325" s="2">
        <v>3</v>
      </c>
      <c r="W4325" s="2" t="s">
        <v>225</v>
      </c>
      <c r="X4325" s="2">
        <v>6</v>
      </c>
      <c r="Y4325" s="2" t="s">
        <v>249</v>
      </c>
      <c r="Z4325" s="2">
        <v>1</v>
      </c>
      <c r="AA4325" s="2" t="s">
        <v>82</v>
      </c>
      <c r="AB4325" s="2">
        <v>9</v>
      </c>
      <c r="AC4325" s="2" t="s">
        <v>124</v>
      </c>
      <c r="AD4325" s="2"/>
      <c r="AE4325" s="2"/>
      <c r="AF4325" s="2"/>
      <c r="AG4325" s="2"/>
      <c r="AH4325" s="2">
        <v>4</v>
      </c>
      <c r="AI4325" s="2" t="s">
        <v>125</v>
      </c>
      <c r="AJ4325" s="2">
        <v>26</v>
      </c>
      <c r="AK4325" s="2" t="s">
        <v>293</v>
      </c>
      <c r="AL4325" s="2">
        <v>23</v>
      </c>
      <c r="AM4325" s="2" t="s">
        <v>251</v>
      </c>
      <c r="AN4325" s="2" t="s">
        <v>11465</v>
      </c>
      <c r="AO4325" s="2"/>
      <c r="AP4325" s="2">
        <v>11</v>
      </c>
      <c r="AQ4325" s="2" t="s">
        <v>82</v>
      </c>
      <c r="AR4325" s="2"/>
      <c r="AS4325" s="2"/>
      <c r="AT4325" s="2" t="s">
        <v>13503</v>
      </c>
      <c r="AU4325" s="2"/>
      <c r="AV4325" s="2"/>
      <c r="AW4325" s="2"/>
      <c r="AX4325" s="2"/>
      <c r="AY4325" s="2">
        <v>41</v>
      </c>
      <c r="AZ4325" s="2" t="s">
        <v>82</v>
      </c>
      <c r="BA4325" s="2">
        <v>41</v>
      </c>
      <c r="BB4325" s="2" t="s">
        <v>82</v>
      </c>
      <c r="BC4325" s="2">
        <v>41</v>
      </c>
      <c r="BD4325" s="2" t="s">
        <v>82</v>
      </c>
      <c r="BE4325" s="2">
        <v>41</v>
      </c>
      <c r="BF4325" s="2" t="s">
        <v>82</v>
      </c>
      <c r="BG4325" s="2"/>
      <c r="BH4325" s="2"/>
      <c r="BI4325" s="2"/>
      <c r="BJ4325" s="2">
        <v>241</v>
      </c>
      <c r="BK4325" s="2" t="s">
        <v>82</v>
      </c>
      <c r="BL4325" s="2"/>
      <c r="BM4325" s="2">
        <v>241</v>
      </c>
      <c r="BN4325" s="2" t="s">
        <v>82</v>
      </c>
      <c r="BO4325" s="2"/>
      <c r="BP4325" s="2">
        <v>241</v>
      </c>
      <c r="BQ4325" s="2" t="s">
        <v>82</v>
      </c>
      <c r="BR4325" s="2"/>
      <c r="BS4325" s="3">
        <v>40470</v>
      </c>
      <c r="BT4325" s="4">
        <v>8.7037037037037031E-3</v>
      </c>
    </row>
    <row r="4326" spans="1:72" x14ac:dyDescent="0.25">
      <c r="A4326" s="2">
        <v>6513</v>
      </c>
      <c r="B4326" s="2">
        <v>2010</v>
      </c>
      <c r="C4326" s="2" t="s">
        <v>806</v>
      </c>
      <c r="D4326" s="2" t="s">
        <v>73</v>
      </c>
      <c r="E4326" s="2"/>
      <c r="F4326" s="2">
        <v>20</v>
      </c>
      <c r="G4326" s="2" t="s">
        <v>2532</v>
      </c>
      <c r="H4326" s="2">
        <v>50</v>
      </c>
      <c r="I4326" s="2" t="s">
        <v>107</v>
      </c>
      <c r="J4326" s="2">
        <v>29</v>
      </c>
      <c r="K4326" s="2" t="s">
        <v>2533</v>
      </c>
      <c r="L4326" s="2" t="s">
        <v>2534</v>
      </c>
      <c r="M4326" s="3">
        <v>40470</v>
      </c>
      <c r="N4326" s="2" t="s">
        <v>13504</v>
      </c>
      <c r="O4326" s="2" t="s">
        <v>13505</v>
      </c>
      <c r="P4326" s="2" t="s">
        <v>13506</v>
      </c>
      <c r="Q4326" s="2" t="str">
        <f>""</f>
        <v/>
      </c>
      <c r="R4326" s="2"/>
      <c r="S4326" s="2"/>
      <c r="T4326" s="2">
        <v>1</v>
      </c>
      <c r="U4326" s="2" t="s">
        <v>79</v>
      </c>
      <c r="V4326" s="2">
        <v>3</v>
      </c>
      <c r="W4326" s="2" t="s">
        <v>225</v>
      </c>
      <c r="X4326" s="2">
        <v>9</v>
      </c>
      <c r="Y4326" s="2" t="s">
        <v>3393</v>
      </c>
      <c r="Z4326" s="2">
        <v>10</v>
      </c>
      <c r="AA4326" s="2" t="s">
        <v>236</v>
      </c>
      <c r="AB4326" s="2">
        <v>9</v>
      </c>
      <c r="AC4326" s="2" t="s">
        <v>124</v>
      </c>
      <c r="AD4326" s="3">
        <v>40470</v>
      </c>
      <c r="AE4326" s="4">
        <v>0.25</v>
      </c>
      <c r="AF4326" s="2"/>
      <c r="AG4326" s="2"/>
      <c r="AH4326" s="2">
        <v>4</v>
      </c>
      <c r="AI4326" s="2" t="s">
        <v>125</v>
      </c>
      <c r="AJ4326" s="2">
        <v>26</v>
      </c>
      <c r="AK4326" s="2" t="s">
        <v>293</v>
      </c>
      <c r="AL4326" s="2">
        <v>23</v>
      </c>
      <c r="AM4326" s="2" t="s">
        <v>251</v>
      </c>
      <c r="AN4326" s="2" t="s">
        <v>13507</v>
      </c>
      <c r="AO4326" s="2" t="s">
        <v>13508</v>
      </c>
      <c r="AP4326" s="2">
        <v>11</v>
      </c>
      <c r="AQ4326" s="2" t="s">
        <v>82</v>
      </c>
      <c r="AR4326" s="2"/>
      <c r="AS4326" s="2"/>
      <c r="AT4326" s="2" t="s">
        <v>13509</v>
      </c>
      <c r="AU4326" s="2"/>
      <c r="AV4326" s="2"/>
      <c r="AW4326" s="2"/>
      <c r="AX4326" s="2"/>
      <c r="AY4326" s="2">
        <v>41</v>
      </c>
      <c r="AZ4326" s="2" t="s">
        <v>82</v>
      </c>
      <c r="BA4326" s="2">
        <v>41</v>
      </c>
      <c r="BB4326" s="2" t="s">
        <v>82</v>
      </c>
      <c r="BC4326" s="2">
        <v>41</v>
      </c>
      <c r="BD4326" s="2" t="s">
        <v>82</v>
      </c>
      <c r="BE4326" s="2">
        <v>41</v>
      </c>
      <c r="BF4326" s="2" t="s">
        <v>82</v>
      </c>
      <c r="BG4326" s="2"/>
      <c r="BH4326" s="2"/>
      <c r="BI4326" s="2"/>
      <c r="BJ4326" s="2">
        <v>241</v>
      </c>
      <c r="BK4326" s="2" t="s">
        <v>82</v>
      </c>
      <c r="BL4326" s="2"/>
      <c r="BM4326" s="2">
        <v>241</v>
      </c>
      <c r="BN4326" s="2" t="s">
        <v>82</v>
      </c>
      <c r="BO4326" s="2"/>
      <c r="BP4326" s="2">
        <v>241</v>
      </c>
      <c r="BQ4326" s="2" t="s">
        <v>82</v>
      </c>
      <c r="BR4326" s="2"/>
      <c r="BS4326" s="3">
        <v>40470</v>
      </c>
      <c r="BT4326" s="4">
        <v>0.10998842592592593</v>
      </c>
    </row>
    <row r="4327" spans="1:72" x14ac:dyDescent="0.25">
      <c r="A4327" s="2">
        <v>6514</v>
      </c>
      <c r="B4327" s="2">
        <v>2010</v>
      </c>
      <c r="C4327" s="2" t="s">
        <v>1660</v>
      </c>
      <c r="D4327" s="2" t="s">
        <v>73</v>
      </c>
      <c r="E4327" s="2"/>
      <c r="F4327" s="2">
        <v>389</v>
      </c>
      <c r="G4327" s="2" t="s">
        <v>1819</v>
      </c>
      <c r="H4327" s="2">
        <v>41</v>
      </c>
      <c r="I4327" s="2" t="s">
        <v>1906</v>
      </c>
      <c r="J4327" s="2">
        <v>399</v>
      </c>
      <c r="K4327" s="2" t="s">
        <v>1820</v>
      </c>
      <c r="L4327" s="2" t="s">
        <v>1821</v>
      </c>
      <c r="M4327" s="3">
        <v>40470</v>
      </c>
      <c r="N4327" s="2" t="s">
        <v>13510</v>
      </c>
      <c r="O4327" s="2"/>
      <c r="P4327" s="2"/>
      <c r="Q4327" s="2" t="str">
        <f>"543-E/10"</f>
        <v>543-E/10</v>
      </c>
      <c r="R4327" s="2" t="s">
        <v>13511</v>
      </c>
      <c r="S4327" s="2"/>
      <c r="T4327" s="2">
        <v>1</v>
      </c>
      <c r="U4327" s="2" t="s">
        <v>79</v>
      </c>
      <c r="V4327" s="2">
        <v>1</v>
      </c>
      <c r="W4327" s="2" t="s">
        <v>80</v>
      </c>
      <c r="X4327" s="2">
        <v>10</v>
      </c>
      <c r="Y4327" s="2" t="s">
        <v>226</v>
      </c>
      <c r="Z4327" s="2">
        <v>6</v>
      </c>
      <c r="AA4327" s="2" t="s">
        <v>101</v>
      </c>
      <c r="AB4327" s="2">
        <v>3</v>
      </c>
      <c r="AC4327" s="2" t="s">
        <v>1663</v>
      </c>
      <c r="AD4327" s="3">
        <v>40469</v>
      </c>
      <c r="AE4327" s="4">
        <v>0.66666666666666663</v>
      </c>
      <c r="AF4327" s="3">
        <v>40469</v>
      </c>
      <c r="AG4327" s="4">
        <v>0.83333333333333337</v>
      </c>
      <c r="AH4327" s="2">
        <v>2</v>
      </c>
      <c r="AI4327" s="2" t="s">
        <v>84</v>
      </c>
      <c r="AJ4327" s="2">
        <v>9</v>
      </c>
      <c r="AK4327" s="2" t="s">
        <v>103</v>
      </c>
      <c r="AL4327" s="2">
        <v>14</v>
      </c>
      <c r="AM4327" s="2" t="s">
        <v>216</v>
      </c>
      <c r="AN4327" s="2"/>
      <c r="AO4327" s="2" t="s">
        <v>105</v>
      </c>
      <c r="AP4327" s="2">
        <v>11</v>
      </c>
      <c r="AQ4327" s="2" t="s">
        <v>82</v>
      </c>
      <c r="AR4327" s="2"/>
      <c r="AS4327" s="2"/>
      <c r="AT4327" s="2" t="s">
        <v>13512</v>
      </c>
      <c r="AU4327" s="2"/>
      <c r="AV4327" s="2">
        <v>1</v>
      </c>
      <c r="AW4327" s="2"/>
      <c r="AX4327" s="2"/>
      <c r="AY4327" s="2">
        <v>41</v>
      </c>
      <c r="AZ4327" s="2" t="s">
        <v>82</v>
      </c>
      <c r="BA4327" s="2">
        <v>115</v>
      </c>
      <c r="BB4327" s="2" t="s">
        <v>101</v>
      </c>
      <c r="BC4327" s="2">
        <v>41</v>
      </c>
      <c r="BD4327" s="2" t="s">
        <v>82</v>
      </c>
      <c r="BE4327" s="2">
        <v>27</v>
      </c>
      <c r="BF4327" s="2" t="s">
        <v>2197</v>
      </c>
      <c r="BG4327" s="2" t="s">
        <v>8204</v>
      </c>
      <c r="BH4327" s="2"/>
      <c r="BI4327" s="2"/>
      <c r="BJ4327" s="2">
        <v>13</v>
      </c>
      <c r="BK4327" s="2" t="s">
        <v>91</v>
      </c>
      <c r="BL4327" s="2" t="s">
        <v>360</v>
      </c>
      <c r="BM4327" s="2">
        <v>112</v>
      </c>
      <c r="BN4327" s="2" t="s">
        <v>110</v>
      </c>
      <c r="BO4327" s="2"/>
      <c r="BP4327" s="2">
        <v>112</v>
      </c>
      <c r="BQ4327" s="2" t="s">
        <v>110</v>
      </c>
      <c r="BR4327" s="2" t="s">
        <v>111</v>
      </c>
      <c r="BS4327" s="3">
        <v>40470</v>
      </c>
      <c r="BT4327" s="4">
        <v>0.17174768518518521</v>
      </c>
    </row>
    <row r="4328" spans="1:72" x14ac:dyDescent="0.25">
      <c r="A4328" s="2">
        <v>6515</v>
      </c>
      <c r="B4328" s="2">
        <v>2010</v>
      </c>
      <c r="C4328" s="2" t="s">
        <v>72</v>
      </c>
      <c r="D4328" s="2" t="s">
        <v>73</v>
      </c>
      <c r="E4328" s="2"/>
      <c r="F4328" s="2">
        <v>66</v>
      </c>
      <c r="G4328" s="2" t="s">
        <v>8971</v>
      </c>
      <c r="H4328" s="2">
        <v>108</v>
      </c>
      <c r="I4328" s="2" t="s">
        <v>1096</v>
      </c>
      <c r="J4328" s="2">
        <v>98</v>
      </c>
      <c r="K4328" s="2" t="s">
        <v>8972</v>
      </c>
      <c r="L4328" s="2" t="s">
        <v>8973</v>
      </c>
      <c r="M4328" s="3">
        <v>40470</v>
      </c>
      <c r="N4328" s="2" t="s">
        <v>13513</v>
      </c>
      <c r="O4328" s="2"/>
      <c r="P4328" s="2"/>
      <c r="Q4328" s="2" t="str">
        <f>"035/10"</f>
        <v>035/10</v>
      </c>
      <c r="R4328" s="2" t="s">
        <v>116</v>
      </c>
      <c r="S4328" s="2"/>
      <c r="T4328" s="2">
        <v>1</v>
      </c>
      <c r="U4328" s="2" t="s">
        <v>79</v>
      </c>
      <c r="V4328" s="2">
        <v>1</v>
      </c>
      <c r="W4328" s="2" t="s">
        <v>80</v>
      </c>
      <c r="X4328" s="2">
        <v>12</v>
      </c>
      <c r="Y4328" s="2" t="s">
        <v>148</v>
      </c>
      <c r="Z4328" s="2">
        <v>1</v>
      </c>
      <c r="AA4328" s="2" t="s">
        <v>82</v>
      </c>
      <c r="AB4328" s="2">
        <v>6</v>
      </c>
      <c r="AC4328" s="2" t="s">
        <v>83</v>
      </c>
      <c r="AD4328" s="3">
        <v>40454</v>
      </c>
      <c r="AE4328" s="4">
        <v>9.375E-2</v>
      </c>
      <c r="AF4328" s="3">
        <v>40470</v>
      </c>
      <c r="AG4328" s="4">
        <v>0.24305555555555555</v>
      </c>
      <c r="AH4328" s="2">
        <v>4</v>
      </c>
      <c r="AI4328" s="2" t="s">
        <v>125</v>
      </c>
      <c r="AJ4328" s="2">
        <v>28</v>
      </c>
      <c r="AK4328" s="2" t="s">
        <v>741</v>
      </c>
      <c r="AL4328" s="2">
        <v>23</v>
      </c>
      <c r="AM4328" s="2" t="s">
        <v>251</v>
      </c>
      <c r="AN4328" s="2" t="s">
        <v>13514</v>
      </c>
      <c r="AO4328" s="2" t="s">
        <v>5154</v>
      </c>
      <c r="AP4328" s="2">
        <v>11</v>
      </c>
      <c r="AQ4328" s="2" t="s">
        <v>82</v>
      </c>
      <c r="AR4328" s="2"/>
      <c r="AS4328" s="2"/>
      <c r="AT4328" s="2" t="s">
        <v>13515</v>
      </c>
      <c r="AU4328" s="2"/>
      <c r="AV4328" s="2"/>
      <c r="AW4328" s="2"/>
      <c r="AX4328" s="2"/>
      <c r="AY4328" s="2">
        <v>41</v>
      </c>
      <c r="AZ4328" s="2" t="s">
        <v>82</v>
      </c>
      <c r="BA4328" s="2">
        <v>41</v>
      </c>
      <c r="BB4328" s="2" t="s">
        <v>82</v>
      </c>
      <c r="BC4328" s="2">
        <v>41</v>
      </c>
      <c r="BD4328" s="2" t="s">
        <v>82</v>
      </c>
      <c r="BE4328" s="2">
        <v>41</v>
      </c>
      <c r="BF4328" s="2" t="s">
        <v>82</v>
      </c>
      <c r="BG4328" s="2"/>
      <c r="BH4328" s="2"/>
      <c r="BI4328" s="2"/>
      <c r="BJ4328" s="2">
        <v>241</v>
      </c>
      <c r="BK4328" s="2" t="s">
        <v>82</v>
      </c>
      <c r="BL4328" s="2"/>
      <c r="BM4328" s="2">
        <v>241</v>
      </c>
      <c r="BN4328" s="2" t="s">
        <v>82</v>
      </c>
      <c r="BO4328" s="2"/>
      <c r="BP4328" s="2">
        <v>241</v>
      </c>
      <c r="BQ4328" s="2" t="s">
        <v>82</v>
      </c>
      <c r="BR4328" s="2"/>
      <c r="BS4328" s="3">
        <v>40470</v>
      </c>
      <c r="BT4328" s="4">
        <v>0.32096064814814812</v>
      </c>
    </row>
    <row r="4329" spans="1:72" x14ac:dyDescent="0.25">
      <c r="A4329" s="2">
        <v>6519</v>
      </c>
      <c r="B4329" s="2">
        <v>2010</v>
      </c>
      <c r="C4329" s="2" t="s">
        <v>806</v>
      </c>
      <c r="D4329" s="2" t="s">
        <v>73</v>
      </c>
      <c r="E4329" s="2"/>
      <c r="F4329" s="2">
        <v>651</v>
      </c>
      <c r="G4329" s="2" t="s">
        <v>2454</v>
      </c>
      <c r="H4329" s="2">
        <v>61</v>
      </c>
      <c r="I4329" s="2" t="s">
        <v>3043</v>
      </c>
      <c r="J4329" s="2">
        <v>19</v>
      </c>
      <c r="K4329" s="2" t="s">
        <v>2144</v>
      </c>
      <c r="L4329" s="2" t="s">
        <v>2145</v>
      </c>
      <c r="M4329" s="3">
        <v>40470</v>
      </c>
      <c r="N4329" s="2" t="s">
        <v>13455</v>
      </c>
      <c r="O4329" s="2" t="s">
        <v>13516</v>
      </c>
      <c r="P4329" s="2">
        <v>12627</v>
      </c>
      <c r="Q4329" s="2" t="str">
        <f>"15/10"</f>
        <v>15/10</v>
      </c>
      <c r="R4329" s="2" t="s">
        <v>82</v>
      </c>
      <c r="S4329" s="2" t="s">
        <v>82</v>
      </c>
      <c r="T4329" s="2">
        <v>1</v>
      </c>
      <c r="U4329" s="2" t="s">
        <v>79</v>
      </c>
      <c r="V4329" s="2">
        <v>1</v>
      </c>
      <c r="W4329" s="2" t="s">
        <v>80</v>
      </c>
      <c r="X4329" s="2">
        <v>9</v>
      </c>
      <c r="Y4329" s="2" t="s">
        <v>3393</v>
      </c>
      <c r="Z4329" s="2">
        <v>1</v>
      </c>
      <c r="AA4329" s="2" t="s">
        <v>82</v>
      </c>
      <c r="AB4329" s="2">
        <v>9</v>
      </c>
      <c r="AC4329" s="2" t="s">
        <v>124</v>
      </c>
      <c r="AD4329" s="3">
        <v>40470</v>
      </c>
      <c r="AE4329" s="4">
        <v>0.39583333333333331</v>
      </c>
      <c r="AF4329" s="2"/>
      <c r="AG4329" s="2"/>
      <c r="AH4329" s="2">
        <v>3</v>
      </c>
      <c r="AI4329" s="2" t="s">
        <v>214</v>
      </c>
      <c r="AJ4329" s="2">
        <v>14</v>
      </c>
      <c r="AK4329" s="2" t="s">
        <v>342</v>
      </c>
      <c r="AL4329" s="2">
        <v>23</v>
      </c>
      <c r="AM4329" s="2" t="s">
        <v>251</v>
      </c>
      <c r="AN4329" s="2" t="s">
        <v>13517</v>
      </c>
      <c r="AO4329" s="2" t="s">
        <v>82</v>
      </c>
      <c r="AP4329" s="2">
        <v>11</v>
      </c>
      <c r="AQ4329" s="2" t="s">
        <v>82</v>
      </c>
      <c r="AR4329" s="2"/>
      <c r="AS4329" s="2"/>
      <c r="AT4329" s="2" t="s">
        <v>13518</v>
      </c>
      <c r="AU4329" s="2">
        <v>1</v>
      </c>
      <c r="AV4329" s="2"/>
      <c r="AW4329" s="2"/>
      <c r="AX4329" s="2"/>
      <c r="AY4329" s="2">
        <v>41</v>
      </c>
      <c r="AZ4329" s="2" t="s">
        <v>82</v>
      </c>
      <c r="BA4329" s="2">
        <v>41</v>
      </c>
      <c r="BB4329" s="2" t="s">
        <v>82</v>
      </c>
      <c r="BC4329" s="2">
        <v>41</v>
      </c>
      <c r="BD4329" s="2" t="s">
        <v>82</v>
      </c>
      <c r="BE4329" s="2">
        <v>41</v>
      </c>
      <c r="BF4329" s="2" t="s">
        <v>82</v>
      </c>
      <c r="BG4329" s="2"/>
      <c r="BH4329" s="2"/>
      <c r="BI4329" s="2"/>
      <c r="BJ4329" s="2">
        <v>241</v>
      </c>
      <c r="BK4329" s="2" t="s">
        <v>82</v>
      </c>
      <c r="BL4329" s="2"/>
      <c r="BM4329" s="2">
        <v>241</v>
      </c>
      <c r="BN4329" s="2" t="s">
        <v>82</v>
      </c>
      <c r="BO4329" s="2"/>
      <c r="BP4329" s="2">
        <v>241</v>
      </c>
      <c r="BQ4329" s="2" t="s">
        <v>82</v>
      </c>
      <c r="BR4329" s="2"/>
      <c r="BS4329" s="3">
        <v>40470</v>
      </c>
      <c r="BT4329" s="4">
        <v>0.49137731481481484</v>
      </c>
    </row>
    <row r="4330" spans="1:72" x14ac:dyDescent="0.25">
      <c r="A4330" s="2">
        <v>6522</v>
      </c>
      <c r="B4330" s="2">
        <v>2010</v>
      </c>
      <c r="C4330" s="2" t="s">
        <v>806</v>
      </c>
      <c r="D4330" s="2" t="s">
        <v>73</v>
      </c>
      <c r="E4330" s="2"/>
      <c r="F4330" s="2">
        <v>11</v>
      </c>
      <c r="G4330" s="2" t="s">
        <v>2454</v>
      </c>
      <c r="H4330" s="2">
        <v>61</v>
      </c>
      <c r="I4330" s="2" t="s">
        <v>3043</v>
      </c>
      <c r="J4330" s="2">
        <v>19</v>
      </c>
      <c r="K4330" s="2" t="s">
        <v>2144</v>
      </c>
      <c r="L4330" s="2" t="s">
        <v>2145</v>
      </c>
      <c r="M4330" s="3">
        <v>40470</v>
      </c>
      <c r="N4330" s="2" t="s">
        <v>13519</v>
      </c>
      <c r="O4330" s="2" t="s">
        <v>13520</v>
      </c>
      <c r="P4330" s="2">
        <v>12627</v>
      </c>
      <c r="Q4330" s="2" t="str">
        <f>"15/10"</f>
        <v>15/10</v>
      </c>
      <c r="R4330" s="2" t="s">
        <v>82</v>
      </c>
      <c r="S4330" s="2" t="s">
        <v>82</v>
      </c>
      <c r="T4330" s="2">
        <v>1</v>
      </c>
      <c r="U4330" s="2" t="s">
        <v>79</v>
      </c>
      <c r="V4330" s="2">
        <v>3</v>
      </c>
      <c r="W4330" s="2" t="s">
        <v>225</v>
      </c>
      <c r="X4330" s="2">
        <v>7</v>
      </c>
      <c r="Y4330" s="2" t="s">
        <v>1964</v>
      </c>
      <c r="Z4330" s="2">
        <v>1</v>
      </c>
      <c r="AA4330" s="2" t="s">
        <v>82</v>
      </c>
      <c r="AB4330" s="2">
        <v>9</v>
      </c>
      <c r="AC4330" s="2" t="s">
        <v>124</v>
      </c>
      <c r="AD4330" s="3">
        <v>40470</v>
      </c>
      <c r="AE4330" s="4">
        <v>0.45833333333333331</v>
      </c>
      <c r="AF4330" s="2"/>
      <c r="AG4330" s="2"/>
      <c r="AH4330" s="2">
        <v>3</v>
      </c>
      <c r="AI4330" s="2" t="s">
        <v>214</v>
      </c>
      <c r="AJ4330" s="2">
        <v>14</v>
      </c>
      <c r="AK4330" s="2" t="s">
        <v>342</v>
      </c>
      <c r="AL4330" s="2">
        <v>23</v>
      </c>
      <c r="AM4330" s="2" t="s">
        <v>251</v>
      </c>
      <c r="AN4330" s="2" t="s">
        <v>82</v>
      </c>
      <c r="AO4330" s="2" t="s">
        <v>82</v>
      </c>
      <c r="AP4330" s="2">
        <v>11</v>
      </c>
      <c r="AQ4330" s="2" t="s">
        <v>82</v>
      </c>
      <c r="AR4330" s="2"/>
      <c r="AS4330" s="2"/>
      <c r="AT4330" s="2" t="s">
        <v>13521</v>
      </c>
      <c r="AU4330" s="2"/>
      <c r="AV4330" s="2"/>
      <c r="AW4330" s="2"/>
      <c r="AX4330" s="2"/>
      <c r="AY4330" s="2">
        <v>41</v>
      </c>
      <c r="AZ4330" s="2" t="s">
        <v>82</v>
      </c>
      <c r="BA4330" s="2">
        <v>41</v>
      </c>
      <c r="BB4330" s="2" t="s">
        <v>82</v>
      </c>
      <c r="BC4330" s="2">
        <v>41</v>
      </c>
      <c r="BD4330" s="2" t="s">
        <v>82</v>
      </c>
      <c r="BE4330" s="2">
        <v>41</v>
      </c>
      <c r="BF4330" s="2" t="s">
        <v>82</v>
      </c>
      <c r="BG4330" s="2"/>
      <c r="BH4330" s="2"/>
      <c r="BI4330" s="2"/>
      <c r="BJ4330" s="2">
        <v>241</v>
      </c>
      <c r="BK4330" s="2" t="s">
        <v>82</v>
      </c>
      <c r="BL4330" s="2"/>
      <c r="BM4330" s="2">
        <v>241</v>
      </c>
      <c r="BN4330" s="2" t="s">
        <v>82</v>
      </c>
      <c r="BO4330" s="2"/>
      <c r="BP4330" s="2">
        <v>241</v>
      </c>
      <c r="BQ4330" s="2" t="s">
        <v>82</v>
      </c>
      <c r="BR4330" s="2"/>
      <c r="BS4330" s="3">
        <v>40470</v>
      </c>
      <c r="BT4330" s="4">
        <v>0.51195601851851846</v>
      </c>
    </row>
    <row r="4331" spans="1:72" x14ac:dyDescent="0.25">
      <c r="A4331" s="2">
        <v>6523</v>
      </c>
      <c r="B4331" s="2">
        <v>2010</v>
      </c>
      <c r="C4331" s="2" t="s">
        <v>806</v>
      </c>
      <c r="D4331" s="2" t="s">
        <v>73</v>
      </c>
      <c r="E4331" s="2"/>
      <c r="F4331" s="2">
        <v>390</v>
      </c>
      <c r="G4331" s="2" t="s">
        <v>475</v>
      </c>
      <c r="H4331" s="2">
        <v>5</v>
      </c>
      <c r="I4331" s="2" t="s">
        <v>634</v>
      </c>
      <c r="J4331" s="2">
        <v>533</v>
      </c>
      <c r="K4331" s="2" t="s">
        <v>6511</v>
      </c>
      <c r="L4331" s="2" t="s">
        <v>478</v>
      </c>
      <c r="M4331" s="3">
        <v>40470</v>
      </c>
      <c r="N4331" s="2" t="s">
        <v>13522</v>
      </c>
      <c r="O4331" s="2" t="s">
        <v>13523</v>
      </c>
      <c r="P4331" s="2">
        <v>5729</v>
      </c>
      <c r="Q4331" s="2" t="str">
        <f>""</f>
        <v/>
      </c>
      <c r="R4331" s="2"/>
      <c r="S4331" s="2" t="s">
        <v>13524</v>
      </c>
      <c r="T4331" s="2">
        <v>1</v>
      </c>
      <c r="U4331" s="2" t="s">
        <v>79</v>
      </c>
      <c r="V4331" s="2">
        <v>1</v>
      </c>
      <c r="W4331" s="2" t="s">
        <v>80</v>
      </c>
      <c r="X4331" s="2">
        <v>8</v>
      </c>
      <c r="Y4331" s="2" t="s">
        <v>375</v>
      </c>
      <c r="Z4331" s="2">
        <v>1</v>
      </c>
      <c r="AA4331" s="2" t="s">
        <v>82</v>
      </c>
      <c r="AB4331" s="2">
        <v>9</v>
      </c>
      <c r="AC4331" s="2" t="s">
        <v>124</v>
      </c>
      <c r="AD4331" s="3">
        <v>40470</v>
      </c>
      <c r="AE4331" s="4">
        <v>0.39583333333333331</v>
      </c>
      <c r="AF4331" s="3">
        <v>40470</v>
      </c>
      <c r="AG4331" s="2"/>
      <c r="AH4331" s="2">
        <v>7</v>
      </c>
      <c r="AI4331" s="2" t="s">
        <v>801</v>
      </c>
      <c r="AJ4331" s="2">
        <v>4</v>
      </c>
      <c r="AK4331" s="2" t="s">
        <v>2397</v>
      </c>
      <c r="AL4331" s="2">
        <v>23</v>
      </c>
      <c r="AM4331" s="2" t="s">
        <v>251</v>
      </c>
      <c r="AN4331" s="2"/>
      <c r="AO4331" s="2" t="s">
        <v>13525</v>
      </c>
      <c r="AP4331" s="2">
        <v>11</v>
      </c>
      <c r="AQ4331" s="2" t="s">
        <v>82</v>
      </c>
      <c r="AR4331" s="2"/>
      <c r="AS4331" s="2"/>
      <c r="AT4331" s="2" t="s">
        <v>13526</v>
      </c>
      <c r="AU4331" s="2"/>
      <c r="AV4331" s="2"/>
      <c r="AW4331" s="2"/>
      <c r="AX4331" s="2"/>
      <c r="AY4331" s="2">
        <v>41</v>
      </c>
      <c r="AZ4331" s="2" t="s">
        <v>82</v>
      </c>
      <c r="BA4331" s="2">
        <v>41</v>
      </c>
      <c r="BB4331" s="2" t="s">
        <v>82</v>
      </c>
      <c r="BC4331" s="2">
        <v>41</v>
      </c>
      <c r="BD4331" s="2" t="s">
        <v>82</v>
      </c>
      <c r="BE4331" s="2">
        <v>41</v>
      </c>
      <c r="BF4331" s="2" t="s">
        <v>82</v>
      </c>
      <c r="BG4331" s="2"/>
      <c r="BH4331" s="2"/>
      <c r="BI4331" s="2"/>
      <c r="BJ4331" s="2">
        <v>241</v>
      </c>
      <c r="BK4331" s="2" t="s">
        <v>82</v>
      </c>
      <c r="BL4331" s="2"/>
      <c r="BM4331" s="2">
        <v>241</v>
      </c>
      <c r="BN4331" s="2" t="s">
        <v>82</v>
      </c>
      <c r="BO4331" s="2"/>
      <c r="BP4331" s="2">
        <v>241</v>
      </c>
      <c r="BQ4331" s="2" t="s">
        <v>82</v>
      </c>
      <c r="BR4331" s="2"/>
      <c r="BS4331" s="3">
        <v>40470</v>
      </c>
      <c r="BT4331" s="4">
        <v>0.5577199074074074</v>
      </c>
    </row>
    <row r="4332" spans="1:72" x14ac:dyDescent="0.25">
      <c r="A4332" s="2">
        <v>6525</v>
      </c>
      <c r="B4332" s="2">
        <v>2010</v>
      </c>
      <c r="C4332" s="2" t="s">
        <v>418</v>
      </c>
      <c r="D4332" s="2" t="s">
        <v>122</v>
      </c>
      <c r="E4332" s="2"/>
      <c r="F4332" s="2">
        <v>1</v>
      </c>
      <c r="G4332" s="2" t="s">
        <v>82</v>
      </c>
      <c r="H4332" s="2">
        <v>1</v>
      </c>
      <c r="I4332" s="2" t="s">
        <v>82</v>
      </c>
      <c r="J4332" s="2">
        <v>1</v>
      </c>
      <c r="K4332" s="2" t="s">
        <v>107</v>
      </c>
      <c r="L4332" s="2" t="s">
        <v>107</v>
      </c>
      <c r="M4332" s="3">
        <v>40470</v>
      </c>
      <c r="N4332" s="2"/>
      <c r="O4332" s="2"/>
      <c r="P4332" s="2"/>
      <c r="Q4332" s="2" t="str">
        <f>""</f>
        <v/>
      </c>
      <c r="R4332" s="2"/>
      <c r="S4332" s="2"/>
      <c r="T4332" s="2">
        <v>2</v>
      </c>
      <c r="U4332" s="2" t="s">
        <v>123</v>
      </c>
      <c r="V4332" s="2">
        <v>1</v>
      </c>
      <c r="W4332" s="2" t="s">
        <v>80</v>
      </c>
      <c r="X4332" s="2">
        <v>5</v>
      </c>
      <c r="Y4332" s="2" t="s">
        <v>82</v>
      </c>
      <c r="Z4332" s="2">
        <v>1</v>
      </c>
      <c r="AA4332" s="2" t="s">
        <v>82</v>
      </c>
      <c r="AB4332" s="2">
        <v>9</v>
      </c>
      <c r="AC4332" s="2" t="s">
        <v>124</v>
      </c>
      <c r="AD4332" s="3">
        <v>40470</v>
      </c>
      <c r="AE4332" s="4">
        <v>0.54166666666666663</v>
      </c>
      <c r="AF4332" s="2"/>
      <c r="AG4332" s="2"/>
      <c r="AH4332" s="2">
        <v>4</v>
      </c>
      <c r="AI4332" s="2" t="s">
        <v>125</v>
      </c>
      <c r="AJ4332" s="2">
        <v>33</v>
      </c>
      <c r="AK4332" s="2" t="s">
        <v>126</v>
      </c>
      <c r="AL4332" s="2">
        <v>10</v>
      </c>
      <c r="AM4332" s="2" t="s">
        <v>200</v>
      </c>
      <c r="AN4332" s="2" t="s">
        <v>13527</v>
      </c>
      <c r="AO4332" s="2"/>
      <c r="AP4332" s="2">
        <v>11</v>
      </c>
      <c r="AQ4332" s="2" t="s">
        <v>82</v>
      </c>
      <c r="AR4332" s="2"/>
      <c r="AS4332" s="2"/>
      <c r="AT4332" s="2" t="s">
        <v>13528</v>
      </c>
      <c r="AU4332" s="2"/>
      <c r="AV4332" s="2"/>
      <c r="AW4332" s="2"/>
      <c r="AX4332" s="2"/>
      <c r="AY4332" s="2">
        <v>41</v>
      </c>
      <c r="AZ4332" s="2" t="s">
        <v>82</v>
      </c>
      <c r="BA4332" s="2">
        <v>41</v>
      </c>
      <c r="BB4332" s="2" t="s">
        <v>82</v>
      </c>
      <c r="BC4332" s="2">
        <v>41</v>
      </c>
      <c r="BD4332" s="2" t="s">
        <v>82</v>
      </c>
      <c r="BE4332" s="2">
        <v>13</v>
      </c>
      <c r="BF4332" s="2" t="s">
        <v>108</v>
      </c>
      <c r="BG4332" s="2" t="s">
        <v>13529</v>
      </c>
      <c r="BH4332" s="4">
        <v>0.56597222222222221</v>
      </c>
      <c r="BI4332" s="4">
        <v>0.59722222222222221</v>
      </c>
      <c r="BJ4332" s="2">
        <v>13</v>
      </c>
      <c r="BK4332" s="2" t="s">
        <v>91</v>
      </c>
      <c r="BL4332" s="2" t="s">
        <v>185</v>
      </c>
      <c r="BM4332" s="2">
        <v>13</v>
      </c>
      <c r="BN4332" s="2" t="s">
        <v>91</v>
      </c>
      <c r="BO4332" s="2"/>
      <c r="BP4332" s="2">
        <v>13</v>
      </c>
      <c r="BQ4332" s="2" t="s">
        <v>91</v>
      </c>
      <c r="BR4332" s="2" t="s">
        <v>6582</v>
      </c>
      <c r="BS4332" s="3">
        <v>40470</v>
      </c>
      <c r="BT4332" s="4">
        <v>0.58444444444444443</v>
      </c>
    </row>
    <row r="4333" spans="1:72" x14ac:dyDescent="0.25">
      <c r="A4333" s="2">
        <v>6526</v>
      </c>
      <c r="B4333" s="2">
        <v>2010</v>
      </c>
      <c r="C4333" s="2" t="s">
        <v>1660</v>
      </c>
      <c r="D4333" s="2" t="s">
        <v>122</v>
      </c>
      <c r="E4333" s="2" t="s">
        <v>12988</v>
      </c>
      <c r="F4333" s="2">
        <v>391</v>
      </c>
      <c r="G4333" s="2" t="s">
        <v>2400</v>
      </c>
      <c r="H4333" s="2">
        <v>2</v>
      </c>
      <c r="I4333" s="2" t="s">
        <v>267</v>
      </c>
      <c r="J4333" s="2">
        <v>399</v>
      </c>
      <c r="K4333" s="2" t="s">
        <v>1820</v>
      </c>
      <c r="L4333" s="2" t="s">
        <v>1821</v>
      </c>
      <c r="M4333" s="3">
        <v>40470</v>
      </c>
      <c r="N4333" s="2" t="s">
        <v>5653</v>
      </c>
      <c r="O4333" s="2" t="s">
        <v>107</v>
      </c>
      <c r="P4333" s="2" t="s">
        <v>107</v>
      </c>
      <c r="Q4333" s="2" t="str">
        <f>"520-E/10"</f>
        <v>520-E/10</v>
      </c>
      <c r="R4333" s="2" t="s">
        <v>2408</v>
      </c>
      <c r="S4333" s="2" t="s">
        <v>2408</v>
      </c>
      <c r="T4333" s="2">
        <v>1</v>
      </c>
      <c r="U4333" s="2" t="s">
        <v>79</v>
      </c>
      <c r="V4333" s="2">
        <v>1</v>
      </c>
      <c r="W4333" s="2" t="s">
        <v>80</v>
      </c>
      <c r="X4333" s="2">
        <v>11</v>
      </c>
      <c r="Y4333" s="2" t="s">
        <v>1920</v>
      </c>
      <c r="Z4333" s="2">
        <v>6</v>
      </c>
      <c r="AA4333" s="2" t="s">
        <v>101</v>
      </c>
      <c r="AB4333" s="2">
        <v>3</v>
      </c>
      <c r="AC4333" s="2" t="s">
        <v>1663</v>
      </c>
      <c r="AD4333" s="3">
        <v>40470</v>
      </c>
      <c r="AE4333" s="4">
        <v>0.52083333333333337</v>
      </c>
      <c r="AF4333" s="2"/>
      <c r="AG4333" s="2"/>
      <c r="AH4333" s="2">
        <v>2</v>
      </c>
      <c r="AI4333" s="2" t="s">
        <v>84</v>
      </c>
      <c r="AJ4333" s="2">
        <v>9</v>
      </c>
      <c r="AK4333" s="2" t="s">
        <v>103</v>
      </c>
      <c r="AL4333" s="2">
        <v>14</v>
      </c>
      <c r="AM4333" s="2" t="s">
        <v>216</v>
      </c>
      <c r="AN4333" s="2" t="s">
        <v>105</v>
      </c>
      <c r="AO4333" s="2" t="s">
        <v>82</v>
      </c>
      <c r="AP4333" s="2">
        <v>11</v>
      </c>
      <c r="AQ4333" s="2" t="s">
        <v>82</v>
      </c>
      <c r="AR4333" s="2"/>
      <c r="AS4333" s="2"/>
      <c r="AT4333" s="2" t="s">
        <v>13530</v>
      </c>
      <c r="AU4333" s="2"/>
      <c r="AV4333" s="2">
        <v>2</v>
      </c>
      <c r="AW4333" s="2"/>
      <c r="AX4333" s="2"/>
      <c r="AY4333" s="2">
        <v>41</v>
      </c>
      <c r="AZ4333" s="2" t="s">
        <v>82</v>
      </c>
      <c r="BA4333" s="2">
        <v>41</v>
      </c>
      <c r="BB4333" s="2" t="s">
        <v>82</v>
      </c>
      <c r="BC4333" s="2">
        <v>41</v>
      </c>
      <c r="BD4333" s="2" t="s">
        <v>82</v>
      </c>
      <c r="BE4333" s="2">
        <v>14</v>
      </c>
      <c r="BF4333" s="2" t="s">
        <v>484</v>
      </c>
      <c r="BG4333" s="2" t="s">
        <v>3450</v>
      </c>
      <c r="BH4333" s="2"/>
      <c r="BI4333" s="4">
        <v>0.83333333333333337</v>
      </c>
      <c r="BJ4333" s="2">
        <v>13</v>
      </c>
      <c r="BK4333" s="2" t="s">
        <v>91</v>
      </c>
      <c r="BL4333" s="2" t="s">
        <v>185</v>
      </c>
      <c r="BM4333" s="2">
        <v>82</v>
      </c>
      <c r="BN4333" s="2" t="s">
        <v>487</v>
      </c>
      <c r="BO4333" s="2"/>
      <c r="BP4333" s="2">
        <v>82</v>
      </c>
      <c r="BQ4333" s="2" t="s">
        <v>487</v>
      </c>
      <c r="BR4333" s="2" t="s">
        <v>488</v>
      </c>
      <c r="BS4333" s="3">
        <v>40470</v>
      </c>
      <c r="BT4333" s="4">
        <v>0.59024305555555556</v>
      </c>
    </row>
    <row r="4334" spans="1:72" x14ac:dyDescent="0.25">
      <c r="A4334" s="2">
        <v>6526</v>
      </c>
      <c r="B4334" s="2">
        <v>2010</v>
      </c>
      <c r="C4334" s="2" t="s">
        <v>385</v>
      </c>
      <c r="D4334" s="2" t="s">
        <v>122</v>
      </c>
      <c r="E4334" s="2" t="s">
        <v>12988</v>
      </c>
      <c r="F4334" s="2">
        <v>391</v>
      </c>
      <c r="G4334" s="2" t="s">
        <v>2400</v>
      </c>
      <c r="H4334" s="2">
        <v>2</v>
      </c>
      <c r="I4334" s="2" t="s">
        <v>267</v>
      </c>
      <c r="J4334" s="2">
        <v>399</v>
      </c>
      <c r="K4334" s="2" t="s">
        <v>1820</v>
      </c>
      <c r="L4334" s="2" t="s">
        <v>1821</v>
      </c>
      <c r="M4334" s="3">
        <v>40470</v>
      </c>
      <c r="N4334" s="2" t="s">
        <v>5653</v>
      </c>
      <c r="O4334" s="2" t="s">
        <v>107</v>
      </c>
      <c r="P4334" s="2" t="s">
        <v>107</v>
      </c>
      <c r="Q4334" s="2" t="str">
        <f>"520-E/10"</f>
        <v>520-E/10</v>
      </c>
      <c r="R4334" s="2" t="s">
        <v>2408</v>
      </c>
      <c r="S4334" s="2" t="s">
        <v>2408</v>
      </c>
      <c r="T4334" s="2">
        <v>1</v>
      </c>
      <c r="U4334" s="2" t="s">
        <v>79</v>
      </c>
      <c r="V4334" s="2">
        <v>1</v>
      </c>
      <c r="W4334" s="2" t="s">
        <v>80</v>
      </c>
      <c r="X4334" s="2">
        <v>11</v>
      </c>
      <c r="Y4334" s="2" t="s">
        <v>1920</v>
      </c>
      <c r="Z4334" s="2">
        <v>6</v>
      </c>
      <c r="AA4334" s="2" t="s">
        <v>101</v>
      </c>
      <c r="AB4334" s="2">
        <v>9</v>
      </c>
      <c r="AC4334" s="2" t="s">
        <v>124</v>
      </c>
      <c r="AD4334" s="3">
        <v>40470</v>
      </c>
      <c r="AE4334" s="4">
        <v>0.52083333333333337</v>
      </c>
      <c r="AF4334" s="2"/>
      <c r="AG4334" s="2"/>
      <c r="AH4334" s="2">
        <v>2</v>
      </c>
      <c r="AI4334" s="2" t="s">
        <v>84</v>
      </c>
      <c r="AJ4334" s="2">
        <v>9</v>
      </c>
      <c r="AK4334" s="2" t="s">
        <v>103</v>
      </c>
      <c r="AL4334" s="2">
        <v>14</v>
      </c>
      <c r="AM4334" s="2" t="s">
        <v>216</v>
      </c>
      <c r="AN4334" s="2" t="s">
        <v>105</v>
      </c>
      <c r="AO4334" s="2" t="s">
        <v>82</v>
      </c>
      <c r="AP4334" s="2">
        <v>11</v>
      </c>
      <c r="AQ4334" s="2" t="s">
        <v>82</v>
      </c>
      <c r="AR4334" s="2"/>
      <c r="AS4334" s="2"/>
      <c r="AT4334" s="2" t="s">
        <v>13530</v>
      </c>
      <c r="AU4334" s="2"/>
      <c r="AV4334" s="2">
        <v>2</v>
      </c>
      <c r="AW4334" s="2"/>
      <c r="AX4334" s="2"/>
      <c r="AY4334" s="2">
        <v>41</v>
      </c>
      <c r="AZ4334" s="2" t="s">
        <v>82</v>
      </c>
      <c r="BA4334" s="2">
        <v>41</v>
      </c>
      <c r="BB4334" s="2" t="s">
        <v>82</v>
      </c>
      <c r="BC4334" s="2">
        <v>41</v>
      </c>
      <c r="BD4334" s="2" t="s">
        <v>82</v>
      </c>
      <c r="BE4334" s="2">
        <v>14</v>
      </c>
      <c r="BF4334" s="2" t="s">
        <v>484</v>
      </c>
      <c r="BG4334" s="2" t="s">
        <v>3450</v>
      </c>
      <c r="BH4334" s="2"/>
      <c r="BI4334" s="4">
        <v>0.83333333333333337</v>
      </c>
      <c r="BJ4334" s="2">
        <v>13</v>
      </c>
      <c r="BK4334" s="2" t="s">
        <v>91</v>
      </c>
      <c r="BL4334" s="2" t="s">
        <v>185</v>
      </c>
      <c r="BM4334" s="2">
        <v>82</v>
      </c>
      <c r="BN4334" s="2" t="s">
        <v>487</v>
      </c>
      <c r="BO4334" s="2"/>
      <c r="BP4334" s="2">
        <v>82</v>
      </c>
      <c r="BQ4334" s="2" t="s">
        <v>487</v>
      </c>
      <c r="BR4334" s="2" t="s">
        <v>488</v>
      </c>
      <c r="BS4334" s="3">
        <v>40470</v>
      </c>
      <c r="BT4334" s="4">
        <v>0.59024305555555556</v>
      </c>
    </row>
    <row r="4335" spans="1:72" x14ac:dyDescent="0.25">
      <c r="A4335" s="2">
        <v>6527</v>
      </c>
      <c r="B4335" s="2">
        <v>2010</v>
      </c>
      <c r="C4335" s="2" t="s">
        <v>806</v>
      </c>
      <c r="D4335" s="2" t="s">
        <v>73</v>
      </c>
      <c r="E4335" s="2"/>
      <c r="F4335" s="2">
        <v>540</v>
      </c>
      <c r="G4335" s="2" t="s">
        <v>7178</v>
      </c>
      <c r="H4335" s="2">
        <v>5</v>
      </c>
      <c r="I4335" s="2" t="s">
        <v>634</v>
      </c>
      <c r="J4335" s="2">
        <v>533</v>
      </c>
      <c r="K4335" s="2" t="s">
        <v>6511</v>
      </c>
      <c r="L4335" s="2" t="s">
        <v>478</v>
      </c>
      <c r="M4335" s="3">
        <v>40470</v>
      </c>
      <c r="N4335" s="2" t="s">
        <v>3705</v>
      </c>
      <c r="O4335" s="2" t="s">
        <v>13531</v>
      </c>
      <c r="P4335" s="2" t="s">
        <v>13532</v>
      </c>
      <c r="Q4335" s="2" t="str">
        <f>""</f>
        <v/>
      </c>
      <c r="R4335" s="2"/>
      <c r="S4335" s="2"/>
      <c r="T4335" s="2">
        <v>1</v>
      </c>
      <c r="U4335" s="2" t="s">
        <v>79</v>
      </c>
      <c r="V4335" s="2">
        <v>1</v>
      </c>
      <c r="W4335" s="2" t="s">
        <v>80</v>
      </c>
      <c r="X4335" s="2">
        <v>8</v>
      </c>
      <c r="Y4335" s="2" t="s">
        <v>375</v>
      </c>
      <c r="Z4335" s="2">
        <v>1</v>
      </c>
      <c r="AA4335" s="2" t="s">
        <v>82</v>
      </c>
      <c r="AB4335" s="2">
        <v>9</v>
      </c>
      <c r="AC4335" s="2" t="s">
        <v>124</v>
      </c>
      <c r="AD4335" s="3">
        <v>40470</v>
      </c>
      <c r="AE4335" s="4">
        <v>0.35416666666666669</v>
      </c>
      <c r="AF4335" s="3">
        <v>40470</v>
      </c>
      <c r="AG4335" s="2"/>
      <c r="AH4335" s="2">
        <v>7</v>
      </c>
      <c r="AI4335" s="2" t="s">
        <v>801</v>
      </c>
      <c r="AJ4335" s="2">
        <v>4</v>
      </c>
      <c r="AK4335" s="2" t="s">
        <v>2397</v>
      </c>
      <c r="AL4335" s="2">
        <v>23</v>
      </c>
      <c r="AM4335" s="2" t="s">
        <v>251</v>
      </c>
      <c r="AN4335" s="2"/>
      <c r="AO4335" s="2" t="s">
        <v>13533</v>
      </c>
      <c r="AP4335" s="2">
        <v>11</v>
      </c>
      <c r="AQ4335" s="2" t="s">
        <v>82</v>
      </c>
      <c r="AR4335" s="2"/>
      <c r="AS4335" s="2"/>
      <c r="AT4335" s="2" t="s">
        <v>13534</v>
      </c>
      <c r="AU4335" s="2"/>
      <c r="AV4335" s="2"/>
      <c r="AW4335" s="2"/>
      <c r="AX4335" s="2"/>
      <c r="AY4335" s="2">
        <v>41</v>
      </c>
      <c r="AZ4335" s="2" t="s">
        <v>82</v>
      </c>
      <c r="BA4335" s="2">
        <v>41</v>
      </c>
      <c r="BB4335" s="2" t="s">
        <v>82</v>
      </c>
      <c r="BC4335" s="2">
        <v>41</v>
      </c>
      <c r="BD4335" s="2" t="s">
        <v>82</v>
      </c>
      <c r="BE4335" s="2">
        <v>41</v>
      </c>
      <c r="BF4335" s="2" t="s">
        <v>82</v>
      </c>
      <c r="BG4335" s="2"/>
      <c r="BH4335" s="2"/>
      <c r="BI4335" s="2"/>
      <c r="BJ4335" s="2">
        <v>241</v>
      </c>
      <c r="BK4335" s="2" t="s">
        <v>82</v>
      </c>
      <c r="BL4335" s="2"/>
      <c r="BM4335" s="2">
        <v>241</v>
      </c>
      <c r="BN4335" s="2" t="s">
        <v>82</v>
      </c>
      <c r="BO4335" s="2"/>
      <c r="BP4335" s="2">
        <v>241</v>
      </c>
      <c r="BQ4335" s="2" t="s">
        <v>82</v>
      </c>
      <c r="BR4335" s="2"/>
      <c r="BS4335" s="3">
        <v>40470</v>
      </c>
      <c r="BT4335" s="4">
        <v>0.59530092592592598</v>
      </c>
    </row>
    <row r="4336" spans="1:72" x14ac:dyDescent="0.25">
      <c r="A4336" s="2">
        <v>6528</v>
      </c>
      <c r="B4336" s="2">
        <v>2010</v>
      </c>
      <c r="C4336" s="2" t="s">
        <v>72</v>
      </c>
      <c r="D4336" s="2" t="s">
        <v>73</v>
      </c>
      <c r="E4336" s="2"/>
      <c r="F4336" s="2">
        <v>698</v>
      </c>
      <c r="G4336" s="2" t="s">
        <v>13440</v>
      </c>
      <c r="H4336" s="2">
        <v>22</v>
      </c>
      <c r="I4336" s="2" t="s">
        <v>75</v>
      </c>
      <c r="J4336" s="2">
        <v>688</v>
      </c>
      <c r="K4336" s="2" t="s">
        <v>13441</v>
      </c>
      <c r="L4336" s="2" t="s">
        <v>2327</v>
      </c>
      <c r="M4336" s="3">
        <v>40470</v>
      </c>
      <c r="N4336" s="2" t="s">
        <v>13535</v>
      </c>
      <c r="O4336" s="2"/>
      <c r="P4336" s="2"/>
      <c r="Q4336" s="2" t="str">
        <f>"416-A/10"</f>
        <v>416-A/10</v>
      </c>
      <c r="R4336" s="2" t="s">
        <v>1547</v>
      </c>
      <c r="S4336" s="2" t="s">
        <v>1547</v>
      </c>
      <c r="T4336" s="2">
        <v>1</v>
      </c>
      <c r="U4336" s="2" t="s">
        <v>79</v>
      </c>
      <c r="V4336" s="2">
        <v>1</v>
      </c>
      <c r="W4336" s="2" t="s">
        <v>80</v>
      </c>
      <c r="X4336" s="2">
        <v>1</v>
      </c>
      <c r="Y4336" s="2" t="s">
        <v>81</v>
      </c>
      <c r="Z4336" s="2">
        <v>1</v>
      </c>
      <c r="AA4336" s="2" t="s">
        <v>82</v>
      </c>
      <c r="AB4336" s="2">
        <v>6</v>
      </c>
      <c r="AC4336" s="2" t="s">
        <v>83</v>
      </c>
      <c r="AD4336" s="3">
        <v>40470</v>
      </c>
      <c r="AE4336" s="4">
        <v>0.54513888888888895</v>
      </c>
      <c r="AF4336" s="3">
        <v>40470</v>
      </c>
      <c r="AG4336" s="4">
        <v>0.54513888888888895</v>
      </c>
      <c r="AH4336" s="2">
        <v>2</v>
      </c>
      <c r="AI4336" s="2" t="s">
        <v>84</v>
      </c>
      <c r="AJ4336" s="2">
        <v>12</v>
      </c>
      <c r="AK4336" s="2" t="s">
        <v>85</v>
      </c>
      <c r="AL4336" s="2">
        <v>22</v>
      </c>
      <c r="AM4336" s="2" t="s">
        <v>1853</v>
      </c>
      <c r="AN4336" s="2"/>
      <c r="AO4336" s="2" t="s">
        <v>13536</v>
      </c>
      <c r="AP4336" s="2">
        <v>11</v>
      </c>
      <c r="AQ4336" s="2" t="s">
        <v>82</v>
      </c>
      <c r="AR4336" s="2"/>
      <c r="AS4336" s="2"/>
      <c r="AT4336" s="2" t="s">
        <v>13537</v>
      </c>
      <c r="AU4336" s="2"/>
      <c r="AV4336" s="2"/>
      <c r="AW4336" s="2"/>
      <c r="AX4336" s="2"/>
      <c r="AY4336" s="2">
        <v>41</v>
      </c>
      <c r="AZ4336" s="2" t="s">
        <v>82</v>
      </c>
      <c r="BA4336" s="2">
        <v>41</v>
      </c>
      <c r="BB4336" s="2" t="s">
        <v>82</v>
      </c>
      <c r="BC4336" s="2">
        <v>41</v>
      </c>
      <c r="BD4336" s="2" t="s">
        <v>82</v>
      </c>
      <c r="BE4336" s="2">
        <v>4</v>
      </c>
      <c r="BF4336" s="2" t="s">
        <v>90</v>
      </c>
      <c r="BG4336" s="2">
        <v>4348</v>
      </c>
      <c r="BH4336" s="2"/>
      <c r="BI4336" s="2"/>
      <c r="BJ4336" s="2">
        <v>13</v>
      </c>
      <c r="BK4336" s="2" t="s">
        <v>91</v>
      </c>
      <c r="BL4336" s="2" t="s">
        <v>564</v>
      </c>
      <c r="BM4336" s="2">
        <v>13</v>
      </c>
      <c r="BN4336" s="2" t="s">
        <v>91</v>
      </c>
      <c r="BO4336" s="2"/>
      <c r="BP4336" s="2">
        <v>13</v>
      </c>
      <c r="BQ4336" s="2" t="s">
        <v>91</v>
      </c>
      <c r="BR4336" s="2" t="s">
        <v>1199</v>
      </c>
      <c r="BS4336" s="3">
        <v>40470</v>
      </c>
      <c r="BT4336" s="4">
        <v>0.61930555555555555</v>
      </c>
    </row>
    <row r="4337" spans="1:72" x14ac:dyDescent="0.25">
      <c r="A4337" s="2">
        <v>6529</v>
      </c>
      <c r="B4337" s="2">
        <v>2010</v>
      </c>
      <c r="C4337" s="2" t="s">
        <v>171</v>
      </c>
      <c r="D4337" s="2" t="s">
        <v>73</v>
      </c>
      <c r="E4337" s="2"/>
      <c r="F4337" s="2">
        <v>404</v>
      </c>
      <c r="G4337" s="2" t="s">
        <v>5209</v>
      </c>
      <c r="H4337" s="2">
        <v>8</v>
      </c>
      <c r="I4337" s="2" t="s">
        <v>3451</v>
      </c>
      <c r="J4337" s="2">
        <v>243</v>
      </c>
      <c r="K4337" s="2" t="s">
        <v>2160</v>
      </c>
      <c r="L4337" s="2" t="s">
        <v>2145</v>
      </c>
      <c r="M4337" s="3">
        <v>40470</v>
      </c>
      <c r="N4337" s="2" t="s">
        <v>3452</v>
      </c>
      <c r="O4337" s="2"/>
      <c r="P4337" s="2"/>
      <c r="Q4337" s="2" t="str">
        <f>"N/C"</f>
        <v>N/C</v>
      </c>
      <c r="R4337" s="2"/>
      <c r="S4337" s="2" t="s">
        <v>82</v>
      </c>
      <c r="T4337" s="2">
        <v>1</v>
      </c>
      <c r="U4337" s="2" t="s">
        <v>79</v>
      </c>
      <c r="V4337" s="2">
        <v>1</v>
      </c>
      <c r="W4337" s="2" t="s">
        <v>80</v>
      </c>
      <c r="X4337" s="2">
        <v>3</v>
      </c>
      <c r="Y4337" s="2" t="s">
        <v>698</v>
      </c>
      <c r="Z4337" s="2">
        <v>2</v>
      </c>
      <c r="AA4337" s="2" t="s">
        <v>2148</v>
      </c>
      <c r="AB4337" s="2">
        <v>1</v>
      </c>
      <c r="AC4337" s="2" t="s">
        <v>178</v>
      </c>
      <c r="AD4337" s="3">
        <v>40452</v>
      </c>
      <c r="AE4337" s="4">
        <v>3.4722222222222224E-2</v>
      </c>
      <c r="AF4337" s="3">
        <v>40452</v>
      </c>
      <c r="AG4337" s="4">
        <v>6.25E-2</v>
      </c>
      <c r="AH4337" s="2">
        <v>2</v>
      </c>
      <c r="AI4337" s="2" t="s">
        <v>84</v>
      </c>
      <c r="AJ4337" s="2">
        <v>9</v>
      </c>
      <c r="AK4337" s="2" t="s">
        <v>103</v>
      </c>
      <c r="AL4337" s="2">
        <v>16</v>
      </c>
      <c r="AM4337" s="2" t="s">
        <v>392</v>
      </c>
      <c r="AN4337" s="2" t="s">
        <v>13538</v>
      </c>
      <c r="AO4337" s="2" t="s">
        <v>13481</v>
      </c>
      <c r="AP4337" s="2">
        <v>6</v>
      </c>
      <c r="AQ4337" s="2" t="s">
        <v>394</v>
      </c>
      <c r="AR4337" s="2" t="s">
        <v>13539</v>
      </c>
      <c r="AS4337" s="2" t="s">
        <v>13540</v>
      </c>
      <c r="AT4337" s="2" t="s">
        <v>13541</v>
      </c>
      <c r="AU4337" s="2"/>
      <c r="AV4337" s="2"/>
      <c r="AW4337" s="2"/>
      <c r="AX4337" s="2"/>
      <c r="AY4337" s="2">
        <v>41</v>
      </c>
      <c r="AZ4337" s="2" t="s">
        <v>82</v>
      </c>
      <c r="BA4337" s="2">
        <v>41</v>
      </c>
      <c r="BB4337" s="2" t="s">
        <v>82</v>
      </c>
      <c r="BC4337" s="2">
        <v>41</v>
      </c>
      <c r="BD4337" s="2" t="s">
        <v>82</v>
      </c>
      <c r="BE4337" s="2">
        <v>41</v>
      </c>
      <c r="BF4337" s="2" t="s">
        <v>82</v>
      </c>
      <c r="BG4337" s="2"/>
      <c r="BH4337" s="2"/>
      <c r="BI4337" s="2"/>
      <c r="BJ4337" s="2">
        <v>13</v>
      </c>
      <c r="BK4337" s="2" t="s">
        <v>91</v>
      </c>
      <c r="BL4337" s="2" t="s">
        <v>360</v>
      </c>
      <c r="BM4337" s="2">
        <v>4</v>
      </c>
      <c r="BN4337" s="2" t="s">
        <v>618</v>
      </c>
      <c r="BO4337" s="2"/>
      <c r="BP4337" s="2">
        <v>4</v>
      </c>
      <c r="BQ4337" s="2" t="s">
        <v>618</v>
      </c>
      <c r="BR4337" s="2" t="s">
        <v>13486</v>
      </c>
      <c r="BS4337" s="3">
        <v>40470</v>
      </c>
      <c r="BT4337" s="4">
        <v>0.62225694444444446</v>
      </c>
    </row>
    <row r="4338" spans="1:72" x14ac:dyDescent="0.25">
      <c r="A4338" s="2">
        <v>6530</v>
      </c>
      <c r="B4338" s="2">
        <v>2010</v>
      </c>
      <c r="C4338" s="2" t="s">
        <v>806</v>
      </c>
      <c r="D4338" s="2" t="s">
        <v>73</v>
      </c>
      <c r="E4338" s="2"/>
      <c r="F4338" s="2">
        <v>651</v>
      </c>
      <c r="G4338" s="2" t="s">
        <v>2454</v>
      </c>
      <c r="H4338" s="2">
        <v>89</v>
      </c>
      <c r="I4338" s="2" t="s">
        <v>5137</v>
      </c>
      <c r="J4338" s="2">
        <v>538</v>
      </c>
      <c r="K4338" s="2" t="s">
        <v>7264</v>
      </c>
      <c r="L4338" s="2" t="s">
        <v>7265</v>
      </c>
      <c r="M4338" s="3">
        <v>40470</v>
      </c>
      <c r="N4338" s="2" t="s">
        <v>13455</v>
      </c>
      <c r="O4338" s="2" t="s">
        <v>13542</v>
      </c>
      <c r="P4338" s="2">
        <v>12627</v>
      </c>
      <c r="Q4338" s="2" t="str">
        <f>"15/10"</f>
        <v>15/10</v>
      </c>
      <c r="R4338" s="2" t="s">
        <v>82</v>
      </c>
      <c r="S4338" s="2" t="s">
        <v>82</v>
      </c>
      <c r="T4338" s="2">
        <v>1</v>
      </c>
      <c r="U4338" s="2" t="s">
        <v>79</v>
      </c>
      <c r="V4338" s="2">
        <v>1</v>
      </c>
      <c r="W4338" s="2" t="s">
        <v>80</v>
      </c>
      <c r="X4338" s="2">
        <v>9</v>
      </c>
      <c r="Y4338" s="2" t="s">
        <v>3393</v>
      </c>
      <c r="Z4338" s="2">
        <v>1</v>
      </c>
      <c r="AA4338" s="2" t="s">
        <v>82</v>
      </c>
      <c r="AB4338" s="2">
        <v>9</v>
      </c>
      <c r="AC4338" s="2" t="s">
        <v>124</v>
      </c>
      <c r="AD4338" s="3">
        <v>40470</v>
      </c>
      <c r="AE4338" s="4">
        <v>0.58680555555555558</v>
      </c>
      <c r="AF4338" s="2"/>
      <c r="AG4338" s="2"/>
      <c r="AH4338" s="2">
        <v>3</v>
      </c>
      <c r="AI4338" s="2" t="s">
        <v>214</v>
      </c>
      <c r="AJ4338" s="2">
        <v>14</v>
      </c>
      <c r="AK4338" s="2" t="s">
        <v>342</v>
      </c>
      <c r="AL4338" s="2">
        <v>23</v>
      </c>
      <c r="AM4338" s="2" t="s">
        <v>251</v>
      </c>
      <c r="AN4338" s="2" t="s">
        <v>13543</v>
      </c>
      <c r="AO4338" s="2" t="s">
        <v>82</v>
      </c>
      <c r="AP4338" s="2">
        <v>11</v>
      </c>
      <c r="AQ4338" s="2" t="s">
        <v>82</v>
      </c>
      <c r="AR4338" s="2"/>
      <c r="AS4338" s="2"/>
      <c r="AT4338" s="2" t="s">
        <v>13544</v>
      </c>
      <c r="AU4338" s="2">
        <v>1</v>
      </c>
      <c r="AV4338" s="2"/>
      <c r="AW4338" s="2"/>
      <c r="AX4338" s="2"/>
      <c r="AY4338" s="2">
        <v>41</v>
      </c>
      <c r="AZ4338" s="2" t="s">
        <v>82</v>
      </c>
      <c r="BA4338" s="2">
        <v>41</v>
      </c>
      <c r="BB4338" s="2" t="s">
        <v>82</v>
      </c>
      <c r="BC4338" s="2">
        <v>41</v>
      </c>
      <c r="BD4338" s="2" t="s">
        <v>82</v>
      </c>
      <c r="BE4338" s="2">
        <v>41</v>
      </c>
      <c r="BF4338" s="2" t="s">
        <v>82</v>
      </c>
      <c r="BG4338" s="2"/>
      <c r="BH4338" s="2"/>
      <c r="BI4338" s="2"/>
      <c r="BJ4338" s="2">
        <v>241</v>
      </c>
      <c r="BK4338" s="2" t="s">
        <v>82</v>
      </c>
      <c r="BL4338" s="2"/>
      <c r="BM4338" s="2">
        <v>241</v>
      </c>
      <c r="BN4338" s="2" t="s">
        <v>82</v>
      </c>
      <c r="BO4338" s="2"/>
      <c r="BP4338" s="2">
        <v>241</v>
      </c>
      <c r="BQ4338" s="2" t="s">
        <v>82</v>
      </c>
      <c r="BR4338" s="2"/>
      <c r="BS4338" s="3">
        <v>40470</v>
      </c>
      <c r="BT4338" s="4">
        <v>0.66402777777777777</v>
      </c>
    </row>
    <row r="4339" spans="1:72" x14ac:dyDescent="0.25">
      <c r="A4339" s="2">
        <v>6532</v>
      </c>
      <c r="B4339" s="2">
        <v>2010</v>
      </c>
      <c r="C4339" s="2" t="s">
        <v>72</v>
      </c>
      <c r="D4339" s="2" t="s">
        <v>122</v>
      </c>
      <c r="E4339" s="2"/>
      <c r="F4339" s="2">
        <v>685</v>
      </c>
      <c r="G4339" s="2" t="s">
        <v>12932</v>
      </c>
      <c r="H4339" s="2">
        <v>22</v>
      </c>
      <c r="I4339" s="2" t="s">
        <v>75</v>
      </c>
      <c r="J4339" s="2">
        <v>674</v>
      </c>
      <c r="K4339" s="2" t="s">
        <v>12821</v>
      </c>
      <c r="L4339" s="2" t="s">
        <v>12822</v>
      </c>
      <c r="M4339" s="3">
        <v>40470</v>
      </c>
      <c r="N4339" s="2" t="s">
        <v>12823</v>
      </c>
      <c r="O4339" s="2"/>
      <c r="P4339" s="2"/>
      <c r="Q4339" s="2" t="str">
        <f>"417-A/10"</f>
        <v>417-A/10</v>
      </c>
      <c r="R4339" s="2" t="s">
        <v>13545</v>
      </c>
      <c r="S4339" s="2" t="s">
        <v>13545</v>
      </c>
      <c r="T4339" s="2">
        <v>1</v>
      </c>
      <c r="U4339" s="2" t="s">
        <v>79</v>
      </c>
      <c r="V4339" s="2">
        <v>1</v>
      </c>
      <c r="W4339" s="2" t="s">
        <v>80</v>
      </c>
      <c r="X4339" s="2">
        <v>12</v>
      </c>
      <c r="Y4339" s="2" t="s">
        <v>148</v>
      </c>
      <c r="Z4339" s="2">
        <v>1</v>
      </c>
      <c r="AA4339" s="2" t="s">
        <v>82</v>
      </c>
      <c r="AB4339" s="2">
        <v>6</v>
      </c>
      <c r="AC4339" s="2" t="s">
        <v>83</v>
      </c>
      <c r="AD4339" s="3">
        <v>40469</v>
      </c>
      <c r="AE4339" s="2"/>
      <c r="AF4339" s="3">
        <v>40470</v>
      </c>
      <c r="AG4339" s="4">
        <v>0.625</v>
      </c>
      <c r="AH4339" s="2">
        <v>2</v>
      </c>
      <c r="AI4339" s="2" t="s">
        <v>84</v>
      </c>
      <c r="AJ4339" s="2">
        <v>12</v>
      </c>
      <c r="AK4339" s="2" t="s">
        <v>85</v>
      </c>
      <c r="AL4339" s="2">
        <v>12</v>
      </c>
      <c r="AM4339" s="2" t="s">
        <v>86</v>
      </c>
      <c r="AN4339" s="2"/>
      <c r="AO4339" s="2" t="s">
        <v>1945</v>
      </c>
      <c r="AP4339" s="2">
        <v>11</v>
      </c>
      <c r="AQ4339" s="2" t="s">
        <v>82</v>
      </c>
      <c r="AR4339" s="2"/>
      <c r="AS4339" s="2"/>
      <c r="AT4339" s="2" t="s">
        <v>13546</v>
      </c>
      <c r="AU4339" s="2"/>
      <c r="AV4339" s="2"/>
      <c r="AW4339" s="2"/>
      <c r="AX4339" s="2"/>
      <c r="AY4339" s="2">
        <v>41</v>
      </c>
      <c r="AZ4339" s="2" t="s">
        <v>82</v>
      </c>
      <c r="BA4339" s="2">
        <v>41</v>
      </c>
      <c r="BB4339" s="2" t="s">
        <v>82</v>
      </c>
      <c r="BC4339" s="2">
        <v>41</v>
      </c>
      <c r="BD4339" s="2" t="s">
        <v>82</v>
      </c>
      <c r="BE4339" s="2">
        <v>41</v>
      </c>
      <c r="BF4339" s="2" t="s">
        <v>82</v>
      </c>
      <c r="BG4339" s="2"/>
      <c r="BH4339" s="2"/>
      <c r="BI4339" s="2"/>
      <c r="BJ4339" s="2">
        <v>241</v>
      </c>
      <c r="BK4339" s="2" t="s">
        <v>82</v>
      </c>
      <c r="BL4339" s="2"/>
      <c r="BM4339" s="2">
        <v>241</v>
      </c>
      <c r="BN4339" s="2" t="s">
        <v>82</v>
      </c>
      <c r="BO4339" s="2"/>
      <c r="BP4339" s="2">
        <v>241</v>
      </c>
      <c r="BQ4339" s="2" t="s">
        <v>82</v>
      </c>
      <c r="BR4339" s="2"/>
      <c r="BS4339" s="3">
        <v>40470</v>
      </c>
      <c r="BT4339" s="4">
        <v>0.69395833333333334</v>
      </c>
    </row>
    <row r="4340" spans="1:72" x14ac:dyDescent="0.25">
      <c r="A4340" s="2">
        <v>6538</v>
      </c>
      <c r="B4340" s="2">
        <v>2010</v>
      </c>
      <c r="C4340" s="2" t="s">
        <v>764</v>
      </c>
      <c r="D4340" s="2" t="s">
        <v>73</v>
      </c>
      <c r="E4340" s="2"/>
      <c r="F4340" s="2">
        <v>70</v>
      </c>
      <c r="G4340" s="2" t="s">
        <v>3539</v>
      </c>
      <c r="H4340" s="2">
        <v>108</v>
      </c>
      <c r="I4340" s="2" t="s">
        <v>1096</v>
      </c>
      <c r="J4340" s="2">
        <v>102</v>
      </c>
      <c r="K4340" s="2" t="s">
        <v>3540</v>
      </c>
      <c r="L4340" s="2" t="s">
        <v>3541</v>
      </c>
      <c r="M4340" s="3">
        <v>40470</v>
      </c>
      <c r="N4340" s="2" t="s">
        <v>13547</v>
      </c>
      <c r="O4340" s="2"/>
      <c r="P4340" s="2" t="s">
        <v>13548</v>
      </c>
      <c r="Q4340" s="2" t="str">
        <f>"02/2010"</f>
        <v>02/2010</v>
      </c>
      <c r="R4340" s="2" t="s">
        <v>13549</v>
      </c>
      <c r="S4340" s="2" t="s">
        <v>13549</v>
      </c>
      <c r="T4340" s="2">
        <v>1</v>
      </c>
      <c r="U4340" s="2" t="s">
        <v>79</v>
      </c>
      <c r="V4340" s="2">
        <v>1</v>
      </c>
      <c r="W4340" s="2" t="s">
        <v>80</v>
      </c>
      <c r="X4340" s="2">
        <v>1</v>
      </c>
      <c r="Y4340" s="2" t="s">
        <v>81</v>
      </c>
      <c r="Z4340" s="2">
        <v>1</v>
      </c>
      <c r="AA4340" s="2" t="s">
        <v>82</v>
      </c>
      <c r="AB4340" s="2">
        <v>9</v>
      </c>
      <c r="AC4340" s="2" t="s">
        <v>124</v>
      </c>
      <c r="AD4340" s="3">
        <v>40470</v>
      </c>
      <c r="AE4340" s="2"/>
      <c r="AF4340" s="3">
        <v>40470</v>
      </c>
      <c r="AG4340" s="4">
        <v>0.57986111111111105</v>
      </c>
      <c r="AH4340" s="2">
        <v>3</v>
      </c>
      <c r="AI4340" s="2" t="s">
        <v>214</v>
      </c>
      <c r="AJ4340" s="2">
        <v>22</v>
      </c>
      <c r="AK4340" s="2" t="s">
        <v>4818</v>
      </c>
      <c r="AL4340" s="2">
        <v>23</v>
      </c>
      <c r="AM4340" s="2" t="s">
        <v>251</v>
      </c>
      <c r="AN4340" s="2" t="s">
        <v>13550</v>
      </c>
      <c r="AO4340" s="2" t="s">
        <v>13551</v>
      </c>
      <c r="AP4340" s="2">
        <v>11</v>
      </c>
      <c r="AQ4340" s="2" t="s">
        <v>82</v>
      </c>
      <c r="AR4340" s="2"/>
      <c r="AS4340" s="2"/>
      <c r="AT4340" s="2" t="s">
        <v>13552</v>
      </c>
      <c r="AU4340" s="2"/>
      <c r="AV4340" s="2"/>
      <c r="AW4340" s="2"/>
      <c r="AX4340" s="2"/>
      <c r="AY4340" s="2">
        <v>41</v>
      </c>
      <c r="AZ4340" s="2" t="s">
        <v>82</v>
      </c>
      <c r="BA4340" s="2">
        <v>114</v>
      </c>
      <c r="BB4340" s="2" t="s">
        <v>7510</v>
      </c>
      <c r="BC4340" s="2">
        <v>41</v>
      </c>
      <c r="BD4340" s="2" t="s">
        <v>82</v>
      </c>
      <c r="BE4340" s="2">
        <v>41</v>
      </c>
      <c r="BF4340" s="2" t="s">
        <v>82</v>
      </c>
      <c r="BG4340" s="2"/>
      <c r="BH4340" s="2"/>
      <c r="BI4340" s="2"/>
      <c r="BJ4340" s="2">
        <v>13</v>
      </c>
      <c r="BK4340" s="2" t="s">
        <v>91</v>
      </c>
      <c r="BL4340" s="2" t="s">
        <v>13553</v>
      </c>
      <c r="BM4340" s="2">
        <v>241</v>
      </c>
      <c r="BN4340" s="2" t="s">
        <v>82</v>
      </c>
      <c r="BO4340" s="2"/>
      <c r="BP4340" s="2">
        <v>241</v>
      </c>
      <c r="BQ4340" s="2" t="s">
        <v>82</v>
      </c>
      <c r="BR4340" s="2"/>
      <c r="BS4340" s="3">
        <v>40470</v>
      </c>
      <c r="BT4340" s="4">
        <v>0.81185185185185194</v>
      </c>
    </row>
    <row r="4341" spans="1:72" x14ac:dyDescent="0.25">
      <c r="A4341" s="2">
        <v>6539</v>
      </c>
      <c r="B4341" s="2">
        <v>2010</v>
      </c>
      <c r="C4341" s="2" t="s">
        <v>147</v>
      </c>
      <c r="D4341" s="2" t="s">
        <v>73</v>
      </c>
      <c r="E4341" s="2"/>
      <c r="F4341" s="2">
        <v>1</v>
      </c>
      <c r="G4341" s="2" t="s">
        <v>82</v>
      </c>
      <c r="H4341" s="2">
        <v>1</v>
      </c>
      <c r="I4341" s="2" t="s">
        <v>82</v>
      </c>
      <c r="J4341" s="2">
        <v>1</v>
      </c>
      <c r="K4341" s="2" t="s">
        <v>107</v>
      </c>
      <c r="L4341" s="2" t="s">
        <v>107</v>
      </c>
      <c r="M4341" s="3">
        <v>40470</v>
      </c>
      <c r="N4341" s="2"/>
      <c r="O4341" s="2"/>
      <c r="P4341" s="2"/>
      <c r="Q4341" s="2" t="str">
        <f>""</f>
        <v/>
      </c>
      <c r="R4341" s="2"/>
      <c r="S4341" s="2"/>
      <c r="T4341" s="2">
        <v>2</v>
      </c>
      <c r="U4341" s="2" t="s">
        <v>123</v>
      </c>
      <c r="V4341" s="2">
        <v>1</v>
      </c>
      <c r="W4341" s="2" t="s">
        <v>80</v>
      </c>
      <c r="X4341" s="2">
        <v>12</v>
      </c>
      <c r="Y4341" s="2" t="s">
        <v>148</v>
      </c>
      <c r="Z4341" s="2">
        <v>1</v>
      </c>
      <c r="AA4341" s="2" t="s">
        <v>82</v>
      </c>
      <c r="AB4341" s="2">
        <v>9</v>
      </c>
      <c r="AC4341" s="2" t="s">
        <v>124</v>
      </c>
      <c r="AD4341" s="2"/>
      <c r="AE4341" s="2"/>
      <c r="AF4341" s="3">
        <v>40470</v>
      </c>
      <c r="AG4341" s="4">
        <v>0.70833333333333337</v>
      </c>
      <c r="AH4341" s="2">
        <v>3</v>
      </c>
      <c r="AI4341" s="2" t="s">
        <v>214</v>
      </c>
      <c r="AJ4341" s="2">
        <v>24</v>
      </c>
      <c r="AK4341" s="2" t="s">
        <v>215</v>
      </c>
      <c r="AL4341" s="2">
        <v>19</v>
      </c>
      <c r="AM4341" s="2" t="s">
        <v>107</v>
      </c>
      <c r="AN4341" s="2"/>
      <c r="AO4341" s="2" t="s">
        <v>107</v>
      </c>
      <c r="AP4341" s="2">
        <v>11</v>
      </c>
      <c r="AQ4341" s="2" t="s">
        <v>82</v>
      </c>
      <c r="AR4341" s="2"/>
      <c r="AS4341" s="2"/>
      <c r="AT4341" s="2" t="s">
        <v>13554</v>
      </c>
      <c r="AU4341" s="2"/>
      <c r="AV4341" s="2"/>
      <c r="AW4341" s="2"/>
      <c r="AX4341" s="2"/>
      <c r="AY4341" s="2">
        <v>70</v>
      </c>
      <c r="AZ4341" s="2" t="s">
        <v>236</v>
      </c>
      <c r="BA4341" s="2">
        <v>41</v>
      </c>
      <c r="BB4341" s="2" t="s">
        <v>82</v>
      </c>
      <c r="BC4341" s="2">
        <v>41</v>
      </c>
      <c r="BD4341" s="2" t="s">
        <v>82</v>
      </c>
      <c r="BE4341" s="2">
        <v>41</v>
      </c>
      <c r="BF4341" s="2" t="s">
        <v>82</v>
      </c>
      <c r="BG4341" s="2"/>
      <c r="BH4341" s="2"/>
      <c r="BI4341" s="2"/>
      <c r="BJ4341" s="2">
        <v>241</v>
      </c>
      <c r="BK4341" s="2" t="s">
        <v>82</v>
      </c>
      <c r="BL4341" s="2"/>
      <c r="BM4341" s="2">
        <v>241</v>
      </c>
      <c r="BN4341" s="2" t="s">
        <v>82</v>
      </c>
      <c r="BO4341" s="2"/>
      <c r="BP4341" s="2">
        <v>241</v>
      </c>
      <c r="BQ4341" s="2" t="s">
        <v>82</v>
      </c>
      <c r="BR4341" s="2"/>
      <c r="BS4341" s="3">
        <v>40470</v>
      </c>
      <c r="BT4341" s="4">
        <v>0.81452546296296291</v>
      </c>
    </row>
    <row r="4342" spans="1:72" x14ac:dyDescent="0.25">
      <c r="A4342" s="2">
        <v>6542</v>
      </c>
      <c r="B4342" s="2">
        <v>2010</v>
      </c>
      <c r="C4342" s="2" t="s">
        <v>147</v>
      </c>
      <c r="D4342" s="2" t="s">
        <v>73</v>
      </c>
      <c r="E4342" s="2"/>
      <c r="F4342" s="2">
        <v>1</v>
      </c>
      <c r="G4342" s="2" t="s">
        <v>82</v>
      </c>
      <c r="H4342" s="2">
        <v>1</v>
      </c>
      <c r="I4342" s="2" t="s">
        <v>82</v>
      </c>
      <c r="J4342" s="2">
        <v>1</v>
      </c>
      <c r="K4342" s="2" t="s">
        <v>107</v>
      </c>
      <c r="L4342" s="2" t="s">
        <v>107</v>
      </c>
      <c r="M4342" s="3">
        <v>40470</v>
      </c>
      <c r="N4342" s="2"/>
      <c r="O4342" s="2"/>
      <c r="P4342" s="2"/>
      <c r="Q4342" s="2" t="str">
        <f>""</f>
        <v/>
      </c>
      <c r="R4342" s="2"/>
      <c r="S4342" s="2"/>
      <c r="T4342" s="2">
        <v>2</v>
      </c>
      <c r="U4342" s="2" t="s">
        <v>123</v>
      </c>
      <c r="V4342" s="2">
        <v>1</v>
      </c>
      <c r="W4342" s="2" t="s">
        <v>80</v>
      </c>
      <c r="X4342" s="2">
        <v>12</v>
      </c>
      <c r="Y4342" s="2" t="s">
        <v>148</v>
      </c>
      <c r="Z4342" s="2">
        <v>1</v>
      </c>
      <c r="AA4342" s="2" t="s">
        <v>82</v>
      </c>
      <c r="AB4342" s="2">
        <v>9</v>
      </c>
      <c r="AC4342" s="2" t="s">
        <v>124</v>
      </c>
      <c r="AD4342" s="2"/>
      <c r="AE4342" s="2"/>
      <c r="AF4342" s="3">
        <v>40470</v>
      </c>
      <c r="AG4342" s="4">
        <v>0.75</v>
      </c>
      <c r="AH4342" s="2">
        <v>2</v>
      </c>
      <c r="AI4342" s="2" t="s">
        <v>84</v>
      </c>
      <c r="AJ4342" s="2">
        <v>11</v>
      </c>
      <c r="AK4342" s="2" t="s">
        <v>751</v>
      </c>
      <c r="AL4342" s="2">
        <v>19</v>
      </c>
      <c r="AM4342" s="2" t="s">
        <v>107</v>
      </c>
      <c r="AN4342" s="2"/>
      <c r="AO4342" s="2" t="s">
        <v>1772</v>
      </c>
      <c r="AP4342" s="2">
        <v>11</v>
      </c>
      <c r="AQ4342" s="2" t="s">
        <v>82</v>
      </c>
      <c r="AR4342" s="2"/>
      <c r="AS4342" s="2"/>
      <c r="AT4342" s="2" t="s">
        <v>13555</v>
      </c>
      <c r="AU4342" s="2"/>
      <c r="AV4342" s="2"/>
      <c r="AW4342" s="2"/>
      <c r="AX4342" s="2"/>
      <c r="AY4342" s="2">
        <v>41</v>
      </c>
      <c r="AZ4342" s="2" t="s">
        <v>82</v>
      </c>
      <c r="BA4342" s="2">
        <v>41</v>
      </c>
      <c r="BB4342" s="2" t="s">
        <v>82</v>
      </c>
      <c r="BC4342" s="2">
        <v>41</v>
      </c>
      <c r="BD4342" s="2" t="s">
        <v>82</v>
      </c>
      <c r="BE4342" s="2">
        <v>41</v>
      </c>
      <c r="BF4342" s="2" t="s">
        <v>82</v>
      </c>
      <c r="BG4342" s="2"/>
      <c r="BH4342" s="2"/>
      <c r="BI4342" s="2"/>
      <c r="BJ4342" s="2">
        <v>241</v>
      </c>
      <c r="BK4342" s="2" t="s">
        <v>82</v>
      </c>
      <c r="BL4342" s="2"/>
      <c r="BM4342" s="2">
        <v>241</v>
      </c>
      <c r="BN4342" s="2" t="s">
        <v>82</v>
      </c>
      <c r="BO4342" s="2"/>
      <c r="BP4342" s="2">
        <v>241</v>
      </c>
      <c r="BQ4342" s="2" t="s">
        <v>82</v>
      </c>
      <c r="BR4342" s="2"/>
      <c r="BS4342" s="3">
        <v>40470</v>
      </c>
      <c r="BT4342" s="4">
        <v>0.86646990740740737</v>
      </c>
    </row>
    <row r="4343" spans="1:72" x14ac:dyDescent="0.25">
      <c r="A4343" s="2">
        <v>6543</v>
      </c>
      <c r="B4343" s="2">
        <v>2010</v>
      </c>
      <c r="C4343" s="2" t="s">
        <v>385</v>
      </c>
      <c r="D4343" s="2" t="s">
        <v>122</v>
      </c>
      <c r="E4343" s="2"/>
      <c r="F4343" s="2">
        <v>651</v>
      </c>
      <c r="G4343" s="2" t="s">
        <v>2454</v>
      </c>
      <c r="H4343" s="2">
        <v>56</v>
      </c>
      <c r="I4343" s="2" t="s">
        <v>3372</v>
      </c>
      <c r="J4343" s="2">
        <v>538</v>
      </c>
      <c r="K4343" s="2" t="s">
        <v>7264</v>
      </c>
      <c r="L4343" s="2" t="s">
        <v>7265</v>
      </c>
      <c r="M4343" s="3">
        <v>40470</v>
      </c>
      <c r="N4343" s="2" t="s">
        <v>13332</v>
      </c>
      <c r="O4343" s="2" t="s">
        <v>13556</v>
      </c>
      <c r="P4343" s="2">
        <v>12627</v>
      </c>
      <c r="Q4343" s="2" t="str">
        <f>""</f>
        <v/>
      </c>
      <c r="R4343" s="2"/>
      <c r="S4343" s="2"/>
      <c r="T4343" s="2">
        <v>1</v>
      </c>
      <c r="U4343" s="2" t="s">
        <v>79</v>
      </c>
      <c r="V4343" s="2">
        <v>1</v>
      </c>
      <c r="W4343" s="2" t="s">
        <v>80</v>
      </c>
      <c r="X4343" s="2">
        <v>11</v>
      </c>
      <c r="Y4343" s="2" t="s">
        <v>1920</v>
      </c>
      <c r="Z4343" s="2">
        <v>10</v>
      </c>
      <c r="AA4343" s="2" t="s">
        <v>236</v>
      </c>
      <c r="AB4343" s="2">
        <v>9</v>
      </c>
      <c r="AC4343" s="2" t="s">
        <v>124</v>
      </c>
      <c r="AD4343" s="3">
        <v>40470</v>
      </c>
      <c r="AE4343" s="4">
        <v>0.75</v>
      </c>
      <c r="AF4343" s="2"/>
      <c r="AG4343" s="2"/>
      <c r="AH4343" s="2">
        <v>3</v>
      </c>
      <c r="AI4343" s="2" t="s">
        <v>214</v>
      </c>
      <c r="AJ4343" s="2">
        <v>24</v>
      </c>
      <c r="AK4343" s="2" t="s">
        <v>215</v>
      </c>
      <c r="AL4343" s="2">
        <v>23</v>
      </c>
      <c r="AM4343" s="2" t="s">
        <v>251</v>
      </c>
      <c r="AN4343" s="2" t="s">
        <v>13557</v>
      </c>
      <c r="AO4343" s="2" t="s">
        <v>13558</v>
      </c>
      <c r="AP4343" s="2">
        <v>11</v>
      </c>
      <c r="AQ4343" s="2" t="s">
        <v>82</v>
      </c>
      <c r="AR4343" s="2"/>
      <c r="AS4343" s="2"/>
      <c r="AT4343" s="2" t="s">
        <v>13559</v>
      </c>
      <c r="AU4343" s="2">
        <v>2</v>
      </c>
      <c r="AV4343" s="2"/>
      <c r="AW4343" s="2"/>
      <c r="AX4343" s="2"/>
      <c r="AY4343" s="2">
        <v>41</v>
      </c>
      <c r="AZ4343" s="2" t="s">
        <v>82</v>
      </c>
      <c r="BA4343" s="2">
        <v>41</v>
      </c>
      <c r="BB4343" s="2" t="s">
        <v>82</v>
      </c>
      <c r="BC4343" s="2">
        <v>41</v>
      </c>
      <c r="BD4343" s="2" t="s">
        <v>82</v>
      </c>
      <c r="BE4343" s="2">
        <v>41</v>
      </c>
      <c r="BF4343" s="2" t="s">
        <v>82</v>
      </c>
      <c r="BG4343" s="2"/>
      <c r="BH4343" s="2"/>
      <c r="BI4343" s="2"/>
      <c r="BJ4343" s="2">
        <v>241</v>
      </c>
      <c r="BK4343" s="2" t="s">
        <v>82</v>
      </c>
      <c r="BL4343" s="2"/>
      <c r="BM4343" s="2">
        <v>241</v>
      </c>
      <c r="BN4343" s="2" t="s">
        <v>82</v>
      </c>
      <c r="BO4343" s="2"/>
      <c r="BP4343" s="2">
        <v>241</v>
      </c>
      <c r="BQ4343" s="2" t="s">
        <v>82</v>
      </c>
      <c r="BR4343" s="2"/>
      <c r="BS4343" s="3">
        <v>40470</v>
      </c>
      <c r="BT4343" s="4">
        <v>0.93855324074074076</v>
      </c>
    </row>
    <row r="4344" spans="1:72" x14ac:dyDescent="0.25">
      <c r="A4344" s="2">
        <v>6544</v>
      </c>
      <c r="B4344" s="2">
        <v>2010</v>
      </c>
      <c r="C4344" s="2" t="s">
        <v>806</v>
      </c>
      <c r="D4344" s="2" t="s">
        <v>73</v>
      </c>
      <c r="E4344" s="2"/>
      <c r="F4344" s="2">
        <v>20</v>
      </c>
      <c r="G4344" s="2" t="s">
        <v>2532</v>
      </c>
      <c r="H4344" s="2">
        <v>50</v>
      </c>
      <c r="I4344" s="2" t="s">
        <v>107</v>
      </c>
      <c r="J4344" s="2">
        <v>29</v>
      </c>
      <c r="K4344" s="2" t="s">
        <v>2533</v>
      </c>
      <c r="L4344" s="2" t="s">
        <v>2534</v>
      </c>
      <c r="M4344" s="3">
        <v>40471</v>
      </c>
      <c r="N4344" s="2" t="s">
        <v>13504</v>
      </c>
      <c r="O4344" s="2" t="s">
        <v>13560</v>
      </c>
      <c r="P4344" s="2">
        <v>12627</v>
      </c>
      <c r="Q4344" s="2" t="str">
        <f>"0007/10"</f>
        <v>0007/10</v>
      </c>
      <c r="R4344" s="2" t="s">
        <v>13560</v>
      </c>
      <c r="S4344" s="2"/>
      <c r="T4344" s="2">
        <v>1</v>
      </c>
      <c r="U4344" s="2" t="s">
        <v>79</v>
      </c>
      <c r="V4344" s="2">
        <v>1</v>
      </c>
      <c r="W4344" s="2" t="s">
        <v>80</v>
      </c>
      <c r="X4344" s="2">
        <v>7</v>
      </c>
      <c r="Y4344" s="2" t="s">
        <v>1964</v>
      </c>
      <c r="Z4344" s="2">
        <v>1</v>
      </c>
      <c r="AA4344" s="2" t="s">
        <v>82</v>
      </c>
      <c r="AB4344" s="2">
        <v>9</v>
      </c>
      <c r="AC4344" s="2" t="s">
        <v>124</v>
      </c>
      <c r="AD4344" s="3">
        <v>40470</v>
      </c>
      <c r="AE4344" s="4">
        <v>0.79999999999999993</v>
      </c>
      <c r="AF4344" s="3">
        <v>40470</v>
      </c>
      <c r="AG4344" s="4">
        <v>0.79999999999999993</v>
      </c>
      <c r="AH4344" s="2">
        <v>4</v>
      </c>
      <c r="AI4344" s="2" t="s">
        <v>125</v>
      </c>
      <c r="AJ4344" s="2">
        <v>26</v>
      </c>
      <c r="AK4344" s="2" t="s">
        <v>293</v>
      </c>
      <c r="AL4344" s="2">
        <v>23</v>
      </c>
      <c r="AM4344" s="2" t="s">
        <v>251</v>
      </c>
      <c r="AN4344" s="2" t="s">
        <v>13561</v>
      </c>
      <c r="AO4344" s="2" t="s">
        <v>13562</v>
      </c>
      <c r="AP4344" s="2">
        <v>11</v>
      </c>
      <c r="AQ4344" s="2" t="s">
        <v>82</v>
      </c>
      <c r="AR4344" s="2"/>
      <c r="AS4344" s="2"/>
      <c r="AT4344" s="2" t="s">
        <v>13563</v>
      </c>
      <c r="AU4344" s="2">
        <v>1</v>
      </c>
      <c r="AV4344" s="2"/>
      <c r="AW4344" s="2"/>
      <c r="AX4344" s="2"/>
      <c r="AY4344" s="2">
        <v>41</v>
      </c>
      <c r="AZ4344" s="2" t="s">
        <v>82</v>
      </c>
      <c r="BA4344" s="2">
        <v>41</v>
      </c>
      <c r="BB4344" s="2" t="s">
        <v>82</v>
      </c>
      <c r="BC4344" s="2">
        <v>41</v>
      </c>
      <c r="BD4344" s="2" t="s">
        <v>82</v>
      </c>
      <c r="BE4344" s="2">
        <v>41</v>
      </c>
      <c r="BF4344" s="2" t="s">
        <v>82</v>
      </c>
      <c r="BG4344" s="2"/>
      <c r="BH4344" s="2"/>
      <c r="BI4344" s="2"/>
      <c r="BJ4344" s="2">
        <v>241</v>
      </c>
      <c r="BK4344" s="2" t="s">
        <v>82</v>
      </c>
      <c r="BL4344" s="2"/>
      <c r="BM4344" s="2">
        <v>241</v>
      </c>
      <c r="BN4344" s="2" t="s">
        <v>82</v>
      </c>
      <c r="BO4344" s="2"/>
      <c r="BP4344" s="2">
        <v>241</v>
      </c>
      <c r="BQ4344" s="2" t="s">
        <v>82</v>
      </c>
      <c r="BR4344" s="2"/>
      <c r="BS4344" s="3">
        <v>40471</v>
      </c>
      <c r="BT4344" s="4">
        <v>7.6388888888888893E-4</v>
      </c>
    </row>
    <row r="4345" spans="1:72" x14ac:dyDescent="0.25">
      <c r="A4345" s="2">
        <v>6546</v>
      </c>
      <c r="B4345" s="2">
        <v>2010</v>
      </c>
      <c r="C4345" s="2" t="s">
        <v>806</v>
      </c>
      <c r="D4345" s="2" t="s">
        <v>73</v>
      </c>
      <c r="E4345" s="2"/>
      <c r="F4345" s="2">
        <v>11</v>
      </c>
      <c r="G4345" s="2" t="s">
        <v>2454</v>
      </c>
      <c r="H4345" s="2">
        <v>89</v>
      </c>
      <c r="I4345" s="2" t="s">
        <v>5137</v>
      </c>
      <c r="J4345" s="2">
        <v>538</v>
      </c>
      <c r="K4345" s="2" t="s">
        <v>7264</v>
      </c>
      <c r="L4345" s="2" t="s">
        <v>7265</v>
      </c>
      <c r="M4345" s="3">
        <v>40471</v>
      </c>
      <c r="N4345" s="2" t="s">
        <v>13332</v>
      </c>
      <c r="O4345" s="2" t="s">
        <v>13564</v>
      </c>
      <c r="P4345" s="7">
        <v>12627</v>
      </c>
      <c r="Q4345" s="2" t="str">
        <f>"15/2010"</f>
        <v>15/2010</v>
      </c>
      <c r="R4345" s="2" t="s">
        <v>82</v>
      </c>
      <c r="S4345" s="2" t="s">
        <v>82</v>
      </c>
      <c r="T4345" s="2">
        <v>1</v>
      </c>
      <c r="U4345" s="2" t="s">
        <v>79</v>
      </c>
      <c r="V4345" s="2">
        <v>1</v>
      </c>
      <c r="W4345" s="2" t="s">
        <v>80</v>
      </c>
      <c r="X4345" s="2">
        <v>9</v>
      </c>
      <c r="Y4345" s="2" t="s">
        <v>3393</v>
      </c>
      <c r="Z4345" s="2">
        <v>1</v>
      </c>
      <c r="AA4345" s="2" t="s">
        <v>82</v>
      </c>
      <c r="AB4345" s="2">
        <v>9</v>
      </c>
      <c r="AC4345" s="2" t="s">
        <v>124</v>
      </c>
      <c r="AD4345" s="3">
        <v>40470</v>
      </c>
      <c r="AE4345" s="4">
        <v>0.90625</v>
      </c>
      <c r="AF4345" s="2"/>
      <c r="AG4345" s="2"/>
      <c r="AH4345" s="2">
        <v>3</v>
      </c>
      <c r="AI4345" s="2" t="s">
        <v>214</v>
      </c>
      <c r="AJ4345" s="2">
        <v>14</v>
      </c>
      <c r="AK4345" s="2" t="s">
        <v>342</v>
      </c>
      <c r="AL4345" s="2">
        <v>23</v>
      </c>
      <c r="AM4345" s="2" t="s">
        <v>251</v>
      </c>
      <c r="AN4345" s="2" t="s">
        <v>13565</v>
      </c>
      <c r="AO4345" s="2" t="s">
        <v>82</v>
      </c>
      <c r="AP4345" s="2">
        <v>11</v>
      </c>
      <c r="AQ4345" s="2" t="s">
        <v>82</v>
      </c>
      <c r="AR4345" s="2"/>
      <c r="AS4345" s="2"/>
      <c r="AT4345" s="2" t="s">
        <v>13566</v>
      </c>
      <c r="AU4345" s="2">
        <v>1</v>
      </c>
      <c r="AV4345" s="2"/>
      <c r="AW4345" s="2"/>
      <c r="AX4345" s="2"/>
      <c r="AY4345" s="2">
        <v>41</v>
      </c>
      <c r="AZ4345" s="2" t="s">
        <v>82</v>
      </c>
      <c r="BA4345" s="2">
        <v>41</v>
      </c>
      <c r="BB4345" s="2" t="s">
        <v>82</v>
      </c>
      <c r="BC4345" s="2">
        <v>41</v>
      </c>
      <c r="BD4345" s="2" t="s">
        <v>82</v>
      </c>
      <c r="BE4345" s="2">
        <v>41</v>
      </c>
      <c r="BF4345" s="2" t="s">
        <v>82</v>
      </c>
      <c r="BG4345" s="2"/>
      <c r="BH4345" s="2"/>
      <c r="BI4345" s="2"/>
      <c r="BJ4345" s="2">
        <v>241</v>
      </c>
      <c r="BK4345" s="2" t="s">
        <v>82</v>
      </c>
      <c r="BL4345" s="2"/>
      <c r="BM4345" s="2">
        <v>241</v>
      </c>
      <c r="BN4345" s="2" t="s">
        <v>82</v>
      </c>
      <c r="BO4345" s="2"/>
      <c r="BP4345" s="2">
        <v>241</v>
      </c>
      <c r="BQ4345" s="2" t="s">
        <v>82</v>
      </c>
      <c r="BR4345" s="2"/>
      <c r="BS4345" s="3">
        <v>40471</v>
      </c>
      <c r="BT4345" s="4">
        <v>6.9710648148148147E-2</v>
      </c>
    </row>
    <row r="4346" spans="1:72" x14ac:dyDescent="0.25">
      <c r="A4346" s="2">
        <v>6547</v>
      </c>
      <c r="B4346" s="2">
        <v>2010</v>
      </c>
      <c r="C4346" s="2" t="s">
        <v>385</v>
      </c>
      <c r="D4346" s="2" t="s">
        <v>122</v>
      </c>
      <c r="E4346" s="2"/>
      <c r="F4346" s="2">
        <v>651</v>
      </c>
      <c r="G4346" s="2" t="s">
        <v>2454</v>
      </c>
      <c r="H4346" s="2">
        <v>56</v>
      </c>
      <c r="I4346" s="2" t="s">
        <v>3372</v>
      </c>
      <c r="J4346" s="2">
        <v>538</v>
      </c>
      <c r="K4346" s="2" t="s">
        <v>7264</v>
      </c>
      <c r="L4346" s="2" t="s">
        <v>7265</v>
      </c>
      <c r="M4346" s="3">
        <v>40471</v>
      </c>
      <c r="N4346" s="2" t="s">
        <v>13567</v>
      </c>
      <c r="O4346" s="2" t="s">
        <v>13556</v>
      </c>
      <c r="P4346" s="2">
        <v>12627</v>
      </c>
      <c r="Q4346" s="2" t="str">
        <f>""</f>
        <v/>
      </c>
      <c r="R4346" s="2"/>
      <c r="S4346" s="2"/>
      <c r="T4346" s="2">
        <v>1</v>
      </c>
      <c r="U4346" s="2" t="s">
        <v>79</v>
      </c>
      <c r="V4346" s="2">
        <v>1</v>
      </c>
      <c r="W4346" s="2" t="s">
        <v>80</v>
      </c>
      <c r="X4346" s="2">
        <v>11</v>
      </c>
      <c r="Y4346" s="2" t="s">
        <v>1920</v>
      </c>
      <c r="Z4346" s="2">
        <v>10</v>
      </c>
      <c r="AA4346" s="2" t="s">
        <v>236</v>
      </c>
      <c r="AB4346" s="2">
        <v>9</v>
      </c>
      <c r="AC4346" s="2" t="s">
        <v>124</v>
      </c>
      <c r="AD4346" s="3">
        <v>40471</v>
      </c>
      <c r="AE4346" s="4">
        <v>6.9444444444444441E-3</v>
      </c>
      <c r="AF4346" s="2"/>
      <c r="AG4346" s="2"/>
      <c r="AH4346" s="2">
        <v>3</v>
      </c>
      <c r="AI4346" s="2" t="s">
        <v>214</v>
      </c>
      <c r="AJ4346" s="2">
        <v>24</v>
      </c>
      <c r="AK4346" s="2" t="s">
        <v>215</v>
      </c>
      <c r="AL4346" s="2">
        <v>23</v>
      </c>
      <c r="AM4346" s="2" t="s">
        <v>251</v>
      </c>
      <c r="AN4346" s="2" t="s">
        <v>13568</v>
      </c>
      <c r="AO4346" s="2" t="s">
        <v>13558</v>
      </c>
      <c r="AP4346" s="2">
        <v>11</v>
      </c>
      <c r="AQ4346" s="2" t="s">
        <v>82</v>
      </c>
      <c r="AR4346" s="2"/>
      <c r="AS4346" s="2"/>
      <c r="AT4346" s="2" t="s">
        <v>13569</v>
      </c>
      <c r="AU4346" s="2">
        <v>1</v>
      </c>
      <c r="AV4346" s="2"/>
      <c r="AW4346" s="2"/>
      <c r="AX4346" s="2"/>
      <c r="AY4346" s="2">
        <v>41</v>
      </c>
      <c r="AZ4346" s="2" t="s">
        <v>82</v>
      </c>
      <c r="BA4346" s="2">
        <v>41</v>
      </c>
      <c r="BB4346" s="2" t="s">
        <v>82</v>
      </c>
      <c r="BC4346" s="2">
        <v>41</v>
      </c>
      <c r="BD4346" s="2" t="s">
        <v>82</v>
      </c>
      <c r="BE4346" s="2">
        <v>41</v>
      </c>
      <c r="BF4346" s="2" t="s">
        <v>82</v>
      </c>
      <c r="BG4346" s="2"/>
      <c r="BH4346" s="2"/>
      <c r="BI4346" s="2"/>
      <c r="BJ4346" s="2">
        <v>241</v>
      </c>
      <c r="BK4346" s="2" t="s">
        <v>82</v>
      </c>
      <c r="BL4346" s="2"/>
      <c r="BM4346" s="2">
        <v>241</v>
      </c>
      <c r="BN4346" s="2" t="s">
        <v>82</v>
      </c>
      <c r="BO4346" s="2"/>
      <c r="BP4346" s="2">
        <v>241</v>
      </c>
      <c r="BQ4346" s="2" t="s">
        <v>82</v>
      </c>
      <c r="BR4346" s="2"/>
      <c r="BS4346" s="3">
        <v>40471</v>
      </c>
      <c r="BT4346" s="4">
        <v>0.12358796296296297</v>
      </c>
    </row>
    <row r="4347" spans="1:72" x14ac:dyDescent="0.25">
      <c r="A4347" s="2">
        <v>6548</v>
      </c>
      <c r="B4347" s="2">
        <v>2010</v>
      </c>
      <c r="C4347" s="2" t="s">
        <v>72</v>
      </c>
      <c r="D4347" s="2" t="s">
        <v>73</v>
      </c>
      <c r="E4347" s="2"/>
      <c r="F4347" s="2">
        <v>389</v>
      </c>
      <c r="G4347" s="2" t="s">
        <v>1819</v>
      </c>
      <c r="H4347" s="2">
        <v>3</v>
      </c>
      <c r="I4347" s="2" t="s">
        <v>315</v>
      </c>
      <c r="J4347" s="2">
        <v>399</v>
      </c>
      <c r="K4347" s="2" t="s">
        <v>1820</v>
      </c>
      <c r="L4347" s="2" t="s">
        <v>1821</v>
      </c>
      <c r="M4347" s="3">
        <v>40471</v>
      </c>
      <c r="N4347" s="2" t="s">
        <v>2319</v>
      </c>
      <c r="O4347" s="2"/>
      <c r="P4347" s="2"/>
      <c r="Q4347" s="2" t="str">
        <f>"545-E/10"</f>
        <v>545-E/10</v>
      </c>
      <c r="R4347" s="2" t="s">
        <v>480</v>
      </c>
      <c r="S4347" s="2" t="s">
        <v>480</v>
      </c>
      <c r="T4347" s="2">
        <v>1</v>
      </c>
      <c r="U4347" s="2" t="s">
        <v>79</v>
      </c>
      <c r="V4347" s="2">
        <v>1</v>
      </c>
      <c r="W4347" s="2" t="s">
        <v>80</v>
      </c>
      <c r="X4347" s="2">
        <v>1</v>
      </c>
      <c r="Y4347" s="2" t="s">
        <v>81</v>
      </c>
      <c r="Z4347" s="2">
        <v>1</v>
      </c>
      <c r="AA4347" s="2" t="s">
        <v>82</v>
      </c>
      <c r="AB4347" s="2">
        <v>6</v>
      </c>
      <c r="AC4347" s="2" t="s">
        <v>83</v>
      </c>
      <c r="AD4347" s="3">
        <v>40470</v>
      </c>
      <c r="AE4347" s="2"/>
      <c r="AF4347" s="3">
        <v>40470</v>
      </c>
      <c r="AG4347" s="4">
        <v>0.97916666666666663</v>
      </c>
      <c r="AH4347" s="2">
        <v>2</v>
      </c>
      <c r="AI4347" s="2" t="s">
        <v>84</v>
      </c>
      <c r="AJ4347" s="2">
        <v>9</v>
      </c>
      <c r="AK4347" s="2" t="s">
        <v>103</v>
      </c>
      <c r="AL4347" s="2">
        <v>10</v>
      </c>
      <c r="AM4347" s="2" t="s">
        <v>200</v>
      </c>
      <c r="AN4347" s="2"/>
      <c r="AO4347" s="2" t="s">
        <v>13570</v>
      </c>
      <c r="AP4347" s="2">
        <v>11</v>
      </c>
      <c r="AQ4347" s="2" t="s">
        <v>82</v>
      </c>
      <c r="AR4347" s="2"/>
      <c r="AS4347" s="2"/>
      <c r="AT4347" s="2" t="s">
        <v>13571</v>
      </c>
      <c r="AU4347" s="2"/>
      <c r="AV4347" s="2"/>
      <c r="AW4347" s="2"/>
      <c r="AX4347" s="2"/>
      <c r="AY4347" s="2">
        <v>17</v>
      </c>
      <c r="AZ4347" s="2" t="s">
        <v>508</v>
      </c>
      <c r="BA4347" s="2">
        <v>41</v>
      </c>
      <c r="BB4347" s="2" t="s">
        <v>82</v>
      </c>
      <c r="BC4347" s="2">
        <v>41</v>
      </c>
      <c r="BD4347" s="2" t="s">
        <v>82</v>
      </c>
      <c r="BE4347" s="2">
        <v>41</v>
      </c>
      <c r="BF4347" s="2" t="s">
        <v>82</v>
      </c>
      <c r="BG4347" s="2"/>
      <c r="BH4347" s="2"/>
      <c r="BI4347" s="2"/>
      <c r="BJ4347" s="2">
        <v>241</v>
      </c>
      <c r="BK4347" s="2" t="s">
        <v>82</v>
      </c>
      <c r="BL4347" s="2"/>
      <c r="BM4347" s="2">
        <v>241</v>
      </c>
      <c r="BN4347" s="2" t="s">
        <v>82</v>
      </c>
      <c r="BO4347" s="2"/>
      <c r="BP4347" s="2">
        <v>241</v>
      </c>
      <c r="BQ4347" s="2" t="s">
        <v>82</v>
      </c>
      <c r="BR4347" s="2"/>
      <c r="BS4347" s="3">
        <v>40471</v>
      </c>
      <c r="BT4347" s="4">
        <v>0.29997685185185186</v>
      </c>
    </row>
    <row r="4348" spans="1:72" x14ac:dyDescent="0.25">
      <c r="A4348" s="2">
        <v>6550</v>
      </c>
      <c r="B4348" s="2">
        <v>2010</v>
      </c>
      <c r="C4348" s="2" t="s">
        <v>128</v>
      </c>
      <c r="D4348" s="2" t="s">
        <v>122</v>
      </c>
      <c r="E4348" s="2" t="s">
        <v>13572</v>
      </c>
      <c r="F4348" s="2">
        <v>389</v>
      </c>
      <c r="G4348" s="2" t="s">
        <v>1819</v>
      </c>
      <c r="H4348" s="2">
        <v>3</v>
      </c>
      <c r="I4348" s="2" t="s">
        <v>315</v>
      </c>
      <c r="J4348" s="2">
        <v>399</v>
      </c>
      <c r="K4348" s="2" t="s">
        <v>1820</v>
      </c>
      <c r="L4348" s="2" t="s">
        <v>1821</v>
      </c>
      <c r="M4348" s="3">
        <v>40471</v>
      </c>
      <c r="N4348" s="2" t="s">
        <v>2319</v>
      </c>
      <c r="O4348" s="2"/>
      <c r="P4348" s="2"/>
      <c r="Q4348" s="2" t="str">
        <f>"545-E/10"</f>
        <v>545-E/10</v>
      </c>
      <c r="R4348" s="2" t="s">
        <v>480</v>
      </c>
      <c r="S4348" s="2" t="s">
        <v>480</v>
      </c>
      <c r="T4348" s="2">
        <v>1</v>
      </c>
      <c r="U4348" s="2" t="s">
        <v>79</v>
      </c>
      <c r="V4348" s="2">
        <v>1</v>
      </c>
      <c r="W4348" s="2" t="s">
        <v>80</v>
      </c>
      <c r="X4348" s="2">
        <v>1</v>
      </c>
      <c r="Y4348" s="2" t="s">
        <v>81</v>
      </c>
      <c r="Z4348" s="2">
        <v>1</v>
      </c>
      <c r="AA4348" s="2" t="s">
        <v>82</v>
      </c>
      <c r="AB4348" s="2">
        <v>9</v>
      </c>
      <c r="AC4348" s="2" t="s">
        <v>124</v>
      </c>
      <c r="AD4348" s="3">
        <v>40470</v>
      </c>
      <c r="AE4348" s="4">
        <v>0.94791666666666663</v>
      </c>
      <c r="AF4348" s="3">
        <v>40470</v>
      </c>
      <c r="AG4348" s="4">
        <v>0.97916666666666663</v>
      </c>
      <c r="AH4348" s="2">
        <v>2</v>
      </c>
      <c r="AI4348" s="2" t="s">
        <v>84</v>
      </c>
      <c r="AJ4348" s="2">
        <v>9</v>
      </c>
      <c r="AK4348" s="2" t="s">
        <v>103</v>
      </c>
      <c r="AL4348" s="2">
        <v>25</v>
      </c>
      <c r="AM4348" s="2" t="s">
        <v>3073</v>
      </c>
      <c r="AN4348" s="2" t="s">
        <v>13573</v>
      </c>
      <c r="AO4348" s="2"/>
      <c r="AP4348" s="2">
        <v>11</v>
      </c>
      <c r="AQ4348" s="2" t="s">
        <v>82</v>
      </c>
      <c r="AR4348" s="2"/>
      <c r="AS4348" s="2"/>
      <c r="AT4348" s="2" t="s">
        <v>13574</v>
      </c>
      <c r="AU4348" s="2"/>
      <c r="AV4348" s="2"/>
      <c r="AW4348" s="2"/>
      <c r="AX4348" s="2"/>
      <c r="AY4348" s="2">
        <v>17</v>
      </c>
      <c r="AZ4348" s="2" t="s">
        <v>508</v>
      </c>
      <c r="BA4348" s="2">
        <v>41</v>
      </c>
      <c r="BB4348" s="2" t="s">
        <v>82</v>
      </c>
      <c r="BC4348" s="2">
        <v>41</v>
      </c>
      <c r="BD4348" s="2" t="s">
        <v>82</v>
      </c>
      <c r="BE4348" s="2">
        <v>41</v>
      </c>
      <c r="BF4348" s="2" t="s">
        <v>82</v>
      </c>
      <c r="BG4348" s="2"/>
      <c r="BH4348" s="2"/>
      <c r="BI4348" s="2"/>
      <c r="BJ4348" s="2">
        <v>241</v>
      </c>
      <c r="BK4348" s="2" t="s">
        <v>82</v>
      </c>
      <c r="BL4348" s="2"/>
      <c r="BM4348" s="2">
        <v>241</v>
      </c>
      <c r="BN4348" s="2" t="s">
        <v>82</v>
      </c>
      <c r="BO4348" s="2"/>
      <c r="BP4348" s="2">
        <v>241</v>
      </c>
      <c r="BQ4348" s="2" t="s">
        <v>82</v>
      </c>
      <c r="BR4348" s="2"/>
      <c r="BS4348" s="3">
        <v>40471</v>
      </c>
      <c r="BT4348" s="4">
        <v>0.4135416666666667</v>
      </c>
    </row>
    <row r="4349" spans="1:72" x14ac:dyDescent="0.25">
      <c r="A4349" s="2">
        <v>6551</v>
      </c>
      <c r="B4349" s="2">
        <v>2010</v>
      </c>
      <c r="C4349" s="2" t="s">
        <v>457</v>
      </c>
      <c r="D4349" s="2" t="s">
        <v>73</v>
      </c>
      <c r="E4349" s="2"/>
      <c r="F4349" s="2">
        <v>467</v>
      </c>
      <c r="G4349" s="2" t="s">
        <v>1053</v>
      </c>
      <c r="H4349" s="2">
        <v>108</v>
      </c>
      <c r="I4349" s="2" t="s">
        <v>1096</v>
      </c>
      <c r="J4349" s="2">
        <v>369</v>
      </c>
      <c r="K4349" s="2" t="s">
        <v>1054</v>
      </c>
      <c r="L4349" s="2" t="s">
        <v>1055</v>
      </c>
      <c r="M4349" s="3">
        <v>40471</v>
      </c>
      <c r="N4349" s="2" t="s">
        <v>13220</v>
      </c>
      <c r="O4349" s="2" t="s">
        <v>13575</v>
      </c>
      <c r="P4349" s="2" t="s">
        <v>13576</v>
      </c>
      <c r="Q4349" s="2" t="str">
        <f>""</f>
        <v/>
      </c>
      <c r="R4349" s="2"/>
      <c r="S4349" s="2"/>
      <c r="T4349" s="2">
        <v>1</v>
      </c>
      <c r="U4349" s="2" t="s">
        <v>79</v>
      </c>
      <c r="V4349" s="2">
        <v>1</v>
      </c>
      <c r="W4349" s="2" t="s">
        <v>80</v>
      </c>
      <c r="X4349" s="2">
        <v>11</v>
      </c>
      <c r="Y4349" s="2" t="s">
        <v>1920</v>
      </c>
      <c r="Z4349" s="2">
        <v>6</v>
      </c>
      <c r="AA4349" s="2" t="s">
        <v>101</v>
      </c>
      <c r="AB4349" s="2">
        <v>9</v>
      </c>
      <c r="AC4349" s="2" t="s">
        <v>124</v>
      </c>
      <c r="AD4349" s="3">
        <v>40471</v>
      </c>
      <c r="AE4349" s="4">
        <v>0.33333333333333331</v>
      </c>
      <c r="AF4349" s="2"/>
      <c r="AG4349" s="2"/>
      <c r="AH4349" s="2">
        <v>4</v>
      </c>
      <c r="AI4349" s="2" t="s">
        <v>125</v>
      </c>
      <c r="AJ4349" s="2">
        <v>29</v>
      </c>
      <c r="AK4349" s="2" t="s">
        <v>227</v>
      </c>
      <c r="AL4349" s="2">
        <v>2</v>
      </c>
      <c r="AM4349" s="2" t="s">
        <v>163</v>
      </c>
      <c r="AN4349" s="2"/>
      <c r="AO4349" s="2"/>
      <c r="AP4349" s="2">
        <v>11</v>
      </c>
      <c r="AQ4349" s="2" t="s">
        <v>82</v>
      </c>
      <c r="AR4349" s="2"/>
      <c r="AS4349" s="2"/>
      <c r="AT4349" s="2" t="s">
        <v>13577</v>
      </c>
      <c r="AU4349" s="2"/>
      <c r="AV4349" s="2"/>
      <c r="AW4349" s="2"/>
      <c r="AX4349" s="2"/>
      <c r="AY4349" s="2">
        <v>41</v>
      </c>
      <c r="AZ4349" s="2" t="s">
        <v>82</v>
      </c>
      <c r="BA4349" s="2">
        <v>41</v>
      </c>
      <c r="BB4349" s="2" t="s">
        <v>82</v>
      </c>
      <c r="BC4349" s="2">
        <v>70</v>
      </c>
      <c r="BD4349" s="2" t="s">
        <v>236</v>
      </c>
      <c r="BE4349" s="2">
        <v>48</v>
      </c>
      <c r="BF4349" s="2" t="s">
        <v>1123</v>
      </c>
      <c r="BG4349" s="2" t="s">
        <v>13578</v>
      </c>
      <c r="BH4349" s="4">
        <v>0.31597222222222221</v>
      </c>
      <c r="BI4349" s="4">
        <v>0.33333333333333331</v>
      </c>
      <c r="BJ4349" s="2">
        <v>13</v>
      </c>
      <c r="BK4349" s="2" t="s">
        <v>91</v>
      </c>
      <c r="BL4349" s="2" t="s">
        <v>828</v>
      </c>
      <c r="BM4349" s="2">
        <v>13</v>
      </c>
      <c r="BN4349" s="2" t="s">
        <v>91</v>
      </c>
      <c r="BO4349" s="2"/>
      <c r="BP4349" s="2">
        <v>13</v>
      </c>
      <c r="BQ4349" s="2" t="s">
        <v>91</v>
      </c>
      <c r="BR4349" s="2" t="s">
        <v>6944</v>
      </c>
      <c r="BS4349" s="3">
        <v>40471</v>
      </c>
      <c r="BT4349" s="4">
        <v>0.4264236111111111</v>
      </c>
    </row>
    <row r="4350" spans="1:72" x14ac:dyDescent="0.25">
      <c r="A4350" s="2">
        <v>6553</v>
      </c>
      <c r="B4350" s="2">
        <v>2010</v>
      </c>
      <c r="C4350" s="2" t="s">
        <v>806</v>
      </c>
      <c r="D4350" s="2" t="s">
        <v>122</v>
      </c>
      <c r="E4350" s="2" t="s">
        <v>13579</v>
      </c>
      <c r="F4350" s="2">
        <v>20</v>
      </c>
      <c r="G4350" s="2" t="s">
        <v>2532</v>
      </c>
      <c r="H4350" s="2">
        <v>99</v>
      </c>
      <c r="I4350" s="2" t="s">
        <v>6285</v>
      </c>
      <c r="J4350" s="2">
        <v>29</v>
      </c>
      <c r="K4350" s="2" t="s">
        <v>2533</v>
      </c>
      <c r="L4350" s="2" t="s">
        <v>2534</v>
      </c>
      <c r="M4350" s="3">
        <v>40471</v>
      </c>
      <c r="N4350" s="2" t="s">
        <v>13504</v>
      </c>
      <c r="O4350" s="2" t="s">
        <v>13580</v>
      </c>
      <c r="P4350" s="2" t="s">
        <v>13506</v>
      </c>
      <c r="Q4350" s="2" t="str">
        <f>""</f>
        <v/>
      </c>
      <c r="R4350" s="2"/>
      <c r="S4350" s="2"/>
      <c r="T4350" s="2">
        <v>1</v>
      </c>
      <c r="U4350" s="2" t="s">
        <v>79</v>
      </c>
      <c r="V4350" s="2">
        <v>1</v>
      </c>
      <c r="W4350" s="2" t="s">
        <v>80</v>
      </c>
      <c r="X4350" s="2">
        <v>7</v>
      </c>
      <c r="Y4350" s="2" t="s">
        <v>1964</v>
      </c>
      <c r="Z4350" s="2">
        <v>10</v>
      </c>
      <c r="AA4350" s="2" t="s">
        <v>236</v>
      </c>
      <c r="AB4350" s="2">
        <v>9</v>
      </c>
      <c r="AC4350" s="2" t="s">
        <v>124</v>
      </c>
      <c r="AD4350" s="3">
        <v>40470</v>
      </c>
      <c r="AE4350" s="4">
        <v>0.79999999999999993</v>
      </c>
      <c r="AF4350" s="3">
        <v>40470</v>
      </c>
      <c r="AG4350" s="4">
        <v>0.79999999999999993</v>
      </c>
      <c r="AH4350" s="2">
        <v>4</v>
      </c>
      <c r="AI4350" s="2" t="s">
        <v>125</v>
      </c>
      <c r="AJ4350" s="2">
        <v>26</v>
      </c>
      <c r="AK4350" s="2" t="s">
        <v>293</v>
      </c>
      <c r="AL4350" s="2">
        <v>23</v>
      </c>
      <c r="AM4350" s="2" t="s">
        <v>251</v>
      </c>
      <c r="AN4350" s="2" t="s">
        <v>13561</v>
      </c>
      <c r="AO4350" s="2" t="s">
        <v>13562</v>
      </c>
      <c r="AP4350" s="2">
        <v>11</v>
      </c>
      <c r="AQ4350" s="2" t="s">
        <v>82</v>
      </c>
      <c r="AR4350" s="2"/>
      <c r="AS4350" s="2"/>
      <c r="AT4350" s="2" t="s">
        <v>13581</v>
      </c>
      <c r="AU4350" s="2">
        <v>1</v>
      </c>
      <c r="AV4350" s="2"/>
      <c r="AW4350" s="2"/>
      <c r="AX4350" s="2"/>
      <c r="AY4350" s="2">
        <v>41</v>
      </c>
      <c r="AZ4350" s="2" t="s">
        <v>82</v>
      </c>
      <c r="BA4350" s="2">
        <v>41</v>
      </c>
      <c r="BB4350" s="2" t="s">
        <v>82</v>
      </c>
      <c r="BC4350" s="2">
        <v>41</v>
      </c>
      <c r="BD4350" s="2" t="s">
        <v>82</v>
      </c>
      <c r="BE4350" s="2">
        <v>41</v>
      </c>
      <c r="BF4350" s="2" t="s">
        <v>82</v>
      </c>
      <c r="BG4350" s="2"/>
      <c r="BH4350" s="2"/>
      <c r="BI4350" s="2"/>
      <c r="BJ4350" s="2">
        <v>241</v>
      </c>
      <c r="BK4350" s="2" t="s">
        <v>82</v>
      </c>
      <c r="BL4350" s="2"/>
      <c r="BM4350" s="2">
        <v>241</v>
      </c>
      <c r="BN4350" s="2" t="s">
        <v>82</v>
      </c>
      <c r="BO4350" s="2"/>
      <c r="BP4350" s="2">
        <v>241</v>
      </c>
      <c r="BQ4350" s="2" t="s">
        <v>82</v>
      </c>
      <c r="BR4350" s="2"/>
      <c r="BS4350" s="3">
        <v>40471</v>
      </c>
      <c r="BT4350" s="4">
        <v>0.5076504629629629</v>
      </c>
    </row>
    <row r="4351" spans="1:72" x14ac:dyDescent="0.25">
      <c r="A4351" s="2">
        <v>6556</v>
      </c>
      <c r="B4351" s="2">
        <v>2010</v>
      </c>
      <c r="C4351" s="2" t="s">
        <v>806</v>
      </c>
      <c r="D4351" s="2" t="s">
        <v>73</v>
      </c>
      <c r="E4351" s="2"/>
      <c r="F4351" s="2">
        <v>651</v>
      </c>
      <c r="G4351" s="2" t="s">
        <v>2454</v>
      </c>
      <c r="H4351" s="2">
        <v>89</v>
      </c>
      <c r="I4351" s="2" t="s">
        <v>5137</v>
      </c>
      <c r="J4351" s="2">
        <v>538</v>
      </c>
      <c r="K4351" s="2" t="s">
        <v>7264</v>
      </c>
      <c r="L4351" s="2" t="s">
        <v>7265</v>
      </c>
      <c r="M4351" s="3">
        <v>40471</v>
      </c>
      <c r="N4351" s="2" t="s">
        <v>107</v>
      </c>
      <c r="O4351" s="2" t="s">
        <v>13582</v>
      </c>
      <c r="P4351" s="7">
        <v>12627</v>
      </c>
      <c r="Q4351" s="2" t="str">
        <f>"S/D"</f>
        <v>S/D</v>
      </c>
      <c r="R4351" s="2" t="s">
        <v>107</v>
      </c>
      <c r="S4351" s="2" t="s">
        <v>107</v>
      </c>
      <c r="T4351" s="2">
        <v>1</v>
      </c>
      <c r="U4351" s="2" t="s">
        <v>79</v>
      </c>
      <c r="V4351" s="2">
        <v>1</v>
      </c>
      <c r="W4351" s="2" t="s">
        <v>80</v>
      </c>
      <c r="X4351" s="2">
        <v>9</v>
      </c>
      <c r="Y4351" s="2" t="s">
        <v>3393</v>
      </c>
      <c r="Z4351" s="2">
        <v>1</v>
      </c>
      <c r="AA4351" s="2" t="s">
        <v>82</v>
      </c>
      <c r="AB4351" s="2">
        <v>9</v>
      </c>
      <c r="AC4351" s="2" t="s">
        <v>124</v>
      </c>
      <c r="AD4351" s="3">
        <v>40471</v>
      </c>
      <c r="AE4351" s="4">
        <v>0.29166666666666669</v>
      </c>
      <c r="AF4351" s="3">
        <v>40471</v>
      </c>
      <c r="AG4351" s="4">
        <v>0.41666666666666669</v>
      </c>
      <c r="AH4351" s="2">
        <v>7</v>
      </c>
      <c r="AI4351" s="2" t="s">
        <v>801</v>
      </c>
      <c r="AJ4351" s="2">
        <v>3</v>
      </c>
      <c r="AK4351" s="2" t="s">
        <v>802</v>
      </c>
      <c r="AL4351" s="2">
        <v>23</v>
      </c>
      <c r="AM4351" s="2" t="s">
        <v>251</v>
      </c>
      <c r="AN4351" s="2" t="s">
        <v>107</v>
      </c>
      <c r="AO4351" s="2" t="s">
        <v>13583</v>
      </c>
      <c r="AP4351" s="2">
        <v>11</v>
      </c>
      <c r="AQ4351" s="2" t="s">
        <v>82</v>
      </c>
      <c r="AR4351" s="2"/>
      <c r="AS4351" s="2"/>
      <c r="AT4351" s="2" t="s">
        <v>13584</v>
      </c>
      <c r="AU4351" s="2"/>
      <c r="AV4351" s="2"/>
      <c r="AW4351" s="2"/>
      <c r="AX4351" s="2"/>
      <c r="AY4351" s="2">
        <v>41</v>
      </c>
      <c r="AZ4351" s="2" t="s">
        <v>82</v>
      </c>
      <c r="BA4351" s="2">
        <v>41</v>
      </c>
      <c r="BB4351" s="2" t="s">
        <v>82</v>
      </c>
      <c r="BC4351" s="2">
        <v>41</v>
      </c>
      <c r="BD4351" s="2" t="s">
        <v>82</v>
      </c>
      <c r="BE4351" s="2">
        <v>41</v>
      </c>
      <c r="BF4351" s="2" t="s">
        <v>82</v>
      </c>
      <c r="BG4351" s="2" t="s">
        <v>107</v>
      </c>
      <c r="BH4351" s="2"/>
      <c r="BI4351" s="2"/>
      <c r="BJ4351" s="2">
        <v>241</v>
      </c>
      <c r="BK4351" s="2" t="s">
        <v>82</v>
      </c>
      <c r="BL4351" s="2" t="s">
        <v>107</v>
      </c>
      <c r="BM4351" s="2">
        <v>241</v>
      </c>
      <c r="BN4351" s="2" t="s">
        <v>82</v>
      </c>
      <c r="BO4351" s="2"/>
      <c r="BP4351" s="2">
        <v>241</v>
      </c>
      <c r="BQ4351" s="2" t="s">
        <v>82</v>
      </c>
      <c r="BR4351" s="2" t="s">
        <v>107</v>
      </c>
      <c r="BS4351" s="3">
        <v>40471</v>
      </c>
      <c r="BT4351" s="4">
        <v>0.56140046296296298</v>
      </c>
    </row>
    <row r="4352" spans="1:72" x14ac:dyDescent="0.25">
      <c r="A4352" s="2">
        <v>6570</v>
      </c>
      <c r="B4352" s="2">
        <v>2010</v>
      </c>
      <c r="C4352" s="2" t="s">
        <v>1568</v>
      </c>
      <c r="D4352" s="2" t="s">
        <v>73</v>
      </c>
      <c r="E4352" s="2"/>
      <c r="F4352" s="2">
        <v>702</v>
      </c>
      <c r="G4352" s="2" t="s">
        <v>13585</v>
      </c>
      <c r="H4352" s="2">
        <v>22</v>
      </c>
      <c r="I4352" s="2" t="s">
        <v>75</v>
      </c>
      <c r="J4352" s="2">
        <v>555</v>
      </c>
      <c r="K4352" s="2" t="s">
        <v>7538</v>
      </c>
      <c r="L4352" s="2" t="s">
        <v>4331</v>
      </c>
      <c r="M4352" s="3">
        <v>40471</v>
      </c>
      <c r="N4352" s="2" t="s">
        <v>13586</v>
      </c>
      <c r="O4352" s="2" t="s">
        <v>82</v>
      </c>
      <c r="P4352" s="2" t="s">
        <v>82</v>
      </c>
      <c r="Q4352" s="2" t="str">
        <f>"PS418-A/10"</f>
        <v>PS418-A/10</v>
      </c>
      <c r="R4352" s="2" t="s">
        <v>13587</v>
      </c>
      <c r="S4352" s="2"/>
      <c r="T4352" s="2">
        <v>1</v>
      </c>
      <c r="U4352" s="2" t="s">
        <v>79</v>
      </c>
      <c r="V4352" s="2">
        <v>1</v>
      </c>
      <c r="W4352" s="2" t="s">
        <v>80</v>
      </c>
      <c r="X4352" s="2">
        <v>1</v>
      </c>
      <c r="Y4352" s="2" t="s">
        <v>81</v>
      </c>
      <c r="Z4352" s="2">
        <v>1</v>
      </c>
      <c r="AA4352" s="2" t="s">
        <v>82</v>
      </c>
      <c r="AB4352" s="2">
        <v>4</v>
      </c>
      <c r="AC4352" s="2" t="s">
        <v>1569</v>
      </c>
      <c r="AD4352" s="3">
        <v>40471</v>
      </c>
      <c r="AE4352" s="4">
        <v>0.45833333333333331</v>
      </c>
      <c r="AF4352" s="3">
        <v>40471</v>
      </c>
      <c r="AG4352" s="4">
        <v>0.51388888888888895</v>
      </c>
      <c r="AH4352" s="2">
        <v>2</v>
      </c>
      <c r="AI4352" s="2" t="s">
        <v>84</v>
      </c>
      <c r="AJ4352" s="2">
        <v>12</v>
      </c>
      <c r="AK4352" s="2" t="s">
        <v>85</v>
      </c>
      <c r="AL4352" s="2">
        <v>11</v>
      </c>
      <c r="AM4352" s="2" t="s">
        <v>137</v>
      </c>
      <c r="AN4352" s="2"/>
      <c r="AO4352" s="2" t="s">
        <v>1869</v>
      </c>
      <c r="AP4352" s="2">
        <v>11</v>
      </c>
      <c r="AQ4352" s="2" t="s">
        <v>82</v>
      </c>
      <c r="AR4352" s="2"/>
      <c r="AS4352" s="2"/>
      <c r="AT4352" s="2" t="s">
        <v>13588</v>
      </c>
      <c r="AU4352" s="2">
        <v>1</v>
      </c>
      <c r="AV4352" s="2"/>
      <c r="AW4352" s="2"/>
      <c r="AX4352" s="2"/>
      <c r="AY4352" s="2">
        <v>41</v>
      </c>
      <c r="AZ4352" s="2" t="s">
        <v>82</v>
      </c>
      <c r="BA4352" s="2">
        <v>41</v>
      </c>
      <c r="BB4352" s="2" t="s">
        <v>82</v>
      </c>
      <c r="BC4352" s="2">
        <v>41</v>
      </c>
      <c r="BD4352" s="2" t="s">
        <v>82</v>
      </c>
      <c r="BE4352" s="2">
        <v>48</v>
      </c>
      <c r="BF4352" s="2" t="s">
        <v>1123</v>
      </c>
      <c r="BG4352" s="2">
        <v>864</v>
      </c>
      <c r="BH4352" s="2"/>
      <c r="BI4352" s="2"/>
      <c r="BJ4352" s="2">
        <v>13</v>
      </c>
      <c r="BK4352" s="2" t="s">
        <v>91</v>
      </c>
      <c r="BL4352" s="2" t="s">
        <v>185</v>
      </c>
      <c r="BM4352" s="2">
        <v>13</v>
      </c>
      <c r="BN4352" s="2" t="s">
        <v>91</v>
      </c>
      <c r="BO4352" s="2"/>
      <c r="BP4352" s="2">
        <v>13</v>
      </c>
      <c r="BQ4352" s="2" t="s">
        <v>91</v>
      </c>
      <c r="BR4352" s="2" t="s">
        <v>8585</v>
      </c>
      <c r="BS4352" s="3">
        <v>40471</v>
      </c>
      <c r="BT4352" s="4">
        <v>0.74430555555555555</v>
      </c>
    </row>
    <row r="4353" spans="1:72" x14ac:dyDescent="0.25">
      <c r="A4353" s="2">
        <v>6573</v>
      </c>
      <c r="B4353" s="2">
        <v>2010</v>
      </c>
      <c r="C4353" s="2" t="s">
        <v>806</v>
      </c>
      <c r="D4353" s="2" t="s">
        <v>122</v>
      </c>
      <c r="E4353" s="2" t="s">
        <v>13589</v>
      </c>
      <c r="F4353" s="2">
        <v>651</v>
      </c>
      <c r="G4353" s="2" t="s">
        <v>2454</v>
      </c>
      <c r="H4353" s="2">
        <v>89</v>
      </c>
      <c r="I4353" s="2" t="s">
        <v>5137</v>
      </c>
      <c r="J4353" s="2">
        <v>538</v>
      </c>
      <c r="K4353" s="2" t="s">
        <v>7264</v>
      </c>
      <c r="L4353" s="2" t="s">
        <v>7265</v>
      </c>
      <c r="M4353" s="3">
        <v>40471</v>
      </c>
      <c r="N4353" s="2" t="s">
        <v>107</v>
      </c>
      <c r="O4353" s="2" t="s">
        <v>13582</v>
      </c>
      <c r="P4353" s="7">
        <v>12627</v>
      </c>
      <c r="Q4353" s="2" t="str">
        <f>"S/D"</f>
        <v>S/D</v>
      </c>
      <c r="R4353" s="2" t="s">
        <v>107</v>
      </c>
      <c r="S4353" s="2" t="s">
        <v>107</v>
      </c>
      <c r="T4353" s="2">
        <v>1</v>
      </c>
      <c r="U4353" s="2" t="s">
        <v>79</v>
      </c>
      <c r="V4353" s="2">
        <v>1</v>
      </c>
      <c r="W4353" s="2" t="s">
        <v>80</v>
      </c>
      <c r="X4353" s="2">
        <v>5</v>
      </c>
      <c r="Y4353" s="2" t="s">
        <v>82</v>
      </c>
      <c r="Z4353" s="2">
        <v>1</v>
      </c>
      <c r="AA4353" s="2" t="s">
        <v>82</v>
      </c>
      <c r="AB4353" s="2">
        <v>9</v>
      </c>
      <c r="AC4353" s="2" t="s">
        <v>124</v>
      </c>
      <c r="AD4353" s="3">
        <v>40471</v>
      </c>
      <c r="AE4353" s="4">
        <v>0.29166666666666669</v>
      </c>
      <c r="AF4353" s="3">
        <v>40470</v>
      </c>
      <c r="AG4353" s="4">
        <v>0.41666666666666669</v>
      </c>
      <c r="AH4353" s="2">
        <v>7</v>
      </c>
      <c r="AI4353" s="2" t="s">
        <v>801</v>
      </c>
      <c r="AJ4353" s="2">
        <v>3</v>
      </c>
      <c r="AK4353" s="2" t="s">
        <v>802</v>
      </c>
      <c r="AL4353" s="2">
        <v>19</v>
      </c>
      <c r="AM4353" s="2" t="s">
        <v>107</v>
      </c>
      <c r="AN4353" s="2" t="s">
        <v>107</v>
      </c>
      <c r="AO4353" s="2" t="s">
        <v>13583</v>
      </c>
      <c r="AP4353" s="2">
        <v>11</v>
      </c>
      <c r="AQ4353" s="2" t="s">
        <v>82</v>
      </c>
      <c r="AR4353" s="2" t="s">
        <v>107</v>
      </c>
      <c r="AS4353" s="2" t="s">
        <v>107</v>
      </c>
      <c r="AT4353" s="2" t="s">
        <v>13590</v>
      </c>
      <c r="AU4353" s="2"/>
      <c r="AV4353" s="2"/>
      <c r="AW4353" s="2"/>
      <c r="AX4353" s="2"/>
      <c r="AY4353" s="2">
        <v>41</v>
      </c>
      <c r="AZ4353" s="2" t="s">
        <v>82</v>
      </c>
      <c r="BA4353" s="2">
        <v>41</v>
      </c>
      <c r="BB4353" s="2" t="s">
        <v>82</v>
      </c>
      <c r="BC4353" s="2">
        <v>41</v>
      </c>
      <c r="BD4353" s="2" t="s">
        <v>82</v>
      </c>
      <c r="BE4353" s="2">
        <v>41</v>
      </c>
      <c r="BF4353" s="2" t="s">
        <v>82</v>
      </c>
      <c r="BG4353" s="2" t="s">
        <v>107</v>
      </c>
      <c r="BH4353" s="2"/>
      <c r="BI4353" s="2"/>
      <c r="BJ4353" s="2">
        <v>241</v>
      </c>
      <c r="BK4353" s="2" t="s">
        <v>82</v>
      </c>
      <c r="BL4353" s="2" t="s">
        <v>107</v>
      </c>
      <c r="BM4353" s="2">
        <v>241</v>
      </c>
      <c r="BN4353" s="2" t="s">
        <v>82</v>
      </c>
      <c r="BO4353" s="2"/>
      <c r="BP4353" s="2">
        <v>241</v>
      </c>
      <c r="BQ4353" s="2" t="s">
        <v>82</v>
      </c>
      <c r="BR4353" s="2" t="s">
        <v>107</v>
      </c>
      <c r="BS4353" s="3">
        <v>40471</v>
      </c>
      <c r="BT4353" s="4">
        <v>0.7554050925925927</v>
      </c>
    </row>
    <row r="4354" spans="1:72" x14ac:dyDescent="0.25">
      <c r="A4354" s="2">
        <v>6574</v>
      </c>
      <c r="B4354" s="2">
        <v>2010</v>
      </c>
      <c r="C4354" s="2" t="s">
        <v>4543</v>
      </c>
      <c r="D4354" s="2" t="s">
        <v>122</v>
      </c>
      <c r="E4354" s="2"/>
      <c r="F4354" s="2">
        <v>120</v>
      </c>
      <c r="G4354" s="2" t="s">
        <v>13591</v>
      </c>
      <c r="H4354" s="2">
        <v>44</v>
      </c>
      <c r="I4354" s="2" t="s">
        <v>1272</v>
      </c>
      <c r="J4354" s="2">
        <v>1</v>
      </c>
      <c r="K4354" s="2" t="s">
        <v>107</v>
      </c>
      <c r="L4354" s="2" t="s">
        <v>107</v>
      </c>
      <c r="M4354" s="3">
        <v>40471</v>
      </c>
      <c r="N4354" s="2" t="s">
        <v>107</v>
      </c>
      <c r="O4354" s="2" t="s">
        <v>13592</v>
      </c>
      <c r="P4354" s="2" t="s">
        <v>13593</v>
      </c>
      <c r="Q4354" s="2" t="str">
        <f>"S/D"</f>
        <v>S/D</v>
      </c>
      <c r="R4354" s="2" t="s">
        <v>107</v>
      </c>
      <c r="S4354" s="2" t="s">
        <v>107</v>
      </c>
      <c r="T4354" s="2">
        <v>2</v>
      </c>
      <c r="U4354" s="2" t="s">
        <v>123</v>
      </c>
      <c r="V4354" s="2">
        <v>1</v>
      </c>
      <c r="W4354" s="2" t="s">
        <v>80</v>
      </c>
      <c r="X4354" s="2">
        <v>5</v>
      </c>
      <c r="Y4354" s="2" t="s">
        <v>82</v>
      </c>
      <c r="Z4354" s="2">
        <v>1</v>
      </c>
      <c r="AA4354" s="2" t="s">
        <v>82</v>
      </c>
      <c r="AB4354" s="2">
        <v>9</v>
      </c>
      <c r="AC4354" s="2" t="s">
        <v>124</v>
      </c>
      <c r="AD4354" s="3">
        <v>40471</v>
      </c>
      <c r="AE4354" s="4">
        <v>0.67013888888888884</v>
      </c>
      <c r="AF4354" s="2"/>
      <c r="AG4354" s="2"/>
      <c r="AH4354" s="2">
        <v>6</v>
      </c>
      <c r="AI4354" s="2" t="s">
        <v>197</v>
      </c>
      <c r="AJ4354" s="2">
        <v>57</v>
      </c>
      <c r="AK4354" s="2" t="s">
        <v>2344</v>
      </c>
      <c r="AL4354" s="2">
        <v>19</v>
      </c>
      <c r="AM4354" s="2" t="s">
        <v>107</v>
      </c>
      <c r="AN4354" s="2" t="s">
        <v>13594</v>
      </c>
      <c r="AO4354" s="2" t="s">
        <v>13595</v>
      </c>
      <c r="AP4354" s="2">
        <v>11</v>
      </c>
      <c r="AQ4354" s="2" t="s">
        <v>82</v>
      </c>
      <c r="AR4354" s="2"/>
      <c r="AS4354" s="2"/>
      <c r="AT4354" s="2" t="s">
        <v>13596</v>
      </c>
      <c r="AU4354" s="2"/>
      <c r="AV4354" s="2"/>
      <c r="AW4354" s="2"/>
      <c r="AX4354" s="2"/>
      <c r="AY4354" s="2">
        <v>41</v>
      </c>
      <c r="AZ4354" s="2" t="s">
        <v>82</v>
      </c>
      <c r="BA4354" s="2">
        <v>41</v>
      </c>
      <c r="BB4354" s="2" t="s">
        <v>82</v>
      </c>
      <c r="BC4354" s="2">
        <v>41</v>
      </c>
      <c r="BD4354" s="2" t="s">
        <v>82</v>
      </c>
      <c r="BE4354" s="2">
        <v>41</v>
      </c>
      <c r="BF4354" s="2" t="s">
        <v>82</v>
      </c>
      <c r="BG4354" s="2"/>
      <c r="BH4354" s="2"/>
      <c r="BI4354" s="2"/>
      <c r="BJ4354" s="2">
        <v>241</v>
      </c>
      <c r="BK4354" s="2" t="s">
        <v>82</v>
      </c>
      <c r="BL4354" s="2"/>
      <c r="BM4354" s="2">
        <v>241</v>
      </c>
      <c r="BN4354" s="2" t="s">
        <v>82</v>
      </c>
      <c r="BO4354" s="2"/>
      <c r="BP4354" s="2">
        <v>241</v>
      </c>
      <c r="BQ4354" s="2" t="s">
        <v>82</v>
      </c>
      <c r="BR4354" s="2"/>
      <c r="BS4354" s="3">
        <v>40471</v>
      </c>
      <c r="BT4354" s="4">
        <v>0.77871527777777771</v>
      </c>
    </row>
    <row r="4355" spans="1:72" x14ac:dyDescent="0.25">
      <c r="A4355" s="2">
        <v>6575</v>
      </c>
      <c r="B4355" s="2">
        <v>2010</v>
      </c>
      <c r="C4355" s="2" t="s">
        <v>377</v>
      </c>
      <c r="D4355" s="2" t="s">
        <v>73</v>
      </c>
      <c r="E4355" s="2"/>
      <c r="F4355" s="2">
        <v>426</v>
      </c>
      <c r="G4355" s="2" t="s">
        <v>378</v>
      </c>
      <c r="H4355" s="2">
        <v>22</v>
      </c>
      <c r="I4355" s="2" t="s">
        <v>75</v>
      </c>
      <c r="J4355" s="2">
        <v>311</v>
      </c>
      <c r="K4355" s="2" t="s">
        <v>379</v>
      </c>
      <c r="L4355" s="2" t="s">
        <v>380</v>
      </c>
      <c r="M4355" s="3">
        <v>40471</v>
      </c>
      <c r="N4355" s="2" t="s">
        <v>4427</v>
      </c>
      <c r="O4355" s="2"/>
      <c r="P4355" s="2" t="s">
        <v>82</v>
      </c>
      <c r="Q4355" s="2" t="str">
        <f>"268-C/10"</f>
        <v>268-C/10</v>
      </c>
      <c r="R4355" s="2" t="s">
        <v>13597</v>
      </c>
      <c r="S4355" s="2"/>
      <c r="T4355" s="2">
        <v>1</v>
      </c>
      <c r="U4355" s="2" t="s">
        <v>79</v>
      </c>
      <c r="V4355" s="2">
        <v>1</v>
      </c>
      <c r="W4355" s="2" t="s">
        <v>80</v>
      </c>
      <c r="X4355" s="2">
        <v>1</v>
      </c>
      <c r="Y4355" s="2" t="s">
        <v>81</v>
      </c>
      <c r="Z4355" s="2">
        <v>1</v>
      </c>
      <c r="AA4355" s="2" t="s">
        <v>82</v>
      </c>
      <c r="AB4355" s="2">
        <v>9</v>
      </c>
      <c r="AC4355" s="2" t="s">
        <v>124</v>
      </c>
      <c r="AD4355" s="3">
        <v>40471</v>
      </c>
      <c r="AE4355" s="4">
        <v>0.64583333333333337</v>
      </c>
      <c r="AF4355" s="2"/>
      <c r="AG4355" s="2"/>
      <c r="AH4355" s="2">
        <v>2</v>
      </c>
      <c r="AI4355" s="2" t="s">
        <v>84</v>
      </c>
      <c r="AJ4355" s="2">
        <v>9</v>
      </c>
      <c r="AK4355" s="2" t="s">
        <v>103</v>
      </c>
      <c r="AL4355" s="2">
        <v>29</v>
      </c>
      <c r="AM4355" s="2" t="s">
        <v>5416</v>
      </c>
      <c r="AN4355" s="2"/>
      <c r="AO4355" s="2" t="s">
        <v>13598</v>
      </c>
      <c r="AP4355" s="2">
        <v>11</v>
      </c>
      <c r="AQ4355" s="2" t="s">
        <v>82</v>
      </c>
      <c r="AR4355" s="2"/>
      <c r="AS4355" s="2"/>
      <c r="AT4355" s="2" t="s">
        <v>13599</v>
      </c>
      <c r="AU4355" s="2"/>
      <c r="AV4355" s="2"/>
      <c r="AW4355" s="2"/>
      <c r="AX4355" s="2"/>
      <c r="AY4355" s="2">
        <v>41</v>
      </c>
      <c r="AZ4355" s="2" t="s">
        <v>82</v>
      </c>
      <c r="BA4355" s="2">
        <v>41</v>
      </c>
      <c r="BB4355" s="2" t="s">
        <v>82</v>
      </c>
      <c r="BC4355" s="2">
        <v>41</v>
      </c>
      <c r="BD4355" s="2" t="s">
        <v>82</v>
      </c>
      <c r="BE4355" s="2">
        <v>41</v>
      </c>
      <c r="BF4355" s="2" t="s">
        <v>82</v>
      </c>
      <c r="BG4355" s="2"/>
      <c r="BH4355" s="2"/>
      <c r="BI4355" s="2"/>
      <c r="BJ4355" s="2">
        <v>241</v>
      </c>
      <c r="BK4355" s="2" t="s">
        <v>82</v>
      </c>
      <c r="BL4355" s="2"/>
      <c r="BM4355" s="2">
        <v>241</v>
      </c>
      <c r="BN4355" s="2" t="s">
        <v>82</v>
      </c>
      <c r="BO4355" s="2"/>
      <c r="BP4355" s="2">
        <v>241</v>
      </c>
      <c r="BQ4355" s="2" t="s">
        <v>82</v>
      </c>
      <c r="BR4355" s="2"/>
      <c r="BS4355" s="3">
        <v>40471</v>
      </c>
      <c r="BT4355" s="4">
        <v>0.83121527777777782</v>
      </c>
    </row>
    <row r="4356" spans="1:72" x14ac:dyDescent="0.25">
      <c r="A4356" s="2">
        <v>6576</v>
      </c>
      <c r="B4356" s="2">
        <v>2010</v>
      </c>
      <c r="C4356" s="2" t="s">
        <v>764</v>
      </c>
      <c r="D4356" s="2" t="s">
        <v>122</v>
      </c>
      <c r="E4356" s="2" t="s">
        <v>13600</v>
      </c>
      <c r="F4356" s="2">
        <v>70</v>
      </c>
      <c r="G4356" s="2" t="s">
        <v>3539</v>
      </c>
      <c r="H4356" s="2">
        <v>108</v>
      </c>
      <c r="I4356" s="2" t="s">
        <v>1096</v>
      </c>
      <c r="J4356" s="2">
        <v>102</v>
      </c>
      <c r="K4356" s="2" t="s">
        <v>3540</v>
      </c>
      <c r="L4356" s="2" t="s">
        <v>3541</v>
      </c>
      <c r="M4356" s="3">
        <v>40471</v>
      </c>
      <c r="N4356" s="2" t="s">
        <v>13547</v>
      </c>
      <c r="O4356" s="2"/>
      <c r="P4356" s="2"/>
      <c r="Q4356" s="2" t="str">
        <f>"02/2010"</f>
        <v>02/2010</v>
      </c>
      <c r="R4356" s="2" t="s">
        <v>13549</v>
      </c>
      <c r="S4356" s="2" t="s">
        <v>13549</v>
      </c>
      <c r="T4356" s="2">
        <v>1</v>
      </c>
      <c r="U4356" s="2" t="s">
        <v>79</v>
      </c>
      <c r="V4356" s="2">
        <v>1</v>
      </c>
      <c r="W4356" s="2" t="s">
        <v>80</v>
      </c>
      <c r="X4356" s="2">
        <v>10</v>
      </c>
      <c r="Y4356" s="2" t="s">
        <v>226</v>
      </c>
      <c r="Z4356" s="2">
        <v>11</v>
      </c>
      <c r="AA4356" s="2" t="s">
        <v>859</v>
      </c>
      <c r="AB4356" s="2">
        <v>9</v>
      </c>
      <c r="AC4356" s="2" t="s">
        <v>124</v>
      </c>
      <c r="AD4356" s="3">
        <v>40470</v>
      </c>
      <c r="AE4356" s="2"/>
      <c r="AF4356" s="3">
        <v>40470</v>
      </c>
      <c r="AG4356" s="4">
        <v>0.57986111111111105</v>
      </c>
      <c r="AH4356" s="2">
        <v>3</v>
      </c>
      <c r="AI4356" s="2" t="s">
        <v>214</v>
      </c>
      <c r="AJ4356" s="2">
        <v>22</v>
      </c>
      <c r="AK4356" s="2" t="s">
        <v>4818</v>
      </c>
      <c r="AL4356" s="2">
        <v>10</v>
      </c>
      <c r="AM4356" s="2" t="s">
        <v>200</v>
      </c>
      <c r="AN4356" s="2"/>
      <c r="AO4356" s="2" t="s">
        <v>13551</v>
      </c>
      <c r="AP4356" s="2">
        <v>11</v>
      </c>
      <c r="AQ4356" s="2" t="s">
        <v>82</v>
      </c>
      <c r="AR4356" s="2"/>
      <c r="AS4356" s="2"/>
      <c r="AT4356" s="2" t="s">
        <v>13601</v>
      </c>
      <c r="AU4356" s="2"/>
      <c r="AV4356" s="2"/>
      <c r="AW4356" s="2"/>
      <c r="AX4356" s="2"/>
      <c r="AY4356" s="2">
        <v>41</v>
      </c>
      <c r="AZ4356" s="2" t="s">
        <v>82</v>
      </c>
      <c r="BA4356" s="2">
        <v>41</v>
      </c>
      <c r="BB4356" s="2" t="s">
        <v>82</v>
      </c>
      <c r="BC4356" s="2">
        <v>41</v>
      </c>
      <c r="BD4356" s="2" t="s">
        <v>82</v>
      </c>
      <c r="BE4356" s="2">
        <v>41</v>
      </c>
      <c r="BF4356" s="2" t="s">
        <v>82</v>
      </c>
      <c r="BG4356" s="2"/>
      <c r="BH4356" s="2"/>
      <c r="BI4356" s="2"/>
      <c r="BJ4356" s="2">
        <v>241</v>
      </c>
      <c r="BK4356" s="2" t="s">
        <v>82</v>
      </c>
      <c r="BL4356" s="2"/>
      <c r="BM4356" s="2">
        <v>241</v>
      </c>
      <c r="BN4356" s="2" t="s">
        <v>82</v>
      </c>
      <c r="BO4356" s="2"/>
      <c r="BP4356" s="2">
        <v>241</v>
      </c>
      <c r="BQ4356" s="2" t="s">
        <v>82</v>
      </c>
      <c r="BR4356" s="2"/>
      <c r="BS4356" s="3">
        <v>40471</v>
      </c>
      <c r="BT4356" s="4">
        <v>0.833125</v>
      </c>
    </row>
    <row r="4357" spans="1:72" x14ac:dyDescent="0.25">
      <c r="A4357" s="2">
        <v>6578</v>
      </c>
      <c r="B4357" s="2">
        <v>2010</v>
      </c>
      <c r="C4357" s="2" t="s">
        <v>377</v>
      </c>
      <c r="D4357" s="2" t="s">
        <v>73</v>
      </c>
      <c r="E4357" s="2"/>
      <c r="F4357" s="2">
        <v>426</v>
      </c>
      <c r="G4357" s="2" t="s">
        <v>378</v>
      </c>
      <c r="H4357" s="2">
        <v>108</v>
      </c>
      <c r="I4357" s="2" t="s">
        <v>1096</v>
      </c>
      <c r="J4357" s="2">
        <v>311</v>
      </c>
      <c r="K4357" s="2" t="s">
        <v>379</v>
      </c>
      <c r="L4357" s="2" t="s">
        <v>380</v>
      </c>
      <c r="M4357" s="3">
        <v>40471</v>
      </c>
      <c r="N4357" s="2" t="s">
        <v>5164</v>
      </c>
      <c r="O4357" s="2"/>
      <c r="P4357" s="2" t="s">
        <v>82</v>
      </c>
      <c r="Q4357" s="2" t="str">
        <f>"270-C/10"</f>
        <v>270-C/10</v>
      </c>
      <c r="R4357" s="2" t="s">
        <v>13602</v>
      </c>
      <c r="S4357" s="2"/>
      <c r="T4357" s="2">
        <v>1</v>
      </c>
      <c r="U4357" s="2" t="s">
        <v>79</v>
      </c>
      <c r="V4357" s="2">
        <v>1</v>
      </c>
      <c r="W4357" s="2" t="s">
        <v>80</v>
      </c>
      <c r="X4357" s="2">
        <v>1</v>
      </c>
      <c r="Y4357" s="2" t="s">
        <v>81</v>
      </c>
      <c r="Z4357" s="2">
        <v>1</v>
      </c>
      <c r="AA4357" s="2" t="s">
        <v>82</v>
      </c>
      <c r="AB4357" s="2">
        <v>9</v>
      </c>
      <c r="AC4357" s="2" t="s">
        <v>124</v>
      </c>
      <c r="AD4357" s="3">
        <v>40471</v>
      </c>
      <c r="AE4357" s="4">
        <v>0.66666666666666663</v>
      </c>
      <c r="AF4357" s="2"/>
      <c r="AG4357" s="2"/>
      <c r="AH4357" s="2">
        <v>2</v>
      </c>
      <c r="AI4357" s="2" t="s">
        <v>84</v>
      </c>
      <c r="AJ4357" s="2">
        <v>9</v>
      </c>
      <c r="AK4357" s="2" t="s">
        <v>103</v>
      </c>
      <c r="AL4357" s="2">
        <v>29</v>
      </c>
      <c r="AM4357" s="2" t="s">
        <v>5416</v>
      </c>
      <c r="AN4357" s="2"/>
      <c r="AO4357" s="2" t="s">
        <v>8942</v>
      </c>
      <c r="AP4357" s="2">
        <v>11</v>
      </c>
      <c r="AQ4357" s="2" t="s">
        <v>82</v>
      </c>
      <c r="AR4357" s="2"/>
      <c r="AS4357" s="2"/>
      <c r="AT4357" s="2" t="s">
        <v>13603</v>
      </c>
      <c r="AU4357" s="2"/>
      <c r="AV4357" s="2"/>
      <c r="AW4357" s="2"/>
      <c r="AX4357" s="2"/>
      <c r="AY4357" s="2">
        <v>41</v>
      </c>
      <c r="AZ4357" s="2" t="s">
        <v>82</v>
      </c>
      <c r="BA4357" s="2">
        <v>41</v>
      </c>
      <c r="BB4357" s="2" t="s">
        <v>82</v>
      </c>
      <c r="BC4357" s="2">
        <v>41</v>
      </c>
      <c r="BD4357" s="2" t="s">
        <v>82</v>
      </c>
      <c r="BE4357" s="2">
        <v>41</v>
      </c>
      <c r="BF4357" s="2" t="s">
        <v>82</v>
      </c>
      <c r="BG4357" s="2"/>
      <c r="BH4357" s="2"/>
      <c r="BI4357" s="2"/>
      <c r="BJ4357" s="2">
        <v>241</v>
      </c>
      <c r="BK4357" s="2" t="s">
        <v>82</v>
      </c>
      <c r="BL4357" s="2"/>
      <c r="BM4357" s="2">
        <v>241</v>
      </c>
      <c r="BN4357" s="2" t="s">
        <v>82</v>
      </c>
      <c r="BO4357" s="2"/>
      <c r="BP4357" s="2">
        <v>241</v>
      </c>
      <c r="BQ4357" s="2" t="s">
        <v>82</v>
      </c>
      <c r="BR4357" s="2"/>
      <c r="BS4357" s="3">
        <v>40471</v>
      </c>
      <c r="BT4357" s="4">
        <v>0.86030092592592589</v>
      </c>
    </row>
    <row r="4358" spans="1:72" x14ac:dyDescent="0.25">
      <c r="A4358" s="2">
        <v>6579</v>
      </c>
      <c r="B4358" s="2">
        <v>2010</v>
      </c>
      <c r="C4358" s="2" t="s">
        <v>377</v>
      </c>
      <c r="D4358" s="2" t="s">
        <v>73</v>
      </c>
      <c r="E4358" s="2"/>
      <c r="F4358" s="2">
        <v>426</v>
      </c>
      <c r="G4358" s="2" t="s">
        <v>378</v>
      </c>
      <c r="H4358" s="2">
        <v>22</v>
      </c>
      <c r="I4358" s="2" t="s">
        <v>75</v>
      </c>
      <c r="J4358" s="2">
        <v>311</v>
      </c>
      <c r="K4358" s="2" t="s">
        <v>379</v>
      </c>
      <c r="L4358" s="2" t="s">
        <v>380</v>
      </c>
      <c r="M4358" s="3">
        <v>40471</v>
      </c>
      <c r="N4358" s="2" t="s">
        <v>5164</v>
      </c>
      <c r="O4358" s="2"/>
      <c r="P4358" s="2"/>
      <c r="Q4358" s="2" t="str">
        <f>"269-C/10"</f>
        <v>269-C/10</v>
      </c>
      <c r="R4358" s="2" t="s">
        <v>13604</v>
      </c>
      <c r="S4358" s="2"/>
      <c r="T4358" s="2">
        <v>1</v>
      </c>
      <c r="U4358" s="2" t="s">
        <v>79</v>
      </c>
      <c r="V4358" s="2">
        <v>1</v>
      </c>
      <c r="W4358" s="2" t="s">
        <v>80</v>
      </c>
      <c r="X4358" s="2">
        <v>1</v>
      </c>
      <c r="Y4358" s="2" t="s">
        <v>81</v>
      </c>
      <c r="Z4358" s="2">
        <v>1</v>
      </c>
      <c r="AA4358" s="2" t="s">
        <v>82</v>
      </c>
      <c r="AB4358" s="2">
        <v>9</v>
      </c>
      <c r="AC4358" s="2" t="s">
        <v>124</v>
      </c>
      <c r="AD4358" s="3">
        <v>40471</v>
      </c>
      <c r="AE4358" s="4">
        <v>0.64583333333333337</v>
      </c>
      <c r="AF4358" s="2"/>
      <c r="AG4358" s="2"/>
      <c r="AH4358" s="2">
        <v>2</v>
      </c>
      <c r="AI4358" s="2" t="s">
        <v>84</v>
      </c>
      <c r="AJ4358" s="2">
        <v>9</v>
      </c>
      <c r="AK4358" s="2" t="s">
        <v>103</v>
      </c>
      <c r="AL4358" s="2">
        <v>29</v>
      </c>
      <c r="AM4358" s="2" t="s">
        <v>5416</v>
      </c>
      <c r="AN4358" s="2"/>
      <c r="AO4358" s="2" t="s">
        <v>8942</v>
      </c>
      <c r="AP4358" s="2">
        <v>11</v>
      </c>
      <c r="AQ4358" s="2" t="s">
        <v>82</v>
      </c>
      <c r="AR4358" s="2"/>
      <c r="AS4358" s="2"/>
      <c r="AT4358" s="2" t="s">
        <v>13605</v>
      </c>
      <c r="AU4358" s="2"/>
      <c r="AV4358" s="2"/>
      <c r="AW4358" s="2"/>
      <c r="AX4358" s="2"/>
      <c r="AY4358" s="2">
        <v>41</v>
      </c>
      <c r="AZ4358" s="2" t="s">
        <v>82</v>
      </c>
      <c r="BA4358" s="2">
        <v>41</v>
      </c>
      <c r="BB4358" s="2" t="s">
        <v>82</v>
      </c>
      <c r="BC4358" s="2">
        <v>41</v>
      </c>
      <c r="BD4358" s="2" t="s">
        <v>82</v>
      </c>
      <c r="BE4358" s="2">
        <v>41</v>
      </c>
      <c r="BF4358" s="2" t="s">
        <v>82</v>
      </c>
      <c r="BG4358" s="2"/>
      <c r="BH4358" s="2"/>
      <c r="BI4358" s="2"/>
      <c r="BJ4358" s="2">
        <v>241</v>
      </c>
      <c r="BK4358" s="2" t="s">
        <v>82</v>
      </c>
      <c r="BL4358" s="2"/>
      <c r="BM4358" s="2">
        <v>241</v>
      </c>
      <c r="BN4358" s="2" t="s">
        <v>82</v>
      </c>
      <c r="BO4358" s="2"/>
      <c r="BP4358" s="2">
        <v>241</v>
      </c>
      <c r="BQ4358" s="2" t="s">
        <v>82</v>
      </c>
      <c r="BR4358" s="2"/>
      <c r="BS4358" s="3">
        <v>40471</v>
      </c>
      <c r="BT4358" s="4">
        <v>0.88684027777777785</v>
      </c>
    </row>
    <row r="4359" spans="1:72" x14ac:dyDescent="0.25">
      <c r="A4359" s="2">
        <v>6580</v>
      </c>
      <c r="B4359" s="2">
        <v>2010</v>
      </c>
      <c r="C4359" s="2" t="s">
        <v>121</v>
      </c>
      <c r="D4359" s="2" t="s">
        <v>122</v>
      </c>
      <c r="E4359" s="2"/>
      <c r="F4359" s="2">
        <v>1</v>
      </c>
      <c r="G4359" s="2" t="s">
        <v>82</v>
      </c>
      <c r="H4359" s="2">
        <v>1</v>
      </c>
      <c r="I4359" s="2" t="s">
        <v>82</v>
      </c>
      <c r="J4359" s="2">
        <v>1</v>
      </c>
      <c r="K4359" s="2" t="s">
        <v>107</v>
      </c>
      <c r="L4359" s="2" t="s">
        <v>107</v>
      </c>
      <c r="M4359" s="3">
        <v>40471</v>
      </c>
      <c r="N4359" s="2"/>
      <c r="O4359" s="2"/>
      <c r="P4359" s="2"/>
      <c r="Q4359" s="2" t="str">
        <f>""</f>
        <v/>
      </c>
      <c r="R4359" s="2"/>
      <c r="S4359" s="2"/>
      <c r="T4359" s="2">
        <v>2</v>
      </c>
      <c r="U4359" s="2" t="s">
        <v>123</v>
      </c>
      <c r="V4359" s="2">
        <v>1</v>
      </c>
      <c r="W4359" s="2" t="s">
        <v>80</v>
      </c>
      <c r="X4359" s="2">
        <v>11</v>
      </c>
      <c r="Y4359" s="2" t="s">
        <v>1920</v>
      </c>
      <c r="Z4359" s="2">
        <v>10</v>
      </c>
      <c r="AA4359" s="2" t="s">
        <v>236</v>
      </c>
      <c r="AB4359" s="2">
        <v>9</v>
      </c>
      <c r="AC4359" s="2" t="s">
        <v>124</v>
      </c>
      <c r="AD4359" s="3">
        <v>40471</v>
      </c>
      <c r="AE4359" s="4">
        <v>0.79513888888888884</v>
      </c>
      <c r="AF4359" s="2"/>
      <c r="AG4359" s="2"/>
      <c r="AH4359" s="2">
        <v>5</v>
      </c>
      <c r="AI4359" s="2" t="s">
        <v>274</v>
      </c>
      <c r="AJ4359" s="2">
        <v>42</v>
      </c>
      <c r="AK4359" s="2" t="s">
        <v>660</v>
      </c>
      <c r="AL4359" s="2">
        <v>19</v>
      </c>
      <c r="AM4359" s="2" t="s">
        <v>107</v>
      </c>
      <c r="AN4359" s="2" t="s">
        <v>82</v>
      </c>
      <c r="AO4359" s="2" t="s">
        <v>13606</v>
      </c>
      <c r="AP4359" s="2">
        <v>11</v>
      </c>
      <c r="AQ4359" s="2" t="s">
        <v>82</v>
      </c>
      <c r="AR4359" s="2" t="s">
        <v>82</v>
      </c>
      <c r="AS4359" s="2" t="s">
        <v>82</v>
      </c>
      <c r="AT4359" s="2" t="s">
        <v>13607</v>
      </c>
      <c r="AU4359" s="2"/>
      <c r="AV4359" s="2"/>
      <c r="AW4359" s="2"/>
      <c r="AX4359" s="2"/>
      <c r="AY4359" s="2">
        <v>41</v>
      </c>
      <c r="AZ4359" s="2" t="s">
        <v>82</v>
      </c>
      <c r="BA4359" s="2">
        <v>41</v>
      </c>
      <c r="BB4359" s="2" t="s">
        <v>82</v>
      </c>
      <c r="BC4359" s="2">
        <v>41</v>
      </c>
      <c r="BD4359" s="2" t="s">
        <v>82</v>
      </c>
      <c r="BE4359" s="2">
        <v>41</v>
      </c>
      <c r="BF4359" s="2" t="s">
        <v>82</v>
      </c>
      <c r="BG4359" s="2" t="s">
        <v>82</v>
      </c>
      <c r="BH4359" s="2"/>
      <c r="BI4359" s="2"/>
      <c r="BJ4359" s="2">
        <v>241</v>
      </c>
      <c r="BK4359" s="2" t="s">
        <v>82</v>
      </c>
      <c r="BL4359" s="2" t="s">
        <v>82</v>
      </c>
      <c r="BM4359" s="2">
        <v>241</v>
      </c>
      <c r="BN4359" s="2" t="s">
        <v>82</v>
      </c>
      <c r="BO4359" s="2"/>
      <c r="BP4359" s="2">
        <v>241</v>
      </c>
      <c r="BQ4359" s="2" t="s">
        <v>82</v>
      </c>
      <c r="BR4359" s="2" t="s">
        <v>82</v>
      </c>
      <c r="BS4359" s="3">
        <v>40471</v>
      </c>
      <c r="BT4359" s="4">
        <v>0.92821759259259251</v>
      </c>
    </row>
    <row r="4360" spans="1:72" x14ac:dyDescent="0.25">
      <c r="A4360" s="2">
        <v>6581</v>
      </c>
      <c r="B4360" s="2">
        <v>2010</v>
      </c>
      <c r="C4360" s="2" t="s">
        <v>72</v>
      </c>
      <c r="D4360" s="2" t="s">
        <v>73</v>
      </c>
      <c r="E4360" s="2"/>
      <c r="F4360" s="2">
        <v>3</v>
      </c>
      <c r="G4360" s="2" t="s">
        <v>1041</v>
      </c>
      <c r="H4360" s="2">
        <v>108</v>
      </c>
      <c r="I4360" s="2" t="s">
        <v>1096</v>
      </c>
      <c r="J4360" s="2">
        <v>368</v>
      </c>
      <c r="K4360" s="2" t="s">
        <v>1042</v>
      </c>
      <c r="L4360" s="2" t="s">
        <v>1043</v>
      </c>
      <c r="M4360" s="3">
        <v>40472</v>
      </c>
      <c r="N4360" s="2" t="s">
        <v>3212</v>
      </c>
      <c r="O4360" s="2"/>
      <c r="P4360" s="2"/>
      <c r="Q4360" s="2" t="str">
        <f>"546-E/10"</f>
        <v>546-E/10</v>
      </c>
      <c r="R4360" s="2" t="s">
        <v>116</v>
      </c>
      <c r="S4360" s="2" t="s">
        <v>116</v>
      </c>
      <c r="T4360" s="2">
        <v>1</v>
      </c>
      <c r="U4360" s="2" t="s">
        <v>79</v>
      </c>
      <c r="V4360" s="2">
        <v>1</v>
      </c>
      <c r="W4360" s="2" t="s">
        <v>80</v>
      </c>
      <c r="X4360" s="2">
        <v>12</v>
      </c>
      <c r="Y4360" s="2" t="s">
        <v>148</v>
      </c>
      <c r="Z4360" s="2">
        <v>1</v>
      </c>
      <c r="AA4360" s="2" t="s">
        <v>82</v>
      </c>
      <c r="AB4360" s="2">
        <v>6</v>
      </c>
      <c r="AC4360" s="2" t="s">
        <v>83</v>
      </c>
      <c r="AD4360" s="3">
        <v>40469</v>
      </c>
      <c r="AE4360" s="2"/>
      <c r="AF4360" s="3">
        <v>40471</v>
      </c>
      <c r="AG4360" s="4">
        <v>0.89583333333333337</v>
      </c>
      <c r="AH4360" s="2">
        <v>2</v>
      </c>
      <c r="AI4360" s="2" t="s">
        <v>84</v>
      </c>
      <c r="AJ4360" s="2">
        <v>9</v>
      </c>
      <c r="AK4360" s="2" t="s">
        <v>103</v>
      </c>
      <c r="AL4360" s="2">
        <v>22</v>
      </c>
      <c r="AM4360" s="2" t="s">
        <v>1853</v>
      </c>
      <c r="AN4360" s="2" t="s">
        <v>13608</v>
      </c>
      <c r="AO4360" s="2" t="s">
        <v>12699</v>
      </c>
      <c r="AP4360" s="2">
        <v>11</v>
      </c>
      <c r="AQ4360" s="2" t="s">
        <v>82</v>
      </c>
      <c r="AR4360" s="2"/>
      <c r="AS4360" s="2"/>
      <c r="AT4360" s="2" t="s">
        <v>13609</v>
      </c>
      <c r="AU4360" s="2"/>
      <c r="AV4360" s="2"/>
      <c r="AW4360" s="2"/>
      <c r="AX4360" s="2"/>
      <c r="AY4360" s="2">
        <v>41</v>
      </c>
      <c r="AZ4360" s="2" t="s">
        <v>82</v>
      </c>
      <c r="BA4360" s="2">
        <v>41</v>
      </c>
      <c r="BB4360" s="2" t="s">
        <v>82</v>
      </c>
      <c r="BC4360" s="2">
        <v>41</v>
      </c>
      <c r="BD4360" s="2" t="s">
        <v>82</v>
      </c>
      <c r="BE4360" s="2">
        <v>13</v>
      </c>
      <c r="BF4360" s="2" t="s">
        <v>108</v>
      </c>
      <c r="BG4360" s="2" t="s">
        <v>605</v>
      </c>
      <c r="BH4360" s="2"/>
      <c r="BI4360" s="2"/>
      <c r="BJ4360" s="2">
        <v>73</v>
      </c>
      <c r="BK4360" s="2" t="s">
        <v>186</v>
      </c>
      <c r="BL4360" s="2" t="s">
        <v>187</v>
      </c>
      <c r="BM4360" s="2">
        <v>73</v>
      </c>
      <c r="BN4360" s="2" t="s">
        <v>186</v>
      </c>
      <c r="BO4360" s="2"/>
      <c r="BP4360" s="2">
        <v>13</v>
      </c>
      <c r="BQ4360" s="2" t="s">
        <v>91</v>
      </c>
      <c r="BR4360" s="2" t="s">
        <v>360</v>
      </c>
      <c r="BS4360" s="3">
        <v>40472</v>
      </c>
      <c r="BT4360" s="4">
        <v>2.4814814814814817E-2</v>
      </c>
    </row>
    <row r="4361" spans="1:72" x14ac:dyDescent="0.25">
      <c r="A4361" s="2">
        <v>6582</v>
      </c>
      <c r="B4361" s="2">
        <v>2010</v>
      </c>
      <c r="C4361" s="2" t="s">
        <v>121</v>
      </c>
      <c r="D4361" s="2" t="s">
        <v>122</v>
      </c>
      <c r="E4361" s="2"/>
      <c r="F4361" s="2">
        <v>1</v>
      </c>
      <c r="G4361" s="2" t="s">
        <v>82</v>
      </c>
      <c r="H4361" s="2">
        <v>1</v>
      </c>
      <c r="I4361" s="2" t="s">
        <v>82</v>
      </c>
      <c r="J4361" s="2">
        <v>1</v>
      </c>
      <c r="K4361" s="2" t="s">
        <v>107</v>
      </c>
      <c r="L4361" s="2" t="s">
        <v>107</v>
      </c>
      <c r="M4361" s="3">
        <v>40472</v>
      </c>
      <c r="N4361" s="2"/>
      <c r="O4361" s="2"/>
      <c r="P4361" s="2"/>
      <c r="Q4361" s="2" t="str">
        <f>""</f>
        <v/>
      </c>
      <c r="R4361" s="2"/>
      <c r="S4361" s="2"/>
      <c r="T4361" s="2">
        <v>2</v>
      </c>
      <c r="U4361" s="2" t="s">
        <v>123</v>
      </c>
      <c r="V4361" s="2">
        <v>1</v>
      </c>
      <c r="W4361" s="2" t="s">
        <v>80</v>
      </c>
      <c r="X4361" s="2">
        <v>11</v>
      </c>
      <c r="Y4361" s="2" t="s">
        <v>1920</v>
      </c>
      <c r="Z4361" s="2">
        <v>10</v>
      </c>
      <c r="AA4361" s="2" t="s">
        <v>236</v>
      </c>
      <c r="AB4361" s="2">
        <v>9</v>
      </c>
      <c r="AC4361" s="2" t="s">
        <v>124</v>
      </c>
      <c r="AD4361" s="3">
        <v>40471</v>
      </c>
      <c r="AE4361" s="4">
        <v>0.94374999999999998</v>
      </c>
      <c r="AF4361" s="2"/>
      <c r="AG4361" s="2"/>
      <c r="AH4361" s="2">
        <v>3</v>
      </c>
      <c r="AI4361" s="2" t="s">
        <v>214</v>
      </c>
      <c r="AJ4361" s="2">
        <v>24</v>
      </c>
      <c r="AK4361" s="2" t="s">
        <v>215</v>
      </c>
      <c r="AL4361" s="2">
        <v>10</v>
      </c>
      <c r="AM4361" s="2" t="s">
        <v>200</v>
      </c>
      <c r="AN4361" s="2"/>
      <c r="AO4361" s="2"/>
      <c r="AP4361" s="2">
        <v>11</v>
      </c>
      <c r="AQ4361" s="2" t="s">
        <v>82</v>
      </c>
      <c r="AR4361" s="2"/>
      <c r="AS4361" s="2"/>
      <c r="AT4361" s="2" t="s">
        <v>13610</v>
      </c>
      <c r="AU4361" s="2"/>
      <c r="AV4361" s="2"/>
      <c r="AW4361" s="2"/>
      <c r="AX4361" s="2"/>
      <c r="AY4361" s="2">
        <v>41</v>
      </c>
      <c r="AZ4361" s="2" t="s">
        <v>82</v>
      </c>
      <c r="BA4361" s="2">
        <v>41</v>
      </c>
      <c r="BB4361" s="2" t="s">
        <v>82</v>
      </c>
      <c r="BC4361" s="2">
        <v>41</v>
      </c>
      <c r="BD4361" s="2" t="s">
        <v>82</v>
      </c>
      <c r="BE4361" s="2">
        <v>42</v>
      </c>
      <c r="BF4361" s="2" t="s">
        <v>182</v>
      </c>
      <c r="BG4361" s="2" t="s">
        <v>13611</v>
      </c>
      <c r="BH4361" s="4">
        <v>0.94374999999999998</v>
      </c>
      <c r="BI4361" s="4">
        <v>0.88888888888888884</v>
      </c>
      <c r="BJ4361" s="2">
        <v>13</v>
      </c>
      <c r="BK4361" s="2" t="s">
        <v>91</v>
      </c>
      <c r="BL4361" s="2" t="s">
        <v>185</v>
      </c>
      <c r="BM4361" s="2">
        <v>13</v>
      </c>
      <c r="BN4361" s="2" t="s">
        <v>91</v>
      </c>
      <c r="BO4361" s="2"/>
      <c r="BP4361" s="2">
        <v>13</v>
      </c>
      <c r="BQ4361" s="2" t="s">
        <v>91</v>
      </c>
      <c r="BR4361" s="2" t="s">
        <v>169</v>
      </c>
      <c r="BS4361" s="3">
        <v>40472</v>
      </c>
      <c r="BT4361" s="4">
        <v>2.9930555555555557E-2</v>
      </c>
    </row>
    <row r="4362" spans="1:72" x14ac:dyDescent="0.25">
      <c r="A4362" s="2">
        <v>6583</v>
      </c>
      <c r="B4362" s="2">
        <v>2010</v>
      </c>
      <c r="C4362" s="2" t="s">
        <v>171</v>
      </c>
      <c r="D4362" s="2" t="s">
        <v>73</v>
      </c>
      <c r="E4362" s="2"/>
      <c r="F4362" s="2">
        <v>397</v>
      </c>
      <c r="G4362" s="2" t="s">
        <v>2522</v>
      </c>
      <c r="H4362" s="2">
        <v>10</v>
      </c>
      <c r="I4362" s="2" t="s">
        <v>1031</v>
      </c>
      <c r="J4362" s="2">
        <v>377</v>
      </c>
      <c r="K4362" s="2" t="s">
        <v>1223</v>
      </c>
      <c r="L4362" s="2" t="s">
        <v>1224</v>
      </c>
      <c r="M4362" s="3">
        <v>40472</v>
      </c>
      <c r="N4362" s="2" t="s">
        <v>2873</v>
      </c>
      <c r="O4362" s="2"/>
      <c r="P4362" s="2"/>
      <c r="Q4362" s="2" t="str">
        <f>"547-E/10"</f>
        <v>547-E/10</v>
      </c>
      <c r="R4362" s="2" t="s">
        <v>391</v>
      </c>
      <c r="S4362" s="2" t="s">
        <v>391</v>
      </c>
      <c r="T4362" s="2">
        <v>1</v>
      </c>
      <c r="U4362" s="2" t="s">
        <v>79</v>
      </c>
      <c r="V4362" s="2">
        <v>1</v>
      </c>
      <c r="W4362" s="2" t="s">
        <v>80</v>
      </c>
      <c r="X4362" s="2">
        <v>1</v>
      </c>
      <c r="Y4362" s="2" t="s">
        <v>81</v>
      </c>
      <c r="Z4362" s="2">
        <v>1</v>
      </c>
      <c r="AA4362" s="2" t="s">
        <v>82</v>
      </c>
      <c r="AB4362" s="2">
        <v>1</v>
      </c>
      <c r="AC4362" s="2" t="s">
        <v>178</v>
      </c>
      <c r="AD4362" s="3">
        <v>40472</v>
      </c>
      <c r="AE4362" s="4">
        <v>8.3333333333333329E-2</v>
      </c>
      <c r="AF4362" s="3">
        <v>40472</v>
      </c>
      <c r="AG4362" s="4">
        <v>0.1388888888888889</v>
      </c>
      <c r="AH4362" s="2">
        <v>2</v>
      </c>
      <c r="AI4362" s="2" t="s">
        <v>84</v>
      </c>
      <c r="AJ4362" s="2">
        <v>9</v>
      </c>
      <c r="AK4362" s="2" t="s">
        <v>103</v>
      </c>
      <c r="AL4362" s="2">
        <v>16</v>
      </c>
      <c r="AM4362" s="2" t="s">
        <v>392</v>
      </c>
      <c r="AN4362" s="2" t="s">
        <v>13612</v>
      </c>
      <c r="AO4362" s="2" t="s">
        <v>10733</v>
      </c>
      <c r="AP4362" s="2">
        <v>6</v>
      </c>
      <c r="AQ4362" s="2" t="s">
        <v>394</v>
      </c>
      <c r="AR4362" s="2"/>
      <c r="AS4362" s="2"/>
      <c r="AT4362" s="2" t="s">
        <v>13613</v>
      </c>
      <c r="AU4362" s="2"/>
      <c r="AV4362" s="2"/>
      <c r="AW4362" s="2"/>
      <c r="AX4362" s="2"/>
      <c r="AY4362" s="2">
        <v>41</v>
      </c>
      <c r="AZ4362" s="2" t="s">
        <v>82</v>
      </c>
      <c r="BA4362" s="2">
        <v>41</v>
      </c>
      <c r="BB4362" s="2" t="s">
        <v>82</v>
      </c>
      <c r="BC4362" s="2">
        <v>41</v>
      </c>
      <c r="BD4362" s="2" t="s">
        <v>82</v>
      </c>
      <c r="BE4362" s="2">
        <v>31</v>
      </c>
      <c r="BF4362" s="2" t="s">
        <v>398</v>
      </c>
      <c r="BG4362" s="2">
        <v>6842</v>
      </c>
      <c r="BH4362" s="2"/>
      <c r="BI4362" s="4">
        <v>0.53472222222222221</v>
      </c>
      <c r="BJ4362" s="2">
        <v>13</v>
      </c>
      <c r="BK4362" s="2" t="s">
        <v>91</v>
      </c>
      <c r="BL4362" s="2" t="s">
        <v>360</v>
      </c>
      <c r="BM4362" s="2">
        <v>73</v>
      </c>
      <c r="BN4362" s="2" t="s">
        <v>186</v>
      </c>
      <c r="BO4362" s="2"/>
      <c r="BP4362" s="2">
        <v>73</v>
      </c>
      <c r="BQ4362" s="2" t="s">
        <v>186</v>
      </c>
      <c r="BR4362" s="2" t="s">
        <v>187</v>
      </c>
      <c r="BS4362" s="3">
        <v>40472</v>
      </c>
      <c r="BT4362" s="4">
        <v>0.22006944444444443</v>
      </c>
    </row>
    <row r="4363" spans="1:72" x14ac:dyDescent="0.25">
      <c r="A4363" s="2">
        <v>6584</v>
      </c>
      <c r="B4363" s="2">
        <v>2010</v>
      </c>
      <c r="C4363" s="2" t="s">
        <v>1568</v>
      </c>
      <c r="D4363" s="2" t="s">
        <v>73</v>
      </c>
      <c r="E4363" s="2"/>
      <c r="F4363" s="2">
        <v>161</v>
      </c>
      <c r="G4363" s="2" t="s">
        <v>5671</v>
      </c>
      <c r="H4363" s="2">
        <v>94</v>
      </c>
      <c r="I4363" s="2" t="s">
        <v>5672</v>
      </c>
      <c r="J4363" s="2">
        <v>171</v>
      </c>
      <c r="K4363" s="2" t="s">
        <v>5673</v>
      </c>
      <c r="L4363" s="2" t="s">
        <v>5674</v>
      </c>
      <c r="M4363" s="3">
        <v>40472</v>
      </c>
      <c r="N4363" s="2" t="s">
        <v>13614</v>
      </c>
      <c r="O4363" s="2"/>
      <c r="P4363" s="2"/>
      <c r="Q4363" s="2" t="str">
        <f>"419-A/10"</f>
        <v>419-A/10</v>
      </c>
      <c r="R4363" s="2" t="s">
        <v>13615</v>
      </c>
      <c r="S4363" s="2"/>
      <c r="T4363" s="2">
        <v>1</v>
      </c>
      <c r="U4363" s="2" t="s">
        <v>79</v>
      </c>
      <c r="V4363" s="2">
        <v>1</v>
      </c>
      <c r="W4363" s="2" t="s">
        <v>80</v>
      </c>
      <c r="X4363" s="2">
        <v>1</v>
      </c>
      <c r="Y4363" s="2" t="s">
        <v>81</v>
      </c>
      <c r="Z4363" s="2">
        <v>1</v>
      </c>
      <c r="AA4363" s="2" t="s">
        <v>82</v>
      </c>
      <c r="AB4363" s="2">
        <v>4</v>
      </c>
      <c r="AC4363" s="2" t="s">
        <v>1569</v>
      </c>
      <c r="AD4363" s="3">
        <v>40471</v>
      </c>
      <c r="AE4363" s="4">
        <v>0.77083333333333337</v>
      </c>
      <c r="AF4363" s="3">
        <v>40471</v>
      </c>
      <c r="AG4363" s="4">
        <v>0.95833333333333337</v>
      </c>
      <c r="AH4363" s="2">
        <v>2</v>
      </c>
      <c r="AI4363" s="2" t="s">
        <v>84</v>
      </c>
      <c r="AJ4363" s="2">
        <v>12</v>
      </c>
      <c r="AK4363" s="2" t="s">
        <v>85</v>
      </c>
      <c r="AL4363" s="2">
        <v>25</v>
      </c>
      <c r="AM4363" s="2" t="s">
        <v>3073</v>
      </c>
      <c r="AN4363" s="2" t="s">
        <v>13616</v>
      </c>
      <c r="AO4363" s="2" t="s">
        <v>13617</v>
      </c>
      <c r="AP4363" s="2">
        <v>11</v>
      </c>
      <c r="AQ4363" s="2" t="s">
        <v>82</v>
      </c>
      <c r="AR4363" s="2"/>
      <c r="AS4363" s="2"/>
      <c r="AT4363" s="2" t="s">
        <v>13618</v>
      </c>
      <c r="AU4363" s="2"/>
      <c r="AV4363" s="2">
        <v>1</v>
      </c>
      <c r="AW4363" s="2"/>
      <c r="AX4363" s="2"/>
      <c r="AY4363" s="2">
        <v>41</v>
      </c>
      <c r="AZ4363" s="2" t="s">
        <v>82</v>
      </c>
      <c r="BA4363" s="2">
        <v>41</v>
      </c>
      <c r="BB4363" s="2" t="s">
        <v>82</v>
      </c>
      <c r="BC4363" s="2">
        <v>41</v>
      </c>
      <c r="BD4363" s="2" t="s">
        <v>82</v>
      </c>
      <c r="BE4363" s="2">
        <v>4</v>
      </c>
      <c r="BF4363" s="2" t="s">
        <v>90</v>
      </c>
      <c r="BG4363" s="2" t="s">
        <v>13619</v>
      </c>
      <c r="BH4363" s="2"/>
      <c r="BI4363" s="2"/>
      <c r="BJ4363" s="2">
        <v>13</v>
      </c>
      <c r="BK4363" s="2" t="s">
        <v>91</v>
      </c>
      <c r="BL4363" s="2" t="s">
        <v>564</v>
      </c>
      <c r="BM4363" s="2">
        <v>33</v>
      </c>
      <c r="BN4363" s="2" t="s">
        <v>361</v>
      </c>
      <c r="BO4363" s="2"/>
      <c r="BP4363" s="2">
        <v>75</v>
      </c>
      <c r="BQ4363" s="2" t="s">
        <v>1264</v>
      </c>
      <c r="BR4363" s="2" t="s">
        <v>1361</v>
      </c>
      <c r="BS4363" s="3">
        <v>40472</v>
      </c>
      <c r="BT4363" s="4">
        <v>0.30473379629629632</v>
      </c>
    </row>
    <row r="4364" spans="1:72" x14ac:dyDescent="0.25">
      <c r="A4364" s="2">
        <v>6587</v>
      </c>
      <c r="B4364" s="2">
        <v>2010</v>
      </c>
      <c r="C4364" s="2" t="s">
        <v>1568</v>
      </c>
      <c r="D4364" s="2" t="s">
        <v>122</v>
      </c>
      <c r="E4364" s="2" t="s">
        <v>13620</v>
      </c>
      <c r="F4364" s="2">
        <v>702</v>
      </c>
      <c r="G4364" s="2" t="s">
        <v>13585</v>
      </c>
      <c r="H4364" s="2">
        <v>22</v>
      </c>
      <c r="I4364" s="2" t="s">
        <v>75</v>
      </c>
      <c r="J4364" s="2">
        <v>555</v>
      </c>
      <c r="K4364" s="2" t="s">
        <v>7538</v>
      </c>
      <c r="L4364" s="2" t="s">
        <v>4331</v>
      </c>
      <c r="M4364" s="3">
        <v>40472</v>
      </c>
      <c r="N4364" s="2" t="s">
        <v>13586</v>
      </c>
      <c r="O4364" s="2" t="s">
        <v>82</v>
      </c>
      <c r="P4364" s="2" t="s">
        <v>82</v>
      </c>
      <c r="Q4364" s="2" t="str">
        <f>"PS418-A/10"</f>
        <v>PS418-A/10</v>
      </c>
      <c r="R4364" s="2" t="s">
        <v>13587</v>
      </c>
      <c r="S4364" s="2" t="s">
        <v>82</v>
      </c>
      <c r="T4364" s="2">
        <v>1</v>
      </c>
      <c r="U4364" s="2" t="s">
        <v>79</v>
      </c>
      <c r="V4364" s="2">
        <v>1</v>
      </c>
      <c r="W4364" s="2" t="s">
        <v>80</v>
      </c>
      <c r="X4364" s="2">
        <v>1</v>
      </c>
      <c r="Y4364" s="2" t="s">
        <v>81</v>
      </c>
      <c r="Z4364" s="2">
        <v>1</v>
      </c>
      <c r="AA4364" s="2" t="s">
        <v>82</v>
      </c>
      <c r="AB4364" s="2">
        <v>4</v>
      </c>
      <c r="AC4364" s="2" t="s">
        <v>1569</v>
      </c>
      <c r="AD4364" s="3">
        <v>40471</v>
      </c>
      <c r="AE4364" s="4">
        <v>0.69791666666666663</v>
      </c>
      <c r="AF4364" s="3">
        <v>40471</v>
      </c>
      <c r="AG4364" s="4">
        <v>0.5</v>
      </c>
      <c r="AH4364" s="2">
        <v>2</v>
      </c>
      <c r="AI4364" s="2" t="s">
        <v>84</v>
      </c>
      <c r="AJ4364" s="2">
        <v>12</v>
      </c>
      <c r="AK4364" s="2" t="s">
        <v>85</v>
      </c>
      <c r="AL4364" s="2">
        <v>11</v>
      </c>
      <c r="AM4364" s="2" t="s">
        <v>137</v>
      </c>
      <c r="AN4364" s="2" t="s">
        <v>82</v>
      </c>
      <c r="AO4364" s="2" t="s">
        <v>13621</v>
      </c>
      <c r="AP4364" s="2">
        <v>11</v>
      </c>
      <c r="AQ4364" s="2" t="s">
        <v>82</v>
      </c>
      <c r="AR4364" s="2"/>
      <c r="AS4364" s="2"/>
      <c r="AT4364" s="2" t="s">
        <v>13622</v>
      </c>
      <c r="AU4364" s="2">
        <v>1</v>
      </c>
      <c r="AV4364" s="2"/>
      <c r="AW4364" s="2"/>
      <c r="AX4364" s="2"/>
      <c r="AY4364" s="2">
        <v>41</v>
      </c>
      <c r="AZ4364" s="2" t="s">
        <v>82</v>
      </c>
      <c r="BA4364" s="2">
        <v>41</v>
      </c>
      <c r="BB4364" s="2" t="s">
        <v>82</v>
      </c>
      <c r="BC4364" s="2">
        <v>41</v>
      </c>
      <c r="BD4364" s="2" t="s">
        <v>82</v>
      </c>
      <c r="BE4364" s="2">
        <v>48</v>
      </c>
      <c r="BF4364" s="2" t="s">
        <v>1123</v>
      </c>
      <c r="BG4364" s="2">
        <v>864</v>
      </c>
      <c r="BH4364" s="2"/>
      <c r="BI4364" s="2"/>
      <c r="BJ4364" s="2">
        <v>13</v>
      </c>
      <c r="BK4364" s="2" t="s">
        <v>91</v>
      </c>
      <c r="BL4364" s="2" t="s">
        <v>185</v>
      </c>
      <c r="BM4364" s="2">
        <v>241</v>
      </c>
      <c r="BN4364" s="2" t="s">
        <v>82</v>
      </c>
      <c r="BO4364" s="2"/>
      <c r="BP4364" s="2">
        <v>13</v>
      </c>
      <c r="BQ4364" s="2" t="s">
        <v>91</v>
      </c>
      <c r="BR4364" s="2" t="s">
        <v>8585</v>
      </c>
      <c r="BS4364" s="3">
        <v>40472</v>
      </c>
      <c r="BT4364" s="4">
        <v>0.43454861111111115</v>
      </c>
    </row>
    <row r="4365" spans="1:72" x14ac:dyDescent="0.25">
      <c r="A4365" s="2">
        <v>6588</v>
      </c>
      <c r="B4365" s="2">
        <v>2010</v>
      </c>
      <c r="C4365" s="2" t="s">
        <v>1568</v>
      </c>
      <c r="D4365" s="2" t="s">
        <v>122</v>
      </c>
      <c r="E4365" s="2" t="s">
        <v>13623</v>
      </c>
      <c r="F4365" s="2">
        <v>161</v>
      </c>
      <c r="G4365" s="2" t="s">
        <v>5671</v>
      </c>
      <c r="H4365" s="2">
        <v>94</v>
      </c>
      <c r="I4365" s="2" t="s">
        <v>5672</v>
      </c>
      <c r="J4365" s="2">
        <v>171</v>
      </c>
      <c r="K4365" s="2" t="s">
        <v>5673</v>
      </c>
      <c r="L4365" s="2" t="s">
        <v>5674</v>
      </c>
      <c r="M4365" s="3">
        <v>40472</v>
      </c>
      <c r="N4365" s="2" t="s">
        <v>13614</v>
      </c>
      <c r="O4365" s="2"/>
      <c r="P4365" s="2"/>
      <c r="Q4365" s="2" t="str">
        <f>"419-A/10"</f>
        <v>419-A/10</v>
      </c>
      <c r="R4365" s="2" t="s">
        <v>13615</v>
      </c>
      <c r="S4365" s="2"/>
      <c r="T4365" s="2">
        <v>1</v>
      </c>
      <c r="U4365" s="2" t="s">
        <v>79</v>
      </c>
      <c r="V4365" s="2">
        <v>1</v>
      </c>
      <c r="W4365" s="2" t="s">
        <v>80</v>
      </c>
      <c r="X4365" s="2">
        <v>1</v>
      </c>
      <c r="Y4365" s="2" t="s">
        <v>81</v>
      </c>
      <c r="Z4365" s="2">
        <v>10</v>
      </c>
      <c r="AA4365" s="2" t="s">
        <v>236</v>
      </c>
      <c r="AB4365" s="2">
        <v>4</v>
      </c>
      <c r="AC4365" s="2" t="s">
        <v>1569</v>
      </c>
      <c r="AD4365" s="3">
        <v>40472</v>
      </c>
      <c r="AE4365" s="4">
        <v>0.35416666666666669</v>
      </c>
      <c r="AF4365" s="2"/>
      <c r="AG4365" s="2"/>
      <c r="AH4365" s="2">
        <v>2</v>
      </c>
      <c r="AI4365" s="2" t="s">
        <v>84</v>
      </c>
      <c r="AJ4365" s="2">
        <v>12</v>
      </c>
      <c r="AK4365" s="2" t="s">
        <v>85</v>
      </c>
      <c r="AL4365" s="2">
        <v>22</v>
      </c>
      <c r="AM4365" s="2" t="s">
        <v>1853</v>
      </c>
      <c r="AN4365" s="2"/>
      <c r="AO4365" s="2" t="s">
        <v>13624</v>
      </c>
      <c r="AP4365" s="2">
        <v>11</v>
      </c>
      <c r="AQ4365" s="2" t="s">
        <v>82</v>
      </c>
      <c r="AR4365" s="2"/>
      <c r="AS4365" s="2"/>
      <c r="AT4365" s="2" t="s">
        <v>13625</v>
      </c>
      <c r="AU4365" s="2"/>
      <c r="AV4365" s="2">
        <v>1</v>
      </c>
      <c r="AW4365" s="2"/>
      <c r="AX4365" s="2"/>
      <c r="AY4365" s="2">
        <v>41</v>
      </c>
      <c r="AZ4365" s="2" t="s">
        <v>82</v>
      </c>
      <c r="BA4365" s="2">
        <v>41</v>
      </c>
      <c r="BB4365" s="2" t="s">
        <v>82</v>
      </c>
      <c r="BC4365" s="2">
        <v>41</v>
      </c>
      <c r="BD4365" s="2" t="s">
        <v>82</v>
      </c>
      <c r="BE4365" s="2">
        <v>4</v>
      </c>
      <c r="BF4365" s="2" t="s">
        <v>90</v>
      </c>
      <c r="BG4365" s="2" t="s">
        <v>13619</v>
      </c>
      <c r="BH4365" s="4">
        <v>0.91666666666666663</v>
      </c>
      <c r="BI4365" s="4">
        <v>0.80208333333333337</v>
      </c>
      <c r="BJ4365" s="2">
        <v>13</v>
      </c>
      <c r="BK4365" s="2" t="s">
        <v>91</v>
      </c>
      <c r="BL4365" s="2" t="s">
        <v>185</v>
      </c>
      <c r="BM4365" s="2">
        <v>33</v>
      </c>
      <c r="BN4365" s="2" t="s">
        <v>361</v>
      </c>
      <c r="BO4365" s="2"/>
      <c r="BP4365" s="2">
        <v>75</v>
      </c>
      <c r="BQ4365" s="2" t="s">
        <v>1264</v>
      </c>
      <c r="BR4365" s="2" t="s">
        <v>1361</v>
      </c>
      <c r="BS4365" s="3">
        <v>40472</v>
      </c>
      <c r="BT4365" s="4">
        <v>0.4500231481481482</v>
      </c>
    </row>
    <row r="4366" spans="1:72" x14ac:dyDescent="0.25">
      <c r="A4366" s="2">
        <v>6590</v>
      </c>
      <c r="B4366" s="2">
        <v>2010</v>
      </c>
      <c r="C4366" s="2" t="s">
        <v>4543</v>
      </c>
      <c r="D4366" s="2" t="s">
        <v>122</v>
      </c>
      <c r="E4366" s="2"/>
      <c r="F4366" s="2">
        <v>1</v>
      </c>
      <c r="G4366" s="2" t="s">
        <v>82</v>
      </c>
      <c r="H4366" s="2">
        <v>1</v>
      </c>
      <c r="I4366" s="2" t="s">
        <v>82</v>
      </c>
      <c r="J4366" s="2">
        <v>1</v>
      </c>
      <c r="K4366" s="2" t="s">
        <v>107</v>
      </c>
      <c r="L4366" s="2" t="s">
        <v>107</v>
      </c>
      <c r="M4366" s="3">
        <v>40472</v>
      </c>
      <c r="N4366" s="2" t="s">
        <v>82</v>
      </c>
      <c r="O4366" s="2" t="s">
        <v>82</v>
      </c>
      <c r="P4366" s="2" t="s">
        <v>82</v>
      </c>
      <c r="Q4366" s="2" t="str">
        <f>"N/C"</f>
        <v>N/C</v>
      </c>
      <c r="R4366" s="2" t="s">
        <v>82</v>
      </c>
      <c r="S4366" s="2" t="s">
        <v>82</v>
      </c>
      <c r="T4366" s="2">
        <v>2</v>
      </c>
      <c r="U4366" s="2" t="s">
        <v>123</v>
      </c>
      <c r="V4366" s="2">
        <v>1</v>
      </c>
      <c r="W4366" s="2" t="s">
        <v>80</v>
      </c>
      <c r="X4366" s="2">
        <v>11</v>
      </c>
      <c r="Y4366" s="2" t="s">
        <v>1920</v>
      </c>
      <c r="Z4366" s="2">
        <v>10</v>
      </c>
      <c r="AA4366" s="2" t="s">
        <v>236</v>
      </c>
      <c r="AB4366" s="2">
        <v>9</v>
      </c>
      <c r="AC4366" s="2" t="s">
        <v>124</v>
      </c>
      <c r="AD4366" s="3">
        <v>40472</v>
      </c>
      <c r="AE4366" s="4">
        <v>0.15277777777777776</v>
      </c>
      <c r="AF4366" s="2"/>
      <c r="AG4366" s="2"/>
      <c r="AH4366" s="2">
        <v>6</v>
      </c>
      <c r="AI4366" s="2" t="s">
        <v>197</v>
      </c>
      <c r="AJ4366" s="2">
        <v>54</v>
      </c>
      <c r="AK4366" s="2" t="s">
        <v>348</v>
      </c>
      <c r="AL4366" s="2">
        <v>22</v>
      </c>
      <c r="AM4366" s="2" t="s">
        <v>1853</v>
      </c>
      <c r="AN4366" s="2" t="s">
        <v>595</v>
      </c>
      <c r="AO4366" s="2" t="s">
        <v>200</v>
      </c>
      <c r="AP4366" s="2">
        <v>14</v>
      </c>
      <c r="AQ4366" s="2" t="s">
        <v>3301</v>
      </c>
      <c r="AR4366" s="2" t="s">
        <v>9553</v>
      </c>
      <c r="AS4366" s="2" t="s">
        <v>9553</v>
      </c>
      <c r="AT4366" s="2" t="s">
        <v>13626</v>
      </c>
      <c r="AU4366" s="2"/>
      <c r="AV4366" s="2"/>
      <c r="AW4366" s="2"/>
      <c r="AX4366" s="2"/>
      <c r="AY4366" s="2">
        <v>41</v>
      </c>
      <c r="AZ4366" s="2" t="s">
        <v>82</v>
      </c>
      <c r="BA4366" s="2">
        <v>41</v>
      </c>
      <c r="BB4366" s="2" t="s">
        <v>82</v>
      </c>
      <c r="BC4366" s="2">
        <v>4</v>
      </c>
      <c r="BD4366" s="2" t="s">
        <v>90</v>
      </c>
      <c r="BE4366" s="2">
        <v>4</v>
      </c>
      <c r="BF4366" s="2" t="s">
        <v>90</v>
      </c>
      <c r="BG4366" s="2">
        <v>4429</v>
      </c>
      <c r="BH4366" s="4">
        <v>5.5555555555555552E-2</v>
      </c>
      <c r="BI4366" s="4">
        <v>0.15277777777777776</v>
      </c>
      <c r="BJ4366" s="2">
        <v>13</v>
      </c>
      <c r="BK4366" s="2" t="s">
        <v>91</v>
      </c>
      <c r="BL4366" s="2" t="s">
        <v>13627</v>
      </c>
      <c r="BM4366" s="2">
        <v>13</v>
      </c>
      <c r="BN4366" s="2" t="s">
        <v>91</v>
      </c>
      <c r="BO4366" s="2"/>
      <c r="BP4366" s="2">
        <v>13</v>
      </c>
      <c r="BQ4366" s="2" t="s">
        <v>91</v>
      </c>
      <c r="BR4366" s="2" t="s">
        <v>13628</v>
      </c>
      <c r="BS4366" s="3">
        <v>40472</v>
      </c>
      <c r="BT4366" s="4">
        <v>0.46034722222222224</v>
      </c>
    </row>
    <row r="4367" spans="1:72" x14ac:dyDescent="0.25">
      <c r="A4367" s="2">
        <v>6591</v>
      </c>
      <c r="B4367" s="2">
        <v>2010</v>
      </c>
      <c r="C4367" s="2" t="s">
        <v>4543</v>
      </c>
      <c r="D4367" s="2" t="s">
        <v>122</v>
      </c>
      <c r="E4367" s="2"/>
      <c r="F4367" s="2">
        <v>1</v>
      </c>
      <c r="G4367" s="2" t="s">
        <v>82</v>
      </c>
      <c r="H4367" s="2">
        <v>1</v>
      </c>
      <c r="I4367" s="2" t="s">
        <v>82</v>
      </c>
      <c r="J4367" s="2">
        <v>1</v>
      </c>
      <c r="K4367" s="2" t="s">
        <v>107</v>
      </c>
      <c r="L4367" s="2" t="s">
        <v>107</v>
      </c>
      <c r="M4367" s="3">
        <v>40472</v>
      </c>
      <c r="N4367" s="2" t="s">
        <v>82</v>
      </c>
      <c r="O4367" s="2" t="s">
        <v>82</v>
      </c>
      <c r="P4367" s="2" t="s">
        <v>82</v>
      </c>
      <c r="Q4367" s="2" t="str">
        <f>"N/C"</f>
        <v>N/C</v>
      </c>
      <c r="R4367" s="2" t="s">
        <v>82</v>
      </c>
      <c r="S4367" s="2" t="s">
        <v>82</v>
      </c>
      <c r="T4367" s="2">
        <v>2</v>
      </c>
      <c r="U4367" s="2" t="s">
        <v>123</v>
      </c>
      <c r="V4367" s="2">
        <v>1</v>
      </c>
      <c r="W4367" s="2" t="s">
        <v>80</v>
      </c>
      <c r="X4367" s="2">
        <v>11</v>
      </c>
      <c r="Y4367" s="2" t="s">
        <v>1920</v>
      </c>
      <c r="Z4367" s="2">
        <v>10</v>
      </c>
      <c r="AA4367" s="2" t="s">
        <v>236</v>
      </c>
      <c r="AB4367" s="2">
        <v>9</v>
      </c>
      <c r="AC4367" s="2" t="s">
        <v>124</v>
      </c>
      <c r="AD4367" s="3">
        <v>40472</v>
      </c>
      <c r="AE4367" s="4">
        <v>0.35069444444444442</v>
      </c>
      <c r="AF4367" s="2"/>
      <c r="AG4367" s="2"/>
      <c r="AH4367" s="2">
        <v>6</v>
      </c>
      <c r="AI4367" s="2" t="s">
        <v>197</v>
      </c>
      <c r="AJ4367" s="2">
        <v>54</v>
      </c>
      <c r="AK4367" s="2" t="s">
        <v>348</v>
      </c>
      <c r="AL4367" s="2">
        <v>22</v>
      </c>
      <c r="AM4367" s="2" t="s">
        <v>1853</v>
      </c>
      <c r="AN4367" s="2" t="s">
        <v>595</v>
      </c>
      <c r="AO4367" s="2" t="s">
        <v>200</v>
      </c>
      <c r="AP4367" s="2">
        <v>12</v>
      </c>
      <c r="AQ4367" s="2" t="s">
        <v>322</v>
      </c>
      <c r="AR4367" s="2" t="s">
        <v>9553</v>
      </c>
      <c r="AS4367" s="2" t="s">
        <v>9553</v>
      </c>
      <c r="AT4367" s="2" t="s">
        <v>13629</v>
      </c>
      <c r="AU4367" s="2"/>
      <c r="AV4367" s="2"/>
      <c r="AW4367" s="2"/>
      <c r="AX4367" s="2"/>
      <c r="AY4367" s="2">
        <v>41</v>
      </c>
      <c r="AZ4367" s="2" t="s">
        <v>82</v>
      </c>
      <c r="BA4367" s="2">
        <v>41</v>
      </c>
      <c r="BB4367" s="2" t="s">
        <v>82</v>
      </c>
      <c r="BC4367" s="2">
        <v>47</v>
      </c>
      <c r="BD4367" s="2" t="s">
        <v>167</v>
      </c>
      <c r="BE4367" s="2">
        <v>47</v>
      </c>
      <c r="BF4367" s="2" t="s">
        <v>167</v>
      </c>
      <c r="BG4367" s="2">
        <v>2831</v>
      </c>
      <c r="BH4367" s="4">
        <v>0.97916666666666663</v>
      </c>
      <c r="BI4367" s="4">
        <v>0.35069444444444442</v>
      </c>
      <c r="BJ4367" s="2">
        <v>13</v>
      </c>
      <c r="BK4367" s="2" t="s">
        <v>91</v>
      </c>
      <c r="BL4367" s="2" t="s">
        <v>7629</v>
      </c>
      <c r="BM4367" s="2">
        <v>13</v>
      </c>
      <c r="BN4367" s="2" t="s">
        <v>91</v>
      </c>
      <c r="BO4367" s="2"/>
      <c r="BP4367" s="2">
        <v>13</v>
      </c>
      <c r="BQ4367" s="2" t="s">
        <v>91</v>
      </c>
      <c r="BR4367" s="2" t="s">
        <v>13630</v>
      </c>
      <c r="BS4367" s="3">
        <v>40472</v>
      </c>
      <c r="BT4367" s="4">
        <v>0.47354166666666669</v>
      </c>
    </row>
    <row r="4368" spans="1:72" x14ac:dyDescent="0.25">
      <c r="A4368" s="2">
        <v>6602</v>
      </c>
      <c r="B4368" s="2">
        <v>2010</v>
      </c>
      <c r="C4368" s="2" t="s">
        <v>1094</v>
      </c>
      <c r="D4368" s="2" t="s">
        <v>122</v>
      </c>
      <c r="E4368" s="2" t="s">
        <v>13631</v>
      </c>
      <c r="F4368" s="2">
        <v>70</v>
      </c>
      <c r="G4368" s="2" t="s">
        <v>3539</v>
      </c>
      <c r="H4368" s="2">
        <v>108</v>
      </c>
      <c r="I4368" s="2" t="s">
        <v>1096</v>
      </c>
      <c r="J4368" s="2">
        <v>689</v>
      </c>
      <c r="K4368" s="2" t="s">
        <v>13469</v>
      </c>
      <c r="L4368" s="2" t="s">
        <v>13470</v>
      </c>
      <c r="M4368" s="3">
        <v>40472</v>
      </c>
      <c r="N4368" s="2" t="s">
        <v>5060</v>
      </c>
      <c r="O4368" s="2" t="s">
        <v>13632</v>
      </c>
      <c r="P4368" s="2" t="s">
        <v>13633</v>
      </c>
      <c r="Q4368" s="2" t="str">
        <f>"02/2010"</f>
        <v>02/2010</v>
      </c>
      <c r="R4368" s="2"/>
      <c r="S4368" s="2" t="s">
        <v>13632</v>
      </c>
      <c r="T4368" s="2">
        <v>1</v>
      </c>
      <c r="U4368" s="2" t="s">
        <v>79</v>
      </c>
      <c r="V4368" s="2">
        <v>1</v>
      </c>
      <c r="W4368" s="2" t="s">
        <v>80</v>
      </c>
      <c r="X4368" s="2">
        <v>12</v>
      </c>
      <c r="Y4368" s="2" t="s">
        <v>148</v>
      </c>
      <c r="Z4368" s="2">
        <v>11</v>
      </c>
      <c r="AA4368" s="2" t="s">
        <v>859</v>
      </c>
      <c r="AB4368" s="2">
        <v>9</v>
      </c>
      <c r="AC4368" s="2" t="s">
        <v>124</v>
      </c>
      <c r="AD4368" s="3">
        <v>40469</v>
      </c>
      <c r="AE4368" s="4">
        <v>0.47916666666666669</v>
      </c>
      <c r="AF4368" s="3">
        <v>40469</v>
      </c>
      <c r="AG4368" s="4">
        <v>0.39583333333333331</v>
      </c>
      <c r="AH4368" s="2">
        <v>3</v>
      </c>
      <c r="AI4368" s="2" t="s">
        <v>214</v>
      </c>
      <c r="AJ4368" s="2">
        <v>21</v>
      </c>
      <c r="AK4368" s="2" t="s">
        <v>3544</v>
      </c>
      <c r="AL4368" s="2">
        <v>19</v>
      </c>
      <c r="AM4368" s="2" t="s">
        <v>107</v>
      </c>
      <c r="AN4368" s="2" t="s">
        <v>13472</v>
      </c>
      <c r="AO4368" s="2" t="s">
        <v>13473</v>
      </c>
      <c r="AP4368" s="2">
        <v>11</v>
      </c>
      <c r="AQ4368" s="2" t="s">
        <v>82</v>
      </c>
      <c r="AR4368" s="2"/>
      <c r="AS4368" s="2"/>
      <c r="AT4368" s="2" t="s">
        <v>13634</v>
      </c>
      <c r="AU4368" s="2"/>
      <c r="AV4368" s="2"/>
      <c r="AW4368" s="2"/>
      <c r="AX4368" s="2"/>
      <c r="AY4368" s="2">
        <v>1</v>
      </c>
      <c r="AZ4368" s="2" t="s">
        <v>107</v>
      </c>
      <c r="BA4368" s="2">
        <v>1</v>
      </c>
      <c r="BB4368" s="2" t="s">
        <v>107</v>
      </c>
      <c r="BC4368" s="2">
        <v>1</v>
      </c>
      <c r="BD4368" s="2" t="s">
        <v>107</v>
      </c>
      <c r="BE4368" s="2">
        <v>41</v>
      </c>
      <c r="BF4368" s="2" t="s">
        <v>82</v>
      </c>
      <c r="BG4368" s="2"/>
      <c r="BH4368" s="2"/>
      <c r="BI4368" s="2"/>
      <c r="BJ4368" s="2">
        <v>241</v>
      </c>
      <c r="BK4368" s="2" t="s">
        <v>82</v>
      </c>
      <c r="BL4368" s="2"/>
      <c r="BM4368" s="2">
        <v>241</v>
      </c>
      <c r="BN4368" s="2" t="s">
        <v>82</v>
      </c>
      <c r="BO4368" s="2"/>
      <c r="BP4368" s="2">
        <v>241</v>
      </c>
      <c r="BQ4368" s="2" t="s">
        <v>82</v>
      </c>
      <c r="BR4368" s="2"/>
      <c r="BS4368" s="3">
        <v>40472</v>
      </c>
      <c r="BT4368" s="4">
        <v>0.61671296296296296</v>
      </c>
    </row>
    <row r="4369" spans="1:72" x14ac:dyDescent="0.25">
      <c r="A4369" s="2">
        <v>6604</v>
      </c>
      <c r="B4369" s="2">
        <v>2010</v>
      </c>
      <c r="C4369" s="2" t="s">
        <v>4543</v>
      </c>
      <c r="D4369" s="2" t="s">
        <v>122</v>
      </c>
      <c r="E4369" s="2" t="s">
        <v>13635</v>
      </c>
      <c r="F4369" s="2">
        <v>110</v>
      </c>
      <c r="G4369" s="2" t="s">
        <v>7444</v>
      </c>
      <c r="H4369" s="2">
        <v>22</v>
      </c>
      <c r="I4369" s="2" t="s">
        <v>75</v>
      </c>
      <c r="J4369" s="2">
        <v>126</v>
      </c>
      <c r="K4369" s="2" t="s">
        <v>7445</v>
      </c>
      <c r="L4369" s="2" t="s">
        <v>7446</v>
      </c>
      <c r="M4369" s="3">
        <v>40472</v>
      </c>
      <c r="N4369" s="2" t="s">
        <v>12899</v>
      </c>
      <c r="O4369" s="2" t="s">
        <v>13636</v>
      </c>
      <c r="P4369" s="2" t="s">
        <v>13637</v>
      </c>
      <c r="Q4369" s="2" t="str">
        <f>"0006/10"</f>
        <v>0006/10</v>
      </c>
      <c r="R4369" s="2" t="s">
        <v>13638</v>
      </c>
      <c r="S4369" s="2" t="s">
        <v>107</v>
      </c>
      <c r="T4369" s="2">
        <v>2</v>
      </c>
      <c r="U4369" s="2" t="s">
        <v>123</v>
      </c>
      <c r="V4369" s="2">
        <v>1</v>
      </c>
      <c r="W4369" s="2" t="s">
        <v>80</v>
      </c>
      <c r="X4369" s="2">
        <v>5</v>
      </c>
      <c r="Y4369" s="2" t="s">
        <v>82</v>
      </c>
      <c r="Z4369" s="2">
        <v>1</v>
      </c>
      <c r="AA4369" s="2" t="s">
        <v>82</v>
      </c>
      <c r="AB4369" s="2">
        <v>9</v>
      </c>
      <c r="AC4369" s="2" t="s">
        <v>124</v>
      </c>
      <c r="AD4369" s="3">
        <v>40472</v>
      </c>
      <c r="AE4369" s="4">
        <v>0.52083333333333337</v>
      </c>
      <c r="AF4369" s="3">
        <v>40457</v>
      </c>
      <c r="AG4369" s="4">
        <v>0.33680555555555558</v>
      </c>
      <c r="AH4369" s="2">
        <v>6</v>
      </c>
      <c r="AI4369" s="2" t="s">
        <v>197</v>
      </c>
      <c r="AJ4369" s="2">
        <v>57</v>
      </c>
      <c r="AK4369" s="2" t="s">
        <v>2344</v>
      </c>
      <c r="AL4369" s="2">
        <v>19</v>
      </c>
      <c r="AM4369" s="2" t="s">
        <v>107</v>
      </c>
      <c r="AN4369" s="2" t="s">
        <v>107</v>
      </c>
      <c r="AO4369" s="2" t="s">
        <v>82</v>
      </c>
      <c r="AP4369" s="2">
        <v>11</v>
      </c>
      <c r="AQ4369" s="2" t="s">
        <v>82</v>
      </c>
      <c r="AR4369" s="2"/>
      <c r="AS4369" s="2"/>
      <c r="AT4369" s="2" t="s">
        <v>13639</v>
      </c>
      <c r="AU4369" s="2"/>
      <c r="AV4369" s="2"/>
      <c r="AW4369" s="2"/>
      <c r="AX4369" s="2"/>
      <c r="AY4369" s="2">
        <v>41</v>
      </c>
      <c r="AZ4369" s="2" t="s">
        <v>82</v>
      </c>
      <c r="BA4369" s="2">
        <v>41</v>
      </c>
      <c r="BB4369" s="2" t="s">
        <v>82</v>
      </c>
      <c r="BC4369" s="2">
        <v>41</v>
      </c>
      <c r="BD4369" s="2" t="s">
        <v>82</v>
      </c>
      <c r="BE4369" s="2">
        <v>41</v>
      </c>
      <c r="BF4369" s="2" t="s">
        <v>82</v>
      </c>
      <c r="BG4369" s="2"/>
      <c r="BH4369" s="2"/>
      <c r="BI4369" s="2"/>
      <c r="BJ4369" s="2">
        <v>241</v>
      </c>
      <c r="BK4369" s="2" t="s">
        <v>82</v>
      </c>
      <c r="BL4369" s="2"/>
      <c r="BM4369" s="2">
        <v>241</v>
      </c>
      <c r="BN4369" s="2" t="s">
        <v>82</v>
      </c>
      <c r="BO4369" s="2"/>
      <c r="BP4369" s="2">
        <v>241</v>
      </c>
      <c r="BQ4369" s="2" t="s">
        <v>82</v>
      </c>
      <c r="BR4369" s="2"/>
      <c r="BS4369" s="3">
        <v>40472</v>
      </c>
      <c r="BT4369" s="4">
        <v>0.69200231481481478</v>
      </c>
    </row>
    <row r="4370" spans="1:72" x14ac:dyDescent="0.25">
      <c r="A4370" s="2">
        <v>6606</v>
      </c>
      <c r="B4370" s="2">
        <v>2010</v>
      </c>
      <c r="C4370" s="2" t="s">
        <v>171</v>
      </c>
      <c r="D4370" s="2" t="s">
        <v>73</v>
      </c>
      <c r="E4370" s="2" t="s">
        <v>13640</v>
      </c>
      <c r="F4370" s="2">
        <v>100</v>
      </c>
      <c r="G4370" s="2" t="s">
        <v>517</v>
      </c>
      <c r="H4370" s="2">
        <v>47</v>
      </c>
      <c r="I4370" s="2" t="s">
        <v>1409</v>
      </c>
      <c r="J4370" s="2">
        <v>119</v>
      </c>
      <c r="K4370" s="2" t="s">
        <v>325</v>
      </c>
      <c r="L4370" s="2" t="s">
        <v>326</v>
      </c>
      <c r="M4370" s="3">
        <v>40472</v>
      </c>
      <c r="N4370" s="2" t="s">
        <v>327</v>
      </c>
      <c r="O4370" s="2" t="s">
        <v>13641</v>
      </c>
      <c r="P4370" s="2" t="s">
        <v>8063</v>
      </c>
      <c r="Q4370" s="2" t="str">
        <f>""</f>
        <v/>
      </c>
      <c r="R4370" s="2"/>
      <c r="S4370" s="2"/>
      <c r="T4370" s="2">
        <v>1</v>
      </c>
      <c r="U4370" s="2" t="s">
        <v>79</v>
      </c>
      <c r="V4370" s="2">
        <v>3</v>
      </c>
      <c r="W4370" s="2" t="s">
        <v>225</v>
      </c>
      <c r="X4370" s="2">
        <v>6</v>
      </c>
      <c r="Y4370" s="2" t="s">
        <v>249</v>
      </c>
      <c r="Z4370" s="2">
        <v>1</v>
      </c>
      <c r="AA4370" s="2" t="s">
        <v>82</v>
      </c>
      <c r="AB4370" s="2">
        <v>9</v>
      </c>
      <c r="AC4370" s="2" t="s">
        <v>124</v>
      </c>
      <c r="AD4370" s="3">
        <v>40472</v>
      </c>
      <c r="AE4370" s="4">
        <v>0.4604166666666667</v>
      </c>
      <c r="AF4370" s="2"/>
      <c r="AG4370" s="2"/>
      <c r="AH4370" s="2">
        <v>6</v>
      </c>
      <c r="AI4370" s="2" t="s">
        <v>197</v>
      </c>
      <c r="AJ4370" s="2">
        <v>47</v>
      </c>
      <c r="AK4370" s="2" t="s">
        <v>250</v>
      </c>
      <c r="AL4370" s="2">
        <v>23</v>
      </c>
      <c r="AM4370" s="2" t="s">
        <v>251</v>
      </c>
      <c r="AN4370" s="2"/>
      <c r="AO4370" s="2" t="s">
        <v>13642</v>
      </c>
      <c r="AP4370" s="2">
        <v>11</v>
      </c>
      <c r="AQ4370" s="2" t="s">
        <v>82</v>
      </c>
      <c r="AR4370" s="2"/>
      <c r="AS4370" s="2"/>
      <c r="AT4370" s="2" t="s">
        <v>13643</v>
      </c>
      <c r="AU4370" s="2"/>
      <c r="AV4370" s="2"/>
      <c r="AW4370" s="2"/>
      <c r="AX4370" s="2"/>
      <c r="AY4370" s="2">
        <v>41</v>
      </c>
      <c r="AZ4370" s="2" t="s">
        <v>82</v>
      </c>
      <c r="BA4370" s="2">
        <v>41</v>
      </c>
      <c r="BB4370" s="2" t="s">
        <v>82</v>
      </c>
      <c r="BC4370" s="2">
        <v>41</v>
      </c>
      <c r="BD4370" s="2" t="s">
        <v>82</v>
      </c>
      <c r="BE4370" s="2">
        <v>41</v>
      </c>
      <c r="BF4370" s="2" t="s">
        <v>82</v>
      </c>
      <c r="BG4370" s="2"/>
      <c r="BH4370" s="2"/>
      <c r="BI4370" s="2"/>
      <c r="BJ4370" s="2">
        <v>241</v>
      </c>
      <c r="BK4370" s="2" t="s">
        <v>82</v>
      </c>
      <c r="BL4370" s="2"/>
      <c r="BM4370" s="2">
        <v>241</v>
      </c>
      <c r="BN4370" s="2" t="s">
        <v>82</v>
      </c>
      <c r="BO4370" s="2"/>
      <c r="BP4370" s="2">
        <v>241</v>
      </c>
      <c r="BQ4370" s="2" t="s">
        <v>82</v>
      </c>
      <c r="BR4370" s="2"/>
      <c r="BS4370" s="3">
        <v>40472</v>
      </c>
      <c r="BT4370" s="4">
        <v>0.70844907407407398</v>
      </c>
    </row>
    <row r="4371" spans="1:72" x14ac:dyDescent="0.25">
      <c r="A4371" s="2">
        <v>6609</v>
      </c>
      <c r="B4371" s="2">
        <v>2010</v>
      </c>
      <c r="C4371" s="2" t="s">
        <v>72</v>
      </c>
      <c r="D4371" s="2" t="s">
        <v>73</v>
      </c>
      <c r="E4371" s="2"/>
      <c r="F4371" s="2">
        <v>3</v>
      </c>
      <c r="G4371" s="2" t="s">
        <v>1041</v>
      </c>
      <c r="H4371" s="2">
        <v>108</v>
      </c>
      <c r="I4371" s="2" t="s">
        <v>1096</v>
      </c>
      <c r="J4371" s="2">
        <v>368</v>
      </c>
      <c r="K4371" s="2" t="s">
        <v>1042</v>
      </c>
      <c r="L4371" s="2" t="s">
        <v>1043</v>
      </c>
      <c r="M4371" s="3">
        <v>40472</v>
      </c>
      <c r="N4371" s="2"/>
      <c r="O4371" s="2"/>
      <c r="P4371" s="2"/>
      <c r="Q4371" s="2" t="str">
        <f>"548-E/10"</f>
        <v>548-E/10</v>
      </c>
      <c r="R4371" s="2" t="s">
        <v>116</v>
      </c>
      <c r="S4371" s="2" t="s">
        <v>116</v>
      </c>
      <c r="T4371" s="2">
        <v>1</v>
      </c>
      <c r="U4371" s="2" t="s">
        <v>79</v>
      </c>
      <c r="V4371" s="2">
        <v>1</v>
      </c>
      <c r="W4371" s="2" t="s">
        <v>80</v>
      </c>
      <c r="X4371" s="2">
        <v>12</v>
      </c>
      <c r="Y4371" s="2" t="s">
        <v>148</v>
      </c>
      <c r="Z4371" s="2">
        <v>1</v>
      </c>
      <c r="AA4371" s="2" t="s">
        <v>82</v>
      </c>
      <c r="AB4371" s="2">
        <v>6</v>
      </c>
      <c r="AC4371" s="2" t="s">
        <v>83</v>
      </c>
      <c r="AD4371" s="3">
        <v>40469</v>
      </c>
      <c r="AE4371" s="2"/>
      <c r="AF4371" s="3">
        <v>40472</v>
      </c>
      <c r="AG4371" s="4">
        <v>0.40972222222222227</v>
      </c>
      <c r="AH4371" s="2">
        <v>2</v>
      </c>
      <c r="AI4371" s="2" t="s">
        <v>84</v>
      </c>
      <c r="AJ4371" s="2">
        <v>9</v>
      </c>
      <c r="AK4371" s="2" t="s">
        <v>103</v>
      </c>
      <c r="AL4371" s="2">
        <v>21</v>
      </c>
      <c r="AM4371" s="2" t="s">
        <v>1311</v>
      </c>
      <c r="AN4371" s="2"/>
      <c r="AO4371" s="2" t="s">
        <v>13644</v>
      </c>
      <c r="AP4371" s="2">
        <v>11</v>
      </c>
      <c r="AQ4371" s="2" t="s">
        <v>82</v>
      </c>
      <c r="AR4371" s="2"/>
      <c r="AS4371" s="2"/>
      <c r="AT4371" s="2" t="s">
        <v>13645</v>
      </c>
      <c r="AU4371" s="2"/>
      <c r="AV4371" s="2"/>
      <c r="AW4371" s="2"/>
      <c r="AX4371" s="2"/>
      <c r="AY4371" s="2">
        <v>13</v>
      </c>
      <c r="AZ4371" s="2" t="s">
        <v>108</v>
      </c>
      <c r="BA4371" s="2">
        <v>41</v>
      </c>
      <c r="BB4371" s="2" t="s">
        <v>82</v>
      </c>
      <c r="BC4371" s="2">
        <v>41</v>
      </c>
      <c r="BD4371" s="2" t="s">
        <v>82</v>
      </c>
      <c r="BE4371" s="2">
        <v>41</v>
      </c>
      <c r="BF4371" s="2" t="s">
        <v>82</v>
      </c>
      <c r="BG4371" s="2"/>
      <c r="BH4371" s="2"/>
      <c r="BI4371" s="2"/>
      <c r="BJ4371" s="2">
        <v>241</v>
      </c>
      <c r="BK4371" s="2" t="s">
        <v>82</v>
      </c>
      <c r="BL4371" s="2"/>
      <c r="BM4371" s="2">
        <v>241</v>
      </c>
      <c r="BN4371" s="2" t="s">
        <v>82</v>
      </c>
      <c r="BO4371" s="2"/>
      <c r="BP4371" s="2">
        <v>241</v>
      </c>
      <c r="BQ4371" s="2" t="s">
        <v>82</v>
      </c>
      <c r="BR4371" s="2"/>
      <c r="BS4371" s="3">
        <v>40472</v>
      </c>
      <c r="BT4371" s="4">
        <v>0.7163194444444444</v>
      </c>
    </row>
    <row r="4372" spans="1:72" x14ac:dyDescent="0.25">
      <c r="A4372" s="2">
        <v>6611</v>
      </c>
      <c r="B4372" s="2">
        <v>2010</v>
      </c>
      <c r="C4372" s="2" t="s">
        <v>171</v>
      </c>
      <c r="D4372" s="2" t="s">
        <v>73</v>
      </c>
      <c r="E4372" s="2"/>
      <c r="F4372" s="2">
        <v>396</v>
      </c>
      <c r="G4372" s="2" t="s">
        <v>2159</v>
      </c>
      <c r="H4372" s="2">
        <v>9</v>
      </c>
      <c r="I4372" s="2" t="s">
        <v>794</v>
      </c>
      <c r="J4372" s="2">
        <v>243</v>
      </c>
      <c r="K4372" s="2" t="s">
        <v>2160</v>
      </c>
      <c r="L4372" s="2" t="s">
        <v>2145</v>
      </c>
      <c r="M4372" s="3">
        <v>40472</v>
      </c>
      <c r="N4372" s="2" t="s">
        <v>12844</v>
      </c>
      <c r="O4372" s="2" t="s">
        <v>13646</v>
      </c>
      <c r="P4372" s="2">
        <v>13144</v>
      </c>
      <c r="Q4372" s="2" t="str">
        <f>""</f>
        <v/>
      </c>
      <c r="R4372" s="2"/>
      <c r="S4372" s="2"/>
      <c r="T4372" s="2">
        <v>1</v>
      </c>
      <c r="U4372" s="2" t="s">
        <v>79</v>
      </c>
      <c r="V4372" s="2">
        <v>3</v>
      </c>
      <c r="W4372" s="2" t="s">
        <v>225</v>
      </c>
      <c r="X4372" s="2">
        <v>6</v>
      </c>
      <c r="Y4372" s="2" t="s">
        <v>249</v>
      </c>
      <c r="Z4372" s="2">
        <v>1</v>
      </c>
      <c r="AA4372" s="2" t="s">
        <v>82</v>
      </c>
      <c r="AB4372" s="2">
        <v>9</v>
      </c>
      <c r="AC4372" s="2" t="s">
        <v>124</v>
      </c>
      <c r="AD4372" s="3">
        <v>40470</v>
      </c>
      <c r="AE4372" s="2"/>
      <c r="AF4372" s="2"/>
      <c r="AG4372" s="2"/>
      <c r="AH4372" s="2">
        <v>2</v>
      </c>
      <c r="AI4372" s="2" t="s">
        <v>84</v>
      </c>
      <c r="AJ4372" s="2">
        <v>6</v>
      </c>
      <c r="AK4372" s="2" t="s">
        <v>453</v>
      </c>
      <c r="AL4372" s="2">
        <v>23</v>
      </c>
      <c r="AM4372" s="2" t="s">
        <v>251</v>
      </c>
      <c r="AN4372" s="2"/>
      <c r="AO4372" s="2" t="s">
        <v>13647</v>
      </c>
      <c r="AP4372" s="2">
        <v>11</v>
      </c>
      <c r="AQ4372" s="2" t="s">
        <v>82</v>
      </c>
      <c r="AR4372" s="2"/>
      <c r="AS4372" s="2"/>
      <c r="AT4372" s="2" t="s">
        <v>13648</v>
      </c>
      <c r="AU4372" s="2"/>
      <c r="AV4372" s="2"/>
      <c r="AW4372" s="2"/>
      <c r="AX4372" s="2"/>
      <c r="AY4372" s="2">
        <v>41</v>
      </c>
      <c r="AZ4372" s="2" t="s">
        <v>82</v>
      </c>
      <c r="BA4372" s="2">
        <v>41</v>
      </c>
      <c r="BB4372" s="2" t="s">
        <v>82</v>
      </c>
      <c r="BC4372" s="2">
        <v>41</v>
      </c>
      <c r="BD4372" s="2" t="s">
        <v>82</v>
      </c>
      <c r="BE4372" s="2">
        <v>41</v>
      </c>
      <c r="BF4372" s="2" t="s">
        <v>82</v>
      </c>
      <c r="BG4372" s="2"/>
      <c r="BH4372" s="2"/>
      <c r="BI4372" s="2"/>
      <c r="BJ4372" s="2">
        <v>241</v>
      </c>
      <c r="BK4372" s="2" t="s">
        <v>82</v>
      </c>
      <c r="BL4372" s="2"/>
      <c r="BM4372" s="2">
        <v>241</v>
      </c>
      <c r="BN4372" s="2" t="s">
        <v>82</v>
      </c>
      <c r="BO4372" s="2"/>
      <c r="BP4372" s="2">
        <v>241</v>
      </c>
      <c r="BQ4372" s="2" t="s">
        <v>82</v>
      </c>
      <c r="BR4372" s="2"/>
      <c r="BS4372" s="3">
        <v>40472</v>
      </c>
      <c r="BT4372" s="4">
        <v>0.72025462962962961</v>
      </c>
    </row>
    <row r="4373" spans="1:72" x14ac:dyDescent="0.25">
      <c r="A4373" s="2">
        <v>6613</v>
      </c>
      <c r="B4373" s="2">
        <v>2010</v>
      </c>
      <c r="C4373" s="2" t="s">
        <v>414</v>
      </c>
      <c r="D4373" s="2" t="s">
        <v>122</v>
      </c>
      <c r="E4373" s="2"/>
      <c r="F4373" s="2">
        <v>1</v>
      </c>
      <c r="G4373" s="2" t="s">
        <v>82</v>
      </c>
      <c r="H4373" s="2">
        <v>1</v>
      </c>
      <c r="I4373" s="2" t="s">
        <v>82</v>
      </c>
      <c r="J4373" s="2">
        <v>1</v>
      </c>
      <c r="K4373" s="2" t="s">
        <v>107</v>
      </c>
      <c r="L4373" s="2" t="s">
        <v>107</v>
      </c>
      <c r="M4373" s="3">
        <v>40472</v>
      </c>
      <c r="N4373" s="2"/>
      <c r="O4373" s="2"/>
      <c r="P4373" s="2"/>
      <c r="Q4373" s="2" t="str">
        <f>"AP 0803/10"</f>
        <v>AP 0803/10</v>
      </c>
      <c r="R4373" s="2" t="s">
        <v>7160</v>
      </c>
      <c r="S4373" s="2"/>
      <c r="T4373" s="2">
        <v>1</v>
      </c>
      <c r="U4373" s="2" t="s">
        <v>79</v>
      </c>
      <c r="V4373" s="2">
        <v>1</v>
      </c>
      <c r="W4373" s="2" t="s">
        <v>80</v>
      </c>
      <c r="X4373" s="2">
        <v>12</v>
      </c>
      <c r="Y4373" s="2" t="s">
        <v>148</v>
      </c>
      <c r="Z4373" s="2">
        <v>1</v>
      </c>
      <c r="AA4373" s="2" t="s">
        <v>82</v>
      </c>
      <c r="AB4373" s="2">
        <v>9</v>
      </c>
      <c r="AC4373" s="2" t="s">
        <v>124</v>
      </c>
      <c r="AD4373" s="3">
        <v>40472</v>
      </c>
      <c r="AE4373" s="4">
        <v>0.63263888888888886</v>
      </c>
      <c r="AF4373" s="3">
        <v>40472</v>
      </c>
      <c r="AG4373" s="4">
        <v>0.63263888888888886</v>
      </c>
      <c r="AH4373" s="2">
        <v>6</v>
      </c>
      <c r="AI4373" s="2" t="s">
        <v>197</v>
      </c>
      <c r="AJ4373" s="2">
        <v>50</v>
      </c>
      <c r="AK4373" s="2" t="s">
        <v>330</v>
      </c>
      <c r="AL4373" s="2">
        <v>11</v>
      </c>
      <c r="AM4373" s="2" t="s">
        <v>137</v>
      </c>
      <c r="AN4373" s="2"/>
      <c r="AO4373" s="2" t="s">
        <v>13649</v>
      </c>
      <c r="AP4373" s="2">
        <v>11</v>
      </c>
      <c r="AQ4373" s="2" t="s">
        <v>82</v>
      </c>
      <c r="AR4373" s="2"/>
      <c r="AS4373" s="2"/>
      <c r="AT4373" s="2" t="s">
        <v>13650</v>
      </c>
      <c r="AU4373" s="2"/>
      <c r="AV4373" s="2"/>
      <c r="AW4373" s="2"/>
      <c r="AX4373" s="2"/>
      <c r="AY4373" s="2">
        <v>41</v>
      </c>
      <c r="AZ4373" s="2" t="s">
        <v>82</v>
      </c>
      <c r="BA4373" s="2">
        <v>41</v>
      </c>
      <c r="BB4373" s="2" t="s">
        <v>82</v>
      </c>
      <c r="BC4373" s="2">
        <v>41</v>
      </c>
      <c r="BD4373" s="2" t="s">
        <v>82</v>
      </c>
      <c r="BE4373" s="2">
        <v>41</v>
      </c>
      <c r="BF4373" s="2" t="s">
        <v>82</v>
      </c>
      <c r="BG4373" s="2"/>
      <c r="BH4373" s="2"/>
      <c r="BI4373" s="2"/>
      <c r="BJ4373" s="2">
        <v>241</v>
      </c>
      <c r="BK4373" s="2" t="s">
        <v>82</v>
      </c>
      <c r="BL4373" s="2"/>
      <c r="BM4373" s="2">
        <v>241</v>
      </c>
      <c r="BN4373" s="2" t="s">
        <v>82</v>
      </c>
      <c r="BO4373" s="2"/>
      <c r="BP4373" s="2">
        <v>241</v>
      </c>
      <c r="BQ4373" s="2" t="s">
        <v>82</v>
      </c>
      <c r="BR4373" s="2"/>
      <c r="BS4373" s="3">
        <v>40472</v>
      </c>
      <c r="BT4373" s="4">
        <v>0.74725694444444446</v>
      </c>
    </row>
    <row r="4374" spans="1:72" x14ac:dyDescent="0.25">
      <c r="A4374" s="2">
        <v>6614</v>
      </c>
      <c r="B4374" s="2">
        <v>2010</v>
      </c>
      <c r="C4374" s="2" t="s">
        <v>171</v>
      </c>
      <c r="D4374" s="2" t="s">
        <v>122</v>
      </c>
      <c r="E4374" s="2"/>
      <c r="F4374" s="2">
        <v>475</v>
      </c>
      <c r="G4374" s="2" t="s">
        <v>1271</v>
      </c>
      <c r="H4374" s="2">
        <v>24</v>
      </c>
      <c r="I4374" s="2" t="s">
        <v>287</v>
      </c>
      <c r="J4374" s="2">
        <v>385</v>
      </c>
      <c r="K4374" s="2" t="s">
        <v>1314</v>
      </c>
      <c r="L4374" s="2" t="s">
        <v>1315</v>
      </c>
      <c r="M4374" s="3">
        <v>40472</v>
      </c>
      <c r="N4374" s="2" t="s">
        <v>13651</v>
      </c>
      <c r="O4374" s="2" t="s">
        <v>13652</v>
      </c>
      <c r="P4374" s="2" t="s">
        <v>13653</v>
      </c>
      <c r="Q4374" s="2" t="str">
        <f>"024/10"</f>
        <v>024/10</v>
      </c>
      <c r="R4374" s="2"/>
      <c r="S4374" s="2"/>
      <c r="T4374" s="2">
        <v>1</v>
      </c>
      <c r="U4374" s="2" t="s">
        <v>79</v>
      </c>
      <c r="V4374" s="2">
        <v>1</v>
      </c>
      <c r="W4374" s="2" t="s">
        <v>80</v>
      </c>
      <c r="X4374" s="2">
        <v>8</v>
      </c>
      <c r="Y4374" s="2" t="s">
        <v>375</v>
      </c>
      <c r="Z4374" s="2">
        <v>10</v>
      </c>
      <c r="AA4374" s="2" t="s">
        <v>236</v>
      </c>
      <c r="AB4374" s="2">
        <v>1</v>
      </c>
      <c r="AC4374" s="2" t="s">
        <v>178</v>
      </c>
      <c r="AD4374" s="2"/>
      <c r="AE4374" s="2"/>
      <c r="AF4374" s="3">
        <v>40466</v>
      </c>
      <c r="AG4374" s="4">
        <v>0.53125</v>
      </c>
      <c r="AH4374" s="2">
        <v>5</v>
      </c>
      <c r="AI4374" s="2" t="s">
        <v>274</v>
      </c>
      <c r="AJ4374" s="2">
        <v>35</v>
      </c>
      <c r="AK4374" s="2" t="s">
        <v>275</v>
      </c>
      <c r="AL4374" s="2">
        <v>19</v>
      </c>
      <c r="AM4374" s="2" t="s">
        <v>107</v>
      </c>
      <c r="AN4374" s="2" t="s">
        <v>13654</v>
      </c>
      <c r="AO4374" s="2" t="s">
        <v>6998</v>
      </c>
      <c r="AP4374" s="2">
        <v>11</v>
      </c>
      <c r="AQ4374" s="2" t="s">
        <v>82</v>
      </c>
      <c r="AR4374" s="2"/>
      <c r="AS4374" s="2"/>
      <c r="AT4374" s="2" t="s">
        <v>13655</v>
      </c>
      <c r="AU4374" s="2"/>
      <c r="AV4374" s="2"/>
      <c r="AW4374" s="2"/>
      <c r="AX4374" s="2"/>
      <c r="AY4374" s="2">
        <v>41</v>
      </c>
      <c r="AZ4374" s="2" t="s">
        <v>82</v>
      </c>
      <c r="BA4374" s="2">
        <v>41</v>
      </c>
      <c r="BB4374" s="2" t="s">
        <v>82</v>
      </c>
      <c r="BC4374" s="2">
        <v>41</v>
      </c>
      <c r="BD4374" s="2" t="s">
        <v>82</v>
      </c>
      <c r="BE4374" s="2">
        <v>41</v>
      </c>
      <c r="BF4374" s="2" t="s">
        <v>82</v>
      </c>
      <c r="BG4374" s="2"/>
      <c r="BH4374" s="2"/>
      <c r="BI4374" s="2"/>
      <c r="BJ4374" s="2">
        <v>241</v>
      </c>
      <c r="BK4374" s="2" t="s">
        <v>82</v>
      </c>
      <c r="BL4374" s="2"/>
      <c r="BM4374" s="2">
        <v>241</v>
      </c>
      <c r="BN4374" s="2" t="s">
        <v>82</v>
      </c>
      <c r="BO4374" s="2"/>
      <c r="BP4374" s="2">
        <v>241</v>
      </c>
      <c r="BQ4374" s="2" t="s">
        <v>82</v>
      </c>
      <c r="BR4374" s="2"/>
      <c r="BS4374" s="3">
        <v>40472</v>
      </c>
      <c r="BT4374" s="4">
        <v>0.74733796296296295</v>
      </c>
    </row>
    <row r="4375" spans="1:72" x14ac:dyDescent="0.25">
      <c r="A4375" s="2">
        <v>6615</v>
      </c>
      <c r="B4375" s="2">
        <v>2010</v>
      </c>
      <c r="C4375" s="2" t="s">
        <v>121</v>
      </c>
      <c r="D4375" s="2" t="s">
        <v>122</v>
      </c>
      <c r="E4375" s="2"/>
      <c r="F4375" s="2">
        <v>1</v>
      </c>
      <c r="G4375" s="2" t="s">
        <v>82</v>
      </c>
      <c r="H4375" s="2">
        <v>1</v>
      </c>
      <c r="I4375" s="2" t="s">
        <v>82</v>
      </c>
      <c r="J4375" s="2">
        <v>1</v>
      </c>
      <c r="K4375" s="2" t="s">
        <v>107</v>
      </c>
      <c r="L4375" s="2" t="s">
        <v>107</v>
      </c>
      <c r="M4375" s="3">
        <v>40472</v>
      </c>
      <c r="N4375" s="2" t="s">
        <v>82</v>
      </c>
      <c r="O4375" s="2" t="s">
        <v>82</v>
      </c>
      <c r="P4375" s="2" t="s">
        <v>82</v>
      </c>
      <c r="Q4375" s="2" t="str">
        <f>"N/C"</f>
        <v>N/C</v>
      </c>
      <c r="R4375" s="2" t="s">
        <v>82</v>
      </c>
      <c r="S4375" s="2" t="s">
        <v>82</v>
      </c>
      <c r="T4375" s="2">
        <v>2</v>
      </c>
      <c r="U4375" s="2" t="s">
        <v>123</v>
      </c>
      <c r="V4375" s="2">
        <v>1</v>
      </c>
      <c r="W4375" s="2" t="s">
        <v>80</v>
      </c>
      <c r="X4375" s="2">
        <v>11</v>
      </c>
      <c r="Y4375" s="2" t="s">
        <v>1920</v>
      </c>
      <c r="Z4375" s="2">
        <v>4</v>
      </c>
      <c r="AA4375" s="2" t="s">
        <v>182</v>
      </c>
      <c r="AB4375" s="2">
        <v>9</v>
      </c>
      <c r="AC4375" s="2" t="s">
        <v>124</v>
      </c>
      <c r="AD4375" s="3">
        <v>40472</v>
      </c>
      <c r="AE4375" s="4">
        <v>0.52083333333333337</v>
      </c>
      <c r="AF4375" s="2"/>
      <c r="AG4375" s="2"/>
      <c r="AH4375" s="2">
        <v>5</v>
      </c>
      <c r="AI4375" s="2" t="s">
        <v>274</v>
      </c>
      <c r="AJ4375" s="2">
        <v>45</v>
      </c>
      <c r="AK4375" s="2" t="s">
        <v>834</v>
      </c>
      <c r="AL4375" s="2">
        <v>10</v>
      </c>
      <c r="AM4375" s="2" t="s">
        <v>200</v>
      </c>
      <c r="AN4375" s="2" t="s">
        <v>82</v>
      </c>
      <c r="AO4375" s="2" t="s">
        <v>82</v>
      </c>
      <c r="AP4375" s="2">
        <v>11</v>
      </c>
      <c r="AQ4375" s="2" t="s">
        <v>82</v>
      </c>
      <c r="AR4375" s="2" t="s">
        <v>82</v>
      </c>
      <c r="AS4375" s="2" t="s">
        <v>82</v>
      </c>
      <c r="AT4375" s="2" t="s">
        <v>13656</v>
      </c>
      <c r="AU4375" s="2"/>
      <c r="AV4375" s="2"/>
      <c r="AW4375" s="2"/>
      <c r="AX4375" s="2"/>
      <c r="AY4375" s="2">
        <v>41</v>
      </c>
      <c r="AZ4375" s="2" t="s">
        <v>82</v>
      </c>
      <c r="BA4375" s="2">
        <v>41</v>
      </c>
      <c r="BB4375" s="2" t="s">
        <v>82</v>
      </c>
      <c r="BC4375" s="2">
        <v>41</v>
      </c>
      <c r="BD4375" s="2" t="s">
        <v>82</v>
      </c>
      <c r="BE4375" s="2">
        <v>42</v>
      </c>
      <c r="BF4375" s="2" t="s">
        <v>182</v>
      </c>
      <c r="BG4375" s="2" t="s">
        <v>13657</v>
      </c>
      <c r="BH4375" s="4">
        <v>0.5625</v>
      </c>
      <c r="BI4375" s="4">
        <v>0.69444444444444453</v>
      </c>
      <c r="BJ4375" s="2">
        <v>13</v>
      </c>
      <c r="BK4375" s="2" t="s">
        <v>91</v>
      </c>
      <c r="BL4375" s="2" t="s">
        <v>13658</v>
      </c>
      <c r="BM4375" s="2">
        <v>13</v>
      </c>
      <c r="BN4375" s="2" t="s">
        <v>91</v>
      </c>
      <c r="BO4375" s="2"/>
      <c r="BP4375" s="2">
        <v>13</v>
      </c>
      <c r="BQ4375" s="2" t="s">
        <v>91</v>
      </c>
      <c r="BR4375" s="2" t="s">
        <v>534</v>
      </c>
      <c r="BS4375" s="3">
        <v>40472</v>
      </c>
      <c r="BT4375" s="4">
        <v>0.76802083333333337</v>
      </c>
    </row>
    <row r="4376" spans="1:72" x14ac:dyDescent="0.25">
      <c r="A4376" s="2">
        <v>6618</v>
      </c>
      <c r="B4376" s="2">
        <v>2010</v>
      </c>
      <c r="C4376" s="2" t="s">
        <v>171</v>
      </c>
      <c r="D4376" s="2" t="s">
        <v>73</v>
      </c>
      <c r="E4376" s="2"/>
      <c r="F4376" s="2">
        <v>397</v>
      </c>
      <c r="G4376" s="2" t="s">
        <v>2522</v>
      </c>
      <c r="H4376" s="2">
        <v>10</v>
      </c>
      <c r="I4376" s="2" t="s">
        <v>1031</v>
      </c>
      <c r="J4376" s="2">
        <v>245</v>
      </c>
      <c r="K4376" s="2" t="s">
        <v>96</v>
      </c>
      <c r="L4376" s="2" t="s">
        <v>97</v>
      </c>
      <c r="M4376" s="3">
        <v>40472</v>
      </c>
      <c r="N4376" s="2" t="s">
        <v>2873</v>
      </c>
      <c r="O4376" s="2" t="s">
        <v>13659</v>
      </c>
      <c r="P4376" s="2" t="s">
        <v>13660</v>
      </c>
      <c r="Q4376" s="2" t="str">
        <f>"540-E/10"</f>
        <v>540-E/10</v>
      </c>
      <c r="R4376" s="2" t="s">
        <v>391</v>
      </c>
      <c r="S4376" s="2"/>
      <c r="T4376" s="2">
        <v>1</v>
      </c>
      <c r="U4376" s="2" t="s">
        <v>79</v>
      </c>
      <c r="V4376" s="2">
        <v>3</v>
      </c>
      <c r="W4376" s="2" t="s">
        <v>225</v>
      </c>
      <c r="X4376" s="2">
        <v>6</v>
      </c>
      <c r="Y4376" s="2" t="s">
        <v>249</v>
      </c>
      <c r="Z4376" s="2">
        <v>1</v>
      </c>
      <c r="AA4376" s="2" t="s">
        <v>82</v>
      </c>
      <c r="AB4376" s="2">
        <v>9</v>
      </c>
      <c r="AC4376" s="2" t="s">
        <v>124</v>
      </c>
      <c r="AD4376" s="3">
        <v>40471</v>
      </c>
      <c r="AE4376" s="2"/>
      <c r="AF4376" s="3">
        <v>40468</v>
      </c>
      <c r="AG4376" s="4">
        <v>2.7777777777777776E-2</v>
      </c>
      <c r="AH4376" s="2">
        <v>2</v>
      </c>
      <c r="AI4376" s="2" t="s">
        <v>84</v>
      </c>
      <c r="AJ4376" s="2">
        <v>6</v>
      </c>
      <c r="AK4376" s="2" t="s">
        <v>453</v>
      </c>
      <c r="AL4376" s="2">
        <v>23</v>
      </c>
      <c r="AM4376" s="2" t="s">
        <v>251</v>
      </c>
      <c r="AN4376" s="2"/>
      <c r="AO4376" s="2" t="s">
        <v>13661</v>
      </c>
      <c r="AP4376" s="2">
        <v>11</v>
      </c>
      <c r="AQ4376" s="2" t="s">
        <v>82</v>
      </c>
      <c r="AR4376" s="2"/>
      <c r="AS4376" s="2"/>
      <c r="AT4376" s="2" t="s">
        <v>13662</v>
      </c>
      <c r="AU4376" s="2"/>
      <c r="AV4376" s="2"/>
      <c r="AW4376" s="2"/>
      <c r="AX4376" s="2"/>
      <c r="AY4376" s="2">
        <v>41</v>
      </c>
      <c r="AZ4376" s="2" t="s">
        <v>82</v>
      </c>
      <c r="BA4376" s="2">
        <v>41</v>
      </c>
      <c r="BB4376" s="2" t="s">
        <v>82</v>
      </c>
      <c r="BC4376" s="2">
        <v>41</v>
      </c>
      <c r="BD4376" s="2" t="s">
        <v>82</v>
      </c>
      <c r="BE4376" s="2">
        <v>41</v>
      </c>
      <c r="BF4376" s="2" t="s">
        <v>82</v>
      </c>
      <c r="BG4376" s="2"/>
      <c r="BH4376" s="2"/>
      <c r="BI4376" s="2"/>
      <c r="BJ4376" s="2">
        <v>241</v>
      </c>
      <c r="BK4376" s="2" t="s">
        <v>82</v>
      </c>
      <c r="BL4376" s="2"/>
      <c r="BM4376" s="2">
        <v>241</v>
      </c>
      <c r="BN4376" s="2" t="s">
        <v>82</v>
      </c>
      <c r="BO4376" s="2"/>
      <c r="BP4376" s="2">
        <v>241</v>
      </c>
      <c r="BQ4376" s="2" t="s">
        <v>82</v>
      </c>
      <c r="BR4376" s="2"/>
      <c r="BS4376" s="3">
        <v>40472</v>
      </c>
      <c r="BT4376" s="4">
        <v>0.84761574074074064</v>
      </c>
    </row>
    <row r="4377" spans="1:72" x14ac:dyDescent="0.25">
      <c r="A4377" s="2">
        <v>6619</v>
      </c>
      <c r="B4377" s="2">
        <v>2010</v>
      </c>
      <c r="C4377" s="2" t="s">
        <v>418</v>
      </c>
      <c r="D4377" s="2" t="s">
        <v>122</v>
      </c>
      <c r="E4377" s="2" t="s">
        <v>13663</v>
      </c>
      <c r="F4377" s="2">
        <v>1</v>
      </c>
      <c r="G4377" s="2" t="s">
        <v>82</v>
      </c>
      <c r="H4377" s="2">
        <v>1</v>
      </c>
      <c r="I4377" s="2" t="s">
        <v>82</v>
      </c>
      <c r="J4377" s="2">
        <v>1</v>
      </c>
      <c r="K4377" s="2" t="s">
        <v>107</v>
      </c>
      <c r="L4377" s="2" t="s">
        <v>107</v>
      </c>
      <c r="M4377" s="3">
        <v>40472</v>
      </c>
      <c r="N4377" s="2"/>
      <c r="O4377" s="2"/>
      <c r="P4377" s="2"/>
      <c r="Q4377" s="2" t="str">
        <f>""</f>
        <v/>
      </c>
      <c r="R4377" s="2"/>
      <c r="S4377" s="2"/>
      <c r="T4377" s="2">
        <v>2</v>
      </c>
      <c r="U4377" s="2" t="s">
        <v>123</v>
      </c>
      <c r="V4377" s="2">
        <v>1</v>
      </c>
      <c r="W4377" s="2" t="s">
        <v>80</v>
      </c>
      <c r="X4377" s="2">
        <v>5</v>
      </c>
      <c r="Y4377" s="2" t="s">
        <v>82</v>
      </c>
      <c r="Z4377" s="2">
        <v>1</v>
      </c>
      <c r="AA4377" s="2" t="s">
        <v>82</v>
      </c>
      <c r="AB4377" s="2">
        <v>9</v>
      </c>
      <c r="AC4377" s="2" t="s">
        <v>124</v>
      </c>
      <c r="AD4377" s="3">
        <v>40472</v>
      </c>
      <c r="AE4377" s="4">
        <v>0.5</v>
      </c>
      <c r="AF4377" s="2"/>
      <c r="AG4377" s="2"/>
      <c r="AH4377" s="2">
        <v>4</v>
      </c>
      <c r="AI4377" s="2" t="s">
        <v>125</v>
      </c>
      <c r="AJ4377" s="2">
        <v>33</v>
      </c>
      <c r="AK4377" s="2" t="s">
        <v>126</v>
      </c>
      <c r="AL4377" s="2">
        <v>10</v>
      </c>
      <c r="AM4377" s="2" t="s">
        <v>200</v>
      </c>
      <c r="AN4377" s="2" t="s">
        <v>13527</v>
      </c>
      <c r="AO4377" s="2"/>
      <c r="AP4377" s="2">
        <v>11</v>
      </c>
      <c r="AQ4377" s="2" t="s">
        <v>82</v>
      </c>
      <c r="AR4377" s="2"/>
      <c r="AS4377" s="2"/>
      <c r="AT4377" s="2" t="s">
        <v>13664</v>
      </c>
      <c r="AU4377" s="2"/>
      <c r="AV4377" s="2"/>
      <c r="AW4377" s="2"/>
      <c r="AX4377" s="2"/>
      <c r="AY4377" s="2">
        <v>41</v>
      </c>
      <c r="AZ4377" s="2" t="s">
        <v>82</v>
      </c>
      <c r="BA4377" s="2">
        <v>41</v>
      </c>
      <c r="BB4377" s="2" t="s">
        <v>82</v>
      </c>
      <c r="BC4377" s="2">
        <v>41</v>
      </c>
      <c r="BD4377" s="2" t="s">
        <v>82</v>
      </c>
      <c r="BE4377" s="2">
        <v>41</v>
      </c>
      <c r="BF4377" s="2" t="s">
        <v>82</v>
      </c>
      <c r="BG4377" s="2"/>
      <c r="BH4377" s="2"/>
      <c r="BI4377" s="2"/>
      <c r="BJ4377" s="2">
        <v>241</v>
      </c>
      <c r="BK4377" s="2" t="s">
        <v>82</v>
      </c>
      <c r="BL4377" s="2"/>
      <c r="BM4377" s="2">
        <v>241</v>
      </c>
      <c r="BN4377" s="2" t="s">
        <v>82</v>
      </c>
      <c r="BO4377" s="2"/>
      <c r="BP4377" s="2">
        <v>241</v>
      </c>
      <c r="BQ4377" s="2" t="s">
        <v>82</v>
      </c>
      <c r="BR4377" s="2"/>
      <c r="BS4377" s="3">
        <v>40472</v>
      </c>
      <c r="BT4377" s="4">
        <v>0.8480092592592593</v>
      </c>
    </row>
    <row r="4378" spans="1:72" x14ac:dyDescent="0.25">
      <c r="A4378" s="2">
        <v>6621</v>
      </c>
      <c r="B4378" s="2">
        <v>2010</v>
      </c>
      <c r="C4378" s="2" t="s">
        <v>4543</v>
      </c>
      <c r="D4378" s="2" t="s">
        <v>122</v>
      </c>
      <c r="E4378" s="2"/>
      <c r="F4378" s="2">
        <v>1</v>
      </c>
      <c r="G4378" s="2" t="s">
        <v>82</v>
      </c>
      <c r="H4378" s="2">
        <v>1</v>
      </c>
      <c r="I4378" s="2" t="s">
        <v>82</v>
      </c>
      <c r="J4378" s="2">
        <v>1</v>
      </c>
      <c r="K4378" s="2" t="s">
        <v>107</v>
      </c>
      <c r="L4378" s="2" t="s">
        <v>107</v>
      </c>
      <c r="M4378" s="3">
        <v>40472</v>
      </c>
      <c r="N4378" s="2"/>
      <c r="O4378" s="2"/>
      <c r="P4378" s="2"/>
      <c r="Q4378" s="2" t="str">
        <f>""</f>
        <v/>
      </c>
      <c r="R4378" s="2"/>
      <c r="S4378" s="2"/>
      <c r="T4378" s="2">
        <v>2</v>
      </c>
      <c r="U4378" s="2" t="s">
        <v>123</v>
      </c>
      <c r="V4378" s="2">
        <v>1</v>
      </c>
      <c r="W4378" s="2" t="s">
        <v>80</v>
      </c>
      <c r="X4378" s="2">
        <v>11</v>
      </c>
      <c r="Y4378" s="2" t="s">
        <v>1920</v>
      </c>
      <c r="Z4378" s="2">
        <v>1</v>
      </c>
      <c r="AA4378" s="2" t="s">
        <v>82</v>
      </c>
      <c r="AB4378" s="2">
        <v>9</v>
      </c>
      <c r="AC4378" s="2" t="s">
        <v>124</v>
      </c>
      <c r="AD4378" s="3">
        <v>40472</v>
      </c>
      <c r="AE4378" s="4">
        <v>0.89236111111111116</v>
      </c>
      <c r="AF4378" s="2"/>
      <c r="AG4378" s="2"/>
      <c r="AH4378" s="2">
        <v>6</v>
      </c>
      <c r="AI4378" s="2" t="s">
        <v>197</v>
      </c>
      <c r="AJ4378" s="2">
        <v>54</v>
      </c>
      <c r="AK4378" s="2" t="s">
        <v>348</v>
      </c>
      <c r="AL4378" s="2">
        <v>19</v>
      </c>
      <c r="AM4378" s="2" t="s">
        <v>107</v>
      </c>
      <c r="AN4378" s="2" t="s">
        <v>595</v>
      </c>
      <c r="AO4378" s="2" t="s">
        <v>200</v>
      </c>
      <c r="AP4378" s="2">
        <v>12</v>
      </c>
      <c r="AQ4378" s="2" t="s">
        <v>322</v>
      </c>
      <c r="AR4378" s="2" t="s">
        <v>596</v>
      </c>
      <c r="AS4378" s="2" t="s">
        <v>596</v>
      </c>
      <c r="AT4378" s="2" t="s">
        <v>13665</v>
      </c>
      <c r="AU4378" s="2"/>
      <c r="AV4378" s="2"/>
      <c r="AW4378" s="2"/>
      <c r="AX4378" s="2"/>
      <c r="AY4378" s="2">
        <v>41</v>
      </c>
      <c r="AZ4378" s="2" t="s">
        <v>82</v>
      </c>
      <c r="BA4378" s="2">
        <v>41</v>
      </c>
      <c r="BB4378" s="2" t="s">
        <v>82</v>
      </c>
      <c r="BC4378" s="2">
        <v>41</v>
      </c>
      <c r="BD4378" s="2" t="s">
        <v>82</v>
      </c>
      <c r="BE4378" s="2">
        <v>47</v>
      </c>
      <c r="BF4378" s="2" t="s">
        <v>167</v>
      </c>
      <c r="BG4378" s="2" t="s">
        <v>848</v>
      </c>
      <c r="BH4378" s="4">
        <v>0.83472222222222225</v>
      </c>
      <c r="BI4378" s="4">
        <v>0.875</v>
      </c>
      <c r="BJ4378" s="2">
        <v>13</v>
      </c>
      <c r="BK4378" s="2" t="s">
        <v>91</v>
      </c>
      <c r="BL4378" s="2" t="s">
        <v>2764</v>
      </c>
      <c r="BM4378" s="2">
        <v>13</v>
      </c>
      <c r="BN4378" s="2" t="s">
        <v>91</v>
      </c>
      <c r="BO4378" s="2"/>
      <c r="BP4378" s="2">
        <v>13</v>
      </c>
      <c r="BQ4378" s="2" t="s">
        <v>91</v>
      </c>
      <c r="BR4378" s="2" t="s">
        <v>2168</v>
      </c>
      <c r="BS4378" s="3">
        <v>40472</v>
      </c>
      <c r="BT4378" s="4">
        <v>0.93896990740740749</v>
      </c>
    </row>
    <row r="4379" spans="1:72" x14ac:dyDescent="0.25">
      <c r="A4379" s="2">
        <v>6622</v>
      </c>
      <c r="B4379" s="2">
        <v>2010</v>
      </c>
      <c r="C4379" s="2" t="s">
        <v>819</v>
      </c>
      <c r="D4379" s="2" t="s">
        <v>122</v>
      </c>
      <c r="E4379" s="2"/>
      <c r="F4379" s="2">
        <v>425</v>
      </c>
      <c r="G4379" s="2" t="s">
        <v>286</v>
      </c>
      <c r="H4379" s="2">
        <v>30</v>
      </c>
      <c r="I4379" s="2" t="s">
        <v>912</v>
      </c>
      <c r="J4379" s="2">
        <v>310</v>
      </c>
      <c r="K4379" s="2" t="s">
        <v>288</v>
      </c>
      <c r="L4379" s="2" t="s">
        <v>289</v>
      </c>
      <c r="M4379" s="3">
        <v>40473</v>
      </c>
      <c r="N4379" s="2" t="s">
        <v>4894</v>
      </c>
      <c r="O4379" s="2"/>
      <c r="P4379" s="2"/>
      <c r="Q4379" s="2" t="str">
        <f>"107/10"</f>
        <v>107/10</v>
      </c>
      <c r="R4379" s="2"/>
      <c r="S4379" s="2" t="s">
        <v>822</v>
      </c>
      <c r="T4379" s="2">
        <v>1</v>
      </c>
      <c r="U4379" s="2" t="s">
        <v>79</v>
      </c>
      <c r="V4379" s="2">
        <v>1</v>
      </c>
      <c r="W4379" s="2" t="s">
        <v>80</v>
      </c>
      <c r="X4379" s="2">
        <v>1</v>
      </c>
      <c r="Y4379" s="2" t="s">
        <v>81</v>
      </c>
      <c r="Z4379" s="2">
        <v>10</v>
      </c>
      <c r="AA4379" s="2" t="s">
        <v>236</v>
      </c>
      <c r="AB4379" s="2">
        <v>9</v>
      </c>
      <c r="AC4379" s="2" t="s">
        <v>124</v>
      </c>
      <c r="AD4379" s="3">
        <v>40472</v>
      </c>
      <c r="AE4379" s="4">
        <v>0.9375</v>
      </c>
      <c r="AF4379" s="2"/>
      <c r="AG4379" s="2"/>
      <c r="AH4379" s="2">
        <v>4</v>
      </c>
      <c r="AI4379" s="2" t="s">
        <v>125</v>
      </c>
      <c r="AJ4379" s="2">
        <v>29</v>
      </c>
      <c r="AK4379" s="2" t="s">
        <v>227</v>
      </c>
      <c r="AL4379" s="2">
        <v>10</v>
      </c>
      <c r="AM4379" s="2" t="s">
        <v>200</v>
      </c>
      <c r="AN4379" s="2" t="s">
        <v>1015</v>
      </c>
      <c r="AO4379" s="2" t="s">
        <v>6863</v>
      </c>
      <c r="AP4379" s="2">
        <v>12</v>
      </c>
      <c r="AQ4379" s="2" t="s">
        <v>322</v>
      </c>
      <c r="AR4379" s="2" t="s">
        <v>824</v>
      </c>
      <c r="AS4379" s="2" t="s">
        <v>825</v>
      </c>
      <c r="AT4379" s="2" t="s">
        <v>13666</v>
      </c>
      <c r="AU4379" s="2"/>
      <c r="AV4379" s="2"/>
      <c r="AW4379" s="2"/>
      <c r="AX4379" s="2"/>
      <c r="AY4379" s="2">
        <v>41</v>
      </c>
      <c r="AZ4379" s="2" t="s">
        <v>82</v>
      </c>
      <c r="BA4379" s="2">
        <v>41</v>
      </c>
      <c r="BB4379" s="2" t="s">
        <v>82</v>
      </c>
      <c r="BC4379" s="2">
        <v>51</v>
      </c>
      <c r="BD4379" s="2" t="s">
        <v>827</v>
      </c>
      <c r="BE4379" s="2">
        <v>47</v>
      </c>
      <c r="BF4379" s="2" t="s">
        <v>167</v>
      </c>
      <c r="BG4379" s="2">
        <v>2459</v>
      </c>
      <c r="BH4379" s="4">
        <v>0.96875</v>
      </c>
      <c r="BI4379" s="2"/>
      <c r="BJ4379" s="2">
        <v>13</v>
      </c>
      <c r="BK4379" s="2" t="s">
        <v>91</v>
      </c>
      <c r="BL4379" s="2" t="s">
        <v>828</v>
      </c>
      <c r="BM4379" s="2">
        <v>13</v>
      </c>
      <c r="BN4379" s="2" t="s">
        <v>91</v>
      </c>
      <c r="BO4379" s="2"/>
      <c r="BP4379" s="2">
        <v>13</v>
      </c>
      <c r="BQ4379" s="2" t="s">
        <v>91</v>
      </c>
      <c r="BR4379" s="2" t="s">
        <v>185</v>
      </c>
      <c r="BS4379" s="3">
        <v>40473</v>
      </c>
      <c r="BT4379" s="4">
        <v>3.5960648148148151E-2</v>
      </c>
    </row>
    <row r="4380" spans="1:72" x14ac:dyDescent="0.25">
      <c r="A4380" s="2">
        <v>6623</v>
      </c>
      <c r="B4380" s="2">
        <v>2010</v>
      </c>
      <c r="C4380" s="2" t="s">
        <v>4543</v>
      </c>
      <c r="D4380" s="2" t="s">
        <v>122</v>
      </c>
      <c r="E4380" s="2"/>
      <c r="F4380" s="2">
        <v>1</v>
      </c>
      <c r="G4380" s="2" t="s">
        <v>82</v>
      </c>
      <c r="H4380" s="2">
        <v>1</v>
      </c>
      <c r="I4380" s="2" t="s">
        <v>82</v>
      </c>
      <c r="J4380" s="2">
        <v>1</v>
      </c>
      <c r="K4380" s="2" t="s">
        <v>107</v>
      </c>
      <c r="L4380" s="2" t="s">
        <v>107</v>
      </c>
      <c r="M4380" s="3">
        <v>40473</v>
      </c>
      <c r="N4380" s="2"/>
      <c r="O4380" s="2"/>
      <c r="P4380" s="2"/>
      <c r="Q4380" s="2" t="str">
        <f>""</f>
        <v/>
      </c>
      <c r="R4380" s="2"/>
      <c r="S4380" s="2"/>
      <c r="T4380" s="2">
        <v>2</v>
      </c>
      <c r="U4380" s="2" t="s">
        <v>123</v>
      </c>
      <c r="V4380" s="2">
        <v>1</v>
      </c>
      <c r="W4380" s="2" t="s">
        <v>80</v>
      </c>
      <c r="X4380" s="2">
        <v>11</v>
      </c>
      <c r="Y4380" s="2" t="s">
        <v>1920</v>
      </c>
      <c r="Z4380" s="2">
        <v>1</v>
      </c>
      <c r="AA4380" s="2" t="s">
        <v>82</v>
      </c>
      <c r="AB4380" s="2">
        <v>9</v>
      </c>
      <c r="AC4380" s="2" t="s">
        <v>124</v>
      </c>
      <c r="AD4380" s="3">
        <v>40473</v>
      </c>
      <c r="AE4380" s="4">
        <v>9.9999999999999992E-2</v>
      </c>
      <c r="AF4380" s="2"/>
      <c r="AG4380" s="2"/>
      <c r="AH4380" s="2">
        <v>6</v>
      </c>
      <c r="AI4380" s="2" t="s">
        <v>197</v>
      </c>
      <c r="AJ4380" s="2">
        <v>54</v>
      </c>
      <c r="AK4380" s="2" t="s">
        <v>348</v>
      </c>
      <c r="AL4380" s="2">
        <v>19</v>
      </c>
      <c r="AM4380" s="2" t="s">
        <v>107</v>
      </c>
      <c r="AN4380" s="2" t="s">
        <v>595</v>
      </c>
      <c r="AO4380" s="2" t="s">
        <v>200</v>
      </c>
      <c r="AP4380" s="2">
        <v>14</v>
      </c>
      <c r="AQ4380" s="2" t="s">
        <v>3301</v>
      </c>
      <c r="AR4380" s="2" t="s">
        <v>596</v>
      </c>
      <c r="AS4380" s="2" t="s">
        <v>596</v>
      </c>
      <c r="AT4380" s="2" t="s">
        <v>13667</v>
      </c>
      <c r="AU4380" s="2"/>
      <c r="AV4380" s="2"/>
      <c r="AW4380" s="2"/>
      <c r="AX4380" s="2"/>
      <c r="AY4380" s="2">
        <v>41</v>
      </c>
      <c r="AZ4380" s="2" t="s">
        <v>82</v>
      </c>
      <c r="BA4380" s="2">
        <v>41</v>
      </c>
      <c r="BB4380" s="2" t="s">
        <v>82</v>
      </c>
      <c r="BC4380" s="2">
        <v>41</v>
      </c>
      <c r="BD4380" s="2" t="s">
        <v>82</v>
      </c>
      <c r="BE4380" s="2">
        <v>4</v>
      </c>
      <c r="BF4380" s="2" t="s">
        <v>90</v>
      </c>
      <c r="BG4380" s="2" t="s">
        <v>598</v>
      </c>
      <c r="BH4380" s="4">
        <v>4.9305555555555554E-2</v>
      </c>
      <c r="BI4380" s="4">
        <v>9.375E-2</v>
      </c>
      <c r="BJ4380" s="2">
        <v>13</v>
      </c>
      <c r="BK4380" s="2" t="s">
        <v>91</v>
      </c>
      <c r="BL4380" s="2" t="s">
        <v>2764</v>
      </c>
      <c r="BM4380" s="2">
        <v>13</v>
      </c>
      <c r="BN4380" s="2" t="s">
        <v>91</v>
      </c>
      <c r="BO4380" s="2"/>
      <c r="BP4380" s="2">
        <v>13</v>
      </c>
      <c r="BQ4380" s="2" t="s">
        <v>91</v>
      </c>
      <c r="BR4380" s="2" t="s">
        <v>3507</v>
      </c>
      <c r="BS4380" s="3">
        <v>40473</v>
      </c>
      <c r="BT4380" s="4">
        <v>0.38677083333333334</v>
      </c>
    </row>
    <row r="4381" spans="1:72" x14ac:dyDescent="0.25">
      <c r="A4381" s="2">
        <v>6627</v>
      </c>
      <c r="B4381" s="2">
        <v>2010</v>
      </c>
      <c r="C4381" s="2" t="s">
        <v>819</v>
      </c>
      <c r="D4381" s="2" t="s">
        <v>122</v>
      </c>
      <c r="E4381" s="2" t="s">
        <v>13668</v>
      </c>
      <c r="F4381" s="2">
        <v>425</v>
      </c>
      <c r="G4381" s="2" t="s">
        <v>286</v>
      </c>
      <c r="H4381" s="2">
        <v>30</v>
      </c>
      <c r="I4381" s="2" t="s">
        <v>912</v>
      </c>
      <c r="J4381" s="2">
        <v>310</v>
      </c>
      <c r="K4381" s="2" t="s">
        <v>288</v>
      </c>
      <c r="L4381" s="2" t="s">
        <v>289</v>
      </c>
      <c r="M4381" s="3">
        <v>40473</v>
      </c>
      <c r="N4381" s="2" t="s">
        <v>4894</v>
      </c>
      <c r="O4381" s="2"/>
      <c r="P4381" s="2"/>
      <c r="Q4381" s="2" t="str">
        <f>"107/10"</f>
        <v>107/10</v>
      </c>
      <c r="R4381" s="2" t="s">
        <v>822</v>
      </c>
      <c r="S4381" s="2" t="s">
        <v>3300</v>
      </c>
      <c r="T4381" s="2">
        <v>1</v>
      </c>
      <c r="U4381" s="2" t="s">
        <v>79</v>
      </c>
      <c r="V4381" s="2">
        <v>1</v>
      </c>
      <c r="W4381" s="2" t="s">
        <v>80</v>
      </c>
      <c r="X4381" s="2">
        <v>1</v>
      </c>
      <c r="Y4381" s="2" t="s">
        <v>81</v>
      </c>
      <c r="Z4381" s="2">
        <v>1</v>
      </c>
      <c r="AA4381" s="2" t="s">
        <v>82</v>
      </c>
      <c r="AB4381" s="2">
        <v>9</v>
      </c>
      <c r="AC4381" s="2" t="s">
        <v>124</v>
      </c>
      <c r="AD4381" s="3">
        <v>40473</v>
      </c>
      <c r="AE4381" s="4">
        <v>0.41666666666666669</v>
      </c>
      <c r="AF4381" s="2"/>
      <c r="AG4381" s="2"/>
      <c r="AH4381" s="2">
        <v>4</v>
      </c>
      <c r="AI4381" s="2" t="s">
        <v>125</v>
      </c>
      <c r="AJ4381" s="2">
        <v>29</v>
      </c>
      <c r="AK4381" s="2" t="s">
        <v>227</v>
      </c>
      <c r="AL4381" s="2">
        <v>16</v>
      </c>
      <c r="AM4381" s="2" t="s">
        <v>392</v>
      </c>
      <c r="AN4381" s="2" t="s">
        <v>3040</v>
      </c>
      <c r="AO4381" s="2" t="s">
        <v>3176</v>
      </c>
      <c r="AP4381" s="2">
        <v>11</v>
      </c>
      <c r="AQ4381" s="2" t="s">
        <v>82</v>
      </c>
      <c r="AR4381" s="2" t="s">
        <v>824</v>
      </c>
      <c r="AS4381" s="2" t="s">
        <v>825</v>
      </c>
      <c r="AT4381" s="2" t="s">
        <v>13669</v>
      </c>
      <c r="AU4381" s="2"/>
      <c r="AV4381" s="2"/>
      <c r="AW4381" s="2"/>
      <c r="AX4381" s="2"/>
      <c r="AY4381" s="2">
        <v>41</v>
      </c>
      <c r="AZ4381" s="2" t="s">
        <v>82</v>
      </c>
      <c r="BA4381" s="2">
        <v>41</v>
      </c>
      <c r="BB4381" s="2" t="s">
        <v>82</v>
      </c>
      <c r="BC4381" s="2">
        <v>51</v>
      </c>
      <c r="BD4381" s="2" t="s">
        <v>827</v>
      </c>
      <c r="BE4381" s="2">
        <v>47</v>
      </c>
      <c r="BF4381" s="2" t="s">
        <v>167</v>
      </c>
      <c r="BG4381" s="2">
        <v>2459</v>
      </c>
      <c r="BH4381" s="4">
        <v>0.96875</v>
      </c>
      <c r="BI4381" s="4">
        <v>1.3888888888888888E-2</v>
      </c>
      <c r="BJ4381" s="2">
        <v>13</v>
      </c>
      <c r="BK4381" s="2" t="s">
        <v>91</v>
      </c>
      <c r="BL4381" s="2" t="s">
        <v>828</v>
      </c>
      <c r="BM4381" s="2">
        <v>13</v>
      </c>
      <c r="BN4381" s="2" t="s">
        <v>91</v>
      </c>
      <c r="BO4381" s="2"/>
      <c r="BP4381" s="2">
        <v>13</v>
      </c>
      <c r="BQ4381" s="2" t="s">
        <v>91</v>
      </c>
      <c r="BR4381" s="2" t="s">
        <v>185</v>
      </c>
      <c r="BS4381" s="3">
        <v>40473</v>
      </c>
      <c r="BT4381" s="4">
        <v>0.515625</v>
      </c>
    </row>
    <row r="4382" spans="1:72" x14ac:dyDescent="0.25">
      <c r="A4382" s="2">
        <v>6630</v>
      </c>
      <c r="B4382" s="2">
        <v>2010</v>
      </c>
      <c r="C4382" s="2" t="s">
        <v>171</v>
      </c>
      <c r="D4382" s="2" t="s">
        <v>73</v>
      </c>
      <c r="E4382" s="2"/>
      <c r="F4382" s="2">
        <v>397</v>
      </c>
      <c r="G4382" s="2" t="s">
        <v>2522</v>
      </c>
      <c r="H4382" s="2">
        <v>11</v>
      </c>
      <c r="I4382" s="2" t="s">
        <v>1397</v>
      </c>
      <c r="J4382" s="2">
        <v>377</v>
      </c>
      <c r="K4382" s="2" t="s">
        <v>1223</v>
      </c>
      <c r="L4382" s="2" t="s">
        <v>1224</v>
      </c>
      <c r="M4382" s="3">
        <v>40473</v>
      </c>
      <c r="N4382" s="2" t="s">
        <v>13670</v>
      </c>
      <c r="O4382" s="2" t="s">
        <v>13671</v>
      </c>
      <c r="P4382" s="2" t="s">
        <v>13672</v>
      </c>
      <c r="Q4382" s="2" t="str">
        <f>"538-E/10"</f>
        <v>538-E/10</v>
      </c>
      <c r="R4382" s="2"/>
      <c r="S4382" s="2"/>
      <c r="T4382" s="2">
        <v>1</v>
      </c>
      <c r="U4382" s="2" t="s">
        <v>79</v>
      </c>
      <c r="V4382" s="2">
        <v>3</v>
      </c>
      <c r="W4382" s="2" t="s">
        <v>225</v>
      </c>
      <c r="X4382" s="2">
        <v>6</v>
      </c>
      <c r="Y4382" s="2" t="s">
        <v>249</v>
      </c>
      <c r="Z4382" s="2">
        <v>1</v>
      </c>
      <c r="AA4382" s="2" t="s">
        <v>82</v>
      </c>
      <c r="AB4382" s="2">
        <v>9</v>
      </c>
      <c r="AC4382" s="2" t="s">
        <v>124</v>
      </c>
      <c r="AD4382" s="3">
        <v>40472</v>
      </c>
      <c r="AE4382" s="2"/>
      <c r="AF4382" s="2"/>
      <c r="AG4382" s="2"/>
      <c r="AH4382" s="2">
        <v>2</v>
      </c>
      <c r="AI4382" s="2" t="s">
        <v>84</v>
      </c>
      <c r="AJ4382" s="2">
        <v>6</v>
      </c>
      <c r="AK4382" s="2" t="s">
        <v>453</v>
      </c>
      <c r="AL4382" s="2">
        <v>23</v>
      </c>
      <c r="AM4382" s="2" t="s">
        <v>251</v>
      </c>
      <c r="AN4382" s="2"/>
      <c r="AO4382" s="2" t="s">
        <v>13673</v>
      </c>
      <c r="AP4382" s="2">
        <v>11</v>
      </c>
      <c r="AQ4382" s="2" t="s">
        <v>82</v>
      </c>
      <c r="AR4382" s="2"/>
      <c r="AS4382" s="2"/>
      <c r="AT4382" s="2" t="s">
        <v>13674</v>
      </c>
      <c r="AU4382" s="2"/>
      <c r="AV4382" s="2"/>
      <c r="AW4382" s="2"/>
      <c r="AX4382" s="2"/>
      <c r="AY4382" s="2">
        <v>41</v>
      </c>
      <c r="AZ4382" s="2" t="s">
        <v>82</v>
      </c>
      <c r="BA4382" s="2">
        <v>41</v>
      </c>
      <c r="BB4382" s="2" t="s">
        <v>82</v>
      </c>
      <c r="BC4382" s="2">
        <v>41</v>
      </c>
      <c r="BD4382" s="2" t="s">
        <v>82</v>
      </c>
      <c r="BE4382" s="2">
        <v>41</v>
      </c>
      <c r="BF4382" s="2" t="s">
        <v>82</v>
      </c>
      <c r="BG4382" s="2"/>
      <c r="BH4382" s="2"/>
      <c r="BI4382" s="2"/>
      <c r="BJ4382" s="2">
        <v>241</v>
      </c>
      <c r="BK4382" s="2" t="s">
        <v>82</v>
      </c>
      <c r="BL4382" s="2"/>
      <c r="BM4382" s="2">
        <v>241</v>
      </c>
      <c r="BN4382" s="2" t="s">
        <v>82</v>
      </c>
      <c r="BO4382" s="2"/>
      <c r="BP4382" s="2">
        <v>241</v>
      </c>
      <c r="BQ4382" s="2" t="s">
        <v>82</v>
      </c>
      <c r="BR4382" s="2"/>
      <c r="BS4382" s="3">
        <v>40473</v>
      </c>
      <c r="BT4382" s="4">
        <v>0.51481481481481484</v>
      </c>
    </row>
    <row r="4383" spans="1:72" x14ac:dyDescent="0.25">
      <c r="A4383" s="2">
        <v>6633</v>
      </c>
      <c r="B4383" s="2">
        <v>2010</v>
      </c>
      <c r="C4383" s="2" t="s">
        <v>128</v>
      </c>
      <c r="D4383" s="2" t="s">
        <v>73</v>
      </c>
      <c r="E4383" s="2" t="s">
        <v>11464</v>
      </c>
      <c r="F4383" s="2">
        <v>425</v>
      </c>
      <c r="G4383" s="2" t="s">
        <v>286</v>
      </c>
      <c r="H4383" s="2">
        <v>39</v>
      </c>
      <c r="I4383" s="2" t="s">
        <v>1117</v>
      </c>
      <c r="J4383" s="2">
        <v>310</v>
      </c>
      <c r="K4383" s="2" t="s">
        <v>288</v>
      </c>
      <c r="L4383" s="2" t="s">
        <v>289</v>
      </c>
      <c r="M4383" s="3">
        <v>40473</v>
      </c>
      <c r="N4383" s="2" t="s">
        <v>1917</v>
      </c>
      <c r="O4383" s="2" t="s">
        <v>11437</v>
      </c>
      <c r="P4383" s="2" t="s">
        <v>11438</v>
      </c>
      <c r="Q4383" s="2" t="str">
        <f>"101"</f>
        <v>101</v>
      </c>
      <c r="R4383" s="2"/>
      <c r="S4383" s="2"/>
      <c r="T4383" s="2">
        <v>1</v>
      </c>
      <c r="U4383" s="2" t="s">
        <v>79</v>
      </c>
      <c r="V4383" s="2">
        <v>3</v>
      </c>
      <c r="W4383" s="2" t="s">
        <v>225</v>
      </c>
      <c r="X4383" s="2">
        <v>6</v>
      </c>
      <c r="Y4383" s="2" t="s">
        <v>249</v>
      </c>
      <c r="Z4383" s="2">
        <v>10</v>
      </c>
      <c r="AA4383" s="2" t="s">
        <v>236</v>
      </c>
      <c r="AB4383" s="2">
        <v>9</v>
      </c>
      <c r="AC4383" s="2" t="s">
        <v>124</v>
      </c>
      <c r="AD4383" s="2"/>
      <c r="AE4383" s="2"/>
      <c r="AF4383" s="2"/>
      <c r="AG4383" s="2"/>
      <c r="AH4383" s="2">
        <v>4</v>
      </c>
      <c r="AI4383" s="2" t="s">
        <v>125</v>
      </c>
      <c r="AJ4383" s="2">
        <v>26</v>
      </c>
      <c r="AK4383" s="2" t="s">
        <v>293</v>
      </c>
      <c r="AL4383" s="2">
        <v>23</v>
      </c>
      <c r="AM4383" s="2" t="s">
        <v>251</v>
      </c>
      <c r="AN4383" s="2" t="s">
        <v>12259</v>
      </c>
      <c r="AO4383" s="2" t="s">
        <v>11465</v>
      </c>
      <c r="AP4383" s="2">
        <v>11</v>
      </c>
      <c r="AQ4383" s="2" t="s">
        <v>82</v>
      </c>
      <c r="AR4383" s="2"/>
      <c r="AS4383" s="2"/>
      <c r="AT4383" s="2" t="s">
        <v>13675</v>
      </c>
      <c r="AU4383" s="2"/>
      <c r="AV4383" s="2"/>
      <c r="AW4383" s="2"/>
      <c r="AX4383" s="2"/>
      <c r="AY4383" s="2">
        <v>41</v>
      </c>
      <c r="AZ4383" s="2" t="s">
        <v>82</v>
      </c>
      <c r="BA4383" s="2">
        <v>41</v>
      </c>
      <c r="BB4383" s="2" t="s">
        <v>82</v>
      </c>
      <c r="BC4383" s="2">
        <v>41</v>
      </c>
      <c r="BD4383" s="2" t="s">
        <v>82</v>
      </c>
      <c r="BE4383" s="2">
        <v>41</v>
      </c>
      <c r="BF4383" s="2" t="s">
        <v>82</v>
      </c>
      <c r="BG4383" s="2"/>
      <c r="BH4383" s="2"/>
      <c r="BI4383" s="2"/>
      <c r="BJ4383" s="2">
        <v>241</v>
      </c>
      <c r="BK4383" s="2" t="s">
        <v>82</v>
      </c>
      <c r="BL4383" s="2"/>
      <c r="BM4383" s="2">
        <v>241</v>
      </c>
      <c r="BN4383" s="2" t="s">
        <v>82</v>
      </c>
      <c r="BO4383" s="2"/>
      <c r="BP4383" s="2">
        <v>241</v>
      </c>
      <c r="BQ4383" s="2" t="s">
        <v>82</v>
      </c>
      <c r="BR4383" s="2"/>
      <c r="BS4383" s="3">
        <v>40473</v>
      </c>
      <c r="BT4383" s="4">
        <v>0.55850694444444449</v>
      </c>
    </row>
    <row r="4384" spans="1:72" x14ac:dyDescent="0.25">
      <c r="A4384" s="2">
        <v>6635</v>
      </c>
      <c r="B4384" s="2">
        <v>2010</v>
      </c>
      <c r="C4384" s="2" t="s">
        <v>93</v>
      </c>
      <c r="D4384" s="2" t="s">
        <v>73</v>
      </c>
      <c r="E4384" s="2"/>
      <c r="F4384" s="2">
        <v>125</v>
      </c>
      <c r="G4384" s="2" t="s">
        <v>1483</v>
      </c>
      <c r="H4384" s="2">
        <v>108</v>
      </c>
      <c r="I4384" s="2" t="s">
        <v>1096</v>
      </c>
      <c r="J4384" s="2">
        <v>139</v>
      </c>
      <c r="K4384" s="2" t="s">
        <v>1485</v>
      </c>
      <c r="L4384" s="2" t="s">
        <v>1486</v>
      </c>
      <c r="M4384" s="3">
        <v>40473</v>
      </c>
      <c r="N4384" s="2" t="s">
        <v>13676</v>
      </c>
      <c r="O4384" s="2" t="s">
        <v>13677</v>
      </c>
      <c r="P4384" s="2" t="s">
        <v>13678</v>
      </c>
      <c r="Q4384" s="2" t="str">
        <f>"AP 0050/10"</f>
        <v>AP 0050/10</v>
      </c>
      <c r="R4384" s="2" t="s">
        <v>13679</v>
      </c>
      <c r="S4384" s="2"/>
      <c r="T4384" s="2">
        <v>1</v>
      </c>
      <c r="U4384" s="2" t="s">
        <v>79</v>
      </c>
      <c r="V4384" s="2">
        <v>1</v>
      </c>
      <c r="W4384" s="2" t="s">
        <v>80</v>
      </c>
      <c r="X4384" s="2">
        <v>1</v>
      </c>
      <c r="Y4384" s="2" t="s">
        <v>81</v>
      </c>
      <c r="Z4384" s="2">
        <v>1</v>
      </c>
      <c r="AA4384" s="2" t="s">
        <v>82</v>
      </c>
      <c r="AB4384" s="2">
        <v>2</v>
      </c>
      <c r="AC4384" s="2" t="s">
        <v>102</v>
      </c>
      <c r="AD4384" s="3">
        <v>40473</v>
      </c>
      <c r="AE4384" s="4">
        <v>0.4861111111111111</v>
      </c>
      <c r="AF4384" s="3">
        <v>40473</v>
      </c>
      <c r="AG4384" s="4">
        <v>0.52083333333333337</v>
      </c>
      <c r="AH4384" s="2">
        <v>6</v>
      </c>
      <c r="AI4384" s="2" t="s">
        <v>197</v>
      </c>
      <c r="AJ4384" s="2">
        <v>60</v>
      </c>
      <c r="AK4384" s="2" t="s">
        <v>543</v>
      </c>
      <c r="AL4384" s="2">
        <v>11</v>
      </c>
      <c r="AM4384" s="2" t="s">
        <v>137</v>
      </c>
      <c r="AN4384" s="2"/>
      <c r="AO4384" s="2" t="s">
        <v>13680</v>
      </c>
      <c r="AP4384" s="2">
        <v>11</v>
      </c>
      <c r="AQ4384" s="2" t="s">
        <v>82</v>
      </c>
      <c r="AR4384" s="2" t="s">
        <v>82</v>
      </c>
      <c r="AS4384" s="2" t="s">
        <v>82</v>
      </c>
      <c r="AT4384" s="2" t="s">
        <v>13681</v>
      </c>
      <c r="AU4384" s="2"/>
      <c r="AV4384" s="2"/>
      <c r="AW4384" s="2"/>
      <c r="AX4384" s="2"/>
      <c r="AY4384" s="2">
        <v>41</v>
      </c>
      <c r="AZ4384" s="2" t="s">
        <v>82</v>
      </c>
      <c r="BA4384" s="2">
        <v>41</v>
      </c>
      <c r="BB4384" s="2" t="s">
        <v>82</v>
      </c>
      <c r="BC4384" s="2">
        <v>41</v>
      </c>
      <c r="BD4384" s="2" t="s">
        <v>82</v>
      </c>
      <c r="BE4384" s="2">
        <v>13</v>
      </c>
      <c r="BF4384" s="2" t="s">
        <v>108</v>
      </c>
      <c r="BG4384" s="2" t="s">
        <v>7206</v>
      </c>
      <c r="BH4384" s="2"/>
      <c r="BI4384" s="4">
        <v>0.50347222222222221</v>
      </c>
      <c r="BJ4384" s="2">
        <v>13</v>
      </c>
      <c r="BK4384" s="2" t="s">
        <v>91</v>
      </c>
      <c r="BL4384" s="2" t="s">
        <v>895</v>
      </c>
      <c r="BM4384" s="2">
        <v>13</v>
      </c>
      <c r="BN4384" s="2" t="s">
        <v>91</v>
      </c>
      <c r="BO4384" s="2"/>
      <c r="BP4384" s="2">
        <v>13</v>
      </c>
      <c r="BQ4384" s="2" t="s">
        <v>91</v>
      </c>
      <c r="BR4384" s="2" t="s">
        <v>5820</v>
      </c>
      <c r="BS4384" s="3">
        <v>40473</v>
      </c>
      <c r="BT4384" s="4">
        <v>0.59152777777777776</v>
      </c>
    </row>
    <row r="4385" spans="1:72" x14ac:dyDescent="0.25">
      <c r="A4385" s="2">
        <v>6636</v>
      </c>
      <c r="B4385" s="2">
        <v>2010</v>
      </c>
      <c r="C4385" s="2" t="s">
        <v>171</v>
      </c>
      <c r="D4385" s="2" t="s">
        <v>73</v>
      </c>
      <c r="E4385" s="2" t="s">
        <v>13682</v>
      </c>
      <c r="F4385" s="2">
        <v>475</v>
      </c>
      <c r="G4385" s="2" t="s">
        <v>1271</v>
      </c>
      <c r="H4385" s="2">
        <v>24</v>
      </c>
      <c r="I4385" s="2" t="s">
        <v>287</v>
      </c>
      <c r="J4385" s="2">
        <v>385</v>
      </c>
      <c r="K4385" s="2" t="s">
        <v>1314</v>
      </c>
      <c r="L4385" s="2" t="s">
        <v>1315</v>
      </c>
      <c r="M4385" s="3">
        <v>40473</v>
      </c>
      <c r="N4385" s="2" t="s">
        <v>13651</v>
      </c>
      <c r="O4385" s="2" t="s">
        <v>13652</v>
      </c>
      <c r="P4385" s="2"/>
      <c r="Q4385" s="2" t="str">
        <f>"0024/2010"</f>
        <v>0024/2010</v>
      </c>
      <c r="R4385" s="2"/>
      <c r="S4385" s="2"/>
      <c r="T4385" s="2">
        <v>1</v>
      </c>
      <c r="U4385" s="2" t="s">
        <v>79</v>
      </c>
      <c r="V4385" s="2">
        <v>1</v>
      </c>
      <c r="W4385" s="2" t="s">
        <v>80</v>
      </c>
      <c r="X4385" s="2">
        <v>8</v>
      </c>
      <c r="Y4385" s="2" t="s">
        <v>375</v>
      </c>
      <c r="Z4385" s="2">
        <v>1</v>
      </c>
      <c r="AA4385" s="2" t="s">
        <v>82</v>
      </c>
      <c r="AB4385" s="2">
        <v>1</v>
      </c>
      <c r="AC4385" s="2" t="s">
        <v>178</v>
      </c>
      <c r="AD4385" s="3">
        <v>40473</v>
      </c>
      <c r="AE4385" s="4">
        <v>0.35416666666666669</v>
      </c>
      <c r="AF4385" s="2"/>
      <c r="AG4385" s="2"/>
      <c r="AH4385" s="2">
        <v>5</v>
      </c>
      <c r="AI4385" s="2" t="s">
        <v>274</v>
      </c>
      <c r="AJ4385" s="2">
        <v>35</v>
      </c>
      <c r="AK4385" s="2" t="s">
        <v>275</v>
      </c>
      <c r="AL4385" s="2">
        <v>23</v>
      </c>
      <c r="AM4385" s="2" t="s">
        <v>251</v>
      </c>
      <c r="AN4385" s="2"/>
      <c r="AO4385" s="2" t="s">
        <v>13683</v>
      </c>
      <c r="AP4385" s="2">
        <v>11</v>
      </c>
      <c r="AQ4385" s="2" t="s">
        <v>82</v>
      </c>
      <c r="AR4385" s="2"/>
      <c r="AS4385" s="2"/>
      <c r="AT4385" s="2" t="s">
        <v>13684</v>
      </c>
      <c r="AU4385" s="2"/>
      <c r="AV4385" s="2"/>
      <c r="AW4385" s="2"/>
      <c r="AX4385" s="2"/>
      <c r="AY4385" s="2">
        <v>41</v>
      </c>
      <c r="AZ4385" s="2" t="s">
        <v>82</v>
      </c>
      <c r="BA4385" s="2">
        <v>41</v>
      </c>
      <c r="BB4385" s="2" t="s">
        <v>82</v>
      </c>
      <c r="BC4385" s="2">
        <v>41</v>
      </c>
      <c r="BD4385" s="2" t="s">
        <v>82</v>
      </c>
      <c r="BE4385" s="2">
        <v>41</v>
      </c>
      <c r="BF4385" s="2" t="s">
        <v>82</v>
      </c>
      <c r="BG4385" s="2"/>
      <c r="BH4385" s="2"/>
      <c r="BI4385" s="2"/>
      <c r="BJ4385" s="2">
        <v>241</v>
      </c>
      <c r="BK4385" s="2" t="s">
        <v>82</v>
      </c>
      <c r="BL4385" s="2"/>
      <c r="BM4385" s="2">
        <v>241</v>
      </c>
      <c r="BN4385" s="2" t="s">
        <v>82</v>
      </c>
      <c r="BO4385" s="2"/>
      <c r="BP4385" s="2">
        <v>241</v>
      </c>
      <c r="BQ4385" s="2" t="s">
        <v>82</v>
      </c>
      <c r="BR4385" s="2"/>
      <c r="BS4385" s="3">
        <v>40473</v>
      </c>
      <c r="BT4385" s="4">
        <v>0.60385416666666669</v>
      </c>
    </row>
    <row r="4386" spans="1:72" x14ac:dyDescent="0.25">
      <c r="A4386" s="2">
        <v>6639</v>
      </c>
      <c r="B4386" s="2">
        <v>2010</v>
      </c>
      <c r="C4386" s="2" t="s">
        <v>171</v>
      </c>
      <c r="D4386" s="2" t="s">
        <v>73</v>
      </c>
      <c r="E4386" s="2"/>
      <c r="F4386" s="2">
        <v>475</v>
      </c>
      <c r="G4386" s="2" t="s">
        <v>1271</v>
      </c>
      <c r="H4386" s="2">
        <v>39</v>
      </c>
      <c r="I4386" s="2" t="s">
        <v>1117</v>
      </c>
      <c r="J4386" s="2">
        <v>385</v>
      </c>
      <c r="K4386" s="2" t="s">
        <v>1314</v>
      </c>
      <c r="L4386" s="2" t="s">
        <v>1315</v>
      </c>
      <c r="M4386" s="3">
        <v>40473</v>
      </c>
      <c r="N4386" s="2" t="s">
        <v>13685</v>
      </c>
      <c r="O4386" s="2" t="s">
        <v>13686</v>
      </c>
      <c r="P4386" s="2" t="s">
        <v>13687</v>
      </c>
      <c r="Q4386" s="2" t="str">
        <f>""</f>
        <v/>
      </c>
      <c r="R4386" s="2"/>
      <c r="S4386" s="2"/>
      <c r="T4386" s="2">
        <v>1</v>
      </c>
      <c r="U4386" s="2" t="s">
        <v>79</v>
      </c>
      <c r="V4386" s="2">
        <v>1</v>
      </c>
      <c r="W4386" s="2" t="s">
        <v>80</v>
      </c>
      <c r="X4386" s="2">
        <v>8</v>
      </c>
      <c r="Y4386" s="2" t="s">
        <v>375</v>
      </c>
      <c r="Z4386" s="2">
        <v>10</v>
      </c>
      <c r="AA4386" s="2" t="s">
        <v>236</v>
      </c>
      <c r="AB4386" s="2">
        <v>1</v>
      </c>
      <c r="AC4386" s="2" t="s">
        <v>178</v>
      </c>
      <c r="AD4386" s="3">
        <v>40473</v>
      </c>
      <c r="AE4386" s="4">
        <v>0.39583333333333331</v>
      </c>
      <c r="AF4386" s="2"/>
      <c r="AG4386" s="2"/>
      <c r="AH4386" s="2">
        <v>6</v>
      </c>
      <c r="AI4386" s="2" t="s">
        <v>197</v>
      </c>
      <c r="AJ4386" s="2">
        <v>58</v>
      </c>
      <c r="AK4386" s="2" t="s">
        <v>406</v>
      </c>
      <c r="AL4386" s="2">
        <v>23</v>
      </c>
      <c r="AM4386" s="2" t="s">
        <v>251</v>
      </c>
      <c r="AN4386" s="2" t="s">
        <v>13688</v>
      </c>
      <c r="AO4386" s="2" t="s">
        <v>13689</v>
      </c>
      <c r="AP4386" s="2">
        <v>11</v>
      </c>
      <c r="AQ4386" s="2" t="s">
        <v>82</v>
      </c>
      <c r="AR4386" s="2"/>
      <c r="AS4386" s="2"/>
      <c r="AT4386" s="2" t="s">
        <v>13690</v>
      </c>
      <c r="AU4386" s="2"/>
      <c r="AV4386" s="2"/>
      <c r="AW4386" s="2"/>
      <c r="AX4386" s="2"/>
      <c r="AY4386" s="2">
        <v>41</v>
      </c>
      <c r="AZ4386" s="2" t="s">
        <v>82</v>
      </c>
      <c r="BA4386" s="2">
        <v>41</v>
      </c>
      <c r="BB4386" s="2" t="s">
        <v>82</v>
      </c>
      <c r="BC4386" s="2">
        <v>41</v>
      </c>
      <c r="BD4386" s="2" t="s">
        <v>82</v>
      </c>
      <c r="BE4386" s="2">
        <v>41</v>
      </c>
      <c r="BF4386" s="2" t="s">
        <v>82</v>
      </c>
      <c r="BG4386" s="2"/>
      <c r="BH4386" s="2"/>
      <c r="BI4386" s="2"/>
      <c r="BJ4386" s="2">
        <v>241</v>
      </c>
      <c r="BK4386" s="2" t="s">
        <v>82</v>
      </c>
      <c r="BL4386" s="2"/>
      <c r="BM4386" s="2">
        <v>241</v>
      </c>
      <c r="BN4386" s="2" t="s">
        <v>82</v>
      </c>
      <c r="BO4386" s="2"/>
      <c r="BP4386" s="2">
        <v>241</v>
      </c>
      <c r="BQ4386" s="2" t="s">
        <v>82</v>
      </c>
      <c r="BR4386" s="2"/>
      <c r="BS4386" s="3">
        <v>40473</v>
      </c>
      <c r="BT4386" s="4">
        <v>0.66997685185185185</v>
      </c>
    </row>
    <row r="4387" spans="1:72" x14ac:dyDescent="0.25">
      <c r="A4387" s="2">
        <v>6644</v>
      </c>
      <c r="B4387" s="2">
        <v>2010</v>
      </c>
      <c r="C4387" s="2" t="s">
        <v>196</v>
      </c>
      <c r="D4387" s="2" t="s">
        <v>122</v>
      </c>
      <c r="E4387" s="2"/>
      <c r="F4387" s="2">
        <v>1</v>
      </c>
      <c r="G4387" s="2" t="s">
        <v>82</v>
      </c>
      <c r="H4387" s="2">
        <v>1</v>
      </c>
      <c r="I4387" s="2" t="s">
        <v>82</v>
      </c>
      <c r="J4387" s="2">
        <v>1</v>
      </c>
      <c r="K4387" s="2" t="s">
        <v>107</v>
      </c>
      <c r="L4387" s="2" t="s">
        <v>107</v>
      </c>
      <c r="M4387" s="3">
        <v>40473</v>
      </c>
      <c r="N4387" s="2"/>
      <c r="O4387" s="2"/>
      <c r="P4387" s="2"/>
      <c r="Q4387" s="2" t="str">
        <f>""</f>
        <v/>
      </c>
      <c r="R4387" s="2"/>
      <c r="S4387" s="2"/>
      <c r="T4387" s="2">
        <v>2</v>
      </c>
      <c r="U4387" s="2" t="s">
        <v>123</v>
      </c>
      <c r="V4387" s="2">
        <v>1</v>
      </c>
      <c r="W4387" s="2" t="s">
        <v>80</v>
      </c>
      <c r="X4387" s="2">
        <v>11</v>
      </c>
      <c r="Y4387" s="2" t="s">
        <v>1920</v>
      </c>
      <c r="Z4387" s="2">
        <v>10</v>
      </c>
      <c r="AA4387" s="2" t="s">
        <v>236</v>
      </c>
      <c r="AB4387" s="2">
        <v>9</v>
      </c>
      <c r="AC4387" s="2" t="s">
        <v>124</v>
      </c>
      <c r="AD4387" s="3">
        <v>40473</v>
      </c>
      <c r="AE4387" s="4">
        <v>0.5</v>
      </c>
      <c r="AF4387" s="2"/>
      <c r="AG4387" s="2"/>
      <c r="AH4387" s="2">
        <v>2</v>
      </c>
      <c r="AI4387" s="2" t="s">
        <v>84</v>
      </c>
      <c r="AJ4387" s="2">
        <v>12</v>
      </c>
      <c r="AK4387" s="2" t="s">
        <v>85</v>
      </c>
      <c r="AL4387" s="2">
        <v>20</v>
      </c>
      <c r="AM4387" s="2" t="s">
        <v>992</v>
      </c>
      <c r="AN4387" s="2"/>
      <c r="AO4387" s="2"/>
      <c r="AP4387" s="2">
        <v>11</v>
      </c>
      <c r="AQ4387" s="2" t="s">
        <v>82</v>
      </c>
      <c r="AR4387" s="2"/>
      <c r="AS4387" s="2"/>
      <c r="AT4387" s="2" t="s">
        <v>13691</v>
      </c>
      <c r="AU4387" s="2"/>
      <c r="AV4387" s="2"/>
      <c r="AW4387" s="2"/>
      <c r="AX4387" s="2"/>
      <c r="AY4387" s="2">
        <v>41</v>
      </c>
      <c r="AZ4387" s="2" t="s">
        <v>82</v>
      </c>
      <c r="BA4387" s="2">
        <v>41</v>
      </c>
      <c r="BB4387" s="2" t="s">
        <v>82</v>
      </c>
      <c r="BC4387" s="2">
        <v>41</v>
      </c>
      <c r="BD4387" s="2" t="s">
        <v>82</v>
      </c>
      <c r="BE4387" s="2">
        <v>41</v>
      </c>
      <c r="BF4387" s="2" t="s">
        <v>82</v>
      </c>
      <c r="BG4387" s="2" t="s">
        <v>11524</v>
      </c>
      <c r="BH4387" s="2"/>
      <c r="BI4387" s="4">
        <v>0.68958333333333333</v>
      </c>
      <c r="BJ4387" s="2">
        <v>13</v>
      </c>
      <c r="BK4387" s="2" t="s">
        <v>91</v>
      </c>
      <c r="BL4387" s="2" t="s">
        <v>185</v>
      </c>
      <c r="BM4387" s="2">
        <v>13</v>
      </c>
      <c r="BN4387" s="2" t="s">
        <v>91</v>
      </c>
      <c r="BO4387" s="2"/>
      <c r="BP4387" s="2">
        <v>13</v>
      </c>
      <c r="BQ4387" s="2" t="s">
        <v>91</v>
      </c>
      <c r="BR4387" s="2" t="s">
        <v>204</v>
      </c>
      <c r="BS4387" s="3">
        <v>40473</v>
      </c>
      <c r="BT4387" s="4">
        <v>0.70624999999999993</v>
      </c>
    </row>
    <row r="4388" spans="1:72" x14ac:dyDescent="0.25">
      <c r="A4388" s="2">
        <v>6647</v>
      </c>
      <c r="B4388" s="2">
        <v>2010</v>
      </c>
      <c r="C4388" s="2" t="s">
        <v>171</v>
      </c>
      <c r="D4388" s="2" t="s">
        <v>73</v>
      </c>
      <c r="E4388" s="2" t="s">
        <v>13682</v>
      </c>
      <c r="F4388" s="2">
        <v>475</v>
      </c>
      <c r="G4388" s="2" t="s">
        <v>1271</v>
      </c>
      <c r="H4388" s="2">
        <v>24</v>
      </c>
      <c r="I4388" s="2" t="s">
        <v>287</v>
      </c>
      <c r="J4388" s="2">
        <v>385</v>
      </c>
      <c r="K4388" s="2" t="s">
        <v>1314</v>
      </c>
      <c r="L4388" s="2" t="s">
        <v>1315</v>
      </c>
      <c r="M4388" s="3">
        <v>40473</v>
      </c>
      <c r="N4388" s="2" t="s">
        <v>13651</v>
      </c>
      <c r="O4388" s="2" t="s">
        <v>13652</v>
      </c>
      <c r="P4388" s="2"/>
      <c r="Q4388" s="2" t="str">
        <f>"0024/2010"</f>
        <v>0024/2010</v>
      </c>
      <c r="R4388" s="2"/>
      <c r="S4388" s="2"/>
      <c r="T4388" s="2">
        <v>1</v>
      </c>
      <c r="U4388" s="2" t="s">
        <v>79</v>
      </c>
      <c r="V4388" s="2">
        <v>1</v>
      </c>
      <c r="W4388" s="2" t="s">
        <v>80</v>
      </c>
      <c r="X4388" s="2">
        <v>8</v>
      </c>
      <c r="Y4388" s="2" t="s">
        <v>375</v>
      </c>
      <c r="Z4388" s="2">
        <v>1</v>
      </c>
      <c r="AA4388" s="2" t="s">
        <v>82</v>
      </c>
      <c r="AB4388" s="2">
        <v>1</v>
      </c>
      <c r="AC4388" s="2" t="s">
        <v>178</v>
      </c>
      <c r="AD4388" s="3">
        <v>40473</v>
      </c>
      <c r="AE4388" s="4">
        <v>0.33333333333333331</v>
      </c>
      <c r="AF4388" s="2"/>
      <c r="AG4388" s="2"/>
      <c r="AH4388" s="2">
        <v>5</v>
      </c>
      <c r="AI4388" s="2" t="s">
        <v>274</v>
      </c>
      <c r="AJ4388" s="2">
        <v>35</v>
      </c>
      <c r="AK4388" s="2" t="s">
        <v>275</v>
      </c>
      <c r="AL4388" s="2">
        <v>23</v>
      </c>
      <c r="AM4388" s="2" t="s">
        <v>251</v>
      </c>
      <c r="AN4388" s="2"/>
      <c r="AO4388" s="2" t="s">
        <v>13692</v>
      </c>
      <c r="AP4388" s="2">
        <v>11</v>
      </c>
      <c r="AQ4388" s="2" t="s">
        <v>82</v>
      </c>
      <c r="AR4388" s="2"/>
      <c r="AS4388" s="2"/>
      <c r="AT4388" s="2" t="s">
        <v>13693</v>
      </c>
      <c r="AU4388" s="2"/>
      <c r="AV4388" s="2"/>
      <c r="AW4388" s="2"/>
      <c r="AX4388" s="2"/>
      <c r="AY4388" s="2">
        <v>41</v>
      </c>
      <c r="AZ4388" s="2" t="s">
        <v>82</v>
      </c>
      <c r="BA4388" s="2">
        <v>41</v>
      </c>
      <c r="BB4388" s="2" t="s">
        <v>82</v>
      </c>
      <c r="BC4388" s="2">
        <v>41</v>
      </c>
      <c r="BD4388" s="2" t="s">
        <v>82</v>
      </c>
      <c r="BE4388" s="2">
        <v>41</v>
      </c>
      <c r="BF4388" s="2" t="s">
        <v>82</v>
      </c>
      <c r="BG4388" s="2"/>
      <c r="BH4388" s="2"/>
      <c r="BI4388" s="2"/>
      <c r="BJ4388" s="2">
        <v>241</v>
      </c>
      <c r="BK4388" s="2" t="s">
        <v>82</v>
      </c>
      <c r="BL4388" s="2"/>
      <c r="BM4388" s="2">
        <v>241</v>
      </c>
      <c r="BN4388" s="2" t="s">
        <v>82</v>
      </c>
      <c r="BO4388" s="2"/>
      <c r="BP4388" s="2">
        <v>241</v>
      </c>
      <c r="BQ4388" s="2" t="s">
        <v>82</v>
      </c>
      <c r="BR4388" s="2"/>
      <c r="BS4388" s="3">
        <v>40473</v>
      </c>
      <c r="BT4388" s="4">
        <v>0.72737268518518527</v>
      </c>
    </row>
    <row r="4389" spans="1:72" x14ac:dyDescent="0.25">
      <c r="A4389" s="2">
        <v>6650</v>
      </c>
      <c r="B4389" s="2">
        <v>2010</v>
      </c>
      <c r="C4389" s="2" t="s">
        <v>806</v>
      </c>
      <c r="D4389" s="2" t="s">
        <v>73</v>
      </c>
      <c r="E4389" s="2"/>
      <c r="F4389" s="2">
        <v>390</v>
      </c>
      <c r="G4389" s="2" t="s">
        <v>475</v>
      </c>
      <c r="H4389" s="2">
        <v>5</v>
      </c>
      <c r="I4389" s="2" t="s">
        <v>634</v>
      </c>
      <c r="J4389" s="2">
        <v>314</v>
      </c>
      <c r="K4389" s="2" t="s">
        <v>477</v>
      </c>
      <c r="L4389" s="2" t="s">
        <v>478</v>
      </c>
      <c r="M4389" s="3">
        <v>40473</v>
      </c>
      <c r="N4389" s="2" t="s">
        <v>3103</v>
      </c>
      <c r="O4389" s="2">
        <v>5729</v>
      </c>
      <c r="P4389" s="2" t="s">
        <v>203</v>
      </c>
      <c r="Q4389" s="2" t="str">
        <f>"N/C"</f>
        <v>N/C</v>
      </c>
      <c r="R4389" s="2"/>
      <c r="S4389" s="2"/>
      <c r="T4389" s="2">
        <v>1</v>
      </c>
      <c r="U4389" s="2" t="s">
        <v>79</v>
      </c>
      <c r="V4389" s="2">
        <v>1</v>
      </c>
      <c r="W4389" s="2" t="s">
        <v>80</v>
      </c>
      <c r="X4389" s="2">
        <v>10</v>
      </c>
      <c r="Y4389" s="2" t="s">
        <v>226</v>
      </c>
      <c r="Z4389" s="2">
        <v>1</v>
      </c>
      <c r="AA4389" s="2" t="s">
        <v>82</v>
      </c>
      <c r="AB4389" s="2">
        <v>9</v>
      </c>
      <c r="AC4389" s="2" t="s">
        <v>124</v>
      </c>
      <c r="AD4389" s="3">
        <v>40473</v>
      </c>
      <c r="AE4389" s="4">
        <v>0.4513888888888889</v>
      </c>
      <c r="AF4389" s="3">
        <v>40473</v>
      </c>
      <c r="AG4389" s="4">
        <v>0.4513888888888889</v>
      </c>
      <c r="AH4389" s="2">
        <v>7</v>
      </c>
      <c r="AI4389" s="2" t="s">
        <v>801</v>
      </c>
      <c r="AJ4389" s="2">
        <v>4</v>
      </c>
      <c r="AK4389" s="2" t="s">
        <v>2397</v>
      </c>
      <c r="AL4389" s="2">
        <v>23</v>
      </c>
      <c r="AM4389" s="2" t="s">
        <v>251</v>
      </c>
      <c r="AN4389" s="2"/>
      <c r="AO4389" s="2" t="s">
        <v>13694</v>
      </c>
      <c r="AP4389" s="2">
        <v>11</v>
      </c>
      <c r="AQ4389" s="2" t="s">
        <v>82</v>
      </c>
      <c r="AR4389" s="2"/>
      <c r="AS4389" s="2"/>
      <c r="AT4389" s="2" t="s">
        <v>13695</v>
      </c>
      <c r="AU4389" s="2"/>
      <c r="AV4389" s="2"/>
      <c r="AW4389" s="2"/>
      <c r="AX4389" s="2"/>
      <c r="AY4389" s="2">
        <v>41</v>
      </c>
      <c r="AZ4389" s="2" t="s">
        <v>82</v>
      </c>
      <c r="BA4389" s="2">
        <v>41</v>
      </c>
      <c r="BB4389" s="2" t="s">
        <v>82</v>
      </c>
      <c r="BC4389" s="2">
        <v>41</v>
      </c>
      <c r="BD4389" s="2" t="s">
        <v>82</v>
      </c>
      <c r="BE4389" s="2">
        <v>41</v>
      </c>
      <c r="BF4389" s="2" t="s">
        <v>82</v>
      </c>
      <c r="BG4389" s="2"/>
      <c r="BH4389" s="2"/>
      <c r="BI4389" s="2"/>
      <c r="BJ4389" s="2">
        <v>241</v>
      </c>
      <c r="BK4389" s="2" t="s">
        <v>82</v>
      </c>
      <c r="BL4389" s="2"/>
      <c r="BM4389" s="2">
        <v>241</v>
      </c>
      <c r="BN4389" s="2" t="s">
        <v>82</v>
      </c>
      <c r="BO4389" s="2"/>
      <c r="BP4389" s="2">
        <v>241</v>
      </c>
      <c r="BQ4389" s="2" t="s">
        <v>82</v>
      </c>
      <c r="BR4389" s="2"/>
      <c r="BS4389" s="3">
        <v>40473</v>
      </c>
      <c r="BT4389" s="4">
        <v>0.75148148148148142</v>
      </c>
    </row>
    <row r="4390" spans="1:72" x14ac:dyDescent="0.25">
      <c r="A4390" s="2">
        <v>6653</v>
      </c>
      <c r="B4390" s="2">
        <v>2010</v>
      </c>
      <c r="C4390" s="2" t="s">
        <v>121</v>
      </c>
      <c r="D4390" s="2" t="s">
        <v>122</v>
      </c>
      <c r="E4390" s="2"/>
      <c r="F4390" s="2">
        <v>1</v>
      </c>
      <c r="G4390" s="2" t="s">
        <v>82</v>
      </c>
      <c r="H4390" s="2">
        <v>1</v>
      </c>
      <c r="I4390" s="2" t="s">
        <v>82</v>
      </c>
      <c r="J4390" s="2">
        <v>1</v>
      </c>
      <c r="K4390" s="2" t="s">
        <v>107</v>
      </c>
      <c r="L4390" s="2" t="s">
        <v>107</v>
      </c>
      <c r="M4390" s="3">
        <v>40473</v>
      </c>
      <c r="N4390" s="2"/>
      <c r="O4390" s="2" t="s">
        <v>107</v>
      </c>
      <c r="P4390" s="2" t="s">
        <v>107</v>
      </c>
      <c r="Q4390" s="2" t="str">
        <f>""</f>
        <v/>
      </c>
      <c r="R4390" s="2"/>
      <c r="S4390" s="2"/>
      <c r="T4390" s="2">
        <v>2</v>
      </c>
      <c r="U4390" s="2" t="s">
        <v>123</v>
      </c>
      <c r="V4390" s="2">
        <v>1</v>
      </c>
      <c r="W4390" s="2" t="s">
        <v>80</v>
      </c>
      <c r="X4390" s="2">
        <v>11</v>
      </c>
      <c r="Y4390" s="2" t="s">
        <v>1920</v>
      </c>
      <c r="Z4390" s="2">
        <v>10</v>
      </c>
      <c r="AA4390" s="2" t="s">
        <v>236</v>
      </c>
      <c r="AB4390" s="2">
        <v>9</v>
      </c>
      <c r="AC4390" s="2" t="s">
        <v>124</v>
      </c>
      <c r="AD4390" s="3">
        <v>40473</v>
      </c>
      <c r="AE4390" s="4">
        <v>0.78472222222222221</v>
      </c>
      <c r="AF4390" s="2"/>
      <c r="AG4390" s="2"/>
      <c r="AH4390" s="2">
        <v>3</v>
      </c>
      <c r="AI4390" s="2" t="s">
        <v>214</v>
      </c>
      <c r="AJ4390" s="2">
        <v>24</v>
      </c>
      <c r="AK4390" s="2" t="s">
        <v>215</v>
      </c>
      <c r="AL4390" s="2">
        <v>10</v>
      </c>
      <c r="AM4390" s="2" t="s">
        <v>200</v>
      </c>
      <c r="AN4390" s="2"/>
      <c r="AO4390" s="2"/>
      <c r="AP4390" s="2">
        <v>11</v>
      </c>
      <c r="AQ4390" s="2" t="s">
        <v>82</v>
      </c>
      <c r="AR4390" s="2" t="s">
        <v>82</v>
      </c>
      <c r="AS4390" s="2" t="s">
        <v>82</v>
      </c>
      <c r="AT4390" s="2" t="s">
        <v>13696</v>
      </c>
      <c r="AU4390" s="2"/>
      <c r="AV4390" s="2"/>
      <c r="AW4390" s="2"/>
      <c r="AX4390" s="2"/>
      <c r="AY4390" s="2">
        <v>41</v>
      </c>
      <c r="AZ4390" s="2" t="s">
        <v>82</v>
      </c>
      <c r="BA4390" s="2">
        <v>41</v>
      </c>
      <c r="BB4390" s="2" t="s">
        <v>82</v>
      </c>
      <c r="BC4390" s="2">
        <v>41</v>
      </c>
      <c r="BD4390" s="2" t="s">
        <v>82</v>
      </c>
      <c r="BE4390" s="2">
        <v>42</v>
      </c>
      <c r="BF4390" s="2" t="s">
        <v>182</v>
      </c>
      <c r="BG4390" s="2" t="s">
        <v>13611</v>
      </c>
      <c r="BH4390" s="4">
        <v>0.84722222222222221</v>
      </c>
      <c r="BI4390" s="4">
        <v>0.79166666666666663</v>
      </c>
      <c r="BJ4390" s="2">
        <v>13</v>
      </c>
      <c r="BK4390" s="2" t="s">
        <v>91</v>
      </c>
      <c r="BL4390" s="2" t="s">
        <v>169</v>
      </c>
      <c r="BM4390" s="2">
        <v>241</v>
      </c>
      <c r="BN4390" s="2" t="s">
        <v>82</v>
      </c>
      <c r="BO4390" s="2"/>
      <c r="BP4390" s="2">
        <v>13</v>
      </c>
      <c r="BQ4390" s="2" t="s">
        <v>91</v>
      </c>
      <c r="BR4390" s="2" t="s">
        <v>170</v>
      </c>
      <c r="BS4390" s="3">
        <v>40473</v>
      </c>
      <c r="BT4390" s="4">
        <v>0.80740740740740735</v>
      </c>
    </row>
    <row r="4391" spans="1:72" x14ac:dyDescent="0.25">
      <c r="A4391" s="2">
        <v>6654</v>
      </c>
      <c r="B4391" s="2">
        <v>2010</v>
      </c>
      <c r="C4391" s="2" t="s">
        <v>385</v>
      </c>
      <c r="D4391" s="2" t="s">
        <v>122</v>
      </c>
      <c r="E4391" s="2"/>
      <c r="F4391" s="2">
        <v>395</v>
      </c>
      <c r="G4391" s="2" t="s">
        <v>1076</v>
      </c>
      <c r="H4391" s="2">
        <v>7</v>
      </c>
      <c r="I4391" s="2" t="s">
        <v>476</v>
      </c>
      <c r="J4391" s="2">
        <v>242</v>
      </c>
      <c r="K4391" s="2" t="s">
        <v>1077</v>
      </c>
      <c r="L4391" s="2" t="s">
        <v>1078</v>
      </c>
      <c r="M4391" s="3">
        <v>40473</v>
      </c>
      <c r="N4391" s="2" t="s">
        <v>13697</v>
      </c>
      <c r="O4391" s="2" t="s">
        <v>13698</v>
      </c>
      <c r="P4391" s="2" t="s">
        <v>13203</v>
      </c>
      <c r="Q4391" s="2" t="str">
        <f>"N/C"</f>
        <v>N/C</v>
      </c>
      <c r="R4391" s="2" t="s">
        <v>82</v>
      </c>
      <c r="S4391" s="2" t="s">
        <v>82</v>
      </c>
      <c r="T4391" s="2">
        <v>1</v>
      </c>
      <c r="U4391" s="2" t="s">
        <v>79</v>
      </c>
      <c r="V4391" s="2">
        <v>1</v>
      </c>
      <c r="W4391" s="2" t="s">
        <v>80</v>
      </c>
      <c r="X4391" s="2">
        <v>11</v>
      </c>
      <c r="Y4391" s="2" t="s">
        <v>1920</v>
      </c>
      <c r="Z4391" s="2">
        <v>1</v>
      </c>
      <c r="AA4391" s="2" t="s">
        <v>82</v>
      </c>
      <c r="AB4391" s="2">
        <v>9</v>
      </c>
      <c r="AC4391" s="2" t="s">
        <v>124</v>
      </c>
      <c r="AD4391" s="3">
        <v>40473</v>
      </c>
      <c r="AE4391" s="4">
        <v>0.74305555555555547</v>
      </c>
      <c r="AF4391" s="2"/>
      <c r="AG4391" s="2"/>
      <c r="AH4391" s="2">
        <v>5</v>
      </c>
      <c r="AI4391" s="2" t="s">
        <v>274</v>
      </c>
      <c r="AJ4391" s="2">
        <v>45</v>
      </c>
      <c r="AK4391" s="2" t="s">
        <v>834</v>
      </c>
      <c r="AL4391" s="2">
        <v>23</v>
      </c>
      <c r="AM4391" s="2" t="s">
        <v>251</v>
      </c>
      <c r="AN4391" s="2" t="s">
        <v>82</v>
      </c>
      <c r="AO4391" s="2" t="s">
        <v>13699</v>
      </c>
      <c r="AP4391" s="2">
        <v>11</v>
      </c>
      <c r="AQ4391" s="2" t="s">
        <v>82</v>
      </c>
      <c r="AR4391" s="2" t="s">
        <v>82</v>
      </c>
      <c r="AS4391" s="2" t="s">
        <v>82</v>
      </c>
      <c r="AT4391" s="2" t="s">
        <v>13700</v>
      </c>
      <c r="AU4391" s="2">
        <v>1</v>
      </c>
      <c r="AV4391" s="2"/>
      <c r="AW4391" s="2"/>
      <c r="AX4391" s="2"/>
      <c r="AY4391" s="2">
        <v>41</v>
      </c>
      <c r="AZ4391" s="2" t="s">
        <v>82</v>
      </c>
      <c r="BA4391" s="2">
        <v>41</v>
      </c>
      <c r="BB4391" s="2" t="s">
        <v>82</v>
      </c>
      <c r="BC4391" s="2">
        <v>41</v>
      </c>
      <c r="BD4391" s="2" t="s">
        <v>82</v>
      </c>
      <c r="BE4391" s="2">
        <v>41</v>
      </c>
      <c r="BF4391" s="2" t="s">
        <v>82</v>
      </c>
      <c r="BG4391" s="2"/>
      <c r="BH4391" s="2"/>
      <c r="BI4391" s="2"/>
      <c r="BJ4391" s="2">
        <v>241</v>
      </c>
      <c r="BK4391" s="2" t="s">
        <v>82</v>
      </c>
      <c r="BL4391" s="2" t="s">
        <v>82</v>
      </c>
      <c r="BM4391" s="2">
        <v>241</v>
      </c>
      <c r="BN4391" s="2" t="s">
        <v>82</v>
      </c>
      <c r="BO4391" s="2"/>
      <c r="BP4391" s="2">
        <v>241</v>
      </c>
      <c r="BQ4391" s="2" t="s">
        <v>82</v>
      </c>
      <c r="BR4391" s="2" t="s">
        <v>82</v>
      </c>
      <c r="BS4391" s="3">
        <v>40473</v>
      </c>
      <c r="BT4391" s="4">
        <v>0.87752314814814814</v>
      </c>
    </row>
    <row r="4392" spans="1:72" x14ac:dyDescent="0.25">
      <c r="A4392" s="2">
        <v>6655</v>
      </c>
      <c r="B4392" s="2">
        <v>2010</v>
      </c>
      <c r="C4392" s="2" t="s">
        <v>196</v>
      </c>
      <c r="D4392" s="2" t="s">
        <v>122</v>
      </c>
      <c r="E4392" s="2"/>
      <c r="F4392" s="2">
        <v>1</v>
      </c>
      <c r="G4392" s="2" t="s">
        <v>82</v>
      </c>
      <c r="H4392" s="2">
        <v>1</v>
      </c>
      <c r="I4392" s="2" t="s">
        <v>82</v>
      </c>
      <c r="J4392" s="2">
        <v>1</v>
      </c>
      <c r="K4392" s="2" t="s">
        <v>107</v>
      </c>
      <c r="L4392" s="2" t="s">
        <v>107</v>
      </c>
      <c r="M4392" s="3">
        <v>40473</v>
      </c>
      <c r="N4392" s="2"/>
      <c r="O4392" s="2"/>
      <c r="P4392" s="2"/>
      <c r="Q4392" s="2" t="str">
        <f>""</f>
        <v/>
      </c>
      <c r="R4392" s="2"/>
      <c r="S4392" s="2"/>
      <c r="T4392" s="2">
        <v>2</v>
      </c>
      <c r="U4392" s="2" t="s">
        <v>123</v>
      </c>
      <c r="V4392" s="2">
        <v>1</v>
      </c>
      <c r="W4392" s="2" t="s">
        <v>80</v>
      </c>
      <c r="X4392" s="2">
        <v>5</v>
      </c>
      <c r="Y4392" s="2" t="s">
        <v>82</v>
      </c>
      <c r="Z4392" s="2">
        <v>1</v>
      </c>
      <c r="AA4392" s="2" t="s">
        <v>82</v>
      </c>
      <c r="AB4392" s="2">
        <v>9</v>
      </c>
      <c r="AC4392" s="2" t="s">
        <v>124</v>
      </c>
      <c r="AD4392" s="3">
        <v>40473</v>
      </c>
      <c r="AE4392" s="4">
        <v>0.79513888888888884</v>
      </c>
      <c r="AF4392" s="2"/>
      <c r="AG4392" s="2"/>
      <c r="AH4392" s="2">
        <v>6</v>
      </c>
      <c r="AI4392" s="2" t="s">
        <v>197</v>
      </c>
      <c r="AJ4392" s="2">
        <v>58</v>
      </c>
      <c r="AK4392" s="2" t="s">
        <v>406</v>
      </c>
      <c r="AL4392" s="2">
        <v>19</v>
      </c>
      <c r="AM4392" s="2" t="s">
        <v>107</v>
      </c>
      <c r="AN4392" s="2" t="s">
        <v>10718</v>
      </c>
      <c r="AO4392" s="2" t="s">
        <v>992</v>
      </c>
      <c r="AP4392" s="2">
        <v>11</v>
      </c>
      <c r="AQ4392" s="2" t="s">
        <v>82</v>
      </c>
      <c r="AR4392" s="2"/>
      <c r="AS4392" s="2"/>
      <c r="AT4392" s="2" t="s">
        <v>13701</v>
      </c>
      <c r="AU4392" s="2"/>
      <c r="AV4392" s="2"/>
      <c r="AW4392" s="2"/>
      <c r="AX4392" s="2"/>
      <c r="AY4392" s="2">
        <v>41</v>
      </c>
      <c r="AZ4392" s="2" t="s">
        <v>82</v>
      </c>
      <c r="BA4392" s="2">
        <v>41</v>
      </c>
      <c r="BB4392" s="2" t="s">
        <v>82</v>
      </c>
      <c r="BC4392" s="2">
        <v>41</v>
      </c>
      <c r="BD4392" s="2" t="s">
        <v>82</v>
      </c>
      <c r="BE4392" s="2">
        <v>41</v>
      </c>
      <c r="BF4392" s="2" t="s">
        <v>82</v>
      </c>
      <c r="BG4392" s="2"/>
      <c r="BH4392" s="2"/>
      <c r="BI4392" s="2"/>
      <c r="BJ4392" s="2">
        <v>241</v>
      </c>
      <c r="BK4392" s="2" t="s">
        <v>82</v>
      </c>
      <c r="BL4392" s="2"/>
      <c r="BM4392" s="2">
        <v>241</v>
      </c>
      <c r="BN4392" s="2" t="s">
        <v>82</v>
      </c>
      <c r="BO4392" s="2"/>
      <c r="BP4392" s="2">
        <v>241</v>
      </c>
      <c r="BQ4392" s="2" t="s">
        <v>82</v>
      </c>
      <c r="BR4392" s="2"/>
      <c r="BS4392" s="3">
        <v>40473</v>
      </c>
      <c r="BT4392" s="4">
        <v>0.88475694444444442</v>
      </c>
    </row>
    <row r="4393" spans="1:72" x14ac:dyDescent="0.25">
      <c r="A4393" s="2">
        <v>6657</v>
      </c>
      <c r="B4393" s="2">
        <v>2010</v>
      </c>
      <c r="C4393" s="2" t="s">
        <v>377</v>
      </c>
      <c r="D4393" s="2" t="s">
        <v>73</v>
      </c>
      <c r="E4393" s="2"/>
      <c r="F4393" s="2">
        <v>426</v>
      </c>
      <c r="G4393" s="2" t="s">
        <v>378</v>
      </c>
      <c r="H4393" s="2">
        <v>108</v>
      </c>
      <c r="I4393" s="2" t="s">
        <v>1096</v>
      </c>
      <c r="J4393" s="2">
        <v>311</v>
      </c>
      <c r="K4393" s="2" t="s">
        <v>379</v>
      </c>
      <c r="L4393" s="2" t="s">
        <v>380</v>
      </c>
      <c r="M4393" s="3">
        <v>40473</v>
      </c>
      <c r="N4393" s="2" t="s">
        <v>5164</v>
      </c>
      <c r="O4393" s="2"/>
      <c r="P4393" s="2"/>
      <c r="Q4393" s="2" t="str">
        <f>"271-E/10"</f>
        <v>271-E/10</v>
      </c>
      <c r="R4393" s="2"/>
      <c r="S4393" s="2" t="s">
        <v>4428</v>
      </c>
      <c r="T4393" s="2">
        <v>1</v>
      </c>
      <c r="U4393" s="2" t="s">
        <v>79</v>
      </c>
      <c r="V4393" s="2">
        <v>1</v>
      </c>
      <c r="W4393" s="2" t="s">
        <v>80</v>
      </c>
      <c r="X4393" s="2">
        <v>1</v>
      </c>
      <c r="Y4393" s="2" t="s">
        <v>81</v>
      </c>
      <c r="Z4393" s="2">
        <v>1</v>
      </c>
      <c r="AA4393" s="2" t="s">
        <v>82</v>
      </c>
      <c r="AB4393" s="2">
        <v>9</v>
      </c>
      <c r="AC4393" s="2" t="s">
        <v>124</v>
      </c>
      <c r="AD4393" s="3">
        <v>40473</v>
      </c>
      <c r="AE4393" s="4">
        <v>0.625</v>
      </c>
      <c r="AF4393" s="3">
        <v>40473</v>
      </c>
      <c r="AG4393" s="4">
        <v>0.75</v>
      </c>
      <c r="AH4393" s="2">
        <v>2</v>
      </c>
      <c r="AI4393" s="2" t="s">
        <v>84</v>
      </c>
      <c r="AJ4393" s="2">
        <v>9</v>
      </c>
      <c r="AK4393" s="2" t="s">
        <v>103</v>
      </c>
      <c r="AL4393" s="2">
        <v>24</v>
      </c>
      <c r="AM4393" s="2" t="s">
        <v>1540</v>
      </c>
      <c r="AN4393" s="2"/>
      <c r="AO4393" s="2" t="s">
        <v>13702</v>
      </c>
      <c r="AP4393" s="2">
        <v>11</v>
      </c>
      <c r="AQ4393" s="2" t="s">
        <v>82</v>
      </c>
      <c r="AR4393" s="2"/>
      <c r="AS4393" s="2"/>
      <c r="AT4393" s="2" t="s">
        <v>13703</v>
      </c>
      <c r="AU4393" s="2"/>
      <c r="AV4393" s="2"/>
      <c r="AW4393" s="2"/>
      <c r="AX4393" s="2"/>
      <c r="AY4393" s="2">
        <v>41</v>
      </c>
      <c r="AZ4393" s="2" t="s">
        <v>82</v>
      </c>
      <c r="BA4393" s="2">
        <v>41</v>
      </c>
      <c r="BB4393" s="2" t="s">
        <v>82</v>
      </c>
      <c r="BC4393" s="2">
        <v>41</v>
      </c>
      <c r="BD4393" s="2" t="s">
        <v>82</v>
      </c>
      <c r="BE4393" s="2">
        <v>41</v>
      </c>
      <c r="BF4393" s="2" t="s">
        <v>82</v>
      </c>
      <c r="BG4393" s="2"/>
      <c r="BH4393" s="2"/>
      <c r="BI4393" s="2"/>
      <c r="BJ4393" s="2">
        <v>241</v>
      </c>
      <c r="BK4393" s="2" t="s">
        <v>82</v>
      </c>
      <c r="BL4393" s="2"/>
      <c r="BM4393" s="2">
        <v>241</v>
      </c>
      <c r="BN4393" s="2" t="s">
        <v>82</v>
      </c>
      <c r="BO4393" s="2"/>
      <c r="BP4393" s="2">
        <v>241</v>
      </c>
      <c r="BQ4393" s="2" t="s">
        <v>82</v>
      </c>
      <c r="BR4393" s="2"/>
      <c r="BS4393" s="3">
        <v>40473</v>
      </c>
      <c r="BT4393" s="4">
        <v>0.92734953703703704</v>
      </c>
    </row>
    <row r="4394" spans="1:72" x14ac:dyDescent="0.25">
      <c r="A4394" s="2">
        <v>6658</v>
      </c>
      <c r="B4394" s="2">
        <v>2010</v>
      </c>
      <c r="C4394" s="2" t="s">
        <v>72</v>
      </c>
      <c r="D4394" s="2" t="s">
        <v>73</v>
      </c>
      <c r="E4394" s="2"/>
      <c r="F4394" s="2">
        <v>3</v>
      </c>
      <c r="G4394" s="2" t="s">
        <v>1041</v>
      </c>
      <c r="H4394" s="2">
        <v>22</v>
      </c>
      <c r="I4394" s="2" t="s">
        <v>75</v>
      </c>
      <c r="J4394" s="2">
        <v>368</v>
      </c>
      <c r="K4394" s="2" t="s">
        <v>1042</v>
      </c>
      <c r="L4394" s="2" t="s">
        <v>1043</v>
      </c>
      <c r="M4394" s="3">
        <v>40473</v>
      </c>
      <c r="N4394" s="2" t="s">
        <v>107</v>
      </c>
      <c r="O4394" s="2"/>
      <c r="P4394" s="2"/>
      <c r="Q4394" s="2" t="str">
        <f>"549-E/10"</f>
        <v>549-E/10</v>
      </c>
      <c r="R4394" s="2"/>
      <c r="S4394" s="2" t="s">
        <v>13704</v>
      </c>
      <c r="T4394" s="2">
        <v>1</v>
      </c>
      <c r="U4394" s="2" t="s">
        <v>79</v>
      </c>
      <c r="V4394" s="2">
        <v>1</v>
      </c>
      <c r="W4394" s="2" t="s">
        <v>80</v>
      </c>
      <c r="X4394" s="2">
        <v>1</v>
      </c>
      <c r="Y4394" s="2" t="s">
        <v>81</v>
      </c>
      <c r="Z4394" s="2">
        <v>1</v>
      </c>
      <c r="AA4394" s="2" t="s">
        <v>82</v>
      </c>
      <c r="AB4394" s="2">
        <v>6</v>
      </c>
      <c r="AC4394" s="2" t="s">
        <v>83</v>
      </c>
      <c r="AD4394" s="3">
        <v>40473</v>
      </c>
      <c r="AE4394" s="2"/>
      <c r="AF4394" s="3">
        <v>40473</v>
      </c>
      <c r="AG4394" s="4">
        <v>0.85416666666666663</v>
      </c>
      <c r="AH4394" s="2">
        <v>2</v>
      </c>
      <c r="AI4394" s="2" t="s">
        <v>84</v>
      </c>
      <c r="AJ4394" s="2">
        <v>9</v>
      </c>
      <c r="AK4394" s="2" t="s">
        <v>103</v>
      </c>
      <c r="AL4394" s="2">
        <v>23</v>
      </c>
      <c r="AM4394" s="2" t="s">
        <v>251</v>
      </c>
      <c r="AN4394" s="2" t="s">
        <v>13705</v>
      </c>
      <c r="AO4394" s="2"/>
      <c r="AP4394" s="2">
        <v>11</v>
      </c>
      <c r="AQ4394" s="2" t="s">
        <v>82</v>
      </c>
      <c r="AR4394" s="2"/>
      <c r="AS4394" s="2"/>
      <c r="AT4394" s="2" t="s">
        <v>13706</v>
      </c>
      <c r="AU4394" s="2"/>
      <c r="AV4394" s="2"/>
      <c r="AW4394" s="2"/>
      <c r="AX4394" s="2"/>
      <c r="AY4394" s="2">
        <v>41</v>
      </c>
      <c r="AZ4394" s="2" t="s">
        <v>82</v>
      </c>
      <c r="BA4394" s="2">
        <v>41</v>
      </c>
      <c r="BB4394" s="2" t="s">
        <v>82</v>
      </c>
      <c r="BC4394" s="2">
        <v>41</v>
      </c>
      <c r="BD4394" s="2" t="s">
        <v>82</v>
      </c>
      <c r="BE4394" s="2">
        <v>41</v>
      </c>
      <c r="BF4394" s="2" t="s">
        <v>82</v>
      </c>
      <c r="BG4394" s="2"/>
      <c r="BH4394" s="2"/>
      <c r="BI4394" s="2"/>
      <c r="BJ4394" s="2">
        <v>241</v>
      </c>
      <c r="BK4394" s="2" t="s">
        <v>82</v>
      </c>
      <c r="BL4394" s="2"/>
      <c r="BM4394" s="2">
        <v>241</v>
      </c>
      <c r="BN4394" s="2" t="s">
        <v>82</v>
      </c>
      <c r="BO4394" s="2"/>
      <c r="BP4394" s="2">
        <v>241</v>
      </c>
      <c r="BQ4394" s="2" t="s">
        <v>82</v>
      </c>
      <c r="BR4394" s="2"/>
      <c r="BS4394" s="3">
        <v>40473</v>
      </c>
      <c r="BT4394" s="4">
        <v>0.9862847222222223</v>
      </c>
    </row>
    <row r="4395" spans="1:72" x14ac:dyDescent="0.25">
      <c r="A4395" s="2">
        <v>6659</v>
      </c>
      <c r="B4395" s="2">
        <v>2010</v>
      </c>
      <c r="C4395" s="2" t="s">
        <v>72</v>
      </c>
      <c r="D4395" s="2" t="s">
        <v>73</v>
      </c>
      <c r="E4395" s="2"/>
      <c r="F4395" s="2">
        <v>685</v>
      </c>
      <c r="G4395" s="2" t="s">
        <v>12932</v>
      </c>
      <c r="H4395" s="2">
        <v>108</v>
      </c>
      <c r="I4395" s="2" t="s">
        <v>1096</v>
      </c>
      <c r="J4395" s="2">
        <v>674</v>
      </c>
      <c r="K4395" s="2" t="s">
        <v>12821</v>
      </c>
      <c r="L4395" s="2" t="s">
        <v>12822</v>
      </c>
      <c r="M4395" s="3">
        <v>40474</v>
      </c>
      <c r="N4395" s="2" t="s">
        <v>12865</v>
      </c>
      <c r="O4395" s="2"/>
      <c r="P4395" s="2"/>
      <c r="Q4395" s="2" t="str">
        <f>"420-A/10"</f>
        <v>420-A/10</v>
      </c>
      <c r="R4395" s="2" t="s">
        <v>116</v>
      </c>
      <c r="S4395" s="2" t="s">
        <v>116</v>
      </c>
      <c r="T4395" s="2">
        <v>1</v>
      </c>
      <c r="U4395" s="2" t="s">
        <v>79</v>
      </c>
      <c r="V4395" s="2">
        <v>1</v>
      </c>
      <c r="W4395" s="2" t="s">
        <v>80</v>
      </c>
      <c r="X4395" s="2">
        <v>12</v>
      </c>
      <c r="Y4395" s="2" t="s">
        <v>148</v>
      </c>
      <c r="Z4395" s="2">
        <v>1</v>
      </c>
      <c r="AA4395" s="2" t="s">
        <v>82</v>
      </c>
      <c r="AB4395" s="2">
        <v>6</v>
      </c>
      <c r="AC4395" s="2" t="s">
        <v>83</v>
      </c>
      <c r="AD4395" s="2"/>
      <c r="AE4395" s="2"/>
      <c r="AF4395" s="3">
        <v>40473</v>
      </c>
      <c r="AG4395" s="4">
        <v>0.875</v>
      </c>
      <c r="AH4395" s="2">
        <v>2</v>
      </c>
      <c r="AI4395" s="2" t="s">
        <v>84</v>
      </c>
      <c r="AJ4395" s="2">
        <v>12</v>
      </c>
      <c r="AK4395" s="2" t="s">
        <v>85</v>
      </c>
      <c r="AL4395" s="2">
        <v>26</v>
      </c>
      <c r="AM4395" s="2" t="s">
        <v>6036</v>
      </c>
      <c r="AN4395" s="2"/>
      <c r="AO4395" s="2" t="s">
        <v>13707</v>
      </c>
      <c r="AP4395" s="2">
        <v>11</v>
      </c>
      <c r="AQ4395" s="2" t="s">
        <v>82</v>
      </c>
      <c r="AR4395" s="2"/>
      <c r="AS4395" s="2"/>
      <c r="AT4395" s="2" t="s">
        <v>13708</v>
      </c>
      <c r="AU4395" s="2"/>
      <c r="AV4395" s="2"/>
      <c r="AW4395" s="2"/>
      <c r="AX4395" s="2"/>
      <c r="AY4395" s="2">
        <v>41</v>
      </c>
      <c r="AZ4395" s="2" t="s">
        <v>82</v>
      </c>
      <c r="BA4395" s="2">
        <v>41</v>
      </c>
      <c r="BB4395" s="2" t="s">
        <v>82</v>
      </c>
      <c r="BC4395" s="2">
        <v>41</v>
      </c>
      <c r="BD4395" s="2" t="s">
        <v>82</v>
      </c>
      <c r="BE4395" s="2">
        <v>41</v>
      </c>
      <c r="BF4395" s="2" t="s">
        <v>82</v>
      </c>
      <c r="BG4395" s="2"/>
      <c r="BH4395" s="2"/>
      <c r="BI4395" s="2"/>
      <c r="BJ4395" s="2">
        <v>241</v>
      </c>
      <c r="BK4395" s="2" t="s">
        <v>82</v>
      </c>
      <c r="BL4395" s="2"/>
      <c r="BM4395" s="2">
        <v>241</v>
      </c>
      <c r="BN4395" s="2" t="s">
        <v>82</v>
      </c>
      <c r="BO4395" s="2"/>
      <c r="BP4395" s="2">
        <v>241</v>
      </c>
      <c r="BQ4395" s="2" t="s">
        <v>82</v>
      </c>
      <c r="BR4395" s="2"/>
      <c r="BS4395" s="3">
        <v>40474</v>
      </c>
      <c r="BT4395" s="4">
        <v>0.13900462962962964</v>
      </c>
    </row>
    <row r="4396" spans="1:72" x14ac:dyDescent="0.25">
      <c r="A4396" s="2">
        <v>6660</v>
      </c>
      <c r="B4396" s="2">
        <v>2010</v>
      </c>
      <c r="C4396" s="2" t="s">
        <v>72</v>
      </c>
      <c r="D4396" s="2" t="s">
        <v>73</v>
      </c>
      <c r="E4396" s="2"/>
      <c r="F4396" s="2">
        <v>703</v>
      </c>
      <c r="G4396" s="2" t="s">
        <v>13709</v>
      </c>
      <c r="H4396" s="2">
        <v>1</v>
      </c>
      <c r="I4396" s="2" t="s">
        <v>82</v>
      </c>
      <c r="J4396" s="2">
        <v>690</v>
      </c>
      <c r="K4396" s="2" t="s">
        <v>13710</v>
      </c>
      <c r="L4396" s="2" t="s">
        <v>575</v>
      </c>
      <c r="M4396" s="3">
        <v>40474</v>
      </c>
      <c r="N4396" s="2"/>
      <c r="O4396" s="2"/>
      <c r="P4396" s="2"/>
      <c r="Q4396" s="2" t="str">
        <f>"46/10"</f>
        <v>46/10</v>
      </c>
      <c r="R4396" s="2"/>
      <c r="S4396" s="2" t="s">
        <v>8877</v>
      </c>
      <c r="T4396" s="2">
        <v>1</v>
      </c>
      <c r="U4396" s="2" t="s">
        <v>79</v>
      </c>
      <c r="V4396" s="2">
        <v>1</v>
      </c>
      <c r="W4396" s="2" t="s">
        <v>80</v>
      </c>
      <c r="X4396" s="2">
        <v>12</v>
      </c>
      <c r="Y4396" s="2" t="s">
        <v>148</v>
      </c>
      <c r="Z4396" s="2">
        <v>1</v>
      </c>
      <c r="AA4396" s="2" t="s">
        <v>82</v>
      </c>
      <c r="AB4396" s="2">
        <v>6</v>
      </c>
      <c r="AC4396" s="2" t="s">
        <v>83</v>
      </c>
      <c r="AD4396" s="3">
        <v>40474</v>
      </c>
      <c r="AE4396" s="2"/>
      <c r="AF4396" s="3">
        <v>40474</v>
      </c>
      <c r="AG4396" s="4">
        <v>0.23958333333333334</v>
      </c>
      <c r="AH4396" s="2">
        <v>3</v>
      </c>
      <c r="AI4396" s="2" t="s">
        <v>214</v>
      </c>
      <c r="AJ4396" s="2">
        <v>17</v>
      </c>
      <c r="AK4396" s="2" t="s">
        <v>309</v>
      </c>
      <c r="AL4396" s="2">
        <v>10</v>
      </c>
      <c r="AM4396" s="2" t="s">
        <v>200</v>
      </c>
      <c r="AN4396" s="2"/>
      <c r="AO4396" s="2" t="s">
        <v>13711</v>
      </c>
      <c r="AP4396" s="2">
        <v>11</v>
      </c>
      <c r="AQ4396" s="2" t="s">
        <v>82</v>
      </c>
      <c r="AR4396" s="2" t="s">
        <v>82</v>
      </c>
      <c r="AS4396" s="2" t="s">
        <v>82</v>
      </c>
      <c r="AT4396" s="2" t="s">
        <v>13712</v>
      </c>
      <c r="AU4396" s="2"/>
      <c r="AV4396" s="2"/>
      <c r="AW4396" s="2"/>
      <c r="AX4396" s="2"/>
      <c r="AY4396" s="2">
        <v>44</v>
      </c>
      <c r="AZ4396" s="2" t="s">
        <v>262</v>
      </c>
      <c r="BA4396" s="2">
        <v>44</v>
      </c>
      <c r="BB4396" s="2" t="s">
        <v>262</v>
      </c>
      <c r="BC4396" s="2">
        <v>41</v>
      </c>
      <c r="BD4396" s="2" t="s">
        <v>82</v>
      </c>
      <c r="BE4396" s="2">
        <v>41</v>
      </c>
      <c r="BF4396" s="2" t="s">
        <v>82</v>
      </c>
      <c r="BG4396" s="2"/>
      <c r="BH4396" s="2"/>
      <c r="BI4396" s="2"/>
      <c r="BJ4396" s="2">
        <v>241</v>
      </c>
      <c r="BK4396" s="2" t="s">
        <v>82</v>
      </c>
      <c r="BL4396" s="2" t="s">
        <v>82</v>
      </c>
      <c r="BM4396" s="2">
        <v>241</v>
      </c>
      <c r="BN4396" s="2" t="s">
        <v>82</v>
      </c>
      <c r="BO4396" s="2"/>
      <c r="BP4396" s="2">
        <v>241</v>
      </c>
      <c r="BQ4396" s="2" t="s">
        <v>82</v>
      </c>
      <c r="BR4396" s="2" t="s">
        <v>82</v>
      </c>
      <c r="BS4396" s="3">
        <v>40474</v>
      </c>
      <c r="BT4396" s="4">
        <v>0.42574074074074075</v>
      </c>
    </row>
    <row r="4397" spans="1:72" x14ac:dyDescent="0.25">
      <c r="A4397" s="2">
        <v>6661</v>
      </c>
      <c r="B4397" s="2">
        <v>2010</v>
      </c>
      <c r="C4397" s="2" t="s">
        <v>93</v>
      </c>
      <c r="D4397" s="2" t="s">
        <v>73</v>
      </c>
      <c r="E4397" s="2"/>
      <c r="F4397" s="2">
        <v>683</v>
      </c>
      <c r="G4397" s="2" t="s">
        <v>13713</v>
      </c>
      <c r="H4397" s="2">
        <v>125</v>
      </c>
      <c r="I4397" s="2" t="s">
        <v>8170</v>
      </c>
      <c r="J4397" s="2">
        <v>220</v>
      </c>
      <c r="K4397" s="2" t="s">
        <v>13714</v>
      </c>
      <c r="L4397" s="2" t="s">
        <v>2819</v>
      </c>
      <c r="M4397" s="3">
        <v>40474</v>
      </c>
      <c r="N4397" s="2" t="s">
        <v>13715</v>
      </c>
      <c r="O4397" s="2" t="s">
        <v>13153</v>
      </c>
      <c r="P4397" s="2">
        <v>22440</v>
      </c>
      <c r="Q4397" s="2" t="str">
        <f>"0139/2010"</f>
        <v>0139/2010</v>
      </c>
      <c r="R4397" s="2"/>
      <c r="S4397" s="2"/>
      <c r="T4397" s="2">
        <v>1</v>
      </c>
      <c r="U4397" s="2" t="s">
        <v>79</v>
      </c>
      <c r="V4397" s="2">
        <v>1</v>
      </c>
      <c r="W4397" s="2" t="s">
        <v>80</v>
      </c>
      <c r="X4397" s="2">
        <v>10</v>
      </c>
      <c r="Y4397" s="2" t="s">
        <v>226</v>
      </c>
      <c r="Z4397" s="2">
        <v>9</v>
      </c>
      <c r="AA4397" s="2" t="s">
        <v>1119</v>
      </c>
      <c r="AB4397" s="2">
        <v>2</v>
      </c>
      <c r="AC4397" s="2" t="s">
        <v>102</v>
      </c>
      <c r="AD4397" s="3">
        <v>40474</v>
      </c>
      <c r="AE4397" s="4">
        <v>0.375</v>
      </c>
      <c r="AF4397" s="2"/>
      <c r="AG4397" s="2"/>
      <c r="AH4397" s="2">
        <v>5</v>
      </c>
      <c r="AI4397" s="2" t="s">
        <v>274</v>
      </c>
      <c r="AJ4397" s="2">
        <v>38</v>
      </c>
      <c r="AK4397" s="2" t="s">
        <v>1120</v>
      </c>
      <c r="AL4397" s="2">
        <v>11</v>
      </c>
      <c r="AM4397" s="2" t="s">
        <v>137</v>
      </c>
      <c r="AN4397" s="2"/>
      <c r="AO4397" s="2" t="s">
        <v>7944</v>
      </c>
      <c r="AP4397" s="2">
        <v>11</v>
      </c>
      <c r="AQ4397" s="2" t="s">
        <v>82</v>
      </c>
      <c r="AR4397" s="2"/>
      <c r="AS4397" s="2"/>
      <c r="AT4397" s="2" t="s">
        <v>13716</v>
      </c>
      <c r="AU4397" s="2"/>
      <c r="AV4397" s="2"/>
      <c r="AW4397" s="2"/>
      <c r="AX4397" s="2"/>
      <c r="AY4397" s="2">
        <v>41</v>
      </c>
      <c r="AZ4397" s="2" t="s">
        <v>82</v>
      </c>
      <c r="BA4397" s="2">
        <v>41</v>
      </c>
      <c r="BB4397" s="2" t="s">
        <v>82</v>
      </c>
      <c r="BC4397" s="2">
        <v>41</v>
      </c>
      <c r="BD4397" s="2" t="s">
        <v>82</v>
      </c>
      <c r="BE4397" s="2">
        <v>47</v>
      </c>
      <c r="BF4397" s="2" t="s">
        <v>167</v>
      </c>
      <c r="BG4397" s="2">
        <v>2814</v>
      </c>
      <c r="BH4397" s="4">
        <v>0.36805555555555558</v>
      </c>
      <c r="BI4397" s="4">
        <v>0.39930555555555558</v>
      </c>
      <c r="BJ4397" s="2">
        <v>13</v>
      </c>
      <c r="BK4397" s="2" t="s">
        <v>91</v>
      </c>
      <c r="BL4397" s="2" t="s">
        <v>3140</v>
      </c>
      <c r="BM4397" s="2">
        <v>13</v>
      </c>
      <c r="BN4397" s="2" t="s">
        <v>91</v>
      </c>
      <c r="BO4397" s="2"/>
      <c r="BP4397" s="2">
        <v>13</v>
      </c>
      <c r="BQ4397" s="2" t="s">
        <v>91</v>
      </c>
      <c r="BR4397" s="2" t="s">
        <v>170</v>
      </c>
      <c r="BS4397" s="3">
        <v>40474</v>
      </c>
      <c r="BT4397" s="4">
        <v>0.45731481481481479</v>
      </c>
    </row>
    <row r="4398" spans="1:72" x14ac:dyDescent="0.25">
      <c r="A4398" s="2">
        <v>6663</v>
      </c>
      <c r="B4398" s="2">
        <v>2010</v>
      </c>
      <c r="C4398" s="2" t="s">
        <v>93</v>
      </c>
      <c r="D4398" s="2" t="s">
        <v>73</v>
      </c>
      <c r="E4398" s="2"/>
      <c r="F4398" s="2">
        <v>704</v>
      </c>
      <c r="G4398" s="2" t="s">
        <v>13717</v>
      </c>
      <c r="H4398" s="2">
        <v>140</v>
      </c>
      <c r="I4398" s="2" t="s">
        <v>12355</v>
      </c>
      <c r="J4398" s="2">
        <v>215</v>
      </c>
      <c r="K4398" s="2" t="s">
        <v>3540</v>
      </c>
      <c r="L4398" s="2" t="s">
        <v>12356</v>
      </c>
      <c r="M4398" s="3">
        <v>40474</v>
      </c>
      <c r="N4398" s="2" t="s">
        <v>13718</v>
      </c>
      <c r="O4398" s="2" t="s">
        <v>601</v>
      </c>
      <c r="P4398" s="2" t="s">
        <v>13719</v>
      </c>
      <c r="Q4398" s="2" t="str">
        <f>"0140/2010"</f>
        <v>0140/2010</v>
      </c>
      <c r="R4398" s="2"/>
      <c r="S4398" s="2"/>
      <c r="T4398" s="2">
        <v>1</v>
      </c>
      <c r="U4398" s="2" t="s">
        <v>79</v>
      </c>
      <c r="V4398" s="2">
        <v>1</v>
      </c>
      <c r="W4398" s="2" t="s">
        <v>80</v>
      </c>
      <c r="X4398" s="2">
        <v>10</v>
      </c>
      <c r="Y4398" s="2" t="s">
        <v>226</v>
      </c>
      <c r="Z4398" s="2">
        <v>9</v>
      </c>
      <c r="AA4398" s="2" t="s">
        <v>1119</v>
      </c>
      <c r="AB4398" s="2">
        <v>2</v>
      </c>
      <c r="AC4398" s="2" t="s">
        <v>102</v>
      </c>
      <c r="AD4398" s="3">
        <v>40474</v>
      </c>
      <c r="AE4398" s="4">
        <v>0.62152777777777779</v>
      </c>
      <c r="AF4398" s="2"/>
      <c r="AG4398" s="2"/>
      <c r="AH4398" s="2">
        <v>5</v>
      </c>
      <c r="AI4398" s="2" t="s">
        <v>274</v>
      </c>
      <c r="AJ4398" s="2">
        <v>38</v>
      </c>
      <c r="AK4398" s="2" t="s">
        <v>1120</v>
      </c>
      <c r="AL4398" s="2">
        <v>11</v>
      </c>
      <c r="AM4398" s="2" t="s">
        <v>137</v>
      </c>
      <c r="AN4398" s="2"/>
      <c r="AO4398" s="2" t="s">
        <v>7944</v>
      </c>
      <c r="AP4398" s="2">
        <v>11</v>
      </c>
      <c r="AQ4398" s="2" t="s">
        <v>82</v>
      </c>
      <c r="AR4398" s="2"/>
      <c r="AS4398" s="2"/>
      <c r="AT4398" s="2" t="s">
        <v>13720</v>
      </c>
      <c r="AU4398" s="2"/>
      <c r="AV4398" s="2"/>
      <c r="AW4398" s="2"/>
      <c r="AX4398" s="2"/>
      <c r="AY4398" s="2">
        <v>41</v>
      </c>
      <c r="AZ4398" s="2" t="s">
        <v>82</v>
      </c>
      <c r="BA4398" s="2">
        <v>41</v>
      </c>
      <c r="BB4398" s="2" t="s">
        <v>82</v>
      </c>
      <c r="BC4398" s="2">
        <v>41</v>
      </c>
      <c r="BD4398" s="2" t="s">
        <v>82</v>
      </c>
      <c r="BE4398" s="2">
        <v>4</v>
      </c>
      <c r="BF4398" s="2" t="s">
        <v>90</v>
      </c>
      <c r="BG4398" s="2">
        <v>4029</v>
      </c>
      <c r="BH4398" s="4">
        <v>0.60416666666666663</v>
      </c>
      <c r="BI4398" s="4">
        <v>0.64236111111111105</v>
      </c>
      <c r="BJ4398" s="2">
        <v>13</v>
      </c>
      <c r="BK4398" s="2" t="s">
        <v>91</v>
      </c>
      <c r="BL4398" s="2" t="s">
        <v>3140</v>
      </c>
      <c r="BM4398" s="2">
        <v>13</v>
      </c>
      <c r="BN4398" s="2" t="s">
        <v>91</v>
      </c>
      <c r="BO4398" s="2"/>
      <c r="BP4398" s="2">
        <v>13</v>
      </c>
      <c r="BQ4398" s="2" t="s">
        <v>91</v>
      </c>
      <c r="BR4398" s="2" t="s">
        <v>170</v>
      </c>
      <c r="BS4398" s="3">
        <v>40474</v>
      </c>
      <c r="BT4398" s="4">
        <v>0.67228009259259258</v>
      </c>
    </row>
    <row r="4399" spans="1:72" x14ac:dyDescent="0.25">
      <c r="A4399" s="2">
        <v>6668</v>
      </c>
      <c r="B4399" s="2">
        <v>2010</v>
      </c>
      <c r="C4399" s="2" t="s">
        <v>196</v>
      </c>
      <c r="D4399" s="2" t="s">
        <v>122</v>
      </c>
      <c r="E4399" s="2"/>
      <c r="F4399" s="2">
        <v>1</v>
      </c>
      <c r="G4399" s="2" t="s">
        <v>82</v>
      </c>
      <c r="H4399" s="2">
        <v>1</v>
      </c>
      <c r="I4399" s="2" t="s">
        <v>82</v>
      </c>
      <c r="J4399" s="2">
        <v>1</v>
      </c>
      <c r="K4399" s="2" t="s">
        <v>107</v>
      </c>
      <c r="L4399" s="2" t="s">
        <v>107</v>
      </c>
      <c r="M4399" s="3">
        <v>40474</v>
      </c>
      <c r="N4399" s="2"/>
      <c r="O4399" s="2"/>
      <c r="P4399" s="2"/>
      <c r="Q4399" s="2" t="str">
        <f>""</f>
        <v/>
      </c>
      <c r="R4399" s="2"/>
      <c r="S4399" s="2"/>
      <c r="T4399" s="2">
        <v>2</v>
      </c>
      <c r="U4399" s="2" t="s">
        <v>123</v>
      </c>
      <c r="V4399" s="2">
        <v>1</v>
      </c>
      <c r="W4399" s="2" t="s">
        <v>80</v>
      </c>
      <c r="X4399" s="2">
        <v>5</v>
      </c>
      <c r="Y4399" s="2" t="s">
        <v>82</v>
      </c>
      <c r="Z4399" s="2">
        <v>1</v>
      </c>
      <c r="AA4399" s="2" t="s">
        <v>82</v>
      </c>
      <c r="AB4399" s="2">
        <v>9</v>
      </c>
      <c r="AC4399" s="2" t="s">
        <v>124</v>
      </c>
      <c r="AD4399" s="3">
        <v>40474</v>
      </c>
      <c r="AE4399" s="4">
        <v>0.80763888888888891</v>
      </c>
      <c r="AF4399" s="2"/>
      <c r="AG4399" s="2"/>
      <c r="AH4399" s="2">
        <v>6</v>
      </c>
      <c r="AI4399" s="2" t="s">
        <v>197</v>
      </c>
      <c r="AJ4399" s="2">
        <v>58</v>
      </c>
      <c r="AK4399" s="2" t="s">
        <v>406</v>
      </c>
      <c r="AL4399" s="2">
        <v>19</v>
      </c>
      <c r="AM4399" s="2" t="s">
        <v>107</v>
      </c>
      <c r="AN4399" s="2" t="s">
        <v>13721</v>
      </c>
      <c r="AO4399" s="2" t="s">
        <v>259</v>
      </c>
      <c r="AP4399" s="2">
        <v>11</v>
      </c>
      <c r="AQ4399" s="2" t="s">
        <v>82</v>
      </c>
      <c r="AR4399" s="2" t="s">
        <v>82</v>
      </c>
      <c r="AS4399" s="2" t="s">
        <v>82</v>
      </c>
      <c r="AT4399" s="2" t="s">
        <v>13722</v>
      </c>
      <c r="AU4399" s="2"/>
      <c r="AV4399" s="2"/>
      <c r="AW4399" s="2"/>
      <c r="AX4399" s="2"/>
      <c r="AY4399" s="2">
        <v>41</v>
      </c>
      <c r="AZ4399" s="2" t="s">
        <v>82</v>
      </c>
      <c r="BA4399" s="2">
        <v>41</v>
      </c>
      <c r="BB4399" s="2" t="s">
        <v>82</v>
      </c>
      <c r="BC4399" s="2">
        <v>41</v>
      </c>
      <c r="BD4399" s="2" t="s">
        <v>82</v>
      </c>
      <c r="BE4399" s="2">
        <v>41</v>
      </c>
      <c r="BF4399" s="2" t="s">
        <v>82</v>
      </c>
      <c r="BG4399" s="2" t="s">
        <v>11524</v>
      </c>
      <c r="BH4399" s="2"/>
      <c r="BI4399" s="4">
        <v>0.80763888888888891</v>
      </c>
      <c r="BJ4399" s="2">
        <v>241</v>
      </c>
      <c r="BK4399" s="2" t="s">
        <v>82</v>
      </c>
      <c r="BL4399" s="2" t="s">
        <v>82</v>
      </c>
      <c r="BM4399" s="2">
        <v>241</v>
      </c>
      <c r="BN4399" s="2" t="s">
        <v>82</v>
      </c>
      <c r="BO4399" s="2"/>
      <c r="BP4399" s="2">
        <v>241</v>
      </c>
      <c r="BQ4399" s="2" t="s">
        <v>82</v>
      </c>
      <c r="BR4399" s="2" t="s">
        <v>204</v>
      </c>
      <c r="BS4399" s="3">
        <v>40474</v>
      </c>
      <c r="BT4399" s="4">
        <v>0.82266203703703711</v>
      </c>
    </row>
    <row r="4400" spans="1:72" x14ac:dyDescent="0.25">
      <c r="A4400" s="2">
        <v>6669</v>
      </c>
      <c r="B4400" s="2">
        <v>2010</v>
      </c>
      <c r="C4400" s="2" t="s">
        <v>196</v>
      </c>
      <c r="D4400" s="2" t="s">
        <v>122</v>
      </c>
      <c r="E4400" s="2"/>
      <c r="F4400" s="2">
        <v>1</v>
      </c>
      <c r="G4400" s="2" t="s">
        <v>82</v>
      </c>
      <c r="H4400" s="2">
        <v>1</v>
      </c>
      <c r="I4400" s="2" t="s">
        <v>82</v>
      </c>
      <c r="J4400" s="2">
        <v>1</v>
      </c>
      <c r="K4400" s="2" t="s">
        <v>107</v>
      </c>
      <c r="L4400" s="2" t="s">
        <v>107</v>
      </c>
      <c r="M4400" s="3">
        <v>40474</v>
      </c>
      <c r="N4400" s="2"/>
      <c r="O4400" s="2"/>
      <c r="P4400" s="2"/>
      <c r="Q4400" s="2" t="str">
        <f>""</f>
        <v/>
      </c>
      <c r="R4400" s="2"/>
      <c r="S4400" s="2"/>
      <c r="T4400" s="2">
        <v>2</v>
      </c>
      <c r="U4400" s="2" t="s">
        <v>123</v>
      </c>
      <c r="V4400" s="2">
        <v>1</v>
      </c>
      <c r="W4400" s="2" t="s">
        <v>80</v>
      </c>
      <c r="X4400" s="2">
        <v>5</v>
      </c>
      <c r="Y4400" s="2" t="s">
        <v>82</v>
      </c>
      <c r="Z4400" s="2">
        <v>1</v>
      </c>
      <c r="AA4400" s="2" t="s">
        <v>82</v>
      </c>
      <c r="AB4400" s="2">
        <v>9</v>
      </c>
      <c r="AC4400" s="2" t="s">
        <v>124</v>
      </c>
      <c r="AD4400" s="3">
        <v>40474</v>
      </c>
      <c r="AE4400" s="2"/>
      <c r="AF4400" s="2"/>
      <c r="AG4400" s="2"/>
      <c r="AH4400" s="2">
        <v>6</v>
      </c>
      <c r="AI4400" s="2" t="s">
        <v>197</v>
      </c>
      <c r="AJ4400" s="2">
        <v>59</v>
      </c>
      <c r="AK4400" s="2" t="s">
        <v>198</v>
      </c>
      <c r="AL4400" s="2">
        <v>10</v>
      </c>
      <c r="AM4400" s="2" t="s">
        <v>200</v>
      </c>
      <c r="AN4400" s="2"/>
      <c r="AO4400" s="2" t="s">
        <v>10868</v>
      </c>
      <c r="AP4400" s="2">
        <v>11</v>
      </c>
      <c r="AQ4400" s="2" t="s">
        <v>82</v>
      </c>
      <c r="AR4400" s="2"/>
      <c r="AS4400" s="2"/>
      <c r="AT4400" s="2" t="s">
        <v>13723</v>
      </c>
      <c r="AU4400" s="2"/>
      <c r="AV4400" s="2"/>
      <c r="AW4400" s="2"/>
      <c r="AX4400" s="2"/>
      <c r="AY4400" s="2">
        <v>41</v>
      </c>
      <c r="AZ4400" s="2" t="s">
        <v>82</v>
      </c>
      <c r="BA4400" s="2">
        <v>41</v>
      </c>
      <c r="BB4400" s="2" t="s">
        <v>82</v>
      </c>
      <c r="BC4400" s="2">
        <v>41</v>
      </c>
      <c r="BD4400" s="2" t="s">
        <v>82</v>
      </c>
      <c r="BE4400" s="2">
        <v>41</v>
      </c>
      <c r="BF4400" s="2" t="s">
        <v>82</v>
      </c>
      <c r="BG4400" s="2"/>
      <c r="BH4400" s="2"/>
      <c r="BI4400" s="2"/>
      <c r="BJ4400" s="2">
        <v>13</v>
      </c>
      <c r="BK4400" s="2" t="s">
        <v>91</v>
      </c>
      <c r="BL4400" s="2" t="s">
        <v>13724</v>
      </c>
      <c r="BM4400" s="2">
        <v>241</v>
      </c>
      <c r="BN4400" s="2" t="s">
        <v>82</v>
      </c>
      <c r="BO4400" s="2"/>
      <c r="BP4400" s="2">
        <v>13</v>
      </c>
      <c r="BQ4400" s="2" t="s">
        <v>91</v>
      </c>
      <c r="BR4400" s="2" t="s">
        <v>204</v>
      </c>
      <c r="BS4400" s="3">
        <v>40474</v>
      </c>
      <c r="BT4400" s="4">
        <v>0.82810185185185192</v>
      </c>
    </row>
    <row r="4401" spans="1:72" x14ac:dyDescent="0.25">
      <c r="A4401" s="2">
        <v>6670</v>
      </c>
      <c r="B4401" s="2">
        <v>2010</v>
      </c>
      <c r="C4401" s="2" t="s">
        <v>2754</v>
      </c>
      <c r="D4401" s="2" t="s">
        <v>73</v>
      </c>
      <c r="E4401" s="2"/>
      <c r="F4401" s="2">
        <v>110</v>
      </c>
      <c r="G4401" s="2" t="s">
        <v>7444</v>
      </c>
      <c r="H4401" s="2">
        <v>47</v>
      </c>
      <c r="I4401" s="2" t="s">
        <v>1409</v>
      </c>
      <c r="J4401" s="2">
        <v>126</v>
      </c>
      <c r="K4401" s="2" t="s">
        <v>7445</v>
      </c>
      <c r="L4401" s="2" t="s">
        <v>7446</v>
      </c>
      <c r="M4401" s="3">
        <v>40474</v>
      </c>
      <c r="N4401" s="2" t="s">
        <v>12899</v>
      </c>
      <c r="O4401" s="2"/>
      <c r="P4401" s="2"/>
      <c r="Q4401" s="2" t="str">
        <f>"0007/2010"</f>
        <v>0007/2010</v>
      </c>
      <c r="R4401" s="2" t="s">
        <v>13725</v>
      </c>
      <c r="S4401" s="2"/>
      <c r="T4401" s="2">
        <v>1</v>
      </c>
      <c r="U4401" s="2" t="s">
        <v>79</v>
      </c>
      <c r="V4401" s="2">
        <v>1</v>
      </c>
      <c r="W4401" s="2" t="s">
        <v>80</v>
      </c>
      <c r="X4401" s="2">
        <v>1</v>
      </c>
      <c r="Y4401" s="2" t="s">
        <v>81</v>
      </c>
      <c r="Z4401" s="2">
        <v>1</v>
      </c>
      <c r="AA4401" s="2" t="s">
        <v>82</v>
      </c>
      <c r="AB4401" s="2">
        <v>8</v>
      </c>
      <c r="AC4401" s="2" t="s">
        <v>2760</v>
      </c>
      <c r="AD4401" s="3">
        <v>40474</v>
      </c>
      <c r="AE4401" s="4">
        <v>0.3430555555555555</v>
      </c>
      <c r="AF4401" s="2"/>
      <c r="AG4401" s="2"/>
      <c r="AH4401" s="2">
        <v>6</v>
      </c>
      <c r="AI4401" s="2" t="s">
        <v>197</v>
      </c>
      <c r="AJ4401" s="2">
        <v>57</v>
      </c>
      <c r="AK4401" s="2" t="s">
        <v>2344</v>
      </c>
      <c r="AL4401" s="2">
        <v>11</v>
      </c>
      <c r="AM4401" s="2" t="s">
        <v>137</v>
      </c>
      <c r="AN4401" s="2"/>
      <c r="AO4401" s="2"/>
      <c r="AP4401" s="2">
        <v>11</v>
      </c>
      <c r="AQ4401" s="2" t="s">
        <v>82</v>
      </c>
      <c r="AR4401" s="2"/>
      <c r="AS4401" s="2"/>
      <c r="AT4401" s="2" t="s">
        <v>13726</v>
      </c>
      <c r="AU4401" s="2"/>
      <c r="AV4401" s="2"/>
      <c r="AW4401" s="2"/>
      <c r="AX4401" s="2"/>
      <c r="AY4401" s="2">
        <v>41</v>
      </c>
      <c r="AZ4401" s="2" t="s">
        <v>82</v>
      </c>
      <c r="BA4401" s="2">
        <v>41</v>
      </c>
      <c r="BB4401" s="2" t="s">
        <v>82</v>
      </c>
      <c r="BC4401" s="2">
        <v>41</v>
      </c>
      <c r="BD4401" s="2" t="s">
        <v>82</v>
      </c>
      <c r="BE4401" s="2">
        <v>13</v>
      </c>
      <c r="BF4401" s="2" t="s">
        <v>108</v>
      </c>
      <c r="BG4401" s="2">
        <v>1865</v>
      </c>
      <c r="BH4401" s="2"/>
      <c r="BI4401" s="4">
        <v>0.36458333333333331</v>
      </c>
      <c r="BJ4401" s="2">
        <v>13</v>
      </c>
      <c r="BK4401" s="2" t="s">
        <v>91</v>
      </c>
      <c r="BL4401" s="2" t="s">
        <v>1014</v>
      </c>
      <c r="BM4401" s="2">
        <v>13</v>
      </c>
      <c r="BN4401" s="2" t="s">
        <v>91</v>
      </c>
      <c r="BO4401" s="2"/>
      <c r="BP4401" s="2">
        <v>13</v>
      </c>
      <c r="BQ4401" s="2" t="s">
        <v>91</v>
      </c>
      <c r="BR4401" s="2" t="s">
        <v>185</v>
      </c>
      <c r="BS4401" s="3">
        <v>40474</v>
      </c>
      <c r="BT4401" s="4">
        <v>0.83947916666666667</v>
      </c>
    </row>
    <row r="4402" spans="1:72" x14ac:dyDescent="0.25">
      <c r="A4402" s="2">
        <v>6670</v>
      </c>
      <c r="B4402" s="2">
        <v>2010</v>
      </c>
      <c r="C4402" s="2" t="s">
        <v>171</v>
      </c>
      <c r="D4402" s="2" t="s">
        <v>73</v>
      </c>
      <c r="E4402" s="2"/>
      <c r="F4402" s="2">
        <v>110</v>
      </c>
      <c r="G4402" s="2" t="s">
        <v>7444</v>
      </c>
      <c r="H4402" s="2">
        <v>47</v>
      </c>
      <c r="I4402" s="2" t="s">
        <v>1409</v>
      </c>
      <c r="J4402" s="2">
        <v>126</v>
      </c>
      <c r="K4402" s="2" t="s">
        <v>7445</v>
      </c>
      <c r="L4402" s="2" t="s">
        <v>7446</v>
      </c>
      <c r="M4402" s="3">
        <v>40474</v>
      </c>
      <c r="N4402" s="2" t="s">
        <v>12899</v>
      </c>
      <c r="O4402" s="2"/>
      <c r="P4402" s="2"/>
      <c r="Q4402" s="2" t="str">
        <f>"0007/2010"</f>
        <v>0007/2010</v>
      </c>
      <c r="R4402" s="2" t="s">
        <v>13725</v>
      </c>
      <c r="S4402" s="2"/>
      <c r="T4402" s="2">
        <v>1</v>
      </c>
      <c r="U4402" s="2" t="s">
        <v>79</v>
      </c>
      <c r="V4402" s="2">
        <v>1</v>
      </c>
      <c r="W4402" s="2" t="s">
        <v>80</v>
      </c>
      <c r="X4402" s="2">
        <v>1</v>
      </c>
      <c r="Y4402" s="2" t="s">
        <v>81</v>
      </c>
      <c r="Z4402" s="2">
        <v>1</v>
      </c>
      <c r="AA4402" s="2" t="s">
        <v>82</v>
      </c>
      <c r="AB4402" s="2">
        <v>1</v>
      </c>
      <c r="AC4402" s="2" t="s">
        <v>178</v>
      </c>
      <c r="AD4402" s="3">
        <v>40474</v>
      </c>
      <c r="AE4402" s="4">
        <v>0.3430555555555555</v>
      </c>
      <c r="AF4402" s="2"/>
      <c r="AG4402" s="2"/>
      <c r="AH4402" s="2">
        <v>6</v>
      </c>
      <c r="AI4402" s="2" t="s">
        <v>197</v>
      </c>
      <c r="AJ4402" s="2">
        <v>57</v>
      </c>
      <c r="AK4402" s="2" t="s">
        <v>2344</v>
      </c>
      <c r="AL4402" s="2">
        <v>11</v>
      </c>
      <c r="AM4402" s="2" t="s">
        <v>137</v>
      </c>
      <c r="AN4402" s="2"/>
      <c r="AO4402" s="2"/>
      <c r="AP4402" s="2">
        <v>11</v>
      </c>
      <c r="AQ4402" s="2" t="s">
        <v>82</v>
      </c>
      <c r="AR4402" s="2"/>
      <c r="AS4402" s="2"/>
      <c r="AT4402" s="2" t="s">
        <v>13726</v>
      </c>
      <c r="AU4402" s="2"/>
      <c r="AV4402" s="2"/>
      <c r="AW4402" s="2"/>
      <c r="AX4402" s="2"/>
      <c r="AY4402" s="2">
        <v>41</v>
      </c>
      <c r="AZ4402" s="2" t="s">
        <v>82</v>
      </c>
      <c r="BA4402" s="2">
        <v>41</v>
      </c>
      <c r="BB4402" s="2" t="s">
        <v>82</v>
      </c>
      <c r="BC4402" s="2">
        <v>41</v>
      </c>
      <c r="BD4402" s="2" t="s">
        <v>82</v>
      </c>
      <c r="BE4402" s="2">
        <v>13</v>
      </c>
      <c r="BF4402" s="2" t="s">
        <v>108</v>
      </c>
      <c r="BG4402" s="2">
        <v>1865</v>
      </c>
      <c r="BH4402" s="2"/>
      <c r="BI4402" s="4">
        <v>0.36458333333333331</v>
      </c>
      <c r="BJ4402" s="2">
        <v>13</v>
      </c>
      <c r="BK4402" s="2" t="s">
        <v>91</v>
      </c>
      <c r="BL4402" s="2" t="s">
        <v>1014</v>
      </c>
      <c r="BM4402" s="2">
        <v>13</v>
      </c>
      <c r="BN4402" s="2" t="s">
        <v>91</v>
      </c>
      <c r="BO4402" s="2"/>
      <c r="BP4402" s="2">
        <v>13</v>
      </c>
      <c r="BQ4402" s="2" t="s">
        <v>91</v>
      </c>
      <c r="BR4402" s="2" t="s">
        <v>185</v>
      </c>
      <c r="BS4402" s="3">
        <v>40474</v>
      </c>
      <c r="BT4402" s="4">
        <v>0.83947916666666667</v>
      </c>
    </row>
    <row r="4403" spans="1:72" x14ac:dyDescent="0.25">
      <c r="A4403" s="2">
        <v>6671</v>
      </c>
      <c r="B4403" s="2">
        <v>2010</v>
      </c>
      <c r="C4403" s="2" t="s">
        <v>4543</v>
      </c>
      <c r="D4403" s="2" t="s">
        <v>122</v>
      </c>
      <c r="E4403" s="2"/>
      <c r="F4403" s="2">
        <v>1</v>
      </c>
      <c r="G4403" s="2" t="s">
        <v>82</v>
      </c>
      <c r="H4403" s="2">
        <v>1</v>
      </c>
      <c r="I4403" s="2" t="s">
        <v>82</v>
      </c>
      <c r="J4403" s="2">
        <v>1</v>
      </c>
      <c r="K4403" s="2" t="s">
        <v>107</v>
      </c>
      <c r="L4403" s="2" t="s">
        <v>107</v>
      </c>
      <c r="M4403" s="3">
        <v>40474</v>
      </c>
      <c r="N4403" s="2"/>
      <c r="O4403" s="2"/>
      <c r="P4403" s="2"/>
      <c r="Q4403" s="2" t="str">
        <f>""</f>
        <v/>
      </c>
      <c r="R4403" s="2"/>
      <c r="S4403" s="2"/>
      <c r="T4403" s="2">
        <v>2</v>
      </c>
      <c r="U4403" s="2" t="s">
        <v>123</v>
      </c>
      <c r="V4403" s="2">
        <v>1</v>
      </c>
      <c r="W4403" s="2" t="s">
        <v>80</v>
      </c>
      <c r="X4403" s="2">
        <v>5</v>
      </c>
      <c r="Y4403" s="2" t="s">
        <v>82</v>
      </c>
      <c r="Z4403" s="2">
        <v>1</v>
      </c>
      <c r="AA4403" s="2" t="s">
        <v>82</v>
      </c>
      <c r="AB4403" s="2">
        <v>9</v>
      </c>
      <c r="AC4403" s="2" t="s">
        <v>124</v>
      </c>
      <c r="AD4403" s="3">
        <v>40474</v>
      </c>
      <c r="AE4403" s="4">
        <v>0.77083333333333337</v>
      </c>
      <c r="AF4403" s="2"/>
      <c r="AG4403" s="2"/>
      <c r="AH4403" s="2">
        <v>3</v>
      </c>
      <c r="AI4403" s="2" t="s">
        <v>214</v>
      </c>
      <c r="AJ4403" s="2">
        <v>18</v>
      </c>
      <c r="AK4403" s="2" t="s">
        <v>4469</v>
      </c>
      <c r="AL4403" s="2">
        <v>25</v>
      </c>
      <c r="AM4403" s="2" t="s">
        <v>3073</v>
      </c>
      <c r="AN4403" s="2" t="s">
        <v>5439</v>
      </c>
      <c r="AO4403" s="2" t="s">
        <v>13727</v>
      </c>
      <c r="AP4403" s="2">
        <v>11</v>
      </c>
      <c r="AQ4403" s="2" t="s">
        <v>82</v>
      </c>
      <c r="AR4403" s="2"/>
      <c r="AS4403" s="2"/>
      <c r="AT4403" s="2" t="s">
        <v>13728</v>
      </c>
      <c r="AU4403" s="2"/>
      <c r="AV4403" s="2"/>
      <c r="AW4403" s="2"/>
      <c r="AX4403" s="2"/>
      <c r="AY4403" s="2">
        <v>41</v>
      </c>
      <c r="AZ4403" s="2" t="s">
        <v>82</v>
      </c>
      <c r="BA4403" s="2">
        <v>41</v>
      </c>
      <c r="BB4403" s="2" t="s">
        <v>82</v>
      </c>
      <c r="BC4403" s="2">
        <v>41</v>
      </c>
      <c r="BD4403" s="2" t="s">
        <v>82</v>
      </c>
      <c r="BE4403" s="2">
        <v>41</v>
      </c>
      <c r="BF4403" s="2" t="s">
        <v>82</v>
      </c>
      <c r="BG4403" s="2"/>
      <c r="BH4403" s="2"/>
      <c r="BI4403" s="2"/>
      <c r="BJ4403" s="2">
        <v>241</v>
      </c>
      <c r="BK4403" s="2" t="s">
        <v>82</v>
      </c>
      <c r="BL4403" s="2"/>
      <c r="BM4403" s="2">
        <v>241</v>
      </c>
      <c r="BN4403" s="2" t="s">
        <v>82</v>
      </c>
      <c r="BO4403" s="2"/>
      <c r="BP4403" s="2">
        <v>241</v>
      </c>
      <c r="BQ4403" s="2" t="s">
        <v>82</v>
      </c>
      <c r="BR4403" s="2"/>
      <c r="BS4403" s="3">
        <v>40474</v>
      </c>
      <c r="BT4403" s="4">
        <v>0.88359953703703698</v>
      </c>
    </row>
    <row r="4404" spans="1:72" x14ac:dyDescent="0.25">
      <c r="A4404" s="2">
        <v>6672</v>
      </c>
      <c r="B4404" s="2">
        <v>2010</v>
      </c>
      <c r="C4404" s="2" t="s">
        <v>72</v>
      </c>
      <c r="D4404" s="2" t="s">
        <v>73</v>
      </c>
      <c r="E4404" s="2"/>
      <c r="F4404" s="2">
        <v>3</v>
      </c>
      <c r="G4404" s="2" t="s">
        <v>1041</v>
      </c>
      <c r="H4404" s="2">
        <v>1</v>
      </c>
      <c r="I4404" s="2" t="s">
        <v>82</v>
      </c>
      <c r="J4404" s="2">
        <v>368</v>
      </c>
      <c r="K4404" s="2" t="s">
        <v>1042</v>
      </c>
      <c r="L4404" s="2" t="s">
        <v>1043</v>
      </c>
      <c r="M4404" s="3">
        <v>40475</v>
      </c>
      <c r="N4404" s="2"/>
      <c r="O4404" s="2"/>
      <c r="P4404" s="2"/>
      <c r="Q4404" s="2" t="str">
        <f>"550-E/10"</f>
        <v>550-E/10</v>
      </c>
      <c r="R4404" s="2" t="s">
        <v>12006</v>
      </c>
      <c r="S4404" s="2" t="s">
        <v>12006</v>
      </c>
      <c r="T4404" s="2">
        <v>1</v>
      </c>
      <c r="U4404" s="2" t="s">
        <v>79</v>
      </c>
      <c r="V4404" s="2">
        <v>1</v>
      </c>
      <c r="W4404" s="2" t="s">
        <v>80</v>
      </c>
      <c r="X4404" s="2">
        <v>12</v>
      </c>
      <c r="Y4404" s="2" t="s">
        <v>148</v>
      </c>
      <c r="Z4404" s="2">
        <v>1</v>
      </c>
      <c r="AA4404" s="2" t="s">
        <v>82</v>
      </c>
      <c r="AB4404" s="2">
        <v>6</v>
      </c>
      <c r="AC4404" s="2" t="s">
        <v>83</v>
      </c>
      <c r="AD4404" s="3">
        <v>40474</v>
      </c>
      <c r="AE4404" s="2"/>
      <c r="AF4404" s="3">
        <v>40474</v>
      </c>
      <c r="AG4404" s="4">
        <v>0.73611111111111116</v>
      </c>
      <c r="AH4404" s="2">
        <v>2</v>
      </c>
      <c r="AI4404" s="2" t="s">
        <v>84</v>
      </c>
      <c r="AJ4404" s="2">
        <v>9</v>
      </c>
      <c r="AK4404" s="2" t="s">
        <v>103</v>
      </c>
      <c r="AL4404" s="2">
        <v>21</v>
      </c>
      <c r="AM4404" s="2" t="s">
        <v>1311</v>
      </c>
      <c r="AN4404" s="2"/>
      <c r="AO4404" s="2" t="s">
        <v>987</v>
      </c>
      <c r="AP4404" s="2">
        <v>11</v>
      </c>
      <c r="AQ4404" s="2" t="s">
        <v>82</v>
      </c>
      <c r="AR4404" s="2"/>
      <c r="AS4404" s="2"/>
      <c r="AT4404" s="2" t="s">
        <v>13729</v>
      </c>
      <c r="AU4404" s="2"/>
      <c r="AV4404" s="2"/>
      <c r="AW4404" s="2"/>
      <c r="AX4404" s="2"/>
      <c r="AY4404" s="2">
        <v>41</v>
      </c>
      <c r="AZ4404" s="2" t="s">
        <v>82</v>
      </c>
      <c r="BA4404" s="2">
        <v>41</v>
      </c>
      <c r="BB4404" s="2" t="s">
        <v>82</v>
      </c>
      <c r="BC4404" s="2">
        <v>41</v>
      </c>
      <c r="BD4404" s="2" t="s">
        <v>82</v>
      </c>
      <c r="BE4404" s="2">
        <v>41</v>
      </c>
      <c r="BF4404" s="2" t="s">
        <v>82</v>
      </c>
      <c r="BG4404" s="2"/>
      <c r="BH4404" s="2"/>
      <c r="BI4404" s="2"/>
      <c r="BJ4404" s="2">
        <v>241</v>
      </c>
      <c r="BK4404" s="2" t="s">
        <v>82</v>
      </c>
      <c r="BL4404" s="2"/>
      <c r="BM4404" s="2">
        <v>241</v>
      </c>
      <c r="BN4404" s="2" t="s">
        <v>82</v>
      </c>
      <c r="BO4404" s="2"/>
      <c r="BP4404" s="2">
        <v>241</v>
      </c>
      <c r="BQ4404" s="2" t="s">
        <v>82</v>
      </c>
      <c r="BR4404" s="2"/>
      <c r="BS4404" s="3">
        <v>40475</v>
      </c>
      <c r="BT4404" s="4">
        <v>0.1162962962962963</v>
      </c>
    </row>
    <row r="4405" spans="1:72" x14ac:dyDescent="0.25">
      <c r="A4405" s="2">
        <v>6673</v>
      </c>
      <c r="B4405" s="2">
        <v>2010</v>
      </c>
      <c r="C4405" s="2" t="s">
        <v>171</v>
      </c>
      <c r="D4405" s="2" t="s">
        <v>73</v>
      </c>
      <c r="E4405" s="2"/>
      <c r="F4405" s="2">
        <v>397</v>
      </c>
      <c r="G4405" s="2" t="s">
        <v>2522</v>
      </c>
      <c r="H4405" s="2">
        <v>10</v>
      </c>
      <c r="I4405" s="2" t="s">
        <v>1031</v>
      </c>
      <c r="J4405" s="2">
        <v>377</v>
      </c>
      <c r="K4405" s="2" t="s">
        <v>1223</v>
      </c>
      <c r="L4405" s="2" t="s">
        <v>1224</v>
      </c>
      <c r="M4405" s="3">
        <v>40475</v>
      </c>
      <c r="N4405" s="2" t="s">
        <v>2873</v>
      </c>
      <c r="O4405" s="2"/>
      <c r="P4405" s="2"/>
      <c r="Q4405" s="2" t="str">
        <f>"551-E/10"</f>
        <v>551-E/10</v>
      </c>
      <c r="R4405" s="2" t="s">
        <v>391</v>
      </c>
      <c r="S4405" s="2" t="s">
        <v>391</v>
      </c>
      <c r="T4405" s="2">
        <v>1</v>
      </c>
      <c r="U4405" s="2" t="s">
        <v>79</v>
      </c>
      <c r="V4405" s="2">
        <v>1</v>
      </c>
      <c r="W4405" s="2" t="s">
        <v>80</v>
      </c>
      <c r="X4405" s="2">
        <v>1</v>
      </c>
      <c r="Y4405" s="2" t="s">
        <v>81</v>
      </c>
      <c r="Z4405" s="2">
        <v>1</v>
      </c>
      <c r="AA4405" s="2" t="s">
        <v>82</v>
      </c>
      <c r="AB4405" s="2">
        <v>1</v>
      </c>
      <c r="AC4405" s="2" t="s">
        <v>178</v>
      </c>
      <c r="AD4405" s="3">
        <v>40474</v>
      </c>
      <c r="AE4405" s="4">
        <v>0.66666666666666663</v>
      </c>
      <c r="AF4405" s="3">
        <v>40474</v>
      </c>
      <c r="AG4405" s="4">
        <v>0.75</v>
      </c>
      <c r="AH4405" s="2">
        <v>2</v>
      </c>
      <c r="AI4405" s="2" t="s">
        <v>84</v>
      </c>
      <c r="AJ4405" s="2">
        <v>9</v>
      </c>
      <c r="AK4405" s="2" t="s">
        <v>103</v>
      </c>
      <c r="AL4405" s="2">
        <v>25</v>
      </c>
      <c r="AM4405" s="2" t="s">
        <v>3073</v>
      </c>
      <c r="AN4405" s="2" t="s">
        <v>179</v>
      </c>
      <c r="AO4405" s="2" t="s">
        <v>987</v>
      </c>
      <c r="AP4405" s="2">
        <v>11</v>
      </c>
      <c r="AQ4405" s="2" t="s">
        <v>82</v>
      </c>
      <c r="AR4405" s="2"/>
      <c r="AS4405" s="2"/>
      <c r="AT4405" s="2" t="s">
        <v>13730</v>
      </c>
      <c r="AU4405" s="2"/>
      <c r="AV4405" s="2">
        <v>1</v>
      </c>
      <c r="AW4405" s="2"/>
      <c r="AX4405" s="2"/>
      <c r="AY4405" s="2">
        <v>41</v>
      </c>
      <c r="AZ4405" s="2" t="s">
        <v>82</v>
      </c>
      <c r="BA4405" s="2">
        <v>41</v>
      </c>
      <c r="BB4405" s="2" t="s">
        <v>82</v>
      </c>
      <c r="BC4405" s="2">
        <v>41</v>
      </c>
      <c r="BD4405" s="2" t="s">
        <v>82</v>
      </c>
      <c r="BE4405" s="2">
        <v>14</v>
      </c>
      <c r="BF4405" s="2" t="s">
        <v>484</v>
      </c>
      <c r="BG4405" s="2" t="s">
        <v>3450</v>
      </c>
      <c r="BH4405" s="2"/>
      <c r="BI4405" s="4">
        <v>0.71180555555555547</v>
      </c>
      <c r="BJ4405" s="2">
        <v>13</v>
      </c>
      <c r="BK4405" s="2" t="s">
        <v>91</v>
      </c>
      <c r="BL4405" s="2" t="s">
        <v>360</v>
      </c>
      <c r="BM4405" s="2">
        <v>82</v>
      </c>
      <c r="BN4405" s="2" t="s">
        <v>487</v>
      </c>
      <c r="BO4405" s="2"/>
      <c r="BP4405" s="2">
        <v>82</v>
      </c>
      <c r="BQ4405" s="2" t="s">
        <v>487</v>
      </c>
      <c r="BR4405" s="2" t="s">
        <v>488</v>
      </c>
      <c r="BS4405" s="3">
        <v>40475</v>
      </c>
      <c r="BT4405" s="4">
        <v>0.16237268518518519</v>
      </c>
    </row>
    <row r="4406" spans="1:72" x14ac:dyDescent="0.25">
      <c r="A4406" s="2">
        <v>6674</v>
      </c>
      <c r="B4406" s="2">
        <v>2010</v>
      </c>
      <c r="C4406" s="2" t="s">
        <v>171</v>
      </c>
      <c r="D4406" s="2" t="s">
        <v>73</v>
      </c>
      <c r="E4406" s="2"/>
      <c r="F4406" s="2">
        <v>397</v>
      </c>
      <c r="G4406" s="2" t="s">
        <v>2522</v>
      </c>
      <c r="H4406" s="2">
        <v>11</v>
      </c>
      <c r="I4406" s="2" t="s">
        <v>1397</v>
      </c>
      <c r="J4406" s="2">
        <v>377</v>
      </c>
      <c r="K4406" s="2" t="s">
        <v>1223</v>
      </c>
      <c r="L4406" s="2" t="s">
        <v>1224</v>
      </c>
      <c r="M4406" s="3">
        <v>40475</v>
      </c>
      <c r="N4406" s="2" t="s">
        <v>13418</v>
      </c>
      <c r="O4406" s="2"/>
      <c r="P4406" s="2"/>
      <c r="Q4406" s="2" t="str">
        <f>"552-E/10"</f>
        <v>552-E/10</v>
      </c>
      <c r="R4406" s="2" t="s">
        <v>391</v>
      </c>
      <c r="S4406" s="2" t="s">
        <v>391</v>
      </c>
      <c r="T4406" s="2">
        <v>1</v>
      </c>
      <c r="U4406" s="2" t="s">
        <v>79</v>
      </c>
      <c r="V4406" s="2">
        <v>1</v>
      </c>
      <c r="W4406" s="2" t="s">
        <v>80</v>
      </c>
      <c r="X4406" s="2">
        <v>1</v>
      </c>
      <c r="Y4406" s="2" t="s">
        <v>81</v>
      </c>
      <c r="Z4406" s="2">
        <v>1</v>
      </c>
      <c r="AA4406" s="2" t="s">
        <v>82</v>
      </c>
      <c r="AB4406" s="2">
        <v>1</v>
      </c>
      <c r="AC4406" s="2" t="s">
        <v>178</v>
      </c>
      <c r="AD4406" s="3">
        <v>40474</v>
      </c>
      <c r="AE4406" s="4">
        <v>0.82638888888888884</v>
      </c>
      <c r="AF4406" s="3">
        <v>40475</v>
      </c>
      <c r="AG4406" s="4">
        <v>0.16666666666666666</v>
      </c>
      <c r="AH4406" s="2">
        <v>2</v>
      </c>
      <c r="AI4406" s="2" t="s">
        <v>84</v>
      </c>
      <c r="AJ4406" s="2">
        <v>9</v>
      </c>
      <c r="AK4406" s="2" t="s">
        <v>103</v>
      </c>
      <c r="AL4406" s="2">
        <v>11</v>
      </c>
      <c r="AM4406" s="2" t="s">
        <v>137</v>
      </c>
      <c r="AN4406" s="2" t="s">
        <v>13199</v>
      </c>
      <c r="AO4406" s="2" t="s">
        <v>590</v>
      </c>
      <c r="AP4406" s="2">
        <v>11</v>
      </c>
      <c r="AQ4406" s="2" t="s">
        <v>82</v>
      </c>
      <c r="AR4406" s="2"/>
      <c r="AS4406" s="2"/>
      <c r="AT4406" s="2" t="s">
        <v>13731</v>
      </c>
      <c r="AU4406" s="2"/>
      <c r="AV4406" s="2">
        <v>1</v>
      </c>
      <c r="AW4406" s="2"/>
      <c r="AX4406" s="2"/>
      <c r="AY4406" s="2">
        <v>41</v>
      </c>
      <c r="AZ4406" s="2" t="s">
        <v>82</v>
      </c>
      <c r="BA4406" s="2">
        <v>41</v>
      </c>
      <c r="BB4406" s="2" t="s">
        <v>82</v>
      </c>
      <c r="BC4406" s="2">
        <v>41</v>
      </c>
      <c r="BD4406" s="2" t="s">
        <v>82</v>
      </c>
      <c r="BE4406" s="2">
        <v>13</v>
      </c>
      <c r="BF4406" s="2" t="s">
        <v>108</v>
      </c>
      <c r="BG4406" s="2">
        <v>1132</v>
      </c>
      <c r="BH4406" s="2"/>
      <c r="BI4406" s="4">
        <v>0.875</v>
      </c>
      <c r="BJ4406" s="2">
        <v>13</v>
      </c>
      <c r="BK4406" s="2" t="s">
        <v>91</v>
      </c>
      <c r="BL4406" s="2" t="s">
        <v>360</v>
      </c>
      <c r="BM4406" s="2">
        <v>73</v>
      </c>
      <c r="BN4406" s="2" t="s">
        <v>186</v>
      </c>
      <c r="BO4406" s="2"/>
      <c r="BP4406" s="2">
        <v>73</v>
      </c>
      <c r="BQ4406" s="2" t="s">
        <v>186</v>
      </c>
      <c r="BR4406" s="2" t="s">
        <v>187</v>
      </c>
      <c r="BS4406" s="3">
        <v>40475</v>
      </c>
      <c r="BT4406" s="4">
        <v>0.19650462962962964</v>
      </c>
    </row>
    <row r="4407" spans="1:72" x14ac:dyDescent="0.25">
      <c r="A4407" s="2">
        <v>6675</v>
      </c>
      <c r="B4407" s="2">
        <v>2010</v>
      </c>
      <c r="C4407" s="2" t="s">
        <v>4543</v>
      </c>
      <c r="D4407" s="2" t="s">
        <v>122</v>
      </c>
      <c r="E4407" s="2" t="s">
        <v>13732</v>
      </c>
      <c r="F4407" s="2">
        <v>1</v>
      </c>
      <c r="G4407" s="2" t="s">
        <v>82</v>
      </c>
      <c r="H4407" s="2">
        <v>1</v>
      </c>
      <c r="I4407" s="2" t="s">
        <v>82</v>
      </c>
      <c r="J4407" s="2">
        <v>1</v>
      </c>
      <c r="K4407" s="2" t="s">
        <v>107</v>
      </c>
      <c r="L4407" s="2" t="s">
        <v>107</v>
      </c>
      <c r="M4407" s="3">
        <v>40475</v>
      </c>
      <c r="N4407" s="2"/>
      <c r="O4407" s="2"/>
      <c r="P4407" s="2"/>
      <c r="Q4407" s="2" t="str">
        <f>""</f>
        <v/>
      </c>
      <c r="R4407" s="2"/>
      <c r="S4407" s="2"/>
      <c r="T4407" s="2">
        <v>2</v>
      </c>
      <c r="U4407" s="2" t="s">
        <v>123</v>
      </c>
      <c r="V4407" s="2">
        <v>1</v>
      </c>
      <c r="W4407" s="2" t="s">
        <v>80</v>
      </c>
      <c r="X4407" s="2">
        <v>5</v>
      </c>
      <c r="Y4407" s="2" t="s">
        <v>82</v>
      </c>
      <c r="Z4407" s="2">
        <v>1</v>
      </c>
      <c r="AA4407" s="2" t="s">
        <v>82</v>
      </c>
      <c r="AB4407" s="2">
        <v>9</v>
      </c>
      <c r="AC4407" s="2" t="s">
        <v>124</v>
      </c>
      <c r="AD4407" s="3">
        <v>40474</v>
      </c>
      <c r="AE4407" s="4">
        <v>0.77083333333333337</v>
      </c>
      <c r="AF4407" s="2"/>
      <c r="AG4407" s="2"/>
      <c r="AH4407" s="2">
        <v>3</v>
      </c>
      <c r="AI4407" s="2" t="s">
        <v>214</v>
      </c>
      <c r="AJ4407" s="2">
        <v>18</v>
      </c>
      <c r="AK4407" s="2" t="s">
        <v>4469</v>
      </c>
      <c r="AL4407" s="2">
        <v>25</v>
      </c>
      <c r="AM4407" s="2" t="s">
        <v>3073</v>
      </c>
      <c r="AN4407" s="2" t="s">
        <v>5439</v>
      </c>
      <c r="AO4407" s="2" t="s">
        <v>13727</v>
      </c>
      <c r="AP4407" s="2">
        <v>11</v>
      </c>
      <c r="AQ4407" s="2" t="s">
        <v>82</v>
      </c>
      <c r="AR4407" s="2"/>
      <c r="AS4407" s="2"/>
      <c r="AT4407" s="2" t="s">
        <v>13733</v>
      </c>
      <c r="AU4407" s="2"/>
      <c r="AV4407" s="2"/>
      <c r="AW4407" s="2"/>
      <c r="AX4407" s="2"/>
      <c r="AY4407" s="2">
        <v>41</v>
      </c>
      <c r="AZ4407" s="2" t="s">
        <v>82</v>
      </c>
      <c r="BA4407" s="2">
        <v>41</v>
      </c>
      <c r="BB4407" s="2" t="s">
        <v>82</v>
      </c>
      <c r="BC4407" s="2">
        <v>41</v>
      </c>
      <c r="BD4407" s="2" t="s">
        <v>82</v>
      </c>
      <c r="BE4407" s="2">
        <v>41</v>
      </c>
      <c r="BF4407" s="2" t="s">
        <v>82</v>
      </c>
      <c r="BG4407" s="2"/>
      <c r="BH4407" s="2"/>
      <c r="BI4407" s="2"/>
      <c r="BJ4407" s="2">
        <v>241</v>
      </c>
      <c r="BK4407" s="2" t="s">
        <v>82</v>
      </c>
      <c r="BL4407" s="2"/>
      <c r="BM4407" s="2">
        <v>241</v>
      </c>
      <c r="BN4407" s="2" t="s">
        <v>82</v>
      </c>
      <c r="BO4407" s="2"/>
      <c r="BP4407" s="2">
        <v>241</v>
      </c>
      <c r="BQ4407" s="2" t="s">
        <v>82</v>
      </c>
      <c r="BR4407" s="2"/>
      <c r="BS4407" s="3">
        <v>40475</v>
      </c>
      <c r="BT4407" s="4">
        <v>0.48625000000000002</v>
      </c>
    </row>
    <row r="4408" spans="1:72" x14ac:dyDescent="0.25">
      <c r="A4408" s="2">
        <v>6676</v>
      </c>
      <c r="B4408" s="2">
        <v>2010</v>
      </c>
      <c r="C4408" s="2" t="s">
        <v>377</v>
      </c>
      <c r="D4408" s="2" t="s">
        <v>73</v>
      </c>
      <c r="E4408" s="2"/>
      <c r="F4408" s="2">
        <v>426</v>
      </c>
      <c r="G4408" s="2" t="s">
        <v>378</v>
      </c>
      <c r="H4408" s="2">
        <v>50</v>
      </c>
      <c r="I4408" s="2" t="s">
        <v>107</v>
      </c>
      <c r="J4408" s="2">
        <v>311</v>
      </c>
      <c r="K4408" s="2" t="s">
        <v>379</v>
      </c>
      <c r="L4408" s="2" t="s">
        <v>380</v>
      </c>
      <c r="M4408" s="3">
        <v>40475</v>
      </c>
      <c r="N4408" s="2" t="s">
        <v>107</v>
      </c>
      <c r="O4408" s="2" t="s">
        <v>107</v>
      </c>
      <c r="P4408" s="2" t="s">
        <v>107</v>
      </c>
      <c r="Q4408" s="2" t="str">
        <f>"272-C/10"</f>
        <v>272-C/10</v>
      </c>
      <c r="R4408" s="2" t="s">
        <v>4072</v>
      </c>
      <c r="S4408" s="2"/>
      <c r="T4408" s="2">
        <v>1</v>
      </c>
      <c r="U4408" s="2" t="s">
        <v>79</v>
      </c>
      <c r="V4408" s="2">
        <v>1</v>
      </c>
      <c r="W4408" s="2" t="s">
        <v>80</v>
      </c>
      <c r="X4408" s="2">
        <v>1</v>
      </c>
      <c r="Y4408" s="2" t="s">
        <v>81</v>
      </c>
      <c r="Z4408" s="2">
        <v>1</v>
      </c>
      <c r="AA4408" s="2" t="s">
        <v>82</v>
      </c>
      <c r="AB4408" s="2">
        <v>9</v>
      </c>
      <c r="AC4408" s="2" t="s">
        <v>124</v>
      </c>
      <c r="AD4408" s="3">
        <v>40475</v>
      </c>
      <c r="AE4408" s="4">
        <v>0.41666666666666669</v>
      </c>
      <c r="AF4408" s="3">
        <v>40475</v>
      </c>
      <c r="AG4408" s="4">
        <v>0.45833333333333331</v>
      </c>
      <c r="AH4408" s="2">
        <v>2</v>
      </c>
      <c r="AI4408" s="2" t="s">
        <v>84</v>
      </c>
      <c r="AJ4408" s="2">
        <v>9</v>
      </c>
      <c r="AK4408" s="2" t="s">
        <v>103</v>
      </c>
      <c r="AL4408" s="2">
        <v>14</v>
      </c>
      <c r="AM4408" s="2" t="s">
        <v>216</v>
      </c>
      <c r="AN4408" s="2" t="s">
        <v>13734</v>
      </c>
      <c r="AO4408" s="2" t="s">
        <v>3322</v>
      </c>
      <c r="AP4408" s="2">
        <v>11</v>
      </c>
      <c r="AQ4408" s="2" t="s">
        <v>82</v>
      </c>
      <c r="AR4408" s="2"/>
      <c r="AS4408" s="2"/>
      <c r="AT4408" s="2" t="s">
        <v>13735</v>
      </c>
      <c r="AU4408" s="2"/>
      <c r="AV4408" s="2"/>
      <c r="AW4408" s="2"/>
      <c r="AX4408" s="2"/>
      <c r="AY4408" s="2">
        <v>41</v>
      </c>
      <c r="AZ4408" s="2" t="s">
        <v>82</v>
      </c>
      <c r="BA4408" s="2">
        <v>41</v>
      </c>
      <c r="BB4408" s="2" t="s">
        <v>82</v>
      </c>
      <c r="BC4408" s="2">
        <v>41</v>
      </c>
      <c r="BD4408" s="2" t="s">
        <v>82</v>
      </c>
      <c r="BE4408" s="2">
        <v>41</v>
      </c>
      <c r="BF4408" s="2" t="s">
        <v>82</v>
      </c>
      <c r="BG4408" s="2"/>
      <c r="BH4408" s="2"/>
      <c r="BI4408" s="2"/>
      <c r="BJ4408" s="2">
        <v>241</v>
      </c>
      <c r="BK4408" s="2" t="s">
        <v>82</v>
      </c>
      <c r="BL4408" s="2"/>
      <c r="BM4408" s="2">
        <v>241</v>
      </c>
      <c r="BN4408" s="2" t="s">
        <v>82</v>
      </c>
      <c r="BO4408" s="2"/>
      <c r="BP4408" s="2">
        <v>241</v>
      </c>
      <c r="BQ4408" s="2" t="s">
        <v>82</v>
      </c>
      <c r="BR4408" s="2"/>
      <c r="BS4408" s="3">
        <v>40475</v>
      </c>
      <c r="BT4408" s="4">
        <v>0.59893518518518518</v>
      </c>
    </row>
    <row r="4409" spans="1:72" x14ac:dyDescent="0.25">
      <c r="A4409" s="2">
        <v>6677</v>
      </c>
      <c r="B4409" s="2">
        <v>2010</v>
      </c>
      <c r="C4409" s="2" t="s">
        <v>93</v>
      </c>
      <c r="D4409" s="2" t="s">
        <v>73</v>
      </c>
      <c r="E4409" s="2"/>
      <c r="F4409" s="2">
        <v>397</v>
      </c>
      <c r="G4409" s="2" t="s">
        <v>2522</v>
      </c>
      <c r="H4409" s="2">
        <v>10</v>
      </c>
      <c r="I4409" s="2" t="s">
        <v>1031</v>
      </c>
      <c r="J4409" s="2">
        <v>377</v>
      </c>
      <c r="K4409" s="2" t="s">
        <v>1223</v>
      </c>
      <c r="L4409" s="2" t="s">
        <v>1224</v>
      </c>
      <c r="M4409" s="3">
        <v>40475</v>
      </c>
      <c r="N4409" s="2" t="s">
        <v>13736</v>
      </c>
      <c r="O4409" s="2" t="s">
        <v>4519</v>
      </c>
      <c r="P4409" s="2">
        <v>10045</v>
      </c>
      <c r="Q4409" s="2" t="str">
        <f>"0141/10"</f>
        <v>0141/10</v>
      </c>
      <c r="R4409" s="2" t="s">
        <v>8305</v>
      </c>
      <c r="S4409" s="2"/>
      <c r="T4409" s="2">
        <v>1</v>
      </c>
      <c r="U4409" s="2" t="s">
        <v>79</v>
      </c>
      <c r="V4409" s="2">
        <v>1</v>
      </c>
      <c r="W4409" s="2" t="s">
        <v>80</v>
      </c>
      <c r="X4409" s="2">
        <v>10</v>
      </c>
      <c r="Y4409" s="2" t="s">
        <v>226</v>
      </c>
      <c r="Z4409" s="2">
        <v>9</v>
      </c>
      <c r="AA4409" s="2" t="s">
        <v>1119</v>
      </c>
      <c r="AB4409" s="2">
        <v>2</v>
      </c>
      <c r="AC4409" s="2" t="s">
        <v>102</v>
      </c>
      <c r="AD4409" s="3">
        <v>40475</v>
      </c>
      <c r="AE4409" s="4">
        <v>0.5625</v>
      </c>
      <c r="AF4409" s="2"/>
      <c r="AG4409" s="2"/>
      <c r="AH4409" s="2">
        <v>5</v>
      </c>
      <c r="AI4409" s="2" t="s">
        <v>274</v>
      </c>
      <c r="AJ4409" s="2">
        <v>38</v>
      </c>
      <c r="AK4409" s="2" t="s">
        <v>1120</v>
      </c>
      <c r="AL4409" s="2">
        <v>11</v>
      </c>
      <c r="AM4409" s="2" t="s">
        <v>137</v>
      </c>
      <c r="AN4409" s="2"/>
      <c r="AO4409" s="2" t="s">
        <v>3040</v>
      </c>
      <c r="AP4409" s="2">
        <v>11</v>
      </c>
      <c r="AQ4409" s="2" t="s">
        <v>82</v>
      </c>
      <c r="AR4409" s="2"/>
      <c r="AS4409" s="2"/>
      <c r="AT4409" s="2" t="s">
        <v>13737</v>
      </c>
      <c r="AU4409" s="2"/>
      <c r="AV4409" s="2"/>
      <c r="AW4409" s="2"/>
      <c r="AX4409" s="2"/>
      <c r="AY4409" s="2">
        <v>41</v>
      </c>
      <c r="AZ4409" s="2" t="s">
        <v>82</v>
      </c>
      <c r="BA4409" s="2">
        <v>41</v>
      </c>
      <c r="BB4409" s="2" t="s">
        <v>82</v>
      </c>
      <c r="BC4409" s="2">
        <v>41</v>
      </c>
      <c r="BD4409" s="2" t="s">
        <v>82</v>
      </c>
      <c r="BE4409" s="2">
        <v>4</v>
      </c>
      <c r="BF4409" s="2" t="s">
        <v>90</v>
      </c>
      <c r="BG4409" s="2">
        <v>4025</v>
      </c>
      <c r="BH4409" s="4">
        <v>0.51736111111111105</v>
      </c>
      <c r="BI4409" s="4">
        <v>0.54513888888888895</v>
      </c>
      <c r="BJ4409" s="2">
        <v>13</v>
      </c>
      <c r="BK4409" s="2" t="s">
        <v>91</v>
      </c>
      <c r="BL4409" s="2" t="s">
        <v>2005</v>
      </c>
      <c r="BM4409" s="2">
        <v>13</v>
      </c>
      <c r="BN4409" s="2" t="s">
        <v>91</v>
      </c>
      <c r="BO4409" s="2"/>
      <c r="BP4409" s="2">
        <v>13</v>
      </c>
      <c r="BQ4409" s="2" t="s">
        <v>91</v>
      </c>
      <c r="BR4409" s="2" t="s">
        <v>170</v>
      </c>
      <c r="BS4409" s="3">
        <v>40475</v>
      </c>
      <c r="BT4409" s="4">
        <v>0.60466435185185186</v>
      </c>
    </row>
    <row r="4410" spans="1:72" x14ac:dyDescent="0.25">
      <c r="A4410" s="2">
        <v>6679</v>
      </c>
      <c r="B4410" s="2">
        <v>2010</v>
      </c>
      <c r="C4410" s="2" t="s">
        <v>72</v>
      </c>
      <c r="D4410" s="2" t="s">
        <v>73</v>
      </c>
      <c r="E4410" s="2"/>
      <c r="F4410" s="2">
        <v>144</v>
      </c>
      <c r="G4410" s="2" t="s">
        <v>537</v>
      </c>
      <c r="H4410" s="2">
        <v>42</v>
      </c>
      <c r="I4410" s="2" t="s">
        <v>1096</v>
      </c>
      <c r="J4410" s="2">
        <v>160</v>
      </c>
      <c r="K4410" s="2" t="s">
        <v>538</v>
      </c>
      <c r="L4410" s="2" t="s">
        <v>539</v>
      </c>
      <c r="M4410" s="3">
        <v>40475</v>
      </c>
      <c r="N4410" s="2" t="s">
        <v>11060</v>
      </c>
      <c r="O4410" s="2" t="s">
        <v>107</v>
      </c>
      <c r="P4410" s="2" t="s">
        <v>107</v>
      </c>
      <c r="Q4410" s="2" t="str">
        <f>"CAUSA 0018/10"</f>
        <v>CAUSA 0018/10</v>
      </c>
      <c r="R4410" s="2" t="s">
        <v>13738</v>
      </c>
      <c r="S4410" s="2" t="s">
        <v>13739</v>
      </c>
      <c r="T4410" s="2">
        <v>1</v>
      </c>
      <c r="U4410" s="2" t="s">
        <v>79</v>
      </c>
      <c r="V4410" s="2">
        <v>1</v>
      </c>
      <c r="W4410" s="2" t="s">
        <v>80</v>
      </c>
      <c r="X4410" s="2">
        <v>12</v>
      </c>
      <c r="Y4410" s="2" t="s">
        <v>148</v>
      </c>
      <c r="Z4410" s="2">
        <v>1</v>
      </c>
      <c r="AA4410" s="2" t="s">
        <v>82</v>
      </c>
      <c r="AB4410" s="2">
        <v>6</v>
      </c>
      <c r="AC4410" s="2" t="s">
        <v>83</v>
      </c>
      <c r="AD4410" s="3">
        <v>40475</v>
      </c>
      <c r="AE4410" s="2"/>
      <c r="AF4410" s="3">
        <v>40475</v>
      </c>
      <c r="AG4410" s="4">
        <v>0.58333333333333337</v>
      </c>
      <c r="AH4410" s="2">
        <v>6</v>
      </c>
      <c r="AI4410" s="2" t="s">
        <v>197</v>
      </c>
      <c r="AJ4410" s="2">
        <v>60</v>
      </c>
      <c r="AK4410" s="2" t="s">
        <v>543</v>
      </c>
      <c r="AL4410" s="2">
        <v>22</v>
      </c>
      <c r="AM4410" s="2" t="s">
        <v>1853</v>
      </c>
      <c r="AN4410" s="2" t="s">
        <v>82</v>
      </c>
      <c r="AO4410" s="2" t="s">
        <v>13740</v>
      </c>
      <c r="AP4410" s="2">
        <v>11</v>
      </c>
      <c r="AQ4410" s="2" t="s">
        <v>82</v>
      </c>
      <c r="AR4410" s="2" t="s">
        <v>82</v>
      </c>
      <c r="AS4410" s="2" t="s">
        <v>82</v>
      </c>
      <c r="AT4410" s="2" t="s">
        <v>13741</v>
      </c>
      <c r="AU4410" s="2"/>
      <c r="AV4410" s="2"/>
      <c r="AW4410" s="2"/>
      <c r="AX4410" s="2"/>
      <c r="AY4410" s="2">
        <v>41</v>
      </c>
      <c r="AZ4410" s="2" t="s">
        <v>82</v>
      </c>
      <c r="BA4410" s="2">
        <v>41</v>
      </c>
      <c r="BB4410" s="2" t="s">
        <v>82</v>
      </c>
      <c r="BC4410" s="2">
        <v>41</v>
      </c>
      <c r="BD4410" s="2" t="s">
        <v>82</v>
      </c>
      <c r="BE4410" s="2">
        <v>13</v>
      </c>
      <c r="BF4410" s="2" t="s">
        <v>108</v>
      </c>
      <c r="BG4410" s="2" t="s">
        <v>13742</v>
      </c>
      <c r="BH4410" s="4">
        <v>0.53333333333333333</v>
      </c>
      <c r="BI4410" s="2"/>
      <c r="BJ4410" s="2">
        <v>13</v>
      </c>
      <c r="BK4410" s="2" t="s">
        <v>91</v>
      </c>
      <c r="BL4410" s="2" t="s">
        <v>13743</v>
      </c>
      <c r="BM4410" s="2">
        <v>13</v>
      </c>
      <c r="BN4410" s="2" t="s">
        <v>91</v>
      </c>
      <c r="BO4410" s="2"/>
      <c r="BP4410" s="2">
        <v>13</v>
      </c>
      <c r="BQ4410" s="2" t="s">
        <v>91</v>
      </c>
      <c r="BR4410" s="2" t="s">
        <v>895</v>
      </c>
      <c r="BS4410" s="3">
        <v>40475</v>
      </c>
      <c r="BT4410" s="4">
        <v>0.73633101851851857</v>
      </c>
    </row>
    <row r="4411" spans="1:72" x14ac:dyDescent="0.25">
      <c r="A4411" s="2">
        <v>6680</v>
      </c>
      <c r="B4411" s="2">
        <v>2010</v>
      </c>
      <c r="C4411" s="2" t="s">
        <v>5621</v>
      </c>
      <c r="D4411" s="2" t="s">
        <v>122</v>
      </c>
      <c r="E4411" s="2" t="s">
        <v>13744</v>
      </c>
      <c r="F4411" s="2">
        <v>146</v>
      </c>
      <c r="G4411" s="2" t="s">
        <v>753</v>
      </c>
      <c r="H4411" s="2">
        <v>122</v>
      </c>
      <c r="I4411" s="2" t="s">
        <v>8431</v>
      </c>
      <c r="J4411" s="2">
        <v>161</v>
      </c>
      <c r="K4411" s="2" t="s">
        <v>1900</v>
      </c>
      <c r="L4411" s="2" t="s">
        <v>1901</v>
      </c>
      <c r="M4411" s="3">
        <v>40475</v>
      </c>
      <c r="N4411" s="2" t="s">
        <v>13139</v>
      </c>
      <c r="O4411" s="2" t="s">
        <v>82</v>
      </c>
      <c r="P4411" s="2" t="s">
        <v>203</v>
      </c>
      <c r="Q4411" s="2" t="str">
        <f>"AP 0048/10"</f>
        <v>AP 0048/10</v>
      </c>
      <c r="R4411" s="2" t="s">
        <v>13464</v>
      </c>
      <c r="S4411" s="2" t="s">
        <v>82</v>
      </c>
      <c r="T4411" s="2">
        <v>2</v>
      </c>
      <c r="U4411" s="2" t="s">
        <v>123</v>
      </c>
      <c r="V4411" s="2">
        <v>1</v>
      </c>
      <c r="W4411" s="2" t="s">
        <v>80</v>
      </c>
      <c r="X4411" s="2">
        <v>4</v>
      </c>
      <c r="Y4411" s="2" t="s">
        <v>463</v>
      </c>
      <c r="Z4411" s="2">
        <v>10</v>
      </c>
      <c r="AA4411" s="2" t="s">
        <v>236</v>
      </c>
      <c r="AB4411" s="2">
        <v>9</v>
      </c>
      <c r="AC4411" s="2" t="s">
        <v>124</v>
      </c>
      <c r="AD4411" s="3">
        <v>40469</v>
      </c>
      <c r="AE4411" s="4">
        <v>0.57638888888888895</v>
      </c>
      <c r="AF4411" s="2"/>
      <c r="AG4411" s="2"/>
      <c r="AH4411" s="2">
        <v>6</v>
      </c>
      <c r="AI4411" s="2" t="s">
        <v>197</v>
      </c>
      <c r="AJ4411" s="2">
        <v>60</v>
      </c>
      <c r="AK4411" s="2" t="s">
        <v>543</v>
      </c>
      <c r="AL4411" s="2">
        <v>10</v>
      </c>
      <c r="AM4411" s="2" t="s">
        <v>200</v>
      </c>
      <c r="AN4411" s="2" t="s">
        <v>82</v>
      </c>
      <c r="AO4411" s="2" t="s">
        <v>13465</v>
      </c>
      <c r="AP4411" s="2">
        <v>11</v>
      </c>
      <c r="AQ4411" s="2" t="s">
        <v>82</v>
      </c>
      <c r="AR4411" s="2"/>
      <c r="AS4411" s="2"/>
      <c r="AT4411" s="2" t="s">
        <v>13745</v>
      </c>
      <c r="AU4411" s="2"/>
      <c r="AV4411" s="2"/>
      <c r="AW4411" s="2"/>
      <c r="AX4411" s="2"/>
      <c r="AY4411" s="2">
        <v>47</v>
      </c>
      <c r="AZ4411" s="2" t="s">
        <v>167</v>
      </c>
      <c r="BA4411" s="2">
        <v>41</v>
      </c>
      <c r="BB4411" s="2" t="s">
        <v>82</v>
      </c>
      <c r="BC4411" s="2">
        <v>65</v>
      </c>
      <c r="BD4411" s="2" t="s">
        <v>3652</v>
      </c>
      <c r="BE4411" s="2">
        <v>47</v>
      </c>
      <c r="BF4411" s="2" t="s">
        <v>167</v>
      </c>
      <c r="BG4411" s="2" t="s">
        <v>13467</v>
      </c>
      <c r="BH4411" s="4">
        <v>0.53819444444444442</v>
      </c>
      <c r="BI4411" s="2"/>
      <c r="BJ4411" s="2">
        <v>13</v>
      </c>
      <c r="BK4411" s="2" t="s">
        <v>91</v>
      </c>
      <c r="BL4411" s="2" t="s">
        <v>185</v>
      </c>
      <c r="BM4411" s="2">
        <v>13</v>
      </c>
      <c r="BN4411" s="2" t="s">
        <v>91</v>
      </c>
      <c r="BO4411" s="2"/>
      <c r="BP4411" s="2">
        <v>13</v>
      </c>
      <c r="BQ4411" s="2" t="s">
        <v>91</v>
      </c>
      <c r="BR4411" s="2" t="s">
        <v>895</v>
      </c>
      <c r="BS4411" s="3">
        <v>40475</v>
      </c>
      <c r="BT4411" s="4">
        <v>0.87717592592592597</v>
      </c>
    </row>
    <row r="4412" spans="1:72" x14ac:dyDescent="0.25">
      <c r="A4412" s="2">
        <v>6681</v>
      </c>
      <c r="B4412" s="2">
        <v>2010</v>
      </c>
      <c r="C4412" s="2" t="s">
        <v>72</v>
      </c>
      <c r="D4412" s="2" t="s">
        <v>73</v>
      </c>
      <c r="E4412" s="2"/>
      <c r="F4412" s="2">
        <v>389</v>
      </c>
      <c r="G4412" s="2" t="s">
        <v>1819</v>
      </c>
      <c r="H4412" s="2">
        <v>3</v>
      </c>
      <c r="I4412" s="2" t="s">
        <v>315</v>
      </c>
      <c r="J4412" s="2">
        <v>399</v>
      </c>
      <c r="K4412" s="2" t="s">
        <v>1820</v>
      </c>
      <c r="L4412" s="2" t="s">
        <v>1821</v>
      </c>
      <c r="M4412" s="3">
        <v>40476</v>
      </c>
      <c r="N4412" s="2" t="s">
        <v>2319</v>
      </c>
      <c r="O4412" s="2"/>
      <c r="P4412" s="2"/>
      <c r="Q4412" s="2" t="str">
        <f>"553-E/10"</f>
        <v>553-E/10</v>
      </c>
      <c r="R4412" s="2" t="s">
        <v>1847</v>
      </c>
      <c r="S4412" s="2" t="s">
        <v>1847</v>
      </c>
      <c r="T4412" s="2">
        <v>1</v>
      </c>
      <c r="U4412" s="2" t="s">
        <v>79</v>
      </c>
      <c r="V4412" s="2">
        <v>1</v>
      </c>
      <c r="W4412" s="2" t="s">
        <v>80</v>
      </c>
      <c r="X4412" s="2">
        <v>12</v>
      </c>
      <c r="Y4412" s="2" t="s">
        <v>148</v>
      </c>
      <c r="Z4412" s="2">
        <v>1</v>
      </c>
      <c r="AA4412" s="2" t="s">
        <v>82</v>
      </c>
      <c r="AB4412" s="2">
        <v>6</v>
      </c>
      <c r="AC4412" s="2" t="s">
        <v>83</v>
      </c>
      <c r="AD4412" s="3">
        <v>40475</v>
      </c>
      <c r="AE4412" s="2"/>
      <c r="AF4412" s="3">
        <v>40475</v>
      </c>
      <c r="AG4412" s="4">
        <v>0.91666666666666663</v>
      </c>
      <c r="AH4412" s="2">
        <v>2</v>
      </c>
      <c r="AI4412" s="2" t="s">
        <v>84</v>
      </c>
      <c r="AJ4412" s="2">
        <v>9</v>
      </c>
      <c r="AK4412" s="2" t="s">
        <v>103</v>
      </c>
      <c r="AL4412" s="2">
        <v>11</v>
      </c>
      <c r="AM4412" s="2" t="s">
        <v>137</v>
      </c>
      <c r="AN4412" s="2" t="s">
        <v>987</v>
      </c>
      <c r="AO4412" s="2" t="s">
        <v>1340</v>
      </c>
      <c r="AP4412" s="2">
        <v>11</v>
      </c>
      <c r="AQ4412" s="2" t="s">
        <v>82</v>
      </c>
      <c r="AR4412" s="2"/>
      <c r="AS4412" s="2"/>
      <c r="AT4412" s="2" t="s">
        <v>13746</v>
      </c>
      <c r="AU4412" s="2"/>
      <c r="AV4412" s="2"/>
      <c r="AW4412" s="2"/>
      <c r="AX4412" s="2"/>
      <c r="AY4412" s="2">
        <v>41</v>
      </c>
      <c r="AZ4412" s="2" t="s">
        <v>82</v>
      </c>
      <c r="BA4412" s="2">
        <v>41</v>
      </c>
      <c r="BB4412" s="2" t="s">
        <v>82</v>
      </c>
      <c r="BC4412" s="2">
        <v>41</v>
      </c>
      <c r="BD4412" s="2" t="s">
        <v>82</v>
      </c>
      <c r="BE4412" s="2">
        <v>41</v>
      </c>
      <c r="BF4412" s="2" t="s">
        <v>82</v>
      </c>
      <c r="BG4412" s="2"/>
      <c r="BH4412" s="2"/>
      <c r="BI4412" s="2"/>
      <c r="BJ4412" s="2">
        <v>241</v>
      </c>
      <c r="BK4412" s="2" t="s">
        <v>82</v>
      </c>
      <c r="BL4412" s="2"/>
      <c r="BM4412" s="2">
        <v>241</v>
      </c>
      <c r="BN4412" s="2" t="s">
        <v>82</v>
      </c>
      <c r="BO4412" s="2"/>
      <c r="BP4412" s="2">
        <v>241</v>
      </c>
      <c r="BQ4412" s="2" t="s">
        <v>82</v>
      </c>
      <c r="BR4412" s="2"/>
      <c r="BS4412" s="3">
        <v>40476</v>
      </c>
      <c r="BT4412" s="4">
        <v>0.24960648148148148</v>
      </c>
    </row>
    <row r="4413" spans="1:72" x14ac:dyDescent="0.25">
      <c r="A4413" s="2">
        <v>6682</v>
      </c>
      <c r="B4413" s="2">
        <v>2010</v>
      </c>
      <c r="C4413" s="2" t="s">
        <v>385</v>
      </c>
      <c r="D4413" s="2" t="s">
        <v>122</v>
      </c>
      <c r="E4413" s="2" t="s">
        <v>13747</v>
      </c>
      <c r="F4413" s="2">
        <v>397</v>
      </c>
      <c r="G4413" s="2" t="s">
        <v>2522</v>
      </c>
      <c r="H4413" s="2">
        <v>11</v>
      </c>
      <c r="I4413" s="2" t="s">
        <v>1397</v>
      </c>
      <c r="J4413" s="2">
        <v>377</v>
      </c>
      <c r="K4413" s="2" t="s">
        <v>1223</v>
      </c>
      <c r="L4413" s="2" t="s">
        <v>1224</v>
      </c>
      <c r="M4413" s="3">
        <v>40476</v>
      </c>
      <c r="N4413" s="2" t="s">
        <v>2873</v>
      </c>
      <c r="O4413" s="2"/>
      <c r="P4413" s="2"/>
      <c r="Q4413" s="2" t="str">
        <f>"551-E/10"</f>
        <v>551-E/10</v>
      </c>
      <c r="R4413" s="2" t="s">
        <v>391</v>
      </c>
      <c r="S4413" s="2" t="s">
        <v>391</v>
      </c>
      <c r="T4413" s="2">
        <v>1</v>
      </c>
      <c r="U4413" s="2" t="s">
        <v>79</v>
      </c>
      <c r="V4413" s="2">
        <v>1</v>
      </c>
      <c r="W4413" s="2" t="s">
        <v>80</v>
      </c>
      <c r="X4413" s="2">
        <v>11</v>
      </c>
      <c r="Y4413" s="2" t="s">
        <v>1920</v>
      </c>
      <c r="Z4413" s="2">
        <v>1</v>
      </c>
      <c r="AA4413" s="2" t="s">
        <v>82</v>
      </c>
      <c r="AB4413" s="2">
        <v>9</v>
      </c>
      <c r="AC4413" s="2" t="s">
        <v>124</v>
      </c>
      <c r="AD4413" s="3">
        <v>40476</v>
      </c>
      <c r="AE4413" s="4">
        <v>0.29166666666666669</v>
      </c>
      <c r="AF4413" s="2"/>
      <c r="AG4413" s="2"/>
      <c r="AH4413" s="2">
        <v>2</v>
      </c>
      <c r="AI4413" s="2" t="s">
        <v>84</v>
      </c>
      <c r="AJ4413" s="2">
        <v>9</v>
      </c>
      <c r="AK4413" s="2" t="s">
        <v>103</v>
      </c>
      <c r="AL4413" s="2">
        <v>22</v>
      </c>
      <c r="AM4413" s="2" t="s">
        <v>1853</v>
      </c>
      <c r="AN4413" s="2"/>
      <c r="AO4413" s="2" t="s">
        <v>180</v>
      </c>
      <c r="AP4413" s="2">
        <v>11</v>
      </c>
      <c r="AQ4413" s="2" t="s">
        <v>82</v>
      </c>
      <c r="AR4413" s="2"/>
      <c r="AS4413" s="2"/>
      <c r="AT4413" s="2" t="s">
        <v>13748</v>
      </c>
      <c r="AU4413" s="2"/>
      <c r="AV4413" s="2">
        <v>1</v>
      </c>
      <c r="AW4413" s="2"/>
      <c r="AX4413" s="2"/>
      <c r="AY4413" s="2">
        <v>41</v>
      </c>
      <c r="AZ4413" s="2" t="s">
        <v>82</v>
      </c>
      <c r="BA4413" s="2">
        <v>41</v>
      </c>
      <c r="BB4413" s="2" t="s">
        <v>82</v>
      </c>
      <c r="BC4413" s="2">
        <v>41</v>
      </c>
      <c r="BD4413" s="2" t="s">
        <v>82</v>
      </c>
      <c r="BE4413" s="2">
        <v>14</v>
      </c>
      <c r="BF4413" s="2" t="s">
        <v>484</v>
      </c>
      <c r="BG4413" s="2">
        <v>417</v>
      </c>
      <c r="BH4413" s="4">
        <v>0.20833333333333334</v>
      </c>
      <c r="BI4413" s="4">
        <v>0.71180555555555547</v>
      </c>
      <c r="BJ4413" s="2">
        <v>13</v>
      </c>
      <c r="BK4413" s="2" t="s">
        <v>91</v>
      </c>
      <c r="BL4413" s="2" t="s">
        <v>360</v>
      </c>
      <c r="BM4413" s="2">
        <v>82</v>
      </c>
      <c r="BN4413" s="2" t="s">
        <v>487</v>
      </c>
      <c r="BO4413" s="2"/>
      <c r="BP4413" s="2">
        <v>109</v>
      </c>
      <c r="BQ4413" s="2" t="s">
        <v>6899</v>
      </c>
      <c r="BR4413" s="2" t="s">
        <v>13749</v>
      </c>
      <c r="BS4413" s="3">
        <v>40476</v>
      </c>
      <c r="BT4413" s="4">
        <v>0.32105324074074076</v>
      </c>
    </row>
    <row r="4414" spans="1:72" x14ac:dyDescent="0.25">
      <c r="A4414" s="2">
        <v>6683</v>
      </c>
      <c r="B4414" s="2">
        <v>2010</v>
      </c>
      <c r="C4414" s="2" t="s">
        <v>171</v>
      </c>
      <c r="D4414" s="2" t="s">
        <v>122</v>
      </c>
      <c r="E4414" s="2" t="s">
        <v>13750</v>
      </c>
      <c r="F4414" s="2">
        <v>397</v>
      </c>
      <c r="G4414" s="2" t="s">
        <v>2522</v>
      </c>
      <c r="H4414" s="2">
        <v>11</v>
      </c>
      <c r="I4414" s="2" t="s">
        <v>1397</v>
      </c>
      <c r="J4414" s="2">
        <v>377</v>
      </c>
      <c r="K4414" s="2" t="s">
        <v>1223</v>
      </c>
      <c r="L4414" s="2" t="s">
        <v>1224</v>
      </c>
      <c r="M4414" s="3">
        <v>40476</v>
      </c>
      <c r="N4414" s="2" t="s">
        <v>13418</v>
      </c>
      <c r="O4414" s="2"/>
      <c r="P4414" s="2"/>
      <c r="Q4414" s="2" t="str">
        <f>"552-E/10"</f>
        <v>552-E/10</v>
      </c>
      <c r="R4414" s="2" t="s">
        <v>391</v>
      </c>
      <c r="S4414" s="2" t="s">
        <v>391</v>
      </c>
      <c r="T4414" s="2">
        <v>1</v>
      </c>
      <c r="U4414" s="2" t="s">
        <v>79</v>
      </c>
      <c r="V4414" s="2">
        <v>1</v>
      </c>
      <c r="W4414" s="2" t="s">
        <v>80</v>
      </c>
      <c r="X4414" s="2">
        <v>11</v>
      </c>
      <c r="Y4414" s="2" t="s">
        <v>1920</v>
      </c>
      <c r="Z4414" s="2">
        <v>1</v>
      </c>
      <c r="AA4414" s="2" t="s">
        <v>82</v>
      </c>
      <c r="AB4414" s="2">
        <v>1</v>
      </c>
      <c r="AC4414" s="2" t="s">
        <v>178</v>
      </c>
      <c r="AD4414" s="3">
        <v>40476</v>
      </c>
      <c r="AE4414" s="4">
        <v>0.29236111111111113</v>
      </c>
      <c r="AF4414" s="2"/>
      <c r="AG4414" s="2"/>
      <c r="AH4414" s="2">
        <v>2</v>
      </c>
      <c r="AI4414" s="2" t="s">
        <v>84</v>
      </c>
      <c r="AJ4414" s="2">
        <v>9</v>
      </c>
      <c r="AK4414" s="2" t="s">
        <v>103</v>
      </c>
      <c r="AL4414" s="2">
        <v>11</v>
      </c>
      <c r="AM4414" s="2" t="s">
        <v>137</v>
      </c>
      <c r="AN4414" s="2"/>
      <c r="AO4414" s="2" t="s">
        <v>13751</v>
      </c>
      <c r="AP4414" s="2">
        <v>11</v>
      </c>
      <c r="AQ4414" s="2" t="s">
        <v>82</v>
      </c>
      <c r="AR4414" s="2"/>
      <c r="AS4414" s="2"/>
      <c r="AT4414" s="2" t="s">
        <v>13752</v>
      </c>
      <c r="AU4414" s="2"/>
      <c r="AV4414" s="2">
        <v>1</v>
      </c>
      <c r="AW4414" s="2"/>
      <c r="AX4414" s="2"/>
      <c r="AY4414" s="2">
        <v>41</v>
      </c>
      <c r="AZ4414" s="2" t="s">
        <v>82</v>
      </c>
      <c r="BA4414" s="2">
        <v>41</v>
      </c>
      <c r="BB4414" s="2" t="s">
        <v>82</v>
      </c>
      <c r="BC4414" s="2">
        <v>41</v>
      </c>
      <c r="BD4414" s="2" t="s">
        <v>82</v>
      </c>
      <c r="BE4414" s="2">
        <v>13</v>
      </c>
      <c r="BF4414" s="2" t="s">
        <v>108</v>
      </c>
      <c r="BG4414" s="2">
        <v>1132</v>
      </c>
      <c r="BH4414" s="4">
        <v>0.41666666666666669</v>
      </c>
      <c r="BI4414" s="4">
        <v>0.875</v>
      </c>
      <c r="BJ4414" s="2">
        <v>13</v>
      </c>
      <c r="BK4414" s="2" t="s">
        <v>91</v>
      </c>
      <c r="BL4414" s="2" t="s">
        <v>360</v>
      </c>
      <c r="BM4414" s="2">
        <v>73</v>
      </c>
      <c r="BN4414" s="2" t="s">
        <v>186</v>
      </c>
      <c r="BO4414" s="2"/>
      <c r="BP4414" s="2">
        <v>73</v>
      </c>
      <c r="BQ4414" s="2" t="s">
        <v>186</v>
      </c>
      <c r="BR4414" s="2" t="s">
        <v>187</v>
      </c>
      <c r="BS4414" s="3">
        <v>40476</v>
      </c>
      <c r="BT4414" s="4">
        <v>0.32318287037037036</v>
      </c>
    </row>
    <row r="4415" spans="1:72" x14ac:dyDescent="0.25">
      <c r="A4415" s="2">
        <v>6683</v>
      </c>
      <c r="B4415" s="2">
        <v>2010</v>
      </c>
      <c r="C4415" s="2" t="s">
        <v>385</v>
      </c>
      <c r="D4415" s="2" t="s">
        <v>122</v>
      </c>
      <c r="E4415" s="2" t="s">
        <v>13750</v>
      </c>
      <c r="F4415" s="2">
        <v>397</v>
      </c>
      <c r="G4415" s="2" t="s">
        <v>2522</v>
      </c>
      <c r="H4415" s="2">
        <v>11</v>
      </c>
      <c r="I4415" s="2" t="s">
        <v>1397</v>
      </c>
      <c r="J4415" s="2">
        <v>377</v>
      </c>
      <c r="K4415" s="2" t="s">
        <v>1223</v>
      </c>
      <c r="L4415" s="2" t="s">
        <v>1224</v>
      </c>
      <c r="M4415" s="3">
        <v>40476</v>
      </c>
      <c r="N4415" s="2" t="s">
        <v>13418</v>
      </c>
      <c r="O4415" s="2"/>
      <c r="P4415" s="2"/>
      <c r="Q4415" s="2" t="str">
        <f>"552-E/10"</f>
        <v>552-E/10</v>
      </c>
      <c r="R4415" s="2" t="s">
        <v>391</v>
      </c>
      <c r="S4415" s="2" t="s">
        <v>391</v>
      </c>
      <c r="T4415" s="2">
        <v>1</v>
      </c>
      <c r="U4415" s="2" t="s">
        <v>79</v>
      </c>
      <c r="V4415" s="2">
        <v>1</v>
      </c>
      <c r="W4415" s="2" t="s">
        <v>80</v>
      </c>
      <c r="X4415" s="2">
        <v>11</v>
      </c>
      <c r="Y4415" s="2" t="s">
        <v>1920</v>
      </c>
      <c r="Z4415" s="2">
        <v>1</v>
      </c>
      <c r="AA4415" s="2" t="s">
        <v>82</v>
      </c>
      <c r="AB4415" s="2">
        <v>9</v>
      </c>
      <c r="AC4415" s="2" t="s">
        <v>124</v>
      </c>
      <c r="AD4415" s="3">
        <v>40476</v>
      </c>
      <c r="AE4415" s="4">
        <v>0.29236111111111113</v>
      </c>
      <c r="AF4415" s="2"/>
      <c r="AG4415" s="2"/>
      <c r="AH4415" s="2">
        <v>2</v>
      </c>
      <c r="AI4415" s="2" t="s">
        <v>84</v>
      </c>
      <c r="AJ4415" s="2">
        <v>9</v>
      </c>
      <c r="AK4415" s="2" t="s">
        <v>103</v>
      </c>
      <c r="AL4415" s="2">
        <v>11</v>
      </c>
      <c r="AM4415" s="2" t="s">
        <v>137</v>
      </c>
      <c r="AN4415" s="2"/>
      <c r="AO4415" s="2" t="s">
        <v>13751</v>
      </c>
      <c r="AP4415" s="2">
        <v>11</v>
      </c>
      <c r="AQ4415" s="2" t="s">
        <v>82</v>
      </c>
      <c r="AR4415" s="2"/>
      <c r="AS4415" s="2"/>
      <c r="AT4415" s="2" t="s">
        <v>13752</v>
      </c>
      <c r="AU4415" s="2"/>
      <c r="AV4415" s="2">
        <v>1</v>
      </c>
      <c r="AW4415" s="2"/>
      <c r="AX4415" s="2"/>
      <c r="AY4415" s="2">
        <v>41</v>
      </c>
      <c r="AZ4415" s="2" t="s">
        <v>82</v>
      </c>
      <c r="BA4415" s="2">
        <v>41</v>
      </c>
      <c r="BB4415" s="2" t="s">
        <v>82</v>
      </c>
      <c r="BC4415" s="2">
        <v>41</v>
      </c>
      <c r="BD4415" s="2" t="s">
        <v>82</v>
      </c>
      <c r="BE4415" s="2">
        <v>13</v>
      </c>
      <c r="BF4415" s="2" t="s">
        <v>108</v>
      </c>
      <c r="BG4415" s="2">
        <v>1132</v>
      </c>
      <c r="BH4415" s="4">
        <v>0.41666666666666669</v>
      </c>
      <c r="BI4415" s="4">
        <v>0.875</v>
      </c>
      <c r="BJ4415" s="2">
        <v>13</v>
      </c>
      <c r="BK4415" s="2" t="s">
        <v>91</v>
      </c>
      <c r="BL4415" s="2" t="s">
        <v>360</v>
      </c>
      <c r="BM4415" s="2">
        <v>73</v>
      </c>
      <c r="BN4415" s="2" t="s">
        <v>186</v>
      </c>
      <c r="BO4415" s="2"/>
      <c r="BP4415" s="2">
        <v>73</v>
      </c>
      <c r="BQ4415" s="2" t="s">
        <v>186</v>
      </c>
      <c r="BR4415" s="2" t="s">
        <v>187</v>
      </c>
      <c r="BS4415" s="3">
        <v>40476</v>
      </c>
      <c r="BT4415" s="4">
        <v>0.32318287037037036</v>
      </c>
    </row>
    <row r="4416" spans="1:72" x14ac:dyDescent="0.25">
      <c r="A4416" s="2">
        <v>6684</v>
      </c>
      <c r="B4416" s="2">
        <v>2010</v>
      </c>
      <c r="C4416" s="2" t="s">
        <v>554</v>
      </c>
      <c r="D4416" s="2" t="s">
        <v>73</v>
      </c>
      <c r="E4416" s="2"/>
      <c r="F4416" s="2">
        <v>3</v>
      </c>
      <c r="G4416" s="2" t="s">
        <v>1041</v>
      </c>
      <c r="H4416" s="2">
        <v>50</v>
      </c>
      <c r="I4416" s="2" t="s">
        <v>107</v>
      </c>
      <c r="J4416" s="2">
        <v>368</v>
      </c>
      <c r="K4416" s="2" t="s">
        <v>1042</v>
      </c>
      <c r="L4416" s="2" t="s">
        <v>1043</v>
      </c>
      <c r="M4416" s="3">
        <v>40476</v>
      </c>
      <c r="N4416" s="2" t="s">
        <v>107</v>
      </c>
      <c r="O4416" s="2"/>
      <c r="P4416" s="2"/>
      <c r="Q4416" s="2" t="str">
        <f>"554-E/10"</f>
        <v>554-E/10</v>
      </c>
      <c r="R4416" s="2" t="s">
        <v>480</v>
      </c>
      <c r="S4416" s="2"/>
      <c r="T4416" s="2">
        <v>1</v>
      </c>
      <c r="U4416" s="2" t="s">
        <v>79</v>
      </c>
      <c r="V4416" s="2">
        <v>1</v>
      </c>
      <c r="W4416" s="2" t="s">
        <v>80</v>
      </c>
      <c r="X4416" s="2">
        <v>12</v>
      </c>
      <c r="Y4416" s="2" t="s">
        <v>148</v>
      </c>
      <c r="Z4416" s="2">
        <v>1</v>
      </c>
      <c r="AA4416" s="2" t="s">
        <v>82</v>
      </c>
      <c r="AB4416" s="2">
        <v>5</v>
      </c>
      <c r="AC4416" s="2" t="s">
        <v>559</v>
      </c>
      <c r="AD4416" s="3">
        <v>40475</v>
      </c>
      <c r="AE4416" s="4">
        <v>0.77083333333333337</v>
      </c>
      <c r="AF4416" s="3">
        <v>40475</v>
      </c>
      <c r="AG4416" s="4">
        <v>0.91666666666666663</v>
      </c>
      <c r="AH4416" s="2">
        <v>2</v>
      </c>
      <c r="AI4416" s="2" t="s">
        <v>84</v>
      </c>
      <c r="AJ4416" s="2">
        <v>9</v>
      </c>
      <c r="AK4416" s="2" t="s">
        <v>103</v>
      </c>
      <c r="AL4416" s="2">
        <v>17</v>
      </c>
      <c r="AM4416" s="2" t="s">
        <v>232</v>
      </c>
      <c r="AN4416" s="2"/>
      <c r="AO4416" s="2" t="s">
        <v>11120</v>
      </c>
      <c r="AP4416" s="2">
        <v>11</v>
      </c>
      <c r="AQ4416" s="2" t="s">
        <v>82</v>
      </c>
      <c r="AR4416" s="2"/>
      <c r="AS4416" s="2"/>
      <c r="AT4416" s="2" t="s">
        <v>13753</v>
      </c>
      <c r="AU4416" s="2"/>
      <c r="AV4416" s="2"/>
      <c r="AW4416" s="2"/>
      <c r="AX4416" s="2"/>
      <c r="AY4416" s="2">
        <v>41</v>
      </c>
      <c r="AZ4416" s="2" t="s">
        <v>82</v>
      </c>
      <c r="BA4416" s="2">
        <v>41</v>
      </c>
      <c r="BB4416" s="2" t="s">
        <v>82</v>
      </c>
      <c r="BC4416" s="2">
        <v>41</v>
      </c>
      <c r="BD4416" s="2" t="s">
        <v>82</v>
      </c>
      <c r="BE4416" s="2">
        <v>41</v>
      </c>
      <c r="BF4416" s="2" t="s">
        <v>82</v>
      </c>
      <c r="BG4416" s="2"/>
      <c r="BH4416" s="2"/>
      <c r="BI4416" s="2"/>
      <c r="BJ4416" s="2">
        <v>241</v>
      </c>
      <c r="BK4416" s="2" t="s">
        <v>82</v>
      </c>
      <c r="BL4416" s="2"/>
      <c r="BM4416" s="2">
        <v>241</v>
      </c>
      <c r="BN4416" s="2" t="s">
        <v>82</v>
      </c>
      <c r="BO4416" s="2"/>
      <c r="BP4416" s="2">
        <v>241</v>
      </c>
      <c r="BQ4416" s="2" t="s">
        <v>82</v>
      </c>
      <c r="BR4416" s="2"/>
      <c r="BS4416" s="3">
        <v>40476</v>
      </c>
      <c r="BT4416" s="4">
        <v>0.33059027777777777</v>
      </c>
    </row>
    <row r="4417" spans="1:72" x14ac:dyDescent="0.25">
      <c r="A4417" s="2">
        <v>6685</v>
      </c>
      <c r="B4417" s="2">
        <v>2010</v>
      </c>
      <c r="C4417" s="2" t="s">
        <v>72</v>
      </c>
      <c r="D4417" s="2" t="s">
        <v>122</v>
      </c>
      <c r="E4417" s="2" t="s">
        <v>13754</v>
      </c>
      <c r="F4417" s="2">
        <v>685</v>
      </c>
      <c r="G4417" s="2" t="s">
        <v>12932</v>
      </c>
      <c r="H4417" s="2">
        <v>22</v>
      </c>
      <c r="I4417" s="2" t="s">
        <v>75</v>
      </c>
      <c r="J4417" s="2">
        <v>674</v>
      </c>
      <c r="K4417" s="2" t="s">
        <v>12821</v>
      </c>
      <c r="L4417" s="2" t="s">
        <v>12822</v>
      </c>
      <c r="M4417" s="3">
        <v>40476</v>
      </c>
      <c r="N4417" s="2" t="s">
        <v>13755</v>
      </c>
      <c r="O4417" s="2"/>
      <c r="P4417" s="2"/>
      <c r="Q4417" s="2" t="str">
        <f>"417-A/10"</f>
        <v>417-A/10</v>
      </c>
      <c r="R4417" s="2" t="s">
        <v>13545</v>
      </c>
      <c r="S4417" s="2"/>
      <c r="T4417" s="2">
        <v>1</v>
      </c>
      <c r="U4417" s="2" t="s">
        <v>79</v>
      </c>
      <c r="V4417" s="2">
        <v>1</v>
      </c>
      <c r="W4417" s="2" t="s">
        <v>80</v>
      </c>
      <c r="X4417" s="2">
        <v>12</v>
      </c>
      <c r="Y4417" s="2" t="s">
        <v>148</v>
      </c>
      <c r="Z4417" s="2">
        <v>1</v>
      </c>
      <c r="AA4417" s="2" t="s">
        <v>82</v>
      </c>
      <c r="AB4417" s="2">
        <v>6</v>
      </c>
      <c r="AC4417" s="2" t="s">
        <v>83</v>
      </c>
      <c r="AD4417" s="3">
        <v>40469</v>
      </c>
      <c r="AE4417" s="4">
        <v>0.64583333333333337</v>
      </c>
      <c r="AF4417" s="3">
        <v>40470</v>
      </c>
      <c r="AG4417" s="4">
        <v>0.625</v>
      </c>
      <c r="AH4417" s="2">
        <v>2</v>
      </c>
      <c r="AI4417" s="2" t="s">
        <v>84</v>
      </c>
      <c r="AJ4417" s="2">
        <v>12</v>
      </c>
      <c r="AK4417" s="2" t="s">
        <v>85</v>
      </c>
      <c r="AL4417" s="2">
        <v>12</v>
      </c>
      <c r="AM4417" s="2" t="s">
        <v>86</v>
      </c>
      <c r="AN4417" s="2"/>
      <c r="AO4417" s="2" t="s">
        <v>1733</v>
      </c>
      <c r="AP4417" s="2">
        <v>11</v>
      </c>
      <c r="AQ4417" s="2" t="s">
        <v>82</v>
      </c>
      <c r="AR4417" s="2"/>
      <c r="AS4417" s="2"/>
      <c r="AT4417" s="2" t="s">
        <v>13756</v>
      </c>
      <c r="AU4417" s="2"/>
      <c r="AV4417" s="2"/>
      <c r="AW4417" s="2"/>
      <c r="AX4417" s="2"/>
      <c r="AY4417" s="2">
        <v>41</v>
      </c>
      <c r="AZ4417" s="2" t="s">
        <v>82</v>
      </c>
      <c r="BA4417" s="2">
        <v>41</v>
      </c>
      <c r="BB4417" s="2" t="s">
        <v>82</v>
      </c>
      <c r="BC4417" s="2">
        <v>41</v>
      </c>
      <c r="BD4417" s="2" t="s">
        <v>82</v>
      </c>
      <c r="BE4417" s="2">
        <v>41</v>
      </c>
      <c r="BF4417" s="2" t="s">
        <v>82</v>
      </c>
      <c r="BG4417" s="2"/>
      <c r="BH4417" s="2"/>
      <c r="BI4417" s="2"/>
      <c r="BJ4417" s="2">
        <v>241</v>
      </c>
      <c r="BK4417" s="2" t="s">
        <v>82</v>
      </c>
      <c r="BL4417" s="2"/>
      <c r="BM4417" s="2">
        <v>241</v>
      </c>
      <c r="BN4417" s="2" t="s">
        <v>82</v>
      </c>
      <c r="BO4417" s="2"/>
      <c r="BP4417" s="2">
        <v>241</v>
      </c>
      <c r="BQ4417" s="2" t="s">
        <v>82</v>
      </c>
      <c r="BR4417" s="2"/>
      <c r="BS4417" s="3">
        <v>40476</v>
      </c>
      <c r="BT4417" s="4">
        <v>0.34225694444444449</v>
      </c>
    </row>
    <row r="4418" spans="1:72" x14ac:dyDescent="0.25">
      <c r="A4418" s="2">
        <v>6686</v>
      </c>
      <c r="B4418" s="2">
        <v>2010</v>
      </c>
      <c r="C4418" s="2" t="s">
        <v>196</v>
      </c>
      <c r="D4418" s="2" t="s">
        <v>122</v>
      </c>
      <c r="E4418" s="2"/>
      <c r="F4418" s="2">
        <v>1</v>
      </c>
      <c r="G4418" s="2" t="s">
        <v>82</v>
      </c>
      <c r="H4418" s="2">
        <v>1</v>
      </c>
      <c r="I4418" s="2" t="s">
        <v>82</v>
      </c>
      <c r="J4418" s="2">
        <v>1</v>
      </c>
      <c r="K4418" s="2" t="s">
        <v>107</v>
      </c>
      <c r="L4418" s="2" t="s">
        <v>107</v>
      </c>
      <c r="M4418" s="3">
        <v>40476</v>
      </c>
      <c r="N4418" s="2"/>
      <c r="O4418" s="2"/>
      <c r="P4418" s="2"/>
      <c r="Q4418" s="2" t="str">
        <f>""</f>
        <v/>
      </c>
      <c r="R4418" s="2"/>
      <c r="S4418" s="2"/>
      <c r="T4418" s="2">
        <v>2</v>
      </c>
      <c r="U4418" s="2" t="s">
        <v>123</v>
      </c>
      <c r="V4418" s="2">
        <v>1</v>
      </c>
      <c r="W4418" s="2" t="s">
        <v>80</v>
      </c>
      <c r="X4418" s="2">
        <v>5</v>
      </c>
      <c r="Y4418" s="2" t="s">
        <v>82</v>
      </c>
      <c r="Z4418" s="2">
        <v>1</v>
      </c>
      <c r="AA4418" s="2" t="s">
        <v>82</v>
      </c>
      <c r="AB4418" s="2">
        <v>9</v>
      </c>
      <c r="AC4418" s="2" t="s">
        <v>124</v>
      </c>
      <c r="AD4418" s="3">
        <v>40476</v>
      </c>
      <c r="AE4418" s="4">
        <v>0.47569444444444442</v>
      </c>
      <c r="AF4418" s="2"/>
      <c r="AG4418" s="2"/>
      <c r="AH4418" s="2">
        <v>6</v>
      </c>
      <c r="AI4418" s="2" t="s">
        <v>197</v>
      </c>
      <c r="AJ4418" s="2">
        <v>59</v>
      </c>
      <c r="AK4418" s="2" t="s">
        <v>198</v>
      </c>
      <c r="AL4418" s="2">
        <v>9</v>
      </c>
      <c r="AM4418" s="2" t="s">
        <v>259</v>
      </c>
      <c r="AN4418" s="2"/>
      <c r="AO4418" s="2" t="s">
        <v>230</v>
      </c>
      <c r="AP4418" s="2">
        <v>11</v>
      </c>
      <c r="AQ4418" s="2" t="s">
        <v>82</v>
      </c>
      <c r="AR4418" s="2"/>
      <c r="AS4418" s="2"/>
      <c r="AT4418" s="2" t="s">
        <v>13757</v>
      </c>
      <c r="AU4418" s="2"/>
      <c r="AV4418" s="2"/>
      <c r="AW4418" s="2"/>
      <c r="AX4418" s="2"/>
      <c r="AY4418" s="2">
        <v>41</v>
      </c>
      <c r="AZ4418" s="2" t="s">
        <v>82</v>
      </c>
      <c r="BA4418" s="2">
        <v>41</v>
      </c>
      <c r="BB4418" s="2" t="s">
        <v>82</v>
      </c>
      <c r="BC4418" s="2">
        <v>41</v>
      </c>
      <c r="BD4418" s="2" t="s">
        <v>82</v>
      </c>
      <c r="BE4418" s="2">
        <v>41</v>
      </c>
      <c r="BF4418" s="2" t="s">
        <v>82</v>
      </c>
      <c r="BG4418" s="2"/>
      <c r="BH4418" s="2"/>
      <c r="BI4418" s="4">
        <v>0.47569444444444442</v>
      </c>
      <c r="BJ4418" s="2">
        <v>13</v>
      </c>
      <c r="BK4418" s="2" t="s">
        <v>91</v>
      </c>
      <c r="BL4418" s="2" t="s">
        <v>204</v>
      </c>
      <c r="BM4418" s="2">
        <v>241</v>
      </c>
      <c r="BN4418" s="2" t="s">
        <v>82</v>
      </c>
      <c r="BO4418" s="2"/>
      <c r="BP4418" s="2">
        <v>13</v>
      </c>
      <c r="BQ4418" s="2" t="s">
        <v>91</v>
      </c>
      <c r="BR4418" s="2" t="s">
        <v>332</v>
      </c>
      <c r="BS4418" s="3">
        <v>40476</v>
      </c>
      <c r="BT4418" s="4">
        <v>0.47716435185185185</v>
      </c>
    </row>
    <row r="4419" spans="1:72" x14ac:dyDescent="0.25">
      <c r="A4419" s="2">
        <v>6692</v>
      </c>
      <c r="B4419" s="2">
        <v>2010</v>
      </c>
      <c r="C4419" s="2" t="s">
        <v>196</v>
      </c>
      <c r="D4419" s="2" t="s">
        <v>122</v>
      </c>
      <c r="E4419" s="2"/>
      <c r="F4419" s="2">
        <v>1</v>
      </c>
      <c r="G4419" s="2" t="s">
        <v>82</v>
      </c>
      <c r="H4419" s="2">
        <v>1</v>
      </c>
      <c r="I4419" s="2" t="s">
        <v>82</v>
      </c>
      <c r="J4419" s="2">
        <v>1</v>
      </c>
      <c r="K4419" s="2" t="s">
        <v>107</v>
      </c>
      <c r="L4419" s="2" t="s">
        <v>107</v>
      </c>
      <c r="M4419" s="3">
        <v>40476</v>
      </c>
      <c r="N4419" s="2"/>
      <c r="O4419" s="2"/>
      <c r="P4419" s="2"/>
      <c r="Q4419" s="2" t="str">
        <f>""</f>
        <v/>
      </c>
      <c r="R4419" s="2"/>
      <c r="S4419" s="2"/>
      <c r="T4419" s="2">
        <v>2</v>
      </c>
      <c r="U4419" s="2" t="s">
        <v>123</v>
      </c>
      <c r="V4419" s="2">
        <v>1</v>
      </c>
      <c r="W4419" s="2" t="s">
        <v>80</v>
      </c>
      <c r="X4419" s="2">
        <v>11</v>
      </c>
      <c r="Y4419" s="2" t="s">
        <v>1920</v>
      </c>
      <c r="Z4419" s="2">
        <v>4</v>
      </c>
      <c r="AA4419" s="2" t="s">
        <v>182</v>
      </c>
      <c r="AB4419" s="2">
        <v>9</v>
      </c>
      <c r="AC4419" s="2" t="s">
        <v>124</v>
      </c>
      <c r="AD4419" s="3">
        <v>40476</v>
      </c>
      <c r="AE4419" s="4">
        <v>0.53125</v>
      </c>
      <c r="AF4419" s="2"/>
      <c r="AG4419" s="2"/>
      <c r="AH4419" s="2">
        <v>6</v>
      </c>
      <c r="AI4419" s="2" t="s">
        <v>197</v>
      </c>
      <c r="AJ4419" s="2">
        <v>50</v>
      </c>
      <c r="AK4419" s="2" t="s">
        <v>330</v>
      </c>
      <c r="AL4419" s="2">
        <v>10</v>
      </c>
      <c r="AM4419" s="2" t="s">
        <v>200</v>
      </c>
      <c r="AN4419" s="2" t="s">
        <v>82</v>
      </c>
      <c r="AO4419" s="2" t="s">
        <v>1436</v>
      </c>
      <c r="AP4419" s="2">
        <v>11</v>
      </c>
      <c r="AQ4419" s="2" t="s">
        <v>82</v>
      </c>
      <c r="AR4419" s="2"/>
      <c r="AS4419" s="2"/>
      <c r="AT4419" s="2" t="s">
        <v>13758</v>
      </c>
      <c r="AU4419" s="2"/>
      <c r="AV4419" s="2"/>
      <c r="AW4419" s="2"/>
      <c r="AX4419" s="2"/>
      <c r="AY4419" s="2">
        <v>41</v>
      </c>
      <c r="AZ4419" s="2" t="s">
        <v>82</v>
      </c>
      <c r="BA4419" s="2">
        <v>41</v>
      </c>
      <c r="BB4419" s="2" t="s">
        <v>82</v>
      </c>
      <c r="BC4419" s="2">
        <v>41</v>
      </c>
      <c r="BD4419" s="2" t="s">
        <v>82</v>
      </c>
      <c r="BE4419" s="2">
        <v>41</v>
      </c>
      <c r="BF4419" s="2" t="s">
        <v>82</v>
      </c>
      <c r="BG4419" s="2"/>
      <c r="BH4419" s="4">
        <v>0.53125</v>
      </c>
      <c r="BI4419" s="2"/>
      <c r="BJ4419" s="2">
        <v>13</v>
      </c>
      <c r="BK4419" s="2" t="s">
        <v>91</v>
      </c>
      <c r="BL4419" s="2" t="s">
        <v>204</v>
      </c>
      <c r="BM4419" s="2">
        <v>241</v>
      </c>
      <c r="BN4419" s="2" t="s">
        <v>82</v>
      </c>
      <c r="BO4419" s="2"/>
      <c r="BP4419" s="2">
        <v>13</v>
      </c>
      <c r="BQ4419" s="2" t="s">
        <v>91</v>
      </c>
      <c r="BR4419" s="2" t="s">
        <v>82</v>
      </c>
      <c r="BS4419" s="3">
        <v>40476</v>
      </c>
      <c r="BT4419" s="4">
        <v>0.58277777777777773</v>
      </c>
    </row>
    <row r="4420" spans="1:72" x14ac:dyDescent="0.25">
      <c r="A4420" s="2">
        <v>6695</v>
      </c>
      <c r="B4420" s="2">
        <v>2010</v>
      </c>
      <c r="C4420" s="2" t="s">
        <v>554</v>
      </c>
      <c r="D4420" s="2" t="s">
        <v>73</v>
      </c>
      <c r="E4420" s="2" t="s">
        <v>13759</v>
      </c>
      <c r="F4420" s="2">
        <v>100</v>
      </c>
      <c r="G4420" s="2" t="s">
        <v>517</v>
      </c>
      <c r="H4420" s="2">
        <v>47</v>
      </c>
      <c r="I4420" s="2" t="s">
        <v>1409</v>
      </c>
      <c r="J4420" s="2">
        <v>119</v>
      </c>
      <c r="K4420" s="2" t="s">
        <v>325</v>
      </c>
      <c r="L4420" s="2" t="s">
        <v>326</v>
      </c>
      <c r="M4420" s="3">
        <v>40476</v>
      </c>
      <c r="N4420" s="2" t="s">
        <v>327</v>
      </c>
      <c r="O4420" s="2" t="s">
        <v>13760</v>
      </c>
      <c r="P4420" s="2" t="s">
        <v>13761</v>
      </c>
      <c r="Q4420" s="2" t="str">
        <f>""</f>
        <v/>
      </c>
      <c r="R4420" s="2"/>
      <c r="S4420" s="2"/>
      <c r="T4420" s="2">
        <v>1</v>
      </c>
      <c r="U4420" s="2" t="s">
        <v>79</v>
      </c>
      <c r="V4420" s="2">
        <v>3</v>
      </c>
      <c r="W4420" s="2" t="s">
        <v>225</v>
      </c>
      <c r="X4420" s="2">
        <v>8</v>
      </c>
      <c r="Y4420" s="2" t="s">
        <v>375</v>
      </c>
      <c r="Z4420" s="2">
        <v>1</v>
      </c>
      <c r="AA4420" s="2" t="s">
        <v>82</v>
      </c>
      <c r="AB4420" s="2">
        <v>9</v>
      </c>
      <c r="AC4420" s="2" t="s">
        <v>124</v>
      </c>
      <c r="AD4420" s="3">
        <v>40476</v>
      </c>
      <c r="AE4420" s="4">
        <v>0.57013888888888886</v>
      </c>
      <c r="AF4420" s="2"/>
      <c r="AG4420" s="2"/>
      <c r="AH4420" s="2">
        <v>6</v>
      </c>
      <c r="AI4420" s="2" t="s">
        <v>197</v>
      </c>
      <c r="AJ4420" s="2">
        <v>47</v>
      </c>
      <c r="AK4420" s="2" t="s">
        <v>250</v>
      </c>
      <c r="AL4420" s="2">
        <v>23</v>
      </c>
      <c r="AM4420" s="2" t="s">
        <v>251</v>
      </c>
      <c r="AN4420" s="2"/>
      <c r="AO4420" s="2" t="s">
        <v>13762</v>
      </c>
      <c r="AP4420" s="2">
        <v>11</v>
      </c>
      <c r="AQ4420" s="2" t="s">
        <v>82</v>
      </c>
      <c r="AR4420" s="2"/>
      <c r="AS4420" s="2"/>
      <c r="AT4420" s="2" t="s">
        <v>13763</v>
      </c>
      <c r="AU4420" s="2"/>
      <c r="AV4420" s="2"/>
      <c r="AW4420" s="2"/>
      <c r="AX4420" s="2"/>
      <c r="AY4420" s="2">
        <v>41</v>
      </c>
      <c r="AZ4420" s="2" t="s">
        <v>82</v>
      </c>
      <c r="BA4420" s="2">
        <v>41</v>
      </c>
      <c r="BB4420" s="2" t="s">
        <v>82</v>
      </c>
      <c r="BC4420" s="2">
        <v>41</v>
      </c>
      <c r="BD4420" s="2" t="s">
        <v>82</v>
      </c>
      <c r="BE4420" s="2">
        <v>41</v>
      </c>
      <c r="BF4420" s="2" t="s">
        <v>82</v>
      </c>
      <c r="BG4420" s="2"/>
      <c r="BH4420" s="2"/>
      <c r="BI4420" s="2"/>
      <c r="BJ4420" s="2">
        <v>241</v>
      </c>
      <c r="BK4420" s="2" t="s">
        <v>82</v>
      </c>
      <c r="BL4420" s="2"/>
      <c r="BM4420" s="2">
        <v>241</v>
      </c>
      <c r="BN4420" s="2" t="s">
        <v>82</v>
      </c>
      <c r="BO4420" s="2"/>
      <c r="BP4420" s="2">
        <v>241</v>
      </c>
      <c r="BQ4420" s="2" t="s">
        <v>82</v>
      </c>
      <c r="BR4420" s="2"/>
      <c r="BS4420" s="3">
        <v>40476</v>
      </c>
      <c r="BT4420" s="4">
        <v>0.64666666666666661</v>
      </c>
    </row>
    <row r="4421" spans="1:72" x14ac:dyDescent="0.25">
      <c r="A4421" s="2">
        <v>6696</v>
      </c>
      <c r="B4421" s="2">
        <v>2010</v>
      </c>
      <c r="C4421" s="2" t="s">
        <v>196</v>
      </c>
      <c r="D4421" s="2" t="s">
        <v>122</v>
      </c>
      <c r="E4421" s="2"/>
      <c r="F4421" s="2">
        <v>1</v>
      </c>
      <c r="G4421" s="2" t="s">
        <v>82</v>
      </c>
      <c r="H4421" s="2">
        <v>1</v>
      </c>
      <c r="I4421" s="2" t="s">
        <v>82</v>
      </c>
      <c r="J4421" s="2">
        <v>1</v>
      </c>
      <c r="K4421" s="2" t="s">
        <v>107</v>
      </c>
      <c r="L4421" s="2" t="s">
        <v>107</v>
      </c>
      <c r="M4421" s="3">
        <v>40476</v>
      </c>
      <c r="N4421" s="2"/>
      <c r="O4421" s="2"/>
      <c r="P4421" s="2"/>
      <c r="Q4421" s="2" t="str">
        <f>""</f>
        <v/>
      </c>
      <c r="R4421" s="2"/>
      <c r="S4421" s="2"/>
      <c r="T4421" s="2">
        <v>2</v>
      </c>
      <c r="U4421" s="2" t="s">
        <v>123</v>
      </c>
      <c r="V4421" s="2">
        <v>1</v>
      </c>
      <c r="W4421" s="2" t="s">
        <v>80</v>
      </c>
      <c r="X4421" s="2">
        <v>5</v>
      </c>
      <c r="Y4421" s="2" t="s">
        <v>82</v>
      </c>
      <c r="Z4421" s="2">
        <v>1</v>
      </c>
      <c r="AA4421" s="2" t="s">
        <v>82</v>
      </c>
      <c r="AB4421" s="2">
        <v>9</v>
      </c>
      <c r="AC4421" s="2" t="s">
        <v>124</v>
      </c>
      <c r="AD4421" s="3">
        <v>40476</v>
      </c>
      <c r="AE4421" s="4">
        <v>0.63055555555555554</v>
      </c>
      <c r="AF4421" s="2"/>
      <c r="AG4421" s="2"/>
      <c r="AH4421" s="2">
        <v>6</v>
      </c>
      <c r="AI4421" s="2" t="s">
        <v>197</v>
      </c>
      <c r="AJ4421" s="2">
        <v>50</v>
      </c>
      <c r="AK4421" s="2" t="s">
        <v>330</v>
      </c>
      <c r="AL4421" s="2">
        <v>19</v>
      </c>
      <c r="AM4421" s="2" t="s">
        <v>107</v>
      </c>
      <c r="AN4421" s="2" t="s">
        <v>82</v>
      </c>
      <c r="AO4421" s="2" t="s">
        <v>1436</v>
      </c>
      <c r="AP4421" s="2">
        <v>11</v>
      </c>
      <c r="AQ4421" s="2" t="s">
        <v>82</v>
      </c>
      <c r="AR4421" s="2"/>
      <c r="AS4421" s="2"/>
      <c r="AT4421" s="2" t="s">
        <v>13764</v>
      </c>
      <c r="AU4421" s="2"/>
      <c r="AV4421" s="2"/>
      <c r="AW4421" s="2"/>
      <c r="AX4421" s="2"/>
      <c r="AY4421" s="2">
        <v>41</v>
      </c>
      <c r="AZ4421" s="2" t="s">
        <v>82</v>
      </c>
      <c r="BA4421" s="2">
        <v>41</v>
      </c>
      <c r="BB4421" s="2" t="s">
        <v>82</v>
      </c>
      <c r="BC4421" s="2">
        <v>41</v>
      </c>
      <c r="BD4421" s="2" t="s">
        <v>82</v>
      </c>
      <c r="BE4421" s="2">
        <v>41</v>
      </c>
      <c r="BF4421" s="2" t="s">
        <v>82</v>
      </c>
      <c r="BG4421" s="2" t="s">
        <v>82</v>
      </c>
      <c r="BH4421" s="4">
        <v>0.62222222222222223</v>
      </c>
      <c r="BI4421" s="4">
        <v>0.63055555555555554</v>
      </c>
      <c r="BJ4421" s="2">
        <v>241</v>
      </c>
      <c r="BK4421" s="2" t="s">
        <v>82</v>
      </c>
      <c r="BL4421" s="2" t="s">
        <v>13765</v>
      </c>
      <c r="BM4421" s="2">
        <v>13</v>
      </c>
      <c r="BN4421" s="2" t="s">
        <v>91</v>
      </c>
      <c r="BO4421" s="2"/>
      <c r="BP4421" s="2">
        <v>241</v>
      </c>
      <c r="BQ4421" s="2" t="s">
        <v>82</v>
      </c>
      <c r="BR4421" s="2" t="s">
        <v>204</v>
      </c>
      <c r="BS4421" s="3">
        <v>40476</v>
      </c>
      <c r="BT4421" s="4">
        <v>0.65101851851851855</v>
      </c>
    </row>
    <row r="4422" spans="1:72" x14ac:dyDescent="0.25">
      <c r="A4422" s="2">
        <v>6697</v>
      </c>
      <c r="B4422" s="2">
        <v>2010</v>
      </c>
      <c r="C4422" s="2" t="s">
        <v>806</v>
      </c>
      <c r="D4422" s="2" t="s">
        <v>73</v>
      </c>
      <c r="E4422" s="2"/>
      <c r="F4422" s="2">
        <v>706</v>
      </c>
      <c r="G4422" s="2" t="s">
        <v>13766</v>
      </c>
      <c r="H4422" s="2">
        <v>89</v>
      </c>
      <c r="I4422" s="2" t="s">
        <v>5137</v>
      </c>
      <c r="J4422" s="2">
        <v>691</v>
      </c>
      <c r="K4422" s="2" t="s">
        <v>13767</v>
      </c>
      <c r="L4422" s="2" t="s">
        <v>13768</v>
      </c>
      <c r="M4422" s="3">
        <v>40476</v>
      </c>
      <c r="N4422" s="2" t="s">
        <v>13769</v>
      </c>
      <c r="O4422" s="2" t="s">
        <v>13770</v>
      </c>
      <c r="P4422" s="6">
        <v>44817</v>
      </c>
      <c r="Q4422" s="2" t="str">
        <f>"S/D"</f>
        <v>S/D</v>
      </c>
      <c r="R4422" s="2" t="s">
        <v>107</v>
      </c>
      <c r="S4422" s="2" t="s">
        <v>107</v>
      </c>
      <c r="T4422" s="2">
        <v>1</v>
      </c>
      <c r="U4422" s="2" t="s">
        <v>79</v>
      </c>
      <c r="V4422" s="2">
        <v>3</v>
      </c>
      <c r="W4422" s="2" t="s">
        <v>225</v>
      </c>
      <c r="X4422" s="2">
        <v>6</v>
      </c>
      <c r="Y4422" s="2" t="s">
        <v>249</v>
      </c>
      <c r="Z4422" s="2">
        <v>1</v>
      </c>
      <c r="AA4422" s="2" t="s">
        <v>82</v>
      </c>
      <c r="AB4422" s="2">
        <v>9</v>
      </c>
      <c r="AC4422" s="2" t="s">
        <v>124</v>
      </c>
      <c r="AD4422" s="3">
        <v>40463</v>
      </c>
      <c r="AE4422" s="4">
        <v>0.54166666666666663</v>
      </c>
      <c r="AF4422" s="3">
        <v>40457</v>
      </c>
      <c r="AG4422" s="4">
        <v>0.41666666666666669</v>
      </c>
      <c r="AH4422" s="2">
        <v>7</v>
      </c>
      <c r="AI4422" s="2" t="s">
        <v>801</v>
      </c>
      <c r="AJ4422" s="2">
        <v>3</v>
      </c>
      <c r="AK4422" s="2" t="s">
        <v>802</v>
      </c>
      <c r="AL4422" s="2">
        <v>23</v>
      </c>
      <c r="AM4422" s="2" t="s">
        <v>251</v>
      </c>
      <c r="AN4422" s="2" t="s">
        <v>107</v>
      </c>
      <c r="AO4422" s="2" t="s">
        <v>107</v>
      </c>
      <c r="AP4422" s="2">
        <v>11</v>
      </c>
      <c r="AQ4422" s="2" t="s">
        <v>82</v>
      </c>
      <c r="AR4422" s="2"/>
      <c r="AS4422" s="2"/>
      <c r="AT4422" s="2" t="s">
        <v>13771</v>
      </c>
      <c r="AU4422" s="2"/>
      <c r="AV4422" s="2"/>
      <c r="AW4422" s="2"/>
      <c r="AX4422" s="2"/>
      <c r="AY4422" s="2">
        <v>41</v>
      </c>
      <c r="AZ4422" s="2" t="s">
        <v>82</v>
      </c>
      <c r="BA4422" s="2">
        <v>41</v>
      </c>
      <c r="BB4422" s="2" t="s">
        <v>82</v>
      </c>
      <c r="BC4422" s="2">
        <v>41</v>
      </c>
      <c r="BD4422" s="2" t="s">
        <v>82</v>
      </c>
      <c r="BE4422" s="2">
        <v>41</v>
      </c>
      <c r="BF4422" s="2" t="s">
        <v>82</v>
      </c>
      <c r="BG4422" s="2" t="s">
        <v>107</v>
      </c>
      <c r="BH4422" s="2"/>
      <c r="BI4422" s="2"/>
      <c r="BJ4422" s="2">
        <v>241</v>
      </c>
      <c r="BK4422" s="2" t="s">
        <v>82</v>
      </c>
      <c r="BL4422" s="2"/>
      <c r="BM4422" s="2">
        <v>241</v>
      </c>
      <c r="BN4422" s="2" t="s">
        <v>82</v>
      </c>
      <c r="BO4422" s="2"/>
      <c r="BP4422" s="2">
        <v>241</v>
      </c>
      <c r="BQ4422" s="2" t="s">
        <v>82</v>
      </c>
      <c r="BR4422" s="2"/>
      <c r="BS4422" s="3">
        <v>40476</v>
      </c>
      <c r="BT4422" s="4">
        <v>0.65348379629629627</v>
      </c>
    </row>
    <row r="4423" spans="1:72" x14ac:dyDescent="0.25">
      <c r="A4423" s="2">
        <v>6698</v>
      </c>
      <c r="B4423" s="2">
        <v>2010</v>
      </c>
      <c r="C4423" s="2" t="s">
        <v>196</v>
      </c>
      <c r="D4423" s="2" t="s">
        <v>122</v>
      </c>
      <c r="E4423" s="2"/>
      <c r="F4423" s="2">
        <v>1</v>
      </c>
      <c r="G4423" s="2" t="s">
        <v>82</v>
      </c>
      <c r="H4423" s="2">
        <v>1</v>
      </c>
      <c r="I4423" s="2" t="s">
        <v>82</v>
      </c>
      <c r="J4423" s="2">
        <v>1</v>
      </c>
      <c r="K4423" s="2" t="s">
        <v>107</v>
      </c>
      <c r="L4423" s="2" t="s">
        <v>107</v>
      </c>
      <c r="M4423" s="3">
        <v>40476</v>
      </c>
      <c r="N4423" s="2"/>
      <c r="O4423" s="2"/>
      <c r="P4423" s="2"/>
      <c r="Q4423" s="2" t="str">
        <f>""</f>
        <v/>
      </c>
      <c r="R4423" s="2"/>
      <c r="S4423" s="2"/>
      <c r="T4423" s="2">
        <v>2</v>
      </c>
      <c r="U4423" s="2" t="s">
        <v>123</v>
      </c>
      <c r="V4423" s="2">
        <v>1</v>
      </c>
      <c r="W4423" s="2" t="s">
        <v>80</v>
      </c>
      <c r="X4423" s="2">
        <v>5</v>
      </c>
      <c r="Y4423" s="2" t="s">
        <v>82</v>
      </c>
      <c r="Z4423" s="2">
        <v>1</v>
      </c>
      <c r="AA4423" s="2" t="s">
        <v>82</v>
      </c>
      <c r="AB4423" s="2">
        <v>9</v>
      </c>
      <c r="AC4423" s="2" t="s">
        <v>124</v>
      </c>
      <c r="AD4423" s="3">
        <v>40476</v>
      </c>
      <c r="AE4423" s="4">
        <v>0.68402777777777779</v>
      </c>
      <c r="AF4423" s="2"/>
      <c r="AG4423" s="2"/>
      <c r="AH4423" s="2">
        <v>6</v>
      </c>
      <c r="AI4423" s="2" t="s">
        <v>197</v>
      </c>
      <c r="AJ4423" s="2">
        <v>59</v>
      </c>
      <c r="AK4423" s="2" t="s">
        <v>198</v>
      </c>
      <c r="AL4423" s="2">
        <v>10</v>
      </c>
      <c r="AM4423" s="2" t="s">
        <v>200</v>
      </c>
      <c r="AN4423" s="2"/>
      <c r="AO4423" s="2" t="s">
        <v>10868</v>
      </c>
      <c r="AP4423" s="2">
        <v>11</v>
      </c>
      <c r="AQ4423" s="2" t="s">
        <v>82</v>
      </c>
      <c r="AR4423" s="2"/>
      <c r="AS4423" s="2"/>
      <c r="AT4423" s="2" t="s">
        <v>13772</v>
      </c>
      <c r="AU4423" s="2"/>
      <c r="AV4423" s="2"/>
      <c r="AW4423" s="2"/>
      <c r="AX4423" s="2"/>
      <c r="AY4423" s="2">
        <v>41</v>
      </c>
      <c r="AZ4423" s="2" t="s">
        <v>82</v>
      </c>
      <c r="BA4423" s="2">
        <v>41</v>
      </c>
      <c r="BB4423" s="2" t="s">
        <v>82</v>
      </c>
      <c r="BC4423" s="2">
        <v>41</v>
      </c>
      <c r="BD4423" s="2" t="s">
        <v>82</v>
      </c>
      <c r="BE4423" s="2">
        <v>41</v>
      </c>
      <c r="BF4423" s="2" t="s">
        <v>82</v>
      </c>
      <c r="BG4423" s="2"/>
      <c r="BH4423" s="4">
        <v>0.68402777777777779</v>
      </c>
      <c r="BI4423" s="2"/>
      <c r="BJ4423" s="2">
        <v>13</v>
      </c>
      <c r="BK4423" s="2" t="s">
        <v>91</v>
      </c>
      <c r="BL4423" s="2" t="s">
        <v>332</v>
      </c>
      <c r="BM4423" s="2">
        <v>241</v>
      </c>
      <c r="BN4423" s="2" t="s">
        <v>82</v>
      </c>
      <c r="BO4423" s="2"/>
      <c r="BP4423" s="2">
        <v>13</v>
      </c>
      <c r="BQ4423" s="2" t="s">
        <v>91</v>
      </c>
      <c r="BR4423" s="2" t="s">
        <v>204</v>
      </c>
      <c r="BS4423" s="3">
        <v>40476</v>
      </c>
      <c r="BT4423" s="4">
        <v>0.68914351851851852</v>
      </c>
    </row>
    <row r="4424" spans="1:72" x14ac:dyDescent="0.25">
      <c r="A4424" s="2">
        <v>6703</v>
      </c>
      <c r="B4424" s="2">
        <v>2010</v>
      </c>
      <c r="C4424" s="2" t="s">
        <v>147</v>
      </c>
      <c r="D4424" s="2" t="s">
        <v>73</v>
      </c>
      <c r="E4424" s="2"/>
      <c r="F4424" s="2">
        <v>1</v>
      </c>
      <c r="G4424" s="2" t="s">
        <v>82</v>
      </c>
      <c r="H4424" s="2">
        <v>1</v>
      </c>
      <c r="I4424" s="2" t="s">
        <v>82</v>
      </c>
      <c r="J4424" s="2">
        <v>1</v>
      </c>
      <c r="K4424" s="2" t="s">
        <v>107</v>
      </c>
      <c r="L4424" s="2" t="s">
        <v>107</v>
      </c>
      <c r="M4424" s="3">
        <v>40476</v>
      </c>
      <c r="N4424" s="2" t="s">
        <v>82</v>
      </c>
      <c r="O4424" s="2" t="s">
        <v>82</v>
      </c>
      <c r="P4424" s="2" t="s">
        <v>82</v>
      </c>
      <c r="Q4424" s="2" t="str">
        <f>"0015/2010"</f>
        <v>0015/2010</v>
      </c>
      <c r="R4424" s="2" t="s">
        <v>82</v>
      </c>
      <c r="S4424" s="2" t="s">
        <v>82</v>
      </c>
      <c r="T4424" s="2">
        <v>2</v>
      </c>
      <c r="U4424" s="2" t="s">
        <v>123</v>
      </c>
      <c r="V4424" s="2">
        <v>1</v>
      </c>
      <c r="W4424" s="2" t="s">
        <v>80</v>
      </c>
      <c r="X4424" s="2">
        <v>12</v>
      </c>
      <c r="Y4424" s="2" t="s">
        <v>148</v>
      </c>
      <c r="Z4424" s="2">
        <v>1</v>
      </c>
      <c r="AA4424" s="2" t="s">
        <v>82</v>
      </c>
      <c r="AB4424" s="2">
        <v>9</v>
      </c>
      <c r="AC4424" s="2" t="s">
        <v>124</v>
      </c>
      <c r="AD4424" s="3">
        <v>40472</v>
      </c>
      <c r="AE4424" s="2"/>
      <c r="AF4424" s="3">
        <v>40476</v>
      </c>
      <c r="AG4424" s="4">
        <v>0.47916666666666669</v>
      </c>
      <c r="AH4424" s="2">
        <v>5</v>
      </c>
      <c r="AI4424" s="2" t="s">
        <v>274</v>
      </c>
      <c r="AJ4424" s="2">
        <v>45</v>
      </c>
      <c r="AK4424" s="2" t="s">
        <v>834</v>
      </c>
      <c r="AL4424" s="2">
        <v>19</v>
      </c>
      <c r="AM4424" s="2" t="s">
        <v>107</v>
      </c>
      <c r="AN4424" s="2" t="s">
        <v>107</v>
      </c>
      <c r="AO4424" s="2" t="s">
        <v>107</v>
      </c>
      <c r="AP4424" s="2">
        <v>11</v>
      </c>
      <c r="AQ4424" s="2" t="s">
        <v>82</v>
      </c>
      <c r="AR4424" s="2" t="s">
        <v>82</v>
      </c>
      <c r="AS4424" s="2" t="s">
        <v>82</v>
      </c>
      <c r="AT4424" s="2" t="s">
        <v>13773</v>
      </c>
      <c r="AU4424" s="2"/>
      <c r="AV4424" s="2"/>
      <c r="AW4424" s="2"/>
      <c r="AX4424" s="2"/>
      <c r="AY4424" s="2">
        <v>41</v>
      </c>
      <c r="AZ4424" s="2" t="s">
        <v>82</v>
      </c>
      <c r="BA4424" s="2">
        <v>41</v>
      </c>
      <c r="BB4424" s="2" t="s">
        <v>82</v>
      </c>
      <c r="BC4424" s="2">
        <v>41</v>
      </c>
      <c r="BD4424" s="2" t="s">
        <v>82</v>
      </c>
      <c r="BE4424" s="2">
        <v>41</v>
      </c>
      <c r="BF4424" s="2" t="s">
        <v>82</v>
      </c>
      <c r="BG4424" s="2" t="s">
        <v>82</v>
      </c>
      <c r="BH4424" s="2"/>
      <c r="BI4424" s="2"/>
      <c r="BJ4424" s="2">
        <v>241</v>
      </c>
      <c r="BK4424" s="2" t="s">
        <v>82</v>
      </c>
      <c r="BL4424" s="2" t="s">
        <v>82</v>
      </c>
      <c r="BM4424" s="2">
        <v>241</v>
      </c>
      <c r="BN4424" s="2" t="s">
        <v>82</v>
      </c>
      <c r="BO4424" s="2"/>
      <c r="BP4424" s="2">
        <v>241</v>
      </c>
      <c r="BQ4424" s="2" t="s">
        <v>82</v>
      </c>
      <c r="BR4424" s="2" t="s">
        <v>82</v>
      </c>
      <c r="BS4424" s="3">
        <v>40476</v>
      </c>
      <c r="BT4424" s="4">
        <v>0.71986111111111117</v>
      </c>
    </row>
    <row r="4425" spans="1:72" x14ac:dyDescent="0.25">
      <c r="A4425" s="2">
        <v>6705</v>
      </c>
      <c r="B4425" s="2">
        <v>2010</v>
      </c>
      <c r="C4425" s="2" t="s">
        <v>72</v>
      </c>
      <c r="D4425" s="2" t="s">
        <v>73</v>
      </c>
      <c r="E4425" s="2"/>
      <c r="F4425" s="2">
        <v>3</v>
      </c>
      <c r="G4425" s="2" t="s">
        <v>1041</v>
      </c>
      <c r="H4425" s="2">
        <v>42</v>
      </c>
      <c r="I4425" s="2" t="s">
        <v>1096</v>
      </c>
      <c r="J4425" s="2">
        <v>368</v>
      </c>
      <c r="K4425" s="2" t="s">
        <v>1042</v>
      </c>
      <c r="L4425" s="2" t="s">
        <v>1043</v>
      </c>
      <c r="M4425" s="3">
        <v>40476</v>
      </c>
      <c r="N4425" s="2" t="s">
        <v>107</v>
      </c>
      <c r="O4425" s="2"/>
      <c r="P4425" s="2"/>
      <c r="Q4425" s="2" t="str">
        <f>"555-E/10"</f>
        <v>555-E/10</v>
      </c>
      <c r="R4425" s="2"/>
      <c r="S4425" s="2" t="s">
        <v>116</v>
      </c>
      <c r="T4425" s="2">
        <v>1</v>
      </c>
      <c r="U4425" s="2" t="s">
        <v>79</v>
      </c>
      <c r="V4425" s="2">
        <v>1</v>
      </c>
      <c r="W4425" s="2" t="s">
        <v>80</v>
      </c>
      <c r="X4425" s="2">
        <v>12</v>
      </c>
      <c r="Y4425" s="2" t="s">
        <v>148</v>
      </c>
      <c r="Z4425" s="2">
        <v>1</v>
      </c>
      <c r="AA4425" s="2" t="s">
        <v>82</v>
      </c>
      <c r="AB4425" s="2">
        <v>6</v>
      </c>
      <c r="AC4425" s="2" t="s">
        <v>83</v>
      </c>
      <c r="AD4425" s="3">
        <v>40476</v>
      </c>
      <c r="AE4425" s="2"/>
      <c r="AF4425" s="3">
        <v>40476</v>
      </c>
      <c r="AG4425" s="4">
        <v>0.55555555555555558</v>
      </c>
      <c r="AH4425" s="2">
        <v>2</v>
      </c>
      <c r="AI4425" s="2" t="s">
        <v>84</v>
      </c>
      <c r="AJ4425" s="2">
        <v>9</v>
      </c>
      <c r="AK4425" s="2" t="s">
        <v>103</v>
      </c>
      <c r="AL4425" s="2">
        <v>17</v>
      </c>
      <c r="AM4425" s="2" t="s">
        <v>232</v>
      </c>
      <c r="AN4425" s="2"/>
      <c r="AO4425" s="2" t="s">
        <v>13774</v>
      </c>
      <c r="AP4425" s="2">
        <v>11</v>
      </c>
      <c r="AQ4425" s="2" t="s">
        <v>82</v>
      </c>
      <c r="AR4425" s="2"/>
      <c r="AS4425" s="2"/>
      <c r="AT4425" s="2" t="s">
        <v>13775</v>
      </c>
      <c r="AU4425" s="2"/>
      <c r="AV4425" s="2"/>
      <c r="AW4425" s="2">
        <v>1</v>
      </c>
      <c r="AX4425" s="2"/>
      <c r="AY4425" s="2">
        <v>41</v>
      </c>
      <c r="AZ4425" s="2" t="s">
        <v>82</v>
      </c>
      <c r="BA4425" s="2">
        <v>41</v>
      </c>
      <c r="BB4425" s="2" t="s">
        <v>82</v>
      </c>
      <c r="BC4425" s="2">
        <v>41</v>
      </c>
      <c r="BD4425" s="2" t="s">
        <v>82</v>
      </c>
      <c r="BE4425" s="2">
        <v>41</v>
      </c>
      <c r="BF4425" s="2" t="s">
        <v>82</v>
      </c>
      <c r="BG4425" s="2"/>
      <c r="BH4425" s="2"/>
      <c r="BI4425" s="2"/>
      <c r="BJ4425" s="2">
        <v>241</v>
      </c>
      <c r="BK4425" s="2" t="s">
        <v>82</v>
      </c>
      <c r="BL4425" s="2"/>
      <c r="BM4425" s="2">
        <v>241</v>
      </c>
      <c r="BN4425" s="2" t="s">
        <v>82</v>
      </c>
      <c r="BO4425" s="2"/>
      <c r="BP4425" s="2">
        <v>241</v>
      </c>
      <c r="BQ4425" s="2" t="s">
        <v>82</v>
      </c>
      <c r="BR4425" s="2"/>
      <c r="BS4425" s="3">
        <v>40476</v>
      </c>
      <c r="BT4425" s="4">
        <v>0.77971064814814817</v>
      </c>
    </row>
    <row r="4426" spans="1:72" x14ac:dyDescent="0.25">
      <c r="A4426" s="2">
        <v>6706</v>
      </c>
      <c r="B4426" s="2">
        <v>2010</v>
      </c>
      <c r="C4426" s="2" t="s">
        <v>93</v>
      </c>
      <c r="D4426" s="2" t="s">
        <v>73</v>
      </c>
      <c r="E4426" s="2"/>
      <c r="F4426" s="2">
        <v>400</v>
      </c>
      <c r="G4426" s="2" t="s">
        <v>3601</v>
      </c>
      <c r="H4426" s="2">
        <v>17</v>
      </c>
      <c r="I4426" s="2" t="s">
        <v>3602</v>
      </c>
      <c r="J4426" s="2">
        <v>316</v>
      </c>
      <c r="K4426" s="2" t="s">
        <v>574</v>
      </c>
      <c r="L4426" s="2" t="s">
        <v>575</v>
      </c>
      <c r="M4426" s="3">
        <v>40476</v>
      </c>
      <c r="N4426" s="2" t="s">
        <v>3603</v>
      </c>
      <c r="O4426" s="2" t="s">
        <v>13776</v>
      </c>
      <c r="P4426" s="2" t="s">
        <v>13777</v>
      </c>
      <c r="Q4426" s="2" t="str">
        <f>"61/10"</f>
        <v>61/10</v>
      </c>
      <c r="R4426" s="2"/>
      <c r="S4426" s="2"/>
      <c r="T4426" s="2">
        <v>1</v>
      </c>
      <c r="U4426" s="2" t="s">
        <v>79</v>
      </c>
      <c r="V4426" s="2">
        <v>1</v>
      </c>
      <c r="W4426" s="2" t="s">
        <v>80</v>
      </c>
      <c r="X4426" s="2">
        <v>10</v>
      </c>
      <c r="Y4426" s="2" t="s">
        <v>226</v>
      </c>
      <c r="Z4426" s="2">
        <v>6</v>
      </c>
      <c r="AA4426" s="2" t="s">
        <v>101</v>
      </c>
      <c r="AB4426" s="2">
        <v>2</v>
      </c>
      <c r="AC4426" s="2" t="s">
        <v>102</v>
      </c>
      <c r="AD4426" s="3">
        <v>40476</v>
      </c>
      <c r="AE4426" s="4">
        <v>0.1388888888888889</v>
      </c>
      <c r="AF4426" s="2"/>
      <c r="AG4426" s="2"/>
      <c r="AH4426" s="2">
        <v>3</v>
      </c>
      <c r="AI4426" s="2" t="s">
        <v>214</v>
      </c>
      <c r="AJ4426" s="2">
        <v>24</v>
      </c>
      <c r="AK4426" s="2" t="s">
        <v>215</v>
      </c>
      <c r="AL4426" s="2">
        <v>25</v>
      </c>
      <c r="AM4426" s="2" t="s">
        <v>3073</v>
      </c>
      <c r="AN4426" s="2"/>
      <c r="AO4426" s="2"/>
      <c r="AP4426" s="2">
        <v>11</v>
      </c>
      <c r="AQ4426" s="2" t="s">
        <v>82</v>
      </c>
      <c r="AR4426" s="2"/>
      <c r="AS4426" s="2"/>
      <c r="AT4426" s="2" t="s">
        <v>13778</v>
      </c>
      <c r="AU4426" s="2"/>
      <c r="AV4426" s="2"/>
      <c r="AW4426" s="2"/>
      <c r="AX4426" s="2"/>
      <c r="AY4426" s="2">
        <v>41</v>
      </c>
      <c r="AZ4426" s="2" t="s">
        <v>82</v>
      </c>
      <c r="BA4426" s="2">
        <v>41</v>
      </c>
      <c r="BB4426" s="2" t="s">
        <v>82</v>
      </c>
      <c r="BC4426" s="2">
        <v>41</v>
      </c>
      <c r="BD4426" s="2" t="s">
        <v>82</v>
      </c>
      <c r="BE4426" s="2">
        <v>9</v>
      </c>
      <c r="BF4426" s="2" t="s">
        <v>966</v>
      </c>
      <c r="BG4426" s="2" t="s">
        <v>13779</v>
      </c>
      <c r="BH4426" s="4">
        <v>0.13680555555555554</v>
      </c>
      <c r="BI4426" s="4">
        <v>0.85416666666666663</v>
      </c>
      <c r="BJ4426" s="2">
        <v>170</v>
      </c>
      <c r="BK4426" s="2" t="s">
        <v>968</v>
      </c>
      <c r="BL4426" s="2" t="s">
        <v>1390</v>
      </c>
      <c r="BM4426" s="2">
        <v>13</v>
      </c>
      <c r="BN4426" s="2" t="s">
        <v>91</v>
      </c>
      <c r="BO4426" s="2"/>
      <c r="BP4426" s="2">
        <v>13</v>
      </c>
      <c r="BQ4426" s="2" t="s">
        <v>91</v>
      </c>
      <c r="BR4426" s="2" t="s">
        <v>169</v>
      </c>
      <c r="BS4426" s="3">
        <v>40476</v>
      </c>
      <c r="BT4426" s="4">
        <v>0.78167824074074066</v>
      </c>
    </row>
    <row r="4427" spans="1:72" x14ac:dyDescent="0.25">
      <c r="A4427" s="2">
        <v>6708</v>
      </c>
      <c r="B4427" s="2">
        <v>2010</v>
      </c>
      <c r="C4427" s="2" t="s">
        <v>554</v>
      </c>
      <c r="D4427" s="2" t="s">
        <v>73</v>
      </c>
      <c r="E4427" s="2"/>
      <c r="F4427" s="2">
        <v>220</v>
      </c>
      <c r="G4427" s="2" t="s">
        <v>11539</v>
      </c>
      <c r="H4427" s="2">
        <v>50</v>
      </c>
      <c r="I4427" s="2" t="s">
        <v>107</v>
      </c>
      <c r="J4427" s="2">
        <v>688</v>
      </c>
      <c r="K4427" s="2" t="s">
        <v>13441</v>
      </c>
      <c r="L4427" s="2" t="s">
        <v>2327</v>
      </c>
      <c r="M4427" s="3">
        <v>40476</v>
      </c>
      <c r="N4427" s="2" t="s">
        <v>13442</v>
      </c>
      <c r="O4427" s="2" t="s">
        <v>82</v>
      </c>
      <c r="P4427" s="2" t="s">
        <v>82</v>
      </c>
      <c r="Q4427" s="2" t="str">
        <f>"421-A/10"</f>
        <v>421-A/10</v>
      </c>
      <c r="R4427" s="2" t="s">
        <v>82</v>
      </c>
      <c r="S4427" s="2" t="s">
        <v>1130</v>
      </c>
      <c r="T4427" s="2">
        <v>1</v>
      </c>
      <c r="U4427" s="2" t="s">
        <v>79</v>
      </c>
      <c r="V4427" s="2">
        <v>1</v>
      </c>
      <c r="W4427" s="2" t="s">
        <v>80</v>
      </c>
      <c r="X4427" s="2">
        <v>12</v>
      </c>
      <c r="Y4427" s="2" t="s">
        <v>148</v>
      </c>
      <c r="Z4427" s="2">
        <v>1</v>
      </c>
      <c r="AA4427" s="2" t="s">
        <v>82</v>
      </c>
      <c r="AB4427" s="2">
        <v>5</v>
      </c>
      <c r="AC4427" s="2" t="s">
        <v>559</v>
      </c>
      <c r="AD4427" s="3">
        <v>40475</v>
      </c>
      <c r="AE4427" s="2"/>
      <c r="AF4427" s="3">
        <v>40476</v>
      </c>
      <c r="AG4427" s="4">
        <v>0.5625</v>
      </c>
      <c r="AH4427" s="2">
        <v>2</v>
      </c>
      <c r="AI4427" s="2" t="s">
        <v>84</v>
      </c>
      <c r="AJ4427" s="2">
        <v>12</v>
      </c>
      <c r="AK4427" s="2" t="s">
        <v>85</v>
      </c>
      <c r="AL4427" s="2">
        <v>12</v>
      </c>
      <c r="AM4427" s="2" t="s">
        <v>86</v>
      </c>
      <c r="AN4427" s="2" t="s">
        <v>1945</v>
      </c>
      <c r="AO4427" s="2" t="s">
        <v>5365</v>
      </c>
      <c r="AP4427" s="2">
        <v>11</v>
      </c>
      <c r="AQ4427" s="2" t="s">
        <v>82</v>
      </c>
      <c r="AR4427" s="2" t="s">
        <v>82</v>
      </c>
      <c r="AS4427" s="2" t="s">
        <v>82</v>
      </c>
      <c r="AT4427" s="2" t="s">
        <v>13780</v>
      </c>
      <c r="AU4427" s="2"/>
      <c r="AV4427" s="2"/>
      <c r="AW4427" s="2"/>
      <c r="AX4427" s="2"/>
      <c r="AY4427" s="2">
        <v>41</v>
      </c>
      <c r="AZ4427" s="2" t="s">
        <v>82</v>
      </c>
      <c r="BA4427" s="2">
        <v>41</v>
      </c>
      <c r="BB4427" s="2" t="s">
        <v>82</v>
      </c>
      <c r="BC4427" s="2">
        <v>41</v>
      </c>
      <c r="BD4427" s="2" t="s">
        <v>82</v>
      </c>
      <c r="BE4427" s="2">
        <v>41</v>
      </c>
      <c r="BF4427" s="2" t="s">
        <v>82</v>
      </c>
      <c r="BG4427" s="2"/>
      <c r="BH4427" s="2"/>
      <c r="BI4427" s="2"/>
      <c r="BJ4427" s="2">
        <v>241</v>
      </c>
      <c r="BK4427" s="2" t="s">
        <v>82</v>
      </c>
      <c r="BL4427" s="2" t="s">
        <v>82</v>
      </c>
      <c r="BM4427" s="2">
        <v>241</v>
      </c>
      <c r="BN4427" s="2" t="s">
        <v>82</v>
      </c>
      <c r="BO4427" s="2"/>
      <c r="BP4427" s="2">
        <v>241</v>
      </c>
      <c r="BQ4427" s="2" t="s">
        <v>82</v>
      </c>
      <c r="BR4427" s="2" t="s">
        <v>82</v>
      </c>
      <c r="BS4427" s="3">
        <v>40476</v>
      </c>
      <c r="BT4427" s="4">
        <v>0.82174768518518526</v>
      </c>
    </row>
    <row r="4428" spans="1:72" x14ac:dyDescent="0.25">
      <c r="A4428" s="2">
        <v>6709</v>
      </c>
      <c r="B4428" s="2">
        <v>2010</v>
      </c>
      <c r="C4428" s="2" t="s">
        <v>72</v>
      </c>
      <c r="D4428" s="2" t="s">
        <v>73</v>
      </c>
      <c r="E4428" s="2"/>
      <c r="F4428" s="2">
        <v>220</v>
      </c>
      <c r="G4428" s="2" t="s">
        <v>11539</v>
      </c>
      <c r="H4428" s="2">
        <v>42</v>
      </c>
      <c r="I4428" s="2" t="s">
        <v>1096</v>
      </c>
      <c r="J4428" s="2">
        <v>688</v>
      </c>
      <c r="K4428" s="2" t="s">
        <v>13441</v>
      </c>
      <c r="L4428" s="2" t="s">
        <v>2327</v>
      </c>
      <c r="M4428" s="3">
        <v>40476</v>
      </c>
      <c r="N4428" s="2" t="s">
        <v>13442</v>
      </c>
      <c r="O4428" s="2" t="s">
        <v>82</v>
      </c>
      <c r="P4428" s="2" t="s">
        <v>82</v>
      </c>
      <c r="Q4428" s="2" t="str">
        <f>"422-A/10"</f>
        <v>422-A/10</v>
      </c>
      <c r="R4428" s="2" t="s">
        <v>206</v>
      </c>
      <c r="S4428" s="2" t="s">
        <v>206</v>
      </c>
      <c r="T4428" s="2">
        <v>1</v>
      </c>
      <c r="U4428" s="2" t="s">
        <v>79</v>
      </c>
      <c r="V4428" s="2">
        <v>1</v>
      </c>
      <c r="W4428" s="2" t="s">
        <v>80</v>
      </c>
      <c r="X4428" s="2">
        <v>1</v>
      </c>
      <c r="Y4428" s="2" t="s">
        <v>81</v>
      </c>
      <c r="Z4428" s="2">
        <v>1</v>
      </c>
      <c r="AA4428" s="2" t="s">
        <v>82</v>
      </c>
      <c r="AB4428" s="2">
        <v>6</v>
      </c>
      <c r="AC4428" s="2" t="s">
        <v>83</v>
      </c>
      <c r="AD4428" s="3">
        <v>40476</v>
      </c>
      <c r="AE4428" s="2"/>
      <c r="AF4428" s="3">
        <v>40476</v>
      </c>
      <c r="AG4428" s="4">
        <v>0.625</v>
      </c>
      <c r="AH4428" s="2">
        <v>2</v>
      </c>
      <c r="AI4428" s="2" t="s">
        <v>84</v>
      </c>
      <c r="AJ4428" s="2">
        <v>12</v>
      </c>
      <c r="AK4428" s="2" t="s">
        <v>85</v>
      </c>
      <c r="AL4428" s="2">
        <v>22</v>
      </c>
      <c r="AM4428" s="2" t="s">
        <v>1853</v>
      </c>
      <c r="AN4428" s="2" t="s">
        <v>107</v>
      </c>
      <c r="AO4428" s="2" t="s">
        <v>107</v>
      </c>
      <c r="AP4428" s="2">
        <v>11</v>
      </c>
      <c r="AQ4428" s="2" t="s">
        <v>82</v>
      </c>
      <c r="AR4428" s="2" t="s">
        <v>82</v>
      </c>
      <c r="AS4428" s="2" t="s">
        <v>82</v>
      </c>
      <c r="AT4428" s="2" t="s">
        <v>13781</v>
      </c>
      <c r="AU4428" s="2"/>
      <c r="AV4428" s="2"/>
      <c r="AW4428" s="2"/>
      <c r="AX4428" s="2"/>
      <c r="AY4428" s="2">
        <v>41</v>
      </c>
      <c r="AZ4428" s="2" t="s">
        <v>82</v>
      </c>
      <c r="BA4428" s="2">
        <v>4</v>
      </c>
      <c r="BB4428" s="2" t="s">
        <v>90</v>
      </c>
      <c r="BC4428" s="2">
        <v>41</v>
      </c>
      <c r="BD4428" s="2" t="s">
        <v>82</v>
      </c>
      <c r="BE4428" s="2">
        <v>4</v>
      </c>
      <c r="BF4428" s="2" t="s">
        <v>90</v>
      </c>
      <c r="BG4428" s="2" t="s">
        <v>11345</v>
      </c>
      <c r="BH4428" s="2"/>
      <c r="BI4428" s="2"/>
      <c r="BJ4428" s="2">
        <v>13</v>
      </c>
      <c r="BK4428" s="2" t="s">
        <v>91</v>
      </c>
      <c r="BL4428" s="2" t="s">
        <v>92</v>
      </c>
      <c r="BM4428" s="2">
        <v>13</v>
      </c>
      <c r="BN4428" s="2" t="s">
        <v>91</v>
      </c>
      <c r="BO4428" s="2"/>
      <c r="BP4428" s="2">
        <v>13</v>
      </c>
      <c r="BQ4428" s="2" t="s">
        <v>91</v>
      </c>
      <c r="BR4428" s="2" t="s">
        <v>564</v>
      </c>
      <c r="BS4428" s="3">
        <v>40476</v>
      </c>
      <c r="BT4428" s="4">
        <v>0.84993055555555552</v>
      </c>
    </row>
    <row r="4429" spans="1:72" x14ac:dyDescent="0.25">
      <c r="A4429" s="2">
        <v>6711</v>
      </c>
      <c r="B4429" s="2">
        <v>2010</v>
      </c>
      <c r="C4429" s="2" t="s">
        <v>72</v>
      </c>
      <c r="D4429" s="2" t="s">
        <v>73</v>
      </c>
      <c r="E4429" s="2"/>
      <c r="F4429" s="2">
        <v>685</v>
      </c>
      <c r="G4429" s="2" t="s">
        <v>12932</v>
      </c>
      <c r="H4429" s="2">
        <v>42</v>
      </c>
      <c r="I4429" s="2" t="s">
        <v>1096</v>
      </c>
      <c r="J4429" s="2">
        <v>674</v>
      </c>
      <c r="K4429" s="2" t="s">
        <v>12821</v>
      </c>
      <c r="L4429" s="2" t="s">
        <v>12822</v>
      </c>
      <c r="M4429" s="3">
        <v>40476</v>
      </c>
      <c r="N4429" s="2" t="s">
        <v>12823</v>
      </c>
      <c r="O4429" s="2" t="s">
        <v>82</v>
      </c>
      <c r="P4429" s="2" t="s">
        <v>82</v>
      </c>
      <c r="Q4429" s="2" t="str">
        <f>"423-A/10"</f>
        <v>423-A/10</v>
      </c>
      <c r="R4429" s="2" t="s">
        <v>78</v>
      </c>
      <c r="S4429" s="2" t="s">
        <v>78</v>
      </c>
      <c r="T4429" s="2">
        <v>1</v>
      </c>
      <c r="U4429" s="2" t="s">
        <v>79</v>
      </c>
      <c r="V4429" s="2">
        <v>1</v>
      </c>
      <c r="W4429" s="2" t="s">
        <v>80</v>
      </c>
      <c r="X4429" s="2">
        <v>12</v>
      </c>
      <c r="Y4429" s="2" t="s">
        <v>148</v>
      </c>
      <c r="Z4429" s="2">
        <v>1</v>
      </c>
      <c r="AA4429" s="2" t="s">
        <v>82</v>
      </c>
      <c r="AB4429" s="2">
        <v>6</v>
      </c>
      <c r="AC4429" s="2" t="s">
        <v>83</v>
      </c>
      <c r="AD4429" s="3">
        <v>40473</v>
      </c>
      <c r="AE4429" s="2"/>
      <c r="AF4429" s="3">
        <v>40476</v>
      </c>
      <c r="AG4429" s="4">
        <v>0.65277777777777779</v>
      </c>
      <c r="AH4429" s="2">
        <v>2</v>
      </c>
      <c r="AI4429" s="2" t="s">
        <v>84</v>
      </c>
      <c r="AJ4429" s="2">
        <v>12</v>
      </c>
      <c r="AK4429" s="2" t="s">
        <v>85</v>
      </c>
      <c r="AL4429" s="2">
        <v>12</v>
      </c>
      <c r="AM4429" s="2" t="s">
        <v>86</v>
      </c>
      <c r="AN4429" s="2" t="s">
        <v>82</v>
      </c>
      <c r="AO4429" s="2" t="s">
        <v>13782</v>
      </c>
      <c r="AP4429" s="2">
        <v>11</v>
      </c>
      <c r="AQ4429" s="2" t="s">
        <v>82</v>
      </c>
      <c r="AR4429" s="2"/>
      <c r="AS4429" s="2"/>
      <c r="AT4429" s="2" t="s">
        <v>13783</v>
      </c>
      <c r="AU4429" s="2"/>
      <c r="AV4429" s="2"/>
      <c r="AW4429" s="2"/>
      <c r="AX4429" s="2"/>
      <c r="AY4429" s="2">
        <v>41</v>
      </c>
      <c r="AZ4429" s="2" t="s">
        <v>82</v>
      </c>
      <c r="BA4429" s="2">
        <v>41</v>
      </c>
      <c r="BB4429" s="2" t="s">
        <v>82</v>
      </c>
      <c r="BC4429" s="2">
        <v>41</v>
      </c>
      <c r="BD4429" s="2" t="s">
        <v>82</v>
      </c>
      <c r="BE4429" s="2">
        <v>41</v>
      </c>
      <c r="BF4429" s="2" t="s">
        <v>82</v>
      </c>
      <c r="BG4429" s="2"/>
      <c r="BH4429" s="2"/>
      <c r="BI4429" s="2"/>
      <c r="BJ4429" s="2">
        <v>241</v>
      </c>
      <c r="BK4429" s="2" t="s">
        <v>82</v>
      </c>
      <c r="BL4429" s="2"/>
      <c r="BM4429" s="2">
        <v>241</v>
      </c>
      <c r="BN4429" s="2" t="s">
        <v>82</v>
      </c>
      <c r="BO4429" s="2"/>
      <c r="BP4429" s="2">
        <v>241</v>
      </c>
      <c r="BQ4429" s="2" t="s">
        <v>82</v>
      </c>
      <c r="BR4429" s="2"/>
      <c r="BS4429" s="3">
        <v>40476</v>
      </c>
      <c r="BT4429" s="4">
        <v>0.94416666666666671</v>
      </c>
    </row>
    <row r="4430" spans="1:72" x14ac:dyDescent="0.25">
      <c r="A4430" s="2">
        <v>6712</v>
      </c>
      <c r="B4430" s="2">
        <v>2010</v>
      </c>
      <c r="C4430" s="2" t="s">
        <v>171</v>
      </c>
      <c r="D4430" s="2" t="s">
        <v>73</v>
      </c>
      <c r="E4430" s="2"/>
      <c r="F4430" s="2">
        <v>405</v>
      </c>
      <c r="G4430" s="2" t="s">
        <v>13478</v>
      </c>
      <c r="H4430" s="2">
        <v>10</v>
      </c>
      <c r="I4430" s="2" t="s">
        <v>1031</v>
      </c>
      <c r="J4430" s="2">
        <v>377</v>
      </c>
      <c r="K4430" s="2" t="s">
        <v>1223</v>
      </c>
      <c r="L4430" s="2" t="s">
        <v>1224</v>
      </c>
      <c r="M4430" s="3">
        <v>40477</v>
      </c>
      <c r="N4430" s="2" t="s">
        <v>2873</v>
      </c>
      <c r="O4430" s="2" t="s">
        <v>107</v>
      </c>
      <c r="P4430" s="2" t="s">
        <v>107</v>
      </c>
      <c r="Q4430" s="2" t="str">
        <f>"556-E10"</f>
        <v>556-E10</v>
      </c>
      <c r="R4430" s="2" t="s">
        <v>391</v>
      </c>
      <c r="S4430" s="2" t="s">
        <v>391</v>
      </c>
      <c r="T4430" s="2">
        <v>1</v>
      </c>
      <c r="U4430" s="2" t="s">
        <v>79</v>
      </c>
      <c r="V4430" s="2">
        <v>1</v>
      </c>
      <c r="W4430" s="2" t="s">
        <v>80</v>
      </c>
      <c r="X4430" s="2">
        <v>1</v>
      </c>
      <c r="Y4430" s="2" t="s">
        <v>81</v>
      </c>
      <c r="Z4430" s="2">
        <v>1</v>
      </c>
      <c r="AA4430" s="2" t="s">
        <v>82</v>
      </c>
      <c r="AB4430" s="2">
        <v>1</v>
      </c>
      <c r="AC4430" s="2" t="s">
        <v>178</v>
      </c>
      <c r="AD4430" s="3">
        <v>40476</v>
      </c>
      <c r="AE4430" s="4">
        <v>0.79166666666666663</v>
      </c>
      <c r="AF4430" s="3">
        <v>40476</v>
      </c>
      <c r="AG4430" s="4">
        <v>0.99305555555555547</v>
      </c>
      <c r="AH4430" s="2">
        <v>2</v>
      </c>
      <c r="AI4430" s="2" t="s">
        <v>84</v>
      </c>
      <c r="AJ4430" s="2">
        <v>9</v>
      </c>
      <c r="AK4430" s="2" t="s">
        <v>103</v>
      </c>
      <c r="AL4430" s="2">
        <v>25</v>
      </c>
      <c r="AM4430" s="2" t="s">
        <v>3073</v>
      </c>
      <c r="AN4430" s="2" t="s">
        <v>179</v>
      </c>
      <c r="AO4430" s="2" t="s">
        <v>987</v>
      </c>
      <c r="AP4430" s="2">
        <v>11</v>
      </c>
      <c r="AQ4430" s="2" t="s">
        <v>82</v>
      </c>
      <c r="AR4430" s="2"/>
      <c r="AS4430" s="2"/>
      <c r="AT4430" s="2" t="s">
        <v>13784</v>
      </c>
      <c r="AU4430" s="2"/>
      <c r="AV4430" s="2">
        <v>1</v>
      </c>
      <c r="AW4430" s="2"/>
      <c r="AX4430" s="2"/>
      <c r="AY4430" s="2">
        <v>41</v>
      </c>
      <c r="AZ4430" s="2" t="s">
        <v>82</v>
      </c>
      <c r="BA4430" s="2">
        <v>41</v>
      </c>
      <c r="BB4430" s="2" t="s">
        <v>82</v>
      </c>
      <c r="BC4430" s="2">
        <v>41</v>
      </c>
      <c r="BD4430" s="2" t="s">
        <v>82</v>
      </c>
      <c r="BE4430" s="2">
        <v>31</v>
      </c>
      <c r="BF4430" s="2" t="s">
        <v>398</v>
      </c>
      <c r="BG4430" s="2" t="s">
        <v>722</v>
      </c>
      <c r="BH4430" s="2"/>
      <c r="BI4430" s="4">
        <v>0.90972222222222221</v>
      </c>
      <c r="BJ4430" s="2">
        <v>13</v>
      </c>
      <c r="BK4430" s="2" t="s">
        <v>91</v>
      </c>
      <c r="BL4430" s="2" t="s">
        <v>360</v>
      </c>
      <c r="BM4430" s="2">
        <v>73</v>
      </c>
      <c r="BN4430" s="2" t="s">
        <v>186</v>
      </c>
      <c r="BO4430" s="2"/>
      <c r="BP4430" s="2">
        <v>73</v>
      </c>
      <c r="BQ4430" s="2" t="s">
        <v>186</v>
      </c>
      <c r="BR4430" s="2" t="s">
        <v>187</v>
      </c>
      <c r="BS4430" s="3">
        <v>40477</v>
      </c>
      <c r="BT4430" s="4">
        <v>0.29349537037037038</v>
      </c>
    </row>
    <row r="4431" spans="1:72" x14ac:dyDescent="0.25">
      <c r="A4431" s="2">
        <v>6723</v>
      </c>
      <c r="B4431" s="2">
        <v>2010</v>
      </c>
      <c r="C4431" s="2" t="s">
        <v>457</v>
      </c>
      <c r="D4431" s="2" t="s">
        <v>73</v>
      </c>
      <c r="E4431" s="2"/>
      <c r="F4431" s="2">
        <v>35</v>
      </c>
      <c r="G4431" s="2" t="s">
        <v>2057</v>
      </c>
      <c r="H4431" s="2">
        <v>55</v>
      </c>
      <c r="I4431" s="2" t="s">
        <v>2058</v>
      </c>
      <c r="J4431" s="2">
        <v>43</v>
      </c>
      <c r="K4431" s="2" t="s">
        <v>2059</v>
      </c>
      <c r="L4431" s="2" t="s">
        <v>2060</v>
      </c>
      <c r="M4431" s="3">
        <v>40477</v>
      </c>
      <c r="N4431" s="2"/>
      <c r="O4431" s="2" t="s">
        <v>13785</v>
      </c>
      <c r="P4431" s="2" t="s">
        <v>13786</v>
      </c>
      <c r="Q4431" s="2" t="str">
        <f>""</f>
        <v/>
      </c>
      <c r="R4431" s="2"/>
      <c r="S4431" s="2"/>
      <c r="T4431" s="2">
        <v>1</v>
      </c>
      <c r="U4431" s="2" t="s">
        <v>79</v>
      </c>
      <c r="V4431" s="2">
        <v>1</v>
      </c>
      <c r="W4431" s="2" t="s">
        <v>80</v>
      </c>
      <c r="X4431" s="2">
        <v>4</v>
      </c>
      <c r="Y4431" s="2" t="s">
        <v>463</v>
      </c>
      <c r="Z4431" s="2">
        <v>7</v>
      </c>
      <c r="AA4431" s="2" t="s">
        <v>1462</v>
      </c>
      <c r="AB4431" s="2">
        <v>9</v>
      </c>
      <c r="AC4431" s="2" t="s">
        <v>124</v>
      </c>
      <c r="AD4431" s="3">
        <v>40477</v>
      </c>
      <c r="AE4431" s="4">
        <v>0.39583333333333331</v>
      </c>
      <c r="AF4431" s="2"/>
      <c r="AG4431" s="2"/>
      <c r="AH4431" s="2">
        <v>3</v>
      </c>
      <c r="AI4431" s="2" t="s">
        <v>214</v>
      </c>
      <c r="AJ4431" s="2">
        <v>17</v>
      </c>
      <c r="AK4431" s="2" t="s">
        <v>309</v>
      </c>
      <c r="AL4431" s="2">
        <v>10</v>
      </c>
      <c r="AM4431" s="2" t="s">
        <v>200</v>
      </c>
      <c r="AN4431" s="2" t="s">
        <v>230</v>
      </c>
      <c r="AO4431" s="2" t="s">
        <v>13787</v>
      </c>
      <c r="AP4431" s="2">
        <v>11</v>
      </c>
      <c r="AQ4431" s="2" t="s">
        <v>82</v>
      </c>
      <c r="AR4431" s="2"/>
      <c r="AS4431" s="2"/>
      <c r="AT4431" s="2" t="s">
        <v>13788</v>
      </c>
      <c r="AU4431" s="2">
        <v>1</v>
      </c>
      <c r="AV4431" s="2"/>
      <c r="AW4431" s="2"/>
      <c r="AX4431" s="2"/>
      <c r="AY4431" s="2">
        <v>41</v>
      </c>
      <c r="AZ4431" s="2" t="s">
        <v>82</v>
      </c>
      <c r="BA4431" s="2">
        <v>41</v>
      </c>
      <c r="BB4431" s="2" t="s">
        <v>82</v>
      </c>
      <c r="BC4431" s="2">
        <v>41</v>
      </c>
      <c r="BD4431" s="2" t="s">
        <v>82</v>
      </c>
      <c r="BE4431" s="2">
        <v>47</v>
      </c>
      <c r="BF4431" s="2" t="s">
        <v>167</v>
      </c>
      <c r="BG4431" s="2" t="s">
        <v>10579</v>
      </c>
      <c r="BH4431" s="4">
        <v>0.50694444444444442</v>
      </c>
      <c r="BI4431" s="4">
        <v>0.52777777777777779</v>
      </c>
      <c r="BJ4431" s="2">
        <v>13</v>
      </c>
      <c r="BK4431" s="2" t="s">
        <v>91</v>
      </c>
      <c r="BL4431" s="2" t="s">
        <v>445</v>
      </c>
      <c r="BM4431" s="2">
        <v>13</v>
      </c>
      <c r="BN4431" s="2" t="s">
        <v>91</v>
      </c>
      <c r="BO4431" s="2"/>
      <c r="BP4431" s="2">
        <v>13</v>
      </c>
      <c r="BQ4431" s="2" t="s">
        <v>91</v>
      </c>
      <c r="BR4431" s="2" t="s">
        <v>9724</v>
      </c>
      <c r="BS4431" s="3">
        <v>40477</v>
      </c>
      <c r="BT4431" s="4">
        <v>0.61958333333333326</v>
      </c>
    </row>
    <row r="4432" spans="1:72" x14ac:dyDescent="0.25">
      <c r="A4432" s="2">
        <v>6730</v>
      </c>
      <c r="B4432" s="2">
        <v>2010</v>
      </c>
      <c r="C4432" s="2" t="s">
        <v>72</v>
      </c>
      <c r="D4432" s="2" t="s">
        <v>73</v>
      </c>
      <c r="E4432" s="2"/>
      <c r="F4432" s="2">
        <v>389</v>
      </c>
      <c r="G4432" s="2" t="s">
        <v>1819</v>
      </c>
      <c r="H4432" s="2">
        <v>3</v>
      </c>
      <c r="I4432" s="2" t="s">
        <v>315</v>
      </c>
      <c r="J4432" s="2">
        <v>399</v>
      </c>
      <c r="K4432" s="2" t="s">
        <v>1820</v>
      </c>
      <c r="L4432" s="2" t="s">
        <v>1821</v>
      </c>
      <c r="M4432" s="3">
        <v>40477</v>
      </c>
      <c r="N4432" s="2" t="s">
        <v>4976</v>
      </c>
      <c r="O4432" s="2"/>
      <c r="P4432" s="2"/>
      <c r="Q4432" s="2" t="str">
        <f>"557-E/10"</f>
        <v>557-E/10</v>
      </c>
      <c r="R4432" s="2" t="s">
        <v>601</v>
      </c>
      <c r="S4432" s="2" t="s">
        <v>601</v>
      </c>
      <c r="T4432" s="2">
        <v>1</v>
      </c>
      <c r="U4432" s="2" t="s">
        <v>79</v>
      </c>
      <c r="V4432" s="2">
        <v>1</v>
      </c>
      <c r="W4432" s="2" t="s">
        <v>80</v>
      </c>
      <c r="X4432" s="2">
        <v>12</v>
      </c>
      <c r="Y4432" s="2" t="s">
        <v>148</v>
      </c>
      <c r="Z4432" s="2">
        <v>1</v>
      </c>
      <c r="AA4432" s="2" t="s">
        <v>82</v>
      </c>
      <c r="AB4432" s="2">
        <v>6</v>
      </c>
      <c r="AC4432" s="2" t="s">
        <v>83</v>
      </c>
      <c r="AD4432" s="3">
        <v>40405</v>
      </c>
      <c r="AE4432" s="2"/>
      <c r="AF4432" s="3">
        <v>40477</v>
      </c>
      <c r="AG4432" s="4">
        <v>0.4861111111111111</v>
      </c>
      <c r="AH4432" s="2">
        <v>2</v>
      </c>
      <c r="AI4432" s="2" t="s">
        <v>84</v>
      </c>
      <c r="AJ4432" s="2">
        <v>9</v>
      </c>
      <c r="AK4432" s="2" t="s">
        <v>103</v>
      </c>
      <c r="AL4432" s="2">
        <v>22</v>
      </c>
      <c r="AM4432" s="2" t="s">
        <v>1853</v>
      </c>
      <c r="AN4432" s="2" t="s">
        <v>987</v>
      </c>
      <c r="AO4432" s="2" t="s">
        <v>13789</v>
      </c>
      <c r="AP4432" s="2">
        <v>11</v>
      </c>
      <c r="AQ4432" s="2" t="s">
        <v>82</v>
      </c>
      <c r="AR4432" s="2"/>
      <c r="AS4432" s="2"/>
      <c r="AT4432" s="2" t="s">
        <v>13790</v>
      </c>
      <c r="AU4432" s="2"/>
      <c r="AV4432" s="2"/>
      <c r="AW4432" s="2"/>
      <c r="AX4432" s="2"/>
      <c r="AY4432" s="2">
        <v>41</v>
      </c>
      <c r="AZ4432" s="2" t="s">
        <v>82</v>
      </c>
      <c r="BA4432" s="2">
        <v>41</v>
      </c>
      <c r="BB4432" s="2" t="s">
        <v>82</v>
      </c>
      <c r="BC4432" s="2">
        <v>41</v>
      </c>
      <c r="BD4432" s="2" t="s">
        <v>82</v>
      </c>
      <c r="BE4432" s="2">
        <v>31</v>
      </c>
      <c r="BF4432" s="2" t="s">
        <v>398</v>
      </c>
      <c r="BG4432" s="2" t="s">
        <v>1430</v>
      </c>
      <c r="BH4432" s="4">
        <v>0.33333333333333331</v>
      </c>
      <c r="BI4432" s="4">
        <v>0.73611111111111116</v>
      </c>
      <c r="BJ4432" s="2">
        <v>73</v>
      </c>
      <c r="BK4432" s="2" t="s">
        <v>186</v>
      </c>
      <c r="BL4432" s="2" t="s">
        <v>187</v>
      </c>
      <c r="BM4432" s="2">
        <v>13</v>
      </c>
      <c r="BN4432" s="2" t="s">
        <v>91</v>
      </c>
      <c r="BO4432" s="2"/>
      <c r="BP4432" s="2">
        <v>13</v>
      </c>
      <c r="BQ4432" s="2" t="s">
        <v>91</v>
      </c>
      <c r="BR4432" s="2" t="s">
        <v>360</v>
      </c>
      <c r="BS4432" s="3">
        <v>40477</v>
      </c>
      <c r="BT4432" s="4">
        <v>0.7400000000000001</v>
      </c>
    </row>
    <row r="4433" spans="1:72" x14ac:dyDescent="0.25">
      <c r="A4433" s="2">
        <v>6731</v>
      </c>
      <c r="B4433" s="2">
        <v>2010</v>
      </c>
      <c r="C4433" s="2" t="s">
        <v>554</v>
      </c>
      <c r="D4433" s="2" t="s">
        <v>73</v>
      </c>
      <c r="E4433" s="2"/>
      <c r="F4433" s="2">
        <v>100</v>
      </c>
      <c r="G4433" s="2" t="s">
        <v>517</v>
      </c>
      <c r="H4433" s="2">
        <v>47</v>
      </c>
      <c r="I4433" s="2" t="s">
        <v>1409</v>
      </c>
      <c r="J4433" s="2">
        <v>119</v>
      </c>
      <c r="K4433" s="2" t="s">
        <v>325</v>
      </c>
      <c r="L4433" s="2" t="s">
        <v>326</v>
      </c>
      <c r="M4433" s="3">
        <v>40477</v>
      </c>
      <c r="N4433" s="2" t="s">
        <v>327</v>
      </c>
      <c r="O4433" s="2" t="s">
        <v>9024</v>
      </c>
      <c r="P4433" s="2" t="s">
        <v>5105</v>
      </c>
      <c r="Q4433" s="2" t="str">
        <f>""</f>
        <v/>
      </c>
      <c r="R4433" s="2"/>
      <c r="S4433" s="2"/>
      <c r="T4433" s="2">
        <v>1</v>
      </c>
      <c r="U4433" s="2" t="s">
        <v>79</v>
      </c>
      <c r="V4433" s="2">
        <v>1</v>
      </c>
      <c r="W4433" s="2" t="s">
        <v>80</v>
      </c>
      <c r="X4433" s="2">
        <v>8</v>
      </c>
      <c r="Y4433" s="2" t="s">
        <v>375</v>
      </c>
      <c r="Z4433" s="2">
        <v>1</v>
      </c>
      <c r="AA4433" s="2" t="s">
        <v>82</v>
      </c>
      <c r="AB4433" s="2">
        <v>5</v>
      </c>
      <c r="AC4433" s="2" t="s">
        <v>559</v>
      </c>
      <c r="AD4433" s="3">
        <v>40477</v>
      </c>
      <c r="AE4433" s="4">
        <v>0.46527777777777773</v>
      </c>
      <c r="AF4433" s="2"/>
      <c r="AG4433" s="2"/>
      <c r="AH4433" s="2">
        <v>6</v>
      </c>
      <c r="AI4433" s="2" t="s">
        <v>197</v>
      </c>
      <c r="AJ4433" s="2">
        <v>47</v>
      </c>
      <c r="AK4433" s="2" t="s">
        <v>250</v>
      </c>
      <c r="AL4433" s="2">
        <v>23</v>
      </c>
      <c r="AM4433" s="2" t="s">
        <v>251</v>
      </c>
      <c r="AN4433" s="2" t="s">
        <v>13791</v>
      </c>
      <c r="AO4433" s="2" t="s">
        <v>13762</v>
      </c>
      <c r="AP4433" s="2">
        <v>11</v>
      </c>
      <c r="AQ4433" s="2" t="s">
        <v>82</v>
      </c>
      <c r="AR4433" s="2"/>
      <c r="AS4433" s="2"/>
      <c r="AT4433" s="2" t="s">
        <v>13792</v>
      </c>
      <c r="AU4433" s="2"/>
      <c r="AV4433" s="2"/>
      <c r="AW4433" s="2"/>
      <c r="AX4433" s="2"/>
      <c r="AY4433" s="2">
        <v>41</v>
      </c>
      <c r="AZ4433" s="2" t="s">
        <v>82</v>
      </c>
      <c r="BA4433" s="2">
        <v>41</v>
      </c>
      <c r="BB4433" s="2" t="s">
        <v>82</v>
      </c>
      <c r="BC4433" s="2">
        <v>41</v>
      </c>
      <c r="BD4433" s="2" t="s">
        <v>82</v>
      </c>
      <c r="BE4433" s="2">
        <v>41</v>
      </c>
      <c r="BF4433" s="2" t="s">
        <v>82</v>
      </c>
      <c r="BG4433" s="2"/>
      <c r="BH4433" s="2"/>
      <c r="BI4433" s="2"/>
      <c r="BJ4433" s="2">
        <v>241</v>
      </c>
      <c r="BK4433" s="2" t="s">
        <v>82</v>
      </c>
      <c r="BL4433" s="2"/>
      <c r="BM4433" s="2">
        <v>241</v>
      </c>
      <c r="BN4433" s="2" t="s">
        <v>82</v>
      </c>
      <c r="BO4433" s="2"/>
      <c r="BP4433" s="2">
        <v>241</v>
      </c>
      <c r="BQ4433" s="2" t="s">
        <v>82</v>
      </c>
      <c r="BR4433" s="2"/>
      <c r="BS4433" s="3">
        <v>40477</v>
      </c>
      <c r="BT4433" s="4">
        <v>0.75856481481481486</v>
      </c>
    </row>
    <row r="4434" spans="1:72" x14ac:dyDescent="0.25">
      <c r="A4434" s="2">
        <v>6732</v>
      </c>
      <c r="B4434" s="2">
        <v>2010</v>
      </c>
      <c r="C4434" s="2" t="s">
        <v>385</v>
      </c>
      <c r="D4434" s="2" t="s">
        <v>122</v>
      </c>
      <c r="E4434" s="2"/>
      <c r="F4434" s="2">
        <v>591</v>
      </c>
      <c r="G4434" s="2" t="s">
        <v>5658</v>
      </c>
      <c r="H4434" s="2">
        <v>93</v>
      </c>
      <c r="I4434" s="2" t="s">
        <v>5659</v>
      </c>
      <c r="J4434" s="2">
        <v>33</v>
      </c>
      <c r="K4434" s="2" t="s">
        <v>2178</v>
      </c>
      <c r="L4434" s="2" t="s">
        <v>1877</v>
      </c>
      <c r="M4434" s="3">
        <v>40477</v>
      </c>
      <c r="N4434" s="2" t="s">
        <v>13793</v>
      </c>
      <c r="O4434" s="2" t="s">
        <v>13794</v>
      </c>
      <c r="P4434" s="2">
        <v>5385</v>
      </c>
      <c r="Q4434" s="2" t="str">
        <f>""</f>
        <v/>
      </c>
      <c r="R4434" s="2"/>
      <c r="S4434" s="2"/>
      <c r="T4434" s="2">
        <v>1</v>
      </c>
      <c r="U4434" s="2" t="s">
        <v>79</v>
      </c>
      <c r="V4434" s="2">
        <v>1</v>
      </c>
      <c r="W4434" s="2" t="s">
        <v>80</v>
      </c>
      <c r="X4434" s="2">
        <v>11</v>
      </c>
      <c r="Y4434" s="2" t="s">
        <v>1920</v>
      </c>
      <c r="Z4434" s="2">
        <v>10</v>
      </c>
      <c r="AA4434" s="2" t="s">
        <v>236</v>
      </c>
      <c r="AB4434" s="2">
        <v>9</v>
      </c>
      <c r="AC4434" s="2" t="s">
        <v>124</v>
      </c>
      <c r="AD4434" s="3">
        <v>40477</v>
      </c>
      <c r="AE4434" s="4">
        <v>0.5</v>
      </c>
      <c r="AF4434" s="2"/>
      <c r="AG4434" s="2"/>
      <c r="AH4434" s="2">
        <v>2</v>
      </c>
      <c r="AI4434" s="2" t="s">
        <v>84</v>
      </c>
      <c r="AJ4434" s="2">
        <v>6</v>
      </c>
      <c r="AK4434" s="2" t="s">
        <v>453</v>
      </c>
      <c r="AL4434" s="2">
        <v>23</v>
      </c>
      <c r="AM4434" s="2" t="s">
        <v>251</v>
      </c>
      <c r="AN4434" s="2" t="s">
        <v>13795</v>
      </c>
      <c r="AO4434" s="2" t="s">
        <v>584</v>
      </c>
      <c r="AP4434" s="2">
        <v>11</v>
      </c>
      <c r="AQ4434" s="2" t="s">
        <v>82</v>
      </c>
      <c r="AR4434" s="2"/>
      <c r="AS4434" s="2"/>
      <c r="AT4434" s="2" t="s">
        <v>13796</v>
      </c>
      <c r="AU4434" s="2">
        <v>1</v>
      </c>
      <c r="AV4434" s="2"/>
      <c r="AW4434" s="2"/>
      <c r="AX4434" s="2"/>
      <c r="AY4434" s="2">
        <v>42</v>
      </c>
      <c r="AZ4434" s="2" t="s">
        <v>182</v>
      </c>
      <c r="BA4434" s="2">
        <v>70</v>
      </c>
      <c r="BB4434" s="2" t="s">
        <v>236</v>
      </c>
      <c r="BC4434" s="2">
        <v>70</v>
      </c>
      <c r="BD4434" s="2" t="s">
        <v>236</v>
      </c>
      <c r="BE4434" s="2">
        <v>41</v>
      </c>
      <c r="BF4434" s="2" t="s">
        <v>82</v>
      </c>
      <c r="BG4434" s="2"/>
      <c r="BH4434" s="2"/>
      <c r="BI4434" s="2"/>
      <c r="BJ4434" s="2">
        <v>241</v>
      </c>
      <c r="BK4434" s="2" t="s">
        <v>82</v>
      </c>
      <c r="BL4434" s="2"/>
      <c r="BM4434" s="2">
        <v>241</v>
      </c>
      <c r="BN4434" s="2" t="s">
        <v>82</v>
      </c>
      <c r="BO4434" s="2"/>
      <c r="BP4434" s="2">
        <v>241</v>
      </c>
      <c r="BQ4434" s="2" t="s">
        <v>82</v>
      </c>
      <c r="BR4434" s="2"/>
      <c r="BS4434" s="3">
        <v>40477</v>
      </c>
      <c r="BT4434" s="4">
        <v>0.75927083333333334</v>
      </c>
    </row>
    <row r="4435" spans="1:72" x14ac:dyDescent="0.25">
      <c r="A4435" s="2">
        <v>6733</v>
      </c>
      <c r="B4435" s="2">
        <v>2010</v>
      </c>
      <c r="C4435" s="2" t="s">
        <v>457</v>
      </c>
      <c r="D4435" s="2" t="s">
        <v>122</v>
      </c>
      <c r="E4435" s="2"/>
      <c r="F4435" s="2">
        <v>35</v>
      </c>
      <c r="G4435" s="2" t="s">
        <v>2057</v>
      </c>
      <c r="H4435" s="2">
        <v>55</v>
      </c>
      <c r="I4435" s="2" t="s">
        <v>2058</v>
      </c>
      <c r="J4435" s="2">
        <v>1</v>
      </c>
      <c r="K4435" s="2" t="s">
        <v>107</v>
      </c>
      <c r="L4435" s="2" t="s">
        <v>107</v>
      </c>
      <c r="M4435" s="3">
        <v>40477</v>
      </c>
      <c r="N4435" s="2" t="s">
        <v>107</v>
      </c>
      <c r="O4435" s="2" t="s">
        <v>6024</v>
      </c>
      <c r="P4435" s="2" t="s">
        <v>13797</v>
      </c>
      <c r="Q4435" s="2" t="str">
        <f>""</f>
        <v/>
      </c>
      <c r="R4435" s="2"/>
      <c r="S4435" s="2"/>
      <c r="T4435" s="2">
        <v>1</v>
      </c>
      <c r="U4435" s="2" t="s">
        <v>79</v>
      </c>
      <c r="V4435" s="2">
        <v>1</v>
      </c>
      <c r="W4435" s="2" t="s">
        <v>80</v>
      </c>
      <c r="X4435" s="2">
        <v>11</v>
      </c>
      <c r="Y4435" s="2" t="s">
        <v>1920</v>
      </c>
      <c r="Z4435" s="2">
        <v>1</v>
      </c>
      <c r="AA4435" s="2" t="s">
        <v>82</v>
      </c>
      <c r="AB4435" s="2">
        <v>9</v>
      </c>
      <c r="AC4435" s="2" t="s">
        <v>124</v>
      </c>
      <c r="AD4435" s="3">
        <v>40479</v>
      </c>
      <c r="AE4435" s="4">
        <v>0.33333333333333331</v>
      </c>
      <c r="AF4435" s="2"/>
      <c r="AG4435" s="2"/>
      <c r="AH4435" s="2">
        <v>2</v>
      </c>
      <c r="AI4435" s="2" t="s">
        <v>84</v>
      </c>
      <c r="AJ4435" s="2">
        <v>12</v>
      </c>
      <c r="AK4435" s="2" t="s">
        <v>85</v>
      </c>
      <c r="AL4435" s="2">
        <v>10</v>
      </c>
      <c r="AM4435" s="2" t="s">
        <v>200</v>
      </c>
      <c r="AN4435" s="2"/>
      <c r="AO4435" s="2" t="s">
        <v>13798</v>
      </c>
      <c r="AP4435" s="2">
        <v>11</v>
      </c>
      <c r="AQ4435" s="2" t="s">
        <v>82</v>
      </c>
      <c r="AR4435" s="2"/>
      <c r="AS4435" s="2"/>
      <c r="AT4435" s="2" t="s">
        <v>13799</v>
      </c>
      <c r="AU4435" s="2">
        <v>1</v>
      </c>
      <c r="AV4435" s="2"/>
      <c r="AW4435" s="2"/>
      <c r="AX4435" s="2"/>
      <c r="AY4435" s="2">
        <v>41</v>
      </c>
      <c r="AZ4435" s="2" t="s">
        <v>82</v>
      </c>
      <c r="BA4435" s="2">
        <v>41</v>
      </c>
      <c r="BB4435" s="2" t="s">
        <v>82</v>
      </c>
      <c r="BC4435" s="2">
        <v>41</v>
      </c>
      <c r="BD4435" s="2" t="s">
        <v>82</v>
      </c>
      <c r="BE4435" s="2">
        <v>4</v>
      </c>
      <c r="BF4435" s="2" t="s">
        <v>90</v>
      </c>
      <c r="BG4435" s="2" t="s">
        <v>13800</v>
      </c>
      <c r="BH4435" s="2"/>
      <c r="BI4435" s="2"/>
      <c r="BJ4435" s="2">
        <v>13</v>
      </c>
      <c r="BK4435" s="2" t="s">
        <v>91</v>
      </c>
      <c r="BL4435" s="2" t="s">
        <v>564</v>
      </c>
      <c r="BM4435" s="2">
        <v>46</v>
      </c>
      <c r="BN4435" s="2" t="s">
        <v>307</v>
      </c>
      <c r="BO4435" s="2"/>
      <c r="BP4435" s="2">
        <v>46</v>
      </c>
      <c r="BQ4435" s="2" t="s">
        <v>307</v>
      </c>
      <c r="BR4435" s="2" t="s">
        <v>308</v>
      </c>
      <c r="BS4435" s="3">
        <v>40477</v>
      </c>
      <c r="BT4435" s="4">
        <v>0.75982638888888887</v>
      </c>
    </row>
    <row r="4436" spans="1:72" x14ac:dyDescent="0.25">
      <c r="A4436" s="2">
        <v>6734</v>
      </c>
      <c r="B4436" s="2">
        <v>2010</v>
      </c>
      <c r="C4436" s="2" t="s">
        <v>171</v>
      </c>
      <c r="D4436" s="2" t="s">
        <v>73</v>
      </c>
      <c r="E4436" s="2"/>
      <c r="F4436" s="2">
        <v>230</v>
      </c>
      <c r="G4436" s="2" t="s">
        <v>2995</v>
      </c>
      <c r="H4436" s="2">
        <v>11</v>
      </c>
      <c r="I4436" s="2" t="s">
        <v>1397</v>
      </c>
      <c r="J4436" s="2">
        <v>377</v>
      </c>
      <c r="K4436" s="2" t="s">
        <v>1223</v>
      </c>
      <c r="L4436" s="2" t="s">
        <v>1224</v>
      </c>
      <c r="M4436" s="3">
        <v>40477</v>
      </c>
      <c r="N4436" s="2" t="s">
        <v>13801</v>
      </c>
      <c r="O4436" s="2"/>
      <c r="P4436" s="2"/>
      <c r="Q4436" s="2" t="str">
        <f>"558-E/10"</f>
        <v>558-E/10</v>
      </c>
      <c r="R4436" s="2" t="s">
        <v>391</v>
      </c>
      <c r="S4436" s="2" t="s">
        <v>391</v>
      </c>
      <c r="T4436" s="2">
        <v>1</v>
      </c>
      <c r="U4436" s="2" t="s">
        <v>79</v>
      </c>
      <c r="V4436" s="2">
        <v>1</v>
      </c>
      <c r="W4436" s="2" t="s">
        <v>80</v>
      </c>
      <c r="X4436" s="2">
        <v>1</v>
      </c>
      <c r="Y4436" s="2" t="s">
        <v>81</v>
      </c>
      <c r="Z4436" s="2">
        <v>1</v>
      </c>
      <c r="AA4436" s="2" t="s">
        <v>82</v>
      </c>
      <c r="AB4436" s="2">
        <v>1</v>
      </c>
      <c r="AC4436" s="2" t="s">
        <v>178</v>
      </c>
      <c r="AD4436" s="3">
        <v>40477</v>
      </c>
      <c r="AE4436" s="4">
        <v>0.46875</v>
      </c>
      <c r="AF4436" s="3">
        <v>40477</v>
      </c>
      <c r="AG4436" s="4">
        <v>0.60416666666666663</v>
      </c>
      <c r="AH4436" s="2">
        <v>2</v>
      </c>
      <c r="AI4436" s="2" t="s">
        <v>84</v>
      </c>
      <c r="AJ4436" s="2">
        <v>9</v>
      </c>
      <c r="AK4436" s="2" t="s">
        <v>103</v>
      </c>
      <c r="AL4436" s="2">
        <v>25</v>
      </c>
      <c r="AM4436" s="2" t="s">
        <v>3073</v>
      </c>
      <c r="AN4436" s="2" t="s">
        <v>179</v>
      </c>
      <c r="AO4436" s="2" t="s">
        <v>987</v>
      </c>
      <c r="AP4436" s="2">
        <v>11</v>
      </c>
      <c r="AQ4436" s="2" t="s">
        <v>82</v>
      </c>
      <c r="AR4436" s="2"/>
      <c r="AS4436" s="2"/>
      <c r="AT4436" s="2" t="s">
        <v>13802</v>
      </c>
      <c r="AU4436" s="2"/>
      <c r="AV4436" s="2">
        <v>1</v>
      </c>
      <c r="AW4436" s="2"/>
      <c r="AX4436" s="2"/>
      <c r="AY4436" s="2">
        <v>41</v>
      </c>
      <c r="AZ4436" s="2" t="s">
        <v>82</v>
      </c>
      <c r="BA4436" s="2">
        <v>41</v>
      </c>
      <c r="BB4436" s="2" t="s">
        <v>82</v>
      </c>
      <c r="BC4436" s="2">
        <v>41</v>
      </c>
      <c r="BD4436" s="2" t="s">
        <v>82</v>
      </c>
      <c r="BE4436" s="2">
        <v>23</v>
      </c>
      <c r="BF4436" s="2" t="s">
        <v>183</v>
      </c>
      <c r="BG4436" s="2" t="s">
        <v>5475</v>
      </c>
      <c r="BH4436" s="2"/>
      <c r="BI4436" s="4">
        <v>0.53125</v>
      </c>
      <c r="BJ4436" s="2">
        <v>13</v>
      </c>
      <c r="BK4436" s="2" t="s">
        <v>91</v>
      </c>
      <c r="BL4436" s="2" t="s">
        <v>360</v>
      </c>
      <c r="BM4436" s="2">
        <v>73</v>
      </c>
      <c r="BN4436" s="2" t="s">
        <v>186</v>
      </c>
      <c r="BO4436" s="2"/>
      <c r="BP4436" s="2">
        <v>73</v>
      </c>
      <c r="BQ4436" s="2" t="s">
        <v>186</v>
      </c>
      <c r="BR4436" s="2" t="s">
        <v>187</v>
      </c>
      <c r="BS4436" s="3">
        <v>40477</v>
      </c>
      <c r="BT4436" s="4">
        <v>0.78263888888888899</v>
      </c>
    </row>
    <row r="4437" spans="1:72" x14ac:dyDescent="0.25">
      <c r="A4437" s="2">
        <v>6735</v>
      </c>
      <c r="B4437" s="2">
        <v>2010</v>
      </c>
      <c r="C4437" s="2" t="s">
        <v>4543</v>
      </c>
      <c r="D4437" s="2" t="s">
        <v>122</v>
      </c>
      <c r="E4437" s="2" t="s">
        <v>13803</v>
      </c>
      <c r="F4437" s="2">
        <v>70</v>
      </c>
      <c r="G4437" s="2" t="s">
        <v>3539</v>
      </c>
      <c r="H4437" s="2">
        <v>108</v>
      </c>
      <c r="I4437" s="2" t="s">
        <v>1096</v>
      </c>
      <c r="J4437" s="2">
        <v>102</v>
      </c>
      <c r="K4437" s="2" t="s">
        <v>3540</v>
      </c>
      <c r="L4437" s="2" t="s">
        <v>3541</v>
      </c>
      <c r="M4437" s="3">
        <v>40477</v>
      </c>
      <c r="N4437" s="2" t="s">
        <v>13547</v>
      </c>
      <c r="O4437" s="2"/>
      <c r="P4437" s="2"/>
      <c r="Q4437" s="2" t="str">
        <f>"02/2010"</f>
        <v>02/2010</v>
      </c>
      <c r="R4437" s="2" t="s">
        <v>13549</v>
      </c>
      <c r="S4437" s="2" t="s">
        <v>13549</v>
      </c>
      <c r="T4437" s="2">
        <v>2</v>
      </c>
      <c r="U4437" s="2" t="s">
        <v>123</v>
      </c>
      <c r="V4437" s="2">
        <v>1</v>
      </c>
      <c r="W4437" s="2" t="s">
        <v>80</v>
      </c>
      <c r="X4437" s="2">
        <v>10</v>
      </c>
      <c r="Y4437" s="2" t="s">
        <v>226</v>
      </c>
      <c r="Z4437" s="2">
        <v>1</v>
      </c>
      <c r="AA4437" s="2" t="s">
        <v>82</v>
      </c>
      <c r="AB4437" s="2">
        <v>9</v>
      </c>
      <c r="AC4437" s="2" t="s">
        <v>124</v>
      </c>
      <c r="AD4437" s="3">
        <v>40477</v>
      </c>
      <c r="AE4437" s="4">
        <v>0.5625</v>
      </c>
      <c r="AF4437" s="3">
        <v>40470</v>
      </c>
      <c r="AG4437" s="4">
        <v>0.57986111111111105</v>
      </c>
      <c r="AH4437" s="2">
        <v>3</v>
      </c>
      <c r="AI4437" s="2" t="s">
        <v>214</v>
      </c>
      <c r="AJ4437" s="2">
        <v>22</v>
      </c>
      <c r="AK4437" s="2" t="s">
        <v>4818</v>
      </c>
      <c r="AL4437" s="2">
        <v>25</v>
      </c>
      <c r="AM4437" s="2" t="s">
        <v>3073</v>
      </c>
      <c r="AN4437" s="2" t="s">
        <v>13804</v>
      </c>
      <c r="AO4437" s="2"/>
      <c r="AP4437" s="2">
        <v>11</v>
      </c>
      <c r="AQ4437" s="2" t="s">
        <v>82</v>
      </c>
      <c r="AR4437" s="2"/>
      <c r="AS4437" s="2"/>
      <c r="AT4437" s="2" t="s">
        <v>13805</v>
      </c>
      <c r="AU4437" s="2"/>
      <c r="AV4437" s="2"/>
      <c r="AW4437" s="2"/>
      <c r="AX4437" s="2"/>
      <c r="AY4437" s="2">
        <v>41</v>
      </c>
      <c r="AZ4437" s="2" t="s">
        <v>82</v>
      </c>
      <c r="BA4437" s="2">
        <v>41</v>
      </c>
      <c r="BB4437" s="2" t="s">
        <v>82</v>
      </c>
      <c r="BC4437" s="2">
        <v>41</v>
      </c>
      <c r="BD4437" s="2" t="s">
        <v>82</v>
      </c>
      <c r="BE4437" s="2">
        <v>41</v>
      </c>
      <c r="BF4437" s="2" t="s">
        <v>82</v>
      </c>
      <c r="BG4437" s="2"/>
      <c r="BH4437" s="2"/>
      <c r="BI4437" s="2"/>
      <c r="BJ4437" s="2">
        <v>241</v>
      </c>
      <c r="BK4437" s="2" t="s">
        <v>82</v>
      </c>
      <c r="BL4437" s="2"/>
      <c r="BM4437" s="2">
        <v>241</v>
      </c>
      <c r="BN4437" s="2" t="s">
        <v>82</v>
      </c>
      <c r="BO4437" s="2"/>
      <c r="BP4437" s="2">
        <v>241</v>
      </c>
      <c r="BQ4437" s="2" t="s">
        <v>82</v>
      </c>
      <c r="BR4437" s="2"/>
      <c r="BS4437" s="3">
        <v>40477</v>
      </c>
      <c r="BT4437" s="4">
        <v>0.80842592592592588</v>
      </c>
    </row>
    <row r="4438" spans="1:72" x14ac:dyDescent="0.25">
      <c r="A4438" s="2">
        <v>6736</v>
      </c>
      <c r="B4438" s="2">
        <v>2010</v>
      </c>
      <c r="C4438" s="2" t="s">
        <v>93</v>
      </c>
      <c r="D4438" s="2" t="s">
        <v>73</v>
      </c>
      <c r="E4438" s="2"/>
      <c r="F4438" s="2">
        <v>241</v>
      </c>
      <c r="G4438" s="2" t="s">
        <v>13806</v>
      </c>
      <c r="H4438" s="2">
        <v>108</v>
      </c>
      <c r="I4438" s="2" t="s">
        <v>1096</v>
      </c>
      <c r="J4438" s="2">
        <v>252</v>
      </c>
      <c r="K4438" s="2" t="s">
        <v>13807</v>
      </c>
      <c r="L4438" s="2" t="s">
        <v>13808</v>
      </c>
      <c r="M4438" s="3">
        <v>40477</v>
      </c>
      <c r="N4438" s="2" t="s">
        <v>13809</v>
      </c>
      <c r="O4438" s="2" t="s">
        <v>13810</v>
      </c>
      <c r="P4438" s="2"/>
      <c r="Q4438" s="2" t="str">
        <f>""</f>
        <v/>
      </c>
      <c r="R4438" s="2"/>
      <c r="S4438" s="2"/>
      <c r="T4438" s="2">
        <v>1</v>
      </c>
      <c r="U4438" s="2" t="s">
        <v>79</v>
      </c>
      <c r="V4438" s="2">
        <v>1</v>
      </c>
      <c r="W4438" s="2" t="s">
        <v>80</v>
      </c>
      <c r="X4438" s="2">
        <v>10</v>
      </c>
      <c r="Y4438" s="2" t="s">
        <v>226</v>
      </c>
      <c r="Z4438" s="2">
        <v>6</v>
      </c>
      <c r="AA4438" s="2" t="s">
        <v>101</v>
      </c>
      <c r="AB4438" s="2">
        <v>2</v>
      </c>
      <c r="AC4438" s="2" t="s">
        <v>102</v>
      </c>
      <c r="AD4438" s="3">
        <v>40477</v>
      </c>
      <c r="AE4438" s="4">
        <v>0.2951388888888889</v>
      </c>
      <c r="AF4438" s="3">
        <v>40477</v>
      </c>
      <c r="AG4438" s="4">
        <v>0.3888888888888889</v>
      </c>
      <c r="AH4438" s="2">
        <v>2</v>
      </c>
      <c r="AI4438" s="2" t="s">
        <v>84</v>
      </c>
      <c r="AJ4438" s="2">
        <v>12</v>
      </c>
      <c r="AK4438" s="2" t="s">
        <v>85</v>
      </c>
      <c r="AL4438" s="2">
        <v>14</v>
      </c>
      <c r="AM4438" s="2" t="s">
        <v>216</v>
      </c>
      <c r="AN4438" s="2"/>
      <c r="AO4438" s="2" t="s">
        <v>12015</v>
      </c>
      <c r="AP4438" s="2">
        <v>11</v>
      </c>
      <c r="AQ4438" s="2" t="s">
        <v>82</v>
      </c>
      <c r="AR4438" s="2"/>
      <c r="AS4438" s="2"/>
      <c r="AT4438" s="2" t="s">
        <v>13811</v>
      </c>
      <c r="AU4438" s="2">
        <v>1</v>
      </c>
      <c r="AV4438" s="2"/>
      <c r="AW4438" s="2"/>
      <c r="AX4438" s="2"/>
      <c r="AY4438" s="2">
        <v>41</v>
      </c>
      <c r="AZ4438" s="2" t="s">
        <v>82</v>
      </c>
      <c r="BA4438" s="2">
        <v>41</v>
      </c>
      <c r="BB4438" s="2" t="s">
        <v>82</v>
      </c>
      <c r="BC4438" s="2">
        <v>41</v>
      </c>
      <c r="BD4438" s="2" t="s">
        <v>82</v>
      </c>
      <c r="BE4438" s="2">
        <v>41</v>
      </c>
      <c r="BF4438" s="2" t="s">
        <v>82</v>
      </c>
      <c r="BG4438" s="2"/>
      <c r="BH4438" s="2"/>
      <c r="BI4438" s="2"/>
      <c r="BJ4438" s="2">
        <v>241</v>
      </c>
      <c r="BK4438" s="2" t="s">
        <v>82</v>
      </c>
      <c r="BL4438" s="2"/>
      <c r="BM4438" s="2">
        <v>241</v>
      </c>
      <c r="BN4438" s="2" t="s">
        <v>82</v>
      </c>
      <c r="BO4438" s="2"/>
      <c r="BP4438" s="2">
        <v>241</v>
      </c>
      <c r="BQ4438" s="2" t="s">
        <v>82</v>
      </c>
      <c r="BR4438" s="2"/>
      <c r="BS4438" s="3">
        <v>40477</v>
      </c>
      <c r="BT4438" s="4">
        <v>0.82126157407407396</v>
      </c>
    </row>
    <row r="4439" spans="1:72" x14ac:dyDescent="0.25">
      <c r="A4439" s="2">
        <v>6737</v>
      </c>
      <c r="B4439" s="2">
        <v>2010</v>
      </c>
      <c r="C4439" s="2" t="s">
        <v>72</v>
      </c>
      <c r="D4439" s="2" t="s">
        <v>73</v>
      </c>
      <c r="E4439" s="2"/>
      <c r="F4439" s="2">
        <v>170</v>
      </c>
      <c r="G4439" s="2" t="s">
        <v>7892</v>
      </c>
      <c r="H4439" s="2">
        <v>127</v>
      </c>
      <c r="I4439" s="2" t="s">
        <v>8849</v>
      </c>
      <c r="J4439" s="2">
        <v>178</v>
      </c>
      <c r="K4439" s="2" t="s">
        <v>13010</v>
      </c>
      <c r="L4439" s="2" t="s">
        <v>1582</v>
      </c>
      <c r="M4439" s="3">
        <v>40477</v>
      </c>
      <c r="N4439" s="2" t="s">
        <v>13812</v>
      </c>
      <c r="O4439" s="2"/>
      <c r="P4439" s="2"/>
      <c r="Q4439" s="2" t="str">
        <f>"424-A/10"</f>
        <v>424-A/10</v>
      </c>
      <c r="R4439" s="2" t="s">
        <v>1847</v>
      </c>
      <c r="S4439" s="2" t="s">
        <v>1847</v>
      </c>
      <c r="T4439" s="2">
        <v>1</v>
      </c>
      <c r="U4439" s="2" t="s">
        <v>79</v>
      </c>
      <c r="V4439" s="2">
        <v>1</v>
      </c>
      <c r="W4439" s="2" t="s">
        <v>80</v>
      </c>
      <c r="X4439" s="2">
        <v>12</v>
      </c>
      <c r="Y4439" s="2" t="s">
        <v>148</v>
      </c>
      <c r="Z4439" s="2">
        <v>1</v>
      </c>
      <c r="AA4439" s="2" t="s">
        <v>82</v>
      </c>
      <c r="AB4439" s="2">
        <v>6</v>
      </c>
      <c r="AC4439" s="2" t="s">
        <v>83</v>
      </c>
      <c r="AD4439" s="3">
        <v>40476</v>
      </c>
      <c r="AE4439" s="2"/>
      <c r="AF4439" s="3">
        <v>40477</v>
      </c>
      <c r="AG4439" s="4">
        <v>0.54166666666666663</v>
      </c>
      <c r="AH4439" s="2">
        <v>2</v>
      </c>
      <c r="AI4439" s="2" t="s">
        <v>84</v>
      </c>
      <c r="AJ4439" s="2">
        <v>12</v>
      </c>
      <c r="AK4439" s="2" t="s">
        <v>85</v>
      </c>
      <c r="AL4439" s="2">
        <v>12</v>
      </c>
      <c r="AM4439" s="2" t="s">
        <v>86</v>
      </c>
      <c r="AN4439" s="2" t="s">
        <v>13813</v>
      </c>
      <c r="AO4439" s="2" t="s">
        <v>1945</v>
      </c>
      <c r="AP4439" s="2">
        <v>11</v>
      </c>
      <c r="AQ4439" s="2" t="s">
        <v>82</v>
      </c>
      <c r="AR4439" s="2"/>
      <c r="AS4439" s="2"/>
      <c r="AT4439" s="2" t="s">
        <v>13814</v>
      </c>
      <c r="AU4439" s="2">
        <v>1</v>
      </c>
      <c r="AV4439" s="2"/>
      <c r="AW4439" s="2"/>
      <c r="AX4439" s="2"/>
      <c r="AY4439" s="2">
        <v>41</v>
      </c>
      <c r="AZ4439" s="2" t="s">
        <v>82</v>
      </c>
      <c r="BA4439" s="2">
        <v>41</v>
      </c>
      <c r="BB4439" s="2" t="s">
        <v>82</v>
      </c>
      <c r="BC4439" s="2">
        <v>41</v>
      </c>
      <c r="BD4439" s="2" t="s">
        <v>82</v>
      </c>
      <c r="BE4439" s="2">
        <v>41</v>
      </c>
      <c r="BF4439" s="2" t="s">
        <v>82</v>
      </c>
      <c r="BG4439" s="2"/>
      <c r="BH4439" s="2"/>
      <c r="BI4439" s="2"/>
      <c r="BJ4439" s="2">
        <v>241</v>
      </c>
      <c r="BK4439" s="2" t="s">
        <v>82</v>
      </c>
      <c r="BL4439" s="2"/>
      <c r="BM4439" s="2">
        <v>241</v>
      </c>
      <c r="BN4439" s="2" t="s">
        <v>82</v>
      </c>
      <c r="BO4439" s="2"/>
      <c r="BP4439" s="2">
        <v>241</v>
      </c>
      <c r="BQ4439" s="2" t="s">
        <v>82</v>
      </c>
      <c r="BR4439" s="2"/>
      <c r="BS4439" s="3">
        <v>40477</v>
      </c>
      <c r="BT4439" s="4">
        <v>0.84008101851851846</v>
      </c>
    </row>
    <row r="4440" spans="1:72" x14ac:dyDescent="0.25">
      <c r="A4440" s="2">
        <v>6738</v>
      </c>
      <c r="B4440" s="2">
        <v>2010</v>
      </c>
      <c r="C4440" s="2" t="s">
        <v>72</v>
      </c>
      <c r="D4440" s="2" t="s">
        <v>73</v>
      </c>
      <c r="E4440" s="2"/>
      <c r="F4440" s="2">
        <v>3</v>
      </c>
      <c r="G4440" s="2" t="s">
        <v>1041</v>
      </c>
      <c r="H4440" s="2">
        <v>50</v>
      </c>
      <c r="I4440" s="2" t="s">
        <v>107</v>
      </c>
      <c r="J4440" s="2">
        <v>368</v>
      </c>
      <c r="K4440" s="2" t="s">
        <v>1042</v>
      </c>
      <c r="L4440" s="2" t="s">
        <v>1043</v>
      </c>
      <c r="M4440" s="3">
        <v>40477</v>
      </c>
      <c r="N4440" s="2"/>
      <c r="O4440" s="2"/>
      <c r="P4440" s="2"/>
      <c r="Q4440" s="2" t="str">
        <f>"559-E/10"</f>
        <v>559-E/10</v>
      </c>
      <c r="R4440" s="2" t="s">
        <v>116</v>
      </c>
      <c r="S4440" s="2" t="s">
        <v>116</v>
      </c>
      <c r="T4440" s="2">
        <v>1</v>
      </c>
      <c r="U4440" s="2" t="s">
        <v>79</v>
      </c>
      <c r="V4440" s="2">
        <v>1</v>
      </c>
      <c r="W4440" s="2" t="s">
        <v>80</v>
      </c>
      <c r="X4440" s="2">
        <v>12</v>
      </c>
      <c r="Y4440" s="2" t="s">
        <v>148</v>
      </c>
      <c r="Z4440" s="2">
        <v>1</v>
      </c>
      <c r="AA4440" s="2" t="s">
        <v>82</v>
      </c>
      <c r="AB4440" s="2">
        <v>6</v>
      </c>
      <c r="AC4440" s="2" t="s">
        <v>83</v>
      </c>
      <c r="AD4440" s="3">
        <v>40477</v>
      </c>
      <c r="AE4440" s="2"/>
      <c r="AF4440" s="3">
        <v>40477</v>
      </c>
      <c r="AG4440" s="4">
        <v>0.57986111111111105</v>
      </c>
      <c r="AH4440" s="2">
        <v>2</v>
      </c>
      <c r="AI4440" s="2" t="s">
        <v>84</v>
      </c>
      <c r="AJ4440" s="2">
        <v>9</v>
      </c>
      <c r="AK4440" s="2" t="s">
        <v>103</v>
      </c>
      <c r="AL4440" s="2">
        <v>12</v>
      </c>
      <c r="AM4440" s="2" t="s">
        <v>86</v>
      </c>
      <c r="AN4440" s="2"/>
      <c r="AO4440" s="2" t="s">
        <v>13815</v>
      </c>
      <c r="AP4440" s="2">
        <v>11</v>
      </c>
      <c r="AQ4440" s="2" t="s">
        <v>82</v>
      </c>
      <c r="AR4440" s="2"/>
      <c r="AS4440" s="2"/>
      <c r="AT4440" s="2" t="s">
        <v>13816</v>
      </c>
      <c r="AU4440" s="2"/>
      <c r="AV4440" s="2"/>
      <c r="AW4440" s="2"/>
      <c r="AX4440" s="2"/>
      <c r="AY4440" s="2">
        <v>41</v>
      </c>
      <c r="AZ4440" s="2" t="s">
        <v>82</v>
      </c>
      <c r="BA4440" s="2">
        <v>41</v>
      </c>
      <c r="BB4440" s="2" t="s">
        <v>82</v>
      </c>
      <c r="BC4440" s="2">
        <v>41</v>
      </c>
      <c r="BD4440" s="2" t="s">
        <v>82</v>
      </c>
      <c r="BE4440" s="2">
        <v>41</v>
      </c>
      <c r="BF4440" s="2" t="s">
        <v>82</v>
      </c>
      <c r="BG4440" s="2"/>
      <c r="BH4440" s="2"/>
      <c r="BI4440" s="2"/>
      <c r="BJ4440" s="2">
        <v>241</v>
      </c>
      <c r="BK4440" s="2" t="s">
        <v>82</v>
      </c>
      <c r="BL4440" s="2"/>
      <c r="BM4440" s="2">
        <v>241</v>
      </c>
      <c r="BN4440" s="2" t="s">
        <v>82</v>
      </c>
      <c r="BO4440" s="2"/>
      <c r="BP4440" s="2">
        <v>241</v>
      </c>
      <c r="BQ4440" s="2" t="s">
        <v>82</v>
      </c>
      <c r="BR4440" s="2"/>
      <c r="BS4440" s="3">
        <v>40477</v>
      </c>
      <c r="BT4440" s="4">
        <v>0.87762731481481471</v>
      </c>
    </row>
    <row r="4441" spans="1:72" x14ac:dyDescent="0.25">
      <c r="A4441" s="2">
        <v>6740</v>
      </c>
      <c r="B4441" s="2">
        <v>2010</v>
      </c>
      <c r="C4441" s="2" t="s">
        <v>72</v>
      </c>
      <c r="D4441" s="2" t="s">
        <v>73</v>
      </c>
      <c r="E4441" s="2"/>
      <c r="F4441" s="2">
        <v>685</v>
      </c>
      <c r="G4441" s="2" t="s">
        <v>12932</v>
      </c>
      <c r="H4441" s="2">
        <v>42</v>
      </c>
      <c r="I4441" s="2" t="s">
        <v>1096</v>
      </c>
      <c r="J4441" s="2">
        <v>674</v>
      </c>
      <c r="K4441" s="2" t="s">
        <v>12821</v>
      </c>
      <c r="L4441" s="2" t="s">
        <v>12822</v>
      </c>
      <c r="M4441" s="3">
        <v>40477</v>
      </c>
      <c r="N4441" s="2" t="s">
        <v>12865</v>
      </c>
      <c r="O4441" s="2"/>
      <c r="P4441" s="2"/>
      <c r="Q4441" s="2" t="str">
        <f>"425-A/10"</f>
        <v>425-A/10</v>
      </c>
      <c r="R4441" s="2" t="s">
        <v>78</v>
      </c>
      <c r="S4441" s="2" t="s">
        <v>78</v>
      </c>
      <c r="T4441" s="2">
        <v>1</v>
      </c>
      <c r="U4441" s="2" t="s">
        <v>79</v>
      </c>
      <c r="V4441" s="2">
        <v>1</v>
      </c>
      <c r="W4441" s="2" t="s">
        <v>80</v>
      </c>
      <c r="X4441" s="2">
        <v>12</v>
      </c>
      <c r="Y4441" s="2" t="s">
        <v>148</v>
      </c>
      <c r="Z4441" s="2">
        <v>1</v>
      </c>
      <c r="AA4441" s="2" t="s">
        <v>82</v>
      </c>
      <c r="AB4441" s="2">
        <v>6</v>
      </c>
      <c r="AC4441" s="2" t="s">
        <v>83</v>
      </c>
      <c r="AD4441" s="3">
        <v>40477</v>
      </c>
      <c r="AE4441" s="2"/>
      <c r="AF4441" s="3">
        <v>40477</v>
      </c>
      <c r="AG4441" s="4">
        <v>0.84027777777777779</v>
      </c>
      <c r="AH4441" s="2">
        <v>2</v>
      </c>
      <c r="AI4441" s="2" t="s">
        <v>84</v>
      </c>
      <c r="AJ4441" s="2">
        <v>12</v>
      </c>
      <c r="AK4441" s="2" t="s">
        <v>85</v>
      </c>
      <c r="AL4441" s="2">
        <v>23</v>
      </c>
      <c r="AM4441" s="2" t="s">
        <v>251</v>
      </c>
      <c r="AN4441" s="2" t="s">
        <v>13817</v>
      </c>
      <c r="AO4441" s="2" t="s">
        <v>13818</v>
      </c>
      <c r="AP4441" s="2">
        <v>11</v>
      </c>
      <c r="AQ4441" s="2" t="s">
        <v>82</v>
      </c>
      <c r="AR4441" s="2"/>
      <c r="AS4441" s="2"/>
      <c r="AT4441" s="2" t="s">
        <v>13819</v>
      </c>
      <c r="AU4441" s="2"/>
      <c r="AV4441" s="2"/>
      <c r="AW4441" s="2"/>
      <c r="AX4441" s="2"/>
      <c r="AY4441" s="2">
        <v>41</v>
      </c>
      <c r="AZ4441" s="2" t="s">
        <v>82</v>
      </c>
      <c r="BA4441" s="2">
        <v>41</v>
      </c>
      <c r="BB4441" s="2" t="s">
        <v>82</v>
      </c>
      <c r="BC4441" s="2">
        <v>41</v>
      </c>
      <c r="BD4441" s="2" t="s">
        <v>82</v>
      </c>
      <c r="BE4441" s="2">
        <v>41</v>
      </c>
      <c r="BF4441" s="2" t="s">
        <v>82</v>
      </c>
      <c r="BG4441" s="2"/>
      <c r="BH4441" s="2"/>
      <c r="BI4441" s="2"/>
      <c r="BJ4441" s="2">
        <v>241</v>
      </c>
      <c r="BK4441" s="2" t="s">
        <v>82</v>
      </c>
      <c r="BL4441" s="2"/>
      <c r="BM4441" s="2">
        <v>241</v>
      </c>
      <c r="BN4441" s="2" t="s">
        <v>82</v>
      </c>
      <c r="BO4441" s="2"/>
      <c r="BP4441" s="2">
        <v>241</v>
      </c>
      <c r="BQ4441" s="2" t="s">
        <v>82</v>
      </c>
      <c r="BR4441" s="2"/>
      <c r="BS4441" s="3">
        <v>40477</v>
      </c>
      <c r="BT4441" s="4">
        <v>0.98084490740740737</v>
      </c>
    </row>
    <row r="4442" spans="1:72" x14ac:dyDescent="0.25">
      <c r="A4442" s="2">
        <v>6741</v>
      </c>
      <c r="B4442" s="2">
        <v>2010</v>
      </c>
      <c r="C4442" s="2" t="s">
        <v>377</v>
      </c>
      <c r="D4442" s="2" t="s">
        <v>73</v>
      </c>
      <c r="E4442" s="2"/>
      <c r="F4442" s="2">
        <v>426</v>
      </c>
      <c r="G4442" s="2" t="s">
        <v>378</v>
      </c>
      <c r="H4442" s="2">
        <v>42</v>
      </c>
      <c r="I4442" s="2" t="s">
        <v>1096</v>
      </c>
      <c r="J4442" s="2">
        <v>311</v>
      </c>
      <c r="K4442" s="2" t="s">
        <v>379</v>
      </c>
      <c r="L4442" s="2" t="s">
        <v>380</v>
      </c>
      <c r="M4442" s="3">
        <v>40478</v>
      </c>
      <c r="N4442" s="2" t="s">
        <v>5164</v>
      </c>
      <c r="O4442" s="2"/>
      <c r="P4442" s="2"/>
      <c r="Q4442" s="2" t="str">
        <f>"272-BIS-C/10"</f>
        <v>272-BIS-C/10</v>
      </c>
      <c r="R4442" s="2"/>
      <c r="S4442" s="2" t="s">
        <v>4428</v>
      </c>
      <c r="T4442" s="2">
        <v>1</v>
      </c>
      <c r="U4442" s="2" t="s">
        <v>79</v>
      </c>
      <c r="V4442" s="2">
        <v>1</v>
      </c>
      <c r="W4442" s="2" t="s">
        <v>80</v>
      </c>
      <c r="X4442" s="2">
        <v>1</v>
      </c>
      <c r="Y4442" s="2" t="s">
        <v>81</v>
      </c>
      <c r="Z4442" s="2">
        <v>1</v>
      </c>
      <c r="AA4442" s="2" t="s">
        <v>82</v>
      </c>
      <c r="AB4442" s="2">
        <v>9</v>
      </c>
      <c r="AC4442" s="2" t="s">
        <v>124</v>
      </c>
      <c r="AD4442" s="3">
        <v>40477</v>
      </c>
      <c r="AE4442" s="4">
        <v>0.64236111111111105</v>
      </c>
      <c r="AF4442" s="3">
        <v>40477</v>
      </c>
      <c r="AG4442" s="4">
        <v>0.67361111111111116</v>
      </c>
      <c r="AH4442" s="2">
        <v>2</v>
      </c>
      <c r="AI4442" s="2" t="s">
        <v>84</v>
      </c>
      <c r="AJ4442" s="2">
        <v>9</v>
      </c>
      <c r="AK4442" s="2" t="s">
        <v>103</v>
      </c>
      <c r="AL4442" s="2">
        <v>21</v>
      </c>
      <c r="AM4442" s="2" t="s">
        <v>1311</v>
      </c>
      <c r="AN4442" s="2" t="s">
        <v>6912</v>
      </c>
      <c r="AO4442" s="2"/>
      <c r="AP4442" s="2">
        <v>11</v>
      </c>
      <c r="AQ4442" s="2" t="s">
        <v>82</v>
      </c>
      <c r="AR4442" s="2"/>
      <c r="AS4442" s="2"/>
      <c r="AT4442" s="2" t="s">
        <v>13820</v>
      </c>
      <c r="AU4442" s="2"/>
      <c r="AV4442" s="2"/>
      <c r="AW4442" s="2"/>
      <c r="AX4442" s="2"/>
      <c r="AY4442" s="2">
        <v>41</v>
      </c>
      <c r="AZ4442" s="2" t="s">
        <v>82</v>
      </c>
      <c r="BA4442" s="2">
        <v>41</v>
      </c>
      <c r="BB4442" s="2" t="s">
        <v>82</v>
      </c>
      <c r="BC4442" s="2">
        <v>41</v>
      </c>
      <c r="BD4442" s="2" t="s">
        <v>82</v>
      </c>
      <c r="BE4442" s="2">
        <v>41</v>
      </c>
      <c r="BF4442" s="2" t="s">
        <v>82</v>
      </c>
      <c r="BG4442" s="2"/>
      <c r="BH4442" s="2"/>
      <c r="BI4442" s="2"/>
      <c r="BJ4442" s="2">
        <v>241</v>
      </c>
      <c r="BK4442" s="2" t="s">
        <v>82</v>
      </c>
      <c r="BL4442" s="2"/>
      <c r="BM4442" s="2">
        <v>241</v>
      </c>
      <c r="BN4442" s="2" t="s">
        <v>82</v>
      </c>
      <c r="BO4442" s="2"/>
      <c r="BP4442" s="2">
        <v>241</v>
      </c>
      <c r="BQ4442" s="2" t="s">
        <v>82</v>
      </c>
      <c r="BR4442" s="2"/>
      <c r="BS4442" s="3">
        <v>40478</v>
      </c>
      <c r="BT4442" s="4">
        <v>1.9930555555555556E-2</v>
      </c>
    </row>
    <row r="4443" spans="1:72" x14ac:dyDescent="0.25">
      <c r="A4443" s="2">
        <v>6742</v>
      </c>
      <c r="B4443" s="2">
        <v>2010</v>
      </c>
      <c r="C4443" s="2" t="s">
        <v>72</v>
      </c>
      <c r="D4443" s="2" t="s">
        <v>122</v>
      </c>
      <c r="E4443" s="2" t="s">
        <v>13821</v>
      </c>
      <c r="F4443" s="2">
        <v>170</v>
      </c>
      <c r="G4443" s="2" t="s">
        <v>7892</v>
      </c>
      <c r="H4443" s="2">
        <v>127</v>
      </c>
      <c r="I4443" s="2" t="s">
        <v>8849</v>
      </c>
      <c r="J4443" s="2">
        <v>178</v>
      </c>
      <c r="K4443" s="2" t="s">
        <v>13010</v>
      </c>
      <c r="L4443" s="2" t="s">
        <v>1582</v>
      </c>
      <c r="M4443" s="3">
        <v>40478</v>
      </c>
      <c r="N4443" s="2" t="s">
        <v>13812</v>
      </c>
      <c r="O4443" s="2"/>
      <c r="P4443" s="2"/>
      <c r="Q4443" s="2" t="str">
        <f>"424-A/10"</f>
        <v>424-A/10</v>
      </c>
      <c r="R4443" s="2" t="s">
        <v>116</v>
      </c>
      <c r="S4443" s="2"/>
      <c r="T4443" s="2">
        <v>1</v>
      </c>
      <c r="U4443" s="2" t="s">
        <v>79</v>
      </c>
      <c r="V4443" s="2">
        <v>1</v>
      </c>
      <c r="W4443" s="2" t="s">
        <v>80</v>
      </c>
      <c r="X4443" s="2">
        <v>12</v>
      </c>
      <c r="Y4443" s="2" t="s">
        <v>148</v>
      </c>
      <c r="Z4443" s="2">
        <v>1</v>
      </c>
      <c r="AA4443" s="2" t="s">
        <v>82</v>
      </c>
      <c r="AB4443" s="2">
        <v>6</v>
      </c>
      <c r="AC4443" s="2" t="s">
        <v>83</v>
      </c>
      <c r="AD4443" s="3">
        <v>40476</v>
      </c>
      <c r="AE4443" s="4">
        <v>0.875</v>
      </c>
      <c r="AF4443" s="3">
        <v>40477</v>
      </c>
      <c r="AG4443" s="4">
        <v>0.54166666666666663</v>
      </c>
      <c r="AH4443" s="2">
        <v>2</v>
      </c>
      <c r="AI4443" s="2" t="s">
        <v>84</v>
      </c>
      <c r="AJ4443" s="2">
        <v>12</v>
      </c>
      <c r="AK4443" s="2" t="s">
        <v>85</v>
      </c>
      <c r="AL4443" s="2">
        <v>24</v>
      </c>
      <c r="AM4443" s="2" t="s">
        <v>1540</v>
      </c>
      <c r="AN4443" s="2" t="s">
        <v>1945</v>
      </c>
      <c r="AO4443" s="2" t="s">
        <v>2047</v>
      </c>
      <c r="AP4443" s="2">
        <v>11</v>
      </c>
      <c r="AQ4443" s="2" t="s">
        <v>82</v>
      </c>
      <c r="AR4443" s="2"/>
      <c r="AS4443" s="2"/>
      <c r="AT4443" s="2" t="s">
        <v>13822</v>
      </c>
      <c r="AU4443" s="2">
        <v>1</v>
      </c>
      <c r="AV4443" s="2"/>
      <c r="AW4443" s="2"/>
      <c r="AX4443" s="2"/>
      <c r="AY4443" s="2">
        <v>41</v>
      </c>
      <c r="AZ4443" s="2" t="s">
        <v>82</v>
      </c>
      <c r="BA4443" s="2">
        <v>152</v>
      </c>
      <c r="BB4443" s="2" t="s">
        <v>13823</v>
      </c>
      <c r="BC4443" s="2">
        <v>41</v>
      </c>
      <c r="BD4443" s="2" t="s">
        <v>82</v>
      </c>
      <c r="BE4443" s="2">
        <v>10</v>
      </c>
      <c r="BF4443" s="2" t="s">
        <v>901</v>
      </c>
      <c r="BG4443" s="2" t="s">
        <v>11627</v>
      </c>
      <c r="BH4443" s="4">
        <v>0.34375</v>
      </c>
      <c r="BI4443" s="2"/>
      <c r="BJ4443" s="2">
        <v>229</v>
      </c>
      <c r="BK4443" s="2" t="s">
        <v>300</v>
      </c>
      <c r="BL4443" s="2" t="s">
        <v>573</v>
      </c>
      <c r="BM4443" s="2">
        <v>13</v>
      </c>
      <c r="BN4443" s="2" t="s">
        <v>91</v>
      </c>
      <c r="BO4443" s="2"/>
      <c r="BP4443" s="2">
        <v>13</v>
      </c>
      <c r="BQ4443" s="2" t="s">
        <v>91</v>
      </c>
      <c r="BR4443" s="2" t="s">
        <v>185</v>
      </c>
      <c r="BS4443" s="3">
        <v>40478</v>
      </c>
      <c r="BT4443" s="4">
        <v>0.2131828703703704</v>
      </c>
    </row>
    <row r="4444" spans="1:72" x14ac:dyDescent="0.25">
      <c r="A4444" s="2">
        <v>6743</v>
      </c>
      <c r="B4444" s="2">
        <v>2010</v>
      </c>
      <c r="C4444" s="2" t="s">
        <v>554</v>
      </c>
      <c r="D4444" s="2" t="s">
        <v>73</v>
      </c>
      <c r="E4444" s="2"/>
      <c r="F4444" s="2">
        <v>389</v>
      </c>
      <c r="G4444" s="2" t="s">
        <v>1819</v>
      </c>
      <c r="H4444" s="2">
        <v>41</v>
      </c>
      <c r="I4444" s="2" t="s">
        <v>1906</v>
      </c>
      <c r="J4444" s="2">
        <v>399</v>
      </c>
      <c r="K4444" s="2" t="s">
        <v>1820</v>
      </c>
      <c r="L4444" s="2" t="s">
        <v>1821</v>
      </c>
      <c r="M4444" s="3">
        <v>40478</v>
      </c>
      <c r="N4444" s="2" t="s">
        <v>13824</v>
      </c>
      <c r="O4444" s="2"/>
      <c r="P4444" s="2"/>
      <c r="Q4444" s="2" t="str">
        <f>"560-E/10"</f>
        <v>560-E/10</v>
      </c>
      <c r="R4444" s="2" t="s">
        <v>1130</v>
      </c>
      <c r="S4444" s="2"/>
      <c r="T4444" s="2">
        <v>1</v>
      </c>
      <c r="U4444" s="2" t="s">
        <v>79</v>
      </c>
      <c r="V4444" s="2">
        <v>1</v>
      </c>
      <c r="W4444" s="2" t="s">
        <v>80</v>
      </c>
      <c r="X4444" s="2">
        <v>1</v>
      </c>
      <c r="Y4444" s="2" t="s">
        <v>81</v>
      </c>
      <c r="Z4444" s="2">
        <v>1</v>
      </c>
      <c r="AA4444" s="2" t="s">
        <v>82</v>
      </c>
      <c r="AB4444" s="2">
        <v>5</v>
      </c>
      <c r="AC4444" s="2" t="s">
        <v>559</v>
      </c>
      <c r="AD4444" s="3">
        <v>40477</v>
      </c>
      <c r="AE4444" s="4">
        <v>0.77083333333333337</v>
      </c>
      <c r="AF4444" s="3">
        <v>40477</v>
      </c>
      <c r="AG4444" s="4">
        <v>0.98611111111111116</v>
      </c>
      <c r="AH4444" s="2">
        <v>2</v>
      </c>
      <c r="AI4444" s="2" t="s">
        <v>84</v>
      </c>
      <c r="AJ4444" s="2">
        <v>9</v>
      </c>
      <c r="AK4444" s="2" t="s">
        <v>103</v>
      </c>
      <c r="AL4444" s="2">
        <v>17</v>
      </c>
      <c r="AM4444" s="2" t="s">
        <v>232</v>
      </c>
      <c r="AN4444" s="2"/>
      <c r="AO4444" s="2" t="s">
        <v>13825</v>
      </c>
      <c r="AP4444" s="2">
        <v>11</v>
      </c>
      <c r="AQ4444" s="2" t="s">
        <v>82</v>
      </c>
      <c r="AR4444" s="2"/>
      <c r="AS4444" s="2"/>
      <c r="AT4444" s="2" t="s">
        <v>13826</v>
      </c>
      <c r="AU4444" s="2"/>
      <c r="AV4444" s="2">
        <v>3</v>
      </c>
      <c r="AW4444" s="2"/>
      <c r="AX4444" s="2"/>
      <c r="AY4444" s="2">
        <v>41</v>
      </c>
      <c r="AZ4444" s="2" t="s">
        <v>82</v>
      </c>
      <c r="BA4444" s="2">
        <v>41</v>
      </c>
      <c r="BB4444" s="2" t="s">
        <v>82</v>
      </c>
      <c r="BC4444" s="2">
        <v>41</v>
      </c>
      <c r="BD4444" s="2" t="s">
        <v>82</v>
      </c>
      <c r="BE4444" s="2">
        <v>41</v>
      </c>
      <c r="BF4444" s="2" t="s">
        <v>82</v>
      </c>
      <c r="BG4444" s="2"/>
      <c r="BH4444" s="2"/>
      <c r="BI4444" s="2"/>
      <c r="BJ4444" s="2">
        <v>241</v>
      </c>
      <c r="BK4444" s="2" t="s">
        <v>82</v>
      </c>
      <c r="BL4444" s="2"/>
      <c r="BM4444" s="2">
        <v>241</v>
      </c>
      <c r="BN4444" s="2" t="s">
        <v>82</v>
      </c>
      <c r="BO4444" s="2"/>
      <c r="BP4444" s="2">
        <v>241</v>
      </c>
      <c r="BQ4444" s="2" t="s">
        <v>82</v>
      </c>
      <c r="BR4444" s="2"/>
      <c r="BS4444" s="3">
        <v>40478</v>
      </c>
      <c r="BT4444" s="4">
        <v>0.23059027777777777</v>
      </c>
    </row>
    <row r="4445" spans="1:72" x14ac:dyDescent="0.25">
      <c r="A4445" s="2">
        <v>6744</v>
      </c>
      <c r="B4445" s="2">
        <v>2010</v>
      </c>
      <c r="C4445" s="2" t="s">
        <v>549</v>
      </c>
      <c r="D4445" s="2" t="s">
        <v>73</v>
      </c>
      <c r="E4445" s="2"/>
      <c r="F4445" s="2">
        <v>3</v>
      </c>
      <c r="G4445" s="2" t="s">
        <v>1041</v>
      </c>
      <c r="H4445" s="2">
        <v>42</v>
      </c>
      <c r="I4445" s="2" t="s">
        <v>1096</v>
      </c>
      <c r="J4445" s="2">
        <v>368</v>
      </c>
      <c r="K4445" s="2" t="s">
        <v>1042</v>
      </c>
      <c r="L4445" s="2" t="s">
        <v>1043</v>
      </c>
      <c r="M4445" s="3">
        <v>40478</v>
      </c>
      <c r="N4445" s="2"/>
      <c r="O4445" s="2"/>
      <c r="P4445" s="2"/>
      <c r="Q4445" s="2" t="str">
        <f>"561-E/10"</f>
        <v>561-E/10</v>
      </c>
      <c r="R4445" s="2"/>
      <c r="S4445" s="2" t="s">
        <v>13827</v>
      </c>
      <c r="T4445" s="2">
        <v>1</v>
      </c>
      <c r="U4445" s="2" t="s">
        <v>79</v>
      </c>
      <c r="V4445" s="2">
        <v>1</v>
      </c>
      <c r="W4445" s="2" t="s">
        <v>80</v>
      </c>
      <c r="X4445" s="2">
        <v>12</v>
      </c>
      <c r="Y4445" s="2" t="s">
        <v>148</v>
      </c>
      <c r="Z4445" s="2">
        <v>1</v>
      </c>
      <c r="AA4445" s="2" t="s">
        <v>82</v>
      </c>
      <c r="AB4445" s="2">
        <v>9</v>
      </c>
      <c r="AC4445" s="2" t="s">
        <v>124</v>
      </c>
      <c r="AD4445" s="3">
        <v>40477</v>
      </c>
      <c r="AE4445" s="2"/>
      <c r="AF4445" s="3">
        <v>40477</v>
      </c>
      <c r="AG4445" s="4">
        <v>0.95833333333333337</v>
      </c>
      <c r="AH4445" s="2">
        <v>2</v>
      </c>
      <c r="AI4445" s="2" t="s">
        <v>84</v>
      </c>
      <c r="AJ4445" s="2">
        <v>9</v>
      </c>
      <c r="AK4445" s="2" t="s">
        <v>103</v>
      </c>
      <c r="AL4445" s="2">
        <v>23</v>
      </c>
      <c r="AM4445" s="2" t="s">
        <v>251</v>
      </c>
      <c r="AN4445" s="2" t="s">
        <v>13828</v>
      </c>
      <c r="AO4445" s="2"/>
      <c r="AP4445" s="2">
        <v>11</v>
      </c>
      <c r="AQ4445" s="2" t="s">
        <v>82</v>
      </c>
      <c r="AR4445" s="2"/>
      <c r="AS4445" s="2"/>
      <c r="AT4445" s="2" t="s">
        <v>13829</v>
      </c>
      <c r="AU4445" s="2"/>
      <c r="AV4445" s="2"/>
      <c r="AW4445" s="2"/>
      <c r="AX4445" s="2"/>
      <c r="AY4445" s="2">
        <v>41</v>
      </c>
      <c r="AZ4445" s="2" t="s">
        <v>82</v>
      </c>
      <c r="BA4445" s="2">
        <v>41</v>
      </c>
      <c r="BB4445" s="2" t="s">
        <v>82</v>
      </c>
      <c r="BC4445" s="2">
        <v>41</v>
      </c>
      <c r="BD4445" s="2" t="s">
        <v>82</v>
      </c>
      <c r="BE4445" s="2">
        <v>41</v>
      </c>
      <c r="BF4445" s="2" t="s">
        <v>82</v>
      </c>
      <c r="BG4445" s="2"/>
      <c r="BH4445" s="2"/>
      <c r="BI4445" s="2"/>
      <c r="BJ4445" s="2">
        <v>241</v>
      </c>
      <c r="BK4445" s="2" t="s">
        <v>82</v>
      </c>
      <c r="BL4445" s="2"/>
      <c r="BM4445" s="2">
        <v>241</v>
      </c>
      <c r="BN4445" s="2" t="s">
        <v>82</v>
      </c>
      <c r="BO4445" s="2"/>
      <c r="BP4445" s="2">
        <v>241</v>
      </c>
      <c r="BQ4445" s="2" t="s">
        <v>82</v>
      </c>
      <c r="BR4445" s="2"/>
      <c r="BS4445" s="3">
        <v>40478</v>
      </c>
      <c r="BT4445" s="4">
        <v>0.59409722222222217</v>
      </c>
    </row>
    <row r="4446" spans="1:72" x14ac:dyDescent="0.25">
      <c r="A4446" s="2">
        <v>6745</v>
      </c>
      <c r="B4446" s="2">
        <v>2010</v>
      </c>
      <c r="C4446" s="2" t="s">
        <v>457</v>
      </c>
      <c r="D4446" s="2" t="s">
        <v>73</v>
      </c>
      <c r="E4446" s="2"/>
      <c r="F4446" s="2">
        <v>467</v>
      </c>
      <c r="G4446" s="2" t="s">
        <v>1053</v>
      </c>
      <c r="H4446" s="2">
        <v>42</v>
      </c>
      <c r="I4446" s="2" t="s">
        <v>1096</v>
      </c>
      <c r="J4446" s="2">
        <v>369</v>
      </c>
      <c r="K4446" s="2" t="s">
        <v>1054</v>
      </c>
      <c r="L4446" s="2" t="s">
        <v>1055</v>
      </c>
      <c r="M4446" s="3">
        <v>40478</v>
      </c>
      <c r="N4446" s="2" t="s">
        <v>13830</v>
      </c>
      <c r="O4446" s="2" t="s">
        <v>13831</v>
      </c>
      <c r="P4446" s="2" t="s">
        <v>13832</v>
      </c>
      <c r="Q4446" s="2" t="str">
        <f>""</f>
        <v/>
      </c>
      <c r="R4446" s="2"/>
      <c r="S4446" s="2"/>
      <c r="T4446" s="2">
        <v>1</v>
      </c>
      <c r="U4446" s="2" t="s">
        <v>79</v>
      </c>
      <c r="V4446" s="2">
        <v>1</v>
      </c>
      <c r="W4446" s="2" t="s">
        <v>80</v>
      </c>
      <c r="X4446" s="2">
        <v>4</v>
      </c>
      <c r="Y4446" s="2" t="s">
        <v>463</v>
      </c>
      <c r="Z4446" s="2">
        <v>6</v>
      </c>
      <c r="AA4446" s="2" t="s">
        <v>101</v>
      </c>
      <c r="AB4446" s="2">
        <v>9</v>
      </c>
      <c r="AC4446" s="2" t="s">
        <v>124</v>
      </c>
      <c r="AD4446" s="3">
        <v>40478</v>
      </c>
      <c r="AE4446" s="4">
        <v>0.49305555555555558</v>
      </c>
      <c r="AF4446" s="2"/>
      <c r="AG4446" s="2"/>
      <c r="AH4446" s="2">
        <v>4</v>
      </c>
      <c r="AI4446" s="2" t="s">
        <v>125</v>
      </c>
      <c r="AJ4446" s="2">
        <v>29</v>
      </c>
      <c r="AK4446" s="2" t="s">
        <v>227</v>
      </c>
      <c r="AL4446" s="2">
        <v>11</v>
      </c>
      <c r="AM4446" s="2" t="s">
        <v>137</v>
      </c>
      <c r="AN4446" s="2" t="s">
        <v>2701</v>
      </c>
      <c r="AO4446" s="2"/>
      <c r="AP4446" s="2">
        <v>11</v>
      </c>
      <c r="AQ4446" s="2" t="s">
        <v>82</v>
      </c>
      <c r="AR4446" s="2" t="s">
        <v>82</v>
      </c>
      <c r="AS4446" s="2" t="s">
        <v>82</v>
      </c>
      <c r="AT4446" s="2" t="s">
        <v>13833</v>
      </c>
      <c r="AU4446" s="2"/>
      <c r="AV4446" s="2"/>
      <c r="AW4446" s="2"/>
      <c r="AX4446" s="2"/>
      <c r="AY4446" s="2">
        <v>41</v>
      </c>
      <c r="AZ4446" s="2" t="s">
        <v>82</v>
      </c>
      <c r="BA4446" s="2">
        <v>41</v>
      </c>
      <c r="BB4446" s="2" t="s">
        <v>82</v>
      </c>
      <c r="BC4446" s="2">
        <v>41</v>
      </c>
      <c r="BD4446" s="2" t="s">
        <v>82</v>
      </c>
      <c r="BE4446" s="2">
        <v>19</v>
      </c>
      <c r="BF4446" s="2" t="s">
        <v>1061</v>
      </c>
      <c r="BG4446" s="2" t="s">
        <v>11709</v>
      </c>
      <c r="BH4446" s="4">
        <v>0.58333333333333337</v>
      </c>
      <c r="BI4446" s="4">
        <v>0.61458333333333337</v>
      </c>
      <c r="BJ4446" s="2">
        <v>13</v>
      </c>
      <c r="BK4446" s="2" t="s">
        <v>91</v>
      </c>
      <c r="BL4446" s="2" t="s">
        <v>828</v>
      </c>
      <c r="BM4446" s="2">
        <v>29</v>
      </c>
      <c r="BN4446" s="2" t="s">
        <v>962</v>
      </c>
      <c r="BO4446" s="2"/>
      <c r="BP4446" s="2">
        <v>29</v>
      </c>
      <c r="BQ4446" s="2" t="s">
        <v>962</v>
      </c>
      <c r="BR4446" s="2" t="s">
        <v>963</v>
      </c>
      <c r="BS4446" s="3">
        <v>40478</v>
      </c>
      <c r="BT4446" s="4">
        <v>0.61075231481481485</v>
      </c>
    </row>
    <row r="4447" spans="1:72" x14ac:dyDescent="0.25">
      <c r="A4447" s="2">
        <v>6746</v>
      </c>
      <c r="B4447" s="2">
        <v>2010</v>
      </c>
      <c r="C4447" s="2" t="s">
        <v>72</v>
      </c>
      <c r="D4447" s="2" t="s">
        <v>73</v>
      </c>
      <c r="E4447" s="2"/>
      <c r="F4447" s="2">
        <v>389</v>
      </c>
      <c r="G4447" s="2" t="s">
        <v>1819</v>
      </c>
      <c r="H4447" s="2">
        <v>3</v>
      </c>
      <c r="I4447" s="2" t="s">
        <v>315</v>
      </c>
      <c r="J4447" s="2">
        <v>399</v>
      </c>
      <c r="K4447" s="2" t="s">
        <v>1820</v>
      </c>
      <c r="L4447" s="2" t="s">
        <v>1821</v>
      </c>
      <c r="M4447" s="3">
        <v>40478</v>
      </c>
      <c r="N4447" s="2" t="s">
        <v>2319</v>
      </c>
      <c r="O4447" s="2"/>
      <c r="P4447" s="2"/>
      <c r="Q4447" s="2" t="str">
        <f>"562-E/10"</f>
        <v>562-E/10</v>
      </c>
      <c r="R4447" s="2" t="s">
        <v>1847</v>
      </c>
      <c r="S4447" s="2" t="s">
        <v>1847</v>
      </c>
      <c r="T4447" s="2">
        <v>1</v>
      </c>
      <c r="U4447" s="2" t="s">
        <v>79</v>
      </c>
      <c r="V4447" s="2">
        <v>1</v>
      </c>
      <c r="W4447" s="2" t="s">
        <v>80</v>
      </c>
      <c r="X4447" s="2">
        <v>12</v>
      </c>
      <c r="Y4447" s="2" t="s">
        <v>148</v>
      </c>
      <c r="Z4447" s="2">
        <v>1</v>
      </c>
      <c r="AA4447" s="2" t="s">
        <v>82</v>
      </c>
      <c r="AB4447" s="2">
        <v>6</v>
      </c>
      <c r="AC4447" s="2" t="s">
        <v>83</v>
      </c>
      <c r="AD4447" s="3">
        <v>40478</v>
      </c>
      <c r="AE4447" s="2"/>
      <c r="AF4447" s="3">
        <v>40478</v>
      </c>
      <c r="AG4447" s="4">
        <v>0.59722222222222221</v>
      </c>
      <c r="AH4447" s="2">
        <v>2</v>
      </c>
      <c r="AI4447" s="2" t="s">
        <v>84</v>
      </c>
      <c r="AJ4447" s="2">
        <v>9</v>
      </c>
      <c r="AK4447" s="2" t="s">
        <v>103</v>
      </c>
      <c r="AL4447" s="2">
        <v>22</v>
      </c>
      <c r="AM4447" s="2" t="s">
        <v>1853</v>
      </c>
      <c r="AN4447" s="2" t="s">
        <v>590</v>
      </c>
      <c r="AO4447" s="2" t="s">
        <v>13834</v>
      </c>
      <c r="AP4447" s="2">
        <v>11</v>
      </c>
      <c r="AQ4447" s="2" t="s">
        <v>82</v>
      </c>
      <c r="AR4447" s="2"/>
      <c r="AS4447" s="2"/>
      <c r="AT4447" s="2" t="s">
        <v>13835</v>
      </c>
      <c r="AU4447" s="2"/>
      <c r="AV4447" s="2"/>
      <c r="AW4447" s="2"/>
      <c r="AX4447" s="2"/>
      <c r="AY4447" s="2">
        <v>41</v>
      </c>
      <c r="AZ4447" s="2" t="s">
        <v>82</v>
      </c>
      <c r="BA4447" s="2">
        <v>41</v>
      </c>
      <c r="BB4447" s="2" t="s">
        <v>82</v>
      </c>
      <c r="BC4447" s="2">
        <v>41</v>
      </c>
      <c r="BD4447" s="2" t="s">
        <v>82</v>
      </c>
      <c r="BE4447" s="2">
        <v>35</v>
      </c>
      <c r="BF4447" s="2" t="s">
        <v>5816</v>
      </c>
      <c r="BG4447" s="2" t="s">
        <v>13836</v>
      </c>
      <c r="BH4447" s="4">
        <v>0.5625</v>
      </c>
      <c r="BI4447" s="2"/>
      <c r="BJ4447" s="2">
        <v>33</v>
      </c>
      <c r="BK4447" s="2" t="s">
        <v>361</v>
      </c>
      <c r="BL4447" s="2" t="s">
        <v>1739</v>
      </c>
      <c r="BM4447" s="2">
        <v>33</v>
      </c>
      <c r="BN4447" s="2" t="s">
        <v>361</v>
      </c>
      <c r="BO4447" s="2"/>
      <c r="BP4447" s="2">
        <v>13</v>
      </c>
      <c r="BQ4447" s="2" t="s">
        <v>91</v>
      </c>
      <c r="BR4447" s="2" t="s">
        <v>360</v>
      </c>
      <c r="BS4447" s="3">
        <v>40478</v>
      </c>
      <c r="BT4447" s="4">
        <v>0.61510416666666667</v>
      </c>
    </row>
    <row r="4448" spans="1:72" x14ac:dyDescent="0.25">
      <c r="A4448" s="2">
        <v>6747</v>
      </c>
      <c r="B4448" s="2">
        <v>2010</v>
      </c>
      <c r="C4448" s="2" t="s">
        <v>5621</v>
      </c>
      <c r="D4448" s="2" t="s">
        <v>122</v>
      </c>
      <c r="E4448" s="2"/>
      <c r="F4448" s="2">
        <v>310</v>
      </c>
      <c r="G4448" s="2" t="s">
        <v>3186</v>
      </c>
      <c r="H4448" s="2">
        <v>105</v>
      </c>
      <c r="I4448" s="2" t="s">
        <v>13837</v>
      </c>
      <c r="J4448" s="2">
        <v>371</v>
      </c>
      <c r="K4448" s="2" t="s">
        <v>1138</v>
      </c>
      <c r="L4448" s="2" t="s">
        <v>1139</v>
      </c>
      <c r="M4448" s="3">
        <v>40478</v>
      </c>
      <c r="N4448" s="2" t="s">
        <v>13838</v>
      </c>
      <c r="O4448" s="2"/>
      <c r="P4448" s="2" t="s">
        <v>203</v>
      </c>
      <c r="Q4448" s="2" t="str">
        <f>"142/10"</f>
        <v>142/10</v>
      </c>
      <c r="R4448" s="2"/>
      <c r="S4448" s="2"/>
      <c r="T4448" s="2">
        <v>2</v>
      </c>
      <c r="U4448" s="2" t="s">
        <v>123</v>
      </c>
      <c r="V4448" s="2">
        <v>1</v>
      </c>
      <c r="W4448" s="2" t="s">
        <v>80</v>
      </c>
      <c r="X4448" s="2">
        <v>5</v>
      </c>
      <c r="Y4448" s="2" t="s">
        <v>82</v>
      </c>
      <c r="Z4448" s="2">
        <v>10</v>
      </c>
      <c r="AA4448" s="2" t="s">
        <v>236</v>
      </c>
      <c r="AB4448" s="2">
        <v>9</v>
      </c>
      <c r="AC4448" s="2" t="s">
        <v>124</v>
      </c>
      <c r="AD4448" s="3">
        <v>40478</v>
      </c>
      <c r="AE4448" s="4">
        <v>0.48819444444444443</v>
      </c>
      <c r="AF4448" s="3">
        <v>40478</v>
      </c>
      <c r="AG4448" s="4">
        <v>0.48958333333333331</v>
      </c>
      <c r="AH4448" s="2">
        <v>5</v>
      </c>
      <c r="AI4448" s="2" t="s">
        <v>274</v>
      </c>
      <c r="AJ4448" s="2">
        <v>38</v>
      </c>
      <c r="AK4448" s="2" t="s">
        <v>1120</v>
      </c>
      <c r="AL4448" s="2">
        <v>25</v>
      </c>
      <c r="AM4448" s="2" t="s">
        <v>3073</v>
      </c>
      <c r="AN4448" s="2"/>
      <c r="AO4448" s="2" t="s">
        <v>13839</v>
      </c>
      <c r="AP4448" s="2">
        <v>11</v>
      </c>
      <c r="AQ4448" s="2" t="s">
        <v>82</v>
      </c>
      <c r="AR4448" s="2"/>
      <c r="AS4448" s="2"/>
      <c r="AT4448" s="2" t="s">
        <v>13840</v>
      </c>
      <c r="AU4448" s="2"/>
      <c r="AV4448" s="2"/>
      <c r="AW4448" s="2"/>
      <c r="AX4448" s="2"/>
      <c r="AY4448" s="2">
        <v>41</v>
      </c>
      <c r="AZ4448" s="2" t="s">
        <v>82</v>
      </c>
      <c r="BA4448" s="2">
        <v>41</v>
      </c>
      <c r="BB4448" s="2" t="s">
        <v>82</v>
      </c>
      <c r="BC4448" s="2">
        <v>152</v>
      </c>
      <c r="BD4448" s="2" t="s">
        <v>13823</v>
      </c>
      <c r="BE4448" s="2">
        <v>41</v>
      </c>
      <c r="BF4448" s="2" t="s">
        <v>82</v>
      </c>
      <c r="BG4448" s="2"/>
      <c r="BH4448" s="2"/>
      <c r="BI4448" s="2"/>
      <c r="BJ4448" s="2">
        <v>13</v>
      </c>
      <c r="BK4448" s="2" t="s">
        <v>91</v>
      </c>
      <c r="BL4448" s="2" t="s">
        <v>1552</v>
      </c>
      <c r="BM4448" s="2">
        <v>13</v>
      </c>
      <c r="BN4448" s="2" t="s">
        <v>91</v>
      </c>
      <c r="BO4448" s="2"/>
      <c r="BP4448" s="2">
        <v>13</v>
      </c>
      <c r="BQ4448" s="2" t="s">
        <v>91</v>
      </c>
      <c r="BR4448" s="2" t="s">
        <v>3140</v>
      </c>
      <c r="BS4448" s="3">
        <v>40478</v>
      </c>
      <c r="BT4448" s="4">
        <v>0.64079861111111114</v>
      </c>
    </row>
    <row r="4449" spans="1:72" x14ac:dyDescent="0.25">
      <c r="A4449" s="2">
        <v>6748</v>
      </c>
      <c r="B4449" s="2">
        <v>2010</v>
      </c>
      <c r="C4449" s="2" t="s">
        <v>4543</v>
      </c>
      <c r="D4449" s="2" t="s">
        <v>122</v>
      </c>
      <c r="E4449" s="2"/>
      <c r="F4449" s="2">
        <v>1</v>
      </c>
      <c r="G4449" s="2" t="s">
        <v>82</v>
      </c>
      <c r="H4449" s="2">
        <v>1</v>
      </c>
      <c r="I4449" s="2" t="s">
        <v>82</v>
      </c>
      <c r="J4449" s="2">
        <v>1</v>
      </c>
      <c r="K4449" s="2" t="s">
        <v>107</v>
      </c>
      <c r="L4449" s="2" t="s">
        <v>107</v>
      </c>
      <c r="M4449" s="3">
        <v>40479</v>
      </c>
      <c r="N4449" s="2"/>
      <c r="O4449" s="2"/>
      <c r="P4449" s="2"/>
      <c r="Q4449" s="2" t="str">
        <f>""</f>
        <v/>
      </c>
      <c r="R4449" s="2"/>
      <c r="S4449" s="2"/>
      <c r="T4449" s="2">
        <v>2</v>
      </c>
      <c r="U4449" s="2" t="s">
        <v>123</v>
      </c>
      <c r="V4449" s="2">
        <v>1</v>
      </c>
      <c r="W4449" s="2" t="s">
        <v>80</v>
      </c>
      <c r="X4449" s="2">
        <v>11</v>
      </c>
      <c r="Y4449" s="2" t="s">
        <v>1920</v>
      </c>
      <c r="Z4449" s="2">
        <v>1</v>
      </c>
      <c r="AA4449" s="2" t="s">
        <v>82</v>
      </c>
      <c r="AB4449" s="2">
        <v>9</v>
      </c>
      <c r="AC4449" s="2" t="s">
        <v>124</v>
      </c>
      <c r="AD4449" s="3">
        <v>40478</v>
      </c>
      <c r="AE4449" s="4">
        <v>0.16666666666666666</v>
      </c>
      <c r="AF4449" s="2"/>
      <c r="AG4449" s="2"/>
      <c r="AH4449" s="2">
        <v>6</v>
      </c>
      <c r="AI4449" s="2" t="s">
        <v>197</v>
      </c>
      <c r="AJ4449" s="2">
        <v>54</v>
      </c>
      <c r="AK4449" s="2" t="s">
        <v>348</v>
      </c>
      <c r="AL4449" s="2">
        <v>19</v>
      </c>
      <c r="AM4449" s="2" t="s">
        <v>107</v>
      </c>
      <c r="AN4449" s="2" t="s">
        <v>595</v>
      </c>
      <c r="AO4449" s="2" t="s">
        <v>200</v>
      </c>
      <c r="AP4449" s="2">
        <v>14</v>
      </c>
      <c r="AQ4449" s="2" t="s">
        <v>3301</v>
      </c>
      <c r="AR4449" s="2" t="s">
        <v>596</v>
      </c>
      <c r="AS4449" s="2" t="s">
        <v>596</v>
      </c>
      <c r="AT4449" s="2" t="s">
        <v>13841</v>
      </c>
      <c r="AU4449" s="2"/>
      <c r="AV4449" s="2"/>
      <c r="AW4449" s="2"/>
      <c r="AX4449" s="2"/>
      <c r="AY4449" s="2">
        <v>41</v>
      </c>
      <c r="AZ4449" s="2" t="s">
        <v>82</v>
      </c>
      <c r="BA4449" s="2">
        <v>41</v>
      </c>
      <c r="BB4449" s="2" t="s">
        <v>82</v>
      </c>
      <c r="BC4449" s="2">
        <v>41</v>
      </c>
      <c r="BD4449" s="2" t="s">
        <v>82</v>
      </c>
      <c r="BE4449" s="2">
        <v>4</v>
      </c>
      <c r="BF4449" s="2" t="s">
        <v>90</v>
      </c>
      <c r="BG4449" s="2" t="s">
        <v>598</v>
      </c>
      <c r="BH4449" s="4">
        <v>4.5138888888888888E-2</v>
      </c>
      <c r="BI4449" s="4">
        <v>0.14930555555555555</v>
      </c>
      <c r="BJ4449" s="2">
        <v>13</v>
      </c>
      <c r="BK4449" s="2" t="s">
        <v>91</v>
      </c>
      <c r="BL4449" s="2" t="s">
        <v>2764</v>
      </c>
      <c r="BM4449" s="2">
        <v>13</v>
      </c>
      <c r="BN4449" s="2" t="s">
        <v>91</v>
      </c>
      <c r="BO4449" s="2"/>
      <c r="BP4449" s="2">
        <v>13</v>
      </c>
      <c r="BQ4449" s="2" t="s">
        <v>91</v>
      </c>
      <c r="BR4449" s="2" t="s">
        <v>2168</v>
      </c>
      <c r="BS4449" s="3">
        <v>40479</v>
      </c>
      <c r="BT4449" s="4">
        <v>0.39728009259259256</v>
      </c>
    </row>
    <row r="4450" spans="1:72" x14ac:dyDescent="0.25">
      <c r="A4450" s="2">
        <v>6749</v>
      </c>
      <c r="B4450" s="2">
        <v>2010</v>
      </c>
      <c r="C4450" s="2" t="s">
        <v>196</v>
      </c>
      <c r="D4450" s="2" t="s">
        <v>122</v>
      </c>
      <c r="E4450" s="2"/>
      <c r="F4450" s="2">
        <v>1</v>
      </c>
      <c r="G4450" s="2" t="s">
        <v>82</v>
      </c>
      <c r="H4450" s="2">
        <v>1</v>
      </c>
      <c r="I4450" s="2" t="s">
        <v>82</v>
      </c>
      <c r="J4450" s="2">
        <v>1</v>
      </c>
      <c r="K4450" s="2" t="s">
        <v>107</v>
      </c>
      <c r="L4450" s="2" t="s">
        <v>107</v>
      </c>
      <c r="M4450" s="3">
        <v>40479</v>
      </c>
      <c r="N4450" s="2"/>
      <c r="O4450" s="2"/>
      <c r="P4450" s="2"/>
      <c r="Q4450" s="2" t="str">
        <f>""</f>
        <v/>
      </c>
      <c r="R4450" s="2"/>
      <c r="S4450" s="2"/>
      <c r="T4450" s="2">
        <v>2</v>
      </c>
      <c r="U4450" s="2" t="s">
        <v>123</v>
      </c>
      <c r="V4450" s="2">
        <v>1</v>
      </c>
      <c r="W4450" s="2" t="s">
        <v>80</v>
      </c>
      <c r="X4450" s="2">
        <v>5</v>
      </c>
      <c r="Y4450" s="2" t="s">
        <v>82</v>
      </c>
      <c r="Z4450" s="2">
        <v>1</v>
      </c>
      <c r="AA4450" s="2" t="s">
        <v>82</v>
      </c>
      <c r="AB4450" s="2">
        <v>9</v>
      </c>
      <c r="AC4450" s="2" t="s">
        <v>124</v>
      </c>
      <c r="AD4450" s="3">
        <v>40478</v>
      </c>
      <c r="AE4450" s="4">
        <v>0.95833333333333337</v>
      </c>
      <c r="AF4450" s="2"/>
      <c r="AG4450" s="2"/>
      <c r="AH4450" s="2">
        <v>6</v>
      </c>
      <c r="AI4450" s="2" t="s">
        <v>197</v>
      </c>
      <c r="AJ4450" s="2">
        <v>59</v>
      </c>
      <c r="AK4450" s="2" t="s">
        <v>198</v>
      </c>
      <c r="AL4450" s="2">
        <v>9</v>
      </c>
      <c r="AM4450" s="2" t="s">
        <v>259</v>
      </c>
      <c r="AN4450" s="2"/>
      <c r="AO4450" s="2" t="s">
        <v>230</v>
      </c>
      <c r="AP4450" s="2">
        <v>11</v>
      </c>
      <c r="AQ4450" s="2" t="s">
        <v>82</v>
      </c>
      <c r="AR4450" s="2" t="s">
        <v>82</v>
      </c>
      <c r="AS4450" s="2" t="s">
        <v>82</v>
      </c>
      <c r="AT4450" s="2" t="s">
        <v>13842</v>
      </c>
      <c r="AU4450" s="2"/>
      <c r="AV4450" s="2"/>
      <c r="AW4450" s="2"/>
      <c r="AX4450" s="2"/>
      <c r="AY4450" s="2">
        <v>41</v>
      </c>
      <c r="AZ4450" s="2" t="s">
        <v>82</v>
      </c>
      <c r="BA4450" s="2">
        <v>41</v>
      </c>
      <c r="BB4450" s="2" t="s">
        <v>82</v>
      </c>
      <c r="BC4450" s="2">
        <v>41</v>
      </c>
      <c r="BD4450" s="2" t="s">
        <v>82</v>
      </c>
      <c r="BE4450" s="2">
        <v>41</v>
      </c>
      <c r="BF4450" s="2" t="s">
        <v>82</v>
      </c>
      <c r="BG4450" s="2" t="s">
        <v>82</v>
      </c>
      <c r="BH4450" s="2"/>
      <c r="BI4450" s="4">
        <v>0.95833333333333337</v>
      </c>
      <c r="BJ4450" s="2">
        <v>13</v>
      </c>
      <c r="BK4450" s="2" t="s">
        <v>91</v>
      </c>
      <c r="BL4450" s="2" t="s">
        <v>204</v>
      </c>
      <c r="BM4450" s="2">
        <v>241</v>
      </c>
      <c r="BN4450" s="2" t="s">
        <v>82</v>
      </c>
      <c r="BO4450" s="2"/>
      <c r="BP4450" s="2">
        <v>13</v>
      </c>
      <c r="BQ4450" s="2" t="s">
        <v>91</v>
      </c>
      <c r="BR4450" s="2" t="s">
        <v>564</v>
      </c>
      <c r="BS4450" s="3">
        <v>40479</v>
      </c>
      <c r="BT4450" s="4">
        <v>0.43832175925925926</v>
      </c>
    </row>
    <row r="4451" spans="1:72" x14ac:dyDescent="0.25">
      <c r="A4451" s="2">
        <v>6752</v>
      </c>
      <c r="B4451" s="2">
        <v>2010</v>
      </c>
      <c r="C4451" s="2" t="s">
        <v>385</v>
      </c>
      <c r="D4451" s="2" t="s">
        <v>122</v>
      </c>
      <c r="E4451" s="2" t="s">
        <v>13843</v>
      </c>
      <c r="F4451" s="2">
        <v>389</v>
      </c>
      <c r="G4451" s="2" t="s">
        <v>1819</v>
      </c>
      <c r="H4451" s="2">
        <v>41</v>
      </c>
      <c r="I4451" s="2" t="s">
        <v>1906</v>
      </c>
      <c r="J4451" s="2">
        <v>399</v>
      </c>
      <c r="K4451" s="2" t="s">
        <v>1820</v>
      </c>
      <c r="L4451" s="2" t="s">
        <v>1821</v>
      </c>
      <c r="M4451" s="3">
        <v>40479</v>
      </c>
      <c r="N4451" s="2" t="s">
        <v>13824</v>
      </c>
      <c r="O4451" s="2"/>
      <c r="P4451" s="2"/>
      <c r="Q4451" s="2" t="str">
        <f>"560-E/10"</f>
        <v>560-E/10</v>
      </c>
      <c r="R4451" s="2" t="s">
        <v>1130</v>
      </c>
      <c r="S4451" s="2" t="s">
        <v>1130</v>
      </c>
      <c r="T4451" s="2">
        <v>1</v>
      </c>
      <c r="U4451" s="2" t="s">
        <v>79</v>
      </c>
      <c r="V4451" s="2">
        <v>1</v>
      </c>
      <c r="W4451" s="2" t="s">
        <v>80</v>
      </c>
      <c r="X4451" s="2">
        <v>1</v>
      </c>
      <c r="Y4451" s="2" t="s">
        <v>81</v>
      </c>
      <c r="Z4451" s="2">
        <v>1</v>
      </c>
      <c r="AA4451" s="2" t="s">
        <v>82</v>
      </c>
      <c r="AB4451" s="2">
        <v>9</v>
      </c>
      <c r="AC4451" s="2" t="s">
        <v>124</v>
      </c>
      <c r="AD4451" s="3">
        <v>40477</v>
      </c>
      <c r="AE4451" s="4">
        <v>0.70833333333333337</v>
      </c>
      <c r="AF4451" s="2"/>
      <c r="AG4451" s="2"/>
      <c r="AH4451" s="2">
        <v>2</v>
      </c>
      <c r="AI4451" s="2" t="s">
        <v>84</v>
      </c>
      <c r="AJ4451" s="2">
        <v>9</v>
      </c>
      <c r="AK4451" s="2" t="s">
        <v>103</v>
      </c>
      <c r="AL4451" s="2">
        <v>24</v>
      </c>
      <c r="AM4451" s="2" t="s">
        <v>1540</v>
      </c>
      <c r="AN4451" s="2"/>
      <c r="AO4451" s="2" t="s">
        <v>13844</v>
      </c>
      <c r="AP4451" s="2">
        <v>11</v>
      </c>
      <c r="AQ4451" s="2" t="s">
        <v>82</v>
      </c>
      <c r="AR4451" s="2"/>
      <c r="AS4451" s="2"/>
      <c r="AT4451" s="2" t="s">
        <v>13845</v>
      </c>
      <c r="AU4451" s="2"/>
      <c r="AV4451" s="2">
        <v>3</v>
      </c>
      <c r="AW4451" s="2"/>
      <c r="AX4451" s="2"/>
      <c r="AY4451" s="2">
        <v>41</v>
      </c>
      <c r="AZ4451" s="2" t="s">
        <v>82</v>
      </c>
      <c r="BA4451" s="2">
        <v>41</v>
      </c>
      <c r="BB4451" s="2" t="s">
        <v>82</v>
      </c>
      <c r="BC4451" s="2">
        <v>41</v>
      </c>
      <c r="BD4451" s="2" t="s">
        <v>82</v>
      </c>
      <c r="BE4451" s="2">
        <v>41</v>
      </c>
      <c r="BF4451" s="2" t="s">
        <v>82</v>
      </c>
      <c r="BG4451" s="2"/>
      <c r="BH4451" s="2"/>
      <c r="BI4451" s="2"/>
      <c r="BJ4451" s="2">
        <v>241</v>
      </c>
      <c r="BK4451" s="2" t="s">
        <v>82</v>
      </c>
      <c r="BL4451" s="2"/>
      <c r="BM4451" s="2">
        <v>241</v>
      </c>
      <c r="BN4451" s="2" t="s">
        <v>82</v>
      </c>
      <c r="BO4451" s="2"/>
      <c r="BP4451" s="2">
        <v>241</v>
      </c>
      <c r="BQ4451" s="2" t="s">
        <v>82</v>
      </c>
      <c r="BR4451" s="2"/>
      <c r="BS4451" s="3">
        <v>40479</v>
      </c>
      <c r="BT4451" s="4">
        <v>0.46331018518518513</v>
      </c>
    </row>
    <row r="4452" spans="1:72" x14ac:dyDescent="0.25">
      <c r="A4452" s="2">
        <v>6753</v>
      </c>
      <c r="B4452" s="2">
        <v>2010</v>
      </c>
      <c r="C4452" s="2" t="s">
        <v>171</v>
      </c>
      <c r="D4452" s="2" t="s">
        <v>73</v>
      </c>
      <c r="E4452" s="2"/>
      <c r="F4452" s="2">
        <v>397</v>
      </c>
      <c r="G4452" s="2" t="s">
        <v>2522</v>
      </c>
      <c r="H4452" s="2">
        <v>10</v>
      </c>
      <c r="I4452" s="2" t="s">
        <v>1031</v>
      </c>
      <c r="J4452" s="2">
        <v>377</v>
      </c>
      <c r="K4452" s="2" t="s">
        <v>1223</v>
      </c>
      <c r="L4452" s="2" t="s">
        <v>1224</v>
      </c>
      <c r="M4452" s="3">
        <v>40479</v>
      </c>
      <c r="N4452" s="2" t="s">
        <v>2523</v>
      </c>
      <c r="O4452" s="2" t="s">
        <v>6092</v>
      </c>
      <c r="P4452" s="2" t="s">
        <v>107</v>
      </c>
      <c r="Q4452" s="2" t="str">
        <f>"09R/10"</f>
        <v>09R/10</v>
      </c>
      <c r="R4452" s="2" t="s">
        <v>6092</v>
      </c>
      <c r="S4452" s="2" t="s">
        <v>6092</v>
      </c>
      <c r="T4452" s="2">
        <v>1</v>
      </c>
      <c r="U4452" s="2" t="s">
        <v>79</v>
      </c>
      <c r="V4452" s="2">
        <v>3</v>
      </c>
      <c r="W4452" s="2" t="s">
        <v>225</v>
      </c>
      <c r="X4452" s="2">
        <v>2</v>
      </c>
      <c r="Y4452" s="2" t="s">
        <v>136</v>
      </c>
      <c r="Z4452" s="2">
        <v>1</v>
      </c>
      <c r="AA4452" s="2" t="s">
        <v>82</v>
      </c>
      <c r="AB4452" s="2">
        <v>9</v>
      </c>
      <c r="AC4452" s="2" t="s">
        <v>124</v>
      </c>
      <c r="AD4452" s="3">
        <v>40478</v>
      </c>
      <c r="AE4452" s="2"/>
      <c r="AF4452" s="3">
        <v>40478</v>
      </c>
      <c r="AG4452" s="4">
        <v>0.75</v>
      </c>
      <c r="AH4452" s="2">
        <v>2</v>
      </c>
      <c r="AI4452" s="2" t="s">
        <v>84</v>
      </c>
      <c r="AJ4452" s="2">
        <v>6</v>
      </c>
      <c r="AK4452" s="2" t="s">
        <v>453</v>
      </c>
      <c r="AL4452" s="2">
        <v>25</v>
      </c>
      <c r="AM4452" s="2" t="s">
        <v>3073</v>
      </c>
      <c r="AN4452" s="2"/>
      <c r="AO4452" s="2" t="s">
        <v>13846</v>
      </c>
      <c r="AP4452" s="2">
        <v>11</v>
      </c>
      <c r="AQ4452" s="2" t="s">
        <v>82</v>
      </c>
      <c r="AR4452" s="2"/>
      <c r="AS4452" s="2"/>
      <c r="AT4452" s="2" t="s">
        <v>13847</v>
      </c>
      <c r="AU4452" s="2"/>
      <c r="AV4452" s="2"/>
      <c r="AW4452" s="2"/>
      <c r="AX4452" s="2"/>
      <c r="AY4452" s="2">
        <v>41</v>
      </c>
      <c r="AZ4452" s="2" t="s">
        <v>82</v>
      </c>
      <c r="BA4452" s="2">
        <v>156</v>
      </c>
      <c r="BB4452" s="2" t="s">
        <v>13848</v>
      </c>
      <c r="BC4452" s="2">
        <v>41</v>
      </c>
      <c r="BD4452" s="2" t="s">
        <v>82</v>
      </c>
      <c r="BE4452" s="2">
        <v>22</v>
      </c>
      <c r="BF4452" s="2" t="s">
        <v>1262</v>
      </c>
      <c r="BG4452" s="2" t="s">
        <v>5290</v>
      </c>
      <c r="BH4452" s="4">
        <v>0.32291666666666669</v>
      </c>
      <c r="BI4452" s="4">
        <v>0.85763888888888884</v>
      </c>
      <c r="BJ4452" s="2">
        <v>75</v>
      </c>
      <c r="BK4452" s="2" t="s">
        <v>1264</v>
      </c>
      <c r="BL4452" s="2" t="s">
        <v>5292</v>
      </c>
      <c r="BM4452" s="2">
        <v>75</v>
      </c>
      <c r="BN4452" s="2" t="s">
        <v>1264</v>
      </c>
      <c r="BO4452" s="2"/>
      <c r="BP4452" s="2">
        <v>13</v>
      </c>
      <c r="BQ4452" s="2" t="s">
        <v>91</v>
      </c>
      <c r="BR4452" s="2" t="s">
        <v>360</v>
      </c>
      <c r="BS4452" s="3">
        <v>40479</v>
      </c>
      <c r="BT4452" s="4">
        <v>0.46460648148148148</v>
      </c>
    </row>
    <row r="4453" spans="1:72" x14ac:dyDescent="0.25">
      <c r="A4453" s="2">
        <v>6754</v>
      </c>
      <c r="B4453" s="2">
        <v>2010</v>
      </c>
      <c r="C4453" s="2" t="s">
        <v>385</v>
      </c>
      <c r="D4453" s="2" t="s">
        <v>122</v>
      </c>
      <c r="E4453" s="2" t="s">
        <v>13849</v>
      </c>
      <c r="F4453" s="2">
        <v>230</v>
      </c>
      <c r="G4453" s="2" t="s">
        <v>2995</v>
      </c>
      <c r="H4453" s="2">
        <v>11</v>
      </c>
      <c r="I4453" s="2" t="s">
        <v>1397</v>
      </c>
      <c r="J4453" s="2">
        <v>377</v>
      </c>
      <c r="K4453" s="2" t="s">
        <v>1223</v>
      </c>
      <c r="L4453" s="2" t="s">
        <v>1224</v>
      </c>
      <c r="M4453" s="3">
        <v>40479</v>
      </c>
      <c r="N4453" s="2" t="s">
        <v>13801</v>
      </c>
      <c r="O4453" s="2"/>
      <c r="P4453" s="2"/>
      <c r="Q4453" s="2" t="str">
        <f>"558-E/10"</f>
        <v>558-E/10</v>
      </c>
      <c r="R4453" s="2" t="s">
        <v>391</v>
      </c>
      <c r="S4453" s="2" t="s">
        <v>391</v>
      </c>
      <c r="T4453" s="2">
        <v>1</v>
      </c>
      <c r="U4453" s="2" t="s">
        <v>79</v>
      </c>
      <c r="V4453" s="2">
        <v>1</v>
      </c>
      <c r="W4453" s="2" t="s">
        <v>80</v>
      </c>
      <c r="X4453" s="2">
        <v>1</v>
      </c>
      <c r="Y4453" s="2" t="s">
        <v>81</v>
      </c>
      <c r="Z4453" s="2">
        <v>1</v>
      </c>
      <c r="AA4453" s="2" t="s">
        <v>82</v>
      </c>
      <c r="AB4453" s="2">
        <v>9</v>
      </c>
      <c r="AC4453" s="2" t="s">
        <v>124</v>
      </c>
      <c r="AD4453" s="3">
        <v>40477</v>
      </c>
      <c r="AE4453" s="4">
        <v>0.76041666666666663</v>
      </c>
      <c r="AF4453" s="3">
        <v>40477</v>
      </c>
      <c r="AG4453" s="4">
        <v>0.75</v>
      </c>
      <c r="AH4453" s="2">
        <v>2</v>
      </c>
      <c r="AI4453" s="2" t="s">
        <v>84</v>
      </c>
      <c r="AJ4453" s="2">
        <v>9</v>
      </c>
      <c r="AK4453" s="2" t="s">
        <v>103</v>
      </c>
      <c r="AL4453" s="2">
        <v>22</v>
      </c>
      <c r="AM4453" s="2" t="s">
        <v>1853</v>
      </c>
      <c r="AN4453" s="2"/>
      <c r="AO4453" s="2" t="s">
        <v>180</v>
      </c>
      <c r="AP4453" s="2">
        <v>11</v>
      </c>
      <c r="AQ4453" s="2" t="s">
        <v>82</v>
      </c>
      <c r="AR4453" s="2"/>
      <c r="AS4453" s="2"/>
      <c r="AT4453" s="2" t="s">
        <v>13850</v>
      </c>
      <c r="AU4453" s="2"/>
      <c r="AV4453" s="2">
        <v>1</v>
      </c>
      <c r="AW4453" s="2"/>
      <c r="AX4453" s="2"/>
      <c r="AY4453" s="2">
        <v>41</v>
      </c>
      <c r="AZ4453" s="2" t="s">
        <v>82</v>
      </c>
      <c r="BA4453" s="2">
        <v>41</v>
      </c>
      <c r="BB4453" s="2" t="s">
        <v>82</v>
      </c>
      <c r="BC4453" s="2">
        <v>41</v>
      </c>
      <c r="BD4453" s="2" t="s">
        <v>82</v>
      </c>
      <c r="BE4453" s="2">
        <v>23</v>
      </c>
      <c r="BF4453" s="2" t="s">
        <v>183</v>
      </c>
      <c r="BG4453" s="2" t="s">
        <v>5475</v>
      </c>
      <c r="BH4453" s="4">
        <v>0.46875</v>
      </c>
      <c r="BI4453" s="4">
        <v>0</v>
      </c>
      <c r="BJ4453" s="2">
        <v>13</v>
      </c>
      <c r="BK4453" s="2" t="s">
        <v>91</v>
      </c>
      <c r="BL4453" s="2" t="s">
        <v>360</v>
      </c>
      <c r="BM4453" s="2">
        <v>73</v>
      </c>
      <c r="BN4453" s="2" t="s">
        <v>186</v>
      </c>
      <c r="BO4453" s="2"/>
      <c r="BP4453" s="2">
        <v>73</v>
      </c>
      <c r="BQ4453" s="2" t="s">
        <v>186</v>
      </c>
      <c r="BR4453" s="2" t="s">
        <v>187</v>
      </c>
      <c r="BS4453" s="3">
        <v>40479</v>
      </c>
      <c r="BT4453" s="4">
        <v>0.47085648148148151</v>
      </c>
    </row>
    <row r="4454" spans="1:72" x14ac:dyDescent="0.25">
      <c r="A4454" s="2">
        <v>6755</v>
      </c>
      <c r="B4454" s="2">
        <v>2010</v>
      </c>
      <c r="C4454" s="2" t="s">
        <v>4543</v>
      </c>
      <c r="D4454" s="2" t="s">
        <v>122</v>
      </c>
      <c r="E4454" s="2"/>
      <c r="F4454" s="2">
        <v>1</v>
      </c>
      <c r="G4454" s="2" t="s">
        <v>82</v>
      </c>
      <c r="H4454" s="2">
        <v>1</v>
      </c>
      <c r="I4454" s="2" t="s">
        <v>82</v>
      </c>
      <c r="J4454" s="2">
        <v>1</v>
      </c>
      <c r="K4454" s="2" t="s">
        <v>107</v>
      </c>
      <c r="L4454" s="2" t="s">
        <v>107</v>
      </c>
      <c r="M4454" s="3">
        <v>40479</v>
      </c>
      <c r="N4454" s="2"/>
      <c r="O4454" s="2"/>
      <c r="P4454" s="2"/>
      <c r="Q4454" s="2" t="str">
        <f>""</f>
        <v/>
      </c>
      <c r="R4454" s="2"/>
      <c r="S4454" s="2"/>
      <c r="T4454" s="2">
        <v>2</v>
      </c>
      <c r="U4454" s="2" t="s">
        <v>123</v>
      </c>
      <c r="V4454" s="2">
        <v>1</v>
      </c>
      <c r="W4454" s="2" t="s">
        <v>80</v>
      </c>
      <c r="X4454" s="2">
        <v>11</v>
      </c>
      <c r="Y4454" s="2" t="s">
        <v>1920</v>
      </c>
      <c r="Z4454" s="2">
        <v>1</v>
      </c>
      <c r="AA4454" s="2" t="s">
        <v>82</v>
      </c>
      <c r="AB4454" s="2">
        <v>9</v>
      </c>
      <c r="AC4454" s="2" t="s">
        <v>124</v>
      </c>
      <c r="AD4454" s="3">
        <v>40479</v>
      </c>
      <c r="AE4454" s="4">
        <v>0.5</v>
      </c>
      <c r="AF4454" s="2"/>
      <c r="AG4454" s="2"/>
      <c r="AH4454" s="2">
        <v>6</v>
      </c>
      <c r="AI4454" s="2" t="s">
        <v>197</v>
      </c>
      <c r="AJ4454" s="2">
        <v>54</v>
      </c>
      <c r="AK4454" s="2" t="s">
        <v>348</v>
      </c>
      <c r="AL4454" s="2">
        <v>19</v>
      </c>
      <c r="AM4454" s="2" t="s">
        <v>107</v>
      </c>
      <c r="AN4454" s="2" t="s">
        <v>595</v>
      </c>
      <c r="AO4454" s="2" t="s">
        <v>200</v>
      </c>
      <c r="AP4454" s="2">
        <v>12</v>
      </c>
      <c r="AQ4454" s="2" t="s">
        <v>322</v>
      </c>
      <c r="AR4454" s="2" t="s">
        <v>596</v>
      </c>
      <c r="AS4454" s="2" t="s">
        <v>596</v>
      </c>
      <c r="AT4454" s="2" t="s">
        <v>13851</v>
      </c>
      <c r="AU4454" s="2"/>
      <c r="AV4454" s="2"/>
      <c r="AW4454" s="2"/>
      <c r="AX4454" s="2"/>
      <c r="AY4454" s="2">
        <v>41</v>
      </c>
      <c r="AZ4454" s="2" t="s">
        <v>82</v>
      </c>
      <c r="BA4454" s="2">
        <v>41</v>
      </c>
      <c r="BB4454" s="2" t="s">
        <v>82</v>
      </c>
      <c r="BC4454" s="2">
        <v>41</v>
      </c>
      <c r="BD4454" s="2" t="s">
        <v>82</v>
      </c>
      <c r="BE4454" s="2">
        <v>13</v>
      </c>
      <c r="BF4454" s="2" t="s">
        <v>108</v>
      </c>
      <c r="BG4454" s="2" t="s">
        <v>814</v>
      </c>
      <c r="BH4454" s="4">
        <v>0.4548611111111111</v>
      </c>
      <c r="BI4454" s="4">
        <v>0.48958333333333331</v>
      </c>
      <c r="BJ4454" s="2">
        <v>13</v>
      </c>
      <c r="BK4454" s="2" t="s">
        <v>91</v>
      </c>
      <c r="BL4454" s="2" t="s">
        <v>13852</v>
      </c>
      <c r="BM4454" s="2">
        <v>13</v>
      </c>
      <c r="BN4454" s="2" t="s">
        <v>91</v>
      </c>
      <c r="BO4454" s="2"/>
      <c r="BP4454" s="2">
        <v>13</v>
      </c>
      <c r="BQ4454" s="2" t="s">
        <v>91</v>
      </c>
      <c r="BR4454" s="2" t="s">
        <v>984</v>
      </c>
      <c r="BS4454" s="3">
        <v>40479</v>
      </c>
      <c r="BT4454" s="4">
        <v>0.50539351851851855</v>
      </c>
    </row>
    <row r="4455" spans="1:72" x14ac:dyDescent="0.25">
      <c r="A4455" s="2">
        <v>6756</v>
      </c>
      <c r="B4455" s="2">
        <v>2010</v>
      </c>
      <c r="C4455" s="2" t="s">
        <v>93</v>
      </c>
      <c r="D4455" s="2" t="s">
        <v>73</v>
      </c>
      <c r="E4455" s="2"/>
      <c r="F4455" s="2">
        <v>389</v>
      </c>
      <c r="G4455" s="2" t="s">
        <v>1819</v>
      </c>
      <c r="H4455" s="2">
        <v>3</v>
      </c>
      <c r="I4455" s="2" t="s">
        <v>315</v>
      </c>
      <c r="J4455" s="2">
        <v>399</v>
      </c>
      <c r="K4455" s="2" t="s">
        <v>1820</v>
      </c>
      <c r="L4455" s="2" t="s">
        <v>1821</v>
      </c>
      <c r="M4455" s="3">
        <v>40479</v>
      </c>
      <c r="N4455" s="2" t="s">
        <v>2367</v>
      </c>
      <c r="O4455" s="2" t="s">
        <v>82</v>
      </c>
      <c r="P4455" s="2" t="s">
        <v>82</v>
      </c>
      <c r="Q4455" s="2" t="str">
        <f>"N/C"</f>
        <v>N/C</v>
      </c>
      <c r="R4455" s="2" t="s">
        <v>82</v>
      </c>
      <c r="S4455" s="2" t="s">
        <v>82</v>
      </c>
      <c r="T4455" s="2">
        <v>1</v>
      </c>
      <c r="U4455" s="2" t="s">
        <v>79</v>
      </c>
      <c r="V4455" s="2">
        <v>1</v>
      </c>
      <c r="W4455" s="2" t="s">
        <v>80</v>
      </c>
      <c r="X4455" s="2">
        <v>10</v>
      </c>
      <c r="Y4455" s="2" t="s">
        <v>226</v>
      </c>
      <c r="Z4455" s="2">
        <v>6</v>
      </c>
      <c r="AA4455" s="2" t="s">
        <v>101</v>
      </c>
      <c r="AB4455" s="2">
        <v>2</v>
      </c>
      <c r="AC4455" s="2" t="s">
        <v>102</v>
      </c>
      <c r="AD4455" s="3">
        <v>40478</v>
      </c>
      <c r="AE4455" s="4">
        <v>0.84375</v>
      </c>
      <c r="AF4455" s="3">
        <v>40479</v>
      </c>
      <c r="AG4455" s="4">
        <v>3.4722222222222224E-2</v>
      </c>
      <c r="AH4455" s="2">
        <v>2</v>
      </c>
      <c r="AI4455" s="2" t="s">
        <v>84</v>
      </c>
      <c r="AJ4455" s="2">
        <v>9</v>
      </c>
      <c r="AK4455" s="2" t="s">
        <v>103</v>
      </c>
      <c r="AL4455" s="2">
        <v>14</v>
      </c>
      <c r="AM4455" s="2" t="s">
        <v>216</v>
      </c>
      <c r="AN4455" s="2"/>
      <c r="AO4455" s="2" t="s">
        <v>13853</v>
      </c>
      <c r="AP4455" s="2">
        <v>11</v>
      </c>
      <c r="AQ4455" s="2" t="s">
        <v>82</v>
      </c>
      <c r="AR4455" s="2"/>
      <c r="AS4455" s="2"/>
      <c r="AT4455" s="2" t="s">
        <v>13854</v>
      </c>
      <c r="AU4455" s="2"/>
      <c r="AV4455" s="2"/>
      <c r="AW4455" s="2"/>
      <c r="AX4455" s="2"/>
      <c r="AY4455" s="2">
        <v>41</v>
      </c>
      <c r="AZ4455" s="2" t="s">
        <v>82</v>
      </c>
      <c r="BA4455" s="2">
        <v>41</v>
      </c>
      <c r="BB4455" s="2" t="s">
        <v>82</v>
      </c>
      <c r="BC4455" s="2">
        <v>41</v>
      </c>
      <c r="BD4455" s="2" t="s">
        <v>82</v>
      </c>
      <c r="BE4455" s="2">
        <v>41</v>
      </c>
      <c r="BF4455" s="2" t="s">
        <v>82</v>
      </c>
      <c r="BG4455" s="2"/>
      <c r="BH4455" s="2"/>
      <c r="BI4455" s="2"/>
      <c r="BJ4455" s="2">
        <v>241</v>
      </c>
      <c r="BK4455" s="2" t="s">
        <v>82</v>
      </c>
      <c r="BL4455" s="2"/>
      <c r="BM4455" s="2">
        <v>241</v>
      </c>
      <c r="BN4455" s="2" t="s">
        <v>82</v>
      </c>
      <c r="BO4455" s="2"/>
      <c r="BP4455" s="2">
        <v>241</v>
      </c>
      <c r="BQ4455" s="2" t="s">
        <v>82</v>
      </c>
      <c r="BR4455" s="2"/>
      <c r="BS4455" s="3">
        <v>40479</v>
      </c>
      <c r="BT4455" s="4">
        <v>0.50940972222222225</v>
      </c>
    </row>
    <row r="4456" spans="1:72" x14ac:dyDescent="0.25">
      <c r="A4456" s="2">
        <v>6758</v>
      </c>
      <c r="B4456" s="2">
        <v>2010</v>
      </c>
      <c r="C4456" s="2" t="s">
        <v>171</v>
      </c>
      <c r="D4456" s="2" t="s">
        <v>73</v>
      </c>
      <c r="E4456" s="2" t="s">
        <v>13855</v>
      </c>
      <c r="F4456" s="2">
        <v>571</v>
      </c>
      <c r="G4456" s="2" t="s">
        <v>8061</v>
      </c>
      <c r="H4456" s="2">
        <v>47</v>
      </c>
      <c r="I4456" s="2" t="s">
        <v>1409</v>
      </c>
      <c r="J4456" s="2">
        <v>119</v>
      </c>
      <c r="K4456" s="2" t="s">
        <v>325</v>
      </c>
      <c r="L4456" s="2" t="s">
        <v>326</v>
      </c>
      <c r="M4456" s="3">
        <v>40479</v>
      </c>
      <c r="N4456" s="2" t="s">
        <v>13856</v>
      </c>
      <c r="O4456" s="2" t="s">
        <v>13857</v>
      </c>
      <c r="P4456" s="2" t="s">
        <v>8063</v>
      </c>
      <c r="Q4456" s="2" t="str">
        <f>""</f>
        <v/>
      </c>
      <c r="R4456" s="2"/>
      <c r="S4456" s="2"/>
      <c r="T4456" s="2">
        <v>1</v>
      </c>
      <c r="U4456" s="2" t="s">
        <v>79</v>
      </c>
      <c r="V4456" s="2">
        <v>3</v>
      </c>
      <c r="W4456" s="2" t="s">
        <v>225</v>
      </c>
      <c r="X4456" s="2">
        <v>6</v>
      </c>
      <c r="Y4456" s="2" t="s">
        <v>249</v>
      </c>
      <c r="Z4456" s="2">
        <v>1</v>
      </c>
      <c r="AA4456" s="2" t="s">
        <v>82</v>
      </c>
      <c r="AB4456" s="2">
        <v>9</v>
      </c>
      <c r="AC4456" s="2" t="s">
        <v>124</v>
      </c>
      <c r="AD4456" s="3">
        <v>40479</v>
      </c>
      <c r="AE4456" s="4">
        <v>0.45833333333333331</v>
      </c>
      <c r="AF4456" s="2"/>
      <c r="AG4456" s="2"/>
      <c r="AH4456" s="2">
        <v>6</v>
      </c>
      <c r="AI4456" s="2" t="s">
        <v>197</v>
      </c>
      <c r="AJ4456" s="2">
        <v>47</v>
      </c>
      <c r="AK4456" s="2" t="s">
        <v>250</v>
      </c>
      <c r="AL4456" s="2">
        <v>23</v>
      </c>
      <c r="AM4456" s="2" t="s">
        <v>251</v>
      </c>
      <c r="AN4456" s="2"/>
      <c r="AO4456" s="2" t="s">
        <v>13858</v>
      </c>
      <c r="AP4456" s="2">
        <v>11</v>
      </c>
      <c r="AQ4456" s="2" t="s">
        <v>82</v>
      </c>
      <c r="AR4456" s="2"/>
      <c r="AS4456" s="2"/>
      <c r="AT4456" s="2" t="s">
        <v>13859</v>
      </c>
      <c r="AU4456" s="2"/>
      <c r="AV4456" s="2"/>
      <c r="AW4456" s="2"/>
      <c r="AX4456" s="2"/>
      <c r="AY4456" s="2">
        <v>41</v>
      </c>
      <c r="AZ4456" s="2" t="s">
        <v>82</v>
      </c>
      <c r="BA4456" s="2">
        <v>41</v>
      </c>
      <c r="BB4456" s="2" t="s">
        <v>82</v>
      </c>
      <c r="BC4456" s="2">
        <v>41</v>
      </c>
      <c r="BD4456" s="2" t="s">
        <v>82</v>
      </c>
      <c r="BE4456" s="2">
        <v>41</v>
      </c>
      <c r="BF4456" s="2" t="s">
        <v>82</v>
      </c>
      <c r="BG4456" s="2"/>
      <c r="BH4456" s="2"/>
      <c r="BI4456" s="2"/>
      <c r="BJ4456" s="2">
        <v>241</v>
      </c>
      <c r="BK4456" s="2" t="s">
        <v>82</v>
      </c>
      <c r="BL4456" s="2"/>
      <c r="BM4456" s="2">
        <v>241</v>
      </c>
      <c r="BN4456" s="2" t="s">
        <v>82</v>
      </c>
      <c r="BO4456" s="2"/>
      <c r="BP4456" s="2">
        <v>241</v>
      </c>
      <c r="BQ4456" s="2" t="s">
        <v>82</v>
      </c>
      <c r="BR4456" s="2"/>
      <c r="BS4456" s="3">
        <v>40479</v>
      </c>
      <c r="BT4456" s="4">
        <v>0.54305555555555551</v>
      </c>
    </row>
    <row r="4457" spans="1:72" x14ac:dyDescent="0.25">
      <c r="A4457" s="2">
        <v>6759</v>
      </c>
      <c r="B4457" s="2">
        <v>2010</v>
      </c>
      <c r="C4457" s="2" t="s">
        <v>4543</v>
      </c>
      <c r="D4457" s="2" t="s">
        <v>122</v>
      </c>
      <c r="E4457" s="2"/>
      <c r="F4457" s="2">
        <v>3</v>
      </c>
      <c r="G4457" s="2" t="s">
        <v>1041</v>
      </c>
      <c r="H4457" s="2">
        <v>1</v>
      </c>
      <c r="I4457" s="2" t="s">
        <v>82</v>
      </c>
      <c r="J4457" s="2">
        <v>368</v>
      </c>
      <c r="K4457" s="2" t="s">
        <v>1042</v>
      </c>
      <c r="L4457" s="2" t="s">
        <v>1043</v>
      </c>
      <c r="M4457" s="3">
        <v>40479</v>
      </c>
      <c r="N4457" s="2" t="s">
        <v>82</v>
      </c>
      <c r="O4457" s="2" t="s">
        <v>82</v>
      </c>
      <c r="P4457" s="2" t="s">
        <v>82</v>
      </c>
      <c r="Q4457" s="2" t="str">
        <f>"N/C"</f>
        <v>N/C</v>
      </c>
      <c r="R4457" s="2" t="s">
        <v>82</v>
      </c>
      <c r="S4457" s="2" t="s">
        <v>82</v>
      </c>
      <c r="T4457" s="2">
        <v>2</v>
      </c>
      <c r="U4457" s="2" t="s">
        <v>123</v>
      </c>
      <c r="V4457" s="2">
        <v>1</v>
      </c>
      <c r="W4457" s="2" t="s">
        <v>80</v>
      </c>
      <c r="X4457" s="2">
        <v>5</v>
      </c>
      <c r="Y4457" s="2" t="s">
        <v>82</v>
      </c>
      <c r="Z4457" s="2">
        <v>1</v>
      </c>
      <c r="AA4457" s="2" t="s">
        <v>82</v>
      </c>
      <c r="AB4457" s="2">
        <v>9</v>
      </c>
      <c r="AC4457" s="2" t="s">
        <v>124</v>
      </c>
      <c r="AD4457" s="3">
        <v>40478</v>
      </c>
      <c r="AE4457" s="4">
        <v>0.95138888888888884</v>
      </c>
      <c r="AF4457" s="3">
        <v>40479</v>
      </c>
      <c r="AG4457" s="4">
        <v>0.125</v>
      </c>
      <c r="AH4457" s="2">
        <v>2</v>
      </c>
      <c r="AI4457" s="2" t="s">
        <v>84</v>
      </c>
      <c r="AJ4457" s="2">
        <v>9</v>
      </c>
      <c r="AK4457" s="2" t="s">
        <v>103</v>
      </c>
      <c r="AL4457" s="2">
        <v>28</v>
      </c>
      <c r="AM4457" s="2" t="s">
        <v>5969</v>
      </c>
      <c r="AN4457" s="2" t="s">
        <v>13860</v>
      </c>
      <c r="AO4457" s="2"/>
      <c r="AP4457" s="2">
        <v>11</v>
      </c>
      <c r="AQ4457" s="2" t="s">
        <v>82</v>
      </c>
      <c r="AR4457" s="2"/>
      <c r="AS4457" s="2"/>
      <c r="AT4457" s="2" t="s">
        <v>13861</v>
      </c>
      <c r="AU4457" s="2"/>
      <c r="AV4457" s="2"/>
      <c r="AW4457" s="2"/>
      <c r="AX4457" s="2"/>
      <c r="AY4457" s="2">
        <v>41</v>
      </c>
      <c r="AZ4457" s="2" t="s">
        <v>82</v>
      </c>
      <c r="BA4457" s="2">
        <v>41</v>
      </c>
      <c r="BB4457" s="2" t="s">
        <v>82</v>
      </c>
      <c r="BC4457" s="2">
        <v>41</v>
      </c>
      <c r="BD4457" s="2" t="s">
        <v>82</v>
      </c>
      <c r="BE4457" s="2">
        <v>41</v>
      </c>
      <c r="BF4457" s="2" t="s">
        <v>82</v>
      </c>
      <c r="BG4457" s="2"/>
      <c r="BH4457" s="2"/>
      <c r="BI4457" s="2"/>
      <c r="BJ4457" s="2">
        <v>241</v>
      </c>
      <c r="BK4457" s="2" t="s">
        <v>82</v>
      </c>
      <c r="BL4457" s="2"/>
      <c r="BM4457" s="2">
        <v>241</v>
      </c>
      <c r="BN4457" s="2" t="s">
        <v>82</v>
      </c>
      <c r="BO4457" s="2"/>
      <c r="BP4457" s="2">
        <v>241</v>
      </c>
      <c r="BQ4457" s="2" t="s">
        <v>82</v>
      </c>
      <c r="BR4457" s="2"/>
      <c r="BS4457" s="3">
        <v>40479</v>
      </c>
      <c r="BT4457" s="4">
        <v>0.54434027777777783</v>
      </c>
    </row>
    <row r="4458" spans="1:72" x14ac:dyDescent="0.25">
      <c r="A4458" s="2">
        <v>6761</v>
      </c>
      <c r="B4458" s="2">
        <v>2010</v>
      </c>
      <c r="C4458" s="2" t="s">
        <v>377</v>
      </c>
      <c r="D4458" s="2" t="s">
        <v>73</v>
      </c>
      <c r="E4458" s="2"/>
      <c r="F4458" s="2">
        <v>426</v>
      </c>
      <c r="G4458" s="2" t="s">
        <v>378</v>
      </c>
      <c r="H4458" s="2">
        <v>42</v>
      </c>
      <c r="I4458" s="2" t="s">
        <v>1096</v>
      </c>
      <c r="J4458" s="2">
        <v>311</v>
      </c>
      <c r="K4458" s="2" t="s">
        <v>379</v>
      </c>
      <c r="L4458" s="2" t="s">
        <v>380</v>
      </c>
      <c r="M4458" s="3">
        <v>40479</v>
      </c>
      <c r="N4458" s="2" t="s">
        <v>13862</v>
      </c>
      <c r="O4458" s="2"/>
      <c r="P4458" s="2"/>
      <c r="Q4458" s="2" t="str">
        <f>"273-C/10"</f>
        <v>273-C/10</v>
      </c>
      <c r="R4458" s="2"/>
      <c r="S4458" s="2" t="s">
        <v>4072</v>
      </c>
      <c r="T4458" s="2">
        <v>1</v>
      </c>
      <c r="U4458" s="2" t="s">
        <v>79</v>
      </c>
      <c r="V4458" s="2">
        <v>1</v>
      </c>
      <c r="W4458" s="2" t="s">
        <v>80</v>
      </c>
      <c r="X4458" s="2">
        <v>1</v>
      </c>
      <c r="Y4458" s="2" t="s">
        <v>81</v>
      </c>
      <c r="Z4458" s="2">
        <v>1</v>
      </c>
      <c r="AA4458" s="2" t="s">
        <v>82</v>
      </c>
      <c r="AB4458" s="2">
        <v>9</v>
      </c>
      <c r="AC4458" s="2" t="s">
        <v>124</v>
      </c>
      <c r="AD4458" s="3">
        <v>40478</v>
      </c>
      <c r="AE4458" s="2"/>
      <c r="AF4458" s="3">
        <v>40478</v>
      </c>
      <c r="AG4458" s="4">
        <v>0.875</v>
      </c>
      <c r="AH4458" s="2">
        <v>2</v>
      </c>
      <c r="AI4458" s="2" t="s">
        <v>84</v>
      </c>
      <c r="AJ4458" s="2">
        <v>9</v>
      </c>
      <c r="AK4458" s="2" t="s">
        <v>103</v>
      </c>
      <c r="AL4458" s="2">
        <v>24</v>
      </c>
      <c r="AM4458" s="2" t="s">
        <v>1540</v>
      </c>
      <c r="AN4458" s="2" t="s">
        <v>12443</v>
      </c>
      <c r="AO4458" s="2"/>
      <c r="AP4458" s="2">
        <v>11</v>
      </c>
      <c r="AQ4458" s="2" t="s">
        <v>82</v>
      </c>
      <c r="AR4458" s="2"/>
      <c r="AS4458" s="2"/>
      <c r="AT4458" s="2" t="s">
        <v>13863</v>
      </c>
      <c r="AU4458" s="2"/>
      <c r="AV4458" s="2"/>
      <c r="AW4458" s="2"/>
      <c r="AX4458" s="2"/>
      <c r="AY4458" s="2">
        <v>41</v>
      </c>
      <c r="AZ4458" s="2" t="s">
        <v>82</v>
      </c>
      <c r="BA4458" s="2">
        <v>41</v>
      </c>
      <c r="BB4458" s="2" t="s">
        <v>82</v>
      </c>
      <c r="BC4458" s="2">
        <v>41</v>
      </c>
      <c r="BD4458" s="2" t="s">
        <v>82</v>
      </c>
      <c r="BE4458" s="2">
        <v>41</v>
      </c>
      <c r="BF4458" s="2" t="s">
        <v>82</v>
      </c>
      <c r="BG4458" s="2"/>
      <c r="BH4458" s="2"/>
      <c r="BI4458" s="2"/>
      <c r="BJ4458" s="2">
        <v>241</v>
      </c>
      <c r="BK4458" s="2" t="s">
        <v>82</v>
      </c>
      <c r="BL4458" s="2"/>
      <c r="BM4458" s="2">
        <v>241</v>
      </c>
      <c r="BN4458" s="2" t="s">
        <v>82</v>
      </c>
      <c r="BO4458" s="2"/>
      <c r="BP4458" s="2">
        <v>241</v>
      </c>
      <c r="BQ4458" s="2" t="s">
        <v>82</v>
      </c>
      <c r="BR4458" s="2"/>
      <c r="BS4458" s="3">
        <v>40479</v>
      </c>
      <c r="BT4458" s="4">
        <v>0.55884259259259261</v>
      </c>
    </row>
    <row r="4459" spans="1:72" x14ac:dyDescent="0.25">
      <c r="A4459" s="2">
        <v>6763</v>
      </c>
      <c r="B4459" s="2">
        <v>2010</v>
      </c>
      <c r="C4459" s="2" t="s">
        <v>121</v>
      </c>
      <c r="D4459" s="2" t="s">
        <v>122</v>
      </c>
      <c r="E4459" s="2"/>
      <c r="F4459" s="2">
        <v>1</v>
      </c>
      <c r="G4459" s="2" t="s">
        <v>82</v>
      </c>
      <c r="H4459" s="2">
        <v>1</v>
      </c>
      <c r="I4459" s="2" t="s">
        <v>82</v>
      </c>
      <c r="J4459" s="2">
        <v>1</v>
      </c>
      <c r="K4459" s="2" t="s">
        <v>107</v>
      </c>
      <c r="L4459" s="2" t="s">
        <v>107</v>
      </c>
      <c r="M4459" s="3">
        <v>40479</v>
      </c>
      <c r="N4459" s="2"/>
      <c r="O4459" s="2"/>
      <c r="P4459" s="2"/>
      <c r="Q4459" s="2" t="str">
        <f>""</f>
        <v/>
      </c>
      <c r="R4459" s="2"/>
      <c r="S4459" s="2"/>
      <c r="T4459" s="2">
        <v>2</v>
      </c>
      <c r="U4459" s="2" t="s">
        <v>123</v>
      </c>
      <c r="V4459" s="2">
        <v>1</v>
      </c>
      <c r="W4459" s="2" t="s">
        <v>80</v>
      </c>
      <c r="X4459" s="2">
        <v>5</v>
      </c>
      <c r="Y4459" s="2" t="s">
        <v>82</v>
      </c>
      <c r="Z4459" s="2">
        <v>1</v>
      </c>
      <c r="AA4459" s="2" t="s">
        <v>82</v>
      </c>
      <c r="AB4459" s="2">
        <v>9</v>
      </c>
      <c r="AC4459" s="2" t="s">
        <v>124</v>
      </c>
      <c r="AD4459" s="3">
        <v>40479</v>
      </c>
      <c r="AE4459" s="4">
        <v>0.52083333333333337</v>
      </c>
      <c r="AF4459" s="3">
        <v>40479</v>
      </c>
      <c r="AG4459" s="2"/>
      <c r="AH4459" s="2">
        <v>6</v>
      </c>
      <c r="AI4459" s="2" t="s">
        <v>197</v>
      </c>
      <c r="AJ4459" s="2">
        <v>53</v>
      </c>
      <c r="AK4459" s="2" t="s">
        <v>11269</v>
      </c>
      <c r="AL4459" s="2">
        <v>19</v>
      </c>
      <c r="AM4459" s="2" t="s">
        <v>107</v>
      </c>
      <c r="AN4459" s="2" t="s">
        <v>13864</v>
      </c>
      <c r="AO4459" s="2" t="s">
        <v>13864</v>
      </c>
      <c r="AP4459" s="2">
        <v>11</v>
      </c>
      <c r="AQ4459" s="2" t="s">
        <v>82</v>
      </c>
      <c r="AR4459" s="2"/>
      <c r="AS4459" s="2"/>
      <c r="AT4459" s="2" t="s">
        <v>13865</v>
      </c>
      <c r="AU4459" s="2"/>
      <c r="AV4459" s="2"/>
      <c r="AW4459" s="2"/>
      <c r="AX4459" s="2"/>
      <c r="AY4459" s="2">
        <v>41</v>
      </c>
      <c r="AZ4459" s="2" t="s">
        <v>82</v>
      </c>
      <c r="BA4459" s="2">
        <v>41</v>
      </c>
      <c r="BB4459" s="2" t="s">
        <v>82</v>
      </c>
      <c r="BC4459" s="2">
        <v>41</v>
      </c>
      <c r="BD4459" s="2" t="s">
        <v>82</v>
      </c>
      <c r="BE4459" s="2">
        <v>41</v>
      </c>
      <c r="BF4459" s="2" t="s">
        <v>82</v>
      </c>
      <c r="BG4459" s="2"/>
      <c r="BH4459" s="4">
        <v>0.52083333333333337</v>
      </c>
      <c r="BI4459" s="4">
        <v>0.54166666666666663</v>
      </c>
      <c r="BJ4459" s="2">
        <v>241</v>
      </c>
      <c r="BK4459" s="2" t="s">
        <v>82</v>
      </c>
      <c r="BL4459" s="2" t="s">
        <v>13866</v>
      </c>
      <c r="BM4459" s="2">
        <v>241</v>
      </c>
      <c r="BN4459" s="2" t="s">
        <v>82</v>
      </c>
      <c r="BO4459" s="2"/>
      <c r="BP4459" s="2">
        <v>241</v>
      </c>
      <c r="BQ4459" s="2" t="s">
        <v>82</v>
      </c>
      <c r="BR4459" s="2" t="s">
        <v>13867</v>
      </c>
      <c r="BS4459" s="3">
        <v>40479</v>
      </c>
      <c r="BT4459" s="4">
        <v>0.59432870370370372</v>
      </c>
    </row>
    <row r="4460" spans="1:72" x14ac:dyDescent="0.25">
      <c r="A4460" s="2">
        <v>6766</v>
      </c>
      <c r="B4460" s="2">
        <v>2010</v>
      </c>
      <c r="C4460" s="2" t="s">
        <v>554</v>
      </c>
      <c r="D4460" s="2" t="s">
        <v>122</v>
      </c>
      <c r="E4460" s="2" t="s">
        <v>13843</v>
      </c>
      <c r="F4460" s="2">
        <v>389</v>
      </c>
      <c r="G4460" s="2" t="s">
        <v>1819</v>
      </c>
      <c r="H4460" s="2">
        <v>41</v>
      </c>
      <c r="I4460" s="2" t="s">
        <v>1906</v>
      </c>
      <c r="J4460" s="2">
        <v>399</v>
      </c>
      <c r="K4460" s="2" t="s">
        <v>1820</v>
      </c>
      <c r="L4460" s="2" t="s">
        <v>1821</v>
      </c>
      <c r="M4460" s="3">
        <v>40479</v>
      </c>
      <c r="N4460" s="2" t="s">
        <v>13824</v>
      </c>
      <c r="O4460" s="2"/>
      <c r="P4460" s="2"/>
      <c r="Q4460" s="2" t="str">
        <f>"560-E/10"</f>
        <v>560-E/10</v>
      </c>
      <c r="R4460" s="2" t="s">
        <v>1130</v>
      </c>
      <c r="S4460" s="2" t="s">
        <v>1130</v>
      </c>
      <c r="T4460" s="2">
        <v>1</v>
      </c>
      <c r="U4460" s="2" t="s">
        <v>79</v>
      </c>
      <c r="V4460" s="2">
        <v>1</v>
      </c>
      <c r="W4460" s="2" t="s">
        <v>80</v>
      </c>
      <c r="X4460" s="2">
        <v>1</v>
      </c>
      <c r="Y4460" s="2" t="s">
        <v>81</v>
      </c>
      <c r="Z4460" s="2">
        <v>1</v>
      </c>
      <c r="AA4460" s="2" t="s">
        <v>82</v>
      </c>
      <c r="AB4460" s="2">
        <v>5</v>
      </c>
      <c r="AC4460" s="2" t="s">
        <v>559</v>
      </c>
      <c r="AD4460" s="3">
        <v>40477</v>
      </c>
      <c r="AE4460" s="4">
        <v>0.70833333333333337</v>
      </c>
      <c r="AF4460" s="2"/>
      <c r="AG4460" s="2"/>
      <c r="AH4460" s="2">
        <v>2</v>
      </c>
      <c r="AI4460" s="2" t="s">
        <v>84</v>
      </c>
      <c r="AJ4460" s="2">
        <v>9</v>
      </c>
      <c r="AK4460" s="2" t="s">
        <v>103</v>
      </c>
      <c r="AL4460" s="2">
        <v>24</v>
      </c>
      <c r="AM4460" s="2" t="s">
        <v>1540</v>
      </c>
      <c r="AN4460" s="2"/>
      <c r="AO4460" s="2" t="s">
        <v>13844</v>
      </c>
      <c r="AP4460" s="2">
        <v>11</v>
      </c>
      <c r="AQ4460" s="2" t="s">
        <v>82</v>
      </c>
      <c r="AR4460" s="2"/>
      <c r="AS4460" s="2"/>
      <c r="AT4460" s="2" t="s">
        <v>13868</v>
      </c>
      <c r="AU4460" s="2"/>
      <c r="AV4460" s="2">
        <v>3</v>
      </c>
      <c r="AW4460" s="2"/>
      <c r="AX4460" s="2"/>
      <c r="AY4460" s="2">
        <v>41</v>
      </c>
      <c r="AZ4460" s="2" t="s">
        <v>82</v>
      </c>
      <c r="BA4460" s="2">
        <v>41</v>
      </c>
      <c r="BB4460" s="2" t="s">
        <v>82</v>
      </c>
      <c r="BC4460" s="2">
        <v>41</v>
      </c>
      <c r="BD4460" s="2" t="s">
        <v>82</v>
      </c>
      <c r="BE4460" s="2">
        <v>41</v>
      </c>
      <c r="BF4460" s="2" t="s">
        <v>82</v>
      </c>
      <c r="BG4460" s="2"/>
      <c r="BH4460" s="2"/>
      <c r="BI4460" s="2"/>
      <c r="BJ4460" s="2">
        <v>241</v>
      </c>
      <c r="BK4460" s="2" t="s">
        <v>82</v>
      </c>
      <c r="BL4460" s="2"/>
      <c r="BM4460" s="2">
        <v>241</v>
      </c>
      <c r="BN4460" s="2" t="s">
        <v>82</v>
      </c>
      <c r="BO4460" s="2"/>
      <c r="BP4460" s="2">
        <v>241</v>
      </c>
      <c r="BQ4460" s="2" t="s">
        <v>82</v>
      </c>
      <c r="BR4460" s="2"/>
      <c r="BS4460" s="3">
        <v>40479</v>
      </c>
      <c r="BT4460" s="4">
        <v>0.76206018518518526</v>
      </c>
    </row>
    <row r="4461" spans="1:72" x14ac:dyDescent="0.25">
      <c r="A4461" s="2">
        <v>6769</v>
      </c>
      <c r="B4461" s="2">
        <v>2010</v>
      </c>
      <c r="C4461" s="2" t="s">
        <v>4543</v>
      </c>
      <c r="D4461" s="2" t="s">
        <v>122</v>
      </c>
      <c r="E4461" s="2"/>
      <c r="F4461" s="2">
        <v>1</v>
      </c>
      <c r="G4461" s="2" t="s">
        <v>82</v>
      </c>
      <c r="H4461" s="2">
        <v>1</v>
      </c>
      <c r="I4461" s="2" t="s">
        <v>82</v>
      </c>
      <c r="J4461" s="2">
        <v>1</v>
      </c>
      <c r="K4461" s="2" t="s">
        <v>107</v>
      </c>
      <c r="L4461" s="2" t="s">
        <v>107</v>
      </c>
      <c r="M4461" s="3">
        <v>40479</v>
      </c>
      <c r="N4461" s="2"/>
      <c r="O4461" s="2"/>
      <c r="P4461" s="2"/>
      <c r="Q4461" s="2" t="str">
        <f>""</f>
        <v/>
      </c>
      <c r="R4461" s="2"/>
      <c r="S4461" s="2"/>
      <c r="T4461" s="2">
        <v>2</v>
      </c>
      <c r="U4461" s="2" t="s">
        <v>123</v>
      </c>
      <c r="V4461" s="2">
        <v>1</v>
      </c>
      <c r="W4461" s="2" t="s">
        <v>80</v>
      </c>
      <c r="X4461" s="2">
        <v>11</v>
      </c>
      <c r="Y4461" s="2" t="s">
        <v>1920</v>
      </c>
      <c r="Z4461" s="2">
        <v>1</v>
      </c>
      <c r="AA4461" s="2" t="s">
        <v>82</v>
      </c>
      <c r="AB4461" s="2">
        <v>9</v>
      </c>
      <c r="AC4461" s="2" t="s">
        <v>124</v>
      </c>
      <c r="AD4461" s="3">
        <v>40479</v>
      </c>
      <c r="AE4461" s="4">
        <v>0.83680555555555547</v>
      </c>
      <c r="AF4461" s="2"/>
      <c r="AG4461" s="2"/>
      <c r="AH4461" s="2">
        <v>6</v>
      </c>
      <c r="AI4461" s="2" t="s">
        <v>197</v>
      </c>
      <c r="AJ4461" s="2">
        <v>54</v>
      </c>
      <c r="AK4461" s="2" t="s">
        <v>348</v>
      </c>
      <c r="AL4461" s="2">
        <v>19</v>
      </c>
      <c r="AM4461" s="2" t="s">
        <v>107</v>
      </c>
      <c r="AN4461" s="2" t="s">
        <v>595</v>
      </c>
      <c r="AO4461" s="2" t="s">
        <v>200</v>
      </c>
      <c r="AP4461" s="2">
        <v>12</v>
      </c>
      <c r="AQ4461" s="2" t="s">
        <v>322</v>
      </c>
      <c r="AR4461" s="2" t="s">
        <v>596</v>
      </c>
      <c r="AS4461" s="2" t="s">
        <v>596</v>
      </c>
      <c r="AT4461" s="2" t="s">
        <v>13869</v>
      </c>
      <c r="AU4461" s="2"/>
      <c r="AV4461" s="2"/>
      <c r="AW4461" s="2"/>
      <c r="AX4461" s="2"/>
      <c r="AY4461" s="2">
        <v>41</v>
      </c>
      <c r="AZ4461" s="2" t="s">
        <v>82</v>
      </c>
      <c r="BA4461" s="2">
        <v>41</v>
      </c>
      <c r="BB4461" s="2" t="s">
        <v>82</v>
      </c>
      <c r="BC4461" s="2">
        <v>41</v>
      </c>
      <c r="BD4461" s="2" t="s">
        <v>82</v>
      </c>
      <c r="BE4461" s="2">
        <v>47</v>
      </c>
      <c r="BF4461" s="2" t="s">
        <v>167</v>
      </c>
      <c r="BG4461" s="2" t="s">
        <v>848</v>
      </c>
      <c r="BH4461" s="4">
        <v>0.79166666666666663</v>
      </c>
      <c r="BI4461" s="4">
        <v>0.8340277777777777</v>
      </c>
      <c r="BJ4461" s="2">
        <v>13</v>
      </c>
      <c r="BK4461" s="2" t="s">
        <v>91</v>
      </c>
      <c r="BL4461" s="2" t="s">
        <v>2764</v>
      </c>
      <c r="BM4461" s="2">
        <v>13</v>
      </c>
      <c r="BN4461" s="2" t="s">
        <v>91</v>
      </c>
      <c r="BO4461" s="2"/>
      <c r="BP4461" s="2">
        <v>13</v>
      </c>
      <c r="BQ4461" s="2" t="s">
        <v>91</v>
      </c>
      <c r="BR4461" s="2" t="s">
        <v>2168</v>
      </c>
      <c r="BS4461" s="3">
        <v>40479</v>
      </c>
      <c r="BT4461" s="4">
        <v>0.83702546296296287</v>
      </c>
    </row>
    <row r="4462" spans="1:72" x14ac:dyDescent="0.25">
      <c r="A4462" s="2">
        <v>6770</v>
      </c>
      <c r="B4462" s="2">
        <v>2010</v>
      </c>
      <c r="C4462" s="2" t="s">
        <v>171</v>
      </c>
      <c r="D4462" s="2" t="s">
        <v>73</v>
      </c>
      <c r="E4462" s="2"/>
      <c r="F4462" s="2">
        <v>397</v>
      </c>
      <c r="G4462" s="2" t="s">
        <v>2522</v>
      </c>
      <c r="H4462" s="2">
        <v>11</v>
      </c>
      <c r="I4462" s="2" t="s">
        <v>1397</v>
      </c>
      <c r="J4462" s="2">
        <v>377</v>
      </c>
      <c r="K4462" s="2" t="s">
        <v>1223</v>
      </c>
      <c r="L4462" s="2" t="s">
        <v>1224</v>
      </c>
      <c r="M4462" s="3">
        <v>40479</v>
      </c>
      <c r="N4462" s="2" t="s">
        <v>13418</v>
      </c>
      <c r="O4462" s="2" t="s">
        <v>82</v>
      </c>
      <c r="P4462" s="2" t="s">
        <v>107</v>
      </c>
      <c r="Q4462" s="2" t="str">
        <f>"563-E/10"</f>
        <v>563-E/10</v>
      </c>
      <c r="R4462" s="2" t="s">
        <v>391</v>
      </c>
      <c r="S4462" s="2" t="s">
        <v>391</v>
      </c>
      <c r="T4462" s="2">
        <v>1</v>
      </c>
      <c r="U4462" s="2" t="s">
        <v>79</v>
      </c>
      <c r="V4462" s="2">
        <v>1</v>
      </c>
      <c r="W4462" s="2" t="s">
        <v>80</v>
      </c>
      <c r="X4462" s="2">
        <v>1</v>
      </c>
      <c r="Y4462" s="2" t="s">
        <v>81</v>
      </c>
      <c r="Z4462" s="2">
        <v>1</v>
      </c>
      <c r="AA4462" s="2" t="s">
        <v>82</v>
      </c>
      <c r="AB4462" s="2">
        <v>1</v>
      </c>
      <c r="AC4462" s="2" t="s">
        <v>178</v>
      </c>
      <c r="AD4462" s="3">
        <v>40479</v>
      </c>
      <c r="AE4462" s="4">
        <v>0.5</v>
      </c>
      <c r="AF4462" s="3">
        <v>40479</v>
      </c>
      <c r="AG4462" s="4">
        <v>0.8125</v>
      </c>
      <c r="AH4462" s="2">
        <v>2</v>
      </c>
      <c r="AI4462" s="2" t="s">
        <v>84</v>
      </c>
      <c r="AJ4462" s="2">
        <v>9</v>
      </c>
      <c r="AK4462" s="2" t="s">
        <v>103</v>
      </c>
      <c r="AL4462" s="2">
        <v>25</v>
      </c>
      <c r="AM4462" s="2" t="s">
        <v>3073</v>
      </c>
      <c r="AN4462" s="2" t="s">
        <v>179</v>
      </c>
      <c r="AO4462" s="2" t="s">
        <v>987</v>
      </c>
      <c r="AP4462" s="2">
        <v>11</v>
      </c>
      <c r="AQ4462" s="2" t="s">
        <v>82</v>
      </c>
      <c r="AR4462" s="2"/>
      <c r="AS4462" s="2"/>
      <c r="AT4462" s="2" t="s">
        <v>13870</v>
      </c>
      <c r="AU4462" s="2"/>
      <c r="AV4462" s="2">
        <v>2</v>
      </c>
      <c r="AW4462" s="2"/>
      <c r="AX4462" s="2"/>
      <c r="AY4462" s="2">
        <v>41</v>
      </c>
      <c r="AZ4462" s="2" t="s">
        <v>82</v>
      </c>
      <c r="BA4462" s="2">
        <v>41</v>
      </c>
      <c r="BB4462" s="2" t="s">
        <v>82</v>
      </c>
      <c r="BC4462" s="2">
        <v>41</v>
      </c>
      <c r="BD4462" s="2" t="s">
        <v>82</v>
      </c>
      <c r="BE4462" s="2">
        <v>27</v>
      </c>
      <c r="BF4462" s="2" t="s">
        <v>2197</v>
      </c>
      <c r="BG4462" s="2" t="s">
        <v>13871</v>
      </c>
      <c r="BH4462" s="2"/>
      <c r="BI4462" s="4">
        <v>0.53472222222222221</v>
      </c>
      <c r="BJ4462" s="2">
        <v>13</v>
      </c>
      <c r="BK4462" s="2" t="s">
        <v>91</v>
      </c>
      <c r="BL4462" s="2" t="s">
        <v>360</v>
      </c>
      <c r="BM4462" s="2">
        <v>112</v>
      </c>
      <c r="BN4462" s="2" t="s">
        <v>110</v>
      </c>
      <c r="BO4462" s="2"/>
      <c r="BP4462" s="2">
        <v>112</v>
      </c>
      <c r="BQ4462" s="2" t="s">
        <v>110</v>
      </c>
      <c r="BR4462" s="2" t="s">
        <v>111</v>
      </c>
      <c r="BS4462" s="3">
        <v>40479</v>
      </c>
      <c r="BT4462" s="4">
        <v>0.89528935185185177</v>
      </c>
    </row>
    <row r="4463" spans="1:72" x14ac:dyDescent="0.25">
      <c r="A4463" s="2">
        <v>6771</v>
      </c>
      <c r="B4463" s="2">
        <v>2010</v>
      </c>
      <c r="C4463" s="2" t="s">
        <v>72</v>
      </c>
      <c r="D4463" s="2" t="s">
        <v>73</v>
      </c>
      <c r="E4463" s="2"/>
      <c r="F4463" s="2">
        <v>638</v>
      </c>
      <c r="G4463" s="2" t="s">
        <v>8288</v>
      </c>
      <c r="H4463" s="2">
        <v>2</v>
      </c>
      <c r="I4463" s="2" t="s">
        <v>267</v>
      </c>
      <c r="J4463" s="2">
        <v>694</v>
      </c>
      <c r="K4463" s="2" t="s">
        <v>13872</v>
      </c>
      <c r="L4463" s="2" t="s">
        <v>13873</v>
      </c>
      <c r="M4463" s="3">
        <v>40479</v>
      </c>
      <c r="N4463" s="2" t="s">
        <v>13874</v>
      </c>
      <c r="O4463" s="2"/>
      <c r="P4463" s="2"/>
      <c r="Q4463" s="2" t="str">
        <f>"62/10"</f>
        <v>62/10</v>
      </c>
      <c r="R4463" s="2"/>
      <c r="S4463" s="2" t="s">
        <v>116</v>
      </c>
      <c r="T4463" s="2">
        <v>1</v>
      </c>
      <c r="U4463" s="2" t="s">
        <v>79</v>
      </c>
      <c r="V4463" s="2">
        <v>1</v>
      </c>
      <c r="W4463" s="2" t="s">
        <v>80</v>
      </c>
      <c r="X4463" s="2">
        <v>12</v>
      </c>
      <c r="Y4463" s="2" t="s">
        <v>148</v>
      </c>
      <c r="Z4463" s="2">
        <v>1</v>
      </c>
      <c r="AA4463" s="2" t="s">
        <v>82</v>
      </c>
      <c r="AB4463" s="2">
        <v>6</v>
      </c>
      <c r="AC4463" s="2" t="s">
        <v>83</v>
      </c>
      <c r="AD4463" s="3">
        <v>40479</v>
      </c>
      <c r="AE4463" s="2"/>
      <c r="AF4463" s="3">
        <v>40479</v>
      </c>
      <c r="AG4463" s="4">
        <v>0.83333333333333337</v>
      </c>
      <c r="AH4463" s="2">
        <v>3</v>
      </c>
      <c r="AI4463" s="2" t="s">
        <v>214</v>
      </c>
      <c r="AJ4463" s="2">
        <v>24</v>
      </c>
      <c r="AK4463" s="2" t="s">
        <v>215</v>
      </c>
      <c r="AL4463" s="2">
        <v>22</v>
      </c>
      <c r="AM4463" s="2" t="s">
        <v>1853</v>
      </c>
      <c r="AN4463" s="2"/>
      <c r="AO4463" s="2"/>
      <c r="AP4463" s="2">
        <v>11</v>
      </c>
      <c r="AQ4463" s="2" t="s">
        <v>82</v>
      </c>
      <c r="AR4463" s="2"/>
      <c r="AS4463" s="2"/>
      <c r="AT4463" s="2" t="s">
        <v>13875</v>
      </c>
      <c r="AU4463" s="2"/>
      <c r="AV4463" s="2"/>
      <c r="AW4463" s="2"/>
      <c r="AX4463" s="2"/>
      <c r="AY4463" s="2">
        <v>41</v>
      </c>
      <c r="AZ4463" s="2" t="s">
        <v>82</v>
      </c>
      <c r="BA4463" s="2">
        <v>41</v>
      </c>
      <c r="BB4463" s="2" t="s">
        <v>82</v>
      </c>
      <c r="BC4463" s="2">
        <v>41</v>
      </c>
      <c r="BD4463" s="2" t="s">
        <v>82</v>
      </c>
      <c r="BE4463" s="2">
        <v>13</v>
      </c>
      <c r="BF4463" s="2" t="s">
        <v>108</v>
      </c>
      <c r="BG4463" s="2" t="s">
        <v>13876</v>
      </c>
      <c r="BH4463" s="4">
        <v>0.77430555555555547</v>
      </c>
      <c r="BI4463" s="4">
        <v>0.69444444444444453</v>
      </c>
      <c r="BJ4463" s="2">
        <v>13</v>
      </c>
      <c r="BK4463" s="2" t="s">
        <v>91</v>
      </c>
      <c r="BL4463" s="2" t="s">
        <v>9724</v>
      </c>
      <c r="BM4463" s="2">
        <v>13</v>
      </c>
      <c r="BN4463" s="2" t="s">
        <v>91</v>
      </c>
      <c r="BO4463" s="2"/>
      <c r="BP4463" s="2">
        <v>13</v>
      </c>
      <c r="BQ4463" s="2" t="s">
        <v>91</v>
      </c>
      <c r="BR4463" s="2" t="s">
        <v>169</v>
      </c>
      <c r="BS4463" s="3">
        <v>40479</v>
      </c>
      <c r="BT4463" s="4">
        <v>0.89701388888888889</v>
      </c>
    </row>
    <row r="4464" spans="1:72" x14ac:dyDescent="0.25">
      <c r="A4464" s="2">
        <v>6773</v>
      </c>
      <c r="B4464" s="2">
        <v>2010</v>
      </c>
      <c r="C4464" s="2" t="s">
        <v>377</v>
      </c>
      <c r="D4464" s="2" t="s">
        <v>73</v>
      </c>
      <c r="E4464" s="2"/>
      <c r="F4464" s="2">
        <v>426</v>
      </c>
      <c r="G4464" s="2" t="s">
        <v>378</v>
      </c>
      <c r="H4464" s="2">
        <v>42</v>
      </c>
      <c r="I4464" s="2" t="s">
        <v>1096</v>
      </c>
      <c r="J4464" s="2">
        <v>311</v>
      </c>
      <c r="K4464" s="2" t="s">
        <v>379</v>
      </c>
      <c r="L4464" s="2" t="s">
        <v>380</v>
      </c>
      <c r="M4464" s="3">
        <v>40480</v>
      </c>
      <c r="N4464" s="2" t="s">
        <v>5164</v>
      </c>
      <c r="O4464" s="2"/>
      <c r="P4464" s="2"/>
      <c r="Q4464" s="2" t="str">
        <f>"274-C/10"</f>
        <v>274-C/10</v>
      </c>
      <c r="R4464" s="2"/>
      <c r="S4464" s="2" t="s">
        <v>4072</v>
      </c>
      <c r="T4464" s="2">
        <v>1</v>
      </c>
      <c r="U4464" s="2" t="s">
        <v>79</v>
      </c>
      <c r="V4464" s="2">
        <v>1</v>
      </c>
      <c r="W4464" s="2" t="s">
        <v>80</v>
      </c>
      <c r="X4464" s="2">
        <v>1</v>
      </c>
      <c r="Y4464" s="2" t="s">
        <v>81</v>
      </c>
      <c r="Z4464" s="2">
        <v>1</v>
      </c>
      <c r="AA4464" s="2" t="s">
        <v>82</v>
      </c>
      <c r="AB4464" s="2">
        <v>9</v>
      </c>
      <c r="AC4464" s="2" t="s">
        <v>124</v>
      </c>
      <c r="AD4464" s="3">
        <v>40479</v>
      </c>
      <c r="AE4464" s="2"/>
      <c r="AF4464" s="3">
        <v>40479</v>
      </c>
      <c r="AG4464" s="4">
        <v>0.72916666666666663</v>
      </c>
      <c r="AH4464" s="2">
        <v>2</v>
      </c>
      <c r="AI4464" s="2" t="s">
        <v>84</v>
      </c>
      <c r="AJ4464" s="2">
        <v>9</v>
      </c>
      <c r="AK4464" s="2" t="s">
        <v>103</v>
      </c>
      <c r="AL4464" s="2">
        <v>12</v>
      </c>
      <c r="AM4464" s="2" t="s">
        <v>86</v>
      </c>
      <c r="AN4464" s="2" t="s">
        <v>987</v>
      </c>
      <c r="AO4464" s="2"/>
      <c r="AP4464" s="2">
        <v>11</v>
      </c>
      <c r="AQ4464" s="2" t="s">
        <v>82</v>
      </c>
      <c r="AR4464" s="2"/>
      <c r="AS4464" s="2"/>
      <c r="AT4464" s="2" t="s">
        <v>13877</v>
      </c>
      <c r="AU4464" s="2"/>
      <c r="AV4464" s="2"/>
      <c r="AW4464" s="2"/>
      <c r="AX4464" s="2"/>
      <c r="AY4464" s="2">
        <v>41</v>
      </c>
      <c r="AZ4464" s="2" t="s">
        <v>82</v>
      </c>
      <c r="BA4464" s="2">
        <v>41</v>
      </c>
      <c r="BB4464" s="2" t="s">
        <v>82</v>
      </c>
      <c r="BC4464" s="2">
        <v>41</v>
      </c>
      <c r="BD4464" s="2" t="s">
        <v>82</v>
      </c>
      <c r="BE4464" s="2">
        <v>41</v>
      </c>
      <c r="BF4464" s="2" t="s">
        <v>82</v>
      </c>
      <c r="BG4464" s="2"/>
      <c r="BH4464" s="2"/>
      <c r="BI4464" s="2"/>
      <c r="BJ4464" s="2">
        <v>241</v>
      </c>
      <c r="BK4464" s="2" t="s">
        <v>82</v>
      </c>
      <c r="BL4464" s="2"/>
      <c r="BM4464" s="2">
        <v>241</v>
      </c>
      <c r="BN4464" s="2" t="s">
        <v>82</v>
      </c>
      <c r="BO4464" s="2"/>
      <c r="BP4464" s="2">
        <v>241</v>
      </c>
      <c r="BQ4464" s="2" t="s">
        <v>82</v>
      </c>
      <c r="BR4464" s="2"/>
      <c r="BS4464" s="3">
        <v>40480</v>
      </c>
      <c r="BT4464" s="4">
        <v>0.14101851851851852</v>
      </c>
    </row>
    <row r="4465" spans="1:72" x14ac:dyDescent="0.25">
      <c r="A4465" s="2">
        <v>6774</v>
      </c>
      <c r="B4465" s="2">
        <v>2010</v>
      </c>
      <c r="C4465" s="2" t="s">
        <v>377</v>
      </c>
      <c r="D4465" s="2" t="s">
        <v>73</v>
      </c>
      <c r="E4465" s="2"/>
      <c r="F4465" s="2">
        <v>426</v>
      </c>
      <c r="G4465" s="2" t="s">
        <v>378</v>
      </c>
      <c r="H4465" s="2">
        <v>42</v>
      </c>
      <c r="I4465" s="2" t="s">
        <v>1096</v>
      </c>
      <c r="J4465" s="2">
        <v>311</v>
      </c>
      <c r="K4465" s="2" t="s">
        <v>379</v>
      </c>
      <c r="L4465" s="2" t="s">
        <v>380</v>
      </c>
      <c r="M4465" s="3">
        <v>40480</v>
      </c>
      <c r="N4465" s="2" t="s">
        <v>5164</v>
      </c>
      <c r="O4465" s="2"/>
      <c r="P4465" s="2"/>
      <c r="Q4465" s="2" t="str">
        <f>"275-C/10"</f>
        <v>275-C/10</v>
      </c>
      <c r="R4465" s="2"/>
      <c r="S4465" s="2" t="s">
        <v>4072</v>
      </c>
      <c r="T4465" s="2">
        <v>1</v>
      </c>
      <c r="U4465" s="2" t="s">
        <v>79</v>
      </c>
      <c r="V4465" s="2">
        <v>1</v>
      </c>
      <c r="W4465" s="2" t="s">
        <v>80</v>
      </c>
      <c r="X4465" s="2">
        <v>1</v>
      </c>
      <c r="Y4465" s="2" t="s">
        <v>81</v>
      </c>
      <c r="Z4465" s="2">
        <v>1</v>
      </c>
      <c r="AA4465" s="2" t="s">
        <v>82</v>
      </c>
      <c r="AB4465" s="2">
        <v>9</v>
      </c>
      <c r="AC4465" s="2" t="s">
        <v>124</v>
      </c>
      <c r="AD4465" s="3">
        <v>40479</v>
      </c>
      <c r="AE4465" s="2"/>
      <c r="AF4465" s="3">
        <v>40479</v>
      </c>
      <c r="AG4465" s="4">
        <v>0.72916666666666663</v>
      </c>
      <c r="AH4465" s="2">
        <v>2</v>
      </c>
      <c r="AI4465" s="2" t="s">
        <v>84</v>
      </c>
      <c r="AJ4465" s="2">
        <v>9</v>
      </c>
      <c r="AK4465" s="2" t="s">
        <v>103</v>
      </c>
      <c r="AL4465" s="2">
        <v>12</v>
      </c>
      <c r="AM4465" s="2" t="s">
        <v>86</v>
      </c>
      <c r="AN4465" s="2" t="s">
        <v>987</v>
      </c>
      <c r="AO4465" s="2"/>
      <c r="AP4465" s="2">
        <v>11</v>
      </c>
      <c r="AQ4465" s="2" t="s">
        <v>82</v>
      </c>
      <c r="AR4465" s="2"/>
      <c r="AS4465" s="2"/>
      <c r="AT4465" s="2" t="s">
        <v>13878</v>
      </c>
      <c r="AU4465" s="2"/>
      <c r="AV4465" s="2"/>
      <c r="AW4465" s="2"/>
      <c r="AX4465" s="2"/>
      <c r="AY4465" s="2">
        <v>41</v>
      </c>
      <c r="AZ4465" s="2" t="s">
        <v>82</v>
      </c>
      <c r="BA4465" s="2">
        <v>41</v>
      </c>
      <c r="BB4465" s="2" t="s">
        <v>82</v>
      </c>
      <c r="BC4465" s="2">
        <v>41</v>
      </c>
      <c r="BD4465" s="2" t="s">
        <v>82</v>
      </c>
      <c r="BE4465" s="2">
        <v>41</v>
      </c>
      <c r="BF4465" s="2" t="s">
        <v>82</v>
      </c>
      <c r="BG4465" s="2"/>
      <c r="BH4465" s="2"/>
      <c r="BI4465" s="2"/>
      <c r="BJ4465" s="2">
        <v>241</v>
      </c>
      <c r="BK4465" s="2" t="s">
        <v>82</v>
      </c>
      <c r="BL4465" s="2"/>
      <c r="BM4465" s="2">
        <v>241</v>
      </c>
      <c r="BN4465" s="2" t="s">
        <v>82</v>
      </c>
      <c r="BO4465" s="2"/>
      <c r="BP4465" s="2">
        <v>241</v>
      </c>
      <c r="BQ4465" s="2" t="s">
        <v>82</v>
      </c>
      <c r="BR4465" s="2"/>
      <c r="BS4465" s="3">
        <v>40480</v>
      </c>
      <c r="BT4465" s="4">
        <v>0.15968750000000001</v>
      </c>
    </row>
    <row r="4466" spans="1:72" x14ac:dyDescent="0.25">
      <c r="A4466" s="2">
        <v>6775</v>
      </c>
      <c r="B4466" s="2">
        <v>2010</v>
      </c>
      <c r="C4466" s="2" t="s">
        <v>72</v>
      </c>
      <c r="D4466" s="2" t="s">
        <v>73</v>
      </c>
      <c r="E4466" s="2"/>
      <c r="F4466" s="2">
        <v>3</v>
      </c>
      <c r="G4466" s="2" t="s">
        <v>1041</v>
      </c>
      <c r="H4466" s="2">
        <v>1</v>
      </c>
      <c r="I4466" s="2" t="s">
        <v>82</v>
      </c>
      <c r="J4466" s="2">
        <v>368</v>
      </c>
      <c r="K4466" s="2" t="s">
        <v>1042</v>
      </c>
      <c r="L4466" s="2" t="s">
        <v>1043</v>
      </c>
      <c r="M4466" s="3">
        <v>40480</v>
      </c>
      <c r="N4466" s="2"/>
      <c r="O4466" s="2"/>
      <c r="P4466" s="2"/>
      <c r="Q4466" s="2" t="str">
        <f>"564-E/10"</f>
        <v>564-E/10</v>
      </c>
      <c r="R4466" s="2" t="s">
        <v>601</v>
      </c>
      <c r="S4466" s="2" t="s">
        <v>601</v>
      </c>
      <c r="T4466" s="2">
        <v>1</v>
      </c>
      <c r="U4466" s="2" t="s">
        <v>79</v>
      </c>
      <c r="V4466" s="2">
        <v>1</v>
      </c>
      <c r="W4466" s="2" t="s">
        <v>80</v>
      </c>
      <c r="X4466" s="2">
        <v>12</v>
      </c>
      <c r="Y4466" s="2" t="s">
        <v>148</v>
      </c>
      <c r="Z4466" s="2">
        <v>1</v>
      </c>
      <c r="AA4466" s="2" t="s">
        <v>82</v>
      </c>
      <c r="AB4466" s="2">
        <v>6</v>
      </c>
      <c r="AC4466" s="2" t="s">
        <v>83</v>
      </c>
      <c r="AD4466" s="3">
        <v>40478</v>
      </c>
      <c r="AE4466" s="2"/>
      <c r="AF4466" s="3">
        <v>40479</v>
      </c>
      <c r="AG4466" s="4">
        <v>0.79166666666666663</v>
      </c>
      <c r="AH4466" s="2">
        <v>2</v>
      </c>
      <c r="AI4466" s="2" t="s">
        <v>84</v>
      </c>
      <c r="AJ4466" s="2">
        <v>9</v>
      </c>
      <c r="AK4466" s="2" t="s">
        <v>103</v>
      </c>
      <c r="AL4466" s="2">
        <v>22</v>
      </c>
      <c r="AM4466" s="2" t="s">
        <v>1853</v>
      </c>
      <c r="AN4466" s="2" t="s">
        <v>12211</v>
      </c>
      <c r="AO4466" s="2" t="s">
        <v>13879</v>
      </c>
      <c r="AP4466" s="2">
        <v>11</v>
      </c>
      <c r="AQ4466" s="2" t="s">
        <v>82</v>
      </c>
      <c r="AR4466" s="2"/>
      <c r="AS4466" s="2"/>
      <c r="AT4466" s="2" t="s">
        <v>13880</v>
      </c>
      <c r="AU4466" s="2"/>
      <c r="AV4466" s="2"/>
      <c r="AW4466" s="2"/>
      <c r="AX4466" s="2"/>
      <c r="AY4466" s="2">
        <v>41</v>
      </c>
      <c r="AZ4466" s="2" t="s">
        <v>82</v>
      </c>
      <c r="BA4466" s="2">
        <v>41</v>
      </c>
      <c r="BB4466" s="2" t="s">
        <v>82</v>
      </c>
      <c r="BC4466" s="2">
        <v>41</v>
      </c>
      <c r="BD4466" s="2" t="s">
        <v>82</v>
      </c>
      <c r="BE4466" s="2">
        <v>31</v>
      </c>
      <c r="BF4466" s="2" t="s">
        <v>398</v>
      </c>
      <c r="BG4466" s="2">
        <v>6843</v>
      </c>
      <c r="BH4466" s="4">
        <v>0.35416666666666669</v>
      </c>
      <c r="BI4466" s="2"/>
      <c r="BJ4466" s="2">
        <v>73</v>
      </c>
      <c r="BK4466" s="2" t="s">
        <v>186</v>
      </c>
      <c r="BL4466" s="2" t="s">
        <v>187</v>
      </c>
      <c r="BM4466" s="2">
        <v>73</v>
      </c>
      <c r="BN4466" s="2" t="s">
        <v>186</v>
      </c>
      <c r="BO4466" s="2"/>
      <c r="BP4466" s="2">
        <v>13</v>
      </c>
      <c r="BQ4466" s="2" t="s">
        <v>91</v>
      </c>
      <c r="BR4466" s="2" t="s">
        <v>360</v>
      </c>
      <c r="BS4466" s="3">
        <v>40480</v>
      </c>
      <c r="BT4466" s="4">
        <v>0.23875000000000002</v>
      </c>
    </row>
    <row r="4467" spans="1:72" x14ac:dyDescent="0.25">
      <c r="A4467" s="2">
        <v>6776</v>
      </c>
      <c r="B4467" s="2">
        <v>2010</v>
      </c>
      <c r="C4467" s="2" t="s">
        <v>72</v>
      </c>
      <c r="D4467" s="2" t="s">
        <v>73</v>
      </c>
      <c r="E4467" s="2"/>
      <c r="F4467" s="2">
        <v>389</v>
      </c>
      <c r="G4467" s="2" t="s">
        <v>1819</v>
      </c>
      <c r="H4467" s="2">
        <v>3</v>
      </c>
      <c r="I4467" s="2" t="s">
        <v>315</v>
      </c>
      <c r="J4467" s="2">
        <v>399</v>
      </c>
      <c r="K4467" s="2" t="s">
        <v>1820</v>
      </c>
      <c r="L4467" s="2" t="s">
        <v>1821</v>
      </c>
      <c r="M4467" s="3">
        <v>40480</v>
      </c>
      <c r="N4467" s="2" t="s">
        <v>4976</v>
      </c>
      <c r="O4467" s="2"/>
      <c r="P4467" s="2"/>
      <c r="Q4467" s="2" t="str">
        <f>"565-E/10"</f>
        <v>565-E/10</v>
      </c>
      <c r="R4467" s="2" t="s">
        <v>1847</v>
      </c>
      <c r="S4467" s="2" t="s">
        <v>1847</v>
      </c>
      <c r="T4467" s="2">
        <v>1</v>
      </c>
      <c r="U4467" s="2" t="s">
        <v>79</v>
      </c>
      <c r="V4467" s="2">
        <v>1</v>
      </c>
      <c r="W4467" s="2" t="s">
        <v>80</v>
      </c>
      <c r="X4467" s="2">
        <v>1</v>
      </c>
      <c r="Y4467" s="2" t="s">
        <v>81</v>
      </c>
      <c r="Z4467" s="2">
        <v>1</v>
      </c>
      <c r="AA4467" s="2" t="s">
        <v>82</v>
      </c>
      <c r="AB4467" s="2">
        <v>6</v>
      </c>
      <c r="AC4467" s="2" t="s">
        <v>83</v>
      </c>
      <c r="AD4467" s="3">
        <v>40479</v>
      </c>
      <c r="AE4467" s="4">
        <v>0.76388888888888884</v>
      </c>
      <c r="AF4467" s="3">
        <v>40479</v>
      </c>
      <c r="AG4467" s="4">
        <v>0.91666666666666663</v>
      </c>
      <c r="AH4467" s="2">
        <v>2</v>
      </c>
      <c r="AI4467" s="2" t="s">
        <v>84</v>
      </c>
      <c r="AJ4467" s="2">
        <v>9</v>
      </c>
      <c r="AK4467" s="2" t="s">
        <v>103</v>
      </c>
      <c r="AL4467" s="2">
        <v>2</v>
      </c>
      <c r="AM4467" s="2" t="s">
        <v>163</v>
      </c>
      <c r="AN4467" s="2"/>
      <c r="AO4467" s="2" t="s">
        <v>5800</v>
      </c>
      <c r="AP4467" s="2">
        <v>11</v>
      </c>
      <c r="AQ4467" s="2" t="s">
        <v>82</v>
      </c>
      <c r="AR4467" s="2"/>
      <c r="AS4467" s="2"/>
      <c r="AT4467" s="2" t="s">
        <v>13881</v>
      </c>
      <c r="AU4467" s="2">
        <v>1</v>
      </c>
      <c r="AV4467" s="2"/>
      <c r="AW4467" s="2"/>
      <c r="AX4467" s="2"/>
      <c r="AY4467" s="2">
        <v>41</v>
      </c>
      <c r="AZ4467" s="2" t="s">
        <v>82</v>
      </c>
      <c r="BA4467" s="2">
        <v>41</v>
      </c>
      <c r="BB4467" s="2" t="s">
        <v>82</v>
      </c>
      <c r="BC4467" s="2">
        <v>41</v>
      </c>
      <c r="BD4467" s="2" t="s">
        <v>82</v>
      </c>
      <c r="BE4467" s="2">
        <v>38</v>
      </c>
      <c r="BF4467" s="2" t="s">
        <v>221</v>
      </c>
      <c r="BG4467" s="2" t="s">
        <v>1666</v>
      </c>
      <c r="BH4467" s="2"/>
      <c r="BI4467" s="2"/>
      <c r="BJ4467" s="2">
        <v>173</v>
      </c>
      <c r="BK4467" s="2" t="s">
        <v>223</v>
      </c>
      <c r="BL4467" s="2" t="s">
        <v>224</v>
      </c>
      <c r="BM4467" s="2">
        <v>13</v>
      </c>
      <c r="BN4467" s="2" t="s">
        <v>91</v>
      </c>
      <c r="BO4467" s="2"/>
      <c r="BP4467" s="2">
        <v>13</v>
      </c>
      <c r="BQ4467" s="2" t="s">
        <v>91</v>
      </c>
      <c r="BR4467" s="2" t="s">
        <v>360</v>
      </c>
      <c r="BS4467" s="3">
        <v>40480</v>
      </c>
      <c r="BT4467" s="4">
        <v>0.34835648148148146</v>
      </c>
    </row>
    <row r="4468" spans="1:72" x14ac:dyDescent="0.25">
      <c r="A4468" s="2">
        <v>6777</v>
      </c>
      <c r="B4468" s="2">
        <v>2010</v>
      </c>
      <c r="C4468" s="2" t="s">
        <v>2138</v>
      </c>
      <c r="D4468" s="2" t="s">
        <v>122</v>
      </c>
      <c r="E4468" s="2"/>
      <c r="F4468" s="2">
        <v>75</v>
      </c>
      <c r="G4468" s="2" t="s">
        <v>3770</v>
      </c>
      <c r="H4468" s="2">
        <v>50</v>
      </c>
      <c r="I4468" s="2" t="s">
        <v>107</v>
      </c>
      <c r="J4468" s="2">
        <v>1</v>
      </c>
      <c r="K4468" s="2" t="s">
        <v>107</v>
      </c>
      <c r="L4468" s="2" t="s">
        <v>107</v>
      </c>
      <c r="M4468" s="3">
        <v>40480</v>
      </c>
      <c r="N4468" s="2" t="s">
        <v>107</v>
      </c>
      <c r="O4468" s="2" t="s">
        <v>13882</v>
      </c>
      <c r="P4468" s="2">
        <v>858</v>
      </c>
      <c r="Q4468" s="2" t="str">
        <f>""</f>
        <v/>
      </c>
      <c r="R4468" s="2"/>
      <c r="S4468" s="2"/>
      <c r="T4468" s="2">
        <v>1</v>
      </c>
      <c r="U4468" s="2" t="s">
        <v>79</v>
      </c>
      <c r="V4468" s="2">
        <v>1</v>
      </c>
      <c r="W4468" s="2" t="s">
        <v>80</v>
      </c>
      <c r="X4468" s="2">
        <v>11</v>
      </c>
      <c r="Y4468" s="2" t="s">
        <v>1920</v>
      </c>
      <c r="Z4468" s="2">
        <v>10</v>
      </c>
      <c r="AA4468" s="2" t="s">
        <v>236</v>
      </c>
      <c r="AB4468" s="2">
        <v>9</v>
      </c>
      <c r="AC4468" s="2" t="s">
        <v>124</v>
      </c>
      <c r="AD4468" s="3">
        <v>40480</v>
      </c>
      <c r="AE4468" s="4">
        <v>0.33333333333333331</v>
      </c>
      <c r="AF4468" s="2"/>
      <c r="AG4468" s="2"/>
      <c r="AH4468" s="2">
        <v>2</v>
      </c>
      <c r="AI4468" s="2" t="s">
        <v>84</v>
      </c>
      <c r="AJ4468" s="2">
        <v>12</v>
      </c>
      <c r="AK4468" s="2" t="s">
        <v>85</v>
      </c>
      <c r="AL4468" s="2">
        <v>10</v>
      </c>
      <c r="AM4468" s="2" t="s">
        <v>200</v>
      </c>
      <c r="AN4468" s="2"/>
      <c r="AO4468" s="2" t="s">
        <v>13883</v>
      </c>
      <c r="AP4468" s="2">
        <v>11</v>
      </c>
      <c r="AQ4468" s="2" t="s">
        <v>82</v>
      </c>
      <c r="AR4468" s="2"/>
      <c r="AS4468" s="2"/>
      <c r="AT4468" s="2" t="s">
        <v>13884</v>
      </c>
      <c r="AU4468" s="2"/>
      <c r="AV4468" s="2"/>
      <c r="AW4468" s="2"/>
      <c r="AX4468" s="2"/>
      <c r="AY4468" s="2">
        <v>41</v>
      </c>
      <c r="AZ4468" s="2" t="s">
        <v>82</v>
      </c>
      <c r="BA4468" s="2">
        <v>41</v>
      </c>
      <c r="BB4468" s="2" t="s">
        <v>82</v>
      </c>
      <c r="BC4468" s="2">
        <v>70</v>
      </c>
      <c r="BD4468" s="2" t="s">
        <v>236</v>
      </c>
      <c r="BE4468" s="2">
        <v>13</v>
      </c>
      <c r="BF4468" s="2" t="s">
        <v>108</v>
      </c>
      <c r="BG4468" s="2">
        <v>2651</v>
      </c>
      <c r="BH4468" s="4">
        <v>0.33333333333333331</v>
      </c>
      <c r="BI4468" s="4">
        <v>0.25</v>
      </c>
      <c r="BJ4468" s="2">
        <v>13</v>
      </c>
      <c r="BK4468" s="2" t="s">
        <v>91</v>
      </c>
      <c r="BL4468" s="2" t="s">
        <v>241</v>
      </c>
      <c r="BM4468" s="2">
        <v>241</v>
      </c>
      <c r="BN4468" s="2" t="s">
        <v>82</v>
      </c>
      <c r="BO4468" s="2"/>
      <c r="BP4468" s="2">
        <v>13</v>
      </c>
      <c r="BQ4468" s="2" t="s">
        <v>91</v>
      </c>
      <c r="BR4468" s="2" t="s">
        <v>185</v>
      </c>
      <c r="BS4468" s="3">
        <v>40480</v>
      </c>
      <c r="BT4468" s="4">
        <v>0.36399305555555556</v>
      </c>
    </row>
    <row r="4469" spans="1:72" x14ac:dyDescent="0.25">
      <c r="A4469" s="2">
        <v>6779</v>
      </c>
      <c r="B4469" s="2">
        <v>2010</v>
      </c>
      <c r="C4469" s="2" t="s">
        <v>2219</v>
      </c>
      <c r="D4469" s="2" t="s">
        <v>73</v>
      </c>
      <c r="E4469" s="2"/>
      <c r="F4469" s="2">
        <v>389</v>
      </c>
      <c r="G4469" s="2" t="s">
        <v>1819</v>
      </c>
      <c r="H4469" s="2">
        <v>3</v>
      </c>
      <c r="I4469" s="2" t="s">
        <v>315</v>
      </c>
      <c r="J4469" s="2">
        <v>399</v>
      </c>
      <c r="K4469" s="2" t="s">
        <v>1820</v>
      </c>
      <c r="L4469" s="2" t="s">
        <v>1821</v>
      </c>
      <c r="M4469" s="3">
        <v>40480</v>
      </c>
      <c r="N4469" s="2" t="s">
        <v>2367</v>
      </c>
      <c r="O4469" s="2" t="s">
        <v>13885</v>
      </c>
      <c r="P4469" s="2">
        <v>7087</v>
      </c>
      <c r="Q4469" s="2" t="str">
        <f>"NC"</f>
        <v>NC</v>
      </c>
      <c r="R4469" s="2"/>
      <c r="S4469" s="2"/>
      <c r="T4469" s="2">
        <v>1</v>
      </c>
      <c r="U4469" s="2" t="s">
        <v>79</v>
      </c>
      <c r="V4469" s="2">
        <v>1</v>
      </c>
      <c r="W4469" s="2" t="s">
        <v>80</v>
      </c>
      <c r="X4469" s="2">
        <v>8</v>
      </c>
      <c r="Y4469" s="2" t="s">
        <v>375</v>
      </c>
      <c r="Z4469" s="2">
        <v>1</v>
      </c>
      <c r="AA4469" s="2" t="s">
        <v>82</v>
      </c>
      <c r="AB4469" s="2">
        <v>9</v>
      </c>
      <c r="AC4469" s="2" t="s">
        <v>124</v>
      </c>
      <c r="AD4469" s="3">
        <v>40480</v>
      </c>
      <c r="AE4469" s="4">
        <v>0.10416666666666667</v>
      </c>
      <c r="AF4469" s="3">
        <v>40480</v>
      </c>
      <c r="AG4469" s="2"/>
      <c r="AH4469" s="2">
        <v>2</v>
      </c>
      <c r="AI4469" s="2" t="s">
        <v>84</v>
      </c>
      <c r="AJ4469" s="2">
        <v>6</v>
      </c>
      <c r="AK4469" s="2" t="s">
        <v>453</v>
      </c>
      <c r="AL4469" s="2">
        <v>23</v>
      </c>
      <c r="AM4469" s="2" t="s">
        <v>251</v>
      </c>
      <c r="AN4469" s="2" t="s">
        <v>13886</v>
      </c>
      <c r="AO4469" s="2"/>
      <c r="AP4469" s="2">
        <v>11</v>
      </c>
      <c r="AQ4469" s="2" t="s">
        <v>82</v>
      </c>
      <c r="AR4469" s="2"/>
      <c r="AS4469" s="2"/>
      <c r="AT4469" s="2" t="s">
        <v>13887</v>
      </c>
      <c r="AU4469" s="2"/>
      <c r="AV4469" s="2"/>
      <c r="AW4469" s="2"/>
      <c r="AX4469" s="2"/>
      <c r="AY4469" s="2">
        <v>41</v>
      </c>
      <c r="AZ4469" s="2" t="s">
        <v>82</v>
      </c>
      <c r="BA4469" s="2">
        <v>41</v>
      </c>
      <c r="BB4469" s="2" t="s">
        <v>82</v>
      </c>
      <c r="BC4469" s="2">
        <v>41</v>
      </c>
      <c r="BD4469" s="2" t="s">
        <v>82</v>
      </c>
      <c r="BE4469" s="2">
        <v>41</v>
      </c>
      <c r="BF4469" s="2" t="s">
        <v>82</v>
      </c>
      <c r="BG4469" s="2"/>
      <c r="BH4469" s="2"/>
      <c r="BI4469" s="2"/>
      <c r="BJ4469" s="2">
        <v>241</v>
      </c>
      <c r="BK4469" s="2" t="s">
        <v>82</v>
      </c>
      <c r="BL4469" s="2"/>
      <c r="BM4469" s="2">
        <v>241</v>
      </c>
      <c r="BN4469" s="2" t="s">
        <v>82</v>
      </c>
      <c r="BO4469" s="2"/>
      <c r="BP4469" s="2">
        <v>241</v>
      </c>
      <c r="BQ4469" s="2" t="s">
        <v>82</v>
      </c>
      <c r="BR4469" s="2"/>
      <c r="BS4469" s="3">
        <v>40480</v>
      </c>
      <c r="BT4469" s="4">
        <v>0.39197916666666671</v>
      </c>
    </row>
    <row r="4470" spans="1:72" x14ac:dyDescent="0.25">
      <c r="A4470" s="2">
        <v>6780</v>
      </c>
      <c r="B4470" s="2">
        <v>2010</v>
      </c>
      <c r="C4470" s="2" t="s">
        <v>2138</v>
      </c>
      <c r="D4470" s="2" t="s">
        <v>122</v>
      </c>
      <c r="E4470" s="2"/>
      <c r="F4470" s="2">
        <v>709</v>
      </c>
      <c r="G4470" s="2" t="s">
        <v>13888</v>
      </c>
      <c r="H4470" s="2">
        <v>1</v>
      </c>
      <c r="I4470" s="2" t="s">
        <v>82</v>
      </c>
      <c r="J4470" s="2">
        <v>695</v>
      </c>
      <c r="K4470" s="2" t="s">
        <v>13889</v>
      </c>
      <c r="L4470" s="2" t="s">
        <v>13890</v>
      </c>
      <c r="M4470" s="3">
        <v>40480</v>
      </c>
      <c r="N4470" s="2"/>
      <c r="O4470" s="2" t="s">
        <v>13891</v>
      </c>
      <c r="P4470" s="2" t="s">
        <v>13892</v>
      </c>
      <c r="Q4470" s="2" t="str">
        <f>"N/C"</f>
        <v>N/C</v>
      </c>
      <c r="R4470" s="2" t="s">
        <v>13891</v>
      </c>
      <c r="S4470" s="2" t="s">
        <v>82</v>
      </c>
      <c r="T4470" s="2">
        <v>1</v>
      </c>
      <c r="U4470" s="2" t="s">
        <v>79</v>
      </c>
      <c r="V4470" s="2">
        <v>1</v>
      </c>
      <c r="W4470" s="2" t="s">
        <v>80</v>
      </c>
      <c r="X4470" s="2">
        <v>4</v>
      </c>
      <c r="Y4470" s="2" t="s">
        <v>463</v>
      </c>
      <c r="Z4470" s="2">
        <v>1</v>
      </c>
      <c r="AA4470" s="2" t="s">
        <v>82</v>
      </c>
      <c r="AB4470" s="2">
        <v>9</v>
      </c>
      <c r="AC4470" s="2" t="s">
        <v>124</v>
      </c>
      <c r="AD4470" s="3">
        <v>40480</v>
      </c>
      <c r="AE4470" s="4">
        <v>0.25</v>
      </c>
      <c r="AF4470" s="2"/>
      <c r="AG4470" s="2"/>
      <c r="AH4470" s="2">
        <v>6</v>
      </c>
      <c r="AI4470" s="2" t="s">
        <v>197</v>
      </c>
      <c r="AJ4470" s="2">
        <v>51</v>
      </c>
      <c r="AK4470" s="2" t="s">
        <v>238</v>
      </c>
      <c r="AL4470" s="2">
        <v>11</v>
      </c>
      <c r="AM4470" s="2" t="s">
        <v>137</v>
      </c>
      <c r="AN4470" s="2"/>
      <c r="AO4470" s="2" t="s">
        <v>13893</v>
      </c>
      <c r="AP4470" s="2">
        <v>11</v>
      </c>
      <c r="AQ4470" s="2" t="s">
        <v>82</v>
      </c>
      <c r="AR4470" s="2"/>
      <c r="AS4470" s="2"/>
      <c r="AT4470" s="2" t="s">
        <v>13894</v>
      </c>
      <c r="AU4470" s="2"/>
      <c r="AV4470" s="2"/>
      <c r="AW4470" s="2"/>
      <c r="AX4470" s="2"/>
      <c r="AY4470" s="2">
        <v>41</v>
      </c>
      <c r="AZ4470" s="2" t="s">
        <v>82</v>
      </c>
      <c r="BA4470" s="2">
        <v>41</v>
      </c>
      <c r="BB4470" s="2" t="s">
        <v>82</v>
      </c>
      <c r="BC4470" s="2">
        <v>41</v>
      </c>
      <c r="BD4470" s="2" t="s">
        <v>82</v>
      </c>
      <c r="BE4470" s="2">
        <v>13</v>
      </c>
      <c r="BF4470" s="2" t="s">
        <v>108</v>
      </c>
      <c r="BG4470" s="2" t="s">
        <v>13895</v>
      </c>
      <c r="BH4470" s="4">
        <v>0.98958333333333337</v>
      </c>
      <c r="BI4470" s="4">
        <v>0.25</v>
      </c>
      <c r="BJ4470" s="2">
        <v>13</v>
      </c>
      <c r="BK4470" s="2" t="s">
        <v>91</v>
      </c>
      <c r="BL4470" s="2" t="s">
        <v>241</v>
      </c>
      <c r="BM4470" s="2">
        <v>13</v>
      </c>
      <c r="BN4470" s="2" t="s">
        <v>91</v>
      </c>
      <c r="BO4470" s="2"/>
      <c r="BP4470" s="2">
        <v>13</v>
      </c>
      <c r="BQ4470" s="2" t="s">
        <v>91</v>
      </c>
      <c r="BR4470" s="2" t="s">
        <v>170</v>
      </c>
      <c r="BS4470" s="3">
        <v>40480</v>
      </c>
      <c r="BT4470" s="4">
        <v>0.3961689814814815</v>
      </c>
    </row>
    <row r="4471" spans="1:72" x14ac:dyDescent="0.25">
      <c r="A4471" s="2">
        <v>6781</v>
      </c>
      <c r="B4471" s="2">
        <v>2010</v>
      </c>
      <c r="C4471" s="2" t="s">
        <v>2219</v>
      </c>
      <c r="D4471" s="2" t="s">
        <v>73</v>
      </c>
      <c r="E4471" s="2"/>
      <c r="F4471" s="2">
        <v>389</v>
      </c>
      <c r="G4471" s="2" t="s">
        <v>1819</v>
      </c>
      <c r="H4471" s="2">
        <v>3</v>
      </c>
      <c r="I4471" s="2" t="s">
        <v>315</v>
      </c>
      <c r="J4471" s="2">
        <v>399</v>
      </c>
      <c r="K4471" s="2" t="s">
        <v>1820</v>
      </c>
      <c r="L4471" s="2" t="s">
        <v>1821</v>
      </c>
      <c r="M4471" s="3">
        <v>40480</v>
      </c>
      <c r="N4471" s="2" t="s">
        <v>2367</v>
      </c>
      <c r="O4471" s="2" t="s">
        <v>13885</v>
      </c>
      <c r="P4471" s="2">
        <v>7087</v>
      </c>
      <c r="Q4471" s="2" t="str">
        <f>"NC"</f>
        <v>NC</v>
      </c>
      <c r="R4471" s="2"/>
      <c r="S4471" s="2"/>
      <c r="T4471" s="2">
        <v>1</v>
      </c>
      <c r="U4471" s="2" t="s">
        <v>79</v>
      </c>
      <c r="V4471" s="2">
        <v>1</v>
      </c>
      <c r="W4471" s="2" t="s">
        <v>80</v>
      </c>
      <c r="X4471" s="2">
        <v>8</v>
      </c>
      <c r="Y4471" s="2" t="s">
        <v>375</v>
      </c>
      <c r="Z4471" s="2">
        <v>1</v>
      </c>
      <c r="AA4471" s="2" t="s">
        <v>82</v>
      </c>
      <c r="AB4471" s="2">
        <v>9</v>
      </c>
      <c r="AC4471" s="2" t="s">
        <v>124</v>
      </c>
      <c r="AD4471" s="3">
        <v>40480</v>
      </c>
      <c r="AE4471" s="4">
        <v>0.10416666666666667</v>
      </c>
      <c r="AF4471" s="3">
        <v>40480</v>
      </c>
      <c r="AG4471" s="2"/>
      <c r="AH4471" s="2">
        <v>2</v>
      </c>
      <c r="AI4471" s="2" t="s">
        <v>84</v>
      </c>
      <c r="AJ4471" s="2">
        <v>6</v>
      </c>
      <c r="AK4471" s="2" t="s">
        <v>453</v>
      </c>
      <c r="AL4471" s="2">
        <v>23</v>
      </c>
      <c r="AM4471" s="2" t="s">
        <v>251</v>
      </c>
      <c r="AN4471" s="2" t="s">
        <v>13896</v>
      </c>
      <c r="AO4471" s="2"/>
      <c r="AP4471" s="2">
        <v>11</v>
      </c>
      <c r="AQ4471" s="2" t="s">
        <v>82</v>
      </c>
      <c r="AR4471" s="2"/>
      <c r="AS4471" s="2"/>
      <c r="AT4471" s="2" t="s">
        <v>13897</v>
      </c>
      <c r="AU4471" s="2"/>
      <c r="AV4471" s="2"/>
      <c r="AW4471" s="2"/>
      <c r="AX4471" s="2"/>
      <c r="AY4471" s="2">
        <v>41</v>
      </c>
      <c r="AZ4471" s="2" t="s">
        <v>82</v>
      </c>
      <c r="BA4471" s="2">
        <v>41</v>
      </c>
      <c r="BB4471" s="2" t="s">
        <v>82</v>
      </c>
      <c r="BC4471" s="2">
        <v>41</v>
      </c>
      <c r="BD4471" s="2" t="s">
        <v>82</v>
      </c>
      <c r="BE4471" s="2">
        <v>41</v>
      </c>
      <c r="BF4471" s="2" t="s">
        <v>82</v>
      </c>
      <c r="BG4471" s="2"/>
      <c r="BH4471" s="2"/>
      <c r="BI4471" s="2"/>
      <c r="BJ4471" s="2">
        <v>241</v>
      </c>
      <c r="BK4471" s="2" t="s">
        <v>82</v>
      </c>
      <c r="BL4471" s="2"/>
      <c r="BM4471" s="2">
        <v>241</v>
      </c>
      <c r="BN4471" s="2" t="s">
        <v>82</v>
      </c>
      <c r="BO4471" s="2"/>
      <c r="BP4471" s="2">
        <v>241</v>
      </c>
      <c r="BQ4471" s="2" t="s">
        <v>82</v>
      </c>
      <c r="BR4471" s="2"/>
      <c r="BS4471" s="3">
        <v>40480</v>
      </c>
      <c r="BT4471" s="4">
        <v>0.43028935185185185</v>
      </c>
    </row>
    <row r="4472" spans="1:72" x14ac:dyDescent="0.25">
      <c r="A4472" s="2">
        <v>6783</v>
      </c>
      <c r="B4472" s="2">
        <v>2010</v>
      </c>
      <c r="C4472" s="2" t="s">
        <v>2219</v>
      </c>
      <c r="D4472" s="2" t="s">
        <v>73</v>
      </c>
      <c r="E4472" s="2"/>
      <c r="F4472" s="2">
        <v>389</v>
      </c>
      <c r="G4472" s="2" t="s">
        <v>1819</v>
      </c>
      <c r="H4472" s="2">
        <v>3</v>
      </c>
      <c r="I4472" s="2" t="s">
        <v>315</v>
      </c>
      <c r="J4472" s="2">
        <v>399</v>
      </c>
      <c r="K4472" s="2" t="s">
        <v>1820</v>
      </c>
      <c r="L4472" s="2" t="s">
        <v>1821</v>
      </c>
      <c r="M4472" s="3">
        <v>40480</v>
      </c>
      <c r="N4472" s="2" t="s">
        <v>2367</v>
      </c>
      <c r="O4472" s="2" t="s">
        <v>13885</v>
      </c>
      <c r="P4472" s="2">
        <v>7087</v>
      </c>
      <c r="Q4472" s="2" t="str">
        <f>""</f>
        <v/>
      </c>
      <c r="R4472" s="2"/>
      <c r="S4472" s="2"/>
      <c r="T4472" s="2">
        <v>1</v>
      </c>
      <c r="U4472" s="2" t="s">
        <v>79</v>
      </c>
      <c r="V4472" s="2">
        <v>1</v>
      </c>
      <c r="W4472" s="2" t="s">
        <v>80</v>
      </c>
      <c r="X4472" s="2">
        <v>8</v>
      </c>
      <c r="Y4472" s="2" t="s">
        <v>375</v>
      </c>
      <c r="Z4472" s="2">
        <v>1</v>
      </c>
      <c r="AA4472" s="2" t="s">
        <v>82</v>
      </c>
      <c r="AB4472" s="2">
        <v>9</v>
      </c>
      <c r="AC4472" s="2" t="s">
        <v>124</v>
      </c>
      <c r="AD4472" s="3">
        <v>40480</v>
      </c>
      <c r="AE4472" s="4">
        <v>0.10208333333333335</v>
      </c>
      <c r="AF4472" s="2"/>
      <c r="AG4472" s="2"/>
      <c r="AH4472" s="2">
        <v>2</v>
      </c>
      <c r="AI4472" s="2" t="s">
        <v>84</v>
      </c>
      <c r="AJ4472" s="2">
        <v>6</v>
      </c>
      <c r="AK4472" s="2" t="s">
        <v>453</v>
      </c>
      <c r="AL4472" s="2">
        <v>23</v>
      </c>
      <c r="AM4472" s="2" t="s">
        <v>251</v>
      </c>
      <c r="AN4472" s="2"/>
      <c r="AO4472" s="2" t="s">
        <v>13898</v>
      </c>
      <c r="AP4472" s="2">
        <v>11</v>
      </c>
      <c r="AQ4472" s="2" t="s">
        <v>82</v>
      </c>
      <c r="AR4472" s="2"/>
      <c r="AS4472" s="2"/>
      <c r="AT4472" s="2" t="s">
        <v>13899</v>
      </c>
      <c r="AU4472" s="2"/>
      <c r="AV4472" s="2"/>
      <c r="AW4472" s="2"/>
      <c r="AX4472" s="2"/>
      <c r="AY4472" s="2">
        <v>41</v>
      </c>
      <c r="AZ4472" s="2" t="s">
        <v>82</v>
      </c>
      <c r="BA4472" s="2">
        <v>41</v>
      </c>
      <c r="BB4472" s="2" t="s">
        <v>82</v>
      </c>
      <c r="BC4472" s="2">
        <v>41</v>
      </c>
      <c r="BD4472" s="2" t="s">
        <v>82</v>
      </c>
      <c r="BE4472" s="2">
        <v>41</v>
      </c>
      <c r="BF4472" s="2" t="s">
        <v>82</v>
      </c>
      <c r="BG4472" s="2"/>
      <c r="BH4472" s="2"/>
      <c r="BI4472" s="2"/>
      <c r="BJ4472" s="2">
        <v>241</v>
      </c>
      <c r="BK4472" s="2" t="s">
        <v>82</v>
      </c>
      <c r="BL4472" s="2"/>
      <c r="BM4472" s="2">
        <v>241</v>
      </c>
      <c r="BN4472" s="2" t="s">
        <v>82</v>
      </c>
      <c r="BO4472" s="2"/>
      <c r="BP4472" s="2">
        <v>241</v>
      </c>
      <c r="BQ4472" s="2" t="s">
        <v>82</v>
      </c>
      <c r="BR4472" s="2"/>
      <c r="BS4472" s="3">
        <v>40480</v>
      </c>
      <c r="BT4472" s="4">
        <v>0.45179398148148148</v>
      </c>
    </row>
    <row r="4473" spans="1:72" x14ac:dyDescent="0.25">
      <c r="A4473" s="2">
        <v>6791</v>
      </c>
      <c r="B4473" s="2">
        <v>2010</v>
      </c>
      <c r="C4473" s="2" t="s">
        <v>2219</v>
      </c>
      <c r="D4473" s="2" t="s">
        <v>73</v>
      </c>
      <c r="E4473" s="2"/>
      <c r="F4473" s="2">
        <v>389</v>
      </c>
      <c r="G4473" s="2" t="s">
        <v>1819</v>
      </c>
      <c r="H4473" s="2">
        <v>3</v>
      </c>
      <c r="I4473" s="2" t="s">
        <v>315</v>
      </c>
      <c r="J4473" s="2">
        <v>399</v>
      </c>
      <c r="K4473" s="2" t="s">
        <v>1820</v>
      </c>
      <c r="L4473" s="2" t="s">
        <v>1821</v>
      </c>
      <c r="M4473" s="3">
        <v>40480</v>
      </c>
      <c r="N4473" s="2" t="s">
        <v>13900</v>
      </c>
      <c r="O4473" s="2" t="s">
        <v>13901</v>
      </c>
      <c r="P4473" s="2">
        <v>7087</v>
      </c>
      <c r="Q4473" s="2" t="str">
        <f>""</f>
        <v/>
      </c>
      <c r="R4473" s="2"/>
      <c r="S4473" s="2"/>
      <c r="T4473" s="2">
        <v>1</v>
      </c>
      <c r="U4473" s="2" t="s">
        <v>79</v>
      </c>
      <c r="V4473" s="2">
        <v>1</v>
      </c>
      <c r="W4473" s="2" t="s">
        <v>80</v>
      </c>
      <c r="X4473" s="2">
        <v>8</v>
      </c>
      <c r="Y4473" s="2" t="s">
        <v>375</v>
      </c>
      <c r="Z4473" s="2">
        <v>1</v>
      </c>
      <c r="AA4473" s="2" t="s">
        <v>82</v>
      </c>
      <c r="AB4473" s="2">
        <v>9</v>
      </c>
      <c r="AC4473" s="2" t="s">
        <v>124</v>
      </c>
      <c r="AD4473" s="3">
        <v>40480</v>
      </c>
      <c r="AE4473" s="4">
        <v>9.375E-2</v>
      </c>
      <c r="AF4473" s="2"/>
      <c r="AG4473" s="2"/>
      <c r="AH4473" s="2">
        <v>2</v>
      </c>
      <c r="AI4473" s="2" t="s">
        <v>84</v>
      </c>
      <c r="AJ4473" s="2">
        <v>6</v>
      </c>
      <c r="AK4473" s="2" t="s">
        <v>453</v>
      </c>
      <c r="AL4473" s="2">
        <v>23</v>
      </c>
      <c r="AM4473" s="2" t="s">
        <v>251</v>
      </c>
      <c r="AN4473" s="2"/>
      <c r="AO4473" s="2" t="s">
        <v>13902</v>
      </c>
      <c r="AP4473" s="2">
        <v>11</v>
      </c>
      <c r="AQ4473" s="2" t="s">
        <v>82</v>
      </c>
      <c r="AR4473" s="2"/>
      <c r="AS4473" s="2"/>
      <c r="AT4473" s="2" t="s">
        <v>13903</v>
      </c>
      <c r="AU4473" s="2"/>
      <c r="AV4473" s="2"/>
      <c r="AW4473" s="2"/>
      <c r="AX4473" s="2"/>
      <c r="AY4473" s="2">
        <v>41</v>
      </c>
      <c r="AZ4473" s="2" t="s">
        <v>82</v>
      </c>
      <c r="BA4473" s="2">
        <v>41</v>
      </c>
      <c r="BB4473" s="2" t="s">
        <v>82</v>
      </c>
      <c r="BC4473" s="2">
        <v>41</v>
      </c>
      <c r="BD4473" s="2" t="s">
        <v>82</v>
      </c>
      <c r="BE4473" s="2">
        <v>41</v>
      </c>
      <c r="BF4473" s="2" t="s">
        <v>82</v>
      </c>
      <c r="BG4473" s="2"/>
      <c r="BH4473" s="2"/>
      <c r="BI4473" s="2"/>
      <c r="BJ4473" s="2">
        <v>241</v>
      </c>
      <c r="BK4473" s="2" t="s">
        <v>82</v>
      </c>
      <c r="BL4473" s="2"/>
      <c r="BM4473" s="2">
        <v>241</v>
      </c>
      <c r="BN4473" s="2" t="s">
        <v>82</v>
      </c>
      <c r="BO4473" s="2"/>
      <c r="BP4473" s="2">
        <v>241</v>
      </c>
      <c r="BQ4473" s="2" t="s">
        <v>82</v>
      </c>
      <c r="BR4473" s="2"/>
      <c r="BS4473" s="3">
        <v>40480</v>
      </c>
      <c r="BT4473" s="4">
        <v>0.7208796296296297</v>
      </c>
    </row>
    <row r="4474" spans="1:72" x14ac:dyDescent="0.25">
      <c r="A4474" s="2">
        <v>6792</v>
      </c>
      <c r="B4474" s="2">
        <v>2010</v>
      </c>
      <c r="C4474" s="2" t="s">
        <v>2219</v>
      </c>
      <c r="D4474" s="2" t="s">
        <v>73</v>
      </c>
      <c r="E4474" s="2"/>
      <c r="F4474" s="2">
        <v>389</v>
      </c>
      <c r="G4474" s="2" t="s">
        <v>1819</v>
      </c>
      <c r="H4474" s="2">
        <v>3</v>
      </c>
      <c r="I4474" s="2" t="s">
        <v>315</v>
      </c>
      <c r="J4474" s="2">
        <v>399</v>
      </c>
      <c r="K4474" s="2" t="s">
        <v>1820</v>
      </c>
      <c r="L4474" s="2" t="s">
        <v>1821</v>
      </c>
      <c r="M4474" s="3">
        <v>40480</v>
      </c>
      <c r="N4474" s="2" t="s">
        <v>13900</v>
      </c>
      <c r="O4474" s="2" t="s">
        <v>13901</v>
      </c>
      <c r="P4474" s="2">
        <v>7087</v>
      </c>
      <c r="Q4474" s="2" t="str">
        <f>""</f>
        <v/>
      </c>
      <c r="R4474" s="2"/>
      <c r="S4474" s="2"/>
      <c r="T4474" s="2">
        <v>1</v>
      </c>
      <c r="U4474" s="2" t="s">
        <v>79</v>
      </c>
      <c r="V4474" s="2">
        <v>1</v>
      </c>
      <c r="W4474" s="2" t="s">
        <v>80</v>
      </c>
      <c r="X4474" s="2">
        <v>8</v>
      </c>
      <c r="Y4474" s="2" t="s">
        <v>375</v>
      </c>
      <c r="Z4474" s="2">
        <v>1</v>
      </c>
      <c r="AA4474" s="2" t="s">
        <v>82</v>
      </c>
      <c r="AB4474" s="2">
        <v>9</v>
      </c>
      <c r="AC4474" s="2" t="s">
        <v>124</v>
      </c>
      <c r="AD4474" s="3">
        <v>40480</v>
      </c>
      <c r="AE4474" s="4">
        <v>0.10416666666666667</v>
      </c>
      <c r="AF4474" s="2"/>
      <c r="AG4474" s="2"/>
      <c r="AH4474" s="2">
        <v>2</v>
      </c>
      <c r="AI4474" s="2" t="s">
        <v>84</v>
      </c>
      <c r="AJ4474" s="2">
        <v>6</v>
      </c>
      <c r="AK4474" s="2" t="s">
        <v>453</v>
      </c>
      <c r="AL4474" s="2">
        <v>23</v>
      </c>
      <c r="AM4474" s="2" t="s">
        <v>251</v>
      </c>
      <c r="AN4474" s="2" t="s">
        <v>13904</v>
      </c>
      <c r="AO4474" s="2" t="s">
        <v>13905</v>
      </c>
      <c r="AP4474" s="2">
        <v>11</v>
      </c>
      <c r="AQ4474" s="2" t="s">
        <v>82</v>
      </c>
      <c r="AR4474" s="2"/>
      <c r="AS4474" s="2"/>
      <c r="AT4474" s="2" t="s">
        <v>13906</v>
      </c>
      <c r="AU4474" s="2"/>
      <c r="AV4474" s="2"/>
      <c r="AW4474" s="2"/>
      <c r="AX4474" s="2"/>
      <c r="AY4474" s="2">
        <v>41</v>
      </c>
      <c r="AZ4474" s="2" t="s">
        <v>82</v>
      </c>
      <c r="BA4474" s="2">
        <v>41</v>
      </c>
      <c r="BB4474" s="2" t="s">
        <v>82</v>
      </c>
      <c r="BC4474" s="2">
        <v>41</v>
      </c>
      <c r="BD4474" s="2" t="s">
        <v>82</v>
      </c>
      <c r="BE4474" s="2">
        <v>41</v>
      </c>
      <c r="BF4474" s="2" t="s">
        <v>82</v>
      </c>
      <c r="BG4474" s="2"/>
      <c r="BH4474" s="2"/>
      <c r="BI4474" s="2"/>
      <c r="BJ4474" s="2">
        <v>241</v>
      </c>
      <c r="BK4474" s="2" t="s">
        <v>82</v>
      </c>
      <c r="BL4474" s="2"/>
      <c r="BM4474" s="2">
        <v>241</v>
      </c>
      <c r="BN4474" s="2" t="s">
        <v>82</v>
      </c>
      <c r="BO4474" s="2"/>
      <c r="BP4474" s="2">
        <v>241</v>
      </c>
      <c r="BQ4474" s="2" t="s">
        <v>82</v>
      </c>
      <c r="BR4474" s="2"/>
      <c r="BS4474" s="3">
        <v>40480</v>
      </c>
      <c r="BT4474" s="4">
        <v>0.73605324074074074</v>
      </c>
    </row>
    <row r="4475" spans="1:72" x14ac:dyDescent="0.25">
      <c r="A4475" s="2">
        <v>6793</v>
      </c>
      <c r="B4475" s="2">
        <v>2010</v>
      </c>
      <c r="C4475" s="2" t="s">
        <v>2219</v>
      </c>
      <c r="D4475" s="2" t="s">
        <v>73</v>
      </c>
      <c r="E4475" s="2"/>
      <c r="F4475" s="2">
        <v>389</v>
      </c>
      <c r="G4475" s="2" t="s">
        <v>1819</v>
      </c>
      <c r="H4475" s="2">
        <v>3</v>
      </c>
      <c r="I4475" s="2" t="s">
        <v>315</v>
      </c>
      <c r="J4475" s="2">
        <v>399</v>
      </c>
      <c r="K4475" s="2" t="s">
        <v>1820</v>
      </c>
      <c r="L4475" s="2" t="s">
        <v>1821</v>
      </c>
      <c r="M4475" s="3">
        <v>40480</v>
      </c>
      <c r="N4475" s="2" t="s">
        <v>2401</v>
      </c>
      <c r="O4475" s="2" t="s">
        <v>13901</v>
      </c>
      <c r="P4475" s="2">
        <v>7087</v>
      </c>
      <c r="Q4475" s="2" t="str">
        <f>""</f>
        <v/>
      </c>
      <c r="R4475" s="2"/>
      <c r="S4475" s="2"/>
      <c r="T4475" s="2">
        <v>1</v>
      </c>
      <c r="U4475" s="2" t="s">
        <v>79</v>
      </c>
      <c r="V4475" s="2">
        <v>1</v>
      </c>
      <c r="W4475" s="2" t="s">
        <v>80</v>
      </c>
      <c r="X4475" s="2">
        <v>8</v>
      </c>
      <c r="Y4475" s="2" t="s">
        <v>375</v>
      </c>
      <c r="Z4475" s="2">
        <v>1</v>
      </c>
      <c r="AA4475" s="2" t="s">
        <v>82</v>
      </c>
      <c r="AB4475" s="2">
        <v>9</v>
      </c>
      <c r="AC4475" s="2" t="s">
        <v>124</v>
      </c>
      <c r="AD4475" s="3">
        <v>40480</v>
      </c>
      <c r="AE4475" s="4">
        <v>0.22916666666666666</v>
      </c>
      <c r="AF4475" s="3">
        <v>40480</v>
      </c>
      <c r="AG4475" s="2"/>
      <c r="AH4475" s="2">
        <v>2</v>
      </c>
      <c r="AI4475" s="2" t="s">
        <v>84</v>
      </c>
      <c r="AJ4475" s="2">
        <v>6</v>
      </c>
      <c r="AK4475" s="2" t="s">
        <v>453</v>
      </c>
      <c r="AL4475" s="2">
        <v>25</v>
      </c>
      <c r="AM4475" s="2" t="s">
        <v>3073</v>
      </c>
      <c r="AN4475" s="2" t="s">
        <v>13907</v>
      </c>
      <c r="AO4475" s="2"/>
      <c r="AP4475" s="2">
        <v>11</v>
      </c>
      <c r="AQ4475" s="2" t="s">
        <v>82</v>
      </c>
      <c r="AR4475" s="2"/>
      <c r="AS4475" s="2"/>
      <c r="AT4475" s="2" t="s">
        <v>13908</v>
      </c>
      <c r="AU4475" s="2"/>
      <c r="AV4475" s="2"/>
      <c r="AW4475" s="2"/>
      <c r="AX4475" s="2"/>
      <c r="AY4475" s="2">
        <v>41</v>
      </c>
      <c r="AZ4475" s="2" t="s">
        <v>82</v>
      </c>
      <c r="BA4475" s="2">
        <v>41</v>
      </c>
      <c r="BB4475" s="2" t="s">
        <v>82</v>
      </c>
      <c r="BC4475" s="2">
        <v>41</v>
      </c>
      <c r="BD4475" s="2" t="s">
        <v>82</v>
      </c>
      <c r="BE4475" s="2">
        <v>41</v>
      </c>
      <c r="BF4475" s="2" t="s">
        <v>82</v>
      </c>
      <c r="BG4475" s="2"/>
      <c r="BH4475" s="2"/>
      <c r="BI4475" s="2"/>
      <c r="BJ4475" s="2">
        <v>241</v>
      </c>
      <c r="BK4475" s="2" t="s">
        <v>82</v>
      </c>
      <c r="BL4475" s="2"/>
      <c r="BM4475" s="2">
        <v>241</v>
      </c>
      <c r="BN4475" s="2" t="s">
        <v>82</v>
      </c>
      <c r="BO4475" s="2"/>
      <c r="BP4475" s="2">
        <v>241</v>
      </c>
      <c r="BQ4475" s="2" t="s">
        <v>82</v>
      </c>
      <c r="BR4475" s="2"/>
      <c r="BS4475" s="3">
        <v>40480</v>
      </c>
      <c r="BT4475" s="4">
        <v>0.75775462962962958</v>
      </c>
    </row>
    <row r="4476" spans="1:72" x14ac:dyDescent="0.25">
      <c r="A4476" s="2">
        <v>6795</v>
      </c>
      <c r="B4476" s="2">
        <v>2010</v>
      </c>
      <c r="C4476" s="2" t="s">
        <v>2219</v>
      </c>
      <c r="D4476" s="2" t="s">
        <v>73</v>
      </c>
      <c r="E4476" s="2"/>
      <c r="F4476" s="2">
        <v>389</v>
      </c>
      <c r="G4476" s="2" t="s">
        <v>1819</v>
      </c>
      <c r="H4476" s="2">
        <v>3</v>
      </c>
      <c r="I4476" s="2" t="s">
        <v>315</v>
      </c>
      <c r="J4476" s="2">
        <v>399</v>
      </c>
      <c r="K4476" s="2" t="s">
        <v>1820</v>
      </c>
      <c r="L4476" s="2" t="s">
        <v>1821</v>
      </c>
      <c r="M4476" s="3">
        <v>40480</v>
      </c>
      <c r="N4476" s="2" t="s">
        <v>2401</v>
      </c>
      <c r="O4476" s="2" t="s">
        <v>13901</v>
      </c>
      <c r="P4476" s="2">
        <v>7087</v>
      </c>
      <c r="Q4476" s="2" t="str">
        <f>""</f>
        <v/>
      </c>
      <c r="R4476" s="2"/>
      <c r="S4476" s="2"/>
      <c r="T4476" s="2">
        <v>1</v>
      </c>
      <c r="U4476" s="2" t="s">
        <v>79</v>
      </c>
      <c r="V4476" s="2">
        <v>1</v>
      </c>
      <c r="W4476" s="2" t="s">
        <v>80</v>
      </c>
      <c r="X4476" s="2">
        <v>8</v>
      </c>
      <c r="Y4476" s="2" t="s">
        <v>375</v>
      </c>
      <c r="Z4476" s="2">
        <v>1</v>
      </c>
      <c r="AA4476" s="2" t="s">
        <v>82</v>
      </c>
      <c r="AB4476" s="2">
        <v>9</v>
      </c>
      <c r="AC4476" s="2" t="s">
        <v>124</v>
      </c>
      <c r="AD4476" s="3">
        <v>40480</v>
      </c>
      <c r="AE4476" s="4">
        <v>0.65625</v>
      </c>
      <c r="AF4476" s="3">
        <v>40480</v>
      </c>
      <c r="AG4476" s="2"/>
      <c r="AH4476" s="2">
        <v>2</v>
      </c>
      <c r="AI4476" s="2" t="s">
        <v>84</v>
      </c>
      <c r="AJ4476" s="2">
        <v>6</v>
      </c>
      <c r="AK4476" s="2" t="s">
        <v>453</v>
      </c>
      <c r="AL4476" s="2">
        <v>23</v>
      </c>
      <c r="AM4476" s="2" t="s">
        <v>251</v>
      </c>
      <c r="AN4476" s="2" t="s">
        <v>13909</v>
      </c>
      <c r="AO4476" s="2"/>
      <c r="AP4476" s="2">
        <v>11</v>
      </c>
      <c r="AQ4476" s="2" t="s">
        <v>82</v>
      </c>
      <c r="AR4476" s="2"/>
      <c r="AS4476" s="2"/>
      <c r="AT4476" s="2" t="s">
        <v>13910</v>
      </c>
      <c r="AU4476" s="2"/>
      <c r="AV4476" s="2"/>
      <c r="AW4476" s="2"/>
      <c r="AX4476" s="2"/>
      <c r="AY4476" s="2">
        <v>41</v>
      </c>
      <c r="AZ4476" s="2" t="s">
        <v>82</v>
      </c>
      <c r="BA4476" s="2">
        <v>41</v>
      </c>
      <c r="BB4476" s="2" t="s">
        <v>82</v>
      </c>
      <c r="BC4476" s="2">
        <v>41</v>
      </c>
      <c r="BD4476" s="2" t="s">
        <v>82</v>
      </c>
      <c r="BE4476" s="2">
        <v>41</v>
      </c>
      <c r="BF4476" s="2" t="s">
        <v>82</v>
      </c>
      <c r="BG4476" s="2"/>
      <c r="BH4476" s="2"/>
      <c r="BI4476" s="2"/>
      <c r="BJ4476" s="2">
        <v>241</v>
      </c>
      <c r="BK4476" s="2" t="s">
        <v>82</v>
      </c>
      <c r="BL4476" s="2"/>
      <c r="BM4476" s="2">
        <v>241</v>
      </c>
      <c r="BN4476" s="2" t="s">
        <v>82</v>
      </c>
      <c r="BO4476" s="2"/>
      <c r="BP4476" s="2">
        <v>241</v>
      </c>
      <c r="BQ4476" s="2" t="s">
        <v>82</v>
      </c>
      <c r="BR4476" s="2"/>
      <c r="BS4476" s="3">
        <v>40480</v>
      </c>
      <c r="BT4476" s="4">
        <v>0.79797453703703702</v>
      </c>
    </row>
    <row r="4477" spans="1:72" x14ac:dyDescent="0.25">
      <c r="A4477" s="2">
        <v>6797</v>
      </c>
      <c r="B4477" s="2">
        <v>2010</v>
      </c>
      <c r="C4477" s="2" t="s">
        <v>2219</v>
      </c>
      <c r="D4477" s="2" t="s">
        <v>73</v>
      </c>
      <c r="E4477" s="2"/>
      <c r="F4477" s="2">
        <v>389</v>
      </c>
      <c r="G4477" s="2" t="s">
        <v>1819</v>
      </c>
      <c r="H4477" s="2">
        <v>3</v>
      </c>
      <c r="I4477" s="2" t="s">
        <v>315</v>
      </c>
      <c r="J4477" s="2">
        <v>399</v>
      </c>
      <c r="K4477" s="2" t="s">
        <v>1820</v>
      </c>
      <c r="L4477" s="2" t="s">
        <v>1821</v>
      </c>
      <c r="M4477" s="3">
        <v>40480</v>
      </c>
      <c r="N4477" s="2" t="s">
        <v>2401</v>
      </c>
      <c r="O4477" s="2" t="s">
        <v>13901</v>
      </c>
      <c r="P4477" s="2">
        <v>7087</v>
      </c>
      <c r="Q4477" s="2" t="str">
        <f>""</f>
        <v/>
      </c>
      <c r="R4477" s="2"/>
      <c r="S4477" s="2"/>
      <c r="T4477" s="2">
        <v>1</v>
      </c>
      <c r="U4477" s="2" t="s">
        <v>79</v>
      </c>
      <c r="V4477" s="2">
        <v>1</v>
      </c>
      <c r="W4477" s="2" t="s">
        <v>80</v>
      </c>
      <c r="X4477" s="2">
        <v>8</v>
      </c>
      <c r="Y4477" s="2" t="s">
        <v>375</v>
      </c>
      <c r="Z4477" s="2">
        <v>1</v>
      </c>
      <c r="AA4477" s="2" t="s">
        <v>82</v>
      </c>
      <c r="AB4477" s="2">
        <v>9</v>
      </c>
      <c r="AC4477" s="2" t="s">
        <v>124</v>
      </c>
      <c r="AD4477" s="3">
        <v>40480</v>
      </c>
      <c r="AE4477" s="4">
        <v>0.625</v>
      </c>
      <c r="AF4477" s="3">
        <v>40480</v>
      </c>
      <c r="AG4477" s="2"/>
      <c r="AH4477" s="2">
        <v>2</v>
      </c>
      <c r="AI4477" s="2" t="s">
        <v>84</v>
      </c>
      <c r="AJ4477" s="2">
        <v>6</v>
      </c>
      <c r="AK4477" s="2" t="s">
        <v>453</v>
      </c>
      <c r="AL4477" s="2">
        <v>23</v>
      </c>
      <c r="AM4477" s="2" t="s">
        <v>251</v>
      </c>
      <c r="AN4477" s="2" t="s">
        <v>13911</v>
      </c>
      <c r="AO4477" s="2"/>
      <c r="AP4477" s="2">
        <v>11</v>
      </c>
      <c r="AQ4477" s="2" t="s">
        <v>82</v>
      </c>
      <c r="AR4477" s="2"/>
      <c r="AS4477" s="2"/>
      <c r="AT4477" s="2" t="s">
        <v>13912</v>
      </c>
      <c r="AU4477" s="2"/>
      <c r="AV4477" s="2"/>
      <c r="AW4477" s="2"/>
      <c r="AX4477" s="2"/>
      <c r="AY4477" s="2">
        <v>41</v>
      </c>
      <c r="AZ4477" s="2" t="s">
        <v>82</v>
      </c>
      <c r="BA4477" s="2">
        <v>41</v>
      </c>
      <c r="BB4477" s="2" t="s">
        <v>82</v>
      </c>
      <c r="BC4477" s="2">
        <v>41</v>
      </c>
      <c r="BD4477" s="2" t="s">
        <v>82</v>
      </c>
      <c r="BE4477" s="2">
        <v>41</v>
      </c>
      <c r="BF4477" s="2" t="s">
        <v>82</v>
      </c>
      <c r="BG4477" s="2"/>
      <c r="BH4477" s="2"/>
      <c r="BI4477" s="2"/>
      <c r="BJ4477" s="2">
        <v>241</v>
      </c>
      <c r="BK4477" s="2" t="s">
        <v>82</v>
      </c>
      <c r="BL4477" s="2"/>
      <c r="BM4477" s="2">
        <v>241</v>
      </c>
      <c r="BN4477" s="2" t="s">
        <v>82</v>
      </c>
      <c r="BO4477" s="2"/>
      <c r="BP4477" s="2">
        <v>241</v>
      </c>
      <c r="BQ4477" s="2" t="s">
        <v>82</v>
      </c>
      <c r="BR4477" s="2"/>
      <c r="BS4477" s="3">
        <v>40480</v>
      </c>
      <c r="BT4477" s="4">
        <v>0.84020833333333333</v>
      </c>
    </row>
    <row r="4478" spans="1:72" x14ac:dyDescent="0.25">
      <c r="A4478" s="2">
        <v>6798</v>
      </c>
      <c r="B4478" s="2">
        <v>2010</v>
      </c>
      <c r="C4478" s="2" t="s">
        <v>171</v>
      </c>
      <c r="D4478" s="2" t="s">
        <v>73</v>
      </c>
      <c r="E4478" s="2"/>
      <c r="F4478" s="2">
        <v>471</v>
      </c>
      <c r="G4478" s="2" t="s">
        <v>6201</v>
      </c>
      <c r="H4478" s="2">
        <v>44</v>
      </c>
      <c r="I4478" s="2" t="s">
        <v>1272</v>
      </c>
      <c r="J4478" s="2">
        <v>374</v>
      </c>
      <c r="K4478" s="2" t="s">
        <v>1191</v>
      </c>
      <c r="L4478" s="2" t="s">
        <v>132</v>
      </c>
      <c r="M4478" s="3">
        <v>40480</v>
      </c>
      <c r="N4478" s="2" t="s">
        <v>13913</v>
      </c>
      <c r="O4478" s="2" t="s">
        <v>13914</v>
      </c>
      <c r="P4478" s="2" t="s">
        <v>13915</v>
      </c>
      <c r="Q4478" s="2" t="str">
        <f>"0016/2010"</f>
        <v>0016/2010</v>
      </c>
      <c r="R4478" s="2" t="s">
        <v>82</v>
      </c>
      <c r="S4478" s="2" t="s">
        <v>13916</v>
      </c>
      <c r="T4478" s="2">
        <v>1</v>
      </c>
      <c r="U4478" s="2" t="s">
        <v>79</v>
      </c>
      <c r="V4478" s="2">
        <v>1</v>
      </c>
      <c r="W4478" s="2" t="s">
        <v>80</v>
      </c>
      <c r="X4478" s="2">
        <v>1</v>
      </c>
      <c r="Y4478" s="2" t="s">
        <v>81</v>
      </c>
      <c r="Z4478" s="2">
        <v>1</v>
      </c>
      <c r="AA4478" s="2" t="s">
        <v>82</v>
      </c>
      <c r="AB4478" s="2">
        <v>1</v>
      </c>
      <c r="AC4478" s="2" t="s">
        <v>178</v>
      </c>
      <c r="AD4478" s="3">
        <v>40480</v>
      </c>
      <c r="AE4478" s="4">
        <v>0.17708333333333334</v>
      </c>
      <c r="AF4478" s="3">
        <v>40480</v>
      </c>
      <c r="AG4478" s="2"/>
      <c r="AH4478" s="2">
        <v>5</v>
      </c>
      <c r="AI4478" s="2" t="s">
        <v>274</v>
      </c>
      <c r="AJ4478" s="2">
        <v>45</v>
      </c>
      <c r="AK4478" s="2" t="s">
        <v>834</v>
      </c>
      <c r="AL4478" s="2">
        <v>11</v>
      </c>
      <c r="AM4478" s="2" t="s">
        <v>137</v>
      </c>
      <c r="AN4478" s="2" t="s">
        <v>13917</v>
      </c>
      <c r="AO4478" s="2" t="s">
        <v>82</v>
      </c>
      <c r="AP4478" s="2">
        <v>11</v>
      </c>
      <c r="AQ4478" s="2" t="s">
        <v>82</v>
      </c>
      <c r="AR4478" s="2" t="s">
        <v>82</v>
      </c>
      <c r="AS4478" s="2" t="s">
        <v>82</v>
      </c>
      <c r="AT4478" s="2" t="s">
        <v>13918</v>
      </c>
      <c r="AU4478" s="2"/>
      <c r="AV4478" s="2"/>
      <c r="AW4478" s="2"/>
      <c r="AX4478" s="2"/>
      <c r="AY4478" s="2">
        <v>41</v>
      </c>
      <c r="AZ4478" s="2" t="s">
        <v>82</v>
      </c>
      <c r="BA4478" s="2">
        <v>41</v>
      </c>
      <c r="BB4478" s="2" t="s">
        <v>82</v>
      </c>
      <c r="BC4478" s="2">
        <v>41</v>
      </c>
      <c r="BD4478" s="2" t="s">
        <v>82</v>
      </c>
      <c r="BE4478" s="2">
        <v>25</v>
      </c>
      <c r="BF4478" s="2" t="s">
        <v>358</v>
      </c>
      <c r="BG4478" s="2">
        <v>7467</v>
      </c>
      <c r="BH4478" s="4">
        <v>6.25E-2</v>
      </c>
      <c r="BI4478" s="4">
        <v>0.1875</v>
      </c>
      <c r="BJ4478" s="2">
        <v>13</v>
      </c>
      <c r="BK4478" s="2" t="s">
        <v>91</v>
      </c>
      <c r="BL4478" s="2" t="s">
        <v>1705</v>
      </c>
      <c r="BM4478" s="2">
        <v>33</v>
      </c>
      <c r="BN4478" s="2" t="s">
        <v>361</v>
      </c>
      <c r="BO4478" s="2"/>
      <c r="BP4478" s="2">
        <v>33</v>
      </c>
      <c r="BQ4478" s="2" t="s">
        <v>361</v>
      </c>
      <c r="BR4478" s="2" t="s">
        <v>1706</v>
      </c>
      <c r="BS4478" s="3">
        <v>40480</v>
      </c>
      <c r="BT4478" s="4">
        <v>0.86064814814814816</v>
      </c>
    </row>
    <row r="4479" spans="1:72" x14ac:dyDescent="0.25">
      <c r="A4479" s="2">
        <v>6800</v>
      </c>
      <c r="B4479" s="2">
        <v>2010</v>
      </c>
      <c r="C4479" s="2" t="s">
        <v>196</v>
      </c>
      <c r="D4479" s="2" t="s">
        <v>122</v>
      </c>
      <c r="E4479" s="2"/>
      <c r="F4479" s="2">
        <v>1</v>
      </c>
      <c r="G4479" s="2" t="s">
        <v>82</v>
      </c>
      <c r="H4479" s="2">
        <v>1</v>
      </c>
      <c r="I4479" s="2" t="s">
        <v>82</v>
      </c>
      <c r="J4479" s="2">
        <v>1</v>
      </c>
      <c r="K4479" s="2" t="s">
        <v>107</v>
      </c>
      <c r="L4479" s="2" t="s">
        <v>107</v>
      </c>
      <c r="M4479" s="3">
        <v>40481</v>
      </c>
      <c r="N4479" s="2"/>
      <c r="O4479" s="2"/>
      <c r="P4479" s="2"/>
      <c r="Q4479" s="2" t="str">
        <f>""</f>
        <v/>
      </c>
      <c r="R4479" s="2"/>
      <c r="S4479" s="2"/>
      <c r="T4479" s="2">
        <v>2</v>
      </c>
      <c r="U4479" s="2" t="s">
        <v>123</v>
      </c>
      <c r="V4479" s="2">
        <v>1</v>
      </c>
      <c r="W4479" s="2" t="s">
        <v>80</v>
      </c>
      <c r="X4479" s="2">
        <v>5</v>
      </c>
      <c r="Y4479" s="2" t="s">
        <v>82</v>
      </c>
      <c r="Z4479" s="2">
        <v>1</v>
      </c>
      <c r="AA4479" s="2" t="s">
        <v>82</v>
      </c>
      <c r="AB4479" s="2">
        <v>9</v>
      </c>
      <c r="AC4479" s="2" t="s">
        <v>124</v>
      </c>
      <c r="AD4479" s="3">
        <v>40480</v>
      </c>
      <c r="AE4479" s="4">
        <v>0.73958333333333337</v>
      </c>
      <c r="AF4479" s="2"/>
      <c r="AG4479" s="2"/>
      <c r="AH4479" s="2">
        <v>6</v>
      </c>
      <c r="AI4479" s="2" t="s">
        <v>197</v>
      </c>
      <c r="AJ4479" s="2">
        <v>58</v>
      </c>
      <c r="AK4479" s="2" t="s">
        <v>406</v>
      </c>
      <c r="AL4479" s="2">
        <v>19</v>
      </c>
      <c r="AM4479" s="2" t="s">
        <v>107</v>
      </c>
      <c r="AN4479" s="2" t="s">
        <v>230</v>
      </c>
      <c r="AO4479" s="2" t="s">
        <v>259</v>
      </c>
      <c r="AP4479" s="2">
        <v>11</v>
      </c>
      <c r="AQ4479" s="2" t="s">
        <v>82</v>
      </c>
      <c r="AR4479" s="2"/>
      <c r="AS4479" s="2"/>
      <c r="AT4479" s="2" t="s">
        <v>13919</v>
      </c>
      <c r="AU4479" s="2"/>
      <c r="AV4479" s="2"/>
      <c r="AW4479" s="2"/>
      <c r="AX4479" s="2"/>
      <c r="AY4479" s="2">
        <v>41</v>
      </c>
      <c r="AZ4479" s="2" t="s">
        <v>82</v>
      </c>
      <c r="BA4479" s="2">
        <v>41</v>
      </c>
      <c r="BB4479" s="2" t="s">
        <v>82</v>
      </c>
      <c r="BC4479" s="2">
        <v>41</v>
      </c>
      <c r="BD4479" s="2" t="s">
        <v>82</v>
      </c>
      <c r="BE4479" s="2">
        <v>41</v>
      </c>
      <c r="BF4479" s="2" t="s">
        <v>82</v>
      </c>
      <c r="BG4479" s="2"/>
      <c r="BH4479" s="2"/>
      <c r="BI4479" s="2"/>
      <c r="BJ4479" s="2">
        <v>241</v>
      </c>
      <c r="BK4479" s="2" t="s">
        <v>82</v>
      </c>
      <c r="BL4479" s="2"/>
      <c r="BM4479" s="2">
        <v>241</v>
      </c>
      <c r="BN4479" s="2" t="s">
        <v>82</v>
      </c>
      <c r="BO4479" s="2"/>
      <c r="BP4479" s="2">
        <v>241</v>
      </c>
      <c r="BQ4479" s="2" t="s">
        <v>82</v>
      </c>
      <c r="BR4479" s="2"/>
      <c r="BS4479" s="3">
        <v>40481</v>
      </c>
      <c r="BT4479" s="4">
        <v>6.2627314814814816E-2</v>
      </c>
    </row>
    <row r="4480" spans="1:72" x14ac:dyDescent="0.25">
      <c r="A4480" s="2">
        <v>6801</v>
      </c>
      <c r="B4480" s="2">
        <v>2010</v>
      </c>
      <c r="C4480" s="2" t="s">
        <v>72</v>
      </c>
      <c r="D4480" s="2" t="s">
        <v>73</v>
      </c>
      <c r="E4480" s="2"/>
      <c r="F4480" s="2">
        <v>220</v>
      </c>
      <c r="G4480" s="2" t="s">
        <v>11539</v>
      </c>
      <c r="H4480" s="2">
        <v>108</v>
      </c>
      <c r="I4480" s="2" t="s">
        <v>1096</v>
      </c>
      <c r="J4480" s="2">
        <v>688</v>
      </c>
      <c r="K4480" s="2" t="s">
        <v>13441</v>
      </c>
      <c r="L4480" s="2" t="s">
        <v>2327</v>
      </c>
      <c r="M4480" s="3">
        <v>40481</v>
      </c>
      <c r="N4480" s="2" t="s">
        <v>13920</v>
      </c>
      <c r="O4480" s="2" t="s">
        <v>107</v>
      </c>
      <c r="P4480" s="2" t="s">
        <v>107</v>
      </c>
      <c r="Q4480" s="2" t="str">
        <f>"PS NRO 426-A/10"</f>
        <v>PS NRO 426-A/10</v>
      </c>
      <c r="R4480" s="2" t="s">
        <v>206</v>
      </c>
      <c r="S4480" s="2" t="s">
        <v>206</v>
      </c>
      <c r="T4480" s="2">
        <v>1</v>
      </c>
      <c r="U4480" s="2" t="s">
        <v>79</v>
      </c>
      <c r="V4480" s="2">
        <v>1</v>
      </c>
      <c r="W4480" s="2" t="s">
        <v>80</v>
      </c>
      <c r="X4480" s="2">
        <v>12</v>
      </c>
      <c r="Y4480" s="2" t="s">
        <v>148</v>
      </c>
      <c r="Z4480" s="2">
        <v>1</v>
      </c>
      <c r="AA4480" s="2" t="s">
        <v>82</v>
      </c>
      <c r="AB4480" s="2">
        <v>6</v>
      </c>
      <c r="AC4480" s="2" t="s">
        <v>83</v>
      </c>
      <c r="AD4480" s="3">
        <v>40481</v>
      </c>
      <c r="AE4480" s="2"/>
      <c r="AF4480" s="3">
        <v>40481</v>
      </c>
      <c r="AG4480" s="4">
        <v>0.4548611111111111</v>
      </c>
      <c r="AH4480" s="2">
        <v>2</v>
      </c>
      <c r="AI4480" s="2" t="s">
        <v>84</v>
      </c>
      <c r="AJ4480" s="2">
        <v>12</v>
      </c>
      <c r="AK4480" s="2" t="s">
        <v>85</v>
      </c>
      <c r="AL4480" s="2">
        <v>22</v>
      </c>
      <c r="AM4480" s="2" t="s">
        <v>1853</v>
      </c>
      <c r="AN4480" s="2"/>
      <c r="AO4480" s="2" t="s">
        <v>11967</v>
      </c>
      <c r="AP4480" s="2">
        <v>11</v>
      </c>
      <c r="AQ4480" s="2" t="s">
        <v>82</v>
      </c>
      <c r="AR4480" s="2" t="s">
        <v>82</v>
      </c>
      <c r="AS4480" s="2" t="s">
        <v>82</v>
      </c>
      <c r="AT4480" s="2" t="s">
        <v>13921</v>
      </c>
      <c r="AU4480" s="2"/>
      <c r="AV4480" s="2"/>
      <c r="AW4480" s="2"/>
      <c r="AX4480" s="2"/>
      <c r="AY4480" s="2">
        <v>41</v>
      </c>
      <c r="AZ4480" s="2" t="s">
        <v>82</v>
      </c>
      <c r="BA4480" s="2">
        <v>41</v>
      </c>
      <c r="BB4480" s="2" t="s">
        <v>82</v>
      </c>
      <c r="BC4480" s="2">
        <v>13</v>
      </c>
      <c r="BD4480" s="2" t="s">
        <v>108</v>
      </c>
      <c r="BE4480" s="2">
        <v>13</v>
      </c>
      <c r="BF4480" s="2" t="s">
        <v>108</v>
      </c>
      <c r="BG4480" s="2" t="s">
        <v>13922</v>
      </c>
      <c r="BH4480" s="4">
        <v>0.36458333333333331</v>
      </c>
      <c r="BI4480" s="2"/>
      <c r="BJ4480" s="2">
        <v>13</v>
      </c>
      <c r="BK4480" s="2" t="s">
        <v>91</v>
      </c>
      <c r="BL4480" s="2" t="s">
        <v>744</v>
      </c>
      <c r="BM4480" s="2">
        <v>13</v>
      </c>
      <c r="BN4480" s="2" t="s">
        <v>91</v>
      </c>
      <c r="BO4480" s="2"/>
      <c r="BP4480" s="2">
        <v>13</v>
      </c>
      <c r="BQ4480" s="2" t="s">
        <v>91</v>
      </c>
      <c r="BR4480" s="2" t="s">
        <v>564</v>
      </c>
      <c r="BS4480" s="3">
        <v>40481</v>
      </c>
      <c r="BT4480" s="4">
        <v>0.61802083333333335</v>
      </c>
    </row>
    <row r="4481" spans="1:72" x14ac:dyDescent="0.25">
      <c r="A4481" s="2">
        <v>6803</v>
      </c>
      <c r="B4481" s="2">
        <v>2010</v>
      </c>
      <c r="C4481" s="2" t="s">
        <v>72</v>
      </c>
      <c r="D4481" s="2" t="s">
        <v>73</v>
      </c>
      <c r="E4481" s="2"/>
      <c r="F4481" s="2">
        <v>116</v>
      </c>
      <c r="G4481" s="2" t="s">
        <v>7508</v>
      </c>
      <c r="H4481" s="2">
        <v>42</v>
      </c>
      <c r="I4481" s="2" t="s">
        <v>1096</v>
      </c>
      <c r="J4481" s="2">
        <v>697</v>
      </c>
      <c r="K4481" s="2" t="s">
        <v>13923</v>
      </c>
      <c r="L4481" s="2" t="s">
        <v>13924</v>
      </c>
      <c r="M4481" s="3">
        <v>40481</v>
      </c>
      <c r="N4481" s="2" t="s">
        <v>13925</v>
      </c>
      <c r="O4481" s="2"/>
      <c r="P4481" s="2" t="s">
        <v>107</v>
      </c>
      <c r="Q4481" s="2" t="str">
        <f>"0023/10"</f>
        <v>0023/10</v>
      </c>
      <c r="R4481" s="2" t="s">
        <v>13926</v>
      </c>
      <c r="S4481" s="2"/>
      <c r="T4481" s="2">
        <v>1</v>
      </c>
      <c r="U4481" s="2" t="s">
        <v>79</v>
      </c>
      <c r="V4481" s="2">
        <v>1</v>
      </c>
      <c r="W4481" s="2" t="s">
        <v>80</v>
      </c>
      <c r="X4481" s="2">
        <v>1</v>
      </c>
      <c r="Y4481" s="2" t="s">
        <v>81</v>
      </c>
      <c r="Z4481" s="2">
        <v>1</v>
      </c>
      <c r="AA4481" s="2" t="s">
        <v>82</v>
      </c>
      <c r="AB4481" s="2">
        <v>6</v>
      </c>
      <c r="AC4481" s="2" t="s">
        <v>83</v>
      </c>
      <c r="AD4481" s="2"/>
      <c r="AE4481" s="2"/>
      <c r="AF4481" s="3">
        <v>40481</v>
      </c>
      <c r="AG4481" s="4">
        <v>0.71527777777777779</v>
      </c>
      <c r="AH4481" s="2">
        <v>6</v>
      </c>
      <c r="AI4481" s="2" t="s">
        <v>197</v>
      </c>
      <c r="AJ4481" s="2">
        <v>54</v>
      </c>
      <c r="AK4481" s="2" t="s">
        <v>348</v>
      </c>
      <c r="AL4481" s="2">
        <v>23</v>
      </c>
      <c r="AM4481" s="2" t="s">
        <v>251</v>
      </c>
      <c r="AN4481" s="2" t="s">
        <v>13927</v>
      </c>
      <c r="AO4481" s="2" t="s">
        <v>13928</v>
      </c>
      <c r="AP4481" s="2">
        <v>11</v>
      </c>
      <c r="AQ4481" s="2" t="s">
        <v>82</v>
      </c>
      <c r="AR4481" s="2" t="s">
        <v>82</v>
      </c>
      <c r="AS4481" s="2" t="s">
        <v>82</v>
      </c>
      <c r="AT4481" s="2" t="s">
        <v>13929</v>
      </c>
      <c r="AU4481" s="2"/>
      <c r="AV4481" s="2"/>
      <c r="AW4481" s="2"/>
      <c r="AX4481" s="2"/>
      <c r="AY4481" s="2">
        <v>114</v>
      </c>
      <c r="AZ4481" s="2" t="s">
        <v>7510</v>
      </c>
      <c r="BA4481" s="2">
        <v>41</v>
      </c>
      <c r="BB4481" s="2" t="s">
        <v>82</v>
      </c>
      <c r="BC4481" s="2">
        <v>41</v>
      </c>
      <c r="BD4481" s="2" t="s">
        <v>82</v>
      </c>
      <c r="BE4481" s="2">
        <v>41</v>
      </c>
      <c r="BF4481" s="2" t="s">
        <v>82</v>
      </c>
      <c r="BG4481" s="2" t="s">
        <v>82</v>
      </c>
      <c r="BH4481" s="2"/>
      <c r="BI4481" s="2"/>
      <c r="BJ4481" s="2">
        <v>241</v>
      </c>
      <c r="BK4481" s="2" t="s">
        <v>82</v>
      </c>
      <c r="BL4481" s="2" t="s">
        <v>82</v>
      </c>
      <c r="BM4481" s="2">
        <v>241</v>
      </c>
      <c r="BN4481" s="2" t="s">
        <v>82</v>
      </c>
      <c r="BO4481" s="2"/>
      <c r="BP4481" s="2">
        <v>241</v>
      </c>
      <c r="BQ4481" s="2" t="s">
        <v>82</v>
      </c>
      <c r="BR4481" s="2" t="s">
        <v>82</v>
      </c>
      <c r="BS4481" s="3">
        <v>40481</v>
      </c>
      <c r="BT4481" s="4">
        <v>0.84693287037037035</v>
      </c>
    </row>
    <row r="4482" spans="1:72" x14ac:dyDescent="0.25">
      <c r="A4482" s="2">
        <v>6804</v>
      </c>
      <c r="B4482" s="2">
        <v>2010</v>
      </c>
      <c r="C4482" s="2" t="s">
        <v>414</v>
      </c>
      <c r="D4482" s="2" t="s">
        <v>122</v>
      </c>
      <c r="E4482" s="2"/>
      <c r="F4482" s="2">
        <v>1</v>
      </c>
      <c r="G4482" s="2" t="s">
        <v>82</v>
      </c>
      <c r="H4482" s="2">
        <v>1</v>
      </c>
      <c r="I4482" s="2" t="s">
        <v>82</v>
      </c>
      <c r="J4482" s="2">
        <v>1</v>
      </c>
      <c r="K4482" s="2" t="s">
        <v>107</v>
      </c>
      <c r="L4482" s="2" t="s">
        <v>107</v>
      </c>
      <c r="M4482" s="3">
        <v>40481</v>
      </c>
      <c r="N4482" s="2" t="s">
        <v>82</v>
      </c>
      <c r="O4482" s="2" t="s">
        <v>82</v>
      </c>
      <c r="P4482" s="2" t="s">
        <v>82</v>
      </c>
      <c r="Q4482" s="2" t="str">
        <f>"N/C"</f>
        <v>N/C</v>
      </c>
      <c r="R4482" s="2" t="s">
        <v>82</v>
      </c>
      <c r="S4482" s="2" t="s">
        <v>82</v>
      </c>
      <c r="T4482" s="2">
        <v>1</v>
      </c>
      <c r="U4482" s="2" t="s">
        <v>79</v>
      </c>
      <c r="V4482" s="2">
        <v>1</v>
      </c>
      <c r="W4482" s="2" t="s">
        <v>80</v>
      </c>
      <c r="X4482" s="2">
        <v>1</v>
      </c>
      <c r="Y4482" s="2" t="s">
        <v>81</v>
      </c>
      <c r="Z4482" s="2">
        <v>10</v>
      </c>
      <c r="AA4482" s="2" t="s">
        <v>236</v>
      </c>
      <c r="AB4482" s="2">
        <v>9</v>
      </c>
      <c r="AC4482" s="2" t="s">
        <v>124</v>
      </c>
      <c r="AD4482" s="3">
        <v>40481</v>
      </c>
      <c r="AE4482" s="4">
        <v>0.39583333333333331</v>
      </c>
      <c r="AF4482" s="2"/>
      <c r="AG4482" s="2"/>
      <c r="AH4482" s="2">
        <v>2</v>
      </c>
      <c r="AI4482" s="2" t="s">
        <v>84</v>
      </c>
      <c r="AJ4482" s="2">
        <v>12</v>
      </c>
      <c r="AK4482" s="2" t="s">
        <v>85</v>
      </c>
      <c r="AL4482" s="2">
        <v>24</v>
      </c>
      <c r="AM4482" s="2" t="s">
        <v>1540</v>
      </c>
      <c r="AN4482" s="2" t="s">
        <v>13930</v>
      </c>
      <c r="AO4482" s="2" t="s">
        <v>1945</v>
      </c>
      <c r="AP4482" s="2">
        <v>11</v>
      </c>
      <c r="AQ4482" s="2" t="s">
        <v>82</v>
      </c>
      <c r="AR4482" s="2"/>
      <c r="AS4482" s="2"/>
      <c r="AT4482" s="2" t="s">
        <v>13931</v>
      </c>
      <c r="AU4482" s="2"/>
      <c r="AV4482" s="2"/>
      <c r="AW4482" s="2"/>
      <c r="AX4482" s="2"/>
      <c r="AY4482" s="2">
        <v>41</v>
      </c>
      <c r="AZ4482" s="2" t="s">
        <v>82</v>
      </c>
      <c r="BA4482" s="2">
        <v>41</v>
      </c>
      <c r="BB4482" s="2" t="s">
        <v>82</v>
      </c>
      <c r="BC4482" s="2">
        <v>70</v>
      </c>
      <c r="BD4482" s="2" t="s">
        <v>236</v>
      </c>
      <c r="BE4482" s="2">
        <v>41</v>
      </c>
      <c r="BF4482" s="2" t="s">
        <v>82</v>
      </c>
      <c r="BG4482" s="2"/>
      <c r="BH4482" s="2"/>
      <c r="BI4482" s="2"/>
      <c r="BJ4482" s="2">
        <v>241</v>
      </c>
      <c r="BK4482" s="2" t="s">
        <v>82</v>
      </c>
      <c r="BL4482" s="2"/>
      <c r="BM4482" s="2">
        <v>241</v>
      </c>
      <c r="BN4482" s="2" t="s">
        <v>82</v>
      </c>
      <c r="BO4482" s="2"/>
      <c r="BP4482" s="2">
        <v>241</v>
      </c>
      <c r="BQ4482" s="2" t="s">
        <v>82</v>
      </c>
      <c r="BR4482" s="2"/>
      <c r="BS4482" s="3">
        <v>40481</v>
      </c>
      <c r="BT4482" s="4">
        <v>0.88215277777777779</v>
      </c>
    </row>
    <row r="4483" spans="1:72" x14ac:dyDescent="0.25">
      <c r="A4483" s="2">
        <v>6805</v>
      </c>
      <c r="B4483" s="2">
        <v>2010</v>
      </c>
      <c r="C4483" s="2" t="s">
        <v>72</v>
      </c>
      <c r="D4483" s="2" t="s">
        <v>73</v>
      </c>
      <c r="E4483" s="2"/>
      <c r="F4483" s="2">
        <v>389</v>
      </c>
      <c r="G4483" s="2" t="s">
        <v>1819</v>
      </c>
      <c r="H4483" s="2">
        <v>3</v>
      </c>
      <c r="I4483" s="2" t="s">
        <v>315</v>
      </c>
      <c r="J4483" s="2">
        <v>399</v>
      </c>
      <c r="K4483" s="2" t="s">
        <v>1820</v>
      </c>
      <c r="L4483" s="2" t="s">
        <v>1821</v>
      </c>
      <c r="M4483" s="3">
        <v>40481</v>
      </c>
      <c r="N4483" s="2" t="s">
        <v>2319</v>
      </c>
      <c r="O4483" s="2"/>
      <c r="P4483" s="2"/>
      <c r="Q4483" s="2" t="str">
        <f>"566-E/10"</f>
        <v>566-E/10</v>
      </c>
      <c r="R4483" s="2" t="s">
        <v>116</v>
      </c>
      <c r="S4483" s="2" t="s">
        <v>116</v>
      </c>
      <c r="T4483" s="2">
        <v>1</v>
      </c>
      <c r="U4483" s="2" t="s">
        <v>79</v>
      </c>
      <c r="V4483" s="2">
        <v>1</v>
      </c>
      <c r="W4483" s="2" t="s">
        <v>80</v>
      </c>
      <c r="X4483" s="2">
        <v>12</v>
      </c>
      <c r="Y4483" s="2" t="s">
        <v>148</v>
      </c>
      <c r="Z4483" s="2">
        <v>1</v>
      </c>
      <c r="AA4483" s="2" t="s">
        <v>82</v>
      </c>
      <c r="AB4483" s="2">
        <v>6</v>
      </c>
      <c r="AC4483" s="2" t="s">
        <v>83</v>
      </c>
      <c r="AD4483" s="3">
        <v>40481</v>
      </c>
      <c r="AE4483" s="2"/>
      <c r="AF4483" s="3">
        <v>40481</v>
      </c>
      <c r="AG4483" s="4">
        <v>0.5</v>
      </c>
      <c r="AH4483" s="2">
        <v>2</v>
      </c>
      <c r="AI4483" s="2" t="s">
        <v>84</v>
      </c>
      <c r="AJ4483" s="2">
        <v>9</v>
      </c>
      <c r="AK4483" s="2" t="s">
        <v>103</v>
      </c>
      <c r="AL4483" s="2">
        <v>14</v>
      </c>
      <c r="AM4483" s="2" t="s">
        <v>216</v>
      </c>
      <c r="AN4483" s="2" t="s">
        <v>13932</v>
      </c>
      <c r="AO4483" s="2" t="s">
        <v>13933</v>
      </c>
      <c r="AP4483" s="2">
        <v>11</v>
      </c>
      <c r="AQ4483" s="2" t="s">
        <v>82</v>
      </c>
      <c r="AR4483" s="2"/>
      <c r="AS4483" s="2"/>
      <c r="AT4483" s="2" t="s">
        <v>13934</v>
      </c>
      <c r="AU4483" s="2"/>
      <c r="AV4483" s="2">
        <v>1</v>
      </c>
      <c r="AW4483" s="2"/>
      <c r="AX4483" s="2"/>
      <c r="AY4483" s="2">
        <v>69</v>
      </c>
      <c r="AZ4483" s="2" t="s">
        <v>483</v>
      </c>
      <c r="BA4483" s="2">
        <v>69</v>
      </c>
      <c r="BB4483" s="2" t="s">
        <v>483</v>
      </c>
      <c r="BC4483" s="2">
        <v>41</v>
      </c>
      <c r="BD4483" s="2" t="s">
        <v>82</v>
      </c>
      <c r="BE4483" s="2">
        <v>41</v>
      </c>
      <c r="BF4483" s="2" t="s">
        <v>82</v>
      </c>
      <c r="BG4483" s="2"/>
      <c r="BH4483" s="2"/>
      <c r="BI4483" s="2"/>
      <c r="BJ4483" s="2">
        <v>241</v>
      </c>
      <c r="BK4483" s="2" t="s">
        <v>82</v>
      </c>
      <c r="BL4483" s="2"/>
      <c r="BM4483" s="2">
        <v>241</v>
      </c>
      <c r="BN4483" s="2" t="s">
        <v>82</v>
      </c>
      <c r="BO4483" s="2"/>
      <c r="BP4483" s="2">
        <v>241</v>
      </c>
      <c r="BQ4483" s="2" t="s">
        <v>82</v>
      </c>
      <c r="BR4483" s="2"/>
      <c r="BS4483" s="3">
        <v>40481</v>
      </c>
      <c r="BT4483" s="4">
        <v>0.89378472222222216</v>
      </c>
    </row>
    <row r="4484" spans="1:72" x14ac:dyDescent="0.25">
      <c r="A4484" s="2">
        <v>6806</v>
      </c>
      <c r="B4484" s="2">
        <v>2010</v>
      </c>
      <c r="C4484" s="2" t="s">
        <v>72</v>
      </c>
      <c r="D4484" s="2" t="s">
        <v>73</v>
      </c>
      <c r="E4484" s="2"/>
      <c r="F4484" s="2">
        <v>685</v>
      </c>
      <c r="G4484" s="2" t="s">
        <v>12932</v>
      </c>
      <c r="H4484" s="2">
        <v>42</v>
      </c>
      <c r="I4484" s="2" t="s">
        <v>1096</v>
      </c>
      <c r="J4484" s="2">
        <v>674</v>
      </c>
      <c r="K4484" s="2" t="s">
        <v>12821</v>
      </c>
      <c r="L4484" s="2" t="s">
        <v>12822</v>
      </c>
      <c r="M4484" s="3">
        <v>40481</v>
      </c>
      <c r="N4484" s="2" t="s">
        <v>12865</v>
      </c>
      <c r="O4484" s="2" t="s">
        <v>82</v>
      </c>
      <c r="P4484" s="2" t="s">
        <v>82</v>
      </c>
      <c r="Q4484" s="2" t="str">
        <f>"427-A/10"</f>
        <v>427-A/10</v>
      </c>
      <c r="R4484" s="2" t="s">
        <v>78</v>
      </c>
      <c r="S4484" s="2" t="s">
        <v>78</v>
      </c>
      <c r="T4484" s="2">
        <v>1</v>
      </c>
      <c r="U4484" s="2" t="s">
        <v>79</v>
      </c>
      <c r="V4484" s="2">
        <v>1</v>
      </c>
      <c r="W4484" s="2" t="s">
        <v>80</v>
      </c>
      <c r="X4484" s="2">
        <v>12</v>
      </c>
      <c r="Y4484" s="2" t="s">
        <v>148</v>
      </c>
      <c r="Z4484" s="2">
        <v>1</v>
      </c>
      <c r="AA4484" s="2" t="s">
        <v>82</v>
      </c>
      <c r="AB4484" s="2">
        <v>6</v>
      </c>
      <c r="AC4484" s="2" t="s">
        <v>83</v>
      </c>
      <c r="AD4484" s="3">
        <v>40481</v>
      </c>
      <c r="AE4484" s="2"/>
      <c r="AF4484" s="3">
        <v>40481</v>
      </c>
      <c r="AG4484" s="4">
        <v>0.79861111111111116</v>
      </c>
      <c r="AH4484" s="2">
        <v>2</v>
      </c>
      <c r="AI4484" s="2" t="s">
        <v>84</v>
      </c>
      <c r="AJ4484" s="2">
        <v>12</v>
      </c>
      <c r="AK4484" s="2" t="s">
        <v>85</v>
      </c>
      <c r="AL4484" s="2">
        <v>14</v>
      </c>
      <c r="AM4484" s="2" t="s">
        <v>216</v>
      </c>
      <c r="AN4484" s="2" t="s">
        <v>13935</v>
      </c>
      <c r="AO4484" s="2" t="s">
        <v>13255</v>
      </c>
      <c r="AP4484" s="2">
        <v>11</v>
      </c>
      <c r="AQ4484" s="2" t="s">
        <v>82</v>
      </c>
      <c r="AR4484" s="2" t="s">
        <v>82</v>
      </c>
      <c r="AS4484" s="2" t="s">
        <v>82</v>
      </c>
      <c r="AT4484" s="2" t="s">
        <v>13936</v>
      </c>
      <c r="AU4484" s="2"/>
      <c r="AV4484" s="2"/>
      <c r="AW4484" s="2"/>
      <c r="AX4484" s="2"/>
      <c r="AY4484" s="2">
        <v>41</v>
      </c>
      <c r="AZ4484" s="2" t="s">
        <v>82</v>
      </c>
      <c r="BA4484" s="2">
        <v>41</v>
      </c>
      <c r="BB4484" s="2" t="s">
        <v>82</v>
      </c>
      <c r="BC4484" s="2">
        <v>41</v>
      </c>
      <c r="BD4484" s="2" t="s">
        <v>82</v>
      </c>
      <c r="BE4484" s="2">
        <v>41</v>
      </c>
      <c r="BF4484" s="2" t="s">
        <v>82</v>
      </c>
      <c r="BG4484" s="2"/>
      <c r="BH4484" s="2"/>
      <c r="BI4484" s="2"/>
      <c r="BJ4484" s="2">
        <v>241</v>
      </c>
      <c r="BK4484" s="2" t="s">
        <v>82</v>
      </c>
      <c r="BL4484" s="2"/>
      <c r="BM4484" s="2">
        <v>241</v>
      </c>
      <c r="BN4484" s="2" t="s">
        <v>82</v>
      </c>
      <c r="BO4484" s="2"/>
      <c r="BP4484" s="2">
        <v>241</v>
      </c>
      <c r="BQ4484" s="2" t="s">
        <v>82</v>
      </c>
      <c r="BR4484" s="2"/>
      <c r="BS4484" s="3">
        <v>40481</v>
      </c>
      <c r="BT4484" s="4">
        <v>0.90689814814814806</v>
      </c>
    </row>
    <row r="4485" spans="1:72" x14ac:dyDescent="0.25">
      <c r="A4485" s="2">
        <v>6808</v>
      </c>
      <c r="B4485" s="2">
        <v>2010</v>
      </c>
      <c r="C4485" s="2" t="s">
        <v>414</v>
      </c>
      <c r="D4485" s="2" t="s">
        <v>122</v>
      </c>
      <c r="E4485" s="2"/>
      <c r="F4485" s="2">
        <v>1</v>
      </c>
      <c r="G4485" s="2" t="s">
        <v>82</v>
      </c>
      <c r="H4485" s="2">
        <v>1</v>
      </c>
      <c r="I4485" s="2" t="s">
        <v>82</v>
      </c>
      <c r="J4485" s="2">
        <v>1</v>
      </c>
      <c r="K4485" s="2" t="s">
        <v>107</v>
      </c>
      <c r="L4485" s="2" t="s">
        <v>107</v>
      </c>
      <c r="M4485" s="3">
        <v>40481</v>
      </c>
      <c r="N4485" s="2" t="s">
        <v>82</v>
      </c>
      <c r="O4485" s="2" t="s">
        <v>82</v>
      </c>
      <c r="P4485" s="2" t="s">
        <v>82</v>
      </c>
      <c r="Q4485" s="2" t="str">
        <f>"N/C"</f>
        <v>N/C</v>
      </c>
      <c r="R4485" s="2" t="s">
        <v>13937</v>
      </c>
      <c r="S4485" s="2" t="s">
        <v>82</v>
      </c>
      <c r="T4485" s="2">
        <v>1</v>
      </c>
      <c r="U4485" s="2" t="s">
        <v>79</v>
      </c>
      <c r="V4485" s="2">
        <v>1</v>
      </c>
      <c r="W4485" s="2" t="s">
        <v>80</v>
      </c>
      <c r="X4485" s="2">
        <v>1</v>
      </c>
      <c r="Y4485" s="2" t="s">
        <v>81</v>
      </c>
      <c r="Z4485" s="2">
        <v>1</v>
      </c>
      <c r="AA4485" s="2" t="s">
        <v>82</v>
      </c>
      <c r="AB4485" s="2">
        <v>9</v>
      </c>
      <c r="AC4485" s="2" t="s">
        <v>124</v>
      </c>
      <c r="AD4485" s="3">
        <v>40481</v>
      </c>
      <c r="AE4485" s="4">
        <v>0.83333333333333337</v>
      </c>
      <c r="AF4485" s="2"/>
      <c r="AG4485" s="2"/>
      <c r="AH4485" s="2">
        <v>6</v>
      </c>
      <c r="AI4485" s="2" t="s">
        <v>197</v>
      </c>
      <c r="AJ4485" s="2">
        <v>60</v>
      </c>
      <c r="AK4485" s="2" t="s">
        <v>543</v>
      </c>
      <c r="AL4485" s="2">
        <v>25</v>
      </c>
      <c r="AM4485" s="2" t="s">
        <v>3073</v>
      </c>
      <c r="AN4485" s="2" t="s">
        <v>82</v>
      </c>
      <c r="AO4485" s="2" t="s">
        <v>13938</v>
      </c>
      <c r="AP4485" s="2">
        <v>11</v>
      </c>
      <c r="AQ4485" s="2" t="s">
        <v>82</v>
      </c>
      <c r="AR4485" s="2"/>
      <c r="AS4485" s="2"/>
      <c r="AT4485" s="2" t="s">
        <v>13939</v>
      </c>
      <c r="AU4485" s="2"/>
      <c r="AV4485" s="2"/>
      <c r="AW4485" s="2"/>
      <c r="AX4485" s="2"/>
      <c r="AY4485" s="2">
        <v>41</v>
      </c>
      <c r="AZ4485" s="2" t="s">
        <v>82</v>
      </c>
      <c r="BA4485" s="2">
        <v>41</v>
      </c>
      <c r="BB4485" s="2" t="s">
        <v>82</v>
      </c>
      <c r="BC4485" s="2">
        <v>41</v>
      </c>
      <c r="BD4485" s="2" t="s">
        <v>82</v>
      </c>
      <c r="BE4485" s="2">
        <v>41</v>
      </c>
      <c r="BF4485" s="2" t="s">
        <v>82</v>
      </c>
      <c r="BG4485" s="2" t="s">
        <v>82</v>
      </c>
      <c r="BH4485" s="2"/>
      <c r="BI4485" s="2"/>
      <c r="BJ4485" s="2">
        <v>241</v>
      </c>
      <c r="BK4485" s="2" t="s">
        <v>82</v>
      </c>
      <c r="BL4485" s="2"/>
      <c r="BM4485" s="2">
        <v>242</v>
      </c>
      <c r="BN4485" s="2" t="s">
        <v>107</v>
      </c>
      <c r="BO4485" s="2"/>
      <c r="BP4485" s="2">
        <v>241</v>
      </c>
      <c r="BQ4485" s="2" t="s">
        <v>82</v>
      </c>
      <c r="BR4485" s="2"/>
      <c r="BS4485" s="3">
        <v>40481</v>
      </c>
      <c r="BT4485" s="4">
        <v>0.96833333333333327</v>
      </c>
    </row>
    <row r="4486" spans="1:72" x14ac:dyDescent="0.25">
      <c r="A4486" s="2">
        <v>6809</v>
      </c>
      <c r="B4486" s="2">
        <v>2010</v>
      </c>
      <c r="C4486" s="2" t="s">
        <v>171</v>
      </c>
      <c r="D4486" s="2" t="s">
        <v>73</v>
      </c>
      <c r="E4486" s="2"/>
      <c r="F4486" s="2">
        <v>397</v>
      </c>
      <c r="G4486" s="2" t="s">
        <v>2522</v>
      </c>
      <c r="H4486" s="2">
        <v>11</v>
      </c>
      <c r="I4486" s="2" t="s">
        <v>1397</v>
      </c>
      <c r="J4486" s="2">
        <v>377</v>
      </c>
      <c r="K4486" s="2" t="s">
        <v>1223</v>
      </c>
      <c r="L4486" s="2" t="s">
        <v>1224</v>
      </c>
      <c r="M4486" s="3">
        <v>40482</v>
      </c>
      <c r="N4486" s="2" t="s">
        <v>13479</v>
      </c>
      <c r="O4486" s="2"/>
      <c r="P4486" s="2"/>
      <c r="Q4486" s="2" t="str">
        <f>"567-E/10"</f>
        <v>567-E/10</v>
      </c>
      <c r="R4486" s="2" t="s">
        <v>391</v>
      </c>
      <c r="S4486" s="2" t="s">
        <v>391</v>
      </c>
      <c r="T4486" s="2">
        <v>1</v>
      </c>
      <c r="U4486" s="2" t="s">
        <v>79</v>
      </c>
      <c r="V4486" s="2">
        <v>1</v>
      </c>
      <c r="W4486" s="2" t="s">
        <v>80</v>
      </c>
      <c r="X4486" s="2">
        <v>1</v>
      </c>
      <c r="Y4486" s="2" t="s">
        <v>81</v>
      </c>
      <c r="Z4486" s="2">
        <v>1</v>
      </c>
      <c r="AA4486" s="2" t="s">
        <v>82</v>
      </c>
      <c r="AB4486" s="2">
        <v>1</v>
      </c>
      <c r="AC4486" s="2" t="s">
        <v>178</v>
      </c>
      <c r="AD4486" s="3">
        <v>40481</v>
      </c>
      <c r="AE4486" s="4">
        <v>0.82291666666666663</v>
      </c>
      <c r="AF4486" s="3">
        <v>40481</v>
      </c>
      <c r="AG4486" s="4">
        <v>0.97916666666666663</v>
      </c>
      <c r="AH4486" s="2">
        <v>2</v>
      </c>
      <c r="AI4486" s="2" t="s">
        <v>84</v>
      </c>
      <c r="AJ4486" s="2">
        <v>9</v>
      </c>
      <c r="AK4486" s="2" t="s">
        <v>103</v>
      </c>
      <c r="AL4486" s="2">
        <v>11</v>
      </c>
      <c r="AM4486" s="2" t="s">
        <v>137</v>
      </c>
      <c r="AN4486" s="2" t="s">
        <v>1340</v>
      </c>
      <c r="AO4486" s="2" t="s">
        <v>987</v>
      </c>
      <c r="AP4486" s="2">
        <v>11</v>
      </c>
      <c r="AQ4486" s="2" t="s">
        <v>82</v>
      </c>
      <c r="AR4486" s="2"/>
      <c r="AS4486" s="2"/>
      <c r="AT4486" s="2" t="s">
        <v>13940</v>
      </c>
      <c r="AU4486" s="2"/>
      <c r="AV4486" s="2">
        <v>1</v>
      </c>
      <c r="AW4486" s="2"/>
      <c r="AX4486" s="2"/>
      <c r="AY4486" s="2">
        <v>41</v>
      </c>
      <c r="AZ4486" s="2" t="s">
        <v>82</v>
      </c>
      <c r="BA4486" s="2">
        <v>41</v>
      </c>
      <c r="BB4486" s="2" t="s">
        <v>82</v>
      </c>
      <c r="BC4486" s="2">
        <v>41</v>
      </c>
      <c r="BD4486" s="2" t="s">
        <v>82</v>
      </c>
      <c r="BE4486" s="2">
        <v>31</v>
      </c>
      <c r="BF4486" s="2" t="s">
        <v>398</v>
      </c>
      <c r="BG4486" s="2" t="s">
        <v>722</v>
      </c>
      <c r="BH4486" s="2"/>
      <c r="BI4486" s="2"/>
      <c r="BJ4486" s="2">
        <v>13</v>
      </c>
      <c r="BK4486" s="2" t="s">
        <v>91</v>
      </c>
      <c r="BL4486" s="2" t="s">
        <v>360</v>
      </c>
      <c r="BM4486" s="2">
        <v>73</v>
      </c>
      <c r="BN4486" s="2" t="s">
        <v>186</v>
      </c>
      <c r="BO4486" s="2"/>
      <c r="BP4486" s="2">
        <v>73</v>
      </c>
      <c r="BQ4486" s="2" t="s">
        <v>186</v>
      </c>
      <c r="BR4486" s="2" t="s">
        <v>187</v>
      </c>
      <c r="BS4486" s="3">
        <v>40482</v>
      </c>
      <c r="BT4486" s="4">
        <v>0.19060185185185186</v>
      </c>
    </row>
    <row r="4487" spans="1:72" x14ac:dyDescent="0.25">
      <c r="A4487" s="2">
        <v>6810</v>
      </c>
      <c r="B4487" s="2">
        <v>2010</v>
      </c>
      <c r="C4487" s="2" t="s">
        <v>93</v>
      </c>
      <c r="D4487" s="2" t="s">
        <v>73</v>
      </c>
      <c r="E4487" s="2"/>
      <c r="F4487" s="2">
        <v>540</v>
      </c>
      <c r="G4487" s="2" t="s">
        <v>7178</v>
      </c>
      <c r="H4487" s="2">
        <v>4</v>
      </c>
      <c r="I4487" s="2" t="s">
        <v>173</v>
      </c>
      <c r="J4487" s="2">
        <v>164</v>
      </c>
      <c r="K4487" s="2" t="s">
        <v>3254</v>
      </c>
      <c r="L4487" s="2" t="s">
        <v>946</v>
      </c>
      <c r="M4487" s="3">
        <v>40482</v>
      </c>
      <c r="N4487" s="2" t="s">
        <v>13941</v>
      </c>
      <c r="O4487" s="2" t="s">
        <v>2334</v>
      </c>
      <c r="P4487" s="2" t="s">
        <v>13942</v>
      </c>
      <c r="Q4487" s="2" t="str">
        <f>""</f>
        <v/>
      </c>
      <c r="R4487" s="2"/>
      <c r="S4487" s="2"/>
      <c r="T4487" s="2">
        <v>1</v>
      </c>
      <c r="U4487" s="2" t="s">
        <v>79</v>
      </c>
      <c r="V4487" s="2">
        <v>1</v>
      </c>
      <c r="W4487" s="2" t="s">
        <v>80</v>
      </c>
      <c r="X4487" s="2">
        <v>10</v>
      </c>
      <c r="Y4487" s="2" t="s">
        <v>226</v>
      </c>
      <c r="Z4487" s="2">
        <v>6</v>
      </c>
      <c r="AA4487" s="2" t="s">
        <v>101</v>
      </c>
      <c r="AB4487" s="2">
        <v>2</v>
      </c>
      <c r="AC4487" s="2" t="s">
        <v>102</v>
      </c>
      <c r="AD4487" s="3">
        <v>40481</v>
      </c>
      <c r="AE4487" s="4">
        <v>0.96527777777777779</v>
      </c>
      <c r="AF4487" s="3">
        <v>40482</v>
      </c>
      <c r="AG4487" s="4">
        <v>0.125</v>
      </c>
      <c r="AH4487" s="2">
        <v>2</v>
      </c>
      <c r="AI4487" s="2" t="s">
        <v>84</v>
      </c>
      <c r="AJ4487" s="2">
        <v>9</v>
      </c>
      <c r="AK4487" s="2" t="s">
        <v>103</v>
      </c>
      <c r="AL4487" s="2">
        <v>14</v>
      </c>
      <c r="AM4487" s="2" t="s">
        <v>216</v>
      </c>
      <c r="AN4487" s="2"/>
      <c r="AO4487" s="2" t="s">
        <v>13943</v>
      </c>
      <c r="AP4487" s="2">
        <v>11</v>
      </c>
      <c r="AQ4487" s="2" t="s">
        <v>82</v>
      </c>
      <c r="AR4487" s="2"/>
      <c r="AS4487" s="2"/>
      <c r="AT4487" s="2" t="s">
        <v>13944</v>
      </c>
      <c r="AU4487" s="2">
        <v>1</v>
      </c>
      <c r="AV4487" s="2"/>
      <c r="AW4487" s="2"/>
      <c r="AX4487" s="2"/>
      <c r="AY4487" s="2">
        <v>41</v>
      </c>
      <c r="AZ4487" s="2" t="s">
        <v>82</v>
      </c>
      <c r="BA4487" s="2">
        <v>41</v>
      </c>
      <c r="BB4487" s="2" t="s">
        <v>82</v>
      </c>
      <c r="BC4487" s="2">
        <v>41</v>
      </c>
      <c r="BD4487" s="2" t="s">
        <v>82</v>
      </c>
      <c r="BE4487" s="2">
        <v>41</v>
      </c>
      <c r="BF4487" s="2" t="s">
        <v>82</v>
      </c>
      <c r="BG4487" s="2"/>
      <c r="BH4487" s="2"/>
      <c r="BI4487" s="2"/>
      <c r="BJ4487" s="2">
        <v>241</v>
      </c>
      <c r="BK4487" s="2" t="s">
        <v>82</v>
      </c>
      <c r="BL4487" s="2"/>
      <c r="BM4487" s="2">
        <v>241</v>
      </c>
      <c r="BN4487" s="2" t="s">
        <v>82</v>
      </c>
      <c r="BO4487" s="2"/>
      <c r="BP4487" s="2">
        <v>241</v>
      </c>
      <c r="BQ4487" s="2" t="s">
        <v>82</v>
      </c>
      <c r="BR4487" s="2"/>
      <c r="BS4487" s="3">
        <v>40482</v>
      </c>
      <c r="BT4487" s="4">
        <v>0.22620370370370371</v>
      </c>
    </row>
    <row r="4488" spans="1:72" x14ac:dyDescent="0.25">
      <c r="A4488" s="2">
        <v>6811</v>
      </c>
      <c r="B4488" s="2">
        <v>2010</v>
      </c>
      <c r="C4488" s="2" t="s">
        <v>72</v>
      </c>
      <c r="D4488" s="2" t="s">
        <v>73</v>
      </c>
      <c r="E4488" s="2"/>
      <c r="F4488" s="2">
        <v>685</v>
      </c>
      <c r="G4488" s="2" t="s">
        <v>12932</v>
      </c>
      <c r="H4488" s="2">
        <v>22</v>
      </c>
      <c r="I4488" s="2" t="s">
        <v>75</v>
      </c>
      <c r="J4488" s="2">
        <v>674</v>
      </c>
      <c r="K4488" s="2" t="s">
        <v>12821</v>
      </c>
      <c r="L4488" s="2" t="s">
        <v>12822</v>
      </c>
      <c r="M4488" s="3">
        <v>40482</v>
      </c>
      <c r="N4488" s="2" t="s">
        <v>13755</v>
      </c>
      <c r="O4488" s="2"/>
      <c r="P4488" s="2"/>
      <c r="Q4488" s="2" t="str">
        <f>"428-A/10"</f>
        <v>428-A/10</v>
      </c>
      <c r="R4488" s="2" t="s">
        <v>78</v>
      </c>
      <c r="S4488" s="2" t="s">
        <v>78</v>
      </c>
      <c r="T4488" s="2">
        <v>1</v>
      </c>
      <c r="U4488" s="2" t="s">
        <v>79</v>
      </c>
      <c r="V4488" s="2">
        <v>1</v>
      </c>
      <c r="W4488" s="2" t="s">
        <v>80</v>
      </c>
      <c r="X4488" s="2">
        <v>12</v>
      </c>
      <c r="Y4488" s="2" t="s">
        <v>148</v>
      </c>
      <c r="Z4488" s="2">
        <v>1</v>
      </c>
      <c r="AA4488" s="2" t="s">
        <v>82</v>
      </c>
      <c r="AB4488" s="2">
        <v>6</v>
      </c>
      <c r="AC4488" s="2" t="s">
        <v>83</v>
      </c>
      <c r="AD4488" s="3">
        <v>40478</v>
      </c>
      <c r="AE4488" s="2"/>
      <c r="AF4488" s="3">
        <v>40482</v>
      </c>
      <c r="AG4488" s="4">
        <v>0.35416666666666669</v>
      </c>
      <c r="AH4488" s="2">
        <v>2</v>
      </c>
      <c r="AI4488" s="2" t="s">
        <v>84</v>
      </c>
      <c r="AJ4488" s="2">
        <v>12</v>
      </c>
      <c r="AK4488" s="2" t="s">
        <v>85</v>
      </c>
      <c r="AL4488" s="2">
        <v>14</v>
      </c>
      <c r="AM4488" s="2" t="s">
        <v>216</v>
      </c>
      <c r="AN4488" s="2" t="s">
        <v>1869</v>
      </c>
      <c r="AO4488" s="2" t="s">
        <v>13945</v>
      </c>
      <c r="AP4488" s="2">
        <v>11</v>
      </c>
      <c r="AQ4488" s="2" t="s">
        <v>82</v>
      </c>
      <c r="AR4488" s="2"/>
      <c r="AS4488" s="2"/>
      <c r="AT4488" s="2" t="s">
        <v>13946</v>
      </c>
      <c r="AU4488" s="2"/>
      <c r="AV4488" s="2"/>
      <c r="AW4488" s="2"/>
      <c r="AX4488" s="2"/>
      <c r="AY4488" s="2">
        <v>41</v>
      </c>
      <c r="AZ4488" s="2" t="s">
        <v>82</v>
      </c>
      <c r="BA4488" s="2">
        <v>41</v>
      </c>
      <c r="BB4488" s="2" t="s">
        <v>82</v>
      </c>
      <c r="BC4488" s="2">
        <v>41</v>
      </c>
      <c r="BD4488" s="2" t="s">
        <v>82</v>
      </c>
      <c r="BE4488" s="2">
        <v>13</v>
      </c>
      <c r="BF4488" s="2" t="s">
        <v>108</v>
      </c>
      <c r="BG4488" s="2" t="s">
        <v>13947</v>
      </c>
      <c r="BH4488" s="2"/>
      <c r="BI4488" s="2"/>
      <c r="BJ4488" s="2">
        <v>13</v>
      </c>
      <c r="BK4488" s="2" t="s">
        <v>91</v>
      </c>
      <c r="BL4488" s="2" t="s">
        <v>564</v>
      </c>
      <c r="BM4488" s="2">
        <v>13</v>
      </c>
      <c r="BN4488" s="2" t="s">
        <v>91</v>
      </c>
      <c r="BO4488" s="2"/>
      <c r="BP4488" s="2">
        <v>13</v>
      </c>
      <c r="BQ4488" s="2" t="s">
        <v>91</v>
      </c>
      <c r="BR4488" s="2" t="s">
        <v>169</v>
      </c>
      <c r="BS4488" s="3">
        <v>40482</v>
      </c>
      <c r="BT4488" s="4">
        <v>0.47018518518518521</v>
      </c>
    </row>
    <row r="4489" spans="1:72" x14ac:dyDescent="0.25">
      <c r="A4489" s="2">
        <v>6812</v>
      </c>
      <c r="B4489" s="2">
        <v>2010</v>
      </c>
      <c r="C4489" s="2" t="s">
        <v>414</v>
      </c>
      <c r="D4489" s="2" t="s">
        <v>122</v>
      </c>
      <c r="E4489" s="2" t="s">
        <v>13948</v>
      </c>
      <c r="F4489" s="2">
        <v>1</v>
      </c>
      <c r="G4489" s="2" t="s">
        <v>82</v>
      </c>
      <c r="H4489" s="2">
        <v>1</v>
      </c>
      <c r="I4489" s="2" t="s">
        <v>82</v>
      </c>
      <c r="J4489" s="2">
        <v>1</v>
      </c>
      <c r="K4489" s="2" t="s">
        <v>107</v>
      </c>
      <c r="L4489" s="2" t="s">
        <v>107</v>
      </c>
      <c r="M4489" s="3">
        <v>40482</v>
      </c>
      <c r="N4489" s="2" t="s">
        <v>82</v>
      </c>
      <c r="O4489" s="2" t="s">
        <v>82</v>
      </c>
      <c r="P4489" s="2" t="s">
        <v>82</v>
      </c>
      <c r="Q4489" s="2" t="str">
        <f>"N/C"</f>
        <v>N/C</v>
      </c>
      <c r="R4489" s="2" t="s">
        <v>82</v>
      </c>
      <c r="S4489" s="2" t="s">
        <v>13937</v>
      </c>
      <c r="T4489" s="2">
        <v>1</v>
      </c>
      <c r="U4489" s="2" t="s">
        <v>79</v>
      </c>
      <c r="V4489" s="2">
        <v>1</v>
      </c>
      <c r="W4489" s="2" t="s">
        <v>80</v>
      </c>
      <c r="X4489" s="2">
        <v>1</v>
      </c>
      <c r="Y4489" s="2" t="s">
        <v>81</v>
      </c>
      <c r="Z4489" s="2">
        <v>1</v>
      </c>
      <c r="AA4489" s="2" t="s">
        <v>82</v>
      </c>
      <c r="AB4489" s="2">
        <v>9</v>
      </c>
      <c r="AC4489" s="2" t="s">
        <v>124</v>
      </c>
      <c r="AD4489" s="3">
        <v>40481</v>
      </c>
      <c r="AE4489" s="4">
        <v>0.83333333333333337</v>
      </c>
      <c r="AF4489" s="2"/>
      <c r="AG4489" s="2"/>
      <c r="AH4489" s="2">
        <v>6</v>
      </c>
      <c r="AI4489" s="2" t="s">
        <v>197</v>
      </c>
      <c r="AJ4489" s="2">
        <v>60</v>
      </c>
      <c r="AK4489" s="2" t="s">
        <v>543</v>
      </c>
      <c r="AL4489" s="2">
        <v>25</v>
      </c>
      <c r="AM4489" s="2" t="s">
        <v>3073</v>
      </c>
      <c r="AN4489" s="2" t="s">
        <v>82</v>
      </c>
      <c r="AO4489" s="2" t="s">
        <v>13938</v>
      </c>
      <c r="AP4489" s="2">
        <v>11</v>
      </c>
      <c r="AQ4489" s="2" t="s">
        <v>82</v>
      </c>
      <c r="AR4489" s="2"/>
      <c r="AS4489" s="2"/>
      <c r="AT4489" s="2" t="s">
        <v>13949</v>
      </c>
      <c r="AU4489" s="2"/>
      <c r="AV4489" s="2"/>
      <c r="AW4489" s="2"/>
      <c r="AX4489" s="2"/>
      <c r="AY4489" s="2">
        <v>41</v>
      </c>
      <c r="AZ4489" s="2" t="s">
        <v>82</v>
      </c>
      <c r="BA4489" s="2">
        <v>41</v>
      </c>
      <c r="BB4489" s="2" t="s">
        <v>82</v>
      </c>
      <c r="BC4489" s="2">
        <v>41</v>
      </c>
      <c r="BD4489" s="2" t="s">
        <v>82</v>
      </c>
      <c r="BE4489" s="2">
        <v>41</v>
      </c>
      <c r="BF4489" s="2" t="s">
        <v>82</v>
      </c>
      <c r="BG4489" s="2" t="s">
        <v>82</v>
      </c>
      <c r="BH4489" s="2"/>
      <c r="BI4489" s="2"/>
      <c r="BJ4489" s="2">
        <v>241</v>
      </c>
      <c r="BK4489" s="2" t="s">
        <v>82</v>
      </c>
      <c r="BL4489" s="2"/>
      <c r="BM4489" s="2">
        <v>242</v>
      </c>
      <c r="BN4489" s="2" t="s">
        <v>107</v>
      </c>
      <c r="BO4489" s="2"/>
      <c r="BP4489" s="2">
        <v>241</v>
      </c>
      <c r="BQ4489" s="2" t="s">
        <v>82</v>
      </c>
      <c r="BR4489" s="2"/>
      <c r="BS4489" s="3">
        <v>40482</v>
      </c>
      <c r="BT4489" s="4">
        <v>0.47606481481481483</v>
      </c>
    </row>
    <row r="4490" spans="1:72" x14ac:dyDescent="0.25">
      <c r="A4490" s="2">
        <v>6813</v>
      </c>
      <c r="B4490" s="2">
        <v>2010</v>
      </c>
      <c r="C4490" s="2" t="s">
        <v>196</v>
      </c>
      <c r="D4490" s="2" t="s">
        <v>122</v>
      </c>
      <c r="E4490" s="2"/>
      <c r="F4490" s="2">
        <v>1</v>
      </c>
      <c r="G4490" s="2" t="s">
        <v>82</v>
      </c>
      <c r="H4490" s="2">
        <v>1</v>
      </c>
      <c r="I4490" s="2" t="s">
        <v>82</v>
      </c>
      <c r="J4490" s="2">
        <v>1</v>
      </c>
      <c r="K4490" s="2" t="s">
        <v>107</v>
      </c>
      <c r="L4490" s="2" t="s">
        <v>107</v>
      </c>
      <c r="M4490" s="3">
        <v>40482</v>
      </c>
      <c r="N4490" s="2"/>
      <c r="O4490" s="2"/>
      <c r="P4490" s="2"/>
      <c r="Q4490" s="2" t="str">
        <f>""</f>
        <v/>
      </c>
      <c r="R4490" s="2"/>
      <c r="S4490" s="2"/>
      <c r="T4490" s="2">
        <v>2</v>
      </c>
      <c r="U4490" s="2" t="s">
        <v>123</v>
      </c>
      <c r="V4490" s="2">
        <v>1</v>
      </c>
      <c r="W4490" s="2" t="s">
        <v>80</v>
      </c>
      <c r="X4490" s="2">
        <v>5</v>
      </c>
      <c r="Y4490" s="2" t="s">
        <v>82</v>
      </c>
      <c r="Z4490" s="2">
        <v>1</v>
      </c>
      <c r="AA4490" s="2" t="s">
        <v>82</v>
      </c>
      <c r="AB4490" s="2">
        <v>9</v>
      </c>
      <c r="AC4490" s="2" t="s">
        <v>124</v>
      </c>
      <c r="AD4490" s="3">
        <v>40482</v>
      </c>
      <c r="AE4490" s="4">
        <v>0.72222222222222221</v>
      </c>
      <c r="AF4490" s="2"/>
      <c r="AG4490" s="2"/>
      <c r="AH4490" s="2">
        <v>6</v>
      </c>
      <c r="AI4490" s="2" t="s">
        <v>197</v>
      </c>
      <c r="AJ4490" s="2">
        <v>58</v>
      </c>
      <c r="AK4490" s="2" t="s">
        <v>406</v>
      </c>
      <c r="AL4490" s="2">
        <v>19</v>
      </c>
      <c r="AM4490" s="2" t="s">
        <v>107</v>
      </c>
      <c r="AN4490" s="2" t="s">
        <v>13950</v>
      </c>
      <c r="AO4490" s="2" t="s">
        <v>259</v>
      </c>
      <c r="AP4490" s="2">
        <v>11</v>
      </c>
      <c r="AQ4490" s="2" t="s">
        <v>82</v>
      </c>
      <c r="AR4490" s="2"/>
      <c r="AS4490" s="2"/>
      <c r="AT4490" s="2" t="s">
        <v>13951</v>
      </c>
      <c r="AU4490" s="2"/>
      <c r="AV4490" s="2"/>
      <c r="AW4490" s="2"/>
      <c r="AX4490" s="2"/>
      <c r="AY4490" s="2">
        <v>41</v>
      </c>
      <c r="AZ4490" s="2" t="s">
        <v>82</v>
      </c>
      <c r="BA4490" s="2">
        <v>41</v>
      </c>
      <c r="BB4490" s="2" t="s">
        <v>82</v>
      </c>
      <c r="BC4490" s="2">
        <v>41</v>
      </c>
      <c r="BD4490" s="2" t="s">
        <v>82</v>
      </c>
      <c r="BE4490" s="2">
        <v>41</v>
      </c>
      <c r="BF4490" s="2" t="s">
        <v>82</v>
      </c>
      <c r="BG4490" s="2" t="s">
        <v>6921</v>
      </c>
      <c r="BH4490" s="2"/>
      <c r="BI4490" s="4">
        <v>0.72222222222222221</v>
      </c>
      <c r="BJ4490" s="2">
        <v>241</v>
      </c>
      <c r="BK4490" s="2" t="s">
        <v>82</v>
      </c>
      <c r="BL4490" s="2" t="s">
        <v>82</v>
      </c>
      <c r="BM4490" s="2">
        <v>241</v>
      </c>
      <c r="BN4490" s="2" t="s">
        <v>82</v>
      </c>
      <c r="BO4490" s="2"/>
      <c r="BP4490" s="2">
        <v>241</v>
      </c>
      <c r="BQ4490" s="2" t="s">
        <v>82</v>
      </c>
      <c r="BR4490" s="2" t="s">
        <v>170</v>
      </c>
      <c r="BS4490" s="3">
        <v>40482</v>
      </c>
      <c r="BT4490" s="4">
        <v>0.77042824074074068</v>
      </c>
    </row>
    <row r="4491" spans="1:72" x14ac:dyDescent="0.25">
      <c r="A4491" s="2">
        <v>6814</v>
      </c>
      <c r="B4491" s="2">
        <v>2010</v>
      </c>
      <c r="C4491" s="2" t="s">
        <v>414</v>
      </c>
      <c r="D4491" s="2" t="s">
        <v>122</v>
      </c>
      <c r="E4491" s="2"/>
      <c r="F4491" s="2">
        <v>389</v>
      </c>
      <c r="G4491" s="2" t="s">
        <v>1819</v>
      </c>
      <c r="H4491" s="2">
        <v>3</v>
      </c>
      <c r="I4491" s="2" t="s">
        <v>315</v>
      </c>
      <c r="J4491" s="2">
        <v>399</v>
      </c>
      <c r="K4491" s="2" t="s">
        <v>1820</v>
      </c>
      <c r="L4491" s="2" t="s">
        <v>1821</v>
      </c>
      <c r="M4491" s="3">
        <v>40482</v>
      </c>
      <c r="N4491" s="2" t="s">
        <v>4976</v>
      </c>
      <c r="O4491" s="2"/>
      <c r="P4491" s="2"/>
      <c r="Q4491" s="2" t="str">
        <f>""</f>
        <v/>
      </c>
      <c r="R4491" s="2"/>
      <c r="S4491" s="2"/>
      <c r="T4491" s="2">
        <v>1</v>
      </c>
      <c r="U4491" s="2" t="s">
        <v>79</v>
      </c>
      <c r="V4491" s="2">
        <v>1</v>
      </c>
      <c r="W4491" s="2" t="s">
        <v>80</v>
      </c>
      <c r="X4491" s="2">
        <v>1</v>
      </c>
      <c r="Y4491" s="2" t="s">
        <v>81</v>
      </c>
      <c r="Z4491" s="2">
        <v>10</v>
      </c>
      <c r="AA4491" s="2" t="s">
        <v>236</v>
      </c>
      <c r="AB4491" s="2">
        <v>9</v>
      </c>
      <c r="AC4491" s="2" t="s">
        <v>124</v>
      </c>
      <c r="AD4491" s="3">
        <v>40482</v>
      </c>
      <c r="AE4491" s="4">
        <v>0.60416666666666663</v>
      </c>
      <c r="AF4491" s="2"/>
      <c r="AG4491" s="2"/>
      <c r="AH4491" s="2">
        <v>2</v>
      </c>
      <c r="AI4491" s="2" t="s">
        <v>84</v>
      </c>
      <c r="AJ4491" s="2">
        <v>9</v>
      </c>
      <c r="AK4491" s="2" t="s">
        <v>103</v>
      </c>
      <c r="AL4491" s="2">
        <v>12</v>
      </c>
      <c r="AM4491" s="2" t="s">
        <v>86</v>
      </c>
      <c r="AN4491" s="2" t="s">
        <v>13952</v>
      </c>
      <c r="AO4491" s="2"/>
      <c r="AP4491" s="2">
        <v>11</v>
      </c>
      <c r="AQ4491" s="2" t="s">
        <v>82</v>
      </c>
      <c r="AR4491" s="2"/>
      <c r="AS4491" s="2"/>
      <c r="AT4491" s="2" t="s">
        <v>13953</v>
      </c>
      <c r="AU4491" s="2"/>
      <c r="AV4491" s="2"/>
      <c r="AW4491" s="2"/>
      <c r="AX4491" s="2"/>
      <c r="AY4491" s="2">
        <v>1</v>
      </c>
      <c r="AZ4491" s="2" t="s">
        <v>107</v>
      </c>
      <c r="BA4491" s="2">
        <v>41</v>
      </c>
      <c r="BB4491" s="2" t="s">
        <v>82</v>
      </c>
      <c r="BC4491" s="2">
        <v>70</v>
      </c>
      <c r="BD4491" s="2" t="s">
        <v>236</v>
      </c>
      <c r="BE4491" s="2">
        <v>1</v>
      </c>
      <c r="BF4491" s="2" t="s">
        <v>107</v>
      </c>
      <c r="BG4491" s="2"/>
      <c r="BH4491" s="2"/>
      <c r="BI4491" s="2"/>
      <c r="BJ4491" s="2">
        <v>242</v>
      </c>
      <c r="BK4491" s="2" t="s">
        <v>107</v>
      </c>
      <c r="BL4491" s="2"/>
      <c r="BM4491" s="2">
        <v>241</v>
      </c>
      <c r="BN4491" s="2" t="s">
        <v>82</v>
      </c>
      <c r="BO4491" s="2"/>
      <c r="BP4491" s="2">
        <v>242</v>
      </c>
      <c r="BQ4491" s="2" t="s">
        <v>107</v>
      </c>
      <c r="BR4491" s="2"/>
      <c r="BS4491" s="3">
        <v>40482</v>
      </c>
      <c r="BT4491" s="4">
        <v>0.78449074074074077</v>
      </c>
    </row>
    <row r="4492" spans="1:72" x14ac:dyDescent="0.25">
      <c r="A4492" s="2">
        <v>6815</v>
      </c>
      <c r="B4492" s="2">
        <v>2010</v>
      </c>
      <c r="C4492" s="2" t="s">
        <v>72</v>
      </c>
      <c r="D4492" s="2" t="s">
        <v>122</v>
      </c>
      <c r="E4492" s="2" t="s">
        <v>13954</v>
      </c>
      <c r="F4492" s="2">
        <v>3</v>
      </c>
      <c r="G4492" s="2" t="s">
        <v>1041</v>
      </c>
      <c r="H4492" s="2">
        <v>42</v>
      </c>
      <c r="I4492" s="2" t="s">
        <v>1096</v>
      </c>
      <c r="J4492" s="2">
        <v>368</v>
      </c>
      <c r="K4492" s="2" t="s">
        <v>1042</v>
      </c>
      <c r="L4492" s="2" t="s">
        <v>1043</v>
      </c>
      <c r="M4492" s="3">
        <v>40482</v>
      </c>
      <c r="N4492" s="2" t="s">
        <v>107</v>
      </c>
      <c r="O4492" s="2"/>
      <c r="P4492" s="2"/>
      <c r="Q4492" s="2" t="str">
        <f>"555-E/10"</f>
        <v>555-E/10</v>
      </c>
      <c r="R4492" s="2" t="s">
        <v>116</v>
      </c>
      <c r="S4492" s="2"/>
      <c r="T4492" s="2">
        <v>1</v>
      </c>
      <c r="U4492" s="2" t="s">
        <v>79</v>
      </c>
      <c r="V4492" s="2">
        <v>1</v>
      </c>
      <c r="W4492" s="2" t="s">
        <v>80</v>
      </c>
      <c r="X4492" s="2">
        <v>12</v>
      </c>
      <c r="Y4492" s="2" t="s">
        <v>148</v>
      </c>
      <c r="Z4492" s="2">
        <v>1</v>
      </c>
      <c r="AA4492" s="2" t="s">
        <v>82</v>
      </c>
      <c r="AB4492" s="2">
        <v>6</v>
      </c>
      <c r="AC4492" s="2" t="s">
        <v>83</v>
      </c>
      <c r="AD4492" s="3">
        <v>40482</v>
      </c>
      <c r="AE4492" s="4">
        <v>0.39583333333333331</v>
      </c>
      <c r="AF4492" s="3">
        <v>40476</v>
      </c>
      <c r="AG4492" s="4">
        <v>0.55555555555555558</v>
      </c>
      <c r="AH4492" s="2">
        <v>2</v>
      </c>
      <c r="AI4492" s="2" t="s">
        <v>84</v>
      </c>
      <c r="AJ4492" s="2">
        <v>9</v>
      </c>
      <c r="AK4492" s="2" t="s">
        <v>103</v>
      </c>
      <c r="AL4492" s="2">
        <v>29</v>
      </c>
      <c r="AM4492" s="2" t="s">
        <v>5416</v>
      </c>
      <c r="AN4492" s="2"/>
      <c r="AO4492" s="2" t="s">
        <v>13955</v>
      </c>
      <c r="AP4492" s="2">
        <v>11</v>
      </c>
      <c r="AQ4492" s="2" t="s">
        <v>82</v>
      </c>
      <c r="AR4492" s="2"/>
      <c r="AS4492" s="2"/>
      <c r="AT4492" s="2" t="s">
        <v>13956</v>
      </c>
      <c r="AU4492" s="2"/>
      <c r="AV4492" s="2"/>
      <c r="AW4492" s="2"/>
      <c r="AX4492" s="2"/>
      <c r="AY4492" s="2">
        <v>41</v>
      </c>
      <c r="AZ4492" s="2" t="s">
        <v>82</v>
      </c>
      <c r="BA4492" s="2">
        <v>41</v>
      </c>
      <c r="BB4492" s="2" t="s">
        <v>82</v>
      </c>
      <c r="BC4492" s="2">
        <v>41</v>
      </c>
      <c r="BD4492" s="2" t="s">
        <v>82</v>
      </c>
      <c r="BE4492" s="2">
        <v>23</v>
      </c>
      <c r="BF4492" s="2" t="s">
        <v>183</v>
      </c>
      <c r="BG4492" s="2" t="s">
        <v>1375</v>
      </c>
      <c r="BH4492" s="4">
        <v>0.39583333333333331</v>
      </c>
      <c r="BI4492" s="2"/>
      <c r="BJ4492" s="2">
        <v>73</v>
      </c>
      <c r="BK4492" s="2" t="s">
        <v>186</v>
      </c>
      <c r="BL4492" s="2" t="s">
        <v>187</v>
      </c>
      <c r="BM4492" s="2">
        <v>13</v>
      </c>
      <c r="BN4492" s="2" t="s">
        <v>91</v>
      </c>
      <c r="BO4492" s="2"/>
      <c r="BP4492" s="2">
        <v>13</v>
      </c>
      <c r="BQ4492" s="2" t="s">
        <v>91</v>
      </c>
      <c r="BR4492" s="2" t="s">
        <v>360</v>
      </c>
      <c r="BS4492" s="3">
        <v>40482</v>
      </c>
      <c r="BT4492" s="4">
        <v>0.80538194444444444</v>
      </c>
    </row>
    <row r="4493" spans="1:72" x14ac:dyDescent="0.25">
      <c r="A4493" s="2">
        <v>6816</v>
      </c>
      <c r="B4493" s="2">
        <v>2010</v>
      </c>
      <c r="C4493" s="2" t="s">
        <v>196</v>
      </c>
      <c r="D4493" s="2" t="s">
        <v>122</v>
      </c>
      <c r="E4493" s="2"/>
      <c r="F4493" s="2">
        <v>1</v>
      </c>
      <c r="G4493" s="2" t="s">
        <v>82</v>
      </c>
      <c r="H4493" s="2">
        <v>1</v>
      </c>
      <c r="I4493" s="2" t="s">
        <v>82</v>
      </c>
      <c r="J4493" s="2">
        <v>1</v>
      </c>
      <c r="K4493" s="2" t="s">
        <v>107</v>
      </c>
      <c r="L4493" s="2" t="s">
        <v>107</v>
      </c>
      <c r="M4493" s="3">
        <v>40482</v>
      </c>
      <c r="N4493" s="2"/>
      <c r="O4493" s="2"/>
      <c r="P4493" s="2"/>
      <c r="Q4493" s="2" t="str">
        <f>""</f>
        <v/>
      </c>
      <c r="R4493" s="2"/>
      <c r="S4493" s="2"/>
      <c r="T4493" s="2">
        <v>2</v>
      </c>
      <c r="U4493" s="2" t="s">
        <v>123</v>
      </c>
      <c r="V4493" s="2">
        <v>1</v>
      </c>
      <c r="W4493" s="2" t="s">
        <v>80</v>
      </c>
      <c r="X4493" s="2">
        <v>11</v>
      </c>
      <c r="Y4493" s="2" t="s">
        <v>1920</v>
      </c>
      <c r="Z4493" s="2">
        <v>1</v>
      </c>
      <c r="AA4493" s="2" t="s">
        <v>82</v>
      </c>
      <c r="AB4493" s="2">
        <v>9</v>
      </c>
      <c r="AC4493" s="2" t="s">
        <v>124</v>
      </c>
      <c r="AD4493" s="3">
        <v>40482</v>
      </c>
      <c r="AE4493" s="4">
        <v>0.75</v>
      </c>
      <c r="AF4493" s="2"/>
      <c r="AG4493" s="2"/>
      <c r="AH4493" s="2">
        <v>2</v>
      </c>
      <c r="AI4493" s="2" t="s">
        <v>84</v>
      </c>
      <c r="AJ4493" s="2">
        <v>12</v>
      </c>
      <c r="AK4493" s="2" t="s">
        <v>85</v>
      </c>
      <c r="AL4493" s="2">
        <v>20</v>
      </c>
      <c r="AM4493" s="2" t="s">
        <v>992</v>
      </c>
      <c r="AN4493" s="2"/>
      <c r="AO4493" s="2" t="s">
        <v>1040</v>
      </c>
      <c r="AP4493" s="2">
        <v>11</v>
      </c>
      <c r="AQ4493" s="2" t="s">
        <v>82</v>
      </c>
      <c r="AR4493" s="2"/>
      <c r="AS4493" s="2"/>
      <c r="AT4493" s="2" t="s">
        <v>13957</v>
      </c>
      <c r="AU4493" s="2"/>
      <c r="AV4493" s="2"/>
      <c r="AW4493" s="2"/>
      <c r="AX4493" s="2"/>
      <c r="AY4493" s="2">
        <v>41</v>
      </c>
      <c r="AZ4493" s="2" t="s">
        <v>82</v>
      </c>
      <c r="BA4493" s="2">
        <v>41</v>
      </c>
      <c r="BB4493" s="2" t="s">
        <v>82</v>
      </c>
      <c r="BC4493" s="2">
        <v>41</v>
      </c>
      <c r="BD4493" s="2" t="s">
        <v>82</v>
      </c>
      <c r="BE4493" s="2">
        <v>41</v>
      </c>
      <c r="BF4493" s="2" t="s">
        <v>82</v>
      </c>
      <c r="BG4493" s="2"/>
      <c r="BH4493" s="4">
        <v>0.83194444444444438</v>
      </c>
      <c r="BI4493" s="4">
        <v>0.74305555555555547</v>
      </c>
      <c r="BJ4493" s="2">
        <v>241</v>
      </c>
      <c r="BK4493" s="2" t="s">
        <v>82</v>
      </c>
      <c r="BL4493" s="2" t="s">
        <v>492</v>
      </c>
      <c r="BM4493" s="2">
        <v>241</v>
      </c>
      <c r="BN4493" s="2" t="s">
        <v>82</v>
      </c>
      <c r="BO4493" s="2"/>
      <c r="BP4493" s="2">
        <v>241</v>
      </c>
      <c r="BQ4493" s="2" t="s">
        <v>82</v>
      </c>
      <c r="BR4493" s="2" t="s">
        <v>185</v>
      </c>
      <c r="BS4493" s="3">
        <v>40482</v>
      </c>
      <c r="BT4493" s="4">
        <v>0.90489583333333334</v>
      </c>
    </row>
    <row r="4494" spans="1:72" x14ac:dyDescent="0.25">
      <c r="A4494" s="2">
        <v>6819</v>
      </c>
      <c r="B4494" s="2">
        <v>2010</v>
      </c>
      <c r="C4494" s="2" t="s">
        <v>5621</v>
      </c>
      <c r="D4494" s="2" t="s">
        <v>122</v>
      </c>
      <c r="E4494" s="2"/>
      <c r="F4494" s="2">
        <v>1</v>
      </c>
      <c r="G4494" s="2" t="s">
        <v>82</v>
      </c>
      <c r="H4494" s="2">
        <v>1</v>
      </c>
      <c r="I4494" s="2" t="s">
        <v>82</v>
      </c>
      <c r="J4494" s="2">
        <v>1</v>
      </c>
      <c r="K4494" s="2" t="s">
        <v>107</v>
      </c>
      <c r="L4494" s="2" t="s">
        <v>107</v>
      </c>
      <c r="M4494" s="3">
        <v>40483</v>
      </c>
      <c r="N4494" s="2"/>
      <c r="O4494" s="2"/>
      <c r="P4494" s="2"/>
      <c r="Q4494" s="2" t="str">
        <f>""</f>
        <v/>
      </c>
      <c r="R4494" s="2"/>
      <c r="S4494" s="2"/>
      <c r="T4494" s="2">
        <v>2</v>
      </c>
      <c r="U4494" s="2" t="s">
        <v>123</v>
      </c>
      <c r="V4494" s="2">
        <v>1</v>
      </c>
      <c r="W4494" s="2" t="s">
        <v>80</v>
      </c>
      <c r="X4494" s="2">
        <v>5</v>
      </c>
      <c r="Y4494" s="2" t="s">
        <v>82</v>
      </c>
      <c r="Z4494" s="2">
        <v>1</v>
      </c>
      <c r="AA4494" s="2" t="s">
        <v>82</v>
      </c>
      <c r="AB4494" s="2">
        <v>9</v>
      </c>
      <c r="AC4494" s="2" t="s">
        <v>124</v>
      </c>
      <c r="AD4494" s="3">
        <v>40482</v>
      </c>
      <c r="AE4494" s="4">
        <v>0.82986111111111116</v>
      </c>
      <c r="AF4494" s="2"/>
      <c r="AG4494" s="2"/>
      <c r="AH4494" s="2">
        <v>6</v>
      </c>
      <c r="AI4494" s="2" t="s">
        <v>197</v>
      </c>
      <c r="AJ4494" s="2">
        <v>56</v>
      </c>
      <c r="AK4494" s="2" t="s">
        <v>7719</v>
      </c>
      <c r="AL4494" s="2">
        <v>19</v>
      </c>
      <c r="AM4494" s="2" t="s">
        <v>107</v>
      </c>
      <c r="AN4494" s="2" t="s">
        <v>9969</v>
      </c>
      <c r="AO4494" s="2"/>
      <c r="AP4494" s="2">
        <v>11</v>
      </c>
      <c r="AQ4494" s="2" t="s">
        <v>82</v>
      </c>
      <c r="AR4494" s="2"/>
      <c r="AS4494" s="2"/>
      <c r="AT4494" s="2" t="s">
        <v>13958</v>
      </c>
      <c r="AU4494" s="2"/>
      <c r="AV4494" s="2"/>
      <c r="AW4494" s="2"/>
      <c r="AX4494" s="2"/>
      <c r="AY4494" s="2">
        <v>41</v>
      </c>
      <c r="AZ4494" s="2" t="s">
        <v>82</v>
      </c>
      <c r="BA4494" s="2">
        <v>41</v>
      </c>
      <c r="BB4494" s="2" t="s">
        <v>82</v>
      </c>
      <c r="BC4494" s="2">
        <v>41</v>
      </c>
      <c r="BD4494" s="2" t="s">
        <v>82</v>
      </c>
      <c r="BE4494" s="2">
        <v>41</v>
      </c>
      <c r="BF4494" s="2" t="s">
        <v>82</v>
      </c>
      <c r="BG4494" s="2"/>
      <c r="BH4494" s="2"/>
      <c r="BI4494" s="4">
        <v>0.79166666666666663</v>
      </c>
      <c r="BJ4494" s="2">
        <v>241</v>
      </c>
      <c r="BK4494" s="2" t="s">
        <v>82</v>
      </c>
      <c r="BL4494" s="2" t="s">
        <v>8585</v>
      </c>
      <c r="BM4494" s="2">
        <v>241</v>
      </c>
      <c r="BN4494" s="2" t="s">
        <v>82</v>
      </c>
      <c r="BO4494" s="2"/>
      <c r="BP4494" s="2">
        <v>241</v>
      </c>
      <c r="BQ4494" s="2" t="s">
        <v>82</v>
      </c>
      <c r="BR4494" s="2" t="s">
        <v>8585</v>
      </c>
      <c r="BS4494" s="3">
        <v>40483</v>
      </c>
      <c r="BT4494" s="4">
        <v>5.0810185185185186E-3</v>
      </c>
    </row>
    <row r="4495" spans="1:72" x14ac:dyDescent="0.25">
      <c r="A4495" s="2">
        <v>6820</v>
      </c>
      <c r="B4495" s="2">
        <v>2010</v>
      </c>
      <c r="C4495" s="2" t="s">
        <v>72</v>
      </c>
      <c r="D4495" s="2" t="s">
        <v>73</v>
      </c>
      <c r="E4495" s="2"/>
      <c r="F4495" s="2">
        <v>389</v>
      </c>
      <c r="G4495" s="2" t="s">
        <v>1819</v>
      </c>
      <c r="H4495" s="2">
        <v>3</v>
      </c>
      <c r="I4495" s="2" t="s">
        <v>315</v>
      </c>
      <c r="J4495" s="2">
        <v>399</v>
      </c>
      <c r="K4495" s="2" t="s">
        <v>1820</v>
      </c>
      <c r="L4495" s="2" t="s">
        <v>1821</v>
      </c>
      <c r="M4495" s="3">
        <v>40483</v>
      </c>
      <c r="N4495" s="2" t="s">
        <v>4976</v>
      </c>
      <c r="O4495" s="2"/>
      <c r="P4495" s="2"/>
      <c r="Q4495" s="2" t="str">
        <f>"568-E/10"</f>
        <v>568-E/10</v>
      </c>
      <c r="R4495" s="2" t="s">
        <v>13959</v>
      </c>
      <c r="S4495" s="2" t="s">
        <v>13959</v>
      </c>
      <c r="T4495" s="2">
        <v>1</v>
      </c>
      <c r="U4495" s="2" t="s">
        <v>79</v>
      </c>
      <c r="V4495" s="2">
        <v>1</v>
      </c>
      <c r="W4495" s="2" t="s">
        <v>80</v>
      </c>
      <c r="X4495" s="2">
        <v>1</v>
      </c>
      <c r="Y4495" s="2" t="s">
        <v>81</v>
      </c>
      <c r="Z4495" s="2">
        <v>1</v>
      </c>
      <c r="AA4495" s="2" t="s">
        <v>82</v>
      </c>
      <c r="AB4495" s="2">
        <v>6</v>
      </c>
      <c r="AC4495" s="2" t="s">
        <v>83</v>
      </c>
      <c r="AD4495" s="3">
        <v>40482</v>
      </c>
      <c r="AE4495" s="2"/>
      <c r="AF4495" s="3">
        <v>40482</v>
      </c>
      <c r="AG4495" s="4">
        <v>0.98958333333333337</v>
      </c>
      <c r="AH4495" s="2">
        <v>2</v>
      </c>
      <c r="AI4495" s="2" t="s">
        <v>84</v>
      </c>
      <c r="AJ4495" s="2">
        <v>9</v>
      </c>
      <c r="AK4495" s="2" t="s">
        <v>103</v>
      </c>
      <c r="AL4495" s="2">
        <v>25</v>
      </c>
      <c r="AM4495" s="2" t="s">
        <v>3073</v>
      </c>
      <c r="AN4495" s="2"/>
      <c r="AO4495" s="2" t="s">
        <v>5800</v>
      </c>
      <c r="AP4495" s="2">
        <v>11</v>
      </c>
      <c r="AQ4495" s="2" t="s">
        <v>82</v>
      </c>
      <c r="AR4495" s="2"/>
      <c r="AS4495" s="2"/>
      <c r="AT4495" s="2" t="s">
        <v>13960</v>
      </c>
      <c r="AU4495" s="2"/>
      <c r="AV4495" s="2"/>
      <c r="AW4495" s="2"/>
      <c r="AX4495" s="2"/>
      <c r="AY4495" s="2">
        <v>41</v>
      </c>
      <c r="AZ4495" s="2" t="s">
        <v>82</v>
      </c>
      <c r="BA4495" s="2">
        <v>41</v>
      </c>
      <c r="BB4495" s="2" t="s">
        <v>82</v>
      </c>
      <c r="BC4495" s="2">
        <v>41</v>
      </c>
      <c r="BD4495" s="2" t="s">
        <v>82</v>
      </c>
      <c r="BE4495" s="2">
        <v>41</v>
      </c>
      <c r="BF4495" s="2" t="s">
        <v>82</v>
      </c>
      <c r="BG4495" s="2"/>
      <c r="BH4495" s="2"/>
      <c r="BI4495" s="2"/>
      <c r="BJ4495" s="2">
        <v>241</v>
      </c>
      <c r="BK4495" s="2" t="s">
        <v>82</v>
      </c>
      <c r="BL4495" s="2"/>
      <c r="BM4495" s="2">
        <v>241</v>
      </c>
      <c r="BN4495" s="2" t="s">
        <v>82</v>
      </c>
      <c r="BO4495" s="2"/>
      <c r="BP4495" s="2">
        <v>241</v>
      </c>
      <c r="BQ4495" s="2" t="s">
        <v>82</v>
      </c>
      <c r="BR4495" s="2"/>
      <c r="BS4495" s="3">
        <v>40483</v>
      </c>
      <c r="BT4495" s="4">
        <v>0.3951736111111111</v>
      </c>
    </row>
    <row r="4496" spans="1:72" x14ac:dyDescent="0.25">
      <c r="A4496" s="2">
        <v>6821</v>
      </c>
      <c r="B4496" s="2">
        <v>2010</v>
      </c>
      <c r="C4496" s="2" t="s">
        <v>72</v>
      </c>
      <c r="D4496" s="2" t="s">
        <v>73</v>
      </c>
      <c r="E4496" s="2"/>
      <c r="F4496" s="2">
        <v>390</v>
      </c>
      <c r="G4496" s="2" t="s">
        <v>475</v>
      </c>
      <c r="H4496" s="2">
        <v>5</v>
      </c>
      <c r="I4496" s="2" t="s">
        <v>634</v>
      </c>
      <c r="J4496" s="2">
        <v>533</v>
      </c>
      <c r="K4496" s="2" t="s">
        <v>6511</v>
      </c>
      <c r="L4496" s="2" t="s">
        <v>478</v>
      </c>
      <c r="M4496" s="3">
        <v>40483</v>
      </c>
      <c r="N4496" s="2" t="s">
        <v>3103</v>
      </c>
      <c r="O4496" s="2"/>
      <c r="P4496" s="2"/>
      <c r="Q4496" s="2" t="str">
        <f>"569-E/10"</f>
        <v>569-E/10</v>
      </c>
      <c r="R4496" s="2" t="s">
        <v>13961</v>
      </c>
      <c r="S4496" s="2" t="s">
        <v>13961</v>
      </c>
      <c r="T4496" s="2">
        <v>1</v>
      </c>
      <c r="U4496" s="2" t="s">
        <v>79</v>
      </c>
      <c r="V4496" s="2">
        <v>1</v>
      </c>
      <c r="W4496" s="2" t="s">
        <v>80</v>
      </c>
      <c r="X4496" s="2">
        <v>12</v>
      </c>
      <c r="Y4496" s="2" t="s">
        <v>148</v>
      </c>
      <c r="Z4496" s="2">
        <v>1</v>
      </c>
      <c r="AA4496" s="2" t="s">
        <v>82</v>
      </c>
      <c r="AB4496" s="2">
        <v>6</v>
      </c>
      <c r="AC4496" s="2" t="s">
        <v>83</v>
      </c>
      <c r="AD4496" s="2"/>
      <c r="AE4496" s="2"/>
      <c r="AF4496" s="3">
        <v>40483</v>
      </c>
      <c r="AG4496" s="4">
        <v>0.17777777777777778</v>
      </c>
      <c r="AH4496" s="2">
        <v>2</v>
      </c>
      <c r="AI4496" s="2" t="s">
        <v>84</v>
      </c>
      <c r="AJ4496" s="2">
        <v>9</v>
      </c>
      <c r="AK4496" s="2" t="s">
        <v>103</v>
      </c>
      <c r="AL4496" s="2">
        <v>22</v>
      </c>
      <c r="AM4496" s="2" t="s">
        <v>1853</v>
      </c>
      <c r="AN4496" s="2" t="s">
        <v>107</v>
      </c>
      <c r="AO4496" s="2" t="s">
        <v>107</v>
      </c>
      <c r="AP4496" s="2">
        <v>11</v>
      </c>
      <c r="AQ4496" s="2" t="s">
        <v>82</v>
      </c>
      <c r="AR4496" s="2"/>
      <c r="AS4496" s="2"/>
      <c r="AT4496" s="2" t="s">
        <v>13962</v>
      </c>
      <c r="AU4496" s="2"/>
      <c r="AV4496" s="2"/>
      <c r="AW4496" s="2"/>
      <c r="AX4496" s="2"/>
      <c r="AY4496" s="2">
        <v>41</v>
      </c>
      <c r="AZ4496" s="2" t="s">
        <v>82</v>
      </c>
      <c r="BA4496" s="2">
        <v>41</v>
      </c>
      <c r="BB4496" s="2" t="s">
        <v>82</v>
      </c>
      <c r="BC4496" s="2">
        <v>41</v>
      </c>
      <c r="BD4496" s="2" t="s">
        <v>82</v>
      </c>
      <c r="BE4496" s="2">
        <v>41</v>
      </c>
      <c r="BF4496" s="2" t="s">
        <v>82</v>
      </c>
      <c r="BG4496" s="2"/>
      <c r="BH4496" s="2"/>
      <c r="BI4496" s="2"/>
      <c r="BJ4496" s="2">
        <v>241</v>
      </c>
      <c r="BK4496" s="2" t="s">
        <v>82</v>
      </c>
      <c r="BL4496" s="2"/>
      <c r="BM4496" s="2">
        <v>241</v>
      </c>
      <c r="BN4496" s="2" t="s">
        <v>82</v>
      </c>
      <c r="BO4496" s="2"/>
      <c r="BP4496" s="2">
        <v>241</v>
      </c>
      <c r="BQ4496" s="2" t="s">
        <v>82</v>
      </c>
      <c r="BR4496" s="2"/>
      <c r="BS4496" s="3">
        <v>40483</v>
      </c>
      <c r="BT4496" s="4">
        <v>0.41016203703703707</v>
      </c>
    </row>
    <row r="4497" spans="1:72" x14ac:dyDescent="0.25">
      <c r="A4497" s="2">
        <v>6830</v>
      </c>
      <c r="B4497" s="2">
        <v>2010</v>
      </c>
      <c r="C4497" s="2" t="s">
        <v>147</v>
      </c>
      <c r="D4497" s="2" t="s">
        <v>73</v>
      </c>
      <c r="E4497" s="2"/>
      <c r="F4497" s="2">
        <v>1</v>
      </c>
      <c r="G4497" s="2" t="s">
        <v>82</v>
      </c>
      <c r="H4497" s="2">
        <v>1</v>
      </c>
      <c r="I4497" s="2" t="s">
        <v>82</v>
      </c>
      <c r="J4497" s="2">
        <v>1</v>
      </c>
      <c r="K4497" s="2" t="s">
        <v>107</v>
      </c>
      <c r="L4497" s="2" t="s">
        <v>107</v>
      </c>
      <c r="M4497" s="3">
        <v>40483</v>
      </c>
      <c r="N4497" s="2"/>
      <c r="O4497" s="2"/>
      <c r="P4497" s="2"/>
      <c r="Q4497" s="2" t="str">
        <f>""</f>
        <v/>
      </c>
      <c r="R4497" s="2"/>
      <c r="S4497" s="2"/>
      <c r="T4497" s="2">
        <v>2</v>
      </c>
      <c r="U4497" s="2" t="s">
        <v>123</v>
      </c>
      <c r="V4497" s="2">
        <v>1</v>
      </c>
      <c r="W4497" s="2" t="s">
        <v>80</v>
      </c>
      <c r="X4497" s="2">
        <v>12</v>
      </c>
      <c r="Y4497" s="2" t="s">
        <v>148</v>
      </c>
      <c r="Z4497" s="2">
        <v>1</v>
      </c>
      <c r="AA4497" s="2" t="s">
        <v>82</v>
      </c>
      <c r="AB4497" s="2">
        <v>9</v>
      </c>
      <c r="AC4497" s="2" t="s">
        <v>124</v>
      </c>
      <c r="AD4497" s="2"/>
      <c r="AE4497" s="2"/>
      <c r="AF4497" s="3">
        <v>40483</v>
      </c>
      <c r="AG4497" s="4">
        <v>0.47916666666666669</v>
      </c>
      <c r="AH4497" s="2">
        <v>2</v>
      </c>
      <c r="AI4497" s="2" t="s">
        <v>84</v>
      </c>
      <c r="AJ4497" s="2">
        <v>11</v>
      </c>
      <c r="AK4497" s="2" t="s">
        <v>751</v>
      </c>
      <c r="AL4497" s="2">
        <v>19</v>
      </c>
      <c r="AM4497" s="2" t="s">
        <v>107</v>
      </c>
      <c r="AN4497" s="2" t="s">
        <v>13963</v>
      </c>
      <c r="AO4497" s="2"/>
      <c r="AP4497" s="2">
        <v>11</v>
      </c>
      <c r="AQ4497" s="2" t="s">
        <v>82</v>
      </c>
      <c r="AR4497" s="2"/>
      <c r="AS4497" s="2"/>
      <c r="AT4497" s="2" t="s">
        <v>13964</v>
      </c>
      <c r="AU4497" s="2"/>
      <c r="AV4497" s="2"/>
      <c r="AW4497" s="2"/>
      <c r="AX4497" s="2"/>
      <c r="AY4497" s="2">
        <v>41</v>
      </c>
      <c r="AZ4497" s="2" t="s">
        <v>82</v>
      </c>
      <c r="BA4497" s="2">
        <v>41</v>
      </c>
      <c r="BB4497" s="2" t="s">
        <v>82</v>
      </c>
      <c r="BC4497" s="2">
        <v>41</v>
      </c>
      <c r="BD4497" s="2" t="s">
        <v>82</v>
      </c>
      <c r="BE4497" s="2">
        <v>41</v>
      </c>
      <c r="BF4497" s="2" t="s">
        <v>82</v>
      </c>
      <c r="BG4497" s="2"/>
      <c r="BH4497" s="2"/>
      <c r="BI4497" s="2"/>
      <c r="BJ4497" s="2">
        <v>241</v>
      </c>
      <c r="BK4497" s="2" t="s">
        <v>82</v>
      </c>
      <c r="BL4497" s="2"/>
      <c r="BM4497" s="2">
        <v>241</v>
      </c>
      <c r="BN4497" s="2" t="s">
        <v>82</v>
      </c>
      <c r="BO4497" s="2"/>
      <c r="BP4497" s="2">
        <v>241</v>
      </c>
      <c r="BQ4497" s="2" t="s">
        <v>82</v>
      </c>
      <c r="BR4497" s="2"/>
      <c r="BS4497" s="3">
        <v>40483</v>
      </c>
      <c r="BT4497" s="4">
        <v>0.56320601851851848</v>
      </c>
    </row>
    <row r="4498" spans="1:72" x14ac:dyDescent="0.25">
      <c r="A4498" s="2">
        <v>6834</v>
      </c>
      <c r="B4498" s="2">
        <v>2010</v>
      </c>
      <c r="C4498" s="2" t="s">
        <v>1094</v>
      </c>
      <c r="D4498" s="2" t="s">
        <v>73</v>
      </c>
      <c r="E4498" s="2"/>
      <c r="F4498" s="2">
        <v>553</v>
      </c>
      <c r="G4498" s="2" t="s">
        <v>6434</v>
      </c>
      <c r="H4498" s="2">
        <v>42</v>
      </c>
      <c r="I4498" s="2" t="s">
        <v>1096</v>
      </c>
      <c r="J4498" s="2">
        <v>412</v>
      </c>
      <c r="K4498" s="2" t="s">
        <v>6435</v>
      </c>
      <c r="L4498" s="2" t="s">
        <v>2188</v>
      </c>
      <c r="M4498" s="3">
        <v>40483</v>
      </c>
      <c r="N4498" s="2" t="s">
        <v>10433</v>
      </c>
      <c r="O4498" s="2" t="s">
        <v>13965</v>
      </c>
      <c r="P4498" s="2" t="s">
        <v>82</v>
      </c>
      <c r="Q4498" s="2" t="str">
        <f>"0046/2010"</f>
        <v>0046/2010</v>
      </c>
      <c r="R4498" s="2" t="s">
        <v>13965</v>
      </c>
      <c r="S4498" s="2"/>
      <c r="T4498" s="2">
        <v>1</v>
      </c>
      <c r="U4498" s="2" t="s">
        <v>79</v>
      </c>
      <c r="V4498" s="2">
        <v>1</v>
      </c>
      <c r="W4498" s="2" t="s">
        <v>80</v>
      </c>
      <c r="X4498" s="2">
        <v>12</v>
      </c>
      <c r="Y4498" s="2" t="s">
        <v>148</v>
      </c>
      <c r="Z4498" s="2">
        <v>1</v>
      </c>
      <c r="AA4498" s="2" t="s">
        <v>82</v>
      </c>
      <c r="AB4498" s="2">
        <v>9</v>
      </c>
      <c r="AC4498" s="2" t="s">
        <v>124</v>
      </c>
      <c r="AD4498" s="3">
        <v>40483</v>
      </c>
      <c r="AE4498" s="4">
        <v>0.33333333333333331</v>
      </c>
      <c r="AF4498" s="3">
        <v>40483</v>
      </c>
      <c r="AG4498" s="4">
        <v>0.35416666666666669</v>
      </c>
      <c r="AH4498" s="2">
        <v>5</v>
      </c>
      <c r="AI4498" s="2" t="s">
        <v>274</v>
      </c>
      <c r="AJ4498" s="2">
        <v>42</v>
      </c>
      <c r="AK4498" s="2" t="s">
        <v>660</v>
      </c>
      <c r="AL4498" s="2">
        <v>28</v>
      </c>
      <c r="AM4498" s="2" t="s">
        <v>5969</v>
      </c>
      <c r="AN4498" s="2" t="s">
        <v>82</v>
      </c>
      <c r="AO4498" s="2" t="s">
        <v>13966</v>
      </c>
      <c r="AP4498" s="2">
        <v>11</v>
      </c>
      <c r="AQ4498" s="2" t="s">
        <v>82</v>
      </c>
      <c r="AR4498" s="2"/>
      <c r="AS4498" s="2"/>
      <c r="AT4498" s="2" t="s">
        <v>13967</v>
      </c>
      <c r="AU4498" s="2"/>
      <c r="AV4498" s="2"/>
      <c r="AW4498" s="2"/>
      <c r="AX4498" s="2"/>
      <c r="AY4498" s="2">
        <v>41</v>
      </c>
      <c r="AZ4498" s="2" t="s">
        <v>82</v>
      </c>
      <c r="BA4498" s="2">
        <v>41</v>
      </c>
      <c r="BB4498" s="2" t="s">
        <v>82</v>
      </c>
      <c r="BC4498" s="2">
        <v>41</v>
      </c>
      <c r="BD4498" s="2" t="s">
        <v>82</v>
      </c>
      <c r="BE4498" s="2">
        <v>41</v>
      </c>
      <c r="BF4498" s="2" t="s">
        <v>82</v>
      </c>
      <c r="BG4498" s="2"/>
      <c r="BH4498" s="2"/>
      <c r="BI4498" s="2"/>
      <c r="BJ4498" s="2">
        <v>241</v>
      </c>
      <c r="BK4498" s="2" t="s">
        <v>82</v>
      </c>
      <c r="BL4498" s="2"/>
      <c r="BM4498" s="2">
        <v>241</v>
      </c>
      <c r="BN4498" s="2" t="s">
        <v>82</v>
      </c>
      <c r="BO4498" s="2"/>
      <c r="BP4498" s="2">
        <v>241</v>
      </c>
      <c r="BQ4498" s="2" t="s">
        <v>82</v>
      </c>
      <c r="BR4498" s="2"/>
      <c r="BS4498" s="3">
        <v>40483</v>
      </c>
      <c r="BT4498" s="4">
        <v>0.58083333333333331</v>
      </c>
    </row>
    <row r="4499" spans="1:72" x14ac:dyDescent="0.25">
      <c r="A4499" s="2">
        <v>6837</v>
      </c>
      <c r="B4499" s="2">
        <v>2010</v>
      </c>
      <c r="C4499" s="2" t="s">
        <v>128</v>
      </c>
      <c r="D4499" s="2" t="s">
        <v>73</v>
      </c>
      <c r="E4499" s="2" t="s">
        <v>11464</v>
      </c>
      <c r="F4499" s="2">
        <v>425</v>
      </c>
      <c r="G4499" s="2" t="s">
        <v>286</v>
      </c>
      <c r="H4499" s="2">
        <v>39</v>
      </c>
      <c r="I4499" s="2" t="s">
        <v>1117</v>
      </c>
      <c r="J4499" s="2">
        <v>310</v>
      </c>
      <c r="K4499" s="2" t="s">
        <v>288</v>
      </c>
      <c r="L4499" s="2" t="s">
        <v>289</v>
      </c>
      <c r="M4499" s="3">
        <v>40483</v>
      </c>
      <c r="N4499" s="2" t="s">
        <v>1917</v>
      </c>
      <c r="O4499" s="2" t="s">
        <v>11437</v>
      </c>
      <c r="P4499" s="2" t="s">
        <v>11438</v>
      </c>
      <c r="Q4499" s="2" t="str">
        <f>"101"</f>
        <v>101</v>
      </c>
      <c r="R4499" s="2"/>
      <c r="S4499" s="2"/>
      <c r="T4499" s="2">
        <v>1</v>
      </c>
      <c r="U4499" s="2" t="s">
        <v>79</v>
      </c>
      <c r="V4499" s="2">
        <v>3</v>
      </c>
      <c r="W4499" s="2" t="s">
        <v>225</v>
      </c>
      <c r="X4499" s="2">
        <v>6</v>
      </c>
      <c r="Y4499" s="2" t="s">
        <v>249</v>
      </c>
      <c r="Z4499" s="2">
        <v>1</v>
      </c>
      <c r="AA4499" s="2" t="s">
        <v>82</v>
      </c>
      <c r="AB4499" s="2">
        <v>9</v>
      </c>
      <c r="AC4499" s="2" t="s">
        <v>124</v>
      </c>
      <c r="AD4499" s="2"/>
      <c r="AE4499" s="2"/>
      <c r="AF4499" s="2"/>
      <c r="AG4499" s="2"/>
      <c r="AH4499" s="2">
        <v>4</v>
      </c>
      <c r="AI4499" s="2" t="s">
        <v>125</v>
      </c>
      <c r="AJ4499" s="2">
        <v>26</v>
      </c>
      <c r="AK4499" s="2" t="s">
        <v>293</v>
      </c>
      <c r="AL4499" s="2">
        <v>23</v>
      </c>
      <c r="AM4499" s="2" t="s">
        <v>251</v>
      </c>
      <c r="AN4499" s="2"/>
      <c r="AO4499" s="2" t="s">
        <v>11465</v>
      </c>
      <c r="AP4499" s="2">
        <v>11</v>
      </c>
      <c r="AQ4499" s="2" t="s">
        <v>82</v>
      </c>
      <c r="AR4499" s="2"/>
      <c r="AS4499" s="2"/>
      <c r="AT4499" s="2" t="s">
        <v>13968</v>
      </c>
      <c r="AU4499" s="2"/>
      <c r="AV4499" s="2"/>
      <c r="AW4499" s="2"/>
      <c r="AX4499" s="2"/>
      <c r="AY4499" s="2">
        <v>41</v>
      </c>
      <c r="AZ4499" s="2" t="s">
        <v>82</v>
      </c>
      <c r="BA4499" s="2">
        <v>41</v>
      </c>
      <c r="BB4499" s="2" t="s">
        <v>82</v>
      </c>
      <c r="BC4499" s="2">
        <v>41</v>
      </c>
      <c r="BD4499" s="2" t="s">
        <v>82</v>
      </c>
      <c r="BE4499" s="2">
        <v>41</v>
      </c>
      <c r="BF4499" s="2" t="s">
        <v>82</v>
      </c>
      <c r="BG4499" s="2"/>
      <c r="BH4499" s="2"/>
      <c r="BI4499" s="2"/>
      <c r="BJ4499" s="2">
        <v>241</v>
      </c>
      <c r="BK4499" s="2" t="s">
        <v>82</v>
      </c>
      <c r="BL4499" s="2"/>
      <c r="BM4499" s="2">
        <v>241</v>
      </c>
      <c r="BN4499" s="2" t="s">
        <v>82</v>
      </c>
      <c r="BO4499" s="2"/>
      <c r="BP4499" s="2">
        <v>241</v>
      </c>
      <c r="BQ4499" s="2" t="s">
        <v>82</v>
      </c>
      <c r="BR4499" s="2"/>
      <c r="BS4499" s="3">
        <v>40483</v>
      </c>
      <c r="BT4499" s="4">
        <v>0.6597453703703704</v>
      </c>
    </row>
    <row r="4500" spans="1:72" x14ac:dyDescent="0.25">
      <c r="A4500" s="2">
        <v>6839</v>
      </c>
      <c r="B4500" s="2">
        <v>2010</v>
      </c>
      <c r="C4500" s="2" t="s">
        <v>72</v>
      </c>
      <c r="D4500" s="2" t="s">
        <v>73</v>
      </c>
      <c r="E4500" s="2"/>
      <c r="F4500" s="2">
        <v>390</v>
      </c>
      <c r="G4500" s="2" t="s">
        <v>475</v>
      </c>
      <c r="H4500" s="2">
        <v>5</v>
      </c>
      <c r="I4500" s="2" t="s">
        <v>634</v>
      </c>
      <c r="J4500" s="2">
        <v>533</v>
      </c>
      <c r="K4500" s="2" t="s">
        <v>6511</v>
      </c>
      <c r="L4500" s="2" t="s">
        <v>478</v>
      </c>
      <c r="M4500" s="3">
        <v>40483</v>
      </c>
      <c r="N4500" s="2" t="s">
        <v>13969</v>
      </c>
      <c r="O4500" s="2"/>
      <c r="P4500" s="2"/>
      <c r="Q4500" s="2" t="str">
        <f>"570-E/10"</f>
        <v>570-E/10</v>
      </c>
      <c r="R4500" s="2" t="s">
        <v>601</v>
      </c>
      <c r="S4500" s="2" t="s">
        <v>601</v>
      </c>
      <c r="T4500" s="2">
        <v>1</v>
      </c>
      <c r="U4500" s="2" t="s">
        <v>79</v>
      </c>
      <c r="V4500" s="2">
        <v>1</v>
      </c>
      <c r="W4500" s="2" t="s">
        <v>80</v>
      </c>
      <c r="X4500" s="2">
        <v>12</v>
      </c>
      <c r="Y4500" s="2" t="s">
        <v>148</v>
      </c>
      <c r="Z4500" s="2">
        <v>1</v>
      </c>
      <c r="AA4500" s="2" t="s">
        <v>82</v>
      </c>
      <c r="AB4500" s="2">
        <v>6</v>
      </c>
      <c r="AC4500" s="2" t="s">
        <v>83</v>
      </c>
      <c r="AD4500" s="3">
        <v>40483</v>
      </c>
      <c r="AE4500" s="2"/>
      <c r="AF4500" s="3">
        <v>40483</v>
      </c>
      <c r="AG4500" s="4">
        <v>0.35416666666666669</v>
      </c>
      <c r="AH4500" s="2">
        <v>2</v>
      </c>
      <c r="AI4500" s="2" t="s">
        <v>84</v>
      </c>
      <c r="AJ4500" s="2">
        <v>9</v>
      </c>
      <c r="AK4500" s="2" t="s">
        <v>103</v>
      </c>
      <c r="AL4500" s="2">
        <v>22</v>
      </c>
      <c r="AM4500" s="2" t="s">
        <v>1853</v>
      </c>
      <c r="AN4500" s="2" t="s">
        <v>13970</v>
      </c>
      <c r="AO4500" s="2" t="s">
        <v>12699</v>
      </c>
      <c r="AP4500" s="2">
        <v>11</v>
      </c>
      <c r="AQ4500" s="2" t="s">
        <v>82</v>
      </c>
      <c r="AR4500" s="2"/>
      <c r="AS4500" s="2"/>
      <c r="AT4500" s="2" t="s">
        <v>13971</v>
      </c>
      <c r="AU4500" s="2"/>
      <c r="AV4500" s="2"/>
      <c r="AW4500" s="2"/>
      <c r="AX4500" s="2"/>
      <c r="AY4500" s="2">
        <v>41</v>
      </c>
      <c r="AZ4500" s="2" t="s">
        <v>82</v>
      </c>
      <c r="BA4500" s="2">
        <v>41</v>
      </c>
      <c r="BB4500" s="2" t="s">
        <v>82</v>
      </c>
      <c r="BC4500" s="2">
        <v>41</v>
      </c>
      <c r="BD4500" s="2" t="s">
        <v>82</v>
      </c>
      <c r="BE4500" s="2">
        <v>13</v>
      </c>
      <c r="BF4500" s="2" t="s">
        <v>108</v>
      </c>
      <c r="BG4500" s="2" t="s">
        <v>4926</v>
      </c>
      <c r="BH4500" s="4">
        <v>0.21180555555555555</v>
      </c>
      <c r="BI4500" s="2"/>
      <c r="BJ4500" s="2">
        <v>112</v>
      </c>
      <c r="BK4500" s="2" t="s">
        <v>110</v>
      </c>
      <c r="BL4500" s="2" t="s">
        <v>111</v>
      </c>
      <c r="BM4500" s="2">
        <v>112</v>
      </c>
      <c r="BN4500" s="2" t="s">
        <v>110</v>
      </c>
      <c r="BO4500" s="2"/>
      <c r="BP4500" s="2">
        <v>13</v>
      </c>
      <c r="BQ4500" s="2" t="s">
        <v>91</v>
      </c>
      <c r="BR4500" s="2" t="s">
        <v>360</v>
      </c>
      <c r="BS4500" s="3">
        <v>40483</v>
      </c>
      <c r="BT4500" s="4">
        <v>0.67988425925925933</v>
      </c>
    </row>
    <row r="4501" spans="1:72" x14ac:dyDescent="0.25">
      <c r="A4501" s="2">
        <v>6840</v>
      </c>
      <c r="B4501" s="2">
        <v>2010</v>
      </c>
      <c r="C4501" s="2" t="s">
        <v>457</v>
      </c>
      <c r="D4501" s="2" t="s">
        <v>73</v>
      </c>
      <c r="E4501" s="2"/>
      <c r="F4501" s="2">
        <v>467</v>
      </c>
      <c r="G4501" s="2" t="s">
        <v>1053</v>
      </c>
      <c r="H4501" s="2">
        <v>108</v>
      </c>
      <c r="I4501" s="2" t="s">
        <v>1096</v>
      </c>
      <c r="J4501" s="2">
        <v>369</v>
      </c>
      <c r="K4501" s="2" t="s">
        <v>1054</v>
      </c>
      <c r="L4501" s="2" t="s">
        <v>1055</v>
      </c>
      <c r="M4501" s="3">
        <v>40483</v>
      </c>
      <c r="N4501" s="2" t="s">
        <v>13220</v>
      </c>
      <c r="O4501" s="2" t="s">
        <v>13972</v>
      </c>
      <c r="P4501" s="2" t="s">
        <v>13973</v>
      </c>
      <c r="Q4501" s="2" t="str">
        <f>""</f>
        <v/>
      </c>
      <c r="R4501" s="2"/>
      <c r="S4501" s="2"/>
      <c r="T4501" s="2">
        <v>1</v>
      </c>
      <c r="U4501" s="2" t="s">
        <v>79</v>
      </c>
      <c r="V4501" s="2">
        <v>1</v>
      </c>
      <c r="W4501" s="2" t="s">
        <v>80</v>
      </c>
      <c r="X4501" s="2">
        <v>4</v>
      </c>
      <c r="Y4501" s="2" t="s">
        <v>463</v>
      </c>
      <c r="Z4501" s="2">
        <v>6</v>
      </c>
      <c r="AA4501" s="2" t="s">
        <v>101</v>
      </c>
      <c r="AB4501" s="2">
        <v>9</v>
      </c>
      <c r="AC4501" s="2" t="s">
        <v>124</v>
      </c>
      <c r="AD4501" s="3">
        <v>40483</v>
      </c>
      <c r="AE4501" s="4">
        <v>0.55555555555555558</v>
      </c>
      <c r="AF4501" s="2"/>
      <c r="AG4501" s="2"/>
      <c r="AH4501" s="2">
        <v>4</v>
      </c>
      <c r="AI4501" s="2" t="s">
        <v>125</v>
      </c>
      <c r="AJ4501" s="2">
        <v>29</v>
      </c>
      <c r="AK4501" s="2" t="s">
        <v>227</v>
      </c>
      <c r="AL4501" s="2">
        <v>11</v>
      </c>
      <c r="AM4501" s="2" t="s">
        <v>137</v>
      </c>
      <c r="AN4501" s="2" t="s">
        <v>1059</v>
      </c>
      <c r="AO4501" s="2"/>
      <c r="AP4501" s="2">
        <v>11</v>
      </c>
      <c r="AQ4501" s="2" t="s">
        <v>82</v>
      </c>
      <c r="AR4501" s="2"/>
      <c r="AS4501" s="2"/>
      <c r="AT4501" s="2" t="s">
        <v>13974</v>
      </c>
      <c r="AU4501" s="2"/>
      <c r="AV4501" s="2"/>
      <c r="AW4501" s="2"/>
      <c r="AX4501" s="2"/>
      <c r="AY4501" s="2">
        <v>41</v>
      </c>
      <c r="AZ4501" s="2" t="s">
        <v>82</v>
      </c>
      <c r="BA4501" s="2">
        <v>41</v>
      </c>
      <c r="BB4501" s="2" t="s">
        <v>82</v>
      </c>
      <c r="BC4501" s="2">
        <v>115</v>
      </c>
      <c r="BD4501" s="2" t="s">
        <v>101</v>
      </c>
      <c r="BE4501" s="2">
        <v>19</v>
      </c>
      <c r="BF4501" s="2" t="s">
        <v>1061</v>
      </c>
      <c r="BG4501" s="2" t="s">
        <v>11709</v>
      </c>
      <c r="BH4501" s="4">
        <v>0.55555555555555558</v>
      </c>
      <c r="BI4501" s="4">
        <v>0.61805555555555558</v>
      </c>
      <c r="BJ4501" s="2">
        <v>13</v>
      </c>
      <c r="BK4501" s="2" t="s">
        <v>91</v>
      </c>
      <c r="BL4501" s="2" t="s">
        <v>828</v>
      </c>
      <c r="BM4501" s="2">
        <v>29</v>
      </c>
      <c r="BN4501" s="2" t="s">
        <v>962</v>
      </c>
      <c r="BO4501" s="2"/>
      <c r="BP4501" s="2">
        <v>29</v>
      </c>
      <c r="BQ4501" s="2" t="s">
        <v>962</v>
      </c>
      <c r="BR4501" s="2" t="s">
        <v>2027</v>
      </c>
      <c r="BS4501" s="3">
        <v>40483</v>
      </c>
      <c r="BT4501" s="4">
        <v>0.68490740740740741</v>
      </c>
    </row>
    <row r="4502" spans="1:72" x14ac:dyDescent="0.25">
      <c r="A4502" s="2">
        <v>6843</v>
      </c>
      <c r="B4502" s="2">
        <v>2010</v>
      </c>
      <c r="C4502" s="2" t="s">
        <v>93</v>
      </c>
      <c r="D4502" s="2" t="s">
        <v>122</v>
      </c>
      <c r="E4502" s="2" t="s">
        <v>13975</v>
      </c>
      <c r="F4502" s="2">
        <v>540</v>
      </c>
      <c r="G4502" s="2" t="s">
        <v>7178</v>
      </c>
      <c r="H4502" s="2">
        <v>4</v>
      </c>
      <c r="I4502" s="2" t="s">
        <v>173</v>
      </c>
      <c r="J4502" s="2">
        <v>164</v>
      </c>
      <c r="K4502" s="2" t="s">
        <v>3254</v>
      </c>
      <c r="L4502" s="2" t="s">
        <v>946</v>
      </c>
      <c r="M4502" s="3">
        <v>40483</v>
      </c>
      <c r="N4502" s="2" t="s">
        <v>13941</v>
      </c>
      <c r="O4502" s="2" t="s">
        <v>2334</v>
      </c>
      <c r="P4502" s="2" t="s">
        <v>13942</v>
      </c>
      <c r="Q4502" s="2" t="str">
        <f>""</f>
        <v/>
      </c>
      <c r="R4502" s="2"/>
      <c r="S4502" s="2"/>
      <c r="T4502" s="2">
        <v>1</v>
      </c>
      <c r="U4502" s="2" t="s">
        <v>79</v>
      </c>
      <c r="V4502" s="2">
        <v>1</v>
      </c>
      <c r="W4502" s="2" t="s">
        <v>80</v>
      </c>
      <c r="X4502" s="2">
        <v>10</v>
      </c>
      <c r="Y4502" s="2" t="s">
        <v>226</v>
      </c>
      <c r="Z4502" s="2">
        <v>6</v>
      </c>
      <c r="AA4502" s="2" t="s">
        <v>101</v>
      </c>
      <c r="AB4502" s="2">
        <v>2</v>
      </c>
      <c r="AC4502" s="2" t="s">
        <v>102</v>
      </c>
      <c r="AD4502" s="3">
        <v>40481</v>
      </c>
      <c r="AE4502" s="4">
        <v>0.91666666666666663</v>
      </c>
      <c r="AF4502" s="2"/>
      <c r="AG4502" s="2"/>
      <c r="AH4502" s="2">
        <v>2</v>
      </c>
      <c r="AI4502" s="2" t="s">
        <v>84</v>
      </c>
      <c r="AJ4502" s="2">
        <v>9</v>
      </c>
      <c r="AK4502" s="2" t="s">
        <v>103</v>
      </c>
      <c r="AL4502" s="2">
        <v>14</v>
      </c>
      <c r="AM4502" s="2" t="s">
        <v>216</v>
      </c>
      <c r="AN4502" s="2"/>
      <c r="AO4502" s="2" t="s">
        <v>13976</v>
      </c>
      <c r="AP4502" s="2">
        <v>11</v>
      </c>
      <c r="AQ4502" s="2" t="s">
        <v>82</v>
      </c>
      <c r="AR4502" s="2"/>
      <c r="AS4502" s="2"/>
      <c r="AT4502" s="2" t="s">
        <v>13977</v>
      </c>
      <c r="AU4502" s="2">
        <v>1</v>
      </c>
      <c r="AV4502" s="2"/>
      <c r="AW4502" s="2"/>
      <c r="AX4502" s="2"/>
      <c r="AY4502" s="2">
        <v>41</v>
      </c>
      <c r="AZ4502" s="2" t="s">
        <v>82</v>
      </c>
      <c r="BA4502" s="2">
        <v>41</v>
      </c>
      <c r="BB4502" s="2" t="s">
        <v>82</v>
      </c>
      <c r="BC4502" s="2">
        <v>41</v>
      </c>
      <c r="BD4502" s="2" t="s">
        <v>82</v>
      </c>
      <c r="BE4502" s="2">
        <v>25</v>
      </c>
      <c r="BF4502" s="2" t="s">
        <v>358</v>
      </c>
      <c r="BG4502" s="2" t="s">
        <v>13978</v>
      </c>
      <c r="BH4502" s="2"/>
      <c r="BI4502" s="4">
        <v>0.98958333333333337</v>
      </c>
      <c r="BJ4502" s="2">
        <v>13</v>
      </c>
      <c r="BK4502" s="2" t="s">
        <v>91</v>
      </c>
      <c r="BL4502" s="2" t="s">
        <v>360</v>
      </c>
      <c r="BM4502" s="2">
        <v>46</v>
      </c>
      <c r="BN4502" s="2" t="s">
        <v>307</v>
      </c>
      <c r="BO4502" s="2"/>
      <c r="BP4502" s="2">
        <v>46</v>
      </c>
      <c r="BQ4502" s="2" t="s">
        <v>307</v>
      </c>
      <c r="BR4502" s="2" t="s">
        <v>308</v>
      </c>
      <c r="BS4502" s="3">
        <v>40483</v>
      </c>
      <c r="BT4502" s="4">
        <v>0.70829861111111114</v>
      </c>
    </row>
    <row r="4503" spans="1:72" x14ac:dyDescent="0.25">
      <c r="A4503" s="2">
        <v>6844</v>
      </c>
      <c r="B4503" s="2">
        <v>2010</v>
      </c>
      <c r="C4503" s="2" t="s">
        <v>457</v>
      </c>
      <c r="D4503" s="2" t="s">
        <v>73</v>
      </c>
      <c r="E4503" s="2"/>
      <c r="F4503" s="2">
        <v>467</v>
      </c>
      <c r="G4503" s="2" t="s">
        <v>1053</v>
      </c>
      <c r="H4503" s="2">
        <v>42</v>
      </c>
      <c r="I4503" s="2" t="s">
        <v>1096</v>
      </c>
      <c r="J4503" s="2">
        <v>369</v>
      </c>
      <c r="K4503" s="2" t="s">
        <v>1054</v>
      </c>
      <c r="L4503" s="2" t="s">
        <v>1055</v>
      </c>
      <c r="M4503" s="3">
        <v>40483</v>
      </c>
      <c r="N4503" s="2" t="s">
        <v>13220</v>
      </c>
      <c r="O4503" s="2" t="s">
        <v>13979</v>
      </c>
      <c r="P4503" s="2" t="s">
        <v>13980</v>
      </c>
      <c r="Q4503" s="2" t="str">
        <f>""</f>
        <v/>
      </c>
      <c r="R4503" s="2"/>
      <c r="S4503" s="2"/>
      <c r="T4503" s="2">
        <v>1</v>
      </c>
      <c r="U4503" s="2" t="s">
        <v>79</v>
      </c>
      <c r="V4503" s="2">
        <v>1</v>
      </c>
      <c r="W4503" s="2" t="s">
        <v>80</v>
      </c>
      <c r="X4503" s="2">
        <v>4</v>
      </c>
      <c r="Y4503" s="2" t="s">
        <v>463</v>
      </c>
      <c r="Z4503" s="2">
        <v>6</v>
      </c>
      <c r="AA4503" s="2" t="s">
        <v>101</v>
      </c>
      <c r="AB4503" s="2">
        <v>9</v>
      </c>
      <c r="AC4503" s="2" t="s">
        <v>124</v>
      </c>
      <c r="AD4503" s="3">
        <v>40483</v>
      </c>
      <c r="AE4503" s="4">
        <v>0.55555555555555558</v>
      </c>
      <c r="AF4503" s="2"/>
      <c r="AG4503" s="2"/>
      <c r="AH4503" s="2">
        <v>4</v>
      </c>
      <c r="AI4503" s="2" t="s">
        <v>125</v>
      </c>
      <c r="AJ4503" s="2">
        <v>29</v>
      </c>
      <c r="AK4503" s="2" t="s">
        <v>227</v>
      </c>
      <c r="AL4503" s="2">
        <v>11</v>
      </c>
      <c r="AM4503" s="2" t="s">
        <v>137</v>
      </c>
      <c r="AN4503" s="2" t="s">
        <v>1059</v>
      </c>
      <c r="AO4503" s="2"/>
      <c r="AP4503" s="2">
        <v>11</v>
      </c>
      <c r="AQ4503" s="2" t="s">
        <v>82</v>
      </c>
      <c r="AR4503" s="2"/>
      <c r="AS4503" s="2"/>
      <c r="AT4503" s="2" t="s">
        <v>13981</v>
      </c>
      <c r="AU4503" s="2"/>
      <c r="AV4503" s="2"/>
      <c r="AW4503" s="2"/>
      <c r="AX4503" s="2"/>
      <c r="AY4503" s="2">
        <v>41</v>
      </c>
      <c r="AZ4503" s="2" t="s">
        <v>82</v>
      </c>
      <c r="BA4503" s="2">
        <v>41</v>
      </c>
      <c r="BB4503" s="2" t="s">
        <v>82</v>
      </c>
      <c r="BC4503" s="2">
        <v>115</v>
      </c>
      <c r="BD4503" s="2" t="s">
        <v>101</v>
      </c>
      <c r="BE4503" s="2">
        <v>19</v>
      </c>
      <c r="BF4503" s="2" t="s">
        <v>1061</v>
      </c>
      <c r="BG4503" s="2" t="s">
        <v>11709</v>
      </c>
      <c r="BH4503" s="4">
        <v>0.55555555555555558</v>
      </c>
      <c r="BI4503" s="4">
        <v>0.61805555555555558</v>
      </c>
      <c r="BJ4503" s="2">
        <v>13</v>
      </c>
      <c r="BK4503" s="2" t="s">
        <v>91</v>
      </c>
      <c r="BL4503" s="2" t="s">
        <v>828</v>
      </c>
      <c r="BM4503" s="2">
        <v>29</v>
      </c>
      <c r="BN4503" s="2" t="s">
        <v>962</v>
      </c>
      <c r="BO4503" s="2"/>
      <c r="BP4503" s="2">
        <v>29</v>
      </c>
      <c r="BQ4503" s="2" t="s">
        <v>962</v>
      </c>
      <c r="BR4503" s="2" t="s">
        <v>2027</v>
      </c>
      <c r="BS4503" s="3">
        <v>40483</v>
      </c>
      <c r="BT4503" s="4">
        <v>0.71317129629629628</v>
      </c>
    </row>
    <row r="4504" spans="1:72" x14ac:dyDescent="0.25">
      <c r="A4504" s="2">
        <v>6847</v>
      </c>
      <c r="B4504" s="2">
        <v>2010</v>
      </c>
      <c r="C4504" s="2" t="s">
        <v>171</v>
      </c>
      <c r="D4504" s="2" t="s">
        <v>73</v>
      </c>
      <c r="E4504" s="2" t="s">
        <v>13982</v>
      </c>
      <c r="F4504" s="2">
        <v>150</v>
      </c>
      <c r="G4504" s="2" t="s">
        <v>4650</v>
      </c>
      <c r="H4504" s="2">
        <v>50</v>
      </c>
      <c r="I4504" s="2" t="s">
        <v>107</v>
      </c>
      <c r="J4504" s="2">
        <v>1</v>
      </c>
      <c r="K4504" s="2" t="s">
        <v>107</v>
      </c>
      <c r="L4504" s="2" t="s">
        <v>107</v>
      </c>
      <c r="M4504" s="3">
        <v>40483</v>
      </c>
      <c r="N4504" s="2" t="s">
        <v>9245</v>
      </c>
      <c r="O4504" s="2" t="s">
        <v>13983</v>
      </c>
      <c r="P4504" s="2" t="s">
        <v>9247</v>
      </c>
      <c r="Q4504" s="2" t="str">
        <f>""</f>
        <v/>
      </c>
      <c r="R4504" s="2"/>
      <c r="S4504" s="2"/>
      <c r="T4504" s="2">
        <v>1</v>
      </c>
      <c r="U4504" s="2" t="s">
        <v>79</v>
      </c>
      <c r="V4504" s="2">
        <v>3</v>
      </c>
      <c r="W4504" s="2" t="s">
        <v>225</v>
      </c>
      <c r="X4504" s="2">
        <v>6</v>
      </c>
      <c r="Y4504" s="2" t="s">
        <v>249</v>
      </c>
      <c r="Z4504" s="2">
        <v>1</v>
      </c>
      <c r="AA4504" s="2" t="s">
        <v>82</v>
      </c>
      <c r="AB4504" s="2">
        <v>9</v>
      </c>
      <c r="AC4504" s="2" t="s">
        <v>124</v>
      </c>
      <c r="AD4504" s="3">
        <v>40483</v>
      </c>
      <c r="AE4504" s="4">
        <v>0.71875</v>
      </c>
      <c r="AF4504" s="2"/>
      <c r="AG4504" s="2"/>
      <c r="AH4504" s="2">
        <v>6</v>
      </c>
      <c r="AI4504" s="2" t="s">
        <v>197</v>
      </c>
      <c r="AJ4504" s="2">
        <v>47</v>
      </c>
      <c r="AK4504" s="2" t="s">
        <v>250</v>
      </c>
      <c r="AL4504" s="2">
        <v>23</v>
      </c>
      <c r="AM4504" s="2" t="s">
        <v>251</v>
      </c>
      <c r="AN4504" s="2"/>
      <c r="AO4504" s="2" t="s">
        <v>13984</v>
      </c>
      <c r="AP4504" s="2">
        <v>11</v>
      </c>
      <c r="AQ4504" s="2" t="s">
        <v>82</v>
      </c>
      <c r="AR4504" s="2"/>
      <c r="AS4504" s="2"/>
      <c r="AT4504" s="2" t="s">
        <v>13985</v>
      </c>
      <c r="AU4504" s="2"/>
      <c r="AV4504" s="2"/>
      <c r="AW4504" s="2"/>
      <c r="AX4504" s="2"/>
      <c r="AY4504" s="2">
        <v>41</v>
      </c>
      <c r="AZ4504" s="2" t="s">
        <v>82</v>
      </c>
      <c r="BA4504" s="2">
        <v>41</v>
      </c>
      <c r="BB4504" s="2" t="s">
        <v>82</v>
      </c>
      <c r="BC4504" s="2">
        <v>41</v>
      </c>
      <c r="BD4504" s="2" t="s">
        <v>82</v>
      </c>
      <c r="BE4504" s="2">
        <v>41</v>
      </c>
      <c r="BF4504" s="2" t="s">
        <v>82</v>
      </c>
      <c r="BG4504" s="2"/>
      <c r="BH4504" s="2"/>
      <c r="BI4504" s="2"/>
      <c r="BJ4504" s="2">
        <v>241</v>
      </c>
      <c r="BK4504" s="2" t="s">
        <v>82</v>
      </c>
      <c r="BL4504" s="2"/>
      <c r="BM4504" s="2">
        <v>241</v>
      </c>
      <c r="BN4504" s="2" t="s">
        <v>82</v>
      </c>
      <c r="BO4504" s="2"/>
      <c r="BP4504" s="2">
        <v>241</v>
      </c>
      <c r="BQ4504" s="2" t="s">
        <v>82</v>
      </c>
      <c r="BR4504" s="2"/>
      <c r="BS4504" s="3">
        <v>40483</v>
      </c>
      <c r="BT4504" s="4">
        <v>0.78065972222222213</v>
      </c>
    </row>
    <row r="4505" spans="1:72" x14ac:dyDescent="0.25">
      <c r="A4505" s="2">
        <v>6852</v>
      </c>
      <c r="B4505" s="2">
        <v>2010</v>
      </c>
      <c r="C4505" s="2" t="s">
        <v>764</v>
      </c>
      <c r="D4505" s="2" t="s">
        <v>73</v>
      </c>
      <c r="E4505" s="2"/>
      <c r="F4505" s="2">
        <v>425</v>
      </c>
      <c r="G4505" s="2" t="s">
        <v>286</v>
      </c>
      <c r="H4505" s="2">
        <v>39</v>
      </c>
      <c r="I4505" s="2" t="s">
        <v>1117</v>
      </c>
      <c r="J4505" s="2">
        <v>310</v>
      </c>
      <c r="K4505" s="2" t="s">
        <v>288</v>
      </c>
      <c r="L4505" s="2" t="s">
        <v>289</v>
      </c>
      <c r="M4505" s="3">
        <v>40483</v>
      </c>
      <c r="N4505" s="2" t="s">
        <v>2049</v>
      </c>
      <c r="O4505" s="2" t="s">
        <v>13986</v>
      </c>
      <c r="P4505" s="2" t="s">
        <v>13987</v>
      </c>
      <c r="Q4505" s="2" t="str">
        <f>"108/10"</f>
        <v>108/10</v>
      </c>
      <c r="R4505" s="2" t="s">
        <v>13988</v>
      </c>
      <c r="S4505" s="2"/>
      <c r="T4505" s="2">
        <v>1</v>
      </c>
      <c r="U4505" s="2" t="s">
        <v>79</v>
      </c>
      <c r="V4505" s="2">
        <v>1</v>
      </c>
      <c r="W4505" s="2" t="s">
        <v>80</v>
      </c>
      <c r="X4505" s="2">
        <v>12</v>
      </c>
      <c r="Y4505" s="2" t="s">
        <v>148</v>
      </c>
      <c r="Z4505" s="2">
        <v>1</v>
      </c>
      <c r="AA4505" s="2" t="s">
        <v>82</v>
      </c>
      <c r="AB4505" s="2">
        <v>9</v>
      </c>
      <c r="AC4505" s="2" t="s">
        <v>124</v>
      </c>
      <c r="AD4505" s="3">
        <v>40483</v>
      </c>
      <c r="AE4505" s="2"/>
      <c r="AF4505" s="3">
        <v>40483</v>
      </c>
      <c r="AG4505" s="4">
        <v>0.57291666666666663</v>
      </c>
      <c r="AH4505" s="2">
        <v>4</v>
      </c>
      <c r="AI4505" s="2" t="s">
        <v>125</v>
      </c>
      <c r="AJ4505" s="2">
        <v>29</v>
      </c>
      <c r="AK4505" s="2" t="s">
        <v>227</v>
      </c>
      <c r="AL4505" s="2">
        <v>2</v>
      </c>
      <c r="AM4505" s="2" t="s">
        <v>163</v>
      </c>
      <c r="AN4505" s="2" t="s">
        <v>2437</v>
      </c>
      <c r="AO4505" s="2"/>
      <c r="AP4505" s="2">
        <v>11</v>
      </c>
      <c r="AQ4505" s="2" t="s">
        <v>82</v>
      </c>
      <c r="AR4505" s="2"/>
      <c r="AS4505" s="2"/>
      <c r="AT4505" s="2" t="s">
        <v>13989</v>
      </c>
      <c r="AU4505" s="2">
        <v>2</v>
      </c>
      <c r="AV4505" s="2"/>
      <c r="AW4505" s="2"/>
      <c r="AX4505" s="2"/>
      <c r="AY4505" s="2">
        <v>19</v>
      </c>
      <c r="AZ4505" s="2" t="s">
        <v>1061</v>
      </c>
      <c r="BA4505" s="2">
        <v>19</v>
      </c>
      <c r="BB4505" s="2" t="s">
        <v>1061</v>
      </c>
      <c r="BC4505" s="2">
        <v>19</v>
      </c>
      <c r="BD4505" s="2" t="s">
        <v>1061</v>
      </c>
      <c r="BE4505" s="2">
        <v>19</v>
      </c>
      <c r="BF4505" s="2" t="s">
        <v>1061</v>
      </c>
      <c r="BG4505" s="2" t="s">
        <v>13990</v>
      </c>
      <c r="BH4505" s="4">
        <v>0.55555555555555558</v>
      </c>
      <c r="BI4505" s="4">
        <v>0.61805555555555558</v>
      </c>
      <c r="BJ4505" s="2">
        <v>29</v>
      </c>
      <c r="BK4505" s="2" t="s">
        <v>962</v>
      </c>
      <c r="BL4505" s="2" t="s">
        <v>963</v>
      </c>
      <c r="BM4505" s="2">
        <v>13</v>
      </c>
      <c r="BN4505" s="2" t="s">
        <v>91</v>
      </c>
      <c r="BO4505" s="2"/>
      <c r="BP4505" s="2">
        <v>13</v>
      </c>
      <c r="BQ4505" s="2" t="s">
        <v>91</v>
      </c>
      <c r="BR4505" s="2" t="s">
        <v>828</v>
      </c>
      <c r="BS4505" s="3">
        <v>40483</v>
      </c>
      <c r="BT4505" s="4">
        <v>0.85990740740740745</v>
      </c>
    </row>
    <row r="4506" spans="1:72" x14ac:dyDescent="0.25">
      <c r="A4506" s="2">
        <v>6854</v>
      </c>
      <c r="B4506" s="2">
        <v>2010</v>
      </c>
      <c r="C4506" s="2" t="s">
        <v>385</v>
      </c>
      <c r="D4506" s="2" t="s">
        <v>122</v>
      </c>
      <c r="E4506" s="2" t="s">
        <v>13991</v>
      </c>
      <c r="F4506" s="2">
        <v>389</v>
      </c>
      <c r="G4506" s="2" t="s">
        <v>1819</v>
      </c>
      <c r="H4506" s="2">
        <v>3</v>
      </c>
      <c r="I4506" s="2" t="s">
        <v>315</v>
      </c>
      <c r="J4506" s="2">
        <v>399</v>
      </c>
      <c r="K4506" s="2" t="s">
        <v>1820</v>
      </c>
      <c r="L4506" s="2" t="s">
        <v>1821</v>
      </c>
      <c r="M4506" s="3">
        <v>40483</v>
      </c>
      <c r="N4506" s="2" t="s">
        <v>2319</v>
      </c>
      <c r="O4506" s="2"/>
      <c r="P4506" s="2"/>
      <c r="Q4506" s="2" t="str">
        <f>"566-E/10"</f>
        <v>566-E/10</v>
      </c>
      <c r="R4506" s="2"/>
      <c r="S4506" s="2" t="s">
        <v>116</v>
      </c>
      <c r="T4506" s="2">
        <v>1</v>
      </c>
      <c r="U4506" s="2" t="s">
        <v>79</v>
      </c>
      <c r="V4506" s="2">
        <v>1</v>
      </c>
      <c r="W4506" s="2" t="s">
        <v>80</v>
      </c>
      <c r="X4506" s="2">
        <v>12</v>
      </c>
      <c r="Y4506" s="2" t="s">
        <v>148</v>
      </c>
      <c r="Z4506" s="2">
        <v>1</v>
      </c>
      <c r="AA4506" s="2" t="s">
        <v>82</v>
      </c>
      <c r="AB4506" s="2">
        <v>9</v>
      </c>
      <c r="AC4506" s="2" t="s">
        <v>124</v>
      </c>
      <c r="AD4506" s="3">
        <v>40483</v>
      </c>
      <c r="AE4506" s="4">
        <v>0.75</v>
      </c>
      <c r="AF4506" s="3">
        <v>40481</v>
      </c>
      <c r="AG4506" s="4">
        <v>0.29166666666666669</v>
      </c>
      <c r="AH4506" s="2">
        <v>2</v>
      </c>
      <c r="AI4506" s="2" t="s">
        <v>84</v>
      </c>
      <c r="AJ4506" s="2">
        <v>9</v>
      </c>
      <c r="AK4506" s="2" t="s">
        <v>103</v>
      </c>
      <c r="AL4506" s="2">
        <v>14</v>
      </c>
      <c r="AM4506" s="2" t="s">
        <v>216</v>
      </c>
      <c r="AN4506" s="2" t="s">
        <v>13992</v>
      </c>
      <c r="AO4506" s="2"/>
      <c r="AP4506" s="2">
        <v>11</v>
      </c>
      <c r="AQ4506" s="2" t="s">
        <v>82</v>
      </c>
      <c r="AR4506" s="2"/>
      <c r="AS4506" s="2"/>
      <c r="AT4506" s="2" t="s">
        <v>13993</v>
      </c>
      <c r="AU4506" s="2"/>
      <c r="AV4506" s="2"/>
      <c r="AW4506" s="2"/>
      <c r="AX4506" s="2"/>
      <c r="AY4506" s="2">
        <v>69</v>
      </c>
      <c r="AZ4506" s="2" t="s">
        <v>483</v>
      </c>
      <c r="BA4506" s="2">
        <v>69</v>
      </c>
      <c r="BB4506" s="2" t="s">
        <v>483</v>
      </c>
      <c r="BC4506" s="2">
        <v>41</v>
      </c>
      <c r="BD4506" s="2" t="s">
        <v>82</v>
      </c>
      <c r="BE4506" s="2">
        <v>20</v>
      </c>
      <c r="BF4506" s="2" t="s">
        <v>1681</v>
      </c>
      <c r="BG4506" s="2" t="s">
        <v>13994</v>
      </c>
      <c r="BH4506" s="4">
        <v>0.48958333333333331</v>
      </c>
      <c r="BI4506" s="4">
        <v>0.28125</v>
      </c>
      <c r="BJ4506" s="2">
        <v>13</v>
      </c>
      <c r="BK4506" s="2" t="s">
        <v>91</v>
      </c>
      <c r="BL4506" s="2" t="s">
        <v>185</v>
      </c>
      <c r="BM4506" s="2">
        <v>173</v>
      </c>
      <c r="BN4506" s="2" t="s">
        <v>223</v>
      </c>
      <c r="BO4506" s="2"/>
      <c r="BP4506" s="2">
        <v>173</v>
      </c>
      <c r="BQ4506" s="2" t="s">
        <v>223</v>
      </c>
      <c r="BR4506" s="2" t="s">
        <v>224</v>
      </c>
      <c r="BS4506" s="3">
        <v>40483</v>
      </c>
      <c r="BT4506" s="4">
        <v>0.86928240740740748</v>
      </c>
    </row>
    <row r="4507" spans="1:72" x14ac:dyDescent="0.25">
      <c r="A4507" s="2">
        <v>6855</v>
      </c>
      <c r="B4507" s="2">
        <v>2010</v>
      </c>
      <c r="C4507" s="2" t="s">
        <v>8160</v>
      </c>
      <c r="D4507" s="2" t="s">
        <v>73</v>
      </c>
      <c r="E4507" s="2"/>
      <c r="F4507" s="2">
        <v>658</v>
      </c>
      <c r="G4507" s="2" t="s">
        <v>10016</v>
      </c>
      <c r="H4507" s="2">
        <v>101</v>
      </c>
      <c r="I4507" s="2" t="s">
        <v>6441</v>
      </c>
      <c r="J4507" s="2">
        <v>632</v>
      </c>
      <c r="K4507" s="2" t="s">
        <v>10017</v>
      </c>
      <c r="L4507" s="2" t="s">
        <v>10018</v>
      </c>
      <c r="M4507" s="3">
        <v>40483</v>
      </c>
      <c r="N4507" s="2" t="s">
        <v>13995</v>
      </c>
      <c r="O4507" s="2"/>
      <c r="P4507" s="2"/>
      <c r="Q4507" s="2" t="str">
        <f>"429-A/10"</f>
        <v>429-A/10</v>
      </c>
      <c r="R4507" s="2"/>
      <c r="S4507" s="2" t="s">
        <v>2013</v>
      </c>
      <c r="T4507" s="2">
        <v>1</v>
      </c>
      <c r="U4507" s="2" t="s">
        <v>79</v>
      </c>
      <c r="V4507" s="2">
        <v>1</v>
      </c>
      <c r="W4507" s="2" t="s">
        <v>80</v>
      </c>
      <c r="X4507" s="2">
        <v>12</v>
      </c>
      <c r="Y4507" s="2" t="s">
        <v>148</v>
      </c>
      <c r="Z4507" s="2">
        <v>1</v>
      </c>
      <c r="AA4507" s="2" t="s">
        <v>82</v>
      </c>
      <c r="AB4507" s="2">
        <v>9</v>
      </c>
      <c r="AC4507" s="2" t="s">
        <v>124</v>
      </c>
      <c r="AD4507" s="3">
        <v>40483</v>
      </c>
      <c r="AE4507" s="4">
        <v>0.69791666666666663</v>
      </c>
      <c r="AF4507" s="3">
        <v>40483</v>
      </c>
      <c r="AG4507" s="4">
        <v>0.70138888888888884</v>
      </c>
      <c r="AH4507" s="2">
        <v>2</v>
      </c>
      <c r="AI4507" s="2" t="s">
        <v>84</v>
      </c>
      <c r="AJ4507" s="2">
        <v>12</v>
      </c>
      <c r="AK4507" s="2" t="s">
        <v>85</v>
      </c>
      <c r="AL4507" s="2">
        <v>19</v>
      </c>
      <c r="AM4507" s="2" t="s">
        <v>107</v>
      </c>
      <c r="AN4507" s="2" t="s">
        <v>12751</v>
      </c>
      <c r="AO4507" s="2" t="s">
        <v>2866</v>
      </c>
      <c r="AP4507" s="2">
        <v>11</v>
      </c>
      <c r="AQ4507" s="2" t="s">
        <v>82</v>
      </c>
      <c r="AR4507" s="2"/>
      <c r="AS4507" s="2"/>
      <c r="AT4507" s="2" t="s">
        <v>13996</v>
      </c>
      <c r="AU4507" s="2"/>
      <c r="AV4507" s="2"/>
      <c r="AW4507" s="2"/>
      <c r="AX4507" s="2"/>
      <c r="AY4507" s="2">
        <v>41</v>
      </c>
      <c r="AZ4507" s="2" t="s">
        <v>82</v>
      </c>
      <c r="BA4507" s="2">
        <v>157</v>
      </c>
      <c r="BB4507" s="2" t="s">
        <v>13997</v>
      </c>
      <c r="BC4507" s="2">
        <v>41</v>
      </c>
      <c r="BD4507" s="2" t="s">
        <v>82</v>
      </c>
      <c r="BE4507" s="2">
        <v>41</v>
      </c>
      <c r="BF4507" s="2" t="s">
        <v>82</v>
      </c>
      <c r="BG4507" s="2"/>
      <c r="BH4507" s="2"/>
      <c r="BI4507" s="2"/>
      <c r="BJ4507" s="2">
        <v>241</v>
      </c>
      <c r="BK4507" s="2" t="s">
        <v>82</v>
      </c>
      <c r="BL4507" s="2"/>
      <c r="BM4507" s="2">
        <v>241</v>
      </c>
      <c r="BN4507" s="2" t="s">
        <v>82</v>
      </c>
      <c r="BO4507" s="2"/>
      <c r="BP4507" s="2">
        <v>241</v>
      </c>
      <c r="BQ4507" s="2" t="s">
        <v>82</v>
      </c>
      <c r="BR4507" s="2"/>
      <c r="BS4507" s="3">
        <v>40483</v>
      </c>
      <c r="BT4507" s="4">
        <v>0.88513888888888881</v>
      </c>
    </row>
    <row r="4508" spans="1:72" x14ac:dyDescent="0.25">
      <c r="A4508" s="2">
        <v>6856</v>
      </c>
      <c r="B4508" s="2">
        <v>2010</v>
      </c>
      <c r="C4508" s="2" t="s">
        <v>377</v>
      </c>
      <c r="D4508" s="2" t="s">
        <v>73</v>
      </c>
      <c r="E4508" s="2"/>
      <c r="F4508" s="2">
        <v>426</v>
      </c>
      <c r="G4508" s="2" t="s">
        <v>378</v>
      </c>
      <c r="H4508" s="2">
        <v>42</v>
      </c>
      <c r="I4508" s="2" t="s">
        <v>1096</v>
      </c>
      <c r="J4508" s="2">
        <v>311</v>
      </c>
      <c r="K4508" s="2" t="s">
        <v>379</v>
      </c>
      <c r="L4508" s="2" t="s">
        <v>380</v>
      </c>
      <c r="M4508" s="3">
        <v>40483</v>
      </c>
      <c r="N4508" s="2" t="s">
        <v>4007</v>
      </c>
      <c r="O4508" s="2"/>
      <c r="P4508" s="2"/>
      <c r="Q4508" s="2" t="str">
        <f>"276-C/10"</f>
        <v>276-C/10</v>
      </c>
      <c r="R4508" s="2"/>
      <c r="S4508" s="2" t="s">
        <v>3458</v>
      </c>
      <c r="T4508" s="2">
        <v>1</v>
      </c>
      <c r="U4508" s="2" t="s">
        <v>79</v>
      </c>
      <c r="V4508" s="2">
        <v>1</v>
      </c>
      <c r="W4508" s="2" t="s">
        <v>80</v>
      </c>
      <c r="X4508" s="2">
        <v>1</v>
      </c>
      <c r="Y4508" s="2" t="s">
        <v>81</v>
      </c>
      <c r="Z4508" s="2">
        <v>1</v>
      </c>
      <c r="AA4508" s="2" t="s">
        <v>82</v>
      </c>
      <c r="AB4508" s="2">
        <v>9</v>
      </c>
      <c r="AC4508" s="2" t="s">
        <v>124</v>
      </c>
      <c r="AD4508" s="3">
        <v>40483</v>
      </c>
      <c r="AE4508" s="4">
        <v>0.50347222222222221</v>
      </c>
      <c r="AF4508" s="3">
        <v>40483</v>
      </c>
      <c r="AG4508" s="4">
        <v>0.50347222222222221</v>
      </c>
      <c r="AH4508" s="2">
        <v>2</v>
      </c>
      <c r="AI4508" s="2" t="s">
        <v>84</v>
      </c>
      <c r="AJ4508" s="2">
        <v>9</v>
      </c>
      <c r="AK4508" s="2" t="s">
        <v>103</v>
      </c>
      <c r="AL4508" s="2">
        <v>29</v>
      </c>
      <c r="AM4508" s="2" t="s">
        <v>5416</v>
      </c>
      <c r="AN4508" s="2" t="s">
        <v>13998</v>
      </c>
      <c r="AO4508" s="2"/>
      <c r="AP4508" s="2">
        <v>11</v>
      </c>
      <c r="AQ4508" s="2" t="s">
        <v>82</v>
      </c>
      <c r="AR4508" s="2"/>
      <c r="AS4508" s="2"/>
      <c r="AT4508" s="2" t="s">
        <v>13999</v>
      </c>
      <c r="AU4508" s="2"/>
      <c r="AV4508" s="2"/>
      <c r="AW4508" s="2"/>
      <c r="AX4508" s="2"/>
      <c r="AY4508" s="2">
        <v>41</v>
      </c>
      <c r="AZ4508" s="2" t="s">
        <v>82</v>
      </c>
      <c r="BA4508" s="2">
        <v>41</v>
      </c>
      <c r="BB4508" s="2" t="s">
        <v>82</v>
      </c>
      <c r="BC4508" s="2">
        <v>41</v>
      </c>
      <c r="BD4508" s="2" t="s">
        <v>82</v>
      </c>
      <c r="BE4508" s="2">
        <v>41</v>
      </c>
      <c r="BF4508" s="2" t="s">
        <v>82</v>
      </c>
      <c r="BG4508" s="2"/>
      <c r="BH4508" s="2"/>
      <c r="BI4508" s="2"/>
      <c r="BJ4508" s="2">
        <v>241</v>
      </c>
      <c r="BK4508" s="2" t="s">
        <v>82</v>
      </c>
      <c r="BL4508" s="2"/>
      <c r="BM4508" s="2">
        <v>241</v>
      </c>
      <c r="BN4508" s="2" t="s">
        <v>82</v>
      </c>
      <c r="BO4508" s="2"/>
      <c r="BP4508" s="2">
        <v>241</v>
      </c>
      <c r="BQ4508" s="2" t="s">
        <v>82</v>
      </c>
      <c r="BR4508" s="2"/>
      <c r="BS4508" s="3">
        <v>40483</v>
      </c>
      <c r="BT4508" s="4">
        <v>0.89453703703703702</v>
      </c>
    </row>
    <row r="4509" spans="1:72" x14ac:dyDescent="0.25">
      <c r="A4509" s="2">
        <v>6857</v>
      </c>
      <c r="B4509" s="2">
        <v>2010</v>
      </c>
      <c r="C4509" s="2" t="s">
        <v>377</v>
      </c>
      <c r="D4509" s="2" t="s">
        <v>73</v>
      </c>
      <c r="E4509" s="2"/>
      <c r="F4509" s="2">
        <v>426</v>
      </c>
      <c r="G4509" s="2" t="s">
        <v>378</v>
      </c>
      <c r="H4509" s="2">
        <v>108</v>
      </c>
      <c r="I4509" s="2" t="s">
        <v>1096</v>
      </c>
      <c r="J4509" s="2">
        <v>311</v>
      </c>
      <c r="K4509" s="2" t="s">
        <v>379</v>
      </c>
      <c r="L4509" s="2" t="s">
        <v>380</v>
      </c>
      <c r="M4509" s="3">
        <v>40483</v>
      </c>
      <c r="N4509" s="2" t="s">
        <v>8354</v>
      </c>
      <c r="O4509" s="2"/>
      <c r="P4509" s="2"/>
      <c r="Q4509" s="2" t="str">
        <f>"277-C/10"</f>
        <v>277-C/10</v>
      </c>
      <c r="R4509" s="2"/>
      <c r="S4509" s="2" t="s">
        <v>1344</v>
      </c>
      <c r="T4509" s="2">
        <v>1</v>
      </c>
      <c r="U4509" s="2" t="s">
        <v>79</v>
      </c>
      <c r="V4509" s="2">
        <v>1</v>
      </c>
      <c r="W4509" s="2" t="s">
        <v>80</v>
      </c>
      <c r="X4509" s="2">
        <v>1</v>
      </c>
      <c r="Y4509" s="2" t="s">
        <v>81</v>
      </c>
      <c r="Z4509" s="2">
        <v>1</v>
      </c>
      <c r="AA4509" s="2" t="s">
        <v>82</v>
      </c>
      <c r="AB4509" s="2">
        <v>9</v>
      </c>
      <c r="AC4509" s="2" t="s">
        <v>124</v>
      </c>
      <c r="AD4509" s="3">
        <v>40483</v>
      </c>
      <c r="AE4509" s="4">
        <v>0.67708333333333337</v>
      </c>
      <c r="AF4509" s="3">
        <v>40483</v>
      </c>
      <c r="AG4509" s="4">
        <v>0.67708333333333337</v>
      </c>
      <c r="AH4509" s="2">
        <v>2</v>
      </c>
      <c r="AI4509" s="2" t="s">
        <v>84</v>
      </c>
      <c r="AJ4509" s="2">
        <v>9</v>
      </c>
      <c r="AK4509" s="2" t="s">
        <v>103</v>
      </c>
      <c r="AL4509" s="2">
        <v>29</v>
      </c>
      <c r="AM4509" s="2" t="s">
        <v>5416</v>
      </c>
      <c r="AN4509" s="2" t="s">
        <v>8710</v>
      </c>
      <c r="AO4509" s="2"/>
      <c r="AP4509" s="2">
        <v>11</v>
      </c>
      <c r="AQ4509" s="2" t="s">
        <v>82</v>
      </c>
      <c r="AR4509" s="2"/>
      <c r="AS4509" s="2"/>
      <c r="AT4509" s="2" t="s">
        <v>14000</v>
      </c>
      <c r="AU4509" s="2"/>
      <c r="AV4509" s="2"/>
      <c r="AW4509" s="2"/>
      <c r="AX4509" s="2"/>
      <c r="AY4509" s="2">
        <v>41</v>
      </c>
      <c r="AZ4509" s="2" t="s">
        <v>82</v>
      </c>
      <c r="BA4509" s="2">
        <v>41</v>
      </c>
      <c r="BB4509" s="2" t="s">
        <v>82</v>
      </c>
      <c r="BC4509" s="2">
        <v>41</v>
      </c>
      <c r="BD4509" s="2" t="s">
        <v>82</v>
      </c>
      <c r="BE4509" s="2">
        <v>41</v>
      </c>
      <c r="BF4509" s="2" t="s">
        <v>82</v>
      </c>
      <c r="BG4509" s="2"/>
      <c r="BH4509" s="2"/>
      <c r="BI4509" s="2"/>
      <c r="BJ4509" s="2">
        <v>241</v>
      </c>
      <c r="BK4509" s="2" t="s">
        <v>82</v>
      </c>
      <c r="BL4509" s="2"/>
      <c r="BM4509" s="2">
        <v>241</v>
      </c>
      <c r="BN4509" s="2" t="s">
        <v>82</v>
      </c>
      <c r="BO4509" s="2"/>
      <c r="BP4509" s="2">
        <v>241</v>
      </c>
      <c r="BQ4509" s="2" t="s">
        <v>82</v>
      </c>
      <c r="BR4509" s="2"/>
      <c r="BS4509" s="3">
        <v>40483</v>
      </c>
      <c r="BT4509" s="4">
        <v>0.91092592592592592</v>
      </c>
    </row>
    <row r="4510" spans="1:72" x14ac:dyDescent="0.25">
      <c r="A4510" s="2">
        <v>6858</v>
      </c>
      <c r="B4510" s="2">
        <v>2010</v>
      </c>
      <c r="C4510" s="2" t="s">
        <v>93</v>
      </c>
      <c r="D4510" s="2" t="s">
        <v>73</v>
      </c>
      <c r="E4510" s="2"/>
      <c r="F4510" s="2">
        <v>361</v>
      </c>
      <c r="G4510" s="2" t="s">
        <v>8865</v>
      </c>
      <c r="H4510" s="2">
        <v>138</v>
      </c>
      <c r="I4510" s="2" t="s">
        <v>11568</v>
      </c>
      <c r="J4510" s="2">
        <v>173</v>
      </c>
      <c r="K4510" s="2" t="s">
        <v>11569</v>
      </c>
      <c r="L4510" s="2" t="s">
        <v>11570</v>
      </c>
      <c r="M4510" s="3">
        <v>40483</v>
      </c>
      <c r="N4510" s="2" t="s">
        <v>11571</v>
      </c>
      <c r="O4510" s="2" t="s">
        <v>14001</v>
      </c>
      <c r="P4510" s="2">
        <v>30596</v>
      </c>
      <c r="Q4510" s="2" t="str">
        <f>"0143/10"</f>
        <v>0143/10</v>
      </c>
      <c r="R4510" s="2"/>
      <c r="S4510" s="2" t="s">
        <v>8305</v>
      </c>
      <c r="T4510" s="2">
        <v>1</v>
      </c>
      <c r="U4510" s="2" t="s">
        <v>79</v>
      </c>
      <c r="V4510" s="2">
        <v>1</v>
      </c>
      <c r="W4510" s="2" t="s">
        <v>80</v>
      </c>
      <c r="X4510" s="2">
        <v>10</v>
      </c>
      <c r="Y4510" s="2" t="s">
        <v>226</v>
      </c>
      <c r="Z4510" s="2">
        <v>9</v>
      </c>
      <c r="AA4510" s="2" t="s">
        <v>1119</v>
      </c>
      <c r="AB4510" s="2">
        <v>2</v>
      </c>
      <c r="AC4510" s="2" t="s">
        <v>102</v>
      </c>
      <c r="AD4510" s="3">
        <v>40483</v>
      </c>
      <c r="AE4510" s="4">
        <v>0.72222222222222221</v>
      </c>
      <c r="AF4510" s="3">
        <v>40483</v>
      </c>
      <c r="AG4510" s="2"/>
      <c r="AH4510" s="2">
        <v>5</v>
      </c>
      <c r="AI4510" s="2" t="s">
        <v>274</v>
      </c>
      <c r="AJ4510" s="2">
        <v>38</v>
      </c>
      <c r="AK4510" s="2" t="s">
        <v>1120</v>
      </c>
      <c r="AL4510" s="2">
        <v>11</v>
      </c>
      <c r="AM4510" s="2" t="s">
        <v>137</v>
      </c>
      <c r="AN4510" s="2"/>
      <c r="AO4510" s="2" t="s">
        <v>14002</v>
      </c>
      <c r="AP4510" s="2">
        <v>11</v>
      </c>
      <c r="AQ4510" s="2" t="s">
        <v>82</v>
      </c>
      <c r="AR4510" s="2"/>
      <c r="AS4510" s="2"/>
      <c r="AT4510" s="2" t="s">
        <v>14003</v>
      </c>
      <c r="AU4510" s="2"/>
      <c r="AV4510" s="2"/>
      <c r="AW4510" s="2"/>
      <c r="AX4510" s="2"/>
      <c r="AY4510" s="2">
        <v>41</v>
      </c>
      <c r="AZ4510" s="2" t="s">
        <v>82</v>
      </c>
      <c r="BA4510" s="2">
        <v>41</v>
      </c>
      <c r="BB4510" s="2" t="s">
        <v>82</v>
      </c>
      <c r="BC4510" s="2">
        <v>41</v>
      </c>
      <c r="BD4510" s="2" t="s">
        <v>82</v>
      </c>
      <c r="BE4510" s="2">
        <v>4</v>
      </c>
      <c r="BF4510" s="2" t="s">
        <v>90</v>
      </c>
      <c r="BG4510" s="2">
        <v>4031</v>
      </c>
      <c r="BH4510" s="4">
        <v>0.69513888888888886</v>
      </c>
      <c r="BI4510" s="4">
        <v>0.72916666666666663</v>
      </c>
      <c r="BJ4510" s="2">
        <v>13</v>
      </c>
      <c r="BK4510" s="2" t="s">
        <v>91</v>
      </c>
      <c r="BL4510" s="2" t="s">
        <v>3140</v>
      </c>
      <c r="BM4510" s="2">
        <v>13</v>
      </c>
      <c r="BN4510" s="2" t="s">
        <v>91</v>
      </c>
      <c r="BO4510" s="2"/>
      <c r="BP4510" s="2">
        <v>13</v>
      </c>
      <c r="BQ4510" s="2" t="s">
        <v>91</v>
      </c>
      <c r="BR4510" s="2" t="s">
        <v>185</v>
      </c>
      <c r="BS4510" s="3">
        <v>40483</v>
      </c>
      <c r="BT4510" s="4">
        <v>0.99011574074074071</v>
      </c>
    </row>
    <row r="4511" spans="1:72" x14ac:dyDescent="0.25">
      <c r="A4511" s="2">
        <v>6859</v>
      </c>
      <c r="B4511" s="2">
        <v>2010</v>
      </c>
      <c r="C4511" s="2" t="s">
        <v>8688</v>
      </c>
      <c r="D4511" s="2" t="s">
        <v>122</v>
      </c>
      <c r="E4511" s="2" t="s">
        <v>14004</v>
      </c>
      <c r="F4511" s="2">
        <v>425</v>
      </c>
      <c r="G4511" s="2" t="s">
        <v>286</v>
      </c>
      <c r="H4511" s="2">
        <v>39</v>
      </c>
      <c r="I4511" s="2" t="s">
        <v>1117</v>
      </c>
      <c r="J4511" s="2">
        <v>310</v>
      </c>
      <c r="K4511" s="2" t="s">
        <v>288</v>
      </c>
      <c r="L4511" s="2" t="s">
        <v>289</v>
      </c>
      <c r="M4511" s="3">
        <v>40484</v>
      </c>
      <c r="N4511" s="2" t="s">
        <v>2049</v>
      </c>
      <c r="O4511" s="2" t="s">
        <v>14005</v>
      </c>
      <c r="P4511" s="2" t="s">
        <v>14006</v>
      </c>
      <c r="Q4511" s="2" t="str">
        <f>"108/10"</f>
        <v>108/10</v>
      </c>
      <c r="R4511" s="2"/>
      <c r="S4511" s="2"/>
      <c r="T4511" s="2">
        <v>1</v>
      </c>
      <c r="U4511" s="2" t="s">
        <v>79</v>
      </c>
      <c r="V4511" s="2">
        <v>1</v>
      </c>
      <c r="W4511" s="2" t="s">
        <v>80</v>
      </c>
      <c r="X4511" s="2">
        <v>12</v>
      </c>
      <c r="Y4511" s="2" t="s">
        <v>148</v>
      </c>
      <c r="Z4511" s="2">
        <v>1</v>
      </c>
      <c r="AA4511" s="2" t="s">
        <v>82</v>
      </c>
      <c r="AB4511" s="2">
        <v>9</v>
      </c>
      <c r="AC4511" s="2" t="s">
        <v>124</v>
      </c>
      <c r="AD4511" s="3">
        <v>40483</v>
      </c>
      <c r="AE4511" s="4">
        <v>0.95833333333333337</v>
      </c>
      <c r="AF4511" s="3">
        <v>40483</v>
      </c>
      <c r="AG4511" s="4">
        <v>0.57291666666666663</v>
      </c>
      <c r="AH4511" s="2">
        <v>4</v>
      </c>
      <c r="AI4511" s="2" t="s">
        <v>125</v>
      </c>
      <c r="AJ4511" s="2">
        <v>29</v>
      </c>
      <c r="AK4511" s="2" t="s">
        <v>227</v>
      </c>
      <c r="AL4511" s="2">
        <v>2</v>
      </c>
      <c r="AM4511" s="2" t="s">
        <v>163</v>
      </c>
      <c r="AN4511" s="2" t="s">
        <v>2437</v>
      </c>
      <c r="AO4511" s="2"/>
      <c r="AP4511" s="2">
        <v>11</v>
      </c>
      <c r="AQ4511" s="2" t="s">
        <v>82</v>
      </c>
      <c r="AR4511" s="2"/>
      <c r="AS4511" s="2"/>
      <c r="AT4511" s="2" t="s">
        <v>14007</v>
      </c>
      <c r="AU4511" s="2"/>
      <c r="AV4511" s="2"/>
      <c r="AW4511" s="2"/>
      <c r="AX4511" s="2"/>
      <c r="AY4511" s="2">
        <v>19</v>
      </c>
      <c r="AZ4511" s="2" t="s">
        <v>1061</v>
      </c>
      <c r="BA4511" s="2">
        <v>19</v>
      </c>
      <c r="BB4511" s="2" t="s">
        <v>1061</v>
      </c>
      <c r="BC4511" s="2">
        <v>19</v>
      </c>
      <c r="BD4511" s="2" t="s">
        <v>1061</v>
      </c>
      <c r="BE4511" s="2">
        <v>19</v>
      </c>
      <c r="BF4511" s="2" t="s">
        <v>1061</v>
      </c>
      <c r="BG4511" s="2" t="s">
        <v>13990</v>
      </c>
      <c r="BH4511" s="4">
        <v>0.55555555555555558</v>
      </c>
      <c r="BI4511" s="4">
        <v>0.61805555555555558</v>
      </c>
      <c r="BJ4511" s="2">
        <v>29</v>
      </c>
      <c r="BK4511" s="2" t="s">
        <v>962</v>
      </c>
      <c r="BL4511" s="2" t="s">
        <v>963</v>
      </c>
      <c r="BM4511" s="2">
        <v>13</v>
      </c>
      <c r="BN4511" s="2" t="s">
        <v>91</v>
      </c>
      <c r="BO4511" s="2"/>
      <c r="BP4511" s="2">
        <v>13</v>
      </c>
      <c r="BQ4511" s="2" t="s">
        <v>91</v>
      </c>
      <c r="BR4511" s="2" t="s">
        <v>828</v>
      </c>
      <c r="BS4511" s="3">
        <v>40484</v>
      </c>
      <c r="BT4511" s="4">
        <v>0.15559027777777779</v>
      </c>
    </row>
    <row r="4512" spans="1:72" x14ac:dyDescent="0.25">
      <c r="A4512" s="2">
        <v>6866</v>
      </c>
      <c r="B4512" s="2">
        <v>2010</v>
      </c>
      <c r="C4512" s="2" t="s">
        <v>147</v>
      </c>
      <c r="D4512" s="2" t="s">
        <v>73</v>
      </c>
      <c r="E4512" s="2"/>
      <c r="F4512" s="2">
        <v>1</v>
      </c>
      <c r="G4512" s="2" t="s">
        <v>82</v>
      </c>
      <c r="H4512" s="2">
        <v>1</v>
      </c>
      <c r="I4512" s="2" t="s">
        <v>82</v>
      </c>
      <c r="J4512" s="2">
        <v>1</v>
      </c>
      <c r="K4512" s="2" t="s">
        <v>107</v>
      </c>
      <c r="L4512" s="2" t="s">
        <v>107</v>
      </c>
      <c r="M4512" s="3">
        <v>40484</v>
      </c>
      <c r="N4512" s="2"/>
      <c r="O4512" s="2"/>
      <c r="P4512" s="2"/>
      <c r="Q4512" s="2" t="str">
        <f>""</f>
        <v/>
      </c>
      <c r="R4512" s="2"/>
      <c r="S4512" s="2"/>
      <c r="T4512" s="2">
        <v>2</v>
      </c>
      <c r="U4512" s="2" t="s">
        <v>123</v>
      </c>
      <c r="V4512" s="2">
        <v>1</v>
      </c>
      <c r="W4512" s="2" t="s">
        <v>80</v>
      </c>
      <c r="X4512" s="2">
        <v>12</v>
      </c>
      <c r="Y4512" s="2" t="s">
        <v>148</v>
      </c>
      <c r="Z4512" s="2">
        <v>1</v>
      </c>
      <c r="AA4512" s="2" t="s">
        <v>82</v>
      </c>
      <c r="AB4512" s="2">
        <v>9</v>
      </c>
      <c r="AC4512" s="2" t="s">
        <v>124</v>
      </c>
      <c r="AD4512" s="3">
        <v>40480</v>
      </c>
      <c r="AE4512" s="2"/>
      <c r="AF4512" s="3">
        <v>40484</v>
      </c>
      <c r="AG4512" s="4">
        <v>0.45833333333333331</v>
      </c>
      <c r="AH4512" s="2">
        <v>2</v>
      </c>
      <c r="AI4512" s="2" t="s">
        <v>84</v>
      </c>
      <c r="AJ4512" s="2">
        <v>11</v>
      </c>
      <c r="AK4512" s="2" t="s">
        <v>751</v>
      </c>
      <c r="AL4512" s="2">
        <v>19</v>
      </c>
      <c r="AM4512" s="2" t="s">
        <v>107</v>
      </c>
      <c r="AN4512" s="2" t="s">
        <v>12924</v>
      </c>
      <c r="AO4512" s="2"/>
      <c r="AP4512" s="2">
        <v>11</v>
      </c>
      <c r="AQ4512" s="2" t="s">
        <v>82</v>
      </c>
      <c r="AR4512" s="2"/>
      <c r="AS4512" s="2"/>
      <c r="AT4512" s="2" t="s">
        <v>14008</v>
      </c>
      <c r="AU4512" s="2"/>
      <c r="AV4512" s="2"/>
      <c r="AW4512" s="2"/>
      <c r="AX4512" s="2"/>
      <c r="AY4512" s="2">
        <v>41</v>
      </c>
      <c r="AZ4512" s="2" t="s">
        <v>82</v>
      </c>
      <c r="BA4512" s="2">
        <v>41</v>
      </c>
      <c r="BB4512" s="2" t="s">
        <v>82</v>
      </c>
      <c r="BC4512" s="2">
        <v>41</v>
      </c>
      <c r="BD4512" s="2" t="s">
        <v>82</v>
      </c>
      <c r="BE4512" s="2">
        <v>41</v>
      </c>
      <c r="BF4512" s="2" t="s">
        <v>82</v>
      </c>
      <c r="BG4512" s="2"/>
      <c r="BH4512" s="2"/>
      <c r="BI4512" s="2"/>
      <c r="BJ4512" s="2">
        <v>241</v>
      </c>
      <c r="BK4512" s="2" t="s">
        <v>82</v>
      </c>
      <c r="BL4512" s="2"/>
      <c r="BM4512" s="2">
        <v>241</v>
      </c>
      <c r="BN4512" s="2" t="s">
        <v>82</v>
      </c>
      <c r="BO4512" s="2"/>
      <c r="BP4512" s="2">
        <v>241</v>
      </c>
      <c r="BQ4512" s="2" t="s">
        <v>82</v>
      </c>
      <c r="BR4512" s="2"/>
      <c r="BS4512" s="3">
        <v>40484</v>
      </c>
      <c r="BT4512" s="4">
        <v>0.53089120370370368</v>
      </c>
    </row>
    <row r="4513" spans="1:72" x14ac:dyDescent="0.25">
      <c r="A4513" s="2">
        <v>6870</v>
      </c>
      <c r="B4513" s="2">
        <v>2010</v>
      </c>
      <c r="C4513" s="2" t="s">
        <v>171</v>
      </c>
      <c r="D4513" s="2" t="s">
        <v>73</v>
      </c>
      <c r="E4513" s="2"/>
      <c r="F4513" s="2">
        <v>398</v>
      </c>
      <c r="G4513" s="2" t="s">
        <v>94</v>
      </c>
      <c r="H4513" s="2">
        <v>12</v>
      </c>
      <c r="I4513" s="2" t="s">
        <v>95</v>
      </c>
      <c r="J4513" s="2">
        <v>245</v>
      </c>
      <c r="K4513" s="2" t="s">
        <v>96</v>
      </c>
      <c r="L4513" s="2" t="s">
        <v>97</v>
      </c>
      <c r="M4513" s="3">
        <v>40484</v>
      </c>
      <c r="N4513" s="2" t="s">
        <v>446</v>
      </c>
      <c r="O4513" s="2" t="s">
        <v>107</v>
      </c>
      <c r="P4513" s="2" t="s">
        <v>107</v>
      </c>
      <c r="Q4513" s="2" t="str">
        <f>"571-E/10"</f>
        <v>571-E/10</v>
      </c>
      <c r="R4513" s="2" t="s">
        <v>391</v>
      </c>
      <c r="S4513" s="2" t="s">
        <v>391</v>
      </c>
      <c r="T4513" s="2">
        <v>1</v>
      </c>
      <c r="U4513" s="2" t="s">
        <v>79</v>
      </c>
      <c r="V4513" s="2">
        <v>1</v>
      </c>
      <c r="W4513" s="2" t="s">
        <v>80</v>
      </c>
      <c r="X4513" s="2">
        <v>1</v>
      </c>
      <c r="Y4513" s="2" t="s">
        <v>81</v>
      </c>
      <c r="Z4513" s="2">
        <v>1</v>
      </c>
      <c r="AA4513" s="2" t="s">
        <v>82</v>
      </c>
      <c r="AB4513" s="2">
        <v>1</v>
      </c>
      <c r="AC4513" s="2" t="s">
        <v>178</v>
      </c>
      <c r="AD4513" s="3">
        <v>40483</v>
      </c>
      <c r="AE4513" s="4">
        <v>0.88541666666666663</v>
      </c>
      <c r="AF4513" s="3">
        <v>40483</v>
      </c>
      <c r="AG4513" s="4">
        <v>0.98263888888888884</v>
      </c>
      <c r="AH4513" s="2">
        <v>2</v>
      </c>
      <c r="AI4513" s="2" t="s">
        <v>84</v>
      </c>
      <c r="AJ4513" s="2">
        <v>9</v>
      </c>
      <c r="AK4513" s="2" t="s">
        <v>103</v>
      </c>
      <c r="AL4513" s="2">
        <v>11</v>
      </c>
      <c r="AM4513" s="2" t="s">
        <v>137</v>
      </c>
      <c r="AN4513" s="2" t="s">
        <v>14009</v>
      </c>
      <c r="AO4513" s="2" t="s">
        <v>987</v>
      </c>
      <c r="AP4513" s="2">
        <v>11</v>
      </c>
      <c r="AQ4513" s="2" t="s">
        <v>82</v>
      </c>
      <c r="AR4513" s="2"/>
      <c r="AS4513" s="2"/>
      <c r="AT4513" s="2" t="s">
        <v>14010</v>
      </c>
      <c r="AU4513" s="2"/>
      <c r="AV4513" s="2">
        <v>1</v>
      </c>
      <c r="AW4513" s="2"/>
      <c r="AX4513" s="2"/>
      <c r="AY4513" s="2">
        <v>41</v>
      </c>
      <c r="AZ4513" s="2" t="s">
        <v>82</v>
      </c>
      <c r="BA4513" s="2">
        <v>41</v>
      </c>
      <c r="BB4513" s="2" t="s">
        <v>82</v>
      </c>
      <c r="BC4513" s="2">
        <v>41</v>
      </c>
      <c r="BD4513" s="2" t="s">
        <v>82</v>
      </c>
      <c r="BE4513" s="2">
        <v>68</v>
      </c>
      <c r="BF4513" s="2" t="s">
        <v>14011</v>
      </c>
      <c r="BG4513" s="2" t="s">
        <v>14012</v>
      </c>
      <c r="BH4513" s="2"/>
      <c r="BI4513" s="2"/>
      <c r="BJ4513" s="2">
        <v>13</v>
      </c>
      <c r="BK4513" s="2" t="s">
        <v>91</v>
      </c>
      <c r="BL4513" s="2" t="s">
        <v>360</v>
      </c>
      <c r="BM4513" s="2">
        <v>179</v>
      </c>
      <c r="BN4513" s="2" t="s">
        <v>14013</v>
      </c>
      <c r="BO4513" s="2"/>
      <c r="BP4513" s="2">
        <v>179</v>
      </c>
      <c r="BQ4513" s="2" t="s">
        <v>14013</v>
      </c>
      <c r="BR4513" s="2" t="s">
        <v>14014</v>
      </c>
      <c r="BS4513" s="3">
        <v>40484</v>
      </c>
      <c r="BT4513" s="4">
        <v>0.5681828703703703</v>
      </c>
    </row>
    <row r="4514" spans="1:72" x14ac:dyDescent="0.25">
      <c r="A4514" s="2">
        <v>6872</v>
      </c>
      <c r="B4514" s="2">
        <v>2010</v>
      </c>
      <c r="C4514" s="2" t="s">
        <v>128</v>
      </c>
      <c r="D4514" s="2" t="s">
        <v>73</v>
      </c>
      <c r="E4514" s="2"/>
      <c r="F4514" s="2">
        <v>425</v>
      </c>
      <c r="G4514" s="2" t="s">
        <v>286</v>
      </c>
      <c r="H4514" s="2">
        <v>3</v>
      </c>
      <c r="I4514" s="2" t="s">
        <v>315</v>
      </c>
      <c r="J4514" s="2">
        <v>310</v>
      </c>
      <c r="K4514" s="2" t="s">
        <v>288</v>
      </c>
      <c r="L4514" s="2" t="s">
        <v>289</v>
      </c>
      <c r="M4514" s="3">
        <v>40484</v>
      </c>
      <c r="N4514" s="2" t="s">
        <v>1882</v>
      </c>
      <c r="O4514" s="2" t="s">
        <v>14015</v>
      </c>
      <c r="P4514" s="2" t="s">
        <v>14016</v>
      </c>
      <c r="Q4514" s="2" t="str">
        <f>"110"</f>
        <v>110</v>
      </c>
      <c r="R4514" s="2" t="s">
        <v>11437</v>
      </c>
      <c r="S4514" s="2"/>
      <c r="T4514" s="2">
        <v>1</v>
      </c>
      <c r="U4514" s="2" t="s">
        <v>79</v>
      </c>
      <c r="V4514" s="2">
        <v>3</v>
      </c>
      <c r="W4514" s="2" t="s">
        <v>225</v>
      </c>
      <c r="X4514" s="2">
        <v>6</v>
      </c>
      <c r="Y4514" s="2" t="s">
        <v>249</v>
      </c>
      <c r="Z4514" s="2">
        <v>1</v>
      </c>
      <c r="AA4514" s="2" t="s">
        <v>82</v>
      </c>
      <c r="AB4514" s="2">
        <v>9</v>
      </c>
      <c r="AC4514" s="2" t="s">
        <v>124</v>
      </c>
      <c r="AD4514" s="2"/>
      <c r="AE4514" s="2"/>
      <c r="AF4514" s="2"/>
      <c r="AG4514" s="2"/>
      <c r="AH4514" s="2">
        <v>4</v>
      </c>
      <c r="AI4514" s="2" t="s">
        <v>125</v>
      </c>
      <c r="AJ4514" s="2">
        <v>26</v>
      </c>
      <c r="AK4514" s="2" t="s">
        <v>293</v>
      </c>
      <c r="AL4514" s="2">
        <v>23</v>
      </c>
      <c r="AM4514" s="2" t="s">
        <v>251</v>
      </c>
      <c r="AN4514" s="2"/>
      <c r="AO4514" s="2" t="s">
        <v>11465</v>
      </c>
      <c r="AP4514" s="2">
        <v>11</v>
      </c>
      <c r="AQ4514" s="2" t="s">
        <v>82</v>
      </c>
      <c r="AR4514" s="2"/>
      <c r="AS4514" s="2"/>
      <c r="AT4514" s="2" t="s">
        <v>14017</v>
      </c>
      <c r="AU4514" s="2"/>
      <c r="AV4514" s="2"/>
      <c r="AW4514" s="2"/>
      <c r="AX4514" s="2"/>
      <c r="AY4514" s="2">
        <v>41</v>
      </c>
      <c r="AZ4514" s="2" t="s">
        <v>82</v>
      </c>
      <c r="BA4514" s="2">
        <v>41</v>
      </c>
      <c r="BB4514" s="2" t="s">
        <v>82</v>
      </c>
      <c r="BC4514" s="2">
        <v>41</v>
      </c>
      <c r="BD4514" s="2" t="s">
        <v>82</v>
      </c>
      <c r="BE4514" s="2">
        <v>41</v>
      </c>
      <c r="BF4514" s="2" t="s">
        <v>82</v>
      </c>
      <c r="BG4514" s="2"/>
      <c r="BH4514" s="2"/>
      <c r="BI4514" s="2"/>
      <c r="BJ4514" s="2">
        <v>241</v>
      </c>
      <c r="BK4514" s="2" t="s">
        <v>82</v>
      </c>
      <c r="BL4514" s="2"/>
      <c r="BM4514" s="2">
        <v>241</v>
      </c>
      <c r="BN4514" s="2" t="s">
        <v>82</v>
      </c>
      <c r="BO4514" s="2"/>
      <c r="BP4514" s="2">
        <v>241</v>
      </c>
      <c r="BQ4514" s="2" t="s">
        <v>82</v>
      </c>
      <c r="BR4514" s="2"/>
      <c r="BS4514" s="3">
        <v>40484</v>
      </c>
      <c r="BT4514" s="4">
        <v>0.64274305555555555</v>
      </c>
    </row>
    <row r="4515" spans="1:72" x14ac:dyDescent="0.25">
      <c r="A4515" s="2">
        <v>6876</v>
      </c>
      <c r="B4515" s="2">
        <v>2010</v>
      </c>
      <c r="C4515" s="2" t="s">
        <v>5621</v>
      </c>
      <c r="D4515" s="2" t="s">
        <v>122</v>
      </c>
      <c r="E4515" s="2"/>
      <c r="F4515" s="2">
        <v>1</v>
      </c>
      <c r="G4515" s="2" t="s">
        <v>82</v>
      </c>
      <c r="H4515" s="2">
        <v>1</v>
      </c>
      <c r="I4515" s="2" t="s">
        <v>82</v>
      </c>
      <c r="J4515" s="2">
        <v>1</v>
      </c>
      <c r="K4515" s="2" t="s">
        <v>107</v>
      </c>
      <c r="L4515" s="2" t="s">
        <v>107</v>
      </c>
      <c r="M4515" s="3">
        <v>40484</v>
      </c>
      <c r="N4515" s="2"/>
      <c r="O4515" s="2"/>
      <c r="P4515" s="2"/>
      <c r="Q4515" s="2" t="str">
        <f>""</f>
        <v/>
      </c>
      <c r="R4515" s="2"/>
      <c r="S4515" s="2"/>
      <c r="T4515" s="2">
        <v>2</v>
      </c>
      <c r="U4515" s="2" t="s">
        <v>123</v>
      </c>
      <c r="V4515" s="2">
        <v>1</v>
      </c>
      <c r="W4515" s="2" t="s">
        <v>80</v>
      </c>
      <c r="X4515" s="2">
        <v>1</v>
      </c>
      <c r="Y4515" s="2" t="s">
        <v>81</v>
      </c>
      <c r="Z4515" s="2">
        <v>27</v>
      </c>
      <c r="AA4515" s="2" t="s">
        <v>7510</v>
      </c>
      <c r="AB4515" s="2">
        <v>9</v>
      </c>
      <c r="AC4515" s="2" t="s">
        <v>124</v>
      </c>
      <c r="AD4515" s="3">
        <v>40484</v>
      </c>
      <c r="AE4515" s="4">
        <v>0.56805555555555554</v>
      </c>
      <c r="AF4515" s="3">
        <v>40484</v>
      </c>
      <c r="AG4515" s="4">
        <v>0.63541666666666663</v>
      </c>
      <c r="AH4515" s="2">
        <v>3</v>
      </c>
      <c r="AI4515" s="2" t="s">
        <v>214</v>
      </c>
      <c r="AJ4515" s="2">
        <v>22</v>
      </c>
      <c r="AK4515" s="2" t="s">
        <v>4818</v>
      </c>
      <c r="AL4515" s="2">
        <v>25</v>
      </c>
      <c r="AM4515" s="2" t="s">
        <v>3073</v>
      </c>
      <c r="AN4515" s="2"/>
      <c r="AO4515" s="2" t="s">
        <v>14018</v>
      </c>
      <c r="AP4515" s="2">
        <v>11</v>
      </c>
      <c r="AQ4515" s="2" t="s">
        <v>82</v>
      </c>
      <c r="AR4515" s="2"/>
      <c r="AS4515" s="2"/>
      <c r="AT4515" s="2" t="s">
        <v>14019</v>
      </c>
      <c r="AU4515" s="2"/>
      <c r="AV4515" s="2"/>
      <c r="AW4515" s="2"/>
      <c r="AX4515" s="2"/>
      <c r="AY4515" s="2">
        <v>41</v>
      </c>
      <c r="AZ4515" s="2" t="s">
        <v>82</v>
      </c>
      <c r="BA4515" s="2">
        <v>41</v>
      </c>
      <c r="BB4515" s="2" t="s">
        <v>82</v>
      </c>
      <c r="BC4515" s="2">
        <v>41</v>
      </c>
      <c r="BD4515" s="2" t="s">
        <v>82</v>
      </c>
      <c r="BE4515" s="2">
        <v>41</v>
      </c>
      <c r="BF4515" s="2" t="s">
        <v>82</v>
      </c>
      <c r="BG4515" s="2"/>
      <c r="BH4515" s="2"/>
      <c r="BI4515" s="2"/>
      <c r="BJ4515" s="2">
        <v>241</v>
      </c>
      <c r="BK4515" s="2" t="s">
        <v>82</v>
      </c>
      <c r="BL4515" s="2"/>
      <c r="BM4515" s="2">
        <v>241</v>
      </c>
      <c r="BN4515" s="2" t="s">
        <v>82</v>
      </c>
      <c r="BO4515" s="2"/>
      <c r="BP4515" s="2">
        <v>241</v>
      </c>
      <c r="BQ4515" s="2" t="s">
        <v>82</v>
      </c>
      <c r="BR4515" s="2"/>
      <c r="BS4515" s="3">
        <v>40484</v>
      </c>
      <c r="BT4515" s="4">
        <v>0.71530092592592587</v>
      </c>
    </row>
    <row r="4516" spans="1:72" x14ac:dyDescent="0.25">
      <c r="A4516" s="2">
        <v>6880</v>
      </c>
      <c r="B4516" s="2">
        <v>2010</v>
      </c>
      <c r="C4516" s="2" t="s">
        <v>196</v>
      </c>
      <c r="D4516" s="2" t="s">
        <v>122</v>
      </c>
      <c r="E4516" s="2"/>
      <c r="F4516" s="2">
        <v>1</v>
      </c>
      <c r="G4516" s="2" t="s">
        <v>82</v>
      </c>
      <c r="H4516" s="2">
        <v>1</v>
      </c>
      <c r="I4516" s="2" t="s">
        <v>82</v>
      </c>
      <c r="J4516" s="2">
        <v>1</v>
      </c>
      <c r="K4516" s="2" t="s">
        <v>107</v>
      </c>
      <c r="L4516" s="2" t="s">
        <v>107</v>
      </c>
      <c r="M4516" s="3">
        <v>40484</v>
      </c>
      <c r="N4516" s="2"/>
      <c r="O4516" s="2"/>
      <c r="P4516" s="2"/>
      <c r="Q4516" s="2" t="str">
        <f>""</f>
        <v/>
      </c>
      <c r="R4516" s="2"/>
      <c r="S4516" s="2"/>
      <c r="T4516" s="2">
        <v>2</v>
      </c>
      <c r="U4516" s="2" t="s">
        <v>123</v>
      </c>
      <c r="V4516" s="2">
        <v>1</v>
      </c>
      <c r="W4516" s="2" t="s">
        <v>80</v>
      </c>
      <c r="X4516" s="2">
        <v>11</v>
      </c>
      <c r="Y4516" s="2" t="s">
        <v>1920</v>
      </c>
      <c r="Z4516" s="2">
        <v>10</v>
      </c>
      <c r="AA4516" s="2" t="s">
        <v>236</v>
      </c>
      <c r="AB4516" s="2">
        <v>9</v>
      </c>
      <c r="AC4516" s="2" t="s">
        <v>124</v>
      </c>
      <c r="AD4516" s="3">
        <v>40484</v>
      </c>
      <c r="AE4516" s="2"/>
      <c r="AF4516" s="2"/>
      <c r="AG4516" s="2"/>
      <c r="AH4516" s="2">
        <v>3</v>
      </c>
      <c r="AI4516" s="2" t="s">
        <v>214</v>
      </c>
      <c r="AJ4516" s="2">
        <v>24</v>
      </c>
      <c r="AK4516" s="2" t="s">
        <v>215</v>
      </c>
      <c r="AL4516" s="2">
        <v>25</v>
      </c>
      <c r="AM4516" s="2" t="s">
        <v>3073</v>
      </c>
      <c r="AN4516" s="2"/>
      <c r="AO4516" s="2" t="s">
        <v>230</v>
      </c>
      <c r="AP4516" s="2">
        <v>11</v>
      </c>
      <c r="AQ4516" s="2" t="s">
        <v>82</v>
      </c>
      <c r="AR4516" s="2"/>
      <c r="AS4516" s="2"/>
      <c r="AT4516" s="2" t="s">
        <v>14020</v>
      </c>
      <c r="AU4516" s="2"/>
      <c r="AV4516" s="2"/>
      <c r="AW4516" s="2"/>
      <c r="AX4516" s="2"/>
      <c r="AY4516" s="2">
        <v>41</v>
      </c>
      <c r="AZ4516" s="2" t="s">
        <v>82</v>
      </c>
      <c r="BA4516" s="2">
        <v>41</v>
      </c>
      <c r="BB4516" s="2" t="s">
        <v>82</v>
      </c>
      <c r="BC4516" s="2">
        <v>70</v>
      </c>
      <c r="BD4516" s="2" t="s">
        <v>236</v>
      </c>
      <c r="BE4516" s="2">
        <v>41</v>
      </c>
      <c r="BF4516" s="2" t="s">
        <v>82</v>
      </c>
      <c r="BG4516" s="2"/>
      <c r="BH4516" s="2"/>
      <c r="BI4516" s="2"/>
      <c r="BJ4516" s="2">
        <v>241</v>
      </c>
      <c r="BK4516" s="2" t="s">
        <v>82</v>
      </c>
      <c r="BL4516" s="2"/>
      <c r="BM4516" s="2">
        <v>241</v>
      </c>
      <c r="BN4516" s="2" t="s">
        <v>82</v>
      </c>
      <c r="BO4516" s="2"/>
      <c r="BP4516" s="2">
        <v>241</v>
      </c>
      <c r="BQ4516" s="2" t="s">
        <v>82</v>
      </c>
      <c r="BR4516" s="2"/>
      <c r="BS4516" s="3">
        <v>40484</v>
      </c>
      <c r="BT4516" s="4">
        <v>0.78606481481481483</v>
      </c>
    </row>
    <row r="4517" spans="1:72" x14ac:dyDescent="0.25">
      <c r="A4517" s="2">
        <v>6882</v>
      </c>
      <c r="B4517" s="2">
        <v>2010</v>
      </c>
      <c r="C4517" s="2" t="s">
        <v>72</v>
      </c>
      <c r="D4517" s="2" t="s">
        <v>73</v>
      </c>
      <c r="E4517" s="2"/>
      <c r="F4517" s="2">
        <v>168</v>
      </c>
      <c r="G4517" s="2" t="s">
        <v>703</v>
      </c>
      <c r="H4517" s="2">
        <v>42</v>
      </c>
      <c r="I4517" s="2" t="s">
        <v>1096</v>
      </c>
      <c r="J4517" s="2">
        <v>656</v>
      </c>
      <c r="K4517" s="2" t="s">
        <v>11603</v>
      </c>
      <c r="L4517" s="2" t="s">
        <v>4885</v>
      </c>
      <c r="M4517" s="3">
        <v>40484</v>
      </c>
      <c r="N4517" s="2" t="s">
        <v>14021</v>
      </c>
      <c r="O4517" s="2" t="s">
        <v>82</v>
      </c>
      <c r="P4517" s="2" t="s">
        <v>82</v>
      </c>
      <c r="Q4517" s="2" t="str">
        <f>"430-A/10"</f>
        <v>430-A/10</v>
      </c>
      <c r="R4517" s="2" t="s">
        <v>78</v>
      </c>
      <c r="S4517" s="2" t="s">
        <v>78</v>
      </c>
      <c r="T4517" s="2">
        <v>1</v>
      </c>
      <c r="U4517" s="2" t="s">
        <v>79</v>
      </c>
      <c r="V4517" s="2">
        <v>1</v>
      </c>
      <c r="W4517" s="2" t="s">
        <v>80</v>
      </c>
      <c r="X4517" s="2">
        <v>12</v>
      </c>
      <c r="Y4517" s="2" t="s">
        <v>148</v>
      </c>
      <c r="Z4517" s="2">
        <v>1</v>
      </c>
      <c r="AA4517" s="2" t="s">
        <v>82</v>
      </c>
      <c r="AB4517" s="2">
        <v>6</v>
      </c>
      <c r="AC4517" s="2" t="s">
        <v>83</v>
      </c>
      <c r="AD4517" s="3">
        <v>40484</v>
      </c>
      <c r="AE4517" s="2"/>
      <c r="AF4517" s="3">
        <v>40484</v>
      </c>
      <c r="AG4517" s="4">
        <v>0.4236111111111111</v>
      </c>
      <c r="AH4517" s="2">
        <v>2</v>
      </c>
      <c r="AI4517" s="2" t="s">
        <v>84</v>
      </c>
      <c r="AJ4517" s="2">
        <v>12</v>
      </c>
      <c r="AK4517" s="2" t="s">
        <v>85</v>
      </c>
      <c r="AL4517" s="2">
        <v>13</v>
      </c>
      <c r="AM4517" s="2" t="s">
        <v>117</v>
      </c>
      <c r="AN4517" s="2" t="s">
        <v>82</v>
      </c>
      <c r="AO4517" s="2" t="s">
        <v>14022</v>
      </c>
      <c r="AP4517" s="2">
        <v>11</v>
      </c>
      <c r="AQ4517" s="2" t="s">
        <v>82</v>
      </c>
      <c r="AR4517" s="2"/>
      <c r="AS4517" s="2"/>
      <c r="AT4517" s="2" t="s">
        <v>14023</v>
      </c>
      <c r="AU4517" s="2"/>
      <c r="AV4517" s="2"/>
      <c r="AW4517" s="2"/>
      <c r="AX4517" s="2"/>
      <c r="AY4517" s="2">
        <v>41</v>
      </c>
      <c r="AZ4517" s="2" t="s">
        <v>82</v>
      </c>
      <c r="BA4517" s="2">
        <v>41</v>
      </c>
      <c r="BB4517" s="2" t="s">
        <v>82</v>
      </c>
      <c r="BC4517" s="2">
        <v>41</v>
      </c>
      <c r="BD4517" s="2" t="s">
        <v>82</v>
      </c>
      <c r="BE4517" s="2">
        <v>41</v>
      </c>
      <c r="BF4517" s="2" t="s">
        <v>82</v>
      </c>
      <c r="BG4517" s="2"/>
      <c r="BH4517" s="2"/>
      <c r="BI4517" s="2"/>
      <c r="BJ4517" s="2">
        <v>241</v>
      </c>
      <c r="BK4517" s="2" t="s">
        <v>82</v>
      </c>
      <c r="BL4517" s="2"/>
      <c r="BM4517" s="2">
        <v>241</v>
      </c>
      <c r="BN4517" s="2" t="s">
        <v>82</v>
      </c>
      <c r="BO4517" s="2"/>
      <c r="BP4517" s="2">
        <v>241</v>
      </c>
      <c r="BQ4517" s="2" t="s">
        <v>82</v>
      </c>
      <c r="BR4517" s="2"/>
      <c r="BS4517" s="3">
        <v>40484</v>
      </c>
      <c r="BT4517" s="4">
        <v>0.802800925925926</v>
      </c>
    </row>
    <row r="4518" spans="1:72" x14ac:dyDescent="0.25">
      <c r="A4518" s="2">
        <v>6883</v>
      </c>
      <c r="B4518" s="2">
        <v>2010</v>
      </c>
      <c r="C4518" s="2" t="s">
        <v>806</v>
      </c>
      <c r="D4518" s="2" t="s">
        <v>73</v>
      </c>
      <c r="E4518" s="2"/>
      <c r="F4518" s="2">
        <v>54</v>
      </c>
      <c r="G4518" s="2" t="s">
        <v>2963</v>
      </c>
      <c r="H4518" s="2">
        <v>89</v>
      </c>
      <c r="I4518" s="2" t="s">
        <v>5137</v>
      </c>
      <c r="J4518" s="2">
        <v>516</v>
      </c>
      <c r="K4518" s="2" t="s">
        <v>5138</v>
      </c>
      <c r="L4518" s="2" t="s">
        <v>5139</v>
      </c>
      <c r="M4518" s="3">
        <v>40484</v>
      </c>
      <c r="N4518" s="2" t="s">
        <v>14024</v>
      </c>
      <c r="O4518" s="2" t="s">
        <v>12316</v>
      </c>
      <c r="P4518" s="2" t="s">
        <v>12277</v>
      </c>
      <c r="Q4518" s="2" t="str">
        <f>"S/D"</f>
        <v>S/D</v>
      </c>
      <c r="R4518" s="2" t="s">
        <v>107</v>
      </c>
      <c r="S4518" s="2" t="s">
        <v>107</v>
      </c>
      <c r="T4518" s="2">
        <v>1</v>
      </c>
      <c r="U4518" s="2" t="s">
        <v>79</v>
      </c>
      <c r="V4518" s="2">
        <v>1</v>
      </c>
      <c r="W4518" s="2" t="s">
        <v>80</v>
      </c>
      <c r="X4518" s="2">
        <v>7</v>
      </c>
      <c r="Y4518" s="2" t="s">
        <v>1964</v>
      </c>
      <c r="Z4518" s="2">
        <v>1</v>
      </c>
      <c r="AA4518" s="2" t="s">
        <v>82</v>
      </c>
      <c r="AB4518" s="2">
        <v>9</v>
      </c>
      <c r="AC4518" s="2" t="s">
        <v>124</v>
      </c>
      <c r="AD4518" s="3">
        <v>40483</v>
      </c>
      <c r="AE4518" s="4">
        <v>0.82291666666666663</v>
      </c>
      <c r="AF4518" s="3">
        <v>40483</v>
      </c>
      <c r="AG4518" s="4">
        <v>0.75</v>
      </c>
      <c r="AH4518" s="2">
        <v>7</v>
      </c>
      <c r="AI4518" s="2" t="s">
        <v>801</v>
      </c>
      <c r="AJ4518" s="2">
        <v>3</v>
      </c>
      <c r="AK4518" s="2" t="s">
        <v>802</v>
      </c>
      <c r="AL4518" s="2">
        <v>23</v>
      </c>
      <c r="AM4518" s="2" t="s">
        <v>251</v>
      </c>
      <c r="AN4518" s="2" t="s">
        <v>107</v>
      </c>
      <c r="AO4518" s="2" t="s">
        <v>14025</v>
      </c>
      <c r="AP4518" s="2">
        <v>11</v>
      </c>
      <c r="AQ4518" s="2" t="s">
        <v>82</v>
      </c>
      <c r="AR4518" s="2"/>
      <c r="AS4518" s="2"/>
      <c r="AT4518" s="2" t="s">
        <v>14026</v>
      </c>
      <c r="AU4518" s="2">
        <v>1</v>
      </c>
      <c r="AV4518" s="2"/>
      <c r="AW4518" s="2"/>
      <c r="AX4518" s="2"/>
      <c r="AY4518" s="2">
        <v>41</v>
      </c>
      <c r="AZ4518" s="2" t="s">
        <v>82</v>
      </c>
      <c r="BA4518" s="2">
        <v>41</v>
      </c>
      <c r="BB4518" s="2" t="s">
        <v>82</v>
      </c>
      <c r="BC4518" s="2">
        <v>41</v>
      </c>
      <c r="BD4518" s="2" t="s">
        <v>82</v>
      </c>
      <c r="BE4518" s="2">
        <v>41</v>
      </c>
      <c r="BF4518" s="2" t="s">
        <v>82</v>
      </c>
      <c r="BG4518" s="2"/>
      <c r="BH4518" s="2"/>
      <c r="BI4518" s="2"/>
      <c r="BJ4518" s="2">
        <v>241</v>
      </c>
      <c r="BK4518" s="2" t="s">
        <v>82</v>
      </c>
      <c r="BL4518" s="2"/>
      <c r="BM4518" s="2">
        <v>241</v>
      </c>
      <c r="BN4518" s="2" t="s">
        <v>82</v>
      </c>
      <c r="BO4518" s="2"/>
      <c r="BP4518" s="2">
        <v>241</v>
      </c>
      <c r="BQ4518" s="2" t="s">
        <v>82</v>
      </c>
      <c r="BR4518" s="2"/>
      <c r="BS4518" s="3">
        <v>40484</v>
      </c>
      <c r="BT4518" s="4">
        <v>0.82398148148148154</v>
      </c>
    </row>
    <row r="4519" spans="1:72" x14ac:dyDescent="0.25">
      <c r="A4519" s="2">
        <v>6884</v>
      </c>
      <c r="B4519" s="2">
        <v>2010</v>
      </c>
      <c r="C4519" s="2" t="s">
        <v>72</v>
      </c>
      <c r="D4519" s="2" t="s">
        <v>73</v>
      </c>
      <c r="E4519" s="2"/>
      <c r="F4519" s="2">
        <v>168</v>
      </c>
      <c r="G4519" s="2" t="s">
        <v>703</v>
      </c>
      <c r="H4519" s="2">
        <v>42</v>
      </c>
      <c r="I4519" s="2" t="s">
        <v>1096</v>
      </c>
      <c r="J4519" s="2">
        <v>656</v>
      </c>
      <c r="K4519" s="2" t="s">
        <v>11603</v>
      </c>
      <c r="L4519" s="2" t="s">
        <v>4885</v>
      </c>
      <c r="M4519" s="3">
        <v>40484</v>
      </c>
      <c r="N4519" s="2" t="s">
        <v>14021</v>
      </c>
      <c r="O4519" s="2" t="s">
        <v>82</v>
      </c>
      <c r="P4519" s="2" t="s">
        <v>82</v>
      </c>
      <c r="Q4519" s="2" t="str">
        <f>"431-A/10"</f>
        <v>431-A/10</v>
      </c>
      <c r="R4519" s="2" t="s">
        <v>78</v>
      </c>
      <c r="S4519" s="2" t="s">
        <v>78</v>
      </c>
      <c r="T4519" s="2">
        <v>1</v>
      </c>
      <c r="U4519" s="2" t="s">
        <v>79</v>
      </c>
      <c r="V4519" s="2">
        <v>1</v>
      </c>
      <c r="W4519" s="2" t="s">
        <v>80</v>
      </c>
      <c r="X4519" s="2">
        <v>12</v>
      </c>
      <c r="Y4519" s="2" t="s">
        <v>148</v>
      </c>
      <c r="Z4519" s="2">
        <v>1</v>
      </c>
      <c r="AA4519" s="2" t="s">
        <v>82</v>
      </c>
      <c r="AB4519" s="2">
        <v>6</v>
      </c>
      <c r="AC4519" s="2" t="s">
        <v>83</v>
      </c>
      <c r="AD4519" s="3">
        <v>40484</v>
      </c>
      <c r="AE4519" s="2"/>
      <c r="AF4519" s="3">
        <v>40484</v>
      </c>
      <c r="AG4519" s="4">
        <v>0.63263888888888886</v>
      </c>
      <c r="AH4519" s="2">
        <v>2</v>
      </c>
      <c r="AI4519" s="2" t="s">
        <v>84</v>
      </c>
      <c r="AJ4519" s="2">
        <v>12</v>
      </c>
      <c r="AK4519" s="2" t="s">
        <v>85</v>
      </c>
      <c r="AL4519" s="2">
        <v>12</v>
      </c>
      <c r="AM4519" s="2" t="s">
        <v>86</v>
      </c>
      <c r="AN4519" s="2" t="s">
        <v>816</v>
      </c>
      <c r="AO4519" s="2" t="s">
        <v>14027</v>
      </c>
      <c r="AP4519" s="2">
        <v>11</v>
      </c>
      <c r="AQ4519" s="2" t="s">
        <v>82</v>
      </c>
      <c r="AR4519" s="2"/>
      <c r="AS4519" s="2"/>
      <c r="AT4519" s="2" t="s">
        <v>14028</v>
      </c>
      <c r="AU4519" s="2"/>
      <c r="AV4519" s="2"/>
      <c r="AW4519" s="2"/>
      <c r="AX4519" s="2"/>
      <c r="AY4519" s="2">
        <v>41</v>
      </c>
      <c r="AZ4519" s="2" t="s">
        <v>82</v>
      </c>
      <c r="BA4519" s="2">
        <v>41</v>
      </c>
      <c r="BB4519" s="2" t="s">
        <v>82</v>
      </c>
      <c r="BC4519" s="2">
        <v>41</v>
      </c>
      <c r="BD4519" s="2" t="s">
        <v>82</v>
      </c>
      <c r="BE4519" s="2">
        <v>41</v>
      </c>
      <c r="BF4519" s="2" t="s">
        <v>82</v>
      </c>
      <c r="BG4519" s="2"/>
      <c r="BH4519" s="2"/>
      <c r="BI4519" s="2"/>
      <c r="BJ4519" s="2">
        <v>241</v>
      </c>
      <c r="BK4519" s="2" t="s">
        <v>82</v>
      </c>
      <c r="BL4519" s="2"/>
      <c r="BM4519" s="2">
        <v>241</v>
      </c>
      <c r="BN4519" s="2" t="s">
        <v>82</v>
      </c>
      <c r="BO4519" s="2"/>
      <c r="BP4519" s="2">
        <v>241</v>
      </c>
      <c r="BQ4519" s="2" t="s">
        <v>82</v>
      </c>
      <c r="BR4519" s="2"/>
      <c r="BS4519" s="3">
        <v>40484</v>
      </c>
      <c r="BT4519" s="4">
        <v>0.82725694444444453</v>
      </c>
    </row>
    <row r="4520" spans="1:72" x14ac:dyDescent="0.25">
      <c r="A4520" s="2">
        <v>6886</v>
      </c>
      <c r="B4520" s="2">
        <v>2010</v>
      </c>
      <c r="C4520" s="2" t="s">
        <v>806</v>
      </c>
      <c r="D4520" s="2" t="s">
        <v>73</v>
      </c>
      <c r="E4520" s="2"/>
      <c r="F4520" s="2">
        <v>714</v>
      </c>
      <c r="G4520" s="2" t="s">
        <v>14029</v>
      </c>
      <c r="H4520" s="2">
        <v>50</v>
      </c>
      <c r="I4520" s="2" t="s">
        <v>107</v>
      </c>
      <c r="J4520" s="2">
        <v>698</v>
      </c>
      <c r="K4520" s="2" t="s">
        <v>169</v>
      </c>
      <c r="L4520" s="2" t="s">
        <v>14030</v>
      </c>
      <c r="M4520" s="3">
        <v>40484</v>
      </c>
      <c r="N4520" s="2" t="s">
        <v>107</v>
      </c>
      <c r="O4520" s="2" t="s">
        <v>14031</v>
      </c>
      <c r="P4520" s="2" t="s">
        <v>14032</v>
      </c>
      <c r="Q4520" s="2" t="str">
        <f>"S/D"</f>
        <v>S/D</v>
      </c>
      <c r="R4520" s="2" t="s">
        <v>107</v>
      </c>
      <c r="S4520" s="2" t="s">
        <v>107</v>
      </c>
      <c r="T4520" s="2">
        <v>1</v>
      </c>
      <c r="U4520" s="2" t="s">
        <v>79</v>
      </c>
      <c r="V4520" s="2">
        <v>3</v>
      </c>
      <c r="W4520" s="2" t="s">
        <v>225</v>
      </c>
      <c r="X4520" s="2">
        <v>6</v>
      </c>
      <c r="Y4520" s="2" t="s">
        <v>249</v>
      </c>
      <c r="Z4520" s="2">
        <v>1</v>
      </c>
      <c r="AA4520" s="2" t="s">
        <v>82</v>
      </c>
      <c r="AB4520" s="2">
        <v>9</v>
      </c>
      <c r="AC4520" s="2" t="s">
        <v>124</v>
      </c>
      <c r="AD4520" s="2"/>
      <c r="AE4520" s="2"/>
      <c r="AF4520" s="3">
        <v>40484</v>
      </c>
      <c r="AG4520" s="4">
        <v>0.44444444444444442</v>
      </c>
      <c r="AH4520" s="2">
        <v>7</v>
      </c>
      <c r="AI4520" s="2" t="s">
        <v>801</v>
      </c>
      <c r="AJ4520" s="2">
        <v>3</v>
      </c>
      <c r="AK4520" s="2" t="s">
        <v>802</v>
      </c>
      <c r="AL4520" s="2">
        <v>23</v>
      </c>
      <c r="AM4520" s="2" t="s">
        <v>251</v>
      </c>
      <c r="AN4520" s="2" t="s">
        <v>107</v>
      </c>
      <c r="AO4520" s="2" t="s">
        <v>107</v>
      </c>
      <c r="AP4520" s="2">
        <v>11</v>
      </c>
      <c r="AQ4520" s="2" t="s">
        <v>82</v>
      </c>
      <c r="AR4520" s="2"/>
      <c r="AS4520" s="2"/>
      <c r="AT4520" s="2" t="s">
        <v>14033</v>
      </c>
      <c r="AU4520" s="2"/>
      <c r="AV4520" s="2"/>
      <c r="AW4520" s="2"/>
      <c r="AX4520" s="2"/>
      <c r="AY4520" s="2">
        <v>41</v>
      </c>
      <c r="AZ4520" s="2" t="s">
        <v>82</v>
      </c>
      <c r="BA4520" s="2">
        <v>41</v>
      </c>
      <c r="BB4520" s="2" t="s">
        <v>82</v>
      </c>
      <c r="BC4520" s="2">
        <v>41</v>
      </c>
      <c r="BD4520" s="2" t="s">
        <v>82</v>
      </c>
      <c r="BE4520" s="2">
        <v>41</v>
      </c>
      <c r="BF4520" s="2" t="s">
        <v>82</v>
      </c>
      <c r="BG4520" s="2"/>
      <c r="BH4520" s="2"/>
      <c r="BI4520" s="2"/>
      <c r="BJ4520" s="2">
        <v>241</v>
      </c>
      <c r="BK4520" s="2" t="s">
        <v>82</v>
      </c>
      <c r="BL4520" s="2"/>
      <c r="BM4520" s="2">
        <v>241</v>
      </c>
      <c r="BN4520" s="2" t="s">
        <v>82</v>
      </c>
      <c r="BO4520" s="2"/>
      <c r="BP4520" s="2">
        <v>241</v>
      </c>
      <c r="BQ4520" s="2" t="s">
        <v>82</v>
      </c>
      <c r="BR4520" s="2"/>
      <c r="BS4520" s="3">
        <v>40484</v>
      </c>
      <c r="BT4520" s="4">
        <v>0.84418981481481481</v>
      </c>
    </row>
    <row r="4521" spans="1:72" x14ac:dyDescent="0.25">
      <c r="A4521" s="2">
        <v>6887</v>
      </c>
      <c r="B4521" s="2">
        <v>2010</v>
      </c>
      <c r="C4521" s="2" t="s">
        <v>196</v>
      </c>
      <c r="D4521" s="2" t="s">
        <v>122</v>
      </c>
      <c r="E4521" s="2"/>
      <c r="F4521" s="2">
        <v>1</v>
      </c>
      <c r="G4521" s="2" t="s">
        <v>82</v>
      </c>
      <c r="H4521" s="2">
        <v>1</v>
      </c>
      <c r="I4521" s="2" t="s">
        <v>82</v>
      </c>
      <c r="J4521" s="2">
        <v>1</v>
      </c>
      <c r="K4521" s="2" t="s">
        <v>107</v>
      </c>
      <c r="L4521" s="2" t="s">
        <v>107</v>
      </c>
      <c r="M4521" s="3">
        <v>40484</v>
      </c>
      <c r="N4521" s="2"/>
      <c r="O4521" s="2" t="s">
        <v>107</v>
      </c>
      <c r="P4521" s="2" t="s">
        <v>107</v>
      </c>
      <c r="Q4521" s="2" t="str">
        <f>""</f>
        <v/>
      </c>
      <c r="R4521" s="2"/>
      <c r="S4521" s="2"/>
      <c r="T4521" s="2">
        <v>2</v>
      </c>
      <c r="U4521" s="2" t="s">
        <v>123</v>
      </c>
      <c r="V4521" s="2">
        <v>1</v>
      </c>
      <c r="W4521" s="2" t="s">
        <v>80</v>
      </c>
      <c r="X4521" s="2">
        <v>11</v>
      </c>
      <c r="Y4521" s="2" t="s">
        <v>1920</v>
      </c>
      <c r="Z4521" s="2">
        <v>10</v>
      </c>
      <c r="AA4521" s="2" t="s">
        <v>236</v>
      </c>
      <c r="AB4521" s="2">
        <v>9</v>
      </c>
      <c r="AC4521" s="2" t="s">
        <v>124</v>
      </c>
      <c r="AD4521" s="3">
        <v>40484</v>
      </c>
      <c r="AE4521" s="4">
        <v>0.80555555555555547</v>
      </c>
      <c r="AF4521" s="2"/>
      <c r="AG4521" s="2"/>
      <c r="AH4521" s="2">
        <v>3</v>
      </c>
      <c r="AI4521" s="2" t="s">
        <v>214</v>
      </c>
      <c r="AJ4521" s="2">
        <v>24</v>
      </c>
      <c r="AK4521" s="2" t="s">
        <v>215</v>
      </c>
      <c r="AL4521" s="2">
        <v>25</v>
      </c>
      <c r="AM4521" s="2" t="s">
        <v>3073</v>
      </c>
      <c r="AN4521" s="2"/>
      <c r="AO4521" s="2" t="s">
        <v>230</v>
      </c>
      <c r="AP4521" s="2">
        <v>11</v>
      </c>
      <c r="AQ4521" s="2" t="s">
        <v>82</v>
      </c>
      <c r="AR4521" s="2"/>
      <c r="AS4521" s="2"/>
      <c r="AT4521" s="2" t="s">
        <v>14034</v>
      </c>
      <c r="AU4521" s="2"/>
      <c r="AV4521" s="2"/>
      <c r="AW4521" s="2"/>
      <c r="AX4521" s="2"/>
      <c r="AY4521" s="2">
        <v>41</v>
      </c>
      <c r="AZ4521" s="2" t="s">
        <v>82</v>
      </c>
      <c r="BA4521" s="2">
        <v>41</v>
      </c>
      <c r="BB4521" s="2" t="s">
        <v>82</v>
      </c>
      <c r="BC4521" s="2">
        <v>70</v>
      </c>
      <c r="BD4521" s="2" t="s">
        <v>236</v>
      </c>
      <c r="BE4521" s="2">
        <v>41</v>
      </c>
      <c r="BF4521" s="2" t="s">
        <v>82</v>
      </c>
      <c r="BG4521" s="2"/>
      <c r="BH4521" s="2"/>
      <c r="BI4521" s="2"/>
      <c r="BJ4521" s="2">
        <v>241</v>
      </c>
      <c r="BK4521" s="2" t="s">
        <v>82</v>
      </c>
      <c r="BL4521" s="2"/>
      <c r="BM4521" s="2">
        <v>241</v>
      </c>
      <c r="BN4521" s="2" t="s">
        <v>82</v>
      </c>
      <c r="BO4521" s="2"/>
      <c r="BP4521" s="2">
        <v>241</v>
      </c>
      <c r="BQ4521" s="2" t="s">
        <v>82</v>
      </c>
      <c r="BR4521" s="2"/>
      <c r="BS4521" s="3">
        <v>40484</v>
      </c>
      <c r="BT4521" s="4">
        <v>0.85538194444444438</v>
      </c>
    </row>
    <row r="4522" spans="1:72" x14ac:dyDescent="0.25">
      <c r="A4522" s="2">
        <v>6888</v>
      </c>
      <c r="B4522" s="2">
        <v>2010</v>
      </c>
      <c r="C4522" s="2" t="s">
        <v>196</v>
      </c>
      <c r="D4522" s="2" t="s">
        <v>122</v>
      </c>
      <c r="E4522" s="2"/>
      <c r="F4522" s="2">
        <v>1</v>
      </c>
      <c r="G4522" s="2" t="s">
        <v>82</v>
      </c>
      <c r="H4522" s="2">
        <v>1</v>
      </c>
      <c r="I4522" s="2" t="s">
        <v>82</v>
      </c>
      <c r="J4522" s="2">
        <v>1</v>
      </c>
      <c r="K4522" s="2" t="s">
        <v>107</v>
      </c>
      <c r="L4522" s="2" t="s">
        <v>107</v>
      </c>
      <c r="M4522" s="3">
        <v>40484</v>
      </c>
      <c r="N4522" s="2"/>
      <c r="O4522" s="2"/>
      <c r="P4522" s="2"/>
      <c r="Q4522" s="2" t="str">
        <f>""</f>
        <v/>
      </c>
      <c r="R4522" s="2"/>
      <c r="S4522" s="2"/>
      <c r="T4522" s="2">
        <v>2</v>
      </c>
      <c r="U4522" s="2" t="s">
        <v>123</v>
      </c>
      <c r="V4522" s="2">
        <v>1</v>
      </c>
      <c r="W4522" s="2" t="s">
        <v>80</v>
      </c>
      <c r="X4522" s="2">
        <v>11</v>
      </c>
      <c r="Y4522" s="2" t="s">
        <v>1920</v>
      </c>
      <c r="Z4522" s="2">
        <v>1</v>
      </c>
      <c r="AA4522" s="2" t="s">
        <v>82</v>
      </c>
      <c r="AB4522" s="2">
        <v>9</v>
      </c>
      <c r="AC4522" s="2" t="s">
        <v>124</v>
      </c>
      <c r="AD4522" s="3">
        <v>40484</v>
      </c>
      <c r="AE4522" s="4">
        <v>0.67291666666666661</v>
      </c>
      <c r="AF4522" s="2"/>
      <c r="AG4522" s="2"/>
      <c r="AH4522" s="2">
        <v>2</v>
      </c>
      <c r="AI4522" s="2" t="s">
        <v>84</v>
      </c>
      <c r="AJ4522" s="2">
        <v>12</v>
      </c>
      <c r="AK4522" s="2" t="s">
        <v>85</v>
      </c>
      <c r="AL4522" s="2">
        <v>20</v>
      </c>
      <c r="AM4522" s="2" t="s">
        <v>992</v>
      </c>
      <c r="AN4522" s="2" t="s">
        <v>14035</v>
      </c>
      <c r="AO4522" s="2" t="s">
        <v>14036</v>
      </c>
      <c r="AP4522" s="2">
        <v>11</v>
      </c>
      <c r="AQ4522" s="2" t="s">
        <v>82</v>
      </c>
      <c r="AR4522" s="2"/>
      <c r="AS4522" s="2"/>
      <c r="AT4522" s="2" t="s">
        <v>14037</v>
      </c>
      <c r="AU4522" s="2"/>
      <c r="AV4522" s="2"/>
      <c r="AW4522" s="2"/>
      <c r="AX4522" s="2"/>
      <c r="AY4522" s="2">
        <v>41</v>
      </c>
      <c r="AZ4522" s="2" t="s">
        <v>82</v>
      </c>
      <c r="BA4522" s="2">
        <v>41</v>
      </c>
      <c r="BB4522" s="2" t="s">
        <v>82</v>
      </c>
      <c r="BC4522" s="2">
        <v>70</v>
      </c>
      <c r="BD4522" s="2" t="s">
        <v>236</v>
      </c>
      <c r="BE4522" s="2">
        <v>41</v>
      </c>
      <c r="BF4522" s="2" t="s">
        <v>82</v>
      </c>
      <c r="BG4522" s="2"/>
      <c r="BH4522" s="4">
        <v>0.67291666666666661</v>
      </c>
      <c r="BI4522" s="4">
        <v>0.68263888888888891</v>
      </c>
      <c r="BJ4522" s="2">
        <v>13</v>
      </c>
      <c r="BK4522" s="2" t="s">
        <v>91</v>
      </c>
      <c r="BL4522" s="2" t="s">
        <v>185</v>
      </c>
      <c r="BM4522" s="2">
        <v>241</v>
      </c>
      <c r="BN4522" s="2" t="s">
        <v>82</v>
      </c>
      <c r="BO4522" s="2"/>
      <c r="BP4522" s="2">
        <v>13</v>
      </c>
      <c r="BQ4522" s="2" t="s">
        <v>91</v>
      </c>
      <c r="BR4522" s="2" t="s">
        <v>169</v>
      </c>
      <c r="BS4522" s="3">
        <v>40484</v>
      </c>
      <c r="BT4522" s="4">
        <v>0.88077546296296294</v>
      </c>
    </row>
    <row r="4523" spans="1:72" x14ac:dyDescent="0.25">
      <c r="A4523" s="2">
        <v>6892</v>
      </c>
      <c r="B4523" s="2">
        <v>2010</v>
      </c>
      <c r="C4523" s="2" t="s">
        <v>72</v>
      </c>
      <c r="D4523" s="2" t="s">
        <v>73</v>
      </c>
      <c r="E4523" s="2"/>
      <c r="F4523" s="2">
        <v>28</v>
      </c>
      <c r="G4523" s="2" t="s">
        <v>784</v>
      </c>
      <c r="H4523" s="2">
        <v>1</v>
      </c>
      <c r="I4523" s="2" t="s">
        <v>82</v>
      </c>
      <c r="J4523" s="2">
        <v>37</v>
      </c>
      <c r="K4523" s="2" t="s">
        <v>785</v>
      </c>
      <c r="L4523" s="2" t="s">
        <v>786</v>
      </c>
      <c r="M4523" s="3">
        <v>40485</v>
      </c>
      <c r="N4523" s="2"/>
      <c r="O4523" s="2"/>
      <c r="P4523" s="2"/>
      <c r="Q4523" s="2" t="str">
        <f>"016-M/10"</f>
        <v>016-M/10</v>
      </c>
      <c r="R4523" s="2" t="s">
        <v>78</v>
      </c>
      <c r="S4523" s="2" t="s">
        <v>78</v>
      </c>
      <c r="T4523" s="2">
        <v>1</v>
      </c>
      <c r="U4523" s="2" t="s">
        <v>79</v>
      </c>
      <c r="V4523" s="2">
        <v>1</v>
      </c>
      <c r="W4523" s="2" t="s">
        <v>80</v>
      </c>
      <c r="X4523" s="2">
        <v>12</v>
      </c>
      <c r="Y4523" s="2" t="s">
        <v>148</v>
      </c>
      <c r="Z4523" s="2">
        <v>1</v>
      </c>
      <c r="AA4523" s="2" t="s">
        <v>82</v>
      </c>
      <c r="AB4523" s="2">
        <v>6</v>
      </c>
      <c r="AC4523" s="2" t="s">
        <v>83</v>
      </c>
      <c r="AD4523" s="3">
        <v>40479</v>
      </c>
      <c r="AE4523" s="2"/>
      <c r="AF4523" s="3">
        <v>40484</v>
      </c>
      <c r="AG4523" s="4">
        <v>0.73611111111111116</v>
      </c>
      <c r="AH4523" s="2">
        <v>2</v>
      </c>
      <c r="AI4523" s="2" t="s">
        <v>84</v>
      </c>
      <c r="AJ4523" s="2">
        <v>8</v>
      </c>
      <c r="AK4523" s="2" t="s">
        <v>436</v>
      </c>
      <c r="AL4523" s="2">
        <v>22</v>
      </c>
      <c r="AM4523" s="2" t="s">
        <v>1853</v>
      </c>
      <c r="AN4523" s="2" t="s">
        <v>14038</v>
      </c>
      <c r="AO4523" s="2" t="s">
        <v>14039</v>
      </c>
      <c r="AP4523" s="2">
        <v>11</v>
      </c>
      <c r="AQ4523" s="2" t="s">
        <v>82</v>
      </c>
      <c r="AR4523" s="2"/>
      <c r="AS4523" s="2"/>
      <c r="AT4523" s="2" t="s">
        <v>14040</v>
      </c>
      <c r="AU4523" s="2"/>
      <c r="AV4523" s="2"/>
      <c r="AW4523" s="2"/>
      <c r="AX4523" s="2"/>
      <c r="AY4523" s="2">
        <v>41</v>
      </c>
      <c r="AZ4523" s="2" t="s">
        <v>82</v>
      </c>
      <c r="BA4523" s="2">
        <v>41</v>
      </c>
      <c r="BB4523" s="2" t="s">
        <v>82</v>
      </c>
      <c r="BC4523" s="2">
        <v>41</v>
      </c>
      <c r="BD4523" s="2" t="s">
        <v>82</v>
      </c>
      <c r="BE4523" s="2">
        <v>23</v>
      </c>
      <c r="BF4523" s="2" t="s">
        <v>183</v>
      </c>
      <c r="BG4523" s="2" t="s">
        <v>11357</v>
      </c>
      <c r="BH4523" s="4">
        <v>0.34375</v>
      </c>
      <c r="BI4523" s="2"/>
      <c r="BJ4523" s="2">
        <v>73</v>
      </c>
      <c r="BK4523" s="2" t="s">
        <v>186</v>
      </c>
      <c r="BL4523" s="2" t="s">
        <v>187</v>
      </c>
      <c r="BM4523" s="2">
        <v>13</v>
      </c>
      <c r="BN4523" s="2" t="s">
        <v>91</v>
      </c>
      <c r="BO4523" s="2"/>
      <c r="BP4523" s="2">
        <v>13</v>
      </c>
      <c r="BQ4523" s="2" t="s">
        <v>91</v>
      </c>
      <c r="BR4523" s="2" t="s">
        <v>360</v>
      </c>
      <c r="BS4523" s="3">
        <v>40485</v>
      </c>
      <c r="BT4523" s="4">
        <v>5.2280092592592593E-2</v>
      </c>
    </row>
    <row r="4524" spans="1:72" x14ac:dyDescent="0.25">
      <c r="A4524" s="2">
        <v>6893</v>
      </c>
      <c r="B4524" s="2">
        <v>2010</v>
      </c>
      <c r="C4524" s="2" t="s">
        <v>196</v>
      </c>
      <c r="D4524" s="2" t="s">
        <v>122</v>
      </c>
      <c r="E4524" s="2"/>
      <c r="F4524" s="2">
        <v>1</v>
      </c>
      <c r="G4524" s="2" t="s">
        <v>82</v>
      </c>
      <c r="H4524" s="2">
        <v>1</v>
      </c>
      <c r="I4524" s="2" t="s">
        <v>82</v>
      </c>
      <c r="J4524" s="2">
        <v>1</v>
      </c>
      <c r="K4524" s="2" t="s">
        <v>107</v>
      </c>
      <c r="L4524" s="2" t="s">
        <v>107</v>
      </c>
      <c r="M4524" s="3">
        <v>40485</v>
      </c>
      <c r="N4524" s="2"/>
      <c r="O4524" s="2"/>
      <c r="P4524" s="2"/>
      <c r="Q4524" s="2" t="str">
        <f>""</f>
        <v/>
      </c>
      <c r="R4524" s="2"/>
      <c r="S4524" s="2"/>
      <c r="T4524" s="2">
        <v>2</v>
      </c>
      <c r="U4524" s="2" t="s">
        <v>123</v>
      </c>
      <c r="V4524" s="2">
        <v>1</v>
      </c>
      <c r="W4524" s="2" t="s">
        <v>80</v>
      </c>
      <c r="X4524" s="2">
        <v>5</v>
      </c>
      <c r="Y4524" s="2" t="s">
        <v>82</v>
      </c>
      <c r="Z4524" s="2">
        <v>1</v>
      </c>
      <c r="AA4524" s="2" t="s">
        <v>82</v>
      </c>
      <c r="AB4524" s="2">
        <v>9</v>
      </c>
      <c r="AC4524" s="2" t="s">
        <v>124</v>
      </c>
      <c r="AD4524" s="2"/>
      <c r="AE4524" s="2"/>
      <c r="AF4524" s="2"/>
      <c r="AG4524" s="2"/>
      <c r="AH4524" s="2">
        <v>2</v>
      </c>
      <c r="AI4524" s="2" t="s">
        <v>84</v>
      </c>
      <c r="AJ4524" s="2">
        <v>12</v>
      </c>
      <c r="AK4524" s="2" t="s">
        <v>85</v>
      </c>
      <c r="AL4524" s="2">
        <v>19</v>
      </c>
      <c r="AM4524" s="2" t="s">
        <v>107</v>
      </c>
      <c r="AN4524" s="2"/>
      <c r="AO4524" s="2"/>
      <c r="AP4524" s="2">
        <v>11</v>
      </c>
      <c r="AQ4524" s="2" t="s">
        <v>82</v>
      </c>
      <c r="AR4524" s="2"/>
      <c r="AS4524" s="2"/>
      <c r="AT4524" s="2" t="s">
        <v>14041</v>
      </c>
      <c r="AU4524" s="2"/>
      <c r="AV4524" s="2"/>
      <c r="AW4524" s="2"/>
      <c r="AX4524" s="2"/>
      <c r="AY4524" s="2">
        <v>41</v>
      </c>
      <c r="AZ4524" s="2" t="s">
        <v>82</v>
      </c>
      <c r="BA4524" s="2">
        <v>41</v>
      </c>
      <c r="BB4524" s="2" t="s">
        <v>82</v>
      </c>
      <c r="BC4524" s="2">
        <v>41</v>
      </c>
      <c r="BD4524" s="2" t="s">
        <v>82</v>
      </c>
      <c r="BE4524" s="2">
        <v>41</v>
      </c>
      <c r="BF4524" s="2" t="s">
        <v>82</v>
      </c>
      <c r="BG4524" s="2"/>
      <c r="BH4524" s="2"/>
      <c r="BI4524" s="2"/>
      <c r="BJ4524" s="2">
        <v>241</v>
      </c>
      <c r="BK4524" s="2" t="s">
        <v>82</v>
      </c>
      <c r="BL4524" s="2"/>
      <c r="BM4524" s="2">
        <v>241</v>
      </c>
      <c r="BN4524" s="2" t="s">
        <v>82</v>
      </c>
      <c r="BO4524" s="2"/>
      <c r="BP4524" s="2">
        <v>241</v>
      </c>
      <c r="BQ4524" s="2" t="s">
        <v>82</v>
      </c>
      <c r="BR4524" s="2"/>
      <c r="BS4524" s="3">
        <v>40485</v>
      </c>
      <c r="BT4524" s="4">
        <v>0.14854166666666666</v>
      </c>
    </row>
    <row r="4525" spans="1:72" x14ac:dyDescent="0.25">
      <c r="A4525" s="2">
        <v>6895</v>
      </c>
      <c r="B4525" s="2">
        <v>2010</v>
      </c>
      <c r="C4525" s="2" t="s">
        <v>4543</v>
      </c>
      <c r="D4525" s="2" t="s">
        <v>122</v>
      </c>
      <c r="E4525" s="2" t="s">
        <v>14042</v>
      </c>
      <c r="F4525" s="2">
        <v>110</v>
      </c>
      <c r="G4525" s="2" t="s">
        <v>7444</v>
      </c>
      <c r="H4525" s="2">
        <v>47</v>
      </c>
      <c r="I4525" s="2" t="s">
        <v>1409</v>
      </c>
      <c r="J4525" s="2">
        <v>126</v>
      </c>
      <c r="K4525" s="2" t="s">
        <v>7445</v>
      </c>
      <c r="L4525" s="2" t="s">
        <v>7446</v>
      </c>
      <c r="M4525" s="3">
        <v>40485</v>
      </c>
      <c r="N4525" s="2" t="s">
        <v>12899</v>
      </c>
      <c r="O4525" s="2" t="s">
        <v>14043</v>
      </c>
      <c r="P4525" s="2" t="s">
        <v>14044</v>
      </c>
      <c r="Q4525" s="2" t="str">
        <f>"0007/2010"</f>
        <v>0007/2010</v>
      </c>
      <c r="R4525" s="2" t="s">
        <v>13725</v>
      </c>
      <c r="S4525" s="2"/>
      <c r="T4525" s="2">
        <v>2</v>
      </c>
      <c r="U4525" s="2" t="s">
        <v>123</v>
      </c>
      <c r="V4525" s="2">
        <v>1</v>
      </c>
      <c r="W4525" s="2" t="s">
        <v>80</v>
      </c>
      <c r="X4525" s="2">
        <v>5</v>
      </c>
      <c r="Y4525" s="2" t="s">
        <v>82</v>
      </c>
      <c r="Z4525" s="2">
        <v>1</v>
      </c>
      <c r="AA4525" s="2" t="s">
        <v>82</v>
      </c>
      <c r="AB4525" s="2">
        <v>9</v>
      </c>
      <c r="AC4525" s="2" t="s">
        <v>124</v>
      </c>
      <c r="AD4525" s="3">
        <v>40485</v>
      </c>
      <c r="AE4525" s="4">
        <v>0.375</v>
      </c>
      <c r="AF4525" s="3">
        <v>40474</v>
      </c>
      <c r="AG4525" s="4">
        <v>0.3430555555555555</v>
      </c>
      <c r="AH4525" s="2">
        <v>6</v>
      </c>
      <c r="AI4525" s="2" t="s">
        <v>197</v>
      </c>
      <c r="AJ4525" s="2">
        <v>57</v>
      </c>
      <c r="AK4525" s="2" t="s">
        <v>2344</v>
      </c>
      <c r="AL4525" s="2">
        <v>19</v>
      </c>
      <c r="AM4525" s="2" t="s">
        <v>107</v>
      </c>
      <c r="AN4525" s="2"/>
      <c r="AO4525" s="2"/>
      <c r="AP4525" s="2">
        <v>11</v>
      </c>
      <c r="AQ4525" s="2" t="s">
        <v>82</v>
      </c>
      <c r="AR4525" s="2"/>
      <c r="AS4525" s="2"/>
      <c r="AT4525" s="2" t="s">
        <v>14045</v>
      </c>
      <c r="AU4525" s="2"/>
      <c r="AV4525" s="2"/>
      <c r="AW4525" s="2"/>
      <c r="AX4525" s="2"/>
      <c r="AY4525" s="2">
        <v>41</v>
      </c>
      <c r="AZ4525" s="2" t="s">
        <v>82</v>
      </c>
      <c r="BA4525" s="2">
        <v>41</v>
      </c>
      <c r="BB4525" s="2" t="s">
        <v>82</v>
      </c>
      <c r="BC4525" s="2">
        <v>41</v>
      </c>
      <c r="BD4525" s="2" t="s">
        <v>82</v>
      </c>
      <c r="BE4525" s="2">
        <v>41</v>
      </c>
      <c r="BF4525" s="2" t="s">
        <v>82</v>
      </c>
      <c r="BG4525" s="2"/>
      <c r="BH4525" s="2"/>
      <c r="BI4525" s="2"/>
      <c r="BJ4525" s="2">
        <v>241</v>
      </c>
      <c r="BK4525" s="2" t="s">
        <v>82</v>
      </c>
      <c r="BL4525" s="2"/>
      <c r="BM4525" s="2">
        <v>241</v>
      </c>
      <c r="BN4525" s="2" t="s">
        <v>82</v>
      </c>
      <c r="BO4525" s="2"/>
      <c r="BP4525" s="2">
        <v>241</v>
      </c>
      <c r="BQ4525" s="2" t="s">
        <v>82</v>
      </c>
      <c r="BR4525" s="2"/>
      <c r="BS4525" s="3">
        <v>40485</v>
      </c>
      <c r="BT4525" s="4">
        <v>0.46062500000000001</v>
      </c>
    </row>
    <row r="4526" spans="1:72" x14ac:dyDescent="0.25">
      <c r="A4526" s="2">
        <v>6901</v>
      </c>
      <c r="B4526" s="2">
        <v>2010</v>
      </c>
      <c r="C4526" s="2" t="s">
        <v>121</v>
      </c>
      <c r="D4526" s="2" t="s">
        <v>122</v>
      </c>
      <c r="E4526" s="2"/>
      <c r="F4526" s="2">
        <v>1</v>
      </c>
      <c r="G4526" s="2" t="s">
        <v>82</v>
      </c>
      <c r="H4526" s="2">
        <v>1</v>
      </c>
      <c r="I4526" s="2" t="s">
        <v>82</v>
      </c>
      <c r="J4526" s="2">
        <v>1</v>
      </c>
      <c r="K4526" s="2" t="s">
        <v>107</v>
      </c>
      <c r="L4526" s="2" t="s">
        <v>107</v>
      </c>
      <c r="M4526" s="3">
        <v>40485</v>
      </c>
      <c r="N4526" s="2" t="s">
        <v>82</v>
      </c>
      <c r="O4526" s="2" t="s">
        <v>82</v>
      </c>
      <c r="P4526" s="2" t="s">
        <v>82</v>
      </c>
      <c r="Q4526" s="2" t="str">
        <f>"N/C"</f>
        <v>N/C</v>
      </c>
      <c r="R4526" s="2" t="s">
        <v>82</v>
      </c>
      <c r="S4526" s="2" t="s">
        <v>82</v>
      </c>
      <c r="T4526" s="2">
        <v>2</v>
      </c>
      <c r="U4526" s="2" t="s">
        <v>123</v>
      </c>
      <c r="V4526" s="2">
        <v>1</v>
      </c>
      <c r="W4526" s="2" t="s">
        <v>80</v>
      </c>
      <c r="X4526" s="2">
        <v>11</v>
      </c>
      <c r="Y4526" s="2" t="s">
        <v>1920</v>
      </c>
      <c r="Z4526" s="2">
        <v>4</v>
      </c>
      <c r="AA4526" s="2" t="s">
        <v>182</v>
      </c>
      <c r="AB4526" s="2">
        <v>9</v>
      </c>
      <c r="AC4526" s="2" t="s">
        <v>124</v>
      </c>
      <c r="AD4526" s="3">
        <v>40485</v>
      </c>
      <c r="AE4526" s="4">
        <v>0.33333333333333331</v>
      </c>
      <c r="AF4526" s="2"/>
      <c r="AG4526" s="2"/>
      <c r="AH4526" s="2">
        <v>5</v>
      </c>
      <c r="AI4526" s="2" t="s">
        <v>274</v>
      </c>
      <c r="AJ4526" s="2">
        <v>45</v>
      </c>
      <c r="AK4526" s="2" t="s">
        <v>834</v>
      </c>
      <c r="AL4526" s="2">
        <v>10</v>
      </c>
      <c r="AM4526" s="2" t="s">
        <v>200</v>
      </c>
      <c r="AN4526" s="2" t="s">
        <v>1893</v>
      </c>
      <c r="AO4526" s="2" t="s">
        <v>82</v>
      </c>
      <c r="AP4526" s="2">
        <v>11</v>
      </c>
      <c r="AQ4526" s="2" t="s">
        <v>82</v>
      </c>
      <c r="AR4526" s="2" t="s">
        <v>82</v>
      </c>
      <c r="AS4526" s="2" t="s">
        <v>82</v>
      </c>
      <c r="AT4526" s="2" t="s">
        <v>14046</v>
      </c>
      <c r="AU4526" s="2"/>
      <c r="AV4526" s="2"/>
      <c r="AW4526" s="2"/>
      <c r="AX4526" s="2"/>
      <c r="AY4526" s="2">
        <v>41</v>
      </c>
      <c r="AZ4526" s="2" t="s">
        <v>82</v>
      </c>
      <c r="BA4526" s="2">
        <v>41</v>
      </c>
      <c r="BB4526" s="2" t="s">
        <v>82</v>
      </c>
      <c r="BC4526" s="2">
        <v>41</v>
      </c>
      <c r="BD4526" s="2" t="s">
        <v>82</v>
      </c>
      <c r="BE4526" s="2">
        <v>42</v>
      </c>
      <c r="BF4526" s="2" t="s">
        <v>182</v>
      </c>
      <c r="BG4526" s="2" t="s">
        <v>8799</v>
      </c>
      <c r="BH4526" s="4">
        <v>0.40972222222222227</v>
      </c>
      <c r="BI4526" s="4">
        <v>0.44097222222222227</v>
      </c>
      <c r="BJ4526" s="2">
        <v>13</v>
      </c>
      <c r="BK4526" s="2" t="s">
        <v>91</v>
      </c>
      <c r="BL4526" s="2" t="s">
        <v>5180</v>
      </c>
      <c r="BM4526" s="2">
        <v>13</v>
      </c>
      <c r="BN4526" s="2" t="s">
        <v>91</v>
      </c>
      <c r="BO4526" s="2"/>
      <c r="BP4526" s="2">
        <v>13</v>
      </c>
      <c r="BQ4526" s="2" t="s">
        <v>91</v>
      </c>
      <c r="BR4526" s="2" t="s">
        <v>169</v>
      </c>
      <c r="BS4526" s="3">
        <v>40485</v>
      </c>
      <c r="BT4526" s="4">
        <v>0.55987268518518518</v>
      </c>
    </row>
    <row r="4527" spans="1:72" x14ac:dyDescent="0.25">
      <c r="A4527" s="2">
        <v>6902</v>
      </c>
      <c r="B4527" s="2">
        <v>2010</v>
      </c>
      <c r="C4527" s="2" t="s">
        <v>121</v>
      </c>
      <c r="D4527" s="2" t="s">
        <v>122</v>
      </c>
      <c r="E4527" s="2"/>
      <c r="F4527" s="2">
        <v>1</v>
      </c>
      <c r="G4527" s="2" t="s">
        <v>82</v>
      </c>
      <c r="H4527" s="2">
        <v>1</v>
      </c>
      <c r="I4527" s="2" t="s">
        <v>82</v>
      </c>
      <c r="J4527" s="2">
        <v>1</v>
      </c>
      <c r="K4527" s="2" t="s">
        <v>107</v>
      </c>
      <c r="L4527" s="2" t="s">
        <v>107</v>
      </c>
      <c r="M4527" s="3">
        <v>40485</v>
      </c>
      <c r="N4527" s="2"/>
      <c r="O4527" s="2"/>
      <c r="P4527" s="2"/>
      <c r="Q4527" s="2" t="str">
        <f>""</f>
        <v/>
      </c>
      <c r="R4527" s="2"/>
      <c r="S4527" s="2"/>
      <c r="T4527" s="2">
        <v>2</v>
      </c>
      <c r="U4527" s="2" t="s">
        <v>123</v>
      </c>
      <c r="V4527" s="2">
        <v>1</v>
      </c>
      <c r="W4527" s="2" t="s">
        <v>80</v>
      </c>
      <c r="X4527" s="2">
        <v>11</v>
      </c>
      <c r="Y4527" s="2" t="s">
        <v>1920</v>
      </c>
      <c r="Z4527" s="2">
        <v>4</v>
      </c>
      <c r="AA4527" s="2" t="s">
        <v>182</v>
      </c>
      <c r="AB4527" s="2">
        <v>9</v>
      </c>
      <c r="AC4527" s="2" t="s">
        <v>124</v>
      </c>
      <c r="AD4527" s="3">
        <v>40485</v>
      </c>
      <c r="AE4527" s="4">
        <v>0.47222222222222227</v>
      </c>
      <c r="AF4527" s="2"/>
      <c r="AG4527" s="2"/>
      <c r="AH4527" s="2">
        <v>3</v>
      </c>
      <c r="AI4527" s="2" t="s">
        <v>214</v>
      </c>
      <c r="AJ4527" s="2">
        <v>24</v>
      </c>
      <c r="AK4527" s="2" t="s">
        <v>215</v>
      </c>
      <c r="AL4527" s="2">
        <v>10</v>
      </c>
      <c r="AM4527" s="2" t="s">
        <v>200</v>
      </c>
      <c r="AN4527" s="2" t="s">
        <v>14047</v>
      </c>
      <c r="AO4527" s="2" t="s">
        <v>107</v>
      </c>
      <c r="AP4527" s="2">
        <v>11</v>
      </c>
      <c r="AQ4527" s="2" t="s">
        <v>82</v>
      </c>
      <c r="AR4527" s="2"/>
      <c r="AS4527" s="2"/>
      <c r="AT4527" s="2" t="s">
        <v>14048</v>
      </c>
      <c r="AU4527" s="2"/>
      <c r="AV4527" s="2"/>
      <c r="AW4527" s="2"/>
      <c r="AX4527" s="2"/>
      <c r="AY4527" s="2">
        <v>41</v>
      </c>
      <c r="AZ4527" s="2" t="s">
        <v>82</v>
      </c>
      <c r="BA4527" s="2">
        <v>41</v>
      </c>
      <c r="BB4527" s="2" t="s">
        <v>82</v>
      </c>
      <c r="BC4527" s="2">
        <v>77</v>
      </c>
      <c r="BD4527" s="2" t="s">
        <v>3158</v>
      </c>
      <c r="BE4527" s="2">
        <v>42</v>
      </c>
      <c r="BF4527" s="2" t="s">
        <v>182</v>
      </c>
      <c r="BG4527" s="2" t="s">
        <v>14049</v>
      </c>
      <c r="BH4527" s="4">
        <v>0.57638888888888895</v>
      </c>
      <c r="BI4527" s="4">
        <v>0.53125</v>
      </c>
      <c r="BJ4527" s="2">
        <v>13</v>
      </c>
      <c r="BK4527" s="2" t="s">
        <v>91</v>
      </c>
      <c r="BL4527" s="2" t="s">
        <v>185</v>
      </c>
      <c r="BM4527" s="2">
        <v>13</v>
      </c>
      <c r="BN4527" s="2" t="s">
        <v>91</v>
      </c>
      <c r="BO4527" s="2"/>
      <c r="BP4527" s="2">
        <v>13</v>
      </c>
      <c r="BQ4527" s="2" t="s">
        <v>91</v>
      </c>
      <c r="BR4527" s="2" t="s">
        <v>169</v>
      </c>
      <c r="BS4527" s="3">
        <v>40485</v>
      </c>
      <c r="BT4527" s="4">
        <v>0.57275462962962964</v>
      </c>
    </row>
    <row r="4528" spans="1:72" x14ac:dyDescent="0.25">
      <c r="A4528" s="2">
        <v>6908</v>
      </c>
      <c r="B4528" s="2">
        <v>2010</v>
      </c>
      <c r="C4528" s="2" t="s">
        <v>121</v>
      </c>
      <c r="D4528" s="2" t="s">
        <v>122</v>
      </c>
      <c r="E4528" s="2"/>
      <c r="F4528" s="2">
        <v>1</v>
      </c>
      <c r="G4528" s="2" t="s">
        <v>82</v>
      </c>
      <c r="H4528" s="2">
        <v>1</v>
      </c>
      <c r="I4528" s="2" t="s">
        <v>82</v>
      </c>
      <c r="J4528" s="2">
        <v>1</v>
      </c>
      <c r="K4528" s="2" t="s">
        <v>107</v>
      </c>
      <c r="L4528" s="2" t="s">
        <v>107</v>
      </c>
      <c r="M4528" s="3">
        <v>40485</v>
      </c>
      <c r="N4528" s="2"/>
      <c r="O4528" s="2"/>
      <c r="P4528" s="2"/>
      <c r="Q4528" s="2" t="str">
        <f>""</f>
        <v/>
      </c>
      <c r="R4528" s="2"/>
      <c r="S4528" s="2"/>
      <c r="T4528" s="2">
        <v>2</v>
      </c>
      <c r="U4528" s="2" t="s">
        <v>123</v>
      </c>
      <c r="V4528" s="2">
        <v>1</v>
      </c>
      <c r="W4528" s="2" t="s">
        <v>80</v>
      </c>
      <c r="X4528" s="2">
        <v>1</v>
      </c>
      <c r="Y4528" s="2" t="s">
        <v>81</v>
      </c>
      <c r="Z4528" s="2">
        <v>1</v>
      </c>
      <c r="AA4528" s="2" t="s">
        <v>82</v>
      </c>
      <c r="AB4528" s="2">
        <v>9</v>
      </c>
      <c r="AC4528" s="2" t="s">
        <v>124</v>
      </c>
      <c r="AD4528" s="3">
        <v>40485</v>
      </c>
      <c r="AE4528" s="4">
        <v>0.57847222222222217</v>
      </c>
      <c r="AF4528" s="2"/>
      <c r="AG4528" s="2"/>
      <c r="AH4528" s="2">
        <v>4</v>
      </c>
      <c r="AI4528" s="2" t="s">
        <v>125</v>
      </c>
      <c r="AJ4528" s="2">
        <v>28</v>
      </c>
      <c r="AK4528" s="2" t="s">
        <v>741</v>
      </c>
      <c r="AL4528" s="2">
        <v>10</v>
      </c>
      <c r="AM4528" s="2" t="s">
        <v>200</v>
      </c>
      <c r="AN4528" s="2"/>
      <c r="AO4528" s="2"/>
      <c r="AP4528" s="2">
        <v>11</v>
      </c>
      <c r="AQ4528" s="2" t="s">
        <v>82</v>
      </c>
      <c r="AR4528" s="2"/>
      <c r="AS4528" s="2"/>
      <c r="AT4528" s="2" t="s">
        <v>14050</v>
      </c>
      <c r="AU4528" s="2"/>
      <c r="AV4528" s="2"/>
      <c r="AW4528" s="2"/>
      <c r="AX4528" s="2"/>
      <c r="AY4528" s="2">
        <v>41</v>
      </c>
      <c r="AZ4528" s="2" t="s">
        <v>82</v>
      </c>
      <c r="BA4528" s="2">
        <v>41</v>
      </c>
      <c r="BB4528" s="2" t="s">
        <v>82</v>
      </c>
      <c r="BC4528" s="2">
        <v>41</v>
      </c>
      <c r="BD4528" s="2" t="s">
        <v>82</v>
      </c>
      <c r="BE4528" s="2">
        <v>42</v>
      </c>
      <c r="BF4528" s="2" t="s">
        <v>182</v>
      </c>
      <c r="BG4528" s="2" t="s">
        <v>8799</v>
      </c>
      <c r="BH4528" s="4">
        <v>0.57847222222222217</v>
      </c>
      <c r="BI4528" s="4">
        <v>0.62916666666666665</v>
      </c>
      <c r="BJ4528" s="2">
        <v>13</v>
      </c>
      <c r="BK4528" s="2" t="s">
        <v>91</v>
      </c>
      <c r="BL4528" s="2" t="s">
        <v>185</v>
      </c>
      <c r="BM4528" s="2">
        <v>13</v>
      </c>
      <c r="BN4528" s="2" t="s">
        <v>91</v>
      </c>
      <c r="BO4528" s="2"/>
      <c r="BP4528" s="2">
        <v>13</v>
      </c>
      <c r="BQ4528" s="2" t="s">
        <v>91</v>
      </c>
      <c r="BR4528" s="2" t="s">
        <v>185</v>
      </c>
      <c r="BS4528" s="3">
        <v>40485</v>
      </c>
      <c r="BT4528" s="4">
        <v>0.62876157407407407</v>
      </c>
    </row>
    <row r="4529" spans="1:72" x14ac:dyDescent="0.25">
      <c r="A4529" s="2">
        <v>6910</v>
      </c>
      <c r="B4529" s="2">
        <v>2010</v>
      </c>
      <c r="C4529" s="2" t="s">
        <v>147</v>
      </c>
      <c r="D4529" s="2" t="s">
        <v>73</v>
      </c>
      <c r="E4529" s="2"/>
      <c r="F4529" s="2">
        <v>1</v>
      </c>
      <c r="G4529" s="2" t="s">
        <v>82</v>
      </c>
      <c r="H4529" s="2">
        <v>1</v>
      </c>
      <c r="I4529" s="2" t="s">
        <v>82</v>
      </c>
      <c r="J4529" s="2">
        <v>1</v>
      </c>
      <c r="K4529" s="2" t="s">
        <v>107</v>
      </c>
      <c r="L4529" s="2" t="s">
        <v>107</v>
      </c>
      <c r="M4529" s="3">
        <v>40485</v>
      </c>
      <c r="N4529" s="2" t="s">
        <v>82</v>
      </c>
      <c r="O4529" s="2" t="s">
        <v>82</v>
      </c>
      <c r="P4529" s="2" t="s">
        <v>82</v>
      </c>
      <c r="Q4529" s="2" t="str">
        <f>"AP 0061-10"</f>
        <v>AP 0061-10</v>
      </c>
      <c r="R4529" s="2" t="s">
        <v>14051</v>
      </c>
      <c r="S4529" s="2" t="s">
        <v>82</v>
      </c>
      <c r="T4529" s="2">
        <v>2</v>
      </c>
      <c r="U4529" s="2" t="s">
        <v>123</v>
      </c>
      <c r="V4529" s="2">
        <v>1</v>
      </c>
      <c r="W4529" s="2" t="s">
        <v>80</v>
      </c>
      <c r="X4529" s="2">
        <v>12</v>
      </c>
      <c r="Y4529" s="2" t="s">
        <v>148</v>
      </c>
      <c r="Z4529" s="2">
        <v>1</v>
      </c>
      <c r="AA4529" s="2" t="s">
        <v>82</v>
      </c>
      <c r="AB4529" s="2">
        <v>9</v>
      </c>
      <c r="AC4529" s="2" t="s">
        <v>124</v>
      </c>
      <c r="AD4529" s="2"/>
      <c r="AE4529" s="2"/>
      <c r="AF4529" s="3">
        <v>40485</v>
      </c>
      <c r="AG4529" s="4">
        <v>0.57638888888888895</v>
      </c>
      <c r="AH4529" s="2">
        <v>6</v>
      </c>
      <c r="AI4529" s="2" t="s">
        <v>197</v>
      </c>
      <c r="AJ4529" s="2">
        <v>61</v>
      </c>
      <c r="AK4529" s="2" t="s">
        <v>686</v>
      </c>
      <c r="AL4529" s="2">
        <v>19</v>
      </c>
      <c r="AM4529" s="2" t="s">
        <v>107</v>
      </c>
      <c r="AN4529" s="2" t="s">
        <v>82</v>
      </c>
      <c r="AO4529" s="2" t="s">
        <v>82</v>
      </c>
      <c r="AP4529" s="2">
        <v>11</v>
      </c>
      <c r="AQ4529" s="2" t="s">
        <v>82</v>
      </c>
      <c r="AR4529" s="2" t="s">
        <v>82</v>
      </c>
      <c r="AS4529" s="2" t="s">
        <v>82</v>
      </c>
      <c r="AT4529" s="2" t="s">
        <v>14052</v>
      </c>
      <c r="AU4529" s="2"/>
      <c r="AV4529" s="2"/>
      <c r="AW4529" s="2"/>
      <c r="AX4529" s="2"/>
      <c r="AY4529" s="2">
        <v>41</v>
      </c>
      <c r="AZ4529" s="2" t="s">
        <v>82</v>
      </c>
      <c r="BA4529" s="2">
        <v>41</v>
      </c>
      <c r="BB4529" s="2" t="s">
        <v>82</v>
      </c>
      <c r="BC4529" s="2">
        <v>41</v>
      </c>
      <c r="BD4529" s="2" t="s">
        <v>82</v>
      </c>
      <c r="BE4529" s="2">
        <v>41</v>
      </c>
      <c r="BF4529" s="2" t="s">
        <v>82</v>
      </c>
      <c r="BG4529" s="2" t="s">
        <v>82</v>
      </c>
      <c r="BH4529" s="2"/>
      <c r="BI4529" s="2"/>
      <c r="BJ4529" s="2">
        <v>241</v>
      </c>
      <c r="BK4529" s="2" t="s">
        <v>82</v>
      </c>
      <c r="BL4529" s="2" t="s">
        <v>82</v>
      </c>
      <c r="BM4529" s="2">
        <v>241</v>
      </c>
      <c r="BN4529" s="2" t="s">
        <v>82</v>
      </c>
      <c r="BO4529" s="2"/>
      <c r="BP4529" s="2">
        <v>241</v>
      </c>
      <c r="BQ4529" s="2" t="s">
        <v>82</v>
      </c>
      <c r="BR4529" s="2" t="s">
        <v>82</v>
      </c>
      <c r="BS4529" s="3">
        <v>40485</v>
      </c>
      <c r="BT4529" s="4">
        <v>0.64446759259259256</v>
      </c>
    </row>
    <row r="4530" spans="1:72" x14ac:dyDescent="0.25">
      <c r="A4530" s="2">
        <v>6913</v>
      </c>
      <c r="B4530" s="2">
        <v>2010</v>
      </c>
      <c r="C4530" s="2" t="s">
        <v>147</v>
      </c>
      <c r="D4530" s="2" t="s">
        <v>73</v>
      </c>
      <c r="E4530" s="2"/>
      <c r="F4530" s="2">
        <v>1</v>
      </c>
      <c r="G4530" s="2" t="s">
        <v>82</v>
      </c>
      <c r="H4530" s="2">
        <v>1</v>
      </c>
      <c r="I4530" s="2" t="s">
        <v>82</v>
      </c>
      <c r="J4530" s="2">
        <v>1</v>
      </c>
      <c r="K4530" s="2" t="s">
        <v>107</v>
      </c>
      <c r="L4530" s="2" t="s">
        <v>107</v>
      </c>
      <c r="M4530" s="3">
        <v>40485</v>
      </c>
      <c r="N4530" s="2" t="s">
        <v>82</v>
      </c>
      <c r="O4530" s="2" t="s">
        <v>82</v>
      </c>
      <c r="P4530" s="2" t="s">
        <v>82</v>
      </c>
      <c r="Q4530" s="2" t="str">
        <f>"AP 0062-10"</f>
        <v>AP 0062-10</v>
      </c>
      <c r="R4530" s="2" t="s">
        <v>14053</v>
      </c>
      <c r="S4530" s="2" t="s">
        <v>82</v>
      </c>
      <c r="T4530" s="2">
        <v>2</v>
      </c>
      <c r="U4530" s="2" t="s">
        <v>123</v>
      </c>
      <c r="V4530" s="2">
        <v>1</v>
      </c>
      <c r="W4530" s="2" t="s">
        <v>80</v>
      </c>
      <c r="X4530" s="2">
        <v>12</v>
      </c>
      <c r="Y4530" s="2" t="s">
        <v>148</v>
      </c>
      <c r="Z4530" s="2">
        <v>1</v>
      </c>
      <c r="AA4530" s="2" t="s">
        <v>82</v>
      </c>
      <c r="AB4530" s="2">
        <v>9</v>
      </c>
      <c r="AC4530" s="2" t="s">
        <v>124</v>
      </c>
      <c r="AD4530" s="2"/>
      <c r="AE4530" s="2"/>
      <c r="AF4530" s="3">
        <v>40485</v>
      </c>
      <c r="AG4530" s="4">
        <v>0.66666666666666663</v>
      </c>
      <c r="AH4530" s="2">
        <v>6</v>
      </c>
      <c r="AI4530" s="2" t="s">
        <v>197</v>
      </c>
      <c r="AJ4530" s="2">
        <v>61</v>
      </c>
      <c r="AK4530" s="2" t="s">
        <v>686</v>
      </c>
      <c r="AL4530" s="2">
        <v>19</v>
      </c>
      <c r="AM4530" s="2" t="s">
        <v>107</v>
      </c>
      <c r="AN4530" s="2" t="s">
        <v>82</v>
      </c>
      <c r="AO4530" s="2" t="s">
        <v>82</v>
      </c>
      <c r="AP4530" s="2">
        <v>11</v>
      </c>
      <c r="AQ4530" s="2" t="s">
        <v>82</v>
      </c>
      <c r="AR4530" s="2" t="s">
        <v>82</v>
      </c>
      <c r="AS4530" s="2" t="s">
        <v>82</v>
      </c>
      <c r="AT4530" s="2" t="s">
        <v>14054</v>
      </c>
      <c r="AU4530" s="2"/>
      <c r="AV4530" s="2"/>
      <c r="AW4530" s="2"/>
      <c r="AX4530" s="2"/>
      <c r="AY4530" s="2">
        <v>41</v>
      </c>
      <c r="AZ4530" s="2" t="s">
        <v>82</v>
      </c>
      <c r="BA4530" s="2">
        <v>41</v>
      </c>
      <c r="BB4530" s="2" t="s">
        <v>82</v>
      </c>
      <c r="BC4530" s="2">
        <v>41</v>
      </c>
      <c r="BD4530" s="2" t="s">
        <v>82</v>
      </c>
      <c r="BE4530" s="2">
        <v>41</v>
      </c>
      <c r="BF4530" s="2" t="s">
        <v>82</v>
      </c>
      <c r="BG4530" s="2" t="s">
        <v>82</v>
      </c>
      <c r="BH4530" s="2"/>
      <c r="BI4530" s="2"/>
      <c r="BJ4530" s="2">
        <v>241</v>
      </c>
      <c r="BK4530" s="2" t="s">
        <v>82</v>
      </c>
      <c r="BL4530" s="2" t="s">
        <v>82</v>
      </c>
      <c r="BM4530" s="2">
        <v>241</v>
      </c>
      <c r="BN4530" s="2" t="s">
        <v>82</v>
      </c>
      <c r="BO4530" s="2"/>
      <c r="BP4530" s="2">
        <v>241</v>
      </c>
      <c r="BQ4530" s="2" t="s">
        <v>82</v>
      </c>
      <c r="BR4530" s="2" t="s">
        <v>82</v>
      </c>
      <c r="BS4530" s="3">
        <v>40485</v>
      </c>
      <c r="BT4530" s="4">
        <v>0.68645833333333339</v>
      </c>
    </row>
    <row r="4531" spans="1:72" x14ac:dyDescent="0.25">
      <c r="A4531" s="2">
        <v>6914</v>
      </c>
      <c r="B4531" s="2">
        <v>2010</v>
      </c>
      <c r="C4531" s="2" t="s">
        <v>171</v>
      </c>
      <c r="D4531" s="2" t="s">
        <v>73</v>
      </c>
      <c r="E4531" s="2"/>
      <c r="F4531" s="2">
        <v>294</v>
      </c>
      <c r="G4531" s="2" t="s">
        <v>14055</v>
      </c>
      <c r="H4531" s="2">
        <v>42</v>
      </c>
      <c r="I4531" s="2" t="s">
        <v>1096</v>
      </c>
      <c r="J4531" s="2">
        <v>607</v>
      </c>
      <c r="K4531" s="2" t="s">
        <v>14056</v>
      </c>
      <c r="L4531" s="2" t="s">
        <v>14057</v>
      </c>
      <c r="M4531" s="3">
        <v>40485</v>
      </c>
      <c r="N4531" s="2" t="s">
        <v>14058</v>
      </c>
      <c r="O4531" s="2" t="s">
        <v>14059</v>
      </c>
      <c r="P4531" s="2"/>
      <c r="Q4531" s="2" t="str">
        <f>"0004/2010"</f>
        <v>0004/2010</v>
      </c>
      <c r="R4531" s="2"/>
      <c r="S4531" s="2" t="s">
        <v>14060</v>
      </c>
      <c r="T4531" s="2">
        <v>1</v>
      </c>
      <c r="U4531" s="2" t="s">
        <v>79</v>
      </c>
      <c r="V4531" s="2">
        <v>1</v>
      </c>
      <c r="W4531" s="2" t="s">
        <v>80</v>
      </c>
      <c r="X4531" s="2">
        <v>12</v>
      </c>
      <c r="Y4531" s="2" t="s">
        <v>148</v>
      </c>
      <c r="Z4531" s="2">
        <v>1</v>
      </c>
      <c r="AA4531" s="2" t="s">
        <v>82</v>
      </c>
      <c r="AB4531" s="2">
        <v>1</v>
      </c>
      <c r="AC4531" s="2" t="s">
        <v>178</v>
      </c>
      <c r="AD4531" s="2"/>
      <c r="AE4531" s="2"/>
      <c r="AF4531" s="3">
        <v>40485</v>
      </c>
      <c r="AG4531" s="4">
        <v>0.47916666666666669</v>
      </c>
      <c r="AH4531" s="2">
        <v>5</v>
      </c>
      <c r="AI4531" s="2" t="s">
        <v>274</v>
      </c>
      <c r="AJ4531" s="2">
        <v>39</v>
      </c>
      <c r="AK4531" s="2" t="s">
        <v>8737</v>
      </c>
      <c r="AL4531" s="2">
        <v>23</v>
      </c>
      <c r="AM4531" s="2" t="s">
        <v>251</v>
      </c>
      <c r="AN4531" s="2"/>
      <c r="AO4531" s="2" t="s">
        <v>14061</v>
      </c>
      <c r="AP4531" s="2">
        <v>11</v>
      </c>
      <c r="AQ4531" s="2" t="s">
        <v>82</v>
      </c>
      <c r="AR4531" s="2"/>
      <c r="AS4531" s="2"/>
      <c r="AT4531" s="2" t="s">
        <v>14062</v>
      </c>
      <c r="AU4531" s="2"/>
      <c r="AV4531" s="2"/>
      <c r="AW4531" s="2"/>
      <c r="AX4531" s="2"/>
      <c r="AY4531" s="2">
        <v>41</v>
      </c>
      <c r="AZ4531" s="2" t="s">
        <v>82</v>
      </c>
      <c r="BA4531" s="2">
        <v>152</v>
      </c>
      <c r="BB4531" s="2" t="s">
        <v>13823</v>
      </c>
      <c r="BC4531" s="2">
        <v>41</v>
      </c>
      <c r="BD4531" s="2" t="s">
        <v>82</v>
      </c>
      <c r="BE4531" s="2">
        <v>41</v>
      </c>
      <c r="BF4531" s="2" t="s">
        <v>82</v>
      </c>
      <c r="BG4531" s="2"/>
      <c r="BH4531" s="2"/>
      <c r="BI4531" s="2"/>
      <c r="BJ4531" s="2">
        <v>241</v>
      </c>
      <c r="BK4531" s="2" t="s">
        <v>82</v>
      </c>
      <c r="BL4531" s="2"/>
      <c r="BM4531" s="2">
        <v>241</v>
      </c>
      <c r="BN4531" s="2" t="s">
        <v>82</v>
      </c>
      <c r="BO4531" s="2"/>
      <c r="BP4531" s="2">
        <v>241</v>
      </c>
      <c r="BQ4531" s="2" t="s">
        <v>82</v>
      </c>
      <c r="BR4531" s="2"/>
      <c r="BS4531" s="3">
        <v>40485</v>
      </c>
      <c r="BT4531" s="4">
        <v>0.6885648148148148</v>
      </c>
    </row>
    <row r="4532" spans="1:72" x14ac:dyDescent="0.25">
      <c r="A4532" s="2">
        <v>6922</v>
      </c>
      <c r="B4532" s="2">
        <v>2010</v>
      </c>
      <c r="C4532" s="2" t="s">
        <v>4543</v>
      </c>
      <c r="D4532" s="2" t="s">
        <v>122</v>
      </c>
      <c r="E4532" s="2"/>
      <c r="F4532" s="2">
        <v>319</v>
      </c>
      <c r="G4532" s="2" t="s">
        <v>6516</v>
      </c>
      <c r="H4532" s="2">
        <v>42</v>
      </c>
      <c r="I4532" s="2" t="s">
        <v>1096</v>
      </c>
      <c r="J4532" s="2">
        <v>385</v>
      </c>
      <c r="K4532" s="2" t="s">
        <v>1314</v>
      </c>
      <c r="L4532" s="2" t="s">
        <v>1315</v>
      </c>
      <c r="M4532" s="3">
        <v>40485</v>
      </c>
      <c r="N4532" s="2" t="s">
        <v>14063</v>
      </c>
      <c r="O4532" s="2"/>
      <c r="P4532" s="2"/>
      <c r="Q4532" s="2" t="str">
        <f>"0026/10"</f>
        <v>0026/10</v>
      </c>
      <c r="R4532" s="2"/>
      <c r="S4532" s="2" t="s">
        <v>14064</v>
      </c>
      <c r="T4532" s="2">
        <v>2</v>
      </c>
      <c r="U4532" s="2" t="s">
        <v>123</v>
      </c>
      <c r="V4532" s="2">
        <v>1</v>
      </c>
      <c r="W4532" s="2" t="s">
        <v>80</v>
      </c>
      <c r="X4532" s="2">
        <v>1</v>
      </c>
      <c r="Y4532" s="2" t="s">
        <v>81</v>
      </c>
      <c r="Z4532" s="2">
        <v>10</v>
      </c>
      <c r="AA4532" s="2" t="s">
        <v>236</v>
      </c>
      <c r="AB4532" s="2">
        <v>9</v>
      </c>
      <c r="AC4532" s="2" t="s">
        <v>124</v>
      </c>
      <c r="AD4532" s="3">
        <v>40485</v>
      </c>
      <c r="AE4532" s="4">
        <v>0.59027777777777779</v>
      </c>
      <c r="AF4532" s="3">
        <v>40485</v>
      </c>
      <c r="AG4532" s="2"/>
      <c r="AH4532" s="2">
        <v>5</v>
      </c>
      <c r="AI4532" s="2" t="s">
        <v>274</v>
      </c>
      <c r="AJ4532" s="2">
        <v>44</v>
      </c>
      <c r="AK4532" s="2" t="s">
        <v>667</v>
      </c>
      <c r="AL4532" s="2">
        <v>11</v>
      </c>
      <c r="AM4532" s="2" t="s">
        <v>137</v>
      </c>
      <c r="AN4532" s="2"/>
      <c r="AO4532" s="2"/>
      <c r="AP4532" s="2">
        <v>12</v>
      </c>
      <c r="AQ4532" s="2" t="s">
        <v>322</v>
      </c>
      <c r="AR4532" s="2"/>
      <c r="AS4532" s="2"/>
      <c r="AT4532" s="2" t="s">
        <v>14065</v>
      </c>
      <c r="AU4532" s="2"/>
      <c r="AV4532" s="2"/>
      <c r="AW4532" s="2"/>
      <c r="AX4532" s="2"/>
      <c r="AY4532" s="2">
        <v>42</v>
      </c>
      <c r="AZ4532" s="2" t="s">
        <v>182</v>
      </c>
      <c r="BA4532" s="2">
        <v>70</v>
      </c>
      <c r="BB4532" s="2" t="s">
        <v>236</v>
      </c>
      <c r="BC4532" s="2">
        <v>56</v>
      </c>
      <c r="BD4532" s="2" t="s">
        <v>6520</v>
      </c>
      <c r="BE4532" s="2">
        <v>13</v>
      </c>
      <c r="BF4532" s="2" t="s">
        <v>108</v>
      </c>
      <c r="BG4532" s="2">
        <v>1779</v>
      </c>
      <c r="BH4532" s="4">
        <v>0.58819444444444446</v>
      </c>
      <c r="BI4532" s="4">
        <v>0.62847222222222221</v>
      </c>
      <c r="BJ4532" s="2">
        <v>13</v>
      </c>
      <c r="BK4532" s="2" t="s">
        <v>91</v>
      </c>
      <c r="BL4532" s="2" t="s">
        <v>1026</v>
      </c>
      <c r="BM4532" s="2">
        <v>13</v>
      </c>
      <c r="BN4532" s="2" t="s">
        <v>91</v>
      </c>
      <c r="BO4532" s="2"/>
      <c r="BP4532" s="2">
        <v>13</v>
      </c>
      <c r="BQ4532" s="2" t="s">
        <v>91</v>
      </c>
      <c r="BR4532" s="2" t="s">
        <v>524</v>
      </c>
      <c r="BS4532" s="3">
        <v>40485</v>
      </c>
      <c r="BT4532" s="4">
        <v>0.77865740740740741</v>
      </c>
    </row>
    <row r="4533" spans="1:72" x14ac:dyDescent="0.25">
      <c r="A4533" s="2">
        <v>6927</v>
      </c>
      <c r="B4533" s="2">
        <v>2010</v>
      </c>
      <c r="C4533" s="2" t="s">
        <v>255</v>
      </c>
      <c r="D4533" s="2" t="s">
        <v>73</v>
      </c>
      <c r="E4533" s="2"/>
      <c r="F4533" s="2">
        <v>70</v>
      </c>
      <c r="G4533" s="2" t="s">
        <v>3539</v>
      </c>
      <c r="H4533" s="2">
        <v>108</v>
      </c>
      <c r="I4533" s="2" t="s">
        <v>1096</v>
      </c>
      <c r="J4533" s="2">
        <v>689</v>
      </c>
      <c r="K4533" s="2" t="s">
        <v>13469</v>
      </c>
      <c r="L4533" s="2" t="s">
        <v>13470</v>
      </c>
      <c r="M4533" s="3">
        <v>40485</v>
      </c>
      <c r="N4533" s="2" t="s">
        <v>5060</v>
      </c>
      <c r="O4533" s="2"/>
      <c r="P4533" s="2"/>
      <c r="Q4533" s="2" t="str">
        <f>"03/2010"</f>
        <v>03/2010</v>
      </c>
      <c r="R4533" s="2" t="s">
        <v>14066</v>
      </c>
      <c r="S4533" s="2" t="s">
        <v>14066</v>
      </c>
      <c r="T4533" s="2">
        <v>1</v>
      </c>
      <c r="U4533" s="2" t="s">
        <v>79</v>
      </c>
      <c r="V4533" s="2">
        <v>1</v>
      </c>
      <c r="W4533" s="2" t="s">
        <v>80</v>
      </c>
      <c r="X4533" s="2">
        <v>12</v>
      </c>
      <c r="Y4533" s="2" t="s">
        <v>148</v>
      </c>
      <c r="Z4533" s="2">
        <v>1</v>
      </c>
      <c r="AA4533" s="2" t="s">
        <v>82</v>
      </c>
      <c r="AB4533" s="2">
        <v>9</v>
      </c>
      <c r="AC4533" s="2" t="s">
        <v>124</v>
      </c>
      <c r="AD4533" s="3">
        <v>40485</v>
      </c>
      <c r="AE4533" s="2"/>
      <c r="AF4533" s="3">
        <v>40485</v>
      </c>
      <c r="AG4533" s="4">
        <v>0.72222222222222221</v>
      </c>
      <c r="AH4533" s="2">
        <v>3</v>
      </c>
      <c r="AI4533" s="2" t="s">
        <v>214</v>
      </c>
      <c r="AJ4533" s="2">
        <v>21</v>
      </c>
      <c r="AK4533" s="2" t="s">
        <v>3544</v>
      </c>
      <c r="AL4533" s="2">
        <v>9</v>
      </c>
      <c r="AM4533" s="2" t="s">
        <v>259</v>
      </c>
      <c r="AN4533" s="2" t="s">
        <v>14067</v>
      </c>
      <c r="AO4533" s="2"/>
      <c r="AP4533" s="2">
        <v>11</v>
      </c>
      <c r="AQ4533" s="2" t="s">
        <v>82</v>
      </c>
      <c r="AR4533" s="2"/>
      <c r="AS4533" s="2"/>
      <c r="AT4533" s="2" t="s">
        <v>14068</v>
      </c>
      <c r="AU4533" s="2"/>
      <c r="AV4533" s="2"/>
      <c r="AW4533" s="2"/>
      <c r="AX4533" s="2"/>
      <c r="AY4533" s="2">
        <v>44</v>
      </c>
      <c r="AZ4533" s="2" t="s">
        <v>262</v>
      </c>
      <c r="BA4533" s="2">
        <v>44</v>
      </c>
      <c r="BB4533" s="2" t="s">
        <v>262</v>
      </c>
      <c r="BC4533" s="2">
        <v>41</v>
      </c>
      <c r="BD4533" s="2" t="s">
        <v>82</v>
      </c>
      <c r="BE4533" s="2">
        <v>41</v>
      </c>
      <c r="BF4533" s="2" t="s">
        <v>82</v>
      </c>
      <c r="BG4533" s="2"/>
      <c r="BH4533" s="2"/>
      <c r="BI4533" s="2"/>
      <c r="BJ4533" s="2">
        <v>241</v>
      </c>
      <c r="BK4533" s="2" t="s">
        <v>82</v>
      </c>
      <c r="BL4533" s="2"/>
      <c r="BM4533" s="2">
        <v>241</v>
      </c>
      <c r="BN4533" s="2" t="s">
        <v>82</v>
      </c>
      <c r="BO4533" s="2"/>
      <c r="BP4533" s="2">
        <v>241</v>
      </c>
      <c r="BQ4533" s="2" t="s">
        <v>82</v>
      </c>
      <c r="BR4533" s="2"/>
      <c r="BS4533" s="3">
        <v>40485</v>
      </c>
      <c r="BT4533" s="4">
        <v>0.96018518518518514</v>
      </c>
    </row>
    <row r="4534" spans="1:72" x14ac:dyDescent="0.25">
      <c r="A4534" s="2">
        <v>6931</v>
      </c>
      <c r="B4534" s="2">
        <v>2010</v>
      </c>
      <c r="C4534" s="2" t="s">
        <v>659</v>
      </c>
      <c r="D4534" s="2" t="s">
        <v>73</v>
      </c>
      <c r="E4534" s="2"/>
      <c r="F4534" s="2">
        <v>3</v>
      </c>
      <c r="G4534" s="2" t="s">
        <v>1041</v>
      </c>
      <c r="H4534" s="2">
        <v>42</v>
      </c>
      <c r="I4534" s="2" t="s">
        <v>1096</v>
      </c>
      <c r="J4534" s="2">
        <v>368</v>
      </c>
      <c r="K4534" s="2" t="s">
        <v>1042</v>
      </c>
      <c r="L4534" s="2" t="s">
        <v>1043</v>
      </c>
      <c r="M4534" s="3">
        <v>40486</v>
      </c>
      <c r="N4534" s="2" t="s">
        <v>107</v>
      </c>
      <c r="O4534" s="2" t="s">
        <v>14069</v>
      </c>
      <c r="P4534" s="2" t="s">
        <v>107</v>
      </c>
      <c r="Q4534" s="2" t="str">
        <f>"572-E/10"</f>
        <v>572-E/10</v>
      </c>
      <c r="R4534" s="2" t="s">
        <v>14069</v>
      </c>
      <c r="S4534" s="2"/>
      <c r="T4534" s="2">
        <v>1</v>
      </c>
      <c r="U4534" s="2" t="s">
        <v>79</v>
      </c>
      <c r="V4534" s="2">
        <v>1</v>
      </c>
      <c r="W4534" s="2" t="s">
        <v>80</v>
      </c>
      <c r="X4534" s="2">
        <v>1</v>
      </c>
      <c r="Y4534" s="2" t="s">
        <v>81</v>
      </c>
      <c r="Z4534" s="2">
        <v>1</v>
      </c>
      <c r="AA4534" s="2" t="s">
        <v>82</v>
      </c>
      <c r="AB4534" s="2">
        <v>9</v>
      </c>
      <c r="AC4534" s="2" t="s">
        <v>124</v>
      </c>
      <c r="AD4534" s="3">
        <v>40486</v>
      </c>
      <c r="AE4534" s="2"/>
      <c r="AF4534" s="3">
        <v>40486</v>
      </c>
      <c r="AG4534" s="4">
        <v>0.20833333333333334</v>
      </c>
      <c r="AH4534" s="2">
        <v>2</v>
      </c>
      <c r="AI4534" s="2" t="s">
        <v>84</v>
      </c>
      <c r="AJ4534" s="2">
        <v>9</v>
      </c>
      <c r="AK4534" s="2" t="s">
        <v>103</v>
      </c>
      <c r="AL4534" s="2">
        <v>28</v>
      </c>
      <c r="AM4534" s="2" t="s">
        <v>5969</v>
      </c>
      <c r="AN4534" s="2" t="s">
        <v>14070</v>
      </c>
      <c r="AO4534" s="2" t="s">
        <v>82</v>
      </c>
      <c r="AP4534" s="2">
        <v>11</v>
      </c>
      <c r="AQ4534" s="2" t="s">
        <v>82</v>
      </c>
      <c r="AR4534" s="2"/>
      <c r="AS4534" s="2"/>
      <c r="AT4534" s="2" t="s">
        <v>14071</v>
      </c>
      <c r="AU4534" s="2"/>
      <c r="AV4534" s="2"/>
      <c r="AW4534" s="2"/>
      <c r="AX4534" s="2"/>
      <c r="AY4534" s="2">
        <v>41</v>
      </c>
      <c r="AZ4534" s="2" t="s">
        <v>82</v>
      </c>
      <c r="BA4534" s="2">
        <v>41</v>
      </c>
      <c r="BB4534" s="2" t="s">
        <v>82</v>
      </c>
      <c r="BC4534" s="2">
        <v>41</v>
      </c>
      <c r="BD4534" s="2" t="s">
        <v>82</v>
      </c>
      <c r="BE4534" s="2">
        <v>41</v>
      </c>
      <c r="BF4534" s="2" t="s">
        <v>82</v>
      </c>
      <c r="BG4534" s="2"/>
      <c r="BH4534" s="2"/>
      <c r="BI4534" s="2"/>
      <c r="BJ4534" s="2">
        <v>241</v>
      </c>
      <c r="BK4534" s="2" t="s">
        <v>82</v>
      </c>
      <c r="BL4534" s="2"/>
      <c r="BM4534" s="2">
        <v>241</v>
      </c>
      <c r="BN4534" s="2" t="s">
        <v>82</v>
      </c>
      <c r="BO4534" s="2"/>
      <c r="BP4534" s="2">
        <v>241</v>
      </c>
      <c r="BQ4534" s="2" t="s">
        <v>82</v>
      </c>
      <c r="BR4534" s="2"/>
      <c r="BS4534" s="3">
        <v>40486</v>
      </c>
      <c r="BT4534" s="4">
        <v>0.26476851851851851</v>
      </c>
    </row>
    <row r="4535" spans="1:72" x14ac:dyDescent="0.25">
      <c r="A4535" s="2">
        <v>6932</v>
      </c>
      <c r="B4535" s="2">
        <v>2010</v>
      </c>
      <c r="C4535" s="2" t="s">
        <v>171</v>
      </c>
      <c r="D4535" s="2" t="s">
        <v>73</v>
      </c>
      <c r="E4535" s="2"/>
      <c r="F4535" s="2">
        <v>390</v>
      </c>
      <c r="G4535" s="2" t="s">
        <v>475</v>
      </c>
      <c r="H4535" s="2">
        <v>71</v>
      </c>
      <c r="I4535" s="2" t="s">
        <v>335</v>
      </c>
      <c r="J4535" s="2">
        <v>533</v>
      </c>
      <c r="K4535" s="2" t="s">
        <v>6511</v>
      </c>
      <c r="L4535" s="2" t="s">
        <v>478</v>
      </c>
      <c r="M4535" s="3">
        <v>40486</v>
      </c>
      <c r="N4535" s="2" t="s">
        <v>6512</v>
      </c>
      <c r="O4535" s="2" t="s">
        <v>7807</v>
      </c>
      <c r="P4535" s="2">
        <v>1532</v>
      </c>
      <c r="Q4535" s="2" t="str">
        <f>""</f>
        <v/>
      </c>
      <c r="R4535" s="2"/>
      <c r="S4535" s="2"/>
      <c r="T4535" s="2">
        <v>1</v>
      </c>
      <c r="U4535" s="2" t="s">
        <v>79</v>
      </c>
      <c r="V4535" s="2">
        <v>3</v>
      </c>
      <c r="W4535" s="2" t="s">
        <v>225</v>
      </c>
      <c r="X4535" s="2">
        <v>6</v>
      </c>
      <c r="Y4535" s="2" t="s">
        <v>249</v>
      </c>
      <c r="Z4535" s="2">
        <v>1</v>
      </c>
      <c r="AA4535" s="2" t="s">
        <v>82</v>
      </c>
      <c r="AB4535" s="2">
        <v>9</v>
      </c>
      <c r="AC4535" s="2" t="s">
        <v>124</v>
      </c>
      <c r="AD4535" s="2"/>
      <c r="AE4535" s="2"/>
      <c r="AF4535" s="3">
        <v>40483</v>
      </c>
      <c r="AG4535" s="2"/>
      <c r="AH4535" s="2">
        <v>2</v>
      </c>
      <c r="AI4535" s="2" t="s">
        <v>84</v>
      </c>
      <c r="AJ4535" s="2">
        <v>6</v>
      </c>
      <c r="AK4535" s="2" t="s">
        <v>453</v>
      </c>
      <c r="AL4535" s="2">
        <v>23</v>
      </c>
      <c r="AM4535" s="2" t="s">
        <v>251</v>
      </c>
      <c r="AN4535" s="2"/>
      <c r="AO4535" s="2" t="s">
        <v>14072</v>
      </c>
      <c r="AP4535" s="2">
        <v>11</v>
      </c>
      <c r="AQ4535" s="2" t="s">
        <v>82</v>
      </c>
      <c r="AR4535" s="2"/>
      <c r="AS4535" s="2"/>
      <c r="AT4535" s="2" t="s">
        <v>14073</v>
      </c>
      <c r="AU4535" s="2"/>
      <c r="AV4535" s="2"/>
      <c r="AW4535" s="2"/>
      <c r="AX4535" s="2"/>
      <c r="AY4535" s="2">
        <v>41</v>
      </c>
      <c r="AZ4535" s="2" t="s">
        <v>82</v>
      </c>
      <c r="BA4535" s="2">
        <v>41</v>
      </c>
      <c r="BB4535" s="2" t="s">
        <v>82</v>
      </c>
      <c r="BC4535" s="2">
        <v>41</v>
      </c>
      <c r="BD4535" s="2" t="s">
        <v>82</v>
      </c>
      <c r="BE4535" s="2">
        <v>41</v>
      </c>
      <c r="BF4535" s="2" t="s">
        <v>82</v>
      </c>
      <c r="BG4535" s="2"/>
      <c r="BH4535" s="2"/>
      <c r="BI4535" s="2"/>
      <c r="BJ4535" s="2">
        <v>241</v>
      </c>
      <c r="BK4535" s="2" t="s">
        <v>82</v>
      </c>
      <c r="BL4535" s="2"/>
      <c r="BM4535" s="2">
        <v>241</v>
      </c>
      <c r="BN4535" s="2" t="s">
        <v>82</v>
      </c>
      <c r="BO4535" s="2"/>
      <c r="BP4535" s="2">
        <v>241</v>
      </c>
      <c r="BQ4535" s="2" t="s">
        <v>82</v>
      </c>
      <c r="BR4535" s="2"/>
      <c r="BS4535" s="3">
        <v>40486</v>
      </c>
      <c r="BT4535" s="4">
        <v>0.43199074074074079</v>
      </c>
    </row>
    <row r="4536" spans="1:72" x14ac:dyDescent="0.25">
      <c r="A4536" s="2">
        <v>6934</v>
      </c>
      <c r="B4536" s="2">
        <v>2010</v>
      </c>
      <c r="C4536" s="2" t="s">
        <v>147</v>
      </c>
      <c r="D4536" s="2" t="s">
        <v>73</v>
      </c>
      <c r="E4536" s="2"/>
      <c r="F4536" s="2">
        <v>1</v>
      </c>
      <c r="G4536" s="2" t="s">
        <v>82</v>
      </c>
      <c r="H4536" s="2">
        <v>1</v>
      </c>
      <c r="I4536" s="2" t="s">
        <v>82</v>
      </c>
      <c r="J4536" s="2">
        <v>1</v>
      </c>
      <c r="K4536" s="2" t="s">
        <v>107</v>
      </c>
      <c r="L4536" s="2" t="s">
        <v>107</v>
      </c>
      <c r="M4536" s="3">
        <v>40486</v>
      </c>
      <c r="N4536" s="2"/>
      <c r="O4536" s="2"/>
      <c r="P4536" s="2"/>
      <c r="Q4536" s="2" t="str">
        <f>""</f>
        <v/>
      </c>
      <c r="R4536" s="2"/>
      <c r="S4536" s="2"/>
      <c r="T4536" s="2">
        <v>2</v>
      </c>
      <c r="U4536" s="2" t="s">
        <v>123</v>
      </c>
      <c r="V4536" s="2">
        <v>1</v>
      </c>
      <c r="W4536" s="2" t="s">
        <v>80</v>
      </c>
      <c r="X4536" s="2">
        <v>12</v>
      </c>
      <c r="Y4536" s="2" t="s">
        <v>148</v>
      </c>
      <c r="Z4536" s="2">
        <v>1</v>
      </c>
      <c r="AA4536" s="2" t="s">
        <v>82</v>
      </c>
      <c r="AB4536" s="2">
        <v>9</v>
      </c>
      <c r="AC4536" s="2" t="s">
        <v>124</v>
      </c>
      <c r="AD4536" s="2"/>
      <c r="AE4536" s="2"/>
      <c r="AF4536" s="3">
        <v>40486</v>
      </c>
      <c r="AG4536" s="4">
        <v>0.4375</v>
      </c>
      <c r="AH4536" s="2">
        <v>3</v>
      </c>
      <c r="AI4536" s="2" t="s">
        <v>214</v>
      </c>
      <c r="AJ4536" s="2">
        <v>24</v>
      </c>
      <c r="AK4536" s="2" t="s">
        <v>215</v>
      </c>
      <c r="AL4536" s="2">
        <v>19</v>
      </c>
      <c r="AM4536" s="2" t="s">
        <v>107</v>
      </c>
      <c r="AN4536" s="2" t="s">
        <v>107</v>
      </c>
      <c r="AO4536" s="2" t="s">
        <v>107</v>
      </c>
      <c r="AP4536" s="2">
        <v>11</v>
      </c>
      <c r="AQ4536" s="2" t="s">
        <v>82</v>
      </c>
      <c r="AR4536" s="2"/>
      <c r="AS4536" s="2"/>
      <c r="AT4536" s="2" t="s">
        <v>14074</v>
      </c>
      <c r="AU4536" s="2"/>
      <c r="AV4536" s="2"/>
      <c r="AW4536" s="2"/>
      <c r="AX4536" s="2"/>
      <c r="AY4536" s="2">
        <v>70</v>
      </c>
      <c r="AZ4536" s="2" t="s">
        <v>236</v>
      </c>
      <c r="BA4536" s="2">
        <v>41</v>
      </c>
      <c r="BB4536" s="2" t="s">
        <v>82</v>
      </c>
      <c r="BC4536" s="2">
        <v>41</v>
      </c>
      <c r="BD4536" s="2" t="s">
        <v>82</v>
      </c>
      <c r="BE4536" s="2">
        <v>41</v>
      </c>
      <c r="BF4536" s="2" t="s">
        <v>82</v>
      </c>
      <c r="BG4536" s="2"/>
      <c r="BH4536" s="2"/>
      <c r="BI4536" s="2"/>
      <c r="BJ4536" s="2">
        <v>241</v>
      </c>
      <c r="BK4536" s="2" t="s">
        <v>82</v>
      </c>
      <c r="BL4536" s="2"/>
      <c r="BM4536" s="2">
        <v>241</v>
      </c>
      <c r="BN4536" s="2" t="s">
        <v>82</v>
      </c>
      <c r="BO4536" s="2"/>
      <c r="BP4536" s="2">
        <v>241</v>
      </c>
      <c r="BQ4536" s="2" t="s">
        <v>82</v>
      </c>
      <c r="BR4536" s="2"/>
      <c r="BS4536" s="3">
        <v>40486</v>
      </c>
      <c r="BT4536" s="4">
        <v>0.45978009259259256</v>
      </c>
    </row>
    <row r="4537" spans="1:72" x14ac:dyDescent="0.25">
      <c r="A4537" s="2">
        <v>6935</v>
      </c>
      <c r="B4537" s="2">
        <v>2010</v>
      </c>
      <c r="C4537" s="2" t="s">
        <v>171</v>
      </c>
      <c r="D4537" s="2" t="s">
        <v>73</v>
      </c>
      <c r="E4537" s="2"/>
      <c r="F4537" s="2">
        <v>397</v>
      </c>
      <c r="G4537" s="2" t="s">
        <v>2522</v>
      </c>
      <c r="H4537" s="2">
        <v>11</v>
      </c>
      <c r="I4537" s="2" t="s">
        <v>1397</v>
      </c>
      <c r="J4537" s="2">
        <v>377</v>
      </c>
      <c r="K4537" s="2" t="s">
        <v>1223</v>
      </c>
      <c r="L4537" s="2" t="s">
        <v>1224</v>
      </c>
      <c r="M4537" s="3">
        <v>40486</v>
      </c>
      <c r="N4537" s="2" t="s">
        <v>13479</v>
      </c>
      <c r="O4537" s="2" t="s">
        <v>14075</v>
      </c>
      <c r="P4537" s="2">
        <v>1389</v>
      </c>
      <c r="Q4537" s="2" t="str">
        <f>"563E/10"</f>
        <v>563E/10</v>
      </c>
      <c r="R4537" s="2" t="s">
        <v>391</v>
      </c>
      <c r="S4537" s="2"/>
      <c r="T4537" s="2">
        <v>1</v>
      </c>
      <c r="U4537" s="2" t="s">
        <v>79</v>
      </c>
      <c r="V4537" s="2">
        <v>3</v>
      </c>
      <c r="W4537" s="2" t="s">
        <v>225</v>
      </c>
      <c r="X4537" s="2">
        <v>6</v>
      </c>
      <c r="Y4537" s="2" t="s">
        <v>249</v>
      </c>
      <c r="Z4537" s="2">
        <v>1</v>
      </c>
      <c r="AA4537" s="2" t="s">
        <v>82</v>
      </c>
      <c r="AB4537" s="2">
        <v>9</v>
      </c>
      <c r="AC4537" s="2" t="s">
        <v>124</v>
      </c>
      <c r="AD4537" s="2"/>
      <c r="AE4537" s="2"/>
      <c r="AF4537" s="3">
        <v>40480</v>
      </c>
      <c r="AG4537" s="2"/>
      <c r="AH4537" s="2">
        <v>2</v>
      </c>
      <c r="AI4537" s="2" t="s">
        <v>84</v>
      </c>
      <c r="AJ4537" s="2">
        <v>6</v>
      </c>
      <c r="AK4537" s="2" t="s">
        <v>453</v>
      </c>
      <c r="AL4537" s="2">
        <v>23</v>
      </c>
      <c r="AM4537" s="2" t="s">
        <v>251</v>
      </c>
      <c r="AN4537" s="2" t="s">
        <v>14076</v>
      </c>
      <c r="AO4537" s="2" t="s">
        <v>170</v>
      </c>
      <c r="AP4537" s="2">
        <v>11</v>
      </c>
      <c r="AQ4537" s="2" t="s">
        <v>82</v>
      </c>
      <c r="AR4537" s="2"/>
      <c r="AS4537" s="2"/>
      <c r="AT4537" s="2" t="s">
        <v>14077</v>
      </c>
      <c r="AU4537" s="2"/>
      <c r="AV4537" s="2"/>
      <c r="AW4537" s="2"/>
      <c r="AX4537" s="2"/>
      <c r="AY4537" s="2">
        <v>41</v>
      </c>
      <c r="AZ4537" s="2" t="s">
        <v>82</v>
      </c>
      <c r="BA4537" s="2">
        <v>41</v>
      </c>
      <c r="BB4537" s="2" t="s">
        <v>82</v>
      </c>
      <c r="BC4537" s="2">
        <v>41</v>
      </c>
      <c r="BD4537" s="2" t="s">
        <v>82</v>
      </c>
      <c r="BE4537" s="2">
        <v>41</v>
      </c>
      <c r="BF4537" s="2" t="s">
        <v>82</v>
      </c>
      <c r="BG4537" s="2"/>
      <c r="BH4537" s="2"/>
      <c r="BI4537" s="2"/>
      <c r="BJ4537" s="2">
        <v>241</v>
      </c>
      <c r="BK4537" s="2" t="s">
        <v>82</v>
      </c>
      <c r="BL4537" s="2"/>
      <c r="BM4537" s="2">
        <v>241</v>
      </c>
      <c r="BN4537" s="2" t="s">
        <v>82</v>
      </c>
      <c r="BO4537" s="2"/>
      <c r="BP4537" s="2">
        <v>241</v>
      </c>
      <c r="BQ4537" s="2" t="s">
        <v>82</v>
      </c>
      <c r="BR4537" s="2"/>
      <c r="BS4537" s="3">
        <v>40486</v>
      </c>
      <c r="BT4537" s="4">
        <v>0.4913541666666667</v>
      </c>
    </row>
    <row r="4538" spans="1:72" x14ac:dyDescent="0.25">
      <c r="A4538" s="2">
        <v>6936</v>
      </c>
      <c r="B4538" s="2">
        <v>2010</v>
      </c>
      <c r="C4538" s="2" t="s">
        <v>196</v>
      </c>
      <c r="D4538" s="2" t="s">
        <v>122</v>
      </c>
      <c r="E4538" s="2"/>
      <c r="F4538" s="2">
        <v>1</v>
      </c>
      <c r="G4538" s="2" t="s">
        <v>82</v>
      </c>
      <c r="H4538" s="2">
        <v>1</v>
      </c>
      <c r="I4538" s="2" t="s">
        <v>82</v>
      </c>
      <c r="J4538" s="2">
        <v>1</v>
      </c>
      <c r="K4538" s="2" t="s">
        <v>107</v>
      </c>
      <c r="L4538" s="2" t="s">
        <v>107</v>
      </c>
      <c r="M4538" s="3">
        <v>40486</v>
      </c>
      <c r="N4538" s="2"/>
      <c r="O4538" s="2"/>
      <c r="P4538" s="2"/>
      <c r="Q4538" s="2" t="str">
        <f>""</f>
        <v/>
      </c>
      <c r="R4538" s="2"/>
      <c r="S4538" s="2"/>
      <c r="T4538" s="2">
        <v>2</v>
      </c>
      <c r="U4538" s="2" t="s">
        <v>123</v>
      </c>
      <c r="V4538" s="2">
        <v>1</v>
      </c>
      <c r="W4538" s="2" t="s">
        <v>80</v>
      </c>
      <c r="X4538" s="2">
        <v>11</v>
      </c>
      <c r="Y4538" s="2" t="s">
        <v>1920</v>
      </c>
      <c r="Z4538" s="2">
        <v>1</v>
      </c>
      <c r="AA4538" s="2" t="s">
        <v>82</v>
      </c>
      <c r="AB4538" s="2">
        <v>9</v>
      </c>
      <c r="AC4538" s="2" t="s">
        <v>124</v>
      </c>
      <c r="AD4538" s="3">
        <v>40486</v>
      </c>
      <c r="AE4538" s="4">
        <v>0.375</v>
      </c>
      <c r="AF4538" s="2"/>
      <c r="AG4538" s="2"/>
      <c r="AH4538" s="2">
        <v>2</v>
      </c>
      <c r="AI4538" s="2" t="s">
        <v>84</v>
      </c>
      <c r="AJ4538" s="2">
        <v>112</v>
      </c>
      <c r="AK4538" s="2" t="s">
        <v>14078</v>
      </c>
      <c r="AL4538" s="2">
        <v>2</v>
      </c>
      <c r="AM4538" s="2" t="s">
        <v>163</v>
      </c>
      <c r="AN4538" s="2" t="s">
        <v>82</v>
      </c>
      <c r="AO4538" s="2" t="s">
        <v>14079</v>
      </c>
      <c r="AP4538" s="2">
        <v>11</v>
      </c>
      <c r="AQ4538" s="2" t="s">
        <v>82</v>
      </c>
      <c r="AR4538" s="2"/>
      <c r="AS4538" s="2"/>
      <c r="AT4538" s="2" t="s">
        <v>14080</v>
      </c>
      <c r="AU4538" s="2"/>
      <c r="AV4538" s="2"/>
      <c r="AW4538" s="2"/>
      <c r="AX4538" s="2"/>
      <c r="AY4538" s="2">
        <v>41</v>
      </c>
      <c r="AZ4538" s="2" t="s">
        <v>82</v>
      </c>
      <c r="BA4538" s="2">
        <v>41</v>
      </c>
      <c r="BB4538" s="2" t="s">
        <v>82</v>
      </c>
      <c r="BC4538" s="2">
        <v>41</v>
      </c>
      <c r="BD4538" s="2" t="s">
        <v>82</v>
      </c>
      <c r="BE4538" s="2">
        <v>41</v>
      </c>
      <c r="BF4538" s="2" t="s">
        <v>82</v>
      </c>
      <c r="BG4538" s="2"/>
      <c r="BH4538" s="2"/>
      <c r="BI4538" s="2"/>
      <c r="BJ4538" s="2">
        <v>13</v>
      </c>
      <c r="BK4538" s="2" t="s">
        <v>91</v>
      </c>
      <c r="BL4538" s="2" t="s">
        <v>10614</v>
      </c>
      <c r="BM4538" s="2">
        <v>13</v>
      </c>
      <c r="BN4538" s="2" t="s">
        <v>91</v>
      </c>
      <c r="BO4538" s="2"/>
      <c r="BP4538" s="2">
        <v>13</v>
      </c>
      <c r="BQ4538" s="2" t="s">
        <v>91</v>
      </c>
      <c r="BR4538" s="2" t="s">
        <v>647</v>
      </c>
      <c r="BS4538" s="3">
        <v>40486</v>
      </c>
      <c r="BT4538" s="4">
        <v>0.49465277777777777</v>
      </c>
    </row>
    <row r="4539" spans="1:72" x14ac:dyDescent="0.25">
      <c r="A4539" s="2">
        <v>6937</v>
      </c>
      <c r="B4539" s="2">
        <v>2010</v>
      </c>
      <c r="C4539" s="2" t="s">
        <v>93</v>
      </c>
      <c r="D4539" s="2" t="s">
        <v>122</v>
      </c>
      <c r="E4539" s="2"/>
      <c r="F4539" s="2">
        <v>114</v>
      </c>
      <c r="G4539" s="2" t="s">
        <v>2817</v>
      </c>
      <c r="H4539" s="2">
        <v>42</v>
      </c>
      <c r="I4539" s="2" t="s">
        <v>1096</v>
      </c>
      <c r="J4539" s="2">
        <v>133</v>
      </c>
      <c r="K4539" s="2" t="s">
        <v>3844</v>
      </c>
      <c r="L4539" s="2" t="s">
        <v>3845</v>
      </c>
      <c r="M4539" s="3">
        <v>40486</v>
      </c>
      <c r="N4539" s="2" t="s">
        <v>11138</v>
      </c>
      <c r="O4539" s="2" t="s">
        <v>14081</v>
      </c>
      <c r="P4539" s="2" t="s">
        <v>14082</v>
      </c>
      <c r="Q4539" s="2" t="str">
        <f>"S/D"</f>
        <v>S/D</v>
      </c>
      <c r="R4539" s="2" t="s">
        <v>107</v>
      </c>
      <c r="S4539" s="2" t="s">
        <v>107</v>
      </c>
      <c r="T4539" s="2">
        <v>1</v>
      </c>
      <c r="U4539" s="2" t="s">
        <v>79</v>
      </c>
      <c r="V4539" s="2">
        <v>1</v>
      </c>
      <c r="W4539" s="2" t="s">
        <v>80</v>
      </c>
      <c r="X4539" s="2">
        <v>11</v>
      </c>
      <c r="Y4539" s="2" t="s">
        <v>1920</v>
      </c>
      <c r="Z4539" s="2">
        <v>10</v>
      </c>
      <c r="AA4539" s="2" t="s">
        <v>236</v>
      </c>
      <c r="AB4539" s="2">
        <v>2</v>
      </c>
      <c r="AC4539" s="2" t="s">
        <v>102</v>
      </c>
      <c r="AD4539" s="3">
        <v>40486</v>
      </c>
      <c r="AE4539" s="4">
        <v>0.45833333333333331</v>
      </c>
      <c r="AF4539" s="2"/>
      <c r="AG4539" s="2"/>
      <c r="AH4539" s="2">
        <v>6</v>
      </c>
      <c r="AI4539" s="2" t="s">
        <v>197</v>
      </c>
      <c r="AJ4539" s="2">
        <v>54</v>
      </c>
      <c r="AK4539" s="2" t="s">
        <v>348</v>
      </c>
      <c r="AL4539" s="2">
        <v>23</v>
      </c>
      <c r="AM4539" s="2" t="s">
        <v>251</v>
      </c>
      <c r="AN4539" s="2" t="s">
        <v>14083</v>
      </c>
      <c r="AO4539" s="2" t="s">
        <v>253</v>
      </c>
      <c r="AP4539" s="2">
        <v>11</v>
      </c>
      <c r="AQ4539" s="2" t="s">
        <v>82</v>
      </c>
      <c r="AR4539" s="2"/>
      <c r="AS4539" s="2"/>
      <c r="AT4539" s="2" t="s">
        <v>14084</v>
      </c>
      <c r="AU4539" s="2"/>
      <c r="AV4539" s="2"/>
      <c r="AW4539" s="2"/>
      <c r="AX4539" s="2"/>
      <c r="AY4539" s="2">
        <v>41</v>
      </c>
      <c r="AZ4539" s="2" t="s">
        <v>82</v>
      </c>
      <c r="BA4539" s="2">
        <v>41</v>
      </c>
      <c r="BB4539" s="2" t="s">
        <v>82</v>
      </c>
      <c r="BC4539" s="2">
        <v>41</v>
      </c>
      <c r="BD4539" s="2" t="s">
        <v>82</v>
      </c>
      <c r="BE4539" s="2">
        <v>41</v>
      </c>
      <c r="BF4539" s="2" t="s">
        <v>82</v>
      </c>
      <c r="BG4539" s="2"/>
      <c r="BH4539" s="2"/>
      <c r="BI4539" s="2"/>
      <c r="BJ4539" s="2">
        <v>241</v>
      </c>
      <c r="BK4539" s="2" t="s">
        <v>82</v>
      </c>
      <c r="BL4539" s="2"/>
      <c r="BM4539" s="2">
        <v>241</v>
      </c>
      <c r="BN4539" s="2" t="s">
        <v>82</v>
      </c>
      <c r="BO4539" s="2"/>
      <c r="BP4539" s="2">
        <v>241</v>
      </c>
      <c r="BQ4539" s="2" t="s">
        <v>82</v>
      </c>
      <c r="BR4539" s="2"/>
      <c r="BS4539" s="3">
        <v>40486</v>
      </c>
      <c r="BT4539" s="4">
        <v>0.52648148148148144</v>
      </c>
    </row>
    <row r="4540" spans="1:72" x14ac:dyDescent="0.25">
      <c r="A4540" s="2">
        <v>6939</v>
      </c>
      <c r="B4540" s="2">
        <v>2010</v>
      </c>
      <c r="C4540" s="2" t="s">
        <v>196</v>
      </c>
      <c r="D4540" s="2" t="s">
        <v>122</v>
      </c>
      <c r="E4540" s="2"/>
      <c r="F4540" s="2">
        <v>1</v>
      </c>
      <c r="G4540" s="2" t="s">
        <v>82</v>
      </c>
      <c r="H4540" s="2">
        <v>1</v>
      </c>
      <c r="I4540" s="2" t="s">
        <v>82</v>
      </c>
      <c r="J4540" s="2">
        <v>1</v>
      </c>
      <c r="K4540" s="2" t="s">
        <v>107</v>
      </c>
      <c r="L4540" s="2" t="s">
        <v>107</v>
      </c>
      <c r="M4540" s="3">
        <v>40486</v>
      </c>
      <c r="N4540" s="2"/>
      <c r="O4540" s="2"/>
      <c r="P4540" s="2"/>
      <c r="Q4540" s="2" t="str">
        <f>""</f>
        <v/>
      </c>
      <c r="R4540" s="2"/>
      <c r="S4540" s="2"/>
      <c r="T4540" s="2">
        <v>2</v>
      </c>
      <c r="U4540" s="2" t="s">
        <v>123</v>
      </c>
      <c r="V4540" s="2">
        <v>1</v>
      </c>
      <c r="W4540" s="2" t="s">
        <v>80</v>
      </c>
      <c r="X4540" s="2">
        <v>11</v>
      </c>
      <c r="Y4540" s="2" t="s">
        <v>1920</v>
      </c>
      <c r="Z4540" s="2">
        <v>1</v>
      </c>
      <c r="AA4540" s="2" t="s">
        <v>82</v>
      </c>
      <c r="AB4540" s="2">
        <v>9</v>
      </c>
      <c r="AC4540" s="2" t="s">
        <v>124</v>
      </c>
      <c r="AD4540" s="3">
        <v>40486</v>
      </c>
      <c r="AE4540" s="4">
        <v>0.52083333333333337</v>
      </c>
      <c r="AF4540" s="2"/>
      <c r="AG4540" s="2"/>
      <c r="AH4540" s="2">
        <v>2</v>
      </c>
      <c r="AI4540" s="2" t="s">
        <v>84</v>
      </c>
      <c r="AJ4540" s="2">
        <v>112</v>
      </c>
      <c r="AK4540" s="2" t="s">
        <v>14078</v>
      </c>
      <c r="AL4540" s="2">
        <v>2</v>
      </c>
      <c r="AM4540" s="2" t="s">
        <v>163</v>
      </c>
      <c r="AN4540" s="2" t="s">
        <v>82</v>
      </c>
      <c r="AO4540" s="2" t="s">
        <v>14085</v>
      </c>
      <c r="AP4540" s="2">
        <v>11</v>
      </c>
      <c r="AQ4540" s="2" t="s">
        <v>82</v>
      </c>
      <c r="AR4540" s="2"/>
      <c r="AS4540" s="2"/>
      <c r="AT4540" s="2" t="s">
        <v>14086</v>
      </c>
      <c r="AU4540" s="2"/>
      <c r="AV4540" s="2"/>
      <c r="AW4540" s="2"/>
      <c r="AX4540" s="2"/>
      <c r="AY4540" s="2">
        <v>41</v>
      </c>
      <c r="AZ4540" s="2" t="s">
        <v>82</v>
      </c>
      <c r="BA4540" s="2">
        <v>41</v>
      </c>
      <c r="BB4540" s="2" t="s">
        <v>82</v>
      </c>
      <c r="BC4540" s="2">
        <v>41</v>
      </c>
      <c r="BD4540" s="2" t="s">
        <v>82</v>
      </c>
      <c r="BE4540" s="2">
        <v>41</v>
      </c>
      <c r="BF4540" s="2" t="s">
        <v>82</v>
      </c>
      <c r="BG4540" s="2"/>
      <c r="BH4540" s="2"/>
      <c r="BI4540" s="2"/>
      <c r="BJ4540" s="2">
        <v>13</v>
      </c>
      <c r="BK4540" s="2" t="s">
        <v>91</v>
      </c>
      <c r="BL4540" s="2" t="s">
        <v>647</v>
      </c>
      <c r="BM4540" s="2">
        <v>13</v>
      </c>
      <c r="BN4540" s="2" t="s">
        <v>91</v>
      </c>
      <c r="BO4540" s="2"/>
      <c r="BP4540" s="2">
        <v>13</v>
      </c>
      <c r="BQ4540" s="2" t="s">
        <v>91</v>
      </c>
      <c r="BR4540" s="2" t="s">
        <v>10614</v>
      </c>
      <c r="BS4540" s="3">
        <v>40486</v>
      </c>
      <c r="BT4540" s="4">
        <v>0.67671296296296291</v>
      </c>
    </row>
    <row r="4541" spans="1:72" x14ac:dyDescent="0.25">
      <c r="A4541" s="2">
        <v>6946</v>
      </c>
      <c r="B4541" s="2">
        <v>2010</v>
      </c>
      <c r="C4541" s="2" t="s">
        <v>196</v>
      </c>
      <c r="D4541" s="2" t="s">
        <v>122</v>
      </c>
      <c r="E4541" s="2"/>
      <c r="F4541" s="2">
        <v>1</v>
      </c>
      <c r="G4541" s="2" t="s">
        <v>82</v>
      </c>
      <c r="H4541" s="2">
        <v>1</v>
      </c>
      <c r="I4541" s="2" t="s">
        <v>82</v>
      </c>
      <c r="J4541" s="2">
        <v>1</v>
      </c>
      <c r="K4541" s="2" t="s">
        <v>107</v>
      </c>
      <c r="L4541" s="2" t="s">
        <v>107</v>
      </c>
      <c r="M4541" s="3">
        <v>40486</v>
      </c>
      <c r="N4541" s="2"/>
      <c r="O4541" s="2" t="s">
        <v>107</v>
      </c>
      <c r="P4541" s="2" t="s">
        <v>107</v>
      </c>
      <c r="Q4541" s="2" t="str">
        <f>""</f>
        <v/>
      </c>
      <c r="R4541" s="2"/>
      <c r="S4541" s="2"/>
      <c r="T4541" s="2">
        <v>2</v>
      </c>
      <c r="U4541" s="2" t="s">
        <v>123</v>
      </c>
      <c r="V4541" s="2">
        <v>1</v>
      </c>
      <c r="W4541" s="2" t="s">
        <v>80</v>
      </c>
      <c r="X4541" s="2">
        <v>11</v>
      </c>
      <c r="Y4541" s="2" t="s">
        <v>1920</v>
      </c>
      <c r="Z4541" s="2">
        <v>1</v>
      </c>
      <c r="AA4541" s="2" t="s">
        <v>82</v>
      </c>
      <c r="AB4541" s="2">
        <v>9</v>
      </c>
      <c r="AC4541" s="2" t="s">
        <v>124</v>
      </c>
      <c r="AD4541" s="3">
        <v>40486</v>
      </c>
      <c r="AE4541" s="4">
        <v>0.4861111111111111</v>
      </c>
      <c r="AF4541" s="2"/>
      <c r="AG4541" s="2"/>
      <c r="AH4541" s="2">
        <v>2</v>
      </c>
      <c r="AI4541" s="2" t="s">
        <v>84</v>
      </c>
      <c r="AJ4541" s="2">
        <v>8</v>
      </c>
      <c r="AK4541" s="2" t="s">
        <v>436</v>
      </c>
      <c r="AL4541" s="2">
        <v>10</v>
      </c>
      <c r="AM4541" s="2" t="s">
        <v>200</v>
      </c>
      <c r="AN4541" s="2"/>
      <c r="AO4541" s="2" t="s">
        <v>230</v>
      </c>
      <c r="AP4541" s="2">
        <v>11</v>
      </c>
      <c r="AQ4541" s="2" t="s">
        <v>82</v>
      </c>
      <c r="AR4541" s="2"/>
      <c r="AS4541" s="2"/>
      <c r="AT4541" s="2" t="s">
        <v>14087</v>
      </c>
      <c r="AU4541" s="2"/>
      <c r="AV4541" s="2"/>
      <c r="AW4541" s="2"/>
      <c r="AX4541" s="2"/>
      <c r="AY4541" s="2">
        <v>41</v>
      </c>
      <c r="AZ4541" s="2" t="s">
        <v>82</v>
      </c>
      <c r="BA4541" s="2">
        <v>41</v>
      </c>
      <c r="BB4541" s="2" t="s">
        <v>82</v>
      </c>
      <c r="BC4541" s="2">
        <v>41</v>
      </c>
      <c r="BD4541" s="2" t="s">
        <v>82</v>
      </c>
      <c r="BE4541" s="2">
        <v>41</v>
      </c>
      <c r="BF4541" s="2" t="s">
        <v>82</v>
      </c>
      <c r="BG4541" s="2"/>
      <c r="BH4541" s="2"/>
      <c r="BI4541" s="2"/>
      <c r="BJ4541" s="2">
        <v>241</v>
      </c>
      <c r="BK4541" s="2" t="s">
        <v>82</v>
      </c>
      <c r="BL4541" s="2"/>
      <c r="BM4541" s="2">
        <v>241</v>
      </c>
      <c r="BN4541" s="2" t="s">
        <v>82</v>
      </c>
      <c r="BO4541" s="2"/>
      <c r="BP4541" s="2">
        <v>241</v>
      </c>
      <c r="BQ4541" s="2" t="s">
        <v>82</v>
      </c>
      <c r="BR4541" s="2"/>
      <c r="BS4541" s="3">
        <v>40486</v>
      </c>
      <c r="BT4541" s="4">
        <v>0.80060185185185195</v>
      </c>
    </row>
    <row r="4542" spans="1:72" x14ac:dyDescent="0.25">
      <c r="A4542" s="2">
        <v>6953</v>
      </c>
      <c r="B4542" s="2">
        <v>2010</v>
      </c>
      <c r="C4542" s="2" t="s">
        <v>72</v>
      </c>
      <c r="D4542" s="2" t="s">
        <v>73</v>
      </c>
      <c r="E4542" s="2"/>
      <c r="F4542" s="2">
        <v>390</v>
      </c>
      <c r="G4542" s="2" t="s">
        <v>475</v>
      </c>
      <c r="H4542" s="2">
        <v>5</v>
      </c>
      <c r="I4542" s="2" t="s">
        <v>634</v>
      </c>
      <c r="J4542" s="2">
        <v>314</v>
      </c>
      <c r="K4542" s="2" t="s">
        <v>477</v>
      </c>
      <c r="L4542" s="2" t="s">
        <v>478</v>
      </c>
      <c r="M4542" s="3">
        <v>40486</v>
      </c>
      <c r="N4542" s="2" t="s">
        <v>3705</v>
      </c>
      <c r="O4542" s="2"/>
      <c r="P4542" s="2"/>
      <c r="Q4542" s="2" t="str">
        <f>"573-E/10"</f>
        <v>573-E/10</v>
      </c>
      <c r="R4542" s="2" t="s">
        <v>601</v>
      </c>
      <c r="S4542" s="2" t="s">
        <v>601</v>
      </c>
      <c r="T4542" s="2">
        <v>1</v>
      </c>
      <c r="U4542" s="2" t="s">
        <v>79</v>
      </c>
      <c r="V4542" s="2">
        <v>1</v>
      </c>
      <c r="W4542" s="2" t="s">
        <v>80</v>
      </c>
      <c r="X4542" s="2">
        <v>12</v>
      </c>
      <c r="Y4542" s="2" t="s">
        <v>148</v>
      </c>
      <c r="Z4542" s="2">
        <v>1</v>
      </c>
      <c r="AA4542" s="2" t="s">
        <v>82</v>
      </c>
      <c r="AB4542" s="2">
        <v>6</v>
      </c>
      <c r="AC4542" s="2" t="s">
        <v>83</v>
      </c>
      <c r="AD4542" s="3">
        <v>40486</v>
      </c>
      <c r="AE4542" s="2"/>
      <c r="AF4542" s="3">
        <v>40486</v>
      </c>
      <c r="AG4542" s="4">
        <v>0.53125</v>
      </c>
      <c r="AH4542" s="2">
        <v>2</v>
      </c>
      <c r="AI4542" s="2" t="s">
        <v>84</v>
      </c>
      <c r="AJ4542" s="2">
        <v>9</v>
      </c>
      <c r="AK4542" s="2" t="s">
        <v>103</v>
      </c>
      <c r="AL4542" s="2">
        <v>22</v>
      </c>
      <c r="AM4542" s="2" t="s">
        <v>1853</v>
      </c>
      <c r="AN4542" s="2" t="s">
        <v>14088</v>
      </c>
      <c r="AO4542" s="2" t="s">
        <v>12115</v>
      </c>
      <c r="AP4542" s="2">
        <v>11</v>
      </c>
      <c r="AQ4542" s="2" t="s">
        <v>82</v>
      </c>
      <c r="AR4542" s="2"/>
      <c r="AS4542" s="2"/>
      <c r="AT4542" s="2" t="s">
        <v>14089</v>
      </c>
      <c r="AU4542" s="2"/>
      <c r="AV4542" s="2"/>
      <c r="AW4542" s="2"/>
      <c r="AX4542" s="2"/>
      <c r="AY4542" s="2">
        <v>41</v>
      </c>
      <c r="AZ4542" s="2" t="s">
        <v>82</v>
      </c>
      <c r="BA4542" s="2">
        <v>41</v>
      </c>
      <c r="BB4542" s="2" t="s">
        <v>82</v>
      </c>
      <c r="BC4542" s="2">
        <v>41</v>
      </c>
      <c r="BD4542" s="2" t="s">
        <v>82</v>
      </c>
      <c r="BE4542" s="2">
        <v>23</v>
      </c>
      <c r="BF4542" s="2" t="s">
        <v>183</v>
      </c>
      <c r="BG4542" s="2" t="s">
        <v>1375</v>
      </c>
      <c r="BH4542" s="4">
        <v>0.4861111111111111</v>
      </c>
      <c r="BI4542" s="4">
        <v>0.94444444444444453</v>
      </c>
      <c r="BJ4542" s="2">
        <v>73</v>
      </c>
      <c r="BK4542" s="2" t="s">
        <v>186</v>
      </c>
      <c r="BL4542" s="2" t="s">
        <v>187</v>
      </c>
      <c r="BM4542" s="2">
        <v>13</v>
      </c>
      <c r="BN4542" s="2" t="s">
        <v>91</v>
      </c>
      <c r="BO4542" s="2"/>
      <c r="BP4542" s="2">
        <v>13</v>
      </c>
      <c r="BQ4542" s="2" t="s">
        <v>91</v>
      </c>
      <c r="BR4542" s="2" t="s">
        <v>360</v>
      </c>
      <c r="BS4542" s="3">
        <v>40486</v>
      </c>
      <c r="BT4542" s="4">
        <v>0.95577546296296301</v>
      </c>
    </row>
    <row r="4543" spans="1:72" x14ac:dyDescent="0.25">
      <c r="A4543" s="2">
        <v>6954</v>
      </c>
      <c r="B4543" s="2">
        <v>2010</v>
      </c>
      <c r="C4543" s="2" t="s">
        <v>4543</v>
      </c>
      <c r="D4543" s="2" t="s">
        <v>122</v>
      </c>
      <c r="E4543" s="2" t="s">
        <v>14090</v>
      </c>
      <c r="F4543" s="2">
        <v>319</v>
      </c>
      <c r="G4543" s="2" t="s">
        <v>6516</v>
      </c>
      <c r="H4543" s="2">
        <v>42</v>
      </c>
      <c r="I4543" s="2" t="s">
        <v>1096</v>
      </c>
      <c r="J4543" s="2">
        <v>385</v>
      </c>
      <c r="K4543" s="2" t="s">
        <v>1314</v>
      </c>
      <c r="L4543" s="2" t="s">
        <v>1315</v>
      </c>
      <c r="M4543" s="3">
        <v>40486</v>
      </c>
      <c r="N4543" s="2" t="s">
        <v>14063</v>
      </c>
      <c r="O4543" s="2" t="s">
        <v>14091</v>
      </c>
      <c r="P4543" s="2" t="s">
        <v>14092</v>
      </c>
      <c r="Q4543" s="2" t="str">
        <f>"0026/10"</f>
        <v>0026/10</v>
      </c>
      <c r="R4543" s="2" t="s">
        <v>14064</v>
      </c>
      <c r="S4543" s="2" t="s">
        <v>14093</v>
      </c>
      <c r="T4543" s="2">
        <v>2</v>
      </c>
      <c r="U4543" s="2" t="s">
        <v>123</v>
      </c>
      <c r="V4543" s="2">
        <v>1</v>
      </c>
      <c r="W4543" s="2" t="s">
        <v>80</v>
      </c>
      <c r="X4543" s="2">
        <v>1</v>
      </c>
      <c r="Y4543" s="2" t="s">
        <v>81</v>
      </c>
      <c r="Z4543" s="2">
        <v>10</v>
      </c>
      <c r="AA4543" s="2" t="s">
        <v>236</v>
      </c>
      <c r="AB4543" s="2">
        <v>9</v>
      </c>
      <c r="AC4543" s="2" t="s">
        <v>124</v>
      </c>
      <c r="AD4543" s="3">
        <v>40485</v>
      </c>
      <c r="AE4543" s="4">
        <v>0.59027777777777779</v>
      </c>
      <c r="AF4543" s="3">
        <v>40485</v>
      </c>
      <c r="AG4543" s="2"/>
      <c r="AH4543" s="2">
        <v>5</v>
      </c>
      <c r="AI4543" s="2" t="s">
        <v>274</v>
      </c>
      <c r="AJ4543" s="2">
        <v>44</v>
      </c>
      <c r="AK4543" s="2" t="s">
        <v>667</v>
      </c>
      <c r="AL4543" s="2">
        <v>11</v>
      </c>
      <c r="AM4543" s="2" t="s">
        <v>137</v>
      </c>
      <c r="AN4543" s="2"/>
      <c r="AO4543" s="2" t="s">
        <v>14094</v>
      </c>
      <c r="AP4543" s="2">
        <v>12</v>
      </c>
      <c r="AQ4543" s="2" t="s">
        <v>322</v>
      </c>
      <c r="AR4543" s="2"/>
      <c r="AS4543" s="2"/>
      <c r="AT4543" s="2" t="s">
        <v>14095</v>
      </c>
      <c r="AU4543" s="2"/>
      <c r="AV4543" s="2"/>
      <c r="AW4543" s="2"/>
      <c r="AX4543" s="2"/>
      <c r="AY4543" s="2">
        <v>42</v>
      </c>
      <c r="AZ4543" s="2" t="s">
        <v>182</v>
      </c>
      <c r="BA4543" s="2">
        <v>70</v>
      </c>
      <c r="BB4543" s="2" t="s">
        <v>236</v>
      </c>
      <c r="BC4543" s="2">
        <v>56</v>
      </c>
      <c r="BD4543" s="2" t="s">
        <v>6520</v>
      </c>
      <c r="BE4543" s="2">
        <v>13</v>
      </c>
      <c r="BF4543" s="2" t="s">
        <v>108</v>
      </c>
      <c r="BG4543" s="2">
        <v>1779</v>
      </c>
      <c r="BH4543" s="4">
        <v>0.58819444444444446</v>
      </c>
      <c r="BI4543" s="4">
        <v>0.62847222222222221</v>
      </c>
      <c r="BJ4543" s="2">
        <v>13</v>
      </c>
      <c r="BK4543" s="2" t="s">
        <v>91</v>
      </c>
      <c r="BL4543" s="2" t="s">
        <v>1026</v>
      </c>
      <c r="BM4543" s="2">
        <v>13</v>
      </c>
      <c r="BN4543" s="2" t="s">
        <v>91</v>
      </c>
      <c r="BO4543" s="2"/>
      <c r="BP4543" s="2">
        <v>13</v>
      </c>
      <c r="BQ4543" s="2" t="s">
        <v>91</v>
      </c>
      <c r="BR4543" s="2" t="s">
        <v>524</v>
      </c>
      <c r="BS4543" s="3">
        <v>40486</v>
      </c>
      <c r="BT4543" s="4">
        <v>0.96084490740740736</v>
      </c>
    </row>
    <row r="4544" spans="1:72" x14ac:dyDescent="0.25">
      <c r="A4544" s="2">
        <v>6955</v>
      </c>
      <c r="B4544" s="2">
        <v>2010</v>
      </c>
      <c r="C4544" s="2" t="s">
        <v>4543</v>
      </c>
      <c r="D4544" s="2" t="s">
        <v>122</v>
      </c>
      <c r="E4544" s="2"/>
      <c r="F4544" s="2">
        <v>146</v>
      </c>
      <c r="G4544" s="2" t="s">
        <v>753</v>
      </c>
      <c r="H4544" s="2">
        <v>122</v>
      </c>
      <c r="I4544" s="2" t="s">
        <v>8431</v>
      </c>
      <c r="J4544" s="2">
        <v>161</v>
      </c>
      <c r="K4544" s="2" t="s">
        <v>1900</v>
      </c>
      <c r="L4544" s="2" t="s">
        <v>1901</v>
      </c>
      <c r="M4544" s="3">
        <v>40486</v>
      </c>
      <c r="N4544" s="2" t="s">
        <v>756</v>
      </c>
      <c r="O4544" s="2" t="s">
        <v>14096</v>
      </c>
      <c r="P4544" s="2" t="s">
        <v>14097</v>
      </c>
      <c r="Q4544" s="2" t="str">
        <f>"N/C"</f>
        <v>N/C</v>
      </c>
      <c r="R4544" s="2" t="s">
        <v>82</v>
      </c>
      <c r="S4544" s="2" t="s">
        <v>82</v>
      </c>
      <c r="T4544" s="2">
        <v>2</v>
      </c>
      <c r="U4544" s="2" t="s">
        <v>123</v>
      </c>
      <c r="V4544" s="2">
        <v>1</v>
      </c>
      <c r="W4544" s="2" t="s">
        <v>80</v>
      </c>
      <c r="X4544" s="2">
        <v>4</v>
      </c>
      <c r="Y4544" s="2" t="s">
        <v>463</v>
      </c>
      <c r="Z4544" s="2">
        <v>10</v>
      </c>
      <c r="AA4544" s="2" t="s">
        <v>236</v>
      </c>
      <c r="AB4544" s="2">
        <v>9</v>
      </c>
      <c r="AC4544" s="2" t="s">
        <v>124</v>
      </c>
      <c r="AD4544" s="3">
        <v>40486</v>
      </c>
      <c r="AE4544" s="4">
        <v>0.9375</v>
      </c>
      <c r="AF4544" s="2"/>
      <c r="AG4544" s="2"/>
      <c r="AH4544" s="2">
        <v>6</v>
      </c>
      <c r="AI4544" s="2" t="s">
        <v>197</v>
      </c>
      <c r="AJ4544" s="2">
        <v>60</v>
      </c>
      <c r="AK4544" s="2" t="s">
        <v>543</v>
      </c>
      <c r="AL4544" s="2">
        <v>19</v>
      </c>
      <c r="AM4544" s="2" t="s">
        <v>107</v>
      </c>
      <c r="AN4544" s="2" t="s">
        <v>82</v>
      </c>
      <c r="AO4544" s="2" t="s">
        <v>2249</v>
      </c>
      <c r="AP4544" s="2">
        <v>11</v>
      </c>
      <c r="AQ4544" s="2" t="s">
        <v>82</v>
      </c>
      <c r="AR4544" s="2" t="s">
        <v>82</v>
      </c>
      <c r="AS4544" s="2" t="s">
        <v>82</v>
      </c>
      <c r="AT4544" s="2" t="s">
        <v>14098</v>
      </c>
      <c r="AU4544" s="2"/>
      <c r="AV4544" s="2"/>
      <c r="AW4544" s="2"/>
      <c r="AX4544" s="2"/>
      <c r="AY4544" s="2">
        <v>41</v>
      </c>
      <c r="AZ4544" s="2" t="s">
        <v>82</v>
      </c>
      <c r="BA4544" s="2">
        <v>41</v>
      </c>
      <c r="BB4544" s="2" t="s">
        <v>82</v>
      </c>
      <c r="BC4544" s="2">
        <v>41</v>
      </c>
      <c r="BD4544" s="2" t="s">
        <v>82</v>
      </c>
      <c r="BE4544" s="2">
        <v>49</v>
      </c>
      <c r="BF4544" s="2" t="s">
        <v>1254</v>
      </c>
      <c r="BG4544" s="2" t="s">
        <v>2890</v>
      </c>
      <c r="BH4544" s="4">
        <v>0.89236111111111116</v>
      </c>
      <c r="BI4544" s="4">
        <v>0.9375</v>
      </c>
      <c r="BJ4544" s="2">
        <v>13</v>
      </c>
      <c r="BK4544" s="2" t="s">
        <v>91</v>
      </c>
      <c r="BL4544" s="2" t="s">
        <v>14099</v>
      </c>
      <c r="BM4544" s="2">
        <v>13</v>
      </c>
      <c r="BN4544" s="2" t="s">
        <v>91</v>
      </c>
      <c r="BO4544" s="2"/>
      <c r="BP4544" s="2">
        <v>13</v>
      </c>
      <c r="BQ4544" s="2" t="s">
        <v>91</v>
      </c>
      <c r="BR4544" s="2" t="s">
        <v>353</v>
      </c>
      <c r="BS4544" s="3">
        <v>40486</v>
      </c>
      <c r="BT4544" s="4">
        <v>0.96851851851851845</v>
      </c>
    </row>
    <row r="4545" spans="1:72" x14ac:dyDescent="0.25">
      <c r="A4545" s="2">
        <v>6956</v>
      </c>
      <c r="B4545" s="2">
        <v>2010</v>
      </c>
      <c r="C4545" s="2" t="s">
        <v>72</v>
      </c>
      <c r="D4545" s="2" t="s">
        <v>73</v>
      </c>
      <c r="E4545" s="2"/>
      <c r="F4545" s="2">
        <v>390</v>
      </c>
      <c r="G4545" s="2" t="s">
        <v>475</v>
      </c>
      <c r="H4545" s="2">
        <v>5</v>
      </c>
      <c r="I4545" s="2" t="s">
        <v>634</v>
      </c>
      <c r="J4545" s="2">
        <v>533</v>
      </c>
      <c r="K4545" s="2" t="s">
        <v>6511</v>
      </c>
      <c r="L4545" s="2" t="s">
        <v>478</v>
      </c>
      <c r="M4545" s="3">
        <v>40486</v>
      </c>
      <c r="N4545" s="2" t="s">
        <v>3103</v>
      </c>
      <c r="O4545" s="2"/>
      <c r="P4545" s="2"/>
      <c r="Q4545" s="2" t="str">
        <f>"574-E/10"</f>
        <v>574-E/10</v>
      </c>
      <c r="R4545" s="2" t="s">
        <v>601</v>
      </c>
      <c r="S4545" s="2" t="s">
        <v>601</v>
      </c>
      <c r="T4545" s="2">
        <v>1</v>
      </c>
      <c r="U4545" s="2" t="s">
        <v>79</v>
      </c>
      <c r="V4545" s="2">
        <v>1</v>
      </c>
      <c r="W4545" s="2" t="s">
        <v>80</v>
      </c>
      <c r="X4545" s="2">
        <v>12</v>
      </c>
      <c r="Y4545" s="2" t="s">
        <v>148</v>
      </c>
      <c r="Z4545" s="2">
        <v>1</v>
      </c>
      <c r="AA4545" s="2" t="s">
        <v>82</v>
      </c>
      <c r="AB4545" s="2">
        <v>6</v>
      </c>
      <c r="AC4545" s="2" t="s">
        <v>83</v>
      </c>
      <c r="AD4545" s="3">
        <v>40486</v>
      </c>
      <c r="AE4545" s="2"/>
      <c r="AF4545" s="3">
        <v>40486</v>
      </c>
      <c r="AG4545" s="4">
        <v>0.51388888888888895</v>
      </c>
      <c r="AH4545" s="2">
        <v>2</v>
      </c>
      <c r="AI4545" s="2" t="s">
        <v>84</v>
      </c>
      <c r="AJ4545" s="2">
        <v>9</v>
      </c>
      <c r="AK4545" s="2" t="s">
        <v>103</v>
      </c>
      <c r="AL4545" s="2">
        <v>22</v>
      </c>
      <c r="AM4545" s="2" t="s">
        <v>1853</v>
      </c>
      <c r="AN4545" s="2" t="s">
        <v>14100</v>
      </c>
      <c r="AO4545" s="2" t="s">
        <v>12115</v>
      </c>
      <c r="AP4545" s="2">
        <v>11</v>
      </c>
      <c r="AQ4545" s="2" t="s">
        <v>82</v>
      </c>
      <c r="AR4545" s="2"/>
      <c r="AS4545" s="2"/>
      <c r="AT4545" s="2" t="s">
        <v>14101</v>
      </c>
      <c r="AU4545" s="2"/>
      <c r="AV4545" s="2"/>
      <c r="AW4545" s="2"/>
      <c r="AX4545" s="2"/>
      <c r="AY4545" s="2">
        <v>41</v>
      </c>
      <c r="AZ4545" s="2" t="s">
        <v>82</v>
      </c>
      <c r="BA4545" s="2">
        <v>41</v>
      </c>
      <c r="BB4545" s="2" t="s">
        <v>82</v>
      </c>
      <c r="BC4545" s="2">
        <v>41</v>
      </c>
      <c r="BD4545" s="2" t="s">
        <v>82</v>
      </c>
      <c r="BE4545" s="2">
        <v>23</v>
      </c>
      <c r="BF4545" s="2" t="s">
        <v>183</v>
      </c>
      <c r="BG4545" s="2" t="s">
        <v>1375</v>
      </c>
      <c r="BH4545" s="4">
        <v>0.3888888888888889</v>
      </c>
      <c r="BI4545" s="4">
        <v>0.97222222222222221</v>
      </c>
      <c r="BJ4545" s="2">
        <v>73</v>
      </c>
      <c r="BK4545" s="2" t="s">
        <v>186</v>
      </c>
      <c r="BL4545" s="2" t="s">
        <v>187</v>
      </c>
      <c r="BM4545" s="2">
        <v>73</v>
      </c>
      <c r="BN4545" s="2" t="s">
        <v>186</v>
      </c>
      <c r="BO4545" s="2"/>
      <c r="BP4545" s="2">
        <v>13</v>
      </c>
      <c r="BQ4545" s="2" t="s">
        <v>91</v>
      </c>
      <c r="BR4545" s="2" t="s">
        <v>360</v>
      </c>
      <c r="BS4545" s="3">
        <v>40486</v>
      </c>
      <c r="BT4545" s="4">
        <v>0.97531249999999992</v>
      </c>
    </row>
    <row r="4546" spans="1:72" x14ac:dyDescent="0.25">
      <c r="A4546" s="2">
        <v>6957</v>
      </c>
      <c r="B4546" s="2">
        <v>2010</v>
      </c>
      <c r="C4546" s="2" t="s">
        <v>72</v>
      </c>
      <c r="D4546" s="2" t="s">
        <v>73</v>
      </c>
      <c r="E4546" s="2"/>
      <c r="F4546" s="2">
        <v>3</v>
      </c>
      <c r="G4546" s="2" t="s">
        <v>1041</v>
      </c>
      <c r="H4546" s="2">
        <v>1</v>
      </c>
      <c r="I4546" s="2" t="s">
        <v>82</v>
      </c>
      <c r="J4546" s="2">
        <v>368</v>
      </c>
      <c r="K4546" s="2" t="s">
        <v>1042</v>
      </c>
      <c r="L4546" s="2" t="s">
        <v>1043</v>
      </c>
      <c r="M4546" s="3">
        <v>40487</v>
      </c>
      <c r="N4546" s="2"/>
      <c r="O4546" s="2"/>
      <c r="P4546" s="2"/>
      <c r="Q4546" s="2" t="str">
        <f>"575-E/10"</f>
        <v>575-E/10</v>
      </c>
      <c r="R4546" s="2" t="s">
        <v>116</v>
      </c>
      <c r="S4546" s="2" t="s">
        <v>116</v>
      </c>
      <c r="T4546" s="2">
        <v>1</v>
      </c>
      <c r="U4546" s="2" t="s">
        <v>79</v>
      </c>
      <c r="V4546" s="2">
        <v>1</v>
      </c>
      <c r="W4546" s="2" t="s">
        <v>80</v>
      </c>
      <c r="X4546" s="2">
        <v>12</v>
      </c>
      <c r="Y4546" s="2" t="s">
        <v>148</v>
      </c>
      <c r="Z4546" s="2">
        <v>1</v>
      </c>
      <c r="AA4546" s="2" t="s">
        <v>82</v>
      </c>
      <c r="AB4546" s="2">
        <v>6</v>
      </c>
      <c r="AC4546" s="2" t="s">
        <v>83</v>
      </c>
      <c r="AD4546" s="3">
        <v>40486</v>
      </c>
      <c r="AE4546" s="2"/>
      <c r="AF4546" s="3">
        <v>40486</v>
      </c>
      <c r="AG4546" s="4">
        <v>0.58333333333333337</v>
      </c>
      <c r="AH4546" s="2">
        <v>2</v>
      </c>
      <c r="AI4546" s="2" t="s">
        <v>84</v>
      </c>
      <c r="AJ4546" s="2">
        <v>9</v>
      </c>
      <c r="AK4546" s="2" t="s">
        <v>103</v>
      </c>
      <c r="AL4546" s="2">
        <v>12</v>
      </c>
      <c r="AM4546" s="2" t="s">
        <v>86</v>
      </c>
      <c r="AN4546" s="2" t="s">
        <v>14102</v>
      </c>
      <c r="AO4546" s="2"/>
      <c r="AP4546" s="2">
        <v>11</v>
      </c>
      <c r="AQ4546" s="2" t="s">
        <v>82</v>
      </c>
      <c r="AR4546" s="2"/>
      <c r="AS4546" s="2"/>
      <c r="AT4546" s="2" t="s">
        <v>14103</v>
      </c>
      <c r="AU4546" s="2"/>
      <c r="AV4546" s="2"/>
      <c r="AW4546" s="2"/>
      <c r="AX4546" s="2"/>
      <c r="AY4546" s="2">
        <v>41</v>
      </c>
      <c r="AZ4546" s="2" t="s">
        <v>82</v>
      </c>
      <c r="BA4546" s="2">
        <v>41</v>
      </c>
      <c r="BB4546" s="2" t="s">
        <v>82</v>
      </c>
      <c r="BC4546" s="2">
        <v>41</v>
      </c>
      <c r="BD4546" s="2" t="s">
        <v>82</v>
      </c>
      <c r="BE4546" s="2">
        <v>41</v>
      </c>
      <c r="BF4546" s="2" t="s">
        <v>82</v>
      </c>
      <c r="BG4546" s="2"/>
      <c r="BH4546" s="2"/>
      <c r="BI4546" s="2"/>
      <c r="BJ4546" s="2">
        <v>241</v>
      </c>
      <c r="BK4546" s="2" t="s">
        <v>82</v>
      </c>
      <c r="BL4546" s="2"/>
      <c r="BM4546" s="2">
        <v>241</v>
      </c>
      <c r="BN4546" s="2" t="s">
        <v>82</v>
      </c>
      <c r="BO4546" s="2"/>
      <c r="BP4546" s="2">
        <v>241</v>
      </c>
      <c r="BQ4546" s="2" t="s">
        <v>82</v>
      </c>
      <c r="BR4546" s="2"/>
      <c r="BS4546" s="3">
        <v>40487</v>
      </c>
      <c r="BT4546" s="4">
        <v>2.7777777777777778E-4</v>
      </c>
    </row>
    <row r="4547" spans="1:72" x14ac:dyDescent="0.25">
      <c r="A4547" s="2">
        <v>6958</v>
      </c>
      <c r="B4547" s="2">
        <v>2010</v>
      </c>
      <c r="C4547" s="2" t="s">
        <v>93</v>
      </c>
      <c r="D4547" s="2" t="s">
        <v>73</v>
      </c>
      <c r="E4547" s="2"/>
      <c r="F4547" s="2">
        <v>114</v>
      </c>
      <c r="G4547" s="2" t="s">
        <v>2817</v>
      </c>
      <c r="H4547" s="2">
        <v>42</v>
      </c>
      <c r="I4547" s="2" t="s">
        <v>1096</v>
      </c>
      <c r="J4547" s="2">
        <v>133</v>
      </c>
      <c r="K4547" s="2" t="s">
        <v>3844</v>
      </c>
      <c r="L4547" s="2" t="s">
        <v>3845</v>
      </c>
      <c r="M4547" s="3">
        <v>40487</v>
      </c>
      <c r="N4547" s="2" t="s">
        <v>11138</v>
      </c>
      <c r="O4547" s="2" t="s">
        <v>14104</v>
      </c>
      <c r="P4547" s="2" t="s">
        <v>14082</v>
      </c>
      <c r="Q4547" s="2" t="str">
        <f>""</f>
        <v/>
      </c>
      <c r="R4547" s="2"/>
      <c r="S4547" s="2"/>
      <c r="T4547" s="2">
        <v>1</v>
      </c>
      <c r="U4547" s="2" t="s">
        <v>79</v>
      </c>
      <c r="V4547" s="2">
        <v>1</v>
      </c>
      <c r="W4547" s="2" t="s">
        <v>80</v>
      </c>
      <c r="X4547" s="2">
        <v>10</v>
      </c>
      <c r="Y4547" s="2" t="s">
        <v>226</v>
      </c>
      <c r="Z4547" s="2">
        <v>6</v>
      </c>
      <c r="AA4547" s="2" t="s">
        <v>101</v>
      </c>
      <c r="AB4547" s="2">
        <v>2</v>
      </c>
      <c r="AC4547" s="2" t="s">
        <v>102</v>
      </c>
      <c r="AD4547" s="3">
        <v>40486</v>
      </c>
      <c r="AE4547" s="4">
        <v>0.20833333333333334</v>
      </c>
      <c r="AF4547" s="3">
        <v>40486</v>
      </c>
      <c r="AG4547" s="4">
        <v>0.34027777777777773</v>
      </c>
      <c r="AH4547" s="2">
        <v>2</v>
      </c>
      <c r="AI4547" s="2" t="s">
        <v>84</v>
      </c>
      <c r="AJ4547" s="2">
        <v>9</v>
      </c>
      <c r="AK4547" s="2" t="s">
        <v>103</v>
      </c>
      <c r="AL4547" s="2">
        <v>14</v>
      </c>
      <c r="AM4547" s="2" t="s">
        <v>216</v>
      </c>
      <c r="AN4547" s="2" t="s">
        <v>14105</v>
      </c>
      <c r="AO4547" s="2"/>
      <c r="AP4547" s="2">
        <v>11</v>
      </c>
      <c r="AQ4547" s="2" t="s">
        <v>82</v>
      </c>
      <c r="AR4547" s="2"/>
      <c r="AS4547" s="2"/>
      <c r="AT4547" s="2" t="s">
        <v>14106</v>
      </c>
      <c r="AU4547" s="2"/>
      <c r="AV4547" s="2"/>
      <c r="AW4547" s="2"/>
      <c r="AX4547" s="2"/>
      <c r="AY4547" s="2">
        <v>41</v>
      </c>
      <c r="AZ4547" s="2" t="s">
        <v>82</v>
      </c>
      <c r="BA4547" s="2">
        <v>41</v>
      </c>
      <c r="BB4547" s="2" t="s">
        <v>82</v>
      </c>
      <c r="BC4547" s="2">
        <v>41</v>
      </c>
      <c r="BD4547" s="2" t="s">
        <v>82</v>
      </c>
      <c r="BE4547" s="2">
        <v>41</v>
      </c>
      <c r="BF4547" s="2" t="s">
        <v>82</v>
      </c>
      <c r="BG4547" s="2"/>
      <c r="BH4547" s="2"/>
      <c r="BI4547" s="2"/>
      <c r="BJ4547" s="2">
        <v>241</v>
      </c>
      <c r="BK4547" s="2" t="s">
        <v>82</v>
      </c>
      <c r="BL4547" s="2"/>
      <c r="BM4547" s="2">
        <v>241</v>
      </c>
      <c r="BN4547" s="2" t="s">
        <v>82</v>
      </c>
      <c r="BO4547" s="2"/>
      <c r="BP4547" s="2">
        <v>241</v>
      </c>
      <c r="BQ4547" s="2" t="s">
        <v>82</v>
      </c>
      <c r="BR4547" s="2"/>
      <c r="BS4547" s="3">
        <v>40487</v>
      </c>
      <c r="BT4547" s="4">
        <v>7.3124999999999996E-2</v>
      </c>
    </row>
    <row r="4548" spans="1:72" x14ac:dyDescent="0.25">
      <c r="A4548" s="2">
        <v>6959</v>
      </c>
      <c r="B4548" s="2">
        <v>2010</v>
      </c>
      <c r="C4548" s="2" t="s">
        <v>1094</v>
      </c>
      <c r="D4548" s="2" t="s">
        <v>73</v>
      </c>
      <c r="E4548" s="2"/>
      <c r="F4548" s="2">
        <v>390</v>
      </c>
      <c r="G4548" s="2" t="s">
        <v>475</v>
      </c>
      <c r="H4548" s="2">
        <v>5</v>
      </c>
      <c r="I4548" s="2" t="s">
        <v>634</v>
      </c>
      <c r="J4548" s="2">
        <v>533</v>
      </c>
      <c r="K4548" s="2" t="s">
        <v>6511</v>
      </c>
      <c r="L4548" s="2" t="s">
        <v>478</v>
      </c>
      <c r="M4548" s="3">
        <v>40487</v>
      </c>
      <c r="N4548" s="2" t="s">
        <v>3103</v>
      </c>
      <c r="O4548" s="2"/>
      <c r="P4548" s="2"/>
      <c r="Q4548" s="2" t="str">
        <f>"576-E/10"</f>
        <v>576-E/10</v>
      </c>
      <c r="R4548" s="2" t="s">
        <v>1100</v>
      </c>
      <c r="S4548" s="2" t="s">
        <v>1100</v>
      </c>
      <c r="T4548" s="2">
        <v>1</v>
      </c>
      <c r="U4548" s="2" t="s">
        <v>79</v>
      </c>
      <c r="V4548" s="2">
        <v>1</v>
      </c>
      <c r="W4548" s="2" t="s">
        <v>80</v>
      </c>
      <c r="X4548" s="2">
        <v>12</v>
      </c>
      <c r="Y4548" s="2" t="s">
        <v>148</v>
      </c>
      <c r="Z4548" s="2">
        <v>1</v>
      </c>
      <c r="AA4548" s="2" t="s">
        <v>82</v>
      </c>
      <c r="AB4548" s="2">
        <v>9</v>
      </c>
      <c r="AC4548" s="2" t="s">
        <v>124</v>
      </c>
      <c r="AD4548" s="3">
        <v>40486</v>
      </c>
      <c r="AE4548" s="2"/>
      <c r="AF4548" s="3">
        <v>40486</v>
      </c>
      <c r="AG4548" s="4">
        <v>0.76041666666666663</v>
      </c>
      <c r="AH4548" s="2">
        <v>2</v>
      </c>
      <c r="AI4548" s="2" t="s">
        <v>84</v>
      </c>
      <c r="AJ4548" s="2">
        <v>9</v>
      </c>
      <c r="AK4548" s="2" t="s">
        <v>103</v>
      </c>
      <c r="AL4548" s="2">
        <v>2</v>
      </c>
      <c r="AM4548" s="2" t="s">
        <v>163</v>
      </c>
      <c r="AN4548" s="2" t="s">
        <v>14107</v>
      </c>
      <c r="AO4548" s="2"/>
      <c r="AP4548" s="2">
        <v>11</v>
      </c>
      <c r="AQ4548" s="2" t="s">
        <v>82</v>
      </c>
      <c r="AR4548" s="2"/>
      <c r="AS4548" s="2"/>
      <c r="AT4548" s="2" t="s">
        <v>14108</v>
      </c>
      <c r="AU4548" s="2"/>
      <c r="AV4548" s="2"/>
      <c r="AW4548" s="2"/>
      <c r="AX4548" s="2"/>
      <c r="AY4548" s="2">
        <v>41</v>
      </c>
      <c r="AZ4548" s="2" t="s">
        <v>82</v>
      </c>
      <c r="BA4548" s="2">
        <v>114</v>
      </c>
      <c r="BB4548" s="2" t="s">
        <v>7510</v>
      </c>
      <c r="BC4548" s="2">
        <v>41</v>
      </c>
      <c r="BD4548" s="2" t="s">
        <v>82</v>
      </c>
      <c r="BE4548" s="2">
        <v>47</v>
      </c>
      <c r="BF4548" s="2" t="s">
        <v>167</v>
      </c>
      <c r="BG4548" s="2" t="s">
        <v>14109</v>
      </c>
      <c r="BH4548" s="4">
        <v>0.73958333333333337</v>
      </c>
      <c r="BI4548" s="4">
        <v>0.65625</v>
      </c>
      <c r="BJ4548" s="2">
        <v>13</v>
      </c>
      <c r="BK4548" s="2" t="s">
        <v>91</v>
      </c>
      <c r="BL4548" s="2" t="s">
        <v>360</v>
      </c>
      <c r="BM4548" s="2">
        <v>13</v>
      </c>
      <c r="BN4548" s="2" t="s">
        <v>91</v>
      </c>
      <c r="BO4548" s="2"/>
      <c r="BP4548" s="2">
        <v>13</v>
      </c>
      <c r="BQ4548" s="2" t="s">
        <v>91</v>
      </c>
      <c r="BR4548" s="2" t="s">
        <v>92</v>
      </c>
      <c r="BS4548" s="3">
        <v>40487</v>
      </c>
      <c r="BT4548" s="4">
        <v>0.1348148148148148</v>
      </c>
    </row>
    <row r="4549" spans="1:72" x14ac:dyDescent="0.25">
      <c r="A4549" s="2">
        <v>6960</v>
      </c>
      <c r="B4549" s="2">
        <v>2010</v>
      </c>
      <c r="C4549" s="2" t="s">
        <v>72</v>
      </c>
      <c r="D4549" s="2" t="s">
        <v>73</v>
      </c>
      <c r="E4549" s="2"/>
      <c r="F4549" s="2">
        <v>390</v>
      </c>
      <c r="G4549" s="2" t="s">
        <v>475</v>
      </c>
      <c r="H4549" s="2">
        <v>5</v>
      </c>
      <c r="I4549" s="2" t="s">
        <v>634</v>
      </c>
      <c r="J4549" s="2">
        <v>533</v>
      </c>
      <c r="K4549" s="2" t="s">
        <v>6511</v>
      </c>
      <c r="L4549" s="2" t="s">
        <v>478</v>
      </c>
      <c r="M4549" s="3">
        <v>40487</v>
      </c>
      <c r="N4549" s="2" t="s">
        <v>3103</v>
      </c>
      <c r="O4549" s="2"/>
      <c r="P4549" s="2"/>
      <c r="Q4549" s="2" t="str">
        <f>"577-E/10"</f>
        <v>577-E/10</v>
      </c>
      <c r="R4549" s="2" t="s">
        <v>601</v>
      </c>
      <c r="S4549" s="2" t="s">
        <v>601</v>
      </c>
      <c r="T4549" s="2">
        <v>1</v>
      </c>
      <c r="U4549" s="2" t="s">
        <v>79</v>
      </c>
      <c r="V4549" s="2">
        <v>1</v>
      </c>
      <c r="W4549" s="2" t="s">
        <v>80</v>
      </c>
      <c r="X4549" s="2">
        <v>12</v>
      </c>
      <c r="Y4549" s="2" t="s">
        <v>148</v>
      </c>
      <c r="Z4549" s="2">
        <v>1</v>
      </c>
      <c r="AA4549" s="2" t="s">
        <v>82</v>
      </c>
      <c r="AB4549" s="2">
        <v>6</v>
      </c>
      <c r="AC4549" s="2" t="s">
        <v>83</v>
      </c>
      <c r="AD4549" s="3">
        <v>40486</v>
      </c>
      <c r="AE4549" s="2"/>
      <c r="AF4549" s="3">
        <v>40486</v>
      </c>
      <c r="AG4549" s="4">
        <v>0.78472222222222221</v>
      </c>
      <c r="AH4549" s="2">
        <v>2</v>
      </c>
      <c r="AI4549" s="2" t="s">
        <v>84</v>
      </c>
      <c r="AJ4549" s="2">
        <v>9</v>
      </c>
      <c r="AK4549" s="2" t="s">
        <v>103</v>
      </c>
      <c r="AL4549" s="2">
        <v>2</v>
      </c>
      <c r="AM4549" s="2" t="s">
        <v>163</v>
      </c>
      <c r="AN4549" s="2" t="s">
        <v>14107</v>
      </c>
      <c r="AO4549" s="2" t="s">
        <v>14110</v>
      </c>
      <c r="AP4549" s="2">
        <v>11</v>
      </c>
      <c r="AQ4549" s="2" t="s">
        <v>82</v>
      </c>
      <c r="AR4549" s="2"/>
      <c r="AS4549" s="2"/>
      <c r="AT4549" s="2" t="s">
        <v>14111</v>
      </c>
      <c r="AU4549" s="2"/>
      <c r="AV4549" s="2"/>
      <c r="AW4549" s="2"/>
      <c r="AX4549" s="2"/>
      <c r="AY4549" s="2">
        <v>41</v>
      </c>
      <c r="AZ4549" s="2" t="s">
        <v>82</v>
      </c>
      <c r="BA4549" s="2">
        <v>41</v>
      </c>
      <c r="BB4549" s="2" t="s">
        <v>82</v>
      </c>
      <c r="BC4549" s="2">
        <v>41</v>
      </c>
      <c r="BD4549" s="2" t="s">
        <v>82</v>
      </c>
      <c r="BE4549" s="2">
        <v>47</v>
      </c>
      <c r="BF4549" s="2" t="s">
        <v>167</v>
      </c>
      <c r="BG4549" s="2" t="s">
        <v>14109</v>
      </c>
      <c r="BH4549" s="2"/>
      <c r="BI4549" s="2"/>
      <c r="BJ4549" s="2">
        <v>13</v>
      </c>
      <c r="BK4549" s="2" t="s">
        <v>91</v>
      </c>
      <c r="BL4549" s="2" t="s">
        <v>360</v>
      </c>
      <c r="BM4549" s="2">
        <v>13</v>
      </c>
      <c r="BN4549" s="2" t="s">
        <v>91</v>
      </c>
      <c r="BO4549" s="2"/>
      <c r="BP4549" s="2">
        <v>13</v>
      </c>
      <c r="BQ4549" s="2" t="s">
        <v>91</v>
      </c>
      <c r="BR4549" s="2" t="s">
        <v>92</v>
      </c>
      <c r="BS4549" s="3">
        <v>40487</v>
      </c>
      <c r="BT4549" s="4">
        <v>0.18626157407407407</v>
      </c>
    </row>
    <row r="4550" spans="1:72" x14ac:dyDescent="0.25">
      <c r="A4550" s="2">
        <v>6961</v>
      </c>
      <c r="B4550" s="2">
        <v>2010</v>
      </c>
      <c r="C4550" s="2" t="s">
        <v>8160</v>
      </c>
      <c r="D4550" s="2" t="s">
        <v>73</v>
      </c>
      <c r="E4550" s="2"/>
      <c r="F4550" s="2">
        <v>390</v>
      </c>
      <c r="G4550" s="2" t="s">
        <v>475</v>
      </c>
      <c r="H4550" s="2">
        <v>5</v>
      </c>
      <c r="I4550" s="2" t="s">
        <v>634</v>
      </c>
      <c r="J4550" s="2">
        <v>314</v>
      </c>
      <c r="K4550" s="2" t="s">
        <v>477</v>
      </c>
      <c r="L4550" s="2" t="s">
        <v>478</v>
      </c>
      <c r="M4550" s="3">
        <v>40487</v>
      </c>
      <c r="N4550" s="2" t="s">
        <v>3103</v>
      </c>
      <c r="O4550" s="2"/>
      <c r="P4550" s="2"/>
      <c r="Q4550" s="2" t="str">
        <f>"578-E/10"</f>
        <v>578-E/10</v>
      </c>
      <c r="R4550" s="2" t="s">
        <v>2013</v>
      </c>
      <c r="S4550" s="2" t="s">
        <v>2013</v>
      </c>
      <c r="T4550" s="2">
        <v>1</v>
      </c>
      <c r="U4550" s="2" t="s">
        <v>79</v>
      </c>
      <c r="V4550" s="2">
        <v>1</v>
      </c>
      <c r="W4550" s="2" t="s">
        <v>80</v>
      </c>
      <c r="X4550" s="2">
        <v>12</v>
      </c>
      <c r="Y4550" s="2" t="s">
        <v>148</v>
      </c>
      <c r="Z4550" s="2">
        <v>1</v>
      </c>
      <c r="AA4550" s="2" t="s">
        <v>82</v>
      </c>
      <c r="AB4550" s="2">
        <v>9</v>
      </c>
      <c r="AC4550" s="2" t="s">
        <v>124</v>
      </c>
      <c r="AD4550" s="3">
        <v>40486</v>
      </c>
      <c r="AE4550" s="4">
        <v>0.85416666666666663</v>
      </c>
      <c r="AF4550" s="3">
        <v>40486</v>
      </c>
      <c r="AG4550" s="4">
        <v>0.89583333333333337</v>
      </c>
      <c r="AH4550" s="2">
        <v>2</v>
      </c>
      <c r="AI4550" s="2" t="s">
        <v>84</v>
      </c>
      <c r="AJ4550" s="2">
        <v>9</v>
      </c>
      <c r="AK4550" s="2" t="s">
        <v>103</v>
      </c>
      <c r="AL4550" s="2">
        <v>19</v>
      </c>
      <c r="AM4550" s="2" t="s">
        <v>107</v>
      </c>
      <c r="AN4550" s="2" t="s">
        <v>14112</v>
      </c>
      <c r="AO4550" s="2" t="s">
        <v>12751</v>
      </c>
      <c r="AP4550" s="2">
        <v>11</v>
      </c>
      <c r="AQ4550" s="2" t="s">
        <v>82</v>
      </c>
      <c r="AR4550" s="2"/>
      <c r="AS4550" s="2"/>
      <c r="AT4550" s="2" t="s">
        <v>14113</v>
      </c>
      <c r="AU4550" s="2"/>
      <c r="AV4550" s="2"/>
      <c r="AW4550" s="2"/>
      <c r="AX4550" s="2"/>
      <c r="AY4550" s="2">
        <v>41</v>
      </c>
      <c r="AZ4550" s="2" t="s">
        <v>82</v>
      </c>
      <c r="BA4550" s="2">
        <v>159</v>
      </c>
      <c r="BB4550" s="2" t="s">
        <v>14114</v>
      </c>
      <c r="BC4550" s="2">
        <v>41</v>
      </c>
      <c r="BD4550" s="2" t="s">
        <v>82</v>
      </c>
      <c r="BE4550" s="2">
        <v>41</v>
      </c>
      <c r="BF4550" s="2" t="s">
        <v>82</v>
      </c>
      <c r="BG4550" s="2"/>
      <c r="BH4550" s="2"/>
      <c r="BI4550" s="2"/>
      <c r="BJ4550" s="2">
        <v>241</v>
      </c>
      <c r="BK4550" s="2" t="s">
        <v>82</v>
      </c>
      <c r="BL4550" s="2"/>
      <c r="BM4550" s="2">
        <v>241</v>
      </c>
      <c r="BN4550" s="2" t="s">
        <v>82</v>
      </c>
      <c r="BO4550" s="2"/>
      <c r="BP4550" s="2">
        <v>241</v>
      </c>
      <c r="BQ4550" s="2" t="s">
        <v>82</v>
      </c>
      <c r="BR4550" s="2"/>
      <c r="BS4550" s="3">
        <v>40487</v>
      </c>
      <c r="BT4550" s="4">
        <v>0.21675925925925923</v>
      </c>
    </row>
    <row r="4551" spans="1:72" x14ac:dyDescent="0.25">
      <c r="A4551" s="2">
        <v>6962</v>
      </c>
      <c r="B4551" s="2">
        <v>2010</v>
      </c>
      <c r="C4551" s="2" t="s">
        <v>377</v>
      </c>
      <c r="D4551" s="2" t="s">
        <v>73</v>
      </c>
      <c r="E4551" s="2"/>
      <c r="F4551" s="2">
        <v>426</v>
      </c>
      <c r="G4551" s="2" t="s">
        <v>378</v>
      </c>
      <c r="H4551" s="2">
        <v>42</v>
      </c>
      <c r="I4551" s="2" t="s">
        <v>1096</v>
      </c>
      <c r="J4551" s="2">
        <v>311</v>
      </c>
      <c r="K4551" s="2" t="s">
        <v>379</v>
      </c>
      <c r="L4551" s="2" t="s">
        <v>380</v>
      </c>
      <c r="M4551" s="3">
        <v>40487</v>
      </c>
      <c r="N4551" s="2" t="s">
        <v>7171</v>
      </c>
      <c r="O4551" s="2"/>
      <c r="P4551" s="2"/>
      <c r="Q4551" s="2" t="str">
        <f>"278-C/10"</f>
        <v>278-C/10</v>
      </c>
      <c r="R4551" s="2" t="s">
        <v>8766</v>
      </c>
      <c r="S4551" s="2"/>
      <c r="T4551" s="2">
        <v>1</v>
      </c>
      <c r="U4551" s="2" t="s">
        <v>79</v>
      </c>
      <c r="V4551" s="2">
        <v>1</v>
      </c>
      <c r="W4551" s="2" t="s">
        <v>80</v>
      </c>
      <c r="X4551" s="2">
        <v>1</v>
      </c>
      <c r="Y4551" s="2" t="s">
        <v>81</v>
      </c>
      <c r="Z4551" s="2">
        <v>1</v>
      </c>
      <c r="AA4551" s="2" t="s">
        <v>82</v>
      </c>
      <c r="AB4551" s="2">
        <v>9</v>
      </c>
      <c r="AC4551" s="2" t="s">
        <v>124</v>
      </c>
      <c r="AD4551" s="3">
        <v>40486</v>
      </c>
      <c r="AE4551" s="2"/>
      <c r="AF4551" s="3">
        <v>40486</v>
      </c>
      <c r="AG4551" s="4">
        <v>0.43402777777777773</v>
      </c>
      <c r="AH4551" s="2">
        <v>2</v>
      </c>
      <c r="AI4551" s="2" t="s">
        <v>84</v>
      </c>
      <c r="AJ4551" s="2">
        <v>9</v>
      </c>
      <c r="AK4551" s="2" t="s">
        <v>103</v>
      </c>
      <c r="AL4551" s="2">
        <v>29</v>
      </c>
      <c r="AM4551" s="2" t="s">
        <v>5416</v>
      </c>
      <c r="AN4551" s="2" t="s">
        <v>10848</v>
      </c>
      <c r="AO4551" s="2" t="s">
        <v>987</v>
      </c>
      <c r="AP4551" s="2">
        <v>11</v>
      </c>
      <c r="AQ4551" s="2" t="s">
        <v>82</v>
      </c>
      <c r="AR4551" s="2"/>
      <c r="AS4551" s="2"/>
      <c r="AT4551" s="2" t="s">
        <v>14115</v>
      </c>
      <c r="AU4551" s="2"/>
      <c r="AV4551" s="2"/>
      <c r="AW4551" s="2"/>
      <c r="AX4551" s="2"/>
      <c r="AY4551" s="2">
        <v>41</v>
      </c>
      <c r="AZ4551" s="2" t="s">
        <v>82</v>
      </c>
      <c r="BA4551" s="2">
        <v>41</v>
      </c>
      <c r="BB4551" s="2" t="s">
        <v>82</v>
      </c>
      <c r="BC4551" s="2">
        <v>41</v>
      </c>
      <c r="BD4551" s="2" t="s">
        <v>82</v>
      </c>
      <c r="BE4551" s="2">
        <v>41</v>
      </c>
      <c r="BF4551" s="2" t="s">
        <v>82</v>
      </c>
      <c r="BG4551" s="2"/>
      <c r="BH4551" s="2"/>
      <c r="BI4551" s="2"/>
      <c r="BJ4551" s="2">
        <v>241</v>
      </c>
      <c r="BK4551" s="2" t="s">
        <v>82</v>
      </c>
      <c r="BL4551" s="2"/>
      <c r="BM4551" s="2">
        <v>241</v>
      </c>
      <c r="BN4551" s="2" t="s">
        <v>82</v>
      </c>
      <c r="BO4551" s="2"/>
      <c r="BP4551" s="2">
        <v>241</v>
      </c>
      <c r="BQ4551" s="2" t="s">
        <v>82</v>
      </c>
      <c r="BR4551" s="2"/>
      <c r="BS4551" s="3">
        <v>40487</v>
      </c>
      <c r="BT4551" s="4">
        <v>0.26868055555555553</v>
      </c>
    </row>
    <row r="4552" spans="1:72" x14ac:dyDescent="0.25">
      <c r="A4552" s="2">
        <v>6963</v>
      </c>
      <c r="B4552" s="2">
        <v>2010</v>
      </c>
      <c r="C4552" s="2" t="s">
        <v>377</v>
      </c>
      <c r="D4552" s="2" t="s">
        <v>73</v>
      </c>
      <c r="E4552" s="2"/>
      <c r="F4552" s="2">
        <v>426</v>
      </c>
      <c r="G4552" s="2" t="s">
        <v>378</v>
      </c>
      <c r="H4552" s="2">
        <v>108</v>
      </c>
      <c r="I4552" s="2" t="s">
        <v>1096</v>
      </c>
      <c r="J4552" s="2">
        <v>311</v>
      </c>
      <c r="K4552" s="2" t="s">
        <v>379</v>
      </c>
      <c r="L4552" s="2" t="s">
        <v>380</v>
      </c>
      <c r="M4552" s="3">
        <v>40487</v>
      </c>
      <c r="N4552" s="2" t="s">
        <v>7171</v>
      </c>
      <c r="O4552" s="2"/>
      <c r="P4552" s="2"/>
      <c r="Q4552" s="2" t="str">
        <f>"279-C/10"</f>
        <v>279-C/10</v>
      </c>
      <c r="R4552" s="2" t="s">
        <v>5773</v>
      </c>
      <c r="S4552" s="2" t="s">
        <v>5773</v>
      </c>
      <c r="T4552" s="2">
        <v>1</v>
      </c>
      <c r="U4552" s="2" t="s">
        <v>79</v>
      </c>
      <c r="V4552" s="2">
        <v>1</v>
      </c>
      <c r="W4552" s="2" t="s">
        <v>80</v>
      </c>
      <c r="X4552" s="2">
        <v>1</v>
      </c>
      <c r="Y4552" s="2" t="s">
        <v>81</v>
      </c>
      <c r="Z4552" s="2">
        <v>1</v>
      </c>
      <c r="AA4552" s="2" t="s">
        <v>82</v>
      </c>
      <c r="AB4552" s="2">
        <v>9</v>
      </c>
      <c r="AC4552" s="2" t="s">
        <v>124</v>
      </c>
      <c r="AD4552" s="3">
        <v>40486</v>
      </c>
      <c r="AE4552" s="2"/>
      <c r="AF4552" s="3">
        <v>40486</v>
      </c>
      <c r="AG4552" s="4">
        <v>0.45833333333333331</v>
      </c>
      <c r="AH4552" s="2">
        <v>2</v>
      </c>
      <c r="AI4552" s="2" t="s">
        <v>84</v>
      </c>
      <c r="AJ4552" s="2">
        <v>9</v>
      </c>
      <c r="AK4552" s="2" t="s">
        <v>103</v>
      </c>
      <c r="AL4552" s="2">
        <v>29</v>
      </c>
      <c r="AM4552" s="2" t="s">
        <v>5416</v>
      </c>
      <c r="AN4552" s="2" t="s">
        <v>14116</v>
      </c>
      <c r="AO4552" s="2" t="s">
        <v>14117</v>
      </c>
      <c r="AP4552" s="2">
        <v>11</v>
      </c>
      <c r="AQ4552" s="2" t="s">
        <v>82</v>
      </c>
      <c r="AR4552" s="2"/>
      <c r="AS4552" s="2"/>
      <c r="AT4552" s="2" t="s">
        <v>14118</v>
      </c>
      <c r="AU4552" s="2"/>
      <c r="AV4552" s="2"/>
      <c r="AW4552" s="2"/>
      <c r="AX4552" s="2"/>
      <c r="AY4552" s="2">
        <v>41</v>
      </c>
      <c r="AZ4552" s="2" t="s">
        <v>82</v>
      </c>
      <c r="BA4552" s="2">
        <v>41</v>
      </c>
      <c r="BB4552" s="2" t="s">
        <v>82</v>
      </c>
      <c r="BC4552" s="2">
        <v>41</v>
      </c>
      <c r="BD4552" s="2" t="s">
        <v>82</v>
      </c>
      <c r="BE4552" s="2">
        <v>41</v>
      </c>
      <c r="BF4552" s="2" t="s">
        <v>82</v>
      </c>
      <c r="BG4552" s="2"/>
      <c r="BH4552" s="2"/>
      <c r="BI4552" s="2"/>
      <c r="BJ4552" s="2">
        <v>241</v>
      </c>
      <c r="BK4552" s="2" t="s">
        <v>82</v>
      </c>
      <c r="BL4552" s="2"/>
      <c r="BM4552" s="2">
        <v>241</v>
      </c>
      <c r="BN4552" s="2" t="s">
        <v>82</v>
      </c>
      <c r="BO4552" s="2"/>
      <c r="BP4552" s="2">
        <v>241</v>
      </c>
      <c r="BQ4552" s="2" t="s">
        <v>82</v>
      </c>
      <c r="BR4552" s="2"/>
      <c r="BS4552" s="3">
        <v>40487</v>
      </c>
      <c r="BT4552" s="4">
        <v>0.30181712962962964</v>
      </c>
    </row>
    <row r="4553" spans="1:72" x14ac:dyDescent="0.25">
      <c r="A4553" s="2">
        <v>6969</v>
      </c>
      <c r="B4553" s="2">
        <v>2010</v>
      </c>
      <c r="C4553" s="2" t="s">
        <v>4543</v>
      </c>
      <c r="D4553" s="2" t="s">
        <v>122</v>
      </c>
      <c r="E4553" s="2"/>
      <c r="F4553" s="2">
        <v>146</v>
      </c>
      <c r="G4553" s="2" t="s">
        <v>753</v>
      </c>
      <c r="H4553" s="2">
        <v>39</v>
      </c>
      <c r="I4553" s="2" t="s">
        <v>1117</v>
      </c>
      <c r="J4553" s="2">
        <v>161</v>
      </c>
      <c r="K4553" s="2" t="s">
        <v>1900</v>
      </c>
      <c r="L4553" s="2" t="s">
        <v>1901</v>
      </c>
      <c r="M4553" s="3">
        <v>40487</v>
      </c>
      <c r="N4553" s="2" t="s">
        <v>756</v>
      </c>
      <c r="O4553" s="2" t="s">
        <v>14119</v>
      </c>
      <c r="P4553" s="2" t="s">
        <v>14120</v>
      </c>
      <c r="Q4553" s="2" t="str">
        <f>"S/D"</f>
        <v>S/D</v>
      </c>
      <c r="R4553" s="2" t="s">
        <v>107</v>
      </c>
      <c r="S4553" s="2" t="s">
        <v>107</v>
      </c>
      <c r="T4553" s="2">
        <v>2</v>
      </c>
      <c r="U4553" s="2" t="s">
        <v>123</v>
      </c>
      <c r="V4553" s="2">
        <v>1</v>
      </c>
      <c r="W4553" s="2" t="s">
        <v>80</v>
      </c>
      <c r="X4553" s="2">
        <v>5</v>
      </c>
      <c r="Y4553" s="2" t="s">
        <v>82</v>
      </c>
      <c r="Z4553" s="2">
        <v>1</v>
      </c>
      <c r="AA4553" s="2" t="s">
        <v>82</v>
      </c>
      <c r="AB4553" s="2">
        <v>9</v>
      </c>
      <c r="AC4553" s="2" t="s">
        <v>124</v>
      </c>
      <c r="AD4553" s="3">
        <v>40487</v>
      </c>
      <c r="AE4553" s="4">
        <v>0.4861111111111111</v>
      </c>
      <c r="AF4553" s="2"/>
      <c r="AG4553" s="2"/>
      <c r="AH4553" s="2">
        <v>6</v>
      </c>
      <c r="AI4553" s="2" t="s">
        <v>197</v>
      </c>
      <c r="AJ4553" s="2">
        <v>54</v>
      </c>
      <c r="AK4553" s="2" t="s">
        <v>348</v>
      </c>
      <c r="AL4553" s="2">
        <v>19</v>
      </c>
      <c r="AM4553" s="2" t="s">
        <v>107</v>
      </c>
      <c r="AN4553" s="2" t="s">
        <v>12365</v>
      </c>
      <c r="AO4553" s="2" t="s">
        <v>12366</v>
      </c>
      <c r="AP4553" s="2">
        <v>11</v>
      </c>
      <c r="AQ4553" s="2" t="s">
        <v>82</v>
      </c>
      <c r="AR4553" s="2"/>
      <c r="AS4553" s="2"/>
      <c r="AT4553" s="2" t="s">
        <v>14121</v>
      </c>
      <c r="AU4553" s="2"/>
      <c r="AV4553" s="2"/>
      <c r="AW4553" s="2"/>
      <c r="AX4553" s="2"/>
      <c r="AY4553" s="2">
        <v>41</v>
      </c>
      <c r="AZ4553" s="2" t="s">
        <v>82</v>
      </c>
      <c r="BA4553" s="2">
        <v>41</v>
      </c>
      <c r="BB4553" s="2" t="s">
        <v>82</v>
      </c>
      <c r="BC4553" s="2">
        <v>41</v>
      </c>
      <c r="BD4553" s="2" t="s">
        <v>82</v>
      </c>
      <c r="BE4553" s="2">
        <v>41</v>
      </c>
      <c r="BF4553" s="2" t="s">
        <v>82</v>
      </c>
      <c r="BG4553" s="2"/>
      <c r="BH4553" s="2"/>
      <c r="BI4553" s="2"/>
      <c r="BJ4553" s="2">
        <v>241</v>
      </c>
      <c r="BK4553" s="2" t="s">
        <v>82</v>
      </c>
      <c r="BL4553" s="2"/>
      <c r="BM4553" s="2">
        <v>241</v>
      </c>
      <c r="BN4553" s="2" t="s">
        <v>82</v>
      </c>
      <c r="BO4553" s="2"/>
      <c r="BP4553" s="2">
        <v>241</v>
      </c>
      <c r="BQ4553" s="2" t="s">
        <v>82</v>
      </c>
      <c r="BR4553" s="2"/>
      <c r="BS4553" s="3">
        <v>40487</v>
      </c>
      <c r="BT4553" s="4">
        <v>0.52893518518518523</v>
      </c>
    </row>
    <row r="4554" spans="1:72" x14ac:dyDescent="0.25">
      <c r="A4554" s="2">
        <v>6970</v>
      </c>
      <c r="B4554" s="2">
        <v>2010</v>
      </c>
      <c r="C4554" s="2" t="s">
        <v>147</v>
      </c>
      <c r="D4554" s="2" t="s">
        <v>73</v>
      </c>
      <c r="E4554" s="2"/>
      <c r="F4554" s="2">
        <v>1</v>
      </c>
      <c r="G4554" s="2" t="s">
        <v>82</v>
      </c>
      <c r="H4554" s="2">
        <v>1</v>
      </c>
      <c r="I4554" s="2" t="s">
        <v>82</v>
      </c>
      <c r="J4554" s="2">
        <v>1</v>
      </c>
      <c r="K4554" s="2" t="s">
        <v>107</v>
      </c>
      <c r="L4554" s="2" t="s">
        <v>107</v>
      </c>
      <c r="M4554" s="3">
        <v>40487</v>
      </c>
      <c r="N4554" s="2"/>
      <c r="O4554" s="2"/>
      <c r="P4554" s="2"/>
      <c r="Q4554" s="2" t="str">
        <f>""</f>
        <v/>
      </c>
      <c r="R4554" s="2"/>
      <c r="S4554" s="2"/>
      <c r="T4554" s="2">
        <v>2</v>
      </c>
      <c r="U4554" s="2" t="s">
        <v>123</v>
      </c>
      <c r="V4554" s="2">
        <v>1</v>
      </c>
      <c r="W4554" s="2" t="s">
        <v>80</v>
      </c>
      <c r="X4554" s="2">
        <v>12</v>
      </c>
      <c r="Y4554" s="2" t="s">
        <v>148</v>
      </c>
      <c r="Z4554" s="2">
        <v>1</v>
      </c>
      <c r="AA4554" s="2" t="s">
        <v>82</v>
      </c>
      <c r="AB4554" s="2">
        <v>9</v>
      </c>
      <c r="AC4554" s="2" t="s">
        <v>124</v>
      </c>
      <c r="AD4554" s="3">
        <v>40486</v>
      </c>
      <c r="AE4554" s="2"/>
      <c r="AF4554" s="3">
        <v>40487</v>
      </c>
      <c r="AG4554" s="4">
        <v>0.47916666666666669</v>
      </c>
      <c r="AH4554" s="2">
        <v>2</v>
      </c>
      <c r="AI4554" s="2" t="s">
        <v>84</v>
      </c>
      <c r="AJ4554" s="2">
        <v>11</v>
      </c>
      <c r="AK4554" s="2" t="s">
        <v>751</v>
      </c>
      <c r="AL4554" s="2">
        <v>19</v>
      </c>
      <c r="AM4554" s="2" t="s">
        <v>107</v>
      </c>
      <c r="AN4554" s="2"/>
      <c r="AO4554" s="2" t="s">
        <v>14122</v>
      </c>
      <c r="AP4554" s="2">
        <v>11</v>
      </c>
      <c r="AQ4554" s="2" t="s">
        <v>82</v>
      </c>
      <c r="AR4554" s="2"/>
      <c r="AS4554" s="2"/>
      <c r="AT4554" s="2" t="s">
        <v>14123</v>
      </c>
      <c r="AU4554" s="2"/>
      <c r="AV4554" s="2"/>
      <c r="AW4554" s="2"/>
      <c r="AX4554" s="2"/>
      <c r="AY4554" s="2">
        <v>41</v>
      </c>
      <c r="AZ4554" s="2" t="s">
        <v>82</v>
      </c>
      <c r="BA4554" s="2">
        <v>41</v>
      </c>
      <c r="BB4554" s="2" t="s">
        <v>82</v>
      </c>
      <c r="BC4554" s="2">
        <v>41</v>
      </c>
      <c r="BD4554" s="2" t="s">
        <v>82</v>
      </c>
      <c r="BE4554" s="2">
        <v>41</v>
      </c>
      <c r="BF4554" s="2" t="s">
        <v>82</v>
      </c>
      <c r="BG4554" s="2"/>
      <c r="BH4554" s="2"/>
      <c r="BI4554" s="2"/>
      <c r="BJ4554" s="2">
        <v>241</v>
      </c>
      <c r="BK4554" s="2" t="s">
        <v>82</v>
      </c>
      <c r="BL4554" s="2"/>
      <c r="BM4554" s="2">
        <v>241</v>
      </c>
      <c r="BN4554" s="2" t="s">
        <v>82</v>
      </c>
      <c r="BO4554" s="2"/>
      <c r="BP4554" s="2">
        <v>241</v>
      </c>
      <c r="BQ4554" s="2" t="s">
        <v>82</v>
      </c>
      <c r="BR4554" s="2"/>
      <c r="BS4554" s="3">
        <v>40487</v>
      </c>
      <c r="BT4554" s="4">
        <v>0.54288194444444449</v>
      </c>
    </row>
    <row r="4555" spans="1:72" x14ac:dyDescent="0.25">
      <c r="A4555" s="2">
        <v>6971</v>
      </c>
      <c r="B4555" s="2">
        <v>2010</v>
      </c>
      <c r="C4555" s="2" t="s">
        <v>171</v>
      </c>
      <c r="D4555" s="2" t="s">
        <v>73</v>
      </c>
      <c r="E4555" s="2"/>
      <c r="F4555" s="2">
        <v>294</v>
      </c>
      <c r="G4555" s="2" t="s">
        <v>14055</v>
      </c>
      <c r="H4555" s="2">
        <v>2</v>
      </c>
      <c r="I4555" s="2" t="s">
        <v>267</v>
      </c>
      <c r="J4555" s="2">
        <v>607</v>
      </c>
      <c r="K4555" s="2" t="s">
        <v>14056</v>
      </c>
      <c r="L4555" s="2" t="s">
        <v>14057</v>
      </c>
      <c r="M4555" s="3">
        <v>40487</v>
      </c>
      <c r="N4555" s="2" t="s">
        <v>14124</v>
      </c>
      <c r="O4555" s="2" t="s">
        <v>14125</v>
      </c>
      <c r="P4555" s="2"/>
      <c r="Q4555" s="2" t="str">
        <f>"0025/2010"</f>
        <v>0025/2010</v>
      </c>
      <c r="R4555" s="2"/>
      <c r="S4555" s="2"/>
      <c r="T4555" s="2">
        <v>1</v>
      </c>
      <c r="U4555" s="2" t="s">
        <v>79</v>
      </c>
      <c r="V4555" s="2">
        <v>3</v>
      </c>
      <c r="W4555" s="2" t="s">
        <v>225</v>
      </c>
      <c r="X4555" s="2">
        <v>6</v>
      </c>
      <c r="Y4555" s="2" t="s">
        <v>249</v>
      </c>
      <c r="Z4555" s="2">
        <v>1</v>
      </c>
      <c r="AA4555" s="2" t="s">
        <v>82</v>
      </c>
      <c r="AB4555" s="2">
        <v>9</v>
      </c>
      <c r="AC4555" s="2" t="s">
        <v>124</v>
      </c>
      <c r="AD4555" s="3">
        <v>40487</v>
      </c>
      <c r="AE4555" s="2"/>
      <c r="AF4555" s="2"/>
      <c r="AG4555" s="2"/>
      <c r="AH4555" s="2">
        <v>5</v>
      </c>
      <c r="AI4555" s="2" t="s">
        <v>274</v>
      </c>
      <c r="AJ4555" s="2">
        <v>35</v>
      </c>
      <c r="AK4555" s="2" t="s">
        <v>275</v>
      </c>
      <c r="AL4555" s="2">
        <v>23</v>
      </c>
      <c r="AM4555" s="2" t="s">
        <v>251</v>
      </c>
      <c r="AN4555" s="2"/>
      <c r="AO4555" s="2" t="s">
        <v>9199</v>
      </c>
      <c r="AP4555" s="2">
        <v>11</v>
      </c>
      <c r="AQ4555" s="2" t="s">
        <v>82</v>
      </c>
      <c r="AR4555" s="2"/>
      <c r="AS4555" s="2"/>
      <c r="AT4555" s="2" t="s">
        <v>14126</v>
      </c>
      <c r="AU4555" s="2"/>
      <c r="AV4555" s="2"/>
      <c r="AW4555" s="2"/>
      <c r="AX4555" s="2"/>
      <c r="AY4555" s="2">
        <v>41</v>
      </c>
      <c r="AZ4555" s="2" t="s">
        <v>82</v>
      </c>
      <c r="BA4555" s="2">
        <v>41</v>
      </c>
      <c r="BB4555" s="2" t="s">
        <v>82</v>
      </c>
      <c r="BC4555" s="2">
        <v>41</v>
      </c>
      <c r="BD4555" s="2" t="s">
        <v>82</v>
      </c>
      <c r="BE4555" s="2">
        <v>41</v>
      </c>
      <c r="BF4555" s="2" t="s">
        <v>82</v>
      </c>
      <c r="BG4555" s="2"/>
      <c r="BH4555" s="2"/>
      <c r="BI4555" s="2"/>
      <c r="BJ4555" s="2">
        <v>241</v>
      </c>
      <c r="BK4555" s="2" t="s">
        <v>82</v>
      </c>
      <c r="BL4555" s="2"/>
      <c r="BM4555" s="2">
        <v>241</v>
      </c>
      <c r="BN4555" s="2" t="s">
        <v>82</v>
      </c>
      <c r="BO4555" s="2"/>
      <c r="BP4555" s="2">
        <v>241</v>
      </c>
      <c r="BQ4555" s="2" t="s">
        <v>82</v>
      </c>
      <c r="BR4555" s="2"/>
      <c r="BS4555" s="3">
        <v>40487</v>
      </c>
      <c r="BT4555" s="4">
        <v>0.54496527777777781</v>
      </c>
    </row>
    <row r="4556" spans="1:72" x14ac:dyDescent="0.25">
      <c r="A4556" s="2">
        <v>6972</v>
      </c>
      <c r="B4556" s="2">
        <v>2010</v>
      </c>
      <c r="C4556" s="2" t="s">
        <v>806</v>
      </c>
      <c r="D4556" s="2" t="s">
        <v>73</v>
      </c>
      <c r="E4556" s="2"/>
      <c r="F4556" s="2">
        <v>530</v>
      </c>
      <c r="G4556" s="2" t="s">
        <v>3315</v>
      </c>
      <c r="H4556" s="2">
        <v>89</v>
      </c>
      <c r="I4556" s="2" t="s">
        <v>5137</v>
      </c>
      <c r="J4556" s="2">
        <v>4</v>
      </c>
      <c r="K4556" s="2" t="s">
        <v>6873</v>
      </c>
      <c r="L4556" s="2" t="s">
        <v>6874</v>
      </c>
      <c r="M4556" s="3">
        <v>40487</v>
      </c>
      <c r="N4556" s="2" t="s">
        <v>14127</v>
      </c>
      <c r="O4556" s="2" t="s">
        <v>14128</v>
      </c>
      <c r="P4556" s="2" t="s">
        <v>3278</v>
      </c>
      <c r="Q4556" s="2" t="str">
        <f>"S/D"</f>
        <v>S/D</v>
      </c>
      <c r="R4556" s="2" t="s">
        <v>107</v>
      </c>
      <c r="S4556" s="2" t="s">
        <v>107</v>
      </c>
      <c r="T4556" s="2">
        <v>1</v>
      </c>
      <c r="U4556" s="2" t="s">
        <v>79</v>
      </c>
      <c r="V4556" s="2">
        <v>3</v>
      </c>
      <c r="W4556" s="2" t="s">
        <v>225</v>
      </c>
      <c r="X4556" s="2">
        <v>6</v>
      </c>
      <c r="Y4556" s="2" t="s">
        <v>249</v>
      </c>
      <c r="Z4556" s="2">
        <v>1</v>
      </c>
      <c r="AA4556" s="2" t="s">
        <v>82</v>
      </c>
      <c r="AB4556" s="2">
        <v>9</v>
      </c>
      <c r="AC4556" s="2" t="s">
        <v>124</v>
      </c>
      <c r="AD4556" s="3">
        <v>40487</v>
      </c>
      <c r="AE4556" s="4">
        <v>0.54166666666666663</v>
      </c>
      <c r="AF4556" s="3">
        <v>40487</v>
      </c>
      <c r="AG4556" s="4">
        <v>0.5</v>
      </c>
      <c r="AH4556" s="2">
        <v>7</v>
      </c>
      <c r="AI4556" s="2" t="s">
        <v>801</v>
      </c>
      <c r="AJ4556" s="2">
        <v>3</v>
      </c>
      <c r="AK4556" s="2" t="s">
        <v>802</v>
      </c>
      <c r="AL4556" s="2">
        <v>23</v>
      </c>
      <c r="AM4556" s="2" t="s">
        <v>251</v>
      </c>
      <c r="AN4556" s="2" t="s">
        <v>107</v>
      </c>
      <c r="AO4556" s="2" t="s">
        <v>14129</v>
      </c>
      <c r="AP4556" s="2">
        <v>11</v>
      </c>
      <c r="AQ4556" s="2" t="s">
        <v>82</v>
      </c>
      <c r="AR4556" s="2"/>
      <c r="AS4556" s="2"/>
      <c r="AT4556" s="2" t="s">
        <v>14130</v>
      </c>
      <c r="AU4556" s="2"/>
      <c r="AV4556" s="2"/>
      <c r="AW4556" s="2"/>
      <c r="AX4556" s="2"/>
      <c r="AY4556" s="2">
        <v>41</v>
      </c>
      <c r="AZ4556" s="2" t="s">
        <v>82</v>
      </c>
      <c r="BA4556" s="2">
        <v>41</v>
      </c>
      <c r="BB4556" s="2" t="s">
        <v>82</v>
      </c>
      <c r="BC4556" s="2">
        <v>41</v>
      </c>
      <c r="BD4556" s="2" t="s">
        <v>82</v>
      </c>
      <c r="BE4556" s="2">
        <v>41</v>
      </c>
      <c r="BF4556" s="2" t="s">
        <v>82</v>
      </c>
      <c r="BG4556" s="2"/>
      <c r="BH4556" s="2"/>
      <c r="BI4556" s="2"/>
      <c r="BJ4556" s="2">
        <v>241</v>
      </c>
      <c r="BK4556" s="2" t="s">
        <v>82</v>
      </c>
      <c r="BL4556" s="2"/>
      <c r="BM4556" s="2">
        <v>241</v>
      </c>
      <c r="BN4556" s="2" t="s">
        <v>82</v>
      </c>
      <c r="BO4556" s="2"/>
      <c r="BP4556" s="2">
        <v>241</v>
      </c>
      <c r="BQ4556" s="2" t="s">
        <v>82</v>
      </c>
      <c r="BR4556" s="2"/>
      <c r="BS4556" s="3">
        <v>40487</v>
      </c>
      <c r="BT4556" s="4">
        <v>0.55464120370370373</v>
      </c>
    </row>
    <row r="4557" spans="1:72" x14ac:dyDescent="0.25">
      <c r="A4557" s="2">
        <v>6975</v>
      </c>
      <c r="B4557" s="2">
        <v>2010</v>
      </c>
      <c r="C4557" s="2" t="s">
        <v>72</v>
      </c>
      <c r="D4557" s="2" t="s">
        <v>73</v>
      </c>
      <c r="E4557" s="2"/>
      <c r="F4557" s="2">
        <v>708</v>
      </c>
      <c r="G4557" s="2" t="s">
        <v>14131</v>
      </c>
      <c r="H4557" s="2">
        <v>99</v>
      </c>
      <c r="I4557" s="2" t="s">
        <v>6285</v>
      </c>
      <c r="J4557" s="2">
        <v>583</v>
      </c>
      <c r="K4557" s="2" t="s">
        <v>8289</v>
      </c>
      <c r="L4557" s="2" t="s">
        <v>8290</v>
      </c>
      <c r="M4557" s="3">
        <v>40487</v>
      </c>
      <c r="N4557" s="2" t="s">
        <v>14132</v>
      </c>
      <c r="O4557" s="2" t="s">
        <v>107</v>
      </c>
      <c r="P4557" s="2" t="s">
        <v>107</v>
      </c>
      <c r="Q4557" s="2" t="str">
        <f>"63/10"</f>
        <v>63/10</v>
      </c>
      <c r="R4557" s="2" t="s">
        <v>107</v>
      </c>
      <c r="S4557" s="2" t="s">
        <v>116</v>
      </c>
      <c r="T4557" s="2">
        <v>1</v>
      </c>
      <c r="U4557" s="2" t="s">
        <v>79</v>
      </c>
      <c r="V4557" s="2">
        <v>1</v>
      </c>
      <c r="W4557" s="2" t="s">
        <v>80</v>
      </c>
      <c r="X4557" s="2">
        <v>12</v>
      </c>
      <c r="Y4557" s="2" t="s">
        <v>148</v>
      </c>
      <c r="Z4557" s="2">
        <v>1</v>
      </c>
      <c r="AA4557" s="2" t="s">
        <v>82</v>
      </c>
      <c r="AB4557" s="2">
        <v>6</v>
      </c>
      <c r="AC4557" s="2" t="s">
        <v>83</v>
      </c>
      <c r="AD4557" s="3">
        <v>40487</v>
      </c>
      <c r="AE4557" s="4">
        <v>0.50347222222222221</v>
      </c>
      <c r="AF4557" s="3">
        <v>40487</v>
      </c>
      <c r="AG4557" s="4">
        <v>0.53819444444444442</v>
      </c>
      <c r="AH4557" s="2">
        <v>3</v>
      </c>
      <c r="AI4557" s="2" t="s">
        <v>214</v>
      </c>
      <c r="AJ4557" s="2">
        <v>24</v>
      </c>
      <c r="AK4557" s="2" t="s">
        <v>215</v>
      </c>
      <c r="AL4557" s="2">
        <v>12</v>
      </c>
      <c r="AM4557" s="2" t="s">
        <v>86</v>
      </c>
      <c r="AN4557" s="2" t="s">
        <v>14133</v>
      </c>
      <c r="AO4557" s="2" t="s">
        <v>14134</v>
      </c>
      <c r="AP4557" s="2">
        <v>11</v>
      </c>
      <c r="AQ4557" s="2" t="s">
        <v>82</v>
      </c>
      <c r="AR4557" s="2"/>
      <c r="AS4557" s="2"/>
      <c r="AT4557" s="2" t="s">
        <v>14135</v>
      </c>
      <c r="AU4557" s="2"/>
      <c r="AV4557" s="2"/>
      <c r="AW4557" s="2"/>
      <c r="AX4557" s="2"/>
      <c r="AY4557" s="2">
        <v>41</v>
      </c>
      <c r="AZ4557" s="2" t="s">
        <v>82</v>
      </c>
      <c r="BA4557" s="2">
        <v>41</v>
      </c>
      <c r="BB4557" s="2" t="s">
        <v>82</v>
      </c>
      <c r="BC4557" s="2">
        <v>41</v>
      </c>
      <c r="BD4557" s="2" t="s">
        <v>82</v>
      </c>
      <c r="BE4557" s="2">
        <v>41</v>
      </c>
      <c r="BF4557" s="2" t="s">
        <v>82</v>
      </c>
      <c r="BG4557" s="2"/>
      <c r="BH4557" s="2"/>
      <c r="BI4557" s="2"/>
      <c r="BJ4557" s="2">
        <v>241</v>
      </c>
      <c r="BK4557" s="2" t="s">
        <v>82</v>
      </c>
      <c r="BL4557" s="2"/>
      <c r="BM4557" s="2">
        <v>241</v>
      </c>
      <c r="BN4557" s="2" t="s">
        <v>82</v>
      </c>
      <c r="BO4557" s="2"/>
      <c r="BP4557" s="2">
        <v>241</v>
      </c>
      <c r="BQ4557" s="2" t="s">
        <v>82</v>
      </c>
      <c r="BR4557" s="2"/>
      <c r="BS4557" s="3">
        <v>40487</v>
      </c>
      <c r="BT4557" s="4">
        <v>0.59692129629629631</v>
      </c>
    </row>
    <row r="4558" spans="1:72" x14ac:dyDescent="0.25">
      <c r="A4558" s="2">
        <v>6978</v>
      </c>
      <c r="B4558" s="2">
        <v>2010</v>
      </c>
      <c r="C4558" s="2" t="s">
        <v>171</v>
      </c>
      <c r="D4558" s="2" t="s">
        <v>73</v>
      </c>
      <c r="E4558" s="2"/>
      <c r="F4558" s="2">
        <v>100</v>
      </c>
      <c r="G4558" s="2" t="s">
        <v>517</v>
      </c>
      <c r="H4558" s="2">
        <v>47</v>
      </c>
      <c r="I4558" s="2" t="s">
        <v>1409</v>
      </c>
      <c r="J4558" s="2">
        <v>119</v>
      </c>
      <c r="K4558" s="2" t="s">
        <v>325</v>
      </c>
      <c r="L4558" s="2" t="s">
        <v>326</v>
      </c>
      <c r="M4558" s="3">
        <v>40487</v>
      </c>
      <c r="N4558" s="2" t="s">
        <v>1433</v>
      </c>
      <c r="O4558" s="2" t="s">
        <v>14136</v>
      </c>
      <c r="P4558" s="2" t="s">
        <v>8063</v>
      </c>
      <c r="Q4558" s="2" t="str">
        <f>""</f>
        <v/>
      </c>
      <c r="R4558" s="2"/>
      <c r="S4558" s="2"/>
      <c r="T4558" s="2">
        <v>1</v>
      </c>
      <c r="U4558" s="2" t="s">
        <v>79</v>
      </c>
      <c r="V4558" s="2">
        <v>3</v>
      </c>
      <c r="W4558" s="2" t="s">
        <v>225</v>
      </c>
      <c r="X4558" s="2">
        <v>8</v>
      </c>
      <c r="Y4558" s="2" t="s">
        <v>375</v>
      </c>
      <c r="Z4558" s="2">
        <v>10</v>
      </c>
      <c r="AA4558" s="2" t="s">
        <v>236</v>
      </c>
      <c r="AB4558" s="2">
        <v>9</v>
      </c>
      <c r="AC4558" s="2" t="s">
        <v>124</v>
      </c>
      <c r="AD4558" s="3">
        <v>40487</v>
      </c>
      <c r="AE4558" s="4">
        <v>0.60416666666666663</v>
      </c>
      <c r="AF4558" s="2"/>
      <c r="AG4558" s="2"/>
      <c r="AH4558" s="2">
        <v>6</v>
      </c>
      <c r="AI4558" s="2" t="s">
        <v>197</v>
      </c>
      <c r="AJ4558" s="2">
        <v>47</v>
      </c>
      <c r="AK4558" s="2" t="s">
        <v>250</v>
      </c>
      <c r="AL4558" s="2">
        <v>23</v>
      </c>
      <c r="AM4558" s="2" t="s">
        <v>251</v>
      </c>
      <c r="AN4558" s="2"/>
      <c r="AO4558" s="2" t="s">
        <v>14137</v>
      </c>
      <c r="AP4558" s="2">
        <v>11</v>
      </c>
      <c r="AQ4558" s="2" t="s">
        <v>82</v>
      </c>
      <c r="AR4558" s="2"/>
      <c r="AS4558" s="2"/>
      <c r="AT4558" s="2" t="s">
        <v>14138</v>
      </c>
      <c r="AU4558" s="2"/>
      <c r="AV4558" s="2"/>
      <c r="AW4558" s="2"/>
      <c r="AX4558" s="2"/>
      <c r="AY4558" s="2">
        <v>41</v>
      </c>
      <c r="AZ4558" s="2" t="s">
        <v>82</v>
      </c>
      <c r="BA4558" s="2">
        <v>41</v>
      </c>
      <c r="BB4558" s="2" t="s">
        <v>82</v>
      </c>
      <c r="BC4558" s="2">
        <v>41</v>
      </c>
      <c r="BD4558" s="2" t="s">
        <v>82</v>
      </c>
      <c r="BE4558" s="2">
        <v>41</v>
      </c>
      <c r="BF4558" s="2" t="s">
        <v>82</v>
      </c>
      <c r="BG4558" s="2"/>
      <c r="BH4558" s="2"/>
      <c r="BI4558" s="2"/>
      <c r="BJ4558" s="2">
        <v>241</v>
      </c>
      <c r="BK4558" s="2" t="s">
        <v>82</v>
      </c>
      <c r="BL4558" s="2"/>
      <c r="BM4558" s="2">
        <v>241</v>
      </c>
      <c r="BN4558" s="2" t="s">
        <v>82</v>
      </c>
      <c r="BO4558" s="2"/>
      <c r="BP4558" s="2">
        <v>241</v>
      </c>
      <c r="BQ4558" s="2" t="s">
        <v>82</v>
      </c>
      <c r="BR4558" s="2"/>
      <c r="BS4558" s="3">
        <v>40487</v>
      </c>
      <c r="BT4558" s="4">
        <v>0.6900115740740741</v>
      </c>
    </row>
    <row r="4559" spans="1:72" x14ac:dyDescent="0.25">
      <c r="A4559" s="2">
        <v>6979</v>
      </c>
      <c r="B4559" s="2">
        <v>2010</v>
      </c>
      <c r="C4559" s="2" t="s">
        <v>171</v>
      </c>
      <c r="D4559" s="2" t="s">
        <v>73</v>
      </c>
      <c r="E4559" s="2"/>
      <c r="F4559" s="2">
        <v>397</v>
      </c>
      <c r="G4559" s="2" t="s">
        <v>2522</v>
      </c>
      <c r="H4559" s="2">
        <v>11</v>
      </c>
      <c r="I4559" s="2" t="s">
        <v>1397</v>
      </c>
      <c r="J4559" s="2">
        <v>377</v>
      </c>
      <c r="K4559" s="2" t="s">
        <v>1223</v>
      </c>
      <c r="L4559" s="2" t="s">
        <v>1224</v>
      </c>
      <c r="M4559" s="3">
        <v>40487</v>
      </c>
      <c r="N4559" s="2" t="s">
        <v>13670</v>
      </c>
      <c r="O4559" s="2" t="s">
        <v>14139</v>
      </c>
      <c r="P4559" s="2" t="s">
        <v>14140</v>
      </c>
      <c r="Q4559" s="2" t="str">
        <f>"558-E/10"</f>
        <v>558-E/10</v>
      </c>
      <c r="R4559" s="2"/>
      <c r="S4559" s="2"/>
      <c r="T4559" s="2">
        <v>1</v>
      </c>
      <c r="U4559" s="2" t="s">
        <v>79</v>
      </c>
      <c r="V4559" s="2">
        <v>3</v>
      </c>
      <c r="W4559" s="2" t="s">
        <v>225</v>
      </c>
      <c r="X4559" s="2">
        <v>6</v>
      </c>
      <c r="Y4559" s="2" t="s">
        <v>249</v>
      </c>
      <c r="Z4559" s="2">
        <v>1</v>
      </c>
      <c r="AA4559" s="2" t="s">
        <v>82</v>
      </c>
      <c r="AB4559" s="2">
        <v>9</v>
      </c>
      <c r="AC4559" s="2" t="s">
        <v>124</v>
      </c>
      <c r="AD4559" s="3">
        <v>40479</v>
      </c>
      <c r="AE4559" s="2"/>
      <c r="AF4559" s="2"/>
      <c r="AG4559" s="2"/>
      <c r="AH4559" s="2">
        <v>2</v>
      </c>
      <c r="AI4559" s="2" t="s">
        <v>84</v>
      </c>
      <c r="AJ4559" s="2">
        <v>6</v>
      </c>
      <c r="AK4559" s="2" t="s">
        <v>453</v>
      </c>
      <c r="AL4559" s="2">
        <v>23</v>
      </c>
      <c r="AM4559" s="2" t="s">
        <v>251</v>
      </c>
      <c r="AN4559" s="2"/>
      <c r="AO4559" s="2" t="s">
        <v>14141</v>
      </c>
      <c r="AP4559" s="2">
        <v>11</v>
      </c>
      <c r="AQ4559" s="2" t="s">
        <v>82</v>
      </c>
      <c r="AR4559" s="2"/>
      <c r="AS4559" s="2"/>
      <c r="AT4559" s="2" t="s">
        <v>14142</v>
      </c>
      <c r="AU4559" s="2"/>
      <c r="AV4559" s="2"/>
      <c r="AW4559" s="2"/>
      <c r="AX4559" s="2"/>
      <c r="AY4559" s="2">
        <v>41</v>
      </c>
      <c r="AZ4559" s="2" t="s">
        <v>82</v>
      </c>
      <c r="BA4559" s="2">
        <v>41</v>
      </c>
      <c r="BB4559" s="2" t="s">
        <v>82</v>
      </c>
      <c r="BC4559" s="2">
        <v>41</v>
      </c>
      <c r="BD4559" s="2" t="s">
        <v>82</v>
      </c>
      <c r="BE4559" s="2">
        <v>41</v>
      </c>
      <c r="BF4559" s="2" t="s">
        <v>82</v>
      </c>
      <c r="BG4559" s="2"/>
      <c r="BH4559" s="2"/>
      <c r="BI4559" s="2"/>
      <c r="BJ4559" s="2">
        <v>241</v>
      </c>
      <c r="BK4559" s="2" t="s">
        <v>82</v>
      </c>
      <c r="BL4559" s="2"/>
      <c r="BM4559" s="2">
        <v>241</v>
      </c>
      <c r="BN4559" s="2" t="s">
        <v>82</v>
      </c>
      <c r="BO4559" s="2"/>
      <c r="BP4559" s="2">
        <v>241</v>
      </c>
      <c r="BQ4559" s="2" t="s">
        <v>82</v>
      </c>
      <c r="BR4559" s="2"/>
      <c r="BS4559" s="3">
        <v>40487</v>
      </c>
      <c r="BT4559" s="4">
        <v>0.70466435185185183</v>
      </c>
    </row>
    <row r="4560" spans="1:72" x14ac:dyDescent="0.25">
      <c r="A4560" s="2">
        <v>6981</v>
      </c>
      <c r="B4560" s="2">
        <v>2010</v>
      </c>
      <c r="C4560" s="2" t="s">
        <v>2219</v>
      </c>
      <c r="D4560" s="2" t="s">
        <v>73</v>
      </c>
      <c r="E4560" s="2"/>
      <c r="F4560" s="2">
        <v>12</v>
      </c>
      <c r="G4560" s="2" t="s">
        <v>2494</v>
      </c>
      <c r="H4560" s="2">
        <v>2</v>
      </c>
      <c r="I4560" s="2" t="s">
        <v>267</v>
      </c>
      <c r="J4560" s="2">
        <v>21</v>
      </c>
      <c r="K4560" s="2" t="s">
        <v>3908</v>
      </c>
      <c r="L4560" s="2" t="s">
        <v>3909</v>
      </c>
      <c r="M4560" s="3">
        <v>40487</v>
      </c>
      <c r="N4560" s="2" t="s">
        <v>14143</v>
      </c>
      <c r="O4560" s="2" t="s">
        <v>12050</v>
      </c>
      <c r="P4560" s="2" t="s">
        <v>12051</v>
      </c>
      <c r="Q4560" s="2" t="str">
        <f>"16/2010"</f>
        <v>16/2010</v>
      </c>
      <c r="R4560" s="2" t="s">
        <v>82</v>
      </c>
      <c r="S4560" s="2" t="s">
        <v>82</v>
      </c>
      <c r="T4560" s="2">
        <v>1</v>
      </c>
      <c r="U4560" s="2" t="s">
        <v>79</v>
      </c>
      <c r="V4560" s="2">
        <v>3</v>
      </c>
      <c r="W4560" s="2" t="s">
        <v>225</v>
      </c>
      <c r="X4560" s="2">
        <v>6</v>
      </c>
      <c r="Y4560" s="2" t="s">
        <v>249</v>
      </c>
      <c r="Z4560" s="2">
        <v>1</v>
      </c>
      <c r="AA4560" s="2" t="s">
        <v>82</v>
      </c>
      <c r="AB4560" s="2">
        <v>9</v>
      </c>
      <c r="AC4560" s="2" t="s">
        <v>124</v>
      </c>
      <c r="AD4560" s="3">
        <v>40487</v>
      </c>
      <c r="AE4560" s="4">
        <v>0.59027777777777779</v>
      </c>
      <c r="AF4560" s="2"/>
      <c r="AG4560" s="2"/>
      <c r="AH4560" s="2">
        <v>3</v>
      </c>
      <c r="AI4560" s="2" t="s">
        <v>214</v>
      </c>
      <c r="AJ4560" s="2">
        <v>14</v>
      </c>
      <c r="AK4560" s="2" t="s">
        <v>342</v>
      </c>
      <c r="AL4560" s="2">
        <v>19</v>
      </c>
      <c r="AM4560" s="2" t="s">
        <v>107</v>
      </c>
      <c r="AN4560" s="2" t="s">
        <v>82</v>
      </c>
      <c r="AO4560" s="2" t="s">
        <v>82</v>
      </c>
      <c r="AP4560" s="2">
        <v>11</v>
      </c>
      <c r="AQ4560" s="2" t="s">
        <v>82</v>
      </c>
      <c r="AR4560" s="2"/>
      <c r="AS4560" s="2"/>
      <c r="AT4560" s="2" t="s">
        <v>14144</v>
      </c>
      <c r="AU4560" s="2"/>
      <c r="AV4560" s="2"/>
      <c r="AW4560" s="2"/>
      <c r="AX4560" s="2"/>
      <c r="AY4560" s="2">
        <v>41</v>
      </c>
      <c r="AZ4560" s="2" t="s">
        <v>82</v>
      </c>
      <c r="BA4560" s="2">
        <v>41</v>
      </c>
      <c r="BB4560" s="2" t="s">
        <v>82</v>
      </c>
      <c r="BC4560" s="2">
        <v>41</v>
      </c>
      <c r="BD4560" s="2" t="s">
        <v>82</v>
      </c>
      <c r="BE4560" s="2">
        <v>41</v>
      </c>
      <c r="BF4560" s="2" t="s">
        <v>82</v>
      </c>
      <c r="BG4560" s="2"/>
      <c r="BH4560" s="2"/>
      <c r="BI4560" s="2"/>
      <c r="BJ4560" s="2">
        <v>241</v>
      </c>
      <c r="BK4560" s="2" t="s">
        <v>82</v>
      </c>
      <c r="BL4560" s="2"/>
      <c r="BM4560" s="2">
        <v>241</v>
      </c>
      <c r="BN4560" s="2" t="s">
        <v>82</v>
      </c>
      <c r="BO4560" s="2"/>
      <c r="BP4560" s="2">
        <v>241</v>
      </c>
      <c r="BQ4560" s="2" t="s">
        <v>82</v>
      </c>
      <c r="BR4560" s="2"/>
      <c r="BS4560" s="3">
        <v>40487</v>
      </c>
      <c r="BT4560" s="4">
        <v>0.72303240740740737</v>
      </c>
    </row>
    <row r="4561" spans="1:72" x14ac:dyDescent="0.25">
      <c r="A4561" s="2">
        <v>6982</v>
      </c>
      <c r="B4561" s="2">
        <v>2010</v>
      </c>
      <c r="C4561" s="2" t="s">
        <v>819</v>
      </c>
      <c r="D4561" s="2" t="s">
        <v>73</v>
      </c>
      <c r="E4561" s="2" t="s">
        <v>14145</v>
      </c>
      <c r="F4561" s="2">
        <v>281</v>
      </c>
      <c r="G4561" s="2" t="s">
        <v>7482</v>
      </c>
      <c r="H4561" s="2">
        <v>4</v>
      </c>
      <c r="I4561" s="2" t="s">
        <v>173</v>
      </c>
      <c r="J4561" s="2">
        <v>335</v>
      </c>
      <c r="K4561" s="2" t="s">
        <v>2804</v>
      </c>
      <c r="L4561" s="2" t="s">
        <v>3947</v>
      </c>
      <c r="M4561" s="3">
        <v>40487</v>
      </c>
      <c r="N4561" s="2" t="s">
        <v>12668</v>
      </c>
      <c r="O4561" s="2" t="s">
        <v>14146</v>
      </c>
      <c r="P4561" s="2" t="s">
        <v>14147</v>
      </c>
      <c r="Q4561" s="2" t="str">
        <f>"0016/2010"</f>
        <v>0016/2010</v>
      </c>
      <c r="R4561" s="2"/>
      <c r="S4561" s="2"/>
      <c r="T4561" s="2">
        <v>1</v>
      </c>
      <c r="U4561" s="2" t="s">
        <v>79</v>
      </c>
      <c r="V4561" s="2">
        <v>1</v>
      </c>
      <c r="W4561" s="2" t="s">
        <v>80</v>
      </c>
      <c r="X4561" s="2">
        <v>1</v>
      </c>
      <c r="Y4561" s="2" t="s">
        <v>81</v>
      </c>
      <c r="Z4561" s="2">
        <v>1</v>
      </c>
      <c r="AA4561" s="2" t="s">
        <v>82</v>
      </c>
      <c r="AB4561" s="2">
        <v>9</v>
      </c>
      <c r="AC4561" s="2" t="s">
        <v>124</v>
      </c>
      <c r="AD4561" s="3">
        <v>40451</v>
      </c>
      <c r="AE4561" s="4">
        <v>0.85416666666666663</v>
      </c>
      <c r="AF4561" s="3">
        <v>40487</v>
      </c>
      <c r="AG4561" s="4">
        <v>0.54166666666666663</v>
      </c>
      <c r="AH4561" s="2">
        <v>5</v>
      </c>
      <c r="AI4561" s="2" t="s">
        <v>274</v>
      </c>
      <c r="AJ4561" s="2">
        <v>37</v>
      </c>
      <c r="AK4561" s="2" t="s">
        <v>497</v>
      </c>
      <c r="AL4561" s="2">
        <v>25</v>
      </c>
      <c r="AM4561" s="2" t="s">
        <v>3073</v>
      </c>
      <c r="AN4561" s="2"/>
      <c r="AO4561" s="2" t="s">
        <v>179</v>
      </c>
      <c r="AP4561" s="2">
        <v>5</v>
      </c>
      <c r="AQ4561" s="2" t="s">
        <v>827</v>
      </c>
      <c r="AR4561" s="2" t="s">
        <v>14148</v>
      </c>
      <c r="AS4561" s="2" t="s">
        <v>14149</v>
      </c>
      <c r="AT4561" s="2" t="s">
        <v>14150</v>
      </c>
      <c r="AU4561" s="2"/>
      <c r="AV4561" s="2"/>
      <c r="AW4561" s="2"/>
      <c r="AX4561" s="2"/>
      <c r="AY4561" s="2">
        <v>41</v>
      </c>
      <c r="AZ4561" s="2" t="s">
        <v>82</v>
      </c>
      <c r="BA4561" s="2">
        <v>41</v>
      </c>
      <c r="BB4561" s="2" t="s">
        <v>82</v>
      </c>
      <c r="BC4561" s="2">
        <v>41</v>
      </c>
      <c r="BD4561" s="2" t="s">
        <v>82</v>
      </c>
      <c r="BE4561" s="2">
        <v>13</v>
      </c>
      <c r="BF4561" s="2" t="s">
        <v>108</v>
      </c>
      <c r="BG4561" s="2">
        <v>1759</v>
      </c>
      <c r="BH4561" s="4">
        <v>0.90833333333333333</v>
      </c>
      <c r="BI4561" s="4">
        <v>0.96527777777777779</v>
      </c>
      <c r="BJ4561" s="2">
        <v>13</v>
      </c>
      <c r="BK4561" s="2" t="s">
        <v>91</v>
      </c>
      <c r="BL4561" s="2" t="s">
        <v>502</v>
      </c>
      <c r="BM4561" s="2">
        <v>13</v>
      </c>
      <c r="BN4561" s="2" t="s">
        <v>91</v>
      </c>
      <c r="BO4561" s="2"/>
      <c r="BP4561" s="2">
        <v>13</v>
      </c>
      <c r="BQ4561" s="2" t="s">
        <v>91</v>
      </c>
      <c r="BR4561" s="2" t="s">
        <v>170</v>
      </c>
      <c r="BS4561" s="3">
        <v>40487</v>
      </c>
      <c r="BT4561" s="4">
        <v>0.73356481481481473</v>
      </c>
    </row>
    <row r="4562" spans="1:72" x14ac:dyDescent="0.25">
      <c r="A4562" s="2">
        <v>6983</v>
      </c>
      <c r="B4562" s="2">
        <v>2010</v>
      </c>
      <c r="C4562" s="2" t="s">
        <v>93</v>
      </c>
      <c r="D4562" s="2" t="s">
        <v>73</v>
      </c>
      <c r="E4562" s="2"/>
      <c r="F4562" s="2">
        <v>715</v>
      </c>
      <c r="G4562" s="2" t="s">
        <v>14151</v>
      </c>
      <c r="H4562" s="2">
        <v>42</v>
      </c>
      <c r="I4562" s="2" t="s">
        <v>1096</v>
      </c>
      <c r="J4562" s="2">
        <v>699</v>
      </c>
      <c r="K4562" s="2" t="s">
        <v>14152</v>
      </c>
      <c r="L4562" s="2" t="s">
        <v>14153</v>
      </c>
      <c r="M4562" s="3">
        <v>40487</v>
      </c>
      <c r="N4562" s="2" t="s">
        <v>14154</v>
      </c>
      <c r="O4562" s="2" t="s">
        <v>14155</v>
      </c>
      <c r="P4562" s="2">
        <v>35</v>
      </c>
      <c r="Q4562" s="2" t="str">
        <f>"AP 0052/10"</f>
        <v>AP 0052/10</v>
      </c>
      <c r="R4562" s="2" t="s">
        <v>14156</v>
      </c>
      <c r="S4562" s="2" t="s">
        <v>82</v>
      </c>
      <c r="T4562" s="2">
        <v>1</v>
      </c>
      <c r="U4562" s="2" t="s">
        <v>79</v>
      </c>
      <c r="V4562" s="2">
        <v>1</v>
      </c>
      <c r="W4562" s="2" t="s">
        <v>80</v>
      </c>
      <c r="X4562" s="2">
        <v>1</v>
      </c>
      <c r="Y4562" s="2" t="s">
        <v>81</v>
      </c>
      <c r="Z4562" s="2">
        <v>1</v>
      </c>
      <c r="AA4562" s="2" t="s">
        <v>82</v>
      </c>
      <c r="AB4562" s="2">
        <v>2</v>
      </c>
      <c r="AC4562" s="2" t="s">
        <v>102</v>
      </c>
      <c r="AD4562" s="3">
        <v>40487</v>
      </c>
      <c r="AE4562" s="4">
        <v>0.64583333333333337</v>
      </c>
      <c r="AF4562" s="3">
        <v>40487</v>
      </c>
      <c r="AG4562" s="2"/>
      <c r="AH4562" s="2">
        <v>6</v>
      </c>
      <c r="AI4562" s="2" t="s">
        <v>197</v>
      </c>
      <c r="AJ4562" s="2">
        <v>60</v>
      </c>
      <c r="AK4562" s="2" t="s">
        <v>543</v>
      </c>
      <c r="AL4562" s="2">
        <v>11</v>
      </c>
      <c r="AM4562" s="2" t="s">
        <v>137</v>
      </c>
      <c r="AN4562" s="2"/>
      <c r="AO4562" s="2" t="s">
        <v>13680</v>
      </c>
      <c r="AP4562" s="2">
        <v>11</v>
      </c>
      <c r="AQ4562" s="2" t="s">
        <v>82</v>
      </c>
      <c r="AR4562" s="2" t="s">
        <v>82</v>
      </c>
      <c r="AS4562" s="2" t="s">
        <v>82</v>
      </c>
      <c r="AT4562" s="2" t="s">
        <v>14157</v>
      </c>
      <c r="AU4562" s="2"/>
      <c r="AV4562" s="2"/>
      <c r="AW4562" s="2"/>
      <c r="AX4562" s="2"/>
      <c r="AY4562" s="2">
        <v>41</v>
      </c>
      <c r="AZ4562" s="2" t="s">
        <v>82</v>
      </c>
      <c r="BA4562" s="2">
        <v>41</v>
      </c>
      <c r="BB4562" s="2" t="s">
        <v>82</v>
      </c>
      <c r="BC4562" s="2">
        <v>41</v>
      </c>
      <c r="BD4562" s="2" t="s">
        <v>82</v>
      </c>
      <c r="BE4562" s="2">
        <v>13</v>
      </c>
      <c r="BF4562" s="2" t="s">
        <v>108</v>
      </c>
      <c r="BG4562" s="2" t="s">
        <v>12912</v>
      </c>
      <c r="BH4562" s="2"/>
      <c r="BI4562" s="4">
        <v>0.67361111111111116</v>
      </c>
      <c r="BJ4562" s="2">
        <v>13</v>
      </c>
      <c r="BK4562" s="2" t="s">
        <v>91</v>
      </c>
      <c r="BL4562" s="2" t="s">
        <v>895</v>
      </c>
      <c r="BM4562" s="2">
        <v>13</v>
      </c>
      <c r="BN4562" s="2" t="s">
        <v>91</v>
      </c>
      <c r="BO4562" s="2"/>
      <c r="BP4562" s="2">
        <v>13</v>
      </c>
      <c r="BQ4562" s="2" t="s">
        <v>91</v>
      </c>
      <c r="BR4562" s="2" t="s">
        <v>14158</v>
      </c>
      <c r="BS4562" s="3">
        <v>40487</v>
      </c>
      <c r="BT4562" s="4">
        <v>0.76026620370370368</v>
      </c>
    </row>
    <row r="4563" spans="1:72" x14ac:dyDescent="0.25">
      <c r="A4563" s="2">
        <v>6985</v>
      </c>
      <c r="B4563" s="2">
        <v>2010</v>
      </c>
      <c r="C4563" s="2" t="s">
        <v>171</v>
      </c>
      <c r="D4563" s="2" t="s">
        <v>73</v>
      </c>
      <c r="E4563" s="2"/>
      <c r="F4563" s="2">
        <v>402</v>
      </c>
      <c r="G4563" s="2" t="s">
        <v>6564</v>
      </c>
      <c r="H4563" s="2">
        <v>5</v>
      </c>
      <c r="I4563" s="2" t="s">
        <v>634</v>
      </c>
      <c r="J4563" s="2">
        <v>700</v>
      </c>
      <c r="K4563" s="2" t="s">
        <v>14159</v>
      </c>
      <c r="L4563" s="2" t="s">
        <v>14160</v>
      </c>
      <c r="M4563" s="3">
        <v>40487</v>
      </c>
      <c r="N4563" s="2" t="s">
        <v>14161</v>
      </c>
      <c r="O4563" s="2" t="s">
        <v>14162</v>
      </c>
      <c r="P4563" s="2">
        <v>12862</v>
      </c>
      <c r="Q4563" s="2" t="str">
        <f>"551-E/10"</f>
        <v>551-E/10</v>
      </c>
      <c r="R4563" s="2" t="s">
        <v>391</v>
      </c>
      <c r="S4563" s="2"/>
      <c r="T4563" s="2">
        <v>1</v>
      </c>
      <c r="U4563" s="2" t="s">
        <v>79</v>
      </c>
      <c r="V4563" s="2">
        <v>3</v>
      </c>
      <c r="W4563" s="2" t="s">
        <v>225</v>
      </c>
      <c r="X4563" s="2">
        <v>6</v>
      </c>
      <c r="Y4563" s="2" t="s">
        <v>249</v>
      </c>
      <c r="Z4563" s="2">
        <v>1</v>
      </c>
      <c r="AA4563" s="2" t="s">
        <v>82</v>
      </c>
      <c r="AB4563" s="2">
        <v>9</v>
      </c>
      <c r="AC4563" s="2" t="s">
        <v>124</v>
      </c>
      <c r="AD4563" s="3">
        <v>40487</v>
      </c>
      <c r="AE4563" s="2"/>
      <c r="AF4563" s="2"/>
      <c r="AG4563" s="2"/>
      <c r="AH4563" s="2">
        <v>2</v>
      </c>
      <c r="AI4563" s="2" t="s">
        <v>84</v>
      </c>
      <c r="AJ4563" s="2">
        <v>6</v>
      </c>
      <c r="AK4563" s="2" t="s">
        <v>453</v>
      </c>
      <c r="AL4563" s="2">
        <v>23</v>
      </c>
      <c r="AM4563" s="2" t="s">
        <v>251</v>
      </c>
      <c r="AN4563" s="2"/>
      <c r="AO4563" s="2" t="s">
        <v>14163</v>
      </c>
      <c r="AP4563" s="2">
        <v>11</v>
      </c>
      <c r="AQ4563" s="2" t="s">
        <v>82</v>
      </c>
      <c r="AR4563" s="2"/>
      <c r="AS4563" s="2"/>
      <c r="AT4563" s="2" t="s">
        <v>14164</v>
      </c>
      <c r="AU4563" s="2"/>
      <c r="AV4563" s="2"/>
      <c r="AW4563" s="2"/>
      <c r="AX4563" s="2"/>
      <c r="AY4563" s="2">
        <v>41</v>
      </c>
      <c r="AZ4563" s="2" t="s">
        <v>82</v>
      </c>
      <c r="BA4563" s="2">
        <v>41</v>
      </c>
      <c r="BB4563" s="2" t="s">
        <v>82</v>
      </c>
      <c r="BC4563" s="2">
        <v>41</v>
      </c>
      <c r="BD4563" s="2" t="s">
        <v>82</v>
      </c>
      <c r="BE4563" s="2">
        <v>41</v>
      </c>
      <c r="BF4563" s="2" t="s">
        <v>82</v>
      </c>
      <c r="BG4563" s="2"/>
      <c r="BH4563" s="2"/>
      <c r="BI4563" s="2"/>
      <c r="BJ4563" s="2">
        <v>241</v>
      </c>
      <c r="BK4563" s="2" t="s">
        <v>82</v>
      </c>
      <c r="BL4563" s="2"/>
      <c r="BM4563" s="2">
        <v>241</v>
      </c>
      <c r="BN4563" s="2" t="s">
        <v>82</v>
      </c>
      <c r="BO4563" s="2"/>
      <c r="BP4563" s="2">
        <v>241</v>
      </c>
      <c r="BQ4563" s="2" t="s">
        <v>82</v>
      </c>
      <c r="BR4563" s="2"/>
      <c r="BS4563" s="3">
        <v>40487</v>
      </c>
      <c r="BT4563" s="4">
        <v>0.77542824074074079</v>
      </c>
    </row>
    <row r="4564" spans="1:72" x14ac:dyDescent="0.25">
      <c r="A4564" s="2">
        <v>6988</v>
      </c>
      <c r="B4564" s="2">
        <v>2010</v>
      </c>
      <c r="C4564" s="2" t="s">
        <v>72</v>
      </c>
      <c r="D4564" s="2" t="s">
        <v>73</v>
      </c>
      <c r="E4564" s="2"/>
      <c r="F4564" s="2">
        <v>540</v>
      </c>
      <c r="G4564" s="2" t="s">
        <v>7178</v>
      </c>
      <c r="H4564" s="2">
        <v>5</v>
      </c>
      <c r="I4564" s="2" t="s">
        <v>634</v>
      </c>
      <c r="J4564" s="2">
        <v>314</v>
      </c>
      <c r="K4564" s="2" t="s">
        <v>477</v>
      </c>
      <c r="L4564" s="2" t="s">
        <v>478</v>
      </c>
      <c r="M4564" s="3">
        <v>40487</v>
      </c>
      <c r="N4564" s="2" t="s">
        <v>14165</v>
      </c>
      <c r="O4564" s="2"/>
      <c r="P4564" s="2"/>
      <c r="Q4564" s="2" t="str">
        <f>"579-E/10"</f>
        <v>579-E/10</v>
      </c>
      <c r="R4564" s="2"/>
      <c r="S4564" s="2" t="s">
        <v>601</v>
      </c>
      <c r="T4564" s="2">
        <v>1</v>
      </c>
      <c r="U4564" s="2" t="s">
        <v>79</v>
      </c>
      <c r="V4564" s="2">
        <v>1</v>
      </c>
      <c r="W4564" s="2" t="s">
        <v>80</v>
      </c>
      <c r="X4564" s="2">
        <v>12</v>
      </c>
      <c r="Y4564" s="2" t="s">
        <v>148</v>
      </c>
      <c r="Z4564" s="2">
        <v>1</v>
      </c>
      <c r="AA4564" s="2" t="s">
        <v>82</v>
      </c>
      <c r="AB4564" s="2">
        <v>6</v>
      </c>
      <c r="AC4564" s="2" t="s">
        <v>83</v>
      </c>
      <c r="AD4564" s="2"/>
      <c r="AE4564" s="2"/>
      <c r="AF4564" s="3">
        <v>40487</v>
      </c>
      <c r="AG4564" s="4">
        <v>0.375</v>
      </c>
      <c r="AH4564" s="2">
        <v>2</v>
      </c>
      <c r="AI4564" s="2" t="s">
        <v>84</v>
      </c>
      <c r="AJ4564" s="2">
        <v>9</v>
      </c>
      <c r="AK4564" s="2" t="s">
        <v>103</v>
      </c>
      <c r="AL4564" s="2">
        <v>22</v>
      </c>
      <c r="AM4564" s="2" t="s">
        <v>1853</v>
      </c>
      <c r="AN4564" s="2" t="s">
        <v>14166</v>
      </c>
      <c r="AO4564" s="2" t="s">
        <v>14167</v>
      </c>
      <c r="AP4564" s="2">
        <v>11</v>
      </c>
      <c r="AQ4564" s="2" t="s">
        <v>82</v>
      </c>
      <c r="AR4564" s="2"/>
      <c r="AS4564" s="2"/>
      <c r="AT4564" s="2" t="s">
        <v>14168</v>
      </c>
      <c r="AU4564" s="2"/>
      <c r="AV4564" s="2"/>
      <c r="AW4564" s="2"/>
      <c r="AX4564" s="2"/>
      <c r="AY4564" s="2">
        <v>41</v>
      </c>
      <c r="AZ4564" s="2" t="s">
        <v>82</v>
      </c>
      <c r="BA4564" s="2">
        <v>41</v>
      </c>
      <c r="BB4564" s="2" t="s">
        <v>82</v>
      </c>
      <c r="BC4564" s="2">
        <v>41</v>
      </c>
      <c r="BD4564" s="2" t="s">
        <v>82</v>
      </c>
      <c r="BE4564" s="2">
        <v>27</v>
      </c>
      <c r="BF4564" s="2" t="s">
        <v>2197</v>
      </c>
      <c r="BG4564" s="2" t="s">
        <v>13871</v>
      </c>
      <c r="BH4564" s="2"/>
      <c r="BI4564" s="2"/>
      <c r="BJ4564" s="2">
        <v>13</v>
      </c>
      <c r="BK4564" s="2" t="s">
        <v>91</v>
      </c>
      <c r="BL4564" s="2" t="s">
        <v>360</v>
      </c>
      <c r="BM4564" s="2">
        <v>112</v>
      </c>
      <c r="BN4564" s="2" t="s">
        <v>110</v>
      </c>
      <c r="BO4564" s="2"/>
      <c r="BP4564" s="2">
        <v>112</v>
      </c>
      <c r="BQ4564" s="2" t="s">
        <v>110</v>
      </c>
      <c r="BR4564" s="2" t="s">
        <v>111</v>
      </c>
      <c r="BS4564" s="3">
        <v>40487</v>
      </c>
      <c r="BT4564" s="4">
        <v>0.80177083333333332</v>
      </c>
    </row>
    <row r="4565" spans="1:72" x14ac:dyDescent="0.25">
      <c r="A4565" s="2">
        <v>6991</v>
      </c>
      <c r="B4565" s="2">
        <v>2010</v>
      </c>
      <c r="C4565" s="2" t="s">
        <v>806</v>
      </c>
      <c r="D4565" s="2" t="s">
        <v>73</v>
      </c>
      <c r="E4565" s="2"/>
      <c r="F4565" s="2">
        <v>530</v>
      </c>
      <c r="G4565" s="2" t="s">
        <v>3315</v>
      </c>
      <c r="H4565" s="2">
        <v>144</v>
      </c>
      <c r="I4565" s="2" t="s">
        <v>2111</v>
      </c>
      <c r="J4565" s="2">
        <v>686</v>
      </c>
      <c r="K4565" s="2" t="s">
        <v>13375</v>
      </c>
      <c r="L4565" s="2" t="s">
        <v>1792</v>
      </c>
      <c r="M4565" s="3">
        <v>40487</v>
      </c>
      <c r="N4565" s="2"/>
      <c r="O4565" s="2" t="s">
        <v>14169</v>
      </c>
      <c r="P4565" s="2" t="s">
        <v>14170</v>
      </c>
      <c r="Q4565" s="2" t="str">
        <f>""</f>
        <v/>
      </c>
      <c r="R4565" s="2"/>
      <c r="S4565" s="2"/>
      <c r="T4565" s="2">
        <v>1</v>
      </c>
      <c r="U4565" s="2" t="s">
        <v>79</v>
      </c>
      <c r="V4565" s="2">
        <v>1</v>
      </c>
      <c r="W4565" s="2" t="s">
        <v>80</v>
      </c>
      <c r="X4565" s="2">
        <v>10</v>
      </c>
      <c r="Y4565" s="2" t="s">
        <v>226</v>
      </c>
      <c r="Z4565" s="2">
        <v>1</v>
      </c>
      <c r="AA4565" s="2" t="s">
        <v>82</v>
      </c>
      <c r="AB4565" s="2">
        <v>9</v>
      </c>
      <c r="AC4565" s="2" t="s">
        <v>124</v>
      </c>
      <c r="AD4565" s="3">
        <v>40487</v>
      </c>
      <c r="AE4565" s="4">
        <v>0.4548611111111111</v>
      </c>
      <c r="AF4565" s="2"/>
      <c r="AG4565" s="2"/>
      <c r="AH4565" s="2">
        <v>3</v>
      </c>
      <c r="AI4565" s="2" t="s">
        <v>214</v>
      </c>
      <c r="AJ4565" s="2">
        <v>19</v>
      </c>
      <c r="AK4565" s="2" t="s">
        <v>4901</v>
      </c>
      <c r="AL4565" s="2">
        <v>25</v>
      </c>
      <c r="AM4565" s="2" t="s">
        <v>3073</v>
      </c>
      <c r="AN4565" s="2" t="s">
        <v>14171</v>
      </c>
      <c r="AO4565" s="2"/>
      <c r="AP4565" s="2">
        <v>11</v>
      </c>
      <c r="AQ4565" s="2" t="s">
        <v>82</v>
      </c>
      <c r="AR4565" s="2"/>
      <c r="AS4565" s="2"/>
      <c r="AT4565" s="2" t="s">
        <v>14172</v>
      </c>
      <c r="AU4565" s="2"/>
      <c r="AV4565" s="2"/>
      <c r="AW4565" s="2"/>
      <c r="AX4565" s="2"/>
      <c r="AY4565" s="2">
        <v>41</v>
      </c>
      <c r="AZ4565" s="2" t="s">
        <v>82</v>
      </c>
      <c r="BA4565" s="2">
        <v>41</v>
      </c>
      <c r="BB4565" s="2" t="s">
        <v>82</v>
      </c>
      <c r="BC4565" s="2">
        <v>41</v>
      </c>
      <c r="BD4565" s="2" t="s">
        <v>82</v>
      </c>
      <c r="BE4565" s="2">
        <v>41</v>
      </c>
      <c r="BF4565" s="2" t="s">
        <v>82</v>
      </c>
      <c r="BG4565" s="2"/>
      <c r="BH4565" s="2"/>
      <c r="BI4565" s="2"/>
      <c r="BJ4565" s="2">
        <v>241</v>
      </c>
      <c r="BK4565" s="2" t="s">
        <v>82</v>
      </c>
      <c r="BL4565" s="2"/>
      <c r="BM4565" s="2">
        <v>241</v>
      </c>
      <c r="BN4565" s="2" t="s">
        <v>82</v>
      </c>
      <c r="BO4565" s="2"/>
      <c r="BP4565" s="2">
        <v>241</v>
      </c>
      <c r="BQ4565" s="2" t="s">
        <v>82</v>
      </c>
      <c r="BR4565" s="2"/>
      <c r="BS4565" s="3">
        <v>40487</v>
      </c>
      <c r="BT4565" s="4">
        <v>0.83084490740740735</v>
      </c>
    </row>
    <row r="4566" spans="1:72" x14ac:dyDescent="0.25">
      <c r="A4566" s="2">
        <v>6995</v>
      </c>
      <c r="B4566" s="2">
        <v>2010</v>
      </c>
      <c r="C4566" s="2" t="s">
        <v>2219</v>
      </c>
      <c r="D4566" s="2" t="s">
        <v>73</v>
      </c>
      <c r="E4566" s="2"/>
      <c r="F4566" s="2">
        <v>390</v>
      </c>
      <c r="G4566" s="2" t="s">
        <v>475</v>
      </c>
      <c r="H4566" s="2">
        <v>5</v>
      </c>
      <c r="I4566" s="2" t="s">
        <v>634</v>
      </c>
      <c r="J4566" s="2">
        <v>314</v>
      </c>
      <c r="K4566" s="2" t="s">
        <v>477</v>
      </c>
      <c r="L4566" s="2" t="s">
        <v>478</v>
      </c>
      <c r="M4566" s="3">
        <v>40487</v>
      </c>
      <c r="N4566" s="2" t="s">
        <v>3705</v>
      </c>
      <c r="O4566" s="2"/>
      <c r="P4566" s="2"/>
      <c r="Q4566" s="2" t="str">
        <f>"580-E/10"</f>
        <v>580-E/10</v>
      </c>
      <c r="R4566" s="2" t="s">
        <v>14173</v>
      </c>
      <c r="S4566" s="2"/>
      <c r="T4566" s="2">
        <v>1</v>
      </c>
      <c r="U4566" s="2" t="s">
        <v>79</v>
      </c>
      <c r="V4566" s="2">
        <v>1</v>
      </c>
      <c r="W4566" s="2" t="s">
        <v>80</v>
      </c>
      <c r="X4566" s="2">
        <v>1</v>
      </c>
      <c r="Y4566" s="2" t="s">
        <v>81</v>
      </c>
      <c r="Z4566" s="2">
        <v>1</v>
      </c>
      <c r="AA4566" s="2" t="s">
        <v>82</v>
      </c>
      <c r="AB4566" s="2">
        <v>9</v>
      </c>
      <c r="AC4566" s="2" t="s">
        <v>124</v>
      </c>
      <c r="AD4566" s="3">
        <v>40487</v>
      </c>
      <c r="AE4566" s="4">
        <v>0.63888888888888895</v>
      </c>
      <c r="AF4566" s="3">
        <v>40487</v>
      </c>
      <c r="AG4566" s="4">
        <v>0.70833333333333337</v>
      </c>
      <c r="AH4566" s="2">
        <v>2</v>
      </c>
      <c r="AI4566" s="2" t="s">
        <v>84</v>
      </c>
      <c r="AJ4566" s="2">
        <v>9</v>
      </c>
      <c r="AK4566" s="2" t="s">
        <v>103</v>
      </c>
      <c r="AL4566" s="2">
        <v>12</v>
      </c>
      <c r="AM4566" s="2" t="s">
        <v>86</v>
      </c>
      <c r="AN4566" s="2"/>
      <c r="AO4566" s="2" t="s">
        <v>14174</v>
      </c>
      <c r="AP4566" s="2">
        <v>11</v>
      </c>
      <c r="AQ4566" s="2" t="s">
        <v>82</v>
      </c>
      <c r="AR4566" s="2"/>
      <c r="AS4566" s="2"/>
      <c r="AT4566" s="2" t="s">
        <v>14175</v>
      </c>
      <c r="AU4566" s="2"/>
      <c r="AV4566" s="2"/>
      <c r="AW4566" s="2"/>
      <c r="AX4566" s="2"/>
      <c r="AY4566" s="2">
        <v>41</v>
      </c>
      <c r="AZ4566" s="2" t="s">
        <v>82</v>
      </c>
      <c r="BA4566" s="2">
        <v>41</v>
      </c>
      <c r="BB4566" s="2" t="s">
        <v>82</v>
      </c>
      <c r="BC4566" s="2">
        <v>41</v>
      </c>
      <c r="BD4566" s="2" t="s">
        <v>82</v>
      </c>
      <c r="BE4566" s="2">
        <v>41</v>
      </c>
      <c r="BF4566" s="2" t="s">
        <v>82</v>
      </c>
      <c r="BG4566" s="2"/>
      <c r="BH4566" s="2"/>
      <c r="BI4566" s="2"/>
      <c r="BJ4566" s="2">
        <v>241</v>
      </c>
      <c r="BK4566" s="2" t="s">
        <v>82</v>
      </c>
      <c r="BL4566" s="2"/>
      <c r="BM4566" s="2">
        <v>241</v>
      </c>
      <c r="BN4566" s="2" t="s">
        <v>82</v>
      </c>
      <c r="BO4566" s="2"/>
      <c r="BP4566" s="2">
        <v>241</v>
      </c>
      <c r="BQ4566" s="2" t="s">
        <v>82</v>
      </c>
      <c r="BR4566" s="2"/>
      <c r="BS4566" s="3">
        <v>40487</v>
      </c>
      <c r="BT4566" s="4">
        <v>0.92164351851851845</v>
      </c>
    </row>
    <row r="4567" spans="1:72" x14ac:dyDescent="0.25">
      <c r="A4567" s="2">
        <v>6998</v>
      </c>
      <c r="B4567" s="2">
        <v>2010</v>
      </c>
      <c r="C4567" s="2" t="s">
        <v>764</v>
      </c>
      <c r="D4567" s="2" t="s">
        <v>73</v>
      </c>
      <c r="E4567" s="2"/>
      <c r="F4567" s="2">
        <v>390</v>
      </c>
      <c r="G4567" s="2" t="s">
        <v>475</v>
      </c>
      <c r="H4567" s="2">
        <v>5</v>
      </c>
      <c r="I4567" s="2" t="s">
        <v>634</v>
      </c>
      <c r="J4567" s="2">
        <v>533</v>
      </c>
      <c r="K4567" s="2" t="s">
        <v>6511</v>
      </c>
      <c r="L4567" s="2" t="s">
        <v>478</v>
      </c>
      <c r="M4567" s="3">
        <v>40488</v>
      </c>
      <c r="N4567" s="2" t="s">
        <v>3103</v>
      </c>
      <c r="O4567" s="2" t="s">
        <v>107</v>
      </c>
      <c r="P4567" s="2" t="s">
        <v>107</v>
      </c>
      <c r="Q4567" s="2" t="str">
        <f>"581-E10"</f>
        <v>581-E10</v>
      </c>
      <c r="R4567" s="2" t="s">
        <v>5676</v>
      </c>
      <c r="S4567" s="2"/>
      <c r="T4567" s="2">
        <v>1</v>
      </c>
      <c r="U4567" s="2" t="s">
        <v>79</v>
      </c>
      <c r="V4567" s="2">
        <v>1</v>
      </c>
      <c r="W4567" s="2" t="s">
        <v>80</v>
      </c>
      <c r="X4567" s="2">
        <v>12</v>
      </c>
      <c r="Y4567" s="2" t="s">
        <v>148</v>
      </c>
      <c r="Z4567" s="2">
        <v>1</v>
      </c>
      <c r="AA4567" s="2" t="s">
        <v>82</v>
      </c>
      <c r="AB4567" s="2">
        <v>9</v>
      </c>
      <c r="AC4567" s="2" t="s">
        <v>124</v>
      </c>
      <c r="AD4567" s="3">
        <v>40487</v>
      </c>
      <c r="AE4567" s="4">
        <v>0.83333333333333337</v>
      </c>
      <c r="AF4567" s="3">
        <v>40487</v>
      </c>
      <c r="AG4567" s="4">
        <v>0.95833333333333337</v>
      </c>
      <c r="AH4567" s="2">
        <v>2</v>
      </c>
      <c r="AI4567" s="2" t="s">
        <v>84</v>
      </c>
      <c r="AJ4567" s="2">
        <v>9</v>
      </c>
      <c r="AK4567" s="2" t="s">
        <v>103</v>
      </c>
      <c r="AL4567" s="2">
        <v>2</v>
      </c>
      <c r="AM4567" s="2" t="s">
        <v>163</v>
      </c>
      <c r="AN4567" s="2"/>
      <c r="AO4567" s="2" t="s">
        <v>10326</v>
      </c>
      <c r="AP4567" s="2">
        <v>11</v>
      </c>
      <c r="AQ4567" s="2" t="s">
        <v>82</v>
      </c>
      <c r="AR4567" s="2"/>
      <c r="AS4567" s="2"/>
      <c r="AT4567" s="2" t="s">
        <v>14176</v>
      </c>
      <c r="AU4567" s="2"/>
      <c r="AV4567" s="2"/>
      <c r="AW4567" s="2"/>
      <c r="AX4567" s="2"/>
      <c r="AY4567" s="2">
        <v>41</v>
      </c>
      <c r="AZ4567" s="2" t="s">
        <v>82</v>
      </c>
      <c r="BA4567" s="2">
        <v>114</v>
      </c>
      <c r="BB4567" s="2" t="s">
        <v>7510</v>
      </c>
      <c r="BC4567" s="2">
        <v>41</v>
      </c>
      <c r="BD4567" s="2" t="s">
        <v>82</v>
      </c>
      <c r="BE4567" s="2">
        <v>47</v>
      </c>
      <c r="BF4567" s="2" t="s">
        <v>167</v>
      </c>
      <c r="BG4567" s="2" t="s">
        <v>14109</v>
      </c>
      <c r="BH4567" s="2"/>
      <c r="BI4567" s="2"/>
      <c r="BJ4567" s="2">
        <v>13</v>
      </c>
      <c r="BK4567" s="2" t="s">
        <v>91</v>
      </c>
      <c r="BL4567" s="2" t="s">
        <v>360</v>
      </c>
      <c r="BM4567" s="2">
        <v>13</v>
      </c>
      <c r="BN4567" s="2" t="s">
        <v>91</v>
      </c>
      <c r="BO4567" s="2"/>
      <c r="BP4567" s="2">
        <v>13</v>
      </c>
      <c r="BQ4567" s="2" t="s">
        <v>91</v>
      </c>
      <c r="BR4567" s="2" t="s">
        <v>8073</v>
      </c>
      <c r="BS4567" s="3">
        <v>40488</v>
      </c>
      <c r="BT4567" s="4">
        <v>0.3333564814814815</v>
      </c>
    </row>
    <row r="4568" spans="1:72" x14ac:dyDescent="0.25">
      <c r="A4568" s="2">
        <v>6999</v>
      </c>
      <c r="B4568" s="2">
        <v>2010</v>
      </c>
      <c r="C4568" s="2" t="s">
        <v>377</v>
      </c>
      <c r="D4568" s="2" t="s">
        <v>73</v>
      </c>
      <c r="E4568" s="2"/>
      <c r="F4568" s="2">
        <v>426</v>
      </c>
      <c r="G4568" s="2" t="s">
        <v>378</v>
      </c>
      <c r="H4568" s="2">
        <v>42</v>
      </c>
      <c r="I4568" s="2" t="s">
        <v>1096</v>
      </c>
      <c r="J4568" s="2">
        <v>311</v>
      </c>
      <c r="K4568" s="2" t="s">
        <v>379</v>
      </c>
      <c r="L4568" s="2" t="s">
        <v>380</v>
      </c>
      <c r="M4568" s="3">
        <v>40488</v>
      </c>
      <c r="N4568" s="2" t="s">
        <v>5164</v>
      </c>
      <c r="O4568" s="2"/>
      <c r="P4568" s="2"/>
      <c r="Q4568" s="2" t="str">
        <f>"280-C/10"</f>
        <v>280-C/10</v>
      </c>
      <c r="R4568" s="2" t="s">
        <v>14177</v>
      </c>
      <c r="S4568" s="2"/>
      <c r="T4568" s="2">
        <v>1</v>
      </c>
      <c r="U4568" s="2" t="s">
        <v>79</v>
      </c>
      <c r="V4568" s="2">
        <v>1</v>
      </c>
      <c r="W4568" s="2" t="s">
        <v>80</v>
      </c>
      <c r="X4568" s="2">
        <v>1</v>
      </c>
      <c r="Y4568" s="2" t="s">
        <v>81</v>
      </c>
      <c r="Z4568" s="2">
        <v>1</v>
      </c>
      <c r="AA4568" s="2" t="s">
        <v>82</v>
      </c>
      <c r="AB4568" s="2">
        <v>9</v>
      </c>
      <c r="AC4568" s="2" t="s">
        <v>124</v>
      </c>
      <c r="AD4568" s="3">
        <v>40488</v>
      </c>
      <c r="AE4568" s="4">
        <v>6.25E-2</v>
      </c>
      <c r="AF4568" s="3">
        <v>40488</v>
      </c>
      <c r="AG4568" s="4">
        <v>6.25E-2</v>
      </c>
      <c r="AH4568" s="2">
        <v>2</v>
      </c>
      <c r="AI4568" s="2" t="s">
        <v>84</v>
      </c>
      <c r="AJ4568" s="2">
        <v>9</v>
      </c>
      <c r="AK4568" s="2" t="s">
        <v>103</v>
      </c>
      <c r="AL4568" s="2">
        <v>29</v>
      </c>
      <c r="AM4568" s="2" t="s">
        <v>5416</v>
      </c>
      <c r="AN4568" s="2"/>
      <c r="AO4568" s="2" t="s">
        <v>2585</v>
      </c>
      <c r="AP4568" s="2">
        <v>11</v>
      </c>
      <c r="AQ4568" s="2" t="s">
        <v>82</v>
      </c>
      <c r="AR4568" s="2"/>
      <c r="AS4568" s="2"/>
      <c r="AT4568" s="2" t="s">
        <v>14178</v>
      </c>
      <c r="AU4568" s="2"/>
      <c r="AV4568" s="2"/>
      <c r="AW4568" s="2"/>
      <c r="AX4568" s="2"/>
      <c r="AY4568" s="2">
        <v>41</v>
      </c>
      <c r="AZ4568" s="2" t="s">
        <v>82</v>
      </c>
      <c r="BA4568" s="2">
        <v>41</v>
      </c>
      <c r="BB4568" s="2" t="s">
        <v>82</v>
      </c>
      <c r="BC4568" s="2">
        <v>41</v>
      </c>
      <c r="BD4568" s="2" t="s">
        <v>82</v>
      </c>
      <c r="BE4568" s="2">
        <v>41</v>
      </c>
      <c r="BF4568" s="2" t="s">
        <v>82</v>
      </c>
      <c r="BG4568" s="2"/>
      <c r="BH4568" s="2"/>
      <c r="BI4568" s="2"/>
      <c r="BJ4568" s="2">
        <v>241</v>
      </c>
      <c r="BK4568" s="2" t="s">
        <v>82</v>
      </c>
      <c r="BL4568" s="2"/>
      <c r="BM4568" s="2">
        <v>241</v>
      </c>
      <c r="BN4568" s="2" t="s">
        <v>82</v>
      </c>
      <c r="BO4568" s="2"/>
      <c r="BP4568" s="2">
        <v>241</v>
      </c>
      <c r="BQ4568" s="2" t="s">
        <v>82</v>
      </c>
      <c r="BR4568" s="2"/>
      <c r="BS4568" s="3">
        <v>40488</v>
      </c>
      <c r="BT4568" s="4">
        <v>0.34819444444444447</v>
      </c>
    </row>
    <row r="4569" spans="1:72" x14ac:dyDescent="0.25">
      <c r="A4569" s="2">
        <v>7000</v>
      </c>
      <c r="B4569" s="2">
        <v>2010</v>
      </c>
      <c r="C4569" s="2" t="s">
        <v>72</v>
      </c>
      <c r="D4569" s="2" t="s">
        <v>73</v>
      </c>
      <c r="E4569" s="2"/>
      <c r="F4569" s="2">
        <v>3</v>
      </c>
      <c r="G4569" s="2" t="s">
        <v>1041</v>
      </c>
      <c r="H4569" s="2">
        <v>108</v>
      </c>
      <c r="I4569" s="2" t="s">
        <v>1096</v>
      </c>
      <c r="J4569" s="2">
        <v>368</v>
      </c>
      <c r="K4569" s="2" t="s">
        <v>1042</v>
      </c>
      <c r="L4569" s="2" t="s">
        <v>1043</v>
      </c>
      <c r="M4569" s="3">
        <v>40488</v>
      </c>
      <c r="N4569" s="2" t="s">
        <v>82</v>
      </c>
      <c r="O4569" s="2" t="s">
        <v>107</v>
      </c>
      <c r="P4569" s="2" t="s">
        <v>107</v>
      </c>
      <c r="Q4569" s="2" t="str">
        <f>"582-E/10"</f>
        <v>582-E/10</v>
      </c>
      <c r="R4569" s="2" t="s">
        <v>14179</v>
      </c>
      <c r="S4569" s="2"/>
      <c r="T4569" s="2">
        <v>1</v>
      </c>
      <c r="U4569" s="2" t="s">
        <v>79</v>
      </c>
      <c r="V4569" s="2">
        <v>1</v>
      </c>
      <c r="W4569" s="2" t="s">
        <v>80</v>
      </c>
      <c r="X4569" s="2">
        <v>1</v>
      </c>
      <c r="Y4569" s="2" t="s">
        <v>81</v>
      </c>
      <c r="Z4569" s="2">
        <v>1</v>
      </c>
      <c r="AA4569" s="2" t="s">
        <v>82</v>
      </c>
      <c r="AB4569" s="2">
        <v>6</v>
      </c>
      <c r="AC4569" s="2" t="s">
        <v>83</v>
      </c>
      <c r="AD4569" s="3">
        <v>40487</v>
      </c>
      <c r="AE4569" s="4">
        <v>0.94444444444444453</v>
      </c>
      <c r="AF4569" s="3">
        <v>40487</v>
      </c>
      <c r="AG4569" s="4">
        <v>0.94444444444444453</v>
      </c>
      <c r="AH4569" s="2">
        <v>2</v>
      </c>
      <c r="AI4569" s="2" t="s">
        <v>84</v>
      </c>
      <c r="AJ4569" s="2">
        <v>9</v>
      </c>
      <c r="AK4569" s="2" t="s">
        <v>103</v>
      </c>
      <c r="AL4569" s="2">
        <v>13</v>
      </c>
      <c r="AM4569" s="2" t="s">
        <v>117</v>
      </c>
      <c r="AN4569" s="2" t="s">
        <v>14180</v>
      </c>
      <c r="AO4569" s="2" t="s">
        <v>14181</v>
      </c>
      <c r="AP4569" s="2">
        <v>11</v>
      </c>
      <c r="AQ4569" s="2" t="s">
        <v>82</v>
      </c>
      <c r="AR4569" s="2"/>
      <c r="AS4569" s="2"/>
      <c r="AT4569" s="2" t="s">
        <v>14182</v>
      </c>
      <c r="AU4569" s="2"/>
      <c r="AV4569" s="2"/>
      <c r="AW4569" s="2">
        <v>1</v>
      </c>
      <c r="AX4569" s="2"/>
      <c r="AY4569" s="2">
        <v>41</v>
      </c>
      <c r="AZ4569" s="2" t="s">
        <v>82</v>
      </c>
      <c r="BA4569" s="2">
        <v>63</v>
      </c>
      <c r="BB4569" s="2" t="s">
        <v>1287</v>
      </c>
      <c r="BC4569" s="2">
        <v>41</v>
      </c>
      <c r="BD4569" s="2" t="s">
        <v>82</v>
      </c>
      <c r="BE4569" s="2">
        <v>41</v>
      </c>
      <c r="BF4569" s="2" t="s">
        <v>82</v>
      </c>
      <c r="BG4569" s="2"/>
      <c r="BH4569" s="2"/>
      <c r="BI4569" s="2"/>
      <c r="BJ4569" s="2">
        <v>241</v>
      </c>
      <c r="BK4569" s="2" t="s">
        <v>82</v>
      </c>
      <c r="BL4569" s="2"/>
      <c r="BM4569" s="2">
        <v>241</v>
      </c>
      <c r="BN4569" s="2" t="s">
        <v>82</v>
      </c>
      <c r="BO4569" s="2"/>
      <c r="BP4569" s="2">
        <v>241</v>
      </c>
      <c r="BQ4569" s="2" t="s">
        <v>82</v>
      </c>
      <c r="BR4569" s="2"/>
      <c r="BS4569" s="3">
        <v>40488</v>
      </c>
      <c r="BT4569" s="4">
        <v>0.39535879629629633</v>
      </c>
    </row>
    <row r="4570" spans="1:72" x14ac:dyDescent="0.25">
      <c r="A4570" s="2">
        <v>7002</v>
      </c>
      <c r="B4570" s="2">
        <v>2010</v>
      </c>
      <c r="C4570" s="2" t="s">
        <v>171</v>
      </c>
      <c r="D4570" s="2" t="s">
        <v>73</v>
      </c>
      <c r="E4570" s="2" t="s">
        <v>6967</v>
      </c>
      <c r="F4570" s="2">
        <v>53</v>
      </c>
      <c r="G4570" s="2" t="s">
        <v>2755</v>
      </c>
      <c r="H4570" s="2">
        <v>103</v>
      </c>
      <c r="I4570" s="2" t="s">
        <v>6768</v>
      </c>
      <c r="J4570" s="2">
        <v>88</v>
      </c>
      <c r="K4570" s="2" t="s">
        <v>2756</v>
      </c>
      <c r="L4570" s="2" t="s">
        <v>2757</v>
      </c>
      <c r="M4570" s="3">
        <v>40488</v>
      </c>
      <c r="N4570" s="2" t="s">
        <v>6769</v>
      </c>
      <c r="O4570" s="2" t="s">
        <v>2456</v>
      </c>
      <c r="P4570" s="2" t="s">
        <v>6770</v>
      </c>
      <c r="Q4570" s="2" t="str">
        <f>"01/07"</f>
        <v>01/07</v>
      </c>
      <c r="R4570" s="2" t="s">
        <v>6771</v>
      </c>
      <c r="S4570" s="2"/>
      <c r="T4570" s="2">
        <v>1</v>
      </c>
      <c r="U4570" s="2" t="s">
        <v>79</v>
      </c>
      <c r="V4570" s="2">
        <v>3</v>
      </c>
      <c r="W4570" s="2" t="s">
        <v>225</v>
      </c>
      <c r="X4570" s="2">
        <v>6</v>
      </c>
      <c r="Y4570" s="2" t="s">
        <v>249</v>
      </c>
      <c r="Z4570" s="2">
        <v>1</v>
      </c>
      <c r="AA4570" s="2" t="s">
        <v>82</v>
      </c>
      <c r="AB4570" s="2">
        <v>9</v>
      </c>
      <c r="AC4570" s="2" t="s">
        <v>124</v>
      </c>
      <c r="AD4570" s="2"/>
      <c r="AE4570" s="2"/>
      <c r="AF4570" s="2"/>
      <c r="AG4570" s="2"/>
      <c r="AH4570" s="2">
        <v>4</v>
      </c>
      <c r="AI4570" s="2" t="s">
        <v>125</v>
      </c>
      <c r="AJ4570" s="2">
        <v>26</v>
      </c>
      <c r="AK4570" s="2" t="s">
        <v>293</v>
      </c>
      <c r="AL4570" s="2">
        <v>23</v>
      </c>
      <c r="AM4570" s="2" t="s">
        <v>251</v>
      </c>
      <c r="AN4570" s="2"/>
      <c r="AO4570" s="2" t="s">
        <v>2422</v>
      </c>
      <c r="AP4570" s="2">
        <v>11</v>
      </c>
      <c r="AQ4570" s="2" t="s">
        <v>82</v>
      </c>
      <c r="AR4570" s="2"/>
      <c r="AS4570" s="2"/>
      <c r="AT4570" s="2" t="s">
        <v>14183</v>
      </c>
      <c r="AU4570" s="2"/>
      <c r="AV4570" s="2"/>
      <c r="AW4570" s="2"/>
      <c r="AX4570" s="2"/>
      <c r="AY4570" s="2">
        <v>41</v>
      </c>
      <c r="AZ4570" s="2" t="s">
        <v>82</v>
      </c>
      <c r="BA4570" s="2">
        <v>41</v>
      </c>
      <c r="BB4570" s="2" t="s">
        <v>82</v>
      </c>
      <c r="BC4570" s="2">
        <v>41</v>
      </c>
      <c r="BD4570" s="2" t="s">
        <v>82</v>
      </c>
      <c r="BE4570" s="2">
        <v>41</v>
      </c>
      <c r="BF4570" s="2" t="s">
        <v>82</v>
      </c>
      <c r="BG4570" s="2"/>
      <c r="BH4570" s="2"/>
      <c r="BI4570" s="2"/>
      <c r="BJ4570" s="2">
        <v>241</v>
      </c>
      <c r="BK4570" s="2" t="s">
        <v>82</v>
      </c>
      <c r="BL4570" s="2"/>
      <c r="BM4570" s="2">
        <v>241</v>
      </c>
      <c r="BN4570" s="2" t="s">
        <v>82</v>
      </c>
      <c r="BO4570" s="2"/>
      <c r="BP4570" s="2">
        <v>241</v>
      </c>
      <c r="BQ4570" s="2" t="s">
        <v>82</v>
      </c>
      <c r="BR4570" s="2"/>
      <c r="BS4570" s="3">
        <v>40488</v>
      </c>
      <c r="BT4570" s="4">
        <v>0.57277777777777772</v>
      </c>
    </row>
    <row r="4571" spans="1:72" x14ac:dyDescent="0.25">
      <c r="A4571" s="2">
        <v>7003</v>
      </c>
      <c r="B4571" s="2">
        <v>2010</v>
      </c>
      <c r="C4571" s="2" t="s">
        <v>171</v>
      </c>
      <c r="D4571" s="2" t="s">
        <v>73</v>
      </c>
      <c r="E4571" s="2"/>
      <c r="F4571" s="2">
        <v>400</v>
      </c>
      <c r="G4571" s="2" t="s">
        <v>3601</v>
      </c>
      <c r="H4571" s="2">
        <v>17</v>
      </c>
      <c r="I4571" s="2" t="s">
        <v>3602</v>
      </c>
      <c r="J4571" s="2">
        <v>316</v>
      </c>
      <c r="K4571" s="2" t="s">
        <v>574</v>
      </c>
      <c r="L4571" s="2" t="s">
        <v>575</v>
      </c>
      <c r="M4571" s="3">
        <v>40488</v>
      </c>
      <c r="N4571" s="2" t="s">
        <v>3826</v>
      </c>
      <c r="O4571" s="2" t="s">
        <v>14184</v>
      </c>
      <c r="P4571" s="2" t="s">
        <v>14185</v>
      </c>
      <c r="Q4571" s="2" t="str">
        <f>"09R/10"</f>
        <v>09R/10</v>
      </c>
      <c r="R4571" s="2" t="s">
        <v>6092</v>
      </c>
      <c r="S4571" s="2" t="s">
        <v>6092</v>
      </c>
      <c r="T4571" s="2">
        <v>1</v>
      </c>
      <c r="U4571" s="2" t="s">
        <v>79</v>
      </c>
      <c r="V4571" s="2">
        <v>1</v>
      </c>
      <c r="W4571" s="2" t="s">
        <v>80</v>
      </c>
      <c r="X4571" s="2">
        <v>10</v>
      </c>
      <c r="Y4571" s="2" t="s">
        <v>226</v>
      </c>
      <c r="Z4571" s="2">
        <v>6</v>
      </c>
      <c r="AA4571" s="2" t="s">
        <v>101</v>
      </c>
      <c r="AB4571" s="2">
        <v>1</v>
      </c>
      <c r="AC4571" s="2" t="s">
        <v>178</v>
      </c>
      <c r="AD4571" s="3">
        <v>40488</v>
      </c>
      <c r="AE4571" s="4">
        <v>0.57638888888888895</v>
      </c>
      <c r="AF4571" s="3">
        <v>40488</v>
      </c>
      <c r="AG4571" s="4">
        <v>0.625</v>
      </c>
      <c r="AH4571" s="2">
        <v>2</v>
      </c>
      <c r="AI4571" s="2" t="s">
        <v>84</v>
      </c>
      <c r="AJ4571" s="2">
        <v>6</v>
      </c>
      <c r="AK4571" s="2" t="s">
        <v>453</v>
      </c>
      <c r="AL4571" s="2">
        <v>14</v>
      </c>
      <c r="AM4571" s="2" t="s">
        <v>216</v>
      </c>
      <c r="AN4571" s="2"/>
      <c r="AO4571" s="2" t="s">
        <v>7664</v>
      </c>
      <c r="AP4571" s="2">
        <v>11</v>
      </c>
      <c r="AQ4571" s="2" t="s">
        <v>82</v>
      </c>
      <c r="AR4571" s="2"/>
      <c r="AS4571" s="2"/>
      <c r="AT4571" s="2" t="s">
        <v>14186</v>
      </c>
      <c r="AU4571" s="2"/>
      <c r="AV4571" s="2">
        <v>1</v>
      </c>
      <c r="AW4571" s="2"/>
      <c r="AX4571" s="2"/>
      <c r="AY4571" s="2">
        <v>41</v>
      </c>
      <c r="AZ4571" s="2" t="s">
        <v>82</v>
      </c>
      <c r="BA4571" s="2">
        <v>115</v>
      </c>
      <c r="BB4571" s="2" t="s">
        <v>101</v>
      </c>
      <c r="BC4571" s="2">
        <v>41</v>
      </c>
      <c r="BD4571" s="2" t="s">
        <v>82</v>
      </c>
      <c r="BE4571" s="2">
        <v>31</v>
      </c>
      <c r="BF4571" s="2" t="s">
        <v>398</v>
      </c>
      <c r="BG4571" s="2" t="s">
        <v>7251</v>
      </c>
      <c r="BH4571" s="2"/>
      <c r="BI4571" s="2"/>
      <c r="BJ4571" s="2">
        <v>13</v>
      </c>
      <c r="BK4571" s="2" t="s">
        <v>91</v>
      </c>
      <c r="BL4571" s="2" t="s">
        <v>360</v>
      </c>
      <c r="BM4571" s="2">
        <v>73</v>
      </c>
      <c r="BN4571" s="2" t="s">
        <v>186</v>
      </c>
      <c r="BO4571" s="2"/>
      <c r="BP4571" s="2">
        <v>73</v>
      </c>
      <c r="BQ4571" s="2" t="s">
        <v>186</v>
      </c>
      <c r="BR4571" s="2" t="s">
        <v>187</v>
      </c>
      <c r="BS4571" s="3">
        <v>40488</v>
      </c>
      <c r="BT4571" s="4">
        <v>0.87398148148148147</v>
      </c>
    </row>
    <row r="4572" spans="1:72" x14ac:dyDescent="0.25">
      <c r="A4572" s="2">
        <v>7004</v>
      </c>
      <c r="B4572" s="2">
        <v>2010</v>
      </c>
      <c r="C4572" s="2" t="s">
        <v>72</v>
      </c>
      <c r="D4572" s="2" t="s">
        <v>122</v>
      </c>
      <c r="E4572" s="2" t="s">
        <v>14187</v>
      </c>
      <c r="F4572" s="2">
        <v>3</v>
      </c>
      <c r="G4572" s="2" t="s">
        <v>1041</v>
      </c>
      <c r="H4572" s="2">
        <v>108</v>
      </c>
      <c r="I4572" s="2" t="s">
        <v>1096</v>
      </c>
      <c r="J4572" s="2">
        <v>368</v>
      </c>
      <c r="K4572" s="2" t="s">
        <v>1042</v>
      </c>
      <c r="L4572" s="2" t="s">
        <v>1043</v>
      </c>
      <c r="M4572" s="3">
        <v>40488</v>
      </c>
      <c r="N4572" s="2" t="s">
        <v>82</v>
      </c>
      <c r="O4572" s="2" t="s">
        <v>107</v>
      </c>
      <c r="P4572" s="2" t="s">
        <v>107</v>
      </c>
      <c r="Q4572" s="2" t="str">
        <f>"582-E/10"</f>
        <v>582-E/10</v>
      </c>
      <c r="R4572" s="2" t="s">
        <v>14179</v>
      </c>
      <c r="S4572" s="2" t="s">
        <v>14179</v>
      </c>
      <c r="T4572" s="2">
        <v>1</v>
      </c>
      <c r="U4572" s="2" t="s">
        <v>79</v>
      </c>
      <c r="V4572" s="2">
        <v>1</v>
      </c>
      <c r="W4572" s="2" t="s">
        <v>80</v>
      </c>
      <c r="X4572" s="2">
        <v>1</v>
      </c>
      <c r="Y4572" s="2" t="s">
        <v>81</v>
      </c>
      <c r="Z4572" s="2">
        <v>1</v>
      </c>
      <c r="AA4572" s="2" t="s">
        <v>82</v>
      </c>
      <c r="AB4572" s="2">
        <v>6</v>
      </c>
      <c r="AC4572" s="2" t="s">
        <v>83</v>
      </c>
      <c r="AD4572" s="3">
        <v>40487</v>
      </c>
      <c r="AE4572" s="4">
        <v>0.94444444444444453</v>
      </c>
      <c r="AF4572" s="2"/>
      <c r="AG4572" s="2"/>
      <c r="AH4572" s="2">
        <v>2</v>
      </c>
      <c r="AI4572" s="2" t="s">
        <v>84</v>
      </c>
      <c r="AJ4572" s="2">
        <v>9</v>
      </c>
      <c r="AK4572" s="2" t="s">
        <v>103</v>
      </c>
      <c r="AL4572" s="2">
        <v>13</v>
      </c>
      <c r="AM4572" s="2" t="s">
        <v>117</v>
      </c>
      <c r="AN4572" s="2" t="s">
        <v>14180</v>
      </c>
      <c r="AO4572" s="2" t="s">
        <v>82</v>
      </c>
      <c r="AP4572" s="2">
        <v>11</v>
      </c>
      <c r="AQ4572" s="2" t="s">
        <v>82</v>
      </c>
      <c r="AR4572" s="2"/>
      <c r="AS4572" s="2"/>
      <c r="AT4572" s="2" t="s">
        <v>14188</v>
      </c>
      <c r="AU4572" s="2"/>
      <c r="AV4572" s="2"/>
      <c r="AW4572" s="2">
        <v>1</v>
      </c>
      <c r="AX4572" s="2"/>
      <c r="AY4572" s="2">
        <v>41</v>
      </c>
      <c r="AZ4572" s="2" t="s">
        <v>82</v>
      </c>
      <c r="BA4572" s="2">
        <v>41</v>
      </c>
      <c r="BB4572" s="2" t="s">
        <v>82</v>
      </c>
      <c r="BC4572" s="2">
        <v>41</v>
      </c>
      <c r="BD4572" s="2" t="s">
        <v>82</v>
      </c>
      <c r="BE4572" s="2">
        <v>13</v>
      </c>
      <c r="BF4572" s="2" t="s">
        <v>108</v>
      </c>
      <c r="BG4572" s="2" t="s">
        <v>6477</v>
      </c>
      <c r="BH4572" s="2"/>
      <c r="BI4572" s="4">
        <v>0.97569444444444453</v>
      </c>
      <c r="BJ4572" s="2">
        <v>13</v>
      </c>
      <c r="BK4572" s="2" t="s">
        <v>91</v>
      </c>
      <c r="BL4572" s="2" t="s">
        <v>185</v>
      </c>
      <c r="BM4572" s="2">
        <v>75</v>
      </c>
      <c r="BN4572" s="2" t="s">
        <v>1264</v>
      </c>
      <c r="BO4572" s="2"/>
      <c r="BP4572" s="2">
        <v>75</v>
      </c>
      <c r="BQ4572" s="2" t="s">
        <v>1264</v>
      </c>
      <c r="BR4572" s="2" t="s">
        <v>1361</v>
      </c>
      <c r="BS4572" s="3">
        <v>40488</v>
      </c>
      <c r="BT4572" s="4">
        <v>0.91893518518518524</v>
      </c>
    </row>
    <row r="4573" spans="1:72" x14ac:dyDescent="0.25">
      <c r="A4573" s="2">
        <v>7004</v>
      </c>
      <c r="B4573" s="2">
        <v>2010</v>
      </c>
      <c r="C4573" s="2" t="s">
        <v>385</v>
      </c>
      <c r="D4573" s="2" t="s">
        <v>122</v>
      </c>
      <c r="E4573" s="2" t="s">
        <v>14187</v>
      </c>
      <c r="F4573" s="2">
        <v>3</v>
      </c>
      <c r="G4573" s="2" t="s">
        <v>1041</v>
      </c>
      <c r="H4573" s="2">
        <v>108</v>
      </c>
      <c r="I4573" s="2" t="s">
        <v>1096</v>
      </c>
      <c r="J4573" s="2">
        <v>368</v>
      </c>
      <c r="K4573" s="2" t="s">
        <v>1042</v>
      </c>
      <c r="L4573" s="2" t="s">
        <v>1043</v>
      </c>
      <c r="M4573" s="3">
        <v>40488</v>
      </c>
      <c r="N4573" s="2" t="s">
        <v>82</v>
      </c>
      <c r="O4573" s="2" t="s">
        <v>107</v>
      </c>
      <c r="P4573" s="2" t="s">
        <v>107</v>
      </c>
      <c r="Q4573" s="2" t="str">
        <f>"582-E/10"</f>
        <v>582-E/10</v>
      </c>
      <c r="R4573" s="2" t="s">
        <v>14179</v>
      </c>
      <c r="S4573" s="2" t="s">
        <v>14179</v>
      </c>
      <c r="T4573" s="2">
        <v>1</v>
      </c>
      <c r="U4573" s="2" t="s">
        <v>79</v>
      </c>
      <c r="V4573" s="2">
        <v>1</v>
      </c>
      <c r="W4573" s="2" t="s">
        <v>80</v>
      </c>
      <c r="X4573" s="2">
        <v>1</v>
      </c>
      <c r="Y4573" s="2" t="s">
        <v>81</v>
      </c>
      <c r="Z4573" s="2">
        <v>1</v>
      </c>
      <c r="AA4573" s="2" t="s">
        <v>82</v>
      </c>
      <c r="AB4573" s="2">
        <v>9</v>
      </c>
      <c r="AC4573" s="2" t="s">
        <v>124</v>
      </c>
      <c r="AD4573" s="3">
        <v>40487</v>
      </c>
      <c r="AE4573" s="4">
        <v>0.94444444444444453</v>
      </c>
      <c r="AF4573" s="2"/>
      <c r="AG4573" s="2"/>
      <c r="AH4573" s="2">
        <v>2</v>
      </c>
      <c r="AI4573" s="2" t="s">
        <v>84</v>
      </c>
      <c r="AJ4573" s="2">
        <v>9</v>
      </c>
      <c r="AK4573" s="2" t="s">
        <v>103</v>
      </c>
      <c r="AL4573" s="2">
        <v>13</v>
      </c>
      <c r="AM4573" s="2" t="s">
        <v>117</v>
      </c>
      <c r="AN4573" s="2" t="s">
        <v>14180</v>
      </c>
      <c r="AO4573" s="2" t="s">
        <v>82</v>
      </c>
      <c r="AP4573" s="2">
        <v>11</v>
      </c>
      <c r="AQ4573" s="2" t="s">
        <v>82</v>
      </c>
      <c r="AR4573" s="2"/>
      <c r="AS4573" s="2"/>
      <c r="AT4573" s="2" t="s">
        <v>14188</v>
      </c>
      <c r="AU4573" s="2"/>
      <c r="AV4573" s="2"/>
      <c r="AW4573" s="2">
        <v>1</v>
      </c>
      <c r="AX4573" s="2"/>
      <c r="AY4573" s="2">
        <v>41</v>
      </c>
      <c r="AZ4573" s="2" t="s">
        <v>82</v>
      </c>
      <c r="BA4573" s="2">
        <v>41</v>
      </c>
      <c r="BB4573" s="2" t="s">
        <v>82</v>
      </c>
      <c r="BC4573" s="2">
        <v>41</v>
      </c>
      <c r="BD4573" s="2" t="s">
        <v>82</v>
      </c>
      <c r="BE4573" s="2">
        <v>13</v>
      </c>
      <c r="BF4573" s="2" t="s">
        <v>108</v>
      </c>
      <c r="BG4573" s="2" t="s">
        <v>6477</v>
      </c>
      <c r="BH4573" s="2"/>
      <c r="BI4573" s="4">
        <v>0.97569444444444453</v>
      </c>
      <c r="BJ4573" s="2">
        <v>13</v>
      </c>
      <c r="BK4573" s="2" t="s">
        <v>91</v>
      </c>
      <c r="BL4573" s="2" t="s">
        <v>185</v>
      </c>
      <c r="BM4573" s="2">
        <v>75</v>
      </c>
      <c r="BN4573" s="2" t="s">
        <v>1264</v>
      </c>
      <c r="BO4573" s="2"/>
      <c r="BP4573" s="2">
        <v>75</v>
      </c>
      <c r="BQ4573" s="2" t="s">
        <v>1264</v>
      </c>
      <c r="BR4573" s="2" t="s">
        <v>1361</v>
      </c>
      <c r="BS4573" s="3">
        <v>40488</v>
      </c>
      <c r="BT4573" s="4">
        <v>0.91893518518518524</v>
      </c>
    </row>
    <row r="4574" spans="1:72" x14ac:dyDescent="0.25">
      <c r="A4574" s="2">
        <v>7005</v>
      </c>
      <c r="B4574" s="2">
        <v>2010</v>
      </c>
      <c r="C4574" s="2" t="s">
        <v>72</v>
      </c>
      <c r="D4574" s="2" t="s">
        <v>122</v>
      </c>
      <c r="E4574" s="2" t="s">
        <v>14189</v>
      </c>
      <c r="F4574" s="2">
        <v>540</v>
      </c>
      <c r="G4574" s="2" t="s">
        <v>7178</v>
      </c>
      <c r="H4574" s="2">
        <v>5</v>
      </c>
      <c r="I4574" s="2" t="s">
        <v>634</v>
      </c>
      <c r="J4574" s="2">
        <v>314</v>
      </c>
      <c r="K4574" s="2" t="s">
        <v>477</v>
      </c>
      <c r="L4574" s="2" t="s">
        <v>478</v>
      </c>
      <c r="M4574" s="3">
        <v>40488</v>
      </c>
      <c r="N4574" s="2" t="s">
        <v>14165</v>
      </c>
      <c r="O4574" s="2"/>
      <c r="P4574" s="2"/>
      <c r="Q4574" s="2" t="str">
        <f>"579-E/10"</f>
        <v>579-E/10</v>
      </c>
      <c r="R4574" s="2" t="s">
        <v>601</v>
      </c>
      <c r="S4574" s="2"/>
      <c r="T4574" s="2">
        <v>1</v>
      </c>
      <c r="U4574" s="2" t="s">
        <v>79</v>
      </c>
      <c r="V4574" s="2">
        <v>1</v>
      </c>
      <c r="W4574" s="2" t="s">
        <v>80</v>
      </c>
      <c r="X4574" s="2">
        <v>12</v>
      </c>
      <c r="Y4574" s="2" t="s">
        <v>148</v>
      </c>
      <c r="Z4574" s="2">
        <v>1</v>
      </c>
      <c r="AA4574" s="2" t="s">
        <v>82</v>
      </c>
      <c r="AB4574" s="2">
        <v>6</v>
      </c>
      <c r="AC4574" s="2" t="s">
        <v>83</v>
      </c>
      <c r="AD4574" s="3">
        <v>40464</v>
      </c>
      <c r="AE4574" s="2"/>
      <c r="AF4574" s="3">
        <v>40487</v>
      </c>
      <c r="AG4574" s="4">
        <v>0.375</v>
      </c>
      <c r="AH4574" s="2">
        <v>2</v>
      </c>
      <c r="AI4574" s="2" t="s">
        <v>84</v>
      </c>
      <c r="AJ4574" s="2">
        <v>9</v>
      </c>
      <c r="AK4574" s="2" t="s">
        <v>103</v>
      </c>
      <c r="AL4574" s="2">
        <v>19</v>
      </c>
      <c r="AM4574" s="2" t="s">
        <v>107</v>
      </c>
      <c r="AN4574" s="2"/>
      <c r="AO4574" s="2" t="s">
        <v>14167</v>
      </c>
      <c r="AP4574" s="2">
        <v>11</v>
      </c>
      <c r="AQ4574" s="2" t="s">
        <v>82</v>
      </c>
      <c r="AR4574" s="2"/>
      <c r="AS4574" s="2"/>
      <c r="AT4574" s="2" t="s">
        <v>14190</v>
      </c>
      <c r="AU4574" s="2"/>
      <c r="AV4574" s="2"/>
      <c r="AW4574" s="2"/>
      <c r="AX4574" s="2"/>
      <c r="AY4574" s="2">
        <v>41</v>
      </c>
      <c r="AZ4574" s="2" t="s">
        <v>82</v>
      </c>
      <c r="BA4574" s="2">
        <v>41</v>
      </c>
      <c r="BB4574" s="2" t="s">
        <v>82</v>
      </c>
      <c r="BC4574" s="2">
        <v>41</v>
      </c>
      <c r="BD4574" s="2" t="s">
        <v>82</v>
      </c>
      <c r="BE4574" s="2">
        <v>27</v>
      </c>
      <c r="BF4574" s="2" t="s">
        <v>2197</v>
      </c>
      <c r="BG4574" s="2" t="s">
        <v>13871</v>
      </c>
      <c r="BH4574" s="2"/>
      <c r="BI4574" s="2"/>
      <c r="BJ4574" s="2">
        <v>13</v>
      </c>
      <c r="BK4574" s="2" t="s">
        <v>91</v>
      </c>
      <c r="BL4574" s="2" t="s">
        <v>185</v>
      </c>
      <c r="BM4574" s="2">
        <v>112</v>
      </c>
      <c r="BN4574" s="2" t="s">
        <v>110</v>
      </c>
      <c r="BO4574" s="2"/>
      <c r="BP4574" s="2">
        <v>112</v>
      </c>
      <c r="BQ4574" s="2" t="s">
        <v>110</v>
      </c>
      <c r="BR4574" s="2" t="s">
        <v>111</v>
      </c>
      <c r="BS4574" s="3">
        <v>40488</v>
      </c>
      <c r="BT4574" s="4">
        <v>0.93444444444444441</v>
      </c>
    </row>
    <row r="4575" spans="1:72" x14ac:dyDescent="0.25">
      <c r="A4575" s="2">
        <v>7006</v>
      </c>
      <c r="B4575" s="2">
        <v>2010</v>
      </c>
      <c r="C4575" s="2" t="s">
        <v>72</v>
      </c>
      <c r="D4575" s="2" t="s">
        <v>73</v>
      </c>
      <c r="E4575" s="2"/>
      <c r="F4575" s="2">
        <v>189</v>
      </c>
      <c r="G4575" s="2" t="s">
        <v>4603</v>
      </c>
      <c r="H4575" s="2">
        <v>42</v>
      </c>
      <c r="I4575" s="2" t="s">
        <v>1096</v>
      </c>
      <c r="J4575" s="2">
        <v>701</v>
      </c>
      <c r="K4575" s="2" t="s">
        <v>111</v>
      </c>
      <c r="L4575" s="2" t="s">
        <v>14191</v>
      </c>
      <c r="M4575" s="3">
        <v>40488</v>
      </c>
      <c r="N4575" s="2" t="s">
        <v>14192</v>
      </c>
      <c r="O4575" s="2"/>
      <c r="P4575" s="2"/>
      <c r="Q4575" s="2" t="str">
        <f>"432-A/10"</f>
        <v>432-A/10</v>
      </c>
      <c r="R4575" s="2" t="s">
        <v>601</v>
      </c>
      <c r="S4575" s="2"/>
      <c r="T4575" s="2">
        <v>1</v>
      </c>
      <c r="U4575" s="2" t="s">
        <v>79</v>
      </c>
      <c r="V4575" s="2">
        <v>1</v>
      </c>
      <c r="W4575" s="2" t="s">
        <v>80</v>
      </c>
      <c r="X4575" s="2">
        <v>12</v>
      </c>
      <c r="Y4575" s="2" t="s">
        <v>148</v>
      </c>
      <c r="Z4575" s="2">
        <v>1</v>
      </c>
      <c r="AA4575" s="2" t="s">
        <v>82</v>
      </c>
      <c r="AB4575" s="2">
        <v>6</v>
      </c>
      <c r="AC4575" s="2" t="s">
        <v>83</v>
      </c>
      <c r="AD4575" s="2"/>
      <c r="AE4575" s="2"/>
      <c r="AF4575" s="3">
        <v>40488</v>
      </c>
      <c r="AG4575" s="4">
        <v>0.73333333333333339</v>
      </c>
      <c r="AH4575" s="2">
        <v>2</v>
      </c>
      <c r="AI4575" s="2" t="s">
        <v>84</v>
      </c>
      <c r="AJ4575" s="2">
        <v>12</v>
      </c>
      <c r="AK4575" s="2" t="s">
        <v>85</v>
      </c>
      <c r="AL4575" s="2">
        <v>23</v>
      </c>
      <c r="AM4575" s="2" t="s">
        <v>251</v>
      </c>
      <c r="AN4575" s="2" t="s">
        <v>14193</v>
      </c>
      <c r="AO4575" s="2" t="s">
        <v>14194</v>
      </c>
      <c r="AP4575" s="2">
        <v>11</v>
      </c>
      <c r="AQ4575" s="2" t="s">
        <v>82</v>
      </c>
      <c r="AR4575" s="2"/>
      <c r="AS4575" s="2"/>
      <c r="AT4575" s="2" t="s">
        <v>14195</v>
      </c>
      <c r="AU4575" s="2"/>
      <c r="AV4575" s="2"/>
      <c r="AW4575" s="2"/>
      <c r="AX4575" s="2"/>
      <c r="AY4575" s="2">
        <v>41</v>
      </c>
      <c r="AZ4575" s="2" t="s">
        <v>82</v>
      </c>
      <c r="BA4575" s="2">
        <v>41</v>
      </c>
      <c r="BB4575" s="2" t="s">
        <v>82</v>
      </c>
      <c r="BC4575" s="2">
        <v>41</v>
      </c>
      <c r="BD4575" s="2" t="s">
        <v>82</v>
      </c>
      <c r="BE4575" s="2">
        <v>41</v>
      </c>
      <c r="BF4575" s="2" t="s">
        <v>82</v>
      </c>
      <c r="BG4575" s="2"/>
      <c r="BH4575" s="2"/>
      <c r="BI4575" s="2"/>
      <c r="BJ4575" s="2">
        <v>241</v>
      </c>
      <c r="BK4575" s="2" t="s">
        <v>82</v>
      </c>
      <c r="BL4575" s="2"/>
      <c r="BM4575" s="2">
        <v>241</v>
      </c>
      <c r="BN4575" s="2" t="s">
        <v>82</v>
      </c>
      <c r="BO4575" s="2"/>
      <c r="BP4575" s="2">
        <v>241</v>
      </c>
      <c r="BQ4575" s="2" t="s">
        <v>82</v>
      </c>
      <c r="BR4575" s="2"/>
      <c r="BS4575" s="3">
        <v>40488</v>
      </c>
      <c r="BT4575" s="4">
        <v>0.96052083333333327</v>
      </c>
    </row>
    <row r="4576" spans="1:72" x14ac:dyDescent="0.25">
      <c r="A4576" s="2">
        <v>7007</v>
      </c>
      <c r="B4576" s="2">
        <v>2010</v>
      </c>
      <c r="C4576" s="2" t="s">
        <v>72</v>
      </c>
      <c r="D4576" s="2" t="s">
        <v>73</v>
      </c>
      <c r="E4576" s="2"/>
      <c r="F4576" s="2">
        <v>3</v>
      </c>
      <c r="G4576" s="2" t="s">
        <v>1041</v>
      </c>
      <c r="H4576" s="2">
        <v>1</v>
      </c>
      <c r="I4576" s="2" t="s">
        <v>82</v>
      </c>
      <c r="J4576" s="2">
        <v>368</v>
      </c>
      <c r="K4576" s="2" t="s">
        <v>1042</v>
      </c>
      <c r="L4576" s="2" t="s">
        <v>1043</v>
      </c>
      <c r="M4576" s="3">
        <v>40489</v>
      </c>
      <c r="N4576" s="2" t="s">
        <v>82</v>
      </c>
      <c r="O4576" s="2" t="s">
        <v>82</v>
      </c>
      <c r="P4576" s="2" t="s">
        <v>82</v>
      </c>
      <c r="Q4576" s="2" t="str">
        <f>"583-E/10"</f>
        <v>583-E/10</v>
      </c>
      <c r="R4576" s="2" t="s">
        <v>4823</v>
      </c>
      <c r="S4576" s="2"/>
      <c r="T4576" s="2">
        <v>1</v>
      </c>
      <c r="U4576" s="2" t="s">
        <v>79</v>
      </c>
      <c r="V4576" s="2">
        <v>1</v>
      </c>
      <c r="W4576" s="2" t="s">
        <v>80</v>
      </c>
      <c r="X4576" s="2">
        <v>1</v>
      </c>
      <c r="Y4576" s="2" t="s">
        <v>81</v>
      </c>
      <c r="Z4576" s="2">
        <v>1</v>
      </c>
      <c r="AA4576" s="2" t="s">
        <v>82</v>
      </c>
      <c r="AB4576" s="2">
        <v>6</v>
      </c>
      <c r="AC4576" s="2" t="s">
        <v>83</v>
      </c>
      <c r="AD4576" s="2"/>
      <c r="AE4576" s="2"/>
      <c r="AF4576" s="3">
        <v>40488</v>
      </c>
      <c r="AG4576" s="4">
        <v>0.67708333333333337</v>
      </c>
      <c r="AH4576" s="2">
        <v>2</v>
      </c>
      <c r="AI4576" s="2" t="s">
        <v>84</v>
      </c>
      <c r="AJ4576" s="2">
        <v>9</v>
      </c>
      <c r="AK4576" s="2" t="s">
        <v>103</v>
      </c>
      <c r="AL4576" s="2">
        <v>12</v>
      </c>
      <c r="AM4576" s="2" t="s">
        <v>86</v>
      </c>
      <c r="AN4576" s="2" t="s">
        <v>14196</v>
      </c>
      <c r="AO4576" s="2" t="s">
        <v>14197</v>
      </c>
      <c r="AP4576" s="2">
        <v>11</v>
      </c>
      <c r="AQ4576" s="2" t="s">
        <v>82</v>
      </c>
      <c r="AR4576" s="2"/>
      <c r="AS4576" s="2"/>
      <c r="AT4576" s="2" t="s">
        <v>14198</v>
      </c>
      <c r="AU4576" s="2"/>
      <c r="AV4576" s="2"/>
      <c r="AW4576" s="2">
        <v>3</v>
      </c>
      <c r="AX4576" s="2"/>
      <c r="AY4576" s="2">
        <v>41</v>
      </c>
      <c r="AZ4576" s="2" t="s">
        <v>82</v>
      </c>
      <c r="BA4576" s="2">
        <v>68</v>
      </c>
      <c r="BB4576" s="2" t="s">
        <v>12055</v>
      </c>
      <c r="BC4576" s="2">
        <v>41</v>
      </c>
      <c r="BD4576" s="2" t="s">
        <v>82</v>
      </c>
      <c r="BE4576" s="2">
        <v>41</v>
      </c>
      <c r="BF4576" s="2" t="s">
        <v>82</v>
      </c>
      <c r="BG4576" s="2"/>
      <c r="BH4576" s="2"/>
      <c r="BI4576" s="2"/>
      <c r="BJ4576" s="2">
        <v>241</v>
      </c>
      <c r="BK4576" s="2" t="s">
        <v>82</v>
      </c>
      <c r="BL4576" s="2"/>
      <c r="BM4576" s="2">
        <v>241</v>
      </c>
      <c r="BN4576" s="2" t="s">
        <v>82</v>
      </c>
      <c r="BO4576" s="2"/>
      <c r="BP4576" s="2">
        <v>241</v>
      </c>
      <c r="BQ4576" s="2" t="s">
        <v>82</v>
      </c>
      <c r="BR4576" s="2"/>
      <c r="BS4576" s="3">
        <v>40489</v>
      </c>
      <c r="BT4576" s="4">
        <v>0.37549768518518517</v>
      </c>
    </row>
    <row r="4577" spans="1:72" x14ac:dyDescent="0.25">
      <c r="A4577" s="2">
        <v>7009</v>
      </c>
      <c r="B4577" s="2">
        <v>2010</v>
      </c>
      <c r="C4577" s="2" t="s">
        <v>1660</v>
      </c>
      <c r="D4577" s="2" t="s">
        <v>73</v>
      </c>
      <c r="E4577" s="2"/>
      <c r="F4577" s="2">
        <v>390</v>
      </c>
      <c r="G4577" s="2" t="s">
        <v>475</v>
      </c>
      <c r="H4577" s="2">
        <v>5</v>
      </c>
      <c r="I4577" s="2" t="s">
        <v>634</v>
      </c>
      <c r="J4577" s="2">
        <v>314</v>
      </c>
      <c r="K4577" s="2" t="s">
        <v>477</v>
      </c>
      <c r="L4577" s="2" t="s">
        <v>478</v>
      </c>
      <c r="M4577" s="3">
        <v>40489</v>
      </c>
      <c r="N4577" s="2" t="s">
        <v>3103</v>
      </c>
      <c r="O4577" s="2"/>
      <c r="P4577" s="2"/>
      <c r="Q4577" s="2" t="str">
        <f>"584-E/10"</f>
        <v>584-E/10</v>
      </c>
      <c r="R4577" s="2" t="s">
        <v>14199</v>
      </c>
      <c r="S4577" s="2"/>
      <c r="T4577" s="2">
        <v>1</v>
      </c>
      <c r="U4577" s="2" t="s">
        <v>79</v>
      </c>
      <c r="V4577" s="2">
        <v>1</v>
      </c>
      <c r="W4577" s="2" t="s">
        <v>80</v>
      </c>
      <c r="X4577" s="2">
        <v>10</v>
      </c>
      <c r="Y4577" s="2" t="s">
        <v>226</v>
      </c>
      <c r="Z4577" s="2">
        <v>6</v>
      </c>
      <c r="AA4577" s="2" t="s">
        <v>101</v>
      </c>
      <c r="AB4577" s="2">
        <v>3</v>
      </c>
      <c r="AC4577" s="2" t="s">
        <v>1663</v>
      </c>
      <c r="AD4577" s="3">
        <v>40488</v>
      </c>
      <c r="AE4577" s="4">
        <v>0.76041666666666663</v>
      </c>
      <c r="AF4577" s="3">
        <v>40488</v>
      </c>
      <c r="AG4577" s="4">
        <v>0.83333333333333337</v>
      </c>
      <c r="AH4577" s="2">
        <v>2</v>
      </c>
      <c r="AI4577" s="2" t="s">
        <v>84</v>
      </c>
      <c r="AJ4577" s="2">
        <v>9</v>
      </c>
      <c r="AK4577" s="2" t="s">
        <v>103</v>
      </c>
      <c r="AL4577" s="2">
        <v>14</v>
      </c>
      <c r="AM4577" s="2" t="s">
        <v>216</v>
      </c>
      <c r="AN4577" s="2"/>
      <c r="AO4577" s="2" t="s">
        <v>14200</v>
      </c>
      <c r="AP4577" s="2">
        <v>11</v>
      </c>
      <c r="AQ4577" s="2" t="s">
        <v>82</v>
      </c>
      <c r="AR4577" s="2"/>
      <c r="AS4577" s="2"/>
      <c r="AT4577" s="2" t="s">
        <v>14201</v>
      </c>
      <c r="AU4577" s="2">
        <v>1</v>
      </c>
      <c r="AV4577" s="2"/>
      <c r="AW4577" s="2"/>
      <c r="AX4577" s="2"/>
      <c r="AY4577" s="2">
        <v>41</v>
      </c>
      <c r="AZ4577" s="2" t="s">
        <v>82</v>
      </c>
      <c r="BA4577" s="2">
        <v>41</v>
      </c>
      <c r="BB4577" s="2" t="s">
        <v>82</v>
      </c>
      <c r="BC4577" s="2">
        <v>41</v>
      </c>
      <c r="BD4577" s="2" t="s">
        <v>82</v>
      </c>
      <c r="BE4577" s="2">
        <v>14</v>
      </c>
      <c r="BF4577" s="2" t="s">
        <v>484</v>
      </c>
      <c r="BG4577" s="2" t="s">
        <v>3450</v>
      </c>
      <c r="BH4577" s="2"/>
      <c r="BI4577" s="2"/>
      <c r="BJ4577" s="2">
        <v>13</v>
      </c>
      <c r="BK4577" s="2" t="s">
        <v>91</v>
      </c>
      <c r="BL4577" s="2" t="s">
        <v>360</v>
      </c>
      <c r="BM4577" s="2">
        <v>82</v>
      </c>
      <c r="BN4577" s="2" t="s">
        <v>487</v>
      </c>
      <c r="BO4577" s="2"/>
      <c r="BP4577" s="2">
        <v>82</v>
      </c>
      <c r="BQ4577" s="2" t="s">
        <v>487</v>
      </c>
      <c r="BR4577" s="2" t="s">
        <v>488</v>
      </c>
      <c r="BS4577" s="3">
        <v>40489</v>
      </c>
      <c r="BT4577" s="4">
        <v>0.45163194444444449</v>
      </c>
    </row>
    <row r="4578" spans="1:72" x14ac:dyDescent="0.25">
      <c r="A4578" s="2">
        <v>7010</v>
      </c>
      <c r="B4578" s="2">
        <v>2010</v>
      </c>
      <c r="C4578" s="2" t="s">
        <v>255</v>
      </c>
      <c r="D4578" s="2" t="s">
        <v>73</v>
      </c>
      <c r="E4578" s="2"/>
      <c r="F4578" s="2">
        <v>56</v>
      </c>
      <c r="G4578" s="2" t="s">
        <v>2578</v>
      </c>
      <c r="H4578" s="2">
        <v>22</v>
      </c>
      <c r="I4578" s="2" t="s">
        <v>75</v>
      </c>
      <c r="J4578" s="2">
        <v>702</v>
      </c>
      <c r="K4578" s="2" t="s">
        <v>14202</v>
      </c>
      <c r="L4578" s="2" t="s">
        <v>14203</v>
      </c>
      <c r="M4578" s="3">
        <v>40489</v>
      </c>
      <c r="N4578" s="2" t="s">
        <v>14204</v>
      </c>
      <c r="O4578" s="2"/>
      <c r="P4578" s="2"/>
      <c r="Q4578" s="2" t="str">
        <f>"0012/10 PSA"</f>
        <v>0012/10 PSA</v>
      </c>
      <c r="R4578" s="2" t="s">
        <v>14205</v>
      </c>
      <c r="S4578" s="2" t="s">
        <v>14206</v>
      </c>
      <c r="T4578" s="2">
        <v>1</v>
      </c>
      <c r="U4578" s="2" t="s">
        <v>79</v>
      </c>
      <c r="V4578" s="2">
        <v>1</v>
      </c>
      <c r="W4578" s="2" t="s">
        <v>80</v>
      </c>
      <c r="X4578" s="2">
        <v>1</v>
      </c>
      <c r="Y4578" s="2" t="s">
        <v>81</v>
      </c>
      <c r="Z4578" s="2">
        <v>1</v>
      </c>
      <c r="AA4578" s="2" t="s">
        <v>82</v>
      </c>
      <c r="AB4578" s="2">
        <v>9</v>
      </c>
      <c r="AC4578" s="2" t="s">
        <v>124</v>
      </c>
      <c r="AD4578" s="3">
        <v>40489</v>
      </c>
      <c r="AE4578" s="2"/>
      <c r="AF4578" s="3">
        <v>40489</v>
      </c>
      <c r="AG4578" s="4">
        <v>0.30555555555555552</v>
      </c>
      <c r="AH4578" s="2">
        <v>4</v>
      </c>
      <c r="AI4578" s="2" t="s">
        <v>125</v>
      </c>
      <c r="AJ4578" s="2">
        <v>30</v>
      </c>
      <c r="AK4578" s="2" t="s">
        <v>258</v>
      </c>
      <c r="AL4578" s="2">
        <v>9</v>
      </c>
      <c r="AM4578" s="2" t="s">
        <v>259</v>
      </c>
      <c r="AN4578" s="2" t="s">
        <v>14207</v>
      </c>
      <c r="AO4578" s="2"/>
      <c r="AP4578" s="2">
        <v>11</v>
      </c>
      <c r="AQ4578" s="2" t="s">
        <v>82</v>
      </c>
      <c r="AR4578" s="2"/>
      <c r="AS4578" s="2"/>
      <c r="AT4578" s="2" t="s">
        <v>14208</v>
      </c>
      <c r="AU4578" s="2"/>
      <c r="AV4578" s="2"/>
      <c r="AW4578" s="2"/>
      <c r="AX4578" s="2"/>
      <c r="AY4578" s="2">
        <v>1</v>
      </c>
      <c r="AZ4578" s="2" t="s">
        <v>107</v>
      </c>
      <c r="BA4578" s="2">
        <v>41</v>
      </c>
      <c r="BB4578" s="2" t="s">
        <v>82</v>
      </c>
      <c r="BC4578" s="2">
        <v>41</v>
      </c>
      <c r="BD4578" s="2" t="s">
        <v>82</v>
      </c>
      <c r="BE4578" s="2">
        <v>41</v>
      </c>
      <c r="BF4578" s="2" t="s">
        <v>82</v>
      </c>
      <c r="BG4578" s="2"/>
      <c r="BH4578" s="2"/>
      <c r="BI4578" s="2"/>
      <c r="BJ4578" s="2">
        <v>241</v>
      </c>
      <c r="BK4578" s="2" t="s">
        <v>82</v>
      </c>
      <c r="BL4578" s="2"/>
      <c r="BM4578" s="2">
        <v>241</v>
      </c>
      <c r="BN4578" s="2" t="s">
        <v>82</v>
      </c>
      <c r="BO4578" s="2"/>
      <c r="BP4578" s="2">
        <v>241</v>
      </c>
      <c r="BQ4578" s="2" t="s">
        <v>82</v>
      </c>
      <c r="BR4578" s="2"/>
      <c r="BS4578" s="3">
        <v>40489</v>
      </c>
      <c r="BT4578" s="4">
        <v>0.56711805555555561</v>
      </c>
    </row>
    <row r="4579" spans="1:72" x14ac:dyDescent="0.25">
      <c r="A4579" s="2">
        <v>7012</v>
      </c>
      <c r="B4579" s="2">
        <v>2010</v>
      </c>
      <c r="C4579" s="2" t="s">
        <v>72</v>
      </c>
      <c r="D4579" s="2" t="s">
        <v>73</v>
      </c>
      <c r="E4579" s="2"/>
      <c r="F4579" s="2">
        <v>716</v>
      </c>
      <c r="G4579" s="2" t="s">
        <v>14209</v>
      </c>
      <c r="H4579" s="2">
        <v>6</v>
      </c>
      <c r="I4579" s="2" t="s">
        <v>1088</v>
      </c>
      <c r="J4579" s="2">
        <v>703</v>
      </c>
      <c r="K4579" s="2" t="s">
        <v>12533</v>
      </c>
      <c r="L4579" s="2" t="s">
        <v>13337</v>
      </c>
      <c r="M4579" s="3">
        <v>40490</v>
      </c>
      <c r="N4579" s="2" t="s">
        <v>14210</v>
      </c>
      <c r="O4579" s="2" t="s">
        <v>107</v>
      </c>
      <c r="P4579" s="2" t="s">
        <v>107</v>
      </c>
      <c r="Q4579" s="2" t="str">
        <f>"001-P/10"</f>
        <v>001-P/10</v>
      </c>
      <c r="R4579" s="2" t="s">
        <v>78</v>
      </c>
      <c r="S4579" s="2"/>
      <c r="T4579" s="2">
        <v>1</v>
      </c>
      <c r="U4579" s="2" t="s">
        <v>79</v>
      </c>
      <c r="V4579" s="2">
        <v>1</v>
      </c>
      <c r="W4579" s="2" t="s">
        <v>80</v>
      </c>
      <c r="X4579" s="2">
        <v>12</v>
      </c>
      <c r="Y4579" s="2" t="s">
        <v>148</v>
      </c>
      <c r="Z4579" s="2">
        <v>1</v>
      </c>
      <c r="AA4579" s="2" t="s">
        <v>82</v>
      </c>
      <c r="AB4579" s="2">
        <v>6</v>
      </c>
      <c r="AC4579" s="2" t="s">
        <v>83</v>
      </c>
      <c r="AD4579" s="2"/>
      <c r="AE4579" s="2"/>
      <c r="AF4579" s="3">
        <v>40489</v>
      </c>
      <c r="AG4579" s="4">
        <v>0.47916666666666669</v>
      </c>
      <c r="AH4579" s="2">
        <v>2</v>
      </c>
      <c r="AI4579" s="2" t="s">
        <v>84</v>
      </c>
      <c r="AJ4579" s="2">
        <v>112</v>
      </c>
      <c r="AK4579" s="2" t="s">
        <v>14078</v>
      </c>
      <c r="AL4579" s="2">
        <v>10</v>
      </c>
      <c r="AM4579" s="2" t="s">
        <v>200</v>
      </c>
      <c r="AN4579" s="2" t="s">
        <v>14211</v>
      </c>
      <c r="AO4579" s="2" t="s">
        <v>14212</v>
      </c>
      <c r="AP4579" s="2">
        <v>11</v>
      </c>
      <c r="AQ4579" s="2" t="s">
        <v>82</v>
      </c>
      <c r="AR4579" s="2"/>
      <c r="AS4579" s="2"/>
      <c r="AT4579" s="2" t="s">
        <v>14213</v>
      </c>
      <c r="AU4579" s="2"/>
      <c r="AV4579" s="2"/>
      <c r="AW4579" s="2"/>
      <c r="AX4579" s="2"/>
      <c r="AY4579" s="2">
        <v>41</v>
      </c>
      <c r="AZ4579" s="2" t="s">
        <v>82</v>
      </c>
      <c r="BA4579" s="2">
        <v>41</v>
      </c>
      <c r="BB4579" s="2" t="s">
        <v>82</v>
      </c>
      <c r="BC4579" s="2">
        <v>41</v>
      </c>
      <c r="BD4579" s="2" t="s">
        <v>82</v>
      </c>
      <c r="BE4579" s="2">
        <v>41</v>
      </c>
      <c r="BF4579" s="2" t="s">
        <v>82</v>
      </c>
      <c r="BG4579" s="2"/>
      <c r="BH4579" s="2"/>
      <c r="BI4579" s="2"/>
      <c r="BJ4579" s="2">
        <v>241</v>
      </c>
      <c r="BK4579" s="2" t="s">
        <v>82</v>
      </c>
      <c r="BL4579" s="2"/>
      <c r="BM4579" s="2">
        <v>241</v>
      </c>
      <c r="BN4579" s="2" t="s">
        <v>82</v>
      </c>
      <c r="BO4579" s="2"/>
      <c r="BP4579" s="2">
        <v>241</v>
      </c>
      <c r="BQ4579" s="2" t="s">
        <v>82</v>
      </c>
      <c r="BR4579" s="2"/>
      <c r="BS4579" s="3">
        <v>40490</v>
      </c>
      <c r="BT4579" s="4">
        <v>6.4849537037037039E-2</v>
      </c>
    </row>
    <row r="4580" spans="1:72" x14ac:dyDescent="0.25">
      <c r="A4580" s="2">
        <v>7013</v>
      </c>
      <c r="B4580" s="2">
        <v>2010</v>
      </c>
      <c r="C4580" s="2" t="s">
        <v>72</v>
      </c>
      <c r="D4580" s="2" t="s">
        <v>73</v>
      </c>
      <c r="E4580" s="2"/>
      <c r="F4580" s="2">
        <v>3</v>
      </c>
      <c r="G4580" s="2" t="s">
        <v>1041</v>
      </c>
      <c r="H4580" s="2">
        <v>22</v>
      </c>
      <c r="I4580" s="2" t="s">
        <v>75</v>
      </c>
      <c r="J4580" s="2">
        <v>368</v>
      </c>
      <c r="K4580" s="2" t="s">
        <v>1042</v>
      </c>
      <c r="L4580" s="2" t="s">
        <v>1043</v>
      </c>
      <c r="M4580" s="3">
        <v>40490</v>
      </c>
      <c r="N4580" s="2"/>
      <c r="O4580" s="2"/>
      <c r="P4580" s="2"/>
      <c r="Q4580" s="2" t="str">
        <f>"585-E/10"</f>
        <v>585-E/10</v>
      </c>
      <c r="R4580" s="2" t="s">
        <v>671</v>
      </c>
      <c r="S4580" s="2"/>
      <c r="T4580" s="2">
        <v>1</v>
      </c>
      <c r="U4580" s="2" t="s">
        <v>79</v>
      </c>
      <c r="V4580" s="2">
        <v>1</v>
      </c>
      <c r="W4580" s="2" t="s">
        <v>80</v>
      </c>
      <c r="X4580" s="2">
        <v>12</v>
      </c>
      <c r="Y4580" s="2" t="s">
        <v>148</v>
      </c>
      <c r="Z4580" s="2">
        <v>1</v>
      </c>
      <c r="AA4580" s="2" t="s">
        <v>82</v>
      </c>
      <c r="AB4580" s="2">
        <v>6</v>
      </c>
      <c r="AC4580" s="2" t="s">
        <v>83</v>
      </c>
      <c r="AD4580" s="2"/>
      <c r="AE4580" s="2"/>
      <c r="AF4580" s="3">
        <v>40489</v>
      </c>
      <c r="AG4580" s="4">
        <v>0.99305555555555547</v>
      </c>
      <c r="AH4580" s="2">
        <v>2</v>
      </c>
      <c r="AI4580" s="2" t="s">
        <v>84</v>
      </c>
      <c r="AJ4580" s="2">
        <v>9</v>
      </c>
      <c r="AK4580" s="2" t="s">
        <v>103</v>
      </c>
      <c r="AL4580" s="2">
        <v>24</v>
      </c>
      <c r="AM4580" s="2" t="s">
        <v>1540</v>
      </c>
      <c r="AN4580" s="2" t="s">
        <v>14214</v>
      </c>
      <c r="AO4580" s="2" t="s">
        <v>8710</v>
      </c>
      <c r="AP4580" s="2">
        <v>11</v>
      </c>
      <c r="AQ4580" s="2" t="s">
        <v>82</v>
      </c>
      <c r="AR4580" s="2"/>
      <c r="AS4580" s="2"/>
      <c r="AT4580" s="2" t="s">
        <v>14215</v>
      </c>
      <c r="AU4580" s="2"/>
      <c r="AV4580" s="2"/>
      <c r="AW4580" s="2">
        <v>1</v>
      </c>
      <c r="AX4580" s="2"/>
      <c r="AY4580" s="2">
        <v>41</v>
      </c>
      <c r="AZ4580" s="2" t="s">
        <v>82</v>
      </c>
      <c r="BA4580" s="2">
        <v>152</v>
      </c>
      <c r="BB4580" s="2" t="s">
        <v>13823</v>
      </c>
      <c r="BC4580" s="2">
        <v>41</v>
      </c>
      <c r="BD4580" s="2" t="s">
        <v>82</v>
      </c>
      <c r="BE4580" s="2">
        <v>41</v>
      </c>
      <c r="BF4580" s="2" t="s">
        <v>82</v>
      </c>
      <c r="BG4580" s="2"/>
      <c r="BH4580" s="2"/>
      <c r="BI4580" s="2"/>
      <c r="BJ4580" s="2">
        <v>241</v>
      </c>
      <c r="BK4580" s="2" t="s">
        <v>82</v>
      </c>
      <c r="BL4580" s="2"/>
      <c r="BM4580" s="2">
        <v>241</v>
      </c>
      <c r="BN4580" s="2" t="s">
        <v>82</v>
      </c>
      <c r="BO4580" s="2"/>
      <c r="BP4580" s="2">
        <v>241</v>
      </c>
      <c r="BQ4580" s="2" t="s">
        <v>82</v>
      </c>
      <c r="BR4580" s="2"/>
      <c r="BS4580" s="3">
        <v>40490</v>
      </c>
      <c r="BT4580" s="4">
        <v>0.22857638888888887</v>
      </c>
    </row>
    <row r="4581" spans="1:72" x14ac:dyDescent="0.25">
      <c r="A4581" s="2">
        <v>7014</v>
      </c>
      <c r="B4581" s="2">
        <v>2010</v>
      </c>
      <c r="C4581" s="2" t="s">
        <v>72</v>
      </c>
      <c r="D4581" s="2" t="s">
        <v>122</v>
      </c>
      <c r="E4581" s="2" t="s">
        <v>14216</v>
      </c>
      <c r="F4581" s="2">
        <v>3</v>
      </c>
      <c r="G4581" s="2" t="s">
        <v>1041</v>
      </c>
      <c r="H4581" s="2">
        <v>1</v>
      </c>
      <c r="I4581" s="2" t="s">
        <v>82</v>
      </c>
      <c r="J4581" s="2">
        <v>368</v>
      </c>
      <c r="K4581" s="2" t="s">
        <v>1042</v>
      </c>
      <c r="L4581" s="2" t="s">
        <v>1043</v>
      </c>
      <c r="M4581" s="3">
        <v>40490</v>
      </c>
      <c r="N4581" s="2" t="s">
        <v>82</v>
      </c>
      <c r="O4581" s="2" t="s">
        <v>82</v>
      </c>
      <c r="P4581" s="2" t="s">
        <v>82</v>
      </c>
      <c r="Q4581" s="2" t="str">
        <f>"583-E/10"</f>
        <v>583-E/10</v>
      </c>
      <c r="R4581" s="2" t="s">
        <v>4823</v>
      </c>
      <c r="S4581" s="2" t="s">
        <v>4823</v>
      </c>
      <c r="T4581" s="2">
        <v>1</v>
      </c>
      <c r="U4581" s="2" t="s">
        <v>79</v>
      </c>
      <c r="V4581" s="2">
        <v>1</v>
      </c>
      <c r="W4581" s="2" t="s">
        <v>80</v>
      </c>
      <c r="X4581" s="2">
        <v>1</v>
      </c>
      <c r="Y4581" s="2" t="s">
        <v>81</v>
      </c>
      <c r="Z4581" s="2">
        <v>1</v>
      </c>
      <c r="AA4581" s="2" t="s">
        <v>82</v>
      </c>
      <c r="AB4581" s="2">
        <v>6</v>
      </c>
      <c r="AC4581" s="2" t="s">
        <v>83</v>
      </c>
      <c r="AD4581" s="3">
        <v>40490</v>
      </c>
      <c r="AE4581" s="4">
        <v>0.3125</v>
      </c>
      <c r="AF4581" s="2"/>
      <c r="AG4581" s="2"/>
      <c r="AH4581" s="2">
        <v>2</v>
      </c>
      <c r="AI4581" s="2" t="s">
        <v>84</v>
      </c>
      <c r="AJ4581" s="2">
        <v>9</v>
      </c>
      <c r="AK4581" s="2" t="s">
        <v>103</v>
      </c>
      <c r="AL4581" s="2">
        <v>12</v>
      </c>
      <c r="AM4581" s="2" t="s">
        <v>86</v>
      </c>
      <c r="AN4581" s="2"/>
      <c r="AO4581" s="2" t="s">
        <v>14217</v>
      </c>
      <c r="AP4581" s="2">
        <v>11</v>
      </c>
      <c r="AQ4581" s="2" t="s">
        <v>82</v>
      </c>
      <c r="AR4581" s="2"/>
      <c r="AS4581" s="2"/>
      <c r="AT4581" s="2" t="s">
        <v>14218</v>
      </c>
      <c r="AU4581" s="2"/>
      <c r="AV4581" s="2"/>
      <c r="AW4581" s="2">
        <v>3</v>
      </c>
      <c r="AX4581" s="2"/>
      <c r="AY4581" s="2">
        <v>41</v>
      </c>
      <c r="AZ4581" s="2" t="s">
        <v>82</v>
      </c>
      <c r="BA4581" s="2">
        <v>41</v>
      </c>
      <c r="BB4581" s="2" t="s">
        <v>82</v>
      </c>
      <c r="BC4581" s="2">
        <v>41</v>
      </c>
      <c r="BD4581" s="2" t="s">
        <v>82</v>
      </c>
      <c r="BE4581" s="2">
        <v>41</v>
      </c>
      <c r="BF4581" s="2" t="s">
        <v>82</v>
      </c>
      <c r="BG4581" s="2"/>
      <c r="BH4581" s="2"/>
      <c r="BI4581" s="2"/>
      <c r="BJ4581" s="2">
        <v>241</v>
      </c>
      <c r="BK4581" s="2" t="s">
        <v>82</v>
      </c>
      <c r="BL4581" s="2"/>
      <c r="BM4581" s="2">
        <v>241</v>
      </c>
      <c r="BN4581" s="2" t="s">
        <v>82</v>
      </c>
      <c r="BO4581" s="2"/>
      <c r="BP4581" s="2">
        <v>241</v>
      </c>
      <c r="BQ4581" s="2" t="s">
        <v>82</v>
      </c>
      <c r="BR4581" s="2"/>
      <c r="BS4581" s="3">
        <v>40490</v>
      </c>
      <c r="BT4581" s="4">
        <v>0.3833449074074074</v>
      </c>
    </row>
    <row r="4582" spans="1:72" x14ac:dyDescent="0.25">
      <c r="A4582" s="2">
        <v>7014</v>
      </c>
      <c r="B4582" s="2">
        <v>2010</v>
      </c>
      <c r="C4582" s="2" t="s">
        <v>385</v>
      </c>
      <c r="D4582" s="2" t="s">
        <v>122</v>
      </c>
      <c r="E4582" s="2" t="s">
        <v>14216</v>
      </c>
      <c r="F4582" s="2">
        <v>3</v>
      </c>
      <c r="G4582" s="2" t="s">
        <v>1041</v>
      </c>
      <c r="H4582" s="2">
        <v>1</v>
      </c>
      <c r="I4582" s="2" t="s">
        <v>82</v>
      </c>
      <c r="J4582" s="2">
        <v>368</v>
      </c>
      <c r="K4582" s="2" t="s">
        <v>1042</v>
      </c>
      <c r="L4582" s="2" t="s">
        <v>1043</v>
      </c>
      <c r="M4582" s="3">
        <v>40490</v>
      </c>
      <c r="N4582" s="2" t="s">
        <v>82</v>
      </c>
      <c r="O4582" s="2" t="s">
        <v>82</v>
      </c>
      <c r="P4582" s="2" t="s">
        <v>82</v>
      </c>
      <c r="Q4582" s="2" t="str">
        <f>"583-E/10"</f>
        <v>583-E/10</v>
      </c>
      <c r="R4582" s="2" t="s">
        <v>4823</v>
      </c>
      <c r="S4582" s="2" t="s">
        <v>4823</v>
      </c>
      <c r="T4582" s="2">
        <v>1</v>
      </c>
      <c r="U4582" s="2" t="s">
        <v>79</v>
      </c>
      <c r="V4582" s="2">
        <v>1</v>
      </c>
      <c r="W4582" s="2" t="s">
        <v>80</v>
      </c>
      <c r="X4582" s="2">
        <v>1</v>
      </c>
      <c r="Y4582" s="2" t="s">
        <v>81</v>
      </c>
      <c r="Z4582" s="2">
        <v>1</v>
      </c>
      <c r="AA4582" s="2" t="s">
        <v>82</v>
      </c>
      <c r="AB4582" s="2">
        <v>9</v>
      </c>
      <c r="AC4582" s="2" t="s">
        <v>124</v>
      </c>
      <c r="AD4582" s="3">
        <v>40490</v>
      </c>
      <c r="AE4582" s="4">
        <v>0.3125</v>
      </c>
      <c r="AF4582" s="2"/>
      <c r="AG4582" s="2"/>
      <c r="AH4582" s="2">
        <v>2</v>
      </c>
      <c r="AI4582" s="2" t="s">
        <v>84</v>
      </c>
      <c r="AJ4582" s="2">
        <v>9</v>
      </c>
      <c r="AK4582" s="2" t="s">
        <v>103</v>
      </c>
      <c r="AL4582" s="2">
        <v>12</v>
      </c>
      <c r="AM4582" s="2" t="s">
        <v>86</v>
      </c>
      <c r="AN4582" s="2"/>
      <c r="AO4582" s="2" t="s">
        <v>14217</v>
      </c>
      <c r="AP4582" s="2">
        <v>11</v>
      </c>
      <c r="AQ4582" s="2" t="s">
        <v>82</v>
      </c>
      <c r="AR4582" s="2"/>
      <c r="AS4582" s="2"/>
      <c r="AT4582" s="2" t="s">
        <v>14218</v>
      </c>
      <c r="AU4582" s="2"/>
      <c r="AV4582" s="2"/>
      <c r="AW4582" s="2">
        <v>3</v>
      </c>
      <c r="AX4582" s="2"/>
      <c r="AY4582" s="2">
        <v>41</v>
      </c>
      <c r="AZ4582" s="2" t="s">
        <v>82</v>
      </c>
      <c r="BA4582" s="2">
        <v>41</v>
      </c>
      <c r="BB4582" s="2" t="s">
        <v>82</v>
      </c>
      <c r="BC4582" s="2">
        <v>41</v>
      </c>
      <c r="BD4582" s="2" t="s">
        <v>82</v>
      </c>
      <c r="BE4582" s="2">
        <v>41</v>
      </c>
      <c r="BF4582" s="2" t="s">
        <v>82</v>
      </c>
      <c r="BG4582" s="2"/>
      <c r="BH4582" s="2"/>
      <c r="BI4582" s="2"/>
      <c r="BJ4582" s="2">
        <v>241</v>
      </c>
      <c r="BK4582" s="2" t="s">
        <v>82</v>
      </c>
      <c r="BL4582" s="2"/>
      <c r="BM4582" s="2">
        <v>241</v>
      </c>
      <c r="BN4582" s="2" t="s">
        <v>82</v>
      </c>
      <c r="BO4582" s="2"/>
      <c r="BP4582" s="2">
        <v>241</v>
      </c>
      <c r="BQ4582" s="2" t="s">
        <v>82</v>
      </c>
      <c r="BR4582" s="2"/>
      <c r="BS4582" s="3">
        <v>40490</v>
      </c>
      <c r="BT4582" s="4">
        <v>0.3833449074074074</v>
      </c>
    </row>
    <row r="4583" spans="1:72" x14ac:dyDescent="0.25">
      <c r="A4583" s="2">
        <v>7016</v>
      </c>
      <c r="B4583" s="2">
        <v>2010</v>
      </c>
      <c r="C4583" s="2" t="s">
        <v>72</v>
      </c>
      <c r="D4583" s="2" t="s">
        <v>122</v>
      </c>
      <c r="E4583" s="2" t="s">
        <v>14219</v>
      </c>
      <c r="F4583" s="2">
        <v>3</v>
      </c>
      <c r="G4583" s="2" t="s">
        <v>1041</v>
      </c>
      <c r="H4583" s="2">
        <v>22</v>
      </c>
      <c r="I4583" s="2" t="s">
        <v>75</v>
      </c>
      <c r="J4583" s="2">
        <v>368</v>
      </c>
      <c r="K4583" s="2" t="s">
        <v>1042</v>
      </c>
      <c r="L4583" s="2" t="s">
        <v>1043</v>
      </c>
      <c r="M4583" s="3">
        <v>40490</v>
      </c>
      <c r="N4583" s="2"/>
      <c r="O4583" s="2"/>
      <c r="P4583" s="2"/>
      <c r="Q4583" s="2" t="str">
        <f>"585-E/10"</f>
        <v>585-E/10</v>
      </c>
      <c r="R4583" s="2" t="s">
        <v>671</v>
      </c>
      <c r="S4583" s="2"/>
      <c r="T4583" s="2">
        <v>1</v>
      </c>
      <c r="U4583" s="2" t="s">
        <v>79</v>
      </c>
      <c r="V4583" s="2">
        <v>1</v>
      </c>
      <c r="W4583" s="2" t="s">
        <v>80</v>
      </c>
      <c r="X4583" s="2">
        <v>12</v>
      </c>
      <c r="Y4583" s="2" t="s">
        <v>148</v>
      </c>
      <c r="Z4583" s="2">
        <v>1</v>
      </c>
      <c r="AA4583" s="2" t="s">
        <v>82</v>
      </c>
      <c r="AB4583" s="2">
        <v>6</v>
      </c>
      <c r="AC4583" s="2" t="s">
        <v>83</v>
      </c>
      <c r="AD4583" s="3">
        <v>40490</v>
      </c>
      <c r="AE4583" s="4">
        <v>0.3125</v>
      </c>
      <c r="AF4583" s="2"/>
      <c r="AG4583" s="2"/>
      <c r="AH4583" s="2">
        <v>2</v>
      </c>
      <c r="AI4583" s="2" t="s">
        <v>84</v>
      </c>
      <c r="AJ4583" s="2">
        <v>9</v>
      </c>
      <c r="AK4583" s="2" t="s">
        <v>103</v>
      </c>
      <c r="AL4583" s="2">
        <v>24</v>
      </c>
      <c r="AM4583" s="2" t="s">
        <v>1540</v>
      </c>
      <c r="AN4583" s="2"/>
      <c r="AO4583" s="2" t="s">
        <v>14220</v>
      </c>
      <c r="AP4583" s="2">
        <v>11</v>
      </c>
      <c r="AQ4583" s="2" t="s">
        <v>82</v>
      </c>
      <c r="AR4583" s="2"/>
      <c r="AS4583" s="2"/>
      <c r="AT4583" s="2" t="s">
        <v>14221</v>
      </c>
      <c r="AU4583" s="2"/>
      <c r="AV4583" s="2"/>
      <c r="AW4583" s="2">
        <v>1</v>
      </c>
      <c r="AX4583" s="2"/>
      <c r="AY4583" s="2">
        <v>41</v>
      </c>
      <c r="AZ4583" s="2" t="s">
        <v>82</v>
      </c>
      <c r="BA4583" s="2">
        <v>41</v>
      </c>
      <c r="BB4583" s="2" t="s">
        <v>82</v>
      </c>
      <c r="BC4583" s="2">
        <v>41</v>
      </c>
      <c r="BD4583" s="2" t="s">
        <v>82</v>
      </c>
      <c r="BE4583" s="2">
        <v>41</v>
      </c>
      <c r="BF4583" s="2" t="s">
        <v>82</v>
      </c>
      <c r="BG4583" s="2"/>
      <c r="BH4583" s="2"/>
      <c r="BI4583" s="2"/>
      <c r="BJ4583" s="2">
        <v>241</v>
      </c>
      <c r="BK4583" s="2" t="s">
        <v>82</v>
      </c>
      <c r="BL4583" s="2"/>
      <c r="BM4583" s="2">
        <v>241</v>
      </c>
      <c r="BN4583" s="2" t="s">
        <v>82</v>
      </c>
      <c r="BO4583" s="2"/>
      <c r="BP4583" s="2">
        <v>241</v>
      </c>
      <c r="BQ4583" s="2" t="s">
        <v>82</v>
      </c>
      <c r="BR4583" s="2"/>
      <c r="BS4583" s="3">
        <v>40490</v>
      </c>
      <c r="BT4583" s="4">
        <v>0.38703703703703707</v>
      </c>
    </row>
    <row r="4584" spans="1:72" x14ac:dyDescent="0.25">
      <c r="A4584" s="2">
        <v>7016</v>
      </c>
      <c r="B4584" s="2">
        <v>2010</v>
      </c>
      <c r="C4584" s="2" t="s">
        <v>385</v>
      </c>
      <c r="D4584" s="2" t="s">
        <v>122</v>
      </c>
      <c r="E4584" s="2" t="s">
        <v>14219</v>
      </c>
      <c r="F4584" s="2">
        <v>3</v>
      </c>
      <c r="G4584" s="2" t="s">
        <v>1041</v>
      </c>
      <c r="H4584" s="2">
        <v>22</v>
      </c>
      <c r="I4584" s="2" t="s">
        <v>75</v>
      </c>
      <c r="J4584" s="2">
        <v>368</v>
      </c>
      <c r="K4584" s="2" t="s">
        <v>1042</v>
      </c>
      <c r="L4584" s="2" t="s">
        <v>1043</v>
      </c>
      <c r="M4584" s="3">
        <v>40490</v>
      </c>
      <c r="N4584" s="2"/>
      <c r="O4584" s="2"/>
      <c r="P4584" s="2"/>
      <c r="Q4584" s="2" t="str">
        <f>"585-E/10"</f>
        <v>585-E/10</v>
      </c>
      <c r="R4584" s="2" t="s">
        <v>671</v>
      </c>
      <c r="S4584" s="2"/>
      <c r="T4584" s="2">
        <v>1</v>
      </c>
      <c r="U4584" s="2" t="s">
        <v>79</v>
      </c>
      <c r="V4584" s="2">
        <v>1</v>
      </c>
      <c r="W4584" s="2" t="s">
        <v>80</v>
      </c>
      <c r="X4584" s="2">
        <v>12</v>
      </c>
      <c r="Y4584" s="2" t="s">
        <v>148</v>
      </c>
      <c r="Z4584" s="2">
        <v>1</v>
      </c>
      <c r="AA4584" s="2" t="s">
        <v>82</v>
      </c>
      <c r="AB4584" s="2">
        <v>9</v>
      </c>
      <c r="AC4584" s="2" t="s">
        <v>124</v>
      </c>
      <c r="AD4584" s="3">
        <v>40490</v>
      </c>
      <c r="AE4584" s="4">
        <v>0.3125</v>
      </c>
      <c r="AF4584" s="2"/>
      <c r="AG4584" s="2"/>
      <c r="AH4584" s="2">
        <v>2</v>
      </c>
      <c r="AI4584" s="2" t="s">
        <v>84</v>
      </c>
      <c r="AJ4584" s="2">
        <v>9</v>
      </c>
      <c r="AK4584" s="2" t="s">
        <v>103</v>
      </c>
      <c r="AL4584" s="2">
        <v>24</v>
      </c>
      <c r="AM4584" s="2" t="s">
        <v>1540</v>
      </c>
      <c r="AN4584" s="2"/>
      <c r="AO4584" s="2" t="s">
        <v>14220</v>
      </c>
      <c r="AP4584" s="2">
        <v>11</v>
      </c>
      <c r="AQ4584" s="2" t="s">
        <v>82</v>
      </c>
      <c r="AR4584" s="2"/>
      <c r="AS4584" s="2"/>
      <c r="AT4584" s="2" t="s">
        <v>14221</v>
      </c>
      <c r="AU4584" s="2"/>
      <c r="AV4584" s="2"/>
      <c r="AW4584" s="2">
        <v>1</v>
      </c>
      <c r="AX4584" s="2"/>
      <c r="AY4584" s="2">
        <v>41</v>
      </c>
      <c r="AZ4584" s="2" t="s">
        <v>82</v>
      </c>
      <c r="BA4584" s="2">
        <v>41</v>
      </c>
      <c r="BB4584" s="2" t="s">
        <v>82</v>
      </c>
      <c r="BC4584" s="2">
        <v>41</v>
      </c>
      <c r="BD4584" s="2" t="s">
        <v>82</v>
      </c>
      <c r="BE4584" s="2">
        <v>41</v>
      </c>
      <c r="BF4584" s="2" t="s">
        <v>82</v>
      </c>
      <c r="BG4584" s="2"/>
      <c r="BH4584" s="2"/>
      <c r="BI4584" s="2"/>
      <c r="BJ4584" s="2">
        <v>241</v>
      </c>
      <c r="BK4584" s="2" t="s">
        <v>82</v>
      </c>
      <c r="BL4584" s="2"/>
      <c r="BM4584" s="2">
        <v>241</v>
      </c>
      <c r="BN4584" s="2" t="s">
        <v>82</v>
      </c>
      <c r="BO4584" s="2"/>
      <c r="BP4584" s="2">
        <v>241</v>
      </c>
      <c r="BQ4584" s="2" t="s">
        <v>82</v>
      </c>
      <c r="BR4584" s="2"/>
      <c r="BS4584" s="3">
        <v>40490</v>
      </c>
      <c r="BT4584" s="4">
        <v>0.38703703703703707</v>
      </c>
    </row>
    <row r="4585" spans="1:72" x14ac:dyDescent="0.25">
      <c r="A4585" s="2">
        <v>7022</v>
      </c>
      <c r="B4585" s="2">
        <v>2010</v>
      </c>
      <c r="C4585" s="2" t="s">
        <v>457</v>
      </c>
      <c r="D4585" s="2" t="s">
        <v>73</v>
      </c>
      <c r="E4585" s="2"/>
      <c r="F4585" s="2">
        <v>467</v>
      </c>
      <c r="G4585" s="2" t="s">
        <v>1053</v>
      </c>
      <c r="H4585" s="2">
        <v>108</v>
      </c>
      <c r="I4585" s="2" t="s">
        <v>1096</v>
      </c>
      <c r="J4585" s="2">
        <v>369</v>
      </c>
      <c r="K4585" s="2" t="s">
        <v>1054</v>
      </c>
      <c r="L4585" s="2" t="s">
        <v>1055</v>
      </c>
      <c r="M4585" s="3">
        <v>40490</v>
      </c>
      <c r="N4585" s="2" t="s">
        <v>13104</v>
      </c>
      <c r="O4585" s="2" t="s">
        <v>14222</v>
      </c>
      <c r="P4585" s="2" t="s">
        <v>14223</v>
      </c>
      <c r="Q4585" s="2" t="str">
        <f>""</f>
        <v/>
      </c>
      <c r="R4585" s="2"/>
      <c r="S4585" s="2"/>
      <c r="T4585" s="2">
        <v>1</v>
      </c>
      <c r="U4585" s="2" t="s">
        <v>79</v>
      </c>
      <c r="V4585" s="2">
        <v>1</v>
      </c>
      <c r="W4585" s="2" t="s">
        <v>80</v>
      </c>
      <c r="X4585" s="2">
        <v>4</v>
      </c>
      <c r="Y4585" s="2" t="s">
        <v>463</v>
      </c>
      <c r="Z4585" s="2">
        <v>6</v>
      </c>
      <c r="AA4585" s="2" t="s">
        <v>101</v>
      </c>
      <c r="AB4585" s="2">
        <v>9</v>
      </c>
      <c r="AC4585" s="2" t="s">
        <v>124</v>
      </c>
      <c r="AD4585" s="3">
        <v>40490</v>
      </c>
      <c r="AE4585" s="4">
        <v>0.47916666666666669</v>
      </c>
      <c r="AF4585" s="2"/>
      <c r="AG4585" s="2"/>
      <c r="AH4585" s="2">
        <v>4</v>
      </c>
      <c r="AI4585" s="2" t="s">
        <v>125</v>
      </c>
      <c r="AJ4585" s="2">
        <v>29</v>
      </c>
      <c r="AK4585" s="2" t="s">
        <v>227</v>
      </c>
      <c r="AL4585" s="2">
        <v>11</v>
      </c>
      <c r="AM4585" s="2" t="s">
        <v>137</v>
      </c>
      <c r="AN4585" s="2" t="s">
        <v>2701</v>
      </c>
      <c r="AO4585" s="2"/>
      <c r="AP4585" s="2">
        <v>11</v>
      </c>
      <c r="AQ4585" s="2" t="s">
        <v>82</v>
      </c>
      <c r="AR4585" s="2" t="s">
        <v>82</v>
      </c>
      <c r="AS4585" s="2" t="s">
        <v>82</v>
      </c>
      <c r="AT4585" s="2" t="s">
        <v>14224</v>
      </c>
      <c r="AU4585" s="2"/>
      <c r="AV4585" s="2"/>
      <c r="AW4585" s="2"/>
      <c r="AX4585" s="2"/>
      <c r="AY4585" s="2">
        <v>41</v>
      </c>
      <c r="AZ4585" s="2" t="s">
        <v>82</v>
      </c>
      <c r="BA4585" s="2">
        <v>41</v>
      </c>
      <c r="BB4585" s="2" t="s">
        <v>82</v>
      </c>
      <c r="BC4585" s="2">
        <v>41</v>
      </c>
      <c r="BD4585" s="2" t="s">
        <v>82</v>
      </c>
      <c r="BE4585" s="2">
        <v>19</v>
      </c>
      <c r="BF4585" s="2" t="s">
        <v>1061</v>
      </c>
      <c r="BG4585" s="2" t="s">
        <v>14225</v>
      </c>
      <c r="BH4585" s="4">
        <v>0.53125</v>
      </c>
      <c r="BI4585" s="4">
        <v>0.5625</v>
      </c>
      <c r="BJ4585" s="2">
        <v>13</v>
      </c>
      <c r="BK4585" s="2" t="s">
        <v>91</v>
      </c>
      <c r="BL4585" s="2" t="s">
        <v>828</v>
      </c>
      <c r="BM4585" s="2">
        <v>29</v>
      </c>
      <c r="BN4585" s="2" t="s">
        <v>962</v>
      </c>
      <c r="BO4585" s="2"/>
      <c r="BP4585" s="2">
        <v>29</v>
      </c>
      <c r="BQ4585" s="2" t="s">
        <v>962</v>
      </c>
      <c r="BR4585" s="2" t="s">
        <v>963</v>
      </c>
      <c r="BS4585" s="3">
        <v>40490</v>
      </c>
      <c r="BT4585" s="4">
        <v>0.56105324074074081</v>
      </c>
    </row>
    <row r="4586" spans="1:72" x14ac:dyDescent="0.25">
      <c r="A4586" s="2">
        <v>7035</v>
      </c>
      <c r="B4586" s="2">
        <v>2010</v>
      </c>
      <c r="C4586" s="2" t="s">
        <v>196</v>
      </c>
      <c r="D4586" s="2" t="s">
        <v>122</v>
      </c>
      <c r="E4586" s="2"/>
      <c r="F4586" s="2">
        <v>1</v>
      </c>
      <c r="G4586" s="2" t="s">
        <v>82</v>
      </c>
      <c r="H4586" s="2">
        <v>1</v>
      </c>
      <c r="I4586" s="2" t="s">
        <v>82</v>
      </c>
      <c r="J4586" s="2">
        <v>1</v>
      </c>
      <c r="K4586" s="2" t="s">
        <v>107</v>
      </c>
      <c r="L4586" s="2" t="s">
        <v>107</v>
      </c>
      <c r="M4586" s="3">
        <v>40490</v>
      </c>
      <c r="N4586" s="2"/>
      <c r="O4586" s="2"/>
      <c r="P4586" s="2"/>
      <c r="Q4586" s="2" t="str">
        <f>""</f>
        <v/>
      </c>
      <c r="R4586" s="2"/>
      <c r="S4586" s="2"/>
      <c r="T4586" s="2">
        <v>2</v>
      </c>
      <c r="U4586" s="2" t="s">
        <v>123</v>
      </c>
      <c r="V4586" s="2">
        <v>1</v>
      </c>
      <c r="W4586" s="2" t="s">
        <v>80</v>
      </c>
      <c r="X4586" s="2">
        <v>11</v>
      </c>
      <c r="Y4586" s="2" t="s">
        <v>1920</v>
      </c>
      <c r="Z4586" s="2">
        <v>1</v>
      </c>
      <c r="AA4586" s="2" t="s">
        <v>82</v>
      </c>
      <c r="AB4586" s="2">
        <v>9</v>
      </c>
      <c r="AC4586" s="2" t="s">
        <v>124</v>
      </c>
      <c r="AD4586" s="3">
        <v>40490</v>
      </c>
      <c r="AE4586" s="4">
        <v>0.54166666666666663</v>
      </c>
      <c r="AF4586" s="2"/>
      <c r="AG4586" s="2"/>
      <c r="AH4586" s="2">
        <v>2</v>
      </c>
      <c r="AI4586" s="2" t="s">
        <v>84</v>
      </c>
      <c r="AJ4586" s="2">
        <v>112</v>
      </c>
      <c r="AK4586" s="2" t="s">
        <v>14078</v>
      </c>
      <c r="AL4586" s="2">
        <v>2</v>
      </c>
      <c r="AM4586" s="2" t="s">
        <v>163</v>
      </c>
      <c r="AN4586" s="2"/>
      <c r="AO4586" s="2" t="s">
        <v>14226</v>
      </c>
      <c r="AP4586" s="2">
        <v>11</v>
      </c>
      <c r="AQ4586" s="2" t="s">
        <v>82</v>
      </c>
      <c r="AR4586" s="2"/>
      <c r="AS4586" s="2"/>
      <c r="AT4586" s="2" t="s">
        <v>14227</v>
      </c>
      <c r="AU4586" s="2"/>
      <c r="AV4586" s="2"/>
      <c r="AW4586" s="2"/>
      <c r="AX4586" s="2"/>
      <c r="AY4586" s="2">
        <v>41</v>
      </c>
      <c r="AZ4586" s="2" t="s">
        <v>82</v>
      </c>
      <c r="BA4586" s="2">
        <v>41</v>
      </c>
      <c r="BB4586" s="2" t="s">
        <v>82</v>
      </c>
      <c r="BC4586" s="2">
        <v>41</v>
      </c>
      <c r="BD4586" s="2" t="s">
        <v>82</v>
      </c>
      <c r="BE4586" s="2">
        <v>41</v>
      </c>
      <c r="BF4586" s="2" t="s">
        <v>82</v>
      </c>
      <c r="BG4586" s="2"/>
      <c r="BH4586" s="2"/>
      <c r="BI4586" s="4">
        <v>0.65277777777777779</v>
      </c>
      <c r="BJ4586" s="2">
        <v>13</v>
      </c>
      <c r="BK4586" s="2" t="s">
        <v>91</v>
      </c>
      <c r="BL4586" s="2" t="s">
        <v>10614</v>
      </c>
      <c r="BM4586" s="2">
        <v>58</v>
      </c>
      <c r="BN4586" s="2" t="s">
        <v>14228</v>
      </c>
      <c r="BO4586" s="2"/>
      <c r="BP4586" s="2">
        <v>58</v>
      </c>
      <c r="BQ4586" s="2" t="s">
        <v>14228</v>
      </c>
      <c r="BR4586" s="2" t="s">
        <v>14229</v>
      </c>
      <c r="BS4586" s="3">
        <v>40490</v>
      </c>
      <c r="BT4586" s="4">
        <v>0.68593749999999998</v>
      </c>
    </row>
    <row r="4587" spans="1:72" x14ac:dyDescent="0.25">
      <c r="A4587" s="2">
        <v>7037</v>
      </c>
      <c r="B4587" s="2">
        <v>2010</v>
      </c>
      <c r="C4587" s="2" t="s">
        <v>171</v>
      </c>
      <c r="D4587" s="2" t="s">
        <v>73</v>
      </c>
      <c r="E4587" s="2"/>
      <c r="F4587" s="2">
        <v>92</v>
      </c>
      <c r="G4587" s="2" t="s">
        <v>1432</v>
      </c>
      <c r="H4587" s="2">
        <v>47</v>
      </c>
      <c r="I4587" s="2" t="s">
        <v>1409</v>
      </c>
      <c r="J4587" s="2">
        <v>500</v>
      </c>
      <c r="K4587" s="2" t="s">
        <v>4495</v>
      </c>
      <c r="L4587" s="2" t="s">
        <v>4496</v>
      </c>
      <c r="M4587" s="3">
        <v>40490</v>
      </c>
      <c r="N4587" s="2"/>
      <c r="O4587" s="2" t="s">
        <v>14230</v>
      </c>
      <c r="P4587" s="2" t="s">
        <v>8063</v>
      </c>
      <c r="Q4587" s="2" t="str">
        <f>""</f>
        <v/>
      </c>
      <c r="R4587" s="2"/>
      <c r="S4587" s="2"/>
      <c r="T4587" s="2">
        <v>1</v>
      </c>
      <c r="U4587" s="2" t="s">
        <v>79</v>
      </c>
      <c r="V4587" s="2">
        <v>1</v>
      </c>
      <c r="W4587" s="2" t="s">
        <v>80</v>
      </c>
      <c r="X4587" s="2">
        <v>9</v>
      </c>
      <c r="Y4587" s="2" t="s">
        <v>3393</v>
      </c>
      <c r="Z4587" s="2">
        <v>1</v>
      </c>
      <c r="AA4587" s="2" t="s">
        <v>82</v>
      </c>
      <c r="AB4587" s="2">
        <v>1</v>
      </c>
      <c r="AC4587" s="2" t="s">
        <v>178</v>
      </c>
      <c r="AD4587" s="3">
        <v>40490</v>
      </c>
      <c r="AE4587" s="4">
        <v>0.39999999999999997</v>
      </c>
      <c r="AF4587" s="3">
        <v>40490</v>
      </c>
      <c r="AG4587" s="2"/>
      <c r="AH4587" s="2">
        <v>6</v>
      </c>
      <c r="AI4587" s="2" t="s">
        <v>197</v>
      </c>
      <c r="AJ4587" s="2">
        <v>47</v>
      </c>
      <c r="AK4587" s="2" t="s">
        <v>250</v>
      </c>
      <c r="AL4587" s="2">
        <v>23</v>
      </c>
      <c r="AM4587" s="2" t="s">
        <v>251</v>
      </c>
      <c r="AN4587" s="2"/>
      <c r="AO4587" s="2" t="s">
        <v>14231</v>
      </c>
      <c r="AP4587" s="2">
        <v>11</v>
      </c>
      <c r="AQ4587" s="2" t="s">
        <v>82</v>
      </c>
      <c r="AR4587" s="2"/>
      <c r="AS4587" s="2"/>
      <c r="AT4587" s="2" t="s">
        <v>14232</v>
      </c>
      <c r="AU4587" s="2"/>
      <c r="AV4587" s="2">
        <v>2</v>
      </c>
      <c r="AW4587" s="2"/>
      <c r="AX4587" s="2"/>
      <c r="AY4587" s="2">
        <v>41</v>
      </c>
      <c r="AZ4587" s="2" t="s">
        <v>82</v>
      </c>
      <c r="BA4587" s="2">
        <v>41</v>
      </c>
      <c r="BB4587" s="2" t="s">
        <v>82</v>
      </c>
      <c r="BC4587" s="2">
        <v>41</v>
      </c>
      <c r="BD4587" s="2" t="s">
        <v>82</v>
      </c>
      <c r="BE4587" s="2">
        <v>41</v>
      </c>
      <c r="BF4587" s="2" t="s">
        <v>82</v>
      </c>
      <c r="BG4587" s="2"/>
      <c r="BH4587" s="2"/>
      <c r="BI4587" s="2"/>
      <c r="BJ4587" s="2">
        <v>241</v>
      </c>
      <c r="BK4587" s="2" t="s">
        <v>82</v>
      </c>
      <c r="BL4587" s="2"/>
      <c r="BM4587" s="2">
        <v>241</v>
      </c>
      <c r="BN4587" s="2" t="s">
        <v>82</v>
      </c>
      <c r="BO4587" s="2"/>
      <c r="BP4587" s="2">
        <v>241</v>
      </c>
      <c r="BQ4587" s="2" t="s">
        <v>82</v>
      </c>
      <c r="BR4587" s="2"/>
      <c r="BS4587" s="3">
        <v>40490</v>
      </c>
      <c r="BT4587" s="4">
        <v>0.71811342592592586</v>
      </c>
    </row>
    <row r="4588" spans="1:72" x14ac:dyDescent="0.25">
      <c r="A4588" s="2">
        <v>7050</v>
      </c>
      <c r="B4588" s="2">
        <v>2010</v>
      </c>
      <c r="C4588" s="2" t="s">
        <v>72</v>
      </c>
      <c r="D4588" s="2" t="s">
        <v>73</v>
      </c>
      <c r="E4588" s="2"/>
      <c r="F4588" s="2">
        <v>3</v>
      </c>
      <c r="G4588" s="2" t="s">
        <v>1041</v>
      </c>
      <c r="H4588" s="2">
        <v>108</v>
      </c>
      <c r="I4588" s="2" t="s">
        <v>1096</v>
      </c>
      <c r="J4588" s="2">
        <v>368</v>
      </c>
      <c r="K4588" s="2" t="s">
        <v>1042</v>
      </c>
      <c r="L4588" s="2" t="s">
        <v>1043</v>
      </c>
      <c r="M4588" s="3">
        <v>40490</v>
      </c>
      <c r="N4588" s="2" t="s">
        <v>107</v>
      </c>
      <c r="O4588" s="2" t="s">
        <v>107</v>
      </c>
      <c r="P4588" s="2" t="s">
        <v>107</v>
      </c>
      <c r="Q4588" s="2" t="str">
        <f>"586-E10"</f>
        <v>586-E10</v>
      </c>
      <c r="R4588" s="2" t="s">
        <v>116</v>
      </c>
      <c r="S4588" s="2"/>
      <c r="T4588" s="2">
        <v>1</v>
      </c>
      <c r="U4588" s="2" t="s">
        <v>79</v>
      </c>
      <c r="V4588" s="2">
        <v>1</v>
      </c>
      <c r="W4588" s="2" t="s">
        <v>80</v>
      </c>
      <c r="X4588" s="2">
        <v>1</v>
      </c>
      <c r="Y4588" s="2" t="s">
        <v>81</v>
      </c>
      <c r="Z4588" s="2">
        <v>10</v>
      </c>
      <c r="AA4588" s="2" t="s">
        <v>236</v>
      </c>
      <c r="AB4588" s="2">
        <v>6</v>
      </c>
      <c r="AC4588" s="2" t="s">
        <v>83</v>
      </c>
      <c r="AD4588" s="3">
        <v>40490</v>
      </c>
      <c r="AE4588" s="4">
        <v>0.69791666666666663</v>
      </c>
      <c r="AF4588" s="3">
        <v>40490</v>
      </c>
      <c r="AG4588" s="4">
        <v>0.69791666666666663</v>
      </c>
      <c r="AH4588" s="2">
        <v>2</v>
      </c>
      <c r="AI4588" s="2" t="s">
        <v>84</v>
      </c>
      <c r="AJ4588" s="2">
        <v>9</v>
      </c>
      <c r="AK4588" s="2" t="s">
        <v>103</v>
      </c>
      <c r="AL4588" s="2">
        <v>12</v>
      </c>
      <c r="AM4588" s="2" t="s">
        <v>86</v>
      </c>
      <c r="AN4588" s="2" t="s">
        <v>14233</v>
      </c>
      <c r="AO4588" s="2" t="s">
        <v>82</v>
      </c>
      <c r="AP4588" s="2">
        <v>11</v>
      </c>
      <c r="AQ4588" s="2" t="s">
        <v>82</v>
      </c>
      <c r="AR4588" s="2"/>
      <c r="AS4588" s="2"/>
      <c r="AT4588" s="2" t="s">
        <v>14234</v>
      </c>
      <c r="AU4588" s="2"/>
      <c r="AV4588" s="2"/>
      <c r="AW4588" s="2"/>
      <c r="AX4588" s="2"/>
      <c r="AY4588" s="2">
        <v>41</v>
      </c>
      <c r="AZ4588" s="2" t="s">
        <v>82</v>
      </c>
      <c r="BA4588" s="2">
        <v>41</v>
      </c>
      <c r="BB4588" s="2" t="s">
        <v>82</v>
      </c>
      <c r="BC4588" s="2">
        <v>41</v>
      </c>
      <c r="BD4588" s="2" t="s">
        <v>82</v>
      </c>
      <c r="BE4588" s="2">
        <v>41</v>
      </c>
      <c r="BF4588" s="2" t="s">
        <v>82</v>
      </c>
      <c r="BG4588" s="2"/>
      <c r="BH4588" s="2"/>
      <c r="BI4588" s="2"/>
      <c r="BJ4588" s="2">
        <v>241</v>
      </c>
      <c r="BK4588" s="2" t="s">
        <v>82</v>
      </c>
      <c r="BL4588" s="2"/>
      <c r="BM4588" s="2">
        <v>241</v>
      </c>
      <c r="BN4588" s="2" t="s">
        <v>82</v>
      </c>
      <c r="BO4588" s="2"/>
      <c r="BP4588" s="2">
        <v>241</v>
      </c>
      <c r="BQ4588" s="2" t="s">
        <v>82</v>
      </c>
      <c r="BR4588" s="2"/>
      <c r="BS4588" s="3">
        <v>40490</v>
      </c>
      <c r="BT4588" s="4">
        <v>0.85484953703703714</v>
      </c>
    </row>
    <row r="4589" spans="1:72" x14ac:dyDescent="0.25">
      <c r="A4589" s="2">
        <v>7053</v>
      </c>
      <c r="B4589" s="2">
        <v>2010</v>
      </c>
      <c r="C4589" s="2" t="s">
        <v>72</v>
      </c>
      <c r="D4589" s="2" t="s">
        <v>73</v>
      </c>
      <c r="E4589" s="2"/>
      <c r="F4589" s="2">
        <v>553</v>
      </c>
      <c r="G4589" s="2" t="s">
        <v>6434</v>
      </c>
      <c r="H4589" s="2">
        <v>5</v>
      </c>
      <c r="I4589" s="2" t="s">
        <v>634</v>
      </c>
      <c r="J4589" s="2">
        <v>412</v>
      </c>
      <c r="K4589" s="2" t="s">
        <v>6435</v>
      </c>
      <c r="L4589" s="2" t="s">
        <v>2188</v>
      </c>
      <c r="M4589" s="3">
        <v>40490</v>
      </c>
      <c r="N4589" s="2" t="s">
        <v>14235</v>
      </c>
      <c r="O4589" s="2"/>
      <c r="P4589" s="2" t="s">
        <v>82</v>
      </c>
      <c r="Q4589" s="2" t="str">
        <f>"0047/2010"</f>
        <v>0047/2010</v>
      </c>
      <c r="R4589" s="2"/>
      <c r="S4589" s="2" t="s">
        <v>999</v>
      </c>
      <c r="T4589" s="2">
        <v>1</v>
      </c>
      <c r="U4589" s="2" t="s">
        <v>79</v>
      </c>
      <c r="V4589" s="2">
        <v>1</v>
      </c>
      <c r="W4589" s="2" t="s">
        <v>80</v>
      </c>
      <c r="X4589" s="2">
        <v>12</v>
      </c>
      <c r="Y4589" s="2" t="s">
        <v>148</v>
      </c>
      <c r="Z4589" s="2">
        <v>1</v>
      </c>
      <c r="AA4589" s="2" t="s">
        <v>82</v>
      </c>
      <c r="AB4589" s="2">
        <v>6</v>
      </c>
      <c r="AC4589" s="2" t="s">
        <v>83</v>
      </c>
      <c r="AD4589" s="3">
        <v>40490</v>
      </c>
      <c r="AE4589" s="4">
        <v>0.72222222222222221</v>
      </c>
      <c r="AF4589" s="3">
        <v>40490</v>
      </c>
      <c r="AG4589" s="4">
        <v>0.79166666666666663</v>
      </c>
      <c r="AH4589" s="2">
        <v>5</v>
      </c>
      <c r="AI4589" s="2" t="s">
        <v>274</v>
      </c>
      <c r="AJ4589" s="2">
        <v>42</v>
      </c>
      <c r="AK4589" s="2" t="s">
        <v>660</v>
      </c>
      <c r="AL4589" s="2">
        <v>12</v>
      </c>
      <c r="AM4589" s="2" t="s">
        <v>86</v>
      </c>
      <c r="AN4589" s="2"/>
      <c r="AO4589" s="2" t="s">
        <v>14236</v>
      </c>
      <c r="AP4589" s="2">
        <v>11</v>
      </c>
      <c r="AQ4589" s="2" t="s">
        <v>82</v>
      </c>
      <c r="AR4589" s="2" t="s">
        <v>82</v>
      </c>
      <c r="AS4589" s="2" t="s">
        <v>82</v>
      </c>
      <c r="AT4589" s="2" t="s">
        <v>14237</v>
      </c>
      <c r="AU4589" s="2"/>
      <c r="AV4589" s="2"/>
      <c r="AW4589" s="2"/>
      <c r="AX4589" s="2"/>
      <c r="AY4589" s="2">
        <v>41</v>
      </c>
      <c r="AZ4589" s="2" t="s">
        <v>82</v>
      </c>
      <c r="BA4589" s="2">
        <v>41</v>
      </c>
      <c r="BB4589" s="2" t="s">
        <v>82</v>
      </c>
      <c r="BC4589" s="2">
        <v>41</v>
      </c>
      <c r="BD4589" s="2" t="s">
        <v>82</v>
      </c>
      <c r="BE4589" s="2">
        <v>41</v>
      </c>
      <c r="BF4589" s="2" t="s">
        <v>82</v>
      </c>
      <c r="BG4589" s="2"/>
      <c r="BH4589" s="2"/>
      <c r="BI4589" s="2"/>
      <c r="BJ4589" s="2">
        <v>241</v>
      </c>
      <c r="BK4589" s="2" t="s">
        <v>82</v>
      </c>
      <c r="BL4589" s="2"/>
      <c r="BM4589" s="2">
        <v>241</v>
      </c>
      <c r="BN4589" s="2" t="s">
        <v>82</v>
      </c>
      <c r="BO4589" s="2"/>
      <c r="BP4589" s="2">
        <v>241</v>
      </c>
      <c r="BQ4589" s="2" t="s">
        <v>82</v>
      </c>
      <c r="BR4589" s="2"/>
      <c r="BS4589" s="3">
        <v>40490</v>
      </c>
      <c r="BT4589" s="4">
        <v>0.88679398148148147</v>
      </c>
    </row>
    <row r="4590" spans="1:72" x14ac:dyDescent="0.25">
      <c r="A4590" s="2">
        <v>7058</v>
      </c>
      <c r="B4590" s="2">
        <v>2010</v>
      </c>
      <c r="C4590" s="2" t="s">
        <v>72</v>
      </c>
      <c r="D4590" s="2" t="s">
        <v>122</v>
      </c>
      <c r="E4590" s="2" t="s">
        <v>14238</v>
      </c>
      <c r="F4590" s="2">
        <v>3</v>
      </c>
      <c r="G4590" s="2" t="s">
        <v>1041</v>
      </c>
      <c r="H4590" s="2">
        <v>1</v>
      </c>
      <c r="I4590" s="2" t="s">
        <v>82</v>
      </c>
      <c r="J4590" s="2">
        <v>368</v>
      </c>
      <c r="K4590" s="2" t="s">
        <v>1042</v>
      </c>
      <c r="L4590" s="2" t="s">
        <v>1043</v>
      </c>
      <c r="M4590" s="3">
        <v>40490</v>
      </c>
      <c r="N4590" s="2" t="s">
        <v>82</v>
      </c>
      <c r="O4590" s="2" t="s">
        <v>82</v>
      </c>
      <c r="P4590" s="2" t="s">
        <v>82</v>
      </c>
      <c r="Q4590" s="2" t="str">
        <f>"583-E/10"</f>
        <v>583-E/10</v>
      </c>
      <c r="R4590" s="2" t="s">
        <v>4823</v>
      </c>
      <c r="S4590" s="2" t="s">
        <v>4823</v>
      </c>
      <c r="T4590" s="2">
        <v>1</v>
      </c>
      <c r="U4590" s="2" t="s">
        <v>79</v>
      </c>
      <c r="V4590" s="2">
        <v>1</v>
      </c>
      <c r="W4590" s="2" t="s">
        <v>80</v>
      </c>
      <c r="X4590" s="2">
        <v>1</v>
      </c>
      <c r="Y4590" s="2" t="s">
        <v>81</v>
      </c>
      <c r="Z4590" s="2">
        <v>1</v>
      </c>
      <c r="AA4590" s="2" t="s">
        <v>82</v>
      </c>
      <c r="AB4590" s="2">
        <v>6</v>
      </c>
      <c r="AC4590" s="2" t="s">
        <v>83</v>
      </c>
      <c r="AD4590" s="3">
        <v>40490</v>
      </c>
      <c r="AE4590" s="4">
        <v>0.3125</v>
      </c>
      <c r="AF4590" s="2"/>
      <c r="AG4590" s="2"/>
      <c r="AH4590" s="2">
        <v>2</v>
      </c>
      <c r="AI4590" s="2" t="s">
        <v>84</v>
      </c>
      <c r="AJ4590" s="2">
        <v>9</v>
      </c>
      <c r="AK4590" s="2" t="s">
        <v>103</v>
      </c>
      <c r="AL4590" s="2">
        <v>12</v>
      </c>
      <c r="AM4590" s="2" t="s">
        <v>86</v>
      </c>
      <c r="AN4590" s="2"/>
      <c r="AO4590" s="2" t="s">
        <v>14217</v>
      </c>
      <c r="AP4590" s="2">
        <v>11</v>
      </c>
      <c r="AQ4590" s="2" t="s">
        <v>82</v>
      </c>
      <c r="AR4590" s="2"/>
      <c r="AS4590" s="2"/>
      <c r="AT4590" s="2" t="s">
        <v>14239</v>
      </c>
      <c r="AU4590" s="2"/>
      <c r="AV4590" s="2"/>
      <c r="AW4590" s="2">
        <v>3</v>
      </c>
      <c r="AX4590" s="2"/>
      <c r="AY4590" s="2">
        <v>41</v>
      </c>
      <c r="AZ4590" s="2" t="s">
        <v>82</v>
      </c>
      <c r="BA4590" s="2">
        <v>41</v>
      </c>
      <c r="BB4590" s="2" t="s">
        <v>82</v>
      </c>
      <c r="BC4590" s="2">
        <v>41</v>
      </c>
      <c r="BD4590" s="2" t="s">
        <v>82</v>
      </c>
      <c r="BE4590" s="2">
        <v>41</v>
      </c>
      <c r="BF4590" s="2" t="s">
        <v>82</v>
      </c>
      <c r="BG4590" s="2"/>
      <c r="BH4590" s="2"/>
      <c r="BI4590" s="2"/>
      <c r="BJ4590" s="2">
        <v>241</v>
      </c>
      <c r="BK4590" s="2" t="s">
        <v>82</v>
      </c>
      <c r="BL4590" s="2"/>
      <c r="BM4590" s="2">
        <v>241</v>
      </c>
      <c r="BN4590" s="2" t="s">
        <v>82</v>
      </c>
      <c r="BO4590" s="2"/>
      <c r="BP4590" s="2">
        <v>241</v>
      </c>
      <c r="BQ4590" s="2" t="s">
        <v>82</v>
      </c>
      <c r="BR4590" s="2"/>
      <c r="BS4590" s="3">
        <v>40490</v>
      </c>
      <c r="BT4590" s="4">
        <v>0.97361111111111109</v>
      </c>
    </row>
    <row r="4591" spans="1:72" x14ac:dyDescent="0.25">
      <c r="A4591" s="2">
        <v>7058</v>
      </c>
      <c r="B4591" s="2">
        <v>2010</v>
      </c>
      <c r="C4591" s="2" t="s">
        <v>385</v>
      </c>
      <c r="D4591" s="2" t="s">
        <v>122</v>
      </c>
      <c r="E4591" s="2" t="s">
        <v>14238</v>
      </c>
      <c r="F4591" s="2">
        <v>3</v>
      </c>
      <c r="G4591" s="2" t="s">
        <v>1041</v>
      </c>
      <c r="H4591" s="2">
        <v>1</v>
      </c>
      <c r="I4591" s="2" t="s">
        <v>82</v>
      </c>
      <c r="J4591" s="2">
        <v>368</v>
      </c>
      <c r="K4591" s="2" t="s">
        <v>1042</v>
      </c>
      <c r="L4591" s="2" t="s">
        <v>1043</v>
      </c>
      <c r="M4591" s="3">
        <v>40490</v>
      </c>
      <c r="N4591" s="2" t="s">
        <v>82</v>
      </c>
      <c r="O4591" s="2" t="s">
        <v>82</v>
      </c>
      <c r="P4591" s="2" t="s">
        <v>82</v>
      </c>
      <c r="Q4591" s="2" t="str">
        <f>"583-E/10"</f>
        <v>583-E/10</v>
      </c>
      <c r="R4591" s="2" t="s">
        <v>4823</v>
      </c>
      <c r="S4591" s="2" t="s">
        <v>4823</v>
      </c>
      <c r="T4591" s="2">
        <v>1</v>
      </c>
      <c r="U4591" s="2" t="s">
        <v>79</v>
      </c>
      <c r="V4591" s="2">
        <v>1</v>
      </c>
      <c r="W4591" s="2" t="s">
        <v>80</v>
      </c>
      <c r="X4591" s="2">
        <v>1</v>
      </c>
      <c r="Y4591" s="2" t="s">
        <v>81</v>
      </c>
      <c r="Z4591" s="2">
        <v>1</v>
      </c>
      <c r="AA4591" s="2" t="s">
        <v>82</v>
      </c>
      <c r="AB4591" s="2">
        <v>9</v>
      </c>
      <c r="AC4591" s="2" t="s">
        <v>124</v>
      </c>
      <c r="AD4591" s="3">
        <v>40490</v>
      </c>
      <c r="AE4591" s="4">
        <v>0.3125</v>
      </c>
      <c r="AF4591" s="2"/>
      <c r="AG4591" s="2"/>
      <c r="AH4591" s="2">
        <v>2</v>
      </c>
      <c r="AI4591" s="2" t="s">
        <v>84</v>
      </c>
      <c r="AJ4591" s="2">
        <v>9</v>
      </c>
      <c r="AK4591" s="2" t="s">
        <v>103</v>
      </c>
      <c r="AL4591" s="2">
        <v>12</v>
      </c>
      <c r="AM4591" s="2" t="s">
        <v>86</v>
      </c>
      <c r="AN4591" s="2"/>
      <c r="AO4591" s="2" t="s">
        <v>14217</v>
      </c>
      <c r="AP4591" s="2">
        <v>11</v>
      </c>
      <c r="AQ4591" s="2" t="s">
        <v>82</v>
      </c>
      <c r="AR4591" s="2"/>
      <c r="AS4591" s="2"/>
      <c r="AT4591" s="2" t="s">
        <v>14239</v>
      </c>
      <c r="AU4591" s="2"/>
      <c r="AV4591" s="2"/>
      <c r="AW4591" s="2">
        <v>3</v>
      </c>
      <c r="AX4591" s="2"/>
      <c r="AY4591" s="2">
        <v>41</v>
      </c>
      <c r="AZ4591" s="2" t="s">
        <v>82</v>
      </c>
      <c r="BA4591" s="2">
        <v>41</v>
      </c>
      <c r="BB4591" s="2" t="s">
        <v>82</v>
      </c>
      <c r="BC4591" s="2">
        <v>41</v>
      </c>
      <c r="BD4591" s="2" t="s">
        <v>82</v>
      </c>
      <c r="BE4591" s="2">
        <v>41</v>
      </c>
      <c r="BF4591" s="2" t="s">
        <v>82</v>
      </c>
      <c r="BG4591" s="2"/>
      <c r="BH4591" s="2"/>
      <c r="BI4591" s="2"/>
      <c r="BJ4591" s="2">
        <v>241</v>
      </c>
      <c r="BK4591" s="2" t="s">
        <v>82</v>
      </c>
      <c r="BL4591" s="2"/>
      <c r="BM4591" s="2">
        <v>241</v>
      </c>
      <c r="BN4591" s="2" t="s">
        <v>82</v>
      </c>
      <c r="BO4591" s="2"/>
      <c r="BP4591" s="2">
        <v>241</v>
      </c>
      <c r="BQ4591" s="2" t="s">
        <v>82</v>
      </c>
      <c r="BR4591" s="2"/>
      <c r="BS4591" s="3">
        <v>40490</v>
      </c>
      <c r="BT4591" s="4">
        <v>0.97361111111111109</v>
      </c>
    </row>
    <row r="4592" spans="1:72" x14ac:dyDescent="0.25">
      <c r="A4592" s="2">
        <v>7059</v>
      </c>
      <c r="B4592" s="2">
        <v>2010</v>
      </c>
      <c r="C4592" s="2" t="s">
        <v>72</v>
      </c>
      <c r="D4592" s="2" t="s">
        <v>122</v>
      </c>
      <c r="E4592" s="2" t="s">
        <v>14240</v>
      </c>
      <c r="F4592" s="2">
        <v>3</v>
      </c>
      <c r="G4592" s="2" t="s">
        <v>1041</v>
      </c>
      <c r="H4592" s="2">
        <v>22</v>
      </c>
      <c r="I4592" s="2" t="s">
        <v>75</v>
      </c>
      <c r="J4592" s="2">
        <v>368</v>
      </c>
      <c r="K4592" s="2" t="s">
        <v>1042</v>
      </c>
      <c r="L4592" s="2" t="s">
        <v>1043</v>
      </c>
      <c r="M4592" s="3">
        <v>40490</v>
      </c>
      <c r="N4592" s="2"/>
      <c r="O4592" s="2"/>
      <c r="P4592" s="2"/>
      <c r="Q4592" s="2" t="str">
        <f>"585-E/10"</f>
        <v>585-E/10</v>
      </c>
      <c r="R4592" s="2"/>
      <c r="S4592" s="2" t="s">
        <v>671</v>
      </c>
      <c r="T4592" s="2">
        <v>1</v>
      </c>
      <c r="U4592" s="2" t="s">
        <v>79</v>
      </c>
      <c r="V4592" s="2">
        <v>1</v>
      </c>
      <c r="W4592" s="2" t="s">
        <v>80</v>
      </c>
      <c r="X4592" s="2">
        <v>12</v>
      </c>
      <c r="Y4592" s="2" t="s">
        <v>148</v>
      </c>
      <c r="Z4592" s="2">
        <v>1</v>
      </c>
      <c r="AA4592" s="2" t="s">
        <v>82</v>
      </c>
      <c r="AB4592" s="2">
        <v>6</v>
      </c>
      <c r="AC4592" s="2" t="s">
        <v>83</v>
      </c>
      <c r="AD4592" s="3">
        <v>40490</v>
      </c>
      <c r="AE4592" s="4">
        <v>0.3125</v>
      </c>
      <c r="AF4592" s="2"/>
      <c r="AG4592" s="2"/>
      <c r="AH4592" s="2">
        <v>2</v>
      </c>
      <c r="AI4592" s="2" t="s">
        <v>84</v>
      </c>
      <c r="AJ4592" s="2">
        <v>9</v>
      </c>
      <c r="AK4592" s="2" t="s">
        <v>103</v>
      </c>
      <c r="AL4592" s="2">
        <v>24</v>
      </c>
      <c r="AM4592" s="2" t="s">
        <v>1540</v>
      </c>
      <c r="AN4592" s="2"/>
      <c r="AO4592" s="2" t="s">
        <v>14220</v>
      </c>
      <c r="AP4592" s="2">
        <v>11</v>
      </c>
      <c r="AQ4592" s="2" t="s">
        <v>82</v>
      </c>
      <c r="AR4592" s="2"/>
      <c r="AS4592" s="2"/>
      <c r="AT4592" s="2" t="s">
        <v>14241</v>
      </c>
      <c r="AU4592" s="2"/>
      <c r="AV4592" s="2"/>
      <c r="AW4592" s="2">
        <v>1</v>
      </c>
      <c r="AX4592" s="2"/>
      <c r="AY4592" s="2">
        <v>41</v>
      </c>
      <c r="AZ4592" s="2" t="s">
        <v>82</v>
      </c>
      <c r="BA4592" s="2">
        <v>41</v>
      </c>
      <c r="BB4592" s="2" t="s">
        <v>82</v>
      </c>
      <c r="BC4592" s="2">
        <v>41</v>
      </c>
      <c r="BD4592" s="2" t="s">
        <v>82</v>
      </c>
      <c r="BE4592" s="2">
        <v>41</v>
      </c>
      <c r="BF4592" s="2" t="s">
        <v>82</v>
      </c>
      <c r="BG4592" s="2"/>
      <c r="BH4592" s="2"/>
      <c r="BI4592" s="2"/>
      <c r="BJ4592" s="2">
        <v>241</v>
      </c>
      <c r="BK4592" s="2" t="s">
        <v>82</v>
      </c>
      <c r="BL4592" s="2"/>
      <c r="BM4592" s="2">
        <v>241</v>
      </c>
      <c r="BN4592" s="2" t="s">
        <v>82</v>
      </c>
      <c r="BO4592" s="2"/>
      <c r="BP4592" s="2">
        <v>241</v>
      </c>
      <c r="BQ4592" s="2" t="s">
        <v>82</v>
      </c>
      <c r="BR4592" s="2"/>
      <c r="BS4592" s="3">
        <v>40490</v>
      </c>
      <c r="BT4592" s="4">
        <v>0.98030092592592588</v>
      </c>
    </row>
    <row r="4593" spans="1:72" x14ac:dyDescent="0.25">
      <c r="A4593" s="2">
        <v>7059</v>
      </c>
      <c r="B4593" s="2">
        <v>2010</v>
      </c>
      <c r="C4593" s="2" t="s">
        <v>385</v>
      </c>
      <c r="D4593" s="2" t="s">
        <v>122</v>
      </c>
      <c r="E4593" s="2" t="s">
        <v>14240</v>
      </c>
      <c r="F4593" s="2">
        <v>3</v>
      </c>
      <c r="G4593" s="2" t="s">
        <v>1041</v>
      </c>
      <c r="H4593" s="2">
        <v>22</v>
      </c>
      <c r="I4593" s="2" t="s">
        <v>75</v>
      </c>
      <c r="J4593" s="2">
        <v>368</v>
      </c>
      <c r="K4593" s="2" t="s">
        <v>1042</v>
      </c>
      <c r="L4593" s="2" t="s">
        <v>1043</v>
      </c>
      <c r="M4593" s="3">
        <v>40490</v>
      </c>
      <c r="N4593" s="2"/>
      <c r="O4593" s="2"/>
      <c r="P4593" s="2"/>
      <c r="Q4593" s="2" t="str">
        <f>"585-E/10"</f>
        <v>585-E/10</v>
      </c>
      <c r="R4593" s="2"/>
      <c r="S4593" s="2" t="s">
        <v>671</v>
      </c>
      <c r="T4593" s="2">
        <v>1</v>
      </c>
      <c r="U4593" s="2" t="s">
        <v>79</v>
      </c>
      <c r="V4593" s="2">
        <v>1</v>
      </c>
      <c r="W4593" s="2" t="s">
        <v>80</v>
      </c>
      <c r="X4593" s="2">
        <v>12</v>
      </c>
      <c r="Y4593" s="2" t="s">
        <v>148</v>
      </c>
      <c r="Z4593" s="2">
        <v>1</v>
      </c>
      <c r="AA4593" s="2" t="s">
        <v>82</v>
      </c>
      <c r="AB4593" s="2">
        <v>9</v>
      </c>
      <c r="AC4593" s="2" t="s">
        <v>124</v>
      </c>
      <c r="AD4593" s="3">
        <v>40490</v>
      </c>
      <c r="AE4593" s="4">
        <v>0.3125</v>
      </c>
      <c r="AF4593" s="2"/>
      <c r="AG4593" s="2"/>
      <c r="AH4593" s="2">
        <v>2</v>
      </c>
      <c r="AI4593" s="2" t="s">
        <v>84</v>
      </c>
      <c r="AJ4593" s="2">
        <v>9</v>
      </c>
      <c r="AK4593" s="2" t="s">
        <v>103</v>
      </c>
      <c r="AL4593" s="2">
        <v>24</v>
      </c>
      <c r="AM4593" s="2" t="s">
        <v>1540</v>
      </c>
      <c r="AN4593" s="2"/>
      <c r="AO4593" s="2" t="s">
        <v>14220</v>
      </c>
      <c r="AP4593" s="2">
        <v>11</v>
      </c>
      <c r="AQ4593" s="2" t="s">
        <v>82</v>
      </c>
      <c r="AR4593" s="2"/>
      <c r="AS4593" s="2"/>
      <c r="AT4593" s="2" t="s">
        <v>14241</v>
      </c>
      <c r="AU4593" s="2"/>
      <c r="AV4593" s="2"/>
      <c r="AW4593" s="2">
        <v>1</v>
      </c>
      <c r="AX4593" s="2"/>
      <c r="AY4593" s="2">
        <v>41</v>
      </c>
      <c r="AZ4593" s="2" t="s">
        <v>82</v>
      </c>
      <c r="BA4593" s="2">
        <v>41</v>
      </c>
      <c r="BB4593" s="2" t="s">
        <v>82</v>
      </c>
      <c r="BC4593" s="2">
        <v>41</v>
      </c>
      <c r="BD4593" s="2" t="s">
        <v>82</v>
      </c>
      <c r="BE4593" s="2">
        <v>41</v>
      </c>
      <c r="BF4593" s="2" t="s">
        <v>82</v>
      </c>
      <c r="BG4593" s="2"/>
      <c r="BH4593" s="2"/>
      <c r="BI4593" s="2"/>
      <c r="BJ4593" s="2">
        <v>241</v>
      </c>
      <c r="BK4593" s="2" t="s">
        <v>82</v>
      </c>
      <c r="BL4593" s="2"/>
      <c r="BM4593" s="2">
        <v>241</v>
      </c>
      <c r="BN4593" s="2" t="s">
        <v>82</v>
      </c>
      <c r="BO4593" s="2"/>
      <c r="BP4593" s="2">
        <v>241</v>
      </c>
      <c r="BQ4593" s="2" t="s">
        <v>82</v>
      </c>
      <c r="BR4593" s="2"/>
      <c r="BS4593" s="3">
        <v>40490</v>
      </c>
      <c r="BT4593" s="4">
        <v>0.98030092592592588</v>
      </c>
    </row>
    <row r="4594" spans="1:72" x14ac:dyDescent="0.25">
      <c r="A4594" s="2">
        <v>7060</v>
      </c>
      <c r="B4594" s="2">
        <v>2010</v>
      </c>
      <c r="C4594" s="2" t="s">
        <v>72</v>
      </c>
      <c r="D4594" s="2" t="s">
        <v>122</v>
      </c>
      <c r="E4594" s="2" t="s">
        <v>14242</v>
      </c>
      <c r="F4594" s="2">
        <v>3</v>
      </c>
      <c r="G4594" s="2" t="s">
        <v>1041</v>
      </c>
      <c r="H4594" s="2">
        <v>108</v>
      </c>
      <c r="I4594" s="2" t="s">
        <v>1096</v>
      </c>
      <c r="J4594" s="2">
        <v>368</v>
      </c>
      <c r="K4594" s="2" t="s">
        <v>1042</v>
      </c>
      <c r="L4594" s="2" t="s">
        <v>1043</v>
      </c>
      <c r="M4594" s="3">
        <v>40490</v>
      </c>
      <c r="N4594" s="2" t="s">
        <v>82</v>
      </c>
      <c r="O4594" s="2" t="s">
        <v>107</v>
      </c>
      <c r="P4594" s="2" t="s">
        <v>107</v>
      </c>
      <c r="Q4594" s="2" t="str">
        <f>"582-E/10"</f>
        <v>582-E/10</v>
      </c>
      <c r="R4594" s="2" t="s">
        <v>14179</v>
      </c>
      <c r="S4594" s="2" t="s">
        <v>14179</v>
      </c>
      <c r="T4594" s="2">
        <v>1</v>
      </c>
      <c r="U4594" s="2" t="s">
        <v>79</v>
      </c>
      <c r="V4594" s="2">
        <v>1</v>
      </c>
      <c r="W4594" s="2" t="s">
        <v>80</v>
      </c>
      <c r="X4594" s="2">
        <v>1</v>
      </c>
      <c r="Y4594" s="2" t="s">
        <v>81</v>
      </c>
      <c r="Z4594" s="2">
        <v>1</v>
      </c>
      <c r="AA4594" s="2" t="s">
        <v>82</v>
      </c>
      <c r="AB4594" s="2">
        <v>6</v>
      </c>
      <c r="AC4594" s="2" t="s">
        <v>83</v>
      </c>
      <c r="AD4594" s="3">
        <v>40487</v>
      </c>
      <c r="AE4594" s="4">
        <v>0.94444444444444453</v>
      </c>
      <c r="AF4594" s="2"/>
      <c r="AG4594" s="2"/>
      <c r="AH4594" s="2">
        <v>2</v>
      </c>
      <c r="AI4594" s="2" t="s">
        <v>84</v>
      </c>
      <c r="AJ4594" s="2">
        <v>9</v>
      </c>
      <c r="AK4594" s="2" t="s">
        <v>103</v>
      </c>
      <c r="AL4594" s="2">
        <v>13</v>
      </c>
      <c r="AM4594" s="2" t="s">
        <v>117</v>
      </c>
      <c r="AN4594" s="2" t="s">
        <v>14180</v>
      </c>
      <c r="AO4594" s="2" t="s">
        <v>82</v>
      </c>
      <c r="AP4594" s="2">
        <v>11</v>
      </c>
      <c r="AQ4594" s="2" t="s">
        <v>82</v>
      </c>
      <c r="AR4594" s="2"/>
      <c r="AS4594" s="2"/>
      <c r="AT4594" s="2" t="s">
        <v>14243</v>
      </c>
      <c r="AU4594" s="2"/>
      <c r="AV4594" s="2"/>
      <c r="AW4594" s="2">
        <v>1</v>
      </c>
      <c r="AX4594" s="2"/>
      <c r="AY4594" s="2">
        <v>41</v>
      </c>
      <c r="AZ4594" s="2" t="s">
        <v>82</v>
      </c>
      <c r="BA4594" s="2">
        <v>41</v>
      </c>
      <c r="BB4594" s="2" t="s">
        <v>82</v>
      </c>
      <c r="BC4594" s="2">
        <v>41</v>
      </c>
      <c r="BD4594" s="2" t="s">
        <v>82</v>
      </c>
      <c r="BE4594" s="2">
        <v>13</v>
      </c>
      <c r="BF4594" s="2" t="s">
        <v>108</v>
      </c>
      <c r="BG4594" s="2" t="s">
        <v>6477</v>
      </c>
      <c r="BH4594" s="2"/>
      <c r="BI4594" s="4">
        <v>0.97569444444444453</v>
      </c>
      <c r="BJ4594" s="2">
        <v>13</v>
      </c>
      <c r="BK4594" s="2" t="s">
        <v>91</v>
      </c>
      <c r="BL4594" s="2" t="s">
        <v>185</v>
      </c>
      <c r="BM4594" s="2">
        <v>75</v>
      </c>
      <c r="BN4594" s="2" t="s">
        <v>1264</v>
      </c>
      <c r="BO4594" s="2"/>
      <c r="BP4594" s="2">
        <v>75</v>
      </c>
      <c r="BQ4594" s="2" t="s">
        <v>1264</v>
      </c>
      <c r="BR4594" s="2" t="s">
        <v>1361</v>
      </c>
      <c r="BS4594" s="3">
        <v>40490</v>
      </c>
      <c r="BT4594" s="4">
        <v>0.98503472222222221</v>
      </c>
    </row>
    <row r="4595" spans="1:72" x14ac:dyDescent="0.25">
      <c r="A4595" s="2">
        <v>7060</v>
      </c>
      <c r="B4595" s="2">
        <v>2010</v>
      </c>
      <c r="C4595" s="2" t="s">
        <v>385</v>
      </c>
      <c r="D4595" s="2" t="s">
        <v>122</v>
      </c>
      <c r="E4595" s="2" t="s">
        <v>14242</v>
      </c>
      <c r="F4595" s="2">
        <v>3</v>
      </c>
      <c r="G4595" s="2" t="s">
        <v>1041</v>
      </c>
      <c r="H4595" s="2">
        <v>108</v>
      </c>
      <c r="I4595" s="2" t="s">
        <v>1096</v>
      </c>
      <c r="J4595" s="2">
        <v>368</v>
      </c>
      <c r="K4595" s="2" t="s">
        <v>1042</v>
      </c>
      <c r="L4595" s="2" t="s">
        <v>1043</v>
      </c>
      <c r="M4595" s="3">
        <v>40490</v>
      </c>
      <c r="N4595" s="2" t="s">
        <v>82</v>
      </c>
      <c r="O4595" s="2" t="s">
        <v>107</v>
      </c>
      <c r="P4595" s="2" t="s">
        <v>107</v>
      </c>
      <c r="Q4595" s="2" t="str">
        <f>"582-E/10"</f>
        <v>582-E/10</v>
      </c>
      <c r="R4595" s="2" t="s">
        <v>14179</v>
      </c>
      <c r="S4595" s="2" t="s">
        <v>14179</v>
      </c>
      <c r="T4595" s="2">
        <v>1</v>
      </c>
      <c r="U4595" s="2" t="s">
        <v>79</v>
      </c>
      <c r="V4595" s="2">
        <v>1</v>
      </c>
      <c r="W4595" s="2" t="s">
        <v>80</v>
      </c>
      <c r="X4595" s="2">
        <v>1</v>
      </c>
      <c r="Y4595" s="2" t="s">
        <v>81</v>
      </c>
      <c r="Z4595" s="2">
        <v>1</v>
      </c>
      <c r="AA4595" s="2" t="s">
        <v>82</v>
      </c>
      <c r="AB4595" s="2">
        <v>9</v>
      </c>
      <c r="AC4595" s="2" t="s">
        <v>124</v>
      </c>
      <c r="AD4595" s="3">
        <v>40487</v>
      </c>
      <c r="AE4595" s="4">
        <v>0.94444444444444453</v>
      </c>
      <c r="AF4595" s="2"/>
      <c r="AG4595" s="2"/>
      <c r="AH4595" s="2">
        <v>2</v>
      </c>
      <c r="AI4595" s="2" t="s">
        <v>84</v>
      </c>
      <c r="AJ4595" s="2">
        <v>9</v>
      </c>
      <c r="AK4595" s="2" t="s">
        <v>103</v>
      </c>
      <c r="AL4595" s="2">
        <v>13</v>
      </c>
      <c r="AM4595" s="2" t="s">
        <v>117</v>
      </c>
      <c r="AN4595" s="2" t="s">
        <v>14180</v>
      </c>
      <c r="AO4595" s="2" t="s">
        <v>82</v>
      </c>
      <c r="AP4595" s="2">
        <v>11</v>
      </c>
      <c r="AQ4595" s="2" t="s">
        <v>82</v>
      </c>
      <c r="AR4595" s="2"/>
      <c r="AS4595" s="2"/>
      <c r="AT4595" s="2" t="s">
        <v>14243</v>
      </c>
      <c r="AU4595" s="2"/>
      <c r="AV4595" s="2"/>
      <c r="AW4595" s="2">
        <v>1</v>
      </c>
      <c r="AX4595" s="2"/>
      <c r="AY4595" s="2">
        <v>41</v>
      </c>
      <c r="AZ4595" s="2" t="s">
        <v>82</v>
      </c>
      <c r="BA4595" s="2">
        <v>41</v>
      </c>
      <c r="BB4595" s="2" t="s">
        <v>82</v>
      </c>
      <c r="BC4595" s="2">
        <v>41</v>
      </c>
      <c r="BD4595" s="2" t="s">
        <v>82</v>
      </c>
      <c r="BE4595" s="2">
        <v>13</v>
      </c>
      <c r="BF4595" s="2" t="s">
        <v>108</v>
      </c>
      <c r="BG4595" s="2" t="s">
        <v>6477</v>
      </c>
      <c r="BH4595" s="2"/>
      <c r="BI4595" s="4">
        <v>0.97569444444444453</v>
      </c>
      <c r="BJ4595" s="2">
        <v>13</v>
      </c>
      <c r="BK4595" s="2" t="s">
        <v>91</v>
      </c>
      <c r="BL4595" s="2" t="s">
        <v>185</v>
      </c>
      <c r="BM4595" s="2">
        <v>75</v>
      </c>
      <c r="BN4595" s="2" t="s">
        <v>1264</v>
      </c>
      <c r="BO4595" s="2"/>
      <c r="BP4595" s="2">
        <v>75</v>
      </c>
      <c r="BQ4595" s="2" t="s">
        <v>1264</v>
      </c>
      <c r="BR4595" s="2" t="s">
        <v>1361</v>
      </c>
      <c r="BS4595" s="3">
        <v>40490</v>
      </c>
      <c r="BT4595" s="4">
        <v>0.98503472222222221</v>
      </c>
    </row>
    <row r="4596" spans="1:72" x14ac:dyDescent="0.25">
      <c r="A4596" s="2">
        <v>7061</v>
      </c>
      <c r="B4596" s="2">
        <v>2010</v>
      </c>
      <c r="C4596" s="2" t="s">
        <v>377</v>
      </c>
      <c r="D4596" s="2" t="s">
        <v>73</v>
      </c>
      <c r="E4596" s="2"/>
      <c r="F4596" s="2">
        <v>426</v>
      </c>
      <c r="G4596" s="2" t="s">
        <v>378</v>
      </c>
      <c r="H4596" s="2">
        <v>108</v>
      </c>
      <c r="I4596" s="2" t="s">
        <v>1096</v>
      </c>
      <c r="J4596" s="2">
        <v>311</v>
      </c>
      <c r="K4596" s="2" t="s">
        <v>379</v>
      </c>
      <c r="L4596" s="2" t="s">
        <v>380</v>
      </c>
      <c r="M4596" s="3">
        <v>40491</v>
      </c>
      <c r="N4596" s="2" t="s">
        <v>7171</v>
      </c>
      <c r="O4596" s="2"/>
      <c r="P4596" s="2"/>
      <c r="Q4596" s="2" t="str">
        <f>"281-C/10"</f>
        <v>281-C/10</v>
      </c>
      <c r="R4596" s="2" t="s">
        <v>11560</v>
      </c>
      <c r="S4596" s="2"/>
      <c r="T4596" s="2">
        <v>1</v>
      </c>
      <c r="U4596" s="2" t="s">
        <v>79</v>
      </c>
      <c r="V4596" s="2">
        <v>1</v>
      </c>
      <c r="W4596" s="2" t="s">
        <v>80</v>
      </c>
      <c r="X4596" s="2">
        <v>1</v>
      </c>
      <c r="Y4596" s="2" t="s">
        <v>81</v>
      </c>
      <c r="Z4596" s="2">
        <v>1</v>
      </c>
      <c r="AA4596" s="2" t="s">
        <v>82</v>
      </c>
      <c r="AB4596" s="2">
        <v>9</v>
      </c>
      <c r="AC4596" s="2" t="s">
        <v>124</v>
      </c>
      <c r="AD4596" s="3">
        <v>40491</v>
      </c>
      <c r="AE4596" s="4">
        <v>8.3333333333333329E-2</v>
      </c>
      <c r="AF4596" s="3">
        <v>40491</v>
      </c>
      <c r="AG4596" s="4">
        <v>9.9999999999999992E-2</v>
      </c>
      <c r="AH4596" s="2">
        <v>2</v>
      </c>
      <c r="AI4596" s="2" t="s">
        <v>84</v>
      </c>
      <c r="AJ4596" s="2">
        <v>9</v>
      </c>
      <c r="AK4596" s="2" t="s">
        <v>103</v>
      </c>
      <c r="AL4596" s="2">
        <v>29</v>
      </c>
      <c r="AM4596" s="2" t="s">
        <v>5416</v>
      </c>
      <c r="AN4596" s="2" t="s">
        <v>590</v>
      </c>
      <c r="AO4596" s="2" t="s">
        <v>2127</v>
      </c>
      <c r="AP4596" s="2">
        <v>11</v>
      </c>
      <c r="AQ4596" s="2" t="s">
        <v>82</v>
      </c>
      <c r="AR4596" s="2"/>
      <c r="AS4596" s="2"/>
      <c r="AT4596" s="2" t="s">
        <v>14244</v>
      </c>
      <c r="AU4596" s="2"/>
      <c r="AV4596" s="2"/>
      <c r="AW4596" s="2"/>
      <c r="AX4596" s="2"/>
      <c r="AY4596" s="2">
        <v>41</v>
      </c>
      <c r="AZ4596" s="2" t="s">
        <v>82</v>
      </c>
      <c r="BA4596" s="2">
        <v>41</v>
      </c>
      <c r="BB4596" s="2" t="s">
        <v>82</v>
      </c>
      <c r="BC4596" s="2">
        <v>41</v>
      </c>
      <c r="BD4596" s="2" t="s">
        <v>82</v>
      </c>
      <c r="BE4596" s="2">
        <v>41</v>
      </c>
      <c r="BF4596" s="2" t="s">
        <v>82</v>
      </c>
      <c r="BG4596" s="2"/>
      <c r="BH4596" s="2"/>
      <c r="BI4596" s="2"/>
      <c r="BJ4596" s="2">
        <v>241</v>
      </c>
      <c r="BK4596" s="2" t="s">
        <v>82</v>
      </c>
      <c r="BL4596" s="2"/>
      <c r="BM4596" s="2">
        <v>241</v>
      </c>
      <c r="BN4596" s="2" t="s">
        <v>82</v>
      </c>
      <c r="BO4596" s="2"/>
      <c r="BP4596" s="2">
        <v>241</v>
      </c>
      <c r="BQ4596" s="2" t="s">
        <v>82</v>
      </c>
      <c r="BR4596" s="2"/>
      <c r="BS4596" s="3">
        <v>40491</v>
      </c>
      <c r="BT4596" s="4">
        <v>0.28137731481481482</v>
      </c>
    </row>
    <row r="4597" spans="1:72" x14ac:dyDescent="0.25">
      <c r="A4597" s="2">
        <v>7064</v>
      </c>
      <c r="B4597" s="2">
        <v>2010</v>
      </c>
      <c r="C4597" s="2" t="s">
        <v>171</v>
      </c>
      <c r="D4597" s="2" t="s">
        <v>73</v>
      </c>
      <c r="E4597" s="2"/>
      <c r="F4597" s="2">
        <v>677</v>
      </c>
      <c r="G4597" s="2" t="s">
        <v>12532</v>
      </c>
      <c r="H4597" s="2">
        <v>108</v>
      </c>
      <c r="I4597" s="2" t="s">
        <v>1096</v>
      </c>
      <c r="J4597" s="2">
        <v>578</v>
      </c>
      <c r="K4597" s="2" t="s">
        <v>8195</v>
      </c>
      <c r="L4597" s="2" t="s">
        <v>8196</v>
      </c>
      <c r="M4597" s="3">
        <v>40491</v>
      </c>
      <c r="N4597" s="2" t="s">
        <v>14245</v>
      </c>
      <c r="O4597" s="2" t="s">
        <v>14246</v>
      </c>
      <c r="P4597" s="2">
        <v>934</v>
      </c>
      <c r="Q4597" s="2" t="str">
        <f>""</f>
        <v/>
      </c>
      <c r="R4597" s="2"/>
      <c r="S4597" s="2"/>
      <c r="T4597" s="2">
        <v>1</v>
      </c>
      <c r="U4597" s="2" t="s">
        <v>79</v>
      </c>
      <c r="V4597" s="2">
        <v>3</v>
      </c>
      <c r="W4597" s="2" t="s">
        <v>225</v>
      </c>
      <c r="X4597" s="2">
        <v>6</v>
      </c>
      <c r="Y4597" s="2" t="s">
        <v>249</v>
      </c>
      <c r="Z4597" s="2">
        <v>1</v>
      </c>
      <c r="AA4597" s="2" t="s">
        <v>82</v>
      </c>
      <c r="AB4597" s="2">
        <v>9</v>
      </c>
      <c r="AC4597" s="2" t="s">
        <v>124</v>
      </c>
      <c r="AD4597" s="3">
        <v>40491</v>
      </c>
      <c r="AE4597" s="2"/>
      <c r="AF4597" s="2"/>
      <c r="AG4597" s="2"/>
      <c r="AH4597" s="2">
        <v>2</v>
      </c>
      <c r="AI4597" s="2" t="s">
        <v>84</v>
      </c>
      <c r="AJ4597" s="2">
        <v>6</v>
      </c>
      <c r="AK4597" s="2" t="s">
        <v>453</v>
      </c>
      <c r="AL4597" s="2">
        <v>23</v>
      </c>
      <c r="AM4597" s="2" t="s">
        <v>251</v>
      </c>
      <c r="AN4597" s="2"/>
      <c r="AO4597" s="2" t="s">
        <v>14247</v>
      </c>
      <c r="AP4597" s="2">
        <v>11</v>
      </c>
      <c r="AQ4597" s="2" t="s">
        <v>82</v>
      </c>
      <c r="AR4597" s="2"/>
      <c r="AS4597" s="2"/>
      <c r="AT4597" s="2" t="s">
        <v>14248</v>
      </c>
      <c r="AU4597" s="2"/>
      <c r="AV4597" s="2"/>
      <c r="AW4597" s="2"/>
      <c r="AX4597" s="2"/>
      <c r="AY4597" s="2">
        <v>41</v>
      </c>
      <c r="AZ4597" s="2" t="s">
        <v>82</v>
      </c>
      <c r="BA4597" s="2">
        <v>41</v>
      </c>
      <c r="BB4597" s="2" t="s">
        <v>82</v>
      </c>
      <c r="BC4597" s="2">
        <v>41</v>
      </c>
      <c r="BD4597" s="2" t="s">
        <v>82</v>
      </c>
      <c r="BE4597" s="2">
        <v>41</v>
      </c>
      <c r="BF4597" s="2" t="s">
        <v>82</v>
      </c>
      <c r="BG4597" s="2"/>
      <c r="BH4597" s="2"/>
      <c r="BI4597" s="2"/>
      <c r="BJ4597" s="2">
        <v>241</v>
      </c>
      <c r="BK4597" s="2" t="s">
        <v>82</v>
      </c>
      <c r="BL4597" s="2"/>
      <c r="BM4597" s="2">
        <v>241</v>
      </c>
      <c r="BN4597" s="2" t="s">
        <v>82</v>
      </c>
      <c r="BO4597" s="2"/>
      <c r="BP4597" s="2">
        <v>241</v>
      </c>
      <c r="BQ4597" s="2" t="s">
        <v>82</v>
      </c>
      <c r="BR4597" s="2"/>
      <c r="BS4597" s="3">
        <v>40491</v>
      </c>
      <c r="BT4597" s="4">
        <v>0.49210648148148151</v>
      </c>
    </row>
    <row r="4598" spans="1:72" x14ac:dyDescent="0.25">
      <c r="A4598" s="2">
        <v>7067</v>
      </c>
      <c r="B4598" s="2">
        <v>2010</v>
      </c>
      <c r="C4598" s="2" t="s">
        <v>171</v>
      </c>
      <c r="D4598" s="2" t="s">
        <v>73</v>
      </c>
      <c r="E4598" s="2"/>
      <c r="F4598" s="2">
        <v>393</v>
      </c>
      <c r="G4598" s="2" t="s">
        <v>3660</v>
      </c>
      <c r="H4598" s="2">
        <v>2</v>
      </c>
      <c r="I4598" s="2" t="s">
        <v>267</v>
      </c>
      <c r="J4598" s="2">
        <v>2</v>
      </c>
      <c r="K4598" s="2" t="s">
        <v>3661</v>
      </c>
      <c r="L4598" s="2" t="s">
        <v>3662</v>
      </c>
      <c r="M4598" s="3">
        <v>40491</v>
      </c>
      <c r="N4598" s="2" t="s">
        <v>11684</v>
      </c>
      <c r="O4598" s="2" t="s">
        <v>4352</v>
      </c>
      <c r="P4598" s="2">
        <v>5837</v>
      </c>
      <c r="Q4598" s="2" t="str">
        <f>""</f>
        <v/>
      </c>
      <c r="R4598" s="2"/>
      <c r="S4598" s="2"/>
      <c r="T4598" s="2">
        <v>1</v>
      </c>
      <c r="U4598" s="2" t="s">
        <v>79</v>
      </c>
      <c r="V4598" s="2">
        <v>3</v>
      </c>
      <c r="W4598" s="2" t="s">
        <v>225</v>
      </c>
      <c r="X4598" s="2">
        <v>6</v>
      </c>
      <c r="Y4598" s="2" t="s">
        <v>249</v>
      </c>
      <c r="Z4598" s="2">
        <v>1</v>
      </c>
      <c r="AA4598" s="2" t="s">
        <v>82</v>
      </c>
      <c r="AB4598" s="2">
        <v>9</v>
      </c>
      <c r="AC4598" s="2" t="s">
        <v>124</v>
      </c>
      <c r="AD4598" s="3">
        <v>40487</v>
      </c>
      <c r="AE4598" s="2"/>
      <c r="AF4598" s="2"/>
      <c r="AG4598" s="2"/>
      <c r="AH4598" s="2">
        <v>2</v>
      </c>
      <c r="AI4598" s="2" t="s">
        <v>84</v>
      </c>
      <c r="AJ4598" s="2">
        <v>6</v>
      </c>
      <c r="AK4598" s="2" t="s">
        <v>453</v>
      </c>
      <c r="AL4598" s="2">
        <v>23</v>
      </c>
      <c r="AM4598" s="2" t="s">
        <v>251</v>
      </c>
      <c r="AN4598" s="2"/>
      <c r="AO4598" s="2" t="s">
        <v>14249</v>
      </c>
      <c r="AP4598" s="2">
        <v>11</v>
      </c>
      <c r="AQ4598" s="2" t="s">
        <v>82</v>
      </c>
      <c r="AR4598" s="2"/>
      <c r="AS4598" s="2"/>
      <c r="AT4598" s="2" t="s">
        <v>14250</v>
      </c>
      <c r="AU4598" s="2"/>
      <c r="AV4598" s="2"/>
      <c r="AW4598" s="2"/>
      <c r="AX4598" s="2"/>
      <c r="AY4598" s="2">
        <v>41</v>
      </c>
      <c r="AZ4598" s="2" t="s">
        <v>82</v>
      </c>
      <c r="BA4598" s="2">
        <v>41</v>
      </c>
      <c r="BB4598" s="2" t="s">
        <v>82</v>
      </c>
      <c r="BC4598" s="2">
        <v>41</v>
      </c>
      <c r="BD4598" s="2" t="s">
        <v>82</v>
      </c>
      <c r="BE4598" s="2">
        <v>41</v>
      </c>
      <c r="BF4598" s="2" t="s">
        <v>82</v>
      </c>
      <c r="BG4598" s="2"/>
      <c r="BH4598" s="2"/>
      <c r="BI4598" s="2"/>
      <c r="BJ4598" s="2">
        <v>241</v>
      </c>
      <c r="BK4598" s="2" t="s">
        <v>82</v>
      </c>
      <c r="BL4598" s="2"/>
      <c r="BM4598" s="2">
        <v>241</v>
      </c>
      <c r="BN4598" s="2" t="s">
        <v>82</v>
      </c>
      <c r="BO4598" s="2"/>
      <c r="BP4598" s="2">
        <v>241</v>
      </c>
      <c r="BQ4598" s="2" t="s">
        <v>82</v>
      </c>
      <c r="BR4598" s="2"/>
      <c r="BS4598" s="3">
        <v>40491</v>
      </c>
      <c r="BT4598" s="4">
        <v>0.52396990740740745</v>
      </c>
    </row>
    <row r="4599" spans="1:72" x14ac:dyDescent="0.25">
      <c r="A4599" s="2">
        <v>7069</v>
      </c>
      <c r="B4599" s="2">
        <v>2010</v>
      </c>
      <c r="C4599" s="2" t="s">
        <v>128</v>
      </c>
      <c r="D4599" s="2" t="s">
        <v>73</v>
      </c>
      <c r="E4599" s="2"/>
      <c r="F4599" s="2">
        <v>426</v>
      </c>
      <c r="G4599" s="2" t="s">
        <v>378</v>
      </c>
      <c r="H4599" s="2">
        <v>50</v>
      </c>
      <c r="I4599" s="2" t="s">
        <v>107</v>
      </c>
      <c r="J4599" s="2">
        <v>311</v>
      </c>
      <c r="K4599" s="2" t="s">
        <v>379</v>
      </c>
      <c r="L4599" s="2" t="s">
        <v>380</v>
      </c>
      <c r="M4599" s="3">
        <v>40491</v>
      </c>
      <c r="N4599" s="2"/>
      <c r="O4599" s="2" t="s">
        <v>14251</v>
      </c>
      <c r="P4599" s="2" t="s">
        <v>14252</v>
      </c>
      <c r="Q4599" s="2" t="str">
        <f>""</f>
        <v/>
      </c>
      <c r="R4599" s="2"/>
      <c r="S4599" s="2"/>
      <c r="T4599" s="2">
        <v>1</v>
      </c>
      <c r="U4599" s="2" t="s">
        <v>79</v>
      </c>
      <c r="V4599" s="2">
        <v>3</v>
      </c>
      <c r="W4599" s="2" t="s">
        <v>225</v>
      </c>
      <c r="X4599" s="2">
        <v>6</v>
      </c>
      <c r="Y4599" s="2" t="s">
        <v>249</v>
      </c>
      <c r="Z4599" s="2">
        <v>1</v>
      </c>
      <c r="AA4599" s="2" t="s">
        <v>82</v>
      </c>
      <c r="AB4599" s="2">
        <v>9</v>
      </c>
      <c r="AC4599" s="2" t="s">
        <v>124</v>
      </c>
      <c r="AD4599" s="3">
        <v>40491</v>
      </c>
      <c r="AE4599" s="4">
        <v>0.45833333333333331</v>
      </c>
      <c r="AF4599" s="2"/>
      <c r="AG4599" s="2"/>
      <c r="AH4599" s="2">
        <v>2</v>
      </c>
      <c r="AI4599" s="2" t="s">
        <v>84</v>
      </c>
      <c r="AJ4599" s="2">
        <v>6</v>
      </c>
      <c r="AK4599" s="2" t="s">
        <v>453</v>
      </c>
      <c r="AL4599" s="2">
        <v>21</v>
      </c>
      <c r="AM4599" s="2" t="s">
        <v>1311</v>
      </c>
      <c r="AN4599" s="2" t="s">
        <v>14253</v>
      </c>
      <c r="AO4599" s="2" t="s">
        <v>14254</v>
      </c>
      <c r="AP4599" s="2">
        <v>11</v>
      </c>
      <c r="AQ4599" s="2" t="s">
        <v>82</v>
      </c>
      <c r="AR4599" s="2"/>
      <c r="AS4599" s="2"/>
      <c r="AT4599" s="2" t="s">
        <v>14255</v>
      </c>
      <c r="AU4599" s="2"/>
      <c r="AV4599" s="2"/>
      <c r="AW4599" s="2"/>
      <c r="AX4599" s="2"/>
      <c r="AY4599" s="2">
        <v>41</v>
      </c>
      <c r="AZ4599" s="2" t="s">
        <v>82</v>
      </c>
      <c r="BA4599" s="2">
        <v>41</v>
      </c>
      <c r="BB4599" s="2" t="s">
        <v>82</v>
      </c>
      <c r="BC4599" s="2">
        <v>41</v>
      </c>
      <c r="BD4599" s="2" t="s">
        <v>82</v>
      </c>
      <c r="BE4599" s="2">
        <v>41</v>
      </c>
      <c r="BF4599" s="2" t="s">
        <v>82</v>
      </c>
      <c r="BG4599" s="2"/>
      <c r="BH4599" s="2"/>
      <c r="BI4599" s="2"/>
      <c r="BJ4599" s="2">
        <v>241</v>
      </c>
      <c r="BK4599" s="2" t="s">
        <v>82</v>
      </c>
      <c r="BL4599" s="2"/>
      <c r="BM4599" s="2">
        <v>241</v>
      </c>
      <c r="BN4599" s="2" t="s">
        <v>82</v>
      </c>
      <c r="BO4599" s="2"/>
      <c r="BP4599" s="2">
        <v>241</v>
      </c>
      <c r="BQ4599" s="2" t="s">
        <v>82</v>
      </c>
      <c r="BR4599" s="2"/>
      <c r="BS4599" s="3">
        <v>40491</v>
      </c>
      <c r="BT4599" s="4">
        <v>0.5420949074074074</v>
      </c>
    </row>
    <row r="4600" spans="1:72" x14ac:dyDescent="0.25">
      <c r="A4600" s="2">
        <v>7071</v>
      </c>
      <c r="B4600" s="2">
        <v>2010</v>
      </c>
      <c r="C4600" s="2" t="s">
        <v>806</v>
      </c>
      <c r="D4600" s="2" t="s">
        <v>73</v>
      </c>
      <c r="E4600" s="2"/>
      <c r="F4600" s="2">
        <v>530</v>
      </c>
      <c r="G4600" s="2" t="s">
        <v>3315</v>
      </c>
      <c r="H4600" s="2">
        <v>61</v>
      </c>
      <c r="I4600" s="2" t="s">
        <v>3043</v>
      </c>
      <c r="J4600" s="2">
        <v>3</v>
      </c>
      <c r="K4600" s="2" t="s">
        <v>2090</v>
      </c>
      <c r="L4600" s="2" t="s">
        <v>2091</v>
      </c>
      <c r="M4600" s="3">
        <v>40491</v>
      </c>
      <c r="N4600" s="2" t="s">
        <v>2135</v>
      </c>
      <c r="O4600" s="2" t="s">
        <v>14256</v>
      </c>
      <c r="P4600" s="2" t="s">
        <v>3278</v>
      </c>
      <c r="Q4600" s="2" t="str">
        <f>"S/D"</f>
        <v>S/D</v>
      </c>
      <c r="R4600" s="2" t="s">
        <v>107</v>
      </c>
      <c r="S4600" s="2" t="s">
        <v>107</v>
      </c>
      <c r="T4600" s="2">
        <v>1</v>
      </c>
      <c r="U4600" s="2" t="s">
        <v>79</v>
      </c>
      <c r="V4600" s="2">
        <v>1</v>
      </c>
      <c r="W4600" s="2" t="s">
        <v>80</v>
      </c>
      <c r="X4600" s="2">
        <v>7</v>
      </c>
      <c r="Y4600" s="2" t="s">
        <v>1964</v>
      </c>
      <c r="Z4600" s="2">
        <v>1</v>
      </c>
      <c r="AA4600" s="2" t="s">
        <v>82</v>
      </c>
      <c r="AB4600" s="2">
        <v>9</v>
      </c>
      <c r="AC4600" s="2" t="s">
        <v>124</v>
      </c>
      <c r="AD4600" s="3">
        <v>40491</v>
      </c>
      <c r="AE4600" s="4">
        <v>0.39583333333333331</v>
      </c>
      <c r="AF4600" s="3">
        <v>40491</v>
      </c>
      <c r="AG4600" s="4">
        <v>0.39583333333333331</v>
      </c>
      <c r="AH4600" s="2">
        <v>7</v>
      </c>
      <c r="AI4600" s="2" t="s">
        <v>801</v>
      </c>
      <c r="AJ4600" s="2">
        <v>3</v>
      </c>
      <c r="AK4600" s="2" t="s">
        <v>802</v>
      </c>
      <c r="AL4600" s="2">
        <v>23</v>
      </c>
      <c r="AM4600" s="2" t="s">
        <v>251</v>
      </c>
      <c r="AN4600" s="2" t="s">
        <v>107</v>
      </c>
      <c r="AO4600" s="2" t="s">
        <v>14257</v>
      </c>
      <c r="AP4600" s="2">
        <v>11</v>
      </c>
      <c r="AQ4600" s="2" t="s">
        <v>82</v>
      </c>
      <c r="AR4600" s="2"/>
      <c r="AS4600" s="2"/>
      <c r="AT4600" s="2" t="s">
        <v>14258</v>
      </c>
      <c r="AU4600" s="2">
        <v>1</v>
      </c>
      <c r="AV4600" s="2"/>
      <c r="AW4600" s="2"/>
      <c r="AX4600" s="2"/>
      <c r="AY4600" s="2">
        <v>41</v>
      </c>
      <c r="AZ4600" s="2" t="s">
        <v>82</v>
      </c>
      <c r="BA4600" s="2">
        <v>41</v>
      </c>
      <c r="BB4600" s="2" t="s">
        <v>82</v>
      </c>
      <c r="BC4600" s="2">
        <v>41</v>
      </c>
      <c r="BD4600" s="2" t="s">
        <v>82</v>
      </c>
      <c r="BE4600" s="2">
        <v>41</v>
      </c>
      <c r="BF4600" s="2" t="s">
        <v>82</v>
      </c>
      <c r="BG4600" s="2"/>
      <c r="BH4600" s="2"/>
      <c r="BI4600" s="2"/>
      <c r="BJ4600" s="2">
        <v>241</v>
      </c>
      <c r="BK4600" s="2" t="s">
        <v>82</v>
      </c>
      <c r="BL4600" s="2"/>
      <c r="BM4600" s="2">
        <v>241</v>
      </c>
      <c r="BN4600" s="2" t="s">
        <v>82</v>
      </c>
      <c r="BO4600" s="2"/>
      <c r="BP4600" s="2">
        <v>241</v>
      </c>
      <c r="BQ4600" s="2" t="s">
        <v>82</v>
      </c>
      <c r="BR4600" s="2"/>
      <c r="BS4600" s="3">
        <v>40491</v>
      </c>
      <c r="BT4600" s="4">
        <v>0.59116898148148145</v>
      </c>
    </row>
    <row r="4601" spans="1:72" x14ac:dyDescent="0.25">
      <c r="A4601" s="2">
        <v>7072</v>
      </c>
      <c r="B4601" s="2">
        <v>2010</v>
      </c>
      <c r="C4601" s="2" t="s">
        <v>171</v>
      </c>
      <c r="D4601" s="2" t="s">
        <v>73</v>
      </c>
      <c r="E4601" s="2"/>
      <c r="F4601" s="2">
        <v>92</v>
      </c>
      <c r="G4601" s="2" t="s">
        <v>1432</v>
      </c>
      <c r="H4601" s="2">
        <v>47</v>
      </c>
      <c r="I4601" s="2" t="s">
        <v>1409</v>
      </c>
      <c r="J4601" s="2">
        <v>119</v>
      </c>
      <c r="K4601" s="2" t="s">
        <v>325</v>
      </c>
      <c r="L4601" s="2" t="s">
        <v>326</v>
      </c>
      <c r="M4601" s="3">
        <v>40491</v>
      </c>
      <c r="N4601" s="2" t="s">
        <v>13856</v>
      </c>
      <c r="O4601" s="2" t="s">
        <v>13857</v>
      </c>
      <c r="P4601" s="2" t="s">
        <v>8063</v>
      </c>
      <c r="Q4601" s="2" t="str">
        <f>""</f>
        <v/>
      </c>
      <c r="R4601" s="2"/>
      <c r="S4601" s="2"/>
      <c r="T4601" s="2">
        <v>1</v>
      </c>
      <c r="U4601" s="2" t="s">
        <v>79</v>
      </c>
      <c r="V4601" s="2">
        <v>3</v>
      </c>
      <c r="W4601" s="2" t="s">
        <v>225</v>
      </c>
      <c r="X4601" s="2">
        <v>9</v>
      </c>
      <c r="Y4601" s="2" t="s">
        <v>3393</v>
      </c>
      <c r="Z4601" s="2">
        <v>1</v>
      </c>
      <c r="AA4601" s="2" t="s">
        <v>82</v>
      </c>
      <c r="AB4601" s="2">
        <v>9</v>
      </c>
      <c r="AC4601" s="2" t="s">
        <v>124</v>
      </c>
      <c r="AD4601" s="3">
        <v>40491</v>
      </c>
      <c r="AE4601" s="4">
        <v>0.59375</v>
      </c>
      <c r="AF4601" s="2"/>
      <c r="AG4601" s="2"/>
      <c r="AH4601" s="2">
        <v>6</v>
      </c>
      <c r="AI4601" s="2" t="s">
        <v>197</v>
      </c>
      <c r="AJ4601" s="2">
        <v>47</v>
      </c>
      <c r="AK4601" s="2" t="s">
        <v>250</v>
      </c>
      <c r="AL4601" s="2">
        <v>23</v>
      </c>
      <c r="AM4601" s="2" t="s">
        <v>251</v>
      </c>
      <c r="AN4601" s="2"/>
      <c r="AO4601" s="2" t="s">
        <v>14259</v>
      </c>
      <c r="AP4601" s="2">
        <v>11</v>
      </c>
      <c r="AQ4601" s="2" t="s">
        <v>82</v>
      </c>
      <c r="AR4601" s="2"/>
      <c r="AS4601" s="2"/>
      <c r="AT4601" s="2" t="s">
        <v>14260</v>
      </c>
      <c r="AU4601" s="2"/>
      <c r="AV4601" s="2"/>
      <c r="AW4601" s="2"/>
      <c r="AX4601" s="2"/>
      <c r="AY4601" s="2">
        <v>41</v>
      </c>
      <c r="AZ4601" s="2" t="s">
        <v>82</v>
      </c>
      <c r="BA4601" s="2">
        <v>41</v>
      </c>
      <c r="BB4601" s="2" t="s">
        <v>82</v>
      </c>
      <c r="BC4601" s="2">
        <v>41</v>
      </c>
      <c r="BD4601" s="2" t="s">
        <v>82</v>
      </c>
      <c r="BE4601" s="2">
        <v>41</v>
      </c>
      <c r="BF4601" s="2" t="s">
        <v>82</v>
      </c>
      <c r="BG4601" s="2"/>
      <c r="BH4601" s="2"/>
      <c r="BI4601" s="2"/>
      <c r="BJ4601" s="2">
        <v>241</v>
      </c>
      <c r="BK4601" s="2" t="s">
        <v>82</v>
      </c>
      <c r="BL4601" s="2"/>
      <c r="BM4601" s="2">
        <v>241</v>
      </c>
      <c r="BN4601" s="2" t="s">
        <v>82</v>
      </c>
      <c r="BO4601" s="2"/>
      <c r="BP4601" s="2">
        <v>241</v>
      </c>
      <c r="BQ4601" s="2" t="s">
        <v>82</v>
      </c>
      <c r="BR4601" s="2"/>
      <c r="BS4601" s="3">
        <v>40491</v>
      </c>
      <c r="BT4601" s="4">
        <v>0.62899305555555551</v>
      </c>
    </row>
    <row r="4602" spans="1:72" x14ac:dyDescent="0.25">
      <c r="A4602" s="2">
        <v>7079</v>
      </c>
      <c r="B4602" s="2">
        <v>2010</v>
      </c>
      <c r="C4602" s="2" t="s">
        <v>255</v>
      </c>
      <c r="D4602" s="2" t="s">
        <v>73</v>
      </c>
      <c r="E4602" s="2"/>
      <c r="F4602" s="2">
        <v>70</v>
      </c>
      <c r="G4602" s="2" t="s">
        <v>3539</v>
      </c>
      <c r="H4602" s="2">
        <v>108</v>
      </c>
      <c r="I4602" s="2" t="s">
        <v>1096</v>
      </c>
      <c r="J4602" s="2">
        <v>689</v>
      </c>
      <c r="K4602" s="2" t="s">
        <v>13469</v>
      </c>
      <c r="L4602" s="2" t="s">
        <v>13470</v>
      </c>
      <c r="M4602" s="3">
        <v>40491</v>
      </c>
      <c r="N4602" s="2" t="s">
        <v>5060</v>
      </c>
      <c r="O4602" s="2"/>
      <c r="P4602" s="2"/>
      <c r="Q4602" s="2" t="str">
        <f>"04/2010"</f>
        <v>04/2010</v>
      </c>
      <c r="R4602" s="2" t="s">
        <v>14066</v>
      </c>
      <c r="S4602" s="2" t="s">
        <v>14066</v>
      </c>
      <c r="T4602" s="2">
        <v>1</v>
      </c>
      <c r="U4602" s="2" t="s">
        <v>79</v>
      </c>
      <c r="V4602" s="2">
        <v>1</v>
      </c>
      <c r="W4602" s="2" t="s">
        <v>80</v>
      </c>
      <c r="X4602" s="2">
        <v>12</v>
      </c>
      <c r="Y4602" s="2" t="s">
        <v>148</v>
      </c>
      <c r="Z4602" s="2">
        <v>1</v>
      </c>
      <c r="AA4602" s="2" t="s">
        <v>82</v>
      </c>
      <c r="AB4602" s="2">
        <v>9</v>
      </c>
      <c r="AC4602" s="2" t="s">
        <v>124</v>
      </c>
      <c r="AD4602" s="3">
        <v>40491</v>
      </c>
      <c r="AE4602" s="2"/>
      <c r="AF4602" s="3">
        <v>40491</v>
      </c>
      <c r="AG4602" s="4">
        <v>0.45833333333333331</v>
      </c>
      <c r="AH4602" s="2">
        <v>3</v>
      </c>
      <c r="AI4602" s="2" t="s">
        <v>214</v>
      </c>
      <c r="AJ4602" s="2">
        <v>21</v>
      </c>
      <c r="AK4602" s="2" t="s">
        <v>3544</v>
      </c>
      <c r="AL4602" s="2">
        <v>9</v>
      </c>
      <c r="AM4602" s="2" t="s">
        <v>259</v>
      </c>
      <c r="AN4602" s="2" t="s">
        <v>14261</v>
      </c>
      <c r="AO4602" s="2"/>
      <c r="AP4602" s="2">
        <v>11</v>
      </c>
      <c r="AQ4602" s="2" t="s">
        <v>82</v>
      </c>
      <c r="AR4602" s="2"/>
      <c r="AS4602" s="2"/>
      <c r="AT4602" s="2" t="s">
        <v>14262</v>
      </c>
      <c r="AU4602" s="2"/>
      <c r="AV4602" s="2"/>
      <c r="AW4602" s="2"/>
      <c r="AX4602" s="2"/>
      <c r="AY4602" s="2">
        <v>44</v>
      </c>
      <c r="AZ4602" s="2" t="s">
        <v>262</v>
      </c>
      <c r="BA4602" s="2">
        <v>44</v>
      </c>
      <c r="BB4602" s="2" t="s">
        <v>262</v>
      </c>
      <c r="BC4602" s="2">
        <v>1</v>
      </c>
      <c r="BD4602" s="2" t="s">
        <v>107</v>
      </c>
      <c r="BE4602" s="2">
        <v>41</v>
      </c>
      <c r="BF4602" s="2" t="s">
        <v>82</v>
      </c>
      <c r="BG4602" s="2"/>
      <c r="BH4602" s="2"/>
      <c r="BI4602" s="2"/>
      <c r="BJ4602" s="2">
        <v>241</v>
      </c>
      <c r="BK4602" s="2" t="s">
        <v>82</v>
      </c>
      <c r="BL4602" s="2"/>
      <c r="BM4602" s="2">
        <v>241</v>
      </c>
      <c r="BN4602" s="2" t="s">
        <v>82</v>
      </c>
      <c r="BO4602" s="2"/>
      <c r="BP4602" s="2">
        <v>241</v>
      </c>
      <c r="BQ4602" s="2" t="s">
        <v>82</v>
      </c>
      <c r="BR4602" s="2"/>
      <c r="BS4602" s="3">
        <v>40491</v>
      </c>
      <c r="BT4602" s="4">
        <v>0.70993055555555562</v>
      </c>
    </row>
    <row r="4603" spans="1:72" x14ac:dyDescent="0.25">
      <c r="A4603" s="2">
        <v>7086</v>
      </c>
      <c r="B4603" s="2">
        <v>2010</v>
      </c>
      <c r="C4603" s="2" t="s">
        <v>806</v>
      </c>
      <c r="D4603" s="2" t="s">
        <v>73</v>
      </c>
      <c r="E4603" s="2"/>
      <c r="F4603" s="2">
        <v>666</v>
      </c>
      <c r="G4603" s="2" t="s">
        <v>13044</v>
      </c>
      <c r="H4603" s="2">
        <v>89</v>
      </c>
      <c r="I4603" s="2" t="s">
        <v>5137</v>
      </c>
      <c r="J4603" s="2">
        <v>33</v>
      </c>
      <c r="K4603" s="2" t="s">
        <v>2178</v>
      </c>
      <c r="L4603" s="2" t="s">
        <v>1877</v>
      </c>
      <c r="M4603" s="3">
        <v>40491</v>
      </c>
      <c r="N4603" s="2" t="s">
        <v>13045</v>
      </c>
      <c r="O4603" s="2" t="s">
        <v>14263</v>
      </c>
      <c r="P4603" s="7">
        <v>13793</v>
      </c>
      <c r="Q4603" s="2" t="str">
        <f>"17/2010"</f>
        <v>17/2010</v>
      </c>
      <c r="R4603" s="2" t="s">
        <v>82</v>
      </c>
      <c r="S4603" s="2" t="s">
        <v>82</v>
      </c>
      <c r="T4603" s="2">
        <v>1</v>
      </c>
      <c r="U4603" s="2" t="s">
        <v>79</v>
      </c>
      <c r="V4603" s="2">
        <v>3</v>
      </c>
      <c r="W4603" s="2" t="s">
        <v>225</v>
      </c>
      <c r="X4603" s="2">
        <v>7</v>
      </c>
      <c r="Y4603" s="2" t="s">
        <v>1964</v>
      </c>
      <c r="Z4603" s="2">
        <v>1</v>
      </c>
      <c r="AA4603" s="2" t="s">
        <v>82</v>
      </c>
      <c r="AB4603" s="2">
        <v>9</v>
      </c>
      <c r="AC4603" s="2" t="s">
        <v>124</v>
      </c>
      <c r="AD4603" s="3">
        <v>40491</v>
      </c>
      <c r="AE4603" s="4">
        <v>0.75694444444444453</v>
      </c>
      <c r="AF4603" s="2"/>
      <c r="AG4603" s="2"/>
      <c r="AH4603" s="2">
        <v>3</v>
      </c>
      <c r="AI4603" s="2" t="s">
        <v>214</v>
      </c>
      <c r="AJ4603" s="2">
        <v>14</v>
      </c>
      <c r="AK4603" s="2" t="s">
        <v>342</v>
      </c>
      <c r="AL4603" s="2">
        <v>23</v>
      </c>
      <c r="AM4603" s="2" t="s">
        <v>251</v>
      </c>
      <c r="AN4603" s="2" t="s">
        <v>14264</v>
      </c>
      <c r="AO4603" s="2" t="s">
        <v>82</v>
      </c>
      <c r="AP4603" s="2">
        <v>11</v>
      </c>
      <c r="AQ4603" s="2" t="s">
        <v>82</v>
      </c>
      <c r="AR4603" s="2"/>
      <c r="AS4603" s="2"/>
      <c r="AT4603" s="2" t="s">
        <v>14265</v>
      </c>
      <c r="AU4603" s="2"/>
      <c r="AV4603" s="2"/>
      <c r="AW4603" s="2"/>
      <c r="AX4603" s="2"/>
      <c r="AY4603" s="2">
        <v>41</v>
      </c>
      <c r="AZ4603" s="2" t="s">
        <v>82</v>
      </c>
      <c r="BA4603" s="2">
        <v>41</v>
      </c>
      <c r="BB4603" s="2" t="s">
        <v>82</v>
      </c>
      <c r="BC4603" s="2">
        <v>41</v>
      </c>
      <c r="BD4603" s="2" t="s">
        <v>82</v>
      </c>
      <c r="BE4603" s="2">
        <v>41</v>
      </c>
      <c r="BF4603" s="2" t="s">
        <v>82</v>
      </c>
      <c r="BG4603" s="2"/>
      <c r="BH4603" s="2"/>
      <c r="BI4603" s="2"/>
      <c r="BJ4603" s="2">
        <v>241</v>
      </c>
      <c r="BK4603" s="2" t="s">
        <v>82</v>
      </c>
      <c r="BL4603" s="2"/>
      <c r="BM4603" s="2">
        <v>241</v>
      </c>
      <c r="BN4603" s="2" t="s">
        <v>82</v>
      </c>
      <c r="BO4603" s="2"/>
      <c r="BP4603" s="2">
        <v>241</v>
      </c>
      <c r="BQ4603" s="2" t="s">
        <v>82</v>
      </c>
      <c r="BR4603" s="2"/>
      <c r="BS4603" s="3">
        <v>40491</v>
      </c>
      <c r="BT4603" s="4">
        <v>0.77993055555555557</v>
      </c>
    </row>
    <row r="4604" spans="1:72" x14ac:dyDescent="0.25">
      <c r="A4604" s="2">
        <v>7091</v>
      </c>
      <c r="B4604" s="2">
        <v>2010</v>
      </c>
      <c r="C4604" s="2" t="s">
        <v>147</v>
      </c>
      <c r="D4604" s="2" t="s">
        <v>73</v>
      </c>
      <c r="E4604" s="2"/>
      <c r="F4604" s="2">
        <v>1</v>
      </c>
      <c r="G4604" s="2" t="s">
        <v>82</v>
      </c>
      <c r="H4604" s="2">
        <v>1</v>
      </c>
      <c r="I4604" s="2" t="s">
        <v>82</v>
      </c>
      <c r="J4604" s="2">
        <v>1</v>
      </c>
      <c r="K4604" s="2" t="s">
        <v>107</v>
      </c>
      <c r="L4604" s="2" t="s">
        <v>107</v>
      </c>
      <c r="M4604" s="3">
        <v>40491</v>
      </c>
      <c r="N4604" s="2"/>
      <c r="O4604" s="2"/>
      <c r="P4604" s="2"/>
      <c r="Q4604" s="2" t="str">
        <f>""</f>
        <v/>
      </c>
      <c r="R4604" s="2"/>
      <c r="S4604" s="2"/>
      <c r="T4604" s="2">
        <v>2</v>
      </c>
      <c r="U4604" s="2" t="s">
        <v>123</v>
      </c>
      <c r="V4604" s="2">
        <v>1</v>
      </c>
      <c r="W4604" s="2" t="s">
        <v>80</v>
      </c>
      <c r="X4604" s="2">
        <v>12</v>
      </c>
      <c r="Y4604" s="2" t="s">
        <v>148</v>
      </c>
      <c r="Z4604" s="2">
        <v>1</v>
      </c>
      <c r="AA4604" s="2" t="s">
        <v>82</v>
      </c>
      <c r="AB4604" s="2">
        <v>9</v>
      </c>
      <c r="AC4604" s="2" t="s">
        <v>124</v>
      </c>
      <c r="AD4604" s="2"/>
      <c r="AE4604" s="2"/>
      <c r="AF4604" s="3">
        <v>40491</v>
      </c>
      <c r="AG4604" s="4">
        <v>0.76041666666666663</v>
      </c>
      <c r="AH4604" s="2">
        <v>2</v>
      </c>
      <c r="AI4604" s="2" t="s">
        <v>84</v>
      </c>
      <c r="AJ4604" s="2">
        <v>11</v>
      </c>
      <c r="AK4604" s="2" t="s">
        <v>751</v>
      </c>
      <c r="AL4604" s="2">
        <v>19</v>
      </c>
      <c r="AM4604" s="2" t="s">
        <v>107</v>
      </c>
      <c r="AN4604" s="2"/>
      <c r="AO4604" s="2" t="s">
        <v>11187</v>
      </c>
      <c r="AP4604" s="2">
        <v>11</v>
      </c>
      <c r="AQ4604" s="2" t="s">
        <v>82</v>
      </c>
      <c r="AR4604" s="2"/>
      <c r="AS4604" s="2"/>
      <c r="AT4604" s="2" t="s">
        <v>14266</v>
      </c>
      <c r="AU4604" s="2"/>
      <c r="AV4604" s="2"/>
      <c r="AW4604" s="2"/>
      <c r="AX4604" s="2"/>
      <c r="AY4604" s="2">
        <v>41</v>
      </c>
      <c r="AZ4604" s="2" t="s">
        <v>82</v>
      </c>
      <c r="BA4604" s="2">
        <v>41</v>
      </c>
      <c r="BB4604" s="2" t="s">
        <v>82</v>
      </c>
      <c r="BC4604" s="2">
        <v>41</v>
      </c>
      <c r="BD4604" s="2" t="s">
        <v>82</v>
      </c>
      <c r="BE4604" s="2">
        <v>41</v>
      </c>
      <c r="BF4604" s="2" t="s">
        <v>82</v>
      </c>
      <c r="BG4604" s="2"/>
      <c r="BH4604" s="2"/>
      <c r="BI4604" s="2"/>
      <c r="BJ4604" s="2">
        <v>241</v>
      </c>
      <c r="BK4604" s="2" t="s">
        <v>82</v>
      </c>
      <c r="BL4604" s="2"/>
      <c r="BM4604" s="2">
        <v>241</v>
      </c>
      <c r="BN4604" s="2" t="s">
        <v>82</v>
      </c>
      <c r="BO4604" s="2"/>
      <c r="BP4604" s="2">
        <v>241</v>
      </c>
      <c r="BQ4604" s="2" t="s">
        <v>82</v>
      </c>
      <c r="BR4604" s="2"/>
      <c r="BS4604" s="3">
        <v>40491</v>
      </c>
      <c r="BT4604" s="4">
        <v>0.85633101851851856</v>
      </c>
    </row>
    <row r="4605" spans="1:72" x14ac:dyDescent="0.25">
      <c r="A4605" s="2">
        <v>7092</v>
      </c>
      <c r="B4605" s="2">
        <v>2010</v>
      </c>
      <c r="C4605" s="2" t="s">
        <v>72</v>
      </c>
      <c r="D4605" s="2" t="s">
        <v>73</v>
      </c>
      <c r="E4605" s="2"/>
      <c r="F4605" s="2">
        <v>638</v>
      </c>
      <c r="G4605" s="2" t="s">
        <v>8288</v>
      </c>
      <c r="H4605" s="2">
        <v>4</v>
      </c>
      <c r="I4605" s="2" t="s">
        <v>173</v>
      </c>
      <c r="J4605" s="2">
        <v>587</v>
      </c>
      <c r="K4605" s="2" t="s">
        <v>8411</v>
      </c>
      <c r="L4605" s="2" t="s">
        <v>8412</v>
      </c>
      <c r="M4605" s="3">
        <v>40491</v>
      </c>
      <c r="N4605" s="2" t="s">
        <v>14267</v>
      </c>
      <c r="O4605" s="2" t="s">
        <v>107</v>
      </c>
      <c r="P4605" s="2" t="s">
        <v>107</v>
      </c>
      <c r="Q4605" s="2" t="str">
        <f>"64/10"</f>
        <v>64/10</v>
      </c>
      <c r="R4605" s="2"/>
      <c r="S4605" s="2" t="s">
        <v>601</v>
      </c>
      <c r="T4605" s="2">
        <v>1</v>
      </c>
      <c r="U4605" s="2" t="s">
        <v>79</v>
      </c>
      <c r="V4605" s="2">
        <v>1</v>
      </c>
      <c r="W4605" s="2" t="s">
        <v>80</v>
      </c>
      <c r="X4605" s="2">
        <v>12</v>
      </c>
      <c r="Y4605" s="2" t="s">
        <v>148</v>
      </c>
      <c r="Z4605" s="2">
        <v>1</v>
      </c>
      <c r="AA4605" s="2" t="s">
        <v>82</v>
      </c>
      <c r="AB4605" s="2">
        <v>6</v>
      </c>
      <c r="AC4605" s="2" t="s">
        <v>83</v>
      </c>
      <c r="AD4605" s="2"/>
      <c r="AE4605" s="2"/>
      <c r="AF4605" s="3">
        <v>40491</v>
      </c>
      <c r="AG4605" s="4">
        <v>0.83333333333333337</v>
      </c>
      <c r="AH4605" s="2">
        <v>3</v>
      </c>
      <c r="AI4605" s="2" t="s">
        <v>214</v>
      </c>
      <c r="AJ4605" s="2">
        <v>24</v>
      </c>
      <c r="AK4605" s="2" t="s">
        <v>215</v>
      </c>
      <c r="AL4605" s="2">
        <v>23</v>
      </c>
      <c r="AM4605" s="2" t="s">
        <v>251</v>
      </c>
      <c r="AN4605" s="2"/>
      <c r="AO4605" s="2"/>
      <c r="AP4605" s="2">
        <v>11</v>
      </c>
      <c r="AQ4605" s="2" t="s">
        <v>82</v>
      </c>
      <c r="AR4605" s="2" t="s">
        <v>82</v>
      </c>
      <c r="AS4605" s="2" t="s">
        <v>82</v>
      </c>
      <c r="AT4605" s="2" t="s">
        <v>14268</v>
      </c>
      <c r="AU4605" s="2"/>
      <c r="AV4605" s="2"/>
      <c r="AW4605" s="2"/>
      <c r="AX4605" s="2"/>
      <c r="AY4605" s="2">
        <v>41</v>
      </c>
      <c r="AZ4605" s="2" t="s">
        <v>82</v>
      </c>
      <c r="BA4605" s="2">
        <v>41</v>
      </c>
      <c r="BB4605" s="2" t="s">
        <v>82</v>
      </c>
      <c r="BC4605" s="2">
        <v>41</v>
      </c>
      <c r="BD4605" s="2" t="s">
        <v>82</v>
      </c>
      <c r="BE4605" s="2">
        <v>13</v>
      </c>
      <c r="BF4605" s="2" t="s">
        <v>108</v>
      </c>
      <c r="BG4605" s="2" t="s">
        <v>605</v>
      </c>
      <c r="BH4605" s="4">
        <v>0.27083333333333331</v>
      </c>
      <c r="BI4605" s="4">
        <v>0.92013888888888884</v>
      </c>
      <c r="BJ4605" s="2">
        <v>73</v>
      </c>
      <c r="BK4605" s="2" t="s">
        <v>186</v>
      </c>
      <c r="BL4605" s="2" t="s">
        <v>14269</v>
      </c>
      <c r="BM4605" s="2">
        <v>13</v>
      </c>
      <c r="BN4605" s="2" t="s">
        <v>91</v>
      </c>
      <c r="BO4605" s="2"/>
      <c r="BP4605" s="2">
        <v>13</v>
      </c>
      <c r="BQ4605" s="2" t="s">
        <v>91</v>
      </c>
      <c r="BR4605" s="2" t="s">
        <v>14270</v>
      </c>
      <c r="BS4605" s="3">
        <v>40491</v>
      </c>
      <c r="BT4605" s="4">
        <v>0.89288194444444446</v>
      </c>
    </row>
    <row r="4606" spans="1:72" x14ac:dyDescent="0.25">
      <c r="A4606" s="2">
        <v>7093</v>
      </c>
      <c r="B4606" s="2">
        <v>2010</v>
      </c>
      <c r="C4606" s="2" t="s">
        <v>171</v>
      </c>
      <c r="D4606" s="2" t="s">
        <v>73</v>
      </c>
      <c r="E4606" s="2" t="s">
        <v>14271</v>
      </c>
      <c r="F4606" s="2">
        <v>100</v>
      </c>
      <c r="G4606" s="2" t="s">
        <v>517</v>
      </c>
      <c r="H4606" s="2">
        <v>47</v>
      </c>
      <c r="I4606" s="2" t="s">
        <v>1409</v>
      </c>
      <c r="J4606" s="2">
        <v>119</v>
      </c>
      <c r="K4606" s="2" t="s">
        <v>325</v>
      </c>
      <c r="L4606" s="2" t="s">
        <v>326</v>
      </c>
      <c r="M4606" s="3">
        <v>40491</v>
      </c>
      <c r="N4606" s="2" t="s">
        <v>14272</v>
      </c>
      <c r="O4606" s="2" t="s">
        <v>14273</v>
      </c>
      <c r="P4606" s="2" t="s">
        <v>8063</v>
      </c>
      <c r="Q4606" s="2" t="str">
        <f>""</f>
        <v/>
      </c>
      <c r="R4606" s="2"/>
      <c r="S4606" s="2"/>
      <c r="T4606" s="2">
        <v>1</v>
      </c>
      <c r="U4606" s="2" t="s">
        <v>79</v>
      </c>
      <c r="V4606" s="2">
        <v>1</v>
      </c>
      <c r="W4606" s="2" t="s">
        <v>80</v>
      </c>
      <c r="X4606" s="2">
        <v>9</v>
      </c>
      <c r="Y4606" s="2" t="s">
        <v>3393</v>
      </c>
      <c r="Z4606" s="2">
        <v>10</v>
      </c>
      <c r="AA4606" s="2" t="s">
        <v>236</v>
      </c>
      <c r="AB4606" s="2">
        <v>1</v>
      </c>
      <c r="AC4606" s="2" t="s">
        <v>178</v>
      </c>
      <c r="AD4606" s="3">
        <v>40491</v>
      </c>
      <c r="AE4606" s="4">
        <v>0.6875</v>
      </c>
      <c r="AF4606" s="2"/>
      <c r="AG4606" s="2"/>
      <c r="AH4606" s="2">
        <v>6</v>
      </c>
      <c r="AI4606" s="2" t="s">
        <v>197</v>
      </c>
      <c r="AJ4606" s="2">
        <v>47</v>
      </c>
      <c r="AK4606" s="2" t="s">
        <v>250</v>
      </c>
      <c r="AL4606" s="2">
        <v>23</v>
      </c>
      <c r="AM4606" s="2" t="s">
        <v>251</v>
      </c>
      <c r="AN4606" s="2" t="s">
        <v>14274</v>
      </c>
      <c r="AO4606" s="2" t="s">
        <v>13762</v>
      </c>
      <c r="AP4606" s="2">
        <v>11</v>
      </c>
      <c r="AQ4606" s="2" t="s">
        <v>82</v>
      </c>
      <c r="AR4606" s="2"/>
      <c r="AS4606" s="2"/>
      <c r="AT4606" s="2" t="s">
        <v>14275</v>
      </c>
      <c r="AU4606" s="2"/>
      <c r="AV4606" s="2"/>
      <c r="AW4606" s="2"/>
      <c r="AX4606" s="2"/>
      <c r="AY4606" s="2">
        <v>41</v>
      </c>
      <c r="AZ4606" s="2" t="s">
        <v>82</v>
      </c>
      <c r="BA4606" s="2">
        <v>41</v>
      </c>
      <c r="BB4606" s="2" t="s">
        <v>82</v>
      </c>
      <c r="BC4606" s="2">
        <v>41</v>
      </c>
      <c r="BD4606" s="2" t="s">
        <v>82</v>
      </c>
      <c r="BE4606" s="2">
        <v>41</v>
      </c>
      <c r="BF4606" s="2" t="s">
        <v>82</v>
      </c>
      <c r="BG4606" s="2"/>
      <c r="BH4606" s="2"/>
      <c r="BI4606" s="2"/>
      <c r="BJ4606" s="2">
        <v>241</v>
      </c>
      <c r="BK4606" s="2" t="s">
        <v>82</v>
      </c>
      <c r="BL4606" s="2"/>
      <c r="BM4606" s="2">
        <v>241</v>
      </c>
      <c r="BN4606" s="2" t="s">
        <v>82</v>
      </c>
      <c r="BO4606" s="2"/>
      <c r="BP4606" s="2">
        <v>241</v>
      </c>
      <c r="BQ4606" s="2" t="s">
        <v>82</v>
      </c>
      <c r="BR4606" s="2"/>
      <c r="BS4606" s="3">
        <v>40491</v>
      </c>
      <c r="BT4606" s="4">
        <v>0.9032175925925926</v>
      </c>
    </row>
    <row r="4607" spans="1:72" x14ac:dyDescent="0.25">
      <c r="A4607" s="2">
        <v>7094</v>
      </c>
      <c r="B4607" s="2">
        <v>2010</v>
      </c>
      <c r="C4607" s="2" t="s">
        <v>171</v>
      </c>
      <c r="D4607" s="2" t="s">
        <v>73</v>
      </c>
      <c r="E4607" s="2" t="s">
        <v>14276</v>
      </c>
      <c r="F4607" s="2">
        <v>425</v>
      </c>
      <c r="G4607" s="2" t="s">
        <v>286</v>
      </c>
      <c r="H4607" s="2">
        <v>30</v>
      </c>
      <c r="I4607" s="2" t="s">
        <v>912</v>
      </c>
      <c r="J4607" s="2">
        <v>310</v>
      </c>
      <c r="K4607" s="2" t="s">
        <v>288</v>
      </c>
      <c r="L4607" s="2" t="s">
        <v>289</v>
      </c>
      <c r="M4607" s="3">
        <v>40491</v>
      </c>
      <c r="N4607" s="2" t="s">
        <v>2049</v>
      </c>
      <c r="O4607" s="2" t="s">
        <v>2490</v>
      </c>
      <c r="P4607" s="2" t="s">
        <v>14277</v>
      </c>
      <c r="Q4607" s="2" t="str">
        <f>"101/10"</f>
        <v>101/10</v>
      </c>
      <c r="R4607" s="2" t="s">
        <v>822</v>
      </c>
      <c r="S4607" s="2"/>
      <c r="T4607" s="2">
        <v>1</v>
      </c>
      <c r="U4607" s="2" t="s">
        <v>79</v>
      </c>
      <c r="V4607" s="2">
        <v>1</v>
      </c>
      <c r="W4607" s="2" t="s">
        <v>80</v>
      </c>
      <c r="X4607" s="2">
        <v>1</v>
      </c>
      <c r="Y4607" s="2" t="s">
        <v>81</v>
      </c>
      <c r="Z4607" s="2">
        <v>1</v>
      </c>
      <c r="AA4607" s="2" t="s">
        <v>82</v>
      </c>
      <c r="AB4607" s="2">
        <v>1</v>
      </c>
      <c r="AC4607" s="2" t="s">
        <v>178</v>
      </c>
      <c r="AD4607" s="3">
        <v>40491</v>
      </c>
      <c r="AE4607" s="4">
        <v>0.8125</v>
      </c>
      <c r="AF4607" s="3">
        <v>40491</v>
      </c>
      <c r="AG4607" s="4">
        <v>0.8125</v>
      </c>
      <c r="AH4607" s="2">
        <v>4</v>
      </c>
      <c r="AI4607" s="2" t="s">
        <v>125</v>
      </c>
      <c r="AJ4607" s="2">
        <v>29</v>
      </c>
      <c r="AK4607" s="2" t="s">
        <v>227</v>
      </c>
      <c r="AL4607" s="2">
        <v>16</v>
      </c>
      <c r="AM4607" s="2" t="s">
        <v>392</v>
      </c>
      <c r="AN4607" s="2" t="s">
        <v>9764</v>
      </c>
      <c r="AO4607" s="2"/>
      <c r="AP4607" s="2">
        <v>12</v>
      </c>
      <c r="AQ4607" s="2" t="s">
        <v>322</v>
      </c>
      <c r="AR4607" s="2" t="s">
        <v>824</v>
      </c>
      <c r="AS4607" s="2" t="s">
        <v>825</v>
      </c>
      <c r="AT4607" s="2" t="s">
        <v>14278</v>
      </c>
      <c r="AU4607" s="2"/>
      <c r="AV4607" s="2"/>
      <c r="AW4607" s="2"/>
      <c r="AX4607" s="2"/>
      <c r="AY4607" s="2">
        <v>41</v>
      </c>
      <c r="AZ4607" s="2" t="s">
        <v>82</v>
      </c>
      <c r="BA4607" s="2">
        <v>41</v>
      </c>
      <c r="BB4607" s="2" t="s">
        <v>82</v>
      </c>
      <c r="BC4607" s="2">
        <v>51</v>
      </c>
      <c r="BD4607" s="2" t="s">
        <v>827</v>
      </c>
      <c r="BE4607" s="2">
        <v>47</v>
      </c>
      <c r="BF4607" s="2" t="s">
        <v>167</v>
      </c>
      <c r="BG4607" s="2">
        <v>2459</v>
      </c>
      <c r="BH4607" s="4">
        <v>0.89583333333333337</v>
      </c>
      <c r="BI4607" s="4">
        <v>0.92361111111111116</v>
      </c>
      <c r="BJ4607" s="2">
        <v>13</v>
      </c>
      <c r="BK4607" s="2" t="s">
        <v>91</v>
      </c>
      <c r="BL4607" s="2" t="s">
        <v>828</v>
      </c>
      <c r="BM4607" s="2">
        <v>13</v>
      </c>
      <c r="BN4607" s="2" t="s">
        <v>91</v>
      </c>
      <c r="BO4607" s="2"/>
      <c r="BP4607" s="2">
        <v>13</v>
      </c>
      <c r="BQ4607" s="2" t="s">
        <v>91</v>
      </c>
      <c r="BR4607" s="2" t="s">
        <v>185</v>
      </c>
      <c r="BS4607" s="3">
        <v>40491</v>
      </c>
      <c r="BT4607" s="4">
        <v>0.91236111111111118</v>
      </c>
    </row>
    <row r="4608" spans="1:72" x14ac:dyDescent="0.25">
      <c r="A4608" s="2">
        <v>7095</v>
      </c>
      <c r="B4608" s="2">
        <v>2010</v>
      </c>
      <c r="C4608" s="2" t="s">
        <v>128</v>
      </c>
      <c r="D4608" s="2" t="s">
        <v>73</v>
      </c>
      <c r="E4608" s="2"/>
      <c r="F4608" s="2">
        <v>448</v>
      </c>
      <c r="G4608" s="2" t="s">
        <v>863</v>
      </c>
      <c r="H4608" s="2">
        <v>108</v>
      </c>
      <c r="I4608" s="2" t="s">
        <v>1096</v>
      </c>
      <c r="J4608" s="2">
        <v>140</v>
      </c>
      <c r="K4608" s="2" t="s">
        <v>864</v>
      </c>
      <c r="L4608" s="2" t="s">
        <v>865</v>
      </c>
      <c r="M4608" s="3">
        <v>40491</v>
      </c>
      <c r="N4608" s="2" t="s">
        <v>14279</v>
      </c>
      <c r="O4608" s="2" t="s">
        <v>14280</v>
      </c>
      <c r="P4608" s="2" t="s">
        <v>14281</v>
      </c>
      <c r="Q4608" s="2" t="str">
        <f>"AP-0803-10"</f>
        <v>AP-0803-10</v>
      </c>
      <c r="R4608" s="2"/>
      <c r="S4608" s="2"/>
      <c r="T4608" s="2">
        <v>1</v>
      </c>
      <c r="U4608" s="2" t="s">
        <v>79</v>
      </c>
      <c r="V4608" s="2">
        <v>1</v>
      </c>
      <c r="W4608" s="2" t="s">
        <v>80</v>
      </c>
      <c r="X4608" s="2">
        <v>1</v>
      </c>
      <c r="Y4608" s="2" t="s">
        <v>81</v>
      </c>
      <c r="Z4608" s="2">
        <v>1</v>
      </c>
      <c r="AA4608" s="2" t="s">
        <v>82</v>
      </c>
      <c r="AB4608" s="2">
        <v>9</v>
      </c>
      <c r="AC4608" s="2" t="s">
        <v>124</v>
      </c>
      <c r="AD4608" s="3">
        <v>40491</v>
      </c>
      <c r="AE4608" s="4">
        <v>0.69444444444444453</v>
      </c>
      <c r="AF4608" s="2"/>
      <c r="AG4608" s="2"/>
      <c r="AH4608" s="2">
        <v>6</v>
      </c>
      <c r="AI4608" s="2" t="s">
        <v>197</v>
      </c>
      <c r="AJ4608" s="2">
        <v>50</v>
      </c>
      <c r="AK4608" s="2" t="s">
        <v>330</v>
      </c>
      <c r="AL4608" s="2">
        <v>12</v>
      </c>
      <c r="AM4608" s="2" t="s">
        <v>86</v>
      </c>
      <c r="AN4608" s="2"/>
      <c r="AO4608" s="2" t="s">
        <v>14282</v>
      </c>
      <c r="AP4608" s="2">
        <v>11</v>
      </c>
      <c r="AQ4608" s="2" t="s">
        <v>82</v>
      </c>
      <c r="AR4608" s="2"/>
      <c r="AS4608" s="2"/>
      <c r="AT4608" s="2" t="s">
        <v>14283</v>
      </c>
      <c r="AU4608" s="2"/>
      <c r="AV4608" s="2"/>
      <c r="AW4608" s="2"/>
      <c r="AX4608" s="2"/>
      <c r="AY4608" s="2">
        <v>41</v>
      </c>
      <c r="AZ4608" s="2" t="s">
        <v>82</v>
      </c>
      <c r="BA4608" s="2">
        <v>41</v>
      </c>
      <c r="BB4608" s="2" t="s">
        <v>82</v>
      </c>
      <c r="BC4608" s="2">
        <v>41</v>
      </c>
      <c r="BD4608" s="2" t="s">
        <v>82</v>
      </c>
      <c r="BE4608" s="2">
        <v>4</v>
      </c>
      <c r="BF4608" s="2" t="s">
        <v>90</v>
      </c>
      <c r="BG4608" s="2">
        <v>4348</v>
      </c>
      <c r="BH4608" s="4">
        <v>0.65277777777777779</v>
      </c>
      <c r="BI4608" s="2"/>
      <c r="BJ4608" s="2">
        <v>13</v>
      </c>
      <c r="BK4608" s="2" t="s">
        <v>91</v>
      </c>
      <c r="BL4608" s="2" t="s">
        <v>185</v>
      </c>
      <c r="BM4608" s="2">
        <v>13</v>
      </c>
      <c r="BN4608" s="2" t="s">
        <v>91</v>
      </c>
      <c r="BO4608" s="2"/>
      <c r="BP4608" s="2">
        <v>13</v>
      </c>
      <c r="BQ4608" s="2" t="s">
        <v>91</v>
      </c>
      <c r="BR4608" s="2" t="s">
        <v>1199</v>
      </c>
      <c r="BS4608" s="3">
        <v>40491</v>
      </c>
      <c r="BT4608" s="4">
        <v>0.93019675925925915</v>
      </c>
    </row>
    <row r="4609" spans="1:72" x14ac:dyDescent="0.25">
      <c r="A4609" s="2">
        <v>7098</v>
      </c>
      <c r="B4609" s="2">
        <v>2010</v>
      </c>
      <c r="C4609" s="2" t="s">
        <v>171</v>
      </c>
      <c r="D4609" s="2" t="s">
        <v>122</v>
      </c>
      <c r="E4609" s="2" t="s">
        <v>14284</v>
      </c>
      <c r="F4609" s="2">
        <v>400</v>
      </c>
      <c r="G4609" s="2" t="s">
        <v>3601</v>
      </c>
      <c r="H4609" s="2">
        <v>17</v>
      </c>
      <c r="I4609" s="2" t="s">
        <v>3602</v>
      </c>
      <c r="J4609" s="2">
        <v>316</v>
      </c>
      <c r="K4609" s="2" t="s">
        <v>574</v>
      </c>
      <c r="L4609" s="2" t="s">
        <v>575</v>
      </c>
      <c r="M4609" s="3">
        <v>40492</v>
      </c>
      <c r="N4609" s="2" t="s">
        <v>3826</v>
      </c>
      <c r="O4609" s="2" t="s">
        <v>14184</v>
      </c>
      <c r="P4609" s="2">
        <v>1386</v>
      </c>
      <c r="Q4609" s="2" t="str">
        <f>"09R/10"</f>
        <v>09R/10</v>
      </c>
      <c r="R4609" s="2" t="s">
        <v>6092</v>
      </c>
      <c r="S4609" s="2"/>
      <c r="T4609" s="2">
        <v>1</v>
      </c>
      <c r="U4609" s="2" t="s">
        <v>79</v>
      </c>
      <c r="V4609" s="2">
        <v>1</v>
      </c>
      <c r="W4609" s="2" t="s">
        <v>80</v>
      </c>
      <c r="X4609" s="2">
        <v>2</v>
      </c>
      <c r="Y4609" s="2" t="s">
        <v>136</v>
      </c>
      <c r="Z4609" s="2">
        <v>10</v>
      </c>
      <c r="AA4609" s="2" t="s">
        <v>236</v>
      </c>
      <c r="AB4609" s="2">
        <v>1</v>
      </c>
      <c r="AC4609" s="2" t="s">
        <v>178</v>
      </c>
      <c r="AD4609" s="3">
        <v>40491</v>
      </c>
      <c r="AE4609" s="4">
        <v>0.58333333333333337</v>
      </c>
      <c r="AF4609" s="2"/>
      <c r="AG4609" s="2"/>
      <c r="AH4609" s="2">
        <v>2</v>
      </c>
      <c r="AI4609" s="2" t="s">
        <v>84</v>
      </c>
      <c r="AJ4609" s="2">
        <v>6</v>
      </c>
      <c r="AK4609" s="2" t="s">
        <v>453</v>
      </c>
      <c r="AL4609" s="2">
        <v>14</v>
      </c>
      <c r="AM4609" s="2" t="s">
        <v>216</v>
      </c>
      <c r="AN4609" s="2" t="s">
        <v>14285</v>
      </c>
      <c r="AO4609" s="2" t="s">
        <v>14286</v>
      </c>
      <c r="AP4609" s="2">
        <v>11</v>
      </c>
      <c r="AQ4609" s="2" t="s">
        <v>82</v>
      </c>
      <c r="AR4609" s="2"/>
      <c r="AS4609" s="2"/>
      <c r="AT4609" s="2" t="s">
        <v>14287</v>
      </c>
      <c r="AU4609" s="2"/>
      <c r="AV4609" s="2">
        <v>1</v>
      </c>
      <c r="AW4609" s="2"/>
      <c r="AX4609" s="2"/>
      <c r="AY4609" s="2">
        <v>42</v>
      </c>
      <c r="AZ4609" s="2" t="s">
        <v>182</v>
      </c>
      <c r="BA4609" s="2">
        <v>70</v>
      </c>
      <c r="BB4609" s="2" t="s">
        <v>236</v>
      </c>
      <c r="BC4609" s="2">
        <v>70</v>
      </c>
      <c r="BD4609" s="2" t="s">
        <v>236</v>
      </c>
      <c r="BE4609" s="2">
        <v>31</v>
      </c>
      <c r="BF4609" s="2" t="s">
        <v>398</v>
      </c>
      <c r="BG4609" s="2" t="s">
        <v>7251</v>
      </c>
      <c r="BH4609" s="2"/>
      <c r="BI4609" s="2"/>
      <c r="BJ4609" s="2">
        <v>13</v>
      </c>
      <c r="BK4609" s="2" t="s">
        <v>91</v>
      </c>
      <c r="BL4609" s="2" t="s">
        <v>360</v>
      </c>
      <c r="BM4609" s="2">
        <v>73</v>
      </c>
      <c r="BN4609" s="2" t="s">
        <v>186</v>
      </c>
      <c r="BO4609" s="2"/>
      <c r="BP4609" s="2">
        <v>73</v>
      </c>
      <c r="BQ4609" s="2" t="s">
        <v>186</v>
      </c>
      <c r="BR4609" s="2" t="s">
        <v>187</v>
      </c>
      <c r="BS4609" s="3">
        <v>40492</v>
      </c>
      <c r="BT4609" s="4">
        <v>6.4548611111111112E-2</v>
      </c>
    </row>
    <row r="4610" spans="1:72" x14ac:dyDescent="0.25">
      <c r="A4610" s="2">
        <v>7099</v>
      </c>
      <c r="B4610" s="2">
        <v>2010</v>
      </c>
      <c r="C4610" s="2" t="s">
        <v>93</v>
      </c>
      <c r="D4610" s="2" t="s">
        <v>73</v>
      </c>
      <c r="E4610" s="2"/>
      <c r="F4610" s="2">
        <v>394</v>
      </c>
      <c r="G4610" s="2" t="s">
        <v>172</v>
      </c>
      <c r="H4610" s="2">
        <v>5</v>
      </c>
      <c r="I4610" s="2" t="s">
        <v>634</v>
      </c>
      <c r="J4610" s="2">
        <v>241</v>
      </c>
      <c r="K4610" s="2" t="s">
        <v>174</v>
      </c>
      <c r="L4610" s="2" t="s">
        <v>175</v>
      </c>
      <c r="M4610" s="3">
        <v>40492</v>
      </c>
      <c r="N4610" s="2" t="s">
        <v>719</v>
      </c>
      <c r="O4610" s="2" t="s">
        <v>14288</v>
      </c>
      <c r="P4610" s="2" t="s">
        <v>82</v>
      </c>
      <c r="Q4610" s="2" t="str">
        <f>"N/C"</f>
        <v>N/C</v>
      </c>
      <c r="R4610" s="2"/>
      <c r="S4610" s="2"/>
      <c r="T4610" s="2">
        <v>1</v>
      </c>
      <c r="U4610" s="2" t="s">
        <v>79</v>
      </c>
      <c r="V4610" s="2">
        <v>1</v>
      </c>
      <c r="W4610" s="2" t="s">
        <v>80</v>
      </c>
      <c r="X4610" s="2">
        <v>10</v>
      </c>
      <c r="Y4610" s="2" t="s">
        <v>226</v>
      </c>
      <c r="Z4610" s="2">
        <v>6</v>
      </c>
      <c r="AA4610" s="2" t="s">
        <v>101</v>
      </c>
      <c r="AB4610" s="2">
        <v>2</v>
      </c>
      <c r="AC4610" s="2" t="s">
        <v>102</v>
      </c>
      <c r="AD4610" s="3">
        <v>40491</v>
      </c>
      <c r="AE4610" s="2"/>
      <c r="AF4610" s="3">
        <v>40491</v>
      </c>
      <c r="AG4610" s="4">
        <v>0.96875</v>
      </c>
      <c r="AH4610" s="2">
        <v>2</v>
      </c>
      <c r="AI4610" s="2" t="s">
        <v>84</v>
      </c>
      <c r="AJ4610" s="2">
        <v>9</v>
      </c>
      <c r="AK4610" s="2" t="s">
        <v>103</v>
      </c>
      <c r="AL4610" s="2">
        <v>14</v>
      </c>
      <c r="AM4610" s="2" t="s">
        <v>216</v>
      </c>
      <c r="AN4610" s="2" t="s">
        <v>14289</v>
      </c>
      <c r="AO4610" s="2" t="s">
        <v>12818</v>
      </c>
      <c r="AP4610" s="2">
        <v>11</v>
      </c>
      <c r="AQ4610" s="2" t="s">
        <v>82</v>
      </c>
      <c r="AR4610" s="2"/>
      <c r="AS4610" s="2"/>
      <c r="AT4610" s="2" t="s">
        <v>14290</v>
      </c>
      <c r="AU4610" s="2"/>
      <c r="AV4610" s="2">
        <v>1</v>
      </c>
      <c r="AW4610" s="2"/>
      <c r="AX4610" s="2"/>
      <c r="AY4610" s="2">
        <v>41</v>
      </c>
      <c r="AZ4610" s="2" t="s">
        <v>82</v>
      </c>
      <c r="BA4610" s="2">
        <v>41</v>
      </c>
      <c r="BB4610" s="2" t="s">
        <v>82</v>
      </c>
      <c r="BC4610" s="2">
        <v>41</v>
      </c>
      <c r="BD4610" s="2" t="s">
        <v>82</v>
      </c>
      <c r="BE4610" s="2">
        <v>31</v>
      </c>
      <c r="BF4610" s="2" t="s">
        <v>398</v>
      </c>
      <c r="BG4610" s="2" t="s">
        <v>7568</v>
      </c>
      <c r="BH4610" s="4">
        <v>0.93055555555555547</v>
      </c>
      <c r="BI4610" s="2"/>
      <c r="BJ4610" s="2">
        <v>73</v>
      </c>
      <c r="BK4610" s="2" t="s">
        <v>186</v>
      </c>
      <c r="BL4610" s="2" t="s">
        <v>187</v>
      </c>
      <c r="BM4610" s="2">
        <v>13</v>
      </c>
      <c r="BN4610" s="2" t="s">
        <v>91</v>
      </c>
      <c r="BO4610" s="2"/>
      <c r="BP4610" s="2">
        <v>13</v>
      </c>
      <c r="BQ4610" s="2" t="s">
        <v>91</v>
      </c>
      <c r="BR4610" s="2" t="s">
        <v>360</v>
      </c>
      <c r="BS4610" s="3">
        <v>40492</v>
      </c>
      <c r="BT4610" s="4">
        <v>0.28464120370370372</v>
      </c>
    </row>
    <row r="4611" spans="1:72" x14ac:dyDescent="0.25">
      <c r="A4611" s="2">
        <v>7100</v>
      </c>
      <c r="B4611" s="2">
        <v>2010</v>
      </c>
      <c r="C4611" s="2" t="s">
        <v>255</v>
      </c>
      <c r="D4611" s="2" t="s">
        <v>122</v>
      </c>
      <c r="E4611" s="2" t="s">
        <v>14291</v>
      </c>
      <c r="F4611" s="2">
        <v>70</v>
      </c>
      <c r="G4611" s="2" t="s">
        <v>3539</v>
      </c>
      <c r="H4611" s="2">
        <v>108</v>
      </c>
      <c r="I4611" s="2" t="s">
        <v>1096</v>
      </c>
      <c r="J4611" s="2">
        <v>689</v>
      </c>
      <c r="K4611" s="2" t="s">
        <v>13469</v>
      </c>
      <c r="L4611" s="2" t="s">
        <v>13470</v>
      </c>
      <c r="M4611" s="3">
        <v>40492</v>
      </c>
      <c r="N4611" s="2" t="s">
        <v>5060</v>
      </c>
      <c r="O4611" s="2" t="s">
        <v>14292</v>
      </c>
      <c r="P4611" s="2" t="s">
        <v>14293</v>
      </c>
      <c r="Q4611" s="2" t="str">
        <f>"03/2010"</f>
        <v>03/2010</v>
      </c>
      <c r="R4611" s="2" t="s">
        <v>14066</v>
      </c>
      <c r="S4611" s="2" t="s">
        <v>14066</v>
      </c>
      <c r="T4611" s="2">
        <v>1</v>
      </c>
      <c r="U4611" s="2" t="s">
        <v>79</v>
      </c>
      <c r="V4611" s="2">
        <v>1</v>
      </c>
      <c r="W4611" s="2" t="s">
        <v>80</v>
      </c>
      <c r="X4611" s="2">
        <v>12</v>
      </c>
      <c r="Y4611" s="2" t="s">
        <v>148</v>
      </c>
      <c r="Z4611" s="2">
        <v>3</v>
      </c>
      <c r="AA4611" s="2" t="s">
        <v>257</v>
      </c>
      <c r="AB4611" s="2">
        <v>9</v>
      </c>
      <c r="AC4611" s="2" t="s">
        <v>124</v>
      </c>
      <c r="AD4611" s="3">
        <v>40485</v>
      </c>
      <c r="AE4611" s="4">
        <v>0.67708333333333337</v>
      </c>
      <c r="AF4611" s="3">
        <v>40485</v>
      </c>
      <c r="AG4611" s="4">
        <v>0.72222222222222221</v>
      </c>
      <c r="AH4611" s="2">
        <v>3</v>
      </c>
      <c r="AI4611" s="2" t="s">
        <v>214</v>
      </c>
      <c r="AJ4611" s="2">
        <v>21</v>
      </c>
      <c r="AK4611" s="2" t="s">
        <v>3544</v>
      </c>
      <c r="AL4611" s="2">
        <v>9</v>
      </c>
      <c r="AM4611" s="2" t="s">
        <v>259</v>
      </c>
      <c r="AN4611" s="2" t="s">
        <v>14067</v>
      </c>
      <c r="AO4611" s="2"/>
      <c r="AP4611" s="2">
        <v>11</v>
      </c>
      <c r="AQ4611" s="2" t="s">
        <v>82</v>
      </c>
      <c r="AR4611" s="2"/>
      <c r="AS4611" s="2"/>
      <c r="AT4611" s="2" t="s">
        <v>14294</v>
      </c>
      <c r="AU4611" s="2"/>
      <c r="AV4611" s="2"/>
      <c r="AW4611" s="2"/>
      <c r="AX4611" s="2"/>
      <c r="AY4611" s="2">
        <v>44</v>
      </c>
      <c r="AZ4611" s="2" t="s">
        <v>262</v>
      </c>
      <c r="BA4611" s="2">
        <v>44</v>
      </c>
      <c r="BB4611" s="2" t="s">
        <v>262</v>
      </c>
      <c r="BC4611" s="2">
        <v>41</v>
      </c>
      <c r="BD4611" s="2" t="s">
        <v>82</v>
      </c>
      <c r="BE4611" s="2">
        <v>41</v>
      </c>
      <c r="BF4611" s="2" t="s">
        <v>82</v>
      </c>
      <c r="BG4611" s="2"/>
      <c r="BH4611" s="2"/>
      <c r="BI4611" s="2"/>
      <c r="BJ4611" s="2">
        <v>241</v>
      </c>
      <c r="BK4611" s="2" t="s">
        <v>82</v>
      </c>
      <c r="BL4611" s="2"/>
      <c r="BM4611" s="2">
        <v>241</v>
      </c>
      <c r="BN4611" s="2" t="s">
        <v>82</v>
      </c>
      <c r="BO4611" s="2"/>
      <c r="BP4611" s="2">
        <v>241</v>
      </c>
      <c r="BQ4611" s="2" t="s">
        <v>82</v>
      </c>
      <c r="BR4611" s="2"/>
      <c r="BS4611" s="3">
        <v>40492</v>
      </c>
      <c r="BT4611" s="4">
        <v>0.46228009259259256</v>
      </c>
    </row>
    <row r="4612" spans="1:72" x14ac:dyDescent="0.25">
      <c r="A4612" s="2">
        <v>7101</v>
      </c>
      <c r="B4612" s="2">
        <v>2010</v>
      </c>
      <c r="C4612" s="2" t="s">
        <v>128</v>
      </c>
      <c r="D4612" s="2" t="s">
        <v>73</v>
      </c>
      <c r="E4612" s="2" t="s">
        <v>11467</v>
      </c>
      <c r="F4612" s="2">
        <v>425</v>
      </c>
      <c r="G4612" s="2" t="s">
        <v>286</v>
      </c>
      <c r="H4612" s="2">
        <v>122</v>
      </c>
      <c r="I4612" s="2" t="s">
        <v>8431</v>
      </c>
      <c r="J4612" s="2">
        <v>310</v>
      </c>
      <c r="K4612" s="2" t="s">
        <v>288</v>
      </c>
      <c r="L4612" s="2" t="s">
        <v>289</v>
      </c>
      <c r="M4612" s="3">
        <v>40492</v>
      </c>
      <c r="N4612" s="2" t="s">
        <v>1882</v>
      </c>
      <c r="O4612" s="2" t="s">
        <v>11433</v>
      </c>
      <c r="P4612" s="2" t="s">
        <v>11434</v>
      </c>
      <c r="Q4612" s="2" t="str">
        <f>"102"</f>
        <v>102</v>
      </c>
      <c r="R4612" s="2"/>
      <c r="S4612" s="2"/>
      <c r="T4612" s="2">
        <v>1</v>
      </c>
      <c r="U4612" s="2" t="s">
        <v>79</v>
      </c>
      <c r="V4612" s="2">
        <v>3</v>
      </c>
      <c r="W4612" s="2" t="s">
        <v>225</v>
      </c>
      <c r="X4612" s="2">
        <v>6</v>
      </c>
      <c r="Y4612" s="2" t="s">
        <v>249</v>
      </c>
      <c r="Z4612" s="2">
        <v>1</v>
      </c>
      <c r="AA4612" s="2" t="s">
        <v>82</v>
      </c>
      <c r="AB4612" s="2">
        <v>9</v>
      </c>
      <c r="AC4612" s="2" t="s">
        <v>124</v>
      </c>
      <c r="AD4612" s="2"/>
      <c r="AE4612" s="2"/>
      <c r="AF4612" s="2"/>
      <c r="AG4612" s="2"/>
      <c r="AH4612" s="2">
        <v>4</v>
      </c>
      <c r="AI4612" s="2" t="s">
        <v>125</v>
      </c>
      <c r="AJ4612" s="2">
        <v>26</v>
      </c>
      <c r="AK4612" s="2" t="s">
        <v>293</v>
      </c>
      <c r="AL4612" s="2">
        <v>23</v>
      </c>
      <c r="AM4612" s="2" t="s">
        <v>251</v>
      </c>
      <c r="AN4612" s="2"/>
      <c r="AO4612" s="2" t="s">
        <v>11465</v>
      </c>
      <c r="AP4612" s="2">
        <v>11</v>
      </c>
      <c r="AQ4612" s="2" t="s">
        <v>82</v>
      </c>
      <c r="AR4612" s="2"/>
      <c r="AS4612" s="2"/>
      <c r="AT4612" s="2" t="s">
        <v>14295</v>
      </c>
      <c r="AU4612" s="2"/>
      <c r="AV4612" s="2"/>
      <c r="AW4612" s="2"/>
      <c r="AX4612" s="2"/>
      <c r="AY4612" s="2">
        <v>41</v>
      </c>
      <c r="AZ4612" s="2" t="s">
        <v>82</v>
      </c>
      <c r="BA4612" s="2">
        <v>41</v>
      </c>
      <c r="BB4612" s="2" t="s">
        <v>82</v>
      </c>
      <c r="BC4612" s="2">
        <v>41</v>
      </c>
      <c r="BD4612" s="2" t="s">
        <v>82</v>
      </c>
      <c r="BE4612" s="2">
        <v>41</v>
      </c>
      <c r="BF4612" s="2" t="s">
        <v>82</v>
      </c>
      <c r="BG4612" s="2"/>
      <c r="BH4612" s="2"/>
      <c r="BI4612" s="2"/>
      <c r="BJ4612" s="2">
        <v>241</v>
      </c>
      <c r="BK4612" s="2" t="s">
        <v>82</v>
      </c>
      <c r="BL4612" s="2"/>
      <c r="BM4612" s="2">
        <v>241</v>
      </c>
      <c r="BN4612" s="2" t="s">
        <v>82</v>
      </c>
      <c r="BO4612" s="2"/>
      <c r="BP4612" s="2">
        <v>241</v>
      </c>
      <c r="BQ4612" s="2" t="s">
        <v>82</v>
      </c>
      <c r="BR4612" s="2"/>
      <c r="BS4612" s="3">
        <v>40492</v>
      </c>
      <c r="BT4612" s="4">
        <v>0.49421296296296297</v>
      </c>
    </row>
    <row r="4613" spans="1:72" x14ac:dyDescent="0.25">
      <c r="A4613" s="2">
        <v>7104</v>
      </c>
      <c r="B4613" s="2">
        <v>2010</v>
      </c>
      <c r="C4613" s="2" t="s">
        <v>171</v>
      </c>
      <c r="D4613" s="2" t="s">
        <v>73</v>
      </c>
      <c r="E4613" s="2" t="s">
        <v>14296</v>
      </c>
      <c r="F4613" s="2">
        <v>425</v>
      </c>
      <c r="G4613" s="2" t="s">
        <v>286</v>
      </c>
      <c r="H4613" s="2">
        <v>30</v>
      </c>
      <c r="I4613" s="2" t="s">
        <v>912</v>
      </c>
      <c r="J4613" s="2">
        <v>310</v>
      </c>
      <c r="K4613" s="2" t="s">
        <v>288</v>
      </c>
      <c r="L4613" s="2" t="s">
        <v>289</v>
      </c>
      <c r="M4613" s="3">
        <v>40492</v>
      </c>
      <c r="N4613" s="2" t="s">
        <v>2049</v>
      </c>
      <c r="O4613" s="2" t="s">
        <v>7103</v>
      </c>
      <c r="P4613" s="2" t="s">
        <v>14297</v>
      </c>
      <c r="Q4613" s="2" t="str">
        <f>"103/10"</f>
        <v>103/10</v>
      </c>
      <c r="R4613" s="2" t="s">
        <v>822</v>
      </c>
      <c r="S4613" s="2"/>
      <c r="T4613" s="2">
        <v>1</v>
      </c>
      <c r="U4613" s="2" t="s">
        <v>79</v>
      </c>
      <c r="V4613" s="2">
        <v>1</v>
      </c>
      <c r="W4613" s="2" t="s">
        <v>80</v>
      </c>
      <c r="X4613" s="2">
        <v>1</v>
      </c>
      <c r="Y4613" s="2" t="s">
        <v>81</v>
      </c>
      <c r="Z4613" s="2">
        <v>1</v>
      </c>
      <c r="AA4613" s="2" t="s">
        <v>82</v>
      </c>
      <c r="AB4613" s="2">
        <v>1</v>
      </c>
      <c r="AC4613" s="2" t="s">
        <v>178</v>
      </c>
      <c r="AD4613" s="3">
        <v>40492</v>
      </c>
      <c r="AE4613" s="4">
        <v>0.43055555555555558</v>
      </c>
      <c r="AF4613" s="3">
        <v>40492</v>
      </c>
      <c r="AG4613" s="4">
        <v>0.43055555555555558</v>
      </c>
      <c r="AH4613" s="2">
        <v>4</v>
      </c>
      <c r="AI4613" s="2" t="s">
        <v>125</v>
      </c>
      <c r="AJ4613" s="2">
        <v>29</v>
      </c>
      <c r="AK4613" s="2" t="s">
        <v>227</v>
      </c>
      <c r="AL4613" s="2">
        <v>16</v>
      </c>
      <c r="AM4613" s="2" t="s">
        <v>392</v>
      </c>
      <c r="AN4613" s="2" t="s">
        <v>9764</v>
      </c>
      <c r="AO4613" s="2"/>
      <c r="AP4613" s="2">
        <v>12</v>
      </c>
      <c r="AQ4613" s="2" t="s">
        <v>322</v>
      </c>
      <c r="AR4613" s="2" t="s">
        <v>824</v>
      </c>
      <c r="AS4613" s="2" t="s">
        <v>825</v>
      </c>
      <c r="AT4613" s="2" t="s">
        <v>14298</v>
      </c>
      <c r="AU4613" s="2"/>
      <c r="AV4613" s="2"/>
      <c r="AW4613" s="2"/>
      <c r="AX4613" s="2"/>
      <c r="AY4613" s="2">
        <v>41</v>
      </c>
      <c r="AZ4613" s="2" t="s">
        <v>82</v>
      </c>
      <c r="BA4613" s="2">
        <v>41</v>
      </c>
      <c r="BB4613" s="2" t="s">
        <v>82</v>
      </c>
      <c r="BC4613" s="2">
        <v>51</v>
      </c>
      <c r="BD4613" s="2" t="s">
        <v>827</v>
      </c>
      <c r="BE4613" s="2">
        <v>47</v>
      </c>
      <c r="BF4613" s="2" t="s">
        <v>167</v>
      </c>
      <c r="BG4613" s="2">
        <v>2459</v>
      </c>
      <c r="BH4613" s="4">
        <v>0.97916666666666663</v>
      </c>
      <c r="BI4613" s="4">
        <v>1.3888888888888888E-2</v>
      </c>
      <c r="BJ4613" s="2">
        <v>13</v>
      </c>
      <c r="BK4613" s="2" t="s">
        <v>91</v>
      </c>
      <c r="BL4613" s="2" t="s">
        <v>828</v>
      </c>
      <c r="BM4613" s="2">
        <v>13</v>
      </c>
      <c r="BN4613" s="2" t="s">
        <v>91</v>
      </c>
      <c r="BO4613" s="2"/>
      <c r="BP4613" s="2">
        <v>13</v>
      </c>
      <c r="BQ4613" s="2" t="s">
        <v>91</v>
      </c>
      <c r="BR4613" s="2" t="s">
        <v>185</v>
      </c>
      <c r="BS4613" s="3">
        <v>40492</v>
      </c>
      <c r="BT4613" s="4">
        <v>0.53001157407407407</v>
      </c>
    </row>
    <row r="4614" spans="1:72" x14ac:dyDescent="0.25">
      <c r="A4614" s="2">
        <v>7105</v>
      </c>
      <c r="B4614" s="2">
        <v>2010</v>
      </c>
      <c r="C4614" s="2" t="s">
        <v>171</v>
      </c>
      <c r="D4614" s="2" t="s">
        <v>73</v>
      </c>
      <c r="E4614" s="2" t="s">
        <v>14299</v>
      </c>
      <c r="F4614" s="2">
        <v>425</v>
      </c>
      <c r="G4614" s="2" t="s">
        <v>286</v>
      </c>
      <c r="H4614" s="2">
        <v>30</v>
      </c>
      <c r="I4614" s="2" t="s">
        <v>912</v>
      </c>
      <c r="J4614" s="2">
        <v>310</v>
      </c>
      <c r="K4614" s="2" t="s">
        <v>288</v>
      </c>
      <c r="L4614" s="2" t="s">
        <v>289</v>
      </c>
      <c r="M4614" s="3">
        <v>40492</v>
      </c>
      <c r="N4614" s="2" t="s">
        <v>2049</v>
      </c>
      <c r="O4614" s="2" t="s">
        <v>7103</v>
      </c>
      <c r="P4614" s="2" t="s">
        <v>14300</v>
      </c>
      <c r="Q4614" s="2" t="str">
        <f>"102/10"</f>
        <v>102/10</v>
      </c>
      <c r="R4614" s="2" t="s">
        <v>822</v>
      </c>
      <c r="S4614" s="2"/>
      <c r="T4614" s="2">
        <v>1</v>
      </c>
      <c r="U4614" s="2" t="s">
        <v>79</v>
      </c>
      <c r="V4614" s="2">
        <v>1</v>
      </c>
      <c r="W4614" s="2" t="s">
        <v>80</v>
      </c>
      <c r="X4614" s="2">
        <v>1</v>
      </c>
      <c r="Y4614" s="2" t="s">
        <v>81</v>
      </c>
      <c r="Z4614" s="2">
        <v>1</v>
      </c>
      <c r="AA4614" s="2" t="s">
        <v>82</v>
      </c>
      <c r="AB4614" s="2">
        <v>1</v>
      </c>
      <c r="AC4614" s="2" t="s">
        <v>178</v>
      </c>
      <c r="AD4614" s="3">
        <v>40492</v>
      </c>
      <c r="AE4614" s="4">
        <v>0.47916666666666669</v>
      </c>
      <c r="AF4614" s="3">
        <v>40492</v>
      </c>
      <c r="AG4614" s="4">
        <v>0.47916666666666669</v>
      </c>
      <c r="AH4614" s="2">
        <v>4</v>
      </c>
      <c r="AI4614" s="2" t="s">
        <v>125</v>
      </c>
      <c r="AJ4614" s="2">
        <v>29</v>
      </c>
      <c r="AK4614" s="2" t="s">
        <v>227</v>
      </c>
      <c r="AL4614" s="2">
        <v>16</v>
      </c>
      <c r="AM4614" s="2" t="s">
        <v>392</v>
      </c>
      <c r="AN4614" s="2" t="s">
        <v>9764</v>
      </c>
      <c r="AO4614" s="2"/>
      <c r="AP4614" s="2">
        <v>12</v>
      </c>
      <c r="AQ4614" s="2" t="s">
        <v>322</v>
      </c>
      <c r="AR4614" s="2" t="s">
        <v>824</v>
      </c>
      <c r="AS4614" s="2" t="s">
        <v>825</v>
      </c>
      <c r="AT4614" s="2" t="s">
        <v>14301</v>
      </c>
      <c r="AU4614" s="2"/>
      <c r="AV4614" s="2"/>
      <c r="AW4614" s="2"/>
      <c r="AX4614" s="2"/>
      <c r="AY4614" s="2">
        <v>41</v>
      </c>
      <c r="AZ4614" s="2" t="s">
        <v>82</v>
      </c>
      <c r="BA4614" s="2">
        <v>41</v>
      </c>
      <c r="BB4614" s="2" t="s">
        <v>82</v>
      </c>
      <c r="BC4614" s="2">
        <v>51</v>
      </c>
      <c r="BD4614" s="2" t="s">
        <v>827</v>
      </c>
      <c r="BE4614" s="2">
        <v>47</v>
      </c>
      <c r="BF4614" s="2" t="s">
        <v>167</v>
      </c>
      <c r="BG4614" s="2">
        <v>2459</v>
      </c>
      <c r="BH4614" s="4">
        <v>1.3888888888888888E-2</v>
      </c>
      <c r="BI4614" s="4">
        <v>4.8611111111111112E-2</v>
      </c>
      <c r="BJ4614" s="2">
        <v>13</v>
      </c>
      <c r="BK4614" s="2" t="s">
        <v>91</v>
      </c>
      <c r="BL4614" s="2" t="s">
        <v>828</v>
      </c>
      <c r="BM4614" s="2">
        <v>13</v>
      </c>
      <c r="BN4614" s="2" t="s">
        <v>91</v>
      </c>
      <c r="BO4614" s="2"/>
      <c r="BP4614" s="2">
        <v>13</v>
      </c>
      <c r="BQ4614" s="2" t="s">
        <v>91</v>
      </c>
      <c r="BR4614" s="2" t="s">
        <v>185</v>
      </c>
      <c r="BS4614" s="3">
        <v>40492</v>
      </c>
      <c r="BT4614" s="4">
        <v>0.54761574074074071</v>
      </c>
    </row>
    <row r="4615" spans="1:72" x14ac:dyDescent="0.25">
      <c r="A4615" s="2">
        <v>7106</v>
      </c>
      <c r="B4615" s="2">
        <v>2010</v>
      </c>
      <c r="C4615" s="2" t="s">
        <v>171</v>
      </c>
      <c r="D4615" s="2" t="s">
        <v>73</v>
      </c>
      <c r="E4615" s="2" t="s">
        <v>14302</v>
      </c>
      <c r="F4615" s="2">
        <v>92</v>
      </c>
      <c r="G4615" s="2" t="s">
        <v>1432</v>
      </c>
      <c r="H4615" s="2">
        <v>47</v>
      </c>
      <c r="I4615" s="2" t="s">
        <v>1409</v>
      </c>
      <c r="J4615" s="2">
        <v>119</v>
      </c>
      <c r="K4615" s="2" t="s">
        <v>325</v>
      </c>
      <c r="L4615" s="2" t="s">
        <v>326</v>
      </c>
      <c r="M4615" s="3">
        <v>40492</v>
      </c>
      <c r="N4615" s="2" t="s">
        <v>13856</v>
      </c>
      <c r="O4615" s="2" t="s">
        <v>13641</v>
      </c>
      <c r="P4615" s="2" t="s">
        <v>8063</v>
      </c>
      <c r="Q4615" s="2" t="str">
        <f>""</f>
        <v/>
      </c>
      <c r="R4615" s="2"/>
      <c r="S4615" s="2"/>
      <c r="T4615" s="2">
        <v>1</v>
      </c>
      <c r="U4615" s="2" t="s">
        <v>79</v>
      </c>
      <c r="V4615" s="2">
        <v>3</v>
      </c>
      <c r="W4615" s="2" t="s">
        <v>225</v>
      </c>
      <c r="X4615" s="2">
        <v>5</v>
      </c>
      <c r="Y4615" s="2" t="s">
        <v>82</v>
      </c>
      <c r="Z4615" s="2">
        <v>1</v>
      </c>
      <c r="AA4615" s="2" t="s">
        <v>82</v>
      </c>
      <c r="AB4615" s="2">
        <v>9</v>
      </c>
      <c r="AC4615" s="2" t="s">
        <v>124</v>
      </c>
      <c r="AD4615" s="3">
        <v>40492</v>
      </c>
      <c r="AE4615" s="4">
        <v>0.54166666666666663</v>
      </c>
      <c r="AF4615" s="2"/>
      <c r="AG4615" s="2"/>
      <c r="AH4615" s="2">
        <v>6</v>
      </c>
      <c r="AI4615" s="2" t="s">
        <v>197</v>
      </c>
      <c r="AJ4615" s="2">
        <v>47</v>
      </c>
      <c r="AK4615" s="2" t="s">
        <v>250</v>
      </c>
      <c r="AL4615" s="2">
        <v>25</v>
      </c>
      <c r="AM4615" s="2" t="s">
        <v>3073</v>
      </c>
      <c r="AN4615" s="2"/>
      <c r="AO4615" s="2" t="s">
        <v>14303</v>
      </c>
      <c r="AP4615" s="2">
        <v>11</v>
      </c>
      <c r="AQ4615" s="2" t="s">
        <v>82</v>
      </c>
      <c r="AR4615" s="2"/>
      <c r="AS4615" s="2"/>
      <c r="AT4615" s="2" t="s">
        <v>14304</v>
      </c>
      <c r="AU4615" s="2"/>
      <c r="AV4615" s="2"/>
      <c r="AW4615" s="2"/>
      <c r="AX4615" s="2"/>
      <c r="AY4615" s="2">
        <v>41</v>
      </c>
      <c r="AZ4615" s="2" t="s">
        <v>82</v>
      </c>
      <c r="BA4615" s="2">
        <v>41</v>
      </c>
      <c r="BB4615" s="2" t="s">
        <v>82</v>
      </c>
      <c r="BC4615" s="2">
        <v>41</v>
      </c>
      <c r="BD4615" s="2" t="s">
        <v>82</v>
      </c>
      <c r="BE4615" s="2">
        <v>41</v>
      </c>
      <c r="BF4615" s="2" t="s">
        <v>82</v>
      </c>
      <c r="BG4615" s="2"/>
      <c r="BH4615" s="2"/>
      <c r="BI4615" s="2"/>
      <c r="BJ4615" s="2">
        <v>241</v>
      </c>
      <c r="BK4615" s="2" t="s">
        <v>82</v>
      </c>
      <c r="BL4615" s="2"/>
      <c r="BM4615" s="2">
        <v>241</v>
      </c>
      <c r="BN4615" s="2" t="s">
        <v>82</v>
      </c>
      <c r="BO4615" s="2"/>
      <c r="BP4615" s="2">
        <v>241</v>
      </c>
      <c r="BQ4615" s="2" t="s">
        <v>82</v>
      </c>
      <c r="BR4615" s="2"/>
      <c r="BS4615" s="3">
        <v>40492</v>
      </c>
      <c r="BT4615" s="4">
        <v>0.62032407407407408</v>
      </c>
    </row>
    <row r="4616" spans="1:72" x14ac:dyDescent="0.25">
      <c r="A4616" s="2">
        <v>7107</v>
      </c>
      <c r="B4616" s="2">
        <v>2010</v>
      </c>
      <c r="C4616" s="2" t="s">
        <v>171</v>
      </c>
      <c r="D4616" s="2" t="s">
        <v>73</v>
      </c>
      <c r="E4616" s="2"/>
      <c r="F4616" s="2">
        <v>100</v>
      </c>
      <c r="G4616" s="2" t="s">
        <v>517</v>
      </c>
      <c r="H4616" s="2">
        <v>47</v>
      </c>
      <c r="I4616" s="2" t="s">
        <v>1409</v>
      </c>
      <c r="J4616" s="2">
        <v>119</v>
      </c>
      <c r="K4616" s="2" t="s">
        <v>325</v>
      </c>
      <c r="L4616" s="2" t="s">
        <v>326</v>
      </c>
      <c r="M4616" s="3">
        <v>40492</v>
      </c>
      <c r="N4616" s="2" t="s">
        <v>1433</v>
      </c>
      <c r="O4616" s="2" t="s">
        <v>13641</v>
      </c>
      <c r="P4616" s="2" t="s">
        <v>8063</v>
      </c>
      <c r="Q4616" s="2" t="str">
        <f>""</f>
        <v/>
      </c>
      <c r="R4616" s="2"/>
      <c r="S4616" s="2"/>
      <c r="T4616" s="2">
        <v>1</v>
      </c>
      <c r="U4616" s="2" t="s">
        <v>79</v>
      </c>
      <c r="V4616" s="2">
        <v>3</v>
      </c>
      <c r="W4616" s="2" t="s">
        <v>225</v>
      </c>
      <c r="X4616" s="2">
        <v>6</v>
      </c>
      <c r="Y4616" s="2" t="s">
        <v>249</v>
      </c>
      <c r="Z4616" s="2">
        <v>1</v>
      </c>
      <c r="AA4616" s="2" t="s">
        <v>82</v>
      </c>
      <c r="AB4616" s="2">
        <v>9</v>
      </c>
      <c r="AC4616" s="2" t="s">
        <v>124</v>
      </c>
      <c r="AD4616" s="3">
        <v>40492</v>
      </c>
      <c r="AE4616" s="4">
        <v>0.54166666666666663</v>
      </c>
      <c r="AF4616" s="2"/>
      <c r="AG4616" s="2"/>
      <c r="AH4616" s="2">
        <v>6</v>
      </c>
      <c r="AI4616" s="2" t="s">
        <v>197</v>
      </c>
      <c r="AJ4616" s="2">
        <v>47</v>
      </c>
      <c r="AK4616" s="2" t="s">
        <v>250</v>
      </c>
      <c r="AL4616" s="2">
        <v>23</v>
      </c>
      <c r="AM4616" s="2" t="s">
        <v>251</v>
      </c>
      <c r="AN4616" s="2"/>
      <c r="AO4616" s="2"/>
      <c r="AP4616" s="2">
        <v>11</v>
      </c>
      <c r="AQ4616" s="2" t="s">
        <v>82</v>
      </c>
      <c r="AR4616" s="2"/>
      <c r="AS4616" s="2"/>
      <c r="AT4616" s="2" t="s">
        <v>14305</v>
      </c>
      <c r="AU4616" s="2"/>
      <c r="AV4616" s="2"/>
      <c r="AW4616" s="2"/>
      <c r="AX4616" s="2"/>
      <c r="AY4616" s="2">
        <v>41</v>
      </c>
      <c r="AZ4616" s="2" t="s">
        <v>82</v>
      </c>
      <c r="BA4616" s="2">
        <v>41</v>
      </c>
      <c r="BB4616" s="2" t="s">
        <v>82</v>
      </c>
      <c r="BC4616" s="2">
        <v>41</v>
      </c>
      <c r="BD4616" s="2" t="s">
        <v>82</v>
      </c>
      <c r="BE4616" s="2">
        <v>41</v>
      </c>
      <c r="BF4616" s="2" t="s">
        <v>82</v>
      </c>
      <c r="BG4616" s="2"/>
      <c r="BH4616" s="2"/>
      <c r="BI4616" s="2"/>
      <c r="BJ4616" s="2">
        <v>241</v>
      </c>
      <c r="BK4616" s="2" t="s">
        <v>82</v>
      </c>
      <c r="BL4616" s="2"/>
      <c r="BM4616" s="2">
        <v>241</v>
      </c>
      <c r="BN4616" s="2" t="s">
        <v>82</v>
      </c>
      <c r="BO4616" s="2"/>
      <c r="BP4616" s="2">
        <v>241</v>
      </c>
      <c r="BQ4616" s="2" t="s">
        <v>82</v>
      </c>
      <c r="BR4616" s="2"/>
      <c r="BS4616" s="3">
        <v>40492</v>
      </c>
      <c r="BT4616" s="4">
        <v>0.6286342592592592</v>
      </c>
    </row>
    <row r="4617" spans="1:72" x14ac:dyDescent="0.25">
      <c r="A4617" s="2">
        <v>7108</v>
      </c>
      <c r="B4617" s="2">
        <v>2010</v>
      </c>
      <c r="C4617" s="2" t="s">
        <v>171</v>
      </c>
      <c r="D4617" s="2" t="s">
        <v>122</v>
      </c>
      <c r="E4617" s="2" t="s">
        <v>14306</v>
      </c>
      <c r="F4617" s="2">
        <v>400</v>
      </c>
      <c r="G4617" s="2" t="s">
        <v>3601</v>
      </c>
      <c r="H4617" s="2">
        <v>17</v>
      </c>
      <c r="I4617" s="2" t="s">
        <v>3602</v>
      </c>
      <c r="J4617" s="2">
        <v>316</v>
      </c>
      <c r="K4617" s="2" t="s">
        <v>574</v>
      </c>
      <c r="L4617" s="2" t="s">
        <v>575</v>
      </c>
      <c r="M4617" s="3">
        <v>40492</v>
      </c>
      <c r="N4617" s="2" t="s">
        <v>3826</v>
      </c>
      <c r="O4617" s="2" t="s">
        <v>14184</v>
      </c>
      <c r="P4617" s="2">
        <v>1386</v>
      </c>
      <c r="Q4617" s="2" t="str">
        <f>"09R/10"</f>
        <v>09R/10</v>
      </c>
      <c r="R4617" s="2"/>
      <c r="S4617" s="2" t="s">
        <v>6092</v>
      </c>
      <c r="T4617" s="2">
        <v>1</v>
      </c>
      <c r="U4617" s="2" t="s">
        <v>79</v>
      </c>
      <c r="V4617" s="2">
        <v>1</v>
      </c>
      <c r="W4617" s="2" t="s">
        <v>80</v>
      </c>
      <c r="X4617" s="2">
        <v>2</v>
      </c>
      <c r="Y4617" s="2" t="s">
        <v>136</v>
      </c>
      <c r="Z4617" s="2">
        <v>10</v>
      </c>
      <c r="AA4617" s="2" t="s">
        <v>236</v>
      </c>
      <c r="AB4617" s="2">
        <v>1</v>
      </c>
      <c r="AC4617" s="2" t="s">
        <v>178</v>
      </c>
      <c r="AD4617" s="3">
        <v>40492</v>
      </c>
      <c r="AE4617" s="4">
        <v>0.61805555555555558</v>
      </c>
      <c r="AF4617" s="2"/>
      <c r="AG4617" s="2"/>
      <c r="AH4617" s="2">
        <v>2</v>
      </c>
      <c r="AI4617" s="2" t="s">
        <v>84</v>
      </c>
      <c r="AJ4617" s="2">
        <v>6</v>
      </c>
      <c r="AK4617" s="2" t="s">
        <v>453</v>
      </c>
      <c r="AL4617" s="2">
        <v>14</v>
      </c>
      <c r="AM4617" s="2" t="s">
        <v>216</v>
      </c>
      <c r="AN4617" s="2" t="s">
        <v>14285</v>
      </c>
      <c r="AO4617" s="2" t="s">
        <v>14286</v>
      </c>
      <c r="AP4617" s="2">
        <v>11</v>
      </c>
      <c r="AQ4617" s="2" t="s">
        <v>82</v>
      </c>
      <c r="AR4617" s="2"/>
      <c r="AS4617" s="2"/>
      <c r="AT4617" s="2" t="s">
        <v>14307</v>
      </c>
      <c r="AU4617" s="2"/>
      <c r="AV4617" s="2">
        <v>1</v>
      </c>
      <c r="AW4617" s="2"/>
      <c r="AX4617" s="2"/>
      <c r="AY4617" s="2">
        <v>42</v>
      </c>
      <c r="AZ4617" s="2" t="s">
        <v>182</v>
      </c>
      <c r="BA4617" s="2">
        <v>70</v>
      </c>
      <c r="BB4617" s="2" t="s">
        <v>236</v>
      </c>
      <c r="BC4617" s="2">
        <v>70</v>
      </c>
      <c r="BD4617" s="2" t="s">
        <v>236</v>
      </c>
      <c r="BE4617" s="2">
        <v>31</v>
      </c>
      <c r="BF4617" s="2" t="s">
        <v>398</v>
      </c>
      <c r="BG4617" s="2" t="s">
        <v>7251</v>
      </c>
      <c r="BH4617" s="2"/>
      <c r="BI4617" s="2"/>
      <c r="BJ4617" s="2">
        <v>13</v>
      </c>
      <c r="BK4617" s="2" t="s">
        <v>91</v>
      </c>
      <c r="BL4617" s="2" t="s">
        <v>360</v>
      </c>
      <c r="BM4617" s="2">
        <v>73</v>
      </c>
      <c r="BN4617" s="2" t="s">
        <v>186</v>
      </c>
      <c r="BO4617" s="2"/>
      <c r="BP4617" s="2">
        <v>73</v>
      </c>
      <c r="BQ4617" s="2" t="s">
        <v>186</v>
      </c>
      <c r="BR4617" s="2" t="s">
        <v>187</v>
      </c>
      <c r="BS4617" s="3">
        <v>40492</v>
      </c>
      <c r="BT4617" s="4">
        <v>0.63534722222222217</v>
      </c>
    </row>
    <row r="4618" spans="1:72" x14ac:dyDescent="0.25">
      <c r="A4618" s="2">
        <v>7110</v>
      </c>
      <c r="B4618" s="2">
        <v>2010</v>
      </c>
      <c r="C4618" s="2" t="s">
        <v>171</v>
      </c>
      <c r="D4618" s="2" t="s">
        <v>73</v>
      </c>
      <c r="E4618" s="2" t="s">
        <v>14308</v>
      </c>
      <c r="F4618" s="2">
        <v>118</v>
      </c>
      <c r="G4618" s="2" t="s">
        <v>4266</v>
      </c>
      <c r="H4618" s="2">
        <v>38</v>
      </c>
      <c r="I4618" s="2" t="s">
        <v>1272</v>
      </c>
      <c r="J4618" s="2">
        <v>135</v>
      </c>
      <c r="K4618" s="2" t="s">
        <v>2502</v>
      </c>
      <c r="L4618" s="2" t="s">
        <v>2503</v>
      </c>
      <c r="M4618" s="3">
        <v>40492</v>
      </c>
      <c r="N4618" s="2" t="s">
        <v>4482</v>
      </c>
      <c r="O4618" s="2" t="s">
        <v>14309</v>
      </c>
      <c r="P4618" s="2" t="s">
        <v>14310</v>
      </c>
      <c r="Q4618" s="2" t="str">
        <f>""</f>
        <v/>
      </c>
      <c r="R4618" s="2"/>
      <c r="S4618" s="2"/>
      <c r="T4618" s="2">
        <v>1</v>
      </c>
      <c r="U4618" s="2" t="s">
        <v>79</v>
      </c>
      <c r="V4618" s="2">
        <v>3</v>
      </c>
      <c r="W4618" s="2" t="s">
        <v>225</v>
      </c>
      <c r="X4618" s="2">
        <v>6</v>
      </c>
      <c r="Y4618" s="2" t="s">
        <v>249</v>
      </c>
      <c r="Z4618" s="2">
        <v>10</v>
      </c>
      <c r="AA4618" s="2" t="s">
        <v>236</v>
      </c>
      <c r="AB4618" s="2">
        <v>9</v>
      </c>
      <c r="AC4618" s="2" t="s">
        <v>124</v>
      </c>
      <c r="AD4618" s="3">
        <v>40492</v>
      </c>
      <c r="AE4618" s="4">
        <v>0.44097222222222227</v>
      </c>
      <c r="AF4618" s="2"/>
      <c r="AG4618" s="2"/>
      <c r="AH4618" s="2">
        <v>6</v>
      </c>
      <c r="AI4618" s="2" t="s">
        <v>197</v>
      </c>
      <c r="AJ4618" s="2">
        <v>47</v>
      </c>
      <c r="AK4618" s="2" t="s">
        <v>250</v>
      </c>
      <c r="AL4618" s="2">
        <v>23</v>
      </c>
      <c r="AM4618" s="2" t="s">
        <v>251</v>
      </c>
      <c r="AN4618" s="2"/>
      <c r="AO4618" s="2"/>
      <c r="AP4618" s="2">
        <v>11</v>
      </c>
      <c r="AQ4618" s="2" t="s">
        <v>82</v>
      </c>
      <c r="AR4618" s="2"/>
      <c r="AS4618" s="2"/>
      <c r="AT4618" s="2" t="s">
        <v>14311</v>
      </c>
      <c r="AU4618" s="2"/>
      <c r="AV4618" s="2"/>
      <c r="AW4618" s="2"/>
      <c r="AX4618" s="2"/>
      <c r="AY4618" s="2">
        <v>41</v>
      </c>
      <c r="AZ4618" s="2" t="s">
        <v>82</v>
      </c>
      <c r="BA4618" s="2">
        <v>41</v>
      </c>
      <c r="BB4618" s="2" t="s">
        <v>82</v>
      </c>
      <c r="BC4618" s="2">
        <v>41</v>
      </c>
      <c r="BD4618" s="2" t="s">
        <v>82</v>
      </c>
      <c r="BE4618" s="2">
        <v>41</v>
      </c>
      <c r="BF4618" s="2" t="s">
        <v>82</v>
      </c>
      <c r="BG4618" s="2"/>
      <c r="BH4618" s="2"/>
      <c r="BI4618" s="2"/>
      <c r="BJ4618" s="2">
        <v>241</v>
      </c>
      <c r="BK4618" s="2" t="s">
        <v>82</v>
      </c>
      <c r="BL4618" s="2"/>
      <c r="BM4618" s="2">
        <v>241</v>
      </c>
      <c r="BN4618" s="2" t="s">
        <v>82</v>
      </c>
      <c r="BO4618" s="2"/>
      <c r="BP4618" s="2">
        <v>241</v>
      </c>
      <c r="BQ4618" s="2" t="s">
        <v>82</v>
      </c>
      <c r="BR4618" s="2"/>
      <c r="BS4618" s="3">
        <v>40492</v>
      </c>
      <c r="BT4618" s="4">
        <v>0.6484375</v>
      </c>
    </row>
    <row r="4619" spans="1:72" x14ac:dyDescent="0.25">
      <c r="A4619" s="2">
        <v>7111</v>
      </c>
      <c r="B4619" s="2">
        <v>2010</v>
      </c>
      <c r="C4619" s="2" t="s">
        <v>1559</v>
      </c>
      <c r="D4619" s="2" t="s">
        <v>73</v>
      </c>
      <c r="E4619" s="2"/>
      <c r="F4619" s="2">
        <v>677</v>
      </c>
      <c r="G4619" s="2" t="s">
        <v>12532</v>
      </c>
      <c r="H4619" s="2">
        <v>108</v>
      </c>
      <c r="I4619" s="2" t="s">
        <v>1096</v>
      </c>
      <c r="J4619" s="2">
        <v>578</v>
      </c>
      <c r="K4619" s="2" t="s">
        <v>8195</v>
      </c>
      <c r="L4619" s="2" t="s">
        <v>8196</v>
      </c>
      <c r="M4619" s="3">
        <v>40492</v>
      </c>
      <c r="N4619" s="2" t="s">
        <v>14245</v>
      </c>
      <c r="O4619" s="2" t="s">
        <v>13057</v>
      </c>
      <c r="P4619" s="2">
        <v>937</v>
      </c>
      <c r="Q4619" s="2" t="str">
        <f>""</f>
        <v/>
      </c>
      <c r="R4619" s="2"/>
      <c r="S4619" s="2"/>
      <c r="T4619" s="2">
        <v>1</v>
      </c>
      <c r="U4619" s="2" t="s">
        <v>79</v>
      </c>
      <c r="V4619" s="2">
        <v>3</v>
      </c>
      <c r="W4619" s="2" t="s">
        <v>225</v>
      </c>
      <c r="X4619" s="2">
        <v>6</v>
      </c>
      <c r="Y4619" s="2" t="s">
        <v>249</v>
      </c>
      <c r="Z4619" s="2">
        <v>1</v>
      </c>
      <c r="AA4619" s="2" t="s">
        <v>82</v>
      </c>
      <c r="AB4619" s="2">
        <v>9</v>
      </c>
      <c r="AC4619" s="2" t="s">
        <v>124</v>
      </c>
      <c r="AD4619" s="3">
        <v>40492</v>
      </c>
      <c r="AE4619" s="2"/>
      <c r="AF4619" s="2"/>
      <c r="AG4619" s="2"/>
      <c r="AH4619" s="2">
        <v>2</v>
      </c>
      <c r="AI4619" s="2" t="s">
        <v>84</v>
      </c>
      <c r="AJ4619" s="2">
        <v>6</v>
      </c>
      <c r="AK4619" s="2" t="s">
        <v>453</v>
      </c>
      <c r="AL4619" s="2">
        <v>23</v>
      </c>
      <c r="AM4619" s="2" t="s">
        <v>251</v>
      </c>
      <c r="AN4619" s="2" t="s">
        <v>14312</v>
      </c>
      <c r="AO4619" s="2" t="s">
        <v>14313</v>
      </c>
      <c r="AP4619" s="2">
        <v>11</v>
      </c>
      <c r="AQ4619" s="2" t="s">
        <v>82</v>
      </c>
      <c r="AR4619" s="2"/>
      <c r="AS4619" s="2"/>
      <c r="AT4619" s="2" t="s">
        <v>14314</v>
      </c>
      <c r="AU4619" s="2"/>
      <c r="AV4619" s="2"/>
      <c r="AW4619" s="2"/>
      <c r="AX4619" s="2"/>
      <c r="AY4619" s="2">
        <v>41</v>
      </c>
      <c r="AZ4619" s="2" t="s">
        <v>82</v>
      </c>
      <c r="BA4619" s="2">
        <v>41</v>
      </c>
      <c r="BB4619" s="2" t="s">
        <v>82</v>
      </c>
      <c r="BC4619" s="2">
        <v>41</v>
      </c>
      <c r="BD4619" s="2" t="s">
        <v>82</v>
      </c>
      <c r="BE4619" s="2">
        <v>41</v>
      </c>
      <c r="BF4619" s="2" t="s">
        <v>82</v>
      </c>
      <c r="BG4619" s="2"/>
      <c r="BH4619" s="2"/>
      <c r="BI4619" s="2"/>
      <c r="BJ4619" s="2">
        <v>241</v>
      </c>
      <c r="BK4619" s="2" t="s">
        <v>82</v>
      </c>
      <c r="BL4619" s="2"/>
      <c r="BM4619" s="2">
        <v>241</v>
      </c>
      <c r="BN4619" s="2" t="s">
        <v>82</v>
      </c>
      <c r="BO4619" s="2"/>
      <c r="BP4619" s="2">
        <v>241</v>
      </c>
      <c r="BQ4619" s="2" t="s">
        <v>82</v>
      </c>
      <c r="BR4619" s="2"/>
      <c r="BS4619" s="3">
        <v>40492</v>
      </c>
      <c r="BT4619" s="4">
        <v>0.64885416666666662</v>
      </c>
    </row>
    <row r="4620" spans="1:72" x14ac:dyDescent="0.25">
      <c r="A4620" s="2">
        <v>7114</v>
      </c>
      <c r="B4620" s="2">
        <v>2010</v>
      </c>
      <c r="C4620" s="2" t="s">
        <v>4543</v>
      </c>
      <c r="D4620" s="2" t="s">
        <v>122</v>
      </c>
      <c r="E4620" s="2"/>
      <c r="F4620" s="2">
        <v>110</v>
      </c>
      <c r="G4620" s="2" t="s">
        <v>7444</v>
      </c>
      <c r="H4620" s="2">
        <v>47</v>
      </c>
      <c r="I4620" s="2" t="s">
        <v>1409</v>
      </c>
      <c r="J4620" s="2">
        <v>126</v>
      </c>
      <c r="K4620" s="2" t="s">
        <v>7445</v>
      </c>
      <c r="L4620" s="2" t="s">
        <v>7446</v>
      </c>
      <c r="M4620" s="3">
        <v>40492</v>
      </c>
      <c r="N4620" s="2" t="s">
        <v>12899</v>
      </c>
      <c r="O4620" s="2" t="s">
        <v>82</v>
      </c>
      <c r="P4620" s="2" t="s">
        <v>82</v>
      </c>
      <c r="Q4620" s="2" t="str">
        <f>"N/C"</f>
        <v>N/C</v>
      </c>
      <c r="R4620" s="2" t="s">
        <v>82</v>
      </c>
      <c r="S4620" s="2" t="s">
        <v>82</v>
      </c>
      <c r="T4620" s="2">
        <v>2</v>
      </c>
      <c r="U4620" s="2" t="s">
        <v>123</v>
      </c>
      <c r="V4620" s="2">
        <v>1</v>
      </c>
      <c r="W4620" s="2" t="s">
        <v>80</v>
      </c>
      <c r="X4620" s="2">
        <v>1</v>
      </c>
      <c r="Y4620" s="2" t="s">
        <v>81</v>
      </c>
      <c r="Z4620" s="2">
        <v>1</v>
      </c>
      <c r="AA4620" s="2" t="s">
        <v>82</v>
      </c>
      <c r="AB4620" s="2">
        <v>9</v>
      </c>
      <c r="AC4620" s="2" t="s">
        <v>124</v>
      </c>
      <c r="AD4620" s="3">
        <v>40492</v>
      </c>
      <c r="AE4620" s="4">
        <v>0.4375</v>
      </c>
      <c r="AF4620" s="2"/>
      <c r="AG4620" s="2"/>
      <c r="AH4620" s="2">
        <v>6</v>
      </c>
      <c r="AI4620" s="2" t="s">
        <v>197</v>
      </c>
      <c r="AJ4620" s="2">
        <v>57</v>
      </c>
      <c r="AK4620" s="2" t="s">
        <v>2344</v>
      </c>
      <c r="AL4620" s="2">
        <v>22</v>
      </c>
      <c r="AM4620" s="2" t="s">
        <v>1853</v>
      </c>
      <c r="AN4620" s="2"/>
      <c r="AO4620" s="2" t="s">
        <v>14315</v>
      </c>
      <c r="AP4620" s="2">
        <v>12</v>
      </c>
      <c r="AQ4620" s="2" t="s">
        <v>322</v>
      </c>
      <c r="AR4620" s="2" t="s">
        <v>322</v>
      </c>
      <c r="AS4620" s="2" t="s">
        <v>322</v>
      </c>
      <c r="AT4620" s="2" t="s">
        <v>14316</v>
      </c>
      <c r="AU4620" s="2"/>
      <c r="AV4620" s="2"/>
      <c r="AW4620" s="2"/>
      <c r="AX4620" s="2"/>
      <c r="AY4620" s="2">
        <v>41</v>
      </c>
      <c r="AZ4620" s="2" t="s">
        <v>82</v>
      </c>
      <c r="BA4620" s="2">
        <v>41</v>
      </c>
      <c r="BB4620" s="2" t="s">
        <v>82</v>
      </c>
      <c r="BC4620" s="2">
        <v>51</v>
      </c>
      <c r="BD4620" s="2" t="s">
        <v>827</v>
      </c>
      <c r="BE4620" s="2">
        <v>41</v>
      </c>
      <c r="BF4620" s="2" t="s">
        <v>82</v>
      </c>
      <c r="BG4620" s="2">
        <v>1870</v>
      </c>
      <c r="BH4620" s="4">
        <v>0.40972222222222227</v>
      </c>
      <c r="BI4620" s="4">
        <v>0.33333333333333331</v>
      </c>
      <c r="BJ4620" s="2">
        <v>241</v>
      </c>
      <c r="BK4620" s="2" t="s">
        <v>82</v>
      </c>
      <c r="BL4620" s="2" t="s">
        <v>185</v>
      </c>
      <c r="BM4620" s="2">
        <v>241</v>
      </c>
      <c r="BN4620" s="2" t="s">
        <v>82</v>
      </c>
      <c r="BO4620" s="2"/>
      <c r="BP4620" s="2">
        <v>241</v>
      </c>
      <c r="BQ4620" s="2" t="s">
        <v>82</v>
      </c>
      <c r="BR4620" s="2" t="s">
        <v>1014</v>
      </c>
      <c r="BS4620" s="3">
        <v>40492</v>
      </c>
      <c r="BT4620" s="4">
        <v>0.66478009259259252</v>
      </c>
    </row>
    <row r="4621" spans="1:72" x14ac:dyDescent="0.25">
      <c r="A4621" s="2">
        <v>7116</v>
      </c>
      <c r="B4621" s="2">
        <v>2010</v>
      </c>
      <c r="C4621" s="2" t="s">
        <v>171</v>
      </c>
      <c r="D4621" s="2" t="s">
        <v>73</v>
      </c>
      <c r="E4621" s="2"/>
      <c r="F4621" s="2">
        <v>393</v>
      </c>
      <c r="G4621" s="2" t="s">
        <v>3660</v>
      </c>
      <c r="H4621" s="2">
        <v>2</v>
      </c>
      <c r="I4621" s="2" t="s">
        <v>267</v>
      </c>
      <c r="J4621" s="2">
        <v>2</v>
      </c>
      <c r="K4621" s="2" t="s">
        <v>3661</v>
      </c>
      <c r="L4621" s="2" t="s">
        <v>3662</v>
      </c>
      <c r="M4621" s="3">
        <v>40492</v>
      </c>
      <c r="N4621" s="2" t="s">
        <v>11684</v>
      </c>
      <c r="O4621" s="2" t="s">
        <v>4352</v>
      </c>
      <c r="P4621" s="2">
        <v>5837</v>
      </c>
      <c r="Q4621" s="2" t="str">
        <f>""</f>
        <v/>
      </c>
      <c r="R4621" s="2"/>
      <c r="S4621" s="2"/>
      <c r="T4621" s="2">
        <v>1</v>
      </c>
      <c r="U4621" s="2" t="s">
        <v>79</v>
      </c>
      <c r="V4621" s="2">
        <v>1</v>
      </c>
      <c r="W4621" s="2" t="s">
        <v>80</v>
      </c>
      <c r="X4621" s="2">
        <v>9</v>
      </c>
      <c r="Y4621" s="2" t="s">
        <v>3393</v>
      </c>
      <c r="Z4621" s="2">
        <v>1</v>
      </c>
      <c r="AA4621" s="2" t="s">
        <v>82</v>
      </c>
      <c r="AB4621" s="2">
        <v>1</v>
      </c>
      <c r="AC4621" s="2" t="s">
        <v>178</v>
      </c>
      <c r="AD4621" s="3">
        <v>40492</v>
      </c>
      <c r="AE4621" s="4">
        <v>0.3125</v>
      </c>
      <c r="AF4621" s="3">
        <v>40492</v>
      </c>
      <c r="AG4621" s="4">
        <v>0.34375</v>
      </c>
      <c r="AH4621" s="2">
        <v>2</v>
      </c>
      <c r="AI4621" s="2" t="s">
        <v>84</v>
      </c>
      <c r="AJ4621" s="2">
        <v>6</v>
      </c>
      <c r="AK4621" s="2" t="s">
        <v>453</v>
      </c>
      <c r="AL4621" s="2">
        <v>23</v>
      </c>
      <c r="AM4621" s="2" t="s">
        <v>251</v>
      </c>
      <c r="AN4621" s="2"/>
      <c r="AO4621" s="2" t="s">
        <v>14317</v>
      </c>
      <c r="AP4621" s="2">
        <v>11</v>
      </c>
      <c r="AQ4621" s="2" t="s">
        <v>82</v>
      </c>
      <c r="AR4621" s="2"/>
      <c r="AS4621" s="2"/>
      <c r="AT4621" s="2" t="s">
        <v>14318</v>
      </c>
      <c r="AU4621" s="2"/>
      <c r="AV4621" s="2">
        <v>2</v>
      </c>
      <c r="AW4621" s="2"/>
      <c r="AX4621" s="2"/>
      <c r="AY4621" s="2">
        <v>41</v>
      </c>
      <c r="AZ4621" s="2" t="s">
        <v>82</v>
      </c>
      <c r="BA4621" s="2">
        <v>41</v>
      </c>
      <c r="BB4621" s="2" t="s">
        <v>82</v>
      </c>
      <c r="BC4621" s="2">
        <v>41</v>
      </c>
      <c r="BD4621" s="2" t="s">
        <v>82</v>
      </c>
      <c r="BE4621" s="2">
        <v>41</v>
      </c>
      <c r="BF4621" s="2" t="s">
        <v>82</v>
      </c>
      <c r="BG4621" s="2"/>
      <c r="BH4621" s="2"/>
      <c r="BI4621" s="2"/>
      <c r="BJ4621" s="2">
        <v>241</v>
      </c>
      <c r="BK4621" s="2" t="s">
        <v>82</v>
      </c>
      <c r="BL4621" s="2"/>
      <c r="BM4621" s="2">
        <v>241</v>
      </c>
      <c r="BN4621" s="2" t="s">
        <v>82</v>
      </c>
      <c r="BO4621" s="2"/>
      <c r="BP4621" s="2">
        <v>241</v>
      </c>
      <c r="BQ4621" s="2" t="s">
        <v>82</v>
      </c>
      <c r="BR4621" s="2"/>
      <c r="BS4621" s="3">
        <v>40492</v>
      </c>
      <c r="BT4621" s="4">
        <v>0.76399305555555552</v>
      </c>
    </row>
    <row r="4622" spans="1:72" x14ac:dyDescent="0.25">
      <c r="A4622" s="2">
        <v>7118</v>
      </c>
      <c r="B4622" s="2">
        <v>2010</v>
      </c>
      <c r="C4622" s="2" t="s">
        <v>171</v>
      </c>
      <c r="D4622" s="2" t="s">
        <v>73</v>
      </c>
      <c r="E4622" s="2"/>
      <c r="F4622" s="2">
        <v>393</v>
      </c>
      <c r="G4622" s="2" t="s">
        <v>3660</v>
      </c>
      <c r="H4622" s="2">
        <v>2</v>
      </c>
      <c r="I4622" s="2" t="s">
        <v>267</v>
      </c>
      <c r="J4622" s="2">
        <v>2</v>
      </c>
      <c r="K4622" s="2" t="s">
        <v>3661</v>
      </c>
      <c r="L4622" s="2" t="s">
        <v>3662</v>
      </c>
      <c r="M4622" s="3">
        <v>40492</v>
      </c>
      <c r="N4622" s="2" t="s">
        <v>11684</v>
      </c>
      <c r="O4622" s="2" t="s">
        <v>4352</v>
      </c>
      <c r="P4622" s="2">
        <v>5837</v>
      </c>
      <c r="Q4622" s="2" t="str">
        <f>""</f>
        <v/>
      </c>
      <c r="R4622" s="2"/>
      <c r="S4622" s="2"/>
      <c r="T4622" s="2">
        <v>1</v>
      </c>
      <c r="U4622" s="2" t="s">
        <v>79</v>
      </c>
      <c r="V4622" s="2">
        <v>1</v>
      </c>
      <c r="W4622" s="2" t="s">
        <v>80</v>
      </c>
      <c r="X4622" s="2">
        <v>9</v>
      </c>
      <c r="Y4622" s="2" t="s">
        <v>3393</v>
      </c>
      <c r="Z4622" s="2">
        <v>1</v>
      </c>
      <c r="AA4622" s="2" t="s">
        <v>82</v>
      </c>
      <c r="AB4622" s="2">
        <v>1</v>
      </c>
      <c r="AC4622" s="2" t="s">
        <v>178</v>
      </c>
      <c r="AD4622" s="3">
        <v>40492</v>
      </c>
      <c r="AE4622" s="4">
        <v>0.65972222222222221</v>
      </c>
      <c r="AF4622" s="3">
        <v>40492</v>
      </c>
      <c r="AG4622" s="4">
        <v>0.6875</v>
      </c>
      <c r="AH4622" s="2">
        <v>2</v>
      </c>
      <c r="AI4622" s="2" t="s">
        <v>84</v>
      </c>
      <c r="AJ4622" s="2">
        <v>6</v>
      </c>
      <c r="AK4622" s="2" t="s">
        <v>453</v>
      </c>
      <c r="AL4622" s="2">
        <v>23</v>
      </c>
      <c r="AM4622" s="2" t="s">
        <v>251</v>
      </c>
      <c r="AN4622" s="2"/>
      <c r="AO4622" s="2" t="s">
        <v>14319</v>
      </c>
      <c r="AP4622" s="2">
        <v>11</v>
      </c>
      <c r="AQ4622" s="2" t="s">
        <v>82</v>
      </c>
      <c r="AR4622" s="2"/>
      <c r="AS4622" s="2"/>
      <c r="AT4622" s="2" t="s">
        <v>14320</v>
      </c>
      <c r="AU4622" s="2"/>
      <c r="AV4622" s="2"/>
      <c r="AW4622" s="2"/>
      <c r="AX4622" s="2"/>
      <c r="AY4622" s="2">
        <v>41</v>
      </c>
      <c r="AZ4622" s="2" t="s">
        <v>82</v>
      </c>
      <c r="BA4622" s="2">
        <v>41</v>
      </c>
      <c r="BB4622" s="2" t="s">
        <v>82</v>
      </c>
      <c r="BC4622" s="2">
        <v>41</v>
      </c>
      <c r="BD4622" s="2" t="s">
        <v>82</v>
      </c>
      <c r="BE4622" s="2">
        <v>41</v>
      </c>
      <c r="BF4622" s="2" t="s">
        <v>82</v>
      </c>
      <c r="BG4622" s="2"/>
      <c r="BH4622" s="2"/>
      <c r="BI4622" s="2"/>
      <c r="BJ4622" s="2">
        <v>241</v>
      </c>
      <c r="BK4622" s="2" t="s">
        <v>82</v>
      </c>
      <c r="BL4622" s="2"/>
      <c r="BM4622" s="2">
        <v>241</v>
      </c>
      <c r="BN4622" s="2" t="s">
        <v>82</v>
      </c>
      <c r="BO4622" s="2"/>
      <c r="BP4622" s="2">
        <v>241</v>
      </c>
      <c r="BQ4622" s="2" t="s">
        <v>82</v>
      </c>
      <c r="BR4622" s="2"/>
      <c r="BS4622" s="3">
        <v>40492</v>
      </c>
      <c r="BT4622" s="4">
        <v>0.80049768518518516</v>
      </c>
    </row>
    <row r="4623" spans="1:72" x14ac:dyDescent="0.25">
      <c r="A4623" s="2">
        <v>7120</v>
      </c>
      <c r="B4623" s="2">
        <v>2010</v>
      </c>
      <c r="C4623" s="2" t="s">
        <v>1017</v>
      </c>
      <c r="D4623" s="2" t="s">
        <v>73</v>
      </c>
      <c r="E4623" s="2"/>
      <c r="F4623" s="2">
        <v>35</v>
      </c>
      <c r="G4623" s="2" t="s">
        <v>2057</v>
      </c>
      <c r="H4623" s="2">
        <v>112</v>
      </c>
      <c r="I4623" s="2" t="s">
        <v>7351</v>
      </c>
      <c r="J4623" s="2">
        <v>409</v>
      </c>
      <c r="K4623" s="2" t="s">
        <v>3638</v>
      </c>
      <c r="L4623" s="2" t="s">
        <v>3639</v>
      </c>
      <c r="M4623" s="3">
        <v>40492</v>
      </c>
      <c r="N4623" s="2" t="s">
        <v>14321</v>
      </c>
      <c r="O4623" s="2"/>
      <c r="P4623" s="2"/>
      <c r="Q4623" s="2" t="str">
        <f>"47/10"</f>
        <v>47/10</v>
      </c>
      <c r="R4623" s="2"/>
      <c r="S4623" s="2" t="s">
        <v>14322</v>
      </c>
      <c r="T4623" s="2">
        <v>1</v>
      </c>
      <c r="U4623" s="2" t="s">
        <v>79</v>
      </c>
      <c r="V4623" s="2">
        <v>1</v>
      </c>
      <c r="W4623" s="2" t="s">
        <v>80</v>
      </c>
      <c r="X4623" s="2">
        <v>1</v>
      </c>
      <c r="Y4623" s="2" t="s">
        <v>81</v>
      </c>
      <c r="Z4623" s="2">
        <v>1</v>
      </c>
      <c r="AA4623" s="2" t="s">
        <v>82</v>
      </c>
      <c r="AB4623" s="2">
        <v>7</v>
      </c>
      <c r="AC4623" s="2" t="s">
        <v>1023</v>
      </c>
      <c r="AD4623" s="3">
        <v>40492</v>
      </c>
      <c r="AE4623" s="4">
        <v>0.625</v>
      </c>
      <c r="AF4623" s="2"/>
      <c r="AG4623" s="2"/>
      <c r="AH4623" s="2">
        <v>3</v>
      </c>
      <c r="AI4623" s="2" t="s">
        <v>214</v>
      </c>
      <c r="AJ4623" s="2">
        <v>17</v>
      </c>
      <c r="AK4623" s="2" t="s">
        <v>309</v>
      </c>
      <c r="AL4623" s="2">
        <v>22</v>
      </c>
      <c r="AM4623" s="2" t="s">
        <v>1853</v>
      </c>
      <c r="AN4623" s="2"/>
      <c r="AO4623" s="2"/>
      <c r="AP4623" s="2">
        <v>11</v>
      </c>
      <c r="AQ4623" s="2" t="s">
        <v>82</v>
      </c>
      <c r="AR4623" s="2"/>
      <c r="AS4623" s="2"/>
      <c r="AT4623" s="2" t="s">
        <v>14323</v>
      </c>
      <c r="AU4623" s="2"/>
      <c r="AV4623" s="2"/>
      <c r="AW4623" s="2"/>
      <c r="AX4623" s="2"/>
      <c r="AY4623" s="2">
        <v>42</v>
      </c>
      <c r="AZ4623" s="2" t="s">
        <v>182</v>
      </c>
      <c r="BA4623" s="2">
        <v>41</v>
      </c>
      <c r="BB4623" s="2" t="s">
        <v>82</v>
      </c>
      <c r="BC4623" s="2">
        <v>41</v>
      </c>
      <c r="BD4623" s="2" t="s">
        <v>82</v>
      </c>
      <c r="BE4623" s="2">
        <v>17</v>
      </c>
      <c r="BF4623" s="2" t="s">
        <v>508</v>
      </c>
      <c r="BG4623" s="2">
        <v>935</v>
      </c>
      <c r="BH4623" s="4">
        <v>0.61458333333333337</v>
      </c>
      <c r="BI4623" s="4">
        <v>0.64097222222222217</v>
      </c>
      <c r="BJ4623" s="2">
        <v>13</v>
      </c>
      <c r="BK4623" s="2" t="s">
        <v>91</v>
      </c>
      <c r="BL4623" s="2" t="s">
        <v>445</v>
      </c>
      <c r="BM4623" s="2">
        <v>46</v>
      </c>
      <c r="BN4623" s="2" t="s">
        <v>307</v>
      </c>
      <c r="BO4623" s="2"/>
      <c r="BP4623" s="2">
        <v>46</v>
      </c>
      <c r="BQ4623" s="2" t="s">
        <v>307</v>
      </c>
      <c r="BR4623" s="2" t="s">
        <v>308</v>
      </c>
      <c r="BS4623" s="3">
        <v>40492</v>
      </c>
      <c r="BT4623" s="4">
        <v>0.83614583333333325</v>
      </c>
    </row>
    <row r="4624" spans="1:72" x14ac:dyDescent="0.25">
      <c r="A4624" s="2">
        <v>7123</v>
      </c>
      <c r="B4624" s="2">
        <v>2010</v>
      </c>
      <c r="C4624" s="2" t="s">
        <v>2138</v>
      </c>
      <c r="D4624" s="2" t="s">
        <v>122</v>
      </c>
      <c r="E4624" s="2"/>
      <c r="F4624" s="2">
        <v>74</v>
      </c>
      <c r="G4624" s="2" t="s">
        <v>2220</v>
      </c>
      <c r="H4624" s="2">
        <v>2</v>
      </c>
      <c r="I4624" s="2" t="s">
        <v>267</v>
      </c>
      <c r="J4624" s="2">
        <v>420</v>
      </c>
      <c r="K4624" s="2" t="s">
        <v>2328</v>
      </c>
      <c r="L4624" s="2" t="s">
        <v>2329</v>
      </c>
      <c r="M4624" s="3">
        <v>40492</v>
      </c>
      <c r="N4624" s="2" t="s">
        <v>14324</v>
      </c>
      <c r="O4624" s="2" t="s">
        <v>14325</v>
      </c>
      <c r="P4624" s="2" t="s">
        <v>14326</v>
      </c>
      <c r="Q4624" s="2" t="str">
        <f>"S/D"</f>
        <v>S/D</v>
      </c>
      <c r="R4624" s="2" t="s">
        <v>107</v>
      </c>
      <c r="S4624" s="2" t="s">
        <v>107</v>
      </c>
      <c r="T4624" s="2">
        <v>1</v>
      </c>
      <c r="U4624" s="2" t="s">
        <v>79</v>
      </c>
      <c r="V4624" s="2">
        <v>1</v>
      </c>
      <c r="W4624" s="2" t="s">
        <v>80</v>
      </c>
      <c r="X4624" s="2">
        <v>4</v>
      </c>
      <c r="Y4624" s="2" t="s">
        <v>463</v>
      </c>
      <c r="Z4624" s="2">
        <v>1</v>
      </c>
      <c r="AA4624" s="2" t="s">
        <v>82</v>
      </c>
      <c r="AB4624" s="2">
        <v>9</v>
      </c>
      <c r="AC4624" s="2" t="s">
        <v>124</v>
      </c>
      <c r="AD4624" s="3">
        <v>40492</v>
      </c>
      <c r="AE4624" s="4">
        <v>0.85069444444444453</v>
      </c>
      <c r="AF4624" s="2"/>
      <c r="AG4624" s="2"/>
      <c r="AH4624" s="2">
        <v>6</v>
      </c>
      <c r="AI4624" s="2" t="s">
        <v>197</v>
      </c>
      <c r="AJ4624" s="2">
        <v>51</v>
      </c>
      <c r="AK4624" s="2" t="s">
        <v>238</v>
      </c>
      <c r="AL4624" s="2">
        <v>11</v>
      </c>
      <c r="AM4624" s="2" t="s">
        <v>137</v>
      </c>
      <c r="AN4624" s="2"/>
      <c r="AO4624" s="2" t="s">
        <v>13893</v>
      </c>
      <c r="AP4624" s="2">
        <v>11</v>
      </c>
      <c r="AQ4624" s="2" t="s">
        <v>82</v>
      </c>
      <c r="AR4624" s="2" t="s">
        <v>82</v>
      </c>
      <c r="AS4624" s="2" t="s">
        <v>82</v>
      </c>
      <c r="AT4624" s="2" t="s">
        <v>14327</v>
      </c>
      <c r="AU4624" s="2"/>
      <c r="AV4624" s="2"/>
      <c r="AW4624" s="2"/>
      <c r="AX4624" s="2"/>
      <c r="AY4624" s="2">
        <v>41</v>
      </c>
      <c r="AZ4624" s="2" t="s">
        <v>82</v>
      </c>
      <c r="BA4624" s="2">
        <v>41</v>
      </c>
      <c r="BB4624" s="2" t="s">
        <v>82</v>
      </c>
      <c r="BC4624" s="2">
        <v>41</v>
      </c>
      <c r="BD4624" s="2" t="s">
        <v>82</v>
      </c>
      <c r="BE4624" s="2">
        <v>47</v>
      </c>
      <c r="BF4624" s="2" t="s">
        <v>167</v>
      </c>
      <c r="BG4624" s="2">
        <v>2657</v>
      </c>
      <c r="BH4624" s="2"/>
      <c r="BI4624" s="4">
        <v>0.85069444444444453</v>
      </c>
      <c r="BJ4624" s="2">
        <v>13</v>
      </c>
      <c r="BK4624" s="2" t="s">
        <v>91</v>
      </c>
      <c r="BL4624" s="2" t="s">
        <v>241</v>
      </c>
      <c r="BM4624" s="2">
        <v>13</v>
      </c>
      <c r="BN4624" s="2" t="s">
        <v>91</v>
      </c>
      <c r="BO4624" s="2"/>
      <c r="BP4624" s="2">
        <v>13</v>
      </c>
      <c r="BQ4624" s="2" t="s">
        <v>91</v>
      </c>
      <c r="BR4624" s="2" t="s">
        <v>360</v>
      </c>
      <c r="BS4624" s="3">
        <v>40492</v>
      </c>
      <c r="BT4624" s="4">
        <v>0.87188657407407411</v>
      </c>
    </row>
    <row r="4625" spans="1:72" x14ac:dyDescent="0.25">
      <c r="A4625" s="2">
        <v>7124</v>
      </c>
      <c r="B4625" s="2">
        <v>2010</v>
      </c>
      <c r="C4625" s="2" t="s">
        <v>128</v>
      </c>
      <c r="D4625" s="2" t="s">
        <v>73</v>
      </c>
      <c r="E4625" s="2" t="s">
        <v>14328</v>
      </c>
      <c r="F4625" s="2">
        <v>719</v>
      </c>
      <c r="G4625" s="2" t="s">
        <v>14329</v>
      </c>
      <c r="H4625" s="2">
        <v>108</v>
      </c>
      <c r="I4625" s="2" t="s">
        <v>1096</v>
      </c>
      <c r="J4625" s="2">
        <v>707</v>
      </c>
      <c r="K4625" s="2" t="s">
        <v>14330</v>
      </c>
      <c r="L4625" s="2" t="s">
        <v>14331</v>
      </c>
      <c r="M4625" s="3">
        <v>40492</v>
      </c>
      <c r="N4625" s="2" t="s">
        <v>14332</v>
      </c>
      <c r="O4625" s="2" t="s">
        <v>14333</v>
      </c>
      <c r="P4625" s="2" t="s">
        <v>14334</v>
      </c>
      <c r="Q4625" s="2" t="str">
        <f>""</f>
        <v/>
      </c>
      <c r="R4625" s="2"/>
      <c r="S4625" s="2"/>
      <c r="T4625" s="2">
        <v>1</v>
      </c>
      <c r="U4625" s="2" t="s">
        <v>79</v>
      </c>
      <c r="V4625" s="2">
        <v>1</v>
      </c>
      <c r="W4625" s="2" t="s">
        <v>80</v>
      </c>
      <c r="X4625" s="2">
        <v>8</v>
      </c>
      <c r="Y4625" s="2" t="s">
        <v>375</v>
      </c>
      <c r="Z4625" s="2">
        <v>22</v>
      </c>
      <c r="AA4625" s="2" t="s">
        <v>4417</v>
      </c>
      <c r="AB4625" s="2">
        <v>9</v>
      </c>
      <c r="AC4625" s="2" t="s">
        <v>124</v>
      </c>
      <c r="AD4625" s="3">
        <v>40492</v>
      </c>
      <c r="AE4625" s="4">
        <v>0.80555555555555547</v>
      </c>
      <c r="AF4625" s="2"/>
      <c r="AG4625" s="2"/>
      <c r="AH4625" s="2">
        <v>6</v>
      </c>
      <c r="AI4625" s="2" t="s">
        <v>197</v>
      </c>
      <c r="AJ4625" s="2">
        <v>47</v>
      </c>
      <c r="AK4625" s="2" t="s">
        <v>250</v>
      </c>
      <c r="AL4625" s="2">
        <v>23</v>
      </c>
      <c r="AM4625" s="2" t="s">
        <v>251</v>
      </c>
      <c r="AN4625" s="2"/>
      <c r="AO4625" s="2" t="s">
        <v>14335</v>
      </c>
      <c r="AP4625" s="2">
        <v>11</v>
      </c>
      <c r="AQ4625" s="2" t="s">
        <v>82</v>
      </c>
      <c r="AR4625" s="2"/>
      <c r="AS4625" s="2"/>
      <c r="AT4625" s="2" t="s">
        <v>14336</v>
      </c>
      <c r="AU4625" s="2"/>
      <c r="AV4625" s="2"/>
      <c r="AW4625" s="2"/>
      <c r="AX4625" s="2"/>
      <c r="AY4625" s="2">
        <v>41</v>
      </c>
      <c r="AZ4625" s="2" t="s">
        <v>82</v>
      </c>
      <c r="BA4625" s="2">
        <v>41</v>
      </c>
      <c r="BB4625" s="2" t="s">
        <v>82</v>
      </c>
      <c r="BC4625" s="2">
        <v>41</v>
      </c>
      <c r="BD4625" s="2" t="s">
        <v>82</v>
      </c>
      <c r="BE4625" s="2">
        <v>41</v>
      </c>
      <c r="BF4625" s="2" t="s">
        <v>82</v>
      </c>
      <c r="BG4625" s="2"/>
      <c r="BH4625" s="2"/>
      <c r="BI4625" s="2"/>
      <c r="BJ4625" s="2">
        <v>241</v>
      </c>
      <c r="BK4625" s="2" t="s">
        <v>82</v>
      </c>
      <c r="BL4625" s="2"/>
      <c r="BM4625" s="2">
        <v>241</v>
      </c>
      <c r="BN4625" s="2" t="s">
        <v>82</v>
      </c>
      <c r="BO4625" s="2"/>
      <c r="BP4625" s="2">
        <v>241</v>
      </c>
      <c r="BQ4625" s="2" t="s">
        <v>82</v>
      </c>
      <c r="BR4625" s="2"/>
      <c r="BS4625" s="3">
        <v>40492</v>
      </c>
      <c r="BT4625" s="4">
        <v>0.89060185185185192</v>
      </c>
    </row>
    <row r="4626" spans="1:72" x14ac:dyDescent="0.25">
      <c r="A4626" s="2">
        <v>7125</v>
      </c>
      <c r="B4626" s="2">
        <v>2010</v>
      </c>
      <c r="C4626" s="2" t="s">
        <v>171</v>
      </c>
      <c r="D4626" s="2" t="s">
        <v>122</v>
      </c>
      <c r="E4626" s="2" t="s">
        <v>14306</v>
      </c>
      <c r="F4626" s="2">
        <v>400</v>
      </c>
      <c r="G4626" s="2" t="s">
        <v>3601</v>
      </c>
      <c r="H4626" s="2">
        <v>17</v>
      </c>
      <c r="I4626" s="2" t="s">
        <v>3602</v>
      </c>
      <c r="J4626" s="2">
        <v>316</v>
      </c>
      <c r="K4626" s="2" t="s">
        <v>574</v>
      </c>
      <c r="L4626" s="2" t="s">
        <v>575</v>
      </c>
      <c r="M4626" s="3">
        <v>40492</v>
      </c>
      <c r="N4626" s="2" t="s">
        <v>3826</v>
      </c>
      <c r="O4626" s="2" t="s">
        <v>14184</v>
      </c>
      <c r="P4626" s="2">
        <v>1386</v>
      </c>
      <c r="Q4626" s="2" t="str">
        <f>"09R/10"</f>
        <v>09R/10</v>
      </c>
      <c r="R4626" s="2"/>
      <c r="S4626" s="2" t="s">
        <v>6092</v>
      </c>
      <c r="T4626" s="2">
        <v>1</v>
      </c>
      <c r="U4626" s="2" t="s">
        <v>79</v>
      </c>
      <c r="V4626" s="2">
        <v>1</v>
      </c>
      <c r="W4626" s="2" t="s">
        <v>80</v>
      </c>
      <c r="X4626" s="2">
        <v>2</v>
      </c>
      <c r="Y4626" s="2" t="s">
        <v>136</v>
      </c>
      <c r="Z4626" s="2">
        <v>10</v>
      </c>
      <c r="AA4626" s="2" t="s">
        <v>236</v>
      </c>
      <c r="AB4626" s="2">
        <v>1</v>
      </c>
      <c r="AC4626" s="2" t="s">
        <v>178</v>
      </c>
      <c r="AD4626" s="3">
        <v>40492</v>
      </c>
      <c r="AE4626" s="4">
        <v>0.86111111111111116</v>
      </c>
      <c r="AF4626" s="2"/>
      <c r="AG4626" s="2"/>
      <c r="AH4626" s="2">
        <v>2</v>
      </c>
      <c r="AI4626" s="2" t="s">
        <v>84</v>
      </c>
      <c r="AJ4626" s="2">
        <v>6</v>
      </c>
      <c r="AK4626" s="2" t="s">
        <v>453</v>
      </c>
      <c r="AL4626" s="2">
        <v>23</v>
      </c>
      <c r="AM4626" s="2" t="s">
        <v>251</v>
      </c>
      <c r="AN4626" s="2" t="s">
        <v>14337</v>
      </c>
      <c r="AO4626" s="2" t="s">
        <v>9894</v>
      </c>
      <c r="AP4626" s="2">
        <v>11</v>
      </c>
      <c r="AQ4626" s="2" t="s">
        <v>82</v>
      </c>
      <c r="AR4626" s="2"/>
      <c r="AS4626" s="2"/>
      <c r="AT4626" s="2" t="s">
        <v>14338</v>
      </c>
      <c r="AU4626" s="2"/>
      <c r="AV4626" s="2">
        <v>1</v>
      </c>
      <c r="AW4626" s="2"/>
      <c r="AX4626" s="2"/>
      <c r="AY4626" s="2">
        <v>42</v>
      </c>
      <c r="AZ4626" s="2" t="s">
        <v>182</v>
      </c>
      <c r="BA4626" s="2">
        <v>70</v>
      </c>
      <c r="BB4626" s="2" t="s">
        <v>236</v>
      </c>
      <c r="BC4626" s="2">
        <v>70</v>
      </c>
      <c r="BD4626" s="2" t="s">
        <v>236</v>
      </c>
      <c r="BE4626" s="2">
        <v>31</v>
      </c>
      <c r="BF4626" s="2" t="s">
        <v>398</v>
      </c>
      <c r="BG4626" s="2" t="s">
        <v>7251</v>
      </c>
      <c r="BH4626" s="2"/>
      <c r="BI4626" s="2"/>
      <c r="BJ4626" s="2">
        <v>13</v>
      </c>
      <c r="BK4626" s="2" t="s">
        <v>91</v>
      </c>
      <c r="BL4626" s="2" t="s">
        <v>360</v>
      </c>
      <c r="BM4626" s="2">
        <v>73</v>
      </c>
      <c r="BN4626" s="2" t="s">
        <v>186</v>
      </c>
      <c r="BO4626" s="2"/>
      <c r="BP4626" s="2">
        <v>73</v>
      </c>
      <c r="BQ4626" s="2" t="s">
        <v>186</v>
      </c>
      <c r="BR4626" s="2" t="s">
        <v>187</v>
      </c>
      <c r="BS4626" s="3">
        <v>40492</v>
      </c>
      <c r="BT4626" s="4">
        <v>0.91208333333333336</v>
      </c>
    </row>
    <row r="4627" spans="1:72" x14ac:dyDescent="0.25">
      <c r="A4627" s="2">
        <v>7126</v>
      </c>
      <c r="B4627" s="2">
        <v>2010</v>
      </c>
      <c r="C4627" s="2" t="s">
        <v>171</v>
      </c>
      <c r="D4627" s="2" t="s">
        <v>73</v>
      </c>
      <c r="E4627" s="2"/>
      <c r="F4627" s="2">
        <v>425</v>
      </c>
      <c r="G4627" s="2" t="s">
        <v>286</v>
      </c>
      <c r="H4627" s="2">
        <v>39</v>
      </c>
      <c r="I4627" s="2" t="s">
        <v>1117</v>
      </c>
      <c r="J4627" s="2">
        <v>310</v>
      </c>
      <c r="K4627" s="2" t="s">
        <v>288</v>
      </c>
      <c r="L4627" s="2" t="s">
        <v>289</v>
      </c>
      <c r="M4627" s="3">
        <v>40492</v>
      </c>
      <c r="N4627" s="2" t="s">
        <v>2049</v>
      </c>
      <c r="O4627" s="2"/>
      <c r="P4627" s="2"/>
      <c r="Q4627" s="2" t="str">
        <f>"0109/10"</f>
        <v>0109/10</v>
      </c>
      <c r="R4627" s="2" t="s">
        <v>14339</v>
      </c>
      <c r="S4627" s="2" t="s">
        <v>14339</v>
      </c>
      <c r="T4627" s="2">
        <v>1</v>
      </c>
      <c r="U4627" s="2" t="s">
        <v>79</v>
      </c>
      <c r="V4627" s="2">
        <v>1</v>
      </c>
      <c r="W4627" s="2" t="s">
        <v>80</v>
      </c>
      <c r="X4627" s="2">
        <v>1</v>
      </c>
      <c r="Y4627" s="2" t="s">
        <v>81</v>
      </c>
      <c r="Z4627" s="2">
        <v>1</v>
      </c>
      <c r="AA4627" s="2" t="s">
        <v>82</v>
      </c>
      <c r="AB4627" s="2">
        <v>1</v>
      </c>
      <c r="AC4627" s="2" t="s">
        <v>178</v>
      </c>
      <c r="AD4627" s="3">
        <v>40492</v>
      </c>
      <c r="AE4627" s="4">
        <v>0.64583333333333337</v>
      </c>
      <c r="AF4627" s="3">
        <v>40492</v>
      </c>
      <c r="AG4627" s="4">
        <v>0.64583333333333337</v>
      </c>
      <c r="AH4627" s="2">
        <v>4</v>
      </c>
      <c r="AI4627" s="2" t="s">
        <v>125</v>
      </c>
      <c r="AJ4627" s="2">
        <v>29</v>
      </c>
      <c r="AK4627" s="2" t="s">
        <v>227</v>
      </c>
      <c r="AL4627" s="2">
        <v>22</v>
      </c>
      <c r="AM4627" s="2" t="s">
        <v>1853</v>
      </c>
      <c r="AN4627" s="2" t="s">
        <v>6877</v>
      </c>
      <c r="AO4627" s="2"/>
      <c r="AP4627" s="2">
        <v>11</v>
      </c>
      <c r="AQ4627" s="2" t="s">
        <v>82</v>
      </c>
      <c r="AR4627" s="2"/>
      <c r="AS4627" s="2"/>
      <c r="AT4627" s="2" t="s">
        <v>14340</v>
      </c>
      <c r="AU4627" s="2"/>
      <c r="AV4627" s="2"/>
      <c r="AW4627" s="2"/>
      <c r="AX4627" s="2"/>
      <c r="AY4627" s="2">
        <v>41</v>
      </c>
      <c r="AZ4627" s="2" t="s">
        <v>82</v>
      </c>
      <c r="BA4627" s="2">
        <v>41</v>
      </c>
      <c r="BB4627" s="2" t="s">
        <v>82</v>
      </c>
      <c r="BC4627" s="2">
        <v>41</v>
      </c>
      <c r="BD4627" s="2" t="s">
        <v>82</v>
      </c>
      <c r="BE4627" s="2">
        <v>13</v>
      </c>
      <c r="BF4627" s="2" t="s">
        <v>108</v>
      </c>
      <c r="BG4627" s="2">
        <v>1455</v>
      </c>
      <c r="BH4627" s="4">
        <v>0.56944444444444442</v>
      </c>
      <c r="BI4627" s="4">
        <v>0.61111111111111105</v>
      </c>
      <c r="BJ4627" s="2">
        <v>13</v>
      </c>
      <c r="BK4627" s="2" t="s">
        <v>91</v>
      </c>
      <c r="BL4627" s="2" t="s">
        <v>828</v>
      </c>
      <c r="BM4627" s="2">
        <v>13</v>
      </c>
      <c r="BN4627" s="2" t="s">
        <v>91</v>
      </c>
      <c r="BO4627" s="2"/>
      <c r="BP4627" s="2">
        <v>13</v>
      </c>
      <c r="BQ4627" s="2" t="s">
        <v>91</v>
      </c>
      <c r="BR4627" s="2" t="s">
        <v>185</v>
      </c>
      <c r="BS4627" s="3">
        <v>40492</v>
      </c>
      <c r="BT4627" s="4">
        <v>0.92206018518518518</v>
      </c>
    </row>
    <row r="4628" spans="1:72" x14ac:dyDescent="0.25">
      <c r="A4628" s="2">
        <v>7127</v>
      </c>
      <c r="B4628" s="2">
        <v>2010</v>
      </c>
      <c r="C4628" s="2" t="s">
        <v>72</v>
      </c>
      <c r="D4628" s="2" t="s">
        <v>73</v>
      </c>
      <c r="E4628" s="2"/>
      <c r="F4628" s="2">
        <v>3</v>
      </c>
      <c r="G4628" s="2" t="s">
        <v>1041</v>
      </c>
      <c r="H4628" s="2">
        <v>108</v>
      </c>
      <c r="I4628" s="2" t="s">
        <v>1096</v>
      </c>
      <c r="J4628" s="2">
        <v>368</v>
      </c>
      <c r="K4628" s="2" t="s">
        <v>1042</v>
      </c>
      <c r="L4628" s="2" t="s">
        <v>1043</v>
      </c>
      <c r="M4628" s="3">
        <v>40492</v>
      </c>
      <c r="N4628" s="2" t="s">
        <v>107</v>
      </c>
      <c r="O4628" s="2" t="s">
        <v>107</v>
      </c>
      <c r="P4628" s="2" t="s">
        <v>107</v>
      </c>
      <c r="Q4628" s="2" t="str">
        <f>"587-E/10"</f>
        <v>587-E/10</v>
      </c>
      <c r="R4628" s="2" t="s">
        <v>14341</v>
      </c>
      <c r="S4628" s="2"/>
      <c r="T4628" s="2">
        <v>1</v>
      </c>
      <c r="U4628" s="2" t="s">
        <v>79</v>
      </c>
      <c r="V4628" s="2">
        <v>1</v>
      </c>
      <c r="W4628" s="2" t="s">
        <v>80</v>
      </c>
      <c r="X4628" s="2">
        <v>1</v>
      </c>
      <c r="Y4628" s="2" t="s">
        <v>81</v>
      </c>
      <c r="Z4628" s="2">
        <v>1</v>
      </c>
      <c r="AA4628" s="2" t="s">
        <v>82</v>
      </c>
      <c r="AB4628" s="2">
        <v>6</v>
      </c>
      <c r="AC4628" s="2" t="s">
        <v>83</v>
      </c>
      <c r="AD4628" s="3">
        <v>40492</v>
      </c>
      <c r="AE4628" s="4">
        <v>0.33333333333333331</v>
      </c>
      <c r="AF4628" s="3">
        <v>40492</v>
      </c>
      <c r="AG4628" s="4">
        <v>0.44097222222222227</v>
      </c>
      <c r="AH4628" s="2">
        <v>2</v>
      </c>
      <c r="AI4628" s="2" t="s">
        <v>84</v>
      </c>
      <c r="AJ4628" s="2">
        <v>9</v>
      </c>
      <c r="AK4628" s="2" t="s">
        <v>103</v>
      </c>
      <c r="AL4628" s="2">
        <v>25</v>
      </c>
      <c r="AM4628" s="2" t="s">
        <v>3073</v>
      </c>
      <c r="AN4628" s="2" t="s">
        <v>14342</v>
      </c>
      <c r="AO4628" s="2" t="s">
        <v>919</v>
      </c>
      <c r="AP4628" s="2">
        <v>11</v>
      </c>
      <c r="AQ4628" s="2" t="s">
        <v>82</v>
      </c>
      <c r="AR4628" s="2"/>
      <c r="AS4628" s="2"/>
      <c r="AT4628" s="2" t="s">
        <v>14343</v>
      </c>
      <c r="AU4628" s="2"/>
      <c r="AV4628" s="2"/>
      <c r="AW4628" s="2">
        <v>1</v>
      </c>
      <c r="AX4628" s="2"/>
      <c r="AY4628" s="2">
        <v>41</v>
      </c>
      <c r="AZ4628" s="2" t="s">
        <v>82</v>
      </c>
      <c r="BA4628" s="2">
        <v>41</v>
      </c>
      <c r="BB4628" s="2" t="s">
        <v>82</v>
      </c>
      <c r="BC4628" s="2">
        <v>41</v>
      </c>
      <c r="BD4628" s="2" t="s">
        <v>82</v>
      </c>
      <c r="BE4628" s="2">
        <v>41</v>
      </c>
      <c r="BF4628" s="2" t="s">
        <v>82</v>
      </c>
      <c r="BG4628" s="2"/>
      <c r="BH4628" s="2"/>
      <c r="BI4628" s="2"/>
      <c r="BJ4628" s="2">
        <v>241</v>
      </c>
      <c r="BK4628" s="2" t="s">
        <v>82</v>
      </c>
      <c r="BL4628" s="2"/>
      <c r="BM4628" s="2">
        <v>241</v>
      </c>
      <c r="BN4628" s="2" t="s">
        <v>82</v>
      </c>
      <c r="BO4628" s="2"/>
      <c r="BP4628" s="2">
        <v>241</v>
      </c>
      <c r="BQ4628" s="2" t="s">
        <v>82</v>
      </c>
      <c r="BR4628" s="2"/>
      <c r="BS4628" s="3">
        <v>40492</v>
      </c>
      <c r="BT4628" s="4">
        <v>0.98052083333333329</v>
      </c>
    </row>
    <row r="4629" spans="1:72" x14ac:dyDescent="0.25">
      <c r="A4629" s="2">
        <v>7128</v>
      </c>
      <c r="B4629" s="2">
        <v>2010</v>
      </c>
      <c r="C4629" s="2" t="s">
        <v>1660</v>
      </c>
      <c r="D4629" s="2" t="s">
        <v>73</v>
      </c>
      <c r="E4629" s="2"/>
      <c r="F4629" s="2">
        <v>390</v>
      </c>
      <c r="G4629" s="2" t="s">
        <v>475</v>
      </c>
      <c r="H4629" s="2">
        <v>5</v>
      </c>
      <c r="I4629" s="2" t="s">
        <v>634</v>
      </c>
      <c r="J4629" s="2">
        <v>533</v>
      </c>
      <c r="K4629" s="2" t="s">
        <v>6511</v>
      </c>
      <c r="L4629" s="2" t="s">
        <v>478</v>
      </c>
      <c r="M4629" s="3">
        <v>40493</v>
      </c>
      <c r="N4629" s="2" t="s">
        <v>3705</v>
      </c>
      <c r="O4629" s="2" t="s">
        <v>14344</v>
      </c>
      <c r="P4629" s="2" t="s">
        <v>107</v>
      </c>
      <c r="Q4629" s="2" t="str">
        <f>"588-E/10"</f>
        <v>588-E/10</v>
      </c>
      <c r="R4629" s="2" t="s">
        <v>14344</v>
      </c>
      <c r="S4629" s="2"/>
      <c r="T4629" s="2">
        <v>1</v>
      </c>
      <c r="U4629" s="2" t="s">
        <v>79</v>
      </c>
      <c r="V4629" s="2">
        <v>1</v>
      </c>
      <c r="W4629" s="2" t="s">
        <v>80</v>
      </c>
      <c r="X4629" s="2">
        <v>10</v>
      </c>
      <c r="Y4629" s="2" t="s">
        <v>226</v>
      </c>
      <c r="Z4629" s="2">
        <v>6</v>
      </c>
      <c r="AA4629" s="2" t="s">
        <v>101</v>
      </c>
      <c r="AB4629" s="2">
        <v>3</v>
      </c>
      <c r="AC4629" s="2" t="s">
        <v>1663</v>
      </c>
      <c r="AD4629" s="3">
        <v>40492</v>
      </c>
      <c r="AE4629" s="4">
        <v>0.38541666666666669</v>
      </c>
      <c r="AF4629" s="3">
        <v>40492</v>
      </c>
      <c r="AG4629" s="4">
        <v>0.42708333333333331</v>
      </c>
      <c r="AH4629" s="2">
        <v>2</v>
      </c>
      <c r="AI4629" s="2" t="s">
        <v>84</v>
      </c>
      <c r="AJ4629" s="2">
        <v>9</v>
      </c>
      <c r="AK4629" s="2" t="s">
        <v>103</v>
      </c>
      <c r="AL4629" s="2">
        <v>14</v>
      </c>
      <c r="AM4629" s="2" t="s">
        <v>216</v>
      </c>
      <c r="AN4629" s="2" t="s">
        <v>14345</v>
      </c>
      <c r="AO4629" s="2" t="s">
        <v>14346</v>
      </c>
      <c r="AP4629" s="2">
        <v>11</v>
      </c>
      <c r="AQ4629" s="2" t="s">
        <v>82</v>
      </c>
      <c r="AR4629" s="2"/>
      <c r="AS4629" s="2"/>
      <c r="AT4629" s="2" t="s">
        <v>14347</v>
      </c>
      <c r="AU4629" s="2"/>
      <c r="AV4629" s="2">
        <v>1</v>
      </c>
      <c r="AW4629" s="2"/>
      <c r="AX4629" s="2"/>
      <c r="AY4629" s="2">
        <v>41</v>
      </c>
      <c r="AZ4629" s="2" t="s">
        <v>82</v>
      </c>
      <c r="BA4629" s="2">
        <v>41</v>
      </c>
      <c r="BB4629" s="2" t="s">
        <v>82</v>
      </c>
      <c r="BC4629" s="2">
        <v>41</v>
      </c>
      <c r="BD4629" s="2" t="s">
        <v>82</v>
      </c>
      <c r="BE4629" s="2">
        <v>17</v>
      </c>
      <c r="BF4629" s="2" t="s">
        <v>508</v>
      </c>
      <c r="BG4629" s="2" t="s">
        <v>14348</v>
      </c>
      <c r="BH4629" s="2"/>
      <c r="BI4629" s="2"/>
      <c r="BJ4629" s="2">
        <v>13</v>
      </c>
      <c r="BK4629" s="2" t="s">
        <v>91</v>
      </c>
      <c r="BL4629" s="2" t="s">
        <v>360</v>
      </c>
      <c r="BM4629" s="2">
        <v>241</v>
      </c>
      <c r="BN4629" s="2" t="s">
        <v>82</v>
      </c>
      <c r="BO4629" s="2"/>
      <c r="BP4629" s="2">
        <v>241</v>
      </c>
      <c r="BQ4629" s="2" t="s">
        <v>82</v>
      </c>
      <c r="BR4629" s="2"/>
      <c r="BS4629" s="3">
        <v>40493</v>
      </c>
      <c r="BT4629" s="4">
        <v>6.7129629629629622E-3</v>
      </c>
    </row>
    <row r="4630" spans="1:72" x14ac:dyDescent="0.25">
      <c r="A4630" s="2">
        <v>7129</v>
      </c>
      <c r="B4630" s="2">
        <v>2010</v>
      </c>
      <c r="C4630" s="2" t="s">
        <v>72</v>
      </c>
      <c r="D4630" s="2" t="s">
        <v>73</v>
      </c>
      <c r="E4630" s="2"/>
      <c r="F4630" s="2">
        <v>3</v>
      </c>
      <c r="G4630" s="2" t="s">
        <v>1041</v>
      </c>
      <c r="H4630" s="2">
        <v>22</v>
      </c>
      <c r="I4630" s="2" t="s">
        <v>75</v>
      </c>
      <c r="J4630" s="2">
        <v>368</v>
      </c>
      <c r="K4630" s="2" t="s">
        <v>1042</v>
      </c>
      <c r="L4630" s="2" t="s">
        <v>1043</v>
      </c>
      <c r="M4630" s="3">
        <v>40493</v>
      </c>
      <c r="N4630" s="2" t="s">
        <v>107</v>
      </c>
      <c r="O4630" s="2" t="s">
        <v>107</v>
      </c>
      <c r="P4630" s="2" t="s">
        <v>107</v>
      </c>
      <c r="Q4630" s="2" t="str">
        <f>"589-E/10"</f>
        <v>589-E/10</v>
      </c>
      <c r="R4630" s="2" t="s">
        <v>116</v>
      </c>
      <c r="S4630" s="2"/>
      <c r="T4630" s="2">
        <v>1</v>
      </c>
      <c r="U4630" s="2" t="s">
        <v>79</v>
      </c>
      <c r="V4630" s="2">
        <v>1</v>
      </c>
      <c r="W4630" s="2" t="s">
        <v>80</v>
      </c>
      <c r="X4630" s="2">
        <v>12</v>
      </c>
      <c r="Y4630" s="2" t="s">
        <v>148</v>
      </c>
      <c r="Z4630" s="2">
        <v>1</v>
      </c>
      <c r="AA4630" s="2" t="s">
        <v>82</v>
      </c>
      <c r="AB4630" s="2">
        <v>6</v>
      </c>
      <c r="AC4630" s="2" t="s">
        <v>83</v>
      </c>
      <c r="AD4630" s="3">
        <v>40492</v>
      </c>
      <c r="AE4630" s="2"/>
      <c r="AF4630" s="3">
        <v>40492</v>
      </c>
      <c r="AG4630" s="4">
        <v>0.94444444444444453</v>
      </c>
      <c r="AH4630" s="2">
        <v>2</v>
      </c>
      <c r="AI4630" s="2" t="s">
        <v>84</v>
      </c>
      <c r="AJ4630" s="2">
        <v>9</v>
      </c>
      <c r="AK4630" s="2" t="s">
        <v>103</v>
      </c>
      <c r="AL4630" s="2">
        <v>12</v>
      </c>
      <c r="AM4630" s="2" t="s">
        <v>86</v>
      </c>
      <c r="AN4630" s="2" t="s">
        <v>14349</v>
      </c>
      <c r="AO4630" s="2" t="s">
        <v>14350</v>
      </c>
      <c r="AP4630" s="2">
        <v>11</v>
      </c>
      <c r="AQ4630" s="2" t="s">
        <v>82</v>
      </c>
      <c r="AR4630" s="2"/>
      <c r="AS4630" s="2"/>
      <c r="AT4630" s="2" t="s">
        <v>14351</v>
      </c>
      <c r="AU4630" s="2"/>
      <c r="AV4630" s="2"/>
      <c r="AW4630" s="2"/>
      <c r="AX4630" s="2"/>
      <c r="AY4630" s="2">
        <v>41</v>
      </c>
      <c r="AZ4630" s="2" t="s">
        <v>82</v>
      </c>
      <c r="BA4630" s="2">
        <v>41</v>
      </c>
      <c r="BB4630" s="2" t="s">
        <v>82</v>
      </c>
      <c r="BC4630" s="2">
        <v>41</v>
      </c>
      <c r="BD4630" s="2" t="s">
        <v>82</v>
      </c>
      <c r="BE4630" s="2">
        <v>41</v>
      </c>
      <c r="BF4630" s="2" t="s">
        <v>82</v>
      </c>
      <c r="BG4630" s="2"/>
      <c r="BH4630" s="2"/>
      <c r="BI4630" s="2"/>
      <c r="BJ4630" s="2">
        <v>241</v>
      </c>
      <c r="BK4630" s="2" t="s">
        <v>82</v>
      </c>
      <c r="BL4630" s="2"/>
      <c r="BM4630" s="2">
        <v>241</v>
      </c>
      <c r="BN4630" s="2" t="s">
        <v>82</v>
      </c>
      <c r="BO4630" s="2"/>
      <c r="BP4630" s="2">
        <v>241</v>
      </c>
      <c r="BQ4630" s="2" t="s">
        <v>82</v>
      </c>
      <c r="BR4630" s="2"/>
      <c r="BS4630" s="3">
        <v>40493</v>
      </c>
      <c r="BT4630" s="4">
        <v>2.7685185185185188E-2</v>
      </c>
    </row>
    <row r="4631" spans="1:72" x14ac:dyDescent="0.25">
      <c r="A4631" s="2">
        <v>7130</v>
      </c>
      <c r="B4631" s="2">
        <v>2010</v>
      </c>
      <c r="C4631" s="2" t="s">
        <v>819</v>
      </c>
      <c r="D4631" s="2" t="s">
        <v>122</v>
      </c>
      <c r="E4631" s="2"/>
      <c r="F4631" s="2">
        <v>425</v>
      </c>
      <c r="G4631" s="2" t="s">
        <v>286</v>
      </c>
      <c r="H4631" s="2">
        <v>39</v>
      </c>
      <c r="I4631" s="2" t="s">
        <v>1117</v>
      </c>
      <c r="J4631" s="2">
        <v>310</v>
      </c>
      <c r="K4631" s="2" t="s">
        <v>288</v>
      </c>
      <c r="L4631" s="2" t="s">
        <v>289</v>
      </c>
      <c r="M4631" s="3">
        <v>40493</v>
      </c>
      <c r="N4631" s="2" t="s">
        <v>2049</v>
      </c>
      <c r="O4631" s="2"/>
      <c r="P4631" s="2"/>
      <c r="Q4631" s="2" t="str">
        <f>"110/10"</f>
        <v>110/10</v>
      </c>
      <c r="R4631" s="2"/>
      <c r="S4631" s="2" t="s">
        <v>822</v>
      </c>
      <c r="T4631" s="2">
        <v>1</v>
      </c>
      <c r="U4631" s="2" t="s">
        <v>79</v>
      </c>
      <c r="V4631" s="2">
        <v>1</v>
      </c>
      <c r="W4631" s="2" t="s">
        <v>80</v>
      </c>
      <c r="X4631" s="2">
        <v>1</v>
      </c>
      <c r="Y4631" s="2" t="s">
        <v>81</v>
      </c>
      <c r="Z4631" s="2">
        <v>10</v>
      </c>
      <c r="AA4631" s="2" t="s">
        <v>236</v>
      </c>
      <c r="AB4631" s="2">
        <v>9</v>
      </c>
      <c r="AC4631" s="2" t="s">
        <v>124</v>
      </c>
      <c r="AD4631" s="3">
        <v>40492</v>
      </c>
      <c r="AE4631" s="4">
        <v>0.90277777777777779</v>
      </c>
      <c r="AF4631" s="3">
        <v>40492</v>
      </c>
      <c r="AG4631" s="4">
        <v>0.90972222222222221</v>
      </c>
      <c r="AH4631" s="2">
        <v>4</v>
      </c>
      <c r="AI4631" s="2" t="s">
        <v>125</v>
      </c>
      <c r="AJ4631" s="2">
        <v>29</v>
      </c>
      <c r="AK4631" s="2" t="s">
        <v>227</v>
      </c>
      <c r="AL4631" s="2">
        <v>10</v>
      </c>
      <c r="AM4631" s="2" t="s">
        <v>200</v>
      </c>
      <c r="AN4631" s="2" t="s">
        <v>1015</v>
      </c>
      <c r="AO4631" s="2" t="s">
        <v>6863</v>
      </c>
      <c r="AP4631" s="2">
        <v>12</v>
      </c>
      <c r="AQ4631" s="2" t="s">
        <v>322</v>
      </c>
      <c r="AR4631" s="2" t="s">
        <v>824</v>
      </c>
      <c r="AS4631" s="2" t="s">
        <v>825</v>
      </c>
      <c r="AT4631" s="2" t="s">
        <v>14352</v>
      </c>
      <c r="AU4631" s="2"/>
      <c r="AV4631" s="2"/>
      <c r="AW4631" s="2"/>
      <c r="AX4631" s="2"/>
      <c r="AY4631" s="2">
        <v>41</v>
      </c>
      <c r="AZ4631" s="2" t="s">
        <v>82</v>
      </c>
      <c r="BA4631" s="2">
        <v>41</v>
      </c>
      <c r="BB4631" s="2" t="s">
        <v>82</v>
      </c>
      <c r="BC4631" s="2">
        <v>51</v>
      </c>
      <c r="BD4631" s="2" t="s">
        <v>827</v>
      </c>
      <c r="BE4631" s="2">
        <v>13</v>
      </c>
      <c r="BF4631" s="2" t="s">
        <v>108</v>
      </c>
      <c r="BG4631" s="2">
        <v>1459</v>
      </c>
      <c r="BH4631" s="4">
        <v>0.89097222222222217</v>
      </c>
      <c r="BI4631" s="4">
        <v>0.95486111111111116</v>
      </c>
      <c r="BJ4631" s="2">
        <v>13</v>
      </c>
      <c r="BK4631" s="2" t="s">
        <v>91</v>
      </c>
      <c r="BL4631" s="2" t="s">
        <v>828</v>
      </c>
      <c r="BM4631" s="2">
        <v>13</v>
      </c>
      <c r="BN4631" s="2" t="s">
        <v>91</v>
      </c>
      <c r="BO4631" s="2"/>
      <c r="BP4631" s="2">
        <v>13</v>
      </c>
      <c r="BQ4631" s="2" t="s">
        <v>91</v>
      </c>
      <c r="BR4631" s="2" t="s">
        <v>185</v>
      </c>
      <c r="BS4631" s="3">
        <v>40493</v>
      </c>
      <c r="BT4631" s="4">
        <v>9.2719907407407418E-2</v>
      </c>
    </row>
    <row r="4632" spans="1:72" x14ac:dyDescent="0.25">
      <c r="A4632" s="2">
        <v>7131</v>
      </c>
      <c r="B4632" s="2">
        <v>2010</v>
      </c>
      <c r="C4632" s="2" t="s">
        <v>93</v>
      </c>
      <c r="D4632" s="2" t="s">
        <v>73</v>
      </c>
      <c r="E4632" s="2"/>
      <c r="F4632" s="2">
        <v>720</v>
      </c>
      <c r="G4632" s="2" t="s">
        <v>14353</v>
      </c>
      <c r="H4632" s="2">
        <v>116</v>
      </c>
      <c r="I4632" s="2" t="s">
        <v>7647</v>
      </c>
      <c r="J4632" s="2">
        <v>709</v>
      </c>
      <c r="K4632" s="2" t="s">
        <v>14354</v>
      </c>
      <c r="L4632" s="2" t="s">
        <v>14355</v>
      </c>
      <c r="M4632" s="3">
        <v>40493</v>
      </c>
      <c r="N4632" s="2" t="s">
        <v>14356</v>
      </c>
      <c r="O4632" s="2" t="s">
        <v>14357</v>
      </c>
      <c r="P4632" s="2" t="s">
        <v>107</v>
      </c>
      <c r="Q4632" s="2" t="str">
        <f>"N/C"</f>
        <v>N/C</v>
      </c>
      <c r="R4632" s="2" t="s">
        <v>82</v>
      </c>
      <c r="S4632" s="2" t="s">
        <v>82</v>
      </c>
      <c r="T4632" s="2">
        <v>1</v>
      </c>
      <c r="U4632" s="2" t="s">
        <v>79</v>
      </c>
      <c r="V4632" s="2">
        <v>1</v>
      </c>
      <c r="W4632" s="2" t="s">
        <v>80</v>
      </c>
      <c r="X4632" s="2">
        <v>10</v>
      </c>
      <c r="Y4632" s="2" t="s">
        <v>226</v>
      </c>
      <c r="Z4632" s="2">
        <v>6</v>
      </c>
      <c r="AA4632" s="2" t="s">
        <v>101</v>
      </c>
      <c r="AB4632" s="2">
        <v>2</v>
      </c>
      <c r="AC4632" s="2" t="s">
        <v>102</v>
      </c>
      <c r="AD4632" s="3">
        <v>40492</v>
      </c>
      <c r="AE4632" s="2"/>
      <c r="AF4632" s="3">
        <v>40492</v>
      </c>
      <c r="AG4632" s="4">
        <v>0.36805555555555558</v>
      </c>
      <c r="AH4632" s="2">
        <v>2</v>
      </c>
      <c r="AI4632" s="2" t="s">
        <v>84</v>
      </c>
      <c r="AJ4632" s="2">
        <v>9</v>
      </c>
      <c r="AK4632" s="2" t="s">
        <v>103</v>
      </c>
      <c r="AL4632" s="2">
        <v>14</v>
      </c>
      <c r="AM4632" s="2" t="s">
        <v>216</v>
      </c>
      <c r="AN4632" s="2" t="s">
        <v>14358</v>
      </c>
      <c r="AO4632" s="2" t="s">
        <v>12818</v>
      </c>
      <c r="AP4632" s="2">
        <v>11</v>
      </c>
      <c r="AQ4632" s="2" t="s">
        <v>82</v>
      </c>
      <c r="AR4632" s="2"/>
      <c r="AS4632" s="2"/>
      <c r="AT4632" s="2" t="s">
        <v>14359</v>
      </c>
      <c r="AU4632" s="2">
        <v>1</v>
      </c>
      <c r="AV4632" s="2"/>
      <c r="AW4632" s="2"/>
      <c r="AX4632" s="2"/>
      <c r="AY4632" s="2">
        <v>41</v>
      </c>
      <c r="AZ4632" s="2" t="s">
        <v>82</v>
      </c>
      <c r="BA4632" s="2">
        <v>41</v>
      </c>
      <c r="BB4632" s="2" t="s">
        <v>82</v>
      </c>
      <c r="BC4632" s="2">
        <v>41</v>
      </c>
      <c r="BD4632" s="2" t="s">
        <v>82</v>
      </c>
      <c r="BE4632" s="2">
        <v>14</v>
      </c>
      <c r="BF4632" s="2" t="s">
        <v>484</v>
      </c>
      <c r="BG4632" s="2" t="s">
        <v>6158</v>
      </c>
      <c r="BH4632" s="4">
        <v>0.35416666666666669</v>
      </c>
      <c r="BI4632" s="2"/>
      <c r="BJ4632" s="2">
        <v>82</v>
      </c>
      <c r="BK4632" s="2" t="s">
        <v>487</v>
      </c>
      <c r="BL4632" s="2" t="s">
        <v>488</v>
      </c>
      <c r="BM4632" s="2">
        <v>13</v>
      </c>
      <c r="BN4632" s="2" t="s">
        <v>91</v>
      </c>
      <c r="BO4632" s="2"/>
      <c r="BP4632" s="2">
        <v>13</v>
      </c>
      <c r="BQ4632" s="2" t="s">
        <v>91</v>
      </c>
      <c r="BR4632" s="2" t="s">
        <v>360</v>
      </c>
      <c r="BS4632" s="3">
        <v>40493</v>
      </c>
      <c r="BT4632" s="4">
        <v>0.20784722222222221</v>
      </c>
    </row>
    <row r="4633" spans="1:72" x14ac:dyDescent="0.25">
      <c r="A4633" s="2">
        <v>7132</v>
      </c>
      <c r="B4633" s="2">
        <v>2010</v>
      </c>
      <c r="C4633" s="2" t="s">
        <v>377</v>
      </c>
      <c r="D4633" s="2" t="s">
        <v>73</v>
      </c>
      <c r="E4633" s="2"/>
      <c r="F4633" s="2">
        <v>426</v>
      </c>
      <c r="G4633" s="2" t="s">
        <v>378</v>
      </c>
      <c r="H4633" s="2">
        <v>108</v>
      </c>
      <c r="I4633" s="2" t="s">
        <v>1096</v>
      </c>
      <c r="J4633" s="2">
        <v>311</v>
      </c>
      <c r="K4633" s="2" t="s">
        <v>379</v>
      </c>
      <c r="L4633" s="2" t="s">
        <v>380</v>
      </c>
      <c r="M4633" s="3">
        <v>40493</v>
      </c>
      <c r="N4633" s="2" t="s">
        <v>4007</v>
      </c>
      <c r="O4633" s="2"/>
      <c r="P4633" s="2"/>
      <c r="Q4633" s="2" t="str">
        <f>"281-C/10 BIS"</f>
        <v>281-C/10 BIS</v>
      </c>
      <c r="R4633" s="2" t="s">
        <v>4072</v>
      </c>
      <c r="S4633" s="2"/>
      <c r="T4633" s="2">
        <v>1</v>
      </c>
      <c r="U4633" s="2" t="s">
        <v>79</v>
      </c>
      <c r="V4633" s="2">
        <v>1</v>
      </c>
      <c r="W4633" s="2" t="s">
        <v>80</v>
      </c>
      <c r="X4633" s="2">
        <v>1</v>
      </c>
      <c r="Y4633" s="2" t="s">
        <v>81</v>
      </c>
      <c r="Z4633" s="2">
        <v>1</v>
      </c>
      <c r="AA4633" s="2" t="s">
        <v>82</v>
      </c>
      <c r="AB4633" s="2">
        <v>9</v>
      </c>
      <c r="AC4633" s="2" t="s">
        <v>124</v>
      </c>
      <c r="AD4633" s="3">
        <v>40492</v>
      </c>
      <c r="AE4633" s="4">
        <v>0.85416666666666663</v>
      </c>
      <c r="AF4633" s="3">
        <v>40492</v>
      </c>
      <c r="AG4633" s="4">
        <v>0.875</v>
      </c>
      <c r="AH4633" s="2">
        <v>2</v>
      </c>
      <c r="AI4633" s="2" t="s">
        <v>84</v>
      </c>
      <c r="AJ4633" s="2">
        <v>9</v>
      </c>
      <c r="AK4633" s="2" t="s">
        <v>103</v>
      </c>
      <c r="AL4633" s="2">
        <v>24</v>
      </c>
      <c r="AM4633" s="2" t="s">
        <v>1540</v>
      </c>
      <c r="AN4633" s="2"/>
      <c r="AO4633" s="2" t="s">
        <v>13702</v>
      </c>
      <c r="AP4633" s="2">
        <v>11</v>
      </c>
      <c r="AQ4633" s="2" t="s">
        <v>82</v>
      </c>
      <c r="AR4633" s="2"/>
      <c r="AS4633" s="2"/>
      <c r="AT4633" s="2" t="s">
        <v>14360</v>
      </c>
      <c r="AU4633" s="2"/>
      <c r="AV4633" s="2"/>
      <c r="AW4633" s="2"/>
      <c r="AX4633" s="2"/>
      <c r="AY4633" s="2">
        <v>41</v>
      </c>
      <c r="AZ4633" s="2" t="s">
        <v>82</v>
      </c>
      <c r="BA4633" s="2">
        <v>41</v>
      </c>
      <c r="BB4633" s="2" t="s">
        <v>82</v>
      </c>
      <c r="BC4633" s="2">
        <v>41</v>
      </c>
      <c r="BD4633" s="2" t="s">
        <v>82</v>
      </c>
      <c r="BE4633" s="2">
        <v>41</v>
      </c>
      <c r="BF4633" s="2" t="s">
        <v>82</v>
      </c>
      <c r="BG4633" s="2"/>
      <c r="BH4633" s="2"/>
      <c r="BI4633" s="2"/>
      <c r="BJ4633" s="2">
        <v>241</v>
      </c>
      <c r="BK4633" s="2" t="s">
        <v>82</v>
      </c>
      <c r="BL4633" s="2"/>
      <c r="BM4633" s="2">
        <v>241</v>
      </c>
      <c r="BN4633" s="2" t="s">
        <v>82</v>
      </c>
      <c r="BO4633" s="2"/>
      <c r="BP4633" s="2">
        <v>241</v>
      </c>
      <c r="BQ4633" s="2" t="s">
        <v>82</v>
      </c>
      <c r="BR4633" s="2"/>
      <c r="BS4633" s="3">
        <v>40493</v>
      </c>
      <c r="BT4633" s="4">
        <v>0.23538194444444446</v>
      </c>
    </row>
    <row r="4634" spans="1:72" x14ac:dyDescent="0.25">
      <c r="A4634" s="2">
        <v>7133</v>
      </c>
      <c r="B4634" s="2">
        <v>2010</v>
      </c>
      <c r="C4634" s="2" t="s">
        <v>377</v>
      </c>
      <c r="D4634" s="2" t="s">
        <v>73</v>
      </c>
      <c r="E4634" s="2"/>
      <c r="F4634" s="2">
        <v>426</v>
      </c>
      <c r="G4634" s="2" t="s">
        <v>378</v>
      </c>
      <c r="H4634" s="2">
        <v>22</v>
      </c>
      <c r="I4634" s="2" t="s">
        <v>75</v>
      </c>
      <c r="J4634" s="2">
        <v>311</v>
      </c>
      <c r="K4634" s="2" t="s">
        <v>379</v>
      </c>
      <c r="L4634" s="2" t="s">
        <v>380</v>
      </c>
      <c r="M4634" s="3">
        <v>40493</v>
      </c>
      <c r="N4634" s="2" t="s">
        <v>4007</v>
      </c>
      <c r="O4634" s="2"/>
      <c r="P4634" s="2"/>
      <c r="Q4634" s="2" t="str">
        <f>"282-C/10"</f>
        <v>282-C/10</v>
      </c>
      <c r="R4634" s="2" t="s">
        <v>3458</v>
      </c>
      <c r="S4634" s="2"/>
      <c r="T4634" s="2">
        <v>1</v>
      </c>
      <c r="U4634" s="2" t="s">
        <v>79</v>
      </c>
      <c r="V4634" s="2">
        <v>1</v>
      </c>
      <c r="W4634" s="2" t="s">
        <v>80</v>
      </c>
      <c r="X4634" s="2">
        <v>1</v>
      </c>
      <c r="Y4634" s="2" t="s">
        <v>81</v>
      </c>
      <c r="Z4634" s="2">
        <v>1</v>
      </c>
      <c r="AA4634" s="2" t="s">
        <v>82</v>
      </c>
      <c r="AB4634" s="2">
        <v>9</v>
      </c>
      <c r="AC4634" s="2" t="s">
        <v>124</v>
      </c>
      <c r="AD4634" s="3">
        <v>40492</v>
      </c>
      <c r="AE4634" s="2"/>
      <c r="AF4634" s="3">
        <v>40492</v>
      </c>
      <c r="AG4634" s="4">
        <v>0.875</v>
      </c>
      <c r="AH4634" s="2">
        <v>2</v>
      </c>
      <c r="AI4634" s="2" t="s">
        <v>84</v>
      </c>
      <c r="AJ4634" s="2">
        <v>9</v>
      </c>
      <c r="AK4634" s="2" t="s">
        <v>103</v>
      </c>
      <c r="AL4634" s="2">
        <v>29</v>
      </c>
      <c r="AM4634" s="2" t="s">
        <v>5416</v>
      </c>
      <c r="AN4634" s="2"/>
      <c r="AO4634" s="2" t="s">
        <v>14361</v>
      </c>
      <c r="AP4634" s="2">
        <v>11</v>
      </c>
      <c r="AQ4634" s="2" t="s">
        <v>82</v>
      </c>
      <c r="AR4634" s="2"/>
      <c r="AS4634" s="2"/>
      <c r="AT4634" s="2" t="s">
        <v>14362</v>
      </c>
      <c r="AU4634" s="2"/>
      <c r="AV4634" s="2"/>
      <c r="AW4634" s="2"/>
      <c r="AX4634" s="2"/>
      <c r="AY4634" s="2">
        <v>41</v>
      </c>
      <c r="AZ4634" s="2" t="s">
        <v>82</v>
      </c>
      <c r="BA4634" s="2">
        <v>41</v>
      </c>
      <c r="BB4634" s="2" t="s">
        <v>82</v>
      </c>
      <c r="BC4634" s="2">
        <v>41</v>
      </c>
      <c r="BD4634" s="2" t="s">
        <v>82</v>
      </c>
      <c r="BE4634" s="2">
        <v>41</v>
      </c>
      <c r="BF4634" s="2" t="s">
        <v>82</v>
      </c>
      <c r="BG4634" s="2"/>
      <c r="BH4634" s="2"/>
      <c r="BI4634" s="2"/>
      <c r="BJ4634" s="2">
        <v>241</v>
      </c>
      <c r="BK4634" s="2" t="s">
        <v>82</v>
      </c>
      <c r="BL4634" s="2"/>
      <c r="BM4634" s="2">
        <v>241</v>
      </c>
      <c r="BN4634" s="2" t="s">
        <v>82</v>
      </c>
      <c r="BO4634" s="2"/>
      <c r="BP4634" s="2">
        <v>241</v>
      </c>
      <c r="BQ4634" s="2" t="s">
        <v>82</v>
      </c>
      <c r="BR4634" s="2"/>
      <c r="BS4634" s="3">
        <v>40493</v>
      </c>
      <c r="BT4634" s="4">
        <v>0.28158564814814818</v>
      </c>
    </row>
    <row r="4635" spans="1:72" x14ac:dyDescent="0.25">
      <c r="A4635" s="2">
        <v>7134</v>
      </c>
      <c r="B4635" s="2">
        <v>2010</v>
      </c>
      <c r="C4635" s="2" t="s">
        <v>4543</v>
      </c>
      <c r="D4635" s="2" t="s">
        <v>122</v>
      </c>
      <c r="E4635" s="2"/>
      <c r="F4635" s="2">
        <v>1</v>
      </c>
      <c r="G4635" s="2" t="s">
        <v>82</v>
      </c>
      <c r="H4635" s="2">
        <v>1</v>
      </c>
      <c r="I4635" s="2" t="s">
        <v>82</v>
      </c>
      <c r="J4635" s="2">
        <v>1</v>
      </c>
      <c r="K4635" s="2" t="s">
        <v>107</v>
      </c>
      <c r="L4635" s="2" t="s">
        <v>107</v>
      </c>
      <c r="M4635" s="3">
        <v>40493</v>
      </c>
      <c r="N4635" s="2"/>
      <c r="O4635" s="2"/>
      <c r="P4635" s="2"/>
      <c r="Q4635" s="2" t="str">
        <f>""</f>
        <v/>
      </c>
      <c r="R4635" s="2"/>
      <c r="S4635" s="2"/>
      <c r="T4635" s="2">
        <v>2</v>
      </c>
      <c r="U4635" s="2" t="s">
        <v>123</v>
      </c>
      <c r="V4635" s="2">
        <v>1</v>
      </c>
      <c r="W4635" s="2" t="s">
        <v>80</v>
      </c>
      <c r="X4635" s="2">
        <v>11</v>
      </c>
      <c r="Y4635" s="2" t="s">
        <v>1920</v>
      </c>
      <c r="Z4635" s="2">
        <v>1</v>
      </c>
      <c r="AA4635" s="2" t="s">
        <v>82</v>
      </c>
      <c r="AB4635" s="2">
        <v>9</v>
      </c>
      <c r="AC4635" s="2" t="s">
        <v>124</v>
      </c>
      <c r="AD4635" s="3">
        <v>40493</v>
      </c>
      <c r="AE4635" s="4">
        <v>0.14583333333333334</v>
      </c>
      <c r="AF4635" s="2"/>
      <c r="AG4635" s="2"/>
      <c r="AH4635" s="2">
        <v>6</v>
      </c>
      <c r="AI4635" s="2" t="s">
        <v>197</v>
      </c>
      <c r="AJ4635" s="2">
        <v>54</v>
      </c>
      <c r="AK4635" s="2" t="s">
        <v>348</v>
      </c>
      <c r="AL4635" s="2">
        <v>10</v>
      </c>
      <c r="AM4635" s="2" t="s">
        <v>200</v>
      </c>
      <c r="AN4635" s="2"/>
      <c r="AO4635" s="2" t="s">
        <v>10461</v>
      </c>
      <c r="AP4635" s="2">
        <v>14</v>
      </c>
      <c r="AQ4635" s="2" t="s">
        <v>3301</v>
      </c>
      <c r="AR4635" s="2" t="s">
        <v>14363</v>
      </c>
      <c r="AS4635" s="2" t="s">
        <v>14363</v>
      </c>
      <c r="AT4635" s="2" t="s">
        <v>14364</v>
      </c>
      <c r="AU4635" s="2"/>
      <c r="AV4635" s="2"/>
      <c r="AW4635" s="2"/>
      <c r="AX4635" s="2"/>
      <c r="AY4635" s="2">
        <v>41</v>
      </c>
      <c r="AZ4635" s="2" t="s">
        <v>82</v>
      </c>
      <c r="BA4635" s="2">
        <v>41</v>
      </c>
      <c r="BB4635" s="2" t="s">
        <v>82</v>
      </c>
      <c r="BC4635" s="2">
        <v>41</v>
      </c>
      <c r="BD4635" s="2" t="s">
        <v>82</v>
      </c>
      <c r="BE4635" s="2">
        <v>4</v>
      </c>
      <c r="BF4635" s="2" t="s">
        <v>90</v>
      </c>
      <c r="BG4635" s="2" t="s">
        <v>598</v>
      </c>
      <c r="BH4635" s="2"/>
      <c r="BI4635" s="4">
        <v>0.14583333333333334</v>
      </c>
      <c r="BJ4635" s="2">
        <v>13</v>
      </c>
      <c r="BK4635" s="2" t="s">
        <v>91</v>
      </c>
      <c r="BL4635" s="2" t="s">
        <v>353</v>
      </c>
      <c r="BM4635" s="2">
        <v>13</v>
      </c>
      <c r="BN4635" s="2" t="s">
        <v>91</v>
      </c>
      <c r="BO4635" s="2"/>
      <c r="BP4635" s="2">
        <v>13</v>
      </c>
      <c r="BQ4635" s="2" t="s">
        <v>91</v>
      </c>
      <c r="BR4635" s="2" t="s">
        <v>360</v>
      </c>
      <c r="BS4635" s="3">
        <v>40493</v>
      </c>
      <c r="BT4635" s="4">
        <v>0.29834490740740743</v>
      </c>
    </row>
    <row r="4636" spans="1:72" x14ac:dyDescent="0.25">
      <c r="A4636" s="2">
        <v>7135</v>
      </c>
      <c r="B4636" s="2">
        <v>2010</v>
      </c>
      <c r="C4636" s="2" t="s">
        <v>93</v>
      </c>
      <c r="D4636" s="2" t="s">
        <v>73</v>
      </c>
      <c r="E4636" s="2"/>
      <c r="F4636" s="2">
        <v>117</v>
      </c>
      <c r="G4636" s="2" t="s">
        <v>3284</v>
      </c>
      <c r="H4636" s="2">
        <v>22</v>
      </c>
      <c r="I4636" s="2" t="s">
        <v>75</v>
      </c>
      <c r="J4636" s="2">
        <v>134</v>
      </c>
      <c r="K4636" s="2" t="s">
        <v>3285</v>
      </c>
      <c r="L4636" s="2" t="s">
        <v>3286</v>
      </c>
      <c r="M4636" s="3">
        <v>40493</v>
      </c>
      <c r="N4636" s="2" t="s">
        <v>14365</v>
      </c>
      <c r="O4636" s="2" t="s">
        <v>14366</v>
      </c>
      <c r="P4636" s="2" t="s">
        <v>14367</v>
      </c>
      <c r="Q4636" s="2" t="str">
        <f>"AP 0063/10"</f>
        <v>AP 0063/10</v>
      </c>
      <c r="R4636" s="2" t="s">
        <v>4154</v>
      </c>
      <c r="S4636" s="2"/>
      <c r="T4636" s="2">
        <v>1</v>
      </c>
      <c r="U4636" s="2" t="s">
        <v>79</v>
      </c>
      <c r="V4636" s="2">
        <v>1</v>
      </c>
      <c r="W4636" s="2" t="s">
        <v>80</v>
      </c>
      <c r="X4636" s="2">
        <v>1</v>
      </c>
      <c r="Y4636" s="2" t="s">
        <v>81</v>
      </c>
      <c r="Z4636" s="2">
        <v>1</v>
      </c>
      <c r="AA4636" s="2" t="s">
        <v>82</v>
      </c>
      <c r="AB4636" s="2">
        <v>2</v>
      </c>
      <c r="AC4636" s="2" t="s">
        <v>102</v>
      </c>
      <c r="AD4636" s="3">
        <v>40493</v>
      </c>
      <c r="AE4636" s="4">
        <v>0.40625</v>
      </c>
      <c r="AF4636" s="3">
        <v>40493</v>
      </c>
      <c r="AG4636" s="2"/>
      <c r="AH4636" s="2">
        <v>6</v>
      </c>
      <c r="AI4636" s="2" t="s">
        <v>197</v>
      </c>
      <c r="AJ4636" s="2">
        <v>61</v>
      </c>
      <c r="AK4636" s="2" t="s">
        <v>686</v>
      </c>
      <c r="AL4636" s="2">
        <v>11</v>
      </c>
      <c r="AM4636" s="2" t="s">
        <v>137</v>
      </c>
      <c r="AN4636" s="2" t="s">
        <v>82</v>
      </c>
      <c r="AO4636" s="2" t="s">
        <v>5668</v>
      </c>
      <c r="AP4636" s="2">
        <v>11</v>
      </c>
      <c r="AQ4636" s="2" t="s">
        <v>82</v>
      </c>
      <c r="AR4636" s="2" t="s">
        <v>82</v>
      </c>
      <c r="AS4636" s="2" t="s">
        <v>82</v>
      </c>
      <c r="AT4636" s="2" t="s">
        <v>14368</v>
      </c>
      <c r="AU4636" s="2"/>
      <c r="AV4636" s="2"/>
      <c r="AW4636" s="2"/>
      <c r="AX4636" s="2"/>
      <c r="AY4636" s="2">
        <v>41</v>
      </c>
      <c r="AZ4636" s="2" t="s">
        <v>82</v>
      </c>
      <c r="BA4636" s="2">
        <v>41</v>
      </c>
      <c r="BB4636" s="2" t="s">
        <v>82</v>
      </c>
      <c r="BC4636" s="2">
        <v>41</v>
      </c>
      <c r="BD4636" s="2" t="s">
        <v>82</v>
      </c>
      <c r="BE4636" s="2">
        <v>49</v>
      </c>
      <c r="BF4636" s="2" t="s">
        <v>1254</v>
      </c>
      <c r="BG4636" s="2">
        <v>485</v>
      </c>
      <c r="BH4636" s="4">
        <v>0.41319444444444442</v>
      </c>
      <c r="BI4636" s="4">
        <v>0.4375</v>
      </c>
      <c r="BJ4636" s="2">
        <v>241</v>
      </c>
      <c r="BK4636" s="2" t="s">
        <v>82</v>
      </c>
      <c r="BL4636" s="2" t="s">
        <v>492</v>
      </c>
      <c r="BM4636" s="2">
        <v>13</v>
      </c>
      <c r="BN4636" s="2" t="s">
        <v>91</v>
      </c>
      <c r="BO4636" s="2"/>
      <c r="BP4636" s="2">
        <v>13</v>
      </c>
      <c r="BQ4636" s="2" t="s">
        <v>91</v>
      </c>
      <c r="BR4636" s="2" t="s">
        <v>6083</v>
      </c>
      <c r="BS4636" s="3">
        <v>40493</v>
      </c>
      <c r="BT4636" s="4">
        <v>0.43751157407407404</v>
      </c>
    </row>
    <row r="4637" spans="1:72" x14ac:dyDescent="0.25">
      <c r="A4637" s="2">
        <v>7137</v>
      </c>
      <c r="B4637" s="2">
        <v>2010</v>
      </c>
      <c r="C4637" s="2" t="s">
        <v>385</v>
      </c>
      <c r="D4637" s="2" t="s">
        <v>122</v>
      </c>
      <c r="E4637" s="2"/>
      <c r="F4637" s="2">
        <v>393</v>
      </c>
      <c r="G4637" s="2" t="s">
        <v>3660</v>
      </c>
      <c r="H4637" s="2">
        <v>2</v>
      </c>
      <c r="I4637" s="2" t="s">
        <v>267</v>
      </c>
      <c r="J4637" s="2">
        <v>2</v>
      </c>
      <c r="K4637" s="2" t="s">
        <v>3661</v>
      </c>
      <c r="L4637" s="2" t="s">
        <v>3662</v>
      </c>
      <c r="M4637" s="3">
        <v>40493</v>
      </c>
      <c r="N4637" s="2" t="s">
        <v>14369</v>
      </c>
      <c r="O4637" s="2" t="s">
        <v>4352</v>
      </c>
      <c r="P4637" s="2">
        <v>5837</v>
      </c>
      <c r="Q4637" s="2" t="str">
        <f>""</f>
        <v/>
      </c>
      <c r="R4637" s="2"/>
      <c r="S4637" s="2"/>
      <c r="T4637" s="2">
        <v>1</v>
      </c>
      <c r="U4637" s="2" t="s">
        <v>79</v>
      </c>
      <c r="V4637" s="2">
        <v>1</v>
      </c>
      <c r="W4637" s="2" t="s">
        <v>80</v>
      </c>
      <c r="X4637" s="2">
        <v>11</v>
      </c>
      <c r="Y4637" s="2" t="s">
        <v>1920</v>
      </c>
      <c r="Z4637" s="2">
        <v>10</v>
      </c>
      <c r="AA4637" s="2" t="s">
        <v>236</v>
      </c>
      <c r="AB4637" s="2">
        <v>9</v>
      </c>
      <c r="AC4637" s="2" t="s">
        <v>124</v>
      </c>
      <c r="AD4637" s="3">
        <v>40492</v>
      </c>
      <c r="AE4637" s="4">
        <v>0.83333333333333337</v>
      </c>
      <c r="AF4637" s="2"/>
      <c r="AG4637" s="2"/>
      <c r="AH4637" s="2">
        <v>2</v>
      </c>
      <c r="AI4637" s="2" t="s">
        <v>84</v>
      </c>
      <c r="AJ4637" s="2">
        <v>12</v>
      </c>
      <c r="AK4637" s="2" t="s">
        <v>85</v>
      </c>
      <c r="AL4637" s="2">
        <v>27</v>
      </c>
      <c r="AM4637" s="2" t="s">
        <v>6225</v>
      </c>
      <c r="AN4637" s="2" t="s">
        <v>1807</v>
      </c>
      <c r="AO4637" s="2" t="s">
        <v>515</v>
      </c>
      <c r="AP4637" s="2">
        <v>11</v>
      </c>
      <c r="AQ4637" s="2" t="s">
        <v>82</v>
      </c>
      <c r="AR4637" s="2"/>
      <c r="AS4637" s="2"/>
      <c r="AT4637" s="2" t="s">
        <v>14370</v>
      </c>
      <c r="AU4637" s="2"/>
      <c r="AV4637" s="2">
        <v>2</v>
      </c>
      <c r="AW4637" s="2"/>
      <c r="AX4637" s="2"/>
      <c r="AY4637" s="2">
        <v>41</v>
      </c>
      <c r="AZ4637" s="2" t="s">
        <v>82</v>
      </c>
      <c r="BA4637" s="2">
        <v>41</v>
      </c>
      <c r="BB4637" s="2" t="s">
        <v>82</v>
      </c>
      <c r="BC4637" s="2">
        <v>41</v>
      </c>
      <c r="BD4637" s="2" t="s">
        <v>82</v>
      </c>
      <c r="BE4637" s="2">
        <v>41</v>
      </c>
      <c r="BF4637" s="2" t="s">
        <v>82</v>
      </c>
      <c r="BG4637" s="2"/>
      <c r="BH4637" s="2"/>
      <c r="BI4637" s="2"/>
      <c r="BJ4637" s="2">
        <v>241</v>
      </c>
      <c r="BK4637" s="2" t="s">
        <v>82</v>
      </c>
      <c r="BL4637" s="2"/>
      <c r="BM4637" s="2">
        <v>241</v>
      </c>
      <c r="BN4637" s="2" t="s">
        <v>82</v>
      </c>
      <c r="BO4637" s="2"/>
      <c r="BP4637" s="2">
        <v>241</v>
      </c>
      <c r="BQ4637" s="2" t="s">
        <v>82</v>
      </c>
      <c r="BR4637" s="2"/>
      <c r="BS4637" s="3">
        <v>40493</v>
      </c>
      <c r="BT4637" s="4">
        <v>0.46180555555555558</v>
      </c>
    </row>
    <row r="4638" spans="1:72" x14ac:dyDescent="0.25">
      <c r="A4638" s="2">
        <v>7140</v>
      </c>
      <c r="B4638" s="2">
        <v>2010</v>
      </c>
      <c r="C4638" s="2" t="s">
        <v>2754</v>
      </c>
      <c r="D4638" s="2" t="s">
        <v>73</v>
      </c>
      <c r="E4638" s="2"/>
      <c r="F4638" s="2">
        <v>1</v>
      </c>
      <c r="G4638" s="2" t="s">
        <v>82</v>
      </c>
      <c r="H4638" s="2">
        <v>1</v>
      </c>
      <c r="I4638" s="2" t="s">
        <v>82</v>
      </c>
      <c r="J4638" s="2">
        <v>1</v>
      </c>
      <c r="K4638" s="2" t="s">
        <v>107</v>
      </c>
      <c r="L4638" s="2" t="s">
        <v>107</v>
      </c>
      <c r="M4638" s="3">
        <v>40493</v>
      </c>
      <c r="N4638" s="2"/>
      <c r="O4638" s="2"/>
      <c r="P4638" s="2"/>
      <c r="Q4638" s="2" t="str">
        <f>"AP 0095/10"</f>
        <v>AP 0095/10</v>
      </c>
      <c r="R4638" s="2" t="s">
        <v>14371</v>
      </c>
      <c r="S4638" s="2"/>
      <c r="T4638" s="2">
        <v>1</v>
      </c>
      <c r="U4638" s="2" t="s">
        <v>79</v>
      </c>
      <c r="V4638" s="2">
        <v>1</v>
      </c>
      <c r="W4638" s="2" t="s">
        <v>80</v>
      </c>
      <c r="X4638" s="2">
        <v>1</v>
      </c>
      <c r="Y4638" s="2" t="s">
        <v>81</v>
      </c>
      <c r="Z4638" s="2">
        <v>1</v>
      </c>
      <c r="AA4638" s="2" t="s">
        <v>82</v>
      </c>
      <c r="AB4638" s="2">
        <v>8</v>
      </c>
      <c r="AC4638" s="2" t="s">
        <v>2760</v>
      </c>
      <c r="AD4638" s="3">
        <v>40493</v>
      </c>
      <c r="AE4638" s="4">
        <v>0.39583333333333331</v>
      </c>
      <c r="AF4638" s="3">
        <v>40493</v>
      </c>
      <c r="AG4638" s="2"/>
      <c r="AH4638" s="2">
        <v>6</v>
      </c>
      <c r="AI4638" s="2" t="s">
        <v>197</v>
      </c>
      <c r="AJ4638" s="2">
        <v>58</v>
      </c>
      <c r="AK4638" s="2" t="s">
        <v>406</v>
      </c>
      <c r="AL4638" s="2">
        <v>22</v>
      </c>
      <c r="AM4638" s="2" t="s">
        <v>1853</v>
      </c>
      <c r="AN4638" s="2"/>
      <c r="AO4638" s="2" t="s">
        <v>179</v>
      </c>
      <c r="AP4638" s="2">
        <v>11</v>
      </c>
      <c r="AQ4638" s="2" t="s">
        <v>82</v>
      </c>
      <c r="AR4638" s="2"/>
      <c r="AS4638" s="2"/>
      <c r="AT4638" s="2" t="s">
        <v>14372</v>
      </c>
      <c r="AU4638" s="2"/>
      <c r="AV4638" s="2"/>
      <c r="AW4638" s="2"/>
      <c r="AX4638" s="2"/>
      <c r="AY4638" s="2">
        <v>41</v>
      </c>
      <c r="AZ4638" s="2" t="s">
        <v>82</v>
      </c>
      <c r="BA4638" s="2">
        <v>41</v>
      </c>
      <c r="BB4638" s="2" t="s">
        <v>82</v>
      </c>
      <c r="BC4638" s="2">
        <v>41</v>
      </c>
      <c r="BD4638" s="2" t="s">
        <v>82</v>
      </c>
      <c r="BE4638" s="2">
        <v>47</v>
      </c>
      <c r="BF4638" s="2" t="s">
        <v>167</v>
      </c>
      <c r="BG4638" s="2" t="s">
        <v>14373</v>
      </c>
      <c r="BH4638" s="2"/>
      <c r="BI4638" s="4">
        <v>0.42708333333333331</v>
      </c>
      <c r="BJ4638" s="2">
        <v>13</v>
      </c>
      <c r="BK4638" s="2" t="s">
        <v>91</v>
      </c>
      <c r="BL4638" s="2" t="s">
        <v>492</v>
      </c>
      <c r="BM4638" s="2">
        <v>13</v>
      </c>
      <c r="BN4638" s="2" t="s">
        <v>91</v>
      </c>
      <c r="BO4638" s="2"/>
      <c r="BP4638" s="2">
        <v>13</v>
      </c>
      <c r="BQ4638" s="2" t="s">
        <v>91</v>
      </c>
      <c r="BR4638" s="2" t="s">
        <v>360</v>
      </c>
      <c r="BS4638" s="3">
        <v>40493</v>
      </c>
      <c r="BT4638" s="4">
        <v>0.5433796296296296</v>
      </c>
    </row>
    <row r="4639" spans="1:72" x14ac:dyDescent="0.25">
      <c r="A4639" s="2">
        <v>7142</v>
      </c>
      <c r="B4639" s="2">
        <v>2010</v>
      </c>
      <c r="C4639" s="2" t="s">
        <v>819</v>
      </c>
      <c r="D4639" s="2" t="s">
        <v>122</v>
      </c>
      <c r="E4639" s="2" t="s">
        <v>14374</v>
      </c>
      <c r="F4639" s="2">
        <v>425</v>
      </c>
      <c r="G4639" s="2" t="s">
        <v>286</v>
      </c>
      <c r="H4639" s="2">
        <v>39</v>
      </c>
      <c r="I4639" s="2" t="s">
        <v>1117</v>
      </c>
      <c r="J4639" s="2">
        <v>310</v>
      </c>
      <c r="K4639" s="2" t="s">
        <v>288</v>
      </c>
      <c r="L4639" s="2" t="s">
        <v>289</v>
      </c>
      <c r="M4639" s="3">
        <v>40493</v>
      </c>
      <c r="N4639" s="2" t="s">
        <v>2049</v>
      </c>
      <c r="O4639" s="2"/>
      <c r="P4639" s="2"/>
      <c r="Q4639" s="2" t="str">
        <f>"110/10"</f>
        <v>110/10</v>
      </c>
      <c r="R4639" s="2" t="s">
        <v>822</v>
      </c>
      <c r="S4639" s="2"/>
      <c r="T4639" s="2">
        <v>1</v>
      </c>
      <c r="U4639" s="2" t="s">
        <v>79</v>
      </c>
      <c r="V4639" s="2">
        <v>1</v>
      </c>
      <c r="W4639" s="2" t="s">
        <v>80</v>
      </c>
      <c r="X4639" s="2">
        <v>1</v>
      </c>
      <c r="Y4639" s="2" t="s">
        <v>81</v>
      </c>
      <c r="Z4639" s="2">
        <v>10</v>
      </c>
      <c r="AA4639" s="2" t="s">
        <v>236</v>
      </c>
      <c r="AB4639" s="2">
        <v>9</v>
      </c>
      <c r="AC4639" s="2" t="s">
        <v>124</v>
      </c>
      <c r="AD4639" s="3">
        <v>40493</v>
      </c>
      <c r="AE4639" s="4">
        <v>0.4513888888888889</v>
      </c>
      <c r="AF4639" s="2"/>
      <c r="AG4639" s="2"/>
      <c r="AH4639" s="2">
        <v>4</v>
      </c>
      <c r="AI4639" s="2" t="s">
        <v>125</v>
      </c>
      <c r="AJ4639" s="2">
        <v>29</v>
      </c>
      <c r="AK4639" s="2" t="s">
        <v>227</v>
      </c>
      <c r="AL4639" s="2">
        <v>16</v>
      </c>
      <c r="AM4639" s="2" t="s">
        <v>392</v>
      </c>
      <c r="AN4639" s="2" t="s">
        <v>3040</v>
      </c>
      <c r="AO4639" s="2" t="s">
        <v>2086</v>
      </c>
      <c r="AP4639" s="2">
        <v>12</v>
      </c>
      <c r="AQ4639" s="2" t="s">
        <v>322</v>
      </c>
      <c r="AR4639" s="2" t="s">
        <v>824</v>
      </c>
      <c r="AS4639" s="2" t="s">
        <v>825</v>
      </c>
      <c r="AT4639" s="2" t="s">
        <v>14375</v>
      </c>
      <c r="AU4639" s="2"/>
      <c r="AV4639" s="2"/>
      <c r="AW4639" s="2"/>
      <c r="AX4639" s="2"/>
      <c r="AY4639" s="2">
        <v>41</v>
      </c>
      <c r="AZ4639" s="2" t="s">
        <v>82</v>
      </c>
      <c r="BA4639" s="2">
        <v>41</v>
      </c>
      <c r="BB4639" s="2" t="s">
        <v>82</v>
      </c>
      <c r="BC4639" s="2">
        <v>51</v>
      </c>
      <c r="BD4639" s="2" t="s">
        <v>827</v>
      </c>
      <c r="BE4639" s="2">
        <v>13</v>
      </c>
      <c r="BF4639" s="2" t="s">
        <v>108</v>
      </c>
      <c r="BG4639" s="2">
        <v>1459</v>
      </c>
      <c r="BH4639" s="4">
        <v>0.89097222222222217</v>
      </c>
      <c r="BI4639" s="4">
        <v>0.95486111111111116</v>
      </c>
      <c r="BJ4639" s="2">
        <v>13</v>
      </c>
      <c r="BK4639" s="2" t="s">
        <v>91</v>
      </c>
      <c r="BL4639" s="2" t="s">
        <v>828</v>
      </c>
      <c r="BM4639" s="2">
        <v>13</v>
      </c>
      <c r="BN4639" s="2" t="s">
        <v>91</v>
      </c>
      <c r="BO4639" s="2"/>
      <c r="BP4639" s="2">
        <v>13</v>
      </c>
      <c r="BQ4639" s="2" t="s">
        <v>91</v>
      </c>
      <c r="BR4639" s="2" t="s">
        <v>185</v>
      </c>
      <c r="BS4639" s="3">
        <v>40493</v>
      </c>
      <c r="BT4639" s="4">
        <v>0.56641203703703702</v>
      </c>
    </row>
    <row r="4640" spans="1:72" x14ac:dyDescent="0.25">
      <c r="A4640" s="2">
        <v>7144</v>
      </c>
      <c r="B4640" s="2">
        <v>2010</v>
      </c>
      <c r="C4640" s="2" t="s">
        <v>171</v>
      </c>
      <c r="D4640" s="2" t="s">
        <v>73</v>
      </c>
      <c r="E4640" s="2"/>
      <c r="F4640" s="2">
        <v>100</v>
      </c>
      <c r="G4640" s="2" t="s">
        <v>517</v>
      </c>
      <c r="H4640" s="2">
        <v>47</v>
      </c>
      <c r="I4640" s="2" t="s">
        <v>1409</v>
      </c>
      <c r="J4640" s="2">
        <v>119</v>
      </c>
      <c r="K4640" s="2" t="s">
        <v>325</v>
      </c>
      <c r="L4640" s="2" t="s">
        <v>326</v>
      </c>
      <c r="M4640" s="3">
        <v>40493</v>
      </c>
      <c r="N4640" s="2" t="s">
        <v>327</v>
      </c>
      <c r="O4640" s="2" t="s">
        <v>14376</v>
      </c>
      <c r="P4640" s="2" t="s">
        <v>8063</v>
      </c>
      <c r="Q4640" s="2" t="str">
        <f>""</f>
        <v/>
      </c>
      <c r="R4640" s="2"/>
      <c r="S4640" s="2"/>
      <c r="T4640" s="2">
        <v>1</v>
      </c>
      <c r="U4640" s="2" t="s">
        <v>79</v>
      </c>
      <c r="V4640" s="2">
        <v>3</v>
      </c>
      <c r="W4640" s="2" t="s">
        <v>225</v>
      </c>
      <c r="X4640" s="2">
        <v>7</v>
      </c>
      <c r="Y4640" s="2" t="s">
        <v>1964</v>
      </c>
      <c r="Z4640" s="2">
        <v>1</v>
      </c>
      <c r="AA4640" s="2" t="s">
        <v>82</v>
      </c>
      <c r="AB4640" s="2">
        <v>9</v>
      </c>
      <c r="AC4640" s="2" t="s">
        <v>124</v>
      </c>
      <c r="AD4640" s="3">
        <v>40493</v>
      </c>
      <c r="AE4640" s="4">
        <v>0.60347222222222219</v>
      </c>
      <c r="AF4640" s="2"/>
      <c r="AG4640" s="2"/>
      <c r="AH4640" s="2">
        <v>6</v>
      </c>
      <c r="AI4640" s="2" t="s">
        <v>197</v>
      </c>
      <c r="AJ4640" s="2">
        <v>47</v>
      </c>
      <c r="AK4640" s="2" t="s">
        <v>250</v>
      </c>
      <c r="AL4640" s="2">
        <v>25</v>
      </c>
      <c r="AM4640" s="2" t="s">
        <v>3073</v>
      </c>
      <c r="AN4640" s="2"/>
      <c r="AO4640" s="2" t="s">
        <v>330</v>
      </c>
      <c r="AP4640" s="2">
        <v>11</v>
      </c>
      <c r="AQ4640" s="2" t="s">
        <v>82</v>
      </c>
      <c r="AR4640" s="2"/>
      <c r="AS4640" s="2"/>
      <c r="AT4640" s="2" t="s">
        <v>14377</v>
      </c>
      <c r="AU4640" s="2"/>
      <c r="AV4640" s="2"/>
      <c r="AW4640" s="2"/>
      <c r="AX4640" s="2"/>
      <c r="AY4640" s="2">
        <v>41</v>
      </c>
      <c r="AZ4640" s="2" t="s">
        <v>82</v>
      </c>
      <c r="BA4640" s="2">
        <v>41</v>
      </c>
      <c r="BB4640" s="2" t="s">
        <v>82</v>
      </c>
      <c r="BC4640" s="2">
        <v>41</v>
      </c>
      <c r="BD4640" s="2" t="s">
        <v>82</v>
      </c>
      <c r="BE4640" s="2">
        <v>41</v>
      </c>
      <c r="BF4640" s="2" t="s">
        <v>82</v>
      </c>
      <c r="BG4640" s="2"/>
      <c r="BH4640" s="2"/>
      <c r="BI4640" s="2"/>
      <c r="BJ4640" s="2">
        <v>241</v>
      </c>
      <c r="BK4640" s="2" t="s">
        <v>82</v>
      </c>
      <c r="BL4640" s="2"/>
      <c r="BM4640" s="2">
        <v>241</v>
      </c>
      <c r="BN4640" s="2" t="s">
        <v>82</v>
      </c>
      <c r="BO4640" s="2"/>
      <c r="BP4640" s="2">
        <v>241</v>
      </c>
      <c r="BQ4640" s="2" t="s">
        <v>82</v>
      </c>
      <c r="BR4640" s="2"/>
      <c r="BS4640" s="3">
        <v>40493</v>
      </c>
      <c r="BT4640" s="4">
        <v>0.63175925925925924</v>
      </c>
    </row>
    <row r="4641" spans="1:72" x14ac:dyDescent="0.25">
      <c r="A4641" s="2">
        <v>7149</v>
      </c>
      <c r="B4641" s="2">
        <v>2010</v>
      </c>
      <c r="C4641" s="2" t="s">
        <v>385</v>
      </c>
      <c r="D4641" s="2" t="s">
        <v>122</v>
      </c>
      <c r="E4641" s="2" t="s">
        <v>14378</v>
      </c>
      <c r="F4641" s="2">
        <v>720</v>
      </c>
      <c r="G4641" s="2" t="s">
        <v>14353</v>
      </c>
      <c r="H4641" s="2">
        <v>116</v>
      </c>
      <c r="I4641" s="2" t="s">
        <v>7647</v>
      </c>
      <c r="J4641" s="2">
        <v>709</v>
      </c>
      <c r="K4641" s="2" t="s">
        <v>14354</v>
      </c>
      <c r="L4641" s="2" t="s">
        <v>14355</v>
      </c>
      <c r="M4641" s="3">
        <v>40493</v>
      </c>
      <c r="N4641" s="2" t="s">
        <v>14356</v>
      </c>
      <c r="O4641" s="2" t="s">
        <v>14357</v>
      </c>
      <c r="P4641" s="2" t="s">
        <v>107</v>
      </c>
      <c r="Q4641" s="2" t="str">
        <f>"N/C"</f>
        <v>N/C</v>
      </c>
      <c r="R4641" s="2" t="s">
        <v>82</v>
      </c>
      <c r="S4641" s="2" t="s">
        <v>82</v>
      </c>
      <c r="T4641" s="2">
        <v>1</v>
      </c>
      <c r="U4641" s="2" t="s">
        <v>79</v>
      </c>
      <c r="V4641" s="2">
        <v>1</v>
      </c>
      <c r="W4641" s="2" t="s">
        <v>80</v>
      </c>
      <c r="X4641" s="2">
        <v>3</v>
      </c>
      <c r="Y4641" s="2" t="s">
        <v>698</v>
      </c>
      <c r="Z4641" s="2">
        <v>6</v>
      </c>
      <c r="AA4641" s="2" t="s">
        <v>101</v>
      </c>
      <c r="AB4641" s="2">
        <v>9</v>
      </c>
      <c r="AC4641" s="2" t="s">
        <v>124</v>
      </c>
      <c r="AD4641" s="3">
        <v>40492</v>
      </c>
      <c r="AE4641" s="4">
        <v>0.35416666666666669</v>
      </c>
      <c r="AF4641" s="2"/>
      <c r="AG4641" s="2"/>
      <c r="AH4641" s="2">
        <v>2</v>
      </c>
      <c r="AI4641" s="2" t="s">
        <v>84</v>
      </c>
      <c r="AJ4641" s="2">
        <v>9</v>
      </c>
      <c r="AK4641" s="2" t="s">
        <v>103</v>
      </c>
      <c r="AL4641" s="2">
        <v>14</v>
      </c>
      <c r="AM4641" s="2" t="s">
        <v>216</v>
      </c>
      <c r="AN4641" s="2" t="s">
        <v>105</v>
      </c>
      <c r="AO4641" s="2" t="s">
        <v>82</v>
      </c>
      <c r="AP4641" s="2">
        <v>11</v>
      </c>
      <c r="AQ4641" s="2" t="s">
        <v>82</v>
      </c>
      <c r="AR4641" s="2"/>
      <c r="AS4641" s="2"/>
      <c r="AT4641" s="2" t="s">
        <v>14379</v>
      </c>
      <c r="AU4641" s="2">
        <v>1</v>
      </c>
      <c r="AV4641" s="2"/>
      <c r="AW4641" s="2"/>
      <c r="AX4641" s="2"/>
      <c r="AY4641" s="2">
        <v>41</v>
      </c>
      <c r="AZ4641" s="2" t="s">
        <v>82</v>
      </c>
      <c r="BA4641" s="2">
        <v>41</v>
      </c>
      <c r="BB4641" s="2" t="s">
        <v>82</v>
      </c>
      <c r="BC4641" s="2">
        <v>41</v>
      </c>
      <c r="BD4641" s="2" t="s">
        <v>82</v>
      </c>
      <c r="BE4641" s="2">
        <v>14</v>
      </c>
      <c r="BF4641" s="2" t="s">
        <v>484</v>
      </c>
      <c r="BG4641" s="2" t="s">
        <v>8698</v>
      </c>
      <c r="BH4641" s="4">
        <v>0.35416666666666669</v>
      </c>
      <c r="BI4641" s="2"/>
      <c r="BJ4641" s="2">
        <v>82</v>
      </c>
      <c r="BK4641" s="2" t="s">
        <v>487</v>
      </c>
      <c r="BL4641" s="2" t="s">
        <v>488</v>
      </c>
      <c r="BM4641" s="2">
        <v>13</v>
      </c>
      <c r="BN4641" s="2" t="s">
        <v>91</v>
      </c>
      <c r="BO4641" s="2"/>
      <c r="BP4641" s="2">
        <v>13</v>
      </c>
      <c r="BQ4641" s="2" t="s">
        <v>91</v>
      </c>
      <c r="BR4641" s="2" t="s">
        <v>185</v>
      </c>
      <c r="BS4641" s="3">
        <v>40493</v>
      </c>
      <c r="BT4641" s="4">
        <v>0.67303240740740744</v>
      </c>
    </row>
    <row r="4642" spans="1:72" x14ac:dyDescent="0.25">
      <c r="A4642" s="2">
        <v>7151</v>
      </c>
      <c r="B4642" s="2">
        <v>2010</v>
      </c>
      <c r="C4642" s="2" t="s">
        <v>806</v>
      </c>
      <c r="D4642" s="2" t="s">
        <v>73</v>
      </c>
      <c r="E4642" s="2"/>
      <c r="F4642" s="2">
        <v>530</v>
      </c>
      <c r="G4642" s="2" t="s">
        <v>3315</v>
      </c>
      <c r="H4642" s="2">
        <v>89</v>
      </c>
      <c r="I4642" s="2" t="s">
        <v>5137</v>
      </c>
      <c r="J4642" s="2">
        <v>3</v>
      </c>
      <c r="K4642" s="2" t="s">
        <v>2090</v>
      </c>
      <c r="L4642" s="2" t="s">
        <v>2091</v>
      </c>
      <c r="M4642" s="3">
        <v>40493</v>
      </c>
      <c r="N4642" s="2" t="s">
        <v>10676</v>
      </c>
      <c r="O4642" s="2" t="s">
        <v>14380</v>
      </c>
      <c r="P4642" s="2" t="s">
        <v>14381</v>
      </c>
      <c r="Q4642" s="2" t="str">
        <f>"S/D"</f>
        <v>S/D</v>
      </c>
      <c r="R4642" s="2" t="s">
        <v>107</v>
      </c>
      <c r="S4642" s="2" t="s">
        <v>107</v>
      </c>
      <c r="T4642" s="2">
        <v>1</v>
      </c>
      <c r="U4642" s="2" t="s">
        <v>79</v>
      </c>
      <c r="V4642" s="2">
        <v>1</v>
      </c>
      <c r="W4642" s="2" t="s">
        <v>80</v>
      </c>
      <c r="X4642" s="2">
        <v>9</v>
      </c>
      <c r="Y4642" s="2" t="s">
        <v>3393</v>
      </c>
      <c r="Z4642" s="2">
        <v>1</v>
      </c>
      <c r="AA4642" s="2" t="s">
        <v>82</v>
      </c>
      <c r="AB4642" s="2">
        <v>9</v>
      </c>
      <c r="AC4642" s="2" t="s">
        <v>124</v>
      </c>
      <c r="AD4642" s="3">
        <v>40493</v>
      </c>
      <c r="AE4642" s="4">
        <v>0.47916666666666669</v>
      </c>
      <c r="AF4642" s="3">
        <v>40493</v>
      </c>
      <c r="AG4642" s="4">
        <v>0.47916666666666669</v>
      </c>
      <c r="AH4642" s="2">
        <v>7</v>
      </c>
      <c r="AI4642" s="2" t="s">
        <v>801</v>
      </c>
      <c r="AJ4642" s="2">
        <v>3</v>
      </c>
      <c r="AK4642" s="2" t="s">
        <v>802</v>
      </c>
      <c r="AL4642" s="2">
        <v>23</v>
      </c>
      <c r="AM4642" s="2" t="s">
        <v>251</v>
      </c>
      <c r="AN4642" s="2" t="s">
        <v>107</v>
      </c>
      <c r="AO4642" s="2" t="s">
        <v>14382</v>
      </c>
      <c r="AP4642" s="2">
        <v>11</v>
      </c>
      <c r="AQ4642" s="2" t="s">
        <v>82</v>
      </c>
      <c r="AR4642" s="2"/>
      <c r="AS4642" s="2"/>
      <c r="AT4642" s="2" t="s">
        <v>14383</v>
      </c>
      <c r="AU4642" s="2">
        <v>1</v>
      </c>
      <c r="AV4642" s="2"/>
      <c r="AW4642" s="2"/>
      <c r="AX4642" s="2"/>
      <c r="AY4642" s="2">
        <v>41</v>
      </c>
      <c r="AZ4642" s="2" t="s">
        <v>82</v>
      </c>
      <c r="BA4642" s="2">
        <v>41</v>
      </c>
      <c r="BB4642" s="2" t="s">
        <v>82</v>
      </c>
      <c r="BC4642" s="2">
        <v>41</v>
      </c>
      <c r="BD4642" s="2" t="s">
        <v>82</v>
      </c>
      <c r="BE4642" s="2">
        <v>41</v>
      </c>
      <c r="BF4642" s="2" t="s">
        <v>82</v>
      </c>
      <c r="BG4642" s="2" t="s">
        <v>107</v>
      </c>
      <c r="BH4642" s="2"/>
      <c r="BI4642" s="2"/>
      <c r="BJ4642" s="2">
        <v>241</v>
      </c>
      <c r="BK4642" s="2" t="s">
        <v>82</v>
      </c>
      <c r="BL4642" s="2"/>
      <c r="BM4642" s="2">
        <v>241</v>
      </c>
      <c r="BN4642" s="2" t="s">
        <v>82</v>
      </c>
      <c r="BO4642" s="2"/>
      <c r="BP4642" s="2">
        <v>241</v>
      </c>
      <c r="BQ4642" s="2" t="s">
        <v>82</v>
      </c>
      <c r="BR4642" s="2" t="s">
        <v>107</v>
      </c>
      <c r="BS4642" s="3">
        <v>40493</v>
      </c>
      <c r="BT4642" s="4">
        <v>0.69204861111111116</v>
      </c>
    </row>
    <row r="4643" spans="1:72" x14ac:dyDescent="0.25">
      <c r="A4643" s="2">
        <v>7152</v>
      </c>
      <c r="B4643" s="2">
        <v>2010</v>
      </c>
      <c r="C4643" s="2" t="s">
        <v>171</v>
      </c>
      <c r="D4643" s="2" t="s">
        <v>73</v>
      </c>
      <c r="E4643" s="2" t="s">
        <v>5266</v>
      </c>
      <c r="F4643" s="2">
        <v>425</v>
      </c>
      <c r="G4643" s="2" t="s">
        <v>286</v>
      </c>
      <c r="H4643" s="2">
        <v>30</v>
      </c>
      <c r="I4643" s="2" t="s">
        <v>912</v>
      </c>
      <c r="J4643" s="2">
        <v>310</v>
      </c>
      <c r="K4643" s="2" t="s">
        <v>288</v>
      </c>
      <c r="L4643" s="2" t="s">
        <v>289</v>
      </c>
      <c r="M4643" s="3">
        <v>40493</v>
      </c>
      <c r="N4643" s="2" t="s">
        <v>1917</v>
      </c>
      <c r="O4643" s="2" t="s">
        <v>1479</v>
      </c>
      <c r="P4643" s="2" t="s">
        <v>4719</v>
      </c>
      <c r="Q4643" s="2" t="str">
        <f>"84"</f>
        <v>84</v>
      </c>
      <c r="R4643" s="2"/>
      <c r="S4643" s="2"/>
      <c r="T4643" s="2">
        <v>1</v>
      </c>
      <c r="U4643" s="2" t="s">
        <v>79</v>
      </c>
      <c r="V4643" s="2">
        <v>3</v>
      </c>
      <c r="W4643" s="2" t="s">
        <v>225</v>
      </c>
      <c r="X4643" s="2">
        <v>6</v>
      </c>
      <c r="Y4643" s="2" t="s">
        <v>249</v>
      </c>
      <c r="Z4643" s="2">
        <v>1</v>
      </c>
      <c r="AA4643" s="2" t="s">
        <v>82</v>
      </c>
      <c r="AB4643" s="2">
        <v>9</v>
      </c>
      <c r="AC4643" s="2" t="s">
        <v>124</v>
      </c>
      <c r="AD4643" s="2"/>
      <c r="AE4643" s="2"/>
      <c r="AF4643" s="2"/>
      <c r="AG4643" s="2"/>
      <c r="AH4643" s="2">
        <v>4</v>
      </c>
      <c r="AI4643" s="2" t="s">
        <v>125</v>
      </c>
      <c r="AJ4643" s="2">
        <v>26</v>
      </c>
      <c r="AK4643" s="2" t="s">
        <v>293</v>
      </c>
      <c r="AL4643" s="2">
        <v>23</v>
      </c>
      <c r="AM4643" s="2" t="s">
        <v>251</v>
      </c>
      <c r="AN4643" s="2"/>
      <c r="AO4643" s="2" t="s">
        <v>11465</v>
      </c>
      <c r="AP4643" s="2">
        <v>11</v>
      </c>
      <c r="AQ4643" s="2" t="s">
        <v>82</v>
      </c>
      <c r="AR4643" s="2"/>
      <c r="AS4643" s="2"/>
      <c r="AT4643" s="2" t="s">
        <v>14384</v>
      </c>
      <c r="AU4643" s="2"/>
      <c r="AV4643" s="2"/>
      <c r="AW4643" s="2"/>
      <c r="AX4643" s="2"/>
      <c r="AY4643" s="2">
        <v>41</v>
      </c>
      <c r="AZ4643" s="2" t="s">
        <v>82</v>
      </c>
      <c r="BA4643" s="2">
        <v>41</v>
      </c>
      <c r="BB4643" s="2" t="s">
        <v>82</v>
      </c>
      <c r="BC4643" s="2">
        <v>41</v>
      </c>
      <c r="BD4643" s="2" t="s">
        <v>82</v>
      </c>
      <c r="BE4643" s="2">
        <v>41</v>
      </c>
      <c r="BF4643" s="2" t="s">
        <v>82</v>
      </c>
      <c r="BG4643" s="2"/>
      <c r="BH4643" s="2"/>
      <c r="BI4643" s="2"/>
      <c r="BJ4643" s="2">
        <v>241</v>
      </c>
      <c r="BK4643" s="2" t="s">
        <v>82</v>
      </c>
      <c r="BL4643" s="2"/>
      <c r="BM4643" s="2">
        <v>241</v>
      </c>
      <c r="BN4643" s="2" t="s">
        <v>82</v>
      </c>
      <c r="BO4643" s="2"/>
      <c r="BP4643" s="2">
        <v>241</v>
      </c>
      <c r="BQ4643" s="2" t="s">
        <v>82</v>
      </c>
      <c r="BR4643" s="2"/>
      <c r="BS4643" s="3">
        <v>40493</v>
      </c>
      <c r="BT4643" s="4">
        <v>0.69997685185185177</v>
      </c>
    </row>
    <row r="4644" spans="1:72" x14ac:dyDescent="0.25">
      <c r="A4644" s="2">
        <v>7153</v>
      </c>
      <c r="B4644" s="2">
        <v>2010</v>
      </c>
      <c r="C4644" s="2" t="s">
        <v>72</v>
      </c>
      <c r="D4644" s="2" t="s">
        <v>73</v>
      </c>
      <c r="E4644" s="2"/>
      <c r="F4644" s="2">
        <v>34</v>
      </c>
      <c r="G4644" s="2" t="s">
        <v>334</v>
      </c>
      <c r="H4644" s="2">
        <v>112</v>
      </c>
      <c r="I4644" s="2" t="s">
        <v>7351</v>
      </c>
      <c r="J4644" s="2">
        <v>409</v>
      </c>
      <c r="K4644" s="2" t="s">
        <v>3638</v>
      </c>
      <c r="L4644" s="2" t="s">
        <v>3639</v>
      </c>
      <c r="M4644" s="3">
        <v>40493</v>
      </c>
      <c r="N4644" s="2" t="s">
        <v>14385</v>
      </c>
      <c r="O4644" s="2"/>
      <c r="P4644" s="2"/>
      <c r="Q4644" s="2" t="str">
        <f>"048/10"</f>
        <v>048/10</v>
      </c>
      <c r="R4644" s="2" t="s">
        <v>601</v>
      </c>
      <c r="S4644" s="2"/>
      <c r="T4644" s="2">
        <v>1</v>
      </c>
      <c r="U4644" s="2" t="s">
        <v>79</v>
      </c>
      <c r="V4644" s="2">
        <v>1</v>
      </c>
      <c r="W4644" s="2" t="s">
        <v>80</v>
      </c>
      <c r="X4644" s="2">
        <v>12</v>
      </c>
      <c r="Y4644" s="2" t="s">
        <v>148</v>
      </c>
      <c r="Z4644" s="2">
        <v>1</v>
      </c>
      <c r="AA4644" s="2" t="s">
        <v>82</v>
      </c>
      <c r="AB4644" s="2">
        <v>6</v>
      </c>
      <c r="AC4644" s="2" t="s">
        <v>83</v>
      </c>
      <c r="AD4644" s="3">
        <v>40492</v>
      </c>
      <c r="AE4644" s="4">
        <v>0.93402777777777779</v>
      </c>
      <c r="AF4644" s="3">
        <v>40493</v>
      </c>
      <c r="AG4644" s="4">
        <v>0.41666666666666669</v>
      </c>
      <c r="AH4644" s="2">
        <v>3</v>
      </c>
      <c r="AI4644" s="2" t="s">
        <v>214</v>
      </c>
      <c r="AJ4644" s="2">
        <v>17</v>
      </c>
      <c r="AK4644" s="2" t="s">
        <v>309</v>
      </c>
      <c r="AL4644" s="2">
        <v>25</v>
      </c>
      <c r="AM4644" s="2" t="s">
        <v>3073</v>
      </c>
      <c r="AN4644" s="2" t="s">
        <v>14386</v>
      </c>
      <c r="AO4644" s="2" t="s">
        <v>14387</v>
      </c>
      <c r="AP4644" s="2">
        <v>11</v>
      </c>
      <c r="AQ4644" s="2" t="s">
        <v>82</v>
      </c>
      <c r="AR4644" s="2"/>
      <c r="AS4644" s="2"/>
      <c r="AT4644" s="2" t="s">
        <v>14388</v>
      </c>
      <c r="AU4644" s="2"/>
      <c r="AV4644" s="2"/>
      <c r="AW4644" s="2"/>
      <c r="AX4644" s="2"/>
      <c r="AY4644" s="2">
        <v>42</v>
      </c>
      <c r="AZ4644" s="2" t="s">
        <v>182</v>
      </c>
      <c r="BA4644" s="2">
        <v>44</v>
      </c>
      <c r="BB4644" s="2" t="s">
        <v>262</v>
      </c>
      <c r="BC4644" s="2">
        <v>41</v>
      </c>
      <c r="BD4644" s="2" t="s">
        <v>82</v>
      </c>
      <c r="BE4644" s="2">
        <v>41</v>
      </c>
      <c r="BF4644" s="2" t="s">
        <v>82</v>
      </c>
      <c r="BG4644" s="2"/>
      <c r="BH4644" s="2"/>
      <c r="BI4644" s="2"/>
      <c r="BJ4644" s="2">
        <v>241</v>
      </c>
      <c r="BK4644" s="2" t="s">
        <v>82</v>
      </c>
      <c r="BL4644" s="2"/>
      <c r="BM4644" s="2">
        <v>241</v>
      </c>
      <c r="BN4644" s="2" t="s">
        <v>82</v>
      </c>
      <c r="BO4644" s="2"/>
      <c r="BP4644" s="2">
        <v>241</v>
      </c>
      <c r="BQ4644" s="2" t="s">
        <v>82</v>
      </c>
      <c r="BR4644" s="2"/>
      <c r="BS4644" s="3">
        <v>40493</v>
      </c>
      <c r="BT4644" s="4">
        <v>0.71126157407407409</v>
      </c>
    </row>
    <row r="4645" spans="1:72" x14ac:dyDescent="0.25">
      <c r="A4645" s="2">
        <v>7154</v>
      </c>
      <c r="B4645" s="2">
        <v>2010</v>
      </c>
      <c r="C4645" s="2" t="s">
        <v>93</v>
      </c>
      <c r="D4645" s="2" t="s">
        <v>73</v>
      </c>
      <c r="E4645" s="2"/>
      <c r="F4645" s="2">
        <v>722</v>
      </c>
      <c r="G4645" s="2" t="s">
        <v>14389</v>
      </c>
      <c r="H4645" s="2">
        <v>148</v>
      </c>
      <c r="I4645" s="2" t="s">
        <v>14390</v>
      </c>
      <c r="J4645" s="2">
        <v>173</v>
      </c>
      <c r="K4645" s="2" t="s">
        <v>11569</v>
      </c>
      <c r="L4645" s="2" t="s">
        <v>11570</v>
      </c>
      <c r="M4645" s="3">
        <v>40493</v>
      </c>
      <c r="N4645" s="2" t="s">
        <v>14391</v>
      </c>
      <c r="O4645" s="2" t="s">
        <v>14392</v>
      </c>
      <c r="P4645" s="2">
        <v>35042</v>
      </c>
      <c r="Q4645" s="2" t="str">
        <f>"N/C"</f>
        <v>N/C</v>
      </c>
      <c r="R4645" s="2"/>
      <c r="S4645" s="2"/>
      <c r="T4645" s="2">
        <v>1</v>
      </c>
      <c r="U4645" s="2" t="s">
        <v>79</v>
      </c>
      <c r="V4645" s="2">
        <v>1</v>
      </c>
      <c r="W4645" s="2" t="s">
        <v>80</v>
      </c>
      <c r="X4645" s="2">
        <v>10</v>
      </c>
      <c r="Y4645" s="2" t="s">
        <v>226</v>
      </c>
      <c r="Z4645" s="2">
        <v>6</v>
      </c>
      <c r="AA4645" s="2" t="s">
        <v>101</v>
      </c>
      <c r="AB4645" s="2">
        <v>2</v>
      </c>
      <c r="AC4645" s="2" t="s">
        <v>102</v>
      </c>
      <c r="AD4645" s="3">
        <v>40493</v>
      </c>
      <c r="AE4645" s="4">
        <v>0.39583333333333331</v>
      </c>
      <c r="AF4645" s="3">
        <v>40493</v>
      </c>
      <c r="AG4645" s="4">
        <v>0.47916666666666669</v>
      </c>
      <c r="AH4645" s="2">
        <v>2</v>
      </c>
      <c r="AI4645" s="2" t="s">
        <v>84</v>
      </c>
      <c r="AJ4645" s="2">
        <v>9</v>
      </c>
      <c r="AK4645" s="2" t="s">
        <v>103</v>
      </c>
      <c r="AL4645" s="2">
        <v>14</v>
      </c>
      <c r="AM4645" s="2" t="s">
        <v>216</v>
      </c>
      <c r="AN4645" s="2" t="s">
        <v>14345</v>
      </c>
      <c r="AO4645" s="2"/>
      <c r="AP4645" s="2">
        <v>11</v>
      </c>
      <c r="AQ4645" s="2" t="s">
        <v>82</v>
      </c>
      <c r="AR4645" s="2"/>
      <c r="AS4645" s="2"/>
      <c r="AT4645" s="2" t="s">
        <v>14393</v>
      </c>
      <c r="AU4645" s="2"/>
      <c r="AV4645" s="2"/>
      <c r="AW4645" s="2"/>
      <c r="AX4645" s="2"/>
      <c r="AY4645" s="2">
        <v>41</v>
      </c>
      <c r="AZ4645" s="2" t="s">
        <v>82</v>
      </c>
      <c r="BA4645" s="2">
        <v>41</v>
      </c>
      <c r="BB4645" s="2" t="s">
        <v>82</v>
      </c>
      <c r="BC4645" s="2">
        <v>41</v>
      </c>
      <c r="BD4645" s="2" t="s">
        <v>82</v>
      </c>
      <c r="BE4645" s="2">
        <v>4</v>
      </c>
      <c r="BF4645" s="2" t="s">
        <v>90</v>
      </c>
      <c r="BG4645" s="2" t="s">
        <v>14394</v>
      </c>
      <c r="BH4645" s="2"/>
      <c r="BI4645" s="2"/>
      <c r="BJ4645" s="2">
        <v>13</v>
      </c>
      <c r="BK4645" s="2" t="s">
        <v>91</v>
      </c>
      <c r="BL4645" s="2" t="s">
        <v>360</v>
      </c>
      <c r="BM4645" s="2">
        <v>173</v>
      </c>
      <c r="BN4645" s="2" t="s">
        <v>223</v>
      </c>
      <c r="BO4645" s="2"/>
      <c r="BP4645" s="2">
        <v>173</v>
      </c>
      <c r="BQ4645" s="2" t="s">
        <v>223</v>
      </c>
      <c r="BR4645" s="2" t="s">
        <v>224</v>
      </c>
      <c r="BS4645" s="3">
        <v>40493</v>
      </c>
      <c r="BT4645" s="4">
        <v>0.72444444444444445</v>
      </c>
    </row>
    <row r="4646" spans="1:72" x14ac:dyDescent="0.25">
      <c r="A4646" s="2">
        <v>7157</v>
      </c>
      <c r="B4646" s="2">
        <v>2010</v>
      </c>
      <c r="C4646" s="2" t="s">
        <v>819</v>
      </c>
      <c r="D4646" s="2" t="s">
        <v>73</v>
      </c>
      <c r="E4646" s="2"/>
      <c r="F4646" s="2">
        <v>398</v>
      </c>
      <c r="G4646" s="2" t="s">
        <v>94</v>
      </c>
      <c r="H4646" s="2">
        <v>13</v>
      </c>
      <c r="I4646" s="2" t="s">
        <v>2229</v>
      </c>
      <c r="J4646" s="2">
        <v>245</v>
      </c>
      <c r="K4646" s="2" t="s">
        <v>96</v>
      </c>
      <c r="L4646" s="2" t="s">
        <v>97</v>
      </c>
      <c r="M4646" s="3">
        <v>40493</v>
      </c>
      <c r="N4646" s="2" t="s">
        <v>1938</v>
      </c>
      <c r="O4646" s="2" t="s">
        <v>107</v>
      </c>
      <c r="P4646" s="2" t="s">
        <v>107</v>
      </c>
      <c r="Q4646" s="2" t="str">
        <f>"10R/10"</f>
        <v>10R/10</v>
      </c>
      <c r="R4646" s="2" t="s">
        <v>14395</v>
      </c>
      <c r="S4646" s="2" t="s">
        <v>14395</v>
      </c>
      <c r="T4646" s="2">
        <v>1</v>
      </c>
      <c r="U4646" s="2" t="s">
        <v>79</v>
      </c>
      <c r="V4646" s="2">
        <v>1</v>
      </c>
      <c r="W4646" s="2" t="s">
        <v>80</v>
      </c>
      <c r="X4646" s="2">
        <v>3</v>
      </c>
      <c r="Y4646" s="2" t="s">
        <v>698</v>
      </c>
      <c r="Z4646" s="2">
        <v>2</v>
      </c>
      <c r="AA4646" s="2" t="s">
        <v>2148</v>
      </c>
      <c r="AB4646" s="2">
        <v>9</v>
      </c>
      <c r="AC4646" s="2" t="s">
        <v>124</v>
      </c>
      <c r="AD4646" s="3">
        <v>40492</v>
      </c>
      <c r="AE4646" s="4">
        <v>0.69791666666666663</v>
      </c>
      <c r="AF4646" s="3">
        <v>40493</v>
      </c>
      <c r="AG4646" s="4">
        <v>0.58333333333333337</v>
      </c>
      <c r="AH4646" s="2">
        <v>2</v>
      </c>
      <c r="AI4646" s="2" t="s">
        <v>84</v>
      </c>
      <c r="AJ4646" s="2">
        <v>6</v>
      </c>
      <c r="AK4646" s="2" t="s">
        <v>453</v>
      </c>
      <c r="AL4646" s="2">
        <v>14</v>
      </c>
      <c r="AM4646" s="2" t="s">
        <v>216</v>
      </c>
      <c r="AN4646" s="2" t="s">
        <v>14396</v>
      </c>
      <c r="AO4646" s="2" t="s">
        <v>14397</v>
      </c>
      <c r="AP4646" s="2">
        <v>11</v>
      </c>
      <c r="AQ4646" s="2" t="s">
        <v>82</v>
      </c>
      <c r="AR4646" s="2"/>
      <c r="AS4646" s="2"/>
      <c r="AT4646" s="2" t="s">
        <v>14398</v>
      </c>
      <c r="AU4646" s="2"/>
      <c r="AV4646" s="2"/>
      <c r="AW4646" s="2"/>
      <c r="AX4646" s="2"/>
      <c r="AY4646" s="2">
        <v>41</v>
      </c>
      <c r="AZ4646" s="2" t="s">
        <v>82</v>
      </c>
      <c r="BA4646" s="2">
        <v>152</v>
      </c>
      <c r="BB4646" s="2" t="s">
        <v>13823</v>
      </c>
      <c r="BC4646" s="2">
        <v>41</v>
      </c>
      <c r="BD4646" s="2" t="s">
        <v>82</v>
      </c>
      <c r="BE4646" s="2">
        <v>26</v>
      </c>
      <c r="BF4646" s="2" t="s">
        <v>1999</v>
      </c>
      <c r="BG4646" s="2" t="s">
        <v>2286</v>
      </c>
      <c r="BH4646" s="4">
        <v>0.50694444444444442</v>
      </c>
      <c r="BI4646" s="2"/>
      <c r="BJ4646" s="2">
        <v>75</v>
      </c>
      <c r="BK4646" s="2" t="s">
        <v>1264</v>
      </c>
      <c r="BL4646" s="2" t="s">
        <v>2287</v>
      </c>
      <c r="BM4646" s="2">
        <v>13</v>
      </c>
      <c r="BN4646" s="2" t="s">
        <v>91</v>
      </c>
      <c r="BO4646" s="2"/>
      <c r="BP4646" s="2">
        <v>13</v>
      </c>
      <c r="BQ4646" s="2" t="s">
        <v>91</v>
      </c>
      <c r="BR4646" s="2" t="s">
        <v>360</v>
      </c>
      <c r="BS4646" s="3">
        <v>40493</v>
      </c>
      <c r="BT4646" s="4">
        <v>0.77427083333333335</v>
      </c>
    </row>
    <row r="4647" spans="1:72" x14ac:dyDescent="0.25">
      <c r="A4647" s="2">
        <v>7158</v>
      </c>
      <c r="B4647" s="2">
        <v>2010</v>
      </c>
      <c r="C4647" s="2" t="s">
        <v>72</v>
      </c>
      <c r="D4647" s="2" t="s">
        <v>73</v>
      </c>
      <c r="E4647" s="2"/>
      <c r="F4647" s="2">
        <v>721</v>
      </c>
      <c r="G4647" s="2" t="s">
        <v>14399</v>
      </c>
      <c r="H4647" s="2">
        <v>22</v>
      </c>
      <c r="I4647" s="2" t="s">
        <v>75</v>
      </c>
      <c r="J4647" s="2">
        <v>710</v>
      </c>
      <c r="K4647" s="2" t="s">
        <v>14400</v>
      </c>
      <c r="L4647" s="2" t="s">
        <v>14401</v>
      </c>
      <c r="M4647" s="3">
        <v>40493</v>
      </c>
      <c r="N4647" s="2"/>
      <c r="O4647" s="2"/>
      <c r="P4647" s="2"/>
      <c r="Q4647" s="2" t="str">
        <f>"Nº08-S/10"</f>
        <v>Nº08-S/10</v>
      </c>
      <c r="R4647" s="2" t="s">
        <v>14402</v>
      </c>
      <c r="S4647" s="2"/>
      <c r="T4647" s="2">
        <v>1</v>
      </c>
      <c r="U4647" s="2" t="s">
        <v>79</v>
      </c>
      <c r="V4647" s="2">
        <v>1</v>
      </c>
      <c r="W4647" s="2" t="s">
        <v>80</v>
      </c>
      <c r="X4647" s="2">
        <v>12</v>
      </c>
      <c r="Y4647" s="2" t="s">
        <v>148</v>
      </c>
      <c r="Z4647" s="2">
        <v>1</v>
      </c>
      <c r="AA4647" s="2" t="s">
        <v>82</v>
      </c>
      <c r="AB4647" s="2">
        <v>6</v>
      </c>
      <c r="AC4647" s="2" t="s">
        <v>83</v>
      </c>
      <c r="AD4647" s="3">
        <v>40493</v>
      </c>
      <c r="AE4647" s="2"/>
      <c r="AF4647" s="3">
        <v>40493</v>
      </c>
      <c r="AG4647" s="4">
        <v>0.29166666666666669</v>
      </c>
      <c r="AH4647" s="2">
        <v>2</v>
      </c>
      <c r="AI4647" s="2" t="s">
        <v>84</v>
      </c>
      <c r="AJ4647" s="2">
        <v>11</v>
      </c>
      <c r="AK4647" s="2" t="s">
        <v>751</v>
      </c>
      <c r="AL4647" s="2">
        <v>23</v>
      </c>
      <c r="AM4647" s="2" t="s">
        <v>251</v>
      </c>
      <c r="AN4647" s="2" t="s">
        <v>14403</v>
      </c>
      <c r="AO4647" s="2" t="s">
        <v>14404</v>
      </c>
      <c r="AP4647" s="2">
        <v>11</v>
      </c>
      <c r="AQ4647" s="2" t="s">
        <v>82</v>
      </c>
      <c r="AR4647" s="2"/>
      <c r="AS4647" s="2"/>
      <c r="AT4647" s="2" t="s">
        <v>14405</v>
      </c>
      <c r="AU4647" s="2">
        <v>1</v>
      </c>
      <c r="AV4647" s="2"/>
      <c r="AW4647" s="2"/>
      <c r="AX4647" s="2"/>
      <c r="AY4647" s="2">
        <v>41</v>
      </c>
      <c r="AZ4647" s="2" t="s">
        <v>82</v>
      </c>
      <c r="BA4647" s="2">
        <v>41</v>
      </c>
      <c r="BB4647" s="2" t="s">
        <v>82</v>
      </c>
      <c r="BC4647" s="2">
        <v>41</v>
      </c>
      <c r="BD4647" s="2" t="s">
        <v>82</v>
      </c>
      <c r="BE4647" s="2">
        <v>41</v>
      </c>
      <c r="BF4647" s="2" t="s">
        <v>82</v>
      </c>
      <c r="BG4647" s="2"/>
      <c r="BH4647" s="2"/>
      <c r="BI4647" s="2"/>
      <c r="BJ4647" s="2">
        <v>241</v>
      </c>
      <c r="BK4647" s="2" t="s">
        <v>82</v>
      </c>
      <c r="BL4647" s="2"/>
      <c r="BM4647" s="2">
        <v>241</v>
      </c>
      <c r="BN4647" s="2" t="s">
        <v>82</v>
      </c>
      <c r="BO4647" s="2"/>
      <c r="BP4647" s="2">
        <v>241</v>
      </c>
      <c r="BQ4647" s="2" t="s">
        <v>82</v>
      </c>
      <c r="BR4647" s="2"/>
      <c r="BS4647" s="3">
        <v>40493</v>
      </c>
      <c r="BT4647" s="4">
        <v>0.79618055555555556</v>
      </c>
    </row>
    <row r="4648" spans="1:72" x14ac:dyDescent="0.25">
      <c r="A4648" s="2">
        <v>7159</v>
      </c>
      <c r="B4648" s="2">
        <v>2010</v>
      </c>
      <c r="C4648" s="2" t="s">
        <v>171</v>
      </c>
      <c r="D4648" s="2" t="s">
        <v>122</v>
      </c>
      <c r="E4648" s="2" t="s">
        <v>14406</v>
      </c>
      <c r="F4648" s="2">
        <v>393</v>
      </c>
      <c r="G4648" s="2" t="s">
        <v>3660</v>
      </c>
      <c r="H4648" s="2">
        <v>2</v>
      </c>
      <c r="I4648" s="2" t="s">
        <v>267</v>
      </c>
      <c r="J4648" s="2">
        <v>2</v>
      </c>
      <c r="K4648" s="2" t="s">
        <v>3661</v>
      </c>
      <c r="L4648" s="2" t="s">
        <v>3662</v>
      </c>
      <c r="M4648" s="3">
        <v>40493</v>
      </c>
      <c r="N4648" s="2" t="s">
        <v>11684</v>
      </c>
      <c r="O4648" s="2" t="s">
        <v>4352</v>
      </c>
      <c r="P4648" s="2">
        <v>5837</v>
      </c>
      <c r="Q4648" s="2" t="str">
        <f>""</f>
        <v/>
      </c>
      <c r="R4648" s="2"/>
      <c r="S4648" s="2"/>
      <c r="T4648" s="2">
        <v>1</v>
      </c>
      <c r="U4648" s="2" t="s">
        <v>79</v>
      </c>
      <c r="V4648" s="2">
        <v>1</v>
      </c>
      <c r="W4648" s="2" t="s">
        <v>80</v>
      </c>
      <c r="X4648" s="2">
        <v>11</v>
      </c>
      <c r="Y4648" s="2" t="s">
        <v>1920</v>
      </c>
      <c r="Z4648" s="2">
        <v>10</v>
      </c>
      <c r="AA4648" s="2" t="s">
        <v>236</v>
      </c>
      <c r="AB4648" s="2">
        <v>1</v>
      </c>
      <c r="AC4648" s="2" t="s">
        <v>178</v>
      </c>
      <c r="AD4648" s="3">
        <v>40493</v>
      </c>
      <c r="AE4648" s="4">
        <v>0.29166666666666669</v>
      </c>
      <c r="AF4648" s="2"/>
      <c r="AG4648" s="2"/>
      <c r="AH4648" s="2">
        <v>2</v>
      </c>
      <c r="AI4648" s="2" t="s">
        <v>84</v>
      </c>
      <c r="AJ4648" s="2">
        <v>6</v>
      </c>
      <c r="AK4648" s="2" t="s">
        <v>453</v>
      </c>
      <c r="AL4648" s="2">
        <v>23</v>
      </c>
      <c r="AM4648" s="2" t="s">
        <v>251</v>
      </c>
      <c r="AN4648" s="2" t="s">
        <v>14407</v>
      </c>
      <c r="AO4648" s="2" t="s">
        <v>170</v>
      </c>
      <c r="AP4648" s="2">
        <v>5</v>
      </c>
      <c r="AQ4648" s="2" t="s">
        <v>827</v>
      </c>
      <c r="AR4648" s="2"/>
      <c r="AS4648" s="2"/>
      <c r="AT4648" s="2" t="s">
        <v>14408</v>
      </c>
      <c r="AU4648" s="2"/>
      <c r="AV4648" s="2">
        <v>2</v>
      </c>
      <c r="AW4648" s="2"/>
      <c r="AX4648" s="2"/>
      <c r="AY4648" s="2">
        <v>42</v>
      </c>
      <c r="AZ4648" s="2" t="s">
        <v>182</v>
      </c>
      <c r="BA4648" s="2">
        <v>70</v>
      </c>
      <c r="BB4648" s="2" t="s">
        <v>236</v>
      </c>
      <c r="BC4648" s="2">
        <v>70</v>
      </c>
      <c r="BD4648" s="2" t="s">
        <v>236</v>
      </c>
      <c r="BE4648" s="2">
        <v>41</v>
      </c>
      <c r="BF4648" s="2" t="s">
        <v>82</v>
      </c>
      <c r="BG4648" s="2"/>
      <c r="BH4648" s="2"/>
      <c r="BI4648" s="2"/>
      <c r="BJ4648" s="2">
        <v>241</v>
      </c>
      <c r="BK4648" s="2" t="s">
        <v>82</v>
      </c>
      <c r="BL4648" s="2"/>
      <c r="BM4648" s="2">
        <v>241</v>
      </c>
      <c r="BN4648" s="2" t="s">
        <v>82</v>
      </c>
      <c r="BO4648" s="2"/>
      <c r="BP4648" s="2">
        <v>241</v>
      </c>
      <c r="BQ4648" s="2" t="s">
        <v>82</v>
      </c>
      <c r="BR4648" s="2"/>
      <c r="BS4648" s="3">
        <v>40493</v>
      </c>
      <c r="BT4648" s="4">
        <v>0.80776620370370367</v>
      </c>
    </row>
    <row r="4649" spans="1:72" x14ac:dyDescent="0.25">
      <c r="A4649" s="2">
        <v>7159</v>
      </c>
      <c r="B4649" s="2">
        <v>2010</v>
      </c>
      <c r="C4649" s="2" t="s">
        <v>385</v>
      </c>
      <c r="D4649" s="2" t="s">
        <v>122</v>
      </c>
      <c r="E4649" s="2" t="s">
        <v>14406</v>
      </c>
      <c r="F4649" s="2">
        <v>393</v>
      </c>
      <c r="G4649" s="2" t="s">
        <v>3660</v>
      </c>
      <c r="H4649" s="2">
        <v>2</v>
      </c>
      <c r="I4649" s="2" t="s">
        <v>267</v>
      </c>
      <c r="J4649" s="2">
        <v>2</v>
      </c>
      <c r="K4649" s="2" t="s">
        <v>3661</v>
      </c>
      <c r="L4649" s="2" t="s">
        <v>3662</v>
      </c>
      <c r="M4649" s="3">
        <v>40493</v>
      </c>
      <c r="N4649" s="2" t="s">
        <v>11684</v>
      </c>
      <c r="O4649" s="2" t="s">
        <v>4352</v>
      </c>
      <c r="P4649" s="2">
        <v>5837</v>
      </c>
      <c r="Q4649" s="2" t="str">
        <f>""</f>
        <v/>
      </c>
      <c r="R4649" s="2"/>
      <c r="S4649" s="2"/>
      <c r="T4649" s="2">
        <v>1</v>
      </c>
      <c r="U4649" s="2" t="s">
        <v>79</v>
      </c>
      <c r="V4649" s="2">
        <v>1</v>
      </c>
      <c r="W4649" s="2" t="s">
        <v>80</v>
      </c>
      <c r="X4649" s="2">
        <v>11</v>
      </c>
      <c r="Y4649" s="2" t="s">
        <v>1920</v>
      </c>
      <c r="Z4649" s="2">
        <v>10</v>
      </c>
      <c r="AA4649" s="2" t="s">
        <v>236</v>
      </c>
      <c r="AB4649" s="2">
        <v>9</v>
      </c>
      <c r="AC4649" s="2" t="s">
        <v>124</v>
      </c>
      <c r="AD4649" s="3">
        <v>40493</v>
      </c>
      <c r="AE4649" s="4">
        <v>0.29166666666666669</v>
      </c>
      <c r="AF4649" s="2"/>
      <c r="AG4649" s="2"/>
      <c r="AH4649" s="2">
        <v>2</v>
      </c>
      <c r="AI4649" s="2" t="s">
        <v>84</v>
      </c>
      <c r="AJ4649" s="2">
        <v>6</v>
      </c>
      <c r="AK4649" s="2" t="s">
        <v>453</v>
      </c>
      <c r="AL4649" s="2">
        <v>23</v>
      </c>
      <c r="AM4649" s="2" t="s">
        <v>251</v>
      </c>
      <c r="AN4649" s="2" t="s">
        <v>14407</v>
      </c>
      <c r="AO4649" s="2" t="s">
        <v>170</v>
      </c>
      <c r="AP4649" s="2">
        <v>5</v>
      </c>
      <c r="AQ4649" s="2" t="s">
        <v>827</v>
      </c>
      <c r="AR4649" s="2"/>
      <c r="AS4649" s="2"/>
      <c r="AT4649" s="2" t="s">
        <v>14408</v>
      </c>
      <c r="AU4649" s="2"/>
      <c r="AV4649" s="2">
        <v>2</v>
      </c>
      <c r="AW4649" s="2"/>
      <c r="AX4649" s="2"/>
      <c r="AY4649" s="2">
        <v>42</v>
      </c>
      <c r="AZ4649" s="2" t="s">
        <v>182</v>
      </c>
      <c r="BA4649" s="2">
        <v>70</v>
      </c>
      <c r="BB4649" s="2" t="s">
        <v>236</v>
      </c>
      <c r="BC4649" s="2">
        <v>70</v>
      </c>
      <c r="BD4649" s="2" t="s">
        <v>236</v>
      </c>
      <c r="BE4649" s="2">
        <v>41</v>
      </c>
      <c r="BF4649" s="2" t="s">
        <v>82</v>
      </c>
      <c r="BG4649" s="2"/>
      <c r="BH4649" s="2"/>
      <c r="BI4649" s="2"/>
      <c r="BJ4649" s="2">
        <v>241</v>
      </c>
      <c r="BK4649" s="2" t="s">
        <v>82</v>
      </c>
      <c r="BL4649" s="2"/>
      <c r="BM4649" s="2">
        <v>241</v>
      </c>
      <c r="BN4649" s="2" t="s">
        <v>82</v>
      </c>
      <c r="BO4649" s="2"/>
      <c r="BP4649" s="2">
        <v>241</v>
      </c>
      <c r="BQ4649" s="2" t="s">
        <v>82</v>
      </c>
      <c r="BR4649" s="2"/>
      <c r="BS4649" s="3">
        <v>40493</v>
      </c>
      <c r="BT4649" s="4">
        <v>0.80776620370370367</v>
      </c>
    </row>
    <row r="4650" spans="1:72" x14ac:dyDescent="0.25">
      <c r="A4650" s="2">
        <v>7164</v>
      </c>
      <c r="B4650" s="2">
        <v>2010</v>
      </c>
      <c r="C4650" s="2" t="s">
        <v>377</v>
      </c>
      <c r="D4650" s="2" t="s">
        <v>73</v>
      </c>
      <c r="E4650" s="2"/>
      <c r="F4650" s="2">
        <v>426</v>
      </c>
      <c r="G4650" s="2" t="s">
        <v>378</v>
      </c>
      <c r="H4650" s="2">
        <v>42</v>
      </c>
      <c r="I4650" s="2" t="s">
        <v>1096</v>
      </c>
      <c r="J4650" s="2">
        <v>311</v>
      </c>
      <c r="K4650" s="2" t="s">
        <v>379</v>
      </c>
      <c r="L4650" s="2" t="s">
        <v>380</v>
      </c>
      <c r="M4650" s="3">
        <v>40493</v>
      </c>
      <c r="N4650" s="2" t="s">
        <v>7171</v>
      </c>
      <c r="O4650" s="2"/>
      <c r="P4650" s="2"/>
      <c r="Q4650" s="2" t="str">
        <f>"283-C/10"</f>
        <v>283-C/10</v>
      </c>
      <c r="R4650" s="2" t="s">
        <v>12526</v>
      </c>
      <c r="S4650" s="2"/>
      <c r="T4650" s="2">
        <v>1</v>
      </c>
      <c r="U4650" s="2" t="s">
        <v>79</v>
      </c>
      <c r="V4650" s="2">
        <v>1</v>
      </c>
      <c r="W4650" s="2" t="s">
        <v>80</v>
      </c>
      <c r="X4650" s="2">
        <v>1</v>
      </c>
      <c r="Y4650" s="2" t="s">
        <v>81</v>
      </c>
      <c r="Z4650" s="2">
        <v>1</v>
      </c>
      <c r="AA4650" s="2" t="s">
        <v>82</v>
      </c>
      <c r="AB4650" s="2">
        <v>9</v>
      </c>
      <c r="AC4650" s="2" t="s">
        <v>124</v>
      </c>
      <c r="AD4650" s="3">
        <v>40493</v>
      </c>
      <c r="AE4650" s="4">
        <v>0.66666666666666663</v>
      </c>
      <c r="AF4650" s="3">
        <v>40493</v>
      </c>
      <c r="AG4650" s="4">
        <v>0.74305555555555547</v>
      </c>
      <c r="AH4650" s="2">
        <v>2</v>
      </c>
      <c r="AI4650" s="2" t="s">
        <v>84</v>
      </c>
      <c r="AJ4650" s="2">
        <v>9</v>
      </c>
      <c r="AK4650" s="2" t="s">
        <v>103</v>
      </c>
      <c r="AL4650" s="2">
        <v>29</v>
      </c>
      <c r="AM4650" s="2" t="s">
        <v>5416</v>
      </c>
      <c r="AN4650" s="2"/>
      <c r="AO4650" s="2" t="s">
        <v>8942</v>
      </c>
      <c r="AP4650" s="2">
        <v>11</v>
      </c>
      <c r="AQ4650" s="2" t="s">
        <v>82</v>
      </c>
      <c r="AR4650" s="2"/>
      <c r="AS4650" s="2"/>
      <c r="AT4650" s="2" t="s">
        <v>14409</v>
      </c>
      <c r="AU4650" s="2"/>
      <c r="AV4650" s="2"/>
      <c r="AW4650" s="2"/>
      <c r="AX4650" s="2"/>
      <c r="AY4650" s="2">
        <v>41</v>
      </c>
      <c r="AZ4650" s="2" t="s">
        <v>82</v>
      </c>
      <c r="BA4650" s="2">
        <v>41</v>
      </c>
      <c r="BB4650" s="2" t="s">
        <v>82</v>
      </c>
      <c r="BC4650" s="2">
        <v>41</v>
      </c>
      <c r="BD4650" s="2" t="s">
        <v>82</v>
      </c>
      <c r="BE4650" s="2">
        <v>41</v>
      </c>
      <c r="BF4650" s="2" t="s">
        <v>82</v>
      </c>
      <c r="BG4650" s="2"/>
      <c r="BH4650" s="2"/>
      <c r="BI4650" s="2"/>
      <c r="BJ4650" s="2">
        <v>241</v>
      </c>
      <c r="BK4650" s="2" t="s">
        <v>82</v>
      </c>
      <c r="BL4650" s="2"/>
      <c r="BM4650" s="2">
        <v>241</v>
      </c>
      <c r="BN4650" s="2" t="s">
        <v>82</v>
      </c>
      <c r="BO4650" s="2"/>
      <c r="BP4650" s="2">
        <v>241</v>
      </c>
      <c r="BQ4650" s="2" t="s">
        <v>82</v>
      </c>
      <c r="BR4650" s="2"/>
      <c r="BS4650" s="3">
        <v>40493</v>
      </c>
      <c r="BT4650" s="4">
        <v>0.94658564814814816</v>
      </c>
    </row>
    <row r="4651" spans="1:72" x14ac:dyDescent="0.25">
      <c r="A4651" s="2">
        <v>7165</v>
      </c>
      <c r="B4651" s="2">
        <v>2010</v>
      </c>
      <c r="C4651" s="2" t="s">
        <v>1660</v>
      </c>
      <c r="D4651" s="2" t="s">
        <v>73</v>
      </c>
      <c r="E4651" s="2"/>
      <c r="F4651" s="2">
        <v>390</v>
      </c>
      <c r="G4651" s="2" t="s">
        <v>475</v>
      </c>
      <c r="H4651" s="2">
        <v>5</v>
      </c>
      <c r="I4651" s="2" t="s">
        <v>634</v>
      </c>
      <c r="J4651" s="2">
        <v>533</v>
      </c>
      <c r="K4651" s="2" t="s">
        <v>6511</v>
      </c>
      <c r="L4651" s="2" t="s">
        <v>478</v>
      </c>
      <c r="M4651" s="3">
        <v>40493</v>
      </c>
      <c r="N4651" s="2" t="s">
        <v>3103</v>
      </c>
      <c r="O4651" s="2" t="s">
        <v>14410</v>
      </c>
      <c r="P4651" s="2"/>
      <c r="Q4651" s="2" t="str">
        <f>"590-E/10"</f>
        <v>590-E/10</v>
      </c>
      <c r="R4651" s="2" t="s">
        <v>14410</v>
      </c>
      <c r="S4651" s="2"/>
      <c r="T4651" s="2">
        <v>1</v>
      </c>
      <c r="U4651" s="2" t="s">
        <v>79</v>
      </c>
      <c r="V4651" s="2">
        <v>1</v>
      </c>
      <c r="W4651" s="2" t="s">
        <v>80</v>
      </c>
      <c r="X4651" s="2">
        <v>10</v>
      </c>
      <c r="Y4651" s="2" t="s">
        <v>226</v>
      </c>
      <c r="Z4651" s="2">
        <v>6</v>
      </c>
      <c r="AA4651" s="2" t="s">
        <v>101</v>
      </c>
      <c r="AB4651" s="2">
        <v>3</v>
      </c>
      <c r="AC4651" s="2" t="s">
        <v>1663</v>
      </c>
      <c r="AD4651" s="3">
        <v>40493</v>
      </c>
      <c r="AE4651" s="4">
        <v>0.70833333333333337</v>
      </c>
      <c r="AF4651" s="3">
        <v>40493</v>
      </c>
      <c r="AG4651" s="4">
        <v>0.77083333333333337</v>
      </c>
      <c r="AH4651" s="2">
        <v>2</v>
      </c>
      <c r="AI4651" s="2" t="s">
        <v>84</v>
      </c>
      <c r="AJ4651" s="2">
        <v>9</v>
      </c>
      <c r="AK4651" s="2" t="s">
        <v>103</v>
      </c>
      <c r="AL4651" s="2">
        <v>14</v>
      </c>
      <c r="AM4651" s="2" t="s">
        <v>216</v>
      </c>
      <c r="AN4651" s="2" t="s">
        <v>14411</v>
      </c>
      <c r="AO4651" s="2"/>
      <c r="AP4651" s="2">
        <v>11</v>
      </c>
      <c r="AQ4651" s="2" t="s">
        <v>82</v>
      </c>
      <c r="AR4651" s="2"/>
      <c r="AS4651" s="2"/>
      <c r="AT4651" s="2" t="s">
        <v>14412</v>
      </c>
      <c r="AU4651" s="2"/>
      <c r="AV4651" s="2">
        <v>1</v>
      </c>
      <c r="AW4651" s="2"/>
      <c r="AX4651" s="2"/>
      <c r="AY4651" s="2">
        <v>41</v>
      </c>
      <c r="AZ4651" s="2" t="s">
        <v>82</v>
      </c>
      <c r="BA4651" s="2">
        <v>41</v>
      </c>
      <c r="BB4651" s="2" t="s">
        <v>82</v>
      </c>
      <c r="BC4651" s="2">
        <v>41</v>
      </c>
      <c r="BD4651" s="2" t="s">
        <v>82</v>
      </c>
      <c r="BE4651" s="2">
        <v>27</v>
      </c>
      <c r="BF4651" s="2" t="s">
        <v>2197</v>
      </c>
      <c r="BG4651" s="2" t="s">
        <v>8204</v>
      </c>
      <c r="BH4651" s="2"/>
      <c r="BI4651" s="2"/>
      <c r="BJ4651" s="2">
        <v>13</v>
      </c>
      <c r="BK4651" s="2" t="s">
        <v>91</v>
      </c>
      <c r="BL4651" s="2" t="s">
        <v>360</v>
      </c>
      <c r="BM4651" s="2">
        <v>112</v>
      </c>
      <c r="BN4651" s="2" t="s">
        <v>110</v>
      </c>
      <c r="BO4651" s="2"/>
      <c r="BP4651" s="2">
        <v>112</v>
      </c>
      <c r="BQ4651" s="2" t="s">
        <v>110</v>
      </c>
      <c r="BR4651" s="2" t="s">
        <v>111</v>
      </c>
      <c r="BS4651" s="3">
        <v>40493</v>
      </c>
      <c r="BT4651" s="4">
        <v>0.97585648148148152</v>
      </c>
    </row>
    <row r="4652" spans="1:72" x14ac:dyDescent="0.25">
      <c r="A4652" s="2">
        <v>7166</v>
      </c>
      <c r="B4652" s="2">
        <v>2010</v>
      </c>
      <c r="C4652" s="2" t="s">
        <v>72</v>
      </c>
      <c r="D4652" s="2" t="s">
        <v>73</v>
      </c>
      <c r="E4652" s="2"/>
      <c r="F4652" s="2">
        <v>3</v>
      </c>
      <c r="G4652" s="2" t="s">
        <v>1041</v>
      </c>
      <c r="H4652" s="2">
        <v>108</v>
      </c>
      <c r="I4652" s="2" t="s">
        <v>1096</v>
      </c>
      <c r="J4652" s="2">
        <v>368</v>
      </c>
      <c r="K4652" s="2" t="s">
        <v>1042</v>
      </c>
      <c r="L4652" s="2" t="s">
        <v>1043</v>
      </c>
      <c r="M4652" s="3">
        <v>40494</v>
      </c>
      <c r="N4652" s="2" t="s">
        <v>107</v>
      </c>
      <c r="O4652" s="2"/>
      <c r="P4652" s="2"/>
      <c r="Q4652" s="2" t="str">
        <f>"591-E/10"</f>
        <v>591-E/10</v>
      </c>
      <c r="R4652" s="2" t="s">
        <v>302</v>
      </c>
      <c r="S4652" s="2"/>
      <c r="T4652" s="2">
        <v>1</v>
      </c>
      <c r="U4652" s="2" t="s">
        <v>79</v>
      </c>
      <c r="V4652" s="2">
        <v>1</v>
      </c>
      <c r="W4652" s="2" t="s">
        <v>80</v>
      </c>
      <c r="X4652" s="2">
        <v>12</v>
      </c>
      <c r="Y4652" s="2" t="s">
        <v>148</v>
      </c>
      <c r="Z4652" s="2">
        <v>1</v>
      </c>
      <c r="AA4652" s="2" t="s">
        <v>82</v>
      </c>
      <c r="AB4652" s="2">
        <v>6</v>
      </c>
      <c r="AC4652" s="2" t="s">
        <v>83</v>
      </c>
      <c r="AD4652" s="3">
        <v>40493</v>
      </c>
      <c r="AE4652" s="2"/>
      <c r="AF4652" s="3">
        <v>40493</v>
      </c>
      <c r="AG4652" s="4">
        <v>0.75</v>
      </c>
      <c r="AH4652" s="2">
        <v>2</v>
      </c>
      <c r="AI4652" s="2" t="s">
        <v>84</v>
      </c>
      <c r="AJ4652" s="2">
        <v>9</v>
      </c>
      <c r="AK4652" s="2" t="s">
        <v>103</v>
      </c>
      <c r="AL4652" s="2">
        <v>27</v>
      </c>
      <c r="AM4652" s="2" t="s">
        <v>6225</v>
      </c>
      <c r="AN4652" s="2" t="s">
        <v>14413</v>
      </c>
      <c r="AO4652" s="2" t="s">
        <v>82</v>
      </c>
      <c r="AP4652" s="2">
        <v>11</v>
      </c>
      <c r="AQ4652" s="2" t="s">
        <v>82</v>
      </c>
      <c r="AR4652" s="2"/>
      <c r="AS4652" s="2"/>
      <c r="AT4652" s="2" t="s">
        <v>14414</v>
      </c>
      <c r="AU4652" s="2">
        <v>1</v>
      </c>
      <c r="AV4652" s="2"/>
      <c r="AW4652" s="2"/>
      <c r="AX4652" s="2"/>
      <c r="AY4652" s="2">
        <v>41</v>
      </c>
      <c r="AZ4652" s="2" t="s">
        <v>82</v>
      </c>
      <c r="BA4652" s="2">
        <v>152</v>
      </c>
      <c r="BB4652" s="2" t="s">
        <v>13823</v>
      </c>
      <c r="BC4652" s="2">
        <v>41</v>
      </c>
      <c r="BD4652" s="2" t="s">
        <v>82</v>
      </c>
      <c r="BE4652" s="2">
        <v>41</v>
      </c>
      <c r="BF4652" s="2" t="s">
        <v>82</v>
      </c>
      <c r="BG4652" s="2"/>
      <c r="BH4652" s="2"/>
      <c r="BI4652" s="2"/>
      <c r="BJ4652" s="2">
        <v>241</v>
      </c>
      <c r="BK4652" s="2" t="s">
        <v>82</v>
      </c>
      <c r="BL4652" s="2"/>
      <c r="BM4652" s="2">
        <v>241</v>
      </c>
      <c r="BN4652" s="2" t="s">
        <v>82</v>
      </c>
      <c r="BO4652" s="2"/>
      <c r="BP4652" s="2">
        <v>241</v>
      </c>
      <c r="BQ4652" s="2" t="s">
        <v>82</v>
      </c>
      <c r="BR4652" s="2"/>
      <c r="BS4652" s="3">
        <v>40494</v>
      </c>
      <c r="BT4652" s="4">
        <v>0.17822916666666666</v>
      </c>
    </row>
    <row r="4653" spans="1:72" x14ac:dyDescent="0.25">
      <c r="A4653" s="2">
        <v>7167</v>
      </c>
      <c r="B4653" s="2">
        <v>2010</v>
      </c>
      <c r="C4653" s="2" t="s">
        <v>93</v>
      </c>
      <c r="D4653" s="2" t="s">
        <v>73</v>
      </c>
      <c r="E4653" s="2"/>
      <c r="F4653" s="2">
        <v>425</v>
      </c>
      <c r="G4653" s="2" t="s">
        <v>286</v>
      </c>
      <c r="H4653" s="2">
        <v>3</v>
      </c>
      <c r="I4653" s="2" t="s">
        <v>315</v>
      </c>
      <c r="J4653" s="2">
        <v>310</v>
      </c>
      <c r="K4653" s="2" t="s">
        <v>288</v>
      </c>
      <c r="L4653" s="2" t="s">
        <v>289</v>
      </c>
      <c r="M4653" s="3">
        <v>40494</v>
      </c>
      <c r="N4653" s="2" t="s">
        <v>1917</v>
      </c>
      <c r="O4653" s="2" t="s">
        <v>14415</v>
      </c>
      <c r="P4653" s="2"/>
      <c r="Q4653" s="2" t="str">
        <f>"0017/2010"</f>
        <v>0017/2010</v>
      </c>
      <c r="R4653" s="2"/>
      <c r="S4653" s="2"/>
      <c r="T4653" s="2">
        <v>1</v>
      </c>
      <c r="U4653" s="2" t="s">
        <v>79</v>
      </c>
      <c r="V4653" s="2">
        <v>1</v>
      </c>
      <c r="W4653" s="2" t="s">
        <v>80</v>
      </c>
      <c r="X4653" s="2">
        <v>1</v>
      </c>
      <c r="Y4653" s="2" t="s">
        <v>81</v>
      </c>
      <c r="Z4653" s="2">
        <v>1</v>
      </c>
      <c r="AA4653" s="2" t="s">
        <v>82</v>
      </c>
      <c r="AB4653" s="2">
        <v>2</v>
      </c>
      <c r="AC4653" s="2" t="s">
        <v>102</v>
      </c>
      <c r="AD4653" s="3">
        <v>40494</v>
      </c>
      <c r="AE4653" s="4">
        <v>0.26041666666666669</v>
      </c>
      <c r="AF4653" s="3">
        <v>40494</v>
      </c>
      <c r="AG4653" s="2"/>
      <c r="AH4653" s="2">
        <v>5</v>
      </c>
      <c r="AI4653" s="2" t="s">
        <v>274</v>
      </c>
      <c r="AJ4653" s="2">
        <v>45</v>
      </c>
      <c r="AK4653" s="2" t="s">
        <v>834</v>
      </c>
      <c r="AL4653" s="2">
        <v>11</v>
      </c>
      <c r="AM4653" s="2" t="s">
        <v>137</v>
      </c>
      <c r="AN4653" s="2"/>
      <c r="AO4653" s="2" t="s">
        <v>14416</v>
      </c>
      <c r="AP4653" s="2">
        <v>11</v>
      </c>
      <c r="AQ4653" s="2" t="s">
        <v>82</v>
      </c>
      <c r="AR4653" s="2" t="s">
        <v>82</v>
      </c>
      <c r="AS4653" s="2" t="s">
        <v>82</v>
      </c>
      <c r="AT4653" s="2" t="s">
        <v>14417</v>
      </c>
      <c r="AU4653" s="2"/>
      <c r="AV4653" s="2"/>
      <c r="AW4653" s="2"/>
      <c r="AX4653" s="2"/>
      <c r="AY4653" s="2">
        <v>41</v>
      </c>
      <c r="AZ4653" s="2" t="s">
        <v>82</v>
      </c>
      <c r="BA4653" s="2">
        <v>41</v>
      </c>
      <c r="BB4653" s="2" t="s">
        <v>82</v>
      </c>
      <c r="BC4653" s="2">
        <v>41</v>
      </c>
      <c r="BD4653" s="2" t="s">
        <v>82</v>
      </c>
      <c r="BE4653" s="2">
        <v>45</v>
      </c>
      <c r="BF4653" s="2" t="s">
        <v>1855</v>
      </c>
      <c r="BG4653" s="2">
        <v>5420</v>
      </c>
      <c r="BH4653" s="2"/>
      <c r="BI4653" s="4">
        <v>0.27083333333333331</v>
      </c>
      <c r="BJ4653" s="2">
        <v>13</v>
      </c>
      <c r="BK4653" s="2" t="s">
        <v>91</v>
      </c>
      <c r="BL4653" s="2" t="s">
        <v>1705</v>
      </c>
      <c r="BM4653" s="2">
        <v>13</v>
      </c>
      <c r="BN4653" s="2" t="s">
        <v>91</v>
      </c>
      <c r="BO4653" s="2"/>
      <c r="BP4653" s="2">
        <v>13</v>
      </c>
      <c r="BQ4653" s="2" t="s">
        <v>91</v>
      </c>
      <c r="BR4653" s="2" t="s">
        <v>169</v>
      </c>
      <c r="BS4653" s="3">
        <v>40494</v>
      </c>
      <c r="BT4653" s="4">
        <v>0.40461805555555558</v>
      </c>
    </row>
    <row r="4654" spans="1:72" x14ac:dyDescent="0.25">
      <c r="A4654" s="2">
        <v>7168</v>
      </c>
      <c r="B4654" s="2">
        <v>2010</v>
      </c>
      <c r="C4654" s="2" t="s">
        <v>147</v>
      </c>
      <c r="D4654" s="2" t="s">
        <v>73</v>
      </c>
      <c r="E4654" s="2"/>
      <c r="F4654" s="2">
        <v>1</v>
      </c>
      <c r="G4654" s="2" t="s">
        <v>82</v>
      </c>
      <c r="H4654" s="2">
        <v>1</v>
      </c>
      <c r="I4654" s="2" t="s">
        <v>82</v>
      </c>
      <c r="J4654" s="2">
        <v>1</v>
      </c>
      <c r="K4654" s="2" t="s">
        <v>107</v>
      </c>
      <c r="L4654" s="2" t="s">
        <v>107</v>
      </c>
      <c r="M4654" s="3">
        <v>40494</v>
      </c>
      <c r="N4654" s="2"/>
      <c r="O4654" s="2"/>
      <c r="P4654" s="2"/>
      <c r="Q4654" s="2" t="str">
        <f>""</f>
        <v/>
      </c>
      <c r="R4654" s="2"/>
      <c r="S4654" s="2"/>
      <c r="T4654" s="2">
        <v>2</v>
      </c>
      <c r="U4654" s="2" t="s">
        <v>123</v>
      </c>
      <c r="V4654" s="2">
        <v>1</v>
      </c>
      <c r="W4654" s="2" t="s">
        <v>80</v>
      </c>
      <c r="X4654" s="2">
        <v>12</v>
      </c>
      <c r="Y4654" s="2" t="s">
        <v>148</v>
      </c>
      <c r="Z4654" s="2">
        <v>1</v>
      </c>
      <c r="AA4654" s="2" t="s">
        <v>82</v>
      </c>
      <c r="AB4654" s="2">
        <v>9</v>
      </c>
      <c r="AC4654" s="2" t="s">
        <v>124</v>
      </c>
      <c r="AD4654" s="2"/>
      <c r="AE4654" s="2"/>
      <c r="AF4654" s="3">
        <v>40494</v>
      </c>
      <c r="AG4654" s="4">
        <v>0.39583333333333331</v>
      </c>
      <c r="AH4654" s="2">
        <v>3</v>
      </c>
      <c r="AI4654" s="2" t="s">
        <v>214</v>
      </c>
      <c r="AJ4654" s="2">
        <v>24</v>
      </c>
      <c r="AK4654" s="2" t="s">
        <v>215</v>
      </c>
      <c r="AL4654" s="2">
        <v>19</v>
      </c>
      <c r="AM4654" s="2" t="s">
        <v>107</v>
      </c>
      <c r="AN4654" s="2" t="s">
        <v>107</v>
      </c>
      <c r="AO4654" s="2" t="s">
        <v>107</v>
      </c>
      <c r="AP4654" s="2">
        <v>11</v>
      </c>
      <c r="AQ4654" s="2" t="s">
        <v>82</v>
      </c>
      <c r="AR4654" s="2"/>
      <c r="AS4654" s="2"/>
      <c r="AT4654" s="2" t="s">
        <v>14418</v>
      </c>
      <c r="AU4654" s="2"/>
      <c r="AV4654" s="2"/>
      <c r="AW4654" s="2"/>
      <c r="AX4654" s="2"/>
      <c r="AY4654" s="2">
        <v>70</v>
      </c>
      <c r="AZ4654" s="2" t="s">
        <v>236</v>
      </c>
      <c r="BA4654" s="2">
        <v>41</v>
      </c>
      <c r="BB4654" s="2" t="s">
        <v>82</v>
      </c>
      <c r="BC4654" s="2">
        <v>41</v>
      </c>
      <c r="BD4654" s="2" t="s">
        <v>82</v>
      </c>
      <c r="BE4654" s="2">
        <v>41</v>
      </c>
      <c r="BF4654" s="2" t="s">
        <v>82</v>
      </c>
      <c r="BG4654" s="2"/>
      <c r="BH4654" s="2"/>
      <c r="BI4654" s="2"/>
      <c r="BJ4654" s="2">
        <v>241</v>
      </c>
      <c r="BK4654" s="2" t="s">
        <v>82</v>
      </c>
      <c r="BL4654" s="2"/>
      <c r="BM4654" s="2">
        <v>241</v>
      </c>
      <c r="BN4654" s="2" t="s">
        <v>82</v>
      </c>
      <c r="BO4654" s="2"/>
      <c r="BP4654" s="2">
        <v>241</v>
      </c>
      <c r="BQ4654" s="2" t="s">
        <v>82</v>
      </c>
      <c r="BR4654" s="2"/>
      <c r="BS4654" s="3">
        <v>40494</v>
      </c>
      <c r="BT4654" s="4">
        <v>0.41467592592592589</v>
      </c>
    </row>
    <row r="4655" spans="1:72" x14ac:dyDescent="0.25">
      <c r="A4655" s="2">
        <v>7169</v>
      </c>
      <c r="B4655" s="2">
        <v>2010</v>
      </c>
      <c r="C4655" s="2" t="s">
        <v>171</v>
      </c>
      <c r="D4655" s="2" t="s">
        <v>73</v>
      </c>
      <c r="E4655" s="2"/>
      <c r="F4655" s="2">
        <v>398</v>
      </c>
      <c r="G4655" s="2" t="s">
        <v>94</v>
      </c>
      <c r="H4655" s="2">
        <v>12</v>
      </c>
      <c r="I4655" s="2" t="s">
        <v>95</v>
      </c>
      <c r="J4655" s="2">
        <v>245</v>
      </c>
      <c r="K4655" s="2" t="s">
        <v>96</v>
      </c>
      <c r="L4655" s="2" t="s">
        <v>97</v>
      </c>
      <c r="M4655" s="3">
        <v>40494</v>
      </c>
      <c r="N4655" s="2" t="s">
        <v>451</v>
      </c>
      <c r="O4655" s="2" t="s">
        <v>14419</v>
      </c>
      <c r="P4655" s="2" t="s">
        <v>14420</v>
      </c>
      <c r="Q4655" s="2" t="str">
        <f>"571-E/10"</f>
        <v>571-E/10</v>
      </c>
      <c r="R4655" s="2" t="s">
        <v>391</v>
      </c>
      <c r="S4655" s="2"/>
      <c r="T4655" s="2">
        <v>1</v>
      </c>
      <c r="U4655" s="2" t="s">
        <v>79</v>
      </c>
      <c r="V4655" s="2">
        <v>3</v>
      </c>
      <c r="W4655" s="2" t="s">
        <v>225</v>
      </c>
      <c r="X4655" s="2">
        <v>6</v>
      </c>
      <c r="Y4655" s="2" t="s">
        <v>249</v>
      </c>
      <c r="Z4655" s="2">
        <v>1</v>
      </c>
      <c r="AA4655" s="2" t="s">
        <v>82</v>
      </c>
      <c r="AB4655" s="2">
        <v>9</v>
      </c>
      <c r="AC4655" s="2" t="s">
        <v>124</v>
      </c>
      <c r="AD4655" s="3">
        <v>40486</v>
      </c>
      <c r="AE4655" s="2"/>
      <c r="AF4655" s="2"/>
      <c r="AG4655" s="2"/>
      <c r="AH4655" s="2">
        <v>2</v>
      </c>
      <c r="AI4655" s="2" t="s">
        <v>84</v>
      </c>
      <c r="AJ4655" s="2">
        <v>6</v>
      </c>
      <c r="AK4655" s="2" t="s">
        <v>453</v>
      </c>
      <c r="AL4655" s="2">
        <v>19</v>
      </c>
      <c r="AM4655" s="2" t="s">
        <v>107</v>
      </c>
      <c r="AN4655" s="2"/>
      <c r="AO4655" s="2"/>
      <c r="AP4655" s="2">
        <v>11</v>
      </c>
      <c r="AQ4655" s="2" t="s">
        <v>82</v>
      </c>
      <c r="AR4655" s="2"/>
      <c r="AS4655" s="2"/>
      <c r="AT4655" s="2" t="s">
        <v>14421</v>
      </c>
      <c r="AU4655" s="2"/>
      <c r="AV4655" s="2"/>
      <c r="AW4655" s="2"/>
      <c r="AX4655" s="2"/>
      <c r="AY4655" s="2">
        <v>41</v>
      </c>
      <c r="AZ4655" s="2" t="s">
        <v>82</v>
      </c>
      <c r="BA4655" s="2">
        <v>41</v>
      </c>
      <c r="BB4655" s="2" t="s">
        <v>82</v>
      </c>
      <c r="BC4655" s="2">
        <v>41</v>
      </c>
      <c r="BD4655" s="2" t="s">
        <v>82</v>
      </c>
      <c r="BE4655" s="2">
        <v>41</v>
      </c>
      <c r="BF4655" s="2" t="s">
        <v>82</v>
      </c>
      <c r="BG4655" s="2"/>
      <c r="BH4655" s="2"/>
      <c r="BI4655" s="2"/>
      <c r="BJ4655" s="2">
        <v>241</v>
      </c>
      <c r="BK4655" s="2" t="s">
        <v>82</v>
      </c>
      <c r="BL4655" s="2"/>
      <c r="BM4655" s="2">
        <v>241</v>
      </c>
      <c r="BN4655" s="2" t="s">
        <v>82</v>
      </c>
      <c r="BO4655" s="2"/>
      <c r="BP4655" s="2">
        <v>241</v>
      </c>
      <c r="BQ4655" s="2" t="s">
        <v>82</v>
      </c>
      <c r="BR4655" s="2"/>
      <c r="BS4655" s="3">
        <v>40494</v>
      </c>
      <c r="BT4655" s="4">
        <v>0.47047453703703707</v>
      </c>
    </row>
    <row r="4656" spans="1:72" x14ac:dyDescent="0.25">
      <c r="A4656" s="2">
        <v>7170</v>
      </c>
      <c r="B4656" s="2">
        <v>2010</v>
      </c>
      <c r="C4656" s="2" t="s">
        <v>147</v>
      </c>
      <c r="D4656" s="2" t="s">
        <v>122</v>
      </c>
      <c r="E4656" s="2"/>
      <c r="F4656" s="2">
        <v>1</v>
      </c>
      <c r="G4656" s="2" t="s">
        <v>82</v>
      </c>
      <c r="H4656" s="2">
        <v>1</v>
      </c>
      <c r="I4656" s="2" t="s">
        <v>82</v>
      </c>
      <c r="J4656" s="2">
        <v>1</v>
      </c>
      <c r="K4656" s="2" t="s">
        <v>107</v>
      </c>
      <c r="L4656" s="2" t="s">
        <v>107</v>
      </c>
      <c r="M4656" s="3">
        <v>40494</v>
      </c>
      <c r="N4656" s="2" t="s">
        <v>82</v>
      </c>
      <c r="O4656" s="2" t="s">
        <v>82</v>
      </c>
      <c r="P4656" s="2" t="s">
        <v>82</v>
      </c>
      <c r="Q4656" s="2" t="str">
        <f>"0471/10"</f>
        <v>0471/10</v>
      </c>
      <c r="R4656" s="2" t="s">
        <v>82</v>
      </c>
      <c r="S4656" s="2" t="s">
        <v>14422</v>
      </c>
      <c r="T4656" s="2">
        <v>2</v>
      </c>
      <c r="U4656" s="2" t="s">
        <v>123</v>
      </c>
      <c r="V4656" s="2">
        <v>1</v>
      </c>
      <c r="W4656" s="2" t="s">
        <v>80</v>
      </c>
      <c r="X4656" s="2">
        <v>5</v>
      </c>
      <c r="Y4656" s="2" t="s">
        <v>82</v>
      </c>
      <c r="Z4656" s="2">
        <v>10</v>
      </c>
      <c r="AA4656" s="2" t="s">
        <v>236</v>
      </c>
      <c r="AB4656" s="2">
        <v>9</v>
      </c>
      <c r="AC4656" s="2" t="s">
        <v>124</v>
      </c>
      <c r="AD4656" s="3">
        <v>40493</v>
      </c>
      <c r="AE4656" s="4">
        <v>0.95138888888888884</v>
      </c>
      <c r="AF4656" s="3">
        <v>40494</v>
      </c>
      <c r="AG4656" s="4">
        <v>0.40625</v>
      </c>
      <c r="AH4656" s="2">
        <v>4</v>
      </c>
      <c r="AI4656" s="2" t="s">
        <v>125</v>
      </c>
      <c r="AJ4656" s="2">
        <v>29</v>
      </c>
      <c r="AK4656" s="2" t="s">
        <v>227</v>
      </c>
      <c r="AL4656" s="2">
        <v>9</v>
      </c>
      <c r="AM4656" s="2" t="s">
        <v>259</v>
      </c>
      <c r="AN4656" s="2" t="s">
        <v>14423</v>
      </c>
      <c r="AO4656" s="2"/>
      <c r="AP4656" s="2">
        <v>11</v>
      </c>
      <c r="AQ4656" s="2" t="s">
        <v>82</v>
      </c>
      <c r="AR4656" s="2" t="s">
        <v>82</v>
      </c>
      <c r="AS4656" s="2" t="s">
        <v>82</v>
      </c>
      <c r="AT4656" s="2" t="s">
        <v>14424</v>
      </c>
      <c r="AU4656" s="2"/>
      <c r="AV4656" s="2"/>
      <c r="AW4656" s="2"/>
      <c r="AX4656" s="2"/>
      <c r="AY4656" s="2">
        <v>41</v>
      </c>
      <c r="AZ4656" s="2" t="s">
        <v>82</v>
      </c>
      <c r="BA4656" s="2">
        <v>41</v>
      </c>
      <c r="BB4656" s="2" t="s">
        <v>82</v>
      </c>
      <c r="BC4656" s="2">
        <v>70</v>
      </c>
      <c r="BD4656" s="2" t="s">
        <v>236</v>
      </c>
      <c r="BE4656" s="2">
        <v>41</v>
      </c>
      <c r="BF4656" s="2" t="s">
        <v>82</v>
      </c>
      <c r="BG4656" s="2"/>
      <c r="BH4656" s="2"/>
      <c r="BI4656" s="2"/>
      <c r="BJ4656" s="2">
        <v>241</v>
      </c>
      <c r="BK4656" s="2" t="s">
        <v>82</v>
      </c>
      <c r="BL4656" s="2"/>
      <c r="BM4656" s="2">
        <v>241</v>
      </c>
      <c r="BN4656" s="2" t="s">
        <v>82</v>
      </c>
      <c r="BO4656" s="2"/>
      <c r="BP4656" s="2">
        <v>241</v>
      </c>
      <c r="BQ4656" s="2" t="s">
        <v>82</v>
      </c>
      <c r="BR4656" s="2"/>
      <c r="BS4656" s="3">
        <v>40494</v>
      </c>
      <c r="BT4656" s="4">
        <v>0.51006944444444446</v>
      </c>
    </row>
    <row r="4657" spans="1:72" x14ac:dyDescent="0.25">
      <c r="A4657" s="2">
        <v>7174</v>
      </c>
      <c r="B4657" s="2">
        <v>2010</v>
      </c>
      <c r="C4657" s="2" t="s">
        <v>72</v>
      </c>
      <c r="D4657" s="2" t="s">
        <v>73</v>
      </c>
      <c r="E4657" s="2"/>
      <c r="F4657" s="2">
        <v>389</v>
      </c>
      <c r="G4657" s="2" t="s">
        <v>1819</v>
      </c>
      <c r="H4657" s="2">
        <v>4</v>
      </c>
      <c r="I4657" s="2" t="s">
        <v>173</v>
      </c>
      <c r="J4657" s="2">
        <v>399</v>
      </c>
      <c r="K4657" s="2" t="s">
        <v>1820</v>
      </c>
      <c r="L4657" s="2" t="s">
        <v>1821</v>
      </c>
      <c r="M4657" s="3">
        <v>40494</v>
      </c>
      <c r="N4657" s="2" t="s">
        <v>2596</v>
      </c>
      <c r="O4657" s="2" t="s">
        <v>14425</v>
      </c>
      <c r="P4657" s="2">
        <v>16031</v>
      </c>
      <c r="Q4657" s="2" t="str">
        <f>"442-E/10"</f>
        <v>442-E/10</v>
      </c>
      <c r="R4657" s="2" t="s">
        <v>601</v>
      </c>
      <c r="S4657" s="2"/>
      <c r="T4657" s="2">
        <v>1</v>
      </c>
      <c r="U4657" s="2" t="s">
        <v>79</v>
      </c>
      <c r="V4657" s="2">
        <v>3</v>
      </c>
      <c r="W4657" s="2" t="s">
        <v>225</v>
      </c>
      <c r="X4657" s="2">
        <v>6</v>
      </c>
      <c r="Y4657" s="2" t="s">
        <v>249</v>
      </c>
      <c r="Z4657" s="2">
        <v>1</v>
      </c>
      <c r="AA4657" s="2" t="s">
        <v>82</v>
      </c>
      <c r="AB4657" s="2">
        <v>9</v>
      </c>
      <c r="AC4657" s="2" t="s">
        <v>124</v>
      </c>
      <c r="AD4657" s="3">
        <v>40449</v>
      </c>
      <c r="AE4657" s="2"/>
      <c r="AF4657" s="2"/>
      <c r="AG4657" s="2"/>
      <c r="AH4657" s="2">
        <v>2</v>
      </c>
      <c r="AI4657" s="2" t="s">
        <v>84</v>
      </c>
      <c r="AJ4657" s="2">
        <v>6</v>
      </c>
      <c r="AK4657" s="2" t="s">
        <v>453</v>
      </c>
      <c r="AL4657" s="2">
        <v>19</v>
      </c>
      <c r="AM4657" s="2" t="s">
        <v>107</v>
      </c>
      <c r="AN4657" s="2"/>
      <c r="AO4657" s="2"/>
      <c r="AP4657" s="2">
        <v>11</v>
      </c>
      <c r="AQ4657" s="2" t="s">
        <v>82</v>
      </c>
      <c r="AR4657" s="2"/>
      <c r="AS4657" s="2"/>
      <c r="AT4657" s="2" t="s">
        <v>14426</v>
      </c>
      <c r="AU4657" s="2"/>
      <c r="AV4657" s="2"/>
      <c r="AW4657" s="2"/>
      <c r="AX4657" s="2"/>
      <c r="AY4657" s="2">
        <v>41</v>
      </c>
      <c r="AZ4657" s="2" t="s">
        <v>82</v>
      </c>
      <c r="BA4657" s="2">
        <v>41</v>
      </c>
      <c r="BB4657" s="2" t="s">
        <v>82</v>
      </c>
      <c r="BC4657" s="2">
        <v>41</v>
      </c>
      <c r="BD4657" s="2" t="s">
        <v>82</v>
      </c>
      <c r="BE4657" s="2">
        <v>41</v>
      </c>
      <c r="BF4657" s="2" t="s">
        <v>82</v>
      </c>
      <c r="BG4657" s="2"/>
      <c r="BH4657" s="2"/>
      <c r="BI4657" s="2"/>
      <c r="BJ4657" s="2">
        <v>241</v>
      </c>
      <c r="BK4657" s="2" t="s">
        <v>82</v>
      </c>
      <c r="BL4657" s="2"/>
      <c r="BM4657" s="2">
        <v>241</v>
      </c>
      <c r="BN4657" s="2" t="s">
        <v>82</v>
      </c>
      <c r="BO4657" s="2"/>
      <c r="BP4657" s="2">
        <v>241</v>
      </c>
      <c r="BQ4657" s="2" t="s">
        <v>82</v>
      </c>
      <c r="BR4657" s="2"/>
      <c r="BS4657" s="3">
        <v>40494</v>
      </c>
      <c r="BT4657" s="4">
        <v>0.59037037037037032</v>
      </c>
    </row>
    <row r="4658" spans="1:72" x14ac:dyDescent="0.25">
      <c r="A4658" s="2">
        <v>7176</v>
      </c>
      <c r="B4658" s="2">
        <v>2010</v>
      </c>
      <c r="C4658" s="2" t="s">
        <v>171</v>
      </c>
      <c r="D4658" s="2" t="s">
        <v>73</v>
      </c>
      <c r="E4658" s="2" t="s">
        <v>14427</v>
      </c>
      <c r="F4658" s="2">
        <v>118</v>
      </c>
      <c r="G4658" s="2" t="s">
        <v>4266</v>
      </c>
      <c r="H4658" s="2">
        <v>38</v>
      </c>
      <c r="I4658" s="2" t="s">
        <v>1272</v>
      </c>
      <c r="J4658" s="2">
        <v>135</v>
      </c>
      <c r="K4658" s="2" t="s">
        <v>2502</v>
      </c>
      <c r="L4658" s="2" t="s">
        <v>2503</v>
      </c>
      <c r="M4658" s="3">
        <v>40494</v>
      </c>
      <c r="N4658" s="2" t="s">
        <v>14428</v>
      </c>
      <c r="O4658" s="2" t="s">
        <v>14429</v>
      </c>
      <c r="P4658" s="2" t="s">
        <v>14430</v>
      </c>
      <c r="Q4658" s="2" t="str">
        <f>""</f>
        <v/>
      </c>
      <c r="R4658" s="2"/>
      <c r="S4658" s="2"/>
      <c r="T4658" s="2">
        <v>1</v>
      </c>
      <c r="U4658" s="2" t="s">
        <v>79</v>
      </c>
      <c r="V4658" s="2">
        <v>3</v>
      </c>
      <c r="W4658" s="2" t="s">
        <v>225</v>
      </c>
      <c r="X4658" s="2">
        <v>8</v>
      </c>
      <c r="Y4658" s="2" t="s">
        <v>375</v>
      </c>
      <c r="Z4658" s="2">
        <v>1</v>
      </c>
      <c r="AA4658" s="2" t="s">
        <v>82</v>
      </c>
      <c r="AB4658" s="2">
        <v>9</v>
      </c>
      <c r="AC4658" s="2" t="s">
        <v>124</v>
      </c>
      <c r="AD4658" s="3">
        <v>40494</v>
      </c>
      <c r="AE4658" s="4">
        <v>0.60486111111111118</v>
      </c>
      <c r="AF4658" s="2"/>
      <c r="AG4658" s="2"/>
      <c r="AH4658" s="2">
        <v>6</v>
      </c>
      <c r="AI4658" s="2" t="s">
        <v>197</v>
      </c>
      <c r="AJ4658" s="2">
        <v>47</v>
      </c>
      <c r="AK4658" s="2" t="s">
        <v>250</v>
      </c>
      <c r="AL4658" s="2">
        <v>23</v>
      </c>
      <c r="AM4658" s="2" t="s">
        <v>251</v>
      </c>
      <c r="AN4658" s="2"/>
      <c r="AO4658" s="2"/>
      <c r="AP4658" s="2">
        <v>11</v>
      </c>
      <c r="AQ4658" s="2" t="s">
        <v>82</v>
      </c>
      <c r="AR4658" s="2"/>
      <c r="AS4658" s="2"/>
      <c r="AT4658" s="2" t="s">
        <v>14431</v>
      </c>
      <c r="AU4658" s="2"/>
      <c r="AV4658" s="2"/>
      <c r="AW4658" s="2"/>
      <c r="AX4658" s="2"/>
      <c r="AY4658" s="2">
        <v>41</v>
      </c>
      <c r="AZ4658" s="2" t="s">
        <v>82</v>
      </c>
      <c r="BA4658" s="2">
        <v>41</v>
      </c>
      <c r="BB4658" s="2" t="s">
        <v>82</v>
      </c>
      <c r="BC4658" s="2">
        <v>41</v>
      </c>
      <c r="BD4658" s="2" t="s">
        <v>82</v>
      </c>
      <c r="BE4658" s="2">
        <v>41</v>
      </c>
      <c r="BF4658" s="2" t="s">
        <v>82</v>
      </c>
      <c r="BG4658" s="2"/>
      <c r="BH4658" s="2"/>
      <c r="BI4658" s="2"/>
      <c r="BJ4658" s="2">
        <v>241</v>
      </c>
      <c r="BK4658" s="2" t="s">
        <v>82</v>
      </c>
      <c r="BL4658" s="2"/>
      <c r="BM4658" s="2">
        <v>241</v>
      </c>
      <c r="BN4658" s="2" t="s">
        <v>82</v>
      </c>
      <c r="BO4658" s="2"/>
      <c r="BP4658" s="2">
        <v>241</v>
      </c>
      <c r="BQ4658" s="2" t="s">
        <v>82</v>
      </c>
      <c r="BR4658" s="2"/>
      <c r="BS4658" s="3">
        <v>40494</v>
      </c>
      <c r="BT4658" s="4">
        <v>0.62783564814814818</v>
      </c>
    </row>
    <row r="4659" spans="1:72" x14ac:dyDescent="0.25">
      <c r="A4659" s="2">
        <v>7179</v>
      </c>
      <c r="B4659" s="2">
        <v>2010</v>
      </c>
      <c r="C4659" s="2" t="s">
        <v>72</v>
      </c>
      <c r="D4659" s="2" t="s">
        <v>73</v>
      </c>
      <c r="E4659" s="2"/>
      <c r="F4659" s="2">
        <v>390</v>
      </c>
      <c r="G4659" s="2" t="s">
        <v>475</v>
      </c>
      <c r="H4659" s="2">
        <v>5</v>
      </c>
      <c r="I4659" s="2" t="s">
        <v>634</v>
      </c>
      <c r="J4659" s="2">
        <v>533</v>
      </c>
      <c r="K4659" s="2" t="s">
        <v>6511</v>
      </c>
      <c r="L4659" s="2" t="s">
        <v>478</v>
      </c>
      <c r="M4659" s="3">
        <v>40494</v>
      </c>
      <c r="N4659" s="2" t="s">
        <v>3103</v>
      </c>
      <c r="O4659" s="2"/>
      <c r="P4659" s="2"/>
      <c r="Q4659" s="2" t="str">
        <f>"592-E/10"</f>
        <v>592-E/10</v>
      </c>
      <c r="R4659" s="2" t="s">
        <v>116</v>
      </c>
      <c r="S4659" s="2"/>
      <c r="T4659" s="2">
        <v>1</v>
      </c>
      <c r="U4659" s="2" t="s">
        <v>79</v>
      </c>
      <c r="V4659" s="2">
        <v>1</v>
      </c>
      <c r="W4659" s="2" t="s">
        <v>80</v>
      </c>
      <c r="X4659" s="2">
        <v>12</v>
      </c>
      <c r="Y4659" s="2" t="s">
        <v>148</v>
      </c>
      <c r="Z4659" s="2">
        <v>1</v>
      </c>
      <c r="AA4659" s="2" t="s">
        <v>82</v>
      </c>
      <c r="AB4659" s="2">
        <v>6</v>
      </c>
      <c r="AC4659" s="2" t="s">
        <v>83</v>
      </c>
      <c r="AD4659" s="2"/>
      <c r="AE4659" s="2"/>
      <c r="AF4659" s="3">
        <v>40494</v>
      </c>
      <c r="AG4659" s="4">
        <v>0.37152777777777773</v>
      </c>
      <c r="AH4659" s="2">
        <v>2</v>
      </c>
      <c r="AI4659" s="2" t="s">
        <v>84</v>
      </c>
      <c r="AJ4659" s="2">
        <v>9</v>
      </c>
      <c r="AK4659" s="2" t="s">
        <v>103</v>
      </c>
      <c r="AL4659" s="2">
        <v>22</v>
      </c>
      <c r="AM4659" s="2" t="s">
        <v>1853</v>
      </c>
      <c r="AN4659" s="2" t="s">
        <v>14432</v>
      </c>
      <c r="AO4659" s="2" t="s">
        <v>4116</v>
      </c>
      <c r="AP4659" s="2">
        <v>11</v>
      </c>
      <c r="AQ4659" s="2" t="s">
        <v>82</v>
      </c>
      <c r="AR4659" s="2"/>
      <c r="AS4659" s="2"/>
      <c r="AT4659" s="2" t="s">
        <v>14433</v>
      </c>
      <c r="AU4659" s="2"/>
      <c r="AV4659" s="2"/>
      <c r="AW4659" s="2"/>
      <c r="AX4659" s="2"/>
      <c r="AY4659" s="2">
        <v>41</v>
      </c>
      <c r="AZ4659" s="2" t="s">
        <v>82</v>
      </c>
      <c r="BA4659" s="2">
        <v>41</v>
      </c>
      <c r="BB4659" s="2" t="s">
        <v>82</v>
      </c>
      <c r="BC4659" s="2">
        <v>41</v>
      </c>
      <c r="BD4659" s="2" t="s">
        <v>82</v>
      </c>
      <c r="BE4659" s="2">
        <v>9</v>
      </c>
      <c r="BF4659" s="2" t="s">
        <v>966</v>
      </c>
      <c r="BG4659" s="2" t="s">
        <v>14434</v>
      </c>
      <c r="BH4659" s="4">
        <v>0.27083333333333331</v>
      </c>
      <c r="BI4659" s="2"/>
      <c r="BJ4659" s="2">
        <v>221</v>
      </c>
      <c r="BK4659" s="2" t="s">
        <v>14435</v>
      </c>
      <c r="BL4659" s="2" t="s">
        <v>14436</v>
      </c>
      <c r="BM4659" s="2">
        <v>170</v>
      </c>
      <c r="BN4659" s="2" t="s">
        <v>968</v>
      </c>
      <c r="BO4659" s="2"/>
      <c r="BP4659" s="2">
        <v>13</v>
      </c>
      <c r="BQ4659" s="2" t="s">
        <v>91</v>
      </c>
      <c r="BR4659" s="2" t="s">
        <v>360</v>
      </c>
      <c r="BS4659" s="3">
        <v>40494</v>
      </c>
      <c r="BT4659" s="4">
        <v>0.67663194444444441</v>
      </c>
    </row>
    <row r="4660" spans="1:72" x14ac:dyDescent="0.25">
      <c r="A4660" s="2">
        <v>7181</v>
      </c>
      <c r="B4660" s="2">
        <v>2010</v>
      </c>
      <c r="C4660" s="2" t="s">
        <v>72</v>
      </c>
      <c r="D4660" s="2" t="s">
        <v>73</v>
      </c>
      <c r="E4660" s="2"/>
      <c r="F4660" s="2">
        <v>718</v>
      </c>
      <c r="G4660" s="2" t="s">
        <v>14437</v>
      </c>
      <c r="H4660" s="2">
        <v>42</v>
      </c>
      <c r="I4660" s="2" t="s">
        <v>1096</v>
      </c>
      <c r="J4660" s="2">
        <v>701</v>
      </c>
      <c r="K4660" s="2" t="s">
        <v>111</v>
      </c>
      <c r="L4660" s="2" t="s">
        <v>14191</v>
      </c>
      <c r="M4660" s="3">
        <v>40494</v>
      </c>
      <c r="N4660" s="2" t="s">
        <v>14438</v>
      </c>
      <c r="O4660" s="2"/>
      <c r="P4660" s="2"/>
      <c r="Q4660" s="2" t="str">
        <f>" 433-10 /A"</f>
        <v xml:space="preserve"> 433-10 /A</v>
      </c>
      <c r="R4660" s="2" t="s">
        <v>601</v>
      </c>
      <c r="S4660" s="2"/>
      <c r="T4660" s="2">
        <v>1</v>
      </c>
      <c r="U4660" s="2" t="s">
        <v>79</v>
      </c>
      <c r="V4660" s="2">
        <v>1</v>
      </c>
      <c r="W4660" s="2" t="s">
        <v>80</v>
      </c>
      <c r="X4660" s="2">
        <v>12</v>
      </c>
      <c r="Y4660" s="2" t="s">
        <v>148</v>
      </c>
      <c r="Z4660" s="2">
        <v>1</v>
      </c>
      <c r="AA4660" s="2" t="s">
        <v>82</v>
      </c>
      <c r="AB4660" s="2">
        <v>6</v>
      </c>
      <c r="AC4660" s="2" t="s">
        <v>83</v>
      </c>
      <c r="AD4660" s="2"/>
      <c r="AE4660" s="2"/>
      <c r="AF4660" s="3">
        <v>40494</v>
      </c>
      <c r="AG4660" s="4">
        <v>0.45833333333333331</v>
      </c>
      <c r="AH4660" s="2">
        <v>2</v>
      </c>
      <c r="AI4660" s="2" t="s">
        <v>84</v>
      </c>
      <c r="AJ4660" s="2">
        <v>12</v>
      </c>
      <c r="AK4660" s="2" t="s">
        <v>85</v>
      </c>
      <c r="AL4660" s="2">
        <v>25</v>
      </c>
      <c r="AM4660" s="2" t="s">
        <v>3073</v>
      </c>
      <c r="AN4660" s="2" t="s">
        <v>14439</v>
      </c>
      <c r="AO4660" s="2" t="s">
        <v>14440</v>
      </c>
      <c r="AP4660" s="2">
        <v>11</v>
      </c>
      <c r="AQ4660" s="2" t="s">
        <v>82</v>
      </c>
      <c r="AR4660" s="2"/>
      <c r="AS4660" s="2"/>
      <c r="AT4660" s="2" t="s">
        <v>14441</v>
      </c>
      <c r="AU4660" s="2"/>
      <c r="AV4660" s="2"/>
      <c r="AW4660" s="2"/>
      <c r="AX4660" s="2"/>
      <c r="AY4660" s="2">
        <v>161</v>
      </c>
      <c r="AZ4660" s="2" t="s">
        <v>14442</v>
      </c>
      <c r="BA4660" s="2">
        <v>161</v>
      </c>
      <c r="BB4660" s="2" t="s">
        <v>14442</v>
      </c>
      <c r="BC4660" s="2">
        <v>41</v>
      </c>
      <c r="BD4660" s="2" t="s">
        <v>82</v>
      </c>
      <c r="BE4660" s="2">
        <v>41</v>
      </c>
      <c r="BF4660" s="2" t="s">
        <v>82</v>
      </c>
      <c r="BG4660" s="2"/>
      <c r="BH4660" s="2"/>
      <c r="BI4660" s="2"/>
      <c r="BJ4660" s="2">
        <v>241</v>
      </c>
      <c r="BK4660" s="2" t="s">
        <v>82</v>
      </c>
      <c r="BL4660" s="2"/>
      <c r="BM4660" s="2">
        <v>241</v>
      </c>
      <c r="BN4660" s="2" t="s">
        <v>82</v>
      </c>
      <c r="BO4660" s="2"/>
      <c r="BP4660" s="2">
        <v>241</v>
      </c>
      <c r="BQ4660" s="2" t="s">
        <v>82</v>
      </c>
      <c r="BR4660" s="2"/>
      <c r="BS4660" s="3">
        <v>40494</v>
      </c>
      <c r="BT4660" s="4">
        <v>0.72120370370370368</v>
      </c>
    </row>
    <row r="4661" spans="1:72" x14ac:dyDescent="0.25">
      <c r="A4661" s="2">
        <v>7182</v>
      </c>
      <c r="B4661" s="2">
        <v>2010</v>
      </c>
      <c r="C4661" s="2" t="s">
        <v>819</v>
      </c>
      <c r="D4661" s="2" t="s">
        <v>73</v>
      </c>
      <c r="E4661" s="2" t="s">
        <v>14443</v>
      </c>
      <c r="F4661" s="2">
        <v>310</v>
      </c>
      <c r="G4661" s="2" t="s">
        <v>3186</v>
      </c>
      <c r="H4661" s="2">
        <v>2</v>
      </c>
      <c r="I4661" s="2" t="s">
        <v>267</v>
      </c>
      <c r="J4661" s="2">
        <v>371</v>
      </c>
      <c r="K4661" s="2" t="s">
        <v>1138</v>
      </c>
      <c r="L4661" s="2" t="s">
        <v>1139</v>
      </c>
      <c r="M4661" s="3">
        <v>40494</v>
      </c>
      <c r="N4661" s="2" t="s">
        <v>7616</v>
      </c>
      <c r="O4661" s="2" t="s">
        <v>14444</v>
      </c>
      <c r="P4661" s="2" t="s">
        <v>14445</v>
      </c>
      <c r="Q4661" s="2" t="str">
        <f>"0146/2010"</f>
        <v>0146/2010</v>
      </c>
      <c r="R4661" s="2"/>
      <c r="S4661" s="2"/>
      <c r="T4661" s="2">
        <v>1</v>
      </c>
      <c r="U4661" s="2" t="s">
        <v>79</v>
      </c>
      <c r="V4661" s="2">
        <v>1</v>
      </c>
      <c r="W4661" s="2" t="s">
        <v>80</v>
      </c>
      <c r="X4661" s="2">
        <v>1</v>
      </c>
      <c r="Y4661" s="2" t="s">
        <v>81</v>
      </c>
      <c r="Z4661" s="2">
        <v>1</v>
      </c>
      <c r="AA4661" s="2" t="s">
        <v>82</v>
      </c>
      <c r="AB4661" s="2">
        <v>9</v>
      </c>
      <c r="AC4661" s="2" t="s">
        <v>124</v>
      </c>
      <c r="AD4661" s="3">
        <v>40464</v>
      </c>
      <c r="AE4661" s="4">
        <v>0.77083333333333337</v>
      </c>
      <c r="AF4661" s="3">
        <v>40494</v>
      </c>
      <c r="AG4661" s="2"/>
      <c r="AH4661" s="2">
        <v>5</v>
      </c>
      <c r="AI4661" s="2" t="s">
        <v>274</v>
      </c>
      <c r="AJ4661" s="2">
        <v>38</v>
      </c>
      <c r="AK4661" s="2" t="s">
        <v>1120</v>
      </c>
      <c r="AL4661" s="2">
        <v>25</v>
      </c>
      <c r="AM4661" s="2" t="s">
        <v>3073</v>
      </c>
      <c r="AN4661" s="2" t="s">
        <v>13246</v>
      </c>
      <c r="AO4661" s="2" t="s">
        <v>230</v>
      </c>
      <c r="AP4661" s="2">
        <v>11</v>
      </c>
      <c r="AQ4661" s="2" t="s">
        <v>82</v>
      </c>
      <c r="AR4661" s="2" t="s">
        <v>13247</v>
      </c>
      <c r="AS4661" s="2" t="s">
        <v>13248</v>
      </c>
      <c r="AT4661" s="2" t="s">
        <v>14446</v>
      </c>
      <c r="AU4661" s="2"/>
      <c r="AV4661" s="2"/>
      <c r="AW4661" s="2"/>
      <c r="AX4661" s="2"/>
      <c r="AY4661" s="2">
        <v>41</v>
      </c>
      <c r="AZ4661" s="2" t="s">
        <v>82</v>
      </c>
      <c r="BA4661" s="2">
        <v>41</v>
      </c>
      <c r="BB4661" s="2" t="s">
        <v>82</v>
      </c>
      <c r="BC4661" s="2">
        <v>41</v>
      </c>
      <c r="BD4661" s="2" t="s">
        <v>82</v>
      </c>
      <c r="BE4661" s="2">
        <v>47</v>
      </c>
      <c r="BF4661" s="2" t="s">
        <v>167</v>
      </c>
      <c r="BG4661" s="2">
        <v>2729</v>
      </c>
      <c r="BH4661" s="4">
        <v>0.74305555555555547</v>
      </c>
      <c r="BI4661" s="4">
        <v>0.77777777777777779</v>
      </c>
      <c r="BJ4661" s="2">
        <v>13</v>
      </c>
      <c r="BK4661" s="2" t="s">
        <v>91</v>
      </c>
      <c r="BL4661" s="2" t="s">
        <v>2005</v>
      </c>
      <c r="BM4661" s="2">
        <v>13</v>
      </c>
      <c r="BN4661" s="2" t="s">
        <v>91</v>
      </c>
      <c r="BO4661" s="2"/>
      <c r="BP4661" s="2">
        <v>13</v>
      </c>
      <c r="BQ4661" s="2" t="s">
        <v>91</v>
      </c>
      <c r="BR4661" s="2" t="s">
        <v>170</v>
      </c>
      <c r="BS4661" s="3">
        <v>40494</v>
      </c>
      <c r="BT4661" s="4">
        <v>0.7214814814814815</v>
      </c>
    </row>
    <row r="4662" spans="1:72" x14ac:dyDescent="0.25">
      <c r="A4662" s="2">
        <v>7183</v>
      </c>
      <c r="B4662" s="2">
        <v>2010</v>
      </c>
      <c r="C4662" s="2" t="s">
        <v>171</v>
      </c>
      <c r="D4662" s="2" t="s">
        <v>122</v>
      </c>
      <c r="E4662" s="2" t="s">
        <v>14306</v>
      </c>
      <c r="F4662" s="2">
        <v>400</v>
      </c>
      <c r="G4662" s="2" t="s">
        <v>3601</v>
      </c>
      <c r="H4662" s="2">
        <v>17</v>
      </c>
      <c r="I4662" s="2" t="s">
        <v>3602</v>
      </c>
      <c r="J4662" s="2">
        <v>316</v>
      </c>
      <c r="K4662" s="2" t="s">
        <v>574</v>
      </c>
      <c r="L4662" s="2" t="s">
        <v>575</v>
      </c>
      <c r="M4662" s="3">
        <v>40494</v>
      </c>
      <c r="N4662" s="2" t="s">
        <v>3826</v>
      </c>
      <c r="O4662" s="2" t="s">
        <v>14184</v>
      </c>
      <c r="P4662" s="2">
        <v>1386</v>
      </c>
      <c r="Q4662" s="2" t="str">
        <f>"09R/10"</f>
        <v>09R/10</v>
      </c>
      <c r="R4662" s="2"/>
      <c r="S4662" s="2" t="s">
        <v>6092</v>
      </c>
      <c r="T4662" s="2">
        <v>1</v>
      </c>
      <c r="U4662" s="2" t="s">
        <v>79</v>
      </c>
      <c r="V4662" s="2">
        <v>1</v>
      </c>
      <c r="W4662" s="2" t="s">
        <v>80</v>
      </c>
      <c r="X4662" s="2">
        <v>2</v>
      </c>
      <c r="Y4662" s="2" t="s">
        <v>136</v>
      </c>
      <c r="Z4662" s="2">
        <v>10</v>
      </c>
      <c r="AA4662" s="2" t="s">
        <v>236</v>
      </c>
      <c r="AB4662" s="2">
        <v>1</v>
      </c>
      <c r="AC4662" s="2" t="s">
        <v>178</v>
      </c>
      <c r="AD4662" s="3">
        <v>40494</v>
      </c>
      <c r="AE4662" s="4">
        <v>0.60416666666666663</v>
      </c>
      <c r="AF4662" s="2"/>
      <c r="AG4662" s="2"/>
      <c r="AH4662" s="2">
        <v>2</v>
      </c>
      <c r="AI4662" s="2" t="s">
        <v>84</v>
      </c>
      <c r="AJ4662" s="2">
        <v>6</v>
      </c>
      <c r="AK4662" s="2" t="s">
        <v>453</v>
      </c>
      <c r="AL4662" s="2">
        <v>23</v>
      </c>
      <c r="AM4662" s="2" t="s">
        <v>251</v>
      </c>
      <c r="AN4662" s="2" t="s">
        <v>14447</v>
      </c>
      <c r="AO4662" s="2" t="s">
        <v>9894</v>
      </c>
      <c r="AP4662" s="2">
        <v>11</v>
      </c>
      <c r="AQ4662" s="2" t="s">
        <v>82</v>
      </c>
      <c r="AR4662" s="2"/>
      <c r="AS4662" s="2"/>
      <c r="AT4662" s="2" t="s">
        <v>14448</v>
      </c>
      <c r="AU4662" s="2"/>
      <c r="AV4662" s="2">
        <v>1</v>
      </c>
      <c r="AW4662" s="2"/>
      <c r="AX4662" s="2"/>
      <c r="AY4662" s="2">
        <v>42</v>
      </c>
      <c r="AZ4662" s="2" t="s">
        <v>182</v>
      </c>
      <c r="BA4662" s="2">
        <v>70</v>
      </c>
      <c r="BB4662" s="2" t="s">
        <v>236</v>
      </c>
      <c r="BC4662" s="2">
        <v>70</v>
      </c>
      <c r="BD4662" s="2" t="s">
        <v>236</v>
      </c>
      <c r="BE4662" s="2">
        <v>31</v>
      </c>
      <c r="BF4662" s="2" t="s">
        <v>398</v>
      </c>
      <c r="BG4662" s="2" t="s">
        <v>7251</v>
      </c>
      <c r="BH4662" s="2"/>
      <c r="BI4662" s="2"/>
      <c r="BJ4662" s="2">
        <v>13</v>
      </c>
      <c r="BK4662" s="2" t="s">
        <v>91</v>
      </c>
      <c r="BL4662" s="2" t="s">
        <v>360</v>
      </c>
      <c r="BM4662" s="2">
        <v>73</v>
      </c>
      <c r="BN4662" s="2" t="s">
        <v>186</v>
      </c>
      <c r="BO4662" s="2"/>
      <c r="BP4662" s="2">
        <v>73</v>
      </c>
      <c r="BQ4662" s="2" t="s">
        <v>186</v>
      </c>
      <c r="BR4662" s="2" t="s">
        <v>187</v>
      </c>
      <c r="BS4662" s="3">
        <v>40494</v>
      </c>
      <c r="BT4662" s="4">
        <v>0.7459837962962963</v>
      </c>
    </row>
    <row r="4663" spans="1:72" x14ac:dyDescent="0.25">
      <c r="A4663" s="2">
        <v>7185</v>
      </c>
      <c r="B4663" s="2">
        <v>2010</v>
      </c>
      <c r="C4663" s="2" t="s">
        <v>72</v>
      </c>
      <c r="D4663" s="2" t="s">
        <v>73</v>
      </c>
      <c r="E4663" s="2"/>
      <c r="F4663" s="2">
        <v>390</v>
      </c>
      <c r="G4663" s="2" t="s">
        <v>475</v>
      </c>
      <c r="H4663" s="2">
        <v>5</v>
      </c>
      <c r="I4663" s="2" t="s">
        <v>634</v>
      </c>
      <c r="J4663" s="2">
        <v>533</v>
      </c>
      <c r="K4663" s="2" t="s">
        <v>6511</v>
      </c>
      <c r="L4663" s="2" t="s">
        <v>478</v>
      </c>
      <c r="M4663" s="3">
        <v>40494</v>
      </c>
      <c r="N4663" s="2" t="s">
        <v>3103</v>
      </c>
      <c r="O4663" s="2"/>
      <c r="P4663" s="2"/>
      <c r="Q4663" s="2" t="str">
        <f>"593-E/10"</f>
        <v>593-E/10</v>
      </c>
      <c r="R4663" s="2" t="s">
        <v>116</v>
      </c>
      <c r="S4663" s="2"/>
      <c r="T4663" s="2">
        <v>1</v>
      </c>
      <c r="U4663" s="2" t="s">
        <v>79</v>
      </c>
      <c r="V4663" s="2">
        <v>1</v>
      </c>
      <c r="W4663" s="2" t="s">
        <v>80</v>
      </c>
      <c r="X4663" s="2">
        <v>12</v>
      </c>
      <c r="Y4663" s="2" t="s">
        <v>148</v>
      </c>
      <c r="Z4663" s="2">
        <v>1</v>
      </c>
      <c r="AA4663" s="2" t="s">
        <v>82</v>
      </c>
      <c r="AB4663" s="2">
        <v>6</v>
      </c>
      <c r="AC4663" s="2" t="s">
        <v>83</v>
      </c>
      <c r="AD4663" s="3">
        <v>40487</v>
      </c>
      <c r="AE4663" s="2"/>
      <c r="AF4663" s="3">
        <v>40494</v>
      </c>
      <c r="AG4663" s="4">
        <v>0.58333333333333337</v>
      </c>
      <c r="AH4663" s="2">
        <v>2</v>
      </c>
      <c r="AI4663" s="2" t="s">
        <v>84</v>
      </c>
      <c r="AJ4663" s="2">
        <v>9</v>
      </c>
      <c r="AK4663" s="2" t="s">
        <v>103</v>
      </c>
      <c r="AL4663" s="2">
        <v>25</v>
      </c>
      <c r="AM4663" s="2" t="s">
        <v>3073</v>
      </c>
      <c r="AN4663" s="2" t="s">
        <v>14449</v>
      </c>
      <c r="AO4663" s="2" t="s">
        <v>14450</v>
      </c>
      <c r="AP4663" s="2">
        <v>11</v>
      </c>
      <c r="AQ4663" s="2" t="s">
        <v>82</v>
      </c>
      <c r="AR4663" s="2"/>
      <c r="AS4663" s="2"/>
      <c r="AT4663" s="2" t="s">
        <v>14451</v>
      </c>
      <c r="AU4663" s="2"/>
      <c r="AV4663" s="2"/>
      <c r="AW4663" s="2"/>
      <c r="AX4663" s="2"/>
      <c r="AY4663" s="2">
        <v>41</v>
      </c>
      <c r="AZ4663" s="2" t="s">
        <v>82</v>
      </c>
      <c r="BA4663" s="2">
        <v>13</v>
      </c>
      <c r="BB4663" s="2" t="s">
        <v>108</v>
      </c>
      <c r="BC4663" s="2">
        <v>41</v>
      </c>
      <c r="BD4663" s="2" t="s">
        <v>82</v>
      </c>
      <c r="BE4663" s="2">
        <v>41</v>
      </c>
      <c r="BF4663" s="2" t="s">
        <v>82</v>
      </c>
      <c r="BG4663" s="2"/>
      <c r="BH4663" s="2"/>
      <c r="BI4663" s="2"/>
      <c r="BJ4663" s="2">
        <v>241</v>
      </c>
      <c r="BK4663" s="2" t="s">
        <v>82</v>
      </c>
      <c r="BL4663" s="2"/>
      <c r="BM4663" s="2">
        <v>241</v>
      </c>
      <c r="BN4663" s="2" t="s">
        <v>82</v>
      </c>
      <c r="BO4663" s="2"/>
      <c r="BP4663" s="2">
        <v>241</v>
      </c>
      <c r="BQ4663" s="2" t="s">
        <v>82</v>
      </c>
      <c r="BR4663" s="2"/>
      <c r="BS4663" s="3">
        <v>40494</v>
      </c>
      <c r="BT4663" s="4">
        <v>0.78108796296296301</v>
      </c>
    </row>
    <row r="4664" spans="1:72" x14ac:dyDescent="0.25">
      <c r="A4664" s="2">
        <v>7186</v>
      </c>
      <c r="B4664" s="2">
        <v>2010</v>
      </c>
      <c r="C4664" s="2" t="s">
        <v>385</v>
      </c>
      <c r="D4664" s="2" t="s">
        <v>122</v>
      </c>
      <c r="E4664" s="2" t="s">
        <v>14452</v>
      </c>
      <c r="F4664" s="2">
        <v>3</v>
      </c>
      <c r="G4664" s="2" t="s">
        <v>1041</v>
      </c>
      <c r="H4664" s="2">
        <v>50</v>
      </c>
      <c r="I4664" s="2" t="s">
        <v>107</v>
      </c>
      <c r="J4664" s="2">
        <v>368</v>
      </c>
      <c r="K4664" s="2" t="s">
        <v>1042</v>
      </c>
      <c r="L4664" s="2" t="s">
        <v>1043</v>
      </c>
      <c r="M4664" s="3">
        <v>40494</v>
      </c>
      <c r="N4664" s="2" t="s">
        <v>107</v>
      </c>
      <c r="O4664" s="2"/>
      <c r="P4664" s="2"/>
      <c r="Q4664" s="2" t="str">
        <f>"591-E/10"</f>
        <v>591-E/10</v>
      </c>
      <c r="R4664" s="2" t="s">
        <v>302</v>
      </c>
      <c r="S4664" s="2"/>
      <c r="T4664" s="2">
        <v>1</v>
      </c>
      <c r="U4664" s="2" t="s">
        <v>79</v>
      </c>
      <c r="V4664" s="2">
        <v>1</v>
      </c>
      <c r="W4664" s="2" t="s">
        <v>80</v>
      </c>
      <c r="X4664" s="2">
        <v>12</v>
      </c>
      <c r="Y4664" s="2" t="s">
        <v>148</v>
      </c>
      <c r="Z4664" s="2">
        <v>1</v>
      </c>
      <c r="AA4664" s="2" t="s">
        <v>82</v>
      </c>
      <c r="AB4664" s="2">
        <v>9</v>
      </c>
      <c r="AC4664" s="2" t="s">
        <v>124</v>
      </c>
      <c r="AD4664" s="3">
        <v>40493</v>
      </c>
      <c r="AE4664" s="4">
        <v>0.69444444444444453</v>
      </c>
      <c r="AF4664" s="3">
        <v>40493</v>
      </c>
      <c r="AG4664" s="4">
        <v>0.75</v>
      </c>
      <c r="AH4664" s="2">
        <v>2</v>
      </c>
      <c r="AI4664" s="2" t="s">
        <v>84</v>
      </c>
      <c r="AJ4664" s="2">
        <v>9</v>
      </c>
      <c r="AK4664" s="2" t="s">
        <v>103</v>
      </c>
      <c r="AL4664" s="2">
        <v>27</v>
      </c>
      <c r="AM4664" s="2" t="s">
        <v>6225</v>
      </c>
      <c r="AN4664" s="2"/>
      <c r="AO4664" s="2" t="s">
        <v>14453</v>
      </c>
      <c r="AP4664" s="2">
        <v>11</v>
      </c>
      <c r="AQ4664" s="2" t="s">
        <v>82</v>
      </c>
      <c r="AR4664" s="2"/>
      <c r="AS4664" s="2"/>
      <c r="AT4664" s="2" t="s">
        <v>14454</v>
      </c>
      <c r="AU4664" s="2">
        <v>1</v>
      </c>
      <c r="AV4664" s="2"/>
      <c r="AW4664" s="2"/>
      <c r="AX4664" s="2"/>
      <c r="AY4664" s="2">
        <v>41</v>
      </c>
      <c r="AZ4664" s="2" t="s">
        <v>82</v>
      </c>
      <c r="BA4664" s="2">
        <v>41</v>
      </c>
      <c r="BB4664" s="2" t="s">
        <v>82</v>
      </c>
      <c r="BC4664" s="2">
        <v>41</v>
      </c>
      <c r="BD4664" s="2" t="s">
        <v>82</v>
      </c>
      <c r="BE4664" s="2">
        <v>13</v>
      </c>
      <c r="BF4664" s="2" t="s">
        <v>108</v>
      </c>
      <c r="BG4664" s="2" t="s">
        <v>2347</v>
      </c>
      <c r="BH4664" s="2"/>
      <c r="BI4664" s="4">
        <v>0.8125</v>
      </c>
      <c r="BJ4664" s="2">
        <v>13</v>
      </c>
      <c r="BK4664" s="2" t="s">
        <v>91</v>
      </c>
      <c r="BL4664" s="2" t="s">
        <v>360</v>
      </c>
      <c r="BM4664" s="2">
        <v>13</v>
      </c>
      <c r="BN4664" s="2" t="s">
        <v>91</v>
      </c>
      <c r="BO4664" s="2"/>
      <c r="BP4664" s="2">
        <v>13</v>
      </c>
      <c r="BQ4664" s="2" t="s">
        <v>91</v>
      </c>
      <c r="BR4664" s="2" t="s">
        <v>1014</v>
      </c>
      <c r="BS4664" s="3">
        <v>40494</v>
      </c>
      <c r="BT4664" s="4">
        <v>0.79696759259259264</v>
      </c>
    </row>
    <row r="4665" spans="1:72" x14ac:dyDescent="0.25">
      <c r="A4665" s="2">
        <v>7187</v>
      </c>
      <c r="B4665" s="2">
        <v>2010</v>
      </c>
      <c r="C4665" s="2" t="s">
        <v>385</v>
      </c>
      <c r="D4665" s="2" t="s">
        <v>122</v>
      </c>
      <c r="E4665" s="2" t="s">
        <v>14455</v>
      </c>
      <c r="F4665" s="2">
        <v>390</v>
      </c>
      <c r="G4665" s="2" t="s">
        <v>475</v>
      </c>
      <c r="H4665" s="2">
        <v>5</v>
      </c>
      <c r="I4665" s="2" t="s">
        <v>634</v>
      </c>
      <c r="J4665" s="2">
        <v>533</v>
      </c>
      <c r="K4665" s="2" t="s">
        <v>6511</v>
      </c>
      <c r="L4665" s="2" t="s">
        <v>478</v>
      </c>
      <c r="M4665" s="3">
        <v>40494</v>
      </c>
      <c r="N4665" s="2" t="s">
        <v>3103</v>
      </c>
      <c r="O4665" s="2"/>
      <c r="P4665" s="2"/>
      <c r="Q4665" s="2" t="str">
        <f>"590-E/10"</f>
        <v>590-E/10</v>
      </c>
      <c r="R4665" s="2" t="s">
        <v>14410</v>
      </c>
      <c r="S4665" s="2" t="s">
        <v>14410</v>
      </c>
      <c r="T4665" s="2">
        <v>1</v>
      </c>
      <c r="U4665" s="2" t="s">
        <v>79</v>
      </c>
      <c r="V4665" s="2">
        <v>1</v>
      </c>
      <c r="W4665" s="2" t="s">
        <v>80</v>
      </c>
      <c r="X4665" s="2">
        <v>12</v>
      </c>
      <c r="Y4665" s="2" t="s">
        <v>148</v>
      </c>
      <c r="Z4665" s="2">
        <v>6</v>
      </c>
      <c r="AA4665" s="2" t="s">
        <v>101</v>
      </c>
      <c r="AB4665" s="2">
        <v>9</v>
      </c>
      <c r="AC4665" s="2" t="s">
        <v>124</v>
      </c>
      <c r="AD4665" s="3">
        <v>40493</v>
      </c>
      <c r="AE4665" s="4">
        <v>0.70833333333333337</v>
      </c>
      <c r="AF4665" s="3">
        <v>40493</v>
      </c>
      <c r="AG4665" s="4">
        <v>0.77083333333333337</v>
      </c>
      <c r="AH4665" s="2">
        <v>2</v>
      </c>
      <c r="AI4665" s="2" t="s">
        <v>84</v>
      </c>
      <c r="AJ4665" s="2">
        <v>9</v>
      </c>
      <c r="AK4665" s="2" t="s">
        <v>103</v>
      </c>
      <c r="AL4665" s="2">
        <v>14</v>
      </c>
      <c r="AM4665" s="2" t="s">
        <v>216</v>
      </c>
      <c r="AN4665" s="2"/>
      <c r="AO4665" s="2" t="s">
        <v>14456</v>
      </c>
      <c r="AP4665" s="2">
        <v>11</v>
      </c>
      <c r="AQ4665" s="2" t="s">
        <v>82</v>
      </c>
      <c r="AR4665" s="2"/>
      <c r="AS4665" s="2"/>
      <c r="AT4665" s="2" t="s">
        <v>14457</v>
      </c>
      <c r="AU4665" s="2"/>
      <c r="AV4665" s="2">
        <v>1</v>
      </c>
      <c r="AW4665" s="2"/>
      <c r="AX4665" s="2"/>
      <c r="AY4665" s="2">
        <v>42</v>
      </c>
      <c r="AZ4665" s="2" t="s">
        <v>182</v>
      </c>
      <c r="BA4665" s="2">
        <v>115</v>
      </c>
      <c r="BB4665" s="2" t="s">
        <v>101</v>
      </c>
      <c r="BC4665" s="2">
        <v>41</v>
      </c>
      <c r="BD4665" s="2" t="s">
        <v>82</v>
      </c>
      <c r="BE4665" s="2">
        <v>27</v>
      </c>
      <c r="BF4665" s="2" t="s">
        <v>2197</v>
      </c>
      <c r="BG4665" s="2" t="s">
        <v>2198</v>
      </c>
      <c r="BH4665" s="4">
        <v>0.125</v>
      </c>
      <c r="BI4665" s="4">
        <v>0.60416666666666663</v>
      </c>
      <c r="BJ4665" s="2">
        <v>13</v>
      </c>
      <c r="BK4665" s="2" t="s">
        <v>91</v>
      </c>
      <c r="BL4665" s="2" t="s">
        <v>360</v>
      </c>
      <c r="BM4665" s="2">
        <v>112</v>
      </c>
      <c r="BN4665" s="2" t="s">
        <v>110</v>
      </c>
      <c r="BO4665" s="2"/>
      <c r="BP4665" s="2">
        <v>112</v>
      </c>
      <c r="BQ4665" s="2" t="s">
        <v>110</v>
      </c>
      <c r="BR4665" s="2" t="s">
        <v>111</v>
      </c>
      <c r="BS4665" s="3">
        <v>40494</v>
      </c>
      <c r="BT4665" s="4">
        <v>0.81946759259259261</v>
      </c>
    </row>
    <row r="4666" spans="1:72" x14ac:dyDescent="0.25">
      <c r="A4666" s="2">
        <v>7188</v>
      </c>
      <c r="B4666" s="2">
        <v>2010</v>
      </c>
      <c r="C4666" s="2" t="s">
        <v>196</v>
      </c>
      <c r="D4666" s="2" t="s">
        <v>122</v>
      </c>
      <c r="E4666" s="2"/>
      <c r="F4666" s="2">
        <v>1</v>
      </c>
      <c r="G4666" s="2" t="s">
        <v>82</v>
      </c>
      <c r="H4666" s="2">
        <v>1</v>
      </c>
      <c r="I4666" s="2" t="s">
        <v>82</v>
      </c>
      <c r="J4666" s="2">
        <v>1</v>
      </c>
      <c r="K4666" s="2" t="s">
        <v>107</v>
      </c>
      <c r="L4666" s="2" t="s">
        <v>107</v>
      </c>
      <c r="M4666" s="3">
        <v>40495</v>
      </c>
      <c r="N4666" s="2"/>
      <c r="O4666" s="2"/>
      <c r="P4666" s="2"/>
      <c r="Q4666" s="2" t="str">
        <f>""</f>
        <v/>
      </c>
      <c r="R4666" s="2"/>
      <c r="S4666" s="2"/>
      <c r="T4666" s="2">
        <v>2</v>
      </c>
      <c r="U4666" s="2" t="s">
        <v>123</v>
      </c>
      <c r="V4666" s="2">
        <v>1</v>
      </c>
      <c r="W4666" s="2" t="s">
        <v>80</v>
      </c>
      <c r="X4666" s="2">
        <v>11</v>
      </c>
      <c r="Y4666" s="2" t="s">
        <v>1920</v>
      </c>
      <c r="Z4666" s="2">
        <v>10</v>
      </c>
      <c r="AA4666" s="2" t="s">
        <v>236</v>
      </c>
      <c r="AB4666" s="2">
        <v>9</v>
      </c>
      <c r="AC4666" s="2" t="s">
        <v>124</v>
      </c>
      <c r="AD4666" s="3">
        <v>40495</v>
      </c>
      <c r="AE4666" s="4">
        <v>0.21875</v>
      </c>
      <c r="AF4666" s="2"/>
      <c r="AG4666" s="2"/>
      <c r="AH4666" s="2">
        <v>2</v>
      </c>
      <c r="AI4666" s="2" t="s">
        <v>84</v>
      </c>
      <c r="AJ4666" s="2">
        <v>112</v>
      </c>
      <c r="AK4666" s="2" t="s">
        <v>14078</v>
      </c>
      <c r="AL4666" s="2">
        <v>20</v>
      </c>
      <c r="AM4666" s="2" t="s">
        <v>992</v>
      </c>
      <c r="AN4666" s="2"/>
      <c r="AO4666" s="2" t="s">
        <v>14458</v>
      </c>
      <c r="AP4666" s="2">
        <v>11</v>
      </c>
      <c r="AQ4666" s="2" t="s">
        <v>82</v>
      </c>
      <c r="AR4666" s="2"/>
      <c r="AS4666" s="2"/>
      <c r="AT4666" s="2" t="s">
        <v>14459</v>
      </c>
      <c r="AU4666" s="2"/>
      <c r="AV4666" s="2"/>
      <c r="AW4666" s="2"/>
      <c r="AX4666" s="2"/>
      <c r="AY4666" s="2">
        <v>41</v>
      </c>
      <c r="AZ4666" s="2" t="s">
        <v>82</v>
      </c>
      <c r="BA4666" s="2">
        <v>41</v>
      </c>
      <c r="BB4666" s="2" t="s">
        <v>82</v>
      </c>
      <c r="BC4666" s="2">
        <v>41</v>
      </c>
      <c r="BD4666" s="2" t="s">
        <v>82</v>
      </c>
      <c r="BE4666" s="2">
        <v>41</v>
      </c>
      <c r="BF4666" s="2" t="s">
        <v>82</v>
      </c>
      <c r="BG4666" s="2"/>
      <c r="BH4666" s="4">
        <v>0.30555555555555552</v>
      </c>
      <c r="BI4666" s="2"/>
      <c r="BJ4666" s="2">
        <v>58</v>
      </c>
      <c r="BK4666" s="2" t="s">
        <v>14228</v>
      </c>
      <c r="BL4666" s="2"/>
      <c r="BM4666" s="2">
        <v>241</v>
      </c>
      <c r="BN4666" s="2" t="s">
        <v>82</v>
      </c>
      <c r="BO4666" s="2"/>
      <c r="BP4666" s="2">
        <v>13</v>
      </c>
      <c r="BQ4666" s="2" t="s">
        <v>91</v>
      </c>
      <c r="BR4666" s="2" t="s">
        <v>10614</v>
      </c>
      <c r="BS4666" s="3">
        <v>40495</v>
      </c>
      <c r="BT4666" s="4">
        <v>0.3198611111111111</v>
      </c>
    </row>
    <row r="4667" spans="1:72" x14ac:dyDescent="0.25">
      <c r="A4667" s="2">
        <v>7189</v>
      </c>
      <c r="B4667" s="2">
        <v>2010</v>
      </c>
      <c r="C4667" s="2" t="s">
        <v>93</v>
      </c>
      <c r="D4667" s="2" t="s">
        <v>73</v>
      </c>
      <c r="E4667" s="2"/>
      <c r="F4667" s="2">
        <v>133</v>
      </c>
      <c r="G4667" s="2" t="s">
        <v>9383</v>
      </c>
      <c r="H4667" s="2">
        <v>108</v>
      </c>
      <c r="I4667" s="2" t="s">
        <v>1096</v>
      </c>
      <c r="J4667" s="2">
        <v>150</v>
      </c>
      <c r="K4667" s="2" t="s">
        <v>9384</v>
      </c>
      <c r="L4667" s="2" t="s">
        <v>9385</v>
      </c>
      <c r="M4667" s="3">
        <v>40495</v>
      </c>
      <c r="N4667" s="2" t="s">
        <v>14460</v>
      </c>
      <c r="O4667" s="2" t="s">
        <v>14461</v>
      </c>
      <c r="P4667" s="2" t="s">
        <v>14462</v>
      </c>
      <c r="Q4667" s="2" t="str">
        <f>"AP 0053/10"</f>
        <v>AP 0053/10</v>
      </c>
      <c r="R4667" s="2" t="s">
        <v>14463</v>
      </c>
      <c r="S4667" s="2" t="s">
        <v>82</v>
      </c>
      <c r="T4667" s="2">
        <v>1</v>
      </c>
      <c r="U4667" s="2" t="s">
        <v>79</v>
      </c>
      <c r="V4667" s="2">
        <v>1</v>
      </c>
      <c r="W4667" s="2" t="s">
        <v>80</v>
      </c>
      <c r="X4667" s="2">
        <v>1</v>
      </c>
      <c r="Y4667" s="2" t="s">
        <v>81</v>
      </c>
      <c r="Z4667" s="2">
        <v>1</v>
      </c>
      <c r="AA4667" s="2" t="s">
        <v>82</v>
      </c>
      <c r="AB4667" s="2">
        <v>2</v>
      </c>
      <c r="AC4667" s="2" t="s">
        <v>102</v>
      </c>
      <c r="AD4667" s="3">
        <v>40495</v>
      </c>
      <c r="AE4667" s="4">
        <v>0.46527777777777773</v>
      </c>
      <c r="AF4667" s="2"/>
      <c r="AG4667" s="2"/>
      <c r="AH4667" s="2">
        <v>6</v>
      </c>
      <c r="AI4667" s="2" t="s">
        <v>197</v>
      </c>
      <c r="AJ4667" s="2">
        <v>60</v>
      </c>
      <c r="AK4667" s="2" t="s">
        <v>543</v>
      </c>
      <c r="AL4667" s="2">
        <v>11</v>
      </c>
      <c r="AM4667" s="2" t="s">
        <v>137</v>
      </c>
      <c r="AN4667" s="2" t="s">
        <v>2249</v>
      </c>
      <c r="AO4667" s="2" t="s">
        <v>14464</v>
      </c>
      <c r="AP4667" s="2">
        <v>11</v>
      </c>
      <c r="AQ4667" s="2" t="s">
        <v>82</v>
      </c>
      <c r="AR4667" s="2" t="s">
        <v>82</v>
      </c>
      <c r="AS4667" s="2" t="s">
        <v>82</v>
      </c>
      <c r="AT4667" s="2" t="s">
        <v>14465</v>
      </c>
      <c r="AU4667" s="2"/>
      <c r="AV4667" s="2"/>
      <c r="AW4667" s="2"/>
      <c r="AX4667" s="2"/>
      <c r="AY4667" s="2">
        <v>41</v>
      </c>
      <c r="AZ4667" s="2" t="s">
        <v>82</v>
      </c>
      <c r="BA4667" s="2">
        <v>41</v>
      </c>
      <c r="BB4667" s="2" t="s">
        <v>82</v>
      </c>
      <c r="BC4667" s="2">
        <v>41</v>
      </c>
      <c r="BD4667" s="2" t="s">
        <v>82</v>
      </c>
      <c r="BE4667" s="2">
        <v>13</v>
      </c>
      <c r="BF4667" s="2" t="s">
        <v>108</v>
      </c>
      <c r="BG4667" s="2" t="s">
        <v>7206</v>
      </c>
      <c r="BH4667" s="2"/>
      <c r="BI4667" s="4">
        <v>0.50347222222222221</v>
      </c>
      <c r="BJ4667" s="2">
        <v>13</v>
      </c>
      <c r="BK4667" s="2" t="s">
        <v>91</v>
      </c>
      <c r="BL4667" s="2" t="s">
        <v>895</v>
      </c>
      <c r="BM4667" s="2">
        <v>13</v>
      </c>
      <c r="BN4667" s="2" t="s">
        <v>91</v>
      </c>
      <c r="BO4667" s="2"/>
      <c r="BP4667" s="2">
        <v>13</v>
      </c>
      <c r="BQ4667" s="2" t="s">
        <v>91</v>
      </c>
      <c r="BR4667" s="2" t="s">
        <v>112</v>
      </c>
      <c r="BS4667" s="3">
        <v>40495</v>
      </c>
      <c r="BT4667" s="4">
        <v>0.54712962962962963</v>
      </c>
    </row>
    <row r="4668" spans="1:72" x14ac:dyDescent="0.25">
      <c r="A4668" s="2">
        <v>7190</v>
      </c>
      <c r="B4668" s="2">
        <v>2010</v>
      </c>
      <c r="C4668" s="2" t="s">
        <v>72</v>
      </c>
      <c r="D4668" s="2" t="s">
        <v>73</v>
      </c>
      <c r="E4668" s="2"/>
      <c r="F4668" s="2">
        <v>3</v>
      </c>
      <c r="G4668" s="2" t="s">
        <v>1041</v>
      </c>
      <c r="H4668" s="2">
        <v>1</v>
      </c>
      <c r="I4668" s="2" t="s">
        <v>82</v>
      </c>
      <c r="J4668" s="2">
        <v>368</v>
      </c>
      <c r="K4668" s="2" t="s">
        <v>1042</v>
      </c>
      <c r="L4668" s="2" t="s">
        <v>1043</v>
      </c>
      <c r="M4668" s="3">
        <v>40495</v>
      </c>
      <c r="N4668" s="2"/>
      <c r="O4668" s="2"/>
      <c r="P4668" s="2"/>
      <c r="Q4668" s="2" t="str">
        <f>"594-E/10"</f>
        <v>594-E/10</v>
      </c>
      <c r="R4668" s="2" t="s">
        <v>116</v>
      </c>
      <c r="S4668" s="2"/>
      <c r="T4668" s="2">
        <v>1</v>
      </c>
      <c r="U4668" s="2" t="s">
        <v>79</v>
      </c>
      <c r="V4668" s="2">
        <v>1</v>
      </c>
      <c r="W4668" s="2" t="s">
        <v>80</v>
      </c>
      <c r="X4668" s="2">
        <v>12</v>
      </c>
      <c r="Y4668" s="2" t="s">
        <v>148</v>
      </c>
      <c r="Z4668" s="2">
        <v>1</v>
      </c>
      <c r="AA4668" s="2" t="s">
        <v>82</v>
      </c>
      <c r="AB4668" s="2">
        <v>6</v>
      </c>
      <c r="AC4668" s="2" t="s">
        <v>83</v>
      </c>
      <c r="AD4668" s="3">
        <v>40495</v>
      </c>
      <c r="AE4668" s="4">
        <v>0.45833333333333331</v>
      </c>
      <c r="AF4668" s="3">
        <v>40495</v>
      </c>
      <c r="AG4668" s="4">
        <v>0.51041666666666663</v>
      </c>
      <c r="AH4668" s="2">
        <v>2</v>
      </c>
      <c r="AI4668" s="2" t="s">
        <v>84</v>
      </c>
      <c r="AJ4668" s="2">
        <v>9</v>
      </c>
      <c r="AK4668" s="2" t="s">
        <v>103</v>
      </c>
      <c r="AL4668" s="2">
        <v>23</v>
      </c>
      <c r="AM4668" s="2" t="s">
        <v>251</v>
      </c>
      <c r="AN4668" s="2" t="s">
        <v>14466</v>
      </c>
      <c r="AO4668" s="2" t="s">
        <v>170</v>
      </c>
      <c r="AP4668" s="2">
        <v>11</v>
      </c>
      <c r="AQ4668" s="2" t="s">
        <v>82</v>
      </c>
      <c r="AR4668" s="2"/>
      <c r="AS4668" s="2"/>
      <c r="AT4668" s="2" t="s">
        <v>14467</v>
      </c>
      <c r="AU4668" s="2"/>
      <c r="AV4668" s="2"/>
      <c r="AW4668" s="2"/>
      <c r="AX4668" s="2"/>
      <c r="AY4668" s="2">
        <v>41</v>
      </c>
      <c r="AZ4668" s="2" t="s">
        <v>82</v>
      </c>
      <c r="BA4668" s="2">
        <v>41</v>
      </c>
      <c r="BB4668" s="2" t="s">
        <v>82</v>
      </c>
      <c r="BC4668" s="2">
        <v>41</v>
      </c>
      <c r="BD4668" s="2" t="s">
        <v>82</v>
      </c>
      <c r="BE4668" s="2">
        <v>41</v>
      </c>
      <c r="BF4668" s="2" t="s">
        <v>82</v>
      </c>
      <c r="BG4668" s="2"/>
      <c r="BH4668" s="2"/>
      <c r="BI4668" s="2"/>
      <c r="BJ4668" s="2">
        <v>241</v>
      </c>
      <c r="BK4668" s="2" t="s">
        <v>82</v>
      </c>
      <c r="BL4668" s="2"/>
      <c r="BM4668" s="2">
        <v>241</v>
      </c>
      <c r="BN4668" s="2" t="s">
        <v>82</v>
      </c>
      <c r="BO4668" s="2"/>
      <c r="BP4668" s="2">
        <v>241</v>
      </c>
      <c r="BQ4668" s="2" t="s">
        <v>82</v>
      </c>
      <c r="BR4668" s="2"/>
      <c r="BS4668" s="3">
        <v>40495</v>
      </c>
      <c r="BT4668" s="4">
        <v>0.56604166666666667</v>
      </c>
    </row>
    <row r="4669" spans="1:72" x14ac:dyDescent="0.25">
      <c r="A4669" s="2">
        <v>7192</v>
      </c>
      <c r="B4669" s="2">
        <v>2010</v>
      </c>
      <c r="C4669" s="2" t="s">
        <v>171</v>
      </c>
      <c r="D4669" s="2" t="s">
        <v>73</v>
      </c>
      <c r="E4669" s="2"/>
      <c r="F4669" s="2">
        <v>398</v>
      </c>
      <c r="G4669" s="2" t="s">
        <v>94</v>
      </c>
      <c r="H4669" s="2">
        <v>12</v>
      </c>
      <c r="I4669" s="2" t="s">
        <v>95</v>
      </c>
      <c r="J4669" s="2">
        <v>245</v>
      </c>
      <c r="K4669" s="2" t="s">
        <v>96</v>
      </c>
      <c r="L4669" s="2" t="s">
        <v>97</v>
      </c>
      <c r="M4669" s="3">
        <v>40495</v>
      </c>
      <c r="N4669" s="2" t="s">
        <v>451</v>
      </c>
      <c r="O4669" s="2" t="s">
        <v>82</v>
      </c>
      <c r="P4669" s="2" t="s">
        <v>82</v>
      </c>
      <c r="Q4669" s="2" t="str">
        <f>"595-E/10"</f>
        <v>595-E/10</v>
      </c>
      <c r="R4669" s="2" t="s">
        <v>3768</v>
      </c>
      <c r="S4669" s="2" t="s">
        <v>391</v>
      </c>
      <c r="T4669" s="2">
        <v>1</v>
      </c>
      <c r="U4669" s="2" t="s">
        <v>79</v>
      </c>
      <c r="V4669" s="2">
        <v>1</v>
      </c>
      <c r="W4669" s="2" t="s">
        <v>80</v>
      </c>
      <c r="X4669" s="2">
        <v>1</v>
      </c>
      <c r="Y4669" s="2" t="s">
        <v>81</v>
      </c>
      <c r="Z4669" s="2">
        <v>1</v>
      </c>
      <c r="AA4669" s="2" t="s">
        <v>82</v>
      </c>
      <c r="AB4669" s="2">
        <v>1</v>
      </c>
      <c r="AC4669" s="2" t="s">
        <v>178</v>
      </c>
      <c r="AD4669" s="3">
        <v>40495</v>
      </c>
      <c r="AE4669" s="4">
        <v>0.53472222222222221</v>
      </c>
      <c r="AF4669" s="3">
        <v>40495</v>
      </c>
      <c r="AG4669" s="4">
        <v>0.53472222222222221</v>
      </c>
      <c r="AH4669" s="2">
        <v>2</v>
      </c>
      <c r="AI4669" s="2" t="s">
        <v>84</v>
      </c>
      <c r="AJ4669" s="2">
        <v>9</v>
      </c>
      <c r="AK4669" s="2" t="s">
        <v>103</v>
      </c>
      <c r="AL4669" s="2">
        <v>25</v>
      </c>
      <c r="AM4669" s="2" t="s">
        <v>3073</v>
      </c>
      <c r="AN4669" s="2" t="s">
        <v>179</v>
      </c>
      <c r="AO4669" s="2" t="s">
        <v>987</v>
      </c>
      <c r="AP4669" s="2">
        <v>11</v>
      </c>
      <c r="AQ4669" s="2" t="s">
        <v>82</v>
      </c>
      <c r="AR4669" s="2"/>
      <c r="AS4669" s="2"/>
      <c r="AT4669" s="2" t="s">
        <v>14468</v>
      </c>
      <c r="AU4669" s="2"/>
      <c r="AV4669" s="2">
        <v>1</v>
      </c>
      <c r="AW4669" s="2"/>
      <c r="AX4669" s="2"/>
      <c r="AY4669" s="2">
        <v>41</v>
      </c>
      <c r="AZ4669" s="2" t="s">
        <v>82</v>
      </c>
      <c r="BA4669" s="2">
        <v>41</v>
      </c>
      <c r="BB4669" s="2" t="s">
        <v>82</v>
      </c>
      <c r="BC4669" s="2">
        <v>41</v>
      </c>
      <c r="BD4669" s="2" t="s">
        <v>82</v>
      </c>
      <c r="BE4669" s="2">
        <v>23</v>
      </c>
      <c r="BF4669" s="2" t="s">
        <v>183</v>
      </c>
      <c r="BG4669" s="2" t="s">
        <v>5475</v>
      </c>
      <c r="BH4669" s="2"/>
      <c r="BI4669" s="4">
        <v>0.57291666666666663</v>
      </c>
      <c r="BJ4669" s="2">
        <v>13</v>
      </c>
      <c r="BK4669" s="2" t="s">
        <v>91</v>
      </c>
      <c r="BL4669" s="2" t="s">
        <v>360</v>
      </c>
      <c r="BM4669" s="2">
        <v>73</v>
      </c>
      <c r="BN4669" s="2" t="s">
        <v>186</v>
      </c>
      <c r="BO4669" s="2"/>
      <c r="BP4669" s="2">
        <v>73</v>
      </c>
      <c r="BQ4669" s="2" t="s">
        <v>186</v>
      </c>
      <c r="BR4669" s="2" t="s">
        <v>187</v>
      </c>
      <c r="BS4669" s="3">
        <v>40495</v>
      </c>
      <c r="BT4669" s="4">
        <v>0.74686342592592592</v>
      </c>
    </row>
    <row r="4670" spans="1:72" x14ac:dyDescent="0.25">
      <c r="A4670" s="2">
        <v>7194</v>
      </c>
      <c r="B4670" s="2">
        <v>2010</v>
      </c>
      <c r="C4670" s="2" t="s">
        <v>121</v>
      </c>
      <c r="D4670" s="2" t="s">
        <v>122</v>
      </c>
      <c r="E4670" s="2"/>
      <c r="F4670" s="2">
        <v>1</v>
      </c>
      <c r="G4670" s="2" t="s">
        <v>82</v>
      </c>
      <c r="H4670" s="2">
        <v>1</v>
      </c>
      <c r="I4670" s="2" t="s">
        <v>82</v>
      </c>
      <c r="J4670" s="2">
        <v>1</v>
      </c>
      <c r="K4670" s="2" t="s">
        <v>107</v>
      </c>
      <c r="L4670" s="2" t="s">
        <v>107</v>
      </c>
      <c r="M4670" s="3">
        <v>40495</v>
      </c>
      <c r="N4670" s="2"/>
      <c r="O4670" s="2"/>
      <c r="P4670" s="2"/>
      <c r="Q4670" s="2" t="str">
        <f>""</f>
        <v/>
      </c>
      <c r="R4670" s="2"/>
      <c r="S4670" s="2"/>
      <c r="T4670" s="2">
        <v>2</v>
      </c>
      <c r="U4670" s="2" t="s">
        <v>123</v>
      </c>
      <c r="V4670" s="2">
        <v>1</v>
      </c>
      <c r="W4670" s="2" t="s">
        <v>80</v>
      </c>
      <c r="X4670" s="2">
        <v>11</v>
      </c>
      <c r="Y4670" s="2" t="s">
        <v>1920</v>
      </c>
      <c r="Z4670" s="2">
        <v>4</v>
      </c>
      <c r="AA4670" s="2" t="s">
        <v>182</v>
      </c>
      <c r="AB4670" s="2">
        <v>9</v>
      </c>
      <c r="AC4670" s="2" t="s">
        <v>124</v>
      </c>
      <c r="AD4670" s="3">
        <v>40495</v>
      </c>
      <c r="AE4670" s="4">
        <v>0.53125</v>
      </c>
      <c r="AF4670" s="2"/>
      <c r="AG4670" s="2"/>
      <c r="AH4670" s="2">
        <v>5</v>
      </c>
      <c r="AI4670" s="2" t="s">
        <v>274</v>
      </c>
      <c r="AJ4670" s="2">
        <v>45</v>
      </c>
      <c r="AK4670" s="2" t="s">
        <v>834</v>
      </c>
      <c r="AL4670" s="2">
        <v>19</v>
      </c>
      <c r="AM4670" s="2" t="s">
        <v>107</v>
      </c>
      <c r="AN4670" s="2"/>
      <c r="AO4670" s="2"/>
      <c r="AP4670" s="2">
        <v>11</v>
      </c>
      <c r="AQ4670" s="2" t="s">
        <v>82</v>
      </c>
      <c r="AR4670" s="2"/>
      <c r="AS4670" s="2"/>
      <c r="AT4670" s="2" t="s">
        <v>14469</v>
      </c>
      <c r="AU4670" s="2"/>
      <c r="AV4670" s="2"/>
      <c r="AW4670" s="2"/>
      <c r="AX4670" s="2"/>
      <c r="AY4670" s="2">
        <v>41</v>
      </c>
      <c r="AZ4670" s="2" t="s">
        <v>82</v>
      </c>
      <c r="BA4670" s="2">
        <v>41</v>
      </c>
      <c r="BB4670" s="2" t="s">
        <v>82</v>
      </c>
      <c r="BC4670" s="2">
        <v>41</v>
      </c>
      <c r="BD4670" s="2" t="s">
        <v>82</v>
      </c>
      <c r="BE4670" s="2">
        <v>41</v>
      </c>
      <c r="BF4670" s="2" t="s">
        <v>82</v>
      </c>
      <c r="BG4670" s="2"/>
      <c r="BH4670" s="4">
        <v>0.53125</v>
      </c>
      <c r="BI4670" s="4">
        <v>0.61805555555555558</v>
      </c>
      <c r="BJ4670" s="2">
        <v>241</v>
      </c>
      <c r="BK4670" s="2" t="s">
        <v>82</v>
      </c>
      <c r="BL4670" s="2" t="s">
        <v>10614</v>
      </c>
      <c r="BM4670" s="2">
        <v>241</v>
      </c>
      <c r="BN4670" s="2" t="s">
        <v>82</v>
      </c>
      <c r="BO4670" s="2"/>
      <c r="BP4670" s="2">
        <v>241</v>
      </c>
      <c r="BQ4670" s="2" t="s">
        <v>82</v>
      </c>
      <c r="BR4670" s="2" t="s">
        <v>360</v>
      </c>
      <c r="BS4670" s="3">
        <v>40495</v>
      </c>
      <c r="BT4670" s="4">
        <v>0.80314814814814817</v>
      </c>
    </row>
    <row r="4671" spans="1:72" x14ac:dyDescent="0.25">
      <c r="A4671" s="2">
        <v>7200</v>
      </c>
      <c r="B4671" s="2">
        <v>2010</v>
      </c>
      <c r="C4671" s="2" t="s">
        <v>72</v>
      </c>
      <c r="D4671" s="2" t="s">
        <v>73</v>
      </c>
      <c r="E4671" s="2"/>
      <c r="F4671" s="2">
        <v>390</v>
      </c>
      <c r="G4671" s="2" t="s">
        <v>475</v>
      </c>
      <c r="H4671" s="2">
        <v>5</v>
      </c>
      <c r="I4671" s="2" t="s">
        <v>634</v>
      </c>
      <c r="J4671" s="2">
        <v>533</v>
      </c>
      <c r="K4671" s="2" t="s">
        <v>6511</v>
      </c>
      <c r="L4671" s="2" t="s">
        <v>478</v>
      </c>
      <c r="M4671" s="3">
        <v>40495</v>
      </c>
      <c r="N4671" s="2" t="s">
        <v>3103</v>
      </c>
      <c r="O4671" s="2"/>
      <c r="P4671" s="2"/>
      <c r="Q4671" s="2" t="str">
        <f>"596-E/10"</f>
        <v>596-E/10</v>
      </c>
      <c r="R4671" s="2" t="s">
        <v>480</v>
      </c>
      <c r="S4671" s="2"/>
      <c r="T4671" s="2">
        <v>1</v>
      </c>
      <c r="U4671" s="2" t="s">
        <v>79</v>
      </c>
      <c r="V4671" s="2">
        <v>1</v>
      </c>
      <c r="W4671" s="2" t="s">
        <v>80</v>
      </c>
      <c r="X4671" s="2">
        <v>1</v>
      </c>
      <c r="Y4671" s="2" t="s">
        <v>81</v>
      </c>
      <c r="Z4671" s="2">
        <v>10</v>
      </c>
      <c r="AA4671" s="2" t="s">
        <v>236</v>
      </c>
      <c r="AB4671" s="2">
        <v>6</v>
      </c>
      <c r="AC4671" s="2" t="s">
        <v>83</v>
      </c>
      <c r="AD4671" s="3">
        <v>40495</v>
      </c>
      <c r="AE4671" s="4">
        <v>0.59722222222222221</v>
      </c>
      <c r="AF4671" s="3">
        <v>40495</v>
      </c>
      <c r="AG4671" s="4">
        <v>0.63888888888888895</v>
      </c>
      <c r="AH4671" s="2">
        <v>2</v>
      </c>
      <c r="AI4671" s="2" t="s">
        <v>84</v>
      </c>
      <c r="AJ4671" s="2">
        <v>9</v>
      </c>
      <c r="AK4671" s="2" t="s">
        <v>103</v>
      </c>
      <c r="AL4671" s="2">
        <v>15</v>
      </c>
      <c r="AM4671" s="2" t="s">
        <v>104</v>
      </c>
      <c r="AN4671" s="2" t="s">
        <v>4116</v>
      </c>
      <c r="AO4671" s="2"/>
      <c r="AP4671" s="2">
        <v>11</v>
      </c>
      <c r="AQ4671" s="2" t="s">
        <v>82</v>
      </c>
      <c r="AR4671" s="2"/>
      <c r="AS4671" s="2"/>
      <c r="AT4671" s="2" t="s">
        <v>14470</v>
      </c>
      <c r="AU4671" s="2"/>
      <c r="AV4671" s="2"/>
      <c r="AW4671" s="2"/>
      <c r="AX4671" s="2"/>
      <c r="AY4671" s="2">
        <v>41</v>
      </c>
      <c r="AZ4671" s="2" t="s">
        <v>82</v>
      </c>
      <c r="BA4671" s="2">
        <v>41</v>
      </c>
      <c r="BB4671" s="2" t="s">
        <v>82</v>
      </c>
      <c r="BC4671" s="2">
        <v>41</v>
      </c>
      <c r="BD4671" s="2" t="s">
        <v>82</v>
      </c>
      <c r="BE4671" s="2">
        <v>41</v>
      </c>
      <c r="BF4671" s="2" t="s">
        <v>82</v>
      </c>
      <c r="BG4671" s="2"/>
      <c r="BH4671" s="2"/>
      <c r="BI4671" s="2"/>
      <c r="BJ4671" s="2">
        <v>241</v>
      </c>
      <c r="BK4671" s="2" t="s">
        <v>82</v>
      </c>
      <c r="BL4671" s="2"/>
      <c r="BM4671" s="2">
        <v>241</v>
      </c>
      <c r="BN4671" s="2" t="s">
        <v>82</v>
      </c>
      <c r="BO4671" s="2"/>
      <c r="BP4671" s="2">
        <v>241</v>
      </c>
      <c r="BQ4671" s="2" t="s">
        <v>82</v>
      </c>
      <c r="BR4671" s="2"/>
      <c r="BS4671" s="3">
        <v>40495</v>
      </c>
      <c r="BT4671" s="4">
        <v>0.94703703703703701</v>
      </c>
    </row>
    <row r="4672" spans="1:72" x14ac:dyDescent="0.25">
      <c r="A4672" s="2">
        <v>7201</v>
      </c>
      <c r="B4672" s="2">
        <v>2010</v>
      </c>
      <c r="C4672" s="2" t="s">
        <v>171</v>
      </c>
      <c r="D4672" s="2" t="s">
        <v>73</v>
      </c>
      <c r="E4672" s="2"/>
      <c r="F4672" s="2">
        <v>398</v>
      </c>
      <c r="G4672" s="2" t="s">
        <v>94</v>
      </c>
      <c r="H4672" s="2">
        <v>12</v>
      </c>
      <c r="I4672" s="2" t="s">
        <v>95</v>
      </c>
      <c r="J4672" s="2">
        <v>245</v>
      </c>
      <c r="K4672" s="2" t="s">
        <v>96</v>
      </c>
      <c r="L4672" s="2" t="s">
        <v>97</v>
      </c>
      <c r="M4672" s="3">
        <v>40496</v>
      </c>
      <c r="N4672" s="2" t="s">
        <v>446</v>
      </c>
      <c r="O4672" s="2" t="s">
        <v>107</v>
      </c>
      <c r="P4672" s="2" t="s">
        <v>107</v>
      </c>
      <c r="Q4672" s="2" t="str">
        <f>"597-E10"</f>
        <v>597-E10</v>
      </c>
      <c r="R4672" s="2" t="s">
        <v>391</v>
      </c>
      <c r="S4672" s="2" t="s">
        <v>391</v>
      </c>
      <c r="T4672" s="2">
        <v>1</v>
      </c>
      <c r="U4672" s="2" t="s">
        <v>79</v>
      </c>
      <c r="V4672" s="2">
        <v>1</v>
      </c>
      <c r="W4672" s="2" t="s">
        <v>80</v>
      </c>
      <c r="X4672" s="2">
        <v>1</v>
      </c>
      <c r="Y4672" s="2" t="s">
        <v>81</v>
      </c>
      <c r="Z4672" s="2">
        <v>1</v>
      </c>
      <c r="AA4672" s="2" t="s">
        <v>82</v>
      </c>
      <c r="AB4672" s="2">
        <v>1</v>
      </c>
      <c r="AC4672" s="2" t="s">
        <v>178</v>
      </c>
      <c r="AD4672" s="3">
        <v>40495</v>
      </c>
      <c r="AE4672" s="4">
        <v>0.86805555555555547</v>
      </c>
      <c r="AF4672" s="3">
        <v>40495</v>
      </c>
      <c r="AG4672" s="4">
        <v>0.86805555555555547</v>
      </c>
      <c r="AH4672" s="2">
        <v>2</v>
      </c>
      <c r="AI4672" s="2" t="s">
        <v>84</v>
      </c>
      <c r="AJ4672" s="2">
        <v>9</v>
      </c>
      <c r="AK4672" s="2" t="s">
        <v>103</v>
      </c>
      <c r="AL4672" s="2">
        <v>25</v>
      </c>
      <c r="AM4672" s="2" t="s">
        <v>3073</v>
      </c>
      <c r="AN4672" s="2" t="s">
        <v>179</v>
      </c>
      <c r="AO4672" s="2" t="s">
        <v>987</v>
      </c>
      <c r="AP4672" s="2">
        <v>11</v>
      </c>
      <c r="AQ4672" s="2" t="s">
        <v>82</v>
      </c>
      <c r="AR4672" s="2"/>
      <c r="AS4672" s="2"/>
      <c r="AT4672" s="2" t="s">
        <v>14471</v>
      </c>
      <c r="AU4672" s="2"/>
      <c r="AV4672" s="2">
        <v>1</v>
      </c>
      <c r="AW4672" s="2"/>
      <c r="AX4672" s="2"/>
      <c r="AY4672" s="2">
        <v>41</v>
      </c>
      <c r="AZ4672" s="2" t="s">
        <v>82</v>
      </c>
      <c r="BA4672" s="2">
        <v>41</v>
      </c>
      <c r="BB4672" s="2" t="s">
        <v>82</v>
      </c>
      <c r="BC4672" s="2">
        <v>41</v>
      </c>
      <c r="BD4672" s="2" t="s">
        <v>82</v>
      </c>
      <c r="BE4672" s="2">
        <v>31</v>
      </c>
      <c r="BF4672" s="2" t="s">
        <v>398</v>
      </c>
      <c r="BG4672" s="2" t="s">
        <v>722</v>
      </c>
      <c r="BH4672" s="2"/>
      <c r="BI4672" s="4">
        <v>0.94444444444444453</v>
      </c>
      <c r="BJ4672" s="2">
        <v>13</v>
      </c>
      <c r="BK4672" s="2" t="s">
        <v>91</v>
      </c>
      <c r="BL4672" s="2" t="s">
        <v>360</v>
      </c>
      <c r="BM4672" s="2">
        <v>73</v>
      </c>
      <c r="BN4672" s="2" t="s">
        <v>186</v>
      </c>
      <c r="BO4672" s="2"/>
      <c r="BP4672" s="2">
        <v>73</v>
      </c>
      <c r="BQ4672" s="2" t="s">
        <v>186</v>
      </c>
      <c r="BR4672" s="2" t="s">
        <v>14472</v>
      </c>
      <c r="BS4672" s="3">
        <v>40496</v>
      </c>
      <c r="BT4672" s="4">
        <v>0.30341435185185184</v>
      </c>
    </row>
    <row r="4673" spans="1:72" x14ac:dyDescent="0.25">
      <c r="A4673" s="2">
        <v>7202</v>
      </c>
      <c r="B4673" s="2">
        <v>2010</v>
      </c>
      <c r="C4673" s="2" t="s">
        <v>4543</v>
      </c>
      <c r="D4673" s="2" t="s">
        <v>122</v>
      </c>
      <c r="E4673" s="2"/>
      <c r="F4673" s="2">
        <v>146</v>
      </c>
      <c r="G4673" s="2" t="s">
        <v>753</v>
      </c>
      <c r="H4673" s="2">
        <v>30</v>
      </c>
      <c r="I4673" s="2" t="s">
        <v>912</v>
      </c>
      <c r="J4673" s="2">
        <v>161</v>
      </c>
      <c r="K4673" s="2" t="s">
        <v>1900</v>
      </c>
      <c r="L4673" s="2" t="s">
        <v>1901</v>
      </c>
      <c r="M4673" s="3">
        <v>40496</v>
      </c>
      <c r="N4673" s="2" t="s">
        <v>14473</v>
      </c>
      <c r="O4673" s="2" t="s">
        <v>14474</v>
      </c>
      <c r="P4673" s="2">
        <v>2554</v>
      </c>
      <c r="Q4673" s="2" t="str">
        <f>"N/C"</f>
        <v>N/C</v>
      </c>
      <c r="R4673" s="2" t="s">
        <v>82</v>
      </c>
      <c r="S4673" s="2" t="s">
        <v>82</v>
      </c>
      <c r="T4673" s="2">
        <v>2</v>
      </c>
      <c r="U4673" s="2" t="s">
        <v>123</v>
      </c>
      <c r="V4673" s="2">
        <v>1</v>
      </c>
      <c r="W4673" s="2" t="s">
        <v>80</v>
      </c>
      <c r="X4673" s="2">
        <v>4</v>
      </c>
      <c r="Y4673" s="2" t="s">
        <v>463</v>
      </c>
      <c r="Z4673" s="2">
        <v>10</v>
      </c>
      <c r="AA4673" s="2" t="s">
        <v>236</v>
      </c>
      <c r="AB4673" s="2">
        <v>9</v>
      </c>
      <c r="AC4673" s="2" t="s">
        <v>124</v>
      </c>
      <c r="AD4673" s="3">
        <v>40496</v>
      </c>
      <c r="AE4673" s="4">
        <v>0.62152777777777779</v>
      </c>
      <c r="AF4673" s="2"/>
      <c r="AG4673" s="2"/>
      <c r="AH4673" s="2">
        <v>6</v>
      </c>
      <c r="AI4673" s="2" t="s">
        <v>197</v>
      </c>
      <c r="AJ4673" s="2">
        <v>60</v>
      </c>
      <c r="AK4673" s="2" t="s">
        <v>543</v>
      </c>
      <c r="AL4673" s="2">
        <v>19</v>
      </c>
      <c r="AM4673" s="2" t="s">
        <v>107</v>
      </c>
      <c r="AN4673" s="2" t="s">
        <v>82</v>
      </c>
      <c r="AO4673" s="2" t="s">
        <v>10100</v>
      </c>
      <c r="AP4673" s="2">
        <v>11</v>
      </c>
      <c r="AQ4673" s="2" t="s">
        <v>82</v>
      </c>
      <c r="AR4673" s="2"/>
      <c r="AS4673" s="2"/>
      <c r="AT4673" s="2" t="s">
        <v>14475</v>
      </c>
      <c r="AU4673" s="2"/>
      <c r="AV4673" s="2"/>
      <c r="AW4673" s="2"/>
      <c r="AX4673" s="2"/>
      <c r="AY4673" s="2">
        <v>41</v>
      </c>
      <c r="AZ4673" s="2" t="s">
        <v>82</v>
      </c>
      <c r="BA4673" s="2">
        <v>41</v>
      </c>
      <c r="BB4673" s="2" t="s">
        <v>82</v>
      </c>
      <c r="BC4673" s="2">
        <v>41</v>
      </c>
      <c r="BD4673" s="2" t="s">
        <v>82</v>
      </c>
      <c r="BE4673" s="2">
        <v>49</v>
      </c>
      <c r="BF4673" s="2" t="s">
        <v>1254</v>
      </c>
      <c r="BG4673" s="2" t="s">
        <v>14476</v>
      </c>
      <c r="BH4673" s="4">
        <v>0.59027777777777779</v>
      </c>
      <c r="BI4673" s="4">
        <v>0.62708333333333333</v>
      </c>
      <c r="BJ4673" s="2">
        <v>13</v>
      </c>
      <c r="BK4673" s="2" t="s">
        <v>91</v>
      </c>
      <c r="BL4673" s="2" t="s">
        <v>895</v>
      </c>
      <c r="BM4673" s="2">
        <v>13</v>
      </c>
      <c r="BN4673" s="2" t="s">
        <v>91</v>
      </c>
      <c r="BO4673" s="2"/>
      <c r="BP4673" s="2">
        <v>13</v>
      </c>
      <c r="BQ4673" s="2" t="s">
        <v>91</v>
      </c>
      <c r="BR4673" s="2" t="s">
        <v>353</v>
      </c>
      <c r="BS4673" s="3">
        <v>40496</v>
      </c>
      <c r="BT4673" s="4">
        <v>0.63944444444444448</v>
      </c>
    </row>
    <row r="4674" spans="1:72" x14ac:dyDescent="0.25">
      <c r="A4674" s="2">
        <v>7203</v>
      </c>
      <c r="B4674" s="2">
        <v>2010</v>
      </c>
      <c r="C4674" s="2" t="s">
        <v>1094</v>
      </c>
      <c r="D4674" s="2" t="s">
        <v>73</v>
      </c>
      <c r="E4674" s="2"/>
      <c r="F4674" s="2">
        <v>3</v>
      </c>
      <c r="G4674" s="2" t="s">
        <v>1041</v>
      </c>
      <c r="H4674" s="2">
        <v>50</v>
      </c>
      <c r="I4674" s="2" t="s">
        <v>107</v>
      </c>
      <c r="J4674" s="2">
        <v>368</v>
      </c>
      <c r="K4674" s="2" t="s">
        <v>1042</v>
      </c>
      <c r="L4674" s="2" t="s">
        <v>1043</v>
      </c>
      <c r="M4674" s="3">
        <v>40496</v>
      </c>
      <c r="N4674" s="2" t="s">
        <v>107</v>
      </c>
      <c r="O4674" s="2"/>
      <c r="P4674" s="2"/>
      <c r="Q4674" s="2" t="str">
        <f>"598-E/10"</f>
        <v>598-E/10</v>
      </c>
      <c r="R4674" s="2"/>
      <c r="S4674" s="2" t="s">
        <v>1100</v>
      </c>
      <c r="T4674" s="2">
        <v>1</v>
      </c>
      <c r="U4674" s="2" t="s">
        <v>79</v>
      </c>
      <c r="V4674" s="2">
        <v>1</v>
      </c>
      <c r="W4674" s="2" t="s">
        <v>80</v>
      </c>
      <c r="X4674" s="2">
        <v>12</v>
      </c>
      <c r="Y4674" s="2" t="s">
        <v>148</v>
      </c>
      <c r="Z4674" s="2">
        <v>1</v>
      </c>
      <c r="AA4674" s="2" t="s">
        <v>82</v>
      </c>
      <c r="AB4674" s="2">
        <v>9</v>
      </c>
      <c r="AC4674" s="2" t="s">
        <v>124</v>
      </c>
      <c r="AD4674" s="3">
        <v>40496</v>
      </c>
      <c r="AE4674" s="4">
        <v>0.625</v>
      </c>
      <c r="AF4674" s="3">
        <v>40496</v>
      </c>
      <c r="AG4674" s="4">
        <v>0.72916666666666663</v>
      </c>
      <c r="AH4674" s="2">
        <v>2</v>
      </c>
      <c r="AI4674" s="2" t="s">
        <v>84</v>
      </c>
      <c r="AJ4674" s="2">
        <v>9</v>
      </c>
      <c r="AK4674" s="2" t="s">
        <v>103</v>
      </c>
      <c r="AL4674" s="2">
        <v>25</v>
      </c>
      <c r="AM4674" s="2" t="s">
        <v>3073</v>
      </c>
      <c r="AN4674" s="2" t="s">
        <v>14477</v>
      </c>
      <c r="AO4674" s="2" t="s">
        <v>14478</v>
      </c>
      <c r="AP4674" s="2">
        <v>11</v>
      </c>
      <c r="AQ4674" s="2" t="s">
        <v>82</v>
      </c>
      <c r="AR4674" s="2"/>
      <c r="AS4674" s="2"/>
      <c r="AT4674" s="2" t="s">
        <v>14479</v>
      </c>
      <c r="AU4674" s="2"/>
      <c r="AV4674" s="2"/>
      <c r="AW4674" s="2"/>
      <c r="AX4674" s="2"/>
      <c r="AY4674" s="2">
        <v>41</v>
      </c>
      <c r="AZ4674" s="2" t="s">
        <v>82</v>
      </c>
      <c r="BA4674" s="2">
        <v>41</v>
      </c>
      <c r="BB4674" s="2" t="s">
        <v>82</v>
      </c>
      <c r="BC4674" s="2">
        <v>41</v>
      </c>
      <c r="BD4674" s="2" t="s">
        <v>82</v>
      </c>
      <c r="BE4674" s="2">
        <v>41</v>
      </c>
      <c r="BF4674" s="2" t="s">
        <v>82</v>
      </c>
      <c r="BG4674" s="2"/>
      <c r="BH4674" s="2"/>
      <c r="BI4674" s="2"/>
      <c r="BJ4674" s="2">
        <v>241</v>
      </c>
      <c r="BK4674" s="2" t="s">
        <v>82</v>
      </c>
      <c r="BL4674" s="2"/>
      <c r="BM4674" s="2">
        <v>241</v>
      </c>
      <c r="BN4674" s="2" t="s">
        <v>82</v>
      </c>
      <c r="BO4674" s="2"/>
      <c r="BP4674" s="2">
        <v>241</v>
      </c>
      <c r="BQ4674" s="2" t="s">
        <v>82</v>
      </c>
      <c r="BR4674" s="2"/>
      <c r="BS4674" s="3">
        <v>40496</v>
      </c>
      <c r="BT4674" s="4">
        <v>0.82243055555555555</v>
      </c>
    </row>
    <row r="4675" spans="1:72" x14ac:dyDescent="0.25">
      <c r="A4675" s="2">
        <v>7204</v>
      </c>
      <c r="B4675" s="2">
        <v>2010</v>
      </c>
      <c r="C4675" s="2" t="s">
        <v>1094</v>
      </c>
      <c r="D4675" s="2" t="s">
        <v>73</v>
      </c>
      <c r="E4675" s="2"/>
      <c r="F4675" s="2">
        <v>3</v>
      </c>
      <c r="G4675" s="2" t="s">
        <v>1041</v>
      </c>
      <c r="H4675" s="2">
        <v>1</v>
      </c>
      <c r="I4675" s="2" t="s">
        <v>82</v>
      </c>
      <c r="J4675" s="2">
        <v>368</v>
      </c>
      <c r="K4675" s="2" t="s">
        <v>1042</v>
      </c>
      <c r="L4675" s="2" t="s">
        <v>1043</v>
      </c>
      <c r="M4675" s="3">
        <v>40497</v>
      </c>
      <c r="N4675" s="2"/>
      <c r="O4675" s="2" t="s">
        <v>14480</v>
      </c>
      <c r="P4675" s="2"/>
      <c r="Q4675" s="2" t="str">
        <f>"599-E/10"</f>
        <v>599-E/10</v>
      </c>
      <c r="R4675" s="2"/>
      <c r="S4675" s="2"/>
      <c r="T4675" s="2">
        <v>1</v>
      </c>
      <c r="U4675" s="2" t="s">
        <v>79</v>
      </c>
      <c r="V4675" s="2">
        <v>1</v>
      </c>
      <c r="W4675" s="2" t="s">
        <v>80</v>
      </c>
      <c r="X4675" s="2">
        <v>12</v>
      </c>
      <c r="Y4675" s="2" t="s">
        <v>148</v>
      </c>
      <c r="Z4675" s="2">
        <v>1</v>
      </c>
      <c r="AA4675" s="2" t="s">
        <v>82</v>
      </c>
      <c r="AB4675" s="2">
        <v>9</v>
      </c>
      <c r="AC4675" s="2" t="s">
        <v>124</v>
      </c>
      <c r="AD4675" s="3">
        <v>40496</v>
      </c>
      <c r="AE4675" s="2"/>
      <c r="AF4675" s="3">
        <v>40496</v>
      </c>
      <c r="AG4675" s="4">
        <v>0.91666666666666663</v>
      </c>
      <c r="AH4675" s="2">
        <v>2</v>
      </c>
      <c r="AI4675" s="2" t="s">
        <v>84</v>
      </c>
      <c r="AJ4675" s="2">
        <v>9</v>
      </c>
      <c r="AK4675" s="2" t="s">
        <v>103</v>
      </c>
      <c r="AL4675" s="2">
        <v>29</v>
      </c>
      <c r="AM4675" s="2" t="s">
        <v>5416</v>
      </c>
      <c r="AN4675" s="2" t="s">
        <v>14481</v>
      </c>
      <c r="AO4675" s="2"/>
      <c r="AP4675" s="2">
        <v>11</v>
      </c>
      <c r="AQ4675" s="2" t="s">
        <v>82</v>
      </c>
      <c r="AR4675" s="2"/>
      <c r="AS4675" s="2"/>
      <c r="AT4675" s="2" t="s">
        <v>14482</v>
      </c>
      <c r="AU4675" s="2"/>
      <c r="AV4675" s="2"/>
      <c r="AW4675" s="2"/>
      <c r="AX4675" s="2"/>
      <c r="AY4675" s="2">
        <v>41</v>
      </c>
      <c r="AZ4675" s="2" t="s">
        <v>82</v>
      </c>
      <c r="BA4675" s="2">
        <v>41</v>
      </c>
      <c r="BB4675" s="2" t="s">
        <v>82</v>
      </c>
      <c r="BC4675" s="2">
        <v>41</v>
      </c>
      <c r="BD4675" s="2" t="s">
        <v>82</v>
      </c>
      <c r="BE4675" s="2">
        <v>41</v>
      </c>
      <c r="BF4675" s="2" t="s">
        <v>82</v>
      </c>
      <c r="BG4675" s="2"/>
      <c r="BH4675" s="2"/>
      <c r="BI4675" s="2"/>
      <c r="BJ4675" s="2">
        <v>241</v>
      </c>
      <c r="BK4675" s="2" t="s">
        <v>82</v>
      </c>
      <c r="BL4675" s="2"/>
      <c r="BM4675" s="2">
        <v>241</v>
      </c>
      <c r="BN4675" s="2" t="s">
        <v>82</v>
      </c>
      <c r="BO4675" s="2"/>
      <c r="BP4675" s="2">
        <v>241</v>
      </c>
      <c r="BQ4675" s="2" t="s">
        <v>82</v>
      </c>
      <c r="BR4675" s="2"/>
      <c r="BS4675" s="3">
        <v>40497</v>
      </c>
      <c r="BT4675" s="4">
        <v>1.9675925925925926E-4</v>
      </c>
    </row>
    <row r="4676" spans="1:72" x14ac:dyDescent="0.25">
      <c r="A4676" s="2">
        <v>7205</v>
      </c>
      <c r="B4676" s="2">
        <v>2010</v>
      </c>
      <c r="C4676" s="2" t="s">
        <v>171</v>
      </c>
      <c r="D4676" s="2" t="s">
        <v>122</v>
      </c>
      <c r="E4676" s="2" t="s">
        <v>14483</v>
      </c>
      <c r="F4676" s="2">
        <v>398</v>
      </c>
      <c r="G4676" s="2" t="s">
        <v>94</v>
      </c>
      <c r="H4676" s="2">
        <v>12</v>
      </c>
      <c r="I4676" s="2" t="s">
        <v>95</v>
      </c>
      <c r="J4676" s="2">
        <v>245</v>
      </c>
      <c r="K4676" s="2" t="s">
        <v>96</v>
      </c>
      <c r="L4676" s="2" t="s">
        <v>97</v>
      </c>
      <c r="M4676" s="3">
        <v>40497</v>
      </c>
      <c r="N4676" s="2" t="s">
        <v>451</v>
      </c>
      <c r="O4676" s="2" t="s">
        <v>82</v>
      </c>
      <c r="P4676" s="2" t="s">
        <v>82</v>
      </c>
      <c r="Q4676" s="2" t="str">
        <f>"595-E/10"</f>
        <v>595-E/10</v>
      </c>
      <c r="R4676" s="2" t="s">
        <v>391</v>
      </c>
      <c r="S4676" s="2" t="s">
        <v>3768</v>
      </c>
      <c r="T4676" s="2">
        <v>1</v>
      </c>
      <c r="U4676" s="2" t="s">
        <v>79</v>
      </c>
      <c r="V4676" s="2">
        <v>1</v>
      </c>
      <c r="W4676" s="2" t="s">
        <v>80</v>
      </c>
      <c r="X4676" s="2">
        <v>1</v>
      </c>
      <c r="Y4676" s="2" t="s">
        <v>81</v>
      </c>
      <c r="Z4676" s="2">
        <v>1</v>
      </c>
      <c r="AA4676" s="2" t="s">
        <v>82</v>
      </c>
      <c r="AB4676" s="2">
        <v>1</v>
      </c>
      <c r="AC4676" s="2" t="s">
        <v>178</v>
      </c>
      <c r="AD4676" s="3">
        <v>40496</v>
      </c>
      <c r="AE4676" s="4">
        <v>0.3125</v>
      </c>
      <c r="AF4676" s="3">
        <v>40495</v>
      </c>
      <c r="AG4676" s="4">
        <v>0.52083333333333337</v>
      </c>
      <c r="AH4676" s="2">
        <v>2</v>
      </c>
      <c r="AI4676" s="2" t="s">
        <v>84</v>
      </c>
      <c r="AJ4676" s="2">
        <v>9</v>
      </c>
      <c r="AK4676" s="2" t="s">
        <v>103</v>
      </c>
      <c r="AL4676" s="2">
        <v>14</v>
      </c>
      <c r="AM4676" s="2" t="s">
        <v>216</v>
      </c>
      <c r="AN4676" s="2"/>
      <c r="AO4676" s="2" t="s">
        <v>179</v>
      </c>
      <c r="AP4676" s="2">
        <v>11</v>
      </c>
      <c r="AQ4676" s="2" t="s">
        <v>82</v>
      </c>
      <c r="AR4676" s="2"/>
      <c r="AS4676" s="2"/>
      <c r="AT4676" s="2" t="s">
        <v>14484</v>
      </c>
      <c r="AU4676" s="2"/>
      <c r="AV4676" s="2">
        <v>1</v>
      </c>
      <c r="AW4676" s="2"/>
      <c r="AX4676" s="2"/>
      <c r="AY4676" s="2">
        <v>41</v>
      </c>
      <c r="AZ4676" s="2" t="s">
        <v>82</v>
      </c>
      <c r="BA4676" s="2">
        <v>41</v>
      </c>
      <c r="BB4676" s="2" t="s">
        <v>82</v>
      </c>
      <c r="BC4676" s="2">
        <v>41</v>
      </c>
      <c r="BD4676" s="2" t="s">
        <v>82</v>
      </c>
      <c r="BE4676" s="2">
        <v>23</v>
      </c>
      <c r="BF4676" s="2" t="s">
        <v>183</v>
      </c>
      <c r="BG4676" s="2" t="s">
        <v>5475</v>
      </c>
      <c r="BH4676" s="2"/>
      <c r="BI4676" s="4">
        <v>0.57291666666666663</v>
      </c>
      <c r="BJ4676" s="2">
        <v>13</v>
      </c>
      <c r="BK4676" s="2" t="s">
        <v>91</v>
      </c>
      <c r="BL4676" s="2" t="s">
        <v>185</v>
      </c>
      <c r="BM4676" s="2">
        <v>73</v>
      </c>
      <c r="BN4676" s="2" t="s">
        <v>186</v>
      </c>
      <c r="BO4676" s="2"/>
      <c r="BP4676" s="2">
        <v>73</v>
      </c>
      <c r="BQ4676" s="2" t="s">
        <v>186</v>
      </c>
      <c r="BR4676" s="2" t="s">
        <v>187</v>
      </c>
      <c r="BS4676" s="3">
        <v>40497</v>
      </c>
      <c r="BT4676" s="4">
        <v>0.29608796296296297</v>
      </c>
    </row>
    <row r="4677" spans="1:72" x14ac:dyDescent="0.25">
      <c r="A4677" s="2">
        <v>7205</v>
      </c>
      <c r="B4677" s="2">
        <v>2010</v>
      </c>
      <c r="C4677" s="2" t="s">
        <v>385</v>
      </c>
      <c r="D4677" s="2" t="s">
        <v>122</v>
      </c>
      <c r="E4677" s="2" t="s">
        <v>14483</v>
      </c>
      <c r="F4677" s="2">
        <v>398</v>
      </c>
      <c r="G4677" s="2" t="s">
        <v>94</v>
      </c>
      <c r="H4677" s="2">
        <v>12</v>
      </c>
      <c r="I4677" s="2" t="s">
        <v>95</v>
      </c>
      <c r="J4677" s="2">
        <v>245</v>
      </c>
      <c r="K4677" s="2" t="s">
        <v>96</v>
      </c>
      <c r="L4677" s="2" t="s">
        <v>97</v>
      </c>
      <c r="M4677" s="3">
        <v>40497</v>
      </c>
      <c r="N4677" s="2" t="s">
        <v>451</v>
      </c>
      <c r="O4677" s="2" t="s">
        <v>82</v>
      </c>
      <c r="P4677" s="2" t="s">
        <v>82</v>
      </c>
      <c r="Q4677" s="2" t="str">
        <f>"595-E/10"</f>
        <v>595-E/10</v>
      </c>
      <c r="R4677" s="2" t="s">
        <v>391</v>
      </c>
      <c r="S4677" s="2" t="s">
        <v>3768</v>
      </c>
      <c r="T4677" s="2">
        <v>1</v>
      </c>
      <c r="U4677" s="2" t="s">
        <v>79</v>
      </c>
      <c r="V4677" s="2">
        <v>1</v>
      </c>
      <c r="W4677" s="2" t="s">
        <v>80</v>
      </c>
      <c r="X4677" s="2">
        <v>1</v>
      </c>
      <c r="Y4677" s="2" t="s">
        <v>81</v>
      </c>
      <c r="Z4677" s="2">
        <v>1</v>
      </c>
      <c r="AA4677" s="2" t="s">
        <v>82</v>
      </c>
      <c r="AB4677" s="2">
        <v>9</v>
      </c>
      <c r="AC4677" s="2" t="s">
        <v>124</v>
      </c>
      <c r="AD4677" s="3">
        <v>40496</v>
      </c>
      <c r="AE4677" s="4">
        <v>0.3125</v>
      </c>
      <c r="AF4677" s="3">
        <v>40495</v>
      </c>
      <c r="AG4677" s="4">
        <v>0.52083333333333337</v>
      </c>
      <c r="AH4677" s="2">
        <v>2</v>
      </c>
      <c r="AI4677" s="2" t="s">
        <v>84</v>
      </c>
      <c r="AJ4677" s="2">
        <v>9</v>
      </c>
      <c r="AK4677" s="2" t="s">
        <v>103</v>
      </c>
      <c r="AL4677" s="2">
        <v>14</v>
      </c>
      <c r="AM4677" s="2" t="s">
        <v>216</v>
      </c>
      <c r="AN4677" s="2"/>
      <c r="AO4677" s="2" t="s">
        <v>179</v>
      </c>
      <c r="AP4677" s="2">
        <v>11</v>
      </c>
      <c r="AQ4677" s="2" t="s">
        <v>82</v>
      </c>
      <c r="AR4677" s="2"/>
      <c r="AS4677" s="2"/>
      <c r="AT4677" s="2" t="s">
        <v>14484</v>
      </c>
      <c r="AU4677" s="2"/>
      <c r="AV4677" s="2">
        <v>1</v>
      </c>
      <c r="AW4677" s="2"/>
      <c r="AX4677" s="2"/>
      <c r="AY4677" s="2">
        <v>41</v>
      </c>
      <c r="AZ4677" s="2" t="s">
        <v>82</v>
      </c>
      <c r="BA4677" s="2">
        <v>41</v>
      </c>
      <c r="BB4677" s="2" t="s">
        <v>82</v>
      </c>
      <c r="BC4677" s="2">
        <v>41</v>
      </c>
      <c r="BD4677" s="2" t="s">
        <v>82</v>
      </c>
      <c r="BE4677" s="2">
        <v>23</v>
      </c>
      <c r="BF4677" s="2" t="s">
        <v>183</v>
      </c>
      <c r="BG4677" s="2" t="s">
        <v>5475</v>
      </c>
      <c r="BH4677" s="2"/>
      <c r="BI4677" s="4">
        <v>0.57291666666666663</v>
      </c>
      <c r="BJ4677" s="2">
        <v>13</v>
      </c>
      <c r="BK4677" s="2" t="s">
        <v>91</v>
      </c>
      <c r="BL4677" s="2" t="s">
        <v>185</v>
      </c>
      <c r="BM4677" s="2">
        <v>73</v>
      </c>
      <c r="BN4677" s="2" t="s">
        <v>186</v>
      </c>
      <c r="BO4677" s="2"/>
      <c r="BP4677" s="2">
        <v>73</v>
      </c>
      <c r="BQ4677" s="2" t="s">
        <v>186</v>
      </c>
      <c r="BR4677" s="2" t="s">
        <v>187</v>
      </c>
      <c r="BS4677" s="3">
        <v>40497</v>
      </c>
      <c r="BT4677" s="4">
        <v>0.29608796296296297</v>
      </c>
    </row>
    <row r="4678" spans="1:72" x14ac:dyDescent="0.25">
      <c r="A4678" s="2">
        <v>7206</v>
      </c>
      <c r="B4678" s="2">
        <v>2010</v>
      </c>
      <c r="C4678" s="2" t="s">
        <v>385</v>
      </c>
      <c r="D4678" s="2" t="s">
        <v>122</v>
      </c>
      <c r="E4678" s="2" t="s">
        <v>14485</v>
      </c>
      <c r="F4678" s="2">
        <v>398</v>
      </c>
      <c r="G4678" s="2" t="s">
        <v>94</v>
      </c>
      <c r="H4678" s="2">
        <v>12</v>
      </c>
      <c r="I4678" s="2" t="s">
        <v>95</v>
      </c>
      <c r="J4678" s="2">
        <v>245</v>
      </c>
      <c r="K4678" s="2" t="s">
        <v>96</v>
      </c>
      <c r="L4678" s="2" t="s">
        <v>97</v>
      </c>
      <c r="M4678" s="3">
        <v>40497</v>
      </c>
      <c r="N4678" s="2" t="s">
        <v>446</v>
      </c>
      <c r="O4678" s="2" t="s">
        <v>107</v>
      </c>
      <c r="P4678" s="2" t="s">
        <v>107</v>
      </c>
      <c r="Q4678" s="2" t="str">
        <f>"597-E10"</f>
        <v>597-E10</v>
      </c>
      <c r="R4678" s="2" t="s">
        <v>391</v>
      </c>
      <c r="S4678" s="2" t="s">
        <v>391</v>
      </c>
      <c r="T4678" s="2">
        <v>1</v>
      </c>
      <c r="U4678" s="2" t="s">
        <v>79</v>
      </c>
      <c r="V4678" s="2">
        <v>1</v>
      </c>
      <c r="W4678" s="2" t="s">
        <v>80</v>
      </c>
      <c r="X4678" s="2">
        <v>1</v>
      </c>
      <c r="Y4678" s="2" t="s">
        <v>81</v>
      </c>
      <c r="Z4678" s="2">
        <v>1</v>
      </c>
      <c r="AA4678" s="2" t="s">
        <v>82</v>
      </c>
      <c r="AB4678" s="2">
        <v>9</v>
      </c>
      <c r="AC4678" s="2" t="s">
        <v>124</v>
      </c>
      <c r="AD4678" s="3">
        <v>40497</v>
      </c>
      <c r="AE4678" s="4">
        <v>0.3125</v>
      </c>
      <c r="AF4678" s="3">
        <v>40495</v>
      </c>
      <c r="AG4678" s="2"/>
      <c r="AH4678" s="2">
        <v>2</v>
      </c>
      <c r="AI4678" s="2" t="s">
        <v>84</v>
      </c>
      <c r="AJ4678" s="2">
        <v>9</v>
      </c>
      <c r="AK4678" s="2" t="s">
        <v>103</v>
      </c>
      <c r="AL4678" s="2">
        <v>14</v>
      </c>
      <c r="AM4678" s="2" t="s">
        <v>216</v>
      </c>
      <c r="AN4678" s="2" t="s">
        <v>179</v>
      </c>
      <c r="AO4678" s="2" t="s">
        <v>82</v>
      </c>
      <c r="AP4678" s="2">
        <v>11</v>
      </c>
      <c r="AQ4678" s="2" t="s">
        <v>82</v>
      </c>
      <c r="AR4678" s="2"/>
      <c r="AS4678" s="2"/>
      <c r="AT4678" s="2" t="s">
        <v>14486</v>
      </c>
      <c r="AU4678" s="2"/>
      <c r="AV4678" s="2">
        <v>1</v>
      </c>
      <c r="AW4678" s="2"/>
      <c r="AX4678" s="2"/>
      <c r="AY4678" s="2">
        <v>41</v>
      </c>
      <c r="AZ4678" s="2" t="s">
        <v>82</v>
      </c>
      <c r="BA4678" s="2">
        <v>41</v>
      </c>
      <c r="BB4678" s="2" t="s">
        <v>82</v>
      </c>
      <c r="BC4678" s="2">
        <v>41</v>
      </c>
      <c r="BD4678" s="2" t="s">
        <v>82</v>
      </c>
      <c r="BE4678" s="2">
        <v>31</v>
      </c>
      <c r="BF4678" s="2" t="s">
        <v>398</v>
      </c>
      <c r="BG4678" s="2" t="s">
        <v>722</v>
      </c>
      <c r="BH4678" s="2"/>
      <c r="BI4678" s="4">
        <v>0.94444444444444453</v>
      </c>
      <c r="BJ4678" s="2">
        <v>13</v>
      </c>
      <c r="BK4678" s="2" t="s">
        <v>91</v>
      </c>
      <c r="BL4678" s="2" t="s">
        <v>185</v>
      </c>
      <c r="BM4678" s="2">
        <v>73</v>
      </c>
      <c r="BN4678" s="2" t="s">
        <v>186</v>
      </c>
      <c r="BO4678" s="2"/>
      <c r="BP4678" s="2">
        <v>73</v>
      </c>
      <c r="BQ4678" s="2" t="s">
        <v>186</v>
      </c>
      <c r="BR4678" s="2" t="s">
        <v>14472</v>
      </c>
      <c r="BS4678" s="3">
        <v>40497</v>
      </c>
      <c r="BT4678" s="4">
        <v>0.2981712962962963</v>
      </c>
    </row>
    <row r="4679" spans="1:72" x14ac:dyDescent="0.25">
      <c r="A4679" s="2">
        <v>7211</v>
      </c>
      <c r="B4679" s="2">
        <v>2010</v>
      </c>
      <c r="C4679" s="2" t="s">
        <v>171</v>
      </c>
      <c r="D4679" s="2" t="s">
        <v>122</v>
      </c>
      <c r="E4679" s="2" t="s">
        <v>14306</v>
      </c>
      <c r="F4679" s="2">
        <v>400</v>
      </c>
      <c r="G4679" s="2" t="s">
        <v>3601</v>
      </c>
      <c r="H4679" s="2">
        <v>17</v>
      </c>
      <c r="I4679" s="2" t="s">
        <v>3602</v>
      </c>
      <c r="J4679" s="2">
        <v>316</v>
      </c>
      <c r="K4679" s="2" t="s">
        <v>574</v>
      </c>
      <c r="L4679" s="2" t="s">
        <v>575</v>
      </c>
      <c r="M4679" s="3">
        <v>40497</v>
      </c>
      <c r="N4679" s="2" t="s">
        <v>3826</v>
      </c>
      <c r="O4679" s="2" t="s">
        <v>14184</v>
      </c>
      <c r="P4679" s="2">
        <v>1386</v>
      </c>
      <c r="Q4679" s="2" t="str">
        <f>"09R/10"</f>
        <v>09R/10</v>
      </c>
      <c r="R4679" s="2"/>
      <c r="S4679" s="2" t="s">
        <v>6092</v>
      </c>
      <c r="T4679" s="2">
        <v>1</v>
      </c>
      <c r="U4679" s="2" t="s">
        <v>79</v>
      </c>
      <c r="V4679" s="2">
        <v>1</v>
      </c>
      <c r="W4679" s="2" t="s">
        <v>80</v>
      </c>
      <c r="X4679" s="2">
        <v>2</v>
      </c>
      <c r="Y4679" s="2" t="s">
        <v>136</v>
      </c>
      <c r="Z4679" s="2">
        <v>10</v>
      </c>
      <c r="AA4679" s="2" t="s">
        <v>236</v>
      </c>
      <c r="AB4679" s="2">
        <v>1</v>
      </c>
      <c r="AC4679" s="2" t="s">
        <v>178</v>
      </c>
      <c r="AD4679" s="3">
        <v>40496</v>
      </c>
      <c r="AE4679" s="4">
        <v>0.83333333333333337</v>
      </c>
      <c r="AF4679" s="2"/>
      <c r="AG4679" s="2"/>
      <c r="AH4679" s="2">
        <v>2</v>
      </c>
      <c r="AI4679" s="2" t="s">
        <v>84</v>
      </c>
      <c r="AJ4679" s="2">
        <v>6</v>
      </c>
      <c r="AK4679" s="2" t="s">
        <v>453</v>
      </c>
      <c r="AL4679" s="2">
        <v>23</v>
      </c>
      <c r="AM4679" s="2" t="s">
        <v>251</v>
      </c>
      <c r="AN4679" s="2" t="s">
        <v>14337</v>
      </c>
      <c r="AO4679" s="2" t="s">
        <v>9894</v>
      </c>
      <c r="AP4679" s="2">
        <v>11</v>
      </c>
      <c r="AQ4679" s="2" t="s">
        <v>82</v>
      </c>
      <c r="AR4679" s="2"/>
      <c r="AS4679" s="2"/>
      <c r="AT4679" s="2" t="s">
        <v>14487</v>
      </c>
      <c r="AU4679" s="2"/>
      <c r="AV4679" s="2">
        <v>1</v>
      </c>
      <c r="AW4679" s="2"/>
      <c r="AX4679" s="2"/>
      <c r="AY4679" s="2">
        <v>42</v>
      </c>
      <c r="AZ4679" s="2" t="s">
        <v>182</v>
      </c>
      <c r="BA4679" s="2">
        <v>70</v>
      </c>
      <c r="BB4679" s="2" t="s">
        <v>236</v>
      </c>
      <c r="BC4679" s="2">
        <v>70</v>
      </c>
      <c r="BD4679" s="2" t="s">
        <v>236</v>
      </c>
      <c r="BE4679" s="2">
        <v>31</v>
      </c>
      <c r="BF4679" s="2" t="s">
        <v>398</v>
      </c>
      <c r="BG4679" s="2" t="s">
        <v>7251</v>
      </c>
      <c r="BH4679" s="2"/>
      <c r="BI4679" s="2"/>
      <c r="BJ4679" s="2">
        <v>13</v>
      </c>
      <c r="BK4679" s="2" t="s">
        <v>91</v>
      </c>
      <c r="BL4679" s="2" t="s">
        <v>360</v>
      </c>
      <c r="BM4679" s="2">
        <v>73</v>
      </c>
      <c r="BN4679" s="2" t="s">
        <v>186</v>
      </c>
      <c r="BO4679" s="2"/>
      <c r="BP4679" s="2">
        <v>73</v>
      </c>
      <c r="BQ4679" s="2" t="s">
        <v>186</v>
      </c>
      <c r="BR4679" s="2" t="s">
        <v>187</v>
      </c>
      <c r="BS4679" s="3">
        <v>40497</v>
      </c>
      <c r="BT4679" s="4">
        <v>0.39620370370370367</v>
      </c>
    </row>
    <row r="4680" spans="1:72" x14ac:dyDescent="0.25">
      <c r="A4680" s="2">
        <v>7214</v>
      </c>
      <c r="B4680" s="2">
        <v>2010</v>
      </c>
      <c r="C4680" s="2" t="s">
        <v>4543</v>
      </c>
      <c r="D4680" s="2" t="s">
        <v>122</v>
      </c>
      <c r="E4680" s="2"/>
      <c r="F4680" s="2">
        <v>146</v>
      </c>
      <c r="G4680" s="2" t="s">
        <v>753</v>
      </c>
      <c r="H4680" s="2">
        <v>39</v>
      </c>
      <c r="I4680" s="2" t="s">
        <v>1117</v>
      </c>
      <c r="J4680" s="2">
        <v>161</v>
      </c>
      <c r="K4680" s="2" t="s">
        <v>1900</v>
      </c>
      <c r="L4680" s="2" t="s">
        <v>1901</v>
      </c>
      <c r="M4680" s="3">
        <v>40497</v>
      </c>
      <c r="N4680" s="2" t="s">
        <v>13139</v>
      </c>
      <c r="O4680" s="2" t="s">
        <v>14488</v>
      </c>
      <c r="P4680" s="2" t="s">
        <v>1913</v>
      </c>
      <c r="Q4680" s="2" t="str">
        <f>"S/D"</f>
        <v>S/D</v>
      </c>
      <c r="R4680" s="2" t="s">
        <v>107</v>
      </c>
      <c r="S4680" s="2" t="s">
        <v>107</v>
      </c>
      <c r="T4680" s="2">
        <v>2</v>
      </c>
      <c r="U4680" s="2" t="s">
        <v>123</v>
      </c>
      <c r="V4680" s="2">
        <v>1</v>
      </c>
      <c r="W4680" s="2" t="s">
        <v>80</v>
      </c>
      <c r="X4680" s="2">
        <v>5</v>
      </c>
      <c r="Y4680" s="2" t="s">
        <v>82</v>
      </c>
      <c r="Z4680" s="2">
        <v>1</v>
      </c>
      <c r="AA4680" s="2" t="s">
        <v>82</v>
      </c>
      <c r="AB4680" s="2">
        <v>9</v>
      </c>
      <c r="AC4680" s="2" t="s">
        <v>124</v>
      </c>
      <c r="AD4680" s="3">
        <v>40497</v>
      </c>
      <c r="AE4680" s="4">
        <v>0.41666666666666669</v>
      </c>
      <c r="AF4680" s="2"/>
      <c r="AG4680" s="2"/>
      <c r="AH4680" s="2">
        <v>6</v>
      </c>
      <c r="AI4680" s="2" t="s">
        <v>197</v>
      </c>
      <c r="AJ4680" s="2">
        <v>54</v>
      </c>
      <c r="AK4680" s="2" t="s">
        <v>348</v>
      </c>
      <c r="AL4680" s="2">
        <v>19</v>
      </c>
      <c r="AM4680" s="2" t="s">
        <v>107</v>
      </c>
      <c r="AN4680" s="2" t="s">
        <v>9102</v>
      </c>
      <c r="AO4680" s="2" t="s">
        <v>14489</v>
      </c>
      <c r="AP4680" s="2">
        <v>11</v>
      </c>
      <c r="AQ4680" s="2" t="s">
        <v>82</v>
      </c>
      <c r="AR4680" s="2" t="s">
        <v>82</v>
      </c>
      <c r="AS4680" s="2" t="s">
        <v>82</v>
      </c>
      <c r="AT4680" s="2" t="s">
        <v>14490</v>
      </c>
      <c r="AU4680" s="2"/>
      <c r="AV4680" s="2"/>
      <c r="AW4680" s="2"/>
      <c r="AX4680" s="2"/>
      <c r="AY4680" s="2">
        <v>41</v>
      </c>
      <c r="AZ4680" s="2" t="s">
        <v>82</v>
      </c>
      <c r="BA4680" s="2">
        <v>41</v>
      </c>
      <c r="BB4680" s="2" t="s">
        <v>82</v>
      </c>
      <c r="BC4680" s="2">
        <v>41</v>
      </c>
      <c r="BD4680" s="2" t="s">
        <v>82</v>
      </c>
      <c r="BE4680" s="2">
        <v>41</v>
      </c>
      <c r="BF4680" s="2" t="s">
        <v>82</v>
      </c>
      <c r="BG4680" s="2"/>
      <c r="BH4680" s="2"/>
      <c r="BI4680" s="2"/>
      <c r="BJ4680" s="2">
        <v>241</v>
      </c>
      <c r="BK4680" s="2" t="s">
        <v>82</v>
      </c>
      <c r="BL4680" s="2" t="s">
        <v>82</v>
      </c>
      <c r="BM4680" s="2">
        <v>241</v>
      </c>
      <c r="BN4680" s="2" t="s">
        <v>82</v>
      </c>
      <c r="BO4680" s="2"/>
      <c r="BP4680" s="2">
        <v>242</v>
      </c>
      <c r="BQ4680" s="2" t="s">
        <v>107</v>
      </c>
      <c r="BR4680" s="2" t="s">
        <v>82</v>
      </c>
      <c r="BS4680" s="3">
        <v>40497</v>
      </c>
      <c r="BT4680" s="4">
        <v>0.43866898148148148</v>
      </c>
    </row>
    <row r="4681" spans="1:72" x14ac:dyDescent="0.25">
      <c r="A4681" s="2">
        <v>7221</v>
      </c>
      <c r="B4681" s="2">
        <v>2010</v>
      </c>
      <c r="C4681" s="2" t="s">
        <v>72</v>
      </c>
      <c r="D4681" s="2" t="s">
        <v>73</v>
      </c>
      <c r="E4681" s="2"/>
      <c r="F4681" s="2">
        <v>718</v>
      </c>
      <c r="G4681" s="2" t="s">
        <v>14437</v>
      </c>
      <c r="H4681" s="2">
        <v>108</v>
      </c>
      <c r="I4681" s="2" t="s">
        <v>1096</v>
      </c>
      <c r="J4681" s="2">
        <v>701</v>
      </c>
      <c r="K4681" s="2" t="s">
        <v>111</v>
      </c>
      <c r="L4681" s="2" t="s">
        <v>14191</v>
      </c>
      <c r="M4681" s="3">
        <v>40497</v>
      </c>
      <c r="N4681" s="2" t="s">
        <v>14491</v>
      </c>
      <c r="O4681" s="2" t="s">
        <v>14492</v>
      </c>
      <c r="P4681" s="2" t="s">
        <v>14493</v>
      </c>
      <c r="Q4681" s="2" t="str">
        <f>""</f>
        <v/>
      </c>
      <c r="R4681" s="2"/>
      <c r="S4681" s="2"/>
      <c r="T4681" s="2">
        <v>1</v>
      </c>
      <c r="U4681" s="2" t="s">
        <v>79</v>
      </c>
      <c r="V4681" s="2">
        <v>3</v>
      </c>
      <c r="W4681" s="2" t="s">
        <v>225</v>
      </c>
      <c r="X4681" s="2">
        <v>6</v>
      </c>
      <c r="Y4681" s="2" t="s">
        <v>249</v>
      </c>
      <c r="Z4681" s="2">
        <v>1</v>
      </c>
      <c r="AA4681" s="2" t="s">
        <v>82</v>
      </c>
      <c r="AB4681" s="2">
        <v>9</v>
      </c>
      <c r="AC4681" s="2" t="s">
        <v>124</v>
      </c>
      <c r="AD4681" s="2"/>
      <c r="AE4681" s="2"/>
      <c r="AF4681" s="2"/>
      <c r="AG4681" s="2"/>
      <c r="AH4681" s="2">
        <v>2</v>
      </c>
      <c r="AI4681" s="2" t="s">
        <v>84</v>
      </c>
      <c r="AJ4681" s="2">
        <v>6</v>
      </c>
      <c r="AK4681" s="2" t="s">
        <v>453</v>
      </c>
      <c r="AL4681" s="2">
        <v>19</v>
      </c>
      <c r="AM4681" s="2" t="s">
        <v>107</v>
      </c>
      <c r="AN4681" s="2"/>
      <c r="AO4681" s="2"/>
      <c r="AP4681" s="2">
        <v>11</v>
      </c>
      <c r="AQ4681" s="2" t="s">
        <v>82</v>
      </c>
      <c r="AR4681" s="2"/>
      <c r="AS4681" s="2"/>
      <c r="AT4681" s="2" t="s">
        <v>14494</v>
      </c>
      <c r="AU4681" s="2"/>
      <c r="AV4681" s="2"/>
      <c r="AW4681" s="2"/>
      <c r="AX4681" s="2"/>
      <c r="AY4681" s="2">
        <v>41</v>
      </c>
      <c r="AZ4681" s="2" t="s">
        <v>82</v>
      </c>
      <c r="BA4681" s="2">
        <v>41</v>
      </c>
      <c r="BB4681" s="2" t="s">
        <v>82</v>
      </c>
      <c r="BC4681" s="2">
        <v>41</v>
      </c>
      <c r="BD4681" s="2" t="s">
        <v>82</v>
      </c>
      <c r="BE4681" s="2">
        <v>1</v>
      </c>
      <c r="BF4681" s="2" t="s">
        <v>107</v>
      </c>
      <c r="BG4681" s="2"/>
      <c r="BH4681" s="2"/>
      <c r="BI4681" s="2"/>
      <c r="BJ4681" s="2">
        <v>242</v>
      </c>
      <c r="BK4681" s="2" t="s">
        <v>107</v>
      </c>
      <c r="BL4681" s="2"/>
      <c r="BM4681" s="2">
        <v>241</v>
      </c>
      <c r="BN4681" s="2" t="s">
        <v>82</v>
      </c>
      <c r="BO4681" s="2"/>
      <c r="BP4681" s="2">
        <v>242</v>
      </c>
      <c r="BQ4681" s="2" t="s">
        <v>107</v>
      </c>
      <c r="BR4681" s="2"/>
      <c r="BS4681" s="3">
        <v>40497</v>
      </c>
      <c r="BT4681" s="4">
        <v>0.48866898148148147</v>
      </c>
    </row>
    <row r="4682" spans="1:72" x14ac:dyDescent="0.25">
      <c r="A4682" s="2">
        <v>7233</v>
      </c>
      <c r="B4682" s="2">
        <v>2010</v>
      </c>
      <c r="C4682" s="2" t="s">
        <v>72</v>
      </c>
      <c r="D4682" s="2" t="s">
        <v>73</v>
      </c>
      <c r="E4682" s="2"/>
      <c r="F4682" s="2">
        <v>390</v>
      </c>
      <c r="G4682" s="2" t="s">
        <v>475</v>
      </c>
      <c r="H4682" s="2">
        <v>5</v>
      </c>
      <c r="I4682" s="2" t="s">
        <v>634</v>
      </c>
      <c r="J4682" s="2">
        <v>314</v>
      </c>
      <c r="K4682" s="2" t="s">
        <v>477</v>
      </c>
      <c r="L4682" s="2" t="s">
        <v>478</v>
      </c>
      <c r="M4682" s="3">
        <v>40497</v>
      </c>
      <c r="N4682" s="2" t="s">
        <v>3103</v>
      </c>
      <c r="O4682" s="2"/>
      <c r="P4682" s="2"/>
      <c r="Q4682" s="2" t="str">
        <f>"600-E/10"</f>
        <v>600-E/10</v>
      </c>
      <c r="R4682" s="2" t="s">
        <v>601</v>
      </c>
      <c r="S4682" s="2" t="s">
        <v>601</v>
      </c>
      <c r="T4682" s="2">
        <v>1</v>
      </c>
      <c r="U4682" s="2" t="s">
        <v>79</v>
      </c>
      <c r="V4682" s="2">
        <v>1</v>
      </c>
      <c r="W4682" s="2" t="s">
        <v>80</v>
      </c>
      <c r="X4682" s="2">
        <v>12</v>
      </c>
      <c r="Y4682" s="2" t="s">
        <v>148</v>
      </c>
      <c r="Z4682" s="2">
        <v>1</v>
      </c>
      <c r="AA4682" s="2" t="s">
        <v>82</v>
      </c>
      <c r="AB4682" s="2">
        <v>6</v>
      </c>
      <c r="AC4682" s="2" t="s">
        <v>83</v>
      </c>
      <c r="AD4682" s="2"/>
      <c r="AE4682" s="2"/>
      <c r="AF4682" s="3">
        <v>40497</v>
      </c>
      <c r="AG4682" s="4">
        <v>0.41666666666666669</v>
      </c>
      <c r="AH4682" s="2">
        <v>2</v>
      </c>
      <c r="AI4682" s="2" t="s">
        <v>84</v>
      </c>
      <c r="AJ4682" s="2">
        <v>9</v>
      </c>
      <c r="AK4682" s="2" t="s">
        <v>103</v>
      </c>
      <c r="AL4682" s="2">
        <v>22</v>
      </c>
      <c r="AM4682" s="2" t="s">
        <v>1853</v>
      </c>
      <c r="AN4682" s="2" t="s">
        <v>9658</v>
      </c>
      <c r="AO4682" s="2"/>
      <c r="AP4682" s="2">
        <v>11</v>
      </c>
      <c r="AQ4682" s="2" t="s">
        <v>82</v>
      </c>
      <c r="AR4682" s="2"/>
      <c r="AS4682" s="2"/>
      <c r="AT4682" s="2" t="s">
        <v>14495</v>
      </c>
      <c r="AU4682" s="2"/>
      <c r="AV4682" s="2"/>
      <c r="AW4682" s="2"/>
      <c r="AX4682" s="2"/>
      <c r="AY4682" s="2">
        <v>41</v>
      </c>
      <c r="AZ4682" s="2" t="s">
        <v>82</v>
      </c>
      <c r="BA4682" s="2">
        <v>41</v>
      </c>
      <c r="BB4682" s="2" t="s">
        <v>82</v>
      </c>
      <c r="BC4682" s="2">
        <v>41</v>
      </c>
      <c r="BD4682" s="2" t="s">
        <v>82</v>
      </c>
      <c r="BE4682" s="2">
        <v>17</v>
      </c>
      <c r="BF4682" s="2" t="s">
        <v>508</v>
      </c>
      <c r="BG4682" s="2" t="s">
        <v>6914</v>
      </c>
      <c r="BH4682" s="4">
        <v>0.33333333333333331</v>
      </c>
      <c r="BI4682" s="2"/>
      <c r="BJ4682" s="2">
        <v>75</v>
      </c>
      <c r="BK4682" s="2" t="s">
        <v>1264</v>
      </c>
      <c r="BL4682" s="2" t="s">
        <v>1361</v>
      </c>
      <c r="BM4682" s="2">
        <v>13</v>
      </c>
      <c r="BN4682" s="2" t="s">
        <v>91</v>
      </c>
      <c r="BO4682" s="2"/>
      <c r="BP4682" s="2">
        <v>13</v>
      </c>
      <c r="BQ4682" s="2" t="s">
        <v>91</v>
      </c>
      <c r="BR4682" s="2" t="s">
        <v>360</v>
      </c>
      <c r="BS4682" s="3">
        <v>40497</v>
      </c>
      <c r="BT4682" s="4">
        <v>0.61548611111111107</v>
      </c>
    </row>
    <row r="4683" spans="1:72" x14ac:dyDescent="0.25">
      <c r="A4683" s="2">
        <v>7236</v>
      </c>
      <c r="B4683" s="2">
        <v>2010</v>
      </c>
      <c r="C4683" s="2" t="s">
        <v>128</v>
      </c>
      <c r="D4683" s="2" t="s">
        <v>73</v>
      </c>
      <c r="E4683" s="2" t="s">
        <v>14496</v>
      </c>
      <c r="F4683" s="2">
        <v>425</v>
      </c>
      <c r="G4683" s="2" t="s">
        <v>286</v>
      </c>
      <c r="H4683" s="2">
        <v>3</v>
      </c>
      <c r="I4683" s="2" t="s">
        <v>315</v>
      </c>
      <c r="J4683" s="2">
        <v>310</v>
      </c>
      <c r="K4683" s="2" t="s">
        <v>288</v>
      </c>
      <c r="L4683" s="2" t="s">
        <v>289</v>
      </c>
      <c r="M4683" s="3">
        <v>40497</v>
      </c>
      <c r="N4683" s="2" t="s">
        <v>1882</v>
      </c>
      <c r="O4683" s="2" t="s">
        <v>14015</v>
      </c>
      <c r="P4683" s="2" t="s">
        <v>14016</v>
      </c>
      <c r="Q4683" s="2" t="str">
        <f>"110"</f>
        <v>110</v>
      </c>
      <c r="R4683" s="2"/>
      <c r="S4683" s="2"/>
      <c r="T4683" s="2">
        <v>1</v>
      </c>
      <c r="U4683" s="2" t="s">
        <v>79</v>
      </c>
      <c r="V4683" s="2">
        <v>3</v>
      </c>
      <c r="W4683" s="2" t="s">
        <v>225</v>
      </c>
      <c r="X4683" s="2">
        <v>6</v>
      </c>
      <c r="Y4683" s="2" t="s">
        <v>249</v>
      </c>
      <c r="Z4683" s="2">
        <v>1</v>
      </c>
      <c r="AA4683" s="2" t="s">
        <v>82</v>
      </c>
      <c r="AB4683" s="2">
        <v>9</v>
      </c>
      <c r="AC4683" s="2" t="s">
        <v>124</v>
      </c>
      <c r="AD4683" s="2"/>
      <c r="AE4683" s="2"/>
      <c r="AF4683" s="2"/>
      <c r="AG4683" s="2"/>
      <c r="AH4683" s="2">
        <v>4</v>
      </c>
      <c r="AI4683" s="2" t="s">
        <v>125</v>
      </c>
      <c r="AJ4683" s="2">
        <v>26</v>
      </c>
      <c r="AK4683" s="2" t="s">
        <v>293</v>
      </c>
      <c r="AL4683" s="2">
        <v>23</v>
      </c>
      <c r="AM4683" s="2" t="s">
        <v>251</v>
      </c>
      <c r="AN4683" s="2"/>
      <c r="AO4683" s="2" t="s">
        <v>11465</v>
      </c>
      <c r="AP4683" s="2">
        <v>11</v>
      </c>
      <c r="AQ4683" s="2" t="s">
        <v>82</v>
      </c>
      <c r="AR4683" s="2"/>
      <c r="AS4683" s="2"/>
      <c r="AT4683" s="2" t="s">
        <v>14497</v>
      </c>
      <c r="AU4683" s="2"/>
      <c r="AV4683" s="2"/>
      <c r="AW4683" s="2"/>
      <c r="AX4683" s="2"/>
      <c r="AY4683" s="2">
        <v>41</v>
      </c>
      <c r="AZ4683" s="2" t="s">
        <v>82</v>
      </c>
      <c r="BA4683" s="2">
        <v>41</v>
      </c>
      <c r="BB4683" s="2" t="s">
        <v>82</v>
      </c>
      <c r="BC4683" s="2">
        <v>41</v>
      </c>
      <c r="BD4683" s="2" t="s">
        <v>82</v>
      </c>
      <c r="BE4683" s="2">
        <v>41</v>
      </c>
      <c r="BF4683" s="2" t="s">
        <v>82</v>
      </c>
      <c r="BG4683" s="2"/>
      <c r="BH4683" s="2"/>
      <c r="BI4683" s="2"/>
      <c r="BJ4683" s="2">
        <v>241</v>
      </c>
      <c r="BK4683" s="2" t="s">
        <v>82</v>
      </c>
      <c r="BL4683" s="2"/>
      <c r="BM4683" s="2">
        <v>241</v>
      </c>
      <c r="BN4683" s="2" t="s">
        <v>82</v>
      </c>
      <c r="BO4683" s="2"/>
      <c r="BP4683" s="2">
        <v>241</v>
      </c>
      <c r="BQ4683" s="2" t="s">
        <v>82</v>
      </c>
      <c r="BR4683" s="2"/>
      <c r="BS4683" s="3">
        <v>40497</v>
      </c>
      <c r="BT4683" s="4">
        <v>0.66930555555555549</v>
      </c>
    </row>
    <row r="4684" spans="1:72" x14ac:dyDescent="0.25">
      <c r="A4684" s="2">
        <v>7239</v>
      </c>
      <c r="B4684" s="2">
        <v>2010</v>
      </c>
      <c r="C4684" s="2" t="s">
        <v>72</v>
      </c>
      <c r="D4684" s="2" t="s">
        <v>73</v>
      </c>
      <c r="E4684" s="2"/>
      <c r="F4684" s="2">
        <v>24</v>
      </c>
      <c r="G4684" s="2" t="s">
        <v>532</v>
      </c>
      <c r="H4684" s="2">
        <v>1</v>
      </c>
      <c r="I4684" s="2" t="s">
        <v>82</v>
      </c>
      <c r="J4684" s="2">
        <v>300</v>
      </c>
      <c r="K4684" s="2" t="s">
        <v>114</v>
      </c>
      <c r="L4684" s="2" t="s">
        <v>115</v>
      </c>
      <c r="M4684" s="3">
        <v>40497</v>
      </c>
      <c r="N4684" s="2" t="s">
        <v>82</v>
      </c>
      <c r="O4684" s="2" t="s">
        <v>116</v>
      </c>
      <c r="P4684" s="2" t="s">
        <v>14498</v>
      </c>
      <c r="Q4684" s="2" t="str">
        <f>"503E/10"</f>
        <v>503E/10</v>
      </c>
      <c r="R4684" s="2" t="s">
        <v>116</v>
      </c>
      <c r="S4684" s="2"/>
      <c r="T4684" s="2">
        <v>1</v>
      </c>
      <c r="U4684" s="2" t="s">
        <v>79</v>
      </c>
      <c r="V4684" s="2">
        <v>3</v>
      </c>
      <c r="W4684" s="2" t="s">
        <v>225</v>
      </c>
      <c r="X4684" s="2">
        <v>6</v>
      </c>
      <c r="Y4684" s="2" t="s">
        <v>249</v>
      </c>
      <c r="Z4684" s="2">
        <v>1</v>
      </c>
      <c r="AA4684" s="2" t="s">
        <v>82</v>
      </c>
      <c r="AB4684" s="2">
        <v>9</v>
      </c>
      <c r="AC4684" s="2" t="s">
        <v>124</v>
      </c>
      <c r="AD4684" s="2"/>
      <c r="AE4684" s="2"/>
      <c r="AF4684" s="2"/>
      <c r="AG4684" s="2"/>
      <c r="AH4684" s="2">
        <v>2</v>
      </c>
      <c r="AI4684" s="2" t="s">
        <v>84</v>
      </c>
      <c r="AJ4684" s="2">
        <v>6</v>
      </c>
      <c r="AK4684" s="2" t="s">
        <v>453</v>
      </c>
      <c r="AL4684" s="2">
        <v>19</v>
      </c>
      <c r="AM4684" s="2" t="s">
        <v>107</v>
      </c>
      <c r="AN4684" s="2" t="s">
        <v>107</v>
      </c>
      <c r="AO4684" s="2" t="s">
        <v>107</v>
      </c>
      <c r="AP4684" s="2">
        <v>11</v>
      </c>
      <c r="AQ4684" s="2" t="s">
        <v>82</v>
      </c>
      <c r="AR4684" s="2"/>
      <c r="AS4684" s="2"/>
      <c r="AT4684" s="2" t="s">
        <v>14499</v>
      </c>
      <c r="AU4684" s="2"/>
      <c r="AV4684" s="2"/>
      <c r="AW4684" s="2"/>
      <c r="AX4684" s="2"/>
      <c r="AY4684" s="2">
        <v>41</v>
      </c>
      <c r="AZ4684" s="2" t="s">
        <v>82</v>
      </c>
      <c r="BA4684" s="2">
        <v>41</v>
      </c>
      <c r="BB4684" s="2" t="s">
        <v>82</v>
      </c>
      <c r="BC4684" s="2">
        <v>41</v>
      </c>
      <c r="BD4684" s="2" t="s">
        <v>82</v>
      </c>
      <c r="BE4684" s="2">
        <v>41</v>
      </c>
      <c r="BF4684" s="2" t="s">
        <v>82</v>
      </c>
      <c r="BG4684" s="2"/>
      <c r="BH4684" s="2"/>
      <c r="BI4684" s="2"/>
      <c r="BJ4684" s="2">
        <v>241</v>
      </c>
      <c r="BK4684" s="2" t="s">
        <v>82</v>
      </c>
      <c r="BL4684" s="2"/>
      <c r="BM4684" s="2">
        <v>241</v>
      </c>
      <c r="BN4684" s="2" t="s">
        <v>82</v>
      </c>
      <c r="BO4684" s="2"/>
      <c r="BP4684" s="2">
        <v>241</v>
      </c>
      <c r="BQ4684" s="2" t="s">
        <v>82</v>
      </c>
      <c r="BR4684" s="2"/>
      <c r="BS4684" s="3">
        <v>40497</v>
      </c>
      <c r="BT4684" s="4">
        <v>0.68358796296296298</v>
      </c>
    </row>
    <row r="4685" spans="1:72" x14ac:dyDescent="0.25">
      <c r="A4685" s="2">
        <v>7240</v>
      </c>
      <c r="B4685" s="2">
        <v>2010</v>
      </c>
      <c r="C4685" s="2" t="s">
        <v>128</v>
      </c>
      <c r="D4685" s="2" t="s">
        <v>73</v>
      </c>
      <c r="E4685" s="2" t="s">
        <v>11464</v>
      </c>
      <c r="F4685" s="2">
        <v>425</v>
      </c>
      <c r="G4685" s="2" t="s">
        <v>286</v>
      </c>
      <c r="H4685" s="2">
        <v>39</v>
      </c>
      <c r="I4685" s="2" t="s">
        <v>1117</v>
      </c>
      <c r="J4685" s="2">
        <v>310</v>
      </c>
      <c r="K4685" s="2" t="s">
        <v>288</v>
      </c>
      <c r="L4685" s="2" t="s">
        <v>289</v>
      </c>
      <c r="M4685" s="3">
        <v>40497</v>
      </c>
      <c r="N4685" s="2" t="s">
        <v>1917</v>
      </c>
      <c r="O4685" s="2" t="s">
        <v>11437</v>
      </c>
      <c r="P4685" s="2" t="s">
        <v>11438</v>
      </c>
      <c r="Q4685" s="2" t="str">
        <f>"101"</f>
        <v>101</v>
      </c>
      <c r="R4685" s="2"/>
      <c r="S4685" s="2"/>
      <c r="T4685" s="2">
        <v>1</v>
      </c>
      <c r="U4685" s="2" t="s">
        <v>79</v>
      </c>
      <c r="V4685" s="2">
        <v>3</v>
      </c>
      <c r="W4685" s="2" t="s">
        <v>225</v>
      </c>
      <c r="X4685" s="2">
        <v>6</v>
      </c>
      <c r="Y4685" s="2" t="s">
        <v>249</v>
      </c>
      <c r="Z4685" s="2">
        <v>1</v>
      </c>
      <c r="AA4685" s="2" t="s">
        <v>82</v>
      </c>
      <c r="AB4685" s="2">
        <v>9</v>
      </c>
      <c r="AC4685" s="2" t="s">
        <v>124</v>
      </c>
      <c r="AD4685" s="2"/>
      <c r="AE4685" s="2"/>
      <c r="AF4685" s="2"/>
      <c r="AG4685" s="2"/>
      <c r="AH4685" s="2">
        <v>4</v>
      </c>
      <c r="AI4685" s="2" t="s">
        <v>125</v>
      </c>
      <c r="AJ4685" s="2">
        <v>26</v>
      </c>
      <c r="AK4685" s="2" t="s">
        <v>293</v>
      </c>
      <c r="AL4685" s="2">
        <v>23</v>
      </c>
      <c r="AM4685" s="2" t="s">
        <v>251</v>
      </c>
      <c r="AN4685" s="2" t="s">
        <v>14500</v>
      </c>
      <c r="AO4685" s="2" t="s">
        <v>11465</v>
      </c>
      <c r="AP4685" s="2">
        <v>11</v>
      </c>
      <c r="AQ4685" s="2" t="s">
        <v>82</v>
      </c>
      <c r="AR4685" s="2"/>
      <c r="AS4685" s="2"/>
      <c r="AT4685" s="2" t="s">
        <v>14501</v>
      </c>
      <c r="AU4685" s="2"/>
      <c r="AV4685" s="2"/>
      <c r="AW4685" s="2"/>
      <c r="AX4685" s="2"/>
      <c r="AY4685" s="2">
        <v>41</v>
      </c>
      <c r="AZ4685" s="2" t="s">
        <v>82</v>
      </c>
      <c r="BA4685" s="2">
        <v>41</v>
      </c>
      <c r="BB4685" s="2" t="s">
        <v>82</v>
      </c>
      <c r="BC4685" s="2">
        <v>41</v>
      </c>
      <c r="BD4685" s="2" t="s">
        <v>82</v>
      </c>
      <c r="BE4685" s="2">
        <v>41</v>
      </c>
      <c r="BF4685" s="2" t="s">
        <v>82</v>
      </c>
      <c r="BG4685" s="2"/>
      <c r="BH4685" s="2"/>
      <c r="BI4685" s="2"/>
      <c r="BJ4685" s="2">
        <v>241</v>
      </c>
      <c r="BK4685" s="2" t="s">
        <v>82</v>
      </c>
      <c r="BL4685" s="2"/>
      <c r="BM4685" s="2">
        <v>241</v>
      </c>
      <c r="BN4685" s="2" t="s">
        <v>82</v>
      </c>
      <c r="BO4685" s="2"/>
      <c r="BP4685" s="2">
        <v>241</v>
      </c>
      <c r="BQ4685" s="2" t="s">
        <v>82</v>
      </c>
      <c r="BR4685" s="2"/>
      <c r="BS4685" s="3">
        <v>40497</v>
      </c>
      <c r="BT4685" s="4">
        <v>0.6865162037037037</v>
      </c>
    </row>
    <row r="4686" spans="1:72" x14ac:dyDescent="0.25">
      <c r="A4686" s="2">
        <v>7241</v>
      </c>
      <c r="B4686" s="2">
        <v>2010</v>
      </c>
      <c r="C4686" s="2" t="s">
        <v>72</v>
      </c>
      <c r="D4686" s="2" t="s">
        <v>73</v>
      </c>
      <c r="E4686" s="2"/>
      <c r="F4686" s="2">
        <v>24</v>
      </c>
      <c r="G4686" s="2" t="s">
        <v>532</v>
      </c>
      <c r="H4686" s="2">
        <v>1</v>
      </c>
      <c r="I4686" s="2" t="s">
        <v>82</v>
      </c>
      <c r="J4686" s="2">
        <v>300</v>
      </c>
      <c r="K4686" s="2" t="s">
        <v>114</v>
      </c>
      <c r="L4686" s="2" t="s">
        <v>115</v>
      </c>
      <c r="M4686" s="3">
        <v>40497</v>
      </c>
      <c r="N4686" s="2" t="s">
        <v>82</v>
      </c>
      <c r="O4686" s="2" t="s">
        <v>116</v>
      </c>
      <c r="P4686" s="2" t="s">
        <v>14502</v>
      </c>
      <c r="Q4686" s="2" t="str">
        <f>"532E/10"</f>
        <v>532E/10</v>
      </c>
      <c r="R4686" s="2" t="s">
        <v>116</v>
      </c>
      <c r="S4686" s="2"/>
      <c r="T4686" s="2">
        <v>1</v>
      </c>
      <c r="U4686" s="2" t="s">
        <v>79</v>
      </c>
      <c r="V4686" s="2">
        <v>3</v>
      </c>
      <c r="W4686" s="2" t="s">
        <v>225</v>
      </c>
      <c r="X4686" s="2">
        <v>6</v>
      </c>
      <c r="Y4686" s="2" t="s">
        <v>249</v>
      </c>
      <c r="Z4686" s="2">
        <v>1</v>
      </c>
      <c r="AA4686" s="2" t="s">
        <v>82</v>
      </c>
      <c r="AB4686" s="2">
        <v>9</v>
      </c>
      <c r="AC4686" s="2" t="s">
        <v>124</v>
      </c>
      <c r="AD4686" s="2"/>
      <c r="AE4686" s="2"/>
      <c r="AF4686" s="2"/>
      <c r="AG4686" s="2"/>
      <c r="AH4686" s="2">
        <v>2</v>
      </c>
      <c r="AI4686" s="2" t="s">
        <v>84</v>
      </c>
      <c r="AJ4686" s="2">
        <v>6</v>
      </c>
      <c r="AK4686" s="2" t="s">
        <v>453</v>
      </c>
      <c r="AL4686" s="2">
        <v>19</v>
      </c>
      <c r="AM4686" s="2" t="s">
        <v>107</v>
      </c>
      <c r="AN4686" s="2" t="s">
        <v>107</v>
      </c>
      <c r="AO4686" s="2" t="s">
        <v>107</v>
      </c>
      <c r="AP4686" s="2">
        <v>11</v>
      </c>
      <c r="AQ4686" s="2" t="s">
        <v>82</v>
      </c>
      <c r="AR4686" s="2"/>
      <c r="AS4686" s="2"/>
      <c r="AT4686" s="2" t="s">
        <v>14503</v>
      </c>
      <c r="AU4686" s="2"/>
      <c r="AV4686" s="2"/>
      <c r="AW4686" s="2"/>
      <c r="AX4686" s="2"/>
      <c r="AY4686" s="2">
        <v>41</v>
      </c>
      <c r="AZ4686" s="2" t="s">
        <v>82</v>
      </c>
      <c r="BA4686" s="2">
        <v>41</v>
      </c>
      <c r="BB4686" s="2" t="s">
        <v>82</v>
      </c>
      <c r="BC4686" s="2">
        <v>41</v>
      </c>
      <c r="BD4686" s="2" t="s">
        <v>82</v>
      </c>
      <c r="BE4686" s="2">
        <v>41</v>
      </c>
      <c r="BF4686" s="2" t="s">
        <v>82</v>
      </c>
      <c r="BG4686" s="2"/>
      <c r="BH4686" s="2"/>
      <c r="BI4686" s="2"/>
      <c r="BJ4686" s="2">
        <v>241</v>
      </c>
      <c r="BK4686" s="2" t="s">
        <v>82</v>
      </c>
      <c r="BL4686" s="2"/>
      <c r="BM4686" s="2">
        <v>241</v>
      </c>
      <c r="BN4686" s="2" t="s">
        <v>82</v>
      </c>
      <c r="BO4686" s="2"/>
      <c r="BP4686" s="2">
        <v>241</v>
      </c>
      <c r="BQ4686" s="2" t="s">
        <v>82</v>
      </c>
      <c r="BR4686" s="2"/>
      <c r="BS4686" s="3">
        <v>40497</v>
      </c>
      <c r="BT4686" s="4">
        <v>0.70402777777777781</v>
      </c>
    </row>
    <row r="4687" spans="1:72" x14ac:dyDescent="0.25">
      <c r="A4687" s="2">
        <v>7243</v>
      </c>
      <c r="B4687" s="2">
        <v>2010</v>
      </c>
      <c r="C4687" s="2" t="s">
        <v>8688</v>
      </c>
      <c r="D4687" s="2" t="s">
        <v>122</v>
      </c>
      <c r="E4687" s="2" t="s">
        <v>14504</v>
      </c>
      <c r="F4687" s="2">
        <v>3</v>
      </c>
      <c r="G4687" s="2" t="s">
        <v>1041</v>
      </c>
      <c r="H4687" s="2">
        <v>1</v>
      </c>
      <c r="I4687" s="2" t="s">
        <v>82</v>
      </c>
      <c r="J4687" s="2">
        <v>368</v>
      </c>
      <c r="K4687" s="2" t="s">
        <v>1042</v>
      </c>
      <c r="L4687" s="2" t="s">
        <v>1043</v>
      </c>
      <c r="M4687" s="3">
        <v>40497</v>
      </c>
      <c r="N4687" s="2"/>
      <c r="O4687" s="2"/>
      <c r="P4687" s="2"/>
      <c r="Q4687" s="2" t="str">
        <f>"599-E/10"</f>
        <v>599-E/10</v>
      </c>
      <c r="R4687" s="2" t="s">
        <v>14505</v>
      </c>
      <c r="S4687" s="2"/>
      <c r="T4687" s="2">
        <v>1</v>
      </c>
      <c r="U4687" s="2" t="s">
        <v>79</v>
      </c>
      <c r="V4687" s="2">
        <v>1</v>
      </c>
      <c r="W4687" s="2" t="s">
        <v>80</v>
      </c>
      <c r="X4687" s="2">
        <v>12</v>
      </c>
      <c r="Y4687" s="2" t="s">
        <v>148</v>
      </c>
      <c r="Z4687" s="2">
        <v>1</v>
      </c>
      <c r="AA4687" s="2" t="s">
        <v>82</v>
      </c>
      <c r="AB4687" s="2">
        <v>9</v>
      </c>
      <c r="AC4687" s="2" t="s">
        <v>124</v>
      </c>
      <c r="AD4687" s="3">
        <v>40496</v>
      </c>
      <c r="AE4687" s="4">
        <v>0.875</v>
      </c>
      <c r="AF4687" s="3">
        <v>40496</v>
      </c>
      <c r="AG4687" s="4">
        <v>0.91666666666666663</v>
      </c>
      <c r="AH4687" s="2">
        <v>2</v>
      </c>
      <c r="AI4687" s="2" t="s">
        <v>84</v>
      </c>
      <c r="AJ4687" s="2">
        <v>9</v>
      </c>
      <c r="AK4687" s="2" t="s">
        <v>103</v>
      </c>
      <c r="AL4687" s="2">
        <v>29</v>
      </c>
      <c r="AM4687" s="2" t="s">
        <v>5416</v>
      </c>
      <c r="AN4687" s="2" t="s">
        <v>14506</v>
      </c>
      <c r="AO4687" s="2"/>
      <c r="AP4687" s="2">
        <v>11</v>
      </c>
      <c r="AQ4687" s="2" t="s">
        <v>82</v>
      </c>
      <c r="AR4687" s="2"/>
      <c r="AS4687" s="2"/>
      <c r="AT4687" s="2" t="s">
        <v>14507</v>
      </c>
      <c r="AU4687" s="2"/>
      <c r="AV4687" s="2"/>
      <c r="AW4687" s="2"/>
      <c r="AX4687" s="2"/>
      <c r="AY4687" s="2">
        <v>41</v>
      </c>
      <c r="AZ4687" s="2" t="s">
        <v>82</v>
      </c>
      <c r="BA4687" s="2">
        <v>41</v>
      </c>
      <c r="BB4687" s="2" t="s">
        <v>82</v>
      </c>
      <c r="BC4687" s="2">
        <v>41</v>
      </c>
      <c r="BD4687" s="2" t="s">
        <v>82</v>
      </c>
      <c r="BE4687" s="2">
        <v>13</v>
      </c>
      <c r="BF4687" s="2" t="s">
        <v>108</v>
      </c>
      <c r="BG4687" s="2" t="s">
        <v>14508</v>
      </c>
      <c r="BH4687" s="4">
        <v>0.875</v>
      </c>
      <c r="BI4687" s="2"/>
      <c r="BJ4687" s="2">
        <v>13</v>
      </c>
      <c r="BK4687" s="2" t="s">
        <v>91</v>
      </c>
      <c r="BL4687" s="2" t="s">
        <v>1958</v>
      </c>
      <c r="BM4687" s="2">
        <v>13</v>
      </c>
      <c r="BN4687" s="2" t="s">
        <v>91</v>
      </c>
      <c r="BO4687" s="2"/>
      <c r="BP4687" s="2">
        <v>13</v>
      </c>
      <c r="BQ4687" s="2" t="s">
        <v>91</v>
      </c>
      <c r="BR4687" s="2" t="s">
        <v>185</v>
      </c>
      <c r="BS4687" s="3">
        <v>40497</v>
      </c>
      <c r="BT4687" s="4">
        <v>0.79296296296296298</v>
      </c>
    </row>
    <row r="4688" spans="1:72" x14ac:dyDescent="0.25">
      <c r="A4688" s="2">
        <v>7244</v>
      </c>
      <c r="B4688" s="2">
        <v>2010</v>
      </c>
      <c r="C4688" s="2" t="s">
        <v>385</v>
      </c>
      <c r="D4688" s="2" t="s">
        <v>122</v>
      </c>
      <c r="E4688" s="2"/>
      <c r="F4688" s="2">
        <v>398</v>
      </c>
      <c r="G4688" s="2" t="s">
        <v>94</v>
      </c>
      <c r="H4688" s="2">
        <v>12</v>
      </c>
      <c r="I4688" s="2" t="s">
        <v>95</v>
      </c>
      <c r="J4688" s="2">
        <v>245</v>
      </c>
      <c r="K4688" s="2" t="s">
        <v>96</v>
      </c>
      <c r="L4688" s="2" t="s">
        <v>97</v>
      </c>
      <c r="M4688" s="3">
        <v>40497</v>
      </c>
      <c r="N4688" s="2" t="s">
        <v>451</v>
      </c>
      <c r="O4688" s="2" t="s">
        <v>14509</v>
      </c>
      <c r="P4688" s="2" t="s">
        <v>14510</v>
      </c>
      <c r="Q4688" s="2" t="str">
        <f>""</f>
        <v/>
      </c>
      <c r="R4688" s="2"/>
      <c r="S4688" s="2"/>
      <c r="T4688" s="2">
        <v>1</v>
      </c>
      <c r="U4688" s="2" t="s">
        <v>79</v>
      </c>
      <c r="V4688" s="2">
        <v>1</v>
      </c>
      <c r="W4688" s="2" t="s">
        <v>80</v>
      </c>
      <c r="X4688" s="2">
        <v>11</v>
      </c>
      <c r="Y4688" s="2" t="s">
        <v>1920</v>
      </c>
      <c r="Z4688" s="2">
        <v>10</v>
      </c>
      <c r="AA4688" s="2" t="s">
        <v>236</v>
      </c>
      <c r="AB4688" s="2">
        <v>9</v>
      </c>
      <c r="AC4688" s="2" t="s">
        <v>124</v>
      </c>
      <c r="AD4688" s="3">
        <v>40497</v>
      </c>
      <c r="AE4688" s="4">
        <v>0.76388888888888884</v>
      </c>
      <c r="AF4688" s="3">
        <v>40497</v>
      </c>
      <c r="AG4688" s="2"/>
      <c r="AH4688" s="2">
        <v>2</v>
      </c>
      <c r="AI4688" s="2" t="s">
        <v>84</v>
      </c>
      <c r="AJ4688" s="2">
        <v>12</v>
      </c>
      <c r="AK4688" s="2" t="s">
        <v>85</v>
      </c>
      <c r="AL4688" s="2">
        <v>27</v>
      </c>
      <c r="AM4688" s="2" t="s">
        <v>6225</v>
      </c>
      <c r="AN4688" s="2"/>
      <c r="AO4688" s="2" t="s">
        <v>1971</v>
      </c>
      <c r="AP4688" s="2">
        <v>11</v>
      </c>
      <c r="AQ4688" s="2" t="s">
        <v>82</v>
      </c>
      <c r="AR4688" s="2"/>
      <c r="AS4688" s="2"/>
      <c r="AT4688" s="2" t="s">
        <v>14511</v>
      </c>
      <c r="AU4688" s="2">
        <v>1</v>
      </c>
      <c r="AV4688" s="2"/>
      <c r="AW4688" s="2"/>
      <c r="AX4688" s="2"/>
      <c r="AY4688" s="2">
        <v>41</v>
      </c>
      <c r="AZ4688" s="2" t="s">
        <v>82</v>
      </c>
      <c r="BA4688" s="2">
        <v>41</v>
      </c>
      <c r="BB4688" s="2" t="s">
        <v>82</v>
      </c>
      <c r="BC4688" s="2">
        <v>41</v>
      </c>
      <c r="BD4688" s="2" t="s">
        <v>82</v>
      </c>
      <c r="BE4688" s="2">
        <v>41</v>
      </c>
      <c r="BF4688" s="2" t="s">
        <v>82</v>
      </c>
      <c r="BG4688" s="2"/>
      <c r="BH4688" s="2"/>
      <c r="BI4688" s="2"/>
      <c r="BJ4688" s="2">
        <v>241</v>
      </c>
      <c r="BK4688" s="2" t="s">
        <v>82</v>
      </c>
      <c r="BL4688" s="2"/>
      <c r="BM4688" s="2">
        <v>241</v>
      </c>
      <c r="BN4688" s="2" t="s">
        <v>82</v>
      </c>
      <c r="BO4688" s="2"/>
      <c r="BP4688" s="2">
        <v>241</v>
      </c>
      <c r="BQ4688" s="2" t="s">
        <v>82</v>
      </c>
      <c r="BR4688" s="2"/>
      <c r="BS4688" s="3">
        <v>40497</v>
      </c>
      <c r="BT4688" s="4">
        <v>0.79944444444444451</v>
      </c>
    </row>
    <row r="4689" spans="1:72" x14ac:dyDescent="0.25">
      <c r="A4689" s="2">
        <v>7247</v>
      </c>
      <c r="B4689" s="2">
        <v>2010</v>
      </c>
      <c r="C4689" s="2" t="s">
        <v>171</v>
      </c>
      <c r="D4689" s="2" t="s">
        <v>122</v>
      </c>
      <c r="E4689" s="2" t="s">
        <v>14306</v>
      </c>
      <c r="F4689" s="2">
        <v>400</v>
      </c>
      <c r="G4689" s="2" t="s">
        <v>3601</v>
      </c>
      <c r="H4689" s="2">
        <v>17</v>
      </c>
      <c r="I4689" s="2" t="s">
        <v>3602</v>
      </c>
      <c r="J4689" s="2">
        <v>316</v>
      </c>
      <c r="K4689" s="2" t="s">
        <v>574</v>
      </c>
      <c r="L4689" s="2" t="s">
        <v>575</v>
      </c>
      <c r="M4689" s="3">
        <v>40497</v>
      </c>
      <c r="N4689" s="2" t="s">
        <v>3826</v>
      </c>
      <c r="O4689" s="2" t="s">
        <v>14184</v>
      </c>
      <c r="P4689" s="2">
        <v>1386</v>
      </c>
      <c r="Q4689" s="2" t="str">
        <f>"09R/10"</f>
        <v>09R/10</v>
      </c>
      <c r="R4689" s="2"/>
      <c r="S4689" s="2" t="s">
        <v>6092</v>
      </c>
      <c r="T4689" s="2">
        <v>1</v>
      </c>
      <c r="U4689" s="2" t="s">
        <v>79</v>
      </c>
      <c r="V4689" s="2">
        <v>1</v>
      </c>
      <c r="W4689" s="2" t="s">
        <v>80</v>
      </c>
      <c r="X4689" s="2">
        <v>2</v>
      </c>
      <c r="Y4689" s="2" t="s">
        <v>136</v>
      </c>
      <c r="Z4689" s="2">
        <v>10</v>
      </c>
      <c r="AA4689" s="2" t="s">
        <v>236</v>
      </c>
      <c r="AB4689" s="2">
        <v>1</v>
      </c>
      <c r="AC4689" s="2" t="s">
        <v>178</v>
      </c>
      <c r="AD4689" s="3">
        <v>40497</v>
      </c>
      <c r="AE4689" s="4">
        <v>0.75</v>
      </c>
      <c r="AF4689" s="2"/>
      <c r="AG4689" s="2"/>
      <c r="AH4689" s="2">
        <v>2</v>
      </c>
      <c r="AI4689" s="2" t="s">
        <v>84</v>
      </c>
      <c r="AJ4689" s="2">
        <v>6</v>
      </c>
      <c r="AK4689" s="2" t="s">
        <v>453</v>
      </c>
      <c r="AL4689" s="2">
        <v>14</v>
      </c>
      <c r="AM4689" s="2" t="s">
        <v>216</v>
      </c>
      <c r="AN4689" s="2" t="s">
        <v>14285</v>
      </c>
      <c r="AO4689" s="2" t="s">
        <v>14286</v>
      </c>
      <c r="AP4689" s="2">
        <v>11</v>
      </c>
      <c r="AQ4689" s="2" t="s">
        <v>82</v>
      </c>
      <c r="AR4689" s="2"/>
      <c r="AS4689" s="2"/>
      <c r="AT4689" s="2" t="s">
        <v>14512</v>
      </c>
      <c r="AU4689" s="2"/>
      <c r="AV4689" s="2">
        <v>1</v>
      </c>
      <c r="AW4689" s="2"/>
      <c r="AX4689" s="2"/>
      <c r="AY4689" s="2">
        <v>42</v>
      </c>
      <c r="AZ4689" s="2" t="s">
        <v>182</v>
      </c>
      <c r="BA4689" s="2">
        <v>70</v>
      </c>
      <c r="BB4689" s="2" t="s">
        <v>236</v>
      </c>
      <c r="BC4689" s="2">
        <v>70</v>
      </c>
      <c r="BD4689" s="2" t="s">
        <v>236</v>
      </c>
      <c r="BE4689" s="2">
        <v>31</v>
      </c>
      <c r="BF4689" s="2" t="s">
        <v>398</v>
      </c>
      <c r="BG4689" s="2" t="s">
        <v>7251</v>
      </c>
      <c r="BH4689" s="2"/>
      <c r="BI4689" s="2"/>
      <c r="BJ4689" s="2">
        <v>13</v>
      </c>
      <c r="BK4689" s="2" t="s">
        <v>91</v>
      </c>
      <c r="BL4689" s="2" t="s">
        <v>360</v>
      </c>
      <c r="BM4689" s="2">
        <v>73</v>
      </c>
      <c r="BN4689" s="2" t="s">
        <v>186</v>
      </c>
      <c r="BO4689" s="2"/>
      <c r="BP4689" s="2">
        <v>73</v>
      </c>
      <c r="BQ4689" s="2" t="s">
        <v>186</v>
      </c>
      <c r="BR4689" s="2" t="s">
        <v>187</v>
      </c>
      <c r="BS4689" s="3">
        <v>40497</v>
      </c>
      <c r="BT4689" s="4">
        <v>0.8604398148148148</v>
      </c>
    </row>
    <row r="4690" spans="1:72" x14ac:dyDescent="0.25">
      <c r="A4690" s="2">
        <v>7248</v>
      </c>
      <c r="B4690" s="2">
        <v>2010</v>
      </c>
      <c r="C4690" s="2" t="s">
        <v>377</v>
      </c>
      <c r="D4690" s="2" t="s">
        <v>73</v>
      </c>
      <c r="E4690" s="2"/>
      <c r="F4690" s="2">
        <v>426</v>
      </c>
      <c r="G4690" s="2" t="s">
        <v>378</v>
      </c>
      <c r="H4690" s="2">
        <v>108</v>
      </c>
      <c r="I4690" s="2" t="s">
        <v>1096</v>
      </c>
      <c r="J4690" s="2">
        <v>311</v>
      </c>
      <c r="K4690" s="2" t="s">
        <v>379</v>
      </c>
      <c r="L4690" s="2" t="s">
        <v>380</v>
      </c>
      <c r="M4690" s="3">
        <v>40497</v>
      </c>
      <c r="N4690" s="2" t="s">
        <v>7171</v>
      </c>
      <c r="O4690" s="2" t="s">
        <v>14513</v>
      </c>
      <c r="P4690" s="2"/>
      <c r="Q4690" s="2" t="str">
        <f>"284-C/10"</f>
        <v>284-C/10</v>
      </c>
      <c r="R4690" s="2"/>
      <c r="S4690" s="2"/>
      <c r="T4690" s="2">
        <v>1</v>
      </c>
      <c r="U4690" s="2" t="s">
        <v>79</v>
      </c>
      <c r="V4690" s="2">
        <v>1</v>
      </c>
      <c r="W4690" s="2" t="s">
        <v>80</v>
      </c>
      <c r="X4690" s="2">
        <v>1</v>
      </c>
      <c r="Y4690" s="2" t="s">
        <v>81</v>
      </c>
      <c r="Z4690" s="2">
        <v>1</v>
      </c>
      <c r="AA4690" s="2" t="s">
        <v>82</v>
      </c>
      <c r="AB4690" s="2">
        <v>9</v>
      </c>
      <c r="AC4690" s="2" t="s">
        <v>124</v>
      </c>
      <c r="AD4690" s="3">
        <v>40497</v>
      </c>
      <c r="AE4690" s="4">
        <v>0.52083333333333337</v>
      </c>
      <c r="AF4690" s="3">
        <v>40497</v>
      </c>
      <c r="AG4690" s="4">
        <v>0.65972222222222221</v>
      </c>
      <c r="AH4690" s="2">
        <v>2</v>
      </c>
      <c r="AI4690" s="2" t="s">
        <v>84</v>
      </c>
      <c r="AJ4690" s="2">
        <v>9</v>
      </c>
      <c r="AK4690" s="2" t="s">
        <v>103</v>
      </c>
      <c r="AL4690" s="2">
        <v>24</v>
      </c>
      <c r="AM4690" s="2" t="s">
        <v>1540</v>
      </c>
      <c r="AN4690" s="2" t="s">
        <v>12443</v>
      </c>
      <c r="AO4690" s="2"/>
      <c r="AP4690" s="2">
        <v>11</v>
      </c>
      <c r="AQ4690" s="2" t="s">
        <v>82</v>
      </c>
      <c r="AR4690" s="2"/>
      <c r="AS4690" s="2"/>
      <c r="AT4690" s="2" t="s">
        <v>14514</v>
      </c>
      <c r="AU4690" s="2"/>
      <c r="AV4690" s="2"/>
      <c r="AW4690" s="2"/>
      <c r="AX4690" s="2"/>
      <c r="AY4690" s="2">
        <v>41</v>
      </c>
      <c r="AZ4690" s="2" t="s">
        <v>82</v>
      </c>
      <c r="BA4690" s="2">
        <v>41</v>
      </c>
      <c r="BB4690" s="2" t="s">
        <v>82</v>
      </c>
      <c r="BC4690" s="2">
        <v>41</v>
      </c>
      <c r="BD4690" s="2" t="s">
        <v>82</v>
      </c>
      <c r="BE4690" s="2">
        <v>41</v>
      </c>
      <c r="BF4690" s="2" t="s">
        <v>82</v>
      </c>
      <c r="BG4690" s="2"/>
      <c r="BH4690" s="2"/>
      <c r="BI4690" s="2"/>
      <c r="BJ4690" s="2">
        <v>241</v>
      </c>
      <c r="BK4690" s="2" t="s">
        <v>82</v>
      </c>
      <c r="BL4690" s="2"/>
      <c r="BM4690" s="2">
        <v>241</v>
      </c>
      <c r="BN4690" s="2" t="s">
        <v>82</v>
      </c>
      <c r="BO4690" s="2"/>
      <c r="BP4690" s="2">
        <v>241</v>
      </c>
      <c r="BQ4690" s="2" t="s">
        <v>82</v>
      </c>
      <c r="BR4690" s="2"/>
      <c r="BS4690" s="3">
        <v>40497</v>
      </c>
      <c r="BT4690" s="4">
        <v>0.86170138888888881</v>
      </c>
    </row>
    <row r="4691" spans="1:72" x14ac:dyDescent="0.25">
      <c r="A4691" s="2">
        <v>7249</v>
      </c>
      <c r="B4691" s="2">
        <v>2010</v>
      </c>
      <c r="C4691" s="2" t="s">
        <v>72</v>
      </c>
      <c r="D4691" s="2" t="s">
        <v>73</v>
      </c>
      <c r="E4691" s="2"/>
      <c r="F4691" s="2">
        <v>638</v>
      </c>
      <c r="G4691" s="2" t="s">
        <v>8288</v>
      </c>
      <c r="H4691" s="2">
        <v>5</v>
      </c>
      <c r="I4691" s="2" t="s">
        <v>634</v>
      </c>
      <c r="J4691" s="2">
        <v>594</v>
      </c>
      <c r="K4691" s="2" t="s">
        <v>8762</v>
      </c>
      <c r="L4691" s="2" t="s">
        <v>4666</v>
      </c>
      <c r="M4691" s="3">
        <v>40497</v>
      </c>
      <c r="N4691" s="2" t="s">
        <v>14515</v>
      </c>
      <c r="O4691" s="2"/>
      <c r="P4691" s="2"/>
      <c r="Q4691" s="2" t="str">
        <f>"65/10"</f>
        <v>65/10</v>
      </c>
      <c r="R4691" s="2"/>
      <c r="S4691" s="2" t="s">
        <v>601</v>
      </c>
      <c r="T4691" s="2">
        <v>1</v>
      </c>
      <c r="U4691" s="2" t="s">
        <v>79</v>
      </c>
      <c r="V4691" s="2">
        <v>1</v>
      </c>
      <c r="W4691" s="2" t="s">
        <v>80</v>
      </c>
      <c r="X4691" s="2">
        <v>12</v>
      </c>
      <c r="Y4691" s="2" t="s">
        <v>148</v>
      </c>
      <c r="Z4691" s="2">
        <v>1</v>
      </c>
      <c r="AA4691" s="2" t="s">
        <v>82</v>
      </c>
      <c r="AB4691" s="2">
        <v>6</v>
      </c>
      <c r="AC4691" s="2" t="s">
        <v>83</v>
      </c>
      <c r="AD4691" s="2"/>
      <c r="AE4691" s="2"/>
      <c r="AF4691" s="3">
        <v>40497</v>
      </c>
      <c r="AG4691" s="4">
        <v>0.84722222222222221</v>
      </c>
      <c r="AH4691" s="2">
        <v>3</v>
      </c>
      <c r="AI4691" s="2" t="s">
        <v>214</v>
      </c>
      <c r="AJ4691" s="2">
        <v>24</v>
      </c>
      <c r="AK4691" s="2" t="s">
        <v>215</v>
      </c>
      <c r="AL4691" s="2">
        <v>14</v>
      </c>
      <c r="AM4691" s="2" t="s">
        <v>216</v>
      </c>
      <c r="AN4691" s="2" t="s">
        <v>14516</v>
      </c>
      <c r="AO4691" s="2"/>
      <c r="AP4691" s="2">
        <v>11</v>
      </c>
      <c r="AQ4691" s="2" t="s">
        <v>82</v>
      </c>
      <c r="AR4691" s="2"/>
      <c r="AS4691" s="2"/>
      <c r="AT4691" s="2" t="s">
        <v>14517</v>
      </c>
      <c r="AU4691" s="2"/>
      <c r="AV4691" s="2"/>
      <c r="AW4691" s="2"/>
      <c r="AX4691" s="2"/>
      <c r="AY4691" s="2">
        <v>163</v>
      </c>
      <c r="AZ4691" s="2" t="s">
        <v>14518</v>
      </c>
      <c r="BA4691" s="2">
        <v>163</v>
      </c>
      <c r="BB4691" s="2" t="s">
        <v>14518</v>
      </c>
      <c r="BC4691" s="2">
        <v>41</v>
      </c>
      <c r="BD4691" s="2" t="s">
        <v>82</v>
      </c>
      <c r="BE4691" s="2">
        <v>41</v>
      </c>
      <c r="BF4691" s="2" t="s">
        <v>82</v>
      </c>
      <c r="BG4691" s="2"/>
      <c r="BH4691" s="2"/>
      <c r="BI4691" s="2"/>
      <c r="BJ4691" s="2">
        <v>241</v>
      </c>
      <c r="BK4691" s="2" t="s">
        <v>82</v>
      </c>
      <c r="BL4691" s="2"/>
      <c r="BM4691" s="2">
        <v>241</v>
      </c>
      <c r="BN4691" s="2" t="s">
        <v>82</v>
      </c>
      <c r="BO4691" s="2"/>
      <c r="BP4691" s="2">
        <v>241</v>
      </c>
      <c r="BQ4691" s="2" t="s">
        <v>82</v>
      </c>
      <c r="BR4691" s="2"/>
      <c r="BS4691" s="3">
        <v>40497</v>
      </c>
      <c r="BT4691" s="4">
        <v>0.88083333333333336</v>
      </c>
    </row>
    <row r="4692" spans="1:72" x14ac:dyDescent="0.25">
      <c r="A4692" s="2">
        <v>7252</v>
      </c>
      <c r="B4692" s="2">
        <v>2010</v>
      </c>
      <c r="C4692" s="2" t="s">
        <v>171</v>
      </c>
      <c r="D4692" s="2" t="s">
        <v>73</v>
      </c>
      <c r="E4692" s="2"/>
      <c r="F4692" s="2">
        <v>540</v>
      </c>
      <c r="G4692" s="2" t="s">
        <v>7178</v>
      </c>
      <c r="H4692" s="2">
        <v>5</v>
      </c>
      <c r="I4692" s="2" t="s">
        <v>634</v>
      </c>
      <c r="J4692" s="2">
        <v>533</v>
      </c>
      <c r="K4692" s="2" t="s">
        <v>6511</v>
      </c>
      <c r="L4692" s="2" t="s">
        <v>478</v>
      </c>
      <c r="M4692" s="3">
        <v>40498</v>
      </c>
      <c r="N4692" s="2" t="s">
        <v>3103</v>
      </c>
      <c r="O4692" s="2" t="s">
        <v>14519</v>
      </c>
      <c r="P4692" s="2"/>
      <c r="Q4692" s="2" t="str">
        <f>"601-E/10"</f>
        <v>601-E/10</v>
      </c>
      <c r="R4692" s="2"/>
      <c r="S4692" s="2" t="s">
        <v>14520</v>
      </c>
      <c r="T4692" s="2">
        <v>1</v>
      </c>
      <c r="U4692" s="2" t="s">
        <v>79</v>
      </c>
      <c r="V4692" s="2">
        <v>1</v>
      </c>
      <c r="W4692" s="2" t="s">
        <v>80</v>
      </c>
      <c r="X4692" s="2">
        <v>1</v>
      </c>
      <c r="Y4692" s="2" t="s">
        <v>81</v>
      </c>
      <c r="Z4692" s="2">
        <v>1</v>
      </c>
      <c r="AA4692" s="2" t="s">
        <v>82</v>
      </c>
      <c r="AB4692" s="2">
        <v>1</v>
      </c>
      <c r="AC4692" s="2" t="s">
        <v>178</v>
      </c>
      <c r="AD4692" s="3">
        <v>40498</v>
      </c>
      <c r="AE4692" s="4">
        <v>2.0833333333333332E-2</v>
      </c>
      <c r="AF4692" s="3">
        <v>40498</v>
      </c>
      <c r="AG4692" s="4">
        <v>0.16666666666666666</v>
      </c>
      <c r="AH4692" s="2">
        <v>2</v>
      </c>
      <c r="AI4692" s="2" t="s">
        <v>84</v>
      </c>
      <c r="AJ4692" s="2">
        <v>9</v>
      </c>
      <c r="AK4692" s="2" t="s">
        <v>103</v>
      </c>
      <c r="AL4692" s="2">
        <v>16</v>
      </c>
      <c r="AM4692" s="2" t="s">
        <v>392</v>
      </c>
      <c r="AN4692" s="2" t="s">
        <v>14521</v>
      </c>
      <c r="AO4692" s="2" t="s">
        <v>14522</v>
      </c>
      <c r="AP4692" s="2">
        <v>12</v>
      </c>
      <c r="AQ4692" s="2" t="s">
        <v>322</v>
      </c>
      <c r="AR4692" s="2" t="s">
        <v>14523</v>
      </c>
      <c r="AS4692" s="2" t="s">
        <v>14524</v>
      </c>
      <c r="AT4692" s="2" t="s">
        <v>14525</v>
      </c>
      <c r="AU4692" s="2"/>
      <c r="AV4692" s="2"/>
      <c r="AW4692" s="2"/>
      <c r="AX4692" s="2"/>
      <c r="AY4692" s="2">
        <v>41</v>
      </c>
      <c r="AZ4692" s="2" t="s">
        <v>82</v>
      </c>
      <c r="BA4692" s="2">
        <v>41</v>
      </c>
      <c r="BB4692" s="2" t="s">
        <v>82</v>
      </c>
      <c r="BC4692" s="2">
        <v>41</v>
      </c>
      <c r="BD4692" s="2" t="s">
        <v>82</v>
      </c>
      <c r="BE4692" s="2">
        <v>47</v>
      </c>
      <c r="BF4692" s="2" t="s">
        <v>167</v>
      </c>
      <c r="BG4692" s="2" t="s">
        <v>14526</v>
      </c>
      <c r="BH4692" s="2"/>
      <c r="BI4692" s="2"/>
      <c r="BJ4692" s="2">
        <v>13</v>
      </c>
      <c r="BK4692" s="2" t="s">
        <v>91</v>
      </c>
      <c r="BL4692" s="2" t="s">
        <v>360</v>
      </c>
      <c r="BM4692" s="2">
        <v>13</v>
      </c>
      <c r="BN4692" s="2" t="s">
        <v>91</v>
      </c>
      <c r="BO4692" s="2"/>
      <c r="BP4692" s="2">
        <v>13</v>
      </c>
      <c r="BQ4692" s="2" t="s">
        <v>91</v>
      </c>
      <c r="BR4692" s="2" t="s">
        <v>353</v>
      </c>
      <c r="BS4692" s="3">
        <v>40498</v>
      </c>
      <c r="BT4692" s="4">
        <v>0.21449074074074073</v>
      </c>
    </row>
    <row r="4693" spans="1:72" x14ac:dyDescent="0.25">
      <c r="A4693" s="2">
        <v>7254</v>
      </c>
      <c r="B4693" s="2">
        <v>2010</v>
      </c>
      <c r="C4693" s="2" t="s">
        <v>4543</v>
      </c>
      <c r="D4693" s="2" t="s">
        <v>122</v>
      </c>
      <c r="E4693" s="2"/>
      <c r="F4693" s="2">
        <v>1</v>
      </c>
      <c r="G4693" s="2" t="s">
        <v>82</v>
      </c>
      <c r="H4693" s="2">
        <v>1</v>
      </c>
      <c r="I4693" s="2" t="s">
        <v>82</v>
      </c>
      <c r="J4693" s="2">
        <v>1</v>
      </c>
      <c r="K4693" s="2" t="s">
        <v>107</v>
      </c>
      <c r="L4693" s="2" t="s">
        <v>107</v>
      </c>
      <c r="M4693" s="3">
        <v>40498</v>
      </c>
      <c r="N4693" s="2"/>
      <c r="O4693" s="2"/>
      <c r="P4693" s="2"/>
      <c r="Q4693" s="2" t="str">
        <f>""</f>
        <v/>
      </c>
      <c r="R4693" s="2"/>
      <c r="S4693" s="2"/>
      <c r="T4693" s="2">
        <v>2</v>
      </c>
      <c r="U4693" s="2" t="s">
        <v>123</v>
      </c>
      <c r="V4693" s="2">
        <v>1</v>
      </c>
      <c r="W4693" s="2" t="s">
        <v>80</v>
      </c>
      <c r="X4693" s="2">
        <v>11</v>
      </c>
      <c r="Y4693" s="2" t="s">
        <v>1920</v>
      </c>
      <c r="Z4693" s="2">
        <v>1</v>
      </c>
      <c r="AA4693" s="2" t="s">
        <v>82</v>
      </c>
      <c r="AB4693" s="2">
        <v>9</v>
      </c>
      <c r="AC4693" s="2" t="s">
        <v>124</v>
      </c>
      <c r="AD4693" s="3">
        <v>40498</v>
      </c>
      <c r="AE4693" s="4">
        <v>0.15625</v>
      </c>
      <c r="AF4693" s="2"/>
      <c r="AG4693" s="2"/>
      <c r="AH4693" s="2">
        <v>6</v>
      </c>
      <c r="AI4693" s="2" t="s">
        <v>197</v>
      </c>
      <c r="AJ4693" s="2">
        <v>54</v>
      </c>
      <c r="AK4693" s="2" t="s">
        <v>348</v>
      </c>
      <c r="AL4693" s="2">
        <v>19</v>
      </c>
      <c r="AM4693" s="2" t="s">
        <v>107</v>
      </c>
      <c r="AN4693" s="2" t="s">
        <v>595</v>
      </c>
      <c r="AO4693" s="2" t="s">
        <v>200</v>
      </c>
      <c r="AP4693" s="2">
        <v>14</v>
      </c>
      <c r="AQ4693" s="2" t="s">
        <v>3301</v>
      </c>
      <c r="AR4693" s="2" t="s">
        <v>596</v>
      </c>
      <c r="AS4693" s="2" t="s">
        <v>596</v>
      </c>
      <c r="AT4693" s="2" t="s">
        <v>14527</v>
      </c>
      <c r="AU4693" s="2"/>
      <c r="AV4693" s="2"/>
      <c r="AW4693" s="2"/>
      <c r="AX4693" s="2"/>
      <c r="AY4693" s="2">
        <v>41</v>
      </c>
      <c r="AZ4693" s="2" t="s">
        <v>82</v>
      </c>
      <c r="BA4693" s="2">
        <v>41</v>
      </c>
      <c r="BB4693" s="2" t="s">
        <v>82</v>
      </c>
      <c r="BC4693" s="2">
        <v>41</v>
      </c>
      <c r="BD4693" s="2" t="s">
        <v>82</v>
      </c>
      <c r="BE4693" s="2">
        <v>4</v>
      </c>
      <c r="BF4693" s="2" t="s">
        <v>90</v>
      </c>
      <c r="BG4693" s="2" t="s">
        <v>598</v>
      </c>
      <c r="BH4693" s="4">
        <v>6.9444444444444434E-2</v>
      </c>
      <c r="BI4693" s="4">
        <v>0.1423611111111111</v>
      </c>
      <c r="BJ4693" s="2">
        <v>13</v>
      </c>
      <c r="BK4693" s="2" t="s">
        <v>91</v>
      </c>
      <c r="BL4693" s="2" t="s">
        <v>2764</v>
      </c>
      <c r="BM4693" s="2">
        <v>13</v>
      </c>
      <c r="BN4693" s="2" t="s">
        <v>91</v>
      </c>
      <c r="BO4693" s="2"/>
      <c r="BP4693" s="2">
        <v>13</v>
      </c>
      <c r="BQ4693" s="2" t="s">
        <v>91</v>
      </c>
      <c r="BR4693" s="2" t="s">
        <v>14528</v>
      </c>
      <c r="BS4693" s="3">
        <v>40498</v>
      </c>
      <c r="BT4693" s="4">
        <v>0.3604282407407407</v>
      </c>
    </row>
    <row r="4694" spans="1:72" x14ac:dyDescent="0.25">
      <c r="A4694" s="2">
        <v>7256</v>
      </c>
      <c r="B4694" s="2">
        <v>2010</v>
      </c>
      <c r="C4694" s="2" t="s">
        <v>659</v>
      </c>
      <c r="D4694" s="2" t="s">
        <v>73</v>
      </c>
      <c r="E4694" s="2"/>
      <c r="F4694" s="2">
        <v>554</v>
      </c>
      <c r="G4694" s="2" t="s">
        <v>2635</v>
      </c>
      <c r="H4694" s="2">
        <v>108</v>
      </c>
      <c r="I4694" s="2" t="s">
        <v>1096</v>
      </c>
      <c r="J4694" s="2">
        <v>427</v>
      </c>
      <c r="K4694" s="2" t="s">
        <v>2636</v>
      </c>
      <c r="L4694" s="2" t="s">
        <v>2637</v>
      </c>
      <c r="M4694" s="3">
        <v>40498</v>
      </c>
      <c r="N4694" s="2" t="s">
        <v>14529</v>
      </c>
      <c r="O4694" s="2" t="s">
        <v>14530</v>
      </c>
      <c r="P4694" s="2" t="s">
        <v>82</v>
      </c>
      <c r="Q4694" s="2" t="str">
        <f>"0048/2010"</f>
        <v>0048/2010</v>
      </c>
      <c r="R4694" s="2" t="s">
        <v>14530</v>
      </c>
      <c r="S4694" s="2" t="s">
        <v>14530</v>
      </c>
      <c r="T4694" s="2">
        <v>1</v>
      </c>
      <c r="U4694" s="2" t="s">
        <v>79</v>
      </c>
      <c r="V4694" s="2">
        <v>1</v>
      </c>
      <c r="W4694" s="2" t="s">
        <v>80</v>
      </c>
      <c r="X4694" s="2">
        <v>1</v>
      </c>
      <c r="Y4694" s="2" t="s">
        <v>81</v>
      </c>
      <c r="Z4694" s="2">
        <v>1</v>
      </c>
      <c r="AA4694" s="2" t="s">
        <v>82</v>
      </c>
      <c r="AB4694" s="2">
        <v>9</v>
      </c>
      <c r="AC4694" s="2" t="s">
        <v>124</v>
      </c>
      <c r="AD4694" s="3">
        <v>40497</v>
      </c>
      <c r="AE4694" s="4">
        <v>0</v>
      </c>
      <c r="AF4694" s="3">
        <v>40497</v>
      </c>
      <c r="AG4694" s="4">
        <v>0.52083333333333337</v>
      </c>
      <c r="AH4694" s="2">
        <v>5</v>
      </c>
      <c r="AI4694" s="2" t="s">
        <v>274</v>
      </c>
      <c r="AJ4694" s="2">
        <v>42</v>
      </c>
      <c r="AK4694" s="2" t="s">
        <v>660</v>
      </c>
      <c r="AL4694" s="2">
        <v>28</v>
      </c>
      <c r="AM4694" s="2" t="s">
        <v>5969</v>
      </c>
      <c r="AN4694" s="2" t="s">
        <v>14531</v>
      </c>
      <c r="AO4694" s="2" t="s">
        <v>14532</v>
      </c>
      <c r="AP4694" s="2">
        <v>11</v>
      </c>
      <c r="AQ4694" s="2" t="s">
        <v>82</v>
      </c>
      <c r="AR4694" s="2"/>
      <c r="AS4694" s="2"/>
      <c r="AT4694" s="2" t="s">
        <v>14533</v>
      </c>
      <c r="AU4694" s="2"/>
      <c r="AV4694" s="2"/>
      <c r="AW4694" s="2"/>
      <c r="AX4694" s="2"/>
      <c r="AY4694" s="2">
        <v>41</v>
      </c>
      <c r="AZ4694" s="2" t="s">
        <v>82</v>
      </c>
      <c r="BA4694" s="2">
        <v>41</v>
      </c>
      <c r="BB4694" s="2" t="s">
        <v>82</v>
      </c>
      <c r="BC4694" s="2">
        <v>41</v>
      </c>
      <c r="BD4694" s="2" t="s">
        <v>82</v>
      </c>
      <c r="BE4694" s="2">
        <v>41</v>
      </c>
      <c r="BF4694" s="2" t="s">
        <v>82</v>
      </c>
      <c r="BG4694" s="2"/>
      <c r="BH4694" s="2"/>
      <c r="BI4694" s="2"/>
      <c r="BJ4694" s="2">
        <v>241</v>
      </c>
      <c r="BK4694" s="2" t="s">
        <v>82</v>
      </c>
      <c r="BL4694" s="2"/>
      <c r="BM4694" s="2">
        <v>241</v>
      </c>
      <c r="BN4694" s="2" t="s">
        <v>82</v>
      </c>
      <c r="BO4694" s="2"/>
      <c r="BP4694" s="2">
        <v>241</v>
      </c>
      <c r="BQ4694" s="2" t="s">
        <v>82</v>
      </c>
      <c r="BR4694" s="2"/>
      <c r="BS4694" s="3">
        <v>40498</v>
      </c>
      <c r="BT4694" s="4">
        <v>0.45929398148148143</v>
      </c>
    </row>
    <row r="4695" spans="1:72" x14ac:dyDescent="0.25">
      <c r="A4695" s="2">
        <v>7257</v>
      </c>
      <c r="B4695" s="2">
        <v>2010</v>
      </c>
      <c r="C4695" s="2" t="s">
        <v>4543</v>
      </c>
      <c r="D4695" s="2" t="s">
        <v>122</v>
      </c>
      <c r="E4695" s="2"/>
      <c r="F4695" s="2">
        <v>1</v>
      </c>
      <c r="G4695" s="2" t="s">
        <v>82</v>
      </c>
      <c r="H4695" s="2">
        <v>1</v>
      </c>
      <c r="I4695" s="2" t="s">
        <v>82</v>
      </c>
      <c r="J4695" s="2">
        <v>1</v>
      </c>
      <c r="K4695" s="2" t="s">
        <v>107</v>
      </c>
      <c r="L4695" s="2" t="s">
        <v>107</v>
      </c>
      <c r="M4695" s="3">
        <v>40498</v>
      </c>
      <c r="N4695" s="2"/>
      <c r="O4695" s="2"/>
      <c r="P4695" s="2"/>
      <c r="Q4695" s="2" t="str">
        <f>""</f>
        <v/>
      </c>
      <c r="R4695" s="2"/>
      <c r="S4695" s="2"/>
      <c r="T4695" s="2">
        <v>2</v>
      </c>
      <c r="U4695" s="2" t="s">
        <v>123</v>
      </c>
      <c r="V4695" s="2">
        <v>1</v>
      </c>
      <c r="W4695" s="2" t="s">
        <v>80</v>
      </c>
      <c r="X4695" s="2">
        <v>5</v>
      </c>
      <c r="Y4695" s="2" t="s">
        <v>82</v>
      </c>
      <c r="Z4695" s="2">
        <v>1</v>
      </c>
      <c r="AA4695" s="2" t="s">
        <v>82</v>
      </c>
      <c r="AB4695" s="2">
        <v>9</v>
      </c>
      <c r="AC4695" s="2" t="s">
        <v>124</v>
      </c>
      <c r="AD4695" s="3">
        <v>40498</v>
      </c>
      <c r="AE4695" s="4">
        <v>0.32291666666666669</v>
      </c>
      <c r="AF4695" s="3">
        <v>40498</v>
      </c>
      <c r="AG4695" s="2"/>
      <c r="AH4695" s="2">
        <v>6</v>
      </c>
      <c r="AI4695" s="2" t="s">
        <v>197</v>
      </c>
      <c r="AJ4695" s="2">
        <v>58</v>
      </c>
      <c r="AK4695" s="2" t="s">
        <v>406</v>
      </c>
      <c r="AL4695" s="2">
        <v>12</v>
      </c>
      <c r="AM4695" s="2" t="s">
        <v>86</v>
      </c>
      <c r="AN4695" s="2"/>
      <c r="AO4695" s="2" t="s">
        <v>14534</v>
      </c>
      <c r="AP4695" s="2">
        <v>11</v>
      </c>
      <c r="AQ4695" s="2" t="s">
        <v>82</v>
      </c>
      <c r="AR4695" s="2"/>
      <c r="AS4695" s="2"/>
      <c r="AT4695" s="2" t="s">
        <v>14535</v>
      </c>
      <c r="AU4695" s="2"/>
      <c r="AV4695" s="2"/>
      <c r="AW4695" s="2"/>
      <c r="AX4695" s="2"/>
      <c r="AY4695" s="2">
        <v>41</v>
      </c>
      <c r="AZ4695" s="2" t="s">
        <v>82</v>
      </c>
      <c r="BA4695" s="2">
        <v>41</v>
      </c>
      <c r="BB4695" s="2" t="s">
        <v>82</v>
      </c>
      <c r="BC4695" s="2">
        <v>41</v>
      </c>
      <c r="BD4695" s="2" t="s">
        <v>82</v>
      </c>
      <c r="BE4695" s="2">
        <v>41</v>
      </c>
      <c r="BF4695" s="2" t="s">
        <v>82</v>
      </c>
      <c r="BG4695" s="2"/>
      <c r="BH4695" s="2"/>
      <c r="BI4695" s="2"/>
      <c r="BJ4695" s="2">
        <v>241</v>
      </c>
      <c r="BK4695" s="2" t="s">
        <v>82</v>
      </c>
      <c r="BL4695" s="2"/>
      <c r="BM4695" s="2">
        <v>241</v>
      </c>
      <c r="BN4695" s="2" t="s">
        <v>82</v>
      </c>
      <c r="BO4695" s="2"/>
      <c r="BP4695" s="2">
        <v>241</v>
      </c>
      <c r="BQ4695" s="2" t="s">
        <v>82</v>
      </c>
      <c r="BR4695" s="2"/>
      <c r="BS4695" s="3">
        <v>40498</v>
      </c>
      <c r="BT4695" s="4">
        <v>0.4695833333333333</v>
      </c>
    </row>
    <row r="4696" spans="1:72" x14ac:dyDescent="0.25">
      <c r="A4696" s="2">
        <v>7258</v>
      </c>
      <c r="B4696" s="2">
        <v>2010</v>
      </c>
      <c r="C4696" s="2" t="s">
        <v>255</v>
      </c>
      <c r="D4696" s="2" t="s">
        <v>122</v>
      </c>
      <c r="E4696" s="2" t="s">
        <v>14536</v>
      </c>
      <c r="F4696" s="2">
        <v>70</v>
      </c>
      <c r="G4696" s="2" t="s">
        <v>3539</v>
      </c>
      <c r="H4696" s="2">
        <v>108</v>
      </c>
      <c r="I4696" s="2" t="s">
        <v>1096</v>
      </c>
      <c r="J4696" s="2">
        <v>689</v>
      </c>
      <c r="K4696" s="2" t="s">
        <v>13469</v>
      </c>
      <c r="L4696" s="2" t="s">
        <v>13470</v>
      </c>
      <c r="M4696" s="3">
        <v>40498</v>
      </c>
      <c r="N4696" s="2" t="s">
        <v>5060</v>
      </c>
      <c r="O4696" s="2" t="s">
        <v>14292</v>
      </c>
      <c r="P4696" s="2" t="s">
        <v>14537</v>
      </c>
      <c r="Q4696" s="2" t="str">
        <f>"03/2010"</f>
        <v>03/2010</v>
      </c>
      <c r="R4696" s="2" t="s">
        <v>14066</v>
      </c>
      <c r="S4696" s="2" t="s">
        <v>14066</v>
      </c>
      <c r="T4696" s="2">
        <v>1</v>
      </c>
      <c r="U4696" s="2" t="s">
        <v>79</v>
      </c>
      <c r="V4696" s="2">
        <v>1</v>
      </c>
      <c r="W4696" s="2" t="s">
        <v>80</v>
      </c>
      <c r="X4696" s="2">
        <v>12</v>
      </c>
      <c r="Y4696" s="2" t="s">
        <v>148</v>
      </c>
      <c r="Z4696" s="2">
        <v>3</v>
      </c>
      <c r="AA4696" s="2" t="s">
        <v>257</v>
      </c>
      <c r="AB4696" s="2">
        <v>9</v>
      </c>
      <c r="AC4696" s="2" t="s">
        <v>124</v>
      </c>
      <c r="AD4696" s="3">
        <v>40485</v>
      </c>
      <c r="AE4696" s="4">
        <v>0.67708333333333337</v>
      </c>
      <c r="AF4696" s="3">
        <v>40485</v>
      </c>
      <c r="AG4696" s="4">
        <v>0.72222222222222221</v>
      </c>
      <c r="AH4696" s="2">
        <v>3</v>
      </c>
      <c r="AI4696" s="2" t="s">
        <v>214</v>
      </c>
      <c r="AJ4696" s="2">
        <v>21</v>
      </c>
      <c r="AK4696" s="2" t="s">
        <v>3544</v>
      </c>
      <c r="AL4696" s="2">
        <v>9</v>
      </c>
      <c r="AM4696" s="2" t="s">
        <v>259</v>
      </c>
      <c r="AN4696" s="2" t="s">
        <v>14067</v>
      </c>
      <c r="AO4696" s="2"/>
      <c r="AP4696" s="2">
        <v>11</v>
      </c>
      <c r="AQ4696" s="2" t="s">
        <v>82</v>
      </c>
      <c r="AR4696" s="2"/>
      <c r="AS4696" s="2"/>
      <c r="AT4696" s="2" t="s">
        <v>14538</v>
      </c>
      <c r="AU4696" s="2"/>
      <c r="AV4696" s="2"/>
      <c r="AW4696" s="2"/>
      <c r="AX4696" s="2"/>
      <c r="AY4696" s="2">
        <v>44</v>
      </c>
      <c r="AZ4696" s="2" t="s">
        <v>262</v>
      </c>
      <c r="BA4696" s="2">
        <v>44</v>
      </c>
      <c r="BB4696" s="2" t="s">
        <v>262</v>
      </c>
      <c r="BC4696" s="2">
        <v>41</v>
      </c>
      <c r="BD4696" s="2" t="s">
        <v>82</v>
      </c>
      <c r="BE4696" s="2">
        <v>41</v>
      </c>
      <c r="BF4696" s="2" t="s">
        <v>82</v>
      </c>
      <c r="BG4696" s="2"/>
      <c r="BH4696" s="2"/>
      <c r="BI4696" s="2"/>
      <c r="BJ4696" s="2">
        <v>241</v>
      </c>
      <c r="BK4696" s="2" t="s">
        <v>82</v>
      </c>
      <c r="BL4696" s="2"/>
      <c r="BM4696" s="2">
        <v>241</v>
      </c>
      <c r="BN4696" s="2" t="s">
        <v>82</v>
      </c>
      <c r="BO4696" s="2"/>
      <c r="BP4696" s="2">
        <v>241</v>
      </c>
      <c r="BQ4696" s="2" t="s">
        <v>82</v>
      </c>
      <c r="BR4696" s="2"/>
      <c r="BS4696" s="3">
        <v>40498</v>
      </c>
      <c r="BT4696" s="4">
        <v>0.49407407407407411</v>
      </c>
    </row>
    <row r="4697" spans="1:72" x14ac:dyDescent="0.25">
      <c r="A4697" s="2">
        <v>7259</v>
      </c>
      <c r="B4697" s="2">
        <v>2010</v>
      </c>
      <c r="C4697" s="2" t="s">
        <v>255</v>
      </c>
      <c r="D4697" s="2" t="s">
        <v>122</v>
      </c>
      <c r="E4697" s="2" t="s">
        <v>14539</v>
      </c>
      <c r="F4697" s="2">
        <v>70</v>
      </c>
      <c r="G4697" s="2" t="s">
        <v>3539</v>
      </c>
      <c r="H4697" s="2">
        <v>108</v>
      </c>
      <c r="I4697" s="2" t="s">
        <v>1096</v>
      </c>
      <c r="J4697" s="2">
        <v>689</v>
      </c>
      <c r="K4697" s="2" t="s">
        <v>13469</v>
      </c>
      <c r="L4697" s="2" t="s">
        <v>13470</v>
      </c>
      <c r="M4697" s="3">
        <v>40498</v>
      </c>
      <c r="N4697" s="2" t="s">
        <v>5060</v>
      </c>
      <c r="O4697" s="2" t="s">
        <v>14540</v>
      </c>
      <c r="P4697" s="2" t="s">
        <v>14541</v>
      </c>
      <c r="Q4697" s="2" t="str">
        <f>"04/2010"</f>
        <v>04/2010</v>
      </c>
      <c r="R4697" s="2" t="s">
        <v>14066</v>
      </c>
      <c r="S4697" s="2" t="s">
        <v>14066</v>
      </c>
      <c r="T4697" s="2">
        <v>1</v>
      </c>
      <c r="U4697" s="2" t="s">
        <v>79</v>
      </c>
      <c r="V4697" s="2">
        <v>1</v>
      </c>
      <c r="W4697" s="2" t="s">
        <v>80</v>
      </c>
      <c r="X4697" s="2">
        <v>5</v>
      </c>
      <c r="Y4697" s="2" t="s">
        <v>82</v>
      </c>
      <c r="Z4697" s="2">
        <v>1</v>
      </c>
      <c r="AA4697" s="2" t="s">
        <v>82</v>
      </c>
      <c r="AB4697" s="2">
        <v>9</v>
      </c>
      <c r="AC4697" s="2" t="s">
        <v>124</v>
      </c>
      <c r="AD4697" s="3">
        <v>40497</v>
      </c>
      <c r="AE4697" s="4">
        <v>0.40972222222222227</v>
      </c>
      <c r="AF4697" s="2"/>
      <c r="AG4697" s="2"/>
      <c r="AH4697" s="2">
        <v>3</v>
      </c>
      <c r="AI4697" s="2" t="s">
        <v>214</v>
      </c>
      <c r="AJ4697" s="2">
        <v>21</v>
      </c>
      <c r="AK4697" s="2" t="s">
        <v>3544</v>
      </c>
      <c r="AL4697" s="2">
        <v>19</v>
      </c>
      <c r="AM4697" s="2" t="s">
        <v>107</v>
      </c>
      <c r="AN4697" s="2" t="s">
        <v>14261</v>
      </c>
      <c r="AO4697" s="2"/>
      <c r="AP4697" s="2">
        <v>11</v>
      </c>
      <c r="AQ4697" s="2" t="s">
        <v>82</v>
      </c>
      <c r="AR4697" s="2"/>
      <c r="AS4697" s="2"/>
      <c r="AT4697" s="2" t="s">
        <v>14542</v>
      </c>
      <c r="AU4697" s="2"/>
      <c r="AV4697" s="2"/>
      <c r="AW4697" s="2"/>
      <c r="AX4697" s="2"/>
      <c r="AY4697" s="2">
        <v>41</v>
      </c>
      <c r="AZ4697" s="2" t="s">
        <v>82</v>
      </c>
      <c r="BA4697" s="2">
        <v>41</v>
      </c>
      <c r="BB4697" s="2" t="s">
        <v>82</v>
      </c>
      <c r="BC4697" s="2">
        <v>41</v>
      </c>
      <c r="BD4697" s="2" t="s">
        <v>82</v>
      </c>
      <c r="BE4697" s="2">
        <v>41</v>
      </c>
      <c r="BF4697" s="2" t="s">
        <v>82</v>
      </c>
      <c r="BG4697" s="2"/>
      <c r="BH4697" s="2"/>
      <c r="BI4697" s="2"/>
      <c r="BJ4697" s="2">
        <v>241</v>
      </c>
      <c r="BK4697" s="2" t="s">
        <v>82</v>
      </c>
      <c r="BL4697" s="2"/>
      <c r="BM4697" s="2">
        <v>241</v>
      </c>
      <c r="BN4697" s="2" t="s">
        <v>82</v>
      </c>
      <c r="BO4697" s="2"/>
      <c r="BP4697" s="2">
        <v>241</v>
      </c>
      <c r="BQ4697" s="2" t="s">
        <v>82</v>
      </c>
      <c r="BR4697" s="2"/>
      <c r="BS4697" s="3">
        <v>40498</v>
      </c>
      <c r="BT4697" s="4">
        <v>0.52553240740740736</v>
      </c>
    </row>
    <row r="4698" spans="1:72" x14ac:dyDescent="0.25">
      <c r="A4698" s="2">
        <v>7262</v>
      </c>
      <c r="B4698" s="2">
        <v>2010</v>
      </c>
      <c r="C4698" s="2" t="s">
        <v>1559</v>
      </c>
      <c r="D4698" s="2" t="s">
        <v>122</v>
      </c>
      <c r="E4698" s="2"/>
      <c r="F4698" s="2">
        <v>121</v>
      </c>
      <c r="G4698" s="2" t="s">
        <v>2501</v>
      </c>
      <c r="H4698" s="2">
        <v>3</v>
      </c>
      <c r="I4698" s="2" t="s">
        <v>315</v>
      </c>
      <c r="J4698" s="2">
        <v>135</v>
      </c>
      <c r="K4698" s="2" t="s">
        <v>2502</v>
      </c>
      <c r="L4698" s="2" t="s">
        <v>2503</v>
      </c>
      <c r="M4698" s="3">
        <v>40498</v>
      </c>
      <c r="N4698" s="2" t="s">
        <v>14543</v>
      </c>
      <c r="O4698" s="2" t="s">
        <v>14544</v>
      </c>
      <c r="P4698" s="2"/>
      <c r="Q4698" s="2" t="str">
        <f>""</f>
        <v/>
      </c>
      <c r="R4698" s="2"/>
      <c r="S4698" s="2"/>
      <c r="T4698" s="2">
        <v>1</v>
      </c>
      <c r="U4698" s="2" t="s">
        <v>79</v>
      </c>
      <c r="V4698" s="2">
        <v>1</v>
      </c>
      <c r="W4698" s="2" t="s">
        <v>80</v>
      </c>
      <c r="X4698" s="2">
        <v>4</v>
      </c>
      <c r="Y4698" s="2" t="s">
        <v>463</v>
      </c>
      <c r="Z4698" s="2">
        <v>24</v>
      </c>
      <c r="AA4698" s="2" t="s">
        <v>5387</v>
      </c>
      <c r="AB4698" s="2">
        <v>9</v>
      </c>
      <c r="AC4698" s="2" t="s">
        <v>124</v>
      </c>
      <c r="AD4698" s="3">
        <v>40498</v>
      </c>
      <c r="AE4698" s="4">
        <v>0.33333333333333331</v>
      </c>
      <c r="AF4698" s="2"/>
      <c r="AG4698" s="2"/>
      <c r="AH4698" s="2">
        <v>6</v>
      </c>
      <c r="AI4698" s="2" t="s">
        <v>197</v>
      </c>
      <c r="AJ4698" s="2">
        <v>58</v>
      </c>
      <c r="AK4698" s="2" t="s">
        <v>406</v>
      </c>
      <c r="AL4698" s="2">
        <v>11</v>
      </c>
      <c r="AM4698" s="2" t="s">
        <v>137</v>
      </c>
      <c r="AN4698" s="2"/>
      <c r="AO4698" s="2" t="s">
        <v>2530</v>
      </c>
      <c r="AP4698" s="2">
        <v>11</v>
      </c>
      <c r="AQ4698" s="2" t="s">
        <v>82</v>
      </c>
      <c r="AR4698" s="2"/>
      <c r="AS4698" s="2"/>
      <c r="AT4698" s="2" t="s">
        <v>14545</v>
      </c>
      <c r="AU4698" s="2"/>
      <c r="AV4698" s="2"/>
      <c r="AW4698" s="2"/>
      <c r="AX4698" s="2"/>
      <c r="AY4698" s="2">
        <v>41</v>
      </c>
      <c r="AZ4698" s="2" t="s">
        <v>82</v>
      </c>
      <c r="BA4698" s="2">
        <v>41</v>
      </c>
      <c r="BB4698" s="2" t="s">
        <v>82</v>
      </c>
      <c r="BC4698" s="2">
        <v>41</v>
      </c>
      <c r="BD4698" s="2" t="s">
        <v>82</v>
      </c>
      <c r="BE4698" s="2">
        <v>47</v>
      </c>
      <c r="BF4698" s="2" t="s">
        <v>167</v>
      </c>
      <c r="BG4698" s="2" t="s">
        <v>610</v>
      </c>
      <c r="BH4698" s="4">
        <v>0.2986111111111111</v>
      </c>
      <c r="BI4698" s="4">
        <v>0.33333333333333331</v>
      </c>
      <c r="BJ4698" s="2">
        <v>13</v>
      </c>
      <c r="BK4698" s="2" t="s">
        <v>91</v>
      </c>
      <c r="BL4698" s="2" t="s">
        <v>185</v>
      </c>
      <c r="BM4698" s="2">
        <v>13</v>
      </c>
      <c r="BN4698" s="2" t="s">
        <v>91</v>
      </c>
      <c r="BO4698" s="2"/>
      <c r="BP4698" s="2">
        <v>13</v>
      </c>
      <c r="BQ4698" s="2" t="s">
        <v>91</v>
      </c>
      <c r="BR4698" s="2" t="s">
        <v>185</v>
      </c>
      <c r="BS4698" s="3">
        <v>40498</v>
      </c>
      <c r="BT4698" s="4">
        <v>0.57040509259259264</v>
      </c>
    </row>
    <row r="4699" spans="1:72" x14ac:dyDescent="0.25">
      <c r="A4699" s="2">
        <v>7264</v>
      </c>
      <c r="B4699" s="2">
        <v>2010</v>
      </c>
      <c r="C4699" s="2" t="s">
        <v>171</v>
      </c>
      <c r="D4699" s="2" t="s">
        <v>73</v>
      </c>
      <c r="E4699" s="2"/>
      <c r="F4699" s="2">
        <v>398</v>
      </c>
      <c r="G4699" s="2" t="s">
        <v>94</v>
      </c>
      <c r="H4699" s="2">
        <v>12</v>
      </c>
      <c r="I4699" s="2" t="s">
        <v>95</v>
      </c>
      <c r="J4699" s="2">
        <v>245</v>
      </c>
      <c r="K4699" s="2" t="s">
        <v>96</v>
      </c>
      <c r="L4699" s="2" t="s">
        <v>97</v>
      </c>
      <c r="M4699" s="3">
        <v>40498</v>
      </c>
      <c r="N4699" s="2" t="s">
        <v>451</v>
      </c>
      <c r="O4699" s="2" t="s">
        <v>14546</v>
      </c>
      <c r="P4699" s="2" t="s">
        <v>14547</v>
      </c>
      <c r="Q4699" s="2" t="str">
        <f>"595-E/10"</f>
        <v>595-E/10</v>
      </c>
      <c r="R4699" s="2" t="s">
        <v>391</v>
      </c>
      <c r="S4699" s="2" t="s">
        <v>391</v>
      </c>
      <c r="T4699" s="2">
        <v>1</v>
      </c>
      <c r="U4699" s="2" t="s">
        <v>79</v>
      </c>
      <c r="V4699" s="2">
        <v>1</v>
      </c>
      <c r="W4699" s="2" t="s">
        <v>80</v>
      </c>
      <c r="X4699" s="2">
        <v>9</v>
      </c>
      <c r="Y4699" s="2" t="s">
        <v>3393</v>
      </c>
      <c r="Z4699" s="2">
        <v>1</v>
      </c>
      <c r="AA4699" s="2" t="s">
        <v>82</v>
      </c>
      <c r="AB4699" s="2">
        <v>1</v>
      </c>
      <c r="AC4699" s="2" t="s">
        <v>178</v>
      </c>
      <c r="AD4699" s="3">
        <v>40498</v>
      </c>
      <c r="AE4699" s="4">
        <v>0.53819444444444442</v>
      </c>
      <c r="AF4699" s="3">
        <v>40498</v>
      </c>
      <c r="AG4699" s="4">
        <v>0.55208333333333337</v>
      </c>
      <c r="AH4699" s="2">
        <v>2</v>
      </c>
      <c r="AI4699" s="2" t="s">
        <v>84</v>
      </c>
      <c r="AJ4699" s="2">
        <v>6</v>
      </c>
      <c r="AK4699" s="2" t="s">
        <v>453</v>
      </c>
      <c r="AL4699" s="2">
        <v>23</v>
      </c>
      <c r="AM4699" s="2" t="s">
        <v>251</v>
      </c>
      <c r="AN4699" s="2" t="s">
        <v>14548</v>
      </c>
      <c r="AO4699" s="2" t="s">
        <v>170</v>
      </c>
      <c r="AP4699" s="2">
        <v>11</v>
      </c>
      <c r="AQ4699" s="2" t="s">
        <v>82</v>
      </c>
      <c r="AR4699" s="2"/>
      <c r="AS4699" s="2"/>
      <c r="AT4699" s="2" t="s">
        <v>14549</v>
      </c>
      <c r="AU4699" s="2"/>
      <c r="AV4699" s="2"/>
      <c r="AW4699" s="2"/>
      <c r="AX4699" s="2"/>
      <c r="AY4699" s="2">
        <v>41</v>
      </c>
      <c r="AZ4699" s="2" t="s">
        <v>82</v>
      </c>
      <c r="BA4699" s="2">
        <v>41</v>
      </c>
      <c r="BB4699" s="2" t="s">
        <v>82</v>
      </c>
      <c r="BC4699" s="2">
        <v>41</v>
      </c>
      <c r="BD4699" s="2" t="s">
        <v>82</v>
      </c>
      <c r="BE4699" s="2">
        <v>41</v>
      </c>
      <c r="BF4699" s="2" t="s">
        <v>82</v>
      </c>
      <c r="BG4699" s="2"/>
      <c r="BH4699" s="2"/>
      <c r="BI4699" s="2"/>
      <c r="BJ4699" s="2">
        <v>241</v>
      </c>
      <c r="BK4699" s="2" t="s">
        <v>82</v>
      </c>
      <c r="BL4699" s="2"/>
      <c r="BM4699" s="2">
        <v>241</v>
      </c>
      <c r="BN4699" s="2" t="s">
        <v>82</v>
      </c>
      <c r="BO4699" s="2"/>
      <c r="BP4699" s="2">
        <v>241</v>
      </c>
      <c r="BQ4699" s="2" t="s">
        <v>82</v>
      </c>
      <c r="BR4699" s="2"/>
      <c r="BS4699" s="3">
        <v>40498</v>
      </c>
      <c r="BT4699" s="4">
        <v>0.58783564814814815</v>
      </c>
    </row>
    <row r="4700" spans="1:72" x14ac:dyDescent="0.25">
      <c r="A4700" s="2">
        <v>7273</v>
      </c>
      <c r="B4700" s="2">
        <v>2010</v>
      </c>
      <c r="C4700" s="2" t="s">
        <v>2011</v>
      </c>
      <c r="D4700" s="2" t="s">
        <v>73</v>
      </c>
      <c r="E4700" s="2"/>
      <c r="F4700" s="2">
        <v>53</v>
      </c>
      <c r="G4700" s="2" t="s">
        <v>2755</v>
      </c>
      <c r="H4700" s="2">
        <v>99</v>
      </c>
      <c r="I4700" s="2" t="s">
        <v>6285</v>
      </c>
      <c r="J4700" s="2">
        <v>89</v>
      </c>
      <c r="K4700" s="2" t="s">
        <v>14550</v>
      </c>
      <c r="L4700" s="2" t="s">
        <v>14551</v>
      </c>
      <c r="M4700" s="3">
        <v>40498</v>
      </c>
      <c r="N4700" s="2" t="s">
        <v>3489</v>
      </c>
      <c r="O4700" s="2"/>
      <c r="P4700" s="2"/>
      <c r="Q4700" s="2" t="str">
        <f>"036/10"</f>
        <v>036/10</v>
      </c>
      <c r="R4700" s="2"/>
      <c r="S4700" s="2" t="s">
        <v>14552</v>
      </c>
      <c r="T4700" s="2">
        <v>1</v>
      </c>
      <c r="U4700" s="2" t="s">
        <v>79</v>
      </c>
      <c r="V4700" s="2">
        <v>1</v>
      </c>
      <c r="W4700" s="2" t="s">
        <v>80</v>
      </c>
      <c r="X4700" s="2">
        <v>1</v>
      </c>
      <c r="Y4700" s="2" t="s">
        <v>81</v>
      </c>
      <c r="Z4700" s="2">
        <v>1</v>
      </c>
      <c r="AA4700" s="2" t="s">
        <v>82</v>
      </c>
      <c r="AB4700" s="2">
        <v>9</v>
      </c>
      <c r="AC4700" s="2" t="s">
        <v>124</v>
      </c>
      <c r="AD4700" s="3">
        <v>40498</v>
      </c>
      <c r="AE4700" s="2"/>
      <c r="AF4700" s="3">
        <v>40498</v>
      </c>
      <c r="AG4700" s="4">
        <v>0.70833333333333337</v>
      </c>
      <c r="AH4700" s="2">
        <v>4</v>
      </c>
      <c r="AI4700" s="2" t="s">
        <v>125</v>
      </c>
      <c r="AJ4700" s="2">
        <v>28</v>
      </c>
      <c r="AK4700" s="2" t="s">
        <v>741</v>
      </c>
      <c r="AL4700" s="2">
        <v>25</v>
      </c>
      <c r="AM4700" s="2" t="s">
        <v>3073</v>
      </c>
      <c r="AN4700" s="2"/>
      <c r="AO4700" s="2" t="s">
        <v>14553</v>
      </c>
      <c r="AP4700" s="2">
        <v>11</v>
      </c>
      <c r="AQ4700" s="2" t="s">
        <v>82</v>
      </c>
      <c r="AR4700" s="2"/>
      <c r="AS4700" s="2"/>
      <c r="AT4700" s="2" t="s">
        <v>14554</v>
      </c>
      <c r="AU4700" s="2"/>
      <c r="AV4700" s="2"/>
      <c r="AW4700" s="2"/>
      <c r="AX4700" s="2"/>
      <c r="AY4700" s="2">
        <v>41</v>
      </c>
      <c r="AZ4700" s="2" t="s">
        <v>82</v>
      </c>
      <c r="BA4700" s="2">
        <v>41</v>
      </c>
      <c r="BB4700" s="2" t="s">
        <v>82</v>
      </c>
      <c r="BC4700" s="2">
        <v>41</v>
      </c>
      <c r="BD4700" s="2" t="s">
        <v>82</v>
      </c>
      <c r="BE4700" s="2">
        <v>41</v>
      </c>
      <c r="BF4700" s="2" t="s">
        <v>82</v>
      </c>
      <c r="BG4700" s="2"/>
      <c r="BH4700" s="2"/>
      <c r="BI4700" s="2"/>
      <c r="BJ4700" s="2">
        <v>241</v>
      </c>
      <c r="BK4700" s="2" t="s">
        <v>82</v>
      </c>
      <c r="BL4700" s="2"/>
      <c r="BM4700" s="2">
        <v>241</v>
      </c>
      <c r="BN4700" s="2" t="s">
        <v>82</v>
      </c>
      <c r="BO4700" s="2"/>
      <c r="BP4700" s="2">
        <v>241</v>
      </c>
      <c r="BQ4700" s="2" t="s">
        <v>82</v>
      </c>
      <c r="BR4700" s="2"/>
      <c r="BS4700" s="3">
        <v>40498</v>
      </c>
      <c r="BT4700" s="4">
        <v>0.79249999999999998</v>
      </c>
    </row>
    <row r="4701" spans="1:72" x14ac:dyDescent="0.25">
      <c r="A4701" s="2">
        <v>7275</v>
      </c>
      <c r="B4701" s="2">
        <v>2010</v>
      </c>
      <c r="C4701" s="2" t="s">
        <v>4543</v>
      </c>
      <c r="D4701" s="2" t="s">
        <v>122</v>
      </c>
      <c r="E4701" s="2"/>
      <c r="F4701" s="2">
        <v>146</v>
      </c>
      <c r="G4701" s="2" t="s">
        <v>753</v>
      </c>
      <c r="H4701" s="2">
        <v>99</v>
      </c>
      <c r="I4701" s="2" t="s">
        <v>6285</v>
      </c>
      <c r="J4701" s="2">
        <v>161</v>
      </c>
      <c r="K4701" s="2" t="s">
        <v>1900</v>
      </c>
      <c r="L4701" s="2" t="s">
        <v>1901</v>
      </c>
      <c r="M4701" s="3">
        <v>40498</v>
      </c>
      <c r="N4701" s="2" t="s">
        <v>14555</v>
      </c>
      <c r="O4701" s="2" t="s">
        <v>82</v>
      </c>
      <c r="P4701" s="2" t="s">
        <v>82</v>
      </c>
      <c r="Q4701" s="2" t="str">
        <f>"AP-0054/10"</f>
        <v>AP-0054/10</v>
      </c>
      <c r="R4701" s="2" t="s">
        <v>82</v>
      </c>
      <c r="S4701" s="2" t="s">
        <v>82</v>
      </c>
      <c r="T4701" s="2">
        <v>2</v>
      </c>
      <c r="U4701" s="2" t="s">
        <v>123</v>
      </c>
      <c r="V4701" s="2">
        <v>1</v>
      </c>
      <c r="W4701" s="2" t="s">
        <v>80</v>
      </c>
      <c r="X4701" s="2">
        <v>1</v>
      </c>
      <c r="Y4701" s="2" t="s">
        <v>81</v>
      </c>
      <c r="Z4701" s="2">
        <v>10</v>
      </c>
      <c r="AA4701" s="2" t="s">
        <v>236</v>
      </c>
      <c r="AB4701" s="2">
        <v>9</v>
      </c>
      <c r="AC4701" s="2" t="s">
        <v>124</v>
      </c>
      <c r="AD4701" s="3">
        <v>40498</v>
      </c>
      <c r="AE4701" s="4">
        <v>0.75</v>
      </c>
      <c r="AF4701" s="2"/>
      <c r="AG4701" s="2"/>
      <c r="AH4701" s="2">
        <v>6</v>
      </c>
      <c r="AI4701" s="2" t="s">
        <v>197</v>
      </c>
      <c r="AJ4701" s="2">
        <v>60</v>
      </c>
      <c r="AK4701" s="2" t="s">
        <v>543</v>
      </c>
      <c r="AL4701" s="2">
        <v>22</v>
      </c>
      <c r="AM4701" s="2" t="s">
        <v>1853</v>
      </c>
      <c r="AN4701" s="2" t="s">
        <v>14556</v>
      </c>
      <c r="AO4701" s="2" t="s">
        <v>14557</v>
      </c>
      <c r="AP4701" s="2">
        <v>11</v>
      </c>
      <c r="AQ4701" s="2" t="s">
        <v>82</v>
      </c>
      <c r="AR4701" s="2" t="s">
        <v>82</v>
      </c>
      <c r="AS4701" s="2" t="s">
        <v>82</v>
      </c>
      <c r="AT4701" s="2" t="s">
        <v>14558</v>
      </c>
      <c r="AU4701" s="2"/>
      <c r="AV4701" s="2"/>
      <c r="AW4701" s="2"/>
      <c r="AX4701" s="2"/>
      <c r="AY4701" s="2">
        <v>41</v>
      </c>
      <c r="AZ4701" s="2" t="s">
        <v>82</v>
      </c>
      <c r="BA4701" s="2">
        <v>41</v>
      </c>
      <c r="BB4701" s="2" t="s">
        <v>82</v>
      </c>
      <c r="BC4701" s="2">
        <v>41</v>
      </c>
      <c r="BD4701" s="2" t="s">
        <v>82</v>
      </c>
      <c r="BE4701" s="2">
        <v>47</v>
      </c>
      <c r="BF4701" s="2" t="s">
        <v>167</v>
      </c>
      <c r="BG4701" s="2" t="s">
        <v>14559</v>
      </c>
      <c r="BH4701" s="4">
        <v>0.66666666666666663</v>
      </c>
      <c r="BI4701" s="4">
        <v>0.69444444444444453</v>
      </c>
      <c r="BJ4701" s="2">
        <v>13</v>
      </c>
      <c r="BK4701" s="2" t="s">
        <v>91</v>
      </c>
      <c r="BL4701" s="2" t="s">
        <v>11378</v>
      </c>
      <c r="BM4701" s="2">
        <v>13</v>
      </c>
      <c r="BN4701" s="2" t="s">
        <v>91</v>
      </c>
      <c r="BO4701" s="2"/>
      <c r="BP4701" s="2">
        <v>13</v>
      </c>
      <c r="BQ4701" s="2" t="s">
        <v>91</v>
      </c>
      <c r="BR4701" s="2" t="s">
        <v>112</v>
      </c>
      <c r="BS4701" s="3">
        <v>40498</v>
      </c>
      <c r="BT4701" s="4">
        <v>0.84960648148148143</v>
      </c>
    </row>
    <row r="4702" spans="1:72" x14ac:dyDescent="0.25">
      <c r="A4702" s="2">
        <v>7276</v>
      </c>
      <c r="B4702" s="2">
        <v>2010</v>
      </c>
      <c r="C4702" s="2" t="s">
        <v>171</v>
      </c>
      <c r="D4702" s="2" t="s">
        <v>122</v>
      </c>
      <c r="E4702" s="2" t="s">
        <v>14306</v>
      </c>
      <c r="F4702" s="2">
        <v>400</v>
      </c>
      <c r="G4702" s="2" t="s">
        <v>3601</v>
      </c>
      <c r="H4702" s="2">
        <v>17</v>
      </c>
      <c r="I4702" s="2" t="s">
        <v>3602</v>
      </c>
      <c r="J4702" s="2">
        <v>316</v>
      </c>
      <c r="K4702" s="2" t="s">
        <v>574</v>
      </c>
      <c r="L4702" s="2" t="s">
        <v>575</v>
      </c>
      <c r="M4702" s="3">
        <v>40498</v>
      </c>
      <c r="N4702" s="2" t="s">
        <v>3826</v>
      </c>
      <c r="O4702" s="2" t="s">
        <v>14184</v>
      </c>
      <c r="P4702" s="2">
        <v>1386</v>
      </c>
      <c r="Q4702" s="2" t="str">
        <f>"09R/10"</f>
        <v>09R/10</v>
      </c>
      <c r="R4702" s="2"/>
      <c r="S4702" s="2" t="s">
        <v>6092</v>
      </c>
      <c r="T4702" s="2">
        <v>1</v>
      </c>
      <c r="U4702" s="2" t="s">
        <v>79</v>
      </c>
      <c r="V4702" s="2">
        <v>1</v>
      </c>
      <c r="W4702" s="2" t="s">
        <v>80</v>
      </c>
      <c r="X4702" s="2">
        <v>2</v>
      </c>
      <c r="Y4702" s="2" t="s">
        <v>136</v>
      </c>
      <c r="Z4702" s="2">
        <v>10</v>
      </c>
      <c r="AA4702" s="2" t="s">
        <v>236</v>
      </c>
      <c r="AB4702" s="2">
        <v>1</v>
      </c>
      <c r="AC4702" s="2" t="s">
        <v>178</v>
      </c>
      <c r="AD4702" s="3">
        <v>40498</v>
      </c>
      <c r="AE4702" s="4">
        <v>0.62152777777777779</v>
      </c>
      <c r="AF4702" s="2"/>
      <c r="AG4702" s="2"/>
      <c r="AH4702" s="2">
        <v>2</v>
      </c>
      <c r="AI4702" s="2" t="s">
        <v>84</v>
      </c>
      <c r="AJ4702" s="2">
        <v>6</v>
      </c>
      <c r="AK4702" s="2" t="s">
        <v>453</v>
      </c>
      <c r="AL4702" s="2">
        <v>14</v>
      </c>
      <c r="AM4702" s="2" t="s">
        <v>216</v>
      </c>
      <c r="AN4702" s="2" t="s">
        <v>14285</v>
      </c>
      <c r="AO4702" s="2" t="s">
        <v>14286</v>
      </c>
      <c r="AP4702" s="2">
        <v>11</v>
      </c>
      <c r="AQ4702" s="2" t="s">
        <v>82</v>
      </c>
      <c r="AR4702" s="2"/>
      <c r="AS4702" s="2"/>
      <c r="AT4702" s="2" t="s">
        <v>14560</v>
      </c>
      <c r="AU4702" s="2"/>
      <c r="AV4702" s="2">
        <v>1</v>
      </c>
      <c r="AW4702" s="2"/>
      <c r="AX4702" s="2"/>
      <c r="AY4702" s="2">
        <v>42</v>
      </c>
      <c r="AZ4702" s="2" t="s">
        <v>182</v>
      </c>
      <c r="BA4702" s="2">
        <v>70</v>
      </c>
      <c r="BB4702" s="2" t="s">
        <v>236</v>
      </c>
      <c r="BC4702" s="2">
        <v>70</v>
      </c>
      <c r="BD4702" s="2" t="s">
        <v>236</v>
      </c>
      <c r="BE4702" s="2">
        <v>31</v>
      </c>
      <c r="BF4702" s="2" t="s">
        <v>398</v>
      </c>
      <c r="BG4702" s="2" t="s">
        <v>7251</v>
      </c>
      <c r="BH4702" s="2"/>
      <c r="BI4702" s="2"/>
      <c r="BJ4702" s="2">
        <v>13</v>
      </c>
      <c r="BK4702" s="2" t="s">
        <v>91</v>
      </c>
      <c r="BL4702" s="2" t="s">
        <v>360</v>
      </c>
      <c r="BM4702" s="2">
        <v>73</v>
      </c>
      <c r="BN4702" s="2" t="s">
        <v>186</v>
      </c>
      <c r="BO4702" s="2"/>
      <c r="BP4702" s="2">
        <v>73</v>
      </c>
      <c r="BQ4702" s="2" t="s">
        <v>186</v>
      </c>
      <c r="BR4702" s="2" t="s">
        <v>187</v>
      </c>
      <c r="BS4702" s="3">
        <v>40498</v>
      </c>
      <c r="BT4702" s="4">
        <v>0.85550925925925936</v>
      </c>
    </row>
    <row r="4703" spans="1:72" x14ac:dyDescent="0.25">
      <c r="A4703" s="2">
        <v>7277</v>
      </c>
      <c r="B4703" s="2">
        <v>2010</v>
      </c>
      <c r="C4703" s="2" t="s">
        <v>196</v>
      </c>
      <c r="D4703" s="2" t="s">
        <v>122</v>
      </c>
      <c r="E4703" s="2"/>
      <c r="F4703" s="2">
        <v>1</v>
      </c>
      <c r="G4703" s="2" t="s">
        <v>82</v>
      </c>
      <c r="H4703" s="2">
        <v>1</v>
      </c>
      <c r="I4703" s="2" t="s">
        <v>82</v>
      </c>
      <c r="J4703" s="2">
        <v>1</v>
      </c>
      <c r="K4703" s="2" t="s">
        <v>107</v>
      </c>
      <c r="L4703" s="2" t="s">
        <v>107</v>
      </c>
      <c r="M4703" s="3">
        <v>40498</v>
      </c>
      <c r="N4703" s="2"/>
      <c r="O4703" s="2"/>
      <c r="P4703" s="2"/>
      <c r="Q4703" s="2" t="str">
        <f>""</f>
        <v/>
      </c>
      <c r="R4703" s="2"/>
      <c r="S4703" s="2"/>
      <c r="T4703" s="2">
        <v>2</v>
      </c>
      <c r="U4703" s="2" t="s">
        <v>123</v>
      </c>
      <c r="V4703" s="2">
        <v>1</v>
      </c>
      <c r="W4703" s="2" t="s">
        <v>80</v>
      </c>
      <c r="X4703" s="2">
        <v>11</v>
      </c>
      <c r="Y4703" s="2" t="s">
        <v>1920</v>
      </c>
      <c r="Z4703" s="2">
        <v>10</v>
      </c>
      <c r="AA4703" s="2" t="s">
        <v>236</v>
      </c>
      <c r="AB4703" s="2">
        <v>9</v>
      </c>
      <c r="AC4703" s="2" t="s">
        <v>124</v>
      </c>
      <c r="AD4703" s="3">
        <v>40498</v>
      </c>
      <c r="AE4703" s="4">
        <v>0.72916666666666663</v>
      </c>
      <c r="AF4703" s="2"/>
      <c r="AG4703" s="2"/>
      <c r="AH4703" s="2">
        <v>2</v>
      </c>
      <c r="AI4703" s="2" t="s">
        <v>84</v>
      </c>
      <c r="AJ4703" s="2">
        <v>112</v>
      </c>
      <c r="AK4703" s="2" t="s">
        <v>14078</v>
      </c>
      <c r="AL4703" s="2">
        <v>10</v>
      </c>
      <c r="AM4703" s="2" t="s">
        <v>200</v>
      </c>
      <c r="AN4703" s="2"/>
      <c r="AO4703" s="2" t="s">
        <v>14561</v>
      </c>
      <c r="AP4703" s="2">
        <v>11</v>
      </c>
      <c r="AQ4703" s="2" t="s">
        <v>82</v>
      </c>
      <c r="AR4703" s="2"/>
      <c r="AS4703" s="2"/>
      <c r="AT4703" s="2" t="s">
        <v>14562</v>
      </c>
      <c r="AU4703" s="2"/>
      <c r="AV4703" s="2"/>
      <c r="AW4703" s="2"/>
      <c r="AX4703" s="2"/>
      <c r="AY4703" s="2">
        <v>41</v>
      </c>
      <c r="AZ4703" s="2" t="s">
        <v>82</v>
      </c>
      <c r="BA4703" s="2">
        <v>41</v>
      </c>
      <c r="BB4703" s="2" t="s">
        <v>82</v>
      </c>
      <c r="BC4703" s="2">
        <v>41</v>
      </c>
      <c r="BD4703" s="2" t="s">
        <v>82</v>
      </c>
      <c r="BE4703" s="2">
        <v>41</v>
      </c>
      <c r="BF4703" s="2" t="s">
        <v>82</v>
      </c>
      <c r="BG4703" s="2"/>
      <c r="BH4703" s="2"/>
      <c r="BI4703" s="4">
        <v>0.87013888888888891</v>
      </c>
      <c r="BJ4703" s="2">
        <v>241</v>
      </c>
      <c r="BK4703" s="2" t="s">
        <v>82</v>
      </c>
      <c r="BL4703" s="2" t="s">
        <v>185</v>
      </c>
      <c r="BM4703" s="2">
        <v>241</v>
      </c>
      <c r="BN4703" s="2" t="s">
        <v>82</v>
      </c>
      <c r="BO4703" s="2"/>
      <c r="BP4703" s="2">
        <v>241</v>
      </c>
      <c r="BQ4703" s="2" t="s">
        <v>82</v>
      </c>
      <c r="BR4703" s="2" t="s">
        <v>14563</v>
      </c>
      <c r="BS4703" s="3">
        <v>40498</v>
      </c>
      <c r="BT4703" s="4">
        <v>0.88214120370370364</v>
      </c>
    </row>
    <row r="4704" spans="1:72" x14ac:dyDescent="0.25">
      <c r="A4704" s="2">
        <v>7278</v>
      </c>
      <c r="B4704" s="2">
        <v>2010</v>
      </c>
      <c r="C4704" s="2" t="s">
        <v>72</v>
      </c>
      <c r="D4704" s="2" t="s">
        <v>73</v>
      </c>
      <c r="E4704" s="2"/>
      <c r="F4704" s="2">
        <v>533</v>
      </c>
      <c r="G4704" s="2" t="s">
        <v>3397</v>
      </c>
      <c r="H4704" s="2">
        <v>2</v>
      </c>
      <c r="I4704" s="2" t="s">
        <v>267</v>
      </c>
      <c r="J4704" s="2">
        <v>462</v>
      </c>
      <c r="K4704" s="2" t="s">
        <v>3398</v>
      </c>
      <c r="L4704" s="2" t="s">
        <v>3399</v>
      </c>
      <c r="M4704" s="3">
        <v>40498</v>
      </c>
      <c r="N4704" s="2" t="s">
        <v>14564</v>
      </c>
      <c r="O4704" s="2"/>
      <c r="P4704" s="2"/>
      <c r="Q4704" s="2" t="str">
        <f>"0147/2010"</f>
        <v>0147/2010</v>
      </c>
      <c r="R4704" s="2" t="s">
        <v>148</v>
      </c>
      <c r="S4704" s="2"/>
      <c r="T4704" s="2">
        <v>1</v>
      </c>
      <c r="U4704" s="2" t="s">
        <v>79</v>
      </c>
      <c r="V4704" s="2">
        <v>1</v>
      </c>
      <c r="W4704" s="2" t="s">
        <v>80</v>
      </c>
      <c r="X4704" s="2">
        <v>12</v>
      </c>
      <c r="Y4704" s="2" t="s">
        <v>148</v>
      </c>
      <c r="Z4704" s="2">
        <v>1</v>
      </c>
      <c r="AA4704" s="2" t="s">
        <v>82</v>
      </c>
      <c r="AB4704" s="2">
        <v>6</v>
      </c>
      <c r="AC4704" s="2" t="s">
        <v>83</v>
      </c>
      <c r="AD4704" s="3">
        <v>40498</v>
      </c>
      <c r="AE4704" s="2"/>
      <c r="AF4704" s="3">
        <v>40498</v>
      </c>
      <c r="AG4704" s="4">
        <v>0.8125</v>
      </c>
      <c r="AH4704" s="2">
        <v>5</v>
      </c>
      <c r="AI4704" s="2" t="s">
        <v>274</v>
      </c>
      <c r="AJ4704" s="2">
        <v>38</v>
      </c>
      <c r="AK4704" s="2" t="s">
        <v>1120</v>
      </c>
      <c r="AL4704" s="2">
        <v>23</v>
      </c>
      <c r="AM4704" s="2" t="s">
        <v>251</v>
      </c>
      <c r="AN4704" s="2" t="s">
        <v>14565</v>
      </c>
      <c r="AO4704" s="2" t="s">
        <v>5240</v>
      </c>
      <c r="AP4704" s="2">
        <v>11</v>
      </c>
      <c r="AQ4704" s="2" t="s">
        <v>82</v>
      </c>
      <c r="AR4704" s="2"/>
      <c r="AS4704" s="2"/>
      <c r="AT4704" s="2" t="s">
        <v>14566</v>
      </c>
      <c r="AU4704" s="2"/>
      <c r="AV4704" s="2"/>
      <c r="AW4704" s="2"/>
      <c r="AX4704" s="2"/>
      <c r="AY4704" s="2">
        <v>41</v>
      </c>
      <c r="AZ4704" s="2" t="s">
        <v>82</v>
      </c>
      <c r="BA4704" s="2">
        <v>41</v>
      </c>
      <c r="BB4704" s="2" t="s">
        <v>82</v>
      </c>
      <c r="BC4704" s="2">
        <v>41</v>
      </c>
      <c r="BD4704" s="2" t="s">
        <v>82</v>
      </c>
      <c r="BE4704" s="2">
        <v>41</v>
      </c>
      <c r="BF4704" s="2" t="s">
        <v>82</v>
      </c>
      <c r="BG4704" s="2"/>
      <c r="BH4704" s="2"/>
      <c r="BI4704" s="2"/>
      <c r="BJ4704" s="2">
        <v>241</v>
      </c>
      <c r="BK4704" s="2" t="s">
        <v>82</v>
      </c>
      <c r="BL4704" s="2"/>
      <c r="BM4704" s="2">
        <v>241</v>
      </c>
      <c r="BN4704" s="2" t="s">
        <v>82</v>
      </c>
      <c r="BO4704" s="2"/>
      <c r="BP4704" s="2">
        <v>241</v>
      </c>
      <c r="BQ4704" s="2" t="s">
        <v>82</v>
      </c>
      <c r="BR4704" s="2"/>
      <c r="BS4704" s="3">
        <v>40498</v>
      </c>
      <c r="BT4704" s="4">
        <v>0.88438657407407406</v>
      </c>
    </row>
    <row r="4705" spans="1:72" x14ac:dyDescent="0.25">
      <c r="A4705" s="2">
        <v>7279</v>
      </c>
      <c r="B4705" s="2">
        <v>2010</v>
      </c>
      <c r="C4705" s="2" t="s">
        <v>377</v>
      </c>
      <c r="D4705" s="2" t="s">
        <v>122</v>
      </c>
      <c r="E4705" s="2" t="s">
        <v>14567</v>
      </c>
      <c r="F4705" s="2">
        <v>426</v>
      </c>
      <c r="G4705" s="2" t="s">
        <v>378</v>
      </c>
      <c r="H4705" s="2">
        <v>108</v>
      </c>
      <c r="I4705" s="2" t="s">
        <v>1096</v>
      </c>
      <c r="J4705" s="2">
        <v>311</v>
      </c>
      <c r="K4705" s="2" t="s">
        <v>379</v>
      </c>
      <c r="L4705" s="2" t="s">
        <v>380</v>
      </c>
      <c r="M4705" s="3">
        <v>40498</v>
      </c>
      <c r="N4705" s="2" t="s">
        <v>7171</v>
      </c>
      <c r="O4705" s="2"/>
      <c r="P4705" s="2"/>
      <c r="Q4705" s="2" t="str">
        <f>"284-C/10"</f>
        <v>284-C/10</v>
      </c>
      <c r="R4705" s="2" t="s">
        <v>14513</v>
      </c>
      <c r="S4705" s="2"/>
      <c r="T4705" s="2">
        <v>1</v>
      </c>
      <c r="U4705" s="2" t="s">
        <v>79</v>
      </c>
      <c r="V4705" s="2">
        <v>1</v>
      </c>
      <c r="W4705" s="2" t="s">
        <v>80</v>
      </c>
      <c r="X4705" s="2">
        <v>1</v>
      </c>
      <c r="Y4705" s="2" t="s">
        <v>81</v>
      </c>
      <c r="Z4705" s="2">
        <v>10</v>
      </c>
      <c r="AA4705" s="2" t="s">
        <v>236</v>
      </c>
      <c r="AB4705" s="2">
        <v>9</v>
      </c>
      <c r="AC4705" s="2" t="s">
        <v>124</v>
      </c>
      <c r="AD4705" s="3">
        <v>40497</v>
      </c>
      <c r="AE4705" s="4">
        <v>0.52083333333333337</v>
      </c>
      <c r="AF4705" s="2"/>
      <c r="AG4705" s="2"/>
      <c r="AH4705" s="2">
        <v>2</v>
      </c>
      <c r="AI4705" s="2" t="s">
        <v>84</v>
      </c>
      <c r="AJ4705" s="2">
        <v>9</v>
      </c>
      <c r="AK4705" s="2" t="s">
        <v>103</v>
      </c>
      <c r="AL4705" s="2">
        <v>24</v>
      </c>
      <c r="AM4705" s="2" t="s">
        <v>1540</v>
      </c>
      <c r="AN4705" s="2" t="s">
        <v>5705</v>
      </c>
      <c r="AO4705" s="2"/>
      <c r="AP4705" s="2">
        <v>11</v>
      </c>
      <c r="AQ4705" s="2" t="s">
        <v>82</v>
      </c>
      <c r="AR4705" s="2"/>
      <c r="AS4705" s="2"/>
      <c r="AT4705" s="2" t="s">
        <v>14568</v>
      </c>
      <c r="AU4705" s="2"/>
      <c r="AV4705" s="2"/>
      <c r="AW4705" s="2">
        <v>2</v>
      </c>
      <c r="AX4705" s="2"/>
      <c r="AY4705" s="2">
        <v>41</v>
      </c>
      <c r="AZ4705" s="2" t="s">
        <v>82</v>
      </c>
      <c r="BA4705" s="2">
        <v>41</v>
      </c>
      <c r="BB4705" s="2" t="s">
        <v>82</v>
      </c>
      <c r="BC4705" s="2">
        <v>41</v>
      </c>
      <c r="BD4705" s="2" t="s">
        <v>82</v>
      </c>
      <c r="BE4705" s="2">
        <v>41</v>
      </c>
      <c r="BF4705" s="2" t="s">
        <v>82</v>
      </c>
      <c r="BG4705" s="2"/>
      <c r="BH4705" s="2"/>
      <c r="BI4705" s="2"/>
      <c r="BJ4705" s="2">
        <v>241</v>
      </c>
      <c r="BK4705" s="2" t="s">
        <v>82</v>
      </c>
      <c r="BL4705" s="2"/>
      <c r="BM4705" s="2">
        <v>241</v>
      </c>
      <c r="BN4705" s="2" t="s">
        <v>82</v>
      </c>
      <c r="BO4705" s="2"/>
      <c r="BP4705" s="2">
        <v>241</v>
      </c>
      <c r="BQ4705" s="2" t="s">
        <v>82</v>
      </c>
      <c r="BR4705" s="2"/>
      <c r="BS4705" s="3">
        <v>40498</v>
      </c>
      <c r="BT4705" s="4">
        <v>0.89100694444444439</v>
      </c>
    </row>
    <row r="4706" spans="1:72" x14ac:dyDescent="0.25">
      <c r="A4706" s="2">
        <v>7280</v>
      </c>
      <c r="B4706" s="2">
        <v>2010</v>
      </c>
      <c r="C4706" s="2" t="s">
        <v>72</v>
      </c>
      <c r="D4706" s="2" t="s">
        <v>73</v>
      </c>
      <c r="E4706" s="2"/>
      <c r="F4706" s="2">
        <v>2</v>
      </c>
      <c r="G4706" s="2" t="s">
        <v>113</v>
      </c>
      <c r="H4706" s="2">
        <v>108</v>
      </c>
      <c r="I4706" s="2" t="s">
        <v>1096</v>
      </c>
      <c r="J4706" s="2">
        <v>300</v>
      </c>
      <c r="K4706" s="2" t="s">
        <v>114</v>
      </c>
      <c r="L4706" s="2" t="s">
        <v>115</v>
      </c>
      <c r="M4706" s="3">
        <v>40498</v>
      </c>
      <c r="N4706" s="2"/>
      <c r="O4706" s="2"/>
      <c r="P4706" s="2"/>
      <c r="Q4706" s="2" t="str">
        <f>"603-E/10"</f>
        <v>603-E/10</v>
      </c>
      <c r="R4706" s="2" t="s">
        <v>1847</v>
      </c>
      <c r="S4706" s="2" t="s">
        <v>1847</v>
      </c>
      <c r="T4706" s="2">
        <v>1</v>
      </c>
      <c r="U4706" s="2" t="s">
        <v>79</v>
      </c>
      <c r="V4706" s="2">
        <v>1</v>
      </c>
      <c r="W4706" s="2" t="s">
        <v>80</v>
      </c>
      <c r="X4706" s="2">
        <v>12</v>
      </c>
      <c r="Y4706" s="2" t="s">
        <v>148</v>
      </c>
      <c r="Z4706" s="2">
        <v>1</v>
      </c>
      <c r="AA4706" s="2" t="s">
        <v>82</v>
      </c>
      <c r="AB4706" s="2">
        <v>6</v>
      </c>
      <c r="AC4706" s="2" t="s">
        <v>83</v>
      </c>
      <c r="AD4706" s="3">
        <v>40497</v>
      </c>
      <c r="AE4706" s="2"/>
      <c r="AF4706" s="3">
        <v>40498</v>
      </c>
      <c r="AG4706" s="4">
        <v>0.73611111111111116</v>
      </c>
      <c r="AH4706" s="2">
        <v>2</v>
      </c>
      <c r="AI4706" s="2" t="s">
        <v>84</v>
      </c>
      <c r="AJ4706" s="2">
        <v>9</v>
      </c>
      <c r="AK4706" s="2" t="s">
        <v>103</v>
      </c>
      <c r="AL4706" s="2">
        <v>29</v>
      </c>
      <c r="AM4706" s="2" t="s">
        <v>5416</v>
      </c>
      <c r="AN4706" s="2"/>
      <c r="AO4706" s="2" t="s">
        <v>987</v>
      </c>
      <c r="AP4706" s="2">
        <v>11</v>
      </c>
      <c r="AQ4706" s="2" t="s">
        <v>82</v>
      </c>
      <c r="AR4706" s="2"/>
      <c r="AS4706" s="2"/>
      <c r="AT4706" s="2" t="s">
        <v>14569</v>
      </c>
      <c r="AU4706" s="2"/>
      <c r="AV4706" s="2"/>
      <c r="AW4706" s="2"/>
      <c r="AX4706" s="2"/>
      <c r="AY4706" s="2">
        <v>41</v>
      </c>
      <c r="AZ4706" s="2" t="s">
        <v>82</v>
      </c>
      <c r="BA4706" s="2">
        <v>41</v>
      </c>
      <c r="BB4706" s="2" t="s">
        <v>82</v>
      </c>
      <c r="BC4706" s="2">
        <v>41</v>
      </c>
      <c r="BD4706" s="2" t="s">
        <v>82</v>
      </c>
      <c r="BE4706" s="2">
        <v>41</v>
      </c>
      <c r="BF4706" s="2" t="s">
        <v>82</v>
      </c>
      <c r="BG4706" s="2"/>
      <c r="BH4706" s="2"/>
      <c r="BI4706" s="2"/>
      <c r="BJ4706" s="2">
        <v>241</v>
      </c>
      <c r="BK4706" s="2" t="s">
        <v>82</v>
      </c>
      <c r="BL4706" s="2"/>
      <c r="BM4706" s="2">
        <v>241</v>
      </c>
      <c r="BN4706" s="2" t="s">
        <v>82</v>
      </c>
      <c r="BO4706" s="2"/>
      <c r="BP4706" s="2">
        <v>241</v>
      </c>
      <c r="BQ4706" s="2" t="s">
        <v>82</v>
      </c>
      <c r="BR4706" s="2"/>
      <c r="BS4706" s="3">
        <v>40498</v>
      </c>
      <c r="BT4706" s="4">
        <v>0.92192129629629627</v>
      </c>
    </row>
    <row r="4707" spans="1:72" x14ac:dyDescent="0.25">
      <c r="A4707" s="2">
        <v>7281</v>
      </c>
      <c r="B4707" s="2">
        <v>2010</v>
      </c>
      <c r="C4707" s="2" t="s">
        <v>2011</v>
      </c>
      <c r="D4707" s="2" t="s">
        <v>122</v>
      </c>
      <c r="E4707" s="2" t="s">
        <v>14570</v>
      </c>
      <c r="F4707" s="2">
        <v>53</v>
      </c>
      <c r="G4707" s="2" t="s">
        <v>2755</v>
      </c>
      <c r="H4707" s="2">
        <v>99</v>
      </c>
      <c r="I4707" s="2" t="s">
        <v>6285</v>
      </c>
      <c r="J4707" s="2">
        <v>89</v>
      </c>
      <c r="K4707" s="2" t="s">
        <v>14550</v>
      </c>
      <c r="L4707" s="2" t="s">
        <v>14551</v>
      </c>
      <c r="M4707" s="3">
        <v>40498</v>
      </c>
      <c r="N4707" s="2" t="s">
        <v>3489</v>
      </c>
      <c r="O4707" s="2"/>
      <c r="P4707" s="2"/>
      <c r="Q4707" s="2" t="str">
        <f>"036/10"</f>
        <v>036/10</v>
      </c>
      <c r="R4707" s="2" t="s">
        <v>14552</v>
      </c>
      <c r="S4707" s="2"/>
      <c r="T4707" s="2">
        <v>1</v>
      </c>
      <c r="U4707" s="2" t="s">
        <v>79</v>
      </c>
      <c r="V4707" s="2">
        <v>1</v>
      </c>
      <c r="W4707" s="2" t="s">
        <v>80</v>
      </c>
      <c r="X4707" s="2">
        <v>5</v>
      </c>
      <c r="Y4707" s="2" t="s">
        <v>82</v>
      </c>
      <c r="Z4707" s="2">
        <v>10</v>
      </c>
      <c r="AA4707" s="2" t="s">
        <v>236</v>
      </c>
      <c r="AB4707" s="2">
        <v>9</v>
      </c>
      <c r="AC4707" s="2" t="s">
        <v>124</v>
      </c>
      <c r="AD4707" s="3">
        <v>40498</v>
      </c>
      <c r="AE4707" s="2"/>
      <c r="AF4707" s="3">
        <v>40498</v>
      </c>
      <c r="AG4707" s="4">
        <v>0.70833333333333337</v>
      </c>
      <c r="AH4707" s="2">
        <v>4</v>
      </c>
      <c r="AI4707" s="2" t="s">
        <v>125</v>
      </c>
      <c r="AJ4707" s="2">
        <v>28</v>
      </c>
      <c r="AK4707" s="2" t="s">
        <v>741</v>
      </c>
      <c r="AL4707" s="2">
        <v>9</v>
      </c>
      <c r="AM4707" s="2" t="s">
        <v>259</v>
      </c>
      <c r="AN4707" s="2"/>
      <c r="AO4707" s="2" t="s">
        <v>14571</v>
      </c>
      <c r="AP4707" s="2">
        <v>11</v>
      </c>
      <c r="AQ4707" s="2" t="s">
        <v>82</v>
      </c>
      <c r="AR4707" s="2"/>
      <c r="AS4707" s="2"/>
      <c r="AT4707" s="2" t="s">
        <v>14572</v>
      </c>
      <c r="AU4707" s="2"/>
      <c r="AV4707" s="2"/>
      <c r="AW4707" s="2"/>
      <c r="AX4707" s="2"/>
      <c r="AY4707" s="2">
        <v>41</v>
      </c>
      <c r="AZ4707" s="2" t="s">
        <v>82</v>
      </c>
      <c r="BA4707" s="2">
        <v>41</v>
      </c>
      <c r="BB4707" s="2" t="s">
        <v>82</v>
      </c>
      <c r="BC4707" s="2">
        <v>41</v>
      </c>
      <c r="BD4707" s="2" t="s">
        <v>82</v>
      </c>
      <c r="BE4707" s="2">
        <v>41</v>
      </c>
      <c r="BF4707" s="2" t="s">
        <v>82</v>
      </c>
      <c r="BG4707" s="2"/>
      <c r="BH4707" s="2"/>
      <c r="BI4707" s="2"/>
      <c r="BJ4707" s="2">
        <v>241</v>
      </c>
      <c r="BK4707" s="2" t="s">
        <v>82</v>
      </c>
      <c r="BL4707" s="2"/>
      <c r="BM4707" s="2">
        <v>241</v>
      </c>
      <c r="BN4707" s="2" t="s">
        <v>82</v>
      </c>
      <c r="BO4707" s="2"/>
      <c r="BP4707" s="2">
        <v>241</v>
      </c>
      <c r="BQ4707" s="2" t="s">
        <v>82</v>
      </c>
      <c r="BR4707" s="2"/>
      <c r="BS4707" s="3">
        <v>40498</v>
      </c>
      <c r="BT4707" s="4">
        <v>0.93425925925925923</v>
      </c>
    </row>
    <row r="4708" spans="1:72" x14ac:dyDescent="0.25">
      <c r="A4708" s="2">
        <v>7282</v>
      </c>
      <c r="B4708" s="2">
        <v>2010</v>
      </c>
      <c r="C4708" s="2" t="s">
        <v>171</v>
      </c>
      <c r="D4708" s="2" t="s">
        <v>73</v>
      </c>
      <c r="E4708" s="2"/>
      <c r="F4708" s="2">
        <v>399</v>
      </c>
      <c r="G4708" s="2" t="s">
        <v>587</v>
      </c>
      <c r="H4708" s="2">
        <v>15</v>
      </c>
      <c r="I4708" s="2" t="s">
        <v>130</v>
      </c>
      <c r="J4708" s="2">
        <v>2</v>
      </c>
      <c r="K4708" s="2" t="s">
        <v>3661</v>
      </c>
      <c r="L4708" s="2" t="s">
        <v>3662</v>
      </c>
      <c r="M4708" s="3">
        <v>40498</v>
      </c>
      <c r="N4708" s="2" t="s">
        <v>14573</v>
      </c>
      <c r="O4708" s="2"/>
      <c r="P4708" s="2"/>
      <c r="Q4708" s="2" t="str">
        <f>"602-E/10"</f>
        <v>602-E/10</v>
      </c>
      <c r="R4708" s="2" t="s">
        <v>391</v>
      </c>
      <c r="S4708" s="2" t="s">
        <v>391</v>
      </c>
      <c r="T4708" s="2">
        <v>1</v>
      </c>
      <c r="U4708" s="2" t="s">
        <v>79</v>
      </c>
      <c r="V4708" s="2">
        <v>1</v>
      </c>
      <c r="W4708" s="2" t="s">
        <v>80</v>
      </c>
      <c r="X4708" s="2">
        <v>1</v>
      </c>
      <c r="Y4708" s="2" t="s">
        <v>81</v>
      </c>
      <c r="Z4708" s="2">
        <v>1</v>
      </c>
      <c r="AA4708" s="2" t="s">
        <v>82</v>
      </c>
      <c r="AB4708" s="2">
        <v>1</v>
      </c>
      <c r="AC4708" s="2" t="s">
        <v>178</v>
      </c>
      <c r="AD4708" s="3">
        <v>40498</v>
      </c>
      <c r="AE4708" s="4">
        <v>0.57291666666666663</v>
      </c>
      <c r="AF4708" s="3">
        <v>40498</v>
      </c>
      <c r="AG4708" s="4">
        <v>0.70833333333333337</v>
      </c>
      <c r="AH4708" s="2">
        <v>2</v>
      </c>
      <c r="AI4708" s="2" t="s">
        <v>84</v>
      </c>
      <c r="AJ4708" s="2">
        <v>9</v>
      </c>
      <c r="AK4708" s="2" t="s">
        <v>103</v>
      </c>
      <c r="AL4708" s="2">
        <v>25</v>
      </c>
      <c r="AM4708" s="2" t="s">
        <v>3073</v>
      </c>
      <c r="AN4708" s="2" t="s">
        <v>179</v>
      </c>
      <c r="AO4708" s="2" t="s">
        <v>987</v>
      </c>
      <c r="AP4708" s="2">
        <v>11</v>
      </c>
      <c r="AQ4708" s="2" t="s">
        <v>82</v>
      </c>
      <c r="AR4708" s="2"/>
      <c r="AS4708" s="2"/>
      <c r="AT4708" s="2" t="s">
        <v>14574</v>
      </c>
      <c r="AU4708" s="2"/>
      <c r="AV4708" s="2">
        <v>1</v>
      </c>
      <c r="AW4708" s="2"/>
      <c r="AX4708" s="2"/>
      <c r="AY4708" s="2">
        <v>41</v>
      </c>
      <c r="AZ4708" s="2" t="s">
        <v>82</v>
      </c>
      <c r="BA4708" s="2">
        <v>41</v>
      </c>
      <c r="BB4708" s="2" t="s">
        <v>82</v>
      </c>
      <c r="BC4708" s="2">
        <v>41</v>
      </c>
      <c r="BD4708" s="2" t="s">
        <v>82</v>
      </c>
      <c r="BE4708" s="2">
        <v>27</v>
      </c>
      <c r="BF4708" s="2" t="s">
        <v>2197</v>
      </c>
      <c r="BG4708" s="2" t="s">
        <v>8204</v>
      </c>
      <c r="BH4708" s="2"/>
      <c r="BI4708" s="4">
        <v>0.60416666666666663</v>
      </c>
      <c r="BJ4708" s="2">
        <v>13</v>
      </c>
      <c r="BK4708" s="2" t="s">
        <v>91</v>
      </c>
      <c r="BL4708" s="2" t="s">
        <v>360</v>
      </c>
      <c r="BM4708" s="2">
        <v>112</v>
      </c>
      <c r="BN4708" s="2" t="s">
        <v>110</v>
      </c>
      <c r="BO4708" s="2"/>
      <c r="BP4708" s="2">
        <v>112</v>
      </c>
      <c r="BQ4708" s="2" t="s">
        <v>110</v>
      </c>
      <c r="BR4708" s="2" t="s">
        <v>111</v>
      </c>
      <c r="BS4708" s="3">
        <v>40498</v>
      </c>
      <c r="BT4708" s="4">
        <v>0.9425810185185185</v>
      </c>
    </row>
    <row r="4709" spans="1:72" x14ac:dyDescent="0.25">
      <c r="A4709" s="2">
        <v>7283</v>
      </c>
      <c r="B4709" s="2">
        <v>2010</v>
      </c>
      <c r="C4709" s="2" t="s">
        <v>196</v>
      </c>
      <c r="D4709" s="2" t="s">
        <v>122</v>
      </c>
      <c r="E4709" s="2"/>
      <c r="F4709" s="2">
        <v>1</v>
      </c>
      <c r="G4709" s="2" t="s">
        <v>82</v>
      </c>
      <c r="H4709" s="2">
        <v>1</v>
      </c>
      <c r="I4709" s="2" t="s">
        <v>82</v>
      </c>
      <c r="J4709" s="2">
        <v>1</v>
      </c>
      <c r="K4709" s="2" t="s">
        <v>107</v>
      </c>
      <c r="L4709" s="2" t="s">
        <v>107</v>
      </c>
      <c r="M4709" s="3">
        <v>40499</v>
      </c>
      <c r="N4709" s="2"/>
      <c r="O4709" s="2"/>
      <c r="P4709" s="2"/>
      <c r="Q4709" s="2" t="str">
        <f>""</f>
        <v/>
      </c>
      <c r="R4709" s="2"/>
      <c r="S4709" s="2"/>
      <c r="T4709" s="2">
        <v>2</v>
      </c>
      <c r="U4709" s="2" t="s">
        <v>123</v>
      </c>
      <c r="V4709" s="2">
        <v>1</v>
      </c>
      <c r="W4709" s="2" t="s">
        <v>80</v>
      </c>
      <c r="X4709" s="2">
        <v>11</v>
      </c>
      <c r="Y4709" s="2" t="s">
        <v>1920</v>
      </c>
      <c r="Z4709" s="2">
        <v>10</v>
      </c>
      <c r="AA4709" s="2" t="s">
        <v>236</v>
      </c>
      <c r="AB4709" s="2">
        <v>9</v>
      </c>
      <c r="AC4709" s="2" t="s">
        <v>124</v>
      </c>
      <c r="AD4709" s="3">
        <v>40498</v>
      </c>
      <c r="AE4709" s="4">
        <v>0.98958333333333337</v>
      </c>
      <c r="AF4709" s="2"/>
      <c r="AG4709" s="2"/>
      <c r="AH4709" s="2">
        <v>2</v>
      </c>
      <c r="AI4709" s="2" t="s">
        <v>84</v>
      </c>
      <c r="AJ4709" s="2">
        <v>112</v>
      </c>
      <c r="AK4709" s="2" t="s">
        <v>14078</v>
      </c>
      <c r="AL4709" s="2">
        <v>20</v>
      </c>
      <c r="AM4709" s="2" t="s">
        <v>992</v>
      </c>
      <c r="AN4709" s="2"/>
      <c r="AO4709" s="2" t="s">
        <v>14561</v>
      </c>
      <c r="AP4709" s="2">
        <v>11</v>
      </c>
      <c r="AQ4709" s="2" t="s">
        <v>82</v>
      </c>
      <c r="AR4709" s="2"/>
      <c r="AS4709" s="2"/>
      <c r="AT4709" s="2" t="s">
        <v>14575</v>
      </c>
      <c r="AU4709" s="2"/>
      <c r="AV4709" s="2"/>
      <c r="AW4709" s="2"/>
      <c r="AX4709" s="2"/>
      <c r="AY4709" s="2">
        <v>41</v>
      </c>
      <c r="AZ4709" s="2" t="s">
        <v>82</v>
      </c>
      <c r="BA4709" s="2">
        <v>41</v>
      </c>
      <c r="BB4709" s="2" t="s">
        <v>82</v>
      </c>
      <c r="BC4709" s="2">
        <v>41</v>
      </c>
      <c r="BD4709" s="2" t="s">
        <v>82</v>
      </c>
      <c r="BE4709" s="2">
        <v>41</v>
      </c>
      <c r="BF4709" s="2" t="s">
        <v>82</v>
      </c>
      <c r="BG4709" s="2"/>
      <c r="BH4709" s="4">
        <v>3.3333333333333333E-2</v>
      </c>
      <c r="BI4709" s="2"/>
      <c r="BJ4709" s="2">
        <v>241</v>
      </c>
      <c r="BK4709" s="2" t="s">
        <v>82</v>
      </c>
      <c r="BL4709" s="2" t="s">
        <v>14563</v>
      </c>
      <c r="BM4709" s="2">
        <v>241</v>
      </c>
      <c r="BN4709" s="2" t="s">
        <v>82</v>
      </c>
      <c r="BO4709" s="2"/>
      <c r="BP4709" s="2">
        <v>241</v>
      </c>
      <c r="BQ4709" s="2" t="s">
        <v>82</v>
      </c>
      <c r="BR4709" s="2" t="s">
        <v>10614</v>
      </c>
      <c r="BS4709" s="3">
        <v>40499</v>
      </c>
      <c r="BT4709" s="4">
        <v>4.1284722222222223E-2</v>
      </c>
    </row>
    <row r="4710" spans="1:72" x14ac:dyDescent="0.25">
      <c r="A4710" s="2">
        <v>7284</v>
      </c>
      <c r="B4710" s="2">
        <v>2010</v>
      </c>
      <c r="C4710" s="2" t="s">
        <v>121</v>
      </c>
      <c r="D4710" s="2" t="s">
        <v>122</v>
      </c>
      <c r="E4710" s="2"/>
      <c r="F4710" s="2">
        <v>1</v>
      </c>
      <c r="G4710" s="2" t="s">
        <v>82</v>
      </c>
      <c r="H4710" s="2">
        <v>1</v>
      </c>
      <c r="I4710" s="2" t="s">
        <v>82</v>
      </c>
      <c r="J4710" s="2">
        <v>1</v>
      </c>
      <c r="K4710" s="2" t="s">
        <v>107</v>
      </c>
      <c r="L4710" s="2" t="s">
        <v>107</v>
      </c>
      <c r="M4710" s="3">
        <v>40499</v>
      </c>
      <c r="N4710" s="2"/>
      <c r="O4710" s="2"/>
      <c r="P4710" s="2"/>
      <c r="Q4710" s="2" t="str">
        <f>""</f>
        <v/>
      </c>
      <c r="R4710" s="2"/>
      <c r="S4710" s="2"/>
      <c r="T4710" s="2">
        <v>2</v>
      </c>
      <c r="U4710" s="2" t="s">
        <v>123</v>
      </c>
      <c r="V4710" s="2">
        <v>1</v>
      </c>
      <c r="W4710" s="2" t="s">
        <v>80</v>
      </c>
      <c r="X4710" s="2">
        <v>5</v>
      </c>
      <c r="Y4710" s="2" t="s">
        <v>82</v>
      </c>
      <c r="Z4710" s="2">
        <v>1</v>
      </c>
      <c r="AA4710" s="2" t="s">
        <v>82</v>
      </c>
      <c r="AB4710" s="2">
        <v>9</v>
      </c>
      <c r="AC4710" s="2" t="s">
        <v>124</v>
      </c>
      <c r="AD4710" s="3">
        <v>40499</v>
      </c>
      <c r="AE4710" s="4">
        <v>8.3333333333333329E-2</v>
      </c>
      <c r="AF4710" s="2"/>
      <c r="AG4710" s="2"/>
      <c r="AH4710" s="2">
        <v>5</v>
      </c>
      <c r="AI4710" s="2" t="s">
        <v>274</v>
      </c>
      <c r="AJ4710" s="2">
        <v>39</v>
      </c>
      <c r="AK4710" s="2" t="s">
        <v>8737</v>
      </c>
      <c r="AL4710" s="2">
        <v>19</v>
      </c>
      <c r="AM4710" s="2" t="s">
        <v>107</v>
      </c>
      <c r="AN4710" s="2"/>
      <c r="AO4710" s="2"/>
      <c r="AP4710" s="2">
        <v>11</v>
      </c>
      <c r="AQ4710" s="2" t="s">
        <v>82</v>
      </c>
      <c r="AR4710" s="2"/>
      <c r="AS4710" s="2"/>
      <c r="AT4710" s="2" t="s">
        <v>14576</v>
      </c>
      <c r="AU4710" s="2"/>
      <c r="AV4710" s="2"/>
      <c r="AW4710" s="2"/>
      <c r="AX4710" s="2"/>
      <c r="AY4710" s="2">
        <v>41</v>
      </c>
      <c r="AZ4710" s="2" t="s">
        <v>82</v>
      </c>
      <c r="BA4710" s="2">
        <v>41</v>
      </c>
      <c r="BB4710" s="2" t="s">
        <v>82</v>
      </c>
      <c r="BC4710" s="2">
        <v>41</v>
      </c>
      <c r="BD4710" s="2" t="s">
        <v>82</v>
      </c>
      <c r="BE4710" s="2">
        <v>41</v>
      </c>
      <c r="BF4710" s="2" t="s">
        <v>82</v>
      </c>
      <c r="BG4710" s="2"/>
      <c r="BH4710" s="2"/>
      <c r="BI4710" s="2"/>
      <c r="BJ4710" s="2">
        <v>241</v>
      </c>
      <c r="BK4710" s="2" t="s">
        <v>82</v>
      </c>
      <c r="BL4710" s="2"/>
      <c r="BM4710" s="2">
        <v>241</v>
      </c>
      <c r="BN4710" s="2" t="s">
        <v>82</v>
      </c>
      <c r="BO4710" s="2"/>
      <c r="BP4710" s="2">
        <v>241</v>
      </c>
      <c r="BQ4710" s="2" t="s">
        <v>82</v>
      </c>
      <c r="BR4710" s="2"/>
      <c r="BS4710" s="3">
        <v>40499</v>
      </c>
      <c r="BT4710" s="4">
        <v>0.10181712962962963</v>
      </c>
    </row>
    <row r="4711" spans="1:72" x14ac:dyDescent="0.25">
      <c r="A4711" s="2">
        <v>7286</v>
      </c>
      <c r="B4711" s="2">
        <v>2010</v>
      </c>
      <c r="C4711" s="2" t="s">
        <v>2138</v>
      </c>
      <c r="D4711" s="2" t="s">
        <v>73</v>
      </c>
      <c r="E4711" s="2"/>
      <c r="F4711" s="2">
        <v>1</v>
      </c>
      <c r="G4711" s="2" t="s">
        <v>82</v>
      </c>
      <c r="H4711" s="2">
        <v>1</v>
      </c>
      <c r="I4711" s="2" t="s">
        <v>82</v>
      </c>
      <c r="J4711" s="2">
        <v>1</v>
      </c>
      <c r="K4711" s="2" t="s">
        <v>107</v>
      </c>
      <c r="L4711" s="2" t="s">
        <v>107</v>
      </c>
      <c r="M4711" s="3">
        <v>40499</v>
      </c>
      <c r="N4711" s="2"/>
      <c r="O4711" s="2"/>
      <c r="P4711" s="2"/>
      <c r="Q4711" s="2" t="str">
        <f>""</f>
        <v/>
      </c>
      <c r="R4711" s="2"/>
      <c r="S4711" s="2"/>
      <c r="T4711" s="2">
        <v>1</v>
      </c>
      <c r="U4711" s="2" t="s">
        <v>79</v>
      </c>
      <c r="V4711" s="2">
        <v>1</v>
      </c>
      <c r="W4711" s="2" t="s">
        <v>80</v>
      </c>
      <c r="X4711" s="2">
        <v>1</v>
      </c>
      <c r="Y4711" s="2" t="s">
        <v>81</v>
      </c>
      <c r="Z4711" s="2">
        <v>1</v>
      </c>
      <c r="AA4711" s="2" t="s">
        <v>82</v>
      </c>
      <c r="AB4711" s="2">
        <v>9</v>
      </c>
      <c r="AC4711" s="2" t="s">
        <v>124</v>
      </c>
      <c r="AD4711" s="3">
        <v>40498</v>
      </c>
      <c r="AE4711" s="4">
        <v>0.97916666666666663</v>
      </c>
      <c r="AF4711" s="2"/>
      <c r="AG4711" s="2"/>
      <c r="AH4711" s="2">
        <v>3</v>
      </c>
      <c r="AI4711" s="2" t="s">
        <v>214</v>
      </c>
      <c r="AJ4711" s="2">
        <v>24</v>
      </c>
      <c r="AK4711" s="2" t="s">
        <v>215</v>
      </c>
      <c r="AL4711" s="2">
        <v>24</v>
      </c>
      <c r="AM4711" s="2" t="s">
        <v>1540</v>
      </c>
      <c r="AN4711" s="2" t="s">
        <v>14577</v>
      </c>
      <c r="AO4711" s="2"/>
      <c r="AP4711" s="2">
        <v>11</v>
      </c>
      <c r="AQ4711" s="2" t="s">
        <v>82</v>
      </c>
      <c r="AR4711" s="2"/>
      <c r="AS4711" s="2"/>
      <c r="AT4711" s="2" t="s">
        <v>14578</v>
      </c>
      <c r="AU4711" s="2"/>
      <c r="AV4711" s="2"/>
      <c r="AW4711" s="2"/>
      <c r="AX4711" s="2"/>
      <c r="AY4711" s="2">
        <v>41</v>
      </c>
      <c r="AZ4711" s="2" t="s">
        <v>82</v>
      </c>
      <c r="BA4711" s="2">
        <v>41</v>
      </c>
      <c r="BB4711" s="2" t="s">
        <v>82</v>
      </c>
      <c r="BC4711" s="2">
        <v>41</v>
      </c>
      <c r="BD4711" s="2" t="s">
        <v>82</v>
      </c>
      <c r="BE4711" s="2">
        <v>41</v>
      </c>
      <c r="BF4711" s="2" t="s">
        <v>82</v>
      </c>
      <c r="BG4711" s="2"/>
      <c r="BH4711" s="2"/>
      <c r="BI4711" s="2"/>
      <c r="BJ4711" s="2">
        <v>241</v>
      </c>
      <c r="BK4711" s="2" t="s">
        <v>82</v>
      </c>
      <c r="BL4711" s="2"/>
      <c r="BM4711" s="2">
        <v>241</v>
      </c>
      <c r="BN4711" s="2" t="s">
        <v>82</v>
      </c>
      <c r="BO4711" s="2"/>
      <c r="BP4711" s="2">
        <v>241</v>
      </c>
      <c r="BQ4711" s="2" t="s">
        <v>82</v>
      </c>
      <c r="BR4711" s="2"/>
      <c r="BS4711" s="3">
        <v>40499</v>
      </c>
      <c r="BT4711" s="4">
        <v>0.21799768518518517</v>
      </c>
    </row>
    <row r="4712" spans="1:72" x14ac:dyDescent="0.25">
      <c r="A4712" s="2">
        <v>7287</v>
      </c>
      <c r="B4712" s="2">
        <v>2010</v>
      </c>
      <c r="C4712" s="2" t="s">
        <v>819</v>
      </c>
      <c r="D4712" s="2" t="s">
        <v>73</v>
      </c>
      <c r="E4712" s="2"/>
      <c r="F4712" s="2">
        <v>399</v>
      </c>
      <c r="G4712" s="2" t="s">
        <v>587</v>
      </c>
      <c r="H4712" s="2">
        <v>15</v>
      </c>
      <c r="I4712" s="2" t="s">
        <v>130</v>
      </c>
      <c r="J4712" s="2">
        <v>2</v>
      </c>
      <c r="K4712" s="2" t="s">
        <v>3661</v>
      </c>
      <c r="L4712" s="2" t="s">
        <v>3662</v>
      </c>
      <c r="M4712" s="3">
        <v>40499</v>
      </c>
      <c r="N4712" s="2" t="s">
        <v>4076</v>
      </c>
      <c r="O4712" s="2" t="s">
        <v>10956</v>
      </c>
      <c r="P4712" s="2"/>
      <c r="Q4712" s="2" t="str">
        <f>"604-E/10"</f>
        <v>604-E/10</v>
      </c>
      <c r="R4712" s="2" t="s">
        <v>10956</v>
      </c>
      <c r="S4712" s="2"/>
      <c r="T4712" s="2">
        <v>1</v>
      </c>
      <c r="U4712" s="2" t="s">
        <v>79</v>
      </c>
      <c r="V4712" s="2">
        <v>1</v>
      </c>
      <c r="W4712" s="2" t="s">
        <v>80</v>
      </c>
      <c r="X4712" s="2">
        <v>1</v>
      </c>
      <c r="Y4712" s="2" t="s">
        <v>81</v>
      </c>
      <c r="Z4712" s="2">
        <v>1</v>
      </c>
      <c r="AA4712" s="2" t="s">
        <v>82</v>
      </c>
      <c r="AB4712" s="2">
        <v>9</v>
      </c>
      <c r="AC4712" s="2" t="s">
        <v>124</v>
      </c>
      <c r="AD4712" s="3">
        <v>40498</v>
      </c>
      <c r="AE4712" s="4">
        <v>0.70833333333333337</v>
      </c>
      <c r="AF4712" s="3">
        <v>40498</v>
      </c>
      <c r="AG4712" s="4">
        <v>0.86111111111111116</v>
      </c>
      <c r="AH4712" s="2">
        <v>2</v>
      </c>
      <c r="AI4712" s="2" t="s">
        <v>84</v>
      </c>
      <c r="AJ4712" s="2">
        <v>9</v>
      </c>
      <c r="AK4712" s="2" t="s">
        <v>103</v>
      </c>
      <c r="AL4712" s="2">
        <v>11</v>
      </c>
      <c r="AM4712" s="2" t="s">
        <v>137</v>
      </c>
      <c r="AN4712" s="2" t="s">
        <v>14579</v>
      </c>
      <c r="AO4712" s="2" t="s">
        <v>590</v>
      </c>
      <c r="AP4712" s="2">
        <v>11</v>
      </c>
      <c r="AQ4712" s="2" t="s">
        <v>82</v>
      </c>
      <c r="AR4712" s="2"/>
      <c r="AS4712" s="2"/>
      <c r="AT4712" s="2" t="s">
        <v>14580</v>
      </c>
      <c r="AU4712" s="2"/>
      <c r="AV4712" s="2"/>
      <c r="AW4712" s="2"/>
      <c r="AX4712" s="2"/>
      <c r="AY4712" s="2">
        <v>41</v>
      </c>
      <c r="AZ4712" s="2" t="s">
        <v>82</v>
      </c>
      <c r="BA4712" s="2">
        <v>41</v>
      </c>
      <c r="BB4712" s="2" t="s">
        <v>82</v>
      </c>
      <c r="BC4712" s="2">
        <v>41</v>
      </c>
      <c r="BD4712" s="2" t="s">
        <v>82</v>
      </c>
      <c r="BE4712" s="2">
        <v>13</v>
      </c>
      <c r="BF4712" s="2" t="s">
        <v>108</v>
      </c>
      <c r="BG4712" s="2" t="s">
        <v>5122</v>
      </c>
      <c r="BH4712" s="2"/>
      <c r="BI4712" s="2"/>
      <c r="BJ4712" s="2">
        <v>13</v>
      </c>
      <c r="BK4712" s="2" t="s">
        <v>91</v>
      </c>
      <c r="BL4712" s="2" t="s">
        <v>360</v>
      </c>
      <c r="BM4712" s="2">
        <v>229</v>
      </c>
      <c r="BN4712" s="2" t="s">
        <v>300</v>
      </c>
      <c r="BO4712" s="2"/>
      <c r="BP4712" s="2">
        <v>229</v>
      </c>
      <c r="BQ4712" s="2" t="s">
        <v>300</v>
      </c>
      <c r="BR4712" s="2" t="s">
        <v>573</v>
      </c>
      <c r="BS4712" s="3">
        <v>40499</v>
      </c>
      <c r="BT4712" s="4">
        <v>0.23703703703703705</v>
      </c>
    </row>
    <row r="4713" spans="1:72" x14ac:dyDescent="0.25">
      <c r="A4713" s="2">
        <v>7288</v>
      </c>
      <c r="B4713" s="2">
        <v>2010</v>
      </c>
      <c r="C4713" s="2" t="s">
        <v>1660</v>
      </c>
      <c r="D4713" s="2" t="s">
        <v>73</v>
      </c>
      <c r="E4713" s="2"/>
      <c r="F4713" s="2">
        <v>390</v>
      </c>
      <c r="G4713" s="2" t="s">
        <v>475</v>
      </c>
      <c r="H4713" s="2">
        <v>5</v>
      </c>
      <c r="I4713" s="2" t="s">
        <v>634</v>
      </c>
      <c r="J4713" s="2">
        <v>533</v>
      </c>
      <c r="K4713" s="2" t="s">
        <v>6511</v>
      </c>
      <c r="L4713" s="2" t="s">
        <v>478</v>
      </c>
      <c r="M4713" s="3">
        <v>40499</v>
      </c>
      <c r="N4713" s="2" t="s">
        <v>3103</v>
      </c>
      <c r="O4713" s="2" t="s">
        <v>14581</v>
      </c>
      <c r="P4713" s="2"/>
      <c r="Q4713" s="2" t="str">
        <f>"605-E/10"</f>
        <v>605-E/10</v>
      </c>
      <c r="R4713" s="2" t="s">
        <v>14582</v>
      </c>
      <c r="S4713" s="2"/>
      <c r="T4713" s="2">
        <v>1</v>
      </c>
      <c r="U4713" s="2" t="s">
        <v>79</v>
      </c>
      <c r="V4713" s="2">
        <v>1</v>
      </c>
      <c r="W4713" s="2" t="s">
        <v>80</v>
      </c>
      <c r="X4713" s="2">
        <v>10</v>
      </c>
      <c r="Y4713" s="2" t="s">
        <v>226</v>
      </c>
      <c r="Z4713" s="2">
        <v>6</v>
      </c>
      <c r="AA4713" s="2" t="s">
        <v>101</v>
      </c>
      <c r="AB4713" s="2">
        <v>3</v>
      </c>
      <c r="AC4713" s="2" t="s">
        <v>1663</v>
      </c>
      <c r="AD4713" s="3">
        <v>40498</v>
      </c>
      <c r="AE4713" s="4">
        <v>0.78125</v>
      </c>
      <c r="AF4713" s="3">
        <v>40498</v>
      </c>
      <c r="AG4713" s="4">
        <v>0.89583333333333337</v>
      </c>
      <c r="AH4713" s="2">
        <v>2</v>
      </c>
      <c r="AI4713" s="2" t="s">
        <v>84</v>
      </c>
      <c r="AJ4713" s="2">
        <v>9</v>
      </c>
      <c r="AK4713" s="2" t="s">
        <v>103</v>
      </c>
      <c r="AL4713" s="2">
        <v>14</v>
      </c>
      <c r="AM4713" s="2" t="s">
        <v>216</v>
      </c>
      <c r="AN4713" s="2" t="s">
        <v>14583</v>
      </c>
      <c r="AO4713" s="2"/>
      <c r="AP4713" s="2">
        <v>11</v>
      </c>
      <c r="AQ4713" s="2" t="s">
        <v>82</v>
      </c>
      <c r="AR4713" s="2"/>
      <c r="AS4713" s="2"/>
      <c r="AT4713" s="2" t="s">
        <v>14584</v>
      </c>
      <c r="AU4713" s="2"/>
      <c r="AV4713" s="2">
        <v>1</v>
      </c>
      <c r="AW4713" s="2"/>
      <c r="AX4713" s="2"/>
      <c r="AY4713" s="2">
        <v>41</v>
      </c>
      <c r="AZ4713" s="2" t="s">
        <v>82</v>
      </c>
      <c r="BA4713" s="2">
        <v>41</v>
      </c>
      <c r="BB4713" s="2" t="s">
        <v>82</v>
      </c>
      <c r="BC4713" s="2">
        <v>41</v>
      </c>
      <c r="BD4713" s="2" t="s">
        <v>82</v>
      </c>
      <c r="BE4713" s="2">
        <v>14</v>
      </c>
      <c r="BF4713" s="2" t="s">
        <v>484</v>
      </c>
      <c r="BG4713" s="2" t="s">
        <v>3450</v>
      </c>
      <c r="BH4713" s="2"/>
      <c r="BI4713" s="2"/>
      <c r="BJ4713" s="2">
        <v>13</v>
      </c>
      <c r="BK4713" s="2" t="s">
        <v>91</v>
      </c>
      <c r="BL4713" s="2" t="s">
        <v>360</v>
      </c>
      <c r="BM4713" s="2">
        <v>82</v>
      </c>
      <c r="BN4713" s="2" t="s">
        <v>487</v>
      </c>
      <c r="BO4713" s="2"/>
      <c r="BP4713" s="2">
        <v>82</v>
      </c>
      <c r="BQ4713" s="2" t="s">
        <v>487</v>
      </c>
      <c r="BR4713" s="2" t="s">
        <v>488</v>
      </c>
      <c r="BS4713" s="3">
        <v>40499</v>
      </c>
      <c r="BT4713" s="4">
        <v>0.29701388888888886</v>
      </c>
    </row>
    <row r="4714" spans="1:72" x14ac:dyDescent="0.25">
      <c r="A4714" s="2">
        <v>7293</v>
      </c>
      <c r="B4714" s="2">
        <v>2010</v>
      </c>
      <c r="C4714" s="2" t="s">
        <v>147</v>
      </c>
      <c r="D4714" s="2" t="s">
        <v>122</v>
      </c>
      <c r="E4714" s="2"/>
      <c r="F4714" s="2">
        <v>1</v>
      </c>
      <c r="G4714" s="2" t="s">
        <v>82</v>
      </c>
      <c r="H4714" s="2">
        <v>1</v>
      </c>
      <c r="I4714" s="2" t="s">
        <v>82</v>
      </c>
      <c r="J4714" s="2">
        <v>1</v>
      </c>
      <c r="K4714" s="2" t="s">
        <v>107</v>
      </c>
      <c r="L4714" s="2" t="s">
        <v>107</v>
      </c>
      <c r="M4714" s="3">
        <v>40499</v>
      </c>
      <c r="N4714" s="2"/>
      <c r="O4714" s="2"/>
      <c r="P4714" s="2"/>
      <c r="Q4714" s="2" t="str">
        <f>""</f>
        <v/>
      </c>
      <c r="R4714" s="2"/>
      <c r="S4714" s="2"/>
      <c r="T4714" s="2">
        <v>2</v>
      </c>
      <c r="U4714" s="2" t="s">
        <v>123</v>
      </c>
      <c r="V4714" s="2">
        <v>1</v>
      </c>
      <c r="W4714" s="2" t="s">
        <v>80</v>
      </c>
      <c r="X4714" s="2">
        <v>12</v>
      </c>
      <c r="Y4714" s="2" t="s">
        <v>148</v>
      </c>
      <c r="Z4714" s="2">
        <v>11</v>
      </c>
      <c r="AA4714" s="2" t="s">
        <v>859</v>
      </c>
      <c r="AB4714" s="2">
        <v>9</v>
      </c>
      <c r="AC4714" s="2" t="s">
        <v>124</v>
      </c>
      <c r="AD4714" s="3">
        <v>40499</v>
      </c>
      <c r="AE4714" s="2"/>
      <c r="AF4714" s="3">
        <v>40499</v>
      </c>
      <c r="AG4714" s="4">
        <v>0.41666666666666669</v>
      </c>
      <c r="AH4714" s="2">
        <v>4</v>
      </c>
      <c r="AI4714" s="2" t="s">
        <v>125</v>
      </c>
      <c r="AJ4714" s="2">
        <v>28</v>
      </c>
      <c r="AK4714" s="2" t="s">
        <v>741</v>
      </c>
      <c r="AL4714" s="2">
        <v>24</v>
      </c>
      <c r="AM4714" s="2" t="s">
        <v>1540</v>
      </c>
      <c r="AN4714" s="2"/>
      <c r="AO4714" s="2"/>
      <c r="AP4714" s="2">
        <v>11</v>
      </c>
      <c r="AQ4714" s="2" t="s">
        <v>82</v>
      </c>
      <c r="AR4714" s="2"/>
      <c r="AS4714" s="2"/>
      <c r="AT4714" s="2" t="s">
        <v>14585</v>
      </c>
      <c r="AU4714" s="2"/>
      <c r="AV4714" s="2"/>
      <c r="AW4714" s="2"/>
      <c r="AX4714" s="2"/>
      <c r="AY4714" s="2">
        <v>41</v>
      </c>
      <c r="AZ4714" s="2" t="s">
        <v>82</v>
      </c>
      <c r="BA4714" s="2">
        <v>41</v>
      </c>
      <c r="BB4714" s="2" t="s">
        <v>82</v>
      </c>
      <c r="BC4714" s="2">
        <v>41</v>
      </c>
      <c r="BD4714" s="2" t="s">
        <v>82</v>
      </c>
      <c r="BE4714" s="2">
        <v>41</v>
      </c>
      <c r="BF4714" s="2" t="s">
        <v>82</v>
      </c>
      <c r="BG4714" s="2"/>
      <c r="BH4714" s="2"/>
      <c r="BI4714" s="2"/>
      <c r="BJ4714" s="2">
        <v>241</v>
      </c>
      <c r="BK4714" s="2" t="s">
        <v>82</v>
      </c>
      <c r="BL4714" s="2"/>
      <c r="BM4714" s="2">
        <v>241</v>
      </c>
      <c r="BN4714" s="2" t="s">
        <v>82</v>
      </c>
      <c r="BO4714" s="2"/>
      <c r="BP4714" s="2">
        <v>241</v>
      </c>
      <c r="BQ4714" s="2" t="s">
        <v>82</v>
      </c>
      <c r="BR4714" s="2"/>
      <c r="BS4714" s="3">
        <v>40499</v>
      </c>
      <c r="BT4714" s="4">
        <v>0.45201388888888888</v>
      </c>
    </row>
    <row r="4715" spans="1:72" x14ac:dyDescent="0.25">
      <c r="A4715" s="2">
        <v>7294</v>
      </c>
      <c r="B4715" s="2">
        <v>2010</v>
      </c>
      <c r="C4715" s="2" t="s">
        <v>171</v>
      </c>
      <c r="D4715" s="2" t="s">
        <v>73</v>
      </c>
      <c r="E4715" s="2"/>
      <c r="F4715" s="2">
        <v>390</v>
      </c>
      <c r="G4715" s="2" t="s">
        <v>475</v>
      </c>
      <c r="H4715" s="2">
        <v>5</v>
      </c>
      <c r="I4715" s="2" t="s">
        <v>634</v>
      </c>
      <c r="J4715" s="2">
        <v>533</v>
      </c>
      <c r="K4715" s="2" t="s">
        <v>6511</v>
      </c>
      <c r="L4715" s="2" t="s">
        <v>478</v>
      </c>
      <c r="M4715" s="3">
        <v>40499</v>
      </c>
      <c r="N4715" s="2" t="s">
        <v>3103</v>
      </c>
      <c r="O4715" s="2"/>
      <c r="P4715" s="2"/>
      <c r="Q4715" s="2" t="str">
        <f>"606-E/10"</f>
        <v>606-E/10</v>
      </c>
      <c r="R4715" s="2" t="s">
        <v>14586</v>
      </c>
      <c r="S4715" s="2"/>
      <c r="T4715" s="2">
        <v>1</v>
      </c>
      <c r="U4715" s="2" t="s">
        <v>79</v>
      </c>
      <c r="V4715" s="2">
        <v>1</v>
      </c>
      <c r="W4715" s="2" t="s">
        <v>80</v>
      </c>
      <c r="X4715" s="2">
        <v>1</v>
      </c>
      <c r="Y4715" s="2" t="s">
        <v>81</v>
      </c>
      <c r="Z4715" s="2">
        <v>1</v>
      </c>
      <c r="AA4715" s="2" t="s">
        <v>82</v>
      </c>
      <c r="AB4715" s="2">
        <v>1</v>
      </c>
      <c r="AC4715" s="2" t="s">
        <v>178</v>
      </c>
      <c r="AD4715" s="3">
        <v>40499</v>
      </c>
      <c r="AE4715" s="4">
        <v>8.3333333333333329E-2</v>
      </c>
      <c r="AF4715" s="3">
        <v>40499</v>
      </c>
      <c r="AG4715" s="4">
        <v>0.12847222222222224</v>
      </c>
      <c r="AH4715" s="2">
        <v>2</v>
      </c>
      <c r="AI4715" s="2" t="s">
        <v>84</v>
      </c>
      <c r="AJ4715" s="2">
        <v>9</v>
      </c>
      <c r="AK4715" s="2" t="s">
        <v>103</v>
      </c>
      <c r="AL4715" s="2">
        <v>16</v>
      </c>
      <c r="AM4715" s="2" t="s">
        <v>392</v>
      </c>
      <c r="AN4715" s="2" t="s">
        <v>14587</v>
      </c>
      <c r="AO4715" s="2" t="s">
        <v>14588</v>
      </c>
      <c r="AP4715" s="2">
        <v>12</v>
      </c>
      <c r="AQ4715" s="2" t="s">
        <v>322</v>
      </c>
      <c r="AR4715" s="2" t="s">
        <v>14589</v>
      </c>
      <c r="AS4715" s="2" t="s">
        <v>14590</v>
      </c>
      <c r="AT4715" s="2" t="s">
        <v>14591</v>
      </c>
      <c r="AU4715" s="2"/>
      <c r="AV4715" s="2"/>
      <c r="AW4715" s="2"/>
      <c r="AX4715" s="2"/>
      <c r="AY4715" s="2">
        <v>41</v>
      </c>
      <c r="AZ4715" s="2" t="s">
        <v>82</v>
      </c>
      <c r="BA4715" s="2">
        <v>41</v>
      </c>
      <c r="BB4715" s="2" t="s">
        <v>82</v>
      </c>
      <c r="BC4715" s="2">
        <v>41</v>
      </c>
      <c r="BD4715" s="2" t="s">
        <v>82</v>
      </c>
      <c r="BE4715" s="2">
        <v>13</v>
      </c>
      <c r="BF4715" s="2" t="s">
        <v>108</v>
      </c>
      <c r="BG4715" s="2" t="s">
        <v>107</v>
      </c>
      <c r="BH4715" s="2"/>
      <c r="BI4715" s="2"/>
      <c r="BJ4715" s="2">
        <v>13</v>
      </c>
      <c r="BK4715" s="2" t="s">
        <v>91</v>
      </c>
      <c r="BL4715" s="2" t="s">
        <v>828</v>
      </c>
      <c r="BM4715" s="2">
        <v>13</v>
      </c>
      <c r="BN4715" s="2" t="s">
        <v>91</v>
      </c>
      <c r="BO4715" s="2"/>
      <c r="BP4715" s="2">
        <v>13</v>
      </c>
      <c r="BQ4715" s="2" t="s">
        <v>91</v>
      </c>
      <c r="BR4715" s="2" t="s">
        <v>14592</v>
      </c>
      <c r="BS4715" s="3">
        <v>40499</v>
      </c>
      <c r="BT4715" s="4">
        <v>0.46872685185185187</v>
      </c>
    </row>
    <row r="4716" spans="1:72" x14ac:dyDescent="0.25">
      <c r="A4716" s="2">
        <v>7295</v>
      </c>
      <c r="B4716" s="2">
        <v>2010</v>
      </c>
      <c r="C4716" s="2" t="s">
        <v>2011</v>
      </c>
      <c r="D4716" s="2" t="s">
        <v>122</v>
      </c>
      <c r="E4716" s="2" t="s">
        <v>14593</v>
      </c>
      <c r="F4716" s="2">
        <v>53</v>
      </c>
      <c r="G4716" s="2" t="s">
        <v>2755</v>
      </c>
      <c r="H4716" s="2">
        <v>99</v>
      </c>
      <c r="I4716" s="2" t="s">
        <v>6285</v>
      </c>
      <c r="J4716" s="2">
        <v>89</v>
      </c>
      <c r="K4716" s="2" t="s">
        <v>14550</v>
      </c>
      <c r="L4716" s="2" t="s">
        <v>14551</v>
      </c>
      <c r="M4716" s="3">
        <v>40499</v>
      </c>
      <c r="N4716" s="2" t="s">
        <v>3489</v>
      </c>
      <c r="O4716" s="2"/>
      <c r="P4716" s="2"/>
      <c r="Q4716" s="2" t="str">
        <f>"036/10"</f>
        <v>036/10</v>
      </c>
      <c r="R4716" s="2"/>
      <c r="S4716" s="2" t="s">
        <v>14552</v>
      </c>
      <c r="T4716" s="2">
        <v>1</v>
      </c>
      <c r="U4716" s="2" t="s">
        <v>79</v>
      </c>
      <c r="V4716" s="2">
        <v>1</v>
      </c>
      <c r="W4716" s="2" t="s">
        <v>80</v>
      </c>
      <c r="X4716" s="2">
        <v>5</v>
      </c>
      <c r="Y4716" s="2" t="s">
        <v>82</v>
      </c>
      <c r="Z4716" s="2">
        <v>10</v>
      </c>
      <c r="AA4716" s="2" t="s">
        <v>236</v>
      </c>
      <c r="AB4716" s="2">
        <v>9</v>
      </c>
      <c r="AC4716" s="2" t="s">
        <v>124</v>
      </c>
      <c r="AD4716" s="3">
        <v>40498</v>
      </c>
      <c r="AE4716" s="2"/>
      <c r="AF4716" s="3">
        <v>40498</v>
      </c>
      <c r="AG4716" s="4">
        <v>0.70833333333333337</v>
      </c>
      <c r="AH4716" s="2">
        <v>4</v>
      </c>
      <c r="AI4716" s="2" t="s">
        <v>125</v>
      </c>
      <c r="AJ4716" s="2">
        <v>28</v>
      </c>
      <c r="AK4716" s="2" t="s">
        <v>741</v>
      </c>
      <c r="AL4716" s="2">
        <v>9</v>
      </c>
      <c r="AM4716" s="2" t="s">
        <v>259</v>
      </c>
      <c r="AN4716" s="2"/>
      <c r="AO4716" s="2" t="s">
        <v>14571</v>
      </c>
      <c r="AP4716" s="2">
        <v>11</v>
      </c>
      <c r="AQ4716" s="2" t="s">
        <v>82</v>
      </c>
      <c r="AR4716" s="2"/>
      <c r="AS4716" s="2"/>
      <c r="AT4716" s="2" t="s">
        <v>14594</v>
      </c>
      <c r="AU4716" s="2"/>
      <c r="AV4716" s="2"/>
      <c r="AW4716" s="2"/>
      <c r="AX4716" s="2"/>
      <c r="AY4716" s="2">
        <v>41</v>
      </c>
      <c r="AZ4716" s="2" t="s">
        <v>82</v>
      </c>
      <c r="BA4716" s="2">
        <v>41</v>
      </c>
      <c r="BB4716" s="2" t="s">
        <v>82</v>
      </c>
      <c r="BC4716" s="2">
        <v>41</v>
      </c>
      <c r="BD4716" s="2" t="s">
        <v>82</v>
      </c>
      <c r="BE4716" s="2">
        <v>41</v>
      </c>
      <c r="BF4716" s="2" t="s">
        <v>82</v>
      </c>
      <c r="BG4716" s="2"/>
      <c r="BH4716" s="2"/>
      <c r="BI4716" s="2"/>
      <c r="BJ4716" s="2">
        <v>241</v>
      </c>
      <c r="BK4716" s="2" t="s">
        <v>82</v>
      </c>
      <c r="BL4716" s="2"/>
      <c r="BM4716" s="2">
        <v>241</v>
      </c>
      <c r="BN4716" s="2" t="s">
        <v>82</v>
      </c>
      <c r="BO4716" s="2"/>
      <c r="BP4716" s="2">
        <v>241</v>
      </c>
      <c r="BQ4716" s="2" t="s">
        <v>82</v>
      </c>
      <c r="BR4716" s="2"/>
      <c r="BS4716" s="3">
        <v>40499</v>
      </c>
      <c r="BT4716" s="4">
        <v>0.47474537037037035</v>
      </c>
    </row>
    <row r="4717" spans="1:72" x14ac:dyDescent="0.25">
      <c r="A4717" s="2">
        <v>7296</v>
      </c>
      <c r="B4717" s="2">
        <v>2010</v>
      </c>
      <c r="C4717" s="2" t="s">
        <v>72</v>
      </c>
      <c r="D4717" s="2" t="s">
        <v>73</v>
      </c>
      <c r="E4717" s="2"/>
      <c r="F4717" s="2">
        <v>168</v>
      </c>
      <c r="G4717" s="2" t="s">
        <v>703</v>
      </c>
      <c r="H4717" s="2">
        <v>22</v>
      </c>
      <c r="I4717" s="2" t="s">
        <v>75</v>
      </c>
      <c r="J4717" s="2">
        <v>656</v>
      </c>
      <c r="K4717" s="2" t="s">
        <v>11603</v>
      </c>
      <c r="L4717" s="2" t="s">
        <v>4885</v>
      </c>
      <c r="M4717" s="3">
        <v>40499</v>
      </c>
      <c r="N4717" s="2" t="s">
        <v>14595</v>
      </c>
      <c r="O4717" s="2" t="s">
        <v>82</v>
      </c>
      <c r="P4717" s="2" t="s">
        <v>82</v>
      </c>
      <c r="Q4717" s="2" t="str">
        <f>"PS 434-A/10"</f>
        <v>PS 434-A/10</v>
      </c>
      <c r="R4717" s="2" t="s">
        <v>14596</v>
      </c>
      <c r="S4717" s="2"/>
      <c r="T4717" s="2">
        <v>1</v>
      </c>
      <c r="U4717" s="2" t="s">
        <v>79</v>
      </c>
      <c r="V4717" s="2">
        <v>1</v>
      </c>
      <c r="W4717" s="2" t="s">
        <v>80</v>
      </c>
      <c r="X4717" s="2">
        <v>12</v>
      </c>
      <c r="Y4717" s="2" t="s">
        <v>148</v>
      </c>
      <c r="Z4717" s="2">
        <v>1</v>
      </c>
      <c r="AA4717" s="2" t="s">
        <v>82</v>
      </c>
      <c r="AB4717" s="2">
        <v>6</v>
      </c>
      <c r="AC4717" s="2" t="s">
        <v>83</v>
      </c>
      <c r="AD4717" s="3">
        <v>40139</v>
      </c>
      <c r="AE4717" s="2"/>
      <c r="AF4717" s="3">
        <v>40497</v>
      </c>
      <c r="AG4717" s="2"/>
      <c r="AH4717" s="2">
        <v>2</v>
      </c>
      <c r="AI4717" s="2" t="s">
        <v>84</v>
      </c>
      <c r="AJ4717" s="2">
        <v>12</v>
      </c>
      <c r="AK4717" s="2" t="s">
        <v>85</v>
      </c>
      <c r="AL4717" s="2">
        <v>14</v>
      </c>
      <c r="AM4717" s="2" t="s">
        <v>216</v>
      </c>
      <c r="AN4717" s="2" t="s">
        <v>107</v>
      </c>
      <c r="AO4717" s="2" t="s">
        <v>82</v>
      </c>
      <c r="AP4717" s="2">
        <v>11</v>
      </c>
      <c r="AQ4717" s="2" t="s">
        <v>82</v>
      </c>
      <c r="AR4717" s="2"/>
      <c r="AS4717" s="2"/>
      <c r="AT4717" s="2" t="s">
        <v>14597</v>
      </c>
      <c r="AU4717" s="2"/>
      <c r="AV4717" s="2"/>
      <c r="AW4717" s="2"/>
      <c r="AX4717" s="2"/>
      <c r="AY4717" s="2">
        <v>41</v>
      </c>
      <c r="AZ4717" s="2" t="s">
        <v>82</v>
      </c>
      <c r="BA4717" s="2">
        <v>41</v>
      </c>
      <c r="BB4717" s="2" t="s">
        <v>82</v>
      </c>
      <c r="BC4717" s="2">
        <v>41</v>
      </c>
      <c r="BD4717" s="2" t="s">
        <v>82</v>
      </c>
      <c r="BE4717" s="2">
        <v>41</v>
      </c>
      <c r="BF4717" s="2" t="s">
        <v>82</v>
      </c>
      <c r="BG4717" s="2"/>
      <c r="BH4717" s="2"/>
      <c r="BI4717" s="2"/>
      <c r="BJ4717" s="2">
        <v>241</v>
      </c>
      <c r="BK4717" s="2" t="s">
        <v>82</v>
      </c>
      <c r="BL4717" s="2"/>
      <c r="BM4717" s="2">
        <v>241</v>
      </c>
      <c r="BN4717" s="2" t="s">
        <v>82</v>
      </c>
      <c r="BO4717" s="2"/>
      <c r="BP4717" s="2">
        <v>241</v>
      </c>
      <c r="BQ4717" s="2" t="s">
        <v>82</v>
      </c>
      <c r="BR4717" s="2"/>
      <c r="BS4717" s="3">
        <v>40499</v>
      </c>
      <c r="BT4717" s="4">
        <v>0.52792824074074074</v>
      </c>
    </row>
    <row r="4718" spans="1:72" x14ac:dyDescent="0.25">
      <c r="A4718" s="2">
        <v>7298</v>
      </c>
      <c r="B4718" s="2">
        <v>2010</v>
      </c>
      <c r="C4718" s="2" t="s">
        <v>806</v>
      </c>
      <c r="D4718" s="2" t="s">
        <v>73</v>
      </c>
      <c r="E4718" s="2"/>
      <c r="F4718" s="2">
        <v>10</v>
      </c>
      <c r="G4718" s="2" t="s">
        <v>2143</v>
      </c>
      <c r="H4718" s="2">
        <v>39</v>
      </c>
      <c r="I4718" s="2" t="s">
        <v>1117</v>
      </c>
      <c r="J4718" s="2">
        <v>19</v>
      </c>
      <c r="K4718" s="2" t="s">
        <v>2144</v>
      </c>
      <c r="L4718" s="2" t="s">
        <v>2145</v>
      </c>
      <c r="M4718" s="3">
        <v>40499</v>
      </c>
      <c r="N4718" s="2" t="s">
        <v>2214</v>
      </c>
      <c r="O4718" s="2" t="s">
        <v>14598</v>
      </c>
      <c r="P4718" s="2" t="s">
        <v>14599</v>
      </c>
      <c r="Q4718" s="2" t="str">
        <f>"17/10"</f>
        <v>17/10</v>
      </c>
      <c r="R4718" s="2" t="s">
        <v>82</v>
      </c>
      <c r="S4718" s="2" t="s">
        <v>82</v>
      </c>
      <c r="T4718" s="2">
        <v>1</v>
      </c>
      <c r="U4718" s="2" t="s">
        <v>79</v>
      </c>
      <c r="V4718" s="2">
        <v>3</v>
      </c>
      <c r="W4718" s="2" t="s">
        <v>225</v>
      </c>
      <c r="X4718" s="2">
        <v>7</v>
      </c>
      <c r="Y4718" s="2" t="s">
        <v>1964</v>
      </c>
      <c r="Z4718" s="2">
        <v>1</v>
      </c>
      <c r="AA4718" s="2" t="s">
        <v>82</v>
      </c>
      <c r="AB4718" s="2">
        <v>9</v>
      </c>
      <c r="AC4718" s="2" t="s">
        <v>124</v>
      </c>
      <c r="AD4718" s="3">
        <v>40499</v>
      </c>
      <c r="AE4718" s="2"/>
      <c r="AF4718" s="2"/>
      <c r="AG4718" s="2"/>
      <c r="AH4718" s="2">
        <v>3</v>
      </c>
      <c r="AI4718" s="2" t="s">
        <v>214</v>
      </c>
      <c r="AJ4718" s="2">
        <v>14</v>
      </c>
      <c r="AK4718" s="2" t="s">
        <v>342</v>
      </c>
      <c r="AL4718" s="2">
        <v>23</v>
      </c>
      <c r="AM4718" s="2" t="s">
        <v>251</v>
      </c>
      <c r="AN4718" s="2" t="s">
        <v>82</v>
      </c>
      <c r="AO4718" s="2" t="s">
        <v>14600</v>
      </c>
      <c r="AP4718" s="2">
        <v>11</v>
      </c>
      <c r="AQ4718" s="2" t="s">
        <v>82</v>
      </c>
      <c r="AR4718" s="2" t="s">
        <v>82</v>
      </c>
      <c r="AS4718" s="2" t="s">
        <v>82</v>
      </c>
      <c r="AT4718" s="2" t="s">
        <v>14601</v>
      </c>
      <c r="AU4718" s="2"/>
      <c r="AV4718" s="2"/>
      <c r="AW4718" s="2"/>
      <c r="AX4718" s="2"/>
      <c r="AY4718" s="2">
        <v>41</v>
      </c>
      <c r="AZ4718" s="2" t="s">
        <v>82</v>
      </c>
      <c r="BA4718" s="2">
        <v>41</v>
      </c>
      <c r="BB4718" s="2" t="s">
        <v>82</v>
      </c>
      <c r="BC4718" s="2">
        <v>41</v>
      </c>
      <c r="BD4718" s="2" t="s">
        <v>82</v>
      </c>
      <c r="BE4718" s="2">
        <v>41</v>
      </c>
      <c r="BF4718" s="2" t="s">
        <v>82</v>
      </c>
      <c r="BG4718" s="2"/>
      <c r="BH4718" s="2"/>
      <c r="BI4718" s="2"/>
      <c r="BJ4718" s="2">
        <v>241</v>
      </c>
      <c r="BK4718" s="2" t="s">
        <v>82</v>
      </c>
      <c r="BL4718" s="2" t="s">
        <v>82</v>
      </c>
      <c r="BM4718" s="2">
        <v>241</v>
      </c>
      <c r="BN4718" s="2" t="s">
        <v>82</v>
      </c>
      <c r="BO4718" s="2"/>
      <c r="BP4718" s="2">
        <v>241</v>
      </c>
      <c r="BQ4718" s="2" t="s">
        <v>82</v>
      </c>
      <c r="BR4718" s="2" t="s">
        <v>82</v>
      </c>
      <c r="BS4718" s="3">
        <v>40499</v>
      </c>
      <c r="BT4718" s="4">
        <v>0.56746527777777778</v>
      </c>
    </row>
    <row r="4719" spans="1:72" x14ac:dyDescent="0.25">
      <c r="A4719" s="2">
        <v>7304</v>
      </c>
      <c r="B4719" s="2">
        <v>2010</v>
      </c>
      <c r="C4719" s="2" t="s">
        <v>385</v>
      </c>
      <c r="D4719" s="2" t="s">
        <v>122</v>
      </c>
      <c r="E4719" s="2" t="s">
        <v>14602</v>
      </c>
      <c r="F4719" s="2">
        <v>398</v>
      </c>
      <c r="G4719" s="2" t="s">
        <v>94</v>
      </c>
      <c r="H4719" s="2">
        <v>12</v>
      </c>
      <c r="I4719" s="2" t="s">
        <v>95</v>
      </c>
      <c r="J4719" s="2">
        <v>245</v>
      </c>
      <c r="K4719" s="2" t="s">
        <v>96</v>
      </c>
      <c r="L4719" s="2" t="s">
        <v>97</v>
      </c>
      <c r="M4719" s="3">
        <v>40499</v>
      </c>
      <c r="N4719" s="2" t="s">
        <v>451</v>
      </c>
      <c r="O4719" s="2" t="s">
        <v>14509</v>
      </c>
      <c r="P4719" s="2" t="s">
        <v>14510</v>
      </c>
      <c r="Q4719" s="2" t="str">
        <f>""</f>
        <v/>
      </c>
      <c r="R4719" s="2"/>
      <c r="S4719" s="2"/>
      <c r="T4719" s="2">
        <v>1</v>
      </c>
      <c r="U4719" s="2" t="s">
        <v>79</v>
      </c>
      <c r="V4719" s="2">
        <v>1</v>
      </c>
      <c r="W4719" s="2" t="s">
        <v>80</v>
      </c>
      <c r="X4719" s="2">
        <v>11</v>
      </c>
      <c r="Y4719" s="2" t="s">
        <v>1920</v>
      </c>
      <c r="Z4719" s="2">
        <v>10</v>
      </c>
      <c r="AA4719" s="2" t="s">
        <v>236</v>
      </c>
      <c r="AB4719" s="2">
        <v>9</v>
      </c>
      <c r="AC4719" s="2" t="s">
        <v>124</v>
      </c>
      <c r="AD4719" s="3">
        <v>40497</v>
      </c>
      <c r="AE4719" s="4">
        <v>0.76388888888888884</v>
      </c>
      <c r="AF4719" s="3">
        <v>40497</v>
      </c>
      <c r="AG4719" s="2"/>
      <c r="AH4719" s="2">
        <v>2</v>
      </c>
      <c r="AI4719" s="2" t="s">
        <v>84</v>
      </c>
      <c r="AJ4719" s="2">
        <v>12</v>
      </c>
      <c r="AK4719" s="2" t="s">
        <v>85</v>
      </c>
      <c r="AL4719" s="2">
        <v>27</v>
      </c>
      <c r="AM4719" s="2" t="s">
        <v>6225</v>
      </c>
      <c r="AN4719" s="2"/>
      <c r="AO4719" s="2" t="s">
        <v>1971</v>
      </c>
      <c r="AP4719" s="2">
        <v>11</v>
      </c>
      <c r="AQ4719" s="2" t="s">
        <v>82</v>
      </c>
      <c r="AR4719" s="2"/>
      <c r="AS4719" s="2"/>
      <c r="AT4719" s="2" t="s">
        <v>14603</v>
      </c>
      <c r="AU4719" s="2">
        <v>1</v>
      </c>
      <c r="AV4719" s="2"/>
      <c r="AW4719" s="2"/>
      <c r="AX4719" s="2"/>
      <c r="AY4719" s="2">
        <v>41</v>
      </c>
      <c r="AZ4719" s="2" t="s">
        <v>82</v>
      </c>
      <c r="BA4719" s="2">
        <v>41</v>
      </c>
      <c r="BB4719" s="2" t="s">
        <v>82</v>
      </c>
      <c r="BC4719" s="2">
        <v>41</v>
      </c>
      <c r="BD4719" s="2" t="s">
        <v>82</v>
      </c>
      <c r="BE4719" s="2">
        <v>41</v>
      </c>
      <c r="BF4719" s="2" t="s">
        <v>82</v>
      </c>
      <c r="BG4719" s="2"/>
      <c r="BH4719" s="2"/>
      <c r="BI4719" s="2"/>
      <c r="BJ4719" s="2">
        <v>241</v>
      </c>
      <c r="BK4719" s="2" t="s">
        <v>82</v>
      </c>
      <c r="BL4719" s="2"/>
      <c r="BM4719" s="2">
        <v>241</v>
      </c>
      <c r="BN4719" s="2" t="s">
        <v>82</v>
      </c>
      <c r="BO4719" s="2"/>
      <c r="BP4719" s="2">
        <v>241</v>
      </c>
      <c r="BQ4719" s="2" t="s">
        <v>82</v>
      </c>
      <c r="BR4719" s="2"/>
      <c r="BS4719" s="3">
        <v>40499</v>
      </c>
      <c r="BT4719" s="4">
        <v>0.61803240740740739</v>
      </c>
    </row>
    <row r="4720" spans="1:72" x14ac:dyDescent="0.25">
      <c r="A4720" s="2">
        <v>7305</v>
      </c>
      <c r="B4720" s="2">
        <v>2010</v>
      </c>
      <c r="C4720" s="2" t="s">
        <v>171</v>
      </c>
      <c r="D4720" s="2" t="s">
        <v>73</v>
      </c>
      <c r="E4720" s="2"/>
      <c r="F4720" s="2">
        <v>390</v>
      </c>
      <c r="G4720" s="2" t="s">
        <v>475</v>
      </c>
      <c r="H4720" s="2">
        <v>5</v>
      </c>
      <c r="I4720" s="2" t="s">
        <v>634</v>
      </c>
      <c r="J4720" s="2">
        <v>533</v>
      </c>
      <c r="K4720" s="2" t="s">
        <v>6511</v>
      </c>
      <c r="L4720" s="2" t="s">
        <v>478</v>
      </c>
      <c r="M4720" s="3">
        <v>40499</v>
      </c>
      <c r="N4720" s="2" t="s">
        <v>3103</v>
      </c>
      <c r="O4720" s="2" t="s">
        <v>107</v>
      </c>
      <c r="P4720" s="2" t="s">
        <v>107</v>
      </c>
      <c r="Q4720" s="2" t="str">
        <f>"607-E/10"</f>
        <v>607-E/10</v>
      </c>
      <c r="R4720" s="2" t="s">
        <v>14604</v>
      </c>
      <c r="S4720" s="2" t="s">
        <v>14604</v>
      </c>
      <c r="T4720" s="2">
        <v>1</v>
      </c>
      <c r="U4720" s="2" t="s">
        <v>79</v>
      </c>
      <c r="V4720" s="2">
        <v>1</v>
      </c>
      <c r="W4720" s="2" t="s">
        <v>80</v>
      </c>
      <c r="X4720" s="2">
        <v>1</v>
      </c>
      <c r="Y4720" s="2" t="s">
        <v>81</v>
      </c>
      <c r="Z4720" s="2">
        <v>1</v>
      </c>
      <c r="AA4720" s="2" t="s">
        <v>82</v>
      </c>
      <c r="AB4720" s="2">
        <v>1</v>
      </c>
      <c r="AC4720" s="2" t="s">
        <v>178</v>
      </c>
      <c r="AD4720" s="3">
        <v>40499</v>
      </c>
      <c r="AE4720" s="4">
        <v>0.30555555555555552</v>
      </c>
      <c r="AF4720" s="3">
        <v>40499</v>
      </c>
      <c r="AG4720" s="4">
        <v>0.54166666666666663</v>
      </c>
      <c r="AH4720" s="2">
        <v>2</v>
      </c>
      <c r="AI4720" s="2" t="s">
        <v>84</v>
      </c>
      <c r="AJ4720" s="2">
        <v>9</v>
      </c>
      <c r="AK4720" s="2" t="s">
        <v>103</v>
      </c>
      <c r="AL4720" s="2">
        <v>11</v>
      </c>
      <c r="AM4720" s="2" t="s">
        <v>137</v>
      </c>
      <c r="AN4720" s="2" t="s">
        <v>14605</v>
      </c>
      <c r="AO4720" s="2" t="s">
        <v>987</v>
      </c>
      <c r="AP4720" s="2">
        <v>11</v>
      </c>
      <c r="AQ4720" s="2" t="s">
        <v>82</v>
      </c>
      <c r="AR4720" s="2"/>
      <c r="AS4720" s="2"/>
      <c r="AT4720" s="2" t="s">
        <v>14606</v>
      </c>
      <c r="AU4720" s="2"/>
      <c r="AV4720" s="2">
        <v>1</v>
      </c>
      <c r="AW4720" s="2"/>
      <c r="AX4720" s="2"/>
      <c r="AY4720" s="2">
        <v>41</v>
      </c>
      <c r="AZ4720" s="2" t="s">
        <v>82</v>
      </c>
      <c r="BA4720" s="2">
        <v>41</v>
      </c>
      <c r="BB4720" s="2" t="s">
        <v>82</v>
      </c>
      <c r="BC4720" s="2">
        <v>41</v>
      </c>
      <c r="BD4720" s="2" t="s">
        <v>82</v>
      </c>
      <c r="BE4720" s="2">
        <v>13</v>
      </c>
      <c r="BF4720" s="2" t="s">
        <v>108</v>
      </c>
      <c r="BG4720" s="2" t="s">
        <v>14607</v>
      </c>
      <c r="BH4720" s="4">
        <v>0.29166666666666669</v>
      </c>
      <c r="BI4720" s="2"/>
      <c r="BJ4720" s="2">
        <v>13</v>
      </c>
      <c r="BK4720" s="2" t="s">
        <v>91</v>
      </c>
      <c r="BL4720" s="2" t="s">
        <v>360</v>
      </c>
      <c r="BM4720" s="2">
        <v>13</v>
      </c>
      <c r="BN4720" s="2" t="s">
        <v>91</v>
      </c>
      <c r="BO4720" s="2"/>
      <c r="BP4720" s="2">
        <v>46</v>
      </c>
      <c r="BQ4720" s="2" t="s">
        <v>307</v>
      </c>
      <c r="BR4720" s="2" t="s">
        <v>308</v>
      </c>
      <c r="BS4720" s="3">
        <v>40499</v>
      </c>
      <c r="BT4720" s="4">
        <v>0.62825231481481481</v>
      </c>
    </row>
    <row r="4721" spans="1:72" x14ac:dyDescent="0.25">
      <c r="A4721" s="2">
        <v>7307</v>
      </c>
      <c r="B4721" s="2">
        <v>2010</v>
      </c>
      <c r="C4721" s="2" t="s">
        <v>171</v>
      </c>
      <c r="D4721" s="2" t="s">
        <v>73</v>
      </c>
      <c r="E4721" s="2" t="s">
        <v>14608</v>
      </c>
      <c r="F4721" s="2">
        <v>150</v>
      </c>
      <c r="G4721" s="2" t="s">
        <v>4650</v>
      </c>
      <c r="H4721" s="2">
        <v>50</v>
      </c>
      <c r="I4721" s="2" t="s">
        <v>107</v>
      </c>
      <c r="J4721" s="2">
        <v>711</v>
      </c>
      <c r="K4721" s="2" t="s">
        <v>14609</v>
      </c>
      <c r="L4721" s="2" t="s">
        <v>14610</v>
      </c>
      <c r="M4721" s="3">
        <v>40499</v>
      </c>
      <c r="N4721" s="2" t="s">
        <v>14611</v>
      </c>
      <c r="O4721" s="2" t="s">
        <v>14612</v>
      </c>
      <c r="P4721" s="2" t="s">
        <v>9247</v>
      </c>
      <c r="Q4721" s="2" t="str">
        <f>""</f>
        <v/>
      </c>
      <c r="R4721" s="2"/>
      <c r="S4721" s="2"/>
      <c r="T4721" s="2">
        <v>1</v>
      </c>
      <c r="U4721" s="2" t="s">
        <v>79</v>
      </c>
      <c r="V4721" s="2">
        <v>3</v>
      </c>
      <c r="W4721" s="2" t="s">
        <v>225</v>
      </c>
      <c r="X4721" s="2">
        <v>6</v>
      </c>
      <c r="Y4721" s="2" t="s">
        <v>249</v>
      </c>
      <c r="Z4721" s="2">
        <v>1</v>
      </c>
      <c r="AA4721" s="2" t="s">
        <v>82</v>
      </c>
      <c r="AB4721" s="2">
        <v>9</v>
      </c>
      <c r="AC4721" s="2" t="s">
        <v>124</v>
      </c>
      <c r="AD4721" s="3">
        <v>40499</v>
      </c>
      <c r="AE4721" s="4">
        <v>0.48472222222222222</v>
      </c>
      <c r="AF4721" s="2"/>
      <c r="AG4721" s="2"/>
      <c r="AH4721" s="2">
        <v>6</v>
      </c>
      <c r="AI4721" s="2" t="s">
        <v>197</v>
      </c>
      <c r="AJ4721" s="2">
        <v>47</v>
      </c>
      <c r="AK4721" s="2" t="s">
        <v>250</v>
      </c>
      <c r="AL4721" s="2">
        <v>23</v>
      </c>
      <c r="AM4721" s="2" t="s">
        <v>251</v>
      </c>
      <c r="AN4721" s="2"/>
      <c r="AO4721" s="2" t="s">
        <v>14613</v>
      </c>
      <c r="AP4721" s="2">
        <v>11</v>
      </c>
      <c r="AQ4721" s="2" t="s">
        <v>82</v>
      </c>
      <c r="AR4721" s="2"/>
      <c r="AS4721" s="2"/>
      <c r="AT4721" s="2" t="s">
        <v>14614</v>
      </c>
      <c r="AU4721" s="2"/>
      <c r="AV4721" s="2"/>
      <c r="AW4721" s="2"/>
      <c r="AX4721" s="2"/>
      <c r="AY4721" s="2">
        <v>41</v>
      </c>
      <c r="AZ4721" s="2" t="s">
        <v>82</v>
      </c>
      <c r="BA4721" s="2">
        <v>41</v>
      </c>
      <c r="BB4721" s="2" t="s">
        <v>82</v>
      </c>
      <c r="BC4721" s="2">
        <v>41</v>
      </c>
      <c r="BD4721" s="2" t="s">
        <v>82</v>
      </c>
      <c r="BE4721" s="2">
        <v>41</v>
      </c>
      <c r="BF4721" s="2" t="s">
        <v>82</v>
      </c>
      <c r="BG4721" s="2"/>
      <c r="BH4721" s="2"/>
      <c r="BI4721" s="2"/>
      <c r="BJ4721" s="2">
        <v>241</v>
      </c>
      <c r="BK4721" s="2" t="s">
        <v>82</v>
      </c>
      <c r="BL4721" s="2"/>
      <c r="BM4721" s="2">
        <v>241</v>
      </c>
      <c r="BN4721" s="2" t="s">
        <v>82</v>
      </c>
      <c r="BO4721" s="2"/>
      <c r="BP4721" s="2">
        <v>241</v>
      </c>
      <c r="BQ4721" s="2" t="s">
        <v>82</v>
      </c>
      <c r="BR4721" s="2"/>
      <c r="BS4721" s="3">
        <v>40499</v>
      </c>
      <c r="BT4721" s="4">
        <v>0.64207175925925919</v>
      </c>
    </row>
    <row r="4722" spans="1:72" x14ac:dyDescent="0.25">
      <c r="A4722" s="2">
        <v>7308</v>
      </c>
      <c r="B4722" s="2">
        <v>2010</v>
      </c>
      <c r="C4722" s="2" t="s">
        <v>128</v>
      </c>
      <c r="D4722" s="2" t="s">
        <v>73</v>
      </c>
      <c r="E4722" s="2"/>
      <c r="F4722" s="2">
        <v>724</v>
      </c>
      <c r="G4722" s="2" t="s">
        <v>14615</v>
      </c>
      <c r="H4722" s="2">
        <v>108</v>
      </c>
      <c r="I4722" s="2" t="s">
        <v>1096</v>
      </c>
      <c r="J4722" s="2">
        <v>712</v>
      </c>
      <c r="K4722" s="2" t="s">
        <v>945</v>
      </c>
      <c r="L4722" s="2" t="s">
        <v>14616</v>
      </c>
      <c r="M4722" s="3">
        <v>40499</v>
      </c>
      <c r="N4722" s="2" t="s">
        <v>14617</v>
      </c>
      <c r="O4722" s="2"/>
      <c r="P4722" s="2"/>
      <c r="Q4722" s="2" t="str">
        <f>"0014/2010"</f>
        <v>0014/2010</v>
      </c>
      <c r="R4722" s="2"/>
      <c r="S4722" s="2" t="s">
        <v>14618</v>
      </c>
      <c r="T4722" s="2">
        <v>1</v>
      </c>
      <c r="U4722" s="2" t="s">
        <v>79</v>
      </c>
      <c r="V4722" s="2">
        <v>1</v>
      </c>
      <c r="W4722" s="2" t="s">
        <v>80</v>
      </c>
      <c r="X4722" s="2">
        <v>1</v>
      </c>
      <c r="Y4722" s="2" t="s">
        <v>81</v>
      </c>
      <c r="Z4722" s="2">
        <v>1</v>
      </c>
      <c r="AA4722" s="2" t="s">
        <v>82</v>
      </c>
      <c r="AB4722" s="2">
        <v>9</v>
      </c>
      <c r="AC4722" s="2" t="s">
        <v>124</v>
      </c>
      <c r="AD4722" s="3">
        <v>40499</v>
      </c>
      <c r="AE4722" s="2"/>
      <c r="AF4722" s="3">
        <v>40499</v>
      </c>
      <c r="AG4722" s="4">
        <v>0.4201388888888889</v>
      </c>
      <c r="AH4722" s="2">
        <v>5</v>
      </c>
      <c r="AI4722" s="2" t="s">
        <v>274</v>
      </c>
      <c r="AJ4722" s="2">
        <v>44</v>
      </c>
      <c r="AK4722" s="2" t="s">
        <v>667</v>
      </c>
      <c r="AL4722" s="2">
        <v>9</v>
      </c>
      <c r="AM4722" s="2" t="s">
        <v>259</v>
      </c>
      <c r="AN4722" s="2" t="s">
        <v>7158</v>
      </c>
      <c r="AO4722" s="2" t="s">
        <v>14619</v>
      </c>
      <c r="AP4722" s="2">
        <v>11</v>
      </c>
      <c r="AQ4722" s="2" t="s">
        <v>82</v>
      </c>
      <c r="AR4722" s="2"/>
      <c r="AS4722" s="2"/>
      <c r="AT4722" s="2" t="s">
        <v>14620</v>
      </c>
      <c r="AU4722" s="2"/>
      <c r="AV4722" s="2"/>
      <c r="AW4722" s="2"/>
      <c r="AX4722" s="2"/>
      <c r="AY4722" s="2">
        <v>41</v>
      </c>
      <c r="AZ4722" s="2" t="s">
        <v>82</v>
      </c>
      <c r="BA4722" s="2">
        <v>41</v>
      </c>
      <c r="BB4722" s="2" t="s">
        <v>82</v>
      </c>
      <c r="BC4722" s="2">
        <v>41</v>
      </c>
      <c r="BD4722" s="2" t="s">
        <v>82</v>
      </c>
      <c r="BE4722" s="2">
        <v>41</v>
      </c>
      <c r="BF4722" s="2" t="s">
        <v>82</v>
      </c>
      <c r="BG4722" s="2"/>
      <c r="BH4722" s="2"/>
      <c r="BI4722" s="2"/>
      <c r="BJ4722" s="2">
        <v>241</v>
      </c>
      <c r="BK4722" s="2" t="s">
        <v>82</v>
      </c>
      <c r="BL4722" s="2"/>
      <c r="BM4722" s="2">
        <v>241</v>
      </c>
      <c r="BN4722" s="2" t="s">
        <v>82</v>
      </c>
      <c r="BO4722" s="2"/>
      <c r="BP4722" s="2">
        <v>241</v>
      </c>
      <c r="BQ4722" s="2" t="s">
        <v>82</v>
      </c>
      <c r="BR4722" s="2"/>
      <c r="BS4722" s="3">
        <v>40499</v>
      </c>
      <c r="BT4722" s="4">
        <v>0.66017361111111106</v>
      </c>
    </row>
    <row r="4723" spans="1:72" x14ac:dyDescent="0.25">
      <c r="A4723" s="2">
        <v>7310</v>
      </c>
      <c r="B4723" s="2">
        <v>2010</v>
      </c>
      <c r="C4723" s="2" t="s">
        <v>385</v>
      </c>
      <c r="D4723" s="2" t="s">
        <v>122</v>
      </c>
      <c r="E4723" s="2" t="s">
        <v>14602</v>
      </c>
      <c r="F4723" s="2">
        <v>398</v>
      </c>
      <c r="G4723" s="2" t="s">
        <v>94</v>
      </c>
      <c r="H4723" s="2">
        <v>12</v>
      </c>
      <c r="I4723" s="2" t="s">
        <v>95</v>
      </c>
      <c r="J4723" s="2">
        <v>245</v>
      </c>
      <c r="K4723" s="2" t="s">
        <v>96</v>
      </c>
      <c r="L4723" s="2" t="s">
        <v>97</v>
      </c>
      <c r="M4723" s="3">
        <v>40499</v>
      </c>
      <c r="N4723" s="2" t="s">
        <v>451</v>
      </c>
      <c r="O4723" s="2" t="s">
        <v>14509</v>
      </c>
      <c r="P4723" s="2" t="s">
        <v>14510</v>
      </c>
      <c r="Q4723" s="2" t="str">
        <f>""</f>
        <v/>
      </c>
      <c r="R4723" s="2"/>
      <c r="S4723" s="2"/>
      <c r="T4723" s="2">
        <v>1</v>
      </c>
      <c r="U4723" s="2" t="s">
        <v>79</v>
      </c>
      <c r="V4723" s="2">
        <v>1</v>
      </c>
      <c r="W4723" s="2" t="s">
        <v>80</v>
      </c>
      <c r="X4723" s="2">
        <v>11</v>
      </c>
      <c r="Y4723" s="2" t="s">
        <v>1920</v>
      </c>
      <c r="Z4723" s="2">
        <v>10</v>
      </c>
      <c r="AA4723" s="2" t="s">
        <v>236</v>
      </c>
      <c r="AB4723" s="2">
        <v>9</v>
      </c>
      <c r="AC4723" s="2" t="s">
        <v>124</v>
      </c>
      <c r="AD4723" s="3">
        <v>40497</v>
      </c>
      <c r="AE4723" s="4">
        <v>0.76388888888888884</v>
      </c>
      <c r="AF4723" s="3">
        <v>40497</v>
      </c>
      <c r="AG4723" s="2"/>
      <c r="AH4723" s="2">
        <v>2</v>
      </c>
      <c r="AI4723" s="2" t="s">
        <v>84</v>
      </c>
      <c r="AJ4723" s="2">
        <v>12</v>
      </c>
      <c r="AK4723" s="2" t="s">
        <v>85</v>
      </c>
      <c r="AL4723" s="2">
        <v>27</v>
      </c>
      <c r="AM4723" s="2" t="s">
        <v>6225</v>
      </c>
      <c r="AN4723" s="2"/>
      <c r="AO4723" s="2" t="s">
        <v>1971</v>
      </c>
      <c r="AP4723" s="2">
        <v>11</v>
      </c>
      <c r="AQ4723" s="2" t="s">
        <v>82</v>
      </c>
      <c r="AR4723" s="2"/>
      <c r="AS4723" s="2"/>
      <c r="AT4723" s="2" t="s">
        <v>14621</v>
      </c>
      <c r="AU4723" s="2">
        <v>1</v>
      </c>
      <c r="AV4723" s="2"/>
      <c r="AW4723" s="2"/>
      <c r="AX4723" s="2"/>
      <c r="AY4723" s="2">
        <v>41</v>
      </c>
      <c r="AZ4723" s="2" t="s">
        <v>82</v>
      </c>
      <c r="BA4723" s="2">
        <v>41</v>
      </c>
      <c r="BB4723" s="2" t="s">
        <v>82</v>
      </c>
      <c r="BC4723" s="2">
        <v>41</v>
      </c>
      <c r="BD4723" s="2" t="s">
        <v>82</v>
      </c>
      <c r="BE4723" s="2">
        <v>41</v>
      </c>
      <c r="BF4723" s="2" t="s">
        <v>82</v>
      </c>
      <c r="BG4723" s="2"/>
      <c r="BH4723" s="2"/>
      <c r="BI4723" s="2"/>
      <c r="BJ4723" s="2">
        <v>241</v>
      </c>
      <c r="BK4723" s="2" t="s">
        <v>82</v>
      </c>
      <c r="BL4723" s="2"/>
      <c r="BM4723" s="2">
        <v>241</v>
      </c>
      <c r="BN4723" s="2" t="s">
        <v>82</v>
      </c>
      <c r="BO4723" s="2"/>
      <c r="BP4723" s="2">
        <v>241</v>
      </c>
      <c r="BQ4723" s="2" t="s">
        <v>82</v>
      </c>
      <c r="BR4723" s="2"/>
      <c r="BS4723" s="3">
        <v>40499</v>
      </c>
      <c r="BT4723" s="4">
        <v>0.75679398148148147</v>
      </c>
    </row>
    <row r="4724" spans="1:72" x14ac:dyDescent="0.25">
      <c r="A4724" s="2">
        <v>7314</v>
      </c>
      <c r="B4724" s="2">
        <v>2010</v>
      </c>
      <c r="C4724" s="2" t="s">
        <v>1660</v>
      </c>
      <c r="D4724" s="2" t="s">
        <v>122</v>
      </c>
      <c r="E4724" s="2" t="s">
        <v>14622</v>
      </c>
      <c r="F4724" s="2">
        <v>390</v>
      </c>
      <c r="G4724" s="2" t="s">
        <v>475</v>
      </c>
      <c r="H4724" s="2">
        <v>5</v>
      </c>
      <c r="I4724" s="2" t="s">
        <v>634</v>
      </c>
      <c r="J4724" s="2">
        <v>533</v>
      </c>
      <c r="K4724" s="2" t="s">
        <v>6511</v>
      </c>
      <c r="L4724" s="2" t="s">
        <v>478</v>
      </c>
      <c r="M4724" s="3">
        <v>40499</v>
      </c>
      <c r="N4724" s="2" t="s">
        <v>3103</v>
      </c>
      <c r="O4724" s="2"/>
      <c r="P4724" s="2"/>
      <c r="Q4724" s="2" t="str">
        <f>"605-E/10"</f>
        <v>605-E/10</v>
      </c>
      <c r="R4724" s="2" t="s">
        <v>14582</v>
      </c>
      <c r="S4724" s="2" t="s">
        <v>14582</v>
      </c>
      <c r="T4724" s="2">
        <v>1</v>
      </c>
      <c r="U4724" s="2" t="s">
        <v>79</v>
      </c>
      <c r="V4724" s="2">
        <v>1</v>
      </c>
      <c r="W4724" s="2" t="s">
        <v>80</v>
      </c>
      <c r="X4724" s="2">
        <v>11</v>
      </c>
      <c r="Y4724" s="2" t="s">
        <v>1920</v>
      </c>
      <c r="Z4724" s="2">
        <v>6</v>
      </c>
      <c r="AA4724" s="2" t="s">
        <v>101</v>
      </c>
      <c r="AB4724" s="2">
        <v>3</v>
      </c>
      <c r="AC4724" s="2" t="s">
        <v>1663</v>
      </c>
      <c r="AD4724" s="3">
        <v>40499</v>
      </c>
      <c r="AE4724" s="4">
        <v>0.3125</v>
      </c>
      <c r="AF4724" s="3">
        <v>40498</v>
      </c>
      <c r="AG4724" s="4">
        <v>0.89583333333333337</v>
      </c>
      <c r="AH4724" s="2">
        <v>2</v>
      </c>
      <c r="AI4724" s="2" t="s">
        <v>84</v>
      </c>
      <c r="AJ4724" s="2">
        <v>9</v>
      </c>
      <c r="AK4724" s="2" t="s">
        <v>103</v>
      </c>
      <c r="AL4724" s="2">
        <v>14</v>
      </c>
      <c r="AM4724" s="2" t="s">
        <v>216</v>
      </c>
      <c r="AN4724" s="2"/>
      <c r="AO4724" s="2" t="s">
        <v>12015</v>
      </c>
      <c r="AP4724" s="2">
        <v>11</v>
      </c>
      <c r="AQ4724" s="2" t="s">
        <v>82</v>
      </c>
      <c r="AR4724" s="2"/>
      <c r="AS4724" s="2"/>
      <c r="AT4724" s="2" t="s">
        <v>14623</v>
      </c>
      <c r="AU4724" s="2"/>
      <c r="AV4724" s="2">
        <v>1</v>
      </c>
      <c r="AW4724" s="2"/>
      <c r="AX4724" s="2"/>
      <c r="AY4724" s="2">
        <v>41</v>
      </c>
      <c r="AZ4724" s="2" t="s">
        <v>82</v>
      </c>
      <c r="BA4724" s="2">
        <v>41</v>
      </c>
      <c r="BB4724" s="2" t="s">
        <v>82</v>
      </c>
      <c r="BC4724" s="2">
        <v>41</v>
      </c>
      <c r="BD4724" s="2" t="s">
        <v>82</v>
      </c>
      <c r="BE4724" s="2">
        <v>14</v>
      </c>
      <c r="BF4724" s="2" t="s">
        <v>484</v>
      </c>
      <c r="BG4724" s="2" t="s">
        <v>818</v>
      </c>
      <c r="BH4724" s="4">
        <v>0.20833333333333334</v>
      </c>
      <c r="BI4724" s="4">
        <v>0.75694444444444453</v>
      </c>
      <c r="BJ4724" s="2">
        <v>13</v>
      </c>
      <c r="BK4724" s="2" t="s">
        <v>91</v>
      </c>
      <c r="BL4724" s="2" t="s">
        <v>360</v>
      </c>
      <c r="BM4724" s="2">
        <v>82</v>
      </c>
      <c r="BN4724" s="2" t="s">
        <v>487</v>
      </c>
      <c r="BO4724" s="2"/>
      <c r="BP4724" s="2">
        <v>73</v>
      </c>
      <c r="BQ4724" s="2" t="s">
        <v>186</v>
      </c>
      <c r="BR4724" s="2" t="s">
        <v>675</v>
      </c>
      <c r="BS4724" s="3">
        <v>40499</v>
      </c>
      <c r="BT4724" s="4">
        <v>0.94662037037037028</v>
      </c>
    </row>
    <row r="4725" spans="1:72" x14ac:dyDescent="0.25">
      <c r="A4725" s="2">
        <v>7314</v>
      </c>
      <c r="B4725" s="2">
        <v>2010</v>
      </c>
      <c r="C4725" s="2" t="s">
        <v>385</v>
      </c>
      <c r="D4725" s="2" t="s">
        <v>122</v>
      </c>
      <c r="E4725" s="2" t="s">
        <v>14622</v>
      </c>
      <c r="F4725" s="2">
        <v>390</v>
      </c>
      <c r="G4725" s="2" t="s">
        <v>475</v>
      </c>
      <c r="H4725" s="2">
        <v>5</v>
      </c>
      <c r="I4725" s="2" t="s">
        <v>634</v>
      </c>
      <c r="J4725" s="2">
        <v>533</v>
      </c>
      <c r="K4725" s="2" t="s">
        <v>6511</v>
      </c>
      <c r="L4725" s="2" t="s">
        <v>478</v>
      </c>
      <c r="M4725" s="3">
        <v>40499</v>
      </c>
      <c r="N4725" s="2" t="s">
        <v>3103</v>
      </c>
      <c r="O4725" s="2"/>
      <c r="P4725" s="2"/>
      <c r="Q4725" s="2" t="str">
        <f>"605-E/10"</f>
        <v>605-E/10</v>
      </c>
      <c r="R4725" s="2" t="s">
        <v>14582</v>
      </c>
      <c r="S4725" s="2" t="s">
        <v>14582</v>
      </c>
      <c r="T4725" s="2">
        <v>1</v>
      </c>
      <c r="U4725" s="2" t="s">
        <v>79</v>
      </c>
      <c r="V4725" s="2">
        <v>1</v>
      </c>
      <c r="W4725" s="2" t="s">
        <v>80</v>
      </c>
      <c r="X4725" s="2">
        <v>11</v>
      </c>
      <c r="Y4725" s="2" t="s">
        <v>1920</v>
      </c>
      <c r="Z4725" s="2">
        <v>6</v>
      </c>
      <c r="AA4725" s="2" t="s">
        <v>101</v>
      </c>
      <c r="AB4725" s="2">
        <v>9</v>
      </c>
      <c r="AC4725" s="2" t="s">
        <v>124</v>
      </c>
      <c r="AD4725" s="3">
        <v>40499</v>
      </c>
      <c r="AE4725" s="4">
        <v>0.3125</v>
      </c>
      <c r="AF4725" s="3">
        <v>40498</v>
      </c>
      <c r="AG4725" s="4">
        <v>0.89583333333333337</v>
      </c>
      <c r="AH4725" s="2">
        <v>2</v>
      </c>
      <c r="AI4725" s="2" t="s">
        <v>84</v>
      </c>
      <c r="AJ4725" s="2">
        <v>9</v>
      </c>
      <c r="AK4725" s="2" t="s">
        <v>103</v>
      </c>
      <c r="AL4725" s="2">
        <v>14</v>
      </c>
      <c r="AM4725" s="2" t="s">
        <v>216</v>
      </c>
      <c r="AN4725" s="2"/>
      <c r="AO4725" s="2" t="s">
        <v>12015</v>
      </c>
      <c r="AP4725" s="2">
        <v>11</v>
      </c>
      <c r="AQ4725" s="2" t="s">
        <v>82</v>
      </c>
      <c r="AR4725" s="2"/>
      <c r="AS4725" s="2"/>
      <c r="AT4725" s="2" t="s">
        <v>14623</v>
      </c>
      <c r="AU4725" s="2"/>
      <c r="AV4725" s="2">
        <v>1</v>
      </c>
      <c r="AW4725" s="2"/>
      <c r="AX4725" s="2"/>
      <c r="AY4725" s="2">
        <v>41</v>
      </c>
      <c r="AZ4725" s="2" t="s">
        <v>82</v>
      </c>
      <c r="BA4725" s="2">
        <v>41</v>
      </c>
      <c r="BB4725" s="2" t="s">
        <v>82</v>
      </c>
      <c r="BC4725" s="2">
        <v>41</v>
      </c>
      <c r="BD4725" s="2" t="s">
        <v>82</v>
      </c>
      <c r="BE4725" s="2">
        <v>14</v>
      </c>
      <c r="BF4725" s="2" t="s">
        <v>484</v>
      </c>
      <c r="BG4725" s="2" t="s">
        <v>818</v>
      </c>
      <c r="BH4725" s="4">
        <v>0.20833333333333334</v>
      </c>
      <c r="BI4725" s="4">
        <v>0.75694444444444453</v>
      </c>
      <c r="BJ4725" s="2">
        <v>13</v>
      </c>
      <c r="BK4725" s="2" t="s">
        <v>91</v>
      </c>
      <c r="BL4725" s="2" t="s">
        <v>360</v>
      </c>
      <c r="BM4725" s="2">
        <v>82</v>
      </c>
      <c r="BN4725" s="2" t="s">
        <v>487</v>
      </c>
      <c r="BO4725" s="2"/>
      <c r="BP4725" s="2">
        <v>73</v>
      </c>
      <c r="BQ4725" s="2" t="s">
        <v>186</v>
      </c>
      <c r="BR4725" s="2" t="s">
        <v>675</v>
      </c>
      <c r="BS4725" s="3">
        <v>40499</v>
      </c>
      <c r="BT4725" s="4">
        <v>0.94662037037037028</v>
      </c>
    </row>
    <row r="4726" spans="1:72" x14ac:dyDescent="0.25">
      <c r="A4726" s="2">
        <v>7315</v>
      </c>
      <c r="B4726" s="2">
        <v>2010</v>
      </c>
      <c r="C4726" s="2" t="s">
        <v>72</v>
      </c>
      <c r="D4726" s="2" t="s">
        <v>73</v>
      </c>
      <c r="E4726" s="2"/>
      <c r="F4726" s="2">
        <v>2</v>
      </c>
      <c r="G4726" s="2" t="s">
        <v>113</v>
      </c>
      <c r="H4726" s="2">
        <v>108</v>
      </c>
      <c r="I4726" s="2" t="s">
        <v>1096</v>
      </c>
      <c r="J4726" s="2">
        <v>300</v>
      </c>
      <c r="K4726" s="2" t="s">
        <v>114</v>
      </c>
      <c r="L4726" s="2" t="s">
        <v>115</v>
      </c>
      <c r="M4726" s="3">
        <v>40499</v>
      </c>
      <c r="N4726" s="2"/>
      <c r="O4726" s="2"/>
      <c r="P4726" s="2"/>
      <c r="Q4726" s="2" t="str">
        <f>"608-E/10"</f>
        <v>608-E/10</v>
      </c>
      <c r="R4726" s="2" t="s">
        <v>116</v>
      </c>
      <c r="S4726" s="2"/>
      <c r="T4726" s="2">
        <v>1</v>
      </c>
      <c r="U4726" s="2" t="s">
        <v>79</v>
      </c>
      <c r="V4726" s="2">
        <v>1</v>
      </c>
      <c r="W4726" s="2" t="s">
        <v>80</v>
      </c>
      <c r="X4726" s="2">
        <v>1</v>
      </c>
      <c r="Y4726" s="2" t="s">
        <v>81</v>
      </c>
      <c r="Z4726" s="2">
        <v>1</v>
      </c>
      <c r="AA4726" s="2" t="s">
        <v>82</v>
      </c>
      <c r="AB4726" s="2">
        <v>6</v>
      </c>
      <c r="AC4726" s="2" t="s">
        <v>83</v>
      </c>
      <c r="AD4726" s="3">
        <v>40499</v>
      </c>
      <c r="AE4726" s="2"/>
      <c r="AF4726" s="3">
        <v>40499</v>
      </c>
      <c r="AG4726" s="4">
        <v>0.91666666666666663</v>
      </c>
      <c r="AH4726" s="2">
        <v>2</v>
      </c>
      <c r="AI4726" s="2" t="s">
        <v>84</v>
      </c>
      <c r="AJ4726" s="2">
        <v>9</v>
      </c>
      <c r="AK4726" s="2" t="s">
        <v>103</v>
      </c>
      <c r="AL4726" s="2">
        <v>12</v>
      </c>
      <c r="AM4726" s="2" t="s">
        <v>86</v>
      </c>
      <c r="AN4726" s="2" t="s">
        <v>14624</v>
      </c>
      <c r="AO4726" s="2" t="s">
        <v>14625</v>
      </c>
      <c r="AP4726" s="2">
        <v>11</v>
      </c>
      <c r="AQ4726" s="2" t="s">
        <v>82</v>
      </c>
      <c r="AR4726" s="2"/>
      <c r="AS4726" s="2"/>
      <c r="AT4726" s="2" t="s">
        <v>14626</v>
      </c>
      <c r="AU4726" s="2"/>
      <c r="AV4726" s="2"/>
      <c r="AW4726" s="2">
        <v>1</v>
      </c>
      <c r="AX4726" s="2"/>
      <c r="AY4726" s="2">
        <v>41</v>
      </c>
      <c r="AZ4726" s="2" t="s">
        <v>82</v>
      </c>
      <c r="BA4726" s="2">
        <v>41</v>
      </c>
      <c r="BB4726" s="2" t="s">
        <v>82</v>
      </c>
      <c r="BC4726" s="2">
        <v>41</v>
      </c>
      <c r="BD4726" s="2" t="s">
        <v>82</v>
      </c>
      <c r="BE4726" s="2">
        <v>41</v>
      </c>
      <c r="BF4726" s="2" t="s">
        <v>82</v>
      </c>
      <c r="BG4726" s="2"/>
      <c r="BH4726" s="2"/>
      <c r="BI4726" s="2"/>
      <c r="BJ4726" s="2">
        <v>241</v>
      </c>
      <c r="BK4726" s="2" t="s">
        <v>82</v>
      </c>
      <c r="BL4726" s="2"/>
      <c r="BM4726" s="2">
        <v>241</v>
      </c>
      <c r="BN4726" s="2" t="s">
        <v>82</v>
      </c>
      <c r="BO4726" s="2"/>
      <c r="BP4726" s="2">
        <v>241</v>
      </c>
      <c r="BQ4726" s="2" t="s">
        <v>82</v>
      </c>
      <c r="BR4726" s="2"/>
      <c r="BS4726" s="3">
        <v>40499</v>
      </c>
      <c r="BT4726" s="4">
        <v>0.9912037037037037</v>
      </c>
    </row>
    <row r="4727" spans="1:72" x14ac:dyDescent="0.25">
      <c r="A4727" s="2">
        <v>7316</v>
      </c>
      <c r="B4727" s="2">
        <v>2010</v>
      </c>
      <c r="C4727" s="2" t="s">
        <v>171</v>
      </c>
      <c r="D4727" s="2" t="s">
        <v>122</v>
      </c>
      <c r="E4727" s="2" t="s">
        <v>14627</v>
      </c>
      <c r="F4727" s="2">
        <v>390</v>
      </c>
      <c r="G4727" s="2" t="s">
        <v>475</v>
      </c>
      <c r="H4727" s="2">
        <v>5</v>
      </c>
      <c r="I4727" s="2" t="s">
        <v>634</v>
      </c>
      <c r="J4727" s="2">
        <v>533</v>
      </c>
      <c r="K4727" s="2" t="s">
        <v>6511</v>
      </c>
      <c r="L4727" s="2" t="s">
        <v>478</v>
      </c>
      <c r="M4727" s="3">
        <v>40500</v>
      </c>
      <c r="N4727" s="2" t="s">
        <v>3103</v>
      </c>
      <c r="O4727" s="2" t="s">
        <v>107</v>
      </c>
      <c r="P4727" s="2" t="s">
        <v>107</v>
      </c>
      <c r="Q4727" s="2" t="str">
        <f>"607-E/10"</f>
        <v>607-E/10</v>
      </c>
      <c r="R4727" s="2" t="s">
        <v>14604</v>
      </c>
      <c r="S4727" s="2" t="s">
        <v>14604</v>
      </c>
      <c r="T4727" s="2">
        <v>1</v>
      </c>
      <c r="U4727" s="2" t="s">
        <v>79</v>
      </c>
      <c r="V4727" s="2">
        <v>1</v>
      </c>
      <c r="W4727" s="2" t="s">
        <v>80</v>
      </c>
      <c r="X4727" s="2">
        <v>11</v>
      </c>
      <c r="Y4727" s="2" t="s">
        <v>1920</v>
      </c>
      <c r="Z4727" s="2">
        <v>1</v>
      </c>
      <c r="AA4727" s="2" t="s">
        <v>82</v>
      </c>
      <c r="AB4727" s="2">
        <v>1</v>
      </c>
      <c r="AC4727" s="2" t="s">
        <v>178</v>
      </c>
      <c r="AD4727" s="3">
        <v>40499</v>
      </c>
      <c r="AE4727" s="4">
        <v>0.87569444444444444</v>
      </c>
      <c r="AF4727" s="3">
        <v>40499</v>
      </c>
      <c r="AG4727" s="2"/>
      <c r="AH4727" s="2">
        <v>2</v>
      </c>
      <c r="AI4727" s="2" t="s">
        <v>84</v>
      </c>
      <c r="AJ4727" s="2">
        <v>9</v>
      </c>
      <c r="AK4727" s="2" t="s">
        <v>103</v>
      </c>
      <c r="AL4727" s="2">
        <v>14</v>
      </c>
      <c r="AM4727" s="2" t="s">
        <v>216</v>
      </c>
      <c r="AN4727" s="2" t="s">
        <v>14628</v>
      </c>
      <c r="AO4727" s="2" t="s">
        <v>82</v>
      </c>
      <c r="AP4727" s="2">
        <v>11</v>
      </c>
      <c r="AQ4727" s="2" t="s">
        <v>82</v>
      </c>
      <c r="AR4727" s="2"/>
      <c r="AS4727" s="2"/>
      <c r="AT4727" s="2" t="s">
        <v>14629</v>
      </c>
      <c r="AU4727" s="2"/>
      <c r="AV4727" s="2">
        <v>1</v>
      </c>
      <c r="AW4727" s="2"/>
      <c r="AX4727" s="2"/>
      <c r="AY4727" s="2">
        <v>41</v>
      </c>
      <c r="AZ4727" s="2" t="s">
        <v>82</v>
      </c>
      <c r="BA4727" s="2">
        <v>41</v>
      </c>
      <c r="BB4727" s="2" t="s">
        <v>82</v>
      </c>
      <c r="BC4727" s="2">
        <v>41</v>
      </c>
      <c r="BD4727" s="2" t="s">
        <v>82</v>
      </c>
      <c r="BE4727" s="2">
        <v>13</v>
      </c>
      <c r="BF4727" s="2" t="s">
        <v>108</v>
      </c>
      <c r="BG4727" s="2" t="s">
        <v>14607</v>
      </c>
      <c r="BH4727" s="4">
        <v>0.29166666666666669</v>
      </c>
      <c r="BI4727" s="2"/>
      <c r="BJ4727" s="2">
        <v>73</v>
      </c>
      <c r="BK4727" s="2" t="s">
        <v>186</v>
      </c>
      <c r="BL4727" s="2" t="s">
        <v>187</v>
      </c>
      <c r="BM4727" s="2">
        <v>13</v>
      </c>
      <c r="BN4727" s="2" t="s">
        <v>91</v>
      </c>
      <c r="BO4727" s="2"/>
      <c r="BP4727" s="2">
        <v>13</v>
      </c>
      <c r="BQ4727" s="2" t="s">
        <v>91</v>
      </c>
      <c r="BR4727" s="2" t="s">
        <v>185</v>
      </c>
      <c r="BS4727" s="3">
        <v>40500</v>
      </c>
      <c r="BT4727" s="4">
        <v>7.9166666666666673E-3</v>
      </c>
    </row>
    <row r="4728" spans="1:72" x14ac:dyDescent="0.25">
      <c r="A4728" s="2">
        <v>7316</v>
      </c>
      <c r="B4728" s="2">
        <v>2010</v>
      </c>
      <c r="C4728" s="2" t="s">
        <v>385</v>
      </c>
      <c r="D4728" s="2" t="s">
        <v>122</v>
      </c>
      <c r="E4728" s="2" t="s">
        <v>14627</v>
      </c>
      <c r="F4728" s="2">
        <v>390</v>
      </c>
      <c r="G4728" s="2" t="s">
        <v>475</v>
      </c>
      <c r="H4728" s="2">
        <v>5</v>
      </c>
      <c r="I4728" s="2" t="s">
        <v>634</v>
      </c>
      <c r="J4728" s="2">
        <v>533</v>
      </c>
      <c r="K4728" s="2" t="s">
        <v>6511</v>
      </c>
      <c r="L4728" s="2" t="s">
        <v>478</v>
      </c>
      <c r="M4728" s="3">
        <v>40500</v>
      </c>
      <c r="N4728" s="2" t="s">
        <v>3103</v>
      </c>
      <c r="O4728" s="2" t="s">
        <v>107</v>
      </c>
      <c r="P4728" s="2" t="s">
        <v>107</v>
      </c>
      <c r="Q4728" s="2" t="str">
        <f>"607-E/10"</f>
        <v>607-E/10</v>
      </c>
      <c r="R4728" s="2" t="s">
        <v>14604</v>
      </c>
      <c r="S4728" s="2" t="s">
        <v>14604</v>
      </c>
      <c r="T4728" s="2">
        <v>1</v>
      </c>
      <c r="U4728" s="2" t="s">
        <v>79</v>
      </c>
      <c r="V4728" s="2">
        <v>1</v>
      </c>
      <c r="W4728" s="2" t="s">
        <v>80</v>
      </c>
      <c r="X4728" s="2">
        <v>11</v>
      </c>
      <c r="Y4728" s="2" t="s">
        <v>1920</v>
      </c>
      <c r="Z4728" s="2">
        <v>1</v>
      </c>
      <c r="AA4728" s="2" t="s">
        <v>82</v>
      </c>
      <c r="AB4728" s="2">
        <v>9</v>
      </c>
      <c r="AC4728" s="2" t="s">
        <v>124</v>
      </c>
      <c r="AD4728" s="3">
        <v>40499</v>
      </c>
      <c r="AE4728" s="4">
        <v>0.87569444444444444</v>
      </c>
      <c r="AF4728" s="3">
        <v>40499</v>
      </c>
      <c r="AG4728" s="2"/>
      <c r="AH4728" s="2">
        <v>2</v>
      </c>
      <c r="AI4728" s="2" t="s">
        <v>84</v>
      </c>
      <c r="AJ4728" s="2">
        <v>9</v>
      </c>
      <c r="AK4728" s="2" t="s">
        <v>103</v>
      </c>
      <c r="AL4728" s="2">
        <v>14</v>
      </c>
      <c r="AM4728" s="2" t="s">
        <v>216</v>
      </c>
      <c r="AN4728" s="2" t="s">
        <v>14628</v>
      </c>
      <c r="AO4728" s="2" t="s">
        <v>82</v>
      </c>
      <c r="AP4728" s="2">
        <v>11</v>
      </c>
      <c r="AQ4728" s="2" t="s">
        <v>82</v>
      </c>
      <c r="AR4728" s="2"/>
      <c r="AS4728" s="2"/>
      <c r="AT4728" s="2" t="s">
        <v>14629</v>
      </c>
      <c r="AU4728" s="2"/>
      <c r="AV4728" s="2">
        <v>1</v>
      </c>
      <c r="AW4728" s="2"/>
      <c r="AX4728" s="2"/>
      <c r="AY4728" s="2">
        <v>41</v>
      </c>
      <c r="AZ4728" s="2" t="s">
        <v>82</v>
      </c>
      <c r="BA4728" s="2">
        <v>41</v>
      </c>
      <c r="BB4728" s="2" t="s">
        <v>82</v>
      </c>
      <c r="BC4728" s="2">
        <v>41</v>
      </c>
      <c r="BD4728" s="2" t="s">
        <v>82</v>
      </c>
      <c r="BE4728" s="2">
        <v>13</v>
      </c>
      <c r="BF4728" s="2" t="s">
        <v>108</v>
      </c>
      <c r="BG4728" s="2" t="s">
        <v>14607</v>
      </c>
      <c r="BH4728" s="4">
        <v>0.29166666666666669</v>
      </c>
      <c r="BI4728" s="2"/>
      <c r="BJ4728" s="2">
        <v>73</v>
      </c>
      <c r="BK4728" s="2" t="s">
        <v>186</v>
      </c>
      <c r="BL4728" s="2" t="s">
        <v>187</v>
      </c>
      <c r="BM4728" s="2">
        <v>13</v>
      </c>
      <c r="BN4728" s="2" t="s">
        <v>91</v>
      </c>
      <c r="BO4728" s="2"/>
      <c r="BP4728" s="2">
        <v>13</v>
      </c>
      <c r="BQ4728" s="2" t="s">
        <v>91</v>
      </c>
      <c r="BR4728" s="2" t="s">
        <v>185</v>
      </c>
      <c r="BS4728" s="3">
        <v>40500</v>
      </c>
      <c r="BT4728" s="4">
        <v>7.9166666666666673E-3</v>
      </c>
    </row>
    <row r="4729" spans="1:72" x14ac:dyDescent="0.25">
      <c r="A4729" s="2">
        <v>7317</v>
      </c>
      <c r="B4729" s="2">
        <v>2010</v>
      </c>
      <c r="C4729" s="2" t="s">
        <v>72</v>
      </c>
      <c r="D4729" s="2" t="s">
        <v>73</v>
      </c>
      <c r="E4729" s="2"/>
      <c r="F4729" s="2">
        <v>390</v>
      </c>
      <c r="G4729" s="2" t="s">
        <v>475</v>
      </c>
      <c r="H4729" s="2">
        <v>5</v>
      </c>
      <c r="I4729" s="2" t="s">
        <v>634</v>
      </c>
      <c r="J4729" s="2">
        <v>533</v>
      </c>
      <c r="K4729" s="2" t="s">
        <v>6511</v>
      </c>
      <c r="L4729" s="2" t="s">
        <v>478</v>
      </c>
      <c r="M4729" s="3">
        <v>40500</v>
      </c>
      <c r="N4729" s="2" t="s">
        <v>3103</v>
      </c>
      <c r="O4729" s="2"/>
      <c r="P4729" s="2"/>
      <c r="Q4729" s="2" t="str">
        <f>"609-E/10"</f>
        <v>609-E/10</v>
      </c>
      <c r="R4729" s="2" t="s">
        <v>1847</v>
      </c>
      <c r="S4729" s="2"/>
      <c r="T4729" s="2">
        <v>1</v>
      </c>
      <c r="U4729" s="2" t="s">
        <v>79</v>
      </c>
      <c r="V4729" s="2">
        <v>1</v>
      </c>
      <c r="W4729" s="2" t="s">
        <v>80</v>
      </c>
      <c r="X4729" s="2">
        <v>1</v>
      </c>
      <c r="Y4729" s="2" t="s">
        <v>81</v>
      </c>
      <c r="Z4729" s="2">
        <v>1</v>
      </c>
      <c r="AA4729" s="2" t="s">
        <v>82</v>
      </c>
      <c r="AB4729" s="2">
        <v>6</v>
      </c>
      <c r="AC4729" s="2" t="s">
        <v>83</v>
      </c>
      <c r="AD4729" s="3">
        <v>40499</v>
      </c>
      <c r="AE4729" s="2"/>
      <c r="AF4729" s="3">
        <v>40499</v>
      </c>
      <c r="AG4729" s="4">
        <v>0.99305555555555547</v>
      </c>
      <c r="AH4729" s="2">
        <v>2</v>
      </c>
      <c r="AI4729" s="2" t="s">
        <v>84</v>
      </c>
      <c r="AJ4729" s="2">
        <v>9</v>
      </c>
      <c r="AK4729" s="2" t="s">
        <v>103</v>
      </c>
      <c r="AL4729" s="2">
        <v>22</v>
      </c>
      <c r="AM4729" s="2" t="s">
        <v>1853</v>
      </c>
      <c r="AN4729" s="2"/>
      <c r="AO4729" s="2" t="s">
        <v>10371</v>
      </c>
      <c r="AP4729" s="2">
        <v>11</v>
      </c>
      <c r="AQ4729" s="2" t="s">
        <v>82</v>
      </c>
      <c r="AR4729" s="2"/>
      <c r="AS4729" s="2"/>
      <c r="AT4729" s="2" t="s">
        <v>14630</v>
      </c>
      <c r="AU4729" s="2"/>
      <c r="AV4729" s="2"/>
      <c r="AW4729" s="2"/>
      <c r="AX4729" s="2"/>
      <c r="AY4729" s="2">
        <v>41</v>
      </c>
      <c r="AZ4729" s="2" t="s">
        <v>82</v>
      </c>
      <c r="BA4729" s="2">
        <v>41</v>
      </c>
      <c r="BB4729" s="2" t="s">
        <v>82</v>
      </c>
      <c r="BC4729" s="2">
        <v>41</v>
      </c>
      <c r="BD4729" s="2" t="s">
        <v>82</v>
      </c>
      <c r="BE4729" s="2">
        <v>13</v>
      </c>
      <c r="BF4729" s="2" t="s">
        <v>108</v>
      </c>
      <c r="BG4729" s="2" t="s">
        <v>1769</v>
      </c>
      <c r="BH4729" s="2"/>
      <c r="BI4729" s="2"/>
      <c r="BJ4729" s="2">
        <v>13</v>
      </c>
      <c r="BK4729" s="2" t="s">
        <v>91</v>
      </c>
      <c r="BL4729" s="2" t="s">
        <v>360</v>
      </c>
      <c r="BM4729" s="2">
        <v>73</v>
      </c>
      <c r="BN4729" s="2" t="s">
        <v>186</v>
      </c>
      <c r="BO4729" s="2"/>
      <c r="BP4729" s="2">
        <v>73</v>
      </c>
      <c r="BQ4729" s="2" t="s">
        <v>186</v>
      </c>
      <c r="BR4729" s="2" t="s">
        <v>187</v>
      </c>
      <c r="BS4729" s="3">
        <v>40500</v>
      </c>
      <c r="BT4729" s="4">
        <v>0.18837962962962962</v>
      </c>
    </row>
    <row r="4730" spans="1:72" x14ac:dyDescent="0.25">
      <c r="A4730" s="2">
        <v>7318</v>
      </c>
      <c r="B4730" s="2">
        <v>2010</v>
      </c>
      <c r="C4730" s="2" t="s">
        <v>128</v>
      </c>
      <c r="D4730" s="2" t="s">
        <v>73</v>
      </c>
      <c r="E4730" s="2"/>
      <c r="F4730" s="2">
        <v>390</v>
      </c>
      <c r="G4730" s="2" t="s">
        <v>475</v>
      </c>
      <c r="H4730" s="2">
        <v>5</v>
      </c>
      <c r="I4730" s="2" t="s">
        <v>634</v>
      </c>
      <c r="J4730" s="2">
        <v>533</v>
      </c>
      <c r="K4730" s="2" t="s">
        <v>6511</v>
      </c>
      <c r="L4730" s="2" t="s">
        <v>478</v>
      </c>
      <c r="M4730" s="3">
        <v>40500</v>
      </c>
      <c r="N4730" s="2" t="s">
        <v>3103</v>
      </c>
      <c r="O4730" s="2"/>
      <c r="P4730" s="2"/>
      <c r="Q4730" s="2" t="str">
        <f>"610-E/10"</f>
        <v>610-E/10</v>
      </c>
      <c r="R4730" s="2"/>
      <c r="S4730" s="2" t="s">
        <v>14631</v>
      </c>
      <c r="T4730" s="2">
        <v>1</v>
      </c>
      <c r="U4730" s="2" t="s">
        <v>79</v>
      </c>
      <c r="V4730" s="2">
        <v>1</v>
      </c>
      <c r="W4730" s="2" t="s">
        <v>80</v>
      </c>
      <c r="X4730" s="2">
        <v>12</v>
      </c>
      <c r="Y4730" s="2" t="s">
        <v>148</v>
      </c>
      <c r="Z4730" s="2">
        <v>1</v>
      </c>
      <c r="AA4730" s="2" t="s">
        <v>82</v>
      </c>
      <c r="AB4730" s="2">
        <v>9</v>
      </c>
      <c r="AC4730" s="2" t="s">
        <v>124</v>
      </c>
      <c r="AD4730" s="3">
        <v>40499</v>
      </c>
      <c r="AE4730" s="4">
        <v>0.94791666666666663</v>
      </c>
      <c r="AF4730" s="3">
        <v>40500</v>
      </c>
      <c r="AG4730" s="4">
        <v>0.94791666666666663</v>
      </c>
      <c r="AH4730" s="2">
        <v>2</v>
      </c>
      <c r="AI4730" s="2" t="s">
        <v>84</v>
      </c>
      <c r="AJ4730" s="2">
        <v>9</v>
      </c>
      <c r="AK4730" s="2" t="s">
        <v>103</v>
      </c>
      <c r="AL4730" s="2">
        <v>12</v>
      </c>
      <c r="AM4730" s="2" t="s">
        <v>86</v>
      </c>
      <c r="AN4730" s="2" t="s">
        <v>14632</v>
      </c>
      <c r="AO4730" s="2" t="s">
        <v>987</v>
      </c>
      <c r="AP4730" s="2">
        <v>11</v>
      </c>
      <c r="AQ4730" s="2" t="s">
        <v>82</v>
      </c>
      <c r="AR4730" s="2"/>
      <c r="AS4730" s="2"/>
      <c r="AT4730" s="2" t="s">
        <v>14633</v>
      </c>
      <c r="AU4730" s="2"/>
      <c r="AV4730" s="2"/>
      <c r="AW4730" s="2"/>
      <c r="AX4730" s="2"/>
      <c r="AY4730" s="2">
        <v>41</v>
      </c>
      <c r="AZ4730" s="2" t="s">
        <v>82</v>
      </c>
      <c r="BA4730" s="2">
        <v>41</v>
      </c>
      <c r="BB4730" s="2" t="s">
        <v>82</v>
      </c>
      <c r="BC4730" s="2">
        <v>41</v>
      </c>
      <c r="BD4730" s="2" t="s">
        <v>82</v>
      </c>
      <c r="BE4730" s="2">
        <v>41</v>
      </c>
      <c r="BF4730" s="2" t="s">
        <v>82</v>
      </c>
      <c r="BG4730" s="2"/>
      <c r="BH4730" s="2"/>
      <c r="BI4730" s="2"/>
      <c r="BJ4730" s="2">
        <v>241</v>
      </c>
      <c r="BK4730" s="2" t="s">
        <v>82</v>
      </c>
      <c r="BL4730" s="2"/>
      <c r="BM4730" s="2">
        <v>241</v>
      </c>
      <c r="BN4730" s="2" t="s">
        <v>82</v>
      </c>
      <c r="BO4730" s="2"/>
      <c r="BP4730" s="2">
        <v>241</v>
      </c>
      <c r="BQ4730" s="2" t="s">
        <v>82</v>
      </c>
      <c r="BR4730" s="2"/>
      <c r="BS4730" s="3">
        <v>40500</v>
      </c>
      <c r="BT4730" s="4">
        <v>0.28083333333333332</v>
      </c>
    </row>
    <row r="4731" spans="1:72" x14ac:dyDescent="0.25">
      <c r="A4731" s="2">
        <v>7319</v>
      </c>
      <c r="B4731" s="2">
        <v>2010</v>
      </c>
      <c r="C4731" s="2" t="s">
        <v>72</v>
      </c>
      <c r="D4731" s="2" t="s">
        <v>73</v>
      </c>
      <c r="E4731" s="2"/>
      <c r="F4731" s="2">
        <v>390</v>
      </c>
      <c r="G4731" s="2" t="s">
        <v>475</v>
      </c>
      <c r="H4731" s="2">
        <v>5</v>
      </c>
      <c r="I4731" s="2" t="s">
        <v>634</v>
      </c>
      <c r="J4731" s="2">
        <v>533</v>
      </c>
      <c r="K4731" s="2" t="s">
        <v>6511</v>
      </c>
      <c r="L4731" s="2" t="s">
        <v>478</v>
      </c>
      <c r="M4731" s="3">
        <v>40500</v>
      </c>
      <c r="N4731" s="2" t="s">
        <v>3103</v>
      </c>
      <c r="O4731" s="2"/>
      <c r="P4731" s="2"/>
      <c r="Q4731" s="2" t="str">
        <f>"611-E/10"</f>
        <v>611-E/10</v>
      </c>
      <c r="R4731" s="2" t="s">
        <v>480</v>
      </c>
      <c r="S4731" s="2"/>
      <c r="T4731" s="2">
        <v>1</v>
      </c>
      <c r="U4731" s="2" t="s">
        <v>79</v>
      </c>
      <c r="V4731" s="2">
        <v>1</v>
      </c>
      <c r="W4731" s="2" t="s">
        <v>80</v>
      </c>
      <c r="X4731" s="2">
        <v>12</v>
      </c>
      <c r="Y4731" s="2" t="s">
        <v>148</v>
      </c>
      <c r="Z4731" s="2">
        <v>1</v>
      </c>
      <c r="AA4731" s="2" t="s">
        <v>82</v>
      </c>
      <c r="AB4731" s="2">
        <v>6</v>
      </c>
      <c r="AC4731" s="2" t="s">
        <v>83</v>
      </c>
      <c r="AD4731" s="3">
        <v>40499</v>
      </c>
      <c r="AE4731" s="2"/>
      <c r="AF4731" s="3">
        <v>40500</v>
      </c>
      <c r="AG4731" s="4">
        <v>8.3333333333333329E-2</v>
      </c>
      <c r="AH4731" s="2">
        <v>2</v>
      </c>
      <c r="AI4731" s="2" t="s">
        <v>84</v>
      </c>
      <c r="AJ4731" s="2">
        <v>9</v>
      </c>
      <c r="AK4731" s="2" t="s">
        <v>103</v>
      </c>
      <c r="AL4731" s="2">
        <v>22</v>
      </c>
      <c r="AM4731" s="2" t="s">
        <v>1853</v>
      </c>
      <c r="AN4731" s="2" t="s">
        <v>14634</v>
      </c>
      <c r="AO4731" s="2" t="s">
        <v>12115</v>
      </c>
      <c r="AP4731" s="2">
        <v>11</v>
      </c>
      <c r="AQ4731" s="2" t="s">
        <v>82</v>
      </c>
      <c r="AR4731" s="2"/>
      <c r="AS4731" s="2"/>
      <c r="AT4731" s="2" t="s">
        <v>14635</v>
      </c>
      <c r="AU4731" s="2"/>
      <c r="AV4731" s="2"/>
      <c r="AW4731" s="2"/>
      <c r="AX4731" s="2"/>
      <c r="AY4731" s="2">
        <v>41</v>
      </c>
      <c r="AZ4731" s="2" t="s">
        <v>82</v>
      </c>
      <c r="BA4731" s="2">
        <v>41</v>
      </c>
      <c r="BB4731" s="2" t="s">
        <v>82</v>
      </c>
      <c r="BC4731" s="2">
        <v>41</v>
      </c>
      <c r="BD4731" s="2" t="s">
        <v>82</v>
      </c>
      <c r="BE4731" s="2">
        <v>25</v>
      </c>
      <c r="BF4731" s="2" t="s">
        <v>358</v>
      </c>
      <c r="BG4731" s="2" t="s">
        <v>6054</v>
      </c>
      <c r="BH4731" s="4">
        <v>0.98611111111111116</v>
      </c>
      <c r="BI4731" s="2"/>
      <c r="BJ4731" s="2">
        <v>33</v>
      </c>
      <c r="BK4731" s="2" t="s">
        <v>361</v>
      </c>
      <c r="BL4731" s="2" t="s">
        <v>1739</v>
      </c>
      <c r="BM4731" s="2">
        <v>13</v>
      </c>
      <c r="BN4731" s="2" t="s">
        <v>91</v>
      </c>
      <c r="BO4731" s="2"/>
      <c r="BP4731" s="2">
        <v>13</v>
      </c>
      <c r="BQ4731" s="2" t="s">
        <v>91</v>
      </c>
      <c r="BR4731" s="2" t="s">
        <v>360</v>
      </c>
      <c r="BS4731" s="3">
        <v>40500</v>
      </c>
      <c r="BT4731" s="4">
        <v>0.31445601851851851</v>
      </c>
    </row>
    <row r="4732" spans="1:72" x14ac:dyDescent="0.25">
      <c r="A4732" s="2">
        <v>7320</v>
      </c>
      <c r="B4732" s="2">
        <v>2010</v>
      </c>
      <c r="C4732" s="2" t="s">
        <v>4543</v>
      </c>
      <c r="D4732" s="2" t="s">
        <v>122</v>
      </c>
      <c r="E4732" s="2"/>
      <c r="F4732" s="2">
        <v>1</v>
      </c>
      <c r="G4732" s="2" t="s">
        <v>82</v>
      </c>
      <c r="H4732" s="2">
        <v>1</v>
      </c>
      <c r="I4732" s="2" t="s">
        <v>82</v>
      </c>
      <c r="J4732" s="2">
        <v>1</v>
      </c>
      <c r="K4732" s="2" t="s">
        <v>107</v>
      </c>
      <c r="L4732" s="2" t="s">
        <v>107</v>
      </c>
      <c r="M4732" s="3">
        <v>40500</v>
      </c>
      <c r="N4732" s="2"/>
      <c r="O4732" s="2"/>
      <c r="P4732" s="2"/>
      <c r="Q4732" s="2" t="str">
        <f>""</f>
        <v/>
      </c>
      <c r="R4732" s="2"/>
      <c r="S4732" s="2"/>
      <c r="T4732" s="2">
        <v>2</v>
      </c>
      <c r="U4732" s="2" t="s">
        <v>123</v>
      </c>
      <c r="V4732" s="2">
        <v>1</v>
      </c>
      <c r="W4732" s="2" t="s">
        <v>80</v>
      </c>
      <c r="X4732" s="2">
        <v>11</v>
      </c>
      <c r="Y4732" s="2" t="s">
        <v>1920</v>
      </c>
      <c r="Z4732" s="2">
        <v>1</v>
      </c>
      <c r="AA4732" s="2" t="s">
        <v>82</v>
      </c>
      <c r="AB4732" s="2">
        <v>9</v>
      </c>
      <c r="AC4732" s="2" t="s">
        <v>124</v>
      </c>
      <c r="AD4732" s="3">
        <v>40500</v>
      </c>
      <c r="AE4732" s="4">
        <v>0.15625</v>
      </c>
      <c r="AF4732" s="2"/>
      <c r="AG4732" s="2"/>
      <c r="AH4732" s="2">
        <v>6</v>
      </c>
      <c r="AI4732" s="2" t="s">
        <v>197</v>
      </c>
      <c r="AJ4732" s="2">
        <v>54</v>
      </c>
      <c r="AK4732" s="2" t="s">
        <v>348</v>
      </c>
      <c r="AL4732" s="2">
        <v>19</v>
      </c>
      <c r="AM4732" s="2" t="s">
        <v>107</v>
      </c>
      <c r="AN4732" s="2" t="s">
        <v>595</v>
      </c>
      <c r="AO4732" s="2" t="s">
        <v>200</v>
      </c>
      <c r="AP4732" s="2">
        <v>14</v>
      </c>
      <c r="AQ4732" s="2" t="s">
        <v>3301</v>
      </c>
      <c r="AR4732" s="2" t="s">
        <v>596</v>
      </c>
      <c r="AS4732" s="2" t="s">
        <v>596</v>
      </c>
      <c r="AT4732" s="2" t="s">
        <v>14636</v>
      </c>
      <c r="AU4732" s="2"/>
      <c r="AV4732" s="2"/>
      <c r="AW4732" s="2"/>
      <c r="AX4732" s="2"/>
      <c r="AY4732" s="2">
        <v>41</v>
      </c>
      <c r="AZ4732" s="2" t="s">
        <v>82</v>
      </c>
      <c r="BA4732" s="2">
        <v>41</v>
      </c>
      <c r="BB4732" s="2" t="s">
        <v>82</v>
      </c>
      <c r="BC4732" s="2">
        <v>41</v>
      </c>
      <c r="BD4732" s="2" t="s">
        <v>82</v>
      </c>
      <c r="BE4732" s="2">
        <v>4</v>
      </c>
      <c r="BF4732" s="2" t="s">
        <v>90</v>
      </c>
      <c r="BG4732" s="2" t="s">
        <v>598</v>
      </c>
      <c r="BH4732" s="4">
        <v>5.9027777777777783E-2</v>
      </c>
      <c r="BI4732" s="4">
        <v>0.14027777777777778</v>
      </c>
      <c r="BJ4732" s="2">
        <v>13</v>
      </c>
      <c r="BK4732" s="2" t="s">
        <v>91</v>
      </c>
      <c r="BL4732" s="2" t="s">
        <v>2764</v>
      </c>
      <c r="BM4732" s="2">
        <v>13</v>
      </c>
      <c r="BN4732" s="2" t="s">
        <v>91</v>
      </c>
      <c r="BO4732" s="2"/>
      <c r="BP4732" s="2">
        <v>13</v>
      </c>
      <c r="BQ4732" s="2" t="s">
        <v>91</v>
      </c>
      <c r="BR4732" s="2" t="s">
        <v>14528</v>
      </c>
      <c r="BS4732" s="3">
        <v>40500</v>
      </c>
      <c r="BT4732" s="4">
        <v>0.37636574074074075</v>
      </c>
    </row>
    <row r="4733" spans="1:72" x14ac:dyDescent="0.25">
      <c r="A4733" s="2">
        <v>7324</v>
      </c>
      <c r="B4733" s="2">
        <v>2010</v>
      </c>
      <c r="C4733" s="2" t="s">
        <v>171</v>
      </c>
      <c r="D4733" s="2" t="s">
        <v>122</v>
      </c>
      <c r="E4733" s="2" t="s">
        <v>14306</v>
      </c>
      <c r="F4733" s="2">
        <v>400</v>
      </c>
      <c r="G4733" s="2" t="s">
        <v>3601</v>
      </c>
      <c r="H4733" s="2">
        <v>17</v>
      </c>
      <c r="I4733" s="2" t="s">
        <v>3602</v>
      </c>
      <c r="J4733" s="2">
        <v>316</v>
      </c>
      <c r="K4733" s="2" t="s">
        <v>574</v>
      </c>
      <c r="L4733" s="2" t="s">
        <v>575</v>
      </c>
      <c r="M4733" s="3">
        <v>40500</v>
      </c>
      <c r="N4733" s="2" t="s">
        <v>3826</v>
      </c>
      <c r="O4733" s="2" t="s">
        <v>14184</v>
      </c>
      <c r="P4733" s="2">
        <v>1386</v>
      </c>
      <c r="Q4733" s="2" t="str">
        <f>"09R/10"</f>
        <v>09R/10</v>
      </c>
      <c r="R4733" s="2"/>
      <c r="S4733" s="2" t="s">
        <v>6092</v>
      </c>
      <c r="T4733" s="2">
        <v>1</v>
      </c>
      <c r="U4733" s="2" t="s">
        <v>79</v>
      </c>
      <c r="V4733" s="2">
        <v>1</v>
      </c>
      <c r="W4733" s="2" t="s">
        <v>80</v>
      </c>
      <c r="X4733" s="2">
        <v>2</v>
      </c>
      <c r="Y4733" s="2" t="s">
        <v>136</v>
      </c>
      <c r="Z4733" s="2">
        <v>10</v>
      </c>
      <c r="AA4733" s="2" t="s">
        <v>236</v>
      </c>
      <c r="AB4733" s="2">
        <v>1</v>
      </c>
      <c r="AC4733" s="2" t="s">
        <v>178</v>
      </c>
      <c r="AD4733" s="3">
        <v>40500</v>
      </c>
      <c r="AE4733" s="4">
        <v>0.3125</v>
      </c>
      <c r="AF4733" s="2"/>
      <c r="AG4733" s="2"/>
      <c r="AH4733" s="2">
        <v>2</v>
      </c>
      <c r="AI4733" s="2" t="s">
        <v>84</v>
      </c>
      <c r="AJ4733" s="2">
        <v>6</v>
      </c>
      <c r="AK4733" s="2" t="s">
        <v>453</v>
      </c>
      <c r="AL4733" s="2">
        <v>23</v>
      </c>
      <c r="AM4733" s="2" t="s">
        <v>251</v>
      </c>
      <c r="AN4733" s="2" t="s">
        <v>14447</v>
      </c>
      <c r="AO4733" s="2" t="s">
        <v>9894</v>
      </c>
      <c r="AP4733" s="2">
        <v>11</v>
      </c>
      <c r="AQ4733" s="2" t="s">
        <v>82</v>
      </c>
      <c r="AR4733" s="2"/>
      <c r="AS4733" s="2"/>
      <c r="AT4733" s="2" t="s">
        <v>14637</v>
      </c>
      <c r="AU4733" s="2"/>
      <c r="AV4733" s="2">
        <v>1</v>
      </c>
      <c r="AW4733" s="2"/>
      <c r="AX4733" s="2"/>
      <c r="AY4733" s="2">
        <v>42</v>
      </c>
      <c r="AZ4733" s="2" t="s">
        <v>182</v>
      </c>
      <c r="BA4733" s="2">
        <v>70</v>
      </c>
      <c r="BB4733" s="2" t="s">
        <v>236</v>
      </c>
      <c r="BC4733" s="2">
        <v>70</v>
      </c>
      <c r="BD4733" s="2" t="s">
        <v>236</v>
      </c>
      <c r="BE4733" s="2">
        <v>31</v>
      </c>
      <c r="BF4733" s="2" t="s">
        <v>398</v>
      </c>
      <c r="BG4733" s="2" t="s">
        <v>7251</v>
      </c>
      <c r="BH4733" s="2"/>
      <c r="BI4733" s="2"/>
      <c r="BJ4733" s="2">
        <v>13</v>
      </c>
      <c r="BK4733" s="2" t="s">
        <v>91</v>
      </c>
      <c r="BL4733" s="2" t="s">
        <v>360</v>
      </c>
      <c r="BM4733" s="2">
        <v>73</v>
      </c>
      <c r="BN4733" s="2" t="s">
        <v>186</v>
      </c>
      <c r="BO4733" s="2"/>
      <c r="BP4733" s="2">
        <v>73</v>
      </c>
      <c r="BQ4733" s="2" t="s">
        <v>186</v>
      </c>
      <c r="BR4733" s="2" t="s">
        <v>187</v>
      </c>
      <c r="BS4733" s="3">
        <v>40500</v>
      </c>
      <c r="BT4733" s="4">
        <v>0.48983796296296295</v>
      </c>
    </row>
    <row r="4734" spans="1:72" x14ac:dyDescent="0.25">
      <c r="A4734" s="2">
        <v>7329</v>
      </c>
      <c r="B4734" s="2">
        <v>2010</v>
      </c>
      <c r="C4734" s="2" t="s">
        <v>128</v>
      </c>
      <c r="D4734" s="2" t="s">
        <v>73</v>
      </c>
      <c r="E4734" s="2"/>
      <c r="F4734" s="2">
        <v>426</v>
      </c>
      <c r="G4734" s="2" t="s">
        <v>378</v>
      </c>
      <c r="H4734" s="2">
        <v>1</v>
      </c>
      <c r="I4734" s="2" t="s">
        <v>82</v>
      </c>
      <c r="J4734" s="2">
        <v>311</v>
      </c>
      <c r="K4734" s="2" t="s">
        <v>379</v>
      </c>
      <c r="L4734" s="2" t="s">
        <v>380</v>
      </c>
      <c r="M4734" s="3">
        <v>40500</v>
      </c>
      <c r="N4734" s="2" t="s">
        <v>82</v>
      </c>
      <c r="O4734" s="2" t="s">
        <v>14638</v>
      </c>
      <c r="P4734" s="2" t="s">
        <v>14639</v>
      </c>
      <c r="Q4734" s="2" t="str">
        <f>""</f>
        <v/>
      </c>
      <c r="R4734" s="2"/>
      <c r="S4734" s="2"/>
      <c r="T4734" s="2">
        <v>1</v>
      </c>
      <c r="U4734" s="2" t="s">
        <v>79</v>
      </c>
      <c r="V4734" s="2">
        <v>3</v>
      </c>
      <c r="W4734" s="2" t="s">
        <v>225</v>
      </c>
      <c r="X4734" s="2">
        <v>6</v>
      </c>
      <c r="Y4734" s="2" t="s">
        <v>249</v>
      </c>
      <c r="Z4734" s="2">
        <v>1</v>
      </c>
      <c r="AA4734" s="2" t="s">
        <v>82</v>
      </c>
      <c r="AB4734" s="2">
        <v>9</v>
      </c>
      <c r="AC4734" s="2" t="s">
        <v>124</v>
      </c>
      <c r="AD4734" s="3">
        <v>40500</v>
      </c>
      <c r="AE4734" s="4">
        <v>0.58333333333333337</v>
      </c>
      <c r="AF4734" s="2"/>
      <c r="AG4734" s="2"/>
      <c r="AH4734" s="2">
        <v>2</v>
      </c>
      <c r="AI4734" s="2" t="s">
        <v>84</v>
      </c>
      <c r="AJ4734" s="2">
        <v>6</v>
      </c>
      <c r="AK4734" s="2" t="s">
        <v>453</v>
      </c>
      <c r="AL4734" s="2">
        <v>12</v>
      </c>
      <c r="AM4734" s="2" t="s">
        <v>86</v>
      </c>
      <c r="AN4734" s="2" t="s">
        <v>14640</v>
      </c>
      <c r="AO4734" s="2"/>
      <c r="AP4734" s="2">
        <v>11</v>
      </c>
      <c r="AQ4734" s="2" t="s">
        <v>82</v>
      </c>
      <c r="AR4734" s="2"/>
      <c r="AS4734" s="2"/>
      <c r="AT4734" s="2" t="s">
        <v>14641</v>
      </c>
      <c r="AU4734" s="2"/>
      <c r="AV4734" s="2"/>
      <c r="AW4734" s="2"/>
      <c r="AX4734" s="2"/>
      <c r="AY4734" s="2">
        <v>41</v>
      </c>
      <c r="AZ4734" s="2" t="s">
        <v>82</v>
      </c>
      <c r="BA4734" s="2">
        <v>41</v>
      </c>
      <c r="BB4734" s="2" t="s">
        <v>82</v>
      </c>
      <c r="BC4734" s="2">
        <v>41</v>
      </c>
      <c r="BD4734" s="2" t="s">
        <v>82</v>
      </c>
      <c r="BE4734" s="2">
        <v>41</v>
      </c>
      <c r="BF4734" s="2" t="s">
        <v>82</v>
      </c>
      <c r="BG4734" s="2"/>
      <c r="BH4734" s="2"/>
      <c r="BI4734" s="2"/>
      <c r="BJ4734" s="2">
        <v>241</v>
      </c>
      <c r="BK4734" s="2" t="s">
        <v>82</v>
      </c>
      <c r="BL4734" s="2"/>
      <c r="BM4734" s="2">
        <v>241</v>
      </c>
      <c r="BN4734" s="2" t="s">
        <v>82</v>
      </c>
      <c r="BO4734" s="2"/>
      <c r="BP4734" s="2">
        <v>241</v>
      </c>
      <c r="BQ4734" s="2" t="s">
        <v>82</v>
      </c>
      <c r="BR4734" s="2"/>
      <c r="BS4734" s="3">
        <v>40500</v>
      </c>
      <c r="BT4734" s="4">
        <v>0.64011574074074074</v>
      </c>
    </row>
    <row r="4735" spans="1:72" x14ac:dyDescent="0.25">
      <c r="A4735" s="2">
        <v>7330</v>
      </c>
      <c r="B4735" s="2">
        <v>2010</v>
      </c>
      <c r="C4735" s="2" t="s">
        <v>147</v>
      </c>
      <c r="D4735" s="2" t="s">
        <v>73</v>
      </c>
      <c r="E4735" s="2"/>
      <c r="F4735" s="2">
        <v>1</v>
      </c>
      <c r="G4735" s="2" t="s">
        <v>82</v>
      </c>
      <c r="H4735" s="2">
        <v>1</v>
      </c>
      <c r="I4735" s="2" t="s">
        <v>82</v>
      </c>
      <c r="J4735" s="2">
        <v>1</v>
      </c>
      <c r="K4735" s="2" t="s">
        <v>107</v>
      </c>
      <c r="L4735" s="2" t="s">
        <v>107</v>
      </c>
      <c r="M4735" s="3">
        <v>40500</v>
      </c>
      <c r="N4735" s="2"/>
      <c r="O4735" s="2"/>
      <c r="P4735" s="2"/>
      <c r="Q4735" s="2" t="str">
        <f>""</f>
        <v/>
      </c>
      <c r="R4735" s="2"/>
      <c r="S4735" s="2"/>
      <c r="T4735" s="2">
        <v>2</v>
      </c>
      <c r="U4735" s="2" t="s">
        <v>123</v>
      </c>
      <c r="V4735" s="2">
        <v>1</v>
      </c>
      <c r="W4735" s="2" t="s">
        <v>80</v>
      </c>
      <c r="X4735" s="2">
        <v>12</v>
      </c>
      <c r="Y4735" s="2" t="s">
        <v>148</v>
      </c>
      <c r="Z4735" s="2">
        <v>1</v>
      </c>
      <c r="AA4735" s="2" t="s">
        <v>82</v>
      </c>
      <c r="AB4735" s="2">
        <v>9</v>
      </c>
      <c r="AC4735" s="2" t="s">
        <v>124</v>
      </c>
      <c r="AD4735" s="2"/>
      <c r="AE4735" s="2"/>
      <c r="AF4735" s="3">
        <v>40500</v>
      </c>
      <c r="AG4735" s="4">
        <v>0.58680555555555558</v>
      </c>
      <c r="AH4735" s="2">
        <v>3</v>
      </c>
      <c r="AI4735" s="2" t="s">
        <v>214</v>
      </c>
      <c r="AJ4735" s="2">
        <v>24</v>
      </c>
      <c r="AK4735" s="2" t="s">
        <v>215</v>
      </c>
      <c r="AL4735" s="2">
        <v>25</v>
      </c>
      <c r="AM4735" s="2" t="s">
        <v>3073</v>
      </c>
      <c r="AN4735" s="2" t="s">
        <v>14642</v>
      </c>
      <c r="AO4735" s="2"/>
      <c r="AP4735" s="2">
        <v>11</v>
      </c>
      <c r="AQ4735" s="2" t="s">
        <v>82</v>
      </c>
      <c r="AR4735" s="2"/>
      <c r="AS4735" s="2"/>
      <c r="AT4735" s="2" t="s">
        <v>14643</v>
      </c>
      <c r="AU4735" s="2"/>
      <c r="AV4735" s="2"/>
      <c r="AW4735" s="2"/>
      <c r="AX4735" s="2"/>
      <c r="AY4735" s="2">
        <v>70</v>
      </c>
      <c r="AZ4735" s="2" t="s">
        <v>236</v>
      </c>
      <c r="BA4735" s="2">
        <v>41</v>
      </c>
      <c r="BB4735" s="2" t="s">
        <v>82</v>
      </c>
      <c r="BC4735" s="2">
        <v>41</v>
      </c>
      <c r="BD4735" s="2" t="s">
        <v>82</v>
      </c>
      <c r="BE4735" s="2">
        <v>41</v>
      </c>
      <c r="BF4735" s="2" t="s">
        <v>82</v>
      </c>
      <c r="BG4735" s="2"/>
      <c r="BH4735" s="2"/>
      <c r="BI4735" s="2"/>
      <c r="BJ4735" s="2">
        <v>241</v>
      </c>
      <c r="BK4735" s="2" t="s">
        <v>82</v>
      </c>
      <c r="BL4735" s="2"/>
      <c r="BM4735" s="2">
        <v>241</v>
      </c>
      <c r="BN4735" s="2" t="s">
        <v>82</v>
      </c>
      <c r="BO4735" s="2"/>
      <c r="BP4735" s="2">
        <v>241</v>
      </c>
      <c r="BQ4735" s="2" t="s">
        <v>82</v>
      </c>
      <c r="BR4735" s="2"/>
      <c r="BS4735" s="3">
        <v>40500</v>
      </c>
      <c r="BT4735" s="4">
        <v>0.65288194444444447</v>
      </c>
    </row>
    <row r="4736" spans="1:72" x14ac:dyDescent="0.25">
      <c r="A4736" s="2">
        <v>7331</v>
      </c>
      <c r="B4736" s="2">
        <v>2010</v>
      </c>
      <c r="C4736" s="2" t="s">
        <v>171</v>
      </c>
      <c r="D4736" s="2" t="s">
        <v>73</v>
      </c>
      <c r="E4736" s="2"/>
      <c r="F4736" s="2">
        <v>471</v>
      </c>
      <c r="G4736" s="2" t="s">
        <v>6201</v>
      </c>
      <c r="H4736" s="2">
        <v>66</v>
      </c>
      <c r="I4736" s="2" t="s">
        <v>3190</v>
      </c>
      <c r="J4736" s="2">
        <v>374</v>
      </c>
      <c r="K4736" s="2" t="s">
        <v>1191</v>
      </c>
      <c r="L4736" s="2" t="s">
        <v>132</v>
      </c>
      <c r="M4736" s="3">
        <v>40500</v>
      </c>
      <c r="N4736" s="2" t="s">
        <v>6995</v>
      </c>
      <c r="O4736" s="2" t="s">
        <v>14644</v>
      </c>
      <c r="P4736" s="2" t="s">
        <v>14645</v>
      </c>
      <c r="Q4736" s="2" t="str">
        <f>"0026/2010"</f>
        <v>0026/2010</v>
      </c>
      <c r="R4736" s="2"/>
      <c r="S4736" s="2" t="s">
        <v>14644</v>
      </c>
      <c r="T4736" s="2">
        <v>1</v>
      </c>
      <c r="U4736" s="2" t="s">
        <v>79</v>
      </c>
      <c r="V4736" s="2">
        <v>3</v>
      </c>
      <c r="W4736" s="2" t="s">
        <v>225</v>
      </c>
      <c r="X4736" s="2">
        <v>6</v>
      </c>
      <c r="Y4736" s="2" t="s">
        <v>249</v>
      </c>
      <c r="Z4736" s="2">
        <v>1</v>
      </c>
      <c r="AA4736" s="2" t="s">
        <v>82</v>
      </c>
      <c r="AB4736" s="2">
        <v>9</v>
      </c>
      <c r="AC4736" s="2" t="s">
        <v>124</v>
      </c>
      <c r="AD4736" s="2"/>
      <c r="AE4736" s="2"/>
      <c r="AF4736" s="3">
        <v>40500</v>
      </c>
      <c r="AG4736" s="4">
        <v>0.58333333333333337</v>
      </c>
      <c r="AH4736" s="2">
        <v>5</v>
      </c>
      <c r="AI4736" s="2" t="s">
        <v>274</v>
      </c>
      <c r="AJ4736" s="2">
        <v>35</v>
      </c>
      <c r="AK4736" s="2" t="s">
        <v>275</v>
      </c>
      <c r="AL4736" s="2">
        <v>23</v>
      </c>
      <c r="AM4736" s="2" t="s">
        <v>251</v>
      </c>
      <c r="AN4736" s="2"/>
      <c r="AO4736" s="2" t="s">
        <v>284</v>
      </c>
      <c r="AP4736" s="2">
        <v>11</v>
      </c>
      <c r="AQ4736" s="2" t="s">
        <v>82</v>
      </c>
      <c r="AR4736" s="2"/>
      <c r="AS4736" s="2"/>
      <c r="AT4736" s="2" t="s">
        <v>14646</v>
      </c>
      <c r="AU4736" s="2"/>
      <c r="AV4736" s="2"/>
      <c r="AW4736" s="2"/>
      <c r="AX4736" s="2"/>
      <c r="AY4736" s="2">
        <v>41</v>
      </c>
      <c r="AZ4736" s="2" t="s">
        <v>82</v>
      </c>
      <c r="BA4736" s="2">
        <v>41</v>
      </c>
      <c r="BB4736" s="2" t="s">
        <v>82</v>
      </c>
      <c r="BC4736" s="2">
        <v>41</v>
      </c>
      <c r="BD4736" s="2" t="s">
        <v>82</v>
      </c>
      <c r="BE4736" s="2">
        <v>41</v>
      </c>
      <c r="BF4736" s="2" t="s">
        <v>82</v>
      </c>
      <c r="BG4736" s="2"/>
      <c r="BH4736" s="2"/>
      <c r="BI4736" s="2"/>
      <c r="BJ4736" s="2">
        <v>241</v>
      </c>
      <c r="BK4736" s="2" t="s">
        <v>82</v>
      </c>
      <c r="BL4736" s="2"/>
      <c r="BM4736" s="2">
        <v>241</v>
      </c>
      <c r="BN4736" s="2" t="s">
        <v>82</v>
      </c>
      <c r="BO4736" s="2"/>
      <c r="BP4736" s="2">
        <v>241</v>
      </c>
      <c r="BQ4736" s="2" t="s">
        <v>82</v>
      </c>
      <c r="BR4736" s="2"/>
      <c r="BS4736" s="3">
        <v>40500</v>
      </c>
      <c r="BT4736" s="4">
        <v>0.65656250000000005</v>
      </c>
    </row>
    <row r="4737" spans="1:72" x14ac:dyDescent="0.25">
      <c r="A4737" s="2">
        <v>7333</v>
      </c>
      <c r="B4737" s="2">
        <v>2010</v>
      </c>
      <c r="C4737" s="2" t="s">
        <v>385</v>
      </c>
      <c r="D4737" s="2" t="s">
        <v>122</v>
      </c>
      <c r="E4737" s="2"/>
      <c r="F4737" s="2">
        <v>398</v>
      </c>
      <c r="G4737" s="2" t="s">
        <v>94</v>
      </c>
      <c r="H4737" s="2">
        <v>12</v>
      </c>
      <c r="I4737" s="2" t="s">
        <v>95</v>
      </c>
      <c r="J4737" s="2">
        <v>245</v>
      </c>
      <c r="K4737" s="2" t="s">
        <v>96</v>
      </c>
      <c r="L4737" s="2" t="s">
        <v>97</v>
      </c>
      <c r="M4737" s="3">
        <v>40500</v>
      </c>
      <c r="N4737" s="2" t="s">
        <v>446</v>
      </c>
      <c r="O4737" s="2" t="s">
        <v>14647</v>
      </c>
      <c r="P4737" s="2" t="s">
        <v>14510</v>
      </c>
      <c r="Q4737" s="2" t="str">
        <f>""</f>
        <v/>
      </c>
      <c r="R4737" s="2"/>
      <c r="S4737" s="2"/>
      <c r="T4737" s="2">
        <v>1</v>
      </c>
      <c r="U4737" s="2" t="s">
        <v>79</v>
      </c>
      <c r="V4737" s="2">
        <v>1</v>
      </c>
      <c r="W4737" s="2" t="s">
        <v>80</v>
      </c>
      <c r="X4737" s="2">
        <v>11</v>
      </c>
      <c r="Y4737" s="2" t="s">
        <v>1920</v>
      </c>
      <c r="Z4737" s="2">
        <v>1</v>
      </c>
      <c r="AA4737" s="2" t="s">
        <v>82</v>
      </c>
      <c r="AB4737" s="2">
        <v>9</v>
      </c>
      <c r="AC4737" s="2" t="s">
        <v>124</v>
      </c>
      <c r="AD4737" s="3">
        <v>40500</v>
      </c>
      <c r="AE4737" s="4">
        <v>0.5625</v>
      </c>
      <c r="AF4737" s="2"/>
      <c r="AG4737" s="2"/>
      <c r="AH4737" s="2">
        <v>2</v>
      </c>
      <c r="AI4737" s="2" t="s">
        <v>84</v>
      </c>
      <c r="AJ4737" s="2">
        <v>12</v>
      </c>
      <c r="AK4737" s="2" t="s">
        <v>85</v>
      </c>
      <c r="AL4737" s="2">
        <v>27</v>
      </c>
      <c r="AM4737" s="2" t="s">
        <v>6225</v>
      </c>
      <c r="AN4737" s="2" t="s">
        <v>1971</v>
      </c>
      <c r="AO4737" s="2" t="s">
        <v>14648</v>
      </c>
      <c r="AP4737" s="2">
        <v>11</v>
      </c>
      <c r="AQ4737" s="2" t="s">
        <v>82</v>
      </c>
      <c r="AR4737" s="2"/>
      <c r="AS4737" s="2"/>
      <c r="AT4737" s="2" t="s">
        <v>14649</v>
      </c>
      <c r="AU4737" s="2">
        <v>1</v>
      </c>
      <c r="AV4737" s="2"/>
      <c r="AW4737" s="2"/>
      <c r="AX4737" s="2"/>
      <c r="AY4737" s="2">
        <v>41</v>
      </c>
      <c r="AZ4737" s="2" t="s">
        <v>82</v>
      </c>
      <c r="BA4737" s="2">
        <v>41</v>
      </c>
      <c r="BB4737" s="2" t="s">
        <v>82</v>
      </c>
      <c r="BC4737" s="2">
        <v>70</v>
      </c>
      <c r="BD4737" s="2" t="s">
        <v>236</v>
      </c>
      <c r="BE4737" s="2">
        <v>41</v>
      </c>
      <c r="BF4737" s="2" t="s">
        <v>82</v>
      </c>
      <c r="BG4737" s="2"/>
      <c r="BH4737" s="2"/>
      <c r="BI4737" s="2"/>
      <c r="BJ4737" s="2">
        <v>241</v>
      </c>
      <c r="BK4737" s="2" t="s">
        <v>82</v>
      </c>
      <c r="BL4737" s="2"/>
      <c r="BM4737" s="2">
        <v>241</v>
      </c>
      <c r="BN4737" s="2" t="s">
        <v>82</v>
      </c>
      <c r="BO4737" s="2"/>
      <c r="BP4737" s="2">
        <v>241</v>
      </c>
      <c r="BQ4737" s="2" t="s">
        <v>82</v>
      </c>
      <c r="BR4737" s="2"/>
      <c r="BS4737" s="3">
        <v>40500</v>
      </c>
      <c r="BT4737" s="4">
        <v>0.66630787037037031</v>
      </c>
    </row>
    <row r="4738" spans="1:72" x14ac:dyDescent="0.25">
      <c r="A4738" s="2">
        <v>7335</v>
      </c>
      <c r="B4738" s="2">
        <v>2010</v>
      </c>
      <c r="C4738" s="2" t="s">
        <v>171</v>
      </c>
      <c r="D4738" s="2" t="s">
        <v>122</v>
      </c>
      <c r="E4738" s="2" t="s">
        <v>14306</v>
      </c>
      <c r="F4738" s="2">
        <v>400</v>
      </c>
      <c r="G4738" s="2" t="s">
        <v>3601</v>
      </c>
      <c r="H4738" s="2">
        <v>17</v>
      </c>
      <c r="I4738" s="2" t="s">
        <v>3602</v>
      </c>
      <c r="J4738" s="2">
        <v>316</v>
      </c>
      <c r="K4738" s="2" t="s">
        <v>574</v>
      </c>
      <c r="L4738" s="2" t="s">
        <v>575</v>
      </c>
      <c r="M4738" s="3">
        <v>40500</v>
      </c>
      <c r="N4738" s="2" t="s">
        <v>3826</v>
      </c>
      <c r="O4738" s="2" t="s">
        <v>14184</v>
      </c>
      <c r="P4738" s="2">
        <v>1386</v>
      </c>
      <c r="Q4738" s="2" t="str">
        <f>"09R/10"</f>
        <v>09R/10</v>
      </c>
      <c r="R4738" s="2"/>
      <c r="S4738" s="2" t="s">
        <v>6092</v>
      </c>
      <c r="T4738" s="2">
        <v>1</v>
      </c>
      <c r="U4738" s="2" t="s">
        <v>79</v>
      </c>
      <c r="V4738" s="2">
        <v>1</v>
      </c>
      <c r="W4738" s="2" t="s">
        <v>80</v>
      </c>
      <c r="X4738" s="2">
        <v>2</v>
      </c>
      <c r="Y4738" s="2" t="s">
        <v>136</v>
      </c>
      <c r="Z4738" s="2">
        <v>10</v>
      </c>
      <c r="AA4738" s="2" t="s">
        <v>236</v>
      </c>
      <c r="AB4738" s="2">
        <v>1</v>
      </c>
      <c r="AC4738" s="2" t="s">
        <v>178</v>
      </c>
      <c r="AD4738" s="3">
        <v>40500</v>
      </c>
      <c r="AE4738" s="4">
        <v>0.60763888888888895</v>
      </c>
      <c r="AF4738" s="2"/>
      <c r="AG4738" s="2"/>
      <c r="AH4738" s="2">
        <v>2</v>
      </c>
      <c r="AI4738" s="2" t="s">
        <v>84</v>
      </c>
      <c r="AJ4738" s="2">
        <v>6</v>
      </c>
      <c r="AK4738" s="2" t="s">
        <v>453</v>
      </c>
      <c r="AL4738" s="2">
        <v>23</v>
      </c>
      <c r="AM4738" s="2" t="s">
        <v>251</v>
      </c>
      <c r="AN4738" s="2" t="s">
        <v>14337</v>
      </c>
      <c r="AO4738" s="2" t="s">
        <v>9894</v>
      </c>
      <c r="AP4738" s="2">
        <v>11</v>
      </c>
      <c r="AQ4738" s="2" t="s">
        <v>82</v>
      </c>
      <c r="AR4738" s="2"/>
      <c r="AS4738" s="2"/>
      <c r="AT4738" s="2" t="s">
        <v>14650</v>
      </c>
      <c r="AU4738" s="2"/>
      <c r="AV4738" s="2">
        <v>1</v>
      </c>
      <c r="AW4738" s="2"/>
      <c r="AX4738" s="2"/>
      <c r="AY4738" s="2">
        <v>42</v>
      </c>
      <c r="AZ4738" s="2" t="s">
        <v>182</v>
      </c>
      <c r="BA4738" s="2">
        <v>70</v>
      </c>
      <c r="BB4738" s="2" t="s">
        <v>236</v>
      </c>
      <c r="BC4738" s="2">
        <v>70</v>
      </c>
      <c r="BD4738" s="2" t="s">
        <v>236</v>
      </c>
      <c r="BE4738" s="2">
        <v>31</v>
      </c>
      <c r="BF4738" s="2" t="s">
        <v>398</v>
      </c>
      <c r="BG4738" s="2" t="s">
        <v>7251</v>
      </c>
      <c r="BH4738" s="2"/>
      <c r="BI4738" s="2"/>
      <c r="BJ4738" s="2">
        <v>13</v>
      </c>
      <c r="BK4738" s="2" t="s">
        <v>91</v>
      </c>
      <c r="BL4738" s="2" t="s">
        <v>360</v>
      </c>
      <c r="BM4738" s="2">
        <v>73</v>
      </c>
      <c r="BN4738" s="2" t="s">
        <v>186</v>
      </c>
      <c r="BO4738" s="2"/>
      <c r="BP4738" s="2">
        <v>73</v>
      </c>
      <c r="BQ4738" s="2" t="s">
        <v>186</v>
      </c>
      <c r="BR4738" s="2" t="s">
        <v>187</v>
      </c>
      <c r="BS4738" s="3">
        <v>40500</v>
      </c>
      <c r="BT4738" s="4">
        <v>0.6910532407407407</v>
      </c>
    </row>
    <row r="4739" spans="1:72" x14ac:dyDescent="0.25">
      <c r="A4739" s="2">
        <v>7336</v>
      </c>
      <c r="B4739" s="2">
        <v>2010</v>
      </c>
      <c r="C4739" s="2" t="s">
        <v>72</v>
      </c>
      <c r="D4739" s="2" t="s">
        <v>73</v>
      </c>
      <c r="E4739" s="2"/>
      <c r="F4739" s="2">
        <v>540</v>
      </c>
      <c r="G4739" s="2" t="s">
        <v>7178</v>
      </c>
      <c r="H4739" s="2">
        <v>5</v>
      </c>
      <c r="I4739" s="2" t="s">
        <v>634</v>
      </c>
      <c r="J4739" s="2">
        <v>533</v>
      </c>
      <c r="K4739" s="2" t="s">
        <v>6511</v>
      </c>
      <c r="L4739" s="2" t="s">
        <v>478</v>
      </c>
      <c r="M4739" s="3">
        <v>40500</v>
      </c>
      <c r="N4739" s="2" t="s">
        <v>3103</v>
      </c>
      <c r="O4739" s="2"/>
      <c r="P4739" s="2"/>
      <c r="Q4739" s="2" t="str">
        <f>"612-E/10"</f>
        <v>612-E/10</v>
      </c>
      <c r="R4739" s="2" t="s">
        <v>14651</v>
      </c>
      <c r="S4739" s="2"/>
      <c r="T4739" s="2">
        <v>1</v>
      </c>
      <c r="U4739" s="2" t="s">
        <v>79</v>
      </c>
      <c r="V4739" s="2">
        <v>1</v>
      </c>
      <c r="W4739" s="2" t="s">
        <v>80</v>
      </c>
      <c r="X4739" s="2">
        <v>1</v>
      </c>
      <c r="Y4739" s="2" t="s">
        <v>81</v>
      </c>
      <c r="Z4739" s="2">
        <v>1</v>
      </c>
      <c r="AA4739" s="2" t="s">
        <v>82</v>
      </c>
      <c r="AB4739" s="2">
        <v>6</v>
      </c>
      <c r="AC4739" s="2" t="s">
        <v>83</v>
      </c>
      <c r="AD4739" s="3">
        <v>40500</v>
      </c>
      <c r="AE4739" s="2"/>
      <c r="AF4739" s="3">
        <v>40500</v>
      </c>
      <c r="AG4739" s="4">
        <v>0.54166666666666663</v>
      </c>
      <c r="AH4739" s="2">
        <v>2</v>
      </c>
      <c r="AI4739" s="2" t="s">
        <v>84</v>
      </c>
      <c r="AJ4739" s="2">
        <v>9</v>
      </c>
      <c r="AK4739" s="2" t="s">
        <v>103</v>
      </c>
      <c r="AL4739" s="2">
        <v>22</v>
      </c>
      <c r="AM4739" s="2" t="s">
        <v>1853</v>
      </c>
      <c r="AN4739" s="2" t="s">
        <v>14652</v>
      </c>
      <c r="AO4739" s="2" t="s">
        <v>14653</v>
      </c>
      <c r="AP4739" s="2">
        <v>11</v>
      </c>
      <c r="AQ4739" s="2" t="s">
        <v>82</v>
      </c>
      <c r="AR4739" s="2"/>
      <c r="AS4739" s="2"/>
      <c r="AT4739" s="2" t="s">
        <v>14654</v>
      </c>
      <c r="AU4739" s="2"/>
      <c r="AV4739" s="2"/>
      <c r="AW4739" s="2"/>
      <c r="AX4739" s="2"/>
      <c r="AY4739" s="2">
        <v>41</v>
      </c>
      <c r="AZ4739" s="2" t="s">
        <v>82</v>
      </c>
      <c r="BA4739" s="2">
        <v>41</v>
      </c>
      <c r="BB4739" s="2" t="s">
        <v>82</v>
      </c>
      <c r="BC4739" s="2">
        <v>41</v>
      </c>
      <c r="BD4739" s="2" t="s">
        <v>82</v>
      </c>
      <c r="BE4739" s="2">
        <v>41</v>
      </c>
      <c r="BF4739" s="2" t="s">
        <v>82</v>
      </c>
      <c r="BG4739" s="2"/>
      <c r="BH4739" s="2"/>
      <c r="BI4739" s="2"/>
      <c r="BJ4739" s="2">
        <v>241</v>
      </c>
      <c r="BK4739" s="2" t="s">
        <v>82</v>
      </c>
      <c r="BL4739" s="2"/>
      <c r="BM4739" s="2">
        <v>241</v>
      </c>
      <c r="BN4739" s="2" t="s">
        <v>82</v>
      </c>
      <c r="BO4739" s="2"/>
      <c r="BP4739" s="2">
        <v>241</v>
      </c>
      <c r="BQ4739" s="2" t="s">
        <v>82</v>
      </c>
      <c r="BR4739" s="2"/>
      <c r="BS4739" s="3">
        <v>40500</v>
      </c>
      <c r="BT4739" s="4">
        <v>0.6932060185185186</v>
      </c>
    </row>
    <row r="4740" spans="1:72" x14ac:dyDescent="0.25">
      <c r="A4740" s="2">
        <v>7339</v>
      </c>
      <c r="B4740" s="2">
        <v>2010</v>
      </c>
      <c r="C4740" s="2" t="s">
        <v>171</v>
      </c>
      <c r="D4740" s="2" t="s">
        <v>73</v>
      </c>
      <c r="E4740" s="2" t="s">
        <v>14655</v>
      </c>
      <c r="F4740" s="2">
        <v>425</v>
      </c>
      <c r="G4740" s="2" t="s">
        <v>286</v>
      </c>
      <c r="H4740" s="2">
        <v>39</v>
      </c>
      <c r="I4740" s="2" t="s">
        <v>1117</v>
      </c>
      <c r="J4740" s="2">
        <v>310</v>
      </c>
      <c r="K4740" s="2" t="s">
        <v>288</v>
      </c>
      <c r="L4740" s="2" t="s">
        <v>289</v>
      </c>
      <c r="M4740" s="3">
        <v>40500</v>
      </c>
      <c r="N4740" s="2" t="s">
        <v>13434</v>
      </c>
      <c r="O4740" s="2" t="s">
        <v>2490</v>
      </c>
      <c r="P4740" s="2" t="s">
        <v>14656</v>
      </c>
      <c r="Q4740" s="2" t="str">
        <f>"104/10"</f>
        <v>104/10</v>
      </c>
      <c r="R4740" s="2" t="s">
        <v>822</v>
      </c>
      <c r="S4740" s="2"/>
      <c r="T4740" s="2">
        <v>1</v>
      </c>
      <c r="U4740" s="2" t="s">
        <v>79</v>
      </c>
      <c r="V4740" s="2">
        <v>1</v>
      </c>
      <c r="W4740" s="2" t="s">
        <v>80</v>
      </c>
      <c r="X4740" s="2">
        <v>1</v>
      </c>
      <c r="Y4740" s="2" t="s">
        <v>81</v>
      </c>
      <c r="Z4740" s="2">
        <v>1</v>
      </c>
      <c r="AA4740" s="2" t="s">
        <v>82</v>
      </c>
      <c r="AB4740" s="2">
        <v>1</v>
      </c>
      <c r="AC4740" s="2" t="s">
        <v>178</v>
      </c>
      <c r="AD4740" s="3">
        <v>40500</v>
      </c>
      <c r="AE4740" s="4">
        <v>0.59722222222222221</v>
      </c>
      <c r="AF4740" s="3">
        <v>40500</v>
      </c>
      <c r="AG4740" s="4">
        <v>0.59722222222222221</v>
      </c>
      <c r="AH4740" s="2">
        <v>4</v>
      </c>
      <c r="AI4740" s="2" t="s">
        <v>125</v>
      </c>
      <c r="AJ4740" s="2">
        <v>29</v>
      </c>
      <c r="AK4740" s="2" t="s">
        <v>227</v>
      </c>
      <c r="AL4740" s="2">
        <v>10</v>
      </c>
      <c r="AM4740" s="2" t="s">
        <v>200</v>
      </c>
      <c r="AN4740" s="2" t="s">
        <v>14657</v>
      </c>
      <c r="AO4740" s="2"/>
      <c r="AP4740" s="2">
        <v>12</v>
      </c>
      <c r="AQ4740" s="2" t="s">
        <v>322</v>
      </c>
      <c r="AR4740" s="2" t="s">
        <v>824</v>
      </c>
      <c r="AS4740" s="2" t="s">
        <v>825</v>
      </c>
      <c r="AT4740" s="2" t="s">
        <v>14658</v>
      </c>
      <c r="AU4740" s="2"/>
      <c r="AV4740" s="2"/>
      <c r="AW4740" s="2"/>
      <c r="AX4740" s="2"/>
      <c r="AY4740" s="2">
        <v>41</v>
      </c>
      <c r="AZ4740" s="2" t="s">
        <v>82</v>
      </c>
      <c r="BA4740" s="2">
        <v>41</v>
      </c>
      <c r="BB4740" s="2" t="s">
        <v>82</v>
      </c>
      <c r="BC4740" s="2">
        <v>51</v>
      </c>
      <c r="BD4740" s="2" t="s">
        <v>827</v>
      </c>
      <c r="BE4740" s="2">
        <v>13</v>
      </c>
      <c r="BF4740" s="2" t="s">
        <v>108</v>
      </c>
      <c r="BG4740" s="2">
        <v>1459</v>
      </c>
      <c r="BH4740" s="4">
        <v>0.90277777777777779</v>
      </c>
      <c r="BI4740" s="4">
        <v>0.9375</v>
      </c>
      <c r="BJ4740" s="2">
        <v>13</v>
      </c>
      <c r="BK4740" s="2" t="s">
        <v>91</v>
      </c>
      <c r="BL4740" s="2" t="s">
        <v>828</v>
      </c>
      <c r="BM4740" s="2">
        <v>13</v>
      </c>
      <c r="BN4740" s="2" t="s">
        <v>91</v>
      </c>
      <c r="BO4740" s="2"/>
      <c r="BP4740" s="2">
        <v>13</v>
      </c>
      <c r="BQ4740" s="2" t="s">
        <v>91</v>
      </c>
      <c r="BR4740" s="2" t="s">
        <v>185</v>
      </c>
      <c r="BS4740" s="3">
        <v>40500</v>
      </c>
      <c r="BT4740" s="4">
        <v>0.73766203703703714</v>
      </c>
    </row>
    <row r="4741" spans="1:72" x14ac:dyDescent="0.25">
      <c r="A4741" s="2">
        <v>7340</v>
      </c>
      <c r="B4741" s="2">
        <v>2010</v>
      </c>
      <c r="C4741" s="2" t="s">
        <v>4543</v>
      </c>
      <c r="D4741" s="2" t="s">
        <v>122</v>
      </c>
      <c r="E4741" s="2"/>
      <c r="F4741" s="2">
        <v>1</v>
      </c>
      <c r="G4741" s="2" t="s">
        <v>82</v>
      </c>
      <c r="H4741" s="2">
        <v>1</v>
      </c>
      <c r="I4741" s="2" t="s">
        <v>82</v>
      </c>
      <c r="J4741" s="2">
        <v>1</v>
      </c>
      <c r="K4741" s="2" t="s">
        <v>107</v>
      </c>
      <c r="L4741" s="2" t="s">
        <v>107</v>
      </c>
      <c r="M4741" s="3">
        <v>40500</v>
      </c>
      <c r="N4741" s="2"/>
      <c r="O4741" s="2"/>
      <c r="P4741" s="2"/>
      <c r="Q4741" s="2" t="str">
        <f>""</f>
        <v/>
      </c>
      <c r="R4741" s="2"/>
      <c r="S4741" s="2"/>
      <c r="T4741" s="2">
        <v>2</v>
      </c>
      <c r="U4741" s="2" t="s">
        <v>123</v>
      </c>
      <c r="V4741" s="2">
        <v>1</v>
      </c>
      <c r="W4741" s="2" t="s">
        <v>80</v>
      </c>
      <c r="X4741" s="2">
        <v>11</v>
      </c>
      <c r="Y4741" s="2" t="s">
        <v>1920</v>
      </c>
      <c r="Z4741" s="2">
        <v>1</v>
      </c>
      <c r="AA4741" s="2" t="s">
        <v>82</v>
      </c>
      <c r="AB4741" s="2">
        <v>9</v>
      </c>
      <c r="AC4741" s="2" t="s">
        <v>124</v>
      </c>
      <c r="AD4741" s="3">
        <v>40500</v>
      </c>
      <c r="AE4741" s="4">
        <v>0.47916666666666669</v>
      </c>
      <c r="AF4741" s="2"/>
      <c r="AG4741" s="2"/>
      <c r="AH4741" s="2">
        <v>5</v>
      </c>
      <c r="AI4741" s="2" t="s">
        <v>274</v>
      </c>
      <c r="AJ4741" s="2">
        <v>37</v>
      </c>
      <c r="AK4741" s="2" t="s">
        <v>497</v>
      </c>
      <c r="AL4741" s="2">
        <v>24</v>
      </c>
      <c r="AM4741" s="2" t="s">
        <v>1540</v>
      </c>
      <c r="AN4741" s="2" t="s">
        <v>14659</v>
      </c>
      <c r="AO4741" s="2" t="s">
        <v>14660</v>
      </c>
      <c r="AP4741" s="2">
        <v>11</v>
      </c>
      <c r="AQ4741" s="2" t="s">
        <v>82</v>
      </c>
      <c r="AR4741" s="2"/>
      <c r="AS4741" s="2"/>
      <c r="AT4741" s="2" t="s">
        <v>14661</v>
      </c>
      <c r="AU4741" s="2"/>
      <c r="AV4741" s="2"/>
      <c r="AW4741" s="2"/>
      <c r="AX4741" s="2"/>
      <c r="AY4741" s="2">
        <v>41</v>
      </c>
      <c r="AZ4741" s="2" t="s">
        <v>82</v>
      </c>
      <c r="BA4741" s="2">
        <v>70</v>
      </c>
      <c r="BB4741" s="2" t="s">
        <v>236</v>
      </c>
      <c r="BC4741" s="2">
        <v>41</v>
      </c>
      <c r="BD4741" s="2" t="s">
        <v>82</v>
      </c>
      <c r="BE4741" s="2">
        <v>41</v>
      </c>
      <c r="BF4741" s="2" t="s">
        <v>82</v>
      </c>
      <c r="BG4741" s="2"/>
      <c r="BH4741" s="2"/>
      <c r="BI4741" s="2"/>
      <c r="BJ4741" s="2">
        <v>241</v>
      </c>
      <c r="BK4741" s="2" t="s">
        <v>82</v>
      </c>
      <c r="BL4741" s="2"/>
      <c r="BM4741" s="2">
        <v>241</v>
      </c>
      <c r="BN4741" s="2" t="s">
        <v>82</v>
      </c>
      <c r="BO4741" s="2"/>
      <c r="BP4741" s="2">
        <v>241</v>
      </c>
      <c r="BQ4741" s="2" t="s">
        <v>82</v>
      </c>
      <c r="BR4741" s="2"/>
      <c r="BS4741" s="3">
        <v>40500</v>
      </c>
      <c r="BT4741" s="4">
        <v>0.7478935185185186</v>
      </c>
    </row>
    <row r="4742" spans="1:72" x14ac:dyDescent="0.25">
      <c r="A4742" s="2">
        <v>7343</v>
      </c>
      <c r="B4742" s="2">
        <v>2010</v>
      </c>
      <c r="C4742" s="2" t="s">
        <v>2219</v>
      </c>
      <c r="D4742" s="2" t="s">
        <v>73</v>
      </c>
      <c r="E4742" s="2"/>
      <c r="F4742" s="2">
        <v>475</v>
      </c>
      <c r="G4742" s="2" t="s">
        <v>1271</v>
      </c>
      <c r="H4742" s="2">
        <v>2</v>
      </c>
      <c r="I4742" s="2" t="s">
        <v>267</v>
      </c>
      <c r="J4742" s="2">
        <v>385</v>
      </c>
      <c r="K4742" s="2" t="s">
        <v>1314</v>
      </c>
      <c r="L4742" s="2" t="s">
        <v>1315</v>
      </c>
      <c r="M4742" s="3">
        <v>40500</v>
      </c>
      <c r="N4742" s="2" t="s">
        <v>14662</v>
      </c>
      <c r="O4742" s="2" t="s">
        <v>14663</v>
      </c>
      <c r="P4742" s="2" t="s">
        <v>82</v>
      </c>
      <c r="Q4742" s="2" t="str">
        <f>"0049/2010"</f>
        <v>0049/2010</v>
      </c>
      <c r="R4742" s="2"/>
      <c r="S4742" s="2"/>
      <c r="T4742" s="2">
        <v>1</v>
      </c>
      <c r="U4742" s="2" t="s">
        <v>79</v>
      </c>
      <c r="V4742" s="2">
        <v>1</v>
      </c>
      <c r="W4742" s="2" t="s">
        <v>80</v>
      </c>
      <c r="X4742" s="2">
        <v>12</v>
      </c>
      <c r="Y4742" s="2" t="s">
        <v>148</v>
      </c>
      <c r="Z4742" s="2">
        <v>1</v>
      </c>
      <c r="AA4742" s="2" t="s">
        <v>82</v>
      </c>
      <c r="AB4742" s="2">
        <v>9</v>
      </c>
      <c r="AC4742" s="2" t="s">
        <v>124</v>
      </c>
      <c r="AD4742" s="3">
        <v>40500</v>
      </c>
      <c r="AE4742" s="4">
        <v>0.40277777777777773</v>
      </c>
      <c r="AF4742" s="3">
        <v>40500</v>
      </c>
      <c r="AG4742" s="4">
        <v>0.5</v>
      </c>
      <c r="AH4742" s="2">
        <v>5</v>
      </c>
      <c r="AI4742" s="2" t="s">
        <v>274</v>
      </c>
      <c r="AJ4742" s="2">
        <v>42</v>
      </c>
      <c r="AK4742" s="2" t="s">
        <v>660</v>
      </c>
      <c r="AL4742" s="2">
        <v>28</v>
      </c>
      <c r="AM4742" s="2" t="s">
        <v>5969</v>
      </c>
      <c r="AN4742" s="2" t="s">
        <v>14664</v>
      </c>
      <c r="AO4742" s="2" t="s">
        <v>14665</v>
      </c>
      <c r="AP4742" s="2">
        <v>11</v>
      </c>
      <c r="AQ4742" s="2" t="s">
        <v>82</v>
      </c>
      <c r="AR4742" s="2"/>
      <c r="AS4742" s="2"/>
      <c r="AT4742" s="2" t="s">
        <v>14666</v>
      </c>
      <c r="AU4742" s="2"/>
      <c r="AV4742" s="2"/>
      <c r="AW4742" s="2"/>
      <c r="AX4742" s="2"/>
      <c r="AY4742" s="2">
        <v>41</v>
      </c>
      <c r="AZ4742" s="2" t="s">
        <v>82</v>
      </c>
      <c r="BA4742" s="2">
        <v>41</v>
      </c>
      <c r="BB4742" s="2" t="s">
        <v>82</v>
      </c>
      <c r="BC4742" s="2">
        <v>41</v>
      </c>
      <c r="BD4742" s="2" t="s">
        <v>82</v>
      </c>
      <c r="BE4742" s="2">
        <v>41</v>
      </c>
      <c r="BF4742" s="2" t="s">
        <v>82</v>
      </c>
      <c r="BG4742" s="2"/>
      <c r="BH4742" s="2"/>
      <c r="BI4742" s="2"/>
      <c r="BJ4742" s="2">
        <v>241</v>
      </c>
      <c r="BK4742" s="2" t="s">
        <v>82</v>
      </c>
      <c r="BL4742" s="2"/>
      <c r="BM4742" s="2">
        <v>241</v>
      </c>
      <c r="BN4742" s="2" t="s">
        <v>82</v>
      </c>
      <c r="BO4742" s="2"/>
      <c r="BP4742" s="2">
        <v>241</v>
      </c>
      <c r="BQ4742" s="2" t="s">
        <v>82</v>
      </c>
      <c r="BR4742" s="2"/>
      <c r="BS4742" s="3">
        <v>40500</v>
      </c>
      <c r="BT4742" s="4">
        <v>0.75837962962962957</v>
      </c>
    </row>
    <row r="4743" spans="1:72" x14ac:dyDescent="0.25">
      <c r="A4743" s="2">
        <v>7348</v>
      </c>
      <c r="B4743" s="2">
        <v>2010</v>
      </c>
      <c r="C4743" s="2" t="s">
        <v>806</v>
      </c>
      <c r="D4743" s="2" t="s">
        <v>73</v>
      </c>
      <c r="E4743" s="2"/>
      <c r="F4743" s="2">
        <v>10</v>
      </c>
      <c r="G4743" s="2" t="s">
        <v>2143</v>
      </c>
      <c r="H4743" s="2">
        <v>30</v>
      </c>
      <c r="I4743" s="2" t="s">
        <v>912</v>
      </c>
      <c r="J4743" s="2">
        <v>19</v>
      </c>
      <c r="K4743" s="2" t="s">
        <v>2144</v>
      </c>
      <c r="L4743" s="2" t="s">
        <v>2145</v>
      </c>
      <c r="M4743" s="3">
        <v>40500</v>
      </c>
      <c r="N4743" s="2" t="s">
        <v>14667</v>
      </c>
      <c r="O4743" s="2" t="s">
        <v>14668</v>
      </c>
      <c r="P4743" s="2" t="s">
        <v>14669</v>
      </c>
      <c r="Q4743" s="2" t="str">
        <f>"17/10"</f>
        <v>17/10</v>
      </c>
      <c r="R4743" s="2" t="s">
        <v>82</v>
      </c>
      <c r="S4743" s="2" t="s">
        <v>82</v>
      </c>
      <c r="T4743" s="2">
        <v>1</v>
      </c>
      <c r="U4743" s="2" t="s">
        <v>79</v>
      </c>
      <c r="V4743" s="2">
        <v>1</v>
      </c>
      <c r="W4743" s="2" t="s">
        <v>80</v>
      </c>
      <c r="X4743" s="2">
        <v>7</v>
      </c>
      <c r="Y4743" s="2" t="s">
        <v>1964</v>
      </c>
      <c r="Z4743" s="2">
        <v>1</v>
      </c>
      <c r="AA4743" s="2" t="s">
        <v>82</v>
      </c>
      <c r="AB4743" s="2">
        <v>9</v>
      </c>
      <c r="AC4743" s="2" t="s">
        <v>124</v>
      </c>
      <c r="AD4743" s="3">
        <v>40500</v>
      </c>
      <c r="AE4743" s="4">
        <v>0.76527777777777783</v>
      </c>
      <c r="AF4743" s="2"/>
      <c r="AG4743" s="2"/>
      <c r="AH4743" s="2">
        <v>3</v>
      </c>
      <c r="AI4743" s="2" t="s">
        <v>214</v>
      </c>
      <c r="AJ4743" s="2">
        <v>14</v>
      </c>
      <c r="AK4743" s="2" t="s">
        <v>342</v>
      </c>
      <c r="AL4743" s="2">
        <v>23</v>
      </c>
      <c r="AM4743" s="2" t="s">
        <v>251</v>
      </c>
      <c r="AN4743" s="2" t="s">
        <v>82</v>
      </c>
      <c r="AO4743" s="2" t="s">
        <v>14670</v>
      </c>
      <c r="AP4743" s="2">
        <v>11</v>
      </c>
      <c r="AQ4743" s="2" t="s">
        <v>82</v>
      </c>
      <c r="AR4743" s="2" t="s">
        <v>82</v>
      </c>
      <c r="AS4743" s="2" t="s">
        <v>82</v>
      </c>
      <c r="AT4743" s="2" t="s">
        <v>14671</v>
      </c>
      <c r="AU4743" s="2">
        <v>1</v>
      </c>
      <c r="AV4743" s="2"/>
      <c r="AW4743" s="2"/>
      <c r="AX4743" s="2"/>
      <c r="AY4743" s="2">
        <v>41</v>
      </c>
      <c r="AZ4743" s="2" t="s">
        <v>82</v>
      </c>
      <c r="BA4743" s="2">
        <v>41</v>
      </c>
      <c r="BB4743" s="2" t="s">
        <v>82</v>
      </c>
      <c r="BC4743" s="2">
        <v>41</v>
      </c>
      <c r="BD4743" s="2" t="s">
        <v>82</v>
      </c>
      <c r="BE4743" s="2">
        <v>41</v>
      </c>
      <c r="BF4743" s="2" t="s">
        <v>82</v>
      </c>
      <c r="BG4743" s="2" t="s">
        <v>82</v>
      </c>
      <c r="BH4743" s="2"/>
      <c r="BI4743" s="2"/>
      <c r="BJ4743" s="2">
        <v>241</v>
      </c>
      <c r="BK4743" s="2" t="s">
        <v>82</v>
      </c>
      <c r="BL4743" s="2"/>
      <c r="BM4743" s="2">
        <v>241</v>
      </c>
      <c r="BN4743" s="2" t="s">
        <v>82</v>
      </c>
      <c r="BO4743" s="2"/>
      <c r="BP4743" s="2">
        <v>241</v>
      </c>
      <c r="BQ4743" s="2" t="s">
        <v>82</v>
      </c>
      <c r="BR4743" s="2" t="s">
        <v>82</v>
      </c>
      <c r="BS4743" s="3">
        <v>40500</v>
      </c>
      <c r="BT4743" s="4">
        <v>0.85003472222222232</v>
      </c>
    </row>
    <row r="4744" spans="1:72" x14ac:dyDescent="0.25">
      <c r="A4744" s="2">
        <v>7349</v>
      </c>
      <c r="B4744" s="2">
        <v>2010</v>
      </c>
      <c r="C4744" s="2" t="s">
        <v>377</v>
      </c>
      <c r="D4744" s="2" t="s">
        <v>73</v>
      </c>
      <c r="E4744" s="2"/>
      <c r="F4744" s="2">
        <v>426</v>
      </c>
      <c r="G4744" s="2" t="s">
        <v>378</v>
      </c>
      <c r="H4744" s="2">
        <v>149</v>
      </c>
      <c r="I4744" s="2" t="s">
        <v>14672</v>
      </c>
      <c r="J4744" s="2">
        <v>311</v>
      </c>
      <c r="K4744" s="2" t="s">
        <v>379</v>
      </c>
      <c r="L4744" s="2" t="s">
        <v>380</v>
      </c>
      <c r="M4744" s="3">
        <v>40500</v>
      </c>
      <c r="N4744" s="2" t="s">
        <v>14673</v>
      </c>
      <c r="O4744" s="2"/>
      <c r="P4744" s="2"/>
      <c r="Q4744" s="2" t="str">
        <f>"288-C/10"</f>
        <v>288-C/10</v>
      </c>
      <c r="R4744" s="2"/>
      <c r="S4744" s="2" t="s">
        <v>14674</v>
      </c>
      <c r="T4744" s="2">
        <v>1</v>
      </c>
      <c r="U4744" s="2" t="s">
        <v>79</v>
      </c>
      <c r="V4744" s="2">
        <v>1</v>
      </c>
      <c r="W4744" s="2" t="s">
        <v>80</v>
      </c>
      <c r="X4744" s="2">
        <v>1</v>
      </c>
      <c r="Y4744" s="2" t="s">
        <v>81</v>
      </c>
      <c r="Z4744" s="2">
        <v>1</v>
      </c>
      <c r="AA4744" s="2" t="s">
        <v>82</v>
      </c>
      <c r="AB4744" s="2">
        <v>9</v>
      </c>
      <c r="AC4744" s="2" t="s">
        <v>124</v>
      </c>
      <c r="AD4744" s="3">
        <v>40500</v>
      </c>
      <c r="AE4744" s="2"/>
      <c r="AF4744" s="3">
        <v>40500</v>
      </c>
      <c r="AG4744" s="4">
        <v>0.70833333333333337</v>
      </c>
      <c r="AH4744" s="2">
        <v>2</v>
      </c>
      <c r="AI4744" s="2" t="s">
        <v>84</v>
      </c>
      <c r="AJ4744" s="2">
        <v>9</v>
      </c>
      <c r="AK4744" s="2" t="s">
        <v>103</v>
      </c>
      <c r="AL4744" s="2">
        <v>29</v>
      </c>
      <c r="AM4744" s="2" t="s">
        <v>5416</v>
      </c>
      <c r="AN4744" s="2" t="s">
        <v>8710</v>
      </c>
      <c r="AO4744" s="2"/>
      <c r="AP4744" s="2">
        <v>11</v>
      </c>
      <c r="AQ4744" s="2" t="s">
        <v>82</v>
      </c>
      <c r="AR4744" s="2"/>
      <c r="AS4744" s="2"/>
      <c r="AT4744" s="2" t="s">
        <v>14675</v>
      </c>
      <c r="AU4744" s="2"/>
      <c r="AV4744" s="2"/>
      <c r="AW4744" s="2"/>
      <c r="AX4744" s="2"/>
      <c r="AY4744" s="2">
        <v>41</v>
      </c>
      <c r="AZ4744" s="2" t="s">
        <v>82</v>
      </c>
      <c r="BA4744" s="2">
        <v>41</v>
      </c>
      <c r="BB4744" s="2" t="s">
        <v>82</v>
      </c>
      <c r="BC4744" s="2">
        <v>41</v>
      </c>
      <c r="BD4744" s="2" t="s">
        <v>82</v>
      </c>
      <c r="BE4744" s="2">
        <v>41</v>
      </c>
      <c r="BF4744" s="2" t="s">
        <v>82</v>
      </c>
      <c r="BG4744" s="2"/>
      <c r="BH4744" s="2"/>
      <c r="BI4744" s="2"/>
      <c r="BJ4744" s="2">
        <v>241</v>
      </c>
      <c r="BK4744" s="2" t="s">
        <v>82</v>
      </c>
      <c r="BL4744" s="2"/>
      <c r="BM4744" s="2">
        <v>241</v>
      </c>
      <c r="BN4744" s="2" t="s">
        <v>82</v>
      </c>
      <c r="BO4744" s="2"/>
      <c r="BP4744" s="2">
        <v>241</v>
      </c>
      <c r="BQ4744" s="2" t="s">
        <v>82</v>
      </c>
      <c r="BR4744" s="2"/>
      <c r="BS4744" s="3">
        <v>40500</v>
      </c>
      <c r="BT4744" s="4">
        <v>0.9353935185185186</v>
      </c>
    </row>
    <row r="4745" spans="1:72" x14ac:dyDescent="0.25">
      <c r="A4745" s="2">
        <v>7350</v>
      </c>
      <c r="B4745" s="2">
        <v>2010</v>
      </c>
      <c r="C4745" s="2" t="s">
        <v>377</v>
      </c>
      <c r="D4745" s="2" t="s">
        <v>73</v>
      </c>
      <c r="E4745" s="2"/>
      <c r="F4745" s="2">
        <v>426</v>
      </c>
      <c r="G4745" s="2" t="s">
        <v>378</v>
      </c>
      <c r="H4745" s="2">
        <v>149</v>
      </c>
      <c r="I4745" s="2" t="s">
        <v>14672</v>
      </c>
      <c r="J4745" s="2">
        <v>311</v>
      </c>
      <c r="K4745" s="2" t="s">
        <v>379</v>
      </c>
      <c r="L4745" s="2" t="s">
        <v>380</v>
      </c>
      <c r="M4745" s="3">
        <v>40500</v>
      </c>
      <c r="N4745" s="2" t="s">
        <v>4427</v>
      </c>
      <c r="O4745" s="2"/>
      <c r="P4745" s="2"/>
      <c r="Q4745" s="2" t="str">
        <f>"287-C/10"</f>
        <v>287-C/10</v>
      </c>
      <c r="R4745" s="2"/>
      <c r="S4745" s="2" t="s">
        <v>14676</v>
      </c>
      <c r="T4745" s="2">
        <v>1</v>
      </c>
      <c r="U4745" s="2" t="s">
        <v>79</v>
      </c>
      <c r="V4745" s="2">
        <v>1</v>
      </c>
      <c r="W4745" s="2" t="s">
        <v>80</v>
      </c>
      <c r="X4745" s="2">
        <v>1</v>
      </c>
      <c r="Y4745" s="2" t="s">
        <v>81</v>
      </c>
      <c r="Z4745" s="2">
        <v>1</v>
      </c>
      <c r="AA4745" s="2" t="s">
        <v>82</v>
      </c>
      <c r="AB4745" s="2">
        <v>9</v>
      </c>
      <c r="AC4745" s="2" t="s">
        <v>124</v>
      </c>
      <c r="AD4745" s="3">
        <v>40500</v>
      </c>
      <c r="AE4745" s="2"/>
      <c r="AF4745" s="3">
        <v>40500</v>
      </c>
      <c r="AG4745" s="4">
        <v>0.64583333333333337</v>
      </c>
      <c r="AH4745" s="2">
        <v>2</v>
      </c>
      <c r="AI4745" s="2" t="s">
        <v>84</v>
      </c>
      <c r="AJ4745" s="2">
        <v>9</v>
      </c>
      <c r="AK4745" s="2" t="s">
        <v>103</v>
      </c>
      <c r="AL4745" s="2">
        <v>24</v>
      </c>
      <c r="AM4745" s="2" t="s">
        <v>1540</v>
      </c>
      <c r="AN4745" s="2" t="s">
        <v>5705</v>
      </c>
      <c r="AO4745" s="2"/>
      <c r="AP4745" s="2">
        <v>11</v>
      </c>
      <c r="AQ4745" s="2" t="s">
        <v>82</v>
      </c>
      <c r="AR4745" s="2"/>
      <c r="AS4745" s="2"/>
      <c r="AT4745" s="2" t="s">
        <v>14677</v>
      </c>
      <c r="AU4745" s="2"/>
      <c r="AV4745" s="2"/>
      <c r="AW4745" s="2"/>
      <c r="AX4745" s="2"/>
      <c r="AY4745" s="2">
        <v>41</v>
      </c>
      <c r="AZ4745" s="2" t="s">
        <v>82</v>
      </c>
      <c r="BA4745" s="2">
        <v>41</v>
      </c>
      <c r="BB4745" s="2" t="s">
        <v>82</v>
      </c>
      <c r="BC4745" s="2">
        <v>41</v>
      </c>
      <c r="BD4745" s="2" t="s">
        <v>82</v>
      </c>
      <c r="BE4745" s="2">
        <v>41</v>
      </c>
      <c r="BF4745" s="2" t="s">
        <v>82</v>
      </c>
      <c r="BG4745" s="2"/>
      <c r="BH4745" s="2"/>
      <c r="BI4745" s="2"/>
      <c r="BJ4745" s="2">
        <v>241</v>
      </c>
      <c r="BK4745" s="2" t="s">
        <v>82</v>
      </c>
      <c r="BL4745" s="2"/>
      <c r="BM4745" s="2">
        <v>241</v>
      </c>
      <c r="BN4745" s="2" t="s">
        <v>82</v>
      </c>
      <c r="BO4745" s="2"/>
      <c r="BP4745" s="2">
        <v>241</v>
      </c>
      <c r="BQ4745" s="2" t="s">
        <v>82</v>
      </c>
      <c r="BR4745" s="2"/>
      <c r="BS4745" s="3">
        <v>40500</v>
      </c>
      <c r="BT4745" s="4">
        <v>0.95212962962962966</v>
      </c>
    </row>
    <row r="4746" spans="1:72" x14ac:dyDescent="0.25">
      <c r="A4746" s="2">
        <v>7351</v>
      </c>
      <c r="B4746" s="2">
        <v>2010</v>
      </c>
      <c r="C4746" s="2" t="s">
        <v>72</v>
      </c>
      <c r="D4746" s="2" t="s">
        <v>122</v>
      </c>
      <c r="E4746" s="2" t="s">
        <v>14678</v>
      </c>
      <c r="F4746" s="2">
        <v>2</v>
      </c>
      <c r="G4746" s="2" t="s">
        <v>113</v>
      </c>
      <c r="H4746" s="2">
        <v>108</v>
      </c>
      <c r="I4746" s="2" t="s">
        <v>1096</v>
      </c>
      <c r="J4746" s="2">
        <v>300</v>
      </c>
      <c r="K4746" s="2" t="s">
        <v>114</v>
      </c>
      <c r="L4746" s="2" t="s">
        <v>115</v>
      </c>
      <c r="M4746" s="3">
        <v>40500</v>
      </c>
      <c r="N4746" s="2"/>
      <c r="O4746" s="2"/>
      <c r="P4746" s="2"/>
      <c r="Q4746" s="2" t="str">
        <f>"608-E/10"</f>
        <v>608-E/10</v>
      </c>
      <c r="R4746" s="2" t="s">
        <v>116</v>
      </c>
      <c r="S4746" s="2"/>
      <c r="T4746" s="2">
        <v>1</v>
      </c>
      <c r="U4746" s="2" t="s">
        <v>79</v>
      </c>
      <c r="V4746" s="2">
        <v>1</v>
      </c>
      <c r="W4746" s="2" t="s">
        <v>80</v>
      </c>
      <c r="X4746" s="2">
        <v>5</v>
      </c>
      <c r="Y4746" s="2" t="s">
        <v>82</v>
      </c>
      <c r="Z4746" s="2">
        <v>10</v>
      </c>
      <c r="AA4746" s="2" t="s">
        <v>236</v>
      </c>
      <c r="AB4746" s="2">
        <v>6</v>
      </c>
      <c r="AC4746" s="2" t="s">
        <v>83</v>
      </c>
      <c r="AD4746" s="3">
        <v>40500</v>
      </c>
      <c r="AE4746" s="4">
        <v>0.29166666666666669</v>
      </c>
      <c r="AF4746" s="3">
        <v>40499</v>
      </c>
      <c r="AG4746" s="4">
        <v>0.69791666666666663</v>
      </c>
      <c r="AH4746" s="2">
        <v>2</v>
      </c>
      <c r="AI4746" s="2" t="s">
        <v>84</v>
      </c>
      <c r="AJ4746" s="2">
        <v>9</v>
      </c>
      <c r="AK4746" s="2" t="s">
        <v>103</v>
      </c>
      <c r="AL4746" s="2">
        <v>12</v>
      </c>
      <c r="AM4746" s="2" t="s">
        <v>86</v>
      </c>
      <c r="AN4746" s="2" t="s">
        <v>14625</v>
      </c>
      <c r="AO4746" s="2"/>
      <c r="AP4746" s="2">
        <v>11</v>
      </c>
      <c r="AQ4746" s="2" t="s">
        <v>82</v>
      </c>
      <c r="AR4746" s="2"/>
      <c r="AS4746" s="2"/>
      <c r="AT4746" s="2" t="s">
        <v>14679</v>
      </c>
      <c r="AU4746" s="2"/>
      <c r="AV4746" s="2"/>
      <c r="AW4746" s="2">
        <v>2</v>
      </c>
      <c r="AX4746" s="2"/>
      <c r="AY4746" s="2">
        <v>41</v>
      </c>
      <c r="AZ4746" s="2" t="s">
        <v>82</v>
      </c>
      <c r="BA4746" s="2">
        <v>41</v>
      </c>
      <c r="BB4746" s="2" t="s">
        <v>82</v>
      </c>
      <c r="BC4746" s="2">
        <v>41</v>
      </c>
      <c r="BD4746" s="2" t="s">
        <v>82</v>
      </c>
      <c r="BE4746" s="2">
        <v>6</v>
      </c>
      <c r="BF4746" s="2" t="s">
        <v>616</v>
      </c>
      <c r="BG4746" s="2" t="s">
        <v>1599</v>
      </c>
      <c r="BH4746" s="2"/>
      <c r="BI4746" s="2"/>
      <c r="BJ4746" s="2">
        <v>13</v>
      </c>
      <c r="BK4746" s="2" t="s">
        <v>91</v>
      </c>
      <c r="BL4746" s="2" t="s">
        <v>360</v>
      </c>
      <c r="BM4746" s="2">
        <v>4</v>
      </c>
      <c r="BN4746" s="2" t="s">
        <v>618</v>
      </c>
      <c r="BO4746" s="2"/>
      <c r="BP4746" s="2">
        <v>4</v>
      </c>
      <c r="BQ4746" s="2" t="s">
        <v>618</v>
      </c>
      <c r="BR4746" s="2" t="s">
        <v>619</v>
      </c>
      <c r="BS4746" s="3">
        <v>40500</v>
      </c>
      <c r="BT4746" s="4">
        <v>0.9602546296296296</v>
      </c>
    </row>
    <row r="4747" spans="1:72" x14ac:dyDescent="0.25">
      <c r="A4747" s="2">
        <v>7351</v>
      </c>
      <c r="B4747" s="2">
        <v>2010</v>
      </c>
      <c r="C4747" s="2" t="s">
        <v>385</v>
      </c>
      <c r="D4747" s="2" t="s">
        <v>122</v>
      </c>
      <c r="E4747" s="2" t="s">
        <v>14678</v>
      </c>
      <c r="F4747" s="2">
        <v>2</v>
      </c>
      <c r="G4747" s="2" t="s">
        <v>113</v>
      </c>
      <c r="H4747" s="2">
        <v>108</v>
      </c>
      <c r="I4747" s="2" t="s">
        <v>1096</v>
      </c>
      <c r="J4747" s="2">
        <v>300</v>
      </c>
      <c r="K4747" s="2" t="s">
        <v>114</v>
      </c>
      <c r="L4747" s="2" t="s">
        <v>115</v>
      </c>
      <c r="M4747" s="3">
        <v>40500</v>
      </c>
      <c r="N4747" s="2"/>
      <c r="O4747" s="2"/>
      <c r="P4747" s="2"/>
      <c r="Q4747" s="2" t="str">
        <f>"608-E/10"</f>
        <v>608-E/10</v>
      </c>
      <c r="R4747" s="2" t="s">
        <v>116</v>
      </c>
      <c r="S4747" s="2"/>
      <c r="T4747" s="2">
        <v>1</v>
      </c>
      <c r="U4747" s="2" t="s">
        <v>79</v>
      </c>
      <c r="V4747" s="2">
        <v>1</v>
      </c>
      <c r="W4747" s="2" t="s">
        <v>80</v>
      </c>
      <c r="X4747" s="2">
        <v>5</v>
      </c>
      <c r="Y4747" s="2" t="s">
        <v>82</v>
      </c>
      <c r="Z4747" s="2">
        <v>10</v>
      </c>
      <c r="AA4747" s="2" t="s">
        <v>236</v>
      </c>
      <c r="AB4747" s="2">
        <v>9</v>
      </c>
      <c r="AC4747" s="2" t="s">
        <v>124</v>
      </c>
      <c r="AD4747" s="3">
        <v>40500</v>
      </c>
      <c r="AE4747" s="4">
        <v>0.29166666666666669</v>
      </c>
      <c r="AF4747" s="3">
        <v>40499</v>
      </c>
      <c r="AG4747" s="4">
        <v>0.69791666666666663</v>
      </c>
      <c r="AH4747" s="2">
        <v>2</v>
      </c>
      <c r="AI4747" s="2" t="s">
        <v>84</v>
      </c>
      <c r="AJ4747" s="2">
        <v>9</v>
      </c>
      <c r="AK4747" s="2" t="s">
        <v>103</v>
      </c>
      <c r="AL4747" s="2">
        <v>12</v>
      </c>
      <c r="AM4747" s="2" t="s">
        <v>86</v>
      </c>
      <c r="AN4747" s="2" t="s">
        <v>14625</v>
      </c>
      <c r="AO4747" s="2"/>
      <c r="AP4747" s="2">
        <v>11</v>
      </c>
      <c r="AQ4747" s="2" t="s">
        <v>82</v>
      </c>
      <c r="AR4747" s="2"/>
      <c r="AS4747" s="2"/>
      <c r="AT4747" s="2" t="s">
        <v>14679</v>
      </c>
      <c r="AU4747" s="2"/>
      <c r="AV4747" s="2"/>
      <c r="AW4747" s="2">
        <v>2</v>
      </c>
      <c r="AX4747" s="2"/>
      <c r="AY4747" s="2">
        <v>41</v>
      </c>
      <c r="AZ4747" s="2" t="s">
        <v>82</v>
      </c>
      <c r="BA4747" s="2">
        <v>41</v>
      </c>
      <c r="BB4747" s="2" t="s">
        <v>82</v>
      </c>
      <c r="BC4747" s="2">
        <v>41</v>
      </c>
      <c r="BD4747" s="2" t="s">
        <v>82</v>
      </c>
      <c r="BE4747" s="2">
        <v>6</v>
      </c>
      <c r="BF4747" s="2" t="s">
        <v>616</v>
      </c>
      <c r="BG4747" s="2" t="s">
        <v>1599</v>
      </c>
      <c r="BH4747" s="2"/>
      <c r="BI4747" s="2"/>
      <c r="BJ4747" s="2">
        <v>13</v>
      </c>
      <c r="BK4747" s="2" t="s">
        <v>91</v>
      </c>
      <c r="BL4747" s="2" t="s">
        <v>360</v>
      </c>
      <c r="BM4747" s="2">
        <v>4</v>
      </c>
      <c r="BN4747" s="2" t="s">
        <v>618</v>
      </c>
      <c r="BO4747" s="2"/>
      <c r="BP4747" s="2">
        <v>4</v>
      </c>
      <c r="BQ4747" s="2" t="s">
        <v>618</v>
      </c>
      <c r="BR4747" s="2" t="s">
        <v>619</v>
      </c>
      <c r="BS4747" s="3">
        <v>40500</v>
      </c>
      <c r="BT4747" s="4">
        <v>0.9602546296296296</v>
      </c>
    </row>
    <row r="4748" spans="1:72" x14ac:dyDescent="0.25">
      <c r="A4748" s="2">
        <v>7352</v>
      </c>
      <c r="B4748" s="2">
        <v>2010</v>
      </c>
      <c r="C4748" s="2" t="s">
        <v>764</v>
      </c>
      <c r="D4748" s="2" t="s">
        <v>73</v>
      </c>
      <c r="E4748" s="2"/>
      <c r="F4748" s="2">
        <v>390</v>
      </c>
      <c r="G4748" s="2" t="s">
        <v>475</v>
      </c>
      <c r="H4748" s="2">
        <v>5</v>
      </c>
      <c r="I4748" s="2" t="s">
        <v>634</v>
      </c>
      <c r="J4748" s="2">
        <v>533</v>
      </c>
      <c r="K4748" s="2" t="s">
        <v>6511</v>
      </c>
      <c r="L4748" s="2" t="s">
        <v>478</v>
      </c>
      <c r="M4748" s="3">
        <v>40500</v>
      </c>
      <c r="N4748" s="2" t="s">
        <v>13969</v>
      </c>
      <c r="O4748" s="2" t="s">
        <v>5676</v>
      </c>
      <c r="P4748" s="2"/>
      <c r="Q4748" s="2" t="str">
        <f>"613-E/10"</f>
        <v>613-E/10</v>
      </c>
      <c r="R4748" s="2"/>
      <c r="S4748" s="2"/>
      <c r="T4748" s="2">
        <v>1</v>
      </c>
      <c r="U4748" s="2" t="s">
        <v>79</v>
      </c>
      <c r="V4748" s="2">
        <v>1</v>
      </c>
      <c r="W4748" s="2" t="s">
        <v>80</v>
      </c>
      <c r="X4748" s="2">
        <v>1</v>
      </c>
      <c r="Y4748" s="2" t="s">
        <v>81</v>
      </c>
      <c r="Z4748" s="2">
        <v>1</v>
      </c>
      <c r="AA4748" s="2" t="s">
        <v>82</v>
      </c>
      <c r="AB4748" s="2">
        <v>9</v>
      </c>
      <c r="AC4748" s="2" t="s">
        <v>124</v>
      </c>
      <c r="AD4748" s="3">
        <v>40500</v>
      </c>
      <c r="AE4748" s="4">
        <v>0.62847222222222221</v>
      </c>
      <c r="AF4748" s="3">
        <v>40500</v>
      </c>
      <c r="AG4748" s="4">
        <v>0.70833333333333337</v>
      </c>
      <c r="AH4748" s="2">
        <v>2</v>
      </c>
      <c r="AI4748" s="2" t="s">
        <v>84</v>
      </c>
      <c r="AJ4748" s="2">
        <v>9</v>
      </c>
      <c r="AK4748" s="2" t="s">
        <v>103</v>
      </c>
      <c r="AL4748" s="2">
        <v>28</v>
      </c>
      <c r="AM4748" s="2" t="s">
        <v>5969</v>
      </c>
      <c r="AN4748" s="2" t="s">
        <v>14680</v>
      </c>
      <c r="AO4748" s="2"/>
      <c r="AP4748" s="2">
        <v>11</v>
      </c>
      <c r="AQ4748" s="2" t="s">
        <v>82</v>
      </c>
      <c r="AR4748" s="2"/>
      <c r="AS4748" s="2"/>
      <c r="AT4748" s="2" t="s">
        <v>14681</v>
      </c>
      <c r="AU4748" s="2"/>
      <c r="AV4748" s="2"/>
      <c r="AW4748" s="2"/>
      <c r="AX4748" s="2"/>
      <c r="AY4748" s="2">
        <v>41</v>
      </c>
      <c r="AZ4748" s="2" t="s">
        <v>82</v>
      </c>
      <c r="BA4748" s="2">
        <v>41</v>
      </c>
      <c r="BB4748" s="2" t="s">
        <v>82</v>
      </c>
      <c r="BC4748" s="2">
        <v>41</v>
      </c>
      <c r="BD4748" s="2" t="s">
        <v>82</v>
      </c>
      <c r="BE4748" s="2">
        <v>41</v>
      </c>
      <c r="BF4748" s="2" t="s">
        <v>82</v>
      </c>
      <c r="BG4748" s="2"/>
      <c r="BH4748" s="2"/>
      <c r="BI4748" s="2"/>
      <c r="BJ4748" s="2">
        <v>241</v>
      </c>
      <c r="BK4748" s="2" t="s">
        <v>82</v>
      </c>
      <c r="BL4748" s="2"/>
      <c r="BM4748" s="2">
        <v>241</v>
      </c>
      <c r="BN4748" s="2" t="s">
        <v>82</v>
      </c>
      <c r="BO4748" s="2"/>
      <c r="BP4748" s="2">
        <v>241</v>
      </c>
      <c r="BQ4748" s="2" t="s">
        <v>82</v>
      </c>
      <c r="BR4748" s="2"/>
      <c r="BS4748" s="3">
        <v>40500</v>
      </c>
      <c r="BT4748" s="4">
        <v>0.98898148148148157</v>
      </c>
    </row>
    <row r="4749" spans="1:72" x14ac:dyDescent="0.25">
      <c r="A4749" s="2">
        <v>7353</v>
      </c>
      <c r="B4749" s="2">
        <v>2010</v>
      </c>
      <c r="C4749" s="2" t="s">
        <v>819</v>
      </c>
      <c r="D4749" s="2" t="s">
        <v>122</v>
      </c>
      <c r="E4749" s="2"/>
      <c r="F4749" s="2">
        <v>425</v>
      </c>
      <c r="G4749" s="2" t="s">
        <v>286</v>
      </c>
      <c r="H4749" s="2">
        <v>39</v>
      </c>
      <c r="I4749" s="2" t="s">
        <v>1117</v>
      </c>
      <c r="J4749" s="2">
        <v>310</v>
      </c>
      <c r="K4749" s="2" t="s">
        <v>288</v>
      </c>
      <c r="L4749" s="2" t="s">
        <v>289</v>
      </c>
      <c r="M4749" s="3">
        <v>40500</v>
      </c>
      <c r="N4749" s="2" t="s">
        <v>2049</v>
      </c>
      <c r="O4749" s="2"/>
      <c r="P4749" s="2"/>
      <c r="Q4749" s="2" t="str">
        <f>"111/10"</f>
        <v>111/10</v>
      </c>
      <c r="R4749" s="2" t="s">
        <v>822</v>
      </c>
      <c r="S4749" s="2"/>
      <c r="T4749" s="2">
        <v>1</v>
      </c>
      <c r="U4749" s="2" t="s">
        <v>79</v>
      </c>
      <c r="V4749" s="2">
        <v>1</v>
      </c>
      <c r="W4749" s="2" t="s">
        <v>80</v>
      </c>
      <c r="X4749" s="2">
        <v>1</v>
      </c>
      <c r="Y4749" s="2" t="s">
        <v>81</v>
      </c>
      <c r="Z4749" s="2">
        <v>10</v>
      </c>
      <c r="AA4749" s="2" t="s">
        <v>236</v>
      </c>
      <c r="AB4749" s="2">
        <v>9</v>
      </c>
      <c r="AC4749" s="2" t="s">
        <v>124</v>
      </c>
      <c r="AD4749" s="3">
        <v>40500</v>
      </c>
      <c r="AE4749" s="4">
        <v>0.90277777777777779</v>
      </c>
      <c r="AF4749" s="3">
        <v>40500</v>
      </c>
      <c r="AG4749" s="4">
        <v>0.90277777777777779</v>
      </c>
      <c r="AH4749" s="2">
        <v>4</v>
      </c>
      <c r="AI4749" s="2" t="s">
        <v>125</v>
      </c>
      <c r="AJ4749" s="2">
        <v>29</v>
      </c>
      <c r="AK4749" s="2" t="s">
        <v>227</v>
      </c>
      <c r="AL4749" s="2">
        <v>10</v>
      </c>
      <c r="AM4749" s="2" t="s">
        <v>200</v>
      </c>
      <c r="AN4749" s="2" t="s">
        <v>1015</v>
      </c>
      <c r="AO4749" s="2" t="s">
        <v>6863</v>
      </c>
      <c r="AP4749" s="2">
        <v>12</v>
      </c>
      <c r="AQ4749" s="2" t="s">
        <v>322</v>
      </c>
      <c r="AR4749" s="2" t="s">
        <v>824</v>
      </c>
      <c r="AS4749" s="2" t="s">
        <v>825</v>
      </c>
      <c r="AT4749" s="2" t="s">
        <v>14682</v>
      </c>
      <c r="AU4749" s="2"/>
      <c r="AV4749" s="2"/>
      <c r="AW4749" s="2"/>
      <c r="AX4749" s="2"/>
      <c r="AY4749" s="2">
        <v>41</v>
      </c>
      <c r="AZ4749" s="2" t="s">
        <v>82</v>
      </c>
      <c r="BA4749" s="2">
        <v>41</v>
      </c>
      <c r="BB4749" s="2" t="s">
        <v>82</v>
      </c>
      <c r="BC4749" s="2">
        <v>51</v>
      </c>
      <c r="BD4749" s="2" t="s">
        <v>827</v>
      </c>
      <c r="BE4749" s="2">
        <v>13</v>
      </c>
      <c r="BF4749" s="2" t="s">
        <v>108</v>
      </c>
      <c r="BG4749" s="2">
        <v>1459</v>
      </c>
      <c r="BH4749" s="4">
        <v>0.90277777777777779</v>
      </c>
      <c r="BI4749" s="4">
        <v>0.9375</v>
      </c>
      <c r="BJ4749" s="2">
        <v>13</v>
      </c>
      <c r="BK4749" s="2" t="s">
        <v>91</v>
      </c>
      <c r="BL4749" s="2" t="s">
        <v>828</v>
      </c>
      <c r="BM4749" s="2">
        <v>13</v>
      </c>
      <c r="BN4749" s="2" t="s">
        <v>91</v>
      </c>
      <c r="BO4749" s="2"/>
      <c r="BP4749" s="2">
        <v>13</v>
      </c>
      <c r="BQ4749" s="2" t="s">
        <v>91</v>
      </c>
      <c r="BR4749" s="2" t="s">
        <v>185</v>
      </c>
      <c r="BS4749" s="3">
        <v>40500</v>
      </c>
      <c r="BT4749" s="4">
        <v>0.99687500000000007</v>
      </c>
    </row>
    <row r="4750" spans="1:72" x14ac:dyDescent="0.25">
      <c r="A4750" s="2">
        <v>7354</v>
      </c>
      <c r="B4750" s="2">
        <v>2010</v>
      </c>
      <c r="C4750" s="2" t="s">
        <v>385</v>
      </c>
      <c r="D4750" s="2" t="s">
        <v>122</v>
      </c>
      <c r="E4750" s="2"/>
      <c r="F4750" s="2">
        <v>10</v>
      </c>
      <c r="G4750" s="2" t="s">
        <v>2143</v>
      </c>
      <c r="H4750" s="2">
        <v>39</v>
      </c>
      <c r="I4750" s="2" t="s">
        <v>1117</v>
      </c>
      <c r="J4750" s="2">
        <v>19</v>
      </c>
      <c r="K4750" s="2" t="s">
        <v>2144</v>
      </c>
      <c r="L4750" s="2" t="s">
        <v>2145</v>
      </c>
      <c r="M4750" s="3">
        <v>40501</v>
      </c>
      <c r="N4750" s="2" t="s">
        <v>2605</v>
      </c>
      <c r="O4750" s="2" t="s">
        <v>14683</v>
      </c>
      <c r="P4750" s="2" t="s">
        <v>14684</v>
      </c>
      <c r="Q4750" s="2" t="str">
        <f>""</f>
        <v/>
      </c>
      <c r="R4750" s="2"/>
      <c r="S4750" s="2"/>
      <c r="T4750" s="2">
        <v>1</v>
      </c>
      <c r="U4750" s="2" t="s">
        <v>79</v>
      </c>
      <c r="V4750" s="2">
        <v>1</v>
      </c>
      <c r="W4750" s="2" t="s">
        <v>80</v>
      </c>
      <c r="X4750" s="2">
        <v>11</v>
      </c>
      <c r="Y4750" s="2" t="s">
        <v>1920</v>
      </c>
      <c r="Z4750" s="2">
        <v>10</v>
      </c>
      <c r="AA4750" s="2" t="s">
        <v>236</v>
      </c>
      <c r="AB4750" s="2">
        <v>9</v>
      </c>
      <c r="AC4750" s="2" t="s">
        <v>124</v>
      </c>
      <c r="AD4750" s="3">
        <v>40500</v>
      </c>
      <c r="AE4750" s="4">
        <v>0.9375</v>
      </c>
      <c r="AF4750" s="2"/>
      <c r="AG4750" s="2"/>
      <c r="AH4750" s="2">
        <v>3</v>
      </c>
      <c r="AI4750" s="2" t="s">
        <v>214</v>
      </c>
      <c r="AJ4750" s="2">
        <v>24</v>
      </c>
      <c r="AK4750" s="2" t="s">
        <v>215</v>
      </c>
      <c r="AL4750" s="2">
        <v>23</v>
      </c>
      <c r="AM4750" s="2" t="s">
        <v>251</v>
      </c>
      <c r="AN4750" s="2" t="s">
        <v>14685</v>
      </c>
      <c r="AO4750" s="2" t="s">
        <v>14686</v>
      </c>
      <c r="AP4750" s="2">
        <v>11</v>
      </c>
      <c r="AQ4750" s="2" t="s">
        <v>82</v>
      </c>
      <c r="AR4750" s="2"/>
      <c r="AS4750" s="2"/>
      <c r="AT4750" s="2" t="s">
        <v>14687</v>
      </c>
      <c r="AU4750" s="2">
        <v>1</v>
      </c>
      <c r="AV4750" s="2"/>
      <c r="AW4750" s="2"/>
      <c r="AX4750" s="2"/>
      <c r="AY4750" s="2">
        <v>41</v>
      </c>
      <c r="AZ4750" s="2" t="s">
        <v>82</v>
      </c>
      <c r="BA4750" s="2">
        <v>41</v>
      </c>
      <c r="BB4750" s="2" t="s">
        <v>82</v>
      </c>
      <c r="BC4750" s="2">
        <v>41</v>
      </c>
      <c r="BD4750" s="2" t="s">
        <v>82</v>
      </c>
      <c r="BE4750" s="2">
        <v>41</v>
      </c>
      <c r="BF4750" s="2" t="s">
        <v>82</v>
      </c>
      <c r="BG4750" s="2"/>
      <c r="BH4750" s="2"/>
      <c r="BI4750" s="2"/>
      <c r="BJ4750" s="2">
        <v>241</v>
      </c>
      <c r="BK4750" s="2" t="s">
        <v>82</v>
      </c>
      <c r="BL4750" s="2"/>
      <c r="BM4750" s="2">
        <v>241</v>
      </c>
      <c r="BN4750" s="2" t="s">
        <v>82</v>
      </c>
      <c r="BO4750" s="2"/>
      <c r="BP4750" s="2">
        <v>241</v>
      </c>
      <c r="BQ4750" s="2" t="s">
        <v>82</v>
      </c>
      <c r="BR4750" s="2"/>
      <c r="BS4750" s="3">
        <v>40501</v>
      </c>
      <c r="BT4750" s="4">
        <v>1.7002314814814814E-2</v>
      </c>
    </row>
    <row r="4751" spans="1:72" x14ac:dyDescent="0.25">
      <c r="A4751" s="2">
        <v>7355</v>
      </c>
      <c r="B4751" s="2">
        <v>2010</v>
      </c>
      <c r="C4751" s="2" t="s">
        <v>171</v>
      </c>
      <c r="D4751" s="2" t="s">
        <v>73</v>
      </c>
      <c r="E4751" s="2"/>
      <c r="F4751" s="2">
        <v>399</v>
      </c>
      <c r="G4751" s="2" t="s">
        <v>587</v>
      </c>
      <c r="H4751" s="2">
        <v>15</v>
      </c>
      <c r="I4751" s="2" t="s">
        <v>130</v>
      </c>
      <c r="J4751" s="2">
        <v>2</v>
      </c>
      <c r="K4751" s="2" t="s">
        <v>3661</v>
      </c>
      <c r="L4751" s="2" t="s">
        <v>3662</v>
      </c>
      <c r="M4751" s="3">
        <v>40501</v>
      </c>
      <c r="N4751" s="2" t="s">
        <v>14688</v>
      </c>
      <c r="O4751" s="2"/>
      <c r="P4751" s="2"/>
      <c r="Q4751" s="2" t="str">
        <f>"614-E/10"</f>
        <v>614-E/10</v>
      </c>
      <c r="R4751" s="2" t="s">
        <v>391</v>
      </c>
      <c r="S4751" s="2" t="s">
        <v>391</v>
      </c>
      <c r="T4751" s="2">
        <v>1</v>
      </c>
      <c r="U4751" s="2" t="s">
        <v>79</v>
      </c>
      <c r="V4751" s="2">
        <v>1</v>
      </c>
      <c r="W4751" s="2" t="s">
        <v>80</v>
      </c>
      <c r="X4751" s="2">
        <v>1</v>
      </c>
      <c r="Y4751" s="2" t="s">
        <v>81</v>
      </c>
      <c r="Z4751" s="2">
        <v>1</v>
      </c>
      <c r="AA4751" s="2" t="s">
        <v>82</v>
      </c>
      <c r="AB4751" s="2">
        <v>1</v>
      </c>
      <c r="AC4751" s="2" t="s">
        <v>178</v>
      </c>
      <c r="AD4751" s="3">
        <v>40500</v>
      </c>
      <c r="AE4751" s="4">
        <v>0.88888888888888884</v>
      </c>
      <c r="AF4751" s="3">
        <v>40501</v>
      </c>
      <c r="AG4751" s="4">
        <v>0.16666666666666666</v>
      </c>
      <c r="AH4751" s="2">
        <v>2</v>
      </c>
      <c r="AI4751" s="2" t="s">
        <v>84</v>
      </c>
      <c r="AJ4751" s="2">
        <v>9</v>
      </c>
      <c r="AK4751" s="2" t="s">
        <v>103</v>
      </c>
      <c r="AL4751" s="2">
        <v>25</v>
      </c>
      <c r="AM4751" s="2" t="s">
        <v>3073</v>
      </c>
      <c r="AN4751" s="2" t="s">
        <v>179</v>
      </c>
      <c r="AO4751" s="2" t="s">
        <v>987</v>
      </c>
      <c r="AP4751" s="2">
        <v>11</v>
      </c>
      <c r="AQ4751" s="2" t="s">
        <v>82</v>
      </c>
      <c r="AR4751" s="2"/>
      <c r="AS4751" s="2"/>
      <c r="AT4751" s="2" t="s">
        <v>14689</v>
      </c>
      <c r="AU4751" s="2"/>
      <c r="AV4751" s="2">
        <v>1</v>
      </c>
      <c r="AW4751" s="2"/>
      <c r="AX4751" s="2"/>
      <c r="AY4751" s="2">
        <v>41</v>
      </c>
      <c r="AZ4751" s="2" t="s">
        <v>82</v>
      </c>
      <c r="BA4751" s="2">
        <v>41</v>
      </c>
      <c r="BB4751" s="2" t="s">
        <v>82</v>
      </c>
      <c r="BC4751" s="2">
        <v>41</v>
      </c>
      <c r="BD4751" s="2" t="s">
        <v>82</v>
      </c>
      <c r="BE4751" s="2">
        <v>31</v>
      </c>
      <c r="BF4751" s="2" t="s">
        <v>398</v>
      </c>
      <c r="BG4751" s="2" t="s">
        <v>1511</v>
      </c>
      <c r="BH4751" s="2"/>
      <c r="BI4751" s="4">
        <v>0.94444444444444453</v>
      </c>
      <c r="BJ4751" s="2">
        <v>13</v>
      </c>
      <c r="BK4751" s="2" t="s">
        <v>91</v>
      </c>
      <c r="BL4751" s="2" t="s">
        <v>360</v>
      </c>
      <c r="BM4751" s="2">
        <v>73</v>
      </c>
      <c r="BN4751" s="2" t="s">
        <v>186</v>
      </c>
      <c r="BO4751" s="2"/>
      <c r="BP4751" s="2">
        <v>73</v>
      </c>
      <c r="BQ4751" s="2" t="s">
        <v>186</v>
      </c>
      <c r="BR4751" s="2" t="s">
        <v>187</v>
      </c>
      <c r="BS4751" s="3">
        <v>40501</v>
      </c>
      <c r="BT4751" s="4">
        <v>0.18968750000000001</v>
      </c>
    </row>
    <row r="4752" spans="1:72" x14ac:dyDescent="0.25">
      <c r="A4752" s="2">
        <v>7356</v>
      </c>
      <c r="B4752" s="2">
        <v>2010</v>
      </c>
      <c r="C4752" s="2" t="s">
        <v>147</v>
      </c>
      <c r="D4752" s="2" t="s">
        <v>73</v>
      </c>
      <c r="E4752" s="2"/>
      <c r="F4752" s="2">
        <v>1</v>
      </c>
      <c r="G4752" s="2" t="s">
        <v>82</v>
      </c>
      <c r="H4752" s="2">
        <v>1</v>
      </c>
      <c r="I4752" s="2" t="s">
        <v>82</v>
      </c>
      <c r="J4752" s="2">
        <v>1</v>
      </c>
      <c r="K4752" s="2" t="s">
        <v>107</v>
      </c>
      <c r="L4752" s="2" t="s">
        <v>107</v>
      </c>
      <c r="M4752" s="3">
        <v>40501</v>
      </c>
      <c r="N4752" s="2"/>
      <c r="O4752" s="2"/>
      <c r="P4752" s="2"/>
      <c r="Q4752" s="2" t="str">
        <f>""</f>
        <v/>
      </c>
      <c r="R4752" s="2"/>
      <c r="S4752" s="2"/>
      <c r="T4752" s="2">
        <v>2</v>
      </c>
      <c r="U4752" s="2" t="s">
        <v>123</v>
      </c>
      <c r="V4752" s="2">
        <v>1</v>
      </c>
      <c r="W4752" s="2" t="s">
        <v>80</v>
      </c>
      <c r="X4752" s="2">
        <v>12</v>
      </c>
      <c r="Y4752" s="2" t="s">
        <v>148</v>
      </c>
      <c r="Z4752" s="2">
        <v>1</v>
      </c>
      <c r="AA4752" s="2" t="s">
        <v>82</v>
      </c>
      <c r="AB4752" s="2">
        <v>9</v>
      </c>
      <c r="AC4752" s="2" t="s">
        <v>124</v>
      </c>
      <c r="AD4752" s="3">
        <v>40499</v>
      </c>
      <c r="AE4752" s="2"/>
      <c r="AF4752" s="2"/>
      <c r="AG4752" s="2"/>
      <c r="AH4752" s="2">
        <v>3</v>
      </c>
      <c r="AI4752" s="2" t="s">
        <v>214</v>
      </c>
      <c r="AJ4752" s="2">
        <v>23</v>
      </c>
      <c r="AK4752" s="2" t="s">
        <v>851</v>
      </c>
      <c r="AL4752" s="2">
        <v>19</v>
      </c>
      <c r="AM4752" s="2" t="s">
        <v>107</v>
      </c>
      <c r="AN4752" s="2" t="s">
        <v>107</v>
      </c>
      <c r="AO4752" s="2" t="s">
        <v>107</v>
      </c>
      <c r="AP4752" s="2">
        <v>11</v>
      </c>
      <c r="AQ4752" s="2" t="s">
        <v>82</v>
      </c>
      <c r="AR4752" s="2"/>
      <c r="AS4752" s="2"/>
      <c r="AT4752" s="2" t="s">
        <v>14690</v>
      </c>
      <c r="AU4752" s="2"/>
      <c r="AV4752" s="2"/>
      <c r="AW4752" s="2"/>
      <c r="AX4752" s="2"/>
      <c r="AY4752" s="2">
        <v>70</v>
      </c>
      <c r="AZ4752" s="2" t="s">
        <v>236</v>
      </c>
      <c r="BA4752" s="2">
        <v>41</v>
      </c>
      <c r="BB4752" s="2" t="s">
        <v>82</v>
      </c>
      <c r="BC4752" s="2">
        <v>41</v>
      </c>
      <c r="BD4752" s="2" t="s">
        <v>82</v>
      </c>
      <c r="BE4752" s="2">
        <v>41</v>
      </c>
      <c r="BF4752" s="2" t="s">
        <v>82</v>
      </c>
      <c r="BG4752" s="2"/>
      <c r="BH4752" s="2"/>
      <c r="BI4752" s="2"/>
      <c r="BJ4752" s="2">
        <v>241</v>
      </c>
      <c r="BK4752" s="2" t="s">
        <v>82</v>
      </c>
      <c r="BL4752" s="2"/>
      <c r="BM4752" s="2">
        <v>241</v>
      </c>
      <c r="BN4752" s="2" t="s">
        <v>82</v>
      </c>
      <c r="BO4752" s="2"/>
      <c r="BP4752" s="2">
        <v>241</v>
      </c>
      <c r="BQ4752" s="2" t="s">
        <v>82</v>
      </c>
      <c r="BR4752" s="2"/>
      <c r="BS4752" s="3">
        <v>40501</v>
      </c>
      <c r="BT4752" s="4">
        <v>0.44520833333333337</v>
      </c>
    </row>
    <row r="4753" spans="1:72" x14ac:dyDescent="0.25">
      <c r="A4753" s="2">
        <v>7357</v>
      </c>
      <c r="B4753" s="2">
        <v>2010</v>
      </c>
      <c r="C4753" s="2" t="s">
        <v>819</v>
      </c>
      <c r="D4753" s="2" t="s">
        <v>122</v>
      </c>
      <c r="E4753" s="2" t="s">
        <v>14691</v>
      </c>
      <c r="F4753" s="2">
        <v>425</v>
      </c>
      <c r="G4753" s="2" t="s">
        <v>286</v>
      </c>
      <c r="H4753" s="2">
        <v>39</v>
      </c>
      <c r="I4753" s="2" t="s">
        <v>1117</v>
      </c>
      <c r="J4753" s="2">
        <v>310</v>
      </c>
      <c r="K4753" s="2" t="s">
        <v>288</v>
      </c>
      <c r="L4753" s="2" t="s">
        <v>289</v>
      </c>
      <c r="M4753" s="3">
        <v>40501</v>
      </c>
      <c r="N4753" s="2" t="s">
        <v>2049</v>
      </c>
      <c r="O4753" s="2"/>
      <c r="P4753" s="2"/>
      <c r="Q4753" s="2" t="str">
        <f>"111/10"</f>
        <v>111/10</v>
      </c>
      <c r="R4753" s="2"/>
      <c r="S4753" s="2" t="s">
        <v>822</v>
      </c>
      <c r="T4753" s="2">
        <v>1</v>
      </c>
      <c r="U4753" s="2" t="s">
        <v>79</v>
      </c>
      <c r="V4753" s="2">
        <v>1</v>
      </c>
      <c r="W4753" s="2" t="s">
        <v>80</v>
      </c>
      <c r="X4753" s="2">
        <v>1</v>
      </c>
      <c r="Y4753" s="2" t="s">
        <v>81</v>
      </c>
      <c r="Z4753" s="2">
        <v>10</v>
      </c>
      <c r="AA4753" s="2" t="s">
        <v>236</v>
      </c>
      <c r="AB4753" s="2">
        <v>9</v>
      </c>
      <c r="AC4753" s="2" t="s">
        <v>124</v>
      </c>
      <c r="AD4753" s="3">
        <v>40500</v>
      </c>
      <c r="AE4753" s="4">
        <v>0.90277777777777779</v>
      </c>
      <c r="AF4753" s="3">
        <v>40500</v>
      </c>
      <c r="AG4753" s="4">
        <v>0.90277777777777779</v>
      </c>
      <c r="AH4753" s="2">
        <v>4</v>
      </c>
      <c r="AI4753" s="2" t="s">
        <v>125</v>
      </c>
      <c r="AJ4753" s="2">
        <v>29</v>
      </c>
      <c r="AK4753" s="2" t="s">
        <v>227</v>
      </c>
      <c r="AL4753" s="2">
        <v>10</v>
      </c>
      <c r="AM4753" s="2" t="s">
        <v>200</v>
      </c>
      <c r="AN4753" s="2" t="s">
        <v>1015</v>
      </c>
      <c r="AO4753" s="2" t="s">
        <v>6863</v>
      </c>
      <c r="AP4753" s="2">
        <v>12</v>
      </c>
      <c r="AQ4753" s="2" t="s">
        <v>322</v>
      </c>
      <c r="AR4753" s="2" t="s">
        <v>824</v>
      </c>
      <c r="AS4753" s="2" t="s">
        <v>825</v>
      </c>
      <c r="AT4753" s="2" t="s">
        <v>14692</v>
      </c>
      <c r="AU4753" s="2"/>
      <c r="AV4753" s="2"/>
      <c r="AW4753" s="2"/>
      <c r="AX4753" s="2"/>
      <c r="AY4753" s="2">
        <v>41</v>
      </c>
      <c r="AZ4753" s="2" t="s">
        <v>82</v>
      </c>
      <c r="BA4753" s="2">
        <v>41</v>
      </c>
      <c r="BB4753" s="2" t="s">
        <v>82</v>
      </c>
      <c r="BC4753" s="2">
        <v>51</v>
      </c>
      <c r="BD4753" s="2" t="s">
        <v>827</v>
      </c>
      <c r="BE4753" s="2">
        <v>13</v>
      </c>
      <c r="BF4753" s="2" t="s">
        <v>108</v>
      </c>
      <c r="BG4753" s="2">
        <v>1459</v>
      </c>
      <c r="BH4753" s="4">
        <v>0.90277777777777779</v>
      </c>
      <c r="BI4753" s="4">
        <v>0.9375</v>
      </c>
      <c r="BJ4753" s="2">
        <v>13</v>
      </c>
      <c r="BK4753" s="2" t="s">
        <v>91</v>
      </c>
      <c r="BL4753" s="2" t="s">
        <v>828</v>
      </c>
      <c r="BM4753" s="2">
        <v>13</v>
      </c>
      <c r="BN4753" s="2" t="s">
        <v>91</v>
      </c>
      <c r="BO4753" s="2"/>
      <c r="BP4753" s="2">
        <v>13</v>
      </c>
      <c r="BQ4753" s="2" t="s">
        <v>91</v>
      </c>
      <c r="BR4753" s="2" t="s">
        <v>185</v>
      </c>
      <c r="BS4753" s="3">
        <v>40501</v>
      </c>
      <c r="BT4753" s="4">
        <v>0.49664351851851851</v>
      </c>
    </row>
    <row r="4754" spans="1:72" x14ac:dyDescent="0.25">
      <c r="A4754" s="2">
        <v>7363</v>
      </c>
      <c r="B4754" s="2">
        <v>2010</v>
      </c>
      <c r="C4754" s="2" t="s">
        <v>147</v>
      </c>
      <c r="D4754" s="2" t="s">
        <v>73</v>
      </c>
      <c r="E4754" s="2"/>
      <c r="F4754" s="2">
        <v>1</v>
      </c>
      <c r="G4754" s="2" t="s">
        <v>82</v>
      </c>
      <c r="H4754" s="2">
        <v>1</v>
      </c>
      <c r="I4754" s="2" t="s">
        <v>82</v>
      </c>
      <c r="J4754" s="2">
        <v>1</v>
      </c>
      <c r="K4754" s="2" t="s">
        <v>107</v>
      </c>
      <c r="L4754" s="2" t="s">
        <v>107</v>
      </c>
      <c r="M4754" s="3">
        <v>40501</v>
      </c>
      <c r="N4754" s="2"/>
      <c r="O4754" s="2"/>
      <c r="P4754" s="2"/>
      <c r="Q4754" s="2" t="str">
        <f>"0011/2010"</f>
        <v>0011/2010</v>
      </c>
      <c r="R4754" s="2"/>
      <c r="S4754" s="2"/>
      <c r="T4754" s="2">
        <v>2</v>
      </c>
      <c r="U4754" s="2" t="s">
        <v>123</v>
      </c>
      <c r="V4754" s="2">
        <v>1</v>
      </c>
      <c r="W4754" s="2" t="s">
        <v>80</v>
      </c>
      <c r="X4754" s="2">
        <v>12</v>
      </c>
      <c r="Y4754" s="2" t="s">
        <v>148</v>
      </c>
      <c r="Z4754" s="2">
        <v>1</v>
      </c>
      <c r="AA4754" s="2" t="s">
        <v>82</v>
      </c>
      <c r="AB4754" s="2">
        <v>9</v>
      </c>
      <c r="AC4754" s="2" t="s">
        <v>124</v>
      </c>
      <c r="AD4754" s="3">
        <v>40500</v>
      </c>
      <c r="AE4754" s="2"/>
      <c r="AF4754" s="3">
        <v>40501</v>
      </c>
      <c r="AG4754" s="4">
        <v>0.45833333333333331</v>
      </c>
      <c r="AH4754" s="2">
        <v>5</v>
      </c>
      <c r="AI4754" s="2" t="s">
        <v>274</v>
      </c>
      <c r="AJ4754" s="2">
        <v>41</v>
      </c>
      <c r="AK4754" s="2" t="s">
        <v>2751</v>
      </c>
      <c r="AL4754" s="2">
        <v>23</v>
      </c>
      <c r="AM4754" s="2" t="s">
        <v>251</v>
      </c>
      <c r="AN4754" s="2"/>
      <c r="AO4754" s="2" t="s">
        <v>14693</v>
      </c>
      <c r="AP4754" s="2">
        <v>11</v>
      </c>
      <c r="AQ4754" s="2" t="s">
        <v>82</v>
      </c>
      <c r="AR4754" s="2"/>
      <c r="AS4754" s="2"/>
      <c r="AT4754" s="2" t="s">
        <v>14694</v>
      </c>
      <c r="AU4754" s="2"/>
      <c r="AV4754" s="2"/>
      <c r="AW4754" s="2"/>
      <c r="AX4754" s="2"/>
      <c r="AY4754" s="2">
        <v>41</v>
      </c>
      <c r="AZ4754" s="2" t="s">
        <v>82</v>
      </c>
      <c r="BA4754" s="2">
        <v>41</v>
      </c>
      <c r="BB4754" s="2" t="s">
        <v>82</v>
      </c>
      <c r="BC4754" s="2">
        <v>41</v>
      </c>
      <c r="BD4754" s="2" t="s">
        <v>82</v>
      </c>
      <c r="BE4754" s="2">
        <v>41</v>
      </c>
      <c r="BF4754" s="2" t="s">
        <v>82</v>
      </c>
      <c r="BG4754" s="2"/>
      <c r="BH4754" s="2"/>
      <c r="BI4754" s="2"/>
      <c r="BJ4754" s="2">
        <v>241</v>
      </c>
      <c r="BK4754" s="2" t="s">
        <v>82</v>
      </c>
      <c r="BL4754" s="2"/>
      <c r="BM4754" s="2">
        <v>241</v>
      </c>
      <c r="BN4754" s="2" t="s">
        <v>82</v>
      </c>
      <c r="BO4754" s="2"/>
      <c r="BP4754" s="2">
        <v>241</v>
      </c>
      <c r="BQ4754" s="2" t="s">
        <v>82</v>
      </c>
      <c r="BR4754" s="2"/>
      <c r="BS4754" s="3">
        <v>40501</v>
      </c>
      <c r="BT4754" s="4">
        <v>0.56940972222222219</v>
      </c>
    </row>
    <row r="4755" spans="1:72" x14ac:dyDescent="0.25">
      <c r="A4755" s="2">
        <v>7364</v>
      </c>
      <c r="B4755" s="2">
        <v>2010</v>
      </c>
      <c r="C4755" s="2" t="s">
        <v>121</v>
      </c>
      <c r="D4755" s="2" t="s">
        <v>122</v>
      </c>
      <c r="E4755" s="2"/>
      <c r="F4755" s="2">
        <v>1</v>
      </c>
      <c r="G4755" s="2" t="s">
        <v>82</v>
      </c>
      <c r="H4755" s="2">
        <v>1</v>
      </c>
      <c r="I4755" s="2" t="s">
        <v>82</v>
      </c>
      <c r="J4755" s="2">
        <v>1</v>
      </c>
      <c r="K4755" s="2" t="s">
        <v>107</v>
      </c>
      <c r="L4755" s="2" t="s">
        <v>107</v>
      </c>
      <c r="M4755" s="3">
        <v>40501</v>
      </c>
      <c r="N4755" s="2"/>
      <c r="O4755" s="2"/>
      <c r="P4755" s="2"/>
      <c r="Q4755" s="2" t="str">
        <f>""</f>
        <v/>
      </c>
      <c r="R4755" s="2"/>
      <c r="S4755" s="2"/>
      <c r="T4755" s="2">
        <v>2</v>
      </c>
      <c r="U4755" s="2" t="s">
        <v>123</v>
      </c>
      <c r="V4755" s="2">
        <v>1</v>
      </c>
      <c r="W4755" s="2" t="s">
        <v>80</v>
      </c>
      <c r="X4755" s="2">
        <v>11</v>
      </c>
      <c r="Y4755" s="2" t="s">
        <v>1920</v>
      </c>
      <c r="Z4755" s="2">
        <v>1</v>
      </c>
      <c r="AA4755" s="2" t="s">
        <v>82</v>
      </c>
      <c r="AB4755" s="2">
        <v>9</v>
      </c>
      <c r="AC4755" s="2" t="s">
        <v>124</v>
      </c>
      <c r="AD4755" s="3">
        <v>40501</v>
      </c>
      <c r="AE4755" s="4">
        <v>0.42708333333333331</v>
      </c>
      <c r="AF4755" s="2"/>
      <c r="AG4755" s="2"/>
      <c r="AH4755" s="2">
        <v>3</v>
      </c>
      <c r="AI4755" s="2" t="s">
        <v>214</v>
      </c>
      <c r="AJ4755" s="2">
        <v>20</v>
      </c>
      <c r="AK4755" s="2" t="s">
        <v>1897</v>
      </c>
      <c r="AL4755" s="2">
        <v>19</v>
      </c>
      <c r="AM4755" s="2" t="s">
        <v>107</v>
      </c>
      <c r="AN4755" s="2"/>
      <c r="AO4755" s="2"/>
      <c r="AP4755" s="2">
        <v>11</v>
      </c>
      <c r="AQ4755" s="2" t="s">
        <v>82</v>
      </c>
      <c r="AR4755" s="2"/>
      <c r="AS4755" s="2"/>
      <c r="AT4755" s="2" t="s">
        <v>14695</v>
      </c>
      <c r="AU4755" s="2"/>
      <c r="AV4755" s="2"/>
      <c r="AW4755" s="2"/>
      <c r="AX4755" s="2"/>
      <c r="AY4755" s="2">
        <v>41</v>
      </c>
      <c r="AZ4755" s="2" t="s">
        <v>82</v>
      </c>
      <c r="BA4755" s="2">
        <v>41</v>
      </c>
      <c r="BB4755" s="2" t="s">
        <v>82</v>
      </c>
      <c r="BC4755" s="2">
        <v>41</v>
      </c>
      <c r="BD4755" s="2" t="s">
        <v>82</v>
      </c>
      <c r="BE4755" s="2">
        <v>41</v>
      </c>
      <c r="BF4755" s="2" t="s">
        <v>82</v>
      </c>
      <c r="BG4755" s="2" t="s">
        <v>14696</v>
      </c>
      <c r="BH4755" s="4">
        <v>0.47222222222222227</v>
      </c>
      <c r="BI4755" s="4">
        <v>0.42708333333333331</v>
      </c>
      <c r="BJ4755" s="2">
        <v>13</v>
      </c>
      <c r="BK4755" s="2" t="s">
        <v>91</v>
      </c>
      <c r="BL4755" s="2" t="s">
        <v>2844</v>
      </c>
      <c r="BM4755" s="2">
        <v>241</v>
      </c>
      <c r="BN4755" s="2" t="s">
        <v>82</v>
      </c>
      <c r="BO4755" s="2"/>
      <c r="BP4755" s="2">
        <v>13</v>
      </c>
      <c r="BQ4755" s="2" t="s">
        <v>91</v>
      </c>
      <c r="BR4755" s="2" t="s">
        <v>185</v>
      </c>
      <c r="BS4755" s="3">
        <v>40501</v>
      </c>
      <c r="BT4755" s="4">
        <v>0.57184027777777779</v>
      </c>
    </row>
    <row r="4756" spans="1:72" x14ac:dyDescent="0.25">
      <c r="A4756" s="2">
        <v>7367</v>
      </c>
      <c r="B4756" s="2">
        <v>2010</v>
      </c>
      <c r="C4756" s="2" t="s">
        <v>93</v>
      </c>
      <c r="D4756" s="2" t="s">
        <v>73</v>
      </c>
      <c r="E4756" s="2"/>
      <c r="F4756" s="2">
        <v>132</v>
      </c>
      <c r="G4756" s="2" t="s">
        <v>14697</v>
      </c>
      <c r="H4756" s="2">
        <v>22</v>
      </c>
      <c r="I4756" s="2" t="s">
        <v>75</v>
      </c>
      <c r="J4756" s="2">
        <v>148</v>
      </c>
      <c r="K4756" s="2" t="s">
        <v>14698</v>
      </c>
      <c r="L4756" s="2" t="s">
        <v>953</v>
      </c>
      <c r="M4756" s="3">
        <v>40501</v>
      </c>
      <c r="N4756" s="2" t="s">
        <v>14699</v>
      </c>
      <c r="O4756" s="2" t="s">
        <v>14700</v>
      </c>
      <c r="P4756" s="2" t="s">
        <v>14701</v>
      </c>
      <c r="Q4756" s="2" t="str">
        <f>"GDE_AP_0065_10_"</f>
        <v>GDE_AP_0065_10_</v>
      </c>
      <c r="R4756" s="2" t="s">
        <v>4154</v>
      </c>
      <c r="S4756" s="2"/>
      <c r="T4756" s="2">
        <v>1</v>
      </c>
      <c r="U4756" s="2" t="s">
        <v>79</v>
      </c>
      <c r="V4756" s="2">
        <v>1</v>
      </c>
      <c r="W4756" s="2" t="s">
        <v>80</v>
      </c>
      <c r="X4756" s="2">
        <v>1</v>
      </c>
      <c r="Y4756" s="2" t="s">
        <v>81</v>
      </c>
      <c r="Z4756" s="2">
        <v>1</v>
      </c>
      <c r="AA4756" s="2" t="s">
        <v>82</v>
      </c>
      <c r="AB4756" s="2">
        <v>2</v>
      </c>
      <c r="AC4756" s="2" t="s">
        <v>102</v>
      </c>
      <c r="AD4756" s="3">
        <v>40501</v>
      </c>
      <c r="AE4756" s="4">
        <v>0.57638888888888895</v>
      </c>
      <c r="AF4756" s="2"/>
      <c r="AG4756" s="2"/>
      <c r="AH4756" s="2">
        <v>6</v>
      </c>
      <c r="AI4756" s="2" t="s">
        <v>197</v>
      </c>
      <c r="AJ4756" s="2">
        <v>61</v>
      </c>
      <c r="AK4756" s="2" t="s">
        <v>686</v>
      </c>
      <c r="AL4756" s="2">
        <v>11</v>
      </c>
      <c r="AM4756" s="2" t="s">
        <v>137</v>
      </c>
      <c r="AN4756" s="2" t="s">
        <v>82</v>
      </c>
      <c r="AO4756" s="2" t="s">
        <v>10629</v>
      </c>
      <c r="AP4756" s="2">
        <v>11</v>
      </c>
      <c r="AQ4756" s="2" t="s">
        <v>82</v>
      </c>
      <c r="AR4756" s="2" t="s">
        <v>82</v>
      </c>
      <c r="AS4756" s="2" t="s">
        <v>82</v>
      </c>
      <c r="AT4756" s="2" t="s">
        <v>14702</v>
      </c>
      <c r="AU4756" s="2"/>
      <c r="AV4756" s="2"/>
      <c r="AW4756" s="2"/>
      <c r="AX4756" s="2"/>
      <c r="AY4756" s="2">
        <v>41</v>
      </c>
      <c r="AZ4756" s="2" t="s">
        <v>82</v>
      </c>
      <c r="BA4756" s="2">
        <v>41</v>
      </c>
      <c r="BB4756" s="2" t="s">
        <v>82</v>
      </c>
      <c r="BC4756" s="2">
        <v>41</v>
      </c>
      <c r="BD4756" s="2" t="s">
        <v>82</v>
      </c>
      <c r="BE4756" s="2">
        <v>47</v>
      </c>
      <c r="BF4756" s="2" t="s">
        <v>167</v>
      </c>
      <c r="BG4756" s="2" t="s">
        <v>689</v>
      </c>
      <c r="BH4756" s="2"/>
      <c r="BI4756" s="4">
        <v>0.59722222222222221</v>
      </c>
      <c r="BJ4756" s="2">
        <v>13</v>
      </c>
      <c r="BK4756" s="2" t="s">
        <v>91</v>
      </c>
      <c r="BL4756" s="2" t="s">
        <v>690</v>
      </c>
      <c r="BM4756" s="2">
        <v>13</v>
      </c>
      <c r="BN4756" s="2" t="s">
        <v>91</v>
      </c>
      <c r="BO4756" s="2"/>
      <c r="BP4756" s="2">
        <v>13</v>
      </c>
      <c r="BQ4756" s="2" t="s">
        <v>91</v>
      </c>
      <c r="BR4756" s="2" t="s">
        <v>360</v>
      </c>
      <c r="BS4756" s="3">
        <v>40501</v>
      </c>
      <c r="BT4756" s="4">
        <v>0.65667824074074077</v>
      </c>
    </row>
    <row r="4757" spans="1:72" x14ac:dyDescent="0.25">
      <c r="A4757" s="2">
        <v>7368</v>
      </c>
      <c r="B4757" s="2">
        <v>2010</v>
      </c>
      <c r="C4757" s="2" t="s">
        <v>4543</v>
      </c>
      <c r="D4757" s="2" t="s">
        <v>122</v>
      </c>
      <c r="E4757" s="2"/>
      <c r="F4757" s="2">
        <v>136</v>
      </c>
      <c r="G4757" s="2" t="s">
        <v>6724</v>
      </c>
      <c r="H4757" s="2">
        <v>22</v>
      </c>
      <c r="I4757" s="2" t="s">
        <v>75</v>
      </c>
      <c r="J4757" s="2">
        <v>714</v>
      </c>
      <c r="K4757" s="2" t="s">
        <v>14703</v>
      </c>
      <c r="L4757" s="2" t="s">
        <v>132</v>
      </c>
      <c r="M4757" s="3">
        <v>40501</v>
      </c>
      <c r="N4757" s="2" t="s">
        <v>14704</v>
      </c>
      <c r="O4757" s="2" t="s">
        <v>14705</v>
      </c>
      <c r="P4757" s="2" t="s">
        <v>14706</v>
      </c>
      <c r="Q4757" s="2" t="str">
        <f>"N/C"</f>
        <v>N/C</v>
      </c>
      <c r="R4757" s="2" t="s">
        <v>82</v>
      </c>
      <c r="S4757" s="2" t="s">
        <v>82</v>
      </c>
      <c r="T4757" s="2">
        <v>2</v>
      </c>
      <c r="U4757" s="2" t="s">
        <v>123</v>
      </c>
      <c r="V4757" s="2">
        <v>1</v>
      </c>
      <c r="W4757" s="2" t="s">
        <v>80</v>
      </c>
      <c r="X4757" s="2">
        <v>1</v>
      </c>
      <c r="Y4757" s="2" t="s">
        <v>81</v>
      </c>
      <c r="Z4757" s="2">
        <v>10</v>
      </c>
      <c r="AA4757" s="2" t="s">
        <v>236</v>
      </c>
      <c r="AB4757" s="2">
        <v>9</v>
      </c>
      <c r="AC4757" s="2" t="s">
        <v>124</v>
      </c>
      <c r="AD4757" s="3">
        <v>40501</v>
      </c>
      <c r="AE4757" s="4">
        <v>0.58333333333333337</v>
      </c>
      <c r="AF4757" s="2"/>
      <c r="AG4757" s="2"/>
      <c r="AH4757" s="2">
        <v>6</v>
      </c>
      <c r="AI4757" s="2" t="s">
        <v>197</v>
      </c>
      <c r="AJ4757" s="2">
        <v>60</v>
      </c>
      <c r="AK4757" s="2" t="s">
        <v>543</v>
      </c>
      <c r="AL4757" s="2">
        <v>11</v>
      </c>
      <c r="AM4757" s="2" t="s">
        <v>137</v>
      </c>
      <c r="AN4757" s="2" t="s">
        <v>82</v>
      </c>
      <c r="AO4757" s="2" t="s">
        <v>5183</v>
      </c>
      <c r="AP4757" s="2">
        <v>11</v>
      </c>
      <c r="AQ4757" s="2" t="s">
        <v>82</v>
      </c>
      <c r="AR4757" s="2"/>
      <c r="AS4757" s="2"/>
      <c r="AT4757" s="2" t="s">
        <v>14707</v>
      </c>
      <c r="AU4757" s="2"/>
      <c r="AV4757" s="2"/>
      <c r="AW4757" s="2"/>
      <c r="AX4757" s="2"/>
      <c r="AY4757" s="2">
        <v>41</v>
      </c>
      <c r="AZ4757" s="2" t="s">
        <v>82</v>
      </c>
      <c r="BA4757" s="2">
        <v>41</v>
      </c>
      <c r="BB4757" s="2" t="s">
        <v>82</v>
      </c>
      <c r="BC4757" s="2">
        <v>41</v>
      </c>
      <c r="BD4757" s="2" t="s">
        <v>82</v>
      </c>
      <c r="BE4757" s="2">
        <v>4</v>
      </c>
      <c r="BF4757" s="2" t="s">
        <v>90</v>
      </c>
      <c r="BG4757" s="2">
        <v>4443</v>
      </c>
      <c r="BH4757" s="4">
        <v>0.56944444444444442</v>
      </c>
      <c r="BI4757" s="4">
        <v>0.60416666666666663</v>
      </c>
      <c r="BJ4757" s="2">
        <v>13</v>
      </c>
      <c r="BK4757" s="2" t="s">
        <v>91</v>
      </c>
      <c r="BL4757" s="2" t="s">
        <v>895</v>
      </c>
      <c r="BM4757" s="2">
        <v>13</v>
      </c>
      <c r="BN4757" s="2" t="s">
        <v>91</v>
      </c>
      <c r="BO4757" s="2"/>
      <c r="BP4757" s="2">
        <v>13</v>
      </c>
      <c r="BQ4757" s="2" t="s">
        <v>91</v>
      </c>
      <c r="BR4757" s="2" t="s">
        <v>185</v>
      </c>
      <c r="BS4757" s="3">
        <v>40501</v>
      </c>
      <c r="BT4757" s="4">
        <v>0.69862268518518522</v>
      </c>
    </row>
    <row r="4758" spans="1:72" x14ac:dyDescent="0.25">
      <c r="A4758" s="2">
        <v>7369</v>
      </c>
      <c r="B4758" s="2">
        <v>2010</v>
      </c>
      <c r="C4758" s="2" t="s">
        <v>1559</v>
      </c>
      <c r="D4758" s="2" t="s">
        <v>73</v>
      </c>
      <c r="E4758" s="2" t="s">
        <v>14708</v>
      </c>
      <c r="F4758" s="2">
        <v>135</v>
      </c>
      <c r="G4758" s="2" t="s">
        <v>2170</v>
      </c>
      <c r="H4758" s="2">
        <v>22</v>
      </c>
      <c r="I4758" s="2" t="s">
        <v>75</v>
      </c>
      <c r="J4758" s="2">
        <v>152</v>
      </c>
      <c r="K4758" s="2" t="s">
        <v>2171</v>
      </c>
      <c r="L4758" s="2" t="s">
        <v>946</v>
      </c>
      <c r="M4758" s="3">
        <v>40501</v>
      </c>
      <c r="N4758" s="2"/>
      <c r="O4758" s="2" t="s">
        <v>14709</v>
      </c>
      <c r="P4758" s="2" t="s">
        <v>6788</v>
      </c>
      <c r="Q4758" s="2" t="str">
        <f>""</f>
        <v/>
      </c>
      <c r="R4758" s="2"/>
      <c r="S4758" s="2"/>
      <c r="T4758" s="2">
        <v>1</v>
      </c>
      <c r="U4758" s="2" t="s">
        <v>79</v>
      </c>
      <c r="V4758" s="2">
        <v>3</v>
      </c>
      <c r="W4758" s="2" t="s">
        <v>225</v>
      </c>
      <c r="X4758" s="2">
        <v>6</v>
      </c>
      <c r="Y4758" s="2" t="s">
        <v>249</v>
      </c>
      <c r="Z4758" s="2">
        <v>1</v>
      </c>
      <c r="AA4758" s="2" t="s">
        <v>82</v>
      </c>
      <c r="AB4758" s="2">
        <v>9</v>
      </c>
      <c r="AC4758" s="2" t="s">
        <v>124</v>
      </c>
      <c r="AD4758" s="3">
        <v>40501</v>
      </c>
      <c r="AE4758" s="4">
        <v>0.65694444444444444</v>
      </c>
      <c r="AF4758" s="2"/>
      <c r="AG4758" s="2"/>
      <c r="AH4758" s="2">
        <v>6</v>
      </c>
      <c r="AI4758" s="2" t="s">
        <v>197</v>
      </c>
      <c r="AJ4758" s="2">
        <v>47</v>
      </c>
      <c r="AK4758" s="2" t="s">
        <v>250</v>
      </c>
      <c r="AL4758" s="2">
        <v>23</v>
      </c>
      <c r="AM4758" s="2" t="s">
        <v>251</v>
      </c>
      <c r="AN4758" s="2"/>
      <c r="AO4758" s="2" t="s">
        <v>11855</v>
      </c>
      <c r="AP4758" s="2">
        <v>11</v>
      </c>
      <c r="AQ4758" s="2" t="s">
        <v>82</v>
      </c>
      <c r="AR4758" s="2"/>
      <c r="AS4758" s="2"/>
      <c r="AT4758" s="2" t="s">
        <v>14710</v>
      </c>
      <c r="AU4758" s="2"/>
      <c r="AV4758" s="2"/>
      <c r="AW4758" s="2"/>
      <c r="AX4758" s="2"/>
      <c r="AY4758" s="2">
        <v>41</v>
      </c>
      <c r="AZ4758" s="2" t="s">
        <v>82</v>
      </c>
      <c r="BA4758" s="2">
        <v>41</v>
      </c>
      <c r="BB4758" s="2" t="s">
        <v>82</v>
      </c>
      <c r="BC4758" s="2">
        <v>41</v>
      </c>
      <c r="BD4758" s="2" t="s">
        <v>82</v>
      </c>
      <c r="BE4758" s="2">
        <v>41</v>
      </c>
      <c r="BF4758" s="2" t="s">
        <v>82</v>
      </c>
      <c r="BG4758" s="2"/>
      <c r="BH4758" s="2"/>
      <c r="BI4758" s="2"/>
      <c r="BJ4758" s="2">
        <v>241</v>
      </c>
      <c r="BK4758" s="2" t="s">
        <v>82</v>
      </c>
      <c r="BL4758" s="2"/>
      <c r="BM4758" s="2">
        <v>241</v>
      </c>
      <c r="BN4758" s="2" t="s">
        <v>82</v>
      </c>
      <c r="BO4758" s="2"/>
      <c r="BP4758" s="2">
        <v>241</v>
      </c>
      <c r="BQ4758" s="2" t="s">
        <v>82</v>
      </c>
      <c r="BR4758" s="2"/>
      <c r="BS4758" s="3">
        <v>40501</v>
      </c>
      <c r="BT4758" s="4">
        <v>0.70097222222222222</v>
      </c>
    </row>
    <row r="4759" spans="1:72" x14ac:dyDescent="0.25">
      <c r="A4759" s="2">
        <v>7370</v>
      </c>
      <c r="B4759" s="2">
        <v>2010</v>
      </c>
      <c r="C4759" s="2" t="s">
        <v>72</v>
      </c>
      <c r="D4759" s="2" t="s">
        <v>73</v>
      </c>
      <c r="E4759" s="2"/>
      <c r="F4759" s="2">
        <v>390</v>
      </c>
      <c r="G4759" s="2" t="s">
        <v>475</v>
      </c>
      <c r="H4759" s="2">
        <v>5</v>
      </c>
      <c r="I4759" s="2" t="s">
        <v>634</v>
      </c>
      <c r="J4759" s="2">
        <v>314</v>
      </c>
      <c r="K4759" s="2" t="s">
        <v>477</v>
      </c>
      <c r="L4759" s="2" t="s">
        <v>478</v>
      </c>
      <c r="M4759" s="3">
        <v>40501</v>
      </c>
      <c r="N4759" s="2" t="s">
        <v>3103</v>
      </c>
      <c r="O4759" s="2"/>
      <c r="P4759" s="2"/>
      <c r="Q4759" s="2" t="str">
        <f>"615-E/10"</f>
        <v>615-E/10</v>
      </c>
      <c r="R4759" s="2" t="s">
        <v>480</v>
      </c>
      <c r="S4759" s="2"/>
      <c r="T4759" s="2">
        <v>1</v>
      </c>
      <c r="U4759" s="2" t="s">
        <v>79</v>
      </c>
      <c r="V4759" s="2">
        <v>1</v>
      </c>
      <c r="W4759" s="2" t="s">
        <v>80</v>
      </c>
      <c r="X4759" s="2">
        <v>1</v>
      </c>
      <c r="Y4759" s="2" t="s">
        <v>81</v>
      </c>
      <c r="Z4759" s="2">
        <v>1</v>
      </c>
      <c r="AA4759" s="2" t="s">
        <v>82</v>
      </c>
      <c r="AB4759" s="2">
        <v>6</v>
      </c>
      <c r="AC4759" s="2" t="s">
        <v>83</v>
      </c>
      <c r="AD4759" s="3">
        <v>40500</v>
      </c>
      <c r="AE4759" s="2"/>
      <c r="AF4759" s="3">
        <v>40501</v>
      </c>
      <c r="AG4759" s="4">
        <v>2.7777777777777776E-2</v>
      </c>
      <c r="AH4759" s="2">
        <v>2</v>
      </c>
      <c r="AI4759" s="2" t="s">
        <v>84</v>
      </c>
      <c r="AJ4759" s="2">
        <v>9</v>
      </c>
      <c r="AK4759" s="2" t="s">
        <v>103</v>
      </c>
      <c r="AL4759" s="2">
        <v>22</v>
      </c>
      <c r="AM4759" s="2" t="s">
        <v>1853</v>
      </c>
      <c r="AN4759" s="2" t="s">
        <v>14711</v>
      </c>
      <c r="AO4759" s="2" t="s">
        <v>10387</v>
      </c>
      <c r="AP4759" s="2">
        <v>11</v>
      </c>
      <c r="AQ4759" s="2" t="s">
        <v>82</v>
      </c>
      <c r="AR4759" s="2"/>
      <c r="AS4759" s="2"/>
      <c r="AT4759" s="2" t="s">
        <v>14712</v>
      </c>
      <c r="AU4759" s="2"/>
      <c r="AV4759" s="2"/>
      <c r="AW4759" s="2"/>
      <c r="AX4759" s="2"/>
      <c r="AY4759" s="2">
        <v>165</v>
      </c>
      <c r="AZ4759" s="2" t="s">
        <v>14713</v>
      </c>
      <c r="BA4759" s="2">
        <v>65</v>
      </c>
      <c r="BB4759" s="2" t="s">
        <v>3652</v>
      </c>
      <c r="BC4759" s="2">
        <v>41</v>
      </c>
      <c r="BD4759" s="2" t="s">
        <v>82</v>
      </c>
      <c r="BE4759" s="2">
        <v>4</v>
      </c>
      <c r="BF4759" s="2" t="s">
        <v>90</v>
      </c>
      <c r="BG4759" s="2" t="s">
        <v>14714</v>
      </c>
      <c r="BH4759" s="4">
        <v>0.95833333333333337</v>
      </c>
      <c r="BI4759" s="2"/>
      <c r="BJ4759" s="2">
        <v>13</v>
      </c>
      <c r="BK4759" s="2" t="s">
        <v>91</v>
      </c>
      <c r="BL4759" s="2" t="s">
        <v>5117</v>
      </c>
      <c r="BM4759" s="2">
        <v>13</v>
      </c>
      <c r="BN4759" s="2" t="s">
        <v>91</v>
      </c>
      <c r="BO4759" s="2"/>
      <c r="BP4759" s="2">
        <v>13</v>
      </c>
      <c r="BQ4759" s="2" t="s">
        <v>91</v>
      </c>
      <c r="BR4759" s="2" t="s">
        <v>360</v>
      </c>
      <c r="BS4759" s="3">
        <v>40501</v>
      </c>
      <c r="BT4759" s="4">
        <v>0.71072916666666675</v>
      </c>
    </row>
    <row r="4760" spans="1:72" x14ac:dyDescent="0.25">
      <c r="A4760" s="2">
        <v>7371</v>
      </c>
      <c r="B4760" s="2">
        <v>2010</v>
      </c>
      <c r="C4760" s="2" t="s">
        <v>377</v>
      </c>
      <c r="D4760" s="2" t="s">
        <v>73</v>
      </c>
      <c r="E4760" s="2"/>
      <c r="F4760" s="2">
        <v>426</v>
      </c>
      <c r="G4760" s="2" t="s">
        <v>378</v>
      </c>
      <c r="H4760" s="2">
        <v>108</v>
      </c>
      <c r="I4760" s="2" t="s">
        <v>1096</v>
      </c>
      <c r="J4760" s="2">
        <v>311</v>
      </c>
      <c r="K4760" s="2" t="s">
        <v>379</v>
      </c>
      <c r="L4760" s="2" t="s">
        <v>380</v>
      </c>
      <c r="M4760" s="3">
        <v>40501</v>
      </c>
      <c r="N4760" s="2" t="s">
        <v>7171</v>
      </c>
      <c r="O4760" s="2"/>
      <c r="P4760" s="2"/>
      <c r="Q4760" s="2" t="str">
        <f>"290-E/10"</f>
        <v>290-E/10</v>
      </c>
      <c r="R4760" s="2" t="s">
        <v>1924</v>
      </c>
      <c r="S4760" s="2" t="s">
        <v>1924</v>
      </c>
      <c r="T4760" s="2">
        <v>1</v>
      </c>
      <c r="U4760" s="2" t="s">
        <v>79</v>
      </c>
      <c r="V4760" s="2">
        <v>1</v>
      </c>
      <c r="W4760" s="2" t="s">
        <v>80</v>
      </c>
      <c r="X4760" s="2">
        <v>1</v>
      </c>
      <c r="Y4760" s="2" t="s">
        <v>81</v>
      </c>
      <c r="Z4760" s="2">
        <v>1</v>
      </c>
      <c r="AA4760" s="2" t="s">
        <v>82</v>
      </c>
      <c r="AB4760" s="2">
        <v>9</v>
      </c>
      <c r="AC4760" s="2" t="s">
        <v>124</v>
      </c>
      <c r="AD4760" s="3">
        <v>40501</v>
      </c>
      <c r="AE4760" s="2"/>
      <c r="AF4760" s="3">
        <v>40501</v>
      </c>
      <c r="AG4760" s="4">
        <v>0.54166666666666663</v>
      </c>
      <c r="AH4760" s="2">
        <v>2</v>
      </c>
      <c r="AI4760" s="2" t="s">
        <v>84</v>
      </c>
      <c r="AJ4760" s="2">
        <v>9</v>
      </c>
      <c r="AK4760" s="2" t="s">
        <v>103</v>
      </c>
      <c r="AL4760" s="2">
        <v>29</v>
      </c>
      <c r="AM4760" s="2" t="s">
        <v>5416</v>
      </c>
      <c r="AN4760" s="2" t="s">
        <v>14715</v>
      </c>
      <c r="AO4760" s="2"/>
      <c r="AP4760" s="2">
        <v>11</v>
      </c>
      <c r="AQ4760" s="2" t="s">
        <v>82</v>
      </c>
      <c r="AR4760" s="2"/>
      <c r="AS4760" s="2"/>
      <c r="AT4760" s="2" t="s">
        <v>14716</v>
      </c>
      <c r="AU4760" s="2"/>
      <c r="AV4760" s="2"/>
      <c r="AW4760" s="2"/>
      <c r="AX4760" s="2"/>
      <c r="AY4760" s="2">
        <v>41</v>
      </c>
      <c r="AZ4760" s="2" t="s">
        <v>82</v>
      </c>
      <c r="BA4760" s="2">
        <v>41</v>
      </c>
      <c r="BB4760" s="2" t="s">
        <v>82</v>
      </c>
      <c r="BC4760" s="2">
        <v>41</v>
      </c>
      <c r="BD4760" s="2" t="s">
        <v>82</v>
      </c>
      <c r="BE4760" s="2">
        <v>41</v>
      </c>
      <c r="BF4760" s="2" t="s">
        <v>82</v>
      </c>
      <c r="BG4760" s="2"/>
      <c r="BH4760" s="2"/>
      <c r="BI4760" s="2"/>
      <c r="BJ4760" s="2">
        <v>241</v>
      </c>
      <c r="BK4760" s="2" t="s">
        <v>82</v>
      </c>
      <c r="BL4760" s="2"/>
      <c r="BM4760" s="2">
        <v>241</v>
      </c>
      <c r="BN4760" s="2" t="s">
        <v>82</v>
      </c>
      <c r="BO4760" s="2"/>
      <c r="BP4760" s="2">
        <v>241</v>
      </c>
      <c r="BQ4760" s="2" t="s">
        <v>82</v>
      </c>
      <c r="BR4760" s="2"/>
      <c r="BS4760" s="3">
        <v>40501</v>
      </c>
      <c r="BT4760" s="4">
        <v>0.7780555555555555</v>
      </c>
    </row>
    <row r="4761" spans="1:72" x14ac:dyDescent="0.25">
      <c r="A4761" s="2">
        <v>7375</v>
      </c>
      <c r="B4761" s="2">
        <v>2010</v>
      </c>
      <c r="C4761" s="2" t="s">
        <v>121</v>
      </c>
      <c r="D4761" s="2" t="s">
        <v>122</v>
      </c>
      <c r="E4761" s="2"/>
      <c r="F4761" s="2">
        <v>1</v>
      </c>
      <c r="G4761" s="2" t="s">
        <v>82</v>
      </c>
      <c r="H4761" s="2">
        <v>1</v>
      </c>
      <c r="I4761" s="2" t="s">
        <v>82</v>
      </c>
      <c r="J4761" s="2">
        <v>1</v>
      </c>
      <c r="K4761" s="2" t="s">
        <v>107</v>
      </c>
      <c r="L4761" s="2" t="s">
        <v>107</v>
      </c>
      <c r="M4761" s="3">
        <v>40502</v>
      </c>
      <c r="N4761" s="2"/>
      <c r="O4761" s="2"/>
      <c r="P4761" s="2"/>
      <c r="Q4761" s="2" t="str">
        <f>""</f>
        <v/>
      </c>
      <c r="R4761" s="2"/>
      <c r="S4761" s="2"/>
      <c r="T4761" s="2">
        <v>2</v>
      </c>
      <c r="U4761" s="2" t="s">
        <v>123</v>
      </c>
      <c r="V4761" s="2">
        <v>1</v>
      </c>
      <c r="W4761" s="2" t="s">
        <v>80</v>
      </c>
      <c r="X4761" s="2">
        <v>5</v>
      </c>
      <c r="Y4761" s="2" t="s">
        <v>82</v>
      </c>
      <c r="Z4761" s="2">
        <v>1</v>
      </c>
      <c r="AA4761" s="2" t="s">
        <v>82</v>
      </c>
      <c r="AB4761" s="2">
        <v>9</v>
      </c>
      <c r="AC4761" s="2" t="s">
        <v>124</v>
      </c>
      <c r="AD4761" s="2"/>
      <c r="AE4761" s="2"/>
      <c r="AF4761" s="2"/>
      <c r="AG4761" s="2"/>
      <c r="AH4761" s="2">
        <v>2</v>
      </c>
      <c r="AI4761" s="2" t="s">
        <v>84</v>
      </c>
      <c r="AJ4761" s="2">
        <v>112</v>
      </c>
      <c r="AK4761" s="2" t="s">
        <v>14078</v>
      </c>
      <c r="AL4761" s="2">
        <v>10</v>
      </c>
      <c r="AM4761" s="2" t="s">
        <v>200</v>
      </c>
      <c r="AN4761" s="2"/>
      <c r="AO4761" s="2" t="s">
        <v>14717</v>
      </c>
      <c r="AP4761" s="2">
        <v>11</v>
      </c>
      <c r="AQ4761" s="2" t="s">
        <v>82</v>
      </c>
      <c r="AR4761" s="2"/>
      <c r="AS4761" s="2"/>
      <c r="AT4761" s="2" t="s">
        <v>14718</v>
      </c>
      <c r="AU4761" s="2"/>
      <c r="AV4761" s="2"/>
      <c r="AW4761" s="2"/>
      <c r="AX4761" s="2"/>
      <c r="AY4761" s="2">
        <v>41</v>
      </c>
      <c r="AZ4761" s="2" t="s">
        <v>82</v>
      </c>
      <c r="BA4761" s="2">
        <v>41</v>
      </c>
      <c r="BB4761" s="2" t="s">
        <v>82</v>
      </c>
      <c r="BC4761" s="2">
        <v>41</v>
      </c>
      <c r="BD4761" s="2" t="s">
        <v>82</v>
      </c>
      <c r="BE4761" s="2">
        <v>41</v>
      </c>
      <c r="BF4761" s="2" t="s">
        <v>82</v>
      </c>
      <c r="BG4761" s="2"/>
      <c r="BH4761" s="4">
        <v>0.15069444444444444</v>
      </c>
      <c r="BI4761" s="2"/>
      <c r="BJ4761" s="2">
        <v>62</v>
      </c>
      <c r="BK4761" s="2" t="s">
        <v>1683</v>
      </c>
      <c r="BL4761" s="2"/>
      <c r="BM4761" s="2">
        <v>241</v>
      </c>
      <c r="BN4761" s="2" t="s">
        <v>82</v>
      </c>
      <c r="BO4761" s="2"/>
      <c r="BP4761" s="2">
        <v>13</v>
      </c>
      <c r="BQ4761" s="2" t="s">
        <v>91</v>
      </c>
      <c r="BR4761" s="2" t="s">
        <v>185</v>
      </c>
      <c r="BS4761" s="3">
        <v>40502</v>
      </c>
      <c r="BT4761" s="4">
        <v>0.21834490740740742</v>
      </c>
    </row>
    <row r="4762" spans="1:72" x14ac:dyDescent="0.25">
      <c r="A4762" s="2">
        <v>7376</v>
      </c>
      <c r="B4762" s="2">
        <v>2010</v>
      </c>
      <c r="C4762" s="2" t="s">
        <v>72</v>
      </c>
      <c r="D4762" s="2" t="s">
        <v>73</v>
      </c>
      <c r="E4762" s="2"/>
      <c r="F4762" s="2">
        <v>2</v>
      </c>
      <c r="G4762" s="2" t="s">
        <v>113</v>
      </c>
      <c r="H4762" s="2">
        <v>1</v>
      </c>
      <c r="I4762" s="2" t="s">
        <v>82</v>
      </c>
      <c r="J4762" s="2">
        <v>300</v>
      </c>
      <c r="K4762" s="2" t="s">
        <v>114</v>
      </c>
      <c r="L4762" s="2" t="s">
        <v>115</v>
      </c>
      <c r="M4762" s="3">
        <v>40502</v>
      </c>
      <c r="N4762" s="2" t="s">
        <v>82</v>
      </c>
      <c r="O4762" s="2"/>
      <c r="P4762" s="2"/>
      <c r="Q4762" s="2" t="str">
        <f>"616-E/10"</f>
        <v>616-E/10</v>
      </c>
      <c r="R4762" s="2" t="s">
        <v>601</v>
      </c>
      <c r="S4762" s="2" t="s">
        <v>601</v>
      </c>
      <c r="T4762" s="2">
        <v>1</v>
      </c>
      <c r="U4762" s="2" t="s">
        <v>79</v>
      </c>
      <c r="V4762" s="2">
        <v>1</v>
      </c>
      <c r="W4762" s="2" t="s">
        <v>80</v>
      </c>
      <c r="X4762" s="2">
        <v>12</v>
      </c>
      <c r="Y4762" s="2" t="s">
        <v>148</v>
      </c>
      <c r="Z4762" s="2">
        <v>1</v>
      </c>
      <c r="AA4762" s="2" t="s">
        <v>82</v>
      </c>
      <c r="AB4762" s="2">
        <v>6</v>
      </c>
      <c r="AC4762" s="2" t="s">
        <v>83</v>
      </c>
      <c r="AD4762" s="3">
        <v>40502</v>
      </c>
      <c r="AE4762" s="2"/>
      <c r="AF4762" s="3">
        <v>40502</v>
      </c>
      <c r="AG4762" s="4">
        <v>0.47916666666666669</v>
      </c>
      <c r="AH4762" s="2">
        <v>2</v>
      </c>
      <c r="AI4762" s="2" t="s">
        <v>84</v>
      </c>
      <c r="AJ4762" s="2">
        <v>9</v>
      </c>
      <c r="AK4762" s="2" t="s">
        <v>103</v>
      </c>
      <c r="AL4762" s="2">
        <v>23</v>
      </c>
      <c r="AM4762" s="2" t="s">
        <v>251</v>
      </c>
      <c r="AN4762" s="2" t="s">
        <v>14719</v>
      </c>
      <c r="AO4762" s="2" t="s">
        <v>170</v>
      </c>
      <c r="AP4762" s="2">
        <v>11</v>
      </c>
      <c r="AQ4762" s="2" t="s">
        <v>82</v>
      </c>
      <c r="AR4762" s="2"/>
      <c r="AS4762" s="2"/>
      <c r="AT4762" s="2" t="s">
        <v>14720</v>
      </c>
      <c r="AU4762" s="2"/>
      <c r="AV4762" s="2"/>
      <c r="AW4762" s="2"/>
      <c r="AX4762" s="2"/>
      <c r="AY4762" s="2">
        <v>41</v>
      </c>
      <c r="AZ4762" s="2" t="s">
        <v>82</v>
      </c>
      <c r="BA4762" s="2">
        <v>41</v>
      </c>
      <c r="BB4762" s="2" t="s">
        <v>82</v>
      </c>
      <c r="BC4762" s="2">
        <v>41</v>
      </c>
      <c r="BD4762" s="2" t="s">
        <v>82</v>
      </c>
      <c r="BE4762" s="2">
        <v>41</v>
      </c>
      <c r="BF4762" s="2" t="s">
        <v>82</v>
      </c>
      <c r="BG4762" s="2"/>
      <c r="BH4762" s="2"/>
      <c r="BI4762" s="2"/>
      <c r="BJ4762" s="2">
        <v>241</v>
      </c>
      <c r="BK4762" s="2" t="s">
        <v>82</v>
      </c>
      <c r="BL4762" s="2"/>
      <c r="BM4762" s="2">
        <v>241</v>
      </c>
      <c r="BN4762" s="2" t="s">
        <v>82</v>
      </c>
      <c r="BO4762" s="2"/>
      <c r="BP4762" s="2">
        <v>241</v>
      </c>
      <c r="BQ4762" s="2" t="s">
        <v>82</v>
      </c>
      <c r="BR4762" s="2"/>
      <c r="BS4762" s="3">
        <v>40502</v>
      </c>
      <c r="BT4762" s="4">
        <v>0.69047453703703709</v>
      </c>
    </row>
    <row r="4763" spans="1:72" x14ac:dyDescent="0.25">
      <c r="A4763" s="2">
        <v>7378</v>
      </c>
      <c r="B4763" s="2">
        <v>2010</v>
      </c>
      <c r="C4763" s="2" t="s">
        <v>72</v>
      </c>
      <c r="D4763" s="2" t="s">
        <v>73</v>
      </c>
      <c r="E4763" s="2"/>
      <c r="F4763" s="2">
        <v>390</v>
      </c>
      <c r="G4763" s="2" t="s">
        <v>475</v>
      </c>
      <c r="H4763" s="2">
        <v>5</v>
      </c>
      <c r="I4763" s="2" t="s">
        <v>634</v>
      </c>
      <c r="J4763" s="2">
        <v>533</v>
      </c>
      <c r="K4763" s="2" t="s">
        <v>6511</v>
      </c>
      <c r="L4763" s="2" t="s">
        <v>478</v>
      </c>
      <c r="M4763" s="3">
        <v>40502</v>
      </c>
      <c r="N4763" s="2" t="s">
        <v>3103</v>
      </c>
      <c r="O4763" s="2"/>
      <c r="P4763" s="2"/>
      <c r="Q4763" s="2" t="str">
        <f>"617-E/10"</f>
        <v>617-E/10</v>
      </c>
      <c r="R4763" s="2" t="s">
        <v>14721</v>
      </c>
      <c r="S4763" s="2" t="s">
        <v>14721</v>
      </c>
      <c r="T4763" s="2">
        <v>1</v>
      </c>
      <c r="U4763" s="2" t="s">
        <v>79</v>
      </c>
      <c r="V4763" s="2">
        <v>1</v>
      </c>
      <c r="W4763" s="2" t="s">
        <v>80</v>
      </c>
      <c r="X4763" s="2">
        <v>1</v>
      </c>
      <c r="Y4763" s="2" t="s">
        <v>81</v>
      </c>
      <c r="Z4763" s="2">
        <v>1</v>
      </c>
      <c r="AA4763" s="2" t="s">
        <v>82</v>
      </c>
      <c r="AB4763" s="2">
        <v>6</v>
      </c>
      <c r="AC4763" s="2" t="s">
        <v>83</v>
      </c>
      <c r="AD4763" s="3">
        <v>40499</v>
      </c>
      <c r="AE4763" s="2"/>
      <c r="AF4763" s="3">
        <v>40502</v>
      </c>
      <c r="AG4763" s="4">
        <v>0.54166666666666663</v>
      </c>
      <c r="AH4763" s="2">
        <v>2</v>
      </c>
      <c r="AI4763" s="2" t="s">
        <v>84</v>
      </c>
      <c r="AJ4763" s="2">
        <v>9</v>
      </c>
      <c r="AK4763" s="2" t="s">
        <v>103</v>
      </c>
      <c r="AL4763" s="2">
        <v>22</v>
      </c>
      <c r="AM4763" s="2" t="s">
        <v>1853</v>
      </c>
      <c r="AN4763" s="2" t="s">
        <v>14722</v>
      </c>
      <c r="AO4763" s="2" t="s">
        <v>14723</v>
      </c>
      <c r="AP4763" s="2">
        <v>5</v>
      </c>
      <c r="AQ4763" s="2" t="s">
        <v>827</v>
      </c>
      <c r="AR4763" s="2"/>
      <c r="AS4763" s="2"/>
      <c r="AT4763" s="2" t="s">
        <v>14724</v>
      </c>
      <c r="AU4763" s="2"/>
      <c r="AV4763" s="2"/>
      <c r="AW4763" s="2"/>
      <c r="AX4763" s="2"/>
      <c r="AY4763" s="2">
        <v>41</v>
      </c>
      <c r="AZ4763" s="2" t="s">
        <v>82</v>
      </c>
      <c r="BA4763" s="2">
        <v>41</v>
      </c>
      <c r="BB4763" s="2" t="s">
        <v>82</v>
      </c>
      <c r="BC4763" s="2">
        <v>41</v>
      </c>
      <c r="BD4763" s="2" t="s">
        <v>82</v>
      </c>
      <c r="BE4763" s="2">
        <v>26</v>
      </c>
      <c r="BF4763" s="2" t="s">
        <v>1999</v>
      </c>
      <c r="BG4763" s="2" t="s">
        <v>2286</v>
      </c>
      <c r="BH4763" s="2"/>
      <c r="BI4763" s="2"/>
      <c r="BJ4763" s="2">
        <v>75</v>
      </c>
      <c r="BK4763" s="2" t="s">
        <v>1264</v>
      </c>
      <c r="BL4763" s="2" t="s">
        <v>1361</v>
      </c>
      <c r="BM4763" s="2">
        <v>13</v>
      </c>
      <c r="BN4763" s="2" t="s">
        <v>91</v>
      </c>
      <c r="BO4763" s="2"/>
      <c r="BP4763" s="2">
        <v>13</v>
      </c>
      <c r="BQ4763" s="2" t="s">
        <v>91</v>
      </c>
      <c r="BR4763" s="2" t="s">
        <v>360</v>
      </c>
      <c r="BS4763" s="3">
        <v>40502</v>
      </c>
      <c r="BT4763" s="4">
        <v>0.84828703703703701</v>
      </c>
    </row>
    <row r="4764" spans="1:72" x14ac:dyDescent="0.25">
      <c r="A4764" s="2">
        <v>7379</v>
      </c>
      <c r="B4764" s="2">
        <v>2010</v>
      </c>
      <c r="C4764" s="2" t="s">
        <v>414</v>
      </c>
      <c r="D4764" s="2" t="s">
        <v>122</v>
      </c>
      <c r="E4764" s="2"/>
      <c r="F4764" s="2">
        <v>1</v>
      </c>
      <c r="G4764" s="2" t="s">
        <v>82</v>
      </c>
      <c r="H4764" s="2">
        <v>1</v>
      </c>
      <c r="I4764" s="2" t="s">
        <v>82</v>
      </c>
      <c r="J4764" s="2">
        <v>1</v>
      </c>
      <c r="K4764" s="2" t="s">
        <v>107</v>
      </c>
      <c r="L4764" s="2" t="s">
        <v>107</v>
      </c>
      <c r="M4764" s="3">
        <v>40502</v>
      </c>
      <c r="N4764" s="2"/>
      <c r="O4764" s="2" t="s">
        <v>82</v>
      </c>
      <c r="P4764" s="2" t="s">
        <v>82</v>
      </c>
      <c r="Q4764" s="2" t="str">
        <f>"N/C"</f>
        <v>N/C</v>
      </c>
      <c r="R4764" s="2" t="s">
        <v>14725</v>
      </c>
      <c r="S4764" s="2" t="s">
        <v>82</v>
      </c>
      <c r="T4764" s="2">
        <v>1</v>
      </c>
      <c r="U4764" s="2" t="s">
        <v>79</v>
      </c>
      <c r="V4764" s="2">
        <v>1</v>
      </c>
      <c r="W4764" s="2" t="s">
        <v>80</v>
      </c>
      <c r="X4764" s="2">
        <v>1</v>
      </c>
      <c r="Y4764" s="2" t="s">
        <v>81</v>
      </c>
      <c r="Z4764" s="2">
        <v>1</v>
      </c>
      <c r="AA4764" s="2" t="s">
        <v>82</v>
      </c>
      <c r="AB4764" s="2">
        <v>9</v>
      </c>
      <c r="AC4764" s="2" t="s">
        <v>124</v>
      </c>
      <c r="AD4764" s="3">
        <v>40502</v>
      </c>
      <c r="AE4764" s="4">
        <v>0.78125</v>
      </c>
      <c r="AF4764" s="2"/>
      <c r="AG4764" s="2"/>
      <c r="AH4764" s="2">
        <v>6</v>
      </c>
      <c r="AI4764" s="2" t="s">
        <v>197</v>
      </c>
      <c r="AJ4764" s="2">
        <v>60</v>
      </c>
      <c r="AK4764" s="2" t="s">
        <v>543</v>
      </c>
      <c r="AL4764" s="2">
        <v>11</v>
      </c>
      <c r="AM4764" s="2" t="s">
        <v>137</v>
      </c>
      <c r="AN4764" s="2" t="s">
        <v>82</v>
      </c>
      <c r="AO4764" s="2" t="s">
        <v>82</v>
      </c>
      <c r="AP4764" s="2">
        <v>11</v>
      </c>
      <c r="AQ4764" s="2" t="s">
        <v>82</v>
      </c>
      <c r="AR4764" s="2"/>
      <c r="AS4764" s="2"/>
      <c r="AT4764" s="2" t="s">
        <v>14726</v>
      </c>
      <c r="AU4764" s="2"/>
      <c r="AV4764" s="2"/>
      <c r="AW4764" s="2"/>
      <c r="AX4764" s="2"/>
      <c r="AY4764" s="2">
        <v>41</v>
      </c>
      <c r="AZ4764" s="2" t="s">
        <v>82</v>
      </c>
      <c r="BA4764" s="2">
        <v>41</v>
      </c>
      <c r="BB4764" s="2" t="s">
        <v>82</v>
      </c>
      <c r="BC4764" s="2">
        <v>41</v>
      </c>
      <c r="BD4764" s="2" t="s">
        <v>82</v>
      </c>
      <c r="BE4764" s="2">
        <v>41</v>
      </c>
      <c r="BF4764" s="2" t="s">
        <v>82</v>
      </c>
      <c r="BG4764" s="2" t="s">
        <v>82</v>
      </c>
      <c r="BH4764" s="2"/>
      <c r="BI4764" s="2"/>
      <c r="BJ4764" s="2">
        <v>241</v>
      </c>
      <c r="BK4764" s="2" t="s">
        <v>82</v>
      </c>
      <c r="BL4764" s="2"/>
      <c r="BM4764" s="2">
        <v>242</v>
      </c>
      <c r="BN4764" s="2" t="s">
        <v>107</v>
      </c>
      <c r="BO4764" s="2"/>
      <c r="BP4764" s="2">
        <v>241</v>
      </c>
      <c r="BQ4764" s="2" t="s">
        <v>82</v>
      </c>
      <c r="BR4764" s="2"/>
      <c r="BS4764" s="3">
        <v>40502</v>
      </c>
      <c r="BT4764" s="4">
        <v>0.9162731481481482</v>
      </c>
    </row>
    <row r="4765" spans="1:72" x14ac:dyDescent="0.25">
      <c r="A4765" s="2">
        <v>7380</v>
      </c>
      <c r="B4765" s="2">
        <v>2010</v>
      </c>
      <c r="C4765" s="2" t="s">
        <v>8160</v>
      </c>
      <c r="D4765" s="2" t="s">
        <v>73</v>
      </c>
      <c r="E4765" s="2"/>
      <c r="F4765" s="2">
        <v>390</v>
      </c>
      <c r="G4765" s="2" t="s">
        <v>475</v>
      </c>
      <c r="H4765" s="2">
        <v>5</v>
      </c>
      <c r="I4765" s="2" t="s">
        <v>634</v>
      </c>
      <c r="J4765" s="2">
        <v>533</v>
      </c>
      <c r="K4765" s="2" t="s">
        <v>6511</v>
      </c>
      <c r="L4765" s="2" t="s">
        <v>478</v>
      </c>
      <c r="M4765" s="3">
        <v>40503</v>
      </c>
      <c r="N4765" s="2" t="s">
        <v>3705</v>
      </c>
      <c r="O4765" s="2"/>
      <c r="P4765" s="2"/>
      <c r="Q4765" s="2" t="str">
        <f>"618-E/10"</f>
        <v>618-E/10</v>
      </c>
      <c r="R4765" s="2" t="s">
        <v>2013</v>
      </c>
      <c r="S4765" s="2"/>
      <c r="T4765" s="2">
        <v>1</v>
      </c>
      <c r="U4765" s="2" t="s">
        <v>79</v>
      </c>
      <c r="V4765" s="2">
        <v>1</v>
      </c>
      <c r="W4765" s="2" t="s">
        <v>80</v>
      </c>
      <c r="X4765" s="2">
        <v>12</v>
      </c>
      <c r="Y4765" s="2" t="s">
        <v>148</v>
      </c>
      <c r="Z4765" s="2">
        <v>1</v>
      </c>
      <c r="AA4765" s="2" t="s">
        <v>82</v>
      </c>
      <c r="AB4765" s="2">
        <v>9</v>
      </c>
      <c r="AC4765" s="2" t="s">
        <v>124</v>
      </c>
      <c r="AD4765" s="3">
        <v>40502</v>
      </c>
      <c r="AE4765" s="4">
        <v>0.81944444444444453</v>
      </c>
      <c r="AF4765" s="3">
        <v>40502</v>
      </c>
      <c r="AG4765" s="4">
        <v>0.88541666666666663</v>
      </c>
      <c r="AH4765" s="2">
        <v>2</v>
      </c>
      <c r="AI4765" s="2" t="s">
        <v>84</v>
      </c>
      <c r="AJ4765" s="2">
        <v>9</v>
      </c>
      <c r="AK4765" s="2" t="s">
        <v>103</v>
      </c>
      <c r="AL4765" s="2">
        <v>13</v>
      </c>
      <c r="AM4765" s="2" t="s">
        <v>117</v>
      </c>
      <c r="AN4765" s="2"/>
      <c r="AO4765" s="2" t="s">
        <v>8104</v>
      </c>
      <c r="AP4765" s="2">
        <v>11</v>
      </c>
      <c r="AQ4765" s="2" t="s">
        <v>82</v>
      </c>
      <c r="AR4765" s="2"/>
      <c r="AS4765" s="2"/>
      <c r="AT4765" s="2" t="s">
        <v>14727</v>
      </c>
      <c r="AU4765" s="2"/>
      <c r="AV4765" s="2"/>
      <c r="AW4765" s="2"/>
      <c r="AX4765" s="2"/>
      <c r="AY4765" s="2">
        <v>41</v>
      </c>
      <c r="AZ4765" s="2" t="s">
        <v>82</v>
      </c>
      <c r="BA4765" s="2">
        <v>41</v>
      </c>
      <c r="BB4765" s="2" t="s">
        <v>82</v>
      </c>
      <c r="BC4765" s="2">
        <v>41</v>
      </c>
      <c r="BD4765" s="2" t="s">
        <v>82</v>
      </c>
      <c r="BE4765" s="2">
        <v>41</v>
      </c>
      <c r="BF4765" s="2" t="s">
        <v>82</v>
      </c>
      <c r="BG4765" s="2"/>
      <c r="BH4765" s="2"/>
      <c r="BI4765" s="2"/>
      <c r="BJ4765" s="2">
        <v>241</v>
      </c>
      <c r="BK4765" s="2" t="s">
        <v>82</v>
      </c>
      <c r="BL4765" s="2"/>
      <c r="BM4765" s="2">
        <v>241</v>
      </c>
      <c r="BN4765" s="2" t="s">
        <v>82</v>
      </c>
      <c r="BO4765" s="2"/>
      <c r="BP4765" s="2">
        <v>241</v>
      </c>
      <c r="BQ4765" s="2" t="s">
        <v>82</v>
      </c>
      <c r="BR4765" s="2"/>
      <c r="BS4765" s="3">
        <v>40503</v>
      </c>
      <c r="BT4765" s="4">
        <v>6.8749999999999992E-2</v>
      </c>
    </row>
    <row r="4766" spans="1:72" x14ac:dyDescent="0.25">
      <c r="A4766" s="2">
        <v>7381</v>
      </c>
      <c r="B4766" s="2">
        <v>2010</v>
      </c>
      <c r="C4766" s="2" t="s">
        <v>72</v>
      </c>
      <c r="D4766" s="2" t="s">
        <v>73</v>
      </c>
      <c r="E4766" s="2"/>
      <c r="F4766" s="2">
        <v>390</v>
      </c>
      <c r="G4766" s="2" t="s">
        <v>475</v>
      </c>
      <c r="H4766" s="2">
        <v>5</v>
      </c>
      <c r="I4766" s="2" t="s">
        <v>634</v>
      </c>
      <c r="J4766" s="2">
        <v>314</v>
      </c>
      <c r="K4766" s="2" t="s">
        <v>477</v>
      </c>
      <c r="L4766" s="2" t="s">
        <v>478</v>
      </c>
      <c r="M4766" s="3">
        <v>40503</v>
      </c>
      <c r="N4766" s="2" t="s">
        <v>3103</v>
      </c>
      <c r="O4766" s="2"/>
      <c r="P4766" s="2"/>
      <c r="Q4766" s="2" t="str">
        <f>"619-E/10"</f>
        <v>619-E/10</v>
      </c>
      <c r="R4766" s="2" t="s">
        <v>601</v>
      </c>
      <c r="S4766" s="2" t="s">
        <v>601</v>
      </c>
      <c r="T4766" s="2">
        <v>1</v>
      </c>
      <c r="U4766" s="2" t="s">
        <v>79</v>
      </c>
      <c r="V4766" s="2">
        <v>1</v>
      </c>
      <c r="W4766" s="2" t="s">
        <v>80</v>
      </c>
      <c r="X4766" s="2">
        <v>12</v>
      </c>
      <c r="Y4766" s="2" t="s">
        <v>148</v>
      </c>
      <c r="Z4766" s="2">
        <v>1</v>
      </c>
      <c r="AA4766" s="2" t="s">
        <v>82</v>
      </c>
      <c r="AB4766" s="2">
        <v>6</v>
      </c>
      <c r="AC4766" s="2" t="s">
        <v>83</v>
      </c>
      <c r="AD4766" s="3">
        <v>40502</v>
      </c>
      <c r="AE4766" s="2"/>
      <c r="AF4766" s="3">
        <v>40502</v>
      </c>
      <c r="AG4766" s="4">
        <v>0.97916666666666663</v>
      </c>
      <c r="AH4766" s="2">
        <v>2</v>
      </c>
      <c r="AI4766" s="2" t="s">
        <v>84</v>
      </c>
      <c r="AJ4766" s="2">
        <v>9</v>
      </c>
      <c r="AK4766" s="2" t="s">
        <v>103</v>
      </c>
      <c r="AL4766" s="2">
        <v>22</v>
      </c>
      <c r="AM4766" s="2" t="s">
        <v>1853</v>
      </c>
      <c r="AN4766" s="2" t="s">
        <v>14728</v>
      </c>
      <c r="AO4766" s="2" t="s">
        <v>12699</v>
      </c>
      <c r="AP4766" s="2">
        <v>11</v>
      </c>
      <c r="AQ4766" s="2" t="s">
        <v>82</v>
      </c>
      <c r="AR4766" s="2"/>
      <c r="AS4766" s="2"/>
      <c r="AT4766" s="2" t="s">
        <v>14729</v>
      </c>
      <c r="AU4766" s="2"/>
      <c r="AV4766" s="2"/>
      <c r="AW4766" s="2"/>
      <c r="AX4766" s="2"/>
      <c r="AY4766" s="2">
        <v>41</v>
      </c>
      <c r="AZ4766" s="2" t="s">
        <v>82</v>
      </c>
      <c r="BA4766" s="2">
        <v>41</v>
      </c>
      <c r="BB4766" s="2" t="s">
        <v>82</v>
      </c>
      <c r="BC4766" s="2">
        <v>41</v>
      </c>
      <c r="BD4766" s="2" t="s">
        <v>82</v>
      </c>
      <c r="BE4766" s="2">
        <v>13</v>
      </c>
      <c r="BF4766" s="2" t="s">
        <v>108</v>
      </c>
      <c r="BG4766" s="2" t="s">
        <v>2962</v>
      </c>
      <c r="BH4766" s="4">
        <v>0.89583333333333337</v>
      </c>
      <c r="BI4766" s="4">
        <v>0.45833333333333331</v>
      </c>
      <c r="BJ4766" s="2">
        <v>75</v>
      </c>
      <c r="BK4766" s="2" t="s">
        <v>1264</v>
      </c>
      <c r="BL4766" s="2" t="s">
        <v>1361</v>
      </c>
      <c r="BM4766" s="2">
        <v>13</v>
      </c>
      <c r="BN4766" s="2" t="s">
        <v>91</v>
      </c>
      <c r="BO4766" s="2"/>
      <c r="BP4766" s="2">
        <v>13</v>
      </c>
      <c r="BQ4766" s="2" t="s">
        <v>91</v>
      </c>
      <c r="BR4766" s="2" t="s">
        <v>14730</v>
      </c>
      <c r="BS4766" s="3">
        <v>40503</v>
      </c>
      <c r="BT4766" s="4">
        <v>0.27049768518518519</v>
      </c>
    </row>
    <row r="4767" spans="1:72" x14ac:dyDescent="0.25">
      <c r="A4767" s="2">
        <v>7382</v>
      </c>
      <c r="B4767" s="2">
        <v>2010</v>
      </c>
      <c r="C4767" s="2" t="s">
        <v>377</v>
      </c>
      <c r="D4767" s="2" t="s">
        <v>73</v>
      </c>
      <c r="E4767" s="2"/>
      <c r="F4767" s="2">
        <v>426</v>
      </c>
      <c r="G4767" s="2" t="s">
        <v>378</v>
      </c>
      <c r="H4767" s="2">
        <v>108</v>
      </c>
      <c r="I4767" s="2" t="s">
        <v>1096</v>
      </c>
      <c r="J4767" s="2">
        <v>311</v>
      </c>
      <c r="K4767" s="2" t="s">
        <v>379</v>
      </c>
      <c r="L4767" s="2" t="s">
        <v>380</v>
      </c>
      <c r="M4767" s="3">
        <v>40503</v>
      </c>
      <c r="N4767" s="2" t="s">
        <v>7171</v>
      </c>
      <c r="O4767" s="2"/>
      <c r="P4767" s="2"/>
      <c r="Q4767" s="2" t="str">
        <f>"291-C/10"</f>
        <v>291-C/10</v>
      </c>
      <c r="R4767" s="2" t="s">
        <v>14731</v>
      </c>
      <c r="S4767" s="2" t="s">
        <v>14732</v>
      </c>
      <c r="T4767" s="2">
        <v>1</v>
      </c>
      <c r="U4767" s="2" t="s">
        <v>79</v>
      </c>
      <c r="V4767" s="2">
        <v>1</v>
      </c>
      <c r="W4767" s="2" t="s">
        <v>80</v>
      </c>
      <c r="X4767" s="2">
        <v>1</v>
      </c>
      <c r="Y4767" s="2" t="s">
        <v>81</v>
      </c>
      <c r="Z4767" s="2">
        <v>1</v>
      </c>
      <c r="AA4767" s="2" t="s">
        <v>82</v>
      </c>
      <c r="AB4767" s="2">
        <v>9</v>
      </c>
      <c r="AC4767" s="2" t="s">
        <v>124</v>
      </c>
      <c r="AD4767" s="3">
        <v>40502</v>
      </c>
      <c r="AE4767" s="2"/>
      <c r="AF4767" s="3">
        <v>40502</v>
      </c>
      <c r="AG4767" s="4">
        <v>0.85416666666666663</v>
      </c>
      <c r="AH4767" s="2">
        <v>2</v>
      </c>
      <c r="AI4767" s="2" t="s">
        <v>84</v>
      </c>
      <c r="AJ4767" s="2">
        <v>9</v>
      </c>
      <c r="AK4767" s="2" t="s">
        <v>103</v>
      </c>
      <c r="AL4767" s="2">
        <v>29</v>
      </c>
      <c r="AM4767" s="2" t="s">
        <v>5416</v>
      </c>
      <c r="AN4767" s="2" t="s">
        <v>14715</v>
      </c>
      <c r="AO4767" s="2"/>
      <c r="AP4767" s="2">
        <v>11</v>
      </c>
      <c r="AQ4767" s="2" t="s">
        <v>82</v>
      </c>
      <c r="AR4767" s="2"/>
      <c r="AS4767" s="2"/>
      <c r="AT4767" s="2" t="s">
        <v>14733</v>
      </c>
      <c r="AU4767" s="2"/>
      <c r="AV4767" s="2"/>
      <c r="AW4767" s="2"/>
      <c r="AX4767" s="2"/>
      <c r="AY4767" s="2">
        <v>41</v>
      </c>
      <c r="AZ4767" s="2" t="s">
        <v>82</v>
      </c>
      <c r="BA4767" s="2">
        <v>41</v>
      </c>
      <c r="BB4767" s="2" t="s">
        <v>82</v>
      </c>
      <c r="BC4767" s="2">
        <v>41</v>
      </c>
      <c r="BD4767" s="2" t="s">
        <v>82</v>
      </c>
      <c r="BE4767" s="2">
        <v>41</v>
      </c>
      <c r="BF4767" s="2" t="s">
        <v>82</v>
      </c>
      <c r="BG4767" s="2"/>
      <c r="BH4767" s="2"/>
      <c r="BI4767" s="2"/>
      <c r="BJ4767" s="2">
        <v>241</v>
      </c>
      <c r="BK4767" s="2" t="s">
        <v>82</v>
      </c>
      <c r="BL4767" s="2"/>
      <c r="BM4767" s="2">
        <v>241</v>
      </c>
      <c r="BN4767" s="2" t="s">
        <v>82</v>
      </c>
      <c r="BO4767" s="2"/>
      <c r="BP4767" s="2">
        <v>241</v>
      </c>
      <c r="BQ4767" s="2" t="s">
        <v>82</v>
      </c>
      <c r="BR4767" s="2"/>
      <c r="BS4767" s="3">
        <v>40503</v>
      </c>
      <c r="BT4767" s="4">
        <v>0.30178240740740742</v>
      </c>
    </row>
    <row r="4768" spans="1:72" x14ac:dyDescent="0.25">
      <c r="A4768" s="2">
        <v>7383</v>
      </c>
      <c r="B4768" s="2">
        <v>2010</v>
      </c>
      <c r="C4768" s="2" t="s">
        <v>377</v>
      </c>
      <c r="D4768" s="2" t="s">
        <v>73</v>
      </c>
      <c r="E4768" s="2"/>
      <c r="F4768" s="2">
        <v>426</v>
      </c>
      <c r="G4768" s="2" t="s">
        <v>378</v>
      </c>
      <c r="H4768" s="2">
        <v>108</v>
      </c>
      <c r="I4768" s="2" t="s">
        <v>1096</v>
      </c>
      <c r="J4768" s="2">
        <v>311</v>
      </c>
      <c r="K4768" s="2" t="s">
        <v>379</v>
      </c>
      <c r="L4768" s="2" t="s">
        <v>380</v>
      </c>
      <c r="M4768" s="3">
        <v>40503</v>
      </c>
      <c r="N4768" s="2" t="s">
        <v>7171</v>
      </c>
      <c r="O4768" s="2"/>
      <c r="P4768" s="2"/>
      <c r="Q4768" s="2" t="str">
        <f>"292-C/10"</f>
        <v>292-C/10</v>
      </c>
      <c r="R4768" s="2" t="s">
        <v>3458</v>
      </c>
      <c r="S4768" s="2" t="s">
        <v>3458</v>
      </c>
      <c r="T4768" s="2">
        <v>1</v>
      </c>
      <c r="U4768" s="2" t="s">
        <v>79</v>
      </c>
      <c r="V4768" s="2">
        <v>1</v>
      </c>
      <c r="W4768" s="2" t="s">
        <v>80</v>
      </c>
      <c r="X4768" s="2">
        <v>1</v>
      </c>
      <c r="Y4768" s="2" t="s">
        <v>81</v>
      </c>
      <c r="Z4768" s="2">
        <v>1</v>
      </c>
      <c r="AA4768" s="2" t="s">
        <v>82</v>
      </c>
      <c r="AB4768" s="2">
        <v>9</v>
      </c>
      <c r="AC4768" s="2" t="s">
        <v>124</v>
      </c>
      <c r="AD4768" s="3">
        <v>40503</v>
      </c>
      <c r="AE4768" s="2"/>
      <c r="AF4768" s="3">
        <v>40503</v>
      </c>
      <c r="AG4768" s="4">
        <v>0.11458333333333333</v>
      </c>
      <c r="AH4768" s="2">
        <v>2</v>
      </c>
      <c r="AI4768" s="2" t="s">
        <v>84</v>
      </c>
      <c r="AJ4768" s="2">
        <v>9</v>
      </c>
      <c r="AK4768" s="2" t="s">
        <v>103</v>
      </c>
      <c r="AL4768" s="2">
        <v>29</v>
      </c>
      <c r="AM4768" s="2" t="s">
        <v>5416</v>
      </c>
      <c r="AN4768" s="2" t="s">
        <v>14715</v>
      </c>
      <c r="AO4768" s="2"/>
      <c r="AP4768" s="2">
        <v>11</v>
      </c>
      <c r="AQ4768" s="2" t="s">
        <v>82</v>
      </c>
      <c r="AR4768" s="2"/>
      <c r="AS4768" s="2"/>
      <c r="AT4768" s="2" t="s">
        <v>14734</v>
      </c>
      <c r="AU4768" s="2"/>
      <c r="AV4768" s="2"/>
      <c r="AW4768" s="2"/>
      <c r="AX4768" s="2"/>
      <c r="AY4768" s="2">
        <v>41</v>
      </c>
      <c r="AZ4768" s="2" t="s">
        <v>82</v>
      </c>
      <c r="BA4768" s="2">
        <v>41</v>
      </c>
      <c r="BB4768" s="2" t="s">
        <v>82</v>
      </c>
      <c r="BC4768" s="2">
        <v>41</v>
      </c>
      <c r="BD4768" s="2" t="s">
        <v>82</v>
      </c>
      <c r="BE4768" s="2">
        <v>41</v>
      </c>
      <c r="BF4768" s="2" t="s">
        <v>82</v>
      </c>
      <c r="BG4768" s="2"/>
      <c r="BH4768" s="2"/>
      <c r="BI4768" s="2"/>
      <c r="BJ4768" s="2">
        <v>241</v>
      </c>
      <c r="BK4768" s="2" t="s">
        <v>82</v>
      </c>
      <c r="BL4768" s="2"/>
      <c r="BM4768" s="2">
        <v>241</v>
      </c>
      <c r="BN4768" s="2" t="s">
        <v>82</v>
      </c>
      <c r="BO4768" s="2"/>
      <c r="BP4768" s="2">
        <v>241</v>
      </c>
      <c r="BQ4768" s="2" t="s">
        <v>82</v>
      </c>
      <c r="BR4768" s="2"/>
      <c r="BS4768" s="3">
        <v>40503</v>
      </c>
      <c r="BT4768" s="4">
        <v>0.32353009259259258</v>
      </c>
    </row>
    <row r="4769" spans="1:72" x14ac:dyDescent="0.25">
      <c r="A4769" s="2">
        <v>7384</v>
      </c>
      <c r="B4769" s="2">
        <v>2010</v>
      </c>
      <c r="C4769" s="2" t="s">
        <v>4543</v>
      </c>
      <c r="D4769" s="2" t="s">
        <v>122</v>
      </c>
      <c r="E4769" s="2"/>
      <c r="F4769" s="2">
        <v>1</v>
      </c>
      <c r="G4769" s="2" t="s">
        <v>82</v>
      </c>
      <c r="H4769" s="2">
        <v>1</v>
      </c>
      <c r="I4769" s="2" t="s">
        <v>82</v>
      </c>
      <c r="J4769" s="2">
        <v>1</v>
      </c>
      <c r="K4769" s="2" t="s">
        <v>107</v>
      </c>
      <c r="L4769" s="2" t="s">
        <v>107</v>
      </c>
      <c r="M4769" s="3">
        <v>40503</v>
      </c>
      <c r="N4769" s="2"/>
      <c r="O4769" s="2"/>
      <c r="P4769" s="2"/>
      <c r="Q4769" s="2" t="str">
        <f>""</f>
        <v/>
      </c>
      <c r="R4769" s="2"/>
      <c r="S4769" s="2"/>
      <c r="T4769" s="2">
        <v>2</v>
      </c>
      <c r="U4769" s="2" t="s">
        <v>123</v>
      </c>
      <c r="V4769" s="2">
        <v>1</v>
      </c>
      <c r="W4769" s="2" t="s">
        <v>80</v>
      </c>
      <c r="X4769" s="2">
        <v>5</v>
      </c>
      <c r="Y4769" s="2" t="s">
        <v>82</v>
      </c>
      <c r="Z4769" s="2">
        <v>1</v>
      </c>
      <c r="AA4769" s="2" t="s">
        <v>82</v>
      </c>
      <c r="AB4769" s="2">
        <v>9</v>
      </c>
      <c r="AC4769" s="2" t="s">
        <v>124</v>
      </c>
      <c r="AD4769" s="3">
        <v>40503</v>
      </c>
      <c r="AE4769" s="4">
        <v>0.29166666666666669</v>
      </c>
      <c r="AF4769" s="2"/>
      <c r="AG4769" s="2"/>
      <c r="AH4769" s="2">
        <v>5</v>
      </c>
      <c r="AI4769" s="2" t="s">
        <v>274</v>
      </c>
      <c r="AJ4769" s="2">
        <v>43</v>
      </c>
      <c r="AK4769" s="2" t="s">
        <v>918</v>
      </c>
      <c r="AL4769" s="2">
        <v>19</v>
      </c>
      <c r="AM4769" s="2" t="s">
        <v>107</v>
      </c>
      <c r="AN4769" s="2"/>
      <c r="AO4769" s="2"/>
      <c r="AP4769" s="2">
        <v>11</v>
      </c>
      <c r="AQ4769" s="2" t="s">
        <v>82</v>
      </c>
      <c r="AR4769" s="2"/>
      <c r="AS4769" s="2"/>
      <c r="AT4769" s="2" t="s">
        <v>14735</v>
      </c>
      <c r="AU4769" s="2"/>
      <c r="AV4769" s="2"/>
      <c r="AW4769" s="2"/>
      <c r="AX4769" s="2"/>
      <c r="AY4769" s="2">
        <v>41</v>
      </c>
      <c r="AZ4769" s="2" t="s">
        <v>82</v>
      </c>
      <c r="BA4769" s="2">
        <v>41</v>
      </c>
      <c r="BB4769" s="2" t="s">
        <v>82</v>
      </c>
      <c r="BC4769" s="2">
        <v>41</v>
      </c>
      <c r="BD4769" s="2" t="s">
        <v>82</v>
      </c>
      <c r="BE4769" s="2">
        <v>41</v>
      </c>
      <c r="BF4769" s="2" t="s">
        <v>82</v>
      </c>
      <c r="BG4769" s="2"/>
      <c r="BH4769" s="2"/>
      <c r="BI4769" s="2"/>
      <c r="BJ4769" s="2">
        <v>241</v>
      </c>
      <c r="BK4769" s="2" t="s">
        <v>82</v>
      </c>
      <c r="BL4769" s="2"/>
      <c r="BM4769" s="2">
        <v>241</v>
      </c>
      <c r="BN4769" s="2" t="s">
        <v>82</v>
      </c>
      <c r="BO4769" s="2"/>
      <c r="BP4769" s="2">
        <v>241</v>
      </c>
      <c r="BQ4769" s="2" t="s">
        <v>82</v>
      </c>
      <c r="BR4769" s="2"/>
      <c r="BS4769" s="3">
        <v>40503</v>
      </c>
      <c r="BT4769" s="4">
        <v>0.35559027777777774</v>
      </c>
    </row>
    <row r="4770" spans="1:72" x14ac:dyDescent="0.25">
      <c r="A4770" s="2">
        <v>7385</v>
      </c>
      <c r="B4770" s="2">
        <v>2010</v>
      </c>
      <c r="C4770" s="2" t="s">
        <v>72</v>
      </c>
      <c r="D4770" s="2" t="s">
        <v>73</v>
      </c>
      <c r="E4770" s="2"/>
      <c r="F4770" s="2">
        <v>308</v>
      </c>
      <c r="G4770" s="2" t="s">
        <v>8481</v>
      </c>
      <c r="H4770" s="2">
        <v>2</v>
      </c>
      <c r="I4770" s="2" t="s">
        <v>267</v>
      </c>
      <c r="J4770" s="2">
        <v>163</v>
      </c>
      <c r="K4770" s="2" t="s">
        <v>316</v>
      </c>
      <c r="L4770" s="2" t="s">
        <v>317</v>
      </c>
      <c r="M4770" s="3">
        <v>40503</v>
      </c>
      <c r="N4770" s="2" t="s">
        <v>14736</v>
      </c>
      <c r="O4770" s="2"/>
      <c r="P4770" s="2"/>
      <c r="Q4770" s="2" t="str">
        <f>"PS 435-A/10"</f>
        <v>PS 435-A/10</v>
      </c>
      <c r="R4770" s="2" t="s">
        <v>116</v>
      </c>
      <c r="S4770" s="2" t="s">
        <v>116</v>
      </c>
      <c r="T4770" s="2">
        <v>1</v>
      </c>
      <c r="U4770" s="2" t="s">
        <v>79</v>
      </c>
      <c r="V4770" s="2">
        <v>1</v>
      </c>
      <c r="W4770" s="2" t="s">
        <v>80</v>
      </c>
      <c r="X4770" s="2">
        <v>12</v>
      </c>
      <c r="Y4770" s="2" t="s">
        <v>148</v>
      </c>
      <c r="Z4770" s="2">
        <v>1</v>
      </c>
      <c r="AA4770" s="2" t="s">
        <v>82</v>
      </c>
      <c r="AB4770" s="2">
        <v>6</v>
      </c>
      <c r="AC4770" s="2" t="s">
        <v>83</v>
      </c>
      <c r="AD4770" s="3">
        <v>40503</v>
      </c>
      <c r="AE4770" s="4">
        <v>0.1875</v>
      </c>
      <c r="AF4770" s="3">
        <v>40503</v>
      </c>
      <c r="AG4770" s="4">
        <v>0.21180555555555555</v>
      </c>
      <c r="AH4770" s="2">
        <v>2</v>
      </c>
      <c r="AI4770" s="2" t="s">
        <v>84</v>
      </c>
      <c r="AJ4770" s="2">
        <v>12</v>
      </c>
      <c r="AK4770" s="2" t="s">
        <v>85</v>
      </c>
      <c r="AL4770" s="2">
        <v>12</v>
      </c>
      <c r="AM4770" s="2" t="s">
        <v>86</v>
      </c>
      <c r="AN4770" s="2" t="s">
        <v>14737</v>
      </c>
      <c r="AO4770" s="2" t="s">
        <v>1945</v>
      </c>
      <c r="AP4770" s="2">
        <v>11</v>
      </c>
      <c r="AQ4770" s="2" t="s">
        <v>82</v>
      </c>
      <c r="AR4770" s="2"/>
      <c r="AS4770" s="2"/>
      <c r="AT4770" s="2" t="s">
        <v>14738</v>
      </c>
      <c r="AU4770" s="2">
        <v>1</v>
      </c>
      <c r="AV4770" s="2"/>
      <c r="AW4770" s="2"/>
      <c r="AX4770" s="2"/>
      <c r="AY4770" s="2">
        <v>41</v>
      </c>
      <c r="AZ4770" s="2" t="s">
        <v>82</v>
      </c>
      <c r="BA4770" s="2">
        <v>68</v>
      </c>
      <c r="BB4770" s="2" t="s">
        <v>12055</v>
      </c>
      <c r="BC4770" s="2">
        <v>41</v>
      </c>
      <c r="BD4770" s="2" t="s">
        <v>82</v>
      </c>
      <c r="BE4770" s="2">
        <v>41</v>
      </c>
      <c r="BF4770" s="2" t="s">
        <v>82</v>
      </c>
      <c r="BG4770" s="2"/>
      <c r="BH4770" s="2"/>
      <c r="BI4770" s="2"/>
      <c r="BJ4770" s="2">
        <v>241</v>
      </c>
      <c r="BK4770" s="2" t="s">
        <v>82</v>
      </c>
      <c r="BL4770" s="2"/>
      <c r="BM4770" s="2">
        <v>241</v>
      </c>
      <c r="BN4770" s="2" t="s">
        <v>82</v>
      </c>
      <c r="BO4770" s="2"/>
      <c r="BP4770" s="2">
        <v>241</v>
      </c>
      <c r="BQ4770" s="2" t="s">
        <v>82</v>
      </c>
      <c r="BR4770" s="2"/>
      <c r="BS4770" s="3">
        <v>40503</v>
      </c>
      <c r="BT4770" s="4">
        <v>0.66204861111111113</v>
      </c>
    </row>
    <row r="4771" spans="1:72" x14ac:dyDescent="0.25">
      <c r="A4771" s="2">
        <v>7386</v>
      </c>
      <c r="B4771" s="2">
        <v>2010</v>
      </c>
      <c r="C4771" s="2" t="s">
        <v>72</v>
      </c>
      <c r="D4771" s="2" t="s">
        <v>73</v>
      </c>
      <c r="E4771" s="2"/>
      <c r="F4771" s="2">
        <v>2</v>
      </c>
      <c r="G4771" s="2" t="s">
        <v>113</v>
      </c>
      <c r="H4771" s="2">
        <v>149</v>
      </c>
      <c r="I4771" s="2" t="s">
        <v>14672</v>
      </c>
      <c r="J4771" s="2">
        <v>300</v>
      </c>
      <c r="K4771" s="2" t="s">
        <v>114</v>
      </c>
      <c r="L4771" s="2" t="s">
        <v>115</v>
      </c>
      <c r="M4771" s="3">
        <v>40503</v>
      </c>
      <c r="N4771" s="2"/>
      <c r="O4771" s="2"/>
      <c r="P4771" s="2"/>
      <c r="Q4771" s="2" t="str">
        <f>"620-E/10"</f>
        <v>620-E/10</v>
      </c>
      <c r="R4771" s="2" t="s">
        <v>116</v>
      </c>
      <c r="S4771" s="2" t="s">
        <v>116</v>
      </c>
      <c r="T4771" s="2">
        <v>1</v>
      </c>
      <c r="U4771" s="2" t="s">
        <v>79</v>
      </c>
      <c r="V4771" s="2">
        <v>1</v>
      </c>
      <c r="W4771" s="2" t="s">
        <v>80</v>
      </c>
      <c r="X4771" s="2">
        <v>12</v>
      </c>
      <c r="Y4771" s="2" t="s">
        <v>148</v>
      </c>
      <c r="Z4771" s="2">
        <v>1</v>
      </c>
      <c r="AA4771" s="2" t="s">
        <v>82</v>
      </c>
      <c r="AB4771" s="2">
        <v>6</v>
      </c>
      <c r="AC4771" s="2" t="s">
        <v>83</v>
      </c>
      <c r="AD4771" s="3">
        <v>40502</v>
      </c>
      <c r="AE4771" s="2"/>
      <c r="AF4771" s="3">
        <v>40503</v>
      </c>
      <c r="AG4771" s="4">
        <v>0.60416666666666663</v>
      </c>
      <c r="AH4771" s="2">
        <v>2</v>
      </c>
      <c r="AI4771" s="2" t="s">
        <v>84</v>
      </c>
      <c r="AJ4771" s="2">
        <v>9</v>
      </c>
      <c r="AK4771" s="2" t="s">
        <v>103</v>
      </c>
      <c r="AL4771" s="2">
        <v>29</v>
      </c>
      <c r="AM4771" s="2" t="s">
        <v>5416</v>
      </c>
      <c r="AN4771" s="2"/>
      <c r="AO4771" s="2" t="s">
        <v>7909</v>
      </c>
      <c r="AP4771" s="2">
        <v>11</v>
      </c>
      <c r="AQ4771" s="2" t="s">
        <v>82</v>
      </c>
      <c r="AR4771" s="2"/>
      <c r="AS4771" s="2"/>
      <c r="AT4771" s="2" t="s">
        <v>14739</v>
      </c>
      <c r="AU4771" s="2"/>
      <c r="AV4771" s="2"/>
      <c r="AW4771" s="2"/>
      <c r="AX4771" s="2"/>
      <c r="AY4771" s="2">
        <v>41</v>
      </c>
      <c r="AZ4771" s="2" t="s">
        <v>82</v>
      </c>
      <c r="BA4771" s="2">
        <v>41</v>
      </c>
      <c r="BB4771" s="2" t="s">
        <v>82</v>
      </c>
      <c r="BC4771" s="2">
        <v>41</v>
      </c>
      <c r="BD4771" s="2" t="s">
        <v>82</v>
      </c>
      <c r="BE4771" s="2">
        <v>41</v>
      </c>
      <c r="BF4771" s="2" t="s">
        <v>82</v>
      </c>
      <c r="BG4771" s="2"/>
      <c r="BH4771" s="2"/>
      <c r="BI4771" s="2"/>
      <c r="BJ4771" s="2">
        <v>241</v>
      </c>
      <c r="BK4771" s="2" t="s">
        <v>82</v>
      </c>
      <c r="BL4771" s="2"/>
      <c r="BM4771" s="2">
        <v>241</v>
      </c>
      <c r="BN4771" s="2" t="s">
        <v>82</v>
      </c>
      <c r="BO4771" s="2"/>
      <c r="BP4771" s="2">
        <v>241</v>
      </c>
      <c r="BQ4771" s="2" t="s">
        <v>82</v>
      </c>
      <c r="BR4771" s="2"/>
      <c r="BS4771" s="3">
        <v>40503</v>
      </c>
      <c r="BT4771" s="4">
        <v>0.71831018518518519</v>
      </c>
    </row>
    <row r="4772" spans="1:72" x14ac:dyDescent="0.25">
      <c r="A4772" s="2">
        <v>7387</v>
      </c>
      <c r="B4772" s="2">
        <v>2010</v>
      </c>
      <c r="C4772" s="2" t="s">
        <v>171</v>
      </c>
      <c r="D4772" s="2" t="s">
        <v>73</v>
      </c>
      <c r="E4772" s="2" t="s">
        <v>14740</v>
      </c>
      <c r="F4772" s="2">
        <v>425</v>
      </c>
      <c r="G4772" s="2" t="s">
        <v>286</v>
      </c>
      <c r="H4772" s="2">
        <v>30</v>
      </c>
      <c r="I4772" s="2" t="s">
        <v>912</v>
      </c>
      <c r="J4772" s="2">
        <v>310</v>
      </c>
      <c r="K4772" s="2" t="s">
        <v>288</v>
      </c>
      <c r="L4772" s="2" t="s">
        <v>289</v>
      </c>
      <c r="M4772" s="3">
        <v>40503</v>
      </c>
      <c r="N4772" s="2" t="s">
        <v>4894</v>
      </c>
      <c r="O4772" s="2" t="s">
        <v>7103</v>
      </c>
      <c r="P4772" s="2" t="s">
        <v>14741</v>
      </c>
      <c r="Q4772" s="2" t="str">
        <f>"107/10"</f>
        <v>107/10</v>
      </c>
      <c r="R4772" s="2" t="s">
        <v>822</v>
      </c>
      <c r="S4772" s="2"/>
      <c r="T4772" s="2">
        <v>1</v>
      </c>
      <c r="U4772" s="2" t="s">
        <v>79</v>
      </c>
      <c r="V4772" s="2">
        <v>1</v>
      </c>
      <c r="W4772" s="2" t="s">
        <v>80</v>
      </c>
      <c r="X4772" s="2">
        <v>1</v>
      </c>
      <c r="Y4772" s="2" t="s">
        <v>81</v>
      </c>
      <c r="Z4772" s="2">
        <v>1</v>
      </c>
      <c r="AA4772" s="2" t="s">
        <v>82</v>
      </c>
      <c r="AB4772" s="2">
        <v>1</v>
      </c>
      <c r="AC4772" s="2" t="s">
        <v>178</v>
      </c>
      <c r="AD4772" s="3">
        <v>40503</v>
      </c>
      <c r="AE4772" s="4">
        <v>0.75694444444444453</v>
      </c>
      <c r="AF4772" s="3">
        <v>40503</v>
      </c>
      <c r="AG4772" s="4">
        <v>0.75694444444444453</v>
      </c>
      <c r="AH4772" s="2">
        <v>4</v>
      </c>
      <c r="AI4772" s="2" t="s">
        <v>125</v>
      </c>
      <c r="AJ4772" s="2">
        <v>29</v>
      </c>
      <c r="AK4772" s="2" t="s">
        <v>227</v>
      </c>
      <c r="AL4772" s="2">
        <v>16</v>
      </c>
      <c r="AM4772" s="2" t="s">
        <v>392</v>
      </c>
      <c r="AN4772" s="2" t="s">
        <v>9764</v>
      </c>
      <c r="AO4772" s="2"/>
      <c r="AP4772" s="2">
        <v>11</v>
      </c>
      <c r="AQ4772" s="2" t="s">
        <v>82</v>
      </c>
      <c r="AR4772" s="2" t="s">
        <v>824</v>
      </c>
      <c r="AS4772" s="2" t="s">
        <v>825</v>
      </c>
      <c r="AT4772" s="2" t="s">
        <v>14742</v>
      </c>
      <c r="AU4772" s="2"/>
      <c r="AV4772" s="2"/>
      <c r="AW4772" s="2"/>
      <c r="AX4772" s="2"/>
      <c r="AY4772" s="2">
        <v>41</v>
      </c>
      <c r="AZ4772" s="2" t="s">
        <v>82</v>
      </c>
      <c r="BA4772" s="2">
        <v>41</v>
      </c>
      <c r="BB4772" s="2" t="s">
        <v>82</v>
      </c>
      <c r="BC4772" s="2">
        <v>51</v>
      </c>
      <c r="BD4772" s="2" t="s">
        <v>827</v>
      </c>
      <c r="BE4772" s="2">
        <v>47</v>
      </c>
      <c r="BF4772" s="2" t="s">
        <v>167</v>
      </c>
      <c r="BG4772" s="2">
        <v>2459</v>
      </c>
      <c r="BH4772" s="4">
        <v>0.96875</v>
      </c>
      <c r="BI4772" s="4">
        <v>1.3888888888888888E-2</v>
      </c>
      <c r="BJ4772" s="2">
        <v>13</v>
      </c>
      <c r="BK4772" s="2" t="s">
        <v>91</v>
      </c>
      <c r="BL4772" s="2" t="s">
        <v>828</v>
      </c>
      <c r="BM4772" s="2">
        <v>13</v>
      </c>
      <c r="BN4772" s="2" t="s">
        <v>91</v>
      </c>
      <c r="BO4772" s="2"/>
      <c r="BP4772" s="2">
        <v>13</v>
      </c>
      <c r="BQ4772" s="2" t="s">
        <v>91</v>
      </c>
      <c r="BR4772" s="2" t="s">
        <v>185</v>
      </c>
      <c r="BS4772" s="3">
        <v>40503</v>
      </c>
      <c r="BT4772" s="4">
        <v>0.82474537037037043</v>
      </c>
    </row>
    <row r="4773" spans="1:72" x14ac:dyDescent="0.25">
      <c r="A4773" s="2">
        <v>7388</v>
      </c>
      <c r="B4773" s="2">
        <v>2010</v>
      </c>
      <c r="C4773" s="2" t="s">
        <v>72</v>
      </c>
      <c r="D4773" s="2" t="s">
        <v>73</v>
      </c>
      <c r="E4773" s="2"/>
      <c r="F4773" s="2">
        <v>2</v>
      </c>
      <c r="G4773" s="2" t="s">
        <v>113</v>
      </c>
      <c r="H4773" s="2">
        <v>50</v>
      </c>
      <c r="I4773" s="2" t="s">
        <v>107</v>
      </c>
      <c r="J4773" s="2">
        <v>300</v>
      </c>
      <c r="K4773" s="2" t="s">
        <v>114</v>
      </c>
      <c r="L4773" s="2" t="s">
        <v>115</v>
      </c>
      <c r="M4773" s="3">
        <v>40503</v>
      </c>
      <c r="N4773" s="2"/>
      <c r="O4773" s="2"/>
      <c r="P4773" s="2"/>
      <c r="Q4773" s="2" t="str">
        <f>"621-E/10"</f>
        <v>621-E/10</v>
      </c>
      <c r="R4773" s="2" t="s">
        <v>601</v>
      </c>
      <c r="S4773" s="2"/>
      <c r="T4773" s="2">
        <v>1</v>
      </c>
      <c r="U4773" s="2" t="s">
        <v>79</v>
      </c>
      <c r="V4773" s="2">
        <v>1</v>
      </c>
      <c r="W4773" s="2" t="s">
        <v>80</v>
      </c>
      <c r="X4773" s="2">
        <v>12</v>
      </c>
      <c r="Y4773" s="2" t="s">
        <v>148</v>
      </c>
      <c r="Z4773" s="2">
        <v>1</v>
      </c>
      <c r="AA4773" s="2" t="s">
        <v>82</v>
      </c>
      <c r="AB4773" s="2">
        <v>6</v>
      </c>
      <c r="AC4773" s="2" t="s">
        <v>83</v>
      </c>
      <c r="AD4773" s="3">
        <v>40503</v>
      </c>
      <c r="AE4773" s="2"/>
      <c r="AF4773" s="3">
        <v>40503</v>
      </c>
      <c r="AG4773" s="4">
        <v>0.77777777777777779</v>
      </c>
      <c r="AH4773" s="2">
        <v>2</v>
      </c>
      <c r="AI4773" s="2" t="s">
        <v>84</v>
      </c>
      <c r="AJ4773" s="2">
        <v>9</v>
      </c>
      <c r="AK4773" s="2" t="s">
        <v>103</v>
      </c>
      <c r="AL4773" s="2">
        <v>26</v>
      </c>
      <c r="AM4773" s="2" t="s">
        <v>6036</v>
      </c>
      <c r="AN4773" s="2"/>
      <c r="AO4773" s="2" t="s">
        <v>14743</v>
      </c>
      <c r="AP4773" s="2">
        <v>11</v>
      </c>
      <c r="AQ4773" s="2" t="s">
        <v>82</v>
      </c>
      <c r="AR4773" s="2"/>
      <c r="AS4773" s="2"/>
      <c r="AT4773" s="2" t="s">
        <v>14744</v>
      </c>
      <c r="AU4773" s="2"/>
      <c r="AV4773" s="2"/>
      <c r="AW4773" s="2"/>
      <c r="AX4773" s="2"/>
      <c r="AY4773" s="2">
        <v>41</v>
      </c>
      <c r="AZ4773" s="2" t="s">
        <v>82</v>
      </c>
      <c r="BA4773" s="2">
        <v>41</v>
      </c>
      <c r="BB4773" s="2" t="s">
        <v>82</v>
      </c>
      <c r="BC4773" s="2">
        <v>41</v>
      </c>
      <c r="BD4773" s="2" t="s">
        <v>82</v>
      </c>
      <c r="BE4773" s="2">
        <v>41</v>
      </c>
      <c r="BF4773" s="2" t="s">
        <v>82</v>
      </c>
      <c r="BG4773" s="2"/>
      <c r="BH4773" s="2"/>
      <c r="BI4773" s="2"/>
      <c r="BJ4773" s="2">
        <v>241</v>
      </c>
      <c r="BK4773" s="2" t="s">
        <v>82</v>
      </c>
      <c r="BL4773" s="2"/>
      <c r="BM4773" s="2">
        <v>241</v>
      </c>
      <c r="BN4773" s="2" t="s">
        <v>82</v>
      </c>
      <c r="BO4773" s="2"/>
      <c r="BP4773" s="2">
        <v>241</v>
      </c>
      <c r="BQ4773" s="2" t="s">
        <v>82</v>
      </c>
      <c r="BR4773" s="2"/>
      <c r="BS4773" s="3">
        <v>40503</v>
      </c>
      <c r="BT4773" s="4">
        <v>0.84546296296296297</v>
      </c>
    </row>
    <row r="4774" spans="1:72" x14ac:dyDescent="0.25">
      <c r="A4774" s="2">
        <v>7389</v>
      </c>
      <c r="B4774" s="2">
        <v>2010</v>
      </c>
      <c r="C4774" s="2" t="s">
        <v>171</v>
      </c>
      <c r="D4774" s="2" t="s">
        <v>73</v>
      </c>
      <c r="E4774" s="2" t="s">
        <v>14745</v>
      </c>
      <c r="F4774" s="2">
        <v>451</v>
      </c>
      <c r="G4774" s="2" t="s">
        <v>879</v>
      </c>
      <c r="H4774" s="2">
        <v>31</v>
      </c>
      <c r="I4774" s="2" t="s">
        <v>880</v>
      </c>
      <c r="J4774" s="2">
        <v>326</v>
      </c>
      <c r="K4774" s="2" t="s">
        <v>881</v>
      </c>
      <c r="L4774" s="2" t="s">
        <v>882</v>
      </c>
      <c r="M4774" s="3">
        <v>40503</v>
      </c>
      <c r="N4774" s="2" t="s">
        <v>7596</v>
      </c>
      <c r="O4774" s="2" t="s">
        <v>11611</v>
      </c>
      <c r="P4774" s="2" t="s">
        <v>14746</v>
      </c>
      <c r="Q4774" s="2" t="str">
        <f>"096/10"</f>
        <v>096/10</v>
      </c>
      <c r="R4774" s="2" t="s">
        <v>822</v>
      </c>
      <c r="S4774" s="2"/>
      <c r="T4774" s="2">
        <v>1</v>
      </c>
      <c r="U4774" s="2" t="s">
        <v>79</v>
      </c>
      <c r="V4774" s="2">
        <v>1</v>
      </c>
      <c r="W4774" s="2" t="s">
        <v>80</v>
      </c>
      <c r="X4774" s="2">
        <v>1</v>
      </c>
      <c r="Y4774" s="2" t="s">
        <v>81</v>
      </c>
      <c r="Z4774" s="2">
        <v>1</v>
      </c>
      <c r="AA4774" s="2" t="s">
        <v>82</v>
      </c>
      <c r="AB4774" s="2">
        <v>1</v>
      </c>
      <c r="AC4774" s="2" t="s">
        <v>178</v>
      </c>
      <c r="AD4774" s="3">
        <v>40503</v>
      </c>
      <c r="AE4774" s="4">
        <v>0.80208333333333337</v>
      </c>
      <c r="AF4774" s="3">
        <v>40503</v>
      </c>
      <c r="AG4774" s="4">
        <v>0.80208333333333337</v>
      </c>
      <c r="AH4774" s="2">
        <v>4</v>
      </c>
      <c r="AI4774" s="2" t="s">
        <v>125</v>
      </c>
      <c r="AJ4774" s="2">
        <v>29</v>
      </c>
      <c r="AK4774" s="2" t="s">
        <v>227</v>
      </c>
      <c r="AL4774" s="2">
        <v>22</v>
      </c>
      <c r="AM4774" s="2" t="s">
        <v>1853</v>
      </c>
      <c r="AN4774" s="2"/>
      <c r="AO4774" s="2" t="s">
        <v>9764</v>
      </c>
      <c r="AP4774" s="2">
        <v>12</v>
      </c>
      <c r="AQ4774" s="2" t="s">
        <v>322</v>
      </c>
      <c r="AR4774" s="2" t="s">
        <v>824</v>
      </c>
      <c r="AS4774" s="2" t="s">
        <v>825</v>
      </c>
      <c r="AT4774" s="2" t="s">
        <v>14747</v>
      </c>
      <c r="AU4774" s="2"/>
      <c r="AV4774" s="2"/>
      <c r="AW4774" s="2"/>
      <c r="AX4774" s="2"/>
      <c r="AY4774" s="2">
        <v>41</v>
      </c>
      <c r="AZ4774" s="2" t="s">
        <v>82</v>
      </c>
      <c r="BA4774" s="2">
        <v>41</v>
      </c>
      <c r="BB4774" s="2" t="s">
        <v>82</v>
      </c>
      <c r="BC4774" s="2">
        <v>51</v>
      </c>
      <c r="BD4774" s="2" t="s">
        <v>827</v>
      </c>
      <c r="BE4774" s="2">
        <v>47</v>
      </c>
      <c r="BF4774" s="2" t="s">
        <v>167</v>
      </c>
      <c r="BG4774" s="2">
        <v>2459</v>
      </c>
      <c r="BH4774" s="4">
        <v>0.90972222222222221</v>
      </c>
      <c r="BI4774" s="4">
        <v>0.93055555555555547</v>
      </c>
      <c r="BJ4774" s="2">
        <v>13</v>
      </c>
      <c r="BK4774" s="2" t="s">
        <v>91</v>
      </c>
      <c r="BL4774" s="2" t="s">
        <v>828</v>
      </c>
      <c r="BM4774" s="2">
        <v>13</v>
      </c>
      <c r="BN4774" s="2" t="s">
        <v>91</v>
      </c>
      <c r="BO4774" s="2"/>
      <c r="BP4774" s="2">
        <v>13</v>
      </c>
      <c r="BQ4774" s="2" t="s">
        <v>91</v>
      </c>
      <c r="BR4774" s="2" t="s">
        <v>185</v>
      </c>
      <c r="BS4774" s="3">
        <v>40503</v>
      </c>
      <c r="BT4774" s="4">
        <v>0.8820486111111111</v>
      </c>
    </row>
    <row r="4775" spans="1:72" x14ac:dyDescent="0.25">
      <c r="A4775" s="2">
        <v>7390</v>
      </c>
      <c r="B4775" s="2">
        <v>2010</v>
      </c>
      <c r="C4775" s="2" t="s">
        <v>72</v>
      </c>
      <c r="D4775" s="2" t="s">
        <v>122</v>
      </c>
      <c r="E4775" s="2" t="s">
        <v>14748</v>
      </c>
      <c r="F4775" s="2">
        <v>2</v>
      </c>
      <c r="G4775" s="2" t="s">
        <v>113</v>
      </c>
      <c r="H4775" s="2">
        <v>149</v>
      </c>
      <c r="I4775" s="2" t="s">
        <v>14672</v>
      </c>
      <c r="J4775" s="2">
        <v>300</v>
      </c>
      <c r="K4775" s="2" t="s">
        <v>114</v>
      </c>
      <c r="L4775" s="2" t="s">
        <v>115</v>
      </c>
      <c r="M4775" s="3">
        <v>40503</v>
      </c>
      <c r="N4775" s="2"/>
      <c r="O4775" s="2"/>
      <c r="P4775" s="2"/>
      <c r="Q4775" s="2" t="str">
        <f>"620-E/10"</f>
        <v>620-E/10</v>
      </c>
      <c r="R4775" s="2" t="s">
        <v>116</v>
      </c>
      <c r="S4775" s="2"/>
      <c r="T4775" s="2">
        <v>1</v>
      </c>
      <c r="U4775" s="2" t="s">
        <v>79</v>
      </c>
      <c r="V4775" s="2">
        <v>1</v>
      </c>
      <c r="W4775" s="2" t="s">
        <v>80</v>
      </c>
      <c r="X4775" s="2">
        <v>12</v>
      </c>
      <c r="Y4775" s="2" t="s">
        <v>148</v>
      </c>
      <c r="Z4775" s="2">
        <v>1</v>
      </c>
      <c r="AA4775" s="2" t="s">
        <v>82</v>
      </c>
      <c r="AB4775" s="2">
        <v>6</v>
      </c>
      <c r="AC4775" s="2" t="s">
        <v>83</v>
      </c>
      <c r="AD4775" s="3">
        <v>40502</v>
      </c>
      <c r="AE4775" s="4">
        <v>0.95833333333333337</v>
      </c>
      <c r="AF4775" s="3">
        <v>40503</v>
      </c>
      <c r="AG4775" s="4">
        <v>0.60416666666666663</v>
      </c>
      <c r="AH4775" s="2">
        <v>2</v>
      </c>
      <c r="AI4775" s="2" t="s">
        <v>84</v>
      </c>
      <c r="AJ4775" s="2">
        <v>9</v>
      </c>
      <c r="AK4775" s="2" t="s">
        <v>103</v>
      </c>
      <c r="AL4775" s="2">
        <v>21</v>
      </c>
      <c r="AM4775" s="2" t="s">
        <v>1311</v>
      </c>
      <c r="AN4775" s="2"/>
      <c r="AO4775" s="2" t="s">
        <v>14749</v>
      </c>
      <c r="AP4775" s="2">
        <v>11</v>
      </c>
      <c r="AQ4775" s="2" t="s">
        <v>82</v>
      </c>
      <c r="AR4775" s="2"/>
      <c r="AS4775" s="2"/>
      <c r="AT4775" s="2" t="s">
        <v>14750</v>
      </c>
      <c r="AU4775" s="2"/>
      <c r="AV4775" s="2"/>
      <c r="AW4775" s="2"/>
      <c r="AX4775" s="2"/>
      <c r="AY4775" s="2">
        <v>41</v>
      </c>
      <c r="AZ4775" s="2" t="s">
        <v>82</v>
      </c>
      <c r="BA4775" s="2">
        <v>41</v>
      </c>
      <c r="BB4775" s="2" t="s">
        <v>82</v>
      </c>
      <c r="BC4775" s="2">
        <v>41</v>
      </c>
      <c r="BD4775" s="2" t="s">
        <v>82</v>
      </c>
      <c r="BE4775" s="2">
        <v>26</v>
      </c>
      <c r="BF4775" s="2" t="s">
        <v>1999</v>
      </c>
      <c r="BG4775" s="2" t="s">
        <v>14751</v>
      </c>
      <c r="BH4775" s="4">
        <v>0.90972222222222221</v>
      </c>
      <c r="BI4775" s="2"/>
      <c r="BJ4775" s="2">
        <v>75</v>
      </c>
      <c r="BK4775" s="2" t="s">
        <v>1264</v>
      </c>
      <c r="BL4775" s="2" t="s">
        <v>1361</v>
      </c>
      <c r="BM4775" s="2">
        <v>13</v>
      </c>
      <c r="BN4775" s="2" t="s">
        <v>91</v>
      </c>
      <c r="BO4775" s="2"/>
      <c r="BP4775" s="2">
        <v>13</v>
      </c>
      <c r="BQ4775" s="2" t="s">
        <v>91</v>
      </c>
      <c r="BR4775" s="2" t="s">
        <v>185</v>
      </c>
      <c r="BS4775" s="3">
        <v>40503</v>
      </c>
      <c r="BT4775" s="4">
        <v>0.92034722222222232</v>
      </c>
    </row>
    <row r="4776" spans="1:72" x14ac:dyDescent="0.25">
      <c r="A4776" s="2">
        <v>7392</v>
      </c>
      <c r="B4776" s="2">
        <v>2010</v>
      </c>
      <c r="C4776" s="2" t="s">
        <v>72</v>
      </c>
      <c r="D4776" s="2" t="s">
        <v>122</v>
      </c>
      <c r="E4776" s="2" t="s">
        <v>14752</v>
      </c>
      <c r="F4776" s="2">
        <v>308</v>
      </c>
      <c r="G4776" s="2" t="s">
        <v>8481</v>
      </c>
      <c r="H4776" s="2">
        <v>2</v>
      </c>
      <c r="I4776" s="2" t="s">
        <v>267</v>
      </c>
      <c r="J4776" s="2">
        <v>163</v>
      </c>
      <c r="K4776" s="2" t="s">
        <v>316</v>
      </c>
      <c r="L4776" s="2" t="s">
        <v>317</v>
      </c>
      <c r="M4776" s="3">
        <v>40504</v>
      </c>
      <c r="N4776" s="2" t="s">
        <v>14736</v>
      </c>
      <c r="O4776" s="2"/>
      <c r="P4776" s="2"/>
      <c r="Q4776" s="2" t="str">
        <f>"PS 435-A/10"</f>
        <v>PS 435-A/10</v>
      </c>
      <c r="R4776" s="2" t="s">
        <v>116</v>
      </c>
      <c r="S4776" s="2"/>
      <c r="T4776" s="2">
        <v>1</v>
      </c>
      <c r="U4776" s="2" t="s">
        <v>79</v>
      </c>
      <c r="V4776" s="2">
        <v>1</v>
      </c>
      <c r="W4776" s="2" t="s">
        <v>80</v>
      </c>
      <c r="X4776" s="2">
        <v>12</v>
      </c>
      <c r="Y4776" s="2" t="s">
        <v>148</v>
      </c>
      <c r="Z4776" s="2">
        <v>1</v>
      </c>
      <c r="AA4776" s="2" t="s">
        <v>82</v>
      </c>
      <c r="AB4776" s="2">
        <v>6</v>
      </c>
      <c r="AC4776" s="2" t="s">
        <v>83</v>
      </c>
      <c r="AD4776" s="3">
        <v>40503</v>
      </c>
      <c r="AE4776" s="4">
        <v>0.1875</v>
      </c>
      <c r="AF4776" s="3">
        <v>40503</v>
      </c>
      <c r="AG4776" s="4">
        <v>0.21180555555555555</v>
      </c>
      <c r="AH4776" s="2">
        <v>2</v>
      </c>
      <c r="AI4776" s="2" t="s">
        <v>84</v>
      </c>
      <c r="AJ4776" s="2">
        <v>12</v>
      </c>
      <c r="AK4776" s="2" t="s">
        <v>85</v>
      </c>
      <c r="AL4776" s="2">
        <v>12</v>
      </c>
      <c r="AM4776" s="2" t="s">
        <v>86</v>
      </c>
      <c r="AN4776" s="2"/>
      <c r="AO4776" s="2" t="s">
        <v>1945</v>
      </c>
      <c r="AP4776" s="2">
        <v>11</v>
      </c>
      <c r="AQ4776" s="2" t="s">
        <v>82</v>
      </c>
      <c r="AR4776" s="2"/>
      <c r="AS4776" s="2"/>
      <c r="AT4776" s="2" t="s">
        <v>14753</v>
      </c>
      <c r="AU4776" s="2">
        <v>1</v>
      </c>
      <c r="AV4776" s="2"/>
      <c r="AW4776" s="2"/>
      <c r="AX4776" s="2"/>
      <c r="AY4776" s="2">
        <v>41</v>
      </c>
      <c r="AZ4776" s="2" t="s">
        <v>82</v>
      </c>
      <c r="BA4776" s="2">
        <v>41</v>
      </c>
      <c r="BB4776" s="2" t="s">
        <v>82</v>
      </c>
      <c r="BC4776" s="2">
        <v>41</v>
      </c>
      <c r="BD4776" s="2" t="s">
        <v>82</v>
      </c>
      <c r="BE4776" s="2">
        <v>41</v>
      </c>
      <c r="BF4776" s="2" t="s">
        <v>82</v>
      </c>
      <c r="BG4776" s="2"/>
      <c r="BH4776" s="2"/>
      <c r="BI4776" s="2"/>
      <c r="BJ4776" s="2">
        <v>241</v>
      </c>
      <c r="BK4776" s="2" t="s">
        <v>82</v>
      </c>
      <c r="BL4776" s="2"/>
      <c r="BM4776" s="2">
        <v>241</v>
      </c>
      <c r="BN4776" s="2" t="s">
        <v>82</v>
      </c>
      <c r="BO4776" s="2"/>
      <c r="BP4776" s="2">
        <v>241</v>
      </c>
      <c r="BQ4776" s="2" t="s">
        <v>82</v>
      </c>
      <c r="BR4776" s="2"/>
      <c r="BS4776" s="3">
        <v>40504</v>
      </c>
      <c r="BT4776" s="4">
        <v>2.0428240740740743E-2</v>
      </c>
    </row>
    <row r="4777" spans="1:72" x14ac:dyDescent="0.25">
      <c r="A4777" s="2">
        <v>7393</v>
      </c>
      <c r="B4777" s="2">
        <v>2010</v>
      </c>
      <c r="C4777" s="2" t="s">
        <v>72</v>
      </c>
      <c r="D4777" s="2" t="s">
        <v>73</v>
      </c>
      <c r="E4777" s="2"/>
      <c r="F4777" s="2">
        <v>2</v>
      </c>
      <c r="G4777" s="2" t="s">
        <v>113</v>
      </c>
      <c r="H4777" s="2">
        <v>50</v>
      </c>
      <c r="I4777" s="2" t="s">
        <v>107</v>
      </c>
      <c r="J4777" s="2">
        <v>300</v>
      </c>
      <c r="K4777" s="2" t="s">
        <v>114</v>
      </c>
      <c r="L4777" s="2" t="s">
        <v>115</v>
      </c>
      <c r="M4777" s="3">
        <v>40504</v>
      </c>
      <c r="N4777" s="2"/>
      <c r="O4777" s="2"/>
      <c r="P4777" s="2"/>
      <c r="Q4777" s="2" t="str">
        <f>"622-E/10"</f>
        <v>622-E/10</v>
      </c>
      <c r="R4777" s="2" t="s">
        <v>1847</v>
      </c>
      <c r="S4777" s="2" t="s">
        <v>1847</v>
      </c>
      <c r="T4777" s="2">
        <v>1</v>
      </c>
      <c r="U4777" s="2" t="s">
        <v>79</v>
      </c>
      <c r="V4777" s="2">
        <v>1</v>
      </c>
      <c r="W4777" s="2" t="s">
        <v>80</v>
      </c>
      <c r="X4777" s="2">
        <v>12</v>
      </c>
      <c r="Y4777" s="2" t="s">
        <v>148</v>
      </c>
      <c r="Z4777" s="2">
        <v>1</v>
      </c>
      <c r="AA4777" s="2" t="s">
        <v>82</v>
      </c>
      <c r="AB4777" s="2">
        <v>6</v>
      </c>
      <c r="AC4777" s="2" t="s">
        <v>83</v>
      </c>
      <c r="AD4777" s="3">
        <v>40503</v>
      </c>
      <c r="AE4777" s="2"/>
      <c r="AF4777" s="3">
        <v>40503</v>
      </c>
      <c r="AG4777" s="4">
        <v>0.92013888888888884</v>
      </c>
      <c r="AH4777" s="2">
        <v>2</v>
      </c>
      <c r="AI4777" s="2" t="s">
        <v>84</v>
      </c>
      <c r="AJ4777" s="2">
        <v>9</v>
      </c>
      <c r="AK4777" s="2" t="s">
        <v>103</v>
      </c>
      <c r="AL4777" s="2">
        <v>23</v>
      </c>
      <c r="AM4777" s="2" t="s">
        <v>251</v>
      </c>
      <c r="AN4777" s="2"/>
      <c r="AO4777" s="2" t="s">
        <v>14754</v>
      </c>
      <c r="AP4777" s="2">
        <v>11</v>
      </c>
      <c r="AQ4777" s="2" t="s">
        <v>82</v>
      </c>
      <c r="AR4777" s="2"/>
      <c r="AS4777" s="2"/>
      <c r="AT4777" s="2" t="s">
        <v>14755</v>
      </c>
      <c r="AU4777" s="2"/>
      <c r="AV4777" s="2"/>
      <c r="AW4777" s="2"/>
      <c r="AX4777" s="2"/>
      <c r="AY4777" s="2">
        <v>41</v>
      </c>
      <c r="AZ4777" s="2" t="s">
        <v>82</v>
      </c>
      <c r="BA4777" s="2">
        <v>41</v>
      </c>
      <c r="BB4777" s="2" t="s">
        <v>82</v>
      </c>
      <c r="BC4777" s="2">
        <v>41</v>
      </c>
      <c r="BD4777" s="2" t="s">
        <v>82</v>
      </c>
      <c r="BE4777" s="2">
        <v>41</v>
      </c>
      <c r="BF4777" s="2" t="s">
        <v>82</v>
      </c>
      <c r="BG4777" s="2"/>
      <c r="BH4777" s="2"/>
      <c r="BI4777" s="2"/>
      <c r="BJ4777" s="2">
        <v>241</v>
      </c>
      <c r="BK4777" s="2" t="s">
        <v>82</v>
      </c>
      <c r="BL4777" s="2"/>
      <c r="BM4777" s="2">
        <v>241</v>
      </c>
      <c r="BN4777" s="2" t="s">
        <v>82</v>
      </c>
      <c r="BO4777" s="2"/>
      <c r="BP4777" s="2">
        <v>241</v>
      </c>
      <c r="BQ4777" s="2" t="s">
        <v>82</v>
      </c>
      <c r="BR4777" s="2"/>
      <c r="BS4777" s="3">
        <v>40504</v>
      </c>
      <c r="BT4777" s="4">
        <v>0.12859953703703705</v>
      </c>
    </row>
    <row r="4778" spans="1:72" x14ac:dyDescent="0.25">
      <c r="A4778" s="2">
        <v>7394</v>
      </c>
      <c r="B4778" s="2">
        <v>2010</v>
      </c>
      <c r="C4778" s="2" t="s">
        <v>377</v>
      </c>
      <c r="D4778" s="2" t="s">
        <v>73</v>
      </c>
      <c r="E4778" s="2"/>
      <c r="F4778" s="2">
        <v>426</v>
      </c>
      <c r="G4778" s="2" t="s">
        <v>378</v>
      </c>
      <c r="H4778" s="2">
        <v>50</v>
      </c>
      <c r="I4778" s="2" t="s">
        <v>107</v>
      </c>
      <c r="J4778" s="2">
        <v>311</v>
      </c>
      <c r="K4778" s="2" t="s">
        <v>379</v>
      </c>
      <c r="L4778" s="2" t="s">
        <v>380</v>
      </c>
      <c r="M4778" s="3">
        <v>40504</v>
      </c>
      <c r="N4778" s="2"/>
      <c r="O4778" s="2"/>
      <c r="P4778" s="2"/>
      <c r="Q4778" s="2" t="str">
        <f>"294-E/10"</f>
        <v>294-E/10</v>
      </c>
      <c r="R4778" s="2" t="s">
        <v>5773</v>
      </c>
      <c r="S4778" s="2"/>
      <c r="T4778" s="2">
        <v>1</v>
      </c>
      <c r="U4778" s="2" t="s">
        <v>79</v>
      </c>
      <c r="V4778" s="2">
        <v>1</v>
      </c>
      <c r="W4778" s="2" t="s">
        <v>80</v>
      </c>
      <c r="X4778" s="2">
        <v>1</v>
      </c>
      <c r="Y4778" s="2" t="s">
        <v>81</v>
      </c>
      <c r="Z4778" s="2">
        <v>1</v>
      </c>
      <c r="AA4778" s="2" t="s">
        <v>82</v>
      </c>
      <c r="AB4778" s="2">
        <v>9</v>
      </c>
      <c r="AC4778" s="2" t="s">
        <v>124</v>
      </c>
      <c r="AD4778" s="3">
        <v>40503</v>
      </c>
      <c r="AE4778" s="4">
        <v>0.8125</v>
      </c>
      <c r="AF4778" s="3">
        <v>40503</v>
      </c>
      <c r="AG4778" s="4">
        <v>0.95833333333333337</v>
      </c>
      <c r="AH4778" s="2">
        <v>2</v>
      </c>
      <c r="AI4778" s="2" t="s">
        <v>84</v>
      </c>
      <c r="AJ4778" s="2">
        <v>9</v>
      </c>
      <c r="AK4778" s="2" t="s">
        <v>103</v>
      </c>
      <c r="AL4778" s="2">
        <v>29</v>
      </c>
      <c r="AM4778" s="2" t="s">
        <v>5416</v>
      </c>
      <c r="AN4778" s="2" t="s">
        <v>590</v>
      </c>
      <c r="AO4778" s="2" t="s">
        <v>1936</v>
      </c>
      <c r="AP4778" s="2">
        <v>11</v>
      </c>
      <c r="AQ4778" s="2" t="s">
        <v>82</v>
      </c>
      <c r="AR4778" s="2"/>
      <c r="AS4778" s="2"/>
      <c r="AT4778" s="2" t="s">
        <v>14756</v>
      </c>
      <c r="AU4778" s="2"/>
      <c r="AV4778" s="2"/>
      <c r="AW4778" s="2"/>
      <c r="AX4778" s="2"/>
      <c r="AY4778" s="2">
        <v>41</v>
      </c>
      <c r="AZ4778" s="2" t="s">
        <v>82</v>
      </c>
      <c r="BA4778" s="2">
        <v>41</v>
      </c>
      <c r="BB4778" s="2" t="s">
        <v>82</v>
      </c>
      <c r="BC4778" s="2">
        <v>41</v>
      </c>
      <c r="BD4778" s="2" t="s">
        <v>82</v>
      </c>
      <c r="BE4778" s="2">
        <v>41</v>
      </c>
      <c r="BF4778" s="2" t="s">
        <v>82</v>
      </c>
      <c r="BG4778" s="2"/>
      <c r="BH4778" s="2"/>
      <c r="BI4778" s="2"/>
      <c r="BJ4778" s="2">
        <v>241</v>
      </c>
      <c r="BK4778" s="2" t="s">
        <v>82</v>
      </c>
      <c r="BL4778" s="2"/>
      <c r="BM4778" s="2">
        <v>241</v>
      </c>
      <c r="BN4778" s="2" t="s">
        <v>82</v>
      </c>
      <c r="BO4778" s="2"/>
      <c r="BP4778" s="2">
        <v>241</v>
      </c>
      <c r="BQ4778" s="2" t="s">
        <v>82</v>
      </c>
      <c r="BR4778" s="2"/>
      <c r="BS4778" s="3">
        <v>40504</v>
      </c>
      <c r="BT4778" s="4">
        <v>0.15945601851851851</v>
      </c>
    </row>
    <row r="4779" spans="1:72" x14ac:dyDescent="0.25">
      <c r="A4779" s="2">
        <v>7395</v>
      </c>
      <c r="B4779" s="2">
        <v>2010</v>
      </c>
      <c r="C4779" s="2" t="s">
        <v>377</v>
      </c>
      <c r="D4779" s="2" t="s">
        <v>73</v>
      </c>
      <c r="E4779" s="2"/>
      <c r="F4779" s="2">
        <v>426</v>
      </c>
      <c r="G4779" s="2" t="s">
        <v>378</v>
      </c>
      <c r="H4779" s="2">
        <v>1</v>
      </c>
      <c r="I4779" s="2" t="s">
        <v>82</v>
      </c>
      <c r="J4779" s="2">
        <v>311</v>
      </c>
      <c r="K4779" s="2" t="s">
        <v>379</v>
      </c>
      <c r="L4779" s="2" t="s">
        <v>380</v>
      </c>
      <c r="M4779" s="3">
        <v>40504</v>
      </c>
      <c r="N4779" s="2"/>
      <c r="O4779" s="2"/>
      <c r="P4779" s="2"/>
      <c r="Q4779" s="2" t="str">
        <f>"293-C/10"</f>
        <v>293-C/10</v>
      </c>
      <c r="R4779" s="2"/>
      <c r="S4779" s="2" t="s">
        <v>1344</v>
      </c>
      <c r="T4779" s="2">
        <v>1</v>
      </c>
      <c r="U4779" s="2" t="s">
        <v>79</v>
      </c>
      <c r="V4779" s="2">
        <v>1</v>
      </c>
      <c r="W4779" s="2" t="s">
        <v>80</v>
      </c>
      <c r="X4779" s="2">
        <v>1</v>
      </c>
      <c r="Y4779" s="2" t="s">
        <v>81</v>
      </c>
      <c r="Z4779" s="2">
        <v>1</v>
      </c>
      <c r="AA4779" s="2" t="s">
        <v>82</v>
      </c>
      <c r="AB4779" s="2">
        <v>9</v>
      </c>
      <c r="AC4779" s="2" t="s">
        <v>124</v>
      </c>
      <c r="AD4779" s="3">
        <v>40503</v>
      </c>
      <c r="AE4779" s="4">
        <v>0.64583333333333337</v>
      </c>
      <c r="AF4779" s="3">
        <v>40503</v>
      </c>
      <c r="AG4779" s="4">
        <v>0.68055555555555547</v>
      </c>
      <c r="AH4779" s="2">
        <v>2</v>
      </c>
      <c r="AI4779" s="2" t="s">
        <v>84</v>
      </c>
      <c r="AJ4779" s="2">
        <v>9</v>
      </c>
      <c r="AK4779" s="2" t="s">
        <v>103</v>
      </c>
      <c r="AL4779" s="2">
        <v>29</v>
      </c>
      <c r="AM4779" s="2" t="s">
        <v>5416</v>
      </c>
      <c r="AN4779" s="2" t="s">
        <v>14757</v>
      </c>
      <c r="AO4779" s="2"/>
      <c r="AP4779" s="2">
        <v>11</v>
      </c>
      <c r="AQ4779" s="2" t="s">
        <v>82</v>
      </c>
      <c r="AR4779" s="2"/>
      <c r="AS4779" s="2"/>
      <c r="AT4779" s="2" t="s">
        <v>14758</v>
      </c>
      <c r="AU4779" s="2"/>
      <c r="AV4779" s="2"/>
      <c r="AW4779" s="2"/>
      <c r="AX4779" s="2"/>
      <c r="AY4779" s="2">
        <v>41</v>
      </c>
      <c r="AZ4779" s="2" t="s">
        <v>82</v>
      </c>
      <c r="BA4779" s="2">
        <v>41</v>
      </c>
      <c r="BB4779" s="2" t="s">
        <v>82</v>
      </c>
      <c r="BC4779" s="2">
        <v>41</v>
      </c>
      <c r="BD4779" s="2" t="s">
        <v>82</v>
      </c>
      <c r="BE4779" s="2">
        <v>41</v>
      </c>
      <c r="BF4779" s="2" t="s">
        <v>82</v>
      </c>
      <c r="BG4779" s="2"/>
      <c r="BH4779" s="2"/>
      <c r="BI4779" s="2"/>
      <c r="BJ4779" s="2">
        <v>241</v>
      </c>
      <c r="BK4779" s="2" t="s">
        <v>82</v>
      </c>
      <c r="BL4779" s="2"/>
      <c r="BM4779" s="2">
        <v>241</v>
      </c>
      <c r="BN4779" s="2" t="s">
        <v>82</v>
      </c>
      <c r="BO4779" s="2"/>
      <c r="BP4779" s="2">
        <v>241</v>
      </c>
      <c r="BQ4779" s="2" t="s">
        <v>82</v>
      </c>
      <c r="BR4779" s="2"/>
      <c r="BS4779" s="3">
        <v>40504</v>
      </c>
      <c r="BT4779" s="4">
        <v>0.3426967592592593</v>
      </c>
    </row>
    <row r="4780" spans="1:72" x14ac:dyDescent="0.25">
      <c r="A4780" s="2">
        <v>7396</v>
      </c>
      <c r="B4780" s="2">
        <v>2010</v>
      </c>
      <c r="C4780" s="2" t="s">
        <v>4543</v>
      </c>
      <c r="D4780" s="2" t="s">
        <v>122</v>
      </c>
      <c r="E4780" s="2" t="s">
        <v>14759</v>
      </c>
      <c r="F4780" s="2">
        <v>1</v>
      </c>
      <c r="G4780" s="2" t="s">
        <v>82</v>
      </c>
      <c r="H4780" s="2">
        <v>1</v>
      </c>
      <c r="I4780" s="2" t="s">
        <v>82</v>
      </c>
      <c r="J4780" s="2">
        <v>1</v>
      </c>
      <c r="K4780" s="2" t="s">
        <v>107</v>
      </c>
      <c r="L4780" s="2" t="s">
        <v>107</v>
      </c>
      <c r="M4780" s="3">
        <v>40504</v>
      </c>
      <c r="N4780" s="2"/>
      <c r="O4780" s="2"/>
      <c r="P4780" s="2"/>
      <c r="Q4780" s="2" t="str">
        <f>""</f>
        <v/>
      </c>
      <c r="R4780" s="2"/>
      <c r="S4780" s="2"/>
      <c r="T4780" s="2">
        <v>2</v>
      </c>
      <c r="U4780" s="2" t="s">
        <v>123</v>
      </c>
      <c r="V4780" s="2">
        <v>1</v>
      </c>
      <c r="W4780" s="2" t="s">
        <v>80</v>
      </c>
      <c r="X4780" s="2">
        <v>5</v>
      </c>
      <c r="Y4780" s="2" t="s">
        <v>82</v>
      </c>
      <c r="Z4780" s="2">
        <v>1</v>
      </c>
      <c r="AA4780" s="2" t="s">
        <v>82</v>
      </c>
      <c r="AB4780" s="2">
        <v>9</v>
      </c>
      <c r="AC4780" s="2" t="s">
        <v>124</v>
      </c>
      <c r="AD4780" s="3">
        <v>40504</v>
      </c>
      <c r="AE4780" s="4">
        <v>0.33333333333333331</v>
      </c>
      <c r="AF4780" s="3">
        <v>40504</v>
      </c>
      <c r="AG4780" s="4">
        <v>0.33333333333333331</v>
      </c>
      <c r="AH4780" s="2">
        <v>5</v>
      </c>
      <c r="AI4780" s="2" t="s">
        <v>274</v>
      </c>
      <c r="AJ4780" s="2">
        <v>43</v>
      </c>
      <c r="AK4780" s="2" t="s">
        <v>918</v>
      </c>
      <c r="AL4780" s="2">
        <v>19</v>
      </c>
      <c r="AM4780" s="2" t="s">
        <v>107</v>
      </c>
      <c r="AN4780" s="2"/>
      <c r="AO4780" s="2"/>
      <c r="AP4780" s="2">
        <v>11</v>
      </c>
      <c r="AQ4780" s="2" t="s">
        <v>82</v>
      </c>
      <c r="AR4780" s="2"/>
      <c r="AS4780" s="2"/>
      <c r="AT4780" s="2" t="s">
        <v>14760</v>
      </c>
      <c r="AU4780" s="2"/>
      <c r="AV4780" s="2"/>
      <c r="AW4780" s="2"/>
      <c r="AX4780" s="2"/>
      <c r="AY4780" s="2">
        <v>41</v>
      </c>
      <c r="AZ4780" s="2" t="s">
        <v>82</v>
      </c>
      <c r="BA4780" s="2">
        <v>41</v>
      </c>
      <c r="BB4780" s="2" t="s">
        <v>82</v>
      </c>
      <c r="BC4780" s="2">
        <v>41</v>
      </c>
      <c r="BD4780" s="2" t="s">
        <v>82</v>
      </c>
      <c r="BE4780" s="2">
        <v>41</v>
      </c>
      <c r="BF4780" s="2" t="s">
        <v>82</v>
      </c>
      <c r="BG4780" s="2"/>
      <c r="BH4780" s="2"/>
      <c r="BI4780" s="2"/>
      <c r="BJ4780" s="2">
        <v>241</v>
      </c>
      <c r="BK4780" s="2" t="s">
        <v>82</v>
      </c>
      <c r="BL4780" s="2"/>
      <c r="BM4780" s="2">
        <v>241</v>
      </c>
      <c r="BN4780" s="2" t="s">
        <v>82</v>
      </c>
      <c r="BO4780" s="2"/>
      <c r="BP4780" s="2">
        <v>241</v>
      </c>
      <c r="BQ4780" s="2" t="s">
        <v>82</v>
      </c>
      <c r="BR4780" s="2"/>
      <c r="BS4780" s="3">
        <v>40504</v>
      </c>
      <c r="BT4780" s="4">
        <v>0.38783564814814814</v>
      </c>
    </row>
    <row r="4781" spans="1:72" x14ac:dyDescent="0.25">
      <c r="A4781" s="2">
        <v>7398</v>
      </c>
      <c r="B4781" s="2">
        <v>2010</v>
      </c>
      <c r="C4781" s="2" t="s">
        <v>377</v>
      </c>
      <c r="D4781" s="2" t="s">
        <v>73</v>
      </c>
      <c r="E4781" s="2"/>
      <c r="F4781" s="2">
        <v>426</v>
      </c>
      <c r="G4781" s="2" t="s">
        <v>378</v>
      </c>
      <c r="H4781" s="2">
        <v>108</v>
      </c>
      <c r="I4781" s="2" t="s">
        <v>1096</v>
      </c>
      <c r="J4781" s="2">
        <v>311</v>
      </c>
      <c r="K4781" s="2" t="s">
        <v>379</v>
      </c>
      <c r="L4781" s="2" t="s">
        <v>380</v>
      </c>
      <c r="M4781" s="3">
        <v>40504</v>
      </c>
      <c r="N4781" s="2" t="s">
        <v>5164</v>
      </c>
      <c r="O4781" s="2"/>
      <c r="P4781" s="2"/>
      <c r="Q4781" s="2" t="str">
        <f>"295-C/10"</f>
        <v>295-C/10</v>
      </c>
      <c r="R4781" s="2" t="s">
        <v>4428</v>
      </c>
      <c r="S4781" s="2"/>
      <c r="T4781" s="2">
        <v>1</v>
      </c>
      <c r="U4781" s="2" t="s">
        <v>79</v>
      </c>
      <c r="V4781" s="2">
        <v>1</v>
      </c>
      <c r="W4781" s="2" t="s">
        <v>80</v>
      </c>
      <c r="X4781" s="2">
        <v>1</v>
      </c>
      <c r="Y4781" s="2" t="s">
        <v>81</v>
      </c>
      <c r="Z4781" s="2">
        <v>1</v>
      </c>
      <c r="AA4781" s="2" t="s">
        <v>82</v>
      </c>
      <c r="AB4781" s="2">
        <v>9</v>
      </c>
      <c r="AC4781" s="2" t="s">
        <v>124</v>
      </c>
      <c r="AD4781" s="3">
        <v>40504</v>
      </c>
      <c r="AE4781" s="2"/>
      <c r="AF4781" s="3">
        <v>40504</v>
      </c>
      <c r="AG4781" s="4">
        <v>0.47916666666666669</v>
      </c>
      <c r="AH4781" s="2">
        <v>2</v>
      </c>
      <c r="AI4781" s="2" t="s">
        <v>84</v>
      </c>
      <c r="AJ4781" s="2">
        <v>9</v>
      </c>
      <c r="AK4781" s="2" t="s">
        <v>103</v>
      </c>
      <c r="AL4781" s="2">
        <v>29</v>
      </c>
      <c r="AM4781" s="2" t="s">
        <v>5416</v>
      </c>
      <c r="AN4781" s="2" t="s">
        <v>14715</v>
      </c>
      <c r="AO4781" s="2"/>
      <c r="AP4781" s="2">
        <v>11</v>
      </c>
      <c r="AQ4781" s="2" t="s">
        <v>82</v>
      </c>
      <c r="AR4781" s="2"/>
      <c r="AS4781" s="2"/>
      <c r="AT4781" s="2" t="s">
        <v>14761</v>
      </c>
      <c r="AU4781" s="2"/>
      <c r="AV4781" s="2"/>
      <c r="AW4781" s="2"/>
      <c r="AX4781" s="2"/>
      <c r="AY4781" s="2">
        <v>41</v>
      </c>
      <c r="AZ4781" s="2" t="s">
        <v>82</v>
      </c>
      <c r="BA4781" s="2">
        <v>41</v>
      </c>
      <c r="BB4781" s="2" t="s">
        <v>82</v>
      </c>
      <c r="BC4781" s="2">
        <v>41</v>
      </c>
      <c r="BD4781" s="2" t="s">
        <v>82</v>
      </c>
      <c r="BE4781" s="2">
        <v>41</v>
      </c>
      <c r="BF4781" s="2" t="s">
        <v>82</v>
      </c>
      <c r="BG4781" s="2"/>
      <c r="BH4781" s="2"/>
      <c r="BI4781" s="2"/>
      <c r="BJ4781" s="2">
        <v>241</v>
      </c>
      <c r="BK4781" s="2" t="s">
        <v>82</v>
      </c>
      <c r="BL4781" s="2"/>
      <c r="BM4781" s="2">
        <v>241</v>
      </c>
      <c r="BN4781" s="2" t="s">
        <v>82</v>
      </c>
      <c r="BO4781" s="2"/>
      <c r="BP4781" s="2">
        <v>241</v>
      </c>
      <c r="BQ4781" s="2" t="s">
        <v>82</v>
      </c>
      <c r="BR4781" s="2"/>
      <c r="BS4781" s="3">
        <v>40504</v>
      </c>
      <c r="BT4781" s="4">
        <v>0.83144675925925926</v>
      </c>
    </row>
    <row r="4782" spans="1:72" x14ac:dyDescent="0.25">
      <c r="A4782" s="2">
        <v>7399</v>
      </c>
      <c r="B4782" s="2">
        <v>2010</v>
      </c>
      <c r="C4782" s="2" t="s">
        <v>171</v>
      </c>
      <c r="D4782" s="2" t="s">
        <v>73</v>
      </c>
      <c r="E4782" s="2"/>
      <c r="F4782" s="2">
        <v>2</v>
      </c>
      <c r="G4782" s="2" t="s">
        <v>113</v>
      </c>
      <c r="H4782" s="2">
        <v>108</v>
      </c>
      <c r="I4782" s="2" t="s">
        <v>1096</v>
      </c>
      <c r="J4782" s="2">
        <v>300</v>
      </c>
      <c r="K4782" s="2" t="s">
        <v>114</v>
      </c>
      <c r="L4782" s="2" t="s">
        <v>115</v>
      </c>
      <c r="M4782" s="3">
        <v>40504</v>
      </c>
      <c r="N4782" s="2" t="s">
        <v>5814</v>
      </c>
      <c r="O4782" s="2"/>
      <c r="P4782" s="2"/>
      <c r="Q4782" s="2" t="str">
        <f>"623-E/10"</f>
        <v>623-E/10</v>
      </c>
      <c r="R4782" s="2" t="s">
        <v>14762</v>
      </c>
      <c r="S4782" s="2" t="s">
        <v>14762</v>
      </c>
      <c r="T4782" s="2">
        <v>1</v>
      </c>
      <c r="U4782" s="2" t="s">
        <v>79</v>
      </c>
      <c r="V4782" s="2">
        <v>1</v>
      </c>
      <c r="W4782" s="2" t="s">
        <v>80</v>
      </c>
      <c r="X4782" s="2">
        <v>1</v>
      </c>
      <c r="Y4782" s="2" t="s">
        <v>81</v>
      </c>
      <c r="Z4782" s="2">
        <v>1</v>
      </c>
      <c r="AA4782" s="2" t="s">
        <v>82</v>
      </c>
      <c r="AB4782" s="2">
        <v>1</v>
      </c>
      <c r="AC4782" s="2" t="s">
        <v>178</v>
      </c>
      <c r="AD4782" s="3">
        <v>40504</v>
      </c>
      <c r="AE4782" s="4">
        <v>0.5</v>
      </c>
      <c r="AF4782" s="3">
        <v>40504</v>
      </c>
      <c r="AG4782" s="4">
        <v>0.70833333333333337</v>
      </c>
      <c r="AH4782" s="2">
        <v>2</v>
      </c>
      <c r="AI4782" s="2" t="s">
        <v>84</v>
      </c>
      <c r="AJ4782" s="2">
        <v>9</v>
      </c>
      <c r="AK4782" s="2" t="s">
        <v>103</v>
      </c>
      <c r="AL4782" s="2">
        <v>24</v>
      </c>
      <c r="AM4782" s="2" t="s">
        <v>1540</v>
      </c>
      <c r="AN4782" s="2"/>
      <c r="AO4782" s="2" t="s">
        <v>8436</v>
      </c>
      <c r="AP4782" s="2">
        <v>11</v>
      </c>
      <c r="AQ4782" s="2" t="s">
        <v>82</v>
      </c>
      <c r="AR4782" s="2"/>
      <c r="AS4782" s="2"/>
      <c r="AT4782" s="2" t="s">
        <v>14763</v>
      </c>
      <c r="AU4782" s="2"/>
      <c r="AV4782" s="2"/>
      <c r="AW4782" s="2"/>
      <c r="AX4782" s="2"/>
      <c r="AY4782" s="2">
        <v>41</v>
      </c>
      <c r="AZ4782" s="2" t="s">
        <v>82</v>
      </c>
      <c r="BA4782" s="2">
        <v>41</v>
      </c>
      <c r="BB4782" s="2" t="s">
        <v>82</v>
      </c>
      <c r="BC4782" s="2">
        <v>41</v>
      </c>
      <c r="BD4782" s="2" t="s">
        <v>82</v>
      </c>
      <c r="BE4782" s="2">
        <v>41</v>
      </c>
      <c r="BF4782" s="2" t="s">
        <v>82</v>
      </c>
      <c r="BG4782" s="2"/>
      <c r="BH4782" s="2"/>
      <c r="BI4782" s="2"/>
      <c r="BJ4782" s="2">
        <v>241</v>
      </c>
      <c r="BK4782" s="2" t="s">
        <v>82</v>
      </c>
      <c r="BL4782" s="2"/>
      <c r="BM4782" s="2">
        <v>241</v>
      </c>
      <c r="BN4782" s="2" t="s">
        <v>82</v>
      </c>
      <c r="BO4782" s="2"/>
      <c r="BP4782" s="2">
        <v>241</v>
      </c>
      <c r="BQ4782" s="2" t="s">
        <v>82</v>
      </c>
      <c r="BR4782" s="2"/>
      <c r="BS4782" s="3">
        <v>40504</v>
      </c>
      <c r="BT4782" s="4">
        <v>0.85899305555555561</v>
      </c>
    </row>
    <row r="4783" spans="1:72" x14ac:dyDescent="0.25">
      <c r="A4783" s="2">
        <v>7400</v>
      </c>
      <c r="B4783" s="2">
        <v>2010</v>
      </c>
      <c r="C4783" s="2" t="s">
        <v>72</v>
      </c>
      <c r="D4783" s="2" t="s">
        <v>73</v>
      </c>
      <c r="E4783" s="2"/>
      <c r="F4783" s="2">
        <v>638</v>
      </c>
      <c r="G4783" s="2" t="s">
        <v>8288</v>
      </c>
      <c r="H4783" s="2">
        <v>4</v>
      </c>
      <c r="I4783" s="2" t="s">
        <v>173</v>
      </c>
      <c r="J4783" s="2">
        <v>594</v>
      </c>
      <c r="K4783" s="2" t="s">
        <v>8762</v>
      </c>
      <c r="L4783" s="2" t="s">
        <v>4666</v>
      </c>
      <c r="M4783" s="3">
        <v>40504</v>
      </c>
      <c r="N4783" s="2" t="s">
        <v>14764</v>
      </c>
      <c r="O4783" s="2" t="s">
        <v>107</v>
      </c>
      <c r="P4783" s="2" t="s">
        <v>107</v>
      </c>
      <c r="Q4783" s="2" t="str">
        <f>"66/2010"</f>
        <v>66/2010</v>
      </c>
      <c r="R4783" s="2" t="s">
        <v>14765</v>
      </c>
      <c r="S4783" s="2" t="s">
        <v>601</v>
      </c>
      <c r="T4783" s="2">
        <v>1</v>
      </c>
      <c r="U4783" s="2" t="s">
        <v>79</v>
      </c>
      <c r="V4783" s="2">
        <v>1</v>
      </c>
      <c r="W4783" s="2" t="s">
        <v>80</v>
      </c>
      <c r="X4783" s="2">
        <v>12</v>
      </c>
      <c r="Y4783" s="2" t="s">
        <v>148</v>
      </c>
      <c r="Z4783" s="2">
        <v>1</v>
      </c>
      <c r="AA4783" s="2" t="s">
        <v>82</v>
      </c>
      <c r="AB4783" s="2">
        <v>6</v>
      </c>
      <c r="AC4783" s="2" t="s">
        <v>83</v>
      </c>
      <c r="AD4783" s="3">
        <v>40499</v>
      </c>
      <c r="AE4783" s="2"/>
      <c r="AF4783" s="3">
        <v>40504</v>
      </c>
      <c r="AG4783" s="4">
        <v>0.83680555555555547</v>
      </c>
      <c r="AH4783" s="2">
        <v>3</v>
      </c>
      <c r="AI4783" s="2" t="s">
        <v>214</v>
      </c>
      <c r="AJ4783" s="2">
        <v>24</v>
      </c>
      <c r="AK4783" s="2" t="s">
        <v>215</v>
      </c>
      <c r="AL4783" s="2">
        <v>22</v>
      </c>
      <c r="AM4783" s="2" t="s">
        <v>1853</v>
      </c>
      <c r="AN4783" s="2" t="s">
        <v>107</v>
      </c>
      <c r="AO4783" s="2" t="s">
        <v>107</v>
      </c>
      <c r="AP4783" s="2">
        <v>11</v>
      </c>
      <c r="AQ4783" s="2" t="s">
        <v>82</v>
      </c>
      <c r="AR4783" s="2" t="s">
        <v>82</v>
      </c>
      <c r="AS4783" s="2" t="s">
        <v>82</v>
      </c>
      <c r="AT4783" s="2" t="s">
        <v>14766</v>
      </c>
      <c r="AU4783" s="2"/>
      <c r="AV4783" s="2"/>
      <c r="AW4783" s="2"/>
      <c r="AX4783" s="2"/>
      <c r="AY4783" s="2">
        <v>41</v>
      </c>
      <c r="AZ4783" s="2" t="s">
        <v>82</v>
      </c>
      <c r="BA4783" s="2">
        <v>41</v>
      </c>
      <c r="BB4783" s="2" t="s">
        <v>82</v>
      </c>
      <c r="BC4783" s="2">
        <v>41</v>
      </c>
      <c r="BD4783" s="2" t="s">
        <v>82</v>
      </c>
      <c r="BE4783" s="2">
        <v>4</v>
      </c>
      <c r="BF4783" s="2" t="s">
        <v>90</v>
      </c>
      <c r="BG4783" s="2">
        <v>4220</v>
      </c>
      <c r="BH4783" s="4">
        <v>0.91666666666666663</v>
      </c>
      <c r="BI4783" s="4">
        <v>0.86111111111111116</v>
      </c>
      <c r="BJ4783" s="2">
        <v>13</v>
      </c>
      <c r="BK4783" s="2" t="s">
        <v>91</v>
      </c>
      <c r="BL4783" s="2" t="s">
        <v>14767</v>
      </c>
      <c r="BM4783" s="2">
        <v>13</v>
      </c>
      <c r="BN4783" s="2" t="s">
        <v>91</v>
      </c>
      <c r="BO4783" s="2"/>
      <c r="BP4783" s="2">
        <v>13</v>
      </c>
      <c r="BQ4783" s="2" t="s">
        <v>91</v>
      </c>
      <c r="BR4783" s="2" t="s">
        <v>5609</v>
      </c>
      <c r="BS4783" s="3">
        <v>40504</v>
      </c>
      <c r="BT4783" s="4">
        <v>0.90249999999999997</v>
      </c>
    </row>
    <row r="4784" spans="1:72" x14ac:dyDescent="0.25">
      <c r="A4784" s="2">
        <v>7402</v>
      </c>
      <c r="B4784" s="2">
        <v>2010</v>
      </c>
      <c r="C4784" s="2" t="s">
        <v>255</v>
      </c>
      <c r="D4784" s="2" t="s">
        <v>73</v>
      </c>
      <c r="E4784" s="2"/>
      <c r="F4784" s="2">
        <v>24</v>
      </c>
      <c r="G4784" s="2" t="s">
        <v>532</v>
      </c>
      <c r="H4784" s="2">
        <v>1</v>
      </c>
      <c r="I4784" s="2" t="s">
        <v>82</v>
      </c>
      <c r="J4784" s="2">
        <v>300</v>
      </c>
      <c r="K4784" s="2" t="s">
        <v>114</v>
      </c>
      <c r="L4784" s="2" t="s">
        <v>115</v>
      </c>
      <c r="M4784" s="3">
        <v>40505</v>
      </c>
      <c r="N4784" s="2"/>
      <c r="O4784" s="2"/>
      <c r="P4784" s="2"/>
      <c r="Q4784" s="2" t="str">
        <f>"624-E/10"</f>
        <v>624-E/10</v>
      </c>
      <c r="R4784" s="2" t="s">
        <v>947</v>
      </c>
      <c r="S4784" s="2"/>
      <c r="T4784" s="2">
        <v>1</v>
      </c>
      <c r="U4784" s="2" t="s">
        <v>79</v>
      </c>
      <c r="V4784" s="2">
        <v>1</v>
      </c>
      <c r="W4784" s="2" t="s">
        <v>80</v>
      </c>
      <c r="X4784" s="2">
        <v>12</v>
      </c>
      <c r="Y4784" s="2" t="s">
        <v>148</v>
      </c>
      <c r="Z4784" s="2">
        <v>1</v>
      </c>
      <c r="AA4784" s="2" t="s">
        <v>82</v>
      </c>
      <c r="AB4784" s="2">
        <v>9</v>
      </c>
      <c r="AC4784" s="2" t="s">
        <v>124</v>
      </c>
      <c r="AD4784" s="3">
        <v>40505</v>
      </c>
      <c r="AE4784" s="2"/>
      <c r="AF4784" s="3">
        <v>40505</v>
      </c>
      <c r="AG4784" s="4">
        <v>0.25</v>
      </c>
      <c r="AH4784" s="2">
        <v>2</v>
      </c>
      <c r="AI4784" s="2" t="s">
        <v>84</v>
      </c>
      <c r="AJ4784" s="2">
        <v>9</v>
      </c>
      <c r="AK4784" s="2" t="s">
        <v>103</v>
      </c>
      <c r="AL4784" s="2">
        <v>22</v>
      </c>
      <c r="AM4784" s="2" t="s">
        <v>1853</v>
      </c>
      <c r="AN4784" s="2"/>
      <c r="AO4784" s="2" t="s">
        <v>14768</v>
      </c>
      <c r="AP4784" s="2">
        <v>11</v>
      </c>
      <c r="AQ4784" s="2" t="s">
        <v>82</v>
      </c>
      <c r="AR4784" s="2"/>
      <c r="AS4784" s="2"/>
      <c r="AT4784" s="2" t="s">
        <v>14769</v>
      </c>
      <c r="AU4784" s="2"/>
      <c r="AV4784" s="2"/>
      <c r="AW4784" s="2"/>
      <c r="AX4784" s="2"/>
      <c r="AY4784" s="2">
        <v>41</v>
      </c>
      <c r="AZ4784" s="2" t="s">
        <v>82</v>
      </c>
      <c r="BA4784" s="2">
        <v>41</v>
      </c>
      <c r="BB4784" s="2" t="s">
        <v>82</v>
      </c>
      <c r="BC4784" s="2">
        <v>41</v>
      </c>
      <c r="BD4784" s="2" t="s">
        <v>82</v>
      </c>
      <c r="BE4784" s="2">
        <v>20</v>
      </c>
      <c r="BF4784" s="2" t="s">
        <v>1681</v>
      </c>
      <c r="BG4784" s="2" t="s">
        <v>1682</v>
      </c>
      <c r="BH4784" s="4">
        <v>0.16666666666666666</v>
      </c>
      <c r="BI4784" s="2"/>
      <c r="BJ4784" s="2">
        <v>52</v>
      </c>
      <c r="BK4784" s="2" t="s">
        <v>3942</v>
      </c>
      <c r="BL4784" s="2" t="s">
        <v>14770</v>
      </c>
      <c r="BM4784" s="2">
        <v>13</v>
      </c>
      <c r="BN4784" s="2" t="s">
        <v>91</v>
      </c>
      <c r="BO4784" s="2"/>
      <c r="BP4784" s="2">
        <v>13</v>
      </c>
      <c r="BQ4784" s="2" t="s">
        <v>91</v>
      </c>
      <c r="BR4784" s="2" t="s">
        <v>185</v>
      </c>
      <c r="BS4784" s="3">
        <v>40505</v>
      </c>
      <c r="BT4784" s="4">
        <v>0.30944444444444447</v>
      </c>
    </row>
    <row r="4785" spans="1:72" x14ac:dyDescent="0.25">
      <c r="A4785" s="2">
        <v>7403</v>
      </c>
      <c r="B4785" s="2">
        <v>2010</v>
      </c>
      <c r="C4785" s="2" t="s">
        <v>171</v>
      </c>
      <c r="D4785" s="2" t="s">
        <v>73</v>
      </c>
      <c r="E4785" s="2"/>
      <c r="F4785" s="2">
        <v>10</v>
      </c>
      <c r="G4785" s="2" t="s">
        <v>2143</v>
      </c>
      <c r="H4785" s="2">
        <v>24</v>
      </c>
      <c r="I4785" s="2" t="s">
        <v>287</v>
      </c>
      <c r="J4785" s="2">
        <v>538</v>
      </c>
      <c r="K4785" s="2" t="s">
        <v>7264</v>
      </c>
      <c r="L4785" s="2" t="s">
        <v>7265</v>
      </c>
      <c r="M4785" s="3">
        <v>40505</v>
      </c>
      <c r="N4785" s="2" t="s">
        <v>7266</v>
      </c>
      <c r="O4785" s="2" t="s">
        <v>14771</v>
      </c>
      <c r="P4785" s="2"/>
      <c r="Q4785" s="2" t="str">
        <f>"67/2010"</f>
        <v>67/2010</v>
      </c>
      <c r="R4785" s="2"/>
      <c r="S4785" s="2" t="s">
        <v>14771</v>
      </c>
      <c r="T4785" s="2">
        <v>1</v>
      </c>
      <c r="U4785" s="2" t="s">
        <v>79</v>
      </c>
      <c r="V4785" s="2">
        <v>1</v>
      </c>
      <c r="W4785" s="2" t="s">
        <v>80</v>
      </c>
      <c r="X4785" s="2">
        <v>1</v>
      </c>
      <c r="Y4785" s="2" t="s">
        <v>81</v>
      </c>
      <c r="Z4785" s="2">
        <v>1</v>
      </c>
      <c r="AA4785" s="2" t="s">
        <v>82</v>
      </c>
      <c r="AB4785" s="2">
        <v>1</v>
      </c>
      <c r="AC4785" s="2" t="s">
        <v>178</v>
      </c>
      <c r="AD4785" s="3">
        <v>40505</v>
      </c>
      <c r="AE4785" s="4">
        <v>0.2638888888888889</v>
      </c>
      <c r="AF4785" s="3">
        <v>40505</v>
      </c>
      <c r="AG4785" s="4">
        <v>0.26041666666666669</v>
      </c>
      <c r="AH4785" s="2">
        <v>3</v>
      </c>
      <c r="AI4785" s="2" t="s">
        <v>214</v>
      </c>
      <c r="AJ4785" s="2">
        <v>24</v>
      </c>
      <c r="AK4785" s="2" t="s">
        <v>215</v>
      </c>
      <c r="AL4785" s="2">
        <v>22</v>
      </c>
      <c r="AM4785" s="2" t="s">
        <v>1853</v>
      </c>
      <c r="AN4785" s="2"/>
      <c r="AO4785" s="2" t="s">
        <v>14772</v>
      </c>
      <c r="AP4785" s="2">
        <v>11</v>
      </c>
      <c r="AQ4785" s="2" t="s">
        <v>82</v>
      </c>
      <c r="AR4785" s="2" t="s">
        <v>82</v>
      </c>
      <c r="AS4785" s="2" t="s">
        <v>82</v>
      </c>
      <c r="AT4785" s="2" t="s">
        <v>14773</v>
      </c>
      <c r="AU4785" s="2">
        <v>1</v>
      </c>
      <c r="AV4785" s="2"/>
      <c r="AW4785" s="2"/>
      <c r="AX4785" s="2"/>
      <c r="AY4785" s="2">
        <v>42</v>
      </c>
      <c r="AZ4785" s="2" t="s">
        <v>182</v>
      </c>
      <c r="BA4785" s="2">
        <v>41</v>
      </c>
      <c r="BB4785" s="2" t="s">
        <v>82</v>
      </c>
      <c r="BC4785" s="2">
        <v>41</v>
      </c>
      <c r="BD4785" s="2" t="s">
        <v>82</v>
      </c>
      <c r="BE4785" s="2">
        <v>10</v>
      </c>
      <c r="BF4785" s="2" t="s">
        <v>901</v>
      </c>
      <c r="BG4785" s="2" t="s">
        <v>14774</v>
      </c>
      <c r="BH4785" s="4">
        <v>0.34027777777777773</v>
      </c>
      <c r="BI4785" s="4">
        <v>0.27777777777777779</v>
      </c>
      <c r="BJ4785" s="2">
        <v>13</v>
      </c>
      <c r="BK4785" s="2" t="s">
        <v>91</v>
      </c>
      <c r="BL4785" s="2" t="s">
        <v>169</v>
      </c>
      <c r="BM4785" s="2">
        <v>229</v>
      </c>
      <c r="BN4785" s="2" t="s">
        <v>300</v>
      </c>
      <c r="BO4785" s="2"/>
      <c r="BP4785" s="2">
        <v>229</v>
      </c>
      <c r="BQ4785" s="2" t="s">
        <v>300</v>
      </c>
      <c r="BR4785" s="2" t="s">
        <v>573</v>
      </c>
      <c r="BS4785" s="3">
        <v>40505</v>
      </c>
      <c r="BT4785" s="4">
        <v>0.38538194444444446</v>
      </c>
    </row>
    <row r="4786" spans="1:72" x14ac:dyDescent="0.25">
      <c r="A4786" s="2">
        <v>7406</v>
      </c>
      <c r="B4786" s="2">
        <v>2010</v>
      </c>
      <c r="C4786" s="2" t="s">
        <v>171</v>
      </c>
      <c r="D4786" s="2" t="s">
        <v>122</v>
      </c>
      <c r="E4786" s="2" t="s">
        <v>14775</v>
      </c>
      <c r="F4786" s="2">
        <v>518</v>
      </c>
      <c r="G4786" s="2" t="s">
        <v>4664</v>
      </c>
      <c r="H4786" s="2">
        <v>1</v>
      </c>
      <c r="I4786" s="2" t="s">
        <v>82</v>
      </c>
      <c r="J4786" s="2">
        <v>436</v>
      </c>
      <c r="K4786" s="2" t="s">
        <v>4665</v>
      </c>
      <c r="L4786" s="2" t="s">
        <v>4666</v>
      </c>
      <c r="M4786" s="3">
        <v>40505</v>
      </c>
      <c r="N4786" s="2" t="s">
        <v>4667</v>
      </c>
      <c r="O4786" s="2" t="s">
        <v>14776</v>
      </c>
      <c r="P4786" s="2" t="s">
        <v>4669</v>
      </c>
      <c r="Q4786" s="2" t="str">
        <f>"598/08"</f>
        <v>598/08</v>
      </c>
      <c r="R4786" s="2" t="s">
        <v>14777</v>
      </c>
      <c r="S4786" s="2"/>
      <c r="T4786" s="2">
        <v>1</v>
      </c>
      <c r="U4786" s="2" t="s">
        <v>79</v>
      </c>
      <c r="V4786" s="2">
        <v>3</v>
      </c>
      <c r="W4786" s="2" t="s">
        <v>225</v>
      </c>
      <c r="X4786" s="2">
        <v>6</v>
      </c>
      <c r="Y4786" s="2" t="s">
        <v>249</v>
      </c>
      <c r="Z4786" s="2">
        <v>1</v>
      </c>
      <c r="AA4786" s="2" t="s">
        <v>82</v>
      </c>
      <c r="AB4786" s="2">
        <v>9</v>
      </c>
      <c r="AC4786" s="2" t="s">
        <v>124</v>
      </c>
      <c r="AD4786" s="3">
        <v>39848</v>
      </c>
      <c r="AE4786" s="4">
        <v>0.66666666666666663</v>
      </c>
      <c r="AF4786" s="3">
        <v>39851</v>
      </c>
      <c r="AG4786" s="4">
        <v>0.70833333333333337</v>
      </c>
      <c r="AH4786" s="2">
        <v>5</v>
      </c>
      <c r="AI4786" s="2" t="s">
        <v>274</v>
      </c>
      <c r="AJ4786" s="2">
        <v>35</v>
      </c>
      <c r="AK4786" s="2" t="s">
        <v>275</v>
      </c>
      <c r="AL4786" s="2">
        <v>19</v>
      </c>
      <c r="AM4786" s="2" t="s">
        <v>107</v>
      </c>
      <c r="AN4786" s="2" t="s">
        <v>14778</v>
      </c>
      <c r="AO4786" s="2" t="s">
        <v>6998</v>
      </c>
      <c r="AP4786" s="2">
        <v>11</v>
      </c>
      <c r="AQ4786" s="2" t="s">
        <v>82</v>
      </c>
      <c r="AR4786" s="2"/>
      <c r="AS4786" s="2"/>
      <c r="AT4786" s="2" t="s">
        <v>14779</v>
      </c>
      <c r="AU4786" s="2"/>
      <c r="AV4786" s="2"/>
      <c r="AW4786" s="2"/>
      <c r="AX4786" s="2"/>
      <c r="AY4786" s="2">
        <v>41</v>
      </c>
      <c r="AZ4786" s="2" t="s">
        <v>82</v>
      </c>
      <c r="BA4786" s="2">
        <v>41</v>
      </c>
      <c r="BB4786" s="2" t="s">
        <v>82</v>
      </c>
      <c r="BC4786" s="2">
        <v>41</v>
      </c>
      <c r="BD4786" s="2" t="s">
        <v>82</v>
      </c>
      <c r="BE4786" s="2">
        <v>41</v>
      </c>
      <c r="BF4786" s="2" t="s">
        <v>82</v>
      </c>
      <c r="BG4786" s="2"/>
      <c r="BH4786" s="2"/>
      <c r="BI4786" s="2"/>
      <c r="BJ4786" s="2">
        <v>241</v>
      </c>
      <c r="BK4786" s="2" t="s">
        <v>82</v>
      </c>
      <c r="BL4786" s="2"/>
      <c r="BM4786" s="2">
        <v>241</v>
      </c>
      <c r="BN4786" s="2" t="s">
        <v>82</v>
      </c>
      <c r="BO4786" s="2"/>
      <c r="BP4786" s="2">
        <v>241</v>
      </c>
      <c r="BQ4786" s="2" t="s">
        <v>82</v>
      </c>
      <c r="BR4786" s="2"/>
      <c r="BS4786" s="3">
        <v>40505</v>
      </c>
      <c r="BT4786" s="4">
        <v>0.42880787037037038</v>
      </c>
    </row>
    <row r="4787" spans="1:72" x14ac:dyDescent="0.25">
      <c r="A4787" s="2">
        <v>7417</v>
      </c>
      <c r="B4787" s="2">
        <v>2010</v>
      </c>
      <c r="C4787" s="2" t="s">
        <v>171</v>
      </c>
      <c r="D4787" s="2" t="s">
        <v>122</v>
      </c>
      <c r="E4787" s="2" t="s">
        <v>14306</v>
      </c>
      <c r="F4787" s="2">
        <v>400</v>
      </c>
      <c r="G4787" s="2" t="s">
        <v>3601</v>
      </c>
      <c r="H4787" s="2">
        <v>17</v>
      </c>
      <c r="I4787" s="2" t="s">
        <v>3602</v>
      </c>
      <c r="J4787" s="2">
        <v>316</v>
      </c>
      <c r="K4787" s="2" t="s">
        <v>574</v>
      </c>
      <c r="L4787" s="2" t="s">
        <v>575</v>
      </c>
      <c r="M4787" s="3">
        <v>40505</v>
      </c>
      <c r="N4787" s="2" t="s">
        <v>3826</v>
      </c>
      <c r="O4787" s="2" t="s">
        <v>14184</v>
      </c>
      <c r="P4787" s="2">
        <v>1386</v>
      </c>
      <c r="Q4787" s="2" t="str">
        <f>"09R/10"</f>
        <v>09R/10</v>
      </c>
      <c r="R4787" s="2"/>
      <c r="S4787" s="2" t="s">
        <v>6092</v>
      </c>
      <c r="T4787" s="2">
        <v>1</v>
      </c>
      <c r="U4787" s="2" t="s">
        <v>79</v>
      </c>
      <c r="V4787" s="2">
        <v>1</v>
      </c>
      <c r="W4787" s="2" t="s">
        <v>80</v>
      </c>
      <c r="X4787" s="2">
        <v>2</v>
      </c>
      <c r="Y4787" s="2" t="s">
        <v>136</v>
      </c>
      <c r="Z4787" s="2">
        <v>10</v>
      </c>
      <c r="AA4787" s="2" t="s">
        <v>236</v>
      </c>
      <c r="AB4787" s="2">
        <v>1</v>
      </c>
      <c r="AC4787" s="2" t="s">
        <v>178</v>
      </c>
      <c r="AD4787" s="3">
        <v>40505</v>
      </c>
      <c r="AE4787" s="4">
        <v>0.5</v>
      </c>
      <c r="AF4787" s="2"/>
      <c r="AG4787" s="2"/>
      <c r="AH4787" s="2">
        <v>2</v>
      </c>
      <c r="AI4787" s="2" t="s">
        <v>84</v>
      </c>
      <c r="AJ4787" s="2">
        <v>6</v>
      </c>
      <c r="AK4787" s="2" t="s">
        <v>453</v>
      </c>
      <c r="AL4787" s="2">
        <v>14</v>
      </c>
      <c r="AM4787" s="2" t="s">
        <v>216</v>
      </c>
      <c r="AN4787" s="2" t="s">
        <v>14285</v>
      </c>
      <c r="AO4787" s="2" t="s">
        <v>14286</v>
      </c>
      <c r="AP4787" s="2">
        <v>11</v>
      </c>
      <c r="AQ4787" s="2" t="s">
        <v>82</v>
      </c>
      <c r="AR4787" s="2"/>
      <c r="AS4787" s="2"/>
      <c r="AT4787" s="2" t="s">
        <v>14780</v>
      </c>
      <c r="AU4787" s="2"/>
      <c r="AV4787" s="2">
        <v>1</v>
      </c>
      <c r="AW4787" s="2"/>
      <c r="AX4787" s="2"/>
      <c r="AY4787" s="2">
        <v>42</v>
      </c>
      <c r="AZ4787" s="2" t="s">
        <v>182</v>
      </c>
      <c r="BA4787" s="2">
        <v>70</v>
      </c>
      <c r="BB4787" s="2" t="s">
        <v>236</v>
      </c>
      <c r="BC4787" s="2">
        <v>70</v>
      </c>
      <c r="BD4787" s="2" t="s">
        <v>236</v>
      </c>
      <c r="BE4787" s="2">
        <v>31</v>
      </c>
      <c r="BF4787" s="2" t="s">
        <v>398</v>
      </c>
      <c r="BG4787" s="2" t="s">
        <v>7251</v>
      </c>
      <c r="BH4787" s="2"/>
      <c r="BI4787" s="2"/>
      <c r="BJ4787" s="2">
        <v>13</v>
      </c>
      <c r="BK4787" s="2" t="s">
        <v>91</v>
      </c>
      <c r="BL4787" s="2" t="s">
        <v>360</v>
      </c>
      <c r="BM4787" s="2">
        <v>73</v>
      </c>
      <c r="BN4787" s="2" t="s">
        <v>186</v>
      </c>
      <c r="BO4787" s="2"/>
      <c r="BP4787" s="2">
        <v>73</v>
      </c>
      <c r="BQ4787" s="2" t="s">
        <v>186</v>
      </c>
      <c r="BR4787" s="2" t="s">
        <v>187</v>
      </c>
      <c r="BS4787" s="3">
        <v>40505</v>
      </c>
      <c r="BT4787" s="4">
        <v>0.52894675925925927</v>
      </c>
    </row>
    <row r="4788" spans="1:72" x14ac:dyDescent="0.25">
      <c r="A4788" s="2">
        <v>7425</v>
      </c>
      <c r="B4788" s="2">
        <v>2010</v>
      </c>
      <c r="C4788" s="2" t="s">
        <v>385</v>
      </c>
      <c r="D4788" s="2" t="s">
        <v>122</v>
      </c>
      <c r="E4788" s="2"/>
      <c r="F4788" s="2">
        <v>136</v>
      </c>
      <c r="G4788" s="2" t="s">
        <v>6724</v>
      </c>
      <c r="H4788" s="2">
        <v>149</v>
      </c>
      <c r="I4788" s="2" t="s">
        <v>14672</v>
      </c>
      <c r="J4788" s="2">
        <v>716</v>
      </c>
      <c r="K4788" s="2" t="s">
        <v>14781</v>
      </c>
      <c r="L4788" s="2" t="s">
        <v>14782</v>
      </c>
      <c r="M4788" s="3">
        <v>40505</v>
      </c>
      <c r="N4788" s="2"/>
      <c r="O4788" s="2" t="s">
        <v>14783</v>
      </c>
      <c r="P4788" s="2" t="s">
        <v>14784</v>
      </c>
      <c r="Q4788" s="2" t="str">
        <f>""</f>
        <v/>
      </c>
      <c r="R4788" s="2"/>
      <c r="S4788" s="2"/>
      <c r="T4788" s="2">
        <v>1</v>
      </c>
      <c r="U4788" s="2" t="s">
        <v>79</v>
      </c>
      <c r="V4788" s="2">
        <v>1</v>
      </c>
      <c r="W4788" s="2" t="s">
        <v>80</v>
      </c>
      <c r="X4788" s="2">
        <v>4</v>
      </c>
      <c r="Y4788" s="2" t="s">
        <v>463</v>
      </c>
      <c r="Z4788" s="2">
        <v>30</v>
      </c>
      <c r="AA4788" s="2" t="s">
        <v>5975</v>
      </c>
      <c r="AB4788" s="2">
        <v>9</v>
      </c>
      <c r="AC4788" s="2" t="s">
        <v>124</v>
      </c>
      <c r="AD4788" s="3">
        <v>40505</v>
      </c>
      <c r="AE4788" s="4">
        <v>0.54166666666666663</v>
      </c>
      <c r="AF4788" s="2"/>
      <c r="AG4788" s="2"/>
      <c r="AH4788" s="2">
        <v>6</v>
      </c>
      <c r="AI4788" s="2" t="s">
        <v>197</v>
      </c>
      <c r="AJ4788" s="2">
        <v>50</v>
      </c>
      <c r="AK4788" s="2" t="s">
        <v>330</v>
      </c>
      <c r="AL4788" s="2">
        <v>25</v>
      </c>
      <c r="AM4788" s="2" t="s">
        <v>3073</v>
      </c>
      <c r="AN4788" s="2" t="s">
        <v>14785</v>
      </c>
      <c r="AO4788" s="2" t="s">
        <v>14786</v>
      </c>
      <c r="AP4788" s="2">
        <v>11</v>
      </c>
      <c r="AQ4788" s="2" t="s">
        <v>82</v>
      </c>
      <c r="AR4788" s="2" t="s">
        <v>82</v>
      </c>
      <c r="AS4788" s="2" t="s">
        <v>82</v>
      </c>
      <c r="AT4788" s="2" t="s">
        <v>14787</v>
      </c>
      <c r="AU4788" s="2"/>
      <c r="AV4788" s="2">
        <v>1</v>
      </c>
      <c r="AW4788" s="2"/>
      <c r="AX4788" s="2"/>
      <c r="AY4788" s="2">
        <v>41</v>
      </c>
      <c r="AZ4788" s="2" t="s">
        <v>82</v>
      </c>
      <c r="BA4788" s="2">
        <v>41</v>
      </c>
      <c r="BB4788" s="2" t="s">
        <v>82</v>
      </c>
      <c r="BC4788" s="2">
        <v>1</v>
      </c>
      <c r="BD4788" s="2" t="s">
        <v>107</v>
      </c>
      <c r="BE4788" s="2">
        <v>47</v>
      </c>
      <c r="BF4788" s="2" t="s">
        <v>167</v>
      </c>
      <c r="BG4788" s="2">
        <v>2683</v>
      </c>
      <c r="BH4788" s="4">
        <v>0.51388888888888895</v>
      </c>
      <c r="BI4788" s="4">
        <v>0.54166666666666663</v>
      </c>
      <c r="BJ4788" s="2">
        <v>13</v>
      </c>
      <c r="BK4788" s="2" t="s">
        <v>91</v>
      </c>
      <c r="BL4788" s="2" t="s">
        <v>1199</v>
      </c>
      <c r="BM4788" s="2">
        <v>13</v>
      </c>
      <c r="BN4788" s="2" t="s">
        <v>91</v>
      </c>
      <c r="BO4788" s="2"/>
      <c r="BP4788" s="2">
        <v>13</v>
      </c>
      <c r="BQ4788" s="2" t="s">
        <v>91</v>
      </c>
      <c r="BR4788" s="2" t="s">
        <v>360</v>
      </c>
      <c r="BS4788" s="3">
        <v>40505</v>
      </c>
      <c r="BT4788" s="4">
        <v>0.6878009259259259</v>
      </c>
    </row>
    <row r="4789" spans="1:72" x14ac:dyDescent="0.25">
      <c r="A4789" s="2">
        <v>7431</v>
      </c>
      <c r="B4789" s="2">
        <v>2010</v>
      </c>
      <c r="C4789" s="2" t="s">
        <v>72</v>
      </c>
      <c r="D4789" s="2" t="s">
        <v>73</v>
      </c>
      <c r="E4789" s="2"/>
      <c r="F4789" s="2">
        <v>117</v>
      </c>
      <c r="G4789" s="2" t="s">
        <v>3284</v>
      </c>
      <c r="H4789" s="2">
        <v>2</v>
      </c>
      <c r="I4789" s="2" t="s">
        <v>267</v>
      </c>
      <c r="J4789" s="2">
        <v>134</v>
      </c>
      <c r="K4789" s="2" t="s">
        <v>3285</v>
      </c>
      <c r="L4789" s="2" t="s">
        <v>3286</v>
      </c>
      <c r="M4789" s="3">
        <v>40505</v>
      </c>
      <c r="N4789" s="2" t="s">
        <v>14788</v>
      </c>
      <c r="O4789" s="2"/>
      <c r="P4789" s="2"/>
      <c r="Q4789" s="2" t="str">
        <f>"CAUSA 0007/10"</f>
        <v>CAUSA 0007/10</v>
      </c>
      <c r="R4789" s="2" t="s">
        <v>14789</v>
      </c>
      <c r="S4789" s="2"/>
      <c r="T4789" s="2">
        <v>1</v>
      </c>
      <c r="U4789" s="2" t="s">
        <v>79</v>
      </c>
      <c r="V4789" s="2">
        <v>1</v>
      </c>
      <c r="W4789" s="2" t="s">
        <v>80</v>
      </c>
      <c r="X4789" s="2">
        <v>12</v>
      </c>
      <c r="Y4789" s="2" t="s">
        <v>148</v>
      </c>
      <c r="Z4789" s="2">
        <v>1</v>
      </c>
      <c r="AA4789" s="2" t="s">
        <v>82</v>
      </c>
      <c r="AB4789" s="2">
        <v>6</v>
      </c>
      <c r="AC4789" s="2" t="s">
        <v>83</v>
      </c>
      <c r="AD4789" s="2"/>
      <c r="AE4789" s="2"/>
      <c r="AF4789" s="3">
        <v>40505</v>
      </c>
      <c r="AG4789" s="4">
        <v>0.47916666666666669</v>
      </c>
      <c r="AH4789" s="2">
        <v>6</v>
      </c>
      <c r="AI4789" s="2" t="s">
        <v>197</v>
      </c>
      <c r="AJ4789" s="2">
        <v>59</v>
      </c>
      <c r="AK4789" s="2" t="s">
        <v>198</v>
      </c>
      <c r="AL4789" s="2">
        <v>9</v>
      </c>
      <c r="AM4789" s="2" t="s">
        <v>259</v>
      </c>
      <c r="AN4789" s="2" t="s">
        <v>14790</v>
      </c>
      <c r="AO4789" s="2" t="s">
        <v>1540</v>
      </c>
      <c r="AP4789" s="2">
        <v>11</v>
      </c>
      <c r="AQ4789" s="2" t="s">
        <v>82</v>
      </c>
      <c r="AR4789" s="2"/>
      <c r="AS4789" s="2"/>
      <c r="AT4789" s="2" t="s">
        <v>14791</v>
      </c>
      <c r="AU4789" s="2"/>
      <c r="AV4789" s="2"/>
      <c r="AW4789" s="2"/>
      <c r="AX4789" s="2"/>
      <c r="AY4789" s="2">
        <v>167</v>
      </c>
      <c r="AZ4789" s="2" t="s">
        <v>14792</v>
      </c>
      <c r="BA4789" s="2">
        <v>152</v>
      </c>
      <c r="BB4789" s="2" t="s">
        <v>13823</v>
      </c>
      <c r="BC4789" s="2">
        <v>41</v>
      </c>
      <c r="BD4789" s="2" t="s">
        <v>82</v>
      </c>
      <c r="BE4789" s="2">
        <v>41</v>
      </c>
      <c r="BF4789" s="2" t="s">
        <v>82</v>
      </c>
      <c r="BG4789" s="2"/>
      <c r="BH4789" s="2"/>
      <c r="BI4789" s="2"/>
      <c r="BJ4789" s="2">
        <v>241</v>
      </c>
      <c r="BK4789" s="2" t="s">
        <v>82</v>
      </c>
      <c r="BL4789" s="2"/>
      <c r="BM4789" s="2">
        <v>241</v>
      </c>
      <c r="BN4789" s="2" t="s">
        <v>82</v>
      </c>
      <c r="BO4789" s="2"/>
      <c r="BP4789" s="2">
        <v>241</v>
      </c>
      <c r="BQ4789" s="2" t="s">
        <v>82</v>
      </c>
      <c r="BR4789" s="2"/>
      <c r="BS4789" s="3">
        <v>40505</v>
      </c>
      <c r="BT4789" s="4">
        <v>0.82733796296296302</v>
      </c>
    </row>
    <row r="4790" spans="1:72" x14ac:dyDescent="0.25">
      <c r="A4790" s="2">
        <v>7432</v>
      </c>
      <c r="B4790" s="2">
        <v>2010</v>
      </c>
      <c r="C4790" s="2" t="s">
        <v>171</v>
      </c>
      <c r="D4790" s="2" t="s">
        <v>122</v>
      </c>
      <c r="E4790" s="2" t="s">
        <v>14793</v>
      </c>
      <c r="F4790" s="2">
        <v>10</v>
      </c>
      <c r="G4790" s="2" t="s">
        <v>2143</v>
      </c>
      <c r="H4790" s="2">
        <v>24</v>
      </c>
      <c r="I4790" s="2" t="s">
        <v>287</v>
      </c>
      <c r="J4790" s="2">
        <v>538</v>
      </c>
      <c r="K4790" s="2" t="s">
        <v>7264</v>
      </c>
      <c r="L4790" s="2" t="s">
        <v>7265</v>
      </c>
      <c r="M4790" s="3">
        <v>40505</v>
      </c>
      <c r="N4790" s="2" t="s">
        <v>7266</v>
      </c>
      <c r="O4790" s="2" t="s">
        <v>14771</v>
      </c>
      <c r="P4790" s="2"/>
      <c r="Q4790" s="2" t="str">
        <f>"67/2010"</f>
        <v>67/2010</v>
      </c>
      <c r="R4790" s="2" t="s">
        <v>14771</v>
      </c>
      <c r="S4790" s="2"/>
      <c r="T4790" s="2">
        <v>1</v>
      </c>
      <c r="U4790" s="2" t="s">
        <v>79</v>
      </c>
      <c r="V4790" s="2">
        <v>1</v>
      </c>
      <c r="W4790" s="2" t="s">
        <v>80</v>
      </c>
      <c r="X4790" s="2">
        <v>11</v>
      </c>
      <c r="Y4790" s="2" t="s">
        <v>1920</v>
      </c>
      <c r="Z4790" s="2">
        <v>10</v>
      </c>
      <c r="AA4790" s="2" t="s">
        <v>236</v>
      </c>
      <c r="AB4790" s="2">
        <v>1</v>
      </c>
      <c r="AC4790" s="2" t="s">
        <v>178</v>
      </c>
      <c r="AD4790" s="3">
        <v>40505</v>
      </c>
      <c r="AE4790" s="4">
        <v>0.50694444444444442</v>
      </c>
      <c r="AF4790" s="2"/>
      <c r="AG4790" s="2"/>
      <c r="AH4790" s="2">
        <v>3</v>
      </c>
      <c r="AI4790" s="2" t="s">
        <v>214</v>
      </c>
      <c r="AJ4790" s="2">
        <v>24</v>
      </c>
      <c r="AK4790" s="2" t="s">
        <v>215</v>
      </c>
      <c r="AL4790" s="2">
        <v>23</v>
      </c>
      <c r="AM4790" s="2" t="s">
        <v>251</v>
      </c>
      <c r="AN4790" s="2" t="s">
        <v>14685</v>
      </c>
      <c r="AO4790" s="2" t="s">
        <v>14686</v>
      </c>
      <c r="AP4790" s="2">
        <v>11</v>
      </c>
      <c r="AQ4790" s="2" t="s">
        <v>82</v>
      </c>
      <c r="AR4790" s="2" t="s">
        <v>82</v>
      </c>
      <c r="AS4790" s="2" t="s">
        <v>82</v>
      </c>
      <c r="AT4790" s="2" t="s">
        <v>14794</v>
      </c>
      <c r="AU4790" s="2">
        <v>1</v>
      </c>
      <c r="AV4790" s="2"/>
      <c r="AW4790" s="2"/>
      <c r="AX4790" s="2"/>
      <c r="AY4790" s="2">
        <v>41</v>
      </c>
      <c r="AZ4790" s="2" t="s">
        <v>82</v>
      </c>
      <c r="BA4790" s="2">
        <v>41</v>
      </c>
      <c r="BB4790" s="2" t="s">
        <v>82</v>
      </c>
      <c r="BC4790" s="2">
        <v>41</v>
      </c>
      <c r="BD4790" s="2" t="s">
        <v>82</v>
      </c>
      <c r="BE4790" s="2">
        <v>41</v>
      </c>
      <c r="BF4790" s="2" t="s">
        <v>82</v>
      </c>
      <c r="BG4790" s="2"/>
      <c r="BH4790" s="2"/>
      <c r="BI4790" s="2"/>
      <c r="BJ4790" s="2">
        <v>241</v>
      </c>
      <c r="BK4790" s="2" t="s">
        <v>82</v>
      </c>
      <c r="BL4790" s="2"/>
      <c r="BM4790" s="2">
        <v>241</v>
      </c>
      <c r="BN4790" s="2" t="s">
        <v>82</v>
      </c>
      <c r="BO4790" s="2"/>
      <c r="BP4790" s="2">
        <v>241</v>
      </c>
      <c r="BQ4790" s="2" t="s">
        <v>82</v>
      </c>
      <c r="BR4790" s="2"/>
      <c r="BS4790" s="3">
        <v>40505</v>
      </c>
      <c r="BT4790" s="4">
        <v>0.85642361111111109</v>
      </c>
    </row>
    <row r="4791" spans="1:72" x14ac:dyDescent="0.25">
      <c r="A4791" s="2">
        <v>7432</v>
      </c>
      <c r="B4791" s="2">
        <v>2010</v>
      </c>
      <c r="C4791" s="2" t="s">
        <v>385</v>
      </c>
      <c r="D4791" s="2" t="s">
        <v>122</v>
      </c>
      <c r="E4791" s="2" t="s">
        <v>14793</v>
      </c>
      <c r="F4791" s="2">
        <v>10</v>
      </c>
      <c r="G4791" s="2" t="s">
        <v>2143</v>
      </c>
      <c r="H4791" s="2">
        <v>24</v>
      </c>
      <c r="I4791" s="2" t="s">
        <v>287</v>
      </c>
      <c r="J4791" s="2">
        <v>538</v>
      </c>
      <c r="K4791" s="2" t="s">
        <v>7264</v>
      </c>
      <c r="L4791" s="2" t="s">
        <v>7265</v>
      </c>
      <c r="M4791" s="3">
        <v>40505</v>
      </c>
      <c r="N4791" s="2" t="s">
        <v>7266</v>
      </c>
      <c r="O4791" s="2" t="s">
        <v>14771</v>
      </c>
      <c r="P4791" s="2"/>
      <c r="Q4791" s="2" t="str">
        <f>"67/2010"</f>
        <v>67/2010</v>
      </c>
      <c r="R4791" s="2" t="s">
        <v>14771</v>
      </c>
      <c r="S4791" s="2"/>
      <c r="T4791" s="2">
        <v>1</v>
      </c>
      <c r="U4791" s="2" t="s">
        <v>79</v>
      </c>
      <c r="V4791" s="2">
        <v>1</v>
      </c>
      <c r="W4791" s="2" t="s">
        <v>80</v>
      </c>
      <c r="X4791" s="2">
        <v>11</v>
      </c>
      <c r="Y4791" s="2" t="s">
        <v>1920</v>
      </c>
      <c r="Z4791" s="2">
        <v>10</v>
      </c>
      <c r="AA4791" s="2" t="s">
        <v>236</v>
      </c>
      <c r="AB4791" s="2">
        <v>9</v>
      </c>
      <c r="AC4791" s="2" t="s">
        <v>124</v>
      </c>
      <c r="AD4791" s="3">
        <v>40505</v>
      </c>
      <c r="AE4791" s="4">
        <v>0.50694444444444442</v>
      </c>
      <c r="AF4791" s="2"/>
      <c r="AG4791" s="2"/>
      <c r="AH4791" s="2">
        <v>3</v>
      </c>
      <c r="AI4791" s="2" t="s">
        <v>214</v>
      </c>
      <c r="AJ4791" s="2">
        <v>24</v>
      </c>
      <c r="AK4791" s="2" t="s">
        <v>215</v>
      </c>
      <c r="AL4791" s="2">
        <v>23</v>
      </c>
      <c r="AM4791" s="2" t="s">
        <v>251</v>
      </c>
      <c r="AN4791" s="2" t="s">
        <v>14685</v>
      </c>
      <c r="AO4791" s="2" t="s">
        <v>14686</v>
      </c>
      <c r="AP4791" s="2">
        <v>11</v>
      </c>
      <c r="AQ4791" s="2" t="s">
        <v>82</v>
      </c>
      <c r="AR4791" s="2" t="s">
        <v>82</v>
      </c>
      <c r="AS4791" s="2" t="s">
        <v>82</v>
      </c>
      <c r="AT4791" s="2" t="s">
        <v>14794</v>
      </c>
      <c r="AU4791" s="2">
        <v>1</v>
      </c>
      <c r="AV4791" s="2"/>
      <c r="AW4791" s="2"/>
      <c r="AX4791" s="2"/>
      <c r="AY4791" s="2">
        <v>41</v>
      </c>
      <c r="AZ4791" s="2" t="s">
        <v>82</v>
      </c>
      <c r="BA4791" s="2">
        <v>41</v>
      </c>
      <c r="BB4791" s="2" t="s">
        <v>82</v>
      </c>
      <c r="BC4791" s="2">
        <v>41</v>
      </c>
      <c r="BD4791" s="2" t="s">
        <v>82</v>
      </c>
      <c r="BE4791" s="2">
        <v>41</v>
      </c>
      <c r="BF4791" s="2" t="s">
        <v>82</v>
      </c>
      <c r="BG4791" s="2"/>
      <c r="BH4791" s="2"/>
      <c r="BI4791" s="2"/>
      <c r="BJ4791" s="2">
        <v>241</v>
      </c>
      <c r="BK4791" s="2" t="s">
        <v>82</v>
      </c>
      <c r="BL4791" s="2"/>
      <c r="BM4791" s="2">
        <v>241</v>
      </c>
      <c r="BN4791" s="2" t="s">
        <v>82</v>
      </c>
      <c r="BO4791" s="2"/>
      <c r="BP4791" s="2">
        <v>241</v>
      </c>
      <c r="BQ4791" s="2" t="s">
        <v>82</v>
      </c>
      <c r="BR4791" s="2"/>
      <c r="BS4791" s="3">
        <v>40505</v>
      </c>
      <c r="BT4791" s="4">
        <v>0.85642361111111109</v>
      </c>
    </row>
    <row r="4792" spans="1:72" x14ac:dyDescent="0.25">
      <c r="A4792" s="2">
        <v>7433</v>
      </c>
      <c r="B4792" s="2">
        <v>2010</v>
      </c>
      <c r="C4792" s="2" t="s">
        <v>171</v>
      </c>
      <c r="D4792" s="2" t="s">
        <v>73</v>
      </c>
      <c r="E4792" s="2"/>
      <c r="F4792" s="2">
        <v>114</v>
      </c>
      <c r="G4792" s="2" t="s">
        <v>2817</v>
      </c>
      <c r="H4792" s="2">
        <v>108</v>
      </c>
      <c r="I4792" s="2" t="s">
        <v>1096</v>
      </c>
      <c r="J4792" s="2">
        <v>133</v>
      </c>
      <c r="K4792" s="2" t="s">
        <v>3844</v>
      </c>
      <c r="L4792" s="2" t="s">
        <v>3845</v>
      </c>
      <c r="M4792" s="3">
        <v>40505</v>
      </c>
      <c r="N4792" s="2" t="s">
        <v>11138</v>
      </c>
      <c r="O4792" s="2"/>
      <c r="P4792" s="2" t="s">
        <v>107</v>
      </c>
      <c r="Q4792" s="2" t="str">
        <f>"0024/10"</f>
        <v>0024/10</v>
      </c>
      <c r="R4792" s="2" t="s">
        <v>12759</v>
      </c>
      <c r="S4792" s="2"/>
      <c r="T4792" s="2">
        <v>1</v>
      </c>
      <c r="U4792" s="2" t="s">
        <v>79</v>
      </c>
      <c r="V4792" s="2">
        <v>1</v>
      </c>
      <c r="W4792" s="2" t="s">
        <v>80</v>
      </c>
      <c r="X4792" s="2">
        <v>1</v>
      </c>
      <c r="Y4792" s="2" t="s">
        <v>81</v>
      </c>
      <c r="Z4792" s="2">
        <v>1</v>
      </c>
      <c r="AA4792" s="2" t="s">
        <v>82</v>
      </c>
      <c r="AB4792" s="2">
        <v>1</v>
      </c>
      <c r="AC4792" s="2" t="s">
        <v>178</v>
      </c>
      <c r="AD4792" s="3">
        <v>40505</v>
      </c>
      <c r="AE4792" s="4">
        <v>0.76736111111111116</v>
      </c>
      <c r="AF4792" s="3">
        <v>40505</v>
      </c>
      <c r="AG4792" s="2"/>
      <c r="AH4792" s="2">
        <v>6</v>
      </c>
      <c r="AI4792" s="2" t="s">
        <v>197</v>
      </c>
      <c r="AJ4792" s="2">
        <v>54</v>
      </c>
      <c r="AK4792" s="2" t="s">
        <v>348</v>
      </c>
      <c r="AL4792" s="2">
        <v>11</v>
      </c>
      <c r="AM4792" s="2" t="s">
        <v>137</v>
      </c>
      <c r="AN4792" s="2" t="s">
        <v>349</v>
      </c>
      <c r="AO4792" s="2" t="s">
        <v>12760</v>
      </c>
      <c r="AP4792" s="2">
        <v>11</v>
      </c>
      <c r="AQ4792" s="2" t="s">
        <v>82</v>
      </c>
      <c r="AR4792" s="2" t="s">
        <v>82</v>
      </c>
      <c r="AS4792" s="2" t="s">
        <v>82</v>
      </c>
      <c r="AT4792" s="2" t="s">
        <v>14795</v>
      </c>
      <c r="AU4792" s="2"/>
      <c r="AV4792" s="2"/>
      <c r="AW4792" s="2"/>
      <c r="AX4792" s="2"/>
      <c r="AY4792" s="2">
        <v>41</v>
      </c>
      <c r="AZ4792" s="2" t="s">
        <v>82</v>
      </c>
      <c r="BA4792" s="2">
        <v>41</v>
      </c>
      <c r="BB4792" s="2" t="s">
        <v>82</v>
      </c>
      <c r="BC4792" s="2">
        <v>41</v>
      </c>
      <c r="BD4792" s="2" t="s">
        <v>82</v>
      </c>
      <c r="BE4792" s="2">
        <v>47</v>
      </c>
      <c r="BF4792" s="2" t="s">
        <v>167</v>
      </c>
      <c r="BG4792" s="2">
        <v>2837</v>
      </c>
      <c r="BH4792" s="2"/>
      <c r="BI4792" s="4">
        <v>0.8041666666666667</v>
      </c>
      <c r="BJ4792" s="2">
        <v>13</v>
      </c>
      <c r="BK4792" s="2" t="s">
        <v>91</v>
      </c>
      <c r="BL4792" s="2" t="s">
        <v>7629</v>
      </c>
      <c r="BM4792" s="2">
        <v>13</v>
      </c>
      <c r="BN4792" s="2" t="s">
        <v>91</v>
      </c>
      <c r="BO4792" s="2"/>
      <c r="BP4792" s="2">
        <v>13</v>
      </c>
      <c r="BQ4792" s="2" t="s">
        <v>91</v>
      </c>
      <c r="BR4792" s="2" t="s">
        <v>360</v>
      </c>
      <c r="BS4792" s="3">
        <v>40505</v>
      </c>
      <c r="BT4792" s="4">
        <v>0.89800925925925934</v>
      </c>
    </row>
    <row r="4793" spans="1:72" x14ac:dyDescent="0.25">
      <c r="A4793" s="2">
        <v>7434</v>
      </c>
      <c r="B4793" s="2">
        <v>2010</v>
      </c>
      <c r="C4793" s="2" t="s">
        <v>377</v>
      </c>
      <c r="D4793" s="2" t="s">
        <v>73</v>
      </c>
      <c r="E4793" s="2"/>
      <c r="F4793" s="2">
        <v>426</v>
      </c>
      <c r="G4793" s="2" t="s">
        <v>378</v>
      </c>
      <c r="H4793" s="2">
        <v>108</v>
      </c>
      <c r="I4793" s="2" t="s">
        <v>1096</v>
      </c>
      <c r="J4793" s="2">
        <v>311</v>
      </c>
      <c r="K4793" s="2" t="s">
        <v>379</v>
      </c>
      <c r="L4793" s="2" t="s">
        <v>380</v>
      </c>
      <c r="M4793" s="3">
        <v>40506</v>
      </c>
      <c r="N4793" s="2" t="s">
        <v>5164</v>
      </c>
      <c r="O4793" s="2"/>
      <c r="P4793" s="2"/>
      <c r="Q4793" s="2" t="str">
        <f>"285-C/10"</f>
        <v>285-C/10</v>
      </c>
      <c r="R4793" s="2" t="s">
        <v>4428</v>
      </c>
      <c r="S4793" s="2"/>
      <c r="T4793" s="2">
        <v>1</v>
      </c>
      <c r="U4793" s="2" t="s">
        <v>79</v>
      </c>
      <c r="V4793" s="2">
        <v>1</v>
      </c>
      <c r="W4793" s="2" t="s">
        <v>80</v>
      </c>
      <c r="X4793" s="2">
        <v>1</v>
      </c>
      <c r="Y4793" s="2" t="s">
        <v>81</v>
      </c>
      <c r="Z4793" s="2">
        <v>1</v>
      </c>
      <c r="AA4793" s="2" t="s">
        <v>82</v>
      </c>
      <c r="AB4793" s="2">
        <v>9</v>
      </c>
      <c r="AC4793" s="2" t="s">
        <v>124</v>
      </c>
      <c r="AD4793" s="3">
        <v>40499</v>
      </c>
      <c r="AE4793" s="4">
        <v>0.39583333333333331</v>
      </c>
      <c r="AF4793" s="3">
        <v>40499</v>
      </c>
      <c r="AG4793" s="4">
        <v>0.4375</v>
      </c>
      <c r="AH4793" s="2">
        <v>2</v>
      </c>
      <c r="AI4793" s="2" t="s">
        <v>84</v>
      </c>
      <c r="AJ4793" s="2">
        <v>9</v>
      </c>
      <c r="AK4793" s="2" t="s">
        <v>103</v>
      </c>
      <c r="AL4793" s="2">
        <v>29</v>
      </c>
      <c r="AM4793" s="2" t="s">
        <v>5416</v>
      </c>
      <c r="AN4793" s="2" t="s">
        <v>2585</v>
      </c>
      <c r="AO4793" s="2"/>
      <c r="AP4793" s="2">
        <v>11</v>
      </c>
      <c r="AQ4793" s="2" t="s">
        <v>82</v>
      </c>
      <c r="AR4793" s="2"/>
      <c r="AS4793" s="2"/>
      <c r="AT4793" s="2" t="s">
        <v>14796</v>
      </c>
      <c r="AU4793" s="2"/>
      <c r="AV4793" s="2"/>
      <c r="AW4793" s="2"/>
      <c r="AX4793" s="2"/>
      <c r="AY4793" s="2">
        <v>41</v>
      </c>
      <c r="AZ4793" s="2" t="s">
        <v>82</v>
      </c>
      <c r="BA4793" s="2">
        <v>41</v>
      </c>
      <c r="BB4793" s="2" t="s">
        <v>82</v>
      </c>
      <c r="BC4793" s="2">
        <v>41</v>
      </c>
      <c r="BD4793" s="2" t="s">
        <v>82</v>
      </c>
      <c r="BE4793" s="2">
        <v>41</v>
      </c>
      <c r="BF4793" s="2" t="s">
        <v>82</v>
      </c>
      <c r="BG4793" s="2"/>
      <c r="BH4793" s="2"/>
      <c r="BI4793" s="2"/>
      <c r="BJ4793" s="2">
        <v>241</v>
      </c>
      <c r="BK4793" s="2" t="s">
        <v>82</v>
      </c>
      <c r="BL4793" s="2"/>
      <c r="BM4793" s="2">
        <v>241</v>
      </c>
      <c r="BN4793" s="2" t="s">
        <v>82</v>
      </c>
      <c r="BO4793" s="2"/>
      <c r="BP4793" s="2">
        <v>241</v>
      </c>
      <c r="BQ4793" s="2" t="s">
        <v>82</v>
      </c>
      <c r="BR4793" s="2"/>
      <c r="BS4793" s="3">
        <v>40506</v>
      </c>
      <c r="BT4793" s="4">
        <v>5.8472222222222224E-2</v>
      </c>
    </row>
    <row r="4794" spans="1:72" x14ac:dyDescent="0.25">
      <c r="A4794" s="2">
        <v>7435</v>
      </c>
      <c r="B4794" s="2">
        <v>2010</v>
      </c>
      <c r="C4794" s="2" t="s">
        <v>377</v>
      </c>
      <c r="D4794" s="2" t="s">
        <v>73</v>
      </c>
      <c r="E4794" s="2"/>
      <c r="F4794" s="2">
        <v>426</v>
      </c>
      <c r="G4794" s="2" t="s">
        <v>378</v>
      </c>
      <c r="H4794" s="2">
        <v>108</v>
      </c>
      <c r="I4794" s="2" t="s">
        <v>1096</v>
      </c>
      <c r="J4794" s="2">
        <v>311</v>
      </c>
      <c r="K4794" s="2" t="s">
        <v>379</v>
      </c>
      <c r="L4794" s="2" t="s">
        <v>380</v>
      </c>
      <c r="M4794" s="3">
        <v>40506</v>
      </c>
      <c r="N4794" s="2" t="s">
        <v>7171</v>
      </c>
      <c r="O4794" s="2"/>
      <c r="P4794" s="2"/>
      <c r="Q4794" s="2" t="str">
        <f>"289-C/10"</f>
        <v>289-C/10</v>
      </c>
      <c r="R4794" s="2" t="s">
        <v>4428</v>
      </c>
      <c r="S4794" s="2"/>
      <c r="T4794" s="2">
        <v>1</v>
      </c>
      <c r="U4794" s="2" t="s">
        <v>79</v>
      </c>
      <c r="V4794" s="2">
        <v>1</v>
      </c>
      <c r="W4794" s="2" t="s">
        <v>80</v>
      </c>
      <c r="X4794" s="2">
        <v>1</v>
      </c>
      <c r="Y4794" s="2" t="s">
        <v>81</v>
      </c>
      <c r="Z4794" s="2">
        <v>1</v>
      </c>
      <c r="AA4794" s="2" t="s">
        <v>82</v>
      </c>
      <c r="AB4794" s="2">
        <v>9</v>
      </c>
      <c r="AC4794" s="2" t="s">
        <v>124</v>
      </c>
      <c r="AD4794" s="3">
        <v>40500</v>
      </c>
      <c r="AE4794" s="4">
        <v>0.89583333333333337</v>
      </c>
      <c r="AF4794" s="3">
        <v>40500</v>
      </c>
      <c r="AG4794" s="4">
        <v>0.91666666666666663</v>
      </c>
      <c r="AH4794" s="2">
        <v>2</v>
      </c>
      <c r="AI4794" s="2" t="s">
        <v>84</v>
      </c>
      <c r="AJ4794" s="2">
        <v>9</v>
      </c>
      <c r="AK4794" s="2" t="s">
        <v>103</v>
      </c>
      <c r="AL4794" s="2">
        <v>29</v>
      </c>
      <c r="AM4794" s="2" t="s">
        <v>5416</v>
      </c>
      <c r="AN4794" s="2" t="s">
        <v>2585</v>
      </c>
      <c r="AO4794" s="2"/>
      <c r="AP4794" s="2">
        <v>11</v>
      </c>
      <c r="AQ4794" s="2" t="s">
        <v>82</v>
      </c>
      <c r="AR4794" s="2"/>
      <c r="AS4794" s="2"/>
      <c r="AT4794" s="2" t="s">
        <v>14797</v>
      </c>
      <c r="AU4794" s="2"/>
      <c r="AV4794" s="2"/>
      <c r="AW4794" s="2"/>
      <c r="AX4794" s="2"/>
      <c r="AY4794" s="2">
        <v>41</v>
      </c>
      <c r="AZ4794" s="2" t="s">
        <v>82</v>
      </c>
      <c r="BA4794" s="2">
        <v>41</v>
      </c>
      <c r="BB4794" s="2" t="s">
        <v>82</v>
      </c>
      <c r="BC4794" s="2">
        <v>41</v>
      </c>
      <c r="BD4794" s="2" t="s">
        <v>82</v>
      </c>
      <c r="BE4794" s="2">
        <v>41</v>
      </c>
      <c r="BF4794" s="2" t="s">
        <v>82</v>
      </c>
      <c r="BG4794" s="2"/>
      <c r="BH4794" s="2"/>
      <c r="BI4794" s="2"/>
      <c r="BJ4794" s="2">
        <v>241</v>
      </c>
      <c r="BK4794" s="2" t="s">
        <v>82</v>
      </c>
      <c r="BL4794" s="2"/>
      <c r="BM4794" s="2">
        <v>241</v>
      </c>
      <c r="BN4794" s="2" t="s">
        <v>82</v>
      </c>
      <c r="BO4794" s="2"/>
      <c r="BP4794" s="2">
        <v>241</v>
      </c>
      <c r="BQ4794" s="2" t="s">
        <v>82</v>
      </c>
      <c r="BR4794" s="2"/>
      <c r="BS4794" s="3">
        <v>40506</v>
      </c>
      <c r="BT4794" s="4">
        <v>0.14144675925925926</v>
      </c>
    </row>
    <row r="4795" spans="1:72" x14ac:dyDescent="0.25">
      <c r="A4795" s="2">
        <v>7436</v>
      </c>
      <c r="B4795" s="2">
        <v>2010</v>
      </c>
      <c r="C4795" s="2" t="s">
        <v>377</v>
      </c>
      <c r="D4795" s="2" t="s">
        <v>73</v>
      </c>
      <c r="E4795" s="2"/>
      <c r="F4795" s="2">
        <v>426</v>
      </c>
      <c r="G4795" s="2" t="s">
        <v>378</v>
      </c>
      <c r="H4795" s="2">
        <v>108</v>
      </c>
      <c r="I4795" s="2" t="s">
        <v>1096</v>
      </c>
      <c r="J4795" s="2">
        <v>311</v>
      </c>
      <c r="K4795" s="2" t="s">
        <v>379</v>
      </c>
      <c r="L4795" s="2" t="s">
        <v>380</v>
      </c>
      <c r="M4795" s="3">
        <v>40506</v>
      </c>
      <c r="N4795" s="2" t="s">
        <v>14673</v>
      </c>
      <c r="O4795" s="2"/>
      <c r="P4795" s="2"/>
      <c r="Q4795" s="2" t="str">
        <f>"296-C/10"</f>
        <v>296-C/10</v>
      </c>
      <c r="R4795" s="2" t="s">
        <v>8766</v>
      </c>
      <c r="S4795" s="2"/>
      <c r="T4795" s="2">
        <v>1</v>
      </c>
      <c r="U4795" s="2" t="s">
        <v>79</v>
      </c>
      <c r="V4795" s="2">
        <v>1</v>
      </c>
      <c r="W4795" s="2" t="s">
        <v>80</v>
      </c>
      <c r="X4795" s="2">
        <v>1</v>
      </c>
      <c r="Y4795" s="2" t="s">
        <v>81</v>
      </c>
      <c r="Z4795" s="2">
        <v>1</v>
      </c>
      <c r="AA4795" s="2" t="s">
        <v>82</v>
      </c>
      <c r="AB4795" s="2">
        <v>9</v>
      </c>
      <c r="AC4795" s="2" t="s">
        <v>124</v>
      </c>
      <c r="AD4795" s="3">
        <v>40505</v>
      </c>
      <c r="AE4795" s="4">
        <v>0.58680555555555558</v>
      </c>
      <c r="AF4795" s="3">
        <v>40505</v>
      </c>
      <c r="AG4795" s="4">
        <v>0.61805555555555558</v>
      </c>
      <c r="AH4795" s="2">
        <v>2</v>
      </c>
      <c r="AI4795" s="2" t="s">
        <v>84</v>
      </c>
      <c r="AJ4795" s="2">
        <v>9</v>
      </c>
      <c r="AK4795" s="2" t="s">
        <v>103</v>
      </c>
      <c r="AL4795" s="2">
        <v>29</v>
      </c>
      <c r="AM4795" s="2" t="s">
        <v>5416</v>
      </c>
      <c r="AN4795" s="2" t="s">
        <v>14798</v>
      </c>
      <c r="AO4795" s="2"/>
      <c r="AP4795" s="2">
        <v>11</v>
      </c>
      <c r="AQ4795" s="2" t="s">
        <v>82</v>
      </c>
      <c r="AR4795" s="2"/>
      <c r="AS4795" s="2"/>
      <c r="AT4795" s="2" t="s">
        <v>14799</v>
      </c>
      <c r="AU4795" s="2"/>
      <c r="AV4795" s="2"/>
      <c r="AW4795" s="2"/>
      <c r="AX4795" s="2"/>
      <c r="AY4795" s="2">
        <v>41</v>
      </c>
      <c r="AZ4795" s="2" t="s">
        <v>82</v>
      </c>
      <c r="BA4795" s="2">
        <v>41</v>
      </c>
      <c r="BB4795" s="2" t="s">
        <v>82</v>
      </c>
      <c r="BC4795" s="2">
        <v>41</v>
      </c>
      <c r="BD4795" s="2" t="s">
        <v>82</v>
      </c>
      <c r="BE4795" s="2">
        <v>41</v>
      </c>
      <c r="BF4795" s="2" t="s">
        <v>82</v>
      </c>
      <c r="BG4795" s="2"/>
      <c r="BH4795" s="2"/>
      <c r="BI4795" s="2"/>
      <c r="BJ4795" s="2">
        <v>241</v>
      </c>
      <c r="BK4795" s="2" t="s">
        <v>82</v>
      </c>
      <c r="BL4795" s="2"/>
      <c r="BM4795" s="2">
        <v>241</v>
      </c>
      <c r="BN4795" s="2" t="s">
        <v>82</v>
      </c>
      <c r="BO4795" s="2"/>
      <c r="BP4795" s="2">
        <v>241</v>
      </c>
      <c r="BQ4795" s="2" t="s">
        <v>82</v>
      </c>
      <c r="BR4795" s="2"/>
      <c r="BS4795" s="3">
        <v>40506</v>
      </c>
      <c r="BT4795" s="4">
        <v>0.30127314814814815</v>
      </c>
    </row>
    <row r="4796" spans="1:72" x14ac:dyDescent="0.25">
      <c r="A4796" s="2">
        <v>7438</v>
      </c>
      <c r="B4796" s="2">
        <v>2010</v>
      </c>
      <c r="C4796" s="2" t="s">
        <v>128</v>
      </c>
      <c r="D4796" s="2" t="s">
        <v>73</v>
      </c>
      <c r="E4796" s="2"/>
      <c r="F4796" s="2">
        <v>2</v>
      </c>
      <c r="G4796" s="2" t="s">
        <v>113</v>
      </c>
      <c r="H4796" s="2">
        <v>1</v>
      </c>
      <c r="I4796" s="2" t="s">
        <v>82</v>
      </c>
      <c r="J4796" s="2">
        <v>300</v>
      </c>
      <c r="K4796" s="2" t="s">
        <v>114</v>
      </c>
      <c r="L4796" s="2" t="s">
        <v>115</v>
      </c>
      <c r="M4796" s="3">
        <v>40506</v>
      </c>
      <c r="N4796" s="2"/>
      <c r="O4796" s="2" t="s">
        <v>12482</v>
      </c>
      <c r="P4796" s="2" t="s">
        <v>14800</v>
      </c>
      <c r="Q4796" s="2" t="str">
        <f>"495-E/10"</f>
        <v>495-E/10</v>
      </c>
      <c r="R4796" s="2" t="s">
        <v>12482</v>
      </c>
      <c r="S4796" s="2"/>
      <c r="T4796" s="2">
        <v>1</v>
      </c>
      <c r="U4796" s="2" t="s">
        <v>79</v>
      </c>
      <c r="V4796" s="2">
        <v>3</v>
      </c>
      <c r="W4796" s="2" t="s">
        <v>225</v>
      </c>
      <c r="X4796" s="2">
        <v>6</v>
      </c>
      <c r="Y4796" s="2" t="s">
        <v>249</v>
      </c>
      <c r="Z4796" s="2">
        <v>1</v>
      </c>
      <c r="AA4796" s="2" t="s">
        <v>82</v>
      </c>
      <c r="AB4796" s="2">
        <v>9</v>
      </c>
      <c r="AC4796" s="2" t="s">
        <v>124</v>
      </c>
      <c r="AD4796" s="3">
        <v>40506</v>
      </c>
      <c r="AE4796" s="4">
        <v>0.41666666666666669</v>
      </c>
      <c r="AF4796" s="2"/>
      <c r="AG4796" s="2"/>
      <c r="AH4796" s="2">
        <v>2</v>
      </c>
      <c r="AI4796" s="2" t="s">
        <v>84</v>
      </c>
      <c r="AJ4796" s="2">
        <v>6</v>
      </c>
      <c r="AK4796" s="2" t="s">
        <v>453</v>
      </c>
      <c r="AL4796" s="2">
        <v>19</v>
      </c>
      <c r="AM4796" s="2" t="s">
        <v>107</v>
      </c>
      <c r="AN4796" s="2"/>
      <c r="AO4796" s="2"/>
      <c r="AP4796" s="2">
        <v>11</v>
      </c>
      <c r="AQ4796" s="2" t="s">
        <v>82</v>
      </c>
      <c r="AR4796" s="2"/>
      <c r="AS4796" s="2"/>
      <c r="AT4796" s="2" t="s">
        <v>14801</v>
      </c>
      <c r="AU4796" s="2"/>
      <c r="AV4796" s="2"/>
      <c r="AW4796" s="2"/>
      <c r="AX4796" s="2"/>
      <c r="AY4796" s="2">
        <v>41</v>
      </c>
      <c r="AZ4796" s="2" t="s">
        <v>82</v>
      </c>
      <c r="BA4796" s="2">
        <v>41</v>
      </c>
      <c r="BB4796" s="2" t="s">
        <v>82</v>
      </c>
      <c r="BC4796" s="2">
        <v>41</v>
      </c>
      <c r="BD4796" s="2" t="s">
        <v>82</v>
      </c>
      <c r="BE4796" s="2">
        <v>41</v>
      </c>
      <c r="BF4796" s="2" t="s">
        <v>82</v>
      </c>
      <c r="BG4796" s="2"/>
      <c r="BH4796" s="2"/>
      <c r="BI4796" s="2"/>
      <c r="BJ4796" s="2">
        <v>241</v>
      </c>
      <c r="BK4796" s="2" t="s">
        <v>82</v>
      </c>
      <c r="BL4796" s="2"/>
      <c r="BM4796" s="2">
        <v>241</v>
      </c>
      <c r="BN4796" s="2" t="s">
        <v>82</v>
      </c>
      <c r="BO4796" s="2"/>
      <c r="BP4796" s="2">
        <v>241</v>
      </c>
      <c r="BQ4796" s="2" t="s">
        <v>82</v>
      </c>
      <c r="BR4796" s="2"/>
      <c r="BS4796" s="3">
        <v>40506</v>
      </c>
      <c r="BT4796" s="4">
        <v>0.43039351851851854</v>
      </c>
    </row>
    <row r="4797" spans="1:72" x14ac:dyDescent="0.25">
      <c r="A4797" s="2">
        <v>7440</v>
      </c>
      <c r="B4797" s="2">
        <v>2010</v>
      </c>
      <c r="C4797" s="2" t="s">
        <v>819</v>
      </c>
      <c r="D4797" s="2" t="s">
        <v>73</v>
      </c>
      <c r="E4797" s="2"/>
      <c r="F4797" s="2">
        <v>10</v>
      </c>
      <c r="G4797" s="2" t="s">
        <v>2143</v>
      </c>
      <c r="H4797" s="2">
        <v>3</v>
      </c>
      <c r="I4797" s="2" t="s">
        <v>315</v>
      </c>
      <c r="J4797" s="2">
        <v>538</v>
      </c>
      <c r="K4797" s="2" t="s">
        <v>7264</v>
      </c>
      <c r="L4797" s="2" t="s">
        <v>7265</v>
      </c>
      <c r="M4797" s="3">
        <v>40506</v>
      </c>
      <c r="N4797" s="2" t="s">
        <v>2214</v>
      </c>
      <c r="O4797" s="2" t="s">
        <v>107</v>
      </c>
      <c r="P4797" s="2" t="s">
        <v>107</v>
      </c>
      <c r="Q4797" s="2" t="str">
        <f>"68-10"</f>
        <v>68-10</v>
      </c>
      <c r="R4797" s="2" t="s">
        <v>2162</v>
      </c>
      <c r="S4797" s="2" t="s">
        <v>2162</v>
      </c>
      <c r="T4797" s="2">
        <v>1</v>
      </c>
      <c r="U4797" s="2" t="s">
        <v>79</v>
      </c>
      <c r="V4797" s="2">
        <v>1</v>
      </c>
      <c r="W4797" s="2" t="s">
        <v>80</v>
      </c>
      <c r="X4797" s="2">
        <v>1</v>
      </c>
      <c r="Y4797" s="2" t="s">
        <v>81</v>
      </c>
      <c r="Z4797" s="2">
        <v>1</v>
      </c>
      <c r="AA4797" s="2" t="s">
        <v>82</v>
      </c>
      <c r="AB4797" s="2">
        <v>9</v>
      </c>
      <c r="AC4797" s="2" t="s">
        <v>124</v>
      </c>
      <c r="AD4797" s="3">
        <v>40506</v>
      </c>
      <c r="AE4797" s="4">
        <v>0.23958333333333334</v>
      </c>
      <c r="AF4797" s="3">
        <v>40506</v>
      </c>
      <c r="AG4797" s="2"/>
      <c r="AH4797" s="2">
        <v>3</v>
      </c>
      <c r="AI4797" s="2" t="s">
        <v>214</v>
      </c>
      <c r="AJ4797" s="2">
        <v>24</v>
      </c>
      <c r="AK4797" s="2" t="s">
        <v>215</v>
      </c>
      <c r="AL4797" s="2">
        <v>11</v>
      </c>
      <c r="AM4797" s="2" t="s">
        <v>137</v>
      </c>
      <c r="AN4797" s="2"/>
      <c r="AO4797" s="2" t="s">
        <v>107</v>
      </c>
      <c r="AP4797" s="2">
        <v>11</v>
      </c>
      <c r="AQ4797" s="2" t="s">
        <v>82</v>
      </c>
      <c r="AR4797" s="2"/>
      <c r="AS4797" s="2"/>
      <c r="AT4797" s="2" t="s">
        <v>14802</v>
      </c>
      <c r="AU4797" s="2"/>
      <c r="AV4797" s="2"/>
      <c r="AW4797" s="2"/>
      <c r="AX4797" s="2"/>
      <c r="AY4797" s="2">
        <v>42</v>
      </c>
      <c r="AZ4797" s="2" t="s">
        <v>182</v>
      </c>
      <c r="BA4797" s="2">
        <v>41</v>
      </c>
      <c r="BB4797" s="2" t="s">
        <v>82</v>
      </c>
      <c r="BC4797" s="2">
        <v>41</v>
      </c>
      <c r="BD4797" s="2" t="s">
        <v>82</v>
      </c>
      <c r="BE4797" s="2">
        <v>10</v>
      </c>
      <c r="BF4797" s="2" t="s">
        <v>901</v>
      </c>
      <c r="BG4797" s="2">
        <v>297</v>
      </c>
      <c r="BH4797" s="4">
        <v>0.3611111111111111</v>
      </c>
      <c r="BI4797" s="4">
        <v>0.27083333333333331</v>
      </c>
      <c r="BJ4797" s="2">
        <v>13</v>
      </c>
      <c r="BK4797" s="2" t="s">
        <v>91</v>
      </c>
      <c r="BL4797" s="2" t="s">
        <v>169</v>
      </c>
      <c r="BM4797" s="2">
        <v>229</v>
      </c>
      <c r="BN4797" s="2" t="s">
        <v>300</v>
      </c>
      <c r="BO4797" s="2"/>
      <c r="BP4797" s="2">
        <v>229</v>
      </c>
      <c r="BQ4797" s="2" t="s">
        <v>300</v>
      </c>
      <c r="BR4797" s="2" t="s">
        <v>573</v>
      </c>
      <c r="BS4797" s="3">
        <v>40506</v>
      </c>
      <c r="BT4797" s="4">
        <v>0.45100694444444445</v>
      </c>
    </row>
    <row r="4798" spans="1:72" x14ac:dyDescent="0.25">
      <c r="A4798" s="2">
        <v>7441</v>
      </c>
      <c r="B4798" s="2">
        <v>2010</v>
      </c>
      <c r="C4798" s="2" t="s">
        <v>377</v>
      </c>
      <c r="D4798" s="2" t="s">
        <v>73</v>
      </c>
      <c r="E4798" s="2"/>
      <c r="F4798" s="2">
        <v>426</v>
      </c>
      <c r="G4798" s="2" t="s">
        <v>378</v>
      </c>
      <c r="H4798" s="2">
        <v>149</v>
      </c>
      <c r="I4798" s="2" t="s">
        <v>14672</v>
      </c>
      <c r="J4798" s="2">
        <v>311</v>
      </c>
      <c r="K4798" s="2" t="s">
        <v>379</v>
      </c>
      <c r="L4798" s="2" t="s">
        <v>380</v>
      </c>
      <c r="M4798" s="3">
        <v>40506</v>
      </c>
      <c r="N4798" s="2" t="s">
        <v>7171</v>
      </c>
      <c r="O4798" s="2" t="s">
        <v>107</v>
      </c>
      <c r="P4798" s="2" t="s">
        <v>107</v>
      </c>
      <c r="Q4798" s="2" t="str">
        <f>"286-C/10"</f>
        <v>286-C/10</v>
      </c>
      <c r="R4798" s="2" t="s">
        <v>5997</v>
      </c>
      <c r="S4798" s="2" t="s">
        <v>5997</v>
      </c>
      <c r="T4798" s="2">
        <v>1</v>
      </c>
      <c r="U4798" s="2" t="s">
        <v>79</v>
      </c>
      <c r="V4798" s="2">
        <v>1</v>
      </c>
      <c r="W4798" s="2" t="s">
        <v>80</v>
      </c>
      <c r="X4798" s="2">
        <v>1</v>
      </c>
      <c r="Y4798" s="2" t="s">
        <v>81</v>
      </c>
      <c r="Z4798" s="2">
        <v>1</v>
      </c>
      <c r="AA4798" s="2" t="s">
        <v>82</v>
      </c>
      <c r="AB4798" s="2">
        <v>9</v>
      </c>
      <c r="AC4798" s="2" t="s">
        <v>124</v>
      </c>
      <c r="AD4798" s="3">
        <v>40499</v>
      </c>
      <c r="AE4798" s="2"/>
      <c r="AF4798" s="3">
        <v>40499</v>
      </c>
      <c r="AG4798" s="4">
        <v>0.5</v>
      </c>
      <c r="AH4798" s="2">
        <v>2</v>
      </c>
      <c r="AI4798" s="2" t="s">
        <v>84</v>
      </c>
      <c r="AJ4798" s="2">
        <v>9</v>
      </c>
      <c r="AK4798" s="2" t="s">
        <v>103</v>
      </c>
      <c r="AL4798" s="2">
        <v>29</v>
      </c>
      <c r="AM4798" s="2" t="s">
        <v>5416</v>
      </c>
      <c r="AN4798" s="2" t="s">
        <v>14803</v>
      </c>
      <c r="AO4798" s="2"/>
      <c r="AP4798" s="2">
        <v>11</v>
      </c>
      <c r="AQ4798" s="2" t="s">
        <v>82</v>
      </c>
      <c r="AR4798" s="2"/>
      <c r="AS4798" s="2"/>
      <c r="AT4798" s="2" t="s">
        <v>14804</v>
      </c>
      <c r="AU4798" s="2"/>
      <c r="AV4798" s="2"/>
      <c r="AW4798" s="2"/>
      <c r="AX4798" s="2"/>
      <c r="AY4798" s="2">
        <v>41</v>
      </c>
      <c r="AZ4798" s="2" t="s">
        <v>82</v>
      </c>
      <c r="BA4798" s="2">
        <v>41</v>
      </c>
      <c r="BB4798" s="2" t="s">
        <v>82</v>
      </c>
      <c r="BC4798" s="2">
        <v>41</v>
      </c>
      <c r="BD4798" s="2" t="s">
        <v>82</v>
      </c>
      <c r="BE4798" s="2">
        <v>41</v>
      </c>
      <c r="BF4798" s="2" t="s">
        <v>82</v>
      </c>
      <c r="BG4798" s="2"/>
      <c r="BH4798" s="2"/>
      <c r="BI4798" s="2"/>
      <c r="BJ4798" s="2">
        <v>241</v>
      </c>
      <c r="BK4798" s="2" t="s">
        <v>82</v>
      </c>
      <c r="BL4798" s="2"/>
      <c r="BM4798" s="2">
        <v>241</v>
      </c>
      <c r="BN4798" s="2" t="s">
        <v>82</v>
      </c>
      <c r="BO4798" s="2"/>
      <c r="BP4798" s="2">
        <v>241</v>
      </c>
      <c r="BQ4798" s="2" t="s">
        <v>82</v>
      </c>
      <c r="BR4798" s="2"/>
      <c r="BS4798" s="3">
        <v>40506</v>
      </c>
      <c r="BT4798" s="4">
        <v>0.4612384259259259</v>
      </c>
    </row>
    <row r="4799" spans="1:72" x14ac:dyDescent="0.25">
      <c r="A4799" s="2">
        <v>7443</v>
      </c>
      <c r="B4799" s="2">
        <v>2010</v>
      </c>
      <c r="C4799" s="2" t="s">
        <v>72</v>
      </c>
      <c r="D4799" s="2" t="s">
        <v>73</v>
      </c>
      <c r="E4799" s="2"/>
      <c r="F4799" s="2">
        <v>390</v>
      </c>
      <c r="G4799" s="2" t="s">
        <v>475</v>
      </c>
      <c r="H4799" s="2">
        <v>5</v>
      </c>
      <c r="I4799" s="2" t="s">
        <v>634</v>
      </c>
      <c r="J4799" s="2">
        <v>533</v>
      </c>
      <c r="K4799" s="2" t="s">
        <v>6511</v>
      </c>
      <c r="L4799" s="2" t="s">
        <v>478</v>
      </c>
      <c r="M4799" s="3">
        <v>40506</v>
      </c>
      <c r="N4799" s="2" t="s">
        <v>3103</v>
      </c>
      <c r="O4799" s="2"/>
      <c r="P4799" s="2"/>
      <c r="Q4799" s="2" t="str">
        <f>"626-E/10"</f>
        <v>626-E/10</v>
      </c>
      <c r="R4799" s="2" t="s">
        <v>1847</v>
      </c>
      <c r="S4799" s="2" t="s">
        <v>1847</v>
      </c>
      <c r="T4799" s="2">
        <v>1</v>
      </c>
      <c r="U4799" s="2" t="s">
        <v>79</v>
      </c>
      <c r="V4799" s="2">
        <v>1</v>
      </c>
      <c r="W4799" s="2" t="s">
        <v>80</v>
      </c>
      <c r="X4799" s="2">
        <v>12</v>
      </c>
      <c r="Y4799" s="2" t="s">
        <v>148</v>
      </c>
      <c r="Z4799" s="2">
        <v>1</v>
      </c>
      <c r="AA4799" s="2" t="s">
        <v>82</v>
      </c>
      <c r="AB4799" s="2">
        <v>6</v>
      </c>
      <c r="AC4799" s="2" t="s">
        <v>83</v>
      </c>
      <c r="AD4799" s="3">
        <v>40505</v>
      </c>
      <c r="AE4799" s="2"/>
      <c r="AF4799" s="3">
        <v>40505</v>
      </c>
      <c r="AG4799" s="4">
        <v>0.75</v>
      </c>
      <c r="AH4799" s="2">
        <v>2</v>
      </c>
      <c r="AI4799" s="2" t="s">
        <v>84</v>
      </c>
      <c r="AJ4799" s="2">
        <v>9</v>
      </c>
      <c r="AK4799" s="2" t="s">
        <v>103</v>
      </c>
      <c r="AL4799" s="2">
        <v>14</v>
      </c>
      <c r="AM4799" s="2" t="s">
        <v>216</v>
      </c>
      <c r="AN4799" s="2" t="s">
        <v>14805</v>
      </c>
      <c r="AO4799" s="2" t="s">
        <v>4974</v>
      </c>
      <c r="AP4799" s="2">
        <v>11</v>
      </c>
      <c r="AQ4799" s="2" t="s">
        <v>82</v>
      </c>
      <c r="AR4799" s="2"/>
      <c r="AS4799" s="2"/>
      <c r="AT4799" s="2" t="s">
        <v>14806</v>
      </c>
      <c r="AU4799" s="2"/>
      <c r="AV4799" s="2">
        <v>1</v>
      </c>
      <c r="AW4799" s="2"/>
      <c r="AX4799" s="2"/>
      <c r="AY4799" s="2">
        <v>41</v>
      </c>
      <c r="AZ4799" s="2" t="s">
        <v>82</v>
      </c>
      <c r="BA4799" s="2">
        <v>69</v>
      </c>
      <c r="BB4799" s="2" t="s">
        <v>483</v>
      </c>
      <c r="BC4799" s="2">
        <v>41</v>
      </c>
      <c r="BD4799" s="2" t="s">
        <v>82</v>
      </c>
      <c r="BE4799" s="2">
        <v>41</v>
      </c>
      <c r="BF4799" s="2" t="s">
        <v>82</v>
      </c>
      <c r="BG4799" s="2"/>
      <c r="BH4799" s="2"/>
      <c r="BI4799" s="2"/>
      <c r="BJ4799" s="2">
        <v>241</v>
      </c>
      <c r="BK4799" s="2" t="s">
        <v>82</v>
      </c>
      <c r="BL4799" s="2"/>
      <c r="BM4799" s="2">
        <v>241</v>
      </c>
      <c r="BN4799" s="2" t="s">
        <v>82</v>
      </c>
      <c r="BO4799" s="2"/>
      <c r="BP4799" s="2">
        <v>241</v>
      </c>
      <c r="BQ4799" s="2" t="s">
        <v>82</v>
      </c>
      <c r="BR4799" s="2"/>
      <c r="BS4799" s="3">
        <v>40506</v>
      </c>
      <c r="BT4799" s="4">
        <v>0.47589120370370369</v>
      </c>
    </row>
    <row r="4800" spans="1:72" x14ac:dyDescent="0.25">
      <c r="A4800" s="2">
        <v>7444</v>
      </c>
      <c r="B4800" s="2">
        <v>2010</v>
      </c>
      <c r="C4800" s="2" t="s">
        <v>414</v>
      </c>
      <c r="D4800" s="2" t="s">
        <v>122</v>
      </c>
      <c r="E4800" s="2" t="s">
        <v>14807</v>
      </c>
      <c r="F4800" s="2">
        <v>1</v>
      </c>
      <c r="G4800" s="2" t="s">
        <v>82</v>
      </c>
      <c r="H4800" s="2">
        <v>1</v>
      </c>
      <c r="I4800" s="2" t="s">
        <v>82</v>
      </c>
      <c r="J4800" s="2">
        <v>1</v>
      </c>
      <c r="K4800" s="2" t="s">
        <v>107</v>
      </c>
      <c r="L4800" s="2" t="s">
        <v>107</v>
      </c>
      <c r="M4800" s="3">
        <v>40506</v>
      </c>
      <c r="N4800" s="2"/>
      <c r="O4800" s="2" t="s">
        <v>82</v>
      </c>
      <c r="P4800" s="2" t="s">
        <v>82</v>
      </c>
      <c r="Q4800" s="2" t="str">
        <f>"N/C"</f>
        <v>N/C</v>
      </c>
      <c r="R4800" s="2" t="s">
        <v>82</v>
      </c>
      <c r="S4800" s="2" t="s">
        <v>14725</v>
      </c>
      <c r="T4800" s="2">
        <v>1</v>
      </c>
      <c r="U4800" s="2" t="s">
        <v>79</v>
      </c>
      <c r="V4800" s="2">
        <v>1</v>
      </c>
      <c r="W4800" s="2" t="s">
        <v>80</v>
      </c>
      <c r="X4800" s="2">
        <v>1</v>
      </c>
      <c r="Y4800" s="2" t="s">
        <v>81</v>
      </c>
      <c r="Z4800" s="2">
        <v>1</v>
      </c>
      <c r="AA4800" s="2" t="s">
        <v>82</v>
      </c>
      <c r="AB4800" s="2">
        <v>9</v>
      </c>
      <c r="AC4800" s="2" t="s">
        <v>124</v>
      </c>
      <c r="AD4800" s="3">
        <v>40506</v>
      </c>
      <c r="AE4800" s="4">
        <v>0.47569444444444442</v>
      </c>
      <c r="AF4800" s="2"/>
      <c r="AG4800" s="2"/>
      <c r="AH4800" s="2">
        <v>6</v>
      </c>
      <c r="AI4800" s="2" t="s">
        <v>197</v>
      </c>
      <c r="AJ4800" s="2">
        <v>60</v>
      </c>
      <c r="AK4800" s="2" t="s">
        <v>543</v>
      </c>
      <c r="AL4800" s="2">
        <v>26</v>
      </c>
      <c r="AM4800" s="2" t="s">
        <v>6036</v>
      </c>
      <c r="AN4800" s="2" t="s">
        <v>82</v>
      </c>
      <c r="AO4800" s="2" t="s">
        <v>2249</v>
      </c>
      <c r="AP4800" s="2">
        <v>11</v>
      </c>
      <c r="AQ4800" s="2" t="s">
        <v>82</v>
      </c>
      <c r="AR4800" s="2"/>
      <c r="AS4800" s="2"/>
      <c r="AT4800" s="2" t="s">
        <v>14808</v>
      </c>
      <c r="AU4800" s="2"/>
      <c r="AV4800" s="2"/>
      <c r="AW4800" s="2"/>
      <c r="AX4800" s="2"/>
      <c r="AY4800" s="2">
        <v>41</v>
      </c>
      <c r="AZ4800" s="2" t="s">
        <v>82</v>
      </c>
      <c r="BA4800" s="2">
        <v>41</v>
      </c>
      <c r="BB4800" s="2" t="s">
        <v>82</v>
      </c>
      <c r="BC4800" s="2">
        <v>41</v>
      </c>
      <c r="BD4800" s="2" t="s">
        <v>82</v>
      </c>
      <c r="BE4800" s="2">
        <v>41</v>
      </c>
      <c r="BF4800" s="2" t="s">
        <v>82</v>
      </c>
      <c r="BG4800" s="2" t="s">
        <v>82</v>
      </c>
      <c r="BH4800" s="2"/>
      <c r="BI4800" s="2"/>
      <c r="BJ4800" s="2">
        <v>241</v>
      </c>
      <c r="BK4800" s="2" t="s">
        <v>82</v>
      </c>
      <c r="BL4800" s="2"/>
      <c r="BM4800" s="2">
        <v>242</v>
      </c>
      <c r="BN4800" s="2" t="s">
        <v>107</v>
      </c>
      <c r="BO4800" s="2"/>
      <c r="BP4800" s="2">
        <v>241</v>
      </c>
      <c r="BQ4800" s="2" t="s">
        <v>82</v>
      </c>
      <c r="BR4800" s="2"/>
      <c r="BS4800" s="3">
        <v>40506</v>
      </c>
      <c r="BT4800" s="4">
        <v>0.49865740740740744</v>
      </c>
    </row>
    <row r="4801" spans="1:72" x14ac:dyDescent="0.25">
      <c r="A4801" s="2">
        <v>7445</v>
      </c>
      <c r="B4801" s="2">
        <v>2010</v>
      </c>
      <c r="C4801" s="2" t="s">
        <v>171</v>
      </c>
      <c r="D4801" s="2" t="s">
        <v>122</v>
      </c>
      <c r="E4801" s="2" t="s">
        <v>14306</v>
      </c>
      <c r="F4801" s="2">
        <v>400</v>
      </c>
      <c r="G4801" s="2" t="s">
        <v>3601</v>
      </c>
      <c r="H4801" s="2">
        <v>17</v>
      </c>
      <c r="I4801" s="2" t="s">
        <v>3602</v>
      </c>
      <c r="J4801" s="2">
        <v>316</v>
      </c>
      <c r="K4801" s="2" t="s">
        <v>574</v>
      </c>
      <c r="L4801" s="2" t="s">
        <v>575</v>
      </c>
      <c r="M4801" s="3">
        <v>40506</v>
      </c>
      <c r="N4801" s="2" t="s">
        <v>3826</v>
      </c>
      <c r="O4801" s="2" t="s">
        <v>14184</v>
      </c>
      <c r="P4801" s="2">
        <v>1386</v>
      </c>
      <c r="Q4801" s="2" t="str">
        <f>"09R/10"</f>
        <v>09R/10</v>
      </c>
      <c r="R4801" s="2"/>
      <c r="S4801" s="2" t="s">
        <v>6092</v>
      </c>
      <c r="T4801" s="2">
        <v>1</v>
      </c>
      <c r="U4801" s="2" t="s">
        <v>79</v>
      </c>
      <c r="V4801" s="2">
        <v>1</v>
      </c>
      <c r="W4801" s="2" t="s">
        <v>80</v>
      </c>
      <c r="X4801" s="2">
        <v>11</v>
      </c>
      <c r="Y4801" s="2" t="s">
        <v>1920</v>
      </c>
      <c r="Z4801" s="2">
        <v>10</v>
      </c>
      <c r="AA4801" s="2" t="s">
        <v>236</v>
      </c>
      <c r="AB4801" s="2">
        <v>1</v>
      </c>
      <c r="AC4801" s="2" t="s">
        <v>178</v>
      </c>
      <c r="AD4801" s="3">
        <v>40506</v>
      </c>
      <c r="AE4801" s="4">
        <v>0.29166666666666669</v>
      </c>
      <c r="AF4801" s="2"/>
      <c r="AG4801" s="2"/>
      <c r="AH4801" s="2">
        <v>2</v>
      </c>
      <c r="AI4801" s="2" t="s">
        <v>84</v>
      </c>
      <c r="AJ4801" s="2">
        <v>6</v>
      </c>
      <c r="AK4801" s="2" t="s">
        <v>453</v>
      </c>
      <c r="AL4801" s="2">
        <v>23</v>
      </c>
      <c r="AM4801" s="2" t="s">
        <v>251</v>
      </c>
      <c r="AN4801" s="2" t="s">
        <v>14809</v>
      </c>
      <c r="AO4801" s="2" t="s">
        <v>1394</v>
      </c>
      <c r="AP4801" s="2">
        <v>11</v>
      </c>
      <c r="AQ4801" s="2" t="s">
        <v>82</v>
      </c>
      <c r="AR4801" s="2"/>
      <c r="AS4801" s="2"/>
      <c r="AT4801" s="2" t="s">
        <v>14810</v>
      </c>
      <c r="AU4801" s="2"/>
      <c r="AV4801" s="2">
        <v>1</v>
      </c>
      <c r="AW4801" s="2"/>
      <c r="AX4801" s="2"/>
      <c r="AY4801" s="2">
        <v>42</v>
      </c>
      <c r="AZ4801" s="2" t="s">
        <v>182</v>
      </c>
      <c r="BA4801" s="2">
        <v>70</v>
      </c>
      <c r="BB4801" s="2" t="s">
        <v>236</v>
      </c>
      <c r="BC4801" s="2">
        <v>70</v>
      </c>
      <c r="BD4801" s="2" t="s">
        <v>236</v>
      </c>
      <c r="BE4801" s="2">
        <v>31</v>
      </c>
      <c r="BF4801" s="2" t="s">
        <v>398</v>
      </c>
      <c r="BG4801" s="2" t="s">
        <v>7251</v>
      </c>
      <c r="BH4801" s="2"/>
      <c r="BI4801" s="2"/>
      <c r="BJ4801" s="2">
        <v>13</v>
      </c>
      <c r="BK4801" s="2" t="s">
        <v>91</v>
      </c>
      <c r="BL4801" s="2" t="s">
        <v>360</v>
      </c>
      <c r="BM4801" s="2">
        <v>73</v>
      </c>
      <c r="BN4801" s="2" t="s">
        <v>186</v>
      </c>
      <c r="BO4801" s="2"/>
      <c r="BP4801" s="2">
        <v>73</v>
      </c>
      <c r="BQ4801" s="2" t="s">
        <v>186</v>
      </c>
      <c r="BR4801" s="2" t="s">
        <v>187</v>
      </c>
      <c r="BS4801" s="3">
        <v>40506</v>
      </c>
      <c r="BT4801" s="4">
        <v>0.51431712962962961</v>
      </c>
    </row>
    <row r="4802" spans="1:72" x14ac:dyDescent="0.25">
      <c r="A4802" s="2">
        <v>7445</v>
      </c>
      <c r="B4802" s="2">
        <v>2010</v>
      </c>
      <c r="C4802" s="2" t="s">
        <v>385</v>
      </c>
      <c r="D4802" s="2" t="s">
        <v>122</v>
      </c>
      <c r="E4802" s="2" t="s">
        <v>14306</v>
      </c>
      <c r="F4802" s="2">
        <v>400</v>
      </c>
      <c r="G4802" s="2" t="s">
        <v>3601</v>
      </c>
      <c r="H4802" s="2">
        <v>17</v>
      </c>
      <c r="I4802" s="2" t="s">
        <v>3602</v>
      </c>
      <c r="J4802" s="2">
        <v>316</v>
      </c>
      <c r="K4802" s="2" t="s">
        <v>574</v>
      </c>
      <c r="L4802" s="2" t="s">
        <v>575</v>
      </c>
      <c r="M4802" s="3">
        <v>40506</v>
      </c>
      <c r="N4802" s="2" t="s">
        <v>3826</v>
      </c>
      <c r="O4802" s="2" t="s">
        <v>14184</v>
      </c>
      <c r="P4802" s="2">
        <v>1386</v>
      </c>
      <c r="Q4802" s="2" t="str">
        <f>"09R/10"</f>
        <v>09R/10</v>
      </c>
      <c r="R4802" s="2"/>
      <c r="S4802" s="2" t="s">
        <v>6092</v>
      </c>
      <c r="T4802" s="2">
        <v>1</v>
      </c>
      <c r="U4802" s="2" t="s">
        <v>79</v>
      </c>
      <c r="V4802" s="2">
        <v>1</v>
      </c>
      <c r="W4802" s="2" t="s">
        <v>80</v>
      </c>
      <c r="X4802" s="2">
        <v>11</v>
      </c>
      <c r="Y4802" s="2" t="s">
        <v>1920</v>
      </c>
      <c r="Z4802" s="2">
        <v>10</v>
      </c>
      <c r="AA4802" s="2" t="s">
        <v>236</v>
      </c>
      <c r="AB4802" s="2">
        <v>9</v>
      </c>
      <c r="AC4802" s="2" t="s">
        <v>124</v>
      </c>
      <c r="AD4802" s="3">
        <v>40506</v>
      </c>
      <c r="AE4802" s="4">
        <v>0.29166666666666669</v>
      </c>
      <c r="AF4802" s="2"/>
      <c r="AG4802" s="2"/>
      <c r="AH4802" s="2">
        <v>2</v>
      </c>
      <c r="AI4802" s="2" t="s">
        <v>84</v>
      </c>
      <c r="AJ4802" s="2">
        <v>6</v>
      </c>
      <c r="AK4802" s="2" t="s">
        <v>453</v>
      </c>
      <c r="AL4802" s="2">
        <v>23</v>
      </c>
      <c r="AM4802" s="2" t="s">
        <v>251</v>
      </c>
      <c r="AN4802" s="2" t="s">
        <v>14809</v>
      </c>
      <c r="AO4802" s="2" t="s">
        <v>1394</v>
      </c>
      <c r="AP4802" s="2">
        <v>11</v>
      </c>
      <c r="AQ4802" s="2" t="s">
        <v>82</v>
      </c>
      <c r="AR4802" s="2"/>
      <c r="AS4802" s="2"/>
      <c r="AT4802" s="2" t="s">
        <v>14810</v>
      </c>
      <c r="AU4802" s="2"/>
      <c r="AV4802" s="2">
        <v>1</v>
      </c>
      <c r="AW4802" s="2"/>
      <c r="AX4802" s="2"/>
      <c r="AY4802" s="2">
        <v>42</v>
      </c>
      <c r="AZ4802" s="2" t="s">
        <v>182</v>
      </c>
      <c r="BA4802" s="2">
        <v>70</v>
      </c>
      <c r="BB4802" s="2" t="s">
        <v>236</v>
      </c>
      <c r="BC4802" s="2">
        <v>70</v>
      </c>
      <c r="BD4802" s="2" t="s">
        <v>236</v>
      </c>
      <c r="BE4802" s="2">
        <v>31</v>
      </c>
      <c r="BF4802" s="2" t="s">
        <v>398</v>
      </c>
      <c r="BG4802" s="2" t="s">
        <v>7251</v>
      </c>
      <c r="BH4802" s="2"/>
      <c r="BI4802" s="2"/>
      <c r="BJ4802" s="2">
        <v>13</v>
      </c>
      <c r="BK4802" s="2" t="s">
        <v>91</v>
      </c>
      <c r="BL4802" s="2" t="s">
        <v>360</v>
      </c>
      <c r="BM4802" s="2">
        <v>73</v>
      </c>
      <c r="BN4802" s="2" t="s">
        <v>186</v>
      </c>
      <c r="BO4802" s="2"/>
      <c r="BP4802" s="2">
        <v>73</v>
      </c>
      <c r="BQ4802" s="2" t="s">
        <v>186</v>
      </c>
      <c r="BR4802" s="2" t="s">
        <v>187</v>
      </c>
      <c r="BS4802" s="3">
        <v>40506</v>
      </c>
      <c r="BT4802" s="4">
        <v>0.51431712962962961</v>
      </c>
    </row>
    <row r="4803" spans="1:72" x14ac:dyDescent="0.25">
      <c r="A4803" s="2">
        <v>7447</v>
      </c>
      <c r="B4803" s="2">
        <v>2010</v>
      </c>
      <c r="C4803" s="2" t="s">
        <v>72</v>
      </c>
      <c r="D4803" s="2" t="s">
        <v>73</v>
      </c>
      <c r="E4803" s="2"/>
      <c r="F4803" s="2">
        <v>24</v>
      </c>
      <c r="G4803" s="2" t="s">
        <v>532</v>
      </c>
      <c r="H4803" s="2">
        <v>149</v>
      </c>
      <c r="I4803" s="2" t="s">
        <v>14672</v>
      </c>
      <c r="J4803" s="2">
        <v>300</v>
      </c>
      <c r="K4803" s="2" t="s">
        <v>114</v>
      </c>
      <c r="L4803" s="2" t="s">
        <v>115</v>
      </c>
      <c r="M4803" s="3">
        <v>40506</v>
      </c>
      <c r="N4803" s="2" t="s">
        <v>107</v>
      </c>
      <c r="O4803" s="2"/>
      <c r="P4803" s="2"/>
      <c r="Q4803" s="2" t="str">
        <f>"627-E/10"</f>
        <v>627-E/10</v>
      </c>
      <c r="R4803" s="2" t="s">
        <v>116</v>
      </c>
      <c r="S4803" s="2" t="s">
        <v>116</v>
      </c>
      <c r="T4803" s="2">
        <v>1</v>
      </c>
      <c r="U4803" s="2" t="s">
        <v>79</v>
      </c>
      <c r="V4803" s="2">
        <v>1</v>
      </c>
      <c r="W4803" s="2" t="s">
        <v>80</v>
      </c>
      <c r="X4803" s="2">
        <v>12</v>
      </c>
      <c r="Y4803" s="2" t="s">
        <v>148</v>
      </c>
      <c r="Z4803" s="2">
        <v>1</v>
      </c>
      <c r="AA4803" s="2" t="s">
        <v>82</v>
      </c>
      <c r="AB4803" s="2">
        <v>6</v>
      </c>
      <c r="AC4803" s="2" t="s">
        <v>83</v>
      </c>
      <c r="AD4803" s="3">
        <v>40505</v>
      </c>
      <c r="AE4803" s="2"/>
      <c r="AF4803" s="3">
        <v>40505</v>
      </c>
      <c r="AG4803" s="4">
        <v>0.91666666666666663</v>
      </c>
      <c r="AH4803" s="2">
        <v>2</v>
      </c>
      <c r="AI4803" s="2" t="s">
        <v>84</v>
      </c>
      <c r="AJ4803" s="2">
        <v>9</v>
      </c>
      <c r="AK4803" s="2" t="s">
        <v>103</v>
      </c>
      <c r="AL4803" s="2">
        <v>13</v>
      </c>
      <c r="AM4803" s="2" t="s">
        <v>117</v>
      </c>
      <c r="AN4803" s="2" t="s">
        <v>14811</v>
      </c>
      <c r="AO4803" s="2" t="s">
        <v>14812</v>
      </c>
      <c r="AP4803" s="2">
        <v>11</v>
      </c>
      <c r="AQ4803" s="2" t="s">
        <v>82</v>
      </c>
      <c r="AR4803" s="2"/>
      <c r="AS4803" s="2"/>
      <c r="AT4803" s="2" t="s">
        <v>14813</v>
      </c>
      <c r="AU4803" s="2"/>
      <c r="AV4803" s="2"/>
      <c r="AW4803" s="2"/>
      <c r="AX4803" s="2"/>
      <c r="AY4803" s="2">
        <v>41</v>
      </c>
      <c r="AZ4803" s="2" t="s">
        <v>82</v>
      </c>
      <c r="BA4803" s="2">
        <v>41</v>
      </c>
      <c r="BB4803" s="2" t="s">
        <v>82</v>
      </c>
      <c r="BC4803" s="2">
        <v>41</v>
      </c>
      <c r="BD4803" s="2" t="s">
        <v>82</v>
      </c>
      <c r="BE4803" s="2">
        <v>41</v>
      </c>
      <c r="BF4803" s="2" t="s">
        <v>82</v>
      </c>
      <c r="BG4803" s="2"/>
      <c r="BH4803" s="2"/>
      <c r="BI4803" s="2"/>
      <c r="BJ4803" s="2">
        <v>241</v>
      </c>
      <c r="BK4803" s="2" t="s">
        <v>82</v>
      </c>
      <c r="BL4803" s="2"/>
      <c r="BM4803" s="2">
        <v>241</v>
      </c>
      <c r="BN4803" s="2" t="s">
        <v>82</v>
      </c>
      <c r="BO4803" s="2"/>
      <c r="BP4803" s="2">
        <v>241</v>
      </c>
      <c r="BQ4803" s="2" t="s">
        <v>82</v>
      </c>
      <c r="BR4803" s="2"/>
      <c r="BS4803" s="3">
        <v>40506</v>
      </c>
      <c r="BT4803" s="4">
        <v>0.53637731481481488</v>
      </c>
    </row>
    <row r="4804" spans="1:72" x14ac:dyDescent="0.25">
      <c r="A4804" s="2">
        <v>7449</v>
      </c>
      <c r="B4804" s="2">
        <v>2010</v>
      </c>
      <c r="C4804" s="2" t="s">
        <v>806</v>
      </c>
      <c r="D4804" s="2" t="s">
        <v>73</v>
      </c>
      <c r="E4804" s="2"/>
      <c r="F4804" s="2">
        <v>530</v>
      </c>
      <c r="G4804" s="2" t="s">
        <v>3315</v>
      </c>
      <c r="H4804" s="2">
        <v>144</v>
      </c>
      <c r="I4804" s="2" t="s">
        <v>2111</v>
      </c>
      <c r="J4804" s="2">
        <v>686</v>
      </c>
      <c r="K4804" s="2" t="s">
        <v>13375</v>
      </c>
      <c r="L4804" s="2" t="s">
        <v>1792</v>
      </c>
      <c r="M4804" s="3">
        <v>40506</v>
      </c>
      <c r="N4804" s="2"/>
      <c r="O4804" s="2" t="s">
        <v>14814</v>
      </c>
      <c r="P4804" s="2" t="s">
        <v>14170</v>
      </c>
      <c r="Q4804" s="2" t="str">
        <f>""</f>
        <v/>
      </c>
      <c r="R4804" s="2"/>
      <c r="S4804" s="2"/>
      <c r="T4804" s="2">
        <v>1</v>
      </c>
      <c r="U4804" s="2" t="s">
        <v>79</v>
      </c>
      <c r="V4804" s="2">
        <v>1</v>
      </c>
      <c r="W4804" s="2" t="s">
        <v>80</v>
      </c>
      <c r="X4804" s="2">
        <v>5</v>
      </c>
      <c r="Y4804" s="2" t="s">
        <v>82</v>
      </c>
      <c r="Z4804" s="2">
        <v>1</v>
      </c>
      <c r="AA4804" s="2" t="s">
        <v>82</v>
      </c>
      <c r="AB4804" s="2">
        <v>9</v>
      </c>
      <c r="AC4804" s="2" t="s">
        <v>124</v>
      </c>
      <c r="AD4804" s="3">
        <v>40506</v>
      </c>
      <c r="AE4804" s="4">
        <v>0.5</v>
      </c>
      <c r="AF4804" s="2"/>
      <c r="AG4804" s="2"/>
      <c r="AH4804" s="2">
        <v>3</v>
      </c>
      <c r="AI4804" s="2" t="s">
        <v>214</v>
      </c>
      <c r="AJ4804" s="2">
        <v>19</v>
      </c>
      <c r="AK4804" s="2" t="s">
        <v>4901</v>
      </c>
      <c r="AL4804" s="2">
        <v>19</v>
      </c>
      <c r="AM4804" s="2" t="s">
        <v>107</v>
      </c>
      <c r="AN4804" s="2"/>
      <c r="AO4804" s="2"/>
      <c r="AP4804" s="2">
        <v>11</v>
      </c>
      <c r="AQ4804" s="2" t="s">
        <v>82</v>
      </c>
      <c r="AR4804" s="2"/>
      <c r="AS4804" s="2"/>
      <c r="AT4804" s="2" t="s">
        <v>14815</v>
      </c>
      <c r="AU4804" s="2"/>
      <c r="AV4804" s="2"/>
      <c r="AW4804" s="2"/>
      <c r="AX4804" s="2"/>
      <c r="AY4804" s="2">
        <v>1</v>
      </c>
      <c r="AZ4804" s="2" t="s">
        <v>107</v>
      </c>
      <c r="BA4804" s="2">
        <v>1</v>
      </c>
      <c r="BB4804" s="2" t="s">
        <v>107</v>
      </c>
      <c r="BC4804" s="2">
        <v>1</v>
      </c>
      <c r="BD4804" s="2" t="s">
        <v>107</v>
      </c>
      <c r="BE4804" s="2">
        <v>1</v>
      </c>
      <c r="BF4804" s="2" t="s">
        <v>107</v>
      </c>
      <c r="BG4804" s="2"/>
      <c r="BH4804" s="2"/>
      <c r="BI4804" s="2"/>
      <c r="BJ4804" s="2">
        <v>242</v>
      </c>
      <c r="BK4804" s="2" t="s">
        <v>107</v>
      </c>
      <c r="BL4804" s="2"/>
      <c r="BM4804" s="2">
        <v>241</v>
      </c>
      <c r="BN4804" s="2" t="s">
        <v>82</v>
      </c>
      <c r="BO4804" s="2"/>
      <c r="BP4804" s="2">
        <v>242</v>
      </c>
      <c r="BQ4804" s="2" t="s">
        <v>107</v>
      </c>
      <c r="BR4804" s="2"/>
      <c r="BS4804" s="3">
        <v>40506</v>
      </c>
      <c r="BT4804" s="4">
        <v>0.58148148148148149</v>
      </c>
    </row>
    <row r="4805" spans="1:72" x14ac:dyDescent="0.25">
      <c r="A4805" s="2">
        <v>7450</v>
      </c>
      <c r="B4805" s="2">
        <v>2010</v>
      </c>
      <c r="C4805" s="2" t="s">
        <v>385</v>
      </c>
      <c r="D4805" s="2" t="s">
        <v>122</v>
      </c>
      <c r="E4805" s="2"/>
      <c r="F4805" s="2">
        <v>136</v>
      </c>
      <c r="G4805" s="2" t="s">
        <v>6724</v>
      </c>
      <c r="H4805" s="2">
        <v>99</v>
      </c>
      <c r="I4805" s="2" t="s">
        <v>6285</v>
      </c>
      <c r="J4805" s="2">
        <v>716</v>
      </c>
      <c r="K4805" s="2" t="s">
        <v>14781</v>
      </c>
      <c r="L4805" s="2" t="s">
        <v>14782</v>
      </c>
      <c r="M4805" s="3">
        <v>40506</v>
      </c>
      <c r="N4805" s="2" t="s">
        <v>14816</v>
      </c>
      <c r="O4805" s="2" t="s">
        <v>14817</v>
      </c>
      <c r="P4805" s="2" t="s">
        <v>14818</v>
      </c>
      <c r="Q4805" s="2" t="str">
        <f>"N/C"</f>
        <v>N/C</v>
      </c>
      <c r="R4805" s="2" t="s">
        <v>82</v>
      </c>
      <c r="S4805" s="2" t="s">
        <v>82</v>
      </c>
      <c r="T4805" s="2">
        <v>1</v>
      </c>
      <c r="U4805" s="2" t="s">
        <v>79</v>
      </c>
      <c r="V4805" s="2">
        <v>1</v>
      </c>
      <c r="W4805" s="2" t="s">
        <v>80</v>
      </c>
      <c r="X4805" s="2">
        <v>4</v>
      </c>
      <c r="Y4805" s="2" t="s">
        <v>463</v>
      </c>
      <c r="Z4805" s="2">
        <v>1</v>
      </c>
      <c r="AA4805" s="2" t="s">
        <v>82</v>
      </c>
      <c r="AB4805" s="2">
        <v>9</v>
      </c>
      <c r="AC4805" s="2" t="s">
        <v>124</v>
      </c>
      <c r="AD4805" s="3">
        <v>40506</v>
      </c>
      <c r="AE4805" s="4">
        <v>0.55902777777777779</v>
      </c>
      <c r="AF4805" s="2"/>
      <c r="AG4805" s="2"/>
      <c r="AH4805" s="2">
        <v>6</v>
      </c>
      <c r="AI4805" s="2" t="s">
        <v>197</v>
      </c>
      <c r="AJ4805" s="2">
        <v>60</v>
      </c>
      <c r="AK4805" s="2" t="s">
        <v>543</v>
      </c>
      <c r="AL4805" s="2">
        <v>2</v>
      </c>
      <c r="AM4805" s="2" t="s">
        <v>163</v>
      </c>
      <c r="AN4805" s="2" t="s">
        <v>82</v>
      </c>
      <c r="AO4805" s="2" t="s">
        <v>14819</v>
      </c>
      <c r="AP4805" s="2">
        <v>11</v>
      </c>
      <c r="AQ4805" s="2" t="s">
        <v>82</v>
      </c>
      <c r="AR4805" s="2" t="s">
        <v>82</v>
      </c>
      <c r="AS4805" s="2" t="s">
        <v>82</v>
      </c>
      <c r="AT4805" s="2" t="s">
        <v>14820</v>
      </c>
      <c r="AU4805" s="2">
        <v>1</v>
      </c>
      <c r="AV4805" s="2"/>
      <c r="AW4805" s="2"/>
      <c r="AX4805" s="2"/>
      <c r="AY4805" s="2">
        <v>41</v>
      </c>
      <c r="AZ4805" s="2" t="s">
        <v>82</v>
      </c>
      <c r="BA4805" s="2">
        <v>41</v>
      </c>
      <c r="BB4805" s="2" t="s">
        <v>82</v>
      </c>
      <c r="BC4805" s="2">
        <v>41</v>
      </c>
      <c r="BD4805" s="2" t="s">
        <v>82</v>
      </c>
      <c r="BE4805" s="2">
        <v>13</v>
      </c>
      <c r="BF4805" s="2" t="s">
        <v>108</v>
      </c>
      <c r="BG4805" s="2" t="s">
        <v>14821</v>
      </c>
      <c r="BH4805" s="4">
        <v>0.55208333333333337</v>
      </c>
      <c r="BI4805" s="4">
        <v>0.58333333333333337</v>
      </c>
      <c r="BJ4805" s="2">
        <v>13</v>
      </c>
      <c r="BK4805" s="2" t="s">
        <v>91</v>
      </c>
      <c r="BL4805" s="2" t="s">
        <v>4998</v>
      </c>
      <c r="BM4805" s="2">
        <v>241</v>
      </c>
      <c r="BN4805" s="2" t="s">
        <v>82</v>
      </c>
      <c r="BO4805" s="2"/>
      <c r="BP4805" s="2">
        <v>13</v>
      </c>
      <c r="BQ4805" s="2" t="s">
        <v>91</v>
      </c>
      <c r="BR4805" s="2" t="s">
        <v>11378</v>
      </c>
      <c r="BS4805" s="3">
        <v>40506</v>
      </c>
      <c r="BT4805" s="4">
        <v>0.58649305555555553</v>
      </c>
    </row>
    <row r="4806" spans="1:72" x14ac:dyDescent="0.25">
      <c r="A4806" s="2">
        <v>7456</v>
      </c>
      <c r="B4806" s="2">
        <v>2010</v>
      </c>
      <c r="C4806" s="2" t="s">
        <v>147</v>
      </c>
      <c r="D4806" s="2" t="s">
        <v>73</v>
      </c>
      <c r="E4806" s="2"/>
      <c r="F4806" s="2">
        <v>1</v>
      </c>
      <c r="G4806" s="2" t="s">
        <v>82</v>
      </c>
      <c r="H4806" s="2">
        <v>1</v>
      </c>
      <c r="I4806" s="2" t="s">
        <v>82</v>
      </c>
      <c r="J4806" s="2">
        <v>1</v>
      </c>
      <c r="K4806" s="2" t="s">
        <v>107</v>
      </c>
      <c r="L4806" s="2" t="s">
        <v>107</v>
      </c>
      <c r="M4806" s="3">
        <v>40506</v>
      </c>
      <c r="N4806" s="2"/>
      <c r="O4806" s="2"/>
      <c r="P4806" s="2"/>
      <c r="Q4806" s="2" t="str">
        <f>"AP 0055/10"</f>
        <v>AP 0055/10</v>
      </c>
      <c r="R4806" s="2" t="s">
        <v>14822</v>
      </c>
      <c r="S4806" s="2"/>
      <c r="T4806" s="2">
        <v>2</v>
      </c>
      <c r="U4806" s="2" t="s">
        <v>123</v>
      </c>
      <c r="V4806" s="2">
        <v>1</v>
      </c>
      <c r="W4806" s="2" t="s">
        <v>80</v>
      </c>
      <c r="X4806" s="2">
        <v>12</v>
      </c>
      <c r="Y4806" s="2" t="s">
        <v>148</v>
      </c>
      <c r="Z4806" s="2">
        <v>1</v>
      </c>
      <c r="AA4806" s="2" t="s">
        <v>82</v>
      </c>
      <c r="AB4806" s="2">
        <v>9</v>
      </c>
      <c r="AC4806" s="2" t="s">
        <v>124</v>
      </c>
      <c r="AD4806" s="3">
        <v>40497</v>
      </c>
      <c r="AE4806" s="2"/>
      <c r="AF4806" s="3">
        <v>40497</v>
      </c>
      <c r="AG4806" s="4">
        <v>0.53472222222222221</v>
      </c>
      <c r="AH4806" s="2">
        <v>6</v>
      </c>
      <c r="AI4806" s="2" t="s">
        <v>197</v>
      </c>
      <c r="AJ4806" s="2">
        <v>53</v>
      </c>
      <c r="AK4806" s="2" t="s">
        <v>11269</v>
      </c>
      <c r="AL4806" s="2">
        <v>25</v>
      </c>
      <c r="AM4806" s="2" t="s">
        <v>3073</v>
      </c>
      <c r="AN4806" s="2"/>
      <c r="AO4806" s="2" t="s">
        <v>14823</v>
      </c>
      <c r="AP4806" s="2">
        <v>11</v>
      </c>
      <c r="AQ4806" s="2" t="s">
        <v>82</v>
      </c>
      <c r="AR4806" s="2"/>
      <c r="AS4806" s="2"/>
      <c r="AT4806" s="2" t="s">
        <v>14824</v>
      </c>
      <c r="AU4806" s="2"/>
      <c r="AV4806" s="2"/>
      <c r="AW4806" s="2"/>
      <c r="AX4806" s="2"/>
      <c r="AY4806" s="2">
        <v>41</v>
      </c>
      <c r="AZ4806" s="2" t="s">
        <v>82</v>
      </c>
      <c r="BA4806" s="2">
        <v>41</v>
      </c>
      <c r="BB4806" s="2" t="s">
        <v>82</v>
      </c>
      <c r="BC4806" s="2">
        <v>41</v>
      </c>
      <c r="BD4806" s="2" t="s">
        <v>82</v>
      </c>
      <c r="BE4806" s="2">
        <v>41</v>
      </c>
      <c r="BF4806" s="2" t="s">
        <v>82</v>
      </c>
      <c r="BG4806" s="2"/>
      <c r="BH4806" s="2"/>
      <c r="BI4806" s="2"/>
      <c r="BJ4806" s="2">
        <v>241</v>
      </c>
      <c r="BK4806" s="2" t="s">
        <v>82</v>
      </c>
      <c r="BL4806" s="2"/>
      <c r="BM4806" s="2">
        <v>241</v>
      </c>
      <c r="BN4806" s="2" t="s">
        <v>82</v>
      </c>
      <c r="BO4806" s="2"/>
      <c r="BP4806" s="2">
        <v>241</v>
      </c>
      <c r="BQ4806" s="2" t="s">
        <v>82</v>
      </c>
      <c r="BR4806" s="2"/>
      <c r="BS4806" s="3">
        <v>40506</v>
      </c>
      <c r="BT4806" s="4">
        <v>0.63541666666666663</v>
      </c>
    </row>
    <row r="4807" spans="1:72" x14ac:dyDescent="0.25">
      <c r="A4807" s="2">
        <v>7459</v>
      </c>
      <c r="B4807" s="2">
        <v>2010</v>
      </c>
      <c r="C4807" s="2" t="s">
        <v>121</v>
      </c>
      <c r="D4807" s="2" t="s">
        <v>122</v>
      </c>
      <c r="E4807" s="2"/>
      <c r="F4807" s="2">
        <v>1</v>
      </c>
      <c r="G4807" s="2" t="s">
        <v>82</v>
      </c>
      <c r="H4807" s="2">
        <v>1</v>
      </c>
      <c r="I4807" s="2" t="s">
        <v>82</v>
      </c>
      <c r="J4807" s="2">
        <v>1</v>
      </c>
      <c r="K4807" s="2" t="s">
        <v>107</v>
      </c>
      <c r="L4807" s="2" t="s">
        <v>107</v>
      </c>
      <c r="M4807" s="3">
        <v>40506</v>
      </c>
      <c r="N4807" s="2"/>
      <c r="O4807" s="2"/>
      <c r="P4807" s="2"/>
      <c r="Q4807" s="2" t="str">
        <f>""</f>
        <v/>
      </c>
      <c r="R4807" s="2"/>
      <c r="S4807" s="2"/>
      <c r="T4807" s="2">
        <v>2</v>
      </c>
      <c r="U4807" s="2" t="s">
        <v>123</v>
      </c>
      <c r="V4807" s="2">
        <v>1</v>
      </c>
      <c r="W4807" s="2" t="s">
        <v>80</v>
      </c>
      <c r="X4807" s="2">
        <v>11</v>
      </c>
      <c r="Y4807" s="2" t="s">
        <v>1920</v>
      </c>
      <c r="Z4807" s="2">
        <v>1</v>
      </c>
      <c r="AA4807" s="2" t="s">
        <v>82</v>
      </c>
      <c r="AB4807" s="2">
        <v>9</v>
      </c>
      <c r="AC4807" s="2" t="s">
        <v>124</v>
      </c>
      <c r="AD4807" s="3">
        <v>40506</v>
      </c>
      <c r="AE4807" s="4">
        <v>0.5</v>
      </c>
      <c r="AF4807" s="2"/>
      <c r="AG4807" s="2"/>
      <c r="AH4807" s="2">
        <v>2</v>
      </c>
      <c r="AI4807" s="2" t="s">
        <v>84</v>
      </c>
      <c r="AJ4807" s="2">
        <v>112</v>
      </c>
      <c r="AK4807" s="2" t="s">
        <v>14078</v>
      </c>
      <c r="AL4807" s="2">
        <v>2</v>
      </c>
      <c r="AM4807" s="2" t="s">
        <v>163</v>
      </c>
      <c r="AN4807" s="2" t="s">
        <v>14825</v>
      </c>
      <c r="AO4807" s="2" t="s">
        <v>909</v>
      </c>
      <c r="AP4807" s="2">
        <v>11</v>
      </c>
      <c r="AQ4807" s="2" t="s">
        <v>82</v>
      </c>
      <c r="AR4807" s="2"/>
      <c r="AS4807" s="2"/>
      <c r="AT4807" s="2" t="s">
        <v>14826</v>
      </c>
      <c r="AU4807" s="2"/>
      <c r="AV4807" s="2"/>
      <c r="AW4807" s="2"/>
      <c r="AX4807" s="2"/>
      <c r="AY4807" s="2">
        <v>41</v>
      </c>
      <c r="AZ4807" s="2" t="s">
        <v>82</v>
      </c>
      <c r="BA4807" s="2">
        <v>41</v>
      </c>
      <c r="BB4807" s="2" t="s">
        <v>82</v>
      </c>
      <c r="BC4807" s="2">
        <v>41</v>
      </c>
      <c r="BD4807" s="2" t="s">
        <v>82</v>
      </c>
      <c r="BE4807" s="2">
        <v>41</v>
      </c>
      <c r="BF4807" s="2" t="s">
        <v>82</v>
      </c>
      <c r="BG4807" s="2"/>
      <c r="BH4807" s="2"/>
      <c r="BI4807" s="4">
        <v>0.60069444444444442</v>
      </c>
      <c r="BJ4807" s="2">
        <v>13</v>
      </c>
      <c r="BK4807" s="2" t="s">
        <v>91</v>
      </c>
      <c r="BL4807" s="2" t="s">
        <v>185</v>
      </c>
      <c r="BM4807" s="2">
        <v>99</v>
      </c>
      <c r="BN4807" s="2" t="s">
        <v>14827</v>
      </c>
      <c r="BO4807" s="2"/>
      <c r="BP4807" s="2">
        <v>99</v>
      </c>
      <c r="BQ4807" s="2" t="s">
        <v>14827</v>
      </c>
      <c r="BR4807" s="2" t="s">
        <v>107</v>
      </c>
      <c r="BS4807" s="3">
        <v>40506</v>
      </c>
      <c r="BT4807" s="4">
        <v>0.6523958333333334</v>
      </c>
    </row>
    <row r="4808" spans="1:72" x14ac:dyDescent="0.25">
      <c r="A4808" s="2">
        <v>7461</v>
      </c>
      <c r="B4808" s="2">
        <v>2010</v>
      </c>
      <c r="C4808" s="2" t="s">
        <v>128</v>
      </c>
      <c r="D4808" s="2" t="s">
        <v>73</v>
      </c>
      <c r="E4808" s="2"/>
      <c r="F4808" s="2">
        <v>2</v>
      </c>
      <c r="G4808" s="2" t="s">
        <v>113</v>
      </c>
      <c r="H4808" s="2">
        <v>149</v>
      </c>
      <c r="I4808" s="2" t="s">
        <v>14672</v>
      </c>
      <c r="J4808" s="2">
        <v>300</v>
      </c>
      <c r="K4808" s="2" t="s">
        <v>114</v>
      </c>
      <c r="L4808" s="2" t="s">
        <v>115</v>
      </c>
      <c r="M4808" s="3">
        <v>40506</v>
      </c>
      <c r="N4808" s="2" t="s">
        <v>5814</v>
      </c>
      <c r="O4808" s="2"/>
      <c r="P4808" s="2"/>
      <c r="Q4808" s="2" t="str">
        <f>"625-E/10"</f>
        <v>625-E/10</v>
      </c>
      <c r="R4808" s="2"/>
      <c r="S4808" s="2" t="s">
        <v>14828</v>
      </c>
      <c r="T4808" s="2">
        <v>1</v>
      </c>
      <c r="U4808" s="2" t="s">
        <v>79</v>
      </c>
      <c r="V4808" s="2">
        <v>1</v>
      </c>
      <c r="W4808" s="2" t="s">
        <v>80</v>
      </c>
      <c r="X4808" s="2">
        <v>12</v>
      </c>
      <c r="Y4808" s="2" t="s">
        <v>148</v>
      </c>
      <c r="Z4808" s="2">
        <v>1</v>
      </c>
      <c r="AA4808" s="2" t="s">
        <v>82</v>
      </c>
      <c r="AB4808" s="2">
        <v>9</v>
      </c>
      <c r="AC4808" s="2" t="s">
        <v>124</v>
      </c>
      <c r="AD4808" s="3">
        <v>40505</v>
      </c>
      <c r="AE4808" s="4">
        <v>0.42708333333333331</v>
      </c>
      <c r="AF4808" s="3">
        <v>40505</v>
      </c>
      <c r="AG4808" s="4">
        <v>0.52083333333333337</v>
      </c>
      <c r="AH4808" s="2">
        <v>2</v>
      </c>
      <c r="AI4808" s="2" t="s">
        <v>84</v>
      </c>
      <c r="AJ4808" s="2">
        <v>9</v>
      </c>
      <c r="AK4808" s="2" t="s">
        <v>103</v>
      </c>
      <c r="AL4808" s="2">
        <v>7</v>
      </c>
      <c r="AM4808" s="2" t="s">
        <v>1450</v>
      </c>
      <c r="AN4808" s="2" t="s">
        <v>14829</v>
      </c>
      <c r="AO4808" s="2" t="s">
        <v>14830</v>
      </c>
      <c r="AP4808" s="2">
        <v>11</v>
      </c>
      <c r="AQ4808" s="2" t="s">
        <v>82</v>
      </c>
      <c r="AR4808" s="2"/>
      <c r="AS4808" s="2"/>
      <c r="AT4808" s="2" t="s">
        <v>14831</v>
      </c>
      <c r="AU4808" s="2"/>
      <c r="AV4808" s="2"/>
      <c r="AW4808" s="2">
        <v>1</v>
      </c>
      <c r="AX4808" s="2"/>
      <c r="AY4808" s="2">
        <v>41</v>
      </c>
      <c r="AZ4808" s="2" t="s">
        <v>82</v>
      </c>
      <c r="BA4808" s="2">
        <v>63</v>
      </c>
      <c r="BB4808" s="2" t="s">
        <v>1287</v>
      </c>
      <c r="BC4808" s="2">
        <v>41</v>
      </c>
      <c r="BD4808" s="2" t="s">
        <v>82</v>
      </c>
      <c r="BE4808" s="2">
        <v>41</v>
      </c>
      <c r="BF4808" s="2" t="s">
        <v>82</v>
      </c>
      <c r="BG4808" s="2"/>
      <c r="BH4808" s="2"/>
      <c r="BI4808" s="2"/>
      <c r="BJ4808" s="2">
        <v>241</v>
      </c>
      <c r="BK4808" s="2" t="s">
        <v>82</v>
      </c>
      <c r="BL4808" s="2"/>
      <c r="BM4808" s="2">
        <v>241</v>
      </c>
      <c r="BN4808" s="2" t="s">
        <v>82</v>
      </c>
      <c r="BO4808" s="2"/>
      <c r="BP4808" s="2">
        <v>241</v>
      </c>
      <c r="BQ4808" s="2" t="s">
        <v>82</v>
      </c>
      <c r="BR4808" s="2"/>
      <c r="BS4808" s="3">
        <v>40506</v>
      </c>
      <c r="BT4808" s="4">
        <v>0.69562500000000005</v>
      </c>
    </row>
    <row r="4809" spans="1:72" x14ac:dyDescent="0.25">
      <c r="A4809" s="2">
        <v>7463</v>
      </c>
      <c r="B4809" s="2">
        <v>2010</v>
      </c>
      <c r="C4809" s="2" t="s">
        <v>93</v>
      </c>
      <c r="D4809" s="2" t="s">
        <v>73</v>
      </c>
      <c r="E4809" s="2"/>
      <c r="F4809" s="2">
        <v>482</v>
      </c>
      <c r="G4809" s="2" t="s">
        <v>1457</v>
      </c>
      <c r="H4809" s="2">
        <v>14</v>
      </c>
      <c r="I4809" s="2" t="s">
        <v>1458</v>
      </c>
      <c r="J4809" s="2">
        <v>167</v>
      </c>
      <c r="K4809" s="2" t="s">
        <v>1032</v>
      </c>
      <c r="L4809" s="2" t="s">
        <v>1033</v>
      </c>
      <c r="M4809" s="3">
        <v>40506</v>
      </c>
      <c r="N4809" s="2" t="s">
        <v>10991</v>
      </c>
      <c r="O4809" s="2" t="s">
        <v>14832</v>
      </c>
      <c r="P4809" s="2">
        <v>1092</v>
      </c>
      <c r="Q4809" s="2" t="str">
        <f>""</f>
        <v/>
      </c>
      <c r="R4809" s="2"/>
      <c r="S4809" s="2"/>
      <c r="T4809" s="2">
        <v>1</v>
      </c>
      <c r="U4809" s="2" t="s">
        <v>79</v>
      </c>
      <c r="V4809" s="2">
        <v>1</v>
      </c>
      <c r="W4809" s="2" t="s">
        <v>80</v>
      </c>
      <c r="X4809" s="2">
        <v>10</v>
      </c>
      <c r="Y4809" s="2" t="s">
        <v>226</v>
      </c>
      <c r="Z4809" s="2">
        <v>6</v>
      </c>
      <c r="AA4809" s="2" t="s">
        <v>101</v>
      </c>
      <c r="AB4809" s="2">
        <v>2</v>
      </c>
      <c r="AC4809" s="2" t="s">
        <v>102</v>
      </c>
      <c r="AD4809" s="3">
        <v>40505</v>
      </c>
      <c r="AE4809" s="4">
        <v>0.3125</v>
      </c>
      <c r="AF4809" s="3">
        <v>40505</v>
      </c>
      <c r="AG4809" s="4">
        <v>0.625</v>
      </c>
      <c r="AH4809" s="2">
        <v>2</v>
      </c>
      <c r="AI4809" s="2" t="s">
        <v>84</v>
      </c>
      <c r="AJ4809" s="2">
        <v>9</v>
      </c>
      <c r="AK4809" s="2" t="s">
        <v>103</v>
      </c>
      <c r="AL4809" s="2">
        <v>15</v>
      </c>
      <c r="AM4809" s="2" t="s">
        <v>104</v>
      </c>
      <c r="AN4809" s="2" t="s">
        <v>14833</v>
      </c>
      <c r="AO4809" s="2"/>
      <c r="AP4809" s="2">
        <v>11</v>
      </c>
      <c r="AQ4809" s="2" t="s">
        <v>82</v>
      </c>
      <c r="AR4809" s="2"/>
      <c r="AS4809" s="2"/>
      <c r="AT4809" s="2" t="s">
        <v>14834</v>
      </c>
      <c r="AU4809" s="2">
        <v>1</v>
      </c>
      <c r="AV4809" s="2"/>
      <c r="AW4809" s="2"/>
      <c r="AX4809" s="2"/>
      <c r="AY4809" s="2">
        <v>41</v>
      </c>
      <c r="AZ4809" s="2" t="s">
        <v>82</v>
      </c>
      <c r="BA4809" s="2">
        <v>41</v>
      </c>
      <c r="BB4809" s="2" t="s">
        <v>82</v>
      </c>
      <c r="BC4809" s="2">
        <v>41</v>
      </c>
      <c r="BD4809" s="2" t="s">
        <v>82</v>
      </c>
      <c r="BE4809" s="2">
        <v>13</v>
      </c>
      <c r="BF4809" s="2" t="s">
        <v>108</v>
      </c>
      <c r="BG4809" s="2" t="s">
        <v>13235</v>
      </c>
      <c r="BH4809" s="4">
        <v>0.30208333333333331</v>
      </c>
      <c r="BI4809" s="2"/>
      <c r="BJ4809" s="2">
        <v>173</v>
      </c>
      <c r="BK4809" s="2" t="s">
        <v>223</v>
      </c>
      <c r="BL4809" s="2" t="s">
        <v>224</v>
      </c>
      <c r="BM4809" s="2">
        <v>13</v>
      </c>
      <c r="BN4809" s="2" t="s">
        <v>91</v>
      </c>
      <c r="BO4809" s="2"/>
      <c r="BP4809" s="2">
        <v>13</v>
      </c>
      <c r="BQ4809" s="2" t="s">
        <v>91</v>
      </c>
      <c r="BR4809" s="2" t="s">
        <v>360</v>
      </c>
      <c r="BS4809" s="3">
        <v>40506</v>
      </c>
      <c r="BT4809" s="4">
        <v>0.7597222222222223</v>
      </c>
    </row>
    <row r="4810" spans="1:72" x14ac:dyDescent="0.25">
      <c r="A4810" s="2">
        <v>7464</v>
      </c>
      <c r="B4810" s="2">
        <v>2010</v>
      </c>
      <c r="C4810" s="2" t="s">
        <v>72</v>
      </c>
      <c r="D4810" s="2" t="s">
        <v>73</v>
      </c>
      <c r="E4810" s="2"/>
      <c r="F4810" s="2">
        <v>571</v>
      </c>
      <c r="G4810" s="2" t="s">
        <v>8061</v>
      </c>
      <c r="H4810" s="2">
        <v>47</v>
      </c>
      <c r="I4810" s="2" t="s">
        <v>1409</v>
      </c>
      <c r="J4810" s="2">
        <v>119</v>
      </c>
      <c r="K4810" s="2" t="s">
        <v>325</v>
      </c>
      <c r="L4810" s="2" t="s">
        <v>326</v>
      </c>
      <c r="M4810" s="3">
        <v>40506</v>
      </c>
      <c r="N4810" s="2" t="s">
        <v>4106</v>
      </c>
      <c r="O4810" s="2"/>
      <c r="P4810" s="2"/>
      <c r="Q4810" s="2" t="str">
        <f>"047/10"</f>
        <v>047/10</v>
      </c>
      <c r="R4810" s="2" t="s">
        <v>14835</v>
      </c>
      <c r="S4810" s="2" t="s">
        <v>14835</v>
      </c>
      <c r="T4810" s="2">
        <v>1</v>
      </c>
      <c r="U4810" s="2" t="s">
        <v>79</v>
      </c>
      <c r="V4810" s="2">
        <v>1</v>
      </c>
      <c r="W4810" s="2" t="s">
        <v>80</v>
      </c>
      <c r="X4810" s="2">
        <v>12</v>
      </c>
      <c r="Y4810" s="2" t="s">
        <v>148</v>
      </c>
      <c r="Z4810" s="2">
        <v>1</v>
      </c>
      <c r="AA4810" s="2" t="s">
        <v>82</v>
      </c>
      <c r="AB4810" s="2">
        <v>6</v>
      </c>
      <c r="AC4810" s="2" t="s">
        <v>83</v>
      </c>
      <c r="AD4810" s="3">
        <v>40506</v>
      </c>
      <c r="AE4810" s="2"/>
      <c r="AF4810" s="3">
        <v>40506</v>
      </c>
      <c r="AG4810" s="4">
        <v>0.4375</v>
      </c>
      <c r="AH4810" s="2">
        <v>6</v>
      </c>
      <c r="AI4810" s="2" t="s">
        <v>197</v>
      </c>
      <c r="AJ4810" s="2">
        <v>50</v>
      </c>
      <c r="AK4810" s="2" t="s">
        <v>330</v>
      </c>
      <c r="AL4810" s="2">
        <v>12</v>
      </c>
      <c r="AM4810" s="2" t="s">
        <v>86</v>
      </c>
      <c r="AN4810" s="2" t="s">
        <v>14836</v>
      </c>
      <c r="AO4810" s="2" t="s">
        <v>14837</v>
      </c>
      <c r="AP4810" s="2">
        <v>11</v>
      </c>
      <c r="AQ4810" s="2" t="s">
        <v>82</v>
      </c>
      <c r="AR4810" s="2"/>
      <c r="AS4810" s="2"/>
      <c r="AT4810" s="2" t="s">
        <v>14838</v>
      </c>
      <c r="AU4810" s="2">
        <v>1</v>
      </c>
      <c r="AV4810" s="2"/>
      <c r="AW4810" s="2"/>
      <c r="AX4810" s="2"/>
      <c r="AY4810" s="2">
        <v>41</v>
      </c>
      <c r="AZ4810" s="2" t="s">
        <v>82</v>
      </c>
      <c r="BA4810" s="2">
        <v>41</v>
      </c>
      <c r="BB4810" s="2" t="s">
        <v>82</v>
      </c>
      <c r="BC4810" s="2">
        <v>41</v>
      </c>
      <c r="BD4810" s="2" t="s">
        <v>82</v>
      </c>
      <c r="BE4810" s="2">
        <v>41</v>
      </c>
      <c r="BF4810" s="2" t="s">
        <v>82</v>
      </c>
      <c r="BG4810" s="2"/>
      <c r="BH4810" s="2"/>
      <c r="BI4810" s="2"/>
      <c r="BJ4810" s="2">
        <v>241</v>
      </c>
      <c r="BK4810" s="2" t="s">
        <v>82</v>
      </c>
      <c r="BL4810" s="2"/>
      <c r="BM4810" s="2">
        <v>241</v>
      </c>
      <c r="BN4810" s="2" t="s">
        <v>82</v>
      </c>
      <c r="BO4810" s="2"/>
      <c r="BP4810" s="2">
        <v>241</v>
      </c>
      <c r="BQ4810" s="2" t="s">
        <v>82</v>
      </c>
      <c r="BR4810" s="2"/>
      <c r="BS4810" s="3">
        <v>40506</v>
      </c>
      <c r="BT4810" s="4">
        <v>0.77006944444444436</v>
      </c>
    </row>
    <row r="4811" spans="1:72" x14ac:dyDescent="0.25">
      <c r="A4811" s="2">
        <v>7465</v>
      </c>
      <c r="B4811" s="2">
        <v>2010</v>
      </c>
      <c r="C4811" s="2" t="s">
        <v>72</v>
      </c>
      <c r="D4811" s="2" t="s">
        <v>73</v>
      </c>
      <c r="E4811" s="2"/>
      <c r="F4811" s="2">
        <v>437</v>
      </c>
      <c r="G4811" s="2" t="s">
        <v>633</v>
      </c>
      <c r="H4811" s="2">
        <v>31</v>
      </c>
      <c r="I4811" s="2" t="s">
        <v>880</v>
      </c>
      <c r="J4811" s="2">
        <v>318</v>
      </c>
      <c r="K4811" s="2" t="s">
        <v>635</v>
      </c>
      <c r="L4811" s="2" t="s">
        <v>636</v>
      </c>
      <c r="M4811" s="3">
        <v>40506</v>
      </c>
      <c r="N4811" s="2" t="s">
        <v>3596</v>
      </c>
      <c r="O4811" s="2"/>
      <c r="P4811" s="2"/>
      <c r="Q4811" s="2" t="str">
        <f>"0013/10 PSA"</f>
        <v>0013/10 PSA</v>
      </c>
      <c r="R4811" s="2" t="s">
        <v>999</v>
      </c>
      <c r="S4811" s="2" t="s">
        <v>999</v>
      </c>
      <c r="T4811" s="2">
        <v>1</v>
      </c>
      <c r="U4811" s="2" t="s">
        <v>79</v>
      </c>
      <c r="V4811" s="2">
        <v>1</v>
      </c>
      <c r="W4811" s="2" t="s">
        <v>80</v>
      </c>
      <c r="X4811" s="2">
        <v>12</v>
      </c>
      <c r="Y4811" s="2" t="s">
        <v>148</v>
      </c>
      <c r="Z4811" s="2">
        <v>1</v>
      </c>
      <c r="AA4811" s="2" t="s">
        <v>82</v>
      </c>
      <c r="AB4811" s="2">
        <v>6</v>
      </c>
      <c r="AC4811" s="2" t="s">
        <v>83</v>
      </c>
      <c r="AD4811" s="2"/>
      <c r="AE4811" s="2"/>
      <c r="AF4811" s="3">
        <v>40506</v>
      </c>
      <c r="AG4811" s="4">
        <v>0.70138888888888884</v>
      </c>
      <c r="AH4811" s="2">
        <v>4</v>
      </c>
      <c r="AI4811" s="2" t="s">
        <v>125</v>
      </c>
      <c r="AJ4811" s="2">
        <v>30</v>
      </c>
      <c r="AK4811" s="2" t="s">
        <v>258</v>
      </c>
      <c r="AL4811" s="2">
        <v>25</v>
      </c>
      <c r="AM4811" s="2" t="s">
        <v>3073</v>
      </c>
      <c r="AN4811" s="2" t="s">
        <v>14839</v>
      </c>
      <c r="AO4811" s="2" t="s">
        <v>14840</v>
      </c>
      <c r="AP4811" s="2">
        <v>11</v>
      </c>
      <c r="AQ4811" s="2" t="s">
        <v>82</v>
      </c>
      <c r="AR4811" s="2"/>
      <c r="AS4811" s="2"/>
      <c r="AT4811" s="2" t="s">
        <v>14841</v>
      </c>
      <c r="AU4811" s="2"/>
      <c r="AV4811" s="2"/>
      <c r="AW4811" s="2"/>
      <c r="AX4811" s="2"/>
      <c r="AY4811" s="2">
        <v>66</v>
      </c>
      <c r="AZ4811" s="2" t="s">
        <v>11320</v>
      </c>
      <c r="BA4811" s="2">
        <v>66</v>
      </c>
      <c r="BB4811" s="2" t="s">
        <v>11320</v>
      </c>
      <c r="BC4811" s="2">
        <v>41</v>
      </c>
      <c r="BD4811" s="2" t="s">
        <v>82</v>
      </c>
      <c r="BE4811" s="2">
        <v>41</v>
      </c>
      <c r="BF4811" s="2" t="s">
        <v>82</v>
      </c>
      <c r="BG4811" s="2"/>
      <c r="BH4811" s="2"/>
      <c r="BI4811" s="2"/>
      <c r="BJ4811" s="2">
        <v>241</v>
      </c>
      <c r="BK4811" s="2" t="s">
        <v>82</v>
      </c>
      <c r="BL4811" s="2"/>
      <c r="BM4811" s="2">
        <v>241</v>
      </c>
      <c r="BN4811" s="2" t="s">
        <v>82</v>
      </c>
      <c r="BO4811" s="2"/>
      <c r="BP4811" s="2">
        <v>241</v>
      </c>
      <c r="BQ4811" s="2" t="s">
        <v>82</v>
      </c>
      <c r="BR4811" s="2"/>
      <c r="BS4811" s="3">
        <v>40506</v>
      </c>
      <c r="BT4811" s="4">
        <v>0.7966550925925926</v>
      </c>
    </row>
    <row r="4812" spans="1:72" x14ac:dyDescent="0.25">
      <c r="A4812" s="2">
        <v>7466</v>
      </c>
      <c r="B4812" s="2">
        <v>2010</v>
      </c>
      <c r="C4812" s="2" t="s">
        <v>764</v>
      </c>
      <c r="D4812" s="2" t="s">
        <v>73</v>
      </c>
      <c r="E4812" s="2"/>
      <c r="F4812" s="2">
        <v>390</v>
      </c>
      <c r="G4812" s="2" t="s">
        <v>475</v>
      </c>
      <c r="H4812" s="2">
        <v>5</v>
      </c>
      <c r="I4812" s="2" t="s">
        <v>634</v>
      </c>
      <c r="J4812" s="2">
        <v>533</v>
      </c>
      <c r="K4812" s="2" t="s">
        <v>6511</v>
      </c>
      <c r="L4812" s="2" t="s">
        <v>478</v>
      </c>
      <c r="M4812" s="3">
        <v>40506</v>
      </c>
      <c r="N4812" s="2" t="s">
        <v>3103</v>
      </c>
      <c r="O4812" s="2"/>
      <c r="P4812" s="2"/>
      <c r="Q4812" s="2" t="str">
        <f>"628-E/10"</f>
        <v>628-E/10</v>
      </c>
      <c r="R4812" s="2"/>
      <c r="S4812" s="2" t="s">
        <v>14842</v>
      </c>
      <c r="T4812" s="2">
        <v>1</v>
      </c>
      <c r="U4812" s="2" t="s">
        <v>79</v>
      </c>
      <c r="V4812" s="2">
        <v>1</v>
      </c>
      <c r="W4812" s="2" t="s">
        <v>80</v>
      </c>
      <c r="X4812" s="2">
        <v>12</v>
      </c>
      <c r="Y4812" s="2" t="s">
        <v>148</v>
      </c>
      <c r="Z4812" s="2">
        <v>1</v>
      </c>
      <c r="AA4812" s="2" t="s">
        <v>82</v>
      </c>
      <c r="AB4812" s="2">
        <v>9</v>
      </c>
      <c r="AC4812" s="2" t="s">
        <v>124</v>
      </c>
      <c r="AD4812" s="3">
        <v>40506</v>
      </c>
      <c r="AE4812" s="4">
        <v>0.2986111111111111</v>
      </c>
      <c r="AF4812" s="3">
        <v>40506</v>
      </c>
      <c r="AG4812" s="4">
        <v>0.5</v>
      </c>
      <c r="AH4812" s="2">
        <v>2</v>
      </c>
      <c r="AI4812" s="2" t="s">
        <v>84</v>
      </c>
      <c r="AJ4812" s="2">
        <v>9</v>
      </c>
      <c r="AK4812" s="2" t="s">
        <v>103</v>
      </c>
      <c r="AL4812" s="2">
        <v>2</v>
      </c>
      <c r="AM4812" s="2" t="s">
        <v>163</v>
      </c>
      <c r="AN4812" s="2" t="s">
        <v>10387</v>
      </c>
      <c r="AO4812" s="2"/>
      <c r="AP4812" s="2">
        <v>11</v>
      </c>
      <c r="AQ4812" s="2" t="s">
        <v>82</v>
      </c>
      <c r="AR4812" s="2"/>
      <c r="AS4812" s="2"/>
      <c r="AT4812" s="2" t="s">
        <v>14843</v>
      </c>
      <c r="AU4812" s="2"/>
      <c r="AV4812" s="2"/>
      <c r="AW4812" s="2"/>
      <c r="AX4812" s="2"/>
      <c r="AY4812" s="2">
        <v>41</v>
      </c>
      <c r="AZ4812" s="2" t="s">
        <v>82</v>
      </c>
      <c r="BA4812" s="2">
        <v>41</v>
      </c>
      <c r="BB4812" s="2" t="s">
        <v>82</v>
      </c>
      <c r="BC4812" s="2">
        <v>41</v>
      </c>
      <c r="BD4812" s="2" t="s">
        <v>82</v>
      </c>
      <c r="BE4812" s="2">
        <v>4</v>
      </c>
      <c r="BF4812" s="2" t="s">
        <v>90</v>
      </c>
      <c r="BG4812" s="2" t="s">
        <v>3102</v>
      </c>
      <c r="BH4812" s="4">
        <v>0.2986111111111111</v>
      </c>
      <c r="BI4812" s="2"/>
      <c r="BJ4812" s="2">
        <v>173</v>
      </c>
      <c r="BK4812" s="2" t="s">
        <v>223</v>
      </c>
      <c r="BL4812" s="2" t="s">
        <v>224</v>
      </c>
      <c r="BM4812" s="2">
        <v>13</v>
      </c>
      <c r="BN4812" s="2" t="s">
        <v>91</v>
      </c>
      <c r="BO4812" s="2"/>
      <c r="BP4812" s="2">
        <v>13</v>
      </c>
      <c r="BQ4812" s="2" t="s">
        <v>91</v>
      </c>
      <c r="BR4812" s="2" t="s">
        <v>360</v>
      </c>
      <c r="BS4812" s="3">
        <v>40506</v>
      </c>
      <c r="BT4812" s="4">
        <v>0.81834490740740751</v>
      </c>
    </row>
    <row r="4813" spans="1:72" x14ac:dyDescent="0.25">
      <c r="A4813" s="2">
        <v>7467</v>
      </c>
      <c r="B4813" s="2">
        <v>2010</v>
      </c>
      <c r="C4813" s="2" t="s">
        <v>72</v>
      </c>
      <c r="D4813" s="2" t="s">
        <v>73</v>
      </c>
      <c r="E4813" s="2"/>
      <c r="F4813" s="2">
        <v>107</v>
      </c>
      <c r="G4813" s="2" t="s">
        <v>14844</v>
      </c>
      <c r="H4813" s="2">
        <v>1</v>
      </c>
      <c r="I4813" s="2" t="s">
        <v>82</v>
      </c>
      <c r="J4813" s="2">
        <v>719</v>
      </c>
      <c r="K4813" s="2" t="s">
        <v>14845</v>
      </c>
      <c r="L4813" s="2" t="s">
        <v>14846</v>
      </c>
      <c r="M4813" s="3">
        <v>40506</v>
      </c>
      <c r="N4813" s="2" t="s">
        <v>82</v>
      </c>
      <c r="O4813" s="2"/>
      <c r="P4813" s="2"/>
      <c r="Q4813" s="2" t="str">
        <f>"005/2010"</f>
        <v>005/2010</v>
      </c>
      <c r="R4813" s="2" t="s">
        <v>833</v>
      </c>
      <c r="S4813" s="2"/>
      <c r="T4813" s="2">
        <v>1</v>
      </c>
      <c r="U4813" s="2" t="s">
        <v>79</v>
      </c>
      <c r="V4813" s="2">
        <v>1</v>
      </c>
      <c r="W4813" s="2" t="s">
        <v>80</v>
      </c>
      <c r="X4813" s="2">
        <v>1</v>
      </c>
      <c r="Y4813" s="2" t="s">
        <v>81</v>
      </c>
      <c r="Z4813" s="2">
        <v>1</v>
      </c>
      <c r="AA4813" s="2" t="s">
        <v>82</v>
      </c>
      <c r="AB4813" s="2">
        <v>6</v>
      </c>
      <c r="AC4813" s="2" t="s">
        <v>83</v>
      </c>
      <c r="AD4813" s="3">
        <v>40506</v>
      </c>
      <c r="AE4813" s="2"/>
      <c r="AF4813" s="3">
        <v>40506</v>
      </c>
      <c r="AG4813" s="4">
        <v>0.51736111111111105</v>
      </c>
      <c r="AH4813" s="2">
        <v>6</v>
      </c>
      <c r="AI4813" s="2" t="s">
        <v>197</v>
      </c>
      <c r="AJ4813" s="2">
        <v>56</v>
      </c>
      <c r="AK4813" s="2" t="s">
        <v>7719</v>
      </c>
      <c r="AL4813" s="2">
        <v>21</v>
      </c>
      <c r="AM4813" s="2" t="s">
        <v>1311</v>
      </c>
      <c r="AN4813" s="2"/>
      <c r="AO4813" s="2"/>
      <c r="AP4813" s="2">
        <v>11</v>
      </c>
      <c r="AQ4813" s="2" t="s">
        <v>82</v>
      </c>
      <c r="AR4813" s="2"/>
      <c r="AS4813" s="2"/>
      <c r="AT4813" s="2" t="s">
        <v>14847</v>
      </c>
      <c r="AU4813" s="2"/>
      <c r="AV4813" s="2"/>
      <c r="AW4813" s="2"/>
      <c r="AX4813" s="2"/>
      <c r="AY4813" s="2">
        <v>41</v>
      </c>
      <c r="AZ4813" s="2" t="s">
        <v>82</v>
      </c>
      <c r="BA4813" s="2">
        <v>41</v>
      </c>
      <c r="BB4813" s="2" t="s">
        <v>82</v>
      </c>
      <c r="BC4813" s="2">
        <v>41</v>
      </c>
      <c r="BD4813" s="2" t="s">
        <v>82</v>
      </c>
      <c r="BE4813" s="2">
        <v>41</v>
      </c>
      <c r="BF4813" s="2" t="s">
        <v>82</v>
      </c>
      <c r="BG4813" s="2"/>
      <c r="BH4813" s="2"/>
      <c r="BI4813" s="2"/>
      <c r="BJ4813" s="2">
        <v>241</v>
      </c>
      <c r="BK4813" s="2" t="s">
        <v>82</v>
      </c>
      <c r="BL4813" s="2"/>
      <c r="BM4813" s="2">
        <v>241</v>
      </c>
      <c r="BN4813" s="2" t="s">
        <v>82</v>
      </c>
      <c r="BO4813" s="2"/>
      <c r="BP4813" s="2">
        <v>241</v>
      </c>
      <c r="BQ4813" s="2" t="s">
        <v>82</v>
      </c>
      <c r="BR4813" s="2"/>
      <c r="BS4813" s="3">
        <v>40506</v>
      </c>
      <c r="BT4813" s="4">
        <v>0.8319212962962963</v>
      </c>
    </row>
    <row r="4814" spans="1:72" x14ac:dyDescent="0.25">
      <c r="A4814" s="2">
        <v>7468</v>
      </c>
      <c r="B4814" s="2">
        <v>2010</v>
      </c>
      <c r="C4814" s="2" t="s">
        <v>72</v>
      </c>
      <c r="D4814" s="2" t="s">
        <v>122</v>
      </c>
      <c r="E4814" s="2" t="s">
        <v>14848</v>
      </c>
      <c r="F4814" s="2">
        <v>390</v>
      </c>
      <c r="G4814" s="2" t="s">
        <v>475</v>
      </c>
      <c r="H4814" s="2">
        <v>5</v>
      </c>
      <c r="I4814" s="2" t="s">
        <v>634</v>
      </c>
      <c r="J4814" s="2">
        <v>533</v>
      </c>
      <c r="K4814" s="2" t="s">
        <v>6511</v>
      </c>
      <c r="L4814" s="2" t="s">
        <v>478</v>
      </c>
      <c r="M4814" s="3">
        <v>40506</v>
      </c>
      <c r="N4814" s="2" t="s">
        <v>3103</v>
      </c>
      <c r="O4814" s="2"/>
      <c r="P4814" s="2"/>
      <c r="Q4814" s="2" t="str">
        <f>"626-E/10"</f>
        <v>626-E/10</v>
      </c>
      <c r="R4814" s="2" t="s">
        <v>1847</v>
      </c>
      <c r="S4814" s="2"/>
      <c r="T4814" s="2">
        <v>1</v>
      </c>
      <c r="U4814" s="2" t="s">
        <v>79</v>
      </c>
      <c r="V4814" s="2">
        <v>1</v>
      </c>
      <c r="W4814" s="2" t="s">
        <v>80</v>
      </c>
      <c r="X4814" s="2">
        <v>12</v>
      </c>
      <c r="Y4814" s="2" t="s">
        <v>148</v>
      </c>
      <c r="Z4814" s="2">
        <v>1</v>
      </c>
      <c r="AA4814" s="2" t="s">
        <v>82</v>
      </c>
      <c r="AB4814" s="2">
        <v>6</v>
      </c>
      <c r="AC4814" s="2" t="s">
        <v>83</v>
      </c>
      <c r="AD4814" s="3">
        <v>40505</v>
      </c>
      <c r="AE4814" s="4">
        <v>0.61111111111111105</v>
      </c>
      <c r="AF4814" s="3">
        <v>40505</v>
      </c>
      <c r="AG4814" s="4">
        <v>0.75</v>
      </c>
      <c r="AH4814" s="2">
        <v>2</v>
      </c>
      <c r="AI4814" s="2" t="s">
        <v>84</v>
      </c>
      <c r="AJ4814" s="2">
        <v>9</v>
      </c>
      <c r="AK4814" s="2" t="s">
        <v>103</v>
      </c>
      <c r="AL4814" s="2">
        <v>14</v>
      </c>
      <c r="AM4814" s="2" t="s">
        <v>216</v>
      </c>
      <c r="AN4814" s="2" t="s">
        <v>14805</v>
      </c>
      <c r="AO4814" s="2" t="s">
        <v>4974</v>
      </c>
      <c r="AP4814" s="2">
        <v>11</v>
      </c>
      <c r="AQ4814" s="2" t="s">
        <v>82</v>
      </c>
      <c r="AR4814" s="2"/>
      <c r="AS4814" s="2"/>
      <c r="AT4814" s="2" t="s">
        <v>14849</v>
      </c>
      <c r="AU4814" s="2"/>
      <c r="AV4814" s="2">
        <v>1</v>
      </c>
      <c r="AW4814" s="2"/>
      <c r="AX4814" s="2"/>
      <c r="AY4814" s="2">
        <v>41</v>
      </c>
      <c r="AZ4814" s="2" t="s">
        <v>82</v>
      </c>
      <c r="BA4814" s="2">
        <v>69</v>
      </c>
      <c r="BB4814" s="2" t="s">
        <v>483</v>
      </c>
      <c r="BC4814" s="2">
        <v>69</v>
      </c>
      <c r="BD4814" s="2" t="s">
        <v>483</v>
      </c>
      <c r="BE4814" s="2">
        <v>41</v>
      </c>
      <c r="BF4814" s="2" t="s">
        <v>82</v>
      </c>
      <c r="BG4814" s="2"/>
      <c r="BH4814" s="2"/>
      <c r="BI4814" s="2"/>
      <c r="BJ4814" s="2">
        <v>241</v>
      </c>
      <c r="BK4814" s="2" t="s">
        <v>82</v>
      </c>
      <c r="BL4814" s="2"/>
      <c r="BM4814" s="2">
        <v>241</v>
      </c>
      <c r="BN4814" s="2" t="s">
        <v>82</v>
      </c>
      <c r="BO4814" s="2"/>
      <c r="BP4814" s="2">
        <v>241</v>
      </c>
      <c r="BQ4814" s="2" t="s">
        <v>82</v>
      </c>
      <c r="BR4814" s="2"/>
      <c r="BS4814" s="3">
        <v>40506</v>
      </c>
      <c r="BT4814" s="4">
        <v>0.85215277777777787</v>
      </c>
    </row>
    <row r="4815" spans="1:72" x14ac:dyDescent="0.25">
      <c r="A4815" s="2">
        <v>7468</v>
      </c>
      <c r="B4815" s="2">
        <v>2010</v>
      </c>
      <c r="C4815" s="2" t="s">
        <v>385</v>
      </c>
      <c r="D4815" s="2" t="s">
        <v>122</v>
      </c>
      <c r="E4815" s="2" t="s">
        <v>14848</v>
      </c>
      <c r="F4815" s="2">
        <v>390</v>
      </c>
      <c r="G4815" s="2" t="s">
        <v>475</v>
      </c>
      <c r="H4815" s="2">
        <v>5</v>
      </c>
      <c r="I4815" s="2" t="s">
        <v>634</v>
      </c>
      <c r="J4815" s="2">
        <v>533</v>
      </c>
      <c r="K4815" s="2" t="s">
        <v>6511</v>
      </c>
      <c r="L4815" s="2" t="s">
        <v>478</v>
      </c>
      <c r="M4815" s="3">
        <v>40506</v>
      </c>
      <c r="N4815" s="2" t="s">
        <v>3103</v>
      </c>
      <c r="O4815" s="2"/>
      <c r="P4815" s="2"/>
      <c r="Q4815" s="2" t="str">
        <f>"626-E/10"</f>
        <v>626-E/10</v>
      </c>
      <c r="R4815" s="2" t="s">
        <v>1847</v>
      </c>
      <c r="S4815" s="2"/>
      <c r="T4815" s="2">
        <v>1</v>
      </c>
      <c r="U4815" s="2" t="s">
        <v>79</v>
      </c>
      <c r="V4815" s="2">
        <v>1</v>
      </c>
      <c r="W4815" s="2" t="s">
        <v>80</v>
      </c>
      <c r="X4815" s="2">
        <v>12</v>
      </c>
      <c r="Y4815" s="2" t="s">
        <v>148</v>
      </c>
      <c r="Z4815" s="2">
        <v>1</v>
      </c>
      <c r="AA4815" s="2" t="s">
        <v>82</v>
      </c>
      <c r="AB4815" s="2">
        <v>9</v>
      </c>
      <c r="AC4815" s="2" t="s">
        <v>124</v>
      </c>
      <c r="AD4815" s="3">
        <v>40505</v>
      </c>
      <c r="AE4815" s="4">
        <v>0.61111111111111105</v>
      </c>
      <c r="AF4815" s="3">
        <v>40505</v>
      </c>
      <c r="AG4815" s="4">
        <v>0.75</v>
      </c>
      <c r="AH4815" s="2">
        <v>2</v>
      </c>
      <c r="AI4815" s="2" t="s">
        <v>84</v>
      </c>
      <c r="AJ4815" s="2">
        <v>9</v>
      </c>
      <c r="AK4815" s="2" t="s">
        <v>103</v>
      </c>
      <c r="AL4815" s="2">
        <v>14</v>
      </c>
      <c r="AM4815" s="2" t="s">
        <v>216</v>
      </c>
      <c r="AN4815" s="2" t="s">
        <v>14805</v>
      </c>
      <c r="AO4815" s="2" t="s">
        <v>4974</v>
      </c>
      <c r="AP4815" s="2">
        <v>11</v>
      </c>
      <c r="AQ4815" s="2" t="s">
        <v>82</v>
      </c>
      <c r="AR4815" s="2"/>
      <c r="AS4815" s="2"/>
      <c r="AT4815" s="2" t="s">
        <v>14849</v>
      </c>
      <c r="AU4815" s="2"/>
      <c r="AV4815" s="2">
        <v>1</v>
      </c>
      <c r="AW4815" s="2"/>
      <c r="AX4815" s="2"/>
      <c r="AY4815" s="2">
        <v>41</v>
      </c>
      <c r="AZ4815" s="2" t="s">
        <v>82</v>
      </c>
      <c r="BA4815" s="2">
        <v>69</v>
      </c>
      <c r="BB4815" s="2" t="s">
        <v>483</v>
      </c>
      <c r="BC4815" s="2">
        <v>69</v>
      </c>
      <c r="BD4815" s="2" t="s">
        <v>483</v>
      </c>
      <c r="BE4815" s="2">
        <v>41</v>
      </c>
      <c r="BF4815" s="2" t="s">
        <v>82</v>
      </c>
      <c r="BG4815" s="2"/>
      <c r="BH4815" s="2"/>
      <c r="BI4815" s="2"/>
      <c r="BJ4815" s="2">
        <v>241</v>
      </c>
      <c r="BK4815" s="2" t="s">
        <v>82</v>
      </c>
      <c r="BL4815" s="2"/>
      <c r="BM4815" s="2">
        <v>241</v>
      </c>
      <c r="BN4815" s="2" t="s">
        <v>82</v>
      </c>
      <c r="BO4815" s="2"/>
      <c r="BP4815" s="2">
        <v>241</v>
      </c>
      <c r="BQ4815" s="2" t="s">
        <v>82</v>
      </c>
      <c r="BR4815" s="2"/>
      <c r="BS4815" s="3">
        <v>40506</v>
      </c>
      <c r="BT4815" s="4">
        <v>0.85215277777777787</v>
      </c>
    </row>
    <row r="4816" spans="1:72" x14ac:dyDescent="0.25">
      <c r="A4816" s="2">
        <v>7469</v>
      </c>
      <c r="B4816" s="2">
        <v>2010</v>
      </c>
      <c r="C4816" s="2" t="s">
        <v>72</v>
      </c>
      <c r="D4816" s="2" t="s">
        <v>73</v>
      </c>
      <c r="E4816" s="2"/>
      <c r="F4816" s="2">
        <v>533</v>
      </c>
      <c r="G4816" s="2" t="s">
        <v>3397</v>
      </c>
      <c r="H4816" s="2">
        <v>2</v>
      </c>
      <c r="I4816" s="2" t="s">
        <v>267</v>
      </c>
      <c r="J4816" s="2">
        <v>462</v>
      </c>
      <c r="K4816" s="2" t="s">
        <v>3398</v>
      </c>
      <c r="L4816" s="2" t="s">
        <v>3399</v>
      </c>
      <c r="M4816" s="3">
        <v>40506</v>
      </c>
      <c r="N4816" s="2" t="s">
        <v>14850</v>
      </c>
      <c r="O4816" s="2"/>
      <c r="P4816" s="2"/>
      <c r="Q4816" s="2" t="str">
        <f>"0149/10"</f>
        <v>0149/10</v>
      </c>
      <c r="R4816" s="2" t="s">
        <v>833</v>
      </c>
      <c r="S4816" s="2"/>
      <c r="T4816" s="2">
        <v>1</v>
      </c>
      <c r="U4816" s="2" t="s">
        <v>79</v>
      </c>
      <c r="V4816" s="2">
        <v>1</v>
      </c>
      <c r="W4816" s="2" t="s">
        <v>80</v>
      </c>
      <c r="X4816" s="2">
        <v>12</v>
      </c>
      <c r="Y4816" s="2" t="s">
        <v>148</v>
      </c>
      <c r="Z4816" s="2">
        <v>1</v>
      </c>
      <c r="AA4816" s="2" t="s">
        <v>82</v>
      </c>
      <c r="AB4816" s="2">
        <v>6</v>
      </c>
      <c r="AC4816" s="2" t="s">
        <v>83</v>
      </c>
      <c r="AD4816" s="3">
        <v>40506</v>
      </c>
      <c r="AE4816" s="2"/>
      <c r="AF4816" s="3">
        <v>40506</v>
      </c>
      <c r="AG4816" s="4">
        <v>0.76736111111111116</v>
      </c>
      <c r="AH4816" s="2">
        <v>5</v>
      </c>
      <c r="AI4816" s="2" t="s">
        <v>274</v>
      </c>
      <c r="AJ4816" s="2">
        <v>38</v>
      </c>
      <c r="AK4816" s="2" t="s">
        <v>1120</v>
      </c>
      <c r="AL4816" s="2">
        <v>22</v>
      </c>
      <c r="AM4816" s="2" t="s">
        <v>1853</v>
      </c>
      <c r="AN4816" s="2" t="s">
        <v>3848</v>
      </c>
      <c r="AO4816" s="2" t="s">
        <v>2887</v>
      </c>
      <c r="AP4816" s="2">
        <v>11</v>
      </c>
      <c r="AQ4816" s="2" t="s">
        <v>82</v>
      </c>
      <c r="AR4816" s="2"/>
      <c r="AS4816" s="2"/>
      <c r="AT4816" s="2" t="s">
        <v>14851</v>
      </c>
      <c r="AU4816" s="2"/>
      <c r="AV4816" s="2"/>
      <c r="AW4816" s="2"/>
      <c r="AX4816" s="2"/>
      <c r="AY4816" s="2">
        <v>41</v>
      </c>
      <c r="AZ4816" s="2" t="s">
        <v>82</v>
      </c>
      <c r="BA4816" s="2">
        <v>41</v>
      </c>
      <c r="BB4816" s="2" t="s">
        <v>82</v>
      </c>
      <c r="BC4816" s="2">
        <v>41</v>
      </c>
      <c r="BD4816" s="2" t="s">
        <v>82</v>
      </c>
      <c r="BE4816" s="2">
        <v>47</v>
      </c>
      <c r="BF4816" s="2" t="s">
        <v>167</v>
      </c>
      <c r="BG4816" s="2">
        <v>2728</v>
      </c>
      <c r="BH4816" s="4">
        <v>0.63888888888888895</v>
      </c>
      <c r="BI4816" s="4">
        <v>0.56944444444444442</v>
      </c>
      <c r="BJ4816" s="2">
        <v>13</v>
      </c>
      <c r="BK4816" s="2" t="s">
        <v>91</v>
      </c>
      <c r="BL4816" s="2" t="s">
        <v>14852</v>
      </c>
      <c r="BM4816" s="2">
        <v>13</v>
      </c>
      <c r="BN4816" s="2" t="s">
        <v>91</v>
      </c>
      <c r="BO4816" s="2"/>
      <c r="BP4816" s="2">
        <v>13</v>
      </c>
      <c r="BQ4816" s="2" t="s">
        <v>91</v>
      </c>
      <c r="BR4816" s="2" t="s">
        <v>14853</v>
      </c>
      <c r="BS4816" s="3">
        <v>40506</v>
      </c>
      <c r="BT4816" s="4">
        <v>0.89770833333333344</v>
      </c>
    </row>
    <row r="4817" spans="1:72" x14ac:dyDescent="0.25">
      <c r="A4817" s="2">
        <v>7470</v>
      </c>
      <c r="B4817" s="2">
        <v>2010</v>
      </c>
      <c r="C4817" s="2" t="s">
        <v>377</v>
      </c>
      <c r="D4817" s="2" t="s">
        <v>73</v>
      </c>
      <c r="E4817" s="2"/>
      <c r="F4817" s="2">
        <v>426</v>
      </c>
      <c r="G4817" s="2" t="s">
        <v>378</v>
      </c>
      <c r="H4817" s="2">
        <v>108</v>
      </c>
      <c r="I4817" s="2" t="s">
        <v>1096</v>
      </c>
      <c r="J4817" s="2">
        <v>311</v>
      </c>
      <c r="K4817" s="2" t="s">
        <v>379</v>
      </c>
      <c r="L4817" s="2" t="s">
        <v>380</v>
      </c>
      <c r="M4817" s="3">
        <v>40507</v>
      </c>
      <c r="N4817" s="2" t="s">
        <v>14854</v>
      </c>
      <c r="O4817" s="2"/>
      <c r="P4817" s="2"/>
      <c r="Q4817" s="2" t="str">
        <f>"297-C/10"</f>
        <v>297-C/10</v>
      </c>
      <c r="R4817" s="2" t="s">
        <v>12526</v>
      </c>
      <c r="S4817" s="2" t="s">
        <v>12526</v>
      </c>
      <c r="T4817" s="2">
        <v>1</v>
      </c>
      <c r="U4817" s="2" t="s">
        <v>79</v>
      </c>
      <c r="V4817" s="2">
        <v>1</v>
      </c>
      <c r="W4817" s="2" t="s">
        <v>80</v>
      </c>
      <c r="X4817" s="2">
        <v>1</v>
      </c>
      <c r="Y4817" s="2" t="s">
        <v>81</v>
      </c>
      <c r="Z4817" s="2">
        <v>1</v>
      </c>
      <c r="AA4817" s="2" t="s">
        <v>82</v>
      </c>
      <c r="AB4817" s="2">
        <v>9</v>
      </c>
      <c r="AC4817" s="2" t="s">
        <v>124</v>
      </c>
      <c r="AD4817" s="3">
        <v>40506</v>
      </c>
      <c r="AE4817" s="2"/>
      <c r="AF4817" s="3">
        <v>40506</v>
      </c>
      <c r="AG4817" s="4">
        <v>0.33333333333333331</v>
      </c>
      <c r="AH4817" s="2">
        <v>2</v>
      </c>
      <c r="AI4817" s="2" t="s">
        <v>84</v>
      </c>
      <c r="AJ4817" s="2">
        <v>9</v>
      </c>
      <c r="AK4817" s="2" t="s">
        <v>103</v>
      </c>
      <c r="AL4817" s="2">
        <v>29</v>
      </c>
      <c r="AM4817" s="2" t="s">
        <v>5416</v>
      </c>
      <c r="AN4817" s="2" t="s">
        <v>14715</v>
      </c>
      <c r="AO4817" s="2"/>
      <c r="AP4817" s="2">
        <v>11</v>
      </c>
      <c r="AQ4817" s="2" t="s">
        <v>82</v>
      </c>
      <c r="AR4817" s="2"/>
      <c r="AS4817" s="2"/>
      <c r="AT4817" s="2" t="s">
        <v>14855</v>
      </c>
      <c r="AU4817" s="2"/>
      <c r="AV4817" s="2"/>
      <c r="AW4817" s="2"/>
      <c r="AX4817" s="2"/>
      <c r="AY4817" s="2">
        <v>41</v>
      </c>
      <c r="AZ4817" s="2" t="s">
        <v>82</v>
      </c>
      <c r="BA4817" s="2">
        <v>41</v>
      </c>
      <c r="BB4817" s="2" t="s">
        <v>82</v>
      </c>
      <c r="BC4817" s="2">
        <v>41</v>
      </c>
      <c r="BD4817" s="2" t="s">
        <v>82</v>
      </c>
      <c r="BE4817" s="2">
        <v>41</v>
      </c>
      <c r="BF4817" s="2" t="s">
        <v>82</v>
      </c>
      <c r="BG4817" s="2"/>
      <c r="BH4817" s="2"/>
      <c r="BI4817" s="2"/>
      <c r="BJ4817" s="2">
        <v>241</v>
      </c>
      <c r="BK4817" s="2" t="s">
        <v>82</v>
      </c>
      <c r="BL4817" s="2"/>
      <c r="BM4817" s="2">
        <v>241</v>
      </c>
      <c r="BN4817" s="2" t="s">
        <v>82</v>
      </c>
      <c r="BO4817" s="2"/>
      <c r="BP4817" s="2">
        <v>241</v>
      </c>
      <c r="BQ4817" s="2" t="s">
        <v>82</v>
      </c>
      <c r="BR4817" s="2"/>
      <c r="BS4817" s="3">
        <v>40507</v>
      </c>
      <c r="BT4817" s="4">
        <v>5.7175925925925929E-2</v>
      </c>
    </row>
    <row r="4818" spans="1:72" x14ac:dyDescent="0.25">
      <c r="A4818" s="2">
        <v>7471</v>
      </c>
      <c r="B4818" s="2">
        <v>2010</v>
      </c>
      <c r="C4818" s="2" t="s">
        <v>377</v>
      </c>
      <c r="D4818" s="2" t="s">
        <v>73</v>
      </c>
      <c r="E4818" s="2"/>
      <c r="F4818" s="2">
        <v>426</v>
      </c>
      <c r="G4818" s="2" t="s">
        <v>378</v>
      </c>
      <c r="H4818" s="2">
        <v>22</v>
      </c>
      <c r="I4818" s="2" t="s">
        <v>75</v>
      </c>
      <c r="J4818" s="2">
        <v>311</v>
      </c>
      <c r="K4818" s="2" t="s">
        <v>379</v>
      </c>
      <c r="L4818" s="2" t="s">
        <v>380</v>
      </c>
      <c r="M4818" s="3">
        <v>40507</v>
      </c>
      <c r="N4818" s="2" t="s">
        <v>14856</v>
      </c>
      <c r="O4818" s="2"/>
      <c r="P4818" s="2"/>
      <c r="Q4818" s="2" t="str">
        <f>"298-C/10"</f>
        <v>298-C/10</v>
      </c>
      <c r="R4818" s="2" t="s">
        <v>4136</v>
      </c>
      <c r="S4818" s="2" t="s">
        <v>4136</v>
      </c>
      <c r="T4818" s="2">
        <v>1</v>
      </c>
      <c r="U4818" s="2" t="s">
        <v>79</v>
      </c>
      <c r="V4818" s="2">
        <v>1</v>
      </c>
      <c r="W4818" s="2" t="s">
        <v>80</v>
      </c>
      <c r="X4818" s="2">
        <v>1</v>
      </c>
      <c r="Y4818" s="2" t="s">
        <v>81</v>
      </c>
      <c r="Z4818" s="2">
        <v>1</v>
      </c>
      <c r="AA4818" s="2" t="s">
        <v>82</v>
      </c>
      <c r="AB4818" s="2">
        <v>9</v>
      </c>
      <c r="AC4818" s="2" t="s">
        <v>124</v>
      </c>
      <c r="AD4818" s="3">
        <v>40506</v>
      </c>
      <c r="AE4818" s="2"/>
      <c r="AF4818" s="3">
        <v>40506</v>
      </c>
      <c r="AG4818" s="4">
        <v>0.625</v>
      </c>
      <c r="AH4818" s="2">
        <v>2</v>
      </c>
      <c r="AI4818" s="2" t="s">
        <v>84</v>
      </c>
      <c r="AJ4818" s="2">
        <v>9</v>
      </c>
      <c r="AK4818" s="2" t="s">
        <v>103</v>
      </c>
      <c r="AL4818" s="2">
        <v>29</v>
      </c>
      <c r="AM4818" s="2" t="s">
        <v>5416</v>
      </c>
      <c r="AN4818" s="2" t="s">
        <v>2585</v>
      </c>
      <c r="AO4818" s="2"/>
      <c r="AP4818" s="2">
        <v>11</v>
      </c>
      <c r="AQ4818" s="2" t="s">
        <v>82</v>
      </c>
      <c r="AR4818" s="2"/>
      <c r="AS4818" s="2"/>
      <c r="AT4818" s="2" t="s">
        <v>14857</v>
      </c>
      <c r="AU4818" s="2"/>
      <c r="AV4818" s="2"/>
      <c r="AW4818" s="2"/>
      <c r="AX4818" s="2"/>
      <c r="AY4818" s="2">
        <v>41</v>
      </c>
      <c r="AZ4818" s="2" t="s">
        <v>82</v>
      </c>
      <c r="BA4818" s="2">
        <v>41</v>
      </c>
      <c r="BB4818" s="2" t="s">
        <v>82</v>
      </c>
      <c r="BC4818" s="2">
        <v>41</v>
      </c>
      <c r="BD4818" s="2" t="s">
        <v>82</v>
      </c>
      <c r="BE4818" s="2">
        <v>41</v>
      </c>
      <c r="BF4818" s="2" t="s">
        <v>82</v>
      </c>
      <c r="BG4818" s="2"/>
      <c r="BH4818" s="2"/>
      <c r="BI4818" s="2"/>
      <c r="BJ4818" s="2">
        <v>241</v>
      </c>
      <c r="BK4818" s="2" t="s">
        <v>82</v>
      </c>
      <c r="BL4818" s="2"/>
      <c r="BM4818" s="2">
        <v>241</v>
      </c>
      <c r="BN4818" s="2" t="s">
        <v>82</v>
      </c>
      <c r="BO4818" s="2"/>
      <c r="BP4818" s="2">
        <v>241</v>
      </c>
      <c r="BQ4818" s="2" t="s">
        <v>82</v>
      </c>
      <c r="BR4818" s="2"/>
      <c r="BS4818" s="3">
        <v>40507</v>
      </c>
      <c r="BT4818" s="4">
        <v>7.4745370370370365E-2</v>
      </c>
    </row>
    <row r="4819" spans="1:72" x14ac:dyDescent="0.25">
      <c r="A4819" s="2">
        <v>7472</v>
      </c>
      <c r="B4819" s="2">
        <v>2010</v>
      </c>
      <c r="C4819" s="2" t="s">
        <v>72</v>
      </c>
      <c r="D4819" s="2" t="s">
        <v>73</v>
      </c>
      <c r="E4819" s="2"/>
      <c r="F4819" s="2">
        <v>725</v>
      </c>
      <c r="G4819" s="2" t="s">
        <v>14858</v>
      </c>
      <c r="H4819" s="2">
        <v>150</v>
      </c>
      <c r="I4819" s="2" t="s">
        <v>14859</v>
      </c>
      <c r="J4819" s="2">
        <v>717</v>
      </c>
      <c r="K4819" s="2" t="s">
        <v>9068</v>
      </c>
      <c r="L4819" s="2" t="s">
        <v>4822</v>
      </c>
      <c r="M4819" s="3">
        <v>40507</v>
      </c>
      <c r="N4819" s="2" t="s">
        <v>14860</v>
      </c>
      <c r="O4819" s="2"/>
      <c r="P4819" s="2"/>
      <c r="Q4819" s="2" t="str">
        <f>"PS 436-A/10"</f>
        <v>PS 436-A/10</v>
      </c>
      <c r="R4819" s="2" t="s">
        <v>14861</v>
      </c>
      <c r="S4819" s="2" t="s">
        <v>14861</v>
      </c>
      <c r="T4819" s="2">
        <v>1</v>
      </c>
      <c r="U4819" s="2" t="s">
        <v>79</v>
      </c>
      <c r="V4819" s="2">
        <v>1</v>
      </c>
      <c r="W4819" s="2" t="s">
        <v>80</v>
      </c>
      <c r="X4819" s="2">
        <v>12</v>
      </c>
      <c r="Y4819" s="2" t="s">
        <v>148</v>
      </c>
      <c r="Z4819" s="2">
        <v>1</v>
      </c>
      <c r="AA4819" s="2" t="s">
        <v>82</v>
      </c>
      <c r="AB4819" s="2">
        <v>6</v>
      </c>
      <c r="AC4819" s="2" t="s">
        <v>83</v>
      </c>
      <c r="AD4819" s="3">
        <v>40505</v>
      </c>
      <c r="AE4819" s="4">
        <v>0.54166666666666663</v>
      </c>
      <c r="AF4819" s="3">
        <v>40506</v>
      </c>
      <c r="AG4819" s="4">
        <v>0.70833333333333337</v>
      </c>
      <c r="AH4819" s="2">
        <v>2</v>
      </c>
      <c r="AI4819" s="2" t="s">
        <v>84</v>
      </c>
      <c r="AJ4819" s="2">
        <v>12</v>
      </c>
      <c r="AK4819" s="2" t="s">
        <v>85</v>
      </c>
      <c r="AL4819" s="2">
        <v>12</v>
      </c>
      <c r="AM4819" s="2" t="s">
        <v>86</v>
      </c>
      <c r="AN4819" s="2" t="s">
        <v>14862</v>
      </c>
      <c r="AO4819" s="2" t="s">
        <v>14863</v>
      </c>
      <c r="AP4819" s="2">
        <v>11</v>
      </c>
      <c r="AQ4819" s="2" t="s">
        <v>82</v>
      </c>
      <c r="AR4819" s="2"/>
      <c r="AS4819" s="2"/>
      <c r="AT4819" s="2" t="s">
        <v>14864</v>
      </c>
      <c r="AU4819" s="2">
        <v>1</v>
      </c>
      <c r="AV4819" s="2"/>
      <c r="AW4819" s="2"/>
      <c r="AX4819" s="2"/>
      <c r="AY4819" s="2">
        <v>41</v>
      </c>
      <c r="AZ4819" s="2" t="s">
        <v>82</v>
      </c>
      <c r="BA4819" s="2">
        <v>41</v>
      </c>
      <c r="BB4819" s="2" t="s">
        <v>82</v>
      </c>
      <c r="BC4819" s="2">
        <v>41</v>
      </c>
      <c r="BD4819" s="2" t="s">
        <v>82</v>
      </c>
      <c r="BE4819" s="2">
        <v>41</v>
      </c>
      <c r="BF4819" s="2" t="s">
        <v>82</v>
      </c>
      <c r="BG4819" s="2"/>
      <c r="BH4819" s="2"/>
      <c r="BI4819" s="2"/>
      <c r="BJ4819" s="2">
        <v>241</v>
      </c>
      <c r="BK4819" s="2" t="s">
        <v>82</v>
      </c>
      <c r="BL4819" s="2"/>
      <c r="BM4819" s="2">
        <v>241</v>
      </c>
      <c r="BN4819" s="2" t="s">
        <v>82</v>
      </c>
      <c r="BO4819" s="2"/>
      <c r="BP4819" s="2">
        <v>241</v>
      </c>
      <c r="BQ4819" s="2" t="s">
        <v>82</v>
      </c>
      <c r="BR4819" s="2"/>
      <c r="BS4819" s="3">
        <v>40507</v>
      </c>
      <c r="BT4819" s="4">
        <v>0.28894675925925922</v>
      </c>
    </row>
    <row r="4820" spans="1:72" x14ac:dyDescent="0.25">
      <c r="A4820" s="2">
        <v>7478</v>
      </c>
      <c r="B4820" s="2">
        <v>2010</v>
      </c>
      <c r="C4820" s="2" t="s">
        <v>171</v>
      </c>
      <c r="D4820" s="2" t="s">
        <v>73</v>
      </c>
      <c r="E4820" s="2"/>
      <c r="F4820" s="2">
        <v>519</v>
      </c>
      <c r="G4820" s="2" t="s">
        <v>14865</v>
      </c>
      <c r="H4820" s="2">
        <v>66</v>
      </c>
      <c r="I4820" s="2" t="s">
        <v>3190</v>
      </c>
      <c r="J4820" s="2">
        <v>374</v>
      </c>
      <c r="K4820" s="2" t="s">
        <v>1191</v>
      </c>
      <c r="L4820" s="2" t="s">
        <v>132</v>
      </c>
      <c r="M4820" s="3">
        <v>40507</v>
      </c>
      <c r="N4820" s="2" t="s">
        <v>14866</v>
      </c>
      <c r="O4820" s="2" t="s">
        <v>14867</v>
      </c>
      <c r="P4820" s="2" t="s">
        <v>14868</v>
      </c>
      <c r="Q4820" s="2" t="str">
        <f>"0027/2010"</f>
        <v>0027/2010</v>
      </c>
      <c r="R4820" s="2"/>
      <c r="S4820" s="2"/>
      <c r="T4820" s="2">
        <v>1</v>
      </c>
      <c r="U4820" s="2" t="s">
        <v>79</v>
      </c>
      <c r="V4820" s="2">
        <v>3</v>
      </c>
      <c r="W4820" s="2" t="s">
        <v>225</v>
      </c>
      <c r="X4820" s="2">
        <v>8</v>
      </c>
      <c r="Y4820" s="2" t="s">
        <v>375</v>
      </c>
      <c r="Z4820" s="2">
        <v>1</v>
      </c>
      <c r="AA4820" s="2" t="s">
        <v>82</v>
      </c>
      <c r="AB4820" s="2">
        <v>9</v>
      </c>
      <c r="AC4820" s="2" t="s">
        <v>124</v>
      </c>
      <c r="AD4820" s="3">
        <v>40507</v>
      </c>
      <c r="AE4820" s="4">
        <v>0.35416666666666669</v>
      </c>
      <c r="AF4820" s="2"/>
      <c r="AG4820" s="2"/>
      <c r="AH4820" s="2">
        <v>5</v>
      </c>
      <c r="AI4820" s="2" t="s">
        <v>274</v>
      </c>
      <c r="AJ4820" s="2">
        <v>35</v>
      </c>
      <c r="AK4820" s="2" t="s">
        <v>275</v>
      </c>
      <c r="AL4820" s="2">
        <v>23</v>
      </c>
      <c r="AM4820" s="2" t="s">
        <v>251</v>
      </c>
      <c r="AN4820" s="2"/>
      <c r="AO4820" s="2" t="s">
        <v>14869</v>
      </c>
      <c r="AP4820" s="2">
        <v>11</v>
      </c>
      <c r="AQ4820" s="2" t="s">
        <v>82</v>
      </c>
      <c r="AR4820" s="2"/>
      <c r="AS4820" s="2"/>
      <c r="AT4820" s="2" t="s">
        <v>14870</v>
      </c>
      <c r="AU4820" s="2"/>
      <c r="AV4820" s="2"/>
      <c r="AW4820" s="2"/>
      <c r="AX4820" s="2"/>
      <c r="AY4820" s="2">
        <v>41</v>
      </c>
      <c r="AZ4820" s="2" t="s">
        <v>82</v>
      </c>
      <c r="BA4820" s="2">
        <v>41</v>
      </c>
      <c r="BB4820" s="2" t="s">
        <v>82</v>
      </c>
      <c r="BC4820" s="2">
        <v>41</v>
      </c>
      <c r="BD4820" s="2" t="s">
        <v>82</v>
      </c>
      <c r="BE4820" s="2">
        <v>41</v>
      </c>
      <c r="BF4820" s="2" t="s">
        <v>82</v>
      </c>
      <c r="BG4820" s="2"/>
      <c r="BH4820" s="2"/>
      <c r="BI4820" s="2"/>
      <c r="BJ4820" s="2">
        <v>241</v>
      </c>
      <c r="BK4820" s="2" t="s">
        <v>82</v>
      </c>
      <c r="BL4820" s="2"/>
      <c r="BM4820" s="2">
        <v>241</v>
      </c>
      <c r="BN4820" s="2" t="s">
        <v>82</v>
      </c>
      <c r="BO4820" s="2"/>
      <c r="BP4820" s="2">
        <v>241</v>
      </c>
      <c r="BQ4820" s="2" t="s">
        <v>82</v>
      </c>
      <c r="BR4820" s="2"/>
      <c r="BS4820" s="3">
        <v>40507</v>
      </c>
      <c r="BT4820" s="4">
        <v>0.53621527777777778</v>
      </c>
    </row>
    <row r="4821" spans="1:72" x14ac:dyDescent="0.25">
      <c r="A4821" s="2">
        <v>7482</v>
      </c>
      <c r="B4821" s="2">
        <v>2010</v>
      </c>
      <c r="C4821" s="2" t="s">
        <v>72</v>
      </c>
      <c r="D4821" s="2" t="s">
        <v>73</v>
      </c>
      <c r="E4821" s="2"/>
      <c r="F4821" s="2">
        <v>1</v>
      </c>
      <c r="G4821" s="2" t="s">
        <v>82</v>
      </c>
      <c r="H4821" s="2">
        <v>1</v>
      </c>
      <c r="I4821" s="2" t="s">
        <v>82</v>
      </c>
      <c r="J4821" s="2">
        <v>1</v>
      </c>
      <c r="K4821" s="2" t="s">
        <v>107</v>
      </c>
      <c r="L4821" s="2" t="s">
        <v>107</v>
      </c>
      <c r="M4821" s="3">
        <v>40507</v>
      </c>
      <c r="N4821" s="2" t="s">
        <v>14871</v>
      </c>
      <c r="O4821" s="2" t="s">
        <v>116</v>
      </c>
      <c r="P4821" s="2" t="s">
        <v>14872</v>
      </c>
      <c r="Q4821" s="2" t="str">
        <f>"394E/09"</f>
        <v>394E/09</v>
      </c>
      <c r="R4821" s="2" t="s">
        <v>116</v>
      </c>
      <c r="S4821" s="2"/>
      <c r="T4821" s="2">
        <v>1</v>
      </c>
      <c r="U4821" s="2" t="s">
        <v>79</v>
      </c>
      <c r="V4821" s="2">
        <v>3</v>
      </c>
      <c r="W4821" s="2" t="s">
        <v>225</v>
      </c>
      <c r="X4821" s="2">
        <v>6</v>
      </c>
      <c r="Y4821" s="2" t="s">
        <v>249</v>
      </c>
      <c r="Z4821" s="2">
        <v>1</v>
      </c>
      <c r="AA4821" s="2" t="s">
        <v>82</v>
      </c>
      <c r="AB4821" s="2">
        <v>9</v>
      </c>
      <c r="AC4821" s="2" t="s">
        <v>124</v>
      </c>
      <c r="AD4821" s="3">
        <v>40507</v>
      </c>
      <c r="AE4821" s="4">
        <v>0.5</v>
      </c>
      <c r="AF4821" s="2"/>
      <c r="AG4821" s="2"/>
      <c r="AH4821" s="2">
        <v>2</v>
      </c>
      <c r="AI4821" s="2" t="s">
        <v>84</v>
      </c>
      <c r="AJ4821" s="2">
        <v>6</v>
      </c>
      <c r="AK4821" s="2" t="s">
        <v>453</v>
      </c>
      <c r="AL4821" s="2">
        <v>23</v>
      </c>
      <c r="AM4821" s="2" t="s">
        <v>251</v>
      </c>
      <c r="AN4821" s="2" t="s">
        <v>14873</v>
      </c>
      <c r="AO4821" s="2" t="s">
        <v>1394</v>
      </c>
      <c r="AP4821" s="2">
        <v>11</v>
      </c>
      <c r="AQ4821" s="2" t="s">
        <v>82</v>
      </c>
      <c r="AR4821" s="2"/>
      <c r="AS4821" s="2"/>
      <c r="AT4821" s="2" t="s">
        <v>14874</v>
      </c>
      <c r="AU4821" s="2"/>
      <c r="AV4821" s="2"/>
      <c r="AW4821" s="2"/>
      <c r="AX4821" s="2"/>
      <c r="AY4821" s="2">
        <v>41</v>
      </c>
      <c r="AZ4821" s="2" t="s">
        <v>82</v>
      </c>
      <c r="BA4821" s="2">
        <v>41</v>
      </c>
      <c r="BB4821" s="2" t="s">
        <v>82</v>
      </c>
      <c r="BC4821" s="2">
        <v>41</v>
      </c>
      <c r="BD4821" s="2" t="s">
        <v>82</v>
      </c>
      <c r="BE4821" s="2">
        <v>41</v>
      </c>
      <c r="BF4821" s="2" t="s">
        <v>82</v>
      </c>
      <c r="BG4821" s="2"/>
      <c r="BH4821" s="2"/>
      <c r="BI4821" s="2"/>
      <c r="BJ4821" s="2">
        <v>241</v>
      </c>
      <c r="BK4821" s="2" t="s">
        <v>82</v>
      </c>
      <c r="BL4821" s="2"/>
      <c r="BM4821" s="2">
        <v>241</v>
      </c>
      <c r="BN4821" s="2" t="s">
        <v>82</v>
      </c>
      <c r="BO4821" s="2"/>
      <c r="BP4821" s="2">
        <v>241</v>
      </c>
      <c r="BQ4821" s="2" t="s">
        <v>82</v>
      </c>
      <c r="BR4821" s="2"/>
      <c r="BS4821" s="3">
        <v>40507</v>
      </c>
      <c r="BT4821" s="4">
        <v>0.60826388888888883</v>
      </c>
    </row>
    <row r="4822" spans="1:72" x14ac:dyDescent="0.25">
      <c r="A4822" s="2">
        <v>7484</v>
      </c>
      <c r="B4822" s="2">
        <v>2010</v>
      </c>
      <c r="C4822" s="2" t="s">
        <v>171</v>
      </c>
      <c r="D4822" s="2" t="s">
        <v>73</v>
      </c>
      <c r="E4822" s="2"/>
      <c r="F4822" s="2">
        <v>390</v>
      </c>
      <c r="G4822" s="2" t="s">
        <v>475</v>
      </c>
      <c r="H4822" s="2">
        <v>5</v>
      </c>
      <c r="I4822" s="2" t="s">
        <v>634</v>
      </c>
      <c r="J4822" s="2">
        <v>533</v>
      </c>
      <c r="K4822" s="2" t="s">
        <v>6511</v>
      </c>
      <c r="L4822" s="2" t="s">
        <v>478</v>
      </c>
      <c r="M4822" s="3">
        <v>40507</v>
      </c>
      <c r="N4822" s="2" t="s">
        <v>13969</v>
      </c>
      <c r="O4822" s="2"/>
      <c r="P4822" s="2"/>
      <c r="Q4822" s="2" t="str">
        <f>"631-E/10"</f>
        <v>631-E/10</v>
      </c>
      <c r="R4822" s="2" t="s">
        <v>2334</v>
      </c>
      <c r="S4822" s="2" t="s">
        <v>2334</v>
      </c>
      <c r="T4822" s="2">
        <v>1</v>
      </c>
      <c r="U4822" s="2" t="s">
        <v>79</v>
      </c>
      <c r="V4822" s="2">
        <v>1</v>
      </c>
      <c r="W4822" s="2" t="s">
        <v>80</v>
      </c>
      <c r="X4822" s="2">
        <v>1</v>
      </c>
      <c r="Y4822" s="2" t="s">
        <v>81</v>
      </c>
      <c r="Z4822" s="2">
        <v>1</v>
      </c>
      <c r="AA4822" s="2" t="s">
        <v>82</v>
      </c>
      <c r="AB4822" s="2">
        <v>1</v>
      </c>
      <c r="AC4822" s="2" t="s">
        <v>178</v>
      </c>
      <c r="AD4822" s="3">
        <v>40507</v>
      </c>
      <c r="AE4822" s="4">
        <v>0.14583333333333334</v>
      </c>
      <c r="AF4822" s="3">
        <v>40507</v>
      </c>
      <c r="AG4822" s="4">
        <v>0.1875</v>
      </c>
      <c r="AH4822" s="2">
        <v>2</v>
      </c>
      <c r="AI4822" s="2" t="s">
        <v>84</v>
      </c>
      <c r="AJ4822" s="2">
        <v>9</v>
      </c>
      <c r="AK4822" s="2" t="s">
        <v>103</v>
      </c>
      <c r="AL4822" s="2">
        <v>16</v>
      </c>
      <c r="AM4822" s="2" t="s">
        <v>392</v>
      </c>
      <c r="AN4822" s="2" t="s">
        <v>14875</v>
      </c>
      <c r="AO4822" s="2" t="s">
        <v>14876</v>
      </c>
      <c r="AP4822" s="2">
        <v>12</v>
      </c>
      <c r="AQ4822" s="2" t="s">
        <v>322</v>
      </c>
      <c r="AR4822" s="2" t="s">
        <v>14877</v>
      </c>
      <c r="AS4822" s="2" t="s">
        <v>14878</v>
      </c>
      <c r="AT4822" s="2" t="s">
        <v>14879</v>
      </c>
      <c r="AU4822" s="2"/>
      <c r="AV4822" s="2"/>
      <c r="AW4822" s="2"/>
      <c r="AX4822" s="2"/>
      <c r="AY4822" s="2">
        <v>41</v>
      </c>
      <c r="AZ4822" s="2" t="s">
        <v>82</v>
      </c>
      <c r="BA4822" s="2">
        <v>41</v>
      </c>
      <c r="BB4822" s="2" t="s">
        <v>82</v>
      </c>
      <c r="BC4822" s="2">
        <v>41</v>
      </c>
      <c r="BD4822" s="2" t="s">
        <v>82</v>
      </c>
      <c r="BE4822" s="2">
        <v>47</v>
      </c>
      <c r="BF4822" s="2" t="s">
        <v>167</v>
      </c>
      <c r="BG4822" s="2" t="s">
        <v>14373</v>
      </c>
      <c r="BH4822" s="2"/>
      <c r="BI4822" s="4">
        <v>0.2673611111111111</v>
      </c>
      <c r="BJ4822" s="2">
        <v>13</v>
      </c>
      <c r="BK4822" s="2" t="s">
        <v>91</v>
      </c>
      <c r="BL4822" s="2" t="s">
        <v>360</v>
      </c>
      <c r="BM4822" s="2">
        <v>13</v>
      </c>
      <c r="BN4822" s="2" t="s">
        <v>91</v>
      </c>
      <c r="BO4822" s="2"/>
      <c r="BP4822" s="2">
        <v>13</v>
      </c>
      <c r="BQ4822" s="2" t="s">
        <v>91</v>
      </c>
      <c r="BR4822" s="2" t="s">
        <v>492</v>
      </c>
      <c r="BS4822" s="3">
        <v>40507</v>
      </c>
      <c r="BT4822" s="4">
        <v>0.66137731481481488</v>
      </c>
    </row>
    <row r="4823" spans="1:72" x14ac:dyDescent="0.25">
      <c r="A4823" s="2">
        <v>7485</v>
      </c>
      <c r="B4823" s="2">
        <v>2010</v>
      </c>
      <c r="C4823" s="2" t="s">
        <v>72</v>
      </c>
      <c r="D4823" s="2" t="s">
        <v>73</v>
      </c>
      <c r="E4823" s="2"/>
      <c r="F4823" s="2">
        <v>716</v>
      </c>
      <c r="G4823" s="2" t="s">
        <v>14209</v>
      </c>
      <c r="H4823" s="2">
        <v>9</v>
      </c>
      <c r="I4823" s="2" t="s">
        <v>794</v>
      </c>
      <c r="J4823" s="2">
        <v>685</v>
      </c>
      <c r="K4823" s="2" t="s">
        <v>12533</v>
      </c>
      <c r="L4823" s="2" t="s">
        <v>13337</v>
      </c>
      <c r="M4823" s="3">
        <v>40507</v>
      </c>
      <c r="N4823" s="2" t="s">
        <v>14880</v>
      </c>
      <c r="O4823" s="2"/>
      <c r="P4823" s="2"/>
      <c r="Q4823" s="2" t="str">
        <f>"002-P/2010"</f>
        <v>002-P/2010</v>
      </c>
      <c r="R4823" s="2" t="s">
        <v>1547</v>
      </c>
      <c r="S4823" s="2" t="s">
        <v>1547</v>
      </c>
      <c r="T4823" s="2">
        <v>1</v>
      </c>
      <c r="U4823" s="2" t="s">
        <v>79</v>
      </c>
      <c r="V4823" s="2">
        <v>1</v>
      </c>
      <c r="W4823" s="2" t="s">
        <v>80</v>
      </c>
      <c r="X4823" s="2">
        <v>12</v>
      </c>
      <c r="Y4823" s="2" t="s">
        <v>148</v>
      </c>
      <c r="Z4823" s="2">
        <v>1</v>
      </c>
      <c r="AA4823" s="2" t="s">
        <v>82</v>
      </c>
      <c r="AB4823" s="2">
        <v>6</v>
      </c>
      <c r="AC4823" s="2" t="s">
        <v>83</v>
      </c>
      <c r="AD4823" s="2"/>
      <c r="AE4823" s="2"/>
      <c r="AF4823" s="3">
        <v>40507</v>
      </c>
      <c r="AG4823" s="4">
        <v>0.54166666666666663</v>
      </c>
      <c r="AH4823" s="2">
        <v>2</v>
      </c>
      <c r="AI4823" s="2" t="s">
        <v>84</v>
      </c>
      <c r="AJ4823" s="2">
        <v>112</v>
      </c>
      <c r="AK4823" s="2" t="s">
        <v>14078</v>
      </c>
      <c r="AL4823" s="2">
        <v>25</v>
      </c>
      <c r="AM4823" s="2" t="s">
        <v>3073</v>
      </c>
      <c r="AN4823" s="2" t="s">
        <v>1182</v>
      </c>
      <c r="AO4823" s="2" t="s">
        <v>14881</v>
      </c>
      <c r="AP4823" s="2">
        <v>11</v>
      </c>
      <c r="AQ4823" s="2" t="s">
        <v>82</v>
      </c>
      <c r="AR4823" s="2"/>
      <c r="AS4823" s="2"/>
      <c r="AT4823" s="2" t="s">
        <v>14882</v>
      </c>
      <c r="AU4823" s="2"/>
      <c r="AV4823" s="2"/>
      <c r="AW4823" s="2"/>
      <c r="AX4823" s="2"/>
      <c r="AY4823" s="2">
        <v>115</v>
      </c>
      <c r="AZ4823" s="2" t="s">
        <v>101</v>
      </c>
      <c r="BA4823" s="2">
        <v>115</v>
      </c>
      <c r="BB4823" s="2" t="s">
        <v>101</v>
      </c>
      <c r="BC4823" s="2">
        <v>41</v>
      </c>
      <c r="BD4823" s="2" t="s">
        <v>82</v>
      </c>
      <c r="BE4823" s="2">
        <v>41</v>
      </c>
      <c r="BF4823" s="2" t="s">
        <v>82</v>
      </c>
      <c r="BG4823" s="2"/>
      <c r="BH4823" s="2"/>
      <c r="BI4823" s="2"/>
      <c r="BJ4823" s="2">
        <v>241</v>
      </c>
      <c r="BK4823" s="2" t="s">
        <v>82</v>
      </c>
      <c r="BL4823" s="2"/>
      <c r="BM4823" s="2">
        <v>241</v>
      </c>
      <c r="BN4823" s="2" t="s">
        <v>82</v>
      </c>
      <c r="BO4823" s="2"/>
      <c r="BP4823" s="2">
        <v>241</v>
      </c>
      <c r="BQ4823" s="2" t="s">
        <v>82</v>
      </c>
      <c r="BR4823" s="2"/>
      <c r="BS4823" s="3">
        <v>40507</v>
      </c>
      <c r="BT4823" s="4">
        <v>0.66883101851851856</v>
      </c>
    </row>
    <row r="4824" spans="1:72" x14ac:dyDescent="0.25">
      <c r="A4824" s="2">
        <v>7486</v>
      </c>
      <c r="B4824" s="2">
        <v>2010</v>
      </c>
      <c r="C4824" s="2" t="s">
        <v>2754</v>
      </c>
      <c r="D4824" s="2" t="s">
        <v>73</v>
      </c>
      <c r="E4824" s="2"/>
      <c r="F4824" s="2">
        <v>100</v>
      </c>
      <c r="G4824" s="2" t="s">
        <v>517</v>
      </c>
      <c r="H4824" s="2">
        <v>22</v>
      </c>
      <c r="I4824" s="2" t="s">
        <v>75</v>
      </c>
      <c r="J4824" s="2">
        <v>119</v>
      </c>
      <c r="K4824" s="2" t="s">
        <v>325</v>
      </c>
      <c r="L4824" s="2" t="s">
        <v>326</v>
      </c>
      <c r="M4824" s="3">
        <v>40507</v>
      </c>
      <c r="N4824" s="2" t="s">
        <v>14883</v>
      </c>
      <c r="O4824" s="2"/>
      <c r="P4824" s="2"/>
      <c r="Q4824" s="2" t="str">
        <f>"AP 0853-10"</f>
        <v>AP 0853-10</v>
      </c>
      <c r="R4824" s="2" t="s">
        <v>14884</v>
      </c>
      <c r="S4824" s="2"/>
      <c r="T4824" s="2">
        <v>1</v>
      </c>
      <c r="U4824" s="2" t="s">
        <v>79</v>
      </c>
      <c r="V4824" s="2">
        <v>1</v>
      </c>
      <c r="W4824" s="2" t="s">
        <v>80</v>
      </c>
      <c r="X4824" s="2">
        <v>1</v>
      </c>
      <c r="Y4824" s="2" t="s">
        <v>81</v>
      </c>
      <c r="Z4824" s="2">
        <v>1</v>
      </c>
      <c r="AA4824" s="2" t="s">
        <v>82</v>
      </c>
      <c r="AB4824" s="2">
        <v>8</v>
      </c>
      <c r="AC4824" s="2" t="s">
        <v>2760</v>
      </c>
      <c r="AD4824" s="3">
        <v>40507</v>
      </c>
      <c r="AE4824" s="4">
        <v>0.47569444444444442</v>
      </c>
      <c r="AF4824" s="2"/>
      <c r="AG4824" s="2"/>
      <c r="AH4824" s="2">
        <v>6</v>
      </c>
      <c r="AI4824" s="2" t="s">
        <v>197</v>
      </c>
      <c r="AJ4824" s="2">
        <v>50</v>
      </c>
      <c r="AK4824" s="2" t="s">
        <v>330</v>
      </c>
      <c r="AL4824" s="2">
        <v>11</v>
      </c>
      <c r="AM4824" s="2" t="s">
        <v>137</v>
      </c>
      <c r="AN4824" s="2" t="s">
        <v>6881</v>
      </c>
      <c r="AO4824" s="2"/>
      <c r="AP4824" s="2">
        <v>11</v>
      </c>
      <c r="AQ4824" s="2" t="s">
        <v>82</v>
      </c>
      <c r="AR4824" s="2"/>
      <c r="AS4824" s="2"/>
      <c r="AT4824" s="2" t="s">
        <v>14885</v>
      </c>
      <c r="AU4824" s="2"/>
      <c r="AV4824" s="2"/>
      <c r="AW4824" s="2"/>
      <c r="AX4824" s="2"/>
      <c r="AY4824" s="2">
        <v>42</v>
      </c>
      <c r="AZ4824" s="2" t="s">
        <v>182</v>
      </c>
      <c r="BA4824" s="2">
        <v>41</v>
      </c>
      <c r="BB4824" s="2" t="s">
        <v>82</v>
      </c>
      <c r="BC4824" s="2">
        <v>41</v>
      </c>
      <c r="BD4824" s="2" t="s">
        <v>82</v>
      </c>
      <c r="BE4824" s="2">
        <v>13</v>
      </c>
      <c r="BF4824" s="2" t="s">
        <v>108</v>
      </c>
      <c r="BG4824" s="2" t="s">
        <v>14886</v>
      </c>
      <c r="BH4824" s="2"/>
      <c r="BI4824" s="4">
        <v>0.51388888888888895</v>
      </c>
      <c r="BJ4824" s="2">
        <v>13</v>
      </c>
      <c r="BK4824" s="2" t="s">
        <v>91</v>
      </c>
      <c r="BL4824" s="2" t="s">
        <v>1199</v>
      </c>
      <c r="BM4824" s="2">
        <v>13</v>
      </c>
      <c r="BN4824" s="2" t="s">
        <v>91</v>
      </c>
      <c r="BO4824" s="2"/>
      <c r="BP4824" s="2">
        <v>13</v>
      </c>
      <c r="BQ4824" s="2" t="s">
        <v>91</v>
      </c>
      <c r="BR4824" s="2" t="s">
        <v>185</v>
      </c>
      <c r="BS4824" s="3">
        <v>40507</v>
      </c>
      <c r="BT4824" s="4">
        <v>0.67776620370370377</v>
      </c>
    </row>
    <row r="4825" spans="1:72" x14ac:dyDescent="0.25">
      <c r="A4825" s="2">
        <v>7487</v>
      </c>
      <c r="B4825" s="2">
        <v>2010</v>
      </c>
      <c r="C4825" s="2" t="s">
        <v>549</v>
      </c>
      <c r="D4825" s="2" t="s">
        <v>73</v>
      </c>
      <c r="E4825" s="2"/>
      <c r="F4825" s="2">
        <v>390</v>
      </c>
      <c r="G4825" s="2" t="s">
        <v>475</v>
      </c>
      <c r="H4825" s="2">
        <v>5</v>
      </c>
      <c r="I4825" s="2" t="s">
        <v>634</v>
      </c>
      <c r="J4825" s="2">
        <v>533</v>
      </c>
      <c r="K4825" s="2" t="s">
        <v>6511</v>
      </c>
      <c r="L4825" s="2" t="s">
        <v>478</v>
      </c>
      <c r="M4825" s="3">
        <v>40507</v>
      </c>
      <c r="N4825" s="2" t="s">
        <v>13969</v>
      </c>
      <c r="O4825" s="2" t="s">
        <v>550</v>
      </c>
      <c r="P4825" s="2"/>
      <c r="Q4825" s="2" t="str">
        <f>"630-E/10"</f>
        <v>630-E/10</v>
      </c>
      <c r="R4825" s="2" t="s">
        <v>550</v>
      </c>
      <c r="S4825" s="2"/>
      <c r="T4825" s="2">
        <v>1</v>
      </c>
      <c r="U4825" s="2" t="s">
        <v>79</v>
      </c>
      <c r="V4825" s="2">
        <v>1</v>
      </c>
      <c r="W4825" s="2" t="s">
        <v>80</v>
      </c>
      <c r="X4825" s="2">
        <v>1</v>
      </c>
      <c r="Y4825" s="2" t="s">
        <v>81</v>
      </c>
      <c r="Z4825" s="2">
        <v>1</v>
      </c>
      <c r="AA4825" s="2" t="s">
        <v>82</v>
      </c>
      <c r="AB4825" s="2">
        <v>9</v>
      </c>
      <c r="AC4825" s="2" t="s">
        <v>124</v>
      </c>
      <c r="AD4825" s="3">
        <v>40506</v>
      </c>
      <c r="AE4825" s="4">
        <v>0.95138888888888884</v>
      </c>
      <c r="AF4825" s="3">
        <v>40507</v>
      </c>
      <c r="AG4825" s="4">
        <v>0.16666666666666666</v>
      </c>
      <c r="AH4825" s="2">
        <v>2</v>
      </c>
      <c r="AI4825" s="2" t="s">
        <v>84</v>
      </c>
      <c r="AJ4825" s="2">
        <v>9</v>
      </c>
      <c r="AK4825" s="2" t="s">
        <v>103</v>
      </c>
      <c r="AL4825" s="2">
        <v>10</v>
      </c>
      <c r="AM4825" s="2" t="s">
        <v>200</v>
      </c>
      <c r="AN4825" s="2" t="s">
        <v>14887</v>
      </c>
      <c r="AO4825" s="2"/>
      <c r="AP4825" s="2">
        <v>11</v>
      </c>
      <c r="AQ4825" s="2" t="s">
        <v>82</v>
      </c>
      <c r="AR4825" s="2"/>
      <c r="AS4825" s="2"/>
      <c r="AT4825" s="2" t="s">
        <v>14888</v>
      </c>
      <c r="AU4825" s="2"/>
      <c r="AV4825" s="2"/>
      <c r="AW4825" s="2"/>
      <c r="AX4825" s="2"/>
      <c r="AY4825" s="2">
        <v>41</v>
      </c>
      <c r="AZ4825" s="2" t="s">
        <v>82</v>
      </c>
      <c r="BA4825" s="2">
        <v>41</v>
      </c>
      <c r="BB4825" s="2" t="s">
        <v>82</v>
      </c>
      <c r="BC4825" s="2">
        <v>41</v>
      </c>
      <c r="BD4825" s="2" t="s">
        <v>82</v>
      </c>
      <c r="BE4825" s="2">
        <v>41</v>
      </c>
      <c r="BF4825" s="2" t="s">
        <v>82</v>
      </c>
      <c r="BG4825" s="2"/>
      <c r="BH4825" s="2"/>
      <c r="BI4825" s="2"/>
      <c r="BJ4825" s="2">
        <v>241</v>
      </c>
      <c r="BK4825" s="2" t="s">
        <v>82</v>
      </c>
      <c r="BL4825" s="2"/>
      <c r="BM4825" s="2">
        <v>241</v>
      </c>
      <c r="BN4825" s="2" t="s">
        <v>82</v>
      </c>
      <c r="BO4825" s="2"/>
      <c r="BP4825" s="2">
        <v>241</v>
      </c>
      <c r="BQ4825" s="2" t="s">
        <v>82</v>
      </c>
      <c r="BR4825" s="2"/>
      <c r="BS4825" s="3">
        <v>40507</v>
      </c>
      <c r="BT4825" s="4">
        <v>0.69201388888888893</v>
      </c>
    </row>
    <row r="4826" spans="1:72" x14ac:dyDescent="0.25">
      <c r="A4826" s="2">
        <v>7488</v>
      </c>
      <c r="B4826" s="2">
        <v>2010</v>
      </c>
      <c r="C4826" s="2" t="s">
        <v>819</v>
      </c>
      <c r="D4826" s="2" t="s">
        <v>73</v>
      </c>
      <c r="E4826" s="2"/>
      <c r="F4826" s="2">
        <v>399</v>
      </c>
      <c r="G4826" s="2" t="s">
        <v>587</v>
      </c>
      <c r="H4826" s="2">
        <v>15</v>
      </c>
      <c r="I4826" s="2" t="s">
        <v>130</v>
      </c>
      <c r="J4826" s="2">
        <v>241</v>
      </c>
      <c r="K4826" s="2" t="s">
        <v>174</v>
      </c>
      <c r="L4826" s="2" t="s">
        <v>175</v>
      </c>
      <c r="M4826" s="3">
        <v>40507</v>
      </c>
      <c r="N4826" s="2" t="s">
        <v>14889</v>
      </c>
      <c r="O4826" s="2" t="s">
        <v>6660</v>
      </c>
      <c r="P4826" s="2"/>
      <c r="Q4826" s="2" t="str">
        <f>"629-E/10"</f>
        <v>629-E/10</v>
      </c>
      <c r="R4826" s="2" t="s">
        <v>6660</v>
      </c>
      <c r="S4826" s="2"/>
      <c r="T4826" s="2">
        <v>1</v>
      </c>
      <c r="U4826" s="2" t="s">
        <v>79</v>
      </c>
      <c r="V4826" s="2">
        <v>1</v>
      </c>
      <c r="W4826" s="2" t="s">
        <v>80</v>
      </c>
      <c r="X4826" s="2">
        <v>1</v>
      </c>
      <c r="Y4826" s="2" t="s">
        <v>81</v>
      </c>
      <c r="Z4826" s="2">
        <v>1</v>
      </c>
      <c r="AA4826" s="2" t="s">
        <v>82</v>
      </c>
      <c r="AB4826" s="2">
        <v>9</v>
      </c>
      <c r="AC4826" s="2" t="s">
        <v>124</v>
      </c>
      <c r="AD4826" s="3">
        <v>40506</v>
      </c>
      <c r="AE4826" s="4">
        <v>0.875</v>
      </c>
      <c r="AF4826" s="3">
        <v>40507</v>
      </c>
      <c r="AG4826" s="4">
        <v>3.4722222222222224E-2</v>
      </c>
      <c r="AH4826" s="2">
        <v>2</v>
      </c>
      <c r="AI4826" s="2" t="s">
        <v>84</v>
      </c>
      <c r="AJ4826" s="2">
        <v>9</v>
      </c>
      <c r="AK4826" s="2" t="s">
        <v>103</v>
      </c>
      <c r="AL4826" s="2">
        <v>11</v>
      </c>
      <c r="AM4826" s="2" t="s">
        <v>137</v>
      </c>
      <c r="AN4826" s="2" t="s">
        <v>14890</v>
      </c>
      <c r="AO4826" s="2" t="s">
        <v>987</v>
      </c>
      <c r="AP4826" s="2">
        <v>11</v>
      </c>
      <c r="AQ4826" s="2" t="s">
        <v>82</v>
      </c>
      <c r="AR4826" s="2"/>
      <c r="AS4826" s="2"/>
      <c r="AT4826" s="2" t="s">
        <v>14891</v>
      </c>
      <c r="AU4826" s="2"/>
      <c r="AV4826" s="2"/>
      <c r="AW4826" s="2"/>
      <c r="AX4826" s="2"/>
      <c r="AY4826" s="2">
        <v>41</v>
      </c>
      <c r="AZ4826" s="2" t="s">
        <v>82</v>
      </c>
      <c r="BA4826" s="2">
        <v>41</v>
      </c>
      <c r="BB4826" s="2" t="s">
        <v>82</v>
      </c>
      <c r="BC4826" s="2">
        <v>41</v>
      </c>
      <c r="BD4826" s="2" t="s">
        <v>82</v>
      </c>
      <c r="BE4826" s="2">
        <v>26</v>
      </c>
      <c r="BF4826" s="2" t="s">
        <v>1999</v>
      </c>
      <c r="BG4826" s="2" t="s">
        <v>14892</v>
      </c>
      <c r="BH4826" s="2"/>
      <c r="BI4826" s="2"/>
      <c r="BJ4826" s="2">
        <v>13</v>
      </c>
      <c r="BK4826" s="2" t="s">
        <v>91</v>
      </c>
      <c r="BL4826" s="2" t="s">
        <v>360</v>
      </c>
      <c r="BM4826" s="2">
        <v>75</v>
      </c>
      <c r="BN4826" s="2" t="s">
        <v>1264</v>
      </c>
      <c r="BO4826" s="2"/>
      <c r="BP4826" s="2">
        <v>75</v>
      </c>
      <c r="BQ4826" s="2" t="s">
        <v>1264</v>
      </c>
      <c r="BR4826" s="2" t="s">
        <v>1361</v>
      </c>
      <c r="BS4826" s="3">
        <v>40507</v>
      </c>
      <c r="BT4826" s="4">
        <v>0.72922453703703705</v>
      </c>
    </row>
    <row r="4827" spans="1:72" x14ac:dyDescent="0.25">
      <c r="A4827" s="2">
        <v>7489</v>
      </c>
      <c r="B4827" s="2">
        <v>2010</v>
      </c>
      <c r="C4827" s="2" t="s">
        <v>72</v>
      </c>
      <c r="D4827" s="2" t="s">
        <v>122</v>
      </c>
      <c r="E4827" s="2" t="s">
        <v>14893</v>
      </c>
      <c r="F4827" s="2">
        <v>725</v>
      </c>
      <c r="G4827" s="2" t="s">
        <v>14858</v>
      </c>
      <c r="H4827" s="2">
        <v>150</v>
      </c>
      <c r="I4827" s="2" t="s">
        <v>14859</v>
      </c>
      <c r="J4827" s="2">
        <v>717</v>
      </c>
      <c r="K4827" s="2" t="s">
        <v>9068</v>
      </c>
      <c r="L4827" s="2" t="s">
        <v>4822</v>
      </c>
      <c r="M4827" s="3">
        <v>40507</v>
      </c>
      <c r="N4827" s="2" t="s">
        <v>14860</v>
      </c>
      <c r="O4827" s="2"/>
      <c r="P4827" s="2"/>
      <c r="Q4827" s="2" t="str">
        <f>"PS 436-A/10"</f>
        <v>PS 436-A/10</v>
      </c>
      <c r="R4827" s="2" t="s">
        <v>14894</v>
      </c>
      <c r="S4827" s="2" t="s">
        <v>14895</v>
      </c>
      <c r="T4827" s="2">
        <v>1</v>
      </c>
      <c r="U4827" s="2" t="s">
        <v>79</v>
      </c>
      <c r="V4827" s="2">
        <v>1</v>
      </c>
      <c r="W4827" s="2" t="s">
        <v>80</v>
      </c>
      <c r="X4827" s="2">
        <v>12</v>
      </c>
      <c r="Y4827" s="2" t="s">
        <v>148</v>
      </c>
      <c r="Z4827" s="2">
        <v>1</v>
      </c>
      <c r="AA4827" s="2" t="s">
        <v>82</v>
      </c>
      <c r="AB4827" s="2">
        <v>6</v>
      </c>
      <c r="AC4827" s="2" t="s">
        <v>83</v>
      </c>
      <c r="AD4827" s="3">
        <v>40505</v>
      </c>
      <c r="AE4827" s="4">
        <v>0.54166666666666663</v>
      </c>
      <c r="AF4827" s="3">
        <v>40506</v>
      </c>
      <c r="AG4827" s="4">
        <v>0.70833333333333337</v>
      </c>
      <c r="AH4827" s="2">
        <v>2</v>
      </c>
      <c r="AI4827" s="2" t="s">
        <v>84</v>
      </c>
      <c r="AJ4827" s="2">
        <v>12</v>
      </c>
      <c r="AK4827" s="2" t="s">
        <v>85</v>
      </c>
      <c r="AL4827" s="2">
        <v>12</v>
      </c>
      <c r="AM4827" s="2" t="s">
        <v>86</v>
      </c>
      <c r="AN4827" s="2" t="s">
        <v>14862</v>
      </c>
      <c r="AO4827" s="2" t="s">
        <v>14863</v>
      </c>
      <c r="AP4827" s="2">
        <v>11</v>
      </c>
      <c r="AQ4827" s="2" t="s">
        <v>82</v>
      </c>
      <c r="AR4827" s="2"/>
      <c r="AS4827" s="2"/>
      <c r="AT4827" s="2" t="s">
        <v>14896</v>
      </c>
      <c r="AU4827" s="2">
        <v>1</v>
      </c>
      <c r="AV4827" s="2"/>
      <c r="AW4827" s="2"/>
      <c r="AX4827" s="2"/>
      <c r="AY4827" s="2">
        <v>41</v>
      </c>
      <c r="AZ4827" s="2" t="s">
        <v>82</v>
      </c>
      <c r="BA4827" s="2">
        <v>41</v>
      </c>
      <c r="BB4827" s="2" t="s">
        <v>82</v>
      </c>
      <c r="BC4827" s="2">
        <v>41</v>
      </c>
      <c r="BD4827" s="2" t="s">
        <v>82</v>
      </c>
      <c r="BE4827" s="2">
        <v>41</v>
      </c>
      <c r="BF4827" s="2" t="s">
        <v>82</v>
      </c>
      <c r="BG4827" s="2"/>
      <c r="BH4827" s="2"/>
      <c r="BI4827" s="2"/>
      <c r="BJ4827" s="2">
        <v>241</v>
      </c>
      <c r="BK4827" s="2" t="s">
        <v>82</v>
      </c>
      <c r="BL4827" s="2"/>
      <c r="BM4827" s="2">
        <v>241</v>
      </c>
      <c r="BN4827" s="2" t="s">
        <v>82</v>
      </c>
      <c r="BO4827" s="2"/>
      <c r="BP4827" s="2">
        <v>241</v>
      </c>
      <c r="BQ4827" s="2" t="s">
        <v>82</v>
      </c>
      <c r="BR4827" s="2"/>
      <c r="BS4827" s="3">
        <v>40507</v>
      </c>
      <c r="BT4827" s="4">
        <v>0.74069444444444443</v>
      </c>
    </row>
    <row r="4828" spans="1:72" x14ac:dyDescent="0.25">
      <c r="A4828" s="2">
        <v>7491</v>
      </c>
      <c r="B4828" s="2">
        <v>2010</v>
      </c>
      <c r="C4828" s="2" t="s">
        <v>196</v>
      </c>
      <c r="D4828" s="2" t="s">
        <v>122</v>
      </c>
      <c r="E4828" s="2"/>
      <c r="F4828" s="2">
        <v>1</v>
      </c>
      <c r="G4828" s="2" t="s">
        <v>82</v>
      </c>
      <c r="H4828" s="2">
        <v>1</v>
      </c>
      <c r="I4828" s="2" t="s">
        <v>82</v>
      </c>
      <c r="J4828" s="2">
        <v>1</v>
      </c>
      <c r="K4828" s="2" t="s">
        <v>107</v>
      </c>
      <c r="L4828" s="2" t="s">
        <v>107</v>
      </c>
      <c r="M4828" s="3">
        <v>40507</v>
      </c>
      <c r="N4828" s="2"/>
      <c r="O4828" s="2"/>
      <c r="P4828" s="2"/>
      <c r="Q4828" s="2" t="str">
        <f>""</f>
        <v/>
      </c>
      <c r="R4828" s="2"/>
      <c r="S4828" s="2"/>
      <c r="T4828" s="2">
        <v>2</v>
      </c>
      <c r="U4828" s="2" t="s">
        <v>123</v>
      </c>
      <c r="V4828" s="2">
        <v>1</v>
      </c>
      <c r="W4828" s="2" t="s">
        <v>80</v>
      </c>
      <c r="X4828" s="2">
        <v>11</v>
      </c>
      <c r="Y4828" s="2" t="s">
        <v>1920</v>
      </c>
      <c r="Z4828" s="2">
        <v>1</v>
      </c>
      <c r="AA4828" s="2" t="s">
        <v>82</v>
      </c>
      <c r="AB4828" s="2">
        <v>9</v>
      </c>
      <c r="AC4828" s="2" t="s">
        <v>124</v>
      </c>
      <c r="AD4828" s="3">
        <v>40507</v>
      </c>
      <c r="AE4828" s="4">
        <v>0.71180555555555547</v>
      </c>
      <c r="AF4828" s="2"/>
      <c r="AG4828" s="2"/>
      <c r="AH4828" s="2">
        <v>2</v>
      </c>
      <c r="AI4828" s="2" t="s">
        <v>84</v>
      </c>
      <c r="AJ4828" s="2">
        <v>112</v>
      </c>
      <c r="AK4828" s="2" t="s">
        <v>14078</v>
      </c>
      <c r="AL4828" s="2">
        <v>2</v>
      </c>
      <c r="AM4828" s="2" t="s">
        <v>163</v>
      </c>
      <c r="AN4828" s="2"/>
      <c r="AO4828" s="2" t="s">
        <v>14079</v>
      </c>
      <c r="AP4828" s="2">
        <v>11</v>
      </c>
      <c r="AQ4828" s="2" t="s">
        <v>82</v>
      </c>
      <c r="AR4828" s="2"/>
      <c r="AS4828" s="2"/>
      <c r="AT4828" s="2" t="s">
        <v>14897</v>
      </c>
      <c r="AU4828" s="2"/>
      <c r="AV4828" s="2"/>
      <c r="AW4828" s="2"/>
      <c r="AX4828" s="2"/>
      <c r="AY4828" s="2">
        <v>41</v>
      </c>
      <c r="AZ4828" s="2" t="s">
        <v>82</v>
      </c>
      <c r="BA4828" s="2">
        <v>41</v>
      </c>
      <c r="BB4828" s="2" t="s">
        <v>82</v>
      </c>
      <c r="BC4828" s="2">
        <v>41</v>
      </c>
      <c r="BD4828" s="2" t="s">
        <v>82</v>
      </c>
      <c r="BE4828" s="2">
        <v>41</v>
      </c>
      <c r="BF4828" s="2" t="s">
        <v>82</v>
      </c>
      <c r="BG4828" s="2"/>
      <c r="BH4828" s="2"/>
      <c r="BI4828" s="4">
        <v>0.71180555555555547</v>
      </c>
      <c r="BJ4828" s="2">
        <v>13</v>
      </c>
      <c r="BK4828" s="2" t="s">
        <v>91</v>
      </c>
      <c r="BL4828" s="2" t="s">
        <v>10614</v>
      </c>
      <c r="BM4828" s="2">
        <v>241</v>
      </c>
      <c r="BN4828" s="2" t="s">
        <v>82</v>
      </c>
      <c r="BO4828" s="2"/>
      <c r="BP4828" s="2">
        <v>99</v>
      </c>
      <c r="BQ4828" s="2" t="s">
        <v>14827</v>
      </c>
      <c r="BR4828" s="2"/>
      <c r="BS4828" s="3">
        <v>40507</v>
      </c>
      <c r="BT4828" s="4">
        <v>0.74663194444444436</v>
      </c>
    </row>
    <row r="4829" spans="1:72" x14ac:dyDescent="0.25">
      <c r="A4829" s="2">
        <v>7496</v>
      </c>
      <c r="B4829" s="2">
        <v>2010</v>
      </c>
      <c r="C4829" s="2" t="s">
        <v>171</v>
      </c>
      <c r="D4829" s="2" t="s">
        <v>73</v>
      </c>
      <c r="E4829" s="2"/>
      <c r="F4829" s="2">
        <v>10</v>
      </c>
      <c r="G4829" s="2" t="s">
        <v>2143</v>
      </c>
      <c r="H4829" s="2">
        <v>24</v>
      </c>
      <c r="I4829" s="2" t="s">
        <v>287</v>
      </c>
      <c r="J4829" s="2">
        <v>538</v>
      </c>
      <c r="K4829" s="2" t="s">
        <v>7264</v>
      </c>
      <c r="L4829" s="2" t="s">
        <v>7265</v>
      </c>
      <c r="M4829" s="3">
        <v>40507</v>
      </c>
      <c r="N4829" s="2" t="s">
        <v>2214</v>
      </c>
      <c r="O4829" s="2" t="s">
        <v>14898</v>
      </c>
      <c r="P4829" s="2"/>
      <c r="Q4829" s="2" t="str">
        <f>"69/2010"</f>
        <v>69/2010</v>
      </c>
      <c r="R4829" s="2" t="s">
        <v>14898</v>
      </c>
      <c r="S4829" s="2"/>
      <c r="T4829" s="2">
        <v>1</v>
      </c>
      <c r="U4829" s="2" t="s">
        <v>79</v>
      </c>
      <c r="V4829" s="2">
        <v>1</v>
      </c>
      <c r="W4829" s="2" t="s">
        <v>80</v>
      </c>
      <c r="X4829" s="2">
        <v>4</v>
      </c>
      <c r="Y4829" s="2" t="s">
        <v>463</v>
      </c>
      <c r="Z4829" s="2">
        <v>2</v>
      </c>
      <c r="AA4829" s="2" t="s">
        <v>2148</v>
      </c>
      <c r="AB4829" s="2">
        <v>1</v>
      </c>
      <c r="AC4829" s="2" t="s">
        <v>178</v>
      </c>
      <c r="AD4829" s="3">
        <v>40507</v>
      </c>
      <c r="AE4829" s="4">
        <v>0.64583333333333337</v>
      </c>
      <c r="AF4829" s="3">
        <v>40507</v>
      </c>
      <c r="AG4829" s="2"/>
      <c r="AH4829" s="2">
        <v>3</v>
      </c>
      <c r="AI4829" s="2" t="s">
        <v>214</v>
      </c>
      <c r="AJ4829" s="2">
        <v>24</v>
      </c>
      <c r="AK4829" s="2" t="s">
        <v>215</v>
      </c>
      <c r="AL4829" s="2">
        <v>12</v>
      </c>
      <c r="AM4829" s="2" t="s">
        <v>86</v>
      </c>
      <c r="AN4829" s="2" t="s">
        <v>14899</v>
      </c>
      <c r="AO4829" s="2" t="s">
        <v>14900</v>
      </c>
      <c r="AP4829" s="2">
        <v>11</v>
      </c>
      <c r="AQ4829" s="2" t="s">
        <v>82</v>
      </c>
      <c r="AR4829" s="2" t="s">
        <v>82</v>
      </c>
      <c r="AS4829" s="2" t="s">
        <v>82</v>
      </c>
      <c r="AT4829" s="2" t="s">
        <v>14901</v>
      </c>
      <c r="AU4829" s="2">
        <v>2</v>
      </c>
      <c r="AV4829" s="2"/>
      <c r="AW4829" s="2"/>
      <c r="AX4829" s="2"/>
      <c r="AY4829" s="2">
        <v>41</v>
      </c>
      <c r="AZ4829" s="2" t="s">
        <v>82</v>
      </c>
      <c r="BA4829" s="2">
        <v>99</v>
      </c>
      <c r="BB4829" s="2" t="s">
        <v>2148</v>
      </c>
      <c r="BC4829" s="2">
        <v>41</v>
      </c>
      <c r="BD4829" s="2" t="s">
        <v>82</v>
      </c>
      <c r="BE4829" s="2">
        <v>17</v>
      </c>
      <c r="BF4829" s="2" t="s">
        <v>508</v>
      </c>
      <c r="BG4829" s="2" t="s">
        <v>12201</v>
      </c>
      <c r="BH4829" s="4">
        <v>0.73958333333333337</v>
      </c>
      <c r="BI4829" s="4">
        <v>0.68055555555555547</v>
      </c>
      <c r="BJ4829" s="2">
        <v>13</v>
      </c>
      <c r="BK4829" s="2" t="s">
        <v>91</v>
      </c>
      <c r="BL4829" s="2" t="s">
        <v>169</v>
      </c>
      <c r="BM4829" s="2">
        <v>46</v>
      </c>
      <c r="BN4829" s="2" t="s">
        <v>307</v>
      </c>
      <c r="BO4829" s="2"/>
      <c r="BP4829" s="2">
        <v>46</v>
      </c>
      <c r="BQ4829" s="2" t="s">
        <v>307</v>
      </c>
      <c r="BR4829" s="2" t="s">
        <v>308</v>
      </c>
      <c r="BS4829" s="3">
        <v>40507</v>
      </c>
      <c r="BT4829" s="4">
        <v>0.82090277777777787</v>
      </c>
    </row>
    <row r="4830" spans="1:72" x14ac:dyDescent="0.25">
      <c r="A4830" s="2">
        <v>7497</v>
      </c>
      <c r="B4830" s="2">
        <v>2010</v>
      </c>
      <c r="C4830" s="2" t="s">
        <v>806</v>
      </c>
      <c r="D4830" s="2" t="s">
        <v>73</v>
      </c>
      <c r="E4830" s="2"/>
      <c r="F4830" s="2">
        <v>338</v>
      </c>
      <c r="G4830" s="2" t="s">
        <v>4459</v>
      </c>
      <c r="H4830" s="2">
        <v>89</v>
      </c>
      <c r="I4830" s="2" t="s">
        <v>5137</v>
      </c>
      <c r="J4830" s="2">
        <v>309</v>
      </c>
      <c r="K4830" s="2" t="s">
        <v>268</v>
      </c>
      <c r="L4830" s="2" t="s">
        <v>269</v>
      </c>
      <c r="M4830" s="3">
        <v>40507</v>
      </c>
      <c r="N4830" s="2" t="s">
        <v>14902</v>
      </c>
      <c r="O4830" s="2" t="s">
        <v>14903</v>
      </c>
      <c r="P4830" s="2" t="s">
        <v>14904</v>
      </c>
      <c r="Q4830" s="2" t="str">
        <f>"S/D"</f>
        <v>S/D</v>
      </c>
      <c r="R4830" s="2" t="s">
        <v>107</v>
      </c>
      <c r="S4830" s="2" t="s">
        <v>107</v>
      </c>
      <c r="T4830" s="2">
        <v>1</v>
      </c>
      <c r="U4830" s="2" t="s">
        <v>79</v>
      </c>
      <c r="V4830" s="2">
        <v>3</v>
      </c>
      <c r="W4830" s="2" t="s">
        <v>225</v>
      </c>
      <c r="X4830" s="2">
        <v>6</v>
      </c>
      <c r="Y4830" s="2" t="s">
        <v>249</v>
      </c>
      <c r="Z4830" s="2">
        <v>1</v>
      </c>
      <c r="AA4830" s="2" t="s">
        <v>82</v>
      </c>
      <c r="AB4830" s="2">
        <v>9</v>
      </c>
      <c r="AC4830" s="2" t="s">
        <v>124</v>
      </c>
      <c r="AD4830" s="3">
        <v>40507</v>
      </c>
      <c r="AE4830" s="4">
        <v>0.45833333333333331</v>
      </c>
      <c r="AF4830" s="3">
        <v>40507</v>
      </c>
      <c r="AG4830" s="4">
        <v>0.45833333333333331</v>
      </c>
      <c r="AH4830" s="2">
        <v>7</v>
      </c>
      <c r="AI4830" s="2" t="s">
        <v>801</v>
      </c>
      <c r="AJ4830" s="2">
        <v>3</v>
      </c>
      <c r="AK4830" s="2" t="s">
        <v>802</v>
      </c>
      <c r="AL4830" s="2">
        <v>19</v>
      </c>
      <c r="AM4830" s="2" t="s">
        <v>107</v>
      </c>
      <c r="AN4830" s="2" t="s">
        <v>107</v>
      </c>
      <c r="AO4830" s="2" t="s">
        <v>14905</v>
      </c>
      <c r="AP4830" s="2">
        <v>11</v>
      </c>
      <c r="AQ4830" s="2" t="s">
        <v>82</v>
      </c>
      <c r="AR4830" s="2" t="s">
        <v>107</v>
      </c>
      <c r="AS4830" s="2" t="s">
        <v>107</v>
      </c>
      <c r="AT4830" s="2" t="s">
        <v>14906</v>
      </c>
      <c r="AU4830" s="2"/>
      <c r="AV4830" s="2"/>
      <c r="AW4830" s="2"/>
      <c r="AX4830" s="2"/>
      <c r="AY4830" s="2">
        <v>41</v>
      </c>
      <c r="AZ4830" s="2" t="s">
        <v>82</v>
      </c>
      <c r="BA4830" s="2">
        <v>41</v>
      </c>
      <c r="BB4830" s="2" t="s">
        <v>82</v>
      </c>
      <c r="BC4830" s="2">
        <v>41</v>
      </c>
      <c r="BD4830" s="2" t="s">
        <v>82</v>
      </c>
      <c r="BE4830" s="2">
        <v>41</v>
      </c>
      <c r="BF4830" s="2" t="s">
        <v>82</v>
      </c>
      <c r="BG4830" s="2" t="s">
        <v>107</v>
      </c>
      <c r="BH4830" s="2"/>
      <c r="BI4830" s="2"/>
      <c r="BJ4830" s="2">
        <v>241</v>
      </c>
      <c r="BK4830" s="2" t="s">
        <v>82</v>
      </c>
      <c r="BL4830" s="2" t="s">
        <v>107</v>
      </c>
      <c r="BM4830" s="2">
        <v>241</v>
      </c>
      <c r="BN4830" s="2" t="s">
        <v>82</v>
      </c>
      <c r="BO4830" s="2"/>
      <c r="BP4830" s="2">
        <v>241</v>
      </c>
      <c r="BQ4830" s="2" t="s">
        <v>82</v>
      </c>
      <c r="BR4830" s="2" t="s">
        <v>107</v>
      </c>
      <c r="BS4830" s="3">
        <v>40507</v>
      </c>
      <c r="BT4830" s="4">
        <v>0.82567129629629632</v>
      </c>
    </row>
    <row r="4831" spans="1:72" x14ac:dyDescent="0.25">
      <c r="A4831" s="2">
        <v>7498</v>
      </c>
      <c r="B4831" s="2">
        <v>2010</v>
      </c>
      <c r="C4831" s="2" t="s">
        <v>171</v>
      </c>
      <c r="D4831" s="2" t="s">
        <v>73</v>
      </c>
      <c r="E4831" s="2"/>
      <c r="F4831" s="2">
        <v>2</v>
      </c>
      <c r="G4831" s="2" t="s">
        <v>113</v>
      </c>
      <c r="H4831" s="2">
        <v>149</v>
      </c>
      <c r="I4831" s="2" t="s">
        <v>14672</v>
      </c>
      <c r="J4831" s="2">
        <v>300</v>
      </c>
      <c r="K4831" s="2" t="s">
        <v>114</v>
      </c>
      <c r="L4831" s="2" t="s">
        <v>115</v>
      </c>
      <c r="M4831" s="3">
        <v>40507</v>
      </c>
      <c r="N4831" s="2"/>
      <c r="O4831" s="2"/>
      <c r="P4831" s="2"/>
      <c r="Q4831" s="2" t="str">
        <f>"632-E/10"</f>
        <v>632-E/10</v>
      </c>
      <c r="R4831" s="2" t="s">
        <v>14907</v>
      </c>
      <c r="S4831" s="2" t="s">
        <v>14907</v>
      </c>
      <c r="T4831" s="2">
        <v>1</v>
      </c>
      <c r="U4831" s="2" t="s">
        <v>79</v>
      </c>
      <c r="V4831" s="2">
        <v>1</v>
      </c>
      <c r="W4831" s="2" t="s">
        <v>80</v>
      </c>
      <c r="X4831" s="2">
        <v>1</v>
      </c>
      <c r="Y4831" s="2" t="s">
        <v>81</v>
      </c>
      <c r="Z4831" s="2">
        <v>1</v>
      </c>
      <c r="AA4831" s="2" t="s">
        <v>82</v>
      </c>
      <c r="AB4831" s="2">
        <v>1</v>
      </c>
      <c r="AC4831" s="2" t="s">
        <v>178</v>
      </c>
      <c r="AD4831" s="3">
        <v>40507</v>
      </c>
      <c r="AE4831" s="4">
        <v>0.22916666666666666</v>
      </c>
      <c r="AF4831" s="3">
        <v>40507</v>
      </c>
      <c r="AG4831" s="4">
        <v>0.375</v>
      </c>
      <c r="AH4831" s="2">
        <v>2</v>
      </c>
      <c r="AI4831" s="2" t="s">
        <v>84</v>
      </c>
      <c r="AJ4831" s="2">
        <v>9</v>
      </c>
      <c r="AK4831" s="2" t="s">
        <v>103</v>
      </c>
      <c r="AL4831" s="2">
        <v>11</v>
      </c>
      <c r="AM4831" s="2" t="s">
        <v>137</v>
      </c>
      <c r="AN4831" s="2" t="s">
        <v>13001</v>
      </c>
      <c r="AO4831" s="2" t="s">
        <v>14117</v>
      </c>
      <c r="AP4831" s="2">
        <v>11</v>
      </c>
      <c r="AQ4831" s="2" t="s">
        <v>82</v>
      </c>
      <c r="AR4831" s="2"/>
      <c r="AS4831" s="2"/>
      <c r="AT4831" s="2" t="s">
        <v>14908</v>
      </c>
      <c r="AU4831" s="2"/>
      <c r="AV4831" s="2"/>
      <c r="AW4831" s="2"/>
      <c r="AX4831" s="2"/>
      <c r="AY4831" s="2">
        <v>1</v>
      </c>
      <c r="AZ4831" s="2" t="s">
        <v>107</v>
      </c>
      <c r="BA4831" s="2">
        <v>1</v>
      </c>
      <c r="BB4831" s="2" t="s">
        <v>107</v>
      </c>
      <c r="BC4831" s="2">
        <v>1</v>
      </c>
      <c r="BD4831" s="2" t="s">
        <v>107</v>
      </c>
      <c r="BE4831" s="2">
        <v>1</v>
      </c>
      <c r="BF4831" s="2" t="s">
        <v>107</v>
      </c>
      <c r="BG4831" s="2"/>
      <c r="BH4831" s="2"/>
      <c r="BI4831" s="2"/>
      <c r="BJ4831" s="2">
        <v>242</v>
      </c>
      <c r="BK4831" s="2" t="s">
        <v>107</v>
      </c>
      <c r="BL4831" s="2"/>
      <c r="BM4831" s="2">
        <v>242</v>
      </c>
      <c r="BN4831" s="2" t="s">
        <v>107</v>
      </c>
      <c r="BO4831" s="2"/>
      <c r="BP4831" s="2">
        <v>242</v>
      </c>
      <c r="BQ4831" s="2" t="s">
        <v>107</v>
      </c>
      <c r="BR4831" s="2"/>
      <c r="BS4831" s="3">
        <v>40507</v>
      </c>
      <c r="BT4831" s="4">
        <v>0.87211805555555555</v>
      </c>
    </row>
    <row r="4832" spans="1:72" x14ac:dyDescent="0.25">
      <c r="A4832" s="2">
        <v>7499</v>
      </c>
      <c r="B4832" s="2">
        <v>2010</v>
      </c>
      <c r="C4832" s="2" t="s">
        <v>72</v>
      </c>
      <c r="D4832" s="2" t="s">
        <v>122</v>
      </c>
      <c r="E4832" s="2" t="s">
        <v>14893</v>
      </c>
      <c r="F4832" s="2">
        <v>725</v>
      </c>
      <c r="G4832" s="2" t="s">
        <v>14858</v>
      </c>
      <c r="H4832" s="2">
        <v>150</v>
      </c>
      <c r="I4832" s="2" t="s">
        <v>14859</v>
      </c>
      <c r="J4832" s="2">
        <v>717</v>
      </c>
      <c r="K4832" s="2" t="s">
        <v>9068</v>
      </c>
      <c r="L4832" s="2" t="s">
        <v>4822</v>
      </c>
      <c r="M4832" s="3">
        <v>40507</v>
      </c>
      <c r="N4832" s="2" t="s">
        <v>14860</v>
      </c>
      <c r="O4832" s="2"/>
      <c r="P4832" s="2"/>
      <c r="Q4832" s="2" t="str">
        <f>"PS 436-A/10"</f>
        <v>PS 436-A/10</v>
      </c>
      <c r="R4832" s="2" t="s">
        <v>14861</v>
      </c>
      <c r="S4832" s="2"/>
      <c r="T4832" s="2">
        <v>1</v>
      </c>
      <c r="U4832" s="2" t="s">
        <v>79</v>
      </c>
      <c r="V4832" s="2">
        <v>1</v>
      </c>
      <c r="W4832" s="2" t="s">
        <v>80</v>
      </c>
      <c r="X4832" s="2">
        <v>12</v>
      </c>
      <c r="Y4832" s="2" t="s">
        <v>148</v>
      </c>
      <c r="Z4832" s="2">
        <v>1</v>
      </c>
      <c r="AA4832" s="2" t="s">
        <v>82</v>
      </c>
      <c r="AB4832" s="2">
        <v>6</v>
      </c>
      <c r="AC4832" s="2" t="s">
        <v>83</v>
      </c>
      <c r="AD4832" s="3">
        <v>40505</v>
      </c>
      <c r="AE4832" s="4">
        <v>0.54166666666666663</v>
      </c>
      <c r="AF4832" s="3">
        <v>40506</v>
      </c>
      <c r="AG4832" s="4">
        <v>0.70833333333333337</v>
      </c>
      <c r="AH4832" s="2">
        <v>2</v>
      </c>
      <c r="AI4832" s="2" t="s">
        <v>84</v>
      </c>
      <c r="AJ4832" s="2">
        <v>12</v>
      </c>
      <c r="AK4832" s="2" t="s">
        <v>85</v>
      </c>
      <c r="AL4832" s="2">
        <v>12</v>
      </c>
      <c r="AM4832" s="2" t="s">
        <v>86</v>
      </c>
      <c r="AN4832" s="2" t="s">
        <v>14862</v>
      </c>
      <c r="AO4832" s="2" t="s">
        <v>14863</v>
      </c>
      <c r="AP4832" s="2">
        <v>11</v>
      </c>
      <c r="AQ4832" s="2" t="s">
        <v>82</v>
      </c>
      <c r="AR4832" s="2"/>
      <c r="AS4832" s="2"/>
      <c r="AT4832" s="2" t="s">
        <v>14909</v>
      </c>
      <c r="AU4832" s="2"/>
      <c r="AV4832" s="2"/>
      <c r="AW4832" s="2"/>
      <c r="AX4832" s="2"/>
      <c r="AY4832" s="2">
        <v>41</v>
      </c>
      <c r="AZ4832" s="2" t="s">
        <v>82</v>
      </c>
      <c r="BA4832" s="2">
        <v>41</v>
      </c>
      <c r="BB4832" s="2" t="s">
        <v>82</v>
      </c>
      <c r="BC4832" s="2">
        <v>41</v>
      </c>
      <c r="BD4832" s="2" t="s">
        <v>82</v>
      </c>
      <c r="BE4832" s="2">
        <v>41</v>
      </c>
      <c r="BF4832" s="2" t="s">
        <v>82</v>
      </c>
      <c r="BG4832" s="2"/>
      <c r="BH4832" s="2"/>
      <c r="BI4832" s="2"/>
      <c r="BJ4832" s="2">
        <v>241</v>
      </c>
      <c r="BK4832" s="2" t="s">
        <v>82</v>
      </c>
      <c r="BL4832" s="2"/>
      <c r="BM4832" s="2">
        <v>241</v>
      </c>
      <c r="BN4832" s="2" t="s">
        <v>82</v>
      </c>
      <c r="BO4832" s="2"/>
      <c r="BP4832" s="2">
        <v>241</v>
      </c>
      <c r="BQ4832" s="2" t="s">
        <v>82</v>
      </c>
      <c r="BR4832" s="2"/>
      <c r="BS4832" s="3">
        <v>40507</v>
      </c>
      <c r="BT4832" s="4">
        <v>0.88496527777777778</v>
      </c>
    </row>
    <row r="4833" spans="1:72" x14ac:dyDescent="0.25">
      <c r="A4833" s="2">
        <v>7501</v>
      </c>
      <c r="B4833" s="2">
        <v>2010</v>
      </c>
      <c r="C4833" s="2" t="s">
        <v>171</v>
      </c>
      <c r="D4833" s="2" t="s">
        <v>73</v>
      </c>
      <c r="E4833" s="2"/>
      <c r="F4833" s="2">
        <v>337</v>
      </c>
      <c r="G4833" s="2" t="s">
        <v>1190</v>
      </c>
      <c r="H4833" s="2">
        <v>66</v>
      </c>
      <c r="I4833" s="2" t="s">
        <v>3190</v>
      </c>
      <c r="J4833" s="2">
        <v>309</v>
      </c>
      <c r="K4833" s="2" t="s">
        <v>268</v>
      </c>
      <c r="L4833" s="2" t="s">
        <v>269</v>
      </c>
      <c r="M4833" s="3">
        <v>40507</v>
      </c>
      <c r="N4833" s="2" t="s">
        <v>6981</v>
      </c>
      <c r="O4833" s="2" t="s">
        <v>14910</v>
      </c>
      <c r="P4833" s="2" t="s">
        <v>14911</v>
      </c>
      <c r="Q4833" s="2" t="str">
        <f>"0027/2010"</f>
        <v>0027/2010</v>
      </c>
      <c r="R4833" s="2"/>
      <c r="S4833" s="2"/>
      <c r="T4833" s="2">
        <v>1</v>
      </c>
      <c r="U4833" s="2" t="s">
        <v>79</v>
      </c>
      <c r="V4833" s="2">
        <v>1</v>
      </c>
      <c r="W4833" s="2" t="s">
        <v>80</v>
      </c>
      <c r="X4833" s="2">
        <v>8</v>
      </c>
      <c r="Y4833" s="2" t="s">
        <v>375</v>
      </c>
      <c r="Z4833" s="2">
        <v>1</v>
      </c>
      <c r="AA4833" s="2" t="s">
        <v>82</v>
      </c>
      <c r="AB4833" s="2">
        <v>1</v>
      </c>
      <c r="AC4833" s="2" t="s">
        <v>178</v>
      </c>
      <c r="AD4833" s="3">
        <v>40507</v>
      </c>
      <c r="AE4833" s="4">
        <v>0.44444444444444442</v>
      </c>
      <c r="AF4833" s="3">
        <v>40507</v>
      </c>
      <c r="AG4833" s="4">
        <v>0.44444444444444442</v>
      </c>
      <c r="AH4833" s="2">
        <v>5</v>
      </c>
      <c r="AI4833" s="2" t="s">
        <v>274</v>
      </c>
      <c r="AJ4833" s="2">
        <v>35</v>
      </c>
      <c r="AK4833" s="2" t="s">
        <v>275</v>
      </c>
      <c r="AL4833" s="2">
        <v>23</v>
      </c>
      <c r="AM4833" s="2" t="s">
        <v>251</v>
      </c>
      <c r="AN4833" s="2" t="s">
        <v>14912</v>
      </c>
      <c r="AO4833" s="2" t="s">
        <v>284</v>
      </c>
      <c r="AP4833" s="2">
        <v>11</v>
      </c>
      <c r="AQ4833" s="2" t="s">
        <v>82</v>
      </c>
      <c r="AR4833" s="2"/>
      <c r="AS4833" s="2"/>
      <c r="AT4833" s="2" t="s">
        <v>14913</v>
      </c>
      <c r="AU4833" s="2"/>
      <c r="AV4833" s="2"/>
      <c r="AW4833" s="2"/>
      <c r="AX4833" s="2"/>
      <c r="AY4833" s="2">
        <v>41</v>
      </c>
      <c r="AZ4833" s="2" t="s">
        <v>82</v>
      </c>
      <c r="BA4833" s="2">
        <v>41</v>
      </c>
      <c r="BB4833" s="2" t="s">
        <v>82</v>
      </c>
      <c r="BC4833" s="2">
        <v>41</v>
      </c>
      <c r="BD4833" s="2" t="s">
        <v>82</v>
      </c>
      <c r="BE4833" s="2">
        <v>41</v>
      </c>
      <c r="BF4833" s="2" t="s">
        <v>82</v>
      </c>
      <c r="BG4833" s="2"/>
      <c r="BH4833" s="2"/>
      <c r="BI4833" s="2"/>
      <c r="BJ4833" s="2">
        <v>241</v>
      </c>
      <c r="BK4833" s="2" t="s">
        <v>82</v>
      </c>
      <c r="BL4833" s="2"/>
      <c r="BM4833" s="2">
        <v>241</v>
      </c>
      <c r="BN4833" s="2" t="s">
        <v>82</v>
      </c>
      <c r="BO4833" s="2"/>
      <c r="BP4833" s="2">
        <v>241</v>
      </c>
      <c r="BQ4833" s="2" t="s">
        <v>82</v>
      </c>
      <c r="BR4833" s="2"/>
      <c r="BS4833" s="3">
        <v>40507</v>
      </c>
      <c r="BT4833" s="4">
        <v>0.91270833333333334</v>
      </c>
    </row>
    <row r="4834" spans="1:72" x14ac:dyDescent="0.25">
      <c r="A4834" s="2">
        <v>7502</v>
      </c>
      <c r="B4834" s="2">
        <v>2010</v>
      </c>
      <c r="C4834" s="2" t="s">
        <v>171</v>
      </c>
      <c r="D4834" s="2" t="s">
        <v>73</v>
      </c>
      <c r="E4834" s="2" t="s">
        <v>14914</v>
      </c>
      <c r="F4834" s="2">
        <v>337</v>
      </c>
      <c r="G4834" s="2" t="s">
        <v>1190</v>
      </c>
      <c r="H4834" s="2">
        <v>66</v>
      </c>
      <c r="I4834" s="2" t="s">
        <v>3190</v>
      </c>
      <c r="J4834" s="2">
        <v>309</v>
      </c>
      <c r="K4834" s="2" t="s">
        <v>268</v>
      </c>
      <c r="L4834" s="2" t="s">
        <v>269</v>
      </c>
      <c r="M4834" s="3">
        <v>40507</v>
      </c>
      <c r="N4834" s="2" t="s">
        <v>6981</v>
      </c>
      <c r="O4834" s="2" t="s">
        <v>14910</v>
      </c>
      <c r="P4834" s="2" t="s">
        <v>14911</v>
      </c>
      <c r="Q4834" s="2" t="str">
        <f>"0027/2010"</f>
        <v>0027/2010</v>
      </c>
      <c r="R4834" s="2"/>
      <c r="S4834" s="2"/>
      <c r="T4834" s="2">
        <v>1</v>
      </c>
      <c r="U4834" s="2" t="s">
        <v>79</v>
      </c>
      <c r="V4834" s="2">
        <v>1</v>
      </c>
      <c r="W4834" s="2" t="s">
        <v>80</v>
      </c>
      <c r="X4834" s="2">
        <v>9</v>
      </c>
      <c r="Y4834" s="2" t="s">
        <v>3393</v>
      </c>
      <c r="Z4834" s="2">
        <v>1</v>
      </c>
      <c r="AA4834" s="2" t="s">
        <v>82</v>
      </c>
      <c r="AB4834" s="2">
        <v>1</v>
      </c>
      <c r="AC4834" s="2" t="s">
        <v>178</v>
      </c>
      <c r="AD4834" s="3">
        <v>40507</v>
      </c>
      <c r="AE4834" s="4">
        <v>0.4548611111111111</v>
      </c>
      <c r="AF4834" s="3">
        <v>40507</v>
      </c>
      <c r="AG4834" s="4">
        <v>0.4548611111111111</v>
      </c>
      <c r="AH4834" s="2">
        <v>5</v>
      </c>
      <c r="AI4834" s="2" t="s">
        <v>274</v>
      </c>
      <c r="AJ4834" s="2">
        <v>34</v>
      </c>
      <c r="AK4834" s="2" t="s">
        <v>274</v>
      </c>
      <c r="AL4834" s="2">
        <v>23</v>
      </c>
      <c r="AM4834" s="2" t="s">
        <v>251</v>
      </c>
      <c r="AN4834" s="2" t="s">
        <v>14915</v>
      </c>
      <c r="AO4834" s="2" t="s">
        <v>14916</v>
      </c>
      <c r="AP4834" s="2">
        <v>11</v>
      </c>
      <c r="AQ4834" s="2" t="s">
        <v>82</v>
      </c>
      <c r="AR4834" s="2"/>
      <c r="AS4834" s="2"/>
      <c r="AT4834" s="2" t="s">
        <v>14917</v>
      </c>
      <c r="AU4834" s="2"/>
      <c r="AV4834" s="2">
        <v>1</v>
      </c>
      <c r="AW4834" s="2"/>
      <c r="AX4834" s="2"/>
      <c r="AY4834" s="2">
        <v>41</v>
      </c>
      <c r="AZ4834" s="2" t="s">
        <v>82</v>
      </c>
      <c r="BA4834" s="2">
        <v>41</v>
      </c>
      <c r="BB4834" s="2" t="s">
        <v>82</v>
      </c>
      <c r="BC4834" s="2">
        <v>41</v>
      </c>
      <c r="BD4834" s="2" t="s">
        <v>82</v>
      </c>
      <c r="BE4834" s="2">
        <v>41</v>
      </c>
      <c r="BF4834" s="2" t="s">
        <v>82</v>
      </c>
      <c r="BG4834" s="2"/>
      <c r="BH4834" s="2"/>
      <c r="BI4834" s="2"/>
      <c r="BJ4834" s="2">
        <v>241</v>
      </c>
      <c r="BK4834" s="2" t="s">
        <v>82</v>
      </c>
      <c r="BL4834" s="2"/>
      <c r="BM4834" s="2">
        <v>241</v>
      </c>
      <c r="BN4834" s="2" t="s">
        <v>82</v>
      </c>
      <c r="BO4834" s="2"/>
      <c r="BP4834" s="2">
        <v>241</v>
      </c>
      <c r="BQ4834" s="2" t="s">
        <v>82</v>
      </c>
      <c r="BR4834" s="2"/>
      <c r="BS4834" s="3">
        <v>40507</v>
      </c>
      <c r="BT4834" s="4">
        <v>0.96721064814814817</v>
      </c>
    </row>
    <row r="4835" spans="1:72" x14ac:dyDescent="0.25">
      <c r="A4835" s="2">
        <v>7503</v>
      </c>
      <c r="B4835" s="2">
        <v>2010</v>
      </c>
      <c r="C4835" s="2" t="s">
        <v>1094</v>
      </c>
      <c r="D4835" s="2" t="s">
        <v>73</v>
      </c>
      <c r="E4835" s="2"/>
      <c r="F4835" s="2">
        <v>100</v>
      </c>
      <c r="G4835" s="2" t="s">
        <v>517</v>
      </c>
      <c r="H4835" s="2">
        <v>47</v>
      </c>
      <c r="I4835" s="2" t="s">
        <v>1409</v>
      </c>
      <c r="J4835" s="2">
        <v>119</v>
      </c>
      <c r="K4835" s="2" t="s">
        <v>325</v>
      </c>
      <c r="L4835" s="2" t="s">
        <v>326</v>
      </c>
      <c r="M4835" s="3">
        <v>40508</v>
      </c>
      <c r="N4835" s="2" t="s">
        <v>4106</v>
      </c>
      <c r="O4835" s="2" t="s">
        <v>107</v>
      </c>
      <c r="P4835" s="2" t="s">
        <v>107</v>
      </c>
      <c r="Q4835" s="2" t="str">
        <f>"0048/2010"</f>
        <v>0048/2010</v>
      </c>
      <c r="R4835" s="2" t="s">
        <v>14918</v>
      </c>
      <c r="S4835" s="2" t="s">
        <v>14918</v>
      </c>
      <c r="T4835" s="2">
        <v>1</v>
      </c>
      <c r="U4835" s="2" t="s">
        <v>79</v>
      </c>
      <c r="V4835" s="2">
        <v>1</v>
      </c>
      <c r="W4835" s="2" t="s">
        <v>80</v>
      </c>
      <c r="X4835" s="2">
        <v>12</v>
      </c>
      <c r="Y4835" s="2" t="s">
        <v>148</v>
      </c>
      <c r="Z4835" s="2">
        <v>1</v>
      </c>
      <c r="AA4835" s="2" t="s">
        <v>82</v>
      </c>
      <c r="AB4835" s="2">
        <v>9</v>
      </c>
      <c r="AC4835" s="2" t="s">
        <v>124</v>
      </c>
      <c r="AD4835" s="3">
        <v>40507</v>
      </c>
      <c r="AE4835" s="4">
        <v>0.75</v>
      </c>
      <c r="AF4835" s="3">
        <v>40507</v>
      </c>
      <c r="AG4835" s="4">
        <v>0.78125</v>
      </c>
      <c r="AH4835" s="2">
        <v>6</v>
      </c>
      <c r="AI4835" s="2" t="s">
        <v>197</v>
      </c>
      <c r="AJ4835" s="2">
        <v>50</v>
      </c>
      <c r="AK4835" s="2" t="s">
        <v>330</v>
      </c>
      <c r="AL4835" s="2">
        <v>29</v>
      </c>
      <c r="AM4835" s="2" t="s">
        <v>5416</v>
      </c>
      <c r="AN4835" s="2" t="s">
        <v>14919</v>
      </c>
      <c r="AO4835" s="2" t="s">
        <v>14920</v>
      </c>
      <c r="AP4835" s="2">
        <v>11</v>
      </c>
      <c r="AQ4835" s="2" t="s">
        <v>82</v>
      </c>
      <c r="AR4835" s="2"/>
      <c r="AS4835" s="2"/>
      <c r="AT4835" s="2" t="s">
        <v>14921</v>
      </c>
      <c r="AU4835" s="2"/>
      <c r="AV4835" s="2"/>
      <c r="AW4835" s="2"/>
      <c r="AX4835" s="2"/>
      <c r="AY4835" s="2">
        <v>41</v>
      </c>
      <c r="AZ4835" s="2" t="s">
        <v>82</v>
      </c>
      <c r="BA4835" s="2">
        <v>41</v>
      </c>
      <c r="BB4835" s="2" t="s">
        <v>82</v>
      </c>
      <c r="BC4835" s="2">
        <v>41</v>
      </c>
      <c r="BD4835" s="2" t="s">
        <v>82</v>
      </c>
      <c r="BE4835" s="2">
        <v>47</v>
      </c>
      <c r="BF4835" s="2" t="s">
        <v>167</v>
      </c>
      <c r="BG4835" s="2">
        <v>2688</v>
      </c>
      <c r="BH4835" s="4">
        <v>0.77777777777777779</v>
      </c>
      <c r="BI4835" s="2"/>
      <c r="BJ4835" s="2">
        <v>13</v>
      </c>
      <c r="BK4835" s="2" t="s">
        <v>91</v>
      </c>
      <c r="BL4835" s="2" t="s">
        <v>360</v>
      </c>
      <c r="BM4835" s="2">
        <v>13</v>
      </c>
      <c r="BN4835" s="2" t="s">
        <v>91</v>
      </c>
      <c r="BO4835" s="2"/>
      <c r="BP4835" s="2">
        <v>13</v>
      </c>
      <c r="BQ4835" s="2" t="s">
        <v>91</v>
      </c>
      <c r="BR4835" s="2" t="s">
        <v>1199</v>
      </c>
      <c r="BS4835" s="3">
        <v>40508</v>
      </c>
      <c r="BT4835" s="4">
        <v>1.4814814814814814E-3</v>
      </c>
    </row>
    <row r="4836" spans="1:72" x14ac:dyDescent="0.25">
      <c r="A4836" s="2">
        <v>7504</v>
      </c>
      <c r="B4836" s="2">
        <v>2010</v>
      </c>
      <c r="C4836" s="2" t="s">
        <v>819</v>
      </c>
      <c r="D4836" s="2" t="s">
        <v>122</v>
      </c>
      <c r="E4836" s="2"/>
      <c r="F4836" s="2">
        <v>451</v>
      </c>
      <c r="G4836" s="2" t="s">
        <v>879</v>
      </c>
      <c r="H4836" s="2">
        <v>31</v>
      </c>
      <c r="I4836" s="2" t="s">
        <v>880</v>
      </c>
      <c r="J4836" s="2">
        <v>326</v>
      </c>
      <c r="K4836" s="2" t="s">
        <v>881</v>
      </c>
      <c r="L4836" s="2" t="s">
        <v>882</v>
      </c>
      <c r="M4836" s="3">
        <v>40508</v>
      </c>
      <c r="N4836" s="2" t="s">
        <v>821</v>
      </c>
      <c r="O4836" s="2"/>
      <c r="P4836" s="2"/>
      <c r="Q4836" s="2" t="str">
        <f>"112/10"</f>
        <v>112/10</v>
      </c>
      <c r="R4836" s="2"/>
      <c r="S4836" s="2" t="s">
        <v>822</v>
      </c>
      <c r="T4836" s="2">
        <v>1</v>
      </c>
      <c r="U4836" s="2" t="s">
        <v>79</v>
      </c>
      <c r="V4836" s="2">
        <v>1</v>
      </c>
      <c r="W4836" s="2" t="s">
        <v>80</v>
      </c>
      <c r="X4836" s="2">
        <v>1</v>
      </c>
      <c r="Y4836" s="2" t="s">
        <v>81</v>
      </c>
      <c r="Z4836" s="2">
        <v>10</v>
      </c>
      <c r="AA4836" s="2" t="s">
        <v>236</v>
      </c>
      <c r="AB4836" s="2">
        <v>9</v>
      </c>
      <c r="AC4836" s="2" t="s">
        <v>124</v>
      </c>
      <c r="AD4836" s="3">
        <v>40507</v>
      </c>
      <c r="AE4836" s="4">
        <v>0.9375</v>
      </c>
      <c r="AF4836" s="3">
        <v>40507</v>
      </c>
      <c r="AG4836" s="4">
        <v>0.94444444444444453</v>
      </c>
      <c r="AH4836" s="2">
        <v>4</v>
      </c>
      <c r="AI4836" s="2" t="s">
        <v>125</v>
      </c>
      <c r="AJ4836" s="2">
        <v>29</v>
      </c>
      <c r="AK4836" s="2" t="s">
        <v>227</v>
      </c>
      <c r="AL4836" s="2">
        <v>10</v>
      </c>
      <c r="AM4836" s="2" t="s">
        <v>200</v>
      </c>
      <c r="AN4836" s="2" t="s">
        <v>1015</v>
      </c>
      <c r="AO4836" s="2" t="s">
        <v>14922</v>
      </c>
      <c r="AP4836" s="2">
        <v>12</v>
      </c>
      <c r="AQ4836" s="2" t="s">
        <v>322</v>
      </c>
      <c r="AR4836" s="2" t="s">
        <v>824</v>
      </c>
      <c r="AS4836" s="2" t="s">
        <v>825</v>
      </c>
      <c r="AT4836" s="2" t="s">
        <v>14923</v>
      </c>
      <c r="AU4836" s="2"/>
      <c r="AV4836" s="2"/>
      <c r="AW4836" s="2"/>
      <c r="AX4836" s="2"/>
      <c r="AY4836" s="2">
        <v>41</v>
      </c>
      <c r="AZ4836" s="2" t="s">
        <v>82</v>
      </c>
      <c r="BA4836" s="2">
        <v>41</v>
      </c>
      <c r="BB4836" s="2" t="s">
        <v>82</v>
      </c>
      <c r="BC4836" s="2">
        <v>51</v>
      </c>
      <c r="BD4836" s="2" t="s">
        <v>827</v>
      </c>
      <c r="BE4836" s="2">
        <v>13</v>
      </c>
      <c r="BF4836" s="2" t="s">
        <v>108</v>
      </c>
      <c r="BG4836" s="2">
        <v>1459</v>
      </c>
      <c r="BH4836" s="4">
        <v>0.90555555555555556</v>
      </c>
      <c r="BI4836" s="4">
        <v>0.95138888888888884</v>
      </c>
      <c r="BJ4836" s="2">
        <v>13</v>
      </c>
      <c r="BK4836" s="2" t="s">
        <v>91</v>
      </c>
      <c r="BL4836" s="2" t="s">
        <v>828</v>
      </c>
      <c r="BM4836" s="2">
        <v>13</v>
      </c>
      <c r="BN4836" s="2" t="s">
        <v>91</v>
      </c>
      <c r="BO4836" s="2"/>
      <c r="BP4836" s="2">
        <v>13</v>
      </c>
      <c r="BQ4836" s="2" t="s">
        <v>91</v>
      </c>
      <c r="BR4836" s="2" t="s">
        <v>185</v>
      </c>
      <c r="BS4836" s="3">
        <v>40508</v>
      </c>
      <c r="BT4836" s="4">
        <v>2.7754629629629629E-2</v>
      </c>
    </row>
    <row r="4837" spans="1:72" x14ac:dyDescent="0.25">
      <c r="A4837" s="2">
        <v>7505</v>
      </c>
      <c r="B4837" s="2">
        <v>2010</v>
      </c>
      <c r="C4837" s="2" t="s">
        <v>171</v>
      </c>
      <c r="D4837" s="2" t="s">
        <v>122</v>
      </c>
      <c r="E4837" s="2" t="s">
        <v>14924</v>
      </c>
      <c r="F4837" s="2">
        <v>10</v>
      </c>
      <c r="G4837" s="2" t="s">
        <v>2143</v>
      </c>
      <c r="H4837" s="2">
        <v>24</v>
      </c>
      <c r="I4837" s="2" t="s">
        <v>287</v>
      </c>
      <c r="J4837" s="2">
        <v>538</v>
      </c>
      <c r="K4837" s="2" t="s">
        <v>7264</v>
      </c>
      <c r="L4837" s="2" t="s">
        <v>7265</v>
      </c>
      <c r="M4837" s="3">
        <v>40508</v>
      </c>
      <c r="N4837" s="2" t="s">
        <v>2214</v>
      </c>
      <c r="O4837" s="2" t="s">
        <v>14898</v>
      </c>
      <c r="P4837" s="2"/>
      <c r="Q4837" s="2" t="str">
        <f>"69/2010"</f>
        <v>69/2010</v>
      </c>
      <c r="R4837" s="2"/>
      <c r="S4837" s="2" t="s">
        <v>14898</v>
      </c>
      <c r="T4837" s="2">
        <v>1</v>
      </c>
      <c r="U4837" s="2" t="s">
        <v>79</v>
      </c>
      <c r="V4837" s="2">
        <v>1</v>
      </c>
      <c r="W4837" s="2" t="s">
        <v>80</v>
      </c>
      <c r="X4837" s="2">
        <v>11</v>
      </c>
      <c r="Y4837" s="2" t="s">
        <v>1920</v>
      </c>
      <c r="Z4837" s="2">
        <v>10</v>
      </c>
      <c r="AA4837" s="2" t="s">
        <v>236</v>
      </c>
      <c r="AB4837" s="2">
        <v>1</v>
      </c>
      <c r="AC4837" s="2" t="s">
        <v>178</v>
      </c>
      <c r="AD4837" s="3">
        <v>40508</v>
      </c>
      <c r="AE4837" s="4">
        <v>4.8611111111111112E-2</v>
      </c>
      <c r="AF4837" s="2"/>
      <c r="AG4837" s="2"/>
      <c r="AH4837" s="2">
        <v>3</v>
      </c>
      <c r="AI4837" s="2" t="s">
        <v>214</v>
      </c>
      <c r="AJ4837" s="2">
        <v>24</v>
      </c>
      <c r="AK4837" s="2" t="s">
        <v>215</v>
      </c>
      <c r="AL4837" s="2">
        <v>19</v>
      </c>
      <c r="AM4837" s="2" t="s">
        <v>107</v>
      </c>
      <c r="AN4837" s="2"/>
      <c r="AO4837" s="2"/>
      <c r="AP4837" s="2">
        <v>11</v>
      </c>
      <c r="AQ4837" s="2" t="s">
        <v>82</v>
      </c>
      <c r="AR4837" s="2" t="s">
        <v>82</v>
      </c>
      <c r="AS4837" s="2" t="s">
        <v>82</v>
      </c>
      <c r="AT4837" s="2" t="s">
        <v>14925</v>
      </c>
      <c r="AU4837" s="2"/>
      <c r="AV4837" s="2"/>
      <c r="AW4837" s="2"/>
      <c r="AX4837" s="2"/>
      <c r="AY4837" s="2">
        <v>41</v>
      </c>
      <c r="AZ4837" s="2" t="s">
        <v>82</v>
      </c>
      <c r="BA4837" s="2">
        <v>41</v>
      </c>
      <c r="BB4837" s="2" t="s">
        <v>82</v>
      </c>
      <c r="BC4837" s="2">
        <v>41</v>
      </c>
      <c r="BD4837" s="2" t="s">
        <v>82</v>
      </c>
      <c r="BE4837" s="2">
        <v>41</v>
      </c>
      <c r="BF4837" s="2" t="s">
        <v>82</v>
      </c>
      <c r="BG4837" s="2"/>
      <c r="BH4837" s="4">
        <v>0</v>
      </c>
      <c r="BI4837" s="4">
        <v>0</v>
      </c>
      <c r="BJ4837" s="2">
        <v>241</v>
      </c>
      <c r="BK4837" s="2" t="s">
        <v>82</v>
      </c>
      <c r="BL4837" s="2" t="s">
        <v>82</v>
      </c>
      <c r="BM4837" s="2">
        <v>241</v>
      </c>
      <c r="BN4837" s="2" t="s">
        <v>82</v>
      </c>
      <c r="BO4837" s="2"/>
      <c r="BP4837" s="2">
        <v>241</v>
      </c>
      <c r="BQ4837" s="2" t="s">
        <v>82</v>
      </c>
      <c r="BR4837" s="2" t="s">
        <v>82</v>
      </c>
      <c r="BS4837" s="3">
        <v>40508</v>
      </c>
      <c r="BT4837" s="4">
        <v>5.7233796296296297E-2</v>
      </c>
    </row>
    <row r="4838" spans="1:72" x14ac:dyDescent="0.25">
      <c r="A4838" s="2">
        <v>7505</v>
      </c>
      <c r="B4838" s="2">
        <v>2010</v>
      </c>
      <c r="C4838" s="2" t="s">
        <v>385</v>
      </c>
      <c r="D4838" s="2" t="s">
        <v>122</v>
      </c>
      <c r="E4838" s="2" t="s">
        <v>14924</v>
      </c>
      <c r="F4838" s="2">
        <v>10</v>
      </c>
      <c r="G4838" s="2" t="s">
        <v>2143</v>
      </c>
      <c r="H4838" s="2">
        <v>24</v>
      </c>
      <c r="I4838" s="2" t="s">
        <v>287</v>
      </c>
      <c r="J4838" s="2">
        <v>538</v>
      </c>
      <c r="K4838" s="2" t="s">
        <v>7264</v>
      </c>
      <c r="L4838" s="2" t="s">
        <v>7265</v>
      </c>
      <c r="M4838" s="3">
        <v>40508</v>
      </c>
      <c r="N4838" s="2" t="s">
        <v>2214</v>
      </c>
      <c r="O4838" s="2" t="s">
        <v>14898</v>
      </c>
      <c r="P4838" s="2"/>
      <c r="Q4838" s="2" t="str">
        <f>"69/2010"</f>
        <v>69/2010</v>
      </c>
      <c r="R4838" s="2"/>
      <c r="S4838" s="2" t="s">
        <v>14898</v>
      </c>
      <c r="T4838" s="2">
        <v>1</v>
      </c>
      <c r="U4838" s="2" t="s">
        <v>79</v>
      </c>
      <c r="V4838" s="2">
        <v>1</v>
      </c>
      <c r="W4838" s="2" t="s">
        <v>80</v>
      </c>
      <c r="X4838" s="2">
        <v>11</v>
      </c>
      <c r="Y4838" s="2" t="s">
        <v>1920</v>
      </c>
      <c r="Z4838" s="2">
        <v>10</v>
      </c>
      <c r="AA4838" s="2" t="s">
        <v>236</v>
      </c>
      <c r="AB4838" s="2">
        <v>9</v>
      </c>
      <c r="AC4838" s="2" t="s">
        <v>124</v>
      </c>
      <c r="AD4838" s="3">
        <v>40508</v>
      </c>
      <c r="AE4838" s="4">
        <v>4.8611111111111112E-2</v>
      </c>
      <c r="AF4838" s="2"/>
      <c r="AG4838" s="2"/>
      <c r="AH4838" s="2">
        <v>3</v>
      </c>
      <c r="AI4838" s="2" t="s">
        <v>214</v>
      </c>
      <c r="AJ4838" s="2">
        <v>24</v>
      </c>
      <c r="AK4838" s="2" t="s">
        <v>215</v>
      </c>
      <c r="AL4838" s="2">
        <v>19</v>
      </c>
      <c r="AM4838" s="2" t="s">
        <v>107</v>
      </c>
      <c r="AN4838" s="2"/>
      <c r="AO4838" s="2"/>
      <c r="AP4838" s="2">
        <v>11</v>
      </c>
      <c r="AQ4838" s="2" t="s">
        <v>82</v>
      </c>
      <c r="AR4838" s="2" t="s">
        <v>82</v>
      </c>
      <c r="AS4838" s="2" t="s">
        <v>82</v>
      </c>
      <c r="AT4838" s="2" t="s">
        <v>14925</v>
      </c>
      <c r="AU4838" s="2"/>
      <c r="AV4838" s="2"/>
      <c r="AW4838" s="2"/>
      <c r="AX4838" s="2"/>
      <c r="AY4838" s="2">
        <v>41</v>
      </c>
      <c r="AZ4838" s="2" t="s">
        <v>82</v>
      </c>
      <c r="BA4838" s="2">
        <v>41</v>
      </c>
      <c r="BB4838" s="2" t="s">
        <v>82</v>
      </c>
      <c r="BC4838" s="2">
        <v>41</v>
      </c>
      <c r="BD4838" s="2" t="s">
        <v>82</v>
      </c>
      <c r="BE4838" s="2">
        <v>41</v>
      </c>
      <c r="BF4838" s="2" t="s">
        <v>82</v>
      </c>
      <c r="BG4838" s="2"/>
      <c r="BH4838" s="4">
        <v>0</v>
      </c>
      <c r="BI4838" s="4">
        <v>0</v>
      </c>
      <c r="BJ4838" s="2">
        <v>241</v>
      </c>
      <c r="BK4838" s="2" t="s">
        <v>82</v>
      </c>
      <c r="BL4838" s="2" t="s">
        <v>82</v>
      </c>
      <c r="BM4838" s="2">
        <v>241</v>
      </c>
      <c r="BN4838" s="2" t="s">
        <v>82</v>
      </c>
      <c r="BO4838" s="2"/>
      <c r="BP4838" s="2">
        <v>241</v>
      </c>
      <c r="BQ4838" s="2" t="s">
        <v>82</v>
      </c>
      <c r="BR4838" s="2" t="s">
        <v>82</v>
      </c>
      <c r="BS4838" s="3">
        <v>40508</v>
      </c>
      <c r="BT4838" s="4">
        <v>5.7233796296296297E-2</v>
      </c>
    </row>
    <row r="4839" spans="1:72" x14ac:dyDescent="0.25">
      <c r="A4839" s="2">
        <v>7506</v>
      </c>
      <c r="B4839" s="2">
        <v>2010</v>
      </c>
      <c r="C4839" s="2" t="s">
        <v>171</v>
      </c>
      <c r="D4839" s="2" t="s">
        <v>73</v>
      </c>
      <c r="E4839" s="2" t="s">
        <v>14914</v>
      </c>
      <c r="F4839" s="2">
        <v>337</v>
      </c>
      <c r="G4839" s="2" t="s">
        <v>1190</v>
      </c>
      <c r="H4839" s="2">
        <v>66</v>
      </c>
      <c r="I4839" s="2" t="s">
        <v>3190</v>
      </c>
      <c r="J4839" s="2">
        <v>309</v>
      </c>
      <c r="K4839" s="2" t="s">
        <v>268</v>
      </c>
      <c r="L4839" s="2" t="s">
        <v>269</v>
      </c>
      <c r="M4839" s="3">
        <v>40508</v>
      </c>
      <c r="N4839" s="2" t="s">
        <v>6981</v>
      </c>
      <c r="O4839" s="2" t="s">
        <v>14926</v>
      </c>
      <c r="P4839" s="2" t="s">
        <v>14911</v>
      </c>
      <c r="Q4839" s="2" t="str">
        <f>"0027/2010"</f>
        <v>0027/2010</v>
      </c>
      <c r="R4839" s="2"/>
      <c r="S4839" s="2"/>
      <c r="T4839" s="2">
        <v>1</v>
      </c>
      <c r="U4839" s="2" t="s">
        <v>79</v>
      </c>
      <c r="V4839" s="2">
        <v>1</v>
      </c>
      <c r="W4839" s="2" t="s">
        <v>80</v>
      </c>
      <c r="X4839" s="2">
        <v>9</v>
      </c>
      <c r="Y4839" s="2" t="s">
        <v>3393</v>
      </c>
      <c r="Z4839" s="2">
        <v>1</v>
      </c>
      <c r="AA4839" s="2" t="s">
        <v>82</v>
      </c>
      <c r="AB4839" s="2">
        <v>1</v>
      </c>
      <c r="AC4839" s="2" t="s">
        <v>178</v>
      </c>
      <c r="AD4839" s="3">
        <v>40507</v>
      </c>
      <c r="AE4839" s="4">
        <v>0.44791666666666669</v>
      </c>
      <c r="AF4839" s="3">
        <v>40507</v>
      </c>
      <c r="AG4839" s="4">
        <v>0.44791666666666669</v>
      </c>
      <c r="AH4839" s="2">
        <v>5</v>
      </c>
      <c r="AI4839" s="2" t="s">
        <v>274</v>
      </c>
      <c r="AJ4839" s="2">
        <v>34</v>
      </c>
      <c r="AK4839" s="2" t="s">
        <v>274</v>
      </c>
      <c r="AL4839" s="2">
        <v>23</v>
      </c>
      <c r="AM4839" s="2" t="s">
        <v>251</v>
      </c>
      <c r="AN4839" s="2" t="s">
        <v>14927</v>
      </c>
      <c r="AO4839" s="2" t="s">
        <v>14928</v>
      </c>
      <c r="AP4839" s="2">
        <v>11</v>
      </c>
      <c r="AQ4839" s="2" t="s">
        <v>82</v>
      </c>
      <c r="AR4839" s="2"/>
      <c r="AS4839" s="2"/>
      <c r="AT4839" s="2" t="s">
        <v>14929</v>
      </c>
      <c r="AU4839" s="2"/>
      <c r="AV4839" s="2">
        <v>5</v>
      </c>
      <c r="AW4839" s="2"/>
      <c r="AX4839" s="2"/>
      <c r="AY4839" s="2">
        <v>41</v>
      </c>
      <c r="AZ4839" s="2" t="s">
        <v>82</v>
      </c>
      <c r="BA4839" s="2">
        <v>41</v>
      </c>
      <c r="BB4839" s="2" t="s">
        <v>82</v>
      </c>
      <c r="BC4839" s="2">
        <v>41</v>
      </c>
      <c r="BD4839" s="2" t="s">
        <v>82</v>
      </c>
      <c r="BE4839" s="2">
        <v>41</v>
      </c>
      <c r="BF4839" s="2" t="s">
        <v>82</v>
      </c>
      <c r="BG4839" s="2"/>
      <c r="BH4839" s="2"/>
      <c r="BI4839" s="2"/>
      <c r="BJ4839" s="2">
        <v>241</v>
      </c>
      <c r="BK4839" s="2" t="s">
        <v>82</v>
      </c>
      <c r="BL4839" s="2"/>
      <c r="BM4839" s="2">
        <v>241</v>
      </c>
      <c r="BN4839" s="2" t="s">
        <v>82</v>
      </c>
      <c r="BO4839" s="2"/>
      <c r="BP4839" s="2">
        <v>241</v>
      </c>
      <c r="BQ4839" s="2" t="s">
        <v>82</v>
      </c>
      <c r="BR4839" s="2"/>
      <c r="BS4839" s="3">
        <v>40508</v>
      </c>
      <c r="BT4839" s="4">
        <v>9.1192129629629637E-2</v>
      </c>
    </row>
    <row r="4840" spans="1:72" x14ac:dyDescent="0.25">
      <c r="A4840" s="2">
        <v>7508</v>
      </c>
      <c r="B4840" s="2">
        <v>2010</v>
      </c>
      <c r="C4840" s="2" t="s">
        <v>819</v>
      </c>
      <c r="D4840" s="2" t="s">
        <v>122</v>
      </c>
      <c r="E4840" s="2" t="s">
        <v>14930</v>
      </c>
      <c r="F4840" s="2">
        <v>451</v>
      </c>
      <c r="G4840" s="2" t="s">
        <v>879</v>
      </c>
      <c r="H4840" s="2">
        <v>31</v>
      </c>
      <c r="I4840" s="2" t="s">
        <v>880</v>
      </c>
      <c r="J4840" s="2">
        <v>326</v>
      </c>
      <c r="K4840" s="2" t="s">
        <v>881</v>
      </c>
      <c r="L4840" s="2" t="s">
        <v>882</v>
      </c>
      <c r="M4840" s="3">
        <v>40508</v>
      </c>
      <c r="N4840" s="2" t="s">
        <v>821</v>
      </c>
      <c r="O4840" s="2"/>
      <c r="P4840" s="2"/>
      <c r="Q4840" s="2" t="str">
        <f>"112/10"</f>
        <v>112/10</v>
      </c>
      <c r="R4840" s="2" t="s">
        <v>822</v>
      </c>
      <c r="S4840" s="2"/>
      <c r="T4840" s="2">
        <v>1</v>
      </c>
      <c r="U4840" s="2" t="s">
        <v>79</v>
      </c>
      <c r="V4840" s="2">
        <v>1</v>
      </c>
      <c r="W4840" s="2" t="s">
        <v>80</v>
      </c>
      <c r="X4840" s="2">
        <v>1</v>
      </c>
      <c r="Y4840" s="2" t="s">
        <v>81</v>
      </c>
      <c r="Z4840" s="2">
        <v>10</v>
      </c>
      <c r="AA4840" s="2" t="s">
        <v>236</v>
      </c>
      <c r="AB4840" s="2">
        <v>9</v>
      </c>
      <c r="AC4840" s="2" t="s">
        <v>124</v>
      </c>
      <c r="AD4840" s="3">
        <v>40508</v>
      </c>
      <c r="AE4840" s="4">
        <v>0.42708333333333331</v>
      </c>
      <c r="AF4840" s="3">
        <v>40507</v>
      </c>
      <c r="AG4840" s="4">
        <v>0.94444444444444453</v>
      </c>
      <c r="AH4840" s="2">
        <v>4</v>
      </c>
      <c r="AI4840" s="2" t="s">
        <v>125</v>
      </c>
      <c r="AJ4840" s="2">
        <v>29</v>
      </c>
      <c r="AK4840" s="2" t="s">
        <v>227</v>
      </c>
      <c r="AL4840" s="2">
        <v>10</v>
      </c>
      <c r="AM4840" s="2" t="s">
        <v>200</v>
      </c>
      <c r="AN4840" s="2" t="s">
        <v>3040</v>
      </c>
      <c r="AO4840" s="2" t="s">
        <v>14931</v>
      </c>
      <c r="AP4840" s="2">
        <v>12</v>
      </c>
      <c r="AQ4840" s="2" t="s">
        <v>322</v>
      </c>
      <c r="AR4840" s="2" t="s">
        <v>824</v>
      </c>
      <c r="AS4840" s="2" t="s">
        <v>825</v>
      </c>
      <c r="AT4840" s="2" t="s">
        <v>14932</v>
      </c>
      <c r="AU4840" s="2"/>
      <c r="AV4840" s="2"/>
      <c r="AW4840" s="2"/>
      <c r="AX4840" s="2"/>
      <c r="AY4840" s="2">
        <v>41</v>
      </c>
      <c r="AZ4840" s="2" t="s">
        <v>82</v>
      </c>
      <c r="BA4840" s="2">
        <v>41</v>
      </c>
      <c r="BB4840" s="2" t="s">
        <v>82</v>
      </c>
      <c r="BC4840" s="2">
        <v>51</v>
      </c>
      <c r="BD4840" s="2" t="s">
        <v>827</v>
      </c>
      <c r="BE4840" s="2">
        <v>13</v>
      </c>
      <c r="BF4840" s="2" t="s">
        <v>108</v>
      </c>
      <c r="BG4840" s="2">
        <v>1459</v>
      </c>
      <c r="BH4840" s="4">
        <v>0.90555555555555556</v>
      </c>
      <c r="BI4840" s="4">
        <v>0.95138888888888884</v>
      </c>
      <c r="BJ4840" s="2">
        <v>13</v>
      </c>
      <c r="BK4840" s="2" t="s">
        <v>91</v>
      </c>
      <c r="BL4840" s="2" t="s">
        <v>828</v>
      </c>
      <c r="BM4840" s="2">
        <v>13</v>
      </c>
      <c r="BN4840" s="2" t="s">
        <v>91</v>
      </c>
      <c r="BO4840" s="2"/>
      <c r="BP4840" s="2">
        <v>13</v>
      </c>
      <c r="BQ4840" s="2" t="s">
        <v>91</v>
      </c>
      <c r="BR4840" s="2" t="s">
        <v>185</v>
      </c>
      <c r="BS4840" s="3">
        <v>40508</v>
      </c>
      <c r="BT4840" s="4">
        <v>0.47990740740740739</v>
      </c>
    </row>
    <row r="4841" spans="1:72" x14ac:dyDescent="0.25">
      <c r="A4841" s="2">
        <v>7509</v>
      </c>
      <c r="B4841" s="2">
        <v>2010</v>
      </c>
      <c r="C4841" s="2" t="s">
        <v>147</v>
      </c>
      <c r="D4841" s="2" t="s">
        <v>73</v>
      </c>
      <c r="E4841" s="2"/>
      <c r="F4841" s="2">
        <v>1</v>
      </c>
      <c r="G4841" s="2" t="s">
        <v>82</v>
      </c>
      <c r="H4841" s="2">
        <v>1</v>
      </c>
      <c r="I4841" s="2" t="s">
        <v>82</v>
      </c>
      <c r="J4841" s="2">
        <v>1</v>
      </c>
      <c r="K4841" s="2" t="s">
        <v>107</v>
      </c>
      <c r="L4841" s="2" t="s">
        <v>107</v>
      </c>
      <c r="M4841" s="3">
        <v>40508</v>
      </c>
      <c r="N4841" s="2" t="s">
        <v>82</v>
      </c>
      <c r="O4841" s="2" t="s">
        <v>82</v>
      </c>
      <c r="P4841" s="2" t="s">
        <v>82</v>
      </c>
      <c r="Q4841" s="2" t="str">
        <f>"AP 0066-10"</f>
        <v>AP 0066-10</v>
      </c>
      <c r="R4841" s="2" t="s">
        <v>14933</v>
      </c>
      <c r="S4841" s="2" t="s">
        <v>82</v>
      </c>
      <c r="T4841" s="2">
        <v>2</v>
      </c>
      <c r="U4841" s="2" t="s">
        <v>123</v>
      </c>
      <c r="V4841" s="2">
        <v>1</v>
      </c>
      <c r="W4841" s="2" t="s">
        <v>80</v>
      </c>
      <c r="X4841" s="2">
        <v>12</v>
      </c>
      <c r="Y4841" s="2" t="s">
        <v>148</v>
      </c>
      <c r="Z4841" s="2">
        <v>1</v>
      </c>
      <c r="AA4841" s="2" t="s">
        <v>82</v>
      </c>
      <c r="AB4841" s="2">
        <v>9</v>
      </c>
      <c r="AC4841" s="2" t="s">
        <v>124</v>
      </c>
      <c r="AD4841" s="3">
        <v>40508</v>
      </c>
      <c r="AE4841" s="2"/>
      <c r="AF4841" s="3">
        <v>40508</v>
      </c>
      <c r="AG4841" s="4">
        <v>0.45833333333333331</v>
      </c>
      <c r="AH4841" s="2">
        <v>6</v>
      </c>
      <c r="AI4841" s="2" t="s">
        <v>197</v>
      </c>
      <c r="AJ4841" s="2">
        <v>61</v>
      </c>
      <c r="AK4841" s="2" t="s">
        <v>686</v>
      </c>
      <c r="AL4841" s="2">
        <v>24</v>
      </c>
      <c r="AM4841" s="2" t="s">
        <v>1540</v>
      </c>
      <c r="AN4841" s="2" t="s">
        <v>82</v>
      </c>
      <c r="AO4841" s="2" t="s">
        <v>14934</v>
      </c>
      <c r="AP4841" s="2">
        <v>11</v>
      </c>
      <c r="AQ4841" s="2" t="s">
        <v>82</v>
      </c>
      <c r="AR4841" s="2" t="s">
        <v>82</v>
      </c>
      <c r="AS4841" s="2" t="s">
        <v>82</v>
      </c>
      <c r="AT4841" s="2" t="s">
        <v>14935</v>
      </c>
      <c r="AU4841" s="2"/>
      <c r="AV4841" s="2"/>
      <c r="AW4841" s="2"/>
      <c r="AX4841" s="2"/>
      <c r="AY4841" s="2">
        <v>41</v>
      </c>
      <c r="AZ4841" s="2" t="s">
        <v>82</v>
      </c>
      <c r="BA4841" s="2">
        <v>41</v>
      </c>
      <c r="BB4841" s="2" t="s">
        <v>82</v>
      </c>
      <c r="BC4841" s="2">
        <v>41</v>
      </c>
      <c r="BD4841" s="2" t="s">
        <v>82</v>
      </c>
      <c r="BE4841" s="2">
        <v>41</v>
      </c>
      <c r="BF4841" s="2" t="s">
        <v>82</v>
      </c>
      <c r="BG4841" s="2" t="s">
        <v>82</v>
      </c>
      <c r="BH4841" s="2"/>
      <c r="BI4841" s="2"/>
      <c r="BJ4841" s="2">
        <v>241</v>
      </c>
      <c r="BK4841" s="2" t="s">
        <v>82</v>
      </c>
      <c r="BL4841" s="2" t="s">
        <v>82</v>
      </c>
      <c r="BM4841" s="2">
        <v>241</v>
      </c>
      <c r="BN4841" s="2" t="s">
        <v>82</v>
      </c>
      <c r="BO4841" s="2"/>
      <c r="BP4841" s="2">
        <v>241</v>
      </c>
      <c r="BQ4841" s="2" t="s">
        <v>82</v>
      </c>
      <c r="BR4841" s="2" t="s">
        <v>82</v>
      </c>
      <c r="BS4841" s="3">
        <v>40508</v>
      </c>
      <c r="BT4841" s="4">
        <v>0.51986111111111111</v>
      </c>
    </row>
    <row r="4842" spans="1:72" x14ac:dyDescent="0.25">
      <c r="A4842" s="2">
        <v>7511</v>
      </c>
      <c r="B4842" s="2">
        <v>2010</v>
      </c>
      <c r="C4842" s="2" t="s">
        <v>457</v>
      </c>
      <c r="D4842" s="2" t="s">
        <v>73</v>
      </c>
      <c r="E4842" s="2"/>
      <c r="F4842" s="2">
        <v>467</v>
      </c>
      <c r="G4842" s="2" t="s">
        <v>1053</v>
      </c>
      <c r="H4842" s="2">
        <v>42</v>
      </c>
      <c r="I4842" s="2" t="s">
        <v>1096</v>
      </c>
      <c r="J4842" s="2">
        <v>369</v>
      </c>
      <c r="K4842" s="2" t="s">
        <v>1054</v>
      </c>
      <c r="L4842" s="2" t="s">
        <v>1055</v>
      </c>
      <c r="M4842" s="3">
        <v>40508</v>
      </c>
      <c r="N4842" s="2" t="s">
        <v>14936</v>
      </c>
      <c r="O4842" s="2" t="s">
        <v>14937</v>
      </c>
      <c r="P4842" s="2" t="s">
        <v>14938</v>
      </c>
      <c r="Q4842" s="2" t="str">
        <f>""</f>
        <v/>
      </c>
      <c r="R4842" s="2"/>
      <c r="S4842" s="2"/>
      <c r="T4842" s="2">
        <v>1</v>
      </c>
      <c r="U4842" s="2" t="s">
        <v>79</v>
      </c>
      <c r="V4842" s="2">
        <v>1</v>
      </c>
      <c r="W4842" s="2" t="s">
        <v>80</v>
      </c>
      <c r="X4842" s="2">
        <v>4</v>
      </c>
      <c r="Y4842" s="2" t="s">
        <v>463</v>
      </c>
      <c r="Z4842" s="2">
        <v>6</v>
      </c>
      <c r="AA4842" s="2" t="s">
        <v>101</v>
      </c>
      <c r="AB4842" s="2">
        <v>9</v>
      </c>
      <c r="AC4842" s="2" t="s">
        <v>124</v>
      </c>
      <c r="AD4842" s="3">
        <v>40508</v>
      </c>
      <c r="AE4842" s="4">
        <v>0.51041666666666663</v>
      </c>
      <c r="AF4842" s="2"/>
      <c r="AG4842" s="2"/>
      <c r="AH4842" s="2">
        <v>4</v>
      </c>
      <c r="AI4842" s="2" t="s">
        <v>125</v>
      </c>
      <c r="AJ4842" s="2">
        <v>29</v>
      </c>
      <c r="AK4842" s="2" t="s">
        <v>227</v>
      </c>
      <c r="AL4842" s="2">
        <v>11</v>
      </c>
      <c r="AM4842" s="2" t="s">
        <v>137</v>
      </c>
      <c r="AN4842" s="2" t="s">
        <v>2701</v>
      </c>
      <c r="AO4842" s="2"/>
      <c r="AP4842" s="2">
        <v>11</v>
      </c>
      <c r="AQ4842" s="2" t="s">
        <v>82</v>
      </c>
      <c r="AR4842" s="2" t="s">
        <v>82</v>
      </c>
      <c r="AS4842" s="2" t="s">
        <v>82</v>
      </c>
      <c r="AT4842" s="2" t="s">
        <v>14939</v>
      </c>
      <c r="AU4842" s="2"/>
      <c r="AV4842" s="2"/>
      <c r="AW4842" s="2"/>
      <c r="AX4842" s="2"/>
      <c r="AY4842" s="2">
        <v>41</v>
      </c>
      <c r="AZ4842" s="2" t="s">
        <v>82</v>
      </c>
      <c r="BA4842" s="2">
        <v>41</v>
      </c>
      <c r="BB4842" s="2" t="s">
        <v>82</v>
      </c>
      <c r="BC4842" s="2">
        <v>41</v>
      </c>
      <c r="BD4842" s="2" t="s">
        <v>82</v>
      </c>
      <c r="BE4842" s="2">
        <v>19</v>
      </c>
      <c r="BF4842" s="2" t="s">
        <v>1061</v>
      </c>
      <c r="BG4842" s="2" t="s">
        <v>14225</v>
      </c>
      <c r="BH4842" s="4">
        <v>0.53819444444444442</v>
      </c>
      <c r="BI4842" s="4">
        <v>0.57291666666666663</v>
      </c>
      <c r="BJ4842" s="2">
        <v>13</v>
      </c>
      <c r="BK4842" s="2" t="s">
        <v>91</v>
      </c>
      <c r="BL4842" s="2" t="s">
        <v>828</v>
      </c>
      <c r="BM4842" s="2">
        <v>29</v>
      </c>
      <c r="BN4842" s="2" t="s">
        <v>962</v>
      </c>
      <c r="BO4842" s="2"/>
      <c r="BP4842" s="2">
        <v>29</v>
      </c>
      <c r="BQ4842" s="2" t="s">
        <v>962</v>
      </c>
      <c r="BR4842" s="2" t="s">
        <v>963</v>
      </c>
      <c r="BS4842" s="3">
        <v>40508</v>
      </c>
      <c r="BT4842" s="4">
        <v>0.57054398148148155</v>
      </c>
    </row>
    <row r="4843" spans="1:72" x14ac:dyDescent="0.25">
      <c r="A4843" s="2">
        <v>7512</v>
      </c>
      <c r="B4843" s="2">
        <v>2010</v>
      </c>
      <c r="C4843" s="2" t="s">
        <v>121</v>
      </c>
      <c r="D4843" s="2" t="s">
        <v>122</v>
      </c>
      <c r="E4843" s="2"/>
      <c r="F4843" s="2">
        <v>1</v>
      </c>
      <c r="G4843" s="2" t="s">
        <v>82</v>
      </c>
      <c r="H4843" s="2">
        <v>1</v>
      </c>
      <c r="I4843" s="2" t="s">
        <v>82</v>
      </c>
      <c r="J4843" s="2">
        <v>1</v>
      </c>
      <c r="K4843" s="2" t="s">
        <v>107</v>
      </c>
      <c r="L4843" s="2" t="s">
        <v>107</v>
      </c>
      <c r="M4843" s="3">
        <v>40508</v>
      </c>
      <c r="N4843" s="2"/>
      <c r="O4843" s="2"/>
      <c r="P4843" s="2"/>
      <c r="Q4843" s="2" t="str">
        <f>""</f>
        <v/>
      </c>
      <c r="R4843" s="2"/>
      <c r="S4843" s="2"/>
      <c r="T4843" s="2">
        <v>2</v>
      </c>
      <c r="U4843" s="2" t="s">
        <v>123</v>
      </c>
      <c r="V4843" s="2">
        <v>1</v>
      </c>
      <c r="W4843" s="2" t="s">
        <v>80</v>
      </c>
      <c r="X4843" s="2">
        <v>1</v>
      </c>
      <c r="Y4843" s="2" t="s">
        <v>81</v>
      </c>
      <c r="Z4843" s="2">
        <v>1</v>
      </c>
      <c r="AA4843" s="2" t="s">
        <v>82</v>
      </c>
      <c r="AB4843" s="2">
        <v>9</v>
      </c>
      <c r="AC4843" s="2" t="s">
        <v>124</v>
      </c>
      <c r="AD4843" s="3">
        <v>40508</v>
      </c>
      <c r="AE4843" s="4">
        <v>0.61111111111111105</v>
      </c>
      <c r="AF4843" s="2"/>
      <c r="AG4843" s="2"/>
      <c r="AH4843" s="2">
        <v>4</v>
      </c>
      <c r="AI4843" s="2" t="s">
        <v>125</v>
      </c>
      <c r="AJ4843" s="2">
        <v>31</v>
      </c>
      <c r="AK4843" s="2" t="s">
        <v>1413</v>
      </c>
      <c r="AL4843" s="2">
        <v>10</v>
      </c>
      <c r="AM4843" s="2" t="s">
        <v>200</v>
      </c>
      <c r="AN4843" s="2"/>
      <c r="AO4843" s="2"/>
      <c r="AP4843" s="2">
        <v>11</v>
      </c>
      <c r="AQ4843" s="2" t="s">
        <v>82</v>
      </c>
      <c r="AR4843" s="2"/>
      <c r="AS4843" s="2"/>
      <c r="AT4843" s="2" t="s">
        <v>14940</v>
      </c>
      <c r="AU4843" s="2"/>
      <c r="AV4843" s="2"/>
      <c r="AW4843" s="2"/>
      <c r="AX4843" s="2"/>
      <c r="AY4843" s="2">
        <v>41</v>
      </c>
      <c r="AZ4843" s="2" t="s">
        <v>82</v>
      </c>
      <c r="BA4843" s="2">
        <v>41</v>
      </c>
      <c r="BB4843" s="2" t="s">
        <v>82</v>
      </c>
      <c r="BC4843" s="2">
        <v>41</v>
      </c>
      <c r="BD4843" s="2" t="s">
        <v>82</v>
      </c>
      <c r="BE4843" s="2">
        <v>42</v>
      </c>
      <c r="BF4843" s="2" t="s">
        <v>182</v>
      </c>
      <c r="BG4843" s="2" t="s">
        <v>6921</v>
      </c>
      <c r="BH4843" s="4">
        <v>0.61111111111111105</v>
      </c>
      <c r="BI4843" s="2"/>
      <c r="BJ4843" s="2">
        <v>13</v>
      </c>
      <c r="BK4843" s="2" t="s">
        <v>91</v>
      </c>
      <c r="BL4843" s="2" t="s">
        <v>3387</v>
      </c>
      <c r="BM4843" s="2">
        <v>13</v>
      </c>
      <c r="BN4843" s="2" t="s">
        <v>91</v>
      </c>
      <c r="BO4843" s="2"/>
      <c r="BP4843" s="2">
        <v>13</v>
      </c>
      <c r="BQ4843" s="2" t="s">
        <v>91</v>
      </c>
      <c r="BR4843" s="2" t="s">
        <v>4725</v>
      </c>
      <c r="BS4843" s="3">
        <v>40508</v>
      </c>
      <c r="BT4843" s="4">
        <v>0.63576388888888891</v>
      </c>
    </row>
    <row r="4844" spans="1:72" x14ac:dyDescent="0.25">
      <c r="A4844" s="2">
        <v>7513</v>
      </c>
      <c r="B4844" s="2">
        <v>2010</v>
      </c>
      <c r="C4844" s="2" t="s">
        <v>549</v>
      </c>
      <c r="D4844" s="2" t="s">
        <v>73</v>
      </c>
      <c r="E4844" s="2"/>
      <c r="F4844" s="2">
        <v>2</v>
      </c>
      <c r="G4844" s="2" t="s">
        <v>113</v>
      </c>
      <c r="H4844" s="2">
        <v>50</v>
      </c>
      <c r="I4844" s="2" t="s">
        <v>107</v>
      </c>
      <c r="J4844" s="2">
        <v>300</v>
      </c>
      <c r="K4844" s="2" t="s">
        <v>114</v>
      </c>
      <c r="L4844" s="2" t="s">
        <v>115</v>
      </c>
      <c r="M4844" s="3">
        <v>40508</v>
      </c>
      <c r="N4844" s="2" t="s">
        <v>107</v>
      </c>
      <c r="O4844" s="2" t="s">
        <v>14941</v>
      </c>
      <c r="P4844" s="2"/>
      <c r="Q4844" s="2" t="str">
        <f>"635-E/10"</f>
        <v>635-E/10</v>
      </c>
      <c r="R4844" s="2" t="s">
        <v>14941</v>
      </c>
      <c r="S4844" s="2"/>
      <c r="T4844" s="2">
        <v>1</v>
      </c>
      <c r="U4844" s="2" t="s">
        <v>79</v>
      </c>
      <c r="V4844" s="2">
        <v>1</v>
      </c>
      <c r="W4844" s="2" t="s">
        <v>80</v>
      </c>
      <c r="X4844" s="2">
        <v>12</v>
      </c>
      <c r="Y4844" s="2" t="s">
        <v>148</v>
      </c>
      <c r="Z4844" s="2">
        <v>1</v>
      </c>
      <c r="AA4844" s="2" t="s">
        <v>82</v>
      </c>
      <c r="AB4844" s="2">
        <v>9</v>
      </c>
      <c r="AC4844" s="2" t="s">
        <v>124</v>
      </c>
      <c r="AD4844" s="3">
        <v>40480</v>
      </c>
      <c r="AE4844" s="2"/>
      <c r="AF4844" s="3">
        <v>40508</v>
      </c>
      <c r="AG4844" s="4">
        <v>0.51041666666666663</v>
      </c>
      <c r="AH4844" s="2">
        <v>2</v>
      </c>
      <c r="AI4844" s="2" t="s">
        <v>84</v>
      </c>
      <c r="AJ4844" s="2">
        <v>9</v>
      </c>
      <c r="AK4844" s="2" t="s">
        <v>103</v>
      </c>
      <c r="AL4844" s="2">
        <v>23</v>
      </c>
      <c r="AM4844" s="2" t="s">
        <v>251</v>
      </c>
      <c r="AN4844" s="2" t="s">
        <v>14942</v>
      </c>
      <c r="AO4844" s="2"/>
      <c r="AP4844" s="2">
        <v>11</v>
      </c>
      <c r="AQ4844" s="2" t="s">
        <v>82</v>
      </c>
      <c r="AR4844" s="2"/>
      <c r="AS4844" s="2"/>
      <c r="AT4844" s="2" t="s">
        <v>14943</v>
      </c>
      <c r="AU4844" s="2"/>
      <c r="AV4844" s="2"/>
      <c r="AW4844" s="2"/>
      <c r="AX4844" s="2"/>
      <c r="AY4844" s="2">
        <v>41</v>
      </c>
      <c r="AZ4844" s="2" t="s">
        <v>82</v>
      </c>
      <c r="BA4844" s="2">
        <v>41</v>
      </c>
      <c r="BB4844" s="2" t="s">
        <v>82</v>
      </c>
      <c r="BC4844" s="2">
        <v>41</v>
      </c>
      <c r="BD4844" s="2" t="s">
        <v>82</v>
      </c>
      <c r="BE4844" s="2">
        <v>41</v>
      </c>
      <c r="BF4844" s="2" t="s">
        <v>82</v>
      </c>
      <c r="BG4844" s="2"/>
      <c r="BH4844" s="2"/>
      <c r="BI4844" s="2"/>
      <c r="BJ4844" s="2">
        <v>241</v>
      </c>
      <c r="BK4844" s="2" t="s">
        <v>82</v>
      </c>
      <c r="BL4844" s="2"/>
      <c r="BM4844" s="2">
        <v>241</v>
      </c>
      <c r="BN4844" s="2" t="s">
        <v>82</v>
      </c>
      <c r="BO4844" s="2"/>
      <c r="BP4844" s="2">
        <v>241</v>
      </c>
      <c r="BQ4844" s="2" t="s">
        <v>82</v>
      </c>
      <c r="BR4844" s="2"/>
      <c r="BS4844" s="3">
        <v>40508</v>
      </c>
      <c r="BT4844" s="4">
        <v>0.66537037037037039</v>
      </c>
    </row>
    <row r="4845" spans="1:72" x14ac:dyDescent="0.25">
      <c r="A4845" s="2">
        <v>7514</v>
      </c>
      <c r="B4845" s="2">
        <v>2010</v>
      </c>
      <c r="C4845" s="2" t="s">
        <v>171</v>
      </c>
      <c r="D4845" s="2" t="s">
        <v>73</v>
      </c>
      <c r="E4845" s="2"/>
      <c r="F4845" s="2">
        <v>114</v>
      </c>
      <c r="G4845" s="2" t="s">
        <v>2817</v>
      </c>
      <c r="H4845" s="2">
        <v>99</v>
      </c>
      <c r="I4845" s="2" t="s">
        <v>6285</v>
      </c>
      <c r="J4845" s="2">
        <v>133</v>
      </c>
      <c r="K4845" s="2" t="s">
        <v>3844</v>
      </c>
      <c r="L4845" s="2" t="s">
        <v>3845</v>
      </c>
      <c r="M4845" s="3">
        <v>40508</v>
      </c>
      <c r="N4845" s="2" t="s">
        <v>14944</v>
      </c>
      <c r="O4845" s="2" t="s">
        <v>14945</v>
      </c>
      <c r="P4845" s="2" t="s">
        <v>14946</v>
      </c>
      <c r="Q4845" s="2" t="str">
        <f>""</f>
        <v/>
      </c>
      <c r="R4845" s="2"/>
      <c r="S4845" s="2"/>
      <c r="T4845" s="2">
        <v>1</v>
      </c>
      <c r="U4845" s="2" t="s">
        <v>79</v>
      </c>
      <c r="V4845" s="2">
        <v>3</v>
      </c>
      <c r="W4845" s="2" t="s">
        <v>225</v>
      </c>
      <c r="X4845" s="2">
        <v>6</v>
      </c>
      <c r="Y4845" s="2" t="s">
        <v>249</v>
      </c>
      <c r="Z4845" s="2">
        <v>1</v>
      </c>
      <c r="AA4845" s="2" t="s">
        <v>82</v>
      </c>
      <c r="AB4845" s="2">
        <v>9</v>
      </c>
      <c r="AC4845" s="2" t="s">
        <v>124</v>
      </c>
      <c r="AD4845" s="3">
        <v>40508</v>
      </c>
      <c r="AE4845" s="4">
        <v>0.6333333333333333</v>
      </c>
      <c r="AF4845" s="2"/>
      <c r="AG4845" s="2"/>
      <c r="AH4845" s="2">
        <v>6</v>
      </c>
      <c r="AI4845" s="2" t="s">
        <v>197</v>
      </c>
      <c r="AJ4845" s="2">
        <v>47</v>
      </c>
      <c r="AK4845" s="2" t="s">
        <v>250</v>
      </c>
      <c r="AL4845" s="2">
        <v>23</v>
      </c>
      <c r="AM4845" s="2" t="s">
        <v>251</v>
      </c>
      <c r="AN4845" s="2"/>
      <c r="AO4845" s="2" t="s">
        <v>14947</v>
      </c>
      <c r="AP4845" s="2">
        <v>11</v>
      </c>
      <c r="AQ4845" s="2" t="s">
        <v>82</v>
      </c>
      <c r="AR4845" s="2"/>
      <c r="AS4845" s="2"/>
      <c r="AT4845" s="2" t="s">
        <v>14948</v>
      </c>
      <c r="AU4845" s="2"/>
      <c r="AV4845" s="2"/>
      <c r="AW4845" s="2"/>
      <c r="AX4845" s="2"/>
      <c r="AY4845" s="2">
        <v>41</v>
      </c>
      <c r="AZ4845" s="2" t="s">
        <v>82</v>
      </c>
      <c r="BA4845" s="2">
        <v>41</v>
      </c>
      <c r="BB4845" s="2" t="s">
        <v>82</v>
      </c>
      <c r="BC4845" s="2">
        <v>41</v>
      </c>
      <c r="BD4845" s="2" t="s">
        <v>82</v>
      </c>
      <c r="BE4845" s="2">
        <v>41</v>
      </c>
      <c r="BF4845" s="2" t="s">
        <v>82</v>
      </c>
      <c r="BG4845" s="2"/>
      <c r="BH4845" s="2"/>
      <c r="BI4845" s="2"/>
      <c r="BJ4845" s="2">
        <v>241</v>
      </c>
      <c r="BK4845" s="2" t="s">
        <v>82</v>
      </c>
      <c r="BL4845" s="2"/>
      <c r="BM4845" s="2">
        <v>241</v>
      </c>
      <c r="BN4845" s="2" t="s">
        <v>82</v>
      </c>
      <c r="BO4845" s="2"/>
      <c r="BP4845" s="2">
        <v>241</v>
      </c>
      <c r="BQ4845" s="2" t="s">
        <v>82</v>
      </c>
      <c r="BR4845" s="2"/>
      <c r="BS4845" s="3">
        <v>40508</v>
      </c>
      <c r="BT4845" s="4">
        <v>0.67335648148148142</v>
      </c>
    </row>
    <row r="4846" spans="1:72" x14ac:dyDescent="0.25">
      <c r="A4846" s="2">
        <v>7516</v>
      </c>
      <c r="B4846" s="2">
        <v>2010</v>
      </c>
      <c r="C4846" s="2" t="s">
        <v>414</v>
      </c>
      <c r="D4846" s="2" t="s">
        <v>122</v>
      </c>
      <c r="E4846" s="2"/>
      <c r="F4846" s="2">
        <v>1</v>
      </c>
      <c r="G4846" s="2" t="s">
        <v>82</v>
      </c>
      <c r="H4846" s="2">
        <v>1</v>
      </c>
      <c r="I4846" s="2" t="s">
        <v>82</v>
      </c>
      <c r="J4846" s="2">
        <v>1</v>
      </c>
      <c r="K4846" s="2" t="s">
        <v>107</v>
      </c>
      <c r="L4846" s="2" t="s">
        <v>107</v>
      </c>
      <c r="M4846" s="3">
        <v>40508</v>
      </c>
      <c r="N4846" s="2"/>
      <c r="O4846" s="2"/>
      <c r="P4846" s="2"/>
      <c r="Q4846" s="2" t="str">
        <f>"318/10"</f>
        <v>318/10</v>
      </c>
      <c r="R4846" s="2"/>
      <c r="S4846" s="2" t="s">
        <v>7310</v>
      </c>
      <c r="T4846" s="2">
        <v>1</v>
      </c>
      <c r="U4846" s="2" t="s">
        <v>79</v>
      </c>
      <c r="V4846" s="2">
        <v>1</v>
      </c>
      <c r="W4846" s="2" t="s">
        <v>80</v>
      </c>
      <c r="X4846" s="2">
        <v>1</v>
      </c>
      <c r="Y4846" s="2" t="s">
        <v>81</v>
      </c>
      <c r="Z4846" s="2">
        <v>1</v>
      </c>
      <c r="AA4846" s="2" t="s">
        <v>82</v>
      </c>
      <c r="AB4846" s="2">
        <v>9</v>
      </c>
      <c r="AC4846" s="2" t="s">
        <v>124</v>
      </c>
      <c r="AD4846" s="3">
        <v>40508</v>
      </c>
      <c r="AE4846" s="4">
        <v>0.5</v>
      </c>
      <c r="AF4846" s="2"/>
      <c r="AG4846" s="2"/>
      <c r="AH4846" s="2">
        <v>5</v>
      </c>
      <c r="AI4846" s="2" t="s">
        <v>274</v>
      </c>
      <c r="AJ4846" s="2">
        <v>38</v>
      </c>
      <c r="AK4846" s="2" t="s">
        <v>1120</v>
      </c>
      <c r="AL4846" s="2">
        <v>12</v>
      </c>
      <c r="AM4846" s="2" t="s">
        <v>86</v>
      </c>
      <c r="AN4846" s="2"/>
      <c r="AO4846" s="2"/>
      <c r="AP4846" s="2">
        <v>11</v>
      </c>
      <c r="AQ4846" s="2" t="s">
        <v>82</v>
      </c>
      <c r="AR4846" s="2"/>
      <c r="AS4846" s="2"/>
      <c r="AT4846" s="2" t="s">
        <v>14949</v>
      </c>
      <c r="AU4846" s="2"/>
      <c r="AV4846" s="2"/>
      <c r="AW4846" s="2"/>
      <c r="AX4846" s="2"/>
      <c r="AY4846" s="2">
        <v>41</v>
      </c>
      <c r="AZ4846" s="2" t="s">
        <v>82</v>
      </c>
      <c r="BA4846" s="2">
        <v>41</v>
      </c>
      <c r="BB4846" s="2" t="s">
        <v>82</v>
      </c>
      <c r="BC4846" s="2">
        <v>41</v>
      </c>
      <c r="BD4846" s="2" t="s">
        <v>82</v>
      </c>
      <c r="BE4846" s="2">
        <v>41</v>
      </c>
      <c r="BF4846" s="2" t="s">
        <v>82</v>
      </c>
      <c r="BG4846" s="2"/>
      <c r="BH4846" s="2"/>
      <c r="BI4846" s="2"/>
      <c r="BJ4846" s="2">
        <v>241</v>
      </c>
      <c r="BK4846" s="2" t="s">
        <v>82</v>
      </c>
      <c r="BL4846" s="2"/>
      <c r="BM4846" s="2">
        <v>241</v>
      </c>
      <c r="BN4846" s="2" t="s">
        <v>82</v>
      </c>
      <c r="BO4846" s="2"/>
      <c r="BP4846" s="2">
        <v>241</v>
      </c>
      <c r="BQ4846" s="2" t="s">
        <v>82</v>
      </c>
      <c r="BR4846" s="2"/>
      <c r="BS4846" s="3">
        <v>40508</v>
      </c>
      <c r="BT4846" s="4">
        <v>0.70076388888888896</v>
      </c>
    </row>
    <row r="4847" spans="1:72" x14ac:dyDescent="0.25">
      <c r="A4847" s="2">
        <v>7518</v>
      </c>
      <c r="B4847" s="2">
        <v>2010</v>
      </c>
      <c r="C4847" s="2" t="s">
        <v>121</v>
      </c>
      <c r="D4847" s="2" t="s">
        <v>122</v>
      </c>
      <c r="E4847" s="2" t="s">
        <v>14950</v>
      </c>
      <c r="F4847" s="2">
        <v>1</v>
      </c>
      <c r="G4847" s="2" t="s">
        <v>82</v>
      </c>
      <c r="H4847" s="2">
        <v>1</v>
      </c>
      <c r="I4847" s="2" t="s">
        <v>82</v>
      </c>
      <c r="J4847" s="2">
        <v>1</v>
      </c>
      <c r="K4847" s="2" t="s">
        <v>107</v>
      </c>
      <c r="L4847" s="2" t="s">
        <v>107</v>
      </c>
      <c r="M4847" s="3">
        <v>40508</v>
      </c>
      <c r="N4847" s="2"/>
      <c r="O4847" s="2"/>
      <c r="P4847" s="2"/>
      <c r="Q4847" s="2" t="str">
        <f>""</f>
        <v/>
      </c>
      <c r="R4847" s="2"/>
      <c r="S4847" s="2"/>
      <c r="T4847" s="2">
        <v>2</v>
      </c>
      <c r="U4847" s="2" t="s">
        <v>123</v>
      </c>
      <c r="V4847" s="2">
        <v>1</v>
      </c>
      <c r="W4847" s="2" t="s">
        <v>80</v>
      </c>
      <c r="X4847" s="2">
        <v>1</v>
      </c>
      <c r="Y4847" s="2" t="s">
        <v>81</v>
      </c>
      <c r="Z4847" s="2">
        <v>1</v>
      </c>
      <c r="AA4847" s="2" t="s">
        <v>82</v>
      </c>
      <c r="AB4847" s="2">
        <v>9</v>
      </c>
      <c r="AC4847" s="2" t="s">
        <v>124</v>
      </c>
      <c r="AD4847" s="3">
        <v>40508</v>
      </c>
      <c r="AE4847" s="4">
        <v>0.75347222222222221</v>
      </c>
      <c r="AF4847" s="2"/>
      <c r="AG4847" s="2"/>
      <c r="AH4847" s="2">
        <v>4</v>
      </c>
      <c r="AI4847" s="2" t="s">
        <v>125</v>
      </c>
      <c r="AJ4847" s="2">
        <v>31</v>
      </c>
      <c r="AK4847" s="2" t="s">
        <v>1413</v>
      </c>
      <c r="AL4847" s="2">
        <v>10</v>
      </c>
      <c r="AM4847" s="2" t="s">
        <v>200</v>
      </c>
      <c r="AN4847" s="2"/>
      <c r="AO4847" s="2"/>
      <c r="AP4847" s="2">
        <v>11</v>
      </c>
      <c r="AQ4847" s="2" t="s">
        <v>82</v>
      </c>
      <c r="AR4847" s="2"/>
      <c r="AS4847" s="2"/>
      <c r="AT4847" s="2" t="s">
        <v>14951</v>
      </c>
      <c r="AU4847" s="2"/>
      <c r="AV4847" s="2"/>
      <c r="AW4847" s="2"/>
      <c r="AX4847" s="2"/>
      <c r="AY4847" s="2">
        <v>41</v>
      </c>
      <c r="AZ4847" s="2" t="s">
        <v>82</v>
      </c>
      <c r="BA4847" s="2">
        <v>41</v>
      </c>
      <c r="BB4847" s="2" t="s">
        <v>82</v>
      </c>
      <c r="BC4847" s="2">
        <v>41</v>
      </c>
      <c r="BD4847" s="2" t="s">
        <v>82</v>
      </c>
      <c r="BE4847" s="2">
        <v>42</v>
      </c>
      <c r="BF4847" s="2" t="s">
        <v>182</v>
      </c>
      <c r="BG4847" s="2" t="s">
        <v>6921</v>
      </c>
      <c r="BH4847" s="2"/>
      <c r="BI4847" s="4">
        <v>0.75347222222222221</v>
      </c>
      <c r="BJ4847" s="2">
        <v>13</v>
      </c>
      <c r="BK4847" s="2" t="s">
        <v>91</v>
      </c>
      <c r="BL4847" s="2" t="s">
        <v>4725</v>
      </c>
      <c r="BM4847" s="2">
        <v>13</v>
      </c>
      <c r="BN4847" s="2" t="s">
        <v>91</v>
      </c>
      <c r="BO4847" s="2"/>
      <c r="BP4847" s="2">
        <v>13</v>
      </c>
      <c r="BQ4847" s="2" t="s">
        <v>91</v>
      </c>
      <c r="BR4847" s="2" t="s">
        <v>4903</v>
      </c>
      <c r="BS4847" s="3">
        <v>40508</v>
      </c>
      <c r="BT4847" s="4">
        <v>0.76034722222222229</v>
      </c>
    </row>
    <row r="4848" spans="1:72" x14ac:dyDescent="0.25">
      <c r="A4848" s="2">
        <v>7519</v>
      </c>
      <c r="B4848" s="2">
        <v>2010</v>
      </c>
      <c r="C4848" s="2" t="s">
        <v>171</v>
      </c>
      <c r="D4848" s="2" t="s">
        <v>73</v>
      </c>
      <c r="E4848" s="2"/>
      <c r="F4848" s="2">
        <v>13</v>
      </c>
      <c r="G4848" s="2" t="s">
        <v>14952</v>
      </c>
      <c r="H4848" s="2">
        <v>99</v>
      </c>
      <c r="I4848" s="2" t="s">
        <v>6285</v>
      </c>
      <c r="J4848" s="2">
        <v>538</v>
      </c>
      <c r="K4848" s="2" t="s">
        <v>7264</v>
      </c>
      <c r="L4848" s="2" t="s">
        <v>7265</v>
      </c>
      <c r="M4848" s="3">
        <v>40508</v>
      </c>
      <c r="N4848" s="2" t="s">
        <v>2605</v>
      </c>
      <c r="O4848" s="2" t="s">
        <v>14953</v>
      </c>
      <c r="P4848" s="2" t="s">
        <v>14954</v>
      </c>
      <c r="Q4848" s="2" t="str">
        <f>"S/D"</f>
        <v>S/D</v>
      </c>
      <c r="R4848" s="2" t="s">
        <v>107</v>
      </c>
      <c r="S4848" s="2" t="s">
        <v>107</v>
      </c>
      <c r="T4848" s="2">
        <v>1</v>
      </c>
      <c r="U4848" s="2" t="s">
        <v>79</v>
      </c>
      <c r="V4848" s="2">
        <v>1</v>
      </c>
      <c r="W4848" s="2" t="s">
        <v>80</v>
      </c>
      <c r="X4848" s="2">
        <v>9</v>
      </c>
      <c r="Y4848" s="2" t="s">
        <v>3393</v>
      </c>
      <c r="Z4848" s="2">
        <v>1</v>
      </c>
      <c r="AA4848" s="2" t="s">
        <v>82</v>
      </c>
      <c r="AB4848" s="2">
        <v>1</v>
      </c>
      <c r="AC4848" s="2" t="s">
        <v>178</v>
      </c>
      <c r="AD4848" s="3">
        <v>40507</v>
      </c>
      <c r="AE4848" s="4">
        <v>0.89583333333333337</v>
      </c>
      <c r="AF4848" s="3">
        <v>40507</v>
      </c>
      <c r="AG4848" s="4">
        <v>0.89583333333333337</v>
      </c>
      <c r="AH4848" s="2">
        <v>7</v>
      </c>
      <c r="AI4848" s="2" t="s">
        <v>801</v>
      </c>
      <c r="AJ4848" s="2">
        <v>3</v>
      </c>
      <c r="AK4848" s="2" t="s">
        <v>802</v>
      </c>
      <c r="AL4848" s="2">
        <v>23</v>
      </c>
      <c r="AM4848" s="2" t="s">
        <v>251</v>
      </c>
      <c r="AN4848" s="2" t="s">
        <v>14955</v>
      </c>
      <c r="AO4848" s="2" t="s">
        <v>14956</v>
      </c>
      <c r="AP4848" s="2">
        <v>11</v>
      </c>
      <c r="AQ4848" s="2" t="s">
        <v>82</v>
      </c>
      <c r="AR4848" s="2"/>
      <c r="AS4848" s="2"/>
      <c r="AT4848" s="2" t="s">
        <v>14957</v>
      </c>
      <c r="AU4848" s="2">
        <v>1</v>
      </c>
      <c r="AV4848" s="2"/>
      <c r="AW4848" s="2"/>
      <c r="AX4848" s="2"/>
      <c r="AY4848" s="2">
        <v>41</v>
      </c>
      <c r="AZ4848" s="2" t="s">
        <v>82</v>
      </c>
      <c r="BA4848" s="2">
        <v>41</v>
      </c>
      <c r="BB4848" s="2" t="s">
        <v>82</v>
      </c>
      <c r="BC4848" s="2">
        <v>41</v>
      </c>
      <c r="BD4848" s="2" t="s">
        <v>82</v>
      </c>
      <c r="BE4848" s="2">
        <v>41</v>
      </c>
      <c r="BF4848" s="2" t="s">
        <v>82</v>
      </c>
      <c r="BG4848" s="2" t="s">
        <v>107</v>
      </c>
      <c r="BH4848" s="2"/>
      <c r="BI4848" s="2"/>
      <c r="BJ4848" s="2">
        <v>241</v>
      </c>
      <c r="BK4848" s="2" t="s">
        <v>82</v>
      </c>
      <c r="BL4848" s="2" t="s">
        <v>107</v>
      </c>
      <c r="BM4848" s="2">
        <v>241</v>
      </c>
      <c r="BN4848" s="2" t="s">
        <v>82</v>
      </c>
      <c r="BO4848" s="2"/>
      <c r="BP4848" s="2">
        <v>241</v>
      </c>
      <c r="BQ4848" s="2" t="s">
        <v>82</v>
      </c>
      <c r="BR4848" s="2"/>
      <c r="BS4848" s="3">
        <v>40508</v>
      </c>
      <c r="BT4848" s="4">
        <v>0.77013888888888893</v>
      </c>
    </row>
    <row r="4849" spans="1:72" x14ac:dyDescent="0.25">
      <c r="A4849" s="2">
        <v>7520</v>
      </c>
      <c r="B4849" s="2">
        <v>2010</v>
      </c>
      <c r="C4849" s="2" t="s">
        <v>549</v>
      </c>
      <c r="D4849" s="2" t="s">
        <v>73</v>
      </c>
      <c r="E4849" s="2"/>
      <c r="F4849" s="2">
        <v>390</v>
      </c>
      <c r="G4849" s="2" t="s">
        <v>475</v>
      </c>
      <c r="H4849" s="2">
        <v>5</v>
      </c>
      <c r="I4849" s="2" t="s">
        <v>634</v>
      </c>
      <c r="J4849" s="2">
        <v>533</v>
      </c>
      <c r="K4849" s="2" t="s">
        <v>6511</v>
      </c>
      <c r="L4849" s="2" t="s">
        <v>478</v>
      </c>
      <c r="M4849" s="3">
        <v>40508</v>
      </c>
      <c r="N4849" s="2" t="s">
        <v>3103</v>
      </c>
      <c r="O4849" s="2" t="s">
        <v>1044</v>
      </c>
      <c r="P4849" s="2" t="s">
        <v>107</v>
      </c>
      <c r="Q4849" s="2" t="str">
        <f>"634-E/10"</f>
        <v>634-E/10</v>
      </c>
      <c r="R4849" s="2" t="s">
        <v>1044</v>
      </c>
      <c r="S4849" s="2"/>
      <c r="T4849" s="2">
        <v>1</v>
      </c>
      <c r="U4849" s="2" t="s">
        <v>79</v>
      </c>
      <c r="V4849" s="2">
        <v>1</v>
      </c>
      <c r="W4849" s="2" t="s">
        <v>80</v>
      </c>
      <c r="X4849" s="2">
        <v>12</v>
      </c>
      <c r="Y4849" s="2" t="s">
        <v>148</v>
      </c>
      <c r="Z4849" s="2">
        <v>1</v>
      </c>
      <c r="AA4849" s="2" t="s">
        <v>82</v>
      </c>
      <c r="AB4849" s="2">
        <v>9</v>
      </c>
      <c r="AC4849" s="2" t="s">
        <v>124</v>
      </c>
      <c r="AD4849" s="3">
        <v>40507</v>
      </c>
      <c r="AE4849" s="2"/>
      <c r="AF4849" s="3">
        <v>40507</v>
      </c>
      <c r="AG4849" s="4">
        <v>0.80208333333333337</v>
      </c>
      <c r="AH4849" s="2">
        <v>2</v>
      </c>
      <c r="AI4849" s="2" t="s">
        <v>84</v>
      </c>
      <c r="AJ4849" s="2">
        <v>9</v>
      </c>
      <c r="AK4849" s="2" t="s">
        <v>103</v>
      </c>
      <c r="AL4849" s="2">
        <v>10</v>
      </c>
      <c r="AM4849" s="2" t="s">
        <v>200</v>
      </c>
      <c r="AN4849" s="2" t="s">
        <v>14958</v>
      </c>
      <c r="AO4849" s="2"/>
      <c r="AP4849" s="2">
        <v>11</v>
      </c>
      <c r="AQ4849" s="2" t="s">
        <v>82</v>
      </c>
      <c r="AR4849" s="2" t="s">
        <v>82</v>
      </c>
      <c r="AS4849" s="2" t="s">
        <v>82</v>
      </c>
      <c r="AT4849" s="2" t="s">
        <v>14959</v>
      </c>
      <c r="AU4849" s="2"/>
      <c r="AV4849" s="2"/>
      <c r="AW4849" s="2"/>
      <c r="AX4849" s="2"/>
      <c r="AY4849" s="2">
        <v>41</v>
      </c>
      <c r="AZ4849" s="2" t="s">
        <v>82</v>
      </c>
      <c r="BA4849" s="2">
        <v>41</v>
      </c>
      <c r="BB4849" s="2" t="s">
        <v>82</v>
      </c>
      <c r="BC4849" s="2">
        <v>41</v>
      </c>
      <c r="BD4849" s="2" t="s">
        <v>82</v>
      </c>
      <c r="BE4849" s="2">
        <v>41</v>
      </c>
      <c r="BF4849" s="2" t="s">
        <v>82</v>
      </c>
      <c r="BG4849" s="2" t="s">
        <v>82</v>
      </c>
      <c r="BH4849" s="2"/>
      <c r="BI4849" s="2"/>
      <c r="BJ4849" s="2">
        <v>241</v>
      </c>
      <c r="BK4849" s="2" t="s">
        <v>82</v>
      </c>
      <c r="BL4849" s="2" t="s">
        <v>82</v>
      </c>
      <c r="BM4849" s="2">
        <v>241</v>
      </c>
      <c r="BN4849" s="2" t="s">
        <v>82</v>
      </c>
      <c r="BO4849" s="2"/>
      <c r="BP4849" s="2">
        <v>241</v>
      </c>
      <c r="BQ4849" s="2" t="s">
        <v>82</v>
      </c>
      <c r="BR4849" s="2" t="s">
        <v>82</v>
      </c>
      <c r="BS4849" s="3">
        <v>40508</v>
      </c>
      <c r="BT4849" s="4">
        <v>0.78353009259259254</v>
      </c>
    </row>
    <row r="4850" spans="1:72" x14ac:dyDescent="0.25">
      <c r="A4850" s="2">
        <v>7521</v>
      </c>
      <c r="B4850" s="2">
        <v>2010</v>
      </c>
      <c r="C4850" s="2" t="s">
        <v>385</v>
      </c>
      <c r="D4850" s="2" t="s">
        <v>122</v>
      </c>
      <c r="E4850" s="2"/>
      <c r="F4850" s="2">
        <v>471</v>
      </c>
      <c r="G4850" s="2" t="s">
        <v>6201</v>
      </c>
      <c r="H4850" s="2">
        <v>66</v>
      </c>
      <c r="I4850" s="2" t="s">
        <v>3190</v>
      </c>
      <c r="J4850" s="2">
        <v>434</v>
      </c>
      <c r="K4850" s="2" t="s">
        <v>4419</v>
      </c>
      <c r="L4850" s="2" t="s">
        <v>946</v>
      </c>
      <c r="M4850" s="3">
        <v>40508</v>
      </c>
      <c r="N4850" s="2" t="s">
        <v>6981</v>
      </c>
      <c r="O4850" s="2" t="s">
        <v>14960</v>
      </c>
      <c r="P4850" s="2" t="s">
        <v>2529</v>
      </c>
      <c r="Q4850" s="2" t="str">
        <f>"002/2010"</f>
        <v>002/2010</v>
      </c>
      <c r="R4850" s="2" t="s">
        <v>2529</v>
      </c>
      <c r="S4850" s="2" t="s">
        <v>2529</v>
      </c>
      <c r="T4850" s="2">
        <v>1</v>
      </c>
      <c r="U4850" s="2" t="s">
        <v>79</v>
      </c>
      <c r="V4850" s="2">
        <v>1</v>
      </c>
      <c r="W4850" s="2" t="s">
        <v>80</v>
      </c>
      <c r="X4850" s="2">
        <v>5</v>
      </c>
      <c r="Y4850" s="2" t="s">
        <v>82</v>
      </c>
      <c r="Z4850" s="2">
        <v>1</v>
      </c>
      <c r="AA4850" s="2" t="s">
        <v>82</v>
      </c>
      <c r="AB4850" s="2">
        <v>9</v>
      </c>
      <c r="AC4850" s="2" t="s">
        <v>124</v>
      </c>
      <c r="AD4850" s="3">
        <v>40508</v>
      </c>
      <c r="AE4850" s="4">
        <v>0.63541666666666663</v>
      </c>
      <c r="AF4850" s="2"/>
      <c r="AG4850" s="2"/>
      <c r="AH4850" s="2">
        <v>5</v>
      </c>
      <c r="AI4850" s="2" t="s">
        <v>274</v>
      </c>
      <c r="AJ4850" s="2">
        <v>35</v>
      </c>
      <c r="AK4850" s="2" t="s">
        <v>275</v>
      </c>
      <c r="AL4850" s="2">
        <v>19</v>
      </c>
      <c r="AM4850" s="2" t="s">
        <v>107</v>
      </c>
      <c r="AN4850" s="2" t="s">
        <v>107</v>
      </c>
      <c r="AO4850" s="2" t="s">
        <v>14961</v>
      </c>
      <c r="AP4850" s="2">
        <v>11</v>
      </c>
      <c r="AQ4850" s="2" t="s">
        <v>82</v>
      </c>
      <c r="AR4850" s="2" t="s">
        <v>107</v>
      </c>
      <c r="AS4850" s="2" t="s">
        <v>107</v>
      </c>
      <c r="AT4850" s="2" t="s">
        <v>14962</v>
      </c>
      <c r="AU4850" s="2"/>
      <c r="AV4850" s="2">
        <v>3</v>
      </c>
      <c r="AW4850" s="2"/>
      <c r="AX4850" s="2"/>
      <c r="AY4850" s="2">
        <v>41</v>
      </c>
      <c r="AZ4850" s="2" t="s">
        <v>82</v>
      </c>
      <c r="BA4850" s="2">
        <v>41</v>
      </c>
      <c r="BB4850" s="2" t="s">
        <v>82</v>
      </c>
      <c r="BC4850" s="2">
        <v>41</v>
      </c>
      <c r="BD4850" s="2" t="s">
        <v>82</v>
      </c>
      <c r="BE4850" s="2">
        <v>41</v>
      </c>
      <c r="BF4850" s="2" t="s">
        <v>82</v>
      </c>
      <c r="BG4850" s="2" t="s">
        <v>82</v>
      </c>
      <c r="BH4850" s="2"/>
      <c r="BI4850" s="2"/>
      <c r="BJ4850" s="2">
        <v>241</v>
      </c>
      <c r="BK4850" s="2" t="s">
        <v>82</v>
      </c>
      <c r="BL4850" s="2" t="s">
        <v>82</v>
      </c>
      <c r="BM4850" s="2">
        <v>241</v>
      </c>
      <c r="BN4850" s="2" t="s">
        <v>82</v>
      </c>
      <c r="BO4850" s="2"/>
      <c r="BP4850" s="2">
        <v>241</v>
      </c>
      <c r="BQ4850" s="2" t="s">
        <v>82</v>
      </c>
      <c r="BR4850" s="2" t="s">
        <v>82</v>
      </c>
      <c r="BS4850" s="3">
        <v>40508</v>
      </c>
      <c r="BT4850" s="4">
        <v>0.78758101851851858</v>
      </c>
    </row>
    <row r="4851" spans="1:72" x14ac:dyDescent="0.25">
      <c r="A4851" s="2">
        <v>7522</v>
      </c>
      <c r="B4851" s="2">
        <v>2010</v>
      </c>
      <c r="C4851" s="2" t="s">
        <v>171</v>
      </c>
      <c r="D4851" s="2" t="s">
        <v>73</v>
      </c>
      <c r="E4851" s="2"/>
      <c r="F4851" s="2">
        <v>471</v>
      </c>
      <c r="G4851" s="2" t="s">
        <v>6201</v>
      </c>
      <c r="H4851" s="2">
        <v>66</v>
      </c>
      <c r="I4851" s="2" t="s">
        <v>3190</v>
      </c>
      <c r="J4851" s="2">
        <v>434</v>
      </c>
      <c r="K4851" s="2" t="s">
        <v>4419</v>
      </c>
      <c r="L4851" s="2" t="s">
        <v>946</v>
      </c>
      <c r="M4851" s="3">
        <v>40508</v>
      </c>
      <c r="N4851" s="2" t="s">
        <v>14866</v>
      </c>
      <c r="O4851" s="2" t="s">
        <v>14963</v>
      </c>
      <c r="P4851" s="2" t="s">
        <v>14911</v>
      </c>
      <c r="Q4851" s="2" t="str">
        <f>"0027/2010"</f>
        <v>0027/2010</v>
      </c>
      <c r="R4851" s="2"/>
      <c r="S4851" s="2"/>
      <c r="T4851" s="2">
        <v>1</v>
      </c>
      <c r="U4851" s="2" t="s">
        <v>79</v>
      </c>
      <c r="V4851" s="2">
        <v>3</v>
      </c>
      <c r="W4851" s="2" t="s">
        <v>225</v>
      </c>
      <c r="X4851" s="2">
        <v>7</v>
      </c>
      <c r="Y4851" s="2" t="s">
        <v>1964</v>
      </c>
      <c r="Z4851" s="2">
        <v>1</v>
      </c>
      <c r="AA4851" s="2" t="s">
        <v>82</v>
      </c>
      <c r="AB4851" s="2">
        <v>9</v>
      </c>
      <c r="AC4851" s="2" t="s">
        <v>124</v>
      </c>
      <c r="AD4851" s="3">
        <v>40508</v>
      </c>
      <c r="AE4851" s="4">
        <v>0.58333333333333337</v>
      </c>
      <c r="AF4851" s="2"/>
      <c r="AG4851" s="2"/>
      <c r="AH4851" s="2">
        <v>5</v>
      </c>
      <c r="AI4851" s="2" t="s">
        <v>274</v>
      </c>
      <c r="AJ4851" s="2">
        <v>35</v>
      </c>
      <c r="AK4851" s="2" t="s">
        <v>275</v>
      </c>
      <c r="AL4851" s="2">
        <v>23</v>
      </c>
      <c r="AM4851" s="2" t="s">
        <v>251</v>
      </c>
      <c r="AN4851" s="2"/>
      <c r="AO4851" s="2"/>
      <c r="AP4851" s="2">
        <v>11</v>
      </c>
      <c r="AQ4851" s="2" t="s">
        <v>82</v>
      </c>
      <c r="AR4851" s="2"/>
      <c r="AS4851" s="2"/>
      <c r="AT4851" s="2" t="s">
        <v>14964</v>
      </c>
      <c r="AU4851" s="2"/>
      <c r="AV4851" s="2"/>
      <c r="AW4851" s="2"/>
      <c r="AX4851" s="2"/>
      <c r="AY4851" s="2">
        <v>41</v>
      </c>
      <c r="AZ4851" s="2" t="s">
        <v>82</v>
      </c>
      <c r="BA4851" s="2">
        <v>41</v>
      </c>
      <c r="BB4851" s="2" t="s">
        <v>82</v>
      </c>
      <c r="BC4851" s="2">
        <v>41</v>
      </c>
      <c r="BD4851" s="2" t="s">
        <v>82</v>
      </c>
      <c r="BE4851" s="2">
        <v>41</v>
      </c>
      <c r="BF4851" s="2" t="s">
        <v>82</v>
      </c>
      <c r="BG4851" s="2"/>
      <c r="BH4851" s="2"/>
      <c r="BI4851" s="2"/>
      <c r="BJ4851" s="2">
        <v>241</v>
      </c>
      <c r="BK4851" s="2" t="s">
        <v>82</v>
      </c>
      <c r="BL4851" s="2"/>
      <c r="BM4851" s="2">
        <v>241</v>
      </c>
      <c r="BN4851" s="2" t="s">
        <v>82</v>
      </c>
      <c r="BO4851" s="2"/>
      <c r="BP4851" s="2">
        <v>241</v>
      </c>
      <c r="BQ4851" s="2" t="s">
        <v>82</v>
      </c>
      <c r="BR4851" s="2"/>
      <c r="BS4851" s="3">
        <v>40508</v>
      </c>
      <c r="BT4851" s="4">
        <v>0.82465277777777779</v>
      </c>
    </row>
    <row r="4852" spans="1:72" x14ac:dyDescent="0.25">
      <c r="A4852" s="2">
        <v>7523</v>
      </c>
      <c r="B4852" s="2">
        <v>2010</v>
      </c>
      <c r="C4852" s="2" t="s">
        <v>171</v>
      </c>
      <c r="D4852" s="2" t="s">
        <v>122</v>
      </c>
      <c r="E4852" s="2"/>
      <c r="F4852" s="2">
        <v>471</v>
      </c>
      <c r="G4852" s="2" t="s">
        <v>6201</v>
      </c>
      <c r="H4852" s="2">
        <v>66</v>
      </c>
      <c r="I4852" s="2" t="s">
        <v>3190</v>
      </c>
      <c r="J4852" s="2">
        <v>309</v>
      </c>
      <c r="K4852" s="2" t="s">
        <v>268</v>
      </c>
      <c r="L4852" s="2" t="s">
        <v>269</v>
      </c>
      <c r="M4852" s="3">
        <v>40508</v>
      </c>
      <c r="N4852" s="2" t="s">
        <v>6981</v>
      </c>
      <c r="O4852" s="2" t="s">
        <v>14965</v>
      </c>
      <c r="P4852" s="2" t="s">
        <v>14966</v>
      </c>
      <c r="Q4852" s="2" t="str">
        <f>"0027/2010"</f>
        <v>0027/2010</v>
      </c>
      <c r="R4852" s="2" t="s">
        <v>473</v>
      </c>
      <c r="S4852" s="2" t="s">
        <v>473</v>
      </c>
      <c r="T4852" s="2">
        <v>1</v>
      </c>
      <c r="U4852" s="2" t="s">
        <v>79</v>
      </c>
      <c r="V4852" s="2">
        <v>3</v>
      </c>
      <c r="W4852" s="2" t="s">
        <v>225</v>
      </c>
      <c r="X4852" s="2">
        <v>5</v>
      </c>
      <c r="Y4852" s="2" t="s">
        <v>82</v>
      </c>
      <c r="Z4852" s="2">
        <v>1</v>
      </c>
      <c r="AA4852" s="2" t="s">
        <v>82</v>
      </c>
      <c r="AB4852" s="2">
        <v>9</v>
      </c>
      <c r="AC4852" s="2" t="s">
        <v>124</v>
      </c>
      <c r="AD4852" s="3">
        <v>40508</v>
      </c>
      <c r="AE4852" s="2"/>
      <c r="AF4852" s="2"/>
      <c r="AG4852" s="2"/>
      <c r="AH4852" s="2">
        <v>5</v>
      </c>
      <c r="AI4852" s="2" t="s">
        <v>274</v>
      </c>
      <c r="AJ4852" s="2">
        <v>35</v>
      </c>
      <c r="AK4852" s="2" t="s">
        <v>275</v>
      </c>
      <c r="AL4852" s="2">
        <v>19</v>
      </c>
      <c r="AM4852" s="2" t="s">
        <v>107</v>
      </c>
      <c r="AN4852" s="2" t="s">
        <v>3620</v>
      </c>
      <c r="AO4852" s="2" t="s">
        <v>14967</v>
      </c>
      <c r="AP4852" s="2">
        <v>11</v>
      </c>
      <c r="AQ4852" s="2" t="s">
        <v>82</v>
      </c>
      <c r="AR4852" s="2"/>
      <c r="AS4852" s="2"/>
      <c r="AT4852" s="2" t="s">
        <v>14968</v>
      </c>
      <c r="AU4852" s="2"/>
      <c r="AV4852" s="2"/>
      <c r="AW4852" s="2"/>
      <c r="AX4852" s="2"/>
      <c r="AY4852" s="2">
        <v>41</v>
      </c>
      <c r="AZ4852" s="2" t="s">
        <v>82</v>
      </c>
      <c r="BA4852" s="2">
        <v>41</v>
      </c>
      <c r="BB4852" s="2" t="s">
        <v>82</v>
      </c>
      <c r="BC4852" s="2">
        <v>41</v>
      </c>
      <c r="BD4852" s="2" t="s">
        <v>82</v>
      </c>
      <c r="BE4852" s="2">
        <v>41</v>
      </c>
      <c r="BF4852" s="2" t="s">
        <v>82</v>
      </c>
      <c r="BG4852" s="2"/>
      <c r="BH4852" s="2"/>
      <c r="BI4852" s="2"/>
      <c r="BJ4852" s="2">
        <v>241</v>
      </c>
      <c r="BK4852" s="2" t="s">
        <v>82</v>
      </c>
      <c r="BL4852" s="2" t="s">
        <v>82</v>
      </c>
      <c r="BM4852" s="2">
        <v>241</v>
      </c>
      <c r="BN4852" s="2" t="s">
        <v>82</v>
      </c>
      <c r="BO4852" s="2"/>
      <c r="BP4852" s="2">
        <v>241</v>
      </c>
      <c r="BQ4852" s="2" t="s">
        <v>82</v>
      </c>
      <c r="BR4852" s="2" t="s">
        <v>82</v>
      </c>
      <c r="BS4852" s="3">
        <v>40508</v>
      </c>
      <c r="BT4852" s="4">
        <v>0.85820601851851863</v>
      </c>
    </row>
    <row r="4853" spans="1:72" x14ac:dyDescent="0.25">
      <c r="A4853" s="2">
        <v>7524</v>
      </c>
      <c r="B4853" s="2">
        <v>2010</v>
      </c>
      <c r="C4853" s="2" t="s">
        <v>72</v>
      </c>
      <c r="D4853" s="2" t="s">
        <v>73</v>
      </c>
      <c r="E4853" s="2" t="s">
        <v>14969</v>
      </c>
      <c r="F4853" s="2">
        <v>3</v>
      </c>
      <c r="G4853" s="2" t="s">
        <v>1041</v>
      </c>
      <c r="H4853" s="2">
        <v>22</v>
      </c>
      <c r="I4853" s="2" t="s">
        <v>75</v>
      </c>
      <c r="J4853" s="2">
        <v>368</v>
      </c>
      <c r="K4853" s="2" t="s">
        <v>1042</v>
      </c>
      <c r="L4853" s="2" t="s">
        <v>1043</v>
      </c>
      <c r="M4853" s="3">
        <v>40508</v>
      </c>
      <c r="N4853" s="2" t="s">
        <v>14970</v>
      </c>
      <c r="O4853" s="2" t="s">
        <v>107</v>
      </c>
      <c r="P4853" s="2" t="s">
        <v>107</v>
      </c>
      <c r="Q4853" s="2" t="str">
        <f>"589-E/10"</f>
        <v>589-E/10</v>
      </c>
      <c r="R4853" s="2" t="s">
        <v>116</v>
      </c>
      <c r="S4853" s="2" t="s">
        <v>116</v>
      </c>
      <c r="T4853" s="2">
        <v>1</v>
      </c>
      <c r="U4853" s="2" t="s">
        <v>79</v>
      </c>
      <c r="V4853" s="2">
        <v>1</v>
      </c>
      <c r="W4853" s="2" t="s">
        <v>80</v>
      </c>
      <c r="X4853" s="2">
        <v>12</v>
      </c>
      <c r="Y4853" s="2" t="s">
        <v>148</v>
      </c>
      <c r="Z4853" s="2">
        <v>1</v>
      </c>
      <c r="AA4853" s="2" t="s">
        <v>82</v>
      </c>
      <c r="AB4853" s="2">
        <v>6</v>
      </c>
      <c r="AC4853" s="2" t="s">
        <v>83</v>
      </c>
      <c r="AD4853" s="3">
        <v>40492</v>
      </c>
      <c r="AE4853" s="2"/>
      <c r="AF4853" s="3">
        <v>40507</v>
      </c>
      <c r="AG4853" s="4">
        <v>0.84375</v>
      </c>
      <c r="AH4853" s="2">
        <v>2</v>
      </c>
      <c r="AI4853" s="2" t="s">
        <v>84</v>
      </c>
      <c r="AJ4853" s="2">
        <v>9</v>
      </c>
      <c r="AK4853" s="2" t="s">
        <v>103</v>
      </c>
      <c r="AL4853" s="2">
        <v>12</v>
      </c>
      <c r="AM4853" s="2" t="s">
        <v>86</v>
      </c>
      <c r="AN4853" s="2" t="s">
        <v>14971</v>
      </c>
      <c r="AO4853" s="2" t="s">
        <v>82</v>
      </c>
      <c r="AP4853" s="2">
        <v>11</v>
      </c>
      <c r="AQ4853" s="2" t="s">
        <v>82</v>
      </c>
      <c r="AR4853" s="2"/>
      <c r="AS4853" s="2"/>
      <c r="AT4853" s="2" t="s">
        <v>14972</v>
      </c>
      <c r="AU4853" s="2">
        <v>1</v>
      </c>
      <c r="AV4853" s="2"/>
      <c r="AW4853" s="2"/>
      <c r="AX4853" s="2"/>
      <c r="AY4853" s="2">
        <v>41</v>
      </c>
      <c r="AZ4853" s="2" t="s">
        <v>82</v>
      </c>
      <c r="BA4853" s="2">
        <v>41</v>
      </c>
      <c r="BB4853" s="2" t="s">
        <v>82</v>
      </c>
      <c r="BC4853" s="2">
        <v>41</v>
      </c>
      <c r="BD4853" s="2" t="s">
        <v>82</v>
      </c>
      <c r="BE4853" s="2">
        <v>41</v>
      </c>
      <c r="BF4853" s="2" t="s">
        <v>82</v>
      </c>
      <c r="BG4853" s="2"/>
      <c r="BH4853" s="2"/>
      <c r="BI4853" s="2"/>
      <c r="BJ4853" s="2">
        <v>241</v>
      </c>
      <c r="BK4853" s="2" t="s">
        <v>82</v>
      </c>
      <c r="BL4853" s="2"/>
      <c r="BM4853" s="2">
        <v>241</v>
      </c>
      <c r="BN4853" s="2" t="s">
        <v>82</v>
      </c>
      <c r="BO4853" s="2"/>
      <c r="BP4853" s="2">
        <v>241</v>
      </c>
      <c r="BQ4853" s="2" t="s">
        <v>82</v>
      </c>
      <c r="BR4853" s="2"/>
      <c r="BS4853" s="3">
        <v>40508</v>
      </c>
      <c r="BT4853" s="4">
        <v>0.9067708333333333</v>
      </c>
    </row>
    <row r="4854" spans="1:72" x14ac:dyDescent="0.25">
      <c r="A4854" s="2">
        <v>7525</v>
      </c>
      <c r="B4854" s="2">
        <v>2010</v>
      </c>
      <c r="C4854" s="2" t="s">
        <v>72</v>
      </c>
      <c r="D4854" s="2" t="s">
        <v>122</v>
      </c>
      <c r="E4854" s="2"/>
      <c r="F4854" s="2">
        <v>540</v>
      </c>
      <c r="G4854" s="2" t="s">
        <v>7178</v>
      </c>
      <c r="H4854" s="2">
        <v>5</v>
      </c>
      <c r="I4854" s="2" t="s">
        <v>634</v>
      </c>
      <c r="J4854" s="2">
        <v>533</v>
      </c>
      <c r="K4854" s="2" t="s">
        <v>6511</v>
      </c>
      <c r="L4854" s="2" t="s">
        <v>478</v>
      </c>
      <c r="M4854" s="3">
        <v>40508</v>
      </c>
      <c r="N4854" s="2" t="s">
        <v>3705</v>
      </c>
      <c r="O4854" s="2" t="s">
        <v>302</v>
      </c>
      <c r="P4854" s="2" t="s">
        <v>107</v>
      </c>
      <c r="Q4854" s="2" t="str">
        <f>"11R/10"</f>
        <v>11R/10</v>
      </c>
      <c r="R4854" s="2"/>
      <c r="S4854" s="2" t="s">
        <v>302</v>
      </c>
      <c r="T4854" s="2">
        <v>1</v>
      </c>
      <c r="U4854" s="2" t="s">
        <v>79</v>
      </c>
      <c r="V4854" s="2">
        <v>3</v>
      </c>
      <c r="W4854" s="2" t="s">
        <v>225</v>
      </c>
      <c r="X4854" s="2">
        <v>1</v>
      </c>
      <c r="Y4854" s="2" t="s">
        <v>81</v>
      </c>
      <c r="Z4854" s="2">
        <v>1</v>
      </c>
      <c r="AA4854" s="2" t="s">
        <v>82</v>
      </c>
      <c r="AB4854" s="2">
        <v>9</v>
      </c>
      <c r="AC4854" s="2" t="s">
        <v>124</v>
      </c>
      <c r="AD4854" s="3">
        <v>40507</v>
      </c>
      <c r="AE4854" s="2"/>
      <c r="AF4854" s="3">
        <v>40508</v>
      </c>
      <c r="AG4854" s="4">
        <v>0.76388888888888884</v>
      </c>
      <c r="AH4854" s="2">
        <v>2</v>
      </c>
      <c r="AI4854" s="2" t="s">
        <v>84</v>
      </c>
      <c r="AJ4854" s="2">
        <v>6</v>
      </c>
      <c r="AK4854" s="2" t="s">
        <v>453</v>
      </c>
      <c r="AL4854" s="2">
        <v>22</v>
      </c>
      <c r="AM4854" s="2" t="s">
        <v>1853</v>
      </c>
      <c r="AN4854" s="2" t="s">
        <v>14973</v>
      </c>
      <c r="AO4854" s="2" t="s">
        <v>200</v>
      </c>
      <c r="AP4854" s="2">
        <v>11</v>
      </c>
      <c r="AQ4854" s="2" t="s">
        <v>82</v>
      </c>
      <c r="AR4854" s="2"/>
      <c r="AS4854" s="2"/>
      <c r="AT4854" s="2" t="s">
        <v>14974</v>
      </c>
      <c r="AU4854" s="2"/>
      <c r="AV4854" s="2"/>
      <c r="AW4854" s="2"/>
      <c r="AX4854" s="2"/>
      <c r="AY4854" s="2">
        <v>41</v>
      </c>
      <c r="AZ4854" s="2" t="s">
        <v>82</v>
      </c>
      <c r="BA4854" s="2">
        <v>41</v>
      </c>
      <c r="BB4854" s="2" t="s">
        <v>82</v>
      </c>
      <c r="BC4854" s="2">
        <v>41</v>
      </c>
      <c r="BD4854" s="2" t="s">
        <v>82</v>
      </c>
      <c r="BE4854" s="2">
        <v>41</v>
      </c>
      <c r="BF4854" s="2" t="s">
        <v>82</v>
      </c>
      <c r="BG4854" s="2"/>
      <c r="BH4854" s="2"/>
      <c r="BI4854" s="2"/>
      <c r="BJ4854" s="2">
        <v>241</v>
      </c>
      <c r="BK4854" s="2" t="s">
        <v>82</v>
      </c>
      <c r="BL4854" s="2"/>
      <c r="BM4854" s="2">
        <v>241</v>
      </c>
      <c r="BN4854" s="2" t="s">
        <v>82</v>
      </c>
      <c r="BO4854" s="2"/>
      <c r="BP4854" s="2">
        <v>241</v>
      </c>
      <c r="BQ4854" s="2" t="s">
        <v>82</v>
      </c>
      <c r="BR4854" s="2"/>
      <c r="BS4854" s="3">
        <v>40508</v>
      </c>
      <c r="BT4854" s="4">
        <v>0.90971064814814817</v>
      </c>
    </row>
    <row r="4855" spans="1:72" x14ac:dyDescent="0.25">
      <c r="A4855" s="2">
        <v>7527</v>
      </c>
      <c r="B4855" s="2">
        <v>2010</v>
      </c>
      <c r="C4855" s="2" t="s">
        <v>819</v>
      </c>
      <c r="D4855" s="2" t="s">
        <v>122</v>
      </c>
      <c r="E4855" s="2"/>
      <c r="F4855" s="2">
        <v>425</v>
      </c>
      <c r="G4855" s="2" t="s">
        <v>286</v>
      </c>
      <c r="H4855" s="2">
        <v>39</v>
      </c>
      <c r="I4855" s="2" t="s">
        <v>1117</v>
      </c>
      <c r="J4855" s="2">
        <v>310</v>
      </c>
      <c r="K4855" s="2" t="s">
        <v>288</v>
      </c>
      <c r="L4855" s="2" t="s">
        <v>289</v>
      </c>
      <c r="M4855" s="3">
        <v>40508</v>
      </c>
      <c r="N4855" s="2" t="s">
        <v>2049</v>
      </c>
      <c r="O4855" s="2"/>
      <c r="P4855" s="2"/>
      <c r="Q4855" s="2" t="str">
        <f>"113/10"</f>
        <v>113/10</v>
      </c>
      <c r="R4855" s="2"/>
      <c r="S4855" s="2" t="s">
        <v>822</v>
      </c>
      <c r="T4855" s="2">
        <v>1</v>
      </c>
      <c r="U4855" s="2" t="s">
        <v>79</v>
      </c>
      <c r="V4855" s="2">
        <v>1</v>
      </c>
      <c r="W4855" s="2" t="s">
        <v>80</v>
      </c>
      <c r="X4855" s="2">
        <v>1</v>
      </c>
      <c r="Y4855" s="2" t="s">
        <v>81</v>
      </c>
      <c r="Z4855" s="2">
        <v>10</v>
      </c>
      <c r="AA4855" s="2" t="s">
        <v>236</v>
      </c>
      <c r="AB4855" s="2">
        <v>9</v>
      </c>
      <c r="AC4855" s="2" t="s">
        <v>124</v>
      </c>
      <c r="AD4855" s="3">
        <v>40508</v>
      </c>
      <c r="AE4855" s="4">
        <v>0.90972222222222221</v>
      </c>
      <c r="AF4855" s="3">
        <v>40508</v>
      </c>
      <c r="AG4855" s="4">
        <v>0.90972222222222221</v>
      </c>
      <c r="AH4855" s="2">
        <v>4</v>
      </c>
      <c r="AI4855" s="2" t="s">
        <v>125</v>
      </c>
      <c r="AJ4855" s="2">
        <v>29</v>
      </c>
      <c r="AK4855" s="2" t="s">
        <v>227</v>
      </c>
      <c r="AL4855" s="2">
        <v>10</v>
      </c>
      <c r="AM4855" s="2" t="s">
        <v>200</v>
      </c>
      <c r="AN4855" s="2" t="s">
        <v>1015</v>
      </c>
      <c r="AO4855" s="2" t="s">
        <v>6863</v>
      </c>
      <c r="AP4855" s="2">
        <v>12</v>
      </c>
      <c r="AQ4855" s="2" t="s">
        <v>322</v>
      </c>
      <c r="AR4855" s="2" t="s">
        <v>824</v>
      </c>
      <c r="AS4855" s="2" t="s">
        <v>825</v>
      </c>
      <c r="AT4855" s="2" t="s">
        <v>14975</v>
      </c>
      <c r="AU4855" s="2"/>
      <c r="AV4855" s="2"/>
      <c r="AW4855" s="2"/>
      <c r="AX4855" s="2"/>
      <c r="AY4855" s="2">
        <v>41</v>
      </c>
      <c r="AZ4855" s="2" t="s">
        <v>82</v>
      </c>
      <c r="BA4855" s="2">
        <v>41</v>
      </c>
      <c r="BB4855" s="2" t="s">
        <v>82</v>
      </c>
      <c r="BC4855" s="2">
        <v>51</v>
      </c>
      <c r="BD4855" s="2" t="s">
        <v>827</v>
      </c>
      <c r="BE4855" s="2">
        <v>47</v>
      </c>
      <c r="BF4855" s="2" t="s">
        <v>167</v>
      </c>
      <c r="BG4855" s="2">
        <v>2459</v>
      </c>
      <c r="BH4855" s="4">
        <v>0.90625</v>
      </c>
      <c r="BI4855" s="4">
        <v>0.9375</v>
      </c>
      <c r="BJ4855" s="2">
        <v>13</v>
      </c>
      <c r="BK4855" s="2" t="s">
        <v>91</v>
      </c>
      <c r="BL4855" s="2" t="s">
        <v>828</v>
      </c>
      <c r="BM4855" s="2">
        <v>13</v>
      </c>
      <c r="BN4855" s="2" t="s">
        <v>91</v>
      </c>
      <c r="BO4855" s="2"/>
      <c r="BP4855" s="2">
        <v>13</v>
      </c>
      <c r="BQ4855" s="2" t="s">
        <v>91</v>
      </c>
      <c r="BR4855" s="2" t="s">
        <v>185</v>
      </c>
      <c r="BS4855" s="3">
        <v>40508</v>
      </c>
      <c r="BT4855" s="4">
        <v>0.96972222222222226</v>
      </c>
    </row>
    <row r="4856" spans="1:72" x14ac:dyDescent="0.25">
      <c r="A4856" s="2">
        <v>7528</v>
      </c>
      <c r="B4856" s="2">
        <v>2010</v>
      </c>
      <c r="C4856" s="2" t="s">
        <v>171</v>
      </c>
      <c r="D4856" s="2" t="s">
        <v>73</v>
      </c>
      <c r="E4856" s="2"/>
      <c r="F4856" s="2">
        <v>232</v>
      </c>
      <c r="G4856" s="2" t="s">
        <v>4075</v>
      </c>
      <c r="H4856" s="2">
        <v>15</v>
      </c>
      <c r="I4856" s="2" t="s">
        <v>130</v>
      </c>
      <c r="J4856" s="2">
        <v>2</v>
      </c>
      <c r="K4856" s="2" t="s">
        <v>3661</v>
      </c>
      <c r="L4856" s="2" t="s">
        <v>3662</v>
      </c>
      <c r="M4856" s="3">
        <v>40508</v>
      </c>
      <c r="N4856" s="2" t="s">
        <v>588</v>
      </c>
      <c r="O4856" s="2" t="s">
        <v>14976</v>
      </c>
      <c r="P4856" s="2">
        <v>6573</v>
      </c>
      <c r="Q4856" s="2" t="str">
        <f>"N/C"</f>
        <v>N/C</v>
      </c>
      <c r="R4856" s="2"/>
      <c r="S4856" s="2" t="s">
        <v>82</v>
      </c>
      <c r="T4856" s="2">
        <v>1</v>
      </c>
      <c r="U4856" s="2" t="s">
        <v>79</v>
      </c>
      <c r="V4856" s="2">
        <v>1</v>
      </c>
      <c r="W4856" s="2" t="s">
        <v>80</v>
      </c>
      <c r="X4856" s="2">
        <v>8</v>
      </c>
      <c r="Y4856" s="2" t="s">
        <v>375</v>
      </c>
      <c r="Z4856" s="2">
        <v>1</v>
      </c>
      <c r="AA4856" s="2" t="s">
        <v>82</v>
      </c>
      <c r="AB4856" s="2">
        <v>1</v>
      </c>
      <c r="AC4856" s="2" t="s">
        <v>178</v>
      </c>
      <c r="AD4856" s="3">
        <v>40508</v>
      </c>
      <c r="AE4856" s="4">
        <v>0.88194444444444453</v>
      </c>
      <c r="AF4856" s="3">
        <v>40508</v>
      </c>
      <c r="AG4856" s="4">
        <v>0.90972222222222221</v>
      </c>
      <c r="AH4856" s="2">
        <v>2</v>
      </c>
      <c r="AI4856" s="2" t="s">
        <v>84</v>
      </c>
      <c r="AJ4856" s="2">
        <v>6</v>
      </c>
      <c r="AK4856" s="2" t="s">
        <v>453</v>
      </c>
      <c r="AL4856" s="2">
        <v>23</v>
      </c>
      <c r="AM4856" s="2" t="s">
        <v>251</v>
      </c>
      <c r="AN4856" s="2"/>
      <c r="AO4856" s="2" t="s">
        <v>14977</v>
      </c>
      <c r="AP4856" s="2">
        <v>11</v>
      </c>
      <c r="AQ4856" s="2" t="s">
        <v>82</v>
      </c>
      <c r="AR4856" s="2"/>
      <c r="AS4856" s="2"/>
      <c r="AT4856" s="2" t="s">
        <v>14978</v>
      </c>
      <c r="AU4856" s="2"/>
      <c r="AV4856" s="2"/>
      <c r="AW4856" s="2"/>
      <c r="AX4856" s="2"/>
      <c r="AY4856" s="2">
        <v>41</v>
      </c>
      <c r="AZ4856" s="2" t="s">
        <v>82</v>
      </c>
      <c r="BA4856" s="2">
        <v>41</v>
      </c>
      <c r="BB4856" s="2" t="s">
        <v>82</v>
      </c>
      <c r="BC4856" s="2">
        <v>41</v>
      </c>
      <c r="BD4856" s="2" t="s">
        <v>82</v>
      </c>
      <c r="BE4856" s="2">
        <v>41</v>
      </c>
      <c r="BF4856" s="2" t="s">
        <v>82</v>
      </c>
      <c r="BG4856" s="2"/>
      <c r="BH4856" s="2"/>
      <c r="BI4856" s="2"/>
      <c r="BJ4856" s="2">
        <v>241</v>
      </c>
      <c r="BK4856" s="2" t="s">
        <v>82</v>
      </c>
      <c r="BL4856" s="2"/>
      <c r="BM4856" s="2">
        <v>241</v>
      </c>
      <c r="BN4856" s="2" t="s">
        <v>82</v>
      </c>
      <c r="BO4856" s="2"/>
      <c r="BP4856" s="2">
        <v>241</v>
      </c>
      <c r="BQ4856" s="2" t="s">
        <v>82</v>
      </c>
      <c r="BR4856" s="2"/>
      <c r="BS4856" s="3">
        <v>40508</v>
      </c>
      <c r="BT4856" s="4">
        <v>0.97813657407407406</v>
      </c>
    </row>
    <row r="4857" spans="1:72" x14ac:dyDescent="0.25">
      <c r="A4857" s="2">
        <v>7529</v>
      </c>
      <c r="B4857" s="2">
        <v>2010</v>
      </c>
      <c r="C4857" s="2" t="s">
        <v>196</v>
      </c>
      <c r="D4857" s="2" t="s">
        <v>122</v>
      </c>
      <c r="E4857" s="2"/>
      <c r="F4857" s="2">
        <v>1</v>
      </c>
      <c r="G4857" s="2" t="s">
        <v>82</v>
      </c>
      <c r="H4857" s="2">
        <v>1</v>
      </c>
      <c r="I4857" s="2" t="s">
        <v>82</v>
      </c>
      <c r="J4857" s="2">
        <v>1</v>
      </c>
      <c r="K4857" s="2" t="s">
        <v>107</v>
      </c>
      <c r="L4857" s="2" t="s">
        <v>107</v>
      </c>
      <c r="M4857" s="3">
        <v>40509</v>
      </c>
      <c r="N4857" s="2"/>
      <c r="O4857" s="2"/>
      <c r="P4857" s="2"/>
      <c r="Q4857" s="2" t="str">
        <f>""</f>
        <v/>
      </c>
      <c r="R4857" s="2"/>
      <c r="S4857" s="2"/>
      <c r="T4857" s="2">
        <v>2</v>
      </c>
      <c r="U4857" s="2" t="s">
        <v>123</v>
      </c>
      <c r="V4857" s="2">
        <v>1</v>
      </c>
      <c r="W4857" s="2" t="s">
        <v>80</v>
      </c>
      <c r="X4857" s="2">
        <v>5</v>
      </c>
      <c r="Y4857" s="2" t="s">
        <v>82</v>
      </c>
      <c r="Z4857" s="2">
        <v>1</v>
      </c>
      <c r="AA4857" s="2" t="s">
        <v>82</v>
      </c>
      <c r="AB4857" s="2">
        <v>9</v>
      </c>
      <c r="AC4857" s="2" t="s">
        <v>124</v>
      </c>
      <c r="AD4857" s="3">
        <v>40508</v>
      </c>
      <c r="AE4857" s="4">
        <v>0.98958333333333337</v>
      </c>
      <c r="AF4857" s="2"/>
      <c r="AG4857" s="2"/>
      <c r="AH4857" s="2">
        <v>6</v>
      </c>
      <c r="AI4857" s="2" t="s">
        <v>197</v>
      </c>
      <c r="AJ4857" s="2">
        <v>58</v>
      </c>
      <c r="AK4857" s="2" t="s">
        <v>406</v>
      </c>
      <c r="AL4857" s="2">
        <v>9</v>
      </c>
      <c r="AM4857" s="2" t="s">
        <v>259</v>
      </c>
      <c r="AN4857" s="2"/>
      <c r="AO4857" s="2" t="s">
        <v>14979</v>
      </c>
      <c r="AP4857" s="2">
        <v>11</v>
      </c>
      <c r="AQ4857" s="2" t="s">
        <v>82</v>
      </c>
      <c r="AR4857" s="2"/>
      <c r="AS4857" s="2"/>
      <c r="AT4857" s="2" t="s">
        <v>14980</v>
      </c>
      <c r="AU4857" s="2"/>
      <c r="AV4857" s="2"/>
      <c r="AW4857" s="2"/>
      <c r="AX4857" s="2"/>
      <c r="AY4857" s="2">
        <v>41</v>
      </c>
      <c r="AZ4857" s="2" t="s">
        <v>82</v>
      </c>
      <c r="BA4857" s="2">
        <v>41</v>
      </c>
      <c r="BB4857" s="2" t="s">
        <v>82</v>
      </c>
      <c r="BC4857" s="2">
        <v>41</v>
      </c>
      <c r="BD4857" s="2" t="s">
        <v>82</v>
      </c>
      <c r="BE4857" s="2">
        <v>41</v>
      </c>
      <c r="BF4857" s="2" t="s">
        <v>82</v>
      </c>
      <c r="BG4857" s="2"/>
      <c r="BH4857" s="4">
        <v>0.98958333333333337</v>
      </c>
      <c r="BI4857" s="2"/>
      <c r="BJ4857" s="2">
        <v>99</v>
      </c>
      <c r="BK4857" s="2" t="s">
        <v>14827</v>
      </c>
      <c r="BL4857" s="2" t="s">
        <v>14981</v>
      </c>
      <c r="BM4857" s="2">
        <v>241</v>
      </c>
      <c r="BN4857" s="2" t="s">
        <v>82</v>
      </c>
      <c r="BO4857" s="2"/>
      <c r="BP4857" s="2">
        <v>13</v>
      </c>
      <c r="BQ4857" s="2" t="s">
        <v>91</v>
      </c>
      <c r="BR4857" s="2" t="s">
        <v>492</v>
      </c>
      <c r="BS4857" s="3">
        <v>40509</v>
      </c>
      <c r="BT4857" s="4">
        <v>1.3078703703703703E-2</v>
      </c>
    </row>
    <row r="4858" spans="1:72" x14ac:dyDescent="0.25">
      <c r="A4858" s="2">
        <v>7530</v>
      </c>
      <c r="B4858" s="2">
        <v>2010</v>
      </c>
      <c r="C4858" s="2" t="s">
        <v>549</v>
      </c>
      <c r="D4858" s="2" t="s">
        <v>73</v>
      </c>
      <c r="E4858" s="2"/>
      <c r="F4858" s="2">
        <v>24</v>
      </c>
      <c r="G4858" s="2" t="s">
        <v>532</v>
      </c>
      <c r="H4858" s="2">
        <v>149</v>
      </c>
      <c r="I4858" s="2" t="s">
        <v>14672</v>
      </c>
      <c r="J4858" s="2">
        <v>300</v>
      </c>
      <c r="K4858" s="2" t="s">
        <v>114</v>
      </c>
      <c r="L4858" s="2" t="s">
        <v>115</v>
      </c>
      <c r="M4858" s="3">
        <v>40509</v>
      </c>
      <c r="N4858" s="2"/>
      <c r="O4858" s="2"/>
      <c r="P4858" s="2"/>
      <c r="Q4858" s="2" t="str">
        <f>"636-E/10"</f>
        <v>636-E/10</v>
      </c>
      <c r="R4858" s="2" t="s">
        <v>14982</v>
      </c>
      <c r="S4858" s="2"/>
      <c r="T4858" s="2">
        <v>1</v>
      </c>
      <c r="U4858" s="2" t="s">
        <v>79</v>
      </c>
      <c r="V4858" s="2">
        <v>1</v>
      </c>
      <c r="W4858" s="2" t="s">
        <v>80</v>
      </c>
      <c r="X4858" s="2">
        <v>12</v>
      </c>
      <c r="Y4858" s="2" t="s">
        <v>148</v>
      </c>
      <c r="Z4858" s="2">
        <v>1</v>
      </c>
      <c r="AA4858" s="2" t="s">
        <v>82</v>
      </c>
      <c r="AB4858" s="2">
        <v>9</v>
      </c>
      <c r="AC4858" s="2" t="s">
        <v>124</v>
      </c>
      <c r="AD4858" s="3">
        <v>40495</v>
      </c>
      <c r="AE4858" s="2"/>
      <c r="AF4858" s="3">
        <v>40508</v>
      </c>
      <c r="AG4858" s="4">
        <v>0.66666666666666663</v>
      </c>
      <c r="AH4858" s="2">
        <v>2</v>
      </c>
      <c r="AI4858" s="2" t="s">
        <v>84</v>
      </c>
      <c r="AJ4858" s="2">
        <v>9</v>
      </c>
      <c r="AK4858" s="2" t="s">
        <v>103</v>
      </c>
      <c r="AL4858" s="2">
        <v>24</v>
      </c>
      <c r="AM4858" s="2" t="s">
        <v>1540</v>
      </c>
      <c r="AN4858" s="2"/>
      <c r="AO4858" s="2" t="s">
        <v>14983</v>
      </c>
      <c r="AP4858" s="2">
        <v>11</v>
      </c>
      <c r="AQ4858" s="2" t="s">
        <v>82</v>
      </c>
      <c r="AR4858" s="2"/>
      <c r="AS4858" s="2"/>
      <c r="AT4858" s="2" t="s">
        <v>14984</v>
      </c>
      <c r="AU4858" s="2"/>
      <c r="AV4858" s="2"/>
      <c r="AW4858" s="2"/>
      <c r="AX4858" s="2"/>
      <c r="AY4858" s="2">
        <v>41</v>
      </c>
      <c r="AZ4858" s="2" t="s">
        <v>82</v>
      </c>
      <c r="BA4858" s="2">
        <v>41</v>
      </c>
      <c r="BB4858" s="2" t="s">
        <v>82</v>
      </c>
      <c r="BC4858" s="2">
        <v>41</v>
      </c>
      <c r="BD4858" s="2" t="s">
        <v>82</v>
      </c>
      <c r="BE4858" s="2">
        <v>41</v>
      </c>
      <c r="BF4858" s="2" t="s">
        <v>82</v>
      </c>
      <c r="BG4858" s="2"/>
      <c r="BH4858" s="2"/>
      <c r="BI4858" s="2"/>
      <c r="BJ4858" s="2">
        <v>241</v>
      </c>
      <c r="BK4858" s="2" t="s">
        <v>82</v>
      </c>
      <c r="BL4858" s="2"/>
      <c r="BM4858" s="2">
        <v>241</v>
      </c>
      <c r="BN4858" s="2" t="s">
        <v>82</v>
      </c>
      <c r="BO4858" s="2"/>
      <c r="BP4858" s="2">
        <v>241</v>
      </c>
      <c r="BQ4858" s="2" t="s">
        <v>82</v>
      </c>
      <c r="BR4858" s="2"/>
      <c r="BS4858" s="3">
        <v>40509</v>
      </c>
      <c r="BT4858" s="4">
        <v>1.8958333333333334E-2</v>
      </c>
    </row>
    <row r="4859" spans="1:72" x14ac:dyDescent="0.25">
      <c r="A4859" s="2">
        <v>7531</v>
      </c>
      <c r="B4859" s="2">
        <v>2010</v>
      </c>
      <c r="C4859" s="2" t="s">
        <v>171</v>
      </c>
      <c r="D4859" s="2" t="s">
        <v>73</v>
      </c>
      <c r="E4859" s="2"/>
      <c r="F4859" s="2">
        <v>399</v>
      </c>
      <c r="G4859" s="2" t="s">
        <v>587</v>
      </c>
      <c r="H4859" s="2">
        <v>15</v>
      </c>
      <c r="I4859" s="2" t="s">
        <v>130</v>
      </c>
      <c r="J4859" s="2">
        <v>2</v>
      </c>
      <c r="K4859" s="2" t="s">
        <v>3661</v>
      </c>
      <c r="L4859" s="2" t="s">
        <v>3662</v>
      </c>
      <c r="M4859" s="3">
        <v>40509</v>
      </c>
      <c r="N4859" s="2" t="s">
        <v>4076</v>
      </c>
      <c r="O4859" s="2"/>
      <c r="P4859" s="2"/>
      <c r="Q4859" s="2" t="str">
        <f>"637-E/10"</f>
        <v>637-E/10</v>
      </c>
      <c r="R4859" s="2" t="s">
        <v>391</v>
      </c>
      <c r="S4859" s="2" t="s">
        <v>14985</v>
      </c>
      <c r="T4859" s="2">
        <v>1</v>
      </c>
      <c r="U4859" s="2" t="s">
        <v>79</v>
      </c>
      <c r="V4859" s="2">
        <v>1</v>
      </c>
      <c r="W4859" s="2" t="s">
        <v>80</v>
      </c>
      <c r="X4859" s="2">
        <v>1</v>
      </c>
      <c r="Y4859" s="2" t="s">
        <v>81</v>
      </c>
      <c r="Z4859" s="2">
        <v>1</v>
      </c>
      <c r="AA4859" s="2" t="s">
        <v>82</v>
      </c>
      <c r="AB4859" s="2">
        <v>1</v>
      </c>
      <c r="AC4859" s="2" t="s">
        <v>178</v>
      </c>
      <c r="AD4859" s="3">
        <v>40508</v>
      </c>
      <c r="AE4859" s="4">
        <v>0.67708333333333337</v>
      </c>
      <c r="AF4859" s="3">
        <v>40509</v>
      </c>
      <c r="AG4859" s="4">
        <v>6.25E-2</v>
      </c>
      <c r="AH4859" s="2">
        <v>2</v>
      </c>
      <c r="AI4859" s="2" t="s">
        <v>84</v>
      </c>
      <c r="AJ4859" s="2">
        <v>9</v>
      </c>
      <c r="AK4859" s="2" t="s">
        <v>103</v>
      </c>
      <c r="AL4859" s="2">
        <v>11</v>
      </c>
      <c r="AM4859" s="2" t="s">
        <v>137</v>
      </c>
      <c r="AN4859" s="2" t="s">
        <v>14986</v>
      </c>
      <c r="AO4859" s="2" t="s">
        <v>987</v>
      </c>
      <c r="AP4859" s="2">
        <v>11</v>
      </c>
      <c r="AQ4859" s="2" t="s">
        <v>82</v>
      </c>
      <c r="AR4859" s="2"/>
      <c r="AS4859" s="2"/>
      <c r="AT4859" s="2" t="s">
        <v>14987</v>
      </c>
      <c r="AU4859" s="2"/>
      <c r="AV4859" s="2">
        <v>1</v>
      </c>
      <c r="AW4859" s="2"/>
      <c r="AX4859" s="2"/>
      <c r="AY4859" s="2">
        <v>41</v>
      </c>
      <c r="AZ4859" s="2" t="s">
        <v>82</v>
      </c>
      <c r="BA4859" s="2">
        <v>41</v>
      </c>
      <c r="BB4859" s="2" t="s">
        <v>82</v>
      </c>
      <c r="BC4859" s="2">
        <v>41</v>
      </c>
      <c r="BD4859" s="2" t="s">
        <v>82</v>
      </c>
      <c r="BE4859" s="2">
        <v>33</v>
      </c>
      <c r="BF4859" s="2" t="s">
        <v>1083</v>
      </c>
      <c r="BG4859" s="2" t="s">
        <v>9308</v>
      </c>
      <c r="BH4859" s="4">
        <v>0.20833333333333334</v>
      </c>
      <c r="BI4859" s="4">
        <v>0.76041666666666663</v>
      </c>
      <c r="BJ4859" s="2">
        <v>13</v>
      </c>
      <c r="BK4859" s="2" t="s">
        <v>91</v>
      </c>
      <c r="BL4859" s="2" t="s">
        <v>360</v>
      </c>
      <c r="BM4859" s="2">
        <v>205</v>
      </c>
      <c r="BN4859" s="2" t="s">
        <v>1085</v>
      </c>
      <c r="BO4859" s="2"/>
      <c r="BP4859" s="2">
        <v>205</v>
      </c>
      <c r="BQ4859" s="2" t="s">
        <v>1085</v>
      </c>
      <c r="BR4859" s="2" t="s">
        <v>1086</v>
      </c>
      <c r="BS4859" s="3">
        <v>40509</v>
      </c>
      <c r="BT4859" s="4">
        <v>0.28307870370370369</v>
      </c>
    </row>
    <row r="4860" spans="1:72" x14ac:dyDescent="0.25">
      <c r="A4860" s="2">
        <v>7532</v>
      </c>
      <c r="B4860" s="2">
        <v>2010</v>
      </c>
      <c r="C4860" s="2" t="s">
        <v>819</v>
      </c>
      <c r="D4860" s="2" t="s">
        <v>122</v>
      </c>
      <c r="E4860" s="2" t="s">
        <v>14988</v>
      </c>
      <c r="F4860" s="2">
        <v>451</v>
      </c>
      <c r="G4860" s="2" t="s">
        <v>879</v>
      </c>
      <c r="H4860" s="2">
        <v>31</v>
      </c>
      <c r="I4860" s="2" t="s">
        <v>880</v>
      </c>
      <c r="J4860" s="2">
        <v>326</v>
      </c>
      <c r="K4860" s="2" t="s">
        <v>881</v>
      </c>
      <c r="L4860" s="2" t="s">
        <v>882</v>
      </c>
      <c r="M4860" s="3">
        <v>40509</v>
      </c>
      <c r="N4860" s="2" t="s">
        <v>1072</v>
      </c>
      <c r="O4860" s="2"/>
      <c r="P4860" s="2"/>
      <c r="Q4860" s="2" t="str">
        <f>"113/10"</f>
        <v>113/10</v>
      </c>
      <c r="R4860" s="2" t="s">
        <v>822</v>
      </c>
      <c r="S4860" s="2"/>
      <c r="T4860" s="2">
        <v>1</v>
      </c>
      <c r="U4860" s="2" t="s">
        <v>79</v>
      </c>
      <c r="V4860" s="2">
        <v>1</v>
      </c>
      <c r="W4860" s="2" t="s">
        <v>80</v>
      </c>
      <c r="X4860" s="2">
        <v>1</v>
      </c>
      <c r="Y4860" s="2" t="s">
        <v>81</v>
      </c>
      <c r="Z4860" s="2">
        <v>10</v>
      </c>
      <c r="AA4860" s="2" t="s">
        <v>236</v>
      </c>
      <c r="AB4860" s="2">
        <v>9</v>
      </c>
      <c r="AC4860" s="2" t="s">
        <v>124</v>
      </c>
      <c r="AD4860" s="3">
        <v>40509</v>
      </c>
      <c r="AE4860" s="4">
        <v>0.46875</v>
      </c>
      <c r="AF4860" s="3">
        <v>40508</v>
      </c>
      <c r="AG4860" s="4">
        <v>0.90972222222222221</v>
      </c>
      <c r="AH4860" s="2">
        <v>4</v>
      </c>
      <c r="AI4860" s="2" t="s">
        <v>125</v>
      </c>
      <c r="AJ4860" s="2">
        <v>29</v>
      </c>
      <c r="AK4860" s="2" t="s">
        <v>227</v>
      </c>
      <c r="AL4860" s="2">
        <v>10</v>
      </c>
      <c r="AM4860" s="2" t="s">
        <v>200</v>
      </c>
      <c r="AN4860" s="2" t="s">
        <v>3040</v>
      </c>
      <c r="AO4860" s="2" t="s">
        <v>5383</v>
      </c>
      <c r="AP4860" s="2">
        <v>12</v>
      </c>
      <c r="AQ4860" s="2" t="s">
        <v>322</v>
      </c>
      <c r="AR4860" s="2" t="s">
        <v>824</v>
      </c>
      <c r="AS4860" s="2" t="s">
        <v>825</v>
      </c>
      <c r="AT4860" s="2" t="s">
        <v>14989</v>
      </c>
      <c r="AU4860" s="2"/>
      <c r="AV4860" s="2"/>
      <c r="AW4860" s="2"/>
      <c r="AX4860" s="2"/>
      <c r="AY4860" s="2">
        <v>41</v>
      </c>
      <c r="AZ4860" s="2" t="s">
        <v>82</v>
      </c>
      <c r="BA4860" s="2">
        <v>41</v>
      </c>
      <c r="BB4860" s="2" t="s">
        <v>82</v>
      </c>
      <c r="BC4860" s="2">
        <v>51</v>
      </c>
      <c r="BD4860" s="2" t="s">
        <v>827</v>
      </c>
      <c r="BE4860" s="2">
        <v>47</v>
      </c>
      <c r="BF4860" s="2" t="s">
        <v>167</v>
      </c>
      <c r="BG4860" s="2">
        <v>2459</v>
      </c>
      <c r="BH4860" s="4">
        <v>0.90625</v>
      </c>
      <c r="BI4860" s="4">
        <v>0.9375</v>
      </c>
      <c r="BJ4860" s="2">
        <v>13</v>
      </c>
      <c r="BK4860" s="2" t="s">
        <v>91</v>
      </c>
      <c r="BL4860" s="2" t="s">
        <v>828</v>
      </c>
      <c r="BM4860" s="2">
        <v>13</v>
      </c>
      <c r="BN4860" s="2" t="s">
        <v>91</v>
      </c>
      <c r="BO4860" s="2"/>
      <c r="BP4860" s="2">
        <v>13</v>
      </c>
      <c r="BQ4860" s="2" t="s">
        <v>91</v>
      </c>
      <c r="BR4860" s="2" t="s">
        <v>185</v>
      </c>
      <c r="BS4860" s="3">
        <v>40509</v>
      </c>
      <c r="BT4860" s="4">
        <v>0.58378472222222222</v>
      </c>
    </row>
    <row r="4861" spans="1:72" x14ac:dyDescent="0.25">
      <c r="A4861" s="2">
        <v>7533</v>
      </c>
      <c r="B4861" s="2">
        <v>2010</v>
      </c>
      <c r="C4861" s="2" t="s">
        <v>2754</v>
      </c>
      <c r="D4861" s="2" t="s">
        <v>73</v>
      </c>
      <c r="E4861" s="2"/>
      <c r="F4861" s="2">
        <v>100</v>
      </c>
      <c r="G4861" s="2" t="s">
        <v>517</v>
      </c>
      <c r="H4861" s="2">
        <v>47</v>
      </c>
      <c r="I4861" s="2" t="s">
        <v>1409</v>
      </c>
      <c r="J4861" s="2">
        <v>119</v>
      </c>
      <c r="K4861" s="2" t="s">
        <v>325</v>
      </c>
      <c r="L4861" s="2" t="s">
        <v>326</v>
      </c>
      <c r="M4861" s="3">
        <v>40509</v>
      </c>
      <c r="N4861" s="2" t="s">
        <v>4106</v>
      </c>
      <c r="O4861" s="2"/>
      <c r="P4861" s="2"/>
      <c r="Q4861" s="2" t="str">
        <f>"AP 0858-2010"</f>
        <v>AP 0858-2010</v>
      </c>
      <c r="R4861" s="2" t="s">
        <v>14990</v>
      </c>
      <c r="S4861" s="2"/>
      <c r="T4861" s="2">
        <v>1</v>
      </c>
      <c r="U4861" s="2" t="s">
        <v>79</v>
      </c>
      <c r="V4861" s="2">
        <v>1</v>
      </c>
      <c r="W4861" s="2" t="s">
        <v>80</v>
      </c>
      <c r="X4861" s="2">
        <v>1</v>
      </c>
      <c r="Y4861" s="2" t="s">
        <v>81</v>
      </c>
      <c r="Z4861" s="2">
        <v>1</v>
      </c>
      <c r="AA4861" s="2" t="s">
        <v>82</v>
      </c>
      <c r="AB4861" s="2">
        <v>8</v>
      </c>
      <c r="AC4861" s="2" t="s">
        <v>2760</v>
      </c>
      <c r="AD4861" s="3">
        <v>40509</v>
      </c>
      <c r="AE4861" s="4">
        <v>0.49652777777777773</v>
      </c>
      <c r="AF4861" s="2"/>
      <c r="AG4861" s="2"/>
      <c r="AH4861" s="2">
        <v>6</v>
      </c>
      <c r="AI4861" s="2" t="s">
        <v>197</v>
      </c>
      <c r="AJ4861" s="2">
        <v>50</v>
      </c>
      <c r="AK4861" s="2" t="s">
        <v>330</v>
      </c>
      <c r="AL4861" s="2">
        <v>11</v>
      </c>
      <c r="AM4861" s="2" t="s">
        <v>137</v>
      </c>
      <c r="AN4861" s="2"/>
      <c r="AO4861" s="2" t="s">
        <v>6881</v>
      </c>
      <c r="AP4861" s="2">
        <v>11</v>
      </c>
      <c r="AQ4861" s="2" t="s">
        <v>82</v>
      </c>
      <c r="AR4861" s="2"/>
      <c r="AS4861" s="2"/>
      <c r="AT4861" s="2" t="s">
        <v>14991</v>
      </c>
      <c r="AU4861" s="2"/>
      <c r="AV4861" s="2"/>
      <c r="AW4861" s="2"/>
      <c r="AX4861" s="2"/>
      <c r="AY4861" s="2">
        <v>41</v>
      </c>
      <c r="AZ4861" s="2" t="s">
        <v>82</v>
      </c>
      <c r="BA4861" s="2">
        <v>41</v>
      </c>
      <c r="BB4861" s="2" t="s">
        <v>82</v>
      </c>
      <c r="BC4861" s="2">
        <v>41</v>
      </c>
      <c r="BD4861" s="2" t="s">
        <v>82</v>
      </c>
      <c r="BE4861" s="2">
        <v>13</v>
      </c>
      <c r="BF4861" s="2" t="s">
        <v>108</v>
      </c>
      <c r="BG4861" s="2">
        <v>2683</v>
      </c>
      <c r="BH4861" s="2"/>
      <c r="BI4861" s="4">
        <v>0.51736111111111105</v>
      </c>
      <c r="BJ4861" s="2">
        <v>13</v>
      </c>
      <c r="BK4861" s="2" t="s">
        <v>91</v>
      </c>
      <c r="BL4861" s="2" t="s">
        <v>1199</v>
      </c>
      <c r="BM4861" s="2">
        <v>13</v>
      </c>
      <c r="BN4861" s="2" t="s">
        <v>91</v>
      </c>
      <c r="BO4861" s="2"/>
      <c r="BP4861" s="2">
        <v>13</v>
      </c>
      <c r="BQ4861" s="2" t="s">
        <v>91</v>
      </c>
      <c r="BR4861" s="2" t="s">
        <v>360</v>
      </c>
      <c r="BS4861" s="3">
        <v>40509</v>
      </c>
      <c r="BT4861" s="4">
        <v>0.61815972222222226</v>
      </c>
    </row>
    <row r="4862" spans="1:72" x14ac:dyDescent="0.25">
      <c r="A4862" s="2">
        <v>7534</v>
      </c>
      <c r="B4862" s="2">
        <v>2010</v>
      </c>
      <c r="C4862" s="2" t="s">
        <v>549</v>
      </c>
      <c r="D4862" s="2" t="s">
        <v>73</v>
      </c>
      <c r="E4862" s="2"/>
      <c r="F4862" s="2">
        <v>2</v>
      </c>
      <c r="G4862" s="2" t="s">
        <v>113</v>
      </c>
      <c r="H4862" s="2">
        <v>50</v>
      </c>
      <c r="I4862" s="2" t="s">
        <v>107</v>
      </c>
      <c r="J4862" s="2">
        <v>300</v>
      </c>
      <c r="K4862" s="2" t="s">
        <v>114</v>
      </c>
      <c r="L4862" s="2" t="s">
        <v>115</v>
      </c>
      <c r="M4862" s="3">
        <v>40510</v>
      </c>
      <c r="N4862" s="2" t="s">
        <v>107</v>
      </c>
      <c r="O4862" s="2" t="s">
        <v>3743</v>
      </c>
      <c r="P4862" s="2"/>
      <c r="Q4862" s="2" t="str">
        <f>"639-E/10"</f>
        <v>639-E/10</v>
      </c>
      <c r="R4862" s="2" t="s">
        <v>3743</v>
      </c>
      <c r="S4862" s="2"/>
      <c r="T4862" s="2">
        <v>1</v>
      </c>
      <c r="U4862" s="2" t="s">
        <v>79</v>
      </c>
      <c r="V4862" s="2">
        <v>1</v>
      </c>
      <c r="W4862" s="2" t="s">
        <v>80</v>
      </c>
      <c r="X4862" s="2">
        <v>1</v>
      </c>
      <c r="Y4862" s="2" t="s">
        <v>81</v>
      </c>
      <c r="Z4862" s="2">
        <v>1</v>
      </c>
      <c r="AA4862" s="2" t="s">
        <v>82</v>
      </c>
      <c r="AB4862" s="2">
        <v>9</v>
      </c>
      <c r="AC4862" s="2" t="s">
        <v>124</v>
      </c>
      <c r="AD4862" s="3">
        <v>40509</v>
      </c>
      <c r="AE4862" s="4">
        <v>0.86111111111111116</v>
      </c>
      <c r="AF4862" s="3">
        <v>40509</v>
      </c>
      <c r="AG4862" s="4">
        <v>0.91666666666666663</v>
      </c>
      <c r="AH4862" s="2">
        <v>2</v>
      </c>
      <c r="AI4862" s="2" t="s">
        <v>84</v>
      </c>
      <c r="AJ4862" s="2">
        <v>9</v>
      </c>
      <c r="AK4862" s="2" t="s">
        <v>103</v>
      </c>
      <c r="AL4862" s="2">
        <v>29</v>
      </c>
      <c r="AM4862" s="2" t="s">
        <v>5416</v>
      </c>
      <c r="AN4862" s="2" t="s">
        <v>9948</v>
      </c>
      <c r="AO4862" s="2" t="s">
        <v>987</v>
      </c>
      <c r="AP4862" s="2">
        <v>11</v>
      </c>
      <c r="AQ4862" s="2" t="s">
        <v>82</v>
      </c>
      <c r="AR4862" s="2"/>
      <c r="AS4862" s="2"/>
      <c r="AT4862" s="2" t="s">
        <v>14992</v>
      </c>
      <c r="AU4862" s="2"/>
      <c r="AV4862" s="2"/>
      <c r="AW4862" s="2"/>
      <c r="AX4862" s="2"/>
      <c r="AY4862" s="2">
        <v>41</v>
      </c>
      <c r="AZ4862" s="2" t="s">
        <v>82</v>
      </c>
      <c r="BA4862" s="2">
        <v>41</v>
      </c>
      <c r="BB4862" s="2" t="s">
        <v>82</v>
      </c>
      <c r="BC4862" s="2">
        <v>41</v>
      </c>
      <c r="BD4862" s="2" t="s">
        <v>82</v>
      </c>
      <c r="BE4862" s="2">
        <v>41</v>
      </c>
      <c r="BF4862" s="2" t="s">
        <v>82</v>
      </c>
      <c r="BG4862" s="2"/>
      <c r="BH4862" s="2"/>
      <c r="BI4862" s="2"/>
      <c r="BJ4862" s="2">
        <v>241</v>
      </c>
      <c r="BK4862" s="2" t="s">
        <v>82</v>
      </c>
      <c r="BL4862" s="2"/>
      <c r="BM4862" s="2">
        <v>241</v>
      </c>
      <c r="BN4862" s="2" t="s">
        <v>82</v>
      </c>
      <c r="BO4862" s="2"/>
      <c r="BP4862" s="2">
        <v>241</v>
      </c>
      <c r="BQ4862" s="2" t="s">
        <v>82</v>
      </c>
      <c r="BR4862" s="2"/>
      <c r="BS4862" s="3">
        <v>40510</v>
      </c>
      <c r="BT4862" s="4">
        <v>0.15077546296296296</v>
      </c>
    </row>
    <row r="4863" spans="1:72" x14ac:dyDescent="0.25">
      <c r="A4863" s="2">
        <v>7535</v>
      </c>
      <c r="B4863" s="2">
        <v>2010</v>
      </c>
      <c r="C4863" s="2" t="s">
        <v>72</v>
      </c>
      <c r="D4863" s="2" t="s">
        <v>73</v>
      </c>
      <c r="E4863" s="2"/>
      <c r="F4863" s="2">
        <v>540</v>
      </c>
      <c r="G4863" s="2" t="s">
        <v>7178</v>
      </c>
      <c r="H4863" s="2">
        <v>5</v>
      </c>
      <c r="I4863" s="2" t="s">
        <v>634</v>
      </c>
      <c r="J4863" s="2">
        <v>533</v>
      </c>
      <c r="K4863" s="2" t="s">
        <v>6511</v>
      </c>
      <c r="L4863" s="2" t="s">
        <v>478</v>
      </c>
      <c r="M4863" s="3">
        <v>40510</v>
      </c>
      <c r="N4863" s="2" t="s">
        <v>3515</v>
      </c>
      <c r="O4863" s="2"/>
      <c r="P4863" s="2"/>
      <c r="Q4863" s="2" t="str">
        <f>"640-E/10"</f>
        <v>640-E/10</v>
      </c>
      <c r="R4863" s="2" t="s">
        <v>116</v>
      </c>
      <c r="S4863" s="2" t="s">
        <v>116</v>
      </c>
      <c r="T4863" s="2">
        <v>1</v>
      </c>
      <c r="U4863" s="2" t="s">
        <v>79</v>
      </c>
      <c r="V4863" s="2">
        <v>1</v>
      </c>
      <c r="W4863" s="2" t="s">
        <v>80</v>
      </c>
      <c r="X4863" s="2">
        <v>12</v>
      </c>
      <c r="Y4863" s="2" t="s">
        <v>148</v>
      </c>
      <c r="Z4863" s="2">
        <v>1</v>
      </c>
      <c r="AA4863" s="2" t="s">
        <v>82</v>
      </c>
      <c r="AB4863" s="2">
        <v>6</v>
      </c>
      <c r="AC4863" s="2" t="s">
        <v>83</v>
      </c>
      <c r="AD4863" s="3">
        <v>40509</v>
      </c>
      <c r="AE4863" s="2"/>
      <c r="AF4863" s="3">
        <v>40509</v>
      </c>
      <c r="AG4863" s="4">
        <v>0.85416666666666663</v>
      </c>
      <c r="AH4863" s="2">
        <v>2</v>
      </c>
      <c r="AI4863" s="2" t="s">
        <v>84</v>
      </c>
      <c r="AJ4863" s="2">
        <v>9</v>
      </c>
      <c r="AK4863" s="2" t="s">
        <v>103</v>
      </c>
      <c r="AL4863" s="2">
        <v>2</v>
      </c>
      <c r="AM4863" s="2" t="s">
        <v>163</v>
      </c>
      <c r="AN4863" s="2"/>
      <c r="AO4863" s="2"/>
      <c r="AP4863" s="2">
        <v>11</v>
      </c>
      <c r="AQ4863" s="2" t="s">
        <v>82</v>
      </c>
      <c r="AR4863" s="2"/>
      <c r="AS4863" s="2"/>
      <c r="AT4863" s="2" t="s">
        <v>14993</v>
      </c>
      <c r="AU4863" s="2"/>
      <c r="AV4863" s="2"/>
      <c r="AW4863" s="2"/>
      <c r="AX4863" s="2"/>
      <c r="AY4863" s="2">
        <v>41</v>
      </c>
      <c r="AZ4863" s="2" t="s">
        <v>82</v>
      </c>
      <c r="BA4863" s="2">
        <v>41</v>
      </c>
      <c r="BB4863" s="2" t="s">
        <v>82</v>
      </c>
      <c r="BC4863" s="2">
        <v>41</v>
      </c>
      <c r="BD4863" s="2" t="s">
        <v>82</v>
      </c>
      <c r="BE4863" s="2">
        <v>9</v>
      </c>
      <c r="BF4863" s="2" t="s">
        <v>966</v>
      </c>
      <c r="BG4863" s="2" t="s">
        <v>14994</v>
      </c>
      <c r="BH4863" s="2"/>
      <c r="BI4863" s="2"/>
      <c r="BJ4863" s="2">
        <v>170</v>
      </c>
      <c r="BK4863" s="2" t="s">
        <v>968</v>
      </c>
      <c r="BL4863" s="2" t="s">
        <v>1390</v>
      </c>
      <c r="BM4863" s="2">
        <v>13</v>
      </c>
      <c r="BN4863" s="2" t="s">
        <v>91</v>
      </c>
      <c r="BO4863" s="2"/>
      <c r="BP4863" s="2">
        <v>13</v>
      </c>
      <c r="BQ4863" s="2" t="s">
        <v>91</v>
      </c>
      <c r="BR4863" s="2" t="s">
        <v>360</v>
      </c>
      <c r="BS4863" s="3">
        <v>40510</v>
      </c>
      <c r="BT4863" s="4">
        <v>0.17746527777777776</v>
      </c>
    </row>
    <row r="4864" spans="1:72" x14ac:dyDescent="0.25">
      <c r="A4864" s="2">
        <v>7536</v>
      </c>
      <c r="B4864" s="2">
        <v>2010</v>
      </c>
      <c r="C4864" s="2" t="s">
        <v>171</v>
      </c>
      <c r="D4864" s="2" t="s">
        <v>73</v>
      </c>
      <c r="E4864" s="2"/>
      <c r="F4864" s="2">
        <v>399</v>
      </c>
      <c r="G4864" s="2" t="s">
        <v>587</v>
      </c>
      <c r="H4864" s="2">
        <v>14</v>
      </c>
      <c r="I4864" s="2" t="s">
        <v>1458</v>
      </c>
      <c r="J4864" s="2">
        <v>241</v>
      </c>
      <c r="K4864" s="2" t="s">
        <v>174</v>
      </c>
      <c r="L4864" s="2" t="s">
        <v>175</v>
      </c>
      <c r="M4864" s="3">
        <v>40510</v>
      </c>
      <c r="N4864" s="2" t="s">
        <v>14995</v>
      </c>
      <c r="O4864" s="2"/>
      <c r="P4864" s="2"/>
      <c r="Q4864" s="2" t="str">
        <f>"641-E/10"</f>
        <v>641-E/10</v>
      </c>
      <c r="R4864" s="2" t="s">
        <v>391</v>
      </c>
      <c r="S4864" s="2" t="s">
        <v>391</v>
      </c>
      <c r="T4864" s="2">
        <v>1</v>
      </c>
      <c r="U4864" s="2" t="s">
        <v>79</v>
      </c>
      <c r="V4864" s="2">
        <v>1</v>
      </c>
      <c r="W4864" s="2" t="s">
        <v>80</v>
      </c>
      <c r="X4864" s="2">
        <v>1</v>
      </c>
      <c r="Y4864" s="2" t="s">
        <v>81</v>
      </c>
      <c r="Z4864" s="2">
        <v>1</v>
      </c>
      <c r="AA4864" s="2" t="s">
        <v>82</v>
      </c>
      <c r="AB4864" s="2">
        <v>1</v>
      </c>
      <c r="AC4864" s="2" t="s">
        <v>178</v>
      </c>
      <c r="AD4864" s="3">
        <v>40509</v>
      </c>
      <c r="AE4864" s="4">
        <v>0.92361111111111116</v>
      </c>
      <c r="AF4864" s="3">
        <v>40510</v>
      </c>
      <c r="AG4864" s="4">
        <v>0.10416666666666667</v>
      </c>
      <c r="AH4864" s="2">
        <v>2</v>
      </c>
      <c r="AI4864" s="2" t="s">
        <v>84</v>
      </c>
      <c r="AJ4864" s="2">
        <v>9</v>
      </c>
      <c r="AK4864" s="2" t="s">
        <v>103</v>
      </c>
      <c r="AL4864" s="2">
        <v>25</v>
      </c>
      <c r="AM4864" s="2" t="s">
        <v>3073</v>
      </c>
      <c r="AN4864" s="2" t="s">
        <v>179</v>
      </c>
      <c r="AO4864" s="2" t="s">
        <v>987</v>
      </c>
      <c r="AP4864" s="2">
        <v>11</v>
      </c>
      <c r="AQ4864" s="2" t="s">
        <v>82</v>
      </c>
      <c r="AR4864" s="2"/>
      <c r="AS4864" s="2"/>
      <c r="AT4864" s="2" t="s">
        <v>14996</v>
      </c>
      <c r="AU4864" s="2"/>
      <c r="AV4864" s="2">
        <v>1</v>
      </c>
      <c r="AW4864" s="2"/>
      <c r="AX4864" s="2"/>
      <c r="AY4864" s="2">
        <v>41</v>
      </c>
      <c r="AZ4864" s="2" t="s">
        <v>82</v>
      </c>
      <c r="BA4864" s="2">
        <v>41</v>
      </c>
      <c r="BB4864" s="2" t="s">
        <v>82</v>
      </c>
      <c r="BC4864" s="2">
        <v>41</v>
      </c>
      <c r="BD4864" s="2" t="s">
        <v>82</v>
      </c>
      <c r="BE4864" s="2">
        <v>31</v>
      </c>
      <c r="BF4864" s="2" t="s">
        <v>398</v>
      </c>
      <c r="BG4864" s="2" t="s">
        <v>1511</v>
      </c>
      <c r="BH4864" s="2"/>
      <c r="BI4864" s="4">
        <v>0.94444444444444453</v>
      </c>
      <c r="BJ4864" s="2">
        <v>13</v>
      </c>
      <c r="BK4864" s="2" t="s">
        <v>91</v>
      </c>
      <c r="BL4864" s="2" t="s">
        <v>360</v>
      </c>
      <c r="BM4864" s="2">
        <v>73</v>
      </c>
      <c r="BN4864" s="2" t="s">
        <v>186</v>
      </c>
      <c r="BO4864" s="2"/>
      <c r="BP4864" s="2">
        <v>73</v>
      </c>
      <c r="BQ4864" s="2" t="s">
        <v>186</v>
      </c>
      <c r="BR4864" s="2" t="s">
        <v>187</v>
      </c>
      <c r="BS4864" s="3">
        <v>40510</v>
      </c>
      <c r="BT4864" s="4">
        <v>0.23399305555555558</v>
      </c>
    </row>
    <row r="4865" spans="1:72" x14ac:dyDescent="0.25">
      <c r="A4865" s="2">
        <v>7537</v>
      </c>
      <c r="B4865" s="2">
        <v>2010</v>
      </c>
      <c r="C4865" s="2" t="s">
        <v>72</v>
      </c>
      <c r="D4865" s="2" t="s">
        <v>73</v>
      </c>
      <c r="E4865" s="2"/>
      <c r="F4865" s="2">
        <v>24</v>
      </c>
      <c r="G4865" s="2" t="s">
        <v>532</v>
      </c>
      <c r="H4865" s="2">
        <v>50</v>
      </c>
      <c r="I4865" s="2" t="s">
        <v>107</v>
      </c>
      <c r="J4865" s="2">
        <v>300</v>
      </c>
      <c r="K4865" s="2" t="s">
        <v>114</v>
      </c>
      <c r="L4865" s="2" t="s">
        <v>115</v>
      </c>
      <c r="M4865" s="3">
        <v>40510</v>
      </c>
      <c r="N4865" s="2" t="s">
        <v>107</v>
      </c>
      <c r="O4865" s="2"/>
      <c r="P4865" s="2"/>
      <c r="Q4865" s="2" t="str">
        <f>"638-E/10"</f>
        <v>638-E/10</v>
      </c>
      <c r="R4865" s="2" t="s">
        <v>116</v>
      </c>
      <c r="S4865" s="2" t="s">
        <v>116</v>
      </c>
      <c r="T4865" s="2">
        <v>1</v>
      </c>
      <c r="U4865" s="2" t="s">
        <v>79</v>
      </c>
      <c r="V4865" s="2">
        <v>1</v>
      </c>
      <c r="W4865" s="2" t="s">
        <v>80</v>
      </c>
      <c r="X4865" s="2">
        <v>12</v>
      </c>
      <c r="Y4865" s="2" t="s">
        <v>148</v>
      </c>
      <c r="Z4865" s="2">
        <v>1</v>
      </c>
      <c r="AA4865" s="2" t="s">
        <v>82</v>
      </c>
      <c r="AB4865" s="2">
        <v>6</v>
      </c>
      <c r="AC4865" s="2" t="s">
        <v>83</v>
      </c>
      <c r="AD4865" s="3">
        <v>40508</v>
      </c>
      <c r="AE4865" s="2"/>
      <c r="AF4865" s="3">
        <v>40508</v>
      </c>
      <c r="AG4865" s="4">
        <v>0.45833333333333331</v>
      </c>
      <c r="AH4865" s="2">
        <v>2</v>
      </c>
      <c r="AI4865" s="2" t="s">
        <v>84</v>
      </c>
      <c r="AJ4865" s="2">
        <v>9</v>
      </c>
      <c r="AK4865" s="2" t="s">
        <v>103</v>
      </c>
      <c r="AL4865" s="2">
        <v>23</v>
      </c>
      <c r="AM4865" s="2" t="s">
        <v>251</v>
      </c>
      <c r="AN4865" s="2"/>
      <c r="AO4865" s="2" t="s">
        <v>14997</v>
      </c>
      <c r="AP4865" s="2">
        <v>11</v>
      </c>
      <c r="AQ4865" s="2" t="s">
        <v>82</v>
      </c>
      <c r="AR4865" s="2"/>
      <c r="AS4865" s="2"/>
      <c r="AT4865" s="2" t="s">
        <v>14998</v>
      </c>
      <c r="AU4865" s="2"/>
      <c r="AV4865" s="2"/>
      <c r="AW4865" s="2"/>
      <c r="AX4865" s="2"/>
      <c r="AY4865" s="2">
        <v>41</v>
      </c>
      <c r="AZ4865" s="2" t="s">
        <v>82</v>
      </c>
      <c r="BA4865" s="2">
        <v>41</v>
      </c>
      <c r="BB4865" s="2" t="s">
        <v>82</v>
      </c>
      <c r="BC4865" s="2">
        <v>41</v>
      </c>
      <c r="BD4865" s="2" t="s">
        <v>82</v>
      </c>
      <c r="BE4865" s="2">
        <v>41</v>
      </c>
      <c r="BF4865" s="2" t="s">
        <v>82</v>
      </c>
      <c r="BG4865" s="2"/>
      <c r="BH4865" s="2"/>
      <c r="BI4865" s="2"/>
      <c r="BJ4865" s="2">
        <v>241</v>
      </c>
      <c r="BK4865" s="2" t="s">
        <v>82</v>
      </c>
      <c r="BL4865" s="2"/>
      <c r="BM4865" s="2">
        <v>241</v>
      </c>
      <c r="BN4865" s="2" t="s">
        <v>82</v>
      </c>
      <c r="BO4865" s="2"/>
      <c r="BP4865" s="2">
        <v>241</v>
      </c>
      <c r="BQ4865" s="2" t="s">
        <v>82</v>
      </c>
      <c r="BR4865" s="2"/>
      <c r="BS4865" s="3">
        <v>40510</v>
      </c>
      <c r="BT4865" s="4">
        <v>0.36261574074074071</v>
      </c>
    </row>
    <row r="4866" spans="1:72" x14ac:dyDescent="0.25">
      <c r="A4866" s="2">
        <v>7540</v>
      </c>
      <c r="B4866" s="2">
        <v>2010</v>
      </c>
      <c r="C4866" s="2" t="s">
        <v>2754</v>
      </c>
      <c r="D4866" s="2" t="s">
        <v>73</v>
      </c>
      <c r="E4866" s="2"/>
      <c r="F4866" s="2">
        <v>100</v>
      </c>
      <c r="G4866" s="2" t="s">
        <v>517</v>
      </c>
      <c r="H4866" s="2">
        <v>47</v>
      </c>
      <c r="I4866" s="2" t="s">
        <v>1409</v>
      </c>
      <c r="J4866" s="2">
        <v>119</v>
      </c>
      <c r="K4866" s="2" t="s">
        <v>325</v>
      </c>
      <c r="L4866" s="2" t="s">
        <v>326</v>
      </c>
      <c r="M4866" s="3">
        <v>40510</v>
      </c>
      <c r="N4866" s="2" t="s">
        <v>14999</v>
      </c>
      <c r="O4866" s="2" t="s">
        <v>107</v>
      </c>
      <c r="P4866" s="2" t="s">
        <v>107</v>
      </c>
      <c r="Q4866" s="2" t="str">
        <f>"AP 0860-2010"</f>
        <v>AP 0860-2010</v>
      </c>
      <c r="R4866" s="2" t="s">
        <v>15000</v>
      </c>
      <c r="S4866" s="2"/>
      <c r="T4866" s="2">
        <v>1</v>
      </c>
      <c r="U4866" s="2" t="s">
        <v>79</v>
      </c>
      <c r="V4866" s="2">
        <v>1</v>
      </c>
      <c r="W4866" s="2" t="s">
        <v>80</v>
      </c>
      <c r="X4866" s="2">
        <v>1</v>
      </c>
      <c r="Y4866" s="2" t="s">
        <v>81</v>
      </c>
      <c r="Z4866" s="2">
        <v>1</v>
      </c>
      <c r="AA4866" s="2" t="s">
        <v>82</v>
      </c>
      <c r="AB4866" s="2">
        <v>8</v>
      </c>
      <c r="AC4866" s="2" t="s">
        <v>2760</v>
      </c>
      <c r="AD4866" s="3">
        <v>40510</v>
      </c>
      <c r="AE4866" s="4">
        <v>0.41666666666666669</v>
      </c>
      <c r="AF4866" s="3">
        <v>40510</v>
      </c>
      <c r="AG4866" s="2"/>
      <c r="AH4866" s="2">
        <v>6</v>
      </c>
      <c r="AI4866" s="2" t="s">
        <v>197</v>
      </c>
      <c r="AJ4866" s="2">
        <v>50</v>
      </c>
      <c r="AK4866" s="2" t="s">
        <v>330</v>
      </c>
      <c r="AL4866" s="2">
        <v>11</v>
      </c>
      <c r="AM4866" s="2" t="s">
        <v>137</v>
      </c>
      <c r="AN4866" s="2" t="s">
        <v>15001</v>
      </c>
      <c r="AO4866" s="2" t="s">
        <v>15002</v>
      </c>
      <c r="AP4866" s="2">
        <v>11</v>
      </c>
      <c r="AQ4866" s="2" t="s">
        <v>82</v>
      </c>
      <c r="AR4866" s="2"/>
      <c r="AS4866" s="2"/>
      <c r="AT4866" s="2" t="s">
        <v>15003</v>
      </c>
      <c r="AU4866" s="2"/>
      <c r="AV4866" s="2"/>
      <c r="AW4866" s="2"/>
      <c r="AX4866" s="2"/>
      <c r="AY4866" s="2">
        <v>41</v>
      </c>
      <c r="AZ4866" s="2" t="s">
        <v>82</v>
      </c>
      <c r="BA4866" s="2">
        <v>41</v>
      </c>
      <c r="BB4866" s="2" t="s">
        <v>82</v>
      </c>
      <c r="BC4866" s="2">
        <v>41</v>
      </c>
      <c r="BD4866" s="2" t="s">
        <v>82</v>
      </c>
      <c r="BE4866" s="2">
        <v>70</v>
      </c>
      <c r="BF4866" s="2" t="s">
        <v>15004</v>
      </c>
      <c r="BG4866" s="2" t="s">
        <v>15005</v>
      </c>
      <c r="BH4866" s="2"/>
      <c r="BI4866" s="4">
        <v>0.4375</v>
      </c>
      <c r="BJ4866" s="2">
        <v>13</v>
      </c>
      <c r="BK4866" s="2" t="s">
        <v>91</v>
      </c>
      <c r="BL4866" s="2" t="s">
        <v>15006</v>
      </c>
      <c r="BM4866" s="2">
        <v>13</v>
      </c>
      <c r="BN4866" s="2" t="s">
        <v>91</v>
      </c>
      <c r="BO4866" s="2"/>
      <c r="BP4866" s="2">
        <v>13</v>
      </c>
      <c r="BQ4866" s="2" t="s">
        <v>91</v>
      </c>
      <c r="BR4866" s="2" t="s">
        <v>15007</v>
      </c>
      <c r="BS4866" s="3">
        <v>40510</v>
      </c>
      <c r="BT4866" s="4">
        <v>0.63474537037037038</v>
      </c>
    </row>
    <row r="4867" spans="1:72" x14ac:dyDescent="0.25">
      <c r="A4867" s="2">
        <v>7544</v>
      </c>
      <c r="B4867" s="2">
        <v>2010</v>
      </c>
      <c r="C4867" s="2" t="s">
        <v>72</v>
      </c>
      <c r="D4867" s="2" t="s">
        <v>73</v>
      </c>
      <c r="E4867" s="2"/>
      <c r="F4867" s="2">
        <v>638</v>
      </c>
      <c r="G4867" s="2" t="s">
        <v>8288</v>
      </c>
      <c r="H4867" s="2">
        <v>7</v>
      </c>
      <c r="I4867" s="2" t="s">
        <v>476</v>
      </c>
      <c r="J4867" s="2">
        <v>720</v>
      </c>
      <c r="K4867" s="2" t="s">
        <v>15008</v>
      </c>
      <c r="L4867" s="2" t="s">
        <v>1043</v>
      </c>
      <c r="M4867" s="3">
        <v>40510</v>
      </c>
      <c r="N4867" s="2" t="s">
        <v>11204</v>
      </c>
      <c r="O4867" s="2"/>
      <c r="P4867" s="2"/>
      <c r="Q4867" s="2" t="str">
        <f>"70/10"</f>
        <v>70/10</v>
      </c>
      <c r="R4867" s="2"/>
      <c r="S4867" s="2" t="s">
        <v>116</v>
      </c>
      <c r="T4867" s="2">
        <v>1</v>
      </c>
      <c r="U4867" s="2" t="s">
        <v>79</v>
      </c>
      <c r="V4867" s="2">
        <v>1</v>
      </c>
      <c r="W4867" s="2" t="s">
        <v>80</v>
      </c>
      <c r="X4867" s="2">
        <v>12</v>
      </c>
      <c r="Y4867" s="2" t="s">
        <v>148</v>
      </c>
      <c r="Z4867" s="2">
        <v>1</v>
      </c>
      <c r="AA4867" s="2" t="s">
        <v>82</v>
      </c>
      <c r="AB4867" s="2">
        <v>6</v>
      </c>
      <c r="AC4867" s="2" t="s">
        <v>83</v>
      </c>
      <c r="AD4867" s="3">
        <v>40510</v>
      </c>
      <c r="AE4867" s="4">
        <v>0.77083333333333337</v>
      </c>
      <c r="AF4867" s="3">
        <v>40510</v>
      </c>
      <c r="AG4867" s="4">
        <v>0.85763888888888884</v>
      </c>
      <c r="AH4867" s="2">
        <v>3</v>
      </c>
      <c r="AI4867" s="2" t="s">
        <v>214</v>
      </c>
      <c r="AJ4867" s="2">
        <v>24</v>
      </c>
      <c r="AK4867" s="2" t="s">
        <v>215</v>
      </c>
      <c r="AL4867" s="2">
        <v>12</v>
      </c>
      <c r="AM4867" s="2" t="s">
        <v>86</v>
      </c>
      <c r="AN4867" s="2"/>
      <c r="AO4867" s="2" t="s">
        <v>7727</v>
      </c>
      <c r="AP4867" s="2">
        <v>11</v>
      </c>
      <c r="AQ4867" s="2" t="s">
        <v>82</v>
      </c>
      <c r="AR4867" s="2"/>
      <c r="AS4867" s="2"/>
      <c r="AT4867" s="2" t="s">
        <v>15009</v>
      </c>
      <c r="AU4867" s="2"/>
      <c r="AV4867" s="2"/>
      <c r="AW4867" s="2"/>
      <c r="AX4867" s="2"/>
      <c r="AY4867" s="2">
        <v>170</v>
      </c>
      <c r="AZ4867" s="2" t="s">
        <v>15010</v>
      </c>
      <c r="BA4867" s="2">
        <v>41</v>
      </c>
      <c r="BB4867" s="2" t="s">
        <v>82</v>
      </c>
      <c r="BC4867" s="2">
        <v>41</v>
      </c>
      <c r="BD4867" s="2" t="s">
        <v>82</v>
      </c>
      <c r="BE4867" s="2">
        <v>41</v>
      </c>
      <c r="BF4867" s="2" t="s">
        <v>82</v>
      </c>
      <c r="BG4867" s="2"/>
      <c r="BH4867" s="2"/>
      <c r="BI4867" s="2"/>
      <c r="BJ4867" s="2">
        <v>241</v>
      </c>
      <c r="BK4867" s="2" t="s">
        <v>82</v>
      </c>
      <c r="BL4867" s="2"/>
      <c r="BM4867" s="2">
        <v>241</v>
      </c>
      <c r="BN4867" s="2" t="s">
        <v>82</v>
      </c>
      <c r="BO4867" s="2"/>
      <c r="BP4867" s="2">
        <v>241</v>
      </c>
      <c r="BQ4867" s="2" t="s">
        <v>82</v>
      </c>
      <c r="BR4867" s="2"/>
      <c r="BS4867" s="3">
        <v>40510</v>
      </c>
      <c r="BT4867" s="4">
        <v>0.93700231481481477</v>
      </c>
    </row>
    <row r="4868" spans="1:72" x14ac:dyDescent="0.25">
      <c r="A4868" s="2">
        <v>7545</v>
      </c>
      <c r="B4868" s="2">
        <v>2010</v>
      </c>
      <c r="C4868" s="2" t="s">
        <v>377</v>
      </c>
      <c r="D4868" s="2" t="s">
        <v>73</v>
      </c>
      <c r="E4868" s="2"/>
      <c r="F4868" s="2">
        <v>426</v>
      </c>
      <c r="G4868" s="2" t="s">
        <v>378</v>
      </c>
      <c r="H4868" s="2">
        <v>22</v>
      </c>
      <c r="I4868" s="2" t="s">
        <v>75</v>
      </c>
      <c r="J4868" s="2">
        <v>311</v>
      </c>
      <c r="K4868" s="2" t="s">
        <v>379</v>
      </c>
      <c r="L4868" s="2" t="s">
        <v>380</v>
      </c>
      <c r="M4868" s="3">
        <v>40510</v>
      </c>
      <c r="N4868" s="2" t="s">
        <v>7171</v>
      </c>
      <c r="O4868" s="2"/>
      <c r="P4868" s="2"/>
      <c r="Q4868" s="2" t="str">
        <f>"300-C/10"</f>
        <v>300-C/10</v>
      </c>
      <c r="R4868" s="2" t="s">
        <v>7074</v>
      </c>
      <c r="S4868" s="2" t="s">
        <v>7074</v>
      </c>
      <c r="T4868" s="2">
        <v>1</v>
      </c>
      <c r="U4868" s="2" t="s">
        <v>79</v>
      </c>
      <c r="V4868" s="2">
        <v>1</v>
      </c>
      <c r="W4868" s="2" t="s">
        <v>80</v>
      </c>
      <c r="X4868" s="2">
        <v>1</v>
      </c>
      <c r="Y4868" s="2" t="s">
        <v>81</v>
      </c>
      <c r="Z4868" s="2">
        <v>1</v>
      </c>
      <c r="AA4868" s="2" t="s">
        <v>82</v>
      </c>
      <c r="AB4868" s="2">
        <v>9</v>
      </c>
      <c r="AC4868" s="2" t="s">
        <v>124</v>
      </c>
      <c r="AD4868" s="3">
        <v>40510</v>
      </c>
      <c r="AE4868" s="4">
        <v>0.77083333333333337</v>
      </c>
      <c r="AF4868" s="3">
        <v>40510</v>
      </c>
      <c r="AG4868" s="4">
        <v>0.875</v>
      </c>
      <c r="AH4868" s="2">
        <v>2</v>
      </c>
      <c r="AI4868" s="2" t="s">
        <v>84</v>
      </c>
      <c r="AJ4868" s="2">
        <v>9</v>
      </c>
      <c r="AK4868" s="2" t="s">
        <v>103</v>
      </c>
      <c r="AL4868" s="2">
        <v>29</v>
      </c>
      <c r="AM4868" s="2" t="s">
        <v>5416</v>
      </c>
      <c r="AN4868" s="2" t="s">
        <v>7014</v>
      </c>
      <c r="AO4868" s="2"/>
      <c r="AP4868" s="2">
        <v>11</v>
      </c>
      <c r="AQ4868" s="2" t="s">
        <v>82</v>
      </c>
      <c r="AR4868" s="2"/>
      <c r="AS4868" s="2"/>
      <c r="AT4868" s="2" t="s">
        <v>15011</v>
      </c>
      <c r="AU4868" s="2"/>
      <c r="AV4868" s="2"/>
      <c r="AW4868" s="2"/>
      <c r="AX4868" s="2"/>
      <c r="AY4868" s="2">
        <v>41</v>
      </c>
      <c r="AZ4868" s="2" t="s">
        <v>82</v>
      </c>
      <c r="BA4868" s="2">
        <v>41</v>
      </c>
      <c r="BB4868" s="2" t="s">
        <v>82</v>
      </c>
      <c r="BC4868" s="2">
        <v>41</v>
      </c>
      <c r="BD4868" s="2" t="s">
        <v>82</v>
      </c>
      <c r="BE4868" s="2">
        <v>41</v>
      </c>
      <c r="BF4868" s="2" t="s">
        <v>82</v>
      </c>
      <c r="BG4868" s="2"/>
      <c r="BH4868" s="2"/>
      <c r="BI4868" s="2"/>
      <c r="BJ4868" s="2">
        <v>241</v>
      </c>
      <c r="BK4868" s="2" t="s">
        <v>82</v>
      </c>
      <c r="BL4868" s="2"/>
      <c r="BM4868" s="2">
        <v>241</v>
      </c>
      <c r="BN4868" s="2" t="s">
        <v>82</v>
      </c>
      <c r="BO4868" s="2"/>
      <c r="BP4868" s="2">
        <v>241</v>
      </c>
      <c r="BQ4868" s="2" t="s">
        <v>82</v>
      </c>
      <c r="BR4868" s="2"/>
      <c r="BS4868" s="3">
        <v>40510</v>
      </c>
      <c r="BT4868" s="4">
        <v>0.95188657407407407</v>
      </c>
    </row>
    <row r="4869" spans="1:72" x14ac:dyDescent="0.25">
      <c r="A4869" s="2">
        <v>7546</v>
      </c>
      <c r="B4869" s="2">
        <v>2010</v>
      </c>
      <c r="C4869" s="2" t="s">
        <v>196</v>
      </c>
      <c r="D4869" s="2" t="s">
        <v>122</v>
      </c>
      <c r="E4869" s="2"/>
      <c r="F4869" s="2">
        <v>1</v>
      </c>
      <c r="G4869" s="2" t="s">
        <v>82</v>
      </c>
      <c r="H4869" s="2">
        <v>1</v>
      </c>
      <c r="I4869" s="2" t="s">
        <v>82</v>
      </c>
      <c r="J4869" s="2">
        <v>1</v>
      </c>
      <c r="K4869" s="2" t="s">
        <v>107</v>
      </c>
      <c r="L4869" s="2" t="s">
        <v>107</v>
      </c>
      <c r="M4869" s="3">
        <v>40510</v>
      </c>
      <c r="N4869" s="2"/>
      <c r="O4869" s="2"/>
      <c r="P4869" s="2"/>
      <c r="Q4869" s="2" t="str">
        <f>""</f>
        <v/>
      </c>
      <c r="R4869" s="2"/>
      <c r="S4869" s="2"/>
      <c r="T4869" s="2">
        <v>2</v>
      </c>
      <c r="U4869" s="2" t="s">
        <v>123</v>
      </c>
      <c r="V4869" s="2">
        <v>1</v>
      </c>
      <c r="W4869" s="2" t="s">
        <v>80</v>
      </c>
      <c r="X4869" s="2">
        <v>5</v>
      </c>
      <c r="Y4869" s="2" t="s">
        <v>82</v>
      </c>
      <c r="Z4869" s="2">
        <v>1</v>
      </c>
      <c r="AA4869" s="2" t="s">
        <v>82</v>
      </c>
      <c r="AB4869" s="2">
        <v>9</v>
      </c>
      <c r="AC4869" s="2" t="s">
        <v>124</v>
      </c>
      <c r="AD4869" s="3">
        <v>40510</v>
      </c>
      <c r="AE4869" s="4">
        <v>0.94930555555555562</v>
      </c>
      <c r="AF4869" s="2"/>
      <c r="AG4869" s="2"/>
      <c r="AH4869" s="2">
        <v>6</v>
      </c>
      <c r="AI4869" s="2" t="s">
        <v>197</v>
      </c>
      <c r="AJ4869" s="2">
        <v>58</v>
      </c>
      <c r="AK4869" s="2" t="s">
        <v>406</v>
      </c>
      <c r="AL4869" s="2">
        <v>9</v>
      </c>
      <c r="AM4869" s="2" t="s">
        <v>259</v>
      </c>
      <c r="AN4869" s="2"/>
      <c r="AO4869" s="2" t="s">
        <v>15012</v>
      </c>
      <c r="AP4869" s="2">
        <v>11</v>
      </c>
      <c r="AQ4869" s="2" t="s">
        <v>82</v>
      </c>
      <c r="AR4869" s="2"/>
      <c r="AS4869" s="2"/>
      <c r="AT4869" s="2" t="s">
        <v>15013</v>
      </c>
      <c r="AU4869" s="2"/>
      <c r="AV4869" s="2"/>
      <c r="AW4869" s="2"/>
      <c r="AX4869" s="2"/>
      <c r="AY4869" s="2">
        <v>41</v>
      </c>
      <c r="AZ4869" s="2" t="s">
        <v>82</v>
      </c>
      <c r="BA4869" s="2">
        <v>41</v>
      </c>
      <c r="BB4869" s="2" t="s">
        <v>82</v>
      </c>
      <c r="BC4869" s="2">
        <v>41</v>
      </c>
      <c r="BD4869" s="2" t="s">
        <v>82</v>
      </c>
      <c r="BE4869" s="2">
        <v>41</v>
      </c>
      <c r="BF4869" s="2" t="s">
        <v>82</v>
      </c>
      <c r="BG4869" s="2"/>
      <c r="BH4869" s="2"/>
      <c r="BI4869" s="4">
        <v>0.94930555555555562</v>
      </c>
      <c r="BJ4869" s="2">
        <v>241</v>
      </c>
      <c r="BK4869" s="2" t="s">
        <v>82</v>
      </c>
      <c r="BL4869" s="2"/>
      <c r="BM4869" s="2">
        <v>241</v>
      </c>
      <c r="BN4869" s="2" t="s">
        <v>82</v>
      </c>
      <c r="BO4869" s="2"/>
      <c r="BP4869" s="2">
        <v>241</v>
      </c>
      <c r="BQ4869" s="2" t="s">
        <v>82</v>
      </c>
      <c r="BR4869" s="2" t="s">
        <v>15014</v>
      </c>
      <c r="BS4869" s="3">
        <v>40510</v>
      </c>
      <c r="BT4869" s="4">
        <v>0.97400462962962964</v>
      </c>
    </row>
    <row r="4870" spans="1:72" x14ac:dyDescent="0.25">
      <c r="A4870" s="2">
        <v>7547</v>
      </c>
      <c r="B4870" s="2">
        <v>2010</v>
      </c>
      <c r="C4870" s="2" t="s">
        <v>72</v>
      </c>
      <c r="D4870" s="2" t="s">
        <v>73</v>
      </c>
      <c r="E4870" s="2"/>
      <c r="F4870" s="2">
        <v>111</v>
      </c>
      <c r="G4870" s="2" t="s">
        <v>2339</v>
      </c>
      <c r="H4870" s="2">
        <v>1</v>
      </c>
      <c r="I4870" s="2" t="s">
        <v>82</v>
      </c>
      <c r="J4870" s="2">
        <v>63</v>
      </c>
      <c r="K4870" s="2" t="s">
        <v>13190</v>
      </c>
      <c r="L4870" s="2" t="s">
        <v>15015</v>
      </c>
      <c r="M4870" s="3">
        <v>40510</v>
      </c>
      <c r="N4870" s="2" t="s">
        <v>82</v>
      </c>
      <c r="O4870" s="2" t="s">
        <v>107</v>
      </c>
      <c r="P4870" s="2" t="s">
        <v>107</v>
      </c>
      <c r="Q4870" s="2" t="str">
        <f>"0008/2010"</f>
        <v>0008/2010</v>
      </c>
      <c r="R4870" s="2" t="s">
        <v>15016</v>
      </c>
      <c r="S4870" s="2"/>
      <c r="T4870" s="2">
        <v>1</v>
      </c>
      <c r="U4870" s="2" t="s">
        <v>79</v>
      </c>
      <c r="V4870" s="2">
        <v>1</v>
      </c>
      <c r="W4870" s="2" t="s">
        <v>80</v>
      </c>
      <c r="X4870" s="2">
        <v>12</v>
      </c>
      <c r="Y4870" s="2" t="s">
        <v>148</v>
      </c>
      <c r="Z4870" s="2">
        <v>1</v>
      </c>
      <c r="AA4870" s="2" t="s">
        <v>82</v>
      </c>
      <c r="AB4870" s="2">
        <v>6</v>
      </c>
      <c r="AC4870" s="2" t="s">
        <v>83</v>
      </c>
      <c r="AD4870" s="3">
        <v>40510</v>
      </c>
      <c r="AE4870" s="2"/>
      <c r="AF4870" s="3">
        <v>40510</v>
      </c>
      <c r="AG4870" s="4">
        <v>0.82638888888888884</v>
      </c>
      <c r="AH4870" s="2">
        <v>6</v>
      </c>
      <c r="AI4870" s="2" t="s">
        <v>197</v>
      </c>
      <c r="AJ4870" s="2">
        <v>57</v>
      </c>
      <c r="AK4870" s="2" t="s">
        <v>2344</v>
      </c>
      <c r="AL4870" s="2">
        <v>12</v>
      </c>
      <c r="AM4870" s="2" t="s">
        <v>86</v>
      </c>
      <c r="AN4870" s="2" t="s">
        <v>15017</v>
      </c>
      <c r="AO4870" s="2" t="s">
        <v>2047</v>
      </c>
      <c r="AP4870" s="2">
        <v>11</v>
      </c>
      <c r="AQ4870" s="2" t="s">
        <v>82</v>
      </c>
      <c r="AR4870" s="2"/>
      <c r="AS4870" s="2"/>
      <c r="AT4870" s="2" t="s">
        <v>15018</v>
      </c>
      <c r="AU4870" s="2"/>
      <c r="AV4870" s="2"/>
      <c r="AW4870" s="2"/>
      <c r="AX4870" s="2"/>
      <c r="AY4870" s="2">
        <v>175</v>
      </c>
      <c r="AZ4870" s="2" t="s">
        <v>15019</v>
      </c>
      <c r="BA4870" s="2">
        <v>41</v>
      </c>
      <c r="BB4870" s="2" t="s">
        <v>82</v>
      </c>
      <c r="BC4870" s="2">
        <v>41</v>
      </c>
      <c r="BD4870" s="2" t="s">
        <v>82</v>
      </c>
      <c r="BE4870" s="2">
        <v>41</v>
      </c>
      <c r="BF4870" s="2" t="s">
        <v>82</v>
      </c>
      <c r="BG4870" s="2"/>
      <c r="BH4870" s="2"/>
      <c r="BI4870" s="2"/>
      <c r="BJ4870" s="2">
        <v>241</v>
      </c>
      <c r="BK4870" s="2" t="s">
        <v>82</v>
      </c>
      <c r="BL4870" s="2"/>
      <c r="BM4870" s="2">
        <v>241</v>
      </c>
      <c r="BN4870" s="2" t="s">
        <v>82</v>
      </c>
      <c r="BO4870" s="2"/>
      <c r="BP4870" s="2">
        <v>241</v>
      </c>
      <c r="BQ4870" s="2" t="s">
        <v>82</v>
      </c>
      <c r="BR4870" s="2"/>
      <c r="BS4870" s="3">
        <v>40510</v>
      </c>
      <c r="BT4870" s="4">
        <v>0.9959837962962963</v>
      </c>
    </row>
    <row r="4871" spans="1:72" x14ac:dyDescent="0.25">
      <c r="A4871" s="2">
        <v>7548</v>
      </c>
      <c r="B4871" s="2">
        <v>2010</v>
      </c>
      <c r="C4871" s="2" t="s">
        <v>377</v>
      </c>
      <c r="D4871" s="2" t="s">
        <v>73</v>
      </c>
      <c r="E4871" s="2"/>
      <c r="F4871" s="2">
        <v>426</v>
      </c>
      <c r="G4871" s="2" t="s">
        <v>378</v>
      </c>
      <c r="H4871" s="2">
        <v>22</v>
      </c>
      <c r="I4871" s="2" t="s">
        <v>75</v>
      </c>
      <c r="J4871" s="2">
        <v>311</v>
      </c>
      <c r="K4871" s="2" t="s">
        <v>379</v>
      </c>
      <c r="L4871" s="2" t="s">
        <v>380</v>
      </c>
      <c r="M4871" s="3">
        <v>40511</v>
      </c>
      <c r="N4871" s="2" t="s">
        <v>7171</v>
      </c>
      <c r="O4871" s="2"/>
      <c r="P4871" s="2"/>
      <c r="Q4871" s="2" t="str">
        <f>"299-C/10"</f>
        <v>299-C/10</v>
      </c>
      <c r="R4871" s="2" t="s">
        <v>1344</v>
      </c>
      <c r="S4871" s="2" t="s">
        <v>1344</v>
      </c>
      <c r="T4871" s="2">
        <v>1</v>
      </c>
      <c r="U4871" s="2" t="s">
        <v>79</v>
      </c>
      <c r="V4871" s="2">
        <v>1</v>
      </c>
      <c r="W4871" s="2" t="s">
        <v>80</v>
      </c>
      <c r="X4871" s="2">
        <v>1</v>
      </c>
      <c r="Y4871" s="2" t="s">
        <v>81</v>
      </c>
      <c r="Z4871" s="2">
        <v>1</v>
      </c>
      <c r="AA4871" s="2" t="s">
        <v>82</v>
      </c>
      <c r="AB4871" s="2">
        <v>9</v>
      </c>
      <c r="AC4871" s="2" t="s">
        <v>124</v>
      </c>
      <c r="AD4871" s="3">
        <v>40507</v>
      </c>
      <c r="AE4871" s="4">
        <v>0.625</v>
      </c>
      <c r="AF4871" s="3">
        <v>40507</v>
      </c>
      <c r="AG4871" s="4">
        <v>0.64583333333333337</v>
      </c>
      <c r="AH4871" s="2">
        <v>2</v>
      </c>
      <c r="AI4871" s="2" t="s">
        <v>84</v>
      </c>
      <c r="AJ4871" s="2">
        <v>9</v>
      </c>
      <c r="AK4871" s="2" t="s">
        <v>103</v>
      </c>
      <c r="AL4871" s="2">
        <v>29</v>
      </c>
      <c r="AM4871" s="2" t="s">
        <v>5416</v>
      </c>
      <c r="AN4871" s="2" t="s">
        <v>2585</v>
      </c>
      <c r="AO4871" s="2"/>
      <c r="AP4871" s="2">
        <v>11</v>
      </c>
      <c r="AQ4871" s="2" t="s">
        <v>82</v>
      </c>
      <c r="AR4871" s="2"/>
      <c r="AS4871" s="2"/>
      <c r="AT4871" s="2" t="s">
        <v>15020</v>
      </c>
      <c r="AU4871" s="2"/>
      <c r="AV4871" s="2"/>
      <c r="AW4871" s="2"/>
      <c r="AX4871" s="2"/>
      <c r="AY4871" s="2">
        <v>41</v>
      </c>
      <c r="AZ4871" s="2" t="s">
        <v>82</v>
      </c>
      <c r="BA4871" s="2">
        <v>41</v>
      </c>
      <c r="BB4871" s="2" t="s">
        <v>82</v>
      </c>
      <c r="BC4871" s="2">
        <v>41</v>
      </c>
      <c r="BD4871" s="2" t="s">
        <v>82</v>
      </c>
      <c r="BE4871" s="2">
        <v>41</v>
      </c>
      <c r="BF4871" s="2" t="s">
        <v>82</v>
      </c>
      <c r="BG4871" s="2"/>
      <c r="BH4871" s="2"/>
      <c r="BI4871" s="2"/>
      <c r="BJ4871" s="2">
        <v>241</v>
      </c>
      <c r="BK4871" s="2" t="s">
        <v>82</v>
      </c>
      <c r="BL4871" s="2"/>
      <c r="BM4871" s="2">
        <v>241</v>
      </c>
      <c r="BN4871" s="2" t="s">
        <v>82</v>
      </c>
      <c r="BO4871" s="2"/>
      <c r="BP4871" s="2">
        <v>241</v>
      </c>
      <c r="BQ4871" s="2" t="s">
        <v>82</v>
      </c>
      <c r="BR4871" s="2"/>
      <c r="BS4871" s="3">
        <v>40511</v>
      </c>
      <c r="BT4871" s="4">
        <v>3.3680555555555554E-2</v>
      </c>
    </row>
    <row r="4872" spans="1:72" x14ac:dyDescent="0.25">
      <c r="A4872" s="2">
        <v>7549</v>
      </c>
      <c r="B4872" s="2">
        <v>2010</v>
      </c>
      <c r="C4872" s="2" t="s">
        <v>196</v>
      </c>
      <c r="D4872" s="2" t="s">
        <v>122</v>
      </c>
      <c r="E4872" s="2"/>
      <c r="F4872" s="2">
        <v>1</v>
      </c>
      <c r="G4872" s="2" t="s">
        <v>82</v>
      </c>
      <c r="H4872" s="2">
        <v>1</v>
      </c>
      <c r="I4872" s="2" t="s">
        <v>82</v>
      </c>
      <c r="J4872" s="2">
        <v>1</v>
      </c>
      <c r="K4872" s="2" t="s">
        <v>107</v>
      </c>
      <c r="L4872" s="2" t="s">
        <v>107</v>
      </c>
      <c r="M4872" s="3">
        <v>40511</v>
      </c>
      <c r="N4872" s="2"/>
      <c r="O4872" s="2"/>
      <c r="P4872" s="2"/>
      <c r="Q4872" s="2" t="str">
        <f>""</f>
        <v/>
      </c>
      <c r="R4872" s="2"/>
      <c r="S4872" s="2"/>
      <c r="T4872" s="2">
        <v>2</v>
      </c>
      <c r="U4872" s="2" t="s">
        <v>123</v>
      </c>
      <c r="V4872" s="2">
        <v>1</v>
      </c>
      <c r="W4872" s="2" t="s">
        <v>80</v>
      </c>
      <c r="X4872" s="2">
        <v>11</v>
      </c>
      <c r="Y4872" s="2" t="s">
        <v>1920</v>
      </c>
      <c r="Z4872" s="2">
        <v>10</v>
      </c>
      <c r="AA4872" s="2" t="s">
        <v>236</v>
      </c>
      <c r="AB4872" s="2">
        <v>9</v>
      </c>
      <c r="AC4872" s="2" t="s">
        <v>124</v>
      </c>
      <c r="AD4872" s="3">
        <v>40511</v>
      </c>
      <c r="AE4872" s="4">
        <v>1.0416666666666666E-2</v>
      </c>
      <c r="AF4872" s="2"/>
      <c r="AG4872" s="2"/>
      <c r="AH4872" s="2">
        <v>2</v>
      </c>
      <c r="AI4872" s="2" t="s">
        <v>84</v>
      </c>
      <c r="AJ4872" s="2">
        <v>112</v>
      </c>
      <c r="AK4872" s="2" t="s">
        <v>14078</v>
      </c>
      <c r="AL4872" s="2">
        <v>20</v>
      </c>
      <c r="AM4872" s="2" t="s">
        <v>992</v>
      </c>
      <c r="AN4872" s="2"/>
      <c r="AO4872" s="2" t="s">
        <v>15021</v>
      </c>
      <c r="AP4872" s="2">
        <v>11</v>
      </c>
      <c r="AQ4872" s="2" t="s">
        <v>82</v>
      </c>
      <c r="AR4872" s="2"/>
      <c r="AS4872" s="2"/>
      <c r="AT4872" s="2" t="s">
        <v>15022</v>
      </c>
      <c r="AU4872" s="2"/>
      <c r="AV4872" s="2"/>
      <c r="AW4872" s="2"/>
      <c r="AX4872" s="2"/>
      <c r="AY4872" s="2">
        <v>41</v>
      </c>
      <c r="AZ4872" s="2" t="s">
        <v>82</v>
      </c>
      <c r="BA4872" s="2">
        <v>41</v>
      </c>
      <c r="BB4872" s="2" t="s">
        <v>82</v>
      </c>
      <c r="BC4872" s="2">
        <v>41</v>
      </c>
      <c r="BD4872" s="2" t="s">
        <v>82</v>
      </c>
      <c r="BE4872" s="2">
        <v>41</v>
      </c>
      <c r="BF4872" s="2" t="s">
        <v>82</v>
      </c>
      <c r="BG4872" s="2"/>
      <c r="BH4872" s="4">
        <v>5.9027777777777783E-2</v>
      </c>
      <c r="BI4872" s="2"/>
      <c r="BJ4872" s="2">
        <v>241</v>
      </c>
      <c r="BK4872" s="2" t="s">
        <v>82</v>
      </c>
      <c r="BL4872" s="2" t="s">
        <v>492</v>
      </c>
      <c r="BM4872" s="2">
        <v>241</v>
      </c>
      <c r="BN4872" s="2" t="s">
        <v>82</v>
      </c>
      <c r="BO4872" s="2"/>
      <c r="BP4872" s="2">
        <v>241</v>
      </c>
      <c r="BQ4872" s="2" t="s">
        <v>82</v>
      </c>
      <c r="BR4872" s="2" t="s">
        <v>185</v>
      </c>
      <c r="BS4872" s="3">
        <v>40511</v>
      </c>
      <c r="BT4872" s="4">
        <v>7.8206018518518508E-2</v>
      </c>
    </row>
    <row r="4873" spans="1:72" x14ac:dyDescent="0.25">
      <c r="A4873" s="2">
        <v>7559</v>
      </c>
      <c r="B4873" s="2">
        <v>2010</v>
      </c>
      <c r="C4873" s="2" t="s">
        <v>171</v>
      </c>
      <c r="D4873" s="2" t="s">
        <v>122</v>
      </c>
      <c r="E4873" s="2" t="s">
        <v>15023</v>
      </c>
      <c r="F4873" s="2">
        <v>399</v>
      </c>
      <c r="G4873" s="2" t="s">
        <v>587</v>
      </c>
      <c r="H4873" s="2">
        <v>15</v>
      </c>
      <c r="I4873" s="2" t="s">
        <v>130</v>
      </c>
      <c r="J4873" s="2">
        <v>2</v>
      </c>
      <c r="K4873" s="2" t="s">
        <v>3661</v>
      </c>
      <c r="L4873" s="2" t="s">
        <v>3662</v>
      </c>
      <c r="M4873" s="3">
        <v>40511</v>
      </c>
      <c r="N4873" s="2" t="s">
        <v>15024</v>
      </c>
      <c r="O4873" s="2"/>
      <c r="P4873" s="2"/>
      <c r="Q4873" s="2" t="str">
        <f>"637-E/10"</f>
        <v>637-E/10</v>
      </c>
      <c r="R4873" s="2" t="s">
        <v>14985</v>
      </c>
      <c r="S4873" s="2"/>
      <c r="T4873" s="2">
        <v>1</v>
      </c>
      <c r="U4873" s="2" t="s">
        <v>79</v>
      </c>
      <c r="V4873" s="2">
        <v>1</v>
      </c>
      <c r="W4873" s="2" t="s">
        <v>80</v>
      </c>
      <c r="X4873" s="2">
        <v>1</v>
      </c>
      <c r="Y4873" s="2" t="s">
        <v>81</v>
      </c>
      <c r="Z4873" s="2">
        <v>1</v>
      </c>
      <c r="AA4873" s="2" t="s">
        <v>82</v>
      </c>
      <c r="AB4873" s="2">
        <v>1</v>
      </c>
      <c r="AC4873" s="2" t="s">
        <v>178</v>
      </c>
      <c r="AD4873" s="3">
        <v>40508</v>
      </c>
      <c r="AE4873" s="4">
        <v>0.67708333333333337</v>
      </c>
      <c r="AF4873" s="3">
        <v>40509</v>
      </c>
      <c r="AG4873" s="4">
        <v>6.25E-2</v>
      </c>
      <c r="AH4873" s="2">
        <v>2</v>
      </c>
      <c r="AI4873" s="2" t="s">
        <v>84</v>
      </c>
      <c r="AJ4873" s="2">
        <v>9</v>
      </c>
      <c r="AK4873" s="2" t="s">
        <v>103</v>
      </c>
      <c r="AL4873" s="2">
        <v>11</v>
      </c>
      <c r="AM4873" s="2" t="s">
        <v>137</v>
      </c>
      <c r="AN4873" s="2" t="s">
        <v>14986</v>
      </c>
      <c r="AO4873" s="2"/>
      <c r="AP4873" s="2">
        <v>11</v>
      </c>
      <c r="AQ4873" s="2" t="s">
        <v>82</v>
      </c>
      <c r="AR4873" s="2"/>
      <c r="AS4873" s="2"/>
      <c r="AT4873" s="2" t="s">
        <v>15025</v>
      </c>
      <c r="AU4873" s="2"/>
      <c r="AV4873" s="2">
        <v>1</v>
      </c>
      <c r="AW4873" s="2"/>
      <c r="AX4873" s="2"/>
      <c r="AY4873" s="2">
        <v>42</v>
      </c>
      <c r="AZ4873" s="2" t="s">
        <v>182</v>
      </c>
      <c r="BA4873" s="2">
        <v>41</v>
      </c>
      <c r="BB4873" s="2" t="s">
        <v>82</v>
      </c>
      <c r="BC4873" s="2">
        <v>41</v>
      </c>
      <c r="BD4873" s="2" t="s">
        <v>82</v>
      </c>
      <c r="BE4873" s="2">
        <v>33</v>
      </c>
      <c r="BF4873" s="2" t="s">
        <v>1083</v>
      </c>
      <c r="BG4873" s="2" t="s">
        <v>9308</v>
      </c>
      <c r="BH4873" s="4">
        <v>0.20833333333333334</v>
      </c>
      <c r="BI4873" s="4">
        <v>0.76041666666666663</v>
      </c>
      <c r="BJ4873" s="2">
        <v>13</v>
      </c>
      <c r="BK4873" s="2" t="s">
        <v>91</v>
      </c>
      <c r="BL4873" s="2" t="s">
        <v>185</v>
      </c>
      <c r="BM4873" s="2">
        <v>205</v>
      </c>
      <c r="BN4873" s="2" t="s">
        <v>1085</v>
      </c>
      <c r="BO4873" s="2"/>
      <c r="BP4873" s="2">
        <v>205</v>
      </c>
      <c r="BQ4873" s="2" t="s">
        <v>1085</v>
      </c>
      <c r="BR4873" s="2" t="s">
        <v>1086</v>
      </c>
      <c r="BS4873" s="3">
        <v>40511</v>
      </c>
      <c r="BT4873" s="4">
        <v>0.71988425925925925</v>
      </c>
    </row>
    <row r="4874" spans="1:72" x14ac:dyDescent="0.25">
      <c r="A4874" s="2">
        <v>7561</v>
      </c>
      <c r="B4874" s="2">
        <v>2010</v>
      </c>
      <c r="C4874" s="2" t="s">
        <v>819</v>
      </c>
      <c r="D4874" s="2" t="s">
        <v>73</v>
      </c>
      <c r="E4874" s="2"/>
      <c r="F4874" s="2">
        <v>10</v>
      </c>
      <c r="G4874" s="2" t="s">
        <v>2143</v>
      </c>
      <c r="H4874" s="2">
        <v>99</v>
      </c>
      <c r="I4874" s="2" t="s">
        <v>6285</v>
      </c>
      <c r="J4874" s="2">
        <v>19</v>
      </c>
      <c r="K4874" s="2" t="s">
        <v>2144</v>
      </c>
      <c r="L4874" s="2" t="s">
        <v>2145</v>
      </c>
      <c r="M4874" s="3">
        <v>40511</v>
      </c>
      <c r="N4874" s="2" t="s">
        <v>15026</v>
      </c>
      <c r="O4874" s="2" t="s">
        <v>107</v>
      </c>
      <c r="P4874" s="2" t="s">
        <v>107</v>
      </c>
      <c r="Q4874" s="2" t="str">
        <f>"71/2010"</f>
        <v>71/2010</v>
      </c>
      <c r="R4874" s="2" t="s">
        <v>107</v>
      </c>
      <c r="S4874" s="2" t="s">
        <v>2162</v>
      </c>
      <c r="T4874" s="2">
        <v>1</v>
      </c>
      <c r="U4874" s="2" t="s">
        <v>79</v>
      </c>
      <c r="V4874" s="2">
        <v>1</v>
      </c>
      <c r="W4874" s="2" t="s">
        <v>80</v>
      </c>
      <c r="X4874" s="2">
        <v>1</v>
      </c>
      <c r="Y4874" s="2" t="s">
        <v>81</v>
      </c>
      <c r="Z4874" s="2">
        <v>1</v>
      </c>
      <c r="AA4874" s="2" t="s">
        <v>82</v>
      </c>
      <c r="AB4874" s="2">
        <v>9</v>
      </c>
      <c r="AC4874" s="2" t="s">
        <v>124</v>
      </c>
      <c r="AD4874" s="3">
        <v>40511</v>
      </c>
      <c r="AE4874" s="4">
        <v>0.59722222222222221</v>
      </c>
      <c r="AF4874" s="2"/>
      <c r="AG4874" s="2"/>
      <c r="AH4874" s="2">
        <v>3</v>
      </c>
      <c r="AI4874" s="2" t="s">
        <v>214</v>
      </c>
      <c r="AJ4874" s="2">
        <v>24</v>
      </c>
      <c r="AK4874" s="2" t="s">
        <v>215</v>
      </c>
      <c r="AL4874" s="2">
        <v>11</v>
      </c>
      <c r="AM4874" s="2" t="s">
        <v>137</v>
      </c>
      <c r="AN4874" s="2" t="s">
        <v>15027</v>
      </c>
      <c r="AO4874" s="2"/>
      <c r="AP4874" s="2">
        <v>11</v>
      </c>
      <c r="AQ4874" s="2" t="s">
        <v>82</v>
      </c>
      <c r="AR4874" s="2"/>
      <c r="AS4874" s="2"/>
      <c r="AT4874" s="2" t="s">
        <v>15028</v>
      </c>
      <c r="AU4874" s="2"/>
      <c r="AV4874" s="2"/>
      <c r="AW4874" s="2"/>
      <c r="AX4874" s="2"/>
      <c r="AY4874" s="2">
        <v>42</v>
      </c>
      <c r="AZ4874" s="2" t="s">
        <v>182</v>
      </c>
      <c r="BA4874" s="2">
        <v>41</v>
      </c>
      <c r="BB4874" s="2" t="s">
        <v>82</v>
      </c>
      <c r="BC4874" s="2">
        <v>41</v>
      </c>
      <c r="BD4874" s="2" t="s">
        <v>82</v>
      </c>
      <c r="BE4874" s="2">
        <v>31</v>
      </c>
      <c r="BF4874" s="2" t="s">
        <v>398</v>
      </c>
      <c r="BG4874" s="2" t="s">
        <v>13392</v>
      </c>
      <c r="BH4874" s="4">
        <v>0.375</v>
      </c>
      <c r="BI4874" s="4">
        <v>0.66666666666666663</v>
      </c>
      <c r="BJ4874" s="2">
        <v>13</v>
      </c>
      <c r="BK4874" s="2" t="s">
        <v>91</v>
      </c>
      <c r="BL4874" s="2" t="s">
        <v>169</v>
      </c>
      <c r="BM4874" s="2">
        <v>73</v>
      </c>
      <c r="BN4874" s="2" t="s">
        <v>186</v>
      </c>
      <c r="BO4874" s="2"/>
      <c r="BP4874" s="2">
        <v>73</v>
      </c>
      <c r="BQ4874" s="2" t="s">
        <v>186</v>
      </c>
      <c r="BR4874" s="2" t="s">
        <v>187</v>
      </c>
      <c r="BS4874" s="3">
        <v>40511</v>
      </c>
      <c r="BT4874" s="4">
        <v>0.8114351851851852</v>
      </c>
    </row>
    <row r="4875" spans="1:72" x14ac:dyDescent="0.25">
      <c r="A4875" s="2">
        <v>7562</v>
      </c>
      <c r="B4875" s="2">
        <v>2010</v>
      </c>
      <c r="C4875" s="2" t="s">
        <v>549</v>
      </c>
      <c r="D4875" s="2" t="s">
        <v>73</v>
      </c>
      <c r="E4875" s="2"/>
      <c r="F4875" s="2">
        <v>24</v>
      </c>
      <c r="G4875" s="2" t="s">
        <v>532</v>
      </c>
      <c r="H4875" s="2">
        <v>1</v>
      </c>
      <c r="I4875" s="2" t="s">
        <v>82</v>
      </c>
      <c r="J4875" s="2">
        <v>300</v>
      </c>
      <c r="K4875" s="2" t="s">
        <v>114</v>
      </c>
      <c r="L4875" s="2" t="s">
        <v>115</v>
      </c>
      <c r="M4875" s="3">
        <v>40511</v>
      </c>
      <c r="N4875" s="2"/>
      <c r="O4875" s="2" t="s">
        <v>550</v>
      </c>
      <c r="P4875" s="2"/>
      <c r="Q4875" s="2" t="str">
        <f>"642-E/10"</f>
        <v>642-E/10</v>
      </c>
      <c r="R4875" s="2"/>
      <c r="S4875" s="2" t="s">
        <v>550</v>
      </c>
      <c r="T4875" s="2">
        <v>1</v>
      </c>
      <c r="U4875" s="2" t="s">
        <v>79</v>
      </c>
      <c r="V4875" s="2">
        <v>1</v>
      </c>
      <c r="W4875" s="2" t="s">
        <v>80</v>
      </c>
      <c r="X4875" s="2">
        <v>12</v>
      </c>
      <c r="Y4875" s="2" t="s">
        <v>148</v>
      </c>
      <c r="Z4875" s="2">
        <v>1</v>
      </c>
      <c r="AA4875" s="2" t="s">
        <v>82</v>
      </c>
      <c r="AB4875" s="2">
        <v>9</v>
      </c>
      <c r="AC4875" s="2" t="s">
        <v>124</v>
      </c>
      <c r="AD4875" s="3">
        <v>40511</v>
      </c>
      <c r="AE4875" s="4">
        <v>0.64583333333333337</v>
      </c>
      <c r="AF4875" s="3">
        <v>40511</v>
      </c>
      <c r="AG4875" s="4">
        <v>0.70833333333333337</v>
      </c>
      <c r="AH4875" s="2">
        <v>2</v>
      </c>
      <c r="AI4875" s="2" t="s">
        <v>84</v>
      </c>
      <c r="AJ4875" s="2">
        <v>9</v>
      </c>
      <c r="AK4875" s="2" t="s">
        <v>103</v>
      </c>
      <c r="AL4875" s="2">
        <v>28</v>
      </c>
      <c r="AM4875" s="2" t="s">
        <v>5969</v>
      </c>
      <c r="AN4875" s="2" t="s">
        <v>15029</v>
      </c>
      <c r="AO4875" s="2"/>
      <c r="AP4875" s="2">
        <v>11</v>
      </c>
      <c r="AQ4875" s="2" t="s">
        <v>82</v>
      </c>
      <c r="AR4875" s="2"/>
      <c r="AS4875" s="2"/>
      <c r="AT4875" s="2" t="s">
        <v>15030</v>
      </c>
      <c r="AU4875" s="2"/>
      <c r="AV4875" s="2"/>
      <c r="AW4875" s="2"/>
      <c r="AX4875" s="2"/>
      <c r="AY4875" s="2">
        <v>41</v>
      </c>
      <c r="AZ4875" s="2" t="s">
        <v>82</v>
      </c>
      <c r="BA4875" s="2">
        <v>159</v>
      </c>
      <c r="BB4875" s="2" t="s">
        <v>14114</v>
      </c>
      <c r="BC4875" s="2">
        <v>41</v>
      </c>
      <c r="BD4875" s="2" t="s">
        <v>82</v>
      </c>
      <c r="BE4875" s="2">
        <v>41</v>
      </c>
      <c r="BF4875" s="2" t="s">
        <v>82</v>
      </c>
      <c r="BG4875" s="2"/>
      <c r="BH4875" s="2"/>
      <c r="BI4875" s="2"/>
      <c r="BJ4875" s="2">
        <v>241</v>
      </c>
      <c r="BK4875" s="2" t="s">
        <v>82</v>
      </c>
      <c r="BL4875" s="2"/>
      <c r="BM4875" s="2">
        <v>241</v>
      </c>
      <c r="BN4875" s="2" t="s">
        <v>82</v>
      </c>
      <c r="BO4875" s="2"/>
      <c r="BP4875" s="2">
        <v>241</v>
      </c>
      <c r="BQ4875" s="2" t="s">
        <v>82</v>
      </c>
      <c r="BR4875" s="2"/>
      <c r="BS4875" s="3">
        <v>40511</v>
      </c>
      <c r="BT4875" s="4">
        <v>0.93644675925925924</v>
      </c>
    </row>
    <row r="4876" spans="1:72" x14ac:dyDescent="0.25">
      <c r="A4876" s="2">
        <v>7565</v>
      </c>
      <c r="B4876" s="2">
        <v>2010</v>
      </c>
      <c r="C4876" s="2" t="s">
        <v>72</v>
      </c>
      <c r="D4876" s="2" t="s">
        <v>73</v>
      </c>
      <c r="E4876" s="2"/>
      <c r="F4876" s="2">
        <v>2</v>
      </c>
      <c r="G4876" s="2" t="s">
        <v>113</v>
      </c>
      <c r="H4876" s="2">
        <v>50</v>
      </c>
      <c r="I4876" s="2" t="s">
        <v>107</v>
      </c>
      <c r="J4876" s="2">
        <v>300</v>
      </c>
      <c r="K4876" s="2" t="s">
        <v>114</v>
      </c>
      <c r="L4876" s="2" t="s">
        <v>115</v>
      </c>
      <c r="M4876" s="3">
        <v>40512</v>
      </c>
      <c r="N4876" s="2"/>
      <c r="O4876" s="2"/>
      <c r="P4876" s="2"/>
      <c r="Q4876" s="2" t="str">
        <f>"643-E/10"</f>
        <v>643-E/10</v>
      </c>
      <c r="R4876" s="2" t="s">
        <v>601</v>
      </c>
      <c r="S4876" s="2" t="s">
        <v>601</v>
      </c>
      <c r="T4876" s="2">
        <v>1</v>
      </c>
      <c r="U4876" s="2" t="s">
        <v>79</v>
      </c>
      <c r="V4876" s="2">
        <v>1</v>
      </c>
      <c r="W4876" s="2" t="s">
        <v>80</v>
      </c>
      <c r="X4876" s="2">
        <v>12</v>
      </c>
      <c r="Y4876" s="2" t="s">
        <v>148</v>
      </c>
      <c r="Z4876" s="2">
        <v>1</v>
      </c>
      <c r="AA4876" s="2" t="s">
        <v>82</v>
      </c>
      <c r="AB4876" s="2">
        <v>6</v>
      </c>
      <c r="AC4876" s="2" t="s">
        <v>83</v>
      </c>
      <c r="AD4876" s="3">
        <v>40511</v>
      </c>
      <c r="AE4876" s="2"/>
      <c r="AF4876" s="3">
        <v>40511</v>
      </c>
      <c r="AG4876" s="4">
        <v>0.91666666666666663</v>
      </c>
      <c r="AH4876" s="2">
        <v>2</v>
      </c>
      <c r="AI4876" s="2" t="s">
        <v>84</v>
      </c>
      <c r="AJ4876" s="2">
        <v>9</v>
      </c>
      <c r="AK4876" s="2" t="s">
        <v>103</v>
      </c>
      <c r="AL4876" s="2">
        <v>22</v>
      </c>
      <c r="AM4876" s="2" t="s">
        <v>1853</v>
      </c>
      <c r="AN4876" s="2"/>
      <c r="AO4876" s="2" t="s">
        <v>15031</v>
      </c>
      <c r="AP4876" s="2">
        <v>11</v>
      </c>
      <c r="AQ4876" s="2" t="s">
        <v>82</v>
      </c>
      <c r="AR4876" s="2"/>
      <c r="AS4876" s="2"/>
      <c r="AT4876" s="2" t="s">
        <v>15032</v>
      </c>
      <c r="AU4876" s="2"/>
      <c r="AV4876" s="2"/>
      <c r="AW4876" s="2"/>
      <c r="AX4876" s="2"/>
      <c r="AY4876" s="2">
        <v>41</v>
      </c>
      <c r="AZ4876" s="2" t="s">
        <v>82</v>
      </c>
      <c r="BA4876" s="2">
        <v>41</v>
      </c>
      <c r="BB4876" s="2" t="s">
        <v>82</v>
      </c>
      <c r="BC4876" s="2">
        <v>41</v>
      </c>
      <c r="BD4876" s="2" t="s">
        <v>82</v>
      </c>
      <c r="BE4876" s="2">
        <v>17</v>
      </c>
      <c r="BF4876" s="2" t="s">
        <v>508</v>
      </c>
      <c r="BG4876" s="2" t="s">
        <v>11345</v>
      </c>
      <c r="BH4876" s="4">
        <v>0.625</v>
      </c>
      <c r="BI4876" s="2"/>
      <c r="BJ4876" s="2">
        <v>13</v>
      </c>
      <c r="BK4876" s="2" t="s">
        <v>91</v>
      </c>
      <c r="BL4876" s="2" t="s">
        <v>92</v>
      </c>
      <c r="BM4876" s="2">
        <v>13</v>
      </c>
      <c r="BN4876" s="2" t="s">
        <v>91</v>
      </c>
      <c r="BO4876" s="2"/>
      <c r="BP4876" s="2">
        <v>13</v>
      </c>
      <c r="BQ4876" s="2" t="s">
        <v>91</v>
      </c>
      <c r="BR4876" s="2" t="s">
        <v>360</v>
      </c>
      <c r="BS4876" s="3">
        <v>40512</v>
      </c>
      <c r="BT4876" s="4">
        <v>7.075231481481481E-2</v>
      </c>
    </row>
    <row r="4877" spans="1:72" x14ac:dyDescent="0.25">
      <c r="A4877" s="2">
        <v>7566</v>
      </c>
      <c r="B4877" s="2">
        <v>2010</v>
      </c>
      <c r="C4877" s="2" t="s">
        <v>2219</v>
      </c>
      <c r="D4877" s="2" t="s">
        <v>73</v>
      </c>
      <c r="E4877" s="2"/>
      <c r="F4877" s="2">
        <v>22</v>
      </c>
      <c r="G4877" s="2" t="s">
        <v>9463</v>
      </c>
      <c r="H4877" s="2">
        <v>39</v>
      </c>
      <c r="I4877" s="2" t="s">
        <v>1117</v>
      </c>
      <c r="J4877" s="2">
        <v>33</v>
      </c>
      <c r="K4877" s="2" t="s">
        <v>2178</v>
      </c>
      <c r="L4877" s="2" t="s">
        <v>1877</v>
      </c>
      <c r="M4877" s="3">
        <v>40512</v>
      </c>
      <c r="N4877" s="2" t="s">
        <v>15033</v>
      </c>
      <c r="O4877" s="2" t="s">
        <v>480</v>
      </c>
      <c r="P4877" s="2"/>
      <c r="Q4877" s="2" t="str">
        <f>"017-M/10"</f>
        <v>017-M/10</v>
      </c>
      <c r="R4877" s="2"/>
      <c r="S4877" s="2" t="s">
        <v>480</v>
      </c>
      <c r="T4877" s="2">
        <v>1</v>
      </c>
      <c r="U4877" s="2" t="s">
        <v>79</v>
      </c>
      <c r="V4877" s="2">
        <v>1</v>
      </c>
      <c r="W4877" s="2" t="s">
        <v>80</v>
      </c>
      <c r="X4877" s="2">
        <v>1</v>
      </c>
      <c r="Y4877" s="2" t="s">
        <v>81</v>
      </c>
      <c r="Z4877" s="2">
        <v>1</v>
      </c>
      <c r="AA4877" s="2" t="s">
        <v>82</v>
      </c>
      <c r="AB4877" s="2">
        <v>9</v>
      </c>
      <c r="AC4877" s="2" t="s">
        <v>124</v>
      </c>
      <c r="AD4877" s="3">
        <v>40511</v>
      </c>
      <c r="AE4877" s="4">
        <v>0.87013888888888891</v>
      </c>
      <c r="AF4877" s="3">
        <v>40511</v>
      </c>
      <c r="AG4877" s="4">
        <v>0.98611111111111116</v>
      </c>
      <c r="AH4877" s="2">
        <v>2</v>
      </c>
      <c r="AI4877" s="2" t="s">
        <v>84</v>
      </c>
      <c r="AJ4877" s="2">
        <v>8</v>
      </c>
      <c r="AK4877" s="2" t="s">
        <v>436</v>
      </c>
      <c r="AL4877" s="2">
        <v>25</v>
      </c>
      <c r="AM4877" s="2" t="s">
        <v>3073</v>
      </c>
      <c r="AN4877" s="2" t="s">
        <v>15034</v>
      </c>
      <c r="AO4877" s="2" t="s">
        <v>15035</v>
      </c>
      <c r="AP4877" s="2">
        <v>11</v>
      </c>
      <c r="AQ4877" s="2" t="s">
        <v>82</v>
      </c>
      <c r="AR4877" s="2"/>
      <c r="AS4877" s="2"/>
      <c r="AT4877" s="2" t="s">
        <v>15036</v>
      </c>
      <c r="AU4877" s="2"/>
      <c r="AV4877" s="2"/>
      <c r="AW4877" s="2"/>
      <c r="AX4877" s="2"/>
      <c r="AY4877" s="2">
        <v>41</v>
      </c>
      <c r="AZ4877" s="2" t="s">
        <v>82</v>
      </c>
      <c r="BA4877" s="2">
        <v>41</v>
      </c>
      <c r="BB4877" s="2" t="s">
        <v>82</v>
      </c>
      <c r="BC4877" s="2">
        <v>41</v>
      </c>
      <c r="BD4877" s="2" t="s">
        <v>82</v>
      </c>
      <c r="BE4877" s="2">
        <v>41</v>
      </c>
      <c r="BF4877" s="2" t="s">
        <v>82</v>
      </c>
      <c r="BG4877" s="2" t="s">
        <v>15037</v>
      </c>
      <c r="BH4877" s="2"/>
      <c r="BI4877" s="2"/>
      <c r="BJ4877" s="2">
        <v>172</v>
      </c>
      <c r="BK4877" s="2" t="s">
        <v>843</v>
      </c>
      <c r="BL4877" s="2" t="s">
        <v>844</v>
      </c>
      <c r="BM4877" s="2">
        <v>13</v>
      </c>
      <c r="BN4877" s="2" t="s">
        <v>91</v>
      </c>
      <c r="BO4877" s="2"/>
      <c r="BP4877" s="2">
        <v>13</v>
      </c>
      <c r="BQ4877" s="2" t="s">
        <v>91</v>
      </c>
      <c r="BR4877" s="2" t="s">
        <v>647</v>
      </c>
      <c r="BS4877" s="3">
        <v>40512</v>
      </c>
      <c r="BT4877" s="4">
        <v>9.3321759259259271E-2</v>
      </c>
    </row>
    <row r="4878" spans="1:72" x14ac:dyDescent="0.25">
      <c r="A4878" s="2">
        <v>7567</v>
      </c>
      <c r="B4878" s="2">
        <v>2010</v>
      </c>
      <c r="C4878" s="2" t="s">
        <v>4543</v>
      </c>
      <c r="D4878" s="2" t="s">
        <v>122</v>
      </c>
      <c r="E4878" s="2"/>
      <c r="F4878" s="2">
        <v>1</v>
      </c>
      <c r="G4878" s="2" t="s">
        <v>82</v>
      </c>
      <c r="H4878" s="2">
        <v>1</v>
      </c>
      <c r="I4878" s="2" t="s">
        <v>82</v>
      </c>
      <c r="J4878" s="2">
        <v>1</v>
      </c>
      <c r="K4878" s="2" t="s">
        <v>107</v>
      </c>
      <c r="L4878" s="2" t="s">
        <v>107</v>
      </c>
      <c r="M4878" s="3">
        <v>40512</v>
      </c>
      <c r="N4878" s="2"/>
      <c r="O4878" s="2"/>
      <c r="P4878" s="2"/>
      <c r="Q4878" s="2" t="str">
        <f>""</f>
        <v/>
      </c>
      <c r="R4878" s="2"/>
      <c r="S4878" s="2"/>
      <c r="T4878" s="2">
        <v>2</v>
      </c>
      <c r="U4878" s="2" t="s">
        <v>123</v>
      </c>
      <c r="V4878" s="2">
        <v>1</v>
      </c>
      <c r="W4878" s="2" t="s">
        <v>80</v>
      </c>
      <c r="X4878" s="2">
        <v>11</v>
      </c>
      <c r="Y4878" s="2" t="s">
        <v>1920</v>
      </c>
      <c r="Z4878" s="2">
        <v>1</v>
      </c>
      <c r="AA4878" s="2" t="s">
        <v>82</v>
      </c>
      <c r="AB4878" s="2">
        <v>9</v>
      </c>
      <c r="AC4878" s="2" t="s">
        <v>124</v>
      </c>
      <c r="AD4878" s="3">
        <v>40512</v>
      </c>
      <c r="AE4878" s="4">
        <v>0.17291666666666669</v>
      </c>
      <c r="AF4878" s="2"/>
      <c r="AG4878" s="2"/>
      <c r="AH4878" s="2">
        <v>6</v>
      </c>
      <c r="AI4878" s="2" t="s">
        <v>197</v>
      </c>
      <c r="AJ4878" s="2">
        <v>54</v>
      </c>
      <c r="AK4878" s="2" t="s">
        <v>348</v>
      </c>
      <c r="AL4878" s="2">
        <v>19</v>
      </c>
      <c r="AM4878" s="2" t="s">
        <v>107</v>
      </c>
      <c r="AN4878" s="2" t="s">
        <v>595</v>
      </c>
      <c r="AO4878" s="2" t="s">
        <v>200</v>
      </c>
      <c r="AP4878" s="2">
        <v>14</v>
      </c>
      <c r="AQ4878" s="2" t="s">
        <v>3301</v>
      </c>
      <c r="AR4878" s="2" t="s">
        <v>596</v>
      </c>
      <c r="AS4878" s="2" t="s">
        <v>596</v>
      </c>
      <c r="AT4878" s="2" t="s">
        <v>15038</v>
      </c>
      <c r="AU4878" s="2"/>
      <c r="AV4878" s="2"/>
      <c r="AW4878" s="2"/>
      <c r="AX4878" s="2"/>
      <c r="AY4878" s="2">
        <v>41</v>
      </c>
      <c r="AZ4878" s="2" t="s">
        <v>82</v>
      </c>
      <c r="BA4878" s="2">
        <v>41</v>
      </c>
      <c r="BB4878" s="2" t="s">
        <v>82</v>
      </c>
      <c r="BC4878" s="2">
        <v>41</v>
      </c>
      <c r="BD4878" s="2" t="s">
        <v>82</v>
      </c>
      <c r="BE4878" s="2">
        <v>4</v>
      </c>
      <c r="BF4878" s="2" t="s">
        <v>90</v>
      </c>
      <c r="BG4878" s="2" t="s">
        <v>598</v>
      </c>
      <c r="BH4878" s="4">
        <v>6.9444444444444434E-2</v>
      </c>
      <c r="BI4878" s="4">
        <v>0.14027777777777778</v>
      </c>
      <c r="BJ4878" s="2">
        <v>13</v>
      </c>
      <c r="BK4878" s="2" t="s">
        <v>91</v>
      </c>
      <c r="BL4878" s="2" t="s">
        <v>15039</v>
      </c>
      <c r="BM4878" s="2">
        <v>13</v>
      </c>
      <c r="BN4878" s="2" t="s">
        <v>91</v>
      </c>
      <c r="BO4878" s="2"/>
      <c r="BP4878" s="2">
        <v>13</v>
      </c>
      <c r="BQ4878" s="2" t="s">
        <v>91</v>
      </c>
      <c r="BR4878" s="2" t="s">
        <v>14528</v>
      </c>
      <c r="BS4878" s="3">
        <v>40512</v>
      </c>
      <c r="BT4878" s="4">
        <v>0.40289351851851851</v>
      </c>
    </row>
    <row r="4879" spans="1:72" x14ac:dyDescent="0.25">
      <c r="A4879" s="2">
        <v>7570</v>
      </c>
      <c r="B4879" s="2">
        <v>2010</v>
      </c>
      <c r="C4879" s="2" t="s">
        <v>196</v>
      </c>
      <c r="D4879" s="2" t="s">
        <v>122</v>
      </c>
      <c r="E4879" s="2"/>
      <c r="F4879" s="2">
        <v>1</v>
      </c>
      <c r="G4879" s="2" t="s">
        <v>82</v>
      </c>
      <c r="H4879" s="2">
        <v>1</v>
      </c>
      <c r="I4879" s="2" t="s">
        <v>82</v>
      </c>
      <c r="J4879" s="2">
        <v>1</v>
      </c>
      <c r="K4879" s="2" t="s">
        <v>107</v>
      </c>
      <c r="L4879" s="2" t="s">
        <v>107</v>
      </c>
      <c r="M4879" s="3">
        <v>40512</v>
      </c>
      <c r="N4879" s="2"/>
      <c r="O4879" s="2"/>
      <c r="P4879" s="2"/>
      <c r="Q4879" s="2" t="str">
        <f>""</f>
        <v/>
      </c>
      <c r="R4879" s="2"/>
      <c r="S4879" s="2"/>
      <c r="T4879" s="2">
        <v>2</v>
      </c>
      <c r="U4879" s="2" t="s">
        <v>123</v>
      </c>
      <c r="V4879" s="2">
        <v>1</v>
      </c>
      <c r="W4879" s="2" t="s">
        <v>80</v>
      </c>
      <c r="X4879" s="2">
        <v>5</v>
      </c>
      <c r="Y4879" s="2" t="s">
        <v>82</v>
      </c>
      <c r="Z4879" s="2">
        <v>1</v>
      </c>
      <c r="AA4879" s="2" t="s">
        <v>82</v>
      </c>
      <c r="AB4879" s="2">
        <v>9</v>
      </c>
      <c r="AC4879" s="2" t="s">
        <v>124</v>
      </c>
      <c r="AD4879" s="3">
        <v>40512</v>
      </c>
      <c r="AE4879" s="4">
        <v>0.33333333333333331</v>
      </c>
      <c r="AF4879" s="2"/>
      <c r="AG4879" s="2"/>
      <c r="AH4879" s="2">
        <v>2</v>
      </c>
      <c r="AI4879" s="2" t="s">
        <v>84</v>
      </c>
      <c r="AJ4879" s="2">
        <v>112</v>
      </c>
      <c r="AK4879" s="2" t="s">
        <v>14078</v>
      </c>
      <c r="AL4879" s="2">
        <v>19</v>
      </c>
      <c r="AM4879" s="2" t="s">
        <v>107</v>
      </c>
      <c r="AN4879" s="2" t="s">
        <v>15040</v>
      </c>
      <c r="AO4879" s="2" t="s">
        <v>15041</v>
      </c>
      <c r="AP4879" s="2">
        <v>11</v>
      </c>
      <c r="AQ4879" s="2" t="s">
        <v>82</v>
      </c>
      <c r="AR4879" s="2"/>
      <c r="AS4879" s="2"/>
      <c r="AT4879" s="2" t="s">
        <v>15042</v>
      </c>
      <c r="AU4879" s="2"/>
      <c r="AV4879" s="2"/>
      <c r="AW4879" s="2"/>
      <c r="AX4879" s="2"/>
      <c r="AY4879" s="2">
        <v>41</v>
      </c>
      <c r="AZ4879" s="2" t="s">
        <v>82</v>
      </c>
      <c r="BA4879" s="2">
        <v>41</v>
      </c>
      <c r="BB4879" s="2" t="s">
        <v>82</v>
      </c>
      <c r="BC4879" s="2">
        <v>41</v>
      </c>
      <c r="BD4879" s="2" t="s">
        <v>82</v>
      </c>
      <c r="BE4879" s="2">
        <v>41</v>
      </c>
      <c r="BF4879" s="2" t="s">
        <v>82</v>
      </c>
      <c r="BG4879" s="2"/>
      <c r="BH4879" s="2"/>
      <c r="BI4879" s="2"/>
      <c r="BJ4879" s="2">
        <v>13</v>
      </c>
      <c r="BK4879" s="2" t="s">
        <v>91</v>
      </c>
      <c r="BL4879" s="2" t="s">
        <v>185</v>
      </c>
      <c r="BM4879" s="2">
        <v>241</v>
      </c>
      <c r="BN4879" s="2" t="s">
        <v>82</v>
      </c>
      <c r="BO4879" s="2"/>
      <c r="BP4879" s="2">
        <v>13</v>
      </c>
      <c r="BQ4879" s="2" t="s">
        <v>91</v>
      </c>
      <c r="BR4879" s="2" t="s">
        <v>854</v>
      </c>
      <c r="BS4879" s="3">
        <v>40512</v>
      </c>
      <c r="BT4879" s="4">
        <v>0.46229166666666671</v>
      </c>
    </row>
    <row r="4880" spans="1:72" x14ac:dyDescent="0.25">
      <c r="A4880" s="2">
        <v>7573</v>
      </c>
      <c r="B4880" s="2">
        <v>2010</v>
      </c>
      <c r="C4880" s="2" t="s">
        <v>196</v>
      </c>
      <c r="D4880" s="2" t="s">
        <v>122</v>
      </c>
      <c r="E4880" s="2"/>
      <c r="F4880" s="2">
        <v>1</v>
      </c>
      <c r="G4880" s="2" t="s">
        <v>82</v>
      </c>
      <c r="H4880" s="2">
        <v>1</v>
      </c>
      <c r="I4880" s="2" t="s">
        <v>82</v>
      </c>
      <c r="J4880" s="2">
        <v>1</v>
      </c>
      <c r="K4880" s="2" t="s">
        <v>107</v>
      </c>
      <c r="L4880" s="2" t="s">
        <v>107</v>
      </c>
      <c r="M4880" s="3">
        <v>40512</v>
      </c>
      <c r="N4880" s="2"/>
      <c r="O4880" s="2"/>
      <c r="P4880" s="2"/>
      <c r="Q4880" s="2" t="str">
        <f>""</f>
        <v/>
      </c>
      <c r="R4880" s="2"/>
      <c r="S4880" s="2"/>
      <c r="T4880" s="2">
        <v>2</v>
      </c>
      <c r="U4880" s="2" t="s">
        <v>123</v>
      </c>
      <c r="V4880" s="2">
        <v>1</v>
      </c>
      <c r="W4880" s="2" t="s">
        <v>80</v>
      </c>
      <c r="X4880" s="2">
        <v>5</v>
      </c>
      <c r="Y4880" s="2" t="s">
        <v>82</v>
      </c>
      <c r="Z4880" s="2">
        <v>1</v>
      </c>
      <c r="AA4880" s="2" t="s">
        <v>82</v>
      </c>
      <c r="AB4880" s="2">
        <v>9</v>
      </c>
      <c r="AC4880" s="2" t="s">
        <v>124</v>
      </c>
      <c r="AD4880" s="3">
        <v>40512</v>
      </c>
      <c r="AE4880" s="4">
        <v>0.51666666666666672</v>
      </c>
      <c r="AF4880" s="2"/>
      <c r="AG4880" s="2"/>
      <c r="AH4880" s="2">
        <v>3</v>
      </c>
      <c r="AI4880" s="2" t="s">
        <v>214</v>
      </c>
      <c r="AJ4880" s="2">
        <v>23</v>
      </c>
      <c r="AK4880" s="2" t="s">
        <v>851</v>
      </c>
      <c r="AL4880" s="2">
        <v>19</v>
      </c>
      <c r="AM4880" s="2" t="s">
        <v>107</v>
      </c>
      <c r="AN4880" s="2" t="s">
        <v>230</v>
      </c>
      <c r="AO4880" s="2" t="s">
        <v>200</v>
      </c>
      <c r="AP4880" s="2">
        <v>11</v>
      </c>
      <c r="AQ4880" s="2" t="s">
        <v>82</v>
      </c>
      <c r="AR4880" s="2"/>
      <c r="AS4880" s="2"/>
      <c r="AT4880" s="2" t="s">
        <v>15043</v>
      </c>
      <c r="AU4880" s="2"/>
      <c r="AV4880" s="2"/>
      <c r="AW4880" s="2"/>
      <c r="AX4880" s="2"/>
      <c r="AY4880" s="2">
        <v>41</v>
      </c>
      <c r="AZ4880" s="2" t="s">
        <v>82</v>
      </c>
      <c r="BA4880" s="2">
        <v>41</v>
      </c>
      <c r="BB4880" s="2" t="s">
        <v>82</v>
      </c>
      <c r="BC4880" s="2">
        <v>41</v>
      </c>
      <c r="BD4880" s="2" t="s">
        <v>82</v>
      </c>
      <c r="BE4880" s="2">
        <v>41</v>
      </c>
      <c r="BF4880" s="2" t="s">
        <v>82</v>
      </c>
      <c r="BG4880" s="2" t="s">
        <v>15044</v>
      </c>
      <c r="BH4880" s="4">
        <v>0.51666666666666672</v>
      </c>
      <c r="BI4880" s="4">
        <v>0.46180555555555558</v>
      </c>
      <c r="BJ4880" s="2">
        <v>241</v>
      </c>
      <c r="BK4880" s="2" t="s">
        <v>82</v>
      </c>
      <c r="BL4880" s="2" t="s">
        <v>185</v>
      </c>
      <c r="BM4880" s="2">
        <v>241</v>
      </c>
      <c r="BN4880" s="2" t="s">
        <v>82</v>
      </c>
      <c r="BO4880" s="2"/>
      <c r="BP4880" s="2">
        <v>241</v>
      </c>
      <c r="BQ4880" s="2" t="s">
        <v>82</v>
      </c>
      <c r="BR4880" s="2" t="s">
        <v>854</v>
      </c>
      <c r="BS4880" s="3">
        <v>40512</v>
      </c>
      <c r="BT4880" s="4">
        <v>0.54305555555555551</v>
      </c>
    </row>
    <row r="4881" spans="1:72" x14ac:dyDescent="0.25">
      <c r="A4881" s="2">
        <v>7575</v>
      </c>
      <c r="B4881" s="2">
        <v>2010</v>
      </c>
      <c r="C4881" s="2" t="s">
        <v>385</v>
      </c>
      <c r="D4881" s="2" t="s">
        <v>122</v>
      </c>
      <c r="E4881" s="2"/>
      <c r="F4881" s="2">
        <v>448</v>
      </c>
      <c r="G4881" s="2" t="s">
        <v>863</v>
      </c>
      <c r="H4881" s="2">
        <v>22</v>
      </c>
      <c r="I4881" s="2" t="s">
        <v>75</v>
      </c>
      <c r="J4881" s="2">
        <v>140</v>
      </c>
      <c r="K4881" s="2" t="s">
        <v>864</v>
      </c>
      <c r="L4881" s="2" t="s">
        <v>865</v>
      </c>
      <c r="M4881" s="3">
        <v>40512</v>
      </c>
      <c r="N4881" s="2" t="s">
        <v>15045</v>
      </c>
      <c r="O4881" s="2" t="s">
        <v>15046</v>
      </c>
      <c r="P4881" s="2" t="s">
        <v>15047</v>
      </c>
      <c r="Q4881" s="2" t="str">
        <f>"N/C"</f>
        <v>N/C</v>
      </c>
      <c r="R4881" s="2" t="s">
        <v>82</v>
      </c>
      <c r="S4881" s="2" t="s">
        <v>82</v>
      </c>
      <c r="T4881" s="2">
        <v>1</v>
      </c>
      <c r="U4881" s="2" t="s">
        <v>79</v>
      </c>
      <c r="V4881" s="2">
        <v>1</v>
      </c>
      <c r="W4881" s="2" t="s">
        <v>80</v>
      </c>
      <c r="X4881" s="2">
        <v>4</v>
      </c>
      <c r="Y4881" s="2" t="s">
        <v>463</v>
      </c>
      <c r="Z4881" s="2">
        <v>10</v>
      </c>
      <c r="AA4881" s="2" t="s">
        <v>236</v>
      </c>
      <c r="AB4881" s="2">
        <v>9</v>
      </c>
      <c r="AC4881" s="2" t="s">
        <v>124</v>
      </c>
      <c r="AD4881" s="3">
        <v>40512</v>
      </c>
      <c r="AE4881" s="4">
        <v>0.54861111111111105</v>
      </c>
      <c r="AF4881" s="2"/>
      <c r="AG4881" s="2"/>
      <c r="AH4881" s="2">
        <v>6</v>
      </c>
      <c r="AI4881" s="2" t="s">
        <v>197</v>
      </c>
      <c r="AJ4881" s="2">
        <v>61</v>
      </c>
      <c r="AK4881" s="2" t="s">
        <v>686</v>
      </c>
      <c r="AL4881" s="2">
        <v>2</v>
      </c>
      <c r="AM4881" s="2" t="s">
        <v>163</v>
      </c>
      <c r="AN4881" s="2" t="s">
        <v>15048</v>
      </c>
      <c r="AO4881" s="2" t="s">
        <v>15049</v>
      </c>
      <c r="AP4881" s="2">
        <v>11</v>
      </c>
      <c r="AQ4881" s="2" t="s">
        <v>82</v>
      </c>
      <c r="AR4881" s="2" t="s">
        <v>82</v>
      </c>
      <c r="AS4881" s="2" t="s">
        <v>82</v>
      </c>
      <c r="AT4881" s="2" t="s">
        <v>15050</v>
      </c>
      <c r="AU4881" s="2"/>
      <c r="AV4881" s="2">
        <v>1</v>
      </c>
      <c r="AW4881" s="2"/>
      <c r="AX4881" s="2"/>
      <c r="AY4881" s="2">
        <v>41</v>
      </c>
      <c r="AZ4881" s="2" t="s">
        <v>82</v>
      </c>
      <c r="BA4881" s="2">
        <v>41</v>
      </c>
      <c r="BB4881" s="2" t="s">
        <v>82</v>
      </c>
      <c r="BC4881" s="2">
        <v>41</v>
      </c>
      <c r="BD4881" s="2" t="s">
        <v>82</v>
      </c>
      <c r="BE4881" s="2">
        <v>13</v>
      </c>
      <c r="BF4881" s="2" t="s">
        <v>108</v>
      </c>
      <c r="BG4881" s="2" t="s">
        <v>15051</v>
      </c>
      <c r="BH4881" s="4">
        <v>0.53472222222222221</v>
      </c>
      <c r="BI4881" s="4">
        <v>0.57291666666666663</v>
      </c>
      <c r="BJ4881" s="2">
        <v>13</v>
      </c>
      <c r="BK4881" s="2" t="s">
        <v>91</v>
      </c>
      <c r="BL4881" s="2" t="s">
        <v>690</v>
      </c>
      <c r="BM4881" s="2">
        <v>13</v>
      </c>
      <c r="BN4881" s="2" t="s">
        <v>91</v>
      </c>
      <c r="BO4881" s="2"/>
      <c r="BP4881" s="2">
        <v>13</v>
      </c>
      <c r="BQ4881" s="2" t="s">
        <v>91</v>
      </c>
      <c r="BR4881" s="2" t="s">
        <v>185</v>
      </c>
      <c r="BS4881" s="3">
        <v>40512</v>
      </c>
      <c r="BT4881" s="4">
        <v>0.61312500000000003</v>
      </c>
    </row>
    <row r="4882" spans="1:72" x14ac:dyDescent="0.25">
      <c r="A4882" s="2">
        <v>7576</v>
      </c>
      <c r="B4882" s="2">
        <v>2010</v>
      </c>
      <c r="C4882" s="2" t="s">
        <v>196</v>
      </c>
      <c r="D4882" s="2" t="s">
        <v>122</v>
      </c>
      <c r="E4882" s="2"/>
      <c r="F4882" s="2">
        <v>1</v>
      </c>
      <c r="G4882" s="2" t="s">
        <v>82</v>
      </c>
      <c r="H4882" s="2">
        <v>1</v>
      </c>
      <c r="I4882" s="2" t="s">
        <v>82</v>
      </c>
      <c r="J4882" s="2">
        <v>1</v>
      </c>
      <c r="K4882" s="2" t="s">
        <v>107</v>
      </c>
      <c r="L4882" s="2" t="s">
        <v>107</v>
      </c>
      <c r="M4882" s="3">
        <v>40512</v>
      </c>
      <c r="N4882" s="2"/>
      <c r="O4882" s="2" t="s">
        <v>107</v>
      </c>
      <c r="P4882" s="2" t="s">
        <v>107</v>
      </c>
      <c r="Q4882" s="2" t="str">
        <f>""</f>
        <v/>
      </c>
      <c r="R4882" s="2"/>
      <c r="S4882" s="2"/>
      <c r="T4882" s="2">
        <v>2</v>
      </c>
      <c r="U4882" s="2" t="s">
        <v>123</v>
      </c>
      <c r="V4882" s="2">
        <v>1</v>
      </c>
      <c r="W4882" s="2" t="s">
        <v>80</v>
      </c>
      <c r="X4882" s="2">
        <v>5</v>
      </c>
      <c r="Y4882" s="2" t="s">
        <v>82</v>
      </c>
      <c r="Z4882" s="2">
        <v>1</v>
      </c>
      <c r="AA4882" s="2" t="s">
        <v>82</v>
      </c>
      <c r="AB4882" s="2">
        <v>9</v>
      </c>
      <c r="AC4882" s="2" t="s">
        <v>124</v>
      </c>
      <c r="AD4882" s="3">
        <v>40512</v>
      </c>
      <c r="AE4882" s="4">
        <v>0.6069444444444444</v>
      </c>
      <c r="AF4882" s="2"/>
      <c r="AG4882" s="2"/>
      <c r="AH4882" s="2">
        <v>3</v>
      </c>
      <c r="AI4882" s="2" t="s">
        <v>214</v>
      </c>
      <c r="AJ4882" s="2">
        <v>23</v>
      </c>
      <c r="AK4882" s="2" t="s">
        <v>851</v>
      </c>
      <c r="AL4882" s="2">
        <v>19</v>
      </c>
      <c r="AM4882" s="2" t="s">
        <v>107</v>
      </c>
      <c r="AN4882" s="2" t="s">
        <v>230</v>
      </c>
      <c r="AO4882" s="2" t="s">
        <v>200</v>
      </c>
      <c r="AP4882" s="2">
        <v>11</v>
      </c>
      <c r="AQ4882" s="2" t="s">
        <v>82</v>
      </c>
      <c r="AR4882" s="2"/>
      <c r="AS4882" s="2"/>
      <c r="AT4882" s="2" t="s">
        <v>15052</v>
      </c>
      <c r="AU4882" s="2"/>
      <c r="AV4882" s="2"/>
      <c r="AW4882" s="2"/>
      <c r="AX4882" s="2"/>
      <c r="AY4882" s="2">
        <v>41</v>
      </c>
      <c r="AZ4882" s="2" t="s">
        <v>82</v>
      </c>
      <c r="BA4882" s="2">
        <v>41</v>
      </c>
      <c r="BB4882" s="2" t="s">
        <v>82</v>
      </c>
      <c r="BC4882" s="2">
        <v>41</v>
      </c>
      <c r="BD4882" s="2" t="s">
        <v>82</v>
      </c>
      <c r="BE4882" s="2">
        <v>41</v>
      </c>
      <c r="BF4882" s="2" t="s">
        <v>82</v>
      </c>
      <c r="BG4882" s="2" t="s">
        <v>15044</v>
      </c>
      <c r="BH4882" s="4">
        <v>0.67361111111111116</v>
      </c>
      <c r="BI4882" s="4">
        <v>0.6069444444444444</v>
      </c>
      <c r="BJ4882" s="2">
        <v>241</v>
      </c>
      <c r="BK4882" s="2" t="s">
        <v>82</v>
      </c>
      <c r="BL4882" s="2" t="s">
        <v>854</v>
      </c>
      <c r="BM4882" s="2">
        <v>241</v>
      </c>
      <c r="BN4882" s="2" t="s">
        <v>82</v>
      </c>
      <c r="BO4882" s="2"/>
      <c r="BP4882" s="2">
        <v>241</v>
      </c>
      <c r="BQ4882" s="2" t="s">
        <v>82</v>
      </c>
      <c r="BR4882" s="2" t="s">
        <v>185</v>
      </c>
      <c r="BS4882" s="3">
        <v>40512</v>
      </c>
      <c r="BT4882" s="4">
        <v>0.65342592592592597</v>
      </c>
    </row>
    <row r="4883" spans="1:72" x14ac:dyDescent="0.25">
      <c r="A4883" s="2">
        <v>7578</v>
      </c>
      <c r="B4883" s="2">
        <v>2010</v>
      </c>
      <c r="C4883" s="2" t="s">
        <v>196</v>
      </c>
      <c r="D4883" s="2" t="s">
        <v>122</v>
      </c>
      <c r="E4883" s="2"/>
      <c r="F4883" s="2">
        <v>1</v>
      </c>
      <c r="G4883" s="2" t="s">
        <v>82</v>
      </c>
      <c r="H4883" s="2">
        <v>1</v>
      </c>
      <c r="I4883" s="2" t="s">
        <v>82</v>
      </c>
      <c r="J4883" s="2">
        <v>1</v>
      </c>
      <c r="K4883" s="2" t="s">
        <v>107</v>
      </c>
      <c r="L4883" s="2" t="s">
        <v>107</v>
      </c>
      <c r="M4883" s="3">
        <v>40512</v>
      </c>
      <c r="N4883" s="2"/>
      <c r="O4883" s="2"/>
      <c r="P4883" s="2"/>
      <c r="Q4883" s="2" t="str">
        <f>""</f>
        <v/>
      </c>
      <c r="R4883" s="2"/>
      <c r="S4883" s="2"/>
      <c r="T4883" s="2">
        <v>2</v>
      </c>
      <c r="U4883" s="2" t="s">
        <v>123</v>
      </c>
      <c r="V4883" s="2">
        <v>1</v>
      </c>
      <c r="W4883" s="2" t="s">
        <v>80</v>
      </c>
      <c r="X4883" s="2">
        <v>5</v>
      </c>
      <c r="Y4883" s="2" t="s">
        <v>82</v>
      </c>
      <c r="Z4883" s="2">
        <v>1</v>
      </c>
      <c r="AA4883" s="2" t="s">
        <v>82</v>
      </c>
      <c r="AB4883" s="2">
        <v>9</v>
      </c>
      <c r="AC4883" s="2" t="s">
        <v>124</v>
      </c>
      <c r="AD4883" s="3">
        <v>40512</v>
      </c>
      <c r="AE4883" s="4">
        <v>0.625</v>
      </c>
      <c r="AF4883" s="2"/>
      <c r="AG4883" s="2"/>
      <c r="AH4883" s="2">
        <v>2</v>
      </c>
      <c r="AI4883" s="2" t="s">
        <v>84</v>
      </c>
      <c r="AJ4883" s="2">
        <v>112</v>
      </c>
      <c r="AK4883" s="2" t="s">
        <v>14078</v>
      </c>
      <c r="AL4883" s="2">
        <v>19</v>
      </c>
      <c r="AM4883" s="2" t="s">
        <v>107</v>
      </c>
      <c r="AN4883" s="2" t="s">
        <v>992</v>
      </c>
      <c r="AO4883" s="2" t="s">
        <v>15041</v>
      </c>
      <c r="AP4883" s="2">
        <v>11</v>
      </c>
      <c r="AQ4883" s="2" t="s">
        <v>82</v>
      </c>
      <c r="AR4883" s="2"/>
      <c r="AS4883" s="2"/>
      <c r="AT4883" s="2" t="s">
        <v>15053</v>
      </c>
      <c r="AU4883" s="2"/>
      <c r="AV4883" s="2"/>
      <c r="AW4883" s="2"/>
      <c r="AX4883" s="2"/>
      <c r="AY4883" s="2">
        <v>41</v>
      </c>
      <c r="AZ4883" s="2" t="s">
        <v>82</v>
      </c>
      <c r="BA4883" s="2">
        <v>41</v>
      </c>
      <c r="BB4883" s="2" t="s">
        <v>82</v>
      </c>
      <c r="BC4883" s="2">
        <v>41</v>
      </c>
      <c r="BD4883" s="2" t="s">
        <v>82</v>
      </c>
      <c r="BE4883" s="2">
        <v>41</v>
      </c>
      <c r="BF4883" s="2" t="s">
        <v>82</v>
      </c>
      <c r="BG4883" s="2"/>
      <c r="BH4883" s="2"/>
      <c r="BI4883" s="2"/>
      <c r="BJ4883" s="2">
        <v>13</v>
      </c>
      <c r="BK4883" s="2" t="s">
        <v>91</v>
      </c>
      <c r="BL4883" s="2" t="s">
        <v>854</v>
      </c>
      <c r="BM4883" s="2">
        <v>241</v>
      </c>
      <c r="BN4883" s="2" t="s">
        <v>82</v>
      </c>
      <c r="BO4883" s="2"/>
      <c r="BP4883" s="2">
        <v>13</v>
      </c>
      <c r="BQ4883" s="2" t="s">
        <v>91</v>
      </c>
      <c r="BR4883" s="2" t="s">
        <v>185</v>
      </c>
      <c r="BS4883" s="3">
        <v>40512</v>
      </c>
      <c r="BT4883" s="4">
        <v>0.6868171296296296</v>
      </c>
    </row>
    <row r="4884" spans="1:72" x14ac:dyDescent="0.25">
      <c r="A4884" s="2">
        <v>7580</v>
      </c>
      <c r="B4884" s="2">
        <v>2010</v>
      </c>
      <c r="C4884" s="2" t="s">
        <v>806</v>
      </c>
      <c r="D4884" s="2" t="s">
        <v>73</v>
      </c>
      <c r="E4884" s="2"/>
      <c r="F4884" s="2">
        <v>726</v>
      </c>
      <c r="G4884" s="2" t="s">
        <v>15054</v>
      </c>
      <c r="H4884" s="2">
        <v>89</v>
      </c>
      <c r="I4884" s="2" t="s">
        <v>5137</v>
      </c>
      <c r="J4884" s="2">
        <v>722</v>
      </c>
      <c r="K4884" s="2" t="s">
        <v>15055</v>
      </c>
      <c r="L4884" s="2" t="s">
        <v>15056</v>
      </c>
      <c r="M4884" s="3">
        <v>40512</v>
      </c>
      <c r="N4884" s="2" t="s">
        <v>15057</v>
      </c>
      <c r="O4884" s="2" t="s">
        <v>15058</v>
      </c>
      <c r="P4884" s="2">
        <v>4012</v>
      </c>
      <c r="Q4884" s="2" t="str">
        <f>""</f>
        <v/>
      </c>
      <c r="R4884" s="2"/>
      <c r="S4884" s="2"/>
      <c r="T4884" s="2">
        <v>1</v>
      </c>
      <c r="U4884" s="2" t="s">
        <v>79</v>
      </c>
      <c r="V4884" s="2">
        <v>3</v>
      </c>
      <c r="W4884" s="2" t="s">
        <v>225</v>
      </c>
      <c r="X4884" s="2">
        <v>6</v>
      </c>
      <c r="Y4884" s="2" t="s">
        <v>249</v>
      </c>
      <c r="Z4884" s="2">
        <v>1</v>
      </c>
      <c r="AA4884" s="2" t="s">
        <v>82</v>
      </c>
      <c r="AB4884" s="2">
        <v>9</v>
      </c>
      <c r="AC4884" s="2" t="s">
        <v>124</v>
      </c>
      <c r="AD4884" s="3">
        <v>40512</v>
      </c>
      <c r="AE4884" s="4">
        <v>0.39583333333333331</v>
      </c>
      <c r="AF4884" s="3">
        <v>40512</v>
      </c>
      <c r="AG4884" s="4">
        <v>0.39583333333333331</v>
      </c>
      <c r="AH4884" s="2">
        <v>7</v>
      </c>
      <c r="AI4884" s="2" t="s">
        <v>801</v>
      </c>
      <c r="AJ4884" s="2">
        <v>3</v>
      </c>
      <c r="AK4884" s="2" t="s">
        <v>802</v>
      </c>
      <c r="AL4884" s="2">
        <v>19</v>
      </c>
      <c r="AM4884" s="2" t="s">
        <v>107</v>
      </c>
      <c r="AN4884" s="2" t="s">
        <v>107</v>
      </c>
      <c r="AO4884" s="2" t="s">
        <v>107</v>
      </c>
      <c r="AP4884" s="2">
        <v>11</v>
      </c>
      <c r="AQ4884" s="2" t="s">
        <v>82</v>
      </c>
      <c r="AR4884" s="2" t="s">
        <v>107</v>
      </c>
      <c r="AS4884" s="2" t="s">
        <v>107</v>
      </c>
      <c r="AT4884" s="2" t="s">
        <v>15059</v>
      </c>
      <c r="AU4884" s="2"/>
      <c r="AV4884" s="2"/>
      <c r="AW4884" s="2"/>
      <c r="AX4884" s="2"/>
      <c r="AY4884" s="2">
        <v>41</v>
      </c>
      <c r="AZ4884" s="2" t="s">
        <v>82</v>
      </c>
      <c r="BA4884" s="2">
        <v>41</v>
      </c>
      <c r="BB4884" s="2" t="s">
        <v>82</v>
      </c>
      <c r="BC4884" s="2">
        <v>41</v>
      </c>
      <c r="BD4884" s="2" t="s">
        <v>82</v>
      </c>
      <c r="BE4884" s="2">
        <v>41</v>
      </c>
      <c r="BF4884" s="2" t="s">
        <v>82</v>
      </c>
      <c r="BG4884" s="2" t="s">
        <v>107</v>
      </c>
      <c r="BH4884" s="2"/>
      <c r="BI4884" s="2"/>
      <c r="BJ4884" s="2">
        <v>241</v>
      </c>
      <c r="BK4884" s="2" t="s">
        <v>82</v>
      </c>
      <c r="BL4884" s="2" t="s">
        <v>107</v>
      </c>
      <c r="BM4884" s="2">
        <v>241</v>
      </c>
      <c r="BN4884" s="2" t="s">
        <v>82</v>
      </c>
      <c r="BO4884" s="2"/>
      <c r="BP4884" s="2">
        <v>241</v>
      </c>
      <c r="BQ4884" s="2" t="s">
        <v>82</v>
      </c>
      <c r="BR4884" s="2" t="s">
        <v>107</v>
      </c>
      <c r="BS4884" s="3">
        <v>40512</v>
      </c>
      <c r="BT4884" s="4">
        <v>0.72780092592592593</v>
      </c>
    </row>
    <row r="4885" spans="1:72" x14ac:dyDescent="0.25">
      <c r="A4885" s="2">
        <v>7582</v>
      </c>
      <c r="B4885" s="2">
        <v>2010</v>
      </c>
      <c r="C4885" s="2" t="s">
        <v>196</v>
      </c>
      <c r="D4885" s="2" t="s">
        <v>122</v>
      </c>
      <c r="E4885" s="2"/>
      <c r="F4885" s="2">
        <v>1</v>
      </c>
      <c r="G4885" s="2" t="s">
        <v>82</v>
      </c>
      <c r="H4885" s="2">
        <v>1</v>
      </c>
      <c r="I4885" s="2" t="s">
        <v>82</v>
      </c>
      <c r="J4885" s="2">
        <v>1</v>
      </c>
      <c r="K4885" s="2" t="s">
        <v>107</v>
      </c>
      <c r="L4885" s="2" t="s">
        <v>107</v>
      </c>
      <c r="M4885" s="3">
        <v>40512</v>
      </c>
      <c r="N4885" s="2"/>
      <c r="O4885" s="2"/>
      <c r="P4885" s="2"/>
      <c r="Q4885" s="2" t="str">
        <f>""</f>
        <v/>
      </c>
      <c r="R4885" s="2"/>
      <c r="S4885" s="2"/>
      <c r="T4885" s="2">
        <v>2</v>
      </c>
      <c r="U4885" s="2" t="s">
        <v>123</v>
      </c>
      <c r="V4885" s="2">
        <v>1</v>
      </c>
      <c r="W4885" s="2" t="s">
        <v>80</v>
      </c>
      <c r="X4885" s="2">
        <v>11</v>
      </c>
      <c r="Y4885" s="2" t="s">
        <v>1920</v>
      </c>
      <c r="Z4885" s="2">
        <v>4</v>
      </c>
      <c r="AA4885" s="2" t="s">
        <v>182</v>
      </c>
      <c r="AB4885" s="2">
        <v>9</v>
      </c>
      <c r="AC4885" s="2" t="s">
        <v>124</v>
      </c>
      <c r="AD4885" s="3">
        <v>40512</v>
      </c>
      <c r="AE4885" s="4">
        <v>0.66666666666666663</v>
      </c>
      <c r="AF4885" s="2"/>
      <c r="AG4885" s="2"/>
      <c r="AH4885" s="2">
        <v>4</v>
      </c>
      <c r="AI4885" s="2" t="s">
        <v>125</v>
      </c>
      <c r="AJ4885" s="2">
        <v>32</v>
      </c>
      <c r="AK4885" s="2" t="s">
        <v>419</v>
      </c>
      <c r="AL4885" s="2">
        <v>10</v>
      </c>
      <c r="AM4885" s="2" t="s">
        <v>200</v>
      </c>
      <c r="AN4885" s="2" t="s">
        <v>230</v>
      </c>
      <c r="AO4885" s="2" t="s">
        <v>200</v>
      </c>
      <c r="AP4885" s="2">
        <v>11</v>
      </c>
      <c r="AQ4885" s="2" t="s">
        <v>82</v>
      </c>
      <c r="AR4885" s="2"/>
      <c r="AS4885" s="2"/>
      <c r="AT4885" s="2" t="s">
        <v>15060</v>
      </c>
      <c r="AU4885" s="2"/>
      <c r="AV4885" s="2"/>
      <c r="AW4885" s="2"/>
      <c r="AX4885" s="2"/>
      <c r="AY4885" s="2">
        <v>41</v>
      </c>
      <c r="AZ4885" s="2" t="s">
        <v>82</v>
      </c>
      <c r="BA4885" s="2">
        <v>41</v>
      </c>
      <c r="BB4885" s="2" t="s">
        <v>82</v>
      </c>
      <c r="BC4885" s="2">
        <v>42</v>
      </c>
      <c r="BD4885" s="2" t="s">
        <v>182</v>
      </c>
      <c r="BE4885" s="2">
        <v>42</v>
      </c>
      <c r="BF4885" s="2" t="s">
        <v>182</v>
      </c>
      <c r="BG4885" s="2" t="s">
        <v>15061</v>
      </c>
      <c r="BH4885" s="4">
        <v>0.71527777777777779</v>
      </c>
      <c r="BI4885" s="2"/>
      <c r="BJ4885" s="2">
        <v>13</v>
      </c>
      <c r="BK4885" s="2" t="s">
        <v>91</v>
      </c>
      <c r="BL4885" s="2" t="s">
        <v>360</v>
      </c>
      <c r="BM4885" s="2">
        <v>13</v>
      </c>
      <c r="BN4885" s="2" t="s">
        <v>91</v>
      </c>
      <c r="BO4885" s="2"/>
      <c r="BP4885" s="2">
        <v>13</v>
      </c>
      <c r="BQ4885" s="2" t="s">
        <v>91</v>
      </c>
      <c r="BR4885" s="2" t="s">
        <v>8272</v>
      </c>
      <c r="BS4885" s="3">
        <v>40512</v>
      </c>
      <c r="BT4885" s="4">
        <v>0.75100694444444438</v>
      </c>
    </row>
    <row r="4886" spans="1:72" x14ac:dyDescent="0.25">
      <c r="A4886" s="2">
        <v>7584</v>
      </c>
      <c r="B4886" s="2">
        <v>2010</v>
      </c>
      <c r="C4886" s="2" t="s">
        <v>549</v>
      </c>
      <c r="D4886" s="2" t="s">
        <v>73</v>
      </c>
      <c r="E4886" s="2"/>
      <c r="F4886" s="2">
        <v>2</v>
      </c>
      <c r="G4886" s="2" t="s">
        <v>113</v>
      </c>
      <c r="H4886" s="2">
        <v>50</v>
      </c>
      <c r="I4886" s="2" t="s">
        <v>107</v>
      </c>
      <c r="J4886" s="2">
        <v>300</v>
      </c>
      <c r="K4886" s="2" t="s">
        <v>114</v>
      </c>
      <c r="L4886" s="2" t="s">
        <v>115</v>
      </c>
      <c r="M4886" s="3">
        <v>40512</v>
      </c>
      <c r="N4886" s="2" t="s">
        <v>107</v>
      </c>
      <c r="O4886" s="2"/>
      <c r="P4886" s="2"/>
      <c r="Q4886" s="2" t="str">
        <f>"633-E/10"</f>
        <v>633-E/10</v>
      </c>
      <c r="R4886" s="2" t="s">
        <v>1044</v>
      </c>
      <c r="S4886" s="2"/>
      <c r="T4886" s="2">
        <v>1</v>
      </c>
      <c r="U4886" s="2" t="s">
        <v>79</v>
      </c>
      <c r="V4886" s="2">
        <v>1</v>
      </c>
      <c r="W4886" s="2" t="s">
        <v>80</v>
      </c>
      <c r="X4886" s="2">
        <v>12</v>
      </c>
      <c r="Y4886" s="2" t="s">
        <v>148</v>
      </c>
      <c r="Z4886" s="2">
        <v>1</v>
      </c>
      <c r="AA4886" s="2" t="s">
        <v>82</v>
      </c>
      <c r="AB4886" s="2">
        <v>9</v>
      </c>
      <c r="AC4886" s="2" t="s">
        <v>124</v>
      </c>
      <c r="AD4886" s="3">
        <v>40506</v>
      </c>
      <c r="AE4886" s="4">
        <v>0.65277777777777779</v>
      </c>
      <c r="AF4886" s="3">
        <v>40507</v>
      </c>
      <c r="AG4886" s="4">
        <v>0.73611111111111116</v>
      </c>
      <c r="AH4886" s="2">
        <v>2</v>
      </c>
      <c r="AI4886" s="2" t="s">
        <v>84</v>
      </c>
      <c r="AJ4886" s="2">
        <v>9</v>
      </c>
      <c r="AK4886" s="2" t="s">
        <v>103</v>
      </c>
      <c r="AL4886" s="2">
        <v>29</v>
      </c>
      <c r="AM4886" s="2" t="s">
        <v>5416</v>
      </c>
      <c r="AN4886" s="2" t="s">
        <v>987</v>
      </c>
      <c r="AO4886" s="2" t="s">
        <v>15062</v>
      </c>
      <c r="AP4886" s="2">
        <v>11</v>
      </c>
      <c r="AQ4886" s="2" t="s">
        <v>82</v>
      </c>
      <c r="AR4886" s="2"/>
      <c r="AS4886" s="2"/>
      <c r="AT4886" s="2" t="s">
        <v>15063</v>
      </c>
      <c r="AU4886" s="2"/>
      <c r="AV4886" s="2"/>
      <c r="AW4886" s="2"/>
      <c r="AX4886" s="2"/>
      <c r="AY4886" s="2">
        <v>41</v>
      </c>
      <c r="AZ4886" s="2" t="s">
        <v>82</v>
      </c>
      <c r="BA4886" s="2">
        <v>41</v>
      </c>
      <c r="BB4886" s="2" t="s">
        <v>82</v>
      </c>
      <c r="BC4886" s="2">
        <v>41</v>
      </c>
      <c r="BD4886" s="2" t="s">
        <v>82</v>
      </c>
      <c r="BE4886" s="2">
        <v>41</v>
      </c>
      <c r="BF4886" s="2" t="s">
        <v>82</v>
      </c>
      <c r="BG4886" s="2"/>
      <c r="BH4886" s="2"/>
      <c r="BI4886" s="2"/>
      <c r="BJ4886" s="2">
        <v>241</v>
      </c>
      <c r="BK4886" s="2" t="s">
        <v>82</v>
      </c>
      <c r="BL4886" s="2"/>
      <c r="BM4886" s="2">
        <v>241</v>
      </c>
      <c r="BN4886" s="2" t="s">
        <v>82</v>
      </c>
      <c r="BO4886" s="2"/>
      <c r="BP4886" s="2">
        <v>241</v>
      </c>
      <c r="BQ4886" s="2" t="s">
        <v>82</v>
      </c>
      <c r="BR4886" s="2"/>
      <c r="BS4886" s="3">
        <v>40512</v>
      </c>
      <c r="BT4886" s="4">
        <v>0.7814699074074074</v>
      </c>
    </row>
    <row r="4887" spans="1:72" x14ac:dyDescent="0.25">
      <c r="A4887" s="2">
        <v>7585</v>
      </c>
      <c r="B4887" s="2">
        <v>2010</v>
      </c>
      <c r="C4887" s="2" t="s">
        <v>4543</v>
      </c>
      <c r="D4887" s="2" t="s">
        <v>122</v>
      </c>
      <c r="E4887" s="2"/>
      <c r="F4887" s="2">
        <v>281</v>
      </c>
      <c r="G4887" s="2" t="s">
        <v>7482</v>
      </c>
      <c r="H4887" s="2">
        <v>2</v>
      </c>
      <c r="I4887" s="2" t="s">
        <v>267</v>
      </c>
      <c r="J4887" s="2">
        <v>527</v>
      </c>
      <c r="K4887" s="2" t="s">
        <v>2804</v>
      </c>
      <c r="L4887" s="2" t="s">
        <v>7483</v>
      </c>
      <c r="M4887" s="3">
        <v>40513</v>
      </c>
      <c r="N4887" s="2" t="s">
        <v>15064</v>
      </c>
      <c r="O4887" s="2"/>
      <c r="P4887" s="2"/>
      <c r="Q4887" s="2" t="str">
        <f>"09/10"</f>
        <v>09/10</v>
      </c>
      <c r="R4887" s="2"/>
      <c r="S4887" s="2" t="s">
        <v>15065</v>
      </c>
      <c r="T4887" s="2">
        <v>2</v>
      </c>
      <c r="U4887" s="2" t="s">
        <v>123</v>
      </c>
      <c r="V4887" s="2">
        <v>1</v>
      </c>
      <c r="W4887" s="2" t="s">
        <v>80</v>
      </c>
      <c r="X4887" s="2">
        <v>1</v>
      </c>
      <c r="Y4887" s="2" t="s">
        <v>81</v>
      </c>
      <c r="Z4887" s="2">
        <v>1</v>
      </c>
      <c r="AA4887" s="2" t="s">
        <v>82</v>
      </c>
      <c r="AB4887" s="2">
        <v>9</v>
      </c>
      <c r="AC4887" s="2" t="s">
        <v>124</v>
      </c>
      <c r="AD4887" s="3">
        <v>40512</v>
      </c>
      <c r="AE4887" s="4">
        <v>0.86458333333333337</v>
      </c>
      <c r="AF4887" s="2"/>
      <c r="AG4887" s="2"/>
      <c r="AH4887" s="2">
        <v>5</v>
      </c>
      <c r="AI4887" s="2" t="s">
        <v>274</v>
      </c>
      <c r="AJ4887" s="2">
        <v>37</v>
      </c>
      <c r="AK4887" s="2" t="s">
        <v>497</v>
      </c>
      <c r="AL4887" s="2">
        <v>25</v>
      </c>
      <c r="AM4887" s="2" t="s">
        <v>3073</v>
      </c>
      <c r="AN4887" s="2" t="s">
        <v>7617</v>
      </c>
      <c r="AO4887" s="2"/>
      <c r="AP4887" s="2">
        <v>5</v>
      </c>
      <c r="AQ4887" s="2" t="s">
        <v>827</v>
      </c>
      <c r="AR4887" s="2"/>
      <c r="AS4887" s="2"/>
      <c r="AT4887" s="2" t="s">
        <v>15066</v>
      </c>
      <c r="AU4887" s="2"/>
      <c r="AV4887" s="2"/>
      <c r="AW4887" s="2"/>
      <c r="AX4887" s="2"/>
      <c r="AY4887" s="2">
        <v>42</v>
      </c>
      <c r="AZ4887" s="2" t="s">
        <v>182</v>
      </c>
      <c r="BA4887" s="2">
        <v>70</v>
      </c>
      <c r="BB4887" s="2" t="s">
        <v>236</v>
      </c>
      <c r="BC4887" s="2">
        <v>41</v>
      </c>
      <c r="BD4887" s="2" t="s">
        <v>82</v>
      </c>
      <c r="BE4887" s="2">
        <v>13</v>
      </c>
      <c r="BF4887" s="2" t="s">
        <v>108</v>
      </c>
      <c r="BG4887" s="2">
        <v>1758</v>
      </c>
      <c r="BH4887" s="4">
        <v>0.82291666666666663</v>
      </c>
      <c r="BI4887" s="4">
        <v>0.84722222222222221</v>
      </c>
      <c r="BJ4887" s="2">
        <v>13</v>
      </c>
      <c r="BK4887" s="2" t="s">
        <v>91</v>
      </c>
      <c r="BL4887" s="2" t="s">
        <v>1552</v>
      </c>
      <c r="BM4887" s="2">
        <v>13</v>
      </c>
      <c r="BN4887" s="2" t="s">
        <v>91</v>
      </c>
      <c r="BO4887" s="2"/>
      <c r="BP4887" s="2">
        <v>13</v>
      </c>
      <c r="BQ4887" s="2" t="s">
        <v>91</v>
      </c>
      <c r="BR4887" s="2" t="s">
        <v>360</v>
      </c>
      <c r="BS4887" s="3">
        <v>40513</v>
      </c>
      <c r="BT4887" s="4">
        <v>7.9745370370370369E-3</v>
      </c>
    </row>
    <row r="4888" spans="1:72" x14ac:dyDescent="0.25">
      <c r="A4888" s="2">
        <v>7586</v>
      </c>
      <c r="B4888" s="2">
        <v>2010</v>
      </c>
      <c r="C4888" s="2" t="s">
        <v>196</v>
      </c>
      <c r="D4888" s="2" t="s">
        <v>122</v>
      </c>
      <c r="E4888" s="2" t="s">
        <v>15067</v>
      </c>
      <c r="F4888" s="2">
        <v>1</v>
      </c>
      <c r="G4888" s="2" t="s">
        <v>82</v>
      </c>
      <c r="H4888" s="2">
        <v>1</v>
      </c>
      <c r="I4888" s="2" t="s">
        <v>82</v>
      </c>
      <c r="J4888" s="2">
        <v>1</v>
      </c>
      <c r="K4888" s="2" t="s">
        <v>107</v>
      </c>
      <c r="L4888" s="2" t="s">
        <v>107</v>
      </c>
      <c r="M4888" s="3">
        <v>40513</v>
      </c>
      <c r="N4888" s="2"/>
      <c r="O4888" s="2"/>
      <c r="P4888" s="2"/>
      <c r="Q4888" s="2" t="str">
        <f>""</f>
        <v/>
      </c>
      <c r="R4888" s="2"/>
      <c r="S4888" s="2"/>
      <c r="T4888" s="2">
        <v>2</v>
      </c>
      <c r="U4888" s="2" t="s">
        <v>123</v>
      </c>
      <c r="V4888" s="2">
        <v>1</v>
      </c>
      <c r="W4888" s="2" t="s">
        <v>80</v>
      </c>
      <c r="X4888" s="2">
        <v>11</v>
      </c>
      <c r="Y4888" s="2" t="s">
        <v>1920</v>
      </c>
      <c r="Z4888" s="2">
        <v>4</v>
      </c>
      <c r="AA4888" s="2" t="s">
        <v>182</v>
      </c>
      <c r="AB4888" s="2">
        <v>9</v>
      </c>
      <c r="AC4888" s="2" t="s">
        <v>124</v>
      </c>
      <c r="AD4888" s="3">
        <v>40512</v>
      </c>
      <c r="AE4888" s="4">
        <v>0.89583333333333337</v>
      </c>
      <c r="AF4888" s="2"/>
      <c r="AG4888" s="2"/>
      <c r="AH4888" s="2">
        <v>4</v>
      </c>
      <c r="AI4888" s="2" t="s">
        <v>125</v>
      </c>
      <c r="AJ4888" s="2">
        <v>32</v>
      </c>
      <c r="AK4888" s="2" t="s">
        <v>419</v>
      </c>
      <c r="AL4888" s="2">
        <v>10</v>
      </c>
      <c r="AM4888" s="2" t="s">
        <v>200</v>
      </c>
      <c r="AN4888" s="2" t="s">
        <v>230</v>
      </c>
      <c r="AO4888" s="2" t="s">
        <v>200</v>
      </c>
      <c r="AP4888" s="2">
        <v>11</v>
      </c>
      <c r="AQ4888" s="2" t="s">
        <v>82</v>
      </c>
      <c r="AR4888" s="2"/>
      <c r="AS4888" s="2"/>
      <c r="AT4888" s="2" t="s">
        <v>15068</v>
      </c>
      <c r="AU4888" s="2"/>
      <c r="AV4888" s="2"/>
      <c r="AW4888" s="2"/>
      <c r="AX4888" s="2"/>
      <c r="AY4888" s="2">
        <v>41</v>
      </c>
      <c r="AZ4888" s="2" t="s">
        <v>82</v>
      </c>
      <c r="BA4888" s="2">
        <v>41</v>
      </c>
      <c r="BB4888" s="2" t="s">
        <v>82</v>
      </c>
      <c r="BC4888" s="2">
        <v>42</v>
      </c>
      <c r="BD4888" s="2" t="s">
        <v>182</v>
      </c>
      <c r="BE4888" s="2">
        <v>42</v>
      </c>
      <c r="BF4888" s="2" t="s">
        <v>182</v>
      </c>
      <c r="BG4888" s="2" t="s">
        <v>15061</v>
      </c>
      <c r="BH4888" s="4">
        <v>0.71527777777777779</v>
      </c>
      <c r="BI4888" s="4">
        <v>0.97916666666666663</v>
      </c>
      <c r="BJ4888" s="2">
        <v>13</v>
      </c>
      <c r="BK4888" s="2" t="s">
        <v>91</v>
      </c>
      <c r="BL4888" s="2" t="s">
        <v>8272</v>
      </c>
      <c r="BM4888" s="2">
        <v>13</v>
      </c>
      <c r="BN4888" s="2" t="s">
        <v>91</v>
      </c>
      <c r="BO4888" s="2"/>
      <c r="BP4888" s="2">
        <v>13</v>
      </c>
      <c r="BQ4888" s="2" t="s">
        <v>91</v>
      </c>
      <c r="BR4888" s="2" t="s">
        <v>360</v>
      </c>
      <c r="BS4888" s="3">
        <v>40513</v>
      </c>
      <c r="BT4888" s="4">
        <v>4.3124999999999997E-2</v>
      </c>
    </row>
    <row r="4889" spans="1:72" x14ac:dyDescent="0.25">
      <c r="A4889" s="2">
        <v>7587</v>
      </c>
      <c r="B4889" s="2">
        <v>2010</v>
      </c>
      <c r="C4889" s="2" t="s">
        <v>819</v>
      </c>
      <c r="D4889" s="2" t="s">
        <v>122</v>
      </c>
      <c r="E4889" s="2"/>
      <c r="F4889" s="2">
        <v>451</v>
      </c>
      <c r="G4889" s="2" t="s">
        <v>879</v>
      </c>
      <c r="H4889" s="2">
        <v>31</v>
      </c>
      <c r="I4889" s="2" t="s">
        <v>880</v>
      </c>
      <c r="J4889" s="2">
        <v>326</v>
      </c>
      <c r="K4889" s="2" t="s">
        <v>881</v>
      </c>
      <c r="L4889" s="2" t="s">
        <v>882</v>
      </c>
      <c r="M4889" s="3">
        <v>40513</v>
      </c>
      <c r="N4889" s="2" t="s">
        <v>1072</v>
      </c>
      <c r="O4889" s="2"/>
      <c r="P4889" s="2"/>
      <c r="Q4889" s="2" t="str">
        <f>"114/10"</f>
        <v>114/10</v>
      </c>
      <c r="R4889" s="2" t="s">
        <v>822</v>
      </c>
      <c r="S4889" s="2"/>
      <c r="T4889" s="2">
        <v>1</v>
      </c>
      <c r="U4889" s="2" t="s">
        <v>79</v>
      </c>
      <c r="V4889" s="2">
        <v>1</v>
      </c>
      <c r="W4889" s="2" t="s">
        <v>80</v>
      </c>
      <c r="X4889" s="2">
        <v>1</v>
      </c>
      <c r="Y4889" s="2" t="s">
        <v>81</v>
      </c>
      <c r="Z4889" s="2">
        <v>10</v>
      </c>
      <c r="AA4889" s="2" t="s">
        <v>236</v>
      </c>
      <c r="AB4889" s="2">
        <v>9</v>
      </c>
      <c r="AC4889" s="2" t="s">
        <v>124</v>
      </c>
      <c r="AD4889" s="3">
        <v>40512</v>
      </c>
      <c r="AE4889" s="4">
        <v>0.91666666666666663</v>
      </c>
      <c r="AF4889" s="3">
        <v>40512</v>
      </c>
      <c r="AG4889" s="4">
        <v>0.91666666666666663</v>
      </c>
      <c r="AH4889" s="2">
        <v>4</v>
      </c>
      <c r="AI4889" s="2" t="s">
        <v>125</v>
      </c>
      <c r="AJ4889" s="2">
        <v>29</v>
      </c>
      <c r="AK4889" s="2" t="s">
        <v>227</v>
      </c>
      <c r="AL4889" s="2">
        <v>10</v>
      </c>
      <c r="AM4889" s="2" t="s">
        <v>200</v>
      </c>
      <c r="AN4889" s="2" t="s">
        <v>15069</v>
      </c>
      <c r="AO4889" s="2" t="s">
        <v>6863</v>
      </c>
      <c r="AP4889" s="2">
        <v>11</v>
      </c>
      <c r="AQ4889" s="2" t="s">
        <v>82</v>
      </c>
      <c r="AR4889" s="2" t="s">
        <v>824</v>
      </c>
      <c r="AS4889" s="2" t="s">
        <v>825</v>
      </c>
      <c r="AT4889" s="2" t="s">
        <v>15070</v>
      </c>
      <c r="AU4889" s="2"/>
      <c r="AV4889" s="2"/>
      <c r="AW4889" s="2"/>
      <c r="AX4889" s="2"/>
      <c r="AY4889" s="2">
        <v>41</v>
      </c>
      <c r="AZ4889" s="2" t="s">
        <v>82</v>
      </c>
      <c r="BA4889" s="2">
        <v>41</v>
      </c>
      <c r="BB4889" s="2" t="s">
        <v>82</v>
      </c>
      <c r="BC4889" s="2">
        <v>51</v>
      </c>
      <c r="BD4889" s="2" t="s">
        <v>827</v>
      </c>
      <c r="BE4889" s="2">
        <v>13</v>
      </c>
      <c r="BF4889" s="2" t="s">
        <v>108</v>
      </c>
      <c r="BG4889" s="2">
        <v>1459</v>
      </c>
      <c r="BH4889" s="4">
        <v>0.97222222222222221</v>
      </c>
      <c r="BI4889" s="4">
        <v>6.9444444444444441E-3</v>
      </c>
      <c r="BJ4889" s="2">
        <v>13</v>
      </c>
      <c r="BK4889" s="2" t="s">
        <v>91</v>
      </c>
      <c r="BL4889" s="2" t="s">
        <v>828</v>
      </c>
      <c r="BM4889" s="2">
        <v>13</v>
      </c>
      <c r="BN4889" s="2" t="s">
        <v>91</v>
      </c>
      <c r="BO4889" s="2"/>
      <c r="BP4889" s="2">
        <v>13</v>
      </c>
      <c r="BQ4889" s="2" t="s">
        <v>91</v>
      </c>
      <c r="BR4889" s="2" t="s">
        <v>185</v>
      </c>
      <c r="BS4889" s="3">
        <v>40513</v>
      </c>
      <c r="BT4889" s="4">
        <v>7.6574074074074072E-2</v>
      </c>
    </row>
    <row r="4890" spans="1:72" x14ac:dyDescent="0.25">
      <c r="A4890" s="2">
        <v>7588</v>
      </c>
      <c r="B4890" s="2">
        <v>2010</v>
      </c>
      <c r="C4890" s="2" t="s">
        <v>72</v>
      </c>
      <c r="D4890" s="2" t="s">
        <v>73</v>
      </c>
      <c r="E4890" s="2"/>
      <c r="F4890" s="2">
        <v>24</v>
      </c>
      <c r="G4890" s="2" t="s">
        <v>532</v>
      </c>
      <c r="H4890" s="2">
        <v>50</v>
      </c>
      <c r="I4890" s="2" t="s">
        <v>107</v>
      </c>
      <c r="J4890" s="2">
        <v>300</v>
      </c>
      <c r="K4890" s="2" t="s">
        <v>114</v>
      </c>
      <c r="L4890" s="2" t="s">
        <v>115</v>
      </c>
      <c r="M4890" s="3">
        <v>40513</v>
      </c>
      <c r="N4890" s="2"/>
      <c r="O4890" s="2"/>
      <c r="P4890" s="2"/>
      <c r="Q4890" s="2" t="str">
        <f>"644-E/10"</f>
        <v>644-E/10</v>
      </c>
      <c r="R4890" s="2" t="s">
        <v>480</v>
      </c>
      <c r="S4890" s="2" t="s">
        <v>480</v>
      </c>
      <c r="T4890" s="2">
        <v>1</v>
      </c>
      <c r="U4890" s="2" t="s">
        <v>79</v>
      </c>
      <c r="V4890" s="2">
        <v>1</v>
      </c>
      <c r="W4890" s="2" t="s">
        <v>80</v>
      </c>
      <c r="X4890" s="2">
        <v>12</v>
      </c>
      <c r="Y4890" s="2" t="s">
        <v>148</v>
      </c>
      <c r="Z4890" s="2">
        <v>1</v>
      </c>
      <c r="AA4890" s="2" t="s">
        <v>82</v>
      </c>
      <c r="AB4890" s="2">
        <v>6</v>
      </c>
      <c r="AC4890" s="2" t="s">
        <v>83</v>
      </c>
      <c r="AD4890" s="3">
        <v>40512</v>
      </c>
      <c r="AE4890" s="2"/>
      <c r="AF4890" s="3">
        <v>40512</v>
      </c>
      <c r="AG4890" s="4">
        <v>0.98958333333333337</v>
      </c>
      <c r="AH4890" s="2">
        <v>2</v>
      </c>
      <c r="AI4890" s="2" t="s">
        <v>84</v>
      </c>
      <c r="AJ4890" s="2">
        <v>9</v>
      </c>
      <c r="AK4890" s="2" t="s">
        <v>103</v>
      </c>
      <c r="AL4890" s="2">
        <v>21</v>
      </c>
      <c r="AM4890" s="2" t="s">
        <v>1311</v>
      </c>
      <c r="AN4890" s="2" t="s">
        <v>15071</v>
      </c>
      <c r="AO4890" s="2" t="s">
        <v>15072</v>
      </c>
      <c r="AP4890" s="2">
        <v>11</v>
      </c>
      <c r="AQ4890" s="2" t="s">
        <v>82</v>
      </c>
      <c r="AR4890" s="2"/>
      <c r="AS4890" s="2"/>
      <c r="AT4890" s="2" t="s">
        <v>15073</v>
      </c>
      <c r="AU4890" s="2"/>
      <c r="AV4890" s="2"/>
      <c r="AW4890" s="2"/>
      <c r="AX4890" s="2"/>
      <c r="AY4890" s="2">
        <v>41</v>
      </c>
      <c r="AZ4890" s="2" t="s">
        <v>82</v>
      </c>
      <c r="BA4890" s="2">
        <v>41</v>
      </c>
      <c r="BB4890" s="2" t="s">
        <v>82</v>
      </c>
      <c r="BC4890" s="2">
        <v>41</v>
      </c>
      <c r="BD4890" s="2" t="s">
        <v>82</v>
      </c>
      <c r="BE4890" s="2">
        <v>41</v>
      </c>
      <c r="BF4890" s="2" t="s">
        <v>82</v>
      </c>
      <c r="BG4890" s="2"/>
      <c r="BH4890" s="2"/>
      <c r="BI4890" s="2"/>
      <c r="BJ4890" s="2">
        <v>241</v>
      </c>
      <c r="BK4890" s="2" t="s">
        <v>82</v>
      </c>
      <c r="BL4890" s="2"/>
      <c r="BM4890" s="2">
        <v>241</v>
      </c>
      <c r="BN4890" s="2" t="s">
        <v>82</v>
      </c>
      <c r="BO4890" s="2"/>
      <c r="BP4890" s="2">
        <v>241</v>
      </c>
      <c r="BQ4890" s="2" t="s">
        <v>82</v>
      </c>
      <c r="BR4890" s="2"/>
      <c r="BS4890" s="3">
        <v>40513</v>
      </c>
      <c r="BT4890" s="4">
        <v>0.11226851851851853</v>
      </c>
    </row>
    <row r="4891" spans="1:72" x14ac:dyDescent="0.25">
      <c r="A4891" s="2">
        <v>7589</v>
      </c>
      <c r="B4891" s="2">
        <v>2010</v>
      </c>
      <c r="C4891" s="2" t="s">
        <v>457</v>
      </c>
      <c r="D4891" s="2" t="s">
        <v>73</v>
      </c>
      <c r="E4891" s="2"/>
      <c r="F4891" s="2">
        <v>451</v>
      </c>
      <c r="G4891" s="2" t="s">
        <v>879</v>
      </c>
      <c r="H4891" s="2">
        <v>31</v>
      </c>
      <c r="I4891" s="2" t="s">
        <v>880</v>
      </c>
      <c r="J4891" s="2">
        <v>326</v>
      </c>
      <c r="K4891" s="2" t="s">
        <v>881</v>
      </c>
      <c r="L4891" s="2" t="s">
        <v>882</v>
      </c>
      <c r="M4891" s="3">
        <v>40513</v>
      </c>
      <c r="N4891" s="2" t="s">
        <v>1072</v>
      </c>
      <c r="O4891" s="2" t="s">
        <v>15074</v>
      </c>
      <c r="P4891" s="2" t="s">
        <v>15075</v>
      </c>
      <c r="Q4891" s="2" t="str">
        <f>""</f>
        <v/>
      </c>
      <c r="R4891" s="2"/>
      <c r="S4891" s="2"/>
      <c r="T4891" s="2">
        <v>1</v>
      </c>
      <c r="U4891" s="2" t="s">
        <v>79</v>
      </c>
      <c r="V4891" s="2">
        <v>1</v>
      </c>
      <c r="W4891" s="2" t="s">
        <v>80</v>
      </c>
      <c r="X4891" s="2">
        <v>4</v>
      </c>
      <c r="Y4891" s="2" t="s">
        <v>463</v>
      </c>
      <c r="Z4891" s="2">
        <v>9</v>
      </c>
      <c r="AA4891" s="2" t="s">
        <v>1119</v>
      </c>
      <c r="AB4891" s="2">
        <v>9</v>
      </c>
      <c r="AC4891" s="2" t="s">
        <v>124</v>
      </c>
      <c r="AD4891" s="3">
        <v>40512</v>
      </c>
      <c r="AE4891" s="4">
        <v>0.97222222222222221</v>
      </c>
      <c r="AF4891" s="2"/>
      <c r="AG4891" s="2"/>
      <c r="AH4891" s="2">
        <v>4</v>
      </c>
      <c r="AI4891" s="2" t="s">
        <v>125</v>
      </c>
      <c r="AJ4891" s="2">
        <v>29</v>
      </c>
      <c r="AK4891" s="2" t="s">
        <v>227</v>
      </c>
      <c r="AL4891" s="2">
        <v>11</v>
      </c>
      <c r="AM4891" s="2" t="s">
        <v>137</v>
      </c>
      <c r="AN4891" s="2" t="s">
        <v>6881</v>
      </c>
      <c r="AO4891" s="2"/>
      <c r="AP4891" s="2">
        <v>11</v>
      </c>
      <c r="AQ4891" s="2" t="s">
        <v>82</v>
      </c>
      <c r="AR4891" s="2"/>
      <c r="AS4891" s="2"/>
      <c r="AT4891" s="2" t="s">
        <v>15076</v>
      </c>
      <c r="AU4891" s="2"/>
      <c r="AV4891" s="2"/>
      <c r="AW4891" s="2"/>
      <c r="AX4891" s="2"/>
      <c r="AY4891" s="2">
        <v>41</v>
      </c>
      <c r="AZ4891" s="2" t="s">
        <v>82</v>
      </c>
      <c r="BA4891" s="2">
        <v>41</v>
      </c>
      <c r="BB4891" s="2" t="s">
        <v>82</v>
      </c>
      <c r="BC4891" s="2">
        <v>41</v>
      </c>
      <c r="BD4891" s="2" t="s">
        <v>82</v>
      </c>
      <c r="BE4891" s="2">
        <v>13</v>
      </c>
      <c r="BF4891" s="2" t="s">
        <v>108</v>
      </c>
      <c r="BG4891" s="2">
        <v>1459</v>
      </c>
      <c r="BH4891" s="4">
        <v>0.97222222222222221</v>
      </c>
      <c r="BI4891" s="4">
        <v>6.9444444444444441E-3</v>
      </c>
      <c r="BJ4891" s="2">
        <v>13</v>
      </c>
      <c r="BK4891" s="2" t="s">
        <v>91</v>
      </c>
      <c r="BL4891" s="2" t="s">
        <v>828</v>
      </c>
      <c r="BM4891" s="2">
        <v>13</v>
      </c>
      <c r="BN4891" s="2" t="s">
        <v>91</v>
      </c>
      <c r="BO4891" s="2"/>
      <c r="BP4891" s="2">
        <v>13</v>
      </c>
      <c r="BQ4891" s="2" t="s">
        <v>91</v>
      </c>
      <c r="BR4891" s="2" t="s">
        <v>185</v>
      </c>
      <c r="BS4891" s="3">
        <v>40513</v>
      </c>
      <c r="BT4891" s="4">
        <v>0.17134259259259257</v>
      </c>
    </row>
    <row r="4892" spans="1:72" x14ac:dyDescent="0.25">
      <c r="A4892" s="2">
        <v>7590</v>
      </c>
      <c r="B4892" s="2">
        <v>2010</v>
      </c>
      <c r="C4892" s="2" t="s">
        <v>147</v>
      </c>
      <c r="D4892" s="2" t="s">
        <v>73</v>
      </c>
      <c r="E4892" s="2"/>
      <c r="F4892" s="2">
        <v>1</v>
      </c>
      <c r="G4892" s="2" t="s">
        <v>82</v>
      </c>
      <c r="H4892" s="2">
        <v>1</v>
      </c>
      <c r="I4892" s="2" t="s">
        <v>82</v>
      </c>
      <c r="J4892" s="2">
        <v>1</v>
      </c>
      <c r="K4892" s="2" t="s">
        <v>107</v>
      </c>
      <c r="L4892" s="2" t="s">
        <v>107</v>
      </c>
      <c r="M4892" s="3">
        <v>40513</v>
      </c>
      <c r="N4892" s="2" t="s">
        <v>82</v>
      </c>
      <c r="O4892" s="2" t="s">
        <v>82</v>
      </c>
      <c r="P4892" s="2" t="s">
        <v>82</v>
      </c>
      <c r="Q4892" s="2" t="str">
        <f>"GDE AP 0067-10"</f>
        <v>GDE AP 0067-10</v>
      </c>
      <c r="R4892" s="2" t="s">
        <v>15077</v>
      </c>
      <c r="S4892" s="2" t="s">
        <v>82</v>
      </c>
      <c r="T4892" s="2">
        <v>2</v>
      </c>
      <c r="U4892" s="2" t="s">
        <v>123</v>
      </c>
      <c r="V4892" s="2">
        <v>1</v>
      </c>
      <c r="W4892" s="2" t="s">
        <v>80</v>
      </c>
      <c r="X4892" s="2">
        <v>12</v>
      </c>
      <c r="Y4892" s="2" t="s">
        <v>148</v>
      </c>
      <c r="Z4892" s="2">
        <v>1</v>
      </c>
      <c r="AA4892" s="2" t="s">
        <v>82</v>
      </c>
      <c r="AB4892" s="2">
        <v>9</v>
      </c>
      <c r="AC4892" s="2" t="s">
        <v>124</v>
      </c>
      <c r="AD4892" s="3">
        <v>40512</v>
      </c>
      <c r="AE4892" s="4">
        <v>0.41666666666666669</v>
      </c>
      <c r="AF4892" s="3">
        <v>40513</v>
      </c>
      <c r="AG4892" s="4">
        <v>0.39583333333333331</v>
      </c>
      <c r="AH4892" s="2">
        <v>6</v>
      </c>
      <c r="AI4892" s="2" t="s">
        <v>197</v>
      </c>
      <c r="AJ4892" s="2">
        <v>61</v>
      </c>
      <c r="AK4892" s="2" t="s">
        <v>686</v>
      </c>
      <c r="AL4892" s="2">
        <v>10</v>
      </c>
      <c r="AM4892" s="2" t="s">
        <v>200</v>
      </c>
      <c r="AN4892" s="2" t="s">
        <v>82</v>
      </c>
      <c r="AO4892" s="2" t="s">
        <v>15078</v>
      </c>
      <c r="AP4892" s="2">
        <v>11</v>
      </c>
      <c r="AQ4892" s="2" t="s">
        <v>82</v>
      </c>
      <c r="AR4892" s="2" t="s">
        <v>82</v>
      </c>
      <c r="AS4892" s="2" t="s">
        <v>82</v>
      </c>
      <c r="AT4892" s="2" t="s">
        <v>15079</v>
      </c>
      <c r="AU4892" s="2"/>
      <c r="AV4892" s="2"/>
      <c r="AW4892" s="2"/>
      <c r="AX4892" s="2"/>
      <c r="AY4892" s="2">
        <v>41</v>
      </c>
      <c r="AZ4892" s="2" t="s">
        <v>82</v>
      </c>
      <c r="BA4892" s="2">
        <v>41</v>
      </c>
      <c r="BB4892" s="2" t="s">
        <v>82</v>
      </c>
      <c r="BC4892" s="2">
        <v>41</v>
      </c>
      <c r="BD4892" s="2" t="s">
        <v>82</v>
      </c>
      <c r="BE4892" s="2">
        <v>41</v>
      </c>
      <c r="BF4892" s="2" t="s">
        <v>82</v>
      </c>
      <c r="BG4892" s="2" t="s">
        <v>82</v>
      </c>
      <c r="BH4892" s="2"/>
      <c r="BI4892" s="2"/>
      <c r="BJ4892" s="2">
        <v>241</v>
      </c>
      <c r="BK4892" s="2" t="s">
        <v>82</v>
      </c>
      <c r="BL4892" s="2" t="s">
        <v>82</v>
      </c>
      <c r="BM4892" s="2">
        <v>241</v>
      </c>
      <c r="BN4892" s="2" t="s">
        <v>82</v>
      </c>
      <c r="BO4892" s="2"/>
      <c r="BP4892" s="2">
        <v>241</v>
      </c>
      <c r="BQ4892" s="2" t="s">
        <v>82</v>
      </c>
      <c r="BR4892" s="2" t="s">
        <v>82</v>
      </c>
      <c r="BS4892" s="3">
        <v>40513</v>
      </c>
      <c r="BT4892" s="4">
        <v>0.41577546296296292</v>
      </c>
    </row>
    <row r="4893" spans="1:72" x14ac:dyDescent="0.25">
      <c r="A4893" s="2">
        <v>7592</v>
      </c>
      <c r="B4893" s="2">
        <v>2010</v>
      </c>
      <c r="C4893" s="2" t="s">
        <v>147</v>
      </c>
      <c r="D4893" s="2" t="s">
        <v>73</v>
      </c>
      <c r="E4893" s="2"/>
      <c r="F4893" s="2">
        <v>1</v>
      </c>
      <c r="G4893" s="2" t="s">
        <v>82</v>
      </c>
      <c r="H4893" s="2">
        <v>1</v>
      </c>
      <c r="I4893" s="2" t="s">
        <v>82</v>
      </c>
      <c r="J4893" s="2">
        <v>1</v>
      </c>
      <c r="K4893" s="2" t="s">
        <v>107</v>
      </c>
      <c r="L4893" s="2" t="s">
        <v>107</v>
      </c>
      <c r="M4893" s="3">
        <v>40513</v>
      </c>
      <c r="N4893" s="2"/>
      <c r="O4893" s="2"/>
      <c r="P4893" s="2"/>
      <c r="Q4893" s="2" t="str">
        <f>""</f>
        <v/>
      </c>
      <c r="R4893" s="2"/>
      <c r="S4893" s="2"/>
      <c r="T4893" s="2">
        <v>2</v>
      </c>
      <c r="U4893" s="2" t="s">
        <v>123</v>
      </c>
      <c r="V4893" s="2">
        <v>1</v>
      </c>
      <c r="W4893" s="2" t="s">
        <v>80</v>
      </c>
      <c r="X4893" s="2">
        <v>12</v>
      </c>
      <c r="Y4893" s="2" t="s">
        <v>148</v>
      </c>
      <c r="Z4893" s="2">
        <v>1</v>
      </c>
      <c r="AA4893" s="2" t="s">
        <v>82</v>
      </c>
      <c r="AB4893" s="2">
        <v>9</v>
      </c>
      <c r="AC4893" s="2" t="s">
        <v>124</v>
      </c>
      <c r="AD4893" s="2"/>
      <c r="AE4893" s="2"/>
      <c r="AF4893" s="3">
        <v>40513</v>
      </c>
      <c r="AG4893" s="4">
        <v>0.45833333333333331</v>
      </c>
      <c r="AH4893" s="2">
        <v>2</v>
      </c>
      <c r="AI4893" s="2" t="s">
        <v>84</v>
      </c>
      <c r="AJ4893" s="2">
        <v>11</v>
      </c>
      <c r="AK4893" s="2" t="s">
        <v>751</v>
      </c>
      <c r="AL4893" s="2">
        <v>19</v>
      </c>
      <c r="AM4893" s="2" t="s">
        <v>107</v>
      </c>
      <c r="AN4893" s="2" t="s">
        <v>15080</v>
      </c>
      <c r="AO4893" s="2" t="s">
        <v>11187</v>
      </c>
      <c r="AP4893" s="2">
        <v>11</v>
      </c>
      <c r="AQ4893" s="2" t="s">
        <v>82</v>
      </c>
      <c r="AR4893" s="2"/>
      <c r="AS4893" s="2"/>
      <c r="AT4893" s="2" t="s">
        <v>15081</v>
      </c>
      <c r="AU4893" s="2"/>
      <c r="AV4893" s="2"/>
      <c r="AW4893" s="2"/>
      <c r="AX4893" s="2"/>
      <c r="AY4893" s="2">
        <v>41</v>
      </c>
      <c r="AZ4893" s="2" t="s">
        <v>82</v>
      </c>
      <c r="BA4893" s="2">
        <v>41</v>
      </c>
      <c r="BB4893" s="2" t="s">
        <v>82</v>
      </c>
      <c r="BC4893" s="2">
        <v>41</v>
      </c>
      <c r="BD4893" s="2" t="s">
        <v>82</v>
      </c>
      <c r="BE4893" s="2">
        <v>41</v>
      </c>
      <c r="BF4893" s="2" t="s">
        <v>82</v>
      </c>
      <c r="BG4893" s="2"/>
      <c r="BH4893" s="2"/>
      <c r="BI4893" s="2"/>
      <c r="BJ4893" s="2">
        <v>241</v>
      </c>
      <c r="BK4893" s="2" t="s">
        <v>82</v>
      </c>
      <c r="BL4893" s="2"/>
      <c r="BM4893" s="2">
        <v>241</v>
      </c>
      <c r="BN4893" s="2" t="s">
        <v>82</v>
      </c>
      <c r="BO4893" s="2"/>
      <c r="BP4893" s="2">
        <v>241</v>
      </c>
      <c r="BQ4893" s="2" t="s">
        <v>82</v>
      </c>
      <c r="BR4893" s="2"/>
      <c r="BS4893" s="3">
        <v>40513</v>
      </c>
      <c r="BT4893" s="4">
        <v>0.53418981481481487</v>
      </c>
    </row>
    <row r="4894" spans="1:72" x14ac:dyDescent="0.25">
      <c r="A4894" s="2">
        <v>7593</v>
      </c>
      <c r="B4894" s="2">
        <v>2010</v>
      </c>
      <c r="C4894" s="2" t="s">
        <v>147</v>
      </c>
      <c r="D4894" s="2" t="s">
        <v>73</v>
      </c>
      <c r="E4894" s="2"/>
      <c r="F4894" s="2">
        <v>1</v>
      </c>
      <c r="G4894" s="2" t="s">
        <v>82</v>
      </c>
      <c r="H4894" s="2">
        <v>1</v>
      </c>
      <c r="I4894" s="2" t="s">
        <v>82</v>
      </c>
      <c r="J4894" s="2">
        <v>1</v>
      </c>
      <c r="K4894" s="2" t="s">
        <v>107</v>
      </c>
      <c r="L4894" s="2" t="s">
        <v>107</v>
      </c>
      <c r="M4894" s="3">
        <v>40513</v>
      </c>
      <c r="N4894" s="2"/>
      <c r="O4894" s="2"/>
      <c r="P4894" s="2"/>
      <c r="Q4894" s="2" t="str">
        <f>""</f>
        <v/>
      </c>
      <c r="R4894" s="2"/>
      <c r="S4894" s="2"/>
      <c r="T4894" s="2">
        <v>2</v>
      </c>
      <c r="U4894" s="2" t="s">
        <v>123</v>
      </c>
      <c r="V4894" s="2">
        <v>1</v>
      </c>
      <c r="W4894" s="2" t="s">
        <v>80</v>
      </c>
      <c r="X4894" s="2">
        <v>12</v>
      </c>
      <c r="Y4894" s="2" t="s">
        <v>148</v>
      </c>
      <c r="Z4894" s="2">
        <v>1</v>
      </c>
      <c r="AA4894" s="2" t="s">
        <v>82</v>
      </c>
      <c r="AB4894" s="2">
        <v>9</v>
      </c>
      <c r="AC4894" s="2" t="s">
        <v>124</v>
      </c>
      <c r="AD4894" s="2"/>
      <c r="AE4894" s="2"/>
      <c r="AF4894" s="3">
        <v>40513</v>
      </c>
      <c r="AG4894" s="4">
        <v>0.45833333333333331</v>
      </c>
      <c r="AH4894" s="2">
        <v>2</v>
      </c>
      <c r="AI4894" s="2" t="s">
        <v>84</v>
      </c>
      <c r="AJ4894" s="2">
        <v>11</v>
      </c>
      <c r="AK4894" s="2" t="s">
        <v>751</v>
      </c>
      <c r="AL4894" s="2">
        <v>19</v>
      </c>
      <c r="AM4894" s="2" t="s">
        <v>107</v>
      </c>
      <c r="AN4894" s="2" t="s">
        <v>15082</v>
      </c>
      <c r="AO4894" s="2" t="s">
        <v>11187</v>
      </c>
      <c r="AP4894" s="2">
        <v>11</v>
      </c>
      <c r="AQ4894" s="2" t="s">
        <v>82</v>
      </c>
      <c r="AR4894" s="2"/>
      <c r="AS4894" s="2"/>
      <c r="AT4894" s="2" t="s">
        <v>15083</v>
      </c>
      <c r="AU4894" s="2"/>
      <c r="AV4894" s="2"/>
      <c r="AW4894" s="2"/>
      <c r="AX4894" s="2"/>
      <c r="AY4894" s="2">
        <v>41</v>
      </c>
      <c r="AZ4894" s="2" t="s">
        <v>82</v>
      </c>
      <c r="BA4894" s="2">
        <v>41</v>
      </c>
      <c r="BB4894" s="2" t="s">
        <v>82</v>
      </c>
      <c r="BC4894" s="2">
        <v>41</v>
      </c>
      <c r="BD4894" s="2" t="s">
        <v>82</v>
      </c>
      <c r="BE4894" s="2">
        <v>41</v>
      </c>
      <c r="BF4894" s="2" t="s">
        <v>82</v>
      </c>
      <c r="BG4894" s="2"/>
      <c r="BH4894" s="2"/>
      <c r="BI4894" s="2"/>
      <c r="BJ4894" s="2">
        <v>241</v>
      </c>
      <c r="BK4894" s="2" t="s">
        <v>82</v>
      </c>
      <c r="BL4894" s="2"/>
      <c r="BM4894" s="2">
        <v>241</v>
      </c>
      <c r="BN4894" s="2" t="s">
        <v>82</v>
      </c>
      <c r="BO4894" s="2"/>
      <c r="BP4894" s="2">
        <v>241</v>
      </c>
      <c r="BQ4894" s="2" t="s">
        <v>82</v>
      </c>
      <c r="BR4894" s="2"/>
      <c r="BS4894" s="3">
        <v>40513</v>
      </c>
      <c r="BT4894" s="4">
        <v>0.56525462962962958</v>
      </c>
    </row>
    <row r="4895" spans="1:72" x14ac:dyDescent="0.25">
      <c r="A4895" s="2">
        <v>7595</v>
      </c>
      <c r="B4895" s="2">
        <v>2010</v>
      </c>
      <c r="C4895" s="2" t="s">
        <v>819</v>
      </c>
      <c r="D4895" s="2" t="s">
        <v>122</v>
      </c>
      <c r="E4895" s="2" t="s">
        <v>15084</v>
      </c>
      <c r="F4895" s="2">
        <v>451</v>
      </c>
      <c r="G4895" s="2" t="s">
        <v>879</v>
      </c>
      <c r="H4895" s="2">
        <v>31</v>
      </c>
      <c r="I4895" s="2" t="s">
        <v>880</v>
      </c>
      <c r="J4895" s="2">
        <v>326</v>
      </c>
      <c r="K4895" s="2" t="s">
        <v>881</v>
      </c>
      <c r="L4895" s="2" t="s">
        <v>882</v>
      </c>
      <c r="M4895" s="3">
        <v>40513</v>
      </c>
      <c r="N4895" s="2" t="s">
        <v>1072</v>
      </c>
      <c r="O4895" s="2"/>
      <c r="P4895" s="2"/>
      <c r="Q4895" s="2" t="str">
        <f>"114/10"</f>
        <v>114/10</v>
      </c>
      <c r="R4895" s="2"/>
      <c r="S4895" s="2" t="s">
        <v>822</v>
      </c>
      <c r="T4895" s="2">
        <v>1</v>
      </c>
      <c r="U4895" s="2" t="s">
        <v>79</v>
      </c>
      <c r="V4895" s="2">
        <v>1</v>
      </c>
      <c r="W4895" s="2" t="s">
        <v>80</v>
      </c>
      <c r="X4895" s="2">
        <v>1</v>
      </c>
      <c r="Y4895" s="2" t="s">
        <v>81</v>
      </c>
      <c r="Z4895" s="2">
        <v>10</v>
      </c>
      <c r="AA4895" s="2" t="s">
        <v>236</v>
      </c>
      <c r="AB4895" s="2">
        <v>9</v>
      </c>
      <c r="AC4895" s="2" t="s">
        <v>124</v>
      </c>
      <c r="AD4895" s="3">
        <v>40513</v>
      </c>
      <c r="AE4895" s="4">
        <v>0.55208333333333337</v>
      </c>
      <c r="AF4895" s="3">
        <v>40512</v>
      </c>
      <c r="AG4895" s="4">
        <v>0.91666666666666663</v>
      </c>
      <c r="AH4895" s="2">
        <v>4</v>
      </c>
      <c r="AI4895" s="2" t="s">
        <v>125</v>
      </c>
      <c r="AJ4895" s="2">
        <v>29</v>
      </c>
      <c r="AK4895" s="2" t="s">
        <v>227</v>
      </c>
      <c r="AL4895" s="2">
        <v>10</v>
      </c>
      <c r="AM4895" s="2" t="s">
        <v>200</v>
      </c>
      <c r="AN4895" s="2" t="s">
        <v>3040</v>
      </c>
      <c r="AO4895" s="2" t="s">
        <v>15085</v>
      </c>
      <c r="AP4895" s="2">
        <v>11</v>
      </c>
      <c r="AQ4895" s="2" t="s">
        <v>82</v>
      </c>
      <c r="AR4895" s="2" t="s">
        <v>824</v>
      </c>
      <c r="AS4895" s="2" t="s">
        <v>825</v>
      </c>
      <c r="AT4895" s="2" t="s">
        <v>15086</v>
      </c>
      <c r="AU4895" s="2"/>
      <c r="AV4895" s="2"/>
      <c r="AW4895" s="2"/>
      <c r="AX4895" s="2"/>
      <c r="AY4895" s="2">
        <v>41</v>
      </c>
      <c r="AZ4895" s="2" t="s">
        <v>82</v>
      </c>
      <c r="BA4895" s="2">
        <v>41</v>
      </c>
      <c r="BB4895" s="2" t="s">
        <v>82</v>
      </c>
      <c r="BC4895" s="2">
        <v>51</v>
      </c>
      <c r="BD4895" s="2" t="s">
        <v>827</v>
      </c>
      <c r="BE4895" s="2">
        <v>13</v>
      </c>
      <c r="BF4895" s="2" t="s">
        <v>108</v>
      </c>
      <c r="BG4895" s="2">
        <v>1459</v>
      </c>
      <c r="BH4895" s="4">
        <v>0.97222222222222221</v>
      </c>
      <c r="BI4895" s="4">
        <v>6.9444444444444441E-3</v>
      </c>
      <c r="BJ4895" s="2">
        <v>13</v>
      </c>
      <c r="BK4895" s="2" t="s">
        <v>91</v>
      </c>
      <c r="BL4895" s="2" t="s">
        <v>828</v>
      </c>
      <c r="BM4895" s="2">
        <v>13</v>
      </c>
      <c r="BN4895" s="2" t="s">
        <v>91</v>
      </c>
      <c r="BO4895" s="2"/>
      <c r="BP4895" s="2">
        <v>13</v>
      </c>
      <c r="BQ4895" s="2" t="s">
        <v>91</v>
      </c>
      <c r="BR4895" s="2" t="s">
        <v>185</v>
      </c>
      <c r="BS4895" s="3">
        <v>40513</v>
      </c>
      <c r="BT4895" s="4">
        <v>0.59818287037037032</v>
      </c>
    </row>
    <row r="4896" spans="1:72" x14ac:dyDescent="0.25">
      <c r="A4896" s="2">
        <v>7598</v>
      </c>
      <c r="B4896" s="2">
        <v>2010</v>
      </c>
      <c r="C4896" s="2" t="s">
        <v>171</v>
      </c>
      <c r="D4896" s="2" t="s">
        <v>73</v>
      </c>
      <c r="E4896" s="2" t="s">
        <v>15087</v>
      </c>
      <c r="F4896" s="2">
        <v>281</v>
      </c>
      <c r="G4896" s="2" t="s">
        <v>7482</v>
      </c>
      <c r="H4896" s="2">
        <v>2</v>
      </c>
      <c r="I4896" s="2" t="s">
        <v>267</v>
      </c>
      <c r="J4896" s="2">
        <v>527</v>
      </c>
      <c r="K4896" s="2" t="s">
        <v>2804</v>
      </c>
      <c r="L4896" s="2" t="s">
        <v>7483</v>
      </c>
      <c r="M4896" s="3">
        <v>40513</v>
      </c>
      <c r="N4896" s="2" t="s">
        <v>15064</v>
      </c>
      <c r="O4896" s="2" t="s">
        <v>15088</v>
      </c>
      <c r="P4896" s="2" t="s">
        <v>15089</v>
      </c>
      <c r="Q4896" s="2" t="str">
        <f>"0018/2010"</f>
        <v>0018/2010</v>
      </c>
      <c r="R4896" s="2"/>
      <c r="S4896" s="2"/>
      <c r="T4896" s="2">
        <v>1</v>
      </c>
      <c r="U4896" s="2" t="s">
        <v>79</v>
      </c>
      <c r="V4896" s="2">
        <v>1</v>
      </c>
      <c r="W4896" s="2" t="s">
        <v>80</v>
      </c>
      <c r="X4896" s="2">
        <v>1</v>
      </c>
      <c r="Y4896" s="2" t="s">
        <v>81</v>
      </c>
      <c r="Z4896" s="2">
        <v>1</v>
      </c>
      <c r="AA4896" s="2" t="s">
        <v>82</v>
      </c>
      <c r="AB4896" s="2">
        <v>1</v>
      </c>
      <c r="AC4896" s="2" t="s">
        <v>178</v>
      </c>
      <c r="AD4896" s="3">
        <v>40513</v>
      </c>
      <c r="AE4896" s="4">
        <v>0.44791666666666669</v>
      </c>
      <c r="AF4896" s="3">
        <v>40513</v>
      </c>
      <c r="AG4896" s="4">
        <v>0.44791666666666669</v>
      </c>
      <c r="AH4896" s="2">
        <v>5</v>
      </c>
      <c r="AI4896" s="2" t="s">
        <v>274</v>
      </c>
      <c r="AJ4896" s="2">
        <v>37</v>
      </c>
      <c r="AK4896" s="2" t="s">
        <v>497</v>
      </c>
      <c r="AL4896" s="2">
        <v>25</v>
      </c>
      <c r="AM4896" s="2" t="s">
        <v>3073</v>
      </c>
      <c r="AN4896" s="2" t="s">
        <v>15090</v>
      </c>
      <c r="AO4896" s="2" t="s">
        <v>179</v>
      </c>
      <c r="AP4896" s="2">
        <v>5</v>
      </c>
      <c r="AQ4896" s="2" t="s">
        <v>827</v>
      </c>
      <c r="AR4896" s="2" t="s">
        <v>15091</v>
      </c>
      <c r="AS4896" s="2" t="s">
        <v>15092</v>
      </c>
      <c r="AT4896" s="2" t="s">
        <v>15093</v>
      </c>
      <c r="AU4896" s="2"/>
      <c r="AV4896" s="2"/>
      <c r="AW4896" s="2"/>
      <c r="AX4896" s="2"/>
      <c r="AY4896" s="2">
        <v>41</v>
      </c>
      <c r="AZ4896" s="2" t="s">
        <v>82</v>
      </c>
      <c r="BA4896" s="2">
        <v>41</v>
      </c>
      <c r="BB4896" s="2" t="s">
        <v>82</v>
      </c>
      <c r="BC4896" s="2">
        <v>41</v>
      </c>
      <c r="BD4896" s="2" t="s">
        <v>82</v>
      </c>
      <c r="BE4896" s="2">
        <v>13</v>
      </c>
      <c r="BF4896" s="2" t="s">
        <v>108</v>
      </c>
      <c r="BG4896" s="2">
        <v>1758</v>
      </c>
      <c r="BH4896" s="4">
        <v>0.82291666666666663</v>
      </c>
      <c r="BI4896" s="4">
        <v>0.84722222222222221</v>
      </c>
      <c r="BJ4896" s="2">
        <v>13</v>
      </c>
      <c r="BK4896" s="2" t="s">
        <v>91</v>
      </c>
      <c r="BL4896" s="2" t="s">
        <v>1552</v>
      </c>
      <c r="BM4896" s="2">
        <v>13</v>
      </c>
      <c r="BN4896" s="2" t="s">
        <v>91</v>
      </c>
      <c r="BO4896" s="2"/>
      <c r="BP4896" s="2">
        <v>13</v>
      </c>
      <c r="BQ4896" s="2" t="s">
        <v>91</v>
      </c>
      <c r="BR4896" s="2" t="s">
        <v>360</v>
      </c>
      <c r="BS4896" s="3">
        <v>40513</v>
      </c>
      <c r="BT4896" s="4">
        <v>0.67171296296296301</v>
      </c>
    </row>
    <row r="4897" spans="1:72" x14ac:dyDescent="0.25">
      <c r="A4897" s="2">
        <v>7601</v>
      </c>
      <c r="B4897" s="2">
        <v>2010</v>
      </c>
      <c r="C4897" s="2" t="s">
        <v>196</v>
      </c>
      <c r="D4897" s="2" t="s">
        <v>122</v>
      </c>
      <c r="E4897" s="2"/>
      <c r="F4897" s="2">
        <v>1</v>
      </c>
      <c r="G4897" s="2" t="s">
        <v>82</v>
      </c>
      <c r="H4897" s="2">
        <v>1</v>
      </c>
      <c r="I4897" s="2" t="s">
        <v>82</v>
      </c>
      <c r="J4897" s="2">
        <v>1</v>
      </c>
      <c r="K4897" s="2" t="s">
        <v>107</v>
      </c>
      <c r="L4897" s="2" t="s">
        <v>107</v>
      </c>
      <c r="M4897" s="3">
        <v>40513</v>
      </c>
      <c r="N4897" s="2"/>
      <c r="O4897" s="2"/>
      <c r="P4897" s="2"/>
      <c r="Q4897" s="2" t="str">
        <f>""</f>
        <v/>
      </c>
      <c r="R4897" s="2"/>
      <c r="S4897" s="2"/>
      <c r="T4897" s="2">
        <v>2</v>
      </c>
      <c r="U4897" s="2" t="s">
        <v>123</v>
      </c>
      <c r="V4897" s="2">
        <v>1</v>
      </c>
      <c r="W4897" s="2" t="s">
        <v>80</v>
      </c>
      <c r="X4897" s="2">
        <v>11</v>
      </c>
      <c r="Y4897" s="2" t="s">
        <v>1920</v>
      </c>
      <c r="Z4897" s="2">
        <v>10</v>
      </c>
      <c r="AA4897" s="2" t="s">
        <v>236</v>
      </c>
      <c r="AB4897" s="2">
        <v>9</v>
      </c>
      <c r="AC4897" s="2" t="s">
        <v>124</v>
      </c>
      <c r="AD4897" s="3">
        <v>40513</v>
      </c>
      <c r="AE4897" s="4">
        <v>0.70138888888888884</v>
      </c>
      <c r="AF4897" s="2"/>
      <c r="AG4897" s="2"/>
      <c r="AH4897" s="2">
        <v>2</v>
      </c>
      <c r="AI4897" s="2" t="s">
        <v>84</v>
      </c>
      <c r="AJ4897" s="2">
        <v>112</v>
      </c>
      <c r="AK4897" s="2" t="s">
        <v>14078</v>
      </c>
      <c r="AL4897" s="2">
        <v>10</v>
      </c>
      <c r="AM4897" s="2" t="s">
        <v>200</v>
      </c>
      <c r="AN4897" s="2"/>
      <c r="AO4897" s="2" t="s">
        <v>15094</v>
      </c>
      <c r="AP4897" s="2">
        <v>11</v>
      </c>
      <c r="AQ4897" s="2" t="s">
        <v>82</v>
      </c>
      <c r="AR4897" s="2"/>
      <c r="AS4897" s="2"/>
      <c r="AT4897" s="2" t="s">
        <v>15095</v>
      </c>
      <c r="AU4897" s="2"/>
      <c r="AV4897" s="2"/>
      <c r="AW4897" s="2"/>
      <c r="AX4897" s="2"/>
      <c r="AY4897" s="2">
        <v>41</v>
      </c>
      <c r="AZ4897" s="2" t="s">
        <v>82</v>
      </c>
      <c r="BA4897" s="2">
        <v>41</v>
      </c>
      <c r="BB4897" s="2" t="s">
        <v>82</v>
      </c>
      <c r="BC4897" s="2">
        <v>41</v>
      </c>
      <c r="BD4897" s="2" t="s">
        <v>82</v>
      </c>
      <c r="BE4897" s="2">
        <v>41</v>
      </c>
      <c r="BF4897" s="2" t="s">
        <v>82</v>
      </c>
      <c r="BG4897" s="2"/>
      <c r="BH4897" s="2"/>
      <c r="BI4897" s="4">
        <v>0.77777777777777779</v>
      </c>
      <c r="BJ4897" s="2">
        <v>241</v>
      </c>
      <c r="BK4897" s="2" t="s">
        <v>82</v>
      </c>
      <c r="BL4897" s="2" t="s">
        <v>5623</v>
      </c>
      <c r="BM4897" s="2">
        <v>241</v>
      </c>
      <c r="BN4897" s="2" t="s">
        <v>82</v>
      </c>
      <c r="BO4897" s="2"/>
      <c r="BP4897" s="2">
        <v>241</v>
      </c>
      <c r="BQ4897" s="2" t="s">
        <v>82</v>
      </c>
      <c r="BR4897" s="2" t="s">
        <v>185</v>
      </c>
      <c r="BS4897" s="3">
        <v>40513</v>
      </c>
      <c r="BT4897" s="4">
        <v>0.81013888888888896</v>
      </c>
    </row>
    <row r="4898" spans="1:72" x14ac:dyDescent="0.25">
      <c r="A4898" s="2">
        <v>7602</v>
      </c>
      <c r="B4898" s="2">
        <v>2010</v>
      </c>
      <c r="C4898" s="2" t="s">
        <v>196</v>
      </c>
      <c r="D4898" s="2" t="s">
        <v>122</v>
      </c>
      <c r="E4898" s="2"/>
      <c r="F4898" s="2">
        <v>1</v>
      </c>
      <c r="G4898" s="2" t="s">
        <v>82</v>
      </c>
      <c r="H4898" s="2">
        <v>1</v>
      </c>
      <c r="I4898" s="2" t="s">
        <v>82</v>
      </c>
      <c r="J4898" s="2">
        <v>1</v>
      </c>
      <c r="K4898" s="2" t="s">
        <v>107</v>
      </c>
      <c r="L4898" s="2" t="s">
        <v>107</v>
      </c>
      <c r="M4898" s="3">
        <v>40513</v>
      </c>
      <c r="N4898" s="2"/>
      <c r="O4898" s="2"/>
      <c r="P4898" s="2"/>
      <c r="Q4898" s="2" t="str">
        <f>""</f>
        <v/>
      </c>
      <c r="R4898" s="2"/>
      <c r="S4898" s="2"/>
      <c r="T4898" s="2">
        <v>2</v>
      </c>
      <c r="U4898" s="2" t="s">
        <v>123</v>
      </c>
      <c r="V4898" s="2">
        <v>1</v>
      </c>
      <c r="W4898" s="2" t="s">
        <v>80</v>
      </c>
      <c r="X4898" s="2">
        <v>11</v>
      </c>
      <c r="Y4898" s="2" t="s">
        <v>1920</v>
      </c>
      <c r="Z4898" s="2">
        <v>1</v>
      </c>
      <c r="AA4898" s="2" t="s">
        <v>82</v>
      </c>
      <c r="AB4898" s="2">
        <v>9</v>
      </c>
      <c r="AC4898" s="2" t="s">
        <v>124</v>
      </c>
      <c r="AD4898" s="3">
        <v>40513</v>
      </c>
      <c r="AE4898" s="4">
        <v>0.80555555555555547</v>
      </c>
      <c r="AF4898" s="2"/>
      <c r="AG4898" s="2"/>
      <c r="AH4898" s="2">
        <v>5</v>
      </c>
      <c r="AI4898" s="2" t="s">
        <v>274</v>
      </c>
      <c r="AJ4898" s="2">
        <v>40</v>
      </c>
      <c r="AK4898" s="2" t="s">
        <v>935</v>
      </c>
      <c r="AL4898" s="2">
        <v>19</v>
      </c>
      <c r="AM4898" s="2" t="s">
        <v>107</v>
      </c>
      <c r="AN4898" s="2"/>
      <c r="AO4898" s="2" t="s">
        <v>200</v>
      </c>
      <c r="AP4898" s="2">
        <v>11</v>
      </c>
      <c r="AQ4898" s="2" t="s">
        <v>82</v>
      </c>
      <c r="AR4898" s="2"/>
      <c r="AS4898" s="2"/>
      <c r="AT4898" s="2" t="s">
        <v>15096</v>
      </c>
      <c r="AU4898" s="2"/>
      <c r="AV4898" s="2"/>
      <c r="AW4898" s="2"/>
      <c r="AX4898" s="2"/>
      <c r="AY4898" s="2">
        <v>41</v>
      </c>
      <c r="AZ4898" s="2" t="s">
        <v>82</v>
      </c>
      <c r="BA4898" s="2">
        <v>41</v>
      </c>
      <c r="BB4898" s="2" t="s">
        <v>82</v>
      </c>
      <c r="BC4898" s="2">
        <v>41</v>
      </c>
      <c r="BD4898" s="2" t="s">
        <v>82</v>
      </c>
      <c r="BE4898" s="2">
        <v>41</v>
      </c>
      <c r="BF4898" s="2" t="s">
        <v>82</v>
      </c>
      <c r="BG4898" s="2"/>
      <c r="BH4898" s="4">
        <v>0.80555555555555547</v>
      </c>
      <c r="BI4898" s="2"/>
      <c r="BJ4898" s="2">
        <v>241</v>
      </c>
      <c r="BK4898" s="2" t="s">
        <v>82</v>
      </c>
      <c r="BL4898" s="2" t="s">
        <v>185</v>
      </c>
      <c r="BM4898" s="2">
        <v>241</v>
      </c>
      <c r="BN4898" s="2" t="s">
        <v>82</v>
      </c>
      <c r="BO4898" s="2"/>
      <c r="BP4898" s="2">
        <v>241</v>
      </c>
      <c r="BQ4898" s="2" t="s">
        <v>82</v>
      </c>
      <c r="BR4898" s="2" t="s">
        <v>5623</v>
      </c>
      <c r="BS4898" s="3">
        <v>40513</v>
      </c>
      <c r="BT4898" s="4">
        <v>0.81716435185185177</v>
      </c>
    </row>
    <row r="4899" spans="1:72" x14ac:dyDescent="0.25">
      <c r="A4899" s="2">
        <v>7603</v>
      </c>
      <c r="B4899" s="2">
        <v>2010</v>
      </c>
      <c r="C4899" s="2" t="s">
        <v>128</v>
      </c>
      <c r="D4899" s="2" t="s">
        <v>73</v>
      </c>
      <c r="E4899" s="2"/>
      <c r="F4899" s="2">
        <v>728</v>
      </c>
      <c r="G4899" s="2" t="s">
        <v>15097</v>
      </c>
      <c r="H4899" s="2">
        <v>22</v>
      </c>
      <c r="I4899" s="2" t="s">
        <v>75</v>
      </c>
      <c r="J4899" s="2">
        <v>724</v>
      </c>
      <c r="K4899" s="2" t="s">
        <v>12061</v>
      </c>
      <c r="L4899" s="2" t="s">
        <v>15098</v>
      </c>
      <c r="M4899" s="3">
        <v>40513</v>
      </c>
      <c r="N4899" s="2" t="s">
        <v>15099</v>
      </c>
      <c r="O4899" s="2" t="s">
        <v>82</v>
      </c>
      <c r="P4899" s="2"/>
      <c r="Q4899" s="2" t="str">
        <f>"0015/2010"</f>
        <v>0015/2010</v>
      </c>
      <c r="R4899" s="2" t="s">
        <v>82</v>
      </c>
      <c r="S4899" s="2" t="s">
        <v>15100</v>
      </c>
      <c r="T4899" s="2">
        <v>1</v>
      </c>
      <c r="U4899" s="2" t="s">
        <v>79</v>
      </c>
      <c r="V4899" s="2">
        <v>1</v>
      </c>
      <c r="W4899" s="2" t="s">
        <v>80</v>
      </c>
      <c r="X4899" s="2">
        <v>1</v>
      </c>
      <c r="Y4899" s="2" t="s">
        <v>81</v>
      </c>
      <c r="Z4899" s="2">
        <v>1</v>
      </c>
      <c r="AA4899" s="2" t="s">
        <v>82</v>
      </c>
      <c r="AB4899" s="2">
        <v>9</v>
      </c>
      <c r="AC4899" s="2" t="s">
        <v>124</v>
      </c>
      <c r="AD4899" s="3">
        <v>40513</v>
      </c>
      <c r="AE4899" s="4">
        <v>0.41666666666666669</v>
      </c>
      <c r="AF4899" s="3">
        <v>40513</v>
      </c>
      <c r="AG4899" s="2"/>
      <c r="AH4899" s="2">
        <v>5</v>
      </c>
      <c r="AI4899" s="2" t="s">
        <v>274</v>
      </c>
      <c r="AJ4899" s="2">
        <v>44</v>
      </c>
      <c r="AK4899" s="2" t="s">
        <v>667</v>
      </c>
      <c r="AL4899" s="2">
        <v>9</v>
      </c>
      <c r="AM4899" s="2" t="s">
        <v>259</v>
      </c>
      <c r="AN4899" s="2" t="s">
        <v>7158</v>
      </c>
      <c r="AO4899" s="2" t="s">
        <v>15101</v>
      </c>
      <c r="AP4899" s="2">
        <v>11</v>
      </c>
      <c r="AQ4899" s="2" t="s">
        <v>82</v>
      </c>
      <c r="AR4899" s="2" t="s">
        <v>82</v>
      </c>
      <c r="AS4899" s="2" t="s">
        <v>82</v>
      </c>
      <c r="AT4899" s="2" t="s">
        <v>15102</v>
      </c>
      <c r="AU4899" s="2"/>
      <c r="AV4899" s="2"/>
      <c r="AW4899" s="2"/>
      <c r="AX4899" s="2"/>
      <c r="AY4899" s="2">
        <v>41</v>
      </c>
      <c r="AZ4899" s="2" t="s">
        <v>82</v>
      </c>
      <c r="BA4899" s="2">
        <v>41</v>
      </c>
      <c r="BB4899" s="2" t="s">
        <v>82</v>
      </c>
      <c r="BC4899" s="2">
        <v>41</v>
      </c>
      <c r="BD4899" s="2" t="s">
        <v>82</v>
      </c>
      <c r="BE4899" s="2">
        <v>41</v>
      </c>
      <c r="BF4899" s="2" t="s">
        <v>82</v>
      </c>
      <c r="BG4899" s="2"/>
      <c r="BH4899" s="2"/>
      <c r="BI4899" s="2"/>
      <c r="BJ4899" s="2">
        <v>241</v>
      </c>
      <c r="BK4899" s="2" t="s">
        <v>82</v>
      </c>
      <c r="BL4899" s="2" t="s">
        <v>82</v>
      </c>
      <c r="BM4899" s="2">
        <v>241</v>
      </c>
      <c r="BN4899" s="2" t="s">
        <v>82</v>
      </c>
      <c r="BO4899" s="2"/>
      <c r="BP4899" s="2">
        <v>241</v>
      </c>
      <c r="BQ4899" s="2" t="s">
        <v>82</v>
      </c>
      <c r="BR4899" s="2"/>
      <c r="BS4899" s="3">
        <v>40513</v>
      </c>
      <c r="BT4899" s="4">
        <v>0.83690972222222226</v>
      </c>
    </row>
    <row r="4900" spans="1:72" x14ac:dyDescent="0.25">
      <c r="A4900" s="2">
        <v>7604</v>
      </c>
      <c r="B4900" s="2">
        <v>2010</v>
      </c>
      <c r="C4900" s="2" t="s">
        <v>171</v>
      </c>
      <c r="D4900" s="2" t="s">
        <v>122</v>
      </c>
      <c r="E4900" s="2"/>
      <c r="F4900" s="2">
        <v>542</v>
      </c>
      <c r="G4900" s="2" t="s">
        <v>3946</v>
      </c>
      <c r="H4900" s="2">
        <v>2</v>
      </c>
      <c r="I4900" s="2" t="s">
        <v>267</v>
      </c>
      <c r="J4900" s="2">
        <v>527</v>
      </c>
      <c r="K4900" s="2" t="s">
        <v>2804</v>
      </c>
      <c r="L4900" s="2" t="s">
        <v>7483</v>
      </c>
      <c r="M4900" s="3">
        <v>40513</v>
      </c>
      <c r="N4900" s="2" t="s">
        <v>15103</v>
      </c>
      <c r="O4900" s="2" t="s">
        <v>15104</v>
      </c>
      <c r="P4900" s="2" t="s">
        <v>15105</v>
      </c>
      <c r="Q4900" s="2" t="str">
        <f>"028/10"</f>
        <v>028/10</v>
      </c>
      <c r="R4900" s="2" t="s">
        <v>15065</v>
      </c>
      <c r="S4900" s="2" t="s">
        <v>15104</v>
      </c>
      <c r="T4900" s="2">
        <v>1</v>
      </c>
      <c r="U4900" s="2" t="s">
        <v>79</v>
      </c>
      <c r="V4900" s="2">
        <v>1</v>
      </c>
      <c r="W4900" s="2" t="s">
        <v>80</v>
      </c>
      <c r="X4900" s="2">
        <v>5</v>
      </c>
      <c r="Y4900" s="2" t="s">
        <v>82</v>
      </c>
      <c r="Z4900" s="2">
        <v>1</v>
      </c>
      <c r="AA4900" s="2" t="s">
        <v>82</v>
      </c>
      <c r="AB4900" s="2">
        <v>1</v>
      </c>
      <c r="AC4900" s="2" t="s">
        <v>178</v>
      </c>
      <c r="AD4900" s="3">
        <v>40513</v>
      </c>
      <c r="AE4900" s="4">
        <v>0.51041666666666663</v>
      </c>
      <c r="AF4900" s="2"/>
      <c r="AG4900" s="2"/>
      <c r="AH4900" s="2">
        <v>5</v>
      </c>
      <c r="AI4900" s="2" t="s">
        <v>274</v>
      </c>
      <c r="AJ4900" s="2">
        <v>35</v>
      </c>
      <c r="AK4900" s="2" t="s">
        <v>275</v>
      </c>
      <c r="AL4900" s="2">
        <v>19</v>
      </c>
      <c r="AM4900" s="2" t="s">
        <v>107</v>
      </c>
      <c r="AN4900" s="2" t="s">
        <v>15106</v>
      </c>
      <c r="AO4900" s="2" t="s">
        <v>170</v>
      </c>
      <c r="AP4900" s="2">
        <v>11</v>
      </c>
      <c r="AQ4900" s="2" t="s">
        <v>82</v>
      </c>
      <c r="AR4900" s="2"/>
      <c r="AS4900" s="2"/>
      <c r="AT4900" s="2" t="s">
        <v>15107</v>
      </c>
      <c r="AU4900" s="2"/>
      <c r="AV4900" s="2"/>
      <c r="AW4900" s="2"/>
      <c r="AX4900" s="2"/>
      <c r="AY4900" s="2">
        <v>41</v>
      </c>
      <c r="AZ4900" s="2" t="s">
        <v>82</v>
      </c>
      <c r="BA4900" s="2">
        <v>41</v>
      </c>
      <c r="BB4900" s="2" t="s">
        <v>82</v>
      </c>
      <c r="BC4900" s="2">
        <v>41</v>
      </c>
      <c r="BD4900" s="2" t="s">
        <v>82</v>
      </c>
      <c r="BE4900" s="2">
        <v>41</v>
      </c>
      <c r="BF4900" s="2" t="s">
        <v>82</v>
      </c>
      <c r="BG4900" s="2"/>
      <c r="BH4900" s="2"/>
      <c r="BI4900" s="2"/>
      <c r="BJ4900" s="2">
        <v>241</v>
      </c>
      <c r="BK4900" s="2" t="s">
        <v>82</v>
      </c>
      <c r="BL4900" s="2"/>
      <c r="BM4900" s="2">
        <v>241</v>
      </c>
      <c r="BN4900" s="2" t="s">
        <v>82</v>
      </c>
      <c r="BO4900" s="2"/>
      <c r="BP4900" s="2">
        <v>241</v>
      </c>
      <c r="BQ4900" s="2" t="s">
        <v>82</v>
      </c>
      <c r="BR4900" s="2"/>
      <c r="BS4900" s="3">
        <v>40513</v>
      </c>
      <c r="BT4900" s="4">
        <v>0.84531250000000002</v>
      </c>
    </row>
    <row r="4901" spans="1:72" x14ac:dyDescent="0.25">
      <c r="A4901" s="2">
        <v>7608</v>
      </c>
      <c r="B4901" s="2">
        <v>2010</v>
      </c>
      <c r="C4901" s="2" t="s">
        <v>196</v>
      </c>
      <c r="D4901" s="2" t="s">
        <v>122</v>
      </c>
      <c r="E4901" s="2"/>
      <c r="F4901" s="2">
        <v>1</v>
      </c>
      <c r="G4901" s="2" t="s">
        <v>82</v>
      </c>
      <c r="H4901" s="2">
        <v>1</v>
      </c>
      <c r="I4901" s="2" t="s">
        <v>82</v>
      </c>
      <c r="J4901" s="2">
        <v>1</v>
      </c>
      <c r="K4901" s="2" t="s">
        <v>107</v>
      </c>
      <c r="L4901" s="2" t="s">
        <v>107</v>
      </c>
      <c r="M4901" s="3">
        <v>40513</v>
      </c>
      <c r="N4901" s="2"/>
      <c r="O4901" s="2" t="s">
        <v>107</v>
      </c>
      <c r="P4901" s="2" t="s">
        <v>107</v>
      </c>
      <c r="Q4901" s="2" t="str">
        <f>""</f>
        <v/>
      </c>
      <c r="R4901" s="2"/>
      <c r="S4901" s="2"/>
      <c r="T4901" s="2">
        <v>2</v>
      </c>
      <c r="U4901" s="2" t="s">
        <v>123</v>
      </c>
      <c r="V4901" s="2">
        <v>1</v>
      </c>
      <c r="W4901" s="2" t="s">
        <v>80</v>
      </c>
      <c r="X4901" s="2">
        <v>5</v>
      </c>
      <c r="Y4901" s="2" t="s">
        <v>82</v>
      </c>
      <c r="Z4901" s="2">
        <v>1</v>
      </c>
      <c r="AA4901" s="2" t="s">
        <v>82</v>
      </c>
      <c r="AB4901" s="2">
        <v>9</v>
      </c>
      <c r="AC4901" s="2" t="s">
        <v>124</v>
      </c>
      <c r="AD4901" s="3">
        <v>40513</v>
      </c>
      <c r="AE4901" s="4">
        <v>0.87847222222222221</v>
      </c>
      <c r="AF4901" s="2"/>
      <c r="AG4901" s="2"/>
      <c r="AH4901" s="2">
        <v>5</v>
      </c>
      <c r="AI4901" s="2" t="s">
        <v>274</v>
      </c>
      <c r="AJ4901" s="2">
        <v>40</v>
      </c>
      <c r="AK4901" s="2" t="s">
        <v>935</v>
      </c>
      <c r="AL4901" s="2">
        <v>19</v>
      </c>
      <c r="AM4901" s="2" t="s">
        <v>107</v>
      </c>
      <c r="AN4901" s="2"/>
      <c r="AO4901" s="2" t="s">
        <v>200</v>
      </c>
      <c r="AP4901" s="2">
        <v>11</v>
      </c>
      <c r="AQ4901" s="2" t="s">
        <v>82</v>
      </c>
      <c r="AR4901" s="2"/>
      <c r="AS4901" s="2"/>
      <c r="AT4901" s="2" t="s">
        <v>15108</v>
      </c>
      <c r="AU4901" s="2"/>
      <c r="AV4901" s="2"/>
      <c r="AW4901" s="2"/>
      <c r="AX4901" s="2"/>
      <c r="AY4901" s="2">
        <v>41</v>
      </c>
      <c r="AZ4901" s="2" t="s">
        <v>82</v>
      </c>
      <c r="BA4901" s="2">
        <v>41</v>
      </c>
      <c r="BB4901" s="2" t="s">
        <v>82</v>
      </c>
      <c r="BC4901" s="2">
        <v>41</v>
      </c>
      <c r="BD4901" s="2" t="s">
        <v>82</v>
      </c>
      <c r="BE4901" s="2">
        <v>41</v>
      </c>
      <c r="BF4901" s="2" t="s">
        <v>82</v>
      </c>
      <c r="BG4901" s="2"/>
      <c r="BH4901" s="2"/>
      <c r="BI4901" s="4">
        <v>0.79513888888888884</v>
      </c>
      <c r="BJ4901" s="2">
        <v>241</v>
      </c>
      <c r="BK4901" s="2" t="s">
        <v>82</v>
      </c>
      <c r="BL4901" s="2" t="s">
        <v>5623</v>
      </c>
      <c r="BM4901" s="2">
        <v>241</v>
      </c>
      <c r="BN4901" s="2" t="s">
        <v>82</v>
      </c>
      <c r="BO4901" s="2"/>
      <c r="BP4901" s="2">
        <v>241</v>
      </c>
      <c r="BQ4901" s="2" t="s">
        <v>82</v>
      </c>
      <c r="BR4901" s="2" t="s">
        <v>185</v>
      </c>
      <c r="BS4901" s="3">
        <v>40513</v>
      </c>
      <c r="BT4901" s="4">
        <v>0.88618055555555564</v>
      </c>
    </row>
    <row r="4902" spans="1:72" x14ac:dyDescent="0.25">
      <c r="A4902" s="2">
        <v>7609</v>
      </c>
      <c r="B4902" s="2">
        <v>2010</v>
      </c>
      <c r="C4902" s="2" t="s">
        <v>764</v>
      </c>
      <c r="D4902" s="2" t="s">
        <v>73</v>
      </c>
      <c r="E4902" s="2"/>
      <c r="F4902" s="2">
        <v>730</v>
      </c>
      <c r="G4902" s="2" t="s">
        <v>15109</v>
      </c>
      <c r="H4902" s="2">
        <v>2</v>
      </c>
      <c r="I4902" s="2" t="s">
        <v>267</v>
      </c>
      <c r="J4902" s="2">
        <v>726</v>
      </c>
      <c r="K4902" s="2" t="s">
        <v>12533</v>
      </c>
      <c r="L4902" s="2" t="s">
        <v>10931</v>
      </c>
      <c r="M4902" s="3">
        <v>40513</v>
      </c>
      <c r="N4902" s="2" t="s">
        <v>15110</v>
      </c>
      <c r="O4902" s="2"/>
      <c r="P4902" s="2"/>
      <c r="Q4902" s="2" t="str">
        <f>"003-P/2010"</f>
        <v>003-P/2010</v>
      </c>
      <c r="R4902" s="2" t="s">
        <v>15111</v>
      </c>
      <c r="S4902" s="2"/>
      <c r="T4902" s="2">
        <v>1</v>
      </c>
      <c r="U4902" s="2" t="s">
        <v>79</v>
      </c>
      <c r="V4902" s="2">
        <v>1</v>
      </c>
      <c r="W4902" s="2" t="s">
        <v>80</v>
      </c>
      <c r="X4902" s="2">
        <v>1</v>
      </c>
      <c r="Y4902" s="2" t="s">
        <v>81</v>
      </c>
      <c r="Z4902" s="2">
        <v>1</v>
      </c>
      <c r="AA4902" s="2" t="s">
        <v>82</v>
      </c>
      <c r="AB4902" s="2">
        <v>9</v>
      </c>
      <c r="AC4902" s="2" t="s">
        <v>124</v>
      </c>
      <c r="AD4902" s="3">
        <v>40513</v>
      </c>
      <c r="AE4902" s="4">
        <v>0.58333333333333337</v>
      </c>
      <c r="AF4902" s="3">
        <v>40513</v>
      </c>
      <c r="AG4902" s="4">
        <v>0.63541666666666663</v>
      </c>
      <c r="AH4902" s="2">
        <v>2</v>
      </c>
      <c r="AI4902" s="2" t="s">
        <v>84</v>
      </c>
      <c r="AJ4902" s="2">
        <v>112</v>
      </c>
      <c r="AK4902" s="2" t="s">
        <v>14078</v>
      </c>
      <c r="AL4902" s="2">
        <v>2</v>
      </c>
      <c r="AM4902" s="2" t="s">
        <v>163</v>
      </c>
      <c r="AN4902" s="2" t="s">
        <v>15112</v>
      </c>
      <c r="AO4902" s="2" t="s">
        <v>14212</v>
      </c>
      <c r="AP4902" s="2">
        <v>11</v>
      </c>
      <c r="AQ4902" s="2" t="s">
        <v>82</v>
      </c>
      <c r="AR4902" s="2"/>
      <c r="AS4902" s="2"/>
      <c r="AT4902" s="2" t="s">
        <v>15113</v>
      </c>
      <c r="AU4902" s="2"/>
      <c r="AV4902" s="2"/>
      <c r="AW4902" s="2"/>
      <c r="AX4902" s="2"/>
      <c r="AY4902" s="2">
        <v>41</v>
      </c>
      <c r="AZ4902" s="2" t="s">
        <v>82</v>
      </c>
      <c r="BA4902" s="2">
        <v>41</v>
      </c>
      <c r="BB4902" s="2" t="s">
        <v>82</v>
      </c>
      <c r="BC4902" s="2">
        <v>41</v>
      </c>
      <c r="BD4902" s="2" t="s">
        <v>82</v>
      </c>
      <c r="BE4902" s="2">
        <v>48</v>
      </c>
      <c r="BF4902" s="2" t="s">
        <v>1123</v>
      </c>
      <c r="BG4902" s="2">
        <v>572</v>
      </c>
      <c r="BH4902" s="2"/>
      <c r="BI4902" s="2"/>
      <c r="BJ4902" s="2">
        <v>13</v>
      </c>
      <c r="BK4902" s="2" t="s">
        <v>91</v>
      </c>
      <c r="BL4902" s="2" t="s">
        <v>10614</v>
      </c>
      <c r="BM4902" s="2">
        <v>33</v>
      </c>
      <c r="BN4902" s="2" t="s">
        <v>361</v>
      </c>
      <c r="BO4902" s="2"/>
      <c r="BP4902" s="2">
        <v>33</v>
      </c>
      <c r="BQ4902" s="2" t="s">
        <v>361</v>
      </c>
      <c r="BR4902" s="2" t="s">
        <v>15114</v>
      </c>
      <c r="BS4902" s="3">
        <v>40513</v>
      </c>
      <c r="BT4902" s="4">
        <v>0.92344907407407406</v>
      </c>
    </row>
    <row r="4903" spans="1:72" x14ac:dyDescent="0.25">
      <c r="A4903" s="2">
        <v>7610</v>
      </c>
      <c r="B4903" s="2">
        <v>2010</v>
      </c>
      <c r="C4903" s="2" t="s">
        <v>196</v>
      </c>
      <c r="D4903" s="2" t="s">
        <v>122</v>
      </c>
      <c r="E4903" s="2"/>
      <c r="F4903" s="2">
        <v>1</v>
      </c>
      <c r="G4903" s="2" t="s">
        <v>82</v>
      </c>
      <c r="H4903" s="2">
        <v>1</v>
      </c>
      <c r="I4903" s="2" t="s">
        <v>82</v>
      </c>
      <c r="J4903" s="2">
        <v>1</v>
      </c>
      <c r="K4903" s="2" t="s">
        <v>107</v>
      </c>
      <c r="L4903" s="2" t="s">
        <v>107</v>
      </c>
      <c r="M4903" s="3">
        <v>40513</v>
      </c>
      <c r="N4903" s="2"/>
      <c r="O4903" s="2"/>
      <c r="P4903" s="2"/>
      <c r="Q4903" s="2" t="str">
        <f>""</f>
        <v/>
      </c>
      <c r="R4903" s="2"/>
      <c r="S4903" s="2"/>
      <c r="T4903" s="2">
        <v>2</v>
      </c>
      <c r="U4903" s="2" t="s">
        <v>123</v>
      </c>
      <c r="V4903" s="2">
        <v>1</v>
      </c>
      <c r="W4903" s="2" t="s">
        <v>80</v>
      </c>
      <c r="X4903" s="2">
        <v>5</v>
      </c>
      <c r="Y4903" s="2" t="s">
        <v>82</v>
      </c>
      <c r="Z4903" s="2">
        <v>1</v>
      </c>
      <c r="AA4903" s="2" t="s">
        <v>82</v>
      </c>
      <c r="AB4903" s="2">
        <v>9</v>
      </c>
      <c r="AC4903" s="2" t="s">
        <v>124</v>
      </c>
      <c r="AD4903" s="3">
        <v>40513</v>
      </c>
      <c r="AE4903" s="4">
        <v>0.82638888888888884</v>
      </c>
      <c r="AF4903" s="2"/>
      <c r="AG4903" s="2"/>
      <c r="AH4903" s="2">
        <v>2</v>
      </c>
      <c r="AI4903" s="2" t="s">
        <v>84</v>
      </c>
      <c r="AJ4903" s="2">
        <v>12</v>
      </c>
      <c r="AK4903" s="2" t="s">
        <v>85</v>
      </c>
      <c r="AL4903" s="2">
        <v>20</v>
      </c>
      <c r="AM4903" s="2" t="s">
        <v>992</v>
      </c>
      <c r="AN4903" s="2"/>
      <c r="AO4903" s="2" t="s">
        <v>15115</v>
      </c>
      <c r="AP4903" s="2">
        <v>11</v>
      </c>
      <c r="AQ4903" s="2" t="s">
        <v>82</v>
      </c>
      <c r="AR4903" s="2"/>
      <c r="AS4903" s="2"/>
      <c r="AT4903" s="2" t="s">
        <v>15116</v>
      </c>
      <c r="AU4903" s="2"/>
      <c r="AV4903" s="2"/>
      <c r="AW4903" s="2"/>
      <c r="AX4903" s="2"/>
      <c r="AY4903" s="2">
        <v>41</v>
      </c>
      <c r="AZ4903" s="2" t="s">
        <v>82</v>
      </c>
      <c r="BA4903" s="2">
        <v>41</v>
      </c>
      <c r="BB4903" s="2" t="s">
        <v>82</v>
      </c>
      <c r="BC4903" s="2">
        <v>41</v>
      </c>
      <c r="BD4903" s="2" t="s">
        <v>82</v>
      </c>
      <c r="BE4903" s="2">
        <v>41</v>
      </c>
      <c r="BF4903" s="2" t="s">
        <v>82</v>
      </c>
      <c r="BG4903" s="2"/>
      <c r="BH4903" s="2"/>
      <c r="BI4903" s="2"/>
      <c r="BJ4903" s="2">
        <v>13</v>
      </c>
      <c r="BK4903" s="2" t="s">
        <v>91</v>
      </c>
      <c r="BL4903" s="2" t="s">
        <v>5623</v>
      </c>
      <c r="BM4903" s="2">
        <v>241</v>
      </c>
      <c r="BN4903" s="2" t="s">
        <v>82</v>
      </c>
      <c r="BO4903" s="2"/>
      <c r="BP4903" s="2">
        <v>13</v>
      </c>
      <c r="BQ4903" s="2" t="s">
        <v>91</v>
      </c>
      <c r="BR4903" s="2" t="s">
        <v>185</v>
      </c>
      <c r="BS4903" s="3">
        <v>40513</v>
      </c>
      <c r="BT4903" s="4">
        <v>0.93862268518518521</v>
      </c>
    </row>
    <row r="4904" spans="1:72" x14ac:dyDescent="0.25">
      <c r="A4904" s="2">
        <v>7611</v>
      </c>
      <c r="B4904" s="2">
        <v>2010</v>
      </c>
      <c r="C4904" s="2" t="s">
        <v>171</v>
      </c>
      <c r="D4904" s="2" t="s">
        <v>73</v>
      </c>
      <c r="E4904" s="2"/>
      <c r="F4904" s="2">
        <v>400</v>
      </c>
      <c r="G4904" s="2" t="s">
        <v>3601</v>
      </c>
      <c r="H4904" s="2">
        <v>16</v>
      </c>
      <c r="I4904" s="2" t="s">
        <v>3027</v>
      </c>
      <c r="J4904" s="2">
        <v>316</v>
      </c>
      <c r="K4904" s="2" t="s">
        <v>574</v>
      </c>
      <c r="L4904" s="2" t="s">
        <v>575</v>
      </c>
      <c r="M4904" s="3">
        <v>40513</v>
      </c>
      <c r="N4904" s="2" t="s">
        <v>4867</v>
      </c>
      <c r="O4904" s="2" t="s">
        <v>480</v>
      </c>
      <c r="P4904" s="2"/>
      <c r="Q4904" s="2" t="str">
        <f>"645-E/10"</f>
        <v>645-E/10</v>
      </c>
      <c r="R4904" s="2" t="s">
        <v>480</v>
      </c>
      <c r="S4904" s="2"/>
      <c r="T4904" s="2">
        <v>1</v>
      </c>
      <c r="U4904" s="2" t="s">
        <v>79</v>
      </c>
      <c r="V4904" s="2">
        <v>1</v>
      </c>
      <c r="W4904" s="2" t="s">
        <v>80</v>
      </c>
      <c r="X4904" s="2">
        <v>1</v>
      </c>
      <c r="Y4904" s="2" t="s">
        <v>81</v>
      </c>
      <c r="Z4904" s="2">
        <v>1</v>
      </c>
      <c r="AA4904" s="2" t="s">
        <v>82</v>
      </c>
      <c r="AB4904" s="2">
        <v>1</v>
      </c>
      <c r="AC4904" s="2" t="s">
        <v>178</v>
      </c>
      <c r="AD4904" s="3">
        <v>40513</v>
      </c>
      <c r="AE4904" s="4">
        <v>0.49305555555555558</v>
      </c>
      <c r="AF4904" s="3">
        <v>40513</v>
      </c>
      <c r="AG4904" s="4">
        <v>0.5625</v>
      </c>
      <c r="AH4904" s="2">
        <v>2</v>
      </c>
      <c r="AI4904" s="2" t="s">
        <v>84</v>
      </c>
      <c r="AJ4904" s="2">
        <v>9</v>
      </c>
      <c r="AK4904" s="2" t="s">
        <v>103</v>
      </c>
      <c r="AL4904" s="2">
        <v>11</v>
      </c>
      <c r="AM4904" s="2" t="s">
        <v>137</v>
      </c>
      <c r="AN4904" s="2" t="s">
        <v>1340</v>
      </c>
      <c r="AO4904" s="2" t="s">
        <v>987</v>
      </c>
      <c r="AP4904" s="2">
        <v>11</v>
      </c>
      <c r="AQ4904" s="2" t="s">
        <v>82</v>
      </c>
      <c r="AR4904" s="2"/>
      <c r="AS4904" s="2"/>
      <c r="AT4904" s="2" t="s">
        <v>15117</v>
      </c>
      <c r="AU4904" s="2"/>
      <c r="AV4904" s="2"/>
      <c r="AW4904" s="2"/>
      <c r="AX4904" s="2"/>
      <c r="AY4904" s="2">
        <v>41</v>
      </c>
      <c r="AZ4904" s="2" t="s">
        <v>82</v>
      </c>
      <c r="BA4904" s="2">
        <v>41</v>
      </c>
      <c r="BB4904" s="2" t="s">
        <v>82</v>
      </c>
      <c r="BC4904" s="2">
        <v>41</v>
      </c>
      <c r="BD4904" s="2" t="s">
        <v>82</v>
      </c>
      <c r="BE4904" s="2">
        <v>23</v>
      </c>
      <c r="BF4904" s="2" t="s">
        <v>183</v>
      </c>
      <c r="BG4904" s="2" t="s">
        <v>15118</v>
      </c>
      <c r="BH4904" s="4">
        <v>0.97916666666666663</v>
      </c>
      <c r="BI4904" s="4">
        <v>0.58333333333333337</v>
      </c>
      <c r="BJ4904" s="2">
        <v>13</v>
      </c>
      <c r="BK4904" s="2" t="s">
        <v>91</v>
      </c>
      <c r="BL4904" s="2" t="s">
        <v>360</v>
      </c>
      <c r="BM4904" s="2">
        <v>73</v>
      </c>
      <c r="BN4904" s="2" t="s">
        <v>186</v>
      </c>
      <c r="BO4904" s="2"/>
      <c r="BP4904" s="2">
        <v>73</v>
      </c>
      <c r="BQ4904" s="2" t="s">
        <v>186</v>
      </c>
      <c r="BR4904" s="2" t="s">
        <v>187</v>
      </c>
      <c r="BS4904" s="3">
        <v>40513</v>
      </c>
      <c r="BT4904" s="4">
        <v>0.95231481481481473</v>
      </c>
    </row>
    <row r="4905" spans="1:72" x14ac:dyDescent="0.25">
      <c r="A4905" s="2">
        <v>7612</v>
      </c>
      <c r="B4905" s="2">
        <v>2010</v>
      </c>
      <c r="C4905" s="2" t="s">
        <v>72</v>
      </c>
      <c r="D4905" s="2" t="s">
        <v>73</v>
      </c>
      <c r="E4905" s="2"/>
      <c r="F4905" s="2">
        <v>638</v>
      </c>
      <c r="G4905" s="2" t="s">
        <v>8288</v>
      </c>
      <c r="H4905" s="2">
        <v>7</v>
      </c>
      <c r="I4905" s="2" t="s">
        <v>476</v>
      </c>
      <c r="J4905" s="2">
        <v>720</v>
      </c>
      <c r="K4905" s="2" t="s">
        <v>15008</v>
      </c>
      <c r="L4905" s="2" t="s">
        <v>1043</v>
      </c>
      <c r="M4905" s="3">
        <v>40513</v>
      </c>
      <c r="N4905" s="2" t="s">
        <v>11204</v>
      </c>
      <c r="O4905" s="2"/>
      <c r="P4905" s="2"/>
      <c r="Q4905" s="2" t="str">
        <f>"72/10"</f>
        <v>72/10</v>
      </c>
      <c r="R4905" s="2"/>
      <c r="S4905" s="2" t="s">
        <v>601</v>
      </c>
      <c r="T4905" s="2">
        <v>1</v>
      </c>
      <c r="U4905" s="2" t="s">
        <v>79</v>
      </c>
      <c r="V4905" s="2">
        <v>1</v>
      </c>
      <c r="W4905" s="2" t="s">
        <v>80</v>
      </c>
      <c r="X4905" s="2">
        <v>12</v>
      </c>
      <c r="Y4905" s="2" t="s">
        <v>148</v>
      </c>
      <c r="Z4905" s="2">
        <v>1</v>
      </c>
      <c r="AA4905" s="2" t="s">
        <v>82</v>
      </c>
      <c r="AB4905" s="2">
        <v>6</v>
      </c>
      <c r="AC4905" s="2" t="s">
        <v>83</v>
      </c>
      <c r="AD4905" s="3">
        <v>40513</v>
      </c>
      <c r="AE4905" s="2"/>
      <c r="AF4905" s="3">
        <v>40513</v>
      </c>
      <c r="AG4905" s="4">
        <v>0.88194444444444453</v>
      </c>
      <c r="AH4905" s="2">
        <v>3</v>
      </c>
      <c r="AI4905" s="2" t="s">
        <v>214</v>
      </c>
      <c r="AJ4905" s="2">
        <v>24</v>
      </c>
      <c r="AK4905" s="2" t="s">
        <v>215</v>
      </c>
      <c r="AL4905" s="2">
        <v>22</v>
      </c>
      <c r="AM4905" s="2" t="s">
        <v>1853</v>
      </c>
      <c r="AN4905" s="2"/>
      <c r="AO4905" s="2"/>
      <c r="AP4905" s="2">
        <v>11</v>
      </c>
      <c r="AQ4905" s="2" t="s">
        <v>82</v>
      </c>
      <c r="AR4905" s="2"/>
      <c r="AS4905" s="2"/>
      <c r="AT4905" s="2" t="s">
        <v>15119</v>
      </c>
      <c r="AU4905" s="2"/>
      <c r="AV4905" s="2"/>
      <c r="AW4905" s="2"/>
      <c r="AX4905" s="2"/>
      <c r="AY4905" s="2">
        <v>41</v>
      </c>
      <c r="AZ4905" s="2" t="s">
        <v>82</v>
      </c>
      <c r="BA4905" s="2">
        <v>41</v>
      </c>
      <c r="BB4905" s="2" t="s">
        <v>82</v>
      </c>
      <c r="BC4905" s="2">
        <v>41</v>
      </c>
      <c r="BD4905" s="2" t="s">
        <v>82</v>
      </c>
      <c r="BE4905" s="2">
        <v>4</v>
      </c>
      <c r="BF4905" s="2" t="s">
        <v>90</v>
      </c>
      <c r="BG4905" s="2" t="s">
        <v>15120</v>
      </c>
      <c r="BH4905" s="4">
        <v>0.85625000000000007</v>
      </c>
      <c r="BI4905" s="4">
        <v>0.81041666666666667</v>
      </c>
      <c r="BJ4905" s="2">
        <v>13</v>
      </c>
      <c r="BK4905" s="2" t="s">
        <v>91</v>
      </c>
      <c r="BL4905" s="2" t="s">
        <v>360</v>
      </c>
      <c r="BM4905" s="2">
        <v>13</v>
      </c>
      <c r="BN4905" s="2" t="s">
        <v>91</v>
      </c>
      <c r="BO4905" s="2"/>
      <c r="BP4905" s="2">
        <v>13</v>
      </c>
      <c r="BQ4905" s="2" t="s">
        <v>91</v>
      </c>
      <c r="BR4905" s="2" t="s">
        <v>169</v>
      </c>
      <c r="BS4905" s="3">
        <v>40513</v>
      </c>
      <c r="BT4905" s="4">
        <v>0.9536458333333333</v>
      </c>
    </row>
    <row r="4906" spans="1:72" x14ac:dyDescent="0.25">
      <c r="A4906" s="2">
        <v>7613</v>
      </c>
      <c r="B4906" s="2">
        <v>2010</v>
      </c>
      <c r="C4906" s="2" t="s">
        <v>93</v>
      </c>
      <c r="D4906" s="2" t="s">
        <v>73</v>
      </c>
      <c r="E4906" s="2"/>
      <c r="F4906" s="2">
        <v>389</v>
      </c>
      <c r="G4906" s="2" t="s">
        <v>1819</v>
      </c>
      <c r="H4906" s="2">
        <v>4</v>
      </c>
      <c r="I4906" s="2" t="s">
        <v>173</v>
      </c>
      <c r="J4906" s="2">
        <v>399</v>
      </c>
      <c r="K4906" s="2" t="s">
        <v>1820</v>
      </c>
      <c r="L4906" s="2" t="s">
        <v>1821</v>
      </c>
      <c r="M4906" s="3">
        <v>40513</v>
      </c>
      <c r="N4906" s="2" t="s">
        <v>2621</v>
      </c>
      <c r="O4906" s="2" t="s">
        <v>480</v>
      </c>
      <c r="P4906" s="2"/>
      <c r="Q4906" s="2" t="str">
        <f>"646-E/10"</f>
        <v>646-E/10</v>
      </c>
      <c r="R4906" s="2" t="s">
        <v>480</v>
      </c>
      <c r="S4906" s="2"/>
      <c r="T4906" s="2">
        <v>1</v>
      </c>
      <c r="U4906" s="2" t="s">
        <v>79</v>
      </c>
      <c r="V4906" s="2">
        <v>1</v>
      </c>
      <c r="W4906" s="2" t="s">
        <v>80</v>
      </c>
      <c r="X4906" s="2">
        <v>10</v>
      </c>
      <c r="Y4906" s="2" t="s">
        <v>226</v>
      </c>
      <c r="Z4906" s="2">
        <v>6</v>
      </c>
      <c r="AA4906" s="2" t="s">
        <v>101</v>
      </c>
      <c r="AB4906" s="2">
        <v>2</v>
      </c>
      <c r="AC4906" s="2" t="s">
        <v>102</v>
      </c>
      <c r="AD4906" s="3">
        <v>40513</v>
      </c>
      <c r="AE4906" s="4">
        <v>0.57291666666666663</v>
      </c>
      <c r="AF4906" s="3">
        <v>40513</v>
      </c>
      <c r="AG4906" s="4">
        <v>0.66666666666666663</v>
      </c>
      <c r="AH4906" s="2">
        <v>2</v>
      </c>
      <c r="AI4906" s="2" t="s">
        <v>84</v>
      </c>
      <c r="AJ4906" s="2">
        <v>9</v>
      </c>
      <c r="AK4906" s="2" t="s">
        <v>103</v>
      </c>
      <c r="AL4906" s="2">
        <v>25</v>
      </c>
      <c r="AM4906" s="2" t="s">
        <v>3073</v>
      </c>
      <c r="AN4906" s="2" t="s">
        <v>15121</v>
      </c>
      <c r="AO4906" s="2"/>
      <c r="AP4906" s="2">
        <v>11</v>
      </c>
      <c r="AQ4906" s="2" t="s">
        <v>82</v>
      </c>
      <c r="AR4906" s="2"/>
      <c r="AS4906" s="2"/>
      <c r="AT4906" s="2" t="s">
        <v>15122</v>
      </c>
      <c r="AU4906" s="2"/>
      <c r="AV4906" s="2"/>
      <c r="AW4906" s="2"/>
      <c r="AX4906" s="2"/>
      <c r="AY4906" s="2">
        <v>41</v>
      </c>
      <c r="AZ4906" s="2" t="s">
        <v>82</v>
      </c>
      <c r="BA4906" s="2">
        <v>41</v>
      </c>
      <c r="BB4906" s="2" t="s">
        <v>82</v>
      </c>
      <c r="BC4906" s="2">
        <v>41</v>
      </c>
      <c r="BD4906" s="2" t="s">
        <v>82</v>
      </c>
      <c r="BE4906" s="2">
        <v>4</v>
      </c>
      <c r="BF4906" s="2" t="s">
        <v>90</v>
      </c>
      <c r="BG4906" s="2" t="s">
        <v>11345</v>
      </c>
      <c r="BH4906" s="4">
        <v>0.5625</v>
      </c>
      <c r="BI4906" s="4">
        <v>0.4375</v>
      </c>
      <c r="BJ4906" s="2">
        <v>13</v>
      </c>
      <c r="BK4906" s="2" t="s">
        <v>91</v>
      </c>
      <c r="BL4906" s="2" t="s">
        <v>92</v>
      </c>
      <c r="BM4906" s="2">
        <v>13</v>
      </c>
      <c r="BN4906" s="2" t="s">
        <v>91</v>
      </c>
      <c r="BO4906" s="2"/>
      <c r="BP4906" s="2">
        <v>13</v>
      </c>
      <c r="BQ4906" s="2" t="s">
        <v>91</v>
      </c>
      <c r="BR4906" s="2" t="s">
        <v>360</v>
      </c>
      <c r="BS4906" s="3">
        <v>40513</v>
      </c>
      <c r="BT4906" s="4">
        <v>0.95429398148148137</v>
      </c>
    </row>
    <row r="4907" spans="1:72" x14ac:dyDescent="0.25">
      <c r="A4907" s="2">
        <v>7614</v>
      </c>
      <c r="B4907" s="2">
        <v>2010</v>
      </c>
      <c r="C4907" s="2" t="s">
        <v>819</v>
      </c>
      <c r="D4907" s="2" t="s">
        <v>122</v>
      </c>
      <c r="E4907" s="2"/>
      <c r="F4907" s="2">
        <v>451</v>
      </c>
      <c r="G4907" s="2" t="s">
        <v>879</v>
      </c>
      <c r="H4907" s="2">
        <v>31</v>
      </c>
      <c r="I4907" s="2" t="s">
        <v>880</v>
      </c>
      <c r="J4907" s="2">
        <v>326</v>
      </c>
      <c r="K4907" s="2" t="s">
        <v>881</v>
      </c>
      <c r="L4907" s="2" t="s">
        <v>882</v>
      </c>
      <c r="M4907" s="3">
        <v>40513</v>
      </c>
      <c r="N4907" s="2" t="s">
        <v>1072</v>
      </c>
      <c r="O4907" s="2"/>
      <c r="P4907" s="2"/>
      <c r="Q4907" s="2" t="str">
        <f>"115/10"</f>
        <v>115/10</v>
      </c>
      <c r="R4907" s="2" t="s">
        <v>822</v>
      </c>
      <c r="S4907" s="2"/>
      <c r="T4907" s="2">
        <v>1</v>
      </c>
      <c r="U4907" s="2" t="s">
        <v>79</v>
      </c>
      <c r="V4907" s="2">
        <v>1</v>
      </c>
      <c r="W4907" s="2" t="s">
        <v>80</v>
      </c>
      <c r="X4907" s="2">
        <v>1</v>
      </c>
      <c r="Y4907" s="2" t="s">
        <v>81</v>
      </c>
      <c r="Z4907" s="2">
        <v>10</v>
      </c>
      <c r="AA4907" s="2" t="s">
        <v>236</v>
      </c>
      <c r="AB4907" s="2">
        <v>9</v>
      </c>
      <c r="AC4907" s="2" t="s">
        <v>124</v>
      </c>
      <c r="AD4907" s="3">
        <v>40513</v>
      </c>
      <c r="AE4907" s="4">
        <v>0.92708333333333337</v>
      </c>
      <c r="AF4907" s="3">
        <v>40513</v>
      </c>
      <c r="AG4907" s="4">
        <v>0.92708333333333337</v>
      </c>
      <c r="AH4907" s="2">
        <v>4</v>
      </c>
      <c r="AI4907" s="2" t="s">
        <v>125</v>
      </c>
      <c r="AJ4907" s="2">
        <v>29</v>
      </c>
      <c r="AK4907" s="2" t="s">
        <v>227</v>
      </c>
      <c r="AL4907" s="2">
        <v>10</v>
      </c>
      <c r="AM4907" s="2" t="s">
        <v>200</v>
      </c>
      <c r="AN4907" s="2" t="s">
        <v>1015</v>
      </c>
      <c r="AO4907" s="2" t="s">
        <v>15123</v>
      </c>
      <c r="AP4907" s="2">
        <v>11</v>
      </c>
      <c r="AQ4907" s="2" t="s">
        <v>82</v>
      </c>
      <c r="AR4907" s="2" t="s">
        <v>824</v>
      </c>
      <c r="AS4907" s="2" t="s">
        <v>825</v>
      </c>
      <c r="AT4907" s="2" t="s">
        <v>15124</v>
      </c>
      <c r="AU4907" s="2"/>
      <c r="AV4907" s="2"/>
      <c r="AW4907" s="2"/>
      <c r="AX4907" s="2"/>
      <c r="AY4907" s="2">
        <v>41</v>
      </c>
      <c r="AZ4907" s="2" t="s">
        <v>82</v>
      </c>
      <c r="BA4907" s="2">
        <v>41</v>
      </c>
      <c r="BB4907" s="2" t="s">
        <v>82</v>
      </c>
      <c r="BC4907" s="2">
        <v>51</v>
      </c>
      <c r="BD4907" s="2" t="s">
        <v>827</v>
      </c>
      <c r="BE4907" s="2">
        <v>47</v>
      </c>
      <c r="BF4907" s="2" t="s">
        <v>167</v>
      </c>
      <c r="BG4907" s="2">
        <v>2459</v>
      </c>
      <c r="BH4907" s="4">
        <v>0.93055555555555547</v>
      </c>
      <c r="BI4907" s="4">
        <v>0.97222222222222221</v>
      </c>
      <c r="BJ4907" s="2">
        <v>13</v>
      </c>
      <c r="BK4907" s="2" t="s">
        <v>91</v>
      </c>
      <c r="BL4907" s="2" t="s">
        <v>828</v>
      </c>
      <c r="BM4907" s="2">
        <v>13</v>
      </c>
      <c r="BN4907" s="2" t="s">
        <v>91</v>
      </c>
      <c r="BO4907" s="2"/>
      <c r="BP4907" s="2">
        <v>13</v>
      </c>
      <c r="BQ4907" s="2" t="s">
        <v>91</v>
      </c>
      <c r="BR4907" s="2" t="s">
        <v>185</v>
      </c>
      <c r="BS4907" s="3">
        <v>40513</v>
      </c>
      <c r="BT4907" s="4">
        <v>0.98825231481481479</v>
      </c>
    </row>
    <row r="4908" spans="1:72" x14ac:dyDescent="0.25">
      <c r="A4908" s="2">
        <v>7617</v>
      </c>
      <c r="B4908" s="2">
        <v>2010</v>
      </c>
      <c r="C4908" s="2" t="s">
        <v>72</v>
      </c>
      <c r="D4908" s="2" t="s">
        <v>73</v>
      </c>
      <c r="E4908" s="2"/>
      <c r="F4908" s="2">
        <v>389</v>
      </c>
      <c r="G4908" s="2" t="s">
        <v>1819</v>
      </c>
      <c r="H4908" s="2">
        <v>4</v>
      </c>
      <c r="I4908" s="2" t="s">
        <v>173</v>
      </c>
      <c r="J4908" s="2">
        <v>399</v>
      </c>
      <c r="K4908" s="2" t="s">
        <v>1820</v>
      </c>
      <c r="L4908" s="2" t="s">
        <v>1821</v>
      </c>
      <c r="M4908" s="3">
        <v>40514</v>
      </c>
      <c r="N4908" s="2" t="s">
        <v>2621</v>
      </c>
      <c r="O4908" s="2"/>
      <c r="P4908" s="2"/>
      <c r="Q4908" s="2" t="str">
        <f>"647-E/10"</f>
        <v>647-E/10</v>
      </c>
      <c r="R4908" s="2" t="s">
        <v>601</v>
      </c>
      <c r="S4908" s="2" t="s">
        <v>601</v>
      </c>
      <c r="T4908" s="2">
        <v>1</v>
      </c>
      <c r="U4908" s="2" t="s">
        <v>79</v>
      </c>
      <c r="V4908" s="2">
        <v>1</v>
      </c>
      <c r="W4908" s="2" t="s">
        <v>80</v>
      </c>
      <c r="X4908" s="2">
        <v>12</v>
      </c>
      <c r="Y4908" s="2" t="s">
        <v>148</v>
      </c>
      <c r="Z4908" s="2">
        <v>1</v>
      </c>
      <c r="AA4908" s="2" t="s">
        <v>82</v>
      </c>
      <c r="AB4908" s="2">
        <v>6</v>
      </c>
      <c r="AC4908" s="2" t="s">
        <v>83</v>
      </c>
      <c r="AD4908" s="3">
        <v>40512</v>
      </c>
      <c r="AE4908" s="2"/>
      <c r="AF4908" s="3">
        <v>40513</v>
      </c>
      <c r="AG4908" s="4">
        <v>0.67708333333333337</v>
      </c>
      <c r="AH4908" s="2">
        <v>2</v>
      </c>
      <c r="AI4908" s="2" t="s">
        <v>84</v>
      </c>
      <c r="AJ4908" s="2">
        <v>9</v>
      </c>
      <c r="AK4908" s="2" t="s">
        <v>103</v>
      </c>
      <c r="AL4908" s="2">
        <v>22</v>
      </c>
      <c r="AM4908" s="2" t="s">
        <v>1853</v>
      </c>
      <c r="AN4908" s="2"/>
      <c r="AO4908" s="2" t="s">
        <v>12149</v>
      </c>
      <c r="AP4908" s="2">
        <v>11</v>
      </c>
      <c r="AQ4908" s="2" t="s">
        <v>82</v>
      </c>
      <c r="AR4908" s="2"/>
      <c r="AS4908" s="2"/>
      <c r="AT4908" s="2" t="s">
        <v>15125</v>
      </c>
      <c r="AU4908" s="2"/>
      <c r="AV4908" s="2"/>
      <c r="AW4908" s="2"/>
      <c r="AX4908" s="2"/>
      <c r="AY4908" s="2">
        <v>41</v>
      </c>
      <c r="AZ4908" s="2" t="s">
        <v>82</v>
      </c>
      <c r="BA4908" s="2">
        <v>41</v>
      </c>
      <c r="BB4908" s="2" t="s">
        <v>82</v>
      </c>
      <c r="BC4908" s="2">
        <v>41</v>
      </c>
      <c r="BD4908" s="2" t="s">
        <v>82</v>
      </c>
      <c r="BE4908" s="2">
        <v>17</v>
      </c>
      <c r="BF4908" s="2" t="s">
        <v>508</v>
      </c>
      <c r="BG4908" s="2" t="s">
        <v>15126</v>
      </c>
      <c r="BH4908" s="2"/>
      <c r="BI4908" s="2"/>
      <c r="BJ4908" s="2">
        <v>46</v>
      </c>
      <c r="BK4908" s="2" t="s">
        <v>307</v>
      </c>
      <c r="BL4908" s="2" t="s">
        <v>308</v>
      </c>
      <c r="BM4908" s="2">
        <v>46</v>
      </c>
      <c r="BN4908" s="2" t="s">
        <v>307</v>
      </c>
      <c r="BO4908" s="2"/>
      <c r="BP4908" s="2">
        <v>13</v>
      </c>
      <c r="BQ4908" s="2" t="s">
        <v>91</v>
      </c>
      <c r="BR4908" s="2" t="s">
        <v>360</v>
      </c>
      <c r="BS4908" s="3">
        <v>40514</v>
      </c>
      <c r="BT4908" s="4">
        <v>0.13115740740740742</v>
      </c>
    </row>
    <row r="4909" spans="1:72" x14ac:dyDescent="0.25">
      <c r="A4909" s="2">
        <v>7618</v>
      </c>
      <c r="B4909" s="2">
        <v>2010</v>
      </c>
      <c r="C4909" s="2" t="s">
        <v>72</v>
      </c>
      <c r="D4909" s="2" t="s">
        <v>73</v>
      </c>
      <c r="E4909" s="2"/>
      <c r="F4909" s="2">
        <v>2</v>
      </c>
      <c r="G4909" s="2" t="s">
        <v>113</v>
      </c>
      <c r="H4909" s="2">
        <v>50</v>
      </c>
      <c r="I4909" s="2" t="s">
        <v>107</v>
      </c>
      <c r="J4909" s="2">
        <v>300</v>
      </c>
      <c r="K4909" s="2" t="s">
        <v>114</v>
      </c>
      <c r="L4909" s="2" t="s">
        <v>115</v>
      </c>
      <c r="M4909" s="3">
        <v>40514</v>
      </c>
      <c r="N4909" s="2" t="s">
        <v>107</v>
      </c>
      <c r="O4909" s="2"/>
      <c r="P4909" s="2"/>
      <c r="Q4909" s="2" t="str">
        <f>"648-E/10"</f>
        <v>648-E/10</v>
      </c>
      <c r="R4909" s="2" t="s">
        <v>671</v>
      </c>
      <c r="S4909" s="2" t="s">
        <v>671</v>
      </c>
      <c r="T4909" s="2">
        <v>1</v>
      </c>
      <c r="U4909" s="2" t="s">
        <v>79</v>
      </c>
      <c r="V4909" s="2">
        <v>1</v>
      </c>
      <c r="W4909" s="2" t="s">
        <v>80</v>
      </c>
      <c r="X4909" s="2">
        <v>12</v>
      </c>
      <c r="Y4909" s="2" t="s">
        <v>148</v>
      </c>
      <c r="Z4909" s="2">
        <v>1</v>
      </c>
      <c r="AA4909" s="2" t="s">
        <v>82</v>
      </c>
      <c r="AB4909" s="2">
        <v>6</v>
      </c>
      <c r="AC4909" s="2" t="s">
        <v>83</v>
      </c>
      <c r="AD4909" s="3">
        <v>40513</v>
      </c>
      <c r="AE4909" s="2"/>
      <c r="AF4909" s="3">
        <v>40513</v>
      </c>
      <c r="AG4909" s="4">
        <v>0.95833333333333337</v>
      </c>
      <c r="AH4909" s="2">
        <v>2</v>
      </c>
      <c r="AI4909" s="2" t="s">
        <v>84</v>
      </c>
      <c r="AJ4909" s="2">
        <v>9</v>
      </c>
      <c r="AK4909" s="2" t="s">
        <v>103</v>
      </c>
      <c r="AL4909" s="2">
        <v>29</v>
      </c>
      <c r="AM4909" s="2" t="s">
        <v>5416</v>
      </c>
      <c r="AN4909" s="2" t="s">
        <v>9534</v>
      </c>
      <c r="AO4909" s="2" t="s">
        <v>15127</v>
      </c>
      <c r="AP4909" s="2">
        <v>11</v>
      </c>
      <c r="AQ4909" s="2" t="s">
        <v>82</v>
      </c>
      <c r="AR4909" s="2"/>
      <c r="AS4909" s="2"/>
      <c r="AT4909" s="2" t="s">
        <v>15128</v>
      </c>
      <c r="AU4909" s="2"/>
      <c r="AV4909" s="2"/>
      <c r="AW4909" s="2">
        <v>1</v>
      </c>
      <c r="AX4909" s="2"/>
      <c r="AY4909" s="2">
        <v>41</v>
      </c>
      <c r="AZ4909" s="2" t="s">
        <v>82</v>
      </c>
      <c r="BA4909" s="2">
        <v>44</v>
      </c>
      <c r="BB4909" s="2" t="s">
        <v>262</v>
      </c>
      <c r="BC4909" s="2">
        <v>41</v>
      </c>
      <c r="BD4909" s="2" t="s">
        <v>82</v>
      </c>
      <c r="BE4909" s="2">
        <v>41</v>
      </c>
      <c r="BF4909" s="2" t="s">
        <v>82</v>
      </c>
      <c r="BG4909" s="2"/>
      <c r="BH4909" s="2"/>
      <c r="BI4909" s="2"/>
      <c r="BJ4909" s="2">
        <v>241</v>
      </c>
      <c r="BK4909" s="2" t="s">
        <v>82</v>
      </c>
      <c r="BL4909" s="2"/>
      <c r="BM4909" s="2">
        <v>241</v>
      </c>
      <c r="BN4909" s="2" t="s">
        <v>82</v>
      </c>
      <c r="BO4909" s="2"/>
      <c r="BP4909" s="2">
        <v>241</v>
      </c>
      <c r="BQ4909" s="2" t="s">
        <v>82</v>
      </c>
      <c r="BR4909" s="2"/>
      <c r="BS4909" s="3">
        <v>40514</v>
      </c>
      <c r="BT4909" s="4">
        <v>0.26190972222222225</v>
      </c>
    </row>
    <row r="4910" spans="1:72" x14ac:dyDescent="0.25">
      <c r="A4910" s="2">
        <v>7619</v>
      </c>
      <c r="B4910" s="2">
        <v>2010</v>
      </c>
      <c r="C4910" s="2" t="s">
        <v>4543</v>
      </c>
      <c r="D4910" s="2" t="s">
        <v>122</v>
      </c>
      <c r="E4910" s="2"/>
      <c r="F4910" s="2">
        <v>1</v>
      </c>
      <c r="G4910" s="2" t="s">
        <v>82</v>
      </c>
      <c r="H4910" s="2">
        <v>1</v>
      </c>
      <c r="I4910" s="2" t="s">
        <v>82</v>
      </c>
      <c r="J4910" s="2">
        <v>1</v>
      </c>
      <c r="K4910" s="2" t="s">
        <v>107</v>
      </c>
      <c r="L4910" s="2" t="s">
        <v>107</v>
      </c>
      <c r="M4910" s="3">
        <v>40514</v>
      </c>
      <c r="N4910" s="2"/>
      <c r="O4910" s="2"/>
      <c r="P4910" s="2"/>
      <c r="Q4910" s="2" t="str">
        <f>""</f>
        <v/>
      </c>
      <c r="R4910" s="2"/>
      <c r="S4910" s="2"/>
      <c r="T4910" s="2">
        <v>2</v>
      </c>
      <c r="U4910" s="2" t="s">
        <v>123</v>
      </c>
      <c r="V4910" s="2">
        <v>1</v>
      </c>
      <c r="W4910" s="2" t="s">
        <v>80</v>
      </c>
      <c r="X4910" s="2">
        <v>11</v>
      </c>
      <c r="Y4910" s="2" t="s">
        <v>1920</v>
      </c>
      <c r="Z4910" s="2">
        <v>1</v>
      </c>
      <c r="AA4910" s="2" t="s">
        <v>82</v>
      </c>
      <c r="AB4910" s="2">
        <v>9</v>
      </c>
      <c r="AC4910" s="2" t="s">
        <v>124</v>
      </c>
      <c r="AD4910" s="3">
        <v>40514</v>
      </c>
      <c r="AE4910" s="4">
        <v>0.19097222222222221</v>
      </c>
      <c r="AF4910" s="2"/>
      <c r="AG4910" s="2"/>
      <c r="AH4910" s="2">
        <v>6</v>
      </c>
      <c r="AI4910" s="2" t="s">
        <v>197</v>
      </c>
      <c r="AJ4910" s="2">
        <v>54</v>
      </c>
      <c r="AK4910" s="2" t="s">
        <v>348</v>
      </c>
      <c r="AL4910" s="2">
        <v>10</v>
      </c>
      <c r="AM4910" s="2" t="s">
        <v>200</v>
      </c>
      <c r="AN4910" s="2" t="s">
        <v>107</v>
      </c>
      <c r="AO4910" s="2" t="s">
        <v>15129</v>
      </c>
      <c r="AP4910" s="2">
        <v>14</v>
      </c>
      <c r="AQ4910" s="2" t="s">
        <v>3301</v>
      </c>
      <c r="AR4910" s="2" t="s">
        <v>596</v>
      </c>
      <c r="AS4910" s="2" t="s">
        <v>596</v>
      </c>
      <c r="AT4910" s="2" t="s">
        <v>15130</v>
      </c>
      <c r="AU4910" s="2"/>
      <c r="AV4910" s="2"/>
      <c r="AW4910" s="2"/>
      <c r="AX4910" s="2"/>
      <c r="AY4910" s="2">
        <v>108</v>
      </c>
      <c r="AZ4910" s="2" t="s">
        <v>3301</v>
      </c>
      <c r="BA4910" s="2">
        <v>41</v>
      </c>
      <c r="BB4910" s="2" t="s">
        <v>82</v>
      </c>
      <c r="BC4910" s="2">
        <v>4</v>
      </c>
      <c r="BD4910" s="2" t="s">
        <v>90</v>
      </c>
      <c r="BE4910" s="2">
        <v>4</v>
      </c>
      <c r="BF4910" s="2" t="s">
        <v>90</v>
      </c>
      <c r="BG4910" s="2" t="s">
        <v>15131</v>
      </c>
      <c r="BH4910" s="2"/>
      <c r="BI4910" s="4">
        <v>0.16666666666666666</v>
      </c>
      <c r="BJ4910" s="2">
        <v>13</v>
      </c>
      <c r="BK4910" s="2" t="s">
        <v>91</v>
      </c>
      <c r="BL4910" s="2" t="s">
        <v>2469</v>
      </c>
      <c r="BM4910" s="2">
        <v>13</v>
      </c>
      <c r="BN4910" s="2" t="s">
        <v>91</v>
      </c>
      <c r="BO4910" s="2"/>
      <c r="BP4910" s="2">
        <v>13</v>
      </c>
      <c r="BQ4910" s="2" t="s">
        <v>91</v>
      </c>
      <c r="BR4910" s="2" t="s">
        <v>984</v>
      </c>
      <c r="BS4910" s="3">
        <v>40514</v>
      </c>
      <c r="BT4910" s="4">
        <v>0.37422453703703701</v>
      </c>
    </row>
    <row r="4911" spans="1:72" x14ac:dyDescent="0.25">
      <c r="A4911" s="2">
        <v>7621</v>
      </c>
      <c r="B4911" s="2">
        <v>2010</v>
      </c>
      <c r="C4911" s="2" t="s">
        <v>171</v>
      </c>
      <c r="D4911" s="2" t="s">
        <v>73</v>
      </c>
      <c r="E4911" s="2"/>
      <c r="F4911" s="2">
        <v>402</v>
      </c>
      <c r="G4911" s="2" t="s">
        <v>6564</v>
      </c>
      <c r="H4911" s="2">
        <v>31</v>
      </c>
      <c r="I4911" s="2" t="s">
        <v>880</v>
      </c>
      <c r="J4911" s="2">
        <v>700</v>
      </c>
      <c r="K4911" s="2" t="s">
        <v>14159</v>
      </c>
      <c r="L4911" s="2" t="s">
        <v>14160</v>
      </c>
      <c r="M4911" s="3">
        <v>40514</v>
      </c>
      <c r="N4911" s="2" t="s">
        <v>15132</v>
      </c>
      <c r="O4911" s="2" t="s">
        <v>15133</v>
      </c>
      <c r="P4911" s="2">
        <v>11552</v>
      </c>
      <c r="Q4911" s="2" t="str">
        <f>"567-E/10"</f>
        <v>567-E/10</v>
      </c>
      <c r="R4911" s="2" t="s">
        <v>391</v>
      </c>
      <c r="S4911" s="2" t="s">
        <v>15134</v>
      </c>
      <c r="T4911" s="2">
        <v>1</v>
      </c>
      <c r="U4911" s="2" t="s">
        <v>79</v>
      </c>
      <c r="V4911" s="2">
        <v>3</v>
      </c>
      <c r="W4911" s="2" t="s">
        <v>225</v>
      </c>
      <c r="X4911" s="2">
        <v>6</v>
      </c>
      <c r="Y4911" s="2" t="s">
        <v>249</v>
      </c>
      <c r="Z4911" s="2">
        <v>1</v>
      </c>
      <c r="AA4911" s="2" t="s">
        <v>82</v>
      </c>
      <c r="AB4911" s="2">
        <v>9</v>
      </c>
      <c r="AC4911" s="2" t="s">
        <v>124</v>
      </c>
      <c r="AD4911" s="3">
        <v>40493</v>
      </c>
      <c r="AE4911" s="2"/>
      <c r="AF4911" s="2"/>
      <c r="AG4911" s="2"/>
      <c r="AH4911" s="2">
        <v>2</v>
      </c>
      <c r="AI4911" s="2" t="s">
        <v>84</v>
      </c>
      <c r="AJ4911" s="2">
        <v>6</v>
      </c>
      <c r="AK4911" s="2" t="s">
        <v>453</v>
      </c>
      <c r="AL4911" s="2">
        <v>23</v>
      </c>
      <c r="AM4911" s="2" t="s">
        <v>251</v>
      </c>
      <c r="AN4911" s="2" t="s">
        <v>15135</v>
      </c>
      <c r="AO4911" s="2" t="s">
        <v>15136</v>
      </c>
      <c r="AP4911" s="2">
        <v>11</v>
      </c>
      <c r="AQ4911" s="2" t="s">
        <v>82</v>
      </c>
      <c r="AR4911" s="2"/>
      <c r="AS4911" s="2"/>
      <c r="AT4911" s="2" t="s">
        <v>15137</v>
      </c>
      <c r="AU4911" s="2"/>
      <c r="AV4911" s="2"/>
      <c r="AW4911" s="2"/>
      <c r="AX4911" s="2"/>
      <c r="AY4911" s="2">
        <v>41</v>
      </c>
      <c r="AZ4911" s="2" t="s">
        <v>82</v>
      </c>
      <c r="BA4911" s="2">
        <v>41</v>
      </c>
      <c r="BB4911" s="2" t="s">
        <v>82</v>
      </c>
      <c r="BC4911" s="2">
        <v>41</v>
      </c>
      <c r="BD4911" s="2" t="s">
        <v>82</v>
      </c>
      <c r="BE4911" s="2">
        <v>41</v>
      </c>
      <c r="BF4911" s="2" t="s">
        <v>82</v>
      </c>
      <c r="BG4911" s="2"/>
      <c r="BH4911" s="2"/>
      <c r="BI4911" s="2"/>
      <c r="BJ4911" s="2">
        <v>241</v>
      </c>
      <c r="BK4911" s="2" t="s">
        <v>82</v>
      </c>
      <c r="BL4911" s="2"/>
      <c r="BM4911" s="2">
        <v>241</v>
      </c>
      <c r="BN4911" s="2" t="s">
        <v>82</v>
      </c>
      <c r="BO4911" s="2"/>
      <c r="BP4911" s="2">
        <v>241</v>
      </c>
      <c r="BQ4911" s="2" t="s">
        <v>82</v>
      </c>
      <c r="BR4911" s="2"/>
      <c r="BS4911" s="3">
        <v>40514</v>
      </c>
      <c r="BT4911" s="4">
        <v>0.50790509259259264</v>
      </c>
    </row>
    <row r="4912" spans="1:72" x14ac:dyDescent="0.25">
      <c r="A4912" s="2">
        <v>7622</v>
      </c>
      <c r="B4912" s="2">
        <v>2010</v>
      </c>
      <c r="C4912" s="2" t="s">
        <v>171</v>
      </c>
      <c r="D4912" s="2" t="s">
        <v>73</v>
      </c>
      <c r="E4912" s="2"/>
      <c r="F4912" s="2">
        <v>542</v>
      </c>
      <c r="G4912" s="2" t="s">
        <v>3946</v>
      </c>
      <c r="H4912" s="2">
        <v>2</v>
      </c>
      <c r="I4912" s="2" t="s">
        <v>267</v>
      </c>
      <c r="J4912" s="2">
        <v>527</v>
      </c>
      <c r="K4912" s="2" t="s">
        <v>2804</v>
      </c>
      <c r="L4912" s="2" t="s">
        <v>7483</v>
      </c>
      <c r="M4912" s="3">
        <v>40514</v>
      </c>
      <c r="N4912" s="2" t="s">
        <v>15103</v>
      </c>
      <c r="O4912" s="2" t="s">
        <v>15138</v>
      </c>
      <c r="P4912" s="2" t="s">
        <v>15105</v>
      </c>
      <c r="Q4912" s="2" t="str">
        <f>"0028/2010"</f>
        <v>0028/2010</v>
      </c>
      <c r="R4912" s="2"/>
      <c r="S4912" s="2"/>
      <c r="T4912" s="2">
        <v>1</v>
      </c>
      <c r="U4912" s="2" t="s">
        <v>79</v>
      </c>
      <c r="V4912" s="2">
        <v>3</v>
      </c>
      <c r="W4912" s="2" t="s">
        <v>225</v>
      </c>
      <c r="X4912" s="2">
        <v>7</v>
      </c>
      <c r="Y4912" s="2" t="s">
        <v>1964</v>
      </c>
      <c r="Z4912" s="2">
        <v>1</v>
      </c>
      <c r="AA4912" s="2" t="s">
        <v>82</v>
      </c>
      <c r="AB4912" s="2">
        <v>9</v>
      </c>
      <c r="AC4912" s="2" t="s">
        <v>124</v>
      </c>
      <c r="AD4912" s="3">
        <v>40513</v>
      </c>
      <c r="AE4912" s="4">
        <v>0.51041666666666663</v>
      </c>
      <c r="AF4912" s="2"/>
      <c r="AG4912" s="2"/>
      <c r="AH4912" s="2">
        <v>5</v>
      </c>
      <c r="AI4912" s="2" t="s">
        <v>274</v>
      </c>
      <c r="AJ4912" s="2">
        <v>35</v>
      </c>
      <c r="AK4912" s="2" t="s">
        <v>275</v>
      </c>
      <c r="AL4912" s="2">
        <v>23</v>
      </c>
      <c r="AM4912" s="2" t="s">
        <v>251</v>
      </c>
      <c r="AN4912" s="2" t="s">
        <v>15139</v>
      </c>
      <c r="AO4912" s="2" t="s">
        <v>4971</v>
      </c>
      <c r="AP4912" s="2">
        <v>11</v>
      </c>
      <c r="AQ4912" s="2" t="s">
        <v>82</v>
      </c>
      <c r="AR4912" s="2"/>
      <c r="AS4912" s="2"/>
      <c r="AT4912" s="2" t="s">
        <v>15140</v>
      </c>
      <c r="AU4912" s="2"/>
      <c r="AV4912" s="2"/>
      <c r="AW4912" s="2"/>
      <c r="AX4912" s="2"/>
      <c r="AY4912" s="2">
        <v>41</v>
      </c>
      <c r="AZ4912" s="2" t="s">
        <v>82</v>
      </c>
      <c r="BA4912" s="2">
        <v>41</v>
      </c>
      <c r="BB4912" s="2" t="s">
        <v>82</v>
      </c>
      <c r="BC4912" s="2">
        <v>41</v>
      </c>
      <c r="BD4912" s="2" t="s">
        <v>82</v>
      </c>
      <c r="BE4912" s="2">
        <v>41</v>
      </c>
      <c r="BF4912" s="2" t="s">
        <v>82</v>
      </c>
      <c r="BG4912" s="2"/>
      <c r="BH4912" s="2"/>
      <c r="BI4912" s="2"/>
      <c r="BJ4912" s="2">
        <v>241</v>
      </c>
      <c r="BK4912" s="2" t="s">
        <v>82</v>
      </c>
      <c r="BL4912" s="2"/>
      <c r="BM4912" s="2">
        <v>241</v>
      </c>
      <c r="BN4912" s="2" t="s">
        <v>82</v>
      </c>
      <c r="BO4912" s="2"/>
      <c r="BP4912" s="2">
        <v>241</v>
      </c>
      <c r="BQ4912" s="2" t="s">
        <v>82</v>
      </c>
      <c r="BR4912" s="2"/>
      <c r="BS4912" s="3">
        <v>40514</v>
      </c>
      <c r="BT4912" s="4">
        <v>0.51443287037037033</v>
      </c>
    </row>
    <row r="4913" spans="1:72" x14ac:dyDescent="0.25">
      <c r="A4913" s="2">
        <v>7623</v>
      </c>
      <c r="B4913" s="2">
        <v>2010</v>
      </c>
      <c r="C4913" s="2" t="s">
        <v>72</v>
      </c>
      <c r="D4913" s="2" t="s">
        <v>73</v>
      </c>
      <c r="E4913" s="2"/>
      <c r="F4913" s="2">
        <v>390</v>
      </c>
      <c r="G4913" s="2" t="s">
        <v>475</v>
      </c>
      <c r="H4913" s="2">
        <v>5</v>
      </c>
      <c r="I4913" s="2" t="s">
        <v>634</v>
      </c>
      <c r="J4913" s="2">
        <v>533</v>
      </c>
      <c r="K4913" s="2" t="s">
        <v>6511</v>
      </c>
      <c r="L4913" s="2" t="s">
        <v>478</v>
      </c>
      <c r="M4913" s="3">
        <v>40514</v>
      </c>
      <c r="N4913" s="2" t="s">
        <v>3705</v>
      </c>
      <c r="O4913" s="2"/>
      <c r="P4913" s="2" t="s">
        <v>107</v>
      </c>
      <c r="Q4913" s="2" t="str">
        <f>"11R/10"</f>
        <v>11R/10</v>
      </c>
      <c r="R4913" s="2" t="s">
        <v>302</v>
      </c>
      <c r="S4913" s="2" t="s">
        <v>302</v>
      </c>
      <c r="T4913" s="2">
        <v>1</v>
      </c>
      <c r="U4913" s="2" t="s">
        <v>79</v>
      </c>
      <c r="V4913" s="2">
        <v>1</v>
      </c>
      <c r="W4913" s="2" t="s">
        <v>80</v>
      </c>
      <c r="X4913" s="2">
        <v>1</v>
      </c>
      <c r="Y4913" s="2" t="s">
        <v>81</v>
      </c>
      <c r="Z4913" s="2">
        <v>1</v>
      </c>
      <c r="AA4913" s="2" t="s">
        <v>82</v>
      </c>
      <c r="AB4913" s="2">
        <v>6</v>
      </c>
      <c r="AC4913" s="2" t="s">
        <v>83</v>
      </c>
      <c r="AD4913" s="3">
        <v>40507</v>
      </c>
      <c r="AE4913" s="2"/>
      <c r="AF4913" s="3">
        <v>40508</v>
      </c>
      <c r="AG4913" s="4">
        <v>0.76388888888888884</v>
      </c>
      <c r="AH4913" s="2">
        <v>2</v>
      </c>
      <c r="AI4913" s="2" t="s">
        <v>84</v>
      </c>
      <c r="AJ4913" s="2">
        <v>6</v>
      </c>
      <c r="AK4913" s="2" t="s">
        <v>453</v>
      </c>
      <c r="AL4913" s="2">
        <v>22</v>
      </c>
      <c r="AM4913" s="2" t="s">
        <v>1853</v>
      </c>
      <c r="AN4913" s="2" t="s">
        <v>15141</v>
      </c>
      <c r="AO4913" s="2" t="s">
        <v>200</v>
      </c>
      <c r="AP4913" s="2">
        <v>11</v>
      </c>
      <c r="AQ4913" s="2" t="s">
        <v>82</v>
      </c>
      <c r="AR4913" s="2"/>
      <c r="AS4913" s="2"/>
      <c r="AT4913" s="2" t="s">
        <v>15142</v>
      </c>
      <c r="AU4913" s="2"/>
      <c r="AV4913" s="2"/>
      <c r="AW4913" s="2"/>
      <c r="AX4913" s="2"/>
      <c r="AY4913" s="2">
        <v>41</v>
      </c>
      <c r="AZ4913" s="2" t="s">
        <v>82</v>
      </c>
      <c r="BA4913" s="2">
        <v>41</v>
      </c>
      <c r="BB4913" s="2" t="s">
        <v>82</v>
      </c>
      <c r="BC4913" s="2">
        <v>41</v>
      </c>
      <c r="BD4913" s="2" t="s">
        <v>82</v>
      </c>
      <c r="BE4913" s="2">
        <v>41</v>
      </c>
      <c r="BF4913" s="2" t="s">
        <v>82</v>
      </c>
      <c r="BG4913" s="2"/>
      <c r="BH4913" s="2"/>
      <c r="BI4913" s="2"/>
      <c r="BJ4913" s="2">
        <v>241</v>
      </c>
      <c r="BK4913" s="2" t="s">
        <v>82</v>
      </c>
      <c r="BL4913" s="2"/>
      <c r="BM4913" s="2">
        <v>241</v>
      </c>
      <c r="BN4913" s="2" t="s">
        <v>82</v>
      </c>
      <c r="BO4913" s="2"/>
      <c r="BP4913" s="2">
        <v>241</v>
      </c>
      <c r="BQ4913" s="2" t="s">
        <v>82</v>
      </c>
      <c r="BR4913" s="2"/>
      <c r="BS4913" s="3">
        <v>40514</v>
      </c>
      <c r="BT4913" s="4">
        <v>0.55026620370370372</v>
      </c>
    </row>
    <row r="4914" spans="1:72" x14ac:dyDescent="0.25">
      <c r="A4914" s="2">
        <v>7624</v>
      </c>
      <c r="B4914" s="2">
        <v>2010</v>
      </c>
      <c r="C4914" s="2" t="s">
        <v>72</v>
      </c>
      <c r="D4914" s="2" t="s">
        <v>73</v>
      </c>
      <c r="E4914" s="2"/>
      <c r="F4914" s="2">
        <v>389</v>
      </c>
      <c r="G4914" s="2" t="s">
        <v>1819</v>
      </c>
      <c r="H4914" s="2">
        <v>4</v>
      </c>
      <c r="I4914" s="2" t="s">
        <v>173</v>
      </c>
      <c r="J4914" s="2">
        <v>399</v>
      </c>
      <c r="K4914" s="2" t="s">
        <v>1820</v>
      </c>
      <c r="L4914" s="2" t="s">
        <v>1821</v>
      </c>
      <c r="M4914" s="3">
        <v>40514</v>
      </c>
      <c r="N4914" s="2" t="s">
        <v>2621</v>
      </c>
      <c r="O4914" s="2"/>
      <c r="P4914" s="2"/>
      <c r="Q4914" s="2" t="str">
        <f>"649-E/10"</f>
        <v>649-E/10</v>
      </c>
      <c r="R4914" s="2"/>
      <c r="S4914" s="2" t="s">
        <v>1847</v>
      </c>
      <c r="T4914" s="2">
        <v>1</v>
      </c>
      <c r="U4914" s="2" t="s">
        <v>79</v>
      </c>
      <c r="V4914" s="2">
        <v>1</v>
      </c>
      <c r="W4914" s="2" t="s">
        <v>80</v>
      </c>
      <c r="X4914" s="2">
        <v>12</v>
      </c>
      <c r="Y4914" s="2" t="s">
        <v>148</v>
      </c>
      <c r="Z4914" s="2">
        <v>1</v>
      </c>
      <c r="AA4914" s="2" t="s">
        <v>82</v>
      </c>
      <c r="AB4914" s="2">
        <v>6</v>
      </c>
      <c r="AC4914" s="2" t="s">
        <v>83</v>
      </c>
      <c r="AD4914" s="3">
        <v>40514</v>
      </c>
      <c r="AE4914" s="2"/>
      <c r="AF4914" s="3">
        <v>40514</v>
      </c>
      <c r="AG4914" s="4">
        <v>0.48958333333333331</v>
      </c>
      <c r="AH4914" s="2">
        <v>2</v>
      </c>
      <c r="AI4914" s="2" t="s">
        <v>84</v>
      </c>
      <c r="AJ4914" s="2">
        <v>9</v>
      </c>
      <c r="AK4914" s="2" t="s">
        <v>103</v>
      </c>
      <c r="AL4914" s="2">
        <v>2</v>
      </c>
      <c r="AM4914" s="2" t="s">
        <v>163</v>
      </c>
      <c r="AN4914" s="2"/>
      <c r="AO4914" s="2" t="s">
        <v>15143</v>
      </c>
      <c r="AP4914" s="2">
        <v>11</v>
      </c>
      <c r="AQ4914" s="2" t="s">
        <v>82</v>
      </c>
      <c r="AR4914" s="2"/>
      <c r="AS4914" s="2"/>
      <c r="AT4914" s="2" t="s">
        <v>15144</v>
      </c>
      <c r="AU4914" s="2"/>
      <c r="AV4914" s="2"/>
      <c r="AW4914" s="2"/>
      <c r="AX4914" s="2"/>
      <c r="AY4914" s="2">
        <v>41</v>
      </c>
      <c r="AZ4914" s="2" t="s">
        <v>82</v>
      </c>
      <c r="BA4914" s="2">
        <v>41</v>
      </c>
      <c r="BB4914" s="2" t="s">
        <v>82</v>
      </c>
      <c r="BC4914" s="2">
        <v>41</v>
      </c>
      <c r="BD4914" s="2" t="s">
        <v>82</v>
      </c>
      <c r="BE4914" s="2">
        <v>13</v>
      </c>
      <c r="BF4914" s="2" t="s">
        <v>108</v>
      </c>
      <c r="BG4914" s="2" t="s">
        <v>605</v>
      </c>
      <c r="BH4914" s="4">
        <v>0.27083333333333331</v>
      </c>
      <c r="BI4914" s="2"/>
      <c r="BJ4914" s="2">
        <v>73</v>
      </c>
      <c r="BK4914" s="2" t="s">
        <v>186</v>
      </c>
      <c r="BL4914" s="2" t="s">
        <v>187</v>
      </c>
      <c r="BM4914" s="2">
        <v>13</v>
      </c>
      <c r="BN4914" s="2" t="s">
        <v>91</v>
      </c>
      <c r="BO4914" s="2"/>
      <c r="BP4914" s="2">
        <v>13</v>
      </c>
      <c r="BQ4914" s="2" t="s">
        <v>91</v>
      </c>
      <c r="BR4914" s="2" t="s">
        <v>360</v>
      </c>
      <c r="BS4914" s="3">
        <v>40514</v>
      </c>
      <c r="BT4914" s="4">
        <v>0.5543055555555555</v>
      </c>
    </row>
    <row r="4915" spans="1:72" x14ac:dyDescent="0.25">
      <c r="A4915" s="2">
        <v>7627</v>
      </c>
      <c r="B4915" s="2">
        <v>2010</v>
      </c>
      <c r="C4915" s="2" t="s">
        <v>121</v>
      </c>
      <c r="D4915" s="2" t="s">
        <v>122</v>
      </c>
      <c r="E4915" s="2"/>
      <c r="F4915" s="2">
        <v>1</v>
      </c>
      <c r="G4915" s="2" t="s">
        <v>82</v>
      </c>
      <c r="H4915" s="2">
        <v>1</v>
      </c>
      <c r="I4915" s="2" t="s">
        <v>82</v>
      </c>
      <c r="J4915" s="2">
        <v>1</v>
      </c>
      <c r="K4915" s="2" t="s">
        <v>107</v>
      </c>
      <c r="L4915" s="2" t="s">
        <v>107</v>
      </c>
      <c r="M4915" s="3">
        <v>40514</v>
      </c>
      <c r="N4915" s="2"/>
      <c r="O4915" s="2"/>
      <c r="P4915" s="2"/>
      <c r="Q4915" s="2" t="str">
        <f>""</f>
        <v/>
      </c>
      <c r="R4915" s="2"/>
      <c r="S4915" s="2"/>
      <c r="T4915" s="2">
        <v>2</v>
      </c>
      <c r="U4915" s="2" t="s">
        <v>123</v>
      </c>
      <c r="V4915" s="2">
        <v>1</v>
      </c>
      <c r="W4915" s="2" t="s">
        <v>80</v>
      </c>
      <c r="X4915" s="2">
        <v>11</v>
      </c>
      <c r="Y4915" s="2" t="s">
        <v>1920</v>
      </c>
      <c r="Z4915" s="2">
        <v>1</v>
      </c>
      <c r="AA4915" s="2" t="s">
        <v>82</v>
      </c>
      <c r="AB4915" s="2">
        <v>9</v>
      </c>
      <c r="AC4915" s="2" t="s">
        <v>124</v>
      </c>
      <c r="AD4915" s="3">
        <v>40514</v>
      </c>
      <c r="AE4915" s="4">
        <v>0.52777777777777779</v>
      </c>
      <c r="AF4915" s="2"/>
      <c r="AG4915" s="2"/>
      <c r="AH4915" s="2">
        <v>2</v>
      </c>
      <c r="AI4915" s="2" t="s">
        <v>84</v>
      </c>
      <c r="AJ4915" s="2">
        <v>8</v>
      </c>
      <c r="AK4915" s="2" t="s">
        <v>436</v>
      </c>
      <c r="AL4915" s="2">
        <v>10</v>
      </c>
      <c r="AM4915" s="2" t="s">
        <v>200</v>
      </c>
      <c r="AN4915" s="2"/>
      <c r="AO4915" s="2" t="s">
        <v>230</v>
      </c>
      <c r="AP4915" s="2">
        <v>11</v>
      </c>
      <c r="AQ4915" s="2" t="s">
        <v>82</v>
      </c>
      <c r="AR4915" s="2"/>
      <c r="AS4915" s="2"/>
      <c r="AT4915" s="2" t="s">
        <v>15145</v>
      </c>
      <c r="AU4915" s="2"/>
      <c r="AV4915" s="2"/>
      <c r="AW4915" s="2"/>
      <c r="AX4915" s="2"/>
      <c r="AY4915" s="2">
        <v>41</v>
      </c>
      <c r="AZ4915" s="2" t="s">
        <v>82</v>
      </c>
      <c r="BA4915" s="2">
        <v>41</v>
      </c>
      <c r="BB4915" s="2" t="s">
        <v>82</v>
      </c>
      <c r="BC4915" s="2">
        <v>41</v>
      </c>
      <c r="BD4915" s="2" t="s">
        <v>82</v>
      </c>
      <c r="BE4915" s="2">
        <v>41</v>
      </c>
      <c r="BF4915" s="2" t="s">
        <v>82</v>
      </c>
      <c r="BG4915" s="2"/>
      <c r="BH4915" s="2"/>
      <c r="BI4915" s="2"/>
      <c r="BJ4915" s="2">
        <v>241</v>
      </c>
      <c r="BK4915" s="2" t="s">
        <v>82</v>
      </c>
      <c r="BL4915" s="2"/>
      <c r="BM4915" s="2">
        <v>241</v>
      </c>
      <c r="BN4915" s="2" t="s">
        <v>82</v>
      </c>
      <c r="BO4915" s="2"/>
      <c r="BP4915" s="2">
        <v>241</v>
      </c>
      <c r="BQ4915" s="2" t="s">
        <v>82</v>
      </c>
      <c r="BR4915" s="2"/>
      <c r="BS4915" s="3">
        <v>40514</v>
      </c>
      <c r="BT4915" s="4">
        <v>0.59932870370370372</v>
      </c>
    </row>
    <row r="4916" spans="1:72" x14ac:dyDescent="0.25">
      <c r="A4916" s="2">
        <v>7631</v>
      </c>
      <c r="B4916" s="2">
        <v>2010</v>
      </c>
      <c r="C4916" s="2" t="s">
        <v>121</v>
      </c>
      <c r="D4916" s="2" t="s">
        <v>122</v>
      </c>
      <c r="E4916" s="2"/>
      <c r="F4916" s="2">
        <v>1</v>
      </c>
      <c r="G4916" s="2" t="s">
        <v>82</v>
      </c>
      <c r="H4916" s="2">
        <v>1</v>
      </c>
      <c r="I4916" s="2" t="s">
        <v>82</v>
      </c>
      <c r="J4916" s="2">
        <v>1</v>
      </c>
      <c r="K4916" s="2" t="s">
        <v>107</v>
      </c>
      <c r="L4916" s="2" t="s">
        <v>107</v>
      </c>
      <c r="M4916" s="3">
        <v>40514</v>
      </c>
      <c r="N4916" s="2"/>
      <c r="O4916" s="2"/>
      <c r="P4916" s="2"/>
      <c r="Q4916" s="2" t="str">
        <f>""</f>
        <v/>
      </c>
      <c r="R4916" s="2"/>
      <c r="S4916" s="2"/>
      <c r="T4916" s="2">
        <v>2</v>
      </c>
      <c r="U4916" s="2" t="s">
        <v>123</v>
      </c>
      <c r="V4916" s="2">
        <v>1</v>
      </c>
      <c r="W4916" s="2" t="s">
        <v>80</v>
      </c>
      <c r="X4916" s="2">
        <v>5</v>
      </c>
      <c r="Y4916" s="2" t="s">
        <v>82</v>
      </c>
      <c r="Z4916" s="2">
        <v>1</v>
      </c>
      <c r="AA4916" s="2" t="s">
        <v>82</v>
      </c>
      <c r="AB4916" s="2">
        <v>9</v>
      </c>
      <c r="AC4916" s="2" t="s">
        <v>124</v>
      </c>
      <c r="AD4916" s="3">
        <v>40514</v>
      </c>
      <c r="AE4916" s="4">
        <v>0.68055555555555547</v>
      </c>
      <c r="AF4916" s="2"/>
      <c r="AG4916" s="2"/>
      <c r="AH4916" s="2">
        <v>2</v>
      </c>
      <c r="AI4916" s="2" t="s">
        <v>84</v>
      </c>
      <c r="AJ4916" s="2">
        <v>8</v>
      </c>
      <c r="AK4916" s="2" t="s">
        <v>436</v>
      </c>
      <c r="AL4916" s="2">
        <v>19</v>
      </c>
      <c r="AM4916" s="2" t="s">
        <v>107</v>
      </c>
      <c r="AN4916" s="2"/>
      <c r="AO4916" s="2" t="s">
        <v>230</v>
      </c>
      <c r="AP4916" s="2">
        <v>11</v>
      </c>
      <c r="AQ4916" s="2" t="s">
        <v>82</v>
      </c>
      <c r="AR4916" s="2"/>
      <c r="AS4916" s="2"/>
      <c r="AT4916" s="2" t="s">
        <v>15146</v>
      </c>
      <c r="AU4916" s="2"/>
      <c r="AV4916" s="2"/>
      <c r="AW4916" s="2"/>
      <c r="AX4916" s="2"/>
      <c r="AY4916" s="2">
        <v>41</v>
      </c>
      <c r="AZ4916" s="2" t="s">
        <v>82</v>
      </c>
      <c r="BA4916" s="2">
        <v>41</v>
      </c>
      <c r="BB4916" s="2" t="s">
        <v>82</v>
      </c>
      <c r="BC4916" s="2">
        <v>41</v>
      </c>
      <c r="BD4916" s="2" t="s">
        <v>82</v>
      </c>
      <c r="BE4916" s="2">
        <v>41</v>
      </c>
      <c r="BF4916" s="2" t="s">
        <v>82</v>
      </c>
      <c r="BG4916" s="2"/>
      <c r="BH4916" s="4">
        <v>0.68055555555555547</v>
      </c>
      <c r="BI4916" s="4">
        <v>0.69097222222222221</v>
      </c>
      <c r="BJ4916" s="2">
        <v>241</v>
      </c>
      <c r="BK4916" s="2" t="s">
        <v>82</v>
      </c>
      <c r="BL4916" s="2"/>
      <c r="BM4916" s="2">
        <v>241</v>
      </c>
      <c r="BN4916" s="2" t="s">
        <v>82</v>
      </c>
      <c r="BO4916" s="2"/>
      <c r="BP4916" s="2">
        <v>241</v>
      </c>
      <c r="BQ4916" s="2" t="s">
        <v>82</v>
      </c>
      <c r="BR4916" s="2"/>
      <c r="BS4916" s="3">
        <v>40514</v>
      </c>
      <c r="BT4916" s="4">
        <v>0.69937499999999997</v>
      </c>
    </row>
    <row r="4917" spans="1:72" x14ac:dyDescent="0.25">
      <c r="A4917" s="2">
        <v>7632</v>
      </c>
      <c r="B4917" s="2">
        <v>2010</v>
      </c>
      <c r="C4917" s="2" t="s">
        <v>121</v>
      </c>
      <c r="D4917" s="2" t="s">
        <v>122</v>
      </c>
      <c r="E4917" s="2"/>
      <c r="F4917" s="2">
        <v>1</v>
      </c>
      <c r="G4917" s="2" t="s">
        <v>82</v>
      </c>
      <c r="H4917" s="2">
        <v>1</v>
      </c>
      <c r="I4917" s="2" t="s">
        <v>82</v>
      </c>
      <c r="J4917" s="2">
        <v>1</v>
      </c>
      <c r="K4917" s="2" t="s">
        <v>107</v>
      </c>
      <c r="L4917" s="2" t="s">
        <v>107</v>
      </c>
      <c r="M4917" s="3">
        <v>40514</v>
      </c>
      <c r="N4917" s="2"/>
      <c r="O4917" s="2" t="s">
        <v>107</v>
      </c>
      <c r="P4917" s="2" t="s">
        <v>107</v>
      </c>
      <c r="Q4917" s="2" t="str">
        <f>""</f>
        <v/>
      </c>
      <c r="R4917" s="2"/>
      <c r="S4917" s="2"/>
      <c r="T4917" s="2">
        <v>2</v>
      </c>
      <c r="U4917" s="2" t="s">
        <v>123</v>
      </c>
      <c r="V4917" s="2">
        <v>1</v>
      </c>
      <c r="W4917" s="2" t="s">
        <v>80</v>
      </c>
      <c r="X4917" s="2">
        <v>1</v>
      </c>
      <c r="Y4917" s="2" t="s">
        <v>81</v>
      </c>
      <c r="Z4917" s="2">
        <v>4</v>
      </c>
      <c r="AA4917" s="2" t="s">
        <v>182</v>
      </c>
      <c r="AB4917" s="2">
        <v>9</v>
      </c>
      <c r="AC4917" s="2" t="s">
        <v>124</v>
      </c>
      <c r="AD4917" s="3">
        <v>40514</v>
      </c>
      <c r="AE4917" s="4">
        <v>0.60486111111111118</v>
      </c>
      <c r="AF4917" s="2"/>
      <c r="AG4917" s="2"/>
      <c r="AH4917" s="2">
        <v>4</v>
      </c>
      <c r="AI4917" s="2" t="s">
        <v>125</v>
      </c>
      <c r="AJ4917" s="2">
        <v>32</v>
      </c>
      <c r="AK4917" s="2" t="s">
        <v>419</v>
      </c>
      <c r="AL4917" s="2">
        <v>10</v>
      </c>
      <c r="AM4917" s="2" t="s">
        <v>200</v>
      </c>
      <c r="AN4917" s="2" t="s">
        <v>230</v>
      </c>
      <c r="AO4917" s="2" t="s">
        <v>230</v>
      </c>
      <c r="AP4917" s="2">
        <v>11</v>
      </c>
      <c r="AQ4917" s="2" t="s">
        <v>82</v>
      </c>
      <c r="AR4917" s="2"/>
      <c r="AS4917" s="2"/>
      <c r="AT4917" s="2" t="s">
        <v>15147</v>
      </c>
      <c r="AU4917" s="2"/>
      <c r="AV4917" s="2"/>
      <c r="AW4917" s="2"/>
      <c r="AX4917" s="2"/>
      <c r="AY4917" s="2">
        <v>41</v>
      </c>
      <c r="AZ4917" s="2" t="s">
        <v>82</v>
      </c>
      <c r="BA4917" s="2">
        <v>41</v>
      </c>
      <c r="BB4917" s="2" t="s">
        <v>82</v>
      </c>
      <c r="BC4917" s="2">
        <v>41</v>
      </c>
      <c r="BD4917" s="2" t="s">
        <v>82</v>
      </c>
      <c r="BE4917" s="2">
        <v>42</v>
      </c>
      <c r="BF4917" s="2" t="s">
        <v>182</v>
      </c>
      <c r="BG4917" s="2" t="s">
        <v>6921</v>
      </c>
      <c r="BH4917" s="4">
        <v>0.60486111111111118</v>
      </c>
      <c r="BI4917" s="2"/>
      <c r="BJ4917" s="2">
        <v>13</v>
      </c>
      <c r="BK4917" s="2" t="s">
        <v>91</v>
      </c>
      <c r="BL4917" s="2" t="s">
        <v>169</v>
      </c>
      <c r="BM4917" s="2">
        <v>13</v>
      </c>
      <c r="BN4917" s="2" t="s">
        <v>91</v>
      </c>
      <c r="BO4917" s="2"/>
      <c r="BP4917" s="2">
        <v>13</v>
      </c>
      <c r="BQ4917" s="2" t="s">
        <v>91</v>
      </c>
      <c r="BR4917" s="2" t="s">
        <v>8272</v>
      </c>
      <c r="BS4917" s="3">
        <v>40514</v>
      </c>
      <c r="BT4917" s="4">
        <v>0.74153935185185194</v>
      </c>
    </row>
    <row r="4918" spans="1:72" x14ac:dyDescent="0.25">
      <c r="A4918" s="2">
        <v>7633</v>
      </c>
      <c r="B4918" s="2">
        <v>2010</v>
      </c>
      <c r="C4918" s="2" t="s">
        <v>171</v>
      </c>
      <c r="D4918" s="2" t="s">
        <v>122</v>
      </c>
      <c r="E4918" s="2"/>
      <c r="F4918" s="2">
        <v>337</v>
      </c>
      <c r="G4918" s="2" t="s">
        <v>1190</v>
      </c>
      <c r="H4918" s="2">
        <v>66</v>
      </c>
      <c r="I4918" s="2" t="s">
        <v>3190</v>
      </c>
      <c r="J4918" s="2">
        <v>309</v>
      </c>
      <c r="K4918" s="2" t="s">
        <v>268</v>
      </c>
      <c r="L4918" s="2" t="s">
        <v>269</v>
      </c>
      <c r="M4918" s="3">
        <v>40514</v>
      </c>
      <c r="N4918" s="2" t="s">
        <v>1192</v>
      </c>
      <c r="O4918" s="2" t="s">
        <v>15148</v>
      </c>
      <c r="P4918" s="2" t="s">
        <v>15149</v>
      </c>
      <c r="Q4918" s="2" t="str">
        <f>"0027/2010"</f>
        <v>0027/2010</v>
      </c>
      <c r="R4918" s="2"/>
      <c r="S4918" s="2"/>
      <c r="T4918" s="2">
        <v>1</v>
      </c>
      <c r="U4918" s="2" t="s">
        <v>79</v>
      </c>
      <c r="V4918" s="2">
        <v>3</v>
      </c>
      <c r="W4918" s="2" t="s">
        <v>225</v>
      </c>
      <c r="X4918" s="2">
        <v>5</v>
      </c>
      <c r="Y4918" s="2" t="s">
        <v>82</v>
      </c>
      <c r="Z4918" s="2">
        <v>1</v>
      </c>
      <c r="AA4918" s="2" t="s">
        <v>82</v>
      </c>
      <c r="AB4918" s="2">
        <v>9</v>
      </c>
      <c r="AC4918" s="2" t="s">
        <v>124</v>
      </c>
      <c r="AD4918" s="3">
        <v>40514</v>
      </c>
      <c r="AE4918" s="4">
        <v>0.58333333333333337</v>
      </c>
      <c r="AF4918" s="2"/>
      <c r="AG4918" s="2"/>
      <c r="AH4918" s="2">
        <v>5</v>
      </c>
      <c r="AI4918" s="2" t="s">
        <v>274</v>
      </c>
      <c r="AJ4918" s="2">
        <v>35</v>
      </c>
      <c r="AK4918" s="2" t="s">
        <v>275</v>
      </c>
      <c r="AL4918" s="2">
        <v>19</v>
      </c>
      <c r="AM4918" s="2" t="s">
        <v>107</v>
      </c>
      <c r="AN4918" s="2" t="s">
        <v>284</v>
      </c>
      <c r="AO4918" s="2" t="s">
        <v>6998</v>
      </c>
      <c r="AP4918" s="2">
        <v>11</v>
      </c>
      <c r="AQ4918" s="2" t="s">
        <v>82</v>
      </c>
      <c r="AR4918" s="2"/>
      <c r="AS4918" s="2"/>
      <c r="AT4918" s="2" t="s">
        <v>15150</v>
      </c>
      <c r="AU4918" s="2"/>
      <c r="AV4918" s="2"/>
      <c r="AW4918" s="2"/>
      <c r="AX4918" s="2"/>
      <c r="AY4918" s="2">
        <v>41</v>
      </c>
      <c r="AZ4918" s="2" t="s">
        <v>82</v>
      </c>
      <c r="BA4918" s="2">
        <v>41</v>
      </c>
      <c r="BB4918" s="2" t="s">
        <v>82</v>
      </c>
      <c r="BC4918" s="2">
        <v>41</v>
      </c>
      <c r="BD4918" s="2" t="s">
        <v>82</v>
      </c>
      <c r="BE4918" s="2">
        <v>41</v>
      </c>
      <c r="BF4918" s="2" t="s">
        <v>82</v>
      </c>
      <c r="BG4918" s="2"/>
      <c r="BH4918" s="2"/>
      <c r="BI4918" s="2"/>
      <c r="BJ4918" s="2">
        <v>241</v>
      </c>
      <c r="BK4918" s="2" t="s">
        <v>82</v>
      </c>
      <c r="BL4918" s="2"/>
      <c r="BM4918" s="2">
        <v>241</v>
      </c>
      <c r="BN4918" s="2" t="s">
        <v>82</v>
      </c>
      <c r="BO4918" s="2"/>
      <c r="BP4918" s="2">
        <v>241</v>
      </c>
      <c r="BQ4918" s="2" t="s">
        <v>82</v>
      </c>
      <c r="BR4918" s="2"/>
      <c r="BS4918" s="3">
        <v>40514</v>
      </c>
      <c r="BT4918" s="4">
        <v>0.75550925925925927</v>
      </c>
    </row>
    <row r="4919" spans="1:72" x14ac:dyDescent="0.25">
      <c r="A4919" s="2">
        <v>7634</v>
      </c>
      <c r="B4919" s="2">
        <v>2010</v>
      </c>
      <c r="C4919" s="2" t="s">
        <v>819</v>
      </c>
      <c r="D4919" s="2" t="s">
        <v>122</v>
      </c>
      <c r="E4919" s="2" t="s">
        <v>15151</v>
      </c>
      <c r="F4919" s="2">
        <v>451</v>
      </c>
      <c r="G4919" s="2" t="s">
        <v>879</v>
      </c>
      <c r="H4919" s="2">
        <v>31</v>
      </c>
      <c r="I4919" s="2" t="s">
        <v>880</v>
      </c>
      <c r="J4919" s="2">
        <v>326</v>
      </c>
      <c r="K4919" s="2" t="s">
        <v>881</v>
      </c>
      <c r="L4919" s="2" t="s">
        <v>882</v>
      </c>
      <c r="M4919" s="3">
        <v>40514</v>
      </c>
      <c r="N4919" s="2" t="s">
        <v>1072</v>
      </c>
      <c r="O4919" s="2"/>
      <c r="P4919" s="2"/>
      <c r="Q4919" s="2" t="str">
        <f>"115/10"</f>
        <v>115/10</v>
      </c>
      <c r="R4919" s="2"/>
      <c r="S4919" s="2" t="s">
        <v>822</v>
      </c>
      <c r="T4919" s="2">
        <v>1</v>
      </c>
      <c r="U4919" s="2" t="s">
        <v>79</v>
      </c>
      <c r="V4919" s="2">
        <v>1</v>
      </c>
      <c r="W4919" s="2" t="s">
        <v>80</v>
      </c>
      <c r="X4919" s="2">
        <v>1</v>
      </c>
      <c r="Y4919" s="2" t="s">
        <v>81</v>
      </c>
      <c r="Z4919" s="2">
        <v>10</v>
      </c>
      <c r="AA4919" s="2" t="s">
        <v>236</v>
      </c>
      <c r="AB4919" s="2">
        <v>9</v>
      </c>
      <c r="AC4919" s="2" t="s">
        <v>124</v>
      </c>
      <c r="AD4919" s="3">
        <v>40514</v>
      </c>
      <c r="AE4919" s="4">
        <v>0.43055555555555558</v>
      </c>
      <c r="AF4919" s="3">
        <v>40513</v>
      </c>
      <c r="AG4919" s="4">
        <v>0.92708333333333337</v>
      </c>
      <c r="AH4919" s="2">
        <v>4</v>
      </c>
      <c r="AI4919" s="2" t="s">
        <v>125</v>
      </c>
      <c r="AJ4919" s="2">
        <v>29</v>
      </c>
      <c r="AK4919" s="2" t="s">
        <v>227</v>
      </c>
      <c r="AL4919" s="2">
        <v>10</v>
      </c>
      <c r="AM4919" s="2" t="s">
        <v>200</v>
      </c>
      <c r="AN4919" s="2" t="s">
        <v>1015</v>
      </c>
      <c r="AO4919" s="2" t="s">
        <v>15123</v>
      </c>
      <c r="AP4919" s="2">
        <v>11</v>
      </c>
      <c r="AQ4919" s="2" t="s">
        <v>82</v>
      </c>
      <c r="AR4919" s="2" t="s">
        <v>824</v>
      </c>
      <c r="AS4919" s="2" t="s">
        <v>825</v>
      </c>
      <c r="AT4919" s="2" t="s">
        <v>15152</v>
      </c>
      <c r="AU4919" s="2"/>
      <c r="AV4919" s="2"/>
      <c r="AW4919" s="2"/>
      <c r="AX4919" s="2"/>
      <c r="AY4919" s="2">
        <v>41</v>
      </c>
      <c r="AZ4919" s="2" t="s">
        <v>82</v>
      </c>
      <c r="BA4919" s="2">
        <v>41</v>
      </c>
      <c r="BB4919" s="2" t="s">
        <v>82</v>
      </c>
      <c r="BC4919" s="2">
        <v>51</v>
      </c>
      <c r="BD4919" s="2" t="s">
        <v>827</v>
      </c>
      <c r="BE4919" s="2">
        <v>47</v>
      </c>
      <c r="BF4919" s="2" t="s">
        <v>167</v>
      </c>
      <c r="BG4919" s="2">
        <v>2459</v>
      </c>
      <c r="BH4919" s="4">
        <v>0.93055555555555547</v>
      </c>
      <c r="BI4919" s="4">
        <v>0.97222222222222221</v>
      </c>
      <c r="BJ4919" s="2">
        <v>13</v>
      </c>
      <c r="BK4919" s="2" t="s">
        <v>91</v>
      </c>
      <c r="BL4919" s="2" t="s">
        <v>828</v>
      </c>
      <c r="BM4919" s="2">
        <v>13</v>
      </c>
      <c r="BN4919" s="2" t="s">
        <v>91</v>
      </c>
      <c r="BO4919" s="2"/>
      <c r="BP4919" s="2">
        <v>13</v>
      </c>
      <c r="BQ4919" s="2" t="s">
        <v>91</v>
      </c>
      <c r="BR4919" s="2" t="s">
        <v>185</v>
      </c>
      <c r="BS4919" s="3">
        <v>40514</v>
      </c>
      <c r="BT4919" s="4">
        <v>0.75982638888888887</v>
      </c>
    </row>
    <row r="4920" spans="1:72" x14ac:dyDescent="0.25">
      <c r="A4920" s="2">
        <v>7636</v>
      </c>
      <c r="B4920" s="2">
        <v>2010</v>
      </c>
      <c r="C4920" s="2" t="s">
        <v>121</v>
      </c>
      <c r="D4920" s="2" t="s">
        <v>122</v>
      </c>
      <c r="E4920" s="2" t="s">
        <v>15153</v>
      </c>
      <c r="F4920" s="2">
        <v>1</v>
      </c>
      <c r="G4920" s="2" t="s">
        <v>82</v>
      </c>
      <c r="H4920" s="2">
        <v>1</v>
      </c>
      <c r="I4920" s="2" t="s">
        <v>82</v>
      </c>
      <c r="J4920" s="2">
        <v>1</v>
      </c>
      <c r="K4920" s="2" t="s">
        <v>107</v>
      </c>
      <c r="L4920" s="2" t="s">
        <v>107</v>
      </c>
      <c r="M4920" s="3">
        <v>40514</v>
      </c>
      <c r="N4920" s="2"/>
      <c r="O4920" s="2" t="s">
        <v>107</v>
      </c>
      <c r="P4920" s="2" t="s">
        <v>107</v>
      </c>
      <c r="Q4920" s="2" t="str">
        <f>""</f>
        <v/>
      </c>
      <c r="R4920" s="2"/>
      <c r="S4920" s="2"/>
      <c r="T4920" s="2">
        <v>2</v>
      </c>
      <c r="U4920" s="2" t="s">
        <v>123</v>
      </c>
      <c r="V4920" s="2">
        <v>1</v>
      </c>
      <c r="W4920" s="2" t="s">
        <v>80</v>
      </c>
      <c r="X4920" s="2">
        <v>1</v>
      </c>
      <c r="Y4920" s="2" t="s">
        <v>81</v>
      </c>
      <c r="Z4920" s="2">
        <v>4</v>
      </c>
      <c r="AA4920" s="2" t="s">
        <v>182</v>
      </c>
      <c r="AB4920" s="2">
        <v>9</v>
      </c>
      <c r="AC4920" s="2" t="s">
        <v>124</v>
      </c>
      <c r="AD4920" s="3">
        <v>40514</v>
      </c>
      <c r="AE4920" s="4">
        <v>0.7715277777777777</v>
      </c>
      <c r="AF4920" s="2"/>
      <c r="AG4920" s="2"/>
      <c r="AH4920" s="2">
        <v>4</v>
      </c>
      <c r="AI4920" s="2" t="s">
        <v>125</v>
      </c>
      <c r="AJ4920" s="2">
        <v>32</v>
      </c>
      <c r="AK4920" s="2" t="s">
        <v>419</v>
      </c>
      <c r="AL4920" s="2">
        <v>10</v>
      </c>
      <c r="AM4920" s="2" t="s">
        <v>200</v>
      </c>
      <c r="AN4920" s="2" t="s">
        <v>230</v>
      </c>
      <c r="AO4920" s="2" t="s">
        <v>230</v>
      </c>
      <c r="AP4920" s="2">
        <v>11</v>
      </c>
      <c r="AQ4920" s="2" t="s">
        <v>82</v>
      </c>
      <c r="AR4920" s="2"/>
      <c r="AS4920" s="2"/>
      <c r="AT4920" s="2" t="s">
        <v>15154</v>
      </c>
      <c r="AU4920" s="2"/>
      <c r="AV4920" s="2"/>
      <c r="AW4920" s="2"/>
      <c r="AX4920" s="2"/>
      <c r="AY4920" s="2">
        <v>41</v>
      </c>
      <c r="AZ4920" s="2" t="s">
        <v>82</v>
      </c>
      <c r="BA4920" s="2">
        <v>41</v>
      </c>
      <c r="BB4920" s="2" t="s">
        <v>82</v>
      </c>
      <c r="BC4920" s="2">
        <v>41</v>
      </c>
      <c r="BD4920" s="2" t="s">
        <v>82</v>
      </c>
      <c r="BE4920" s="2">
        <v>42</v>
      </c>
      <c r="BF4920" s="2" t="s">
        <v>182</v>
      </c>
      <c r="BG4920" s="2" t="s">
        <v>6921</v>
      </c>
      <c r="BH4920" s="4">
        <v>0.60486111111111118</v>
      </c>
      <c r="BI4920" s="4">
        <v>0.7715277777777777</v>
      </c>
      <c r="BJ4920" s="2">
        <v>13</v>
      </c>
      <c r="BK4920" s="2" t="s">
        <v>91</v>
      </c>
      <c r="BL4920" s="2" t="s">
        <v>8272</v>
      </c>
      <c r="BM4920" s="2">
        <v>13</v>
      </c>
      <c r="BN4920" s="2" t="s">
        <v>91</v>
      </c>
      <c r="BO4920" s="2"/>
      <c r="BP4920" s="2">
        <v>13</v>
      </c>
      <c r="BQ4920" s="2" t="s">
        <v>91</v>
      </c>
      <c r="BR4920" s="2" t="s">
        <v>185</v>
      </c>
      <c r="BS4920" s="3">
        <v>40514</v>
      </c>
      <c r="BT4920" s="4">
        <v>0.92049768518518515</v>
      </c>
    </row>
    <row r="4921" spans="1:72" x14ac:dyDescent="0.25">
      <c r="A4921" s="2">
        <v>7637</v>
      </c>
      <c r="B4921" s="2">
        <v>2010</v>
      </c>
      <c r="C4921" s="2" t="s">
        <v>121</v>
      </c>
      <c r="D4921" s="2" t="s">
        <v>122</v>
      </c>
      <c r="E4921" s="2"/>
      <c r="F4921" s="2">
        <v>1</v>
      </c>
      <c r="G4921" s="2" t="s">
        <v>82</v>
      </c>
      <c r="H4921" s="2">
        <v>1</v>
      </c>
      <c r="I4921" s="2" t="s">
        <v>82</v>
      </c>
      <c r="J4921" s="2">
        <v>1</v>
      </c>
      <c r="K4921" s="2" t="s">
        <v>107</v>
      </c>
      <c r="L4921" s="2" t="s">
        <v>107</v>
      </c>
      <c r="M4921" s="3">
        <v>40514</v>
      </c>
      <c r="N4921" s="2"/>
      <c r="O4921" s="2"/>
      <c r="P4921" s="2"/>
      <c r="Q4921" s="2" t="str">
        <f>""</f>
        <v/>
      </c>
      <c r="R4921" s="2"/>
      <c r="S4921" s="2"/>
      <c r="T4921" s="2">
        <v>2</v>
      </c>
      <c r="U4921" s="2" t="s">
        <v>123</v>
      </c>
      <c r="V4921" s="2">
        <v>1</v>
      </c>
      <c r="W4921" s="2" t="s">
        <v>80</v>
      </c>
      <c r="X4921" s="2">
        <v>11</v>
      </c>
      <c r="Y4921" s="2" t="s">
        <v>1920</v>
      </c>
      <c r="Z4921" s="2">
        <v>1</v>
      </c>
      <c r="AA4921" s="2" t="s">
        <v>82</v>
      </c>
      <c r="AB4921" s="2">
        <v>9</v>
      </c>
      <c r="AC4921" s="2" t="s">
        <v>124</v>
      </c>
      <c r="AD4921" s="3">
        <v>40514</v>
      </c>
      <c r="AE4921" s="4">
        <v>0.91041666666666676</v>
      </c>
      <c r="AF4921" s="2"/>
      <c r="AG4921" s="2"/>
      <c r="AH4921" s="2">
        <v>2</v>
      </c>
      <c r="AI4921" s="2" t="s">
        <v>84</v>
      </c>
      <c r="AJ4921" s="2">
        <v>8</v>
      </c>
      <c r="AK4921" s="2" t="s">
        <v>436</v>
      </c>
      <c r="AL4921" s="2">
        <v>10</v>
      </c>
      <c r="AM4921" s="2" t="s">
        <v>200</v>
      </c>
      <c r="AN4921" s="2"/>
      <c r="AO4921" s="2" t="s">
        <v>230</v>
      </c>
      <c r="AP4921" s="2">
        <v>11</v>
      </c>
      <c r="AQ4921" s="2" t="s">
        <v>82</v>
      </c>
      <c r="AR4921" s="2"/>
      <c r="AS4921" s="2"/>
      <c r="AT4921" s="2" t="s">
        <v>15155</v>
      </c>
      <c r="AU4921" s="2"/>
      <c r="AV4921" s="2"/>
      <c r="AW4921" s="2"/>
      <c r="AX4921" s="2"/>
      <c r="AY4921" s="2">
        <v>41</v>
      </c>
      <c r="AZ4921" s="2" t="s">
        <v>82</v>
      </c>
      <c r="BA4921" s="2">
        <v>41</v>
      </c>
      <c r="BB4921" s="2" t="s">
        <v>82</v>
      </c>
      <c r="BC4921" s="2">
        <v>41</v>
      </c>
      <c r="BD4921" s="2" t="s">
        <v>82</v>
      </c>
      <c r="BE4921" s="2">
        <v>41</v>
      </c>
      <c r="BF4921" s="2" t="s">
        <v>82</v>
      </c>
      <c r="BG4921" s="2"/>
      <c r="BH4921" s="2"/>
      <c r="BI4921" s="2"/>
      <c r="BJ4921" s="2">
        <v>241</v>
      </c>
      <c r="BK4921" s="2" t="s">
        <v>82</v>
      </c>
      <c r="BL4921" s="2"/>
      <c r="BM4921" s="2">
        <v>241</v>
      </c>
      <c r="BN4921" s="2" t="s">
        <v>82</v>
      </c>
      <c r="BO4921" s="2"/>
      <c r="BP4921" s="2">
        <v>241</v>
      </c>
      <c r="BQ4921" s="2" t="s">
        <v>82</v>
      </c>
      <c r="BR4921" s="2"/>
      <c r="BS4921" s="3">
        <v>40514</v>
      </c>
      <c r="BT4921" s="4">
        <v>0.93538194444444445</v>
      </c>
    </row>
    <row r="4922" spans="1:72" x14ac:dyDescent="0.25">
      <c r="A4922" s="2">
        <v>7638</v>
      </c>
      <c r="B4922" s="2">
        <v>2010</v>
      </c>
      <c r="C4922" s="2" t="s">
        <v>72</v>
      </c>
      <c r="D4922" s="2" t="s">
        <v>73</v>
      </c>
      <c r="E4922" s="2"/>
      <c r="F4922" s="2">
        <v>175</v>
      </c>
      <c r="G4922" s="2" t="s">
        <v>4170</v>
      </c>
      <c r="H4922" s="2">
        <v>22</v>
      </c>
      <c r="I4922" s="2" t="s">
        <v>75</v>
      </c>
      <c r="J4922" s="2">
        <v>728</v>
      </c>
      <c r="K4922" s="2" t="s">
        <v>15156</v>
      </c>
      <c r="L4922" s="2" t="s">
        <v>15157</v>
      </c>
      <c r="M4922" s="3">
        <v>40514</v>
      </c>
      <c r="N4922" s="2" t="s">
        <v>15158</v>
      </c>
      <c r="O4922" s="2"/>
      <c r="P4922" s="2"/>
      <c r="Q4922" s="2" t="str">
        <f>"437-A/10"</f>
        <v>437-A/10</v>
      </c>
      <c r="R4922" s="2" t="s">
        <v>116</v>
      </c>
      <c r="S4922" s="2" t="s">
        <v>116</v>
      </c>
      <c r="T4922" s="2">
        <v>1</v>
      </c>
      <c r="U4922" s="2" t="s">
        <v>79</v>
      </c>
      <c r="V4922" s="2">
        <v>1</v>
      </c>
      <c r="W4922" s="2" t="s">
        <v>80</v>
      </c>
      <c r="X4922" s="2">
        <v>12</v>
      </c>
      <c r="Y4922" s="2" t="s">
        <v>148</v>
      </c>
      <c r="Z4922" s="2">
        <v>1</v>
      </c>
      <c r="AA4922" s="2" t="s">
        <v>82</v>
      </c>
      <c r="AB4922" s="2">
        <v>6</v>
      </c>
      <c r="AC4922" s="2" t="s">
        <v>83</v>
      </c>
      <c r="AD4922" s="3">
        <v>40514</v>
      </c>
      <c r="AE4922" s="2"/>
      <c r="AF4922" s="3">
        <v>40514</v>
      </c>
      <c r="AG4922" s="4">
        <v>0.73263888888888884</v>
      </c>
      <c r="AH4922" s="2">
        <v>2</v>
      </c>
      <c r="AI4922" s="2" t="s">
        <v>84</v>
      </c>
      <c r="AJ4922" s="2">
        <v>12</v>
      </c>
      <c r="AK4922" s="2" t="s">
        <v>85</v>
      </c>
      <c r="AL4922" s="2">
        <v>22</v>
      </c>
      <c r="AM4922" s="2" t="s">
        <v>1853</v>
      </c>
      <c r="AN4922" s="2" t="s">
        <v>15159</v>
      </c>
      <c r="AO4922" s="2" t="s">
        <v>15160</v>
      </c>
      <c r="AP4922" s="2">
        <v>11</v>
      </c>
      <c r="AQ4922" s="2" t="s">
        <v>82</v>
      </c>
      <c r="AR4922" s="2"/>
      <c r="AS4922" s="2"/>
      <c r="AT4922" s="2" t="s">
        <v>15161</v>
      </c>
      <c r="AU4922" s="2"/>
      <c r="AV4922" s="2"/>
      <c r="AW4922" s="2"/>
      <c r="AX4922" s="2"/>
      <c r="AY4922" s="2">
        <v>41</v>
      </c>
      <c r="AZ4922" s="2" t="s">
        <v>82</v>
      </c>
      <c r="BA4922" s="2">
        <v>41</v>
      </c>
      <c r="BB4922" s="2" t="s">
        <v>82</v>
      </c>
      <c r="BC4922" s="2">
        <v>41</v>
      </c>
      <c r="BD4922" s="2" t="s">
        <v>82</v>
      </c>
      <c r="BE4922" s="2">
        <v>4</v>
      </c>
      <c r="BF4922" s="2" t="s">
        <v>90</v>
      </c>
      <c r="BG4922" s="2" t="s">
        <v>10349</v>
      </c>
      <c r="BH4922" s="2"/>
      <c r="BI4922" s="2"/>
      <c r="BJ4922" s="2">
        <v>13</v>
      </c>
      <c r="BK4922" s="2" t="s">
        <v>91</v>
      </c>
      <c r="BL4922" s="2" t="s">
        <v>445</v>
      </c>
      <c r="BM4922" s="2">
        <v>13</v>
      </c>
      <c r="BN4922" s="2" t="s">
        <v>91</v>
      </c>
      <c r="BO4922" s="2"/>
      <c r="BP4922" s="2">
        <v>13</v>
      </c>
      <c r="BQ4922" s="2" t="s">
        <v>91</v>
      </c>
      <c r="BR4922" s="2" t="s">
        <v>185</v>
      </c>
      <c r="BS4922" s="3">
        <v>40514</v>
      </c>
      <c r="BT4922" s="4">
        <v>0.9503935185185185</v>
      </c>
    </row>
    <row r="4923" spans="1:72" x14ac:dyDescent="0.25">
      <c r="A4923" s="2">
        <v>7639</v>
      </c>
      <c r="B4923" s="2">
        <v>2010</v>
      </c>
      <c r="C4923" s="2" t="s">
        <v>121</v>
      </c>
      <c r="D4923" s="2" t="s">
        <v>122</v>
      </c>
      <c r="E4923" s="2"/>
      <c r="F4923" s="2">
        <v>1</v>
      </c>
      <c r="G4923" s="2" t="s">
        <v>82</v>
      </c>
      <c r="H4923" s="2">
        <v>1</v>
      </c>
      <c r="I4923" s="2" t="s">
        <v>82</v>
      </c>
      <c r="J4923" s="2">
        <v>1</v>
      </c>
      <c r="K4923" s="2" t="s">
        <v>107</v>
      </c>
      <c r="L4923" s="2" t="s">
        <v>107</v>
      </c>
      <c r="M4923" s="3">
        <v>40514</v>
      </c>
      <c r="N4923" s="2"/>
      <c r="O4923" s="2"/>
      <c r="P4923" s="2"/>
      <c r="Q4923" s="2" t="str">
        <f>""</f>
        <v/>
      </c>
      <c r="R4923" s="2"/>
      <c r="S4923" s="2"/>
      <c r="T4923" s="2">
        <v>2</v>
      </c>
      <c r="U4923" s="2" t="s">
        <v>123</v>
      </c>
      <c r="V4923" s="2">
        <v>1</v>
      </c>
      <c r="W4923" s="2" t="s">
        <v>80</v>
      </c>
      <c r="X4923" s="2">
        <v>11</v>
      </c>
      <c r="Y4923" s="2" t="s">
        <v>1920</v>
      </c>
      <c r="Z4923" s="2">
        <v>1</v>
      </c>
      <c r="AA4923" s="2" t="s">
        <v>82</v>
      </c>
      <c r="AB4923" s="2">
        <v>9</v>
      </c>
      <c r="AC4923" s="2" t="s">
        <v>124</v>
      </c>
      <c r="AD4923" s="3">
        <v>40514</v>
      </c>
      <c r="AE4923" s="4">
        <v>0.94791666666666663</v>
      </c>
      <c r="AF4923" s="2"/>
      <c r="AG4923" s="2"/>
      <c r="AH4923" s="2">
        <v>2</v>
      </c>
      <c r="AI4923" s="2" t="s">
        <v>84</v>
      </c>
      <c r="AJ4923" s="2">
        <v>8</v>
      </c>
      <c r="AK4923" s="2" t="s">
        <v>436</v>
      </c>
      <c r="AL4923" s="2">
        <v>10</v>
      </c>
      <c r="AM4923" s="2" t="s">
        <v>200</v>
      </c>
      <c r="AN4923" s="2"/>
      <c r="AO4923" s="2" t="s">
        <v>230</v>
      </c>
      <c r="AP4923" s="2">
        <v>11</v>
      </c>
      <c r="AQ4923" s="2" t="s">
        <v>82</v>
      </c>
      <c r="AR4923" s="2"/>
      <c r="AS4923" s="2"/>
      <c r="AT4923" s="2" t="s">
        <v>15162</v>
      </c>
      <c r="AU4923" s="2"/>
      <c r="AV4923" s="2"/>
      <c r="AW4923" s="2"/>
      <c r="AX4923" s="2"/>
      <c r="AY4923" s="2">
        <v>41</v>
      </c>
      <c r="AZ4923" s="2" t="s">
        <v>82</v>
      </c>
      <c r="BA4923" s="2">
        <v>41</v>
      </c>
      <c r="BB4923" s="2" t="s">
        <v>82</v>
      </c>
      <c r="BC4923" s="2">
        <v>41</v>
      </c>
      <c r="BD4923" s="2" t="s">
        <v>82</v>
      </c>
      <c r="BE4923" s="2">
        <v>41</v>
      </c>
      <c r="BF4923" s="2" t="s">
        <v>82</v>
      </c>
      <c r="BG4923" s="2"/>
      <c r="BH4923" s="2"/>
      <c r="BI4923" s="2"/>
      <c r="BJ4923" s="2">
        <v>241</v>
      </c>
      <c r="BK4923" s="2" t="s">
        <v>82</v>
      </c>
      <c r="BL4923" s="2"/>
      <c r="BM4923" s="2">
        <v>241</v>
      </c>
      <c r="BN4923" s="2" t="s">
        <v>82</v>
      </c>
      <c r="BO4923" s="2"/>
      <c r="BP4923" s="2">
        <v>241</v>
      </c>
      <c r="BQ4923" s="2" t="s">
        <v>82</v>
      </c>
      <c r="BR4923" s="2"/>
      <c r="BS4923" s="3">
        <v>40514</v>
      </c>
      <c r="BT4923" s="4">
        <v>0.95936342592592594</v>
      </c>
    </row>
    <row r="4924" spans="1:72" x14ac:dyDescent="0.25">
      <c r="A4924" s="2">
        <v>7640</v>
      </c>
      <c r="B4924" s="2">
        <v>2010</v>
      </c>
      <c r="C4924" s="2" t="s">
        <v>121</v>
      </c>
      <c r="D4924" s="2" t="s">
        <v>122</v>
      </c>
      <c r="E4924" s="2"/>
      <c r="F4924" s="2">
        <v>1</v>
      </c>
      <c r="G4924" s="2" t="s">
        <v>82</v>
      </c>
      <c r="H4924" s="2">
        <v>1</v>
      </c>
      <c r="I4924" s="2" t="s">
        <v>82</v>
      </c>
      <c r="J4924" s="2">
        <v>1</v>
      </c>
      <c r="K4924" s="2" t="s">
        <v>107</v>
      </c>
      <c r="L4924" s="2" t="s">
        <v>107</v>
      </c>
      <c r="M4924" s="3">
        <v>40515</v>
      </c>
      <c r="N4924" s="2"/>
      <c r="O4924" s="2"/>
      <c r="P4924" s="2"/>
      <c r="Q4924" s="2" t="str">
        <f>""</f>
        <v/>
      </c>
      <c r="R4924" s="2"/>
      <c r="S4924" s="2"/>
      <c r="T4924" s="2">
        <v>2</v>
      </c>
      <c r="U4924" s="2" t="s">
        <v>123</v>
      </c>
      <c r="V4924" s="2">
        <v>1</v>
      </c>
      <c r="W4924" s="2" t="s">
        <v>80</v>
      </c>
      <c r="X4924" s="2">
        <v>5</v>
      </c>
      <c r="Y4924" s="2" t="s">
        <v>82</v>
      </c>
      <c r="Z4924" s="2">
        <v>1</v>
      </c>
      <c r="AA4924" s="2" t="s">
        <v>82</v>
      </c>
      <c r="AB4924" s="2">
        <v>9</v>
      </c>
      <c r="AC4924" s="2" t="s">
        <v>124</v>
      </c>
      <c r="AD4924" s="3">
        <v>40515</v>
      </c>
      <c r="AE4924" s="4">
        <v>1.2499999999999999E-2</v>
      </c>
      <c r="AF4924" s="2"/>
      <c r="AG4924" s="2"/>
      <c r="AH4924" s="2">
        <v>2</v>
      </c>
      <c r="AI4924" s="2" t="s">
        <v>84</v>
      </c>
      <c r="AJ4924" s="2">
        <v>8</v>
      </c>
      <c r="AK4924" s="2" t="s">
        <v>436</v>
      </c>
      <c r="AL4924" s="2">
        <v>10</v>
      </c>
      <c r="AM4924" s="2" t="s">
        <v>200</v>
      </c>
      <c r="AN4924" s="2"/>
      <c r="AO4924" s="2" t="s">
        <v>230</v>
      </c>
      <c r="AP4924" s="2">
        <v>11</v>
      </c>
      <c r="AQ4924" s="2" t="s">
        <v>82</v>
      </c>
      <c r="AR4924" s="2"/>
      <c r="AS4924" s="2"/>
      <c r="AT4924" s="2" t="s">
        <v>15163</v>
      </c>
      <c r="AU4924" s="2"/>
      <c r="AV4924" s="2"/>
      <c r="AW4924" s="2"/>
      <c r="AX4924" s="2"/>
      <c r="AY4924" s="2">
        <v>41</v>
      </c>
      <c r="AZ4924" s="2" t="s">
        <v>82</v>
      </c>
      <c r="BA4924" s="2">
        <v>41</v>
      </c>
      <c r="BB4924" s="2" t="s">
        <v>82</v>
      </c>
      <c r="BC4924" s="2">
        <v>41</v>
      </c>
      <c r="BD4924" s="2" t="s">
        <v>82</v>
      </c>
      <c r="BE4924" s="2">
        <v>41</v>
      </c>
      <c r="BF4924" s="2" t="s">
        <v>82</v>
      </c>
      <c r="BG4924" s="2"/>
      <c r="BH4924" s="2"/>
      <c r="BI4924" s="2"/>
      <c r="BJ4924" s="2">
        <v>241</v>
      </c>
      <c r="BK4924" s="2" t="s">
        <v>82</v>
      </c>
      <c r="BL4924" s="2"/>
      <c r="BM4924" s="2">
        <v>241</v>
      </c>
      <c r="BN4924" s="2" t="s">
        <v>82</v>
      </c>
      <c r="BO4924" s="2"/>
      <c r="BP4924" s="2">
        <v>241</v>
      </c>
      <c r="BQ4924" s="2" t="s">
        <v>82</v>
      </c>
      <c r="BR4924" s="2"/>
      <c r="BS4924" s="3">
        <v>40515</v>
      </c>
      <c r="BT4924" s="4">
        <v>3.9039351851851853E-2</v>
      </c>
    </row>
    <row r="4925" spans="1:72" x14ac:dyDescent="0.25">
      <c r="A4925" s="2">
        <v>7641</v>
      </c>
      <c r="B4925" s="2">
        <v>2010</v>
      </c>
      <c r="C4925" s="2" t="s">
        <v>121</v>
      </c>
      <c r="D4925" s="2" t="s">
        <v>122</v>
      </c>
      <c r="E4925" s="2"/>
      <c r="F4925" s="2">
        <v>1</v>
      </c>
      <c r="G4925" s="2" t="s">
        <v>82</v>
      </c>
      <c r="H4925" s="2">
        <v>1</v>
      </c>
      <c r="I4925" s="2" t="s">
        <v>82</v>
      </c>
      <c r="J4925" s="2">
        <v>1</v>
      </c>
      <c r="K4925" s="2" t="s">
        <v>107</v>
      </c>
      <c r="L4925" s="2" t="s">
        <v>107</v>
      </c>
      <c r="M4925" s="3">
        <v>40515</v>
      </c>
      <c r="N4925" s="2"/>
      <c r="O4925" s="2"/>
      <c r="P4925" s="2"/>
      <c r="Q4925" s="2" t="str">
        <f>""</f>
        <v/>
      </c>
      <c r="R4925" s="2"/>
      <c r="S4925" s="2"/>
      <c r="T4925" s="2">
        <v>2</v>
      </c>
      <c r="U4925" s="2" t="s">
        <v>123</v>
      </c>
      <c r="V4925" s="2">
        <v>1</v>
      </c>
      <c r="W4925" s="2" t="s">
        <v>80</v>
      </c>
      <c r="X4925" s="2">
        <v>11</v>
      </c>
      <c r="Y4925" s="2" t="s">
        <v>1920</v>
      </c>
      <c r="Z4925" s="2">
        <v>1</v>
      </c>
      <c r="AA4925" s="2" t="s">
        <v>82</v>
      </c>
      <c r="AB4925" s="2">
        <v>9</v>
      </c>
      <c r="AC4925" s="2" t="s">
        <v>124</v>
      </c>
      <c r="AD4925" s="3">
        <v>40514</v>
      </c>
      <c r="AE4925" s="4">
        <v>9.6527777777777768E-2</v>
      </c>
      <c r="AF4925" s="2"/>
      <c r="AG4925" s="2"/>
      <c r="AH4925" s="2">
        <v>2</v>
      </c>
      <c r="AI4925" s="2" t="s">
        <v>84</v>
      </c>
      <c r="AJ4925" s="2">
        <v>8</v>
      </c>
      <c r="AK4925" s="2" t="s">
        <v>436</v>
      </c>
      <c r="AL4925" s="2">
        <v>10</v>
      </c>
      <c r="AM4925" s="2" t="s">
        <v>200</v>
      </c>
      <c r="AN4925" s="2"/>
      <c r="AO4925" s="2" t="s">
        <v>230</v>
      </c>
      <c r="AP4925" s="2">
        <v>11</v>
      </c>
      <c r="AQ4925" s="2" t="s">
        <v>82</v>
      </c>
      <c r="AR4925" s="2"/>
      <c r="AS4925" s="2"/>
      <c r="AT4925" s="2" t="s">
        <v>15164</v>
      </c>
      <c r="AU4925" s="2"/>
      <c r="AV4925" s="2"/>
      <c r="AW4925" s="2"/>
      <c r="AX4925" s="2"/>
      <c r="AY4925" s="2">
        <v>41</v>
      </c>
      <c r="AZ4925" s="2" t="s">
        <v>82</v>
      </c>
      <c r="BA4925" s="2">
        <v>41</v>
      </c>
      <c r="BB4925" s="2" t="s">
        <v>82</v>
      </c>
      <c r="BC4925" s="2">
        <v>41</v>
      </c>
      <c r="BD4925" s="2" t="s">
        <v>82</v>
      </c>
      <c r="BE4925" s="2">
        <v>41</v>
      </c>
      <c r="BF4925" s="2" t="s">
        <v>82</v>
      </c>
      <c r="BG4925" s="2"/>
      <c r="BH4925" s="2"/>
      <c r="BI4925" s="2"/>
      <c r="BJ4925" s="2">
        <v>241</v>
      </c>
      <c r="BK4925" s="2" t="s">
        <v>82</v>
      </c>
      <c r="BL4925" s="2"/>
      <c r="BM4925" s="2">
        <v>241</v>
      </c>
      <c r="BN4925" s="2" t="s">
        <v>82</v>
      </c>
      <c r="BO4925" s="2"/>
      <c r="BP4925" s="2">
        <v>241</v>
      </c>
      <c r="BQ4925" s="2" t="s">
        <v>82</v>
      </c>
      <c r="BR4925" s="2"/>
      <c r="BS4925" s="3">
        <v>40515</v>
      </c>
      <c r="BT4925" s="4">
        <v>0.11008101851851852</v>
      </c>
    </row>
    <row r="4926" spans="1:72" x14ac:dyDescent="0.25">
      <c r="A4926" s="2">
        <v>7642</v>
      </c>
      <c r="B4926" s="2">
        <v>2010</v>
      </c>
      <c r="C4926" s="2" t="s">
        <v>72</v>
      </c>
      <c r="D4926" s="2" t="s">
        <v>73</v>
      </c>
      <c r="E4926" s="2"/>
      <c r="F4926" s="2">
        <v>187</v>
      </c>
      <c r="G4926" s="2" t="s">
        <v>15165</v>
      </c>
      <c r="H4926" s="2">
        <v>42</v>
      </c>
      <c r="I4926" s="2" t="s">
        <v>1096</v>
      </c>
      <c r="J4926" s="2">
        <v>730</v>
      </c>
      <c r="K4926" s="2" t="s">
        <v>15166</v>
      </c>
      <c r="L4926" s="2" t="s">
        <v>15167</v>
      </c>
      <c r="M4926" s="3">
        <v>40515</v>
      </c>
      <c r="N4926" s="2" t="s">
        <v>15168</v>
      </c>
      <c r="O4926" s="2"/>
      <c r="P4926" s="2"/>
      <c r="Q4926" s="2" t="str">
        <f>"438-A/10"</f>
        <v>438-A/10</v>
      </c>
      <c r="R4926" s="2" t="s">
        <v>156</v>
      </c>
      <c r="S4926" s="2" t="s">
        <v>156</v>
      </c>
      <c r="T4926" s="2">
        <v>1</v>
      </c>
      <c r="U4926" s="2" t="s">
        <v>79</v>
      </c>
      <c r="V4926" s="2">
        <v>1</v>
      </c>
      <c r="W4926" s="2" t="s">
        <v>80</v>
      </c>
      <c r="X4926" s="2">
        <v>12</v>
      </c>
      <c r="Y4926" s="2" t="s">
        <v>148</v>
      </c>
      <c r="Z4926" s="2">
        <v>1</v>
      </c>
      <c r="AA4926" s="2" t="s">
        <v>82</v>
      </c>
      <c r="AB4926" s="2">
        <v>6</v>
      </c>
      <c r="AC4926" s="2" t="s">
        <v>83</v>
      </c>
      <c r="AD4926" s="2"/>
      <c r="AE4926" s="2"/>
      <c r="AF4926" s="3">
        <v>40514</v>
      </c>
      <c r="AG4926" s="4">
        <v>0.85416666666666663</v>
      </c>
      <c r="AH4926" s="2">
        <v>2</v>
      </c>
      <c r="AI4926" s="2" t="s">
        <v>84</v>
      </c>
      <c r="AJ4926" s="2">
        <v>12</v>
      </c>
      <c r="AK4926" s="2" t="s">
        <v>85</v>
      </c>
      <c r="AL4926" s="2">
        <v>10</v>
      </c>
      <c r="AM4926" s="2" t="s">
        <v>200</v>
      </c>
      <c r="AN4926" s="2" t="s">
        <v>15169</v>
      </c>
      <c r="AO4926" s="2" t="s">
        <v>15170</v>
      </c>
      <c r="AP4926" s="2">
        <v>11</v>
      </c>
      <c r="AQ4926" s="2" t="s">
        <v>82</v>
      </c>
      <c r="AR4926" s="2"/>
      <c r="AS4926" s="2"/>
      <c r="AT4926" s="2" t="s">
        <v>15171</v>
      </c>
      <c r="AU4926" s="2"/>
      <c r="AV4926" s="2"/>
      <c r="AW4926" s="2"/>
      <c r="AX4926" s="2"/>
      <c r="AY4926" s="2">
        <v>41</v>
      </c>
      <c r="AZ4926" s="2" t="s">
        <v>82</v>
      </c>
      <c r="BA4926" s="2">
        <v>41</v>
      </c>
      <c r="BB4926" s="2" t="s">
        <v>82</v>
      </c>
      <c r="BC4926" s="2">
        <v>41</v>
      </c>
      <c r="BD4926" s="2" t="s">
        <v>82</v>
      </c>
      <c r="BE4926" s="2">
        <v>41</v>
      </c>
      <c r="BF4926" s="2" t="s">
        <v>82</v>
      </c>
      <c r="BG4926" s="2"/>
      <c r="BH4926" s="2"/>
      <c r="BI4926" s="2"/>
      <c r="BJ4926" s="2">
        <v>241</v>
      </c>
      <c r="BK4926" s="2" t="s">
        <v>82</v>
      </c>
      <c r="BL4926" s="2"/>
      <c r="BM4926" s="2">
        <v>241</v>
      </c>
      <c r="BN4926" s="2" t="s">
        <v>82</v>
      </c>
      <c r="BO4926" s="2"/>
      <c r="BP4926" s="2">
        <v>241</v>
      </c>
      <c r="BQ4926" s="2" t="s">
        <v>82</v>
      </c>
      <c r="BR4926" s="2"/>
      <c r="BS4926" s="3">
        <v>40515</v>
      </c>
      <c r="BT4926" s="4">
        <v>0.17015046296296296</v>
      </c>
    </row>
    <row r="4927" spans="1:72" x14ac:dyDescent="0.25">
      <c r="A4927" s="2">
        <v>7643</v>
      </c>
      <c r="B4927" s="2">
        <v>2010</v>
      </c>
      <c r="C4927" s="2" t="s">
        <v>121</v>
      </c>
      <c r="D4927" s="2" t="s">
        <v>122</v>
      </c>
      <c r="E4927" s="2"/>
      <c r="F4927" s="2">
        <v>1</v>
      </c>
      <c r="G4927" s="2" t="s">
        <v>82</v>
      </c>
      <c r="H4927" s="2">
        <v>1</v>
      </c>
      <c r="I4927" s="2" t="s">
        <v>82</v>
      </c>
      <c r="J4927" s="2">
        <v>1</v>
      </c>
      <c r="K4927" s="2" t="s">
        <v>107</v>
      </c>
      <c r="L4927" s="2" t="s">
        <v>107</v>
      </c>
      <c r="M4927" s="3">
        <v>40515</v>
      </c>
      <c r="N4927" s="2"/>
      <c r="O4927" s="2"/>
      <c r="P4927" s="2"/>
      <c r="Q4927" s="2" t="str">
        <f>""</f>
        <v/>
      </c>
      <c r="R4927" s="2"/>
      <c r="S4927" s="2"/>
      <c r="T4927" s="2">
        <v>2</v>
      </c>
      <c r="U4927" s="2" t="s">
        <v>123</v>
      </c>
      <c r="V4927" s="2">
        <v>1</v>
      </c>
      <c r="W4927" s="2" t="s">
        <v>80</v>
      </c>
      <c r="X4927" s="2">
        <v>11</v>
      </c>
      <c r="Y4927" s="2" t="s">
        <v>1920</v>
      </c>
      <c r="Z4927" s="2">
        <v>1</v>
      </c>
      <c r="AA4927" s="2" t="s">
        <v>82</v>
      </c>
      <c r="AB4927" s="2">
        <v>9</v>
      </c>
      <c r="AC4927" s="2" t="s">
        <v>124</v>
      </c>
      <c r="AD4927" s="3">
        <v>40514</v>
      </c>
      <c r="AE4927" s="4">
        <v>0.96527777777777779</v>
      </c>
      <c r="AF4927" s="2"/>
      <c r="AG4927" s="2"/>
      <c r="AH4927" s="2">
        <v>2</v>
      </c>
      <c r="AI4927" s="2" t="s">
        <v>84</v>
      </c>
      <c r="AJ4927" s="2">
        <v>12</v>
      </c>
      <c r="AK4927" s="2" t="s">
        <v>85</v>
      </c>
      <c r="AL4927" s="2">
        <v>20</v>
      </c>
      <c r="AM4927" s="2" t="s">
        <v>992</v>
      </c>
      <c r="AN4927" s="2"/>
      <c r="AO4927" s="2" t="s">
        <v>15172</v>
      </c>
      <c r="AP4927" s="2">
        <v>11</v>
      </c>
      <c r="AQ4927" s="2" t="s">
        <v>82</v>
      </c>
      <c r="AR4927" s="2"/>
      <c r="AS4927" s="2"/>
      <c r="AT4927" s="2" t="s">
        <v>15173</v>
      </c>
      <c r="AU4927" s="2"/>
      <c r="AV4927" s="2"/>
      <c r="AW4927" s="2"/>
      <c r="AX4927" s="2"/>
      <c r="AY4927" s="2">
        <v>41</v>
      </c>
      <c r="AZ4927" s="2" t="s">
        <v>82</v>
      </c>
      <c r="BA4927" s="2">
        <v>41</v>
      </c>
      <c r="BB4927" s="2" t="s">
        <v>82</v>
      </c>
      <c r="BC4927" s="2">
        <v>70</v>
      </c>
      <c r="BD4927" s="2" t="s">
        <v>236</v>
      </c>
      <c r="BE4927" s="2">
        <v>41</v>
      </c>
      <c r="BF4927" s="2" t="s">
        <v>82</v>
      </c>
      <c r="BG4927" s="2"/>
      <c r="BH4927" s="4">
        <v>0.96527777777777779</v>
      </c>
      <c r="BI4927" s="2"/>
      <c r="BJ4927" s="2">
        <v>146</v>
      </c>
      <c r="BK4927" s="2" t="s">
        <v>1388</v>
      </c>
      <c r="BL4927" s="2"/>
      <c r="BM4927" s="2">
        <v>241</v>
      </c>
      <c r="BN4927" s="2" t="s">
        <v>82</v>
      </c>
      <c r="BO4927" s="2"/>
      <c r="BP4927" s="2">
        <v>13</v>
      </c>
      <c r="BQ4927" s="2" t="s">
        <v>91</v>
      </c>
      <c r="BR4927" s="2" t="s">
        <v>185</v>
      </c>
      <c r="BS4927" s="3">
        <v>40515</v>
      </c>
      <c r="BT4927" s="4">
        <v>0.19585648148148149</v>
      </c>
    </row>
    <row r="4928" spans="1:72" x14ac:dyDescent="0.25">
      <c r="A4928" s="2">
        <v>7644</v>
      </c>
      <c r="B4928" s="2">
        <v>2010</v>
      </c>
      <c r="C4928" s="2" t="s">
        <v>121</v>
      </c>
      <c r="D4928" s="2" t="s">
        <v>122</v>
      </c>
      <c r="E4928" s="2"/>
      <c r="F4928" s="2">
        <v>1</v>
      </c>
      <c r="G4928" s="2" t="s">
        <v>82</v>
      </c>
      <c r="H4928" s="2">
        <v>50</v>
      </c>
      <c r="I4928" s="2" t="s">
        <v>107</v>
      </c>
      <c r="J4928" s="2">
        <v>1</v>
      </c>
      <c r="K4928" s="2" t="s">
        <v>107</v>
      </c>
      <c r="L4928" s="2" t="s">
        <v>107</v>
      </c>
      <c r="M4928" s="3">
        <v>40515</v>
      </c>
      <c r="N4928" s="2"/>
      <c r="O4928" s="2"/>
      <c r="P4928" s="2"/>
      <c r="Q4928" s="2" t="str">
        <f>""</f>
        <v/>
      </c>
      <c r="R4928" s="2"/>
      <c r="S4928" s="2"/>
      <c r="T4928" s="2">
        <v>2</v>
      </c>
      <c r="U4928" s="2" t="s">
        <v>123</v>
      </c>
      <c r="V4928" s="2">
        <v>1</v>
      </c>
      <c r="W4928" s="2" t="s">
        <v>80</v>
      </c>
      <c r="X4928" s="2">
        <v>11</v>
      </c>
      <c r="Y4928" s="2" t="s">
        <v>1920</v>
      </c>
      <c r="Z4928" s="2">
        <v>1</v>
      </c>
      <c r="AA4928" s="2" t="s">
        <v>82</v>
      </c>
      <c r="AB4928" s="2">
        <v>9</v>
      </c>
      <c r="AC4928" s="2" t="s">
        <v>124</v>
      </c>
      <c r="AD4928" s="3">
        <v>40515</v>
      </c>
      <c r="AE4928" s="4">
        <v>0.20486111111111113</v>
      </c>
      <c r="AF4928" s="2"/>
      <c r="AG4928" s="2"/>
      <c r="AH4928" s="2">
        <v>2</v>
      </c>
      <c r="AI4928" s="2" t="s">
        <v>84</v>
      </c>
      <c r="AJ4928" s="2">
        <v>12</v>
      </c>
      <c r="AK4928" s="2" t="s">
        <v>85</v>
      </c>
      <c r="AL4928" s="2">
        <v>20</v>
      </c>
      <c r="AM4928" s="2" t="s">
        <v>992</v>
      </c>
      <c r="AN4928" s="2"/>
      <c r="AO4928" s="2" t="s">
        <v>15172</v>
      </c>
      <c r="AP4928" s="2">
        <v>11</v>
      </c>
      <c r="AQ4928" s="2" t="s">
        <v>82</v>
      </c>
      <c r="AR4928" s="2"/>
      <c r="AS4928" s="2"/>
      <c r="AT4928" s="2" t="s">
        <v>15174</v>
      </c>
      <c r="AU4928" s="2"/>
      <c r="AV4928" s="2"/>
      <c r="AW4928" s="2"/>
      <c r="AX4928" s="2"/>
      <c r="AY4928" s="2">
        <v>41</v>
      </c>
      <c r="AZ4928" s="2" t="s">
        <v>82</v>
      </c>
      <c r="BA4928" s="2">
        <v>41</v>
      </c>
      <c r="BB4928" s="2" t="s">
        <v>82</v>
      </c>
      <c r="BC4928" s="2">
        <v>70</v>
      </c>
      <c r="BD4928" s="2" t="s">
        <v>236</v>
      </c>
      <c r="BE4928" s="2">
        <v>41</v>
      </c>
      <c r="BF4928" s="2" t="s">
        <v>82</v>
      </c>
      <c r="BG4928" s="2"/>
      <c r="BH4928" s="4">
        <v>0.20486111111111113</v>
      </c>
      <c r="BI4928" s="2"/>
      <c r="BJ4928" s="2">
        <v>66</v>
      </c>
      <c r="BK4928" s="2" t="s">
        <v>2681</v>
      </c>
      <c r="BL4928" s="2"/>
      <c r="BM4928" s="2">
        <v>241</v>
      </c>
      <c r="BN4928" s="2" t="s">
        <v>82</v>
      </c>
      <c r="BO4928" s="2"/>
      <c r="BP4928" s="2">
        <v>13</v>
      </c>
      <c r="BQ4928" s="2" t="s">
        <v>91</v>
      </c>
      <c r="BR4928" s="2" t="s">
        <v>185</v>
      </c>
      <c r="BS4928" s="3">
        <v>40515</v>
      </c>
      <c r="BT4928" s="4">
        <v>0.26861111111111108</v>
      </c>
    </row>
    <row r="4929" spans="1:72" x14ac:dyDescent="0.25">
      <c r="A4929" s="2">
        <v>7645</v>
      </c>
      <c r="B4929" s="2">
        <v>2010</v>
      </c>
      <c r="C4929" s="2" t="s">
        <v>1660</v>
      </c>
      <c r="D4929" s="2" t="s">
        <v>73</v>
      </c>
      <c r="E4929" s="2"/>
      <c r="F4929" s="2">
        <v>389</v>
      </c>
      <c r="G4929" s="2" t="s">
        <v>1819</v>
      </c>
      <c r="H4929" s="2">
        <v>4</v>
      </c>
      <c r="I4929" s="2" t="s">
        <v>173</v>
      </c>
      <c r="J4929" s="2">
        <v>399</v>
      </c>
      <c r="K4929" s="2" t="s">
        <v>1820</v>
      </c>
      <c r="L4929" s="2" t="s">
        <v>1821</v>
      </c>
      <c r="M4929" s="3">
        <v>40515</v>
      </c>
      <c r="N4929" s="2" t="s">
        <v>2621</v>
      </c>
      <c r="O4929" s="2" t="s">
        <v>480</v>
      </c>
      <c r="P4929" s="2"/>
      <c r="Q4929" s="2" t="str">
        <f>"650-E/10"</f>
        <v>650-E/10</v>
      </c>
      <c r="R4929" s="2" t="s">
        <v>480</v>
      </c>
      <c r="S4929" s="2"/>
      <c r="T4929" s="2">
        <v>1</v>
      </c>
      <c r="U4929" s="2" t="s">
        <v>79</v>
      </c>
      <c r="V4929" s="2">
        <v>1</v>
      </c>
      <c r="W4929" s="2" t="s">
        <v>80</v>
      </c>
      <c r="X4929" s="2">
        <v>1</v>
      </c>
      <c r="Y4929" s="2" t="s">
        <v>81</v>
      </c>
      <c r="Z4929" s="2">
        <v>1</v>
      </c>
      <c r="AA4929" s="2" t="s">
        <v>82</v>
      </c>
      <c r="AB4929" s="2">
        <v>3</v>
      </c>
      <c r="AC4929" s="2" t="s">
        <v>1663</v>
      </c>
      <c r="AD4929" s="3">
        <v>40514</v>
      </c>
      <c r="AE4929" s="4">
        <v>0.89583333333333337</v>
      </c>
      <c r="AF4929" s="3">
        <v>40514</v>
      </c>
      <c r="AG4929" s="2"/>
      <c r="AH4929" s="2">
        <v>2</v>
      </c>
      <c r="AI4929" s="2" t="s">
        <v>84</v>
      </c>
      <c r="AJ4929" s="2">
        <v>9</v>
      </c>
      <c r="AK4929" s="2" t="s">
        <v>103</v>
      </c>
      <c r="AL4929" s="2">
        <v>25</v>
      </c>
      <c r="AM4929" s="2" t="s">
        <v>3073</v>
      </c>
      <c r="AN4929" s="2" t="s">
        <v>4116</v>
      </c>
      <c r="AO4929" s="2" t="s">
        <v>14117</v>
      </c>
      <c r="AP4929" s="2">
        <v>11</v>
      </c>
      <c r="AQ4929" s="2" t="s">
        <v>82</v>
      </c>
      <c r="AR4929" s="2"/>
      <c r="AS4929" s="2"/>
      <c r="AT4929" s="2" t="s">
        <v>15175</v>
      </c>
      <c r="AU4929" s="2"/>
      <c r="AV4929" s="2"/>
      <c r="AW4929" s="2"/>
      <c r="AX4929" s="2"/>
      <c r="AY4929" s="2">
        <v>41</v>
      </c>
      <c r="AZ4929" s="2" t="s">
        <v>82</v>
      </c>
      <c r="BA4929" s="2">
        <v>41</v>
      </c>
      <c r="BB4929" s="2" t="s">
        <v>82</v>
      </c>
      <c r="BC4929" s="2">
        <v>41</v>
      </c>
      <c r="BD4929" s="2" t="s">
        <v>82</v>
      </c>
      <c r="BE4929" s="2">
        <v>41</v>
      </c>
      <c r="BF4929" s="2" t="s">
        <v>82</v>
      </c>
      <c r="BG4929" s="2"/>
      <c r="BH4929" s="2"/>
      <c r="BI4929" s="2"/>
      <c r="BJ4929" s="2">
        <v>241</v>
      </c>
      <c r="BK4929" s="2" t="s">
        <v>82</v>
      </c>
      <c r="BL4929" s="2"/>
      <c r="BM4929" s="2">
        <v>241</v>
      </c>
      <c r="BN4929" s="2" t="s">
        <v>82</v>
      </c>
      <c r="BO4929" s="2"/>
      <c r="BP4929" s="2">
        <v>241</v>
      </c>
      <c r="BQ4929" s="2" t="s">
        <v>82</v>
      </c>
      <c r="BR4929" s="2"/>
      <c r="BS4929" s="3">
        <v>40515</v>
      </c>
      <c r="BT4929" s="4">
        <v>0.27252314814814815</v>
      </c>
    </row>
    <row r="4930" spans="1:72" x14ac:dyDescent="0.25">
      <c r="A4930" s="2">
        <v>7646</v>
      </c>
      <c r="B4930" s="2">
        <v>2010</v>
      </c>
      <c r="C4930" s="2" t="s">
        <v>121</v>
      </c>
      <c r="D4930" s="2" t="s">
        <v>122</v>
      </c>
      <c r="E4930" s="2"/>
      <c r="F4930" s="2">
        <v>1</v>
      </c>
      <c r="G4930" s="2" t="s">
        <v>82</v>
      </c>
      <c r="H4930" s="2">
        <v>1</v>
      </c>
      <c r="I4930" s="2" t="s">
        <v>82</v>
      </c>
      <c r="J4930" s="2">
        <v>1</v>
      </c>
      <c r="K4930" s="2" t="s">
        <v>107</v>
      </c>
      <c r="L4930" s="2" t="s">
        <v>107</v>
      </c>
      <c r="M4930" s="3">
        <v>40515</v>
      </c>
      <c r="N4930" s="2"/>
      <c r="O4930" s="2"/>
      <c r="P4930" s="2"/>
      <c r="Q4930" s="2" t="str">
        <f>""</f>
        <v/>
      </c>
      <c r="R4930" s="2"/>
      <c r="S4930" s="2"/>
      <c r="T4930" s="2">
        <v>2</v>
      </c>
      <c r="U4930" s="2" t="s">
        <v>123</v>
      </c>
      <c r="V4930" s="2">
        <v>1</v>
      </c>
      <c r="W4930" s="2" t="s">
        <v>80</v>
      </c>
      <c r="X4930" s="2">
        <v>11</v>
      </c>
      <c r="Y4930" s="2" t="s">
        <v>1920</v>
      </c>
      <c r="Z4930" s="2">
        <v>1</v>
      </c>
      <c r="AA4930" s="2" t="s">
        <v>82</v>
      </c>
      <c r="AB4930" s="2">
        <v>9</v>
      </c>
      <c r="AC4930" s="2" t="s">
        <v>124</v>
      </c>
      <c r="AD4930" s="3">
        <v>40515</v>
      </c>
      <c r="AE4930" s="4">
        <v>0.31944444444444448</v>
      </c>
      <c r="AF4930" s="2"/>
      <c r="AG4930" s="2"/>
      <c r="AH4930" s="2">
        <v>2</v>
      </c>
      <c r="AI4930" s="2" t="s">
        <v>84</v>
      </c>
      <c r="AJ4930" s="2">
        <v>8</v>
      </c>
      <c r="AK4930" s="2" t="s">
        <v>436</v>
      </c>
      <c r="AL4930" s="2">
        <v>19</v>
      </c>
      <c r="AM4930" s="2" t="s">
        <v>107</v>
      </c>
      <c r="AN4930" s="2"/>
      <c r="AO4930" s="2" t="s">
        <v>230</v>
      </c>
      <c r="AP4930" s="2">
        <v>11</v>
      </c>
      <c r="AQ4930" s="2" t="s">
        <v>82</v>
      </c>
      <c r="AR4930" s="2"/>
      <c r="AS4930" s="2"/>
      <c r="AT4930" s="2" t="s">
        <v>15176</v>
      </c>
      <c r="AU4930" s="2"/>
      <c r="AV4930" s="2"/>
      <c r="AW4930" s="2"/>
      <c r="AX4930" s="2"/>
      <c r="AY4930" s="2">
        <v>41</v>
      </c>
      <c r="AZ4930" s="2" t="s">
        <v>82</v>
      </c>
      <c r="BA4930" s="2">
        <v>41</v>
      </c>
      <c r="BB4930" s="2" t="s">
        <v>82</v>
      </c>
      <c r="BC4930" s="2">
        <v>41</v>
      </c>
      <c r="BD4930" s="2" t="s">
        <v>82</v>
      </c>
      <c r="BE4930" s="2">
        <v>41</v>
      </c>
      <c r="BF4930" s="2" t="s">
        <v>82</v>
      </c>
      <c r="BG4930" s="2"/>
      <c r="BH4930" s="2"/>
      <c r="BI4930" s="2"/>
      <c r="BJ4930" s="2">
        <v>241</v>
      </c>
      <c r="BK4930" s="2" t="s">
        <v>82</v>
      </c>
      <c r="BL4930" s="2"/>
      <c r="BM4930" s="2">
        <v>241</v>
      </c>
      <c r="BN4930" s="2" t="s">
        <v>82</v>
      </c>
      <c r="BO4930" s="2"/>
      <c r="BP4930" s="2">
        <v>241</v>
      </c>
      <c r="BQ4930" s="2" t="s">
        <v>82</v>
      </c>
      <c r="BR4930" s="2"/>
      <c r="BS4930" s="3">
        <v>40515</v>
      </c>
      <c r="BT4930" s="4">
        <v>0.43133101851851857</v>
      </c>
    </row>
    <row r="4931" spans="1:72" x14ac:dyDescent="0.25">
      <c r="A4931" s="2">
        <v>7647</v>
      </c>
      <c r="B4931" s="2">
        <v>2010</v>
      </c>
      <c r="C4931" s="2" t="s">
        <v>806</v>
      </c>
      <c r="D4931" s="2" t="s">
        <v>73</v>
      </c>
      <c r="E4931" s="2" t="s">
        <v>15177</v>
      </c>
      <c r="F4931" s="2">
        <v>530</v>
      </c>
      <c r="G4931" s="2" t="s">
        <v>3315</v>
      </c>
      <c r="H4931" s="2">
        <v>144</v>
      </c>
      <c r="I4931" s="2" t="s">
        <v>2111</v>
      </c>
      <c r="J4931" s="2">
        <v>686</v>
      </c>
      <c r="K4931" s="2" t="s">
        <v>13375</v>
      </c>
      <c r="L4931" s="2" t="s">
        <v>1792</v>
      </c>
      <c r="M4931" s="3">
        <v>40515</v>
      </c>
      <c r="N4931" s="2"/>
      <c r="O4931" s="2" t="s">
        <v>14814</v>
      </c>
      <c r="P4931" s="2"/>
      <c r="Q4931" s="2" t="str">
        <f>"EXTE 04/07 Inc.35"</f>
        <v>EXTE 04/07 Inc.35</v>
      </c>
      <c r="R4931" s="2"/>
      <c r="S4931" s="2"/>
      <c r="T4931" s="2">
        <v>1</v>
      </c>
      <c r="U4931" s="2" t="s">
        <v>79</v>
      </c>
      <c r="V4931" s="2">
        <v>1</v>
      </c>
      <c r="W4931" s="2" t="s">
        <v>80</v>
      </c>
      <c r="X4931" s="2">
        <v>5</v>
      </c>
      <c r="Y4931" s="2" t="s">
        <v>82</v>
      </c>
      <c r="Z4931" s="2">
        <v>1</v>
      </c>
      <c r="AA4931" s="2" t="s">
        <v>82</v>
      </c>
      <c r="AB4931" s="2">
        <v>9</v>
      </c>
      <c r="AC4931" s="2" t="s">
        <v>124</v>
      </c>
      <c r="AD4931" s="3">
        <v>40515</v>
      </c>
      <c r="AE4931" s="4">
        <v>0.4375</v>
      </c>
      <c r="AF4931" s="2"/>
      <c r="AG4931" s="2"/>
      <c r="AH4931" s="2">
        <v>3</v>
      </c>
      <c r="AI4931" s="2" t="s">
        <v>214</v>
      </c>
      <c r="AJ4931" s="2">
        <v>19</v>
      </c>
      <c r="AK4931" s="2" t="s">
        <v>4901</v>
      </c>
      <c r="AL4931" s="2">
        <v>19</v>
      </c>
      <c r="AM4931" s="2" t="s">
        <v>107</v>
      </c>
      <c r="AN4931" s="2"/>
      <c r="AO4931" s="2"/>
      <c r="AP4931" s="2">
        <v>11</v>
      </c>
      <c r="AQ4931" s="2" t="s">
        <v>82</v>
      </c>
      <c r="AR4931" s="2"/>
      <c r="AS4931" s="2"/>
      <c r="AT4931" s="2" t="s">
        <v>15178</v>
      </c>
      <c r="AU4931" s="2"/>
      <c r="AV4931" s="2"/>
      <c r="AW4931" s="2"/>
      <c r="AX4931" s="2"/>
      <c r="AY4931" s="2">
        <v>1</v>
      </c>
      <c r="AZ4931" s="2" t="s">
        <v>107</v>
      </c>
      <c r="BA4931" s="2">
        <v>1</v>
      </c>
      <c r="BB4931" s="2" t="s">
        <v>107</v>
      </c>
      <c r="BC4931" s="2">
        <v>1</v>
      </c>
      <c r="BD4931" s="2" t="s">
        <v>107</v>
      </c>
      <c r="BE4931" s="2">
        <v>41</v>
      </c>
      <c r="BF4931" s="2" t="s">
        <v>82</v>
      </c>
      <c r="BG4931" s="2"/>
      <c r="BH4931" s="2"/>
      <c r="BI4931" s="2"/>
      <c r="BJ4931" s="2">
        <v>241</v>
      </c>
      <c r="BK4931" s="2" t="s">
        <v>82</v>
      </c>
      <c r="BL4931" s="2"/>
      <c r="BM4931" s="2">
        <v>242</v>
      </c>
      <c r="BN4931" s="2" t="s">
        <v>107</v>
      </c>
      <c r="BO4931" s="2"/>
      <c r="BP4931" s="2">
        <v>241</v>
      </c>
      <c r="BQ4931" s="2" t="s">
        <v>82</v>
      </c>
      <c r="BR4931" s="2"/>
      <c r="BS4931" s="3">
        <v>40515</v>
      </c>
      <c r="BT4931" s="4">
        <v>0.48394675925925923</v>
      </c>
    </row>
    <row r="4932" spans="1:72" x14ac:dyDescent="0.25">
      <c r="A4932" s="2">
        <v>7648</v>
      </c>
      <c r="B4932" s="2">
        <v>2010</v>
      </c>
      <c r="C4932" s="2" t="s">
        <v>121</v>
      </c>
      <c r="D4932" s="2" t="s">
        <v>122</v>
      </c>
      <c r="E4932" s="2"/>
      <c r="F4932" s="2">
        <v>1</v>
      </c>
      <c r="G4932" s="2" t="s">
        <v>82</v>
      </c>
      <c r="H4932" s="2">
        <v>1</v>
      </c>
      <c r="I4932" s="2" t="s">
        <v>82</v>
      </c>
      <c r="J4932" s="2">
        <v>1</v>
      </c>
      <c r="K4932" s="2" t="s">
        <v>107</v>
      </c>
      <c r="L4932" s="2" t="s">
        <v>107</v>
      </c>
      <c r="M4932" s="3">
        <v>40515</v>
      </c>
      <c r="N4932" s="2"/>
      <c r="O4932" s="2"/>
      <c r="P4932" s="2"/>
      <c r="Q4932" s="2" t="str">
        <f>""</f>
        <v/>
      </c>
      <c r="R4932" s="2"/>
      <c r="S4932" s="2"/>
      <c r="T4932" s="2">
        <v>2</v>
      </c>
      <c r="U4932" s="2" t="s">
        <v>123</v>
      </c>
      <c r="V4932" s="2">
        <v>1</v>
      </c>
      <c r="W4932" s="2" t="s">
        <v>80</v>
      </c>
      <c r="X4932" s="2">
        <v>11</v>
      </c>
      <c r="Y4932" s="2" t="s">
        <v>1920</v>
      </c>
      <c r="Z4932" s="2">
        <v>1</v>
      </c>
      <c r="AA4932" s="2" t="s">
        <v>82</v>
      </c>
      <c r="AB4932" s="2">
        <v>9</v>
      </c>
      <c r="AC4932" s="2" t="s">
        <v>124</v>
      </c>
      <c r="AD4932" s="3">
        <v>40515</v>
      </c>
      <c r="AE4932" s="4">
        <v>0.46527777777777773</v>
      </c>
      <c r="AF4932" s="2"/>
      <c r="AG4932" s="2"/>
      <c r="AH4932" s="2">
        <v>2</v>
      </c>
      <c r="AI4932" s="2" t="s">
        <v>84</v>
      </c>
      <c r="AJ4932" s="2">
        <v>8</v>
      </c>
      <c r="AK4932" s="2" t="s">
        <v>436</v>
      </c>
      <c r="AL4932" s="2">
        <v>10</v>
      </c>
      <c r="AM4932" s="2" t="s">
        <v>200</v>
      </c>
      <c r="AN4932" s="2"/>
      <c r="AO4932" s="2" t="s">
        <v>230</v>
      </c>
      <c r="AP4932" s="2">
        <v>11</v>
      </c>
      <c r="AQ4932" s="2" t="s">
        <v>82</v>
      </c>
      <c r="AR4932" s="2"/>
      <c r="AS4932" s="2"/>
      <c r="AT4932" s="2" t="s">
        <v>15179</v>
      </c>
      <c r="AU4932" s="2"/>
      <c r="AV4932" s="2"/>
      <c r="AW4932" s="2"/>
      <c r="AX4932" s="2"/>
      <c r="AY4932" s="2">
        <v>41</v>
      </c>
      <c r="AZ4932" s="2" t="s">
        <v>82</v>
      </c>
      <c r="BA4932" s="2">
        <v>41</v>
      </c>
      <c r="BB4932" s="2" t="s">
        <v>82</v>
      </c>
      <c r="BC4932" s="2">
        <v>41</v>
      </c>
      <c r="BD4932" s="2" t="s">
        <v>82</v>
      </c>
      <c r="BE4932" s="2">
        <v>41</v>
      </c>
      <c r="BF4932" s="2" t="s">
        <v>82</v>
      </c>
      <c r="BG4932" s="2"/>
      <c r="BH4932" s="2"/>
      <c r="BI4932" s="2"/>
      <c r="BJ4932" s="2">
        <v>241</v>
      </c>
      <c r="BK4932" s="2" t="s">
        <v>82</v>
      </c>
      <c r="BL4932" s="2"/>
      <c r="BM4932" s="2">
        <v>241</v>
      </c>
      <c r="BN4932" s="2" t="s">
        <v>82</v>
      </c>
      <c r="BO4932" s="2"/>
      <c r="BP4932" s="2">
        <v>241</v>
      </c>
      <c r="BQ4932" s="2" t="s">
        <v>82</v>
      </c>
      <c r="BR4932" s="2"/>
      <c r="BS4932" s="3">
        <v>40515</v>
      </c>
      <c r="BT4932" s="4">
        <v>0.49533564814814812</v>
      </c>
    </row>
    <row r="4933" spans="1:72" x14ac:dyDescent="0.25">
      <c r="A4933" s="2">
        <v>7649</v>
      </c>
      <c r="B4933" s="2">
        <v>2010</v>
      </c>
      <c r="C4933" s="2" t="s">
        <v>93</v>
      </c>
      <c r="D4933" s="2" t="s">
        <v>73</v>
      </c>
      <c r="E4933" s="2"/>
      <c r="F4933" s="2">
        <v>484</v>
      </c>
      <c r="G4933" s="2" t="s">
        <v>1492</v>
      </c>
      <c r="H4933" s="2">
        <v>1</v>
      </c>
      <c r="I4933" s="2" t="s">
        <v>82</v>
      </c>
      <c r="J4933" s="2">
        <v>1</v>
      </c>
      <c r="K4933" s="2" t="s">
        <v>107</v>
      </c>
      <c r="L4933" s="2" t="s">
        <v>107</v>
      </c>
      <c r="M4933" s="3">
        <v>40515</v>
      </c>
      <c r="N4933" s="2" t="s">
        <v>15180</v>
      </c>
      <c r="O4933" s="2" t="s">
        <v>685</v>
      </c>
      <c r="P4933" s="2" t="s">
        <v>107</v>
      </c>
      <c r="Q4933" s="2" t="str">
        <f>"AP_0068_10"</f>
        <v>AP_0068_10</v>
      </c>
      <c r="R4933" s="2" t="s">
        <v>15181</v>
      </c>
      <c r="S4933" s="2" t="s">
        <v>82</v>
      </c>
      <c r="T4933" s="2">
        <v>1</v>
      </c>
      <c r="U4933" s="2" t="s">
        <v>79</v>
      </c>
      <c r="V4933" s="2">
        <v>1</v>
      </c>
      <c r="W4933" s="2" t="s">
        <v>80</v>
      </c>
      <c r="X4933" s="2">
        <v>1</v>
      </c>
      <c r="Y4933" s="2" t="s">
        <v>81</v>
      </c>
      <c r="Z4933" s="2">
        <v>1</v>
      </c>
      <c r="AA4933" s="2" t="s">
        <v>82</v>
      </c>
      <c r="AB4933" s="2">
        <v>2</v>
      </c>
      <c r="AC4933" s="2" t="s">
        <v>102</v>
      </c>
      <c r="AD4933" s="3">
        <v>40515</v>
      </c>
      <c r="AE4933" s="4">
        <v>0.39583333333333331</v>
      </c>
      <c r="AF4933" s="3">
        <v>40515</v>
      </c>
      <c r="AG4933" s="4">
        <v>0.39583333333333331</v>
      </c>
      <c r="AH4933" s="2">
        <v>6</v>
      </c>
      <c r="AI4933" s="2" t="s">
        <v>197</v>
      </c>
      <c r="AJ4933" s="2">
        <v>61</v>
      </c>
      <c r="AK4933" s="2" t="s">
        <v>686</v>
      </c>
      <c r="AL4933" s="2">
        <v>11</v>
      </c>
      <c r="AM4933" s="2" t="s">
        <v>137</v>
      </c>
      <c r="AN4933" s="2"/>
      <c r="AO4933" s="2" t="s">
        <v>5668</v>
      </c>
      <c r="AP4933" s="2">
        <v>11</v>
      </c>
      <c r="AQ4933" s="2" t="s">
        <v>82</v>
      </c>
      <c r="AR4933" s="2" t="s">
        <v>82</v>
      </c>
      <c r="AS4933" s="2" t="s">
        <v>82</v>
      </c>
      <c r="AT4933" s="2" t="s">
        <v>15182</v>
      </c>
      <c r="AU4933" s="2"/>
      <c r="AV4933" s="2"/>
      <c r="AW4933" s="2"/>
      <c r="AX4933" s="2"/>
      <c r="AY4933" s="2">
        <v>41</v>
      </c>
      <c r="AZ4933" s="2" t="s">
        <v>82</v>
      </c>
      <c r="BA4933" s="2">
        <v>41</v>
      </c>
      <c r="BB4933" s="2" t="s">
        <v>82</v>
      </c>
      <c r="BC4933" s="2">
        <v>41</v>
      </c>
      <c r="BD4933" s="2" t="s">
        <v>82</v>
      </c>
      <c r="BE4933" s="2">
        <v>74</v>
      </c>
      <c r="BF4933" s="2" t="s">
        <v>9152</v>
      </c>
      <c r="BG4933" s="2" t="s">
        <v>15183</v>
      </c>
      <c r="BH4933" s="2"/>
      <c r="BI4933" s="4">
        <v>0.40277777777777773</v>
      </c>
      <c r="BJ4933" s="2">
        <v>13</v>
      </c>
      <c r="BK4933" s="2" t="s">
        <v>91</v>
      </c>
      <c r="BL4933" s="2" t="s">
        <v>690</v>
      </c>
      <c r="BM4933" s="2">
        <v>13</v>
      </c>
      <c r="BN4933" s="2" t="s">
        <v>91</v>
      </c>
      <c r="BO4933" s="2"/>
      <c r="BP4933" s="2">
        <v>13</v>
      </c>
      <c r="BQ4933" s="2" t="s">
        <v>91</v>
      </c>
      <c r="BR4933" s="2" t="s">
        <v>492</v>
      </c>
      <c r="BS4933" s="3">
        <v>40515</v>
      </c>
      <c r="BT4933" s="4">
        <v>0.50347222222222221</v>
      </c>
    </row>
    <row r="4934" spans="1:72" x14ac:dyDescent="0.25">
      <c r="A4934" s="2">
        <v>7650</v>
      </c>
      <c r="B4934" s="2">
        <v>2010</v>
      </c>
      <c r="C4934" s="2" t="s">
        <v>385</v>
      </c>
      <c r="D4934" s="2" t="s">
        <v>122</v>
      </c>
      <c r="E4934" s="2"/>
      <c r="F4934" s="2">
        <v>337</v>
      </c>
      <c r="G4934" s="2" t="s">
        <v>1190</v>
      </c>
      <c r="H4934" s="2">
        <v>66</v>
      </c>
      <c r="I4934" s="2" t="s">
        <v>3190</v>
      </c>
      <c r="J4934" s="2">
        <v>309</v>
      </c>
      <c r="K4934" s="2" t="s">
        <v>268</v>
      </c>
      <c r="L4934" s="2" t="s">
        <v>269</v>
      </c>
      <c r="M4934" s="3">
        <v>40515</v>
      </c>
      <c r="N4934" s="2" t="s">
        <v>1192</v>
      </c>
      <c r="O4934" s="2" t="s">
        <v>15184</v>
      </c>
      <c r="P4934" s="2" t="s">
        <v>15149</v>
      </c>
      <c r="Q4934" s="2" t="str">
        <f>"0027/2010"</f>
        <v>0027/2010</v>
      </c>
      <c r="R4934" s="2"/>
      <c r="S4934" s="2"/>
      <c r="T4934" s="2">
        <v>1</v>
      </c>
      <c r="U4934" s="2" t="s">
        <v>79</v>
      </c>
      <c r="V4934" s="2">
        <v>1</v>
      </c>
      <c r="W4934" s="2" t="s">
        <v>80</v>
      </c>
      <c r="X4934" s="2">
        <v>11</v>
      </c>
      <c r="Y4934" s="2" t="s">
        <v>1920</v>
      </c>
      <c r="Z4934" s="2">
        <v>1</v>
      </c>
      <c r="AA4934" s="2" t="s">
        <v>82</v>
      </c>
      <c r="AB4934" s="2">
        <v>9</v>
      </c>
      <c r="AC4934" s="2" t="s">
        <v>124</v>
      </c>
      <c r="AD4934" s="3">
        <v>40514</v>
      </c>
      <c r="AE4934" s="4">
        <v>0.58333333333333337</v>
      </c>
      <c r="AF4934" s="3">
        <v>40514</v>
      </c>
      <c r="AG4934" s="2"/>
      <c r="AH4934" s="2">
        <v>5</v>
      </c>
      <c r="AI4934" s="2" t="s">
        <v>274</v>
      </c>
      <c r="AJ4934" s="2">
        <v>35</v>
      </c>
      <c r="AK4934" s="2" t="s">
        <v>275</v>
      </c>
      <c r="AL4934" s="2">
        <v>23</v>
      </c>
      <c r="AM4934" s="2" t="s">
        <v>251</v>
      </c>
      <c r="AN4934" s="2" t="s">
        <v>15185</v>
      </c>
      <c r="AO4934" s="2" t="s">
        <v>284</v>
      </c>
      <c r="AP4934" s="2">
        <v>11</v>
      </c>
      <c r="AQ4934" s="2" t="s">
        <v>82</v>
      </c>
      <c r="AR4934" s="2"/>
      <c r="AS4934" s="2"/>
      <c r="AT4934" s="2" t="s">
        <v>15186</v>
      </c>
      <c r="AU4934" s="2"/>
      <c r="AV4934" s="2"/>
      <c r="AW4934" s="2"/>
      <c r="AX4934" s="2"/>
      <c r="AY4934" s="2">
        <v>41</v>
      </c>
      <c r="AZ4934" s="2" t="s">
        <v>82</v>
      </c>
      <c r="BA4934" s="2">
        <v>41</v>
      </c>
      <c r="BB4934" s="2" t="s">
        <v>82</v>
      </c>
      <c r="BC4934" s="2">
        <v>41</v>
      </c>
      <c r="BD4934" s="2" t="s">
        <v>82</v>
      </c>
      <c r="BE4934" s="2">
        <v>41</v>
      </c>
      <c r="BF4934" s="2" t="s">
        <v>82</v>
      </c>
      <c r="BG4934" s="2"/>
      <c r="BH4934" s="2"/>
      <c r="BI4934" s="2"/>
      <c r="BJ4934" s="2">
        <v>241</v>
      </c>
      <c r="BK4934" s="2" t="s">
        <v>82</v>
      </c>
      <c r="BL4934" s="2"/>
      <c r="BM4934" s="2">
        <v>241</v>
      </c>
      <c r="BN4934" s="2" t="s">
        <v>82</v>
      </c>
      <c r="BO4934" s="2"/>
      <c r="BP4934" s="2">
        <v>241</v>
      </c>
      <c r="BQ4934" s="2" t="s">
        <v>82</v>
      </c>
      <c r="BR4934" s="2"/>
      <c r="BS4934" s="3">
        <v>40515</v>
      </c>
      <c r="BT4934" s="4">
        <v>0.52128472222222222</v>
      </c>
    </row>
    <row r="4935" spans="1:72" x14ac:dyDescent="0.25">
      <c r="A4935" s="2">
        <v>7651</v>
      </c>
      <c r="B4935" s="2">
        <v>2010</v>
      </c>
      <c r="C4935" s="2" t="s">
        <v>243</v>
      </c>
      <c r="D4935" s="2" t="s">
        <v>73</v>
      </c>
      <c r="E4935" s="2"/>
      <c r="F4935" s="2">
        <v>1</v>
      </c>
      <c r="G4935" s="2" t="s">
        <v>82</v>
      </c>
      <c r="H4935" s="2">
        <v>1</v>
      </c>
      <c r="I4935" s="2" t="s">
        <v>82</v>
      </c>
      <c r="J4935" s="2">
        <v>1</v>
      </c>
      <c r="K4935" s="2" t="s">
        <v>107</v>
      </c>
      <c r="L4935" s="2" t="s">
        <v>107</v>
      </c>
      <c r="M4935" s="3">
        <v>40515</v>
      </c>
      <c r="N4935" s="2"/>
      <c r="O4935" s="2" t="s">
        <v>15187</v>
      </c>
      <c r="P4935" s="2" t="s">
        <v>15188</v>
      </c>
      <c r="Q4935" s="2" t="str">
        <f>"0029/2010"</f>
        <v>0029/2010</v>
      </c>
      <c r="R4935" s="2"/>
      <c r="S4935" s="2"/>
      <c r="T4935" s="2">
        <v>1</v>
      </c>
      <c r="U4935" s="2" t="s">
        <v>79</v>
      </c>
      <c r="V4935" s="2">
        <v>3</v>
      </c>
      <c r="W4935" s="2" t="s">
        <v>225</v>
      </c>
      <c r="X4935" s="2">
        <v>6</v>
      </c>
      <c r="Y4935" s="2" t="s">
        <v>249</v>
      </c>
      <c r="Z4935" s="2">
        <v>1</v>
      </c>
      <c r="AA4935" s="2" t="s">
        <v>82</v>
      </c>
      <c r="AB4935" s="2">
        <v>9</v>
      </c>
      <c r="AC4935" s="2" t="s">
        <v>124</v>
      </c>
      <c r="AD4935" s="2"/>
      <c r="AE4935" s="2"/>
      <c r="AF4935" s="3">
        <v>40515</v>
      </c>
      <c r="AG4935" s="4">
        <v>0.41666666666666669</v>
      </c>
      <c r="AH4935" s="2">
        <v>5</v>
      </c>
      <c r="AI4935" s="2" t="s">
        <v>274</v>
      </c>
      <c r="AJ4935" s="2">
        <v>35</v>
      </c>
      <c r="AK4935" s="2" t="s">
        <v>275</v>
      </c>
      <c r="AL4935" s="2">
        <v>23</v>
      </c>
      <c r="AM4935" s="2" t="s">
        <v>251</v>
      </c>
      <c r="AN4935" s="2"/>
      <c r="AO4935" s="2" t="s">
        <v>15189</v>
      </c>
      <c r="AP4935" s="2">
        <v>11</v>
      </c>
      <c r="AQ4935" s="2" t="s">
        <v>82</v>
      </c>
      <c r="AR4935" s="2"/>
      <c r="AS4935" s="2"/>
      <c r="AT4935" s="2" t="s">
        <v>15190</v>
      </c>
      <c r="AU4935" s="2"/>
      <c r="AV4935" s="2"/>
      <c r="AW4935" s="2"/>
      <c r="AX4935" s="2"/>
      <c r="AY4935" s="2">
        <v>41</v>
      </c>
      <c r="AZ4935" s="2" t="s">
        <v>82</v>
      </c>
      <c r="BA4935" s="2">
        <v>41</v>
      </c>
      <c r="BB4935" s="2" t="s">
        <v>82</v>
      </c>
      <c r="BC4935" s="2">
        <v>41</v>
      </c>
      <c r="BD4935" s="2" t="s">
        <v>82</v>
      </c>
      <c r="BE4935" s="2">
        <v>41</v>
      </c>
      <c r="BF4935" s="2" t="s">
        <v>82</v>
      </c>
      <c r="BG4935" s="2"/>
      <c r="BH4935" s="2"/>
      <c r="BI4935" s="2"/>
      <c r="BJ4935" s="2">
        <v>241</v>
      </c>
      <c r="BK4935" s="2" t="s">
        <v>82</v>
      </c>
      <c r="BL4935" s="2"/>
      <c r="BM4935" s="2">
        <v>241</v>
      </c>
      <c r="BN4935" s="2" t="s">
        <v>82</v>
      </c>
      <c r="BO4935" s="2"/>
      <c r="BP4935" s="2">
        <v>241</v>
      </c>
      <c r="BQ4935" s="2" t="s">
        <v>82</v>
      </c>
      <c r="BR4935" s="2"/>
      <c r="BS4935" s="3">
        <v>40515</v>
      </c>
      <c r="BT4935" s="4">
        <v>0.52226851851851852</v>
      </c>
    </row>
    <row r="4936" spans="1:72" x14ac:dyDescent="0.25">
      <c r="A4936" s="2">
        <v>7654</v>
      </c>
      <c r="B4936" s="2">
        <v>2010</v>
      </c>
      <c r="C4936" s="2" t="s">
        <v>1094</v>
      </c>
      <c r="D4936" s="2" t="s">
        <v>73</v>
      </c>
      <c r="E4936" s="2"/>
      <c r="F4936" s="2">
        <v>638</v>
      </c>
      <c r="G4936" s="2" t="s">
        <v>8288</v>
      </c>
      <c r="H4936" s="2">
        <v>8</v>
      </c>
      <c r="I4936" s="2" t="s">
        <v>3451</v>
      </c>
      <c r="J4936" s="2">
        <v>732</v>
      </c>
      <c r="K4936" s="2" t="s">
        <v>1218</v>
      </c>
      <c r="L4936" s="2" t="s">
        <v>4822</v>
      </c>
      <c r="M4936" s="3">
        <v>40515</v>
      </c>
      <c r="N4936" s="2" t="s">
        <v>5544</v>
      </c>
      <c r="O4936" s="2"/>
      <c r="P4936" s="2"/>
      <c r="Q4936" s="2" t="str">
        <f>"73/10"</f>
        <v>73/10</v>
      </c>
      <c r="R4936" s="2"/>
      <c r="S4936" s="2" t="s">
        <v>107</v>
      </c>
      <c r="T4936" s="2">
        <v>1</v>
      </c>
      <c r="U4936" s="2" t="s">
        <v>79</v>
      </c>
      <c r="V4936" s="2">
        <v>1</v>
      </c>
      <c r="W4936" s="2" t="s">
        <v>80</v>
      </c>
      <c r="X4936" s="2">
        <v>1</v>
      </c>
      <c r="Y4936" s="2" t="s">
        <v>81</v>
      </c>
      <c r="Z4936" s="2">
        <v>1</v>
      </c>
      <c r="AA4936" s="2" t="s">
        <v>82</v>
      </c>
      <c r="AB4936" s="2">
        <v>9</v>
      </c>
      <c r="AC4936" s="2" t="s">
        <v>124</v>
      </c>
      <c r="AD4936" s="3">
        <v>40515</v>
      </c>
      <c r="AE4936" s="4">
        <v>0.12847222222222224</v>
      </c>
      <c r="AF4936" s="3">
        <v>40485</v>
      </c>
      <c r="AG4936" s="4">
        <v>0.13541666666666666</v>
      </c>
      <c r="AH4936" s="2">
        <v>3</v>
      </c>
      <c r="AI4936" s="2" t="s">
        <v>214</v>
      </c>
      <c r="AJ4936" s="2">
        <v>24</v>
      </c>
      <c r="AK4936" s="2" t="s">
        <v>215</v>
      </c>
      <c r="AL4936" s="2">
        <v>29</v>
      </c>
      <c r="AM4936" s="2" t="s">
        <v>5416</v>
      </c>
      <c r="AN4936" s="2"/>
      <c r="AO4936" s="2" t="s">
        <v>15191</v>
      </c>
      <c r="AP4936" s="2">
        <v>11</v>
      </c>
      <c r="AQ4936" s="2" t="s">
        <v>82</v>
      </c>
      <c r="AR4936" s="2"/>
      <c r="AS4936" s="2"/>
      <c r="AT4936" s="2" t="s">
        <v>15192</v>
      </c>
      <c r="AU4936" s="2"/>
      <c r="AV4936" s="2"/>
      <c r="AW4936" s="2"/>
      <c r="AX4936" s="2"/>
      <c r="AY4936" s="2">
        <v>41</v>
      </c>
      <c r="AZ4936" s="2" t="s">
        <v>82</v>
      </c>
      <c r="BA4936" s="2">
        <v>41</v>
      </c>
      <c r="BB4936" s="2" t="s">
        <v>82</v>
      </c>
      <c r="BC4936" s="2">
        <v>41</v>
      </c>
      <c r="BD4936" s="2" t="s">
        <v>82</v>
      </c>
      <c r="BE4936" s="2">
        <v>41</v>
      </c>
      <c r="BF4936" s="2" t="s">
        <v>82</v>
      </c>
      <c r="BG4936" s="2"/>
      <c r="BH4936" s="2"/>
      <c r="BI4936" s="2"/>
      <c r="BJ4936" s="2">
        <v>241</v>
      </c>
      <c r="BK4936" s="2" t="s">
        <v>82</v>
      </c>
      <c r="BL4936" s="2"/>
      <c r="BM4936" s="2">
        <v>241</v>
      </c>
      <c r="BN4936" s="2" t="s">
        <v>82</v>
      </c>
      <c r="BO4936" s="2"/>
      <c r="BP4936" s="2">
        <v>241</v>
      </c>
      <c r="BQ4936" s="2" t="s">
        <v>82</v>
      </c>
      <c r="BR4936" s="2"/>
      <c r="BS4936" s="3">
        <v>40515</v>
      </c>
      <c r="BT4936" s="4">
        <v>0.54899305555555555</v>
      </c>
    </row>
    <row r="4937" spans="1:72" x14ac:dyDescent="0.25">
      <c r="A4937" s="2">
        <v>7655</v>
      </c>
      <c r="B4937" s="2">
        <v>2010</v>
      </c>
      <c r="C4937" s="2" t="s">
        <v>1559</v>
      </c>
      <c r="D4937" s="2" t="s">
        <v>73</v>
      </c>
      <c r="E4937" s="2"/>
      <c r="F4937" s="2">
        <v>389</v>
      </c>
      <c r="G4937" s="2" t="s">
        <v>1819</v>
      </c>
      <c r="H4937" s="2">
        <v>4</v>
      </c>
      <c r="I4937" s="2" t="s">
        <v>173</v>
      </c>
      <c r="J4937" s="2">
        <v>399</v>
      </c>
      <c r="K4937" s="2" t="s">
        <v>1820</v>
      </c>
      <c r="L4937" s="2" t="s">
        <v>1821</v>
      </c>
      <c r="M4937" s="3">
        <v>40515</v>
      </c>
      <c r="N4937" s="2" t="s">
        <v>2587</v>
      </c>
      <c r="O4937" s="2"/>
      <c r="P4937" s="2"/>
      <c r="Q4937" s="2" t="str">
        <f>"651-E/10"</f>
        <v>651-E/10</v>
      </c>
      <c r="R4937" s="2" t="s">
        <v>480</v>
      </c>
      <c r="S4937" s="2" t="s">
        <v>480</v>
      </c>
      <c r="T4937" s="2">
        <v>1</v>
      </c>
      <c r="U4937" s="2" t="s">
        <v>79</v>
      </c>
      <c r="V4937" s="2">
        <v>1</v>
      </c>
      <c r="W4937" s="2" t="s">
        <v>80</v>
      </c>
      <c r="X4937" s="2">
        <v>12</v>
      </c>
      <c r="Y4937" s="2" t="s">
        <v>148</v>
      </c>
      <c r="Z4937" s="2">
        <v>1</v>
      </c>
      <c r="AA4937" s="2" t="s">
        <v>82</v>
      </c>
      <c r="AB4937" s="2">
        <v>9</v>
      </c>
      <c r="AC4937" s="2" t="s">
        <v>124</v>
      </c>
      <c r="AD4937" s="3">
        <v>40515</v>
      </c>
      <c r="AE4937" s="4">
        <v>1.0416666666666666E-2</v>
      </c>
      <c r="AF4937" s="3">
        <v>40515</v>
      </c>
      <c r="AG4937" s="2"/>
      <c r="AH4937" s="2">
        <v>2</v>
      </c>
      <c r="AI4937" s="2" t="s">
        <v>84</v>
      </c>
      <c r="AJ4937" s="2">
        <v>9</v>
      </c>
      <c r="AK4937" s="2" t="s">
        <v>103</v>
      </c>
      <c r="AL4937" s="2">
        <v>25</v>
      </c>
      <c r="AM4937" s="2" t="s">
        <v>3073</v>
      </c>
      <c r="AN4937" s="2" t="s">
        <v>15193</v>
      </c>
      <c r="AO4937" s="2" t="s">
        <v>3109</v>
      </c>
      <c r="AP4937" s="2">
        <v>11</v>
      </c>
      <c r="AQ4937" s="2" t="s">
        <v>82</v>
      </c>
      <c r="AR4937" s="2"/>
      <c r="AS4937" s="2"/>
      <c r="AT4937" s="2" t="s">
        <v>15194</v>
      </c>
      <c r="AU4937" s="2"/>
      <c r="AV4937" s="2"/>
      <c r="AW4937" s="2"/>
      <c r="AX4937" s="2"/>
      <c r="AY4937" s="2">
        <v>41</v>
      </c>
      <c r="AZ4937" s="2" t="s">
        <v>82</v>
      </c>
      <c r="BA4937" s="2">
        <v>152</v>
      </c>
      <c r="BB4937" s="2" t="s">
        <v>13823</v>
      </c>
      <c r="BC4937" s="2">
        <v>41</v>
      </c>
      <c r="BD4937" s="2" t="s">
        <v>82</v>
      </c>
      <c r="BE4937" s="2">
        <v>41</v>
      </c>
      <c r="BF4937" s="2" t="s">
        <v>82</v>
      </c>
      <c r="BG4937" s="2"/>
      <c r="BH4937" s="2"/>
      <c r="BI4937" s="2"/>
      <c r="BJ4937" s="2">
        <v>241</v>
      </c>
      <c r="BK4937" s="2" t="s">
        <v>82</v>
      </c>
      <c r="BL4937" s="2"/>
      <c r="BM4937" s="2">
        <v>241</v>
      </c>
      <c r="BN4937" s="2" t="s">
        <v>82</v>
      </c>
      <c r="BO4937" s="2"/>
      <c r="BP4937" s="2">
        <v>241</v>
      </c>
      <c r="BQ4937" s="2" t="s">
        <v>82</v>
      </c>
      <c r="BR4937" s="2"/>
      <c r="BS4937" s="3">
        <v>40515</v>
      </c>
      <c r="BT4937" s="4">
        <v>0.55809027777777775</v>
      </c>
    </row>
    <row r="4938" spans="1:72" x14ac:dyDescent="0.25">
      <c r="A4938" s="2">
        <v>7656</v>
      </c>
      <c r="B4938" s="2">
        <v>2010</v>
      </c>
      <c r="C4938" s="2" t="s">
        <v>121</v>
      </c>
      <c r="D4938" s="2" t="s">
        <v>122</v>
      </c>
      <c r="E4938" s="2"/>
      <c r="F4938" s="2">
        <v>1</v>
      </c>
      <c r="G4938" s="2" t="s">
        <v>82</v>
      </c>
      <c r="H4938" s="2">
        <v>1</v>
      </c>
      <c r="I4938" s="2" t="s">
        <v>82</v>
      </c>
      <c r="J4938" s="2">
        <v>1</v>
      </c>
      <c r="K4938" s="2" t="s">
        <v>107</v>
      </c>
      <c r="L4938" s="2" t="s">
        <v>107</v>
      </c>
      <c r="M4938" s="3">
        <v>40515</v>
      </c>
      <c r="N4938" s="2" t="s">
        <v>82</v>
      </c>
      <c r="O4938" s="2" t="s">
        <v>82</v>
      </c>
      <c r="P4938" s="2" t="s">
        <v>82</v>
      </c>
      <c r="Q4938" s="2" t="str">
        <f>"N/C"</f>
        <v>N/C</v>
      </c>
      <c r="R4938" s="2" t="s">
        <v>82</v>
      </c>
      <c r="S4938" s="2" t="s">
        <v>82</v>
      </c>
      <c r="T4938" s="2">
        <v>2</v>
      </c>
      <c r="U4938" s="2" t="s">
        <v>123</v>
      </c>
      <c r="V4938" s="2">
        <v>1</v>
      </c>
      <c r="W4938" s="2" t="s">
        <v>80</v>
      </c>
      <c r="X4938" s="2">
        <v>11</v>
      </c>
      <c r="Y4938" s="2" t="s">
        <v>1920</v>
      </c>
      <c r="Z4938" s="2">
        <v>1</v>
      </c>
      <c r="AA4938" s="2" t="s">
        <v>82</v>
      </c>
      <c r="AB4938" s="2">
        <v>9</v>
      </c>
      <c r="AC4938" s="2" t="s">
        <v>124</v>
      </c>
      <c r="AD4938" s="3">
        <v>40515</v>
      </c>
      <c r="AE4938" s="4">
        <v>0.35416666666666669</v>
      </c>
      <c r="AF4938" s="2"/>
      <c r="AG4938" s="2"/>
      <c r="AH4938" s="2">
        <v>2</v>
      </c>
      <c r="AI4938" s="2" t="s">
        <v>84</v>
      </c>
      <c r="AJ4938" s="2">
        <v>12</v>
      </c>
      <c r="AK4938" s="2" t="s">
        <v>85</v>
      </c>
      <c r="AL4938" s="2">
        <v>20</v>
      </c>
      <c r="AM4938" s="2" t="s">
        <v>992</v>
      </c>
      <c r="AN4938" s="2" t="s">
        <v>107</v>
      </c>
      <c r="AO4938" s="2" t="s">
        <v>107</v>
      </c>
      <c r="AP4938" s="2">
        <v>11</v>
      </c>
      <c r="AQ4938" s="2" t="s">
        <v>82</v>
      </c>
      <c r="AR4938" s="2" t="s">
        <v>82</v>
      </c>
      <c r="AS4938" s="2" t="s">
        <v>82</v>
      </c>
      <c r="AT4938" s="2" t="s">
        <v>15195</v>
      </c>
      <c r="AU4938" s="2"/>
      <c r="AV4938" s="2"/>
      <c r="AW4938" s="2"/>
      <c r="AX4938" s="2"/>
      <c r="AY4938" s="2">
        <v>41</v>
      </c>
      <c r="AZ4938" s="2" t="s">
        <v>82</v>
      </c>
      <c r="BA4938" s="2">
        <v>41</v>
      </c>
      <c r="BB4938" s="2" t="s">
        <v>82</v>
      </c>
      <c r="BC4938" s="2">
        <v>41</v>
      </c>
      <c r="BD4938" s="2" t="s">
        <v>82</v>
      </c>
      <c r="BE4938" s="2">
        <v>41</v>
      </c>
      <c r="BF4938" s="2" t="s">
        <v>82</v>
      </c>
      <c r="BG4938" s="2"/>
      <c r="BH4938" s="2"/>
      <c r="BI4938" s="4">
        <v>0.52083333333333337</v>
      </c>
      <c r="BJ4938" s="2">
        <v>13</v>
      </c>
      <c r="BK4938" s="2" t="s">
        <v>91</v>
      </c>
      <c r="BL4938" s="2" t="s">
        <v>185</v>
      </c>
      <c r="BM4938" s="2">
        <v>13</v>
      </c>
      <c r="BN4938" s="2" t="s">
        <v>91</v>
      </c>
      <c r="BO4938" s="2"/>
      <c r="BP4938" s="2">
        <v>13</v>
      </c>
      <c r="BQ4938" s="2" t="s">
        <v>91</v>
      </c>
      <c r="BR4938" s="2" t="s">
        <v>647</v>
      </c>
      <c r="BS4938" s="3">
        <v>40515</v>
      </c>
      <c r="BT4938" s="4">
        <v>0.56680555555555556</v>
      </c>
    </row>
    <row r="4939" spans="1:72" x14ac:dyDescent="0.25">
      <c r="A4939" s="2">
        <v>7657</v>
      </c>
      <c r="B4939" s="2">
        <v>2010</v>
      </c>
      <c r="C4939" s="2" t="s">
        <v>121</v>
      </c>
      <c r="D4939" s="2" t="s">
        <v>122</v>
      </c>
      <c r="E4939" s="2"/>
      <c r="F4939" s="2">
        <v>1</v>
      </c>
      <c r="G4939" s="2" t="s">
        <v>82</v>
      </c>
      <c r="H4939" s="2">
        <v>1</v>
      </c>
      <c r="I4939" s="2" t="s">
        <v>82</v>
      </c>
      <c r="J4939" s="2">
        <v>1</v>
      </c>
      <c r="K4939" s="2" t="s">
        <v>107</v>
      </c>
      <c r="L4939" s="2" t="s">
        <v>107</v>
      </c>
      <c r="M4939" s="3">
        <v>40515</v>
      </c>
      <c r="N4939" s="2"/>
      <c r="O4939" s="2"/>
      <c r="P4939" s="2"/>
      <c r="Q4939" s="2" t="str">
        <f>""</f>
        <v/>
      </c>
      <c r="R4939" s="2"/>
      <c r="S4939" s="2"/>
      <c r="T4939" s="2">
        <v>2</v>
      </c>
      <c r="U4939" s="2" t="s">
        <v>123</v>
      </c>
      <c r="V4939" s="2">
        <v>1</v>
      </c>
      <c r="W4939" s="2" t="s">
        <v>80</v>
      </c>
      <c r="X4939" s="2">
        <v>11</v>
      </c>
      <c r="Y4939" s="2" t="s">
        <v>1920</v>
      </c>
      <c r="Z4939" s="2">
        <v>1</v>
      </c>
      <c r="AA4939" s="2" t="s">
        <v>82</v>
      </c>
      <c r="AB4939" s="2">
        <v>9</v>
      </c>
      <c r="AC4939" s="2" t="s">
        <v>124</v>
      </c>
      <c r="AD4939" s="3">
        <v>40515</v>
      </c>
      <c r="AE4939" s="4">
        <v>0.55208333333333337</v>
      </c>
      <c r="AF4939" s="2"/>
      <c r="AG4939" s="2"/>
      <c r="AH4939" s="2">
        <v>2</v>
      </c>
      <c r="AI4939" s="2" t="s">
        <v>84</v>
      </c>
      <c r="AJ4939" s="2">
        <v>8</v>
      </c>
      <c r="AK4939" s="2" t="s">
        <v>436</v>
      </c>
      <c r="AL4939" s="2">
        <v>10</v>
      </c>
      <c r="AM4939" s="2" t="s">
        <v>200</v>
      </c>
      <c r="AN4939" s="2"/>
      <c r="AO4939" s="2" t="s">
        <v>3775</v>
      </c>
      <c r="AP4939" s="2">
        <v>11</v>
      </c>
      <c r="AQ4939" s="2" t="s">
        <v>82</v>
      </c>
      <c r="AR4939" s="2"/>
      <c r="AS4939" s="2"/>
      <c r="AT4939" s="2" t="s">
        <v>15196</v>
      </c>
      <c r="AU4939" s="2"/>
      <c r="AV4939" s="2"/>
      <c r="AW4939" s="2"/>
      <c r="AX4939" s="2"/>
      <c r="AY4939" s="2">
        <v>41</v>
      </c>
      <c r="AZ4939" s="2" t="s">
        <v>82</v>
      </c>
      <c r="BA4939" s="2">
        <v>41</v>
      </c>
      <c r="BB4939" s="2" t="s">
        <v>82</v>
      </c>
      <c r="BC4939" s="2">
        <v>41</v>
      </c>
      <c r="BD4939" s="2" t="s">
        <v>82</v>
      </c>
      <c r="BE4939" s="2">
        <v>41</v>
      </c>
      <c r="BF4939" s="2" t="s">
        <v>82</v>
      </c>
      <c r="BG4939" s="2"/>
      <c r="BH4939" s="2"/>
      <c r="BI4939" s="2"/>
      <c r="BJ4939" s="2">
        <v>241</v>
      </c>
      <c r="BK4939" s="2" t="s">
        <v>82</v>
      </c>
      <c r="BL4939" s="2"/>
      <c r="BM4939" s="2">
        <v>241</v>
      </c>
      <c r="BN4939" s="2" t="s">
        <v>82</v>
      </c>
      <c r="BO4939" s="2"/>
      <c r="BP4939" s="2">
        <v>241</v>
      </c>
      <c r="BQ4939" s="2" t="s">
        <v>82</v>
      </c>
      <c r="BR4939" s="2"/>
      <c r="BS4939" s="3">
        <v>40515</v>
      </c>
      <c r="BT4939" s="4">
        <v>0.58059027777777772</v>
      </c>
    </row>
    <row r="4940" spans="1:72" x14ac:dyDescent="0.25">
      <c r="A4940" s="2">
        <v>7660</v>
      </c>
      <c r="B4940" s="2">
        <v>2010</v>
      </c>
      <c r="C4940" s="2" t="s">
        <v>121</v>
      </c>
      <c r="D4940" s="2" t="s">
        <v>122</v>
      </c>
      <c r="E4940" s="2"/>
      <c r="F4940" s="2">
        <v>1</v>
      </c>
      <c r="G4940" s="2" t="s">
        <v>82</v>
      </c>
      <c r="H4940" s="2">
        <v>1</v>
      </c>
      <c r="I4940" s="2" t="s">
        <v>82</v>
      </c>
      <c r="J4940" s="2">
        <v>1</v>
      </c>
      <c r="K4940" s="2" t="s">
        <v>107</v>
      </c>
      <c r="L4940" s="2" t="s">
        <v>107</v>
      </c>
      <c r="M4940" s="3">
        <v>40515</v>
      </c>
      <c r="N4940" s="2"/>
      <c r="O4940" s="2"/>
      <c r="P4940" s="2"/>
      <c r="Q4940" s="2" t="str">
        <f>""</f>
        <v/>
      </c>
      <c r="R4940" s="2"/>
      <c r="S4940" s="2"/>
      <c r="T4940" s="2">
        <v>2</v>
      </c>
      <c r="U4940" s="2" t="s">
        <v>123</v>
      </c>
      <c r="V4940" s="2">
        <v>1</v>
      </c>
      <c r="W4940" s="2" t="s">
        <v>80</v>
      </c>
      <c r="X4940" s="2">
        <v>11</v>
      </c>
      <c r="Y4940" s="2" t="s">
        <v>1920</v>
      </c>
      <c r="Z4940" s="2">
        <v>1</v>
      </c>
      <c r="AA4940" s="2" t="s">
        <v>82</v>
      </c>
      <c r="AB4940" s="2">
        <v>9</v>
      </c>
      <c r="AC4940" s="2" t="s">
        <v>124</v>
      </c>
      <c r="AD4940" s="3">
        <v>40515</v>
      </c>
      <c r="AE4940" s="4">
        <v>0.56944444444444442</v>
      </c>
      <c r="AF4940" s="2"/>
      <c r="AG4940" s="2"/>
      <c r="AH4940" s="2">
        <v>2</v>
      </c>
      <c r="AI4940" s="2" t="s">
        <v>84</v>
      </c>
      <c r="AJ4940" s="2">
        <v>8</v>
      </c>
      <c r="AK4940" s="2" t="s">
        <v>436</v>
      </c>
      <c r="AL4940" s="2">
        <v>10</v>
      </c>
      <c r="AM4940" s="2" t="s">
        <v>200</v>
      </c>
      <c r="AN4940" s="2"/>
      <c r="AO4940" s="2" t="s">
        <v>230</v>
      </c>
      <c r="AP4940" s="2">
        <v>11</v>
      </c>
      <c r="AQ4940" s="2" t="s">
        <v>82</v>
      </c>
      <c r="AR4940" s="2"/>
      <c r="AS4940" s="2"/>
      <c r="AT4940" s="2" t="s">
        <v>15197</v>
      </c>
      <c r="AU4940" s="2"/>
      <c r="AV4940" s="2"/>
      <c r="AW4940" s="2"/>
      <c r="AX4940" s="2"/>
      <c r="AY4940" s="2">
        <v>41</v>
      </c>
      <c r="AZ4940" s="2" t="s">
        <v>82</v>
      </c>
      <c r="BA4940" s="2">
        <v>41</v>
      </c>
      <c r="BB4940" s="2" t="s">
        <v>82</v>
      </c>
      <c r="BC4940" s="2">
        <v>41</v>
      </c>
      <c r="BD4940" s="2" t="s">
        <v>82</v>
      </c>
      <c r="BE4940" s="2">
        <v>41</v>
      </c>
      <c r="BF4940" s="2" t="s">
        <v>82</v>
      </c>
      <c r="BG4940" s="2"/>
      <c r="BH4940" s="2"/>
      <c r="BI4940" s="2"/>
      <c r="BJ4940" s="2">
        <v>241</v>
      </c>
      <c r="BK4940" s="2" t="s">
        <v>82</v>
      </c>
      <c r="BL4940" s="2"/>
      <c r="BM4940" s="2">
        <v>241</v>
      </c>
      <c r="BN4940" s="2" t="s">
        <v>82</v>
      </c>
      <c r="BO4940" s="2"/>
      <c r="BP4940" s="2">
        <v>241</v>
      </c>
      <c r="BQ4940" s="2" t="s">
        <v>82</v>
      </c>
      <c r="BR4940" s="2"/>
      <c r="BS4940" s="3">
        <v>40515</v>
      </c>
      <c r="BT4940" s="4">
        <v>0.59674768518518517</v>
      </c>
    </row>
    <row r="4941" spans="1:72" x14ac:dyDescent="0.25">
      <c r="A4941" s="2">
        <v>7663</v>
      </c>
      <c r="B4941" s="2">
        <v>2010</v>
      </c>
      <c r="C4941" s="2" t="s">
        <v>72</v>
      </c>
      <c r="D4941" s="2" t="s">
        <v>73</v>
      </c>
      <c r="E4941" s="2"/>
      <c r="F4941" s="2">
        <v>2</v>
      </c>
      <c r="G4941" s="2" t="s">
        <v>113</v>
      </c>
      <c r="H4941" s="2">
        <v>149</v>
      </c>
      <c r="I4941" s="2" t="s">
        <v>14672</v>
      </c>
      <c r="J4941" s="2">
        <v>300</v>
      </c>
      <c r="K4941" s="2" t="s">
        <v>114</v>
      </c>
      <c r="L4941" s="2" t="s">
        <v>115</v>
      </c>
      <c r="M4941" s="3">
        <v>40515</v>
      </c>
      <c r="N4941" s="2"/>
      <c r="O4941" s="2"/>
      <c r="P4941" s="2"/>
      <c r="Q4941" s="2" t="str">
        <f>"652-E/10"</f>
        <v>652-E/10</v>
      </c>
      <c r="R4941" s="2" t="s">
        <v>1847</v>
      </c>
      <c r="S4941" s="2" t="s">
        <v>1847</v>
      </c>
      <c r="T4941" s="2">
        <v>1</v>
      </c>
      <c r="U4941" s="2" t="s">
        <v>79</v>
      </c>
      <c r="V4941" s="2">
        <v>1</v>
      </c>
      <c r="W4941" s="2" t="s">
        <v>80</v>
      </c>
      <c r="X4941" s="2">
        <v>12</v>
      </c>
      <c r="Y4941" s="2" t="s">
        <v>148</v>
      </c>
      <c r="Z4941" s="2">
        <v>1</v>
      </c>
      <c r="AA4941" s="2" t="s">
        <v>82</v>
      </c>
      <c r="AB4941" s="2">
        <v>6</v>
      </c>
      <c r="AC4941" s="2" t="s">
        <v>83</v>
      </c>
      <c r="AD4941" s="3">
        <v>40515</v>
      </c>
      <c r="AE4941" s="2"/>
      <c r="AF4941" s="3">
        <v>40515</v>
      </c>
      <c r="AG4941" s="4">
        <v>0.44791666666666669</v>
      </c>
      <c r="AH4941" s="2">
        <v>2</v>
      </c>
      <c r="AI4941" s="2" t="s">
        <v>84</v>
      </c>
      <c r="AJ4941" s="2">
        <v>9</v>
      </c>
      <c r="AK4941" s="2" t="s">
        <v>103</v>
      </c>
      <c r="AL4941" s="2">
        <v>12</v>
      </c>
      <c r="AM4941" s="2" t="s">
        <v>86</v>
      </c>
      <c r="AN4941" s="2" t="s">
        <v>2345</v>
      </c>
      <c r="AO4941" s="2" t="s">
        <v>15198</v>
      </c>
      <c r="AP4941" s="2">
        <v>11</v>
      </c>
      <c r="AQ4941" s="2" t="s">
        <v>82</v>
      </c>
      <c r="AR4941" s="2"/>
      <c r="AS4941" s="2"/>
      <c r="AT4941" s="2" t="s">
        <v>15199</v>
      </c>
      <c r="AU4941" s="2"/>
      <c r="AV4941" s="2"/>
      <c r="AW4941" s="2"/>
      <c r="AX4941" s="2"/>
      <c r="AY4941" s="2">
        <v>41</v>
      </c>
      <c r="AZ4941" s="2" t="s">
        <v>82</v>
      </c>
      <c r="BA4941" s="2">
        <v>41</v>
      </c>
      <c r="BB4941" s="2" t="s">
        <v>82</v>
      </c>
      <c r="BC4941" s="2">
        <v>41</v>
      </c>
      <c r="BD4941" s="2" t="s">
        <v>82</v>
      </c>
      <c r="BE4941" s="2">
        <v>41</v>
      </c>
      <c r="BF4941" s="2" t="s">
        <v>82</v>
      </c>
      <c r="BG4941" s="2"/>
      <c r="BH4941" s="2"/>
      <c r="BI4941" s="2"/>
      <c r="BJ4941" s="2">
        <v>241</v>
      </c>
      <c r="BK4941" s="2" t="s">
        <v>82</v>
      </c>
      <c r="BL4941" s="2"/>
      <c r="BM4941" s="2">
        <v>241</v>
      </c>
      <c r="BN4941" s="2" t="s">
        <v>82</v>
      </c>
      <c r="BO4941" s="2"/>
      <c r="BP4941" s="2">
        <v>241</v>
      </c>
      <c r="BQ4941" s="2" t="s">
        <v>82</v>
      </c>
      <c r="BR4941" s="2"/>
      <c r="BS4941" s="3">
        <v>40515</v>
      </c>
      <c r="BT4941" s="4">
        <v>0.63743055555555561</v>
      </c>
    </row>
    <row r="4942" spans="1:72" x14ac:dyDescent="0.25">
      <c r="A4942" s="2">
        <v>7664</v>
      </c>
      <c r="B4942" s="2">
        <v>2010</v>
      </c>
      <c r="C4942" s="2" t="s">
        <v>121</v>
      </c>
      <c r="D4942" s="2" t="s">
        <v>122</v>
      </c>
      <c r="E4942" s="2"/>
      <c r="F4942" s="2">
        <v>1</v>
      </c>
      <c r="G4942" s="2" t="s">
        <v>82</v>
      </c>
      <c r="H4942" s="2">
        <v>1</v>
      </c>
      <c r="I4942" s="2" t="s">
        <v>82</v>
      </c>
      <c r="J4942" s="2">
        <v>1</v>
      </c>
      <c r="K4942" s="2" t="s">
        <v>107</v>
      </c>
      <c r="L4942" s="2" t="s">
        <v>107</v>
      </c>
      <c r="M4942" s="3">
        <v>40515</v>
      </c>
      <c r="N4942" s="2"/>
      <c r="O4942" s="2"/>
      <c r="P4942" s="2"/>
      <c r="Q4942" s="2" t="str">
        <f>""</f>
        <v/>
      </c>
      <c r="R4942" s="2"/>
      <c r="S4942" s="2"/>
      <c r="T4942" s="2">
        <v>2</v>
      </c>
      <c r="U4942" s="2" t="s">
        <v>123</v>
      </c>
      <c r="V4942" s="2">
        <v>1</v>
      </c>
      <c r="W4942" s="2" t="s">
        <v>80</v>
      </c>
      <c r="X4942" s="2">
        <v>11</v>
      </c>
      <c r="Y4942" s="2" t="s">
        <v>1920</v>
      </c>
      <c r="Z4942" s="2">
        <v>1</v>
      </c>
      <c r="AA4942" s="2" t="s">
        <v>82</v>
      </c>
      <c r="AB4942" s="2">
        <v>9</v>
      </c>
      <c r="AC4942" s="2" t="s">
        <v>124</v>
      </c>
      <c r="AD4942" s="3">
        <v>40515</v>
      </c>
      <c r="AE4942" s="4">
        <v>0.62152777777777779</v>
      </c>
      <c r="AF4942" s="2"/>
      <c r="AG4942" s="2"/>
      <c r="AH4942" s="2">
        <v>2</v>
      </c>
      <c r="AI4942" s="2" t="s">
        <v>84</v>
      </c>
      <c r="AJ4942" s="2">
        <v>8</v>
      </c>
      <c r="AK4942" s="2" t="s">
        <v>436</v>
      </c>
      <c r="AL4942" s="2">
        <v>10</v>
      </c>
      <c r="AM4942" s="2" t="s">
        <v>200</v>
      </c>
      <c r="AN4942" s="2"/>
      <c r="AO4942" s="2" t="s">
        <v>230</v>
      </c>
      <c r="AP4942" s="2">
        <v>11</v>
      </c>
      <c r="AQ4942" s="2" t="s">
        <v>82</v>
      </c>
      <c r="AR4942" s="2"/>
      <c r="AS4942" s="2"/>
      <c r="AT4942" s="2" t="s">
        <v>15200</v>
      </c>
      <c r="AU4942" s="2"/>
      <c r="AV4942" s="2"/>
      <c r="AW4942" s="2"/>
      <c r="AX4942" s="2"/>
      <c r="AY4942" s="2">
        <v>41</v>
      </c>
      <c r="AZ4942" s="2" t="s">
        <v>82</v>
      </c>
      <c r="BA4942" s="2">
        <v>41</v>
      </c>
      <c r="BB4942" s="2" t="s">
        <v>82</v>
      </c>
      <c r="BC4942" s="2">
        <v>41</v>
      </c>
      <c r="BD4942" s="2" t="s">
        <v>82</v>
      </c>
      <c r="BE4942" s="2">
        <v>41</v>
      </c>
      <c r="BF4942" s="2" t="s">
        <v>82</v>
      </c>
      <c r="BG4942" s="2"/>
      <c r="BH4942" s="2"/>
      <c r="BI4942" s="2"/>
      <c r="BJ4942" s="2">
        <v>241</v>
      </c>
      <c r="BK4942" s="2" t="s">
        <v>82</v>
      </c>
      <c r="BL4942" s="2"/>
      <c r="BM4942" s="2">
        <v>241</v>
      </c>
      <c r="BN4942" s="2" t="s">
        <v>82</v>
      </c>
      <c r="BO4942" s="2"/>
      <c r="BP4942" s="2">
        <v>241</v>
      </c>
      <c r="BQ4942" s="2" t="s">
        <v>82</v>
      </c>
      <c r="BR4942" s="2"/>
      <c r="BS4942" s="3">
        <v>40515</v>
      </c>
      <c r="BT4942" s="4">
        <v>0.65084490740740741</v>
      </c>
    </row>
    <row r="4943" spans="1:72" x14ac:dyDescent="0.25">
      <c r="A4943" s="2">
        <v>7665</v>
      </c>
      <c r="B4943" s="2">
        <v>2010</v>
      </c>
      <c r="C4943" s="2" t="s">
        <v>171</v>
      </c>
      <c r="D4943" s="2" t="s">
        <v>73</v>
      </c>
      <c r="E4943" s="2" t="s">
        <v>15201</v>
      </c>
      <c r="F4943" s="2">
        <v>114</v>
      </c>
      <c r="G4943" s="2" t="s">
        <v>2817</v>
      </c>
      <c r="H4943" s="2">
        <v>99</v>
      </c>
      <c r="I4943" s="2" t="s">
        <v>6285</v>
      </c>
      <c r="J4943" s="2">
        <v>133</v>
      </c>
      <c r="K4943" s="2" t="s">
        <v>3844</v>
      </c>
      <c r="L4943" s="2" t="s">
        <v>3845</v>
      </c>
      <c r="M4943" s="3">
        <v>40515</v>
      </c>
      <c r="N4943" s="2" t="s">
        <v>14944</v>
      </c>
      <c r="O4943" s="2" t="s">
        <v>14945</v>
      </c>
      <c r="P4943" s="2" t="s">
        <v>15202</v>
      </c>
      <c r="Q4943" s="2" t="str">
        <f>""</f>
        <v/>
      </c>
      <c r="R4943" s="2"/>
      <c r="S4943" s="2"/>
      <c r="T4943" s="2">
        <v>1</v>
      </c>
      <c r="U4943" s="2" t="s">
        <v>79</v>
      </c>
      <c r="V4943" s="2">
        <v>3</v>
      </c>
      <c r="W4943" s="2" t="s">
        <v>225</v>
      </c>
      <c r="X4943" s="2">
        <v>6</v>
      </c>
      <c r="Y4943" s="2" t="s">
        <v>249</v>
      </c>
      <c r="Z4943" s="2">
        <v>1</v>
      </c>
      <c r="AA4943" s="2" t="s">
        <v>82</v>
      </c>
      <c r="AB4943" s="2">
        <v>9</v>
      </c>
      <c r="AC4943" s="2" t="s">
        <v>124</v>
      </c>
      <c r="AD4943" s="3">
        <v>40485</v>
      </c>
      <c r="AE4943" s="4">
        <v>0.48680555555555555</v>
      </c>
      <c r="AF4943" s="2"/>
      <c r="AG4943" s="2"/>
      <c r="AH4943" s="2">
        <v>6</v>
      </c>
      <c r="AI4943" s="2" t="s">
        <v>197</v>
      </c>
      <c r="AJ4943" s="2">
        <v>47</v>
      </c>
      <c r="AK4943" s="2" t="s">
        <v>250</v>
      </c>
      <c r="AL4943" s="2">
        <v>23</v>
      </c>
      <c r="AM4943" s="2" t="s">
        <v>251</v>
      </c>
      <c r="AN4943" s="2"/>
      <c r="AO4943" s="2" t="s">
        <v>15203</v>
      </c>
      <c r="AP4943" s="2">
        <v>11</v>
      </c>
      <c r="AQ4943" s="2" t="s">
        <v>82</v>
      </c>
      <c r="AR4943" s="2"/>
      <c r="AS4943" s="2"/>
      <c r="AT4943" s="2" t="s">
        <v>15204</v>
      </c>
      <c r="AU4943" s="2"/>
      <c r="AV4943" s="2"/>
      <c r="AW4943" s="2"/>
      <c r="AX4943" s="2"/>
      <c r="AY4943" s="2">
        <v>41</v>
      </c>
      <c r="AZ4943" s="2" t="s">
        <v>82</v>
      </c>
      <c r="BA4943" s="2">
        <v>41</v>
      </c>
      <c r="BB4943" s="2" t="s">
        <v>82</v>
      </c>
      <c r="BC4943" s="2">
        <v>41</v>
      </c>
      <c r="BD4943" s="2" t="s">
        <v>82</v>
      </c>
      <c r="BE4943" s="2">
        <v>41</v>
      </c>
      <c r="BF4943" s="2" t="s">
        <v>82</v>
      </c>
      <c r="BG4943" s="2"/>
      <c r="BH4943" s="2"/>
      <c r="BI4943" s="2"/>
      <c r="BJ4943" s="2">
        <v>241</v>
      </c>
      <c r="BK4943" s="2" t="s">
        <v>82</v>
      </c>
      <c r="BL4943" s="2"/>
      <c r="BM4943" s="2">
        <v>241</v>
      </c>
      <c r="BN4943" s="2" t="s">
        <v>82</v>
      </c>
      <c r="BO4943" s="2"/>
      <c r="BP4943" s="2">
        <v>241</v>
      </c>
      <c r="BQ4943" s="2" t="s">
        <v>82</v>
      </c>
      <c r="BR4943" s="2"/>
      <c r="BS4943" s="3">
        <v>40515</v>
      </c>
      <c r="BT4943" s="4">
        <v>0.66252314814814817</v>
      </c>
    </row>
    <row r="4944" spans="1:72" x14ac:dyDescent="0.25">
      <c r="A4944" s="2">
        <v>7666</v>
      </c>
      <c r="B4944" s="2">
        <v>2010</v>
      </c>
      <c r="C4944" s="2" t="s">
        <v>121</v>
      </c>
      <c r="D4944" s="2" t="s">
        <v>122</v>
      </c>
      <c r="E4944" s="2"/>
      <c r="F4944" s="2">
        <v>1</v>
      </c>
      <c r="G4944" s="2" t="s">
        <v>82</v>
      </c>
      <c r="H4944" s="2">
        <v>1</v>
      </c>
      <c r="I4944" s="2" t="s">
        <v>82</v>
      </c>
      <c r="J4944" s="2">
        <v>1</v>
      </c>
      <c r="K4944" s="2" t="s">
        <v>107</v>
      </c>
      <c r="L4944" s="2" t="s">
        <v>107</v>
      </c>
      <c r="M4944" s="3">
        <v>40515</v>
      </c>
      <c r="N4944" s="2"/>
      <c r="O4944" s="2"/>
      <c r="P4944" s="2"/>
      <c r="Q4944" s="2" t="str">
        <f>""</f>
        <v/>
      </c>
      <c r="R4944" s="2"/>
      <c r="S4944" s="2"/>
      <c r="T4944" s="2">
        <v>2</v>
      </c>
      <c r="U4944" s="2" t="s">
        <v>123</v>
      </c>
      <c r="V4944" s="2">
        <v>1</v>
      </c>
      <c r="W4944" s="2" t="s">
        <v>80</v>
      </c>
      <c r="X4944" s="2">
        <v>11</v>
      </c>
      <c r="Y4944" s="2" t="s">
        <v>1920</v>
      </c>
      <c r="Z4944" s="2">
        <v>1</v>
      </c>
      <c r="AA4944" s="2" t="s">
        <v>82</v>
      </c>
      <c r="AB4944" s="2">
        <v>9</v>
      </c>
      <c r="AC4944" s="2" t="s">
        <v>124</v>
      </c>
      <c r="AD4944" s="3">
        <v>40515</v>
      </c>
      <c r="AE4944" s="4">
        <v>0.65277777777777779</v>
      </c>
      <c r="AF4944" s="2"/>
      <c r="AG4944" s="2"/>
      <c r="AH4944" s="2">
        <v>2</v>
      </c>
      <c r="AI4944" s="2" t="s">
        <v>84</v>
      </c>
      <c r="AJ4944" s="2">
        <v>8</v>
      </c>
      <c r="AK4944" s="2" t="s">
        <v>436</v>
      </c>
      <c r="AL4944" s="2">
        <v>10</v>
      </c>
      <c r="AM4944" s="2" t="s">
        <v>200</v>
      </c>
      <c r="AN4944" s="2"/>
      <c r="AO4944" s="2" t="s">
        <v>230</v>
      </c>
      <c r="AP4944" s="2">
        <v>11</v>
      </c>
      <c r="AQ4944" s="2" t="s">
        <v>82</v>
      </c>
      <c r="AR4944" s="2"/>
      <c r="AS4944" s="2"/>
      <c r="AT4944" s="2" t="s">
        <v>15205</v>
      </c>
      <c r="AU4944" s="2"/>
      <c r="AV4944" s="2"/>
      <c r="AW4944" s="2"/>
      <c r="AX4944" s="2"/>
      <c r="AY4944" s="2">
        <v>41</v>
      </c>
      <c r="AZ4944" s="2" t="s">
        <v>82</v>
      </c>
      <c r="BA4944" s="2">
        <v>41</v>
      </c>
      <c r="BB4944" s="2" t="s">
        <v>82</v>
      </c>
      <c r="BC4944" s="2">
        <v>41</v>
      </c>
      <c r="BD4944" s="2" t="s">
        <v>82</v>
      </c>
      <c r="BE4944" s="2">
        <v>41</v>
      </c>
      <c r="BF4944" s="2" t="s">
        <v>82</v>
      </c>
      <c r="BG4944" s="2"/>
      <c r="BH4944" s="2"/>
      <c r="BI4944" s="2"/>
      <c r="BJ4944" s="2">
        <v>241</v>
      </c>
      <c r="BK4944" s="2" t="s">
        <v>82</v>
      </c>
      <c r="BL4944" s="2"/>
      <c r="BM4944" s="2">
        <v>241</v>
      </c>
      <c r="BN4944" s="2" t="s">
        <v>82</v>
      </c>
      <c r="BO4944" s="2"/>
      <c r="BP4944" s="2">
        <v>241</v>
      </c>
      <c r="BQ4944" s="2" t="s">
        <v>82</v>
      </c>
      <c r="BR4944" s="2"/>
      <c r="BS4944" s="3">
        <v>40515</v>
      </c>
      <c r="BT4944" s="4">
        <v>0.66596064814814815</v>
      </c>
    </row>
    <row r="4945" spans="1:72" x14ac:dyDescent="0.25">
      <c r="A4945" s="2">
        <v>7667</v>
      </c>
      <c r="B4945" s="2">
        <v>2010</v>
      </c>
      <c r="C4945" s="2" t="s">
        <v>196</v>
      </c>
      <c r="D4945" s="2" t="s">
        <v>122</v>
      </c>
      <c r="E4945" s="2"/>
      <c r="F4945" s="2">
        <v>1</v>
      </c>
      <c r="G4945" s="2" t="s">
        <v>82</v>
      </c>
      <c r="H4945" s="2">
        <v>1</v>
      </c>
      <c r="I4945" s="2" t="s">
        <v>82</v>
      </c>
      <c r="J4945" s="2">
        <v>1</v>
      </c>
      <c r="K4945" s="2" t="s">
        <v>107</v>
      </c>
      <c r="L4945" s="2" t="s">
        <v>107</v>
      </c>
      <c r="M4945" s="3">
        <v>40515</v>
      </c>
      <c r="N4945" s="2" t="s">
        <v>82</v>
      </c>
      <c r="O4945" s="2" t="s">
        <v>82</v>
      </c>
      <c r="P4945" s="2" t="s">
        <v>82</v>
      </c>
      <c r="Q4945" s="2" t="str">
        <f>"N/C"</f>
        <v>N/C</v>
      </c>
      <c r="R4945" s="2" t="s">
        <v>82</v>
      </c>
      <c r="S4945" s="2" t="s">
        <v>82</v>
      </c>
      <c r="T4945" s="2">
        <v>2</v>
      </c>
      <c r="U4945" s="2" t="s">
        <v>123</v>
      </c>
      <c r="V4945" s="2">
        <v>1</v>
      </c>
      <c r="W4945" s="2" t="s">
        <v>80</v>
      </c>
      <c r="X4945" s="2">
        <v>11</v>
      </c>
      <c r="Y4945" s="2" t="s">
        <v>1920</v>
      </c>
      <c r="Z4945" s="2">
        <v>1</v>
      </c>
      <c r="AA4945" s="2" t="s">
        <v>82</v>
      </c>
      <c r="AB4945" s="2">
        <v>9</v>
      </c>
      <c r="AC4945" s="2" t="s">
        <v>124</v>
      </c>
      <c r="AD4945" s="3">
        <v>40515</v>
      </c>
      <c r="AE4945" s="4">
        <v>0.58333333333333337</v>
      </c>
      <c r="AF4945" s="2"/>
      <c r="AG4945" s="2"/>
      <c r="AH4945" s="2">
        <v>2</v>
      </c>
      <c r="AI4945" s="2" t="s">
        <v>84</v>
      </c>
      <c r="AJ4945" s="2">
        <v>12</v>
      </c>
      <c r="AK4945" s="2" t="s">
        <v>85</v>
      </c>
      <c r="AL4945" s="2">
        <v>20</v>
      </c>
      <c r="AM4945" s="2" t="s">
        <v>992</v>
      </c>
      <c r="AN4945" s="2" t="s">
        <v>107</v>
      </c>
      <c r="AO4945" s="2" t="s">
        <v>107</v>
      </c>
      <c r="AP4945" s="2">
        <v>11</v>
      </c>
      <c r="AQ4945" s="2" t="s">
        <v>82</v>
      </c>
      <c r="AR4945" s="2" t="s">
        <v>82</v>
      </c>
      <c r="AS4945" s="2" t="s">
        <v>82</v>
      </c>
      <c r="AT4945" s="2" t="s">
        <v>15206</v>
      </c>
      <c r="AU4945" s="2"/>
      <c r="AV4945" s="2"/>
      <c r="AW4945" s="2"/>
      <c r="AX4945" s="2"/>
      <c r="AY4945" s="2">
        <v>41</v>
      </c>
      <c r="AZ4945" s="2" t="s">
        <v>82</v>
      </c>
      <c r="BA4945" s="2">
        <v>41</v>
      </c>
      <c r="BB4945" s="2" t="s">
        <v>82</v>
      </c>
      <c r="BC4945" s="2">
        <v>41</v>
      </c>
      <c r="BD4945" s="2" t="s">
        <v>82</v>
      </c>
      <c r="BE4945" s="2">
        <v>41</v>
      </c>
      <c r="BF4945" s="2" t="s">
        <v>82</v>
      </c>
      <c r="BG4945" s="2"/>
      <c r="BH4945" s="4">
        <v>0.65625</v>
      </c>
      <c r="BI4945" s="4">
        <v>0.66666666666666663</v>
      </c>
      <c r="BJ4945" s="2">
        <v>13</v>
      </c>
      <c r="BK4945" s="2" t="s">
        <v>91</v>
      </c>
      <c r="BL4945" s="2" t="s">
        <v>185</v>
      </c>
      <c r="BM4945" s="2">
        <v>13</v>
      </c>
      <c r="BN4945" s="2" t="s">
        <v>91</v>
      </c>
      <c r="BO4945" s="2"/>
      <c r="BP4945" s="2">
        <v>13</v>
      </c>
      <c r="BQ4945" s="2" t="s">
        <v>91</v>
      </c>
      <c r="BR4945" s="2" t="s">
        <v>647</v>
      </c>
      <c r="BS4945" s="3">
        <v>40515</v>
      </c>
      <c r="BT4945" s="4">
        <v>0.6775810185185186</v>
      </c>
    </row>
    <row r="4946" spans="1:72" x14ac:dyDescent="0.25">
      <c r="A4946" s="2">
        <v>7668</v>
      </c>
      <c r="B4946" s="2">
        <v>2010</v>
      </c>
      <c r="C4946" s="2" t="s">
        <v>121</v>
      </c>
      <c r="D4946" s="2" t="s">
        <v>122</v>
      </c>
      <c r="E4946" s="2"/>
      <c r="F4946" s="2">
        <v>1</v>
      </c>
      <c r="G4946" s="2" t="s">
        <v>82</v>
      </c>
      <c r="H4946" s="2">
        <v>1</v>
      </c>
      <c r="I4946" s="2" t="s">
        <v>82</v>
      </c>
      <c r="J4946" s="2">
        <v>1</v>
      </c>
      <c r="K4946" s="2" t="s">
        <v>107</v>
      </c>
      <c r="L4946" s="2" t="s">
        <v>107</v>
      </c>
      <c r="M4946" s="3">
        <v>40515</v>
      </c>
      <c r="N4946" s="2"/>
      <c r="O4946" s="2"/>
      <c r="P4946" s="2"/>
      <c r="Q4946" s="2" t="str">
        <f>""</f>
        <v/>
      </c>
      <c r="R4946" s="2"/>
      <c r="S4946" s="2"/>
      <c r="T4946" s="2">
        <v>2</v>
      </c>
      <c r="U4946" s="2" t="s">
        <v>123</v>
      </c>
      <c r="V4946" s="2">
        <v>1</v>
      </c>
      <c r="W4946" s="2" t="s">
        <v>80</v>
      </c>
      <c r="X4946" s="2">
        <v>11</v>
      </c>
      <c r="Y4946" s="2" t="s">
        <v>1920</v>
      </c>
      <c r="Z4946" s="2">
        <v>1</v>
      </c>
      <c r="AA4946" s="2" t="s">
        <v>82</v>
      </c>
      <c r="AB4946" s="2">
        <v>9</v>
      </c>
      <c r="AC4946" s="2" t="s">
        <v>124</v>
      </c>
      <c r="AD4946" s="3">
        <v>40515</v>
      </c>
      <c r="AE4946" s="4">
        <v>0.66666666666666663</v>
      </c>
      <c r="AF4946" s="2"/>
      <c r="AG4946" s="2"/>
      <c r="AH4946" s="2">
        <v>2</v>
      </c>
      <c r="AI4946" s="2" t="s">
        <v>84</v>
      </c>
      <c r="AJ4946" s="2">
        <v>8</v>
      </c>
      <c r="AK4946" s="2" t="s">
        <v>436</v>
      </c>
      <c r="AL4946" s="2">
        <v>10</v>
      </c>
      <c r="AM4946" s="2" t="s">
        <v>200</v>
      </c>
      <c r="AN4946" s="2"/>
      <c r="AO4946" s="2" t="s">
        <v>230</v>
      </c>
      <c r="AP4946" s="2">
        <v>11</v>
      </c>
      <c r="AQ4946" s="2" t="s">
        <v>82</v>
      </c>
      <c r="AR4946" s="2"/>
      <c r="AS4946" s="2"/>
      <c r="AT4946" s="2" t="s">
        <v>15207</v>
      </c>
      <c r="AU4946" s="2"/>
      <c r="AV4946" s="2"/>
      <c r="AW4946" s="2"/>
      <c r="AX4946" s="2"/>
      <c r="AY4946" s="2">
        <v>41</v>
      </c>
      <c r="AZ4946" s="2" t="s">
        <v>82</v>
      </c>
      <c r="BA4946" s="2">
        <v>41</v>
      </c>
      <c r="BB4946" s="2" t="s">
        <v>82</v>
      </c>
      <c r="BC4946" s="2">
        <v>41</v>
      </c>
      <c r="BD4946" s="2" t="s">
        <v>82</v>
      </c>
      <c r="BE4946" s="2">
        <v>41</v>
      </c>
      <c r="BF4946" s="2" t="s">
        <v>82</v>
      </c>
      <c r="BG4946" s="2"/>
      <c r="BH4946" s="2"/>
      <c r="BI4946" s="2"/>
      <c r="BJ4946" s="2">
        <v>241</v>
      </c>
      <c r="BK4946" s="2" t="s">
        <v>82</v>
      </c>
      <c r="BL4946" s="2"/>
      <c r="BM4946" s="2">
        <v>241</v>
      </c>
      <c r="BN4946" s="2" t="s">
        <v>82</v>
      </c>
      <c r="BO4946" s="2"/>
      <c r="BP4946" s="2">
        <v>241</v>
      </c>
      <c r="BQ4946" s="2" t="s">
        <v>82</v>
      </c>
      <c r="BR4946" s="2"/>
      <c r="BS4946" s="3">
        <v>40515</v>
      </c>
      <c r="BT4946" s="4">
        <v>0.68629629629629629</v>
      </c>
    </row>
    <row r="4947" spans="1:72" x14ac:dyDescent="0.25">
      <c r="A4947" s="2">
        <v>7670</v>
      </c>
      <c r="B4947" s="2">
        <v>2010</v>
      </c>
      <c r="C4947" s="2" t="s">
        <v>196</v>
      </c>
      <c r="D4947" s="2" t="s">
        <v>122</v>
      </c>
      <c r="E4947" s="2"/>
      <c r="F4947" s="2">
        <v>1</v>
      </c>
      <c r="G4947" s="2" t="s">
        <v>82</v>
      </c>
      <c r="H4947" s="2">
        <v>1</v>
      </c>
      <c r="I4947" s="2" t="s">
        <v>82</v>
      </c>
      <c r="J4947" s="2">
        <v>1</v>
      </c>
      <c r="K4947" s="2" t="s">
        <v>107</v>
      </c>
      <c r="L4947" s="2" t="s">
        <v>107</v>
      </c>
      <c r="M4947" s="3">
        <v>40515</v>
      </c>
      <c r="N4947" s="2"/>
      <c r="O4947" s="2"/>
      <c r="P4947" s="2"/>
      <c r="Q4947" s="2" t="str">
        <f>""</f>
        <v/>
      </c>
      <c r="R4947" s="2"/>
      <c r="S4947" s="2"/>
      <c r="T4947" s="2">
        <v>2</v>
      </c>
      <c r="U4947" s="2" t="s">
        <v>123</v>
      </c>
      <c r="V4947" s="2">
        <v>1</v>
      </c>
      <c r="W4947" s="2" t="s">
        <v>80</v>
      </c>
      <c r="X4947" s="2">
        <v>11</v>
      </c>
      <c r="Y4947" s="2" t="s">
        <v>1920</v>
      </c>
      <c r="Z4947" s="2">
        <v>1</v>
      </c>
      <c r="AA4947" s="2" t="s">
        <v>82</v>
      </c>
      <c r="AB4947" s="2">
        <v>9</v>
      </c>
      <c r="AC4947" s="2" t="s">
        <v>124</v>
      </c>
      <c r="AD4947" s="3">
        <v>40515</v>
      </c>
      <c r="AE4947" s="4">
        <v>0.70000000000000007</v>
      </c>
      <c r="AF4947" s="2"/>
      <c r="AG4947" s="2"/>
      <c r="AH4947" s="2">
        <v>2</v>
      </c>
      <c r="AI4947" s="2" t="s">
        <v>84</v>
      </c>
      <c r="AJ4947" s="2">
        <v>8</v>
      </c>
      <c r="AK4947" s="2" t="s">
        <v>436</v>
      </c>
      <c r="AL4947" s="2">
        <v>10</v>
      </c>
      <c r="AM4947" s="2" t="s">
        <v>200</v>
      </c>
      <c r="AN4947" s="2"/>
      <c r="AO4947" s="2" t="s">
        <v>230</v>
      </c>
      <c r="AP4947" s="2">
        <v>11</v>
      </c>
      <c r="AQ4947" s="2" t="s">
        <v>82</v>
      </c>
      <c r="AR4947" s="2"/>
      <c r="AS4947" s="2"/>
      <c r="AT4947" s="2" t="s">
        <v>15208</v>
      </c>
      <c r="AU4947" s="2"/>
      <c r="AV4947" s="2"/>
      <c r="AW4947" s="2"/>
      <c r="AX4947" s="2"/>
      <c r="AY4947" s="2">
        <v>41</v>
      </c>
      <c r="AZ4947" s="2" t="s">
        <v>82</v>
      </c>
      <c r="BA4947" s="2">
        <v>41</v>
      </c>
      <c r="BB4947" s="2" t="s">
        <v>82</v>
      </c>
      <c r="BC4947" s="2">
        <v>41</v>
      </c>
      <c r="BD4947" s="2" t="s">
        <v>82</v>
      </c>
      <c r="BE4947" s="2">
        <v>41</v>
      </c>
      <c r="BF4947" s="2" t="s">
        <v>82</v>
      </c>
      <c r="BG4947" s="2"/>
      <c r="BH4947" s="2"/>
      <c r="BI4947" s="2"/>
      <c r="BJ4947" s="2">
        <v>241</v>
      </c>
      <c r="BK4947" s="2" t="s">
        <v>82</v>
      </c>
      <c r="BL4947" s="2"/>
      <c r="BM4947" s="2">
        <v>241</v>
      </c>
      <c r="BN4947" s="2" t="s">
        <v>82</v>
      </c>
      <c r="BO4947" s="2"/>
      <c r="BP4947" s="2">
        <v>241</v>
      </c>
      <c r="BQ4947" s="2" t="s">
        <v>82</v>
      </c>
      <c r="BR4947" s="2"/>
      <c r="BS4947" s="3">
        <v>40515</v>
      </c>
      <c r="BT4947" s="4">
        <v>0.71482638888888894</v>
      </c>
    </row>
    <row r="4948" spans="1:72" x14ac:dyDescent="0.25">
      <c r="A4948" s="2">
        <v>7672</v>
      </c>
      <c r="B4948" s="2">
        <v>2010</v>
      </c>
      <c r="C4948" s="2" t="s">
        <v>171</v>
      </c>
      <c r="D4948" s="2" t="s">
        <v>73</v>
      </c>
      <c r="E4948" s="2"/>
      <c r="F4948" s="2">
        <v>281</v>
      </c>
      <c r="G4948" s="2" t="s">
        <v>7482</v>
      </c>
      <c r="H4948" s="2">
        <v>2</v>
      </c>
      <c r="I4948" s="2" t="s">
        <v>267</v>
      </c>
      <c r="J4948" s="2">
        <v>335</v>
      </c>
      <c r="K4948" s="2" t="s">
        <v>2804</v>
      </c>
      <c r="L4948" s="2" t="s">
        <v>3947</v>
      </c>
      <c r="M4948" s="3">
        <v>40515</v>
      </c>
      <c r="N4948" s="2" t="s">
        <v>15209</v>
      </c>
      <c r="O4948" s="2" t="s">
        <v>15210</v>
      </c>
      <c r="P4948" s="2" t="s">
        <v>15105</v>
      </c>
      <c r="Q4948" s="2" t="str">
        <f>""</f>
        <v/>
      </c>
      <c r="R4948" s="2"/>
      <c r="S4948" s="2"/>
      <c r="T4948" s="2">
        <v>1</v>
      </c>
      <c r="U4948" s="2" t="s">
        <v>79</v>
      </c>
      <c r="V4948" s="2">
        <v>1</v>
      </c>
      <c r="W4948" s="2" t="s">
        <v>80</v>
      </c>
      <c r="X4948" s="2">
        <v>7</v>
      </c>
      <c r="Y4948" s="2" t="s">
        <v>1964</v>
      </c>
      <c r="Z4948" s="2">
        <v>1</v>
      </c>
      <c r="AA4948" s="2" t="s">
        <v>82</v>
      </c>
      <c r="AB4948" s="2">
        <v>1</v>
      </c>
      <c r="AC4948" s="2" t="s">
        <v>178</v>
      </c>
      <c r="AD4948" s="3">
        <v>40515</v>
      </c>
      <c r="AE4948" s="4">
        <v>0.625</v>
      </c>
      <c r="AF4948" s="3">
        <v>40515</v>
      </c>
      <c r="AG4948" s="4">
        <v>0.66666666666666663</v>
      </c>
      <c r="AH4948" s="2">
        <v>2</v>
      </c>
      <c r="AI4948" s="2" t="s">
        <v>84</v>
      </c>
      <c r="AJ4948" s="2">
        <v>6</v>
      </c>
      <c r="AK4948" s="2" t="s">
        <v>453</v>
      </c>
      <c r="AL4948" s="2">
        <v>23</v>
      </c>
      <c r="AM4948" s="2" t="s">
        <v>251</v>
      </c>
      <c r="AN4948" s="2" t="s">
        <v>15211</v>
      </c>
      <c r="AO4948" s="2" t="s">
        <v>15212</v>
      </c>
      <c r="AP4948" s="2">
        <v>5</v>
      </c>
      <c r="AQ4948" s="2" t="s">
        <v>827</v>
      </c>
      <c r="AR4948" s="2" t="s">
        <v>15213</v>
      </c>
      <c r="AS4948" s="2" t="s">
        <v>15214</v>
      </c>
      <c r="AT4948" s="2" t="s">
        <v>15215</v>
      </c>
      <c r="AU4948" s="2">
        <v>1</v>
      </c>
      <c r="AV4948" s="2"/>
      <c r="AW4948" s="2"/>
      <c r="AX4948" s="2"/>
      <c r="AY4948" s="2">
        <v>41</v>
      </c>
      <c r="AZ4948" s="2" t="s">
        <v>82</v>
      </c>
      <c r="BA4948" s="2">
        <v>41</v>
      </c>
      <c r="BB4948" s="2" t="s">
        <v>82</v>
      </c>
      <c r="BC4948" s="2">
        <v>41</v>
      </c>
      <c r="BD4948" s="2" t="s">
        <v>82</v>
      </c>
      <c r="BE4948" s="2">
        <v>41</v>
      </c>
      <c r="BF4948" s="2" t="s">
        <v>82</v>
      </c>
      <c r="BG4948" s="2"/>
      <c r="BH4948" s="2"/>
      <c r="BI4948" s="2"/>
      <c r="BJ4948" s="2">
        <v>241</v>
      </c>
      <c r="BK4948" s="2" t="s">
        <v>82</v>
      </c>
      <c r="BL4948" s="2"/>
      <c r="BM4948" s="2">
        <v>241</v>
      </c>
      <c r="BN4948" s="2" t="s">
        <v>82</v>
      </c>
      <c r="BO4948" s="2"/>
      <c r="BP4948" s="2">
        <v>241</v>
      </c>
      <c r="BQ4948" s="2" t="s">
        <v>82</v>
      </c>
      <c r="BR4948" s="2"/>
      <c r="BS4948" s="3">
        <v>40515</v>
      </c>
      <c r="BT4948" s="4">
        <v>0.74818287037037035</v>
      </c>
    </row>
    <row r="4949" spans="1:72" x14ac:dyDescent="0.25">
      <c r="A4949" s="2">
        <v>7673</v>
      </c>
      <c r="B4949" s="2">
        <v>2010</v>
      </c>
      <c r="C4949" s="2" t="s">
        <v>147</v>
      </c>
      <c r="D4949" s="2" t="s">
        <v>73</v>
      </c>
      <c r="E4949" s="2"/>
      <c r="F4949" s="2">
        <v>1</v>
      </c>
      <c r="G4949" s="2" t="s">
        <v>82</v>
      </c>
      <c r="H4949" s="2">
        <v>1</v>
      </c>
      <c r="I4949" s="2" t="s">
        <v>82</v>
      </c>
      <c r="J4949" s="2">
        <v>1</v>
      </c>
      <c r="K4949" s="2" t="s">
        <v>107</v>
      </c>
      <c r="L4949" s="2" t="s">
        <v>107</v>
      </c>
      <c r="M4949" s="3">
        <v>40515</v>
      </c>
      <c r="N4949" s="2" t="s">
        <v>82</v>
      </c>
      <c r="O4949" s="2" t="s">
        <v>82</v>
      </c>
      <c r="P4949" s="2" t="s">
        <v>82</v>
      </c>
      <c r="Q4949" s="2" t="str">
        <f>"AP 0055-10"</f>
        <v>AP 0055-10</v>
      </c>
      <c r="R4949" s="2" t="s">
        <v>15216</v>
      </c>
      <c r="S4949" s="2"/>
      <c r="T4949" s="2">
        <v>2</v>
      </c>
      <c r="U4949" s="2" t="s">
        <v>123</v>
      </c>
      <c r="V4949" s="2">
        <v>1</v>
      </c>
      <c r="W4949" s="2" t="s">
        <v>80</v>
      </c>
      <c r="X4949" s="2">
        <v>12</v>
      </c>
      <c r="Y4949" s="2" t="s">
        <v>148</v>
      </c>
      <c r="Z4949" s="2">
        <v>1</v>
      </c>
      <c r="AA4949" s="2" t="s">
        <v>82</v>
      </c>
      <c r="AB4949" s="2">
        <v>9</v>
      </c>
      <c r="AC4949" s="2" t="s">
        <v>124</v>
      </c>
      <c r="AD4949" s="3">
        <v>40515</v>
      </c>
      <c r="AE4949" s="2"/>
      <c r="AF4949" s="3">
        <v>40515</v>
      </c>
      <c r="AG4949" s="4">
        <v>0.71180555555555547</v>
      </c>
      <c r="AH4949" s="2">
        <v>6</v>
      </c>
      <c r="AI4949" s="2" t="s">
        <v>197</v>
      </c>
      <c r="AJ4949" s="2">
        <v>60</v>
      </c>
      <c r="AK4949" s="2" t="s">
        <v>543</v>
      </c>
      <c r="AL4949" s="2">
        <v>19</v>
      </c>
      <c r="AM4949" s="2" t="s">
        <v>107</v>
      </c>
      <c r="AN4949" s="2"/>
      <c r="AO4949" s="2"/>
      <c r="AP4949" s="2">
        <v>11</v>
      </c>
      <c r="AQ4949" s="2" t="s">
        <v>82</v>
      </c>
      <c r="AR4949" s="2"/>
      <c r="AS4949" s="2"/>
      <c r="AT4949" s="2" t="s">
        <v>15217</v>
      </c>
      <c r="AU4949" s="2"/>
      <c r="AV4949" s="2"/>
      <c r="AW4949" s="2"/>
      <c r="AX4949" s="2"/>
      <c r="AY4949" s="2">
        <v>41</v>
      </c>
      <c r="AZ4949" s="2" t="s">
        <v>82</v>
      </c>
      <c r="BA4949" s="2">
        <v>41</v>
      </c>
      <c r="BB4949" s="2" t="s">
        <v>82</v>
      </c>
      <c r="BC4949" s="2">
        <v>41</v>
      </c>
      <c r="BD4949" s="2" t="s">
        <v>82</v>
      </c>
      <c r="BE4949" s="2">
        <v>41</v>
      </c>
      <c r="BF4949" s="2" t="s">
        <v>82</v>
      </c>
      <c r="BG4949" s="2"/>
      <c r="BH4949" s="2"/>
      <c r="BI4949" s="2"/>
      <c r="BJ4949" s="2">
        <v>241</v>
      </c>
      <c r="BK4949" s="2" t="s">
        <v>82</v>
      </c>
      <c r="BL4949" s="2"/>
      <c r="BM4949" s="2">
        <v>241</v>
      </c>
      <c r="BN4949" s="2" t="s">
        <v>82</v>
      </c>
      <c r="BO4949" s="2"/>
      <c r="BP4949" s="2">
        <v>241</v>
      </c>
      <c r="BQ4949" s="2" t="s">
        <v>82</v>
      </c>
      <c r="BR4949" s="2"/>
      <c r="BS4949" s="3">
        <v>40515</v>
      </c>
      <c r="BT4949" s="4">
        <v>0.74942129629629628</v>
      </c>
    </row>
    <row r="4950" spans="1:72" x14ac:dyDescent="0.25">
      <c r="A4950" s="2">
        <v>7674</v>
      </c>
      <c r="B4950" s="2">
        <v>2010</v>
      </c>
      <c r="C4950" s="2" t="s">
        <v>121</v>
      </c>
      <c r="D4950" s="2" t="s">
        <v>122</v>
      </c>
      <c r="E4950" s="2"/>
      <c r="F4950" s="2">
        <v>1</v>
      </c>
      <c r="G4950" s="2" t="s">
        <v>82</v>
      </c>
      <c r="H4950" s="2">
        <v>1</v>
      </c>
      <c r="I4950" s="2" t="s">
        <v>82</v>
      </c>
      <c r="J4950" s="2">
        <v>1</v>
      </c>
      <c r="K4950" s="2" t="s">
        <v>107</v>
      </c>
      <c r="L4950" s="2" t="s">
        <v>107</v>
      </c>
      <c r="M4950" s="3">
        <v>40515</v>
      </c>
      <c r="N4950" s="2"/>
      <c r="O4950" s="2"/>
      <c r="P4950" s="2"/>
      <c r="Q4950" s="2" t="str">
        <f>""</f>
        <v/>
      </c>
      <c r="R4950" s="2"/>
      <c r="S4950" s="2"/>
      <c r="T4950" s="2">
        <v>2</v>
      </c>
      <c r="U4950" s="2" t="s">
        <v>123</v>
      </c>
      <c r="V4950" s="2">
        <v>1</v>
      </c>
      <c r="W4950" s="2" t="s">
        <v>80</v>
      </c>
      <c r="X4950" s="2">
        <v>11</v>
      </c>
      <c r="Y4950" s="2" t="s">
        <v>1920</v>
      </c>
      <c r="Z4950" s="2">
        <v>1</v>
      </c>
      <c r="AA4950" s="2" t="s">
        <v>82</v>
      </c>
      <c r="AB4950" s="2">
        <v>9</v>
      </c>
      <c r="AC4950" s="2" t="s">
        <v>124</v>
      </c>
      <c r="AD4950" s="3">
        <v>40515</v>
      </c>
      <c r="AE4950" s="2"/>
      <c r="AF4950" s="2"/>
      <c r="AG4950" s="2"/>
      <c r="AH4950" s="2">
        <v>2</v>
      </c>
      <c r="AI4950" s="2" t="s">
        <v>84</v>
      </c>
      <c r="AJ4950" s="2">
        <v>8</v>
      </c>
      <c r="AK4950" s="2" t="s">
        <v>436</v>
      </c>
      <c r="AL4950" s="2">
        <v>10</v>
      </c>
      <c r="AM4950" s="2" t="s">
        <v>200</v>
      </c>
      <c r="AN4950" s="2"/>
      <c r="AO4950" s="2" t="s">
        <v>230</v>
      </c>
      <c r="AP4950" s="2">
        <v>11</v>
      </c>
      <c r="AQ4950" s="2" t="s">
        <v>82</v>
      </c>
      <c r="AR4950" s="2"/>
      <c r="AS4950" s="2"/>
      <c r="AT4950" s="2" t="s">
        <v>15218</v>
      </c>
      <c r="AU4950" s="2"/>
      <c r="AV4950" s="2"/>
      <c r="AW4950" s="2"/>
      <c r="AX4950" s="2"/>
      <c r="AY4950" s="2">
        <v>41</v>
      </c>
      <c r="AZ4950" s="2" t="s">
        <v>82</v>
      </c>
      <c r="BA4950" s="2">
        <v>41</v>
      </c>
      <c r="BB4950" s="2" t="s">
        <v>82</v>
      </c>
      <c r="BC4950" s="2">
        <v>41</v>
      </c>
      <c r="BD4950" s="2" t="s">
        <v>82</v>
      </c>
      <c r="BE4950" s="2">
        <v>41</v>
      </c>
      <c r="BF4950" s="2" t="s">
        <v>82</v>
      </c>
      <c r="BG4950" s="2"/>
      <c r="BH4950" s="2"/>
      <c r="BI4950" s="2"/>
      <c r="BJ4950" s="2">
        <v>241</v>
      </c>
      <c r="BK4950" s="2" t="s">
        <v>82</v>
      </c>
      <c r="BL4950" s="2"/>
      <c r="BM4950" s="2">
        <v>241</v>
      </c>
      <c r="BN4950" s="2" t="s">
        <v>82</v>
      </c>
      <c r="BO4950" s="2"/>
      <c r="BP4950" s="2">
        <v>241</v>
      </c>
      <c r="BQ4950" s="2" t="s">
        <v>82</v>
      </c>
      <c r="BR4950" s="2"/>
      <c r="BS4950" s="3">
        <v>40515</v>
      </c>
      <c r="BT4950" s="4">
        <v>0.75416666666666676</v>
      </c>
    </row>
    <row r="4951" spans="1:72" x14ac:dyDescent="0.25">
      <c r="A4951" s="2">
        <v>7676</v>
      </c>
      <c r="B4951" s="2">
        <v>2010</v>
      </c>
      <c r="C4951" s="2" t="s">
        <v>4543</v>
      </c>
      <c r="D4951" s="2" t="s">
        <v>122</v>
      </c>
      <c r="E4951" s="2"/>
      <c r="F4951" s="2">
        <v>146</v>
      </c>
      <c r="G4951" s="2" t="s">
        <v>753</v>
      </c>
      <c r="H4951" s="2">
        <v>122</v>
      </c>
      <c r="I4951" s="2" t="s">
        <v>8431</v>
      </c>
      <c r="J4951" s="2">
        <v>733</v>
      </c>
      <c r="K4951" s="2" t="s">
        <v>15219</v>
      </c>
      <c r="L4951" s="2" t="s">
        <v>15220</v>
      </c>
      <c r="M4951" s="3">
        <v>40515</v>
      </c>
      <c r="N4951" s="2" t="s">
        <v>9100</v>
      </c>
      <c r="O4951" s="2" t="s">
        <v>15221</v>
      </c>
      <c r="P4951" s="2">
        <v>2363</v>
      </c>
      <c r="Q4951" s="2" t="str">
        <f>"N/C"</f>
        <v>N/C</v>
      </c>
      <c r="R4951" s="2" t="s">
        <v>82</v>
      </c>
      <c r="S4951" s="2" t="s">
        <v>82</v>
      </c>
      <c r="T4951" s="2">
        <v>2</v>
      </c>
      <c r="U4951" s="2" t="s">
        <v>123</v>
      </c>
      <c r="V4951" s="2">
        <v>1</v>
      </c>
      <c r="W4951" s="2" t="s">
        <v>80</v>
      </c>
      <c r="X4951" s="2">
        <v>4</v>
      </c>
      <c r="Y4951" s="2" t="s">
        <v>463</v>
      </c>
      <c r="Z4951" s="2">
        <v>1</v>
      </c>
      <c r="AA4951" s="2" t="s">
        <v>82</v>
      </c>
      <c r="AB4951" s="2">
        <v>9</v>
      </c>
      <c r="AC4951" s="2" t="s">
        <v>124</v>
      </c>
      <c r="AD4951" s="3">
        <v>40515</v>
      </c>
      <c r="AE4951" s="4">
        <v>0.6875</v>
      </c>
      <c r="AF4951" s="2"/>
      <c r="AG4951" s="2"/>
      <c r="AH4951" s="2">
        <v>6</v>
      </c>
      <c r="AI4951" s="2" t="s">
        <v>197</v>
      </c>
      <c r="AJ4951" s="2">
        <v>60</v>
      </c>
      <c r="AK4951" s="2" t="s">
        <v>543</v>
      </c>
      <c r="AL4951" s="2">
        <v>19</v>
      </c>
      <c r="AM4951" s="2" t="s">
        <v>107</v>
      </c>
      <c r="AN4951" s="2" t="s">
        <v>82</v>
      </c>
      <c r="AO4951" s="2" t="s">
        <v>2249</v>
      </c>
      <c r="AP4951" s="2">
        <v>11</v>
      </c>
      <c r="AQ4951" s="2" t="s">
        <v>82</v>
      </c>
      <c r="AR4951" s="2" t="s">
        <v>82</v>
      </c>
      <c r="AS4951" s="2" t="s">
        <v>82</v>
      </c>
      <c r="AT4951" s="2" t="s">
        <v>15222</v>
      </c>
      <c r="AU4951" s="2"/>
      <c r="AV4951" s="2"/>
      <c r="AW4951" s="2"/>
      <c r="AX4951" s="2"/>
      <c r="AY4951" s="2">
        <v>41</v>
      </c>
      <c r="AZ4951" s="2" t="s">
        <v>82</v>
      </c>
      <c r="BA4951" s="2">
        <v>41</v>
      </c>
      <c r="BB4951" s="2" t="s">
        <v>82</v>
      </c>
      <c r="BC4951" s="2">
        <v>41</v>
      </c>
      <c r="BD4951" s="2" t="s">
        <v>82</v>
      </c>
      <c r="BE4951" s="2">
        <v>49</v>
      </c>
      <c r="BF4951" s="2" t="s">
        <v>1254</v>
      </c>
      <c r="BG4951" s="2" t="s">
        <v>15223</v>
      </c>
      <c r="BH4951" s="4">
        <v>0.66249999999999998</v>
      </c>
      <c r="BI4951" s="4">
        <v>0.69444444444444453</v>
      </c>
      <c r="BJ4951" s="2">
        <v>13</v>
      </c>
      <c r="BK4951" s="2" t="s">
        <v>91</v>
      </c>
      <c r="BL4951" s="2" t="s">
        <v>690</v>
      </c>
      <c r="BM4951" s="2">
        <v>13</v>
      </c>
      <c r="BN4951" s="2" t="s">
        <v>91</v>
      </c>
      <c r="BO4951" s="2"/>
      <c r="BP4951" s="2">
        <v>13</v>
      </c>
      <c r="BQ4951" s="2" t="s">
        <v>91</v>
      </c>
      <c r="BR4951" s="2" t="s">
        <v>353</v>
      </c>
      <c r="BS4951" s="3">
        <v>40515</v>
      </c>
      <c r="BT4951" s="4">
        <v>0.79575231481481479</v>
      </c>
    </row>
    <row r="4952" spans="1:72" x14ac:dyDescent="0.25">
      <c r="A4952" s="2">
        <v>7677</v>
      </c>
      <c r="B4952" s="2">
        <v>2010</v>
      </c>
      <c r="C4952" s="2" t="s">
        <v>121</v>
      </c>
      <c r="D4952" s="2" t="s">
        <v>122</v>
      </c>
      <c r="E4952" s="2"/>
      <c r="F4952" s="2">
        <v>1</v>
      </c>
      <c r="G4952" s="2" t="s">
        <v>82</v>
      </c>
      <c r="H4952" s="2">
        <v>1</v>
      </c>
      <c r="I4952" s="2" t="s">
        <v>82</v>
      </c>
      <c r="J4952" s="2">
        <v>1</v>
      </c>
      <c r="K4952" s="2" t="s">
        <v>107</v>
      </c>
      <c r="L4952" s="2" t="s">
        <v>107</v>
      </c>
      <c r="M4952" s="3">
        <v>40515</v>
      </c>
      <c r="N4952" s="2"/>
      <c r="O4952" s="2"/>
      <c r="P4952" s="2"/>
      <c r="Q4952" s="2" t="str">
        <f>""</f>
        <v/>
      </c>
      <c r="R4952" s="2"/>
      <c r="S4952" s="2"/>
      <c r="T4952" s="2">
        <v>2</v>
      </c>
      <c r="U4952" s="2" t="s">
        <v>123</v>
      </c>
      <c r="V4952" s="2">
        <v>1</v>
      </c>
      <c r="W4952" s="2" t="s">
        <v>80</v>
      </c>
      <c r="X4952" s="2">
        <v>11</v>
      </c>
      <c r="Y4952" s="2" t="s">
        <v>1920</v>
      </c>
      <c r="Z4952" s="2">
        <v>1</v>
      </c>
      <c r="AA4952" s="2" t="s">
        <v>82</v>
      </c>
      <c r="AB4952" s="2">
        <v>9</v>
      </c>
      <c r="AC4952" s="2" t="s">
        <v>124</v>
      </c>
      <c r="AD4952" s="3">
        <v>40515</v>
      </c>
      <c r="AE4952" s="4">
        <v>0.76736111111111116</v>
      </c>
      <c r="AF4952" s="2"/>
      <c r="AG4952" s="2"/>
      <c r="AH4952" s="2">
        <v>2</v>
      </c>
      <c r="AI4952" s="2" t="s">
        <v>84</v>
      </c>
      <c r="AJ4952" s="2">
        <v>8</v>
      </c>
      <c r="AK4952" s="2" t="s">
        <v>436</v>
      </c>
      <c r="AL4952" s="2">
        <v>10</v>
      </c>
      <c r="AM4952" s="2" t="s">
        <v>200</v>
      </c>
      <c r="AN4952" s="2"/>
      <c r="AO4952" s="2" t="s">
        <v>230</v>
      </c>
      <c r="AP4952" s="2">
        <v>11</v>
      </c>
      <c r="AQ4952" s="2" t="s">
        <v>82</v>
      </c>
      <c r="AR4952" s="2"/>
      <c r="AS4952" s="2"/>
      <c r="AT4952" s="2" t="s">
        <v>15224</v>
      </c>
      <c r="AU4952" s="2"/>
      <c r="AV4952" s="2"/>
      <c r="AW4952" s="2"/>
      <c r="AX4952" s="2"/>
      <c r="AY4952" s="2">
        <v>41</v>
      </c>
      <c r="AZ4952" s="2" t="s">
        <v>82</v>
      </c>
      <c r="BA4952" s="2">
        <v>41</v>
      </c>
      <c r="BB4952" s="2" t="s">
        <v>82</v>
      </c>
      <c r="BC4952" s="2">
        <v>41</v>
      </c>
      <c r="BD4952" s="2" t="s">
        <v>82</v>
      </c>
      <c r="BE4952" s="2">
        <v>41</v>
      </c>
      <c r="BF4952" s="2" t="s">
        <v>82</v>
      </c>
      <c r="BG4952" s="2"/>
      <c r="BH4952" s="2"/>
      <c r="BI4952" s="2"/>
      <c r="BJ4952" s="2">
        <v>241</v>
      </c>
      <c r="BK4952" s="2" t="s">
        <v>82</v>
      </c>
      <c r="BL4952" s="2"/>
      <c r="BM4952" s="2">
        <v>241</v>
      </c>
      <c r="BN4952" s="2" t="s">
        <v>82</v>
      </c>
      <c r="BO4952" s="2"/>
      <c r="BP4952" s="2">
        <v>241</v>
      </c>
      <c r="BQ4952" s="2" t="s">
        <v>82</v>
      </c>
      <c r="BR4952" s="2"/>
      <c r="BS4952" s="3">
        <v>40515</v>
      </c>
      <c r="BT4952" s="4">
        <v>0.82957175925925919</v>
      </c>
    </row>
    <row r="4953" spans="1:72" x14ac:dyDescent="0.25">
      <c r="A4953" s="2">
        <v>7678</v>
      </c>
      <c r="B4953" s="2">
        <v>2010</v>
      </c>
      <c r="C4953" s="2" t="s">
        <v>93</v>
      </c>
      <c r="D4953" s="2" t="s">
        <v>73</v>
      </c>
      <c r="E4953" s="2"/>
      <c r="F4953" s="2">
        <v>734</v>
      </c>
      <c r="G4953" s="2" t="s">
        <v>15225</v>
      </c>
      <c r="H4953" s="2">
        <v>50</v>
      </c>
      <c r="I4953" s="2" t="s">
        <v>107</v>
      </c>
      <c r="J4953" s="2">
        <v>735</v>
      </c>
      <c r="K4953" s="2" t="s">
        <v>15226</v>
      </c>
      <c r="L4953" s="2" t="s">
        <v>3029</v>
      </c>
      <c r="M4953" s="3">
        <v>40515</v>
      </c>
      <c r="N4953" s="2" t="s">
        <v>107</v>
      </c>
      <c r="O4953" s="2" t="s">
        <v>15227</v>
      </c>
      <c r="P4953" s="2" t="s">
        <v>107</v>
      </c>
      <c r="Q4953" s="2" t="str">
        <f>"N/C"</f>
        <v>N/C</v>
      </c>
      <c r="R4953" s="2" t="s">
        <v>82</v>
      </c>
      <c r="S4953" s="2"/>
      <c r="T4953" s="2">
        <v>1</v>
      </c>
      <c r="U4953" s="2" t="s">
        <v>79</v>
      </c>
      <c r="V4953" s="2">
        <v>1</v>
      </c>
      <c r="W4953" s="2" t="s">
        <v>80</v>
      </c>
      <c r="X4953" s="2">
        <v>10</v>
      </c>
      <c r="Y4953" s="2" t="s">
        <v>226</v>
      </c>
      <c r="Z4953" s="2">
        <v>6</v>
      </c>
      <c r="AA4953" s="2" t="s">
        <v>101</v>
      </c>
      <c r="AB4953" s="2">
        <v>2</v>
      </c>
      <c r="AC4953" s="2" t="s">
        <v>102</v>
      </c>
      <c r="AD4953" s="3">
        <v>40515</v>
      </c>
      <c r="AE4953" s="4">
        <v>0.61111111111111105</v>
      </c>
      <c r="AF4953" s="3">
        <v>40515</v>
      </c>
      <c r="AG4953" s="4">
        <v>0.6875</v>
      </c>
      <c r="AH4953" s="2">
        <v>2</v>
      </c>
      <c r="AI4953" s="2" t="s">
        <v>84</v>
      </c>
      <c r="AJ4953" s="2">
        <v>9</v>
      </c>
      <c r="AK4953" s="2" t="s">
        <v>103</v>
      </c>
      <c r="AL4953" s="2">
        <v>14</v>
      </c>
      <c r="AM4953" s="2" t="s">
        <v>216</v>
      </c>
      <c r="AN4953" s="2" t="s">
        <v>15228</v>
      </c>
      <c r="AO4953" s="2"/>
      <c r="AP4953" s="2">
        <v>11</v>
      </c>
      <c r="AQ4953" s="2" t="s">
        <v>82</v>
      </c>
      <c r="AR4953" s="2"/>
      <c r="AS4953" s="2"/>
      <c r="AT4953" s="2" t="s">
        <v>15229</v>
      </c>
      <c r="AU4953" s="2"/>
      <c r="AV4953" s="2"/>
      <c r="AW4953" s="2"/>
      <c r="AX4953" s="2"/>
      <c r="AY4953" s="2">
        <v>41</v>
      </c>
      <c r="AZ4953" s="2" t="s">
        <v>82</v>
      </c>
      <c r="BA4953" s="2">
        <v>41</v>
      </c>
      <c r="BB4953" s="2" t="s">
        <v>82</v>
      </c>
      <c r="BC4953" s="2">
        <v>41</v>
      </c>
      <c r="BD4953" s="2" t="s">
        <v>82</v>
      </c>
      <c r="BE4953" s="2">
        <v>17</v>
      </c>
      <c r="BF4953" s="2" t="s">
        <v>508</v>
      </c>
      <c r="BG4953" s="2" t="s">
        <v>15126</v>
      </c>
      <c r="BH4953" s="2"/>
      <c r="BI4953" s="2"/>
      <c r="BJ4953" s="2">
        <v>46</v>
      </c>
      <c r="BK4953" s="2" t="s">
        <v>307</v>
      </c>
      <c r="BL4953" s="2" t="s">
        <v>308</v>
      </c>
      <c r="BM4953" s="2">
        <v>13</v>
      </c>
      <c r="BN4953" s="2" t="s">
        <v>91</v>
      </c>
      <c r="BO4953" s="2"/>
      <c r="BP4953" s="2">
        <v>13</v>
      </c>
      <c r="BQ4953" s="2" t="s">
        <v>91</v>
      </c>
      <c r="BR4953" s="2" t="s">
        <v>360</v>
      </c>
      <c r="BS4953" s="3">
        <v>40515</v>
      </c>
      <c r="BT4953" s="4">
        <v>0.83101851851851849</v>
      </c>
    </row>
    <row r="4954" spans="1:72" x14ac:dyDescent="0.25">
      <c r="A4954" s="2">
        <v>7679</v>
      </c>
      <c r="B4954" s="2">
        <v>2010</v>
      </c>
      <c r="C4954" s="2" t="s">
        <v>93</v>
      </c>
      <c r="D4954" s="2" t="s">
        <v>73</v>
      </c>
      <c r="E4954" s="2"/>
      <c r="F4954" s="2">
        <v>733</v>
      </c>
      <c r="G4954" s="2" t="s">
        <v>15230</v>
      </c>
      <c r="H4954" s="2">
        <v>51</v>
      </c>
      <c r="I4954" s="2" t="s">
        <v>1699</v>
      </c>
      <c r="J4954" s="2">
        <v>231</v>
      </c>
      <c r="K4954" s="2" t="s">
        <v>1700</v>
      </c>
      <c r="L4954" s="2" t="s">
        <v>1701</v>
      </c>
      <c r="M4954" s="3">
        <v>40515</v>
      </c>
      <c r="N4954" s="2" t="s">
        <v>15231</v>
      </c>
      <c r="O4954" s="2" t="s">
        <v>15232</v>
      </c>
      <c r="P4954" s="2" t="s">
        <v>107</v>
      </c>
      <c r="Q4954" s="2" t="str">
        <f>"N/C"</f>
        <v>N/C</v>
      </c>
      <c r="R4954" s="2" t="s">
        <v>82</v>
      </c>
      <c r="S4954" s="2"/>
      <c r="T4954" s="2">
        <v>1</v>
      </c>
      <c r="U4954" s="2" t="s">
        <v>79</v>
      </c>
      <c r="V4954" s="2">
        <v>1</v>
      </c>
      <c r="W4954" s="2" t="s">
        <v>80</v>
      </c>
      <c r="X4954" s="2">
        <v>10</v>
      </c>
      <c r="Y4954" s="2" t="s">
        <v>226</v>
      </c>
      <c r="Z4954" s="2">
        <v>6</v>
      </c>
      <c r="AA4954" s="2" t="s">
        <v>101</v>
      </c>
      <c r="AB4954" s="2">
        <v>2</v>
      </c>
      <c r="AC4954" s="2" t="s">
        <v>102</v>
      </c>
      <c r="AD4954" s="3">
        <v>40515</v>
      </c>
      <c r="AE4954" s="4">
        <v>0.71527777777777779</v>
      </c>
      <c r="AF4954" s="3">
        <v>40515</v>
      </c>
      <c r="AG4954" s="4">
        <v>0.77083333333333337</v>
      </c>
      <c r="AH4954" s="2">
        <v>2</v>
      </c>
      <c r="AI4954" s="2" t="s">
        <v>84</v>
      </c>
      <c r="AJ4954" s="2">
        <v>9</v>
      </c>
      <c r="AK4954" s="2" t="s">
        <v>103</v>
      </c>
      <c r="AL4954" s="2">
        <v>15</v>
      </c>
      <c r="AM4954" s="2" t="s">
        <v>104</v>
      </c>
      <c r="AN4954" s="2" t="s">
        <v>15233</v>
      </c>
      <c r="AO4954" s="2" t="s">
        <v>590</v>
      </c>
      <c r="AP4954" s="2">
        <v>11</v>
      </c>
      <c r="AQ4954" s="2" t="s">
        <v>82</v>
      </c>
      <c r="AR4954" s="2"/>
      <c r="AS4954" s="2"/>
      <c r="AT4954" s="2" t="s">
        <v>15234</v>
      </c>
      <c r="AU4954" s="2"/>
      <c r="AV4954" s="2"/>
      <c r="AW4954" s="2"/>
      <c r="AX4954" s="2"/>
      <c r="AY4954" s="2">
        <v>41</v>
      </c>
      <c r="AZ4954" s="2" t="s">
        <v>82</v>
      </c>
      <c r="BA4954" s="2">
        <v>41</v>
      </c>
      <c r="BB4954" s="2" t="s">
        <v>82</v>
      </c>
      <c r="BC4954" s="2">
        <v>41</v>
      </c>
      <c r="BD4954" s="2" t="s">
        <v>82</v>
      </c>
      <c r="BE4954" s="2">
        <v>13</v>
      </c>
      <c r="BF4954" s="2" t="s">
        <v>108</v>
      </c>
      <c r="BG4954" s="2" t="s">
        <v>7317</v>
      </c>
      <c r="BH4954" s="4">
        <v>0.65972222222222221</v>
      </c>
      <c r="BI4954" s="2"/>
      <c r="BJ4954" s="2">
        <v>29</v>
      </c>
      <c r="BK4954" s="2" t="s">
        <v>962</v>
      </c>
      <c r="BL4954" s="2" t="s">
        <v>963</v>
      </c>
      <c r="BM4954" s="2">
        <v>13</v>
      </c>
      <c r="BN4954" s="2" t="s">
        <v>91</v>
      </c>
      <c r="BO4954" s="2"/>
      <c r="BP4954" s="2">
        <v>13</v>
      </c>
      <c r="BQ4954" s="2" t="s">
        <v>91</v>
      </c>
      <c r="BR4954" s="2" t="s">
        <v>360</v>
      </c>
      <c r="BS4954" s="3">
        <v>40515</v>
      </c>
      <c r="BT4954" s="4">
        <v>0.84788194444444442</v>
      </c>
    </row>
    <row r="4955" spans="1:72" x14ac:dyDescent="0.25">
      <c r="A4955" s="2">
        <v>7680</v>
      </c>
      <c r="B4955" s="2">
        <v>2010</v>
      </c>
      <c r="C4955" s="2" t="s">
        <v>196</v>
      </c>
      <c r="D4955" s="2" t="s">
        <v>122</v>
      </c>
      <c r="E4955" s="2"/>
      <c r="F4955" s="2">
        <v>1</v>
      </c>
      <c r="G4955" s="2" t="s">
        <v>82</v>
      </c>
      <c r="H4955" s="2">
        <v>1</v>
      </c>
      <c r="I4955" s="2" t="s">
        <v>82</v>
      </c>
      <c r="J4955" s="2">
        <v>1</v>
      </c>
      <c r="K4955" s="2" t="s">
        <v>107</v>
      </c>
      <c r="L4955" s="2" t="s">
        <v>107</v>
      </c>
      <c r="M4955" s="3">
        <v>40515</v>
      </c>
      <c r="N4955" s="2"/>
      <c r="O4955" s="2"/>
      <c r="P4955" s="2"/>
      <c r="Q4955" s="2" t="str">
        <f>""</f>
        <v/>
      </c>
      <c r="R4955" s="2"/>
      <c r="S4955" s="2"/>
      <c r="T4955" s="2">
        <v>2</v>
      </c>
      <c r="U4955" s="2" t="s">
        <v>123</v>
      </c>
      <c r="V4955" s="2">
        <v>1</v>
      </c>
      <c r="W4955" s="2" t="s">
        <v>80</v>
      </c>
      <c r="X4955" s="2">
        <v>11</v>
      </c>
      <c r="Y4955" s="2" t="s">
        <v>1920</v>
      </c>
      <c r="Z4955" s="2">
        <v>10</v>
      </c>
      <c r="AA4955" s="2" t="s">
        <v>236</v>
      </c>
      <c r="AB4955" s="2">
        <v>9</v>
      </c>
      <c r="AC4955" s="2" t="s">
        <v>124</v>
      </c>
      <c r="AD4955" s="3">
        <v>40515</v>
      </c>
      <c r="AE4955" s="4">
        <v>0.79166666666666663</v>
      </c>
      <c r="AF4955" s="2"/>
      <c r="AG4955" s="2"/>
      <c r="AH4955" s="2">
        <v>2</v>
      </c>
      <c r="AI4955" s="2" t="s">
        <v>84</v>
      </c>
      <c r="AJ4955" s="2">
        <v>12</v>
      </c>
      <c r="AK4955" s="2" t="s">
        <v>85</v>
      </c>
      <c r="AL4955" s="2">
        <v>20</v>
      </c>
      <c r="AM4955" s="2" t="s">
        <v>992</v>
      </c>
      <c r="AN4955" s="2"/>
      <c r="AO4955" s="2"/>
      <c r="AP4955" s="2">
        <v>11</v>
      </c>
      <c r="AQ4955" s="2" t="s">
        <v>82</v>
      </c>
      <c r="AR4955" s="2"/>
      <c r="AS4955" s="2"/>
      <c r="AT4955" s="2" t="s">
        <v>15235</v>
      </c>
      <c r="AU4955" s="2"/>
      <c r="AV4955" s="2"/>
      <c r="AW4955" s="2"/>
      <c r="AX4955" s="2"/>
      <c r="AY4955" s="2">
        <v>41</v>
      </c>
      <c r="AZ4955" s="2" t="s">
        <v>82</v>
      </c>
      <c r="BA4955" s="2">
        <v>41</v>
      </c>
      <c r="BB4955" s="2" t="s">
        <v>82</v>
      </c>
      <c r="BC4955" s="2">
        <v>41</v>
      </c>
      <c r="BD4955" s="2" t="s">
        <v>82</v>
      </c>
      <c r="BE4955" s="2">
        <v>41</v>
      </c>
      <c r="BF4955" s="2" t="s">
        <v>82</v>
      </c>
      <c r="BG4955" s="2"/>
      <c r="BH4955" s="2"/>
      <c r="BI4955" s="2"/>
      <c r="BJ4955" s="2">
        <v>241</v>
      </c>
      <c r="BK4955" s="2" t="s">
        <v>82</v>
      </c>
      <c r="BL4955" s="2"/>
      <c r="BM4955" s="2">
        <v>241</v>
      </c>
      <c r="BN4955" s="2" t="s">
        <v>82</v>
      </c>
      <c r="BO4955" s="2"/>
      <c r="BP4955" s="2">
        <v>241</v>
      </c>
      <c r="BQ4955" s="2" t="s">
        <v>82</v>
      </c>
      <c r="BR4955" s="2"/>
      <c r="BS4955" s="3">
        <v>40515</v>
      </c>
      <c r="BT4955" s="4">
        <v>0.95756944444444436</v>
      </c>
    </row>
    <row r="4956" spans="1:72" x14ac:dyDescent="0.25">
      <c r="A4956" s="2">
        <v>7681</v>
      </c>
      <c r="B4956" s="2">
        <v>2010</v>
      </c>
      <c r="C4956" s="2" t="s">
        <v>121</v>
      </c>
      <c r="D4956" s="2" t="s">
        <v>122</v>
      </c>
      <c r="E4956" s="2"/>
      <c r="F4956" s="2">
        <v>1</v>
      </c>
      <c r="G4956" s="2" t="s">
        <v>82</v>
      </c>
      <c r="H4956" s="2">
        <v>1</v>
      </c>
      <c r="I4956" s="2" t="s">
        <v>82</v>
      </c>
      <c r="J4956" s="2">
        <v>1</v>
      </c>
      <c r="K4956" s="2" t="s">
        <v>107</v>
      </c>
      <c r="L4956" s="2" t="s">
        <v>107</v>
      </c>
      <c r="M4956" s="3">
        <v>40515</v>
      </c>
      <c r="N4956" s="2"/>
      <c r="O4956" s="2"/>
      <c r="P4956" s="2"/>
      <c r="Q4956" s="2" t="str">
        <f>""</f>
        <v/>
      </c>
      <c r="R4956" s="2"/>
      <c r="S4956" s="2"/>
      <c r="T4956" s="2">
        <v>2</v>
      </c>
      <c r="U4956" s="2" t="s">
        <v>123</v>
      </c>
      <c r="V4956" s="2">
        <v>1</v>
      </c>
      <c r="W4956" s="2" t="s">
        <v>80</v>
      </c>
      <c r="X4956" s="2">
        <v>11</v>
      </c>
      <c r="Y4956" s="2" t="s">
        <v>1920</v>
      </c>
      <c r="Z4956" s="2">
        <v>1</v>
      </c>
      <c r="AA4956" s="2" t="s">
        <v>82</v>
      </c>
      <c r="AB4956" s="2">
        <v>9</v>
      </c>
      <c r="AC4956" s="2" t="s">
        <v>124</v>
      </c>
      <c r="AD4956" s="3">
        <v>40515</v>
      </c>
      <c r="AE4956" s="4">
        <v>0.94791666666666663</v>
      </c>
      <c r="AF4956" s="2"/>
      <c r="AG4956" s="2"/>
      <c r="AH4956" s="2">
        <v>2</v>
      </c>
      <c r="AI4956" s="2" t="s">
        <v>84</v>
      </c>
      <c r="AJ4956" s="2">
        <v>8</v>
      </c>
      <c r="AK4956" s="2" t="s">
        <v>436</v>
      </c>
      <c r="AL4956" s="2">
        <v>10</v>
      </c>
      <c r="AM4956" s="2" t="s">
        <v>200</v>
      </c>
      <c r="AN4956" s="2"/>
      <c r="AO4956" s="2" t="s">
        <v>230</v>
      </c>
      <c r="AP4956" s="2">
        <v>11</v>
      </c>
      <c r="AQ4956" s="2" t="s">
        <v>82</v>
      </c>
      <c r="AR4956" s="2"/>
      <c r="AS4956" s="2"/>
      <c r="AT4956" s="2" t="s">
        <v>15236</v>
      </c>
      <c r="AU4956" s="2"/>
      <c r="AV4956" s="2"/>
      <c r="AW4956" s="2"/>
      <c r="AX4956" s="2"/>
      <c r="AY4956" s="2">
        <v>41</v>
      </c>
      <c r="AZ4956" s="2" t="s">
        <v>82</v>
      </c>
      <c r="BA4956" s="2">
        <v>41</v>
      </c>
      <c r="BB4956" s="2" t="s">
        <v>82</v>
      </c>
      <c r="BC4956" s="2">
        <v>41</v>
      </c>
      <c r="BD4956" s="2" t="s">
        <v>82</v>
      </c>
      <c r="BE4956" s="2">
        <v>41</v>
      </c>
      <c r="BF4956" s="2" t="s">
        <v>82</v>
      </c>
      <c r="BG4956" s="2"/>
      <c r="BH4956" s="2"/>
      <c r="BI4956" s="2"/>
      <c r="BJ4956" s="2">
        <v>241</v>
      </c>
      <c r="BK4956" s="2" t="s">
        <v>82</v>
      </c>
      <c r="BL4956" s="2"/>
      <c r="BM4956" s="2">
        <v>241</v>
      </c>
      <c r="BN4956" s="2" t="s">
        <v>82</v>
      </c>
      <c r="BO4956" s="2"/>
      <c r="BP4956" s="2">
        <v>241</v>
      </c>
      <c r="BQ4956" s="2" t="s">
        <v>82</v>
      </c>
      <c r="BR4956" s="2"/>
      <c r="BS4956" s="3">
        <v>40515</v>
      </c>
      <c r="BT4956" s="4">
        <v>0.96945601851851848</v>
      </c>
    </row>
    <row r="4957" spans="1:72" x14ac:dyDescent="0.25">
      <c r="A4957" s="2">
        <v>7682</v>
      </c>
      <c r="B4957" s="2">
        <v>2010</v>
      </c>
      <c r="C4957" s="2" t="s">
        <v>763</v>
      </c>
      <c r="D4957" s="2" t="s">
        <v>122</v>
      </c>
      <c r="E4957" s="2"/>
      <c r="F4957" s="2">
        <v>477</v>
      </c>
      <c r="G4957" s="2" t="s">
        <v>1300</v>
      </c>
      <c r="H4957" s="2">
        <v>1</v>
      </c>
      <c r="I4957" s="2" t="s">
        <v>82</v>
      </c>
      <c r="J4957" s="2">
        <v>383</v>
      </c>
      <c r="K4957" s="2" t="s">
        <v>1301</v>
      </c>
      <c r="L4957" s="2" t="s">
        <v>1302</v>
      </c>
      <c r="M4957" s="3">
        <v>40515</v>
      </c>
      <c r="N4957" s="2" t="s">
        <v>107</v>
      </c>
      <c r="O4957" s="2" t="s">
        <v>15237</v>
      </c>
      <c r="P4957" s="2"/>
      <c r="Q4957" s="2" t="str">
        <f>""</f>
        <v/>
      </c>
      <c r="R4957" s="2"/>
      <c r="S4957" s="2"/>
      <c r="T4957" s="2">
        <v>1</v>
      </c>
      <c r="U4957" s="2" t="s">
        <v>79</v>
      </c>
      <c r="V4957" s="2">
        <v>1</v>
      </c>
      <c r="W4957" s="2" t="s">
        <v>80</v>
      </c>
      <c r="X4957" s="2">
        <v>5</v>
      </c>
      <c r="Y4957" s="2" t="s">
        <v>82</v>
      </c>
      <c r="Z4957" s="2">
        <v>1</v>
      </c>
      <c r="AA4957" s="2" t="s">
        <v>82</v>
      </c>
      <c r="AB4957" s="2">
        <v>9</v>
      </c>
      <c r="AC4957" s="2" t="s">
        <v>124</v>
      </c>
      <c r="AD4957" s="3">
        <v>40515</v>
      </c>
      <c r="AE4957" s="4">
        <v>0.88888888888888884</v>
      </c>
      <c r="AF4957" s="2"/>
      <c r="AG4957" s="2"/>
      <c r="AH4957" s="2">
        <v>4</v>
      </c>
      <c r="AI4957" s="2" t="s">
        <v>125</v>
      </c>
      <c r="AJ4957" s="2">
        <v>29</v>
      </c>
      <c r="AK4957" s="2" t="s">
        <v>227</v>
      </c>
      <c r="AL4957" s="2">
        <v>19</v>
      </c>
      <c r="AM4957" s="2" t="s">
        <v>107</v>
      </c>
      <c r="AN4957" s="2"/>
      <c r="AO4957" s="2"/>
      <c r="AP4957" s="2">
        <v>11</v>
      </c>
      <c r="AQ4957" s="2" t="s">
        <v>82</v>
      </c>
      <c r="AR4957" s="2"/>
      <c r="AS4957" s="2"/>
      <c r="AT4957" s="2" t="s">
        <v>15238</v>
      </c>
      <c r="AU4957" s="2">
        <v>1</v>
      </c>
      <c r="AV4957" s="2"/>
      <c r="AW4957" s="2"/>
      <c r="AX4957" s="2"/>
      <c r="AY4957" s="2">
        <v>41</v>
      </c>
      <c r="AZ4957" s="2" t="s">
        <v>82</v>
      </c>
      <c r="BA4957" s="2">
        <v>41</v>
      </c>
      <c r="BB4957" s="2" t="s">
        <v>82</v>
      </c>
      <c r="BC4957" s="2">
        <v>41</v>
      </c>
      <c r="BD4957" s="2" t="s">
        <v>82</v>
      </c>
      <c r="BE4957" s="2">
        <v>41</v>
      </c>
      <c r="BF4957" s="2" t="s">
        <v>82</v>
      </c>
      <c r="BG4957" s="2"/>
      <c r="BH4957" s="2"/>
      <c r="BI4957" s="2"/>
      <c r="BJ4957" s="2">
        <v>241</v>
      </c>
      <c r="BK4957" s="2" t="s">
        <v>82</v>
      </c>
      <c r="BL4957" s="2"/>
      <c r="BM4957" s="2">
        <v>241</v>
      </c>
      <c r="BN4957" s="2" t="s">
        <v>82</v>
      </c>
      <c r="BO4957" s="2"/>
      <c r="BP4957" s="2">
        <v>241</v>
      </c>
      <c r="BQ4957" s="2" t="s">
        <v>82</v>
      </c>
      <c r="BR4957" s="2"/>
      <c r="BS4957" s="3">
        <v>40515</v>
      </c>
      <c r="BT4957" s="4">
        <v>0.98243055555555558</v>
      </c>
    </row>
    <row r="4958" spans="1:72" x14ac:dyDescent="0.25">
      <c r="A4958" s="2">
        <v>7683</v>
      </c>
      <c r="B4958" s="2">
        <v>2010</v>
      </c>
      <c r="C4958" s="2" t="s">
        <v>377</v>
      </c>
      <c r="D4958" s="2" t="s">
        <v>73</v>
      </c>
      <c r="E4958" s="2"/>
      <c r="F4958" s="2">
        <v>426</v>
      </c>
      <c r="G4958" s="2" t="s">
        <v>378</v>
      </c>
      <c r="H4958" s="2">
        <v>149</v>
      </c>
      <c r="I4958" s="2" t="s">
        <v>14672</v>
      </c>
      <c r="J4958" s="2">
        <v>311</v>
      </c>
      <c r="K4958" s="2" t="s">
        <v>379</v>
      </c>
      <c r="L4958" s="2" t="s">
        <v>380</v>
      </c>
      <c r="M4958" s="3">
        <v>40515</v>
      </c>
      <c r="N4958" s="2" t="s">
        <v>7171</v>
      </c>
      <c r="O4958" s="2"/>
      <c r="P4958" s="2"/>
      <c r="Q4958" s="2" t="str">
        <f>"301-C/10"</f>
        <v>301-C/10</v>
      </c>
      <c r="R4958" s="2"/>
      <c r="S4958" s="2" t="s">
        <v>5997</v>
      </c>
      <c r="T4958" s="2">
        <v>1</v>
      </c>
      <c r="U4958" s="2" t="s">
        <v>79</v>
      </c>
      <c r="V4958" s="2">
        <v>1</v>
      </c>
      <c r="W4958" s="2" t="s">
        <v>80</v>
      </c>
      <c r="X4958" s="2">
        <v>1</v>
      </c>
      <c r="Y4958" s="2" t="s">
        <v>81</v>
      </c>
      <c r="Z4958" s="2">
        <v>1</v>
      </c>
      <c r="AA4958" s="2" t="s">
        <v>82</v>
      </c>
      <c r="AB4958" s="2">
        <v>9</v>
      </c>
      <c r="AC4958" s="2" t="s">
        <v>124</v>
      </c>
      <c r="AD4958" s="3">
        <v>40515</v>
      </c>
      <c r="AE4958" s="4">
        <v>0.75</v>
      </c>
      <c r="AF4958" s="3">
        <v>40515</v>
      </c>
      <c r="AG4958" s="4">
        <v>0.75</v>
      </c>
      <c r="AH4958" s="2">
        <v>2</v>
      </c>
      <c r="AI4958" s="2" t="s">
        <v>84</v>
      </c>
      <c r="AJ4958" s="2">
        <v>9</v>
      </c>
      <c r="AK4958" s="2" t="s">
        <v>103</v>
      </c>
      <c r="AL4958" s="2">
        <v>29</v>
      </c>
      <c r="AM4958" s="2" t="s">
        <v>5416</v>
      </c>
      <c r="AN4958" s="2" t="s">
        <v>15239</v>
      </c>
      <c r="AO4958" s="2" t="s">
        <v>987</v>
      </c>
      <c r="AP4958" s="2">
        <v>11</v>
      </c>
      <c r="AQ4958" s="2" t="s">
        <v>82</v>
      </c>
      <c r="AR4958" s="2"/>
      <c r="AS4958" s="2"/>
      <c r="AT4958" s="2" t="s">
        <v>15240</v>
      </c>
      <c r="AU4958" s="2"/>
      <c r="AV4958" s="2"/>
      <c r="AW4958" s="2"/>
      <c r="AX4958" s="2"/>
      <c r="AY4958" s="2">
        <v>41</v>
      </c>
      <c r="AZ4958" s="2" t="s">
        <v>82</v>
      </c>
      <c r="BA4958" s="2">
        <v>41</v>
      </c>
      <c r="BB4958" s="2" t="s">
        <v>82</v>
      </c>
      <c r="BC4958" s="2">
        <v>41</v>
      </c>
      <c r="BD4958" s="2" t="s">
        <v>82</v>
      </c>
      <c r="BE4958" s="2">
        <v>41</v>
      </c>
      <c r="BF4958" s="2" t="s">
        <v>82</v>
      </c>
      <c r="BG4958" s="2"/>
      <c r="BH4958" s="2"/>
      <c r="BI4958" s="2"/>
      <c r="BJ4958" s="2">
        <v>241</v>
      </c>
      <c r="BK4958" s="2" t="s">
        <v>82</v>
      </c>
      <c r="BL4958" s="2"/>
      <c r="BM4958" s="2">
        <v>241</v>
      </c>
      <c r="BN4958" s="2" t="s">
        <v>82</v>
      </c>
      <c r="BO4958" s="2"/>
      <c r="BP4958" s="2">
        <v>241</v>
      </c>
      <c r="BQ4958" s="2" t="s">
        <v>82</v>
      </c>
      <c r="BR4958" s="2"/>
      <c r="BS4958" s="3">
        <v>40515</v>
      </c>
      <c r="BT4958" s="4">
        <v>0.99539351851851843</v>
      </c>
    </row>
    <row r="4959" spans="1:72" x14ac:dyDescent="0.25">
      <c r="A4959" s="2">
        <v>7685</v>
      </c>
      <c r="B4959" s="2">
        <v>2010</v>
      </c>
      <c r="C4959" s="2" t="s">
        <v>128</v>
      </c>
      <c r="D4959" s="2" t="s">
        <v>73</v>
      </c>
      <c r="E4959" s="2"/>
      <c r="F4959" s="2">
        <v>2</v>
      </c>
      <c r="G4959" s="2" t="s">
        <v>113</v>
      </c>
      <c r="H4959" s="2">
        <v>1</v>
      </c>
      <c r="I4959" s="2" t="s">
        <v>82</v>
      </c>
      <c r="J4959" s="2">
        <v>300</v>
      </c>
      <c r="K4959" s="2" t="s">
        <v>114</v>
      </c>
      <c r="L4959" s="2" t="s">
        <v>115</v>
      </c>
      <c r="M4959" s="3">
        <v>40516</v>
      </c>
      <c r="N4959" s="2"/>
      <c r="O4959" s="2"/>
      <c r="P4959" s="2"/>
      <c r="Q4959" s="2" t="str">
        <f>"653-E/10"</f>
        <v>653-E/10</v>
      </c>
      <c r="R4959" s="2" t="s">
        <v>15241</v>
      </c>
      <c r="S4959" s="2" t="s">
        <v>15241</v>
      </c>
      <c r="T4959" s="2">
        <v>1</v>
      </c>
      <c r="U4959" s="2" t="s">
        <v>79</v>
      </c>
      <c r="V4959" s="2">
        <v>1</v>
      </c>
      <c r="W4959" s="2" t="s">
        <v>80</v>
      </c>
      <c r="X4959" s="2">
        <v>12</v>
      </c>
      <c r="Y4959" s="2" t="s">
        <v>148</v>
      </c>
      <c r="Z4959" s="2">
        <v>1</v>
      </c>
      <c r="AA4959" s="2" t="s">
        <v>82</v>
      </c>
      <c r="AB4959" s="2">
        <v>9</v>
      </c>
      <c r="AC4959" s="2" t="s">
        <v>124</v>
      </c>
      <c r="AD4959" s="3">
        <v>40515</v>
      </c>
      <c r="AE4959" s="4">
        <v>0.75</v>
      </c>
      <c r="AF4959" s="3">
        <v>40515</v>
      </c>
      <c r="AG4959" s="4">
        <v>0.89583333333333337</v>
      </c>
      <c r="AH4959" s="2">
        <v>2</v>
      </c>
      <c r="AI4959" s="2" t="s">
        <v>84</v>
      </c>
      <c r="AJ4959" s="2">
        <v>9</v>
      </c>
      <c r="AK4959" s="2" t="s">
        <v>103</v>
      </c>
      <c r="AL4959" s="2">
        <v>25</v>
      </c>
      <c r="AM4959" s="2" t="s">
        <v>3073</v>
      </c>
      <c r="AN4959" s="2" t="s">
        <v>15242</v>
      </c>
      <c r="AO4959" s="2" t="s">
        <v>15243</v>
      </c>
      <c r="AP4959" s="2">
        <v>11</v>
      </c>
      <c r="AQ4959" s="2" t="s">
        <v>82</v>
      </c>
      <c r="AR4959" s="2"/>
      <c r="AS4959" s="2"/>
      <c r="AT4959" s="2" t="s">
        <v>15244</v>
      </c>
      <c r="AU4959" s="2"/>
      <c r="AV4959" s="2"/>
      <c r="AW4959" s="2"/>
      <c r="AX4959" s="2"/>
      <c r="AY4959" s="2">
        <v>41</v>
      </c>
      <c r="AZ4959" s="2" t="s">
        <v>82</v>
      </c>
      <c r="BA4959" s="2">
        <v>41</v>
      </c>
      <c r="BB4959" s="2" t="s">
        <v>82</v>
      </c>
      <c r="BC4959" s="2">
        <v>41</v>
      </c>
      <c r="BD4959" s="2" t="s">
        <v>82</v>
      </c>
      <c r="BE4959" s="2">
        <v>41</v>
      </c>
      <c r="BF4959" s="2" t="s">
        <v>82</v>
      </c>
      <c r="BG4959" s="2"/>
      <c r="BH4959" s="2"/>
      <c r="BI4959" s="2"/>
      <c r="BJ4959" s="2">
        <v>241</v>
      </c>
      <c r="BK4959" s="2" t="s">
        <v>82</v>
      </c>
      <c r="BL4959" s="2"/>
      <c r="BM4959" s="2">
        <v>241</v>
      </c>
      <c r="BN4959" s="2" t="s">
        <v>82</v>
      </c>
      <c r="BO4959" s="2"/>
      <c r="BP4959" s="2">
        <v>241</v>
      </c>
      <c r="BQ4959" s="2" t="s">
        <v>82</v>
      </c>
      <c r="BR4959" s="2"/>
      <c r="BS4959" s="3">
        <v>40516</v>
      </c>
      <c r="BT4959" s="4">
        <v>0.12763888888888889</v>
      </c>
    </row>
    <row r="4960" spans="1:72" x14ac:dyDescent="0.25">
      <c r="A4960" s="2">
        <v>7686</v>
      </c>
      <c r="B4960" s="2">
        <v>2010</v>
      </c>
      <c r="C4960" s="2" t="s">
        <v>72</v>
      </c>
      <c r="D4960" s="2" t="s">
        <v>73</v>
      </c>
      <c r="E4960" s="2"/>
      <c r="F4960" s="2">
        <v>144</v>
      </c>
      <c r="G4960" s="2" t="s">
        <v>537</v>
      </c>
      <c r="H4960" s="2">
        <v>149</v>
      </c>
      <c r="I4960" s="2" t="s">
        <v>14672</v>
      </c>
      <c r="J4960" s="2">
        <v>160</v>
      </c>
      <c r="K4960" s="2" t="s">
        <v>538</v>
      </c>
      <c r="L4960" s="2" t="s">
        <v>539</v>
      </c>
      <c r="M4960" s="3">
        <v>40516</v>
      </c>
      <c r="N4960" s="2" t="s">
        <v>11060</v>
      </c>
      <c r="O4960" s="2" t="s">
        <v>116</v>
      </c>
      <c r="P4960" s="2">
        <v>20421</v>
      </c>
      <c r="Q4960" s="2" t="str">
        <f>""</f>
        <v/>
      </c>
      <c r="R4960" s="2"/>
      <c r="S4960" s="2"/>
      <c r="T4960" s="2">
        <v>1</v>
      </c>
      <c r="U4960" s="2" t="s">
        <v>79</v>
      </c>
      <c r="V4960" s="2">
        <v>1</v>
      </c>
      <c r="W4960" s="2" t="s">
        <v>80</v>
      </c>
      <c r="X4960" s="2">
        <v>10</v>
      </c>
      <c r="Y4960" s="2" t="s">
        <v>226</v>
      </c>
      <c r="Z4960" s="2">
        <v>1</v>
      </c>
      <c r="AA4960" s="2" t="s">
        <v>82</v>
      </c>
      <c r="AB4960" s="2">
        <v>6</v>
      </c>
      <c r="AC4960" s="2" t="s">
        <v>83</v>
      </c>
      <c r="AD4960" s="3">
        <v>40515</v>
      </c>
      <c r="AE4960" s="2"/>
      <c r="AF4960" s="3">
        <v>40516</v>
      </c>
      <c r="AG4960" s="4">
        <v>6.25E-2</v>
      </c>
      <c r="AH4960" s="2">
        <v>2</v>
      </c>
      <c r="AI4960" s="2" t="s">
        <v>84</v>
      </c>
      <c r="AJ4960" s="2">
        <v>12</v>
      </c>
      <c r="AK4960" s="2" t="s">
        <v>85</v>
      </c>
      <c r="AL4960" s="2">
        <v>27</v>
      </c>
      <c r="AM4960" s="2" t="s">
        <v>6225</v>
      </c>
      <c r="AN4960" s="2"/>
      <c r="AO4960" s="2" t="s">
        <v>12542</v>
      </c>
      <c r="AP4960" s="2">
        <v>11</v>
      </c>
      <c r="AQ4960" s="2" t="s">
        <v>82</v>
      </c>
      <c r="AR4960" s="2"/>
      <c r="AS4960" s="2"/>
      <c r="AT4960" s="2" t="s">
        <v>15245</v>
      </c>
      <c r="AU4960" s="2"/>
      <c r="AV4960" s="2"/>
      <c r="AW4960" s="2"/>
      <c r="AX4960" s="2"/>
      <c r="AY4960" s="2">
        <v>41</v>
      </c>
      <c r="AZ4960" s="2" t="s">
        <v>82</v>
      </c>
      <c r="BA4960" s="2">
        <v>41</v>
      </c>
      <c r="BB4960" s="2" t="s">
        <v>82</v>
      </c>
      <c r="BC4960" s="2">
        <v>41</v>
      </c>
      <c r="BD4960" s="2" t="s">
        <v>82</v>
      </c>
      <c r="BE4960" s="2">
        <v>13</v>
      </c>
      <c r="BF4960" s="2" t="s">
        <v>108</v>
      </c>
      <c r="BG4960" s="2" t="s">
        <v>12640</v>
      </c>
      <c r="BH4960" s="4">
        <v>0.97916666666666663</v>
      </c>
      <c r="BI4960" s="2"/>
      <c r="BJ4960" s="2">
        <v>13</v>
      </c>
      <c r="BK4960" s="2" t="s">
        <v>91</v>
      </c>
      <c r="BL4960" s="2" t="s">
        <v>895</v>
      </c>
      <c r="BM4960" s="2">
        <v>13</v>
      </c>
      <c r="BN4960" s="2" t="s">
        <v>91</v>
      </c>
      <c r="BO4960" s="2"/>
      <c r="BP4960" s="2">
        <v>13</v>
      </c>
      <c r="BQ4960" s="2" t="s">
        <v>91</v>
      </c>
      <c r="BR4960" s="2" t="s">
        <v>564</v>
      </c>
      <c r="BS4960" s="3">
        <v>40516</v>
      </c>
      <c r="BT4960" s="4">
        <v>0.29681712962962964</v>
      </c>
    </row>
    <row r="4961" spans="1:72" x14ac:dyDescent="0.25">
      <c r="A4961" s="2">
        <v>7687</v>
      </c>
      <c r="B4961" s="2">
        <v>2010</v>
      </c>
      <c r="C4961" s="2" t="s">
        <v>121</v>
      </c>
      <c r="D4961" s="2" t="s">
        <v>122</v>
      </c>
      <c r="E4961" s="2"/>
      <c r="F4961" s="2">
        <v>1</v>
      </c>
      <c r="G4961" s="2" t="s">
        <v>82</v>
      </c>
      <c r="H4961" s="2">
        <v>1</v>
      </c>
      <c r="I4961" s="2" t="s">
        <v>82</v>
      </c>
      <c r="J4961" s="2">
        <v>1</v>
      </c>
      <c r="K4961" s="2" t="s">
        <v>107</v>
      </c>
      <c r="L4961" s="2" t="s">
        <v>107</v>
      </c>
      <c r="M4961" s="3">
        <v>40516</v>
      </c>
      <c r="N4961" s="2"/>
      <c r="O4961" s="2"/>
      <c r="P4961" s="2"/>
      <c r="Q4961" s="2" t="str">
        <f>""</f>
        <v/>
      </c>
      <c r="R4961" s="2"/>
      <c r="S4961" s="2"/>
      <c r="T4961" s="2">
        <v>2</v>
      </c>
      <c r="U4961" s="2" t="s">
        <v>123</v>
      </c>
      <c r="V4961" s="2">
        <v>1</v>
      </c>
      <c r="W4961" s="2" t="s">
        <v>80</v>
      </c>
      <c r="X4961" s="2">
        <v>11</v>
      </c>
      <c r="Y4961" s="2" t="s">
        <v>1920</v>
      </c>
      <c r="Z4961" s="2">
        <v>1</v>
      </c>
      <c r="AA4961" s="2" t="s">
        <v>82</v>
      </c>
      <c r="AB4961" s="2">
        <v>9</v>
      </c>
      <c r="AC4961" s="2" t="s">
        <v>124</v>
      </c>
      <c r="AD4961" s="3">
        <v>40516</v>
      </c>
      <c r="AE4961" s="2"/>
      <c r="AF4961" s="2"/>
      <c r="AG4961" s="2"/>
      <c r="AH4961" s="2">
        <v>2</v>
      </c>
      <c r="AI4961" s="2" t="s">
        <v>84</v>
      </c>
      <c r="AJ4961" s="2">
        <v>8</v>
      </c>
      <c r="AK4961" s="2" t="s">
        <v>436</v>
      </c>
      <c r="AL4961" s="2">
        <v>10</v>
      </c>
      <c r="AM4961" s="2" t="s">
        <v>200</v>
      </c>
      <c r="AN4961" s="2"/>
      <c r="AO4961" s="2" t="s">
        <v>230</v>
      </c>
      <c r="AP4961" s="2">
        <v>11</v>
      </c>
      <c r="AQ4961" s="2" t="s">
        <v>82</v>
      </c>
      <c r="AR4961" s="2"/>
      <c r="AS4961" s="2"/>
      <c r="AT4961" s="2" t="s">
        <v>15246</v>
      </c>
      <c r="AU4961" s="2"/>
      <c r="AV4961" s="2"/>
      <c r="AW4961" s="2"/>
      <c r="AX4961" s="2"/>
      <c r="AY4961" s="2">
        <v>41</v>
      </c>
      <c r="AZ4961" s="2" t="s">
        <v>82</v>
      </c>
      <c r="BA4961" s="2">
        <v>41</v>
      </c>
      <c r="BB4961" s="2" t="s">
        <v>82</v>
      </c>
      <c r="BC4961" s="2">
        <v>41</v>
      </c>
      <c r="BD4961" s="2" t="s">
        <v>82</v>
      </c>
      <c r="BE4961" s="2">
        <v>41</v>
      </c>
      <c r="BF4961" s="2" t="s">
        <v>82</v>
      </c>
      <c r="BG4961" s="2"/>
      <c r="BH4961" s="2"/>
      <c r="BI4961" s="2"/>
      <c r="BJ4961" s="2">
        <v>241</v>
      </c>
      <c r="BK4961" s="2" t="s">
        <v>82</v>
      </c>
      <c r="BL4961" s="2"/>
      <c r="BM4961" s="2">
        <v>241</v>
      </c>
      <c r="BN4961" s="2" t="s">
        <v>82</v>
      </c>
      <c r="BO4961" s="2"/>
      <c r="BP4961" s="2">
        <v>241</v>
      </c>
      <c r="BQ4961" s="2" t="s">
        <v>82</v>
      </c>
      <c r="BR4961" s="2"/>
      <c r="BS4961" s="3">
        <v>40516</v>
      </c>
      <c r="BT4961" s="4">
        <v>0.34063657407407405</v>
      </c>
    </row>
    <row r="4962" spans="1:72" x14ac:dyDescent="0.25">
      <c r="A4962" s="2">
        <v>7688</v>
      </c>
      <c r="B4962" s="2">
        <v>2010</v>
      </c>
      <c r="C4962" s="2" t="s">
        <v>121</v>
      </c>
      <c r="D4962" s="2" t="s">
        <v>122</v>
      </c>
      <c r="E4962" s="2"/>
      <c r="F4962" s="2">
        <v>1</v>
      </c>
      <c r="G4962" s="2" t="s">
        <v>82</v>
      </c>
      <c r="H4962" s="2">
        <v>1</v>
      </c>
      <c r="I4962" s="2" t="s">
        <v>82</v>
      </c>
      <c r="J4962" s="2">
        <v>1</v>
      </c>
      <c r="K4962" s="2" t="s">
        <v>107</v>
      </c>
      <c r="L4962" s="2" t="s">
        <v>107</v>
      </c>
      <c r="M4962" s="3">
        <v>40516</v>
      </c>
      <c r="N4962" s="2"/>
      <c r="O4962" s="2"/>
      <c r="P4962" s="2"/>
      <c r="Q4962" s="2" t="str">
        <f>""</f>
        <v/>
      </c>
      <c r="R4962" s="2"/>
      <c r="S4962" s="2"/>
      <c r="T4962" s="2">
        <v>2</v>
      </c>
      <c r="U4962" s="2" t="s">
        <v>123</v>
      </c>
      <c r="V4962" s="2">
        <v>1</v>
      </c>
      <c r="W4962" s="2" t="s">
        <v>80</v>
      </c>
      <c r="X4962" s="2">
        <v>11</v>
      </c>
      <c r="Y4962" s="2" t="s">
        <v>1920</v>
      </c>
      <c r="Z4962" s="2">
        <v>1</v>
      </c>
      <c r="AA4962" s="2" t="s">
        <v>82</v>
      </c>
      <c r="AB4962" s="2">
        <v>9</v>
      </c>
      <c r="AC4962" s="2" t="s">
        <v>124</v>
      </c>
      <c r="AD4962" s="3">
        <v>40516</v>
      </c>
      <c r="AE4962" s="2"/>
      <c r="AF4962" s="2"/>
      <c r="AG4962" s="2"/>
      <c r="AH4962" s="2">
        <v>2</v>
      </c>
      <c r="AI4962" s="2" t="s">
        <v>84</v>
      </c>
      <c r="AJ4962" s="2">
        <v>8</v>
      </c>
      <c r="AK4962" s="2" t="s">
        <v>436</v>
      </c>
      <c r="AL4962" s="2">
        <v>10</v>
      </c>
      <c r="AM4962" s="2" t="s">
        <v>200</v>
      </c>
      <c r="AN4962" s="2"/>
      <c r="AO4962" s="2" t="s">
        <v>230</v>
      </c>
      <c r="AP4962" s="2">
        <v>11</v>
      </c>
      <c r="AQ4962" s="2" t="s">
        <v>82</v>
      </c>
      <c r="AR4962" s="2"/>
      <c r="AS4962" s="2"/>
      <c r="AT4962" s="2" t="s">
        <v>15247</v>
      </c>
      <c r="AU4962" s="2"/>
      <c r="AV4962" s="2"/>
      <c r="AW4962" s="2"/>
      <c r="AX4962" s="2"/>
      <c r="AY4962" s="2">
        <v>41</v>
      </c>
      <c r="AZ4962" s="2" t="s">
        <v>82</v>
      </c>
      <c r="BA4962" s="2">
        <v>41</v>
      </c>
      <c r="BB4962" s="2" t="s">
        <v>82</v>
      </c>
      <c r="BC4962" s="2">
        <v>41</v>
      </c>
      <c r="BD4962" s="2" t="s">
        <v>82</v>
      </c>
      <c r="BE4962" s="2">
        <v>41</v>
      </c>
      <c r="BF4962" s="2" t="s">
        <v>82</v>
      </c>
      <c r="BG4962" s="2"/>
      <c r="BH4962" s="2"/>
      <c r="BI4962" s="2"/>
      <c r="BJ4962" s="2">
        <v>241</v>
      </c>
      <c r="BK4962" s="2" t="s">
        <v>82</v>
      </c>
      <c r="BL4962" s="2"/>
      <c r="BM4962" s="2">
        <v>241</v>
      </c>
      <c r="BN4962" s="2" t="s">
        <v>82</v>
      </c>
      <c r="BO4962" s="2"/>
      <c r="BP4962" s="2">
        <v>241</v>
      </c>
      <c r="BQ4962" s="2" t="s">
        <v>82</v>
      </c>
      <c r="BR4962" s="2"/>
      <c r="BS4962" s="3">
        <v>40516</v>
      </c>
      <c r="BT4962" s="4">
        <v>0.35472222222222222</v>
      </c>
    </row>
    <row r="4963" spans="1:72" x14ac:dyDescent="0.25">
      <c r="A4963" s="2">
        <v>7689</v>
      </c>
      <c r="B4963" s="2">
        <v>2010</v>
      </c>
      <c r="C4963" s="2" t="s">
        <v>121</v>
      </c>
      <c r="D4963" s="2" t="s">
        <v>122</v>
      </c>
      <c r="E4963" s="2"/>
      <c r="F4963" s="2">
        <v>1</v>
      </c>
      <c r="G4963" s="2" t="s">
        <v>82</v>
      </c>
      <c r="H4963" s="2">
        <v>1</v>
      </c>
      <c r="I4963" s="2" t="s">
        <v>82</v>
      </c>
      <c r="J4963" s="2">
        <v>1</v>
      </c>
      <c r="K4963" s="2" t="s">
        <v>107</v>
      </c>
      <c r="L4963" s="2" t="s">
        <v>107</v>
      </c>
      <c r="M4963" s="3">
        <v>40516</v>
      </c>
      <c r="N4963" s="2"/>
      <c r="O4963" s="2"/>
      <c r="P4963" s="2"/>
      <c r="Q4963" s="2" t="str">
        <f>""</f>
        <v/>
      </c>
      <c r="R4963" s="2"/>
      <c r="S4963" s="2"/>
      <c r="T4963" s="2">
        <v>2</v>
      </c>
      <c r="U4963" s="2" t="s">
        <v>123</v>
      </c>
      <c r="V4963" s="2">
        <v>1</v>
      </c>
      <c r="W4963" s="2" t="s">
        <v>80</v>
      </c>
      <c r="X4963" s="2">
        <v>11</v>
      </c>
      <c r="Y4963" s="2" t="s">
        <v>1920</v>
      </c>
      <c r="Z4963" s="2">
        <v>1</v>
      </c>
      <c r="AA4963" s="2" t="s">
        <v>82</v>
      </c>
      <c r="AB4963" s="2">
        <v>9</v>
      </c>
      <c r="AC4963" s="2" t="s">
        <v>124</v>
      </c>
      <c r="AD4963" s="3">
        <v>40516</v>
      </c>
      <c r="AE4963" s="2"/>
      <c r="AF4963" s="2"/>
      <c r="AG4963" s="2"/>
      <c r="AH4963" s="2">
        <v>2</v>
      </c>
      <c r="AI4963" s="2" t="s">
        <v>84</v>
      </c>
      <c r="AJ4963" s="2">
        <v>8</v>
      </c>
      <c r="AK4963" s="2" t="s">
        <v>436</v>
      </c>
      <c r="AL4963" s="2">
        <v>10</v>
      </c>
      <c r="AM4963" s="2" t="s">
        <v>200</v>
      </c>
      <c r="AN4963" s="2"/>
      <c r="AO4963" s="2" t="s">
        <v>230</v>
      </c>
      <c r="AP4963" s="2">
        <v>11</v>
      </c>
      <c r="AQ4963" s="2" t="s">
        <v>82</v>
      </c>
      <c r="AR4963" s="2"/>
      <c r="AS4963" s="2"/>
      <c r="AT4963" s="2" t="s">
        <v>15248</v>
      </c>
      <c r="AU4963" s="2"/>
      <c r="AV4963" s="2"/>
      <c r="AW4963" s="2"/>
      <c r="AX4963" s="2"/>
      <c r="AY4963" s="2">
        <v>41</v>
      </c>
      <c r="AZ4963" s="2" t="s">
        <v>82</v>
      </c>
      <c r="BA4963" s="2">
        <v>41</v>
      </c>
      <c r="BB4963" s="2" t="s">
        <v>82</v>
      </c>
      <c r="BC4963" s="2">
        <v>41</v>
      </c>
      <c r="BD4963" s="2" t="s">
        <v>82</v>
      </c>
      <c r="BE4963" s="2">
        <v>41</v>
      </c>
      <c r="BF4963" s="2" t="s">
        <v>82</v>
      </c>
      <c r="BG4963" s="2"/>
      <c r="BH4963" s="2"/>
      <c r="BI4963" s="2"/>
      <c r="BJ4963" s="2">
        <v>241</v>
      </c>
      <c r="BK4963" s="2" t="s">
        <v>82</v>
      </c>
      <c r="BL4963" s="2"/>
      <c r="BM4963" s="2">
        <v>241</v>
      </c>
      <c r="BN4963" s="2" t="s">
        <v>82</v>
      </c>
      <c r="BO4963" s="2"/>
      <c r="BP4963" s="2">
        <v>241</v>
      </c>
      <c r="BQ4963" s="2" t="s">
        <v>82</v>
      </c>
      <c r="BR4963" s="2"/>
      <c r="BS4963" s="3">
        <v>40516</v>
      </c>
      <c r="BT4963" s="4">
        <v>0.3658912037037037</v>
      </c>
    </row>
    <row r="4964" spans="1:72" x14ac:dyDescent="0.25">
      <c r="A4964" s="2">
        <v>7690</v>
      </c>
      <c r="B4964" s="2">
        <v>2010</v>
      </c>
      <c r="C4964" s="2" t="s">
        <v>121</v>
      </c>
      <c r="D4964" s="2" t="s">
        <v>122</v>
      </c>
      <c r="E4964" s="2"/>
      <c r="F4964" s="2">
        <v>1</v>
      </c>
      <c r="G4964" s="2" t="s">
        <v>82</v>
      </c>
      <c r="H4964" s="2">
        <v>1</v>
      </c>
      <c r="I4964" s="2" t="s">
        <v>82</v>
      </c>
      <c r="J4964" s="2">
        <v>1</v>
      </c>
      <c r="K4964" s="2" t="s">
        <v>107</v>
      </c>
      <c r="L4964" s="2" t="s">
        <v>107</v>
      </c>
      <c r="M4964" s="3">
        <v>40516</v>
      </c>
      <c r="N4964" s="2"/>
      <c r="O4964" s="2"/>
      <c r="P4964" s="2"/>
      <c r="Q4964" s="2" t="str">
        <f>""</f>
        <v/>
      </c>
      <c r="R4964" s="2"/>
      <c r="S4964" s="2"/>
      <c r="T4964" s="2">
        <v>2</v>
      </c>
      <c r="U4964" s="2" t="s">
        <v>123</v>
      </c>
      <c r="V4964" s="2">
        <v>1</v>
      </c>
      <c r="W4964" s="2" t="s">
        <v>80</v>
      </c>
      <c r="X4964" s="2">
        <v>11</v>
      </c>
      <c r="Y4964" s="2" t="s">
        <v>1920</v>
      </c>
      <c r="Z4964" s="2">
        <v>1</v>
      </c>
      <c r="AA4964" s="2" t="s">
        <v>82</v>
      </c>
      <c r="AB4964" s="2">
        <v>9</v>
      </c>
      <c r="AC4964" s="2" t="s">
        <v>124</v>
      </c>
      <c r="AD4964" s="3">
        <v>40516</v>
      </c>
      <c r="AE4964" s="2"/>
      <c r="AF4964" s="2"/>
      <c r="AG4964" s="2"/>
      <c r="AH4964" s="2">
        <v>2</v>
      </c>
      <c r="AI4964" s="2" t="s">
        <v>84</v>
      </c>
      <c r="AJ4964" s="2">
        <v>8</v>
      </c>
      <c r="AK4964" s="2" t="s">
        <v>436</v>
      </c>
      <c r="AL4964" s="2">
        <v>10</v>
      </c>
      <c r="AM4964" s="2" t="s">
        <v>200</v>
      </c>
      <c r="AN4964" s="2"/>
      <c r="AO4964" s="2" t="s">
        <v>230</v>
      </c>
      <c r="AP4964" s="2">
        <v>11</v>
      </c>
      <c r="AQ4964" s="2" t="s">
        <v>82</v>
      </c>
      <c r="AR4964" s="2"/>
      <c r="AS4964" s="2"/>
      <c r="AT4964" s="2" t="s">
        <v>15249</v>
      </c>
      <c r="AU4964" s="2"/>
      <c r="AV4964" s="2"/>
      <c r="AW4964" s="2"/>
      <c r="AX4964" s="2"/>
      <c r="AY4964" s="2">
        <v>41</v>
      </c>
      <c r="AZ4964" s="2" t="s">
        <v>82</v>
      </c>
      <c r="BA4964" s="2">
        <v>41</v>
      </c>
      <c r="BB4964" s="2" t="s">
        <v>82</v>
      </c>
      <c r="BC4964" s="2">
        <v>41</v>
      </c>
      <c r="BD4964" s="2" t="s">
        <v>82</v>
      </c>
      <c r="BE4964" s="2">
        <v>41</v>
      </c>
      <c r="BF4964" s="2" t="s">
        <v>82</v>
      </c>
      <c r="BG4964" s="2"/>
      <c r="BH4964" s="2"/>
      <c r="BI4964" s="2"/>
      <c r="BJ4964" s="2">
        <v>241</v>
      </c>
      <c r="BK4964" s="2" t="s">
        <v>82</v>
      </c>
      <c r="BL4964" s="2"/>
      <c r="BM4964" s="2">
        <v>241</v>
      </c>
      <c r="BN4964" s="2" t="s">
        <v>82</v>
      </c>
      <c r="BO4964" s="2"/>
      <c r="BP4964" s="2">
        <v>241</v>
      </c>
      <c r="BQ4964" s="2" t="s">
        <v>82</v>
      </c>
      <c r="BR4964" s="2"/>
      <c r="BS4964" s="3">
        <v>40516</v>
      </c>
      <c r="BT4964" s="4">
        <v>0.41628472222222218</v>
      </c>
    </row>
    <row r="4965" spans="1:72" x14ac:dyDescent="0.25">
      <c r="A4965" s="2">
        <v>7692</v>
      </c>
      <c r="B4965" s="2">
        <v>2010</v>
      </c>
      <c r="C4965" s="2" t="s">
        <v>93</v>
      </c>
      <c r="D4965" s="2" t="s">
        <v>73</v>
      </c>
      <c r="E4965" s="2"/>
      <c r="F4965" s="2">
        <v>189</v>
      </c>
      <c r="G4965" s="2" t="s">
        <v>4603</v>
      </c>
      <c r="H4965" s="2">
        <v>132</v>
      </c>
      <c r="I4965" s="2" t="s">
        <v>10877</v>
      </c>
      <c r="J4965" s="2">
        <v>197</v>
      </c>
      <c r="K4965" s="2" t="s">
        <v>10878</v>
      </c>
      <c r="L4965" s="2" t="s">
        <v>10879</v>
      </c>
      <c r="M4965" s="3">
        <v>40516</v>
      </c>
      <c r="N4965" s="2"/>
      <c r="O4965" s="2" t="s">
        <v>15250</v>
      </c>
      <c r="P4965" s="2" t="s">
        <v>15251</v>
      </c>
      <c r="Q4965" s="2" t="str">
        <f>"N/C"</f>
        <v>N/C</v>
      </c>
      <c r="R4965" s="2"/>
      <c r="S4965" s="2"/>
      <c r="T4965" s="2">
        <v>1</v>
      </c>
      <c r="U4965" s="2" t="s">
        <v>79</v>
      </c>
      <c r="V4965" s="2">
        <v>1</v>
      </c>
      <c r="W4965" s="2" t="s">
        <v>80</v>
      </c>
      <c r="X4965" s="2">
        <v>10</v>
      </c>
      <c r="Y4965" s="2" t="s">
        <v>226</v>
      </c>
      <c r="Z4965" s="2">
        <v>6</v>
      </c>
      <c r="AA4965" s="2" t="s">
        <v>101</v>
      </c>
      <c r="AB4965" s="2">
        <v>2</v>
      </c>
      <c r="AC4965" s="2" t="s">
        <v>102</v>
      </c>
      <c r="AD4965" s="3">
        <v>40516</v>
      </c>
      <c r="AE4965" s="4">
        <v>4.1666666666666664E-2</v>
      </c>
      <c r="AF4965" s="3">
        <v>40516</v>
      </c>
      <c r="AG4965" s="4">
        <v>0.10416666666666667</v>
      </c>
      <c r="AH4965" s="2">
        <v>2</v>
      </c>
      <c r="AI4965" s="2" t="s">
        <v>84</v>
      </c>
      <c r="AJ4965" s="2">
        <v>9</v>
      </c>
      <c r="AK4965" s="2" t="s">
        <v>103</v>
      </c>
      <c r="AL4965" s="2">
        <v>15</v>
      </c>
      <c r="AM4965" s="2" t="s">
        <v>104</v>
      </c>
      <c r="AN4965" s="2" t="s">
        <v>14833</v>
      </c>
      <c r="AO4965" s="2" t="s">
        <v>590</v>
      </c>
      <c r="AP4965" s="2">
        <v>11</v>
      </c>
      <c r="AQ4965" s="2" t="s">
        <v>82</v>
      </c>
      <c r="AR4965" s="2"/>
      <c r="AS4965" s="2"/>
      <c r="AT4965" s="2" t="s">
        <v>15252</v>
      </c>
      <c r="AU4965" s="2"/>
      <c r="AV4965" s="2"/>
      <c r="AW4965" s="2"/>
      <c r="AX4965" s="2"/>
      <c r="AY4965" s="2">
        <v>41</v>
      </c>
      <c r="AZ4965" s="2" t="s">
        <v>82</v>
      </c>
      <c r="BA4965" s="2">
        <v>41</v>
      </c>
      <c r="BB4965" s="2" t="s">
        <v>82</v>
      </c>
      <c r="BC4965" s="2">
        <v>41</v>
      </c>
      <c r="BD4965" s="2" t="s">
        <v>82</v>
      </c>
      <c r="BE4965" s="2">
        <v>13</v>
      </c>
      <c r="BF4965" s="2" t="s">
        <v>108</v>
      </c>
      <c r="BG4965" s="2" t="s">
        <v>4410</v>
      </c>
      <c r="BH4965" s="2"/>
      <c r="BI4965" s="2"/>
      <c r="BJ4965" s="2">
        <v>232</v>
      </c>
      <c r="BK4965" s="2" t="s">
        <v>4351</v>
      </c>
      <c r="BL4965" s="2" t="s">
        <v>4411</v>
      </c>
      <c r="BM4965" s="2">
        <v>13</v>
      </c>
      <c r="BN4965" s="2" t="s">
        <v>91</v>
      </c>
      <c r="BO4965" s="2"/>
      <c r="BP4965" s="2">
        <v>13</v>
      </c>
      <c r="BQ4965" s="2" t="s">
        <v>91</v>
      </c>
      <c r="BR4965" s="2" t="s">
        <v>360</v>
      </c>
      <c r="BS4965" s="3">
        <v>40516</v>
      </c>
      <c r="BT4965" s="4">
        <v>0.44167824074074075</v>
      </c>
    </row>
    <row r="4966" spans="1:72" x14ac:dyDescent="0.25">
      <c r="A4966" s="2">
        <v>7693</v>
      </c>
      <c r="B4966" s="2">
        <v>2010</v>
      </c>
      <c r="C4966" s="2" t="s">
        <v>4543</v>
      </c>
      <c r="D4966" s="2" t="s">
        <v>122</v>
      </c>
      <c r="E4966" s="2"/>
      <c r="F4966" s="2">
        <v>106</v>
      </c>
      <c r="G4966" s="2" t="s">
        <v>7444</v>
      </c>
      <c r="H4966" s="2">
        <v>47</v>
      </c>
      <c r="I4966" s="2" t="s">
        <v>1409</v>
      </c>
      <c r="J4966" s="2">
        <v>126</v>
      </c>
      <c r="K4966" s="2" t="s">
        <v>7445</v>
      </c>
      <c r="L4966" s="2" t="s">
        <v>7446</v>
      </c>
      <c r="M4966" s="3">
        <v>40516</v>
      </c>
      <c r="N4966" s="2" t="s">
        <v>15253</v>
      </c>
      <c r="O4966" s="2" t="s">
        <v>82</v>
      </c>
      <c r="P4966" s="2" t="s">
        <v>82</v>
      </c>
      <c r="Q4966" s="2" t="str">
        <f>"0075/2010"</f>
        <v>0075/2010</v>
      </c>
      <c r="R4966" s="2" t="s">
        <v>82</v>
      </c>
      <c r="S4966" s="2" t="s">
        <v>82</v>
      </c>
      <c r="T4966" s="2">
        <v>2</v>
      </c>
      <c r="U4966" s="2" t="s">
        <v>123</v>
      </c>
      <c r="V4966" s="2">
        <v>1</v>
      </c>
      <c r="W4966" s="2" t="s">
        <v>80</v>
      </c>
      <c r="X4966" s="2">
        <v>1</v>
      </c>
      <c r="Y4966" s="2" t="s">
        <v>81</v>
      </c>
      <c r="Z4966" s="2">
        <v>1</v>
      </c>
      <c r="AA4966" s="2" t="s">
        <v>82</v>
      </c>
      <c r="AB4966" s="2">
        <v>9</v>
      </c>
      <c r="AC4966" s="2" t="s">
        <v>124</v>
      </c>
      <c r="AD4966" s="3">
        <v>40516</v>
      </c>
      <c r="AE4966" s="4">
        <v>0.36805555555555558</v>
      </c>
      <c r="AF4966" s="2"/>
      <c r="AG4966" s="2"/>
      <c r="AH4966" s="2">
        <v>6</v>
      </c>
      <c r="AI4966" s="2" t="s">
        <v>197</v>
      </c>
      <c r="AJ4966" s="2">
        <v>57</v>
      </c>
      <c r="AK4966" s="2" t="s">
        <v>2344</v>
      </c>
      <c r="AL4966" s="2">
        <v>22</v>
      </c>
      <c r="AM4966" s="2" t="s">
        <v>1853</v>
      </c>
      <c r="AN4966" s="2"/>
      <c r="AO4966" s="2" t="s">
        <v>14315</v>
      </c>
      <c r="AP4966" s="2">
        <v>12</v>
      </c>
      <c r="AQ4966" s="2" t="s">
        <v>322</v>
      </c>
      <c r="AR4966" s="2" t="s">
        <v>322</v>
      </c>
      <c r="AS4966" s="2" t="s">
        <v>322</v>
      </c>
      <c r="AT4966" s="2" t="s">
        <v>15254</v>
      </c>
      <c r="AU4966" s="2"/>
      <c r="AV4966" s="2"/>
      <c r="AW4966" s="2"/>
      <c r="AX4966" s="2"/>
      <c r="AY4966" s="2">
        <v>41</v>
      </c>
      <c r="AZ4966" s="2" t="s">
        <v>82</v>
      </c>
      <c r="BA4966" s="2">
        <v>41</v>
      </c>
      <c r="BB4966" s="2" t="s">
        <v>82</v>
      </c>
      <c r="BC4966" s="2">
        <v>51</v>
      </c>
      <c r="BD4966" s="2" t="s">
        <v>827</v>
      </c>
      <c r="BE4966" s="2">
        <v>13</v>
      </c>
      <c r="BF4966" s="2" t="s">
        <v>108</v>
      </c>
      <c r="BG4966" s="2">
        <v>2864</v>
      </c>
      <c r="BH4966" s="4">
        <v>0.34375</v>
      </c>
      <c r="BI4966" s="4">
        <v>0.36805555555555558</v>
      </c>
      <c r="BJ4966" s="2">
        <v>13</v>
      </c>
      <c r="BK4966" s="2" t="s">
        <v>91</v>
      </c>
      <c r="BL4966" s="2" t="s">
        <v>185</v>
      </c>
      <c r="BM4966" s="2">
        <v>241</v>
      </c>
      <c r="BN4966" s="2" t="s">
        <v>82</v>
      </c>
      <c r="BO4966" s="2"/>
      <c r="BP4966" s="2">
        <v>13</v>
      </c>
      <c r="BQ4966" s="2" t="s">
        <v>91</v>
      </c>
      <c r="BR4966" s="2" t="s">
        <v>1014</v>
      </c>
      <c r="BS4966" s="3">
        <v>40516</v>
      </c>
      <c r="BT4966" s="4">
        <v>0.45047453703703705</v>
      </c>
    </row>
    <row r="4967" spans="1:72" x14ac:dyDescent="0.25">
      <c r="A4967" s="2">
        <v>7695</v>
      </c>
      <c r="B4967" s="2">
        <v>2010</v>
      </c>
      <c r="C4967" s="2" t="s">
        <v>121</v>
      </c>
      <c r="D4967" s="2" t="s">
        <v>122</v>
      </c>
      <c r="E4967" s="2"/>
      <c r="F4967" s="2">
        <v>1</v>
      </c>
      <c r="G4967" s="2" t="s">
        <v>82</v>
      </c>
      <c r="H4967" s="2">
        <v>1</v>
      </c>
      <c r="I4967" s="2" t="s">
        <v>82</v>
      </c>
      <c r="J4967" s="2">
        <v>1</v>
      </c>
      <c r="K4967" s="2" t="s">
        <v>107</v>
      </c>
      <c r="L4967" s="2" t="s">
        <v>107</v>
      </c>
      <c r="M4967" s="3">
        <v>40516</v>
      </c>
      <c r="N4967" s="2"/>
      <c r="O4967" s="2"/>
      <c r="P4967" s="2"/>
      <c r="Q4967" s="2" t="str">
        <f>""</f>
        <v/>
      </c>
      <c r="R4967" s="2"/>
      <c r="S4967" s="2"/>
      <c r="T4967" s="2">
        <v>2</v>
      </c>
      <c r="U4967" s="2" t="s">
        <v>123</v>
      </c>
      <c r="V4967" s="2">
        <v>1</v>
      </c>
      <c r="W4967" s="2" t="s">
        <v>80</v>
      </c>
      <c r="X4967" s="2">
        <v>11</v>
      </c>
      <c r="Y4967" s="2" t="s">
        <v>1920</v>
      </c>
      <c r="Z4967" s="2">
        <v>1</v>
      </c>
      <c r="AA4967" s="2" t="s">
        <v>82</v>
      </c>
      <c r="AB4967" s="2">
        <v>9</v>
      </c>
      <c r="AC4967" s="2" t="s">
        <v>124</v>
      </c>
      <c r="AD4967" s="3">
        <v>40516</v>
      </c>
      <c r="AE4967" s="4">
        <v>0.55902777777777779</v>
      </c>
      <c r="AF4967" s="2"/>
      <c r="AG4967" s="2"/>
      <c r="AH4967" s="2">
        <v>2</v>
      </c>
      <c r="AI4967" s="2" t="s">
        <v>84</v>
      </c>
      <c r="AJ4967" s="2">
        <v>8</v>
      </c>
      <c r="AK4967" s="2" t="s">
        <v>436</v>
      </c>
      <c r="AL4967" s="2">
        <v>10</v>
      </c>
      <c r="AM4967" s="2" t="s">
        <v>200</v>
      </c>
      <c r="AN4967" s="2"/>
      <c r="AO4967" s="2" t="s">
        <v>230</v>
      </c>
      <c r="AP4967" s="2">
        <v>11</v>
      </c>
      <c r="AQ4967" s="2" t="s">
        <v>82</v>
      </c>
      <c r="AR4967" s="2"/>
      <c r="AS4967" s="2"/>
      <c r="AT4967" s="2" t="s">
        <v>15255</v>
      </c>
      <c r="AU4967" s="2"/>
      <c r="AV4967" s="2"/>
      <c r="AW4967" s="2"/>
      <c r="AX4967" s="2"/>
      <c r="AY4967" s="2">
        <v>41</v>
      </c>
      <c r="AZ4967" s="2" t="s">
        <v>82</v>
      </c>
      <c r="BA4967" s="2">
        <v>41</v>
      </c>
      <c r="BB4967" s="2" t="s">
        <v>82</v>
      </c>
      <c r="BC4967" s="2">
        <v>41</v>
      </c>
      <c r="BD4967" s="2" t="s">
        <v>82</v>
      </c>
      <c r="BE4967" s="2">
        <v>41</v>
      </c>
      <c r="BF4967" s="2" t="s">
        <v>82</v>
      </c>
      <c r="BG4967" s="2"/>
      <c r="BH4967" s="2"/>
      <c r="BI4967" s="2"/>
      <c r="BJ4967" s="2">
        <v>241</v>
      </c>
      <c r="BK4967" s="2" t="s">
        <v>82</v>
      </c>
      <c r="BL4967" s="2"/>
      <c r="BM4967" s="2">
        <v>241</v>
      </c>
      <c r="BN4967" s="2" t="s">
        <v>82</v>
      </c>
      <c r="BO4967" s="2"/>
      <c r="BP4967" s="2">
        <v>241</v>
      </c>
      <c r="BQ4967" s="2" t="s">
        <v>82</v>
      </c>
      <c r="BR4967" s="2"/>
      <c r="BS4967" s="3">
        <v>40516</v>
      </c>
      <c r="BT4967" s="4">
        <v>0.56491898148148145</v>
      </c>
    </row>
    <row r="4968" spans="1:72" x14ac:dyDescent="0.25">
      <c r="A4968" s="2">
        <v>7696</v>
      </c>
      <c r="B4968" s="2">
        <v>2010</v>
      </c>
      <c r="C4968" s="2" t="s">
        <v>121</v>
      </c>
      <c r="D4968" s="2" t="s">
        <v>122</v>
      </c>
      <c r="E4968" s="2"/>
      <c r="F4968" s="2">
        <v>1</v>
      </c>
      <c r="G4968" s="2" t="s">
        <v>82</v>
      </c>
      <c r="H4968" s="2">
        <v>1</v>
      </c>
      <c r="I4968" s="2" t="s">
        <v>82</v>
      </c>
      <c r="J4968" s="2">
        <v>1</v>
      </c>
      <c r="K4968" s="2" t="s">
        <v>107</v>
      </c>
      <c r="L4968" s="2" t="s">
        <v>107</v>
      </c>
      <c r="M4968" s="3">
        <v>40516</v>
      </c>
      <c r="N4968" s="2"/>
      <c r="O4968" s="2"/>
      <c r="P4968" s="2"/>
      <c r="Q4968" s="2" t="str">
        <f>""</f>
        <v/>
      </c>
      <c r="R4968" s="2"/>
      <c r="S4968" s="2"/>
      <c r="T4968" s="2">
        <v>2</v>
      </c>
      <c r="U4968" s="2" t="s">
        <v>123</v>
      </c>
      <c r="V4968" s="2">
        <v>1</v>
      </c>
      <c r="W4968" s="2" t="s">
        <v>80</v>
      </c>
      <c r="X4968" s="2">
        <v>11</v>
      </c>
      <c r="Y4968" s="2" t="s">
        <v>1920</v>
      </c>
      <c r="Z4968" s="2">
        <v>1</v>
      </c>
      <c r="AA4968" s="2" t="s">
        <v>82</v>
      </c>
      <c r="AB4968" s="2">
        <v>9</v>
      </c>
      <c r="AC4968" s="2" t="s">
        <v>124</v>
      </c>
      <c r="AD4968" s="3">
        <v>40516</v>
      </c>
      <c r="AE4968" s="4">
        <v>0.59375</v>
      </c>
      <c r="AF4968" s="2"/>
      <c r="AG4968" s="2"/>
      <c r="AH4968" s="2">
        <v>2</v>
      </c>
      <c r="AI4968" s="2" t="s">
        <v>84</v>
      </c>
      <c r="AJ4968" s="2">
        <v>8</v>
      </c>
      <c r="AK4968" s="2" t="s">
        <v>436</v>
      </c>
      <c r="AL4968" s="2">
        <v>10</v>
      </c>
      <c r="AM4968" s="2" t="s">
        <v>200</v>
      </c>
      <c r="AN4968" s="2"/>
      <c r="AO4968" s="2" t="s">
        <v>230</v>
      </c>
      <c r="AP4968" s="2">
        <v>11</v>
      </c>
      <c r="AQ4968" s="2" t="s">
        <v>82</v>
      </c>
      <c r="AR4968" s="2"/>
      <c r="AS4968" s="2"/>
      <c r="AT4968" s="2" t="s">
        <v>15256</v>
      </c>
      <c r="AU4968" s="2"/>
      <c r="AV4968" s="2"/>
      <c r="AW4968" s="2"/>
      <c r="AX4968" s="2"/>
      <c r="AY4968" s="2">
        <v>41</v>
      </c>
      <c r="AZ4968" s="2" t="s">
        <v>82</v>
      </c>
      <c r="BA4968" s="2">
        <v>41</v>
      </c>
      <c r="BB4968" s="2" t="s">
        <v>82</v>
      </c>
      <c r="BC4968" s="2">
        <v>41</v>
      </c>
      <c r="BD4968" s="2" t="s">
        <v>82</v>
      </c>
      <c r="BE4968" s="2">
        <v>41</v>
      </c>
      <c r="BF4968" s="2" t="s">
        <v>82</v>
      </c>
      <c r="BG4968" s="2"/>
      <c r="BH4968" s="2"/>
      <c r="BI4968" s="2"/>
      <c r="BJ4968" s="2">
        <v>241</v>
      </c>
      <c r="BK4968" s="2" t="s">
        <v>82</v>
      </c>
      <c r="BL4968" s="2"/>
      <c r="BM4968" s="2">
        <v>241</v>
      </c>
      <c r="BN4968" s="2" t="s">
        <v>82</v>
      </c>
      <c r="BO4968" s="2"/>
      <c r="BP4968" s="2">
        <v>241</v>
      </c>
      <c r="BQ4968" s="2" t="s">
        <v>82</v>
      </c>
      <c r="BR4968" s="2"/>
      <c r="BS4968" s="3">
        <v>40516</v>
      </c>
      <c r="BT4968" s="4">
        <v>0.60723379629629626</v>
      </c>
    </row>
    <row r="4969" spans="1:72" x14ac:dyDescent="0.25">
      <c r="A4969" s="2">
        <v>7697</v>
      </c>
      <c r="B4969" s="2">
        <v>2010</v>
      </c>
      <c r="C4969" s="2" t="s">
        <v>121</v>
      </c>
      <c r="D4969" s="2" t="s">
        <v>122</v>
      </c>
      <c r="E4969" s="2"/>
      <c r="F4969" s="2">
        <v>1</v>
      </c>
      <c r="G4969" s="2" t="s">
        <v>82</v>
      </c>
      <c r="H4969" s="2">
        <v>1</v>
      </c>
      <c r="I4969" s="2" t="s">
        <v>82</v>
      </c>
      <c r="J4969" s="2">
        <v>1</v>
      </c>
      <c r="K4969" s="2" t="s">
        <v>107</v>
      </c>
      <c r="L4969" s="2" t="s">
        <v>107</v>
      </c>
      <c r="M4969" s="3">
        <v>40516</v>
      </c>
      <c r="N4969" s="2"/>
      <c r="O4969" s="2"/>
      <c r="P4969" s="2"/>
      <c r="Q4969" s="2" t="str">
        <f>""</f>
        <v/>
      </c>
      <c r="R4969" s="2"/>
      <c r="S4969" s="2"/>
      <c r="T4969" s="2">
        <v>2</v>
      </c>
      <c r="U4969" s="2" t="s">
        <v>123</v>
      </c>
      <c r="V4969" s="2">
        <v>1</v>
      </c>
      <c r="W4969" s="2" t="s">
        <v>80</v>
      </c>
      <c r="X4969" s="2">
        <v>11</v>
      </c>
      <c r="Y4969" s="2" t="s">
        <v>1920</v>
      </c>
      <c r="Z4969" s="2">
        <v>1</v>
      </c>
      <c r="AA4969" s="2" t="s">
        <v>82</v>
      </c>
      <c r="AB4969" s="2">
        <v>9</v>
      </c>
      <c r="AC4969" s="2" t="s">
        <v>124</v>
      </c>
      <c r="AD4969" s="3">
        <v>40516</v>
      </c>
      <c r="AE4969" s="4">
        <v>0.65694444444444444</v>
      </c>
      <c r="AF4969" s="2"/>
      <c r="AG4969" s="2"/>
      <c r="AH4969" s="2">
        <v>2</v>
      </c>
      <c r="AI4969" s="2" t="s">
        <v>84</v>
      </c>
      <c r="AJ4969" s="2">
        <v>8</v>
      </c>
      <c r="AK4969" s="2" t="s">
        <v>436</v>
      </c>
      <c r="AL4969" s="2">
        <v>10</v>
      </c>
      <c r="AM4969" s="2" t="s">
        <v>200</v>
      </c>
      <c r="AN4969" s="2"/>
      <c r="AO4969" s="2" t="s">
        <v>230</v>
      </c>
      <c r="AP4969" s="2">
        <v>11</v>
      </c>
      <c r="AQ4969" s="2" t="s">
        <v>82</v>
      </c>
      <c r="AR4969" s="2"/>
      <c r="AS4969" s="2"/>
      <c r="AT4969" s="2" t="s">
        <v>15257</v>
      </c>
      <c r="AU4969" s="2"/>
      <c r="AV4969" s="2"/>
      <c r="AW4969" s="2"/>
      <c r="AX4969" s="2"/>
      <c r="AY4969" s="2">
        <v>41</v>
      </c>
      <c r="AZ4969" s="2" t="s">
        <v>82</v>
      </c>
      <c r="BA4969" s="2">
        <v>41</v>
      </c>
      <c r="BB4969" s="2" t="s">
        <v>82</v>
      </c>
      <c r="BC4969" s="2">
        <v>41</v>
      </c>
      <c r="BD4969" s="2" t="s">
        <v>82</v>
      </c>
      <c r="BE4969" s="2">
        <v>41</v>
      </c>
      <c r="BF4969" s="2" t="s">
        <v>82</v>
      </c>
      <c r="BG4969" s="2"/>
      <c r="BH4969" s="2"/>
      <c r="BI4969" s="2"/>
      <c r="BJ4969" s="2">
        <v>241</v>
      </c>
      <c r="BK4969" s="2" t="s">
        <v>82</v>
      </c>
      <c r="BL4969" s="2"/>
      <c r="BM4969" s="2">
        <v>241</v>
      </c>
      <c r="BN4969" s="2" t="s">
        <v>82</v>
      </c>
      <c r="BO4969" s="2"/>
      <c r="BP4969" s="2">
        <v>241</v>
      </c>
      <c r="BQ4969" s="2" t="s">
        <v>82</v>
      </c>
      <c r="BR4969" s="2"/>
      <c r="BS4969" s="3">
        <v>40516</v>
      </c>
      <c r="BT4969" s="4">
        <v>0.68637731481481479</v>
      </c>
    </row>
    <row r="4970" spans="1:72" x14ac:dyDescent="0.25">
      <c r="A4970" s="2">
        <v>7698</v>
      </c>
      <c r="B4970" s="2">
        <v>2010</v>
      </c>
      <c r="C4970" s="2" t="s">
        <v>121</v>
      </c>
      <c r="D4970" s="2" t="s">
        <v>122</v>
      </c>
      <c r="E4970" s="2"/>
      <c r="F4970" s="2">
        <v>1</v>
      </c>
      <c r="G4970" s="2" t="s">
        <v>82</v>
      </c>
      <c r="H4970" s="2">
        <v>1</v>
      </c>
      <c r="I4970" s="2" t="s">
        <v>82</v>
      </c>
      <c r="J4970" s="2">
        <v>1</v>
      </c>
      <c r="K4970" s="2" t="s">
        <v>107</v>
      </c>
      <c r="L4970" s="2" t="s">
        <v>107</v>
      </c>
      <c r="M4970" s="3">
        <v>40516</v>
      </c>
      <c r="N4970" s="2"/>
      <c r="O4970" s="2"/>
      <c r="P4970" s="2"/>
      <c r="Q4970" s="2" t="str">
        <f>""</f>
        <v/>
      </c>
      <c r="R4970" s="2"/>
      <c r="S4970" s="2"/>
      <c r="T4970" s="2">
        <v>2</v>
      </c>
      <c r="U4970" s="2" t="s">
        <v>123</v>
      </c>
      <c r="V4970" s="2">
        <v>1</v>
      </c>
      <c r="W4970" s="2" t="s">
        <v>80</v>
      </c>
      <c r="X4970" s="2">
        <v>11</v>
      </c>
      <c r="Y4970" s="2" t="s">
        <v>1920</v>
      </c>
      <c r="Z4970" s="2">
        <v>1</v>
      </c>
      <c r="AA4970" s="2" t="s">
        <v>82</v>
      </c>
      <c r="AB4970" s="2">
        <v>9</v>
      </c>
      <c r="AC4970" s="2" t="s">
        <v>124</v>
      </c>
      <c r="AD4970" s="3">
        <v>40516</v>
      </c>
      <c r="AE4970" s="4">
        <v>0.65972222222222221</v>
      </c>
      <c r="AF4970" s="2"/>
      <c r="AG4970" s="2"/>
      <c r="AH4970" s="2">
        <v>2</v>
      </c>
      <c r="AI4970" s="2" t="s">
        <v>84</v>
      </c>
      <c r="AJ4970" s="2">
        <v>8</v>
      </c>
      <c r="AK4970" s="2" t="s">
        <v>436</v>
      </c>
      <c r="AL4970" s="2">
        <v>10</v>
      </c>
      <c r="AM4970" s="2" t="s">
        <v>200</v>
      </c>
      <c r="AN4970" s="2"/>
      <c r="AO4970" s="2" t="s">
        <v>230</v>
      </c>
      <c r="AP4970" s="2">
        <v>11</v>
      </c>
      <c r="AQ4970" s="2" t="s">
        <v>82</v>
      </c>
      <c r="AR4970" s="2"/>
      <c r="AS4970" s="2"/>
      <c r="AT4970" s="2" t="s">
        <v>15258</v>
      </c>
      <c r="AU4970" s="2"/>
      <c r="AV4970" s="2"/>
      <c r="AW4970" s="2"/>
      <c r="AX4970" s="2"/>
      <c r="AY4970" s="2">
        <v>41</v>
      </c>
      <c r="AZ4970" s="2" t="s">
        <v>82</v>
      </c>
      <c r="BA4970" s="2">
        <v>41</v>
      </c>
      <c r="BB4970" s="2" t="s">
        <v>82</v>
      </c>
      <c r="BC4970" s="2">
        <v>41</v>
      </c>
      <c r="BD4970" s="2" t="s">
        <v>82</v>
      </c>
      <c r="BE4970" s="2">
        <v>41</v>
      </c>
      <c r="BF4970" s="2" t="s">
        <v>82</v>
      </c>
      <c r="BG4970" s="2"/>
      <c r="BH4970" s="2"/>
      <c r="BI4970" s="2"/>
      <c r="BJ4970" s="2">
        <v>241</v>
      </c>
      <c r="BK4970" s="2" t="s">
        <v>82</v>
      </c>
      <c r="BL4970" s="2"/>
      <c r="BM4970" s="2">
        <v>241</v>
      </c>
      <c r="BN4970" s="2" t="s">
        <v>82</v>
      </c>
      <c r="BO4970" s="2"/>
      <c r="BP4970" s="2">
        <v>241</v>
      </c>
      <c r="BQ4970" s="2" t="s">
        <v>82</v>
      </c>
      <c r="BR4970" s="2"/>
      <c r="BS4970" s="3">
        <v>40516</v>
      </c>
      <c r="BT4970" s="4">
        <v>0.69710648148148147</v>
      </c>
    </row>
    <row r="4971" spans="1:72" x14ac:dyDescent="0.25">
      <c r="A4971" s="2">
        <v>7699</v>
      </c>
      <c r="B4971" s="2">
        <v>2010</v>
      </c>
      <c r="C4971" s="2" t="s">
        <v>121</v>
      </c>
      <c r="D4971" s="2" t="s">
        <v>122</v>
      </c>
      <c r="E4971" s="2"/>
      <c r="F4971" s="2">
        <v>1</v>
      </c>
      <c r="G4971" s="2" t="s">
        <v>82</v>
      </c>
      <c r="H4971" s="2">
        <v>1</v>
      </c>
      <c r="I4971" s="2" t="s">
        <v>82</v>
      </c>
      <c r="J4971" s="2">
        <v>1</v>
      </c>
      <c r="K4971" s="2" t="s">
        <v>107</v>
      </c>
      <c r="L4971" s="2" t="s">
        <v>107</v>
      </c>
      <c r="M4971" s="3">
        <v>40516</v>
      </c>
      <c r="N4971" s="2"/>
      <c r="O4971" s="2"/>
      <c r="P4971" s="2"/>
      <c r="Q4971" s="2" t="str">
        <f>""</f>
        <v/>
      </c>
      <c r="R4971" s="2"/>
      <c r="S4971" s="2"/>
      <c r="T4971" s="2">
        <v>2</v>
      </c>
      <c r="U4971" s="2" t="s">
        <v>123</v>
      </c>
      <c r="V4971" s="2">
        <v>1</v>
      </c>
      <c r="W4971" s="2" t="s">
        <v>80</v>
      </c>
      <c r="X4971" s="2">
        <v>11</v>
      </c>
      <c r="Y4971" s="2" t="s">
        <v>1920</v>
      </c>
      <c r="Z4971" s="2">
        <v>1</v>
      </c>
      <c r="AA4971" s="2" t="s">
        <v>82</v>
      </c>
      <c r="AB4971" s="2">
        <v>9</v>
      </c>
      <c r="AC4971" s="2" t="s">
        <v>124</v>
      </c>
      <c r="AD4971" s="3">
        <v>40516</v>
      </c>
      <c r="AE4971" s="4">
        <v>0.67361111111111116</v>
      </c>
      <c r="AF4971" s="2"/>
      <c r="AG4971" s="2"/>
      <c r="AH4971" s="2">
        <v>2</v>
      </c>
      <c r="AI4971" s="2" t="s">
        <v>84</v>
      </c>
      <c r="AJ4971" s="2">
        <v>8</v>
      </c>
      <c r="AK4971" s="2" t="s">
        <v>436</v>
      </c>
      <c r="AL4971" s="2">
        <v>10</v>
      </c>
      <c r="AM4971" s="2" t="s">
        <v>200</v>
      </c>
      <c r="AN4971" s="2"/>
      <c r="AO4971" s="2" t="s">
        <v>230</v>
      </c>
      <c r="AP4971" s="2">
        <v>11</v>
      </c>
      <c r="AQ4971" s="2" t="s">
        <v>82</v>
      </c>
      <c r="AR4971" s="2"/>
      <c r="AS4971" s="2"/>
      <c r="AT4971" s="2" t="s">
        <v>15259</v>
      </c>
      <c r="AU4971" s="2"/>
      <c r="AV4971" s="2"/>
      <c r="AW4971" s="2"/>
      <c r="AX4971" s="2"/>
      <c r="AY4971" s="2">
        <v>41</v>
      </c>
      <c r="AZ4971" s="2" t="s">
        <v>82</v>
      </c>
      <c r="BA4971" s="2">
        <v>41</v>
      </c>
      <c r="BB4971" s="2" t="s">
        <v>82</v>
      </c>
      <c r="BC4971" s="2">
        <v>41</v>
      </c>
      <c r="BD4971" s="2" t="s">
        <v>82</v>
      </c>
      <c r="BE4971" s="2">
        <v>41</v>
      </c>
      <c r="BF4971" s="2" t="s">
        <v>82</v>
      </c>
      <c r="BG4971" s="2"/>
      <c r="BH4971" s="2"/>
      <c r="BI4971" s="2"/>
      <c r="BJ4971" s="2">
        <v>241</v>
      </c>
      <c r="BK4971" s="2" t="s">
        <v>82</v>
      </c>
      <c r="BL4971" s="2"/>
      <c r="BM4971" s="2">
        <v>241</v>
      </c>
      <c r="BN4971" s="2" t="s">
        <v>82</v>
      </c>
      <c r="BO4971" s="2"/>
      <c r="BP4971" s="2">
        <v>241</v>
      </c>
      <c r="BQ4971" s="2" t="s">
        <v>82</v>
      </c>
      <c r="BR4971" s="2"/>
      <c r="BS4971" s="3">
        <v>40516</v>
      </c>
      <c r="BT4971" s="4">
        <v>0.70886574074074071</v>
      </c>
    </row>
    <row r="4972" spans="1:72" x14ac:dyDescent="0.25">
      <c r="A4972" s="2">
        <v>7700</v>
      </c>
      <c r="B4972" s="2">
        <v>2010</v>
      </c>
      <c r="C4972" s="2" t="s">
        <v>196</v>
      </c>
      <c r="D4972" s="2" t="s">
        <v>122</v>
      </c>
      <c r="E4972" s="2"/>
      <c r="F4972" s="2">
        <v>1</v>
      </c>
      <c r="G4972" s="2" t="s">
        <v>82</v>
      </c>
      <c r="H4972" s="2">
        <v>1</v>
      </c>
      <c r="I4972" s="2" t="s">
        <v>82</v>
      </c>
      <c r="J4972" s="2">
        <v>1</v>
      </c>
      <c r="K4972" s="2" t="s">
        <v>107</v>
      </c>
      <c r="L4972" s="2" t="s">
        <v>107</v>
      </c>
      <c r="M4972" s="3">
        <v>40516</v>
      </c>
      <c r="N4972" s="2"/>
      <c r="O4972" s="2"/>
      <c r="P4972" s="2"/>
      <c r="Q4972" s="2" t="str">
        <f>""</f>
        <v/>
      </c>
      <c r="R4972" s="2"/>
      <c r="S4972" s="2"/>
      <c r="T4972" s="2">
        <v>2</v>
      </c>
      <c r="U4972" s="2" t="s">
        <v>123</v>
      </c>
      <c r="V4972" s="2">
        <v>1</v>
      </c>
      <c r="W4972" s="2" t="s">
        <v>80</v>
      </c>
      <c r="X4972" s="2">
        <v>11</v>
      </c>
      <c r="Y4972" s="2" t="s">
        <v>1920</v>
      </c>
      <c r="Z4972" s="2">
        <v>1</v>
      </c>
      <c r="AA4972" s="2" t="s">
        <v>82</v>
      </c>
      <c r="AB4972" s="2">
        <v>9</v>
      </c>
      <c r="AC4972" s="2" t="s">
        <v>124</v>
      </c>
      <c r="AD4972" s="3">
        <v>40516</v>
      </c>
      <c r="AE4972" s="4">
        <v>0.70208333333333339</v>
      </c>
      <c r="AF4972" s="2"/>
      <c r="AG4972" s="2"/>
      <c r="AH4972" s="2">
        <v>2</v>
      </c>
      <c r="AI4972" s="2" t="s">
        <v>84</v>
      </c>
      <c r="AJ4972" s="2">
        <v>8</v>
      </c>
      <c r="AK4972" s="2" t="s">
        <v>436</v>
      </c>
      <c r="AL4972" s="2">
        <v>10</v>
      </c>
      <c r="AM4972" s="2" t="s">
        <v>200</v>
      </c>
      <c r="AN4972" s="2"/>
      <c r="AO4972" s="2" t="s">
        <v>230</v>
      </c>
      <c r="AP4972" s="2">
        <v>11</v>
      </c>
      <c r="AQ4972" s="2" t="s">
        <v>82</v>
      </c>
      <c r="AR4972" s="2"/>
      <c r="AS4972" s="2"/>
      <c r="AT4972" s="2" t="s">
        <v>15260</v>
      </c>
      <c r="AU4972" s="2"/>
      <c r="AV4972" s="2"/>
      <c r="AW4972" s="2"/>
      <c r="AX4972" s="2"/>
      <c r="AY4972" s="2">
        <v>41</v>
      </c>
      <c r="AZ4972" s="2" t="s">
        <v>82</v>
      </c>
      <c r="BA4972" s="2">
        <v>41</v>
      </c>
      <c r="BB4972" s="2" t="s">
        <v>82</v>
      </c>
      <c r="BC4972" s="2">
        <v>41</v>
      </c>
      <c r="BD4972" s="2" t="s">
        <v>82</v>
      </c>
      <c r="BE4972" s="2">
        <v>41</v>
      </c>
      <c r="BF4972" s="2" t="s">
        <v>82</v>
      </c>
      <c r="BG4972" s="2"/>
      <c r="BH4972" s="2"/>
      <c r="BI4972" s="2"/>
      <c r="BJ4972" s="2">
        <v>241</v>
      </c>
      <c r="BK4972" s="2" t="s">
        <v>82</v>
      </c>
      <c r="BL4972" s="2"/>
      <c r="BM4972" s="2">
        <v>241</v>
      </c>
      <c r="BN4972" s="2" t="s">
        <v>82</v>
      </c>
      <c r="BO4972" s="2"/>
      <c r="BP4972" s="2">
        <v>241</v>
      </c>
      <c r="BQ4972" s="2" t="s">
        <v>82</v>
      </c>
      <c r="BR4972" s="2"/>
      <c r="BS4972" s="3">
        <v>40516</v>
      </c>
      <c r="BT4972" s="4">
        <v>0.72026620370370376</v>
      </c>
    </row>
    <row r="4973" spans="1:72" x14ac:dyDescent="0.25">
      <c r="A4973" s="2">
        <v>7701</v>
      </c>
      <c r="B4973" s="2">
        <v>2010</v>
      </c>
      <c r="C4973" s="2" t="s">
        <v>121</v>
      </c>
      <c r="D4973" s="2" t="s">
        <v>122</v>
      </c>
      <c r="E4973" s="2"/>
      <c r="F4973" s="2">
        <v>1</v>
      </c>
      <c r="G4973" s="2" t="s">
        <v>82</v>
      </c>
      <c r="H4973" s="2">
        <v>1</v>
      </c>
      <c r="I4973" s="2" t="s">
        <v>82</v>
      </c>
      <c r="J4973" s="2">
        <v>1</v>
      </c>
      <c r="K4973" s="2" t="s">
        <v>107</v>
      </c>
      <c r="L4973" s="2" t="s">
        <v>107</v>
      </c>
      <c r="M4973" s="3">
        <v>40516</v>
      </c>
      <c r="N4973" s="2"/>
      <c r="O4973" s="2"/>
      <c r="P4973" s="2"/>
      <c r="Q4973" s="2" t="str">
        <f>""</f>
        <v/>
      </c>
      <c r="R4973" s="2"/>
      <c r="S4973" s="2"/>
      <c r="T4973" s="2">
        <v>2</v>
      </c>
      <c r="U4973" s="2" t="s">
        <v>123</v>
      </c>
      <c r="V4973" s="2">
        <v>1</v>
      </c>
      <c r="W4973" s="2" t="s">
        <v>80</v>
      </c>
      <c r="X4973" s="2">
        <v>11</v>
      </c>
      <c r="Y4973" s="2" t="s">
        <v>1920</v>
      </c>
      <c r="Z4973" s="2">
        <v>1</v>
      </c>
      <c r="AA4973" s="2" t="s">
        <v>82</v>
      </c>
      <c r="AB4973" s="2">
        <v>9</v>
      </c>
      <c r="AC4973" s="2" t="s">
        <v>124</v>
      </c>
      <c r="AD4973" s="3">
        <v>40516</v>
      </c>
      <c r="AE4973" s="4">
        <v>0.71875</v>
      </c>
      <c r="AF4973" s="2"/>
      <c r="AG4973" s="2"/>
      <c r="AH4973" s="2">
        <v>2</v>
      </c>
      <c r="AI4973" s="2" t="s">
        <v>84</v>
      </c>
      <c r="AJ4973" s="2">
        <v>8</v>
      </c>
      <c r="AK4973" s="2" t="s">
        <v>436</v>
      </c>
      <c r="AL4973" s="2">
        <v>10</v>
      </c>
      <c r="AM4973" s="2" t="s">
        <v>200</v>
      </c>
      <c r="AN4973" s="2"/>
      <c r="AO4973" s="2" t="s">
        <v>230</v>
      </c>
      <c r="AP4973" s="2">
        <v>11</v>
      </c>
      <c r="AQ4973" s="2" t="s">
        <v>82</v>
      </c>
      <c r="AR4973" s="2"/>
      <c r="AS4973" s="2"/>
      <c r="AT4973" s="2" t="s">
        <v>15261</v>
      </c>
      <c r="AU4973" s="2"/>
      <c r="AV4973" s="2"/>
      <c r="AW4973" s="2"/>
      <c r="AX4973" s="2"/>
      <c r="AY4973" s="2">
        <v>41</v>
      </c>
      <c r="AZ4973" s="2" t="s">
        <v>82</v>
      </c>
      <c r="BA4973" s="2">
        <v>41</v>
      </c>
      <c r="BB4973" s="2" t="s">
        <v>82</v>
      </c>
      <c r="BC4973" s="2">
        <v>41</v>
      </c>
      <c r="BD4973" s="2" t="s">
        <v>82</v>
      </c>
      <c r="BE4973" s="2">
        <v>41</v>
      </c>
      <c r="BF4973" s="2" t="s">
        <v>82</v>
      </c>
      <c r="BG4973" s="2"/>
      <c r="BH4973" s="2"/>
      <c r="BI4973" s="2"/>
      <c r="BJ4973" s="2">
        <v>241</v>
      </c>
      <c r="BK4973" s="2" t="s">
        <v>82</v>
      </c>
      <c r="BL4973" s="2"/>
      <c r="BM4973" s="2">
        <v>241</v>
      </c>
      <c r="BN4973" s="2" t="s">
        <v>82</v>
      </c>
      <c r="BO4973" s="2"/>
      <c r="BP4973" s="2">
        <v>241</v>
      </c>
      <c r="BQ4973" s="2" t="s">
        <v>82</v>
      </c>
      <c r="BR4973" s="2"/>
      <c r="BS4973" s="3">
        <v>40516</v>
      </c>
      <c r="BT4973" s="4">
        <v>0.73305555555555557</v>
      </c>
    </row>
    <row r="4974" spans="1:72" x14ac:dyDescent="0.25">
      <c r="A4974" s="2">
        <v>7702</v>
      </c>
      <c r="B4974" s="2">
        <v>2010</v>
      </c>
      <c r="C4974" s="2" t="s">
        <v>121</v>
      </c>
      <c r="D4974" s="2" t="s">
        <v>122</v>
      </c>
      <c r="E4974" s="2"/>
      <c r="F4974" s="2">
        <v>1</v>
      </c>
      <c r="G4974" s="2" t="s">
        <v>82</v>
      </c>
      <c r="H4974" s="2">
        <v>1</v>
      </c>
      <c r="I4974" s="2" t="s">
        <v>82</v>
      </c>
      <c r="J4974" s="2">
        <v>1</v>
      </c>
      <c r="K4974" s="2" t="s">
        <v>107</v>
      </c>
      <c r="L4974" s="2" t="s">
        <v>107</v>
      </c>
      <c r="M4974" s="3">
        <v>40516</v>
      </c>
      <c r="N4974" s="2"/>
      <c r="O4974" s="2"/>
      <c r="P4974" s="2"/>
      <c r="Q4974" s="2" t="str">
        <f>""</f>
        <v/>
      </c>
      <c r="R4974" s="2"/>
      <c r="S4974" s="2"/>
      <c r="T4974" s="2">
        <v>2</v>
      </c>
      <c r="U4974" s="2" t="s">
        <v>123</v>
      </c>
      <c r="V4974" s="2">
        <v>1</v>
      </c>
      <c r="W4974" s="2" t="s">
        <v>80</v>
      </c>
      <c r="X4974" s="2">
        <v>11</v>
      </c>
      <c r="Y4974" s="2" t="s">
        <v>1920</v>
      </c>
      <c r="Z4974" s="2">
        <v>1</v>
      </c>
      <c r="AA4974" s="2" t="s">
        <v>82</v>
      </c>
      <c r="AB4974" s="2">
        <v>9</v>
      </c>
      <c r="AC4974" s="2" t="s">
        <v>124</v>
      </c>
      <c r="AD4974" s="3">
        <v>40516</v>
      </c>
      <c r="AE4974" s="4">
        <v>0.72222222222222221</v>
      </c>
      <c r="AF4974" s="2"/>
      <c r="AG4974" s="2"/>
      <c r="AH4974" s="2">
        <v>2</v>
      </c>
      <c r="AI4974" s="2" t="s">
        <v>84</v>
      </c>
      <c r="AJ4974" s="2">
        <v>8</v>
      </c>
      <c r="AK4974" s="2" t="s">
        <v>436</v>
      </c>
      <c r="AL4974" s="2">
        <v>10</v>
      </c>
      <c r="AM4974" s="2" t="s">
        <v>200</v>
      </c>
      <c r="AN4974" s="2"/>
      <c r="AO4974" s="2" t="s">
        <v>230</v>
      </c>
      <c r="AP4974" s="2">
        <v>11</v>
      </c>
      <c r="AQ4974" s="2" t="s">
        <v>82</v>
      </c>
      <c r="AR4974" s="2"/>
      <c r="AS4974" s="2"/>
      <c r="AT4974" s="2" t="s">
        <v>15262</v>
      </c>
      <c r="AU4974" s="2"/>
      <c r="AV4974" s="2"/>
      <c r="AW4974" s="2"/>
      <c r="AX4974" s="2"/>
      <c r="AY4974" s="2">
        <v>41</v>
      </c>
      <c r="AZ4974" s="2" t="s">
        <v>82</v>
      </c>
      <c r="BA4974" s="2">
        <v>41</v>
      </c>
      <c r="BB4974" s="2" t="s">
        <v>82</v>
      </c>
      <c r="BC4974" s="2">
        <v>41</v>
      </c>
      <c r="BD4974" s="2" t="s">
        <v>82</v>
      </c>
      <c r="BE4974" s="2">
        <v>41</v>
      </c>
      <c r="BF4974" s="2" t="s">
        <v>82</v>
      </c>
      <c r="BG4974" s="2"/>
      <c r="BH4974" s="2"/>
      <c r="BI4974" s="2"/>
      <c r="BJ4974" s="2">
        <v>241</v>
      </c>
      <c r="BK4974" s="2" t="s">
        <v>82</v>
      </c>
      <c r="BL4974" s="2"/>
      <c r="BM4974" s="2">
        <v>241</v>
      </c>
      <c r="BN4974" s="2" t="s">
        <v>82</v>
      </c>
      <c r="BO4974" s="2"/>
      <c r="BP4974" s="2">
        <v>241</v>
      </c>
      <c r="BQ4974" s="2" t="s">
        <v>82</v>
      </c>
      <c r="BR4974" s="2"/>
      <c r="BS4974" s="3">
        <v>40516</v>
      </c>
      <c r="BT4974" s="4">
        <v>0.75354166666666667</v>
      </c>
    </row>
    <row r="4975" spans="1:72" x14ac:dyDescent="0.25">
      <c r="A4975" s="2">
        <v>7703</v>
      </c>
      <c r="B4975" s="2">
        <v>2010</v>
      </c>
      <c r="C4975" s="2" t="s">
        <v>121</v>
      </c>
      <c r="D4975" s="2" t="s">
        <v>122</v>
      </c>
      <c r="E4975" s="2"/>
      <c r="F4975" s="2">
        <v>1</v>
      </c>
      <c r="G4975" s="2" t="s">
        <v>82</v>
      </c>
      <c r="H4975" s="2">
        <v>1</v>
      </c>
      <c r="I4975" s="2" t="s">
        <v>82</v>
      </c>
      <c r="J4975" s="2">
        <v>1</v>
      </c>
      <c r="K4975" s="2" t="s">
        <v>107</v>
      </c>
      <c r="L4975" s="2" t="s">
        <v>107</v>
      </c>
      <c r="M4975" s="3">
        <v>40516</v>
      </c>
      <c r="N4975" s="2"/>
      <c r="O4975" s="2"/>
      <c r="P4975" s="2"/>
      <c r="Q4975" s="2" t="str">
        <f>""</f>
        <v/>
      </c>
      <c r="R4975" s="2"/>
      <c r="S4975" s="2"/>
      <c r="T4975" s="2">
        <v>2</v>
      </c>
      <c r="U4975" s="2" t="s">
        <v>123</v>
      </c>
      <c r="V4975" s="2">
        <v>1</v>
      </c>
      <c r="W4975" s="2" t="s">
        <v>80</v>
      </c>
      <c r="X4975" s="2">
        <v>11</v>
      </c>
      <c r="Y4975" s="2" t="s">
        <v>1920</v>
      </c>
      <c r="Z4975" s="2">
        <v>1</v>
      </c>
      <c r="AA4975" s="2" t="s">
        <v>82</v>
      </c>
      <c r="AB4975" s="2">
        <v>9</v>
      </c>
      <c r="AC4975" s="2" t="s">
        <v>124</v>
      </c>
      <c r="AD4975" s="3">
        <v>40516</v>
      </c>
      <c r="AE4975" s="4">
        <v>0.72499999999999998</v>
      </c>
      <c r="AF4975" s="2"/>
      <c r="AG4975" s="2"/>
      <c r="AH4975" s="2">
        <v>2</v>
      </c>
      <c r="AI4975" s="2" t="s">
        <v>84</v>
      </c>
      <c r="AJ4975" s="2">
        <v>8</v>
      </c>
      <c r="AK4975" s="2" t="s">
        <v>436</v>
      </c>
      <c r="AL4975" s="2">
        <v>10</v>
      </c>
      <c r="AM4975" s="2" t="s">
        <v>200</v>
      </c>
      <c r="AN4975" s="2"/>
      <c r="AO4975" s="2" t="s">
        <v>230</v>
      </c>
      <c r="AP4975" s="2">
        <v>11</v>
      </c>
      <c r="AQ4975" s="2" t="s">
        <v>82</v>
      </c>
      <c r="AR4975" s="2"/>
      <c r="AS4975" s="2"/>
      <c r="AT4975" s="2" t="s">
        <v>15263</v>
      </c>
      <c r="AU4975" s="2"/>
      <c r="AV4975" s="2"/>
      <c r="AW4975" s="2"/>
      <c r="AX4975" s="2"/>
      <c r="AY4975" s="2">
        <v>41</v>
      </c>
      <c r="AZ4975" s="2" t="s">
        <v>82</v>
      </c>
      <c r="BA4975" s="2">
        <v>41</v>
      </c>
      <c r="BB4975" s="2" t="s">
        <v>82</v>
      </c>
      <c r="BC4975" s="2">
        <v>41</v>
      </c>
      <c r="BD4975" s="2" t="s">
        <v>82</v>
      </c>
      <c r="BE4975" s="2">
        <v>41</v>
      </c>
      <c r="BF4975" s="2" t="s">
        <v>82</v>
      </c>
      <c r="BG4975" s="2"/>
      <c r="BH4975" s="2"/>
      <c r="BI4975" s="2"/>
      <c r="BJ4975" s="2">
        <v>241</v>
      </c>
      <c r="BK4975" s="2" t="s">
        <v>82</v>
      </c>
      <c r="BL4975" s="2"/>
      <c r="BM4975" s="2">
        <v>241</v>
      </c>
      <c r="BN4975" s="2" t="s">
        <v>82</v>
      </c>
      <c r="BO4975" s="2"/>
      <c r="BP4975" s="2">
        <v>241</v>
      </c>
      <c r="BQ4975" s="2" t="s">
        <v>82</v>
      </c>
      <c r="BR4975" s="2"/>
      <c r="BS4975" s="3">
        <v>40516</v>
      </c>
      <c r="BT4975" s="4">
        <v>0.76515046296296296</v>
      </c>
    </row>
    <row r="4976" spans="1:72" x14ac:dyDescent="0.25">
      <c r="A4976" s="2">
        <v>7704</v>
      </c>
      <c r="B4976" s="2">
        <v>2010</v>
      </c>
      <c r="C4976" s="2" t="s">
        <v>121</v>
      </c>
      <c r="D4976" s="2" t="s">
        <v>122</v>
      </c>
      <c r="E4976" s="2"/>
      <c r="F4976" s="2">
        <v>1</v>
      </c>
      <c r="G4976" s="2" t="s">
        <v>82</v>
      </c>
      <c r="H4976" s="2">
        <v>1</v>
      </c>
      <c r="I4976" s="2" t="s">
        <v>82</v>
      </c>
      <c r="J4976" s="2">
        <v>1</v>
      </c>
      <c r="K4976" s="2" t="s">
        <v>107</v>
      </c>
      <c r="L4976" s="2" t="s">
        <v>107</v>
      </c>
      <c r="M4976" s="3">
        <v>40516</v>
      </c>
      <c r="N4976" s="2"/>
      <c r="O4976" s="2"/>
      <c r="P4976" s="2"/>
      <c r="Q4976" s="2" t="str">
        <f>""</f>
        <v/>
      </c>
      <c r="R4976" s="2"/>
      <c r="S4976" s="2"/>
      <c r="T4976" s="2">
        <v>2</v>
      </c>
      <c r="U4976" s="2" t="s">
        <v>123</v>
      </c>
      <c r="V4976" s="2">
        <v>1</v>
      </c>
      <c r="W4976" s="2" t="s">
        <v>80</v>
      </c>
      <c r="X4976" s="2">
        <v>11</v>
      </c>
      <c r="Y4976" s="2" t="s">
        <v>1920</v>
      </c>
      <c r="Z4976" s="2">
        <v>1</v>
      </c>
      <c r="AA4976" s="2" t="s">
        <v>82</v>
      </c>
      <c r="AB4976" s="2">
        <v>9</v>
      </c>
      <c r="AC4976" s="2" t="s">
        <v>124</v>
      </c>
      <c r="AD4976" s="3">
        <v>40516</v>
      </c>
      <c r="AE4976" s="4">
        <v>0.72777777777777775</v>
      </c>
      <c r="AF4976" s="2"/>
      <c r="AG4976" s="2"/>
      <c r="AH4976" s="2">
        <v>2</v>
      </c>
      <c r="AI4976" s="2" t="s">
        <v>84</v>
      </c>
      <c r="AJ4976" s="2">
        <v>8</v>
      </c>
      <c r="AK4976" s="2" t="s">
        <v>436</v>
      </c>
      <c r="AL4976" s="2">
        <v>10</v>
      </c>
      <c r="AM4976" s="2" t="s">
        <v>200</v>
      </c>
      <c r="AN4976" s="2"/>
      <c r="AO4976" s="2" t="s">
        <v>230</v>
      </c>
      <c r="AP4976" s="2">
        <v>11</v>
      </c>
      <c r="AQ4976" s="2" t="s">
        <v>82</v>
      </c>
      <c r="AR4976" s="2"/>
      <c r="AS4976" s="2"/>
      <c r="AT4976" s="2" t="s">
        <v>15264</v>
      </c>
      <c r="AU4976" s="2"/>
      <c r="AV4976" s="2"/>
      <c r="AW4976" s="2"/>
      <c r="AX4976" s="2"/>
      <c r="AY4976" s="2">
        <v>41</v>
      </c>
      <c r="AZ4976" s="2" t="s">
        <v>82</v>
      </c>
      <c r="BA4976" s="2">
        <v>41</v>
      </c>
      <c r="BB4976" s="2" t="s">
        <v>82</v>
      </c>
      <c r="BC4976" s="2">
        <v>41</v>
      </c>
      <c r="BD4976" s="2" t="s">
        <v>82</v>
      </c>
      <c r="BE4976" s="2">
        <v>41</v>
      </c>
      <c r="BF4976" s="2" t="s">
        <v>82</v>
      </c>
      <c r="BG4976" s="2"/>
      <c r="BH4976" s="2"/>
      <c r="BI4976" s="2"/>
      <c r="BJ4976" s="2">
        <v>241</v>
      </c>
      <c r="BK4976" s="2" t="s">
        <v>82</v>
      </c>
      <c r="BL4976" s="2"/>
      <c r="BM4976" s="2">
        <v>241</v>
      </c>
      <c r="BN4976" s="2" t="s">
        <v>82</v>
      </c>
      <c r="BO4976" s="2"/>
      <c r="BP4976" s="2">
        <v>241</v>
      </c>
      <c r="BQ4976" s="2" t="s">
        <v>82</v>
      </c>
      <c r="BR4976" s="2"/>
      <c r="BS4976" s="3">
        <v>40516</v>
      </c>
      <c r="BT4976" s="4">
        <v>0.78577546296296286</v>
      </c>
    </row>
    <row r="4977" spans="1:72" x14ac:dyDescent="0.25">
      <c r="A4977" s="2">
        <v>7705</v>
      </c>
      <c r="B4977" s="2">
        <v>2010</v>
      </c>
      <c r="C4977" s="2" t="s">
        <v>121</v>
      </c>
      <c r="D4977" s="2" t="s">
        <v>122</v>
      </c>
      <c r="E4977" s="2"/>
      <c r="F4977" s="2">
        <v>1</v>
      </c>
      <c r="G4977" s="2" t="s">
        <v>82</v>
      </c>
      <c r="H4977" s="2">
        <v>1</v>
      </c>
      <c r="I4977" s="2" t="s">
        <v>82</v>
      </c>
      <c r="J4977" s="2">
        <v>1</v>
      </c>
      <c r="K4977" s="2" t="s">
        <v>107</v>
      </c>
      <c r="L4977" s="2" t="s">
        <v>107</v>
      </c>
      <c r="M4977" s="3">
        <v>40516</v>
      </c>
      <c r="N4977" s="2"/>
      <c r="O4977" s="2"/>
      <c r="P4977" s="2"/>
      <c r="Q4977" s="2" t="str">
        <f>""</f>
        <v/>
      </c>
      <c r="R4977" s="2"/>
      <c r="S4977" s="2"/>
      <c r="T4977" s="2">
        <v>2</v>
      </c>
      <c r="U4977" s="2" t="s">
        <v>123</v>
      </c>
      <c r="V4977" s="2">
        <v>1</v>
      </c>
      <c r="W4977" s="2" t="s">
        <v>80</v>
      </c>
      <c r="X4977" s="2">
        <v>11</v>
      </c>
      <c r="Y4977" s="2" t="s">
        <v>1920</v>
      </c>
      <c r="Z4977" s="2">
        <v>1</v>
      </c>
      <c r="AA4977" s="2" t="s">
        <v>82</v>
      </c>
      <c r="AB4977" s="2">
        <v>9</v>
      </c>
      <c r="AC4977" s="2" t="s">
        <v>124</v>
      </c>
      <c r="AD4977" s="3">
        <v>40516</v>
      </c>
      <c r="AE4977" s="4">
        <v>0.71666666666666667</v>
      </c>
      <c r="AF4977" s="2"/>
      <c r="AG4977" s="2"/>
      <c r="AH4977" s="2">
        <v>2</v>
      </c>
      <c r="AI4977" s="2" t="s">
        <v>84</v>
      </c>
      <c r="AJ4977" s="2">
        <v>8</v>
      </c>
      <c r="AK4977" s="2" t="s">
        <v>436</v>
      </c>
      <c r="AL4977" s="2">
        <v>10</v>
      </c>
      <c r="AM4977" s="2" t="s">
        <v>200</v>
      </c>
      <c r="AN4977" s="2"/>
      <c r="AO4977" s="2" t="s">
        <v>230</v>
      </c>
      <c r="AP4977" s="2">
        <v>11</v>
      </c>
      <c r="AQ4977" s="2" t="s">
        <v>82</v>
      </c>
      <c r="AR4977" s="2"/>
      <c r="AS4977" s="2"/>
      <c r="AT4977" s="2" t="s">
        <v>15265</v>
      </c>
      <c r="AU4977" s="2"/>
      <c r="AV4977" s="2"/>
      <c r="AW4977" s="2"/>
      <c r="AX4977" s="2"/>
      <c r="AY4977" s="2">
        <v>41</v>
      </c>
      <c r="AZ4977" s="2" t="s">
        <v>82</v>
      </c>
      <c r="BA4977" s="2">
        <v>41</v>
      </c>
      <c r="BB4977" s="2" t="s">
        <v>82</v>
      </c>
      <c r="BC4977" s="2">
        <v>41</v>
      </c>
      <c r="BD4977" s="2" t="s">
        <v>82</v>
      </c>
      <c r="BE4977" s="2">
        <v>41</v>
      </c>
      <c r="BF4977" s="2" t="s">
        <v>82</v>
      </c>
      <c r="BG4977" s="2"/>
      <c r="BH4977" s="2"/>
      <c r="BI4977" s="2"/>
      <c r="BJ4977" s="2">
        <v>241</v>
      </c>
      <c r="BK4977" s="2" t="s">
        <v>82</v>
      </c>
      <c r="BL4977" s="2"/>
      <c r="BM4977" s="2">
        <v>241</v>
      </c>
      <c r="BN4977" s="2" t="s">
        <v>82</v>
      </c>
      <c r="BO4977" s="2"/>
      <c r="BP4977" s="2">
        <v>241</v>
      </c>
      <c r="BQ4977" s="2" t="s">
        <v>82</v>
      </c>
      <c r="BR4977" s="2"/>
      <c r="BS4977" s="3">
        <v>40516</v>
      </c>
      <c r="BT4977" s="4">
        <v>0.79454861111111119</v>
      </c>
    </row>
    <row r="4978" spans="1:72" x14ac:dyDescent="0.25">
      <c r="A4978" s="2">
        <v>7707</v>
      </c>
      <c r="B4978" s="2">
        <v>2010</v>
      </c>
      <c r="C4978" s="2" t="s">
        <v>121</v>
      </c>
      <c r="D4978" s="2" t="s">
        <v>122</v>
      </c>
      <c r="E4978" s="2"/>
      <c r="F4978" s="2">
        <v>1</v>
      </c>
      <c r="G4978" s="2" t="s">
        <v>82</v>
      </c>
      <c r="H4978" s="2">
        <v>1</v>
      </c>
      <c r="I4978" s="2" t="s">
        <v>82</v>
      </c>
      <c r="J4978" s="2">
        <v>1</v>
      </c>
      <c r="K4978" s="2" t="s">
        <v>107</v>
      </c>
      <c r="L4978" s="2" t="s">
        <v>107</v>
      </c>
      <c r="M4978" s="3">
        <v>40516</v>
      </c>
      <c r="N4978" s="2"/>
      <c r="O4978" s="2"/>
      <c r="P4978" s="2"/>
      <c r="Q4978" s="2" t="str">
        <f>""</f>
        <v/>
      </c>
      <c r="R4978" s="2"/>
      <c r="S4978" s="2"/>
      <c r="T4978" s="2">
        <v>2</v>
      </c>
      <c r="U4978" s="2" t="s">
        <v>123</v>
      </c>
      <c r="V4978" s="2">
        <v>1</v>
      </c>
      <c r="W4978" s="2" t="s">
        <v>80</v>
      </c>
      <c r="X4978" s="2">
        <v>11</v>
      </c>
      <c r="Y4978" s="2" t="s">
        <v>1920</v>
      </c>
      <c r="Z4978" s="2">
        <v>1</v>
      </c>
      <c r="AA4978" s="2" t="s">
        <v>82</v>
      </c>
      <c r="AB4978" s="2">
        <v>9</v>
      </c>
      <c r="AC4978" s="2" t="s">
        <v>124</v>
      </c>
      <c r="AD4978" s="3">
        <v>40516</v>
      </c>
      <c r="AE4978" s="4">
        <v>0.73611111111111116</v>
      </c>
      <c r="AF4978" s="2"/>
      <c r="AG4978" s="2"/>
      <c r="AH4978" s="2">
        <v>2</v>
      </c>
      <c r="AI4978" s="2" t="s">
        <v>84</v>
      </c>
      <c r="AJ4978" s="2">
        <v>8</v>
      </c>
      <c r="AK4978" s="2" t="s">
        <v>436</v>
      </c>
      <c r="AL4978" s="2">
        <v>10</v>
      </c>
      <c r="AM4978" s="2" t="s">
        <v>200</v>
      </c>
      <c r="AN4978" s="2"/>
      <c r="AO4978" s="2" t="s">
        <v>230</v>
      </c>
      <c r="AP4978" s="2">
        <v>11</v>
      </c>
      <c r="AQ4978" s="2" t="s">
        <v>82</v>
      </c>
      <c r="AR4978" s="2"/>
      <c r="AS4978" s="2"/>
      <c r="AT4978" s="2" t="s">
        <v>15266</v>
      </c>
      <c r="AU4978" s="2"/>
      <c r="AV4978" s="2"/>
      <c r="AW4978" s="2"/>
      <c r="AX4978" s="2"/>
      <c r="AY4978" s="2">
        <v>41</v>
      </c>
      <c r="AZ4978" s="2" t="s">
        <v>82</v>
      </c>
      <c r="BA4978" s="2">
        <v>41</v>
      </c>
      <c r="BB4978" s="2" t="s">
        <v>82</v>
      </c>
      <c r="BC4978" s="2">
        <v>41</v>
      </c>
      <c r="BD4978" s="2" t="s">
        <v>82</v>
      </c>
      <c r="BE4978" s="2">
        <v>41</v>
      </c>
      <c r="BF4978" s="2" t="s">
        <v>82</v>
      </c>
      <c r="BG4978" s="2"/>
      <c r="BH4978" s="2"/>
      <c r="BI4978" s="2"/>
      <c r="BJ4978" s="2">
        <v>241</v>
      </c>
      <c r="BK4978" s="2" t="s">
        <v>82</v>
      </c>
      <c r="BL4978" s="2"/>
      <c r="BM4978" s="2">
        <v>241</v>
      </c>
      <c r="BN4978" s="2" t="s">
        <v>82</v>
      </c>
      <c r="BO4978" s="2"/>
      <c r="BP4978" s="2">
        <v>241</v>
      </c>
      <c r="BQ4978" s="2" t="s">
        <v>82</v>
      </c>
      <c r="BR4978" s="2"/>
      <c r="BS4978" s="3">
        <v>40516</v>
      </c>
      <c r="BT4978" s="4">
        <v>0.90348379629629638</v>
      </c>
    </row>
    <row r="4979" spans="1:72" x14ac:dyDescent="0.25">
      <c r="A4979" s="2">
        <v>7708</v>
      </c>
      <c r="B4979" s="2">
        <v>2010</v>
      </c>
      <c r="C4979" s="2" t="s">
        <v>121</v>
      </c>
      <c r="D4979" s="2" t="s">
        <v>122</v>
      </c>
      <c r="E4979" s="2"/>
      <c r="F4979" s="2">
        <v>1</v>
      </c>
      <c r="G4979" s="2" t="s">
        <v>82</v>
      </c>
      <c r="H4979" s="2">
        <v>1</v>
      </c>
      <c r="I4979" s="2" t="s">
        <v>82</v>
      </c>
      <c r="J4979" s="2">
        <v>1</v>
      </c>
      <c r="K4979" s="2" t="s">
        <v>107</v>
      </c>
      <c r="L4979" s="2" t="s">
        <v>107</v>
      </c>
      <c r="M4979" s="3">
        <v>40516</v>
      </c>
      <c r="N4979" s="2"/>
      <c r="O4979" s="2"/>
      <c r="P4979" s="2"/>
      <c r="Q4979" s="2" t="str">
        <f>""</f>
        <v/>
      </c>
      <c r="R4979" s="2"/>
      <c r="S4979" s="2"/>
      <c r="T4979" s="2">
        <v>2</v>
      </c>
      <c r="U4979" s="2" t="s">
        <v>123</v>
      </c>
      <c r="V4979" s="2">
        <v>1</v>
      </c>
      <c r="W4979" s="2" t="s">
        <v>80</v>
      </c>
      <c r="X4979" s="2">
        <v>11</v>
      </c>
      <c r="Y4979" s="2" t="s">
        <v>1920</v>
      </c>
      <c r="Z4979" s="2">
        <v>1</v>
      </c>
      <c r="AA4979" s="2" t="s">
        <v>82</v>
      </c>
      <c r="AB4979" s="2">
        <v>9</v>
      </c>
      <c r="AC4979" s="2" t="s">
        <v>124</v>
      </c>
      <c r="AD4979" s="3">
        <v>40516</v>
      </c>
      <c r="AE4979" s="4">
        <v>0.73958333333333337</v>
      </c>
      <c r="AF4979" s="2"/>
      <c r="AG4979" s="2"/>
      <c r="AH4979" s="2">
        <v>2</v>
      </c>
      <c r="AI4979" s="2" t="s">
        <v>84</v>
      </c>
      <c r="AJ4979" s="2">
        <v>8</v>
      </c>
      <c r="AK4979" s="2" t="s">
        <v>436</v>
      </c>
      <c r="AL4979" s="2">
        <v>10</v>
      </c>
      <c r="AM4979" s="2" t="s">
        <v>200</v>
      </c>
      <c r="AN4979" s="2"/>
      <c r="AO4979" s="2" t="s">
        <v>230</v>
      </c>
      <c r="AP4979" s="2">
        <v>11</v>
      </c>
      <c r="AQ4979" s="2" t="s">
        <v>82</v>
      </c>
      <c r="AR4979" s="2"/>
      <c r="AS4979" s="2"/>
      <c r="AT4979" s="2" t="s">
        <v>15267</v>
      </c>
      <c r="AU4979" s="2"/>
      <c r="AV4979" s="2"/>
      <c r="AW4979" s="2"/>
      <c r="AX4979" s="2"/>
      <c r="AY4979" s="2">
        <v>41</v>
      </c>
      <c r="AZ4979" s="2" t="s">
        <v>82</v>
      </c>
      <c r="BA4979" s="2">
        <v>41</v>
      </c>
      <c r="BB4979" s="2" t="s">
        <v>82</v>
      </c>
      <c r="BC4979" s="2">
        <v>41</v>
      </c>
      <c r="BD4979" s="2" t="s">
        <v>82</v>
      </c>
      <c r="BE4979" s="2">
        <v>41</v>
      </c>
      <c r="BF4979" s="2" t="s">
        <v>82</v>
      </c>
      <c r="BG4979" s="2"/>
      <c r="BH4979" s="2"/>
      <c r="BI4979" s="2"/>
      <c r="BJ4979" s="2">
        <v>241</v>
      </c>
      <c r="BK4979" s="2" t="s">
        <v>82</v>
      </c>
      <c r="BL4979" s="2"/>
      <c r="BM4979" s="2">
        <v>241</v>
      </c>
      <c r="BN4979" s="2" t="s">
        <v>82</v>
      </c>
      <c r="BO4979" s="2"/>
      <c r="BP4979" s="2">
        <v>241</v>
      </c>
      <c r="BQ4979" s="2" t="s">
        <v>82</v>
      </c>
      <c r="BR4979" s="2"/>
      <c r="BS4979" s="3">
        <v>40516</v>
      </c>
      <c r="BT4979" s="4">
        <v>0.90687499999999999</v>
      </c>
    </row>
    <row r="4980" spans="1:72" x14ac:dyDescent="0.25">
      <c r="A4980" s="2">
        <v>7709</v>
      </c>
      <c r="B4980" s="2">
        <v>2010</v>
      </c>
      <c r="C4980" s="2" t="s">
        <v>121</v>
      </c>
      <c r="D4980" s="2" t="s">
        <v>122</v>
      </c>
      <c r="E4980" s="2"/>
      <c r="F4980" s="2">
        <v>1</v>
      </c>
      <c r="G4980" s="2" t="s">
        <v>82</v>
      </c>
      <c r="H4980" s="2">
        <v>1</v>
      </c>
      <c r="I4980" s="2" t="s">
        <v>82</v>
      </c>
      <c r="J4980" s="2">
        <v>1</v>
      </c>
      <c r="K4980" s="2" t="s">
        <v>107</v>
      </c>
      <c r="L4980" s="2" t="s">
        <v>107</v>
      </c>
      <c r="M4980" s="3">
        <v>40516</v>
      </c>
      <c r="N4980" s="2"/>
      <c r="O4980" s="2"/>
      <c r="P4980" s="2"/>
      <c r="Q4980" s="2" t="str">
        <f>""</f>
        <v/>
      </c>
      <c r="R4980" s="2"/>
      <c r="S4980" s="2"/>
      <c r="T4980" s="2">
        <v>2</v>
      </c>
      <c r="U4980" s="2" t="s">
        <v>123</v>
      </c>
      <c r="V4980" s="2">
        <v>1</v>
      </c>
      <c r="W4980" s="2" t="s">
        <v>80</v>
      </c>
      <c r="X4980" s="2">
        <v>11</v>
      </c>
      <c r="Y4980" s="2" t="s">
        <v>1920</v>
      </c>
      <c r="Z4980" s="2">
        <v>1</v>
      </c>
      <c r="AA4980" s="2" t="s">
        <v>82</v>
      </c>
      <c r="AB4980" s="2">
        <v>9</v>
      </c>
      <c r="AC4980" s="2" t="s">
        <v>124</v>
      </c>
      <c r="AD4980" s="2"/>
      <c r="AE4980" s="4">
        <v>0.77986111111111101</v>
      </c>
      <c r="AF4980" s="2"/>
      <c r="AG4980" s="2"/>
      <c r="AH4980" s="2">
        <v>2</v>
      </c>
      <c r="AI4980" s="2" t="s">
        <v>84</v>
      </c>
      <c r="AJ4980" s="2">
        <v>8</v>
      </c>
      <c r="AK4980" s="2" t="s">
        <v>436</v>
      </c>
      <c r="AL4980" s="2">
        <v>10</v>
      </c>
      <c r="AM4980" s="2" t="s">
        <v>200</v>
      </c>
      <c r="AN4980" s="2"/>
      <c r="AO4980" s="2" t="s">
        <v>230</v>
      </c>
      <c r="AP4980" s="2">
        <v>11</v>
      </c>
      <c r="AQ4980" s="2" t="s">
        <v>82</v>
      </c>
      <c r="AR4980" s="2"/>
      <c r="AS4980" s="2"/>
      <c r="AT4980" s="2" t="s">
        <v>15268</v>
      </c>
      <c r="AU4980" s="2"/>
      <c r="AV4980" s="2"/>
      <c r="AW4980" s="2"/>
      <c r="AX4980" s="2"/>
      <c r="AY4980" s="2">
        <v>41</v>
      </c>
      <c r="AZ4980" s="2" t="s">
        <v>82</v>
      </c>
      <c r="BA4980" s="2">
        <v>41</v>
      </c>
      <c r="BB4980" s="2" t="s">
        <v>82</v>
      </c>
      <c r="BC4980" s="2">
        <v>41</v>
      </c>
      <c r="BD4980" s="2" t="s">
        <v>82</v>
      </c>
      <c r="BE4980" s="2">
        <v>41</v>
      </c>
      <c r="BF4980" s="2" t="s">
        <v>82</v>
      </c>
      <c r="BG4980" s="2"/>
      <c r="BH4980" s="2"/>
      <c r="BI4980" s="2"/>
      <c r="BJ4980" s="2">
        <v>241</v>
      </c>
      <c r="BK4980" s="2" t="s">
        <v>82</v>
      </c>
      <c r="BL4980" s="2"/>
      <c r="BM4980" s="2">
        <v>241</v>
      </c>
      <c r="BN4980" s="2" t="s">
        <v>82</v>
      </c>
      <c r="BO4980" s="2"/>
      <c r="BP4980" s="2">
        <v>241</v>
      </c>
      <c r="BQ4980" s="2" t="s">
        <v>82</v>
      </c>
      <c r="BR4980" s="2"/>
      <c r="BS4980" s="3">
        <v>40516</v>
      </c>
      <c r="BT4980" s="4">
        <v>0.90943287037037035</v>
      </c>
    </row>
    <row r="4981" spans="1:72" x14ac:dyDescent="0.25">
      <c r="A4981" s="2">
        <v>7710</v>
      </c>
      <c r="B4981" s="2">
        <v>2010</v>
      </c>
      <c r="C4981" s="2" t="s">
        <v>196</v>
      </c>
      <c r="D4981" s="2" t="s">
        <v>122</v>
      </c>
      <c r="E4981" s="2"/>
      <c r="F4981" s="2">
        <v>1</v>
      </c>
      <c r="G4981" s="2" t="s">
        <v>82</v>
      </c>
      <c r="H4981" s="2">
        <v>1</v>
      </c>
      <c r="I4981" s="2" t="s">
        <v>82</v>
      </c>
      <c r="J4981" s="2">
        <v>1</v>
      </c>
      <c r="K4981" s="2" t="s">
        <v>107</v>
      </c>
      <c r="L4981" s="2" t="s">
        <v>107</v>
      </c>
      <c r="M4981" s="3">
        <v>40516</v>
      </c>
      <c r="N4981" s="2"/>
      <c r="O4981" s="2"/>
      <c r="P4981" s="2"/>
      <c r="Q4981" s="2" t="str">
        <f>""</f>
        <v/>
      </c>
      <c r="R4981" s="2"/>
      <c r="S4981" s="2"/>
      <c r="T4981" s="2">
        <v>2</v>
      </c>
      <c r="U4981" s="2" t="s">
        <v>123</v>
      </c>
      <c r="V4981" s="2">
        <v>1</v>
      </c>
      <c r="W4981" s="2" t="s">
        <v>80</v>
      </c>
      <c r="X4981" s="2">
        <v>5</v>
      </c>
      <c r="Y4981" s="2" t="s">
        <v>82</v>
      </c>
      <c r="Z4981" s="2">
        <v>1</v>
      </c>
      <c r="AA4981" s="2" t="s">
        <v>82</v>
      </c>
      <c r="AB4981" s="2">
        <v>9</v>
      </c>
      <c r="AC4981" s="2" t="s">
        <v>124</v>
      </c>
      <c r="AD4981" s="2"/>
      <c r="AE4981" s="2"/>
      <c r="AF4981" s="2"/>
      <c r="AG4981" s="2"/>
      <c r="AH4981" s="2">
        <v>3</v>
      </c>
      <c r="AI4981" s="2" t="s">
        <v>214</v>
      </c>
      <c r="AJ4981" s="2">
        <v>24</v>
      </c>
      <c r="AK4981" s="2" t="s">
        <v>215</v>
      </c>
      <c r="AL4981" s="2">
        <v>19</v>
      </c>
      <c r="AM4981" s="2" t="s">
        <v>107</v>
      </c>
      <c r="AN4981" s="2"/>
      <c r="AO4981" s="2"/>
      <c r="AP4981" s="2">
        <v>11</v>
      </c>
      <c r="AQ4981" s="2" t="s">
        <v>82</v>
      </c>
      <c r="AR4981" s="2" t="s">
        <v>82</v>
      </c>
      <c r="AS4981" s="2" t="s">
        <v>82</v>
      </c>
      <c r="AT4981" s="2" t="s">
        <v>15269</v>
      </c>
      <c r="AU4981" s="2"/>
      <c r="AV4981" s="2"/>
      <c r="AW4981" s="2"/>
      <c r="AX4981" s="2"/>
      <c r="AY4981" s="2">
        <v>41</v>
      </c>
      <c r="AZ4981" s="2" t="s">
        <v>82</v>
      </c>
      <c r="BA4981" s="2">
        <v>41</v>
      </c>
      <c r="BB4981" s="2" t="s">
        <v>82</v>
      </c>
      <c r="BC4981" s="2">
        <v>41</v>
      </c>
      <c r="BD4981" s="2" t="s">
        <v>82</v>
      </c>
      <c r="BE4981" s="2">
        <v>41</v>
      </c>
      <c r="BF4981" s="2" t="s">
        <v>82</v>
      </c>
      <c r="BG4981" s="2" t="s">
        <v>15270</v>
      </c>
      <c r="BH4981" s="4">
        <v>0.80208333333333337</v>
      </c>
      <c r="BI4981" s="4">
        <v>0.77083333333333337</v>
      </c>
      <c r="BJ4981" s="2">
        <v>13</v>
      </c>
      <c r="BK4981" s="2" t="s">
        <v>91</v>
      </c>
      <c r="BL4981" s="2" t="s">
        <v>584</v>
      </c>
      <c r="BM4981" s="2">
        <v>13</v>
      </c>
      <c r="BN4981" s="2" t="s">
        <v>91</v>
      </c>
      <c r="BO4981" s="2"/>
      <c r="BP4981" s="2">
        <v>13</v>
      </c>
      <c r="BQ4981" s="2" t="s">
        <v>91</v>
      </c>
      <c r="BR4981" s="2" t="s">
        <v>169</v>
      </c>
      <c r="BS4981" s="3">
        <v>40516</v>
      </c>
      <c r="BT4981" s="4">
        <v>0.91121527777777767</v>
      </c>
    </row>
    <row r="4982" spans="1:72" x14ac:dyDescent="0.25">
      <c r="A4982" s="2">
        <v>7711</v>
      </c>
      <c r="B4982" s="2">
        <v>2010</v>
      </c>
      <c r="C4982" s="2" t="s">
        <v>121</v>
      </c>
      <c r="D4982" s="2" t="s">
        <v>122</v>
      </c>
      <c r="E4982" s="2"/>
      <c r="F4982" s="2">
        <v>1</v>
      </c>
      <c r="G4982" s="2" t="s">
        <v>82</v>
      </c>
      <c r="H4982" s="2">
        <v>1</v>
      </c>
      <c r="I4982" s="2" t="s">
        <v>82</v>
      </c>
      <c r="J4982" s="2">
        <v>1</v>
      </c>
      <c r="K4982" s="2" t="s">
        <v>107</v>
      </c>
      <c r="L4982" s="2" t="s">
        <v>107</v>
      </c>
      <c r="M4982" s="3">
        <v>40516</v>
      </c>
      <c r="N4982" s="2"/>
      <c r="O4982" s="2" t="s">
        <v>107</v>
      </c>
      <c r="P4982" s="2" t="s">
        <v>107</v>
      </c>
      <c r="Q4982" s="2" t="str">
        <f>""</f>
        <v/>
      </c>
      <c r="R4982" s="2"/>
      <c r="S4982" s="2"/>
      <c r="T4982" s="2">
        <v>2</v>
      </c>
      <c r="U4982" s="2" t="s">
        <v>123</v>
      </c>
      <c r="V4982" s="2">
        <v>1</v>
      </c>
      <c r="W4982" s="2" t="s">
        <v>80</v>
      </c>
      <c r="X4982" s="2">
        <v>11</v>
      </c>
      <c r="Y4982" s="2" t="s">
        <v>1920</v>
      </c>
      <c r="Z4982" s="2">
        <v>1</v>
      </c>
      <c r="AA4982" s="2" t="s">
        <v>82</v>
      </c>
      <c r="AB4982" s="2">
        <v>9</v>
      </c>
      <c r="AC4982" s="2" t="s">
        <v>124</v>
      </c>
      <c r="AD4982" s="3">
        <v>40516</v>
      </c>
      <c r="AE4982" s="4">
        <v>0.79166666666666663</v>
      </c>
      <c r="AF4982" s="2"/>
      <c r="AG4982" s="2"/>
      <c r="AH4982" s="2">
        <v>2</v>
      </c>
      <c r="AI4982" s="2" t="s">
        <v>84</v>
      </c>
      <c r="AJ4982" s="2">
        <v>8</v>
      </c>
      <c r="AK4982" s="2" t="s">
        <v>436</v>
      </c>
      <c r="AL4982" s="2">
        <v>10</v>
      </c>
      <c r="AM4982" s="2" t="s">
        <v>200</v>
      </c>
      <c r="AN4982" s="2"/>
      <c r="AO4982" s="2" t="s">
        <v>230</v>
      </c>
      <c r="AP4982" s="2">
        <v>11</v>
      </c>
      <c r="AQ4982" s="2" t="s">
        <v>82</v>
      </c>
      <c r="AR4982" s="2"/>
      <c r="AS4982" s="2"/>
      <c r="AT4982" s="2" t="s">
        <v>15271</v>
      </c>
      <c r="AU4982" s="2"/>
      <c r="AV4982" s="2"/>
      <c r="AW4982" s="2"/>
      <c r="AX4982" s="2"/>
      <c r="AY4982" s="2">
        <v>41</v>
      </c>
      <c r="AZ4982" s="2" t="s">
        <v>82</v>
      </c>
      <c r="BA4982" s="2">
        <v>41</v>
      </c>
      <c r="BB4982" s="2" t="s">
        <v>82</v>
      </c>
      <c r="BC4982" s="2">
        <v>41</v>
      </c>
      <c r="BD4982" s="2" t="s">
        <v>82</v>
      </c>
      <c r="BE4982" s="2">
        <v>41</v>
      </c>
      <c r="BF4982" s="2" t="s">
        <v>82</v>
      </c>
      <c r="BG4982" s="2"/>
      <c r="BH4982" s="2"/>
      <c r="BI4982" s="2"/>
      <c r="BJ4982" s="2">
        <v>241</v>
      </c>
      <c r="BK4982" s="2" t="s">
        <v>82</v>
      </c>
      <c r="BL4982" s="2"/>
      <c r="BM4982" s="2">
        <v>241</v>
      </c>
      <c r="BN4982" s="2" t="s">
        <v>82</v>
      </c>
      <c r="BO4982" s="2"/>
      <c r="BP4982" s="2">
        <v>241</v>
      </c>
      <c r="BQ4982" s="2" t="s">
        <v>82</v>
      </c>
      <c r="BR4982" s="2"/>
      <c r="BS4982" s="3">
        <v>40516</v>
      </c>
      <c r="BT4982" s="4">
        <v>0.91688657407407403</v>
      </c>
    </row>
    <row r="4983" spans="1:72" x14ac:dyDescent="0.25">
      <c r="A4983" s="2">
        <v>7712</v>
      </c>
      <c r="B4983" s="2">
        <v>2010</v>
      </c>
      <c r="C4983" s="2" t="s">
        <v>121</v>
      </c>
      <c r="D4983" s="2" t="s">
        <v>122</v>
      </c>
      <c r="E4983" s="2"/>
      <c r="F4983" s="2">
        <v>1</v>
      </c>
      <c r="G4983" s="2" t="s">
        <v>82</v>
      </c>
      <c r="H4983" s="2">
        <v>1</v>
      </c>
      <c r="I4983" s="2" t="s">
        <v>82</v>
      </c>
      <c r="J4983" s="2">
        <v>1</v>
      </c>
      <c r="K4983" s="2" t="s">
        <v>107</v>
      </c>
      <c r="L4983" s="2" t="s">
        <v>107</v>
      </c>
      <c r="M4983" s="3">
        <v>40516</v>
      </c>
      <c r="N4983" s="2"/>
      <c r="O4983" s="2"/>
      <c r="P4983" s="2"/>
      <c r="Q4983" s="2" t="str">
        <f>""</f>
        <v/>
      </c>
      <c r="R4983" s="2"/>
      <c r="S4983" s="2"/>
      <c r="T4983" s="2">
        <v>2</v>
      </c>
      <c r="U4983" s="2" t="s">
        <v>123</v>
      </c>
      <c r="V4983" s="2">
        <v>1</v>
      </c>
      <c r="W4983" s="2" t="s">
        <v>80</v>
      </c>
      <c r="X4983" s="2">
        <v>11</v>
      </c>
      <c r="Y4983" s="2" t="s">
        <v>1920</v>
      </c>
      <c r="Z4983" s="2">
        <v>1</v>
      </c>
      <c r="AA4983" s="2" t="s">
        <v>82</v>
      </c>
      <c r="AB4983" s="2">
        <v>9</v>
      </c>
      <c r="AC4983" s="2" t="s">
        <v>124</v>
      </c>
      <c r="AD4983" s="2"/>
      <c r="AE4983" s="4">
        <v>0.96527777777777779</v>
      </c>
      <c r="AF4983" s="2"/>
      <c r="AG4983" s="2"/>
      <c r="AH4983" s="2">
        <v>2</v>
      </c>
      <c r="AI4983" s="2" t="s">
        <v>84</v>
      </c>
      <c r="AJ4983" s="2">
        <v>8</v>
      </c>
      <c r="AK4983" s="2" t="s">
        <v>436</v>
      </c>
      <c r="AL4983" s="2">
        <v>10</v>
      </c>
      <c r="AM4983" s="2" t="s">
        <v>200</v>
      </c>
      <c r="AN4983" s="2"/>
      <c r="AO4983" s="2" t="s">
        <v>230</v>
      </c>
      <c r="AP4983" s="2">
        <v>11</v>
      </c>
      <c r="AQ4983" s="2" t="s">
        <v>82</v>
      </c>
      <c r="AR4983" s="2"/>
      <c r="AS4983" s="2"/>
      <c r="AT4983" s="2" t="s">
        <v>15272</v>
      </c>
      <c r="AU4983" s="2"/>
      <c r="AV4983" s="2"/>
      <c r="AW4983" s="2"/>
      <c r="AX4983" s="2"/>
      <c r="AY4983" s="2">
        <v>41</v>
      </c>
      <c r="AZ4983" s="2" t="s">
        <v>82</v>
      </c>
      <c r="BA4983" s="2">
        <v>41</v>
      </c>
      <c r="BB4983" s="2" t="s">
        <v>82</v>
      </c>
      <c r="BC4983" s="2">
        <v>41</v>
      </c>
      <c r="BD4983" s="2" t="s">
        <v>82</v>
      </c>
      <c r="BE4983" s="2">
        <v>41</v>
      </c>
      <c r="BF4983" s="2" t="s">
        <v>82</v>
      </c>
      <c r="BG4983" s="2"/>
      <c r="BH4983" s="2"/>
      <c r="BI4983" s="2"/>
      <c r="BJ4983" s="2">
        <v>241</v>
      </c>
      <c r="BK4983" s="2" t="s">
        <v>82</v>
      </c>
      <c r="BL4983" s="2"/>
      <c r="BM4983" s="2">
        <v>241</v>
      </c>
      <c r="BN4983" s="2" t="s">
        <v>82</v>
      </c>
      <c r="BO4983" s="2"/>
      <c r="BP4983" s="2">
        <v>241</v>
      </c>
      <c r="BQ4983" s="2" t="s">
        <v>82</v>
      </c>
      <c r="BR4983" s="2"/>
      <c r="BS4983" s="3">
        <v>40516</v>
      </c>
      <c r="BT4983" s="4">
        <v>0.97756944444444438</v>
      </c>
    </row>
    <row r="4984" spans="1:72" x14ac:dyDescent="0.25">
      <c r="A4984" s="2">
        <v>7713</v>
      </c>
      <c r="B4984" s="2">
        <v>2010</v>
      </c>
      <c r="C4984" s="2" t="s">
        <v>72</v>
      </c>
      <c r="D4984" s="2" t="s">
        <v>73</v>
      </c>
      <c r="E4984" s="2"/>
      <c r="F4984" s="2">
        <v>174</v>
      </c>
      <c r="G4984" s="2" t="s">
        <v>9090</v>
      </c>
      <c r="H4984" s="2">
        <v>152</v>
      </c>
      <c r="I4984" s="2" t="s">
        <v>15273</v>
      </c>
      <c r="J4984" s="2">
        <v>182</v>
      </c>
      <c r="K4984" s="2" t="s">
        <v>8850</v>
      </c>
      <c r="L4984" s="2" t="s">
        <v>8851</v>
      </c>
      <c r="M4984" s="3">
        <v>40517</v>
      </c>
      <c r="N4984" s="2" t="s">
        <v>15274</v>
      </c>
      <c r="O4984" s="2" t="s">
        <v>82</v>
      </c>
      <c r="P4984" s="2" t="s">
        <v>82</v>
      </c>
      <c r="Q4984" s="2" t="str">
        <f>"439-A/10"</f>
        <v>439-A/10</v>
      </c>
      <c r="R4984" s="2" t="s">
        <v>671</v>
      </c>
      <c r="S4984" s="2" t="s">
        <v>671</v>
      </c>
      <c r="T4984" s="2">
        <v>1</v>
      </c>
      <c r="U4984" s="2" t="s">
        <v>79</v>
      </c>
      <c r="V4984" s="2">
        <v>1</v>
      </c>
      <c r="W4984" s="2" t="s">
        <v>80</v>
      </c>
      <c r="X4984" s="2">
        <v>12</v>
      </c>
      <c r="Y4984" s="2" t="s">
        <v>148</v>
      </c>
      <c r="Z4984" s="2">
        <v>1</v>
      </c>
      <c r="AA4984" s="2" t="s">
        <v>82</v>
      </c>
      <c r="AB4984" s="2">
        <v>6</v>
      </c>
      <c r="AC4984" s="2" t="s">
        <v>83</v>
      </c>
      <c r="AD4984" s="3">
        <v>40516</v>
      </c>
      <c r="AE4984" s="2"/>
      <c r="AF4984" s="3">
        <v>40516</v>
      </c>
      <c r="AG4984" s="4">
        <v>0.98611111111111116</v>
      </c>
      <c r="AH4984" s="2">
        <v>2</v>
      </c>
      <c r="AI4984" s="2" t="s">
        <v>84</v>
      </c>
      <c r="AJ4984" s="2">
        <v>12</v>
      </c>
      <c r="AK4984" s="2" t="s">
        <v>85</v>
      </c>
      <c r="AL4984" s="2">
        <v>29</v>
      </c>
      <c r="AM4984" s="2" t="s">
        <v>5416</v>
      </c>
      <c r="AN4984" s="2" t="s">
        <v>107</v>
      </c>
      <c r="AO4984" s="2" t="s">
        <v>15275</v>
      </c>
      <c r="AP4984" s="2">
        <v>11</v>
      </c>
      <c r="AQ4984" s="2" t="s">
        <v>82</v>
      </c>
      <c r="AR4984" s="2"/>
      <c r="AS4984" s="2"/>
      <c r="AT4984" s="2" t="s">
        <v>15276</v>
      </c>
      <c r="AU4984" s="2">
        <v>3</v>
      </c>
      <c r="AV4984" s="2"/>
      <c r="AW4984" s="2"/>
      <c r="AX4984" s="2"/>
      <c r="AY4984" s="2">
        <v>41</v>
      </c>
      <c r="AZ4984" s="2" t="s">
        <v>82</v>
      </c>
      <c r="BA4984" s="2">
        <v>41</v>
      </c>
      <c r="BB4984" s="2" t="s">
        <v>82</v>
      </c>
      <c r="BC4984" s="2">
        <v>41</v>
      </c>
      <c r="BD4984" s="2" t="s">
        <v>82</v>
      </c>
      <c r="BE4984" s="2">
        <v>41</v>
      </c>
      <c r="BF4984" s="2" t="s">
        <v>82</v>
      </c>
      <c r="BG4984" s="2"/>
      <c r="BH4984" s="2"/>
      <c r="BI4984" s="2"/>
      <c r="BJ4984" s="2">
        <v>241</v>
      </c>
      <c r="BK4984" s="2" t="s">
        <v>82</v>
      </c>
      <c r="BL4984" s="2"/>
      <c r="BM4984" s="2">
        <v>241</v>
      </c>
      <c r="BN4984" s="2" t="s">
        <v>82</v>
      </c>
      <c r="BO4984" s="2"/>
      <c r="BP4984" s="2">
        <v>241</v>
      </c>
      <c r="BQ4984" s="2" t="s">
        <v>82</v>
      </c>
      <c r="BR4984" s="2"/>
      <c r="BS4984" s="3">
        <v>40517</v>
      </c>
      <c r="BT4984" s="4">
        <v>0.34385416666666663</v>
      </c>
    </row>
    <row r="4985" spans="1:72" x14ac:dyDescent="0.25">
      <c r="A4985" s="2">
        <v>7714</v>
      </c>
      <c r="B4985" s="2">
        <v>2010</v>
      </c>
      <c r="C4985" s="2" t="s">
        <v>171</v>
      </c>
      <c r="D4985" s="2" t="s">
        <v>73</v>
      </c>
      <c r="E4985" s="2"/>
      <c r="F4985" s="2">
        <v>400</v>
      </c>
      <c r="G4985" s="2" t="s">
        <v>3601</v>
      </c>
      <c r="H4985" s="2">
        <v>17</v>
      </c>
      <c r="I4985" s="2" t="s">
        <v>3602</v>
      </c>
      <c r="J4985" s="2">
        <v>692</v>
      </c>
      <c r="K4985" s="2" t="s">
        <v>574</v>
      </c>
      <c r="L4985" s="2" t="s">
        <v>575</v>
      </c>
      <c r="M4985" s="3">
        <v>40517</v>
      </c>
      <c r="N4985" s="2" t="s">
        <v>15277</v>
      </c>
      <c r="O4985" s="2"/>
      <c r="P4985" s="2"/>
      <c r="Q4985" s="2" t="str">
        <f>"654-E/10"</f>
        <v>654-E/10</v>
      </c>
      <c r="R4985" s="2" t="s">
        <v>3768</v>
      </c>
      <c r="S4985" s="2" t="s">
        <v>3768</v>
      </c>
      <c r="T4985" s="2">
        <v>1</v>
      </c>
      <c r="U4985" s="2" t="s">
        <v>79</v>
      </c>
      <c r="V4985" s="2">
        <v>1</v>
      </c>
      <c r="W4985" s="2" t="s">
        <v>80</v>
      </c>
      <c r="X4985" s="2">
        <v>1</v>
      </c>
      <c r="Y4985" s="2" t="s">
        <v>81</v>
      </c>
      <c r="Z4985" s="2">
        <v>1</v>
      </c>
      <c r="AA4985" s="2" t="s">
        <v>82</v>
      </c>
      <c r="AB4985" s="2">
        <v>1</v>
      </c>
      <c r="AC4985" s="2" t="s">
        <v>178</v>
      </c>
      <c r="AD4985" s="3">
        <v>40516</v>
      </c>
      <c r="AE4985" s="4">
        <v>0.82638888888888884</v>
      </c>
      <c r="AF4985" s="3">
        <v>40516</v>
      </c>
      <c r="AG4985" s="4">
        <v>0.95833333333333337</v>
      </c>
      <c r="AH4985" s="2">
        <v>2</v>
      </c>
      <c r="AI4985" s="2" t="s">
        <v>84</v>
      </c>
      <c r="AJ4985" s="2">
        <v>9</v>
      </c>
      <c r="AK4985" s="2" t="s">
        <v>103</v>
      </c>
      <c r="AL4985" s="2">
        <v>14</v>
      </c>
      <c r="AM4985" s="2" t="s">
        <v>216</v>
      </c>
      <c r="AN4985" s="2"/>
      <c r="AO4985" s="2" t="s">
        <v>4026</v>
      </c>
      <c r="AP4985" s="2">
        <v>11</v>
      </c>
      <c r="AQ4985" s="2" t="s">
        <v>82</v>
      </c>
      <c r="AR4985" s="2"/>
      <c r="AS4985" s="2"/>
      <c r="AT4985" s="2" t="s">
        <v>15278</v>
      </c>
      <c r="AU4985" s="2"/>
      <c r="AV4985" s="2">
        <v>1</v>
      </c>
      <c r="AW4985" s="2"/>
      <c r="AX4985" s="2"/>
      <c r="AY4985" s="2">
        <v>41</v>
      </c>
      <c r="AZ4985" s="2" t="s">
        <v>82</v>
      </c>
      <c r="BA4985" s="2">
        <v>41</v>
      </c>
      <c r="BB4985" s="2" t="s">
        <v>82</v>
      </c>
      <c r="BC4985" s="2">
        <v>41</v>
      </c>
      <c r="BD4985" s="2" t="s">
        <v>82</v>
      </c>
      <c r="BE4985" s="2">
        <v>4</v>
      </c>
      <c r="BF4985" s="2" t="s">
        <v>90</v>
      </c>
      <c r="BG4985" s="2" t="s">
        <v>15279</v>
      </c>
      <c r="BH4985" s="2"/>
      <c r="BI4985" s="2"/>
      <c r="BJ4985" s="2">
        <v>173</v>
      </c>
      <c r="BK4985" s="2" t="s">
        <v>223</v>
      </c>
      <c r="BL4985" s="2" t="s">
        <v>224</v>
      </c>
      <c r="BM4985" s="2">
        <v>13</v>
      </c>
      <c r="BN4985" s="2" t="s">
        <v>91</v>
      </c>
      <c r="BO4985" s="2"/>
      <c r="BP4985" s="2">
        <v>13</v>
      </c>
      <c r="BQ4985" s="2" t="s">
        <v>91</v>
      </c>
      <c r="BR4985" s="2" t="s">
        <v>360</v>
      </c>
      <c r="BS4985" s="3">
        <v>40517</v>
      </c>
      <c r="BT4985" s="4">
        <v>0.34752314814814816</v>
      </c>
    </row>
    <row r="4986" spans="1:72" x14ac:dyDescent="0.25">
      <c r="A4986" s="2">
        <v>7715</v>
      </c>
      <c r="B4986" s="2">
        <v>2010</v>
      </c>
      <c r="C4986" s="2" t="s">
        <v>121</v>
      </c>
      <c r="D4986" s="2" t="s">
        <v>122</v>
      </c>
      <c r="E4986" s="2"/>
      <c r="F4986" s="2">
        <v>1</v>
      </c>
      <c r="G4986" s="2" t="s">
        <v>82</v>
      </c>
      <c r="H4986" s="2">
        <v>1</v>
      </c>
      <c r="I4986" s="2" t="s">
        <v>82</v>
      </c>
      <c r="J4986" s="2">
        <v>1</v>
      </c>
      <c r="K4986" s="2" t="s">
        <v>107</v>
      </c>
      <c r="L4986" s="2" t="s">
        <v>107</v>
      </c>
      <c r="M4986" s="3">
        <v>40517</v>
      </c>
      <c r="N4986" s="2"/>
      <c r="O4986" s="2"/>
      <c r="P4986" s="2"/>
      <c r="Q4986" s="2" t="str">
        <f>""</f>
        <v/>
      </c>
      <c r="R4986" s="2"/>
      <c r="S4986" s="2"/>
      <c r="T4986" s="2">
        <v>2</v>
      </c>
      <c r="U4986" s="2" t="s">
        <v>123</v>
      </c>
      <c r="V4986" s="2">
        <v>1</v>
      </c>
      <c r="W4986" s="2" t="s">
        <v>80</v>
      </c>
      <c r="X4986" s="2">
        <v>11</v>
      </c>
      <c r="Y4986" s="2" t="s">
        <v>1920</v>
      </c>
      <c r="Z4986" s="2">
        <v>1</v>
      </c>
      <c r="AA4986" s="2" t="s">
        <v>82</v>
      </c>
      <c r="AB4986" s="2">
        <v>9</v>
      </c>
      <c r="AC4986" s="2" t="s">
        <v>124</v>
      </c>
      <c r="AD4986" s="3">
        <v>40517</v>
      </c>
      <c r="AE4986" s="4">
        <v>0.34375</v>
      </c>
      <c r="AF4986" s="2"/>
      <c r="AG4986" s="2"/>
      <c r="AH4986" s="2">
        <v>2</v>
      </c>
      <c r="AI4986" s="2" t="s">
        <v>84</v>
      </c>
      <c r="AJ4986" s="2">
        <v>8</v>
      </c>
      <c r="AK4986" s="2" t="s">
        <v>436</v>
      </c>
      <c r="AL4986" s="2">
        <v>10</v>
      </c>
      <c r="AM4986" s="2" t="s">
        <v>200</v>
      </c>
      <c r="AN4986" s="2"/>
      <c r="AO4986" s="2" t="s">
        <v>230</v>
      </c>
      <c r="AP4986" s="2">
        <v>11</v>
      </c>
      <c r="AQ4986" s="2" t="s">
        <v>82</v>
      </c>
      <c r="AR4986" s="2"/>
      <c r="AS4986" s="2"/>
      <c r="AT4986" s="2" t="s">
        <v>15280</v>
      </c>
      <c r="AU4986" s="2"/>
      <c r="AV4986" s="2"/>
      <c r="AW4986" s="2"/>
      <c r="AX4986" s="2"/>
      <c r="AY4986" s="2">
        <v>41</v>
      </c>
      <c r="AZ4986" s="2" t="s">
        <v>82</v>
      </c>
      <c r="BA4986" s="2">
        <v>41</v>
      </c>
      <c r="BB4986" s="2" t="s">
        <v>82</v>
      </c>
      <c r="BC4986" s="2">
        <v>41</v>
      </c>
      <c r="BD4986" s="2" t="s">
        <v>82</v>
      </c>
      <c r="BE4986" s="2">
        <v>41</v>
      </c>
      <c r="BF4986" s="2" t="s">
        <v>82</v>
      </c>
      <c r="BG4986" s="2"/>
      <c r="BH4986" s="2"/>
      <c r="BI4986" s="2"/>
      <c r="BJ4986" s="2">
        <v>241</v>
      </c>
      <c r="BK4986" s="2" t="s">
        <v>82</v>
      </c>
      <c r="BL4986" s="2"/>
      <c r="BM4986" s="2">
        <v>241</v>
      </c>
      <c r="BN4986" s="2" t="s">
        <v>82</v>
      </c>
      <c r="BO4986" s="2"/>
      <c r="BP4986" s="2">
        <v>241</v>
      </c>
      <c r="BQ4986" s="2" t="s">
        <v>82</v>
      </c>
      <c r="BR4986" s="2"/>
      <c r="BS4986" s="3">
        <v>40517</v>
      </c>
      <c r="BT4986" s="4">
        <v>0.38880787037037035</v>
      </c>
    </row>
    <row r="4987" spans="1:72" x14ac:dyDescent="0.25">
      <c r="A4987" s="2">
        <v>7716</v>
      </c>
      <c r="B4987" s="2">
        <v>2010</v>
      </c>
      <c r="C4987" s="2" t="s">
        <v>121</v>
      </c>
      <c r="D4987" s="2" t="s">
        <v>122</v>
      </c>
      <c r="E4987" s="2"/>
      <c r="F4987" s="2">
        <v>1</v>
      </c>
      <c r="G4987" s="2" t="s">
        <v>82</v>
      </c>
      <c r="H4987" s="2">
        <v>1</v>
      </c>
      <c r="I4987" s="2" t="s">
        <v>82</v>
      </c>
      <c r="J4987" s="2">
        <v>1</v>
      </c>
      <c r="K4987" s="2" t="s">
        <v>107</v>
      </c>
      <c r="L4987" s="2" t="s">
        <v>107</v>
      </c>
      <c r="M4987" s="3">
        <v>40517</v>
      </c>
      <c r="N4987" s="2"/>
      <c r="O4987" s="2"/>
      <c r="P4987" s="2"/>
      <c r="Q4987" s="2" t="str">
        <f>""</f>
        <v/>
      </c>
      <c r="R4987" s="2"/>
      <c r="S4987" s="2"/>
      <c r="T4987" s="2">
        <v>2</v>
      </c>
      <c r="U4987" s="2" t="s">
        <v>123</v>
      </c>
      <c r="V4987" s="2">
        <v>1</v>
      </c>
      <c r="W4987" s="2" t="s">
        <v>80</v>
      </c>
      <c r="X4987" s="2">
        <v>11</v>
      </c>
      <c r="Y4987" s="2" t="s">
        <v>1920</v>
      </c>
      <c r="Z4987" s="2">
        <v>1</v>
      </c>
      <c r="AA4987" s="2" t="s">
        <v>82</v>
      </c>
      <c r="AB4987" s="2">
        <v>9</v>
      </c>
      <c r="AC4987" s="2" t="s">
        <v>124</v>
      </c>
      <c r="AD4987" s="3">
        <v>40517</v>
      </c>
      <c r="AE4987" s="4">
        <v>0.37916666666666665</v>
      </c>
      <c r="AF4987" s="2"/>
      <c r="AG4987" s="2"/>
      <c r="AH4987" s="2">
        <v>2</v>
      </c>
      <c r="AI4987" s="2" t="s">
        <v>84</v>
      </c>
      <c r="AJ4987" s="2">
        <v>8</v>
      </c>
      <c r="AK4987" s="2" t="s">
        <v>436</v>
      </c>
      <c r="AL4987" s="2">
        <v>10</v>
      </c>
      <c r="AM4987" s="2" t="s">
        <v>200</v>
      </c>
      <c r="AN4987" s="2"/>
      <c r="AO4987" s="2" t="s">
        <v>230</v>
      </c>
      <c r="AP4987" s="2">
        <v>11</v>
      </c>
      <c r="AQ4987" s="2" t="s">
        <v>82</v>
      </c>
      <c r="AR4987" s="2"/>
      <c r="AS4987" s="2"/>
      <c r="AT4987" s="2" t="s">
        <v>15281</v>
      </c>
      <c r="AU4987" s="2"/>
      <c r="AV4987" s="2"/>
      <c r="AW4987" s="2"/>
      <c r="AX4987" s="2"/>
      <c r="AY4987" s="2">
        <v>41</v>
      </c>
      <c r="AZ4987" s="2" t="s">
        <v>82</v>
      </c>
      <c r="BA4987" s="2">
        <v>41</v>
      </c>
      <c r="BB4987" s="2" t="s">
        <v>82</v>
      </c>
      <c r="BC4987" s="2">
        <v>41</v>
      </c>
      <c r="BD4987" s="2" t="s">
        <v>82</v>
      </c>
      <c r="BE4987" s="2">
        <v>41</v>
      </c>
      <c r="BF4987" s="2" t="s">
        <v>82</v>
      </c>
      <c r="BG4987" s="2"/>
      <c r="BH4987" s="2"/>
      <c r="BI4987" s="2"/>
      <c r="BJ4987" s="2">
        <v>241</v>
      </c>
      <c r="BK4987" s="2" t="s">
        <v>82</v>
      </c>
      <c r="BL4987" s="2"/>
      <c r="BM4987" s="2">
        <v>241</v>
      </c>
      <c r="BN4987" s="2" t="s">
        <v>82</v>
      </c>
      <c r="BO4987" s="2"/>
      <c r="BP4987" s="2">
        <v>241</v>
      </c>
      <c r="BQ4987" s="2" t="s">
        <v>82</v>
      </c>
      <c r="BR4987" s="2"/>
      <c r="BS4987" s="3">
        <v>40517</v>
      </c>
      <c r="BT4987" s="4">
        <v>0.39541666666666669</v>
      </c>
    </row>
    <row r="4988" spans="1:72" x14ac:dyDescent="0.25">
      <c r="A4988" s="2">
        <v>7718</v>
      </c>
      <c r="B4988" s="2">
        <v>2010</v>
      </c>
      <c r="C4988" s="2" t="s">
        <v>72</v>
      </c>
      <c r="D4988" s="2" t="s">
        <v>73</v>
      </c>
      <c r="E4988" s="2"/>
      <c r="F4988" s="2">
        <v>703</v>
      </c>
      <c r="G4988" s="2" t="s">
        <v>13709</v>
      </c>
      <c r="H4988" s="2">
        <v>1</v>
      </c>
      <c r="I4988" s="2" t="s">
        <v>82</v>
      </c>
      <c r="J4988" s="2">
        <v>313</v>
      </c>
      <c r="K4988" s="2" t="s">
        <v>441</v>
      </c>
      <c r="L4988" s="2" t="s">
        <v>442</v>
      </c>
      <c r="M4988" s="3">
        <v>40517</v>
      </c>
      <c r="N4988" s="2"/>
      <c r="O4988" s="2"/>
      <c r="P4988" s="2"/>
      <c r="Q4988" s="2" t="str">
        <f>"49/10"</f>
        <v>49/10</v>
      </c>
      <c r="R4988" s="2"/>
      <c r="S4988" s="2" t="s">
        <v>116</v>
      </c>
      <c r="T4988" s="2">
        <v>1</v>
      </c>
      <c r="U4988" s="2" t="s">
        <v>79</v>
      </c>
      <c r="V4988" s="2">
        <v>1</v>
      </c>
      <c r="W4988" s="2" t="s">
        <v>80</v>
      </c>
      <c r="X4988" s="2">
        <v>12</v>
      </c>
      <c r="Y4988" s="2" t="s">
        <v>148</v>
      </c>
      <c r="Z4988" s="2">
        <v>1</v>
      </c>
      <c r="AA4988" s="2" t="s">
        <v>82</v>
      </c>
      <c r="AB4988" s="2">
        <v>6</v>
      </c>
      <c r="AC4988" s="2" t="s">
        <v>83</v>
      </c>
      <c r="AD4988" s="3">
        <v>40517</v>
      </c>
      <c r="AE4988" s="2"/>
      <c r="AF4988" s="3">
        <v>40517</v>
      </c>
      <c r="AG4988" s="4">
        <v>0.54861111111111105</v>
      </c>
      <c r="AH4988" s="2">
        <v>3</v>
      </c>
      <c r="AI4988" s="2" t="s">
        <v>214</v>
      </c>
      <c r="AJ4988" s="2">
        <v>17</v>
      </c>
      <c r="AK4988" s="2" t="s">
        <v>309</v>
      </c>
      <c r="AL4988" s="2">
        <v>22</v>
      </c>
      <c r="AM4988" s="2" t="s">
        <v>1853</v>
      </c>
      <c r="AN4988" s="2"/>
      <c r="AO4988" s="2"/>
      <c r="AP4988" s="2">
        <v>11</v>
      </c>
      <c r="AQ4988" s="2" t="s">
        <v>82</v>
      </c>
      <c r="AR4988" s="2"/>
      <c r="AS4988" s="2"/>
      <c r="AT4988" s="2" t="s">
        <v>15282</v>
      </c>
      <c r="AU4988" s="2"/>
      <c r="AV4988" s="2"/>
      <c r="AW4988" s="2"/>
      <c r="AX4988" s="2"/>
      <c r="AY4988" s="2">
        <v>41</v>
      </c>
      <c r="AZ4988" s="2" t="s">
        <v>82</v>
      </c>
      <c r="BA4988" s="2">
        <v>41</v>
      </c>
      <c r="BB4988" s="2" t="s">
        <v>82</v>
      </c>
      <c r="BC4988" s="2">
        <v>1</v>
      </c>
      <c r="BD4988" s="2" t="s">
        <v>107</v>
      </c>
      <c r="BE4988" s="2">
        <v>13</v>
      </c>
      <c r="BF4988" s="2" t="s">
        <v>108</v>
      </c>
      <c r="BG4988" s="2">
        <v>1141</v>
      </c>
      <c r="BH4988" s="4">
        <v>0.1875</v>
      </c>
      <c r="BI4988" s="4">
        <v>0.77083333333333337</v>
      </c>
      <c r="BJ4988" s="2">
        <v>112</v>
      </c>
      <c r="BK4988" s="2" t="s">
        <v>110</v>
      </c>
      <c r="BL4988" s="2" t="s">
        <v>111</v>
      </c>
      <c r="BM4988" s="2">
        <v>112</v>
      </c>
      <c r="BN4988" s="2" t="s">
        <v>110</v>
      </c>
      <c r="BO4988" s="2"/>
      <c r="BP4988" s="2">
        <v>13</v>
      </c>
      <c r="BQ4988" s="2" t="s">
        <v>91</v>
      </c>
      <c r="BR4988" s="2" t="s">
        <v>15283</v>
      </c>
      <c r="BS4988" s="3">
        <v>40517</v>
      </c>
      <c r="BT4988" s="4">
        <v>0.7221643518518519</v>
      </c>
    </row>
    <row r="4989" spans="1:72" x14ac:dyDescent="0.25">
      <c r="A4989" s="2">
        <v>7720</v>
      </c>
      <c r="B4989" s="2">
        <v>2010</v>
      </c>
      <c r="C4989" s="2" t="s">
        <v>72</v>
      </c>
      <c r="D4989" s="2" t="s">
        <v>73</v>
      </c>
      <c r="E4989" s="2"/>
      <c r="F4989" s="2">
        <v>2</v>
      </c>
      <c r="G4989" s="2" t="s">
        <v>113</v>
      </c>
      <c r="H4989" s="2">
        <v>1</v>
      </c>
      <c r="I4989" s="2" t="s">
        <v>82</v>
      </c>
      <c r="J4989" s="2">
        <v>300</v>
      </c>
      <c r="K4989" s="2" t="s">
        <v>114</v>
      </c>
      <c r="L4989" s="2" t="s">
        <v>115</v>
      </c>
      <c r="M4989" s="3">
        <v>40517</v>
      </c>
      <c r="N4989" s="2"/>
      <c r="O4989" s="2"/>
      <c r="P4989" s="2"/>
      <c r="Q4989" s="2" t="str">
        <f>"656-E/10"</f>
        <v>656-E/10</v>
      </c>
      <c r="R4989" s="2" t="s">
        <v>601</v>
      </c>
      <c r="S4989" s="2" t="s">
        <v>601</v>
      </c>
      <c r="T4989" s="2">
        <v>1</v>
      </c>
      <c r="U4989" s="2" t="s">
        <v>79</v>
      </c>
      <c r="V4989" s="2">
        <v>1</v>
      </c>
      <c r="W4989" s="2" t="s">
        <v>80</v>
      </c>
      <c r="X4989" s="2">
        <v>12</v>
      </c>
      <c r="Y4989" s="2" t="s">
        <v>148</v>
      </c>
      <c r="Z4989" s="2">
        <v>1</v>
      </c>
      <c r="AA4989" s="2" t="s">
        <v>82</v>
      </c>
      <c r="AB4989" s="2">
        <v>6</v>
      </c>
      <c r="AC4989" s="2" t="s">
        <v>83</v>
      </c>
      <c r="AD4989" s="3">
        <v>40509</v>
      </c>
      <c r="AE4989" s="2"/>
      <c r="AF4989" s="3">
        <v>40517</v>
      </c>
      <c r="AG4989" s="4">
        <v>0.4513888888888889</v>
      </c>
      <c r="AH4989" s="2">
        <v>2</v>
      </c>
      <c r="AI4989" s="2" t="s">
        <v>84</v>
      </c>
      <c r="AJ4989" s="2">
        <v>9</v>
      </c>
      <c r="AK4989" s="2" t="s">
        <v>103</v>
      </c>
      <c r="AL4989" s="2">
        <v>22</v>
      </c>
      <c r="AM4989" s="2" t="s">
        <v>1853</v>
      </c>
      <c r="AN4989" s="2" t="s">
        <v>1346</v>
      </c>
      <c r="AO4989" s="2" t="s">
        <v>15160</v>
      </c>
      <c r="AP4989" s="2">
        <v>11</v>
      </c>
      <c r="AQ4989" s="2" t="s">
        <v>82</v>
      </c>
      <c r="AR4989" s="2"/>
      <c r="AS4989" s="2"/>
      <c r="AT4989" s="2" t="s">
        <v>15284</v>
      </c>
      <c r="AU4989" s="2"/>
      <c r="AV4989" s="2"/>
      <c r="AW4989" s="2"/>
      <c r="AX4989" s="2"/>
      <c r="AY4989" s="2">
        <v>41</v>
      </c>
      <c r="AZ4989" s="2" t="s">
        <v>82</v>
      </c>
      <c r="BA4989" s="2">
        <v>41</v>
      </c>
      <c r="BB4989" s="2" t="s">
        <v>82</v>
      </c>
      <c r="BC4989" s="2">
        <v>41</v>
      </c>
      <c r="BD4989" s="2" t="s">
        <v>82</v>
      </c>
      <c r="BE4989" s="2">
        <v>23</v>
      </c>
      <c r="BF4989" s="2" t="s">
        <v>183</v>
      </c>
      <c r="BG4989" s="2" t="s">
        <v>1375</v>
      </c>
      <c r="BH4989" s="4">
        <v>0.5</v>
      </c>
      <c r="BI4989" s="4">
        <v>0.95833333333333337</v>
      </c>
      <c r="BJ4989" s="2">
        <v>73</v>
      </c>
      <c r="BK4989" s="2" t="s">
        <v>186</v>
      </c>
      <c r="BL4989" s="2" t="s">
        <v>187</v>
      </c>
      <c r="BM4989" s="2">
        <v>13</v>
      </c>
      <c r="BN4989" s="2" t="s">
        <v>91</v>
      </c>
      <c r="BO4989" s="2"/>
      <c r="BP4989" s="2">
        <v>13</v>
      </c>
      <c r="BQ4989" s="2" t="s">
        <v>91</v>
      </c>
      <c r="BR4989" s="2" t="s">
        <v>360</v>
      </c>
      <c r="BS4989" s="3">
        <v>40517</v>
      </c>
      <c r="BT4989" s="4">
        <v>0.8556597222222222</v>
      </c>
    </row>
    <row r="4990" spans="1:72" x14ac:dyDescent="0.25">
      <c r="A4990" s="2">
        <v>7721</v>
      </c>
      <c r="B4990" s="2">
        <v>2010</v>
      </c>
      <c r="C4990" s="2" t="s">
        <v>554</v>
      </c>
      <c r="D4990" s="2" t="s">
        <v>73</v>
      </c>
      <c r="E4990" s="2"/>
      <c r="F4990" s="2">
        <v>2</v>
      </c>
      <c r="G4990" s="2" t="s">
        <v>113</v>
      </c>
      <c r="H4990" s="2">
        <v>149</v>
      </c>
      <c r="I4990" s="2" t="s">
        <v>14672</v>
      </c>
      <c r="J4990" s="2">
        <v>300</v>
      </c>
      <c r="K4990" s="2" t="s">
        <v>114</v>
      </c>
      <c r="L4990" s="2" t="s">
        <v>115</v>
      </c>
      <c r="M4990" s="3">
        <v>40517</v>
      </c>
      <c r="N4990" s="2" t="s">
        <v>5814</v>
      </c>
      <c r="O4990" s="2" t="s">
        <v>10780</v>
      </c>
      <c r="P4990" s="2"/>
      <c r="Q4990" s="2" t="str">
        <f>"655-E/10"</f>
        <v>655-E/10</v>
      </c>
      <c r="R4990" s="2" t="s">
        <v>10780</v>
      </c>
      <c r="S4990" s="2"/>
      <c r="T4990" s="2">
        <v>1</v>
      </c>
      <c r="U4990" s="2" t="s">
        <v>79</v>
      </c>
      <c r="V4990" s="2">
        <v>1</v>
      </c>
      <c r="W4990" s="2" t="s">
        <v>80</v>
      </c>
      <c r="X4990" s="2">
        <v>12</v>
      </c>
      <c r="Y4990" s="2" t="s">
        <v>148</v>
      </c>
      <c r="Z4990" s="2">
        <v>1</v>
      </c>
      <c r="AA4990" s="2" t="s">
        <v>82</v>
      </c>
      <c r="AB4990" s="2">
        <v>5</v>
      </c>
      <c r="AC4990" s="2" t="s">
        <v>559</v>
      </c>
      <c r="AD4990" s="3">
        <v>40517</v>
      </c>
      <c r="AE4990" s="2"/>
      <c r="AF4990" s="3">
        <v>40517</v>
      </c>
      <c r="AG4990" s="4">
        <v>0.4513888888888889</v>
      </c>
      <c r="AH4990" s="2">
        <v>2</v>
      </c>
      <c r="AI4990" s="2" t="s">
        <v>84</v>
      </c>
      <c r="AJ4990" s="2">
        <v>9</v>
      </c>
      <c r="AK4990" s="2" t="s">
        <v>103</v>
      </c>
      <c r="AL4990" s="2">
        <v>29</v>
      </c>
      <c r="AM4990" s="2" t="s">
        <v>5416</v>
      </c>
      <c r="AN4990" s="2" t="s">
        <v>1936</v>
      </c>
      <c r="AO4990" s="2" t="s">
        <v>987</v>
      </c>
      <c r="AP4990" s="2">
        <v>11</v>
      </c>
      <c r="AQ4990" s="2" t="s">
        <v>82</v>
      </c>
      <c r="AR4990" s="2"/>
      <c r="AS4990" s="2"/>
      <c r="AT4990" s="2" t="s">
        <v>15285</v>
      </c>
      <c r="AU4990" s="2"/>
      <c r="AV4990" s="2"/>
      <c r="AW4990" s="2">
        <v>2</v>
      </c>
      <c r="AX4990" s="2"/>
      <c r="AY4990" s="2">
        <v>41</v>
      </c>
      <c r="AZ4990" s="2" t="s">
        <v>82</v>
      </c>
      <c r="BA4990" s="2">
        <v>41</v>
      </c>
      <c r="BB4990" s="2" t="s">
        <v>82</v>
      </c>
      <c r="BC4990" s="2">
        <v>41</v>
      </c>
      <c r="BD4990" s="2" t="s">
        <v>82</v>
      </c>
      <c r="BE4990" s="2">
        <v>41</v>
      </c>
      <c r="BF4990" s="2" t="s">
        <v>82</v>
      </c>
      <c r="BG4990" s="2"/>
      <c r="BH4990" s="2"/>
      <c r="BI4990" s="2"/>
      <c r="BJ4990" s="2">
        <v>241</v>
      </c>
      <c r="BK4990" s="2" t="s">
        <v>82</v>
      </c>
      <c r="BL4990" s="2"/>
      <c r="BM4990" s="2">
        <v>241</v>
      </c>
      <c r="BN4990" s="2" t="s">
        <v>82</v>
      </c>
      <c r="BO4990" s="2"/>
      <c r="BP4990" s="2">
        <v>241</v>
      </c>
      <c r="BQ4990" s="2" t="s">
        <v>82</v>
      </c>
      <c r="BR4990" s="2"/>
      <c r="BS4990" s="3">
        <v>40517</v>
      </c>
      <c r="BT4990" s="4">
        <v>0.87944444444444436</v>
      </c>
    </row>
    <row r="4991" spans="1:72" x14ac:dyDescent="0.25">
      <c r="A4991" s="2">
        <v>7722</v>
      </c>
      <c r="B4991" s="2">
        <v>2010</v>
      </c>
      <c r="C4991" s="2" t="s">
        <v>4543</v>
      </c>
      <c r="D4991" s="2" t="s">
        <v>122</v>
      </c>
      <c r="E4991" s="2"/>
      <c r="F4991" s="2">
        <v>1</v>
      </c>
      <c r="G4991" s="2" t="s">
        <v>82</v>
      </c>
      <c r="H4991" s="2">
        <v>1</v>
      </c>
      <c r="I4991" s="2" t="s">
        <v>82</v>
      </c>
      <c r="J4991" s="2">
        <v>1</v>
      </c>
      <c r="K4991" s="2" t="s">
        <v>107</v>
      </c>
      <c r="L4991" s="2" t="s">
        <v>107</v>
      </c>
      <c r="M4991" s="3">
        <v>40518</v>
      </c>
      <c r="N4991" s="2"/>
      <c r="O4991" s="2"/>
      <c r="P4991" s="2"/>
      <c r="Q4991" s="2" t="str">
        <f>""</f>
        <v/>
      </c>
      <c r="R4991" s="2"/>
      <c r="S4991" s="2"/>
      <c r="T4991" s="2">
        <v>2</v>
      </c>
      <c r="U4991" s="2" t="s">
        <v>123</v>
      </c>
      <c r="V4991" s="2">
        <v>1</v>
      </c>
      <c r="W4991" s="2" t="s">
        <v>80</v>
      </c>
      <c r="X4991" s="2">
        <v>11</v>
      </c>
      <c r="Y4991" s="2" t="s">
        <v>1920</v>
      </c>
      <c r="Z4991" s="2">
        <v>1</v>
      </c>
      <c r="AA4991" s="2" t="s">
        <v>82</v>
      </c>
      <c r="AB4991" s="2">
        <v>9</v>
      </c>
      <c r="AC4991" s="2" t="s">
        <v>124</v>
      </c>
      <c r="AD4991" s="3">
        <v>40518</v>
      </c>
      <c r="AE4991" s="4">
        <v>0.37361111111111112</v>
      </c>
      <c r="AF4991" s="2"/>
      <c r="AG4991" s="2"/>
      <c r="AH4991" s="2">
        <v>6</v>
      </c>
      <c r="AI4991" s="2" t="s">
        <v>197</v>
      </c>
      <c r="AJ4991" s="2">
        <v>54</v>
      </c>
      <c r="AK4991" s="2" t="s">
        <v>348</v>
      </c>
      <c r="AL4991" s="2">
        <v>10</v>
      </c>
      <c r="AM4991" s="2" t="s">
        <v>200</v>
      </c>
      <c r="AN4991" s="2"/>
      <c r="AO4991" s="2" t="s">
        <v>595</v>
      </c>
      <c r="AP4991" s="2">
        <v>12</v>
      </c>
      <c r="AQ4991" s="2" t="s">
        <v>322</v>
      </c>
      <c r="AR4991" s="2" t="s">
        <v>596</v>
      </c>
      <c r="AS4991" s="2" t="s">
        <v>596</v>
      </c>
      <c r="AT4991" s="2" t="s">
        <v>15286</v>
      </c>
      <c r="AU4991" s="2"/>
      <c r="AV4991" s="2"/>
      <c r="AW4991" s="2"/>
      <c r="AX4991" s="2"/>
      <c r="AY4991" s="2">
        <v>41</v>
      </c>
      <c r="AZ4991" s="2" t="s">
        <v>82</v>
      </c>
      <c r="BA4991" s="2">
        <v>41</v>
      </c>
      <c r="BB4991" s="2" t="s">
        <v>82</v>
      </c>
      <c r="BC4991" s="2">
        <v>41</v>
      </c>
      <c r="BD4991" s="2" t="s">
        <v>82</v>
      </c>
      <c r="BE4991" s="2">
        <v>47</v>
      </c>
      <c r="BF4991" s="2" t="s">
        <v>167</v>
      </c>
      <c r="BG4991" s="2" t="s">
        <v>1165</v>
      </c>
      <c r="BH4991" s="2"/>
      <c r="BI4991" s="4">
        <v>0.34722222222222227</v>
      </c>
      <c r="BJ4991" s="2">
        <v>13</v>
      </c>
      <c r="BK4991" s="2" t="s">
        <v>91</v>
      </c>
      <c r="BL4991" s="2" t="s">
        <v>2764</v>
      </c>
      <c r="BM4991" s="2">
        <v>13</v>
      </c>
      <c r="BN4991" s="2" t="s">
        <v>91</v>
      </c>
      <c r="BO4991" s="2"/>
      <c r="BP4991" s="2">
        <v>13</v>
      </c>
      <c r="BQ4991" s="2" t="s">
        <v>91</v>
      </c>
      <c r="BR4991" s="2" t="s">
        <v>2168</v>
      </c>
      <c r="BS4991" s="3">
        <v>40518</v>
      </c>
      <c r="BT4991" s="4">
        <v>0.37509259259259259</v>
      </c>
    </row>
    <row r="4992" spans="1:72" x14ac:dyDescent="0.25">
      <c r="A4992" s="2">
        <v>7728</v>
      </c>
      <c r="B4992" s="2">
        <v>2010</v>
      </c>
      <c r="C4992" s="2" t="s">
        <v>1017</v>
      </c>
      <c r="D4992" s="2" t="s">
        <v>73</v>
      </c>
      <c r="E4992" s="2"/>
      <c r="F4992" s="2">
        <v>451</v>
      </c>
      <c r="G4992" s="2" t="s">
        <v>879</v>
      </c>
      <c r="H4992" s="2">
        <v>31</v>
      </c>
      <c r="I4992" s="2" t="s">
        <v>880</v>
      </c>
      <c r="J4992" s="2">
        <v>326</v>
      </c>
      <c r="K4992" s="2" t="s">
        <v>881</v>
      </c>
      <c r="L4992" s="2" t="s">
        <v>882</v>
      </c>
      <c r="M4992" s="3">
        <v>40518</v>
      </c>
      <c r="N4992" s="2" t="s">
        <v>1072</v>
      </c>
      <c r="O4992" s="2"/>
      <c r="P4992" s="2"/>
      <c r="Q4992" s="2" t="str">
        <f>"116/10"</f>
        <v>116/10</v>
      </c>
      <c r="R4992" s="2"/>
      <c r="S4992" s="2" t="s">
        <v>822</v>
      </c>
      <c r="T4992" s="2">
        <v>1</v>
      </c>
      <c r="U4992" s="2" t="s">
        <v>79</v>
      </c>
      <c r="V4992" s="2">
        <v>1</v>
      </c>
      <c r="W4992" s="2" t="s">
        <v>80</v>
      </c>
      <c r="X4992" s="2">
        <v>1</v>
      </c>
      <c r="Y4992" s="2" t="s">
        <v>81</v>
      </c>
      <c r="Z4992" s="2">
        <v>1</v>
      </c>
      <c r="AA4992" s="2" t="s">
        <v>82</v>
      </c>
      <c r="AB4992" s="2">
        <v>7</v>
      </c>
      <c r="AC4992" s="2" t="s">
        <v>1023</v>
      </c>
      <c r="AD4992" s="3">
        <v>40518</v>
      </c>
      <c r="AE4992" s="4">
        <v>0.40625</v>
      </c>
      <c r="AF4992" s="3">
        <v>40518</v>
      </c>
      <c r="AG4992" s="4">
        <v>0.40625</v>
      </c>
      <c r="AH4992" s="2">
        <v>4</v>
      </c>
      <c r="AI4992" s="2" t="s">
        <v>125</v>
      </c>
      <c r="AJ4992" s="2">
        <v>29</v>
      </c>
      <c r="AK4992" s="2" t="s">
        <v>227</v>
      </c>
      <c r="AL4992" s="2">
        <v>11</v>
      </c>
      <c r="AM4992" s="2" t="s">
        <v>137</v>
      </c>
      <c r="AN4992" s="2" t="s">
        <v>2956</v>
      </c>
      <c r="AO4992" s="2"/>
      <c r="AP4992" s="2">
        <v>11</v>
      </c>
      <c r="AQ4992" s="2" t="s">
        <v>82</v>
      </c>
      <c r="AR4992" s="2"/>
      <c r="AS4992" s="2"/>
      <c r="AT4992" s="2" t="s">
        <v>15287</v>
      </c>
      <c r="AU4992" s="2"/>
      <c r="AV4992" s="2"/>
      <c r="AW4992" s="2"/>
      <c r="AX4992" s="2"/>
      <c r="AY4992" s="2">
        <v>41</v>
      </c>
      <c r="AZ4992" s="2" t="s">
        <v>82</v>
      </c>
      <c r="BA4992" s="2">
        <v>41</v>
      </c>
      <c r="BB4992" s="2" t="s">
        <v>82</v>
      </c>
      <c r="BC4992" s="2">
        <v>41</v>
      </c>
      <c r="BD4992" s="2" t="s">
        <v>82</v>
      </c>
      <c r="BE4992" s="2">
        <v>13</v>
      </c>
      <c r="BF4992" s="2" t="s">
        <v>108</v>
      </c>
      <c r="BG4992" s="2">
        <v>1451</v>
      </c>
      <c r="BH4992" s="4">
        <v>0.375</v>
      </c>
      <c r="BI4992" s="4">
        <v>0.40972222222222227</v>
      </c>
      <c r="BJ4992" s="2">
        <v>13</v>
      </c>
      <c r="BK4992" s="2" t="s">
        <v>91</v>
      </c>
      <c r="BL4992" s="2" t="s">
        <v>828</v>
      </c>
      <c r="BM4992" s="2">
        <v>13</v>
      </c>
      <c r="BN4992" s="2" t="s">
        <v>91</v>
      </c>
      <c r="BO4992" s="2"/>
      <c r="BP4992" s="2">
        <v>13</v>
      </c>
      <c r="BQ4992" s="2" t="s">
        <v>91</v>
      </c>
      <c r="BR4992" s="2" t="s">
        <v>185</v>
      </c>
      <c r="BS4992" s="3">
        <v>40518</v>
      </c>
      <c r="BT4992" s="4">
        <v>0.51680555555555552</v>
      </c>
    </row>
    <row r="4993" spans="1:72" x14ac:dyDescent="0.25">
      <c r="A4993" s="2">
        <v>7732</v>
      </c>
      <c r="B4993" s="2">
        <v>2010</v>
      </c>
      <c r="C4993" s="2" t="s">
        <v>4543</v>
      </c>
      <c r="D4993" s="2" t="s">
        <v>122</v>
      </c>
      <c r="E4993" s="2"/>
      <c r="F4993" s="2">
        <v>146</v>
      </c>
      <c r="G4993" s="2" t="s">
        <v>753</v>
      </c>
      <c r="H4993" s="2">
        <v>30</v>
      </c>
      <c r="I4993" s="2" t="s">
        <v>912</v>
      </c>
      <c r="J4993" s="2">
        <v>733</v>
      </c>
      <c r="K4993" s="2" t="s">
        <v>15219</v>
      </c>
      <c r="L4993" s="2" t="s">
        <v>15220</v>
      </c>
      <c r="M4993" s="3">
        <v>40518</v>
      </c>
      <c r="N4993" s="2" t="s">
        <v>9100</v>
      </c>
      <c r="O4993" s="2" t="s">
        <v>15288</v>
      </c>
      <c r="P4993" s="2" t="s">
        <v>15289</v>
      </c>
      <c r="Q4993" s="2" t="str">
        <f>""</f>
        <v/>
      </c>
      <c r="R4993" s="2"/>
      <c r="S4993" s="2"/>
      <c r="T4993" s="2">
        <v>2</v>
      </c>
      <c r="U4993" s="2" t="s">
        <v>123</v>
      </c>
      <c r="V4993" s="2">
        <v>1</v>
      </c>
      <c r="W4993" s="2" t="s">
        <v>80</v>
      </c>
      <c r="X4993" s="2">
        <v>4</v>
      </c>
      <c r="Y4993" s="2" t="s">
        <v>463</v>
      </c>
      <c r="Z4993" s="2">
        <v>1</v>
      </c>
      <c r="AA4993" s="2" t="s">
        <v>82</v>
      </c>
      <c r="AB4993" s="2">
        <v>9</v>
      </c>
      <c r="AC4993" s="2" t="s">
        <v>124</v>
      </c>
      <c r="AD4993" s="3">
        <v>40518</v>
      </c>
      <c r="AE4993" s="4">
        <v>0.51388888888888895</v>
      </c>
      <c r="AF4993" s="3">
        <v>40518</v>
      </c>
      <c r="AG4993" s="4">
        <v>0.51388888888888895</v>
      </c>
      <c r="AH4993" s="2">
        <v>6</v>
      </c>
      <c r="AI4993" s="2" t="s">
        <v>197</v>
      </c>
      <c r="AJ4993" s="2">
        <v>54</v>
      </c>
      <c r="AK4993" s="2" t="s">
        <v>348</v>
      </c>
      <c r="AL4993" s="2">
        <v>23</v>
      </c>
      <c r="AM4993" s="2" t="s">
        <v>251</v>
      </c>
      <c r="AN4993" s="2" t="s">
        <v>9102</v>
      </c>
      <c r="AO4993" s="2" t="s">
        <v>2691</v>
      </c>
      <c r="AP4993" s="2">
        <v>11</v>
      </c>
      <c r="AQ4993" s="2" t="s">
        <v>82</v>
      </c>
      <c r="AR4993" s="2"/>
      <c r="AS4993" s="2"/>
      <c r="AT4993" s="2" t="s">
        <v>15290</v>
      </c>
      <c r="AU4993" s="2"/>
      <c r="AV4993" s="2"/>
      <c r="AW4993" s="2"/>
      <c r="AX4993" s="2"/>
      <c r="AY4993" s="2">
        <v>41</v>
      </c>
      <c r="AZ4993" s="2" t="s">
        <v>82</v>
      </c>
      <c r="BA4993" s="2">
        <v>41</v>
      </c>
      <c r="BB4993" s="2" t="s">
        <v>82</v>
      </c>
      <c r="BC4993" s="2">
        <v>41</v>
      </c>
      <c r="BD4993" s="2" t="s">
        <v>82</v>
      </c>
      <c r="BE4993" s="2">
        <v>41</v>
      </c>
      <c r="BF4993" s="2" t="s">
        <v>82</v>
      </c>
      <c r="BG4993" s="2"/>
      <c r="BH4993" s="2"/>
      <c r="BI4993" s="2"/>
      <c r="BJ4993" s="2">
        <v>241</v>
      </c>
      <c r="BK4993" s="2" t="s">
        <v>82</v>
      </c>
      <c r="BL4993" s="2"/>
      <c r="BM4993" s="2">
        <v>241</v>
      </c>
      <c r="BN4993" s="2" t="s">
        <v>82</v>
      </c>
      <c r="BO4993" s="2"/>
      <c r="BP4993" s="2">
        <v>241</v>
      </c>
      <c r="BQ4993" s="2" t="s">
        <v>82</v>
      </c>
      <c r="BR4993" s="2"/>
      <c r="BS4993" s="3">
        <v>40518</v>
      </c>
      <c r="BT4993" s="4">
        <v>0.58046296296296296</v>
      </c>
    </row>
    <row r="4994" spans="1:72" x14ac:dyDescent="0.25">
      <c r="A4994" s="2">
        <v>7734</v>
      </c>
      <c r="B4994" s="2">
        <v>2010</v>
      </c>
      <c r="C4994" s="2" t="s">
        <v>93</v>
      </c>
      <c r="D4994" s="2" t="s">
        <v>73</v>
      </c>
      <c r="E4994" s="2"/>
      <c r="F4994" s="2">
        <v>134</v>
      </c>
      <c r="G4994" s="2" t="s">
        <v>8834</v>
      </c>
      <c r="H4994" s="2">
        <v>108</v>
      </c>
      <c r="I4994" s="2" t="s">
        <v>1096</v>
      </c>
      <c r="J4994" s="2">
        <v>151</v>
      </c>
      <c r="K4994" s="2" t="s">
        <v>1485</v>
      </c>
      <c r="L4994" s="2" t="s">
        <v>1626</v>
      </c>
      <c r="M4994" s="3">
        <v>40518</v>
      </c>
      <c r="N4994" s="2" t="s">
        <v>8835</v>
      </c>
      <c r="O4994" s="2" t="s">
        <v>15291</v>
      </c>
      <c r="P4994" s="2">
        <v>12821</v>
      </c>
      <c r="Q4994" s="2" t="str">
        <f>"AP 0056/10"</f>
        <v>AP 0056/10</v>
      </c>
      <c r="R4994" s="2" t="s">
        <v>15292</v>
      </c>
      <c r="S4994" s="2"/>
      <c r="T4994" s="2">
        <v>1</v>
      </c>
      <c r="U4994" s="2" t="s">
        <v>79</v>
      </c>
      <c r="V4994" s="2">
        <v>1</v>
      </c>
      <c r="W4994" s="2" t="s">
        <v>80</v>
      </c>
      <c r="X4994" s="2">
        <v>1</v>
      </c>
      <c r="Y4994" s="2" t="s">
        <v>81</v>
      </c>
      <c r="Z4994" s="2">
        <v>1</v>
      </c>
      <c r="AA4994" s="2" t="s">
        <v>82</v>
      </c>
      <c r="AB4994" s="2">
        <v>2</v>
      </c>
      <c r="AC4994" s="2" t="s">
        <v>102</v>
      </c>
      <c r="AD4994" s="3">
        <v>40518</v>
      </c>
      <c r="AE4994" s="4">
        <v>0.57638888888888895</v>
      </c>
      <c r="AF4994" s="3">
        <v>40518</v>
      </c>
      <c r="AG4994" s="4">
        <v>0.57638888888888895</v>
      </c>
      <c r="AH4994" s="2">
        <v>6</v>
      </c>
      <c r="AI4994" s="2" t="s">
        <v>197</v>
      </c>
      <c r="AJ4994" s="2">
        <v>60</v>
      </c>
      <c r="AK4994" s="2" t="s">
        <v>543</v>
      </c>
      <c r="AL4994" s="2">
        <v>11</v>
      </c>
      <c r="AM4994" s="2" t="s">
        <v>137</v>
      </c>
      <c r="AN4994" s="2" t="s">
        <v>2249</v>
      </c>
      <c r="AO4994" s="2" t="s">
        <v>14464</v>
      </c>
      <c r="AP4994" s="2">
        <v>11</v>
      </c>
      <c r="AQ4994" s="2" t="s">
        <v>82</v>
      </c>
      <c r="AR4994" s="2" t="s">
        <v>82</v>
      </c>
      <c r="AS4994" s="2" t="s">
        <v>82</v>
      </c>
      <c r="AT4994" s="2" t="s">
        <v>15293</v>
      </c>
      <c r="AU4994" s="2"/>
      <c r="AV4994" s="2"/>
      <c r="AW4994" s="2"/>
      <c r="AX4994" s="2"/>
      <c r="AY4994" s="2">
        <v>41</v>
      </c>
      <c r="AZ4994" s="2" t="s">
        <v>82</v>
      </c>
      <c r="BA4994" s="2">
        <v>41</v>
      </c>
      <c r="BB4994" s="2" t="s">
        <v>82</v>
      </c>
      <c r="BC4994" s="2">
        <v>41</v>
      </c>
      <c r="BD4994" s="2" t="s">
        <v>82</v>
      </c>
      <c r="BE4994" s="2">
        <v>13</v>
      </c>
      <c r="BF4994" s="2" t="s">
        <v>108</v>
      </c>
      <c r="BG4994" s="2" t="s">
        <v>15294</v>
      </c>
      <c r="BH4994" s="4">
        <v>0.54166666666666663</v>
      </c>
      <c r="BI4994" s="4">
        <v>0.58333333333333337</v>
      </c>
      <c r="BJ4994" s="2">
        <v>13</v>
      </c>
      <c r="BK4994" s="2" t="s">
        <v>91</v>
      </c>
      <c r="BL4994" s="2" t="s">
        <v>3520</v>
      </c>
      <c r="BM4994" s="2">
        <v>13</v>
      </c>
      <c r="BN4994" s="2" t="s">
        <v>91</v>
      </c>
      <c r="BO4994" s="2"/>
      <c r="BP4994" s="2">
        <v>13</v>
      </c>
      <c r="BQ4994" s="2" t="s">
        <v>91</v>
      </c>
      <c r="BR4994" s="2" t="s">
        <v>204</v>
      </c>
      <c r="BS4994" s="3">
        <v>40518</v>
      </c>
      <c r="BT4994" s="4">
        <v>0.65179398148148149</v>
      </c>
    </row>
    <row r="4995" spans="1:72" x14ac:dyDescent="0.25">
      <c r="A4995" s="2">
        <v>7735</v>
      </c>
      <c r="B4995" s="2">
        <v>2010</v>
      </c>
      <c r="C4995" s="2" t="s">
        <v>2219</v>
      </c>
      <c r="D4995" s="2" t="s">
        <v>73</v>
      </c>
      <c r="E4995" s="2"/>
      <c r="F4995" s="2">
        <v>12</v>
      </c>
      <c r="G4995" s="2" t="s">
        <v>2494</v>
      </c>
      <c r="H4995" s="2">
        <v>2</v>
      </c>
      <c r="I4995" s="2" t="s">
        <v>267</v>
      </c>
      <c r="J4995" s="2">
        <v>21</v>
      </c>
      <c r="K4995" s="2" t="s">
        <v>3908</v>
      </c>
      <c r="L4995" s="2" t="s">
        <v>3909</v>
      </c>
      <c r="M4995" s="3">
        <v>40518</v>
      </c>
      <c r="N4995" s="2" t="s">
        <v>14143</v>
      </c>
      <c r="O4995" s="2" t="s">
        <v>12050</v>
      </c>
      <c r="P4995" s="2" t="s">
        <v>12051</v>
      </c>
      <c r="Q4995" s="2" t="str">
        <f>"16/2010"</f>
        <v>16/2010</v>
      </c>
      <c r="R4995" s="2" t="s">
        <v>82</v>
      </c>
      <c r="S4995" s="2" t="s">
        <v>82</v>
      </c>
      <c r="T4995" s="2">
        <v>1</v>
      </c>
      <c r="U4995" s="2" t="s">
        <v>79</v>
      </c>
      <c r="V4995" s="2">
        <v>3</v>
      </c>
      <c r="W4995" s="2" t="s">
        <v>225</v>
      </c>
      <c r="X4995" s="2">
        <v>6</v>
      </c>
      <c r="Y4995" s="2" t="s">
        <v>249</v>
      </c>
      <c r="Z4995" s="2">
        <v>1</v>
      </c>
      <c r="AA4995" s="2" t="s">
        <v>82</v>
      </c>
      <c r="AB4995" s="2">
        <v>9</v>
      </c>
      <c r="AC4995" s="2" t="s">
        <v>124</v>
      </c>
      <c r="AD4995" s="3">
        <v>40518</v>
      </c>
      <c r="AE4995" s="4">
        <v>0.64583333333333337</v>
      </c>
      <c r="AF4995" s="3">
        <v>40466</v>
      </c>
      <c r="AG4995" s="4">
        <v>0.49374999999999997</v>
      </c>
      <c r="AH4995" s="2">
        <v>3</v>
      </c>
      <c r="AI4995" s="2" t="s">
        <v>214</v>
      </c>
      <c r="AJ4995" s="2">
        <v>14</v>
      </c>
      <c r="AK4995" s="2" t="s">
        <v>342</v>
      </c>
      <c r="AL4995" s="2">
        <v>19</v>
      </c>
      <c r="AM4995" s="2" t="s">
        <v>107</v>
      </c>
      <c r="AN4995" s="2"/>
      <c r="AO4995" s="2" t="s">
        <v>82</v>
      </c>
      <c r="AP4995" s="2">
        <v>11</v>
      </c>
      <c r="AQ4995" s="2" t="s">
        <v>82</v>
      </c>
      <c r="AR4995" s="2"/>
      <c r="AS4995" s="2"/>
      <c r="AT4995" s="2" t="s">
        <v>15295</v>
      </c>
      <c r="AU4995" s="2"/>
      <c r="AV4995" s="2"/>
      <c r="AW4995" s="2"/>
      <c r="AX4995" s="2"/>
      <c r="AY4995" s="2">
        <v>41</v>
      </c>
      <c r="AZ4995" s="2" t="s">
        <v>82</v>
      </c>
      <c r="BA4995" s="2">
        <v>41</v>
      </c>
      <c r="BB4995" s="2" t="s">
        <v>82</v>
      </c>
      <c r="BC4995" s="2">
        <v>41</v>
      </c>
      <c r="BD4995" s="2" t="s">
        <v>82</v>
      </c>
      <c r="BE4995" s="2">
        <v>41</v>
      </c>
      <c r="BF4995" s="2" t="s">
        <v>82</v>
      </c>
      <c r="BG4995" s="2"/>
      <c r="BH4995" s="2"/>
      <c r="BI4995" s="2"/>
      <c r="BJ4995" s="2">
        <v>241</v>
      </c>
      <c r="BK4995" s="2" t="s">
        <v>82</v>
      </c>
      <c r="BL4995" s="2"/>
      <c r="BM4995" s="2">
        <v>241</v>
      </c>
      <c r="BN4995" s="2" t="s">
        <v>82</v>
      </c>
      <c r="BO4995" s="2"/>
      <c r="BP4995" s="2">
        <v>241</v>
      </c>
      <c r="BQ4995" s="2" t="s">
        <v>82</v>
      </c>
      <c r="BR4995" s="2"/>
      <c r="BS4995" s="3">
        <v>40518</v>
      </c>
      <c r="BT4995" s="4">
        <v>0.65935185185185186</v>
      </c>
    </row>
    <row r="4996" spans="1:72" x14ac:dyDescent="0.25">
      <c r="A4996" s="2">
        <v>7736</v>
      </c>
      <c r="B4996" s="2">
        <v>2010</v>
      </c>
      <c r="C4996" s="2" t="s">
        <v>171</v>
      </c>
      <c r="D4996" s="2" t="s">
        <v>73</v>
      </c>
      <c r="E4996" s="2" t="s">
        <v>15296</v>
      </c>
      <c r="F4996" s="2">
        <v>337</v>
      </c>
      <c r="G4996" s="2" t="s">
        <v>1190</v>
      </c>
      <c r="H4996" s="2">
        <v>66</v>
      </c>
      <c r="I4996" s="2" t="s">
        <v>3190</v>
      </c>
      <c r="J4996" s="2">
        <v>309</v>
      </c>
      <c r="K4996" s="2" t="s">
        <v>268</v>
      </c>
      <c r="L4996" s="2" t="s">
        <v>269</v>
      </c>
      <c r="M4996" s="3">
        <v>40518</v>
      </c>
      <c r="N4996" s="2" t="s">
        <v>1192</v>
      </c>
      <c r="O4996" s="2" t="s">
        <v>15297</v>
      </c>
      <c r="P4996" s="2" t="s">
        <v>15298</v>
      </c>
      <c r="Q4996" s="2" t="str">
        <f>"0027/2010"</f>
        <v>0027/2010</v>
      </c>
      <c r="R4996" s="2"/>
      <c r="S4996" s="2"/>
      <c r="T4996" s="2">
        <v>1</v>
      </c>
      <c r="U4996" s="2" t="s">
        <v>79</v>
      </c>
      <c r="V4996" s="2">
        <v>3</v>
      </c>
      <c r="W4996" s="2" t="s">
        <v>225</v>
      </c>
      <c r="X4996" s="2">
        <v>6</v>
      </c>
      <c r="Y4996" s="2" t="s">
        <v>249</v>
      </c>
      <c r="Z4996" s="2">
        <v>1</v>
      </c>
      <c r="AA4996" s="2" t="s">
        <v>82</v>
      </c>
      <c r="AB4996" s="2">
        <v>9</v>
      </c>
      <c r="AC4996" s="2" t="s">
        <v>124</v>
      </c>
      <c r="AD4996" s="3">
        <v>40522</v>
      </c>
      <c r="AE4996" s="2"/>
      <c r="AF4996" s="3">
        <v>40518</v>
      </c>
      <c r="AG4996" s="2"/>
      <c r="AH4996" s="2">
        <v>5</v>
      </c>
      <c r="AI4996" s="2" t="s">
        <v>274</v>
      </c>
      <c r="AJ4996" s="2">
        <v>35</v>
      </c>
      <c r="AK4996" s="2" t="s">
        <v>275</v>
      </c>
      <c r="AL4996" s="2">
        <v>23</v>
      </c>
      <c r="AM4996" s="2" t="s">
        <v>251</v>
      </c>
      <c r="AN4996" s="2"/>
      <c r="AO4996" s="2" t="s">
        <v>15299</v>
      </c>
      <c r="AP4996" s="2">
        <v>11</v>
      </c>
      <c r="AQ4996" s="2" t="s">
        <v>82</v>
      </c>
      <c r="AR4996" s="2"/>
      <c r="AS4996" s="2"/>
      <c r="AT4996" s="2" t="s">
        <v>15300</v>
      </c>
      <c r="AU4996" s="2"/>
      <c r="AV4996" s="2"/>
      <c r="AW4996" s="2"/>
      <c r="AX4996" s="2"/>
      <c r="AY4996" s="2">
        <v>41</v>
      </c>
      <c r="AZ4996" s="2" t="s">
        <v>82</v>
      </c>
      <c r="BA4996" s="2">
        <v>41</v>
      </c>
      <c r="BB4996" s="2" t="s">
        <v>82</v>
      </c>
      <c r="BC4996" s="2">
        <v>41</v>
      </c>
      <c r="BD4996" s="2" t="s">
        <v>82</v>
      </c>
      <c r="BE4996" s="2">
        <v>41</v>
      </c>
      <c r="BF4996" s="2" t="s">
        <v>82</v>
      </c>
      <c r="BG4996" s="2"/>
      <c r="BH4996" s="2"/>
      <c r="BI4996" s="2"/>
      <c r="BJ4996" s="2">
        <v>241</v>
      </c>
      <c r="BK4996" s="2" t="s">
        <v>82</v>
      </c>
      <c r="BL4996" s="2"/>
      <c r="BM4996" s="2">
        <v>241</v>
      </c>
      <c r="BN4996" s="2" t="s">
        <v>82</v>
      </c>
      <c r="BO4996" s="2"/>
      <c r="BP4996" s="2">
        <v>241</v>
      </c>
      <c r="BQ4996" s="2" t="s">
        <v>82</v>
      </c>
      <c r="BR4996" s="2"/>
      <c r="BS4996" s="3">
        <v>40518</v>
      </c>
      <c r="BT4996" s="4">
        <v>0.66388888888888886</v>
      </c>
    </row>
    <row r="4997" spans="1:72" x14ac:dyDescent="0.25">
      <c r="A4997" s="2">
        <v>7737</v>
      </c>
      <c r="B4997" s="2">
        <v>2010</v>
      </c>
      <c r="C4997" s="2" t="s">
        <v>763</v>
      </c>
      <c r="D4997" s="2" t="s">
        <v>122</v>
      </c>
      <c r="E4997" s="2" t="s">
        <v>15301</v>
      </c>
      <c r="F4997" s="2">
        <v>477</v>
      </c>
      <c r="G4997" s="2" t="s">
        <v>1300</v>
      </c>
      <c r="H4997" s="2">
        <v>108</v>
      </c>
      <c r="I4997" s="2" t="s">
        <v>1096</v>
      </c>
      <c r="J4997" s="2">
        <v>383</v>
      </c>
      <c r="K4997" s="2" t="s">
        <v>1301</v>
      </c>
      <c r="L4997" s="2" t="s">
        <v>1302</v>
      </c>
      <c r="M4997" s="3">
        <v>40518</v>
      </c>
      <c r="N4997" s="2" t="s">
        <v>15302</v>
      </c>
      <c r="O4997" s="2" t="s">
        <v>15303</v>
      </c>
      <c r="P4997" s="2" t="s">
        <v>15304</v>
      </c>
      <c r="Q4997" s="2" t="str">
        <f>""</f>
        <v/>
      </c>
      <c r="R4997" s="2"/>
      <c r="S4997" s="2"/>
      <c r="T4997" s="2">
        <v>1</v>
      </c>
      <c r="U4997" s="2" t="s">
        <v>79</v>
      </c>
      <c r="V4997" s="2">
        <v>1</v>
      </c>
      <c r="W4997" s="2" t="s">
        <v>80</v>
      </c>
      <c r="X4997" s="2">
        <v>5</v>
      </c>
      <c r="Y4997" s="2" t="s">
        <v>82</v>
      </c>
      <c r="Z4997" s="2">
        <v>1</v>
      </c>
      <c r="AA4997" s="2" t="s">
        <v>82</v>
      </c>
      <c r="AB4997" s="2">
        <v>9</v>
      </c>
      <c r="AC4997" s="2" t="s">
        <v>124</v>
      </c>
      <c r="AD4997" s="3">
        <v>40518</v>
      </c>
      <c r="AE4997" s="4">
        <v>0.57638888888888895</v>
      </c>
      <c r="AF4997" s="3">
        <v>40515</v>
      </c>
      <c r="AG4997" s="4">
        <v>0.88888888888888884</v>
      </c>
      <c r="AH4997" s="2">
        <v>4</v>
      </c>
      <c r="AI4997" s="2" t="s">
        <v>125</v>
      </c>
      <c r="AJ4997" s="2">
        <v>29</v>
      </c>
      <c r="AK4997" s="2" t="s">
        <v>227</v>
      </c>
      <c r="AL4997" s="2">
        <v>19</v>
      </c>
      <c r="AM4997" s="2" t="s">
        <v>107</v>
      </c>
      <c r="AN4997" s="2"/>
      <c r="AO4997" s="2"/>
      <c r="AP4997" s="2">
        <v>11</v>
      </c>
      <c r="AQ4997" s="2" t="s">
        <v>82</v>
      </c>
      <c r="AR4997" s="2"/>
      <c r="AS4997" s="2"/>
      <c r="AT4997" s="2" t="s">
        <v>15305</v>
      </c>
      <c r="AU4997" s="2">
        <v>1</v>
      </c>
      <c r="AV4997" s="2"/>
      <c r="AW4997" s="2"/>
      <c r="AX4997" s="2"/>
      <c r="AY4997" s="2">
        <v>41</v>
      </c>
      <c r="AZ4997" s="2" t="s">
        <v>82</v>
      </c>
      <c r="BA4997" s="2">
        <v>41</v>
      </c>
      <c r="BB4997" s="2" t="s">
        <v>82</v>
      </c>
      <c r="BC4997" s="2">
        <v>41</v>
      </c>
      <c r="BD4997" s="2" t="s">
        <v>82</v>
      </c>
      <c r="BE4997" s="2">
        <v>41</v>
      </c>
      <c r="BF4997" s="2" t="s">
        <v>82</v>
      </c>
      <c r="BG4997" s="2"/>
      <c r="BH4997" s="2"/>
      <c r="BI4997" s="2"/>
      <c r="BJ4997" s="2">
        <v>241</v>
      </c>
      <c r="BK4997" s="2" t="s">
        <v>82</v>
      </c>
      <c r="BL4997" s="2"/>
      <c r="BM4997" s="2">
        <v>241</v>
      </c>
      <c r="BN4997" s="2" t="s">
        <v>82</v>
      </c>
      <c r="BO4997" s="2"/>
      <c r="BP4997" s="2">
        <v>241</v>
      </c>
      <c r="BQ4997" s="2" t="s">
        <v>82</v>
      </c>
      <c r="BR4997" s="2"/>
      <c r="BS4997" s="3">
        <v>40518</v>
      </c>
      <c r="BT4997" s="4">
        <v>0.66476851851851848</v>
      </c>
    </row>
    <row r="4998" spans="1:72" x14ac:dyDescent="0.25">
      <c r="A4998" s="2">
        <v>7739</v>
      </c>
      <c r="B4998" s="2">
        <v>2010</v>
      </c>
      <c r="C4998" s="2" t="s">
        <v>171</v>
      </c>
      <c r="D4998" s="2" t="s">
        <v>73</v>
      </c>
      <c r="E4998" s="2"/>
      <c r="F4998" s="2">
        <v>424</v>
      </c>
      <c r="G4998" s="2" t="s">
        <v>266</v>
      </c>
      <c r="H4998" s="2">
        <v>40</v>
      </c>
      <c r="I4998" s="2" t="s">
        <v>2101</v>
      </c>
      <c r="J4998" s="2">
        <v>309</v>
      </c>
      <c r="K4998" s="2" t="s">
        <v>268</v>
      </c>
      <c r="L4998" s="2" t="s">
        <v>269</v>
      </c>
      <c r="M4998" s="3">
        <v>40518</v>
      </c>
      <c r="N4998" s="2" t="s">
        <v>11846</v>
      </c>
      <c r="O4998" s="2" t="s">
        <v>15306</v>
      </c>
      <c r="P4998" s="2" t="s">
        <v>15307</v>
      </c>
      <c r="Q4998" s="2" t="str">
        <f>"0030/2010"</f>
        <v>0030/2010</v>
      </c>
      <c r="R4998" s="2"/>
      <c r="S4998" s="2" t="s">
        <v>15308</v>
      </c>
      <c r="T4998" s="2">
        <v>1</v>
      </c>
      <c r="U4998" s="2" t="s">
        <v>79</v>
      </c>
      <c r="V4998" s="2">
        <v>3</v>
      </c>
      <c r="W4998" s="2" t="s">
        <v>225</v>
      </c>
      <c r="X4998" s="2">
        <v>6</v>
      </c>
      <c r="Y4998" s="2" t="s">
        <v>249</v>
      </c>
      <c r="Z4998" s="2">
        <v>1</v>
      </c>
      <c r="AA4998" s="2" t="s">
        <v>82</v>
      </c>
      <c r="AB4998" s="2">
        <v>9</v>
      </c>
      <c r="AC4998" s="2" t="s">
        <v>124</v>
      </c>
      <c r="AD4998" s="2"/>
      <c r="AE4998" s="2"/>
      <c r="AF4998" s="3">
        <v>40518</v>
      </c>
      <c r="AG4998" s="4">
        <v>0.52083333333333337</v>
      </c>
      <c r="AH4998" s="2">
        <v>5</v>
      </c>
      <c r="AI4998" s="2" t="s">
        <v>274</v>
      </c>
      <c r="AJ4998" s="2">
        <v>35</v>
      </c>
      <c r="AK4998" s="2" t="s">
        <v>275</v>
      </c>
      <c r="AL4998" s="2">
        <v>23</v>
      </c>
      <c r="AM4998" s="2" t="s">
        <v>251</v>
      </c>
      <c r="AN4998" s="2"/>
      <c r="AO4998" s="2" t="s">
        <v>15309</v>
      </c>
      <c r="AP4998" s="2">
        <v>11</v>
      </c>
      <c r="AQ4998" s="2" t="s">
        <v>82</v>
      </c>
      <c r="AR4998" s="2"/>
      <c r="AS4998" s="2"/>
      <c r="AT4998" s="2" t="s">
        <v>15310</v>
      </c>
      <c r="AU4998" s="2"/>
      <c r="AV4998" s="2"/>
      <c r="AW4998" s="2"/>
      <c r="AX4998" s="2"/>
      <c r="AY4998" s="2">
        <v>41</v>
      </c>
      <c r="AZ4998" s="2" t="s">
        <v>82</v>
      </c>
      <c r="BA4998" s="2">
        <v>41</v>
      </c>
      <c r="BB4998" s="2" t="s">
        <v>82</v>
      </c>
      <c r="BC4998" s="2">
        <v>41</v>
      </c>
      <c r="BD4998" s="2" t="s">
        <v>82</v>
      </c>
      <c r="BE4998" s="2">
        <v>41</v>
      </c>
      <c r="BF4998" s="2" t="s">
        <v>82</v>
      </c>
      <c r="BG4998" s="2"/>
      <c r="BH4998" s="2"/>
      <c r="BI4998" s="2"/>
      <c r="BJ4998" s="2">
        <v>241</v>
      </c>
      <c r="BK4998" s="2" t="s">
        <v>82</v>
      </c>
      <c r="BL4998" s="2"/>
      <c r="BM4998" s="2">
        <v>241</v>
      </c>
      <c r="BN4998" s="2" t="s">
        <v>82</v>
      </c>
      <c r="BO4998" s="2"/>
      <c r="BP4998" s="2">
        <v>241</v>
      </c>
      <c r="BQ4998" s="2" t="s">
        <v>82</v>
      </c>
      <c r="BR4998" s="2"/>
      <c r="BS4998" s="3">
        <v>40518</v>
      </c>
      <c r="BT4998" s="4">
        <v>0.67092592592592604</v>
      </c>
    </row>
    <row r="4999" spans="1:72" x14ac:dyDescent="0.25">
      <c r="A4999" s="2">
        <v>7744</v>
      </c>
      <c r="B4999" s="2">
        <v>2010</v>
      </c>
      <c r="C4999" s="2" t="s">
        <v>171</v>
      </c>
      <c r="D4999" s="2" t="s">
        <v>73</v>
      </c>
      <c r="E4999" s="2" t="s">
        <v>6967</v>
      </c>
      <c r="F4999" s="2">
        <v>53</v>
      </c>
      <c r="G4999" s="2" t="s">
        <v>2755</v>
      </c>
      <c r="H4999" s="2">
        <v>103</v>
      </c>
      <c r="I4999" s="2" t="s">
        <v>6768</v>
      </c>
      <c r="J4999" s="2">
        <v>88</v>
      </c>
      <c r="K4999" s="2" t="s">
        <v>2756</v>
      </c>
      <c r="L4999" s="2" t="s">
        <v>2757</v>
      </c>
      <c r="M4999" s="3">
        <v>40518</v>
      </c>
      <c r="N4999" s="2" t="s">
        <v>6769</v>
      </c>
      <c r="O4999" s="2" t="s">
        <v>2456</v>
      </c>
      <c r="P4999" s="2" t="s">
        <v>6770</v>
      </c>
      <c r="Q4999" s="2" t="str">
        <f>"01/07"</f>
        <v>01/07</v>
      </c>
      <c r="R4999" s="2" t="s">
        <v>6771</v>
      </c>
      <c r="S4999" s="2"/>
      <c r="T4999" s="2">
        <v>1</v>
      </c>
      <c r="U4999" s="2" t="s">
        <v>79</v>
      </c>
      <c r="V4999" s="2">
        <v>3</v>
      </c>
      <c r="W4999" s="2" t="s">
        <v>225</v>
      </c>
      <c r="X4999" s="2">
        <v>6</v>
      </c>
      <c r="Y4999" s="2" t="s">
        <v>249</v>
      </c>
      <c r="Z4999" s="2">
        <v>1</v>
      </c>
      <c r="AA4999" s="2" t="s">
        <v>82</v>
      </c>
      <c r="AB4999" s="2">
        <v>9</v>
      </c>
      <c r="AC4999" s="2" t="s">
        <v>124</v>
      </c>
      <c r="AD4999" s="2"/>
      <c r="AE4999" s="2"/>
      <c r="AF4999" s="3">
        <v>40487</v>
      </c>
      <c r="AG4999" s="2"/>
      <c r="AH4999" s="2">
        <v>4</v>
      </c>
      <c r="AI4999" s="2" t="s">
        <v>125</v>
      </c>
      <c r="AJ4999" s="2">
        <v>26</v>
      </c>
      <c r="AK4999" s="2" t="s">
        <v>293</v>
      </c>
      <c r="AL4999" s="2">
        <v>23</v>
      </c>
      <c r="AM4999" s="2" t="s">
        <v>251</v>
      </c>
      <c r="AN4999" s="2" t="s">
        <v>6772</v>
      </c>
      <c r="AO4999" s="2" t="s">
        <v>2422</v>
      </c>
      <c r="AP4999" s="2">
        <v>11</v>
      </c>
      <c r="AQ4999" s="2" t="s">
        <v>82</v>
      </c>
      <c r="AR4999" s="2"/>
      <c r="AS4999" s="2"/>
      <c r="AT4999" s="2" t="s">
        <v>15311</v>
      </c>
      <c r="AU4999" s="2"/>
      <c r="AV4999" s="2"/>
      <c r="AW4999" s="2"/>
      <c r="AX4999" s="2"/>
      <c r="AY4999" s="2">
        <v>41</v>
      </c>
      <c r="AZ4999" s="2" t="s">
        <v>82</v>
      </c>
      <c r="BA4999" s="2">
        <v>41</v>
      </c>
      <c r="BB4999" s="2" t="s">
        <v>82</v>
      </c>
      <c r="BC4999" s="2">
        <v>41</v>
      </c>
      <c r="BD4999" s="2" t="s">
        <v>82</v>
      </c>
      <c r="BE4999" s="2">
        <v>41</v>
      </c>
      <c r="BF4999" s="2" t="s">
        <v>82</v>
      </c>
      <c r="BG4999" s="2"/>
      <c r="BH4999" s="2"/>
      <c r="BI4999" s="2"/>
      <c r="BJ4999" s="2">
        <v>241</v>
      </c>
      <c r="BK4999" s="2" t="s">
        <v>82</v>
      </c>
      <c r="BL4999" s="2"/>
      <c r="BM4999" s="2">
        <v>241</v>
      </c>
      <c r="BN4999" s="2" t="s">
        <v>82</v>
      </c>
      <c r="BO4999" s="2"/>
      <c r="BP4999" s="2">
        <v>241</v>
      </c>
      <c r="BQ4999" s="2" t="s">
        <v>82</v>
      </c>
      <c r="BR4999" s="2"/>
      <c r="BS4999" s="3">
        <v>40518</v>
      </c>
      <c r="BT4999" s="4">
        <v>0.75065972222222221</v>
      </c>
    </row>
    <row r="5000" spans="1:72" x14ac:dyDescent="0.25">
      <c r="A5000" s="2">
        <v>7747</v>
      </c>
      <c r="B5000" s="2">
        <v>2010</v>
      </c>
      <c r="C5000" s="2" t="s">
        <v>128</v>
      </c>
      <c r="D5000" s="2" t="s">
        <v>122</v>
      </c>
      <c r="E5000" s="2"/>
      <c r="F5000" s="2">
        <v>343</v>
      </c>
      <c r="G5000" s="2" t="s">
        <v>7030</v>
      </c>
      <c r="H5000" s="2">
        <v>99</v>
      </c>
      <c r="I5000" s="2" t="s">
        <v>6285</v>
      </c>
      <c r="J5000" s="2">
        <v>160</v>
      </c>
      <c r="K5000" s="2" t="s">
        <v>538</v>
      </c>
      <c r="L5000" s="2" t="s">
        <v>539</v>
      </c>
      <c r="M5000" s="3">
        <v>40518</v>
      </c>
      <c r="N5000" s="2" t="s">
        <v>13400</v>
      </c>
      <c r="O5000" s="2" t="s">
        <v>15312</v>
      </c>
      <c r="P5000" s="2" t="s">
        <v>15313</v>
      </c>
      <c r="Q5000" s="2" t="str">
        <f>"PSA-UO-USU 056/2010"</f>
        <v>PSA-UO-USU 056/2010</v>
      </c>
      <c r="R5000" s="2" t="s">
        <v>15314</v>
      </c>
      <c r="S5000" s="2" t="s">
        <v>15315</v>
      </c>
      <c r="T5000" s="2">
        <v>1</v>
      </c>
      <c r="U5000" s="2" t="s">
        <v>79</v>
      </c>
      <c r="V5000" s="2">
        <v>1</v>
      </c>
      <c r="W5000" s="2" t="s">
        <v>80</v>
      </c>
      <c r="X5000" s="2">
        <v>1</v>
      </c>
      <c r="Y5000" s="2" t="s">
        <v>81</v>
      </c>
      <c r="Z5000" s="2">
        <v>1</v>
      </c>
      <c r="AA5000" s="2" t="s">
        <v>82</v>
      </c>
      <c r="AB5000" s="2">
        <v>9</v>
      </c>
      <c r="AC5000" s="2" t="s">
        <v>124</v>
      </c>
      <c r="AD5000" s="3">
        <v>40518</v>
      </c>
      <c r="AE5000" s="4">
        <v>0.85416666666666663</v>
      </c>
      <c r="AF5000" s="3">
        <v>40518</v>
      </c>
      <c r="AG5000" s="4">
        <v>0.85416666666666663</v>
      </c>
      <c r="AH5000" s="2">
        <v>6</v>
      </c>
      <c r="AI5000" s="2" t="s">
        <v>197</v>
      </c>
      <c r="AJ5000" s="2">
        <v>60</v>
      </c>
      <c r="AK5000" s="2" t="s">
        <v>543</v>
      </c>
      <c r="AL5000" s="2">
        <v>11</v>
      </c>
      <c r="AM5000" s="2" t="s">
        <v>137</v>
      </c>
      <c r="AN5000" s="2" t="s">
        <v>15316</v>
      </c>
      <c r="AO5000" s="2" t="s">
        <v>5183</v>
      </c>
      <c r="AP5000" s="2">
        <v>11</v>
      </c>
      <c r="AQ5000" s="2" t="s">
        <v>82</v>
      </c>
      <c r="AR5000" s="2" t="s">
        <v>82</v>
      </c>
      <c r="AS5000" s="2" t="s">
        <v>82</v>
      </c>
      <c r="AT5000" s="2" t="s">
        <v>15317</v>
      </c>
      <c r="AU5000" s="2"/>
      <c r="AV5000" s="2"/>
      <c r="AW5000" s="2"/>
      <c r="AX5000" s="2"/>
      <c r="AY5000" s="2">
        <v>41</v>
      </c>
      <c r="AZ5000" s="2" t="s">
        <v>82</v>
      </c>
      <c r="BA5000" s="2">
        <v>41</v>
      </c>
      <c r="BB5000" s="2" t="s">
        <v>82</v>
      </c>
      <c r="BC5000" s="2">
        <v>41</v>
      </c>
      <c r="BD5000" s="2" t="s">
        <v>82</v>
      </c>
      <c r="BE5000" s="2">
        <v>47</v>
      </c>
      <c r="BF5000" s="2" t="s">
        <v>167</v>
      </c>
      <c r="BG5000" s="2" t="s">
        <v>15318</v>
      </c>
      <c r="BH5000" s="2"/>
      <c r="BI5000" s="4">
        <v>0.84722222222222221</v>
      </c>
      <c r="BJ5000" s="2">
        <v>13</v>
      </c>
      <c r="BK5000" s="2" t="s">
        <v>91</v>
      </c>
      <c r="BL5000" s="2" t="s">
        <v>895</v>
      </c>
      <c r="BM5000" s="2">
        <v>13</v>
      </c>
      <c r="BN5000" s="2" t="s">
        <v>91</v>
      </c>
      <c r="BO5000" s="2"/>
      <c r="BP5000" s="2">
        <v>13</v>
      </c>
      <c r="BQ5000" s="2" t="s">
        <v>91</v>
      </c>
      <c r="BR5000" s="2" t="s">
        <v>524</v>
      </c>
      <c r="BS5000" s="3">
        <v>40518</v>
      </c>
      <c r="BT5000" s="4">
        <v>0.99879629629629629</v>
      </c>
    </row>
    <row r="5001" spans="1:72" x14ac:dyDescent="0.25">
      <c r="A5001" s="2">
        <v>7748</v>
      </c>
      <c r="B5001" s="2">
        <v>2010</v>
      </c>
      <c r="C5001" s="2" t="s">
        <v>1094</v>
      </c>
      <c r="D5001" s="2" t="s">
        <v>73</v>
      </c>
      <c r="E5001" s="2"/>
      <c r="F5001" s="2">
        <v>389</v>
      </c>
      <c r="G5001" s="2" t="s">
        <v>1819</v>
      </c>
      <c r="H5001" s="2">
        <v>4</v>
      </c>
      <c r="I5001" s="2" t="s">
        <v>173</v>
      </c>
      <c r="J5001" s="2">
        <v>399</v>
      </c>
      <c r="K5001" s="2" t="s">
        <v>1820</v>
      </c>
      <c r="L5001" s="2" t="s">
        <v>1821</v>
      </c>
      <c r="M5001" s="3">
        <v>40519</v>
      </c>
      <c r="N5001" s="2" t="s">
        <v>2621</v>
      </c>
      <c r="O5001" s="2"/>
      <c r="P5001" s="2"/>
      <c r="Q5001" s="2" t="str">
        <f>"657-E/10"</f>
        <v>657-E/10</v>
      </c>
      <c r="R5001" s="2" t="s">
        <v>1100</v>
      </c>
      <c r="S5001" s="2"/>
      <c r="T5001" s="2">
        <v>1</v>
      </c>
      <c r="U5001" s="2" t="s">
        <v>79</v>
      </c>
      <c r="V5001" s="2">
        <v>1</v>
      </c>
      <c r="W5001" s="2" t="s">
        <v>80</v>
      </c>
      <c r="X5001" s="2">
        <v>12</v>
      </c>
      <c r="Y5001" s="2" t="s">
        <v>148</v>
      </c>
      <c r="Z5001" s="2">
        <v>1</v>
      </c>
      <c r="AA5001" s="2" t="s">
        <v>82</v>
      </c>
      <c r="AB5001" s="2">
        <v>9</v>
      </c>
      <c r="AC5001" s="2" t="s">
        <v>124</v>
      </c>
      <c r="AD5001" s="3">
        <v>40518</v>
      </c>
      <c r="AE5001" s="4">
        <v>0.14583333333333334</v>
      </c>
      <c r="AF5001" s="3">
        <v>40518</v>
      </c>
      <c r="AG5001" s="4">
        <v>0.16666666666666666</v>
      </c>
      <c r="AH5001" s="2">
        <v>2</v>
      </c>
      <c r="AI5001" s="2" t="s">
        <v>84</v>
      </c>
      <c r="AJ5001" s="2">
        <v>9</v>
      </c>
      <c r="AK5001" s="2" t="s">
        <v>103</v>
      </c>
      <c r="AL5001" s="2">
        <v>14</v>
      </c>
      <c r="AM5001" s="2" t="s">
        <v>216</v>
      </c>
      <c r="AN5001" s="2" t="s">
        <v>15319</v>
      </c>
      <c r="AO5001" s="2" t="s">
        <v>3322</v>
      </c>
      <c r="AP5001" s="2">
        <v>11</v>
      </c>
      <c r="AQ5001" s="2" t="s">
        <v>82</v>
      </c>
      <c r="AR5001" s="2"/>
      <c r="AS5001" s="2"/>
      <c r="AT5001" s="2" t="s">
        <v>15320</v>
      </c>
      <c r="AU5001" s="2"/>
      <c r="AV5001" s="2"/>
      <c r="AW5001" s="2"/>
      <c r="AX5001" s="2"/>
      <c r="AY5001" s="2">
        <v>41</v>
      </c>
      <c r="AZ5001" s="2" t="s">
        <v>82</v>
      </c>
      <c r="BA5001" s="2">
        <v>99</v>
      </c>
      <c r="BB5001" s="2" t="s">
        <v>2148</v>
      </c>
      <c r="BC5001" s="2">
        <v>41</v>
      </c>
      <c r="BD5001" s="2" t="s">
        <v>82</v>
      </c>
      <c r="BE5001" s="2">
        <v>41</v>
      </c>
      <c r="BF5001" s="2" t="s">
        <v>82</v>
      </c>
      <c r="BG5001" s="2"/>
      <c r="BH5001" s="2"/>
      <c r="BI5001" s="2"/>
      <c r="BJ5001" s="2">
        <v>241</v>
      </c>
      <c r="BK5001" s="2" t="s">
        <v>82</v>
      </c>
      <c r="BL5001" s="2"/>
      <c r="BM5001" s="2">
        <v>241</v>
      </c>
      <c r="BN5001" s="2" t="s">
        <v>82</v>
      </c>
      <c r="BO5001" s="2"/>
      <c r="BP5001" s="2">
        <v>241</v>
      </c>
      <c r="BQ5001" s="2" t="s">
        <v>82</v>
      </c>
      <c r="BR5001" s="2"/>
      <c r="BS5001" s="3">
        <v>40519</v>
      </c>
      <c r="BT5001" s="4">
        <v>4.4756944444444446E-2</v>
      </c>
    </row>
    <row r="5002" spans="1:72" x14ac:dyDescent="0.25">
      <c r="A5002" s="2">
        <v>7749</v>
      </c>
      <c r="B5002" s="2">
        <v>2010</v>
      </c>
      <c r="C5002" s="2" t="s">
        <v>72</v>
      </c>
      <c r="D5002" s="2" t="s">
        <v>73</v>
      </c>
      <c r="E5002" s="2"/>
      <c r="F5002" s="2">
        <v>2</v>
      </c>
      <c r="G5002" s="2" t="s">
        <v>113</v>
      </c>
      <c r="H5002" s="2">
        <v>1</v>
      </c>
      <c r="I5002" s="2" t="s">
        <v>82</v>
      </c>
      <c r="J5002" s="2">
        <v>300</v>
      </c>
      <c r="K5002" s="2" t="s">
        <v>114</v>
      </c>
      <c r="L5002" s="2" t="s">
        <v>115</v>
      </c>
      <c r="M5002" s="3">
        <v>40519</v>
      </c>
      <c r="N5002" s="2"/>
      <c r="O5002" s="2"/>
      <c r="P5002" s="2"/>
      <c r="Q5002" s="2" t="str">
        <f>"658-E/10"</f>
        <v>658-E/10</v>
      </c>
      <c r="R5002" s="2" t="s">
        <v>302</v>
      </c>
      <c r="S5002" s="2" t="s">
        <v>302</v>
      </c>
      <c r="T5002" s="2">
        <v>1</v>
      </c>
      <c r="U5002" s="2" t="s">
        <v>79</v>
      </c>
      <c r="V5002" s="2">
        <v>1</v>
      </c>
      <c r="W5002" s="2" t="s">
        <v>80</v>
      </c>
      <c r="X5002" s="2">
        <v>12</v>
      </c>
      <c r="Y5002" s="2" t="s">
        <v>148</v>
      </c>
      <c r="Z5002" s="2">
        <v>1</v>
      </c>
      <c r="AA5002" s="2" t="s">
        <v>82</v>
      </c>
      <c r="AB5002" s="2">
        <v>6</v>
      </c>
      <c r="AC5002" s="2" t="s">
        <v>83</v>
      </c>
      <c r="AD5002" s="3">
        <v>40518</v>
      </c>
      <c r="AE5002" s="2"/>
      <c r="AF5002" s="3">
        <v>40518</v>
      </c>
      <c r="AG5002" s="4">
        <v>0.45833333333333331</v>
      </c>
      <c r="AH5002" s="2">
        <v>2</v>
      </c>
      <c r="AI5002" s="2" t="s">
        <v>84</v>
      </c>
      <c r="AJ5002" s="2">
        <v>9</v>
      </c>
      <c r="AK5002" s="2" t="s">
        <v>103</v>
      </c>
      <c r="AL5002" s="2">
        <v>12</v>
      </c>
      <c r="AM5002" s="2" t="s">
        <v>86</v>
      </c>
      <c r="AN5002" s="2" t="s">
        <v>15321</v>
      </c>
      <c r="AO5002" s="2" t="s">
        <v>2887</v>
      </c>
      <c r="AP5002" s="2">
        <v>11</v>
      </c>
      <c r="AQ5002" s="2" t="s">
        <v>82</v>
      </c>
      <c r="AR5002" s="2"/>
      <c r="AS5002" s="2"/>
      <c r="AT5002" s="2" t="s">
        <v>15322</v>
      </c>
      <c r="AU5002" s="2"/>
      <c r="AV5002" s="2"/>
      <c r="AW5002" s="2">
        <v>4</v>
      </c>
      <c r="AX5002" s="2"/>
      <c r="AY5002" s="2">
        <v>41</v>
      </c>
      <c r="AZ5002" s="2" t="s">
        <v>82</v>
      </c>
      <c r="BA5002" s="2">
        <v>41</v>
      </c>
      <c r="BB5002" s="2" t="s">
        <v>82</v>
      </c>
      <c r="BC5002" s="2">
        <v>41</v>
      </c>
      <c r="BD5002" s="2" t="s">
        <v>82</v>
      </c>
      <c r="BE5002" s="2">
        <v>41</v>
      </c>
      <c r="BF5002" s="2" t="s">
        <v>82</v>
      </c>
      <c r="BG5002" s="2"/>
      <c r="BH5002" s="2"/>
      <c r="BI5002" s="2"/>
      <c r="BJ5002" s="2">
        <v>241</v>
      </c>
      <c r="BK5002" s="2" t="s">
        <v>82</v>
      </c>
      <c r="BL5002" s="2"/>
      <c r="BM5002" s="2">
        <v>241</v>
      </c>
      <c r="BN5002" s="2" t="s">
        <v>82</v>
      </c>
      <c r="BO5002" s="2"/>
      <c r="BP5002" s="2">
        <v>241</v>
      </c>
      <c r="BQ5002" s="2" t="s">
        <v>82</v>
      </c>
      <c r="BR5002" s="2"/>
      <c r="BS5002" s="3">
        <v>40519</v>
      </c>
      <c r="BT5002" s="4">
        <v>0.18399305555555556</v>
      </c>
    </row>
    <row r="5003" spans="1:72" x14ac:dyDescent="0.25">
      <c r="A5003" s="2">
        <v>7750</v>
      </c>
      <c r="B5003" s="2">
        <v>2010</v>
      </c>
      <c r="C5003" s="2" t="s">
        <v>171</v>
      </c>
      <c r="D5003" s="2" t="s">
        <v>73</v>
      </c>
      <c r="E5003" s="2"/>
      <c r="F5003" s="2">
        <v>400</v>
      </c>
      <c r="G5003" s="2" t="s">
        <v>3601</v>
      </c>
      <c r="H5003" s="2">
        <v>17</v>
      </c>
      <c r="I5003" s="2" t="s">
        <v>3602</v>
      </c>
      <c r="J5003" s="2">
        <v>692</v>
      </c>
      <c r="K5003" s="2" t="s">
        <v>574</v>
      </c>
      <c r="L5003" s="2" t="s">
        <v>575</v>
      </c>
      <c r="M5003" s="3">
        <v>40519</v>
      </c>
      <c r="N5003" s="2" t="s">
        <v>10789</v>
      </c>
      <c r="O5003" s="2"/>
      <c r="P5003" s="2"/>
      <c r="Q5003" s="2" t="str">
        <f>"659-E/10"</f>
        <v>659-E/10</v>
      </c>
      <c r="R5003" s="2" t="s">
        <v>5485</v>
      </c>
      <c r="S5003" s="2" t="s">
        <v>5485</v>
      </c>
      <c r="T5003" s="2">
        <v>1</v>
      </c>
      <c r="U5003" s="2" t="s">
        <v>79</v>
      </c>
      <c r="V5003" s="2">
        <v>1</v>
      </c>
      <c r="W5003" s="2" t="s">
        <v>80</v>
      </c>
      <c r="X5003" s="2">
        <v>12</v>
      </c>
      <c r="Y5003" s="2" t="s">
        <v>148</v>
      </c>
      <c r="Z5003" s="2">
        <v>1</v>
      </c>
      <c r="AA5003" s="2" t="s">
        <v>82</v>
      </c>
      <c r="AB5003" s="2">
        <v>1</v>
      </c>
      <c r="AC5003" s="2" t="s">
        <v>178</v>
      </c>
      <c r="AD5003" s="3">
        <v>40518</v>
      </c>
      <c r="AE5003" s="4">
        <v>0.49305555555555558</v>
      </c>
      <c r="AF5003" s="3">
        <v>40518</v>
      </c>
      <c r="AG5003" s="4">
        <v>0.625</v>
      </c>
      <c r="AH5003" s="2">
        <v>2</v>
      </c>
      <c r="AI5003" s="2" t="s">
        <v>84</v>
      </c>
      <c r="AJ5003" s="2">
        <v>9</v>
      </c>
      <c r="AK5003" s="2" t="s">
        <v>103</v>
      </c>
      <c r="AL5003" s="2">
        <v>25</v>
      </c>
      <c r="AM5003" s="2" t="s">
        <v>3073</v>
      </c>
      <c r="AN5003" s="2" t="s">
        <v>15323</v>
      </c>
      <c r="AO5003" s="2" t="s">
        <v>15324</v>
      </c>
      <c r="AP5003" s="2">
        <v>11</v>
      </c>
      <c r="AQ5003" s="2" t="s">
        <v>82</v>
      </c>
      <c r="AR5003" s="2"/>
      <c r="AS5003" s="2"/>
      <c r="AT5003" s="2" t="s">
        <v>15325</v>
      </c>
      <c r="AU5003" s="2"/>
      <c r="AV5003" s="2"/>
      <c r="AW5003" s="2"/>
      <c r="AX5003" s="2"/>
      <c r="AY5003" s="2">
        <v>41</v>
      </c>
      <c r="AZ5003" s="2" t="s">
        <v>82</v>
      </c>
      <c r="BA5003" s="2">
        <v>44</v>
      </c>
      <c r="BB5003" s="2" t="s">
        <v>262</v>
      </c>
      <c r="BC5003" s="2">
        <v>41</v>
      </c>
      <c r="BD5003" s="2" t="s">
        <v>82</v>
      </c>
      <c r="BE5003" s="2">
        <v>17</v>
      </c>
      <c r="BF5003" s="2" t="s">
        <v>508</v>
      </c>
      <c r="BG5003" s="2" t="s">
        <v>15326</v>
      </c>
      <c r="BH5003" s="2"/>
      <c r="BI5003" s="4">
        <v>0.52083333333333337</v>
      </c>
      <c r="BJ5003" s="2">
        <v>13</v>
      </c>
      <c r="BK5003" s="2" t="s">
        <v>91</v>
      </c>
      <c r="BL5003" s="2" t="s">
        <v>360</v>
      </c>
      <c r="BM5003" s="2">
        <v>66</v>
      </c>
      <c r="BN5003" s="2" t="s">
        <v>2681</v>
      </c>
      <c r="BO5003" s="2"/>
      <c r="BP5003" s="2">
        <v>66</v>
      </c>
      <c r="BQ5003" s="2" t="s">
        <v>2681</v>
      </c>
      <c r="BR5003" s="2" t="s">
        <v>2682</v>
      </c>
      <c r="BS5003" s="3">
        <v>40519</v>
      </c>
      <c r="BT5003" s="4">
        <v>0.24311342592592591</v>
      </c>
    </row>
    <row r="5004" spans="1:72" x14ac:dyDescent="0.25">
      <c r="A5004" s="2">
        <v>7751</v>
      </c>
      <c r="B5004" s="2">
        <v>2010</v>
      </c>
      <c r="C5004" s="2" t="s">
        <v>171</v>
      </c>
      <c r="D5004" s="2" t="s">
        <v>73</v>
      </c>
      <c r="E5004" s="2"/>
      <c r="F5004" s="2">
        <v>400</v>
      </c>
      <c r="G5004" s="2" t="s">
        <v>3601</v>
      </c>
      <c r="H5004" s="2">
        <v>17</v>
      </c>
      <c r="I5004" s="2" t="s">
        <v>3602</v>
      </c>
      <c r="J5004" s="2">
        <v>692</v>
      </c>
      <c r="K5004" s="2" t="s">
        <v>574</v>
      </c>
      <c r="L5004" s="2" t="s">
        <v>575</v>
      </c>
      <c r="M5004" s="3">
        <v>40519</v>
      </c>
      <c r="N5004" s="2" t="s">
        <v>10789</v>
      </c>
      <c r="O5004" s="2"/>
      <c r="P5004" s="2"/>
      <c r="Q5004" s="2" t="str">
        <f>"660-E/10"</f>
        <v>660-E/10</v>
      </c>
      <c r="R5004" s="2" t="s">
        <v>391</v>
      </c>
      <c r="S5004" s="2" t="s">
        <v>391</v>
      </c>
      <c r="T5004" s="2">
        <v>1</v>
      </c>
      <c r="U5004" s="2" t="s">
        <v>79</v>
      </c>
      <c r="V5004" s="2">
        <v>1</v>
      </c>
      <c r="W5004" s="2" t="s">
        <v>80</v>
      </c>
      <c r="X5004" s="2">
        <v>1</v>
      </c>
      <c r="Y5004" s="2" t="s">
        <v>81</v>
      </c>
      <c r="Z5004" s="2">
        <v>1</v>
      </c>
      <c r="AA5004" s="2" t="s">
        <v>82</v>
      </c>
      <c r="AB5004" s="2">
        <v>1</v>
      </c>
      <c r="AC5004" s="2" t="s">
        <v>178</v>
      </c>
      <c r="AD5004" s="3">
        <v>40518</v>
      </c>
      <c r="AE5004" s="4">
        <v>0.58333333333333337</v>
      </c>
      <c r="AF5004" s="3">
        <v>40518</v>
      </c>
      <c r="AG5004" s="4">
        <v>0.66666666666666663</v>
      </c>
      <c r="AH5004" s="2">
        <v>2</v>
      </c>
      <c r="AI5004" s="2" t="s">
        <v>84</v>
      </c>
      <c r="AJ5004" s="2">
        <v>9</v>
      </c>
      <c r="AK5004" s="2" t="s">
        <v>103</v>
      </c>
      <c r="AL5004" s="2">
        <v>25</v>
      </c>
      <c r="AM5004" s="2" t="s">
        <v>3073</v>
      </c>
      <c r="AN5004" s="2" t="s">
        <v>179</v>
      </c>
      <c r="AO5004" s="2" t="s">
        <v>987</v>
      </c>
      <c r="AP5004" s="2">
        <v>11</v>
      </c>
      <c r="AQ5004" s="2" t="s">
        <v>82</v>
      </c>
      <c r="AR5004" s="2"/>
      <c r="AS5004" s="2"/>
      <c r="AT5004" s="2" t="s">
        <v>15327</v>
      </c>
      <c r="AU5004" s="2"/>
      <c r="AV5004" s="2">
        <v>1</v>
      </c>
      <c r="AW5004" s="2"/>
      <c r="AX5004" s="2"/>
      <c r="AY5004" s="2">
        <v>41</v>
      </c>
      <c r="AZ5004" s="2" t="s">
        <v>82</v>
      </c>
      <c r="BA5004" s="2">
        <v>41</v>
      </c>
      <c r="BB5004" s="2" t="s">
        <v>82</v>
      </c>
      <c r="BC5004" s="2">
        <v>41</v>
      </c>
      <c r="BD5004" s="2" t="s">
        <v>82</v>
      </c>
      <c r="BE5004" s="2">
        <v>27</v>
      </c>
      <c r="BF5004" s="2" t="s">
        <v>2197</v>
      </c>
      <c r="BG5004" s="2" t="s">
        <v>15328</v>
      </c>
      <c r="BH5004" s="2"/>
      <c r="BI5004" s="4">
        <v>0.60416666666666663</v>
      </c>
      <c r="BJ5004" s="2">
        <v>13</v>
      </c>
      <c r="BK5004" s="2" t="s">
        <v>91</v>
      </c>
      <c r="BL5004" s="2" t="s">
        <v>360</v>
      </c>
      <c r="BM5004" s="2">
        <v>112</v>
      </c>
      <c r="BN5004" s="2" t="s">
        <v>110</v>
      </c>
      <c r="BO5004" s="2"/>
      <c r="BP5004" s="2">
        <v>112</v>
      </c>
      <c r="BQ5004" s="2" t="s">
        <v>110</v>
      </c>
      <c r="BR5004" s="2" t="s">
        <v>111</v>
      </c>
      <c r="BS5004" s="3">
        <v>40519</v>
      </c>
      <c r="BT5004" s="4">
        <v>0.28268518518518521</v>
      </c>
    </row>
    <row r="5005" spans="1:72" x14ac:dyDescent="0.25">
      <c r="A5005" s="2">
        <v>7752</v>
      </c>
      <c r="B5005" s="2">
        <v>2010</v>
      </c>
      <c r="C5005" s="2" t="s">
        <v>819</v>
      </c>
      <c r="D5005" s="2" t="s">
        <v>73</v>
      </c>
      <c r="E5005" s="2"/>
      <c r="F5005" s="2">
        <v>400</v>
      </c>
      <c r="G5005" s="2" t="s">
        <v>3601</v>
      </c>
      <c r="H5005" s="2">
        <v>17</v>
      </c>
      <c r="I5005" s="2" t="s">
        <v>3602</v>
      </c>
      <c r="J5005" s="2">
        <v>692</v>
      </c>
      <c r="K5005" s="2" t="s">
        <v>574</v>
      </c>
      <c r="L5005" s="2" t="s">
        <v>575</v>
      </c>
      <c r="M5005" s="3">
        <v>40519</v>
      </c>
      <c r="N5005" s="2" t="s">
        <v>10789</v>
      </c>
      <c r="O5005" s="2"/>
      <c r="P5005" s="2"/>
      <c r="Q5005" s="2" t="str">
        <f>"661-E/10"</f>
        <v>661-E/10</v>
      </c>
      <c r="R5005" s="2" t="s">
        <v>15329</v>
      </c>
      <c r="S5005" s="2" t="s">
        <v>15329</v>
      </c>
      <c r="T5005" s="2">
        <v>1</v>
      </c>
      <c r="U5005" s="2" t="s">
        <v>79</v>
      </c>
      <c r="V5005" s="2">
        <v>1</v>
      </c>
      <c r="W5005" s="2" t="s">
        <v>80</v>
      </c>
      <c r="X5005" s="2">
        <v>1</v>
      </c>
      <c r="Y5005" s="2" t="s">
        <v>81</v>
      </c>
      <c r="Z5005" s="2">
        <v>1</v>
      </c>
      <c r="AA5005" s="2" t="s">
        <v>82</v>
      </c>
      <c r="AB5005" s="2">
        <v>9</v>
      </c>
      <c r="AC5005" s="2" t="s">
        <v>124</v>
      </c>
      <c r="AD5005" s="3">
        <v>40518</v>
      </c>
      <c r="AE5005" s="4">
        <v>0.77083333333333337</v>
      </c>
      <c r="AF5005" s="3">
        <v>40518</v>
      </c>
      <c r="AG5005" s="4">
        <v>0.97916666666666663</v>
      </c>
      <c r="AH5005" s="2">
        <v>2</v>
      </c>
      <c r="AI5005" s="2" t="s">
        <v>84</v>
      </c>
      <c r="AJ5005" s="2">
        <v>9</v>
      </c>
      <c r="AK5005" s="2" t="s">
        <v>103</v>
      </c>
      <c r="AL5005" s="2">
        <v>11</v>
      </c>
      <c r="AM5005" s="2" t="s">
        <v>137</v>
      </c>
      <c r="AN5005" s="2" t="s">
        <v>15330</v>
      </c>
      <c r="AO5005" s="2" t="s">
        <v>987</v>
      </c>
      <c r="AP5005" s="2">
        <v>11</v>
      </c>
      <c r="AQ5005" s="2" t="s">
        <v>82</v>
      </c>
      <c r="AR5005" s="2"/>
      <c r="AS5005" s="2"/>
      <c r="AT5005" s="2" t="s">
        <v>15331</v>
      </c>
      <c r="AU5005" s="2"/>
      <c r="AV5005" s="2"/>
      <c r="AW5005" s="2"/>
      <c r="AX5005" s="2"/>
      <c r="AY5005" s="2">
        <v>41</v>
      </c>
      <c r="AZ5005" s="2" t="s">
        <v>82</v>
      </c>
      <c r="BA5005" s="2">
        <v>41</v>
      </c>
      <c r="BB5005" s="2" t="s">
        <v>82</v>
      </c>
      <c r="BC5005" s="2">
        <v>41</v>
      </c>
      <c r="BD5005" s="2" t="s">
        <v>82</v>
      </c>
      <c r="BE5005" s="2">
        <v>17</v>
      </c>
      <c r="BF5005" s="2" t="s">
        <v>508</v>
      </c>
      <c r="BG5005" s="2" t="s">
        <v>9875</v>
      </c>
      <c r="BH5005" s="2"/>
      <c r="BI5005" s="2"/>
      <c r="BJ5005" s="2">
        <v>13</v>
      </c>
      <c r="BK5005" s="2" t="s">
        <v>91</v>
      </c>
      <c r="BL5005" s="2" t="s">
        <v>360</v>
      </c>
      <c r="BM5005" s="2">
        <v>46</v>
      </c>
      <c r="BN5005" s="2" t="s">
        <v>307</v>
      </c>
      <c r="BO5005" s="2"/>
      <c r="BP5005" s="2">
        <v>46</v>
      </c>
      <c r="BQ5005" s="2" t="s">
        <v>307</v>
      </c>
      <c r="BR5005" s="2" t="s">
        <v>308</v>
      </c>
      <c r="BS5005" s="3">
        <v>40519</v>
      </c>
      <c r="BT5005" s="4">
        <v>0.31135416666666665</v>
      </c>
    </row>
    <row r="5006" spans="1:72" x14ac:dyDescent="0.25">
      <c r="A5006" s="2">
        <v>7753</v>
      </c>
      <c r="B5006" s="2">
        <v>2010</v>
      </c>
      <c r="C5006" s="2" t="s">
        <v>171</v>
      </c>
      <c r="D5006" s="2" t="s">
        <v>73</v>
      </c>
      <c r="E5006" s="2"/>
      <c r="F5006" s="2">
        <v>146</v>
      </c>
      <c r="G5006" s="2" t="s">
        <v>753</v>
      </c>
      <c r="H5006" s="2">
        <v>44</v>
      </c>
      <c r="I5006" s="2" t="s">
        <v>1272</v>
      </c>
      <c r="J5006" s="2">
        <v>161</v>
      </c>
      <c r="K5006" s="2" t="s">
        <v>1900</v>
      </c>
      <c r="L5006" s="2" t="s">
        <v>1901</v>
      </c>
      <c r="M5006" s="3">
        <v>40519</v>
      </c>
      <c r="N5006" s="2" t="s">
        <v>9100</v>
      </c>
      <c r="O5006" s="2" t="s">
        <v>15332</v>
      </c>
      <c r="P5006" s="7">
        <v>19171</v>
      </c>
      <c r="Q5006" s="2" t="str">
        <f>"0018-10"</f>
        <v>0018-10</v>
      </c>
      <c r="R5006" s="2"/>
      <c r="S5006" s="2" t="s">
        <v>15333</v>
      </c>
      <c r="T5006" s="2">
        <v>1</v>
      </c>
      <c r="U5006" s="2" t="s">
        <v>79</v>
      </c>
      <c r="V5006" s="2">
        <v>1</v>
      </c>
      <c r="W5006" s="2" t="s">
        <v>80</v>
      </c>
      <c r="X5006" s="2">
        <v>9</v>
      </c>
      <c r="Y5006" s="2" t="s">
        <v>3393</v>
      </c>
      <c r="Z5006" s="2">
        <v>1</v>
      </c>
      <c r="AA5006" s="2" t="s">
        <v>82</v>
      </c>
      <c r="AB5006" s="2">
        <v>1</v>
      </c>
      <c r="AC5006" s="2" t="s">
        <v>178</v>
      </c>
      <c r="AD5006" s="3">
        <v>40518</v>
      </c>
      <c r="AE5006" s="4">
        <v>0.75694444444444453</v>
      </c>
      <c r="AF5006" s="3">
        <v>40518</v>
      </c>
      <c r="AG5006" s="4">
        <v>0.75694444444444453</v>
      </c>
      <c r="AH5006" s="2">
        <v>6</v>
      </c>
      <c r="AI5006" s="2" t="s">
        <v>197</v>
      </c>
      <c r="AJ5006" s="2">
        <v>60</v>
      </c>
      <c r="AK5006" s="2" t="s">
        <v>543</v>
      </c>
      <c r="AL5006" s="2">
        <v>23</v>
      </c>
      <c r="AM5006" s="2" t="s">
        <v>251</v>
      </c>
      <c r="AN5006" s="2" t="s">
        <v>15334</v>
      </c>
      <c r="AO5006" s="2" t="s">
        <v>4913</v>
      </c>
      <c r="AP5006" s="2">
        <v>11</v>
      </c>
      <c r="AQ5006" s="2" t="s">
        <v>82</v>
      </c>
      <c r="AR5006" s="2" t="s">
        <v>82</v>
      </c>
      <c r="AS5006" s="2" t="s">
        <v>82</v>
      </c>
      <c r="AT5006" s="2" t="s">
        <v>15335</v>
      </c>
      <c r="AU5006" s="2"/>
      <c r="AV5006" s="2">
        <v>3</v>
      </c>
      <c r="AW5006" s="2"/>
      <c r="AX5006" s="2"/>
      <c r="AY5006" s="2">
        <v>41</v>
      </c>
      <c r="AZ5006" s="2" t="s">
        <v>82</v>
      </c>
      <c r="BA5006" s="2">
        <v>41</v>
      </c>
      <c r="BB5006" s="2" t="s">
        <v>82</v>
      </c>
      <c r="BC5006" s="2">
        <v>41</v>
      </c>
      <c r="BD5006" s="2" t="s">
        <v>82</v>
      </c>
      <c r="BE5006" s="2">
        <v>41</v>
      </c>
      <c r="BF5006" s="2" t="s">
        <v>82</v>
      </c>
      <c r="BG5006" s="2"/>
      <c r="BH5006" s="2"/>
      <c r="BI5006" s="2"/>
      <c r="BJ5006" s="2">
        <v>241</v>
      </c>
      <c r="BK5006" s="2" t="s">
        <v>82</v>
      </c>
      <c r="BL5006" s="2"/>
      <c r="BM5006" s="2">
        <v>241</v>
      </c>
      <c r="BN5006" s="2" t="s">
        <v>82</v>
      </c>
      <c r="BO5006" s="2"/>
      <c r="BP5006" s="2">
        <v>241</v>
      </c>
      <c r="BQ5006" s="2" t="s">
        <v>82</v>
      </c>
      <c r="BR5006" s="2"/>
      <c r="BS5006" s="3">
        <v>40519</v>
      </c>
      <c r="BT5006" s="4">
        <v>0.3564930555555556</v>
      </c>
    </row>
    <row r="5007" spans="1:72" x14ac:dyDescent="0.25">
      <c r="A5007" s="2">
        <v>7755</v>
      </c>
      <c r="B5007" s="2">
        <v>2010</v>
      </c>
      <c r="C5007" s="2" t="s">
        <v>4543</v>
      </c>
      <c r="D5007" s="2" t="s">
        <v>122</v>
      </c>
      <c r="E5007" s="2"/>
      <c r="F5007" s="2">
        <v>1</v>
      </c>
      <c r="G5007" s="2" t="s">
        <v>82</v>
      </c>
      <c r="H5007" s="2">
        <v>1</v>
      </c>
      <c r="I5007" s="2" t="s">
        <v>82</v>
      </c>
      <c r="J5007" s="2">
        <v>1</v>
      </c>
      <c r="K5007" s="2" t="s">
        <v>107</v>
      </c>
      <c r="L5007" s="2" t="s">
        <v>107</v>
      </c>
      <c r="M5007" s="3">
        <v>40519</v>
      </c>
      <c r="N5007" s="2"/>
      <c r="O5007" s="2"/>
      <c r="P5007" s="2"/>
      <c r="Q5007" s="2" t="str">
        <f>""</f>
        <v/>
      </c>
      <c r="R5007" s="2"/>
      <c r="S5007" s="2"/>
      <c r="T5007" s="2">
        <v>2</v>
      </c>
      <c r="U5007" s="2" t="s">
        <v>123</v>
      </c>
      <c r="V5007" s="2">
        <v>1</v>
      </c>
      <c r="W5007" s="2" t="s">
        <v>80</v>
      </c>
      <c r="X5007" s="2">
        <v>11</v>
      </c>
      <c r="Y5007" s="2" t="s">
        <v>1920</v>
      </c>
      <c r="Z5007" s="2">
        <v>1</v>
      </c>
      <c r="AA5007" s="2" t="s">
        <v>82</v>
      </c>
      <c r="AB5007" s="2">
        <v>9</v>
      </c>
      <c r="AC5007" s="2" t="s">
        <v>124</v>
      </c>
      <c r="AD5007" s="3">
        <v>40519</v>
      </c>
      <c r="AE5007" s="4">
        <v>0.20833333333333334</v>
      </c>
      <c r="AF5007" s="3">
        <v>40519</v>
      </c>
      <c r="AG5007" s="4">
        <v>0.20833333333333334</v>
      </c>
      <c r="AH5007" s="2">
        <v>6</v>
      </c>
      <c r="AI5007" s="2" t="s">
        <v>197</v>
      </c>
      <c r="AJ5007" s="2">
        <v>54</v>
      </c>
      <c r="AK5007" s="2" t="s">
        <v>348</v>
      </c>
      <c r="AL5007" s="2">
        <v>10</v>
      </c>
      <c r="AM5007" s="2" t="s">
        <v>200</v>
      </c>
      <c r="AN5007" s="2"/>
      <c r="AO5007" s="2" t="s">
        <v>595</v>
      </c>
      <c r="AP5007" s="2">
        <v>14</v>
      </c>
      <c r="AQ5007" s="2" t="s">
        <v>3301</v>
      </c>
      <c r="AR5007" s="2" t="s">
        <v>596</v>
      </c>
      <c r="AS5007" s="2" t="s">
        <v>596</v>
      </c>
      <c r="AT5007" s="2" t="s">
        <v>15336</v>
      </c>
      <c r="AU5007" s="2"/>
      <c r="AV5007" s="2"/>
      <c r="AW5007" s="2"/>
      <c r="AX5007" s="2"/>
      <c r="AY5007" s="2">
        <v>41</v>
      </c>
      <c r="AZ5007" s="2" t="s">
        <v>82</v>
      </c>
      <c r="BA5007" s="2">
        <v>41</v>
      </c>
      <c r="BB5007" s="2" t="s">
        <v>82</v>
      </c>
      <c r="BC5007" s="2">
        <v>41</v>
      </c>
      <c r="BD5007" s="2" t="s">
        <v>82</v>
      </c>
      <c r="BE5007" s="2">
        <v>4</v>
      </c>
      <c r="BF5007" s="2" t="s">
        <v>90</v>
      </c>
      <c r="BG5007" s="2" t="s">
        <v>598</v>
      </c>
      <c r="BH5007" s="2"/>
      <c r="BI5007" s="4">
        <v>0.16805555555555554</v>
      </c>
      <c r="BJ5007" s="2">
        <v>13</v>
      </c>
      <c r="BK5007" s="2" t="s">
        <v>91</v>
      </c>
      <c r="BL5007" s="2" t="s">
        <v>2764</v>
      </c>
      <c r="BM5007" s="2">
        <v>13</v>
      </c>
      <c r="BN5007" s="2" t="s">
        <v>91</v>
      </c>
      <c r="BO5007" s="2"/>
      <c r="BP5007" s="2">
        <v>13</v>
      </c>
      <c r="BQ5007" s="2" t="s">
        <v>91</v>
      </c>
      <c r="BR5007" s="2" t="s">
        <v>15337</v>
      </c>
      <c r="BS5007" s="3">
        <v>40519</v>
      </c>
      <c r="BT5007" s="4">
        <v>0.38267361111111109</v>
      </c>
    </row>
    <row r="5008" spans="1:72" x14ac:dyDescent="0.25">
      <c r="A5008" s="2">
        <v>7756</v>
      </c>
      <c r="B5008" s="2">
        <v>2010</v>
      </c>
      <c r="C5008" s="2" t="s">
        <v>4543</v>
      </c>
      <c r="D5008" s="2" t="s">
        <v>122</v>
      </c>
      <c r="E5008" s="2"/>
      <c r="F5008" s="2">
        <v>1</v>
      </c>
      <c r="G5008" s="2" t="s">
        <v>82</v>
      </c>
      <c r="H5008" s="2">
        <v>1</v>
      </c>
      <c r="I5008" s="2" t="s">
        <v>82</v>
      </c>
      <c r="J5008" s="2">
        <v>1</v>
      </c>
      <c r="K5008" s="2" t="s">
        <v>107</v>
      </c>
      <c r="L5008" s="2" t="s">
        <v>107</v>
      </c>
      <c r="M5008" s="3">
        <v>40519</v>
      </c>
      <c r="N5008" s="2"/>
      <c r="O5008" s="2"/>
      <c r="P5008" s="2"/>
      <c r="Q5008" s="2" t="str">
        <f>""</f>
        <v/>
      </c>
      <c r="R5008" s="2"/>
      <c r="S5008" s="2"/>
      <c r="T5008" s="2">
        <v>2</v>
      </c>
      <c r="U5008" s="2" t="s">
        <v>123</v>
      </c>
      <c r="V5008" s="2">
        <v>1</v>
      </c>
      <c r="W5008" s="2" t="s">
        <v>80</v>
      </c>
      <c r="X5008" s="2">
        <v>11</v>
      </c>
      <c r="Y5008" s="2" t="s">
        <v>1920</v>
      </c>
      <c r="Z5008" s="2">
        <v>1</v>
      </c>
      <c r="AA5008" s="2" t="s">
        <v>82</v>
      </c>
      <c r="AB5008" s="2">
        <v>9</v>
      </c>
      <c r="AC5008" s="2" t="s">
        <v>124</v>
      </c>
      <c r="AD5008" s="3">
        <v>40519</v>
      </c>
      <c r="AE5008" s="4">
        <v>0.3888888888888889</v>
      </c>
      <c r="AF5008" s="3">
        <v>40519</v>
      </c>
      <c r="AG5008" s="4">
        <v>0.3888888888888889</v>
      </c>
      <c r="AH5008" s="2">
        <v>6</v>
      </c>
      <c r="AI5008" s="2" t="s">
        <v>197</v>
      </c>
      <c r="AJ5008" s="2">
        <v>54</v>
      </c>
      <c r="AK5008" s="2" t="s">
        <v>348</v>
      </c>
      <c r="AL5008" s="2">
        <v>10</v>
      </c>
      <c r="AM5008" s="2" t="s">
        <v>200</v>
      </c>
      <c r="AN5008" s="2"/>
      <c r="AO5008" s="2" t="s">
        <v>595</v>
      </c>
      <c r="AP5008" s="2">
        <v>12</v>
      </c>
      <c r="AQ5008" s="2" t="s">
        <v>322</v>
      </c>
      <c r="AR5008" s="2" t="s">
        <v>596</v>
      </c>
      <c r="AS5008" s="2" t="s">
        <v>596</v>
      </c>
      <c r="AT5008" s="2" t="s">
        <v>15338</v>
      </c>
      <c r="AU5008" s="2"/>
      <c r="AV5008" s="2"/>
      <c r="AW5008" s="2"/>
      <c r="AX5008" s="2"/>
      <c r="AY5008" s="2">
        <v>41</v>
      </c>
      <c r="AZ5008" s="2" t="s">
        <v>82</v>
      </c>
      <c r="BA5008" s="2">
        <v>41</v>
      </c>
      <c r="BB5008" s="2" t="s">
        <v>82</v>
      </c>
      <c r="BC5008" s="2">
        <v>41</v>
      </c>
      <c r="BD5008" s="2" t="s">
        <v>82</v>
      </c>
      <c r="BE5008" s="2">
        <v>47</v>
      </c>
      <c r="BF5008" s="2" t="s">
        <v>167</v>
      </c>
      <c r="BG5008" s="2" t="s">
        <v>1165</v>
      </c>
      <c r="BH5008" s="2"/>
      <c r="BI5008" s="4">
        <v>0.34375</v>
      </c>
      <c r="BJ5008" s="2">
        <v>13</v>
      </c>
      <c r="BK5008" s="2" t="s">
        <v>91</v>
      </c>
      <c r="BL5008" s="2" t="s">
        <v>15339</v>
      </c>
      <c r="BM5008" s="2">
        <v>13</v>
      </c>
      <c r="BN5008" s="2" t="s">
        <v>91</v>
      </c>
      <c r="BO5008" s="2"/>
      <c r="BP5008" s="2">
        <v>13</v>
      </c>
      <c r="BQ5008" s="2" t="s">
        <v>91</v>
      </c>
      <c r="BR5008" s="2" t="s">
        <v>2168</v>
      </c>
      <c r="BS5008" s="3">
        <v>40519</v>
      </c>
      <c r="BT5008" s="4">
        <v>0.39584490740740735</v>
      </c>
    </row>
    <row r="5009" spans="1:72" x14ac:dyDescent="0.25">
      <c r="A5009" s="2">
        <v>7757</v>
      </c>
      <c r="B5009" s="2">
        <v>2010</v>
      </c>
      <c r="C5009" s="2" t="s">
        <v>171</v>
      </c>
      <c r="D5009" s="2" t="s">
        <v>73</v>
      </c>
      <c r="E5009" s="2" t="s">
        <v>15340</v>
      </c>
      <c r="F5009" s="2">
        <v>451</v>
      </c>
      <c r="G5009" s="2" t="s">
        <v>879</v>
      </c>
      <c r="H5009" s="2">
        <v>31</v>
      </c>
      <c r="I5009" s="2" t="s">
        <v>880</v>
      </c>
      <c r="J5009" s="2">
        <v>326</v>
      </c>
      <c r="K5009" s="2" t="s">
        <v>881</v>
      </c>
      <c r="L5009" s="2" t="s">
        <v>882</v>
      </c>
      <c r="M5009" s="3">
        <v>40519</v>
      </c>
      <c r="N5009" s="2" t="s">
        <v>13500</v>
      </c>
      <c r="O5009" s="2" t="s">
        <v>13501</v>
      </c>
      <c r="P5009" s="2" t="s">
        <v>13502</v>
      </c>
      <c r="Q5009" s="2" t="str">
        <f>"109/10"</f>
        <v>109/10</v>
      </c>
      <c r="R5009" s="2"/>
      <c r="S5009" s="2"/>
      <c r="T5009" s="2">
        <v>1</v>
      </c>
      <c r="U5009" s="2" t="s">
        <v>79</v>
      </c>
      <c r="V5009" s="2">
        <v>3</v>
      </c>
      <c r="W5009" s="2" t="s">
        <v>225</v>
      </c>
      <c r="X5009" s="2">
        <v>6</v>
      </c>
      <c r="Y5009" s="2" t="s">
        <v>249</v>
      </c>
      <c r="Z5009" s="2">
        <v>1</v>
      </c>
      <c r="AA5009" s="2" t="s">
        <v>82</v>
      </c>
      <c r="AB5009" s="2">
        <v>9</v>
      </c>
      <c r="AC5009" s="2" t="s">
        <v>124</v>
      </c>
      <c r="AD5009" s="2"/>
      <c r="AE5009" s="2"/>
      <c r="AF5009" s="3">
        <v>40469</v>
      </c>
      <c r="AG5009" s="2"/>
      <c r="AH5009" s="2">
        <v>4</v>
      </c>
      <c r="AI5009" s="2" t="s">
        <v>125</v>
      </c>
      <c r="AJ5009" s="2">
        <v>26</v>
      </c>
      <c r="AK5009" s="2" t="s">
        <v>293</v>
      </c>
      <c r="AL5009" s="2">
        <v>23</v>
      </c>
      <c r="AM5009" s="2" t="s">
        <v>251</v>
      </c>
      <c r="AN5009" s="2"/>
      <c r="AO5009" s="2" t="s">
        <v>15341</v>
      </c>
      <c r="AP5009" s="2">
        <v>11</v>
      </c>
      <c r="AQ5009" s="2" t="s">
        <v>82</v>
      </c>
      <c r="AR5009" s="2"/>
      <c r="AS5009" s="2"/>
      <c r="AT5009" s="2" t="s">
        <v>15342</v>
      </c>
      <c r="AU5009" s="2"/>
      <c r="AV5009" s="2"/>
      <c r="AW5009" s="2"/>
      <c r="AX5009" s="2"/>
      <c r="AY5009" s="2">
        <v>41</v>
      </c>
      <c r="AZ5009" s="2" t="s">
        <v>82</v>
      </c>
      <c r="BA5009" s="2">
        <v>41</v>
      </c>
      <c r="BB5009" s="2" t="s">
        <v>82</v>
      </c>
      <c r="BC5009" s="2">
        <v>41</v>
      </c>
      <c r="BD5009" s="2" t="s">
        <v>82</v>
      </c>
      <c r="BE5009" s="2">
        <v>41</v>
      </c>
      <c r="BF5009" s="2" t="s">
        <v>82</v>
      </c>
      <c r="BG5009" s="2"/>
      <c r="BH5009" s="2"/>
      <c r="BI5009" s="2"/>
      <c r="BJ5009" s="2">
        <v>241</v>
      </c>
      <c r="BK5009" s="2" t="s">
        <v>82</v>
      </c>
      <c r="BL5009" s="2"/>
      <c r="BM5009" s="2">
        <v>241</v>
      </c>
      <c r="BN5009" s="2" t="s">
        <v>82</v>
      </c>
      <c r="BO5009" s="2"/>
      <c r="BP5009" s="2">
        <v>241</v>
      </c>
      <c r="BQ5009" s="2" t="s">
        <v>82</v>
      </c>
      <c r="BR5009" s="2"/>
      <c r="BS5009" s="3">
        <v>40519</v>
      </c>
      <c r="BT5009" s="4">
        <v>0.39736111111111111</v>
      </c>
    </row>
    <row r="5010" spans="1:72" x14ac:dyDescent="0.25">
      <c r="A5010" s="2">
        <v>7760</v>
      </c>
      <c r="B5010" s="2">
        <v>2010</v>
      </c>
      <c r="C5010" s="2" t="s">
        <v>4543</v>
      </c>
      <c r="D5010" s="2" t="s">
        <v>122</v>
      </c>
      <c r="E5010" s="2"/>
      <c r="F5010" s="2">
        <v>60</v>
      </c>
      <c r="G5010" s="2" t="s">
        <v>15343</v>
      </c>
      <c r="H5010" s="2">
        <v>99</v>
      </c>
      <c r="I5010" s="2" t="s">
        <v>6285</v>
      </c>
      <c r="J5010" s="2">
        <v>92</v>
      </c>
      <c r="K5010" s="2" t="s">
        <v>15344</v>
      </c>
      <c r="L5010" s="2" t="s">
        <v>15345</v>
      </c>
      <c r="M5010" s="3">
        <v>40519</v>
      </c>
      <c r="N5010" s="2" t="s">
        <v>15346</v>
      </c>
      <c r="O5010" s="2"/>
      <c r="P5010" s="2"/>
      <c r="Q5010" s="2" t="str">
        <f>"037/10"</f>
        <v>037/10</v>
      </c>
      <c r="R5010" s="2"/>
      <c r="S5010" s="2" t="s">
        <v>15347</v>
      </c>
      <c r="T5010" s="2">
        <v>2</v>
      </c>
      <c r="U5010" s="2" t="s">
        <v>123</v>
      </c>
      <c r="V5010" s="2">
        <v>1</v>
      </c>
      <c r="W5010" s="2" t="s">
        <v>80</v>
      </c>
      <c r="X5010" s="2">
        <v>1</v>
      </c>
      <c r="Y5010" s="2" t="s">
        <v>81</v>
      </c>
      <c r="Z5010" s="2">
        <v>10</v>
      </c>
      <c r="AA5010" s="2" t="s">
        <v>236</v>
      </c>
      <c r="AB5010" s="2">
        <v>9</v>
      </c>
      <c r="AC5010" s="2" t="s">
        <v>124</v>
      </c>
      <c r="AD5010" s="3">
        <v>40519</v>
      </c>
      <c r="AE5010" s="4">
        <v>0.3125</v>
      </c>
      <c r="AF5010" s="3">
        <v>40519</v>
      </c>
      <c r="AG5010" s="4">
        <v>0.3125</v>
      </c>
      <c r="AH5010" s="2">
        <v>4</v>
      </c>
      <c r="AI5010" s="2" t="s">
        <v>125</v>
      </c>
      <c r="AJ5010" s="2">
        <v>28</v>
      </c>
      <c r="AK5010" s="2" t="s">
        <v>741</v>
      </c>
      <c r="AL5010" s="2">
        <v>21</v>
      </c>
      <c r="AM5010" s="2" t="s">
        <v>1311</v>
      </c>
      <c r="AN5010" s="2" t="s">
        <v>15348</v>
      </c>
      <c r="AO5010" s="2" t="s">
        <v>15349</v>
      </c>
      <c r="AP5010" s="2">
        <v>11</v>
      </c>
      <c r="AQ5010" s="2" t="s">
        <v>82</v>
      </c>
      <c r="AR5010" s="2"/>
      <c r="AS5010" s="2"/>
      <c r="AT5010" s="2" t="s">
        <v>15350</v>
      </c>
      <c r="AU5010" s="2"/>
      <c r="AV5010" s="2"/>
      <c r="AW5010" s="2"/>
      <c r="AX5010" s="2"/>
      <c r="AY5010" s="2">
        <v>41</v>
      </c>
      <c r="AZ5010" s="2" t="s">
        <v>82</v>
      </c>
      <c r="BA5010" s="2">
        <v>41</v>
      </c>
      <c r="BB5010" s="2" t="s">
        <v>82</v>
      </c>
      <c r="BC5010" s="2">
        <v>41</v>
      </c>
      <c r="BD5010" s="2" t="s">
        <v>82</v>
      </c>
      <c r="BE5010" s="2">
        <v>41</v>
      </c>
      <c r="BF5010" s="2" t="s">
        <v>82</v>
      </c>
      <c r="BG5010" s="2"/>
      <c r="BH5010" s="2"/>
      <c r="BI5010" s="2"/>
      <c r="BJ5010" s="2">
        <v>241</v>
      </c>
      <c r="BK5010" s="2" t="s">
        <v>82</v>
      </c>
      <c r="BL5010" s="2"/>
      <c r="BM5010" s="2">
        <v>241</v>
      </c>
      <c r="BN5010" s="2" t="s">
        <v>82</v>
      </c>
      <c r="BO5010" s="2"/>
      <c r="BP5010" s="2">
        <v>241</v>
      </c>
      <c r="BQ5010" s="2" t="s">
        <v>82</v>
      </c>
      <c r="BR5010" s="2"/>
      <c r="BS5010" s="3">
        <v>40519</v>
      </c>
      <c r="BT5010" s="4">
        <v>0.47282407407407406</v>
      </c>
    </row>
    <row r="5011" spans="1:72" x14ac:dyDescent="0.25">
      <c r="A5011" s="2">
        <v>7763</v>
      </c>
      <c r="B5011" s="2">
        <v>2010</v>
      </c>
      <c r="C5011" s="2" t="s">
        <v>806</v>
      </c>
      <c r="D5011" s="2" t="s">
        <v>73</v>
      </c>
      <c r="E5011" s="2"/>
      <c r="F5011" s="2">
        <v>338</v>
      </c>
      <c r="G5011" s="2" t="s">
        <v>4459</v>
      </c>
      <c r="H5011" s="2">
        <v>89</v>
      </c>
      <c r="I5011" s="2" t="s">
        <v>5137</v>
      </c>
      <c r="J5011" s="2">
        <v>309</v>
      </c>
      <c r="K5011" s="2" t="s">
        <v>268</v>
      </c>
      <c r="L5011" s="2" t="s">
        <v>269</v>
      </c>
      <c r="M5011" s="3">
        <v>40519</v>
      </c>
      <c r="N5011" s="2" t="s">
        <v>15351</v>
      </c>
      <c r="O5011" s="2" t="s">
        <v>15352</v>
      </c>
      <c r="P5011" s="2" t="s">
        <v>15353</v>
      </c>
      <c r="Q5011" s="2" t="str">
        <f>"18/10"</f>
        <v>18/10</v>
      </c>
      <c r="R5011" s="2" t="s">
        <v>82</v>
      </c>
      <c r="S5011" s="2" t="s">
        <v>82</v>
      </c>
      <c r="T5011" s="2">
        <v>1</v>
      </c>
      <c r="U5011" s="2" t="s">
        <v>79</v>
      </c>
      <c r="V5011" s="2">
        <v>3</v>
      </c>
      <c r="W5011" s="2" t="s">
        <v>225</v>
      </c>
      <c r="X5011" s="2">
        <v>6</v>
      </c>
      <c r="Y5011" s="2" t="s">
        <v>249</v>
      </c>
      <c r="Z5011" s="2">
        <v>1</v>
      </c>
      <c r="AA5011" s="2" t="s">
        <v>82</v>
      </c>
      <c r="AB5011" s="2">
        <v>9</v>
      </c>
      <c r="AC5011" s="2" t="s">
        <v>124</v>
      </c>
      <c r="AD5011" s="3">
        <v>40501</v>
      </c>
      <c r="AE5011" s="4">
        <v>0.81319444444444444</v>
      </c>
      <c r="AF5011" s="3">
        <v>40519</v>
      </c>
      <c r="AG5011" s="4">
        <v>0.5395833333333333</v>
      </c>
      <c r="AH5011" s="2">
        <v>3</v>
      </c>
      <c r="AI5011" s="2" t="s">
        <v>214</v>
      </c>
      <c r="AJ5011" s="2">
        <v>14</v>
      </c>
      <c r="AK5011" s="2" t="s">
        <v>342</v>
      </c>
      <c r="AL5011" s="2">
        <v>23</v>
      </c>
      <c r="AM5011" s="2" t="s">
        <v>251</v>
      </c>
      <c r="AN5011" s="2" t="s">
        <v>15354</v>
      </c>
      <c r="AO5011" s="2" t="s">
        <v>82</v>
      </c>
      <c r="AP5011" s="2">
        <v>11</v>
      </c>
      <c r="AQ5011" s="2" t="s">
        <v>82</v>
      </c>
      <c r="AR5011" s="2"/>
      <c r="AS5011" s="2"/>
      <c r="AT5011" s="2" t="s">
        <v>15355</v>
      </c>
      <c r="AU5011" s="2"/>
      <c r="AV5011" s="2"/>
      <c r="AW5011" s="2"/>
      <c r="AX5011" s="2"/>
      <c r="AY5011" s="2">
        <v>41</v>
      </c>
      <c r="AZ5011" s="2" t="s">
        <v>82</v>
      </c>
      <c r="BA5011" s="2">
        <v>41</v>
      </c>
      <c r="BB5011" s="2" t="s">
        <v>82</v>
      </c>
      <c r="BC5011" s="2">
        <v>41</v>
      </c>
      <c r="BD5011" s="2" t="s">
        <v>82</v>
      </c>
      <c r="BE5011" s="2">
        <v>41</v>
      </c>
      <c r="BF5011" s="2" t="s">
        <v>82</v>
      </c>
      <c r="BG5011" s="2"/>
      <c r="BH5011" s="2"/>
      <c r="BI5011" s="2"/>
      <c r="BJ5011" s="2">
        <v>241</v>
      </c>
      <c r="BK5011" s="2" t="s">
        <v>82</v>
      </c>
      <c r="BL5011" s="2"/>
      <c r="BM5011" s="2">
        <v>241</v>
      </c>
      <c r="BN5011" s="2" t="s">
        <v>82</v>
      </c>
      <c r="BO5011" s="2"/>
      <c r="BP5011" s="2">
        <v>241</v>
      </c>
      <c r="BQ5011" s="2" t="s">
        <v>82</v>
      </c>
      <c r="BR5011" s="2"/>
      <c r="BS5011" s="3">
        <v>40519</v>
      </c>
      <c r="BT5011" s="4">
        <v>0.54001157407407407</v>
      </c>
    </row>
    <row r="5012" spans="1:72" x14ac:dyDescent="0.25">
      <c r="A5012" s="2">
        <v>7765</v>
      </c>
      <c r="B5012" s="2">
        <v>2010</v>
      </c>
      <c r="C5012" s="2" t="s">
        <v>171</v>
      </c>
      <c r="D5012" s="2" t="s">
        <v>73</v>
      </c>
      <c r="E5012" s="2" t="s">
        <v>15356</v>
      </c>
      <c r="F5012" s="2">
        <v>425</v>
      </c>
      <c r="G5012" s="2" t="s">
        <v>286</v>
      </c>
      <c r="H5012" s="2">
        <v>39</v>
      </c>
      <c r="I5012" s="2" t="s">
        <v>1117</v>
      </c>
      <c r="J5012" s="2">
        <v>310</v>
      </c>
      <c r="K5012" s="2" t="s">
        <v>288</v>
      </c>
      <c r="L5012" s="2" t="s">
        <v>289</v>
      </c>
      <c r="M5012" s="3">
        <v>40519</v>
      </c>
      <c r="N5012" s="2" t="s">
        <v>2049</v>
      </c>
      <c r="O5012" s="2" t="s">
        <v>2490</v>
      </c>
      <c r="P5012" s="2" t="s">
        <v>15357</v>
      </c>
      <c r="Q5012" s="2" t="str">
        <f>"110/10"</f>
        <v>110/10</v>
      </c>
      <c r="R5012" s="2"/>
      <c r="S5012" s="2" t="s">
        <v>822</v>
      </c>
      <c r="T5012" s="2">
        <v>1</v>
      </c>
      <c r="U5012" s="2" t="s">
        <v>79</v>
      </c>
      <c r="V5012" s="2">
        <v>1</v>
      </c>
      <c r="W5012" s="2" t="s">
        <v>80</v>
      </c>
      <c r="X5012" s="2">
        <v>1</v>
      </c>
      <c r="Y5012" s="2" t="s">
        <v>81</v>
      </c>
      <c r="Z5012" s="2">
        <v>1</v>
      </c>
      <c r="AA5012" s="2" t="s">
        <v>82</v>
      </c>
      <c r="AB5012" s="2">
        <v>1</v>
      </c>
      <c r="AC5012" s="2" t="s">
        <v>178</v>
      </c>
      <c r="AD5012" s="3">
        <v>40519</v>
      </c>
      <c r="AE5012" s="4">
        <v>0.46527777777777773</v>
      </c>
      <c r="AF5012" s="3">
        <v>40519</v>
      </c>
      <c r="AG5012" s="4">
        <v>0.46527777777777773</v>
      </c>
      <c r="AH5012" s="2">
        <v>4</v>
      </c>
      <c r="AI5012" s="2" t="s">
        <v>125</v>
      </c>
      <c r="AJ5012" s="2">
        <v>29</v>
      </c>
      <c r="AK5012" s="2" t="s">
        <v>227</v>
      </c>
      <c r="AL5012" s="2">
        <v>16</v>
      </c>
      <c r="AM5012" s="2" t="s">
        <v>392</v>
      </c>
      <c r="AN5012" s="2" t="s">
        <v>6877</v>
      </c>
      <c r="AO5012" s="2"/>
      <c r="AP5012" s="2">
        <v>12</v>
      </c>
      <c r="AQ5012" s="2" t="s">
        <v>322</v>
      </c>
      <c r="AR5012" s="2" t="s">
        <v>824</v>
      </c>
      <c r="AS5012" s="2" t="s">
        <v>825</v>
      </c>
      <c r="AT5012" s="2" t="s">
        <v>15358</v>
      </c>
      <c r="AU5012" s="2"/>
      <c r="AV5012" s="2"/>
      <c r="AW5012" s="2"/>
      <c r="AX5012" s="2"/>
      <c r="AY5012" s="2">
        <v>41</v>
      </c>
      <c r="AZ5012" s="2" t="s">
        <v>82</v>
      </c>
      <c r="BA5012" s="2">
        <v>41</v>
      </c>
      <c r="BB5012" s="2" t="s">
        <v>82</v>
      </c>
      <c r="BC5012" s="2">
        <v>51</v>
      </c>
      <c r="BD5012" s="2" t="s">
        <v>827</v>
      </c>
      <c r="BE5012" s="2">
        <v>13</v>
      </c>
      <c r="BF5012" s="2" t="s">
        <v>108</v>
      </c>
      <c r="BG5012" s="2">
        <v>1459</v>
      </c>
      <c r="BH5012" s="4">
        <v>0.89097222222222217</v>
      </c>
      <c r="BI5012" s="4">
        <v>0.95486111111111116</v>
      </c>
      <c r="BJ5012" s="2">
        <v>13</v>
      </c>
      <c r="BK5012" s="2" t="s">
        <v>91</v>
      </c>
      <c r="BL5012" s="2" t="s">
        <v>828</v>
      </c>
      <c r="BM5012" s="2">
        <v>13</v>
      </c>
      <c r="BN5012" s="2" t="s">
        <v>91</v>
      </c>
      <c r="BO5012" s="2"/>
      <c r="BP5012" s="2">
        <v>13</v>
      </c>
      <c r="BQ5012" s="2" t="s">
        <v>91</v>
      </c>
      <c r="BR5012" s="2" t="s">
        <v>185</v>
      </c>
      <c r="BS5012" s="3">
        <v>40519</v>
      </c>
      <c r="BT5012" s="4">
        <v>0.56593749999999998</v>
      </c>
    </row>
    <row r="5013" spans="1:72" x14ac:dyDescent="0.25">
      <c r="A5013" s="2">
        <v>7766</v>
      </c>
      <c r="B5013" s="2">
        <v>2010</v>
      </c>
      <c r="C5013" s="2" t="s">
        <v>72</v>
      </c>
      <c r="D5013" s="2" t="s">
        <v>73</v>
      </c>
      <c r="E5013" s="2"/>
      <c r="F5013" s="2">
        <v>175</v>
      </c>
      <c r="G5013" s="2" t="s">
        <v>4170</v>
      </c>
      <c r="H5013" s="2">
        <v>108</v>
      </c>
      <c r="I5013" s="2" t="s">
        <v>1096</v>
      </c>
      <c r="J5013" s="2">
        <v>728</v>
      </c>
      <c r="K5013" s="2" t="s">
        <v>15156</v>
      </c>
      <c r="L5013" s="2" t="s">
        <v>15157</v>
      </c>
      <c r="M5013" s="3">
        <v>40519</v>
      </c>
      <c r="N5013" s="2" t="s">
        <v>15158</v>
      </c>
      <c r="O5013" s="2" t="s">
        <v>82</v>
      </c>
      <c r="P5013" s="2" t="s">
        <v>82</v>
      </c>
      <c r="Q5013" s="2" t="str">
        <f>"440-A/10"</f>
        <v>440-A/10</v>
      </c>
      <c r="R5013" s="2" t="s">
        <v>78</v>
      </c>
      <c r="S5013" s="2" t="s">
        <v>78</v>
      </c>
      <c r="T5013" s="2">
        <v>1</v>
      </c>
      <c r="U5013" s="2" t="s">
        <v>79</v>
      </c>
      <c r="V5013" s="2">
        <v>1</v>
      </c>
      <c r="W5013" s="2" t="s">
        <v>80</v>
      </c>
      <c r="X5013" s="2">
        <v>12</v>
      </c>
      <c r="Y5013" s="2" t="s">
        <v>148</v>
      </c>
      <c r="Z5013" s="2">
        <v>1</v>
      </c>
      <c r="AA5013" s="2" t="s">
        <v>82</v>
      </c>
      <c r="AB5013" s="2">
        <v>6</v>
      </c>
      <c r="AC5013" s="2" t="s">
        <v>83</v>
      </c>
      <c r="AD5013" s="3">
        <v>40518</v>
      </c>
      <c r="AE5013" s="2"/>
      <c r="AF5013" s="3">
        <v>40519</v>
      </c>
      <c r="AG5013" s="4">
        <v>0.51041666666666663</v>
      </c>
      <c r="AH5013" s="2">
        <v>2</v>
      </c>
      <c r="AI5013" s="2" t="s">
        <v>84</v>
      </c>
      <c r="AJ5013" s="2">
        <v>12</v>
      </c>
      <c r="AK5013" s="2" t="s">
        <v>85</v>
      </c>
      <c r="AL5013" s="2">
        <v>12</v>
      </c>
      <c r="AM5013" s="2" t="s">
        <v>86</v>
      </c>
      <c r="AN5013" s="2" t="s">
        <v>15359</v>
      </c>
      <c r="AO5013" s="2" t="s">
        <v>15360</v>
      </c>
      <c r="AP5013" s="2">
        <v>11</v>
      </c>
      <c r="AQ5013" s="2" t="s">
        <v>82</v>
      </c>
      <c r="AR5013" s="2"/>
      <c r="AS5013" s="2"/>
      <c r="AT5013" s="2" t="s">
        <v>15361</v>
      </c>
      <c r="AU5013" s="2"/>
      <c r="AV5013" s="2"/>
      <c r="AW5013" s="2"/>
      <c r="AX5013" s="2"/>
      <c r="AY5013" s="2">
        <v>41</v>
      </c>
      <c r="AZ5013" s="2" t="s">
        <v>82</v>
      </c>
      <c r="BA5013" s="2">
        <v>41</v>
      </c>
      <c r="BB5013" s="2" t="s">
        <v>82</v>
      </c>
      <c r="BC5013" s="2">
        <v>41</v>
      </c>
      <c r="BD5013" s="2" t="s">
        <v>82</v>
      </c>
      <c r="BE5013" s="2">
        <v>41</v>
      </c>
      <c r="BF5013" s="2" t="s">
        <v>82</v>
      </c>
      <c r="BG5013" s="2"/>
      <c r="BH5013" s="2"/>
      <c r="BI5013" s="2"/>
      <c r="BJ5013" s="2">
        <v>241</v>
      </c>
      <c r="BK5013" s="2" t="s">
        <v>82</v>
      </c>
      <c r="BL5013" s="2"/>
      <c r="BM5013" s="2">
        <v>241</v>
      </c>
      <c r="BN5013" s="2" t="s">
        <v>82</v>
      </c>
      <c r="BO5013" s="2"/>
      <c r="BP5013" s="2">
        <v>241</v>
      </c>
      <c r="BQ5013" s="2" t="s">
        <v>82</v>
      </c>
      <c r="BR5013" s="2"/>
      <c r="BS5013" s="3">
        <v>40519</v>
      </c>
      <c r="BT5013" s="4">
        <v>0.60873842592592597</v>
      </c>
    </row>
    <row r="5014" spans="1:72" x14ac:dyDescent="0.25">
      <c r="A5014" s="2">
        <v>7767</v>
      </c>
      <c r="B5014" s="2">
        <v>2010</v>
      </c>
      <c r="C5014" s="2" t="s">
        <v>385</v>
      </c>
      <c r="D5014" s="2" t="s">
        <v>122</v>
      </c>
      <c r="E5014" s="2" t="s">
        <v>15362</v>
      </c>
      <c r="F5014" s="2">
        <v>2</v>
      </c>
      <c r="G5014" s="2" t="s">
        <v>113</v>
      </c>
      <c r="H5014" s="2">
        <v>1</v>
      </c>
      <c r="I5014" s="2" t="s">
        <v>82</v>
      </c>
      <c r="J5014" s="2">
        <v>300</v>
      </c>
      <c r="K5014" s="2" t="s">
        <v>114</v>
      </c>
      <c r="L5014" s="2" t="s">
        <v>115</v>
      </c>
      <c r="M5014" s="3">
        <v>40519</v>
      </c>
      <c r="N5014" s="2"/>
      <c r="O5014" s="2"/>
      <c r="P5014" s="2"/>
      <c r="Q5014" s="2" t="str">
        <f>"658-E/10"</f>
        <v>658-E/10</v>
      </c>
      <c r="R5014" s="2" t="s">
        <v>302</v>
      </c>
      <c r="S5014" s="2" t="s">
        <v>302</v>
      </c>
      <c r="T5014" s="2">
        <v>1</v>
      </c>
      <c r="U5014" s="2" t="s">
        <v>79</v>
      </c>
      <c r="V5014" s="2">
        <v>1</v>
      </c>
      <c r="W5014" s="2" t="s">
        <v>80</v>
      </c>
      <c r="X5014" s="2">
        <v>12</v>
      </c>
      <c r="Y5014" s="2" t="s">
        <v>148</v>
      </c>
      <c r="Z5014" s="2">
        <v>1</v>
      </c>
      <c r="AA5014" s="2" t="s">
        <v>82</v>
      </c>
      <c r="AB5014" s="2">
        <v>9</v>
      </c>
      <c r="AC5014" s="2" t="s">
        <v>124</v>
      </c>
      <c r="AD5014" s="3">
        <v>40519</v>
      </c>
      <c r="AE5014" s="4">
        <v>0.31944444444444448</v>
      </c>
      <c r="AF5014" s="3">
        <v>40518</v>
      </c>
      <c r="AG5014" s="4">
        <v>0.45833333333333331</v>
      </c>
      <c r="AH5014" s="2">
        <v>2</v>
      </c>
      <c r="AI5014" s="2" t="s">
        <v>84</v>
      </c>
      <c r="AJ5014" s="2">
        <v>9</v>
      </c>
      <c r="AK5014" s="2" t="s">
        <v>103</v>
      </c>
      <c r="AL5014" s="2">
        <v>12</v>
      </c>
      <c r="AM5014" s="2" t="s">
        <v>86</v>
      </c>
      <c r="AN5014" s="2" t="s">
        <v>15363</v>
      </c>
      <c r="AO5014" s="2"/>
      <c r="AP5014" s="2">
        <v>11</v>
      </c>
      <c r="AQ5014" s="2" t="s">
        <v>82</v>
      </c>
      <c r="AR5014" s="2"/>
      <c r="AS5014" s="2"/>
      <c r="AT5014" s="2" t="s">
        <v>15364</v>
      </c>
      <c r="AU5014" s="2"/>
      <c r="AV5014" s="2"/>
      <c r="AW5014" s="2">
        <v>4</v>
      </c>
      <c r="AX5014" s="2"/>
      <c r="AY5014" s="2">
        <v>41</v>
      </c>
      <c r="AZ5014" s="2" t="s">
        <v>82</v>
      </c>
      <c r="BA5014" s="2">
        <v>41</v>
      </c>
      <c r="BB5014" s="2" t="s">
        <v>82</v>
      </c>
      <c r="BC5014" s="2">
        <v>41</v>
      </c>
      <c r="BD5014" s="2" t="s">
        <v>82</v>
      </c>
      <c r="BE5014" s="2">
        <v>26</v>
      </c>
      <c r="BF5014" s="2" t="s">
        <v>1999</v>
      </c>
      <c r="BG5014" s="2" t="s">
        <v>15365</v>
      </c>
      <c r="BH5014" s="4">
        <v>0.29166666666666669</v>
      </c>
      <c r="BI5014" s="4">
        <v>0.95833333333333337</v>
      </c>
      <c r="BJ5014" s="2">
        <v>75</v>
      </c>
      <c r="BK5014" s="2" t="s">
        <v>1264</v>
      </c>
      <c r="BL5014" s="2" t="s">
        <v>15366</v>
      </c>
      <c r="BM5014" s="2">
        <v>13</v>
      </c>
      <c r="BN5014" s="2" t="s">
        <v>91</v>
      </c>
      <c r="BO5014" s="2"/>
      <c r="BP5014" s="2">
        <v>13</v>
      </c>
      <c r="BQ5014" s="2" t="s">
        <v>91</v>
      </c>
      <c r="BR5014" s="2" t="s">
        <v>185</v>
      </c>
      <c r="BS5014" s="3">
        <v>40519</v>
      </c>
      <c r="BT5014" s="4">
        <v>0.62343749999999998</v>
      </c>
    </row>
    <row r="5015" spans="1:72" x14ac:dyDescent="0.25">
      <c r="A5015" s="2">
        <v>7768</v>
      </c>
      <c r="B5015" s="2">
        <v>2010</v>
      </c>
      <c r="C5015" s="2" t="s">
        <v>72</v>
      </c>
      <c r="D5015" s="2" t="s">
        <v>73</v>
      </c>
      <c r="E5015" s="2"/>
      <c r="F5015" s="2">
        <v>389</v>
      </c>
      <c r="G5015" s="2" t="s">
        <v>1819</v>
      </c>
      <c r="H5015" s="2">
        <v>4</v>
      </c>
      <c r="I5015" s="2" t="s">
        <v>173</v>
      </c>
      <c r="J5015" s="2">
        <v>399</v>
      </c>
      <c r="K5015" s="2" t="s">
        <v>1820</v>
      </c>
      <c r="L5015" s="2" t="s">
        <v>1821</v>
      </c>
      <c r="M5015" s="3">
        <v>40519</v>
      </c>
      <c r="N5015" s="2" t="s">
        <v>2587</v>
      </c>
      <c r="O5015" s="2"/>
      <c r="P5015" s="2"/>
      <c r="Q5015" s="2" t="str">
        <f>"662-E/10"</f>
        <v>662-E/10</v>
      </c>
      <c r="R5015" s="2" t="s">
        <v>116</v>
      </c>
      <c r="S5015" s="2" t="s">
        <v>116</v>
      </c>
      <c r="T5015" s="2">
        <v>1</v>
      </c>
      <c r="U5015" s="2" t="s">
        <v>79</v>
      </c>
      <c r="V5015" s="2">
        <v>1</v>
      </c>
      <c r="W5015" s="2" t="s">
        <v>80</v>
      </c>
      <c r="X5015" s="2">
        <v>12</v>
      </c>
      <c r="Y5015" s="2" t="s">
        <v>148</v>
      </c>
      <c r="Z5015" s="2">
        <v>1</v>
      </c>
      <c r="AA5015" s="2" t="s">
        <v>82</v>
      </c>
      <c r="AB5015" s="2">
        <v>6</v>
      </c>
      <c r="AC5015" s="2" t="s">
        <v>83</v>
      </c>
      <c r="AD5015" s="3">
        <v>40519</v>
      </c>
      <c r="AE5015" s="2"/>
      <c r="AF5015" s="3">
        <v>40519</v>
      </c>
      <c r="AG5015" s="4">
        <v>0.4375</v>
      </c>
      <c r="AH5015" s="2">
        <v>2</v>
      </c>
      <c r="AI5015" s="2" t="s">
        <v>84</v>
      </c>
      <c r="AJ5015" s="2">
        <v>9</v>
      </c>
      <c r="AK5015" s="2" t="s">
        <v>103</v>
      </c>
      <c r="AL5015" s="2">
        <v>14</v>
      </c>
      <c r="AM5015" s="2" t="s">
        <v>216</v>
      </c>
      <c r="AN5015" s="2"/>
      <c r="AO5015" s="2" t="s">
        <v>15367</v>
      </c>
      <c r="AP5015" s="2">
        <v>11</v>
      </c>
      <c r="AQ5015" s="2" t="s">
        <v>82</v>
      </c>
      <c r="AR5015" s="2"/>
      <c r="AS5015" s="2"/>
      <c r="AT5015" s="2" t="s">
        <v>15368</v>
      </c>
      <c r="AU5015" s="2"/>
      <c r="AV5015" s="2"/>
      <c r="AW5015" s="2"/>
      <c r="AX5015" s="2"/>
      <c r="AY5015" s="2">
        <v>41</v>
      </c>
      <c r="AZ5015" s="2" t="s">
        <v>82</v>
      </c>
      <c r="BA5015" s="2">
        <v>41</v>
      </c>
      <c r="BB5015" s="2" t="s">
        <v>82</v>
      </c>
      <c r="BC5015" s="2">
        <v>41</v>
      </c>
      <c r="BD5015" s="2" t="s">
        <v>82</v>
      </c>
      <c r="BE5015" s="2">
        <v>41</v>
      </c>
      <c r="BF5015" s="2" t="s">
        <v>82</v>
      </c>
      <c r="BG5015" s="2"/>
      <c r="BH5015" s="2"/>
      <c r="BI5015" s="2"/>
      <c r="BJ5015" s="2">
        <v>241</v>
      </c>
      <c r="BK5015" s="2" t="s">
        <v>82</v>
      </c>
      <c r="BL5015" s="2"/>
      <c r="BM5015" s="2">
        <v>241</v>
      </c>
      <c r="BN5015" s="2" t="s">
        <v>82</v>
      </c>
      <c r="BO5015" s="2"/>
      <c r="BP5015" s="2">
        <v>241</v>
      </c>
      <c r="BQ5015" s="2" t="s">
        <v>82</v>
      </c>
      <c r="BR5015" s="2"/>
      <c r="BS5015" s="3">
        <v>40519</v>
      </c>
      <c r="BT5015" s="4">
        <v>0.62754629629629632</v>
      </c>
    </row>
    <row r="5016" spans="1:72" x14ac:dyDescent="0.25">
      <c r="A5016" s="2">
        <v>7769</v>
      </c>
      <c r="B5016" s="2">
        <v>2010</v>
      </c>
      <c r="C5016" s="2" t="s">
        <v>128</v>
      </c>
      <c r="D5016" s="2" t="s">
        <v>73</v>
      </c>
      <c r="E5016" s="2"/>
      <c r="F5016" s="2">
        <v>481</v>
      </c>
      <c r="G5016" s="2" t="s">
        <v>1438</v>
      </c>
      <c r="H5016" s="2">
        <v>1</v>
      </c>
      <c r="I5016" s="2" t="s">
        <v>82</v>
      </c>
      <c r="J5016" s="2">
        <v>57</v>
      </c>
      <c r="K5016" s="2" t="s">
        <v>431</v>
      </c>
      <c r="L5016" s="2" t="s">
        <v>432</v>
      </c>
      <c r="M5016" s="3">
        <v>40519</v>
      </c>
      <c r="N5016" s="2"/>
      <c r="O5016" s="2"/>
      <c r="P5016" s="2"/>
      <c r="Q5016" s="2" t="str">
        <f>"50/10"</f>
        <v>50/10</v>
      </c>
      <c r="R5016" s="2"/>
      <c r="S5016" s="2" t="s">
        <v>15369</v>
      </c>
      <c r="T5016" s="2">
        <v>1</v>
      </c>
      <c r="U5016" s="2" t="s">
        <v>79</v>
      </c>
      <c r="V5016" s="2">
        <v>1</v>
      </c>
      <c r="W5016" s="2" t="s">
        <v>80</v>
      </c>
      <c r="X5016" s="2">
        <v>4</v>
      </c>
      <c r="Y5016" s="2" t="s">
        <v>463</v>
      </c>
      <c r="Z5016" s="2">
        <v>22</v>
      </c>
      <c r="AA5016" s="2" t="s">
        <v>4417</v>
      </c>
      <c r="AB5016" s="2">
        <v>9</v>
      </c>
      <c r="AC5016" s="2" t="s">
        <v>124</v>
      </c>
      <c r="AD5016" s="3">
        <v>40519</v>
      </c>
      <c r="AE5016" s="4">
        <v>0.45833333333333331</v>
      </c>
      <c r="AF5016" s="3">
        <v>40519</v>
      </c>
      <c r="AG5016" s="2"/>
      <c r="AH5016" s="2">
        <v>3</v>
      </c>
      <c r="AI5016" s="2" t="s">
        <v>214</v>
      </c>
      <c r="AJ5016" s="2">
        <v>17</v>
      </c>
      <c r="AK5016" s="2" t="s">
        <v>309</v>
      </c>
      <c r="AL5016" s="2">
        <v>9</v>
      </c>
      <c r="AM5016" s="2" t="s">
        <v>259</v>
      </c>
      <c r="AN5016" s="2"/>
      <c r="AO5016" s="2" t="s">
        <v>15370</v>
      </c>
      <c r="AP5016" s="2">
        <v>11</v>
      </c>
      <c r="AQ5016" s="2" t="s">
        <v>82</v>
      </c>
      <c r="AR5016" s="2"/>
      <c r="AS5016" s="2"/>
      <c r="AT5016" s="2" t="s">
        <v>15371</v>
      </c>
      <c r="AU5016" s="2"/>
      <c r="AV5016" s="2"/>
      <c r="AW5016" s="2"/>
      <c r="AX5016" s="2"/>
      <c r="AY5016" s="2">
        <v>41</v>
      </c>
      <c r="AZ5016" s="2" t="s">
        <v>82</v>
      </c>
      <c r="BA5016" s="2">
        <v>41</v>
      </c>
      <c r="BB5016" s="2" t="s">
        <v>82</v>
      </c>
      <c r="BC5016" s="2">
        <v>41</v>
      </c>
      <c r="BD5016" s="2" t="s">
        <v>82</v>
      </c>
      <c r="BE5016" s="2">
        <v>41</v>
      </c>
      <c r="BF5016" s="2" t="s">
        <v>82</v>
      </c>
      <c r="BG5016" s="2"/>
      <c r="BH5016" s="2"/>
      <c r="BI5016" s="2"/>
      <c r="BJ5016" s="2">
        <v>241</v>
      </c>
      <c r="BK5016" s="2" t="s">
        <v>82</v>
      </c>
      <c r="BL5016" s="2"/>
      <c r="BM5016" s="2">
        <v>241</v>
      </c>
      <c r="BN5016" s="2" t="s">
        <v>82</v>
      </c>
      <c r="BO5016" s="2"/>
      <c r="BP5016" s="2">
        <v>241</v>
      </c>
      <c r="BQ5016" s="2" t="s">
        <v>82</v>
      </c>
      <c r="BR5016" s="2"/>
      <c r="BS5016" s="3">
        <v>40519</v>
      </c>
      <c r="BT5016" s="4">
        <v>0.63490740740740736</v>
      </c>
    </row>
    <row r="5017" spans="1:72" x14ac:dyDescent="0.25">
      <c r="A5017" s="2">
        <v>7774</v>
      </c>
      <c r="B5017" s="2">
        <v>2010</v>
      </c>
      <c r="C5017" s="2" t="s">
        <v>171</v>
      </c>
      <c r="D5017" s="2" t="s">
        <v>73</v>
      </c>
      <c r="E5017" s="2" t="s">
        <v>15372</v>
      </c>
      <c r="F5017" s="2">
        <v>451</v>
      </c>
      <c r="G5017" s="2" t="s">
        <v>879</v>
      </c>
      <c r="H5017" s="2">
        <v>5</v>
      </c>
      <c r="I5017" s="2" t="s">
        <v>634</v>
      </c>
      <c r="J5017" s="2">
        <v>326</v>
      </c>
      <c r="K5017" s="2" t="s">
        <v>881</v>
      </c>
      <c r="L5017" s="2" t="s">
        <v>882</v>
      </c>
      <c r="M5017" s="3">
        <v>40519</v>
      </c>
      <c r="N5017" s="2" t="s">
        <v>1072</v>
      </c>
      <c r="O5017" s="2" t="s">
        <v>15373</v>
      </c>
      <c r="P5017" s="2" t="s">
        <v>15374</v>
      </c>
      <c r="Q5017" s="2" t="str">
        <f>"111/10"</f>
        <v>111/10</v>
      </c>
      <c r="R5017" s="2"/>
      <c r="S5017" s="2" t="s">
        <v>822</v>
      </c>
      <c r="T5017" s="2">
        <v>1</v>
      </c>
      <c r="U5017" s="2" t="s">
        <v>79</v>
      </c>
      <c r="V5017" s="2">
        <v>1</v>
      </c>
      <c r="W5017" s="2" t="s">
        <v>80</v>
      </c>
      <c r="X5017" s="2">
        <v>1</v>
      </c>
      <c r="Y5017" s="2" t="s">
        <v>81</v>
      </c>
      <c r="Z5017" s="2">
        <v>1</v>
      </c>
      <c r="AA5017" s="2" t="s">
        <v>82</v>
      </c>
      <c r="AB5017" s="2">
        <v>1</v>
      </c>
      <c r="AC5017" s="2" t="s">
        <v>178</v>
      </c>
      <c r="AD5017" s="3">
        <v>40519</v>
      </c>
      <c r="AE5017" s="4">
        <v>0.63888888888888895</v>
      </c>
      <c r="AF5017" s="3">
        <v>40519</v>
      </c>
      <c r="AG5017" s="4">
        <v>0.63888888888888895</v>
      </c>
      <c r="AH5017" s="2">
        <v>4</v>
      </c>
      <c r="AI5017" s="2" t="s">
        <v>125</v>
      </c>
      <c r="AJ5017" s="2">
        <v>29</v>
      </c>
      <c r="AK5017" s="2" t="s">
        <v>227</v>
      </c>
      <c r="AL5017" s="2">
        <v>16</v>
      </c>
      <c r="AM5017" s="2" t="s">
        <v>392</v>
      </c>
      <c r="AN5017" s="2" t="s">
        <v>6877</v>
      </c>
      <c r="AO5017" s="2"/>
      <c r="AP5017" s="2">
        <v>12</v>
      </c>
      <c r="AQ5017" s="2" t="s">
        <v>322</v>
      </c>
      <c r="AR5017" s="2" t="s">
        <v>824</v>
      </c>
      <c r="AS5017" s="2" t="s">
        <v>825</v>
      </c>
      <c r="AT5017" s="2" t="s">
        <v>15375</v>
      </c>
      <c r="AU5017" s="2"/>
      <c r="AV5017" s="2"/>
      <c r="AW5017" s="2"/>
      <c r="AX5017" s="2"/>
      <c r="AY5017" s="2">
        <v>41</v>
      </c>
      <c r="AZ5017" s="2" t="s">
        <v>82</v>
      </c>
      <c r="BA5017" s="2">
        <v>41</v>
      </c>
      <c r="BB5017" s="2" t="s">
        <v>82</v>
      </c>
      <c r="BC5017" s="2">
        <v>51</v>
      </c>
      <c r="BD5017" s="2" t="s">
        <v>827</v>
      </c>
      <c r="BE5017" s="2">
        <v>13</v>
      </c>
      <c r="BF5017" s="2" t="s">
        <v>108</v>
      </c>
      <c r="BG5017" s="2">
        <v>1459</v>
      </c>
      <c r="BH5017" s="4">
        <v>0.90277777777777779</v>
      </c>
      <c r="BI5017" s="4">
        <v>0.9375</v>
      </c>
      <c r="BJ5017" s="2">
        <v>13</v>
      </c>
      <c r="BK5017" s="2" t="s">
        <v>91</v>
      </c>
      <c r="BL5017" s="2" t="s">
        <v>828</v>
      </c>
      <c r="BM5017" s="2">
        <v>13</v>
      </c>
      <c r="BN5017" s="2" t="s">
        <v>91</v>
      </c>
      <c r="BO5017" s="2"/>
      <c r="BP5017" s="2">
        <v>13</v>
      </c>
      <c r="BQ5017" s="2" t="s">
        <v>91</v>
      </c>
      <c r="BR5017" s="2" t="s">
        <v>185</v>
      </c>
      <c r="BS5017" s="3">
        <v>40519</v>
      </c>
      <c r="BT5017" s="4">
        <v>0.71042824074074085</v>
      </c>
    </row>
    <row r="5018" spans="1:72" x14ac:dyDescent="0.25">
      <c r="A5018" s="2">
        <v>7776</v>
      </c>
      <c r="B5018" s="2">
        <v>2010</v>
      </c>
      <c r="C5018" s="2" t="s">
        <v>171</v>
      </c>
      <c r="D5018" s="2" t="s">
        <v>73</v>
      </c>
      <c r="E5018" s="2"/>
      <c r="F5018" s="2">
        <v>400</v>
      </c>
      <c r="G5018" s="2" t="s">
        <v>3601</v>
      </c>
      <c r="H5018" s="2">
        <v>17</v>
      </c>
      <c r="I5018" s="2" t="s">
        <v>3602</v>
      </c>
      <c r="J5018" s="2">
        <v>316</v>
      </c>
      <c r="K5018" s="2" t="s">
        <v>574</v>
      </c>
      <c r="L5018" s="2" t="s">
        <v>575</v>
      </c>
      <c r="M5018" s="3">
        <v>40519</v>
      </c>
      <c r="N5018" s="2" t="s">
        <v>15376</v>
      </c>
      <c r="O5018" s="2" t="s">
        <v>15377</v>
      </c>
      <c r="P5018" s="2" t="s">
        <v>15378</v>
      </c>
      <c r="Q5018" s="2" t="str">
        <f>"660E/10"</f>
        <v>660E/10</v>
      </c>
      <c r="R5018" s="2" t="s">
        <v>391</v>
      </c>
      <c r="S5018" s="2"/>
      <c r="T5018" s="2">
        <v>1</v>
      </c>
      <c r="U5018" s="2" t="s">
        <v>79</v>
      </c>
      <c r="V5018" s="2">
        <v>1</v>
      </c>
      <c r="W5018" s="2" t="s">
        <v>80</v>
      </c>
      <c r="X5018" s="2">
        <v>8</v>
      </c>
      <c r="Y5018" s="2" t="s">
        <v>375</v>
      </c>
      <c r="Z5018" s="2">
        <v>1</v>
      </c>
      <c r="AA5018" s="2" t="s">
        <v>82</v>
      </c>
      <c r="AB5018" s="2">
        <v>1</v>
      </c>
      <c r="AC5018" s="2" t="s">
        <v>178</v>
      </c>
      <c r="AD5018" s="3">
        <v>40519</v>
      </c>
      <c r="AE5018" s="4">
        <v>0.58333333333333337</v>
      </c>
      <c r="AF5018" s="3">
        <v>40519</v>
      </c>
      <c r="AG5018" s="4">
        <v>0.61458333333333337</v>
      </c>
      <c r="AH5018" s="2">
        <v>2</v>
      </c>
      <c r="AI5018" s="2" t="s">
        <v>84</v>
      </c>
      <c r="AJ5018" s="2">
        <v>6</v>
      </c>
      <c r="AK5018" s="2" t="s">
        <v>453</v>
      </c>
      <c r="AL5018" s="2">
        <v>23</v>
      </c>
      <c r="AM5018" s="2" t="s">
        <v>251</v>
      </c>
      <c r="AN5018" s="2"/>
      <c r="AO5018" s="2" t="s">
        <v>15379</v>
      </c>
      <c r="AP5018" s="2">
        <v>11</v>
      </c>
      <c r="AQ5018" s="2" t="s">
        <v>82</v>
      </c>
      <c r="AR5018" s="2"/>
      <c r="AS5018" s="2"/>
      <c r="AT5018" s="2" t="s">
        <v>15380</v>
      </c>
      <c r="AU5018" s="2"/>
      <c r="AV5018" s="2"/>
      <c r="AW5018" s="2"/>
      <c r="AX5018" s="2"/>
      <c r="AY5018" s="2">
        <v>41</v>
      </c>
      <c r="AZ5018" s="2" t="s">
        <v>82</v>
      </c>
      <c r="BA5018" s="2">
        <v>41</v>
      </c>
      <c r="BB5018" s="2" t="s">
        <v>82</v>
      </c>
      <c r="BC5018" s="2">
        <v>41</v>
      </c>
      <c r="BD5018" s="2" t="s">
        <v>82</v>
      </c>
      <c r="BE5018" s="2">
        <v>41</v>
      </c>
      <c r="BF5018" s="2" t="s">
        <v>82</v>
      </c>
      <c r="BG5018" s="2"/>
      <c r="BH5018" s="2"/>
      <c r="BI5018" s="2"/>
      <c r="BJ5018" s="2">
        <v>241</v>
      </c>
      <c r="BK5018" s="2" t="s">
        <v>82</v>
      </c>
      <c r="BL5018" s="2"/>
      <c r="BM5018" s="2">
        <v>241</v>
      </c>
      <c r="BN5018" s="2" t="s">
        <v>82</v>
      </c>
      <c r="BO5018" s="2"/>
      <c r="BP5018" s="2">
        <v>241</v>
      </c>
      <c r="BQ5018" s="2" t="s">
        <v>82</v>
      </c>
      <c r="BR5018" s="2"/>
      <c r="BS5018" s="3">
        <v>40519</v>
      </c>
      <c r="BT5018" s="4">
        <v>0.73203703703703704</v>
      </c>
    </row>
    <row r="5019" spans="1:72" x14ac:dyDescent="0.25">
      <c r="A5019" s="2">
        <v>7777</v>
      </c>
      <c r="B5019" s="2">
        <v>2010</v>
      </c>
      <c r="C5019" s="2" t="s">
        <v>4543</v>
      </c>
      <c r="D5019" s="2" t="s">
        <v>122</v>
      </c>
      <c r="E5019" s="2"/>
      <c r="F5019" s="2">
        <v>1</v>
      </c>
      <c r="G5019" s="2" t="s">
        <v>82</v>
      </c>
      <c r="H5019" s="2">
        <v>1</v>
      </c>
      <c r="I5019" s="2" t="s">
        <v>82</v>
      </c>
      <c r="J5019" s="2">
        <v>1</v>
      </c>
      <c r="K5019" s="2" t="s">
        <v>107</v>
      </c>
      <c r="L5019" s="2" t="s">
        <v>107</v>
      </c>
      <c r="M5019" s="3">
        <v>40519</v>
      </c>
      <c r="N5019" s="2"/>
      <c r="O5019" s="2"/>
      <c r="P5019" s="2"/>
      <c r="Q5019" s="2" t="str">
        <f>""</f>
        <v/>
      </c>
      <c r="R5019" s="2"/>
      <c r="S5019" s="2"/>
      <c r="T5019" s="2">
        <v>2</v>
      </c>
      <c r="U5019" s="2" t="s">
        <v>123</v>
      </c>
      <c r="V5019" s="2">
        <v>1</v>
      </c>
      <c r="W5019" s="2" t="s">
        <v>80</v>
      </c>
      <c r="X5019" s="2">
        <v>5</v>
      </c>
      <c r="Y5019" s="2" t="s">
        <v>82</v>
      </c>
      <c r="Z5019" s="2">
        <v>1</v>
      </c>
      <c r="AA5019" s="2" t="s">
        <v>82</v>
      </c>
      <c r="AB5019" s="2">
        <v>9</v>
      </c>
      <c r="AC5019" s="2" t="s">
        <v>124</v>
      </c>
      <c r="AD5019" s="3">
        <v>40519</v>
      </c>
      <c r="AE5019" s="4">
        <v>0.68055555555555547</v>
      </c>
      <c r="AF5019" s="3">
        <v>40519</v>
      </c>
      <c r="AG5019" s="2"/>
      <c r="AH5019" s="2">
        <v>6</v>
      </c>
      <c r="AI5019" s="2" t="s">
        <v>197</v>
      </c>
      <c r="AJ5019" s="2">
        <v>58</v>
      </c>
      <c r="AK5019" s="2" t="s">
        <v>406</v>
      </c>
      <c r="AL5019" s="2">
        <v>19</v>
      </c>
      <c r="AM5019" s="2" t="s">
        <v>107</v>
      </c>
      <c r="AN5019" s="2" t="s">
        <v>1853</v>
      </c>
      <c r="AO5019" s="2" t="s">
        <v>3056</v>
      </c>
      <c r="AP5019" s="2">
        <v>11</v>
      </c>
      <c r="AQ5019" s="2" t="s">
        <v>82</v>
      </c>
      <c r="AR5019" s="2" t="s">
        <v>322</v>
      </c>
      <c r="AS5019" s="2" t="s">
        <v>82</v>
      </c>
      <c r="AT5019" s="2" t="s">
        <v>15381</v>
      </c>
      <c r="AU5019" s="2"/>
      <c r="AV5019" s="2"/>
      <c r="AW5019" s="2"/>
      <c r="AX5019" s="2"/>
      <c r="AY5019" s="2">
        <v>41</v>
      </c>
      <c r="AZ5019" s="2" t="s">
        <v>82</v>
      </c>
      <c r="BA5019" s="2">
        <v>41</v>
      </c>
      <c r="BB5019" s="2" t="s">
        <v>82</v>
      </c>
      <c r="BC5019" s="2">
        <v>41</v>
      </c>
      <c r="BD5019" s="2" t="s">
        <v>82</v>
      </c>
      <c r="BE5019" s="2">
        <v>47</v>
      </c>
      <c r="BF5019" s="2" t="s">
        <v>167</v>
      </c>
      <c r="BG5019" s="2">
        <v>2880</v>
      </c>
      <c r="BH5019" s="4">
        <v>0.70138888888888884</v>
      </c>
      <c r="BI5019" s="4">
        <v>0.73263888888888884</v>
      </c>
      <c r="BJ5019" s="2">
        <v>13</v>
      </c>
      <c r="BK5019" s="2" t="s">
        <v>91</v>
      </c>
      <c r="BL5019" s="2" t="s">
        <v>895</v>
      </c>
      <c r="BM5019" s="2">
        <v>13</v>
      </c>
      <c r="BN5019" s="2" t="s">
        <v>91</v>
      </c>
      <c r="BO5019" s="2"/>
      <c r="BP5019" s="2">
        <v>13</v>
      </c>
      <c r="BQ5019" s="2" t="s">
        <v>91</v>
      </c>
      <c r="BR5019" s="2" t="s">
        <v>185</v>
      </c>
      <c r="BS5019" s="3">
        <v>40519</v>
      </c>
      <c r="BT5019" s="4">
        <v>0.75120370370370371</v>
      </c>
    </row>
    <row r="5020" spans="1:72" x14ac:dyDescent="0.25">
      <c r="A5020" s="2">
        <v>7779</v>
      </c>
      <c r="B5020" s="2">
        <v>2010</v>
      </c>
      <c r="C5020" s="2" t="s">
        <v>549</v>
      </c>
      <c r="D5020" s="2" t="s">
        <v>73</v>
      </c>
      <c r="E5020" s="2"/>
      <c r="F5020" s="2">
        <v>2</v>
      </c>
      <c r="G5020" s="2" t="s">
        <v>113</v>
      </c>
      <c r="H5020" s="2">
        <v>149</v>
      </c>
      <c r="I5020" s="2" t="s">
        <v>14672</v>
      </c>
      <c r="J5020" s="2">
        <v>300</v>
      </c>
      <c r="K5020" s="2" t="s">
        <v>114</v>
      </c>
      <c r="L5020" s="2" t="s">
        <v>115</v>
      </c>
      <c r="M5020" s="3">
        <v>40519</v>
      </c>
      <c r="N5020" s="2"/>
      <c r="O5020" s="2"/>
      <c r="P5020" s="2"/>
      <c r="Q5020" s="2" t="str">
        <f>"663-E/10"</f>
        <v>663-E/10</v>
      </c>
      <c r="R5020" s="2"/>
      <c r="S5020" s="2" t="s">
        <v>1044</v>
      </c>
      <c r="T5020" s="2">
        <v>1</v>
      </c>
      <c r="U5020" s="2" t="s">
        <v>79</v>
      </c>
      <c r="V5020" s="2">
        <v>1</v>
      </c>
      <c r="W5020" s="2" t="s">
        <v>80</v>
      </c>
      <c r="X5020" s="2">
        <v>12</v>
      </c>
      <c r="Y5020" s="2" t="s">
        <v>148</v>
      </c>
      <c r="Z5020" s="2">
        <v>1</v>
      </c>
      <c r="AA5020" s="2" t="s">
        <v>82</v>
      </c>
      <c r="AB5020" s="2">
        <v>9</v>
      </c>
      <c r="AC5020" s="2" t="s">
        <v>124</v>
      </c>
      <c r="AD5020" s="3">
        <v>40518</v>
      </c>
      <c r="AE5020" s="2"/>
      <c r="AF5020" s="3">
        <v>40519</v>
      </c>
      <c r="AG5020" s="4">
        <v>0.54166666666666663</v>
      </c>
      <c r="AH5020" s="2">
        <v>2</v>
      </c>
      <c r="AI5020" s="2" t="s">
        <v>84</v>
      </c>
      <c r="AJ5020" s="2">
        <v>9</v>
      </c>
      <c r="AK5020" s="2" t="s">
        <v>103</v>
      </c>
      <c r="AL5020" s="2">
        <v>23</v>
      </c>
      <c r="AM5020" s="2" t="s">
        <v>251</v>
      </c>
      <c r="AN5020" s="2" t="s">
        <v>15382</v>
      </c>
      <c r="AO5020" s="2" t="s">
        <v>584</v>
      </c>
      <c r="AP5020" s="2">
        <v>11</v>
      </c>
      <c r="AQ5020" s="2" t="s">
        <v>82</v>
      </c>
      <c r="AR5020" s="2"/>
      <c r="AS5020" s="2"/>
      <c r="AT5020" s="2" t="s">
        <v>15383</v>
      </c>
      <c r="AU5020" s="2"/>
      <c r="AV5020" s="2"/>
      <c r="AW5020" s="2"/>
      <c r="AX5020" s="2"/>
      <c r="AY5020" s="2">
        <v>41</v>
      </c>
      <c r="AZ5020" s="2" t="s">
        <v>82</v>
      </c>
      <c r="BA5020" s="2">
        <v>41</v>
      </c>
      <c r="BB5020" s="2" t="s">
        <v>82</v>
      </c>
      <c r="BC5020" s="2">
        <v>41</v>
      </c>
      <c r="BD5020" s="2" t="s">
        <v>82</v>
      </c>
      <c r="BE5020" s="2">
        <v>41</v>
      </c>
      <c r="BF5020" s="2" t="s">
        <v>82</v>
      </c>
      <c r="BG5020" s="2"/>
      <c r="BH5020" s="2"/>
      <c r="BI5020" s="2"/>
      <c r="BJ5020" s="2">
        <v>241</v>
      </c>
      <c r="BK5020" s="2" t="s">
        <v>82</v>
      </c>
      <c r="BL5020" s="2"/>
      <c r="BM5020" s="2">
        <v>241</v>
      </c>
      <c r="BN5020" s="2" t="s">
        <v>82</v>
      </c>
      <c r="BO5020" s="2"/>
      <c r="BP5020" s="2">
        <v>241</v>
      </c>
      <c r="BQ5020" s="2" t="s">
        <v>82</v>
      </c>
      <c r="BR5020" s="2"/>
      <c r="BS5020" s="3">
        <v>40519</v>
      </c>
      <c r="BT5020" s="4">
        <v>0.75778935185185192</v>
      </c>
    </row>
    <row r="5021" spans="1:72" x14ac:dyDescent="0.25">
      <c r="A5021" s="2">
        <v>7783</v>
      </c>
      <c r="B5021" s="2">
        <v>2010</v>
      </c>
      <c r="C5021" s="2" t="s">
        <v>72</v>
      </c>
      <c r="D5021" s="2" t="s">
        <v>73</v>
      </c>
      <c r="E5021" s="2"/>
      <c r="F5021" s="2">
        <v>2</v>
      </c>
      <c r="G5021" s="2" t="s">
        <v>113</v>
      </c>
      <c r="H5021" s="2">
        <v>149</v>
      </c>
      <c r="I5021" s="2" t="s">
        <v>14672</v>
      </c>
      <c r="J5021" s="2">
        <v>300</v>
      </c>
      <c r="K5021" s="2" t="s">
        <v>114</v>
      </c>
      <c r="L5021" s="2" t="s">
        <v>115</v>
      </c>
      <c r="M5021" s="3">
        <v>40519</v>
      </c>
      <c r="N5021" s="2"/>
      <c r="O5021" s="2"/>
      <c r="P5021" s="2"/>
      <c r="Q5021" s="2" t="str">
        <f>"664-E/10"</f>
        <v>664-E/10</v>
      </c>
      <c r="R5021" s="2" t="s">
        <v>116</v>
      </c>
      <c r="S5021" s="2" t="s">
        <v>116</v>
      </c>
      <c r="T5021" s="2">
        <v>1</v>
      </c>
      <c r="U5021" s="2" t="s">
        <v>79</v>
      </c>
      <c r="V5021" s="2">
        <v>1</v>
      </c>
      <c r="W5021" s="2" t="s">
        <v>80</v>
      </c>
      <c r="X5021" s="2">
        <v>12</v>
      </c>
      <c r="Y5021" s="2" t="s">
        <v>148</v>
      </c>
      <c r="Z5021" s="2">
        <v>1</v>
      </c>
      <c r="AA5021" s="2" t="s">
        <v>82</v>
      </c>
      <c r="AB5021" s="2">
        <v>6</v>
      </c>
      <c r="AC5021" s="2" t="s">
        <v>83</v>
      </c>
      <c r="AD5021" s="3">
        <v>40519</v>
      </c>
      <c r="AE5021" s="2"/>
      <c r="AF5021" s="3">
        <v>40519</v>
      </c>
      <c r="AG5021" s="4">
        <v>0.66666666666666663</v>
      </c>
      <c r="AH5021" s="2">
        <v>2</v>
      </c>
      <c r="AI5021" s="2" t="s">
        <v>84</v>
      </c>
      <c r="AJ5021" s="2">
        <v>9</v>
      </c>
      <c r="AK5021" s="2" t="s">
        <v>103</v>
      </c>
      <c r="AL5021" s="2">
        <v>25</v>
      </c>
      <c r="AM5021" s="2" t="s">
        <v>3073</v>
      </c>
      <c r="AN5021" s="2" t="s">
        <v>590</v>
      </c>
      <c r="AO5021" s="2" t="s">
        <v>15384</v>
      </c>
      <c r="AP5021" s="2">
        <v>11</v>
      </c>
      <c r="AQ5021" s="2" t="s">
        <v>82</v>
      </c>
      <c r="AR5021" s="2"/>
      <c r="AS5021" s="2"/>
      <c r="AT5021" s="2" t="s">
        <v>15385</v>
      </c>
      <c r="AU5021" s="2"/>
      <c r="AV5021" s="2"/>
      <c r="AW5021" s="2"/>
      <c r="AX5021" s="2"/>
      <c r="AY5021" s="2">
        <v>41</v>
      </c>
      <c r="AZ5021" s="2" t="s">
        <v>82</v>
      </c>
      <c r="BA5021" s="2">
        <v>41</v>
      </c>
      <c r="BB5021" s="2" t="s">
        <v>82</v>
      </c>
      <c r="BC5021" s="2">
        <v>41</v>
      </c>
      <c r="BD5021" s="2" t="s">
        <v>82</v>
      </c>
      <c r="BE5021" s="2">
        <v>41</v>
      </c>
      <c r="BF5021" s="2" t="s">
        <v>82</v>
      </c>
      <c r="BG5021" s="2"/>
      <c r="BH5021" s="2"/>
      <c r="BI5021" s="2"/>
      <c r="BJ5021" s="2">
        <v>241</v>
      </c>
      <c r="BK5021" s="2" t="s">
        <v>82</v>
      </c>
      <c r="BL5021" s="2"/>
      <c r="BM5021" s="2">
        <v>241</v>
      </c>
      <c r="BN5021" s="2" t="s">
        <v>82</v>
      </c>
      <c r="BO5021" s="2"/>
      <c r="BP5021" s="2">
        <v>241</v>
      </c>
      <c r="BQ5021" s="2" t="s">
        <v>82</v>
      </c>
      <c r="BR5021" s="2"/>
      <c r="BS5021" s="3">
        <v>40519</v>
      </c>
      <c r="BT5021" s="4">
        <v>0.7912731481481482</v>
      </c>
    </row>
    <row r="5022" spans="1:72" x14ac:dyDescent="0.25">
      <c r="A5022" s="2">
        <v>7785</v>
      </c>
      <c r="B5022" s="2">
        <v>2010</v>
      </c>
      <c r="C5022" s="2" t="s">
        <v>763</v>
      </c>
      <c r="D5022" s="2" t="s">
        <v>122</v>
      </c>
      <c r="E5022" s="2" t="s">
        <v>15386</v>
      </c>
      <c r="F5022" s="2">
        <v>477</v>
      </c>
      <c r="G5022" s="2" t="s">
        <v>1300</v>
      </c>
      <c r="H5022" s="2">
        <v>108</v>
      </c>
      <c r="I5022" s="2" t="s">
        <v>1096</v>
      </c>
      <c r="J5022" s="2">
        <v>383</v>
      </c>
      <c r="K5022" s="2" t="s">
        <v>1301</v>
      </c>
      <c r="L5022" s="2" t="s">
        <v>1302</v>
      </c>
      <c r="M5022" s="3">
        <v>40519</v>
      </c>
      <c r="N5022" s="2" t="s">
        <v>15302</v>
      </c>
      <c r="O5022" s="2" t="s">
        <v>15303</v>
      </c>
      <c r="P5022" s="2" t="s">
        <v>15304</v>
      </c>
      <c r="Q5022" s="2" t="str">
        <f>""</f>
        <v/>
      </c>
      <c r="R5022" s="2"/>
      <c r="S5022" s="2"/>
      <c r="T5022" s="2">
        <v>1</v>
      </c>
      <c r="U5022" s="2" t="s">
        <v>79</v>
      </c>
      <c r="V5022" s="2">
        <v>1</v>
      </c>
      <c r="W5022" s="2" t="s">
        <v>80</v>
      </c>
      <c r="X5022" s="2">
        <v>5</v>
      </c>
      <c r="Y5022" s="2" t="s">
        <v>82</v>
      </c>
      <c r="Z5022" s="2">
        <v>1</v>
      </c>
      <c r="AA5022" s="2" t="s">
        <v>82</v>
      </c>
      <c r="AB5022" s="2">
        <v>9</v>
      </c>
      <c r="AC5022" s="2" t="s">
        <v>124</v>
      </c>
      <c r="AD5022" s="3">
        <v>40519</v>
      </c>
      <c r="AE5022" s="4">
        <v>0.59722222222222221</v>
      </c>
      <c r="AF5022" s="3">
        <v>40515</v>
      </c>
      <c r="AG5022" s="4">
        <v>0.88888888888888884</v>
      </c>
      <c r="AH5022" s="2">
        <v>4</v>
      </c>
      <c r="AI5022" s="2" t="s">
        <v>125</v>
      </c>
      <c r="AJ5022" s="2">
        <v>29</v>
      </c>
      <c r="AK5022" s="2" t="s">
        <v>227</v>
      </c>
      <c r="AL5022" s="2">
        <v>19</v>
      </c>
      <c r="AM5022" s="2" t="s">
        <v>107</v>
      </c>
      <c r="AN5022" s="2"/>
      <c r="AO5022" s="2"/>
      <c r="AP5022" s="2">
        <v>11</v>
      </c>
      <c r="AQ5022" s="2" t="s">
        <v>82</v>
      </c>
      <c r="AR5022" s="2"/>
      <c r="AS5022" s="2"/>
      <c r="AT5022" s="2" t="s">
        <v>15387</v>
      </c>
      <c r="AU5022" s="2">
        <v>1</v>
      </c>
      <c r="AV5022" s="2"/>
      <c r="AW5022" s="2"/>
      <c r="AX5022" s="2"/>
      <c r="AY5022" s="2">
        <v>41</v>
      </c>
      <c r="AZ5022" s="2" t="s">
        <v>82</v>
      </c>
      <c r="BA5022" s="2">
        <v>41</v>
      </c>
      <c r="BB5022" s="2" t="s">
        <v>82</v>
      </c>
      <c r="BC5022" s="2">
        <v>41</v>
      </c>
      <c r="BD5022" s="2" t="s">
        <v>82</v>
      </c>
      <c r="BE5022" s="2">
        <v>41</v>
      </c>
      <c r="BF5022" s="2" t="s">
        <v>82</v>
      </c>
      <c r="BG5022" s="2"/>
      <c r="BH5022" s="2"/>
      <c r="BI5022" s="2"/>
      <c r="BJ5022" s="2">
        <v>241</v>
      </c>
      <c r="BK5022" s="2" t="s">
        <v>82</v>
      </c>
      <c r="BL5022" s="2"/>
      <c r="BM5022" s="2">
        <v>241</v>
      </c>
      <c r="BN5022" s="2" t="s">
        <v>82</v>
      </c>
      <c r="BO5022" s="2"/>
      <c r="BP5022" s="2">
        <v>241</v>
      </c>
      <c r="BQ5022" s="2" t="s">
        <v>82</v>
      </c>
      <c r="BR5022" s="2"/>
      <c r="BS5022" s="3">
        <v>40519</v>
      </c>
      <c r="BT5022" s="4">
        <v>0.80650462962962965</v>
      </c>
    </row>
    <row r="5023" spans="1:72" x14ac:dyDescent="0.25">
      <c r="A5023" s="2">
        <v>7786</v>
      </c>
      <c r="B5023" s="2">
        <v>2010</v>
      </c>
      <c r="C5023" s="2" t="s">
        <v>171</v>
      </c>
      <c r="D5023" s="2" t="s">
        <v>122</v>
      </c>
      <c r="E5023" s="2" t="s">
        <v>15388</v>
      </c>
      <c r="F5023" s="2">
        <v>400</v>
      </c>
      <c r="G5023" s="2" t="s">
        <v>3601</v>
      </c>
      <c r="H5023" s="2">
        <v>17</v>
      </c>
      <c r="I5023" s="2" t="s">
        <v>3602</v>
      </c>
      <c r="J5023" s="2">
        <v>692</v>
      </c>
      <c r="K5023" s="2" t="s">
        <v>574</v>
      </c>
      <c r="L5023" s="2" t="s">
        <v>575</v>
      </c>
      <c r="M5023" s="3">
        <v>40519</v>
      </c>
      <c r="N5023" s="2" t="s">
        <v>10789</v>
      </c>
      <c r="O5023" s="2"/>
      <c r="P5023" s="2"/>
      <c r="Q5023" s="2" t="str">
        <f>"660-E/10"</f>
        <v>660-E/10</v>
      </c>
      <c r="R5023" s="2" t="s">
        <v>391</v>
      </c>
      <c r="S5023" s="2" t="s">
        <v>391</v>
      </c>
      <c r="T5023" s="2">
        <v>1</v>
      </c>
      <c r="U5023" s="2" t="s">
        <v>79</v>
      </c>
      <c r="V5023" s="2">
        <v>1</v>
      </c>
      <c r="W5023" s="2" t="s">
        <v>80</v>
      </c>
      <c r="X5023" s="2">
        <v>11</v>
      </c>
      <c r="Y5023" s="2" t="s">
        <v>1920</v>
      </c>
      <c r="Z5023" s="2">
        <v>1</v>
      </c>
      <c r="AA5023" s="2" t="s">
        <v>82</v>
      </c>
      <c r="AB5023" s="2">
        <v>1</v>
      </c>
      <c r="AC5023" s="2" t="s">
        <v>178</v>
      </c>
      <c r="AD5023" s="3">
        <v>40519</v>
      </c>
      <c r="AE5023" s="4">
        <v>0.29166666666666669</v>
      </c>
      <c r="AF5023" s="3">
        <v>40518</v>
      </c>
      <c r="AG5023" s="2"/>
      <c r="AH5023" s="2">
        <v>2</v>
      </c>
      <c r="AI5023" s="2" t="s">
        <v>84</v>
      </c>
      <c r="AJ5023" s="2">
        <v>9</v>
      </c>
      <c r="AK5023" s="2" t="s">
        <v>103</v>
      </c>
      <c r="AL5023" s="2">
        <v>22</v>
      </c>
      <c r="AM5023" s="2" t="s">
        <v>1853</v>
      </c>
      <c r="AN5023" s="2" t="s">
        <v>13133</v>
      </c>
      <c r="AO5023" s="2"/>
      <c r="AP5023" s="2">
        <v>11</v>
      </c>
      <c r="AQ5023" s="2" t="s">
        <v>82</v>
      </c>
      <c r="AR5023" s="2"/>
      <c r="AS5023" s="2"/>
      <c r="AT5023" s="2" t="s">
        <v>15389</v>
      </c>
      <c r="AU5023" s="2"/>
      <c r="AV5023" s="2">
        <v>1</v>
      </c>
      <c r="AW5023" s="2"/>
      <c r="AX5023" s="2"/>
      <c r="AY5023" s="2">
        <v>42</v>
      </c>
      <c r="AZ5023" s="2" t="s">
        <v>182</v>
      </c>
      <c r="BA5023" s="2">
        <v>41</v>
      </c>
      <c r="BB5023" s="2" t="s">
        <v>82</v>
      </c>
      <c r="BC5023" s="2">
        <v>41</v>
      </c>
      <c r="BD5023" s="2" t="s">
        <v>82</v>
      </c>
      <c r="BE5023" s="2">
        <v>27</v>
      </c>
      <c r="BF5023" s="2" t="s">
        <v>2197</v>
      </c>
      <c r="BG5023" s="2" t="s">
        <v>15328</v>
      </c>
      <c r="BH5023" s="2"/>
      <c r="BI5023" s="4">
        <v>0.60416666666666663</v>
      </c>
      <c r="BJ5023" s="2">
        <v>13</v>
      </c>
      <c r="BK5023" s="2" t="s">
        <v>91</v>
      </c>
      <c r="BL5023" s="2" t="s">
        <v>185</v>
      </c>
      <c r="BM5023" s="2">
        <v>112</v>
      </c>
      <c r="BN5023" s="2" t="s">
        <v>110</v>
      </c>
      <c r="BO5023" s="2"/>
      <c r="BP5023" s="2">
        <v>112</v>
      </c>
      <c r="BQ5023" s="2" t="s">
        <v>110</v>
      </c>
      <c r="BR5023" s="2" t="s">
        <v>111</v>
      </c>
      <c r="BS5023" s="3">
        <v>40519</v>
      </c>
      <c r="BT5023" s="4">
        <v>0.80664351851851857</v>
      </c>
    </row>
    <row r="5024" spans="1:72" x14ac:dyDescent="0.25">
      <c r="A5024" s="2">
        <v>7786</v>
      </c>
      <c r="B5024" s="2">
        <v>2010</v>
      </c>
      <c r="C5024" s="2" t="s">
        <v>385</v>
      </c>
      <c r="D5024" s="2" t="s">
        <v>122</v>
      </c>
      <c r="E5024" s="2" t="s">
        <v>15388</v>
      </c>
      <c r="F5024" s="2">
        <v>400</v>
      </c>
      <c r="G5024" s="2" t="s">
        <v>3601</v>
      </c>
      <c r="H5024" s="2">
        <v>17</v>
      </c>
      <c r="I5024" s="2" t="s">
        <v>3602</v>
      </c>
      <c r="J5024" s="2">
        <v>692</v>
      </c>
      <c r="K5024" s="2" t="s">
        <v>574</v>
      </c>
      <c r="L5024" s="2" t="s">
        <v>575</v>
      </c>
      <c r="M5024" s="3">
        <v>40519</v>
      </c>
      <c r="N5024" s="2" t="s">
        <v>10789</v>
      </c>
      <c r="O5024" s="2"/>
      <c r="P5024" s="2"/>
      <c r="Q5024" s="2" t="str">
        <f>"660-E/10"</f>
        <v>660-E/10</v>
      </c>
      <c r="R5024" s="2" t="s">
        <v>391</v>
      </c>
      <c r="S5024" s="2" t="s">
        <v>391</v>
      </c>
      <c r="T5024" s="2">
        <v>1</v>
      </c>
      <c r="U5024" s="2" t="s">
        <v>79</v>
      </c>
      <c r="V5024" s="2">
        <v>1</v>
      </c>
      <c r="W5024" s="2" t="s">
        <v>80</v>
      </c>
      <c r="X5024" s="2">
        <v>11</v>
      </c>
      <c r="Y5024" s="2" t="s">
        <v>1920</v>
      </c>
      <c r="Z5024" s="2">
        <v>1</v>
      </c>
      <c r="AA5024" s="2" t="s">
        <v>82</v>
      </c>
      <c r="AB5024" s="2">
        <v>9</v>
      </c>
      <c r="AC5024" s="2" t="s">
        <v>124</v>
      </c>
      <c r="AD5024" s="3">
        <v>40519</v>
      </c>
      <c r="AE5024" s="4">
        <v>0.29166666666666669</v>
      </c>
      <c r="AF5024" s="3">
        <v>40518</v>
      </c>
      <c r="AG5024" s="2"/>
      <c r="AH5024" s="2">
        <v>2</v>
      </c>
      <c r="AI5024" s="2" t="s">
        <v>84</v>
      </c>
      <c r="AJ5024" s="2">
        <v>9</v>
      </c>
      <c r="AK5024" s="2" t="s">
        <v>103</v>
      </c>
      <c r="AL5024" s="2">
        <v>22</v>
      </c>
      <c r="AM5024" s="2" t="s">
        <v>1853</v>
      </c>
      <c r="AN5024" s="2" t="s">
        <v>13133</v>
      </c>
      <c r="AO5024" s="2"/>
      <c r="AP5024" s="2">
        <v>11</v>
      </c>
      <c r="AQ5024" s="2" t="s">
        <v>82</v>
      </c>
      <c r="AR5024" s="2"/>
      <c r="AS5024" s="2"/>
      <c r="AT5024" s="2" t="s">
        <v>15389</v>
      </c>
      <c r="AU5024" s="2"/>
      <c r="AV5024" s="2">
        <v>1</v>
      </c>
      <c r="AW5024" s="2"/>
      <c r="AX5024" s="2"/>
      <c r="AY5024" s="2">
        <v>42</v>
      </c>
      <c r="AZ5024" s="2" t="s">
        <v>182</v>
      </c>
      <c r="BA5024" s="2">
        <v>41</v>
      </c>
      <c r="BB5024" s="2" t="s">
        <v>82</v>
      </c>
      <c r="BC5024" s="2">
        <v>41</v>
      </c>
      <c r="BD5024" s="2" t="s">
        <v>82</v>
      </c>
      <c r="BE5024" s="2">
        <v>27</v>
      </c>
      <c r="BF5024" s="2" t="s">
        <v>2197</v>
      </c>
      <c r="BG5024" s="2" t="s">
        <v>15328</v>
      </c>
      <c r="BH5024" s="2"/>
      <c r="BI5024" s="4">
        <v>0.60416666666666663</v>
      </c>
      <c r="BJ5024" s="2">
        <v>13</v>
      </c>
      <c r="BK5024" s="2" t="s">
        <v>91</v>
      </c>
      <c r="BL5024" s="2" t="s">
        <v>185</v>
      </c>
      <c r="BM5024" s="2">
        <v>112</v>
      </c>
      <c r="BN5024" s="2" t="s">
        <v>110</v>
      </c>
      <c r="BO5024" s="2"/>
      <c r="BP5024" s="2">
        <v>112</v>
      </c>
      <c r="BQ5024" s="2" t="s">
        <v>110</v>
      </c>
      <c r="BR5024" s="2" t="s">
        <v>111</v>
      </c>
      <c r="BS5024" s="3">
        <v>40519</v>
      </c>
      <c r="BT5024" s="4">
        <v>0.80664351851851857</v>
      </c>
    </row>
    <row r="5025" spans="1:72" x14ac:dyDescent="0.25">
      <c r="A5025" s="2">
        <v>7790</v>
      </c>
      <c r="B5025" s="2">
        <v>2010</v>
      </c>
      <c r="C5025" s="2" t="s">
        <v>4543</v>
      </c>
      <c r="D5025" s="2" t="s">
        <v>122</v>
      </c>
      <c r="E5025" s="2" t="s">
        <v>15390</v>
      </c>
      <c r="F5025" s="2">
        <v>60</v>
      </c>
      <c r="G5025" s="2" t="s">
        <v>15343</v>
      </c>
      <c r="H5025" s="2">
        <v>99</v>
      </c>
      <c r="I5025" s="2" t="s">
        <v>6285</v>
      </c>
      <c r="J5025" s="2">
        <v>92</v>
      </c>
      <c r="K5025" s="2" t="s">
        <v>15344</v>
      </c>
      <c r="L5025" s="2" t="s">
        <v>15345</v>
      </c>
      <c r="M5025" s="3">
        <v>40519</v>
      </c>
      <c r="N5025" s="2" t="s">
        <v>15346</v>
      </c>
      <c r="O5025" s="2"/>
      <c r="P5025" s="2"/>
      <c r="Q5025" s="2" t="str">
        <f>"037/10"</f>
        <v>037/10</v>
      </c>
      <c r="R5025" s="2" t="s">
        <v>9337</v>
      </c>
      <c r="S5025" s="2"/>
      <c r="T5025" s="2">
        <v>2</v>
      </c>
      <c r="U5025" s="2" t="s">
        <v>123</v>
      </c>
      <c r="V5025" s="2">
        <v>1</v>
      </c>
      <c r="W5025" s="2" t="s">
        <v>80</v>
      </c>
      <c r="X5025" s="2">
        <v>1</v>
      </c>
      <c r="Y5025" s="2" t="s">
        <v>81</v>
      </c>
      <c r="Z5025" s="2">
        <v>10</v>
      </c>
      <c r="AA5025" s="2" t="s">
        <v>236</v>
      </c>
      <c r="AB5025" s="2">
        <v>9</v>
      </c>
      <c r="AC5025" s="2" t="s">
        <v>124</v>
      </c>
      <c r="AD5025" s="3">
        <v>40519</v>
      </c>
      <c r="AE5025" s="4">
        <v>0.3125</v>
      </c>
      <c r="AF5025" s="3">
        <v>40519</v>
      </c>
      <c r="AG5025" s="4">
        <v>0.3125</v>
      </c>
      <c r="AH5025" s="2">
        <v>4</v>
      </c>
      <c r="AI5025" s="2" t="s">
        <v>125</v>
      </c>
      <c r="AJ5025" s="2">
        <v>28</v>
      </c>
      <c r="AK5025" s="2" t="s">
        <v>741</v>
      </c>
      <c r="AL5025" s="2">
        <v>21</v>
      </c>
      <c r="AM5025" s="2" t="s">
        <v>1311</v>
      </c>
      <c r="AN5025" s="2" t="s">
        <v>15348</v>
      </c>
      <c r="AO5025" s="2" t="s">
        <v>15349</v>
      </c>
      <c r="AP5025" s="2">
        <v>11</v>
      </c>
      <c r="AQ5025" s="2" t="s">
        <v>82</v>
      </c>
      <c r="AR5025" s="2"/>
      <c r="AS5025" s="2"/>
      <c r="AT5025" s="2" t="s">
        <v>15391</v>
      </c>
      <c r="AU5025" s="2"/>
      <c r="AV5025" s="2"/>
      <c r="AW5025" s="2"/>
      <c r="AX5025" s="2"/>
      <c r="AY5025" s="2">
        <v>41</v>
      </c>
      <c r="AZ5025" s="2" t="s">
        <v>82</v>
      </c>
      <c r="BA5025" s="2">
        <v>41</v>
      </c>
      <c r="BB5025" s="2" t="s">
        <v>82</v>
      </c>
      <c r="BC5025" s="2">
        <v>41</v>
      </c>
      <c r="BD5025" s="2" t="s">
        <v>82</v>
      </c>
      <c r="BE5025" s="2">
        <v>41</v>
      </c>
      <c r="BF5025" s="2" t="s">
        <v>82</v>
      </c>
      <c r="BG5025" s="2"/>
      <c r="BH5025" s="2"/>
      <c r="BI5025" s="2"/>
      <c r="BJ5025" s="2">
        <v>241</v>
      </c>
      <c r="BK5025" s="2" t="s">
        <v>82</v>
      </c>
      <c r="BL5025" s="2"/>
      <c r="BM5025" s="2">
        <v>241</v>
      </c>
      <c r="BN5025" s="2" t="s">
        <v>82</v>
      </c>
      <c r="BO5025" s="2"/>
      <c r="BP5025" s="2">
        <v>241</v>
      </c>
      <c r="BQ5025" s="2" t="s">
        <v>82</v>
      </c>
      <c r="BR5025" s="2"/>
      <c r="BS5025" s="3">
        <v>40519</v>
      </c>
      <c r="BT5025" s="4">
        <v>0.8244097222222222</v>
      </c>
    </row>
    <row r="5026" spans="1:72" x14ac:dyDescent="0.25">
      <c r="A5026" s="2">
        <v>7793</v>
      </c>
      <c r="B5026" s="2">
        <v>2010</v>
      </c>
      <c r="C5026" s="2" t="s">
        <v>549</v>
      </c>
      <c r="D5026" s="2" t="s">
        <v>73</v>
      </c>
      <c r="E5026" s="2"/>
      <c r="F5026" s="2">
        <v>735</v>
      </c>
      <c r="G5026" s="2" t="s">
        <v>15392</v>
      </c>
      <c r="H5026" s="2">
        <v>10</v>
      </c>
      <c r="I5026" s="2" t="s">
        <v>1031</v>
      </c>
      <c r="J5026" s="2">
        <v>736</v>
      </c>
      <c r="K5026" s="2" t="s">
        <v>15393</v>
      </c>
      <c r="L5026" s="2" t="s">
        <v>15394</v>
      </c>
      <c r="M5026" s="3">
        <v>40520</v>
      </c>
      <c r="N5026" s="2" t="s">
        <v>15395</v>
      </c>
      <c r="O5026" s="2"/>
      <c r="P5026" s="2"/>
      <c r="Q5026" s="2" t="str">
        <f>"0053/2010"</f>
        <v>0053/2010</v>
      </c>
      <c r="R5026" s="2" t="s">
        <v>1044</v>
      </c>
      <c r="S5026" s="2"/>
      <c r="T5026" s="2">
        <v>1</v>
      </c>
      <c r="U5026" s="2" t="s">
        <v>79</v>
      </c>
      <c r="V5026" s="2">
        <v>1</v>
      </c>
      <c r="W5026" s="2" t="s">
        <v>80</v>
      </c>
      <c r="X5026" s="2">
        <v>1</v>
      </c>
      <c r="Y5026" s="2" t="s">
        <v>81</v>
      </c>
      <c r="Z5026" s="2">
        <v>1</v>
      </c>
      <c r="AA5026" s="2" t="s">
        <v>82</v>
      </c>
      <c r="AB5026" s="2">
        <v>9</v>
      </c>
      <c r="AC5026" s="2" t="s">
        <v>124</v>
      </c>
      <c r="AD5026" s="3">
        <v>40519</v>
      </c>
      <c r="AE5026" s="4">
        <v>0.82291666666666663</v>
      </c>
      <c r="AF5026" s="3">
        <v>40519</v>
      </c>
      <c r="AG5026" s="2"/>
      <c r="AH5026" s="2">
        <v>5</v>
      </c>
      <c r="AI5026" s="2" t="s">
        <v>274</v>
      </c>
      <c r="AJ5026" s="2">
        <v>42</v>
      </c>
      <c r="AK5026" s="2" t="s">
        <v>660</v>
      </c>
      <c r="AL5026" s="2">
        <v>24</v>
      </c>
      <c r="AM5026" s="2" t="s">
        <v>1540</v>
      </c>
      <c r="AN5026" s="2" t="s">
        <v>15396</v>
      </c>
      <c r="AO5026" s="2" t="s">
        <v>15397</v>
      </c>
      <c r="AP5026" s="2">
        <v>11</v>
      </c>
      <c r="AQ5026" s="2" t="s">
        <v>82</v>
      </c>
      <c r="AR5026" s="2"/>
      <c r="AS5026" s="2"/>
      <c r="AT5026" s="2" t="s">
        <v>15398</v>
      </c>
      <c r="AU5026" s="2"/>
      <c r="AV5026" s="2"/>
      <c r="AW5026" s="2"/>
      <c r="AX5026" s="2"/>
      <c r="AY5026" s="2">
        <v>41</v>
      </c>
      <c r="AZ5026" s="2" t="s">
        <v>82</v>
      </c>
      <c r="BA5026" s="2">
        <v>41</v>
      </c>
      <c r="BB5026" s="2" t="s">
        <v>82</v>
      </c>
      <c r="BC5026" s="2">
        <v>41</v>
      </c>
      <c r="BD5026" s="2" t="s">
        <v>82</v>
      </c>
      <c r="BE5026" s="2">
        <v>41</v>
      </c>
      <c r="BF5026" s="2" t="s">
        <v>82</v>
      </c>
      <c r="BG5026" s="2" t="s">
        <v>82</v>
      </c>
      <c r="BH5026" s="2"/>
      <c r="BI5026" s="2"/>
      <c r="BJ5026" s="2">
        <v>241</v>
      </c>
      <c r="BK5026" s="2" t="s">
        <v>82</v>
      </c>
      <c r="BL5026" s="2"/>
      <c r="BM5026" s="2">
        <v>241</v>
      </c>
      <c r="BN5026" s="2" t="s">
        <v>82</v>
      </c>
      <c r="BO5026" s="2"/>
      <c r="BP5026" s="2">
        <v>241</v>
      </c>
      <c r="BQ5026" s="2" t="s">
        <v>82</v>
      </c>
      <c r="BR5026" s="2"/>
      <c r="BS5026" s="3">
        <v>40520</v>
      </c>
      <c r="BT5026" s="4">
        <v>9.1284722222222225E-2</v>
      </c>
    </row>
    <row r="5027" spans="1:72" x14ac:dyDescent="0.25">
      <c r="A5027" s="2">
        <v>7794</v>
      </c>
      <c r="B5027" s="2">
        <v>2010</v>
      </c>
      <c r="C5027" s="2" t="s">
        <v>72</v>
      </c>
      <c r="D5027" s="2" t="s">
        <v>122</v>
      </c>
      <c r="E5027" s="2" t="s">
        <v>15362</v>
      </c>
      <c r="F5027" s="2">
        <v>2</v>
      </c>
      <c r="G5027" s="2" t="s">
        <v>113</v>
      </c>
      <c r="H5027" s="2">
        <v>1</v>
      </c>
      <c r="I5027" s="2" t="s">
        <v>82</v>
      </c>
      <c r="J5027" s="2">
        <v>300</v>
      </c>
      <c r="K5027" s="2" t="s">
        <v>114</v>
      </c>
      <c r="L5027" s="2" t="s">
        <v>115</v>
      </c>
      <c r="M5027" s="3">
        <v>40520</v>
      </c>
      <c r="N5027" s="2"/>
      <c r="O5027" s="2"/>
      <c r="P5027" s="2"/>
      <c r="Q5027" s="2" t="str">
        <f>"658-E/10"</f>
        <v>658-E/10</v>
      </c>
      <c r="R5027" s="2" t="s">
        <v>302</v>
      </c>
      <c r="S5027" s="2" t="s">
        <v>302</v>
      </c>
      <c r="T5027" s="2">
        <v>1</v>
      </c>
      <c r="U5027" s="2" t="s">
        <v>79</v>
      </c>
      <c r="V5027" s="2">
        <v>1</v>
      </c>
      <c r="W5027" s="2" t="s">
        <v>80</v>
      </c>
      <c r="X5027" s="2">
        <v>12</v>
      </c>
      <c r="Y5027" s="2" t="s">
        <v>148</v>
      </c>
      <c r="Z5027" s="2">
        <v>1</v>
      </c>
      <c r="AA5027" s="2" t="s">
        <v>82</v>
      </c>
      <c r="AB5027" s="2">
        <v>6</v>
      </c>
      <c r="AC5027" s="2" t="s">
        <v>83</v>
      </c>
      <c r="AD5027" s="3">
        <v>40518</v>
      </c>
      <c r="AE5027" s="4">
        <v>0.33333333333333331</v>
      </c>
      <c r="AF5027" s="3">
        <v>40518</v>
      </c>
      <c r="AG5027" s="4">
        <v>0.45833333333333331</v>
      </c>
      <c r="AH5027" s="2">
        <v>2</v>
      </c>
      <c r="AI5027" s="2" t="s">
        <v>84</v>
      </c>
      <c r="AJ5027" s="2">
        <v>9</v>
      </c>
      <c r="AK5027" s="2" t="s">
        <v>103</v>
      </c>
      <c r="AL5027" s="2">
        <v>12</v>
      </c>
      <c r="AM5027" s="2" t="s">
        <v>86</v>
      </c>
      <c r="AN5027" s="2" t="s">
        <v>15363</v>
      </c>
      <c r="AO5027" s="2"/>
      <c r="AP5027" s="2">
        <v>11</v>
      </c>
      <c r="AQ5027" s="2" t="s">
        <v>82</v>
      </c>
      <c r="AR5027" s="2"/>
      <c r="AS5027" s="2"/>
      <c r="AT5027" s="2" t="s">
        <v>15399</v>
      </c>
      <c r="AU5027" s="2"/>
      <c r="AV5027" s="2"/>
      <c r="AW5027" s="2">
        <v>4</v>
      </c>
      <c r="AX5027" s="2"/>
      <c r="AY5027" s="2">
        <v>41</v>
      </c>
      <c r="AZ5027" s="2" t="s">
        <v>82</v>
      </c>
      <c r="BA5027" s="2">
        <v>41</v>
      </c>
      <c r="BB5027" s="2" t="s">
        <v>82</v>
      </c>
      <c r="BC5027" s="2">
        <v>41</v>
      </c>
      <c r="BD5027" s="2" t="s">
        <v>82</v>
      </c>
      <c r="BE5027" s="2">
        <v>26</v>
      </c>
      <c r="BF5027" s="2" t="s">
        <v>1999</v>
      </c>
      <c r="BG5027" s="2" t="s">
        <v>15365</v>
      </c>
      <c r="BH5027" s="4">
        <v>0.29166666666666669</v>
      </c>
      <c r="BI5027" s="4">
        <v>0.95833333333333337</v>
      </c>
      <c r="BJ5027" s="2">
        <v>75</v>
      </c>
      <c r="BK5027" s="2" t="s">
        <v>1264</v>
      </c>
      <c r="BL5027" s="2" t="s">
        <v>15366</v>
      </c>
      <c r="BM5027" s="2">
        <v>13</v>
      </c>
      <c r="BN5027" s="2" t="s">
        <v>91</v>
      </c>
      <c r="BO5027" s="2"/>
      <c r="BP5027" s="2">
        <v>13</v>
      </c>
      <c r="BQ5027" s="2" t="s">
        <v>91</v>
      </c>
      <c r="BR5027" s="2" t="s">
        <v>185</v>
      </c>
      <c r="BS5027" s="3">
        <v>40520</v>
      </c>
      <c r="BT5027" s="4">
        <v>0.25664351851851852</v>
      </c>
    </row>
    <row r="5028" spans="1:72" x14ac:dyDescent="0.25">
      <c r="A5028" s="2">
        <v>7796</v>
      </c>
      <c r="B5028" s="2">
        <v>2010</v>
      </c>
      <c r="C5028" s="2" t="s">
        <v>171</v>
      </c>
      <c r="D5028" s="2" t="s">
        <v>73</v>
      </c>
      <c r="E5028" s="2"/>
      <c r="F5028" s="2">
        <v>470</v>
      </c>
      <c r="G5028" s="2" t="s">
        <v>2979</v>
      </c>
      <c r="H5028" s="2">
        <v>2</v>
      </c>
      <c r="I5028" s="2" t="s">
        <v>267</v>
      </c>
      <c r="J5028" s="2">
        <v>371</v>
      </c>
      <c r="K5028" s="2" t="s">
        <v>1138</v>
      </c>
      <c r="L5028" s="2" t="s">
        <v>1139</v>
      </c>
      <c r="M5028" s="3">
        <v>40520</v>
      </c>
      <c r="N5028" s="2" t="s">
        <v>5629</v>
      </c>
      <c r="O5028" s="2"/>
      <c r="P5028" s="2"/>
      <c r="Q5028" s="2" t="str">
        <f>"0152/2010"</f>
        <v>0152/2010</v>
      </c>
      <c r="R5028" s="2" t="s">
        <v>15400</v>
      </c>
      <c r="S5028" s="2"/>
      <c r="T5028" s="2">
        <v>1</v>
      </c>
      <c r="U5028" s="2" t="s">
        <v>79</v>
      </c>
      <c r="V5028" s="2">
        <v>1</v>
      </c>
      <c r="W5028" s="2" t="s">
        <v>80</v>
      </c>
      <c r="X5028" s="2">
        <v>12</v>
      </c>
      <c r="Y5028" s="2" t="s">
        <v>148</v>
      </c>
      <c r="Z5028" s="2">
        <v>1</v>
      </c>
      <c r="AA5028" s="2" t="s">
        <v>82</v>
      </c>
      <c r="AB5028" s="2">
        <v>1</v>
      </c>
      <c r="AC5028" s="2" t="s">
        <v>178</v>
      </c>
      <c r="AD5028" s="3">
        <v>40520</v>
      </c>
      <c r="AE5028" s="4">
        <v>0.41666666666666669</v>
      </c>
      <c r="AF5028" s="3">
        <v>40520</v>
      </c>
      <c r="AG5028" s="4">
        <v>0.47222222222222227</v>
      </c>
      <c r="AH5028" s="2">
        <v>5</v>
      </c>
      <c r="AI5028" s="2" t="s">
        <v>274</v>
      </c>
      <c r="AJ5028" s="2">
        <v>38</v>
      </c>
      <c r="AK5028" s="2" t="s">
        <v>1120</v>
      </c>
      <c r="AL5028" s="2">
        <v>11</v>
      </c>
      <c r="AM5028" s="2" t="s">
        <v>137</v>
      </c>
      <c r="AN5028" s="2"/>
      <c r="AO5028" s="2"/>
      <c r="AP5028" s="2">
        <v>11</v>
      </c>
      <c r="AQ5028" s="2" t="s">
        <v>82</v>
      </c>
      <c r="AR5028" s="2"/>
      <c r="AS5028" s="2"/>
      <c r="AT5028" s="2" t="s">
        <v>15401</v>
      </c>
      <c r="AU5028" s="2"/>
      <c r="AV5028" s="2"/>
      <c r="AW5028" s="2"/>
      <c r="AX5028" s="2"/>
      <c r="AY5028" s="2">
        <v>41</v>
      </c>
      <c r="AZ5028" s="2" t="s">
        <v>82</v>
      </c>
      <c r="BA5028" s="2">
        <v>152</v>
      </c>
      <c r="BB5028" s="2" t="s">
        <v>13823</v>
      </c>
      <c r="BC5028" s="2">
        <v>41</v>
      </c>
      <c r="BD5028" s="2" t="s">
        <v>82</v>
      </c>
      <c r="BE5028" s="2">
        <v>41</v>
      </c>
      <c r="BF5028" s="2" t="s">
        <v>82</v>
      </c>
      <c r="BG5028" s="2"/>
      <c r="BH5028" s="2"/>
      <c r="BI5028" s="2"/>
      <c r="BJ5028" s="2">
        <v>241</v>
      </c>
      <c r="BK5028" s="2" t="s">
        <v>82</v>
      </c>
      <c r="BL5028" s="2"/>
      <c r="BM5028" s="2">
        <v>241</v>
      </c>
      <c r="BN5028" s="2" t="s">
        <v>82</v>
      </c>
      <c r="BO5028" s="2"/>
      <c r="BP5028" s="2">
        <v>241</v>
      </c>
      <c r="BQ5028" s="2" t="s">
        <v>82</v>
      </c>
      <c r="BR5028" s="2"/>
      <c r="BS5028" s="3">
        <v>40520</v>
      </c>
      <c r="BT5028" s="4">
        <v>0.55221064814814813</v>
      </c>
    </row>
    <row r="5029" spans="1:72" x14ac:dyDescent="0.25">
      <c r="A5029" s="2">
        <v>7799</v>
      </c>
      <c r="B5029" s="2">
        <v>2010</v>
      </c>
      <c r="C5029" s="2" t="s">
        <v>4543</v>
      </c>
      <c r="D5029" s="2" t="s">
        <v>122</v>
      </c>
      <c r="E5029" s="2" t="s">
        <v>15402</v>
      </c>
      <c r="F5029" s="2">
        <v>735</v>
      </c>
      <c r="G5029" s="2" t="s">
        <v>15392</v>
      </c>
      <c r="H5029" s="2">
        <v>10</v>
      </c>
      <c r="I5029" s="2" t="s">
        <v>1031</v>
      </c>
      <c r="J5029" s="2">
        <v>736</v>
      </c>
      <c r="K5029" s="2" t="s">
        <v>15393</v>
      </c>
      <c r="L5029" s="2" t="s">
        <v>15394</v>
      </c>
      <c r="M5029" s="3">
        <v>40520</v>
      </c>
      <c r="N5029" s="2" t="s">
        <v>15395</v>
      </c>
      <c r="O5029" s="2" t="s">
        <v>82</v>
      </c>
      <c r="P5029" s="2" t="s">
        <v>82</v>
      </c>
      <c r="Q5029" s="2" t="str">
        <f>"ACTA DEJ CONS 258"</f>
        <v>ACTA DEJ CONS 258</v>
      </c>
      <c r="R5029" s="2" t="s">
        <v>15403</v>
      </c>
      <c r="S5029" s="2" t="s">
        <v>82</v>
      </c>
      <c r="T5029" s="2">
        <v>2</v>
      </c>
      <c r="U5029" s="2" t="s">
        <v>123</v>
      </c>
      <c r="V5029" s="2">
        <v>1</v>
      </c>
      <c r="W5029" s="2" t="s">
        <v>80</v>
      </c>
      <c r="X5029" s="2">
        <v>5</v>
      </c>
      <c r="Y5029" s="2" t="s">
        <v>82</v>
      </c>
      <c r="Z5029" s="2">
        <v>1</v>
      </c>
      <c r="AA5029" s="2" t="s">
        <v>82</v>
      </c>
      <c r="AB5029" s="2">
        <v>9</v>
      </c>
      <c r="AC5029" s="2" t="s">
        <v>124</v>
      </c>
      <c r="AD5029" s="3">
        <v>40519</v>
      </c>
      <c r="AE5029" s="4">
        <v>0.82291666666666663</v>
      </c>
      <c r="AF5029" s="3">
        <v>40520</v>
      </c>
      <c r="AG5029" s="4">
        <v>0.74652777777777779</v>
      </c>
      <c r="AH5029" s="2">
        <v>5</v>
      </c>
      <c r="AI5029" s="2" t="s">
        <v>274</v>
      </c>
      <c r="AJ5029" s="2">
        <v>42</v>
      </c>
      <c r="AK5029" s="2" t="s">
        <v>660</v>
      </c>
      <c r="AL5029" s="2">
        <v>9</v>
      </c>
      <c r="AM5029" s="2" t="s">
        <v>259</v>
      </c>
      <c r="AN5029" s="2" t="s">
        <v>15396</v>
      </c>
      <c r="AO5029" s="2" t="s">
        <v>15404</v>
      </c>
      <c r="AP5029" s="2">
        <v>11</v>
      </c>
      <c r="AQ5029" s="2" t="s">
        <v>82</v>
      </c>
      <c r="AR5029" s="2"/>
      <c r="AS5029" s="2"/>
      <c r="AT5029" s="2" t="s">
        <v>15405</v>
      </c>
      <c r="AU5029" s="2"/>
      <c r="AV5029" s="2"/>
      <c r="AW5029" s="2"/>
      <c r="AX5029" s="2"/>
      <c r="AY5029" s="2">
        <v>41</v>
      </c>
      <c r="AZ5029" s="2" t="s">
        <v>82</v>
      </c>
      <c r="BA5029" s="2">
        <v>41</v>
      </c>
      <c r="BB5029" s="2" t="s">
        <v>82</v>
      </c>
      <c r="BC5029" s="2">
        <v>41</v>
      </c>
      <c r="BD5029" s="2" t="s">
        <v>82</v>
      </c>
      <c r="BE5029" s="2">
        <v>41</v>
      </c>
      <c r="BF5029" s="2" t="s">
        <v>82</v>
      </c>
      <c r="BG5029" s="2" t="s">
        <v>82</v>
      </c>
      <c r="BH5029" s="2"/>
      <c r="BI5029" s="2"/>
      <c r="BJ5029" s="2">
        <v>241</v>
      </c>
      <c r="BK5029" s="2" t="s">
        <v>82</v>
      </c>
      <c r="BL5029" s="2"/>
      <c r="BM5029" s="2">
        <v>241</v>
      </c>
      <c r="BN5029" s="2" t="s">
        <v>82</v>
      </c>
      <c r="BO5029" s="2"/>
      <c r="BP5029" s="2">
        <v>241</v>
      </c>
      <c r="BQ5029" s="2" t="s">
        <v>82</v>
      </c>
      <c r="BR5029" s="2"/>
      <c r="BS5029" s="3">
        <v>40520</v>
      </c>
      <c r="BT5029" s="4">
        <v>0.77099537037037036</v>
      </c>
    </row>
    <row r="5030" spans="1:72" x14ac:dyDescent="0.25">
      <c r="A5030" s="2">
        <v>7800</v>
      </c>
      <c r="B5030" s="2">
        <v>2010</v>
      </c>
      <c r="C5030" s="2" t="s">
        <v>171</v>
      </c>
      <c r="D5030" s="2" t="s">
        <v>73</v>
      </c>
      <c r="E5030" s="2"/>
      <c r="F5030" s="2">
        <v>152</v>
      </c>
      <c r="G5030" s="2" t="s">
        <v>7866</v>
      </c>
      <c r="H5030" s="2">
        <v>4</v>
      </c>
      <c r="I5030" s="2" t="s">
        <v>173</v>
      </c>
      <c r="J5030" s="2">
        <v>451</v>
      </c>
      <c r="K5030" s="2" t="s">
        <v>3028</v>
      </c>
      <c r="L5030" s="2" t="s">
        <v>3029</v>
      </c>
      <c r="M5030" s="3">
        <v>40520</v>
      </c>
      <c r="N5030" s="2" t="s">
        <v>13941</v>
      </c>
      <c r="O5030" s="2"/>
      <c r="P5030" s="2"/>
      <c r="Q5030" s="2" t="str">
        <f>"441-A/10"</f>
        <v>441-A/10</v>
      </c>
      <c r="R5030" s="2" t="s">
        <v>1035</v>
      </c>
      <c r="S5030" s="2" t="s">
        <v>1035</v>
      </c>
      <c r="T5030" s="2">
        <v>1</v>
      </c>
      <c r="U5030" s="2" t="s">
        <v>79</v>
      </c>
      <c r="V5030" s="2">
        <v>1</v>
      </c>
      <c r="W5030" s="2" t="s">
        <v>80</v>
      </c>
      <c r="X5030" s="2">
        <v>1</v>
      </c>
      <c r="Y5030" s="2" t="s">
        <v>81</v>
      </c>
      <c r="Z5030" s="2">
        <v>1</v>
      </c>
      <c r="AA5030" s="2" t="s">
        <v>82</v>
      </c>
      <c r="AB5030" s="2">
        <v>1</v>
      </c>
      <c r="AC5030" s="2" t="s">
        <v>178</v>
      </c>
      <c r="AD5030" s="3">
        <v>40520</v>
      </c>
      <c r="AE5030" s="4">
        <v>0.40277777777777773</v>
      </c>
      <c r="AF5030" s="3">
        <v>40520</v>
      </c>
      <c r="AG5030" s="4">
        <v>0.54166666666666663</v>
      </c>
      <c r="AH5030" s="2">
        <v>2</v>
      </c>
      <c r="AI5030" s="2" t="s">
        <v>84</v>
      </c>
      <c r="AJ5030" s="2">
        <v>12</v>
      </c>
      <c r="AK5030" s="2" t="s">
        <v>85</v>
      </c>
      <c r="AL5030" s="2">
        <v>11</v>
      </c>
      <c r="AM5030" s="2" t="s">
        <v>137</v>
      </c>
      <c r="AN5030" s="2" t="s">
        <v>15406</v>
      </c>
      <c r="AO5030" s="2" t="s">
        <v>788</v>
      </c>
      <c r="AP5030" s="2">
        <v>11</v>
      </c>
      <c r="AQ5030" s="2" t="s">
        <v>82</v>
      </c>
      <c r="AR5030" s="2"/>
      <c r="AS5030" s="2"/>
      <c r="AT5030" s="2" t="s">
        <v>15407</v>
      </c>
      <c r="AU5030" s="2">
        <v>1</v>
      </c>
      <c r="AV5030" s="2"/>
      <c r="AW5030" s="2"/>
      <c r="AX5030" s="2"/>
      <c r="AY5030" s="2">
        <v>41</v>
      </c>
      <c r="AZ5030" s="2" t="s">
        <v>82</v>
      </c>
      <c r="BA5030" s="2">
        <v>41</v>
      </c>
      <c r="BB5030" s="2" t="s">
        <v>82</v>
      </c>
      <c r="BC5030" s="2">
        <v>41</v>
      </c>
      <c r="BD5030" s="2" t="s">
        <v>82</v>
      </c>
      <c r="BE5030" s="2">
        <v>47</v>
      </c>
      <c r="BF5030" s="2" t="s">
        <v>167</v>
      </c>
      <c r="BG5030" s="2" t="s">
        <v>15408</v>
      </c>
      <c r="BH5030" s="2"/>
      <c r="BI5030" s="4">
        <v>0.4201388888888889</v>
      </c>
      <c r="BJ5030" s="2">
        <v>13</v>
      </c>
      <c r="BK5030" s="2" t="s">
        <v>91</v>
      </c>
      <c r="BL5030" s="2" t="s">
        <v>564</v>
      </c>
      <c r="BM5030" s="2">
        <v>13</v>
      </c>
      <c r="BN5030" s="2" t="s">
        <v>91</v>
      </c>
      <c r="BO5030" s="2"/>
      <c r="BP5030" s="2">
        <v>13</v>
      </c>
      <c r="BQ5030" s="2" t="s">
        <v>91</v>
      </c>
      <c r="BR5030" s="2" t="s">
        <v>204</v>
      </c>
      <c r="BS5030" s="3">
        <v>40520</v>
      </c>
      <c r="BT5030" s="4">
        <v>0.81609953703703697</v>
      </c>
    </row>
    <row r="5031" spans="1:72" x14ac:dyDescent="0.25">
      <c r="A5031" s="2">
        <v>7801</v>
      </c>
      <c r="B5031" s="2">
        <v>2010</v>
      </c>
      <c r="C5031" s="2" t="s">
        <v>72</v>
      </c>
      <c r="D5031" s="2" t="s">
        <v>73</v>
      </c>
      <c r="E5031" s="2"/>
      <c r="F5031" s="2">
        <v>389</v>
      </c>
      <c r="G5031" s="2" t="s">
        <v>1819</v>
      </c>
      <c r="H5031" s="2">
        <v>4</v>
      </c>
      <c r="I5031" s="2" t="s">
        <v>173</v>
      </c>
      <c r="J5031" s="2">
        <v>399</v>
      </c>
      <c r="K5031" s="2" t="s">
        <v>1820</v>
      </c>
      <c r="L5031" s="2" t="s">
        <v>1821</v>
      </c>
      <c r="M5031" s="3">
        <v>40520</v>
      </c>
      <c r="N5031" s="2" t="s">
        <v>2549</v>
      </c>
      <c r="O5031" s="2"/>
      <c r="P5031" s="2"/>
      <c r="Q5031" s="2" t="str">
        <f>"665-E/10"</f>
        <v>665-E/10</v>
      </c>
      <c r="R5031" s="2" t="s">
        <v>116</v>
      </c>
      <c r="S5031" s="2" t="s">
        <v>116</v>
      </c>
      <c r="T5031" s="2">
        <v>1</v>
      </c>
      <c r="U5031" s="2" t="s">
        <v>79</v>
      </c>
      <c r="V5031" s="2">
        <v>1</v>
      </c>
      <c r="W5031" s="2" t="s">
        <v>80</v>
      </c>
      <c r="X5031" s="2">
        <v>12</v>
      </c>
      <c r="Y5031" s="2" t="s">
        <v>148</v>
      </c>
      <c r="Z5031" s="2">
        <v>1</v>
      </c>
      <c r="AA5031" s="2" t="s">
        <v>82</v>
      </c>
      <c r="AB5031" s="2">
        <v>6</v>
      </c>
      <c r="AC5031" s="2" t="s">
        <v>83</v>
      </c>
      <c r="AD5031" s="3">
        <v>40520</v>
      </c>
      <c r="AE5031" s="2"/>
      <c r="AF5031" s="3">
        <v>40520</v>
      </c>
      <c r="AG5031" s="4">
        <v>0.4513888888888889</v>
      </c>
      <c r="AH5031" s="2">
        <v>2</v>
      </c>
      <c r="AI5031" s="2" t="s">
        <v>84</v>
      </c>
      <c r="AJ5031" s="2">
        <v>9</v>
      </c>
      <c r="AK5031" s="2" t="s">
        <v>103</v>
      </c>
      <c r="AL5031" s="2">
        <v>14</v>
      </c>
      <c r="AM5031" s="2" t="s">
        <v>216</v>
      </c>
      <c r="AN5031" s="2"/>
      <c r="AO5031" s="2" t="s">
        <v>15409</v>
      </c>
      <c r="AP5031" s="2">
        <v>11</v>
      </c>
      <c r="AQ5031" s="2" t="s">
        <v>82</v>
      </c>
      <c r="AR5031" s="2"/>
      <c r="AS5031" s="2"/>
      <c r="AT5031" s="2" t="s">
        <v>15410</v>
      </c>
      <c r="AU5031" s="2"/>
      <c r="AV5031" s="2"/>
      <c r="AW5031" s="2"/>
      <c r="AX5031" s="2"/>
      <c r="AY5031" s="2">
        <v>69</v>
      </c>
      <c r="AZ5031" s="2" t="s">
        <v>483</v>
      </c>
      <c r="BA5031" s="2">
        <v>69</v>
      </c>
      <c r="BB5031" s="2" t="s">
        <v>483</v>
      </c>
      <c r="BC5031" s="2">
        <v>41</v>
      </c>
      <c r="BD5031" s="2" t="s">
        <v>82</v>
      </c>
      <c r="BE5031" s="2">
        <v>41</v>
      </c>
      <c r="BF5031" s="2" t="s">
        <v>82</v>
      </c>
      <c r="BG5031" s="2"/>
      <c r="BH5031" s="2"/>
      <c r="BI5031" s="2"/>
      <c r="BJ5031" s="2">
        <v>241</v>
      </c>
      <c r="BK5031" s="2" t="s">
        <v>82</v>
      </c>
      <c r="BL5031" s="2"/>
      <c r="BM5031" s="2">
        <v>241</v>
      </c>
      <c r="BN5031" s="2" t="s">
        <v>82</v>
      </c>
      <c r="BO5031" s="2"/>
      <c r="BP5031" s="2">
        <v>241</v>
      </c>
      <c r="BQ5031" s="2" t="s">
        <v>82</v>
      </c>
      <c r="BR5031" s="2"/>
      <c r="BS5031" s="3">
        <v>40520</v>
      </c>
      <c r="BT5031" s="4">
        <v>0.86362268518518526</v>
      </c>
    </row>
    <row r="5032" spans="1:72" x14ac:dyDescent="0.25">
      <c r="A5032" s="2">
        <v>7802</v>
      </c>
      <c r="B5032" s="2">
        <v>2010</v>
      </c>
      <c r="C5032" s="2" t="s">
        <v>171</v>
      </c>
      <c r="D5032" s="2" t="s">
        <v>122</v>
      </c>
      <c r="E5032" s="2" t="s">
        <v>15411</v>
      </c>
      <c r="F5032" s="2">
        <v>400</v>
      </c>
      <c r="G5032" s="2" t="s">
        <v>3601</v>
      </c>
      <c r="H5032" s="2">
        <v>17</v>
      </c>
      <c r="I5032" s="2" t="s">
        <v>3602</v>
      </c>
      <c r="J5032" s="2">
        <v>692</v>
      </c>
      <c r="K5032" s="2" t="s">
        <v>574</v>
      </c>
      <c r="L5032" s="2" t="s">
        <v>575</v>
      </c>
      <c r="M5032" s="3">
        <v>40520</v>
      </c>
      <c r="N5032" s="2" t="s">
        <v>15277</v>
      </c>
      <c r="O5032" s="2"/>
      <c r="P5032" s="2"/>
      <c r="Q5032" s="2" t="str">
        <f>"654-E/10"</f>
        <v>654-E/10</v>
      </c>
      <c r="R5032" s="2" t="s">
        <v>3768</v>
      </c>
      <c r="S5032" s="2"/>
      <c r="T5032" s="2">
        <v>1</v>
      </c>
      <c r="U5032" s="2" t="s">
        <v>79</v>
      </c>
      <c r="V5032" s="2">
        <v>1</v>
      </c>
      <c r="W5032" s="2" t="s">
        <v>80</v>
      </c>
      <c r="X5032" s="2">
        <v>1</v>
      </c>
      <c r="Y5032" s="2" t="s">
        <v>81</v>
      </c>
      <c r="Z5032" s="2">
        <v>1</v>
      </c>
      <c r="AA5032" s="2" t="s">
        <v>82</v>
      </c>
      <c r="AB5032" s="2">
        <v>1</v>
      </c>
      <c r="AC5032" s="2" t="s">
        <v>178</v>
      </c>
      <c r="AD5032" s="3">
        <v>40516</v>
      </c>
      <c r="AE5032" s="4">
        <v>0.82291666666666663</v>
      </c>
      <c r="AF5032" s="3">
        <v>40516</v>
      </c>
      <c r="AG5032" s="4">
        <v>0.95833333333333337</v>
      </c>
      <c r="AH5032" s="2">
        <v>2</v>
      </c>
      <c r="AI5032" s="2" t="s">
        <v>84</v>
      </c>
      <c r="AJ5032" s="2">
        <v>9</v>
      </c>
      <c r="AK5032" s="2" t="s">
        <v>103</v>
      </c>
      <c r="AL5032" s="2">
        <v>14</v>
      </c>
      <c r="AM5032" s="2" t="s">
        <v>216</v>
      </c>
      <c r="AN5032" s="2"/>
      <c r="AO5032" s="2" t="s">
        <v>15412</v>
      </c>
      <c r="AP5032" s="2">
        <v>11</v>
      </c>
      <c r="AQ5032" s="2" t="s">
        <v>82</v>
      </c>
      <c r="AR5032" s="2"/>
      <c r="AS5032" s="2"/>
      <c r="AT5032" s="2" t="s">
        <v>15413</v>
      </c>
      <c r="AU5032" s="2"/>
      <c r="AV5032" s="2">
        <v>1</v>
      </c>
      <c r="AW5032" s="2"/>
      <c r="AX5032" s="2"/>
      <c r="AY5032" s="2">
        <v>41</v>
      </c>
      <c r="AZ5032" s="2" t="s">
        <v>82</v>
      </c>
      <c r="BA5032" s="2">
        <v>41</v>
      </c>
      <c r="BB5032" s="2" t="s">
        <v>82</v>
      </c>
      <c r="BC5032" s="2">
        <v>41</v>
      </c>
      <c r="BD5032" s="2" t="s">
        <v>82</v>
      </c>
      <c r="BE5032" s="2">
        <v>4</v>
      </c>
      <c r="BF5032" s="2" t="s">
        <v>90</v>
      </c>
      <c r="BG5032" s="2">
        <v>4641</v>
      </c>
      <c r="BH5032" s="4">
        <v>0.79513888888888884</v>
      </c>
      <c r="BI5032" s="2"/>
      <c r="BJ5032" s="2">
        <v>173</v>
      </c>
      <c r="BK5032" s="2" t="s">
        <v>223</v>
      </c>
      <c r="BL5032" s="2" t="s">
        <v>224</v>
      </c>
      <c r="BM5032" s="2">
        <v>13</v>
      </c>
      <c r="BN5032" s="2" t="s">
        <v>91</v>
      </c>
      <c r="BO5032" s="2"/>
      <c r="BP5032" s="2">
        <v>13</v>
      </c>
      <c r="BQ5032" s="2" t="s">
        <v>91</v>
      </c>
      <c r="BR5032" s="2" t="s">
        <v>185</v>
      </c>
      <c r="BS5032" s="3">
        <v>40520</v>
      </c>
      <c r="BT5032" s="4">
        <v>0.87224537037037031</v>
      </c>
    </row>
    <row r="5033" spans="1:72" x14ac:dyDescent="0.25">
      <c r="A5033" s="2">
        <v>7803</v>
      </c>
      <c r="B5033" s="2">
        <v>2010</v>
      </c>
      <c r="C5033" s="2" t="s">
        <v>72</v>
      </c>
      <c r="D5033" s="2" t="s">
        <v>73</v>
      </c>
      <c r="E5033" s="2"/>
      <c r="F5033" s="2">
        <v>175</v>
      </c>
      <c r="G5033" s="2" t="s">
        <v>4170</v>
      </c>
      <c r="H5033" s="2">
        <v>108</v>
      </c>
      <c r="I5033" s="2" t="s">
        <v>1096</v>
      </c>
      <c r="J5033" s="2">
        <v>728</v>
      </c>
      <c r="K5033" s="2" t="s">
        <v>15156</v>
      </c>
      <c r="L5033" s="2" t="s">
        <v>15157</v>
      </c>
      <c r="M5033" s="3">
        <v>40520</v>
      </c>
      <c r="N5033" s="2" t="s">
        <v>15158</v>
      </c>
      <c r="O5033" s="2" t="s">
        <v>82</v>
      </c>
      <c r="P5033" s="2" t="s">
        <v>82</v>
      </c>
      <c r="Q5033" s="2" t="str">
        <f>"442-A/10"</f>
        <v>442-A/10</v>
      </c>
      <c r="R5033" s="2" t="s">
        <v>78</v>
      </c>
      <c r="S5033" s="2" t="s">
        <v>78</v>
      </c>
      <c r="T5033" s="2">
        <v>1</v>
      </c>
      <c r="U5033" s="2" t="s">
        <v>79</v>
      </c>
      <c r="V5033" s="2">
        <v>1</v>
      </c>
      <c r="W5033" s="2" t="s">
        <v>80</v>
      </c>
      <c r="X5033" s="2">
        <v>12</v>
      </c>
      <c r="Y5033" s="2" t="s">
        <v>148</v>
      </c>
      <c r="Z5033" s="2">
        <v>1</v>
      </c>
      <c r="AA5033" s="2" t="s">
        <v>82</v>
      </c>
      <c r="AB5033" s="2">
        <v>6</v>
      </c>
      <c r="AC5033" s="2" t="s">
        <v>83</v>
      </c>
      <c r="AD5033" s="3">
        <v>40520</v>
      </c>
      <c r="AE5033" s="2"/>
      <c r="AF5033" s="3">
        <v>40520</v>
      </c>
      <c r="AG5033" s="4">
        <v>0.38541666666666669</v>
      </c>
      <c r="AH5033" s="2">
        <v>2</v>
      </c>
      <c r="AI5033" s="2" t="s">
        <v>84</v>
      </c>
      <c r="AJ5033" s="2">
        <v>12</v>
      </c>
      <c r="AK5033" s="2" t="s">
        <v>85</v>
      </c>
      <c r="AL5033" s="2">
        <v>12</v>
      </c>
      <c r="AM5033" s="2" t="s">
        <v>86</v>
      </c>
      <c r="AN5033" s="2" t="s">
        <v>15414</v>
      </c>
      <c r="AO5033" s="2" t="s">
        <v>15415</v>
      </c>
      <c r="AP5033" s="2">
        <v>11</v>
      </c>
      <c r="AQ5033" s="2" t="s">
        <v>82</v>
      </c>
      <c r="AR5033" s="2"/>
      <c r="AS5033" s="2"/>
      <c r="AT5033" s="2" t="s">
        <v>15416</v>
      </c>
      <c r="AU5033" s="2">
        <v>1</v>
      </c>
      <c r="AV5033" s="2"/>
      <c r="AW5033" s="2"/>
      <c r="AX5033" s="2"/>
      <c r="AY5033" s="2">
        <v>41</v>
      </c>
      <c r="AZ5033" s="2" t="s">
        <v>82</v>
      </c>
      <c r="BA5033" s="2">
        <v>41</v>
      </c>
      <c r="BB5033" s="2" t="s">
        <v>82</v>
      </c>
      <c r="BC5033" s="2">
        <v>41</v>
      </c>
      <c r="BD5033" s="2" t="s">
        <v>82</v>
      </c>
      <c r="BE5033" s="2">
        <v>41</v>
      </c>
      <c r="BF5033" s="2" t="s">
        <v>82</v>
      </c>
      <c r="BG5033" s="2"/>
      <c r="BH5033" s="2"/>
      <c r="BI5033" s="2"/>
      <c r="BJ5033" s="2">
        <v>241</v>
      </c>
      <c r="BK5033" s="2" t="s">
        <v>82</v>
      </c>
      <c r="BL5033" s="2"/>
      <c r="BM5033" s="2">
        <v>241</v>
      </c>
      <c r="BN5033" s="2" t="s">
        <v>82</v>
      </c>
      <c r="BO5033" s="2"/>
      <c r="BP5033" s="2">
        <v>241</v>
      </c>
      <c r="BQ5033" s="2" t="s">
        <v>82</v>
      </c>
      <c r="BR5033" s="2"/>
      <c r="BS5033" s="3">
        <v>40520</v>
      </c>
      <c r="BT5033" s="4">
        <v>0.89076388888888891</v>
      </c>
    </row>
    <row r="5034" spans="1:72" x14ac:dyDescent="0.25">
      <c r="A5034" s="2">
        <v>7804</v>
      </c>
      <c r="B5034" s="2">
        <v>2010</v>
      </c>
      <c r="C5034" s="2" t="s">
        <v>377</v>
      </c>
      <c r="D5034" s="2" t="s">
        <v>73</v>
      </c>
      <c r="E5034" s="2"/>
      <c r="F5034" s="2">
        <v>426</v>
      </c>
      <c r="G5034" s="2" t="s">
        <v>378</v>
      </c>
      <c r="H5034" s="2">
        <v>108</v>
      </c>
      <c r="I5034" s="2" t="s">
        <v>1096</v>
      </c>
      <c r="J5034" s="2">
        <v>311</v>
      </c>
      <c r="K5034" s="2" t="s">
        <v>379</v>
      </c>
      <c r="L5034" s="2" t="s">
        <v>380</v>
      </c>
      <c r="M5034" s="3">
        <v>40520</v>
      </c>
      <c r="N5034" s="2" t="s">
        <v>7171</v>
      </c>
      <c r="O5034" s="2"/>
      <c r="P5034" s="2"/>
      <c r="Q5034" s="2" t="str">
        <f>"302-C/10"</f>
        <v>302-C/10</v>
      </c>
      <c r="R5034" s="2" t="s">
        <v>4428</v>
      </c>
      <c r="S5034" s="2"/>
      <c r="T5034" s="2">
        <v>1</v>
      </c>
      <c r="U5034" s="2" t="s">
        <v>79</v>
      </c>
      <c r="V5034" s="2">
        <v>1</v>
      </c>
      <c r="W5034" s="2" t="s">
        <v>80</v>
      </c>
      <c r="X5034" s="2">
        <v>1</v>
      </c>
      <c r="Y5034" s="2" t="s">
        <v>81</v>
      </c>
      <c r="Z5034" s="2">
        <v>1</v>
      </c>
      <c r="AA5034" s="2" t="s">
        <v>82</v>
      </c>
      <c r="AB5034" s="2">
        <v>9</v>
      </c>
      <c r="AC5034" s="2" t="s">
        <v>124</v>
      </c>
      <c r="AD5034" s="3">
        <v>40520</v>
      </c>
      <c r="AE5034" s="4">
        <v>0.42708333333333331</v>
      </c>
      <c r="AF5034" s="3">
        <v>40520</v>
      </c>
      <c r="AG5034" s="4">
        <v>0.42708333333333331</v>
      </c>
      <c r="AH5034" s="2">
        <v>2</v>
      </c>
      <c r="AI5034" s="2" t="s">
        <v>84</v>
      </c>
      <c r="AJ5034" s="2">
        <v>9</v>
      </c>
      <c r="AK5034" s="2" t="s">
        <v>103</v>
      </c>
      <c r="AL5034" s="2">
        <v>29</v>
      </c>
      <c r="AM5034" s="2" t="s">
        <v>5416</v>
      </c>
      <c r="AN5034" s="2" t="s">
        <v>15417</v>
      </c>
      <c r="AO5034" s="2" t="s">
        <v>987</v>
      </c>
      <c r="AP5034" s="2">
        <v>11</v>
      </c>
      <c r="AQ5034" s="2" t="s">
        <v>82</v>
      </c>
      <c r="AR5034" s="2"/>
      <c r="AS5034" s="2"/>
      <c r="AT5034" s="2" t="s">
        <v>15418</v>
      </c>
      <c r="AU5034" s="2"/>
      <c r="AV5034" s="2"/>
      <c r="AW5034" s="2"/>
      <c r="AX5034" s="2"/>
      <c r="AY5034" s="2">
        <v>41</v>
      </c>
      <c r="AZ5034" s="2" t="s">
        <v>82</v>
      </c>
      <c r="BA5034" s="2">
        <v>41</v>
      </c>
      <c r="BB5034" s="2" t="s">
        <v>82</v>
      </c>
      <c r="BC5034" s="2">
        <v>41</v>
      </c>
      <c r="BD5034" s="2" t="s">
        <v>82</v>
      </c>
      <c r="BE5034" s="2">
        <v>41</v>
      </c>
      <c r="BF5034" s="2" t="s">
        <v>82</v>
      </c>
      <c r="BG5034" s="2"/>
      <c r="BH5034" s="2"/>
      <c r="BI5034" s="2"/>
      <c r="BJ5034" s="2">
        <v>241</v>
      </c>
      <c r="BK5034" s="2" t="s">
        <v>82</v>
      </c>
      <c r="BL5034" s="2"/>
      <c r="BM5034" s="2">
        <v>241</v>
      </c>
      <c r="BN5034" s="2" t="s">
        <v>82</v>
      </c>
      <c r="BO5034" s="2"/>
      <c r="BP5034" s="2">
        <v>241</v>
      </c>
      <c r="BQ5034" s="2" t="s">
        <v>82</v>
      </c>
      <c r="BR5034" s="2"/>
      <c r="BS5034" s="3">
        <v>40520</v>
      </c>
      <c r="BT5034" s="4">
        <v>0.89260416666666664</v>
      </c>
    </row>
    <row r="5035" spans="1:72" x14ac:dyDescent="0.25">
      <c r="A5035" s="2">
        <v>7805</v>
      </c>
      <c r="B5035" s="2">
        <v>2010</v>
      </c>
      <c r="C5035" s="2" t="s">
        <v>72</v>
      </c>
      <c r="D5035" s="2" t="s">
        <v>73</v>
      </c>
      <c r="E5035" s="2"/>
      <c r="F5035" s="2">
        <v>175</v>
      </c>
      <c r="G5035" s="2" t="s">
        <v>4170</v>
      </c>
      <c r="H5035" s="2">
        <v>108</v>
      </c>
      <c r="I5035" s="2" t="s">
        <v>1096</v>
      </c>
      <c r="J5035" s="2">
        <v>728</v>
      </c>
      <c r="K5035" s="2" t="s">
        <v>15156</v>
      </c>
      <c r="L5035" s="2" t="s">
        <v>15157</v>
      </c>
      <c r="M5035" s="3">
        <v>40520</v>
      </c>
      <c r="N5035" s="2" t="s">
        <v>15158</v>
      </c>
      <c r="O5035" s="2" t="s">
        <v>82</v>
      </c>
      <c r="P5035" s="2" t="s">
        <v>82</v>
      </c>
      <c r="Q5035" s="2" t="str">
        <f>"443-A/10"</f>
        <v>443-A/10</v>
      </c>
      <c r="R5035" s="2" t="s">
        <v>78</v>
      </c>
      <c r="S5035" s="2" t="s">
        <v>78</v>
      </c>
      <c r="T5035" s="2">
        <v>1</v>
      </c>
      <c r="U5035" s="2" t="s">
        <v>79</v>
      </c>
      <c r="V5035" s="2">
        <v>1</v>
      </c>
      <c r="W5035" s="2" t="s">
        <v>80</v>
      </c>
      <c r="X5035" s="2">
        <v>12</v>
      </c>
      <c r="Y5035" s="2" t="s">
        <v>148</v>
      </c>
      <c r="Z5035" s="2">
        <v>1</v>
      </c>
      <c r="AA5035" s="2" t="s">
        <v>82</v>
      </c>
      <c r="AB5035" s="2">
        <v>6</v>
      </c>
      <c r="AC5035" s="2" t="s">
        <v>83</v>
      </c>
      <c r="AD5035" s="3">
        <v>40520</v>
      </c>
      <c r="AE5035" s="2"/>
      <c r="AF5035" s="3">
        <v>40520</v>
      </c>
      <c r="AG5035" s="4">
        <v>0.64583333333333337</v>
      </c>
      <c r="AH5035" s="2">
        <v>2</v>
      </c>
      <c r="AI5035" s="2" t="s">
        <v>84</v>
      </c>
      <c r="AJ5035" s="2">
        <v>12</v>
      </c>
      <c r="AK5035" s="2" t="s">
        <v>85</v>
      </c>
      <c r="AL5035" s="2">
        <v>12</v>
      </c>
      <c r="AM5035" s="2" t="s">
        <v>86</v>
      </c>
      <c r="AN5035" s="2" t="s">
        <v>107</v>
      </c>
      <c r="AO5035" s="2" t="s">
        <v>1945</v>
      </c>
      <c r="AP5035" s="2">
        <v>11</v>
      </c>
      <c r="AQ5035" s="2" t="s">
        <v>82</v>
      </c>
      <c r="AR5035" s="2"/>
      <c r="AS5035" s="2"/>
      <c r="AT5035" s="2" t="s">
        <v>15419</v>
      </c>
      <c r="AU5035" s="2"/>
      <c r="AV5035" s="2"/>
      <c r="AW5035" s="2"/>
      <c r="AX5035" s="2"/>
      <c r="AY5035" s="2">
        <v>41</v>
      </c>
      <c r="AZ5035" s="2" t="s">
        <v>82</v>
      </c>
      <c r="BA5035" s="2">
        <v>41</v>
      </c>
      <c r="BB5035" s="2" t="s">
        <v>82</v>
      </c>
      <c r="BC5035" s="2">
        <v>41</v>
      </c>
      <c r="BD5035" s="2" t="s">
        <v>82</v>
      </c>
      <c r="BE5035" s="2">
        <v>41</v>
      </c>
      <c r="BF5035" s="2" t="s">
        <v>82</v>
      </c>
      <c r="BG5035" s="2"/>
      <c r="BH5035" s="2"/>
      <c r="BI5035" s="2"/>
      <c r="BJ5035" s="2">
        <v>241</v>
      </c>
      <c r="BK5035" s="2" t="s">
        <v>82</v>
      </c>
      <c r="BL5035" s="2"/>
      <c r="BM5035" s="2">
        <v>241</v>
      </c>
      <c r="BN5035" s="2" t="s">
        <v>82</v>
      </c>
      <c r="BO5035" s="2"/>
      <c r="BP5035" s="2">
        <v>241</v>
      </c>
      <c r="BQ5035" s="2" t="s">
        <v>82</v>
      </c>
      <c r="BR5035" s="2"/>
      <c r="BS5035" s="3">
        <v>40520</v>
      </c>
      <c r="BT5035" s="4">
        <v>0.92153935185185187</v>
      </c>
    </row>
    <row r="5036" spans="1:72" x14ac:dyDescent="0.25">
      <c r="A5036" s="2">
        <v>7806</v>
      </c>
      <c r="B5036" s="2">
        <v>2010</v>
      </c>
      <c r="C5036" s="2" t="s">
        <v>171</v>
      </c>
      <c r="D5036" s="2" t="s">
        <v>122</v>
      </c>
      <c r="E5036" s="2" t="s">
        <v>15420</v>
      </c>
      <c r="F5036" s="2">
        <v>152</v>
      </c>
      <c r="G5036" s="2" t="s">
        <v>7866</v>
      </c>
      <c r="H5036" s="2">
        <v>4</v>
      </c>
      <c r="I5036" s="2" t="s">
        <v>173</v>
      </c>
      <c r="J5036" s="2">
        <v>451</v>
      </c>
      <c r="K5036" s="2" t="s">
        <v>3028</v>
      </c>
      <c r="L5036" s="2" t="s">
        <v>3029</v>
      </c>
      <c r="M5036" s="3">
        <v>40520</v>
      </c>
      <c r="N5036" s="2" t="s">
        <v>13941</v>
      </c>
      <c r="O5036" s="2"/>
      <c r="P5036" s="2"/>
      <c r="Q5036" s="2" t="str">
        <f>"441-A/10"</f>
        <v>441-A/10</v>
      </c>
      <c r="R5036" s="2" t="s">
        <v>1035</v>
      </c>
      <c r="S5036" s="2"/>
      <c r="T5036" s="2">
        <v>1</v>
      </c>
      <c r="U5036" s="2" t="s">
        <v>79</v>
      </c>
      <c r="V5036" s="2">
        <v>1</v>
      </c>
      <c r="W5036" s="2" t="s">
        <v>80</v>
      </c>
      <c r="X5036" s="2">
        <v>1</v>
      </c>
      <c r="Y5036" s="2" t="s">
        <v>81</v>
      </c>
      <c r="Z5036" s="2">
        <v>1</v>
      </c>
      <c r="AA5036" s="2" t="s">
        <v>82</v>
      </c>
      <c r="AB5036" s="2">
        <v>1</v>
      </c>
      <c r="AC5036" s="2" t="s">
        <v>178</v>
      </c>
      <c r="AD5036" s="3">
        <v>40520</v>
      </c>
      <c r="AE5036" s="4">
        <v>0.40277777777777773</v>
      </c>
      <c r="AF5036" s="3">
        <v>40520</v>
      </c>
      <c r="AG5036" s="2"/>
      <c r="AH5036" s="2">
        <v>2</v>
      </c>
      <c r="AI5036" s="2" t="s">
        <v>84</v>
      </c>
      <c r="AJ5036" s="2">
        <v>12</v>
      </c>
      <c r="AK5036" s="2" t="s">
        <v>85</v>
      </c>
      <c r="AL5036" s="2">
        <v>11</v>
      </c>
      <c r="AM5036" s="2" t="s">
        <v>137</v>
      </c>
      <c r="AN5036" s="2" t="s">
        <v>15421</v>
      </c>
      <c r="AO5036" s="2" t="s">
        <v>15422</v>
      </c>
      <c r="AP5036" s="2">
        <v>11</v>
      </c>
      <c r="AQ5036" s="2" t="s">
        <v>82</v>
      </c>
      <c r="AR5036" s="2"/>
      <c r="AS5036" s="2"/>
      <c r="AT5036" s="2" t="s">
        <v>15423</v>
      </c>
      <c r="AU5036" s="2">
        <v>1</v>
      </c>
      <c r="AV5036" s="2"/>
      <c r="AW5036" s="2"/>
      <c r="AX5036" s="2"/>
      <c r="AY5036" s="2">
        <v>41</v>
      </c>
      <c r="AZ5036" s="2" t="s">
        <v>82</v>
      </c>
      <c r="BA5036" s="2">
        <v>41</v>
      </c>
      <c r="BB5036" s="2" t="s">
        <v>82</v>
      </c>
      <c r="BC5036" s="2">
        <v>70</v>
      </c>
      <c r="BD5036" s="2" t="s">
        <v>236</v>
      </c>
      <c r="BE5036" s="2">
        <v>13</v>
      </c>
      <c r="BF5036" s="2" t="s">
        <v>108</v>
      </c>
      <c r="BG5036" s="2" t="s">
        <v>15408</v>
      </c>
      <c r="BH5036" s="2"/>
      <c r="BI5036" s="4">
        <v>0.4201388888888889</v>
      </c>
      <c r="BJ5036" s="2">
        <v>13</v>
      </c>
      <c r="BK5036" s="2" t="s">
        <v>91</v>
      </c>
      <c r="BL5036" s="2" t="s">
        <v>185</v>
      </c>
      <c r="BM5036" s="2">
        <v>241</v>
      </c>
      <c r="BN5036" s="2" t="s">
        <v>82</v>
      </c>
      <c r="BO5036" s="2"/>
      <c r="BP5036" s="2">
        <v>13</v>
      </c>
      <c r="BQ5036" s="2" t="s">
        <v>91</v>
      </c>
      <c r="BR5036" s="2" t="s">
        <v>6083</v>
      </c>
      <c r="BS5036" s="3">
        <v>40520</v>
      </c>
      <c r="BT5036" s="4">
        <v>0.9240046296296297</v>
      </c>
    </row>
    <row r="5037" spans="1:72" x14ac:dyDescent="0.25">
      <c r="A5037" s="2">
        <v>7807</v>
      </c>
      <c r="B5037" s="2">
        <v>2010</v>
      </c>
      <c r="C5037" s="2" t="s">
        <v>377</v>
      </c>
      <c r="D5037" s="2" t="s">
        <v>73</v>
      </c>
      <c r="E5037" s="2"/>
      <c r="F5037" s="2">
        <v>426</v>
      </c>
      <c r="G5037" s="2" t="s">
        <v>378</v>
      </c>
      <c r="H5037" s="2">
        <v>22</v>
      </c>
      <c r="I5037" s="2" t="s">
        <v>75</v>
      </c>
      <c r="J5037" s="2">
        <v>311</v>
      </c>
      <c r="K5037" s="2" t="s">
        <v>379</v>
      </c>
      <c r="L5037" s="2" t="s">
        <v>380</v>
      </c>
      <c r="M5037" s="3">
        <v>40520</v>
      </c>
      <c r="N5037" s="2" t="s">
        <v>13862</v>
      </c>
      <c r="O5037" s="2"/>
      <c r="P5037" s="2"/>
      <c r="Q5037" s="2" t="str">
        <f>"303-C/10"</f>
        <v>303-C/10</v>
      </c>
      <c r="R5037" s="2"/>
      <c r="S5037" s="2" t="s">
        <v>5997</v>
      </c>
      <c r="T5037" s="2">
        <v>1</v>
      </c>
      <c r="U5037" s="2" t="s">
        <v>79</v>
      </c>
      <c r="V5037" s="2">
        <v>1</v>
      </c>
      <c r="W5037" s="2" t="s">
        <v>80</v>
      </c>
      <c r="X5037" s="2">
        <v>1</v>
      </c>
      <c r="Y5037" s="2" t="s">
        <v>81</v>
      </c>
      <c r="Z5037" s="2">
        <v>1</v>
      </c>
      <c r="AA5037" s="2" t="s">
        <v>82</v>
      </c>
      <c r="AB5037" s="2">
        <v>9</v>
      </c>
      <c r="AC5037" s="2" t="s">
        <v>124</v>
      </c>
      <c r="AD5037" s="3">
        <v>40520</v>
      </c>
      <c r="AE5037" s="4">
        <v>0.43055555555555558</v>
      </c>
      <c r="AF5037" s="3">
        <v>40520</v>
      </c>
      <c r="AG5037" s="4">
        <v>0.43055555555555558</v>
      </c>
      <c r="AH5037" s="2">
        <v>2</v>
      </c>
      <c r="AI5037" s="2" t="s">
        <v>84</v>
      </c>
      <c r="AJ5037" s="2">
        <v>9</v>
      </c>
      <c r="AK5037" s="2" t="s">
        <v>103</v>
      </c>
      <c r="AL5037" s="2">
        <v>29</v>
      </c>
      <c r="AM5037" s="2" t="s">
        <v>5416</v>
      </c>
      <c r="AN5037" s="2" t="s">
        <v>15417</v>
      </c>
      <c r="AO5037" s="2" t="s">
        <v>987</v>
      </c>
      <c r="AP5037" s="2">
        <v>11</v>
      </c>
      <c r="AQ5037" s="2" t="s">
        <v>82</v>
      </c>
      <c r="AR5037" s="2"/>
      <c r="AS5037" s="2"/>
      <c r="AT5037" s="2" t="s">
        <v>15424</v>
      </c>
      <c r="AU5037" s="2"/>
      <c r="AV5037" s="2"/>
      <c r="AW5037" s="2"/>
      <c r="AX5037" s="2"/>
      <c r="AY5037" s="2">
        <v>41</v>
      </c>
      <c r="AZ5037" s="2" t="s">
        <v>82</v>
      </c>
      <c r="BA5037" s="2">
        <v>41</v>
      </c>
      <c r="BB5037" s="2" t="s">
        <v>82</v>
      </c>
      <c r="BC5037" s="2">
        <v>41</v>
      </c>
      <c r="BD5037" s="2" t="s">
        <v>82</v>
      </c>
      <c r="BE5037" s="2">
        <v>41</v>
      </c>
      <c r="BF5037" s="2" t="s">
        <v>82</v>
      </c>
      <c r="BG5037" s="2"/>
      <c r="BH5037" s="2"/>
      <c r="BI5037" s="2"/>
      <c r="BJ5037" s="2">
        <v>241</v>
      </c>
      <c r="BK5037" s="2" t="s">
        <v>82</v>
      </c>
      <c r="BL5037" s="2"/>
      <c r="BM5037" s="2">
        <v>241</v>
      </c>
      <c r="BN5037" s="2" t="s">
        <v>82</v>
      </c>
      <c r="BO5037" s="2"/>
      <c r="BP5037" s="2">
        <v>241</v>
      </c>
      <c r="BQ5037" s="2" t="s">
        <v>82</v>
      </c>
      <c r="BR5037" s="2"/>
      <c r="BS5037" s="3">
        <v>40520</v>
      </c>
      <c r="BT5037" s="4">
        <v>0.9286226851851852</v>
      </c>
    </row>
    <row r="5038" spans="1:72" x14ac:dyDescent="0.25">
      <c r="A5038" s="2">
        <v>7808</v>
      </c>
      <c r="B5038" s="2">
        <v>2010</v>
      </c>
      <c r="C5038" s="2" t="s">
        <v>385</v>
      </c>
      <c r="D5038" s="2" t="s">
        <v>73</v>
      </c>
      <c r="E5038" s="2"/>
      <c r="F5038" s="2">
        <v>233</v>
      </c>
      <c r="G5038" s="2" t="s">
        <v>3858</v>
      </c>
      <c r="H5038" s="2">
        <v>108</v>
      </c>
      <c r="I5038" s="2" t="s">
        <v>1096</v>
      </c>
      <c r="J5038" s="2">
        <v>316</v>
      </c>
      <c r="K5038" s="2" t="s">
        <v>574</v>
      </c>
      <c r="L5038" s="2" t="s">
        <v>575</v>
      </c>
      <c r="M5038" s="3">
        <v>40520</v>
      </c>
      <c r="N5038" s="2" t="s">
        <v>10789</v>
      </c>
      <c r="O5038" s="2" t="s">
        <v>15425</v>
      </c>
      <c r="P5038" s="2" t="s">
        <v>15426</v>
      </c>
      <c r="Q5038" s="2" t="str">
        <f>"N/C"</f>
        <v>N/C</v>
      </c>
      <c r="R5038" s="2" t="s">
        <v>107</v>
      </c>
      <c r="S5038" s="2" t="s">
        <v>82</v>
      </c>
      <c r="T5038" s="2">
        <v>1</v>
      </c>
      <c r="U5038" s="2" t="s">
        <v>79</v>
      </c>
      <c r="V5038" s="2">
        <v>1</v>
      </c>
      <c r="W5038" s="2" t="s">
        <v>80</v>
      </c>
      <c r="X5038" s="2">
        <v>10</v>
      </c>
      <c r="Y5038" s="2" t="s">
        <v>226</v>
      </c>
      <c r="Z5038" s="2">
        <v>1</v>
      </c>
      <c r="AA5038" s="2" t="s">
        <v>82</v>
      </c>
      <c r="AB5038" s="2">
        <v>9</v>
      </c>
      <c r="AC5038" s="2" t="s">
        <v>124</v>
      </c>
      <c r="AD5038" s="3">
        <v>40519</v>
      </c>
      <c r="AE5038" s="2"/>
      <c r="AF5038" s="3">
        <v>40519</v>
      </c>
      <c r="AG5038" s="2"/>
      <c r="AH5038" s="2">
        <v>2</v>
      </c>
      <c r="AI5038" s="2" t="s">
        <v>84</v>
      </c>
      <c r="AJ5038" s="2">
        <v>12</v>
      </c>
      <c r="AK5038" s="2" t="s">
        <v>85</v>
      </c>
      <c r="AL5038" s="2">
        <v>19</v>
      </c>
      <c r="AM5038" s="2" t="s">
        <v>107</v>
      </c>
      <c r="AN5038" s="2" t="s">
        <v>15427</v>
      </c>
      <c r="AO5038" s="2"/>
      <c r="AP5038" s="2">
        <v>11</v>
      </c>
      <c r="AQ5038" s="2" t="s">
        <v>82</v>
      </c>
      <c r="AR5038" s="2"/>
      <c r="AS5038" s="2"/>
      <c r="AT5038" s="2" t="s">
        <v>15428</v>
      </c>
      <c r="AU5038" s="2">
        <v>1</v>
      </c>
      <c r="AV5038" s="2"/>
      <c r="AW5038" s="2"/>
      <c r="AX5038" s="2"/>
      <c r="AY5038" s="2">
        <v>41</v>
      </c>
      <c r="AZ5038" s="2" t="s">
        <v>82</v>
      </c>
      <c r="BA5038" s="2">
        <v>41</v>
      </c>
      <c r="BB5038" s="2" t="s">
        <v>82</v>
      </c>
      <c r="BC5038" s="2">
        <v>41</v>
      </c>
      <c r="BD5038" s="2" t="s">
        <v>82</v>
      </c>
      <c r="BE5038" s="2">
        <v>41</v>
      </c>
      <c r="BF5038" s="2" t="s">
        <v>82</v>
      </c>
      <c r="BG5038" s="2"/>
      <c r="BH5038" s="2"/>
      <c r="BI5038" s="2"/>
      <c r="BJ5038" s="2">
        <v>241</v>
      </c>
      <c r="BK5038" s="2" t="s">
        <v>82</v>
      </c>
      <c r="BL5038" s="2"/>
      <c r="BM5038" s="2">
        <v>241</v>
      </c>
      <c r="BN5038" s="2" t="s">
        <v>82</v>
      </c>
      <c r="BO5038" s="2"/>
      <c r="BP5038" s="2">
        <v>241</v>
      </c>
      <c r="BQ5038" s="2" t="s">
        <v>82</v>
      </c>
      <c r="BR5038" s="2"/>
      <c r="BS5038" s="3">
        <v>40520</v>
      </c>
      <c r="BT5038" s="4">
        <v>0.9709374999999999</v>
      </c>
    </row>
    <row r="5039" spans="1:72" x14ac:dyDescent="0.25">
      <c r="A5039" s="2">
        <v>7809</v>
      </c>
      <c r="B5039" s="2">
        <v>2010</v>
      </c>
      <c r="C5039" s="2" t="s">
        <v>93</v>
      </c>
      <c r="D5039" s="2" t="s">
        <v>73</v>
      </c>
      <c r="E5039" s="2"/>
      <c r="F5039" s="2">
        <v>395</v>
      </c>
      <c r="G5039" s="2" t="s">
        <v>1076</v>
      </c>
      <c r="H5039" s="2">
        <v>6</v>
      </c>
      <c r="I5039" s="2" t="s">
        <v>1088</v>
      </c>
      <c r="J5039" s="2">
        <v>242</v>
      </c>
      <c r="K5039" s="2" t="s">
        <v>1077</v>
      </c>
      <c r="L5039" s="2" t="s">
        <v>1078</v>
      </c>
      <c r="M5039" s="3">
        <v>40520</v>
      </c>
      <c r="N5039" s="2" t="s">
        <v>15429</v>
      </c>
      <c r="O5039" s="2" t="s">
        <v>15430</v>
      </c>
      <c r="P5039" s="2" t="s">
        <v>15431</v>
      </c>
      <c r="Q5039" s="2" t="str">
        <f>""</f>
        <v/>
      </c>
      <c r="R5039" s="2"/>
      <c r="S5039" s="2"/>
      <c r="T5039" s="2">
        <v>1</v>
      </c>
      <c r="U5039" s="2" t="s">
        <v>79</v>
      </c>
      <c r="V5039" s="2">
        <v>1</v>
      </c>
      <c r="W5039" s="2" t="s">
        <v>80</v>
      </c>
      <c r="X5039" s="2">
        <v>10</v>
      </c>
      <c r="Y5039" s="2" t="s">
        <v>226</v>
      </c>
      <c r="Z5039" s="2">
        <v>6</v>
      </c>
      <c r="AA5039" s="2" t="s">
        <v>101</v>
      </c>
      <c r="AB5039" s="2">
        <v>2</v>
      </c>
      <c r="AC5039" s="2" t="s">
        <v>102</v>
      </c>
      <c r="AD5039" s="3">
        <v>40520</v>
      </c>
      <c r="AE5039" s="2"/>
      <c r="AF5039" s="3">
        <v>40520</v>
      </c>
      <c r="AG5039" s="2"/>
      <c r="AH5039" s="2">
        <v>2</v>
      </c>
      <c r="AI5039" s="2" t="s">
        <v>84</v>
      </c>
      <c r="AJ5039" s="2">
        <v>9</v>
      </c>
      <c r="AK5039" s="2" t="s">
        <v>103</v>
      </c>
      <c r="AL5039" s="2">
        <v>25</v>
      </c>
      <c r="AM5039" s="2" t="s">
        <v>3073</v>
      </c>
      <c r="AN5039" s="2" t="s">
        <v>15432</v>
      </c>
      <c r="AO5039" s="2"/>
      <c r="AP5039" s="2">
        <v>11</v>
      </c>
      <c r="AQ5039" s="2" t="s">
        <v>82</v>
      </c>
      <c r="AR5039" s="2"/>
      <c r="AS5039" s="2"/>
      <c r="AT5039" s="2" t="s">
        <v>15433</v>
      </c>
      <c r="AU5039" s="2"/>
      <c r="AV5039" s="2"/>
      <c r="AW5039" s="2"/>
      <c r="AX5039" s="2"/>
      <c r="AY5039" s="2">
        <v>41</v>
      </c>
      <c r="AZ5039" s="2" t="s">
        <v>82</v>
      </c>
      <c r="BA5039" s="2">
        <v>41</v>
      </c>
      <c r="BB5039" s="2" t="s">
        <v>82</v>
      </c>
      <c r="BC5039" s="2">
        <v>41</v>
      </c>
      <c r="BD5039" s="2" t="s">
        <v>82</v>
      </c>
      <c r="BE5039" s="2">
        <v>41</v>
      </c>
      <c r="BF5039" s="2" t="s">
        <v>82</v>
      </c>
      <c r="BG5039" s="2"/>
      <c r="BH5039" s="2"/>
      <c r="BI5039" s="2"/>
      <c r="BJ5039" s="2">
        <v>241</v>
      </c>
      <c r="BK5039" s="2" t="s">
        <v>82</v>
      </c>
      <c r="BL5039" s="2"/>
      <c r="BM5039" s="2">
        <v>241</v>
      </c>
      <c r="BN5039" s="2" t="s">
        <v>82</v>
      </c>
      <c r="BO5039" s="2"/>
      <c r="BP5039" s="2">
        <v>241</v>
      </c>
      <c r="BQ5039" s="2" t="s">
        <v>82</v>
      </c>
      <c r="BR5039" s="2"/>
      <c r="BS5039" s="3">
        <v>40520</v>
      </c>
      <c r="BT5039" s="4">
        <v>0.97295138888888888</v>
      </c>
    </row>
    <row r="5040" spans="1:72" x14ac:dyDescent="0.25">
      <c r="A5040" s="2">
        <v>7810</v>
      </c>
      <c r="B5040" s="2">
        <v>2010</v>
      </c>
      <c r="C5040" s="2" t="s">
        <v>128</v>
      </c>
      <c r="D5040" s="2" t="s">
        <v>122</v>
      </c>
      <c r="E5040" s="2" t="s">
        <v>15434</v>
      </c>
      <c r="F5040" s="2">
        <v>470</v>
      </c>
      <c r="G5040" s="2" t="s">
        <v>2979</v>
      </c>
      <c r="H5040" s="2">
        <v>2</v>
      </c>
      <c r="I5040" s="2" t="s">
        <v>267</v>
      </c>
      <c r="J5040" s="2">
        <v>371</v>
      </c>
      <c r="K5040" s="2" t="s">
        <v>1138</v>
      </c>
      <c r="L5040" s="2" t="s">
        <v>1139</v>
      </c>
      <c r="M5040" s="3">
        <v>40520</v>
      </c>
      <c r="N5040" s="2" t="s">
        <v>5629</v>
      </c>
      <c r="O5040" s="2"/>
      <c r="P5040" s="2"/>
      <c r="Q5040" s="2" t="str">
        <f>"343/10"</f>
        <v>343/10</v>
      </c>
      <c r="R5040" s="2"/>
      <c r="S5040" s="2"/>
      <c r="T5040" s="2">
        <v>1</v>
      </c>
      <c r="U5040" s="2" t="s">
        <v>79</v>
      </c>
      <c r="V5040" s="2">
        <v>1</v>
      </c>
      <c r="W5040" s="2" t="s">
        <v>80</v>
      </c>
      <c r="X5040" s="2">
        <v>12</v>
      </c>
      <c r="Y5040" s="2" t="s">
        <v>148</v>
      </c>
      <c r="Z5040" s="2">
        <v>1</v>
      </c>
      <c r="AA5040" s="2" t="s">
        <v>82</v>
      </c>
      <c r="AB5040" s="2">
        <v>9</v>
      </c>
      <c r="AC5040" s="2" t="s">
        <v>124</v>
      </c>
      <c r="AD5040" s="3">
        <v>40520</v>
      </c>
      <c r="AE5040" s="2"/>
      <c r="AF5040" s="3">
        <v>40520</v>
      </c>
      <c r="AG5040" s="4">
        <v>0.47222222222222227</v>
      </c>
      <c r="AH5040" s="2">
        <v>5</v>
      </c>
      <c r="AI5040" s="2" t="s">
        <v>274</v>
      </c>
      <c r="AJ5040" s="2">
        <v>38</v>
      </c>
      <c r="AK5040" s="2" t="s">
        <v>1120</v>
      </c>
      <c r="AL5040" s="2">
        <v>19</v>
      </c>
      <c r="AM5040" s="2" t="s">
        <v>107</v>
      </c>
      <c r="AN5040" s="2"/>
      <c r="AO5040" s="2"/>
      <c r="AP5040" s="2">
        <v>11</v>
      </c>
      <c r="AQ5040" s="2" t="s">
        <v>82</v>
      </c>
      <c r="AR5040" s="2"/>
      <c r="AS5040" s="2"/>
      <c r="AT5040" s="2" t="s">
        <v>15435</v>
      </c>
      <c r="AU5040" s="2"/>
      <c r="AV5040" s="2"/>
      <c r="AW5040" s="2"/>
      <c r="AX5040" s="2"/>
      <c r="AY5040" s="2">
        <v>41</v>
      </c>
      <c r="AZ5040" s="2" t="s">
        <v>82</v>
      </c>
      <c r="BA5040" s="2">
        <v>41</v>
      </c>
      <c r="BB5040" s="2" t="s">
        <v>82</v>
      </c>
      <c r="BC5040" s="2">
        <v>41</v>
      </c>
      <c r="BD5040" s="2" t="s">
        <v>82</v>
      </c>
      <c r="BE5040" s="2">
        <v>41</v>
      </c>
      <c r="BF5040" s="2" t="s">
        <v>82</v>
      </c>
      <c r="BG5040" s="2"/>
      <c r="BH5040" s="2"/>
      <c r="BI5040" s="2"/>
      <c r="BJ5040" s="2">
        <v>241</v>
      </c>
      <c r="BK5040" s="2" t="s">
        <v>82</v>
      </c>
      <c r="BL5040" s="2"/>
      <c r="BM5040" s="2">
        <v>241</v>
      </c>
      <c r="BN5040" s="2" t="s">
        <v>82</v>
      </c>
      <c r="BO5040" s="2"/>
      <c r="BP5040" s="2">
        <v>241</v>
      </c>
      <c r="BQ5040" s="2" t="s">
        <v>82</v>
      </c>
      <c r="BR5040" s="2"/>
      <c r="BS5040" s="3">
        <v>40520</v>
      </c>
      <c r="BT5040" s="4">
        <v>0.97857638888888887</v>
      </c>
    </row>
    <row r="5041" spans="1:72" x14ac:dyDescent="0.25">
      <c r="A5041" s="2">
        <v>7811</v>
      </c>
      <c r="B5041" s="2">
        <v>2010</v>
      </c>
      <c r="C5041" s="2" t="s">
        <v>4543</v>
      </c>
      <c r="D5041" s="2" t="s">
        <v>122</v>
      </c>
      <c r="E5041" s="2" t="s">
        <v>15436</v>
      </c>
      <c r="F5041" s="2">
        <v>233</v>
      </c>
      <c r="G5041" s="2" t="s">
        <v>3858</v>
      </c>
      <c r="H5041" s="2">
        <v>108</v>
      </c>
      <c r="I5041" s="2" t="s">
        <v>1096</v>
      </c>
      <c r="J5041" s="2">
        <v>316</v>
      </c>
      <c r="K5041" s="2" t="s">
        <v>574</v>
      </c>
      <c r="L5041" s="2" t="s">
        <v>575</v>
      </c>
      <c r="M5041" s="3">
        <v>40521</v>
      </c>
      <c r="N5041" s="2" t="s">
        <v>10789</v>
      </c>
      <c r="O5041" s="2" t="s">
        <v>15425</v>
      </c>
      <c r="P5041" s="2" t="s">
        <v>15426</v>
      </c>
      <c r="Q5041" s="2" t="str">
        <f>"N/C"</f>
        <v>N/C</v>
      </c>
      <c r="R5041" s="2" t="s">
        <v>82</v>
      </c>
      <c r="S5041" s="2" t="s">
        <v>107</v>
      </c>
      <c r="T5041" s="2">
        <v>2</v>
      </c>
      <c r="U5041" s="2" t="s">
        <v>123</v>
      </c>
      <c r="V5041" s="2">
        <v>1</v>
      </c>
      <c r="W5041" s="2" t="s">
        <v>80</v>
      </c>
      <c r="X5041" s="2">
        <v>10</v>
      </c>
      <c r="Y5041" s="2" t="s">
        <v>226</v>
      </c>
      <c r="Z5041" s="2">
        <v>1</v>
      </c>
      <c r="AA5041" s="2" t="s">
        <v>82</v>
      </c>
      <c r="AB5041" s="2">
        <v>9</v>
      </c>
      <c r="AC5041" s="2" t="s">
        <v>124</v>
      </c>
      <c r="AD5041" s="3">
        <v>40519</v>
      </c>
      <c r="AE5041" s="4">
        <v>0.76736111111111116</v>
      </c>
      <c r="AF5041" s="3">
        <v>40519</v>
      </c>
      <c r="AG5041" s="2"/>
      <c r="AH5041" s="2">
        <v>2</v>
      </c>
      <c r="AI5041" s="2" t="s">
        <v>84</v>
      </c>
      <c r="AJ5041" s="2">
        <v>12</v>
      </c>
      <c r="AK5041" s="2" t="s">
        <v>85</v>
      </c>
      <c r="AL5041" s="2">
        <v>23</v>
      </c>
      <c r="AM5041" s="2" t="s">
        <v>251</v>
      </c>
      <c r="AN5041" s="2" t="s">
        <v>107</v>
      </c>
      <c r="AO5041" s="2" t="s">
        <v>107</v>
      </c>
      <c r="AP5041" s="2">
        <v>11</v>
      </c>
      <c r="AQ5041" s="2" t="s">
        <v>82</v>
      </c>
      <c r="AR5041" s="2"/>
      <c r="AS5041" s="2"/>
      <c r="AT5041" s="2" t="s">
        <v>15437</v>
      </c>
      <c r="AU5041" s="2">
        <v>1</v>
      </c>
      <c r="AV5041" s="2"/>
      <c r="AW5041" s="2"/>
      <c r="AX5041" s="2"/>
      <c r="AY5041" s="2">
        <v>41</v>
      </c>
      <c r="AZ5041" s="2" t="s">
        <v>82</v>
      </c>
      <c r="BA5041" s="2">
        <v>41</v>
      </c>
      <c r="BB5041" s="2" t="s">
        <v>82</v>
      </c>
      <c r="BC5041" s="2">
        <v>41</v>
      </c>
      <c r="BD5041" s="2" t="s">
        <v>82</v>
      </c>
      <c r="BE5041" s="2">
        <v>41</v>
      </c>
      <c r="BF5041" s="2" t="s">
        <v>82</v>
      </c>
      <c r="BG5041" s="2"/>
      <c r="BH5041" s="2"/>
      <c r="BI5041" s="2"/>
      <c r="BJ5041" s="2">
        <v>241</v>
      </c>
      <c r="BK5041" s="2" t="s">
        <v>82</v>
      </c>
      <c r="BL5041" s="2"/>
      <c r="BM5041" s="2">
        <v>241</v>
      </c>
      <c r="BN5041" s="2" t="s">
        <v>82</v>
      </c>
      <c r="BO5041" s="2"/>
      <c r="BP5041" s="2">
        <v>241</v>
      </c>
      <c r="BQ5041" s="2" t="s">
        <v>82</v>
      </c>
      <c r="BR5041" s="2"/>
      <c r="BS5041" s="3">
        <v>40521</v>
      </c>
      <c r="BT5041" s="4">
        <v>0.32042824074074078</v>
      </c>
    </row>
    <row r="5042" spans="1:72" x14ac:dyDescent="0.25">
      <c r="A5042" s="2">
        <v>7812</v>
      </c>
      <c r="B5042" s="2">
        <v>2010</v>
      </c>
      <c r="C5042" s="2" t="s">
        <v>4543</v>
      </c>
      <c r="D5042" s="2" t="s">
        <v>122</v>
      </c>
      <c r="E5042" s="2"/>
      <c r="F5042" s="2">
        <v>1</v>
      </c>
      <c r="G5042" s="2" t="s">
        <v>82</v>
      </c>
      <c r="H5042" s="2">
        <v>1</v>
      </c>
      <c r="I5042" s="2" t="s">
        <v>82</v>
      </c>
      <c r="J5042" s="2">
        <v>1</v>
      </c>
      <c r="K5042" s="2" t="s">
        <v>107</v>
      </c>
      <c r="L5042" s="2" t="s">
        <v>107</v>
      </c>
      <c r="M5042" s="3">
        <v>40521</v>
      </c>
      <c r="N5042" s="2"/>
      <c r="O5042" s="2"/>
      <c r="P5042" s="2"/>
      <c r="Q5042" s="2" t="str">
        <f>""</f>
        <v/>
      </c>
      <c r="R5042" s="2"/>
      <c r="S5042" s="2"/>
      <c r="T5042" s="2">
        <v>2</v>
      </c>
      <c r="U5042" s="2" t="s">
        <v>123</v>
      </c>
      <c r="V5042" s="2">
        <v>1</v>
      </c>
      <c r="W5042" s="2" t="s">
        <v>80</v>
      </c>
      <c r="X5042" s="2">
        <v>11</v>
      </c>
      <c r="Y5042" s="2" t="s">
        <v>1920</v>
      </c>
      <c r="Z5042" s="2">
        <v>1</v>
      </c>
      <c r="AA5042" s="2" t="s">
        <v>82</v>
      </c>
      <c r="AB5042" s="2">
        <v>9</v>
      </c>
      <c r="AC5042" s="2" t="s">
        <v>124</v>
      </c>
      <c r="AD5042" s="3">
        <v>40521</v>
      </c>
      <c r="AE5042" s="4">
        <v>0.17361111111111113</v>
      </c>
      <c r="AF5042" s="3">
        <v>40521</v>
      </c>
      <c r="AG5042" s="4">
        <v>0.17361111111111113</v>
      </c>
      <c r="AH5042" s="2">
        <v>6</v>
      </c>
      <c r="AI5042" s="2" t="s">
        <v>197</v>
      </c>
      <c r="AJ5042" s="2">
        <v>54</v>
      </c>
      <c r="AK5042" s="2" t="s">
        <v>348</v>
      </c>
      <c r="AL5042" s="2">
        <v>10</v>
      </c>
      <c r="AM5042" s="2" t="s">
        <v>200</v>
      </c>
      <c r="AN5042" s="2"/>
      <c r="AO5042" s="2" t="s">
        <v>595</v>
      </c>
      <c r="AP5042" s="2">
        <v>14</v>
      </c>
      <c r="AQ5042" s="2" t="s">
        <v>3301</v>
      </c>
      <c r="AR5042" s="2" t="s">
        <v>596</v>
      </c>
      <c r="AS5042" s="2" t="s">
        <v>596</v>
      </c>
      <c r="AT5042" s="2" t="s">
        <v>15438</v>
      </c>
      <c r="AU5042" s="2"/>
      <c r="AV5042" s="2"/>
      <c r="AW5042" s="2"/>
      <c r="AX5042" s="2"/>
      <c r="AY5042" s="2">
        <v>41</v>
      </c>
      <c r="AZ5042" s="2" t="s">
        <v>82</v>
      </c>
      <c r="BA5042" s="2">
        <v>41</v>
      </c>
      <c r="BB5042" s="2" t="s">
        <v>82</v>
      </c>
      <c r="BC5042" s="2">
        <v>41</v>
      </c>
      <c r="BD5042" s="2" t="s">
        <v>82</v>
      </c>
      <c r="BE5042" s="2">
        <v>4</v>
      </c>
      <c r="BF5042" s="2" t="s">
        <v>90</v>
      </c>
      <c r="BG5042" s="2" t="s">
        <v>598</v>
      </c>
      <c r="BH5042" s="2"/>
      <c r="BI5042" s="4">
        <v>0.15972222222222224</v>
      </c>
      <c r="BJ5042" s="2">
        <v>13</v>
      </c>
      <c r="BK5042" s="2" t="s">
        <v>91</v>
      </c>
      <c r="BL5042" s="2" t="s">
        <v>2764</v>
      </c>
      <c r="BM5042" s="2">
        <v>13</v>
      </c>
      <c r="BN5042" s="2" t="s">
        <v>91</v>
      </c>
      <c r="BO5042" s="2"/>
      <c r="BP5042" s="2">
        <v>13</v>
      </c>
      <c r="BQ5042" s="2" t="s">
        <v>91</v>
      </c>
      <c r="BR5042" s="2" t="s">
        <v>2168</v>
      </c>
      <c r="BS5042" s="3">
        <v>40521</v>
      </c>
      <c r="BT5042" s="4">
        <v>0.38155092592592593</v>
      </c>
    </row>
    <row r="5043" spans="1:72" x14ac:dyDescent="0.25">
      <c r="A5043" s="2">
        <v>7813</v>
      </c>
      <c r="B5043" s="2">
        <v>2010</v>
      </c>
      <c r="C5043" s="2" t="s">
        <v>93</v>
      </c>
      <c r="D5043" s="2" t="s">
        <v>73</v>
      </c>
      <c r="E5043" s="2" t="s">
        <v>15439</v>
      </c>
      <c r="F5043" s="2">
        <v>683</v>
      </c>
      <c r="G5043" s="2" t="s">
        <v>13713</v>
      </c>
      <c r="H5043" s="2">
        <v>125</v>
      </c>
      <c r="I5043" s="2" t="s">
        <v>8170</v>
      </c>
      <c r="J5043" s="2">
        <v>738</v>
      </c>
      <c r="K5043" s="2" t="s">
        <v>11754</v>
      </c>
      <c r="L5043" s="2" t="s">
        <v>15440</v>
      </c>
      <c r="M5043" s="3">
        <v>40521</v>
      </c>
      <c r="N5043" s="2" t="s">
        <v>15441</v>
      </c>
      <c r="O5043" s="2" t="s">
        <v>15442</v>
      </c>
      <c r="P5043" s="2">
        <v>94635</v>
      </c>
      <c r="Q5043" s="2" t="str">
        <f>""</f>
        <v/>
      </c>
      <c r="R5043" s="2"/>
      <c r="S5043" s="2"/>
      <c r="T5043" s="2">
        <v>1</v>
      </c>
      <c r="U5043" s="2" t="s">
        <v>79</v>
      </c>
      <c r="V5043" s="2">
        <v>1</v>
      </c>
      <c r="W5043" s="2" t="s">
        <v>80</v>
      </c>
      <c r="X5043" s="2">
        <v>10</v>
      </c>
      <c r="Y5043" s="2" t="s">
        <v>226</v>
      </c>
      <c r="Z5043" s="2">
        <v>6</v>
      </c>
      <c r="AA5043" s="2" t="s">
        <v>101</v>
      </c>
      <c r="AB5043" s="2">
        <v>2</v>
      </c>
      <c r="AC5043" s="2" t="s">
        <v>102</v>
      </c>
      <c r="AD5043" s="3">
        <v>40520</v>
      </c>
      <c r="AE5043" s="2"/>
      <c r="AF5043" s="3">
        <v>40520</v>
      </c>
      <c r="AG5043" s="2"/>
      <c r="AH5043" s="2">
        <v>2</v>
      </c>
      <c r="AI5043" s="2" t="s">
        <v>84</v>
      </c>
      <c r="AJ5043" s="2">
        <v>9</v>
      </c>
      <c r="AK5043" s="2" t="s">
        <v>103</v>
      </c>
      <c r="AL5043" s="2">
        <v>25</v>
      </c>
      <c r="AM5043" s="2" t="s">
        <v>3073</v>
      </c>
      <c r="AN5043" s="2" t="s">
        <v>15443</v>
      </c>
      <c r="AO5043" s="2"/>
      <c r="AP5043" s="2">
        <v>11</v>
      </c>
      <c r="AQ5043" s="2" t="s">
        <v>82</v>
      </c>
      <c r="AR5043" s="2"/>
      <c r="AS5043" s="2"/>
      <c r="AT5043" s="2" t="s">
        <v>15444</v>
      </c>
      <c r="AU5043" s="2"/>
      <c r="AV5043" s="2"/>
      <c r="AW5043" s="2"/>
      <c r="AX5043" s="2"/>
      <c r="AY5043" s="2">
        <v>41</v>
      </c>
      <c r="AZ5043" s="2" t="s">
        <v>82</v>
      </c>
      <c r="BA5043" s="2">
        <v>41</v>
      </c>
      <c r="BB5043" s="2" t="s">
        <v>82</v>
      </c>
      <c r="BC5043" s="2">
        <v>41</v>
      </c>
      <c r="BD5043" s="2" t="s">
        <v>82</v>
      </c>
      <c r="BE5043" s="2">
        <v>41</v>
      </c>
      <c r="BF5043" s="2" t="s">
        <v>82</v>
      </c>
      <c r="BG5043" s="2"/>
      <c r="BH5043" s="2"/>
      <c r="BI5043" s="2"/>
      <c r="BJ5043" s="2">
        <v>241</v>
      </c>
      <c r="BK5043" s="2" t="s">
        <v>82</v>
      </c>
      <c r="BL5043" s="2"/>
      <c r="BM5043" s="2">
        <v>241</v>
      </c>
      <c r="BN5043" s="2" t="s">
        <v>82</v>
      </c>
      <c r="BO5043" s="2"/>
      <c r="BP5043" s="2">
        <v>241</v>
      </c>
      <c r="BQ5043" s="2" t="s">
        <v>82</v>
      </c>
      <c r="BR5043" s="2"/>
      <c r="BS5043" s="3">
        <v>40521</v>
      </c>
      <c r="BT5043" s="4">
        <v>0.39219907407407412</v>
      </c>
    </row>
    <row r="5044" spans="1:72" x14ac:dyDescent="0.25">
      <c r="A5044" s="2">
        <v>7814</v>
      </c>
      <c r="B5044" s="2">
        <v>2010</v>
      </c>
      <c r="C5044" s="2" t="s">
        <v>4543</v>
      </c>
      <c r="D5044" s="2" t="s">
        <v>122</v>
      </c>
      <c r="E5044" s="2"/>
      <c r="F5044" s="2">
        <v>1</v>
      </c>
      <c r="G5044" s="2" t="s">
        <v>82</v>
      </c>
      <c r="H5044" s="2">
        <v>1</v>
      </c>
      <c r="I5044" s="2" t="s">
        <v>82</v>
      </c>
      <c r="J5044" s="2">
        <v>1</v>
      </c>
      <c r="K5044" s="2" t="s">
        <v>107</v>
      </c>
      <c r="L5044" s="2" t="s">
        <v>107</v>
      </c>
      <c r="M5044" s="3">
        <v>40521</v>
      </c>
      <c r="N5044" s="2"/>
      <c r="O5044" s="2"/>
      <c r="P5044" s="2"/>
      <c r="Q5044" s="2" t="str">
        <f>""</f>
        <v/>
      </c>
      <c r="R5044" s="2"/>
      <c r="S5044" s="2"/>
      <c r="T5044" s="2">
        <v>2</v>
      </c>
      <c r="U5044" s="2" t="s">
        <v>123</v>
      </c>
      <c r="V5044" s="2">
        <v>1</v>
      </c>
      <c r="W5044" s="2" t="s">
        <v>80</v>
      </c>
      <c r="X5044" s="2">
        <v>11</v>
      </c>
      <c r="Y5044" s="2" t="s">
        <v>1920</v>
      </c>
      <c r="Z5044" s="2">
        <v>1</v>
      </c>
      <c r="AA5044" s="2" t="s">
        <v>82</v>
      </c>
      <c r="AB5044" s="2">
        <v>9</v>
      </c>
      <c r="AC5044" s="2" t="s">
        <v>124</v>
      </c>
      <c r="AD5044" s="3">
        <v>40521</v>
      </c>
      <c r="AE5044" s="4">
        <v>0.38541666666666669</v>
      </c>
      <c r="AF5044" s="3">
        <v>40521</v>
      </c>
      <c r="AG5044" s="4">
        <v>0.38541666666666669</v>
      </c>
      <c r="AH5044" s="2">
        <v>6</v>
      </c>
      <c r="AI5044" s="2" t="s">
        <v>197</v>
      </c>
      <c r="AJ5044" s="2">
        <v>54</v>
      </c>
      <c r="AK5044" s="2" t="s">
        <v>348</v>
      </c>
      <c r="AL5044" s="2">
        <v>10</v>
      </c>
      <c r="AM5044" s="2" t="s">
        <v>200</v>
      </c>
      <c r="AN5044" s="2"/>
      <c r="AO5044" s="2" t="s">
        <v>595</v>
      </c>
      <c r="AP5044" s="2">
        <v>12</v>
      </c>
      <c r="AQ5044" s="2" t="s">
        <v>322</v>
      </c>
      <c r="AR5044" s="2" t="s">
        <v>596</v>
      </c>
      <c r="AS5044" s="2" t="s">
        <v>596</v>
      </c>
      <c r="AT5044" s="2" t="s">
        <v>15445</v>
      </c>
      <c r="AU5044" s="2"/>
      <c r="AV5044" s="2"/>
      <c r="AW5044" s="2"/>
      <c r="AX5044" s="2"/>
      <c r="AY5044" s="2">
        <v>41</v>
      </c>
      <c r="AZ5044" s="2" t="s">
        <v>82</v>
      </c>
      <c r="BA5044" s="2">
        <v>41</v>
      </c>
      <c r="BB5044" s="2" t="s">
        <v>82</v>
      </c>
      <c r="BC5044" s="2">
        <v>41</v>
      </c>
      <c r="BD5044" s="2" t="s">
        <v>82</v>
      </c>
      <c r="BE5044" s="2">
        <v>47</v>
      </c>
      <c r="BF5044" s="2" t="s">
        <v>167</v>
      </c>
      <c r="BG5044" s="2" t="s">
        <v>1165</v>
      </c>
      <c r="BH5044" s="2"/>
      <c r="BI5044" s="4">
        <v>0.34027777777777773</v>
      </c>
      <c r="BJ5044" s="2">
        <v>13</v>
      </c>
      <c r="BK5044" s="2" t="s">
        <v>91</v>
      </c>
      <c r="BL5044" s="2" t="s">
        <v>2764</v>
      </c>
      <c r="BM5044" s="2">
        <v>13</v>
      </c>
      <c r="BN5044" s="2" t="s">
        <v>91</v>
      </c>
      <c r="BO5044" s="2"/>
      <c r="BP5044" s="2">
        <v>13</v>
      </c>
      <c r="BQ5044" s="2" t="s">
        <v>91</v>
      </c>
      <c r="BR5044" s="2" t="s">
        <v>984</v>
      </c>
      <c r="BS5044" s="3">
        <v>40521</v>
      </c>
      <c r="BT5044" s="4">
        <v>0.39244212962962965</v>
      </c>
    </row>
    <row r="5045" spans="1:72" x14ac:dyDescent="0.25">
      <c r="A5045" s="2">
        <v>7815</v>
      </c>
      <c r="B5045" s="2">
        <v>2010</v>
      </c>
      <c r="C5045" s="2" t="s">
        <v>171</v>
      </c>
      <c r="D5045" s="2" t="s">
        <v>73</v>
      </c>
      <c r="E5045" s="2" t="s">
        <v>5266</v>
      </c>
      <c r="F5045" s="2">
        <v>425</v>
      </c>
      <c r="G5045" s="2" t="s">
        <v>286</v>
      </c>
      <c r="H5045" s="2">
        <v>30</v>
      </c>
      <c r="I5045" s="2" t="s">
        <v>912</v>
      </c>
      <c r="J5045" s="2">
        <v>310</v>
      </c>
      <c r="K5045" s="2" t="s">
        <v>288</v>
      </c>
      <c r="L5045" s="2" t="s">
        <v>289</v>
      </c>
      <c r="M5045" s="3">
        <v>40521</v>
      </c>
      <c r="N5045" s="2" t="s">
        <v>1917</v>
      </c>
      <c r="O5045" s="2" t="s">
        <v>14339</v>
      </c>
      <c r="P5045" s="2" t="s">
        <v>4719</v>
      </c>
      <c r="Q5045" s="2" t="str">
        <f>"84"</f>
        <v>84</v>
      </c>
      <c r="R5045" s="2"/>
      <c r="S5045" s="2"/>
      <c r="T5045" s="2">
        <v>1</v>
      </c>
      <c r="U5045" s="2" t="s">
        <v>79</v>
      </c>
      <c r="V5045" s="2">
        <v>3</v>
      </c>
      <c r="W5045" s="2" t="s">
        <v>225</v>
      </c>
      <c r="X5045" s="2">
        <v>6</v>
      </c>
      <c r="Y5045" s="2" t="s">
        <v>249</v>
      </c>
      <c r="Z5045" s="2">
        <v>1</v>
      </c>
      <c r="AA5045" s="2" t="s">
        <v>82</v>
      </c>
      <c r="AB5045" s="2">
        <v>9</v>
      </c>
      <c r="AC5045" s="2" t="s">
        <v>124</v>
      </c>
      <c r="AD5045" s="2"/>
      <c r="AE5045" s="2"/>
      <c r="AF5045" s="3">
        <v>40521</v>
      </c>
      <c r="AG5045" s="2"/>
      <c r="AH5045" s="2">
        <v>4</v>
      </c>
      <c r="AI5045" s="2" t="s">
        <v>125</v>
      </c>
      <c r="AJ5045" s="2">
        <v>26</v>
      </c>
      <c r="AK5045" s="2" t="s">
        <v>293</v>
      </c>
      <c r="AL5045" s="2">
        <v>23</v>
      </c>
      <c r="AM5045" s="2" t="s">
        <v>251</v>
      </c>
      <c r="AN5045" s="2"/>
      <c r="AO5045" s="2" t="s">
        <v>11465</v>
      </c>
      <c r="AP5045" s="2">
        <v>11</v>
      </c>
      <c r="AQ5045" s="2" t="s">
        <v>82</v>
      </c>
      <c r="AR5045" s="2"/>
      <c r="AS5045" s="2"/>
      <c r="AT5045" s="2" t="s">
        <v>15446</v>
      </c>
      <c r="AU5045" s="2"/>
      <c r="AV5045" s="2"/>
      <c r="AW5045" s="2"/>
      <c r="AX5045" s="2"/>
      <c r="AY5045" s="2">
        <v>41</v>
      </c>
      <c r="AZ5045" s="2" t="s">
        <v>82</v>
      </c>
      <c r="BA5045" s="2">
        <v>41</v>
      </c>
      <c r="BB5045" s="2" t="s">
        <v>82</v>
      </c>
      <c r="BC5045" s="2">
        <v>41</v>
      </c>
      <c r="BD5045" s="2" t="s">
        <v>82</v>
      </c>
      <c r="BE5045" s="2">
        <v>41</v>
      </c>
      <c r="BF5045" s="2" t="s">
        <v>82</v>
      </c>
      <c r="BG5045" s="2"/>
      <c r="BH5045" s="2"/>
      <c r="BI5045" s="2"/>
      <c r="BJ5045" s="2">
        <v>241</v>
      </c>
      <c r="BK5045" s="2" t="s">
        <v>82</v>
      </c>
      <c r="BL5045" s="2"/>
      <c r="BM5045" s="2">
        <v>241</v>
      </c>
      <c r="BN5045" s="2" t="s">
        <v>82</v>
      </c>
      <c r="BO5045" s="2"/>
      <c r="BP5045" s="2">
        <v>241</v>
      </c>
      <c r="BQ5045" s="2" t="s">
        <v>82</v>
      </c>
      <c r="BR5045" s="2"/>
      <c r="BS5045" s="3">
        <v>40521</v>
      </c>
      <c r="BT5045" s="4">
        <v>0.43018518518518517</v>
      </c>
    </row>
    <row r="5046" spans="1:72" x14ac:dyDescent="0.25">
      <c r="A5046" s="2">
        <v>7823</v>
      </c>
      <c r="B5046" s="2">
        <v>2010</v>
      </c>
      <c r="C5046" s="2" t="s">
        <v>2754</v>
      </c>
      <c r="D5046" s="2" t="s">
        <v>73</v>
      </c>
      <c r="E5046" s="2"/>
      <c r="F5046" s="2">
        <v>1</v>
      </c>
      <c r="G5046" s="2" t="s">
        <v>82</v>
      </c>
      <c r="H5046" s="2">
        <v>1</v>
      </c>
      <c r="I5046" s="2" t="s">
        <v>82</v>
      </c>
      <c r="J5046" s="2">
        <v>1</v>
      </c>
      <c r="K5046" s="2" t="s">
        <v>107</v>
      </c>
      <c r="L5046" s="2" t="s">
        <v>107</v>
      </c>
      <c r="M5046" s="3">
        <v>40521</v>
      </c>
      <c r="N5046" s="2"/>
      <c r="O5046" s="2"/>
      <c r="P5046" s="2"/>
      <c r="Q5046" s="2" t="str">
        <f>"AP 0107-10"</f>
        <v>AP 0107-10</v>
      </c>
      <c r="R5046" s="2" t="s">
        <v>15447</v>
      </c>
      <c r="S5046" s="2"/>
      <c r="T5046" s="2">
        <v>1</v>
      </c>
      <c r="U5046" s="2" t="s">
        <v>79</v>
      </c>
      <c r="V5046" s="2">
        <v>1</v>
      </c>
      <c r="W5046" s="2" t="s">
        <v>80</v>
      </c>
      <c r="X5046" s="2">
        <v>1</v>
      </c>
      <c r="Y5046" s="2" t="s">
        <v>81</v>
      </c>
      <c r="Z5046" s="2">
        <v>1</v>
      </c>
      <c r="AA5046" s="2" t="s">
        <v>82</v>
      </c>
      <c r="AB5046" s="2">
        <v>8</v>
      </c>
      <c r="AC5046" s="2" t="s">
        <v>2760</v>
      </c>
      <c r="AD5046" s="3">
        <v>40521</v>
      </c>
      <c r="AE5046" s="4">
        <v>0.40833333333333338</v>
      </c>
      <c r="AF5046" s="3">
        <v>40521</v>
      </c>
      <c r="AG5046" s="4">
        <v>0.41666666666666669</v>
      </c>
      <c r="AH5046" s="2">
        <v>6</v>
      </c>
      <c r="AI5046" s="2" t="s">
        <v>197</v>
      </c>
      <c r="AJ5046" s="2">
        <v>58</v>
      </c>
      <c r="AK5046" s="2" t="s">
        <v>406</v>
      </c>
      <c r="AL5046" s="2">
        <v>11</v>
      </c>
      <c r="AM5046" s="2" t="s">
        <v>137</v>
      </c>
      <c r="AN5046" s="2"/>
      <c r="AO5046" s="2" t="s">
        <v>6881</v>
      </c>
      <c r="AP5046" s="2">
        <v>11</v>
      </c>
      <c r="AQ5046" s="2" t="s">
        <v>82</v>
      </c>
      <c r="AR5046" s="2"/>
      <c r="AS5046" s="2"/>
      <c r="AT5046" s="2" t="s">
        <v>15448</v>
      </c>
      <c r="AU5046" s="2"/>
      <c r="AV5046" s="2"/>
      <c r="AW5046" s="2"/>
      <c r="AX5046" s="2"/>
      <c r="AY5046" s="2">
        <v>41</v>
      </c>
      <c r="AZ5046" s="2" t="s">
        <v>82</v>
      </c>
      <c r="BA5046" s="2">
        <v>41</v>
      </c>
      <c r="BB5046" s="2" t="s">
        <v>82</v>
      </c>
      <c r="BC5046" s="2">
        <v>41</v>
      </c>
      <c r="BD5046" s="2" t="s">
        <v>82</v>
      </c>
      <c r="BE5046" s="2">
        <v>13</v>
      </c>
      <c r="BF5046" s="2" t="s">
        <v>108</v>
      </c>
      <c r="BG5046" s="2">
        <v>1851</v>
      </c>
      <c r="BH5046" s="2"/>
      <c r="BI5046" s="4">
        <v>0.4548611111111111</v>
      </c>
      <c r="BJ5046" s="2">
        <v>13</v>
      </c>
      <c r="BK5046" s="2" t="s">
        <v>91</v>
      </c>
      <c r="BL5046" s="2" t="s">
        <v>492</v>
      </c>
      <c r="BM5046" s="2">
        <v>13</v>
      </c>
      <c r="BN5046" s="2" t="s">
        <v>91</v>
      </c>
      <c r="BO5046" s="2"/>
      <c r="BP5046" s="2">
        <v>13</v>
      </c>
      <c r="BQ5046" s="2" t="s">
        <v>91</v>
      </c>
      <c r="BR5046" s="2" t="s">
        <v>170</v>
      </c>
      <c r="BS5046" s="3">
        <v>40521</v>
      </c>
      <c r="BT5046" s="4">
        <v>0.68223379629629621</v>
      </c>
    </row>
    <row r="5047" spans="1:72" x14ac:dyDescent="0.25">
      <c r="A5047" s="2">
        <v>7824</v>
      </c>
      <c r="B5047" s="2">
        <v>2010</v>
      </c>
      <c r="C5047" s="2" t="s">
        <v>128</v>
      </c>
      <c r="D5047" s="2" t="s">
        <v>73</v>
      </c>
      <c r="E5047" s="2" t="s">
        <v>15449</v>
      </c>
      <c r="F5047" s="2">
        <v>425</v>
      </c>
      <c r="G5047" s="2" t="s">
        <v>286</v>
      </c>
      <c r="H5047" s="2">
        <v>122</v>
      </c>
      <c r="I5047" s="2" t="s">
        <v>8431</v>
      </c>
      <c r="J5047" s="2">
        <v>310</v>
      </c>
      <c r="K5047" s="2" t="s">
        <v>288</v>
      </c>
      <c r="L5047" s="2" t="s">
        <v>289</v>
      </c>
      <c r="M5047" s="3">
        <v>40521</v>
      </c>
      <c r="N5047" s="2" t="s">
        <v>1882</v>
      </c>
      <c r="O5047" s="2" t="s">
        <v>11433</v>
      </c>
      <c r="P5047" s="2" t="s">
        <v>11434</v>
      </c>
      <c r="Q5047" s="2" t="str">
        <f>"102"</f>
        <v>102</v>
      </c>
      <c r="R5047" s="2"/>
      <c r="S5047" s="2"/>
      <c r="T5047" s="2">
        <v>1</v>
      </c>
      <c r="U5047" s="2" t="s">
        <v>79</v>
      </c>
      <c r="V5047" s="2">
        <v>3</v>
      </c>
      <c r="W5047" s="2" t="s">
        <v>225</v>
      </c>
      <c r="X5047" s="2">
        <v>6</v>
      </c>
      <c r="Y5047" s="2" t="s">
        <v>249</v>
      </c>
      <c r="Z5047" s="2">
        <v>1</v>
      </c>
      <c r="AA5047" s="2" t="s">
        <v>82</v>
      </c>
      <c r="AB5047" s="2">
        <v>9</v>
      </c>
      <c r="AC5047" s="2" t="s">
        <v>124</v>
      </c>
      <c r="AD5047" s="2"/>
      <c r="AE5047" s="2"/>
      <c r="AF5047" s="3">
        <v>40519</v>
      </c>
      <c r="AG5047" s="2"/>
      <c r="AH5047" s="2">
        <v>4</v>
      </c>
      <c r="AI5047" s="2" t="s">
        <v>125</v>
      </c>
      <c r="AJ5047" s="2">
        <v>26</v>
      </c>
      <c r="AK5047" s="2" t="s">
        <v>293</v>
      </c>
      <c r="AL5047" s="2">
        <v>23</v>
      </c>
      <c r="AM5047" s="2" t="s">
        <v>251</v>
      </c>
      <c r="AN5047" s="2"/>
      <c r="AO5047" s="2" t="s">
        <v>11465</v>
      </c>
      <c r="AP5047" s="2">
        <v>11</v>
      </c>
      <c r="AQ5047" s="2" t="s">
        <v>82</v>
      </c>
      <c r="AR5047" s="2"/>
      <c r="AS5047" s="2"/>
      <c r="AT5047" s="2" t="s">
        <v>15450</v>
      </c>
      <c r="AU5047" s="2"/>
      <c r="AV5047" s="2"/>
      <c r="AW5047" s="2"/>
      <c r="AX5047" s="2"/>
      <c r="AY5047" s="2">
        <v>41</v>
      </c>
      <c r="AZ5047" s="2" t="s">
        <v>82</v>
      </c>
      <c r="BA5047" s="2">
        <v>41</v>
      </c>
      <c r="BB5047" s="2" t="s">
        <v>82</v>
      </c>
      <c r="BC5047" s="2">
        <v>41</v>
      </c>
      <c r="BD5047" s="2" t="s">
        <v>82</v>
      </c>
      <c r="BE5047" s="2">
        <v>41</v>
      </c>
      <c r="BF5047" s="2" t="s">
        <v>82</v>
      </c>
      <c r="BG5047" s="2"/>
      <c r="BH5047" s="2"/>
      <c r="BI5047" s="2"/>
      <c r="BJ5047" s="2">
        <v>241</v>
      </c>
      <c r="BK5047" s="2" t="s">
        <v>82</v>
      </c>
      <c r="BL5047" s="2"/>
      <c r="BM5047" s="2">
        <v>241</v>
      </c>
      <c r="BN5047" s="2" t="s">
        <v>82</v>
      </c>
      <c r="BO5047" s="2"/>
      <c r="BP5047" s="2">
        <v>241</v>
      </c>
      <c r="BQ5047" s="2" t="s">
        <v>82</v>
      </c>
      <c r="BR5047" s="2"/>
      <c r="BS5047" s="3">
        <v>40521</v>
      </c>
      <c r="BT5047" s="4">
        <v>0.69383101851851858</v>
      </c>
    </row>
    <row r="5048" spans="1:72" x14ac:dyDescent="0.25">
      <c r="A5048" s="2">
        <v>7828</v>
      </c>
      <c r="B5048" s="2">
        <v>2010</v>
      </c>
      <c r="C5048" s="2" t="s">
        <v>171</v>
      </c>
      <c r="D5048" s="2" t="s">
        <v>73</v>
      </c>
      <c r="E5048" s="2"/>
      <c r="F5048" s="2">
        <v>152</v>
      </c>
      <c r="G5048" s="2" t="s">
        <v>7866</v>
      </c>
      <c r="H5048" s="2">
        <v>4</v>
      </c>
      <c r="I5048" s="2" t="s">
        <v>173</v>
      </c>
      <c r="J5048" s="2">
        <v>164</v>
      </c>
      <c r="K5048" s="2" t="s">
        <v>3254</v>
      </c>
      <c r="L5048" s="2" t="s">
        <v>946</v>
      </c>
      <c r="M5048" s="3">
        <v>40521</v>
      </c>
      <c r="N5048" s="2" t="s">
        <v>15451</v>
      </c>
      <c r="O5048" s="2"/>
      <c r="P5048" s="2"/>
      <c r="Q5048" s="2" t="str">
        <f>"444-A/10"</f>
        <v>444-A/10</v>
      </c>
      <c r="R5048" s="2" t="s">
        <v>318</v>
      </c>
      <c r="S5048" s="2" t="s">
        <v>318</v>
      </c>
      <c r="T5048" s="2">
        <v>1</v>
      </c>
      <c r="U5048" s="2" t="s">
        <v>79</v>
      </c>
      <c r="V5048" s="2">
        <v>1</v>
      </c>
      <c r="W5048" s="2" t="s">
        <v>80</v>
      </c>
      <c r="X5048" s="2">
        <v>1</v>
      </c>
      <c r="Y5048" s="2" t="s">
        <v>81</v>
      </c>
      <c r="Z5048" s="2">
        <v>1</v>
      </c>
      <c r="AA5048" s="2" t="s">
        <v>82</v>
      </c>
      <c r="AB5048" s="2">
        <v>1</v>
      </c>
      <c r="AC5048" s="2" t="s">
        <v>178</v>
      </c>
      <c r="AD5048" s="3">
        <v>40521</v>
      </c>
      <c r="AE5048" s="4">
        <v>0.46875</v>
      </c>
      <c r="AF5048" s="3">
        <v>40521</v>
      </c>
      <c r="AG5048" s="4">
        <v>0.60416666666666663</v>
      </c>
      <c r="AH5048" s="2">
        <v>2</v>
      </c>
      <c r="AI5048" s="2" t="s">
        <v>84</v>
      </c>
      <c r="AJ5048" s="2">
        <v>12</v>
      </c>
      <c r="AK5048" s="2" t="s">
        <v>85</v>
      </c>
      <c r="AL5048" s="2">
        <v>11</v>
      </c>
      <c r="AM5048" s="2" t="s">
        <v>137</v>
      </c>
      <c r="AN5048" s="2" t="s">
        <v>13001</v>
      </c>
      <c r="AO5048" s="2" t="s">
        <v>1424</v>
      </c>
      <c r="AP5048" s="2">
        <v>11</v>
      </c>
      <c r="AQ5048" s="2" t="s">
        <v>82</v>
      </c>
      <c r="AR5048" s="2"/>
      <c r="AS5048" s="2"/>
      <c r="AT5048" s="2" t="s">
        <v>15452</v>
      </c>
      <c r="AU5048" s="2">
        <v>1</v>
      </c>
      <c r="AV5048" s="2"/>
      <c r="AW5048" s="2"/>
      <c r="AX5048" s="2"/>
      <c r="AY5048" s="2">
        <v>41</v>
      </c>
      <c r="AZ5048" s="2" t="s">
        <v>82</v>
      </c>
      <c r="BA5048" s="2">
        <v>41</v>
      </c>
      <c r="BB5048" s="2" t="s">
        <v>82</v>
      </c>
      <c r="BC5048" s="2">
        <v>41</v>
      </c>
      <c r="BD5048" s="2" t="s">
        <v>82</v>
      </c>
      <c r="BE5048" s="2">
        <v>13</v>
      </c>
      <c r="BF5048" s="2" t="s">
        <v>108</v>
      </c>
      <c r="BG5048" s="2" t="s">
        <v>15453</v>
      </c>
      <c r="BH5048" s="2"/>
      <c r="BI5048" s="4">
        <v>0.48958333333333331</v>
      </c>
      <c r="BJ5048" s="2">
        <v>13</v>
      </c>
      <c r="BK5048" s="2" t="s">
        <v>91</v>
      </c>
      <c r="BL5048" s="2" t="s">
        <v>564</v>
      </c>
      <c r="BM5048" s="2">
        <v>13</v>
      </c>
      <c r="BN5048" s="2" t="s">
        <v>91</v>
      </c>
      <c r="BO5048" s="2"/>
      <c r="BP5048" s="2">
        <v>13</v>
      </c>
      <c r="BQ5048" s="2" t="s">
        <v>91</v>
      </c>
      <c r="BR5048" s="2" t="s">
        <v>15454</v>
      </c>
      <c r="BS5048" s="3">
        <v>40521</v>
      </c>
      <c r="BT5048" s="4">
        <v>0.72895833333333337</v>
      </c>
    </row>
    <row r="5049" spans="1:72" x14ac:dyDescent="0.25">
      <c r="A5049" s="2">
        <v>7831</v>
      </c>
      <c r="B5049" s="2">
        <v>2010</v>
      </c>
      <c r="C5049" s="2" t="s">
        <v>171</v>
      </c>
      <c r="D5049" s="2" t="s">
        <v>73</v>
      </c>
      <c r="E5049" s="2"/>
      <c r="F5049" s="2">
        <v>424</v>
      </c>
      <c r="G5049" s="2" t="s">
        <v>266</v>
      </c>
      <c r="H5049" s="2">
        <v>2</v>
      </c>
      <c r="I5049" s="2" t="s">
        <v>267</v>
      </c>
      <c r="J5049" s="2">
        <v>309</v>
      </c>
      <c r="K5049" s="2" t="s">
        <v>268</v>
      </c>
      <c r="L5049" s="2" t="s">
        <v>269</v>
      </c>
      <c r="M5049" s="3">
        <v>40521</v>
      </c>
      <c r="N5049" s="2" t="s">
        <v>11846</v>
      </c>
      <c r="O5049" s="2" t="s">
        <v>15455</v>
      </c>
      <c r="P5049" s="2" t="s">
        <v>15456</v>
      </c>
      <c r="Q5049" s="2" t="str">
        <f>"0031/2010"</f>
        <v>0031/2010</v>
      </c>
      <c r="R5049" s="2"/>
      <c r="S5049" s="2" t="s">
        <v>15457</v>
      </c>
      <c r="T5049" s="2">
        <v>1</v>
      </c>
      <c r="U5049" s="2" t="s">
        <v>79</v>
      </c>
      <c r="V5049" s="2">
        <v>3</v>
      </c>
      <c r="W5049" s="2" t="s">
        <v>225</v>
      </c>
      <c r="X5049" s="2">
        <v>6</v>
      </c>
      <c r="Y5049" s="2" t="s">
        <v>249</v>
      </c>
      <c r="Z5049" s="2">
        <v>1</v>
      </c>
      <c r="AA5049" s="2" t="s">
        <v>82</v>
      </c>
      <c r="AB5049" s="2">
        <v>9</v>
      </c>
      <c r="AC5049" s="2" t="s">
        <v>124</v>
      </c>
      <c r="AD5049" s="2"/>
      <c r="AE5049" s="2"/>
      <c r="AF5049" s="3">
        <v>40521</v>
      </c>
      <c r="AG5049" s="4">
        <v>0.625</v>
      </c>
      <c r="AH5049" s="2">
        <v>5</v>
      </c>
      <c r="AI5049" s="2" t="s">
        <v>274</v>
      </c>
      <c r="AJ5049" s="2">
        <v>35</v>
      </c>
      <c r="AK5049" s="2" t="s">
        <v>275</v>
      </c>
      <c r="AL5049" s="2">
        <v>23</v>
      </c>
      <c r="AM5049" s="2" t="s">
        <v>251</v>
      </c>
      <c r="AN5049" s="2"/>
      <c r="AO5049" s="2" t="s">
        <v>284</v>
      </c>
      <c r="AP5049" s="2">
        <v>11</v>
      </c>
      <c r="AQ5049" s="2" t="s">
        <v>82</v>
      </c>
      <c r="AR5049" s="2"/>
      <c r="AS5049" s="2"/>
      <c r="AT5049" s="2" t="s">
        <v>15458</v>
      </c>
      <c r="AU5049" s="2"/>
      <c r="AV5049" s="2"/>
      <c r="AW5049" s="2"/>
      <c r="AX5049" s="2"/>
      <c r="AY5049" s="2">
        <v>41</v>
      </c>
      <c r="AZ5049" s="2" t="s">
        <v>82</v>
      </c>
      <c r="BA5049" s="2">
        <v>41</v>
      </c>
      <c r="BB5049" s="2" t="s">
        <v>82</v>
      </c>
      <c r="BC5049" s="2">
        <v>41</v>
      </c>
      <c r="BD5049" s="2" t="s">
        <v>82</v>
      </c>
      <c r="BE5049" s="2">
        <v>41</v>
      </c>
      <c r="BF5049" s="2" t="s">
        <v>82</v>
      </c>
      <c r="BG5049" s="2"/>
      <c r="BH5049" s="2"/>
      <c r="BI5049" s="2"/>
      <c r="BJ5049" s="2">
        <v>241</v>
      </c>
      <c r="BK5049" s="2" t="s">
        <v>82</v>
      </c>
      <c r="BL5049" s="2"/>
      <c r="BM5049" s="2">
        <v>241</v>
      </c>
      <c r="BN5049" s="2" t="s">
        <v>82</v>
      </c>
      <c r="BO5049" s="2"/>
      <c r="BP5049" s="2">
        <v>241</v>
      </c>
      <c r="BQ5049" s="2" t="s">
        <v>82</v>
      </c>
      <c r="BR5049" s="2"/>
      <c r="BS5049" s="3">
        <v>40521</v>
      </c>
      <c r="BT5049" s="4">
        <v>0.74472222222222229</v>
      </c>
    </row>
    <row r="5050" spans="1:72" x14ac:dyDescent="0.25">
      <c r="A5050" s="2">
        <v>7832</v>
      </c>
      <c r="B5050" s="2">
        <v>2010</v>
      </c>
      <c r="C5050" s="2" t="s">
        <v>171</v>
      </c>
      <c r="D5050" s="2" t="s">
        <v>73</v>
      </c>
      <c r="E5050" s="2"/>
      <c r="F5050" s="2">
        <v>338</v>
      </c>
      <c r="G5050" s="2" t="s">
        <v>4459</v>
      </c>
      <c r="H5050" s="2">
        <v>2</v>
      </c>
      <c r="I5050" s="2" t="s">
        <v>267</v>
      </c>
      <c r="J5050" s="2">
        <v>309</v>
      </c>
      <c r="K5050" s="2" t="s">
        <v>268</v>
      </c>
      <c r="L5050" s="2" t="s">
        <v>269</v>
      </c>
      <c r="M5050" s="3">
        <v>40521</v>
      </c>
      <c r="N5050" s="2" t="s">
        <v>11846</v>
      </c>
      <c r="O5050" s="2" t="s">
        <v>15459</v>
      </c>
      <c r="P5050" s="2" t="s">
        <v>15460</v>
      </c>
      <c r="Q5050" s="2" t="str">
        <f>"0032/2010"</f>
        <v>0032/2010</v>
      </c>
      <c r="R5050" s="2"/>
      <c r="S5050" s="2"/>
      <c r="T5050" s="2">
        <v>1</v>
      </c>
      <c r="U5050" s="2" t="s">
        <v>79</v>
      </c>
      <c r="V5050" s="2">
        <v>3</v>
      </c>
      <c r="W5050" s="2" t="s">
        <v>225</v>
      </c>
      <c r="X5050" s="2">
        <v>6</v>
      </c>
      <c r="Y5050" s="2" t="s">
        <v>249</v>
      </c>
      <c r="Z5050" s="2">
        <v>1</v>
      </c>
      <c r="AA5050" s="2" t="s">
        <v>82</v>
      </c>
      <c r="AB5050" s="2">
        <v>9</v>
      </c>
      <c r="AC5050" s="2" t="s">
        <v>124</v>
      </c>
      <c r="AD5050" s="2"/>
      <c r="AE5050" s="2"/>
      <c r="AF5050" s="3">
        <v>40521</v>
      </c>
      <c r="AG5050" s="4">
        <v>0.625</v>
      </c>
      <c r="AH5050" s="2">
        <v>5</v>
      </c>
      <c r="AI5050" s="2" t="s">
        <v>274</v>
      </c>
      <c r="AJ5050" s="2">
        <v>35</v>
      </c>
      <c r="AK5050" s="2" t="s">
        <v>275</v>
      </c>
      <c r="AL5050" s="2">
        <v>23</v>
      </c>
      <c r="AM5050" s="2" t="s">
        <v>251</v>
      </c>
      <c r="AN5050" s="2"/>
      <c r="AO5050" s="2" t="s">
        <v>2498</v>
      </c>
      <c r="AP5050" s="2">
        <v>11</v>
      </c>
      <c r="AQ5050" s="2" t="s">
        <v>82</v>
      </c>
      <c r="AR5050" s="2"/>
      <c r="AS5050" s="2"/>
      <c r="AT5050" s="2" t="s">
        <v>15461</v>
      </c>
      <c r="AU5050" s="2"/>
      <c r="AV5050" s="2"/>
      <c r="AW5050" s="2"/>
      <c r="AX5050" s="2"/>
      <c r="AY5050" s="2">
        <v>41</v>
      </c>
      <c r="AZ5050" s="2" t="s">
        <v>82</v>
      </c>
      <c r="BA5050" s="2">
        <v>41</v>
      </c>
      <c r="BB5050" s="2" t="s">
        <v>82</v>
      </c>
      <c r="BC5050" s="2">
        <v>41</v>
      </c>
      <c r="BD5050" s="2" t="s">
        <v>82</v>
      </c>
      <c r="BE5050" s="2">
        <v>41</v>
      </c>
      <c r="BF5050" s="2" t="s">
        <v>82</v>
      </c>
      <c r="BG5050" s="2"/>
      <c r="BH5050" s="2"/>
      <c r="BI5050" s="2"/>
      <c r="BJ5050" s="2">
        <v>241</v>
      </c>
      <c r="BK5050" s="2" t="s">
        <v>82</v>
      </c>
      <c r="BL5050" s="2"/>
      <c r="BM5050" s="2">
        <v>241</v>
      </c>
      <c r="BN5050" s="2" t="s">
        <v>82</v>
      </c>
      <c r="BO5050" s="2"/>
      <c r="BP5050" s="2">
        <v>241</v>
      </c>
      <c r="BQ5050" s="2" t="s">
        <v>82</v>
      </c>
      <c r="BR5050" s="2"/>
      <c r="BS5050" s="3">
        <v>40521</v>
      </c>
      <c r="BT5050" s="4">
        <v>0.75472222222222218</v>
      </c>
    </row>
    <row r="5051" spans="1:72" x14ac:dyDescent="0.25">
      <c r="A5051" s="2">
        <v>7833</v>
      </c>
      <c r="B5051" s="2">
        <v>2010</v>
      </c>
      <c r="C5051" s="2" t="s">
        <v>128</v>
      </c>
      <c r="D5051" s="2" t="s">
        <v>73</v>
      </c>
      <c r="E5051" s="2"/>
      <c r="F5051" s="2">
        <v>737</v>
      </c>
      <c r="G5051" s="2" t="s">
        <v>15462</v>
      </c>
      <c r="H5051" s="2">
        <v>22</v>
      </c>
      <c r="I5051" s="2" t="s">
        <v>75</v>
      </c>
      <c r="J5051" s="2">
        <v>739</v>
      </c>
      <c r="K5051" s="2" t="s">
        <v>15463</v>
      </c>
      <c r="L5051" s="2" t="s">
        <v>15464</v>
      </c>
      <c r="M5051" s="3">
        <v>40521</v>
      </c>
      <c r="N5051" s="2" t="s">
        <v>15465</v>
      </c>
      <c r="O5051" s="2" t="s">
        <v>15466</v>
      </c>
      <c r="P5051" s="2" t="s">
        <v>107</v>
      </c>
      <c r="Q5051" s="2" t="str">
        <f>""</f>
        <v/>
      </c>
      <c r="R5051" s="2"/>
      <c r="S5051" s="2"/>
      <c r="T5051" s="2">
        <v>1</v>
      </c>
      <c r="U5051" s="2" t="s">
        <v>79</v>
      </c>
      <c r="V5051" s="2">
        <v>1</v>
      </c>
      <c r="W5051" s="2" t="s">
        <v>80</v>
      </c>
      <c r="X5051" s="2">
        <v>8</v>
      </c>
      <c r="Y5051" s="2" t="s">
        <v>375</v>
      </c>
      <c r="Z5051" s="2">
        <v>1</v>
      </c>
      <c r="AA5051" s="2" t="s">
        <v>82</v>
      </c>
      <c r="AB5051" s="2">
        <v>9</v>
      </c>
      <c r="AC5051" s="2" t="s">
        <v>124</v>
      </c>
      <c r="AD5051" s="3">
        <v>40520</v>
      </c>
      <c r="AE5051" s="4">
        <v>0.9375</v>
      </c>
      <c r="AF5051" s="3">
        <v>40520</v>
      </c>
      <c r="AG5051" s="4">
        <v>0.99305555555555547</v>
      </c>
      <c r="AH5051" s="2">
        <v>2</v>
      </c>
      <c r="AI5051" s="2" t="s">
        <v>84</v>
      </c>
      <c r="AJ5051" s="2">
        <v>5</v>
      </c>
      <c r="AK5051" s="2" t="s">
        <v>84</v>
      </c>
      <c r="AL5051" s="2">
        <v>23</v>
      </c>
      <c r="AM5051" s="2" t="s">
        <v>251</v>
      </c>
      <c r="AN5051" s="2" t="s">
        <v>15467</v>
      </c>
      <c r="AO5051" s="2" t="s">
        <v>4971</v>
      </c>
      <c r="AP5051" s="2">
        <v>11</v>
      </c>
      <c r="AQ5051" s="2" t="s">
        <v>82</v>
      </c>
      <c r="AR5051" s="2"/>
      <c r="AS5051" s="2"/>
      <c r="AT5051" s="2" t="s">
        <v>15468</v>
      </c>
      <c r="AU5051" s="2"/>
      <c r="AV5051" s="2"/>
      <c r="AW5051" s="2"/>
      <c r="AX5051" s="2"/>
      <c r="AY5051" s="2">
        <v>41</v>
      </c>
      <c r="AZ5051" s="2" t="s">
        <v>82</v>
      </c>
      <c r="BA5051" s="2">
        <v>41</v>
      </c>
      <c r="BB5051" s="2" t="s">
        <v>82</v>
      </c>
      <c r="BC5051" s="2">
        <v>41</v>
      </c>
      <c r="BD5051" s="2" t="s">
        <v>82</v>
      </c>
      <c r="BE5051" s="2">
        <v>41</v>
      </c>
      <c r="BF5051" s="2" t="s">
        <v>82</v>
      </c>
      <c r="BG5051" s="2"/>
      <c r="BH5051" s="2"/>
      <c r="BI5051" s="2"/>
      <c r="BJ5051" s="2">
        <v>241</v>
      </c>
      <c r="BK5051" s="2" t="s">
        <v>82</v>
      </c>
      <c r="BL5051" s="2"/>
      <c r="BM5051" s="2">
        <v>241</v>
      </c>
      <c r="BN5051" s="2" t="s">
        <v>82</v>
      </c>
      <c r="BO5051" s="2"/>
      <c r="BP5051" s="2">
        <v>241</v>
      </c>
      <c r="BQ5051" s="2" t="s">
        <v>82</v>
      </c>
      <c r="BR5051" s="2"/>
      <c r="BS5051" s="3">
        <v>40521</v>
      </c>
      <c r="BT5051" s="4">
        <v>0.77459490740740744</v>
      </c>
    </row>
    <row r="5052" spans="1:72" x14ac:dyDescent="0.25">
      <c r="A5052" s="2">
        <v>7835</v>
      </c>
      <c r="B5052" s="2">
        <v>2010</v>
      </c>
      <c r="C5052" s="2" t="s">
        <v>4543</v>
      </c>
      <c r="D5052" s="2" t="s">
        <v>122</v>
      </c>
      <c r="E5052" s="2" t="s">
        <v>15469</v>
      </c>
      <c r="F5052" s="2">
        <v>233</v>
      </c>
      <c r="G5052" s="2" t="s">
        <v>3858</v>
      </c>
      <c r="H5052" s="2">
        <v>108</v>
      </c>
      <c r="I5052" s="2" t="s">
        <v>1096</v>
      </c>
      <c r="J5052" s="2">
        <v>316</v>
      </c>
      <c r="K5052" s="2" t="s">
        <v>574</v>
      </c>
      <c r="L5052" s="2" t="s">
        <v>575</v>
      </c>
      <c r="M5052" s="3">
        <v>40521</v>
      </c>
      <c r="N5052" s="2" t="s">
        <v>10789</v>
      </c>
      <c r="O5052" s="2" t="s">
        <v>15425</v>
      </c>
      <c r="P5052" s="2" t="s">
        <v>15426</v>
      </c>
      <c r="Q5052" s="2" t="str">
        <f>"N/C"</f>
        <v>N/C</v>
      </c>
      <c r="R5052" s="2" t="s">
        <v>107</v>
      </c>
      <c r="S5052" s="2" t="s">
        <v>82</v>
      </c>
      <c r="T5052" s="2">
        <v>2</v>
      </c>
      <c r="U5052" s="2" t="s">
        <v>123</v>
      </c>
      <c r="V5052" s="2">
        <v>1</v>
      </c>
      <c r="W5052" s="2" t="s">
        <v>80</v>
      </c>
      <c r="X5052" s="2">
        <v>10</v>
      </c>
      <c r="Y5052" s="2" t="s">
        <v>226</v>
      </c>
      <c r="Z5052" s="2">
        <v>1</v>
      </c>
      <c r="AA5052" s="2" t="s">
        <v>82</v>
      </c>
      <c r="AB5052" s="2">
        <v>9</v>
      </c>
      <c r="AC5052" s="2" t="s">
        <v>124</v>
      </c>
      <c r="AD5052" s="3">
        <v>40519</v>
      </c>
      <c r="AE5052" s="4">
        <v>0.76736111111111116</v>
      </c>
      <c r="AF5052" s="3">
        <v>40519</v>
      </c>
      <c r="AG5052" s="2"/>
      <c r="AH5052" s="2">
        <v>2</v>
      </c>
      <c r="AI5052" s="2" t="s">
        <v>84</v>
      </c>
      <c r="AJ5052" s="2">
        <v>12</v>
      </c>
      <c r="AK5052" s="2" t="s">
        <v>85</v>
      </c>
      <c r="AL5052" s="2">
        <v>23</v>
      </c>
      <c r="AM5052" s="2" t="s">
        <v>251</v>
      </c>
      <c r="AN5052" s="2" t="s">
        <v>107</v>
      </c>
      <c r="AO5052" s="2" t="s">
        <v>107</v>
      </c>
      <c r="AP5052" s="2">
        <v>11</v>
      </c>
      <c r="AQ5052" s="2" t="s">
        <v>82</v>
      </c>
      <c r="AR5052" s="2"/>
      <c r="AS5052" s="2"/>
      <c r="AT5052" s="2" t="s">
        <v>15470</v>
      </c>
      <c r="AU5052" s="2">
        <v>1</v>
      </c>
      <c r="AV5052" s="2"/>
      <c r="AW5052" s="2"/>
      <c r="AX5052" s="2"/>
      <c r="AY5052" s="2">
        <v>41</v>
      </c>
      <c r="AZ5052" s="2" t="s">
        <v>82</v>
      </c>
      <c r="BA5052" s="2">
        <v>41</v>
      </c>
      <c r="BB5052" s="2" t="s">
        <v>82</v>
      </c>
      <c r="BC5052" s="2">
        <v>41</v>
      </c>
      <c r="BD5052" s="2" t="s">
        <v>82</v>
      </c>
      <c r="BE5052" s="2">
        <v>41</v>
      </c>
      <c r="BF5052" s="2" t="s">
        <v>82</v>
      </c>
      <c r="BG5052" s="2"/>
      <c r="BH5052" s="2"/>
      <c r="BI5052" s="2"/>
      <c r="BJ5052" s="2">
        <v>241</v>
      </c>
      <c r="BK5052" s="2" t="s">
        <v>82</v>
      </c>
      <c r="BL5052" s="2"/>
      <c r="BM5052" s="2">
        <v>241</v>
      </c>
      <c r="BN5052" s="2" t="s">
        <v>82</v>
      </c>
      <c r="BO5052" s="2"/>
      <c r="BP5052" s="2">
        <v>241</v>
      </c>
      <c r="BQ5052" s="2" t="s">
        <v>82</v>
      </c>
      <c r="BR5052" s="2"/>
      <c r="BS5052" s="3">
        <v>40521</v>
      </c>
      <c r="BT5052" s="4">
        <v>0.83824074074074073</v>
      </c>
    </row>
    <row r="5053" spans="1:72" x14ac:dyDescent="0.25">
      <c r="A5053" s="2">
        <v>7836</v>
      </c>
      <c r="B5053" s="2">
        <v>2010</v>
      </c>
      <c r="C5053" s="2" t="s">
        <v>171</v>
      </c>
      <c r="D5053" s="2" t="s">
        <v>122</v>
      </c>
      <c r="E5053" s="2" t="s">
        <v>15471</v>
      </c>
      <c r="F5053" s="2">
        <v>152</v>
      </c>
      <c r="G5053" s="2" t="s">
        <v>7866</v>
      </c>
      <c r="H5053" s="2">
        <v>5</v>
      </c>
      <c r="I5053" s="2" t="s">
        <v>634</v>
      </c>
      <c r="J5053" s="2">
        <v>164</v>
      </c>
      <c r="K5053" s="2" t="s">
        <v>3254</v>
      </c>
      <c r="L5053" s="2" t="s">
        <v>946</v>
      </c>
      <c r="M5053" s="3">
        <v>40521</v>
      </c>
      <c r="N5053" s="2" t="s">
        <v>15451</v>
      </c>
      <c r="O5053" s="2"/>
      <c r="P5053" s="2"/>
      <c r="Q5053" s="2" t="str">
        <f>"444-A/10"</f>
        <v>444-A/10</v>
      </c>
      <c r="R5053" s="2" t="s">
        <v>318</v>
      </c>
      <c r="S5053" s="2"/>
      <c r="T5053" s="2">
        <v>1</v>
      </c>
      <c r="U5053" s="2" t="s">
        <v>79</v>
      </c>
      <c r="V5053" s="2">
        <v>1</v>
      </c>
      <c r="W5053" s="2" t="s">
        <v>80</v>
      </c>
      <c r="X5053" s="2">
        <v>1</v>
      </c>
      <c r="Y5053" s="2" t="s">
        <v>81</v>
      </c>
      <c r="Z5053" s="2">
        <v>1</v>
      </c>
      <c r="AA5053" s="2" t="s">
        <v>82</v>
      </c>
      <c r="AB5053" s="2">
        <v>1</v>
      </c>
      <c r="AC5053" s="2" t="s">
        <v>178</v>
      </c>
      <c r="AD5053" s="3">
        <v>40521</v>
      </c>
      <c r="AE5053" s="4">
        <v>0.46875</v>
      </c>
      <c r="AF5053" s="3">
        <v>40521</v>
      </c>
      <c r="AG5053" s="2"/>
      <c r="AH5053" s="2">
        <v>2</v>
      </c>
      <c r="AI5053" s="2" t="s">
        <v>84</v>
      </c>
      <c r="AJ5053" s="2">
        <v>12</v>
      </c>
      <c r="AK5053" s="2" t="s">
        <v>85</v>
      </c>
      <c r="AL5053" s="2">
        <v>11</v>
      </c>
      <c r="AM5053" s="2" t="s">
        <v>137</v>
      </c>
      <c r="AN5053" s="2" t="s">
        <v>1869</v>
      </c>
      <c r="AO5053" s="2" t="s">
        <v>788</v>
      </c>
      <c r="AP5053" s="2">
        <v>11</v>
      </c>
      <c r="AQ5053" s="2" t="s">
        <v>82</v>
      </c>
      <c r="AR5053" s="2"/>
      <c r="AS5053" s="2"/>
      <c r="AT5053" s="2" t="s">
        <v>15472</v>
      </c>
      <c r="AU5053" s="2">
        <v>1</v>
      </c>
      <c r="AV5053" s="2"/>
      <c r="AW5053" s="2"/>
      <c r="AX5053" s="2"/>
      <c r="AY5053" s="2">
        <v>41</v>
      </c>
      <c r="AZ5053" s="2" t="s">
        <v>82</v>
      </c>
      <c r="BA5053" s="2">
        <v>41</v>
      </c>
      <c r="BB5053" s="2" t="s">
        <v>82</v>
      </c>
      <c r="BC5053" s="2">
        <v>41</v>
      </c>
      <c r="BD5053" s="2" t="s">
        <v>82</v>
      </c>
      <c r="BE5053" s="2">
        <v>13</v>
      </c>
      <c r="BF5053" s="2" t="s">
        <v>108</v>
      </c>
      <c r="BG5053" s="2" t="s">
        <v>15453</v>
      </c>
      <c r="BH5053" s="2"/>
      <c r="BI5053" s="4">
        <v>0.51041666666666663</v>
      </c>
      <c r="BJ5053" s="2">
        <v>13</v>
      </c>
      <c r="BK5053" s="2" t="s">
        <v>91</v>
      </c>
      <c r="BL5053" s="2" t="s">
        <v>185</v>
      </c>
      <c r="BM5053" s="2">
        <v>13</v>
      </c>
      <c r="BN5053" s="2" t="s">
        <v>91</v>
      </c>
      <c r="BO5053" s="2"/>
      <c r="BP5053" s="2">
        <v>13</v>
      </c>
      <c r="BQ5053" s="2" t="s">
        <v>91</v>
      </c>
      <c r="BR5053" s="2" t="s">
        <v>15454</v>
      </c>
      <c r="BS5053" s="3">
        <v>40521</v>
      </c>
      <c r="BT5053" s="4">
        <v>0.92275462962962962</v>
      </c>
    </row>
    <row r="5054" spans="1:72" x14ac:dyDescent="0.25">
      <c r="A5054" s="2">
        <v>7837</v>
      </c>
      <c r="B5054" s="2">
        <v>2010</v>
      </c>
      <c r="C5054" s="2" t="s">
        <v>819</v>
      </c>
      <c r="D5054" s="2" t="s">
        <v>73</v>
      </c>
      <c r="E5054" s="2"/>
      <c r="F5054" s="2">
        <v>400</v>
      </c>
      <c r="G5054" s="2" t="s">
        <v>3601</v>
      </c>
      <c r="H5054" s="2">
        <v>16</v>
      </c>
      <c r="I5054" s="2" t="s">
        <v>3027</v>
      </c>
      <c r="J5054" s="2">
        <v>316</v>
      </c>
      <c r="K5054" s="2" t="s">
        <v>574</v>
      </c>
      <c r="L5054" s="2" t="s">
        <v>575</v>
      </c>
      <c r="M5054" s="3">
        <v>40522</v>
      </c>
      <c r="N5054" s="2" t="s">
        <v>15473</v>
      </c>
      <c r="O5054" s="2"/>
      <c r="P5054" s="2"/>
      <c r="Q5054" s="2" t="str">
        <f>"666-E/10"</f>
        <v>666-E/10</v>
      </c>
      <c r="R5054" s="2"/>
      <c r="S5054" s="2" t="s">
        <v>15474</v>
      </c>
      <c r="T5054" s="2">
        <v>1</v>
      </c>
      <c r="U5054" s="2" t="s">
        <v>79</v>
      </c>
      <c r="V5054" s="2">
        <v>1</v>
      </c>
      <c r="W5054" s="2" t="s">
        <v>80</v>
      </c>
      <c r="X5054" s="2">
        <v>1</v>
      </c>
      <c r="Y5054" s="2" t="s">
        <v>81</v>
      </c>
      <c r="Z5054" s="2">
        <v>1</v>
      </c>
      <c r="AA5054" s="2" t="s">
        <v>82</v>
      </c>
      <c r="AB5054" s="2">
        <v>9</v>
      </c>
      <c r="AC5054" s="2" t="s">
        <v>124</v>
      </c>
      <c r="AD5054" s="3">
        <v>40521</v>
      </c>
      <c r="AE5054" s="4">
        <v>0.80555555555555547</v>
      </c>
      <c r="AF5054" s="3">
        <v>40521</v>
      </c>
      <c r="AG5054" s="4">
        <v>0.9375</v>
      </c>
      <c r="AH5054" s="2">
        <v>2</v>
      </c>
      <c r="AI5054" s="2" t="s">
        <v>84</v>
      </c>
      <c r="AJ5054" s="2">
        <v>9</v>
      </c>
      <c r="AK5054" s="2" t="s">
        <v>103</v>
      </c>
      <c r="AL5054" s="2">
        <v>11</v>
      </c>
      <c r="AM5054" s="2" t="s">
        <v>137</v>
      </c>
      <c r="AN5054" s="2" t="s">
        <v>1340</v>
      </c>
      <c r="AO5054" s="2" t="s">
        <v>987</v>
      </c>
      <c r="AP5054" s="2">
        <v>11</v>
      </c>
      <c r="AQ5054" s="2" t="s">
        <v>82</v>
      </c>
      <c r="AR5054" s="2"/>
      <c r="AS5054" s="2"/>
      <c r="AT5054" s="2" t="s">
        <v>15475</v>
      </c>
      <c r="AU5054" s="2"/>
      <c r="AV5054" s="2"/>
      <c r="AW5054" s="2"/>
      <c r="AX5054" s="2"/>
      <c r="AY5054" s="2">
        <v>41</v>
      </c>
      <c r="AZ5054" s="2" t="s">
        <v>82</v>
      </c>
      <c r="BA5054" s="2">
        <v>41</v>
      </c>
      <c r="BB5054" s="2" t="s">
        <v>82</v>
      </c>
      <c r="BC5054" s="2">
        <v>41</v>
      </c>
      <c r="BD5054" s="2" t="s">
        <v>82</v>
      </c>
      <c r="BE5054" s="2">
        <v>35</v>
      </c>
      <c r="BF5054" s="2" t="s">
        <v>5816</v>
      </c>
      <c r="BG5054" s="2" t="s">
        <v>8151</v>
      </c>
      <c r="BH5054" s="2"/>
      <c r="BI5054" s="2"/>
      <c r="BJ5054" s="2">
        <v>13</v>
      </c>
      <c r="BK5054" s="2" t="s">
        <v>91</v>
      </c>
      <c r="BL5054" s="2" t="s">
        <v>360</v>
      </c>
      <c r="BM5054" s="2">
        <v>172</v>
      </c>
      <c r="BN5054" s="2" t="s">
        <v>843</v>
      </c>
      <c r="BO5054" s="2"/>
      <c r="BP5054" s="2">
        <v>172</v>
      </c>
      <c r="BQ5054" s="2" t="s">
        <v>843</v>
      </c>
      <c r="BR5054" s="2" t="s">
        <v>844</v>
      </c>
      <c r="BS5054" s="3">
        <v>40522</v>
      </c>
      <c r="BT5054" s="4">
        <v>6.3796296296296295E-2</v>
      </c>
    </row>
    <row r="5055" spans="1:72" x14ac:dyDescent="0.25">
      <c r="A5055" s="2">
        <v>7838</v>
      </c>
      <c r="B5055" s="2">
        <v>2010</v>
      </c>
      <c r="C5055" s="2" t="s">
        <v>4543</v>
      </c>
      <c r="D5055" s="2" t="s">
        <v>122</v>
      </c>
      <c r="E5055" s="2"/>
      <c r="F5055" s="2">
        <v>1</v>
      </c>
      <c r="G5055" s="2" t="s">
        <v>82</v>
      </c>
      <c r="H5055" s="2">
        <v>1</v>
      </c>
      <c r="I5055" s="2" t="s">
        <v>82</v>
      </c>
      <c r="J5055" s="2">
        <v>1</v>
      </c>
      <c r="K5055" s="2" t="s">
        <v>107</v>
      </c>
      <c r="L5055" s="2" t="s">
        <v>107</v>
      </c>
      <c r="M5055" s="3">
        <v>40522</v>
      </c>
      <c r="N5055" s="2"/>
      <c r="O5055" s="2"/>
      <c r="P5055" s="2"/>
      <c r="Q5055" s="2" t="str">
        <f>""</f>
        <v/>
      </c>
      <c r="R5055" s="2"/>
      <c r="S5055" s="2"/>
      <c r="T5055" s="2">
        <v>2</v>
      </c>
      <c r="U5055" s="2" t="s">
        <v>123</v>
      </c>
      <c r="V5055" s="2">
        <v>1</v>
      </c>
      <c r="W5055" s="2" t="s">
        <v>80</v>
      </c>
      <c r="X5055" s="2">
        <v>11</v>
      </c>
      <c r="Y5055" s="2" t="s">
        <v>1920</v>
      </c>
      <c r="Z5055" s="2">
        <v>1</v>
      </c>
      <c r="AA5055" s="2" t="s">
        <v>82</v>
      </c>
      <c r="AB5055" s="2">
        <v>9</v>
      </c>
      <c r="AC5055" s="2" t="s">
        <v>124</v>
      </c>
      <c r="AD5055" s="3">
        <v>40522</v>
      </c>
      <c r="AE5055" s="4">
        <v>0.37777777777777777</v>
      </c>
      <c r="AF5055" s="3">
        <v>40522</v>
      </c>
      <c r="AG5055" s="4">
        <v>0.37777777777777777</v>
      </c>
      <c r="AH5055" s="2">
        <v>6</v>
      </c>
      <c r="AI5055" s="2" t="s">
        <v>197</v>
      </c>
      <c r="AJ5055" s="2">
        <v>54</v>
      </c>
      <c r="AK5055" s="2" t="s">
        <v>348</v>
      </c>
      <c r="AL5055" s="2">
        <v>10</v>
      </c>
      <c r="AM5055" s="2" t="s">
        <v>200</v>
      </c>
      <c r="AN5055" s="2"/>
      <c r="AO5055" s="2" t="s">
        <v>15476</v>
      </c>
      <c r="AP5055" s="2">
        <v>12</v>
      </c>
      <c r="AQ5055" s="2" t="s">
        <v>322</v>
      </c>
      <c r="AR5055" s="2" t="s">
        <v>596</v>
      </c>
      <c r="AS5055" s="2" t="s">
        <v>596</v>
      </c>
      <c r="AT5055" s="2" t="s">
        <v>15477</v>
      </c>
      <c r="AU5055" s="2"/>
      <c r="AV5055" s="2"/>
      <c r="AW5055" s="2"/>
      <c r="AX5055" s="2"/>
      <c r="AY5055" s="2">
        <v>41</v>
      </c>
      <c r="AZ5055" s="2" t="s">
        <v>82</v>
      </c>
      <c r="BA5055" s="2">
        <v>41</v>
      </c>
      <c r="BB5055" s="2" t="s">
        <v>82</v>
      </c>
      <c r="BC5055" s="2">
        <v>41</v>
      </c>
      <c r="BD5055" s="2" t="s">
        <v>82</v>
      </c>
      <c r="BE5055" s="2">
        <v>47</v>
      </c>
      <c r="BF5055" s="2" t="s">
        <v>167</v>
      </c>
      <c r="BG5055" s="2" t="s">
        <v>1165</v>
      </c>
      <c r="BH5055" s="2"/>
      <c r="BI5055" s="4">
        <v>0.34861111111111115</v>
      </c>
      <c r="BJ5055" s="2">
        <v>13</v>
      </c>
      <c r="BK5055" s="2" t="s">
        <v>91</v>
      </c>
      <c r="BL5055" s="2" t="s">
        <v>2769</v>
      </c>
      <c r="BM5055" s="2">
        <v>13</v>
      </c>
      <c r="BN5055" s="2" t="s">
        <v>91</v>
      </c>
      <c r="BO5055" s="2"/>
      <c r="BP5055" s="2">
        <v>13</v>
      </c>
      <c r="BQ5055" s="2" t="s">
        <v>91</v>
      </c>
      <c r="BR5055" s="2" t="s">
        <v>2168</v>
      </c>
      <c r="BS5055" s="3">
        <v>40522</v>
      </c>
      <c r="BT5055" s="4">
        <v>0.39486111111111111</v>
      </c>
    </row>
    <row r="5056" spans="1:72" x14ac:dyDescent="0.25">
      <c r="A5056" s="2">
        <v>7841</v>
      </c>
      <c r="B5056" s="2">
        <v>2010</v>
      </c>
      <c r="C5056" s="2" t="s">
        <v>72</v>
      </c>
      <c r="D5056" s="2" t="s">
        <v>122</v>
      </c>
      <c r="E5056" s="2" t="s">
        <v>15478</v>
      </c>
      <c r="F5056" s="2">
        <v>111</v>
      </c>
      <c r="G5056" s="2" t="s">
        <v>2339</v>
      </c>
      <c r="H5056" s="2">
        <v>1</v>
      </c>
      <c r="I5056" s="2" t="s">
        <v>82</v>
      </c>
      <c r="J5056" s="2">
        <v>63</v>
      </c>
      <c r="K5056" s="2" t="s">
        <v>13190</v>
      </c>
      <c r="L5056" s="2" t="s">
        <v>15015</v>
      </c>
      <c r="M5056" s="3">
        <v>40522</v>
      </c>
      <c r="N5056" s="2" t="s">
        <v>82</v>
      </c>
      <c r="O5056" s="2" t="s">
        <v>15479</v>
      </c>
      <c r="P5056" s="2">
        <v>28550</v>
      </c>
      <c r="Q5056" s="2" t="str">
        <f>"0008/2010"</f>
        <v>0008/2010</v>
      </c>
      <c r="R5056" s="2" t="s">
        <v>15480</v>
      </c>
      <c r="S5056" s="2" t="s">
        <v>15016</v>
      </c>
      <c r="T5056" s="2">
        <v>1</v>
      </c>
      <c r="U5056" s="2" t="s">
        <v>79</v>
      </c>
      <c r="V5056" s="2">
        <v>1</v>
      </c>
      <c r="W5056" s="2" t="s">
        <v>80</v>
      </c>
      <c r="X5056" s="2">
        <v>12</v>
      </c>
      <c r="Y5056" s="2" t="s">
        <v>148</v>
      </c>
      <c r="Z5056" s="2">
        <v>1</v>
      </c>
      <c r="AA5056" s="2" t="s">
        <v>82</v>
      </c>
      <c r="AB5056" s="2">
        <v>6</v>
      </c>
      <c r="AC5056" s="2" t="s">
        <v>83</v>
      </c>
      <c r="AD5056" s="3">
        <v>40510</v>
      </c>
      <c r="AE5056" s="4">
        <v>0.72916666666666663</v>
      </c>
      <c r="AF5056" s="3">
        <v>40510</v>
      </c>
      <c r="AG5056" s="4">
        <v>0.82638888888888884</v>
      </c>
      <c r="AH5056" s="2">
        <v>6</v>
      </c>
      <c r="AI5056" s="2" t="s">
        <v>197</v>
      </c>
      <c r="AJ5056" s="2">
        <v>57</v>
      </c>
      <c r="AK5056" s="2" t="s">
        <v>2344</v>
      </c>
      <c r="AL5056" s="2">
        <v>24</v>
      </c>
      <c r="AM5056" s="2" t="s">
        <v>1540</v>
      </c>
      <c r="AN5056" s="2" t="s">
        <v>15481</v>
      </c>
      <c r="AO5056" s="2"/>
      <c r="AP5056" s="2">
        <v>11</v>
      </c>
      <c r="AQ5056" s="2" t="s">
        <v>82</v>
      </c>
      <c r="AR5056" s="2"/>
      <c r="AS5056" s="2"/>
      <c r="AT5056" s="2" t="s">
        <v>15482</v>
      </c>
      <c r="AU5056" s="2"/>
      <c r="AV5056" s="2"/>
      <c r="AW5056" s="2"/>
      <c r="AX5056" s="2"/>
      <c r="AY5056" s="2">
        <v>41</v>
      </c>
      <c r="AZ5056" s="2" t="s">
        <v>82</v>
      </c>
      <c r="BA5056" s="2">
        <v>41</v>
      </c>
      <c r="BB5056" s="2" t="s">
        <v>82</v>
      </c>
      <c r="BC5056" s="2">
        <v>41</v>
      </c>
      <c r="BD5056" s="2" t="s">
        <v>82</v>
      </c>
      <c r="BE5056" s="2">
        <v>41</v>
      </c>
      <c r="BF5056" s="2" t="s">
        <v>82</v>
      </c>
      <c r="BG5056" s="2"/>
      <c r="BH5056" s="2"/>
      <c r="BI5056" s="2"/>
      <c r="BJ5056" s="2">
        <v>241</v>
      </c>
      <c r="BK5056" s="2" t="s">
        <v>82</v>
      </c>
      <c r="BL5056" s="2"/>
      <c r="BM5056" s="2">
        <v>241</v>
      </c>
      <c r="BN5056" s="2" t="s">
        <v>82</v>
      </c>
      <c r="BO5056" s="2"/>
      <c r="BP5056" s="2">
        <v>241</v>
      </c>
      <c r="BQ5056" s="2" t="s">
        <v>82</v>
      </c>
      <c r="BR5056" s="2"/>
      <c r="BS5056" s="3">
        <v>40522</v>
      </c>
      <c r="BT5056" s="4">
        <v>0.47881944444444446</v>
      </c>
    </row>
    <row r="5057" spans="1:72" x14ac:dyDescent="0.25">
      <c r="A5057" s="2">
        <v>7842</v>
      </c>
      <c r="B5057" s="2">
        <v>2010</v>
      </c>
      <c r="C5057" s="2" t="s">
        <v>243</v>
      </c>
      <c r="D5057" s="2" t="s">
        <v>73</v>
      </c>
      <c r="E5057" s="2" t="s">
        <v>15483</v>
      </c>
      <c r="F5057" s="2">
        <v>339</v>
      </c>
      <c r="G5057" s="2" t="s">
        <v>15484</v>
      </c>
      <c r="H5057" s="2">
        <v>1</v>
      </c>
      <c r="I5057" s="2" t="s">
        <v>82</v>
      </c>
      <c r="J5057" s="2">
        <v>497</v>
      </c>
      <c r="K5057" s="2" t="s">
        <v>15485</v>
      </c>
      <c r="L5057" s="2" t="s">
        <v>946</v>
      </c>
      <c r="M5057" s="3">
        <v>40522</v>
      </c>
      <c r="N5057" s="2"/>
      <c r="O5057" s="2" t="s">
        <v>15187</v>
      </c>
      <c r="P5057" s="2" t="s">
        <v>15486</v>
      </c>
      <c r="Q5057" s="2" t="str">
        <f>"0029/2010"</f>
        <v>0029/2010</v>
      </c>
      <c r="R5057" s="2"/>
      <c r="S5057" s="2"/>
      <c r="T5057" s="2">
        <v>1</v>
      </c>
      <c r="U5057" s="2" t="s">
        <v>79</v>
      </c>
      <c r="V5057" s="2">
        <v>3</v>
      </c>
      <c r="W5057" s="2" t="s">
        <v>225</v>
      </c>
      <c r="X5057" s="2">
        <v>6</v>
      </c>
      <c r="Y5057" s="2" t="s">
        <v>249</v>
      </c>
      <c r="Z5057" s="2">
        <v>1</v>
      </c>
      <c r="AA5057" s="2" t="s">
        <v>82</v>
      </c>
      <c r="AB5057" s="2">
        <v>9</v>
      </c>
      <c r="AC5057" s="2" t="s">
        <v>124</v>
      </c>
      <c r="AD5057" s="2"/>
      <c r="AE5057" s="2"/>
      <c r="AF5057" s="3">
        <v>40515</v>
      </c>
      <c r="AG5057" s="4">
        <v>0.41666666666666669</v>
      </c>
      <c r="AH5057" s="2">
        <v>5</v>
      </c>
      <c r="AI5057" s="2" t="s">
        <v>274</v>
      </c>
      <c r="AJ5057" s="2">
        <v>35</v>
      </c>
      <c r="AK5057" s="2" t="s">
        <v>275</v>
      </c>
      <c r="AL5057" s="2">
        <v>23</v>
      </c>
      <c r="AM5057" s="2" t="s">
        <v>251</v>
      </c>
      <c r="AN5057" s="2"/>
      <c r="AO5057" s="2" t="s">
        <v>15487</v>
      </c>
      <c r="AP5057" s="2">
        <v>11</v>
      </c>
      <c r="AQ5057" s="2" t="s">
        <v>82</v>
      </c>
      <c r="AR5057" s="2"/>
      <c r="AS5057" s="2"/>
      <c r="AT5057" s="2" t="s">
        <v>15488</v>
      </c>
      <c r="AU5057" s="2"/>
      <c r="AV5057" s="2"/>
      <c r="AW5057" s="2"/>
      <c r="AX5057" s="2"/>
      <c r="AY5057" s="2">
        <v>41</v>
      </c>
      <c r="AZ5057" s="2" t="s">
        <v>82</v>
      </c>
      <c r="BA5057" s="2">
        <v>41</v>
      </c>
      <c r="BB5057" s="2" t="s">
        <v>82</v>
      </c>
      <c r="BC5057" s="2">
        <v>41</v>
      </c>
      <c r="BD5057" s="2" t="s">
        <v>82</v>
      </c>
      <c r="BE5057" s="2">
        <v>41</v>
      </c>
      <c r="BF5057" s="2" t="s">
        <v>82</v>
      </c>
      <c r="BG5057" s="2"/>
      <c r="BH5057" s="2"/>
      <c r="BI5057" s="2"/>
      <c r="BJ5057" s="2">
        <v>241</v>
      </c>
      <c r="BK5057" s="2" t="s">
        <v>82</v>
      </c>
      <c r="BL5057" s="2"/>
      <c r="BM5057" s="2">
        <v>241</v>
      </c>
      <c r="BN5057" s="2" t="s">
        <v>82</v>
      </c>
      <c r="BO5057" s="2"/>
      <c r="BP5057" s="2">
        <v>241</v>
      </c>
      <c r="BQ5057" s="2" t="s">
        <v>82</v>
      </c>
      <c r="BR5057" s="2"/>
      <c r="BS5057" s="3">
        <v>40522</v>
      </c>
      <c r="BT5057" s="4">
        <v>0.49862268518518515</v>
      </c>
    </row>
    <row r="5058" spans="1:72" x14ac:dyDescent="0.25">
      <c r="A5058" s="2">
        <v>7844</v>
      </c>
      <c r="B5058" s="2">
        <v>2010</v>
      </c>
      <c r="C5058" s="2" t="s">
        <v>1017</v>
      </c>
      <c r="D5058" s="2" t="s">
        <v>122</v>
      </c>
      <c r="E5058" s="2" t="s">
        <v>15489</v>
      </c>
      <c r="F5058" s="2">
        <v>451</v>
      </c>
      <c r="G5058" s="2" t="s">
        <v>879</v>
      </c>
      <c r="H5058" s="2">
        <v>31</v>
      </c>
      <c r="I5058" s="2" t="s">
        <v>880</v>
      </c>
      <c r="J5058" s="2">
        <v>326</v>
      </c>
      <c r="K5058" s="2" t="s">
        <v>881</v>
      </c>
      <c r="L5058" s="2" t="s">
        <v>882</v>
      </c>
      <c r="M5058" s="3">
        <v>40522</v>
      </c>
      <c r="N5058" s="2" t="s">
        <v>1072</v>
      </c>
      <c r="O5058" s="2"/>
      <c r="P5058" s="2"/>
      <c r="Q5058" s="2" t="str">
        <f>"116/10"</f>
        <v>116/10</v>
      </c>
      <c r="R5058" s="2" t="s">
        <v>822</v>
      </c>
      <c r="S5058" s="2" t="s">
        <v>3718</v>
      </c>
      <c r="T5058" s="2">
        <v>1</v>
      </c>
      <c r="U5058" s="2" t="s">
        <v>79</v>
      </c>
      <c r="V5058" s="2">
        <v>1</v>
      </c>
      <c r="W5058" s="2" t="s">
        <v>80</v>
      </c>
      <c r="X5058" s="2">
        <v>1</v>
      </c>
      <c r="Y5058" s="2" t="s">
        <v>81</v>
      </c>
      <c r="Z5058" s="2">
        <v>1</v>
      </c>
      <c r="AA5058" s="2" t="s">
        <v>82</v>
      </c>
      <c r="AB5058" s="2">
        <v>7</v>
      </c>
      <c r="AC5058" s="2" t="s">
        <v>1023</v>
      </c>
      <c r="AD5058" s="3">
        <v>40518</v>
      </c>
      <c r="AE5058" s="4">
        <v>0.40625</v>
      </c>
      <c r="AF5058" s="3">
        <v>40522</v>
      </c>
      <c r="AG5058" s="4">
        <v>0.4375</v>
      </c>
      <c r="AH5058" s="2">
        <v>4</v>
      </c>
      <c r="AI5058" s="2" t="s">
        <v>125</v>
      </c>
      <c r="AJ5058" s="2">
        <v>29</v>
      </c>
      <c r="AK5058" s="2" t="s">
        <v>227</v>
      </c>
      <c r="AL5058" s="2">
        <v>23</v>
      </c>
      <c r="AM5058" s="2" t="s">
        <v>251</v>
      </c>
      <c r="AN5058" s="2" t="s">
        <v>15490</v>
      </c>
      <c r="AO5058" s="2" t="s">
        <v>7578</v>
      </c>
      <c r="AP5058" s="2">
        <v>11</v>
      </c>
      <c r="AQ5058" s="2" t="s">
        <v>82</v>
      </c>
      <c r="AR5058" s="2"/>
      <c r="AS5058" s="2"/>
      <c r="AT5058" s="2" t="s">
        <v>15491</v>
      </c>
      <c r="AU5058" s="2"/>
      <c r="AV5058" s="2"/>
      <c r="AW5058" s="2"/>
      <c r="AX5058" s="2"/>
      <c r="AY5058" s="2">
        <v>41</v>
      </c>
      <c r="AZ5058" s="2" t="s">
        <v>82</v>
      </c>
      <c r="BA5058" s="2">
        <v>41</v>
      </c>
      <c r="BB5058" s="2" t="s">
        <v>82</v>
      </c>
      <c r="BC5058" s="2">
        <v>41</v>
      </c>
      <c r="BD5058" s="2" t="s">
        <v>82</v>
      </c>
      <c r="BE5058" s="2">
        <v>13</v>
      </c>
      <c r="BF5058" s="2" t="s">
        <v>108</v>
      </c>
      <c r="BG5058" s="2">
        <v>1451</v>
      </c>
      <c r="BH5058" s="4">
        <v>0.375</v>
      </c>
      <c r="BI5058" s="4">
        <v>0.40972222222222227</v>
      </c>
      <c r="BJ5058" s="2">
        <v>13</v>
      </c>
      <c r="BK5058" s="2" t="s">
        <v>91</v>
      </c>
      <c r="BL5058" s="2" t="s">
        <v>828</v>
      </c>
      <c r="BM5058" s="2">
        <v>13</v>
      </c>
      <c r="BN5058" s="2" t="s">
        <v>91</v>
      </c>
      <c r="BO5058" s="2"/>
      <c r="BP5058" s="2">
        <v>13</v>
      </c>
      <c r="BQ5058" s="2" t="s">
        <v>91</v>
      </c>
      <c r="BR5058" s="2" t="s">
        <v>185</v>
      </c>
      <c r="BS5058" s="3">
        <v>40522</v>
      </c>
      <c r="BT5058" s="4">
        <v>0.53721064814814812</v>
      </c>
    </row>
    <row r="5059" spans="1:72" x14ac:dyDescent="0.25">
      <c r="A5059" s="2">
        <v>7846</v>
      </c>
      <c r="B5059" s="2">
        <v>2010</v>
      </c>
      <c r="C5059" s="2" t="s">
        <v>171</v>
      </c>
      <c r="D5059" s="2" t="s">
        <v>122</v>
      </c>
      <c r="E5059" s="2" t="s">
        <v>15492</v>
      </c>
      <c r="F5059" s="2">
        <v>337</v>
      </c>
      <c r="G5059" s="2" t="s">
        <v>1190</v>
      </c>
      <c r="H5059" s="2">
        <v>66</v>
      </c>
      <c r="I5059" s="2" t="s">
        <v>3190</v>
      </c>
      <c r="J5059" s="2">
        <v>309</v>
      </c>
      <c r="K5059" s="2" t="s">
        <v>268</v>
      </c>
      <c r="L5059" s="2" t="s">
        <v>269</v>
      </c>
      <c r="M5059" s="3">
        <v>40522</v>
      </c>
      <c r="N5059" s="2" t="s">
        <v>1192</v>
      </c>
      <c r="O5059" s="2" t="s">
        <v>15297</v>
      </c>
      <c r="P5059" s="2" t="s">
        <v>15493</v>
      </c>
      <c r="Q5059" s="2" t="str">
        <f>"0027/2010"</f>
        <v>0027/2010</v>
      </c>
      <c r="R5059" s="2"/>
      <c r="S5059" s="2"/>
      <c r="T5059" s="2">
        <v>1</v>
      </c>
      <c r="U5059" s="2" t="s">
        <v>79</v>
      </c>
      <c r="V5059" s="2">
        <v>3</v>
      </c>
      <c r="W5059" s="2" t="s">
        <v>225</v>
      </c>
      <c r="X5059" s="2">
        <v>6</v>
      </c>
      <c r="Y5059" s="2" t="s">
        <v>249</v>
      </c>
      <c r="Z5059" s="2">
        <v>1</v>
      </c>
      <c r="AA5059" s="2" t="s">
        <v>82</v>
      </c>
      <c r="AB5059" s="2">
        <v>9</v>
      </c>
      <c r="AC5059" s="2" t="s">
        <v>124</v>
      </c>
      <c r="AD5059" s="3">
        <v>40518</v>
      </c>
      <c r="AE5059" s="2"/>
      <c r="AF5059" s="3">
        <v>40522</v>
      </c>
      <c r="AG5059" s="4">
        <v>0.46875</v>
      </c>
      <c r="AH5059" s="2">
        <v>5</v>
      </c>
      <c r="AI5059" s="2" t="s">
        <v>274</v>
      </c>
      <c r="AJ5059" s="2">
        <v>35</v>
      </c>
      <c r="AK5059" s="2" t="s">
        <v>275</v>
      </c>
      <c r="AL5059" s="2">
        <v>23</v>
      </c>
      <c r="AM5059" s="2" t="s">
        <v>251</v>
      </c>
      <c r="AN5059" s="2"/>
      <c r="AO5059" s="2" t="s">
        <v>15299</v>
      </c>
      <c r="AP5059" s="2">
        <v>11</v>
      </c>
      <c r="AQ5059" s="2" t="s">
        <v>82</v>
      </c>
      <c r="AR5059" s="2"/>
      <c r="AS5059" s="2"/>
      <c r="AT5059" s="2" t="s">
        <v>15494</v>
      </c>
      <c r="AU5059" s="2"/>
      <c r="AV5059" s="2"/>
      <c r="AW5059" s="2"/>
      <c r="AX5059" s="2"/>
      <c r="AY5059" s="2">
        <v>41</v>
      </c>
      <c r="AZ5059" s="2" t="s">
        <v>82</v>
      </c>
      <c r="BA5059" s="2">
        <v>41</v>
      </c>
      <c r="BB5059" s="2" t="s">
        <v>82</v>
      </c>
      <c r="BC5059" s="2">
        <v>41</v>
      </c>
      <c r="BD5059" s="2" t="s">
        <v>82</v>
      </c>
      <c r="BE5059" s="2">
        <v>41</v>
      </c>
      <c r="BF5059" s="2" t="s">
        <v>82</v>
      </c>
      <c r="BG5059" s="2"/>
      <c r="BH5059" s="2"/>
      <c r="BI5059" s="2"/>
      <c r="BJ5059" s="2">
        <v>241</v>
      </c>
      <c r="BK5059" s="2" t="s">
        <v>82</v>
      </c>
      <c r="BL5059" s="2"/>
      <c r="BM5059" s="2">
        <v>241</v>
      </c>
      <c r="BN5059" s="2" t="s">
        <v>82</v>
      </c>
      <c r="BO5059" s="2"/>
      <c r="BP5059" s="2">
        <v>241</v>
      </c>
      <c r="BQ5059" s="2" t="s">
        <v>82</v>
      </c>
      <c r="BR5059" s="2"/>
      <c r="BS5059" s="3">
        <v>40522</v>
      </c>
      <c r="BT5059" s="4">
        <v>0.56077546296296299</v>
      </c>
    </row>
    <row r="5060" spans="1:72" x14ac:dyDescent="0.25">
      <c r="A5060" s="2">
        <v>7850</v>
      </c>
      <c r="B5060" s="2">
        <v>2010</v>
      </c>
      <c r="C5060" s="2" t="s">
        <v>763</v>
      </c>
      <c r="D5060" s="2" t="s">
        <v>122</v>
      </c>
      <c r="E5060" s="2" t="s">
        <v>15495</v>
      </c>
      <c r="F5060" s="2">
        <v>477</v>
      </c>
      <c r="G5060" s="2" t="s">
        <v>1300</v>
      </c>
      <c r="H5060" s="2">
        <v>108</v>
      </c>
      <c r="I5060" s="2" t="s">
        <v>1096</v>
      </c>
      <c r="J5060" s="2">
        <v>383</v>
      </c>
      <c r="K5060" s="2" t="s">
        <v>1301</v>
      </c>
      <c r="L5060" s="2" t="s">
        <v>1302</v>
      </c>
      <c r="M5060" s="3">
        <v>40522</v>
      </c>
      <c r="N5060" s="2" t="s">
        <v>15302</v>
      </c>
      <c r="O5060" s="2" t="s">
        <v>15303</v>
      </c>
      <c r="P5060" s="2" t="s">
        <v>15304</v>
      </c>
      <c r="Q5060" s="2" t="str">
        <f>""</f>
        <v/>
      </c>
      <c r="R5060" s="2"/>
      <c r="S5060" s="2"/>
      <c r="T5060" s="2">
        <v>1</v>
      </c>
      <c r="U5060" s="2" t="s">
        <v>79</v>
      </c>
      <c r="V5060" s="2">
        <v>1</v>
      </c>
      <c r="W5060" s="2" t="s">
        <v>80</v>
      </c>
      <c r="X5060" s="2">
        <v>5</v>
      </c>
      <c r="Y5060" s="2" t="s">
        <v>82</v>
      </c>
      <c r="Z5060" s="2">
        <v>1</v>
      </c>
      <c r="AA5060" s="2" t="s">
        <v>82</v>
      </c>
      <c r="AB5060" s="2">
        <v>9</v>
      </c>
      <c r="AC5060" s="2" t="s">
        <v>124</v>
      </c>
      <c r="AD5060" s="3">
        <v>40519</v>
      </c>
      <c r="AE5060" s="4">
        <v>0.59722222222222221</v>
      </c>
      <c r="AF5060" s="3">
        <v>40522</v>
      </c>
      <c r="AG5060" s="4">
        <v>0.58680555555555558</v>
      </c>
      <c r="AH5060" s="2">
        <v>4</v>
      </c>
      <c r="AI5060" s="2" t="s">
        <v>125</v>
      </c>
      <c r="AJ5060" s="2">
        <v>29</v>
      </c>
      <c r="AK5060" s="2" t="s">
        <v>227</v>
      </c>
      <c r="AL5060" s="2">
        <v>23</v>
      </c>
      <c r="AM5060" s="2" t="s">
        <v>251</v>
      </c>
      <c r="AN5060" s="2"/>
      <c r="AO5060" s="2"/>
      <c r="AP5060" s="2">
        <v>11</v>
      </c>
      <c r="AQ5060" s="2" t="s">
        <v>82</v>
      </c>
      <c r="AR5060" s="2"/>
      <c r="AS5060" s="2"/>
      <c r="AT5060" s="2" t="s">
        <v>15496</v>
      </c>
      <c r="AU5060" s="2"/>
      <c r="AV5060" s="2"/>
      <c r="AW5060" s="2"/>
      <c r="AX5060" s="2"/>
      <c r="AY5060" s="2">
        <v>41</v>
      </c>
      <c r="AZ5060" s="2" t="s">
        <v>82</v>
      </c>
      <c r="BA5060" s="2">
        <v>41</v>
      </c>
      <c r="BB5060" s="2" t="s">
        <v>82</v>
      </c>
      <c r="BC5060" s="2">
        <v>41</v>
      </c>
      <c r="BD5060" s="2" t="s">
        <v>82</v>
      </c>
      <c r="BE5060" s="2">
        <v>41</v>
      </c>
      <c r="BF5060" s="2" t="s">
        <v>82</v>
      </c>
      <c r="BG5060" s="2"/>
      <c r="BH5060" s="2"/>
      <c r="BI5060" s="2"/>
      <c r="BJ5060" s="2">
        <v>241</v>
      </c>
      <c r="BK5060" s="2" t="s">
        <v>82</v>
      </c>
      <c r="BL5060" s="2"/>
      <c r="BM5060" s="2">
        <v>241</v>
      </c>
      <c r="BN5060" s="2" t="s">
        <v>82</v>
      </c>
      <c r="BO5060" s="2"/>
      <c r="BP5060" s="2">
        <v>241</v>
      </c>
      <c r="BQ5060" s="2" t="s">
        <v>82</v>
      </c>
      <c r="BR5060" s="2"/>
      <c r="BS5060" s="3">
        <v>40522</v>
      </c>
      <c r="BT5060" s="4">
        <v>0.61201388888888886</v>
      </c>
    </row>
    <row r="5061" spans="1:72" x14ac:dyDescent="0.25">
      <c r="A5061" s="2">
        <v>7852</v>
      </c>
      <c r="B5061" s="2">
        <v>2010</v>
      </c>
      <c r="C5061" s="2" t="s">
        <v>819</v>
      </c>
      <c r="D5061" s="2" t="s">
        <v>73</v>
      </c>
      <c r="E5061" s="2"/>
      <c r="F5061" s="2">
        <v>400</v>
      </c>
      <c r="G5061" s="2" t="s">
        <v>3601</v>
      </c>
      <c r="H5061" s="2">
        <v>17</v>
      </c>
      <c r="I5061" s="2" t="s">
        <v>3602</v>
      </c>
      <c r="J5061" s="2">
        <v>692</v>
      </c>
      <c r="K5061" s="2" t="s">
        <v>574</v>
      </c>
      <c r="L5061" s="2" t="s">
        <v>575</v>
      </c>
      <c r="M5061" s="3">
        <v>40522</v>
      </c>
      <c r="N5061" s="2" t="s">
        <v>5133</v>
      </c>
      <c r="O5061" s="2"/>
      <c r="P5061" s="2"/>
      <c r="Q5061" s="2" t="str">
        <f>"667-E/10"</f>
        <v>667-E/10</v>
      </c>
      <c r="R5061" s="2" t="s">
        <v>15497</v>
      </c>
      <c r="S5061" s="2"/>
      <c r="T5061" s="2">
        <v>1</v>
      </c>
      <c r="U5061" s="2" t="s">
        <v>79</v>
      </c>
      <c r="V5061" s="2">
        <v>1</v>
      </c>
      <c r="W5061" s="2" t="s">
        <v>80</v>
      </c>
      <c r="X5061" s="2">
        <v>1</v>
      </c>
      <c r="Y5061" s="2" t="s">
        <v>81</v>
      </c>
      <c r="Z5061" s="2">
        <v>1</v>
      </c>
      <c r="AA5061" s="2" t="s">
        <v>82</v>
      </c>
      <c r="AB5061" s="2">
        <v>9</v>
      </c>
      <c r="AC5061" s="2" t="s">
        <v>124</v>
      </c>
      <c r="AD5061" s="3">
        <v>40522</v>
      </c>
      <c r="AE5061" s="4">
        <v>0.24305555555555555</v>
      </c>
      <c r="AF5061" s="3">
        <v>40522</v>
      </c>
      <c r="AG5061" s="4">
        <v>0.4375</v>
      </c>
      <c r="AH5061" s="2">
        <v>2</v>
      </c>
      <c r="AI5061" s="2" t="s">
        <v>84</v>
      </c>
      <c r="AJ5061" s="2">
        <v>9</v>
      </c>
      <c r="AK5061" s="2" t="s">
        <v>103</v>
      </c>
      <c r="AL5061" s="2">
        <v>11</v>
      </c>
      <c r="AM5061" s="2" t="s">
        <v>137</v>
      </c>
      <c r="AN5061" s="2" t="s">
        <v>987</v>
      </c>
      <c r="AO5061" s="5">
        <v>42370</v>
      </c>
      <c r="AP5061" s="2">
        <v>11</v>
      </c>
      <c r="AQ5061" s="2" t="s">
        <v>82</v>
      </c>
      <c r="AR5061" s="2"/>
      <c r="AS5061" s="2"/>
      <c r="AT5061" s="2" t="s">
        <v>15498</v>
      </c>
      <c r="AU5061" s="2">
        <v>2</v>
      </c>
      <c r="AV5061" s="2"/>
      <c r="AW5061" s="2"/>
      <c r="AX5061" s="2"/>
      <c r="AY5061" s="2">
        <v>41</v>
      </c>
      <c r="AZ5061" s="2" t="s">
        <v>82</v>
      </c>
      <c r="BA5061" s="2">
        <v>41</v>
      </c>
      <c r="BB5061" s="2" t="s">
        <v>82</v>
      </c>
      <c r="BC5061" s="2">
        <v>41</v>
      </c>
      <c r="BD5061" s="2" t="s">
        <v>82</v>
      </c>
      <c r="BE5061" s="2">
        <v>24</v>
      </c>
      <c r="BF5061" s="2" t="s">
        <v>3513</v>
      </c>
      <c r="BG5061" s="2" t="s">
        <v>15499</v>
      </c>
      <c r="BH5061" s="2"/>
      <c r="BI5061" s="2"/>
      <c r="BJ5061" s="2">
        <v>13</v>
      </c>
      <c r="BK5061" s="2" t="s">
        <v>91</v>
      </c>
      <c r="BL5061" s="2" t="s">
        <v>360</v>
      </c>
      <c r="BM5061" s="2">
        <v>33</v>
      </c>
      <c r="BN5061" s="2" t="s">
        <v>361</v>
      </c>
      <c r="BO5061" s="2"/>
      <c r="BP5061" s="2">
        <v>33</v>
      </c>
      <c r="BQ5061" s="2" t="s">
        <v>361</v>
      </c>
      <c r="BR5061" s="2" t="s">
        <v>1706</v>
      </c>
      <c r="BS5061" s="3">
        <v>40522</v>
      </c>
      <c r="BT5061" s="4">
        <v>0.671875</v>
      </c>
    </row>
    <row r="5062" spans="1:72" x14ac:dyDescent="0.25">
      <c r="A5062" s="2">
        <v>7856</v>
      </c>
      <c r="B5062" s="2">
        <v>2010</v>
      </c>
      <c r="C5062" s="2" t="s">
        <v>1568</v>
      </c>
      <c r="D5062" s="2" t="s">
        <v>73</v>
      </c>
      <c r="E5062" s="2"/>
      <c r="F5062" s="2">
        <v>365</v>
      </c>
      <c r="G5062" s="2" t="s">
        <v>15500</v>
      </c>
      <c r="H5062" s="2">
        <v>149</v>
      </c>
      <c r="I5062" s="2" t="s">
        <v>14672</v>
      </c>
      <c r="J5062" s="2">
        <v>741</v>
      </c>
      <c r="K5062" s="2" t="s">
        <v>15501</v>
      </c>
      <c r="L5062" s="2" t="s">
        <v>15502</v>
      </c>
      <c r="M5062" s="3">
        <v>40522</v>
      </c>
      <c r="N5062" s="2" t="s">
        <v>15503</v>
      </c>
      <c r="O5062" s="2"/>
      <c r="P5062" s="2"/>
      <c r="Q5062" s="2" t="str">
        <f>"0018/2010"</f>
        <v>0018/2010</v>
      </c>
      <c r="R5062" s="2" t="s">
        <v>107</v>
      </c>
      <c r="S5062" s="2" t="s">
        <v>15504</v>
      </c>
      <c r="T5062" s="2">
        <v>1</v>
      </c>
      <c r="U5062" s="2" t="s">
        <v>79</v>
      </c>
      <c r="V5062" s="2">
        <v>1</v>
      </c>
      <c r="W5062" s="2" t="s">
        <v>80</v>
      </c>
      <c r="X5062" s="2">
        <v>1</v>
      </c>
      <c r="Y5062" s="2" t="s">
        <v>81</v>
      </c>
      <c r="Z5062" s="2">
        <v>1</v>
      </c>
      <c r="AA5062" s="2" t="s">
        <v>82</v>
      </c>
      <c r="AB5062" s="2">
        <v>4</v>
      </c>
      <c r="AC5062" s="2" t="s">
        <v>1569</v>
      </c>
      <c r="AD5062" s="3">
        <v>40522</v>
      </c>
      <c r="AE5062" s="4">
        <v>0.35069444444444442</v>
      </c>
      <c r="AF5062" s="3">
        <v>40522</v>
      </c>
      <c r="AG5062" s="4">
        <v>0.35416666666666669</v>
      </c>
      <c r="AH5062" s="2">
        <v>5</v>
      </c>
      <c r="AI5062" s="2" t="s">
        <v>274</v>
      </c>
      <c r="AJ5062" s="2">
        <v>45</v>
      </c>
      <c r="AK5062" s="2" t="s">
        <v>834</v>
      </c>
      <c r="AL5062" s="2">
        <v>22</v>
      </c>
      <c r="AM5062" s="2" t="s">
        <v>1853</v>
      </c>
      <c r="AN5062" s="2" t="s">
        <v>82</v>
      </c>
      <c r="AO5062" s="2" t="s">
        <v>15505</v>
      </c>
      <c r="AP5062" s="2">
        <v>11</v>
      </c>
      <c r="AQ5062" s="2" t="s">
        <v>82</v>
      </c>
      <c r="AR5062" s="2" t="s">
        <v>82</v>
      </c>
      <c r="AS5062" s="2" t="s">
        <v>82</v>
      </c>
      <c r="AT5062" s="2" t="s">
        <v>15506</v>
      </c>
      <c r="AU5062" s="2"/>
      <c r="AV5062" s="2"/>
      <c r="AW5062" s="2"/>
      <c r="AX5062" s="2"/>
      <c r="AY5062" s="2">
        <v>41</v>
      </c>
      <c r="AZ5062" s="2" t="s">
        <v>82</v>
      </c>
      <c r="BA5062" s="2">
        <v>41</v>
      </c>
      <c r="BB5062" s="2" t="s">
        <v>82</v>
      </c>
      <c r="BC5062" s="2">
        <v>41</v>
      </c>
      <c r="BD5062" s="2" t="s">
        <v>82</v>
      </c>
      <c r="BE5062" s="2">
        <v>38</v>
      </c>
      <c r="BF5062" s="2" t="s">
        <v>221</v>
      </c>
      <c r="BG5062" s="2">
        <v>2778</v>
      </c>
      <c r="BH5062" s="4">
        <v>0.2986111111111111</v>
      </c>
      <c r="BI5062" s="4">
        <v>0.3888888888888889</v>
      </c>
      <c r="BJ5062" s="2">
        <v>13</v>
      </c>
      <c r="BK5062" s="2" t="s">
        <v>91</v>
      </c>
      <c r="BL5062" s="2" t="s">
        <v>1705</v>
      </c>
      <c r="BM5062" s="2">
        <v>173</v>
      </c>
      <c r="BN5062" s="2" t="s">
        <v>223</v>
      </c>
      <c r="BO5062" s="2"/>
      <c r="BP5062" s="2">
        <v>173</v>
      </c>
      <c r="BQ5062" s="2" t="s">
        <v>223</v>
      </c>
      <c r="BR5062" s="2" t="s">
        <v>224</v>
      </c>
      <c r="BS5062" s="3">
        <v>40522</v>
      </c>
      <c r="BT5062" s="4">
        <v>0.73552083333333329</v>
      </c>
    </row>
    <row r="5063" spans="1:72" x14ac:dyDescent="0.25">
      <c r="A5063" s="2">
        <v>7857</v>
      </c>
      <c r="B5063" s="2">
        <v>2010</v>
      </c>
      <c r="C5063" s="2" t="s">
        <v>72</v>
      </c>
      <c r="D5063" s="2" t="s">
        <v>73</v>
      </c>
      <c r="E5063" s="2"/>
      <c r="F5063" s="2">
        <v>175</v>
      </c>
      <c r="G5063" s="2" t="s">
        <v>4170</v>
      </c>
      <c r="H5063" s="2">
        <v>22</v>
      </c>
      <c r="I5063" s="2" t="s">
        <v>75</v>
      </c>
      <c r="J5063" s="2">
        <v>728</v>
      </c>
      <c r="K5063" s="2" t="s">
        <v>15156</v>
      </c>
      <c r="L5063" s="2" t="s">
        <v>15157</v>
      </c>
      <c r="M5063" s="3">
        <v>40522</v>
      </c>
      <c r="N5063" s="2" t="s">
        <v>15507</v>
      </c>
      <c r="O5063" s="2"/>
      <c r="P5063" s="2"/>
      <c r="Q5063" s="2" t="str">
        <f>"445-A/10"</f>
        <v>445-A/10</v>
      </c>
      <c r="R5063" s="2" t="s">
        <v>78</v>
      </c>
      <c r="S5063" s="2" t="s">
        <v>78</v>
      </c>
      <c r="T5063" s="2">
        <v>1</v>
      </c>
      <c r="U5063" s="2" t="s">
        <v>79</v>
      </c>
      <c r="V5063" s="2">
        <v>1</v>
      </c>
      <c r="W5063" s="2" t="s">
        <v>80</v>
      </c>
      <c r="X5063" s="2">
        <v>12</v>
      </c>
      <c r="Y5063" s="2" t="s">
        <v>148</v>
      </c>
      <c r="Z5063" s="2">
        <v>1</v>
      </c>
      <c r="AA5063" s="2" t="s">
        <v>82</v>
      </c>
      <c r="AB5063" s="2">
        <v>6</v>
      </c>
      <c r="AC5063" s="2" t="s">
        <v>83</v>
      </c>
      <c r="AD5063" s="3">
        <v>40520</v>
      </c>
      <c r="AE5063" s="2"/>
      <c r="AF5063" s="3">
        <v>40522</v>
      </c>
      <c r="AG5063" s="4">
        <v>0.64583333333333337</v>
      </c>
      <c r="AH5063" s="2">
        <v>2</v>
      </c>
      <c r="AI5063" s="2" t="s">
        <v>84</v>
      </c>
      <c r="AJ5063" s="2">
        <v>12</v>
      </c>
      <c r="AK5063" s="2" t="s">
        <v>85</v>
      </c>
      <c r="AL5063" s="2">
        <v>12</v>
      </c>
      <c r="AM5063" s="2" t="s">
        <v>86</v>
      </c>
      <c r="AN5063" s="2" t="s">
        <v>15508</v>
      </c>
      <c r="AO5063" s="2" t="s">
        <v>15509</v>
      </c>
      <c r="AP5063" s="2">
        <v>11</v>
      </c>
      <c r="AQ5063" s="2" t="s">
        <v>82</v>
      </c>
      <c r="AR5063" s="2"/>
      <c r="AS5063" s="2"/>
      <c r="AT5063" s="2" t="s">
        <v>15510</v>
      </c>
      <c r="AU5063" s="2"/>
      <c r="AV5063" s="2"/>
      <c r="AW5063" s="2"/>
      <c r="AX5063" s="2"/>
      <c r="AY5063" s="2">
        <v>41</v>
      </c>
      <c r="AZ5063" s="2" t="s">
        <v>82</v>
      </c>
      <c r="BA5063" s="2">
        <v>41</v>
      </c>
      <c r="BB5063" s="2" t="s">
        <v>82</v>
      </c>
      <c r="BC5063" s="2">
        <v>41</v>
      </c>
      <c r="BD5063" s="2" t="s">
        <v>82</v>
      </c>
      <c r="BE5063" s="2">
        <v>41</v>
      </c>
      <c r="BF5063" s="2" t="s">
        <v>82</v>
      </c>
      <c r="BG5063" s="2"/>
      <c r="BH5063" s="2"/>
      <c r="BI5063" s="2"/>
      <c r="BJ5063" s="2">
        <v>241</v>
      </c>
      <c r="BK5063" s="2" t="s">
        <v>82</v>
      </c>
      <c r="BL5063" s="2"/>
      <c r="BM5063" s="2">
        <v>241</v>
      </c>
      <c r="BN5063" s="2" t="s">
        <v>82</v>
      </c>
      <c r="BO5063" s="2"/>
      <c r="BP5063" s="2">
        <v>241</v>
      </c>
      <c r="BQ5063" s="2" t="s">
        <v>82</v>
      </c>
      <c r="BR5063" s="2"/>
      <c r="BS5063" s="3">
        <v>40522</v>
      </c>
      <c r="BT5063" s="4">
        <v>0.78112268518518524</v>
      </c>
    </row>
    <row r="5064" spans="1:72" x14ac:dyDescent="0.25">
      <c r="A5064" s="2">
        <v>7859</v>
      </c>
      <c r="B5064" s="2">
        <v>2010</v>
      </c>
      <c r="C5064" s="2" t="s">
        <v>255</v>
      </c>
      <c r="D5064" s="2" t="s">
        <v>73</v>
      </c>
      <c r="E5064" s="2"/>
      <c r="F5064" s="2">
        <v>152</v>
      </c>
      <c r="G5064" s="2" t="s">
        <v>7866</v>
      </c>
      <c r="H5064" s="2">
        <v>27</v>
      </c>
      <c r="I5064" s="2" t="s">
        <v>820</v>
      </c>
      <c r="J5064" s="2">
        <v>164</v>
      </c>
      <c r="K5064" s="2" t="s">
        <v>3254</v>
      </c>
      <c r="L5064" s="2" t="s">
        <v>946</v>
      </c>
      <c r="M5064" s="3">
        <v>40522</v>
      </c>
      <c r="N5064" s="2" t="s">
        <v>15511</v>
      </c>
      <c r="O5064" s="2"/>
      <c r="P5064" s="2"/>
      <c r="Q5064" s="2" t="str">
        <f>"446-A/10"</f>
        <v>446-A/10</v>
      </c>
      <c r="R5064" s="2" t="s">
        <v>947</v>
      </c>
      <c r="S5064" s="2" t="s">
        <v>947</v>
      </c>
      <c r="T5064" s="2">
        <v>1</v>
      </c>
      <c r="U5064" s="2" t="s">
        <v>79</v>
      </c>
      <c r="V5064" s="2">
        <v>1</v>
      </c>
      <c r="W5064" s="2" t="s">
        <v>80</v>
      </c>
      <c r="X5064" s="2">
        <v>12</v>
      </c>
      <c r="Y5064" s="2" t="s">
        <v>148</v>
      </c>
      <c r="Z5064" s="2">
        <v>1</v>
      </c>
      <c r="AA5064" s="2" t="s">
        <v>82</v>
      </c>
      <c r="AB5064" s="2">
        <v>9</v>
      </c>
      <c r="AC5064" s="2" t="s">
        <v>124</v>
      </c>
      <c r="AD5064" s="3">
        <v>40522</v>
      </c>
      <c r="AE5064" s="2"/>
      <c r="AF5064" s="3">
        <v>40522</v>
      </c>
      <c r="AG5064" s="4">
        <v>0.69444444444444453</v>
      </c>
      <c r="AH5064" s="2">
        <v>2</v>
      </c>
      <c r="AI5064" s="2" t="s">
        <v>84</v>
      </c>
      <c r="AJ5064" s="2">
        <v>12</v>
      </c>
      <c r="AK5064" s="2" t="s">
        <v>85</v>
      </c>
      <c r="AL5064" s="2">
        <v>14</v>
      </c>
      <c r="AM5064" s="2" t="s">
        <v>216</v>
      </c>
      <c r="AN5064" s="2" t="s">
        <v>15512</v>
      </c>
      <c r="AO5064" s="2" t="s">
        <v>15513</v>
      </c>
      <c r="AP5064" s="2">
        <v>11</v>
      </c>
      <c r="AQ5064" s="2" t="s">
        <v>82</v>
      </c>
      <c r="AR5064" s="2"/>
      <c r="AS5064" s="2"/>
      <c r="AT5064" s="2" t="s">
        <v>15514</v>
      </c>
      <c r="AU5064" s="2"/>
      <c r="AV5064" s="2"/>
      <c r="AW5064" s="2"/>
      <c r="AX5064" s="2"/>
      <c r="AY5064" s="2">
        <v>13</v>
      </c>
      <c r="AZ5064" s="2" t="s">
        <v>108</v>
      </c>
      <c r="BA5064" s="2">
        <v>13</v>
      </c>
      <c r="BB5064" s="2" t="s">
        <v>108</v>
      </c>
      <c r="BC5064" s="2">
        <v>41</v>
      </c>
      <c r="BD5064" s="2" t="s">
        <v>82</v>
      </c>
      <c r="BE5064" s="2">
        <v>13</v>
      </c>
      <c r="BF5064" s="2" t="s">
        <v>108</v>
      </c>
      <c r="BG5064" s="2" t="s">
        <v>15515</v>
      </c>
      <c r="BH5064" s="2"/>
      <c r="BI5064" s="4">
        <v>0.66319444444444442</v>
      </c>
      <c r="BJ5064" s="2">
        <v>13</v>
      </c>
      <c r="BK5064" s="2" t="s">
        <v>91</v>
      </c>
      <c r="BL5064" s="2" t="s">
        <v>564</v>
      </c>
      <c r="BM5064" s="2">
        <v>13</v>
      </c>
      <c r="BN5064" s="2" t="s">
        <v>91</v>
      </c>
      <c r="BO5064" s="2"/>
      <c r="BP5064" s="2">
        <v>13</v>
      </c>
      <c r="BQ5064" s="2" t="s">
        <v>91</v>
      </c>
      <c r="BR5064" s="2" t="s">
        <v>169</v>
      </c>
      <c r="BS5064" s="3">
        <v>40522</v>
      </c>
      <c r="BT5064" s="4">
        <v>0.81483796296296296</v>
      </c>
    </row>
    <row r="5065" spans="1:72" x14ac:dyDescent="0.25">
      <c r="A5065" s="2">
        <v>7860</v>
      </c>
      <c r="B5065" s="2">
        <v>2010</v>
      </c>
      <c r="C5065" s="2" t="s">
        <v>72</v>
      </c>
      <c r="D5065" s="2" t="s">
        <v>73</v>
      </c>
      <c r="E5065" s="2"/>
      <c r="F5065" s="2">
        <v>2</v>
      </c>
      <c r="G5065" s="2" t="s">
        <v>113</v>
      </c>
      <c r="H5065" s="2">
        <v>50</v>
      </c>
      <c r="I5065" s="2" t="s">
        <v>107</v>
      </c>
      <c r="J5065" s="2">
        <v>300</v>
      </c>
      <c r="K5065" s="2" t="s">
        <v>114</v>
      </c>
      <c r="L5065" s="2" t="s">
        <v>115</v>
      </c>
      <c r="M5065" s="3">
        <v>40522</v>
      </c>
      <c r="N5065" s="2"/>
      <c r="O5065" s="2"/>
      <c r="P5065" s="2"/>
      <c r="Q5065" s="2" t="str">
        <f>"669-E/10"</f>
        <v>669-E/10</v>
      </c>
      <c r="R5065" s="2" t="s">
        <v>116</v>
      </c>
      <c r="S5065" s="2" t="s">
        <v>116</v>
      </c>
      <c r="T5065" s="2">
        <v>1</v>
      </c>
      <c r="U5065" s="2" t="s">
        <v>79</v>
      </c>
      <c r="V5065" s="2">
        <v>1</v>
      </c>
      <c r="W5065" s="2" t="s">
        <v>80</v>
      </c>
      <c r="X5065" s="2">
        <v>12</v>
      </c>
      <c r="Y5065" s="2" t="s">
        <v>148</v>
      </c>
      <c r="Z5065" s="2">
        <v>1</v>
      </c>
      <c r="AA5065" s="2" t="s">
        <v>82</v>
      </c>
      <c r="AB5065" s="2">
        <v>6</v>
      </c>
      <c r="AC5065" s="2" t="s">
        <v>83</v>
      </c>
      <c r="AD5065" s="3">
        <v>40522</v>
      </c>
      <c r="AE5065" s="2"/>
      <c r="AF5065" s="3">
        <v>40522</v>
      </c>
      <c r="AG5065" s="4">
        <v>0.51388888888888895</v>
      </c>
      <c r="AH5065" s="2">
        <v>2</v>
      </c>
      <c r="AI5065" s="2" t="s">
        <v>84</v>
      </c>
      <c r="AJ5065" s="2">
        <v>9</v>
      </c>
      <c r="AK5065" s="2" t="s">
        <v>103</v>
      </c>
      <c r="AL5065" s="2">
        <v>12</v>
      </c>
      <c r="AM5065" s="2" t="s">
        <v>86</v>
      </c>
      <c r="AN5065" s="2"/>
      <c r="AO5065" s="2" t="s">
        <v>15516</v>
      </c>
      <c r="AP5065" s="2">
        <v>11</v>
      </c>
      <c r="AQ5065" s="2" t="s">
        <v>82</v>
      </c>
      <c r="AR5065" s="2"/>
      <c r="AS5065" s="2"/>
      <c r="AT5065" s="2" t="s">
        <v>15517</v>
      </c>
      <c r="AU5065" s="2"/>
      <c r="AV5065" s="2"/>
      <c r="AW5065" s="2"/>
      <c r="AX5065" s="2"/>
      <c r="AY5065" s="2">
        <v>41</v>
      </c>
      <c r="AZ5065" s="2" t="s">
        <v>82</v>
      </c>
      <c r="BA5065" s="2">
        <v>41</v>
      </c>
      <c r="BB5065" s="2" t="s">
        <v>82</v>
      </c>
      <c r="BC5065" s="2">
        <v>41</v>
      </c>
      <c r="BD5065" s="2" t="s">
        <v>82</v>
      </c>
      <c r="BE5065" s="2">
        <v>41</v>
      </c>
      <c r="BF5065" s="2" t="s">
        <v>82</v>
      </c>
      <c r="BG5065" s="2"/>
      <c r="BH5065" s="2"/>
      <c r="BI5065" s="2"/>
      <c r="BJ5065" s="2">
        <v>241</v>
      </c>
      <c r="BK5065" s="2" t="s">
        <v>82</v>
      </c>
      <c r="BL5065" s="2"/>
      <c r="BM5065" s="2">
        <v>241</v>
      </c>
      <c r="BN5065" s="2" t="s">
        <v>82</v>
      </c>
      <c r="BO5065" s="2"/>
      <c r="BP5065" s="2">
        <v>241</v>
      </c>
      <c r="BQ5065" s="2" t="s">
        <v>82</v>
      </c>
      <c r="BR5065" s="2"/>
      <c r="BS5065" s="3">
        <v>40522</v>
      </c>
      <c r="BT5065" s="4">
        <v>0.84497685185185178</v>
      </c>
    </row>
    <row r="5066" spans="1:72" x14ac:dyDescent="0.25">
      <c r="A5066" s="2">
        <v>7866</v>
      </c>
      <c r="B5066" s="2">
        <v>2010</v>
      </c>
      <c r="C5066" s="2" t="s">
        <v>1568</v>
      </c>
      <c r="D5066" s="2" t="s">
        <v>73</v>
      </c>
      <c r="E5066" s="2"/>
      <c r="F5066" s="2">
        <v>389</v>
      </c>
      <c r="G5066" s="2" t="s">
        <v>1819</v>
      </c>
      <c r="H5066" s="2">
        <v>4</v>
      </c>
      <c r="I5066" s="2" t="s">
        <v>173</v>
      </c>
      <c r="J5066" s="2">
        <v>399</v>
      </c>
      <c r="K5066" s="2" t="s">
        <v>1820</v>
      </c>
      <c r="L5066" s="2" t="s">
        <v>1821</v>
      </c>
      <c r="M5066" s="3">
        <v>40522</v>
      </c>
      <c r="N5066" s="2" t="s">
        <v>2621</v>
      </c>
      <c r="O5066" s="2"/>
      <c r="P5066" s="2"/>
      <c r="Q5066" s="2" t="str">
        <f>"668-E/10"</f>
        <v>668-E/10</v>
      </c>
      <c r="R5066" s="2"/>
      <c r="S5066" s="2" t="s">
        <v>15518</v>
      </c>
      <c r="T5066" s="2">
        <v>1</v>
      </c>
      <c r="U5066" s="2" t="s">
        <v>79</v>
      </c>
      <c r="V5066" s="2">
        <v>1</v>
      </c>
      <c r="W5066" s="2" t="s">
        <v>80</v>
      </c>
      <c r="X5066" s="2">
        <v>1</v>
      </c>
      <c r="Y5066" s="2" t="s">
        <v>81</v>
      </c>
      <c r="Z5066" s="2">
        <v>1</v>
      </c>
      <c r="AA5066" s="2" t="s">
        <v>82</v>
      </c>
      <c r="AB5066" s="2">
        <v>4</v>
      </c>
      <c r="AC5066" s="2" t="s">
        <v>1569</v>
      </c>
      <c r="AD5066" s="3">
        <v>40522</v>
      </c>
      <c r="AE5066" s="4">
        <v>0.25</v>
      </c>
      <c r="AF5066" s="3">
        <v>40522</v>
      </c>
      <c r="AG5066" s="4">
        <v>0.49305555555555558</v>
      </c>
      <c r="AH5066" s="2">
        <v>2</v>
      </c>
      <c r="AI5066" s="2" t="s">
        <v>84</v>
      </c>
      <c r="AJ5066" s="2">
        <v>9</v>
      </c>
      <c r="AK5066" s="2" t="s">
        <v>103</v>
      </c>
      <c r="AL5066" s="2">
        <v>25</v>
      </c>
      <c r="AM5066" s="2" t="s">
        <v>3073</v>
      </c>
      <c r="AN5066" s="2" t="s">
        <v>179</v>
      </c>
      <c r="AO5066" s="2" t="s">
        <v>987</v>
      </c>
      <c r="AP5066" s="2">
        <v>11</v>
      </c>
      <c r="AQ5066" s="2" t="s">
        <v>82</v>
      </c>
      <c r="AR5066" s="2"/>
      <c r="AS5066" s="2"/>
      <c r="AT5066" s="2" t="s">
        <v>15519</v>
      </c>
      <c r="AU5066" s="2"/>
      <c r="AV5066" s="2"/>
      <c r="AW5066" s="2"/>
      <c r="AX5066" s="2"/>
      <c r="AY5066" s="2">
        <v>41</v>
      </c>
      <c r="AZ5066" s="2" t="s">
        <v>82</v>
      </c>
      <c r="BA5066" s="2">
        <v>179</v>
      </c>
      <c r="BB5066" s="2" t="s">
        <v>15520</v>
      </c>
      <c r="BC5066" s="2">
        <v>41</v>
      </c>
      <c r="BD5066" s="2" t="s">
        <v>82</v>
      </c>
      <c r="BE5066" s="2">
        <v>25</v>
      </c>
      <c r="BF5066" s="2" t="s">
        <v>358</v>
      </c>
      <c r="BG5066" s="2" t="s">
        <v>15521</v>
      </c>
      <c r="BH5066" s="2"/>
      <c r="BI5066" s="4">
        <v>0.27083333333333331</v>
      </c>
      <c r="BJ5066" s="2">
        <v>13</v>
      </c>
      <c r="BK5066" s="2" t="s">
        <v>91</v>
      </c>
      <c r="BL5066" s="2" t="s">
        <v>360</v>
      </c>
      <c r="BM5066" s="2">
        <v>33</v>
      </c>
      <c r="BN5066" s="2" t="s">
        <v>361</v>
      </c>
      <c r="BO5066" s="2"/>
      <c r="BP5066" s="2">
        <v>33</v>
      </c>
      <c r="BQ5066" s="2" t="s">
        <v>361</v>
      </c>
      <c r="BR5066" s="2" t="s">
        <v>1706</v>
      </c>
      <c r="BS5066" s="3">
        <v>40522</v>
      </c>
      <c r="BT5066" s="4">
        <v>0.90400462962962969</v>
      </c>
    </row>
    <row r="5067" spans="1:72" x14ac:dyDescent="0.25">
      <c r="A5067" s="2">
        <v>7869</v>
      </c>
      <c r="B5067" s="2">
        <v>2010</v>
      </c>
      <c r="C5067" s="2" t="s">
        <v>72</v>
      </c>
      <c r="D5067" s="2" t="s">
        <v>73</v>
      </c>
      <c r="E5067" s="2"/>
      <c r="F5067" s="2">
        <v>175</v>
      </c>
      <c r="G5067" s="2" t="s">
        <v>4170</v>
      </c>
      <c r="H5067" s="2">
        <v>22</v>
      </c>
      <c r="I5067" s="2" t="s">
        <v>75</v>
      </c>
      <c r="J5067" s="2">
        <v>728</v>
      </c>
      <c r="K5067" s="2" t="s">
        <v>15156</v>
      </c>
      <c r="L5067" s="2" t="s">
        <v>15157</v>
      </c>
      <c r="M5067" s="3">
        <v>40522</v>
      </c>
      <c r="N5067" s="2" t="s">
        <v>15158</v>
      </c>
      <c r="O5067" s="2"/>
      <c r="P5067" s="2"/>
      <c r="Q5067" s="2" t="str">
        <f>"447-A/10"</f>
        <v>447-A/10</v>
      </c>
      <c r="R5067" s="2" t="s">
        <v>78</v>
      </c>
      <c r="S5067" s="2" t="s">
        <v>78</v>
      </c>
      <c r="T5067" s="2">
        <v>1</v>
      </c>
      <c r="U5067" s="2" t="s">
        <v>79</v>
      </c>
      <c r="V5067" s="2">
        <v>1</v>
      </c>
      <c r="W5067" s="2" t="s">
        <v>80</v>
      </c>
      <c r="X5067" s="2">
        <v>12</v>
      </c>
      <c r="Y5067" s="2" t="s">
        <v>148</v>
      </c>
      <c r="Z5067" s="2">
        <v>1</v>
      </c>
      <c r="AA5067" s="2" t="s">
        <v>82</v>
      </c>
      <c r="AB5067" s="2">
        <v>6</v>
      </c>
      <c r="AC5067" s="2" t="s">
        <v>83</v>
      </c>
      <c r="AD5067" s="3">
        <v>40522</v>
      </c>
      <c r="AE5067" s="2"/>
      <c r="AF5067" s="3">
        <v>40522</v>
      </c>
      <c r="AG5067" s="4">
        <v>0.84027777777777779</v>
      </c>
      <c r="AH5067" s="2">
        <v>2</v>
      </c>
      <c r="AI5067" s="2" t="s">
        <v>84</v>
      </c>
      <c r="AJ5067" s="2">
        <v>12</v>
      </c>
      <c r="AK5067" s="2" t="s">
        <v>85</v>
      </c>
      <c r="AL5067" s="2">
        <v>12</v>
      </c>
      <c r="AM5067" s="2" t="s">
        <v>86</v>
      </c>
      <c r="AN5067" s="2" t="s">
        <v>15522</v>
      </c>
      <c r="AO5067" s="2"/>
      <c r="AP5067" s="2">
        <v>11</v>
      </c>
      <c r="AQ5067" s="2" t="s">
        <v>82</v>
      </c>
      <c r="AR5067" s="2"/>
      <c r="AS5067" s="2"/>
      <c r="AT5067" s="2" t="s">
        <v>15523</v>
      </c>
      <c r="AU5067" s="2"/>
      <c r="AV5067" s="2"/>
      <c r="AW5067" s="2"/>
      <c r="AX5067" s="2"/>
      <c r="AY5067" s="2">
        <v>41</v>
      </c>
      <c r="AZ5067" s="2" t="s">
        <v>82</v>
      </c>
      <c r="BA5067" s="2">
        <v>41</v>
      </c>
      <c r="BB5067" s="2" t="s">
        <v>82</v>
      </c>
      <c r="BC5067" s="2">
        <v>41</v>
      </c>
      <c r="BD5067" s="2" t="s">
        <v>82</v>
      </c>
      <c r="BE5067" s="2">
        <v>41</v>
      </c>
      <c r="BF5067" s="2" t="s">
        <v>82</v>
      </c>
      <c r="BG5067" s="2"/>
      <c r="BH5067" s="2"/>
      <c r="BI5067" s="2"/>
      <c r="BJ5067" s="2">
        <v>241</v>
      </c>
      <c r="BK5067" s="2" t="s">
        <v>82</v>
      </c>
      <c r="BL5067" s="2"/>
      <c r="BM5067" s="2">
        <v>241</v>
      </c>
      <c r="BN5067" s="2" t="s">
        <v>82</v>
      </c>
      <c r="BO5067" s="2"/>
      <c r="BP5067" s="2">
        <v>241</v>
      </c>
      <c r="BQ5067" s="2" t="s">
        <v>82</v>
      </c>
      <c r="BR5067" s="2"/>
      <c r="BS5067" s="3">
        <v>40522</v>
      </c>
      <c r="BT5067" s="4">
        <v>0.96872685185185192</v>
      </c>
    </row>
    <row r="5068" spans="1:72" x14ac:dyDescent="0.25">
      <c r="A5068" s="2">
        <v>7870</v>
      </c>
      <c r="B5068" s="2">
        <v>2010</v>
      </c>
      <c r="C5068" s="2" t="s">
        <v>819</v>
      </c>
      <c r="D5068" s="2" t="s">
        <v>122</v>
      </c>
      <c r="E5068" s="2"/>
      <c r="F5068" s="2">
        <v>451</v>
      </c>
      <c r="G5068" s="2" t="s">
        <v>879</v>
      </c>
      <c r="H5068" s="2">
        <v>31</v>
      </c>
      <c r="I5068" s="2" t="s">
        <v>880</v>
      </c>
      <c r="J5068" s="2">
        <v>326</v>
      </c>
      <c r="K5068" s="2" t="s">
        <v>881</v>
      </c>
      <c r="L5068" s="2" t="s">
        <v>882</v>
      </c>
      <c r="M5068" s="3">
        <v>40523</v>
      </c>
      <c r="N5068" s="2" t="s">
        <v>3096</v>
      </c>
      <c r="O5068" s="2"/>
      <c r="P5068" s="2"/>
      <c r="Q5068" s="2" t="str">
        <f>"117/10"</f>
        <v>117/10</v>
      </c>
      <c r="R5068" s="2" t="s">
        <v>822</v>
      </c>
      <c r="S5068" s="2"/>
      <c r="T5068" s="2">
        <v>1</v>
      </c>
      <c r="U5068" s="2" t="s">
        <v>79</v>
      </c>
      <c r="V5068" s="2">
        <v>1</v>
      </c>
      <c r="W5068" s="2" t="s">
        <v>80</v>
      </c>
      <c r="X5068" s="2">
        <v>1</v>
      </c>
      <c r="Y5068" s="2" t="s">
        <v>81</v>
      </c>
      <c r="Z5068" s="2">
        <v>10</v>
      </c>
      <c r="AA5068" s="2" t="s">
        <v>236</v>
      </c>
      <c r="AB5068" s="2">
        <v>9</v>
      </c>
      <c r="AC5068" s="2" t="s">
        <v>124</v>
      </c>
      <c r="AD5068" s="3">
        <v>40522</v>
      </c>
      <c r="AE5068" s="4">
        <v>0.99305555555555547</v>
      </c>
      <c r="AF5068" s="3">
        <v>40522</v>
      </c>
      <c r="AG5068" s="4">
        <v>0.99930555555555556</v>
      </c>
      <c r="AH5068" s="2">
        <v>4</v>
      </c>
      <c r="AI5068" s="2" t="s">
        <v>125</v>
      </c>
      <c r="AJ5068" s="2">
        <v>29</v>
      </c>
      <c r="AK5068" s="2" t="s">
        <v>227</v>
      </c>
      <c r="AL5068" s="2">
        <v>10</v>
      </c>
      <c r="AM5068" s="2" t="s">
        <v>200</v>
      </c>
      <c r="AN5068" s="2" t="s">
        <v>1015</v>
      </c>
      <c r="AO5068" s="2" t="s">
        <v>6940</v>
      </c>
      <c r="AP5068" s="2">
        <v>12</v>
      </c>
      <c r="AQ5068" s="2" t="s">
        <v>322</v>
      </c>
      <c r="AR5068" s="2" t="s">
        <v>824</v>
      </c>
      <c r="AS5068" s="2" t="s">
        <v>825</v>
      </c>
      <c r="AT5068" s="2" t="s">
        <v>15524</v>
      </c>
      <c r="AU5068" s="2"/>
      <c r="AV5068" s="2"/>
      <c r="AW5068" s="2"/>
      <c r="AX5068" s="2"/>
      <c r="AY5068" s="2">
        <v>41</v>
      </c>
      <c r="AZ5068" s="2" t="s">
        <v>82</v>
      </c>
      <c r="BA5068" s="2">
        <v>41</v>
      </c>
      <c r="BB5068" s="2" t="s">
        <v>82</v>
      </c>
      <c r="BC5068" s="2">
        <v>51</v>
      </c>
      <c r="BD5068" s="2" t="s">
        <v>827</v>
      </c>
      <c r="BE5068" s="2">
        <v>13</v>
      </c>
      <c r="BF5068" s="2" t="s">
        <v>108</v>
      </c>
      <c r="BG5068" s="2">
        <v>2459</v>
      </c>
      <c r="BH5068" s="4">
        <v>0.99930555555555556</v>
      </c>
      <c r="BI5068" s="4">
        <v>4.1666666666666664E-2</v>
      </c>
      <c r="BJ5068" s="2">
        <v>13</v>
      </c>
      <c r="BK5068" s="2" t="s">
        <v>91</v>
      </c>
      <c r="BL5068" s="2" t="s">
        <v>828</v>
      </c>
      <c r="BM5068" s="2">
        <v>13</v>
      </c>
      <c r="BN5068" s="2" t="s">
        <v>91</v>
      </c>
      <c r="BO5068" s="2"/>
      <c r="BP5068" s="2">
        <v>13</v>
      </c>
      <c r="BQ5068" s="2" t="s">
        <v>91</v>
      </c>
      <c r="BR5068" s="2" t="s">
        <v>185</v>
      </c>
      <c r="BS5068" s="3">
        <v>40523</v>
      </c>
      <c r="BT5068" s="4">
        <v>7.0578703703703713E-2</v>
      </c>
    </row>
    <row r="5069" spans="1:72" x14ac:dyDescent="0.25">
      <c r="A5069" s="2">
        <v>7871</v>
      </c>
      <c r="B5069" s="2">
        <v>2010</v>
      </c>
      <c r="C5069" s="2" t="s">
        <v>72</v>
      </c>
      <c r="D5069" s="2" t="s">
        <v>73</v>
      </c>
      <c r="E5069" s="2"/>
      <c r="F5069" s="2">
        <v>175</v>
      </c>
      <c r="G5069" s="2" t="s">
        <v>4170</v>
      </c>
      <c r="H5069" s="2">
        <v>22</v>
      </c>
      <c r="I5069" s="2" t="s">
        <v>75</v>
      </c>
      <c r="J5069" s="2">
        <v>728</v>
      </c>
      <c r="K5069" s="2" t="s">
        <v>15156</v>
      </c>
      <c r="L5069" s="2" t="s">
        <v>15157</v>
      </c>
      <c r="M5069" s="3">
        <v>40523</v>
      </c>
      <c r="N5069" s="2" t="s">
        <v>15158</v>
      </c>
      <c r="O5069" s="2"/>
      <c r="P5069" s="2"/>
      <c r="Q5069" s="2" t="str">
        <f>"448-A/10"</f>
        <v>448-A/10</v>
      </c>
      <c r="R5069" s="2" t="s">
        <v>78</v>
      </c>
      <c r="S5069" s="2" t="s">
        <v>78</v>
      </c>
      <c r="T5069" s="2">
        <v>1</v>
      </c>
      <c r="U5069" s="2" t="s">
        <v>79</v>
      </c>
      <c r="V5069" s="2">
        <v>1</v>
      </c>
      <c r="W5069" s="2" t="s">
        <v>80</v>
      </c>
      <c r="X5069" s="2">
        <v>12</v>
      </c>
      <c r="Y5069" s="2" t="s">
        <v>148</v>
      </c>
      <c r="Z5069" s="2">
        <v>1</v>
      </c>
      <c r="AA5069" s="2" t="s">
        <v>82</v>
      </c>
      <c r="AB5069" s="2">
        <v>6</v>
      </c>
      <c r="AC5069" s="2" t="s">
        <v>83</v>
      </c>
      <c r="AD5069" s="3">
        <v>40523</v>
      </c>
      <c r="AE5069" s="2"/>
      <c r="AF5069" s="3">
        <v>40523</v>
      </c>
      <c r="AG5069" s="4">
        <v>0.14930555555555555</v>
      </c>
      <c r="AH5069" s="2">
        <v>2</v>
      </c>
      <c r="AI5069" s="2" t="s">
        <v>84</v>
      </c>
      <c r="AJ5069" s="2">
        <v>12</v>
      </c>
      <c r="AK5069" s="2" t="s">
        <v>85</v>
      </c>
      <c r="AL5069" s="2">
        <v>12</v>
      </c>
      <c r="AM5069" s="2" t="s">
        <v>86</v>
      </c>
      <c r="AN5069" s="2" t="s">
        <v>15525</v>
      </c>
      <c r="AO5069" s="2" t="s">
        <v>1945</v>
      </c>
      <c r="AP5069" s="2">
        <v>11</v>
      </c>
      <c r="AQ5069" s="2" t="s">
        <v>82</v>
      </c>
      <c r="AR5069" s="2"/>
      <c r="AS5069" s="2"/>
      <c r="AT5069" s="2" t="s">
        <v>15526</v>
      </c>
      <c r="AU5069" s="2"/>
      <c r="AV5069" s="2"/>
      <c r="AW5069" s="2"/>
      <c r="AX5069" s="2"/>
      <c r="AY5069" s="2">
        <v>41</v>
      </c>
      <c r="AZ5069" s="2" t="s">
        <v>82</v>
      </c>
      <c r="BA5069" s="2">
        <v>41</v>
      </c>
      <c r="BB5069" s="2" t="s">
        <v>82</v>
      </c>
      <c r="BC5069" s="2">
        <v>41</v>
      </c>
      <c r="BD5069" s="2" t="s">
        <v>82</v>
      </c>
      <c r="BE5069" s="2">
        <v>41</v>
      </c>
      <c r="BF5069" s="2" t="s">
        <v>82</v>
      </c>
      <c r="BG5069" s="2"/>
      <c r="BH5069" s="2"/>
      <c r="BI5069" s="2"/>
      <c r="BJ5069" s="2">
        <v>241</v>
      </c>
      <c r="BK5069" s="2" t="s">
        <v>82</v>
      </c>
      <c r="BL5069" s="2"/>
      <c r="BM5069" s="2">
        <v>241</v>
      </c>
      <c r="BN5069" s="2" t="s">
        <v>82</v>
      </c>
      <c r="BO5069" s="2"/>
      <c r="BP5069" s="2">
        <v>241</v>
      </c>
      <c r="BQ5069" s="2" t="s">
        <v>82</v>
      </c>
      <c r="BR5069" s="2"/>
      <c r="BS5069" s="3">
        <v>40523</v>
      </c>
      <c r="BT5069" s="4">
        <v>0.23153935185185184</v>
      </c>
    </row>
    <row r="5070" spans="1:72" x14ac:dyDescent="0.25">
      <c r="A5070" s="2">
        <v>7872</v>
      </c>
      <c r="B5070" s="2">
        <v>2010</v>
      </c>
      <c r="C5070" s="2" t="s">
        <v>72</v>
      </c>
      <c r="D5070" s="2" t="s">
        <v>73</v>
      </c>
      <c r="E5070" s="2"/>
      <c r="F5070" s="2">
        <v>389</v>
      </c>
      <c r="G5070" s="2" t="s">
        <v>1819</v>
      </c>
      <c r="H5070" s="2">
        <v>4</v>
      </c>
      <c r="I5070" s="2" t="s">
        <v>173</v>
      </c>
      <c r="J5070" s="2">
        <v>399</v>
      </c>
      <c r="K5070" s="2" t="s">
        <v>1820</v>
      </c>
      <c r="L5070" s="2" t="s">
        <v>1821</v>
      </c>
      <c r="M5070" s="3">
        <v>40523</v>
      </c>
      <c r="N5070" s="2" t="s">
        <v>2621</v>
      </c>
      <c r="O5070" s="2"/>
      <c r="P5070" s="2"/>
      <c r="Q5070" s="2" t="str">
        <f>"671-E/10"</f>
        <v>671-E/10</v>
      </c>
      <c r="R5070" s="2" t="s">
        <v>480</v>
      </c>
      <c r="S5070" s="2" t="s">
        <v>480</v>
      </c>
      <c r="T5070" s="2">
        <v>1</v>
      </c>
      <c r="U5070" s="2" t="s">
        <v>79</v>
      </c>
      <c r="V5070" s="2">
        <v>1</v>
      </c>
      <c r="W5070" s="2" t="s">
        <v>80</v>
      </c>
      <c r="X5070" s="2">
        <v>1</v>
      </c>
      <c r="Y5070" s="2" t="s">
        <v>81</v>
      </c>
      <c r="Z5070" s="2">
        <v>1</v>
      </c>
      <c r="AA5070" s="2" t="s">
        <v>82</v>
      </c>
      <c r="AB5070" s="2">
        <v>6</v>
      </c>
      <c r="AC5070" s="2" t="s">
        <v>83</v>
      </c>
      <c r="AD5070" s="3">
        <v>40522</v>
      </c>
      <c r="AE5070" s="2"/>
      <c r="AF5070" s="3">
        <v>40522</v>
      </c>
      <c r="AG5070" s="4">
        <v>0.95833333333333337</v>
      </c>
      <c r="AH5070" s="2">
        <v>2</v>
      </c>
      <c r="AI5070" s="2" t="s">
        <v>84</v>
      </c>
      <c r="AJ5070" s="2">
        <v>9</v>
      </c>
      <c r="AK5070" s="2" t="s">
        <v>103</v>
      </c>
      <c r="AL5070" s="2">
        <v>22</v>
      </c>
      <c r="AM5070" s="2" t="s">
        <v>1853</v>
      </c>
      <c r="AN5070" s="2" t="s">
        <v>15527</v>
      </c>
      <c r="AO5070" s="2" t="s">
        <v>15528</v>
      </c>
      <c r="AP5070" s="2">
        <v>11</v>
      </c>
      <c r="AQ5070" s="2" t="s">
        <v>82</v>
      </c>
      <c r="AR5070" s="2"/>
      <c r="AS5070" s="2"/>
      <c r="AT5070" s="2" t="s">
        <v>15529</v>
      </c>
      <c r="AU5070" s="2"/>
      <c r="AV5070" s="2"/>
      <c r="AW5070" s="2"/>
      <c r="AX5070" s="2"/>
      <c r="AY5070" s="2">
        <v>41</v>
      </c>
      <c r="AZ5070" s="2" t="s">
        <v>82</v>
      </c>
      <c r="BA5070" s="2">
        <v>41</v>
      </c>
      <c r="BB5070" s="2" t="s">
        <v>82</v>
      </c>
      <c r="BC5070" s="2">
        <v>41</v>
      </c>
      <c r="BD5070" s="2" t="s">
        <v>82</v>
      </c>
      <c r="BE5070" s="2">
        <v>13</v>
      </c>
      <c r="BF5070" s="2" t="s">
        <v>108</v>
      </c>
      <c r="BG5070" s="2" t="s">
        <v>2962</v>
      </c>
      <c r="BH5070" s="4">
        <v>0.875</v>
      </c>
      <c r="BI5070" s="4">
        <v>0.625</v>
      </c>
      <c r="BJ5070" s="2">
        <v>75</v>
      </c>
      <c r="BK5070" s="2" t="s">
        <v>1264</v>
      </c>
      <c r="BL5070" s="2" t="s">
        <v>1361</v>
      </c>
      <c r="BM5070" s="2">
        <v>13</v>
      </c>
      <c r="BN5070" s="2" t="s">
        <v>91</v>
      </c>
      <c r="BO5070" s="2"/>
      <c r="BP5070" s="2">
        <v>13</v>
      </c>
      <c r="BQ5070" s="2" t="s">
        <v>91</v>
      </c>
      <c r="BR5070" s="2" t="s">
        <v>360</v>
      </c>
      <c r="BS5070" s="3">
        <v>40523</v>
      </c>
      <c r="BT5070" s="4">
        <v>0.33295138888888892</v>
      </c>
    </row>
    <row r="5071" spans="1:72" x14ac:dyDescent="0.25">
      <c r="A5071" s="2">
        <v>7873</v>
      </c>
      <c r="B5071" s="2">
        <v>2010</v>
      </c>
      <c r="C5071" s="2" t="s">
        <v>128</v>
      </c>
      <c r="D5071" s="2" t="s">
        <v>73</v>
      </c>
      <c r="E5071" s="2" t="s">
        <v>15530</v>
      </c>
      <c r="F5071" s="2">
        <v>425</v>
      </c>
      <c r="G5071" s="2" t="s">
        <v>286</v>
      </c>
      <c r="H5071" s="2">
        <v>39</v>
      </c>
      <c r="I5071" s="2" t="s">
        <v>1117</v>
      </c>
      <c r="J5071" s="2">
        <v>310</v>
      </c>
      <c r="K5071" s="2" t="s">
        <v>288</v>
      </c>
      <c r="L5071" s="2" t="s">
        <v>289</v>
      </c>
      <c r="M5071" s="3">
        <v>40523</v>
      </c>
      <c r="N5071" s="2" t="s">
        <v>1917</v>
      </c>
      <c r="O5071" s="2" t="s">
        <v>11437</v>
      </c>
      <c r="P5071" s="2" t="s">
        <v>11438</v>
      </c>
      <c r="Q5071" s="2" t="str">
        <f>"101"</f>
        <v>101</v>
      </c>
      <c r="R5071" s="2"/>
      <c r="S5071" s="2"/>
      <c r="T5071" s="2">
        <v>1</v>
      </c>
      <c r="U5071" s="2" t="s">
        <v>79</v>
      </c>
      <c r="V5071" s="2">
        <v>3</v>
      </c>
      <c r="W5071" s="2" t="s">
        <v>225</v>
      </c>
      <c r="X5071" s="2">
        <v>6</v>
      </c>
      <c r="Y5071" s="2" t="s">
        <v>249</v>
      </c>
      <c r="Z5071" s="2">
        <v>1</v>
      </c>
      <c r="AA5071" s="2" t="s">
        <v>82</v>
      </c>
      <c r="AB5071" s="2">
        <v>9</v>
      </c>
      <c r="AC5071" s="2" t="s">
        <v>124</v>
      </c>
      <c r="AD5071" s="2"/>
      <c r="AE5071" s="2"/>
      <c r="AF5071" s="3">
        <v>40523</v>
      </c>
      <c r="AG5071" s="2"/>
      <c r="AH5071" s="2">
        <v>4</v>
      </c>
      <c r="AI5071" s="2" t="s">
        <v>125</v>
      </c>
      <c r="AJ5071" s="2">
        <v>26</v>
      </c>
      <c r="AK5071" s="2" t="s">
        <v>293</v>
      </c>
      <c r="AL5071" s="2">
        <v>23</v>
      </c>
      <c r="AM5071" s="2" t="s">
        <v>251</v>
      </c>
      <c r="AN5071" s="2" t="s">
        <v>14500</v>
      </c>
      <c r="AO5071" s="2" t="s">
        <v>11465</v>
      </c>
      <c r="AP5071" s="2">
        <v>11</v>
      </c>
      <c r="AQ5071" s="2" t="s">
        <v>82</v>
      </c>
      <c r="AR5071" s="2"/>
      <c r="AS5071" s="2"/>
      <c r="AT5071" s="2" t="s">
        <v>15531</v>
      </c>
      <c r="AU5071" s="2"/>
      <c r="AV5071" s="2"/>
      <c r="AW5071" s="2"/>
      <c r="AX5071" s="2"/>
      <c r="AY5071" s="2">
        <v>41</v>
      </c>
      <c r="AZ5071" s="2" t="s">
        <v>82</v>
      </c>
      <c r="BA5071" s="2">
        <v>41</v>
      </c>
      <c r="BB5071" s="2" t="s">
        <v>82</v>
      </c>
      <c r="BC5071" s="2">
        <v>41</v>
      </c>
      <c r="BD5071" s="2" t="s">
        <v>82</v>
      </c>
      <c r="BE5071" s="2">
        <v>41</v>
      </c>
      <c r="BF5071" s="2" t="s">
        <v>82</v>
      </c>
      <c r="BG5071" s="2"/>
      <c r="BH5071" s="2"/>
      <c r="BI5071" s="2"/>
      <c r="BJ5071" s="2">
        <v>241</v>
      </c>
      <c r="BK5071" s="2" t="s">
        <v>82</v>
      </c>
      <c r="BL5071" s="2"/>
      <c r="BM5071" s="2">
        <v>241</v>
      </c>
      <c r="BN5071" s="2" t="s">
        <v>82</v>
      </c>
      <c r="BO5071" s="2"/>
      <c r="BP5071" s="2">
        <v>241</v>
      </c>
      <c r="BQ5071" s="2" t="s">
        <v>82</v>
      </c>
      <c r="BR5071" s="2"/>
      <c r="BS5071" s="3">
        <v>40523</v>
      </c>
      <c r="BT5071" s="4">
        <v>0.46798611111111116</v>
      </c>
    </row>
    <row r="5072" spans="1:72" x14ac:dyDescent="0.25">
      <c r="A5072" s="2">
        <v>7875</v>
      </c>
      <c r="B5072" s="2">
        <v>2010</v>
      </c>
      <c r="C5072" s="2" t="s">
        <v>819</v>
      </c>
      <c r="D5072" s="2" t="s">
        <v>122</v>
      </c>
      <c r="E5072" s="2" t="s">
        <v>15532</v>
      </c>
      <c r="F5072" s="2">
        <v>451</v>
      </c>
      <c r="G5072" s="2" t="s">
        <v>879</v>
      </c>
      <c r="H5072" s="2">
        <v>31</v>
      </c>
      <c r="I5072" s="2" t="s">
        <v>880</v>
      </c>
      <c r="J5072" s="2">
        <v>326</v>
      </c>
      <c r="K5072" s="2" t="s">
        <v>881</v>
      </c>
      <c r="L5072" s="2" t="s">
        <v>882</v>
      </c>
      <c r="M5072" s="3">
        <v>40523</v>
      </c>
      <c r="N5072" s="2" t="s">
        <v>3096</v>
      </c>
      <c r="O5072" s="2"/>
      <c r="P5072" s="2"/>
      <c r="Q5072" s="2" t="str">
        <f>"117/10"</f>
        <v>117/10</v>
      </c>
      <c r="R5072" s="2"/>
      <c r="S5072" s="2" t="s">
        <v>822</v>
      </c>
      <c r="T5072" s="2">
        <v>1</v>
      </c>
      <c r="U5072" s="2" t="s">
        <v>79</v>
      </c>
      <c r="V5072" s="2">
        <v>1</v>
      </c>
      <c r="W5072" s="2" t="s">
        <v>80</v>
      </c>
      <c r="X5072" s="2">
        <v>1</v>
      </c>
      <c r="Y5072" s="2" t="s">
        <v>81</v>
      </c>
      <c r="Z5072" s="2">
        <v>10</v>
      </c>
      <c r="AA5072" s="2" t="s">
        <v>236</v>
      </c>
      <c r="AB5072" s="2">
        <v>9</v>
      </c>
      <c r="AC5072" s="2" t="s">
        <v>124</v>
      </c>
      <c r="AD5072" s="3">
        <v>40523</v>
      </c>
      <c r="AE5072" s="4">
        <v>0.41666666666666669</v>
      </c>
      <c r="AF5072" s="3">
        <v>40522</v>
      </c>
      <c r="AG5072" s="4">
        <v>0.99930555555555556</v>
      </c>
      <c r="AH5072" s="2">
        <v>4</v>
      </c>
      <c r="AI5072" s="2" t="s">
        <v>125</v>
      </c>
      <c r="AJ5072" s="2">
        <v>29</v>
      </c>
      <c r="AK5072" s="2" t="s">
        <v>227</v>
      </c>
      <c r="AL5072" s="2">
        <v>10</v>
      </c>
      <c r="AM5072" s="2" t="s">
        <v>200</v>
      </c>
      <c r="AN5072" s="2" t="s">
        <v>3040</v>
      </c>
      <c r="AO5072" s="2" t="s">
        <v>6940</v>
      </c>
      <c r="AP5072" s="2">
        <v>12</v>
      </c>
      <c r="AQ5072" s="2" t="s">
        <v>322</v>
      </c>
      <c r="AR5072" s="2" t="s">
        <v>824</v>
      </c>
      <c r="AS5072" s="2" t="s">
        <v>825</v>
      </c>
      <c r="AT5072" s="2" t="s">
        <v>15533</v>
      </c>
      <c r="AU5072" s="2"/>
      <c r="AV5072" s="2"/>
      <c r="AW5072" s="2"/>
      <c r="AX5072" s="2"/>
      <c r="AY5072" s="2">
        <v>41</v>
      </c>
      <c r="AZ5072" s="2" t="s">
        <v>82</v>
      </c>
      <c r="BA5072" s="2">
        <v>41</v>
      </c>
      <c r="BB5072" s="2" t="s">
        <v>82</v>
      </c>
      <c r="BC5072" s="2">
        <v>51</v>
      </c>
      <c r="BD5072" s="2" t="s">
        <v>827</v>
      </c>
      <c r="BE5072" s="2">
        <v>13</v>
      </c>
      <c r="BF5072" s="2" t="s">
        <v>108</v>
      </c>
      <c r="BG5072" s="2">
        <v>2459</v>
      </c>
      <c r="BH5072" s="4">
        <v>0.99930555555555556</v>
      </c>
      <c r="BI5072" s="4">
        <v>4.1666666666666664E-2</v>
      </c>
      <c r="BJ5072" s="2">
        <v>13</v>
      </c>
      <c r="BK5072" s="2" t="s">
        <v>91</v>
      </c>
      <c r="BL5072" s="2" t="s">
        <v>828</v>
      </c>
      <c r="BM5072" s="2">
        <v>13</v>
      </c>
      <c r="BN5072" s="2" t="s">
        <v>91</v>
      </c>
      <c r="BO5072" s="2"/>
      <c r="BP5072" s="2">
        <v>13</v>
      </c>
      <c r="BQ5072" s="2" t="s">
        <v>91</v>
      </c>
      <c r="BR5072" s="2" t="s">
        <v>185</v>
      </c>
      <c r="BS5072" s="3">
        <v>40523</v>
      </c>
      <c r="BT5072" s="4">
        <v>0.50091435185185185</v>
      </c>
    </row>
    <row r="5073" spans="1:72" x14ac:dyDescent="0.25">
      <c r="A5073" s="2">
        <v>7876</v>
      </c>
      <c r="B5073" s="2">
        <v>2010</v>
      </c>
      <c r="C5073" s="2" t="s">
        <v>93</v>
      </c>
      <c r="D5073" s="2" t="s">
        <v>73</v>
      </c>
      <c r="E5073" s="2"/>
      <c r="F5073" s="2">
        <v>146</v>
      </c>
      <c r="G5073" s="2" t="s">
        <v>753</v>
      </c>
      <c r="H5073" s="2">
        <v>44</v>
      </c>
      <c r="I5073" s="2" t="s">
        <v>1272</v>
      </c>
      <c r="J5073" s="2">
        <v>161</v>
      </c>
      <c r="K5073" s="2" t="s">
        <v>1900</v>
      </c>
      <c r="L5073" s="2" t="s">
        <v>1901</v>
      </c>
      <c r="M5073" s="3">
        <v>40523</v>
      </c>
      <c r="N5073" s="2" t="s">
        <v>9100</v>
      </c>
      <c r="O5073" s="2" t="s">
        <v>15534</v>
      </c>
      <c r="P5073" s="2">
        <v>19017</v>
      </c>
      <c r="Q5073" s="2" t="str">
        <f>"AP 0059/10"</f>
        <v>AP 0059/10</v>
      </c>
      <c r="R5073" s="2" t="s">
        <v>15535</v>
      </c>
      <c r="S5073" s="2"/>
      <c r="T5073" s="2">
        <v>1</v>
      </c>
      <c r="U5073" s="2" t="s">
        <v>79</v>
      </c>
      <c r="V5073" s="2">
        <v>1</v>
      </c>
      <c r="W5073" s="2" t="s">
        <v>80</v>
      </c>
      <c r="X5073" s="2">
        <v>1</v>
      </c>
      <c r="Y5073" s="2" t="s">
        <v>81</v>
      </c>
      <c r="Z5073" s="2">
        <v>1</v>
      </c>
      <c r="AA5073" s="2" t="s">
        <v>82</v>
      </c>
      <c r="AB5073" s="2">
        <v>2</v>
      </c>
      <c r="AC5073" s="2" t="s">
        <v>102</v>
      </c>
      <c r="AD5073" s="3">
        <v>40523</v>
      </c>
      <c r="AE5073" s="4">
        <v>0.4201388888888889</v>
      </c>
      <c r="AF5073" s="3">
        <v>40523</v>
      </c>
      <c r="AG5073" s="4">
        <v>0.47222222222222227</v>
      </c>
      <c r="AH5073" s="2">
        <v>6</v>
      </c>
      <c r="AI5073" s="2" t="s">
        <v>197</v>
      </c>
      <c r="AJ5073" s="2">
        <v>60</v>
      </c>
      <c r="AK5073" s="2" t="s">
        <v>543</v>
      </c>
      <c r="AL5073" s="2">
        <v>11</v>
      </c>
      <c r="AM5073" s="2" t="s">
        <v>137</v>
      </c>
      <c r="AN5073" s="2" t="s">
        <v>2249</v>
      </c>
      <c r="AO5073" s="2" t="s">
        <v>5183</v>
      </c>
      <c r="AP5073" s="2">
        <v>11</v>
      </c>
      <c r="AQ5073" s="2" t="s">
        <v>82</v>
      </c>
      <c r="AR5073" s="2" t="s">
        <v>82</v>
      </c>
      <c r="AS5073" s="2" t="s">
        <v>82</v>
      </c>
      <c r="AT5073" s="2" t="s">
        <v>15536</v>
      </c>
      <c r="AU5073" s="2"/>
      <c r="AV5073" s="2"/>
      <c r="AW5073" s="2"/>
      <c r="AX5073" s="2"/>
      <c r="AY5073" s="2">
        <v>41</v>
      </c>
      <c r="AZ5073" s="2" t="s">
        <v>82</v>
      </c>
      <c r="BA5073" s="2">
        <v>41</v>
      </c>
      <c r="BB5073" s="2" t="s">
        <v>82</v>
      </c>
      <c r="BC5073" s="2">
        <v>41</v>
      </c>
      <c r="BD5073" s="2" t="s">
        <v>82</v>
      </c>
      <c r="BE5073" s="2">
        <v>4</v>
      </c>
      <c r="BF5073" s="2" t="s">
        <v>90</v>
      </c>
      <c r="BG5073" s="2" t="s">
        <v>3890</v>
      </c>
      <c r="BH5073" s="4">
        <v>0.39583333333333331</v>
      </c>
      <c r="BI5073" s="4">
        <v>0.42708333333333331</v>
      </c>
      <c r="BJ5073" s="2">
        <v>13</v>
      </c>
      <c r="BK5073" s="2" t="s">
        <v>91</v>
      </c>
      <c r="BL5073" s="2" t="s">
        <v>5820</v>
      </c>
      <c r="BM5073" s="2">
        <v>13</v>
      </c>
      <c r="BN5073" s="2" t="s">
        <v>91</v>
      </c>
      <c r="BO5073" s="2"/>
      <c r="BP5073" s="2">
        <v>13</v>
      </c>
      <c r="BQ5073" s="2" t="s">
        <v>91</v>
      </c>
      <c r="BR5073" s="2" t="s">
        <v>15537</v>
      </c>
      <c r="BS5073" s="3">
        <v>40523</v>
      </c>
      <c r="BT5073" s="4">
        <v>0.61340277777777774</v>
      </c>
    </row>
    <row r="5074" spans="1:72" x14ac:dyDescent="0.25">
      <c r="A5074" s="2">
        <v>7877</v>
      </c>
      <c r="B5074" s="2">
        <v>2010</v>
      </c>
      <c r="C5074" s="2" t="s">
        <v>72</v>
      </c>
      <c r="D5074" s="2" t="s">
        <v>73</v>
      </c>
      <c r="E5074" s="2"/>
      <c r="F5074" s="2">
        <v>144</v>
      </c>
      <c r="G5074" s="2" t="s">
        <v>537</v>
      </c>
      <c r="H5074" s="2">
        <v>108</v>
      </c>
      <c r="I5074" s="2" t="s">
        <v>1096</v>
      </c>
      <c r="J5074" s="2">
        <v>160</v>
      </c>
      <c r="K5074" s="2" t="s">
        <v>538</v>
      </c>
      <c r="L5074" s="2" t="s">
        <v>539</v>
      </c>
      <c r="M5074" s="3">
        <v>40523</v>
      </c>
      <c r="N5074" s="2" t="s">
        <v>13400</v>
      </c>
      <c r="O5074" s="2" t="s">
        <v>82</v>
      </c>
      <c r="P5074" s="2" t="s">
        <v>82</v>
      </c>
      <c r="Q5074" s="2" t="str">
        <f>"CAUSA 0019/10"</f>
        <v>CAUSA 0019/10</v>
      </c>
      <c r="R5074" s="2" t="s">
        <v>15538</v>
      </c>
      <c r="S5074" s="2"/>
      <c r="T5074" s="2">
        <v>1</v>
      </c>
      <c r="U5074" s="2" t="s">
        <v>79</v>
      </c>
      <c r="V5074" s="2">
        <v>1</v>
      </c>
      <c r="W5074" s="2" t="s">
        <v>80</v>
      </c>
      <c r="X5074" s="2">
        <v>12</v>
      </c>
      <c r="Y5074" s="2" t="s">
        <v>148</v>
      </c>
      <c r="Z5074" s="2">
        <v>1</v>
      </c>
      <c r="AA5074" s="2" t="s">
        <v>82</v>
      </c>
      <c r="AB5074" s="2">
        <v>6</v>
      </c>
      <c r="AC5074" s="2" t="s">
        <v>83</v>
      </c>
      <c r="AD5074" s="3">
        <v>40523</v>
      </c>
      <c r="AE5074" s="2"/>
      <c r="AF5074" s="3">
        <v>40523</v>
      </c>
      <c r="AG5074" s="4">
        <v>0.4548611111111111</v>
      </c>
      <c r="AH5074" s="2">
        <v>6</v>
      </c>
      <c r="AI5074" s="2" t="s">
        <v>197</v>
      </c>
      <c r="AJ5074" s="2">
        <v>60</v>
      </c>
      <c r="AK5074" s="2" t="s">
        <v>543</v>
      </c>
      <c r="AL5074" s="2">
        <v>22</v>
      </c>
      <c r="AM5074" s="2" t="s">
        <v>1853</v>
      </c>
      <c r="AN5074" s="2" t="s">
        <v>82</v>
      </c>
      <c r="AO5074" s="2" t="s">
        <v>15539</v>
      </c>
      <c r="AP5074" s="2">
        <v>11</v>
      </c>
      <c r="AQ5074" s="2" t="s">
        <v>82</v>
      </c>
      <c r="AR5074" s="2" t="s">
        <v>82</v>
      </c>
      <c r="AS5074" s="2" t="s">
        <v>82</v>
      </c>
      <c r="AT5074" s="2" t="s">
        <v>15540</v>
      </c>
      <c r="AU5074" s="2"/>
      <c r="AV5074" s="2"/>
      <c r="AW5074" s="2"/>
      <c r="AX5074" s="2"/>
      <c r="AY5074" s="2">
        <v>41</v>
      </c>
      <c r="AZ5074" s="2" t="s">
        <v>82</v>
      </c>
      <c r="BA5074" s="2">
        <v>41</v>
      </c>
      <c r="BB5074" s="2" t="s">
        <v>82</v>
      </c>
      <c r="BC5074" s="2">
        <v>41</v>
      </c>
      <c r="BD5074" s="2" t="s">
        <v>82</v>
      </c>
      <c r="BE5074" s="2">
        <v>4</v>
      </c>
      <c r="BF5074" s="2" t="s">
        <v>90</v>
      </c>
      <c r="BG5074" s="2" t="s">
        <v>3890</v>
      </c>
      <c r="BH5074" s="4">
        <v>0.39583333333333331</v>
      </c>
      <c r="BI5074" s="2"/>
      <c r="BJ5074" s="2">
        <v>13</v>
      </c>
      <c r="BK5074" s="2" t="s">
        <v>91</v>
      </c>
      <c r="BL5074" s="2" t="s">
        <v>5820</v>
      </c>
      <c r="BM5074" s="2">
        <v>13</v>
      </c>
      <c r="BN5074" s="2" t="s">
        <v>91</v>
      </c>
      <c r="BO5074" s="2"/>
      <c r="BP5074" s="2">
        <v>13</v>
      </c>
      <c r="BQ5074" s="2" t="s">
        <v>91</v>
      </c>
      <c r="BR5074" s="2" t="s">
        <v>895</v>
      </c>
      <c r="BS5074" s="3">
        <v>40523</v>
      </c>
      <c r="BT5074" s="4">
        <v>0.67872685185185189</v>
      </c>
    </row>
    <row r="5075" spans="1:72" x14ac:dyDescent="0.25">
      <c r="A5075" s="2">
        <v>7878</v>
      </c>
      <c r="B5075" s="2">
        <v>2010</v>
      </c>
      <c r="C5075" s="2" t="s">
        <v>93</v>
      </c>
      <c r="D5075" s="2" t="s">
        <v>73</v>
      </c>
      <c r="E5075" s="2"/>
      <c r="F5075" s="2">
        <v>229</v>
      </c>
      <c r="G5075" s="2" t="s">
        <v>2244</v>
      </c>
      <c r="H5075" s="2">
        <v>9</v>
      </c>
      <c r="I5075" s="2" t="s">
        <v>794</v>
      </c>
      <c r="J5075" s="2">
        <v>243</v>
      </c>
      <c r="K5075" s="2" t="s">
        <v>2160</v>
      </c>
      <c r="L5075" s="2" t="s">
        <v>2145</v>
      </c>
      <c r="M5075" s="3">
        <v>40523</v>
      </c>
      <c r="N5075" s="2" t="s">
        <v>13038</v>
      </c>
      <c r="O5075" s="2" t="s">
        <v>15541</v>
      </c>
      <c r="P5075" s="7">
        <v>11405</v>
      </c>
      <c r="Q5075" s="2" t="str">
        <f>""</f>
        <v/>
      </c>
      <c r="R5075" s="2"/>
      <c r="S5075" s="2"/>
      <c r="T5075" s="2">
        <v>1</v>
      </c>
      <c r="U5075" s="2" t="s">
        <v>79</v>
      </c>
      <c r="V5075" s="2">
        <v>1</v>
      </c>
      <c r="W5075" s="2" t="s">
        <v>80</v>
      </c>
      <c r="X5075" s="2">
        <v>10</v>
      </c>
      <c r="Y5075" s="2" t="s">
        <v>226</v>
      </c>
      <c r="Z5075" s="2">
        <v>6</v>
      </c>
      <c r="AA5075" s="2" t="s">
        <v>101</v>
      </c>
      <c r="AB5075" s="2">
        <v>2</v>
      </c>
      <c r="AC5075" s="2" t="s">
        <v>102</v>
      </c>
      <c r="AD5075" s="3">
        <v>40523</v>
      </c>
      <c r="AE5075" s="4">
        <v>0.4236111111111111</v>
      </c>
      <c r="AF5075" s="3">
        <v>40523</v>
      </c>
      <c r="AG5075" s="4">
        <v>0.45833333333333331</v>
      </c>
      <c r="AH5075" s="2">
        <v>2</v>
      </c>
      <c r="AI5075" s="2" t="s">
        <v>84</v>
      </c>
      <c r="AJ5075" s="2">
        <v>9</v>
      </c>
      <c r="AK5075" s="2" t="s">
        <v>103</v>
      </c>
      <c r="AL5075" s="2">
        <v>14</v>
      </c>
      <c r="AM5075" s="2" t="s">
        <v>216</v>
      </c>
      <c r="AN5075" s="2"/>
      <c r="AO5075" s="2" t="s">
        <v>15542</v>
      </c>
      <c r="AP5075" s="2">
        <v>11</v>
      </c>
      <c r="AQ5075" s="2" t="s">
        <v>82</v>
      </c>
      <c r="AR5075" s="2"/>
      <c r="AS5075" s="2"/>
      <c r="AT5075" s="2" t="s">
        <v>15543</v>
      </c>
      <c r="AU5075" s="2"/>
      <c r="AV5075" s="2"/>
      <c r="AW5075" s="2"/>
      <c r="AX5075" s="2"/>
      <c r="AY5075" s="2">
        <v>41</v>
      </c>
      <c r="AZ5075" s="2" t="s">
        <v>82</v>
      </c>
      <c r="BA5075" s="2">
        <v>41</v>
      </c>
      <c r="BB5075" s="2" t="s">
        <v>82</v>
      </c>
      <c r="BC5075" s="2">
        <v>41</v>
      </c>
      <c r="BD5075" s="2" t="s">
        <v>82</v>
      </c>
      <c r="BE5075" s="2">
        <v>12</v>
      </c>
      <c r="BF5075" s="2" t="s">
        <v>5858</v>
      </c>
      <c r="BG5075" s="2" t="s">
        <v>15544</v>
      </c>
      <c r="BH5075" s="4">
        <v>0.4236111111111111</v>
      </c>
      <c r="BI5075" s="2"/>
      <c r="BJ5075" s="2">
        <v>75</v>
      </c>
      <c r="BK5075" s="2" t="s">
        <v>1264</v>
      </c>
      <c r="BL5075" s="2" t="s">
        <v>5861</v>
      </c>
      <c r="BM5075" s="2">
        <v>13</v>
      </c>
      <c r="BN5075" s="2" t="s">
        <v>91</v>
      </c>
      <c r="BO5075" s="2"/>
      <c r="BP5075" s="2">
        <v>13</v>
      </c>
      <c r="BQ5075" s="2" t="s">
        <v>91</v>
      </c>
      <c r="BR5075" s="2" t="s">
        <v>185</v>
      </c>
      <c r="BS5075" s="3">
        <v>40523</v>
      </c>
      <c r="BT5075" s="4">
        <v>0.72901620370370368</v>
      </c>
    </row>
    <row r="5076" spans="1:72" x14ac:dyDescent="0.25">
      <c r="A5076" s="2">
        <v>7879</v>
      </c>
      <c r="B5076" s="2">
        <v>2010</v>
      </c>
      <c r="C5076" s="2" t="s">
        <v>72</v>
      </c>
      <c r="D5076" s="2" t="s">
        <v>73</v>
      </c>
      <c r="E5076" s="2"/>
      <c r="F5076" s="2">
        <v>2</v>
      </c>
      <c r="G5076" s="2" t="s">
        <v>113</v>
      </c>
      <c r="H5076" s="2">
        <v>149</v>
      </c>
      <c r="I5076" s="2" t="s">
        <v>14672</v>
      </c>
      <c r="J5076" s="2">
        <v>300</v>
      </c>
      <c r="K5076" s="2" t="s">
        <v>114</v>
      </c>
      <c r="L5076" s="2" t="s">
        <v>115</v>
      </c>
      <c r="M5076" s="3">
        <v>40523</v>
      </c>
      <c r="N5076" s="2"/>
      <c r="O5076" s="2"/>
      <c r="P5076" s="2"/>
      <c r="Q5076" s="2" t="str">
        <f>"672-E/10"</f>
        <v>672-E/10</v>
      </c>
      <c r="R5076" s="2" t="s">
        <v>480</v>
      </c>
      <c r="S5076" s="2" t="s">
        <v>480</v>
      </c>
      <c r="T5076" s="2">
        <v>1</v>
      </c>
      <c r="U5076" s="2" t="s">
        <v>79</v>
      </c>
      <c r="V5076" s="2">
        <v>1</v>
      </c>
      <c r="W5076" s="2" t="s">
        <v>80</v>
      </c>
      <c r="X5076" s="2">
        <v>12</v>
      </c>
      <c r="Y5076" s="2" t="s">
        <v>148</v>
      </c>
      <c r="Z5076" s="2">
        <v>1</v>
      </c>
      <c r="AA5076" s="2" t="s">
        <v>82</v>
      </c>
      <c r="AB5076" s="2">
        <v>6</v>
      </c>
      <c r="AC5076" s="2" t="s">
        <v>83</v>
      </c>
      <c r="AD5076" s="2"/>
      <c r="AE5076" s="2"/>
      <c r="AF5076" s="3">
        <v>40523</v>
      </c>
      <c r="AG5076" s="4">
        <v>0.625</v>
      </c>
      <c r="AH5076" s="2">
        <v>2</v>
      </c>
      <c r="AI5076" s="2" t="s">
        <v>84</v>
      </c>
      <c r="AJ5076" s="2">
        <v>9</v>
      </c>
      <c r="AK5076" s="2" t="s">
        <v>103</v>
      </c>
      <c r="AL5076" s="2">
        <v>26</v>
      </c>
      <c r="AM5076" s="2" t="s">
        <v>6036</v>
      </c>
      <c r="AN5076" s="2"/>
      <c r="AO5076" s="2" t="s">
        <v>15545</v>
      </c>
      <c r="AP5076" s="2">
        <v>11</v>
      </c>
      <c r="AQ5076" s="2" t="s">
        <v>82</v>
      </c>
      <c r="AR5076" s="2"/>
      <c r="AS5076" s="2"/>
      <c r="AT5076" s="2" t="s">
        <v>15546</v>
      </c>
      <c r="AU5076" s="2"/>
      <c r="AV5076" s="2"/>
      <c r="AW5076" s="2"/>
      <c r="AX5076" s="2"/>
      <c r="AY5076" s="2">
        <v>41</v>
      </c>
      <c r="AZ5076" s="2" t="s">
        <v>82</v>
      </c>
      <c r="BA5076" s="2">
        <v>41</v>
      </c>
      <c r="BB5076" s="2" t="s">
        <v>82</v>
      </c>
      <c r="BC5076" s="2">
        <v>41</v>
      </c>
      <c r="BD5076" s="2" t="s">
        <v>82</v>
      </c>
      <c r="BE5076" s="2">
        <v>41</v>
      </c>
      <c r="BF5076" s="2" t="s">
        <v>82</v>
      </c>
      <c r="BG5076" s="2"/>
      <c r="BH5076" s="2"/>
      <c r="BI5076" s="2"/>
      <c r="BJ5076" s="2">
        <v>241</v>
      </c>
      <c r="BK5076" s="2" t="s">
        <v>82</v>
      </c>
      <c r="BL5076" s="2"/>
      <c r="BM5076" s="2">
        <v>241</v>
      </c>
      <c r="BN5076" s="2" t="s">
        <v>82</v>
      </c>
      <c r="BO5076" s="2"/>
      <c r="BP5076" s="2">
        <v>241</v>
      </c>
      <c r="BQ5076" s="2" t="s">
        <v>82</v>
      </c>
      <c r="BR5076" s="2"/>
      <c r="BS5076" s="3">
        <v>40523</v>
      </c>
      <c r="BT5076" s="4">
        <v>0.86460648148148145</v>
      </c>
    </row>
    <row r="5077" spans="1:72" x14ac:dyDescent="0.25">
      <c r="A5077" s="2">
        <v>7880</v>
      </c>
      <c r="B5077" s="2">
        <v>2010</v>
      </c>
      <c r="C5077" s="2" t="s">
        <v>764</v>
      </c>
      <c r="D5077" s="2" t="s">
        <v>73</v>
      </c>
      <c r="E5077" s="2"/>
      <c r="F5077" s="2">
        <v>389</v>
      </c>
      <c r="G5077" s="2" t="s">
        <v>1819</v>
      </c>
      <c r="H5077" s="2">
        <v>4</v>
      </c>
      <c r="I5077" s="2" t="s">
        <v>173</v>
      </c>
      <c r="J5077" s="2">
        <v>399</v>
      </c>
      <c r="K5077" s="2" t="s">
        <v>1820</v>
      </c>
      <c r="L5077" s="2" t="s">
        <v>1821</v>
      </c>
      <c r="M5077" s="3">
        <v>40524</v>
      </c>
      <c r="N5077" s="2" t="s">
        <v>2549</v>
      </c>
      <c r="O5077" s="2" t="s">
        <v>107</v>
      </c>
      <c r="P5077" s="2" t="s">
        <v>107</v>
      </c>
      <c r="Q5077" s="2" t="str">
        <f>"670-E/10"</f>
        <v>670-E/10</v>
      </c>
      <c r="R5077" s="2" t="s">
        <v>5676</v>
      </c>
      <c r="S5077" s="2" t="s">
        <v>5676</v>
      </c>
      <c r="T5077" s="2">
        <v>1</v>
      </c>
      <c r="U5077" s="2" t="s">
        <v>79</v>
      </c>
      <c r="V5077" s="2">
        <v>1</v>
      </c>
      <c r="W5077" s="2" t="s">
        <v>80</v>
      </c>
      <c r="X5077" s="2">
        <v>1</v>
      </c>
      <c r="Y5077" s="2" t="s">
        <v>81</v>
      </c>
      <c r="Z5077" s="2">
        <v>1</v>
      </c>
      <c r="AA5077" s="2" t="s">
        <v>82</v>
      </c>
      <c r="AB5077" s="2">
        <v>9</v>
      </c>
      <c r="AC5077" s="2" t="s">
        <v>124</v>
      </c>
      <c r="AD5077" s="3">
        <v>40522</v>
      </c>
      <c r="AE5077" s="4">
        <v>0.57638888888888895</v>
      </c>
      <c r="AF5077" s="3">
        <v>40522</v>
      </c>
      <c r="AG5077" s="4">
        <v>0.83333333333333337</v>
      </c>
      <c r="AH5077" s="2">
        <v>2</v>
      </c>
      <c r="AI5077" s="2" t="s">
        <v>84</v>
      </c>
      <c r="AJ5077" s="2">
        <v>9</v>
      </c>
      <c r="AK5077" s="2" t="s">
        <v>103</v>
      </c>
      <c r="AL5077" s="2">
        <v>25</v>
      </c>
      <c r="AM5077" s="2" t="s">
        <v>3073</v>
      </c>
      <c r="AN5077" s="2" t="s">
        <v>179</v>
      </c>
      <c r="AO5077" s="2" t="s">
        <v>987</v>
      </c>
      <c r="AP5077" s="2">
        <v>11</v>
      </c>
      <c r="AQ5077" s="2" t="s">
        <v>82</v>
      </c>
      <c r="AR5077" s="2"/>
      <c r="AS5077" s="2"/>
      <c r="AT5077" s="2" t="s">
        <v>15547</v>
      </c>
      <c r="AU5077" s="2"/>
      <c r="AV5077" s="2"/>
      <c r="AW5077" s="2"/>
      <c r="AX5077" s="2"/>
      <c r="AY5077" s="2">
        <v>41</v>
      </c>
      <c r="AZ5077" s="2" t="s">
        <v>82</v>
      </c>
      <c r="BA5077" s="2">
        <v>41</v>
      </c>
      <c r="BB5077" s="2" t="s">
        <v>82</v>
      </c>
      <c r="BC5077" s="2">
        <v>41</v>
      </c>
      <c r="BD5077" s="2" t="s">
        <v>82</v>
      </c>
      <c r="BE5077" s="2">
        <v>41</v>
      </c>
      <c r="BF5077" s="2" t="s">
        <v>82</v>
      </c>
      <c r="BG5077" s="2"/>
      <c r="BH5077" s="2"/>
      <c r="BI5077" s="2"/>
      <c r="BJ5077" s="2">
        <v>241</v>
      </c>
      <c r="BK5077" s="2" t="s">
        <v>82</v>
      </c>
      <c r="BL5077" s="2"/>
      <c r="BM5077" s="2">
        <v>241</v>
      </c>
      <c r="BN5077" s="2" t="s">
        <v>82</v>
      </c>
      <c r="BO5077" s="2"/>
      <c r="BP5077" s="2">
        <v>241</v>
      </c>
      <c r="BQ5077" s="2" t="s">
        <v>82</v>
      </c>
      <c r="BR5077" s="2"/>
      <c r="BS5077" s="3">
        <v>40524</v>
      </c>
      <c r="BT5077" s="4">
        <v>5.8726851851851856E-2</v>
      </c>
    </row>
    <row r="5078" spans="1:72" x14ac:dyDescent="0.25">
      <c r="A5078" s="2">
        <v>7881</v>
      </c>
      <c r="B5078" s="2">
        <v>2010</v>
      </c>
      <c r="C5078" s="2" t="s">
        <v>93</v>
      </c>
      <c r="D5078" s="2" t="s">
        <v>73</v>
      </c>
      <c r="E5078" s="2"/>
      <c r="F5078" s="2">
        <v>740</v>
      </c>
      <c r="G5078" s="2" t="s">
        <v>15548</v>
      </c>
      <c r="H5078" s="2">
        <v>155</v>
      </c>
      <c r="I5078" s="2" t="s">
        <v>15549</v>
      </c>
      <c r="J5078" s="2">
        <v>1</v>
      </c>
      <c r="K5078" s="2" t="s">
        <v>107</v>
      </c>
      <c r="L5078" s="2" t="s">
        <v>107</v>
      </c>
      <c r="M5078" s="3">
        <v>40524</v>
      </c>
      <c r="N5078" s="2" t="s">
        <v>15550</v>
      </c>
      <c r="O5078" s="2" t="s">
        <v>15551</v>
      </c>
      <c r="P5078" s="7">
        <v>15925</v>
      </c>
      <c r="Q5078" s="2" t="str">
        <f>""</f>
        <v/>
      </c>
      <c r="R5078" s="2"/>
      <c r="S5078" s="2"/>
      <c r="T5078" s="2">
        <v>1</v>
      </c>
      <c r="U5078" s="2" t="s">
        <v>79</v>
      </c>
      <c r="V5078" s="2">
        <v>1</v>
      </c>
      <c r="W5078" s="2" t="s">
        <v>80</v>
      </c>
      <c r="X5078" s="2">
        <v>10</v>
      </c>
      <c r="Y5078" s="2" t="s">
        <v>226</v>
      </c>
      <c r="Z5078" s="2">
        <v>6</v>
      </c>
      <c r="AA5078" s="2" t="s">
        <v>101</v>
      </c>
      <c r="AB5078" s="2">
        <v>2</v>
      </c>
      <c r="AC5078" s="2" t="s">
        <v>102</v>
      </c>
      <c r="AD5078" s="3">
        <v>40522</v>
      </c>
      <c r="AE5078" s="4">
        <v>0.5</v>
      </c>
      <c r="AF5078" s="3">
        <v>40522</v>
      </c>
      <c r="AG5078" s="4">
        <v>0.76041666666666663</v>
      </c>
      <c r="AH5078" s="2">
        <v>2</v>
      </c>
      <c r="AI5078" s="2" t="s">
        <v>84</v>
      </c>
      <c r="AJ5078" s="2">
        <v>9</v>
      </c>
      <c r="AK5078" s="2" t="s">
        <v>103</v>
      </c>
      <c r="AL5078" s="2">
        <v>14</v>
      </c>
      <c r="AM5078" s="2" t="s">
        <v>216</v>
      </c>
      <c r="AN5078" s="2"/>
      <c r="AO5078" s="2" t="s">
        <v>12818</v>
      </c>
      <c r="AP5078" s="2">
        <v>11</v>
      </c>
      <c r="AQ5078" s="2" t="s">
        <v>82</v>
      </c>
      <c r="AR5078" s="2"/>
      <c r="AS5078" s="2"/>
      <c r="AT5078" s="2" t="s">
        <v>15552</v>
      </c>
      <c r="AU5078" s="2">
        <v>2</v>
      </c>
      <c r="AV5078" s="2"/>
      <c r="AW5078" s="2"/>
      <c r="AX5078" s="2"/>
      <c r="AY5078" s="2">
        <v>41</v>
      </c>
      <c r="AZ5078" s="2" t="s">
        <v>82</v>
      </c>
      <c r="BA5078" s="2">
        <v>41</v>
      </c>
      <c r="BB5078" s="2" t="s">
        <v>82</v>
      </c>
      <c r="BC5078" s="2">
        <v>41</v>
      </c>
      <c r="BD5078" s="2" t="s">
        <v>82</v>
      </c>
      <c r="BE5078" s="2">
        <v>23</v>
      </c>
      <c r="BF5078" s="2" t="s">
        <v>183</v>
      </c>
      <c r="BG5078" s="2" t="s">
        <v>11357</v>
      </c>
      <c r="BH5078" s="4">
        <v>0.45833333333333331</v>
      </c>
      <c r="BI5078" s="2"/>
      <c r="BJ5078" s="2">
        <v>73</v>
      </c>
      <c r="BK5078" s="2" t="s">
        <v>186</v>
      </c>
      <c r="BL5078" s="2" t="s">
        <v>187</v>
      </c>
      <c r="BM5078" s="2">
        <v>13</v>
      </c>
      <c r="BN5078" s="2" t="s">
        <v>91</v>
      </c>
      <c r="BO5078" s="2"/>
      <c r="BP5078" s="2">
        <v>13</v>
      </c>
      <c r="BQ5078" s="2" t="s">
        <v>91</v>
      </c>
      <c r="BR5078" s="2" t="s">
        <v>360</v>
      </c>
      <c r="BS5078" s="3">
        <v>40524</v>
      </c>
      <c r="BT5078" s="4">
        <v>0.10024305555555556</v>
      </c>
    </row>
    <row r="5079" spans="1:72" x14ac:dyDescent="0.25">
      <c r="A5079" s="2">
        <v>7882</v>
      </c>
      <c r="B5079" s="2">
        <v>2010</v>
      </c>
      <c r="C5079" s="2" t="s">
        <v>72</v>
      </c>
      <c r="D5079" s="2" t="s">
        <v>73</v>
      </c>
      <c r="E5079" s="2"/>
      <c r="F5079" s="2">
        <v>37</v>
      </c>
      <c r="G5079" s="2" t="s">
        <v>1790</v>
      </c>
      <c r="H5079" s="2">
        <v>31</v>
      </c>
      <c r="I5079" s="2" t="s">
        <v>880</v>
      </c>
      <c r="J5079" s="2">
        <v>326</v>
      </c>
      <c r="K5079" s="2" t="s">
        <v>881</v>
      </c>
      <c r="L5079" s="2" t="s">
        <v>882</v>
      </c>
      <c r="M5079" s="3">
        <v>40524</v>
      </c>
      <c r="N5079" s="2" t="s">
        <v>1072</v>
      </c>
      <c r="O5079" s="2"/>
      <c r="P5079" s="2"/>
      <c r="Q5079" s="2" t="str">
        <f>"118/10"</f>
        <v>118/10</v>
      </c>
      <c r="R5079" s="2"/>
      <c r="S5079" s="2" t="s">
        <v>1794</v>
      </c>
      <c r="T5079" s="2">
        <v>1</v>
      </c>
      <c r="U5079" s="2" t="s">
        <v>79</v>
      </c>
      <c r="V5079" s="2">
        <v>1</v>
      </c>
      <c r="W5079" s="2" t="s">
        <v>80</v>
      </c>
      <c r="X5079" s="2">
        <v>12</v>
      </c>
      <c r="Y5079" s="2" t="s">
        <v>148</v>
      </c>
      <c r="Z5079" s="2">
        <v>1</v>
      </c>
      <c r="AA5079" s="2" t="s">
        <v>82</v>
      </c>
      <c r="AB5079" s="2">
        <v>6</v>
      </c>
      <c r="AC5079" s="2" t="s">
        <v>83</v>
      </c>
      <c r="AD5079" s="3">
        <v>40523</v>
      </c>
      <c r="AE5079" s="2"/>
      <c r="AF5079" s="3">
        <v>40523</v>
      </c>
      <c r="AG5079" s="4">
        <v>0.98611111111111116</v>
      </c>
      <c r="AH5079" s="2">
        <v>4</v>
      </c>
      <c r="AI5079" s="2" t="s">
        <v>125</v>
      </c>
      <c r="AJ5079" s="2">
        <v>29</v>
      </c>
      <c r="AK5079" s="2" t="s">
        <v>227</v>
      </c>
      <c r="AL5079" s="2">
        <v>22</v>
      </c>
      <c r="AM5079" s="2" t="s">
        <v>1853</v>
      </c>
      <c r="AN5079" s="2"/>
      <c r="AO5079" s="2"/>
      <c r="AP5079" s="2">
        <v>11</v>
      </c>
      <c r="AQ5079" s="2" t="s">
        <v>82</v>
      </c>
      <c r="AR5079" s="2"/>
      <c r="AS5079" s="2"/>
      <c r="AT5079" s="2" t="s">
        <v>15553</v>
      </c>
      <c r="AU5079" s="2"/>
      <c r="AV5079" s="2"/>
      <c r="AW5079" s="2"/>
      <c r="AX5079" s="2"/>
      <c r="AY5079" s="2">
        <v>41</v>
      </c>
      <c r="AZ5079" s="2" t="s">
        <v>82</v>
      </c>
      <c r="BA5079" s="2">
        <v>152</v>
      </c>
      <c r="BB5079" s="2" t="s">
        <v>13823</v>
      </c>
      <c r="BC5079" s="2">
        <v>47</v>
      </c>
      <c r="BD5079" s="2" t="s">
        <v>167</v>
      </c>
      <c r="BE5079" s="2">
        <v>47</v>
      </c>
      <c r="BF5079" s="2" t="s">
        <v>167</v>
      </c>
      <c r="BG5079" s="2">
        <v>2459</v>
      </c>
      <c r="BH5079" s="4">
        <v>0.90277777777777779</v>
      </c>
      <c r="BI5079" s="4">
        <v>0.96527777777777779</v>
      </c>
      <c r="BJ5079" s="2">
        <v>13</v>
      </c>
      <c r="BK5079" s="2" t="s">
        <v>91</v>
      </c>
      <c r="BL5079" s="2" t="s">
        <v>828</v>
      </c>
      <c r="BM5079" s="2">
        <v>13</v>
      </c>
      <c r="BN5079" s="2" t="s">
        <v>91</v>
      </c>
      <c r="BO5079" s="2"/>
      <c r="BP5079" s="2">
        <v>13</v>
      </c>
      <c r="BQ5079" s="2" t="s">
        <v>91</v>
      </c>
      <c r="BR5079" s="2" t="s">
        <v>185</v>
      </c>
      <c r="BS5079" s="3">
        <v>40524</v>
      </c>
      <c r="BT5079" s="4">
        <v>0.13920138888888889</v>
      </c>
    </row>
    <row r="5080" spans="1:72" x14ac:dyDescent="0.25">
      <c r="A5080" s="2">
        <v>7883</v>
      </c>
      <c r="B5080" s="2">
        <v>2010</v>
      </c>
      <c r="C5080" s="2" t="s">
        <v>171</v>
      </c>
      <c r="D5080" s="2" t="s">
        <v>73</v>
      </c>
      <c r="E5080" s="2"/>
      <c r="F5080" s="2">
        <v>400</v>
      </c>
      <c r="G5080" s="2" t="s">
        <v>3601</v>
      </c>
      <c r="H5080" s="2">
        <v>17</v>
      </c>
      <c r="I5080" s="2" t="s">
        <v>3602</v>
      </c>
      <c r="J5080" s="2">
        <v>692</v>
      </c>
      <c r="K5080" s="2" t="s">
        <v>574</v>
      </c>
      <c r="L5080" s="2" t="s">
        <v>575</v>
      </c>
      <c r="M5080" s="3">
        <v>40524</v>
      </c>
      <c r="N5080" s="2" t="s">
        <v>15376</v>
      </c>
      <c r="O5080" s="2"/>
      <c r="P5080" s="2"/>
      <c r="Q5080" s="2" t="str">
        <f>"673-E/10"</f>
        <v>673-E/10</v>
      </c>
      <c r="R5080" s="2" t="s">
        <v>391</v>
      </c>
      <c r="S5080" s="2" t="s">
        <v>391</v>
      </c>
      <c r="T5080" s="2">
        <v>1</v>
      </c>
      <c r="U5080" s="2" t="s">
        <v>79</v>
      </c>
      <c r="V5080" s="2">
        <v>1</v>
      </c>
      <c r="W5080" s="2" t="s">
        <v>80</v>
      </c>
      <c r="X5080" s="2">
        <v>1</v>
      </c>
      <c r="Y5080" s="2" t="s">
        <v>81</v>
      </c>
      <c r="Z5080" s="2">
        <v>1</v>
      </c>
      <c r="AA5080" s="2" t="s">
        <v>82</v>
      </c>
      <c r="AB5080" s="2">
        <v>1</v>
      </c>
      <c r="AC5080" s="2" t="s">
        <v>178</v>
      </c>
      <c r="AD5080" s="3">
        <v>40524</v>
      </c>
      <c r="AE5080" s="4">
        <v>0.125</v>
      </c>
      <c r="AF5080" s="3">
        <v>40524</v>
      </c>
      <c r="AG5080" s="4">
        <v>0.33333333333333331</v>
      </c>
      <c r="AH5080" s="2">
        <v>2</v>
      </c>
      <c r="AI5080" s="2" t="s">
        <v>84</v>
      </c>
      <c r="AJ5080" s="2">
        <v>9</v>
      </c>
      <c r="AK5080" s="2" t="s">
        <v>103</v>
      </c>
      <c r="AL5080" s="2">
        <v>25</v>
      </c>
      <c r="AM5080" s="2" t="s">
        <v>3073</v>
      </c>
      <c r="AN5080" s="2" t="s">
        <v>179</v>
      </c>
      <c r="AO5080" s="2" t="s">
        <v>987</v>
      </c>
      <c r="AP5080" s="2">
        <v>11</v>
      </c>
      <c r="AQ5080" s="2" t="s">
        <v>82</v>
      </c>
      <c r="AR5080" s="2"/>
      <c r="AS5080" s="2"/>
      <c r="AT5080" s="2" t="s">
        <v>15554</v>
      </c>
      <c r="AU5080" s="2"/>
      <c r="AV5080" s="2">
        <v>1</v>
      </c>
      <c r="AW5080" s="2"/>
      <c r="AX5080" s="2"/>
      <c r="AY5080" s="2">
        <v>41</v>
      </c>
      <c r="AZ5080" s="2" t="s">
        <v>82</v>
      </c>
      <c r="BA5080" s="2">
        <v>41</v>
      </c>
      <c r="BB5080" s="2" t="s">
        <v>82</v>
      </c>
      <c r="BC5080" s="2">
        <v>41</v>
      </c>
      <c r="BD5080" s="2" t="s">
        <v>82</v>
      </c>
      <c r="BE5080" s="2">
        <v>23</v>
      </c>
      <c r="BF5080" s="2" t="s">
        <v>183</v>
      </c>
      <c r="BG5080" s="2" t="s">
        <v>4871</v>
      </c>
      <c r="BH5080" s="2"/>
      <c r="BI5080" s="4">
        <v>0.26041666666666669</v>
      </c>
      <c r="BJ5080" s="2">
        <v>13</v>
      </c>
      <c r="BK5080" s="2" t="s">
        <v>91</v>
      </c>
      <c r="BL5080" s="2" t="s">
        <v>360</v>
      </c>
      <c r="BM5080" s="2">
        <v>73</v>
      </c>
      <c r="BN5080" s="2" t="s">
        <v>186</v>
      </c>
      <c r="BO5080" s="2"/>
      <c r="BP5080" s="2">
        <v>73</v>
      </c>
      <c r="BQ5080" s="2" t="s">
        <v>186</v>
      </c>
      <c r="BR5080" s="2" t="s">
        <v>187</v>
      </c>
      <c r="BS5080" s="3">
        <v>40524</v>
      </c>
      <c r="BT5080" s="4">
        <v>0.59763888888888894</v>
      </c>
    </row>
    <row r="5081" spans="1:72" x14ac:dyDescent="0.25">
      <c r="A5081" s="2">
        <v>7884</v>
      </c>
      <c r="B5081" s="2">
        <v>2010</v>
      </c>
      <c r="C5081" s="2" t="s">
        <v>72</v>
      </c>
      <c r="D5081" s="2" t="s">
        <v>73</v>
      </c>
      <c r="E5081" s="2"/>
      <c r="F5081" s="2">
        <v>2</v>
      </c>
      <c r="G5081" s="2" t="s">
        <v>113</v>
      </c>
      <c r="H5081" s="2">
        <v>50</v>
      </c>
      <c r="I5081" s="2" t="s">
        <v>107</v>
      </c>
      <c r="J5081" s="2">
        <v>300</v>
      </c>
      <c r="K5081" s="2" t="s">
        <v>114</v>
      </c>
      <c r="L5081" s="2" t="s">
        <v>115</v>
      </c>
      <c r="M5081" s="3">
        <v>40524</v>
      </c>
      <c r="N5081" s="2" t="s">
        <v>107</v>
      </c>
      <c r="O5081" s="2"/>
      <c r="P5081" s="2"/>
      <c r="Q5081" s="2" t="str">
        <f>"674-E/10"</f>
        <v>674-E/10</v>
      </c>
      <c r="R5081" s="2" t="s">
        <v>116</v>
      </c>
      <c r="S5081" s="2" t="s">
        <v>116</v>
      </c>
      <c r="T5081" s="2">
        <v>1</v>
      </c>
      <c r="U5081" s="2" t="s">
        <v>79</v>
      </c>
      <c r="V5081" s="2">
        <v>1</v>
      </c>
      <c r="W5081" s="2" t="s">
        <v>80</v>
      </c>
      <c r="X5081" s="2">
        <v>12</v>
      </c>
      <c r="Y5081" s="2" t="s">
        <v>148</v>
      </c>
      <c r="Z5081" s="2">
        <v>1</v>
      </c>
      <c r="AA5081" s="2" t="s">
        <v>82</v>
      </c>
      <c r="AB5081" s="2">
        <v>6</v>
      </c>
      <c r="AC5081" s="2" t="s">
        <v>83</v>
      </c>
      <c r="AD5081" s="3">
        <v>40524</v>
      </c>
      <c r="AE5081" s="2"/>
      <c r="AF5081" s="3">
        <v>40524</v>
      </c>
      <c r="AG5081" s="4">
        <v>0.41666666666666669</v>
      </c>
      <c r="AH5081" s="2">
        <v>2</v>
      </c>
      <c r="AI5081" s="2" t="s">
        <v>84</v>
      </c>
      <c r="AJ5081" s="2">
        <v>9</v>
      </c>
      <c r="AK5081" s="2" t="s">
        <v>103</v>
      </c>
      <c r="AL5081" s="2">
        <v>12</v>
      </c>
      <c r="AM5081" s="2" t="s">
        <v>86</v>
      </c>
      <c r="AN5081" s="2"/>
      <c r="AO5081" s="2" t="s">
        <v>15555</v>
      </c>
      <c r="AP5081" s="2">
        <v>11</v>
      </c>
      <c r="AQ5081" s="2" t="s">
        <v>82</v>
      </c>
      <c r="AR5081" s="2"/>
      <c r="AS5081" s="2"/>
      <c r="AT5081" s="2" t="s">
        <v>15556</v>
      </c>
      <c r="AU5081" s="2"/>
      <c r="AV5081" s="2"/>
      <c r="AW5081" s="2"/>
      <c r="AX5081" s="2"/>
      <c r="AY5081" s="2">
        <v>41</v>
      </c>
      <c r="AZ5081" s="2" t="s">
        <v>82</v>
      </c>
      <c r="BA5081" s="2">
        <v>41</v>
      </c>
      <c r="BB5081" s="2" t="s">
        <v>82</v>
      </c>
      <c r="BC5081" s="2">
        <v>41</v>
      </c>
      <c r="BD5081" s="2" t="s">
        <v>82</v>
      </c>
      <c r="BE5081" s="2">
        <v>41</v>
      </c>
      <c r="BF5081" s="2" t="s">
        <v>82</v>
      </c>
      <c r="BG5081" s="2"/>
      <c r="BH5081" s="2"/>
      <c r="BI5081" s="2"/>
      <c r="BJ5081" s="2">
        <v>241</v>
      </c>
      <c r="BK5081" s="2" t="s">
        <v>82</v>
      </c>
      <c r="BL5081" s="2"/>
      <c r="BM5081" s="2">
        <v>241</v>
      </c>
      <c r="BN5081" s="2" t="s">
        <v>82</v>
      </c>
      <c r="BO5081" s="2"/>
      <c r="BP5081" s="2">
        <v>241</v>
      </c>
      <c r="BQ5081" s="2" t="s">
        <v>82</v>
      </c>
      <c r="BR5081" s="2"/>
      <c r="BS5081" s="3">
        <v>40524</v>
      </c>
      <c r="BT5081" s="4">
        <v>0.70694444444444438</v>
      </c>
    </row>
    <row r="5082" spans="1:72" x14ac:dyDescent="0.25">
      <c r="A5082" s="2">
        <v>7885</v>
      </c>
      <c r="B5082" s="2">
        <v>2010</v>
      </c>
      <c r="C5082" s="2" t="s">
        <v>72</v>
      </c>
      <c r="D5082" s="2" t="s">
        <v>73</v>
      </c>
      <c r="E5082" s="2"/>
      <c r="F5082" s="2">
        <v>187</v>
      </c>
      <c r="G5082" s="2" t="s">
        <v>15165</v>
      </c>
      <c r="H5082" s="2">
        <v>22</v>
      </c>
      <c r="I5082" s="2" t="s">
        <v>75</v>
      </c>
      <c r="J5082" s="2">
        <v>730</v>
      </c>
      <c r="K5082" s="2" t="s">
        <v>15166</v>
      </c>
      <c r="L5082" s="2" t="s">
        <v>15167</v>
      </c>
      <c r="M5082" s="3">
        <v>40524</v>
      </c>
      <c r="N5082" s="2" t="s">
        <v>15557</v>
      </c>
      <c r="O5082" s="2"/>
      <c r="P5082" s="2"/>
      <c r="Q5082" s="2" t="str">
        <f>"449-A/10"</f>
        <v>449-A/10</v>
      </c>
      <c r="R5082" s="2" t="s">
        <v>206</v>
      </c>
      <c r="S5082" s="2" t="s">
        <v>206</v>
      </c>
      <c r="T5082" s="2">
        <v>1</v>
      </c>
      <c r="U5082" s="2" t="s">
        <v>79</v>
      </c>
      <c r="V5082" s="2">
        <v>1</v>
      </c>
      <c r="W5082" s="2" t="s">
        <v>80</v>
      </c>
      <c r="X5082" s="2">
        <v>12</v>
      </c>
      <c r="Y5082" s="2" t="s">
        <v>148</v>
      </c>
      <c r="Z5082" s="2">
        <v>1</v>
      </c>
      <c r="AA5082" s="2" t="s">
        <v>82</v>
      </c>
      <c r="AB5082" s="2">
        <v>6</v>
      </c>
      <c r="AC5082" s="2" t="s">
        <v>83</v>
      </c>
      <c r="AD5082" s="3">
        <v>40524</v>
      </c>
      <c r="AE5082" s="2"/>
      <c r="AF5082" s="3">
        <v>40524</v>
      </c>
      <c r="AG5082" s="4">
        <v>0.58333333333333337</v>
      </c>
      <c r="AH5082" s="2">
        <v>2</v>
      </c>
      <c r="AI5082" s="2" t="s">
        <v>84</v>
      </c>
      <c r="AJ5082" s="2">
        <v>12</v>
      </c>
      <c r="AK5082" s="2" t="s">
        <v>85</v>
      </c>
      <c r="AL5082" s="2">
        <v>17</v>
      </c>
      <c r="AM5082" s="2" t="s">
        <v>232</v>
      </c>
      <c r="AN5082" s="2" t="s">
        <v>15558</v>
      </c>
      <c r="AO5082" s="2" t="s">
        <v>15559</v>
      </c>
      <c r="AP5082" s="2">
        <v>11</v>
      </c>
      <c r="AQ5082" s="2" t="s">
        <v>82</v>
      </c>
      <c r="AR5082" s="2"/>
      <c r="AS5082" s="2"/>
      <c r="AT5082" s="2" t="s">
        <v>15560</v>
      </c>
      <c r="AU5082" s="2"/>
      <c r="AV5082" s="2"/>
      <c r="AW5082" s="2"/>
      <c r="AX5082" s="2"/>
      <c r="AY5082" s="2">
        <v>41</v>
      </c>
      <c r="AZ5082" s="2" t="s">
        <v>82</v>
      </c>
      <c r="BA5082" s="2">
        <v>41</v>
      </c>
      <c r="BB5082" s="2" t="s">
        <v>82</v>
      </c>
      <c r="BC5082" s="2">
        <v>41</v>
      </c>
      <c r="BD5082" s="2" t="s">
        <v>82</v>
      </c>
      <c r="BE5082" s="2">
        <v>41</v>
      </c>
      <c r="BF5082" s="2" t="s">
        <v>82</v>
      </c>
      <c r="BG5082" s="2"/>
      <c r="BH5082" s="2"/>
      <c r="BI5082" s="2"/>
      <c r="BJ5082" s="2">
        <v>241</v>
      </c>
      <c r="BK5082" s="2" t="s">
        <v>82</v>
      </c>
      <c r="BL5082" s="2"/>
      <c r="BM5082" s="2">
        <v>241</v>
      </c>
      <c r="BN5082" s="2" t="s">
        <v>82</v>
      </c>
      <c r="BO5082" s="2"/>
      <c r="BP5082" s="2">
        <v>241</v>
      </c>
      <c r="BQ5082" s="2" t="s">
        <v>82</v>
      </c>
      <c r="BR5082" s="2"/>
      <c r="BS5082" s="3">
        <v>40524</v>
      </c>
      <c r="BT5082" s="4">
        <v>0.73689814814814814</v>
      </c>
    </row>
    <row r="5083" spans="1:72" x14ac:dyDescent="0.25">
      <c r="A5083" s="2">
        <v>7888</v>
      </c>
      <c r="B5083" s="2">
        <v>2010</v>
      </c>
      <c r="C5083" s="2" t="s">
        <v>93</v>
      </c>
      <c r="D5083" s="2" t="s">
        <v>73</v>
      </c>
      <c r="E5083" s="2"/>
      <c r="F5083" s="2">
        <v>128</v>
      </c>
      <c r="G5083" s="2" t="s">
        <v>1625</v>
      </c>
      <c r="H5083" s="2">
        <v>123</v>
      </c>
      <c r="I5083" s="2" t="s">
        <v>8077</v>
      </c>
      <c r="J5083" s="2">
        <v>156</v>
      </c>
      <c r="K5083" s="2" t="s">
        <v>8078</v>
      </c>
      <c r="L5083" s="2" t="s">
        <v>8079</v>
      </c>
      <c r="M5083" s="3">
        <v>40524</v>
      </c>
      <c r="N5083" s="2" t="s">
        <v>15561</v>
      </c>
      <c r="O5083" s="2" t="s">
        <v>15562</v>
      </c>
      <c r="P5083" s="2" t="s">
        <v>15563</v>
      </c>
      <c r="Q5083" s="2" t="str">
        <f>"AP 0061/10"</f>
        <v>AP 0061/10</v>
      </c>
      <c r="R5083" s="2" t="s">
        <v>15564</v>
      </c>
      <c r="S5083" s="2"/>
      <c r="T5083" s="2">
        <v>1</v>
      </c>
      <c r="U5083" s="2" t="s">
        <v>79</v>
      </c>
      <c r="V5083" s="2">
        <v>1</v>
      </c>
      <c r="W5083" s="2" t="s">
        <v>80</v>
      </c>
      <c r="X5083" s="2">
        <v>1</v>
      </c>
      <c r="Y5083" s="2" t="s">
        <v>81</v>
      </c>
      <c r="Z5083" s="2">
        <v>1</v>
      </c>
      <c r="AA5083" s="2" t="s">
        <v>82</v>
      </c>
      <c r="AB5083" s="2">
        <v>2</v>
      </c>
      <c r="AC5083" s="2" t="s">
        <v>102</v>
      </c>
      <c r="AD5083" s="3">
        <v>40524</v>
      </c>
      <c r="AE5083" s="4">
        <v>0.91666666666666663</v>
      </c>
      <c r="AF5083" s="3">
        <v>40524</v>
      </c>
      <c r="AG5083" s="4">
        <v>0.94791666666666663</v>
      </c>
      <c r="AH5083" s="2">
        <v>6</v>
      </c>
      <c r="AI5083" s="2" t="s">
        <v>197</v>
      </c>
      <c r="AJ5083" s="2">
        <v>60</v>
      </c>
      <c r="AK5083" s="2" t="s">
        <v>543</v>
      </c>
      <c r="AL5083" s="2">
        <v>11</v>
      </c>
      <c r="AM5083" s="2" t="s">
        <v>137</v>
      </c>
      <c r="AN5083" s="2"/>
      <c r="AO5083" s="2" t="s">
        <v>8084</v>
      </c>
      <c r="AP5083" s="2">
        <v>11</v>
      </c>
      <c r="AQ5083" s="2" t="s">
        <v>82</v>
      </c>
      <c r="AR5083" s="2"/>
      <c r="AS5083" s="2"/>
      <c r="AT5083" s="2" t="s">
        <v>15565</v>
      </c>
      <c r="AU5083" s="2"/>
      <c r="AV5083" s="2"/>
      <c r="AW5083" s="2"/>
      <c r="AX5083" s="2"/>
      <c r="AY5083" s="2">
        <v>41</v>
      </c>
      <c r="AZ5083" s="2" t="s">
        <v>82</v>
      </c>
      <c r="BA5083" s="2">
        <v>41</v>
      </c>
      <c r="BB5083" s="2" t="s">
        <v>82</v>
      </c>
      <c r="BC5083" s="2">
        <v>41</v>
      </c>
      <c r="BD5083" s="2" t="s">
        <v>82</v>
      </c>
      <c r="BE5083" s="2">
        <v>47</v>
      </c>
      <c r="BF5083" s="2" t="s">
        <v>167</v>
      </c>
      <c r="BG5083" s="2" t="s">
        <v>13499</v>
      </c>
      <c r="BH5083" s="2"/>
      <c r="BI5083" s="4">
        <v>0.97569444444444453</v>
      </c>
      <c r="BJ5083" s="2">
        <v>13</v>
      </c>
      <c r="BK5083" s="2" t="s">
        <v>91</v>
      </c>
      <c r="BL5083" s="2" t="s">
        <v>895</v>
      </c>
      <c r="BM5083" s="2">
        <v>13</v>
      </c>
      <c r="BN5083" s="2" t="s">
        <v>91</v>
      </c>
      <c r="BO5083" s="2"/>
      <c r="BP5083" s="2">
        <v>13</v>
      </c>
      <c r="BQ5083" s="2" t="s">
        <v>91</v>
      </c>
      <c r="BR5083" s="2" t="s">
        <v>170</v>
      </c>
      <c r="BS5083" s="3">
        <v>40524</v>
      </c>
      <c r="BT5083" s="4">
        <v>0.99928240740740737</v>
      </c>
    </row>
    <row r="5084" spans="1:72" x14ac:dyDescent="0.25">
      <c r="A5084" s="2">
        <v>7889</v>
      </c>
      <c r="B5084" s="2">
        <v>2010</v>
      </c>
      <c r="C5084" s="2" t="s">
        <v>72</v>
      </c>
      <c r="D5084" s="2" t="s">
        <v>73</v>
      </c>
      <c r="E5084" s="2"/>
      <c r="F5084" s="2">
        <v>2</v>
      </c>
      <c r="G5084" s="2" t="s">
        <v>113</v>
      </c>
      <c r="H5084" s="2">
        <v>149</v>
      </c>
      <c r="I5084" s="2" t="s">
        <v>14672</v>
      </c>
      <c r="J5084" s="2">
        <v>300</v>
      </c>
      <c r="K5084" s="2" t="s">
        <v>114</v>
      </c>
      <c r="L5084" s="2" t="s">
        <v>115</v>
      </c>
      <c r="M5084" s="3">
        <v>40525</v>
      </c>
      <c r="N5084" s="2"/>
      <c r="O5084" s="2"/>
      <c r="P5084" s="2"/>
      <c r="Q5084" s="2" t="str">
        <f>"675-E/10"</f>
        <v>675-E/10</v>
      </c>
      <c r="R5084" s="2" t="s">
        <v>601</v>
      </c>
      <c r="S5084" s="2" t="s">
        <v>601</v>
      </c>
      <c r="T5084" s="2">
        <v>1</v>
      </c>
      <c r="U5084" s="2" t="s">
        <v>79</v>
      </c>
      <c r="V5084" s="2">
        <v>1</v>
      </c>
      <c r="W5084" s="2" t="s">
        <v>80</v>
      </c>
      <c r="X5084" s="2">
        <v>12</v>
      </c>
      <c r="Y5084" s="2" t="s">
        <v>148</v>
      </c>
      <c r="Z5084" s="2">
        <v>1</v>
      </c>
      <c r="AA5084" s="2" t="s">
        <v>82</v>
      </c>
      <c r="AB5084" s="2">
        <v>6</v>
      </c>
      <c r="AC5084" s="2" t="s">
        <v>83</v>
      </c>
      <c r="AD5084" s="2"/>
      <c r="AE5084" s="2"/>
      <c r="AF5084" s="3">
        <v>40524</v>
      </c>
      <c r="AG5084" s="4">
        <v>0.48958333333333331</v>
      </c>
      <c r="AH5084" s="2">
        <v>2</v>
      </c>
      <c r="AI5084" s="2" t="s">
        <v>84</v>
      </c>
      <c r="AJ5084" s="2">
        <v>9</v>
      </c>
      <c r="AK5084" s="2" t="s">
        <v>103</v>
      </c>
      <c r="AL5084" s="2">
        <v>22</v>
      </c>
      <c r="AM5084" s="2" t="s">
        <v>1853</v>
      </c>
      <c r="AN5084" s="2"/>
      <c r="AO5084" s="2" t="s">
        <v>15566</v>
      </c>
      <c r="AP5084" s="2">
        <v>11</v>
      </c>
      <c r="AQ5084" s="2" t="s">
        <v>82</v>
      </c>
      <c r="AR5084" s="2"/>
      <c r="AS5084" s="2"/>
      <c r="AT5084" s="2" t="s">
        <v>15567</v>
      </c>
      <c r="AU5084" s="2"/>
      <c r="AV5084" s="2"/>
      <c r="AW5084" s="2"/>
      <c r="AX5084" s="2"/>
      <c r="AY5084" s="2">
        <v>41</v>
      </c>
      <c r="AZ5084" s="2" t="s">
        <v>82</v>
      </c>
      <c r="BA5084" s="2">
        <v>41</v>
      </c>
      <c r="BB5084" s="2" t="s">
        <v>82</v>
      </c>
      <c r="BC5084" s="2">
        <v>41</v>
      </c>
      <c r="BD5084" s="2" t="s">
        <v>82</v>
      </c>
      <c r="BE5084" s="2">
        <v>13</v>
      </c>
      <c r="BF5084" s="2" t="s">
        <v>108</v>
      </c>
      <c r="BG5084" s="2" t="s">
        <v>5262</v>
      </c>
      <c r="BH5084" s="4">
        <v>0.27083333333333331</v>
      </c>
      <c r="BI5084" s="2"/>
      <c r="BJ5084" s="2">
        <v>73</v>
      </c>
      <c r="BK5084" s="2" t="s">
        <v>186</v>
      </c>
      <c r="BL5084" s="2" t="s">
        <v>187</v>
      </c>
      <c r="BM5084" s="2">
        <v>73</v>
      </c>
      <c r="BN5084" s="2" t="s">
        <v>186</v>
      </c>
      <c r="BO5084" s="2"/>
      <c r="BP5084" s="2">
        <v>13</v>
      </c>
      <c r="BQ5084" s="2" t="s">
        <v>91</v>
      </c>
      <c r="BR5084" s="2" t="s">
        <v>360</v>
      </c>
      <c r="BS5084" s="3">
        <v>40525</v>
      </c>
      <c r="BT5084" s="4">
        <v>1.4988425925925926E-2</v>
      </c>
    </row>
    <row r="5085" spans="1:72" x14ac:dyDescent="0.25">
      <c r="A5085" s="2">
        <v>7890</v>
      </c>
      <c r="B5085" s="2">
        <v>2010</v>
      </c>
      <c r="C5085" s="2" t="s">
        <v>2219</v>
      </c>
      <c r="D5085" s="2" t="s">
        <v>73</v>
      </c>
      <c r="E5085" s="2"/>
      <c r="F5085" s="2">
        <v>2</v>
      </c>
      <c r="G5085" s="2" t="s">
        <v>113</v>
      </c>
      <c r="H5085" s="2">
        <v>149</v>
      </c>
      <c r="I5085" s="2" t="s">
        <v>14672</v>
      </c>
      <c r="J5085" s="2">
        <v>300</v>
      </c>
      <c r="K5085" s="2" t="s">
        <v>114</v>
      </c>
      <c r="L5085" s="2" t="s">
        <v>115</v>
      </c>
      <c r="M5085" s="3">
        <v>40525</v>
      </c>
      <c r="N5085" s="2" t="s">
        <v>15568</v>
      </c>
      <c r="O5085" s="2"/>
      <c r="P5085" s="2"/>
      <c r="Q5085" s="2" t="str">
        <f>"676-E/10"</f>
        <v>676-E/10</v>
      </c>
      <c r="R5085" s="2" t="s">
        <v>4173</v>
      </c>
      <c r="S5085" s="2" t="s">
        <v>4173</v>
      </c>
      <c r="T5085" s="2">
        <v>1</v>
      </c>
      <c r="U5085" s="2" t="s">
        <v>79</v>
      </c>
      <c r="V5085" s="2">
        <v>1</v>
      </c>
      <c r="W5085" s="2" t="s">
        <v>80</v>
      </c>
      <c r="X5085" s="2">
        <v>1</v>
      </c>
      <c r="Y5085" s="2" t="s">
        <v>81</v>
      </c>
      <c r="Z5085" s="2">
        <v>1</v>
      </c>
      <c r="AA5085" s="2" t="s">
        <v>82</v>
      </c>
      <c r="AB5085" s="2">
        <v>9</v>
      </c>
      <c r="AC5085" s="2" t="s">
        <v>124</v>
      </c>
      <c r="AD5085" s="3">
        <v>40524</v>
      </c>
      <c r="AE5085" s="4">
        <v>0.54861111111111105</v>
      </c>
      <c r="AF5085" s="3">
        <v>40524</v>
      </c>
      <c r="AG5085" s="4">
        <v>0.6875</v>
      </c>
      <c r="AH5085" s="2">
        <v>2</v>
      </c>
      <c r="AI5085" s="2" t="s">
        <v>84</v>
      </c>
      <c r="AJ5085" s="2">
        <v>9</v>
      </c>
      <c r="AK5085" s="2" t="s">
        <v>103</v>
      </c>
      <c r="AL5085" s="2">
        <v>14</v>
      </c>
      <c r="AM5085" s="2" t="s">
        <v>216</v>
      </c>
      <c r="AN5085" s="2"/>
      <c r="AO5085" s="2" t="s">
        <v>4026</v>
      </c>
      <c r="AP5085" s="2">
        <v>11</v>
      </c>
      <c r="AQ5085" s="2" t="s">
        <v>82</v>
      </c>
      <c r="AR5085" s="2"/>
      <c r="AS5085" s="2"/>
      <c r="AT5085" s="2" t="s">
        <v>15569</v>
      </c>
      <c r="AU5085" s="2"/>
      <c r="AV5085" s="2"/>
      <c r="AW5085" s="2">
        <v>1</v>
      </c>
      <c r="AX5085" s="2"/>
      <c r="AY5085" s="2">
        <v>41</v>
      </c>
      <c r="AZ5085" s="2" t="s">
        <v>82</v>
      </c>
      <c r="BA5085" s="2">
        <v>41</v>
      </c>
      <c r="BB5085" s="2" t="s">
        <v>82</v>
      </c>
      <c r="BC5085" s="2">
        <v>41</v>
      </c>
      <c r="BD5085" s="2" t="s">
        <v>82</v>
      </c>
      <c r="BE5085" s="2">
        <v>41</v>
      </c>
      <c r="BF5085" s="2" t="s">
        <v>82</v>
      </c>
      <c r="BG5085" s="2"/>
      <c r="BH5085" s="2"/>
      <c r="BI5085" s="2"/>
      <c r="BJ5085" s="2">
        <v>241</v>
      </c>
      <c r="BK5085" s="2" t="s">
        <v>82</v>
      </c>
      <c r="BL5085" s="2"/>
      <c r="BM5085" s="2">
        <v>241</v>
      </c>
      <c r="BN5085" s="2" t="s">
        <v>82</v>
      </c>
      <c r="BO5085" s="2"/>
      <c r="BP5085" s="2">
        <v>241</v>
      </c>
      <c r="BQ5085" s="2" t="s">
        <v>82</v>
      </c>
      <c r="BR5085" s="2"/>
      <c r="BS5085" s="3">
        <v>40525</v>
      </c>
      <c r="BT5085" s="4">
        <v>6.1608796296296293E-2</v>
      </c>
    </row>
    <row r="5086" spans="1:72" x14ac:dyDescent="0.25">
      <c r="A5086" s="2">
        <v>7891</v>
      </c>
      <c r="B5086" s="2">
        <v>2010</v>
      </c>
      <c r="C5086" s="2" t="s">
        <v>72</v>
      </c>
      <c r="D5086" s="2" t="s">
        <v>73</v>
      </c>
      <c r="E5086" s="2"/>
      <c r="F5086" s="2">
        <v>638</v>
      </c>
      <c r="G5086" s="2" t="s">
        <v>8288</v>
      </c>
      <c r="H5086" s="2">
        <v>32</v>
      </c>
      <c r="I5086" s="2" t="s">
        <v>15570</v>
      </c>
      <c r="J5086" s="2">
        <v>694</v>
      </c>
      <c r="K5086" s="2" t="s">
        <v>13872</v>
      </c>
      <c r="L5086" s="2" t="s">
        <v>13873</v>
      </c>
      <c r="M5086" s="3">
        <v>40525</v>
      </c>
      <c r="N5086" s="2" t="s">
        <v>15571</v>
      </c>
      <c r="O5086" s="2" t="s">
        <v>107</v>
      </c>
      <c r="P5086" s="2" t="s">
        <v>107</v>
      </c>
      <c r="Q5086" s="2" t="str">
        <f>"74-10"</f>
        <v>74-10</v>
      </c>
      <c r="R5086" s="2" t="s">
        <v>107</v>
      </c>
      <c r="S5086" s="2" t="s">
        <v>601</v>
      </c>
      <c r="T5086" s="2">
        <v>1</v>
      </c>
      <c r="U5086" s="2" t="s">
        <v>79</v>
      </c>
      <c r="V5086" s="2">
        <v>1</v>
      </c>
      <c r="W5086" s="2" t="s">
        <v>80</v>
      </c>
      <c r="X5086" s="2">
        <v>12</v>
      </c>
      <c r="Y5086" s="2" t="s">
        <v>148</v>
      </c>
      <c r="Z5086" s="2">
        <v>1</v>
      </c>
      <c r="AA5086" s="2" t="s">
        <v>82</v>
      </c>
      <c r="AB5086" s="2">
        <v>6</v>
      </c>
      <c r="AC5086" s="2" t="s">
        <v>83</v>
      </c>
      <c r="AD5086" s="3">
        <v>40524</v>
      </c>
      <c r="AE5086" s="2"/>
      <c r="AF5086" s="3">
        <v>40524</v>
      </c>
      <c r="AG5086" s="4">
        <v>0.98263888888888884</v>
      </c>
      <c r="AH5086" s="2">
        <v>3</v>
      </c>
      <c r="AI5086" s="2" t="s">
        <v>214</v>
      </c>
      <c r="AJ5086" s="2">
        <v>24</v>
      </c>
      <c r="AK5086" s="2" t="s">
        <v>215</v>
      </c>
      <c r="AL5086" s="2">
        <v>22</v>
      </c>
      <c r="AM5086" s="2" t="s">
        <v>1853</v>
      </c>
      <c r="AN5086" s="2"/>
      <c r="AO5086" s="2"/>
      <c r="AP5086" s="2">
        <v>11</v>
      </c>
      <c r="AQ5086" s="2" t="s">
        <v>82</v>
      </c>
      <c r="AR5086" s="2"/>
      <c r="AS5086" s="2"/>
      <c r="AT5086" s="2" t="s">
        <v>15572</v>
      </c>
      <c r="AU5086" s="2"/>
      <c r="AV5086" s="2"/>
      <c r="AW5086" s="2"/>
      <c r="AX5086" s="2"/>
      <c r="AY5086" s="2">
        <v>41</v>
      </c>
      <c r="AZ5086" s="2" t="s">
        <v>82</v>
      </c>
      <c r="BA5086" s="2">
        <v>41</v>
      </c>
      <c r="BB5086" s="2" t="s">
        <v>82</v>
      </c>
      <c r="BC5086" s="2">
        <v>41</v>
      </c>
      <c r="BD5086" s="2" t="s">
        <v>82</v>
      </c>
      <c r="BE5086" s="2">
        <v>4</v>
      </c>
      <c r="BF5086" s="2" t="s">
        <v>90</v>
      </c>
      <c r="BG5086" s="2" t="s">
        <v>15573</v>
      </c>
      <c r="BH5086" s="4">
        <v>0.93055555555555547</v>
      </c>
      <c r="BI5086" s="4">
        <v>0.88194444444444453</v>
      </c>
      <c r="BJ5086" s="2">
        <v>13</v>
      </c>
      <c r="BK5086" s="2" t="s">
        <v>91</v>
      </c>
      <c r="BL5086" s="2" t="s">
        <v>9724</v>
      </c>
      <c r="BM5086" s="2">
        <v>13</v>
      </c>
      <c r="BN5086" s="2" t="s">
        <v>91</v>
      </c>
      <c r="BO5086" s="2"/>
      <c r="BP5086" s="2">
        <v>13</v>
      </c>
      <c r="BQ5086" s="2" t="s">
        <v>91</v>
      </c>
      <c r="BR5086" s="2" t="s">
        <v>12713</v>
      </c>
      <c r="BS5086" s="3">
        <v>40525</v>
      </c>
      <c r="BT5086" s="4">
        <v>7.1643518518518523E-2</v>
      </c>
    </row>
    <row r="5087" spans="1:72" x14ac:dyDescent="0.25">
      <c r="A5087" s="2">
        <v>7892</v>
      </c>
      <c r="B5087" s="2">
        <v>2010</v>
      </c>
      <c r="C5087" s="2" t="s">
        <v>93</v>
      </c>
      <c r="D5087" s="2" t="s">
        <v>73</v>
      </c>
      <c r="E5087" s="2"/>
      <c r="F5087" s="2">
        <v>741</v>
      </c>
      <c r="G5087" s="2" t="s">
        <v>15574</v>
      </c>
      <c r="H5087" s="2">
        <v>149</v>
      </c>
      <c r="I5087" s="2" t="s">
        <v>14672</v>
      </c>
      <c r="J5087" s="2">
        <v>744</v>
      </c>
      <c r="K5087" s="2" t="s">
        <v>15575</v>
      </c>
      <c r="L5087" s="2" t="s">
        <v>15576</v>
      </c>
      <c r="M5087" s="3">
        <v>40525</v>
      </c>
      <c r="N5087" s="2" t="s">
        <v>15577</v>
      </c>
      <c r="O5087" s="2" t="s">
        <v>15578</v>
      </c>
      <c r="P5087" s="2">
        <v>18234</v>
      </c>
      <c r="Q5087" s="2" t="str">
        <f>""</f>
        <v/>
      </c>
      <c r="R5087" s="2"/>
      <c r="S5087" s="2"/>
      <c r="T5087" s="2">
        <v>1</v>
      </c>
      <c r="U5087" s="2" t="s">
        <v>79</v>
      </c>
      <c r="V5087" s="2">
        <v>1</v>
      </c>
      <c r="W5087" s="2" t="s">
        <v>80</v>
      </c>
      <c r="X5087" s="2">
        <v>10</v>
      </c>
      <c r="Y5087" s="2" t="s">
        <v>226</v>
      </c>
      <c r="Z5087" s="2">
        <v>6</v>
      </c>
      <c r="AA5087" s="2" t="s">
        <v>101</v>
      </c>
      <c r="AB5087" s="2">
        <v>2</v>
      </c>
      <c r="AC5087" s="2" t="s">
        <v>102</v>
      </c>
      <c r="AD5087" s="3">
        <v>40524</v>
      </c>
      <c r="AE5087" s="4">
        <v>0.66666666666666663</v>
      </c>
      <c r="AF5087" s="3">
        <v>40524</v>
      </c>
      <c r="AG5087" s="4">
        <v>0.77083333333333337</v>
      </c>
      <c r="AH5087" s="2">
        <v>2</v>
      </c>
      <c r="AI5087" s="2" t="s">
        <v>84</v>
      </c>
      <c r="AJ5087" s="2">
        <v>9</v>
      </c>
      <c r="AK5087" s="2" t="s">
        <v>103</v>
      </c>
      <c r="AL5087" s="2">
        <v>14</v>
      </c>
      <c r="AM5087" s="2" t="s">
        <v>216</v>
      </c>
      <c r="AN5087" s="2" t="s">
        <v>9097</v>
      </c>
      <c r="AO5087" s="2" t="s">
        <v>15579</v>
      </c>
      <c r="AP5087" s="2">
        <v>11</v>
      </c>
      <c r="AQ5087" s="2" t="s">
        <v>82</v>
      </c>
      <c r="AR5087" s="2"/>
      <c r="AS5087" s="2"/>
      <c r="AT5087" s="2" t="s">
        <v>15580</v>
      </c>
      <c r="AU5087" s="2">
        <v>1</v>
      </c>
      <c r="AV5087" s="2"/>
      <c r="AW5087" s="2"/>
      <c r="AX5087" s="2"/>
      <c r="AY5087" s="2">
        <v>41</v>
      </c>
      <c r="AZ5087" s="2" t="s">
        <v>82</v>
      </c>
      <c r="BA5087" s="2">
        <v>41</v>
      </c>
      <c r="BB5087" s="2" t="s">
        <v>82</v>
      </c>
      <c r="BC5087" s="2">
        <v>41</v>
      </c>
      <c r="BD5087" s="2" t="s">
        <v>82</v>
      </c>
      <c r="BE5087" s="2">
        <v>18</v>
      </c>
      <c r="BF5087" s="2" t="s">
        <v>1091</v>
      </c>
      <c r="BG5087" s="2" t="s">
        <v>10091</v>
      </c>
      <c r="BH5087" s="4">
        <v>0.52638888888888891</v>
      </c>
      <c r="BI5087" s="2"/>
      <c r="BJ5087" s="2">
        <v>133</v>
      </c>
      <c r="BK5087" s="2" t="s">
        <v>2860</v>
      </c>
      <c r="BL5087" s="2" t="s">
        <v>2861</v>
      </c>
      <c r="BM5087" s="2">
        <v>13</v>
      </c>
      <c r="BN5087" s="2" t="s">
        <v>91</v>
      </c>
      <c r="BO5087" s="2"/>
      <c r="BP5087" s="2">
        <v>13</v>
      </c>
      <c r="BQ5087" s="2" t="s">
        <v>91</v>
      </c>
      <c r="BR5087" s="2" t="s">
        <v>360</v>
      </c>
      <c r="BS5087" s="3">
        <v>40525</v>
      </c>
      <c r="BT5087" s="4">
        <v>7.5150462962962961E-2</v>
      </c>
    </row>
    <row r="5088" spans="1:72" x14ac:dyDescent="0.25">
      <c r="A5088" s="2">
        <v>7893</v>
      </c>
      <c r="B5088" s="2">
        <v>2010</v>
      </c>
      <c r="C5088" s="2" t="s">
        <v>72</v>
      </c>
      <c r="D5088" s="2" t="s">
        <v>73</v>
      </c>
      <c r="E5088" s="2"/>
      <c r="F5088" s="2">
        <v>638</v>
      </c>
      <c r="G5088" s="2" t="s">
        <v>8288</v>
      </c>
      <c r="H5088" s="2">
        <v>32</v>
      </c>
      <c r="I5088" s="2" t="s">
        <v>15570</v>
      </c>
      <c r="J5088" s="2">
        <v>694</v>
      </c>
      <c r="K5088" s="2" t="s">
        <v>13872</v>
      </c>
      <c r="L5088" s="2" t="s">
        <v>13873</v>
      </c>
      <c r="M5088" s="3">
        <v>40525</v>
      </c>
      <c r="N5088" s="2" t="s">
        <v>15571</v>
      </c>
      <c r="O5088" s="2" t="s">
        <v>107</v>
      </c>
      <c r="P5088" s="2" t="s">
        <v>107</v>
      </c>
      <c r="Q5088" s="2" t="str">
        <f>"75-10"</f>
        <v>75-10</v>
      </c>
      <c r="R5088" s="2" t="s">
        <v>107</v>
      </c>
      <c r="S5088" s="2" t="s">
        <v>116</v>
      </c>
      <c r="T5088" s="2">
        <v>1</v>
      </c>
      <c r="U5088" s="2" t="s">
        <v>79</v>
      </c>
      <c r="V5088" s="2">
        <v>1</v>
      </c>
      <c r="W5088" s="2" t="s">
        <v>80</v>
      </c>
      <c r="X5088" s="2">
        <v>12</v>
      </c>
      <c r="Y5088" s="2" t="s">
        <v>148</v>
      </c>
      <c r="Z5088" s="2">
        <v>1</v>
      </c>
      <c r="AA5088" s="2" t="s">
        <v>82</v>
      </c>
      <c r="AB5088" s="2">
        <v>6</v>
      </c>
      <c r="AC5088" s="2" t="s">
        <v>83</v>
      </c>
      <c r="AD5088" s="3">
        <v>40524</v>
      </c>
      <c r="AE5088" s="2"/>
      <c r="AF5088" s="3">
        <v>40524</v>
      </c>
      <c r="AG5088" s="4">
        <v>0.99652777777777779</v>
      </c>
      <c r="AH5088" s="2">
        <v>3</v>
      </c>
      <c r="AI5088" s="2" t="s">
        <v>214</v>
      </c>
      <c r="AJ5088" s="2">
        <v>24</v>
      </c>
      <c r="AK5088" s="2" t="s">
        <v>215</v>
      </c>
      <c r="AL5088" s="2">
        <v>22</v>
      </c>
      <c r="AM5088" s="2" t="s">
        <v>1853</v>
      </c>
      <c r="AN5088" s="2"/>
      <c r="AO5088" s="2"/>
      <c r="AP5088" s="2">
        <v>11</v>
      </c>
      <c r="AQ5088" s="2" t="s">
        <v>82</v>
      </c>
      <c r="AR5088" s="2"/>
      <c r="AS5088" s="2"/>
      <c r="AT5088" s="2" t="s">
        <v>15581</v>
      </c>
      <c r="AU5088" s="2"/>
      <c r="AV5088" s="2"/>
      <c r="AW5088" s="2"/>
      <c r="AX5088" s="2"/>
      <c r="AY5088" s="2">
        <v>41</v>
      </c>
      <c r="AZ5088" s="2" t="s">
        <v>82</v>
      </c>
      <c r="BA5088" s="2">
        <v>41</v>
      </c>
      <c r="BB5088" s="2" t="s">
        <v>82</v>
      </c>
      <c r="BC5088" s="2">
        <v>41</v>
      </c>
      <c r="BD5088" s="2" t="s">
        <v>82</v>
      </c>
      <c r="BE5088" s="2">
        <v>4</v>
      </c>
      <c r="BF5088" s="2" t="s">
        <v>90</v>
      </c>
      <c r="BG5088" s="2" t="s">
        <v>15573</v>
      </c>
      <c r="BH5088" s="4">
        <v>0.93055555555555547</v>
      </c>
      <c r="BI5088" s="4">
        <v>0.88194444444444453</v>
      </c>
      <c r="BJ5088" s="2">
        <v>13</v>
      </c>
      <c r="BK5088" s="2" t="s">
        <v>91</v>
      </c>
      <c r="BL5088" s="2" t="s">
        <v>9724</v>
      </c>
      <c r="BM5088" s="2">
        <v>13</v>
      </c>
      <c r="BN5088" s="2" t="s">
        <v>91</v>
      </c>
      <c r="BO5088" s="2"/>
      <c r="BP5088" s="2">
        <v>13</v>
      </c>
      <c r="BQ5088" s="2" t="s">
        <v>91</v>
      </c>
      <c r="BR5088" s="2" t="s">
        <v>12713</v>
      </c>
      <c r="BS5088" s="3">
        <v>40525</v>
      </c>
      <c r="BT5088" s="4">
        <v>9.4606481481481486E-2</v>
      </c>
    </row>
    <row r="5089" spans="1:72" x14ac:dyDescent="0.25">
      <c r="A5089" s="2">
        <v>7894</v>
      </c>
      <c r="B5089" s="2">
        <v>2010</v>
      </c>
      <c r="C5089" s="2" t="s">
        <v>8160</v>
      </c>
      <c r="D5089" s="2" t="s">
        <v>122</v>
      </c>
      <c r="E5089" s="2"/>
      <c r="F5089" s="2">
        <v>389</v>
      </c>
      <c r="G5089" s="2" t="s">
        <v>1819</v>
      </c>
      <c r="H5089" s="2">
        <v>4</v>
      </c>
      <c r="I5089" s="2" t="s">
        <v>173</v>
      </c>
      <c r="J5089" s="2">
        <v>399</v>
      </c>
      <c r="K5089" s="2" t="s">
        <v>1820</v>
      </c>
      <c r="L5089" s="2" t="s">
        <v>1821</v>
      </c>
      <c r="M5089" s="3">
        <v>40525</v>
      </c>
      <c r="N5089" s="2" t="s">
        <v>2621</v>
      </c>
      <c r="O5089" s="2"/>
      <c r="P5089" s="2"/>
      <c r="Q5089" s="2" t="str">
        <f>""</f>
        <v/>
      </c>
      <c r="R5089" s="2"/>
      <c r="S5089" s="2"/>
      <c r="T5089" s="2">
        <v>1</v>
      </c>
      <c r="U5089" s="2" t="s">
        <v>79</v>
      </c>
      <c r="V5089" s="2">
        <v>1</v>
      </c>
      <c r="W5089" s="2" t="s">
        <v>80</v>
      </c>
      <c r="X5089" s="2">
        <v>1</v>
      </c>
      <c r="Y5089" s="2" t="s">
        <v>81</v>
      </c>
      <c r="Z5089" s="2">
        <v>1</v>
      </c>
      <c r="AA5089" s="2" t="s">
        <v>82</v>
      </c>
      <c r="AB5089" s="2">
        <v>9</v>
      </c>
      <c r="AC5089" s="2" t="s">
        <v>124</v>
      </c>
      <c r="AD5089" s="3">
        <v>40524</v>
      </c>
      <c r="AE5089" s="4">
        <v>0.61111111111111105</v>
      </c>
      <c r="AF5089" s="3">
        <v>40524</v>
      </c>
      <c r="AG5089" s="4">
        <v>0.625</v>
      </c>
      <c r="AH5089" s="2">
        <v>2</v>
      </c>
      <c r="AI5089" s="2" t="s">
        <v>84</v>
      </c>
      <c r="AJ5089" s="2">
        <v>9</v>
      </c>
      <c r="AK5089" s="2" t="s">
        <v>103</v>
      </c>
      <c r="AL5089" s="2">
        <v>12</v>
      </c>
      <c r="AM5089" s="2" t="s">
        <v>86</v>
      </c>
      <c r="AN5089" s="2"/>
      <c r="AO5089" s="2" t="s">
        <v>15582</v>
      </c>
      <c r="AP5089" s="2">
        <v>11</v>
      </c>
      <c r="AQ5089" s="2" t="s">
        <v>82</v>
      </c>
      <c r="AR5089" s="2"/>
      <c r="AS5089" s="2"/>
      <c r="AT5089" s="2" t="s">
        <v>15583</v>
      </c>
      <c r="AU5089" s="2"/>
      <c r="AV5089" s="2"/>
      <c r="AW5089" s="2"/>
      <c r="AX5089" s="2"/>
      <c r="AY5089" s="2">
        <v>41</v>
      </c>
      <c r="AZ5089" s="2" t="s">
        <v>82</v>
      </c>
      <c r="BA5089" s="2">
        <v>41</v>
      </c>
      <c r="BB5089" s="2" t="s">
        <v>82</v>
      </c>
      <c r="BC5089" s="2">
        <v>41</v>
      </c>
      <c r="BD5089" s="2" t="s">
        <v>82</v>
      </c>
      <c r="BE5089" s="2">
        <v>41</v>
      </c>
      <c r="BF5089" s="2" t="s">
        <v>82</v>
      </c>
      <c r="BG5089" s="2"/>
      <c r="BH5089" s="2"/>
      <c r="BI5089" s="2"/>
      <c r="BJ5089" s="2">
        <v>241</v>
      </c>
      <c r="BK5089" s="2" t="s">
        <v>82</v>
      </c>
      <c r="BL5089" s="2"/>
      <c r="BM5089" s="2">
        <v>241</v>
      </c>
      <c r="BN5089" s="2" t="s">
        <v>82</v>
      </c>
      <c r="BO5089" s="2"/>
      <c r="BP5089" s="2">
        <v>241</v>
      </c>
      <c r="BQ5089" s="2" t="s">
        <v>82</v>
      </c>
      <c r="BR5089" s="2"/>
      <c r="BS5089" s="3">
        <v>40525</v>
      </c>
      <c r="BT5089" s="4">
        <v>0.1045949074074074</v>
      </c>
    </row>
    <row r="5090" spans="1:72" x14ac:dyDescent="0.25">
      <c r="A5090" s="2">
        <v>7895</v>
      </c>
      <c r="B5090" s="2">
        <v>2010</v>
      </c>
      <c r="C5090" s="2" t="s">
        <v>4543</v>
      </c>
      <c r="D5090" s="2" t="s">
        <v>122</v>
      </c>
      <c r="E5090" s="2"/>
      <c r="F5090" s="2">
        <v>1</v>
      </c>
      <c r="G5090" s="2" t="s">
        <v>82</v>
      </c>
      <c r="H5090" s="2">
        <v>1</v>
      </c>
      <c r="I5090" s="2" t="s">
        <v>82</v>
      </c>
      <c r="J5090" s="2">
        <v>1</v>
      </c>
      <c r="K5090" s="2" t="s">
        <v>107</v>
      </c>
      <c r="L5090" s="2" t="s">
        <v>107</v>
      </c>
      <c r="M5090" s="3">
        <v>40525</v>
      </c>
      <c r="N5090" s="2"/>
      <c r="O5090" s="2"/>
      <c r="P5090" s="2"/>
      <c r="Q5090" s="2" t="str">
        <f>""</f>
        <v/>
      </c>
      <c r="R5090" s="2"/>
      <c r="S5090" s="2"/>
      <c r="T5090" s="2">
        <v>2</v>
      </c>
      <c r="U5090" s="2" t="s">
        <v>123</v>
      </c>
      <c r="V5090" s="2">
        <v>1</v>
      </c>
      <c r="W5090" s="2" t="s">
        <v>80</v>
      </c>
      <c r="X5090" s="2">
        <v>11</v>
      </c>
      <c r="Y5090" s="2" t="s">
        <v>1920</v>
      </c>
      <c r="Z5090" s="2">
        <v>1</v>
      </c>
      <c r="AA5090" s="2" t="s">
        <v>82</v>
      </c>
      <c r="AB5090" s="2">
        <v>9</v>
      </c>
      <c r="AC5090" s="2" t="s">
        <v>124</v>
      </c>
      <c r="AD5090" s="3">
        <v>40525</v>
      </c>
      <c r="AE5090" s="4">
        <v>0.3611111111111111</v>
      </c>
      <c r="AF5090" s="3">
        <v>40525</v>
      </c>
      <c r="AG5090" s="4">
        <v>0.3611111111111111</v>
      </c>
      <c r="AH5090" s="2">
        <v>6</v>
      </c>
      <c r="AI5090" s="2" t="s">
        <v>197</v>
      </c>
      <c r="AJ5090" s="2">
        <v>54</v>
      </c>
      <c r="AK5090" s="2" t="s">
        <v>348</v>
      </c>
      <c r="AL5090" s="2">
        <v>10</v>
      </c>
      <c r="AM5090" s="2" t="s">
        <v>200</v>
      </c>
      <c r="AN5090" s="2"/>
      <c r="AO5090" s="2" t="s">
        <v>595</v>
      </c>
      <c r="AP5090" s="2">
        <v>12</v>
      </c>
      <c r="AQ5090" s="2" t="s">
        <v>322</v>
      </c>
      <c r="AR5090" s="2" t="s">
        <v>596</v>
      </c>
      <c r="AS5090" s="2" t="s">
        <v>596</v>
      </c>
      <c r="AT5090" s="2" t="s">
        <v>15584</v>
      </c>
      <c r="AU5090" s="2"/>
      <c r="AV5090" s="2"/>
      <c r="AW5090" s="2"/>
      <c r="AX5090" s="2"/>
      <c r="AY5090" s="2">
        <v>41</v>
      </c>
      <c r="AZ5090" s="2" t="s">
        <v>82</v>
      </c>
      <c r="BA5090" s="2">
        <v>41</v>
      </c>
      <c r="BB5090" s="2" t="s">
        <v>82</v>
      </c>
      <c r="BC5090" s="2">
        <v>41</v>
      </c>
      <c r="BD5090" s="2" t="s">
        <v>82</v>
      </c>
      <c r="BE5090" s="2">
        <v>47</v>
      </c>
      <c r="BF5090" s="2" t="s">
        <v>167</v>
      </c>
      <c r="BG5090" s="2" t="s">
        <v>1165</v>
      </c>
      <c r="BH5090" s="2"/>
      <c r="BI5090" s="4">
        <v>0.34930555555555554</v>
      </c>
      <c r="BJ5090" s="2">
        <v>13</v>
      </c>
      <c r="BK5090" s="2" t="s">
        <v>91</v>
      </c>
      <c r="BL5090" s="2" t="s">
        <v>2764</v>
      </c>
      <c r="BM5090" s="2">
        <v>13</v>
      </c>
      <c r="BN5090" s="2" t="s">
        <v>91</v>
      </c>
      <c r="BO5090" s="2"/>
      <c r="BP5090" s="2">
        <v>13</v>
      </c>
      <c r="BQ5090" s="2" t="s">
        <v>91</v>
      </c>
      <c r="BR5090" s="2" t="s">
        <v>2168</v>
      </c>
      <c r="BS5090" s="3">
        <v>40525</v>
      </c>
      <c r="BT5090" s="4">
        <v>0.37908564814814816</v>
      </c>
    </row>
    <row r="5091" spans="1:72" x14ac:dyDescent="0.25">
      <c r="A5091" s="2">
        <v>7899</v>
      </c>
      <c r="B5091" s="2">
        <v>2010</v>
      </c>
      <c r="C5091" s="2" t="s">
        <v>1568</v>
      </c>
      <c r="D5091" s="2" t="s">
        <v>73</v>
      </c>
      <c r="E5091" s="2"/>
      <c r="F5091" s="2">
        <v>389</v>
      </c>
      <c r="G5091" s="2" t="s">
        <v>1819</v>
      </c>
      <c r="H5091" s="2">
        <v>4</v>
      </c>
      <c r="I5091" s="2" t="s">
        <v>173</v>
      </c>
      <c r="J5091" s="2">
        <v>399</v>
      </c>
      <c r="K5091" s="2" t="s">
        <v>1820</v>
      </c>
      <c r="L5091" s="2" t="s">
        <v>1821</v>
      </c>
      <c r="M5091" s="3">
        <v>40525</v>
      </c>
      <c r="N5091" s="2" t="s">
        <v>2621</v>
      </c>
      <c r="O5091" s="2" t="s">
        <v>15585</v>
      </c>
      <c r="P5091" s="2"/>
      <c r="Q5091" s="2" t="str">
        <f>"677-E/10"</f>
        <v>677-E/10</v>
      </c>
      <c r="R5091" s="2" t="s">
        <v>15585</v>
      </c>
      <c r="S5091" s="2"/>
      <c r="T5091" s="2">
        <v>1</v>
      </c>
      <c r="U5091" s="2" t="s">
        <v>79</v>
      </c>
      <c r="V5091" s="2">
        <v>1</v>
      </c>
      <c r="W5091" s="2" t="s">
        <v>80</v>
      </c>
      <c r="X5091" s="2">
        <v>12</v>
      </c>
      <c r="Y5091" s="2" t="s">
        <v>148</v>
      </c>
      <c r="Z5091" s="2">
        <v>1</v>
      </c>
      <c r="AA5091" s="2" t="s">
        <v>82</v>
      </c>
      <c r="AB5091" s="2">
        <v>4</v>
      </c>
      <c r="AC5091" s="2" t="s">
        <v>1569</v>
      </c>
      <c r="AD5091" s="3">
        <v>40525</v>
      </c>
      <c r="AE5091" s="4">
        <v>0.15277777777777776</v>
      </c>
      <c r="AF5091" s="3">
        <v>40525</v>
      </c>
      <c r="AG5091" s="4">
        <v>0.20138888888888887</v>
      </c>
      <c r="AH5091" s="2">
        <v>2</v>
      </c>
      <c r="AI5091" s="2" t="s">
        <v>84</v>
      </c>
      <c r="AJ5091" s="2">
        <v>9</v>
      </c>
      <c r="AK5091" s="2" t="s">
        <v>103</v>
      </c>
      <c r="AL5091" s="2">
        <v>25</v>
      </c>
      <c r="AM5091" s="2" t="s">
        <v>3073</v>
      </c>
      <c r="AN5091" s="2" t="s">
        <v>179</v>
      </c>
      <c r="AO5091" s="2" t="s">
        <v>987</v>
      </c>
      <c r="AP5091" s="2">
        <v>11</v>
      </c>
      <c r="AQ5091" s="2" t="s">
        <v>82</v>
      </c>
      <c r="AR5091" s="2"/>
      <c r="AS5091" s="2"/>
      <c r="AT5091" s="2" t="s">
        <v>15586</v>
      </c>
      <c r="AU5091" s="2"/>
      <c r="AV5091" s="2"/>
      <c r="AW5091" s="2"/>
      <c r="AX5091" s="2"/>
      <c r="AY5091" s="2">
        <v>41</v>
      </c>
      <c r="AZ5091" s="2" t="s">
        <v>82</v>
      </c>
      <c r="BA5091" s="2">
        <v>80</v>
      </c>
      <c r="BB5091" s="2" t="s">
        <v>15587</v>
      </c>
      <c r="BC5091" s="2">
        <v>41</v>
      </c>
      <c r="BD5091" s="2" t="s">
        <v>82</v>
      </c>
      <c r="BE5091" s="2">
        <v>39</v>
      </c>
      <c r="BF5091" s="2" t="s">
        <v>440</v>
      </c>
      <c r="BG5091" s="2" t="s">
        <v>12017</v>
      </c>
      <c r="BH5091" s="4">
        <v>0.29166666666666669</v>
      </c>
      <c r="BI5091" s="4">
        <v>0.16666666666666666</v>
      </c>
      <c r="BJ5091" s="2">
        <v>13</v>
      </c>
      <c r="BK5091" s="2" t="s">
        <v>91</v>
      </c>
      <c r="BL5091" s="2" t="s">
        <v>360</v>
      </c>
      <c r="BM5091" s="2">
        <v>33</v>
      </c>
      <c r="BN5091" s="2" t="s">
        <v>361</v>
      </c>
      <c r="BO5091" s="2"/>
      <c r="BP5091" s="2">
        <v>33</v>
      </c>
      <c r="BQ5091" s="2" t="s">
        <v>361</v>
      </c>
      <c r="BR5091" s="2" t="s">
        <v>1739</v>
      </c>
      <c r="BS5091" s="3">
        <v>40525</v>
      </c>
      <c r="BT5091" s="4">
        <v>0.41931712962962964</v>
      </c>
    </row>
    <row r="5092" spans="1:72" x14ac:dyDescent="0.25">
      <c r="A5092" s="2">
        <v>7900</v>
      </c>
      <c r="B5092" s="2">
        <v>2010</v>
      </c>
      <c r="C5092" s="2" t="s">
        <v>72</v>
      </c>
      <c r="D5092" s="2" t="s">
        <v>122</v>
      </c>
      <c r="E5092" s="2" t="s">
        <v>15588</v>
      </c>
      <c r="F5092" s="2">
        <v>37</v>
      </c>
      <c r="G5092" s="2" t="s">
        <v>1790</v>
      </c>
      <c r="H5092" s="2">
        <v>22</v>
      </c>
      <c r="I5092" s="2" t="s">
        <v>75</v>
      </c>
      <c r="J5092" s="2">
        <v>328</v>
      </c>
      <c r="K5092" s="2" t="s">
        <v>1791</v>
      </c>
      <c r="L5092" s="2" t="s">
        <v>1792</v>
      </c>
      <c r="M5092" s="3">
        <v>40525</v>
      </c>
      <c r="N5092" s="2" t="s">
        <v>3716</v>
      </c>
      <c r="O5092" s="2"/>
      <c r="P5092" s="2"/>
      <c r="Q5092" s="2" t="str">
        <f>"118/10"</f>
        <v>118/10</v>
      </c>
      <c r="R5092" s="2"/>
      <c r="S5092" s="2" t="s">
        <v>999</v>
      </c>
      <c r="T5092" s="2">
        <v>1</v>
      </c>
      <c r="U5092" s="2" t="s">
        <v>79</v>
      </c>
      <c r="V5092" s="2">
        <v>1</v>
      </c>
      <c r="W5092" s="2" t="s">
        <v>80</v>
      </c>
      <c r="X5092" s="2">
        <v>12</v>
      </c>
      <c r="Y5092" s="2" t="s">
        <v>148</v>
      </c>
      <c r="Z5092" s="2">
        <v>1</v>
      </c>
      <c r="AA5092" s="2" t="s">
        <v>82</v>
      </c>
      <c r="AB5092" s="2">
        <v>6</v>
      </c>
      <c r="AC5092" s="2" t="s">
        <v>83</v>
      </c>
      <c r="AD5092" s="3">
        <v>40523</v>
      </c>
      <c r="AE5092" s="4">
        <v>0.95833333333333337</v>
      </c>
      <c r="AF5092" s="3">
        <v>40525</v>
      </c>
      <c r="AG5092" s="4">
        <v>0.38194444444444442</v>
      </c>
      <c r="AH5092" s="2">
        <v>4</v>
      </c>
      <c r="AI5092" s="2" t="s">
        <v>125</v>
      </c>
      <c r="AJ5092" s="2">
        <v>29</v>
      </c>
      <c r="AK5092" s="2" t="s">
        <v>227</v>
      </c>
      <c r="AL5092" s="2">
        <v>22</v>
      </c>
      <c r="AM5092" s="2" t="s">
        <v>1853</v>
      </c>
      <c r="AN5092" s="2"/>
      <c r="AO5092" s="2" t="s">
        <v>15589</v>
      </c>
      <c r="AP5092" s="2">
        <v>11</v>
      </c>
      <c r="AQ5092" s="2" t="s">
        <v>82</v>
      </c>
      <c r="AR5092" s="2"/>
      <c r="AS5092" s="2"/>
      <c r="AT5092" s="2" t="s">
        <v>15590</v>
      </c>
      <c r="AU5092" s="2"/>
      <c r="AV5092" s="2"/>
      <c r="AW5092" s="2"/>
      <c r="AX5092" s="2"/>
      <c r="AY5092" s="2">
        <v>41</v>
      </c>
      <c r="AZ5092" s="2" t="s">
        <v>82</v>
      </c>
      <c r="BA5092" s="2">
        <v>152</v>
      </c>
      <c r="BB5092" s="2" t="s">
        <v>13823</v>
      </c>
      <c r="BC5092" s="2">
        <v>47</v>
      </c>
      <c r="BD5092" s="2" t="s">
        <v>167</v>
      </c>
      <c r="BE5092" s="2">
        <v>47</v>
      </c>
      <c r="BF5092" s="2" t="s">
        <v>167</v>
      </c>
      <c r="BG5092" s="2">
        <v>2459</v>
      </c>
      <c r="BH5092" s="4">
        <v>0.90277777777777779</v>
      </c>
      <c r="BI5092" s="4">
        <v>0.96527777777777779</v>
      </c>
      <c r="BJ5092" s="2">
        <v>13</v>
      </c>
      <c r="BK5092" s="2" t="s">
        <v>91</v>
      </c>
      <c r="BL5092" s="2" t="s">
        <v>828</v>
      </c>
      <c r="BM5092" s="2">
        <v>13</v>
      </c>
      <c r="BN5092" s="2" t="s">
        <v>91</v>
      </c>
      <c r="BO5092" s="2"/>
      <c r="BP5092" s="2">
        <v>13</v>
      </c>
      <c r="BQ5092" s="2" t="s">
        <v>91</v>
      </c>
      <c r="BR5092" s="2" t="s">
        <v>185</v>
      </c>
      <c r="BS5092" s="3">
        <v>40525</v>
      </c>
      <c r="BT5092" s="4">
        <v>0.43313657407407408</v>
      </c>
    </row>
    <row r="5093" spans="1:72" x14ac:dyDescent="0.25">
      <c r="A5093" s="2">
        <v>7901</v>
      </c>
      <c r="B5093" s="2">
        <v>2010</v>
      </c>
      <c r="C5093" s="2" t="s">
        <v>171</v>
      </c>
      <c r="D5093" s="2" t="s">
        <v>73</v>
      </c>
      <c r="E5093" s="2"/>
      <c r="F5093" s="2">
        <v>394</v>
      </c>
      <c r="G5093" s="2" t="s">
        <v>172</v>
      </c>
      <c r="H5093" s="2">
        <v>4</v>
      </c>
      <c r="I5093" s="2" t="s">
        <v>173</v>
      </c>
      <c r="J5093" s="2">
        <v>241</v>
      </c>
      <c r="K5093" s="2" t="s">
        <v>174</v>
      </c>
      <c r="L5093" s="2" t="s">
        <v>175</v>
      </c>
      <c r="M5093" s="3">
        <v>40525</v>
      </c>
      <c r="N5093" s="2" t="s">
        <v>390</v>
      </c>
      <c r="O5093" s="2" t="s">
        <v>15591</v>
      </c>
      <c r="P5093" s="2">
        <v>22573</v>
      </c>
      <c r="Q5093" s="2" t="str">
        <f>"236E/10"</f>
        <v>236E/10</v>
      </c>
      <c r="R5093" s="2" t="s">
        <v>2364</v>
      </c>
      <c r="S5093" s="2" t="s">
        <v>15592</v>
      </c>
      <c r="T5093" s="2">
        <v>1</v>
      </c>
      <c r="U5093" s="2" t="s">
        <v>79</v>
      </c>
      <c r="V5093" s="2">
        <v>3</v>
      </c>
      <c r="W5093" s="2" t="s">
        <v>225</v>
      </c>
      <c r="X5093" s="2">
        <v>6</v>
      </c>
      <c r="Y5093" s="2" t="s">
        <v>249</v>
      </c>
      <c r="Z5093" s="2">
        <v>1</v>
      </c>
      <c r="AA5093" s="2" t="s">
        <v>82</v>
      </c>
      <c r="AB5093" s="2">
        <v>9</v>
      </c>
      <c r="AC5093" s="2" t="s">
        <v>124</v>
      </c>
      <c r="AD5093" s="3">
        <v>40525</v>
      </c>
      <c r="AE5093" s="4">
        <v>0.375</v>
      </c>
      <c r="AF5093" s="3">
        <v>40299</v>
      </c>
      <c r="AG5093" s="2"/>
      <c r="AH5093" s="2">
        <v>2</v>
      </c>
      <c r="AI5093" s="2" t="s">
        <v>84</v>
      </c>
      <c r="AJ5093" s="2">
        <v>6</v>
      </c>
      <c r="AK5093" s="2" t="s">
        <v>453</v>
      </c>
      <c r="AL5093" s="2">
        <v>19</v>
      </c>
      <c r="AM5093" s="2" t="s">
        <v>107</v>
      </c>
      <c r="AN5093" s="2"/>
      <c r="AO5093" s="2"/>
      <c r="AP5093" s="2">
        <v>11</v>
      </c>
      <c r="AQ5093" s="2" t="s">
        <v>82</v>
      </c>
      <c r="AR5093" s="2"/>
      <c r="AS5093" s="2"/>
      <c r="AT5093" s="2" t="s">
        <v>15593</v>
      </c>
      <c r="AU5093" s="2"/>
      <c r="AV5093" s="2"/>
      <c r="AW5093" s="2"/>
      <c r="AX5093" s="2"/>
      <c r="AY5093" s="2">
        <v>41</v>
      </c>
      <c r="AZ5093" s="2" t="s">
        <v>82</v>
      </c>
      <c r="BA5093" s="2">
        <v>41</v>
      </c>
      <c r="BB5093" s="2" t="s">
        <v>82</v>
      </c>
      <c r="BC5093" s="2">
        <v>41</v>
      </c>
      <c r="BD5093" s="2" t="s">
        <v>82</v>
      </c>
      <c r="BE5093" s="2">
        <v>41</v>
      </c>
      <c r="BF5093" s="2" t="s">
        <v>82</v>
      </c>
      <c r="BG5093" s="2"/>
      <c r="BH5093" s="2"/>
      <c r="BI5093" s="2"/>
      <c r="BJ5093" s="2">
        <v>241</v>
      </c>
      <c r="BK5093" s="2" t="s">
        <v>82</v>
      </c>
      <c r="BL5093" s="2"/>
      <c r="BM5093" s="2">
        <v>241</v>
      </c>
      <c r="BN5093" s="2" t="s">
        <v>82</v>
      </c>
      <c r="BO5093" s="2"/>
      <c r="BP5093" s="2">
        <v>241</v>
      </c>
      <c r="BQ5093" s="2" t="s">
        <v>82</v>
      </c>
      <c r="BR5093" s="2"/>
      <c r="BS5093" s="3">
        <v>40525</v>
      </c>
      <c r="BT5093" s="4">
        <v>0.4433449074074074</v>
      </c>
    </row>
    <row r="5094" spans="1:72" x14ac:dyDescent="0.25">
      <c r="A5094" s="2">
        <v>7908</v>
      </c>
      <c r="B5094" s="2">
        <v>2010</v>
      </c>
      <c r="C5094" s="2" t="s">
        <v>147</v>
      </c>
      <c r="D5094" s="2" t="s">
        <v>73</v>
      </c>
      <c r="E5094" s="2"/>
      <c r="F5094" s="2">
        <v>1</v>
      </c>
      <c r="G5094" s="2" t="s">
        <v>82</v>
      </c>
      <c r="H5094" s="2">
        <v>1</v>
      </c>
      <c r="I5094" s="2" t="s">
        <v>82</v>
      </c>
      <c r="J5094" s="2">
        <v>1</v>
      </c>
      <c r="K5094" s="2" t="s">
        <v>107</v>
      </c>
      <c r="L5094" s="2" t="s">
        <v>107</v>
      </c>
      <c r="M5094" s="3">
        <v>40525</v>
      </c>
      <c r="N5094" s="2"/>
      <c r="O5094" s="2"/>
      <c r="P5094" s="2"/>
      <c r="Q5094" s="2" t="str">
        <f>"EXTRAVIO Nº 40/10"</f>
        <v>EXTRAVIO Nº 40/10</v>
      </c>
      <c r="R5094" s="2"/>
      <c r="S5094" s="2"/>
      <c r="T5094" s="2">
        <v>2</v>
      </c>
      <c r="U5094" s="2" t="s">
        <v>123</v>
      </c>
      <c r="V5094" s="2">
        <v>1</v>
      </c>
      <c r="W5094" s="2" t="s">
        <v>80</v>
      </c>
      <c r="X5094" s="2">
        <v>12</v>
      </c>
      <c r="Y5094" s="2" t="s">
        <v>148</v>
      </c>
      <c r="Z5094" s="2">
        <v>1</v>
      </c>
      <c r="AA5094" s="2" t="s">
        <v>82</v>
      </c>
      <c r="AB5094" s="2">
        <v>9</v>
      </c>
      <c r="AC5094" s="2" t="s">
        <v>124</v>
      </c>
      <c r="AD5094" s="2"/>
      <c r="AE5094" s="2"/>
      <c r="AF5094" s="3">
        <v>40525</v>
      </c>
      <c r="AG5094" s="4">
        <v>0.45833333333333331</v>
      </c>
      <c r="AH5094" s="2">
        <v>2</v>
      </c>
      <c r="AI5094" s="2" t="s">
        <v>84</v>
      </c>
      <c r="AJ5094" s="2">
        <v>11</v>
      </c>
      <c r="AK5094" s="2" t="s">
        <v>751</v>
      </c>
      <c r="AL5094" s="2">
        <v>19</v>
      </c>
      <c r="AM5094" s="2" t="s">
        <v>107</v>
      </c>
      <c r="AN5094" s="2" t="s">
        <v>15594</v>
      </c>
      <c r="AO5094" s="2"/>
      <c r="AP5094" s="2">
        <v>11</v>
      </c>
      <c r="AQ5094" s="2" t="s">
        <v>82</v>
      </c>
      <c r="AR5094" s="2"/>
      <c r="AS5094" s="2"/>
      <c r="AT5094" s="2" t="s">
        <v>15595</v>
      </c>
      <c r="AU5094" s="2"/>
      <c r="AV5094" s="2"/>
      <c r="AW5094" s="2"/>
      <c r="AX5094" s="2"/>
      <c r="AY5094" s="2">
        <v>41</v>
      </c>
      <c r="AZ5094" s="2" t="s">
        <v>82</v>
      </c>
      <c r="BA5094" s="2">
        <v>41</v>
      </c>
      <c r="BB5094" s="2" t="s">
        <v>82</v>
      </c>
      <c r="BC5094" s="2">
        <v>41</v>
      </c>
      <c r="BD5094" s="2" t="s">
        <v>82</v>
      </c>
      <c r="BE5094" s="2">
        <v>41</v>
      </c>
      <c r="BF5094" s="2" t="s">
        <v>82</v>
      </c>
      <c r="BG5094" s="2"/>
      <c r="BH5094" s="2"/>
      <c r="BI5094" s="2"/>
      <c r="BJ5094" s="2">
        <v>241</v>
      </c>
      <c r="BK5094" s="2" t="s">
        <v>82</v>
      </c>
      <c r="BL5094" s="2"/>
      <c r="BM5094" s="2">
        <v>241</v>
      </c>
      <c r="BN5094" s="2" t="s">
        <v>82</v>
      </c>
      <c r="BO5094" s="2"/>
      <c r="BP5094" s="2">
        <v>241</v>
      </c>
      <c r="BQ5094" s="2" t="s">
        <v>82</v>
      </c>
      <c r="BR5094" s="2"/>
      <c r="BS5094" s="3">
        <v>40525</v>
      </c>
      <c r="BT5094" s="4">
        <v>0.49925925925925929</v>
      </c>
    </row>
    <row r="5095" spans="1:72" x14ac:dyDescent="0.25">
      <c r="A5095" s="2">
        <v>7909</v>
      </c>
      <c r="B5095" s="2">
        <v>2010</v>
      </c>
      <c r="C5095" s="2" t="s">
        <v>764</v>
      </c>
      <c r="D5095" s="2" t="s">
        <v>73</v>
      </c>
      <c r="E5095" s="2"/>
      <c r="F5095" s="2">
        <v>110</v>
      </c>
      <c r="G5095" s="2" t="s">
        <v>7444</v>
      </c>
      <c r="H5095" s="2">
        <v>47</v>
      </c>
      <c r="I5095" s="2" t="s">
        <v>1409</v>
      </c>
      <c r="J5095" s="2">
        <v>126</v>
      </c>
      <c r="K5095" s="2" t="s">
        <v>7445</v>
      </c>
      <c r="L5095" s="2" t="s">
        <v>7446</v>
      </c>
      <c r="M5095" s="3">
        <v>40525</v>
      </c>
      <c r="N5095" s="2" t="s">
        <v>15596</v>
      </c>
      <c r="O5095" s="2" t="s">
        <v>107</v>
      </c>
      <c r="P5095" s="2" t="s">
        <v>107</v>
      </c>
      <c r="Q5095" s="2" t="str">
        <f>"0009/2010"</f>
        <v>0009/2010</v>
      </c>
      <c r="R5095" s="2" t="s">
        <v>107</v>
      </c>
      <c r="S5095" s="2" t="s">
        <v>15597</v>
      </c>
      <c r="T5095" s="2">
        <v>1</v>
      </c>
      <c r="U5095" s="2" t="s">
        <v>79</v>
      </c>
      <c r="V5095" s="2">
        <v>1</v>
      </c>
      <c r="W5095" s="2" t="s">
        <v>80</v>
      </c>
      <c r="X5095" s="2">
        <v>12</v>
      </c>
      <c r="Y5095" s="2" t="s">
        <v>148</v>
      </c>
      <c r="Z5095" s="2">
        <v>1</v>
      </c>
      <c r="AA5095" s="2" t="s">
        <v>82</v>
      </c>
      <c r="AB5095" s="2">
        <v>9</v>
      </c>
      <c r="AC5095" s="2" t="s">
        <v>124</v>
      </c>
      <c r="AD5095" s="3">
        <v>40523</v>
      </c>
      <c r="AE5095" s="4">
        <v>0.59722222222222221</v>
      </c>
      <c r="AF5095" s="3">
        <v>40525</v>
      </c>
      <c r="AG5095" s="4">
        <v>0.41666666666666669</v>
      </c>
      <c r="AH5095" s="2">
        <v>6</v>
      </c>
      <c r="AI5095" s="2" t="s">
        <v>197</v>
      </c>
      <c r="AJ5095" s="2">
        <v>57</v>
      </c>
      <c r="AK5095" s="2" t="s">
        <v>2344</v>
      </c>
      <c r="AL5095" s="2">
        <v>12</v>
      </c>
      <c r="AM5095" s="2" t="s">
        <v>86</v>
      </c>
      <c r="AN5095" s="2"/>
      <c r="AO5095" s="2" t="s">
        <v>10100</v>
      </c>
      <c r="AP5095" s="2">
        <v>11</v>
      </c>
      <c r="AQ5095" s="2" t="s">
        <v>82</v>
      </c>
      <c r="AR5095" s="2"/>
      <c r="AS5095" s="2"/>
      <c r="AT5095" s="2" t="s">
        <v>15598</v>
      </c>
      <c r="AU5095" s="2"/>
      <c r="AV5095" s="2"/>
      <c r="AW5095" s="2"/>
      <c r="AX5095" s="2"/>
      <c r="AY5095" s="2">
        <v>41</v>
      </c>
      <c r="AZ5095" s="2" t="s">
        <v>82</v>
      </c>
      <c r="BA5095" s="2">
        <v>41</v>
      </c>
      <c r="BB5095" s="2" t="s">
        <v>82</v>
      </c>
      <c r="BC5095" s="2">
        <v>41</v>
      </c>
      <c r="BD5095" s="2" t="s">
        <v>82</v>
      </c>
      <c r="BE5095" s="2">
        <v>41</v>
      </c>
      <c r="BF5095" s="2" t="s">
        <v>82</v>
      </c>
      <c r="BG5095" s="2"/>
      <c r="BH5095" s="2"/>
      <c r="BI5095" s="2"/>
      <c r="BJ5095" s="2">
        <v>241</v>
      </c>
      <c r="BK5095" s="2" t="s">
        <v>82</v>
      </c>
      <c r="BL5095" s="2"/>
      <c r="BM5095" s="2">
        <v>241</v>
      </c>
      <c r="BN5095" s="2" t="s">
        <v>82</v>
      </c>
      <c r="BO5095" s="2"/>
      <c r="BP5095" s="2">
        <v>241</v>
      </c>
      <c r="BQ5095" s="2" t="s">
        <v>82</v>
      </c>
      <c r="BR5095" s="2"/>
      <c r="BS5095" s="3">
        <v>40525</v>
      </c>
      <c r="BT5095" s="4">
        <v>0.53203703703703698</v>
      </c>
    </row>
    <row r="5096" spans="1:72" x14ac:dyDescent="0.25">
      <c r="A5096" s="2">
        <v>7910</v>
      </c>
      <c r="B5096" s="2">
        <v>2010</v>
      </c>
      <c r="C5096" s="2" t="s">
        <v>72</v>
      </c>
      <c r="D5096" s="2" t="s">
        <v>73</v>
      </c>
      <c r="E5096" s="2"/>
      <c r="F5096" s="2">
        <v>175</v>
      </c>
      <c r="G5096" s="2" t="s">
        <v>4170</v>
      </c>
      <c r="H5096" s="2">
        <v>149</v>
      </c>
      <c r="I5096" s="2" t="s">
        <v>14672</v>
      </c>
      <c r="J5096" s="2">
        <v>728</v>
      </c>
      <c r="K5096" s="2" t="s">
        <v>15156</v>
      </c>
      <c r="L5096" s="2" t="s">
        <v>15157</v>
      </c>
      <c r="M5096" s="3">
        <v>40525</v>
      </c>
      <c r="N5096" s="2" t="s">
        <v>15158</v>
      </c>
      <c r="O5096" s="2"/>
      <c r="P5096" s="2"/>
      <c r="Q5096" s="2" t="str">
        <f>"450-A/10"</f>
        <v>450-A/10</v>
      </c>
      <c r="R5096" s="2" t="s">
        <v>15599</v>
      </c>
      <c r="S5096" s="2" t="s">
        <v>15599</v>
      </c>
      <c r="T5096" s="2">
        <v>1</v>
      </c>
      <c r="U5096" s="2" t="s">
        <v>79</v>
      </c>
      <c r="V5096" s="2">
        <v>1</v>
      </c>
      <c r="W5096" s="2" t="s">
        <v>80</v>
      </c>
      <c r="X5096" s="2">
        <v>12</v>
      </c>
      <c r="Y5096" s="2" t="s">
        <v>148</v>
      </c>
      <c r="Z5096" s="2">
        <v>1</v>
      </c>
      <c r="AA5096" s="2" t="s">
        <v>82</v>
      </c>
      <c r="AB5096" s="2">
        <v>6</v>
      </c>
      <c r="AC5096" s="2" t="s">
        <v>83</v>
      </c>
      <c r="AD5096" s="3">
        <v>40524</v>
      </c>
      <c r="AE5096" s="2"/>
      <c r="AF5096" s="3">
        <v>40525</v>
      </c>
      <c r="AG5096" s="4">
        <v>0.45833333333333331</v>
      </c>
      <c r="AH5096" s="2">
        <v>2</v>
      </c>
      <c r="AI5096" s="2" t="s">
        <v>84</v>
      </c>
      <c r="AJ5096" s="2">
        <v>12</v>
      </c>
      <c r="AK5096" s="2" t="s">
        <v>85</v>
      </c>
      <c r="AL5096" s="2">
        <v>25</v>
      </c>
      <c r="AM5096" s="2" t="s">
        <v>3073</v>
      </c>
      <c r="AN5096" s="2" t="s">
        <v>15600</v>
      </c>
      <c r="AO5096" s="2" t="s">
        <v>11945</v>
      </c>
      <c r="AP5096" s="2">
        <v>11</v>
      </c>
      <c r="AQ5096" s="2" t="s">
        <v>82</v>
      </c>
      <c r="AR5096" s="2"/>
      <c r="AS5096" s="2"/>
      <c r="AT5096" s="2" t="s">
        <v>15601</v>
      </c>
      <c r="AU5096" s="2"/>
      <c r="AV5096" s="2"/>
      <c r="AW5096" s="2"/>
      <c r="AX5096" s="2"/>
      <c r="AY5096" s="2">
        <v>41</v>
      </c>
      <c r="AZ5096" s="2" t="s">
        <v>82</v>
      </c>
      <c r="BA5096" s="2">
        <v>41</v>
      </c>
      <c r="BB5096" s="2" t="s">
        <v>82</v>
      </c>
      <c r="BC5096" s="2">
        <v>41</v>
      </c>
      <c r="BD5096" s="2" t="s">
        <v>82</v>
      </c>
      <c r="BE5096" s="2">
        <v>41</v>
      </c>
      <c r="BF5096" s="2" t="s">
        <v>82</v>
      </c>
      <c r="BG5096" s="2"/>
      <c r="BH5096" s="2"/>
      <c r="BI5096" s="2"/>
      <c r="BJ5096" s="2">
        <v>241</v>
      </c>
      <c r="BK5096" s="2" t="s">
        <v>82</v>
      </c>
      <c r="BL5096" s="2"/>
      <c r="BM5096" s="2">
        <v>241</v>
      </c>
      <c r="BN5096" s="2" t="s">
        <v>82</v>
      </c>
      <c r="BO5096" s="2"/>
      <c r="BP5096" s="2">
        <v>241</v>
      </c>
      <c r="BQ5096" s="2" t="s">
        <v>82</v>
      </c>
      <c r="BR5096" s="2"/>
      <c r="BS5096" s="3">
        <v>40525</v>
      </c>
      <c r="BT5096" s="4">
        <v>0.57148148148148148</v>
      </c>
    </row>
    <row r="5097" spans="1:72" x14ac:dyDescent="0.25">
      <c r="A5097" s="2">
        <v>7911</v>
      </c>
      <c r="B5097" s="2">
        <v>2010</v>
      </c>
      <c r="C5097" s="2" t="s">
        <v>93</v>
      </c>
      <c r="D5097" s="2" t="s">
        <v>122</v>
      </c>
      <c r="E5097" s="2"/>
      <c r="F5097" s="2">
        <v>742</v>
      </c>
      <c r="G5097" s="2" t="s">
        <v>15602</v>
      </c>
      <c r="H5097" s="2">
        <v>22</v>
      </c>
      <c r="I5097" s="2" t="s">
        <v>75</v>
      </c>
      <c r="J5097" s="2">
        <v>745</v>
      </c>
      <c r="K5097" s="2" t="s">
        <v>15603</v>
      </c>
      <c r="L5097" s="2" t="s">
        <v>575</v>
      </c>
      <c r="M5097" s="3">
        <v>40525</v>
      </c>
      <c r="N5097" s="2" t="s">
        <v>15604</v>
      </c>
      <c r="O5097" s="2" t="s">
        <v>15605</v>
      </c>
      <c r="P5097" s="2" t="s">
        <v>15606</v>
      </c>
      <c r="Q5097" s="2" t="str">
        <f>"013/2010"</f>
        <v>013/2010</v>
      </c>
      <c r="R5097" s="2" t="s">
        <v>82</v>
      </c>
      <c r="S5097" s="2" t="s">
        <v>82</v>
      </c>
      <c r="T5097" s="2">
        <v>1</v>
      </c>
      <c r="U5097" s="2" t="s">
        <v>79</v>
      </c>
      <c r="V5097" s="2">
        <v>1</v>
      </c>
      <c r="W5097" s="2" t="s">
        <v>80</v>
      </c>
      <c r="X5097" s="2">
        <v>10</v>
      </c>
      <c r="Y5097" s="2" t="s">
        <v>226</v>
      </c>
      <c r="Z5097" s="2">
        <v>6</v>
      </c>
      <c r="AA5097" s="2" t="s">
        <v>101</v>
      </c>
      <c r="AB5097" s="2">
        <v>2</v>
      </c>
      <c r="AC5097" s="2" t="s">
        <v>102</v>
      </c>
      <c r="AD5097" s="3">
        <v>40525</v>
      </c>
      <c r="AE5097" s="4">
        <v>0.3125</v>
      </c>
      <c r="AF5097" s="3">
        <v>40525</v>
      </c>
      <c r="AG5097" s="4">
        <v>0.32291666666666669</v>
      </c>
      <c r="AH5097" s="2">
        <v>5</v>
      </c>
      <c r="AI5097" s="2" t="s">
        <v>274</v>
      </c>
      <c r="AJ5097" s="2">
        <v>45</v>
      </c>
      <c r="AK5097" s="2" t="s">
        <v>834</v>
      </c>
      <c r="AL5097" s="2">
        <v>11</v>
      </c>
      <c r="AM5097" s="2" t="s">
        <v>137</v>
      </c>
      <c r="AN5097" s="2" t="s">
        <v>82</v>
      </c>
      <c r="AO5097" s="2" t="s">
        <v>1059</v>
      </c>
      <c r="AP5097" s="2">
        <v>11</v>
      </c>
      <c r="AQ5097" s="2" t="s">
        <v>82</v>
      </c>
      <c r="AR5097" s="2" t="s">
        <v>82</v>
      </c>
      <c r="AS5097" s="2" t="s">
        <v>82</v>
      </c>
      <c r="AT5097" s="2" t="s">
        <v>15607</v>
      </c>
      <c r="AU5097" s="2">
        <v>1</v>
      </c>
      <c r="AV5097" s="2"/>
      <c r="AW5097" s="2"/>
      <c r="AX5097" s="2"/>
      <c r="AY5097" s="2">
        <v>41</v>
      </c>
      <c r="AZ5097" s="2" t="s">
        <v>82</v>
      </c>
      <c r="BA5097" s="2">
        <v>115</v>
      </c>
      <c r="BB5097" s="2" t="s">
        <v>101</v>
      </c>
      <c r="BC5097" s="2">
        <v>41</v>
      </c>
      <c r="BD5097" s="2" t="s">
        <v>82</v>
      </c>
      <c r="BE5097" s="2">
        <v>25</v>
      </c>
      <c r="BF5097" s="2" t="s">
        <v>358</v>
      </c>
      <c r="BG5097" s="2">
        <v>7467</v>
      </c>
      <c r="BH5097" s="4">
        <v>4.5138888888888888E-2</v>
      </c>
      <c r="BI5097" s="4">
        <v>0.19791666666666666</v>
      </c>
      <c r="BJ5097" s="2">
        <v>13</v>
      </c>
      <c r="BK5097" s="2" t="s">
        <v>91</v>
      </c>
      <c r="BL5097" s="2" t="s">
        <v>1705</v>
      </c>
      <c r="BM5097" s="2">
        <v>33</v>
      </c>
      <c r="BN5097" s="2" t="s">
        <v>361</v>
      </c>
      <c r="BO5097" s="2"/>
      <c r="BP5097" s="2">
        <v>33</v>
      </c>
      <c r="BQ5097" s="2" t="s">
        <v>361</v>
      </c>
      <c r="BR5097" s="2" t="s">
        <v>1706</v>
      </c>
      <c r="BS5097" s="3">
        <v>40525</v>
      </c>
      <c r="BT5097" s="4">
        <v>0.60625000000000007</v>
      </c>
    </row>
    <row r="5098" spans="1:72" x14ac:dyDescent="0.25">
      <c r="A5098" s="2">
        <v>7912</v>
      </c>
      <c r="B5098" s="2">
        <v>2010</v>
      </c>
      <c r="C5098" s="2" t="s">
        <v>414</v>
      </c>
      <c r="D5098" s="2" t="s">
        <v>122</v>
      </c>
      <c r="E5098" s="2"/>
      <c r="F5098" s="2">
        <v>1</v>
      </c>
      <c r="G5098" s="2" t="s">
        <v>82</v>
      </c>
      <c r="H5098" s="2">
        <v>1</v>
      </c>
      <c r="I5098" s="2" t="s">
        <v>82</v>
      </c>
      <c r="J5098" s="2">
        <v>1</v>
      </c>
      <c r="K5098" s="2" t="s">
        <v>107</v>
      </c>
      <c r="L5098" s="2" t="s">
        <v>107</v>
      </c>
      <c r="M5098" s="3">
        <v>40525</v>
      </c>
      <c r="N5098" s="2" t="s">
        <v>82</v>
      </c>
      <c r="O5098" s="2" t="s">
        <v>82</v>
      </c>
      <c r="P5098" s="2" t="s">
        <v>82</v>
      </c>
      <c r="Q5098" s="2" t="str">
        <f>"N/C"</f>
        <v>N/C</v>
      </c>
      <c r="R5098" s="2" t="s">
        <v>82</v>
      </c>
      <c r="S5098" s="2" t="s">
        <v>15608</v>
      </c>
      <c r="T5098" s="2">
        <v>1</v>
      </c>
      <c r="U5098" s="2" t="s">
        <v>79</v>
      </c>
      <c r="V5098" s="2">
        <v>1</v>
      </c>
      <c r="W5098" s="2" t="s">
        <v>80</v>
      </c>
      <c r="X5098" s="2">
        <v>1</v>
      </c>
      <c r="Y5098" s="2" t="s">
        <v>81</v>
      </c>
      <c r="Z5098" s="2">
        <v>1</v>
      </c>
      <c r="AA5098" s="2" t="s">
        <v>82</v>
      </c>
      <c r="AB5098" s="2">
        <v>9</v>
      </c>
      <c r="AC5098" s="2" t="s">
        <v>124</v>
      </c>
      <c r="AD5098" s="3">
        <v>40525</v>
      </c>
      <c r="AE5098" s="4">
        <v>0.4375</v>
      </c>
      <c r="AF5098" s="3">
        <v>40525</v>
      </c>
      <c r="AG5098" s="4">
        <v>0.4375</v>
      </c>
      <c r="AH5098" s="2">
        <v>6</v>
      </c>
      <c r="AI5098" s="2" t="s">
        <v>197</v>
      </c>
      <c r="AJ5098" s="2">
        <v>60</v>
      </c>
      <c r="AK5098" s="2" t="s">
        <v>543</v>
      </c>
      <c r="AL5098" s="2">
        <v>11</v>
      </c>
      <c r="AM5098" s="2" t="s">
        <v>137</v>
      </c>
      <c r="AN5098" s="2" t="s">
        <v>82</v>
      </c>
      <c r="AO5098" s="2" t="s">
        <v>15609</v>
      </c>
      <c r="AP5098" s="2">
        <v>11</v>
      </c>
      <c r="AQ5098" s="2" t="s">
        <v>82</v>
      </c>
      <c r="AR5098" s="2" t="s">
        <v>82</v>
      </c>
      <c r="AS5098" s="2" t="s">
        <v>82</v>
      </c>
      <c r="AT5098" s="2" t="s">
        <v>15610</v>
      </c>
      <c r="AU5098" s="2"/>
      <c r="AV5098" s="2"/>
      <c r="AW5098" s="2"/>
      <c r="AX5098" s="2"/>
      <c r="AY5098" s="2">
        <v>41</v>
      </c>
      <c r="AZ5098" s="2" t="s">
        <v>82</v>
      </c>
      <c r="BA5098" s="2">
        <v>41</v>
      </c>
      <c r="BB5098" s="2" t="s">
        <v>82</v>
      </c>
      <c r="BC5098" s="2">
        <v>41</v>
      </c>
      <c r="BD5098" s="2" t="s">
        <v>82</v>
      </c>
      <c r="BE5098" s="2">
        <v>41</v>
      </c>
      <c r="BF5098" s="2" t="s">
        <v>82</v>
      </c>
      <c r="BG5098" s="2" t="s">
        <v>82</v>
      </c>
      <c r="BH5098" s="2"/>
      <c r="BI5098" s="2"/>
      <c r="BJ5098" s="2">
        <v>241</v>
      </c>
      <c r="BK5098" s="2" t="s">
        <v>82</v>
      </c>
      <c r="BL5098" s="2" t="s">
        <v>82</v>
      </c>
      <c r="BM5098" s="2">
        <v>242</v>
      </c>
      <c r="BN5098" s="2" t="s">
        <v>107</v>
      </c>
      <c r="BO5098" s="2"/>
      <c r="BP5098" s="2">
        <v>241</v>
      </c>
      <c r="BQ5098" s="2" t="s">
        <v>82</v>
      </c>
      <c r="BR5098" s="2" t="s">
        <v>82</v>
      </c>
      <c r="BS5098" s="3">
        <v>40525</v>
      </c>
      <c r="BT5098" s="4">
        <v>0.6068634259259259</v>
      </c>
    </row>
    <row r="5099" spans="1:72" x14ac:dyDescent="0.25">
      <c r="A5099" s="2">
        <v>7913</v>
      </c>
      <c r="B5099" s="2">
        <v>2010</v>
      </c>
      <c r="C5099" s="2" t="s">
        <v>1568</v>
      </c>
      <c r="D5099" s="2" t="s">
        <v>122</v>
      </c>
      <c r="E5099" s="2" t="s">
        <v>15611</v>
      </c>
      <c r="F5099" s="2">
        <v>365</v>
      </c>
      <c r="G5099" s="2" t="s">
        <v>15500</v>
      </c>
      <c r="H5099" s="2">
        <v>149</v>
      </c>
      <c r="I5099" s="2" t="s">
        <v>14672</v>
      </c>
      <c r="J5099" s="2">
        <v>741</v>
      </c>
      <c r="K5099" s="2" t="s">
        <v>15501</v>
      </c>
      <c r="L5099" s="2" t="s">
        <v>15502</v>
      </c>
      <c r="M5099" s="3">
        <v>40525</v>
      </c>
      <c r="N5099" s="2" t="s">
        <v>15503</v>
      </c>
      <c r="O5099" s="2" t="s">
        <v>107</v>
      </c>
      <c r="P5099" s="2" t="s">
        <v>15612</v>
      </c>
      <c r="Q5099" s="2" t="str">
        <f>"012/2010"</f>
        <v>012/2010</v>
      </c>
      <c r="R5099" s="2" t="s">
        <v>15613</v>
      </c>
      <c r="S5099" s="2" t="s">
        <v>15614</v>
      </c>
      <c r="T5099" s="2">
        <v>1</v>
      </c>
      <c r="U5099" s="2" t="s">
        <v>79</v>
      </c>
      <c r="V5099" s="2">
        <v>1</v>
      </c>
      <c r="W5099" s="2" t="s">
        <v>80</v>
      </c>
      <c r="X5099" s="2">
        <v>1</v>
      </c>
      <c r="Y5099" s="2" t="s">
        <v>81</v>
      </c>
      <c r="Z5099" s="2">
        <v>1</v>
      </c>
      <c r="AA5099" s="2" t="s">
        <v>82</v>
      </c>
      <c r="AB5099" s="2">
        <v>4</v>
      </c>
      <c r="AC5099" s="2" t="s">
        <v>1569</v>
      </c>
      <c r="AD5099" s="3">
        <v>40522</v>
      </c>
      <c r="AE5099" s="4">
        <v>0.35069444444444442</v>
      </c>
      <c r="AF5099" s="3">
        <v>40522</v>
      </c>
      <c r="AG5099" s="4">
        <v>0.35416666666666669</v>
      </c>
      <c r="AH5099" s="2">
        <v>5</v>
      </c>
      <c r="AI5099" s="2" t="s">
        <v>274</v>
      </c>
      <c r="AJ5099" s="2">
        <v>45</v>
      </c>
      <c r="AK5099" s="2" t="s">
        <v>834</v>
      </c>
      <c r="AL5099" s="2">
        <v>22</v>
      </c>
      <c r="AM5099" s="2" t="s">
        <v>1853</v>
      </c>
      <c r="AN5099" s="2" t="s">
        <v>82</v>
      </c>
      <c r="AO5099" s="2" t="s">
        <v>15615</v>
      </c>
      <c r="AP5099" s="2">
        <v>11</v>
      </c>
      <c r="AQ5099" s="2" t="s">
        <v>82</v>
      </c>
      <c r="AR5099" s="2" t="s">
        <v>82</v>
      </c>
      <c r="AS5099" s="2" t="s">
        <v>82</v>
      </c>
      <c r="AT5099" s="2" t="s">
        <v>15616</v>
      </c>
      <c r="AU5099" s="2"/>
      <c r="AV5099" s="2"/>
      <c r="AW5099" s="2"/>
      <c r="AX5099" s="2"/>
      <c r="AY5099" s="2">
        <v>41</v>
      </c>
      <c r="AZ5099" s="2" t="s">
        <v>82</v>
      </c>
      <c r="BA5099" s="2">
        <v>41</v>
      </c>
      <c r="BB5099" s="2" t="s">
        <v>82</v>
      </c>
      <c r="BC5099" s="2">
        <v>41</v>
      </c>
      <c r="BD5099" s="2" t="s">
        <v>82</v>
      </c>
      <c r="BE5099" s="2">
        <v>38</v>
      </c>
      <c r="BF5099" s="2" t="s">
        <v>221</v>
      </c>
      <c r="BG5099" s="2">
        <v>2778</v>
      </c>
      <c r="BH5099" s="4">
        <v>0.2986111111111111</v>
      </c>
      <c r="BI5099" s="4">
        <v>0.3888888888888889</v>
      </c>
      <c r="BJ5099" s="2">
        <v>13</v>
      </c>
      <c r="BK5099" s="2" t="s">
        <v>91</v>
      </c>
      <c r="BL5099" s="2" t="s">
        <v>1705</v>
      </c>
      <c r="BM5099" s="2">
        <v>173</v>
      </c>
      <c r="BN5099" s="2" t="s">
        <v>223</v>
      </c>
      <c r="BO5099" s="2"/>
      <c r="BP5099" s="2">
        <v>173</v>
      </c>
      <c r="BQ5099" s="2" t="s">
        <v>223</v>
      </c>
      <c r="BR5099" s="2" t="s">
        <v>224</v>
      </c>
      <c r="BS5099" s="3">
        <v>40525</v>
      </c>
      <c r="BT5099" s="4">
        <v>0.61357638888888888</v>
      </c>
    </row>
    <row r="5100" spans="1:72" x14ac:dyDescent="0.25">
      <c r="A5100" s="2">
        <v>7914</v>
      </c>
      <c r="B5100" s="2">
        <v>2010</v>
      </c>
      <c r="C5100" s="2" t="s">
        <v>5621</v>
      </c>
      <c r="D5100" s="2" t="s">
        <v>122</v>
      </c>
      <c r="E5100" s="2"/>
      <c r="F5100" s="2">
        <v>307</v>
      </c>
      <c r="G5100" s="2" t="s">
        <v>929</v>
      </c>
      <c r="H5100" s="2">
        <v>2</v>
      </c>
      <c r="I5100" s="2" t="s">
        <v>267</v>
      </c>
      <c r="J5100" s="2">
        <v>415</v>
      </c>
      <c r="K5100" s="2" t="s">
        <v>2200</v>
      </c>
      <c r="L5100" s="2" t="s">
        <v>575</v>
      </c>
      <c r="M5100" s="3">
        <v>40525</v>
      </c>
      <c r="N5100" s="2" t="s">
        <v>10594</v>
      </c>
      <c r="O5100" s="2"/>
      <c r="P5100" s="2"/>
      <c r="Q5100" s="2" t="str">
        <f>"0009/2010"</f>
        <v>0009/2010</v>
      </c>
      <c r="R5100" s="2"/>
      <c r="S5100" s="2"/>
      <c r="T5100" s="2">
        <v>2</v>
      </c>
      <c r="U5100" s="2" t="s">
        <v>123</v>
      </c>
      <c r="V5100" s="2">
        <v>1</v>
      </c>
      <c r="W5100" s="2" t="s">
        <v>80</v>
      </c>
      <c r="X5100" s="2">
        <v>1</v>
      </c>
      <c r="Y5100" s="2" t="s">
        <v>81</v>
      </c>
      <c r="Z5100" s="2">
        <v>1</v>
      </c>
      <c r="AA5100" s="2" t="s">
        <v>82</v>
      </c>
      <c r="AB5100" s="2">
        <v>9</v>
      </c>
      <c r="AC5100" s="2" t="s">
        <v>124</v>
      </c>
      <c r="AD5100" s="3">
        <v>40525</v>
      </c>
      <c r="AE5100" s="4">
        <v>0.47916666666666669</v>
      </c>
      <c r="AF5100" s="3">
        <v>40525</v>
      </c>
      <c r="AG5100" s="4">
        <v>0.625</v>
      </c>
      <c r="AH5100" s="2">
        <v>5</v>
      </c>
      <c r="AI5100" s="2" t="s">
        <v>274</v>
      </c>
      <c r="AJ5100" s="2">
        <v>40</v>
      </c>
      <c r="AK5100" s="2" t="s">
        <v>935</v>
      </c>
      <c r="AL5100" s="2">
        <v>25</v>
      </c>
      <c r="AM5100" s="2" t="s">
        <v>3073</v>
      </c>
      <c r="AN5100" s="2" t="s">
        <v>15617</v>
      </c>
      <c r="AO5100" s="2" t="s">
        <v>5433</v>
      </c>
      <c r="AP5100" s="2">
        <v>11</v>
      </c>
      <c r="AQ5100" s="2" t="s">
        <v>82</v>
      </c>
      <c r="AR5100" s="2"/>
      <c r="AS5100" s="2"/>
      <c r="AT5100" s="2" t="s">
        <v>15618</v>
      </c>
      <c r="AU5100" s="2"/>
      <c r="AV5100" s="2"/>
      <c r="AW5100" s="2"/>
      <c r="AX5100" s="2"/>
      <c r="AY5100" s="2">
        <v>41</v>
      </c>
      <c r="AZ5100" s="2" t="s">
        <v>82</v>
      </c>
      <c r="BA5100" s="2">
        <v>41</v>
      </c>
      <c r="BB5100" s="2" t="s">
        <v>82</v>
      </c>
      <c r="BC5100" s="2">
        <v>41</v>
      </c>
      <c r="BD5100" s="2" t="s">
        <v>82</v>
      </c>
      <c r="BE5100" s="2">
        <v>41</v>
      </c>
      <c r="BF5100" s="2" t="s">
        <v>82</v>
      </c>
      <c r="BG5100" s="2"/>
      <c r="BH5100" s="4">
        <v>0.47916666666666669</v>
      </c>
      <c r="BI5100" s="2"/>
      <c r="BJ5100" s="2">
        <v>13</v>
      </c>
      <c r="BK5100" s="2" t="s">
        <v>91</v>
      </c>
      <c r="BL5100" s="2" t="s">
        <v>5623</v>
      </c>
      <c r="BM5100" s="2">
        <v>13</v>
      </c>
      <c r="BN5100" s="2" t="s">
        <v>91</v>
      </c>
      <c r="BO5100" s="2"/>
      <c r="BP5100" s="2">
        <v>13</v>
      </c>
      <c r="BQ5100" s="2" t="s">
        <v>91</v>
      </c>
      <c r="BR5100" s="2" t="s">
        <v>5623</v>
      </c>
      <c r="BS5100" s="3">
        <v>40525</v>
      </c>
      <c r="BT5100" s="4">
        <v>0.69415509259259256</v>
      </c>
    </row>
    <row r="5101" spans="1:72" x14ac:dyDescent="0.25">
      <c r="A5101" s="2">
        <v>7919</v>
      </c>
      <c r="B5101" s="2">
        <v>2010</v>
      </c>
      <c r="C5101" s="2" t="s">
        <v>93</v>
      </c>
      <c r="D5101" s="2" t="s">
        <v>122</v>
      </c>
      <c r="E5101" s="2" t="s">
        <v>15619</v>
      </c>
      <c r="F5101" s="2">
        <v>741</v>
      </c>
      <c r="G5101" s="2" t="s">
        <v>15574</v>
      </c>
      <c r="H5101" s="2">
        <v>149</v>
      </c>
      <c r="I5101" s="2" t="s">
        <v>14672</v>
      </c>
      <c r="J5101" s="2">
        <v>744</v>
      </c>
      <c r="K5101" s="2" t="s">
        <v>15575</v>
      </c>
      <c r="L5101" s="2" t="s">
        <v>15576</v>
      </c>
      <c r="M5101" s="3">
        <v>40525</v>
      </c>
      <c r="N5101" s="2" t="s">
        <v>15577</v>
      </c>
      <c r="O5101" s="2" t="s">
        <v>15578</v>
      </c>
      <c r="P5101" s="2">
        <v>18234</v>
      </c>
      <c r="Q5101" s="2" t="str">
        <f>""</f>
        <v/>
      </c>
      <c r="R5101" s="2"/>
      <c r="S5101" s="2"/>
      <c r="T5101" s="2">
        <v>1</v>
      </c>
      <c r="U5101" s="2" t="s">
        <v>79</v>
      </c>
      <c r="V5101" s="2">
        <v>1</v>
      </c>
      <c r="W5101" s="2" t="s">
        <v>80</v>
      </c>
      <c r="X5101" s="2">
        <v>10</v>
      </c>
      <c r="Y5101" s="2" t="s">
        <v>226</v>
      </c>
      <c r="Z5101" s="2">
        <v>6</v>
      </c>
      <c r="AA5101" s="2" t="s">
        <v>101</v>
      </c>
      <c r="AB5101" s="2">
        <v>2</v>
      </c>
      <c r="AC5101" s="2" t="s">
        <v>102</v>
      </c>
      <c r="AD5101" s="3">
        <v>40524</v>
      </c>
      <c r="AE5101" s="4">
        <v>0.66666666666666663</v>
      </c>
      <c r="AF5101" s="3">
        <v>40524</v>
      </c>
      <c r="AG5101" s="4">
        <v>0.77083333333333337</v>
      </c>
      <c r="AH5101" s="2">
        <v>2</v>
      </c>
      <c r="AI5101" s="2" t="s">
        <v>84</v>
      </c>
      <c r="AJ5101" s="2">
        <v>9</v>
      </c>
      <c r="AK5101" s="2" t="s">
        <v>103</v>
      </c>
      <c r="AL5101" s="2">
        <v>14</v>
      </c>
      <c r="AM5101" s="2" t="s">
        <v>216</v>
      </c>
      <c r="AN5101" s="2"/>
      <c r="AO5101" s="2" t="s">
        <v>9097</v>
      </c>
      <c r="AP5101" s="2">
        <v>11</v>
      </c>
      <c r="AQ5101" s="2" t="s">
        <v>82</v>
      </c>
      <c r="AR5101" s="2"/>
      <c r="AS5101" s="2"/>
      <c r="AT5101" s="2" t="s">
        <v>15620</v>
      </c>
      <c r="AU5101" s="2">
        <v>1</v>
      </c>
      <c r="AV5101" s="2"/>
      <c r="AW5101" s="2"/>
      <c r="AX5101" s="2"/>
      <c r="AY5101" s="2">
        <v>41</v>
      </c>
      <c r="AZ5101" s="2" t="s">
        <v>82</v>
      </c>
      <c r="BA5101" s="2">
        <v>41</v>
      </c>
      <c r="BB5101" s="2" t="s">
        <v>82</v>
      </c>
      <c r="BC5101" s="2">
        <v>41</v>
      </c>
      <c r="BD5101" s="2" t="s">
        <v>82</v>
      </c>
      <c r="BE5101" s="2">
        <v>18</v>
      </c>
      <c r="BF5101" s="2" t="s">
        <v>1091</v>
      </c>
      <c r="BG5101" s="2" t="s">
        <v>5582</v>
      </c>
      <c r="BH5101" s="4">
        <v>0.52638888888888891</v>
      </c>
      <c r="BI5101" s="2"/>
      <c r="BJ5101" s="2">
        <v>133</v>
      </c>
      <c r="BK5101" s="2" t="s">
        <v>2860</v>
      </c>
      <c r="BL5101" s="2" t="s">
        <v>2861</v>
      </c>
      <c r="BM5101" s="2">
        <v>13</v>
      </c>
      <c r="BN5101" s="2" t="s">
        <v>91</v>
      </c>
      <c r="BO5101" s="2"/>
      <c r="BP5101" s="2">
        <v>13</v>
      </c>
      <c r="BQ5101" s="2" t="s">
        <v>91</v>
      </c>
      <c r="BR5101" s="2" t="s">
        <v>185</v>
      </c>
      <c r="BS5101" s="3">
        <v>40525</v>
      </c>
      <c r="BT5101" s="4">
        <v>0.83245370370370375</v>
      </c>
    </row>
    <row r="5102" spans="1:72" x14ac:dyDescent="0.25">
      <c r="A5102" s="2">
        <v>7920</v>
      </c>
      <c r="B5102" s="2">
        <v>2010</v>
      </c>
      <c r="C5102" s="2" t="s">
        <v>8688</v>
      </c>
      <c r="D5102" s="2" t="s">
        <v>122</v>
      </c>
      <c r="E5102" s="2" t="s">
        <v>15621</v>
      </c>
      <c r="F5102" s="2">
        <v>2</v>
      </c>
      <c r="G5102" s="2" t="s">
        <v>113</v>
      </c>
      <c r="H5102" s="2">
        <v>149</v>
      </c>
      <c r="I5102" s="2" t="s">
        <v>14672</v>
      </c>
      <c r="J5102" s="2">
        <v>300</v>
      </c>
      <c r="K5102" s="2" t="s">
        <v>114</v>
      </c>
      <c r="L5102" s="2" t="s">
        <v>115</v>
      </c>
      <c r="M5102" s="3">
        <v>40525</v>
      </c>
      <c r="N5102" s="2"/>
      <c r="O5102" s="2"/>
      <c r="P5102" s="2"/>
      <c r="Q5102" s="2" t="str">
        <f>"676-E/10"</f>
        <v>676-E/10</v>
      </c>
      <c r="R5102" s="2" t="s">
        <v>4173</v>
      </c>
      <c r="S5102" s="2"/>
      <c r="T5102" s="2">
        <v>1</v>
      </c>
      <c r="U5102" s="2" t="s">
        <v>79</v>
      </c>
      <c r="V5102" s="2">
        <v>1</v>
      </c>
      <c r="W5102" s="2" t="s">
        <v>80</v>
      </c>
      <c r="X5102" s="2">
        <v>1</v>
      </c>
      <c r="Y5102" s="2" t="s">
        <v>81</v>
      </c>
      <c r="Z5102" s="2">
        <v>1</v>
      </c>
      <c r="AA5102" s="2" t="s">
        <v>82</v>
      </c>
      <c r="AB5102" s="2">
        <v>9</v>
      </c>
      <c r="AC5102" s="2" t="s">
        <v>124</v>
      </c>
      <c r="AD5102" s="3">
        <v>40524</v>
      </c>
      <c r="AE5102" s="4">
        <v>0.54861111111111105</v>
      </c>
      <c r="AF5102" s="3">
        <v>40524</v>
      </c>
      <c r="AG5102" s="4">
        <v>0.6875</v>
      </c>
      <c r="AH5102" s="2">
        <v>2</v>
      </c>
      <c r="AI5102" s="2" t="s">
        <v>84</v>
      </c>
      <c r="AJ5102" s="2">
        <v>9</v>
      </c>
      <c r="AK5102" s="2" t="s">
        <v>103</v>
      </c>
      <c r="AL5102" s="2">
        <v>14</v>
      </c>
      <c r="AM5102" s="2" t="s">
        <v>216</v>
      </c>
      <c r="AN5102" s="2"/>
      <c r="AO5102" s="2" t="s">
        <v>15412</v>
      </c>
      <c r="AP5102" s="2">
        <v>11</v>
      </c>
      <c r="AQ5102" s="2" t="s">
        <v>82</v>
      </c>
      <c r="AR5102" s="2"/>
      <c r="AS5102" s="2"/>
      <c r="AT5102" s="2" t="s">
        <v>15622</v>
      </c>
      <c r="AU5102" s="2"/>
      <c r="AV5102" s="2"/>
      <c r="AW5102" s="2">
        <v>1</v>
      </c>
      <c r="AX5102" s="2"/>
      <c r="AY5102" s="2">
        <v>41</v>
      </c>
      <c r="AZ5102" s="2" t="s">
        <v>82</v>
      </c>
      <c r="BA5102" s="2">
        <v>41</v>
      </c>
      <c r="BB5102" s="2" t="s">
        <v>82</v>
      </c>
      <c r="BC5102" s="2">
        <v>41</v>
      </c>
      <c r="BD5102" s="2" t="s">
        <v>82</v>
      </c>
      <c r="BE5102" s="2">
        <v>41</v>
      </c>
      <c r="BF5102" s="2" t="s">
        <v>82</v>
      </c>
      <c r="BG5102" s="2"/>
      <c r="BH5102" s="2"/>
      <c r="BI5102" s="2"/>
      <c r="BJ5102" s="2">
        <v>241</v>
      </c>
      <c r="BK5102" s="2" t="s">
        <v>82</v>
      </c>
      <c r="BL5102" s="2"/>
      <c r="BM5102" s="2">
        <v>241</v>
      </c>
      <c r="BN5102" s="2" t="s">
        <v>82</v>
      </c>
      <c r="BO5102" s="2"/>
      <c r="BP5102" s="2">
        <v>241</v>
      </c>
      <c r="BQ5102" s="2" t="s">
        <v>82</v>
      </c>
      <c r="BR5102" s="2"/>
      <c r="BS5102" s="3">
        <v>40525</v>
      </c>
      <c r="BT5102" s="4">
        <v>0.84160879629629637</v>
      </c>
    </row>
    <row r="5103" spans="1:72" x14ac:dyDescent="0.25">
      <c r="A5103" s="2">
        <v>7921</v>
      </c>
      <c r="B5103" s="2">
        <v>2010</v>
      </c>
      <c r="C5103" s="2" t="s">
        <v>819</v>
      </c>
      <c r="D5103" s="2" t="s">
        <v>73</v>
      </c>
      <c r="E5103" s="2"/>
      <c r="F5103" s="2">
        <v>1</v>
      </c>
      <c r="G5103" s="2" t="s">
        <v>82</v>
      </c>
      <c r="H5103" s="2">
        <v>1</v>
      </c>
      <c r="I5103" s="2" t="s">
        <v>82</v>
      </c>
      <c r="J5103" s="2">
        <v>1</v>
      </c>
      <c r="K5103" s="2" t="s">
        <v>107</v>
      </c>
      <c r="L5103" s="2" t="s">
        <v>107</v>
      </c>
      <c r="M5103" s="3">
        <v>40525</v>
      </c>
      <c r="N5103" s="2"/>
      <c r="O5103" s="2"/>
      <c r="P5103" s="2"/>
      <c r="Q5103" s="2" t="str">
        <f>"0153/2010"</f>
        <v>0153/2010</v>
      </c>
      <c r="R5103" s="2" t="s">
        <v>2003</v>
      </c>
      <c r="S5103" s="2"/>
      <c r="T5103" s="2">
        <v>1</v>
      </c>
      <c r="U5103" s="2" t="s">
        <v>79</v>
      </c>
      <c r="V5103" s="2">
        <v>1</v>
      </c>
      <c r="W5103" s="2" t="s">
        <v>80</v>
      </c>
      <c r="X5103" s="2">
        <v>1</v>
      </c>
      <c r="Y5103" s="2" t="s">
        <v>81</v>
      </c>
      <c r="Z5103" s="2">
        <v>1</v>
      </c>
      <c r="AA5103" s="2" t="s">
        <v>82</v>
      </c>
      <c r="AB5103" s="2">
        <v>9</v>
      </c>
      <c r="AC5103" s="2" t="s">
        <v>124</v>
      </c>
      <c r="AD5103" s="3">
        <v>40525</v>
      </c>
      <c r="AE5103" s="4">
        <v>0.74305555555555547</v>
      </c>
      <c r="AF5103" s="3">
        <v>40525</v>
      </c>
      <c r="AG5103" s="4">
        <v>0.75694444444444453</v>
      </c>
      <c r="AH5103" s="2">
        <v>5</v>
      </c>
      <c r="AI5103" s="2" t="s">
        <v>274</v>
      </c>
      <c r="AJ5103" s="2">
        <v>38</v>
      </c>
      <c r="AK5103" s="2" t="s">
        <v>1120</v>
      </c>
      <c r="AL5103" s="2">
        <v>25</v>
      </c>
      <c r="AM5103" s="2" t="s">
        <v>3073</v>
      </c>
      <c r="AN5103" s="2" t="s">
        <v>230</v>
      </c>
      <c r="AO5103" s="2" t="s">
        <v>179</v>
      </c>
      <c r="AP5103" s="2">
        <v>11</v>
      </c>
      <c r="AQ5103" s="2" t="s">
        <v>82</v>
      </c>
      <c r="AR5103" s="2"/>
      <c r="AS5103" s="2"/>
      <c r="AT5103" s="2" t="s">
        <v>15623</v>
      </c>
      <c r="AU5103" s="2"/>
      <c r="AV5103" s="2"/>
      <c r="AW5103" s="2"/>
      <c r="AX5103" s="2"/>
      <c r="AY5103" s="2">
        <v>41</v>
      </c>
      <c r="AZ5103" s="2" t="s">
        <v>82</v>
      </c>
      <c r="BA5103" s="2">
        <v>41</v>
      </c>
      <c r="BB5103" s="2" t="s">
        <v>82</v>
      </c>
      <c r="BC5103" s="2">
        <v>41</v>
      </c>
      <c r="BD5103" s="2" t="s">
        <v>82</v>
      </c>
      <c r="BE5103" s="2">
        <v>47</v>
      </c>
      <c r="BF5103" s="2" t="s">
        <v>167</v>
      </c>
      <c r="BG5103" s="2">
        <v>2735</v>
      </c>
      <c r="BH5103" s="4">
        <v>0.74305555555555547</v>
      </c>
      <c r="BI5103" s="4">
        <v>0.77430555555555547</v>
      </c>
      <c r="BJ5103" s="2">
        <v>13</v>
      </c>
      <c r="BK5103" s="2" t="s">
        <v>91</v>
      </c>
      <c r="BL5103" s="2" t="s">
        <v>1697</v>
      </c>
      <c r="BM5103" s="2">
        <v>13</v>
      </c>
      <c r="BN5103" s="2" t="s">
        <v>91</v>
      </c>
      <c r="BO5103" s="2"/>
      <c r="BP5103" s="2">
        <v>13</v>
      </c>
      <c r="BQ5103" s="2" t="s">
        <v>91</v>
      </c>
      <c r="BR5103" s="2" t="s">
        <v>170</v>
      </c>
      <c r="BS5103" s="3">
        <v>40525</v>
      </c>
      <c r="BT5103" s="4">
        <v>0.86476851851851855</v>
      </c>
    </row>
    <row r="5104" spans="1:72" x14ac:dyDescent="0.25">
      <c r="A5104" s="2">
        <v>7922</v>
      </c>
      <c r="B5104" s="2">
        <v>2010</v>
      </c>
      <c r="C5104" s="2" t="s">
        <v>147</v>
      </c>
      <c r="D5104" s="2" t="s">
        <v>73</v>
      </c>
      <c r="E5104" s="2"/>
      <c r="F5104" s="2">
        <v>1</v>
      </c>
      <c r="G5104" s="2" t="s">
        <v>82</v>
      </c>
      <c r="H5104" s="2">
        <v>1</v>
      </c>
      <c r="I5104" s="2" t="s">
        <v>82</v>
      </c>
      <c r="J5104" s="2">
        <v>1</v>
      </c>
      <c r="K5104" s="2" t="s">
        <v>107</v>
      </c>
      <c r="L5104" s="2" t="s">
        <v>107</v>
      </c>
      <c r="M5104" s="3">
        <v>40525</v>
      </c>
      <c r="N5104" s="2"/>
      <c r="O5104" s="2"/>
      <c r="P5104" s="2"/>
      <c r="Q5104" s="2" t="str">
        <f>"AP 0109-10"</f>
        <v>AP 0109-10</v>
      </c>
      <c r="R5104" s="2" t="s">
        <v>15624</v>
      </c>
      <c r="S5104" s="2"/>
      <c r="T5104" s="2">
        <v>2</v>
      </c>
      <c r="U5104" s="2" t="s">
        <v>123</v>
      </c>
      <c r="V5104" s="2">
        <v>1</v>
      </c>
      <c r="W5104" s="2" t="s">
        <v>80</v>
      </c>
      <c r="X5104" s="2">
        <v>12</v>
      </c>
      <c r="Y5104" s="2" t="s">
        <v>148</v>
      </c>
      <c r="Z5104" s="2">
        <v>1</v>
      </c>
      <c r="AA5104" s="2" t="s">
        <v>82</v>
      </c>
      <c r="AB5104" s="2">
        <v>9</v>
      </c>
      <c r="AC5104" s="2" t="s">
        <v>124</v>
      </c>
      <c r="AD5104" s="3">
        <v>40525</v>
      </c>
      <c r="AE5104" s="2"/>
      <c r="AF5104" s="3">
        <v>40525</v>
      </c>
      <c r="AG5104" s="4">
        <v>0.72916666666666663</v>
      </c>
      <c r="AH5104" s="2">
        <v>6</v>
      </c>
      <c r="AI5104" s="2" t="s">
        <v>197</v>
      </c>
      <c r="AJ5104" s="2">
        <v>58</v>
      </c>
      <c r="AK5104" s="2" t="s">
        <v>406</v>
      </c>
      <c r="AL5104" s="2">
        <v>21</v>
      </c>
      <c r="AM5104" s="2" t="s">
        <v>1311</v>
      </c>
      <c r="AN5104" s="2"/>
      <c r="AO5104" s="2"/>
      <c r="AP5104" s="2">
        <v>11</v>
      </c>
      <c r="AQ5104" s="2" t="s">
        <v>82</v>
      </c>
      <c r="AR5104" s="2"/>
      <c r="AS5104" s="2"/>
      <c r="AT5104" s="2" t="s">
        <v>15625</v>
      </c>
      <c r="AU5104" s="2"/>
      <c r="AV5104" s="2"/>
      <c r="AW5104" s="2"/>
      <c r="AX5104" s="2"/>
      <c r="AY5104" s="2">
        <v>41</v>
      </c>
      <c r="AZ5104" s="2" t="s">
        <v>82</v>
      </c>
      <c r="BA5104" s="2">
        <v>41</v>
      </c>
      <c r="BB5104" s="2" t="s">
        <v>82</v>
      </c>
      <c r="BC5104" s="2">
        <v>41</v>
      </c>
      <c r="BD5104" s="2" t="s">
        <v>82</v>
      </c>
      <c r="BE5104" s="2">
        <v>41</v>
      </c>
      <c r="BF5104" s="2" t="s">
        <v>82</v>
      </c>
      <c r="BG5104" s="2"/>
      <c r="BH5104" s="2"/>
      <c r="BI5104" s="2"/>
      <c r="BJ5104" s="2">
        <v>241</v>
      </c>
      <c r="BK5104" s="2" t="s">
        <v>82</v>
      </c>
      <c r="BL5104" s="2"/>
      <c r="BM5104" s="2">
        <v>241</v>
      </c>
      <c r="BN5104" s="2" t="s">
        <v>82</v>
      </c>
      <c r="BO5104" s="2"/>
      <c r="BP5104" s="2">
        <v>241</v>
      </c>
      <c r="BQ5104" s="2" t="s">
        <v>82</v>
      </c>
      <c r="BR5104" s="2"/>
      <c r="BS5104" s="3">
        <v>40525</v>
      </c>
      <c r="BT5104" s="4">
        <v>0.93322916666666667</v>
      </c>
    </row>
    <row r="5105" spans="1:72" x14ac:dyDescent="0.25">
      <c r="A5105" s="2">
        <v>7923</v>
      </c>
      <c r="B5105" s="2">
        <v>2010</v>
      </c>
      <c r="C5105" s="2" t="s">
        <v>72</v>
      </c>
      <c r="D5105" s="2" t="s">
        <v>73</v>
      </c>
      <c r="E5105" s="2"/>
      <c r="F5105" s="2">
        <v>60</v>
      </c>
      <c r="G5105" s="2" t="s">
        <v>15343</v>
      </c>
      <c r="H5105" s="2">
        <v>99</v>
      </c>
      <c r="I5105" s="2" t="s">
        <v>6285</v>
      </c>
      <c r="J5105" s="2">
        <v>92</v>
      </c>
      <c r="K5105" s="2" t="s">
        <v>15344</v>
      </c>
      <c r="L5105" s="2" t="s">
        <v>15345</v>
      </c>
      <c r="M5105" s="3">
        <v>40525</v>
      </c>
      <c r="N5105" s="2" t="s">
        <v>15626</v>
      </c>
      <c r="O5105" s="2"/>
      <c r="P5105" s="2"/>
      <c r="Q5105" s="2" t="str">
        <f>"038/10"</f>
        <v>038/10</v>
      </c>
      <c r="R5105" s="2"/>
      <c r="S5105" s="2" t="s">
        <v>601</v>
      </c>
      <c r="T5105" s="2">
        <v>1</v>
      </c>
      <c r="U5105" s="2" t="s">
        <v>79</v>
      </c>
      <c r="V5105" s="2">
        <v>1</v>
      </c>
      <c r="W5105" s="2" t="s">
        <v>80</v>
      </c>
      <c r="X5105" s="2">
        <v>12</v>
      </c>
      <c r="Y5105" s="2" t="s">
        <v>148</v>
      </c>
      <c r="Z5105" s="2">
        <v>1</v>
      </c>
      <c r="AA5105" s="2" t="s">
        <v>82</v>
      </c>
      <c r="AB5105" s="2">
        <v>6</v>
      </c>
      <c r="AC5105" s="2" t="s">
        <v>83</v>
      </c>
      <c r="AD5105" s="3">
        <v>40524</v>
      </c>
      <c r="AE5105" s="2"/>
      <c r="AF5105" s="3">
        <v>40525</v>
      </c>
      <c r="AG5105" s="4">
        <v>0.77777777777777779</v>
      </c>
      <c r="AH5105" s="2">
        <v>4</v>
      </c>
      <c r="AI5105" s="2" t="s">
        <v>125</v>
      </c>
      <c r="AJ5105" s="2">
        <v>28</v>
      </c>
      <c r="AK5105" s="2" t="s">
        <v>741</v>
      </c>
      <c r="AL5105" s="2">
        <v>22</v>
      </c>
      <c r="AM5105" s="2" t="s">
        <v>1853</v>
      </c>
      <c r="AN5105" s="2"/>
      <c r="AO5105" s="2"/>
      <c r="AP5105" s="2">
        <v>11</v>
      </c>
      <c r="AQ5105" s="2" t="s">
        <v>82</v>
      </c>
      <c r="AR5105" s="2"/>
      <c r="AS5105" s="2"/>
      <c r="AT5105" s="2" t="s">
        <v>15627</v>
      </c>
      <c r="AU5105" s="2"/>
      <c r="AV5105" s="2"/>
      <c r="AW5105" s="2"/>
      <c r="AX5105" s="2"/>
      <c r="AY5105" s="2">
        <v>41</v>
      </c>
      <c r="AZ5105" s="2" t="s">
        <v>82</v>
      </c>
      <c r="BA5105" s="2">
        <v>41</v>
      </c>
      <c r="BB5105" s="2" t="s">
        <v>82</v>
      </c>
      <c r="BC5105" s="2">
        <v>41</v>
      </c>
      <c r="BD5105" s="2" t="s">
        <v>82</v>
      </c>
      <c r="BE5105" s="2">
        <v>4</v>
      </c>
      <c r="BF5105" s="2" t="s">
        <v>90</v>
      </c>
      <c r="BG5105" s="2">
        <v>4150</v>
      </c>
      <c r="BH5105" s="4">
        <v>0.39583333333333331</v>
      </c>
      <c r="BI5105" s="4">
        <v>0.43055555555555558</v>
      </c>
      <c r="BJ5105" s="2">
        <v>13</v>
      </c>
      <c r="BK5105" s="2" t="s">
        <v>91</v>
      </c>
      <c r="BL5105" s="2" t="s">
        <v>185</v>
      </c>
      <c r="BM5105" s="2">
        <v>13</v>
      </c>
      <c r="BN5105" s="2" t="s">
        <v>91</v>
      </c>
      <c r="BO5105" s="2"/>
      <c r="BP5105" s="2">
        <v>13</v>
      </c>
      <c r="BQ5105" s="2" t="s">
        <v>91</v>
      </c>
      <c r="BR5105" s="2" t="s">
        <v>744</v>
      </c>
      <c r="BS5105" s="3">
        <v>40525</v>
      </c>
      <c r="BT5105" s="4">
        <v>0.94481481481481477</v>
      </c>
    </row>
    <row r="5106" spans="1:72" x14ac:dyDescent="0.25">
      <c r="A5106" s="2">
        <v>7924</v>
      </c>
      <c r="B5106" s="2">
        <v>2010</v>
      </c>
      <c r="C5106" s="2" t="s">
        <v>72</v>
      </c>
      <c r="D5106" s="2" t="s">
        <v>73</v>
      </c>
      <c r="E5106" s="2"/>
      <c r="F5106" s="2">
        <v>187</v>
      </c>
      <c r="G5106" s="2" t="s">
        <v>15165</v>
      </c>
      <c r="H5106" s="2">
        <v>108</v>
      </c>
      <c r="I5106" s="2" t="s">
        <v>1096</v>
      </c>
      <c r="J5106" s="2">
        <v>730</v>
      </c>
      <c r="K5106" s="2" t="s">
        <v>15166</v>
      </c>
      <c r="L5106" s="2" t="s">
        <v>15167</v>
      </c>
      <c r="M5106" s="3">
        <v>40526</v>
      </c>
      <c r="N5106" s="2" t="s">
        <v>15628</v>
      </c>
      <c r="O5106" s="2"/>
      <c r="P5106" s="2"/>
      <c r="Q5106" s="2" t="str">
        <f>"451-A/10"</f>
        <v>451-A/10</v>
      </c>
      <c r="R5106" s="2" t="s">
        <v>601</v>
      </c>
      <c r="S5106" s="2" t="s">
        <v>601</v>
      </c>
      <c r="T5106" s="2">
        <v>1</v>
      </c>
      <c r="U5106" s="2" t="s">
        <v>79</v>
      </c>
      <c r="V5106" s="2">
        <v>1</v>
      </c>
      <c r="W5106" s="2" t="s">
        <v>80</v>
      </c>
      <c r="X5106" s="2">
        <v>12</v>
      </c>
      <c r="Y5106" s="2" t="s">
        <v>148</v>
      </c>
      <c r="Z5106" s="2">
        <v>1</v>
      </c>
      <c r="AA5106" s="2" t="s">
        <v>82</v>
      </c>
      <c r="AB5106" s="2">
        <v>6</v>
      </c>
      <c r="AC5106" s="2" t="s">
        <v>83</v>
      </c>
      <c r="AD5106" s="3">
        <v>40525</v>
      </c>
      <c r="AE5106" s="2"/>
      <c r="AF5106" s="3">
        <v>40525</v>
      </c>
      <c r="AG5106" s="4">
        <v>0.77430555555555547</v>
      </c>
      <c r="AH5106" s="2">
        <v>2</v>
      </c>
      <c r="AI5106" s="2" t="s">
        <v>84</v>
      </c>
      <c r="AJ5106" s="2">
        <v>12</v>
      </c>
      <c r="AK5106" s="2" t="s">
        <v>85</v>
      </c>
      <c r="AL5106" s="2">
        <v>22</v>
      </c>
      <c r="AM5106" s="2" t="s">
        <v>1853</v>
      </c>
      <c r="AN5106" s="2"/>
      <c r="AO5106" s="2" t="s">
        <v>14039</v>
      </c>
      <c r="AP5106" s="2">
        <v>11</v>
      </c>
      <c r="AQ5106" s="2" t="s">
        <v>82</v>
      </c>
      <c r="AR5106" s="2"/>
      <c r="AS5106" s="2"/>
      <c r="AT5106" s="2" t="s">
        <v>15629</v>
      </c>
      <c r="AU5106" s="2"/>
      <c r="AV5106" s="2"/>
      <c r="AW5106" s="2"/>
      <c r="AX5106" s="2"/>
      <c r="AY5106" s="2">
        <v>41</v>
      </c>
      <c r="AZ5106" s="2" t="s">
        <v>82</v>
      </c>
      <c r="BA5106" s="2">
        <v>41</v>
      </c>
      <c r="BB5106" s="2" t="s">
        <v>82</v>
      </c>
      <c r="BC5106" s="2">
        <v>41</v>
      </c>
      <c r="BD5106" s="2" t="s">
        <v>82</v>
      </c>
      <c r="BE5106" s="2">
        <v>4</v>
      </c>
      <c r="BF5106" s="2" t="s">
        <v>90</v>
      </c>
      <c r="BG5106" s="2" t="s">
        <v>15630</v>
      </c>
      <c r="BH5106" s="4">
        <v>0.70138888888888884</v>
      </c>
      <c r="BI5106" s="2"/>
      <c r="BJ5106" s="2">
        <v>13</v>
      </c>
      <c r="BK5106" s="2" t="s">
        <v>91</v>
      </c>
      <c r="BL5106" s="2" t="s">
        <v>1199</v>
      </c>
      <c r="BM5106" s="2">
        <v>13</v>
      </c>
      <c r="BN5106" s="2" t="s">
        <v>91</v>
      </c>
      <c r="BO5106" s="2"/>
      <c r="BP5106" s="2">
        <v>13</v>
      </c>
      <c r="BQ5106" s="2" t="s">
        <v>91</v>
      </c>
      <c r="BR5106" s="2" t="s">
        <v>564</v>
      </c>
      <c r="BS5106" s="3">
        <v>40526</v>
      </c>
      <c r="BT5106" s="4">
        <v>4.3298611111111107E-2</v>
      </c>
    </row>
    <row r="5107" spans="1:72" x14ac:dyDescent="0.25">
      <c r="A5107" s="2">
        <v>7925</v>
      </c>
      <c r="B5107" s="2">
        <v>2010</v>
      </c>
      <c r="C5107" s="2" t="s">
        <v>171</v>
      </c>
      <c r="D5107" s="2" t="s">
        <v>73</v>
      </c>
      <c r="E5107" s="2"/>
      <c r="F5107" s="2">
        <v>451</v>
      </c>
      <c r="G5107" s="2" t="s">
        <v>879</v>
      </c>
      <c r="H5107" s="2">
        <v>31</v>
      </c>
      <c r="I5107" s="2" t="s">
        <v>880</v>
      </c>
      <c r="J5107" s="2">
        <v>326</v>
      </c>
      <c r="K5107" s="2" t="s">
        <v>881</v>
      </c>
      <c r="L5107" s="2" t="s">
        <v>882</v>
      </c>
      <c r="M5107" s="3">
        <v>40526</v>
      </c>
      <c r="N5107" s="2" t="s">
        <v>821</v>
      </c>
      <c r="O5107" s="2"/>
      <c r="P5107" s="2"/>
      <c r="Q5107" s="2" t="str">
        <f>"119/10"</f>
        <v>119/10</v>
      </c>
      <c r="R5107" s="2" t="s">
        <v>917</v>
      </c>
      <c r="S5107" s="2" t="s">
        <v>917</v>
      </c>
      <c r="T5107" s="2">
        <v>1</v>
      </c>
      <c r="U5107" s="2" t="s">
        <v>79</v>
      </c>
      <c r="V5107" s="2">
        <v>1</v>
      </c>
      <c r="W5107" s="2" t="s">
        <v>80</v>
      </c>
      <c r="X5107" s="2">
        <v>1</v>
      </c>
      <c r="Y5107" s="2" t="s">
        <v>81</v>
      </c>
      <c r="Z5107" s="2">
        <v>1</v>
      </c>
      <c r="AA5107" s="2" t="s">
        <v>82</v>
      </c>
      <c r="AB5107" s="2">
        <v>1</v>
      </c>
      <c r="AC5107" s="2" t="s">
        <v>178</v>
      </c>
      <c r="AD5107" s="3">
        <v>40526</v>
      </c>
      <c r="AE5107" s="4">
        <v>1.0416666666666666E-2</v>
      </c>
      <c r="AF5107" s="3">
        <v>40526</v>
      </c>
      <c r="AG5107" s="4">
        <v>1.0416666666666666E-2</v>
      </c>
      <c r="AH5107" s="2">
        <v>4</v>
      </c>
      <c r="AI5107" s="2" t="s">
        <v>125</v>
      </c>
      <c r="AJ5107" s="2">
        <v>29</v>
      </c>
      <c r="AK5107" s="2" t="s">
        <v>227</v>
      </c>
      <c r="AL5107" s="2">
        <v>16</v>
      </c>
      <c r="AM5107" s="2" t="s">
        <v>392</v>
      </c>
      <c r="AN5107" s="2" t="s">
        <v>6877</v>
      </c>
      <c r="AO5107" s="2"/>
      <c r="AP5107" s="2">
        <v>12</v>
      </c>
      <c r="AQ5107" s="2" t="s">
        <v>322</v>
      </c>
      <c r="AR5107" s="2" t="s">
        <v>824</v>
      </c>
      <c r="AS5107" s="2" t="s">
        <v>825</v>
      </c>
      <c r="AT5107" s="2" t="s">
        <v>15631</v>
      </c>
      <c r="AU5107" s="2"/>
      <c r="AV5107" s="2"/>
      <c r="AW5107" s="2"/>
      <c r="AX5107" s="2"/>
      <c r="AY5107" s="2">
        <v>41</v>
      </c>
      <c r="AZ5107" s="2" t="s">
        <v>82</v>
      </c>
      <c r="BA5107" s="2">
        <v>41</v>
      </c>
      <c r="BB5107" s="2" t="s">
        <v>82</v>
      </c>
      <c r="BC5107" s="2">
        <v>41</v>
      </c>
      <c r="BD5107" s="2" t="s">
        <v>82</v>
      </c>
      <c r="BE5107" s="2">
        <v>47</v>
      </c>
      <c r="BF5107" s="2" t="s">
        <v>167</v>
      </c>
      <c r="BG5107" s="2">
        <v>2459</v>
      </c>
      <c r="BH5107" s="4">
        <v>2.0833333333333332E-2</v>
      </c>
      <c r="BI5107" s="4">
        <v>4.5138888888888888E-2</v>
      </c>
      <c r="BJ5107" s="2">
        <v>13</v>
      </c>
      <c r="BK5107" s="2" t="s">
        <v>91</v>
      </c>
      <c r="BL5107" s="2" t="s">
        <v>828</v>
      </c>
      <c r="BM5107" s="2">
        <v>13</v>
      </c>
      <c r="BN5107" s="2" t="s">
        <v>91</v>
      </c>
      <c r="BO5107" s="2"/>
      <c r="BP5107" s="2">
        <v>13</v>
      </c>
      <c r="BQ5107" s="2" t="s">
        <v>91</v>
      </c>
      <c r="BR5107" s="2" t="s">
        <v>185</v>
      </c>
      <c r="BS5107" s="3">
        <v>40526</v>
      </c>
      <c r="BT5107" s="4">
        <v>0.10085648148148148</v>
      </c>
    </row>
    <row r="5108" spans="1:72" x14ac:dyDescent="0.25">
      <c r="A5108" s="2">
        <v>7927</v>
      </c>
      <c r="B5108" s="2">
        <v>2010</v>
      </c>
      <c r="C5108" s="2" t="s">
        <v>4543</v>
      </c>
      <c r="D5108" s="2" t="s">
        <v>122</v>
      </c>
      <c r="E5108" s="2"/>
      <c r="F5108" s="2">
        <v>1</v>
      </c>
      <c r="G5108" s="2" t="s">
        <v>82</v>
      </c>
      <c r="H5108" s="2">
        <v>1</v>
      </c>
      <c r="I5108" s="2" t="s">
        <v>82</v>
      </c>
      <c r="J5108" s="2">
        <v>1</v>
      </c>
      <c r="K5108" s="2" t="s">
        <v>107</v>
      </c>
      <c r="L5108" s="2" t="s">
        <v>107</v>
      </c>
      <c r="M5108" s="3">
        <v>40526</v>
      </c>
      <c r="N5108" s="2"/>
      <c r="O5108" s="2"/>
      <c r="P5108" s="2"/>
      <c r="Q5108" s="2" t="str">
        <f>""</f>
        <v/>
      </c>
      <c r="R5108" s="2"/>
      <c r="S5108" s="2"/>
      <c r="T5108" s="2">
        <v>2</v>
      </c>
      <c r="U5108" s="2" t="s">
        <v>123</v>
      </c>
      <c r="V5108" s="2">
        <v>1</v>
      </c>
      <c r="W5108" s="2" t="s">
        <v>80</v>
      </c>
      <c r="X5108" s="2">
        <v>11</v>
      </c>
      <c r="Y5108" s="2" t="s">
        <v>1920</v>
      </c>
      <c r="Z5108" s="2">
        <v>1</v>
      </c>
      <c r="AA5108" s="2" t="s">
        <v>82</v>
      </c>
      <c r="AB5108" s="2">
        <v>9</v>
      </c>
      <c r="AC5108" s="2" t="s">
        <v>124</v>
      </c>
      <c r="AD5108" s="3">
        <v>40526</v>
      </c>
      <c r="AE5108" s="4">
        <v>0.20833333333333334</v>
      </c>
      <c r="AF5108" s="3">
        <v>40526</v>
      </c>
      <c r="AG5108" s="4">
        <v>0.20833333333333334</v>
      </c>
      <c r="AH5108" s="2">
        <v>6</v>
      </c>
      <c r="AI5108" s="2" t="s">
        <v>197</v>
      </c>
      <c r="AJ5108" s="2">
        <v>54</v>
      </c>
      <c r="AK5108" s="2" t="s">
        <v>348</v>
      </c>
      <c r="AL5108" s="2">
        <v>10</v>
      </c>
      <c r="AM5108" s="2" t="s">
        <v>200</v>
      </c>
      <c r="AN5108" s="2"/>
      <c r="AO5108" s="2" t="s">
        <v>595</v>
      </c>
      <c r="AP5108" s="2">
        <v>14</v>
      </c>
      <c r="AQ5108" s="2" t="s">
        <v>3301</v>
      </c>
      <c r="AR5108" s="2" t="s">
        <v>596</v>
      </c>
      <c r="AS5108" s="2" t="s">
        <v>596</v>
      </c>
      <c r="AT5108" s="2" t="s">
        <v>15632</v>
      </c>
      <c r="AU5108" s="2"/>
      <c r="AV5108" s="2"/>
      <c r="AW5108" s="2"/>
      <c r="AX5108" s="2"/>
      <c r="AY5108" s="2">
        <v>41</v>
      </c>
      <c r="AZ5108" s="2" t="s">
        <v>82</v>
      </c>
      <c r="BA5108" s="2">
        <v>41</v>
      </c>
      <c r="BB5108" s="2" t="s">
        <v>82</v>
      </c>
      <c r="BC5108" s="2">
        <v>41</v>
      </c>
      <c r="BD5108" s="2" t="s">
        <v>82</v>
      </c>
      <c r="BE5108" s="2">
        <v>4</v>
      </c>
      <c r="BF5108" s="2" t="s">
        <v>90</v>
      </c>
      <c r="BG5108" s="2" t="s">
        <v>598</v>
      </c>
      <c r="BH5108" s="2"/>
      <c r="BI5108" s="4">
        <v>0.17013888888888887</v>
      </c>
      <c r="BJ5108" s="2">
        <v>13</v>
      </c>
      <c r="BK5108" s="2" t="s">
        <v>91</v>
      </c>
      <c r="BL5108" s="2" t="s">
        <v>2764</v>
      </c>
      <c r="BM5108" s="2">
        <v>13</v>
      </c>
      <c r="BN5108" s="2" t="s">
        <v>91</v>
      </c>
      <c r="BO5108" s="2"/>
      <c r="BP5108" s="2">
        <v>13</v>
      </c>
      <c r="BQ5108" s="2" t="s">
        <v>91</v>
      </c>
      <c r="BR5108" s="2" t="s">
        <v>15633</v>
      </c>
      <c r="BS5108" s="3">
        <v>40526</v>
      </c>
      <c r="BT5108" s="4">
        <v>0.38873842592592595</v>
      </c>
    </row>
    <row r="5109" spans="1:72" x14ac:dyDescent="0.25">
      <c r="A5109" s="2">
        <v>7929</v>
      </c>
      <c r="B5109" s="2">
        <v>2010</v>
      </c>
      <c r="C5109" s="2" t="s">
        <v>147</v>
      </c>
      <c r="D5109" s="2" t="s">
        <v>73</v>
      </c>
      <c r="E5109" s="2"/>
      <c r="F5109" s="2">
        <v>1</v>
      </c>
      <c r="G5109" s="2" t="s">
        <v>82</v>
      </c>
      <c r="H5109" s="2">
        <v>1</v>
      </c>
      <c r="I5109" s="2" t="s">
        <v>82</v>
      </c>
      <c r="J5109" s="2">
        <v>1</v>
      </c>
      <c r="K5109" s="2" t="s">
        <v>107</v>
      </c>
      <c r="L5109" s="2" t="s">
        <v>107</v>
      </c>
      <c r="M5109" s="3">
        <v>40526</v>
      </c>
      <c r="N5109" s="2"/>
      <c r="O5109" s="2"/>
      <c r="P5109" s="2"/>
      <c r="Q5109" s="2" t="str">
        <f>""</f>
        <v/>
      </c>
      <c r="R5109" s="2"/>
      <c r="S5109" s="2"/>
      <c r="T5109" s="2">
        <v>2</v>
      </c>
      <c r="U5109" s="2" t="s">
        <v>123</v>
      </c>
      <c r="V5109" s="2">
        <v>1</v>
      </c>
      <c r="W5109" s="2" t="s">
        <v>80</v>
      </c>
      <c r="X5109" s="2">
        <v>12</v>
      </c>
      <c r="Y5109" s="2" t="s">
        <v>148</v>
      </c>
      <c r="Z5109" s="2">
        <v>1</v>
      </c>
      <c r="AA5109" s="2" t="s">
        <v>82</v>
      </c>
      <c r="AB5109" s="2">
        <v>9</v>
      </c>
      <c r="AC5109" s="2" t="s">
        <v>124</v>
      </c>
      <c r="AD5109" s="2"/>
      <c r="AE5109" s="2"/>
      <c r="AF5109" s="3">
        <v>40526</v>
      </c>
      <c r="AG5109" s="4">
        <v>0.35416666666666669</v>
      </c>
      <c r="AH5109" s="2">
        <v>3</v>
      </c>
      <c r="AI5109" s="2" t="s">
        <v>214</v>
      </c>
      <c r="AJ5109" s="2">
        <v>24</v>
      </c>
      <c r="AK5109" s="2" t="s">
        <v>215</v>
      </c>
      <c r="AL5109" s="2">
        <v>19</v>
      </c>
      <c r="AM5109" s="2" t="s">
        <v>107</v>
      </c>
      <c r="AN5109" s="2"/>
      <c r="AO5109" s="2"/>
      <c r="AP5109" s="2">
        <v>11</v>
      </c>
      <c r="AQ5109" s="2" t="s">
        <v>82</v>
      </c>
      <c r="AR5109" s="2"/>
      <c r="AS5109" s="2"/>
      <c r="AT5109" s="2" t="s">
        <v>15634</v>
      </c>
      <c r="AU5109" s="2"/>
      <c r="AV5109" s="2"/>
      <c r="AW5109" s="2"/>
      <c r="AX5109" s="2"/>
      <c r="AY5109" s="2">
        <v>70</v>
      </c>
      <c r="AZ5109" s="2" t="s">
        <v>236</v>
      </c>
      <c r="BA5109" s="2">
        <v>41</v>
      </c>
      <c r="BB5109" s="2" t="s">
        <v>82</v>
      </c>
      <c r="BC5109" s="2">
        <v>41</v>
      </c>
      <c r="BD5109" s="2" t="s">
        <v>82</v>
      </c>
      <c r="BE5109" s="2">
        <v>41</v>
      </c>
      <c r="BF5109" s="2" t="s">
        <v>82</v>
      </c>
      <c r="BG5109" s="2"/>
      <c r="BH5109" s="2"/>
      <c r="BI5109" s="2"/>
      <c r="BJ5109" s="2">
        <v>241</v>
      </c>
      <c r="BK5109" s="2" t="s">
        <v>82</v>
      </c>
      <c r="BL5109" s="2"/>
      <c r="BM5109" s="2">
        <v>241</v>
      </c>
      <c r="BN5109" s="2" t="s">
        <v>82</v>
      </c>
      <c r="BO5109" s="2"/>
      <c r="BP5109" s="2">
        <v>241</v>
      </c>
      <c r="BQ5109" s="2" t="s">
        <v>82</v>
      </c>
      <c r="BR5109" s="2"/>
      <c r="BS5109" s="3">
        <v>40526</v>
      </c>
      <c r="BT5109" s="4">
        <v>0.44965277777777773</v>
      </c>
    </row>
    <row r="5110" spans="1:72" x14ac:dyDescent="0.25">
      <c r="A5110" s="2">
        <v>7931</v>
      </c>
      <c r="B5110" s="2">
        <v>2010</v>
      </c>
      <c r="C5110" s="2" t="s">
        <v>171</v>
      </c>
      <c r="D5110" s="2" t="s">
        <v>122</v>
      </c>
      <c r="E5110" s="2" t="s">
        <v>15635</v>
      </c>
      <c r="F5110" s="2">
        <v>451</v>
      </c>
      <c r="G5110" s="2" t="s">
        <v>879</v>
      </c>
      <c r="H5110" s="2">
        <v>31</v>
      </c>
      <c r="I5110" s="2" t="s">
        <v>880</v>
      </c>
      <c r="J5110" s="2">
        <v>326</v>
      </c>
      <c r="K5110" s="2" t="s">
        <v>881</v>
      </c>
      <c r="L5110" s="2" t="s">
        <v>882</v>
      </c>
      <c r="M5110" s="3">
        <v>40526</v>
      </c>
      <c r="N5110" s="2" t="s">
        <v>821</v>
      </c>
      <c r="O5110" s="2"/>
      <c r="P5110" s="2"/>
      <c r="Q5110" s="2" t="str">
        <f>"119/10"</f>
        <v>119/10</v>
      </c>
      <c r="R5110" s="2" t="s">
        <v>917</v>
      </c>
      <c r="S5110" s="2" t="s">
        <v>917</v>
      </c>
      <c r="T5110" s="2">
        <v>1</v>
      </c>
      <c r="U5110" s="2" t="s">
        <v>79</v>
      </c>
      <c r="V5110" s="2">
        <v>1</v>
      </c>
      <c r="W5110" s="2" t="s">
        <v>80</v>
      </c>
      <c r="X5110" s="2">
        <v>1</v>
      </c>
      <c r="Y5110" s="2" t="s">
        <v>81</v>
      </c>
      <c r="Z5110" s="2">
        <v>10</v>
      </c>
      <c r="AA5110" s="2" t="s">
        <v>236</v>
      </c>
      <c r="AB5110" s="2">
        <v>1</v>
      </c>
      <c r="AC5110" s="2" t="s">
        <v>178</v>
      </c>
      <c r="AD5110" s="3">
        <v>40526</v>
      </c>
      <c r="AE5110" s="4">
        <v>1.0416666666666666E-2</v>
      </c>
      <c r="AF5110" s="3">
        <v>40526</v>
      </c>
      <c r="AG5110" s="4">
        <v>0.39583333333333331</v>
      </c>
      <c r="AH5110" s="2">
        <v>4</v>
      </c>
      <c r="AI5110" s="2" t="s">
        <v>125</v>
      </c>
      <c r="AJ5110" s="2">
        <v>29</v>
      </c>
      <c r="AK5110" s="2" t="s">
        <v>227</v>
      </c>
      <c r="AL5110" s="2">
        <v>10</v>
      </c>
      <c r="AM5110" s="2" t="s">
        <v>200</v>
      </c>
      <c r="AN5110" s="2" t="s">
        <v>5383</v>
      </c>
      <c r="AO5110" s="2" t="s">
        <v>3040</v>
      </c>
      <c r="AP5110" s="2">
        <v>12</v>
      </c>
      <c r="AQ5110" s="2" t="s">
        <v>322</v>
      </c>
      <c r="AR5110" s="2" t="s">
        <v>824</v>
      </c>
      <c r="AS5110" s="2" t="s">
        <v>825</v>
      </c>
      <c r="AT5110" s="2" t="s">
        <v>15636</v>
      </c>
      <c r="AU5110" s="2"/>
      <c r="AV5110" s="2"/>
      <c r="AW5110" s="2"/>
      <c r="AX5110" s="2"/>
      <c r="AY5110" s="2">
        <v>41</v>
      </c>
      <c r="AZ5110" s="2" t="s">
        <v>82</v>
      </c>
      <c r="BA5110" s="2">
        <v>41</v>
      </c>
      <c r="BB5110" s="2" t="s">
        <v>82</v>
      </c>
      <c r="BC5110" s="2">
        <v>41</v>
      </c>
      <c r="BD5110" s="2" t="s">
        <v>82</v>
      </c>
      <c r="BE5110" s="2">
        <v>47</v>
      </c>
      <c r="BF5110" s="2" t="s">
        <v>167</v>
      </c>
      <c r="BG5110" s="2">
        <v>2459</v>
      </c>
      <c r="BH5110" s="4">
        <v>2.0833333333333332E-2</v>
      </c>
      <c r="BI5110" s="4">
        <v>4.5138888888888888E-2</v>
      </c>
      <c r="BJ5110" s="2">
        <v>13</v>
      </c>
      <c r="BK5110" s="2" t="s">
        <v>91</v>
      </c>
      <c r="BL5110" s="2" t="s">
        <v>828</v>
      </c>
      <c r="BM5110" s="2">
        <v>13</v>
      </c>
      <c r="BN5110" s="2" t="s">
        <v>91</v>
      </c>
      <c r="BO5110" s="2"/>
      <c r="BP5110" s="2">
        <v>13</v>
      </c>
      <c r="BQ5110" s="2" t="s">
        <v>91</v>
      </c>
      <c r="BR5110" s="2" t="s">
        <v>185</v>
      </c>
      <c r="BS5110" s="3">
        <v>40526</v>
      </c>
      <c r="BT5110" s="4">
        <v>0.47791666666666671</v>
      </c>
    </row>
    <row r="5111" spans="1:72" x14ac:dyDescent="0.25">
      <c r="A5111" s="2">
        <v>7933</v>
      </c>
      <c r="B5111" s="2">
        <v>2010</v>
      </c>
      <c r="C5111" s="2" t="s">
        <v>147</v>
      </c>
      <c r="D5111" s="2" t="s">
        <v>73</v>
      </c>
      <c r="E5111" s="2"/>
      <c r="F5111" s="2">
        <v>1</v>
      </c>
      <c r="G5111" s="2" t="s">
        <v>82</v>
      </c>
      <c r="H5111" s="2">
        <v>1</v>
      </c>
      <c r="I5111" s="2" t="s">
        <v>82</v>
      </c>
      <c r="J5111" s="2">
        <v>1</v>
      </c>
      <c r="K5111" s="2" t="s">
        <v>107</v>
      </c>
      <c r="L5111" s="2" t="s">
        <v>107</v>
      </c>
      <c r="M5111" s="3">
        <v>40526</v>
      </c>
      <c r="N5111" s="2"/>
      <c r="O5111" s="2"/>
      <c r="P5111" s="2"/>
      <c r="Q5111" s="2" t="str">
        <f>"AP 0110-10"</f>
        <v>AP 0110-10</v>
      </c>
      <c r="R5111" s="2" t="s">
        <v>15637</v>
      </c>
      <c r="S5111" s="2"/>
      <c r="T5111" s="2">
        <v>2</v>
      </c>
      <c r="U5111" s="2" t="s">
        <v>123</v>
      </c>
      <c r="V5111" s="2">
        <v>1</v>
      </c>
      <c r="W5111" s="2" t="s">
        <v>80</v>
      </c>
      <c r="X5111" s="2">
        <v>12</v>
      </c>
      <c r="Y5111" s="2" t="s">
        <v>148</v>
      </c>
      <c r="Z5111" s="2">
        <v>1</v>
      </c>
      <c r="AA5111" s="2" t="s">
        <v>82</v>
      </c>
      <c r="AB5111" s="2">
        <v>9</v>
      </c>
      <c r="AC5111" s="2" t="s">
        <v>124</v>
      </c>
      <c r="AD5111" s="3">
        <v>40525</v>
      </c>
      <c r="AE5111" s="2"/>
      <c r="AF5111" s="3">
        <v>40526</v>
      </c>
      <c r="AG5111" s="4">
        <v>0.48402777777777778</v>
      </c>
      <c r="AH5111" s="2">
        <v>6</v>
      </c>
      <c r="AI5111" s="2" t="s">
        <v>197</v>
      </c>
      <c r="AJ5111" s="2">
        <v>58</v>
      </c>
      <c r="AK5111" s="2" t="s">
        <v>406</v>
      </c>
      <c r="AL5111" s="2">
        <v>21</v>
      </c>
      <c r="AM5111" s="2" t="s">
        <v>1311</v>
      </c>
      <c r="AN5111" s="2"/>
      <c r="AO5111" s="2"/>
      <c r="AP5111" s="2">
        <v>11</v>
      </c>
      <c r="AQ5111" s="2" t="s">
        <v>82</v>
      </c>
      <c r="AR5111" s="2"/>
      <c r="AS5111" s="2"/>
      <c r="AT5111" s="2" t="s">
        <v>15638</v>
      </c>
      <c r="AU5111" s="2"/>
      <c r="AV5111" s="2"/>
      <c r="AW5111" s="2"/>
      <c r="AX5111" s="2"/>
      <c r="AY5111" s="2">
        <v>41</v>
      </c>
      <c r="AZ5111" s="2" t="s">
        <v>82</v>
      </c>
      <c r="BA5111" s="2">
        <v>41</v>
      </c>
      <c r="BB5111" s="2" t="s">
        <v>82</v>
      </c>
      <c r="BC5111" s="2">
        <v>41</v>
      </c>
      <c r="BD5111" s="2" t="s">
        <v>82</v>
      </c>
      <c r="BE5111" s="2">
        <v>41</v>
      </c>
      <c r="BF5111" s="2" t="s">
        <v>82</v>
      </c>
      <c r="BG5111" s="2"/>
      <c r="BH5111" s="2"/>
      <c r="BI5111" s="2"/>
      <c r="BJ5111" s="2">
        <v>241</v>
      </c>
      <c r="BK5111" s="2" t="s">
        <v>82</v>
      </c>
      <c r="BL5111" s="2"/>
      <c r="BM5111" s="2">
        <v>241</v>
      </c>
      <c r="BN5111" s="2" t="s">
        <v>82</v>
      </c>
      <c r="BO5111" s="2"/>
      <c r="BP5111" s="2">
        <v>241</v>
      </c>
      <c r="BQ5111" s="2" t="s">
        <v>82</v>
      </c>
      <c r="BR5111" s="2"/>
      <c r="BS5111" s="3">
        <v>40526</v>
      </c>
      <c r="BT5111" s="4">
        <v>0.51798611111111115</v>
      </c>
    </row>
    <row r="5112" spans="1:72" x14ac:dyDescent="0.25">
      <c r="A5112" s="2">
        <v>7940</v>
      </c>
      <c r="B5112" s="2">
        <v>2010</v>
      </c>
      <c r="C5112" s="2" t="s">
        <v>72</v>
      </c>
      <c r="D5112" s="2" t="s">
        <v>73</v>
      </c>
      <c r="E5112" s="2"/>
      <c r="F5112" s="2">
        <v>2</v>
      </c>
      <c r="G5112" s="2" t="s">
        <v>113</v>
      </c>
      <c r="H5112" s="2">
        <v>1</v>
      </c>
      <c r="I5112" s="2" t="s">
        <v>82</v>
      </c>
      <c r="J5112" s="2">
        <v>746</v>
      </c>
      <c r="K5112" s="2" t="s">
        <v>15639</v>
      </c>
      <c r="L5112" s="2" t="s">
        <v>15640</v>
      </c>
      <c r="M5112" s="3">
        <v>40526</v>
      </c>
      <c r="N5112" s="2"/>
      <c r="O5112" s="2" t="s">
        <v>116</v>
      </c>
      <c r="P5112" s="2" t="s">
        <v>15641</v>
      </c>
      <c r="Q5112" s="2" t="str">
        <f>"608E/10"</f>
        <v>608E/10</v>
      </c>
      <c r="R5112" s="2" t="s">
        <v>116</v>
      </c>
      <c r="S5112" s="2" t="s">
        <v>116</v>
      </c>
      <c r="T5112" s="2">
        <v>1</v>
      </c>
      <c r="U5112" s="2" t="s">
        <v>79</v>
      </c>
      <c r="V5112" s="2">
        <v>3</v>
      </c>
      <c r="W5112" s="2" t="s">
        <v>225</v>
      </c>
      <c r="X5112" s="2">
        <v>6</v>
      </c>
      <c r="Y5112" s="2" t="s">
        <v>249</v>
      </c>
      <c r="Z5112" s="2">
        <v>1</v>
      </c>
      <c r="AA5112" s="2" t="s">
        <v>82</v>
      </c>
      <c r="AB5112" s="2">
        <v>9</v>
      </c>
      <c r="AC5112" s="2" t="s">
        <v>124</v>
      </c>
      <c r="AD5112" s="3">
        <v>40526</v>
      </c>
      <c r="AE5112" s="4">
        <v>0.58333333333333337</v>
      </c>
      <c r="AF5112" s="3">
        <v>40499</v>
      </c>
      <c r="AG5112" s="2"/>
      <c r="AH5112" s="2">
        <v>2</v>
      </c>
      <c r="AI5112" s="2" t="s">
        <v>84</v>
      </c>
      <c r="AJ5112" s="2">
        <v>6</v>
      </c>
      <c r="AK5112" s="2" t="s">
        <v>453</v>
      </c>
      <c r="AL5112" s="2">
        <v>23</v>
      </c>
      <c r="AM5112" s="2" t="s">
        <v>251</v>
      </c>
      <c r="AN5112" s="2" t="s">
        <v>15642</v>
      </c>
      <c r="AO5112" s="2" t="s">
        <v>15643</v>
      </c>
      <c r="AP5112" s="2">
        <v>11</v>
      </c>
      <c r="AQ5112" s="2" t="s">
        <v>82</v>
      </c>
      <c r="AR5112" s="2"/>
      <c r="AS5112" s="2"/>
      <c r="AT5112" s="2" t="s">
        <v>15644</v>
      </c>
      <c r="AU5112" s="2"/>
      <c r="AV5112" s="2"/>
      <c r="AW5112" s="2"/>
      <c r="AX5112" s="2"/>
      <c r="AY5112" s="2">
        <v>1</v>
      </c>
      <c r="AZ5112" s="2" t="s">
        <v>107</v>
      </c>
      <c r="BA5112" s="2">
        <v>41</v>
      </c>
      <c r="BB5112" s="2" t="s">
        <v>82</v>
      </c>
      <c r="BC5112" s="2">
        <v>41</v>
      </c>
      <c r="BD5112" s="2" t="s">
        <v>82</v>
      </c>
      <c r="BE5112" s="2">
        <v>41</v>
      </c>
      <c r="BF5112" s="2" t="s">
        <v>82</v>
      </c>
      <c r="BG5112" s="2"/>
      <c r="BH5112" s="2"/>
      <c r="BI5112" s="2"/>
      <c r="BJ5112" s="2">
        <v>241</v>
      </c>
      <c r="BK5112" s="2" t="s">
        <v>82</v>
      </c>
      <c r="BL5112" s="2"/>
      <c r="BM5112" s="2">
        <v>241</v>
      </c>
      <c r="BN5112" s="2" t="s">
        <v>82</v>
      </c>
      <c r="BO5112" s="2"/>
      <c r="BP5112" s="2">
        <v>241</v>
      </c>
      <c r="BQ5112" s="2" t="s">
        <v>82</v>
      </c>
      <c r="BR5112" s="2"/>
      <c r="BS5112" s="3">
        <v>40526</v>
      </c>
      <c r="BT5112" s="4">
        <v>0.62247685185185186</v>
      </c>
    </row>
    <row r="5113" spans="1:72" x14ac:dyDescent="0.25">
      <c r="A5113" s="2">
        <v>7943</v>
      </c>
      <c r="B5113" s="2">
        <v>2010</v>
      </c>
      <c r="C5113" s="2" t="s">
        <v>93</v>
      </c>
      <c r="D5113" s="2" t="s">
        <v>73</v>
      </c>
      <c r="E5113" s="2"/>
      <c r="F5113" s="2">
        <v>125</v>
      </c>
      <c r="G5113" s="2" t="s">
        <v>1483</v>
      </c>
      <c r="H5113" s="2">
        <v>47</v>
      </c>
      <c r="I5113" s="2" t="s">
        <v>1409</v>
      </c>
      <c r="J5113" s="2">
        <v>139</v>
      </c>
      <c r="K5113" s="2" t="s">
        <v>1485</v>
      </c>
      <c r="L5113" s="2" t="s">
        <v>1486</v>
      </c>
      <c r="M5113" s="3">
        <v>40526</v>
      </c>
      <c r="N5113" s="2" t="s">
        <v>4441</v>
      </c>
      <c r="O5113" s="2" t="s">
        <v>15645</v>
      </c>
      <c r="P5113" s="2" t="s">
        <v>15646</v>
      </c>
      <c r="Q5113" s="2" t="str">
        <f>"AP 0069-10"</f>
        <v>AP 0069-10</v>
      </c>
      <c r="R5113" s="2" t="s">
        <v>685</v>
      </c>
      <c r="S5113" s="2"/>
      <c r="T5113" s="2">
        <v>1</v>
      </c>
      <c r="U5113" s="2" t="s">
        <v>79</v>
      </c>
      <c r="V5113" s="2">
        <v>1</v>
      </c>
      <c r="W5113" s="2" t="s">
        <v>80</v>
      </c>
      <c r="X5113" s="2">
        <v>1</v>
      </c>
      <c r="Y5113" s="2" t="s">
        <v>81</v>
      </c>
      <c r="Z5113" s="2">
        <v>1</v>
      </c>
      <c r="AA5113" s="2" t="s">
        <v>82</v>
      </c>
      <c r="AB5113" s="2">
        <v>2</v>
      </c>
      <c r="AC5113" s="2" t="s">
        <v>102</v>
      </c>
      <c r="AD5113" s="3">
        <v>40526</v>
      </c>
      <c r="AE5113" s="4">
        <v>0.58333333333333337</v>
      </c>
      <c r="AF5113" s="3">
        <v>40526</v>
      </c>
      <c r="AG5113" s="4">
        <v>0.58333333333333337</v>
      </c>
      <c r="AH5113" s="2">
        <v>6</v>
      </c>
      <c r="AI5113" s="2" t="s">
        <v>197</v>
      </c>
      <c r="AJ5113" s="2">
        <v>61</v>
      </c>
      <c r="AK5113" s="2" t="s">
        <v>686</v>
      </c>
      <c r="AL5113" s="2">
        <v>11</v>
      </c>
      <c r="AM5113" s="2" t="s">
        <v>137</v>
      </c>
      <c r="AN5113" s="2" t="s">
        <v>82</v>
      </c>
      <c r="AO5113" s="2" t="s">
        <v>5668</v>
      </c>
      <c r="AP5113" s="2">
        <v>11</v>
      </c>
      <c r="AQ5113" s="2" t="s">
        <v>82</v>
      </c>
      <c r="AR5113" s="2" t="s">
        <v>82</v>
      </c>
      <c r="AS5113" s="2" t="s">
        <v>82</v>
      </c>
      <c r="AT5113" s="2" t="s">
        <v>15647</v>
      </c>
      <c r="AU5113" s="2"/>
      <c r="AV5113" s="2"/>
      <c r="AW5113" s="2"/>
      <c r="AX5113" s="2"/>
      <c r="AY5113" s="2">
        <v>41</v>
      </c>
      <c r="AZ5113" s="2" t="s">
        <v>82</v>
      </c>
      <c r="BA5113" s="2">
        <v>41</v>
      </c>
      <c r="BB5113" s="2" t="s">
        <v>82</v>
      </c>
      <c r="BC5113" s="2">
        <v>41</v>
      </c>
      <c r="BD5113" s="2" t="s">
        <v>82</v>
      </c>
      <c r="BE5113" s="2">
        <v>13</v>
      </c>
      <c r="BF5113" s="2" t="s">
        <v>108</v>
      </c>
      <c r="BG5113" s="2">
        <v>1849</v>
      </c>
      <c r="BH5113" s="2"/>
      <c r="BI5113" s="4">
        <v>0.60416666666666663</v>
      </c>
      <c r="BJ5113" s="2">
        <v>13</v>
      </c>
      <c r="BK5113" s="2" t="s">
        <v>91</v>
      </c>
      <c r="BL5113" s="2" t="s">
        <v>690</v>
      </c>
      <c r="BM5113" s="2">
        <v>13</v>
      </c>
      <c r="BN5113" s="2" t="s">
        <v>91</v>
      </c>
      <c r="BO5113" s="2"/>
      <c r="BP5113" s="2">
        <v>13</v>
      </c>
      <c r="BQ5113" s="2" t="s">
        <v>91</v>
      </c>
      <c r="BR5113" s="2" t="s">
        <v>185</v>
      </c>
      <c r="BS5113" s="3">
        <v>40526</v>
      </c>
      <c r="BT5113" s="4">
        <v>0.66636574074074073</v>
      </c>
    </row>
    <row r="5114" spans="1:72" x14ac:dyDescent="0.25">
      <c r="A5114" s="2">
        <v>7944</v>
      </c>
      <c r="B5114" s="2">
        <v>2010</v>
      </c>
      <c r="C5114" s="2" t="s">
        <v>171</v>
      </c>
      <c r="D5114" s="2" t="s">
        <v>122</v>
      </c>
      <c r="E5114" s="2" t="s">
        <v>15648</v>
      </c>
      <c r="F5114" s="2">
        <v>451</v>
      </c>
      <c r="G5114" s="2" t="s">
        <v>879</v>
      </c>
      <c r="H5114" s="2">
        <v>31</v>
      </c>
      <c r="I5114" s="2" t="s">
        <v>880</v>
      </c>
      <c r="J5114" s="2">
        <v>326</v>
      </c>
      <c r="K5114" s="2" t="s">
        <v>881</v>
      </c>
      <c r="L5114" s="2" t="s">
        <v>882</v>
      </c>
      <c r="M5114" s="3">
        <v>40526</v>
      </c>
      <c r="N5114" s="2" t="s">
        <v>821</v>
      </c>
      <c r="O5114" s="2" t="s">
        <v>3243</v>
      </c>
      <c r="P5114" s="2" t="s">
        <v>15649</v>
      </c>
      <c r="Q5114" s="2" t="str">
        <f>"119/10"</f>
        <v>119/10</v>
      </c>
      <c r="R5114" s="2"/>
      <c r="S5114" s="2" t="s">
        <v>917</v>
      </c>
      <c r="T5114" s="2">
        <v>1</v>
      </c>
      <c r="U5114" s="2" t="s">
        <v>79</v>
      </c>
      <c r="V5114" s="2">
        <v>1</v>
      </c>
      <c r="W5114" s="2" t="s">
        <v>80</v>
      </c>
      <c r="X5114" s="2">
        <v>1</v>
      </c>
      <c r="Y5114" s="2" t="s">
        <v>81</v>
      </c>
      <c r="Z5114" s="2">
        <v>10</v>
      </c>
      <c r="AA5114" s="2" t="s">
        <v>236</v>
      </c>
      <c r="AB5114" s="2">
        <v>1</v>
      </c>
      <c r="AC5114" s="2" t="s">
        <v>178</v>
      </c>
      <c r="AD5114" s="3">
        <v>40526</v>
      </c>
      <c r="AE5114" s="4">
        <v>1.0416666666666666E-2</v>
      </c>
      <c r="AF5114" s="3">
        <v>40526</v>
      </c>
      <c r="AG5114" s="4">
        <v>0.625</v>
      </c>
      <c r="AH5114" s="2">
        <v>4</v>
      </c>
      <c r="AI5114" s="2" t="s">
        <v>125</v>
      </c>
      <c r="AJ5114" s="2">
        <v>29</v>
      </c>
      <c r="AK5114" s="2" t="s">
        <v>227</v>
      </c>
      <c r="AL5114" s="2">
        <v>10</v>
      </c>
      <c r="AM5114" s="2" t="s">
        <v>200</v>
      </c>
      <c r="AN5114" s="2" t="s">
        <v>883</v>
      </c>
      <c r="AO5114" s="2"/>
      <c r="AP5114" s="2">
        <v>12</v>
      </c>
      <c r="AQ5114" s="2" t="s">
        <v>322</v>
      </c>
      <c r="AR5114" s="2" t="s">
        <v>824</v>
      </c>
      <c r="AS5114" s="2" t="s">
        <v>825</v>
      </c>
      <c r="AT5114" s="2" t="s">
        <v>15650</v>
      </c>
      <c r="AU5114" s="2"/>
      <c r="AV5114" s="2"/>
      <c r="AW5114" s="2"/>
      <c r="AX5114" s="2"/>
      <c r="AY5114" s="2">
        <v>41</v>
      </c>
      <c r="AZ5114" s="2" t="s">
        <v>82</v>
      </c>
      <c r="BA5114" s="2">
        <v>41</v>
      </c>
      <c r="BB5114" s="2" t="s">
        <v>82</v>
      </c>
      <c r="BC5114" s="2">
        <v>41</v>
      </c>
      <c r="BD5114" s="2" t="s">
        <v>82</v>
      </c>
      <c r="BE5114" s="2">
        <v>47</v>
      </c>
      <c r="BF5114" s="2" t="s">
        <v>167</v>
      </c>
      <c r="BG5114" s="2">
        <v>2459</v>
      </c>
      <c r="BH5114" s="4">
        <v>2.0833333333333332E-2</v>
      </c>
      <c r="BI5114" s="4">
        <v>4.5138888888888888E-2</v>
      </c>
      <c r="BJ5114" s="2">
        <v>13</v>
      </c>
      <c r="BK5114" s="2" t="s">
        <v>91</v>
      </c>
      <c r="BL5114" s="2" t="s">
        <v>828</v>
      </c>
      <c r="BM5114" s="2">
        <v>13</v>
      </c>
      <c r="BN5114" s="2" t="s">
        <v>91</v>
      </c>
      <c r="BO5114" s="2"/>
      <c r="BP5114" s="2">
        <v>13</v>
      </c>
      <c r="BQ5114" s="2" t="s">
        <v>91</v>
      </c>
      <c r="BR5114" s="2" t="s">
        <v>185</v>
      </c>
      <c r="BS5114" s="3">
        <v>40526</v>
      </c>
      <c r="BT5114" s="4">
        <v>0.70026620370370374</v>
      </c>
    </row>
    <row r="5115" spans="1:72" x14ac:dyDescent="0.25">
      <c r="A5115" s="2">
        <v>7945</v>
      </c>
      <c r="B5115" s="2">
        <v>2010</v>
      </c>
      <c r="C5115" s="2" t="s">
        <v>128</v>
      </c>
      <c r="D5115" s="2" t="s">
        <v>73</v>
      </c>
      <c r="E5115" s="2" t="s">
        <v>11464</v>
      </c>
      <c r="F5115" s="2">
        <v>425</v>
      </c>
      <c r="G5115" s="2" t="s">
        <v>286</v>
      </c>
      <c r="H5115" s="2">
        <v>39</v>
      </c>
      <c r="I5115" s="2" t="s">
        <v>1117</v>
      </c>
      <c r="J5115" s="2">
        <v>310</v>
      </c>
      <c r="K5115" s="2" t="s">
        <v>288</v>
      </c>
      <c r="L5115" s="2" t="s">
        <v>289</v>
      </c>
      <c r="M5115" s="3">
        <v>40526</v>
      </c>
      <c r="N5115" s="2" t="s">
        <v>1917</v>
      </c>
      <c r="O5115" s="2" t="s">
        <v>11437</v>
      </c>
      <c r="P5115" s="2" t="s">
        <v>11438</v>
      </c>
      <c r="Q5115" s="2" t="str">
        <f>"101"</f>
        <v>101</v>
      </c>
      <c r="R5115" s="2"/>
      <c r="S5115" s="2"/>
      <c r="T5115" s="2">
        <v>1</v>
      </c>
      <c r="U5115" s="2" t="s">
        <v>79</v>
      </c>
      <c r="V5115" s="2">
        <v>3</v>
      </c>
      <c r="W5115" s="2" t="s">
        <v>225</v>
      </c>
      <c r="X5115" s="2">
        <v>6</v>
      </c>
      <c r="Y5115" s="2" t="s">
        <v>249</v>
      </c>
      <c r="Z5115" s="2">
        <v>1</v>
      </c>
      <c r="AA5115" s="2" t="s">
        <v>82</v>
      </c>
      <c r="AB5115" s="2">
        <v>9</v>
      </c>
      <c r="AC5115" s="2" t="s">
        <v>124</v>
      </c>
      <c r="AD5115" s="2"/>
      <c r="AE5115" s="2"/>
      <c r="AF5115" s="3">
        <v>40526</v>
      </c>
      <c r="AG5115" s="2"/>
      <c r="AH5115" s="2">
        <v>4</v>
      </c>
      <c r="AI5115" s="2" t="s">
        <v>125</v>
      </c>
      <c r="AJ5115" s="2">
        <v>26</v>
      </c>
      <c r="AK5115" s="2" t="s">
        <v>293</v>
      </c>
      <c r="AL5115" s="2">
        <v>23</v>
      </c>
      <c r="AM5115" s="2" t="s">
        <v>251</v>
      </c>
      <c r="AN5115" s="2" t="s">
        <v>12259</v>
      </c>
      <c r="AO5115" s="2" t="s">
        <v>11465</v>
      </c>
      <c r="AP5115" s="2">
        <v>11</v>
      </c>
      <c r="AQ5115" s="2" t="s">
        <v>82</v>
      </c>
      <c r="AR5115" s="2"/>
      <c r="AS5115" s="2"/>
      <c r="AT5115" s="2" t="s">
        <v>15651</v>
      </c>
      <c r="AU5115" s="2"/>
      <c r="AV5115" s="2"/>
      <c r="AW5115" s="2"/>
      <c r="AX5115" s="2"/>
      <c r="AY5115" s="2">
        <v>41</v>
      </c>
      <c r="AZ5115" s="2" t="s">
        <v>82</v>
      </c>
      <c r="BA5115" s="2">
        <v>41</v>
      </c>
      <c r="BB5115" s="2" t="s">
        <v>82</v>
      </c>
      <c r="BC5115" s="2">
        <v>41</v>
      </c>
      <c r="BD5115" s="2" t="s">
        <v>82</v>
      </c>
      <c r="BE5115" s="2">
        <v>41</v>
      </c>
      <c r="BF5115" s="2" t="s">
        <v>82</v>
      </c>
      <c r="BG5115" s="2"/>
      <c r="BH5115" s="2"/>
      <c r="BI5115" s="2"/>
      <c r="BJ5115" s="2">
        <v>241</v>
      </c>
      <c r="BK5115" s="2" t="s">
        <v>82</v>
      </c>
      <c r="BL5115" s="2"/>
      <c r="BM5115" s="2">
        <v>241</v>
      </c>
      <c r="BN5115" s="2" t="s">
        <v>82</v>
      </c>
      <c r="BO5115" s="2"/>
      <c r="BP5115" s="2">
        <v>241</v>
      </c>
      <c r="BQ5115" s="2" t="s">
        <v>82</v>
      </c>
      <c r="BR5115" s="2"/>
      <c r="BS5115" s="3">
        <v>40526</v>
      </c>
      <c r="BT5115" s="4">
        <v>0.71818287037037043</v>
      </c>
    </row>
    <row r="5116" spans="1:72" x14ac:dyDescent="0.25">
      <c r="A5116" s="2">
        <v>7949</v>
      </c>
      <c r="B5116" s="2">
        <v>2010</v>
      </c>
      <c r="C5116" s="2" t="s">
        <v>147</v>
      </c>
      <c r="D5116" s="2" t="s">
        <v>73</v>
      </c>
      <c r="E5116" s="2"/>
      <c r="F5116" s="2">
        <v>1</v>
      </c>
      <c r="G5116" s="2" t="s">
        <v>82</v>
      </c>
      <c r="H5116" s="2">
        <v>1</v>
      </c>
      <c r="I5116" s="2" t="s">
        <v>82</v>
      </c>
      <c r="J5116" s="2">
        <v>1</v>
      </c>
      <c r="K5116" s="2" t="s">
        <v>107</v>
      </c>
      <c r="L5116" s="2" t="s">
        <v>107</v>
      </c>
      <c r="M5116" s="3">
        <v>40526</v>
      </c>
      <c r="N5116" s="2"/>
      <c r="O5116" s="2"/>
      <c r="P5116" s="2"/>
      <c r="Q5116" s="2" t="str">
        <f>"AP 0066-10"</f>
        <v>AP 0066-10</v>
      </c>
      <c r="R5116" s="2" t="s">
        <v>15652</v>
      </c>
      <c r="S5116" s="2"/>
      <c r="T5116" s="2">
        <v>2</v>
      </c>
      <c r="U5116" s="2" t="s">
        <v>123</v>
      </c>
      <c r="V5116" s="2">
        <v>1</v>
      </c>
      <c r="W5116" s="2" t="s">
        <v>80</v>
      </c>
      <c r="X5116" s="2">
        <v>12</v>
      </c>
      <c r="Y5116" s="2" t="s">
        <v>148</v>
      </c>
      <c r="Z5116" s="2">
        <v>1</v>
      </c>
      <c r="AA5116" s="2" t="s">
        <v>82</v>
      </c>
      <c r="AB5116" s="2">
        <v>9</v>
      </c>
      <c r="AC5116" s="2" t="s">
        <v>124</v>
      </c>
      <c r="AD5116" s="3">
        <v>40525</v>
      </c>
      <c r="AE5116" s="4">
        <v>0.51388888888888895</v>
      </c>
      <c r="AF5116" s="3">
        <v>40526</v>
      </c>
      <c r="AG5116" s="4">
        <v>0.68055555555555547</v>
      </c>
      <c r="AH5116" s="2">
        <v>6</v>
      </c>
      <c r="AI5116" s="2" t="s">
        <v>197</v>
      </c>
      <c r="AJ5116" s="2">
        <v>53</v>
      </c>
      <c r="AK5116" s="2" t="s">
        <v>11269</v>
      </c>
      <c r="AL5116" s="2">
        <v>19</v>
      </c>
      <c r="AM5116" s="2" t="s">
        <v>107</v>
      </c>
      <c r="AN5116" s="2"/>
      <c r="AO5116" s="2"/>
      <c r="AP5116" s="2">
        <v>11</v>
      </c>
      <c r="AQ5116" s="2" t="s">
        <v>82</v>
      </c>
      <c r="AR5116" s="2"/>
      <c r="AS5116" s="2"/>
      <c r="AT5116" s="2" t="s">
        <v>15653</v>
      </c>
      <c r="AU5116" s="2"/>
      <c r="AV5116" s="2"/>
      <c r="AW5116" s="2"/>
      <c r="AX5116" s="2"/>
      <c r="AY5116" s="2">
        <v>41</v>
      </c>
      <c r="AZ5116" s="2" t="s">
        <v>82</v>
      </c>
      <c r="BA5116" s="2">
        <v>41</v>
      </c>
      <c r="BB5116" s="2" t="s">
        <v>82</v>
      </c>
      <c r="BC5116" s="2">
        <v>41</v>
      </c>
      <c r="BD5116" s="2" t="s">
        <v>82</v>
      </c>
      <c r="BE5116" s="2">
        <v>41</v>
      </c>
      <c r="BF5116" s="2" t="s">
        <v>82</v>
      </c>
      <c r="BG5116" s="2"/>
      <c r="BH5116" s="2"/>
      <c r="BI5116" s="2"/>
      <c r="BJ5116" s="2">
        <v>241</v>
      </c>
      <c r="BK5116" s="2" t="s">
        <v>82</v>
      </c>
      <c r="BL5116" s="2"/>
      <c r="BM5116" s="2">
        <v>241</v>
      </c>
      <c r="BN5116" s="2" t="s">
        <v>82</v>
      </c>
      <c r="BO5116" s="2"/>
      <c r="BP5116" s="2">
        <v>241</v>
      </c>
      <c r="BQ5116" s="2" t="s">
        <v>82</v>
      </c>
      <c r="BR5116" s="2"/>
      <c r="BS5116" s="3">
        <v>40526</v>
      </c>
      <c r="BT5116" s="4">
        <v>0.757349537037037</v>
      </c>
    </row>
    <row r="5117" spans="1:72" x14ac:dyDescent="0.25">
      <c r="A5117" s="2">
        <v>7950</v>
      </c>
      <c r="B5117" s="2">
        <v>2010</v>
      </c>
      <c r="C5117" s="2" t="s">
        <v>2219</v>
      </c>
      <c r="D5117" s="2" t="s">
        <v>73</v>
      </c>
      <c r="E5117" s="2"/>
      <c r="F5117" s="2">
        <v>743</v>
      </c>
      <c r="G5117" s="2" t="s">
        <v>15654</v>
      </c>
      <c r="H5117" s="2">
        <v>18</v>
      </c>
      <c r="I5117" s="2" t="s">
        <v>3884</v>
      </c>
      <c r="J5117" s="2">
        <v>172</v>
      </c>
      <c r="K5117" s="2" t="s">
        <v>3885</v>
      </c>
      <c r="L5117" s="2" t="s">
        <v>3886</v>
      </c>
      <c r="M5117" s="3">
        <v>40526</v>
      </c>
      <c r="N5117" s="2" t="s">
        <v>15655</v>
      </c>
      <c r="O5117" s="2" t="s">
        <v>15656</v>
      </c>
      <c r="P5117" s="2" t="s">
        <v>15657</v>
      </c>
      <c r="Q5117" s="2" t="str">
        <f>""</f>
        <v/>
      </c>
      <c r="R5117" s="2"/>
      <c r="S5117" s="2"/>
      <c r="T5117" s="2">
        <v>1</v>
      </c>
      <c r="U5117" s="2" t="s">
        <v>79</v>
      </c>
      <c r="V5117" s="2">
        <v>1</v>
      </c>
      <c r="W5117" s="2" t="s">
        <v>80</v>
      </c>
      <c r="X5117" s="2">
        <v>11</v>
      </c>
      <c r="Y5117" s="2" t="s">
        <v>1920</v>
      </c>
      <c r="Z5117" s="2">
        <v>1</v>
      </c>
      <c r="AA5117" s="2" t="s">
        <v>82</v>
      </c>
      <c r="AB5117" s="2">
        <v>9</v>
      </c>
      <c r="AC5117" s="2" t="s">
        <v>124</v>
      </c>
      <c r="AD5117" s="3">
        <v>40526</v>
      </c>
      <c r="AE5117" s="4">
        <v>0.64583333333333337</v>
      </c>
      <c r="AF5117" s="3">
        <v>40526</v>
      </c>
      <c r="AG5117" s="4">
        <v>0.64583333333333337</v>
      </c>
      <c r="AH5117" s="2">
        <v>2</v>
      </c>
      <c r="AI5117" s="2" t="s">
        <v>84</v>
      </c>
      <c r="AJ5117" s="2">
        <v>6</v>
      </c>
      <c r="AK5117" s="2" t="s">
        <v>453</v>
      </c>
      <c r="AL5117" s="2">
        <v>23</v>
      </c>
      <c r="AM5117" s="2" t="s">
        <v>251</v>
      </c>
      <c r="AN5117" s="2" t="s">
        <v>15658</v>
      </c>
      <c r="AO5117" s="2" t="s">
        <v>15659</v>
      </c>
      <c r="AP5117" s="2">
        <v>11</v>
      </c>
      <c r="AQ5117" s="2" t="s">
        <v>82</v>
      </c>
      <c r="AR5117" s="2"/>
      <c r="AS5117" s="2"/>
      <c r="AT5117" s="2" t="s">
        <v>15660</v>
      </c>
      <c r="AU5117" s="2"/>
      <c r="AV5117" s="2"/>
      <c r="AW5117" s="2"/>
      <c r="AX5117" s="2"/>
      <c r="AY5117" s="2">
        <v>42</v>
      </c>
      <c r="AZ5117" s="2" t="s">
        <v>182</v>
      </c>
      <c r="BA5117" s="2">
        <v>1</v>
      </c>
      <c r="BB5117" s="2" t="s">
        <v>107</v>
      </c>
      <c r="BC5117" s="2">
        <v>70</v>
      </c>
      <c r="BD5117" s="2" t="s">
        <v>236</v>
      </c>
      <c r="BE5117" s="2">
        <v>41</v>
      </c>
      <c r="BF5117" s="2" t="s">
        <v>82</v>
      </c>
      <c r="BG5117" s="2"/>
      <c r="BH5117" s="2"/>
      <c r="BI5117" s="2"/>
      <c r="BJ5117" s="2">
        <v>241</v>
      </c>
      <c r="BK5117" s="2" t="s">
        <v>82</v>
      </c>
      <c r="BL5117" s="2"/>
      <c r="BM5117" s="2">
        <v>241</v>
      </c>
      <c r="BN5117" s="2" t="s">
        <v>82</v>
      </c>
      <c r="BO5117" s="2"/>
      <c r="BP5117" s="2">
        <v>241</v>
      </c>
      <c r="BQ5117" s="2" t="s">
        <v>82</v>
      </c>
      <c r="BR5117" s="2"/>
      <c r="BS5117" s="3">
        <v>40526</v>
      </c>
      <c r="BT5117" s="4">
        <v>0.79228009259259258</v>
      </c>
    </row>
    <row r="5118" spans="1:72" x14ac:dyDescent="0.25">
      <c r="A5118" s="2">
        <v>7951</v>
      </c>
      <c r="B5118" s="2">
        <v>2010</v>
      </c>
      <c r="C5118" s="2" t="s">
        <v>72</v>
      </c>
      <c r="D5118" s="2" t="s">
        <v>73</v>
      </c>
      <c r="E5118" s="2"/>
      <c r="F5118" s="2">
        <v>2</v>
      </c>
      <c r="G5118" s="2" t="s">
        <v>113</v>
      </c>
      <c r="H5118" s="2">
        <v>50</v>
      </c>
      <c r="I5118" s="2" t="s">
        <v>107</v>
      </c>
      <c r="J5118" s="2">
        <v>300</v>
      </c>
      <c r="K5118" s="2" t="s">
        <v>114</v>
      </c>
      <c r="L5118" s="2" t="s">
        <v>115</v>
      </c>
      <c r="M5118" s="3">
        <v>40526</v>
      </c>
      <c r="N5118" s="2" t="s">
        <v>107</v>
      </c>
      <c r="O5118" s="2"/>
      <c r="P5118" s="2"/>
      <c r="Q5118" s="2" t="str">
        <f>"678-E/10"</f>
        <v>678-E/10</v>
      </c>
      <c r="R5118" s="2" t="s">
        <v>116</v>
      </c>
      <c r="S5118" s="2" t="s">
        <v>116</v>
      </c>
      <c r="T5118" s="2">
        <v>1</v>
      </c>
      <c r="U5118" s="2" t="s">
        <v>79</v>
      </c>
      <c r="V5118" s="2">
        <v>1</v>
      </c>
      <c r="W5118" s="2" t="s">
        <v>80</v>
      </c>
      <c r="X5118" s="2">
        <v>12</v>
      </c>
      <c r="Y5118" s="2" t="s">
        <v>148</v>
      </c>
      <c r="Z5118" s="2">
        <v>1</v>
      </c>
      <c r="AA5118" s="2" t="s">
        <v>82</v>
      </c>
      <c r="AB5118" s="2">
        <v>6</v>
      </c>
      <c r="AC5118" s="2" t="s">
        <v>83</v>
      </c>
      <c r="AD5118" s="2"/>
      <c r="AE5118" s="2"/>
      <c r="AF5118" s="3">
        <v>40526</v>
      </c>
      <c r="AG5118" s="4">
        <v>0.66666666666666663</v>
      </c>
      <c r="AH5118" s="2">
        <v>2</v>
      </c>
      <c r="AI5118" s="2" t="s">
        <v>84</v>
      </c>
      <c r="AJ5118" s="2">
        <v>9</v>
      </c>
      <c r="AK5118" s="2" t="s">
        <v>103</v>
      </c>
      <c r="AL5118" s="2">
        <v>21</v>
      </c>
      <c r="AM5118" s="2" t="s">
        <v>1311</v>
      </c>
      <c r="AN5118" s="2" t="s">
        <v>15661</v>
      </c>
      <c r="AO5118" s="2" t="s">
        <v>15662</v>
      </c>
      <c r="AP5118" s="2">
        <v>11</v>
      </c>
      <c r="AQ5118" s="2" t="s">
        <v>82</v>
      </c>
      <c r="AR5118" s="2"/>
      <c r="AS5118" s="2"/>
      <c r="AT5118" s="2" t="s">
        <v>15663</v>
      </c>
      <c r="AU5118" s="2"/>
      <c r="AV5118" s="2"/>
      <c r="AW5118" s="2"/>
      <c r="AX5118" s="2"/>
      <c r="AY5118" s="2">
        <v>41</v>
      </c>
      <c r="AZ5118" s="2" t="s">
        <v>82</v>
      </c>
      <c r="BA5118" s="2">
        <v>41</v>
      </c>
      <c r="BB5118" s="2" t="s">
        <v>82</v>
      </c>
      <c r="BC5118" s="2">
        <v>41</v>
      </c>
      <c r="BD5118" s="2" t="s">
        <v>82</v>
      </c>
      <c r="BE5118" s="2">
        <v>41</v>
      </c>
      <c r="BF5118" s="2" t="s">
        <v>82</v>
      </c>
      <c r="BG5118" s="2"/>
      <c r="BH5118" s="2"/>
      <c r="BI5118" s="2"/>
      <c r="BJ5118" s="2">
        <v>241</v>
      </c>
      <c r="BK5118" s="2" t="s">
        <v>82</v>
      </c>
      <c r="BL5118" s="2"/>
      <c r="BM5118" s="2">
        <v>241</v>
      </c>
      <c r="BN5118" s="2" t="s">
        <v>82</v>
      </c>
      <c r="BO5118" s="2"/>
      <c r="BP5118" s="2">
        <v>241</v>
      </c>
      <c r="BQ5118" s="2" t="s">
        <v>82</v>
      </c>
      <c r="BR5118" s="2"/>
      <c r="BS5118" s="3">
        <v>40526</v>
      </c>
      <c r="BT5118" s="4">
        <v>0.79410879629629638</v>
      </c>
    </row>
    <row r="5119" spans="1:72" x14ac:dyDescent="0.25">
      <c r="A5119" s="2">
        <v>7952</v>
      </c>
      <c r="B5119" s="2">
        <v>2010</v>
      </c>
      <c r="C5119" s="2" t="s">
        <v>72</v>
      </c>
      <c r="D5119" s="2" t="s">
        <v>73</v>
      </c>
      <c r="E5119" s="2"/>
      <c r="F5119" s="2">
        <v>175</v>
      </c>
      <c r="G5119" s="2" t="s">
        <v>4170</v>
      </c>
      <c r="H5119" s="2">
        <v>22</v>
      </c>
      <c r="I5119" s="2" t="s">
        <v>75</v>
      </c>
      <c r="J5119" s="2">
        <v>728</v>
      </c>
      <c r="K5119" s="2" t="s">
        <v>15156</v>
      </c>
      <c r="L5119" s="2" t="s">
        <v>15157</v>
      </c>
      <c r="M5119" s="3">
        <v>40526</v>
      </c>
      <c r="N5119" s="2" t="s">
        <v>15507</v>
      </c>
      <c r="O5119" s="2"/>
      <c r="P5119" s="2"/>
      <c r="Q5119" s="2" t="str">
        <f>"452-A/10"</f>
        <v>452-A/10</v>
      </c>
      <c r="R5119" s="2" t="s">
        <v>116</v>
      </c>
      <c r="S5119" s="2" t="s">
        <v>116</v>
      </c>
      <c r="T5119" s="2">
        <v>1</v>
      </c>
      <c r="U5119" s="2" t="s">
        <v>79</v>
      </c>
      <c r="V5119" s="2">
        <v>1</v>
      </c>
      <c r="W5119" s="2" t="s">
        <v>80</v>
      </c>
      <c r="X5119" s="2">
        <v>12</v>
      </c>
      <c r="Y5119" s="2" t="s">
        <v>148</v>
      </c>
      <c r="Z5119" s="2">
        <v>1</v>
      </c>
      <c r="AA5119" s="2" t="s">
        <v>82</v>
      </c>
      <c r="AB5119" s="2">
        <v>6</v>
      </c>
      <c r="AC5119" s="2" t="s">
        <v>83</v>
      </c>
      <c r="AD5119" s="3">
        <v>40526</v>
      </c>
      <c r="AE5119" s="2"/>
      <c r="AF5119" s="3">
        <v>40526</v>
      </c>
      <c r="AG5119" s="4">
        <v>0.77083333333333337</v>
      </c>
      <c r="AH5119" s="2">
        <v>2</v>
      </c>
      <c r="AI5119" s="2" t="s">
        <v>84</v>
      </c>
      <c r="AJ5119" s="2">
        <v>12</v>
      </c>
      <c r="AK5119" s="2" t="s">
        <v>85</v>
      </c>
      <c r="AL5119" s="2">
        <v>29</v>
      </c>
      <c r="AM5119" s="2" t="s">
        <v>5416</v>
      </c>
      <c r="AN5119" s="2"/>
      <c r="AO5119" s="2" t="s">
        <v>296</v>
      </c>
      <c r="AP5119" s="2">
        <v>11</v>
      </c>
      <c r="AQ5119" s="2" t="s">
        <v>82</v>
      </c>
      <c r="AR5119" s="2"/>
      <c r="AS5119" s="2"/>
      <c r="AT5119" s="2" t="s">
        <v>15664</v>
      </c>
      <c r="AU5119" s="2"/>
      <c r="AV5119" s="2"/>
      <c r="AW5119" s="2"/>
      <c r="AX5119" s="2"/>
      <c r="AY5119" s="2">
        <v>41</v>
      </c>
      <c r="AZ5119" s="2" t="s">
        <v>82</v>
      </c>
      <c r="BA5119" s="2">
        <v>41</v>
      </c>
      <c r="BB5119" s="2" t="s">
        <v>82</v>
      </c>
      <c r="BC5119" s="2">
        <v>41</v>
      </c>
      <c r="BD5119" s="2" t="s">
        <v>82</v>
      </c>
      <c r="BE5119" s="2">
        <v>41</v>
      </c>
      <c r="BF5119" s="2" t="s">
        <v>82</v>
      </c>
      <c r="BG5119" s="2"/>
      <c r="BH5119" s="2"/>
      <c r="BI5119" s="2"/>
      <c r="BJ5119" s="2">
        <v>241</v>
      </c>
      <c r="BK5119" s="2" t="s">
        <v>82</v>
      </c>
      <c r="BL5119" s="2"/>
      <c r="BM5119" s="2">
        <v>241</v>
      </c>
      <c r="BN5119" s="2" t="s">
        <v>82</v>
      </c>
      <c r="BO5119" s="2"/>
      <c r="BP5119" s="2">
        <v>241</v>
      </c>
      <c r="BQ5119" s="2" t="s">
        <v>82</v>
      </c>
      <c r="BR5119" s="2"/>
      <c r="BS5119" s="3">
        <v>40526</v>
      </c>
      <c r="BT5119" s="4">
        <v>0.82118055555555547</v>
      </c>
    </row>
    <row r="5120" spans="1:72" x14ac:dyDescent="0.25">
      <c r="A5120" s="2">
        <v>7959</v>
      </c>
      <c r="B5120" s="2">
        <v>2010</v>
      </c>
      <c r="C5120" s="2" t="s">
        <v>171</v>
      </c>
      <c r="D5120" s="2" t="s">
        <v>122</v>
      </c>
      <c r="E5120" s="2" t="s">
        <v>15665</v>
      </c>
      <c r="F5120" s="2">
        <v>400</v>
      </c>
      <c r="G5120" s="2" t="s">
        <v>3601</v>
      </c>
      <c r="H5120" s="2">
        <v>17</v>
      </c>
      <c r="I5120" s="2" t="s">
        <v>3602</v>
      </c>
      <c r="J5120" s="2">
        <v>692</v>
      </c>
      <c r="K5120" s="2" t="s">
        <v>574</v>
      </c>
      <c r="L5120" s="2" t="s">
        <v>575</v>
      </c>
      <c r="M5120" s="3">
        <v>40527</v>
      </c>
      <c r="N5120" s="2" t="s">
        <v>15376</v>
      </c>
      <c r="O5120" s="2"/>
      <c r="P5120" s="2"/>
      <c r="Q5120" s="2" t="str">
        <f>"673-E/10"</f>
        <v>673-E/10</v>
      </c>
      <c r="R5120" s="2" t="s">
        <v>391</v>
      </c>
      <c r="S5120" s="2"/>
      <c r="T5120" s="2">
        <v>1</v>
      </c>
      <c r="U5120" s="2" t="s">
        <v>79</v>
      </c>
      <c r="V5120" s="2">
        <v>1</v>
      </c>
      <c r="W5120" s="2" t="s">
        <v>80</v>
      </c>
      <c r="X5120" s="2">
        <v>1</v>
      </c>
      <c r="Y5120" s="2" t="s">
        <v>81</v>
      </c>
      <c r="Z5120" s="2">
        <v>1</v>
      </c>
      <c r="AA5120" s="2" t="s">
        <v>82</v>
      </c>
      <c r="AB5120" s="2">
        <v>1</v>
      </c>
      <c r="AC5120" s="2" t="s">
        <v>178</v>
      </c>
      <c r="AD5120" s="3">
        <v>40524</v>
      </c>
      <c r="AE5120" s="4">
        <v>0.125</v>
      </c>
      <c r="AF5120" s="3">
        <v>40524</v>
      </c>
      <c r="AG5120" s="2"/>
      <c r="AH5120" s="2">
        <v>2</v>
      </c>
      <c r="AI5120" s="2" t="s">
        <v>84</v>
      </c>
      <c r="AJ5120" s="2">
        <v>9</v>
      </c>
      <c r="AK5120" s="2" t="s">
        <v>103</v>
      </c>
      <c r="AL5120" s="2">
        <v>14</v>
      </c>
      <c r="AM5120" s="2" t="s">
        <v>216</v>
      </c>
      <c r="AN5120" s="2"/>
      <c r="AO5120" s="2" t="s">
        <v>179</v>
      </c>
      <c r="AP5120" s="2">
        <v>11</v>
      </c>
      <c r="AQ5120" s="2" t="s">
        <v>82</v>
      </c>
      <c r="AR5120" s="2"/>
      <c r="AS5120" s="2"/>
      <c r="AT5120" s="2" t="s">
        <v>15666</v>
      </c>
      <c r="AU5120" s="2"/>
      <c r="AV5120" s="2">
        <v>1</v>
      </c>
      <c r="AW5120" s="2"/>
      <c r="AX5120" s="2"/>
      <c r="AY5120" s="2">
        <v>42</v>
      </c>
      <c r="AZ5120" s="2" t="s">
        <v>182</v>
      </c>
      <c r="BA5120" s="2">
        <v>41</v>
      </c>
      <c r="BB5120" s="2" t="s">
        <v>82</v>
      </c>
      <c r="BC5120" s="2">
        <v>41</v>
      </c>
      <c r="BD5120" s="2" t="s">
        <v>82</v>
      </c>
      <c r="BE5120" s="2">
        <v>23</v>
      </c>
      <c r="BF5120" s="2" t="s">
        <v>183</v>
      </c>
      <c r="BG5120" s="2" t="s">
        <v>4871</v>
      </c>
      <c r="BH5120" s="2"/>
      <c r="BI5120" s="4">
        <v>0.26041666666666669</v>
      </c>
      <c r="BJ5120" s="2">
        <v>13</v>
      </c>
      <c r="BK5120" s="2" t="s">
        <v>91</v>
      </c>
      <c r="BL5120" s="2" t="s">
        <v>360</v>
      </c>
      <c r="BM5120" s="2">
        <v>73</v>
      </c>
      <c r="BN5120" s="2" t="s">
        <v>186</v>
      </c>
      <c r="BO5120" s="2"/>
      <c r="BP5120" s="2">
        <v>73</v>
      </c>
      <c r="BQ5120" s="2" t="s">
        <v>186</v>
      </c>
      <c r="BR5120" s="2" t="s">
        <v>187</v>
      </c>
      <c r="BS5120" s="3">
        <v>40527</v>
      </c>
      <c r="BT5120" s="4">
        <v>0.17678240740740739</v>
      </c>
    </row>
    <row r="5121" spans="1:72" x14ac:dyDescent="0.25">
      <c r="A5121" s="2">
        <v>7962</v>
      </c>
      <c r="B5121" s="2">
        <v>2010</v>
      </c>
      <c r="C5121" s="2" t="s">
        <v>93</v>
      </c>
      <c r="D5121" s="2" t="s">
        <v>73</v>
      </c>
      <c r="E5121" s="2"/>
      <c r="F5121" s="2">
        <v>205</v>
      </c>
      <c r="G5121" s="2" t="s">
        <v>15667</v>
      </c>
      <c r="H5121" s="2">
        <v>156</v>
      </c>
      <c r="I5121" s="2" t="s">
        <v>15668</v>
      </c>
      <c r="J5121" s="2">
        <v>216</v>
      </c>
      <c r="K5121" s="2" t="s">
        <v>15669</v>
      </c>
      <c r="L5121" s="2" t="s">
        <v>15670</v>
      </c>
      <c r="M5121" s="3">
        <v>40527</v>
      </c>
      <c r="N5121" s="2" t="s">
        <v>15671</v>
      </c>
      <c r="O5121" s="2" t="s">
        <v>15672</v>
      </c>
      <c r="P5121" s="2" t="s">
        <v>15673</v>
      </c>
      <c r="Q5121" s="2" t="str">
        <f>"N/C"</f>
        <v>N/C</v>
      </c>
      <c r="R5121" s="2" t="s">
        <v>82</v>
      </c>
      <c r="S5121" s="2" t="s">
        <v>82</v>
      </c>
      <c r="T5121" s="2">
        <v>1</v>
      </c>
      <c r="U5121" s="2" t="s">
        <v>79</v>
      </c>
      <c r="V5121" s="2">
        <v>1</v>
      </c>
      <c r="W5121" s="2" t="s">
        <v>80</v>
      </c>
      <c r="X5121" s="2">
        <v>10</v>
      </c>
      <c r="Y5121" s="2" t="s">
        <v>226</v>
      </c>
      <c r="Z5121" s="2">
        <v>9</v>
      </c>
      <c r="AA5121" s="2" t="s">
        <v>1119</v>
      </c>
      <c r="AB5121" s="2">
        <v>2</v>
      </c>
      <c r="AC5121" s="2" t="s">
        <v>102</v>
      </c>
      <c r="AD5121" s="3">
        <v>40526</v>
      </c>
      <c r="AE5121" s="2"/>
      <c r="AF5121" s="3">
        <v>40526</v>
      </c>
      <c r="AG5121" s="4">
        <v>0.95833333333333337</v>
      </c>
      <c r="AH5121" s="2">
        <v>2</v>
      </c>
      <c r="AI5121" s="2" t="s">
        <v>84</v>
      </c>
      <c r="AJ5121" s="2">
        <v>9</v>
      </c>
      <c r="AK5121" s="2" t="s">
        <v>103</v>
      </c>
      <c r="AL5121" s="2">
        <v>14</v>
      </c>
      <c r="AM5121" s="2" t="s">
        <v>216</v>
      </c>
      <c r="AN5121" s="2"/>
      <c r="AO5121" s="2" t="s">
        <v>15674</v>
      </c>
      <c r="AP5121" s="2">
        <v>11</v>
      </c>
      <c r="AQ5121" s="2" t="s">
        <v>82</v>
      </c>
      <c r="AR5121" s="2"/>
      <c r="AS5121" s="2"/>
      <c r="AT5121" s="2" t="s">
        <v>15675</v>
      </c>
      <c r="AU5121" s="2"/>
      <c r="AV5121" s="2"/>
      <c r="AW5121" s="2"/>
      <c r="AX5121" s="2"/>
      <c r="AY5121" s="2">
        <v>41</v>
      </c>
      <c r="AZ5121" s="2" t="s">
        <v>82</v>
      </c>
      <c r="BA5121" s="2">
        <v>41</v>
      </c>
      <c r="BB5121" s="2" t="s">
        <v>82</v>
      </c>
      <c r="BC5121" s="2">
        <v>41</v>
      </c>
      <c r="BD5121" s="2" t="s">
        <v>82</v>
      </c>
      <c r="BE5121" s="2">
        <v>41</v>
      </c>
      <c r="BF5121" s="2" t="s">
        <v>82</v>
      </c>
      <c r="BG5121" s="2"/>
      <c r="BH5121" s="2"/>
      <c r="BI5121" s="2"/>
      <c r="BJ5121" s="2">
        <v>241</v>
      </c>
      <c r="BK5121" s="2" t="s">
        <v>82</v>
      </c>
      <c r="BL5121" s="2"/>
      <c r="BM5121" s="2">
        <v>241</v>
      </c>
      <c r="BN5121" s="2" t="s">
        <v>82</v>
      </c>
      <c r="BO5121" s="2"/>
      <c r="BP5121" s="2">
        <v>241</v>
      </c>
      <c r="BQ5121" s="2" t="s">
        <v>82</v>
      </c>
      <c r="BR5121" s="2"/>
      <c r="BS5121" s="3">
        <v>40527</v>
      </c>
      <c r="BT5121" s="4">
        <v>0.39648148148148149</v>
      </c>
    </row>
    <row r="5122" spans="1:72" x14ac:dyDescent="0.25">
      <c r="A5122" s="2">
        <v>7967</v>
      </c>
      <c r="B5122" s="2">
        <v>2010</v>
      </c>
      <c r="C5122" s="2" t="s">
        <v>93</v>
      </c>
      <c r="D5122" s="2" t="s">
        <v>73</v>
      </c>
      <c r="E5122" s="2"/>
      <c r="F5122" s="2">
        <v>18</v>
      </c>
      <c r="G5122" s="2" t="s">
        <v>1974</v>
      </c>
      <c r="H5122" s="2">
        <v>99</v>
      </c>
      <c r="I5122" s="2" t="s">
        <v>6285</v>
      </c>
      <c r="J5122" s="2">
        <v>24</v>
      </c>
      <c r="K5122" s="2" t="s">
        <v>1975</v>
      </c>
      <c r="L5122" s="2" t="s">
        <v>1976</v>
      </c>
      <c r="M5122" s="3">
        <v>40527</v>
      </c>
      <c r="N5122" s="2" t="s">
        <v>15676</v>
      </c>
      <c r="O5122" s="2" t="s">
        <v>15677</v>
      </c>
      <c r="P5122" s="2" t="s">
        <v>15678</v>
      </c>
      <c r="Q5122" s="2" t="str">
        <f>"0010/2010"</f>
        <v>0010/2010</v>
      </c>
      <c r="R5122" s="2"/>
      <c r="S5122" s="2"/>
      <c r="T5122" s="2">
        <v>1</v>
      </c>
      <c r="U5122" s="2" t="s">
        <v>79</v>
      </c>
      <c r="V5122" s="2">
        <v>1</v>
      </c>
      <c r="W5122" s="2" t="s">
        <v>80</v>
      </c>
      <c r="X5122" s="2">
        <v>1</v>
      </c>
      <c r="Y5122" s="2" t="s">
        <v>81</v>
      </c>
      <c r="Z5122" s="2">
        <v>1</v>
      </c>
      <c r="AA5122" s="2" t="s">
        <v>82</v>
      </c>
      <c r="AB5122" s="2">
        <v>2</v>
      </c>
      <c r="AC5122" s="2" t="s">
        <v>102</v>
      </c>
      <c r="AD5122" s="3">
        <v>40527</v>
      </c>
      <c r="AE5122" s="4">
        <v>0.4375</v>
      </c>
      <c r="AF5122" s="3">
        <v>40527</v>
      </c>
      <c r="AG5122" s="4">
        <v>0.44791666666666669</v>
      </c>
      <c r="AH5122" s="2">
        <v>5</v>
      </c>
      <c r="AI5122" s="2" t="s">
        <v>274</v>
      </c>
      <c r="AJ5122" s="2">
        <v>40</v>
      </c>
      <c r="AK5122" s="2" t="s">
        <v>935</v>
      </c>
      <c r="AL5122" s="2">
        <v>12</v>
      </c>
      <c r="AM5122" s="2" t="s">
        <v>86</v>
      </c>
      <c r="AN5122" s="2"/>
      <c r="AO5122" s="2" t="s">
        <v>15679</v>
      </c>
      <c r="AP5122" s="2">
        <v>11</v>
      </c>
      <c r="AQ5122" s="2" t="s">
        <v>82</v>
      </c>
      <c r="AR5122" s="2"/>
      <c r="AS5122" s="2"/>
      <c r="AT5122" s="2" t="s">
        <v>15680</v>
      </c>
      <c r="AU5122" s="2"/>
      <c r="AV5122" s="2"/>
      <c r="AW5122" s="2"/>
      <c r="AX5122" s="2"/>
      <c r="AY5122" s="2">
        <v>41</v>
      </c>
      <c r="AZ5122" s="2" t="s">
        <v>82</v>
      </c>
      <c r="BA5122" s="2">
        <v>41</v>
      </c>
      <c r="BB5122" s="2" t="s">
        <v>82</v>
      </c>
      <c r="BC5122" s="2">
        <v>41</v>
      </c>
      <c r="BD5122" s="2" t="s">
        <v>82</v>
      </c>
      <c r="BE5122" s="2">
        <v>41</v>
      </c>
      <c r="BF5122" s="2" t="s">
        <v>82</v>
      </c>
      <c r="BG5122" s="2"/>
      <c r="BH5122" s="2"/>
      <c r="BI5122" s="2"/>
      <c r="BJ5122" s="2">
        <v>241</v>
      </c>
      <c r="BK5122" s="2" t="s">
        <v>82</v>
      </c>
      <c r="BL5122" s="2"/>
      <c r="BM5122" s="2">
        <v>241</v>
      </c>
      <c r="BN5122" s="2" t="s">
        <v>82</v>
      </c>
      <c r="BO5122" s="2"/>
      <c r="BP5122" s="2">
        <v>241</v>
      </c>
      <c r="BQ5122" s="2" t="s">
        <v>82</v>
      </c>
      <c r="BR5122" s="2"/>
      <c r="BS5122" s="3">
        <v>40527</v>
      </c>
      <c r="BT5122" s="4">
        <v>0.57598379629629626</v>
      </c>
    </row>
    <row r="5123" spans="1:72" x14ac:dyDescent="0.25">
      <c r="A5123" s="2">
        <v>7969</v>
      </c>
      <c r="B5123" s="2">
        <v>2010</v>
      </c>
      <c r="C5123" s="2" t="s">
        <v>147</v>
      </c>
      <c r="D5123" s="2" t="s">
        <v>73</v>
      </c>
      <c r="E5123" s="2"/>
      <c r="F5123" s="2">
        <v>1</v>
      </c>
      <c r="G5123" s="2" t="s">
        <v>82</v>
      </c>
      <c r="H5123" s="2">
        <v>1</v>
      </c>
      <c r="I5123" s="2" t="s">
        <v>82</v>
      </c>
      <c r="J5123" s="2">
        <v>1</v>
      </c>
      <c r="K5123" s="2" t="s">
        <v>107</v>
      </c>
      <c r="L5123" s="2" t="s">
        <v>107</v>
      </c>
      <c r="M5123" s="3">
        <v>40527</v>
      </c>
      <c r="N5123" s="2"/>
      <c r="O5123" s="2"/>
      <c r="P5123" s="2"/>
      <c r="Q5123" s="2" t="str">
        <f>"EXTRAVIO Nº 043/10"</f>
        <v>EXTRAVIO Nº 043/10</v>
      </c>
      <c r="R5123" s="2"/>
      <c r="S5123" s="2"/>
      <c r="T5123" s="2">
        <v>2</v>
      </c>
      <c r="U5123" s="2" t="s">
        <v>123</v>
      </c>
      <c r="V5123" s="2">
        <v>1</v>
      </c>
      <c r="W5123" s="2" t="s">
        <v>80</v>
      </c>
      <c r="X5123" s="2">
        <v>5</v>
      </c>
      <c r="Y5123" s="2" t="s">
        <v>82</v>
      </c>
      <c r="Z5123" s="2">
        <v>1</v>
      </c>
      <c r="AA5123" s="2" t="s">
        <v>82</v>
      </c>
      <c r="AB5123" s="2">
        <v>9</v>
      </c>
      <c r="AC5123" s="2" t="s">
        <v>124</v>
      </c>
      <c r="AD5123" s="3">
        <v>40525</v>
      </c>
      <c r="AE5123" s="4">
        <v>0.375</v>
      </c>
      <c r="AF5123" s="3">
        <v>40525</v>
      </c>
      <c r="AG5123" s="4">
        <v>0.60416666666666663</v>
      </c>
      <c r="AH5123" s="2">
        <v>2</v>
      </c>
      <c r="AI5123" s="2" t="s">
        <v>84</v>
      </c>
      <c r="AJ5123" s="2">
        <v>11</v>
      </c>
      <c r="AK5123" s="2" t="s">
        <v>751</v>
      </c>
      <c r="AL5123" s="2">
        <v>25</v>
      </c>
      <c r="AM5123" s="2" t="s">
        <v>3073</v>
      </c>
      <c r="AN5123" s="2" t="s">
        <v>15681</v>
      </c>
      <c r="AO5123" s="2" t="s">
        <v>15682</v>
      </c>
      <c r="AP5123" s="2">
        <v>11</v>
      </c>
      <c r="AQ5123" s="2" t="s">
        <v>82</v>
      </c>
      <c r="AR5123" s="2"/>
      <c r="AS5123" s="2"/>
      <c r="AT5123" s="2" t="s">
        <v>15683</v>
      </c>
      <c r="AU5123" s="2"/>
      <c r="AV5123" s="2"/>
      <c r="AW5123" s="2"/>
      <c r="AX5123" s="2"/>
      <c r="AY5123" s="2">
        <v>41</v>
      </c>
      <c r="AZ5123" s="2" t="s">
        <v>82</v>
      </c>
      <c r="BA5123" s="2">
        <v>41</v>
      </c>
      <c r="BB5123" s="2" t="s">
        <v>82</v>
      </c>
      <c r="BC5123" s="2">
        <v>41</v>
      </c>
      <c r="BD5123" s="2" t="s">
        <v>82</v>
      </c>
      <c r="BE5123" s="2">
        <v>41</v>
      </c>
      <c r="BF5123" s="2" t="s">
        <v>82</v>
      </c>
      <c r="BG5123" s="2"/>
      <c r="BH5123" s="2"/>
      <c r="BI5123" s="2"/>
      <c r="BJ5123" s="2">
        <v>241</v>
      </c>
      <c r="BK5123" s="2" t="s">
        <v>82</v>
      </c>
      <c r="BL5123" s="2"/>
      <c r="BM5123" s="2">
        <v>241</v>
      </c>
      <c r="BN5123" s="2" t="s">
        <v>82</v>
      </c>
      <c r="BO5123" s="2"/>
      <c r="BP5123" s="2">
        <v>241</v>
      </c>
      <c r="BQ5123" s="2" t="s">
        <v>82</v>
      </c>
      <c r="BR5123" s="2"/>
      <c r="BS5123" s="3">
        <v>40527</v>
      </c>
      <c r="BT5123" s="4">
        <v>0.5866203703703704</v>
      </c>
    </row>
    <row r="5124" spans="1:72" x14ac:dyDescent="0.25">
      <c r="A5124" s="2">
        <v>7974</v>
      </c>
      <c r="B5124" s="2">
        <v>2010</v>
      </c>
      <c r="C5124" s="2" t="s">
        <v>171</v>
      </c>
      <c r="D5124" s="2" t="s">
        <v>73</v>
      </c>
      <c r="E5124" s="2"/>
      <c r="F5124" s="2">
        <v>294</v>
      </c>
      <c r="G5124" s="2" t="s">
        <v>14055</v>
      </c>
      <c r="H5124" s="2">
        <v>42</v>
      </c>
      <c r="I5124" s="2" t="s">
        <v>1096</v>
      </c>
      <c r="J5124" s="2">
        <v>607</v>
      </c>
      <c r="K5124" s="2" t="s">
        <v>14056</v>
      </c>
      <c r="L5124" s="2" t="s">
        <v>14057</v>
      </c>
      <c r="M5124" s="3">
        <v>40527</v>
      </c>
      <c r="N5124" s="2" t="s">
        <v>14124</v>
      </c>
      <c r="O5124" s="2" t="s">
        <v>15684</v>
      </c>
      <c r="P5124" s="2" t="s">
        <v>15685</v>
      </c>
      <c r="Q5124" s="2" t="str">
        <f>"0033/2010"</f>
        <v>0033/2010</v>
      </c>
      <c r="R5124" s="2" t="s">
        <v>15684</v>
      </c>
      <c r="S5124" s="2"/>
      <c r="T5124" s="2">
        <v>1</v>
      </c>
      <c r="U5124" s="2" t="s">
        <v>79</v>
      </c>
      <c r="V5124" s="2">
        <v>3</v>
      </c>
      <c r="W5124" s="2" t="s">
        <v>225</v>
      </c>
      <c r="X5124" s="2">
        <v>6</v>
      </c>
      <c r="Y5124" s="2" t="s">
        <v>249</v>
      </c>
      <c r="Z5124" s="2">
        <v>1</v>
      </c>
      <c r="AA5124" s="2" t="s">
        <v>82</v>
      </c>
      <c r="AB5124" s="2">
        <v>9</v>
      </c>
      <c r="AC5124" s="2" t="s">
        <v>124</v>
      </c>
      <c r="AD5124" s="3">
        <v>40527</v>
      </c>
      <c r="AE5124" s="4">
        <v>0.65972222222222221</v>
      </c>
      <c r="AF5124" s="3">
        <v>40522</v>
      </c>
      <c r="AG5124" s="4">
        <v>0.47569444444444442</v>
      </c>
      <c r="AH5124" s="2">
        <v>5</v>
      </c>
      <c r="AI5124" s="2" t="s">
        <v>274</v>
      </c>
      <c r="AJ5124" s="2">
        <v>35</v>
      </c>
      <c r="AK5124" s="2" t="s">
        <v>275</v>
      </c>
      <c r="AL5124" s="2">
        <v>19</v>
      </c>
      <c r="AM5124" s="2" t="s">
        <v>107</v>
      </c>
      <c r="AN5124" s="2"/>
      <c r="AO5124" s="2" t="s">
        <v>9199</v>
      </c>
      <c r="AP5124" s="2">
        <v>11</v>
      </c>
      <c r="AQ5124" s="2" t="s">
        <v>82</v>
      </c>
      <c r="AR5124" s="2"/>
      <c r="AS5124" s="2"/>
      <c r="AT5124" s="2" t="s">
        <v>15686</v>
      </c>
      <c r="AU5124" s="2"/>
      <c r="AV5124" s="2"/>
      <c r="AW5124" s="2"/>
      <c r="AX5124" s="2"/>
      <c r="AY5124" s="2">
        <v>41</v>
      </c>
      <c r="AZ5124" s="2" t="s">
        <v>82</v>
      </c>
      <c r="BA5124" s="2">
        <v>41</v>
      </c>
      <c r="BB5124" s="2" t="s">
        <v>82</v>
      </c>
      <c r="BC5124" s="2">
        <v>41</v>
      </c>
      <c r="BD5124" s="2" t="s">
        <v>82</v>
      </c>
      <c r="BE5124" s="2">
        <v>41</v>
      </c>
      <c r="BF5124" s="2" t="s">
        <v>82</v>
      </c>
      <c r="BG5124" s="2"/>
      <c r="BH5124" s="2"/>
      <c r="BI5124" s="2"/>
      <c r="BJ5124" s="2">
        <v>241</v>
      </c>
      <c r="BK5124" s="2" t="s">
        <v>82</v>
      </c>
      <c r="BL5124" s="2"/>
      <c r="BM5124" s="2">
        <v>241</v>
      </c>
      <c r="BN5124" s="2" t="s">
        <v>82</v>
      </c>
      <c r="BO5124" s="2"/>
      <c r="BP5124" s="2">
        <v>241</v>
      </c>
      <c r="BQ5124" s="2" t="s">
        <v>82</v>
      </c>
      <c r="BR5124" s="2"/>
      <c r="BS5124" s="3">
        <v>40527</v>
      </c>
      <c r="BT5124" s="4">
        <v>0.68951388888888887</v>
      </c>
    </row>
    <row r="5125" spans="1:72" x14ac:dyDescent="0.25">
      <c r="A5125" s="2">
        <v>7975</v>
      </c>
      <c r="B5125" s="2">
        <v>2010</v>
      </c>
      <c r="C5125" s="2" t="s">
        <v>171</v>
      </c>
      <c r="D5125" s="2" t="s">
        <v>73</v>
      </c>
      <c r="E5125" s="2"/>
      <c r="F5125" s="2">
        <v>114</v>
      </c>
      <c r="G5125" s="2" t="s">
        <v>2817</v>
      </c>
      <c r="H5125" s="2">
        <v>108</v>
      </c>
      <c r="I5125" s="2" t="s">
        <v>1096</v>
      </c>
      <c r="J5125" s="2">
        <v>133</v>
      </c>
      <c r="K5125" s="2" t="s">
        <v>3844</v>
      </c>
      <c r="L5125" s="2" t="s">
        <v>3845</v>
      </c>
      <c r="M5125" s="3">
        <v>40527</v>
      </c>
      <c r="N5125" s="2" t="s">
        <v>10818</v>
      </c>
      <c r="O5125" s="2" t="s">
        <v>15687</v>
      </c>
      <c r="P5125" s="2" t="s">
        <v>15688</v>
      </c>
      <c r="Q5125" s="2" t="str">
        <f>"0025/10"</f>
        <v>0025/10</v>
      </c>
      <c r="R5125" s="2" t="s">
        <v>15689</v>
      </c>
      <c r="S5125" s="2"/>
      <c r="T5125" s="2">
        <v>1</v>
      </c>
      <c r="U5125" s="2" t="s">
        <v>79</v>
      </c>
      <c r="V5125" s="2">
        <v>1</v>
      </c>
      <c r="W5125" s="2" t="s">
        <v>80</v>
      </c>
      <c r="X5125" s="2">
        <v>1</v>
      </c>
      <c r="Y5125" s="2" t="s">
        <v>81</v>
      </c>
      <c r="Z5125" s="2">
        <v>1</v>
      </c>
      <c r="AA5125" s="2" t="s">
        <v>82</v>
      </c>
      <c r="AB5125" s="2">
        <v>1</v>
      </c>
      <c r="AC5125" s="2" t="s">
        <v>178</v>
      </c>
      <c r="AD5125" s="3">
        <v>40527</v>
      </c>
      <c r="AE5125" s="4">
        <v>0.52430555555555558</v>
      </c>
      <c r="AF5125" s="3">
        <v>40527</v>
      </c>
      <c r="AG5125" s="4">
        <v>0.52430555555555558</v>
      </c>
      <c r="AH5125" s="2">
        <v>6</v>
      </c>
      <c r="AI5125" s="2" t="s">
        <v>197</v>
      </c>
      <c r="AJ5125" s="2">
        <v>54</v>
      </c>
      <c r="AK5125" s="2" t="s">
        <v>348</v>
      </c>
      <c r="AL5125" s="2">
        <v>14</v>
      </c>
      <c r="AM5125" s="2" t="s">
        <v>216</v>
      </c>
      <c r="AN5125" s="2" t="s">
        <v>12374</v>
      </c>
      <c r="AO5125" s="2" t="s">
        <v>3322</v>
      </c>
      <c r="AP5125" s="2">
        <v>12</v>
      </c>
      <c r="AQ5125" s="2" t="s">
        <v>322</v>
      </c>
      <c r="AR5125" s="2" t="s">
        <v>15690</v>
      </c>
      <c r="AS5125" s="2" t="s">
        <v>15691</v>
      </c>
      <c r="AT5125" s="2" t="s">
        <v>15692</v>
      </c>
      <c r="AU5125" s="2"/>
      <c r="AV5125" s="2"/>
      <c r="AW5125" s="2"/>
      <c r="AX5125" s="2"/>
      <c r="AY5125" s="2">
        <v>41</v>
      </c>
      <c r="AZ5125" s="2" t="s">
        <v>82</v>
      </c>
      <c r="BA5125" s="2">
        <v>41</v>
      </c>
      <c r="BB5125" s="2" t="s">
        <v>82</v>
      </c>
      <c r="BC5125" s="2">
        <v>51</v>
      </c>
      <c r="BD5125" s="2" t="s">
        <v>827</v>
      </c>
      <c r="BE5125" s="2">
        <v>47</v>
      </c>
      <c r="BF5125" s="2" t="s">
        <v>167</v>
      </c>
      <c r="BG5125" s="2">
        <v>2832</v>
      </c>
      <c r="BH5125" s="4">
        <v>0.46388888888888885</v>
      </c>
      <c r="BI5125" s="2"/>
      <c r="BJ5125" s="2">
        <v>13</v>
      </c>
      <c r="BK5125" s="2" t="s">
        <v>91</v>
      </c>
      <c r="BL5125" s="2" t="s">
        <v>15693</v>
      </c>
      <c r="BM5125" s="2">
        <v>13</v>
      </c>
      <c r="BN5125" s="2" t="s">
        <v>91</v>
      </c>
      <c r="BO5125" s="2"/>
      <c r="BP5125" s="2">
        <v>13</v>
      </c>
      <c r="BQ5125" s="2" t="s">
        <v>91</v>
      </c>
      <c r="BR5125" s="2" t="s">
        <v>15694</v>
      </c>
      <c r="BS5125" s="3">
        <v>40527</v>
      </c>
      <c r="BT5125" s="4">
        <v>0.70222222222222219</v>
      </c>
    </row>
    <row r="5126" spans="1:72" x14ac:dyDescent="0.25">
      <c r="A5126" s="2">
        <v>7979</v>
      </c>
      <c r="B5126" s="2">
        <v>2010</v>
      </c>
      <c r="C5126" s="2" t="s">
        <v>147</v>
      </c>
      <c r="D5126" s="2" t="s">
        <v>73</v>
      </c>
      <c r="E5126" s="2"/>
      <c r="F5126" s="2">
        <v>1</v>
      </c>
      <c r="G5126" s="2" t="s">
        <v>82</v>
      </c>
      <c r="H5126" s="2">
        <v>1</v>
      </c>
      <c r="I5126" s="2" t="s">
        <v>82</v>
      </c>
      <c r="J5126" s="2">
        <v>1</v>
      </c>
      <c r="K5126" s="2" t="s">
        <v>107</v>
      </c>
      <c r="L5126" s="2" t="s">
        <v>107</v>
      </c>
      <c r="M5126" s="3">
        <v>40527</v>
      </c>
      <c r="N5126" s="2" t="s">
        <v>82</v>
      </c>
      <c r="O5126" s="2" t="s">
        <v>82</v>
      </c>
      <c r="P5126" s="2" t="s">
        <v>82</v>
      </c>
      <c r="Q5126" s="2" t="str">
        <f>"AP 0070-10"</f>
        <v>AP 0070-10</v>
      </c>
      <c r="R5126" s="2" t="s">
        <v>15695</v>
      </c>
      <c r="S5126" s="2" t="s">
        <v>82</v>
      </c>
      <c r="T5126" s="2">
        <v>2</v>
      </c>
      <c r="U5126" s="2" t="s">
        <v>123</v>
      </c>
      <c r="V5126" s="2">
        <v>1</v>
      </c>
      <c r="W5126" s="2" t="s">
        <v>80</v>
      </c>
      <c r="X5126" s="2">
        <v>12</v>
      </c>
      <c r="Y5126" s="2" t="s">
        <v>148</v>
      </c>
      <c r="Z5126" s="2">
        <v>1</v>
      </c>
      <c r="AA5126" s="2" t="s">
        <v>82</v>
      </c>
      <c r="AB5126" s="2">
        <v>9</v>
      </c>
      <c r="AC5126" s="2" t="s">
        <v>124</v>
      </c>
      <c r="AD5126" s="2"/>
      <c r="AE5126" s="2"/>
      <c r="AF5126" s="3">
        <v>40527</v>
      </c>
      <c r="AG5126" s="4">
        <v>0.6875</v>
      </c>
      <c r="AH5126" s="2">
        <v>6</v>
      </c>
      <c r="AI5126" s="2" t="s">
        <v>197</v>
      </c>
      <c r="AJ5126" s="2">
        <v>61</v>
      </c>
      <c r="AK5126" s="2" t="s">
        <v>686</v>
      </c>
      <c r="AL5126" s="2">
        <v>19</v>
      </c>
      <c r="AM5126" s="2" t="s">
        <v>107</v>
      </c>
      <c r="AN5126" s="2" t="s">
        <v>82</v>
      </c>
      <c r="AO5126" s="2" t="s">
        <v>82</v>
      </c>
      <c r="AP5126" s="2">
        <v>11</v>
      </c>
      <c r="AQ5126" s="2" t="s">
        <v>82</v>
      </c>
      <c r="AR5126" s="2" t="s">
        <v>82</v>
      </c>
      <c r="AS5126" s="2" t="s">
        <v>82</v>
      </c>
      <c r="AT5126" s="2" t="s">
        <v>15696</v>
      </c>
      <c r="AU5126" s="2"/>
      <c r="AV5126" s="2"/>
      <c r="AW5126" s="2"/>
      <c r="AX5126" s="2"/>
      <c r="AY5126" s="2">
        <v>41</v>
      </c>
      <c r="AZ5126" s="2" t="s">
        <v>82</v>
      </c>
      <c r="BA5126" s="2">
        <v>41</v>
      </c>
      <c r="BB5126" s="2" t="s">
        <v>82</v>
      </c>
      <c r="BC5126" s="2">
        <v>41</v>
      </c>
      <c r="BD5126" s="2" t="s">
        <v>82</v>
      </c>
      <c r="BE5126" s="2">
        <v>41</v>
      </c>
      <c r="BF5126" s="2" t="s">
        <v>82</v>
      </c>
      <c r="BG5126" s="2" t="s">
        <v>82</v>
      </c>
      <c r="BH5126" s="2"/>
      <c r="BI5126" s="2"/>
      <c r="BJ5126" s="2">
        <v>241</v>
      </c>
      <c r="BK5126" s="2" t="s">
        <v>82</v>
      </c>
      <c r="BL5126" s="2" t="s">
        <v>82</v>
      </c>
      <c r="BM5126" s="2">
        <v>241</v>
      </c>
      <c r="BN5126" s="2" t="s">
        <v>82</v>
      </c>
      <c r="BO5126" s="2"/>
      <c r="BP5126" s="2">
        <v>241</v>
      </c>
      <c r="BQ5126" s="2" t="s">
        <v>82</v>
      </c>
      <c r="BR5126" s="2" t="s">
        <v>82</v>
      </c>
      <c r="BS5126" s="3">
        <v>40527</v>
      </c>
      <c r="BT5126" s="4">
        <v>0.71759259259259256</v>
      </c>
    </row>
    <row r="5127" spans="1:72" x14ac:dyDescent="0.25">
      <c r="A5127" s="2">
        <v>7983</v>
      </c>
      <c r="B5127" s="2">
        <v>2010</v>
      </c>
      <c r="C5127" s="2" t="s">
        <v>171</v>
      </c>
      <c r="D5127" s="2" t="s">
        <v>73</v>
      </c>
      <c r="E5127" s="2"/>
      <c r="F5127" s="2">
        <v>114</v>
      </c>
      <c r="G5127" s="2" t="s">
        <v>2817</v>
      </c>
      <c r="H5127" s="2">
        <v>22</v>
      </c>
      <c r="I5127" s="2" t="s">
        <v>75</v>
      </c>
      <c r="J5127" s="2">
        <v>133</v>
      </c>
      <c r="K5127" s="2" t="s">
        <v>3844</v>
      </c>
      <c r="L5127" s="2" t="s">
        <v>3845</v>
      </c>
      <c r="M5127" s="3">
        <v>40527</v>
      </c>
      <c r="N5127" s="2" t="s">
        <v>6277</v>
      </c>
      <c r="O5127" s="2" t="s">
        <v>15697</v>
      </c>
      <c r="P5127" s="2" t="s">
        <v>15688</v>
      </c>
      <c r="Q5127" s="2" t="str">
        <f>""</f>
        <v/>
      </c>
      <c r="R5127" s="2"/>
      <c r="S5127" s="2"/>
      <c r="T5127" s="2">
        <v>1</v>
      </c>
      <c r="U5127" s="2" t="s">
        <v>79</v>
      </c>
      <c r="V5127" s="2">
        <v>3</v>
      </c>
      <c r="W5127" s="2" t="s">
        <v>225</v>
      </c>
      <c r="X5127" s="2">
        <v>2</v>
      </c>
      <c r="Y5127" s="2" t="s">
        <v>136</v>
      </c>
      <c r="Z5127" s="2">
        <v>7</v>
      </c>
      <c r="AA5127" s="2" t="s">
        <v>1462</v>
      </c>
      <c r="AB5127" s="2">
        <v>9</v>
      </c>
      <c r="AC5127" s="2" t="s">
        <v>124</v>
      </c>
      <c r="AD5127" s="3">
        <v>40527</v>
      </c>
      <c r="AE5127" s="4">
        <v>0.72916666666666663</v>
      </c>
      <c r="AF5127" s="3">
        <v>40527</v>
      </c>
      <c r="AG5127" s="2"/>
      <c r="AH5127" s="2">
        <v>6</v>
      </c>
      <c r="AI5127" s="2" t="s">
        <v>197</v>
      </c>
      <c r="AJ5127" s="2">
        <v>47</v>
      </c>
      <c r="AK5127" s="2" t="s">
        <v>250</v>
      </c>
      <c r="AL5127" s="2">
        <v>12</v>
      </c>
      <c r="AM5127" s="2" t="s">
        <v>86</v>
      </c>
      <c r="AN5127" s="2"/>
      <c r="AO5127" s="2"/>
      <c r="AP5127" s="2">
        <v>11</v>
      </c>
      <c r="AQ5127" s="2" t="s">
        <v>82</v>
      </c>
      <c r="AR5127" s="2"/>
      <c r="AS5127" s="2"/>
      <c r="AT5127" s="2" t="s">
        <v>15698</v>
      </c>
      <c r="AU5127" s="2"/>
      <c r="AV5127" s="2"/>
      <c r="AW5127" s="2"/>
      <c r="AX5127" s="2"/>
      <c r="AY5127" s="2">
        <v>41</v>
      </c>
      <c r="AZ5127" s="2" t="s">
        <v>82</v>
      </c>
      <c r="BA5127" s="2">
        <v>41</v>
      </c>
      <c r="BB5127" s="2" t="s">
        <v>82</v>
      </c>
      <c r="BC5127" s="2">
        <v>41</v>
      </c>
      <c r="BD5127" s="2" t="s">
        <v>82</v>
      </c>
      <c r="BE5127" s="2">
        <v>41</v>
      </c>
      <c r="BF5127" s="2" t="s">
        <v>82</v>
      </c>
      <c r="BG5127" s="2"/>
      <c r="BH5127" s="2"/>
      <c r="BI5127" s="2"/>
      <c r="BJ5127" s="2">
        <v>241</v>
      </c>
      <c r="BK5127" s="2" t="s">
        <v>82</v>
      </c>
      <c r="BL5127" s="2"/>
      <c r="BM5127" s="2">
        <v>241</v>
      </c>
      <c r="BN5127" s="2" t="s">
        <v>82</v>
      </c>
      <c r="BO5127" s="2"/>
      <c r="BP5127" s="2">
        <v>241</v>
      </c>
      <c r="BQ5127" s="2" t="s">
        <v>82</v>
      </c>
      <c r="BR5127" s="2"/>
      <c r="BS5127" s="3">
        <v>40527</v>
      </c>
      <c r="BT5127" s="4">
        <v>0.76849537037037041</v>
      </c>
    </row>
    <row r="5128" spans="1:72" x14ac:dyDescent="0.25">
      <c r="A5128" s="2">
        <v>7984</v>
      </c>
      <c r="B5128" s="2">
        <v>2010</v>
      </c>
      <c r="C5128" s="2" t="s">
        <v>93</v>
      </c>
      <c r="D5128" s="2" t="s">
        <v>122</v>
      </c>
      <c r="E5128" s="2"/>
      <c r="F5128" s="2">
        <v>151</v>
      </c>
      <c r="G5128" s="2" t="s">
        <v>314</v>
      </c>
      <c r="H5128" s="2">
        <v>3</v>
      </c>
      <c r="I5128" s="2" t="s">
        <v>315</v>
      </c>
      <c r="J5128" s="2">
        <v>163</v>
      </c>
      <c r="K5128" s="2" t="s">
        <v>316</v>
      </c>
      <c r="L5128" s="2" t="s">
        <v>317</v>
      </c>
      <c r="M5128" s="3">
        <v>40527</v>
      </c>
      <c r="N5128" s="2" t="s">
        <v>15699</v>
      </c>
      <c r="O5128" s="2" t="s">
        <v>15700</v>
      </c>
      <c r="P5128" s="2" t="s">
        <v>15701</v>
      </c>
      <c r="Q5128" s="2" t="str">
        <f>"N/C"</f>
        <v>N/C</v>
      </c>
      <c r="R5128" s="2"/>
      <c r="S5128" s="2" t="s">
        <v>100</v>
      </c>
      <c r="T5128" s="2">
        <v>1</v>
      </c>
      <c r="U5128" s="2" t="s">
        <v>79</v>
      </c>
      <c r="V5128" s="2">
        <v>1</v>
      </c>
      <c r="W5128" s="2" t="s">
        <v>80</v>
      </c>
      <c r="X5128" s="2">
        <v>10</v>
      </c>
      <c r="Y5128" s="2" t="s">
        <v>226</v>
      </c>
      <c r="Z5128" s="2">
        <v>6</v>
      </c>
      <c r="AA5128" s="2" t="s">
        <v>101</v>
      </c>
      <c r="AB5128" s="2">
        <v>2</v>
      </c>
      <c r="AC5128" s="2" t="s">
        <v>102</v>
      </c>
      <c r="AD5128" s="3">
        <v>40527</v>
      </c>
      <c r="AE5128" s="4">
        <v>0.34722222222222227</v>
      </c>
      <c r="AF5128" s="3">
        <v>40527</v>
      </c>
      <c r="AG5128" s="4">
        <v>0.375</v>
      </c>
      <c r="AH5128" s="2">
        <v>2</v>
      </c>
      <c r="AI5128" s="2" t="s">
        <v>84</v>
      </c>
      <c r="AJ5128" s="2">
        <v>9</v>
      </c>
      <c r="AK5128" s="2" t="s">
        <v>103</v>
      </c>
      <c r="AL5128" s="2">
        <v>25</v>
      </c>
      <c r="AM5128" s="2" t="s">
        <v>3073</v>
      </c>
      <c r="AN5128" s="2"/>
      <c r="AO5128" s="2" t="s">
        <v>15702</v>
      </c>
      <c r="AP5128" s="2">
        <v>11</v>
      </c>
      <c r="AQ5128" s="2" t="s">
        <v>82</v>
      </c>
      <c r="AR5128" s="2"/>
      <c r="AS5128" s="2"/>
      <c r="AT5128" s="2" t="s">
        <v>15703</v>
      </c>
      <c r="AU5128" s="2"/>
      <c r="AV5128" s="2"/>
      <c r="AW5128" s="2"/>
      <c r="AX5128" s="2"/>
      <c r="AY5128" s="2">
        <v>41</v>
      </c>
      <c r="AZ5128" s="2" t="s">
        <v>82</v>
      </c>
      <c r="BA5128" s="2">
        <v>41</v>
      </c>
      <c r="BB5128" s="2" t="s">
        <v>82</v>
      </c>
      <c r="BC5128" s="2">
        <v>41</v>
      </c>
      <c r="BD5128" s="2" t="s">
        <v>82</v>
      </c>
      <c r="BE5128" s="2">
        <v>13</v>
      </c>
      <c r="BF5128" s="2" t="s">
        <v>108</v>
      </c>
      <c r="BG5128" s="2" t="s">
        <v>5262</v>
      </c>
      <c r="BH5128" s="4">
        <v>0.26527777777777778</v>
      </c>
      <c r="BI5128" s="2"/>
      <c r="BJ5128" s="2">
        <v>73</v>
      </c>
      <c r="BK5128" s="2" t="s">
        <v>186</v>
      </c>
      <c r="BL5128" s="2" t="s">
        <v>187</v>
      </c>
      <c r="BM5128" s="2">
        <v>13</v>
      </c>
      <c r="BN5128" s="2" t="s">
        <v>91</v>
      </c>
      <c r="BO5128" s="2"/>
      <c r="BP5128" s="2">
        <v>13</v>
      </c>
      <c r="BQ5128" s="2" t="s">
        <v>91</v>
      </c>
      <c r="BR5128" s="2" t="s">
        <v>185</v>
      </c>
      <c r="BS5128" s="3">
        <v>40527</v>
      </c>
      <c r="BT5128" s="4">
        <v>0.77802083333333327</v>
      </c>
    </row>
    <row r="5129" spans="1:72" x14ac:dyDescent="0.25">
      <c r="A5129" s="2">
        <v>7985</v>
      </c>
      <c r="B5129" s="2">
        <v>2010</v>
      </c>
      <c r="C5129" s="2" t="s">
        <v>93</v>
      </c>
      <c r="D5129" s="2" t="s">
        <v>122</v>
      </c>
      <c r="E5129" s="2"/>
      <c r="F5129" s="2">
        <v>746</v>
      </c>
      <c r="G5129" s="2" t="s">
        <v>15704</v>
      </c>
      <c r="H5129" s="2">
        <v>136</v>
      </c>
      <c r="I5129" s="2" t="s">
        <v>11396</v>
      </c>
      <c r="J5129" s="2">
        <v>678</v>
      </c>
      <c r="K5129" s="2" t="s">
        <v>13114</v>
      </c>
      <c r="L5129" s="2" t="s">
        <v>13115</v>
      </c>
      <c r="M5129" s="3">
        <v>40527</v>
      </c>
      <c r="N5129" s="2"/>
      <c r="O5129" s="2" t="s">
        <v>15705</v>
      </c>
      <c r="P5129" s="2">
        <v>30718</v>
      </c>
      <c r="Q5129" s="2" t="str">
        <f>"N/C"</f>
        <v>N/C</v>
      </c>
      <c r="R5129" s="2" t="s">
        <v>15706</v>
      </c>
      <c r="S5129" s="2" t="s">
        <v>100</v>
      </c>
      <c r="T5129" s="2">
        <v>1</v>
      </c>
      <c r="U5129" s="2" t="s">
        <v>79</v>
      </c>
      <c r="V5129" s="2">
        <v>1</v>
      </c>
      <c r="W5129" s="2" t="s">
        <v>80</v>
      </c>
      <c r="X5129" s="2">
        <v>10</v>
      </c>
      <c r="Y5129" s="2" t="s">
        <v>226</v>
      </c>
      <c r="Z5129" s="2">
        <v>6</v>
      </c>
      <c r="AA5129" s="2" t="s">
        <v>101</v>
      </c>
      <c r="AB5129" s="2">
        <v>2</v>
      </c>
      <c r="AC5129" s="2" t="s">
        <v>102</v>
      </c>
      <c r="AD5129" s="3">
        <v>40527</v>
      </c>
      <c r="AE5129" s="4">
        <v>0.45833333333333331</v>
      </c>
      <c r="AF5129" s="3">
        <v>40527</v>
      </c>
      <c r="AG5129" s="4">
        <v>0.58333333333333337</v>
      </c>
      <c r="AH5129" s="2">
        <v>2</v>
      </c>
      <c r="AI5129" s="2" t="s">
        <v>84</v>
      </c>
      <c r="AJ5129" s="2">
        <v>9</v>
      </c>
      <c r="AK5129" s="2" t="s">
        <v>103</v>
      </c>
      <c r="AL5129" s="2">
        <v>25</v>
      </c>
      <c r="AM5129" s="2" t="s">
        <v>3073</v>
      </c>
      <c r="AN5129" s="2"/>
      <c r="AO5129" s="2" t="s">
        <v>15702</v>
      </c>
      <c r="AP5129" s="2">
        <v>11</v>
      </c>
      <c r="AQ5129" s="2" t="s">
        <v>82</v>
      </c>
      <c r="AR5129" s="2"/>
      <c r="AS5129" s="2"/>
      <c r="AT5129" s="2" t="s">
        <v>15707</v>
      </c>
      <c r="AU5129" s="2"/>
      <c r="AV5129" s="2"/>
      <c r="AW5129" s="2"/>
      <c r="AX5129" s="2"/>
      <c r="AY5129" s="2">
        <v>41</v>
      </c>
      <c r="AZ5129" s="2" t="s">
        <v>82</v>
      </c>
      <c r="BA5129" s="2">
        <v>41</v>
      </c>
      <c r="BB5129" s="2" t="s">
        <v>82</v>
      </c>
      <c r="BC5129" s="2">
        <v>41</v>
      </c>
      <c r="BD5129" s="2" t="s">
        <v>82</v>
      </c>
      <c r="BE5129" s="2">
        <v>23</v>
      </c>
      <c r="BF5129" s="2" t="s">
        <v>183</v>
      </c>
      <c r="BG5129" s="2" t="s">
        <v>11357</v>
      </c>
      <c r="BH5129" s="4">
        <v>0.40972222222222227</v>
      </c>
      <c r="BI5129" s="2"/>
      <c r="BJ5129" s="2">
        <v>73</v>
      </c>
      <c r="BK5129" s="2" t="s">
        <v>186</v>
      </c>
      <c r="BL5129" s="2" t="s">
        <v>187</v>
      </c>
      <c r="BM5129" s="2">
        <v>13</v>
      </c>
      <c r="BN5129" s="2" t="s">
        <v>91</v>
      </c>
      <c r="BO5129" s="2"/>
      <c r="BP5129" s="2">
        <v>13</v>
      </c>
      <c r="BQ5129" s="2" t="s">
        <v>91</v>
      </c>
      <c r="BR5129" s="2" t="s">
        <v>185</v>
      </c>
      <c r="BS5129" s="3">
        <v>40527</v>
      </c>
      <c r="BT5129" s="4">
        <v>0.79557870370370365</v>
      </c>
    </row>
    <row r="5130" spans="1:72" x14ac:dyDescent="0.25">
      <c r="A5130" s="2">
        <v>7986</v>
      </c>
      <c r="B5130" s="2">
        <v>2010</v>
      </c>
      <c r="C5130" s="2" t="s">
        <v>93</v>
      </c>
      <c r="D5130" s="2" t="s">
        <v>122</v>
      </c>
      <c r="E5130" s="2"/>
      <c r="F5130" s="2">
        <v>482</v>
      </c>
      <c r="G5130" s="2" t="s">
        <v>1457</v>
      </c>
      <c r="H5130" s="2">
        <v>14</v>
      </c>
      <c r="I5130" s="2" t="s">
        <v>1458</v>
      </c>
      <c r="J5130" s="2">
        <v>747</v>
      </c>
      <c r="K5130" s="2" t="s">
        <v>15708</v>
      </c>
      <c r="L5130" s="2" t="s">
        <v>15709</v>
      </c>
      <c r="M5130" s="3">
        <v>40527</v>
      </c>
      <c r="N5130" s="2" t="s">
        <v>15710</v>
      </c>
      <c r="O5130" s="2" t="s">
        <v>15711</v>
      </c>
      <c r="P5130" s="2" t="s">
        <v>15712</v>
      </c>
      <c r="Q5130" s="2" t="str">
        <f>"N/C"</f>
        <v>N/C</v>
      </c>
      <c r="R5130" s="2" t="s">
        <v>15713</v>
      </c>
      <c r="S5130" s="2" t="s">
        <v>100</v>
      </c>
      <c r="T5130" s="2">
        <v>1</v>
      </c>
      <c r="U5130" s="2" t="s">
        <v>79</v>
      </c>
      <c r="V5130" s="2">
        <v>1</v>
      </c>
      <c r="W5130" s="2" t="s">
        <v>80</v>
      </c>
      <c r="X5130" s="2">
        <v>10</v>
      </c>
      <c r="Y5130" s="2" t="s">
        <v>226</v>
      </c>
      <c r="Z5130" s="2">
        <v>6</v>
      </c>
      <c r="AA5130" s="2" t="s">
        <v>101</v>
      </c>
      <c r="AB5130" s="2">
        <v>2</v>
      </c>
      <c r="AC5130" s="2" t="s">
        <v>102</v>
      </c>
      <c r="AD5130" s="3">
        <v>40527</v>
      </c>
      <c r="AE5130" s="4">
        <v>0.41666666666666669</v>
      </c>
      <c r="AF5130" s="3">
        <v>40527</v>
      </c>
      <c r="AG5130" s="4">
        <v>0.4375</v>
      </c>
      <c r="AH5130" s="2">
        <v>2</v>
      </c>
      <c r="AI5130" s="2" t="s">
        <v>84</v>
      </c>
      <c r="AJ5130" s="2">
        <v>9</v>
      </c>
      <c r="AK5130" s="2" t="s">
        <v>103</v>
      </c>
      <c r="AL5130" s="2">
        <v>25</v>
      </c>
      <c r="AM5130" s="2" t="s">
        <v>3073</v>
      </c>
      <c r="AN5130" s="2"/>
      <c r="AO5130" s="2" t="s">
        <v>15702</v>
      </c>
      <c r="AP5130" s="2">
        <v>11</v>
      </c>
      <c r="AQ5130" s="2" t="s">
        <v>82</v>
      </c>
      <c r="AR5130" s="2"/>
      <c r="AS5130" s="2"/>
      <c r="AT5130" s="2" t="s">
        <v>15714</v>
      </c>
      <c r="AU5130" s="2"/>
      <c r="AV5130" s="2"/>
      <c r="AW5130" s="2"/>
      <c r="AX5130" s="2"/>
      <c r="AY5130" s="2">
        <v>41</v>
      </c>
      <c r="AZ5130" s="2" t="s">
        <v>82</v>
      </c>
      <c r="BA5130" s="2">
        <v>41</v>
      </c>
      <c r="BB5130" s="2" t="s">
        <v>82</v>
      </c>
      <c r="BC5130" s="2">
        <v>41</v>
      </c>
      <c r="BD5130" s="2" t="s">
        <v>82</v>
      </c>
      <c r="BE5130" s="2">
        <v>27</v>
      </c>
      <c r="BF5130" s="2" t="s">
        <v>2197</v>
      </c>
      <c r="BG5130" s="2" t="s">
        <v>15715</v>
      </c>
      <c r="BH5130" s="4">
        <v>0.34375</v>
      </c>
      <c r="BI5130" s="2"/>
      <c r="BJ5130" s="2">
        <v>112</v>
      </c>
      <c r="BK5130" s="2" t="s">
        <v>110</v>
      </c>
      <c r="BL5130" s="2" t="s">
        <v>111</v>
      </c>
      <c r="BM5130" s="2">
        <v>13</v>
      </c>
      <c r="BN5130" s="2" t="s">
        <v>91</v>
      </c>
      <c r="BO5130" s="2"/>
      <c r="BP5130" s="2">
        <v>13</v>
      </c>
      <c r="BQ5130" s="2" t="s">
        <v>91</v>
      </c>
      <c r="BR5130" s="2" t="s">
        <v>185</v>
      </c>
      <c r="BS5130" s="3">
        <v>40527</v>
      </c>
      <c r="BT5130" s="4">
        <v>0.80790509259259258</v>
      </c>
    </row>
    <row r="5131" spans="1:72" x14ac:dyDescent="0.25">
      <c r="A5131" s="2">
        <v>7987</v>
      </c>
      <c r="B5131" s="2">
        <v>2010</v>
      </c>
      <c r="C5131" s="2" t="s">
        <v>196</v>
      </c>
      <c r="D5131" s="2" t="s">
        <v>122</v>
      </c>
      <c r="E5131" s="2"/>
      <c r="F5131" s="2">
        <v>1</v>
      </c>
      <c r="G5131" s="2" t="s">
        <v>82</v>
      </c>
      <c r="H5131" s="2">
        <v>1</v>
      </c>
      <c r="I5131" s="2" t="s">
        <v>82</v>
      </c>
      <c r="J5131" s="2">
        <v>1</v>
      </c>
      <c r="K5131" s="2" t="s">
        <v>107</v>
      </c>
      <c r="L5131" s="2" t="s">
        <v>107</v>
      </c>
      <c r="M5131" s="3">
        <v>40527</v>
      </c>
      <c r="N5131" s="2"/>
      <c r="O5131" s="2"/>
      <c r="P5131" s="2"/>
      <c r="Q5131" s="2" t="str">
        <f>""</f>
        <v/>
      </c>
      <c r="R5131" s="2"/>
      <c r="S5131" s="2"/>
      <c r="T5131" s="2">
        <v>2</v>
      </c>
      <c r="U5131" s="2" t="s">
        <v>123</v>
      </c>
      <c r="V5131" s="2">
        <v>1</v>
      </c>
      <c r="W5131" s="2" t="s">
        <v>80</v>
      </c>
      <c r="X5131" s="2">
        <v>11</v>
      </c>
      <c r="Y5131" s="2" t="s">
        <v>1920</v>
      </c>
      <c r="Z5131" s="2">
        <v>1</v>
      </c>
      <c r="AA5131" s="2" t="s">
        <v>82</v>
      </c>
      <c r="AB5131" s="2">
        <v>9</v>
      </c>
      <c r="AC5131" s="2" t="s">
        <v>124</v>
      </c>
      <c r="AD5131" s="3">
        <v>40527</v>
      </c>
      <c r="AE5131" s="4">
        <v>0.80555555555555547</v>
      </c>
      <c r="AF5131" s="3">
        <v>40527</v>
      </c>
      <c r="AG5131" s="2"/>
      <c r="AH5131" s="2">
        <v>2</v>
      </c>
      <c r="AI5131" s="2" t="s">
        <v>84</v>
      </c>
      <c r="AJ5131" s="2">
        <v>12</v>
      </c>
      <c r="AK5131" s="2" t="s">
        <v>85</v>
      </c>
      <c r="AL5131" s="2">
        <v>19</v>
      </c>
      <c r="AM5131" s="2" t="s">
        <v>107</v>
      </c>
      <c r="AN5131" s="2"/>
      <c r="AO5131" s="2" t="s">
        <v>992</v>
      </c>
      <c r="AP5131" s="2">
        <v>11</v>
      </c>
      <c r="AQ5131" s="2" t="s">
        <v>82</v>
      </c>
      <c r="AR5131" s="2"/>
      <c r="AS5131" s="2"/>
      <c r="AT5131" s="2" t="s">
        <v>15716</v>
      </c>
      <c r="AU5131" s="2"/>
      <c r="AV5131" s="2"/>
      <c r="AW5131" s="2"/>
      <c r="AX5131" s="2"/>
      <c r="AY5131" s="2">
        <v>41</v>
      </c>
      <c r="AZ5131" s="2" t="s">
        <v>82</v>
      </c>
      <c r="BA5131" s="2">
        <v>41</v>
      </c>
      <c r="BB5131" s="2" t="s">
        <v>82</v>
      </c>
      <c r="BC5131" s="2">
        <v>41</v>
      </c>
      <c r="BD5131" s="2" t="s">
        <v>82</v>
      </c>
      <c r="BE5131" s="2">
        <v>41</v>
      </c>
      <c r="BF5131" s="2" t="s">
        <v>82</v>
      </c>
      <c r="BG5131" s="2"/>
      <c r="BH5131" s="2"/>
      <c r="BI5131" s="2"/>
      <c r="BJ5131" s="2">
        <v>13</v>
      </c>
      <c r="BK5131" s="2" t="s">
        <v>91</v>
      </c>
      <c r="BL5131" s="2" t="s">
        <v>185</v>
      </c>
      <c r="BM5131" s="2">
        <v>241</v>
      </c>
      <c r="BN5131" s="2" t="s">
        <v>82</v>
      </c>
      <c r="BO5131" s="2"/>
      <c r="BP5131" s="2">
        <v>13</v>
      </c>
      <c r="BQ5131" s="2" t="s">
        <v>91</v>
      </c>
      <c r="BR5131" s="2" t="s">
        <v>647</v>
      </c>
      <c r="BS5131" s="3">
        <v>40527</v>
      </c>
      <c r="BT5131" s="4">
        <v>0.81707175925925923</v>
      </c>
    </row>
    <row r="5132" spans="1:72" x14ac:dyDescent="0.25">
      <c r="A5132" s="2">
        <v>7988</v>
      </c>
      <c r="B5132" s="2">
        <v>2010</v>
      </c>
      <c r="C5132" s="2" t="s">
        <v>93</v>
      </c>
      <c r="D5132" s="2" t="s">
        <v>122</v>
      </c>
      <c r="E5132" s="2"/>
      <c r="F5132" s="2">
        <v>221</v>
      </c>
      <c r="G5132" s="2" t="s">
        <v>8422</v>
      </c>
      <c r="H5132" s="2">
        <v>158</v>
      </c>
      <c r="I5132" s="2" t="s">
        <v>15717</v>
      </c>
      <c r="J5132" s="2">
        <v>749</v>
      </c>
      <c r="K5132" s="2" t="s">
        <v>15718</v>
      </c>
      <c r="L5132" s="2" t="s">
        <v>4149</v>
      </c>
      <c r="M5132" s="3">
        <v>40527</v>
      </c>
      <c r="N5132" s="2" t="s">
        <v>15719</v>
      </c>
      <c r="O5132" s="2" t="s">
        <v>15720</v>
      </c>
      <c r="P5132" s="2">
        <v>71827</v>
      </c>
      <c r="Q5132" s="2" t="str">
        <f>"N/C"</f>
        <v>N/C</v>
      </c>
      <c r="R5132" s="2"/>
      <c r="S5132" s="2" t="s">
        <v>100</v>
      </c>
      <c r="T5132" s="2">
        <v>1</v>
      </c>
      <c r="U5132" s="2" t="s">
        <v>79</v>
      </c>
      <c r="V5132" s="2">
        <v>1</v>
      </c>
      <c r="W5132" s="2" t="s">
        <v>80</v>
      </c>
      <c r="X5132" s="2">
        <v>10</v>
      </c>
      <c r="Y5132" s="2" t="s">
        <v>226</v>
      </c>
      <c r="Z5132" s="2">
        <v>6</v>
      </c>
      <c r="AA5132" s="2" t="s">
        <v>101</v>
      </c>
      <c r="AB5132" s="2">
        <v>2</v>
      </c>
      <c r="AC5132" s="2" t="s">
        <v>102</v>
      </c>
      <c r="AD5132" s="3">
        <v>40527</v>
      </c>
      <c r="AE5132" s="4">
        <v>0.45833333333333331</v>
      </c>
      <c r="AF5132" s="3">
        <v>40527</v>
      </c>
      <c r="AG5132" s="4">
        <v>0.66666666666666663</v>
      </c>
      <c r="AH5132" s="2">
        <v>2</v>
      </c>
      <c r="AI5132" s="2" t="s">
        <v>84</v>
      </c>
      <c r="AJ5132" s="2">
        <v>9</v>
      </c>
      <c r="AK5132" s="2" t="s">
        <v>103</v>
      </c>
      <c r="AL5132" s="2">
        <v>25</v>
      </c>
      <c r="AM5132" s="2" t="s">
        <v>3073</v>
      </c>
      <c r="AN5132" s="2"/>
      <c r="AO5132" s="2" t="s">
        <v>15702</v>
      </c>
      <c r="AP5132" s="2">
        <v>11</v>
      </c>
      <c r="AQ5132" s="2" t="s">
        <v>82</v>
      </c>
      <c r="AR5132" s="2"/>
      <c r="AS5132" s="2"/>
      <c r="AT5132" s="2" t="s">
        <v>15721</v>
      </c>
      <c r="AU5132" s="2"/>
      <c r="AV5132" s="2"/>
      <c r="AW5132" s="2"/>
      <c r="AX5132" s="2"/>
      <c r="AY5132" s="2">
        <v>41</v>
      </c>
      <c r="AZ5132" s="2" t="s">
        <v>82</v>
      </c>
      <c r="BA5132" s="2">
        <v>41</v>
      </c>
      <c r="BB5132" s="2" t="s">
        <v>82</v>
      </c>
      <c r="BC5132" s="2">
        <v>41</v>
      </c>
      <c r="BD5132" s="2" t="s">
        <v>82</v>
      </c>
      <c r="BE5132" s="2">
        <v>17</v>
      </c>
      <c r="BF5132" s="2" t="s">
        <v>508</v>
      </c>
      <c r="BG5132" s="2" t="s">
        <v>15722</v>
      </c>
      <c r="BH5132" s="4">
        <v>0.41666666666666669</v>
      </c>
      <c r="BI5132" s="2"/>
      <c r="BJ5132" s="2">
        <v>75</v>
      </c>
      <c r="BK5132" s="2" t="s">
        <v>1264</v>
      </c>
      <c r="BL5132" s="2" t="s">
        <v>1361</v>
      </c>
      <c r="BM5132" s="2">
        <v>13</v>
      </c>
      <c r="BN5132" s="2" t="s">
        <v>91</v>
      </c>
      <c r="BO5132" s="2"/>
      <c r="BP5132" s="2">
        <v>13</v>
      </c>
      <c r="BQ5132" s="2" t="s">
        <v>91</v>
      </c>
      <c r="BR5132" s="2" t="s">
        <v>185</v>
      </c>
      <c r="BS5132" s="3">
        <v>40527</v>
      </c>
      <c r="BT5132" s="4">
        <v>0.82005787037037037</v>
      </c>
    </row>
    <row r="5133" spans="1:72" x14ac:dyDescent="0.25">
      <c r="A5133" s="2">
        <v>7989</v>
      </c>
      <c r="B5133" s="2">
        <v>2010</v>
      </c>
      <c r="C5133" s="2" t="s">
        <v>171</v>
      </c>
      <c r="D5133" s="2" t="s">
        <v>73</v>
      </c>
      <c r="E5133" s="2"/>
      <c r="F5133" s="2">
        <v>114</v>
      </c>
      <c r="G5133" s="2" t="s">
        <v>2817</v>
      </c>
      <c r="H5133" s="2">
        <v>22</v>
      </c>
      <c r="I5133" s="2" t="s">
        <v>75</v>
      </c>
      <c r="J5133" s="2">
        <v>133</v>
      </c>
      <c r="K5133" s="2" t="s">
        <v>3844</v>
      </c>
      <c r="L5133" s="2" t="s">
        <v>3845</v>
      </c>
      <c r="M5133" s="3">
        <v>40527</v>
      </c>
      <c r="N5133" s="2" t="s">
        <v>6277</v>
      </c>
      <c r="O5133" s="2" t="s">
        <v>15723</v>
      </c>
      <c r="P5133" s="2" t="s">
        <v>15688</v>
      </c>
      <c r="Q5133" s="2" t="str">
        <f>""</f>
        <v/>
      </c>
      <c r="R5133" s="2"/>
      <c r="S5133" s="2"/>
      <c r="T5133" s="2">
        <v>1</v>
      </c>
      <c r="U5133" s="2" t="s">
        <v>79</v>
      </c>
      <c r="V5133" s="2">
        <v>3</v>
      </c>
      <c r="W5133" s="2" t="s">
        <v>225</v>
      </c>
      <c r="X5133" s="2">
        <v>5</v>
      </c>
      <c r="Y5133" s="2" t="s">
        <v>82</v>
      </c>
      <c r="Z5133" s="2">
        <v>1</v>
      </c>
      <c r="AA5133" s="2" t="s">
        <v>82</v>
      </c>
      <c r="AB5133" s="2">
        <v>9</v>
      </c>
      <c r="AC5133" s="2" t="s">
        <v>124</v>
      </c>
      <c r="AD5133" s="3">
        <v>40527</v>
      </c>
      <c r="AE5133" s="4">
        <v>0.82638888888888884</v>
      </c>
      <c r="AF5133" s="3">
        <v>40527</v>
      </c>
      <c r="AG5133" s="2"/>
      <c r="AH5133" s="2">
        <v>6</v>
      </c>
      <c r="AI5133" s="2" t="s">
        <v>197</v>
      </c>
      <c r="AJ5133" s="2">
        <v>47</v>
      </c>
      <c r="AK5133" s="2" t="s">
        <v>250</v>
      </c>
      <c r="AL5133" s="2">
        <v>23</v>
      </c>
      <c r="AM5133" s="2" t="s">
        <v>251</v>
      </c>
      <c r="AN5133" s="2"/>
      <c r="AO5133" s="2" t="s">
        <v>15724</v>
      </c>
      <c r="AP5133" s="2">
        <v>11</v>
      </c>
      <c r="AQ5133" s="2" t="s">
        <v>82</v>
      </c>
      <c r="AR5133" s="2"/>
      <c r="AS5133" s="2"/>
      <c r="AT5133" s="2" t="s">
        <v>15725</v>
      </c>
      <c r="AU5133" s="2"/>
      <c r="AV5133" s="2"/>
      <c r="AW5133" s="2"/>
      <c r="AX5133" s="2"/>
      <c r="AY5133" s="2">
        <v>41</v>
      </c>
      <c r="AZ5133" s="2" t="s">
        <v>82</v>
      </c>
      <c r="BA5133" s="2">
        <v>41</v>
      </c>
      <c r="BB5133" s="2" t="s">
        <v>82</v>
      </c>
      <c r="BC5133" s="2">
        <v>41</v>
      </c>
      <c r="BD5133" s="2" t="s">
        <v>82</v>
      </c>
      <c r="BE5133" s="2">
        <v>41</v>
      </c>
      <c r="BF5133" s="2" t="s">
        <v>82</v>
      </c>
      <c r="BG5133" s="2"/>
      <c r="BH5133" s="2"/>
      <c r="BI5133" s="2"/>
      <c r="BJ5133" s="2">
        <v>241</v>
      </c>
      <c r="BK5133" s="2" t="s">
        <v>82</v>
      </c>
      <c r="BL5133" s="2"/>
      <c r="BM5133" s="2">
        <v>241</v>
      </c>
      <c r="BN5133" s="2" t="s">
        <v>82</v>
      </c>
      <c r="BO5133" s="2"/>
      <c r="BP5133" s="2">
        <v>241</v>
      </c>
      <c r="BQ5133" s="2" t="s">
        <v>82</v>
      </c>
      <c r="BR5133" s="2"/>
      <c r="BS5133" s="3">
        <v>40527</v>
      </c>
      <c r="BT5133" s="4">
        <v>0.84167824074074071</v>
      </c>
    </row>
    <row r="5134" spans="1:72" x14ac:dyDescent="0.25">
      <c r="A5134" s="2">
        <v>7990</v>
      </c>
      <c r="B5134" s="2">
        <v>2010</v>
      </c>
      <c r="C5134" s="2" t="s">
        <v>93</v>
      </c>
      <c r="D5134" s="2" t="s">
        <v>122</v>
      </c>
      <c r="E5134" s="2"/>
      <c r="F5134" s="2">
        <v>745</v>
      </c>
      <c r="G5134" s="2" t="s">
        <v>15726</v>
      </c>
      <c r="H5134" s="2">
        <v>102</v>
      </c>
      <c r="I5134" s="2" t="s">
        <v>6446</v>
      </c>
      <c r="J5134" s="2">
        <v>176</v>
      </c>
      <c r="K5134" s="2" t="s">
        <v>6447</v>
      </c>
      <c r="L5134" s="2" t="s">
        <v>6448</v>
      </c>
      <c r="M5134" s="3">
        <v>40527</v>
      </c>
      <c r="N5134" s="2" t="s">
        <v>15727</v>
      </c>
      <c r="O5134" s="2" t="s">
        <v>15728</v>
      </c>
      <c r="P5134" s="2">
        <v>56594</v>
      </c>
      <c r="Q5134" s="2" t="str">
        <f>"N/C"</f>
        <v>N/C</v>
      </c>
      <c r="R5134" s="2" t="s">
        <v>15729</v>
      </c>
      <c r="S5134" s="2" t="s">
        <v>100</v>
      </c>
      <c r="T5134" s="2">
        <v>1</v>
      </c>
      <c r="U5134" s="2" t="s">
        <v>79</v>
      </c>
      <c r="V5134" s="2">
        <v>1</v>
      </c>
      <c r="W5134" s="2" t="s">
        <v>80</v>
      </c>
      <c r="X5134" s="2">
        <v>10</v>
      </c>
      <c r="Y5134" s="2" t="s">
        <v>226</v>
      </c>
      <c r="Z5134" s="2">
        <v>6</v>
      </c>
      <c r="AA5134" s="2" t="s">
        <v>101</v>
      </c>
      <c r="AB5134" s="2">
        <v>2</v>
      </c>
      <c r="AC5134" s="2" t="s">
        <v>102</v>
      </c>
      <c r="AD5134" s="3">
        <v>40527</v>
      </c>
      <c r="AE5134" s="4">
        <v>0.45833333333333331</v>
      </c>
      <c r="AF5134" s="3">
        <v>40527</v>
      </c>
      <c r="AG5134" s="4">
        <v>0.52777777777777779</v>
      </c>
      <c r="AH5134" s="2">
        <v>2</v>
      </c>
      <c r="AI5134" s="2" t="s">
        <v>84</v>
      </c>
      <c r="AJ5134" s="2">
        <v>9</v>
      </c>
      <c r="AK5134" s="2" t="s">
        <v>103</v>
      </c>
      <c r="AL5134" s="2">
        <v>25</v>
      </c>
      <c r="AM5134" s="2" t="s">
        <v>3073</v>
      </c>
      <c r="AN5134" s="2"/>
      <c r="AO5134" s="2" t="s">
        <v>15730</v>
      </c>
      <c r="AP5134" s="2">
        <v>11</v>
      </c>
      <c r="AQ5134" s="2" t="s">
        <v>82</v>
      </c>
      <c r="AR5134" s="2"/>
      <c r="AS5134" s="2"/>
      <c r="AT5134" s="2" t="s">
        <v>15731</v>
      </c>
      <c r="AU5134" s="2"/>
      <c r="AV5134" s="2"/>
      <c r="AW5134" s="2"/>
      <c r="AX5134" s="2"/>
      <c r="AY5134" s="2">
        <v>41</v>
      </c>
      <c r="AZ5134" s="2" t="s">
        <v>82</v>
      </c>
      <c r="BA5134" s="2">
        <v>41</v>
      </c>
      <c r="BB5134" s="2" t="s">
        <v>82</v>
      </c>
      <c r="BC5134" s="2">
        <v>41</v>
      </c>
      <c r="BD5134" s="2" t="s">
        <v>82</v>
      </c>
      <c r="BE5134" s="2">
        <v>17</v>
      </c>
      <c r="BF5134" s="2" t="s">
        <v>508</v>
      </c>
      <c r="BG5134" s="2" t="s">
        <v>15732</v>
      </c>
      <c r="BH5134" s="2"/>
      <c r="BI5134" s="4">
        <v>0.50624999999999998</v>
      </c>
      <c r="BJ5134" s="2">
        <v>13</v>
      </c>
      <c r="BK5134" s="2" t="s">
        <v>91</v>
      </c>
      <c r="BL5134" s="2" t="s">
        <v>185</v>
      </c>
      <c r="BM5134" s="2">
        <v>173</v>
      </c>
      <c r="BN5134" s="2" t="s">
        <v>223</v>
      </c>
      <c r="BO5134" s="2"/>
      <c r="BP5134" s="2">
        <v>173</v>
      </c>
      <c r="BQ5134" s="2" t="s">
        <v>223</v>
      </c>
      <c r="BR5134" s="2" t="s">
        <v>224</v>
      </c>
      <c r="BS5134" s="3">
        <v>40527</v>
      </c>
      <c r="BT5134" s="4">
        <v>0.8445717592592592</v>
      </c>
    </row>
    <row r="5135" spans="1:72" x14ac:dyDescent="0.25">
      <c r="A5135" s="2">
        <v>7991</v>
      </c>
      <c r="B5135" s="2">
        <v>2010</v>
      </c>
      <c r="C5135" s="2" t="s">
        <v>72</v>
      </c>
      <c r="D5135" s="2" t="s">
        <v>73</v>
      </c>
      <c r="E5135" s="2"/>
      <c r="F5135" s="2">
        <v>2</v>
      </c>
      <c r="G5135" s="2" t="s">
        <v>113</v>
      </c>
      <c r="H5135" s="2">
        <v>22</v>
      </c>
      <c r="I5135" s="2" t="s">
        <v>75</v>
      </c>
      <c r="J5135" s="2">
        <v>300</v>
      </c>
      <c r="K5135" s="2" t="s">
        <v>114</v>
      </c>
      <c r="L5135" s="2" t="s">
        <v>115</v>
      </c>
      <c r="M5135" s="3">
        <v>40527</v>
      </c>
      <c r="N5135" s="2" t="s">
        <v>107</v>
      </c>
      <c r="O5135" s="2" t="s">
        <v>107</v>
      </c>
      <c r="P5135" s="2" t="s">
        <v>107</v>
      </c>
      <c r="Q5135" s="2" t="str">
        <f>"679-E/10"</f>
        <v>679-E/10</v>
      </c>
      <c r="R5135" s="2" t="s">
        <v>116</v>
      </c>
      <c r="S5135" s="2" t="s">
        <v>116</v>
      </c>
      <c r="T5135" s="2">
        <v>1</v>
      </c>
      <c r="U5135" s="2" t="s">
        <v>79</v>
      </c>
      <c r="V5135" s="2">
        <v>1</v>
      </c>
      <c r="W5135" s="2" t="s">
        <v>80</v>
      </c>
      <c r="X5135" s="2">
        <v>1</v>
      </c>
      <c r="Y5135" s="2" t="s">
        <v>81</v>
      </c>
      <c r="Z5135" s="2">
        <v>1</v>
      </c>
      <c r="AA5135" s="2" t="s">
        <v>82</v>
      </c>
      <c r="AB5135" s="2">
        <v>6</v>
      </c>
      <c r="AC5135" s="2" t="s">
        <v>83</v>
      </c>
      <c r="AD5135" s="3">
        <v>40527</v>
      </c>
      <c r="AE5135" s="2"/>
      <c r="AF5135" s="3">
        <v>40527</v>
      </c>
      <c r="AG5135" s="4">
        <v>0.57638888888888895</v>
      </c>
      <c r="AH5135" s="2">
        <v>2</v>
      </c>
      <c r="AI5135" s="2" t="s">
        <v>84</v>
      </c>
      <c r="AJ5135" s="2">
        <v>9</v>
      </c>
      <c r="AK5135" s="2" t="s">
        <v>103</v>
      </c>
      <c r="AL5135" s="2">
        <v>13</v>
      </c>
      <c r="AM5135" s="2" t="s">
        <v>117</v>
      </c>
      <c r="AN5135" s="2"/>
      <c r="AO5135" s="2" t="s">
        <v>7349</v>
      </c>
      <c r="AP5135" s="2">
        <v>11</v>
      </c>
      <c r="AQ5135" s="2" t="s">
        <v>82</v>
      </c>
      <c r="AR5135" s="2"/>
      <c r="AS5135" s="2"/>
      <c r="AT5135" s="2" t="s">
        <v>15733</v>
      </c>
      <c r="AU5135" s="2"/>
      <c r="AV5135" s="2"/>
      <c r="AW5135" s="2">
        <v>2</v>
      </c>
      <c r="AX5135" s="2"/>
      <c r="AY5135" s="2">
        <v>41</v>
      </c>
      <c r="AZ5135" s="2" t="s">
        <v>82</v>
      </c>
      <c r="BA5135" s="2">
        <v>41</v>
      </c>
      <c r="BB5135" s="2" t="s">
        <v>82</v>
      </c>
      <c r="BC5135" s="2">
        <v>41</v>
      </c>
      <c r="BD5135" s="2" t="s">
        <v>82</v>
      </c>
      <c r="BE5135" s="2">
        <v>41</v>
      </c>
      <c r="BF5135" s="2" t="s">
        <v>82</v>
      </c>
      <c r="BG5135" s="2"/>
      <c r="BH5135" s="2"/>
      <c r="BI5135" s="2"/>
      <c r="BJ5135" s="2">
        <v>241</v>
      </c>
      <c r="BK5135" s="2" t="s">
        <v>82</v>
      </c>
      <c r="BL5135" s="2"/>
      <c r="BM5135" s="2">
        <v>241</v>
      </c>
      <c r="BN5135" s="2" t="s">
        <v>82</v>
      </c>
      <c r="BO5135" s="2"/>
      <c r="BP5135" s="2">
        <v>241</v>
      </c>
      <c r="BQ5135" s="2" t="s">
        <v>82</v>
      </c>
      <c r="BR5135" s="2"/>
      <c r="BS5135" s="3">
        <v>40527</v>
      </c>
      <c r="BT5135" s="4">
        <v>0.84628472222222229</v>
      </c>
    </row>
    <row r="5136" spans="1:72" x14ac:dyDescent="0.25">
      <c r="A5136" s="2">
        <v>7993</v>
      </c>
      <c r="B5136" s="2">
        <v>2010</v>
      </c>
      <c r="C5136" s="2" t="s">
        <v>196</v>
      </c>
      <c r="D5136" s="2" t="s">
        <v>122</v>
      </c>
      <c r="E5136" s="2"/>
      <c r="F5136" s="2">
        <v>1</v>
      </c>
      <c r="G5136" s="2" t="s">
        <v>82</v>
      </c>
      <c r="H5136" s="2">
        <v>1</v>
      </c>
      <c r="I5136" s="2" t="s">
        <v>82</v>
      </c>
      <c r="J5136" s="2">
        <v>1</v>
      </c>
      <c r="K5136" s="2" t="s">
        <v>107</v>
      </c>
      <c r="L5136" s="2" t="s">
        <v>107</v>
      </c>
      <c r="M5136" s="3">
        <v>40527</v>
      </c>
      <c r="N5136" s="2"/>
      <c r="O5136" s="2"/>
      <c r="P5136" s="2"/>
      <c r="Q5136" s="2" t="str">
        <f>""</f>
        <v/>
      </c>
      <c r="R5136" s="2"/>
      <c r="S5136" s="2"/>
      <c r="T5136" s="2">
        <v>2</v>
      </c>
      <c r="U5136" s="2" t="s">
        <v>123</v>
      </c>
      <c r="V5136" s="2">
        <v>1</v>
      </c>
      <c r="W5136" s="2" t="s">
        <v>80</v>
      </c>
      <c r="X5136" s="2">
        <v>11</v>
      </c>
      <c r="Y5136" s="2" t="s">
        <v>1920</v>
      </c>
      <c r="Z5136" s="2">
        <v>1</v>
      </c>
      <c r="AA5136" s="2" t="s">
        <v>82</v>
      </c>
      <c r="AB5136" s="2">
        <v>9</v>
      </c>
      <c r="AC5136" s="2" t="s">
        <v>124</v>
      </c>
      <c r="AD5136" s="3">
        <v>40527</v>
      </c>
      <c r="AE5136" s="4">
        <v>0.81597222222222221</v>
      </c>
      <c r="AF5136" s="3">
        <v>40527</v>
      </c>
      <c r="AG5136" s="2"/>
      <c r="AH5136" s="2">
        <v>2</v>
      </c>
      <c r="AI5136" s="2" t="s">
        <v>84</v>
      </c>
      <c r="AJ5136" s="2">
        <v>8</v>
      </c>
      <c r="AK5136" s="2" t="s">
        <v>436</v>
      </c>
      <c r="AL5136" s="2">
        <v>10</v>
      </c>
      <c r="AM5136" s="2" t="s">
        <v>200</v>
      </c>
      <c r="AN5136" s="2"/>
      <c r="AO5136" s="2" t="s">
        <v>230</v>
      </c>
      <c r="AP5136" s="2">
        <v>11</v>
      </c>
      <c r="AQ5136" s="2" t="s">
        <v>82</v>
      </c>
      <c r="AR5136" s="2"/>
      <c r="AS5136" s="2"/>
      <c r="AT5136" s="2" t="s">
        <v>15734</v>
      </c>
      <c r="AU5136" s="2"/>
      <c r="AV5136" s="2"/>
      <c r="AW5136" s="2"/>
      <c r="AX5136" s="2"/>
      <c r="AY5136" s="2">
        <v>41</v>
      </c>
      <c r="AZ5136" s="2" t="s">
        <v>82</v>
      </c>
      <c r="BA5136" s="2">
        <v>41</v>
      </c>
      <c r="BB5136" s="2" t="s">
        <v>82</v>
      </c>
      <c r="BC5136" s="2">
        <v>41</v>
      </c>
      <c r="BD5136" s="2" t="s">
        <v>82</v>
      </c>
      <c r="BE5136" s="2">
        <v>41</v>
      </c>
      <c r="BF5136" s="2" t="s">
        <v>82</v>
      </c>
      <c r="BG5136" s="2"/>
      <c r="BH5136" s="2"/>
      <c r="BI5136" s="2"/>
      <c r="BJ5136" s="2">
        <v>241</v>
      </c>
      <c r="BK5136" s="2" t="s">
        <v>82</v>
      </c>
      <c r="BL5136" s="2"/>
      <c r="BM5136" s="2">
        <v>241</v>
      </c>
      <c r="BN5136" s="2" t="s">
        <v>82</v>
      </c>
      <c r="BO5136" s="2"/>
      <c r="BP5136" s="2">
        <v>241</v>
      </c>
      <c r="BQ5136" s="2" t="s">
        <v>82</v>
      </c>
      <c r="BR5136" s="2"/>
      <c r="BS5136" s="3">
        <v>40527</v>
      </c>
      <c r="BT5136" s="4">
        <v>0.90171296296296299</v>
      </c>
    </row>
    <row r="5137" spans="1:72" x14ac:dyDescent="0.25">
      <c r="A5137" s="2">
        <v>7994</v>
      </c>
      <c r="B5137" s="2">
        <v>2010</v>
      </c>
      <c r="C5137" s="2" t="s">
        <v>171</v>
      </c>
      <c r="D5137" s="2" t="s">
        <v>73</v>
      </c>
      <c r="E5137" s="2" t="s">
        <v>15735</v>
      </c>
      <c r="F5137" s="2">
        <v>451</v>
      </c>
      <c r="G5137" s="2" t="s">
        <v>879</v>
      </c>
      <c r="H5137" s="2">
        <v>31</v>
      </c>
      <c r="I5137" s="2" t="s">
        <v>880</v>
      </c>
      <c r="J5137" s="2">
        <v>326</v>
      </c>
      <c r="K5137" s="2" t="s">
        <v>881</v>
      </c>
      <c r="L5137" s="2" t="s">
        <v>882</v>
      </c>
      <c r="M5137" s="3">
        <v>40527</v>
      </c>
      <c r="N5137" s="2" t="s">
        <v>821</v>
      </c>
      <c r="O5137" s="2" t="s">
        <v>6115</v>
      </c>
      <c r="P5137" s="2" t="s">
        <v>15736</v>
      </c>
      <c r="Q5137" s="2" t="str">
        <f>"112/10"</f>
        <v>112/10</v>
      </c>
      <c r="R5137" s="2"/>
      <c r="S5137" s="2" t="s">
        <v>822</v>
      </c>
      <c r="T5137" s="2">
        <v>1</v>
      </c>
      <c r="U5137" s="2" t="s">
        <v>79</v>
      </c>
      <c r="V5137" s="2">
        <v>1</v>
      </c>
      <c r="W5137" s="2" t="s">
        <v>80</v>
      </c>
      <c r="X5137" s="2">
        <v>1</v>
      </c>
      <c r="Y5137" s="2" t="s">
        <v>81</v>
      </c>
      <c r="Z5137" s="2">
        <v>1</v>
      </c>
      <c r="AA5137" s="2" t="s">
        <v>82</v>
      </c>
      <c r="AB5137" s="2">
        <v>1</v>
      </c>
      <c r="AC5137" s="2" t="s">
        <v>178</v>
      </c>
      <c r="AD5137" s="3">
        <v>40507</v>
      </c>
      <c r="AE5137" s="4">
        <v>0.9375</v>
      </c>
      <c r="AF5137" s="3">
        <v>40527</v>
      </c>
      <c r="AG5137" s="4">
        <v>0.82291666666666663</v>
      </c>
      <c r="AH5137" s="2">
        <v>4</v>
      </c>
      <c r="AI5137" s="2" t="s">
        <v>125</v>
      </c>
      <c r="AJ5137" s="2">
        <v>29</v>
      </c>
      <c r="AK5137" s="2" t="s">
        <v>227</v>
      </c>
      <c r="AL5137" s="2">
        <v>16</v>
      </c>
      <c r="AM5137" s="2" t="s">
        <v>392</v>
      </c>
      <c r="AN5137" s="2" t="s">
        <v>6877</v>
      </c>
      <c r="AO5137" s="2"/>
      <c r="AP5137" s="2">
        <v>12</v>
      </c>
      <c r="AQ5137" s="2" t="s">
        <v>322</v>
      </c>
      <c r="AR5137" s="2" t="s">
        <v>824</v>
      </c>
      <c r="AS5137" s="2" t="s">
        <v>825</v>
      </c>
      <c r="AT5137" s="2" t="s">
        <v>15737</v>
      </c>
      <c r="AU5137" s="2"/>
      <c r="AV5137" s="2"/>
      <c r="AW5137" s="2"/>
      <c r="AX5137" s="2"/>
      <c r="AY5137" s="2">
        <v>41</v>
      </c>
      <c r="AZ5137" s="2" t="s">
        <v>82</v>
      </c>
      <c r="BA5137" s="2">
        <v>41</v>
      </c>
      <c r="BB5137" s="2" t="s">
        <v>82</v>
      </c>
      <c r="BC5137" s="2">
        <v>51</v>
      </c>
      <c r="BD5137" s="2" t="s">
        <v>827</v>
      </c>
      <c r="BE5137" s="2">
        <v>13</v>
      </c>
      <c r="BF5137" s="2" t="s">
        <v>108</v>
      </c>
      <c r="BG5137" s="2">
        <v>1459</v>
      </c>
      <c r="BH5137" s="4">
        <v>0.90555555555555556</v>
      </c>
      <c r="BI5137" s="4">
        <v>0.95138888888888884</v>
      </c>
      <c r="BJ5137" s="2">
        <v>13</v>
      </c>
      <c r="BK5137" s="2" t="s">
        <v>91</v>
      </c>
      <c r="BL5137" s="2" t="s">
        <v>828</v>
      </c>
      <c r="BM5137" s="2">
        <v>13</v>
      </c>
      <c r="BN5137" s="2" t="s">
        <v>91</v>
      </c>
      <c r="BO5137" s="2"/>
      <c r="BP5137" s="2">
        <v>13</v>
      </c>
      <c r="BQ5137" s="2" t="s">
        <v>91</v>
      </c>
      <c r="BR5137" s="2" t="s">
        <v>185</v>
      </c>
      <c r="BS5137" s="3">
        <v>40527</v>
      </c>
      <c r="BT5137" s="4">
        <v>0.91658564814814814</v>
      </c>
    </row>
    <row r="5138" spans="1:72" x14ac:dyDescent="0.25">
      <c r="A5138" s="2">
        <v>7995</v>
      </c>
      <c r="B5138" s="2">
        <v>2010</v>
      </c>
      <c r="C5138" s="2" t="s">
        <v>377</v>
      </c>
      <c r="D5138" s="2" t="s">
        <v>73</v>
      </c>
      <c r="E5138" s="2"/>
      <c r="F5138" s="2">
        <v>628</v>
      </c>
      <c r="G5138" s="2" t="s">
        <v>15738</v>
      </c>
      <c r="H5138" s="2">
        <v>22</v>
      </c>
      <c r="I5138" s="2" t="s">
        <v>75</v>
      </c>
      <c r="J5138" s="2">
        <v>258</v>
      </c>
      <c r="K5138" s="2" t="s">
        <v>1890</v>
      </c>
      <c r="L5138" s="2" t="s">
        <v>1891</v>
      </c>
      <c r="M5138" s="3">
        <v>40527</v>
      </c>
      <c r="N5138" s="2"/>
      <c r="O5138" s="2"/>
      <c r="P5138" s="2"/>
      <c r="Q5138" s="2" t="str">
        <f>"0004-C/10"</f>
        <v>0004-C/10</v>
      </c>
      <c r="R5138" s="2"/>
      <c r="S5138" s="2" t="s">
        <v>15739</v>
      </c>
      <c r="T5138" s="2">
        <v>1</v>
      </c>
      <c r="U5138" s="2" t="s">
        <v>79</v>
      </c>
      <c r="V5138" s="2">
        <v>1</v>
      </c>
      <c r="W5138" s="2" t="s">
        <v>80</v>
      </c>
      <c r="X5138" s="2">
        <v>12</v>
      </c>
      <c r="Y5138" s="2" t="s">
        <v>148</v>
      </c>
      <c r="Z5138" s="2">
        <v>1</v>
      </c>
      <c r="AA5138" s="2" t="s">
        <v>82</v>
      </c>
      <c r="AB5138" s="2">
        <v>9</v>
      </c>
      <c r="AC5138" s="2" t="s">
        <v>124</v>
      </c>
      <c r="AD5138" s="3">
        <v>40527</v>
      </c>
      <c r="AE5138" s="4">
        <v>0.72916666666666663</v>
      </c>
      <c r="AF5138" s="3">
        <v>40527</v>
      </c>
      <c r="AG5138" s="4">
        <v>0.76736111111111116</v>
      </c>
      <c r="AH5138" s="2">
        <v>2</v>
      </c>
      <c r="AI5138" s="2" t="s">
        <v>84</v>
      </c>
      <c r="AJ5138" s="2">
        <v>12</v>
      </c>
      <c r="AK5138" s="2" t="s">
        <v>85</v>
      </c>
      <c r="AL5138" s="2">
        <v>13</v>
      </c>
      <c r="AM5138" s="2" t="s">
        <v>117</v>
      </c>
      <c r="AN5138" s="2" t="s">
        <v>15740</v>
      </c>
      <c r="AO5138" s="2"/>
      <c r="AP5138" s="2">
        <v>11</v>
      </c>
      <c r="AQ5138" s="2" t="s">
        <v>82</v>
      </c>
      <c r="AR5138" s="2"/>
      <c r="AS5138" s="2"/>
      <c r="AT5138" s="2" t="s">
        <v>15741</v>
      </c>
      <c r="AU5138" s="2"/>
      <c r="AV5138" s="2"/>
      <c r="AW5138" s="2"/>
      <c r="AX5138" s="2"/>
      <c r="AY5138" s="2">
        <v>41</v>
      </c>
      <c r="AZ5138" s="2" t="s">
        <v>82</v>
      </c>
      <c r="BA5138" s="2">
        <v>41</v>
      </c>
      <c r="BB5138" s="2" t="s">
        <v>82</v>
      </c>
      <c r="BC5138" s="2">
        <v>41</v>
      </c>
      <c r="BD5138" s="2" t="s">
        <v>82</v>
      </c>
      <c r="BE5138" s="2">
        <v>10</v>
      </c>
      <c r="BF5138" s="2" t="s">
        <v>901</v>
      </c>
      <c r="BG5138" s="2" t="s">
        <v>10406</v>
      </c>
      <c r="BH5138" s="2"/>
      <c r="BI5138" s="2"/>
      <c r="BJ5138" s="2">
        <v>13</v>
      </c>
      <c r="BK5138" s="2" t="s">
        <v>91</v>
      </c>
      <c r="BL5138" s="2" t="s">
        <v>564</v>
      </c>
      <c r="BM5138" s="2">
        <v>33</v>
      </c>
      <c r="BN5138" s="2" t="s">
        <v>361</v>
      </c>
      <c r="BO5138" s="2"/>
      <c r="BP5138" s="2">
        <v>33</v>
      </c>
      <c r="BQ5138" s="2" t="s">
        <v>361</v>
      </c>
      <c r="BR5138" s="2" t="s">
        <v>1739</v>
      </c>
      <c r="BS5138" s="3">
        <v>40527</v>
      </c>
      <c r="BT5138" s="4">
        <v>0.92092592592592604</v>
      </c>
    </row>
    <row r="5139" spans="1:72" x14ac:dyDescent="0.25">
      <c r="A5139" s="2">
        <v>7996</v>
      </c>
      <c r="B5139" s="2">
        <v>2010</v>
      </c>
      <c r="C5139" s="2" t="s">
        <v>171</v>
      </c>
      <c r="D5139" s="2" t="s">
        <v>73</v>
      </c>
      <c r="E5139" s="2"/>
      <c r="F5139" s="2">
        <v>475</v>
      </c>
      <c r="G5139" s="2" t="s">
        <v>1271</v>
      </c>
      <c r="H5139" s="2">
        <v>3</v>
      </c>
      <c r="I5139" s="2" t="s">
        <v>315</v>
      </c>
      <c r="J5139" s="2">
        <v>385</v>
      </c>
      <c r="K5139" s="2" t="s">
        <v>1314</v>
      </c>
      <c r="L5139" s="2" t="s">
        <v>1315</v>
      </c>
      <c r="M5139" s="3">
        <v>40527</v>
      </c>
      <c r="N5139" s="2" t="s">
        <v>13651</v>
      </c>
      <c r="O5139" s="2" t="s">
        <v>15742</v>
      </c>
      <c r="P5139" s="2"/>
      <c r="Q5139" s="2" t="str">
        <f>"0054/2010"</f>
        <v>0054/2010</v>
      </c>
      <c r="R5139" s="2" t="s">
        <v>15742</v>
      </c>
      <c r="S5139" s="2"/>
      <c r="T5139" s="2">
        <v>1</v>
      </c>
      <c r="U5139" s="2" t="s">
        <v>79</v>
      </c>
      <c r="V5139" s="2">
        <v>1</v>
      </c>
      <c r="W5139" s="2" t="s">
        <v>80</v>
      </c>
      <c r="X5139" s="2">
        <v>1</v>
      </c>
      <c r="Y5139" s="2" t="s">
        <v>81</v>
      </c>
      <c r="Z5139" s="2">
        <v>1</v>
      </c>
      <c r="AA5139" s="2" t="s">
        <v>82</v>
      </c>
      <c r="AB5139" s="2">
        <v>1</v>
      </c>
      <c r="AC5139" s="2" t="s">
        <v>178</v>
      </c>
      <c r="AD5139" s="3">
        <v>40527</v>
      </c>
      <c r="AE5139" s="4">
        <v>0.67708333333333337</v>
      </c>
      <c r="AF5139" s="3">
        <v>40527</v>
      </c>
      <c r="AG5139" s="4">
        <v>0.67708333333333337</v>
      </c>
      <c r="AH5139" s="2">
        <v>5</v>
      </c>
      <c r="AI5139" s="2" t="s">
        <v>274</v>
      </c>
      <c r="AJ5139" s="2">
        <v>42</v>
      </c>
      <c r="AK5139" s="2" t="s">
        <v>660</v>
      </c>
      <c r="AL5139" s="2">
        <v>9</v>
      </c>
      <c r="AM5139" s="2" t="s">
        <v>259</v>
      </c>
      <c r="AN5139" s="2" t="s">
        <v>15743</v>
      </c>
      <c r="AO5139" s="2" t="s">
        <v>1000</v>
      </c>
      <c r="AP5139" s="2">
        <v>11</v>
      </c>
      <c r="AQ5139" s="2" t="s">
        <v>82</v>
      </c>
      <c r="AR5139" s="2" t="s">
        <v>82</v>
      </c>
      <c r="AS5139" s="2" t="s">
        <v>82</v>
      </c>
      <c r="AT5139" s="2" t="s">
        <v>15744</v>
      </c>
      <c r="AU5139" s="2"/>
      <c r="AV5139" s="2"/>
      <c r="AW5139" s="2"/>
      <c r="AX5139" s="2"/>
      <c r="AY5139" s="2">
        <v>41</v>
      </c>
      <c r="AZ5139" s="2" t="s">
        <v>82</v>
      </c>
      <c r="BA5139" s="2">
        <v>41</v>
      </c>
      <c r="BB5139" s="2" t="s">
        <v>82</v>
      </c>
      <c r="BC5139" s="2">
        <v>41</v>
      </c>
      <c r="BD5139" s="2" t="s">
        <v>82</v>
      </c>
      <c r="BE5139" s="2">
        <v>41</v>
      </c>
      <c r="BF5139" s="2" t="s">
        <v>82</v>
      </c>
      <c r="BG5139" s="2" t="s">
        <v>82</v>
      </c>
      <c r="BH5139" s="2"/>
      <c r="BI5139" s="2"/>
      <c r="BJ5139" s="2">
        <v>241</v>
      </c>
      <c r="BK5139" s="2" t="s">
        <v>82</v>
      </c>
      <c r="BL5139" s="2" t="s">
        <v>82</v>
      </c>
      <c r="BM5139" s="2">
        <v>241</v>
      </c>
      <c r="BN5139" s="2" t="s">
        <v>82</v>
      </c>
      <c r="BO5139" s="2"/>
      <c r="BP5139" s="2">
        <v>241</v>
      </c>
      <c r="BQ5139" s="2" t="s">
        <v>82</v>
      </c>
      <c r="BR5139" s="2" t="s">
        <v>82</v>
      </c>
      <c r="BS5139" s="3">
        <v>40527</v>
      </c>
      <c r="BT5139" s="4">
        <v>0.95446759259259262</v>
      </c>
    </row>
    <row r="5140" spans="1:72" x14ac:dyDescent="0.25">
      <c r="A5140" s="2">
        <v>7997</v>
      </c>
      <c r="B5140" s="2">
        <v>2010</v>
      </c>
      <c r="C5140" s="2" t="s">
        <v>171</v>
      </c>
      <c r="D5140" s="2" t="s">
        <v>73</v>
      </c>
      <c r="E5140" s="2" t="s">
        <v>15745</v>
      </c>
      <c r="F5140" s="2">
        <v>451</v>
      </c>
      <c r="G5140" s="2" t="s">
        <v>879</v>
      </c>
      <c r="H5140" s="2">
        <v>31</v>
      </c>
      <c r="I5140" s="2" t="s">
        <v>880</v>
      </c>
      <c r="J5140" s="2">
        <v>326</v>
      </c>
      <c r="K5140" s="2" t="s">
        <v>881</v>
      </c>
      <c r="L5140" s="2" t="s">
        <v>882</v>
      </c>
      <c r="M5140" s="3">
        <v>40527</v>
      </c>
      <c r="N5140" s="2" t="s">
        <v>1072</v>
      </c>
      <c r="O5140" s="2" t="s">
        <v>3243</v>
      </c>
      <c r="P5140" s="2" t="s">
        <v>15746</v>
      </c>
      <c r="Q5140" s="2" t="str">
        <f>"113/10"</f>
        <v>113/10</v>
      </c>
      <c r="R5140" s="2"/>
      <c r="S5140" s="2" t="s">
        <v>822</v>
      </c>
      <c r="T5140" s="2">
        <v>1</v>
      </c>
      <c r="U5140" s="2" t="s">
        <v>79</v>
      </c>
      <c r="V5140" s="2">
        <v>1</v>
      </c>
      <c r="W5140" s="2" t="s">
        <v>80</v>
      </c>
      <c r="X5140" s="2">
        <v>1</v>
      </c>
      <c r="Y5140" s="2" t="s">
        <v>81</v>
      </c>
      <c r="Z5140" s="2">
        <v>1</v>
      </c>
      <c r="AA5140" s="2" t="s">
        <v>82</v>
      </c>
      <c r="AB5140" s="2">
        <v>1</v>
      </c>
      <c r="AC5140" s="2" t="s">
        <v>178</v>
      </c>
      <c r="AD5140" s="3">
        <v>40508</v>
      </c>
      <c r="AE5140" s="4">
        <v>0.90972222222222221</v>
      </c>
      <c r="AF5140" s="3">
        <v>40527</v>
      </c>
      <c r="AG5140" s="4">
        <v>0.875</v>
      </c>
      <c r="AH5140" s="2">
        <v>4</v>
      </c>
      <c r="AI5140" s="2" t="s">
        <v>125</v>
      </c>
      <c r="AJ5140" s="2">
        <v>29</v>
      </c>
      <c r="AK5140" s="2" t="s">
        <v>227</v>
      </c>
      <c r="AL5140" s="2">
        <v>16</v>
      </c>
      <c r="AM5140" s="2" t="s">
        <v>392</v>
      </c>
      <c r="AN5140" s="2" t="s">
        <v>6877</v>
      </c>
      <c r="AO5140" s="2"/>
      <c r="AP5140" s="2">
        <v>12</v>
      </c>
      <c r="AQ5140" s="2" t="s">
        <v>322</v>
      </c>
      <c r="AR5140" s="2" t="s">
        <v>824</v>
      </c>
      <c r="AS5140" s="2" t="s">
        <v>825</v>
      </c>
      <c r="AT5140" s="2" t="s">
        <v>15747</v>
      </c>
      <c r="AU5140" s="2"/>
      <c r="AV5140" s="2"/>
      <c r="AW5140" s="2"/>
      <c r="AX5140" s="2"/>
      <c r="AY5140" s="2">
        <v>41</v>
      </c>
      <c r="AZ5140" s="2" t="s">
        <v>82</v>
      </c>
      <c r="BA5140" s="2">
        <v>41</v>
      </c>
      <c r="BB5140" s="2" t="s">
        <v>82</v>
      </c>
      <c r="BC5140" s="2">
        <v>51</v>
      </c>
      <c r="BD5140" s="2" t="s">
        <v>827</v>
      </c>
      <c r="BE5140" s="2">
        <v>47</v>
      </c>
      <c r="BF5140" s="2" t="s">
        <v>167</v>
      </c>
      <c r="BG5140" s="2">
        <v>2459</v>
      </c>
      <c r="BH5140" s="4">
        <v>0.90625</v>
      </c>
      <c r="BI5140" s="4">
        <v>0.9375</v>
      </c>
      <c r="BJ5140" s="2">
        <v>13</v>
      </c>
      <c r="BK5140" s="2" t="s">
        <v>91</v>
      </c>
      <c r="BL5140" s="2" t="s">
        <v>828</v>
      </c>
      <c r="BM5140" s="2">
        <v>13</v>
      </c>
      <c r="BN5140" s="2" t="s">
        <v>91</v>
      </c>
      <c r="BO5140" s="2"/>
      <c r="BP5140" s="2">
        <v>13</v>
      </c>
      <c r="BQ5140" s="2" t="s">
        <v>91</v>
      </c>
      <c r="BR5140" s="2" t="s">
        <v>185</v>
      </c>
      <c r="BS5140" s="3">
        <v>40527</v>
      </c>
      <c r="BT5140" s="4">
        <v>0.96060185185185187</v>
      </c>
    </row>
    <row r="5141" spans="1:72" x14ac:dyDescent="0.25">
      <c r="A5141" s="2">
        <v>7998</v>
      </c>
      <c r="B5141" s="2">
        <v>2010</v>
      </c>
      <c r="C5141" s="2" t="s">
        <v>196</v>
      </c>
      <c r="D5141" s="2" t="s">
        <v>122</v>
      </c>
      <c r="E5141" s="2"/>
      <c r="F5141" s="2">
        <v>1</v>
      </c>
      <c r="G5141" s="2" t="s">
        <v>82</v>
      </c>
      <c r="H5141" s="2">
        <v>1</v>
      </c>
      <c r="I5141" s="2" t="s">
        <v>82</v>
      </c>
      <c r="J5141" s="2">
        <v>1</v>
      </c>
      <c r="K5141" s="2" t="s">
        <v>107</v>
      </c>
      <c r="L5141" s="2" t="s">
        <v>107</v>
      </c>
      <c r="M5141" s="3">
        <v>40527</v>
      </c>
      <c r="N5141" s="2"/>
      <c r="O5141" s="2"/>
      <c r="P5141" s="2"/>
      <c r="Q5141" s="2" t="str">
        <f>""</f>
        <v/>
      </c>
      <c r="R5141" s="2"/>
      <c r="S5141" s="2"/>
      <c r="T5141" s="2">
        <v>2</v>
      </c>
      <c r="U5141" s="2" t="s">
        <v>123</v>
      </c>
      <c r="V5141" s="2">
        <v>1</v>
      </c>
      <c r="W5141" s="2" t="s">
        <v>80</v>
      </c>
      <c r="X5141" s="2">
        <v>11</v>
      </c>
      <c r="Y5141" s="2" t="s">
        <v>1920</v>
      </c>
      <c r="Z5141" s="2">
        <v>1</v>
      </c>
      <c r="AA5141" s="2" t="s">
        <v>82</v>
      </c>
      <c r="AB5141" s="2">
        <v>9</v>
      </c>
      <c r="AC5141" s="2" t="s">
        <v>124</v>
      </c>
      <c r="AD5141" s="3">
        <v>40527</v>
      </c>
      <c r="AE5141" s="4">
        <v>0.83333333333333337</v>
      </c>
      <c r="AF5141" s="3">
        <v>40527</v>
      </c>
      <c r="AG5141" s="2"/>
      <c r="AH5141" s="2">
        <v>2</v>
      </c>
      <c r="AI5141" s="2" t="s">
        <v>84</v>
      </c>
      <c r="AJ5141" s="2">
        <v>12</v>
      </c>
      <c r="AK5141" s="2" t="s">
        <v>85</v>
      </c>
      <c r="AL5141" s="2">
        <v>10</v>
      </c>
      <c r="AM5141" s="2" t="s">
        <v>200</v>
      </c>
      <c r="AN5141" s="2"/>
      <c r="AO5141" s="2" t="s">
        <v>992</v>
      </c>
      <c r="AP5141" s="2">
        <v>11</v>
      </c>
      <c r="AQ5141" s="2" t="s">
        <v>82</v>
      </c>
      <c r="AR5141" s="2"/>
      <c r="AS5141" s="2"/>
      <c r="AT5141" s="2" t="s">
        <v>15748</v>
      </c>
      <c r="AU5141" s="2"/>
      <c r="AV5141" s="2"/>
      <c r="AW5141" s="2"/>
      <c r="AX5141" s="2"/>
      <c r="AY5141" s="2">
        <v>41</v>
      </c>
      <c r="AZ5141" s="2" t="s">
        <v>82</v>
      </c>
      <c r="BA5141" s="2">
        <v>41</v>
      </c>
      <c r="BB5141" s="2" t="s">
        <v>82</v>
      </c>
      <c r="BC5141" s="2">
        <v>41</v>
      </c>
      <c r="BD5141" s="2" t="s">
        <v>82</v>
      </c>
      <c r="BE5141" s="2">
        <v>41</v>
      </c>
      <c r="BF5141" s="2" t="s">
        <v>82</v>
      </c>
      <c r="BG5141" s="2"/>
      <c r="BH5141" s="2"/>
      <c r="BI5141" s="2"/>
      <c r="BJ5141" s="2">
        <v>13</v>
      </c>
      <c r="BK5141" s="2" t="s">
        <v>91</v>
      </c>
      <c r="BL5141" s="2" t="s">
        <v>647</v>
      </c>
      <c r="BM5141" s="2">
        <v>241</v>
      </c>
      <c r="BN5141" s="2" t="s">
        <v>82</v>
      </c>
      <c r="BO5141" s="2"/>
      <c r="BP5141" s="2">
        <v>13</v>
      </c>
      <c r="BQ5141" s="2" t="s">
        <v>91</v>
      </c>
      <c r="BR5141" s="2" t="s">
        <v>185</v>
      </c>
      <c r="BS5141" s="3">
        <v>40527</v>
      </c>
      <c r="BT5141" s="4">
        <v>0.9744560185185186</v>
      </c>
    </row>
    <row r="5142" spans="1:72" x14ac:dyDescent="0.25">
      <c r="A5142" s="2">
        <v>7999</v>
      </c>
      <c r="B5142" s="2">
        <v>2010</v>
      </c>
      <c r="C5142" s="2" t="s">
        <v>128</v>
      </c>
      <c r="D5142" s="2" t="s">
        <v>122</v>
      </c>
      <c r="E5142" s="2"/>
      <c r="F5142" s="2">
        <v>475</v>
      </c>
      <c r="G5142" s="2" t="s">
        <v>1271</v>
      </c>
      <c r="H5142" s="2">
        <v>3</v>
      </c>
      <c r="I5142" s="2" t="s">
        <v>315</v>
      </c>
      <c r="J5142" s="2">
        <v>385</v>
      </c>
      <c r="K5142" s="2" t="s">
        <v>1314</v>
      </c>
      <c r="L5142" s="2" t="s">
        <v>1315</v>
      </c>
      <c r="M5142" s="3">
        <v>40528</v>
      </c>
      <c r="N5142" s="2" t="s">
        <v>13651</v>
      </c>
      <c r="O5142" s="2" t="s">
        <v>3169</v>
      </c>
      <c r="P5142" s="2" t="s">
        <v>82</v>
      </c>
      <c r="Q5142" s="2" t="str">
        <f>"N° 34/2010"</f>
        <v>N° 34/2010</v>
      </c>
      <c r="R5142" s="2" t="s">
        <v>3169</v>
      </c>
      <c r="S5142" s="2" t="s">
        <v>3169</v>
      </c>
      <c r="T5142" s="2">
        <v>1</v>
      </c>
      <c r="U5142" s="2" t="s">
        <v>79</v>
      </c>
      <c r="V5142" s="2">
        <v>1</v>
      </c>
      <c r="W5142" s="2" t="s">
        <v>80</v>
      </c>
      <c r="X5142" s="2">
        <v>1</v>
      </c>
      <c r="Y5142" s="2" t="s">
        <v>81</v>
      </c>
      <c r="Z5142" s="2">
        <v>10</v>
      </c>
      <c r="AA5142" s="2" t="s">
        <v>236</v>
      </c>
      <c r="AB5142" s="2">
        <v>9</v>
      </c>
      <c r="AC5142" s="2" t="s">
        <v>124</v>
      </c>
      <c r="AD5142" s="3">
        <v>40527</v>
      </c>
      <c r="AE5142" s="4">
        <v>0.73611111111111116</v>
      </c>
      <c r="AF5142" s="3">
        <v>40527</v>
      </c>
      <c r="AG5142" s="4">
        <v>0.73611111111111116</v>
      </c>
      <c r="AH5142" s="2">
        <v>5</v>
      </c>
      <c r="AI5142" s="2" t="s">
        <v>274</v>
      </c>
      <c r="AJ5142" s="2">
        <v>42</v>
      </c>
      <c r="AK5142" s="2" t="s">
        <v>660</v>
      </c>
      <c r="AL5142" s="2">
        <v>25</v>
      </c>
      <c r="AM5142" s="2" t="s">
        <v>3073</v>
      </c>
      <c r="AN5142" s="2" t="s">
        <v>179</v>
      </c>
      <c r="AO5142" s="2" t="s">
        <v>15749</v>
      </c>
      <c r="AP5142" s="2">
        <v>5</v>
      </c>
      <c r="AQ5142" s="2" t="s">
        <v>827</v>
      </c>
      <c r="AR5142" s="2" t="s">
        <v>82</v>
      </c>
      <c r="AS5142" s="2" t="s">
        <v>82</v>
      </c>
      <c r="AT5142" s="2" t="s">
        <v>15750</v>
      </c>
      <c r="AU5142" s="2"/>
      <c r="AV5142" s="2"/>
      <c r="AW5142" s="2"/>
      <c r="AX5142" s="2"/>
      <c r="AY5142" s="2">
        <v>41</v>
      </c>
      <c r="AZ5142" s="2" t="s">
        <v>82</v>
      </c>
      <c r="BA5142" s="2">
        <v>41</v>
      </c>
      <c r="BB5142" s="2" t="s">
        <v>82</v>
      </c>
      <c r="BC5142" s="2">
        <v>41</v>
      </c>
      <c r="BD5142" s="2" t="s">
        <v>82</v>
      </c>
      <c r="BE5142" s="2">
        <v>13</v>
      </c>
      <c r="BF5142" s="2" t="s">
        <v>108</v>
      </c>
      <c r="BG5142" s="2">
        <v>1789</v>
      </c>
      <c r="BH5142" s="4">
        <v>0.75</v>
      </c>
      <c r="BI5142" s="4">
        <v>0.78472222222222221</v>
      </c>
      <c r="BJ5142" s="2">
        <v>13</v>
      </c>
      <c r="BK5142" s="2" t="s">
        <v>91</v>
      </c>
      <c r="BL5142" s="2" t="s">
        <v>185</v>
      </c>
      <c r="BM5142" s="2">
        <v>13</v>
      </c>
      <c r="BN5142" s="2" t="s">
        <v>91</v>
      </c>
      <c r="BO5142" s="2"/>
      <c r="BP5142" s="2">
        <v>13</v>
      </c>
      <c r="BQ5142" s="2" t="s">
        <v>91</v>
      </c>
      <c r="BR5142" s="2" t="s">
        <v>185</v>
      </c>
      <c r="BS5142" s="3">
        <v>40528</v>
      </c>
      <c r="BT5142" s="4">
        <v>7.4189814814814813E-3</v>
      </c>
    </row>
    <row r="5143" spans="1:72" x14ac:dyDescent="0.25">
      <c r="A5143" s="2">
        <v>8000</v>
      </c>
      <c r="B5143" s="2">
        <v>2010</v>
      </c>
      <c r="C5143" s="2" t="s">
        <v>93</v>
      </c>
      <c r="D5143" s="2" t="s">
        <v>73</v>
      </c>
      <c r="E5143" s="2"/>
      <c r="F5143" s="2">
        <v>393</v>
      </c>
      <c r="G5143" s="2" t="s">
        <v>3660</v>
      </c>
      <c r="H5143" s="2">
        <v>2</v>
      </c>
      <c r="I5143" s="2" t="s">
        <v>267</v>
      </c>
      <c r="J5143" s="2">
        <v>2</v>
      </c>
      <c r="K5143" s="2" t="s">
        <v>3661</v>
      </c>
      <c r="L5143" s="2" t="s">
        <v>3662</v>
      </c>
      <c r="M5143" s="3">
        <v>40528</v>
      </c>
      <c r="N5143" s="2" t="s">
        <v>5709</v>
      </c>
      <c r="O5143" s="2" t="s">
        <v>15751</v>
      </c>
      <c r="P5143" s="2">
        <v>4200</v>
      </c>
      <c r="Q5143" s="2" t="str">
        <f>""</f>
        <v/>
      </c>
      <c r="R5143" s="2"/>
      <c r="S5143" s="2"/>
      <c r="T5143" s="2">
        <v>1</v>
      </c>
      <c r="U5143" s="2" t="s">
        <v>79</v>
      </c>
      <c r="V5143" s="2">
        <v>1</v>
      </c>
      <c r="W5143" s="2" t="s">
        <v>80</v>
      </c>
      <c r="X5143" s="2">
        <v>10</v>
      </c>
      <c r="Y5143" s="2" t="s">
        <v>226</v>
      </c>
      <c r="Z5143" s="2">
        <v>6</v>
      </c>
      <c r="AA5143" s="2" t="s">
        <v>101</v>
      </c>
      <c r="AB5143" s="2">
        <v>2</v>
      </c>
      <c r="AC5143" s="2" t="s">
        <v>102</v>
      </c>
      <c r="AD5143" s="3">
        <v>40527</v>
      </c>
      <c r="AE5143" s="4">
        <v>0.875</v>
      </c>
      <c r="AF5143" s="3">
        <v>40527</v>
      </c>
      <c r="AG5143" s="4">
        <v>0.92708333333333337</v>
      </c>
      <c r="AH5143" s="2">
        <v>2</v>
      </c>
      <c r="AI5143" s="2" t="s">
        <v>84</v>
      </c>
      <c r="AJ5143" s="2">
        <v>9</v>
      </c>
      <c r="AK5143" s="2" t="s">
        <v>103</v>
      </c>
      <c r="AL5143" s="2">
        <v>14</v>
      </c>
      <c r="AM5143" s="2" t="s">
        <v>216</v>
      </c>
      <c r="AN5143" s="2" t="s">
        <v>15752</v>
      </c>
      <c r="AO5143" s="2"/>
      <c r="AP5143" s="2">
        <v>11</v>
      </c>
      <c r="AQ5143" s="2" t="s">
        <v>82</v>
      </c>
      <c r="AR5143" s="2"/>
      <c r="AS5143" s="2"/>
      <c r="AT5143" s="2" t="s">
        <v>15753</v>
      </c>
      <c r="AU5143" s="2"/>
      <c r="AV5143" s="2"/>
      <c r="AW5143" s="2"/>
      <c r="AX5143" s="2"/>
      <c r="AY5143" s="2">
        <v>41</v>
      </c>
      <c r="AZ5143" s="2" t="s">
        <v>82</v>
      </c>
      <c r="BA5143" s="2">
        <v>41</v>
      </c>
      <c r="BB5143" s="2" t="s">
        <v>82</v>
      </c>
      <c r="BC5143" s="2">
        <v>41</v>
      </c>
      <c r="BD5143" s="2" t="s">
        <v>82</v>
      </c>
      <c r="BE5143" s="2">
        <v>26</v>
      </c>
      <c r="BF5143" s="2" t="s">
        <v>1999</v>
      </c>
      <c r="BG5143" s="2" t="s">
        <v>14892</v>
      </c>
      <c r="BH5143" s="2"/>
      <c r="BI5143" s="2"/>
      <c r="BJ5143" s="2">
        <v>13</v>
      </c>
      <c r="BK5143" s="2" t="s">
        <v>91</v>
      </c>
      <c r="BL5143" s="2" t="s">
        <v>360</v>
      </c>
      <c r="BM5143" s="2">
        <v>75</v>
      </c>
      <c r="BN5143" s="2" t="s">
        <v>1264</v>
      </c>
      <c r="BO5143" s="2"/>
      <c r="BP5143" s="2">
        <v>75</v>
      </c>
      <c r="BQ5143" s="2" t="s">
        <v>1264</v>
      </c>
      <c r="BR5143" s="2" t="s">
        <v>1361</v>
      </c>
      <c r="BS5143" s="3">
        <v>40528</v>
      </c>
      <c r="BT5143" s="4">
        <v>2.6898148148148147E-2</v>
      </c>
    </row>
    <row r="5144" spans="1:72" x14ac:dyDescent="0.25">
      <c r="A5144" s="2">
        <v>8001</v>
      </c>
      <c r="B5144" s="2">
        <v>2010</v>
      </c>
      <c r="C5144" s="2" t="s">
        <v>171</v>
      </c>
      <c r="D5144" s="2" t="s">
        <v>122</v>
      </c>
      <c r="E5144" s="2" t="s">
        <v>15754</v>
      </c>
      <c r="F5144" s="2">
        <v>114</v>
      </c>
      <c r="G5144" s="2" t="s">
        <v>2817</v>
      </c>
      <c r="H5144" s="2">
        <v>108</v>
      </c>
      <c r="I5144" s="2" t="s">
        <v>1096</v>
      </c>
      <c r="J5144" s="2">
        <v>133</v>
      </c>
      <c r="K5144" s="2" t="s">
        <v>3844</v>
      </c>
      <c r="L5144" s="2" t="s">
        <v>3845</v>
      </c>
      <c r="M5144" s="3">
        <v>40528</v>
      </c>
      <c r="N5144" s="2" t="s">
        <v>10818</v>
      </c>
      <c r="O5144" s="2" t="s">
        <v>15755</v>
      </c>
      <c r="P5144" s="2" t="s">
        <v>15688</v>
      </c>
      <c r="Q5144" s="2" t="str">
        <f>"0025/10"</f>
        <v>0025/10</v>
      </c>
      <c r="R5144" s="2" t="s">
        <v>82</v>
      </c>
      <c r="S5144" s="2" t="s">
        <v>15689</v>
      </c>
      <c r="T5144" s="2">
        <v>1</v>
      </c>
      <c r="U5144" s="2" t="s">
        <v>79</v>
      </c>
      <c r="V5144" s="2">
        <v>1</v>
      </c>
      <c r="W5144" s="2" t="s">
        <v>80</v>
      </c>
      <c r="X5144" s="2">
        <v>5</v>
      </c>
      <c r="Y5144" s="2" t="s">
        <v>82</v>
      </c>
      <c r="Z5144" s="2">
        <v>1</v>
      </c>
      <c r="AA5144" s="2" t="s">
        <v>82</v>
      </c>
      <c r="AB5144" s="2">
        <v>1</v>
      </c>
      <c r="AC5144" s="2" t="s">
        <v>178</v>
      </c>
      <c r="AD5144" s="3">
        <v>40527</v>
      </c>
      <c r="AE5144" s="4">
        <v>0.85416666666666663</v>
      </c>
      <c r="AF5144" s="3">
        <v>40527</v>
      </c>
      <c r="AG5144" s="4">
        <v>0.88194444444444453</v>
      </c>
      <c r="AH5144" s="2">
        <v>6</v>
      </c>
      <c r="AI5144" s="2" t="s">
        <v>197</v>
      </c>
      <c r="AJ5144" s="2">
        <v>54</v>
      </c>
      <c r="AK5144" s="2" t="s">
        <v>348</v>
      </c>
      <c r="AL5144" s="2">
        <v>23</v>
      </c>
      <c r="AM5144" s="2" t="s">
        <v>251</v>
      </c>
      <c r="AN5144" s="2" t="s">
        <v>9102</v>
      </c>
      <c r="AO5144" s="2" t="s">
        <v>15756</v>
      </c>
      <c r="AP5144" s="2">
        <v>11</v>
      </c>
      <c r="AQ5144" s="2" t="s">
        <v>82</v>
      </c>
      <c r="AR5144" s="2"/>
      <c r="AS5144" s="2"/>
      <c r="AT5144" s="2" t="s">
        <v>15757</v>
      </c>
      <c r="AU5144" s="2"/>
      <c r="AV5144" s="2"/>
      <c r="AW5144" s="2"/>
      <c r="AX5144" s="2"/>
      <c r="AY5144" s="2">
        <v>41</v>
      </c>
      <c r="AZ5144" s="2" t="s">
        <v>82</v>
      </c>
      <c r="BA5144" s="2">
        <v>41</v>
      </c>
      <c r="BB5144" s="2" t="s">
        <v>82</v>
      </c>
      <c r="BC5144" s="2">
        <v>41</v>
      </c>
      <c r="BD5144" s="2" t="s">
        <v>82</v>
      </c>
      <c r="BE5144" s="2">
        <v>41</v>
      </c>
      <c r="BF5144" s="2" t="s">
        <v>82</v>
      </c>
      <c r="BG5144" s="2"/>
      <c r="BH5144" s="2"/>
      <c r="BI5144" s="2"/>
      <c r="BJ5144" s="2">
        <v>241</v>
      </c>
      <c r="BK5144" s="2" t="s">
        <v>82</v>
      </c>
      <c r="BL5144" s="2"/>
      <c r="BM5144" s="2">
        <v>241</v>
      </c>
      <c r="BN5144" s="2" t="s">
        <v>82</v>
      </c>
      <c r="BO5144" s="2"/>
      <c r="BP5144" s="2">
        <v>241</v>
      </c>
      <c r="BQ5144" s="2" t="s">
        <v>82</v>
      </c>
      <c r="BR5144" s="2"/>
      <c r="BS5144" s="3">
        <v>40528</v>
      </c>
      <c r="BT5144" s="4">
        <v>8.1354166666666672E-2</v>
      </c>
    </row>
    <row r="5145" spans="1:72" x14ac:dyDescent="0.25">
      <c r="A5145" s="2">
        <v>8002</v>
      </c>
      <c r="B5145" s="2">
        <v>2010</v>
      </c>
      <c r="C5145" s="2" t="s">
        <v>72</v>
      </c>
      <c r="D5145" s="2" t="s">
        <v>73</v>
      </c>
      <c r="E5145" s="2"/>
      <c r="F5145" s="2">
        <v>175</v>
      </c>
      <c r="G5145" s="2" t="s">
        <v>4170</v>
      </c>
      <c r="H5145" s="2">
        <v>22</v>
      </c>
      <c r="I5145" s="2" t="s">
        <v>75</v>
      </c>
      <c r="J5145" s="2">
        <v>728</v>
      </c>
      <c r="K5145" s="2" t="s">
        <v>15156</v>
      </c>
      <c r="L5145" s="2" t="s">
        <v>15157</v>
      </c>
      <c r="M5145" s="3">
        <v>40528</v>
      </c>
      <c r="N5145" s="2" t="s">
        <v>15507</v>
      </c>
      <c r="O5145" s="2"/>
      <c r="P5145" s="2"/>
      <c r="Q5145" s="2" t="str">
        <f>"453-A/10"</f>
        <v>453-A/10</v>
      </c>
      <c r="R5145" s="2" t="s">
        <v>116</v>
      </c>
      <c r="S5145" s="2" t="s">
        <v>116</v>
      </c>
      <c r="T5145" s="2">
        <v>1</v>
      </c>
      <c r="U5145" s="2" t="s">
        <v>79</v>
      </c>
      <c r="V5145" s="2">
        <v>1</v>
      </c>
      <c r="W5145" s="2" t="s">
        <v>80</v>
      </c>
      <c r="X5145" s="2">
        <v>12</v>
      </c>
      <c r="Y5145" s="2" t="s">
        <v>148</v>
      </c>
      <c r="Z5145" s="2">
        <v>1</v>
      </c>
      <c r="AA5145" s="2" t="s">
        <v>82</v>
      </c>
      <c r="AB5145" s="2">
        <v>6</v>
      </c>
      <c r="AC5145" s="2" t="s">
        <v>83</v>
      </c>
      <c r="AD5145" s="3">
        <v>40527</v>
      </c>
      <c r="AE5145" s="2"/>
      <c r="AF5145" s="3">
        <v>40527</v>
      </c>
      <c r="AG5145" s="4">
        <v>0.86458333333333337</v>
      </c>
      <c r="AH5145" s="2">
        <v>2</v>
      </c>
      <c r="AI5145" s="2" t="s">
        <v>84</v>
      </c>
      <c r="AJ5145" s="2">
        <v>12</v>
      </c>
      <c r="AK5145" s="2" t="s">
        <v>85</v>
      </c>
      <c r="AL5145" s="2">
        <v>24</v>
      </c>
      <c r="AM5145" s="2" t="s">
        <v>1540</v>
      </c>
      <c r="AN5145" s="2" t="s">
        <v>15758</v>
      </c>
      <c r="AO5145" s="2" t="s">
        <v>13935</v>
      </c>
      <c r="AP5145" s="2">
        <v>11</v>
      </c>
      <c r="AQ5145" s="2" t="s">
        <v>82</v>
      </c>
      <c r="AR5145" s="2"/>
      <c r="AS5145" s="2"/>
      <c r="AT5145" s="2" t="s">
        <v>15759</v>
      </c>
      <c r="AU5145" s="2"/>
      <c r="AV5145" s="2"/>
      <c r="AW5145" s="2"/>
      <c r="AX5145" s="2"/>
      <c r="AY5145" s="2">
        <v>41</v>
      </c>
      <c r="AZ5145" s="2" t="s">
        <v>82</v>
      </c>
      <c r="BA5145" s="2">
        <v>41</v>
      </c>
      <c r="BB5145" s="2" t="s">
        <v>82</v>
      </c>
      <c r="BC5145" s="2">
        <v>41</v>
      </c>
      <c r="BD5145" s="2" t="s">
        <v>82</v>
      </c>
      <c r="BE5145" s="2">
        <v>41</v>
      </c>
      <c r="BF5145" s="2" t="s">
        <v>82</v>
      </c>
      <c r="BG5145" s="2"/>
      <c r="BH5145" s="2"/>
      <c r="BI5145" s="2"/>
      <c r="BJ5145" s="2">
        <v>241</v>
      </c>
      <c r="BK5145" s="2" t="s">
        <v>82</v>
      </c>
      <c r="BL5145" s="2"/>
      <c r="BM5145" s="2">
        <v>241</v>
      </c>
      <c r="BN5145" s="2" t="s">
        <v>82</v>
      </c>
      <c r="BO5145" s="2"/>
      <c r="BP5145" s="2">
        <v>241</v>
      </c>
      <c r="BQ5145" s="2" t="s">
        <v>82</v>
      </c>
      <c r="BR5145" s="2"/>
      <c r="BS5145" s="3">
        <v>40528</v>
      </c>
      <c r="BT5145" s="4">
        <v>9.8182870370370365E-2</v>
      </c>
    </row>
    <row r="5146" spans="1:72" x14ac:dyDescent="0.25">
      <c r="A5146" s="2">
        <v>8003</v>
      </c>
      <c r="B5146" s="2">
        <v>2010</v>
      </c>
      <c r="C5146" s="2" t="s">
        <v>377</v>
      </c>
      <c r="D5146" s="2" t="s">
        <v>73</v>
      </c>
      <c r="E5146" s="2"/>
      <c r="F5146" s="2">
        <v>426</v>
      </c>
      <c r="G5146" s="2" t="s">
        <v>378</v>
      </c>
      <c r="H5146" s="2">
        <v>149</v>
      </c>
      <c r="I5146" s="2" t="s">
        <v>14672</v>
      </c>
      <c r="J5146" s="2">
        <v>311</v>
      </c>
      <c r="K5146" s="2" t="s">
        <v>379</v>
      </c>
      <c r="L5146" s="2" t="s">
        <v>380</v>
      </c>
      <c r="M5146" s="3">
        <v>40528</v>
      </c>
      <c r="N5146" s="2" t="s">
        <v>7171</v>
      </c>
      <c r="O5146" s="2"/>
      <c r="P5146" s="2"/>
      <c r="Q5146" s="2" t="str">
        <f>"304-C/10"</f>
        <v>304-C/10</v>
      </c>
      <c r="R5146" s="2"/>
      <c r="S5146" s="2" t="s">
        <v>3217</v>
      </c>
      <c r="T5146" s="2">
        <v>1</v>
      </c>
      <c r="U5146" s="2" t="s">
        <v>79</v>
      </c>
      <c r="V5146" s="2">
        <v>1</v>
      </c>
      <c r="W5146" s="2" t="s">
        <v>80</v>
      </c>
      <c r="X5146" s="2">
        <v>1</v>
      </c>
      <c r="Y5146" s="2" t="s">
        <v>81</v>
      </c>
      <c r="Z5146" s="2">
        <v>1</v>
      </c>
      <c r="AA5146" s="2" t="s">
        <v>82</v>
      </c>
      <c r="AB5146" s="2">
        <v>9</v>
      </c>
      <c r="AC5146" s="2" t="s">
        <v>124</v>
      </c>
      <c r="AD5146" s="3">
        <v>40527</v>
      </c>
      <c r="AE5146" s="4">
        <v>0.77083333333333337</v>
      </c>
      <c r="AF5146" s="3">
        <v>40527</v>
      </c>
      <c r="AG5146" s="4">
        <v>0.78125</v>
      </c>
      <c r="AH5146" s="2">
        <v>2</v>
      </c>
      <c r="AI5146" s="2" t="s">
        <v>84</v>
      </c>
      <c r="AJ5146" s="2">
        <v>9</v>
      </c>
      <c r="AK5146" s="2" t="s">
        <v>103</v>
      </c>
      <c r="AL5146" s="2">
        <v>29</v>
      </c>
      <c r="AM5146" s="2" t="s">
        <v>5416</v>
      </c>
      <c r="AN5146" s="2" t="s">
        <v>15760</v>
      </c>
      <c r="AO5146" s="2" t="s">
        <v>987</v>
      </c>
      <c r="AP5146" s="2">
        <v>11</v>
      </c>
      <c r="AQ5146" s="2" t="s">
        <v>82</v>
      </c>
      <c r="AR5146" s="2"/>
      <c r="AS5146" s="2"/>
      <c r="AT5146" s="2" t="s">
        <v>15761</v>
      </c>
      <c r="AU5146" s="2"/>
      <c r="AV5146" s="2"/>
      <c r="AW5146" s="2"/>
      <c r="AX5146" s="2"/>
      <c r="AY5146" s="2">
        <v>41</v>
      </c>
      <c r="AZ5146" s="2" t="s">
        <v>82</v>
      </c>
      <c r="BA5146" s="2">
        <v>41</v>
      </c>
      <c r="BB5146" s="2" t="s">
        <v>82</v>
      </c>
      <c r="BC5146" s="2">
        <v>41</v>
      </c>
      <c r="BD5146" s="2" t="s">
        <v>82</v>
      </c>
      <c r="BE5146" s="2">
        <v>41</v>
      </c>
      <c r="BF5146" s="2" t="s">
        <v>82</v>
      </c>
      <c r="BG5146" s="2"/>
      <c r="BH5146" s="2"/>
      <c r="BI5146" s="2"/>
      <c r="BJ5146" s="2">
        <v>241</v>
      </c>
      <c r="BK5146" s="2" t="s">
        <v>82</v>
      </c>
      <c r="BL5146" s="2"/>
      <c r="BM5146" s="2">
        <v>241</v>
      </c>
      <c r="BN5146" s="2" t="s">
        <v>82</v>
      </c>
      <c r="BO5146" s="2"/>
      <c r="BP5146" s="2">
        <v>241</v>
      </c>
      <c r="BQ5146" s="2" t="s">
        <v>82</v>
      </c>
      <c r="BR5146" s="2"/>
      <c r="BS5146" s="3">
        <v>40528</v>
      </c>
      <c r="BT5146" s="4">
        <v>0.16246527777777778</v>
      </c>
    </row>
    <row r="5147" spans="1:72" x14ac:dyDescent="0.25">
      <c r="A5147" s="2">
        <v>8004</v>
      </c>
      <c r="B5147" s="2">
        <v>2010</v>
      </c>
      <c r="C5147" s="2" t="s">
        <v>1094</v>
      </c>
      <c r="D5147" s="2" t="s">
        <v>73</v>
      </c>
      <c r="E5147" s="2"/>
      <c r="F5147" s="2">
        <v>628</v>
      </c>
      <c r="G5147" s="2" t="s">
        <v>15738</v>
      </c>
      <c r="H5147" s="2">
        <v>22</v>
      </c>
      <c r="I5147" s="2" t="s">
        <v>75</v>
      </c>
      <c r="J5147" s="2">
        <v>258</v>
      </c>
      <c r="K5147" s="2" t="s">
        <v>1890</v>
      </c>
      <c r="L5147" s="2" t="s">
        <v>1891</v>
      </c>
      <c r="M5147" s="3">
        <v>40528</v>
      </c>
      <c r="N5147" s="2"/>
      <c r="O5147" s="2"/>
      <c r="P5147" s="2"/>
      <c r="Q5147" s="2" t="str">
        <f>"454-A/10"</f>
        <v>454-A/10</v>
      </c>
      <c r="R5147" s="2"/>
      <c r="S5147" s="2" t="s">
        <v>1100</v>
      </c>
      <c r="T5147" s="2">
        <v>1</v>
      </c>
      <c r="U5147" s="2" t="s">
        <v>79</v>
      </c>
      <c r="V5147" s="2">
        <v>1</v>
      </c>
      <c r="W5147" s="2" t="s">
        <v>80</v>
      </c>
      <c r="X5147" s="2">
        <v>12</v>
      </c>
      <c r="Y5147" s="2" t="s">
        <v>148</v>
      </c>
      <c r="Z5147" s="2">
        <v>1</v>
      </c>
      <c r="AA5147" s="2" t="s">
        <v>82</v>
      </c>
      <c r="AB5147" s="2">
        <v>9</v>
      </c>
      <c r="AC5147" s="2" t="s">
        <v>124</v>
      </c>
      <c r="AD5147" s="3">
        <v>40527</v>
      </c>
      <c r="AE5147" s="4">
        <v>0.69791666666666663</v>
      </c>
      <c r="AF5147" s="3">
        <v>40527</v>
      </c>
      <c r="AG5147" s="4">
        <v>0.9375</v>
      </c>
      <c r="AH5147" s="2">
        <v>2</v>
      </c>
      <c r="AI5147" s="2" t="s">
        <v>84</v>
      </c>
      <c r="AJ5147" s="2">
        <v>12</v>
      </c>
      <c r="AK5147" s="2" t="s">
        <v>85</v>
      </c>
      <c r="AL5147" s="2">
        <v>13</v>
      </c>
      <c r="AM5147" s="2" t="s">
        <v>117</v>
      </c>
      <c r="AN5147" s="2" t="s">
        <v>15762</v>
      </c>
      <c r="AO5147" s="2"/>
      <c r="AP5147" s="2">
        <v>11</v>
      </c>
      <c r="AQ5147" s="2" t="s">
        <v>82</v>
      </c>
      <c r="AR5147" s="2"/>
      <c r="AS5147" s="2"/>
      <c r="AT5147" s="2" t="s">
        <v>15763</v>
      </c>
      <c r="AU5147" s="2"/>
      <c r="AV5147" s="2"/>
      <c r="AW5147" s="2"/>
      <c r="AX5147" s="2"/>
      <c r="AY5147" s="2">
        <v>41</v>
      </c>
      <c r="AZ5147" s="2" t="s">
        <v>82</v>
      </c>
      <c r="BA5147" s="2">
        <v>41</v>
      </c>
      <c r="BB5147" s="2" t="s">
        <v>82</v>
      </c>
      <c r="BC5147" s="2">
        <v>41</v>
      </c>
      <c r="BD5147" s="2" t="s">
        <v>82</v>
      </c>
      <c r="BE5147" s="2">
        <v>10</v>
      </c>
      <c r="BF5147" s="2" t="s">
        <v>901</v>
      </c>
      <c r="BG5147" s="2" t="s">
        <v>10406</v>
      </c>
      <c r="BH5147" s="2"/>
      <c r="BI5147" s="2"/>
      <c r="BJ5147" s="2">
        <v>13</v>
      </c>
      <c r="BK5147" s="2" t="s">
        <v>91</v>
      </c>
      <c r="BL5147" s="2" t="s">
        <v>564</v>
      </c>
      <c r="BM5147" s="2">
        <v>241</v>
      </c>
      <c r="BN5147" s="2" t="s">
        <v>82</v>
      </c>
      <c r="BO5147" s="2"/>
      <c r="BP5147" s="2">
        <v>33</v>
      </c>
      <c r="BQ5147" s="2" t="s">
        <v>361</v>
      </c>
      <c r="BR5147" s="2" t="s">
        <v>1739</v>
      </c>
      <c r="BS5147" s="3">
        <v>40528</v>
      </c>
      <c r="BT5147" s="4">
        <v>0.22620370370370371</v>
      </c>
    </row>
    <row r="5148" spans="1:72" x14ac:dyDescent="0.25">
      <c r="A5148" s="2">
        <v>8008</v>
      </c>
      <c r="B5148" s="2">
        <v>2010</v>
      </c>
      <c r="C5148" s="2" t="s">
        <v>147</v>
      </c>
      <c r="D5148" s="2" t="s">
        <v>122</v>
      </c>
      <c r="E5148" s="2"/>
      <c r="F5148" s="2">
        <v>1</v>
      </c>
      <c r="G5148" s="2" t="s">
        <v>82</v>
      </c>
      <c r="H5148" s="2">
        <v>1</v>
      </c>
      <c r="I5148" s="2" t="s">
        <v>82</v>
      </c>
      <c r="J5148" s="2">
        <v>1</v>
      </c>
      <c r="K5148" s="2" t="s">
        <v>107</v>
      </c>
      <c r="L5148" s="2" t="s">
        <v>107</v>
      </c>
      <c r="M5148" s="3">
        <v>40528</v>
      </c>
      <c r="N5148" s="2"/>
      <c r="O5148" s="2"/>
      <c r="P5148" s="2"/>
      <c r="Q5148" s="2" t="str">
        <f>""</f>
        <v/>
      </c>
      <c r="R5148" s="2"/>
      <c r="S5148" s="2"/>
      <c r="T5148" s="2">
        <v>2</v>
      </c>
      <c r="U5148" s="2" t="s">
        <v>123</v>
      </c>
      <c r="V5148" s="2">
        <v>1</v>
      </c>
      <c r="W5148" s="2" t="s">
        <v>80</v>
      </c>
      <c r="X5148" s="2">
        <v>5</v>
      </c>
      <c r="Y5148" s="2" t="s">
        <v>82</v>
      </c>
      <c r="Z5148" s="2">
        <v>1</v>
      </c>
      <c r="AA5148" s="2" t="s">
        <v>82</v>
      </c>
      <c r="AB5148" s="2">
        <v>9</v>
      </c>
      <c r="AC5148" s="2" t="s">
        <v>124</v>
      </c>
      <c r="AD5148" s="3">
        <v>40527</v>
      </c>
      <c r="AE5148" s="4">
        <v>0.67361111111111116</v>
      </c>
      <c r="AF5148" s="3">
        <v>40528</v>
      </c>
      <c r="AG5148" s="2"/>
      <c r="AH5148" s="2">
        <v>4</v>
      </c>
      <c r="AI5148" s="2" t="s">
        <v>125</v>
      </c>
      <c r="AJ5148" s="2">
        <v>28</v>
      </c>
      <c r="AK5148" s="2" t="s">
        <v>741</v>
      </c>
      <c r="AL5148" s="2">
        <v>23</v>
      </c>
      <c r="AM5148" s="2" t="s">
        <v>251</v>
      </c>
      <c r="AN5148" s="2"/>
      <c r="AO5148" s="2"/>
      <c r="AP5148" s="2">
        <v>11</v>
      </c>
      <c r="AQ5148" s="2" t="s">
        <v>82</v>
      </c>
      <c r="AR5148" s="2"/>
      <c r="AS5148" s="2"/>
      <c r="AT5148" s="2" t="s">
        <v>15764</v>
      </c>
      <c r="AU5148" s="2"/>
      <c r="AV5148" s="2"/>
      <c r="AW5148" s="2"/>
      <c r="AX5148" s="2"/>
      <c r="AY5148" s="2">
        <v>41</v>
      </c>
      <c r="AZ5148" s="2" t="s">
        <v>82</v>
      </c>
      <c r="BA5148" s="2">
        <v>41</v>
      </c>
      <c r="BB5148" s="2" t="s">
        <v>82</v>
      </c>
      <c r="BC5148" s="2">
        <v>41</v>
      </c>
      <c r="BD5148" s="2" t="s">
        <v>82</v>
      </c>
      <c r="BE5148" s="2">
        <v>41</v>
      </c>
      <c r="BF5148" s="2" t="s">
        <v>82</v>
      </c>
      <c r="BG5148" s="2"/>
      <c r="BH5148" s="2"/>
      <c r="BI5148" s="2"/>
      <c r="BJ5148" s="2">
        <v>241</v>
      </c>
      <c r="BK5148" s="2" t="s">
        <v>82</v>
      </c>
      <c r="BL5148" s="2"/>
      <c r="BM5148" s="2">
        <v>241</v>
      </c>
      <c r="BN5148" s="2" t="s">
        <v>82</v>
      </c>
      <c r="BO5148" s="2"/>
      <c r="BP5148" s="2">
        <v>241</v>
      </c>
      <c r="BQ5148" s="2" t="s">
        <v>82</v>
      </c>
      <c r="BR5148" s="2"/>
      <c r="BS5148" s="3">
        <v>40528</v>
      </c>
      <c r="BT5148" s="4">
        <v>0.51530092592592591</v>
      </c>
    </row>
    <row r="5149" spans="1:72" x14ac:dyDescent="0.25">
      <c r="A5149" s="2">
        <v>8009</v>
      </c>
      <c r="B5149" s="2">
        <v>2010</v>
      </c>
      <c r="C5149" s="2" t="s">
        <v>147</v>
      </c>
      <c r="D5149" s="2" t="s">
        <v>73</v>
      </c>
      <c r="E5149" s="2"/>
      <c r="F5149" s="2">
        <v>1</v>
      </c>
      <c r="G5149" s="2" t="s">
        <v>82</v>
      </c>
      <c r="H5149" s="2">
        <v>1</v>
      </c>
      <c r="I5149" s="2" t="s">
        <v>82</v>
      </c>
      <c r="J5149" s="2">
        <v>1</v>
      </c>
      <c r="K5149" s="2" t="s">
        <v>107</v>
      </c>
      <c r="L5149" s="2" t="s">
        <v>107</v>
      </c>
      <c r="M5149" s="3">
        <v>40528</v>
      </c>
      <c r="N5149" s="2"/>
      <c r="O5149" s="2"/>
      <c r="P5149" s="2"/>
      <c r="Q5149" s="2" t="str">
        <f>"EXTRAVIO Nº 44/10"</f>
        <v>EXTRAVIO Nº 44/10</v>
      </c>
      <c r="R5149" s="2"/>
      <c r="S5149" s="2"/>
      <c r="T5149" s="2">
        <v>2</v>
      </c>
      <c r="U5149" s="2" t="s">
        <v>123</v>
      </c>
      <c r="V5149" s="2">
        <v>1</v>
      </c>
      <c r="W5149" s="2" t="s">
        <v>80</v>
      </c>
      <c r="X5149" s="2">
        <v>5</v>
      </c>
      <c r="Y5149" s="2" t="s">
        <v>82</v>
      </c>
      <c r="Z5149" s="2">
        <v>1</v>
      </c>
      <c r="AA5149" s="2" t="s">
        <v>82</v>
      </c>
      <c r="AB5149" s="2">
        <v>9</v>
      </c>
      <c r="AC5149" s="2" t="s">
        <v>124</v>
      </c>
      <c r="AD5149" s="2"/>
      <c r="AE5149" s="2"/>
      <c r="AF5149" s="3">
        <v>40528</v>
      </c>
      <c r="AG5149" s="4">
        <v>0.4861111111111111</v>
      </c>
      <c r="AH5149" s="2">
        <v>2</v>
      </c>
      <c r="AI5149" s="2" t="s">
        <v>84</v>
      </c>
      <c r="AJ5149" s="2">
        <v>11</v>
      </c>
      <c r="AK5149" s="2" t="s">
        <v>751</v>
      </c>
      <c r="AL5149" s="2">
        <v>19</v>
      </c>
      <c r="AM5149" s="2" t="s">
        <v>107</v>
      </c>
      <c r="AN5149" s="2" t="s">
        <v>15765</v>
      </c>
      <c r="AO5149" s="2"/>
      <c r="AP5149" s="2">
        <v>11</v>
      </c>
      <c r="AQ5149" s="2" t="s">
        <v>82</v>
      </c>
      <c r="AR5149" s="2"/>
      <c r="AS5149" s="2"/>
      <c r="AT5149" s="2" t="s">
        <v>15766</v>
      </c>
      <c r="AU5149" s="2"/>
      <c r="AV5149" s="2"/>
      <c r="AW5149" s="2"/>
      <c r="AX5149" s="2"/>
      <c r="AY5149" s="2">
        <v>41</v>
      </c>
      <c r="AZ5149" s="2" t="s">
        <v>82</v>
      </c>
      <c r="BA5149" s="2">
        <v>41</v>
      </c>
      <c r="BB5149" s="2" t="s">
        <v>82</v>
      </c>
      <c r="BC5149" s="2">
        <v>41</v>
      </c>
      <c r="BD5149" s="2" t="s">
        <v>82</v>
      </c>
      <c r="BE5149" s="2">
        <v>41</v>
      </c>
      <c r="BF5149" s="2" t="s">
        <v>82</v>
      </c>
      <c r="BG5149" s="2"/>
      <c r="BH5149" s="2"/>
      <c r="BI5149" s="2"/>
      <c r="BJ5149" s="2">
        <v>241</v>
      </c>
      <c r="BK5149" s="2" t="s">
        <v>82</v>
      </c>
      <c r="BL5149" s="2"/>
      <c r="BM5149" s="2">
        <v>241</v>
      </c>
      <c r="BN5149" s="2" t="s">
        <v>82</v>
      </c>
      <c r="BO5149" s="2"/>
      <c r="BP5149" s="2">
        <v>241</v>
      </c>
      <c r="BQ5149" s="2" t="s">
        <v>82</v>
      </c>
      <c r="BR5149" s="2"/>
      <c r="BS5149" s="3">
        <v>40528</v>
      </c>
      <c r="BT5149" s="4">
        <v>0.52892361111111108</v>
      </c>
    </row>
    <row r="5150" spans="1:72" x14ac:dyDescent="0.25">
      <c r="A5150" s="2">
        <v>8010</v>
      </c>
      <c r="B5150" s="2">
        <v>2010</v>
      </c>
      <c r="C5150" s="2" t="s">
        <v>171</v>
      </c>
      <c r="D5150" s="2" t="s">
        <v>73</v>
      </c>
      <c r="E5150" s="2"/>
      <c r="F5150" s="2">
        <v>114</v>
      </c>
      <c r="G5150" s="2" t="s">
        <v>2817</v>
      </c>
      <c r="H5150" s="2">
        <v>99</v>
      </c>
      <c r="I5150" s="2" t="s">
        <v>6285</v>
      </c>
      <c r="J5150" s="2">
        <v>133</v>
      </c>
      <c r="K5150" s="2" t="s">
        <v>3844</v>
      </c>
      <c r="L5150" s="2" t="s">
        <v>3845</v>
      </c>
      <c r="M5150" s="3">
        <v>40528</v>
      </c>
      <c r="N5150" s="2" t="s">
        <v>15767</v>
      </c>
      <c r="O5150" s="2" t="s">
        <v>15768</v>
      </c>
      <c r="P5150" s="2" t="s">
        <v>15688</v>
      </c>
      <c r="Q5150" s="2" t="str">
        <f>""</f>
        <v/>
      </c>
      <c r="R5150" s="2"/>
      <c r="S5150" s="2"/>
      <c r="T5150" s="2">
        <v>1</v>
      </c>
      <c r="U5150" s="2" t="s">
        <v>79</v>
      </c>
      <c r="V5150" s="2">
        <v>3</v>
      </c>
      <c r="W5150" s="2" t="s">
        <v>225</v>
      </c>
      <c r="X5150" s="2">
        <v>6</v>
      </c>
      <c r="Y5150" s="2" t="s">
        <v>249</v>
      </c>
      <c r="Z5150" s="2">
        <v>1</v>
      </c>
      <c r="AA5150" s="2" t="s">
        <v>82</v>
      </c>
      <c r="AB5150" s="2">
        <v>9</v>
      </c>
      <c r="AC5150" s="2" t="s">
        <v>124</v>
      </c>
      <c r="AD5150" s="3">
        <v>40528</v>
      </c>
      <c r="AE5150" s="4">
        <v>0.48333333333333334</v>
      </c>
      <c r="AF5150" s="3">
        <v>40528</v>
      </c>
      <c r="AG5150" s="4">
        <v>0.48333333333333334</v>
      </c>
      <c r="AH5150" s="2">
        <v>6</v>
      </c>
      <c r="AI5150" s="2" t="s">
        <v>197</v>
      </c>
      <c r="AJ5150" s="2">
        <v>47</v>
      </c>
      <c r="AK5150" s="2" t="s">
        <v>250</v>
      </c>
      <c r="AL5150" s="2">
        <v>23</v>
      </c>
      <c r="AM5150" s="2" t="s">
        <v>251</v>
      </c>
      <c r="AN5150" s="2"/>
      <c r="AO5150" s="2" t="s">
        <v>15769</v>
      </c>
      <c r="AP5150" s="2">
        <v>11</v>
      </c>
      <c r="AQ5150" s="2" t="s">
        <v>82</v>
      </c>
      <c r="AR5150" s="2"/>
      <c r="AS5150" s="2"/>
      <c r="AT5150" s="2" t="s">
        <v>15770</v>
      </c>
      <c r="AU5150" s="2"/>
      <c r="AV5150" s="2"/>
      <c r="AW5150" s="2"/>
      <c r="AX5150" s="2"/>
      <c r="AY5150" s="2">
        <v>41</v>
      </c>
      <c r="AZ5150" s="2" t="s">
        <v>82</v>
      </c>
      <c r="BA5150" s="2">
        <v>41</v>
      </c>
      <c r="BB5150" s="2" t="s">
        <v>82</v>
      </c>
      <c r="BC5150" s="2">
        <v>41</v>
      </c>
      <c r="BD5150" s="2" t="s">
        <v>82</v>
      </c>
      <c r="BE5150" s="2">
        <v>41</v>
      </c>
      <c r="BF5150" s="2" t="s">
        <v>82</v>
      </c>
      <c r="BG5150" s="2"/>
      <c r="BH5150" s="2"/>
      <c r="BI5150" s="2"/>
      <c r="BJ5150" s="2">
        <v>241</v>
      </c>
      <c r="BK5150" s="2" t="s">
        <v>82</v>
      </c>
      <c r="BL5150" s="2"/>
      <c r="BM5150" s="2">
        <v>241</v>
      </c>
      <c r="BN5150" s="2" t="s">
        <v>82</v>
      </c>
      <c r="BO5150" s="2"/>
      <c r="BP5150" s="2">
        <v>241</v>
      </c>
      <c r="BQ5150" s="2" t="s">
        <v>82</v>
      </c>
      <c r="BR5150" s="2"/>
      <c r="BS5150" s="3">
        <v>40528</v>
      </c>
      <c r="BT5150" s="4">
        <v>0.53057870370370364</v>
      </c>
    </row>
    <row r="5151" spans="1:72" x14ac:dyDescent="0.25">
      <c r="A5151" s="2">
        <v>8011</v>
      </c>
      <c r="B5151" s="2">
        <v>2010</v>
      </c>
      <c r="C5151" s="2" t="s">
        <v>171</v>
      </c>
      <c r="D5151" s="2" t="s">
        <v>73</v>
      </c>
      <c r="E5151" s="2" t="s">
        <v>15771</v>
      </c>
      <c r="F5151" s="2">
        <v>451</v>
      </c>
      <c r="G5151" s="2" t="s">
        <v>879</v>
      </c>
      <c r="H5151" s="2">
        <v>31</v>
      </c>
      <c r="I5151" s="2" t="s">
        <v>880</v>
      </c>
      <c r="J5151" s="2">
        <v>326</v>
      </c>
      <c r="K5151" s="2" t="s">
        <v>881</v>
      </c>
      <c r="L5151" s="2" t="s">
        <v>882</v>
      </c>
      <c r="M5151" s="3">
        <v>40528</v>
      </c>
      <c r="N5151" s="2" t="s">
        <v>1072</v>
      </c>
      <c r="O5151" s="2" t="s">
        <v>7774</v>
      </c>
      <c r="P5151" s="2" t="s">
        <v>7767</v>
      </c>
      <c r="Q5151" s="2" t="str">
        <f>"115/10"</f>
        <v>115/10</v>
      </c>
      <c r="R5151" s="2" t="s">
        <v>822</v>
      </c>
      <c r="S5151" s="2"/>
      <c r="T5151" s="2">
        <v>1</v>
      </c>
      <c r="U5151" s="2" t="s">
        <v>79</v>
      </c>
      <c r="V5151" s="2">
        <v>1</v>
      </c>
      <c r="W5151" s="2" t="s">
        <v>80</v>
      </c>
      <c r="X5151" s="2">
        <v>1</v>
      </c>
      <c r="Y5151" s="2" t="s">
        <v>81</v>
      </c>
      <c r="Z5151" s="2">
        <v>1</v>
      </c>
      <c r="AA5151" s="2" t="s">
        <v>82</v>
      </c>
      <c r="AB5151" s="2">
        <v>1</v>
      </c>
      <c r="AC5151" s="2" t="s">
        <v>178</v>
      </c>
      <c r="AD5151" s="3">
        <v>40528</v>
      </c>
      <c r="AE5151" s="4">
        <v>0.46875</v>
      </c>
      <c r="AF5151" s="3">
        <v>40528</v>
      </c>
      <c r="AG5151" s="4">
        <v>0.46875</v>
      </c>
      <c r="AH5151" s="2">
        <v>4</v>
      </c>
      <c r="AI5151" s="2" t="s">
        <v>125</v>
      </c>
      <c r="AJ5151" s="2">
        <v>29</v>
      </c>
      <c r="AK5151" s="2" t="s">
        <v>227</v>
      </c>
      <c r="AL5151" s="2">
        <v>16</v>
      </c>
      <c r="AM5151" s="2" t="s">
        <v>392</v>
      </c>
      <c r="AN5151" s="2"/>
      <c r="AO5151" s="2" t="s">
        <v>9764</v>
      </c>
      <c r="AP5151" s="2">
        <v>11</v>
      </c>
      <c r="AQ5151" s="2" t="s">
        <v>82</v>
      </c>
      <c r="AR5151" s="2" t="s">
        <v>824</v>
      </c>
      <c r="AS5151" s="2" t="s">
        <v>825</v>
      </c>
      <c r="AT5151" s="2" t="s">
        <v>15772</v>
      </c>
      <c r="AU5151" s="2"/>
      <c r="AV5151" s="2"/>
      <c r="AW5151" s="2"/>
      <c r="AX5151" s="2"/>
      <c r="AY5151" s="2">
        <v>41</v>
      </c>
      <c r="AZ5151" s="2" t="s">
        <v>82</v>
      </c>
      <c r="BA5151" s="2">
        <v>41</v>
      </c>
      <c r="BB5151" s="2" t="s">
        <v>82</v>
      </c>
      <c r="BC5151" s="2">
        <v>51</v>
      </c>
      <c r="BD5151" s="2" t="s">
        <v>827</v>
      </c>
      <c r="BE5151" s="2">
        <v>47</v>
      </c>
      <c r="BF5151" s="2" t="s">
        <v>167</v>
      </c>
      <c r="BG5151" s="2">
        <v>2459</v>
      </c>
      <c r="BH5151" s="4">
        <v>0.93055555555555547</v>
      </c>
      <c r="BI5151" s="4">
        <v>0.97222222222222221</v>
      </c>
      <c r="BJ5151" s="2">
        <v>13</v>
      </c>
      <c r="BK5151" s="2" t="s">
        <v>91</v>
      </c>
      <c r="BL5151" s="2" t="s">
        <v>828</v>
      </c>
      <c r="BM5151" s="2">
        <v>13</v>
      </c>
      <c r="BN5151" s="2" t="s">
        <v>91</v>
      </c>
      <c r="BO5151" s="2"/>
      <c r="BP5151" s="2">
        <v>13</v>
      </c>
      <c r="BQ5151" s="2" t="s">
        <v>91</v>
      </c>
      <c r="BR5151" s="2" t="s">
        <v>185</v>
      </c>
      <c r="BS5151" s="3">
        <v>40528</v>
      </c>
      <c r="BT5151" s="4">
        <v>0.53732638888888895</v>
      </c>
    </row>
    <row r="5152" spans="1:72" x14ac:dyDescent="0.25">
      <c r="A5152" s="2">
        <v>8012</v>
      </c>
      <c r="B5152" s="2">
        <v>2010</v>
      </c>
      <c r="C5152" s="2" t="s">
        <v>171</v>
      </c>
      <c r="D5152" s="2" t="s">
        <v>73</v>
      </c>
      <c r="E5152" s="2"/>
      <c r="F5152" s="2">
        <v>400</v>
      </c>
      <c r="G5152" s="2" t="s">
        <v>3601</v>
      </c>
      <c r="H5152" s="2">
        <v>17</v>
      </c>
      <c r="I5152" s="2" t="s">
        <v>3602</v>
      </c>
      <c r="J5152" s="2">
        <v>692</v>
      </c>
      <c r="K5152" s="2" t="s">
        <v>574</v>
      </c>
      <c r="L5152" s="2" t="s">
        <v>575</v>
      </c>
      <c r="M5152" s="3">
        <v>40528</v>
      </c>
      <c r="N5152" s="2" t="s">
        <v>15773</v>
      </c>
      <c r="O5152" s="2" t="s">
        <v>15774</v>
      </c>
      <c r="P5152" s="2" t="s">
        <v>15775</v>
      </c>
      <c r="Q5152" s="2" t="str">
        <f>"N/C"</f>
        <v>N/C</v>
      </c>
      <c r="R5152" s="2" t="s">
        <v>82</v>
      </c>
      <c r="S5152" s="2" t="s">
        <v>82</v>
      </c>
      <c r="T5152" s="2">
        <v>1</v>
      </c>
      <c r="U5152" s="2" t="s">
        <v>79</v>
      </c>
      <c r="V5152" s="2">
        <v>3</v>
      </c>
      <c r="W5152" s="2" t="s">
        <v>225</v>
      </c>
      <c r="X5152" s="2">
        <v>2</v>
      </c>
      <c r="Y5152" s="2" t="s">
        <v>136</v>
      </c>
      <c r="Z5152" s="2">
        <v>1</v>
      </c>
      <c r="AA5152" s="2" t="s">
        <v>82</v>
      </c>
      <c r="AB5152" s="2">
        <v>9</v>
      </c>
      <c r="AC5152" s="2" t="s">
        <v>124</v>
      </c>
      <c r="AD5152" s="3">
        <v>40526</v>
      </c>
      <c r="AE5152" s="2"/>
      <c r="AF5152" s="3">
        <v>40528</v>
      </c>
      <c r="AG5152" s="2"/>
      <c r="AH5152" s="2">
        <v>2</v>
      </c>
      <c r="AI5152" s="2" t="s">
        <v>84</v>
      </c>
      <c r="AJ5152" s="2">
        <v>6</v>
      </c>
      <c r="AK5152" s="2" t="s">
        <v>453</v>
      </c>
      <c r="AL5152" s="2">
        <v>19</v>
      </c>
      <c r="AM5152" s="2" t="s">
        <v>107</v>
      </c>
      <c r="AN5152" s="2" t="s">
        <v>107</v>
      </c>
      <c r="AO5152" s="2" t="s">
        <v>107</v>
      </c>
      <c r="AP5152" s="2">
        <v>11</v>
      </c>
      <c r="AQ5152" s="2" t="s">
        <v>82</v>
      </c>
      <c r="AR5152" s="2"/>
      <c r="AS5152" s="2"/>
      <c r="AT5152" s="2" t="s">
        <v>15776</v>
      </c>
      <c r="AU5152" s="2"/>
      <c r="AV5152" s="2"/>
      <c r="AW5152" s="2"/>
      <c r="AX5152" s="2"/>
      <c r="AY5152" s="2">
        <v>41</v>
      </c>
      <c r="AZ5152" s="2" t="s">
        <v>82</v>
      </c>
      <c r="BA5152" s="2">
        <v>41</v>
      </c>
      <c r="BB5152" s="2" t="s">
        <v>82</v>
      </c>
      <c r="BC5152" s="2">
        <v>41</v>
      </c>
      <c r="BD5152" s="2" t="s">
        <v>82</v>
      </c>
      <c r="BE5152" s="2">
        <v>1</v>
      </c>
      <c r="BF5152" s="2" t="s">
        <v>107</v>
      </c>
      <c r="BG5152" s="2" t="s">
        <v>107</v>
      </c>
      <c r="BH5152" s="2"/>
      <c r="BI5152" s="2"/>
      <c r="BJ5152" s="2">
        <v>242</v>
      </c>
      <c r="BK5152" s="2" t="s">
        <v>107</v>
      </c>
      <c r="BL5152" s="2" t="s">
        <v>107</v>
      </c>
      <c r="BM5152" s="2">
        <v>242</v>
      </c>
      <c r="BN5152" s="2" t="s">
        <v>107</v>
      </c>
      <c r="BO5152" s="2"/>
      <c r="BP5152" s="2">
        <v>242</v>
      </c>
      <c r="BQ5152" s="2" t="s">
        <v>107</v>
      </c>
      <c r="BR5152" s="2"/>
      <c r="BS5152" s="3">
        <v>40528</v>
      </c>
      <c r="BT5152" s="4">
        <v>0.53759259259259262</v>
      </c>
    </row>
    <row r="5153" spans="1:72" x14ac:dyDescent="0.25">
      <c r="A5153" s="2">
        <v>8013</v>
      </c>
      <c r="B5153" s="2">
        <v>2010</v>
      </c>
      <c r="C5153" s="2" t="s">
        <v>171</v>
      </c>
      <c r="D5153" s="2" t="s">
        <v>73</v>
      </c>
      <c r="E5153" s="2"/>
      <c r="F5153" s="2">
        <v>114</v>
      </c>
      <c r="G5153" s="2" t="s">
        <v>2817</v>
      </c>
      <c r="H5153" s="2">
        <v>99</v>
      </c>
      <c r="I5153" s="2" t="s">
        <v>6285</v>
      </c>
      <c r="J5153" s="2">
        <v>133</v>
      </c>
      <c r="K5153" s="2" t="s">
        <v>3844</v>
      </c>
      <c r="L5153" s="2" t="s">
        <v>3845</v>
      </c>
      <c r="M5153" s="3">
        <v>40528</v>
      </c>
      <c r="N5153" s="2" t="s">
        <v>15767</v>
      </c>
      <c r="O5153" s="2" t="s">
        <v>15777</v>
      </c>
      <c r="P5153" s="2" t="s">
        <v>15688</v>
      </c>
      <c r="Q5153" s="2" t="str">
        <f>""</f>
        <v/>
      </c>
      <c r="R5153" s="2"/>
      <c r="S5153" s="2"/>
      <c r="T5153" s="2">
        <v>1</v>
      </c>
      <c r="U5153" s="2" t="s">
        <v>79</v>
      </c>
      <c r="V5153" s="2">
        <v>3</v>
      </c>
      <c r="W5153" s="2" t="s">
        <v>225</v>
      </c>
      <c r="X5153" s="2">
        <v>6</v>
      </c>
      <c r="Y5153" s="2" t="s">
        <v>249</v>
      </c>
      <c r="Z5153" s="2">
        <v>1</v>
      </c>
      <c r="AA5153" s="2" t="s">
        <v>82</v>
      </c>
      <c r="AB5153" s="2">
        <v>9</v>
      </c>
      <c r="AC5153" s="2" t="s">
        <v>124</v>
      </c>
      <c r="AD5153" s="3">
        <v>40528</v>
      </c>
      <c r="AE5153" s="4">
        <v>0.48402777777777778</v>
      </c>
      <c r="AF5153" s="3">
        <v>40528</v>
      </c>
      <c r="AG5153" s="4">
        <v>0.48402777777777778</v>
      </c>
      <c r="AH5153" s="2">
        <v>6</v>
      </c>
      <c r="AI5153" s="2" t="s">
        <v>197</v>
      </c>
      <c r="AJ5153" s="2">
        <v>47</v>
      </c>
      <c r="AK5153" s="2" t="s">
        <v>250</v>
      </c>
      <c r="AL5153" s="2">
        <v>23</v>
      </c>
      <c r="AM5153" s="2" t="s">
        <v>251</v>
      </c>
      <c r="AN5153" s="2"/>
      <c r="AO5153" s="2" t="s">
        <v>1610</v>
      </c>
      <c r="AP5153" s="2">
        <v>11</v>
      </c>
      <c r="AQ5153" s="2" t="s">
        <v>82</v>
      </c>
      <c r="AR5153" s="2"/>
      <c r="AS5153" s="2"/>
      <c r="AT5153" s="2" t="s">
        <v>15778</v>
      </c>
      <c r="AU5153" s="2"/>
      <c r="AV5153" s="2"/>
      <c r="AW5153" s="2"/>
      <c r="AX5153" s="2"/>
      <c r="AY5153" s="2">
        <v>41</v>
      </c>
      <c r="AZ5153" s="2" t="s">
        <v>82</v>
      </c>
      <c r="BA5153" s="2">
        <v>41</v>
      </c>
      <c r="BB5153" s="2" t="s">
        <v>82</v>
      </c>
      <c r="BC5153" s="2">
        <v>41</v>
      </c>
      <c r="BD5153" s="2" t="s">
        <v>82</v>
      </c>
      <c r="BE5153" s="2">
        <v>41</v>
      </c>
      <c r="BF5153" s="2" t="s">
        <v>82</v>
      </c>
      <c r="BG5153" s="2"/>
      <c r="BH5153" s="2"/>
      <c r="BI5153" s="2"/>
      <c r="BJ5153" s="2">
        <v>241</v>
      </c>
      <c r="BK5153" s="2" t="s">
        <v>82</v>
      </c>
      <c r="BL5153" s="2"/>
      <c r="BM5153" s="2">
        <v>241</v>
      </c>
      <c r="BN5153" s="2" t="s">
        <v>82</v>
      </c>
      <c r="BO5153" s="2"/>
      <c r="BP5153" s="2">
        <v>241</v>
      </c>
      <c r="BQ5153" s="2" t="s">
        <v>82</v>
      </c>
      <c r="BR5153" s="2"/>
      <c r="BS5153" s="3">
        <v>40528</v>
      </c>
      <c r="BT5153" s="4">
        <v>0.54890046296296291</v>
      </c>
    </row>
    <row r="5154" spans="1:72" x14ac:dyDescent="0.25">
      <c r="A5154" s="2">
        <v>8014</v>
      </c>
      <c r="B5154" s="2">
        <v>2010</v>
      </c>
      <c r="C5154" s="2" t="s">
        <v>147</v>
      </c>
      <c r="D5154" s="2" t="s">
        <v>73</v>
      </c>
      <c r="E5154" s="2"/>
      <c r="F5154" s="2">
        <v>1</v>
      </c>
      <c r="G5154" s="2" t="s">
        <v>82</v>
      </c>
      <c r="H5154" s="2">
        <v>1</v>
      </c>
      <c r="I5154" s="2" t="s">
        <v>82</v>
      </c>
      <c r="J5154" s="2">
        <v>1</v>
      </c>
      <c r="K5154" s="2" t="s">
        <v>107</v>
      </c>
      <c r="L5154" s="2" t="s">
        <v>107</v>
      </c>
      <c r="M5154" s="3">
        <v>40528</v>
      </c>
      <c r="N5154" s="2"/>
      <c r="O5154" s="2"/>
      <c r="P5154" s="2"/>
      <c r="Q5154" s="2" t="str">
        <f>"EXTRAVIO Nº 43/10"</f>
        <v>EXTRAVIO Nº 43/10</v>
      </c>
      <c r="R5154" s="2"/>
      <c r="S5154" s="2"/>
      <c r="T5154" s="2">
        <v>2</v>
      </c>
      <c r="U5154" s="2" t="s">
        <v>123</v>
      </c>
      <c r="V5154" s="2">
        <v>1</v>
      </c>
      <c r="W5154" s="2" t="s">
        <v>80</v>
      </c>
      <c r="X5154" s="2">
        <v>12</v>
      </c>
      <c r="Y5154" s="2" t="s">
        <v>148</v>
      </c>
      <c r="Z5154" s="2">
        <v>1</v>
      </c>
      <c r="AA5154" s="2" t="s">
        <v>82</v>
      </c>
      <c r="AB5154" s="2">
        <v>9</v>
      </c>
      <c r="AC5154" s="2" t="s">
        <v>124</v>
      </c>
      <c r="AD5154" s="2"/>
      <c r="AE5154" s="2"/>
      <c r="AF5154" s="3">
        <v>40528</v>
      </c>
      <c r="AG5154" s="4">
        <v>0.47916666666666669</v>
      </c>
      <c r="AH5154" s="2">
        <v>2</v>
      </c>
      <c r="AI5154" s="2" t="s">
        <v>84</v>
      </c>
      <c r="AJ5154" s="2">
        <v>11</v>
      </c>
      <c r="AK5154" s="2" t="s">
        <v>751</v>
      </c>
      <c r="AL5154" s="2">
        <v>19</v>
      </c>
      <c r="AM5154" s="2" t="s">
        <v>107</v>
      </c>
      <c r="AN5154" s="2" t="s">
        <v>12924</v>
      </c>
      <c r="AO5154" s="2"/>
      <c r="AP5154" s="2">
        <v>11</v>
      </c>
      <c r="AQ5154" s="2" t="s">
        <v>82</v>
      </c>
      <c r="AR5154" s="2"/>
      <c r="AS5154" s="2"/>
      <c r="AT5154" s="2" t="s">
        <v>15779</v>
      </c>
      <c r="AU5154" s="2"/>
      <c r="AV5154" s="2"/>
      <c r="AW5154" s="2"/>
      <c r="AX5154" s="2"/>
      <c r="AY5154" s="2">
        <v>41</v>
      </c>
      <c r="AZ5154" s="2" t="s">
        <v>82</v>
      </c>
      <c r="BA5154" s="2">
        <v>41</v>
      </c>
      <c r="BB5154" s="2" t="s">
        <v>82</v>
      </c>
      <c r="BC5154" s="2">
        <v>41</v>
      </c>
      <c r="BD5154" s="2" t="s">
        <v>82</v>
      </c>
      <c r="BE5154" s="2">
        <v>41</v>
      </c>
      <c r="BF5154" s="2" t="s">
        <v>82</v>
      </c>
      <c r="BG5154" s="2"/>
      <c r="BH5154" s="2"/>
      <c r="BI5154" s="2"/>
      <c r="BJ5154" s="2">
        <v>241</v>
      </c>
      <c r="BK5154" s="2" t="s">
        <v>82</v>
      </c>
      <c r="BL5154" s="2"/>
      <c r="BM5154" s="2">
        <v>241</v>
      </c>
      <c r="BN5154" s="2" t="s">
        <v>82</v>
      </c>
      <c r="BO5154" s="2"/>
      <c r="BP5154" s="2">
        <v>241</v>
      </c>
      <c r="BQ5154" s="2" t="s">
        <v>82</v>
      </c>
      <c r="BR5154" s="2"/>
      <c r="BS5154" s="3">
        <v>40528</v>
      </c>
      <c r="BT5154" s="4">
        <v>0.55745370370370373</v>
      </c>
    </row>
    <row r="5155" spans="1:72" x14ac:dyDescent="0.25">
      <c r="A5155" s="2">
        <v>8015</v>
      </c>
      <c r="B5155" s="2">
        <v>2010</v>
      </c>
      <c r="C5155" s="2" t="s">
        <v>171</v>
      </c>
      <c r="D5155" s="2" t="s">
        <v>73</v>
      </c>
      <c r="E5155" s="2" t="s">
        <v>15780</v>
      </c>
      <c r="F5155" s="2">
        <v>451</v>
      </c>
      <c r="G5155" s="2" t="s">
        <v>879</v>
      </c>
      <c r="H5155" s="2">
        <v>31</v>
      </c>
      <c r="I5155" s="2" t="s">
        <v>880</v>
      </c>
      <c r="J5155" s="2">
        <v>326</v>
      </c>
      <c r="K5155" s="2" t="s">
        <v>881</v>
      </c>
      <c r="L5155" s="2" t="s">
        <v>882</v>
      </c>
      <c r="M5155" s="3">
        <v>40528</v>
      </c>
      <c r="N5155" s="2" t="s">
        <v>1072</v>
      </c>
      <c r="O5155" s="2" t="s">
        <v>3239</v>
      </c>
      <c r="P5155" s="2" t="s">
        <v>15781</v>
      </c>
      <c r="Q5155" s="2" t="str">
        <f>"114/10"</f>
        <v>114/10</v>
      </c>
      <c r="R5155" s="2" t="s">
        <v>822</v>
      </c>
      <c r="S5155" s="2"/>
      <c r="T5155" s="2">
        <v>1</v>
      </c>
      <c r="U5155" s="2" t="s">
        <v>79</v>
      </c>
      <c r="V5155" s="2">
        <v>1</v>
      </c>
      <c r="W5155" s="2" t="s">
        <v>80</v>
      </c>
      <c r="X5155" s="2">
        <v>1</v>
      </c>
      <c r="Y5155" s="2" t="s">
        <v>81</v>
      </c>
      <c r="Z5155" s="2">
        <v>1</v>
      </c>
      <c r="AA5155" s="2" t="s">
        <v>82</v>
      </c>
      <c r="AB5155" s="2">
        <v>1</v>
      </c>
      <c r="AC5155" s="2" t="s">
        <v>178</v>
      </c>
      <c r="AD5155" s="3">
        <v>40528</v>
      </c>
      <c r="AE5155" s="4">
        <v>0.5</v>
      </c>
      <c r="AF5155" s="3">
        <v>40528</v>
      </c>
      <c r="AG5155" s="4">
        <v>0.5</v>
      </c>
      <c r="AH5155" s="2">
        <v>4</v>
      </c>
      <c r="AI5155" s="2" t="s">
        <v>125</v>
      </c>
      <c r="AJ5155" s="2">
        <v>29</v>
      </c>
      <c r="AK5155" s="2" t="s">
        <v>227</v>
      </c>
      <c r="AL5155" s="2">
        <v>16</v>
      </c>
      <c r="AM5155" s="2" t="s">
        <v>392</v>
      </c>
      <c r="AN5155" s="2"/>
      <c r="AO5155" s="2" t="s">
        <v>9764</v>
      </c>
      <c r="AP5155" s="2">
        <v>12</v>
      </c>
      <c r="AQ5155" s="2" t="s">
        <v>322</v>
      </c>
      <c r="AR5155" s="2" t="s">
        <v>824</v>
      </c>
      <c r="AS5155" s="2" t="s">
        <v>825</v>
      </c>
      <c r="AT5155" s="2" t="s">
        <v>15782</v>
      </c>
      <c r="AU5155" s="2"/>
      <c r="AV5155" s="2"/>
      <c r="AW5155" s="2"/>
      <c r="AX5155" s="2"/>
      <c r="AY5155" s="2">
        <v>41</v>
      </c>
      <c r="AZ5155" s="2" t="s">
        <v>82</v>
      </c>
      <c r="BA5155" s="2">
        <v>41</v>
      </c>
      <c r="BB5155" s="2" t="s">
        <v>82</v>
      </c>
      <c r="BC5155" s="2">
        <v>51</v>
      </c>
      <c r="BD5155" s="2" t="s">
        <v>827</v>
      </c>
      <c r="BE5155" s="2">
        <v>13</v>
      </c>
      <c r="BF5155" s="2" t="s">
        <v>108</v>
      </c>
      <c r="BG5155" s="2">
        <v>1459</v>
      </c>
      <c r="BH5155" s="4">
        <v>0.97222222222222221</v>
      </c>
      <c r="BI5155" s="4">
        <v>6.9444444444444441E-3</v>
      </c>
      <c r="BJ5155" s="2">
        <v>13</v>
      </c>
      <c r="BK5155" s="2" t="s">
        <v>91</v>
      </c>
      <c r="BL5155" s="2" t="s">
        <v>828</v>
      </c>
      <c r="BM5155" s="2">
        <v>13</v>
      </c>
      <c r="BN5155" s="2" t="s">
        <v>91</v>
      </c>
      <c r="BO5155" s="2"/>
      <c r="BP5155" s="2">
        <v>13</v>
      </c>
      <c r="BQ5155" s="2" t="s">
        <v>91</v>
      </c>
      <c r="BR5155" s="2" t="s">
        <v>185</v>
      </c>
      <c r="BS5155" s="3">
        <v>40528</v>
      </c>
      <c r="BT5155" s="4">
        <v>0.56606481481481474</v>
      </c>
    </row>
    <row r="5156" spans="1:72" x14ac:dyDescent="0.25">
      <c r="A5156" s="2">
        <v>8016</v>
      </c>
      <c r="B5156" s="2">
        <v>2010</v>
      </c>
      <c r="C5156" s="2" t="s">
        <v>171</v>
      </c>
      <c r="D5156" s="2" t="s">
        <v>73</v>
      </c>
      <c r="E5156" s="2"/>
      <c r="F5156" s="2">
        <v>34</v>
      </c>
      <c r="G5156" s="2" t="s">
        <v>334</v>
      </c>
      <c r="H5156" s="2">
        <v>66</v>
      </c>
      <c r="I5156" s="2" t="s">
        <v>3190</v>
      </c>
      <c r="J5156" s="2">
        <v>43</v>
      </c>
      <c r="K5156" s="2" t="s">
        <v>2059</v>
      </c>
      <c r="L5156" s="2" t="s">
        <v>2060</v>
      </c>
      <c r="M5156" s="3">
        <v>40528</v>
      </c>
      <c r="N5156" s="2" t="s">
        <v>15783</v>
      </c>
      <c r="O5156" s="2" t="s">
        <v>15784</v>
      </c>
      <c r="P5156" s="2" t="s">
        <v>15785</v>
      </c>
      <c r="Q5156" s="2" t="str">
        <f>"32/07"</f>
        <v>32/07</v>
      </c>
      <c r="R5156" s="2" t="s">
        <v>82</v>
      </c>
      <c r="S5156" s="2" t="s">
        <v>82</v>
      </c>
      <c r="T5156" s="2">
        <v>1</v>
      </c>
      <c r="U5156" s="2" t="s">
        <v>79</v>
      </c>
      <c r="V5156" s="2">
        <v>3</v>
      </c>
      <c r="W5156" s="2" t="s">
        <v>225</v>
      </c>
      <c r="X5156" s="2">
        <v>5</v>
      </c>
      <c r="Y5156" s="2" t="s">
        <v>82</v>
      </c>
      <c r="Z5156" s="2">
        <v>1</v>
      </c>
      <c r="AA5156" s="2" t="s">
        <v>82</v>
      </c>
      <c r="AB5156" s="2">
        <v>9</v>
      </c>
      <c r="AC5156" s="2" t="s">
        <v>124</v>
      </c>
      <c r="AD5156" s="3">
        <v>40528</v>
      </c>
      <c r="AE5156" s="4">
        <v>0.59722222222222221</v>
      </c>
      <c r="AF5156" s="3">
        <v>40528</v>
      </c>
      <c r="AG5156" s="2"/>
      <c r="AH5156" s="2">
        <v>3</v>
      </c>
      <c r="AI5156" s="2" t="s">
        <v>214</v>
      </c>
      <c r="AJ5156" s="2">
        <v>14</v>
      </c>
      <c r="AK5156" s="2" t="s">
        <v>342</v>
      </c>
      <c r="AL5156" s="2">
        <v>19</v>
      </c>
      <c r="AM5156" s="2" t="s">
        <v>107</v>
      </c>
      <c r="AN5156" s="2" t="s">
        <v>1353</v>
      </c>
      <c r="AO5156" s="2"/>
      <c r="AP5156" s="2">
        <v>11</v>
      </c>
      <c r="AQ5156" s="2" t="s">
        <v>82</v>
      </c>
      <c r="AR5156" s="2"/>
      <c r="AS5156" s="2"/>
      <c r="AT5156" s="2" t="s">
        <v>15786</v>
      </c>
      <c r="AU5156" s="2"/>
      <c r="AV5156" s="2"/>
      <c r="AW5156" s="2"/>
      <c r="AX5156" s="2"/>
      <c r="AY5156" s="2">
        <v>41</v>
      </c>
      <c r="AZ5156" s="2" t="s">
        <v>82</v>
      </c>
      <c r="BA5156" s="2">
        <v>41</v>
      </c>
      <c r="BB5156" s="2" t="s">
        <v>82</v>
      </c>
      <c r="BC5156" s="2">
        <v>41</v>
      </c>
      <c r="BD5156" s="2" t="s">
        <v>82</v>
      </c>
      <c r="BE5156" s="2">
        <v>41</v>
      </c>
      <c r="BF5156" s="2" t="s">
        <v>82</v>
      </c>
      <c r="BG5156" s="2"/>
      <c r="BH5156" s="2"/>
      <c r="BI5156" s="2"/>
      <c r="BJ5156" s="2">
        <v>241</v>
      </c>
      <c r="BK5156" s="2" t="s">
        <v>82</v>
      </c>
      <c r="BL5156" s="2"/>
      <c r="BM5156" s="2">
        <v>241</v>
      </c>
      <c r="BN5156" s="2" t="s">
        <v>82</v>
      </c>
      <c r="BO5156" s="2"/>
      <c r="BP5156" s="2">
        <v>241</v>
      </c>
      <c r="BQ5156" s="2" t="s">
        <v>82</v>
      </c>
      <c r="BR5156" s="2"/>
      <c r="BS5156" s="3">
        <v>40528</v>
      </c>
      <c r="BT5156" s="4">
        <v>0.61768518518518511</v>
      </c>
    </row>
    <row r="5157" spans="1:72" x14ac:dyDescent="0.25">
      <c r="A5157" s="2">
        <v>8020</v>
      </c>
      <c r="B5157" s="2">
        <v>2010</v>
      </c>
      <c r="C5157" s="2" t="s">
        <v>171</v>
      </c>
      <c r="D5157" s="2" t="s">
        <v>73</v>
      </c>
      <c r="E5157" s="2"/>
      <c r="F5157" s="2">
        <v>399</v>
      </c>
      <c r="G5157" s="2" t="s">
        <v>587</v>
      </c>
      <c r="H5157" s="2">
        <v>15</v>
      </c>
      <c r="I5157" s="2" t="s">
        <v>130</v>
      </c>
      <c r="J5157" s="2">
        <v>2</v>
      </c>
      <c r="K5157" s="2" t="s">
        <v>3661</v>
      </c>
      <c r="L5157" s="2" t="s">
        <v>3662</v>
      </c>
      <c r="M5157" s="3">
        <v>40528</v>
      </c>
      <c r="N5157" s="2" t="s">
        <v>4076</v>
      </c>
      <c r="O5157" s="2" t="s">
        <v>15787</v>
      </c>
      <c r="P5157" s="2">
        <v>6571</v>
      </c>
      <c r="Q5157" s="2" t="str">
        <f>""</f>
        <v/>
      </c>
      <c r="R5157" s="2"/>
      <c r="S5157" s="2"/>
      <c r="T5157" s="2">
        <v>1</v>
      </c>
      <c r="U5157" s="2" t="s">
        <v>79</v>
      </c>
      <c r="V5157" s="2">
        <v>3</v>
      </c>
      <c r="W5157" s="2" t="s">
        <v>225</v>
      </c>
      <c r="X5157" s="2">
        <v>6</v>
      </c>
      <c r="Y5157" s="2" t="s">
        <v>249</v>
      </c>
      <c r="Z5157" s="2">
        <v>1</v>
      </c>
      <c r="AA5157" s="2" t="s">
        <v>82</v>
      </c>
      <c r="AB5157" s="2">
        <v>9</v>
      </c>
      <c r="AC5157" s="2" t="s">
        <v>124</v>
      </c>
      <c r="AD5157" s="3">
        <v>40528</v>
      </c>
      <c r="AE5157" s="2"/>
      <c r="AF5157" s="3">
        <v>40501</v>
      </c>
      <c r="AG5157" s="2"/>
      <c r="AH5157" s="2">
        <v>2</v>
      </c>
      <c r="AI5157" s="2" t="s">
        <v>84</v>
      </c>
      <c r="AJ5157" s="2">
        <v>6</v>
      </c>
      <c r="AK5157" s="2" t="s">
        <v>453</v>
      </c>
      <c r="AL5157" s="2">
        <v>23</v>
      </c>
      <c r="AM5157" s="2" t="s">
        <v>251</v>
      </c>
      <c r="AN5157" s="2"/>
      <c r="AO5157" s="2" t="s">
        <v>15788</v>
      </c>
      <c r="AP5157" s="2">
        <v>11</v>
      </c>
      <c r="AQ5157" s="2" t="s">
        <v>82</v>
      </c>
      <c r="AR5157" s="2"/>
      <c r="AS5157" s="2"/>
      <c r="AT5157" s="2" t="s">
        <v>15789</v>
      </c>
      <c r="AU5157" s="2"/>
      <c r="AV5157" s="2"/>
      <c r="AW5157" s="2"/>
      <c r="AX5157" s="2"/>
      <c r="AY5157" s="2">
        <v>41</v>
      </c>
      <c r="AZ5157" s="2" t="s">
        <v>82</v>
      </c>
      <c r="BA5157" s="2">
        <v>41</v>
      </c>
      <c r="BB5157" s="2" t="s">
        <v>82</v>
      </c>
      <c r="BC5157" s="2">
        <v>41</v>
      </c>
      <c r="BD5157" s="2" t="s">
        <v>82</v>
      </c>
      <c r="BE5157" s="2">
        <v>41</v>
      </c>
      <c r="BF5157" s="2" t="s">
        <v>82</v>
      </c>
      <c r="BG5157" s="2"/>
      <c r="BH5157" s="2"/>
      <c r="BI5157" s="2"/>
      <c r="BJ5157" s="2">
        <v>241</v>
      </c>
      <c r="BK5157" s="2" t="s">
        <v>82</v>
      </c>
      <c r="BL5157" s="2"/>
      <c r="BM5157" s="2">
        <v>241</v>
      </c>
      <c r="BN5157" s="2" t="s">
        <v>82</v>
      </c>
      <c r="BO5157" s="2"/>
      <c r="BP5157" s="2">
        <v>241</v>
      </c>
      <c r="BQ5157" s="2" t="s">
        <v>82</v>
      </c>
      <c r="BR5157" s="2"/>
      <c r="BS5157" s="3">
        <v>40528</v>
      </c>
      <c r="BT5157" s="4">
        <v>0.71138888888888896</v>
      </c>
    </row>
    <row r="5158" spans="1:72" x14ac:dyDescent="0.25">
      <c r="A5158" s="2">
        <v>8021</v>
      </c>
      <c r="B5158" s="2">
        <v>2010</v>
      </c>
      <c r="C5158" s="2" t="s">
        <v>72</v>
      </c>
      <c r="D5158" s="2" t="s">
        <v>73</v>
      </c>
      <c r="E5158" s="2"/>
      <c r="F5158" s="2">
        <v>390</v>
      </c>
      <c r="G5158" s="2" t="s">
        <v>475</v>
      </c>
      <c r="H5158" s="2">
        <v>5</v>
      </c>
      <c r="I5158" s="2" t="s">
        <v>634</v>
      </c>
      <c r="J5158" s="2">
        <v>533</v>
      </c>
      <c r="K5158" s="2" t="s">
        <v>6511</v>
      </c>
      <c r="L5158" s="2" t="s">
        <v>478</v>
      </c>
      <c r="M5158" s="3">
        <v>40528</v>
      </c>
      <c r="N5158" s="2" t="s">
        <v>3705</v>
      </c>
      <c r="O5158" s="2" t="s">
        <v>107</v>
      </c>
      <c r="P5158" s="2">
        <v>5944</v>
      </c>
      <c r="Q5158" s="2" t="str">
        <f>""</f>
        <v/>
      </c>
      <c r="R5158" s="2"/>
      <c r="S5158" s="2"/>
      <c r="T5158" s="2">
        <v>1</v>
      </c>
      <c r="U5158" s="2" t="s">
        <v>79</v>
      </c>
      <c r="V5158" s="2">
        <v>3</v>
      </c>
      <c r="W5158" s="2" t="s">
        <v>225</v>
      </c>
      <c r="X5158" s="2">
        <v>6</v>
      </c>
      <c r="Y5158" s="2" t="s">
        <v>249</v>
      </c>
      <c r="Z5158" s="2">
        <v>1</v>
      </c>
      <c r="AA5158" s="2" t="s">
        <v>82</v>
      </c>
      <c r="AB5158" s="2">
        <v>9</v>
      </c>
      <c r="AC5158" s="2" t="s">
        <v>124</v>
      </c>
      <c r="AD5158" s="3">
        <v>40528</v>
      </c>
      <c r="AE5158" s="2"/>
      <c r="AF5158" s="3">
        <v>40528</v>
      </c>
      <c r="AG5158" s="2"/>
      <c r="AH5158" s="2">
        <v>2</v>
      </c>
      <c r="AI5158" s="2" t="s">
        <v>84</v>
      </c>
      <c r="AJ5158" s="2">
        <v>6</v>
      </c>
      <c r="AK5158" s="2" t="s">
        <v>453</v>
      </c>
      <c r="AL5158" s="2">
        <v>23</v>
      </c>
      <c r="AM5158" s="2" t="s">
        <v>251</v>
      </c>
      <c r="AN5158" s="2"/>
      <c r="AO5158" s="2" t="s">
        <v>15790</v>
      </c>
      <c r="AP5158" s="2">
        <v>11</v>
      </c>
      <c r="AQ5158" s="2" t="s">
        <v>82</v>
      </c>
      <c r="AR5158" s="2"/>
      <c r="AS5158" s="2"/>
      <c r="AT5158" s="2" t="s">
        <v>15791</v>
      </c>
      <c r="AU5158" s="2"/>
      <c r="AV5158" s="2"/>
      <c r="AW5158" s="2"/>
      <c r="AX5158" s="2"/>
      <c r="AY5158" s="2">
        <v>41</v>
      </c>
      <c r="AZ5158" s="2" t="s">
        <v>82</v>
      </c>
      <c r="BA5158" s="2">
        <v>41</v>
      </c>
      <c r="BB5158" s="2" t="s">
        <v>82</v>
      </c>
      <c r="BC5158" s="2">
        <v>41</v>
      </c>
      <c r="BD5158" s="2" t="s">
        <v>82</v>
      </c>
      <c r="BE5158" s="2">
        <v>1</v>
      </c>
      <c r="BF5158" s="2" t="s">
        <v>107</v>
      </c>
      <c r="BG5158" s="2"/>
      <c r="BH5158" s="2"/>
      <c r="BI5158" s="2"/>
      <c r="BJ5158" s="2">
        <v>242</v>
      </c>
      <c r="BK5158" s="2" t="s">
        <v>107</v>
      </c>
      <c r="BL5158" s="2"/>
      <c r="BM5158" s="2">
        <v>241</v>
      </c>
      <c r="BN5158" s="2" t="s">
        <v>82</v>
      </c>
      <c r="BO5158" s="2"/>
      <c r="BP5158" s="2">
        <v>242</v>
      </c>
      <c r="BQ5158" s="2" t="s">
        <v>107</v>
      </c>
      <c r="BR5158" s="2"/>
      <c r="BS5158" s="3">
        <v>40528</v>
      </c>
      <c r="BT5158" s="4">
        <v>0.71873842592592585</v>
      </c>
    </row>
    <row r="5159" spans="1:72" x14ac:dyDescent="0.25">
      <c r="A5159" s="2">
        <v>8023</v>
      </c>
      <c r="B5159" s="2">
        <v>2010</v>
      </c>
      <c r="C5159" s="2" t="s">
        <v>764</v>
      </c>
      <c r="D5159" s="2" t="s">
        <v>73</v>
      </c>
      <c r="E5159" s="2"/>
      <c r="F5159" s="2">
        <v>125</v>
      </c>
      <c r="G5159" s="2" t="s">
        <v>1483</v>
      </c>
      <c r="H5159" s="2">
        <v>49</v>
      </c>
      <c r="I5159" s="2" t="s">
        <v>1484</v>
      </c>
      <c r="J5159" s="2">
        <v>139</v>
      </c>
      <c r="K5159" s="2" t="s">
        <v>1485</v>
      </c>
      <c r="L5159" s="2" t="s">
        <v>1486</v>
      </c>
      <c r="M5159" s="3">
        <v>40528</v>
      </c>
      <c r="N5159" s="2" t="s">
        <v>15792</v>
      </c>
      <c r="O5159" s="2" t="s">
        <v>107</v>
      </c>
      <c r="P5159" s="2" t="s">
        <v>107</v>
      </c>
      <c r="Q5159" s="2" t="str">
        <f>"0022_10"</f>
        <v>0022_10</v>
      </c>
      <c r="R5159" s="2" t="s">
        <v>15793</v>
      </c>
      <c r="S5159" s="2" t="s">
        <v>15793</v>
      </c>
      <c r="T5159" s="2">
        <v>1</v>
      </c>
      <c r="U5159" s="2" t="s">
        <v>79</v>
      </c>
      <c r="V5159" s="2">
        <v>1</v>
      </c>
      <c r="W5159" s="2" t="s">
        <v>80</v>
      </c>
      <c r="X5159" s="2">
        <v>3</v>
      </c>
      <c r="Y5159" s="2" t="s">
        <v>698</v>
      </c>
      <c r="Z5159" s="2">
        <v>2</v>
      </c>
      <c r="AA5159" s="2" t="s">
        <v>2148</v>
      </c>
      <c r="AB5159" s="2">
        <v>9</v>
      </c>
      <c r="AC5159" s="2" t="s">
        <v>124</v>
      </c>
      <c r="AD5159" s="3">
        <v>40528</v>
      </c>
      <c r="AE5159" s="4">
        <v>0.5625</v>
      </c>
      <c r="AF5159" s="3">
        <v>40528</v>
      </c>
      <c r="AG5159" s="4">
        <v>0.59722222222222221</v>
      </c>
      <c r="AH5159" s="2">
        <v>6</v>
      </c>
      <c r="AI5159" s="2" t="s">
        <v>197</v>
      </c>
      <c r="AJ5159" s="2">
        <v>61</v>
      </c>
      <c r="AK5159" s="2" t="s">
        <v>686</v>
      </c>
      <c r="AL5159" s="2">
        <v>14</v>
      </c>
      <c r="AM5159" s="2" t="s">
        <v>216</v>
      </c>
      <c r="AN5159" s="2" t="s">
        <v>82</v>
      </c>
      <c r="AO5159" s="2" t="s">
        <v>15794</v>
      </c>
      <c r="AP5159" s="2">
        <v>11</v>
      </c>
      <c r="AQ5159" s="2" t="s">
        <v>82</v>
      </c>
      <c r="AR5159" s="2" t="s">
        <v>82</v>
      </c>
      <c r="AS5159" s="2" t="s">
        <v>82</v>
      </c>
      <c r="AT5159" s="2" t="s">
        <v>15795</v>
      </c>
      <c r="AU5159" s="2"/>
      <c r="AV5159" s="2"/>
      <c r="AW5159" s="2"/>
      <c r="AX5159" s="2"/>
      <c r="AY5159" s="2">
        <v>13</v>
      </c>
      <c r="AZ5159" s="2" t="s">
        <v>108</v>
      </c>
      <c r="BA5159" s="2">
        <v>41</v>
      </c>
      <c r="BB5159" s="2" t="s">
        <v>82</v>
      </c>
      <c r="BC5159" s="2">
        <v>41</v>
      </c>
      <c r="BD5159" s="2" t="s">
        <v>82</v>
      </c>
      <c r="BE5159" s="2">
        <v>13</v>
      </c>
      <c r="BF5159" s="2" t="s">
        <v>108</v>
      </c>
      <c r="BG5159" s="2" t="s">
        <v>15796</v>
      </c>
      <c r="BH5159" s="4">
        <v>0.53125</v>
      </c>
      <c r="BI5159" s="2"/>
      <c r="BJ5159" s="2">
        <v>13</v>
      </c>
      <c r="BK5159" s="2" t="s">
        <v>91</v>
      </c>
      <c r="BL5159" s="2" t="s">
        <v>185</v>
      </c>
      <c r="BM5159" s="2">
        <v>13</v>
      </c>
      <c r="BN5159" s="2" t="s">
        <v>91</v>
      </c>
      <c r="BO5159" s="2"/>
      <c r="BP5159" s="2">
        <v>13</v>
      </c>
      <c r="BQ5159" s="2" t="s">
        <v>91</v>
      </c>
      <c r="BR5159" s="2" t="s">
        <v>690</v>
      </c>
      <c r="BS5159" s="3">
        <v>40528</v>
      </c>
      <c r="BT5159" s="4">
        <v>0.74846064814814817</v>
      </c>
    </row>
    <row r="5160" spans="1:72" x14ac:dyDescent="0.25">
      <c r="A5160" s="2">
        <v>8024</v>
      </c>
      <c r="B5160" s="2">
        <v>2010</v>
      </c>
      <c r="C5160" s="2" t="s">
        <v>72</v>
      </c>
      <c r="D5160" s="2" t="s">
        <v>122</v>
      </c>
      <c r="E5160" s="2" t="s">
        <v>8063</v>
      </c>
      <c r="F5160" s="2">
        <v>2</v>
      </c>
      <c r="G5160" s="2" t="s">
        <v>113</v>
      </c>
      <c r="H5160" s="2">
        <v>22</v>
      </c>
      <c r="I5160" s="2" t="s">
        <v>75</v>
      </c>
      <c r="J5160" s="2">
        <v>300</v>
      </c>
      <c r="K5160" s="2" t="s">
        <v>114</v>
      </c>
      <c r="L5160" s="2" t="s">
        <v>115</v>
      </c>
      <c r="M5160" s="3">
        <v>40528</v>
      </c>
      <c r="N5160" s="2" t="s">
        <v>107</v>
      </c>
      <c r="O5160" s="2" t="s">
        <v>107</v>
      </c>
      <c r="P5160" s="2" t="s">
        <v>107</v>
      </c>
      <c r="Q5160" s="2" t="str">
        <f>"679-E/10"</f>
        <v>679-E/10</v>
      </c>
      <c r="R5160" s="2" t="s">
        <v>116</v>
      </c>
      <c r="S5160" s="2" t="s">
        <v>116</v>
      </c>
      <c r="T5160" s="2">
        <v>1</v>
      </c>
      <c r="U5160" s="2" t="s">
        <v>79</v>
      </c>
      <c r="V5160" s="2">
        <v>1</v>
      </c>
      <c r="W5160" s="2" t="s">
        <v>80</v>
      </c>
      <c r="X5160" s="2">
        <v>1</v>
      </c>
      <c r="Y5160" s="2" t="s">
        <v>81</v>
      </c>
      <c r="Z5160" s="2">
        <v>1</v>
      </c>
      <c r="AA5160" s="2" t="s">
        <v>82</v>
      </c>
      <c r="AB5160" s="2">
        <v>6</v>
      </c>
      <c r="AC5160" s="2" t="s">
        <v>83</v>
      </c>
      <c r="AD5160" s="3">
        <v>40527</v>
      </c>
      <c r="AE5160" s="4">
        <v>0.4861111111111111</v>
      </c>
      <c r="AF5160" s="3">
        <v>40527</v>
      </c>
      <c r="AG5160" s="4">
        <v>0.54166666666666663</v>
      </c>
      <c r="AH5160" s="2">
        <v>2</v>
      </c>
      <c r="AI5160" s="2" t="s">
        <v>84</v>
      </c>
      <c r="AJ5160" s="2">
        <v>9</v>
      </c>
      <c r="AK5160" s="2" t="s">
        <v>103</v>
      </c>
      <c r="AL5160" s="2">
        <v>13</v>
      </c>
      <c r="AM5160" s="2" t="s">
        <v>117</v>
      </c>
      <c r="AN5160" s="2" t="s">
        <v>2887</v>
      </c>
      <c r="AO5160" s="2" t="s">
        <v>82</v>
      </c>
      <c r="AP5160" s="2">
        <v>11</v>
      </c>
      <c r="AQ5160" s="2" t="s">
        <v>82</v>
      </c>
      <c r="AR5160" s="2"/>
      <c r="AS5160" s="2"/>
      <c r="AT5160" s="2" t="s">
        <v>15797</v>
      </c>
      <c r="AU5160" s="2"/>
      <c r="AV5160" s="2"/>
      <c r="AW5160" s="2">
        <v>2</v>
      </c>
      <c r="AX5160" s="2"/>
      <c r="AY5160" s="2">
        <v>41</v>
      </c>
      <c r="AZ5160" s="2" t="s">
        <v>82</v>
      </c>
      <c r="BA5160" s="2">
        <v>41</v>
      </c>
      <c r="BB5160" s="2" t="s">
        <v>82</v>
      </c>
      <c r="BC5160" s="2">
        <v>41</v>
      </c>
      <c r="BD5160" s="2" t="s">
        <v>82</v>
      </c>
      <c r="BE5160" s="2">
        <v>23</v>
      </c>
      <c r="BF5160" s="2" t="s">
        <v>183</v>
      </c>
      <c r="BG5160" s="2" t="s">
        <v>15798</v>
      </c>
      <c r="BH5160" s="2"/>
      <c r="BI5160" s="2"/>
      <c r="BJ5160" s="2">
        <v>244</v>
      </c>
      <c r="BK5160" s="2" t="s">
        <v>1236</v>
      </c>
      <c r="BL5160" s="2" t="s">
        <v>1237</v>
      </c>
      <c r="BM5160" s="2">
        <v>13</v>
      </c>
      <c r="BN5160" s="2" t="s">
        <v>91</v>
      </c>
      <c r="BO5160" s="2"/>
      <c r="BP5160" s="2">
        <v>13</v>
      </c>
      <c r="BQ5160" s="2" t="s">
        <v>91</v>
      </c>
      <c r="BR5160" s="2" t="s">
        <v>185</v>
      </c>
      <c r="BS5160" s="3">
        <v>40528</v>
      </c>
      <c r="BT5160" s="4">
        <v>0.75951388888888882</v>
      </c>
    </row>
    <row r="5161" spans="1:72" x14ac:dyDescent="0.25">
      <c r="A5161" s="2">
        <v>8025</v>
      </c>
      <c r="B5161" s="2">
        <v>2010</v>
      </c>
      <c r="C5161" s="2" t="s">
        <v>171</v>
      </c>
      <c r="D5161" s="2" t="s">
        <v>73</v>
      </c>
      <c r="E5161" s="2" t="s">
        <v>15799</v>
      </c>
      <c r="F5161" s="2">
        <v>475</v>
      </c>
      <c r="G5161" s="2" t="s">
        <v>1271</v>
      </c>
      <c r="H5161" s="2">
        <v>3</v>
      </c>
      <c r="I5161" s="2" t="s">
        <v>315</v>
      </c>
      <c r="J5161" s="2">
        <v>385</v>
      </c>
      <c r="K5161" s="2" t="s">
        <v>1314</v>
      </c>
      <c r="L5161" s="2" t="s">
        <v>1315</v>
      </c>
      <c r="M5161" s="3">
        <v>40528</v>
      </c>
      <c r="N5161" s="2" t="s">
        <v>13651</v>
      </c>
      <c r="O5161" s="2" t="s">
        <v>15800</v>
      </c>
      <c r="P5161" s="2" t="s">
        <v>15801</v>
      </c>
      <c r="Q5161" s="2" t="str">
        <f>"0055/2010"</f>
        <v>0055/2010</v>
      </c>
      <c r="R5161" s="2" t="s">
        <v>15802</v>
      </c>
      <c r="S5161" s="2"/>
      <c r="T5161" s="2">
        <v>1</v>
      </c>
      <c r="U5161" s="2" t="s">
        <v>79</v>
      </c>
      <c r="V5161" s="2">
        <v>1</v>
      </c>
      <c r="W5161" s="2" t="s">
        <v>80</v>
      </c>
      <c r="X5161" s="2">
        <v>1</v>
      </c>
      <c r="Y5161" s="2" t="s">
        <v>81</v>
      </c>
      <c r="Z5161" s="2">
        <v>1</v>
      </c>
      <c r="AA5161" s="2" t="s">
        <v>82</v>
      </c>
      <c r="AB5161" s="2">
        <v>1</v>
      </c>
      <c r="AC5161" s="2" t="s">
        <v>178</v>
      </c>
      <c r="AD5161" s="3">
        <v>40527</v>
      </c>
      <c r="AE5161" s="4">
        <v>0.73611111111111116</v>
      </c>
      <c r="AF5161" s="3">
        <v>40528</v>
      </c>
      <c r="AG5161" s="4">
        <v>0.54166666666666663</v>
      </c>
      <c r="AH5161" s="2">
        <v>5</v>
      </c>
      <c r="AI5161" s="2" t="s">
        <v>274</v>
      </c>
      <c r="AJ5161" s="2">
        <v>42</v>
      </c>
      <c r="AK5161" s="2" t="s">
        <v>660</v>
      </c>
      <c r="AL5161" s="2">
        <v>22</v>
      </c>
      <c r="AM5161" s="2" t="s">
        <v>1853</v>
      </c>
      <c r="AN5161" s="2" t="s">
        <v>15803</v>
      </c>
      <c r="AO5161" s="2" t="s">
        <v>179</v>
      </c>
      <c r="AP5161" s="2">
        <v>5</v>
      </c>
      <c r="AQ5161" s="2" t="s">
        <v>827</v>
      </c>
      <c r="AR5161" s="2" t="s">
        <v>15804</v>
      </c>
      <c r="AS5161" s="2" t="s">
        <v>15805</v>
      </c>
      <c r="AT5161" s="2" t="s">
        <v>15806</v>
      </c>
      <c r="AU5161" s="2"/>
      <c r="AV5161" s="2"/>
      <c r="AW5161" s="2"/>
      <c r="AX5161" s="2"/>
      <c r="AY5161" s="2">
        <v>41</v>
      </c>
      <c r="AZ5161" s="2" t="s">
        <v>82</v>
      </c>
      <c r="BA5161" s="2">
        <v>41</v>
      </c>
      <c r="BB5161" s="2" t="s">
        <v>82</v>
      </c>
      <c r="BC5161" s="2">
        <v>41</v>
      </c>
      <c r="BD5161" s="2" t="s">
        <v>82</v>
      </c>
      <c r="BE5161" s="2">
        <v>13</v>
      </c>
      <c r="BF5161" s="2" t="s">
        <v>108</v>
      </c>
      <c r="BG5161" s="2">
        <v>1789</v>
      </c>
      <c r="BH5161" s="4">
        <v>0.75</v>
      </c>
      <c r="BI5161" s="4">
        <v>0.78472222222222221</v>
      </c>
      <c r="BJ5161" s="2">
        <v>13</v>
      </c>
      <c r="BK5161" s="2" t="s">
        <v>91</v>
      </c>
      <c r="BL5161" s="2" t="s">
        <v>1958</v>
      </c>
      <c r="BM5161" s="2">
        <v>13</v>
      </c>
      <c r="BN5161" s="2" t="s">
        <v>91</v>
      </c>
      <c r="BO5161" s="2"/>
      <c r="BP5161" s="2">
        <v>13</v>
      </c>
      <c r="BQ5161" s="2" t="s">
        <v>91</v>
      </c>
      <c r="BR5161" s="2" t="s">
        <v>564</v>
      </c>
      <c r="BS5161" s="3">
        <v>40528</v>
      </c>
      <c r="BT5161" s="4">
        <v>0.88124999999999998</v>
      </c>
    </row>
    <row r="5162" spans="1:72" x14ac:dyDescent="0.25">
      <c r="A5162" s="2">
        <v>8026</v>
      </c>
      <c r="B5162" s="2">
        <v>2010</v>
      </c>
      <c r="C5162" s="2" t="s">
        <v>196</v>
      </c>
      <c r="D5162" s="2" t="s">
        <v>122</v>
      </c>
      <c r="E5162" s="2"/>
      <c r="F5162" s="2">
        <v>1</v>
      </c>
      <c r="G5162" s="2" t="s">
        <v>82</v>
      </c>
      <c r="H5162" s="2">
        <v>1</v>
      </c>
      <c r="I5162" s="2" t="s">
        <v>82</v>
      </c>
      <c r="J5162" s="2">
        <v>1</v>
      </c>
      <c r="K5162" s="2" t="s">
        <v>107</v>
      </c>
      <c r="L5162" s="2" t="s">
        <v>107</v>
      </c>
      <c r="M5162" s="3">
        <v>40528</v>
      </c>
      <c r="N5162" s="2" t="s">
        <v>82</v>
      </c>
      <c r="O5162" s="2" t="s">
        <v>82</v>
      </c>
      <c r="P5162" s="2" t="s">
        <v>82</v>
      </c>
      <c r="Q5162" s="2" t="str">
        <f>"N/C"</f>
        <v>N/C</v>
      </c>
      <c r="R5162" s="2" t="s">
        <v>82</v>
      </c>
      <c r="S5162" s="2" t="s">
        <v>82</v>
      </c>
      <c r="T5162" s="2">
        <v>2</v>
      </c>
      <c r="U5162" s="2" t="s">
        <v>123</v>
      </c>
      <c r="V5162" s="2">
        <v>1</v>
      </c>
      <c r="W5162" s="2" t="s">
        <v>80</v>
      </c>
      <c r="X5162" s="2">
        <v>11</v>
      </c>
      <c r="Y5162" s="2" t="s">
        <v>1920</v>
      </c>
      <c r="Z5162" s="2">
        <v>1</v>
      </c>
      <c r="AA5162" s="2" t="s">
        <v>82</v>
      </c>
      <c r="AB5162" s="2">
        <v>9</v>
      </c>
      <c r="AC5162" s="2" t="s">
        <v>124</v>
      </c>
      <c r="AD5162" s="3">
        <v>40528</v>
      </c>
      <c r="AE5162" s="4">
        <v>0.75</v>
      </c>
      <c r="AF5162" s="3">
        <v>40528</v>
      </c>
      <c r="AG5162" s="2"/>
      <c r="AH5162" s="2">
        <v>2</v>
      </c>
      <c r="AI5162" s="2" t="s">
        <v>84</v>
      </c>
      <c r="AJ5162" s="2">
        <v>12</v>
      </c>
      <c r="AK5162" s="2" t="s">
        <v>85</v>
      </c>
      <c r="AL5162" s="2">
        <v>20</v>
      </c>
      <c r="AM5162" s="2" t="s">
        <v>992</v>
      </c>
      <c r="AN5162" s="2" t="s">
        <v>107</v>
      </c>
      <c r="AO5162" s="2" t="s">
        <v>107</v>
      </c>
      <c r="AP5162" s="2">
        <v>11</v>
      </c>
      <c r="AQ5162" s="2" t="s">
        <v>82</v>
      </c>
      <c r="AR5162" s="2" t="s">
        <v>82</v>
      </c>
      <c r="AS5162" s="2" t="s">
        <v>82</v>
      </c>
      <c r="AT5162" s="2" t="s">
        <v>15807</v>
      </c>
      <c r="AU5162" s="2"/>
      <c r="AV5162" s="2"/>
      <c r="AW5162" s="2"/>
      <c r="AX5162" s="2"/>
      <c r="AY5162" s="2">
        <v>41</v>
      </c>
      <c r="AZ5162" s="2" t="s">
        <v>82</v>
      </c>
      <c r="BA5162" s="2">
        <v>41</v>
      </c>
      <c r="BB5162" s="2" t="s">
        <v>82</v>
      </c>
      <c r="BC5162" s="2">
        <v>41</v>
      </c>
      <c r="BD5162" s="2" t="s">
        <v>82</v>
      </c>
      <c r="BE5162" s="2">
        <v>41</v>
      </c>
      <c r="BF5162" s="2" t="s">
        <v>82</v>
      </c>
      <c r="BG5162" s="2"/>
      <c r="BH5162" s="4">
        <v>0.86111111111111116</v>
      </c>
      <c r="BI5162" s="4">
        <v>0.86805555555555547</v>
      </c>
      <c r="BJ5162" s="2">
        <v>13</v>
      </c>
      <c r="BK5162" s="2" t="s">
        <v>91</v>
      </c>
      <c r="BL5162" s="2" t="s">
        <v>185</v>
      </c>
      <c r="BM5162" s="2">
        <v>33</v>
      </c>
      <c r="BN5162" s="2" t="s">
        <v>361</v>
      </c>
      <c r="BO5162" s="2"/>
      <c r="BP5162" s="2">
        <v>33</v>
      </c>
      <c r="BQ5162" s="2" t="s">
        <v>361</v>
      </c>
      <c r="BR5162" s="2" t="s">
        <v>15808</v>
      </c>
      <c r="BS5162" s="3">
        <v>40528</v>
      </c>
      <c r="BT5162" s="4">
        <v>0.89250000000000007</v>
      </c>
    </row>
    <row r="5163" spans="1:72" x14ac:dyDescent="0.25">
      <c r="A5163" s="2">
        <v>8027</v>
      </c>
      <c r="B5163" s="2">
        <v>2010</v>
      </c>
      <c r="C5163" s="2" t="s">
        <v>72</v>
      </c>
      <c r="D5163" s="2" t="s">
        <v>73</v>
      </c>
      <c r="E5163" s="2"/>
      <c r="F5163" s="2">
        <v>2</v>
      </c>
      <c r="G5163" s="2" t="s">
        <v>113</v>
      </c>
      <c r="H5163" s="2">
        <v>149</v>
      </c>
      <c r="I5163" s="2" t="s">
        <v>14672</v>
      </c>
      <c r="J5163" s="2">
        <v>746</v>
      </c>
      <c r="K5163" s="2" t="s">
        <v>15639</v>
      </c>
      <c r="L5163" s="2" t="s">
        <v>15640</v>
      </c>
      <c r="M5163" s="3">
        <v>40528</v>
      </c>
      <c r="N5163" s="2"/>
      <c r="O5163" s="2" t="s">
        <v>116</v>
      </c>
      <c r="P5163" s="2" t="s">
        <v>15809</v>
      </c>
      <c r="Q5163" s="2" t="str">
        <f>"608E/10"</f>
        <v>608E/10</v>
      </c>
      <c r="R5163" s="2" t="s">
        <v>116</v>
      </c>
      <c r="S5163" s="2"/>
      <c r="T5163" s="2">
        <v>1</v>
      </c>
      <c r="U5163" s="2" t="s">
        <v>79</v>
      </c>
      <c r="V5163" s="2">
        <v>1</v>
      </c>
      <c r="W5163" s="2" t="s">
        <v>80</v>
      </c>
      <c r="X5163" s="2">
        <v>8</v>
      </c>
      <c r="Y5163" s="2" t="s">
        <v>375</v>
      </c>
      <c r="Z5163" s="2">
        <v>1</v>
      </c>
      <c r="AA5163" s="2" t="s">
        <v>82</v>
      </c>
      <c r="AB5163" s="2">
        <v>6</v>
      </c>
      <c r="AC5163" s="2" t="s">
        <v>83</v>
      </c>
      <c r="AD5163" s="3">
        <v>40528</v>
      </c>
      <c r="AE5163" s="4">
        <v>0.82291666666666663</v>
      </c>
      <c r="AF5163" s="3">
        <v>40528</v>
      </c>
      <c r="AG5163" s="4">
        <v>0.82986111111111116</v>
      </c>
      <c r="AH5163" s="2">
        <v>2</v>
      </c>
      <c r="AI5163" s="2" t="s">
        <v>84</v>
      </c>
      <c r="AJ5163" s="2">
        <v>6</v>
      </c>
      <c r="AK5163" s="2" t="s">
        <v>453</v>
      </c>
      <c r="AL5163" s="2">
        <v>23</v>
      </c>
      <c r="AM5163" s="2" t="s">
        <v>251</v>
      </c>
      <c r="AN5163" s="2"/>
      <c r="AO5163" s="2" t="s">
        <v>15810</v>
      </c>
      <c r="AP5163" s="2">
        <v>11</v>
      </c>
      <c r="AQ5163" s="2" t="s">
        <v>82</v>
      </c>
      <c r="AR5163" s="2"/>
      <c r="AS5163" s="2"/>
      <c r="AT5163" s="2" t="s">
        <v>15811</v>
      </c>
      <c r="AU5163" s="2"/>
      <c r="AV5163" s="2"/>
      <c r="AW5163" s="2"/>
      <c r="AX5163" s="2"/>
      <c r="AY5163" s="2">
        <v>41</v>
      </c>
      <c r="AZ5163" s="2" t="s">
        <v>82</v>
      </c>
      <c r="BA5163" s="2">
        <v>41</v>
      </c>
      <c r="BB5163" s="2" t="s">
        <v>82</v>
      </c>
      <c r="BC5163" s="2">
        <v>41</v>
      </c>
      <c r="BD5163" s="2" t="s">
        <v>82</v>
      </c>
      <c r="BE5163" s="2">
        <v>41</v>
      </c>
      <c r="BF5163" s="2" t="s">
        <v>82</v>
      </c>
      <c r="BG5163" s="2"/>
      <c r="BH5163" s="2"/>
      <c r="BI5163" s="2"/>
      <c r="BJ5163" s="2">
        <v>241</v>
      </c>
      <c r="BK5163" s="2" t="s">
        <v>82</v>
      </c>
      <c r="BL5163" s="2"/>
      <c r="BM5163" s="2">
        <v>241</v>
      </c>
      <c r="BN5163" s="2" t="s">
        <v>82</v>
      </c>
      <c r="BO5163" s="2"/>
      <c r="BP5163" s="2">
        <v>241</v>
      </c>
      <c r="BQ5163" s="2" t="s">
        <v>82</v>
      </c>
      <c r="BR5163" s="2"/>
      <c r="BS5163" s="3">
        <v>40528</v>
      </c>
      <c r="BT5163" s="4">
        <v>0.92523148148148149</v>
      </c>
    </row>
    <row r="5164" spans="1:72" x14ac:dyDescent="0.25">
      <c r="A5164" s="2">
        <v>8028</v>
      </c>
      <c r="B5164" s="2">
        <v>2010</v>
      </c>
      <c r="C5164" s="2" t="s">
        <v>72</v>
      </c>
      <c r="D5164" s="2" t="s">
        <v>73</v>
      </c>
      <c r="E5164" s="2"/>
      <c r="F5164" s="2">
        <v>638</v>
      </c>
      <c r="G5164" s="2" t="s">
        <v>8288</v>
      </c>
      <c r="H5164" s="2">
        <v>4</v>
      </c>
      <c r="I5164" s="2" t="s">
        <v>173</v>
      </c>
      <c r="J5164" s="2">
        <v>694</v>
      </c>
      <c r="K5164" s="2" t="s">
        <v>13872</v>
      </c>
      <c r="L5164" s="2" t="s">
        <v>13873</v>
      </c>
      <c r="M5164" s="3">
        <v>40528</v>
      </c>
      <c r="N5164" s="2" t="s">
        <v>15812</v>
      </c>
      <c r="O5164" s="2"/>
      <c r="P5164" s="2"/>
      <c r="Q5164" s="2" t="str">
        <f>"76/2010"</f>
        <v>76/2010</v>
      </c>
      <c r="R5164" s="2"/>
      <c r="S5164" s="2" t="s">
        <v>601</v>
      </c>
      <c r="T5164" s="2">
        <v>1</v>
      </c>
      <c r="U5164" s="2" t="s">
        <v>79</v>
      </c>
      <c r="V5164" s="2">
        <v>1</v>
      </c>
      <c r="W5164" s="2" t="s">
        <v>80</v>
      </c>
      <c r="X5164" s="2">
        <v>12</v>
      </c>
      <c r="Y5164" s="2" t="s">
        <v>148</v>
      </c>
      <c r="Z5164" s="2">
        <v>1</v>
      </c>
      <c r="AA5164" s="2" t="s">
        <v>82</v>
      </c>
      <c r="AB5164" s="2">
        <v>6</v>
      </c>
      <c r="AC5164" s="2" t="s">
        <v>83</v>
      </c>
      <c r="AD5164" s="3">
        <v>40528</v>
      </c>
      <c r="AE5164" s="2"/>
      <c r="AF5164" s="3">
        <v>40528</v>
      </c>
      <c r="AG5164" s="4">
        <v>0.90625</v>
      </c>
      <c r="AH5164" s="2">
        <v>3</v>
      </c>
      <c r="AI5164" s="2" t="s">
        <v>214</v>
      </c>
      <c r="AJ5164" s="2">
        <v>24</v>
      </c>
      <c r="AK5164" s="2" t="s">
        <v>215</v>
      </c>
      <c r="AL5164" s="2">
        <v>21</v>
      </c>
      <c r="AM5164" s="2" t="s">
        <v>1311</v>
      </c>
      <c r="AN5164" s="2" t="s">
        <v>15813</v>
      </c>
      <c r="AO5164" s="2" t="s">
        <v>15814</v>
      </c>
      <c r="AP5164" s="2">
        <v>11</v>
      </c>
      <c r="AQ5164" s="2" t="s">
        <v>82</v>
      </c>
      <c r="AR5164" s="2" t="s">
        <v>82</v>
      </c>
      <c r="AS5164" s="2" t="s">
        <v>82</v>
      </c>
      <c r="AT5164" s="2" t="s">
        <v>15815</v>
      </c>
      <c r="AU5164" s="2"/>
      <c r="AV5164" s="2"/>
      <c r="AW5164" s="2"/>
      <c r="AX5164" s="2"/>
      <c r="AY5164" s="2">
        <v>41</v>
      </c>
      <c r="AZ5164" s="2" t="s">
        <v>82</v>
      </c>
      <c r="BA5164" s="2">
        <v>41</v>
      </c>
      <c r="BB5164" s="2" t="s">
        <v>82</v>
      </c>
      <c r="BC5164" s="2">
        <v>41</v>
      </c>
      <c r="BD5164" s="2" t="s">
        <v>82</v>
      </c>
      <c r="BE5164" s="2">
        <v>13</v>
      </c>
      <c r="BF5164" s="2" t="s">
        <v>108</v>
      </c>
      <c r="BG5164" s="2">
        <v>2530</v>
      </c>
      <c r="BH5164" s="4">
        <v>0.65625</v>
      </c>
      <c r="BI5164" s="4">
        <v>0.61111111111111105</v>
      </c>
      <c r="BJ5164" s="2">
        <v>13</v>
      </c>
      <c r="BK5164" s="2" t="s">
        <v>91</v>
      </c>
      <c r="BL5164" s="2" t="s">
        <v>15816</v>
      </c>
      <c r="BM5164" s="2">
        <v>13</v>
      </c>
      <c r="BN5164" s="2" t="s">
        <v>91</v>
      </c>
      <c r="BO5164" s="2"/>
      <c r="BP5164" s="2">
        <v>13</v>
      </c>
      <c r="BQ5164" s="2" t="s">
        <v>91</v>
      </c>
      <c r="BR5164" s="2" t="s">
        <v>169</v>
      </c>
      <c r="BS5164" s="3">
        <v>40528</v>
      </c>
      <c r="BT5164" s="4">
        <v>0.92859953703703713</v>
      </c>
    </row>
    <row r="5165" spans="1:72" x14ac:dyDescent="0.25">
      <c r="A5165" s="2">
        <v>8029</v>
      </c>
      <c r="B5165" s="2">
        <v>2010</v>
      </c>
      <c r="C5165" s="2" t="s">
        <v>93</v>
      </c>
      <c r="D5165" s="2" t="s">
        <v>73</v>
      </c>
      <c r="E5165" s="2"/>
      <c r="F5165" s="2">
        <v>400</v>
      </c>
      <c r="G5165" s="2" t="s">
        <v>3601</v>
      </c>
      <c r="H5165" s="2">
        <v>17</v>
      </c>
      <c r="I5165" s="2" t="s">
        <v>3602</v>
      </c>
      <c r="J5165" s="2">
        <v>692</v>
      </c>
      <c r="K5165" s="2" t="s">
        <v>574</v>
      </c>
      <c r="L5165" s="2" t="s">
        <v>575</v>
      </c>
      <c r="M5165" s="3">
        <v>40529</v>
      </c>
      <c r="N5165" s="2" t="s">
        <v>10789</v>
      </c>
      <c r="O5165" s="2" t="s">
        <v>15817</v>
      </c>
      <c r="P5165" s="2">
        <v>7941</v>
      </c>
      <c r="Q5165" s="2" t="str">
        <f>"N/C"</f>
        <v>N/C</v>
      </c>
      <c r="R5165" s="2" t="s">
        <v>82</v>
      </c>
      <c r="S5165" s="2" t="s">
        <v>82</v>
      </c>
      <c r="T5165" s="2">
        <v>1</v>
      </c>
      <c r="U5165" s="2" t="s">
        <v>79</v>
      </c>
      <c r="V5165" s="2">
        <v>1</v>
      </c>
      <c r="W5165" s="2" t="s">
        <v>80</v>
      </c>
      <c r="X5165" s="2">
        <v>10</v>
      </c>
      <c r="Y5165" s="2" t="s">
        <v>226</v>
      </c>
      <c r="Z5165" s="2">
        <v>6</v>
      </c>
      <c r="AA5165" s="2" t="s">
        <v>101</v>
      </c>
      <c r="AB5165" s="2">
        <v>2</v>
      </c>
      <c r="AC5165" s="2" t="s">
        <v>102</v>
      </c>
      <c r="AD5165" s="3">
        <v>40528</v>
      </c>
      <c r="AE5165" s="4">
        <v>0.77777777777777779</v>
      </c>
      <c r="AF5165" s="3">
        <v>40529</v>
      </c>
      <c r="AG5165" s="4">
        <v>8.3333333333333329E-2</v>
      </c>
      <c r="AH5165" s="2">
        <v>2</v>
      </c>
      <c r="AI5165" s="2" t="s">
        <v>84</v>
      </c>
      <c r="AJ5165" s="2">
        <v>9</v>
      </c>
      <c r="AK5165" s="2" t="s">
        <v>103</v>
      </c>
      <c r="AL5165" s="2">
        <v>14</v>
      </c>
      <c r="AM5165" s="2" t="s">
        <v>216</v>
      </c>
      <c r="AN5165" s="2" t="s">
        <v>15818</v>
      </c>
      <c r="AO5165" s="2" t="s">
        <v>987</v>
      </c>
      <c r="AP5165" s="2">
        <v>11</v>
      </c>
      <c r="AQ5165" s="2" t="s">
        <v>82</v>
      </c>
      <c r="AR5165" s="2"/>
      <c r="AS5165" s="2"/>
      <c r="AT5165" s="2" t="s">
        <v>15819</v>
      </c>
      <c r="AU5165" s="2"/>
      <c r="AV5165" s="2"/>
      <c r="AW5165" s="2"/>
      <c r="AX5165" s="2"/>
      <c r="AY5165" s="2">
        <v>41</v>
      </c>
      <c r="AZ5165" s="2" t="s">
        <v>82</v>
      </c>
      <c r="BA5165" s="2">
        <v>41</v>
      </c>
      <c r="BB5165" s="2" t="s">
        <v>82</v>
      </c>
      <c r="BC5165" s="2">
        <v>41</v>
      </c>
      <c r="BD5165" s="2" t="s">
        <v>82</v>
      </c>
      <c r="BE5165" s="2">
        <v>2</v>
      </c>
      <c r="BF5165" s="2" t="s">
        <v>1232</v>
      </c>
      <c r="BG5165" s="2" t="s">
        <v>1371</v>
      </c>
      <c r="BH5165" s="2"/>
      <c r="BI5165" s="2"/>
      <c r="BJ5165" s="2">
        <v>13</v>
      </c>
      <c r="BK5165" s="2" t="s">
        <v>91</v>
      </c>
      <c r="BL5165" s="2" t="s">
        <v>360</v>
      </c>
      <c r="BM5165" s="2">
        <v>42</v>
      </c>
      <c r="BN5165" s="2" t="s">
        <v>1234</v>
      </c>
      <c r="BO5165" s="2"/>
      <c r="BP5165" s="2">
        <v>42</v>
      </c>
      <c r="BQ5165" s="2" t="s">
        <v>1234</v>
      </c>
      <c r="BR5165" s="2" t="s">
        <v>1235</v>
      </c>
      <c r="BS5165" s="3">
        <v>40529</v>
      </c>
      <c r="BT5165" s="4">
        <v>1.2395833333333335E-2</v>
      </c>
    </row>
    <row r="5166" spans="1:72" x14ac:dyDescent="0.25">
      <c r="A5166" s="2">
        <v>8030</v>
      </c>
      <c r="B5166" s="2">
        <v>2010</v>
      </c>
      <c r="C5166" s="2" t="s">
        <v>93</v>
      </c>
      <c r="D5166" s="2" t="s">
        <v>73</v>
      </c>
      <c r="E5166" s="2"/>
      <c r="F5166" s="2">
        <v>648</v>
      </c>
      <c r="G5166" s="2" t="s">
        <v>9240</v>
      </c>
      <c r="H5166" s="2">
        <v>22</v>
      </c>
      <c r="I5166" s="2" t="s">
        <v>75</v>
      </c>
      <c r="J5166" s="2">
        <v>752</v>
      </c>
      <c r="K5166" s="2" t="s">
        <v>15820</v>
      </c>
      <c r="L5166" s="2" t="s">
        <v>15821</v>
      </c>
      <c r="M5166" s="3">
        <v>40529</v>
      </c>
      <c r="N5166" s="2" t="s">
        <v>15822</v>
      </c>
      <c r="O5166" s="2" t="s">
        <v>15823</v>
      </c>
      <c r="P5166" s="2" t="s">
        <v>15824</v>
      </c>
      <c r="Q5166" s="2" t="str">
        <f>""</f>
        <v/>
      </c>
      <c r="R5166" s="2"/>
      <c r="S5166" s="2"/>
      <c r="T5166" s="2">
        <v>1</v>
      </c>
      <c r="U5166" s="2" t="s">
        <v>79</v>
      </c>
      <c r="V5166" s="2">
        <v>1</v>
      </c>
      <c r="W5166" s="2" t="s">
        <v>80</v>
      </c>
      <c r="X5166" s="2">
        <v>10</v>
      </c>
      <c r="Y5166" s="2" t="s">
        <v>226</v>
      </c>
      <c r="Z5166" s="2">
        <v>9</v>
      </c>
      <c r="AA5166" s="2" t="s">
        <v>1119</v>
      </c>
      <c r="AB5166" s="2">
        <v>2</v>
      </c>
      <c r="AC5166" s="2" t="s">
        <v>102</v>
      </c>
      <c r="AD5166" s="3">
        <v>40528</v>
      </c>
      <c r="AE5166" s="4">
        <v>0.54166666666666663</v>
      </c>
      <c r="AF5166" s="3">
        <v>40528</v>
      </c>
      <c r="AG5166" s="4">
        <v>0.65625</v>
      </c>
      <c r="AH5166" s="2">
        <v>2</v>
      </c>
      <c r="AI5166" s="2" t="s">
        <v>84</v>
      </c>
      <c r="AJ5166" s="2">
        <v>11</v>
      </c>
      <c r="AK5166" s="2" t="s">
        <v>751</v>
      </c>
      <c r="AL5166" s="2">
        <v>25</v>
      </c>
      <c r="AM5166" s="2" t="s">
        <v>3073</v>
      </c>
      <c r="AN5166" s="2" t="s">
        <v>14632</v>
      </c>
      <c r="AO5166" s="2"/>
      <c r="AP5166" s="2">
        <v>11</v>
      </c>
      <c r="AQ5166" s="2" t="s">
        <v>82</v>
      </c>
      <c r="AR5166" s="2"/>
      <c r="AS5166" s="2"/>
      <c r="AT5166" s="2" t="s">
        <v>15825</v>
      </c>
      <c r="AU5166" s="2">
        <v>1</v>
      </c>
      <c r="AV5166" s="2"/>
      <c r="AW5166" s="2"/>
      <c r="AX5166" s="2"/>
      <c r="AY5166" s="2">
        <v>41</v>
      </c>
      <c r="AZ5166" s="2" t="s">
        <v>82</v>
      </c>
      <c r="BA5166" s="2">
        <v>41</v>
      </c>
      <c r="BB5166" s="2" t="s">
        <v>82</v>
      </c>
      <c r="BC5166" s="2">
        <v>41</v>
      </c>
      <c r="BD5166" s="2" t="s">
        <v>82</v>
      </c>
      <c r="BE5166" s="2">
        <v>41</v>
      </c>
      <c r="BF5166" s="2" t="s">
        <v>82</v>
      </c>
      <c r="BG5166" s="2"/>
      <c r="BH5166" s="4">
        <v>0.54166666666666663</v>
      </c>
      <c r="BI5166" s="2"/>
      <c r="BJ5166" s="2">
        <v>172</v>
      </c>
      <c r="BK5166" s="2" t="s">
        <v>843</v>
      </c>
      <c r="BL5166" s="2" t="s">
        <v>844</v>
      </c>
      <c r="BM5166" s="2">
        <v>241</v>
      </c>
      <c r="BN5166" s="2" t="s">
        <v>82</v>
      </c>
      <c r="BO5166" s="2"/>
      <c r="BP5166" s="2">
        <v>13</v>
      </c>
      <c r="BQ5166" s="2" t="s">
        <v>91</v>
      </c>
      <c r="BR5166" s="2" t="s">
        <v>7891</v>
      </c>
      <c r="BS5166" s="3">
        <v>40529</v>
      </c>
      <c r="BT5166" s="4">
        <v>0.1812384259259259</v>
      </c>
    </row>
    <row r="5167" spans="1:72" x14ac:dyDescent="0.25">
      <c r="A5167" s="2">
        <v>8031</v>
      </c>
      <c r="B5167" s="2">
        <v>2010</v>
      </c>
      <c r="C5167" s="2" t="s">
        <v>4543</v>
      </c>
      <c r="D5167" s="2" t="s">
        <v>122</v>
      </c>
      <c r="E5167" s="2"/>
      <c r="F5167" s="2">
        <v>648</v>
      </c>
      <c r="G5167" s="2" t="s">
        <v>9240</v>
      </c>
      <c r="H5167" s="2">
        <v>22</v>
      </c>
      <c r="I5167" s="2" t="s">
        <v>75</v>
      </c>
      <c r="J5167" s="2">
        <v>600</v>
      </c>
      <c r="K5167" s="2" t="s">
        <v>9081</v>
      </c>
      <c r="L5167" s="2" t="s">
        <v>9082</v>
      </c>
      <c r="M5167" s="3">
        <v>40529</v>
      </c>
      <c r="N5167" s="2" t="s">
        <v>15826</v>
      </c>
      <c r="O5167" s="2" t="s">
        <v>15823</v>
      </c>
      <c r="P5167" s="2" t="s">
        <v>15827</v>
      </c>
      <c r="Q5167" s="2" t="str">
        <f>"S/D"</f>
        <v>S/D</v>
      </c>
      <c r="R5167" s="2" t="s">
        <v>107</v>
      </c>
      <c r="S5167" s="2" t="s">
        <v>107</v>
      </c>
      <c r="T5167" s="2">
        <v>2</v>
      </c>
      <c r="U5167" s="2" t="s">
        <v>123</v>
      </c>
      <c r="V5167" s="2">
        <v>1</v>
      </c>
      <c r="W5167" s="2" t="s">
        <v>80</v>
      </c>
      <c r="X5167" s="2">
        <v>11</v>
      </c>
      <c r="Y5167" s="2" t="s">
        <v>1920</v>
      </c>
      <c r="Z5167" s="2">
        <v>1</v>
      </c>
      <c r="AA5167" s="2" t="s">
        <v>82</v>
      </c>
      <c r="AB5167" s="2">
        <v>9</v>
      </c>
      <c r="AC5167" s="2" t="s">
        <v>124</v>
      </c>
      <c r="AD5167" s="3">
        <v>40529</v>
      </c>
      <c r="AE5167" s="4">
        <v>5.5555555555555552E-2</v>
      </c>
      <c r="AF5167" s="3">
        <v>40529</v>
      </c>
      <c r="AG5167" s="2"/>
      <c r="AH5167" s="2">
        <v>2</v>
      </c>
      <c r="AI5167" s="2" t="s">
        <v>84</v>
      </c>
      <c r="AJ5167" s="2">
        <v>12</v>
      </c>
      <c r="AK5167" s="2" t="s">
        <v>85</v>
      </c>
      <c r="AL5167" s="2">
        <v>19</v>
      </c>
      <c r="AM5167" s="2" t="s">
        <v>107</v>
      </c>
      <c r="AN5167" s="2" t="s">
        <v>107</v>
      </c>
      <c r="AO5167" s="2" t="s">
        <v>1971</v>
      </c>
      <c r="AP5167" s="2">
        <v>11</v>
      </c>
      <c r="AQ5167" s="2" t="s">
        <v>82</v>
      </c>
      <c r="AR5167" s="2" t="s">
        <v>82</v>
      </c>
      <c r="AS5167" s="2" t="s">
        <v>82</v>
      </c>
      <c r="AT5167" s="2" t="s">
        <v>15828</v>
      </c>
      <c r="AU5167" s="2">
        <v>1</v>
      </c>
      <c r="AV5167" s="2"/>
      <c r="AW5167" s="2"/>
      <c r="AX5167" s="2"/>
      <c r="AY5167" s="2">
        <v>41</v>
      </c>
      <c r="AZ5167" s="2" t="s">
        <v>82</v>
      </c>
      <c r="BA5167" s="2">
        <v>41</v>
      </c>
      <c r="BB5167" s="2" t="s">
        <v>82</v>
      </c>
      <c r="BC5167" s="2">
        <v>41</v>
      </c>
      <c r="BD5167" s="2" t="s">
        <v>82</v>
      </c>
      <c r="BE5167" s="2">
        <v>41</v>
      </c>
      <c r="BF5167" s="2" t="s">
        <v>82</v>
      </c>
      <c r="BG5167" s="2"/>
      <c r="BH5167" s="2"/>
      <c r="BI5167" s="2"/>
      <c r="BJ5167" s="2">
        <v>241</v>
      </c>
      <c r="BK5167" s="2" t="s">
        <v>82</v>
      </c>
      <c r="BL5167" s="2" t="s">
        <v>82</v>
      </c>
      <c r="BM5167" s="2">
        <v>241</v>
      </c>
      <c r="BN5167" s="2" t="s">
        <v>82</v>
      </c>
      <c r="BO5167" s="2"/>
      <c r="BP5167" s="2">
        <v>241</v>
      </c>
      <c r="BQ5167" s="2" t="s">
        <v>82</v>
      </c>
      <c r="BR5167" s="2" t="s">
        <v>82</v>
      </c>
      <c r="BS5167" s="3">
        <v>40529</v>
      </c>
      <c r="BT5167" s="4">
        <v>0.35254629629629625</v>
      </c>
    </row>
    <row r="5168" spans="1:72" x14ac:dyDescent="0.25">
      <c r="A5168" s="2">
        <v>8033</v>
      </c>
      <c r="B5168" s="2">
        <v>2010</v>
      </c>
      <c r="C5168" s="2" t="s">
        <v>147</v>
      </c>
      <c r="D5168" s="2" t="s">
        <v>73</v>
      </c>
      <c r="E5168" s="2"/>
      <c r="F5168" s="2">
        <v>1</v>
      </c>
      <c r="G5168" s="2" t="s">
        <v>82</v>
      </c>
      <c r="H5168" s="2">
        <v>1</v>
      </c>
      <c r="I5168" s="2" t="s">
        <v>82</v>
      </c>
      <c r="J5168" s="2">
        <v>1</v>
      </c>
      <c r="K5168" s="2" t="s">
        <v>107</v>
      </c>
      <c r="L5168" s="2" t="s">
        <v>107</v>
      </c>
      <c r="M5168" s="3">
        <v>40529</v>
      </c>
      <c r="N5168" s="2"/>
      <c r="O5168" s="2"/>
      <c r="P5168" s="2"/>
      <c r="Q5168" s="2" t="str">
        <f>""</f>
        <v/>
      </c>
      <c r="R5168" s="2"/>
      <c r="S5168" s="2"/>
      <c r="T5168" s="2">
        <v>2</v>
      </c>
      <c r="U5168" s="2" t="s">
        <v>123</v>
      </c>
      <c r="V5168" s="2">
        <v>1</v>
      </c>
      <c r="W5168" s="2" t="s">
        <v>80</v>
      </c>
      <c r="X5168" s="2">
        <v>12</v>
      </c>
      <c r="Y5168" s="2" t="s">
        <v>148</v>
      </c>
      <c r="Z5168" s="2">
        <v>10</v>
      </c>
      <c r="AA5168" s="2" t="s">
        <v>236</v>
      </c>
      <c r="AB5168" s="2">
        <v>9</v>
      </c>
      <c r="AC5168" s="2" t="s">
        <v>124</v>
      </c>
      <c r="AD5168" s="2"/>
      <c r="AE5168" s="2"/>
      <c r="AF5168" s="3">
        <v>40529</v>
      </c>
      <c r="AG5168" s="4">
        <v>0.33333333333333331</v>
      </c>
      <c r="AH5168" s="2">
        <v>3</v>
      </c>
      <c r="AI5168" s="2" t="s">
        <v>214</v>
      </c>
      <c r="AJ5168" s="2">
        <v>24</v>
      </c>
      <c r="AK5168" s="2" t="s">
        <v>215</v>
      </c>
      <c r="AL5168" s="2">
        <v>19</v>
      </c>
      <c r="AM5168" s="2" t="s">
        <v>107</v>
      </c>
      <c r="AN5168" s="2" t="s">
        <v>107</v>
      </c>
      <c r="AO5168" s="2" t="s">
        <v>107</v>
      </c>
      <c r="AP5168" s="2">
        <v>11</v>
      </c>
      <c r="AQ5168" s="2" t="s">
        <v>82</v>
      </c>
      <c r="AR5168" s="2"/>
      <c r="AS5168" s="2"/>
      <c r="AT5168" s="2" t="s">
        <v>15829</v>
      </c>
      <c r="AU5168" s="2"/>
      <c r="AV5168" s="2"/>
      <c r="AW5168" s="2"/>
      <c r="AX5168" s="2"/>
      <c r="AY5168" s="2">
        <v>70</v>
      </c>
      <c r="AZ5168" s="2" t="s">
        <v>236</v>
      </c>
      <c r="BA5168" s="2">
        <v>41</v>
      </c>
      <c r="BB5168" s="2" t="s">
        <v>82</v>
      </c>
      <c r="BC5168" s="2">
        <v>41</v>
      </c>
      <c r="BD5168" s="2" t="s">
        <v>82</v>
      </c>
      <c r="BE5168" s="2">
        <v>41</v>
      </c>
      <c r="BF5168" s="2" t="s">
        <v>82</v>
      </c>
      <c r="BG5168" s="2"/>
      <c r="BH5168" s="2"/>
      <c r="BI5168" s="2"/>
      <c r="BJ5168" s="2">
        <v>241</v>
      </c>
      <c r="BK5168" s="2" t="s">
        <v>82</v>
      </c>
      <c r="BL5168" s="2"/>
      <c r="BM5168" s="2">
        <v>241</v>
      </c>
      <c r="BN5168" s="2" t="s">
        <v>82</v>
      </c>
      <c r="BO5168" s="2"/>
      <c r="BP5168" s="2">
        <v>241</v>
      </c>
      <c r="BQ5168" s="2" t="s">
        <v>82</v>
      </c>
      <c r="BR5168" s="2"/>
      <c r="BS5168" s="3">
        <v>40529</v>
      </c>
      <c r="BT5168" s="4">
        <v>0.39075231481481482</v>
      </c>
    </row>
    <row r="5169" spans="1:72" x14ac:dyDescent="0.25">
      <c r="A5169" s="2">
        <v>8034</v>
      </c>
      <c r="B5169" s="2">
        <v>2010</v>
      </c>
      <c r="C5169" s="2" t="s">
        <v>806</v>
      </c>
      <c r="D5169" s="2" t="s">
        <v>73</v>
      </c>
      <c r="E5169" s="2"/>
      <c r="F5169" s="2">
        <v>530</v>
      </c>
      <c r="G5169" s="2" t="s">
        <v>3315</v>
      </c>
      <c r="H5169" s="2">
        <v>144</v>
      </c>
      <c r="I5169" s="2" t="s">
        <v>2111</v>
      </c>
      <c r="J5169" s="2">
        <v>686</v>
      </c>
      <c r="K5169" s="2" t="s">
        <v>13375</v>
      </c>
      <c r="L5169" s="2" t="s">
        <v>1792</v>
      </c>
      <c r="M5169" s="3">
        <v>40529</v>
      </c>
      <c r="N5169" s="2"/>
      <c r="O5169" s="2" t="s">
        <v>15830</v>
      </c>
      <c r="P5169" s="2" t="s">
        <v>15831</v>
      </c>
      <c r="Q5169" s="2" t="str">
        <f>""</f>
        <v/>
      </c>
      <c r="R5169" s="2"/>
      <c r="S5169" s="2"/>
      <c r="T5169" s="2">
        <v>1</v>
      </c>
      <c r="U5169" s="2" t="s">
        <v>79</v>
      </c>
      <c r="V5169" s="2">
        <v>1</v>
      </c>
      <c r="W5169" s="2" t="s">
        <v>80</v>
      </c>
      <c r="X5169" s="2">
        <v>5</v>
      </c>
      <c r="Y5169" s="2" t="s">
        <v>82</v>
      </c>
      <c r="Z5169" s="2">
        <v>1</v>
      </c>
      <c r="AA5169" s="2" t="s">
        <v>82</v>
      </c>
      <c r="AB5169" s="2">
        <v>9</v>
      </c>
      <c r="AC5169" s="2" t="s">
        <v>124</v>
      </c>
      <c r="AD5169" s="3">
        <v>40529</v>
      </c>
      <c r="AE5169" s="4">
        <v>0.375</v>
      </c>
      <c r="AF5169" s="3">
        <v>40529</v>
      </c>
      <c r="AG5169" s="4">
        <v>0.375</v>
      </c>
      <c r="AH5169" s="2">
        <v>3</v>
      </c>
      <c r="AI5169" s="2" t="s">
        <v>214</v>
      </c>
      <c r="AJ5169" s="2">
        <v>19</v>
      </c>
      <c r="AK5169" s="2" t="s">
        <v>4901</v>
      </c>
      <c r="AL5169" s="2">
        <v>19</v>
      </c>
      <c r="AM5169" s="2" t="s">
        <v>107</v>
      </c>
      <c r="AN5169" s="2"/>
      <c r="AO5169" s="2"/>
      <c r="AP5169" s="2">
        <v>11</v>
      </c>
      <c r="AQ5169" s="2" t="s">
        <v>82</v>
      </c>
      <c r="AR5169" s="2"/>
      <c r="AS5169" s="2"/>
      <c r="AT5169" s="2" t="s">
        <v>15832</v>
      </c>
      <c r="AU5169" s="2"/>
      <c r="AV5169" s="2"/>
      <c r="AW5169" s="2"/>
      <c r="AX5169" s="2"/>
      <c r="AY5169" s="2">
        <v>41</v>
      </c>
      <c r="AZ5169" s="2" t="s">
        <v>82</v>
      </c>
      <c r="BA5169" s="2">
        <v>41</v>
      </c>
      <c r="BB5169" s="2" t="s">
        <v>82</v>
      </c>
      <c r="BC5169" s="2">
        <v>41</v>
      </c>
      <c r="BD5169" s="2" t="s">
        <v>82</v>
      </c>
      <c r="BE5169" s="2">
        <v>41</v>
      </c>
      <c r="BF5169" s="2" t="s">
        <v>82</v>
      </c>
      <c r="BG5169" s="2"/>
      <c r="BH5169" s="2"/>
      <c r="BI5169" s="2"/>
      <c r="BJ5169" s="2">
        <v>241</v>
      </c>
      <c r="BK5169" s="2" t="s">
        <v>82</v>
      </c>
      <c r="BL5169" s="2"/>
      <c r="BM5169" s="2">
        <v>241</v>
      </c>
      <c r="BN5169" s="2" t="s">
        <v>82</v>
      </c>
      <c r="BO5169" s="2"/>
      <c r="BP5169" s="2">
        <v>241</v>
      </c>
      <c r="BQ5169" s="2" t="s">
        <v>82</v>
      </c>
      <c r="BR5169" s="2"/>
      <c r="BS5169" s="3">
        <v>40529</v>
      </c>
      <c r="BT5169" s="4">
        <v>0.45497685185185183</v>
      </c>
    </row>
    <row r="5170" spans="1:72" x14ac:dyDescent="0.25">
      <c r="A5170" s="2">
        <v>8037</v>
      </c>
      <c r="B5170" s="2">
        <v>2010</v>
      </c>
      <c r="C5170" s="2" t="s">
        <v>147</v>
      </c>
      <c r="D5170" s="2" t="s">
        <v>122</v>
      </c>
      <c r="E5170" s="2" t="s">
        <v>15833</v>
      </c>
      <c r="F5170" s="2">
        <v>1</v>
      </c>
      <c r="G5170" s="2" t="s">
        <v>82</v>
      </c>
      <c r="H5170" s="2">
        <v>1</v>
      </c>
      <c r="I5170" s="2" t="s">
        <v>82</v>
      </c>
      <c r="J5170" s="2">
        <v>1</v>
      </c>
      <c r="K5170" s="2" t="s">
        <v>107</v>
      </c>
      <c r="L5170" s="2" t="s">
        <v>107</v>
      </c>
      <c r="M5170" s="3">
        <v>40529</v>
      </c>
      <c r="N5170" s="2"/>
      <c r="O5170" s="2"/>
      <c r="P5170" s="2"/>
      <c r="Q5170" s="2" t="str">
        <f>""</f>
        <v/>
      </c>
      <c r="R5170" s="2"/>
      <c r="S5170" s="2"/>
      <c r="T5170" s="2">
        <v>2</v>
      </c>
      <c r="U5170" s="2" t="s">
        <v>123</v>
      </c>
      <c r="V5170" s="2">
        <v>1</v>
      </c>
      <c r="W5170" s="2" t="s">
        <v>80</v>
      </c>
      <c r="X5170" s="2">
        <v>5</v>
      </c>
      <c r="Y5170" s="2" t="s">
        <v>82</v>
      </c>
      <c r="Z5170" s="2">
        <v>1</v>
      </c>
      <c r="AA5170" s="2" t="s">
        <v>82</v>
      </c>
      <c r="AB5170" s="2">
        <v>9</v>
      </c>
      <c r="AC5170" s="2" t="s">
        <v>124</v>
      </c>
      <c r="AD5170" s="2"/>
      <c r="AE5170" s="2"/>
      <c r="AF5170" s="3">
        <v>40529</v>
      </c>
      <c r="AG5170" s="4">
        <v>0.33333333333333331</v>
      </c>
      <c r="AH5170" s="2">
        <v>3</v>
      </c>
      <c r="AI5170" s="2" t="s">
        <v>214</v>
      </c>
      <c r="AJ5170" s="2">
        <v>24</v>
      </c>
      <c r="AK5170" s="2" t="s">
        <v>215</v>
      </c>
      <c r="AL5170" s="2">
        <v>19</v>
      </c>
      <c r="AM5170" s="2" t="s">
        <v>107</v>
      </c>
      <c r="AN5170" s="2" t="s">
        <v>107</v>
      </c>
      <c r="AO5170" s="2" t="s">
        <v>107</v>
      </c>
      <c r="AP5170" s="2">
        <v>11</v>
      </c>
      <c r="AQ5170" s="2" t="s">
        <v>82</v>
      </c>
      <c r="AR5170" s="2"/>
      <c r="AS5170" s="2"/>
      <c r="AT5170" s="2" t="s">
        <v>15834</v>
      </c>
      <c r="AU5170" s="2"/>
      <c r="AV5170" s="2"/>
      <c r="AW5170" s="2"/>
      <c r="AX5170" s="2"/>
      <c r="AY5170" s="2">
        <v>70</v>
      </c>
      <c r="AZ5170" s="2" t="s">
        <v>236</v>
      </c>
      <c r="BA5170" s="2">
        <v>41</v>
      </c>
      <c r="BB5170" s="2" t="s">
        <v>82</v>
      </c>
      <c r="BC5170" s="2">
        <v>41</v>
      </c>
      <c r="BD5170" s="2" t="s">
        <v>82</v>
      </c>
      <c r="BE5170" s="2">
        <v>41</v>
      </c>
      <c r="BF5170" s="2" t="s">
        <v>82</v>
      </c>
      <c r="BG5170" s="2"/>
      <c r="BH5170" s="2"/>
      <c r="BI5170" s="2"/>
      <c r="BJ5170" s="2">
        <v>241</v>
      </c>
      <c r="BK5170" s="2" t="s">
        <v>82</v>
      </c>
      <c r="BL5170" s="2"/>
      <c r="BM5170" s="2">
        <v>241</v>
      </c>
      <c r="BN5170" s="2" t="s">
        <v>82</v>
      </c>
      <c r="BO5170" s="2"/>
      <c r="BP5170" s="2">
        <v>241</v>
      </c>
      <c r="BQ5170" s="2" t="s">
        <v>82</v>
      </c>
      <c r="BR5170" s="2"/>
      <c r="BS5170" s="3">
        <v>40529</v>
      </c>
      <c r="BT5170" s="4">
        <v>0.62200231481481483</v>
      </c>
    </row>
    <row r="5171" spans="1:72" x14ac:dyDescent="0.25">
      <c r="A5171" s="2">
        <v>8038</v>
      </c>
      <c r="B5171" s="2">
        <v>2010</v>
      </c>
      <c r="C5171" s="2" t="s">
        <v>819</v>
      </c>
      <c r="D5171" s="2" t="s">
        <v>73</v>
      </c>
      <c r="E5171" s="2"/>
      <c r="F5171" s="2">
        <v>400</v>
      </c>
      <c r="G5171" s="2" t="s">
        <v>3601</v>
      </c>
      <c r="H5171" s="2">
        <v>17</v>
      </c>
      <c r="I5171" s="2" t="s">
        <v>3602</v>
      </c>
      <c r="J5171" s="2">
        <v>692</v>
      </c>
      <c r="K5171" s="2" t="s">
        <v>574</v>
      </c>
      <c r="L5171" s="2" t="s">
        <v>575</v>
      </c>
      <c r="M5171" s="3">
        <v>40529</v>
      </c>
      <c r="N5171" s="2" t="s">
        <v>15835</v>
      </c>
      <c r="O5171" s="2" t="s">
        <v>15836</v>
      </c>
      <c r="P5171" s="2" t="s">
        <v>15837</v>
      </c>
      <c r="Q5171" s="2" t="str">
        <f>"667-E/10"</f>
        <v>667-E/10</v>
      </c>
      <c r="R5171" s="2"/>
      <c r="S5171" s="2" t="s">
        <v>15838</v>
      </c>
      <c r="T5171" s="2">
        <v>1</v>
      </c>
      <c r="U5171" s="2" t="s">
        <v>79</v>
      </c>
      <c r="V5171" s="2">
        <v>3</v>
      </c>
      <c r="W5171" s="2" t="s">
        <v>225</v>
      </c>
      <c r="X5171" s="2">
        <v>6</v>
      </c>
      <c r="Y5171" s="2" t="s">
        <v>249</v>
      </c>
      <c r="Z5171" s="2">
        <v>1</v>
      </c>
      <c r="AA5171" s="2" t="s">
        <v>82</v>
      </c>
      <c r="AB5171" s="2">
        <v>9</v>
      </c>
      <c r="AC5171" s="2" t="s">
        <v>124</v>
      </c>
      <c r="AD5171" s="3">
        <v>25568</v>
      </c>
      <c r="AE5171" s="4">
        <v>0.58333333333333337</v>
      </c>
      <c r="AF5171" s="3">
        <v>25568</v>
      </c>
      <c r="AG5171" s="4">
        <v>0.4375</v>
      </c>
      <c r="AH5171" s="2">
        <v>2</v>
      </c>
      <c r="AI5171" s="2" t="s">
        <v>84</v>
      </c>
      <c r="AJ5171" s="2">
        <v>6</v>
      </c>
      <c r="AK5171" s="2" t="s">
        <v>453</v>
      </c>
      <c r="AL5171" s="2">
        <v>23</v>
      </c>
      <c r="AM5171" s="2" t="s">
        <v>251</v>
      </c>
      <c r="AN5171" s="2" t="s">
        <v>15839</v>
      </c>
      <c r="AO5171" s="2" t="s">
        <v>15840</v>
      </c>
      <c r="AP5171" s="2">
        <v>11</v>
      </c>
      <c r="AQ5171" s="2" t="s">
        <v>82</v>
      </c>
      <c r="AR5171" s="2"/>
      <c r="AS5171" s="2"/>
      <c r="AT5171" s="2" t="s">
        <v>15841</v>
      </c>
      <c r="AU5171" s="2"/>
      <c r="AV5171" s="2"/>
      <c r="AW5171" s="2"/>
      <c r="AX5171" s="2"/>
      <c r="AY5171" s="2">
        <v>41</v>
      </c>
      <c r="AZ5171" s="2" t="s">
        <v>82</v>
      </c>
      <c r="BA5171" s="2">
        <v>41</v>
      </c>
      <c r="BB5171" s="2" t="s">
        <v>82</v>
      </c>
      <c r="BC5171" s="2">
        <v>41</v>
      </c>
      <c r="BD5171" s="2" t="s">
        <v>82</v>
      </c>
      <c r="BE5171" s="2">
        <v>41</v>
      </c>
      <c r="BF5171" s="2" t="s">
        <v>82</v>
      </c>
      <c r="BG5171" s="2"/>
      <c r="BH5171" s="2"/>
      <c r="BI5171" s="2"/>
      <c r="BJ5171" s="2">
        <v>241</v>
      </c>
      <c r="BK5171" s="2" t="s">
        <v>82</v>
      </c>
      <c r="BL5171" s="2"/>
      <c r="BM5171" s="2">
        <v>241</v>
      </c>
      <c r="BN5171" s="2" t="s">
        <v>82</v>
      </c>
      <c r="BO5171" s="2"/>
      <c r="BP5171" s="2">
        <v>241</v>
      </c>
      <c r="BQ5171" s="2" t="s">
        <v>82</v>
      </c>
      <c r="BR5171" s="2"/>
      <c r="BS5171" s="3">
        <v>40529</v>
      </c>
      <c r="BT5171" s="4">
        <v>0.64187499999999997</v>
      </c>
    </row>
    <row r="5172" spans="1:72" x14ac:dyDescent="0.25">
      <c r="A5172" s="2">
        <v>8048</v>
      </c>
      <c r="B5172" s="2">
        <v>2010</v>
      </c>
      <c r="C5172" s="2" t="s">
        <v>147</v>
      </c>
      <c r="D5172" s="2" t="s">
        <v>73</v>
      </c>
      <c r="E5172" s="2"/>
      <c r="F5172" s="2">
        <v>1</v>
      </c>
      <c r="G5172" s="2" t="s">
        <v>82</v>
      </c>
      <c r="H5172" s="2">
        <v>1</v>
      </c>
      <c r="I5172" s="2" t="s">
        <v>82</v>
      </c>
      <c r="J5172" s="2">
        <v>1</v>
      </c>
      <c r="K5172" s="2" t="s">
        <v>107</v>
      </c>
      <c r="L5172" s="2" t="s">
        <v>107</v>
      </c>
      <c r="M5172" s="3">
        <v>40529</v>
      </c>
      <c r="N5172" s="2" t="s">
        <v>82</v>
      </c>
      <c r="O5172" s="2" t="s">
        <v>82</v>
      </c>
      <c r="P5172" s="2" t="s">
        <v>82</v>
      </c>
      <c r="Q5172" s="2" t="str">
        <f>"AP 0071/10"</f>
        <v>AP 0071/10</v>
      </c>
      <c r="R5172" s="2" t="s">
        <v>15842</v>
      </c>
      <c r="S5172" s="2" t="s">
        <v>82</v>
      </c>
      <c r="T5172" s="2">
        <v>2</v>
      </c>
      <c r="U5172" s="2" t="s">
        <v>123</v>
      </c>
      <c r="V5172" s="2">
        <v>1</v>
      </c>
      <c r="W5172" s="2" t="s">
        <v>80</v>
      </c>
      <c r="X5172" s="2">
        <v>12</v>
      </c>
      <c r="Y5172" s="2" t="s">
        <v>148</v>
      </c>
      <c r="Z5172" s="2">
        <v>1</v>
      </c>
      <c r="AA5172" s="2" t="s">
        <v>82</v>
      </c>
      <c r="AB5172" s="2">
        <v>9</v>
      </c>
      <c r="AC5172" s="2" t="s">
        <v>124</v>
      </c>
      <c r="AD5172" s="3">
        <v>40529</v>
      </c>
      <c r="AE5172" s="2"/>
      <c r="AF5172" s="3">
        <v>40529</v>
      </c>
      <c r="AG5172" s="4">
        <v>0.75</v>
      </c>
      <c r="AH5172" s="2">
        <v>6</v>
      </c>
      <c r="AI5172" s="2" t="s">
        <v>197</v>
      </c>
      <c r="AJ5172" s="2">
        <v>61</v>
      </c>
      <c r="AK5172" s="2" t="s">
        <v>686</v>
      </c>
      <c r="AL5172" s="2">
        <v>19</v>
      </c>
      <c r="AM5172" s="2" t="s">
        <v>107</v>
      </c>
      <c r="AN5172" s="2" t="s">
        <v>82</v>
      </c>
      <c r="AO5172" s="2" t="s">
        <v>82</v>
      </c>
      <c r="AP5172" s="2">
        <v>11</v>
      </c>
      <c r="AQ5172" s="2" t="s">
        <v>82</v>
      </c>
      <c r="AR5172" s="2" t="s">
        <v>82</v>
      </c>
      <c r="AS5172" s="2" t="s">
        <v>82</v>
      </c>
      <c r="AT5172" s="2" t="s">
        <v>15843</v>
      </c>
      <c r="AU5172" s="2"/>
      <c r="AV5172" s="2"/>
      <c r="AW5172" s="2"/>
      <c r="AX5172" s="2"/>
      <c r="AY5172" s="2">
        <v>41</v>
      </c>
      <c r="AZ5172" s="2" t="s">
        <v>82</v>
      </c>
      <c r="BA5172" s="2">
        <v>41</v>
      </c>
      <c r="BB5172" s="2" t="s">
        <v>82</v>
      </c>
      <c r="BC5172" s="2">
        <v>41</v>
      </c>
      <c r="BD5172" s="2" t="s">
        <v>82</v>
      </c>
      <c r="BE5172" s="2">
        <v>41</v>
      </c>
      <c r="BF5172" s="2" t="s">
        <v>82</v>
      </c>
      <c r="BG5172" s="2" t="s">
        <v>82</v>
      </c>
      <c r="BH5172" s="2"/>
      <c r="BI5172" s="2"/>
      <c r="BJ5172" s="2">
        <v>241</v>
      </c>
      <c r="BK5172" s="2" t="s">
        <v>82</v>
      </c>
      <c r="BL5172" s="2" t="s">
        <v>82</v>
      </c>
      <c r="BM5172" s="2">
        <v>241</v>
      </c>
      <c r="BN5172" s="2" t="s">
        <v>82</v>
      </c>
      <c r="BO5172" s="2"/>
      <c r="BP5172" s="2">
        <v>241</v>
      </c>
      <c r="BQ5172" s="2" t="s">
        <v>82</v>
      </c>
      <c r="BR5172" s="2" t="s">
        <v>82</v>
      </c>
      <c r="BS5172" s="3">
        <v>40529</v>
      </c>
      <c r="BT5172" s="4">
        <v>0.80138888888888893</v>
      </c>
    </row>
    <row r="5173" spans="1:72" x14ac:dyDescent="0.25">
      <c r="A5173" s="2">
        <v>8050</v>
      </c>
      <c r="B5173" s="2">
        <v>2010</v>
      </c>
      <c r="C5173" s="2" t="s">
        <v>171</v>
      </c>
      <c r="D5173" s="2" t="s">
        <v>73</v>
      </c>
      <c r="E5173" s="2"/>
      <c r="F5173" s="2">
        <v>153</v>
      </c>
      <c r="G5173" s="2" t="s">
        <v>9047</v>
      </c>
      <c r="H5173" s="2">
        <v>6</v>
      </c>
      <c r="I5173" s="2" t="s">
        <v>1088</v>
      </c>
      <c r="J5173" s="2">
        <v>165</v>
      </c>
      <c r="K5173" s="2" t="s">
        <v>8586</v>
      </c>
      <c r="L5173" s="2" t="s">
        <v>8587</v>
      </c>
      <c r="M5173" s="3">
        <v>40529</v>
      </c>
      <c r="N5173" s="2" t="s">
        <v>8588</v>
      </c>
      <c r="O5173" s="2"/>
      <c r="P5173" s="2"/>
      <c r="Q5173" s="2" t="str">
        <f>"0455-A/10"</f>
        <v>0455-A/10</v>
      </c>
      <c r="R5173" s="2" t="s">
        <v>489</v>
      </c>
      <c r="S5173" s="2" t="s">
        <v>489</v>
      </c>
      <c r="T5173" s="2">
        <v>1</v>
      </c>
      <c r="U5173" s="2" t="s">
        <v>79</v>
      </c>
      <c r="V5173" s="2">
        <v>1</v>
      </c>
      <c r="W5173" s="2" t="s">
        <v>80</v>
      </c>
      <c r="X5173" s="2">
        <v>1</v>
      </c>
      <c r="Y5173" s="2" t="s">
        <v>81</v>
      </c>
      <c r="Z5173" s="2">
        <v>1</v>
      </c>
      <c r="AA5173" s="2" t="s">
        <v>82</v>
      </c>
      <c r="AB5173" s="2">
        <v>1</v>
      </c>
      <c r="AC5173" s="2" t="s">
        <v>178</v>
      </c>
      <c r="AD5173" s="3">
        <v>40529</v>
      </c>
      <c r="AE5173" s="4">
        <v>0.43055555555555558</v>
      </c>
      <c r="AF5173" s="3">
        <v>40529</v>
      </c>
      <c r="AG5173" s="4">
        <v>0.72916666666666663</v>
      </c>
      <c r="AH5173" s="2">
        <v>2</v>
      </c>
      <c r="AI5173" s="2" t="s">
        <v>84</v>
      </c>
      <c r="AJ5173" s="2">
        <v>12</v>
      </c>
      <c r="AK5173" s="2" t="s">
        <v>85</v>
      </c>
      <c r="AL5173" s="2">
        <v>16</v>
      </c>
      <c r="AM5173" s="2" t="s">
        <v>392</v>
      </c>
      <c r="AN5173" s="2" t="s">
        <v>6519</v>
      </c>
      <c r="AO5173" s="2" t="s">
        <v>322</v>
      </c>
      <c r="AP5173" s="2">
        <v>5</v>
      </c>
      <c r="AQ5173" s="2" t="s">
        <v>827</v>
      </c>
      <c r="AR5173" s="2" t="s">
        <v>15844</v>
      </c>
      <c r="AS5173" s="2" t="s">
        <v>15844</v>
      </c>
      <c r="AT5173" s="2" t="s">
        <v>15845</v>
      </c>
      <c r="AU5173" s="2"/>
      <c r="AV5173" s="2"/>
      <c r="AW5173" s="2"/>
      <c r="AX5173" s="2"/>
      <c r="AY5173" s="2">
        <v>41</v>
      </c>
      <c r="AZ5173" s="2" t="s">
        <v>82</v>
      </c>
      <c r="BA5173" s="2">
        <v>41</v>
      </c>
      <c r="BB5173" s="2" t="s">
        <v>82</v>
      </c>
      <c r="BC5173" s="2">
        <v>41</v>
      </c>
      <c r="BD5173" s="2" t="s">
        <v>82</v>
      </c>
      <c r="BE5173" s="2">
        <v>13</v>
      </c>
      <c r="BF5173" s="2" t="s">
        <v>108</v>
      </c>
      <c r="BG5173" s="2" t="s">
        <v>15846</v>
      </c>
      <c r="BH5173" s="2"/>
      <c r="BI5173" s="2"/>
      <c r="BJ5173" s="2">
        <v>13</v>
      </c>
      <c r="BK5173" s="2" t="s">
        <v>91</v>
      </c>
      <c r="BL5173" s="2" t="s">
        <v>564</v>
      </c>
      <c r="BM5173" s="2">
        <v>13</v>
      </c>
      <c r="BN5173" s="2" t="s">
        <v>91</v>
      </c>
      <c r="BO5173" s="2"/>
      <c r="BP5173" s="2">
        <v>13</v>
      </c>
      <c r="BQ5173" s="2" t="s">
        <v>91</v>
      </c>
      <c r="BR5173" s="2" t="s">
        <v>241</v>
      </c>
      <c r="BS5173" s="3">
        <v>40529</v>
      </c>
      <c r="BT5173" s="4">
        <v>0.87160879629629628</v>
      </c>
    </row>
    <row r="5174" spans="1:72" x14ac:dyDescent="0.25">
      <c r="A5174" s="2">
        <v>8051</v>
      </c>
      <c r="B5174" s="2">
        <v>2010</v>
      </c>
      <c r="C5174" s="2" t="s">
        <v>196</v>
      </c>
      <c r="D5174" s="2" t="s">
        <v>122</v>
      </c>
      <c r="E5174" s="2"/>
      <c r="F5174" s="2">
        <v>1</v>
      </c>
      <c r="G5174" s="2" t="s">
        <v>82</v>
      </c>
      <c r="H5174" s="2">
        <v>1</v>
      </c>
      <c r="I5174" s="2" t="s">
        <v>82</v>
      </c>
      <c r="J5174" s="2">
        <v>1</v>
      </c>
      <c r="K5174" s="2" t="s">
        <v>107</v>
      </c>
      <c r="L5174" s="2" t="s">
        <v>107</v>
      </c>
      <c r="M5174" s="3">
        <v>40529</v>
      </c>
      <c r="N5174" s="2"/>
      <c r="O5174" s="2"/>
      <c r="P5174" s="2"/>
      <c r="Q5174" s="2" t="str">
        <f>""</f>
        <v/>
      </c>
      <c r="R5174" s="2"/>
      <c r="S5174" s="2"/>
      <c r="T5174" s="2">
        <v>2</v>
      </c>
      <c r="U5174" s="2" t="s">
        <v>123</v>
      </c>
      <c r="V5174" s="2">
        <v>1</v>
      </c>
      <c r="W5174" s="2" t="s">
        <v>80</v>
      </c>
      <c r="X5174" s="2">
        <v>5</v>
      </c>
      <c r="Y5174" s="2" t="s">
        <v>82</v>
      </c>
      <c r="Z5174" s="2">
        <v>1</v>
      </c>
      <c r="AA5174" s="2" t="s">
        <v>82</v>
      </c>
      <c r="AB5174" s="2">
        <v>9</v>
      </c>
      <c r="AC5174" s="2" t="s">
        <v>124</v>
      </c>
      <c r="AD5174" s="3">
        <v>40529</v>
      </c>
      <c r="AE5174" s="4">
        <v>0.64583333333333337</v>
      </c>
      <c r="AF5174" s="3">
        <v>40529</v>
      </c>
      <c r="AG5174" s="2"/>
      <c r="AH5174" s="2">
        <v>2</v>
      </c>
      <c r="AI5174" s="2" t="s">
        <v>84</v>
      </c>
      <c r="AJ5174" s="2">
        <v>12</v>
      </c>
      <c r="AK5174" s="2" t="s">
        <v>85</v>
      </c>
      <c r="AL5174" s="2">
        <v>19</v>
      </c>
      <c r="AM5174" s="2" t="s">
        <v>107</v>
      </c>
      <c r="AN5174" s="2"/>
      <c r="AO5174" s="2"/>
      <c r="AP5174" s="2">
        <v>11</v>
      </c>
      <c r="AQ5174" s="2" t="s">
        <v>82</v>
      </c>
      <c r="AR5174" s="2"/>
      <c r="AS5174" s="2"/>
      <c r="AT5174" s="2" t="s">
        <v>15847</v>
      </c>
      <c r="AU5174" s="2"/>
      <c r="AV5174" s="2"/>
      <c r="AW5174" s="2"/>
      <c r="AX5174" s="2"/>
      <c r="AY5174" s="2">
        <v>41</v>
      </c>
      <c r="AZ5174" s="2" t="s">
        <v>82</v>
      </c>
      <c r="BA5174" s="2">
        <v>41</v>
      </c>
      <c r="BB5174" s="2" t="s">
        <v>82</v>
      </c>
      <c r="BC5174" s="2">
        <v>41</v>
      </c>
      <c r="BD5174" s="2" t="s">
        <v>82</v>
      </c>
      <c r="BE5174" s="2">
        <v>41</v>
      </c>
      <c r="BF5174" s="2" t="s">
        <v>82</v>
      </c>
      <c r="BG5174" s="2"/>
      <c r="BH5174" s="4">
        <v>0.81111111111111101</v>
      </c>
      <c r="BI5174" s="4">
        <v>0.82291666666666663</v>
      </c>
      <c r="BJ5174" s="2">
        <v>241</v>
      </c>
      <c r="BK5174" s="2" t="s">
        <v>82</v>
      </c>
      <c r="BL5174" s="2"/>
      <c r="BM5174" s="2">
        <v>241</v>
      </c>
      <c r="BN5174" s="2" t="s">
        <v>82</v>
      </c>
      <c r="BO5174" s="2"/>
      <c r="BP5174" s="2">
        <v>241</v>
      </c>
      <c r="BQ5174" s="2" t="s">
        <v>82</v>
      </c>
      <c r="BR5174" s="2"/>
      <c r="BS5174" s="3">
        <v>40529</v>
      </c>
      <c r="BT5174" s="4">
        <v>0.89315972222222229</v>
      </c>
    </row>
    <row r="5175" spans="1:72" x14ac:dyDescent="0.25">
      <c r="A5175" s="2">
        <v>8052</v>
      </c>
      <c r="B5175" s="2">
        <v>2010</v>
      </c>
      <c r="C5175" s="2" t="s">
        <v>819</v>
      </c>
      <c r="D5175" s="2" t="s">
        <v>122</v>
      </c>
      <c r="E5175" s="2"/>
      <c r="F5175" s="2">
        <v>451</v>
      </c>
      <c r="G5175" s="2" t="s">
        <v>879</v>
      </c>
      <c r="H5175" s="2">
        <v>31</v>
      </c>
      <c r="I5175" s="2" t="s">
        <v>880</v>
      </c>
      <c r="J5175" s="2">
        <v>326</v>
      </c>
      <c r="K5175" s="2" t="s">
        <v>881</v>
      </c>
      <c r="L5175" s="2" t="s">
        <v>882</v>
      </c>
      <c r="M5175" s="3">
        <v>40529</v>
      </c>
      <c r="N5175" s="2" t="s">
        <v>1072</v>
      </c>
      <c r="O5175" s="2"/>
      <c r="P5175" s="2"/>
      <c r="Q5175" s="2" t="str">
        <f>"120/10"</f>
        <v>120/10</v>
      </c>
      <c r="R5175" s="2"/>
      <c r="S5175" s="2" t="s">
        <v>822</v>
      </c>
      <c r="T5175" s="2">
        <v>1</v>
      </c>
      <c r="U5175" s="2" t="s">
        <v>79</v>
      </c>
      <c r="V5175" s="2">
        <v>1</v>
      </c>
      <c r="W5175" s="2" t="s">
        <v>80</v>
      </c>
      <c r="X5175" s="2">
        <v>1</v>
      </c>
      <c r="Y5175" s="2" t="s">
        <v>81</v>
      </c>
      <c r="Z5175" s="2">
        <v>10</v>
      </c>
      <c r="AA5175" s="2" t="s">
        <v>236</v>
      </c>
      <c r="AB5175" s="2">
        <v>9</v>
      </c>
      <c r="AC5175" s="2" t="s">
        <v>124</v>
      </c>
      <c r="AD5175" s="3">
        <v>40529</v>
      </c>
      <c r="AE5175" s="4">
        <v>0.91319444444444453</v>
      </c>
      <c r="AF5175" s="3">
        <v>40529</v>
      </c>
      <c r="AG5175" s="4">
        <v>0.91666666666666663</v>
      </c>
      <c r="AH5175" s="2">
        <v>4</v>
      </c>
      <c r="AI5175" s="2" t="s">
        <v>125</v>
      </c>
      <c r="AJ5175" s="2">
        <v>29</v>
      </c>
      <c r="AK5175" s="2" t="s">
        <v>227</v>
      </c>
      <c r="AL5175" s="2">
        <v>10</v>
      </c>
      <c r="AM5175" s="2" t="s">
        <v>200</v>
      </c>
      <c r="AN5175" s="2" t="s">
        <v>1015</v>
      </c>
      <c r="AO5175" s="2" t="s">
        <v>6940</v>
      </c>
      <c r="AP5175" s="2">
        <v>12</v>
      </c>
      <c r="AQ5175" s="2" t="s">
        <v>322</v>
      </c>
      <c r="AR5175" s="2" t="s">
        <v>824</v>
      </c>
      <c r="AS5175" s="2" t="s">
        <v>825</v>
      </c>
      <c r="AT5175" s="2" t="s">
        <v>15848</v>
      </c>
      <c r="AU5175" s="2"/>
      <c r="AV5175" s="2"/>
      <c r="AW5175" s="2"/>
      <c r="AX5175" s="2"/>
      <c r="AY5175" s="2">
        <v>41</v>
      </c>
      <c r="AZ5175" s="2" t="s">
        <v>82</v>
      </c>
      <c r="BA5175" s="2">
        <v>41</v>
      </c>
      <c r="BB5175" s="2" t="s">
        <v>82</v>
      </c>
      <c r="BC5175" s="2">
        <v>51</v>
      </c>
      <c r="BD5175" s="2" t="s">
        <v>827</v>
      </c>
      <c r="BE5175" s="2">
        <v>47</v>
      </c>
      <c r="BF5175" s="2" t="s">
        <v>167</v>
      </c>
      <c r="BG5175" s="2">
        <v>2459</v>
      </c>
      <c r="BH5175" s="4">
        <v>0.95486111111111116</v>
      </c>
      <c r="BI5175" s="4">
        <v>0.97569444444444453</v>
      </c>
      <c r="BJ5175" s="2">
        <v>13</v>
      </c>
      <c r="BK5175" s="2" t="s">
        <v>91</v>
      </c>
      <c r="BL5175" s="2" t="s">
        <v>828</v>
      </c>
      <c r="BM5175" s="2">
        <v>13</v>
      </c>
      <c r="BN5175" s="2" t="s">
        <v>91</v>
      </c>
      <c r="BO5175" s="2"/>
      <c r="BP5175" s="2">
        <v>13</v>
      </c>
      <c r="BQ5175" s="2" t="s">
        <v>91</v>
      </c>
      <c r="BR5175" s="2" t="s">
        <v>185</v>
      </c>
      <c r="BS5175" s="3">
        <v>40529</v>
      </c>
      <c r="BT5175" s="4">
        <v>0.97324074074074074</v>
      </c>
    </row>
    <row r="5176" spans="1:72" x14ac:dyDescent="0.25">
      <c r="A5176" s="2">
        <v>8053</v>
      </c>
      <c r="B5176" s="2">
        <v>2010</v>
      </c>
      <c r="C5176" s="2" t="s">
        <v>128</v>
      </c>
      <c r="D5176" s="2" t="s">
        <v>73</v>
      </c>
      <c r="E5176" s="2" t="s">
        <v>15849</v>
      </c>
      <c r="F5176" s="2">
        <v>425</v>
      </c>
      <c r="G5176" s="2" t="s">
        <v>286</v>
      </c>
      <c r="H5176" s="2">
        <v>39</v>
      </c>
      <c r="I5176" s="2" t="s">
        <v>1117</v>
      </c>
      <c r="J5176" s="2">
        <v>310</v>
      </c>
      <c r="K5176" s="2" t="s">
        <v>288</v>
      </c>
      <c r="L5176" s="2" t="s">
        <v>289</v>
      </c>
      <c r="M5176" s="3">
        <v>40529</v>
      </c>
      <c r="N5176" s="2" t="s">
        <v>1917</v>
      </c>
      <c r="O5176" s="2" t="s">
        <v>11437</v>
      </c>
      <c r="P5176" s="2" t="s">
        <v>11438</v>
      </c>
      <c r="Q5176" s="2" t="str">
        <f>"101"</f>
        <v>101</v>
      </c>
      <c r="R5176" s="2"/>
      <c r="S5176" s="2"/>
      <c r="T5176" s="2">
        <v>1</v>
      </c>
      <c r="U5176" s="2" t="s">
        <v>79</v>
      </c>
      <c r="V5176" s="2">
        <v>3</v>
      </c>
      <c r="W5176" s="2" t="s">
        <v>225</v>
      </c>
      <c r="X5176" s="2">
        <v>6</v>
      </c>
      <c r="Y5176" s="2" t="s">
        <v>249</v>
      </c>
      <c r="Z5176" s="2">
        <v>1</v>
      </c>
      <c r="AA5176" s="2" t="s">
        <v>82</v>
      </c>
      <c r="AB5176" s="2">
        <v>9</v>
      </c>
      <c r="AC5176" s="2" t="s">
        <v>124</v>
      </c>
      <c r="AD5176" s="2"/>
      <c r="AE5176" s="2"/>
      <c r="AF5176" s="3">
        <v>40529</v>
      </c>
      <c r="AG5176" s="2"/>
      <c r="AH5176" s="2">
        <v>4</v>
      </c>
      <c r="AI5176" s="2" t="s">
        <v>125</v>
      </c>
      <c r="AJ5176" s="2">
        <v>26</v>
      </c>
      <c r="AK5176" s="2" t="s">
        <v>293</v>
      </c>
      <c r="AL5176" s="2">
        <v>23</v>
      </c>
      <c r="AM5176" s="2" t="s">
        <v>251</v>
      </c>
      <c r="AN5176" s="2" t="s">
        <v>15850</v>
      </c>
      <c r="AO5176" s="2" t="s">
        <v>11465</v>
      </c>
      <c r="AP5176" s="2">
        <v>11</v>
      </c>
      <c r="AQ5176" s="2" t="s">
        <v>82</v>
      </c>
      <c r="AR5176" s="2"/>
      <c r="AS5176" s="2"/>
      <c r="AT5176" s="2" t="s">
        <v>15851</v>
      </c>
      <c r="AU5176" s="2"/>
      <c r="AV5176" s="2"/>
      <c r="AW5176" s="2"/>
      <c r="AX5176" s="2"/>
      <c r="AY5176" s="2">
        <v>41</v>
      </c>
      <c r="AZ5176" s="2" t="s">
        <v>82</v>
      </c>
      <c r="BA5176" s="2">
        <v>41</v>
      </c>
      <c r="BB5176" s="2" t="s">
        <v>82</v>
      </c>
      <c r="BC5176" s="2">
        <v>41</v>
      </c>
      <c r="BD5176" s="2" t="s">
        <v>82</v>
      </c>
      <c r="BE5176" s="2">
        <v>41</v>
      </c>
      <c r="BF5176" s="2" t="s">
        <v>82</v>
      </c>
      <c r="BG5176" s="2"/>
      <c r="BH5176" s="2"/>
      <c r="BI5176" s="2"/>
      <c r="BJ5176" s="2">
        <v>241</v>
      </c>
      <c r="BK5176" s="2" t="s">
        <v>82</v>
      </c>
      <c r="BL5176" s="2"/>
      <c r="BM5176" s="2">
        <v>241</v>
      </c>
      <c r="BN5176" s="2" t="s">
        <v>82</v>
      </c>
      <c r="BO5176" s="2"/>
      <c r="BP5176" s="2">
        <v>241</v>
      </c>
      <c r="BQ5176" s="2" t="s">
        <v>82</v>
      </c>
      <c r="BR5176" s="2"/>
      <c r="BS5176" s="3">
        <v>40529</v>
      </c>
      <c r="BT5176" s="4">
        <v>0.98040509259259256</v>
      </c>
    </row>
    <row r="5177" spans="1:72" x14ac:dyDescent="0.25">
      <c r="A5177" s="2">
        <v>8054</v>
      </c>
      <c r="B5177" s="2">
        <v>2010</v>
      </c>
      <c r="C5177" s="2" t="s">
        <v>196</v>
      </c>
      <c r="D5177" s="2" t="s">
        <v>122</v>
      </c>
      <c r="E5177" s="2"/>
      <c r="F5177" s="2">
        <v>1</v>
      </c>
      <c r="G5177" s="2" t="s">
        <v>82</v>
      </c>
      <c r="H5177" s="2">
        <v>1</v>
      </c>
      <c r="I5177" s="2" t="s">
        <v>82</v>
      </c>
      <c r="J5177" s="2">
        <v>1</v>
      </c>
      <c r="K5177" s="2" t="s">
        <v>107</v>
      </c>
      <c r="L5177" s="2" t="s">
        <v>107</v>
      </c>
      <c r="M5177" s="3">
        <v>40529</v>
      </c>
      <c r="N5177" s="2"/>
      <c r="O5177" s="2"/>
      <c r="P5177" s="2"/>
      <c r="Q5177" s="2" t="str">
        <f>""</f>
        <v/>
      </c>
      <c r="R5177" s="2"/>
      <c r="S5177" s="2"/>
      <c r="T5177" s="2">
        <v>2</v>
      </c>
      <c r="U5177" s="2" t="s">
        <v>123</v>
      </c>
      <c r="V5177" s="2">
        <v>1</v>
      </c>
      <c r="W5177" s="2" t="s">
        <v>80</v>
      </c>
      <c r="X5177" s="2">
        <v>5</v>
      </c>
      <c r="Y5177" s="2" t="s">
        <v>82</v>
      </c>
      <c r="Z5177" s="2">
        <v>1</v>
      </c>
      <c r="AA5177" s="2" t="s">
        <v>82</v>
      </c>
      <c r="AB5177" s="2">
        <v>9</v>
      </c>
      <c r="AC5177" s="2" t="s">
        <v>124</v>
      </c>
      <c r="AD5177" s="3">
        <v>40529</v>
      </c>
      <c r="AE5177" s="4">
        <v>0.94791666666666663</v>
      </c>
      <c r="AF5177" s="3">
        <v>40529</v>
      </c>
      <c r="AG5177" s="2"/>
      <c r="AH5177" s="2">
        <v>6</v>
      </c>
      <c r="AI5177" s="2" t="s">
        <v>197</v>
      </c>
      <c r="AJ5177" s="2">
        <v>58</v>
      </c>
      <c r="AK5177" s="2" t="s">
        <v>406</v>
      </c>
      <c r="AL5177" s="2">
        <v>9</v>
      </c>
      <c r="AM5177" s="2" t="s">
        <v>259</v>
      </c>
      <c r="AN5177" s="2"/>
      <c r="AO5177" s="2" t="s">
        <v>15012</v>
      </c>
      <c r="AP5177" s="2">
        <v>11</v>
      </c>
      <c r="AQ5177" s="2" t="s">
        <v>82</v>
      </c>
      <c r="AR5177" s="2"/>
      <c r="AS5177" s="2"/>
      <c r="AT5177" s="2" t="s">
        <v>15852</v>
      </c>
      <c r="AU5177" s="2"/>
      <c r="AV5177" s="2"/>
      <c r="AW5177" s="2"/>
      <c r="AX5177" s="2"/>
      <c r="AY5177" s="2">
        <v>41</v>
      </c>
      <c r="AZ5177" s="2" t="s">
        <v>82</v>
      </c>
      <c r="BA5177" s="2">
        <v>41</v>
      </c>
      <c r="BB5177" s="2" t="s">
        <v>82</v>
      </c>
      <c r="BC5177" s="2">
        <v>41</v>
      </c>
      <c r="BD5177" s="2" t="s">
        <v>82</v>
      </c>
      <c r="BE5177" s="2">
        <v>41</v>
      </c>
      <c r="BF5177" s="2" t="s">
        <v>82</v>
      </c>
      <c r="BG5177" s="2"/>
      <c r="BH5177" s="4">
        <v>0.94791666666666663</v>
      </c>
      <c r="BI5177" s="2"/>
      <c r="BJ5177" s="2">
        <v>13</v>
      </c>
      <c r="BK5177" s="2" t="s">
        <v>91</v>
      </c>
      <c r="BL5177" s="2" t="s">
        <v>185</v>
      </c>
      <c r="BM5177" s="2">
        <v>241</v>
      </c>
      <c r="BN5177" s="2" t="s">
        <v>82</v>
      </c>
      <c r="BO5177" s="2"/>
      <c r="BP5177" s="2">
        <v>13</v>
      </c>
      <c r="BQ5177" s="2" t="s">
        <v>91</v>
      </c>
      <c r="BR5177" s="2" t="s">
        <v>492</v>
      </c>
      <c r="BS5177" s="3">
        <v>40529</v>
      </c>
      <c r="BT5177" s="4">
        <v>0.99266203703703704</v>
      </c>
    </row>
    <row r="5178" spans="1:72" x14ac:dyDescent="0.25">
      <c r="A5178" s="2">
        <v>8055</v>
      </c>
      <c r="B5178" s="2">
        <v>2010</v>
      </c>
      <c r="C5178" s="2" t="s">
        <v>93</v>
      </c>
      <c r="D5178" s="2" t="s">
        <v>73</v>
      </c>
      <c r="E5178" s="2"/>
      <c r="F5178" s="2">
        <v>747</v>
      </c>
      <c r="G5178" s="2" t="s">
        <v>15853</v>
      </c>
      <c r="H5178" s="2">
        <v>1</v>
      </c>
      <c r="I5178" s="2" t="s">
        <v>82</v>
      </c>
      <c r="J5178" s="2">
        <v>751</v>
      </c>
      <c r="K5178" s="2" t="s">
        <v>15854</v>
      </c>
      <c r="L5178" s="2" t="s">
        <v>15855</v>
      </c>
      <c r="M5178" s="3">
        <v>40530</v>
      </c>
      <c r="N5178" s="2"/>
      <c r="O5178" s="2" t="s">
        <v>15856</v>
      </c>
      <c r="P5178" s="2" t="s">
        <v>15857</v>
      </c>
      <c r="Q5178" s="2" t="str">
        <f>""</f>
        <v/>
      </c>
      <c r="R5178" s="2"/>
      <c r="S5178" s="2"/>
      <c r="T5178" s="2">
        <v>1</v>
      </c>
      <c r="U5178" s="2" t="s">
        <v>79</v>
      </c>
      <c r="V5178" s="2">
        <v>1</v>
      </c>
      <c r="W5178" s="2" t="s">
        <v>80</v>
      </c>
      <c r="X5178" s="2">
        <v>1</v>
      </c>
      <c r="Y5178" s="2" t="s">
        <v>81</v>
      </c>
      <c r="Z5178" s="2">
        <v>1</v>
      </c>
      <c r="AA5178" s="2" t="s">
        <v>82</v>
      </c>
      <c r="AB5178" s="2">
        <v>2</v>
      </c>
      <c r="AC5178" s="2" t="s">
        <v>102</v>
      </c>
      <c r="AD5178" s="3">
        <v>40529</v>
      </c>
      <c r="AE5178" s="4">
        <v>0.81944444444444453</v>
      </c>
      <c r="AF5178" s="3">
        <v>40529</v>
      </c>
      <c r="AG5178" s="4">
        <v>0.89583333333333337</v>
      </c>
      <c r="AH5178" s="2">
        <v>2</v>
      </c>
      <c r="AI5178" s="2" t="s">
        <v>84</v>
      </c>
      <c r="AJ5178" s="2">
        <v>10</v>
      </c>
      <c r="AK5178" s="2" t="s">
        <v>3321</v>
      </c>
      <c r="AL5178" s="2">
        <v>11</v>
      </c>
      <c r="AM5178" s="2" t="s">
        <v>137</v>
      </c>
      <c r="AN5178" s="2"/>
      <c r="AO5178" s="2"/>
      <c r="AP5178" s="2">
        <v>11</v>
      </c>
      <c r="AQ5178" s="2" t="s">
        <v>82</v>
      </c>
      <c r="AR5178" s="2"/>
      <c r="AS5178" s="2"/>
      <c r="AT5178" s="2" t="s">
        <v>15858</v>
      </c>
      <c r="AU5178" s="2"/>
      <c r="AV5178" s="2"/>
      <c r="AW5178" s="2"/>
      <c r="AX5178" s="2"/>
      <c r="AY5178" s="2">
        <v>41</v>
      </c>
      <c r="AZ5178" s="2" t="s">
        <v>82</v>
      </c>
      <c r="BA5178" s="2">
        <v>41</v>
      </c>
      <c r="BB5178" s="2" t="s">
        <v>82</v>
      </c>
      <c r="BC5178" s="2">
        <v>41</v>
      </c>
      <c r="BD5178" s="2" t="s">
        <v>82</v>
      </c>
      <c r="BE5178" s="2">
        <v>47</v>
      </c>
      <c r="BF5178" s="2" t="s">
        <v>167</v>
      </c>
      <c r="BG5178" s="2" t="s">
        <v>15859</v>
      </c>
      <c r="BH5178" s="2"/>
      <c r="BI5178" s="2"/>
      <c r="BJ5178" s="2">
        <v>13</v>
      </c>
      <c r="BK5178" s="2" t="s">
        <v>91</v>
      </c>
      <c r="BL5178" s="2" t="s">
        <v>3325</v>
      </c>
      <c r="BM5178" s="2">
        <v>13</v>
      </c>
      <c r="BN5178" s="2" t="s">
        <v>91</v>
      </c>
      <c r="BO5178" s="2"/>
      <c r="BP5178" s="2">
        <v>13</v>
      </c>
      <c r="BQ5178" s="2" t="s">
        <v>91</v>
      </c>
      <c r="BR5178" s="2" t="s">
        <v>564</v>
      </c>
      <c r="BS5178" s="3">
        <v>40530</v>
      </c>
      <c r="BT5178" s="4">
        <v>6.3773148148148148E-2</v>
      </c>
    </row>
    <row r="5179" spans="1:72" x14ac:dyDescent="0.25">
      <c r="A5179" s="2">
        <v>8056</v>
      </c>
      <c r="B5179" s="2">
        <v>2010</v>
      </c>
      <c r="C5179" s="2" t="s">
        <v>171</v>
      </c>
      <c r="D5179" s="2" t="s">
        <v>73</v>
      </c>
      <c r="E5179" s="2"/>
      <c r="F5179" s="2">
        <v>393</v>
      </c>
      <c r="G5179" s="2" t="s">
        <v>3660</v>
      </c>
      <c r="H5179" s="2">
        <v>3</v>
      </c>
      <c r="I5179" s="2" t="s">
        <v>315</v>
      </c>
      <c r="J5179" s="2">
        <v>2</v>
      </c>
      <c r="K5179" s="2" t="s">
        <v>3661</v>
      </c>
      <c r="L5179" s="2" t="s">
        <v>3662</v>
      </c>
      <c r="M5179" s="3">
        <v>40530</v>
      </c>
      <c r="N5179" s="2" t="s">
        <v>3663</v>
      </c>
      <c r="O5179" s="2" t="s">
        <v>15860</v>
      </c>
      <c r="P5179" s="2">
        <v>5877</v>
      </c>
      <c r="Q5179" s="2" t="str">
        <f>""</f>
        <v/>
      </c>
      <c r="R5179" s="2"/>
      <c r="S5179" s="2"/>
      <c r="T5179" s="2">
        <v>1</v>
      </c>
      <c r="U5179" s="2" t="s">
        <v>79</v>
      </c>
      <c r="V5179" s="2">
        <v>1</v>
      </c>
      <c r="W5179" s="2" t="s">
        <v>80</v>
      </c>
      <c r="X5179" s="2">
        <v>8</v>
      </c>
      <c r="Y5179" s="2" t="s">
        <v>375</v>
      </c>
      <c r="Z5179" s="2">
        <v>1</v>
      </c>
      <c r="AA5179" s="2" t="s">
        <v>82</v>
      </c>
      <c r="AB5179" s="2">
        <v>1</v>
      </c>
      <c r="AC5179" s="2" t="s">
        <v>178</v>
      </c>
      <c r="AD5179" s="3">
        <v>40529</v>
      </c>
      <c r="AE5179" s="4">
        <v>0.97222222222222221</v>
      </c>
      <c r="AF5179" s="3">
        <v>40529</v>
      </c>
      <c r="AG5179" s="4">
        <v>0.96875</v>
      </c>
      <c r="AH5179" s="2">
        <v>2</v>
      </c>
      <c r="AI5179" s="2" t="s">
        <v>84</v>
      </c>
      <c r="AJ5179" s="2">
        <v>6</v>
      </c>
      <c r="AK5179" s="2" t="s">
        <v>453</v>
      </c>
      <c r="AL5179" s="2">
        <v>23</v>
      </c>
      <c r="AM5179" s="2" t="s">
        <v>251</v>
      </c>
      <c r="AN5179" s="2"/>
      <c r="AO5179" s="2" t="s">
        <v>15861</v>
      </c>
      <c r="AP5179" s="2">
        <v>11</v>
      </c>
      <c r="AQ5179" s="2" t="s">
        <v>82</v>
      </c>
      <c r="AR5179" s="2"/>
      <c r="AS5179" s="2"/>
      <c r="AT5179" s="2" t="s">
        <v>15862</v>
      </c>
      <c r="AU5179" s="2"/>
      <c r="AV5179" s="2"/>
      <c r="AW5179" s="2"/>
      <c r="AX5179" s="2"/>
      <c r="AY5179" s="2">
        <v>41</v>
      </c>
      <c r="AZ5179" s="2" t="s">
        <v>82</v>
      </c>
      <c r="BA5179" s="2">
        <v>41</v>
      </c>
      <c r="BB5179" s="2" t="s">
        <v>82</v>
      </c>
      <c r="BC5179" s="2">
        <v>41</v>
      </c>
      <c r="BD5179" s="2" t="s">
        <v>82</v>
      </c>
      <c r="BE5179" s="2">
        <v>41</v>
      </c>
      <c r="BF5179" s="2" t="s">
        <v>82</v>
      </c>
      <c r="BG5179" s="2"/>
      <c r="BH5179" s="2"/>
      <c r="BI5179" s="2"/>
      <c r="BJ5179" s="2">
        <v>241</v>
      </c>
      <c r="BK5179" s="2" t="s">
        <v>82</v>
      </c>
      <c r="BL5179" s="2"/>
      <c r="BM5179" s="2">
        <v>241</v>
      </c>
      <c r="BN5179" s="2" t="s">
        <v>82</v>
      </c>
      <c r="BO5179" s="2"/>
      <c r="BP5179" s="2">
        <v>241</v>
      </c>
      <c r="BQ5179" s="2" t="s">
        <v>82</v>
      </c>
      <c r="BR5179" s="2"/>
      <c r="BS5179" s="3">
        <v>40530</v>
      </c>
      <c r="BT5179" s="4">
        <v>9.0462962962962967E-2</v>
      </c>
    </row>
    <row r="5180" spans="1:72" x14ac:dyDescent="0.25">
      <c r="A5180" s="2">
        <v>8057</v>
      </c>
      <c r="B5180" s="2">
        <v>2010</v>
      </c>
      <c r="C5180" s="2" t="s">
        <v>72</v>
      </c>
      <c r="D5180" s="2" t="s">
        <v>73</v>
      </c>
      <c r="E5180" s="2"/>
      <c r="F5180" s="2">
        <v>175</v>
      </c>
      <c r="G5180" s="2" t="s">
        <v>4170</v>
      </c>
      <c r="H5180" s="2">
        <v>108</v>
      </c>
      <c r="I5180" s="2" t="s">
        <v>1096</v>
      </c>
      <c r="J5180" s="2">
        <v>728</v>
      </c>
      <c r="K5180" s="2" t="s">
        <v>15156</v>
      </c>
      <c r="L5180" s="2" t="s">
        <v>15157</v>
      </c>
      <c r="M5180" s="3">
        <v>40530</v>
      </c>
      <c r="N5180" s="2" t="s">
        <v>15158</v>
      </c>
      <c r="O5180" s="2"/>
      <c r="P5180" s="2"/>
      <c r="Q5180" s="2" t="str">
        <f>"456-A/10"</f>
        <v>456-A/10</v>
      </c>
      <c r="R5180" s="2" t="s">
        <v>78</v>
      </c>
      <c r="S5180" s="2" t="s">
        <v>78</v>
      </c>
      <c r="T5180" s="2">
        <v>1</v>
      </c>
      <c r="U5180" s="2" t="s">
        <v>79</v>
      </c>
      <c r="V5180" s="2">
        <v>1</v>
      </c>
      <c r="W5180" s="2" t="s">
        <v>80</v>
      </c>
      <c r="X5180" s="2">
        <v>12</v>
      </c>
      <c r="Y5180" s="2" t="s">
        <v>148</v>
      </c>
      <c r="Z5180" s="2">
        <v>1</v>
      </c>
      <c r="AA5180" s="2" t="s">
        <v>82</v>
      </c>
      <c r="AB5180" s="2">
        <v>6</v>
      </c>
      <c r="AC5180" s="2" t="s">
        <v>83</v>
      </c>
      <c r="AD5180" s="3">
        <v>40528</v>
      </c>
      <c r="AE5180" s="2"/>
      <c r="AF5180" s="3">
        <v>40529</v>
      </c>
      <c r="AG5180" s="4">
        <v>0.54166666666666663</v>
      </c>
      <c r="AH5180" s="2">
        <v>2</v>
      </c>
      <c r="AI5180" s="2" t="s">
        <v>84</v>
      </c>
      <c r="AJ5180" s="2">
        <v>12</v>
      </c>
      <c r="AK5180" s="2" t="s">
        <v>85</v>
      </c>
      <c r="AL5180" s="2">
        <v>2</v>
      </c>
      <c r="AM5180" s="2" t="s">
        <v>163</v>
      </c>
      <c r="AN5180" s="2" t="s">
        <v>15863</v>
      </c>
      <c r="AO5180" s="2" t="s">
        <v>15864</v>
      </c>
      <c r="AP5180" s="2">
        <v>11</v>
      </c>
      <c r="AQ5180" s="2" t="s">
        <v>82</v>
      </c>
      <c r="AR5180" s="2"/>
      <c r="AS5180" s="2"/>
      <c r="AT5180" s="2" t="s">
        <v>15865</v>
      </c>
      <c r="AU5180" s="2"/>
      <c r="AV5180" s="2"/>
      <c r="AW5180" s="2"/>
      <c r="AX5180" s="2"/>
      <c r="AY5180" s="2">
        <v>41</v>
      </c>
      <c r="AZ5180" s="2" t="s">
        <v>82</v>
      </c>
      <c r="BA5180" s="2">
        <v>41</v>
      </c>
      <c r="BB5180" s="2" t="s">
        <v>82</v>
      </c>
      <c r="BC5180" s="2">
        <v>41</v>
      </c>
      <c r="BD5180" s="2" t="s">
        <v>82</v>
      </c>
      <c r="BE5180" s="2">
        <v>13</v>
      </c>
      <c r="BF5180" s="2" t="s">
        <v>108</v>
      </c>
      <c r="BG5180" s="2" t="s">
        <v>15866</v>
      </c>
      <c r="BH5180" s="4">
        <v>0.43055555555555558</v>
      </c>
      <c r="BI5180" s="2"/>
      <c r="BJ5180" s="2">
        <v>13</v>
      </c>
      <c r="BK5180" s="2" t="s">
        <v>91</v>
      </c>
      <c r="BL5180" s="2" t="s">
        <v>3387</v>
      </c>
      <c r="BM5180" s="2">
        <v>13</v>
      </c>
      <c r="BN5180" s="2" t="s">
        <v>91</v>
      </c>
      <c r="BO5180" s="2"/>
      <c r="BP5180" s="2">
        <v>13</v>
      </c>
      <c r="BQ5180" s="2" t="s">
        <v>91</v>
      </c>
      <c r="BR5180" s="2" t="s">
        <v>564</v>
      </c>
      <c r="BS5180" s="3">
        <v>40530</v>
      </c>
      <c r="BT5180" s="4">
        <v>0.16549768518518518</v>
      </c>
    </row>
    <row r="5181" spans="1:72" x14ac:dyDescent="0.25">
      <c r="A5181" s="2">
        <v>8058</v>
      </c>
      <c r="B5181" s="2">
        <v>2010</v>
      </c>
      <c r="C5181" s="2" t="s">
        <v>72</v>
      </c>
      <c r="D5181" s="2" t="s">
        <v>73</v>
      </c>
      <c r="E5181" s="2"/>
      <c r="F5181" s="2">
        <v>175</v>
      </c>
      <c r="G5181" s="2" t="s">
        <v>4170</v>
      </c>
      <c r="H5181" s="2">
        <v>42</v>
      </c>
      <c r="I5181" s="2" t="s">
        <v>1096</v>
      </c>
      <c r="J5181" s="2">
        <v>728</v>
      </c>
      <c r="K5181" s="2" t="s">
        <v>15156</v>
      </c>
      <c r="L5181" s="2" t="s">
        <v>15157</v>
      </c>
      <c r="M5181" s="3">
        <v>40530</v>
      </c>
      <c r="N5181" s="2" t="s">
        <v>15158</v>
      </c>
      <c r="O5181" s="2"/>
      <c r="P5181" s="2"/>
      <c r="Q5181" s="2" t="str">
        <f>"457-A/10"</f>
        <v>457-A/10</v>
      </c>
      <c r="R5181" s="2" t="s">
        <v>78</v>
      </c>
      <c r="S5181" s="2" t="s">
        <v>78</v>
      </c>
      <c r="T5181" s="2">
        <v>1</v>
      </c>
      <c r="U5181" s="2" t="s">
        <v>79</v>
      </c>
      <c r="V5181" s="2">
        <v>1</v>
      </c>
      <c r="W5181" s="2" t="s">
        <v>80</v>
      </c>
      <c r="X5181" s="2">
        <v>12</v>
      </c>
      <c r="Y5181" s="2" t="s">
        <v>148</v>
      </c>
      <c r="Z5181" s="2">
        <v>1</v>
      </c>
      <c r="AA5181" s="2" t="s">
        <v>82</v>
      </c>
      <c r="AB5181" s="2">
        <v>6</v>
      </c>
      <c r="AC5181" s="2" t="s">
        <v>83</v>
      </c>
      <c r="AD5181" s="3">
        <v>40529</v>
      </c>
      <c r="AE5181" s="2"/>
      <c r="AF5181" s="3">
        <v>40529</v>
      </c>
      <c r="AG5181" s="4">
        <v>0.45833333333333331</v>
      </c>
      <c r="AH5181" s="2">
        <v>2</v>
      </c>
      <c r="AI5181" s="2" t="s">
        <v>84</v>
      </c>
      <c r="AJ5181" s="2">
        <v>12</v>
      </c>
      <c r="AK5181" s="2" t="s">
        <v>85</v>
      </c>
      <c r="AL5181" s="2">
        <v>14</v>
      </c>
      <c r="AM5181" s="2" t="s">
        <v>216</v>
      </c>
      <c r="AN5181" s="2" t="s">
        <v>15867</v>
      </c>
      <c r="AO5181" s="2" t="s">
        <v>15868</v>
      </c>
      <c r="AP5181" s="2">
        <v>11</v>
      </c>
      <c r="AQ5181" s="2" t="s">
        <v>82</v>
      </c>
      <c r="AR5181" s="2"/>
      <c r="AS5181" s="2"/>
      <c r="AT5181" s="2" t="s">
        <v>15869</v>
      </c>
      <c r="AU5181" s="2"/>
      <c r="AV5181" s="2"/>
      <c r="AW5181" s="2"/>
      <c r="AX5181" s="2"/>
      <c r="AY5181" s="2">
        <v>41</v>
      </c>
      <c r="AZ5181" s="2" t="s">
        <v>82</v>
      </c>
      <c r="BA5181" s="2">
        <v>41</v>
      </c>
      <c r="BB5181" s="2" t="s">
        <v>82</v>
      </c>
      <c r="BC5181" s="2">
        <v>41</v>
      </c>
      <c r="BD5181" s="2" t="s">
        <v>82</v>
      </c>
      <c r="BE5181" s="2">
        <v>41</v>
      </c>
      <c r="BF5181" s="2" t="s">
        <v>82</v>
      </c>
      <c r="BG5181" s="2"/>
      <c r="BH5181" s="2"/>
      <c r="BI5181" s="2"/>
      <c r="BJ5181" s="2">
        <v>241</v>
      </c>
      <c r="BK5181" s="2" t="s">
        <v>82</v>
      </c>
      <c r="BL5181" s="2"/>
      <c r="BM5181" s="2">
        <v>241</v>
      </c>
      <c r="BN5181" s="2" t="s">
        <v>82</v>
      </c>
      <c r="BO5181" s="2"/>
      <c r="BP5181" s="2">
        <v>241</v>
      </c>
      <c r="BQ5181" s="2" t="s">
        <v>82</v>
      </c>
      <c r="BR5181" s="2"/>
      <c r="BS5181" s="3">
        <v>40530</v>
      </c>
      <c r="BT5181" s="4">
        <v>0.22425925925925927</v>
      </c>
    </row>
    <row r="5182" spans="1:72" x14ac:dyDescent="0.25">
      <c r="A5182" s="2">
        <v>8059</v>
      </c>
      <c r="B5182" s="2">
        <v>2010</v>
      </c>
      <c r="C5182" s="2" t="s">
        <v>385</v>
      </c>
      <c r="D5182" s="2" t="s">
        <v>122</v>
      </c>
      <c r="E5182" s="2"/>
      <c r="F5182" s="2">
        <v>648</v>
      </c>
      <c r="G5182" s="2" t="s">
        <v>9240</v>
      </c>
      <c r="H5182" s="2">
        <v>108</v>
      </c>
      <c r="I5182" s="2" t="s">
        <v>1096</v>
      </c>
      <c r="J5182" s="2">
        <v>1</v>
      </c>
      <c r="K5182" s="2" t="s">
        <v>107</v>
      </c>
      <c r="L5182" s="2" t="s">
        <v>107</v>
      </c>
      <c r="M5182" s="3">
        <v>40530</v>
      </c>
      <c r="N5182" s="2" t="s">
        <v>15870</v>
      </c>
      <c r="O5182" s="2" t="s">
        <v>15823</v>
      </c>
      <c r="P5182" s="2" t="s">
        <v>15871</v>
      </c>
      <c r="Q5182" s="2" t="str">
        <f>""</f>
        <v/>
      </c>
      <c r="R5182" s="2"/>
      <c r="S5182" s="2"/>
      <c r="T5182" s="2">
        <v>1</v>
      </c>
      <c r="U5182" s="2" t="s">
        <v>79</v>
      </c>
      <c r="V5182" s="2">
        <v>1</v>
      </c>
      <c r="W5182" s="2" t="s">
        <v>80</v>
      </c>
      <c r="X5182" s="2">
        <v>11</v>
      </c>
      <c r="Y5182" s="2" t="s">
        <v>1920</v>
      </c>
      <c r="Z5182" s="2">
        <v>1</v>
      </c>
      <c r="AA5182" s="2" t="s">
        <v>82</v>
      </c>
      <c r="AB5182" s="2">
        <v>9</v>
      </c>
      <c r="AC5182" s="2" t="s">
        <v>124</v>
      </c>
      <c r="AD5182" s="3">
        <v>40529</v>
      </c>
      <c r="AE5182" s="4">
        <v>0.87847222222222221</v>
      </c>
      <c r="AF5182" s="3">
        <v>40529</v>
      </c>
      <c r="AG5182" s="2"/>
      <c r="AH5182" s="2">
        <v>2</v>
      </c>
      <c r="AI5182" s="2" t="s">
        <v>84</v>
      </c>
      <c r="AJ5182" s="2">
        <v>12</v>
      </c>
      <c r="AK5182" s="2" t="s">
        <v>85</v>
      </c>
      <c r="AL5182" s="2">
        <v>23</v>
      </c>
      <c r="AM5182" s="2" t="s">
        <v>251</v>
      </c>
      <c r="AN5182" s="2"/>
      <c r="AO5182" s="2" t="s">
        <v>15872</v>
      </c>
      <c r="AP5182" s="2">
        <v>11</v>
      </c>
      <c r="AQ5182" s="2" t="s">
        <v>82</v>
      </c>
      <c r="AR5182" s="2"/>
      <c r="AS5182" s="2"/>
      <c r="AT5182" s="2" t="s">
        <v>15873</v>
      </c>
      <c r="AU5182" s="2">
        <v>1</v>
      </c>
      <c r="AV5182" s="2"/>
      <c r="AW5182" s="2"/>
      <c r="AX5182" s="2"/>
      <c r="AY5182" s="2">
        <v>41</v>
      </c>
      <c r="AZ5182" s="2" t="s">
        <v>82</v>
      </c>
      <c r="BA5182" s="2">
        <v>41</v>
      </c>
      <c r="BB5182" s="2" t="s">
        <v>82</v>
      </c>
      <c r="BC5182" s="2">
        <v>70</v>
      </c>
      <c r="BD5182" s="2" t="s">
        <v>236</v>
      </c>
      <c r="BE5182" s="2">
        <v>41</v>
      </c>
      <c r="BF5182" s="2" t="s">
        <v>82</v>
      </c>
      <c r="BG5182" s="2"/>
      <c r="BH5182" s="2"/>
      <c r="BI5182" s="2"/>
      <c r="BJ5182" s="2">
        <v>241</v>
      </c>
      <c r="BK5182" s="2" t="s">
        <v>82</v>
      </c>
      <c r="BL5182" s="2"/>
      <c r="BM5182" s="2">
        <v>241</v>
      </c>
      <c r="BN5182" s="2" t="s">
        <v>82</v>
      </c>
      <c r="BO5182" s="2"/>
      <c r="BP5182" s="2">
        <v>241</v>
      </c>
      <c r="BQ5182" s="2" t="s">
        <v>82</v>
      </c>
      <c r="BR5182" s="2"/>
      <c r="BS5182" s="3">
        <v>40530</v>
      </c>
      <c r="BT5182" s="4">
        <v>0.25548611111111114</v>
      </c>
    </row>
    <row r="5183" spans="1:72" x14ac:dyDescent="0.25">
      <c r="A5183" s="2">
        <v>8061</v>
      </c>
      <c r="B5183" s="2">
        <v>2010</v>
      </c>
      <c r="C5183" s="2" t="s">
        <v>171</v>
      </c>
      <c r="D5183" s="2" t="s">
        <v>73</v>
      </c>
      <c r="E5183" s="2"/>
      <c r="F5183" s="2">
        <v>114</v>
      </c>
      <c r="G5183" s="2" t="s">
        <v>2817</v>
      </c>
      <c r="H5183" s="2">
        <v>22</v>
      </c>
      <c r="I5183" s="2" t="s">
        <v>75</v>
      </c>
      <c r="J5183" s="2">
        <v>133</v>
      </c>
      <c r="K5183" s="2" t="s">
        <v>3844</v>
      </c>
      <c r="L5183" s="2" t="s">
        <v>3845</v>
      </c>
      <c r="M5183" s="3">
        <v>40530</v>
      </c>
      <c r="N5183" s="2" t="s">
        <v>10818</v>
      </c>
      <c r="O5183" s="2" t="s">
        <v>15874</v>
      </c>
      <c r="P5183" s="2" t="s">
        <v>15688</v>
      </c>
      <c r="Q5183" s="2" t="str">
        <f>"N/C"</f>
        <v>N/C</v>
      </c>
      <c r="R5183" s="2" t="s">
        <v>82</v>
      </c>
      <c r="S5183" s="2" t="s">
        <v>82</v>
      </c>
      <c r="T5183" s="2">
        <v>1</v>
      </c>
      <c r="U5183" s="2" t="s">
        <v>79</v>
      </c>
      <c r="V5183" s="2">
        <v>3</v>
      </c>
      <c r="W5183" s="2" t="s">
        <v>225</v>
      </c>
      <c r="X5183" s="2">
        <v>4</v>
      </c>
      <c r="Y5183" s="2" t="s">
        <v>463</v>
      </c>
      <c r="Z5183" s="2">
        <v>7</v>
      </c>
      <c r="AA5183" s="2" t="s">
        <v>1462</v>
      </c>
      <c r="AB5183" s="2">
        <v>9</v>
      </c>
      <c r="AC5183" s="2" t="s">
        <v>124</v>
      </c>
      <c r="AD5183" s="3">
        <v>40497</v>
      </c>
      <c r="AE5183" s="4">
        <v>0.79166666666666663</v>
      </c>
      <c r="AF5183" s="3">
        <v>40527</v>
      </c>
      <c r="AG5183" s="2"/>
      <c r="AH5183" s="2">
        <v>6</v>
      </c>
      <c r="AI5183" s="2" t="s">
        <v>197</v>
      </c>
      <c r="AJ5183" s="2">
        <v>47</v>
      </c>
      <c r="AK5183" s="2" t="s">
        <v>250</v>
      </c>
      <c r="AL5183" s="2">
        <v>23</v>
      </c>
      <c r="AM5183" s="2" t="s">
        <v>251</v>
      </c>
      <c r="AN5183" s="2"/>
      <c r="AO5183" s="2" t="s">
        <v>15875</v>
      </c>
      <c r="AP5183" s="2">
        <v>11</v>
      </c>
      <c r="AQ5183" s="2" t="s">
        <v>82</v>
      </c>
      <c r="AR5183" s="2"/>
      <c r="AS5183" s="2"/>
      <c r="AT5183" s="2" t="s">
        <v>15876</v>
      </c>
      <c r="AU5183" s="2"/>
      <c r="AV5183" s="2"/>
      <c r="AW5183" s="2"/>
      <c r="AX5183" s="2"/>
      <c r="AY5183" s="2">
        <v>41</v>
      </c>
      <c r="AZ5183" s="2" t="s">
        <v>82</v>
      </c>
      <c r="BA5183" s="2">
        <v>41</v>
      </c>
      <c r="BB5183" s="2" t="s">
        <v>82</v>
      </c>
      <c r="BC5183" s="2">
        <v>41</v>
      </c>
      <c r="BD5183" s="2" t="s">
        <v>82</v>
      </c>
      <c r="BE5183" s="2">
        <v>41</v>
      </c>
      <c r="BF5183" s="2" t="s">
        <v>82</v>
      </c>
      <c r="BG5183" s="2"/>
      <c r="BH5183" s="2"/>
      <c r="BI5183" s="2"/>
      <c r="BJ5183" s="2">
        <v>241</v>
      </c>
      <c r="BK5183" s="2" t="s">
        <v>82</v>
      </c>
      <c r="BL5183" s="2"/>
      <c r="BM5183" s="2">
        <v>241</v>
      </c>
      <c r="BN5183" s="2" t="s">
        <v>82</v>
      </c>
      <c r="BO5183" s="2"/>
      <c r="BP5183" s="2">
        <v>241</v>
      </c>
      <c r="BQ5183" s="2" t="s">
        <v>82</v>
      </c>
      <c r="BR5183" s="2"/>
      <c r="BS5183" s="3">
        <v>40530</v>
      </c>
      <c r="BT5183" s="4">
        <v>0.49912037037037038</v>
      </c>
    </row>
    <row r="5184" spans="1:72" x14ac:dyDescent="0.25">
      <c r="A5184" s="2">
        <v>8063</v>
      </c>
      <c r="B5184" s="2">
        <v>2010</v>
      </c>
      <c r="C5184" s="2" t="s">
        <v>819</v>
      </c>
      <c r="D5184" s="2" t="s">
        <v>122</v>
      </c>
      <c r="E5184" s="2" t="s">
        <v>15877</v>
      </c>
      <c r="F5184" s="2">
        <v>451</v>
      </c>
      <c r="G5184" s="2" t="s">
        <v>879</v>
      </c>
      <c r="H5184" s="2">
        <v>31</v>
      </c>
      <c r="I5184" s="2" t="s">
        <v>880</v>
      </c>
      <c r="J5184" s="2">
        <v>326</v>
      </c>
      <c r="K5184" s="2" t="s">
        <v>881</v>
      </c>
      <c r="L5184" s="2" t="s">
        <v>882</v>
      </c>
      <c r="M5184" s="3">
        <v>40530</v>
      </c>
      <c r="N5184" s="2" t="s">
        <v>1072</v>
      </c>
      <c r="O5184" s="2"/>
      <c r="P5184" s="2"/>
      <c r="Q5184" s="2" t="str">
        <f>"120/10"</f>
        <v>120/10</v>
      </c>
      <c r="R5184" s="2" t="s">
        <v>3719</v>
      </c>
      <c r="S5184" s="2" t="s">
        <v>822</v>
      </c>
      <c r="T5184" s="2">
        <v>1</v>
      </c>
      <c r="U5184" s="2" t="s">
        <v>79</v>
      </c>
      <c r="V5184" s="2">
        <v>1</v>
      </c>
      <c r="W5184" s="2" t="s">
        <v>80</v>
      </c>
      <c r="X5184" s="2">
        <v>1</v>
      </c>
      <c r="Y5184" s="2" t="s">
        <v>81</v>
      </c>
      <c r="Z5184" s="2">
        <v>10</v>
      </c>
      <c r="AA5184" s="2" t="s">
        <v>236</v>
      </c>
      <c r="AB5184" s="2">
        <v>9</v>
      </c>
      <c r="AC5184" s="2" t="s">
        <v>124</v>
      </c>
      <c r="AD5184" s="3">
        <v>40529</v>
      </c>
      <c r="AE5184" s="4">
        <v>0.91319444444444453</v>
      </c>
      <c r="AF5184" s="3">
        <v>40530</v>
      </c>
      <c r="AG5184" s="4">
        <v>0.47916666666666669</v>
      </c>
      <c r="AH5184" s="2">
        <v>4</v>
      </c>
      <c r="AI5184" s="2" t="s">
        <v>125</v>
      </c>
      <c r="AJ5184" s="2">
        <v>29</v>
      </c>
      <c r="AK5184" s="2" t="s">
        <v>227</v>
      </c>
      <c r="AL5184" s="2">
        <v>10</v>
      </c>
      <c r="AM5184" s="2" t="s">
        <v>200</v>
      </c>
      <c r="AN5184" s="2" t="s">
        <v>3040</v>
      </c>
      <c r="AO5184" s="2" t="s">
        <v>5383</v>
      </c>
      <c r="AP5184" s="2">
        <v>12</v>
      </c>
      <c r="AQ5184" s="2" t="s">
        <v>322</v>
      </c>
      <c r="AR5184" s="2" t="s">
        <v>824</v>
      </c>
      <c r="AS5184" s="2" t="s">
        <v>825</v>
      </c>
      <c r="AT5184" s="2" t="s">
        <v>15878</v>
      </c>
      <c r="AU5184" s="2"/>
      <c r="AV5184" s="2"/>
      <c r="AW5184" s="2"/>
      <c r="AX5184" s="2"/>
      <c r="AY5184" s="2">
        <v>41</v>
      </c>
      <c r="AZ5184" s="2" t="s">
        <v>82</v>
      </c>
      <c r="BA5184" s="2">
        <v>41</v>
      </c>
      <c r="BB5184" s="2" t="s">
        <v>82</v>
      </c>
      <c r="BC5184" s="2">
        <v>51</v>
      </c>
      <c r="BD5184" s="2" t="s">
        <v>827</v>
      </c>
      <c r="BE5184" s="2">
        <v>47</v>
      </c>
      <c r="BF5184" s="2" t="s">
        <v>167</v>
      </c>
      <c r="BG5184" s="2">
        <v>2459</v>
      </c>
      <c r="BH5184" s="4">
        <v>0.95486111111111116</v>
      </c>
      <c r="BI5184" s="4">
        <v>0.97569444444444453</v>
      </c>
      <c r="BJ5184" s="2">
        <v>13</v>
      </c>
      <c r="BK5184" s="2" t="s">
        <v>91</v>
      </c>
      <c r="BL5184" s="2" t="s">
        <v>828</v>
      </c>
      <c r="BM5184" s="2">
        <v>13</v>
      </c>
      <c r="BN5184" s="2" t="s">
        <v>91</v>
      </c>
      <c r="BO5184" s="2"/>
      <c r="BP5184" s="2">
        <v>13</v>
      </c>
      <c r="BQ5184" s="2" t="s">
        <v>91</v>
      </c>
      <c r="BR5184" s="2" t="s">
        <v>185</v>
      </c>
      <c r="BS5184" s="3">
        <v>40530</v>
      </c>
      <c r="BT5184" s="4">
        <v>0.52826388888888887</v>
      </c>
    </row>
    <row r="5185" spans="1:72" x14ac:dyDescent="0.25">
      <c r="A5185" s="2">
        <v>8064</v>
      </c>
      <c r="B5185" s="2">
        <v>2010</v>
      </c>
      <c r="C5185" s="2" t="s">
        <v>121</v>
      </c>
      <c r="D5185" s="2" t="s">
        <v>122</v>
      </c>
      <c r="E5185" s="2"/>
      <c r="F5185" s="2">
        <v>1</v>
      </c>
      <c r="G5185" s="2" t="s">
        <v>82</v>
      </c>
      <c r="H5185" s="2">
        <v>1</v>
      </c>
      <c r="I5185" s="2" t="s">
        <v>82</v>
      </c>
      <c r="J5185" s="2">
        <v>1</v>
      </c>
      <c r="K5185" s="2" t="s">
        <v>107</v>
      </c>
      <c r="L5185" s="2" t="s">
        <v>107</v>
      </c>
      <c r="M5185" s="3">
        <v>40530</v>
      </c>
      <c r="N5185" s="2"/>
      <c r="O5185" s="2"/>
      <c r="P5185" s="2"/>
      <c r="Q5185" s="2" t="str">
        <f>""</f>
        <v/>
      </c>
      <c r="R5185" s="2"/>
      <c r="S5185" s="2"/>
      <c r="T5185" s="2">
        <v>2</v>
      </c>
      <c r="U5185" s="2" t="s">
        <v>123</v>
      </c>
      <c r="V5185" s="2">
        <v>1</v>
      </c>
      <c r="W5185" s="2" t="s">
        <v>80</v>
      </c>
      <c r="X5185" s="2">
        <v>11</v>
      </c>
      <c r="Y5185" s="2" t="s">
        <v>1920</v>
      </c>
      <c r="Z5185" s="2">
        <v>1</v>
      </c>
      <c r="AA5185" s="2" t="s">
        <v>82</v>
      </c>
      <c r="AB5185" s="2">
        <v>9</v>
      </c>
      <c r="AC5185" s="2" t="s">
        <v>124</v>
      </c>
      <c r="AD5185" s="2"/>
      <c r="AE5185" s="2"/>
      <c r="AF5185" s="3">
        <v>40530</v>
      </c>
      <c r="AG5185" s="2"/>
      <c r="AH5185" s="2">
        <v>6</v>
      </c>
      <c r="AI5185" s="2" t="s">
        <v>197</v>
      </c>
      <c r="AJ5185" s="2">
        <v>50</v>
      </c>
      <c r="AK5185" s="2" t="s">
        <v>330</v>
      </c>
      <c r="AL5185" s="2">
        <v>19</v>
      </c>
      <c r="AM5185" s="2" t="s">
        <v>107</v>
      </c>
      <c r="AN5185" s="2"/>
      <c r="AO5185" s="2"/>
      <c r="AP5185" s="2">
        <v>11</v>
      </c>
      <c r="AQ5185" s="2" t="s">
        <v>82</v>
      </c>
      <c r="AR5185" s="2"/>
      <c r="AS5185" s="2"/>
      <c r="AT5185" s="2" t="s">
        <v>15879</v>
      </c>
      <c r="AU5185" s="2"/>
      <c r="AV5185" s="2"/>
      <c r="AW5185" s="2"/>
      <c r="AX5185" s="2"/>
      <c r="AY5185" s="2">
        <v>41</v>
      </c>
      <c r="AZ5185" s="2" t="s">
        <v>82</v>
      </c>
      <c r="BA5185" s="2">
        <v>41</v>
      </c>
      <c r="BB5185" s="2" t="s">
        <v>82</v>
      </c>
      <c r="BC5185" s="2">
        <v>41</v>
      </c>
      <c r="BD5185" s="2" t="s">
        <v>82</v>
      </c>
      <c r="BE5185" s="2">
        <v>41</v>
      </c>
      <c r="BF5185" s="2" t="s">
        <v>82</v>
      </c>
      <c r="BG5185" s="2"/>
      <c r="BH5185" s="2"/>
      <c r="BI5185" s="2"/>
      <c r="BJ5185" s="2">
        <v>241</v>
      </c>
      <c r="BK5185" s="2" t="s">
        <v>82</v>
      </c>
      <c r="BL5185" s="2"/>
      <c r="BM5185" s="2">
        <v>241</v>
      </c>
      <c r="BN5185" s="2" t="s">
        <v>82</v>
      </c>
      <c r="BO5185" s="2"/>
      <c r="BP5185" s="2">
        <v>241</v>
      </c>
      <c r="BQ5185" s="2" t="s">
        <v>82</v>
      </c>
      <c r="BR5185" s="2"/>
      <c r="BS5185" s="3">
        <v>40530</v>
      </c>
      <c r="BT5185" s="4">
        <v>0.69209490740740742</v>
      </c>
    </row>
    <row r="5186" spans="1:72" x14ac:dyDescent="0.25">
      <c r="A5186" s="2">
        <v>8065</v>
      </c>
      <c r="B5186" s="2">
        <v>2010</v>
      </c>
      <c r="C5186" s="2" t="s">
        <v>4543</v>
      </c>
      <c r="D5186" s="2" t="s">
        <v>122</v>
      </c>
      <c r="E5186" s="2"/>
      <c r="F5186" s="2">
        <v>1</v>
      </c>
      <c r="G5186" s="2" t="s">
        <v>82</v>
      </c>
      <c r="H5186" s="2">
        <v>1</v>
      </c>
      <c r="I5186" s="2" t="s">
        <v>82</v>
      </c>
      <c r="J5186" s="2">
        <v>1</v>
      </c>
      <c r="K5186" s="2" t="s">
        <v>107</v>
      </c>
      <c r="L5186" s="2" t="s">
        <v>107</v>
      </c>
      <c r="M5186" s="3">
        <v>40530</v>
      </c>
      <c r="N5186" s="2"/>
      <c r="O5186" s="2"/>
      <c r="P5186" s="2"/>
      <c r="Q5186" s="2" t="str">
        <f>""</f>
        <v/>
      </c>
      <c r="R5186" s="2"/>
      <c r="S5186" s="2"/>
      <c r="T5186" s="2">
        <v>2</v>
      </c>
      <c r="U5186" s="2" t="s">
        <v>123</v>
      </c>
      <c r="V5186" s="2">
        <v>1</v>
      </c>
      <c r="W5186" s="2" t="s">
        <v>80</v>
      </c>
      <c r="X5186" s="2">
        <v>5</v>
      </c>
      <c r="Y5186" s="2" t="s">
        <v>82</v>
      </c>
      <c r="Z5186" s="2">
        <v>1</v>
      </c>
      <c r="AA5186" s="2" t="s">
        <v>82</v>
      </c>
      <c r="AB5186" s="2">
        <v>9</v>
      </c>
      <c r="AC5186" s="2" t="s">
        <v>124</v>
      </c>
      <c r="AD5186" s="3">
        <v>40530</v>
      </c>
      <c r="AE5186" s="4">
        <v>0.34027777777777773</v>
      </c>
      <c r="AF5186" s="3">
        <v>40530</v>
      </c>
      <c r="AG5186" s="2"/>
      <c r="AH5186" s="2">
        <v>3</v>
      </c>
      <c r="AI5186" s="2" t="s">
        <v>214</v>
      </c>
      <c r="AJ5186" s="2">
        <v>24</v>
      </c>
      <c r="AK5186" s="2" t="s">
        <v>215</v>
      </c>
      <c r="AL5186" s="2">
        <v>19</v>
      </c>
      <c r="AM5186" s="2" t="s">
        <v>107</v>
      </c>
      <c r="AN5186" s="2"/>
      <c r="AO5186" s="2"/>
      <c r="AP5186" s="2">
        <v>11</v>
      </c>
      <c r="AQ5186" s="2" t="s">
        <v>82</v>
      </c>
      <c r="AR5186" s="2"/>
      <c r="AS5186" s="2"/>
      <c r="AT5186" s="2" t="s">
        <v>15880</v>
      </c>
      <c r="AU5186" s="2"/>
      <c r="AV5186" s="2"/>
      <c r="AW5186" s="2"/>
      <c r="AX5186" s="2"/>
      <c r="AY5186" s="2">
        <v>41</v>
      </c>
      <c r="AZ5186" s="2" t="s">
        <v>82</v>
      </c>
      <c r="BA5186" s="2">
        <v>41</v>
      </c>
      <c r="BB5186" s="2" t="s">
        <v>82</v>
      </c>
      <c r="BC5186" s="2">
        <v>41</v>
      </c>
      <c r="BD5186" s="2" t="s">
        <v>82</v>
      </c>
      <c r="BE5186" s="2">
        <v>41</v>
      </c>
      <c r="BF5186" s="2" t="s">
        <v>82</v>
      </c>
      <c r="BG5186" s="2"/>
      <c r="BH5186" s="2"/>
      <c r="BI5186" s="2"/>
      <c r="BJ5186" s="2">
        <v>241</v>
      </c>
      <c r="BK5186" s="2" t="s">
        <v>82</v>
      </c>
      <c r="BL5186" s="2"/>
      <c r="BM5186" s="2">
        <v>241</v>
      </c>
      <c r="BN5186" s="2" t="s">
        <v>82</v>
      </c>
      <c r="BO5186" s="2"/>
      <c r="BP5186" s="2">
        <v>241</v>
      </c>
      <c r="BQ5186" s="2" t="s">
        <v>82</v>
      </c>
      <c r="BR5186" s="2"/>
      <c r="BS5186" s="3">
        <v>40530</v>
      </c>
      <c r="BT5186" s="4">
        <v>0.69508101851851845</v>
      </c>
    </row>
    <row r="5187" spans="1:72" x14ac:dyDescent="0.25">
      <c r="A5187" s="2">
        <v>8066</v>
      </c>
      <c r="B5187" s="2">
        <v>2010</v>
      </c>
      <c r="C5187" s="2" t="s">
        <v>93</v>
      </c>
      <c r="D5187" s="2" t="s">
        <v>73</v>
      </c>
      <c r="E5187" s="2"/>
      <c r="F5187" s="2">
        <v>573</v>
      </c>
      <c r="G5187" s="2" t="s">
        <v>4703</v>
      </c>
      <c r="H5187" s="2">
        <v>86</v>
      </c>
      <c r="I5187" s="2" t="s">
        <v>4704</v>
      </c>
      <c r="J5187" s="2">
        <v>221</v>
      </c>
      <c r="K5187" s="2" t="s">
        <v>4705</v>
      </c>
      <c r="L5187" s="2" t="s">
        <v>4706</v>
      </c>
      <c r="M5187" s="3">
        <v>40530</v>
      </c>
      <c r="N5187" s="2" t="s">
        <v>15881</v>
      </c>
      <c r="O5187" s="2" t="s">
        <v>15882</v>
      </c>
      <c r="P5187" s="2">
        <v>88850</v>
      </c>
      <c r="Q5187" s="2" t="str">
        <f>"0154/2010"</f>
        <v>0154/2010</v>
      </c>
      <c r="R5187" s="2"/>
      <c r="S5187" s="2" t="s">
        <v>3752</v>
      </c>
      <c r="T5187" s="2">
        <v>1</v>
      </c>
      <c r="U5187" s="2" t="s">
        <v>79</v>
      </c>
      <c r="V5187" s="2">
        <v>1</v>
      </c>
      <c r="W5187" s="2" t="s">
        <v>80</v>
      </c>
      <c r="X5187" s="2">
        <v>10</v>
      </c>
      <c r="Y5187" s="2" t="s">
        <v>226</v>
      </c>
      <c r="Z5187" s="2">
        <v>9</v>
      </c>
      <c r="AA5187" s="2" t="s">
        <v>1119</v>
      </c>
      <c r="AB5187" s="2">
        <v>2</v>
      </c>
      <c r="AC5187" s="2" t="s">
        <v>102</v>
      </c>
      <c r="AD5187" s="3">
        <v>40530</v>
      </c>
      <c r="AE5187" s="4">
        <v>0.66319444444444442</v>
      </c>
      <c r="AF5187" s="3">
        <v>40530</v>
      </c>
      <c r="AG5187" s="4">
        <v>0.66666666666666663</v>
      </c>
      <c r="AH5187" s="2">
        <v>5</v>
      </c>
      <c r="AI5187" s="2" t="s">
        <v>274</v>
      </c>
      <c r="AJ5187" s="2">
        <v>38</v>
      </c>
      <c r="AK5187" s="2" t="s">
        <v>1120</v>
      </c>
      <c r="AL5187" s="2">
        <v>11</v>
      </c>
      <c r="AM5187" s="2" t="s">
        <v>137</v>
      </c>
      <c r="AN5187" s="2"/>
      <c r="AO5187" s="2" t="s">
        <v>14002</v>
      </c>
      <c r="AP5187" s="2">
        <v>11</v>
      </c>
      <c r="AQ5187" s="2" t="s">
        <v>82</v>
      </c>
      <c r="AR5187" s="2"/>
      <c r="AS5187" s="2"/>
      <c r="AT5187" s="2" t="s">
        <v>15883</v>
      </c>
      <c r="AU5187" s="2"/>
      <c r="AV5187" s="2"/>
      <c r="AW5187" s="2"/>
      <c r="AX5187" s="2"/>
      <c r="AY5187" s="2">
        <v>41</v>
      </c>
      <c r="AZ5187" s="2" t="s">
        <v>82</v>
      </c>
      <c r="BA5187" s="2">
        <v>41</v>
      </c>
      <c r="BB5187" s="2" t="s">
        <v>82</v>
      </c>
      <c r="BC5187" s="2">
        <v>41</v>
      </c>
      <c r="BD5187" s="2" t="s">
        <v>82</v>
      </c>
      <c r="BE5187" s="2">
        <v>47</v>
      </c>
      <c r="BF5187" s="2" t="s">
        <v>167</v>
      </c>
      <c r="BG5187" s="2" t="s">
        <v>11950</v>
      </c>
      <c r="BH5187" s="4">
        <v>0.63888888888888895</v>
      </c>
      <c r="BI5187" s="4">
        <v>0.68055555555555547</v>
      </c>
      <c r="BJ5187" s="2">
        <v>13</v>
      </c>
      <c r="BK5187" s="2" t="s">
        <v>91</v>
      </c>
      <c r="BL5187" s="2" t="s">
        <v>3140</v>
      </c>
      <c r="BM5187" s="2">
        <v>13</v>
      </c>
      <c r="BN5187" s="2" t="s">
        <v>91</v>
      </c>
      <c r="BO5187" s="2"/>
      <c r="BP5187" s="2">
        <v>13</v>
      </c>
      <c r="BQ5187" s="2" t="s">
        <v>91</v>
      </c>
      <c r="BR5187" s="2" t="s">
        <v>185</v>
      </c>
      <c r="BS5187" s="3">
        <v>40530</v>
      </c>
      <c r="BT5187" s="4">
        <v>0.7241550925925927</v>
      </c>
    </row>
    <row r="5188" spans="1:72" x14ac:dyDescent="0.25">
      <c r="A5188" s="2">
        <v>8067</v>
      </c>
      <c r="B5188" s="2">
        <v>2010</v>
      </c>
      <c r="C5188" s="2" t="s">
        <v>93</v>
      </c>
      <c r="D5188" s="2" t="s">
        <v>73</v>
      </c>
      <c r="E5188" s="2"/>
      <c r="F5188" s="2">
        <v>748</v>
      </c>
      <c r="G5188" s="2" t="s">
        <v>15884</v>
      </c>
      <c r="H5188" s="2">
        <v>1</v>
      </c>
      <c r="I5188" s="2" t="s">
        <v>82</v>
      </c>
      <c r="J5188" s="2">
        <v>753</v>
      </c>
      <c r="K5188" s="2" t="s">
        <v>15885</v>
      </c>
      <c r="L5188" s="2" t="s">
        <v>15886</v>
      </c>
      <c r="M5188" s="3">
        <v>40530</v>
      </c>
      <c r="N5188" s="2" t="s">
        <v>15887</v>
      </c>
      <c r="O5188" s="2" t="s">
        <v>15888</v>
      </c>
      <c r="P5188" s="2">
        <v>118586</v>
      </c>
      <c r="Q5188" s="2" t="str">
        <f>"0155/2010"</f>
        <v>0155/2010</v>
      </c>
      <c r="R5188" s="2"/>
      <c r="S5188" s="2" t="s">
        <v>15889</v>
      </c>
      <c r="T5188" s="2">
        <v>1</v>
      </c>
      <c r="U5188" s="2" t="s">
        <v>79</v>
      </c>
      <c r="V5188" s="2">
        <v>1</v>
      </c>
      <c r="W5188" s="2" t="s">
        <v>80</v>
      </c>
      <c r="X5188" s="2">
        <v>10</v>
      </c>
      <c r="Y5188" s="2" t="s">
        <v>226</v>
      </c>
      <c r="Z5188" s="2">
        <v>9</v>
      </c>
      <c r="AA5188" s="2" t="s">
        <v>1119</v>
      </c>
      <c r="AB5188" s="2">
        <v>2</v>
      </c>
      <c r="AC5188" s="2" t="s">
        <v>102</v>
      </c>
      <c r="AD5188" s="3">
        <v>40530</v>
      </c>
      <c r="AE5188" s="4">
        <v>0.72916666666666663</v>
      </c>
      <c r="AF5188" s="3">
        <v>40530</v>
      </c>
      <c r="AG5188" s="4">
        <v>0.73263888888888884</v>
      </c>
      <c r="AH5188" s="2">
        <v>5</v>
      </c>
      <c r="AI5188" s="2" t="s">
        <v>274</v>
      </c>
      <c r="AJ5188" s="2">
        <v>38</v>
      </c>
      <c r="AK5188" s="2" t="s">
        <v>1120</v>
      </c>
      <c r="AL5188" s="2">
        <v>11</v>
      </c>
      <c r="AM5188" s="2" t="s">
        <v>137</v>
      </c>
      <c r="AN5188" s="2"/>
      <c r="AO5188" s="2" t="s">
        <v>3040</v>
      </c>
      <c r="AP5188" s="2">
        <v>11</v>
      </c>
      <c r="AQ5188" s="2" t="s">
        <v>82</v>
      </c>
      <c r="AR5188" s="2"/>
      <c r="AS5188" s="2"/>
      <c r="AT5188" s="2" t="s">
        <v>15890</v>
      </c>
      <c r="AU5188" s="2"/>
      <c r="AV5188" s="2"/>
      <c r="AW5188" s="2"/>
      <c r="AX5188" s="2"/>
      <c r="AY5188" s="2">
        <v>41</v>
      </c>
      <c r="AZ5188" s="2" t="s">
        <v>82</v>
      </c>
      <c r="BA5188" s="2">
        <v>41</v>
      </c>
      <c r="BB5188" s="2" t="s">
        <v>82</v>
      </c>
      <c r="BC5188" s="2">
        <v>41</v>
      </c>
      <c r="BD5188" s="2" t="s">
        <v>82</v>
      </c>
      <c r="BE5188" s="2">
        <v>47</v>
      </c>
      <c r="BF5188" s="2" t="s">
        <v>167</v>
      </c>
      <c r="BG5188" s="2" t="s">
        <v>6704</v>
      </c>
      <c r="BH5188" s="4">
        <v>0.71875</v>
      </c>
      <c r="BI5188" s="4">
        <v>0.75</v>
      </c>
      <c r="BJ5188" s="2">
        <v>13</v>
      </c>
      <c r="BK5188" s="2" t="s">
        <v>91</v>
      </c>
      <c r="BL5188" s="2" t="s">
        <v>3140</v>
      </c>
      <c r="BM5188" s="2">
        <v>13</v>
      </c>
      <c r="BN5188" s="2" t="s">
        <v>91</v>
      </c>
      <c r="BO5188" s="2"/>
      <c r="BP5188" s="2">
        <v>13</v>
      </c>
      <c r="BQ5188" s="2" t="s">
        <v>91</v>
      </c>
      <c r="BR5188" s="2" t="s">
        <v>185</v>
      </c>
      <c r="BS5188" s="3">
        <v>40530</v>
      </c>
      <c r="BT5188" s="4">
        <v>0.83179398148148154</v>
      </c>
    </row>
    <row r="5189" spans="1:72" x14ac:dyDescent="0.25">
      <c r="A5189" s="2">
        <v>8068</v>
      </c>
      <c r="B5189" s="2">
        <v>2010</v>
      </c>
      <c r="C5189" s="2" t="s">
        <v>377</v>
      </c>
      <c r="D5189" s="2" t="s">
        <v>73</v>
      </c>
      <c r="E5189" s="2"/>
      <c r="F5189" s="2">
        <v>426</v>
      </c>
      <c r="G5189" s="2" t="s">
        <v>378</v>
      </c>
      <c r="H5189" s="2">
        <v>149</v>
      </c>
      <c r="I5189" s="2" t="s">
        <v>14672</v>
      </c>
      <c r="J5189" s="2">
        <v>311</v>
      </c>
      <c r="K5189" s="2" t="s">
        <v>379</v>
      </c>
      <c r="L5189" s="2" t="s">
        <v>380</v>
      </c>
      <c r="M5189" s="3">
        <v>40530</v>
      </c>
      <c r="N5189" s="2" t="s">
        <v>7171</v>
      </c>
      <c r="O5189" s="2"/>
      <c r="P5189" s="2"/>
      <c r="Q5189" s="2" t="str">
        <f>"306-C/10"</f>
        <v>306-C/10</v>
      </c>
      <c r="R5189" s="2" t="s">
        <v>12526</v>
      </c>
      <c r="S5189" s="2"/>
      <c r="T5189" s="2">
        <v>1</v>
      </c>
      <c r="U5189" s="2" t="s">
        <v>79</v>
      </c>
      <c r="V5189" s="2">
        <v>1</v>
      </c>
      <c r="W5189" s="2" t="s">
        <v>80</v>
      </c>
      <c r="X5189" s="2">
        <v>1</v>
      </c>
      <c r="Y5189" s="2" t="s">
        <v>81</v>
      </c>
      <c r="Z5189" s="2">
        <v>1</v>
      </c>
      <c r="AA5189" s="2" t="s">
        <v>82</v>
      </c>
      <c r="AB5189" s="2">
        <v>9</v>
      </c>
      <c r="AC5189" s="2" t="s">
        <v>124</v>
      </c>
      <c r="AD5189" s="3">
        <v>40530</v>
      </c>
      <c r="AE5189" s="4">
        <v>0.44791666666666669</v>
      </c>
      <c r="AF5189" s="3">
        <v>40530</v>
      </c>
      <c r="AG5189" s="4">
        <v>0.54166666666666663</v>
      </c>
      <c r="AH5189" s="2">
        <v>2</v>
      </c>
      <c r="AI5189" s="2" t="s">
        <v>84</v>
      </c>
      <c r="AJ5189" s="2">
        <v>9</v>
      </c>
      <c r="AK5189" s="2" t="s">
        <v>103</v>
      </c>
      <c r="AL5189" s="2">
        <v>29</v>
      </c>
      <c r="AM5189" s="2" t="s">
        <v>5416</v>
      </c>
      <c r="AN5189" s="2" t="s">
        <v>2127</v>
      </c>
      <c r="AO5189" s="2" t="s">
        <v>987</v>
      </c>
      <c r="AP5189" s="2">
        <v>11</v>
      </c>
      <c r="AQ5189" s="2" t="s">
        <v>82</v>
      </c>
      <c r="AR5189" s="2"/>
      <c r="AS5189" s="2"/>
      <c r="AT5189" s="2" t="s">
        <v>15891</v>
      </c>
      <c r="AU5189" s="2"/>
      <c r="AV5189" s="2"/>
      <c r="AW5189" s="2"/>
      <c r="AX5189" s="2"/>
      <c r="AY5189" s="2">
        <v>41</v>
      </c>
      <c r="AZ5189" s="2" t="s">
        <v>82</v>
      </c>
      <c r="BA5189" s="2">
        <v>41</v>
      </c>
      <c r="BB5189" s="2" t="s">
        <v>82</v>
      </c>
      <c r="BC5189" s="2">
        <v>41</v>
      </c>
      <c r="BD5189" s="2" t="s">
        <v>82</v>
      </c>
      <c r="BE5189" s="2">
        <v>41</v>
      </c>
      <c r="BF5189" s="2" t="s">
        <v>82</v>
      </c>
      <c r="BG5189" s="2"/>
      <c r="BH5189" s="2"/>
      <c r="BI5189" s="2"/>
      <c r="BJ5189" s="2">
        <v>241</v>
      </c>
      <c r="BK5189" s="2" t="s">
        <v>82</v>
      </c>
      <c r="BL5189" s="2"/>
      <c r="BM5189" s="2">
        <v>241</v>
      </c>
      <c r="BN5189" s="2" t="s">
        <v>82</v>
      </c>
      <c r="BO5189" s="2"/>
      <c r="BP5189" s="2">
        <v>241</v>
      </c>
      <c r="BQ5189" s="2" t="s">
        <v>82</v>
      </c>
      <c r="BR5189" s="2"/>
      <c r="BS5189" s="3">
        <v>40530</v>
      </c>
      <c r="BT5189" s="4">
        <v>0.85398148148148145</v>
      </c>
    </row>
    <row r="5190" spans="1:72" x14ac:dyDescent="0.25">
      <c r="A5190" s="2">
        <v>8069</v>
      </c>
      <c r="B5190" s="2">
        <v>2010</v>
      </c>
      <c r="C5190" s="2" t="s">
        <v>72</v>
      </c>
      <c r="D5190" s="2" t="s">
        <v>73</v>
      </c>
      <c r="E5190" s="2"/>
      <c r="F5190" s="2">
        <v>389</v>
      </c>
      <c r="G5190" s="2" t="s">
        <v>1819</v>
      </c>
      <c r="H5190" s="2">
        <v>2</v>
      </c>
      <c r="I5190" s="2" t="s">
        <v>267</v>
      </c>
      <c r="J5190" s="2">
        <v>399</v>
      </c>
      <c r="K5190" s="2" t="s">
        <v>1820</v>
      </c>
      <c r="L5190" s="2" t="s">
        <v>1821</v>
      </c>
      <c r="M5190" s="3">
        <v>40530</v>
      </c>
      <c r="N5190" s="2" t="s">
        <v>5653</v>
      </c>
      <c r="O5190" s="2"/>
      <c r="P5190" s="2"/>
      <c r="Q5190" s="2" t="str">
        <f>"680-E/10"</f>
        <v>680-E/10</v>
      </c>
      <c r="R5190" s="2" t="s">
        <v>480</v>
      </c>
      <c r="S5190" s="2" t="s">
        <v>480</v>
      </c>
      <c r="T5190" s="2">
        <v>1</v>
      </c>
      <c r="U5190" s="2" t="s">
        <v>79</v>
      </c>
      <c r="V5190" s="2">
        <v>1</v>
      </c>
      <c r="W5190" s="2" t="s">
        <v>80</v>
      </c>
      <c r="X5190" s="2">
        <v>12</v>
      </c>
      <c r="Y5190" s="2" t="s">
        <v>148</v>
      </c>
      <c r="Z5190" s="2">
        <v>1</v>
      </c>
      <c r="AA5190" s="2" t="s">
        <v>82</v>
      </c>
      <c r="AB5190" s="2">
        <v>6</v>
      </c>
      <c r="AC5190" s="2" t="s">
        <v>83</v>
      </c>
      <c r="AD5190" s="3">
        <v>40530</v>
      </c>
      <c r="AE5190" s="2"/>
      <c r="AF5190" s="3">
        <v>40530</v>
      </c>
      <c r="AG5190" s="4">
        <v>0.79166666666666663</v>
      </c>
      <c r="AH5190" s="2">
        <v>2</v>
      </c>
      <c r="AI5190" s="2" t="s">
        <v>84</v>
      </c>
      <c r="AJ5190" s="2">
        <v>9</v>
      </c>
      <c r="AK5190" s="2" t="s">
        <v>103</v>
      </c>
      <c r="AL5190" s="2">
        <v>22</v>
      </c>
      <c r="AM5190" s="2" t="s">
        <v>1853</v>
      </c>
      <c r="AN5190" s="2"/>
      <c r="AO5190" s="2" t="s">
        <v>15892</v>
      </c>
      <c r="AP5190" s="2">
        <v>11</v>
      </c>
      <c r="AQ5190" s="2" t="s">
        <v>82</v>
      </c>
      <c r="AR5190" s="2"/>
      <c r="AS5190" s="2"/>
      <c r="AT5190" s="2" t="s">
        <v>15893</v>
      </c>
      <c r="AU5190" s="2"/>
      <c r="AV5190" s="2"/>
      <c r="AW5190" s="2"/>
      <c r="AX5190" s="2"/>
      <c r="AY5190" s="2">
        <v>41</v>
      </c>
      <c r="AZ5190" s="2" t="s">
        <v>82</v>
      </c>
      <c r="BA5190" s="2">
        <v>41</v>
      </c>
      <c r="BB5190" s="2" t="s">
        <v>82</v>
      </c>
      <c r="BC5190" s="2">
        <v>41</v>
      </c>
      <c r="BD5190" s="2" t="s">
        <v>82</v>
      </c>
      <c r="BE5190" s="2">
        <v>13</v>
      </c>
      <c r="BF5190" s="2" t="s">
        <v>108</v>
      </c>
      <c r="BG5190" s="2" t="s">
        <v>15894</v>
      </c>
      <c r="BH5190" s="4">
        <v>0.625</v>
      </c>
      <c r="BI5190" s="4">
        <v>0.5</v>
      </c>
      <c r="BJ5190" s="2">
        <v>29</v>
      </c>
      <c r="BK5190" s="2" t="s">
        <v>962</v>
      </c>
      <c r="BL5190" s="2" t="s">
        <v>963</v>
      </c>
      <c r="BM5190" s="2">
        <v>13</v>
      </c>
      <c r="BN5190" s="2" t="s">
        <v>91</v>
      </c>
      <c r="BO5190" s="2"/>
      <c r="BP5190" s="2">
        <v>13</v>
      </c>
      <c r="BQ5190" s="2" t="s">
        <v>91</v>
      </c>
      <c r="BR5190" s="2" t="s">
        <v>360</v>
      </c>
      <c r="BS5190" s="3">
        <v>40530</v>
      </c>
      <c r="BT5190" s="4">
        <v>0.86839120370370371</v>
      </c>
    </row>
    <row r="5191" spans="1:72" x14ac:dyDescent="0.25">
      <c r="A5191" s="2">
        <v>8070</v>
      </c>
      <c r="B5191" s="2">
        <v>2010</v>
      </c>
      <c r="C5191" s="2" t="s">
        <v>377</v>
      </c>
      <c r="D5191" s="2" t="s">
        <v>73</v>
      </c>
      <c r="E5191" s="2"/>
      <c r="F5191" s="2">
        <v>426</v>
      </c>
      <c r="G5191" s="2" t="s">
        <v>378</v>
      </c>
      <c r="H5191" s="2">
        <v>22</v>
      </c>
      <c r="I5191" s="2" t="s">
        <v>75</v>
      </c>
      <c r="J5191" s="2">
        <v>311</v>
      </c>
      <c r="K5191" s="2" t="s">
        <v>379</v>
      </c>
      <c r="L5191" s="2" t="s">
        <v>380</v>
      </c>
      <c r="M5191" s="3">
        <v>40530</v>
      </c>
      <c r="N5191" s="2" t="s">
        <v>5164</v>
      </c>
      <c r="O5191" s="2"/>
      <c r="P5191" s="2"/>
      <c r="Q5191" s="2" t="str">
        <f>"305-C/10"</f>
        <v>305-C/10</v>
      </c>
      <c r="R5191" s="2"/>
      <c r="S5191" s="2" t="s">
        <v>3458</v>
      </c>
      <c r="T5191" s="2">
        <v>1</v>
      </c>
      <c r="U5191" s="2" t="s">
        <v>79</v>
      </c>
      <c r="V5191" s="2">
        <v>1</v>
      </c>
      <c r="W5191" s="2" t="s">
        <v>80</v>
      </c>
      <c r="X5191" s="2">
        <v>1</v>
      </c>
      <c r="Y5191" s="2" t="s">
        <v>81</v>
      </c>
      <c r="Z5191" s="2">
        <v>1</v>
      </c>
      <c r="AA5191" s="2" t="s">
        <v>82</v>
      </c>
      <c r="AB5191" s="2">
        <v>9</v>
      </c>
      <c r="AC5191" s="2" t="s">
        <v>124</v>
      </c>
      <c r="AD5191" s="3">
        <v>40530</v>
      </c>
      <c r="AE5191" s="2"/>
      <c r="AF5191" s="3">
        <v>40530</v>
      </c>
      <c r="AG5191" s="4">
        <v>0.52083333333333337</v>
      </c>
      <c r="AH5191" s="2">
        <v>2</v>
      </c>
      <c r="AI5191" s="2" t="s">
        <v>84</v>
      </c>
      <c r="AJ5191" s="2">
        <v>9</v>
      </c>
      <c r="AK5191" s="2" t="s">
        <v>103</v>
      </c>
      <c r="AL5191" s="2">
        <v>29</v>
      </c>
      <c r="AM5191" s="2" t="s">
        <v>5416</v>
      </c>
      <c r="AN5191" s="2" t="s">
        <v>8710</v>
      </c>
      <c r="AO5191" s="2" t="s">
        <v>987</v>
      </c>
      <c r="AP5191" s="2">
        <v>11</v>
      </c>
      <c r="AQ5191" s="2" t="s">
        <v>82</v>
      </c>
      <c r="AR5191" s="2"/>
      <c r="AS5191" s="2"/>
      <c r="AT5191" s="2" t="s">
        <v>15895</v>
      </c>
      <c r="AU5191" s="2"/>
      <c r="AV5191" s="2"/>
      <c r="AW5191" s="2"/>
      <c r="AX5191" s="2"/>
      <c r="AY5191" s="2">
        <v>41</v>
      </c>
      <c r="AZ5191" s="2" t="s">
        <v>82</v>
      </c>
      <c r="BA5191" s="2">
        <v>41</v>
      </c>
      <c r="BB5191" s="2" t="s">
        <v>82</v>
      </c>
      <c r="BC5191" s="2">
        <v>41</v>
      </c>
      <c r="BD5191" s="2" t="s">
        <v>82</v>
      </c>
      <c r="BE5191" s="2">
        <v>41</v>
      </c>
      <c r="BF5191" s="2" t="s">
        <v>82</v>
      </c>
      <c r="BG5191" s="2"/>
      <c r="BH5191" s="2"/>
      <c r="BI5191" s="2"/>
      <c r="BJ5191" s="2">
        <v>241</v>
      </c>
      <c r="BK5191" s="2" t="s">
        <v>82</v>
      </c>
      <c r="BL5191" s="2"/>
      <c r="BM5191" s="2">
        <v>241</v>
      </c>
      <c r="BN5191" s="2" t="s">
        <v>82</v>
      </c>
      <c r="BO5191" s="2"/>
      <c r="BP5191" s="2">
        <v>241</v>
      </c>
      <c r="BQ5191" s="2" t="s">
        <v>82</v>
      </c>
      <c r="BR5191" s="2"/>
      <c r="BS5191" s="3">
        <v>40530</v>
      </c>
      <c r="BT5191" s="4">
        <v>0.87194444444444441</v>
      </c>
    </row>
    <row r="5192" spans="1:72" x14ac:dyDescent="0.25">
      <c r="A5192" s="2">
        <v>8071</v>
      </c>
      <c r="B5192" s="2">
        <v>2010</v>
      </c>
      <c r="C5192" s="2" t="s">
        <v>4543</v>
      </c>
      <c r="D5192" s="2" t="s">
        <v>122</v>
      </c>
      <c r="E5192" s="2"/>
      <c r="F5192" s="2">
        <v>1</v>
      </c>
      <c r="G5192" s="2" t="s">
        <v>82</v>
      </c>
      <c r="H5192" s="2">
        <v>1</v>
      </c>
      <c r="I5192" s="2" t="s">
        <v>82</v>
      </c>
      <c r="J5192" s="2">
        <v>1</v>
      </c>
      <c r="K5192" s="2" t="s">
        <v>107</v>
      </c>
      <c r="L5192" s="2" t="s">
        <v>107</v>
      </c>
      <c r="M5192" s="3">
        <v>40530</v>
      </c>
      <c r="N5192" s="2"/>
      <c r="O5192" s="2"/>
      <c r="P5192" s="2"/>
      <c r="Q5192" s="2" t="str">
        <f>""</f>
        <v/>
      </c>
      <c r="R5192" s="2"/>
      <c r="S5192" s="2"/>
      <c r="T5192" s="2">
        <v>2</v>
      </c>
      <c r="U5192" s="2" t="s">
        <v>123</v>
      </c>
      <c r="V5192" s="2">
        <v>1</v>
      </c>
      <c r="W5192" s="2" t="s">
        <v>80</v>
      </c>
      <c r="X5192" s="2">
        <v>5</v>
      </c>
      <c r="Y5192" s="2" t="s">
        <v>82</v>
      </c>
      <c r="Z5192" s="2">
        <v>1</v>
      </c>
      <c r="AA5192" s="2" t="s">
        <v>82</v>
      </c>
      <c r="AB5192" s="2">
        <v>9</v>
      </c>
      <c r="AC5192" s="2" t="s">
        <v>124</v>
      </c>
      <c r="AD5192" s="3">
        <v>40530</v>
      </c>
      <c r="AE5192" s="4">
        <v>0.7583333333333333</v>
      </c>
      <c r="AF5192" s="3">
        <v>40530</v>
      </c>
      <c r="AG5192" s="2"/>
      <c r="AH5192" s="2">
        <v>3</v>
      </c>
      <c r="AI5192" s="2" t="s">
        <v>214</v>
      </c>
      <c r="AJ5192" s="2">
        <v>24</v>
      </c>
      <c r="AK5192" s="2" t="s">
        <v>215</v>
      </c>
      <c r="AL5192" s="2">
        <v>19</v>
      </c>
      <c r="AM5192" s="2" t="s">
        <v>107</v>
      </c>
      <c r="AN5192" s="2"/>
      <c r="AO5192" s="2"/>
      <c r="AP5192" s="2">
        <v>11</v>
      </c>
      <c r="AQ5192" s="2" t="s">
        <v>82</v>
      </c>
      <c r="AR5192" s="2"/>
      <c r="AS5192" s="2"/>
      <c r="AT5192" s="2" t="s">
        <v>15896</v>
      </c>
      <c r="AU5192" s="2"/>
      <c r="AV5192" s="2"/>
      <c r="AW5192" s="2"/>
      <c r="AX5192" s="2"/>
      <c r="AY5192" s="2">
        <v>41</v>
      </c>
      <c r="AZ5192" s="2" t="s">
        <v>82</v>
      </c>
      <c r="BA5192" s="2">
        <v>41</v>
      </c>
      <c r="BB5192" s="2" t="s">
        <v>82</v>
      </c>
      <c r="BC5192" s="2">
        <v>41</v>
      </c>
      <c r="BD5192" s="2" t="s">
        <v>82</v>
      </c>
      <c r="BE5192" s="2">
        <v>41</v>
      </c>
      <c r="BF5192" s="2" t="s">
        <v>82</v>
      </c>
      <c r="BG5192" s="2"/>
      <c r="BH5192" s="2"/>
      <c r="BI5192" s="2"/>
      <c r="BJ5192" s="2">
        <v>241</v>
      </c>
      <c r="BK5192" s="2" t="s">
        <v>82</v>
      </c>
      <c r="BL5192" s="2"/>
      <c r="BM5192" s="2">
        <v>241</v>
      </c>
      <c r="BN5192" s="2" t="s">
        <v>82</v>
      </c>
      <c r="BO5192" s="2"/>
      <c r="BP5192" s="2">
        <v>241</v>
      </c>
      <c r="BQ5192" s="2" t="s">
        <v>82</v>
      </c>
      <c r="BR5192" s="2"/>
      <c r="BS5192" s="3">
        <v>40530</v>
      </c>
      <c r="BT5192" s="4">
        <v>0.90271990740740737</v>
      </c>
    </row>
    <row r="5193" spans="1:72" x14ac:dyDescent="0.25">
      <c r="A5193" s="2">
        <v>8072</v>
      </c>
      <c r="B5193" s="2">
        <v>2010</v>
      </c>
      <c r="C5193" s="2" t="s">
        <v>72</v>
      </c>
      <c r="D5193" s="2" t="s">
        <v>73</v>
      </c>
      <c r="E5193" s="2"/>
      <c r="F5193" s="2">
        <v>111</v>
      </c>
      <c r="G5193" s="2" t="s">
        <v>2339</v>
      </c>
      <c r="H5193" s="2">
        <v>50</v>
      </c>
      <c r="I5193" s="2" t="s">
        <v>107</v>
      </c>
      <c r="J5193" s="2">
        <v>1</v>
      </c>
      <c r="K5193" s="2" t="s">
        <v>107</v>
      </c>
      <c r="L5193" s="2" t="s">
        <v>107</v>
      </c>
      <c r="M5193" s="3">
        <v>40531</v>
      </c>
      <c r="N5193" s="2" t="s">
        <v>15897</v>
      </c>
      <c r="O5193" s="2" t="s">
        <v>107</v>
      </c>
      <c r="P5193" s="2" t="s">
        <v>107</v>
      </c>
      <c r="Q5193" s="2" t="str">
        <f>"0010/2010"</f>
        <v>0010/2010</v>
      </c>
      <c r="R5193" s="2" t="s">
        <v>15898</v>
      </c>
      <c r="S5193" s="2"/>
      <c r="T5193" s="2">
        <v>1</v>
      </c>
      <c r="U5193" s="2" t="s">
        <v>79</v>
      </c>
      <c r="V5193" s="2">
        <v>1</v>
      </c>
      <c r="W5193" s="2" t="s">
        <v>80</v>
      </c>
      <c r="X5193" s="2">
        <v>12</v>
      </c>
      <c r="Y5193" s="2" t="s">
        <v>148</v>
      </c>
      <c r="Z5193" s="2">
        <v>1</v>
      </c>
      <c r="AA5193" s="2" t="s">
        <v>82</v>
      </c>
      <c r="AB5193" s="2">
        <v>6</v>
      </c>
      <c r="AC5193" s="2" t="s">
        <v>83</v>
      </c>
      <c r="AD5193" s="3">
        <v>40530</v>
      </c>
      <c r="AE5193" s="2"/>
      <c r="AF5193" s="3">
        <v>40530</v>
      </c>
      <c r="AG5193" s="4">
        <v>0.91666666666666663</v>
      </c>
      <c r="AH5193" s="2">
        <v>6</v>
      </c>
      <c r="AI5193" s="2" t="s">
        <v>197</v>
      </c>
      <c r="AJ5193" s="2">
        <v>57</v>
      </c>
      <c r="AK5193" s="2" t="s">
        <v>2344</v>
      </c>
      <c r="AL5193" s="2">
        <v>22</v>
      </c>
      <c r="AM5193" s="2" t="s">
        <v>1853</v>
      </c>
      <c r="AN5193" s="2"/>
      <c r="AO5193" s="2" t="s">
        <v>7600</v>
      </c>
      <c r="AP5193" s="2">
        <v>11</v>
      </c>
      <c r="AQ5193" s="2" t="s">
        <v>82</v>
      </c>
      <c r="AR5193" s="2"/>
      <c r="AS5193" s="2"/>
      <c r="AT5193" s="2" t="s">
        <v>15899</v>
      </c>
      <c r="AU5193" s="2"/>
      <c r="AV5193" s="2"/>
      <c r="AW5193" s="2"/>
      <c r="AX5193" s="2"/>
      <c r="AY5193" s="2">
        <v>41</v>
      </c>
      <c r="AZ5193" s="2" t="s">
        <v>82</v>
      </c>
      <c r="BA5193" s="2">
        <v>41</v>
      </c>
      <c r="BB5193" s="2" t="s">
        <v>82</v>
      </c>
      <c r="BC5193" s="2">
        <v>13</v>
      </c>
      <c r="BD5193" s="2" t="s">
        <v>108</v>
      </c>
      <c r="BE5193" s="2">
        <v>13</v>
      </c>
      <c r="BF5193" s="2" t="s">
        <v>108</v>
      </c>
      <c r="BG5193" s="2" t="s">
        <v>2347</v>
      </c>
      <c r="BH5193" s="4">
        <v>0.88888888888888884</v>
      </c>
      <c r="BI5193" s="2"/>
      <c r="BJ5193" s="2">
        <v>13</v>
      </c>
      <c r="BK5193" s="2" t="s">
        <v>91</v>
      </c>
      <c r="BL5193" s="2" t="s">
        <v>185</v>
      </c>
      <c r="BM5193" s="2">
        <v>13</v>
      </c>
      <c r="BN5193" s="2" t="s">
        <v>91</v>
      </c>
      <c r="BO5193" s="2"/>
      <c r="BP5193" s="2">
        <v>13</v>
      </c>
      <c r="BQ5193" s="2" t="s">
        <v>91</v>
      </c>
      <c r="BR5193" s="2" t="s">
        <v>1014</v>
      </c>
      <c r="BS5193" s="3">
        <v>40531</v>
      </c>
      <c r="BT5193" s="4">
        <v>4.6874999999999998E-3</v>
      </c>
    </row>
    <row r="5194" spans="1:72" x14ac:dyDescent="0.25">
      <c r="A5194" s="2">
        <v>8073</v>
      </c>
      <c r="B5194" s="2">
        <v>2010</v>
      </c>
      <c r="C5194" s="2" t="s">
        <v>93</v>
      </c>
      <c r="D5194" s="2" t="s">
        <v>73</v>
      </c>
      <c r="E5194" s="2"/>
      <c r="F5194" s="2">
        <v>143</v>
      </c>
      <c r="G5194" s="2" t="s">
        <v>5435</v>
      </c>
      <c r="H5194" s="2">
        <v>22</v>
      </c>
      <c r="I5194" s="2" t="s">
        <v>75</v>
      </c>
      <c r="J5194" s="2">
        <v>395</v>
      </c>
      <c r="K5194" s="2" t="s">
        <v>1761</v>
      </c>
      <c r="L5194" s="2" t="s">
        <v>1762</v>
      </c>
      <c r="M5194" s="3">
        <v>40531</v>
      </c>
      <c r="N5194" s="2" t="s">
        <v>15900</v>
      </c>
      <c r="O5194" s="2" t="s">
        <v>15901</v>
      </c>
      <c r="P5194" s="2" t="s">
        <v>15902</v>
      </c>
      <c r="Q5194" s="2" t="str">
        <f>"AP_0063/10"</f>
        <v>AP_0063/10</v>
      </c>
      <c r="R5194" s="2" t="s">
        <v>15903</v>
      </c>
      <c r="S5194" s="2"/>
      <c r="T5194" s="2">
        <v>1</v>
      </c>
      <c r="U5194" s="2" t="s">
        <v>79</v>
      </c>
      <c r="V5194" s="2">
        <v>1</v>
      </c>
      <c r="W5194" s="2" t="s">
        <v>80</v>
      </c>
      <c r="X5194" s="2">
        <v>1</v>
      </c>
      <c r="Y5194" s="2" t="s">
        <v>81</v>
      </c>
      <c r="Z5194" s="2">
        <v>1</v>
      </c>
      <c r="AA5194" s="2" t="s">
        <v>82</v>
      </c>
      <c r="AB5194" s="2">
        <v>2</v>
      </c>
      <c r="AC5194" s="2" t="s">
        <v>102</v>
      </c>
      <c r="AD5194" s="3">
        <v>40530</v>
      </c>
      <c r="AE5194" s="4">
        <v>0.90972222222222221</v>
      </c>
      <c r="AF5194" s="3">
        <v>40530</v>
      </c>
      <c r="AG5194" s="4">
        <v>0.90972222222222221</v>
      </c>
      <c r="AH5194" s="2">
        <v>6</v>
      </c>
      <c r="AI5194" s="2" t="s">
        <v>197</v>
      </c>
      <c r="AJ5194" s="2">
        <v>60</v>
      </c>
      <c r="AK5194" s="2" t="s">
        <v>543</v>
      </c>
      <c r="AL5194" s="2">
        <v>11</v>
      </c>
      <c r="AM5194" s="2" t="s">
        <v>137</v>
      </c>
      <c r="AN5194" s="2" t="s">
        <v>2249</v>
      </c>
      <c r="AO5194" s="2" t="s">
        <v>5183</v>
      </c>
      <c r="AP5194" s="2">
        <v>11</v>
      </c>
      <c r="AQ5194" s="2" t="s">
        <v>82</v>
      </c>
      <c r="AR5194" s="2"/>
      <c r="AS5194" s="2"/>
      <c r="AT5194" s="2" t="s">
        <v>15904</v>
      </c>
      <c r="AU5194" s="2"/>
      <c r="AV5194" s="2"/>
      <c r="AW5194" s="2"/>
      <c r="AX5194" s="2"/>
      <c r="AY5194" s="2">
        <v>41</v>
      </c>
      <c r="AZ5194" s="2" t="s">
        <v>82</v>
      </c>
      <c r="BA5194" s="2">
        <v>41</v>
      </c>
      <c r="BB5194" s="2" t="s">
        <v>82</v>
      </c>
      <c r="BC5194" s="2">
        <v>41</v>
      </c>
      <c r="BD5194" s="2" t="s">
        <v>82</v>
      </c>
      <c r="BE5194" s="2">
        <v>13</v>
      </c>
      <c r="BF5194" s="2" t="s">
        <v>108</v>
      </c>
      <c r="BG5194" s="2" t="s">
        <v>15905</v>
      </c>
      <c r="BH5194" s="2"/>
      <c r="BI5194" s="4">
        <v>0.94097222222222221</v>
      </c>
      <c r="BJ5194" s="2">
        <v>13</v>
      </c>
      <c r="BK5194" s="2" t="s">
        <v>91</v>
      </c>
      <c r="BL5194" s="2" t="s">
        <v>895</v>
      </c>
      <c r="BM5194" s="2">
        <v>13</v>
      </c>
      <c r="BN5194" s="2" t="s">
        <v>91</v>
      </c>
      <c r="BO5194" s="2"/>
      <c r="BP5194" s="2">
        <v>13</v>
      </c>
      <c r="BQ5194" s="2" t="s">
        <v>91</v>
      </c>
      <c r="BR5194" s="2" t="s">
        <v>170</v>
      </c>
      <c r="BS5194" s="3">
        <v>40531</v>
      </c>
      <c r="BT5194" s="4">
        <v>1.6307870370370372E-2</v>
      </c>
    </row>
    <row r="5195" spans="1:72" x14ac:dyDescent="0.25">
      <c r="A5195" s="2">
        <v>8074</v>
      </c>
      <c r="B5195" s="2">
        <v>2010</v>
      </c>
      <c r="C5195" s="2" t="s">
        <v>171</v>
      </c>
      <c r="D5195" s="2" t="s">
        <v>73</v>
      </c>
      <c r="E5195" s="2"/>
      <c r="F5195" s="2">
        <v>393</v>
      </c>
      <c r="G5195" s="2" t="s">
        <v>3660</v>
      </c>
      <c r="H5195" s="2">
        <v>3</v>
      </c>
      <c r="I5195" s="2" t="s">
        <v>315</v>
      </c>
      <c r="J5195" s="2">
        <v>2</v>
      </c>
      <c r="K5195" s="2" t="s">
        <v>3661</v>
      </c>
      <c r="L5195" s="2" t="s">
        <v>3662</v>
      </c>
      <c r="M5195" s="3">
        <v>40531</v>
      </c>
      <c r="N5195" s="2" t="s">
        <v>10885</v>
      </c>
      <c r="O5195" s="2"/>
      <c r="P5195" s="2"/>
      <c r="Q5195" s="2" t="str">
        <f>"681-E/10"</f>
        <v>681-E/10</v>
      </c>
      <c r="R5195" s="2" t="s">
        <v>391</v>
      </c>
      <c r="S5195" s="2" t="s">
        <v>391</v>
      </c>
      <c r="T5195" s="2">
        <v>1</v>
      </c>
      <c r="U5195" s="2" t="s">
        <v>79</v>
      </c>
      <c r="V5195" s="2">
        <v>1</v>
      </c>
      <c r="W5195" s="2" t="s">
        <v>80</v>
      </c>
      <c r="X5195" s="2">
        <v>1</v>
      </c>
      <c r="Y5195" s="2" t="s">
        <v>81</v>
      </c>
      <c r="Z5195" s="2">
        <v>1</v>
      </c>
      <c r="AA5195" s="2" t="s">
        <v>82</v>
      </c>
      <c r="AB5195" s="2">
        <v>1</v>
      </c>
      <c r="AC5195" s="2" t="s">
        <v>178</v>
      </c>
      <c r="AD5195" s="3">
        <v>40530</v>
      </c>
      <c r="AE5195" s="4">
        <v>0.82291666666666663</v>
      </c>
      <c r="AF5195" s="3">
        <v>40530</v>
      </c>
      <c r="AG5195" s="4">
        <v>0.9375</v>
      </c>
      <c r="AH5195" s="2">
        <v>2</v>
      </c>
      <c r="AI5195" s="2" t="s">
        <v>84</v>
      </c>
      <c r="AJ5195" s="2">
        <v>9</v>
      </c>
      <c r="AK5195" s="2" t="s">
        <v>103</v>
      </c>
      <c r="AL5195" s="2">
        <v>13</v>
      </c>
      <c r="AM5195" s="2" t="s">
        <v>117</v>
      </c>
      <c r="AN5195" s="2" t="s">
        <v>15906</v>
      </c>
      <c r="AO5195" s="2" t="s">
        <v>15907</v>
      </c>
      <c r="AP5195" s="2">
        <v>11</v>
      </c>
      <c r="AQ5195" s="2" t="s">
        <v>82</v>
      </c>
      <c r="AR5195" s="2"/>
      <c r="AS5195" s="2"/>
      <c r="AT5195" s="2" t="s">
        <v>15908</v>
      </c>
      <c r="AU5195" s="2"/>
      <c r="AV5195" s="2">
        <v>2</v>
      </c>
      <c r="AW5195" s="2"/>
      <c r="AX5195" s="2"/>
      <c r="AY5195" s="2">
        <v>41</v>
      </c>
      <c r="AZ5195" s="2" t="s">
        <v>82</v>
      </c>
      <c r="BA5195" s="2">
        <v>41</v>
      </c>
      <c r="BB5195" s="2" t="s">
        <v>82</v>
      </c>
      <c r="BC5195" s="2">
        <v>41</v>
      </c>
      <c r="BD5195" s="2" t="s">
        <v>82</v>
      </c>
      <c r="BE5195" s="2">
        <v>13</v>
      </c>
      <c r="BF5195" s="2" t="s">
        <v>108</v>
      </c>
      <c r="BG5195" s="2">
        <v>1132</v>
      </c>
      <c r="BH5195" s="2"/>
      <c r="BI5195" s="4">
        <v>0.93055555555555547</v>
      </c>
      <c r="BJ5195" s="2">
        <v>13</v>
      </c>
      <c r="BK5195" s="2" t="s">
        <v>91</v>
      </c>
      <c r="BL5195" s="2" t="s">
        <v>360</v>
      </c>
      <c r="BM5195" s="2">
        <v>73</v>
      </c>
      <c r="BN5195" s="2" t="s">
        <v>186</v>
      </c>
      <c r="BO5195" s="2"/>
      <c r="BP5195" s="2">
        <v>73</v>
      </c>
      <c r="BQ5195" s="2" t="s">
        <v>186</v>
      </c>
      <c r="BR5195" s="2" t="s">
        <v>187</v>
      </c>
      <c r="BS5195" s="3">
        <v>40531</v>
      </c>
      <c r="BT5195" s="4">
        <v>0.50133101851851858</v>
      </c>
    </row>
    <row r="5196" spans="1:72" x14ac:dyDescent="0.25">
      <c r="A5196" s="2">
        <v>8075</v>
      </c>
      <c r="B5196" s="2">
        <v>2010</v>
      </c>
      <c r="C5196" s="2" t="s">
        <v>4543</v>
      </c>
      <c r="D5196" s="2" t="s">
        <v>122</v>
      </c>
      <c r="E5196" s="2"/>
      <c r="F5196" s="2">
        <v>1</v>
      </c>
      <c r="G5196" s="2" t="s">
        <v>82</v>
      </c>
      <c r="H5196" s="2">
        <v>1</v>
      </c>
      <c r="I5196" s="2" t="s">
        <v>82</v>
      </c>
      <c r="J5196" s="2">
        <v>1</v>
      </c>
      <c r="K5196" s="2" t="s">
        <v>107</v>
      </c>
      <c r="L5196" s="2" t="s">
        <v>107</v>
      </c>
      <c r="M5196" s="3">
        <v>40531</v>
      </c>
      <c r="N5196" s="2"/>
      <c r="O5196" s="2"/>
      <c r="P5196" s="2"/>
      <c r="Q5196" s="2" t="str">
        <f>""</f>
        <v/>
      </c>
      <c r="R5196" s="2"/>
      <c r="S5196" s="2"/>
      <c r="T5196" s="2">
        <v>2</v>
      </c>
      <c r="U5196" s="2" t="s">
        <v>123</v>
      </c>
      <c r="V5196" s="2">
        <v>1</v>
      </c>
      <c r="W5196" s="2" t="s">
        <v>80</v>
      </c>
      <c r="X5196" s="2">
        <v>5</v>
      </c>
      <c r="Y5196" s="2" t="s">
        <v>82</v>
      </c>
      <c r="Z5196" s="2">
        <v>1</v>
      </c>
      <c r="AA5196" s="2" t="s">
        <v>82</v>
      </c>
      <c r="AB5196" s="2">
        <v>9</v>
      </c>
      <c r="AC5196" s="2" t="s">
        <v>124</v>
      </c>
      <c r="AD5196" s="3">
        <v>40531</v>
      </c>
      <c r="AE5196" s="4">
        <v>0.25694444444444448</v>
      </c>
      <c r="AF5196" s="3">
        <v>40531</v>
      </c>
      <c r="AG5196" s="2"/>
      <c r="AH5196" s="2">
        <v>3</v>
      </c>
      <c r="AI5196" s="2" t="s">
        <v>214</v>
      </c>
      <c r="AJ5196" s="2">
        <v>24</v>
      </c>
      <c r="AK5196" s="2" t="s">
        <v>215</v>
      </c>
      <c r="AL5196" s="2">
        <v>19</v>
      </c>
      <c r="AM5196" s="2" t="s">
        <v>107</v>
      </c>
      <c r="AN5196" s="2"/>
      <c r="AO5196" s="2"/>
      <c r="AP5196" s="2">
        <v>11</v>
      </c>
      <c r="AQ5196" s="2" t="s">
        <v>82</v>
      </c>
      <c r="AR5196" s="2"/>
      <c r="AS5196" s="2"/>
      <c r="AT5196" s="2" t="s">
        <v>15909</v>
      </c>
      <c r="AU5196" s="2"/>
      <c r="AV5196" s="2"/>
      <c r="AW5196" s="2"/>
      <c r="AX5196" s="2"/>
      <c r="AY5196" s="2">
        <v>41</v>
      </c>
      <c r="AZ5196" s="2" t="s">
        <v>82</v>
      </c>
      <c r="BA5196" s="2">
        <v>41</v>
      </c>
      <c r="BB5196" s="2" t="s">
        <v>82</v>
      </c>
      <c r="BC5196" s="2">
        <v>41</v>
      </c>
      <c r="BD5196" s="2" t="s">
        <v>82</v>
      </c>
      <c r="BE5196" s="2">
        <v>41</v>
      </c>
      <c r="BF5196" s="2" t="s">
        <v>82</v>
      </c>
      <c r="BG5196" s="2"/>
      <c r="BH5196" s="2"/>
      <c r="BI5196" s="2"/>
      <c r="BJ5196" s="2">
        <v>241</v>
      </c>
      <c r="BK5196" s="2" t="s">
        <v>82</v>
      </c>
      <c r="BL5196" s="2"/>
      <c r="BM5196" s="2">
        <v>241</v>
      </c>
      <c r="BN5196" s="2" t="s">
        <v>82</v>
      </c>
      <c r="BO5196" s="2"/>
      <c r="BP5196" s="2">
        <v>241</v>
      </c>
      <c r="BQ5196" s="2" t="s">
        <v>82</v>
      </c>
      <c r="BR5196" s="2"/>
      <c r="BS5196" s="3">
        <v>40531</v>
      </c>
      <c r="BT5196" s="4">
        <v>0.50187499999999996</v>
      </c>
    </row>
    <row r="5197" spans="1:72" x14ac:dyDescent="0.25">
      <c r="A5197" s="2">
        <v>8076</v>
      </c>
      <c r="B5197" s="2">
        <v>2010</v>
      </c>
      <c r="C5197" s="2" t="s">
        <v>171</v>
      </c>
      <c r="D5197" s="2" t="s">
        <v>73</v>
      </c>
      <c r="E5197" s="2"/>
      <c r="F5197" s="2">
        <v>393</v>
      </c>
      <c r="G5197" s="2" t="s">
        <v>3660</v>
      </c>
      <c r="H5197" s="2">
        <v>3</v>
      </c>
      <c r="I5197" s="2" t="s">
        <v>315</v>
      </c>
      <c r="J5197" s="2">
        <v>2</v>
      </c>
      <c r="K5197" s="2" t="s">
        <v>3661</v>
      </c>
      <c r="L5197" s="2" t="s">
        <v>3662</v>
      </c>
      <c r="M5197" s="3">
        <v>40531</v>
      </c>
      <c r="N5197" s="2" t="s">
        <v>10885</v>
      </c>
      <c r="O5197" s="2"/>
      <c r="P5197" s="2"/>
      <c r="Q5197" s="2" t="str">
        <f>"0682-E/10"</f>
        <v>0682-E/10</v>
      </c>
      <c r="R5197" s="2" t="s">
        <v>391</v>
      </c>
      <c r="S5197" s="2" t="s">
        <v>391</v>
      </c>
      <c r="T5197" s="2">
        <v>1</v>
      </c>
      <c r="U5197" s="2" t="s">
        <v>79</v>
      </c>
      <c r="V5197" s="2">
        <v>1</v>
      </c>
      <c r="W5197" s="2" t="s">
        <v>80</v>
      </c>
      <c r="X5197" s="2">
        <v>1</v>
      </c>
      <c r="Y5197" s="2" t="s">
        <v>81</v>
      </c>
      <c r="Z5197" s="2">
        <v>1</v>
      </c>
      <c r="AA5197" s="2" t="s">
        <v>82</v>
      </c>
      <c r="AB5197" s="2">
        <v>1</v>
      </c>
      <c r="AC5197" s="2" t="s">
        <v>178</v>
      </c>
      <c r="AD5197" s="3">
        <v>40530</v>
      </c>
      <c r="AE5197" s="4">
        <v>0.88194444444444453</v>
      </c>
      <c r="AF5197" s="3">
        <v>40531</v>
      </c>
      <c r="AG5197" s="4">
        <v>0.22916666666666666</v>
      </c>
      <c r="AH5197" s="2">
        <v>2</v>
      </c>
      <c r="AI5197" s="2" t="s">
        <v>84</v>
      </c>
      <c r="AJ5197" s="2">
        <v>9</v>
      </c>
      <c r="AK5197" s="2" t="s">
        <v>103</v>
      </c>
      <c r="AL5197" s="2">
        <v>25</v>
      </c>
      <c r="AM5197" s="2" t="s">
        <v>3073</v>
      </c>
      <c r="AN5197" s="2" t="s">
        <v>179</v>
      </c>
      <c r="AO5197" s="2" t="s">
        <v>987</v>
      </c>
      <c r="AP5197" s="2">
        <v>11</v>
      </c>
      <c r="AQ5197" s="2" t="s">
        <v>82</v>
      </c>
      <c r="AR5197" s="2"/>
      <c r="AS5197" s="2"/>
      <c r="AT5197" s="2" t="s">
        <v>15910</v>
      </c>
      <c r="AU5197" s="2"/>
      <c r="AV5197" s="2">
        <v>1</v>
      </c>
      <c r="AW5197" s="2"/>
      <c r="AX5197" s="2"/>
      <c r="AY5197" s="2">
        <v>41</v>
      </c>
      <c r="AZ5197" s="2" t="s">
        <v>82</v>
      </c>
      <c r="BA5197" s="2">
        <v>41</v>
      </c>
      <c r="BB5197" s="2" t="s">
        <v>82</v>
      </c>
      <c r="BC5197" s="2">
        <v>41</v>
      </c>
      <c r="BD5197" s="2" t="s">
        <v>82</v>
      </c>
      <c r="BE5197" s="2">
        <v>68</v>
      </c>
      <c r="BF5197" s="2" t="s">
        <v>14011</v>
      </c>
      <c r="BG5197" s="2" t="s">
        <v>15911</v>
      </c>
      <c r="BH5197" s="2"/>
      <c r="BI5197" s="4">
        <v>0.96875</v>
      </c>
      <c r="BJ5197" s="2">
        <v>13</v>
      </c>
      <c r="BK5197" s="2" t="s">
        <v>91</v>
      </c>
      <c r="BL5197" s="2" t="s">
        <v>360</v>
      </c>
      <c r="BM5197" s="2">
        <v>179</v>
      </c>
      <c r="BN5197" s="2" t="s">
        <v>14013</v>
      </c>
      <c r="BO5197" s="2"/>
      <c r="BP5197" s="2">
        <v>179</v>
      </c>
      <c r="BQ5197" s="2" t="s">
        <v>14013</v>
      </c>
      <c r="BR5197" s="2" t="s">
        <v>14014</v>
      </c>
      <c r="BS5197" s="3">
        <v>40531</v>
      </c>
      <c r="BT5197" s="4">
        <v>0.51680555555555552</v>
      </c>
    </row>
    <row r="5198" spans="1:72" x14ac:dyDescent="0.25">
      <c r="A5198" s="2">
        <v>8077</v>
      </c>
      <c r="B5198" s="2">
        <v>2010</v>
      </c>
      <c r="C5198" s="2" t="s">
        <v>196</v>
      </c>
      <c r="D5198" s="2" t="s">
        <v>122</v>
      </c>
      <c r="E5198" s="2"/>
      <c r="F5198" s="2">
        <v>1</v>
      </c>
      <c r="G5198" s="2" t="s">
        <v>82</v>
      </c>
      <c r="H5198" s="2">
        <v>1</v>
      </c>
      <c r="I5198" s="2" t="s">
        <v>82</v>
      </c>
      <c r="J5198" s="2">
        <v>1</v>
      </c>
      <c r="K5198" s="2" t="s">
        <v>107</v>
      </c>
      <c r="L5198" s="2" t="s">
        <v>107</v>
      </c>
      <c r="M5198" s="3">
        <v>40531</v>
      </c>
      <c r="N5198" s="2"/>
      <c r="O5198" s="2"/>
      <c r="P5198" s="2"/>
      <c r="Q5198" s="2" t="str">
        <f>""</f>
        <v/>
      </c>
      <c r="R5198" s="2"/>
      <c r="S5198" s="2"/>
      <c r="T5198" s="2">
        <v>2</v>
      </c>
      <c r="U5198" s="2" t="s">
        <v>123</v>
      </c>
      <c r="V5198" s="2">
        <v>1</v>
      </c>
      <c r="W5198" s="2" t="s">
        <v>80</v>
      </c>
      <c r="X5198" s="2">
        <v>5</v>
      </c>
      <c r="Y5198" s="2" t="s">
        <v>82</v>
      </c>
      <c r="Z5198" s="2">
        <v>1</v>
      </c>
      <c r="AA5198" s="2" t="s">
        <v>82</v>
      </c>
      <c r="AB5198" s="2">
        <v>9</v>
      </c>
      <c r="AC5198" s="2" t="s">
        <v>124</v>
      </c>
      <c r="AD5198" s="3">
        <v>40531</v>
      </c>
      <c r="AE5198" s="4">
        <v>0.71111111111111114</v>
      </c>
      <c r="AF5198" s="3">
        <v>40531</v>
      </c>
      <c r="AG5198" s="2"/>
      <c r="AH5198" s="2">
        <v>6</v>
      </c>
      <c r="AI5198" s="2" t="s">
        <v>197</v>
      </c>
      <c r="AJ5198" s="2">
        <v>58</v>
      </c>
      <c r="AK5198" s="2" t="s">
        <v>406</v>
      </c>
      <c r="AL5198" s="2">
        <v>19</v>
      </c>
      <c r="AM5198" s="2" t="s">
        <v>107</v>
      </c>
      <c r="AN5198" s="2" t="s">
        <v>230</v>
      </c>
      <c r="AO5198" s="2" t="s">
        <v>259</v>
      </c>
      <c r="AP5198" s="2">
        <v>11</v>
      </c>
      <c r="AQ5198" s="2" t="s">
        <v>82</v>
      </c>
      <c r="AR5198" s="2"/>
      <c r="AS5198" s="2"/>
      <c r="AT5198" s="2" t="s">
        <v>15912</v>
      </c>
      <c r="AU5198" s="2"/>
      <c r="AV5198" s="2"/>
      <c r="AW5198" s="2"/>
      <c r="AX5198" s="2"/>
      <c r="AY5198" s="2">
        <v>41</v>
      </c>
      <c r="AZ5198" s="2" t="s">
        <v>82</v>
      </c>
      <c r="BA5198" s="2">
        <v>41</v>
      </c>
      <c r="BB5198" s="2" t="s">
        <v>82</v>
      </c>
      <c r="BC5198" s="2">
        <v>41</v>
      </c>
      <c r="BD5198" s="2" t="s">
        <v>82</v>
      </c>
      <c r="BE5198" s="2">
        <v>41</v>
      </c>
      <c r="BF5198" s="2" t="s">
        <v>82</v>
      </c>
      <c r="BG5198" s="2"/>
      <c r="BH5198" s="2"/>
      <c r="BI5198" s="2"/>
      <c r="BJ5198" s="2">
        <v>241</v>
      </c>
      <c r="BK5198" s="2" t="s">
        <v>82</v>
      </c>
      <c r="BL5198" s="2"/>
      <c r="BM5198" s="2">
        <v>241</v>
      </c>
      <c r="BN5198" s="2" t="s">
        <v>82</v>
      </c>
      <c r="BO5198" s="2"/>
      <c r="BP5198" s="2">
        <v>241</v>
      </c>
      <c r="BQ5198" s="2" t="s">
        <v>82</v>
      </c>
      <c r="BR5198" s="2"/>
      <c r="BS5198" s="3">
        <v>40531</v>
      </c>
      <c r="BT5198" s="4">
        <v>0.71731481481481485</v>
      </c>
    </row>
    <row r="5199" spans="1:72" x14ac:dyDescent="0.25">
      <c r="A5199" s="2">
        <v>8078</v>
      </c>
      <c r="B5199" s="2">
        <v>2010</v>
      </c>
      <c r="C5199" s="2" t="s">
        <v>196</v>
      </c>
      <c r="D5199" s="2" t="s">
        <v>122</v>
      </c>
      <c r="E5199" s="2"/>
      <c r="F5199" s="2">
        <v>1</v>
      </c>
      <c r="G5199" s="2" t="s">
        <v>82</v>
      </c>
      <c r="H5199" s="2">
        <v>1</v>
      </c>
      <c r="I5199" s="2" t="s">
        <v>82</v>
      </c>
      <c r="J5199" s="2">
        <v>1</v>
      </c>
      <c r="K5199" s="2" t="s">
        <v>107</v>
      </c>
      <c r="L5199" s="2" t="s">
        <v>107</v>
      </c>
      <c r="M5199" s="3">
        <v>40531</v>
      </c>
      <c r="N5199" s="2"/>
      <c r="O5199" s="2"/>
      <c r="P5199" s="2"/>
      <c r="Q5199" s="2" t="str">
        <f>""</f>
        <v/>
      </c>
      <c r="R5199" s="2"/>
      <c r="S5199" s="2"/>
      <c r="T5199" s="2">
        <v>2</v>
      </c>
      <c r="U5199" s="2" t="s">
        <v>123</v>
      </c>
      <c r="V5199" s="2">
        <v>1</v>
      </c>
      <c r="W5199" s="2" t="s">
        <v>80</v>
      </c>
      <c r="X5199" s="2">
        <v>11</v>
      </c>
      <c r="Y5199" s="2" t="s">
        <v>1920</v>
      </c>
      <c r="Z5199" s="2">
        <v>1</v>
      </c>
      <c r="AA5199" s="2" t="s">
        <v>82</v>
      </c>
      <c r="AB5199" s="2">
        <v>9</v>
      </c>
      <c r="AC5199" s="2" t="s">
        <v>124</v>
      </c>
      <c r="AD5199" s="3">
        <v>40531</v>
      </c>
      <c r="AE5199" s="4">
        <v>0.77083333333333337</v>
      </c>
      <c r="AF5199" s="3">
        <v>40531</v>
      </c>
      <c r="AG5199" s="2"/>
      <c r="AH5199" s="2">
        <v>2</v>
      </c>
      <c r="AI5199" s="2" t="s">
        <v>84</v>
      </c>
      <c r="AJ5199" s="2">
        <v>12</v>
      </c>
      <c r="AK5199" s="2" t="s">
        <v>85</v>
      </c>
      <c r="AL5199" s="2">
        <v>10</v>
      </c>
      <c r="AM5199" s="2" t="s">
        <v>200</v>
      </c>
      <c r="AN5199" s="2"/>
      <c r="AO5199" s="2" t="s">
        <v>992</v>
      </c>
      <c r="AP5199" s="2">
        <v>11</v>
      </c>
      <c r="AQ5199" s="2" t="s">
        <v>82</v>
      </c>
      <c r="AR5199" s="2"/>
      <c r="AS5199" s="2"/>
      <c r="AT5199" s="2" t="s">
        <v>15913</v>
      </c>
      <c r="AU5199" s="2"/>
      <c r="AV5199" s="2"/>
      <c r="AW5199" s="2"/>
      <c r="AX5199" s="2"/>
      <c r="AY5199" s="2">
        <v>41</v>
      </c>
      <c r="AZ5199" s="2" t="s">
        <v>82</v>
      </c>
      <c r="BA5199" s="2">
        <v>41</v>
      </c>
      <c r="BB5199" s="2" t="s">
        <v>82</v>
      </c>
      <c r="BC5199" s="2">
        <v>41</v>
      </c>
      <c r="BD5199" s="2" t="s">
        <v>82</v>
      </c>
      <c r="BE5199" s="2">
        <v>41</v>
      </c>
      <c r="BF5199" s="2" t="s">
        <v>82</v>
      </c>
      <c r="BG5199" s="2"/>
      <c r="BH5199" s="2"/>
      <c r="BI5199" s="2"/>
      <c r="BJ5199" s="2">
        <v>13</v>
      </c>
      <c r="BK5199" s="2" t="s">
        <v>91</v>
      </c>
      <c r="BL5199" s="2" t="s">
        <v>492</v>
      </c>
      <c r="BM5199" s="2">
        <v>13</v>
      </c>
      <c r="BN5199" s="2" t="s">
        <v>91</v>
      </c>
      <c r="BO5199" s="2"/>
      <c r="BP5199" s="2">
        <v>13</v>
      </c>
      <c r="BQ5199" s="2" t="s">
        <v>91</v>
      </c>
      <c r="BR5199" s="2" t="s">
        <v>15914</v>
      </c>
      <c r="BS5199" s="3">
        <v>40531</v>
      </c>
      <c r="BT5199" s="4">
        <v>0.88603009259259258</v>
      </c>
    </row>
    <row r="5200" spans="1:72" x14ac:dyDescent="0.25">
      <c r="A5200" s="2">
        <v>8079</v>
      </c>
      <c r="B5200" s="2">
        <v>2010</v>
      </c>
      <c r="C5200" s="2" t="s">
        <v>72</v>
      </c>
      <c r="D5200" s="2" t="s">
        <v>73</v>
      </c>
      <c r="E5200" s="2"/>
      <c r="F5200" s="2">
        <v>201</v>
      </c>
      <c r="G5200" s="2" t="s">
        <v>15915</v>
      </c>
      <c r="H5200" s="2">
        <v>161</v>
      </c>
      <c r="I5200" s="2" t="s">
        <v>15916</v>
      </c>
      <c r="J5200" s="2">
        <v>189</v>
      </c>
      <c r="K5200" s="2" t="s">
        <v>1751</v>
      </c>
      <c r="L5200" s="2" t="s">
        <v>1752</v>
      </c>
      <c r="M5200" s="3">
        <v>40531</v>
      </c>
      <c r="N5200" s="2" t="s">
        <v>15917</v>
      </c>
      <c r="O5200" s="2"/>
      <c r="P5200" s="2"/>
      <c r="Q5200" s="2" t="str">
        <f>"458-A/10"</f>
        <v>458-A/10</v>
      </c>
      <c r="R5200" s="2" t="s">
        <v>671</v>
      </c>
      <c r="S5200" s="2" t="s">
        <v>671</v>
      </c>
      <c r="T5200" s="2">
        <v>1</v>
      </c>
      <c r="U5200" s="2" t="s">
        <v>79</v>
      </c>
      <c r="V5200" s="2">
        <v>1</v>
      </c>
      <c r="W5200" s="2" t="s">
        <v>80</v>
      </c>
      <c r="X5200" s="2">
        <v>12</v>
      </c>
      <c r="Y5200" s="2" t="s">
        <v>148</v>
      </c>
      <c r="Z5200" s="2">
        <v>1</v>
      </c>
      <c r="AA5200" s="2" t="s">
        <v>82</v>
      </c>
      <c r="AB5200" s="2">
        <v>6</v>
      </c>
      <c r="AC5200" s="2" t="s">
        <v>83</v>
      </c>
      <c r="AD5200" s="3">
        <v>40531</v>
      </c>
      <c r="AE5200" s="4">
        <v>0.63541666666666663</v>
      </c>
      <c r="AF5200" s="3">
        <v>40531</v>
      </c>
      <c r="AG5200" s="4">
        <v>0.67361111111111116</v>
      </c>
      <c r="AH5200" s="2">
        <v>2</v>
      </c>
      <c r="AI5200" s="2" t="s">
        <v>84</v>
      </c>
      <c r="AJ5200" s="2">
        <v>12</v>
      </c>
      <c r="AK5200" s="2" t="s">
        <v>85</v>
      </c>
      <c r="AL5200" s="2">
        <v>22</v>
      </c>
      <c r="AM5200" s="2" t="s">
        <v>1853</v>
      </c>
      <c r="AN5200" s="2" t="s">
        <v>15918</v>
      </c>
      <c r="AO5200" s="2" t="s">
        <v>200</v>
      </c>
      <c r="AP5200" s="2">
        <v>11</v>
      </c>
      <c r="AQ5200" s="2" t="s">
        <v>82</v>
      </c>
      <c r="AR5200" s="2"/>
      <c r="AS5200" s="2"/>
      <c r="AT5200" s="2" t="s">
        <v>15919</v>
      </c>
      <c r="AU5200" s="2">
        <v>1</v>
      </c>
      <c r="AV5200" s="2"/>
      <c r="AW5200" s="2"/>
      <c r="AX5200" s="2"/>
      <c r="AY5200" s="2">
        <v>41</v>
      </c>
      <c r="AZ5200" s="2" t="s">
        <v>82</v>
      </c>
      <c r="BA5200" s="2">
        <v>63</v>
      </c>
      <c r="BB5200" s="2" t="s">
        <v>1287</v>
      </c>
      <c r="BC5200" s="2">
        <v>41</v>
      </c>
      <c r="BD5200" s="2" t="s">
        <v>82</v>
      </c>
      <c r="BE5200" s="2">
        <v>10</v>
      </c>
      <c r="BF5200" s="2" t="s">
        <v>901</v>
      </c>
      <c r="BG5200" s="2" t="s">
        <v>15920</v>
      </c>
      <c r="BH5200" s="4">
        <v>0.67708333333333337</v>
      </c>
      <c r="BI5200" s="4">
        <v>0.64583333333333337</v>
      </c>
      <c r="BJ5200" s="2">
        <v>13</v>
      </c>
      <c r="BK5200" s="2" t="s">
        <v>91</v>
      </c>
      <c r="BL5200" s="2" t="s">
        <v>564</v>
      </c>
      <c r="BM5200" s="2">
        <v>229</v>
      </c>
      <c r="BN5200" s="2" t="s">
        <v>300</v>
      </c>
      <c r="BO5200" s="2"/>
      <c r="BP5200" s="2">
        <v>229</v>
      </c>
      <c r="BQ5200" s="2" t="s">
        <v>300</v>
      </c>
      <c r="BR5200" s="2" t="s">
        <v>301</v>
      </c>
      <c r="BS5200" s="3">
        <v>40531</v>
      </c>
      <c r="BT5200" s="4">
        <v>0.90170138888888884</v>
      </c>
    </row>
    <row r="5201" spans="1:72" x14ac:dyDescent="0.25">
      <c r="A5201" s="2">
        <v>8080</v>
      </c>
      <c r="B5201" s="2">
        <v>2010</v>
      </c>
      <c r="C5201" s="2" t="s">
        <v>171</v>
      </c>
      <c r="D5201" s="2" t="s">
        <v>73</v>
      </c>
      <c r="E5201" s="2"/>
      <c r="F5201" s="2">
        <v>451</v>
      </c>
      <c r="G5201" s="2" t="s">
        <v>879</v>
      </c>
      <c r="H5201" s="2">
        <v>31</v>
      </c>
      <c r="I5201" s="2" t="s">
        <v>880</v>
      </c>
      <c r="J5201" s="2">
        <v>326</v>
      </c>
      <c r="K5201" s="2" t="s">
        <v>881</v>
      </c>
      <c r="L5201" s="2" t="s">
        <v>882</v>
      </c>
      <c r="M5201" s="3">
        <v>40532</v>
      </c>
      <c r="N5201" s="2" t="s">
        <v>1072</v>
      </c>
      <c r="O5201" s="2" t="s">
        <v>15921</v>
      </c>
      <c r="P5201" s="2">
        <v>1428</v>
      </c>
      <c r="Q5201" s="2" t="str">
        <f>"N/C"</f>
        <v>N/C</v>
      </c>
      <c r="R5201" s="2" t="s">
        <v>82</v>
      </c>
      <c r="S5201" s="2"/>
      <c r="T5201" s="2">
        <v>1</v>
      </c>
      <c r="U5201" s="2" t="s">
        <v>79</v>
      </c>
      <c r="V5201" s="2">
        <v>1</v>
      </c>
      <c r="W5201" s="2" t="s">
        <v>80</v>
      </c>
      <c r="X5201" s="2">
        <v>4</v>
      </c>
      <c r="Y5201" s="2" t="s">
        <v>463</v>
      </c>
      <c r="Z5201" s="2">
        <v>22</v>
      </c>
      <c r="AA5201" s="2" t="s">
        <v>4417</v>
      </c>
      <c r="AB5201" s="2">
        <v>1</v>
      </c>
      <c r="AC5201" s="2" t="s">
        <v>178</v>
      </c>
      <c r="AD5201" s="3">
        <v>40531</v>
      </c>
      <c r="AE5201" s="4">
        <v>0.90972222222222221</v>
      </c>
      <c r="AF5201" s="3">
        <v>40531</v>
      </c>
      <c r="AG5201" s="4">
        <v>0.90972222222222221</v>
      </c>
      <c r="AH5201" s="2">
        <v>4</v>
      </c>
      <c r="AI5201" s="2" t="s">
        <v>125</v>
      </c>
      <c r="AJ5201" s="2">
        <v>29</v>
      </c>
      <c r="AK5201" s="2" t="s">
        <v>227</v>
      </c>
      <c r="AL5201" s="2">
        <v>21</v>
      </c>
      <c r="AM5201" s="2" t="s">
        <v>1311</v>
      </c>
      <c r="AN5201" s="2" t="s">
        <v>15922</v>
      </c>
      <c r="AO5201" s="2"/>
      <c r="AP5201" s="2">
        <v>11</v>
      </c>
      <c r="AQ5201" s="2" t="s">
        <v>82</v>
      </c>
      <c r="AR5201" s="2"/>
      <c r="AS5201" s="2"/>
      <c r="AT5201" s="2" t="s">
        <v>15923</v>
      </c>
      <c r="AU5201" s="2"/>
      <c r="AV5201" s="2"/>
      <c r="AW5201" s="2"/>
      <c r="AX5201" s="2"/>
      <c r="AY5201" s="2">
        <v>41</v>
      </c>
      <c r="AZ5201" s="2" t="s">
        <v>82</v>
      </c>
      <c r="BA5201" s="2">
        <v>41</v>
      </c>
      <c r="BB5201" s="2" t="s">
        <v>82</v>
      </c>
      <c r="BC5201" s="2">
        <v>41</v>
      </c>
      <c r="BD5201" s="2" t="s">
        <v>82</v>
      </c>
      <c r="BE5201" s="2">
        <v>41</v>
      </c>
      <c r="BF5201" s="2" t="s">
        <v>82</v>
      </c>
      <c r="BG5201" s="2"/>
      <c r="BH5201" s="2"/>
      <c r="BI5201" s="2"/>
      <c r="BJ5201" s="2">
        <v>241</v>
      </c>
      <c r="BK5201" s="2" t="s">
        <v>82</v>
      </c>
      <c r="BL5201" s="2"/>
      <c r="BM5201" s="2">
        <v>241</v>
      </c>
      <c r="BN5201" s="2" t="s">
        <v>82</v>
      </c>
      <c r="BO5201" s="2"/>
      <c r="BP5201" s="2">
        <v>241</v>
      </c>
      <c r="BQ5201" s="2" t="s">
        <v>82</v>
      </c>
      <c r="BR5201" s="2"/>
      <c r="BS5201" s="3">
        <v>40532</v>
      </c>
      <c r="BT5201" s="4">
        <v>3.1412037037037037E-2</v>
      </c>
    </row>
    <row r="5202" spans="1:72" x14ac:dyDescent="0.25">
      <c r="A5202" s="2">
        <v>8081</v>
      </c>
      <c r="B5202" s="2">
        <v>2010</v>
      </c>
      <c r="C5202" s="2" t="s">
        <v>171</v>
      </c>
      <c r="D5202" s="2" t="s">
        <v>122</v>
      </c>
      <c r="E5202" s="2" t="s">
        <v>15924</v>
      </c>
      <c r="F5202" s="2">
        <v>393</v>
      </c>
      <c r="G5202" s="2" t="s">
        <v>3660</v>
      </c>
      <c r="H5202" s="2">
        <v>3</v>
      </c>
      <c r="I5202" s="2" t="s">
        <v>315</v>
      </c>
      <c r="J5202" s="2">
        <v>2</v>
      </c>
      <c r="K5202" s="2" t="s">
        <v>3661</v>
      </c>
      <c r="L5202" s="2" t="s">
        <v>3662</v>
      </c>
      <c r="M5202" s="3">
        <v>40532</v>
      </c>
      <c r="N5202" s="2" t="s">
        <v>10885</v>
      </c>
      <c r="O5202" s="2"/>
      <c r="P5202" s="2"/>
      <c r="Q5202" s="2" t="str">
        <f>"681-E/10"</f>
        <v>681-E/10</v>
      </c>
      <c r="R5202" s="2" t="s">
        <v>391</v>
      </c>
      <c r="S5202" s="2" t="s">
        <v>391</v>
      </c>
      <c r="T5202" s="2">
        <v>1</v>
      </c>
      <c r="U5202" s="2" t="s">
        <v>79</v>
      </c>
      <c r="V5202" s="2">
        <v>1</v>
      </c>
      <c r="W5202" s="2" t="s">
        <v>80</v>
      </c>
      <c r="X5202" s="2">
        <v>1</v>
      </c>
      <c r="Y5202" s="2" t="s">
        <v>81</v>
      </c>
      <c r="Z5202" s="2">
        <v>10</v>
      </c>
      <c r="AA5202" s="2" t="s">
        <v>236</v>
      </c>
      <c r="AB5202" s="2">
        <v>1</v>
      </c>
      <c r="AC5202" s="2" t="s">
        <v>178</v>
      </c>
      <c r="AD5202" s="3">
        <v>40530</v>
      </c>
      <c r="AE5202" s="4">
        <v>0.86805555555555547</v>
      </c>
      <c r="AF5202" s="3">
        <v>40530</v>
      </c>
      <c r="AG5202" s="4">
        <v>0.91666666666666663</v>
      </c>
      <c r="AH5202" s="2">
        <v>2</v>
      </c>
      <c r="AI5202" s="2" t="s">
        <v>84</v>
      </c>
      <c r="AJ5202" s="2">
        <v>9</v>
      </c>
      <c r="AK5202" s="2" t="s">
        <v>103</v>
      </c>
      <c r="AL5202" s="2">
        <v>13</v>
      </c>
      <c r="AM5202" s="2" t="s">
        <v>117</v>
      </c>
      <c r="AN5202" s="2"/>
      <c r="AO5202" s="2"/>
      <c r="AP5202" s="2">
        <v>11</v>
      </c>
      <c r="AQ5202" s="2" t="s">
        <v>82</v>
      </c>
      <c r="AR5202" s="2"/>
      <c r="AS5202" s="2"/>
      <c r="AT5202" s="2" t="s">
        <v>15925</v>
      </c>
      <c r="AU5202" s="2"/>
      <c r="AV5202" s="2">
        <v>2</v>
      </c>
      <c r="AW5202" s="2"/>
      <c r="AX5202" s="2"/>
      <c r="AY5202" s="2">
        <v>41</v>
      </c>
      <c r="AZ5202" s="2" t="s">
        <v>82</v>
      </c>
      <c r="BA5202" s="2">
        <v>41</v>
      </c>
      <c r="BB5202" s="2" t="s">
        <v>82</v>
      </c>
      <c r="BC5202" s="2">
        <v>41</v>
      </c>
      <c r="BD5202" s="2" t="s">
        <v>82</v>
      </c>
      <c r="BE5202" s="2">
        <v>13</v>
      </c>
      <c r="BF5202" s="2" t="s">
        <v>108</v>
      </c>
      <c r="BG5202" s="2">
        <v>1132</v>
      </c>
      <c r="BH5202" s="2"/>
      <c r="BI5202" s="4">
        <v>0.93055555555555547</v>
      </c>
      <c r="BJ5202" s="2">
        <v>13</v>
      </c>
      <c r="BK5202" s="2" t="s">
        <v>91</v>
      </c>
      <c r="BL5202" s="2" t="s">
        <v>360</v>
      </c>
      <c r="BM5202" s="2">
        <v>73</v>
      </c>
      <c r="BN5202" s="2" t="s">
        <v>186</v>
      </c>
      <c r="BO5202" s="2"/>
      <c r="BP5202" s="2">
        <v>73</v>
      </c>
      <c r="BQ5202" s="2" t="s">
        <v>186</v>
      </c>
      <c r="BR5202" s="2" t="s">
        <v>187</v>
      </c>
      <c r="BS5202" s="3">
        <v>40532</v>
      </c>
      <c r="BT5202" s="4">
        <v>9.780092592592593E-2</v>
      </c>
    </row>
    <row r="5203" spans="1:72" x14ac:dyDescent="0.25">
      <c r="A5203" s="2">
        <v>8082</v>
      </c>
      <c r="B5203" s="2">
        <v>2010</v>
      </c>
      <c r="C5203" s="2" t="s">
        <v>72</v>
      </c>
      <c r="D5203" s="2" t="s">
        <v>73</v>
      </c>
      <c r="E5203" s="2"/>
      <c r="F5203" s="2">
        <v>389</v>
      </c>
      <c r="G5203" s="2" t="s">
        <v>1819</v>
      </c>
      <c r="H5203" s="2">
        <v>2</v>
      </c>
      <c r="I5203" s="2" t="s">
        <v>267</v>
      </c>
      <c r="J5203" s="2">
        <v>399</v>
      </c>
      <c r="K5203" s="2" t="s">
        <v>1820</v>
      </c>
      <c r="L5203" s="2" t="s">
        <v>1821</v>
      </c>
      <c r="M5203" s="3">
        <v>40532</v>
      </c>
      <c r="N5203" s="2" t="s">
        <v>5653</v>
      </c>
      <c r="O5203" s="2"/>
      <c r="P5203" s="2"/>
      <c r="Q5203" s="2" t="str">
        <f>"683-E/10"</f>
        <v>683-E/10</v>
      </c>
      <c r="R5203" s="2" t="s">
        <v>601</v>
      </c>
      <c r="S5203" s="2" t="s">
        <v>601</v>
      </c>
      <c r="T5203" s="2">
        <v>1</v>
      </c>
      <c r="U5203" s="2" t="s">
        <v>79</v>
      </c>
      <c r="V5203" s="2">
        <v>1</v>
      </c>
      <c r="W5203" s="2" t="s">
        <v>80</v>
      </c>
      <c r="X5203" s="2">
        <v>12</v>
      </c>
      <c r="Y5203" s="2" t="s">
        <v>148</v>
      </c>
      <c r="Z5203" s="2">
        <v>1</v>
      </c>
      <c r="AA5203" s="2" t="s">
        <v>82</v>
      </c>
      <c r="AB5203" s="2">
        <v>6</v>
      </c>
      <c r="AC5203" s="2" t="s">
        <v>83</v>
      </c>
      <c r="AD5203" s="3">
        <v>40531</v>
      </c>
      <c r="AE5203" s="2"/>
      <c r="AF5203" s="3">
        <v>40531</v>
      </c>
      <c r="AG5203" s="4">
        <v>0.9375</v>
      </c>
      <c r="AH5203" s="2">
        <v>2</v>
      </c>
      <c r="AI5203" s="2" t="s">
        <v>84</v>
      </c>
      <c r="AJ5203" s="2">
        <v>9</v>
      </c>
      <c r="AK5203" s="2" t="s">
        <v>103</v>
      </c>
      <c r="AL5203" s="2">
        <v>22</v>
      </c>
      <c r="AM5203" s="2" t="s">
        <v>1853</v>
      </c>
      <c r="AN5203" s="2" t="s">
        <v>15926</v>
      </c>
      <c r="AO5203" s="2" t="s">
        <v>12115</v>
      </c>
      <c r="AP5203" s="2">
        <v>11</v>
      </c>
      <c r="AQ5203" s="2" t="s">
        <v>82</v>
      </c>
      <c r="AR5203" s="2"/>
      <c r="AS5203" s="2"/>
      <c r="AT5203" s="2" t="s">
        <v>15927</v>
      </c>
      <c r="AU5203" s="2"/>
      <c r="AV5203" s="2"/>
      <c r="AW5203" s="2"/>
      <c r="AX5203" s="2"/>
      <c r="AY5203" s="2">
        <v>41</v>
      </c>
      <c r="AZ5203" s="2" t="s">
        <v>82</v>
      </c>
      <c r="BA5203" s="2">
        <v>41</v>
      </c>
      <c r="BB5203" s="2" t="s">
        <v>82</v>
      </c>
      <c r="BC5203" s="2">
        <v>41</v>
      </c>
      <c r="BD5203" s="2" t="s">
        <v>82</v>
      </c>
      <c r="BE5203" s="2">
        <v>13</v>
      </c>
      <c r="BF5203" s="2" t="s">
        <v>108</v>
      </c>
      <c r="BG5203" s="2" t="s">
        <v>15928</v>
      </c>
      <c r="BH5203" s="4">
        <v>0.875</v>
      </c>
      <c r="BI5203" s="2"/>
      <c r="BJ5203" s="2">
        <v>75</v>
      </c>
      <c r="BK5203" s="2" t="s">
        <v>1264</v>
      </c>
      <c r="BL5203" s="2" t="s">
        <v>1361</v>
      </c>
      <c r="BM5203" s="2">
        <v>13</v>
      </c>
      <c r="BN5203" s="2" t="s">
        <v>91</v>
      </c>
      <c r="BO5203" s="2"/>
      <c r="BP5203" s="2">
        <v>13</v>
      </c>
      <c r="BQ5203" s="2" t="s">
        <v>91</v>
      </c>
      <c r="BR5203" s="2" t="s">
        <v>360</v>
      </c>
      <c r="BS5203" s="3">
        <v>40532</v>
      </c>
      <c r="BT5203" s="4">
        <v>0.16450231481481481</v>
      </c>
    </row>
    <row r="5204" spans="1:72" x14ac:dyDescent="0.25">
      <c r="A5204" s="2">
        <v>8087</v>
      </c>
      <c r="B5204" s="2">
        <v>2010</v>
      </c>
      <c r="C5204" s="2" t="s">
        <v>128</v>
      </c>
      <c r="D5204" s="2" t="s">
        <v>73</v>
      </c>
      <c r="E5204" s="2"/>
      <c r="F5204" s="2">
        <v>425</v>
      </c>
      <c r="G5204" s="2" t="s">
        <v>286</v>
      </c>
      <c r="H5204" s="2">
        <v>3</v>
      </c>
      <c r="I5204" s="2" t="s">
        <v>315</v>
      </c>
      <c r="J5204" s="2">
        <v>310</v>
      </c>
      <c r="K5204" s="2" t="s">
        <v>288</v>
      </c>
      <c r="L5204" s="2" t="s">
        <v>289</v>
      </c>
      <c r="M5204" s="3">
        <v>40532</v>
      </c>
      <c r="N5204" s="2" t="s">
        <v>1917</v>
      </c>
      <c r="O5204" s="2" t="s">
        <v>11437</v>
      </c>
      <c r="P5204" s="2" t="s">
        <v>15929</v>
      </c>
      <c r="Q5204" s="2" t="str">
        <f>"101"</f>
        <v>101</v>
      </c>
      <c r="R5204" s="2"/>
      <c r="S5204" s="2"/>
      <c r="T5204" s="2">
        <v>1</v>
      </c>
      <c r="U5204" s="2" t="s">
        <v>79</v>
      </c>
      <c r="V5204" s="2">
        <v>1</v>
      </c>
      <c r="W5204" s="2" t="s">
        <v>80</v>
      </c>
      <c r="X5204" s="2">
        <v>9</v>
      </c>
      <c r="Y5204" s="2" t="s">
        <v>3393</v>
      </c>
      <c r="Z5204" s="2">
        <v>1</v>
      </c>
      <c r="AA5204" s="2" t="s">
        <v>82</v>
      </c>
      <c r="AB5204" s="2">
        <v>9</v>
      </c>
      <c r="AC5204" s="2" t="s">
        <v>124</v>
      </c>
      <c r="AD5204" s="3">
        <v>40532</v>
      </c>
      <c r="AE5204" s="4">
        <v>0.3263888888888889</v>
      </c>
      <c r="AF5204" s="3">
        <v>40532</v>
      </c>
      <c r="AG5204" s="4">
        <v>0.3263888888888889</v>
      </c>
      <c r="AH5204" s="2">
        <v>4</v>
      </c>
      <c r="AI5204" s="2" t="s">
        <v>125</v>
      </c>
      <c r="AJ5204" s="2">
        <v>25</v>
      </c>
      <c r="AK5204" s="2" t="s">
        <v>125</v>
      </c>
      <c r="AL5204" s="2">
        <v>23</v>
      </c>
      <c r="AM5204" s="2" t="s">
        <v>251</v>
      </c>
      <c r="AN5204" s="2"/>
      <c r="AO5204" s="2" t="s">
        <v>15930</v>
      </c>
      <c r="AP5204" s="2">
        <v>11</v>
      </c>
      <c r="AQ5204" s="2" t="s">
        <v>82</v>
      </c>
      <c r="AR5204" s="2"/>
      <c r="AS5204" s="2"/>
      <c r="AT5204" s="2" t="s">
        <v>15931</v>
      </c>
      <c r="AU5204" s="2"/>
      <c r="AV5204" s="2">
        <v>1</v>
      </c>
      <c r="AW5204" s="2"/>
      <c r="AX5204" s="2"/>
      <c r="AY5204" s="2">
        <v>41</v>
      </c>
      <c r="AZ5204" s="2" t="s">
        <v>82</v>
      </c>
      <c r="BA5204" s="2">
        <v>41</v>
      </c>
      <c r="BB5204" s="2" t="s">
        <v>82</v>
      </c>
      <c r="BC5204" s="2">
        <v>41</v>
      </c>
      <c r="BD5204" s="2" t="s">
        <v>82</v>
      </c>
      <c r="BE5204" s="2">
        <v>41</v>
      </c>
      <c r="BF5204" s="2" t="s">
        <v>82</v>
      </c>
      <c r="BG5204" s="2"/>
      <c r="BH5204" s="2"/>
      <c r="BI5204" s="2"/>
      <c r="BJ5204" s="2">
        <v>241</v>
      </c>
      <c r="BK5204" s="2" t="s">
        <v>82</v>
      </c>
      <c r="BL5204" s="2"/>
      <c r="BM5204" s="2">
        <v>241</v>
      </c>
      <c r="BN5204" s="2" t="s">
        <v>82</v>
      </c>
      <c r="BO5204" s="2"/>
      <c r="BP5204" s="2">
        <v>241</v>
      </c>
      <c r="BQ5204" s="2" t="s">
        <v>82</v>
      </c>
      <c r="BR5204" s="2"/>
      <c r="BS5204" s="3">
        <v>40532</v>
      </c>
      <c r="BT5204" s="4">
        <v>0.44363425925925926</v>
      </c>
    </row>
    <row r="5205" spans="1:72" x14ac:dyDescent="0.25">
      <c r="A5205" s="2">
        <v>8089</v>
      </c>
      <c r="B5205" s="2">
        <v>2010</v>
      </c>
      <c r="C5205" s="2" t="s">
        <v>147</v>
      </c>
      <c r="D5205" s="2" t="s">
        <v>73</v>
      </c>
      <c r="E5205" s="2"/>
      <c r="F5205" s="2">
        <v>1</v>
      </c>
      <c r="G5205" s="2" t="s">
        <v>82</v>
      </c>
      <c r="H5205" s="2">
        <v>1</v>
      </c>
      <c r="I5205" s="2" t="s">
        <v>82</v>
      </c>
      <c r="J5205" s="2">
        <v>1</v>
      </c>
      <c r="K5205" s="2" t="s">
        <v>107</v>
      </c>
      <c r="L5205" s="2" t="s">
        <v>107</v>
      </c>
      <c r="M5205" s="3">
        <v>40532</v>
      </c>
      <c r="N5205" s="2"/>
      <c r="O5205" s="2"/>
      <c r="P5205" s="2"/>
      <c r="Q5205" s="2" t="str">
        <f>"EXTRAVIO Nº 45/10"</f>
        <v>EXTRAVIO Nº 45/10</v>
      </c>
      <c r="R5205" s="2"/>
      <c r="S5205" s="2"/>
      <c r="T5205" s="2">
        <v>2</v>
      </c>
      <c r="U5205" s="2" t="s">
        <v>123</v>
      </c>
      <c r="V5205" s="2">
        <v>1</v>
      </c>
      <c r="W5205" s="2" t="s">
        <v>80</v>
      </c>
      <c r="X5205" s="2">
        <v>12</v>
      </c>
      <c r="Y5205" s="2" t="s">
        <v>148</v>
      </c>
      <c r="Z5205" s="2">
        <v>1</v>
      </c>
      <c r="AA5205" s="2" t="s">
        <v>82</v>
      </c>
      <c r="AB5205" s="2">
        <v>9</v>
      </c>
      <c r="AC5205" s="2" t="s">
        <v>124</v>
      </c>
      <c r="AD5205" s="2"/>
      <c r="AE5205" s="2"/>
      <c r="AF5205" s="3">
        <v>40532</v>
      </c>
      <c r="AG5205" s="4">
        <v>0.42708333333333331</v>
      </c>
      <c r="AH5205" s="2">
        <v>2</v>
      </c>
      <c r="AI5205" s="2" t="s">
        <v>84</v>
      </c>
      <c r="AJ5205" s="2">
        <v>11</v>
      </c>
      <c r="AK5205" s="2" t="s">
        <v>751</v>
      </c>
      <c r="AL5205" s="2">
        <v>19</v>
      </c>
      <c r="AM5205" s="2" t="s">
        <v>107</v>
      </c>
      <c r="AN5205" s="2" t="s">
        <v>15932</v>
      </c>
      <c r="AO5205" s="2"/>
      <c r="AP5205" s="2">
        <v>11</v>
      </c>
      <c r="AQ5205" s="2" t="s">
        <v>82</v>
      </c>
      <c r="AR5205" s="2"/>
      <c r="AS5205" s="2"/>
      <c r="AT5205" s="2" t="s">
        <v>15933</v>
      </c>
      <c r="AU5205" s="2"/>
      <c r="AV5205" s="2"/>
      <c r="AW5205" s="2"/>
      <c r="AX5205" s="2"/>
      <c r="AY5205" s="2">
        <v>41</v>
      </c>
      <c r="AZ5205" s="2" t="s">
        <v>82</v>
      </c>
      <c r="BA5205" s="2">
        <v>41</v>
      </c>
      <c r="BB5205" s="2" t="s">
        <v>82</v>
      </c>
      <c r="BC5205" s="2">
        <v>41</v>
      </c>
      <c r="BD5205" s="2" t="s">
        <v>82</v>
      </c>
      <c r="BE5205" s="2">
        <v>41</v>
      </c>
      <c r="BF5205" s="2" t="s">
        <v>82</v>
      </c>
      <c r="BG5205" s="2"/>
      <c r="BH5205" s="2"/>
      <c r="BI5205" s="2"/>
      <c r="BJ5205" s="2">
        <v>241</v>
      </c>
      <c r="BK5205" s="2" t="s">
        <v>82</v>
      </c>
      <c r="BL5205" s="2"/>
      <c r="BM5205" s="2">
        <v>241</v>
      </c>
      <c r="BN5205" s="2" t="s">
        <v>82</v>
      </c>
      <c r="BO5205" s="2"/>
      <c r="BP5205" s="2">
        <v>241</v>
      </c>
      <c r="BQ5205" s="2" t="s">
        <v>82</v>
      </c>
      <c r="BR5205" s="2"/>
      <c r="BS5205" s="3">
        <v>40532</v>
      </c>
      <c r="BT5205" s="4">
        <v>0.46910879629629632</v>
      </c>
    </row>
    <row r="5206" spans="1:72" x14ac:dyDescent="0.25">
      <c r="A5206" s="2">
        <v>8090</v>
      </c>
      <c r="B5206" s="2">
        <v>2010</v>
      </c>
      <c r="C5206" s="2" t="s">
        <v>128</v>
      </c>
      <c r="D5206" s="2" t="s">
        <v>73</v>
      </c>
      <c r="E5206" s="2"/>
      <c r="F5206" s="2">
        <v>425</v>
      </c>
      <c r="G5206" s="2" t="s">
        <v>286</v>
      </c>
      <c r="H5206" s="2">
        <v>30</v>
      </c>
      <c r="I5206" s="2" t="s">
        <v>912</v>
      </c>
      <c r="J5206" s="2">
        <v>310</v>
      </c>
      <c r="K5206" s="2" t="s">
        <v>288</v>
      </c>
      <c r="L5206" s="2" t="s">
        <v>289</v>
      </c>
      <c r="M5206" s="3">
        <v>40532</v>
      </c>
      <c r="N5206" s="2" t="s">
        <v>1917</v>
      </c>
      <c r="O5206" s="2" t="s">
        <v>15934</v>
      </c>
      <c r="P5206" s="2" t="s">
        <v>11438</v>
      </c>
      <c r="Q5206" s="2" t="str">
        <f>"101"</f>
        <v>101</v>
      </c>
      <c r="R5206" s="2"/>
      <c r="S5206" s="2"/>
      <c r="T5206" s="2">
        <v>1</v>
      </c>
      <c r="U5206" s="2" t="s">
        <v>79</v>
      </c>
      <c r="V5206" s="2">
        <v>1</v>
      </c>
      <c r="W5206" s="2" t="s">
        <v>80</v>
      </c>
      <c r="X5206" s="2">
        <v>9</v>
      </c>
      <c r="Y5206" s="2" t="s">
        <v>3393</v>
      </c>
      <c r="Z5206" s="2">
        <v>1</v>
      </c>
      <c r="AA5206" s="2" t="s">
        <v>82</v>
      </c>
      <c r="AB5206" s="2">
        <v>9</v>
      </c>
      <c r="AC5206" s="2" t="s">
        <v>124</v>
      </c>
      <c r="AD5206" s="3">
        <v>40532</v>
      </c>
      <c r="AE5206" s="4">
        <v>0.27083333333333331</v>
      </c>
      <c r="AF5206" s="3">
        <v>40532</v>
      </c>
      <c r="AG5206" s="4">
        <v>0.27083333333333331</v>
      </c>
      <c r="AH5206" s="2">
        <v>4</v>
      </c>
      <c r="AI5206" s="2" t="s">
        <v>125</v>
      </c>
      <c r="AJ5206" s="2">
        <v>25</v>
      </c>
      <c r="AK5206" s="2" t="s">
        <v>125</v>
      </c>
      <c r="AL5206" s="2">
        <v>23</v>
      </c>
      <c r="AM5206" s="2" t="s">
        <v>251</v>
      </c>
      <c r="AN5206" s="2"/>
      <c r="AO5206" s="2" t="s">
        <v>15935</v>
      </c>
      <c r="AP5206" s="2">
        <v>11</v>
      </c>
      <c r="AQ5206" s="2" t="s">
        <v>82</v>
      </c>
      <c r="AR5206" s="2"/>
      <c r="AS5206" s="2"/>
      <c r="AT5206" s="2" t="s">
        <v>15936</v>
      </c>
      <c r="AU5206" s="2"/>
      <c r="AV5206" s="2">
        <v>1</v>
      </c>
      <c r="AW5206" s="2"/>
      <c r="AX5206" s="2"/>
      <c r="AY5206" s="2">
        <v>41</v>
      </c>
      <c r="AZ5206" s="2" t="s">
        <v>82</v>
      </c>
      <c r="BA5206" s="2">
        <v>41</v>
      </c>
      <c r="BB5206" s="2" t="s">
        <v>82</v>
      </c>
      <c r="BC5206" s="2">
        <v>41</v>
      </c>
      <c r="BD5206" s="2" t="s">
        <v>82</v>
      </c>
      <c r="BE5206" s="2">
        <v>41</v>
      </c>
      <c r="BF5206" s="2" t="s">
        <v>82</v>
      </c>
      <c r="BG5206" s="2"/>
      <c r="BH5206" s="2"/>
      <c r="BI5206" s="2"/>
      <c r="BJ5206" s="2">
        <v>241</v>
      </c>
      <c r="BK5206" s="2" t="s">
        <v>82</v>
      </c>
      <c r="BL5206" s="2"/>
      <c r="BM5206" s="2">
        <v>241</v>
      </c>
      <c r="BN5206" s="2" t="s">
        <v>82</v>
      </c>
      <c r="BO5206" s="2"/>
      <c r="BP5206" s="2">
        <v>241</v>
      </c>
      <c r="BQ5206" s="2" t="s">
        <v>82</v>
      </c>
      <c r="BR5206" s="2"/>
      <c r="BS5206" s="3">
        <v>40532</v>
      </c>
      <c r="BT5206" s="4">
        <v>0.471712962962963</v>
      </c>
    </row>
    <row r="5207" spans="1:72" x14ac:dyDescent="0.25">
      <c r="A5207" s="2">
        <v>8091</v>
      </c>
      <c r="B5207" s="2">
        <v>2010</v>
      </c>
      <c r="C5207" s="2" t="s">
        <v>93</v>
      </c>
      <c r="D5207" s="2" t="s">
        <v>73</v>
      </c>
      <c r="E5207" s="2"/>
      <c r="F5207" s="2">
        <v>11</v>
      </c>
      <c r="G5207" s="2" t="s">
        <v>2454</v>
      </c>
      <c r="H5207" s="2">
        <v>4</v>
      </c>
      <c r="I5207" s="2" t="s">
        <v>173</v>
      </c>
      <c r="J5207" s="2">
        <v>538</v>
      </c>
      <c r="K5207" s="2" t="s">
        <v>7264</v>
      </c>
      <c r="L5207" s="2" t="s">
        <v>7265</v>
      </c>
      <c r="M5207" s="3">
        <v>40532</v>
      </c>
      <c r="N5207" s="2" t="s">
        <v>2455</v>
      </c>
      <c r="O5207" s="2" t="s">
        <v>15937</v>
      </c>
      <c r="P5207" s="2" t="s">
        <v>15938</v>
      </c>
      <c r="Q5207" s="2" t="str">
        <f>"77-10"</f>
        <v>77-10</v>
      </c>
      <c r="R5207" s="2" t="s">
        <v>107</v>
      </c>
      <c r="S5207" s="2" t="s">
        <v>107</v>
      </c>
      <c r="T5207" s="2">
        <v>1</v>
      </c>
      <c r="U5207" s="2" t="s">
        <v>79</v>
      </c>
      <c r="V5207" s="2">
        <v>1</v>
      </c>
      <c r="W5207" s="2" t="s">
        <v>80</v>
      </c>
      <c r="X5207" s="2">
        <v>10</v>
      </c>
      <c r="Y5207" s="2" t="s">
        <v>226</v>
      </c>
      <c r="Z5207" s="2">
        <v>6</v>
      </c>
      <c r="AA5207" s="2" t="s">
        <v>101</v>
      </c>
      <c r="AB5207" s="2">
        <v>2</v>
      </c>
      <c r="AC5207" s="2" t="s">
        <v>102</v>
      </c>
      <c r="AD5207" s="3">
        <v>40532</v>
      </c>
      <c r="AE5207" s="4">
        <v>9.7222222222222224E-2</v>
      </c>
      <c r="AF5207" s="3">
        <v>40532</v>
      </c>
      <c r="AG5207" s="4">
        <v>0.20833333333333334</v>
      </c>
      <c r="AH5207" s="2">
        <v>3</v>
      </c>
      <c r="AI5207" s="2" t="s">
        <v>214</v>
      </c>
      <c r="AJ5207" s="2">
        <v>24</v>
      </c>
      <c r="AK5207" s="2" t="s">
        <v>215</v>
      </c>
      <c r="AL5207" s="2">
        <v>14</v>
      </c>
      <c r="AM5207" s="2" t="s">
        <v>216</v>
      </c>
      <c r="AN5207" s="2" t="s">
        <v>15939</v>
      </c>
      <c r="AO5207" s="2" t="s">
        <v>107</v>
      </c>
      <c r="AP5207" s="2">
        <v>11</v>
      </c>
      <c r="AQ5207" s="2" t="s">
        <v>82</v>
      </c>
      <c r="AR5207" s="2"/>
      <c r="AS5207" s="2"/>
      <c r="AT5207" s="2" t="s">
        <v>15940</v>
      </c>
      <c r="AU5207" s="2"/>
      <c r="AV5207" s="2"/>
      <c r="AW5207" s="2"/>
      <c r="AX5207" s="2"/>
      <c r="AY5207" s="2">
        <v>41</v>
      </c>
      <c r="AZ5207" s="2" t="s">
        <v>82</v>
      </c>
      <c r="BA5207" s="2">
        <v>41</v>
      </c>
      <c r="BB5207" s="2" t="s">
        <v>82</v>
      </c>
      <c r="BC5207" s="2">
        <v>41</v>
      </c>
      <c r="BD5207" s="2" t="s">
        <v>82</v>
      </c>
      <c r="BE5207" s="2">
        <v>25</v>
      </c>
      <c r="BF5207" s="2" t="s">
        <v>358</v>
      </c>
      <c r="BG5207" s="2">
        <v>7464</v>
      </c>
      <c r="BH5207" s="4">
        <v>0.21527777777777779</v>
      </c>
      <c r="BI5207" s="4">
        <v>7.6388888888888895E-2</v>
      </c>
      <c r="BJ5207" s="2">
        <v>33</v>
      </c>
      <c r="BK5207" s="2" t="s">
        <v>361</v>
      </c>
      <c r="BL5207" s="2" t="s">
        <v>15941</v>
      </c>
      <c r="BM5207" s="2">
        <v>13</v>
      </c>
      <c r="BN5207" s="2" t="s">
        <v>91</v>
      </c>
      <c r="BO5207" s="2"/>
      <c r="BP5207" s="2">
        <v>13</v>
      </c>
      <c r="BQ5207" s="2" t="s">
        <v>91</v>
      </c>
      <c r="BR5207" s="2" t="s">
        <v>169</v>
      </c>
      <c r="BS5207" s="3">
        <v>40532</v>
      </c>
      <c r="BT5207" s="4">
        <v>0.48282407407407407</v>
      </c>
    </row>
    <row r="5208" spans="1:72" x14ac:dyDescent="0.25">
      <c r="A5208" s="2">
        <v>8092</v>
      </c>
      <c r="B5208" s="2">
        <v>2010</v>
      </c>
      <c r="C5208" s="2" t="s">
        <v>121</v>
      </c>
      <c r="D5208" s="2" t="s">
        <v>122</v>
      </c>
      <c r="E5208" s="2"/>
      <c r="F5208" s="2">
        <v>1</v>
      </c>
      <c r="G5208" s="2" t="s">
        <v>82</v>
      </c>
      <c r="H5208" s="2">
        <v>1</v>
      </c>
      <c r="I5208" s="2" t="s">
        <v>82</v>
      </c>
      <c r="J5208" s="2">
        <v>1</v>
      </c>
      <c r="K5208" s="2" t="s">
        <v>107</v>
      </c>
      <c r="L5208" s="2" t="s">
        <v>107</v>
      </c>
      <c r="M5208" s="3">
        <v>40532</v>
      </c>
      <c r="N5208" s="2"/>
      <c r="O5208" s="2"/>
      <c r="P5208" s="2"/>
      <c r="Q5208" s="2" t="str">
        <f>""</f>
        <v/>
      </c>
      <c r="R5208" s="2"/>
      <c r="S5208" s="2"/>
      <c r="T5208" s="2">
        <v>2</v>
      </c>
      <c r="U5208" s="2" t="s">
        <v>123</v>
      </c>
      <c r="V5208" s="2">
        <v>1</v>
      </c>
      <c r="W5208" s="2" t="s">
        <v>80</v>
      </c>
      <c r="X5208" s="2">
        <v>11</v>
      </c>
      <c r="Y5208" s="2" t="s">
        <v>1920</v>
      </c>
      <c r="Z5208" s="2">
        <v>1</v>
      </c>
      <c r="AA5208" s="2" t="s">
        <v>82</v>
      </c>
      <c r="AB5208" s="2">
        <v>9</v>
      </c>
      <c r="AC5208" s="2" t="s">
        <v>124</v>
      </c>
      <c r="AD5208" s="3">
        <v>40532</v>
      </c>
      <c r="AE5208" s="4">
        <v>0.4861111111111111</v>
      </c>
      <c r="AF5208" s="3">
        <v>40532</v>
      </c>
      <c r="AG5208" s="2"/>
      <c r="AH5208" s="2">
        <v>4</v>
      </c>
      <c r="AI5208" s="2" t="s">
        <v>125</v>
      </c>
      <c r="AJ5208" s="2">
        <v>28</v>
      </c>
      <c r="AK5208" s="2" t="s">
        <v>741</v>
      </c>
      <c r="AL5208" s="2">
        <v>10</v>
      </c>
      <c r="AM5208" s="2" t="s">
        <v>200</v>
      </c>
      <c r="AN5208" s="2" t="s">
        <v>15942</v>
      </c>
      <c r="AO5208" s="2" t="s">
        <v>200</v>
      </c>
      <c r="AP5208" s="2">
        <v>11</v>
      </c>
      <c r="AQ5208" s="2" t="s">
        <v>82</v>
      </c>
      <c r="AR5208" s="2"/>
      <c r="AS5208" s="2"/>
      <c r="AT5208" s="2" t="s">
        <v>15943</v>
      </c>
      <c r="AU5208" s="2"/>
      <c r="AV5208" s="2"/>
      <c r="AW5208" s="2"/>
      <c r="AX5208" s="2"/>
      <c r="AY5208" s="2">
        <v>41</v>
      </c>
      <c r="AZ5208" s="2" t="s">
        <v>82</v>
      </c>
      <c r="BA5208" s="2">
        <v>41</v>
      </c>
      <c r="BB5208" s="2" t="s">
        <v>82</v>
      </c>
      <c r="BC5208" s="2">
        <v>41</v>
      </c>
      <c r="BD5208" s="2" t="s">
        <v>82</v>
      </c>
      <c r="BE5208" s="2">
        <v>42</v>
      </c>
      <c r="BF5208" s="2" t="s">
        <v>182</v>
      </c>
      <c r="BG5208" s="2" t="s">
        <v>6921</v>
      </c>
      <c r="BH5208" s="4">
        <v>0.4861111111111111</v>
      </c>
      <c r="BI5208" s="2"/>
      <c r="BJ5208" s="2">
        <v>13</v>
      </c>
      <c r="BK5208" s="2" t="s">
        <v>91</v>
      </c>
      <c r="BL5208" s="2" t="s">
        <v>185</v>
      </c>
      <c r="BM5208" s="2">
        <v>13</v>
      </c>
      <c r="BN5208" s="2" t="s">
        <v>91</v>
      </c>
      <c r="BO5208" s="2"/>
      <c r="BP5208" s="2">
        <v>13</v>
      </c>
      <c r="BQ5208" s="2" t="s">
        <v>91</v>
      </c>
      <c r="BR5208" s="2" t="s">
        <v>744</v>
      </c>
      <c r="BS5208" s="3">
        <v>40532</v>
      </c>
      <c r="BT5208" s="4">
        <v>0.51347222222222222</v>
      </c>
    </row>
    <row r="5209" spans="1:72" x14ac:dyDescent="0.25">
      <c r="A5209" s="2">
        <v>8093</v>
      </c>
      <c r="B5209" s="2">
        <v>2010</v>
      </c>
      <c r="C5209" s="2" t="s">
        <v>128</v>
      </c>
      <c r="D5209" s="2" t="s">
        <v>73</v>
      </c>
      <c r="E5209" s="2"/>
      <c r="F5209" s="2">
        <v>425</v>
      </c>
      <c r="G5209" s="2" t="s">
        <v>286</v>
      </c>
      <c r="H5209" s="2">
        <v>39</v>
      </c>
      <c r="I5209" s="2" t="s">
        <v>1117</v>
      </c>
      <c r="J5209" s="2">
        <v>310</v>
      </c>
      <c r="K5209" s="2" t="s">
        <v>288</v>
      </c>
      <c r="L5209" s="2" t="s">
        <v>289</v>
      </c>
      <c r="M5209" s="3">
        <v>40532</v>
      </c>
      <c r="N5209" s="2" t="s">
        <v>1882</v>
      </c>
      <c r="O5209" s="2" t="s">
        <v>11437</v>
      </c>
      <c r="P5209" s="2" t="s">
        <v>11438</v>
      </c>
      <c r="Q5209" s="2" t="str">
        <f>"101"</f>
        <v>101</v>
      </c>
      <c r="R5209" s="2"/>
      <c r="S5209" s="2"/>
      <c r="T5209" s="2">
        <v>1</v>
      </c>
      <c r="U5209" s="2" t="s">
        <v>79</v>
      </c>
      <c r="V5209" s="2">
        <v>1</v>
      </c>
      <c r="W5209" s="2" t="s">
        <v>80</v>
      </c>
      <c r="X5209" s="2">
        <v>9</v>
      </c>
      <c r="Y5209" s="2" t="s">
        <v>3393</v>
      </c>
      <c r="Z5209" s="2">
        <v>1</v>
      </c>
      <c r="AA5209" s="2" t="s">
        <v>82</v>
      </c>
      <c r="AB5209" s="2">
        <v>9</v>
      </c>
      <c r="AC5209" s="2" t="s">
        <v>124</v>
      </c>
      <c r="AD5209" s="3">
        <v>40532</v>
      </c>
      <c r="AE5209" s="4">
        <v>0.3125</v>
      </c>
      <c r="AF5209" s="3">
        <v>40532</v>
      </c>
      <c r="AG5209" s="4">
        <v>0.3125</v>
      </c>
      <c r="AH5209" s="2">
        <v>4</v>
      </c>
      <c r="AI5209" s="2" t="s">
        <v>125</v>
      </c>
      <c r="AJ5209" s="2">
        <v>25</v>
      </c>
      <c r="AK5209" s="2" t="s">
        <v>125</v>
      </c>
      <c r="AL5209" s="2">
        <v>23</v>
      </c>
      <c r="AM5209" s="2" t="s">
        <v>251</v>
      </c>
      <c r="AN5209" s="2"/>
      <c r="AO5209" s="2" t="s">
        <v>15944</v>
      </c>
      <c r="AP5209" s="2">
        <v>11</v>
      </c>
      <c r="AQ5209" s="2" t="s">
        <v>82</v>
      </c>
      <c r="AR5209" s="2"/>
      <c r="AS5209" s="2"/>
      <c r="AT5209" s="2" t="s">
        <v>15945</v>
      </c>
      <c r="AU5209" s="2"/>
      <c r="AV5209" s="2">
        <v>1</v>
      </c>
      <c r="AW5209" s="2"/>
      <c r="AX5209" s="2"/>
      <c r="AY5209" s="2">
        <v>41</v>
      </c>
      <c r="AZ5209" s="2" t="s">
        <v>82</v>
      </c>
      <c r="BA5209" s="2">
        <v>41</v>
      </c>
      <c r="BB5209" s="2" t="s">
        <v>82</v>
      </c>
      <c r="BC5209" s="2">
        <v>41</v>
      </c>
      <c r="BD5209" s="2" t="s">
        <v>82</v>
      </c>
      <c r="BE5209" s="2">
        <v>41</v>
      </c>
      <c r="BF5209" s="2" t="s">
        <v>82</v>
      </c>
      <c r="BG5209" s="2"/>
      <c r="BH5209" s="2"/>
      <c r="BI5209" s="2"/>
      <c r="BJ5209" s="2">
        <v>241</v>
      </c>
      <c r="BK5209" s="2" t="s">
        <v>82</v>
      </c>
      <c r="BL5209" s="2"/>
      <c r="BM5209" s="2">
        <v>241</v>
      </c>
      <c r="BN5209" s="2" t="s">
        <v>82</v>
      </c>
      <c r="BO5209" s="2"/>
      <c r="BP5209" s="2">
        <v>241</v>
      </c>
      <c r="BQ5209" s="2" t="s">
        <v>82</v>
      </c>
      <c r="BR5209" s="2"/>
      <c r="BS5209" s="3">
        <v>40532</v>
      </c>
      <c r="BT5209" s="4">
        <v>0.51869212962962963</v>
      </c>
    </row>
    <row r="5210" spans="1:72" x14ac:dyDescent="0.25">
      <c r="A5210" s="2">
        <v>8094</v>
      </c>
      <c r="B5210" s="2">
        <v>2010</v>
      </c>
      <c r="C5210" s="2" t="s">
        <v>128</v>
      </c>
      <c r="D5210" s="2" t="s">
        <v>73</v>
      </c>
      <c r="E5210" s="2"/>
      <c r="F5210" s="2">
        <v>425</v>
      </c>
      <c r="G5210" s="2" t="s">
        <v>286</v>
      </c>
      <c r="H5210" s="2">
        <v>39</v>
      </c>
      <c r="I5210" s="2" t="s">
        <v>1117</v>
      </c>
      <c r="J5210" s="2">
        <v>310</v>
      </c>
      <c r="K5210" s="2" t="s">
        <v>288</v>
      </c>
      <c r="L5210" s="2" t="s">
        <v>289</v>
      </c>
      <c r="M5210" s="3">
        <v>40532</v>
      </c>
      <c r="N5210" s="2" t="s">
        <v>1882</v>
      </c>
      <c r="O5210" s="2" t="s">
        <v>11437</v>
      </c>
      <c r="P5210" s="2" t="s">
        <v>11438</v>
      </c>
      <c r="Q5210" s="2" t="str">
        <f>"101"</f>
        <v>101</v>
      </c>
      <c r="R5210" s="2"/>
      <c r="S5210" s="2"/>
      <c r="T5210" s="2">
        <v>1</v>
      </c>
      <c r="U5210" s="2" t="s">
        <v>79</v>
      </c>
      <c r="V5210" s="2">
        <v>1</v>
      </c>
      <c r="W5210" s="2" t="s">
        <v>80</v>
      </c>
      <c r="X5210" s="2">
        <v>9</v>
      </c>
      <c r="Y5210" s="2" t="s">
        <v>3393</v>
      </c>
      <c r="Z5210" s="2">
        <v>1</v>
      </c>
      <c r="AA5210" s="2" t="s">
        <v>82</v>
      </c>
      <c r="AB5210" s="2">
        <v>9</v>
      </c>
      <c r="AC5210" s="2" t="s">
        <v>124</v>
      </c>
      <c r="AD5210" s="3">
        <v>40532</v>
      </c>
      <c r="AE5210" s="4">
        <v>0.3263888888888889</v>
      </c>
      <c r="AF5210" s="3">
        <v>40532</v>
      </c>
      <c r="AG5210" s="4">
        <v>0.3263888888888889</v>
      </c>
      <c r="AH5210" s="2">
        <v>4</v>
      </c>
      <c r="AI5210" s="2" t="s">
        <v>125</v>
      </c>
      <c r="AJ5210" s="2">
        <v>25</v>
      </c>
      <c r="AK5210" s="2" t="s">
        <v>125</v>
      </c>
      <c r="AL5210" s="2">
        <v>23</v>
      </c>
      <c r="AM5210" s="2" t="s">
        <v>251</v>
      </c>
      <c r="AN5210" s="2"/>
      <c r="AO5210" s="2" t="s">
        <v>15946</v>
      </c>
      <c r="AP5210" s="2">
        <v>11</v>
      </c>
      <c r="AQ5210" s="2" t="s">
        <v>82</v>
      </c>
      <c r="AR5210" s="2"/>
      <c r="AS5210" s="2"/>
      <c r="AT5210" s="2" t="s">
        <v>15947</v>
      </c>
      <c r="AU5210" s="2"/>
      <c r="AV5210" s="2">
        <v>1</v>
      </c>
      <c r="AW5210" s="2"/>
      <c r="AX5210" s="2"/>
      <c r="AY5210" s="2">
        <v>41</v>
      </c>
      <c r="AZ5210" s="2" t="s">
        <v>82</v>
      </c>
      <c r="BA5210" s="2">
        <v>41</v>
      </c>
      <c r="BB5210" s="2" t="s">
        <v>82</v>
      </c>
      <c r="BC5210" s="2">
        <v>41</v>
      </c>
      <c r="BD5210" s="2" t="s">
        <v>82</v>
      </c>
      <c r="BE5210" s="2">
        <v>41</v>
      </c>
      <c r="BF5210" s="2" t="s">
        <v>82</v>
      </c>
      <c r="BG5210" s="2"/>
      <c r="BH5210" s="2"/>
      <c r="BI5210" s="2"/>
      <c r="BJ5210" s="2">
        <v>241</v>
      </c>
      <c r="BK5210" s="2" t="s">
        <v>82</v>
      </c>
      <c r="BL5210" s="2"/>
      <c r="BM5210" s="2">
        <v>241</v>
      </c>
      <c r="BN5210" s="2" t="s">
        <v>82</v>
      </c>
      <c r="BO5210" s="2"/>
      <c r="BP5210" s="2">
        <v>241</v>
      </c>
      <c r="BQ5210" s="2" t="s">
        <v>82</v>
      </c>
      <c r="BR5210" s="2"/>
      <c r="BS5210" s="3">
        <v>40532</v>
      </c>
      <c r="BT5210" s="4">
        <v>0.53335648148148151</v>
      </c>
    </row>
    <row r="5211" spans="1:72" x14ac:dyDescent="0.25">
      <c r="A5211" s="2">
        <v>8095</v>
      </c>
      <c r="B5211" s="2">
        <v>2010</v>
      </c>
      <c r="C5211" s="2" t="s">
        <v>147</v>
      </c>
      <c r="D5211" s="2" t="s">
        <v>73</v>
      </c>
      <c r="E5211" s="2"/>
      <c r="F5211" s="2">
        <v>1</v>
      </c>
      <c r="G5211" s="2" t="s">
        <v>82</v>
      </c>
      <c r="H5211" s="2">
        <v>1</v>
      </c>
      <c r="I5211" s="2" t="s">
        <v>82</v>
      </c>
      <c r="J5211" s="2">
        <v>1</v>
      </c>
      <c r="K5211" s="2" t="s">
        <v>107</v>
      </c>
      <c r="L5211" s="2" t="s">
        <v>107</v>
      </c>
      <c r="M5211" s="3">
        <v>40532</v>
      </c>
      <c r="N5211" s="2"/>
      <c r="O5211" s="2"/>
      <c r="P5211" s="2"/>
      <c r="Q5211" s="2" t="str">
        <f>"AP 0016/2010"</f>
        <v>AP 0016/2010</v>
      </c>
      <c r="R5211" s="2"/>
      <c r="S5211" s="2"/>
      <c r="T5211" s="2">
        <v>2</v>
      </c>
      <c r="U5211" s="2" t="s">
        <v>123</v>
      </c>
      <c r="V5211" s="2">
        <v>1</v>
      </c>
      <c r="W5211" s="2" t="s">
        <v>80</v>
      </c>
      <c r="X5211" s="2">
        <v>12</v>
      </c>
      <c r="Y5211" s="2" t="s">
        <v>148</v>
      </c>
      <c r="Z5211" s="2">
        <v>1</v>
      </c>
      <c r="AA5211" s="2" t="s">
        <v>82</v>
      </c>
      <c r="AB5211" s="2">
        <v>9</v>
      </c>
      <c r="AC5211" s="2" t="s">
        <v>124</v>
      </c>
      <c r="AD5211" s="3">
        <v>40531</v>
      </c>
      <c r="AE5211" s="2"/>
      <c r="AF5211" s="3">
        <v>40532</v>
      </c>
      <c r="AG5211" s="4">
        <v>0.35416666666666669</v>
      </c>
      <c r="AH5211" s="2">
        <v>5</v>
      </c>
      <c r="AI5211" s="2" t="s">
        <v>274</v>
      </c>
      <c r="AJ5211" s="2">
        <v>44</v>
      </c>
      <c r="AK5211" s="2" t="s">
        <v>667</v>
      </c>
      <c r="AL5211" s="2">
        <v>23</v>
      </c>
      <c r="AM5211" s="2" t="s">
        <v>251</v>
      </c>
      <c r="AN5211" s="2"/>
      <c r="AO5211" s="2" t="s">
        <v>5154</v>
      </c>
      <c r="AP5211" s="2">
        <v>11</v>
      </c>
      <c r="AQ5211" s="2" t="s">
        <v>82</v>
      </c>
      <c r="AR5211" s="2"/>
      <c r="AS5211" s="2"/>
      <c r="AT5211" s="2" t="s">
        <v>15948</v>
      </c>
      <c r="AU5211" s="2"/>
      <c r="AV5211" s="2"/>
      <c r="AW5211" s="2"/>
      <c r="AX5211" s="2"/>
      <c r="AY5211" s="2">
        <v>41</v>
      </c>
      <c r="AZ5211" s="2" t="s">
        <v>82</v>
      </c>
      <c r="BA5211" s="2">
        <v>41</v>
      </c>
      <c r="BB5211" s="2" t="s">
        <v>82</v>
      </c>
      <c r="BC5211" s="2">
        <v>41</v>
      </c>
      <c r="BD5211" s="2" t="s">
        <v>82</v>
      </c>
      <c r="BE5211" s="2">
        <v>41</v>
      </c>
      <c r="BF5211" s="2" t="s">
        <v>82</v>
      </c>
      <c r="BG5211" s="2"/>
      <c r="BH5211" s="2"/>
      <c r="BI5211" s="2"/>
      <c r="BJ5211" s="2">
        <v>241</v>
      </c>
      <c r="BK5211" s="2" t="s">
        <v>82</v>
      </c>
      <c r="BL5211" s="2"/>
      <c r="BM5211" s="2">
        <v>241</v>
      </c>
      <c r="BN5211" s="2" t="s">
        <v>82</v>
      </c>
      <c r="BO5211" s="2"/>
      <c r="BP5211" s="2">
        <v>241</v>
      </c>
      <c r="BQ5211" s="2" t="s">
        <v>82</v>
      </c>
      <c r="BR5211" s="2"/>
      <c r="BS5211" s="3">
        <v>40532</v>
      </c>
      <c r="BT5211" s="4">
        <v>0.55842592592592599</v>
      </c>
    </row>
    <row r="5212" spans="1:72" x14ac:dyDescent="0.25">
      <c r="A5212" s="2">
        <v>8096</v>
      </c>
      <c r="B5212" s="2">
        <v>2010</v>
      </c>
      <c r="C5212" s="2" t="s">
        <v>128</v>
      </c>
      <c r="D5212" s="2" t="s">
        <v>73</v>
      </c>
      <c r="E5212" s="2"/>
      <c r="F5212" s="2">
        <v>425</v>
      </c>
      <c r="G5212" s="2" t="s">
        <v>286</v>
      </c>
      <c r="H5212" s="2">
        <v>39</v>
      </c>
      <c r="I5212" s="2" t="s">
        <v>1117</v>
      </c>
      <c r="J5212" s="2">
        <v>310</v>
      </c>
      <c r="K5212" s="2" t="s">
        <v>288</v>
      </c>
      <c r="L5212" s="2" t="s">
        <v>289</v>
      </c>
      <c r="M5212" s="3">
        <v>40532</v>
      </c>
      <c r="N5212" s="2" t="s">
        <v>1882</v>
      </c>
      <c r="O5212" s="2" t="s">
        <v>11437</v>
      </c>
      <c r="P5212" s="2" t="s">
        <v>11438</v>
      </c>
      <c r="Q5212" s="2" t="str">
        <f>"101"</f>
        <v>101</v>
      </c>
      <c r="R5212" s="2"/>
      <c r="S5212" s="2"/>
      <c r="T5212" s="2">
        <v>1</v>
      </c>
      <c r="U5212" s="2" t="s">
        <v>79</v>
      </c>
      <c r="V5212" s="2">
        <v>1</v>
      </c>
      <c r="W5212" s="2" t="s">
        <v>80</v>
      </c>
      <c r="X5212" s="2">
        <v>9</v>
      </c>
      <c r="Y5212" s="2" t="s">
        <v>3393</v>
      </c>
      <c r="Z5212" s="2">
        <v>1</v>
      </c>
      <c r="AA5212" s="2" t="s">
        <v>82</v>
      </c>
      <c r="AB5212" s="2">
        <v>9</v>
      </c>
      <c r="AC5212" s="2" t="s">
        <v>124</v>
      </c>
      <c r="AD5212" s="3">
        <v>40532</v>
      </c>
      <c r="AE5212" s="4">
        <v>0.3125</v>
      </c>
      <c r="AF5212" s="3">
        <v>40532</v>
      </c>
      <c r="AG5212" s="4">
        <v>0.3125</v>
      </c>
      <c r="AH5212" s="2">
        <v>4</v>
      </c>
      <c r="AI5212" s="2" t="s">
        <v>125</v>
      </c>
      <c r="AJ5212" s="2">
        <v>25</v>
      </c>
      <c r="AK5212" s="2" t="s">
        <v>125</v>
      </c>
      <c r="AL5212" s="2">
        <v>23</v>
      </c>
      <c r="AM5212" s="2" t="s">
        <v>251</v>
      </c>
      <c r="AN5212" s="2"/>
      <c r="AO5212" s="2" t="s">
        <v>15949</v>
      </c>
      <c r="AP5212" s="2">
        <v>11</v>
      </c>
      <c r="AQ5212" s="2" t="s">
        <v>82</v>
      </c>
      <c r="AR5212" s="2"/>
      <c r="AS5212" s="2"/>
      <c r="AT5212" s="2" t="s">
        <v>15950</v>
      </c>
      <c r="AU5212" s="2"/>
      <c r="AV5212" s="2">
        <v>1</v>
      </c>
      <c r="AW5212" s="2"/>
      <c r="AX5212" s="2"/>
      <c r="AY5212" s="2">
        <v>41</v>
      </c>
      <c r="AZ5212" s="2" t="s">
        <v>82</v>
      </c>
      <c r="BA5212" s="2">
        <v>41</v>
      </c>
      <c r="BB5212" s="2" t="s">
        <v>82</v>
      </c>
      <c r="BC5212" s="2">
        <v>41</v>
      </c>
      <c r="BD5212" s="2" t="s">
        <v>82</v>
      </c>
      <c r="BE5212" s="2">
        <v>41</v>
      </c>
      <c r="BF5212" s="2" t="s">
        <v>82</v>
      </c>
      <c r="BG5212" s="2"/>
      <c r="BH5212" s="2"/>
      <c r="BI5212" s="2"/>
      <c r="BJ5212" s="2">
        <v>241</v>
      </c>
      <c r="BK5212" s="2" t="s">
        <v>82</v>
      </c>
      <c r="BL5212" s="2"/>
      <c r="BM5212" s="2">
        <v>241</v>
      </c>
      <c r="BN5212" s="2" t="s">
        <v>82</v>
      </c>
      <c r="BO5212" s="2"/>
      <c r="BP5212" s="2">
        <v>241</v>
      </c>
      <c r="BQ5212" s="2" t="s">
        <v>82</v>
      </c>
      <c r="BR5212" s="2"/>
      <c r="BS5212" s="3">
        <v>40532</v>
      </c>
      <c r="BT5212" s="4">
        <v>0.55847222222222215</v>
      </c>
    </row>
    <row r="5213" spans="1:72" x14ac:dyDescent="0.25">
      <c r="A5213" s="2">
        <v>8097</v>
      </c>
      <c r="B5213" s="2">
        <v>2010</v>
      </c>
      <c r="C5213" s="2" t="s">
        <v>806</v>
      </c>
      <c r="D5213" s="2" t="s">
        <v>73</v>
      </c>
      <c r="E5213" s="2"/>
      <c r="F5213" s="2">
        <v>153</v>
      </c>
      <c r="G5213" s="2" t="s">
        <v>9047</v>
      </c>
      <c r="H5213" s="2">
        <v>7</v>
      </c>
      <c r="I5213" s="2" t="s">
        <v>476</v>
      </c>
      <c r="J5213" s="2">
        <v>165</v>
      </c>
      <c r="K5213" s="2" t="s">
        <v>8586</v>
      </c>
      <c r="L5213" s="2" t="s">
        <v>8587</v>
      </c>
      <c r="M5213" s="3">
        <v>40532</v>
      </c>
      <c r="N5213" s="2" t="s">
        <v>15951</v>
      </c>
      <c r="O5213" s="2" t="s">
        <v>15952</v>
      </c>
      <c r="P5213" s="2" t="s">
        <v>15953</v>
      </c>
      <c r="Q5213" s="2" t="str">
        <f>"S/D"</f>
        <v>S/D</v>
      </c>
      <c r="R5213" s="2" t="s">
        <v>107</v>
      </c>
      <c r="S5213" s="2" t="s">
        <v>107</v>
      </c>
      <c r="T5213" s="2">
        <v>1</v>
      </c>
      <c r="U5213" s="2" t="s">
        <v>79</v>
      </c>
      <c r="V5213" s="2">
        <v>1</v>
      </c>
      <c r="W5213" s="2" t="s">
        <v>80</v>
      </c>
      <c r="X5213" s="2">
        <v>7</v>
      </c>
      <c r="Y5213" s="2" t="s">
        <v>1964</v>
      </c>
      <c r="Z5213" s="2">
        <v>1</v>
      </c>
      <c r="AA5213" s="2" t="s">
        <v>82</v>
      </c>
      <c r="AB5213" s="2">
        <v>9</v>
      </c>
      <c r="AC5213" s="2" t="s">
        <v>124</v>
      </c>
      <c r="AD5213" s="3">
        <v>40529</v>
      </c>
      <c r="AE5213" s="4">
        <v>0.5</v>
      </c>
      <c r="AF5213" s="3">
        <v>40529</v>
      </c>
      <c r="AG5213" s="4">
        <v>0.5</v>
      </c>
      <c r="AH5213" s="2">
        <v>7</v>
      </c>
      <c r="AI5213" s="2" t="s">
        <v>801</v>
      </c>
      <c r="AJ5213" s="2">
        <v>3</v>
      </c>
      <c r="AK5213" s="2" t="s">
        <v>802</v>
      </c>
      <c r="AL5213" s="2">
        <v>14</v>
      </c>
      <c r="AM5213" s="2" t="s">
        <v>216</v>
      </c>
      <c r="AN5213" s="2" t="s">
        <v>107</v>
      </c>
      <c r="AO5213" s="2" t="s">
        <v>15954</v>
      </c>
      <c r="AP5213" s="2">
        <v>11</v>
      </c>
      <c r="AQ5213" s="2" t="s">
        <v>82</v>
      </c>
      <c r="AR5213" s="2" t="s">
        <v>107</v>
      </c>
      <c r="AS5213" s="2" t="s">
        <v>107</v>
      </c>
      <c r="AT5213" s="2" t="s">
        <v>15955</v>
      </c>
      <c r="AU5213" s="2">
        <v>1</v>
      </c>
      <c r="AV5213" s="2"/>
      <c r="AW5213" s="2"/>
      <c r="AX5213" s="2"/>
      <c r="AY5213" s="2">
        <v>41</v>
      </c>
      <c r="AZ5213" s="2" t="s">
        <v>82</v>
      </c>
      <c r="BA5213" s="2">
        <v>41</v>
      </c>
      <c r="BB5213" s="2" t="s">
        <v>82</v>
      </c>
      <c r="BC5213" s="2">
        <v>41</v>
      </c>
      <c r="BD5213" s="2" t="s">
        <v>82</v>
      </c>
      <c r="BE5213" s="2">
        <v>11</v>
      </c>
      <c r="BF5213" s="2" t="s">
        <v>2404</v>
      </c>
      <c r="BG5213" s="2">
        <v>847</v>
      </c>
      <c r="BH5213" s="4">
        <v>0.45833333333333331</v>
      </c>
      <c r="BI5213" s="2"/>
      <c r="BJ5213" s="2">
        <v>75</v>
      </c>
      <c r="BK5213" s="2" t="s">
        <v>1264</v>
      </c>
      <c r="BL5213" s="2" t="s">
        <v>107</v>
      </c>
      <c r="BM5213" s="2">
        <v>241</v>
      </c>
      <c r="BN5213" s="2" t="s">
        <v>82</v>
      </c>
      <c r="BO5213" s="2"/>
      <c r="BP5213" s="2">
        <v>241</v>
      </c>
      <c r="BQ5213" s="2" t="s">
        <v>82</v>
      </c>
      <c r="BR5213" s="2" t="s">
        <v>185</v>
      </c>
      <c r="BS5213" s="3">
        <v>40532</v>
      </c>
      <c r="BT5213" s="4">
        <v>0.56817129629629626</v>
      </c>
    </row>
    <row r="5214" spans="1:72" x14ac:dyDescent="0.25">
      <c r="A5214" s="2">
        <v>8098</v>
      </c>
      <c r="B5214" s="2">
        <v>2010</v>
      </c>
      <c r="C5214" s="2" t="s">
        <v>128</v>
      </c>
      <c r="D5214" s="2" t="s">
        <v>73</v>
      </c>
      <c r="E5214" s="2"/>
      <c r="F5214" s="2">
        <v>425</v>
      </c>
      <c r="G5214" s="2" t="s">
        <v>286</v>
      </c>
      <c r="H5214" s="2">
        <v>30</v>
      </c>
      <c r="I5214" s="2" t="s">
        <v>912</v>
      </c>
      <c r="J5214" s="2">
        <v>310</v>
      </c>
      <c r="K5214" s="2" t="s">
        <v>288</v>
      </c>
      <c r="L5214" s="2" t="s">
        <v>289</v>
      </c>
      <c r="M5214" s="3">
        <v>40532</v>
      </c>
      <c r="N5214" s="2" t="s">
        <v>1882</v>
      </c>
      <c r="O5214" s="2" t="s">
        <v>11437</v>
      </c>
      <c r="P5214" s="2" t="s">
        <v>11438</v>
      </c>
      <c r="Q5214" s="2" t="str">
        <f>"101"</f>
        <v>101</v>
      </c>
      <c r="R5214" s="2"/>
      <c r="S5214" s="2"/>
      <c r="T5214" s="2">
        <v>1</v>
      </c>
      <c r="U5214" s="2" t="s">
        <v>79</v>
      </c>
      <c r="V5214" s="2">
        <v>1</v>
      </c>
      <c r="W5214" s="2" t="s">
        <v>80</v>
      </c>
      <c r="X5214" s="2">
        <v>8</v>
      </c>
      <c r="Y5214" s="2" t="s">
        <v>375</v>
      </c>
      <c r="Z5214" s="2">
        <v>1</v>
      </c>
      <c r="AA5214" s="2" t="s">
        <v>82</v>
      </c>
      <c r="AB5214" s="2">
        <v>9</v>
      </c>
      <c r="AC5214" s="2" t="s">
        <v>124</v>
      </c>
      <c r="AD5214" s="3">
        <v>40532</v>
      </c>
      <c r="AE5214" s="4">
        <v>0.39583333333333331</v>
      </c>
      <c r="AF5214" s="3">
        <v>40532</v>
      </c>
      <c r="AG5214" s="4">
        <v>0.39583333333333331</v>
      </c>
      <c r="AH5214" s="2">
        <v>4</v>
      </c>
      <c r="AI5214" s="2" t="s">
        <v>125</v>
      </c>
      <c r="AJ5214" s="2">
        <v>25</v>
      </c>
      <c r="AK5214" s="2" t="s">
        <v>125</v>
      </c>
      <c r="AL5214" s="2">
        <v>23</v>
      </c>
      <c r="AM5214" s="2" t="s">
        <v>251</v>
      </c>
      <c r="AN5214" s="2"/>
      <c r="AO5214" s="2" t="s">
        <v>15956</v>
      </c>
      <c r="AP5214" s="2">
        <v>11</v>
      </c>
      <c r="AQ5214" s="2" t="s">
        <v>82</v>
      </c>
      <c r="AR5214" s="2"/>
      <c r="AS5214" s="2"/>
      <c r="AT5214" s="2" t="s">
        <v>15957</v>
      </c>
      <c r="AU5214" s="2"/>
      <c r="AV5214" s="2"/>
      <c r="AW5214" s="2"/>
      <c r="AX5214" s="2"/>
      <c r="AY5214" s="2">
        <v>41</v>
      </c>
      <c r="AZ5214" s="2" t="s">
        <v>82</v>
      </c>
      <c r="BA5214" s="2">
        <v>41</v>
      </c>
      <c r="BB5214" s="2" t="s">
        <v>82</v>
      </c>
      <c r="BC5214" s="2">
        <v>41</v>
      </c>
      <c r="BD5214" s="2" t="s">
        <v>82</v>
      </c>
      <c r="BE5214" s="2">
        <v>41</v>
      </c>
      <c r="BF5214" s="2" t="s">
        <v>82</v>
      </c>
      <c r="BG5214" s="2"/>
      <c r="BH5214" s="2"/>
      <c r="BI5214" s="2"/>
      <c r="BJ5214" s="2">
        <v>241</v>
      </c>
      <c r="BK5214" s="2" t="s">
        <v>82</v>
      </c>
      <c r="BL5214" s="2"/>
      <c r="BM5214" s="2">
        <v>241</v>
      </c>
      <c r="BN5214" s="2" t="s">
        <v>82</v>
      </c>
      <c r="BO5214" s="2"/>
      <c r="BP5214" s="2">
        <v>241</v>
      </c>
      <c r="BQ5214" s="2" t="s">
        <v>82</v>
      </c>
      <c r="BR5214" s="2"/>
      <c r="BS5214" s="3">
        <v>40532</v>
      </c>
      <c r="BT5214" s="4">
        <v>0.58071759259259259</v>
      </c>
    </row>
    <row r="5215" spans="1:72" x14ac:dyDescent="0.25">
      <c r="A5215" s="2">
        <v>8100</v>
      </c>
      <c r="B5215" s="2">
        <v>2010</v>
      </c>
      <c r="C5215" s="2" t="s">
        <v>1559</v>
      </c>
      <c r="D5215" s="2" t="s">
        <v>73</v>
      </c>
      <c r="E5215" s="2"/>
      <c r="F5215" s="2">
        <v>125</v>
      </c>
      <c r="G5215" s="2" t="s">
        <v>1483</v>
      </c>
      <c r="H5215" s="2">
        <v>47</v>
      </c>
      <c r="I5215" s="2" t="s">
        <v>1409</v>
      </c>
      <c r="J5215" s="2">
        <v>139</v>
      </c>
      <c r="K5215" s="2" t="s">
        <v>1485</v>
      </c>
      <c r="L5215" s="2" t="s">
        <v>1486</v>
      </c>
      <c r="M5215" s="3">
        <v>40532</v>
      </c>
      <c r="N5215" s="2" t="s">
        <v>15958</v>
      </c>
      <c r="O5215" s="2" t="s">
        <v>15959</v>
      </c>
      <c r="P5215" s="2" t="s">
        <v>15960</v>
      </c>
      <c r="Q5215" s="2" t="str">
        <f>""</f>
        <v/>
      </c>
      <c r="R5215" s="2"/>
      <c r="S5215" s="2"/>
      <c r="T5215" s="2">
        <v>1</v>
      </c>
      <c r="U5215" s="2" t="s">
        <v>79</v>
      </c>
      <c r="V5215" s="2">
        <v>3</v>
      </c>
      <c r="W5215" s="2" t="s">
        <v>225</v>
      </c>
      <c r="X5215" s="2">
        <v>6</v>
      </c>
      <c r="Y5215" s="2" t="s">
        <v>249</v>
      </c>
      <c r="Z5215" s="2">
        <v>1</v>
      </c>
      <c r="AA5215" s="2" t="s">
        <v>82</v>
      </c>
      <c r="AB5215" s="2">
        <v>9</v>
      </c>
      <c r="AC5215" s="2" t="s">
        <v>124</v>
      </c>
      <c r="AD5215" s="3">
        <v>40532</v>
      </c>
      <c r="AE5215" s="4">
        <v>0.56805555555555554</v>
      </c>
      <c r="AF5215" s="3">
        <v>40528</v>
      </c>
      <c r="AG5215" s="4">
        <v>0.46875</v>
      </c>
      <c r="AH5215" s="2">
        <v>6</v>
      </c>
      <c r="AI5215" s="2" t="s">
        <v>197</v>
      </c>
      <c r="AJ5215" s="2">
        <v>47</v>
      </c>
      <c r="AK5215" s="2" t="s">
        <v>250</v>
      </c>
      <c r="AL5215" s="2">
        <v>23</v>
      </c>
      <c r="AM5215" s="2" t="s">
        <v>251</v>
      </c>
      <c r="AN5215" s="2"/>
      <c r="AO5215" s="2" t="s">
        <v>11855</v>
      </c>
      <c r="AP5215" s="2">
        <v>11</v>
      </c>
      <c r="AQ5215" s="2" t="s">
        <v>82</v>
      </c>
      <c r="AR5215" s="2"/>
      <c r="AS5215" s="2"/>
      <c r="AT5215" s="2" t="s">
        <v>15961</v>
      </c>
      <c r="AU5215" s="2"/>
      <c r="AV5215" s="2"/>
      <c r="AW5215" s="2"/>
      <c r="AX5215" s="2"/>
      <c r="AY5215" s="2">
        <v>41</v>
      </c>
      <c r="AZ5215" s="2" t="s">
        <v>82</v>
      </c>
      <c r="BA5215" s="2">
        <v>41</v>
      </c>
      <c r="BB5215" s="2" t="s">
        <v>82</v>
      </c>
      <c r="BC5215" s="2">
        <v>41</v>
      </c>
      <c r="BD5215" s="2" t="s">
        <v>82</v>
      </c>
      <c r="BE5215" s="2">
        <v>41</v>
      </c>
      <c r="BF5215" s="2" t="s">
        <v>82</v>
      </c>
      <c r="BG5215" s="2"/>
      <c r="BH5215" s="2"/>
      <c r="BI5215" s="2"/>
      <c r="BJ5215" s="2">
        <v>241</v>
      </c>
      <c r="BK5215" s="2" t="s">
        <v>82</v>
      </c>
      <c r="BL5215" s="2"/>
      <c r="BM5215" s="2">
        <v>241</v>
      </c>
      <c r="BN5215" s="2" t="s">
        <v>82</v>
      </c>
      <c r="BO5215" s="2"/>
      <c r="BP5215" s="2">
        <v>241</v>
      </c>
      <c r="BQ5215" s="2" t="s">
        <v>82</v>
      </c>
      <c r="BR5215" s="2"/>
      <c r="BS5215" s="3">
        <v>40532</v>
      </c>
      <c r="BT5215" s="4">
        <v>0.59790509259259261</v>
      </c>
    </row>
    <row r="5216" spans="1:72" x14ac:dyDescent="0.25">
      <c r="A5216" s="2">
        <v>8101</v>
      </c>
      <c r="B5216" s="2">
        <v>2010</v>
      </c>
      <c r="C5216" s="2" t="s">
        <v>171</v>
      </c>
      <c r="D5216" s="2" t="s">
        <v>73</v>
      </c>
      <c r="E5216" s="2"/>
      <c r="F5216" s="2">
        <v>396</v>
      </c>
      <c r="G5216" s="2" t="s">
        <v>2159</v>
      </c>
      <c r="H5216" s="2">
        <v>9</v>
      </c>
      <c r="I5216" s="2" t="s">
        <v>794</v>
      </c>
      <c r="J5216" s="2">
        <v>243</v>
      </c>
      <c r="K5216" s="2" t="s">
        <v>2160</v>
      </c>
      <c r="L5216" s="2" t="s">
        <v>2145</v>
      </c>
      <c r="M5216" s="3">
        <v>40532</v>
      </c>
      <c r="N5216" s="2" t="s">
        <v>12844</v>
      </c>
      <c r="O5216" s="2" t="s">
        <v>15962</v>
      </c>
      <c r="P5216" s="2">
        <v>13146</v>
      </c>
      <c r="Q5216" s="2" t="str">
        <f>"0535E/10"</f>
        <v>0535E/10</v>
      </c>
      <c r="R5216" s="2" t="s">
        <v>391</v>
      </c>
      <c r="S5216" s="2" t="s">
        <v>391</v>
      </c>
      <c r="T5216" s="2">
        <v>1</v>
      </c>
      <c r="U5216" s="2" t="s">
        <v>79</v>
      </c>
      <c r="V5216" s="2">
        <v>3</v>
      </c>
      <c r="W5216" s="2" t="s">
        <v>225</v>
      </c>
      <c r="X5216" s="2">
        <v>6</v>
      </c>
      <c r="Y5216" s="2" t="s">
        <v>249</v>
      </c>
      <c r="Z5216" s="2">
        <v>1</v>
      </c>
      <c r="AA5216" s="2" t="s">
        <v>82</v>
      </c>
      <c r="AB5216" s="2">
        <v>9</v>
      </c>
      <c r="AC5216" s="2" t="s">
        <v>124</v>
      </c>
      <c r="AD5216" s="3">
        <v>40532</v>
      </c>
      <c r="AE5216" s="2"/>
      <c r="AF5216" s="3">
        <v>40532</v>
      </c>
      <c r="AG5216" s="2"/>
      <c r="AH5216" s="2">
        <v>2</v>
      </c>
      <c r="AI5216" s="2" t="s">
        <v>84</v>
      </c>
      <c r="AJ5216" s="2">
        <v>6</v>
      </c>
      <c r="AK5216" s="2" t="s">
        <v>453</v>
      </c>
      <c r="AL5216" s="2">
        <v>23</v>
      </c>
      <c r="AM5216" s="2" t="s">
        <v>251</v>
      </c>
      <c r="AN5216" s="2"/>
      <c r="AO5216" s="2" t="s">
        <v>15963</v>
      </c>
      <c r="AP5216" s="2">
        <v>11</v>
      </c>
      <c r="AQ5216" s="2" t="s">
        <v>82</v>
      </c>
      <c r="AR5216" s="2"/>
      <c r="AS5216" s="2"/>
      <c r="AT5216" s="2" t="s">
        <v>15964</v>
      </c>
      <c r="AU5216" s="2"/>
      <c r="AV5216" s="2"/>
      <c r="AW5216" s="2"/>
      <c r="AX5216" s="2"/>
      <c r="AY5216" s="2">
        <v>41</v>
      </c>
      <c r="AZ5216" s="2" t="s">
        <v>82</v>
      </c>
      <c r="BA5216" s="2">
        <v>41</v>
      </c>
      <c r="BB5216" s="2" t="s">
        <v>82</v>
      </c>
      <c r="BC5216" s="2">
        <v>41</v>
      </c>
      <c r="BD5216" s="2" t="s">
        <v>82</v>
      </c>
      <c r="BE5216" s="2">
        <v>41</v>
      </c>
      <c r="BF5216" s="2" t="s">
        <v>82</v>
      </c>
      <c r="BG5216" s="2"/>
      <c r="BH5216" s="2"/>
      <c r="BI5216" s="2"/>
      <c r="BJ5216" s="2">
        <v>241</v>
      </c>
      <c r="BK5216" s="2" t="s">
        <v>82</v>
      </c>
      <c r="BL5216" s="2"/>
      <c r="BM5216" s="2">
        <v>241</v>
      </c>
      <c r="BN5216" s="2" t="s">
        <v>82</v>
      </c>
      <c r="BO5216" s="2"/>
      <c r="BP5216" s="2">
        <v>241</v>
      </c>
      <c r="BQ5216" s="2" t="s">
        <v>82</v>
      </c>
      <c r="BR5216" s="2"/>
      <c r="BS5216" s="3">
        <v>40532</v>
      </c>
      <c r="BT5216" s="4">
        <v>0.65587962962962965</v>
      </c>
    </row>
    <row r="5217" spans="1:72" x14ac:dyDescent="0.25">
      <c r="A5217" s="2">
        <v>8103</v>
      </c>
      <c r="B5217" s="2">
        <v>2010</v>
      </c>
      <c r="C5217" s="2" t="s">
        <v>147</v>
      </c>
      <c r="D5217" s="2" t="s">
        <v>73</v>
      </c>
      <c r="E5217" s="2"/>
      <c r="F5217" s="2">
        <v>1</v>
      </c>
      <c r="G5217" s="2" t="s">
        <v>82</v>
      </c>
      <c r="H5217" s="2">
        <v>1</v>
      </c>
      <c r="I5217" s="2" t="s">
        <v>82</v>
      </c>
      <c r="J5217" s="2">
        <v>1</v>
      </c>
      <c r="K5217" s="2" t="s">
        <v>107</v>
      </c>
      <c r="L5217" s="2" t="s">
        <v>107</v>
      </c>
      <c r="M5217" s="3">
        <v>40532</v>
      </c>
      <c r="N5217" s="2"/>
      <c r="O5217" s="2"/>
      <c r="P5217" s="2"/>
      <c r="Q5217" s="2" t="str">
        <f>"EXTRAVIO Nº 046/10"</f>
        <v>EXTRAVIO Nº 046/10</v>
      </c>
      <c r="R5217" s="2"/>
      <c r="S5217" s="2"/>
      <c r="T5217" s="2">
        <v>2</v>
      </c>
      <c r="U5217" s="2" t="s">
        <v>123</v>
      </c>
      <c r="V5217" s="2">
        <v>1</v>
      </c>
      <c r="W5217" s="2" t="s">
        <v>80</v>
      </c>
      <c r="X5217" s="2">
        <v>12</v>
      </c>
      <c r="Y5217" s="2" t="s">
        <v>148</v>
      </c>
      <c r="Z5217" s="2">
        <v>1</v>
      </c>
      <c r="AA5217" s="2" t="s">
        <v>82</v>
      </c>
      <c r="AB5217" s="2">
        <v>9</v>
      </c>
      <c r="AC5217" s="2" t="s">
        <v>124</v>
      </c>
      <c r="AD5217" s="2"/>
      <c r="AE5217" s="2"/>
      <c r="AF5217" s="3">
        <v>40532</v>
      </c>
      <c r="AG5217" s="4">
        <v>0.64583333333333337</v>
      </c>
      <c r="AH5217" s="2">
        <v>2</v>
      </c>
      <c r="AI5217" s="2" t="s">
        <v>84</v>
      </c>
      <c r="AJ5217" s="2">
        <v>11</v>
      </c>
      <c r="AK5217" s="2" t="s">
        <v>751</v>
      </c>
      <c r="AL5217" s="2">
        <v>19</v>
      </c>
      <c r="AM5217" s="2" t="s">
        <v>107</v>
      </c>
      <c r="AN5217" s="2" t="s">
        <v>15932</v>
      </c>
      <c r="AO5217" s="2"/>
      <c r="AP5217" s="2">
        <v>11</v>
      </c>
      <c r="AQ5217" s="2" t="s">
        <v>82</v>
      </c>
      <c r="AR5217" s="2"/>
      <c r="AS5217" s="2"/>
      <c r="AT5217" s="2" t="s">
        <v>15965</v>
      </c>
      <c r="AU5217" s="2"/>
      <c r="AV5217" s="2"/>
      <c r="AW5217" s="2"/>
      <c r="AX5217" s="2"/>
      <c r="AY5217" s="2">
        <v>41</v>
      </c>
      <c r="AZ5217" s="2" t="s">
        <v>82</v>
      </c>
      <c r="BA5217" s="2">
        <v>41</v>
      </c>
      <c r="BB5217" s="2" t="s">
        <v>82</v>
      </c>
      <c r="BC5217" s="2">
        <v>41</v>
      </c>
      <c r="BD5217" s="2" t="s">
        <v>82</v>
      </c>
      <c r="BE5217" s="2">
        <v>41</v>
      </c>
      <c r="BF5217" s="2" t="s">
        <v>82</v>
      </c>
      <c r="BG5217" s="2"/>
      <c r="BH5217" s="2"/>
      <c r="BI5217" s="2"/>
      <c r="BJ5217" s="2">
        <v>241</v>
      </c>
      <c r="BK5217" s="2" t="s">
        <v>82</v>
      </c>
      <c r="BL5217" s="2"/>
      <c r="BM5217" s="2">
        <v>241</v>
      </c>
      <c r="BN5217" s="2" t="s">
        <v>82</v>
      </c>
      <c r="BO5217" s="2"/>
      <c r="BP5217" s="2">
        <v>241</v>
      </c>
      <c r="BQ5217" s="2" t="s">
        <v>82</v>
      </c>
      <c r="BR5217" s="2"/>
      <c r="BS5217" s="3">
        <v>40532</v>
      </c>
      <c r="BT5217" s="4">
        <v>0.69050925925925932</v>
      </c>
    </row>
    <row r="5218" spans="1:72" x14ac:dyDescent="0.25">
      <c r="A5218" s="2">
        <v>8104</v>
      </c>
      <c r="B5218" s="2">
        <v>2010</v>
      </c>
      <c r="C5218" s="2" t="s">
        <v>121</v>
      </c>
      <c r="D5218" s="2" t="s">
        <v>122</v>
      </c>
      <c r="E5218" s="2" t="s">
        <v>15966</v>
      </c>
      <c r="F5218" s="2">
        <v>1</v>
      </c>
      <c r="G5218" s="2" t="s">
        <v>82</v>
      </c>
      <c r="H5218" s="2">
        <v>1</v>
      </c>
      <c r="I5218" s="2" t="s">
        <v>82</v>
      </c>
      <c r="J5218" s="2">
        <v>1</v>
      </c>
      <c r="K5218" s="2" t="s">
        <v>107</v>
      </c>
      <c r="L5218" s="2" t="s">
        <v>107</v>
      </c>
      <c r="M5218" s="3">
        <v>40532</v>
      </c>
      <c r="N5218" s="2"/>
      <c r="O5218" s="2"/>
      <c r="P5218" s="2"/>
      <c r="Q5218" s="2" t="str">
        <f>""</f>
        <v/>
      </c>
      <c r="R5218" s="2"/>
      <c r="S5218" s="2"/>
      <c r="T5218" s="2">
        <v>2</v>
      </c>
      <c r="U5218" s="2" t="s">
        <v>123</v>
      </c>
      <c r="V5218" s="2">
        <v>1</v>
      </c>
      <c r="W5218" s="2" t="s">
        <v>80</v>
      </c>
      <c r="X5218" s="2">
        <v>11</v>
      </c>
      <c r="Y5218" s="2" t="s">
        <v>1920</v>
      </c>
      <c r="Z5218" s="2">
        <v>1</v>
      </c>
      <c r="AA5218" s="2" t="s">
        <v>82</v>
      </c>
      <c r="AB5218" s="2">
        <v>9</v>
      </c>
      <c r="AC5218" s="2" t="s">
        <v>124</v>
      </c>
      <c r="AD5218" s="3">
        <v>40532</v>
      </c>
      <c r="AE5218" s="4">
        <v>0.66666666666666663</v>
      </c>
      <c r="AF5218" s="3">
        <v>40532</v>
      </c>
      <c r="AG5218" s="2"/>
      <c r="AH5218" s="2">
        <v>4</v>
      </c>
      <c r="AI5218" s="2" t="s">
        <v>125</v>
      </c>
      <c r="AJ5218" s="2">
        <v>28</v>
      </c>
      <c r="AK5218" s="2" t="s">
        <v>741</v>
      </c>
      <c r="AL5218" s="2">
        <v>10</v>
      </c>
      <c r="AM5218" s="2" t="s">
        <v>200</v>
      </c>
      <c r="AN5218" s="2" t="s">
        <v>15942</v>
      </c>
      <c r="AO5218" s="2" t="s">
        <v>200</v>
      </c>
      <c r="AP5218" s="2">
        <v>11</v>
      </c>
      <c r="AQ5218" s="2" t="s">
        <v>82</v>
      </c>
      <c r="AR5218" s="2"/>
      <c r="AS5218" s="2"/>
      <c r="AT5218" s="2" t="s">
        <v>15967</v>
      </c>
      <c r="AU5218" s="2"/>
      <c r="AV5218" s="2"/>
      <c r="AW5218" s="2"/>
      <c r="AX5218" s="2"/>
      <c r="AY5218" s="2">
        <v>41</v>
      </c>
      <c r="AZ5218" s="2" t="s">
        <v>82</v>
      </c>
      <c r="BA5218" s="2">
        <v>41</v>
      </c>
      <c r="BB5218" s="2" t="s">
        <v>82</v>
      </c>
      <c r="BC5218" s="2">
        <v>41</v>
      </c>
      <c r="BD5218" s="2" t="s">
        <v>82</v>
      </c>
      <c r="BE5218" s="2">
        <v>42</v>
      </c>
      <c r="BF5218" s="2" t="s">
        <v>182</v>
      </c>
      <c r="BG5218" s="2" t="s">
        <v>6921</v>
      </c>
      <c r="BH5218" s="4">
        <v>0.4861111111111111</v>
      </c>
      <c r="BI5218" s="4">
        <v>0.66666666666666663</v>
      </c>
      <c r="BJ5218" s="2">
        <v>13</v>
      </c>
      <c r="BK5218" s="2" t="s">
        <v>91</v>
      </c>
      <c r="BL5218" s="2" t="s">
        <v>744</v>
      </c>
      <c r="BM5218" s="2">
        <v>13</v>
      </c>
      <c r="BN5218" s="2" t="s">
        <v>91</v>
      </c>
      <c r="BO5218" s="2"/>
      <c r="BP5218" s="2">
        <v>13</v>
      </c>
      <c r="BQ5218" s="2" t="s">
        <v>91</v>
      </c>
      <c r="BR5218" s="2" t="s">
        <v>185</v>
      </c>
      <c r="BS5218" s="3">
        <v>40532</v>
      </c>
      <c r="BT5218" s="4">
        <v>0.69738425925925929</v>
      </c>
    </row>
    <row r="5219" spans="1:72" x14ac:dyDescent="0.25">
      <c r="A5219" s="2">
        <v>8105</v>
      </c>
      <c r="B5219" s="2">
        <v>2010</v>
      </c>
      <c r="C5219" s="2" t="s">
        <v>121</v>
      </c>
      <c r="D5219" s="2" t="s">
        <v>122</v>
      </c>
      <c r="E5219" s="2"/>
      <c r="F5219" s="2">
        <v>1</v>
      </c>
      <c r="G5219" s="2" t="s">
        <v>82</v>
      </c>
      <c r="H5219" s="2">
        <v>1</v>
      </c>
      <c r="I5219" s="2" t="s">
        <v>82</v>
      </c>
      <c r="J5219" s="2">
        <v>1</v>
      </c>
      <c r="K5219" s="2" t="s">
        <v>107</v>
      </c>
      <c r="L5219" s="2" t="s">
        <v>107</v>
      </c>
      <c r="M5219" s="3">
        <v>40532</v>
      </c>
      <c r="N5219" s="2" t="s">
        <v>82</v>
      </c>
      <c r="O5219" s="2" t="s">
        <v>82</v>
      </c>
      <c r="P5219" s="2" t="s">
        <v>82</v>
      </c>
      <c r="Q5219" s="2" t="str">
        <f>"N/C"</f>
        <v>N/C</v>
      </c>
      <c r="R5219" s="2" t="s">
        <v>82</v>
      </c>
      <c r="S5219" s="2" t="s">
        <v>82</v>
      </c>
      <c r="T5219" s="2">
        <v>2</v>
      </c>
      <c r="U5219" s="2" t="s">
        <v>123</v>
      </c>
      <c r="V5219" s="2">
        <v>1</v>
      </c>
      <c r="W5219" s="2" t="s">
        <v>80</v>
      </c>
      <c r="X5219" s="2">
        <v>1</v>
      </c>
      <c r="Y5219" s="2" t="s">
        <v>81</v>
      </c>
      <c r="Z5219" s="2">
        <v>1</v>
      </c>
      <c r="AA5219" s="2" t="s">
        <v>82</v>
      </c>
      <c r="AB5219" s="2">
        <v>9</v>
      </c>
      <c r="AC5219" s="2" t="s">
        <v>124</v>
      </c>
      <c r="AD5219" s="3">
        <v>40532</v>
      </c>
      <c r="AE5219" s="4">
        <v>0.66666666666666663</v>
      </c>
      <c r="AF5219" s="3">
        <v>40532</v>
      </c>
      <c r="AG5219" s="4">
        <v>0.66666666666666663</v>
      </c>
      <c r="AH5219" s="2">
        <v>6</v>
      </c>
      <c r="AI5219" s="2" t="s">
        <v>197</v>
      </c>
      <c r="AJ5219" s="2">
        <v>61</v>
      </c>
      <c r="AK5219" s="2" t="s">
        <v>686</v>
      </c>
      <c r="AL5219" s="2">
        <v>10</v>
      </c>
      <c r="AM5219" s="2" t="s">
        <v>200</v>
      </c>
      <c r="AN5219" s="2" t="s">
        <v>82</v>
      </c>
      <c r="AO5219" s="2" t="s">
        <v>15968</v>
      </c>
      <c r="AP5219" s="2">
        <v>11</v>
      </c>
      <c r="AQ5219" s="2" t="s">
        <v>82</v>
      </c>
      <c r="AR5219" s="2" t="s">
        <v>82</v>
      </c>
      <c r="AS5219" s="2" t="s">
        <v>82</v>
      </c>
      <c r="AT5219" s="2" t="s">
        <v>15969</v>
      </c>
      <c r="AU5219" s="2"/>
      <c r="AV5219" s="2"/>
      <c r="AW5219" s="2"/>
      <c r="AX5219" s="2"/>
      <c r="AY5219" s="2">
        <v>41</v>
      </c>
      <c r="AZ5219" s="2" t="s">
        <v>82</v>
      </c>
      <c r="BA5219" s="2">
        <v>41</v>
      </c>
      <c r="BB5219" s="2" t="s">
        <v>82</v>
      </c>
      <c r="BC5219" s="2">
        <v>41</v>
      </c>
      <c r="BD5219" s="2" t="s">
        <v>82</v>
      </c>
      <c r="BE5219" s="2">
        <v>1</v>
      </c>
      <c r="BF5219" s="2" t="s">
        <v>107</v>
      </c>
      <c r="BG5219" s="2" t="s">
        <v>3200</v>
      </c>
      <c r="BH5219" s="4">
        <v>0.66666666666666663</v>
      </c>
      <c r="BI5219" s="2"/>
      <c r="BJ5219" s="2">
        <v>13</v>
      </c>
      <c r="BK5219" s="2" t="s">
        <v>91</v>
      </c>
      <c r="BL5219" s="2" t="s">
        <v>492</v>
      </c>
      <c r="BM5219" s="2">
        <v>13</v>
      </c>
      <c r="BN5219" s="2" t="s">
        <v>91</v>
      </c>
      <c r="BO5219" s="2"/>
      <c r="BP5219" s="2">
        <v>13</v>
      </c>
      <c r="BQ5219" s="2" t="s">
        <v>91</v>
      </c>
      <c r="BR5219" s="2" t="s">
        <v>690</v>
      </c>
      <c r="BS5219" s="3">
        <v>40532</v>
      </c>
      <c r="BT5219" s="4">
        <v>0.70486111111111116</v>
      </c>
    </row>
    <row r="5220" spans="1:72" x14ac:dyDescent="0.25">
      <c r="A5220" s="2">
        <v>8106</v>
      </c>
      <c r="B5220" s="2">
        <v>2010</v>
      </c>
      <c r="C5220" s="2" t="s">
        <v>121</v>
      </c>
      <c r="D5220" s="2" t="s">
        <v>122</v>
      </c>
      <c r="E5220" s="2"/>
      <c r="F5220" s="2">
        <v>1</v>
      </c>
      <c r="G5220" s="2" t="s">
        <v>82</v>
      </c>
      <c r="H5220" s="2">
        <v>1</v>
      </c>
      <c r="I5220" s="2" t="s">
        <v>82</v>
      </c>
      <c r="J5220" s="2">
        <v>1</v>
      </c>
      <c r="K5220" s="2" t="s">
        <v>107</v>
      </c>
      <c r="L5220" s="2" t="s">
        <v>107</v>
      </c>
      <c r="M5220" s="3">
        <v>40532</v>
      </c>
      <c r="N5220" s="2"/>
      <c r="O5220" s="2"/>
      <c r="P5220" s="2"/>
      <c r="Q5220" s="2" t="str">
        <f>""</f>
        <v/>
      </c>
      <c r="R5220" s="2"/>
      <c r="S5220" s="2"/>
      <c r="T5220" s="2">
        <v>2</v>
      </c>
      <c r="U5220" s="2" t="s">
        <v>123</v>
      </c>
      <c r="V5220" s="2">
        <v>1</v>
      </c>
      <c r="W5220" s="2" t="s">
        <v>80</v>
      </c>
      <c r="X5220" s="2">
        <v>1</v>
      </c>
      <c r="Y5220" s="2" t="s">
        <v>81</v>
      </c>
      <c r="Z5220" s="2">
        <v>1</v>
      </c>
      <c r="AA5220" s="2" t="s">
        <v>82</v>
      </c>
      <c r="AB5220" s="2">
        <v>9</v>
      </c>
      <c r="AC5220" s="2" t="s">
        <v>124</v>
      </c>
      <c r="AD5220" s="3">
        <v>40532</v>
      </c>
      <c r="AE5220" s="4">
        <v>0.61458333333333337</v>
      </c>
      <c r="AF5220" s="3">
        <v>40532</v>
      </c>
      <c r="AG5220" s="4">
        <v>0.61458333333333337</v>
      </c>
      <c r="AH5220" s="2">
        <v>6</v>
      </c>
      <c r="AI5220" s="2" t="s">
        <v>197</v>
      </c>
      <c r="AJ5220" s="2">
        <v>58</v>
      </c>
      <c r="AK5220" s="2" t="s">
        <v>406</v>
      </c>
      <c r="AL5220" s="2">
        <v>9</v>
      </c>
      <c r="AM5220" s="2" t="s">
        <v>259</v>
      </c>
      <c r="AN5220" s="2"/>
      <c r="AO5220" s="2" t="s">
        <v>13074</v>
      </c>
      <c r="AP5220" s="2">
        <v>11</v>
      </c>
      <c r="AQ5220" s="2" t="s">
        <v>82</v>
      </c>
      <c r="AR5220" s="2" t="s">
        <v>15970</v>
      </c>
      <c r="AS5220" s="2" t="s">
        <v>5936</v>
      </c>
      <c r="AT5220" s="2" t="s">
        <v>15971</v>
      </c>
      <c r="AU5220" s="2"/>
      <c r="AV5220" s="2"/>
      <c r="AW5220" s="2"/>
      <c r="AX5220" s="2"/>
      <c r="AY5220" s="2">
        <v>41</v>
      </c>
      <c r="AZ5220" s="2" t="s">
        <v>82</v>
      </c>
      <c r="BA5220" s="2">
        <v>41</v>
      </c>
      <c r="BB5220" s="2" t="s">
        <v>82</v>
      </c>
      <c r="BC5220" s="2">
        <v>41</v>
      </c>
      <c r="BD5220" s="2" t="s">
        <v>82</v>
      </c>
      <c r="BE5220" s="2">
        <v>41</v>
      </c>
      <c r="BF5220" s="2" t="s">
        <v>82</v>
      </c>
      <c r="BG5220" s="2" t="s">
        <v>3820</v>
      </c>
      <c r="BH5220" s="2"/>
      <c r="BI5220" s="4">
        <v>0.61458333333333337</v>
      </c>
      <c r="BJ5220" s="2">
        <v>13</v>
      </c>
      <c r="BK5220" s="2" t="s">
        <v>91</v>
      </c>
      <c r="BL5220" s="2" t="s">
        <v>492</v>
      </c>
      <c r="BM5220" s="2">
        <v>241</v>
      </c>
      <c r="BN5220" s="2" t="s">
        <v>82</v>
      </c>
      <c r="BO5220" s="2"/>
      <c r="BP5220" s="2">
        <v>13</v>
      </c>
      <c r="BQ5220" s="2" t="s">
        <v>91</v>
      </c>
      <c r="BR5220" s="2" t="s">
        <v>690</v>
      </c>
      <c r="BS5220" s="3">
        <v>40532</v>
      </c>
      <c r="BT5220" s="4">
        <v>0.70709490740740744</v>
      </c>
    </row>
    <row r="5221" spans="1:72" x14ac:dyDescent="0.25">
      <c r="A5221" s="2">
        <v>8107</v>
      </c>
      <c r="B5221" s="2">
        <v>2010</v>
      </c>
      <c r="C5221" s="2" t="s">
        <v>72</v>
      </c>
      <c r="D5221" s="2" t="s">
        <v>73</v>
      </c>
      <c r="E5221" s="2"/>
      <c r="F5221" s="2">
        <v>600</v>
      </c>
      <c r="G5221" s="2" t="s">
        <v>5325</v>
      </c>
      <c r="H5221" s="2">
        <v>20</v>
      </c>
      <c r="I5221" s="2" t="s">
        <v>5073</v>
      </c>
      <c r="J5221" s="2">
        <v>170</v>
      </c>
      <c r="K5221" s="2" t="s">
        <v>5074</v>
      </c>
      <c r="L5221" s="2" t="s">
        <v>5075</v>
      </c>
      <c r="M5221" s="3">
        <v>40532</v>
      </c>
      <c r="N5221" s="2" t="s">
        <v>5076</v>
      </c>
      <c r="O5221" s="2" t="s">
        <v>15972</v>
      </c>
      <c r="P5221" s="2" t="s">
        <v>107</v>
      </c>
      <c r="Q5221" s="2" t="str">
        <f>"08R/10"</f>
        <v>08R/10</v>
      </c>
      <c r="R5221" s="2" t="s">
        <v>15972</v>
      </c>
      <c r="S5221" s="2" t="s">
        <v>15972</v>
      </c>
      <c r="T5221" s="2">
        <v>1</v>
      </c>
      <c r="U5221" s="2" t="s">
        <v>79</v>
      </c>
      <c r="V5221" s="2">
        <v>1</v>
      </c>
      <c r="W5221" s="2" t="s">
        <v>80</v>
      </c>
      <c r="X5221" s="2">
        <v>12</v>
      </c>
      <c r="Y5221" s="2" t="s">
        <v>148</v>
      </c>
      <c r="Z5221" s="2">
        <v>1</v>
      </c>
      <c r="AA5221" s="2" t="s">
        <v>82</v>
      </c>
      <c r="AB5221" s="2">
        <v>6</v>
      </c>
      <c r="AC5221" s="2" t="s">
        <v>83</v>
      </c>
      <c r="AD5221" s="2"/>
      <c r="AE5221" s="2"/>
      <c r="AF5221" s="3">
        <v>40457</v>
      </c>
      <c r="AG5221" s="4">
        <v>0.7895833333333333</v>
      </c>
      <c r="AH5221" s="2">
        <v>2</v>
      </c>
      <c r="AI5221" s="2" t="s">
        <v>84</v>
      </c>
      <c r="AJ5221" s="2">
        <v>6</v>
      </c>
      <c r="AK5221" s="2" t="s">
        <v>453</v>
      </c>
      <c r="AL5221" s="2">
        <v>10</v>
      </c>
      <c r="AM5221" s="2" t="s">
        <v>200</v>
      </c>
      <c r="AN5221" s="2"/>
      <c r="AO5221" s="2" t="s">
        <v>1040</v>
      </c>
      <c r="AP5221" s="2">
        <v>11</v>
      </c>
      <c r="AQ5221" s="2" t="s">
        <v>82</v>
      </c>
      <c r="AR5221" s="2"/>
      <c r="AS5221" s="2"/>
      <c r="AT5221" s="2" t="s">
        <v>15973</v>
      </c>
      <c r="AU5221" s="2"/>
      <c r="AV5221" s="2"/>
      <c r="AW5221" s="2"/>
      <c r="AX5221" s="2"/>
      <c r="AY5221" s="2">
        <v>41</v>
      </c>
      <c r="AZ5221" s="2" t="s">
        <v>82</v>
      </c>
      <c r="BA5221" s="2">
        <v>152</v>
      </c>
      <c r="BB5221" s="2" t="s">
        <v>13823</v>
      </c>
      <c r="BC5221" s="2">
        <v>41</v>
      </c>
      <c r="BD5221" s="2" t="s">
        <v>82</v>
      </c>
      <c r="BE5221" s="2">
        <v>41</v>
      </c>
      <c r="BF5221" s="2" t="s">
        <v>82</v>
      </c>
      <c r="BG5221" s="2"/>
      <c r="BH5221" s="2"/>
      <c r="BI5221" s="2"/>
      <c r="BJ5221" s="2">
        <v>241</v>
      </c>
      <c r="BK5221" s="2" t="s">
        <v>82</v>
      </c>
      <c r="BL5221" s="2"/>
      <c r="BM5221" s="2">
        <v>241</v>
      </c>
      <c r="BN5221" s="2" t="s">
        <v>82</v>
      </c>
      <c r="BO5221" s="2"/>
      <c r="BP5221" s="2">
        <v>241</v>
      </c>
      <c r="BQ5221" s="2" t="s">
        <v>82</v>
      </c>
      <c r="BR5221" s="2"/>
      <c r="BS5221" s="3">
        <v>40532</v>
      </c>
      <c r="BT5221" s="4">
        <v>0.70814814814814808</v>
      </c>
    </row>
    <row r="5222" spans="1:72" x14ac:dyDescent="0.25">
      <c r="A5222" s="2">
        <v>8110</v>
      </c>
      <c r="B5222" s="2">
        <v>2010</v>
      </c>
      <c r="C5222" s="2" t="s">
        <v>93</v>
      </c>
      <c r="D5222" s="2" t="s">
        <v>73</v>
      </c>
      <c r="E5222" s="2"/>
      <c r="F5222" s="2">
        <v>140</v>
      </c>
      <c r="G5222" s="2" t="s">
        <v>8076</v>
      </c>
      <c r="H5222" s="2">
        <v>149</v>
      </c>
      <c r="I5222" s="2" t="s">
        <v>14672</v>
      </c>
      <c r="J5222" s="2">
        <v>755</v>
      </c>
      <c r="K5222" s="2" t="s">
        <v>15974</v>
      </c>
      <c r="L5222" s="2" t="s">
        <v>15975</v>
      </c>
      <c r="M5222" s="3">
        <v>40532</v>
      </c>
      <c r="N5222" s="2" t="s">
        <v>15976</v>
      </c>
      <c r="O5222" s="2" t="s">
        <v>15977</v>
      </c>
      <c r="P5222" s="2" t="s">
        <v>15978</v>
      </c>
      <c r="Q5222" s="2" t="str">
        <f>"AP 0064/2010"</f>
        <v>AP 0064/2010</v>
      </c>
      <c r="R5222" s="2" t="s">
        <v>15979</v>
      </c>
      <c r="S5222" s="2"/>
      <c r="T5222" s="2">
        <v>1</v>
      </c>
      <c r="U5222" s="2" t="s">
        <v>79</v>
      </c>
      <c r="V5222" s="2">
        <v>1</v>
      </c>
      <c r="W5222" s="2" t="s">
        <v>80</v>
      </c>
      <c r="X5222" s="2">
        <v>1</v>
      </c>
      <c r="Y5222" s="2" t="s">
        <v>81</v>
      </c>
      <c r="Z5222" s="2">
        <v>1</v>
      </c>
      <c r="AA5222" s="2" t="s">
        <v>82</v>
      </c>
      <c r="AB5222" s="2">
        <v>2</v>
      </c>
      <c r="AC5222" s="2" t="s">
        <v>102</v>
      </c>
      <c r="AD5222" s="3">
        <v>40532</v>
      </c>
      <c r="AE5222" s="4">
        <v>0.53472222222222221</v>
      </c>
      <c r="AF5222" s="3">
        <v>40532</v>
      </c>
      <c r="AG5222" s="4">
        <v>0.53472222222222221</v>
      </c>
      <c r="AH5222" s="2">
        <v>6</v>
      </c>
      <c r="AI5222" s="2" t="s">
        <v>197</v>
      </c>
      <c r="AJ5222" s="2">
        <v>60</v>
      </c>
      <c r="AK5222" s="2" t="s">
        <v>543</v>
      </c>
      <c r="AL5222" s="2">
        <v>11</v>
      </c>
      <c r="AM5222" s="2" t="s">
        <v>137</v>
      </c>
      <c r="AN5222" s="2" t="s">
        <v>15980</v>
      </c>
      <c r="AO5222" s="2" t="s">
        <v>8084</v>
      </c>
      <c r="AP5222" s="2">
        <v>11</v>
      </c>
      <c r="AQ5222" s="2" t="s">
        <v>82</v>
      </c>
      <c r="AR5222" s="2" t="s">
        <v>82</v>
      </c>
      <c r="AS5222" s="2" t="s">
        <v>82</v>
      </c>
      <c r="AT5222" s="2" t="s">
        <v>15981</v>
      </c>
      <c r="AU5222" s="2"/>
      <c r="AV5222" s="2"/>
      <c r="AW5222" s="2"/>
      <c r="AX5222" s="2"/>
      <c r="AY5222" s="2">
        <v>41</v>
      </c>
      <c r="AZ5222" s="2" t="s">
        <v>82</v>
      </c>
      <c r="BA5222" s="2">
        <v>41</v>
      </c>
      <c r="BB5222" s="2" t="s">
        <v>82</v>
      </c>
      <c r="BC5222" s="2">
        <v>41</v>
      </c>
      <c r="BD5222" s="2" t="s">
        <v>82</v>
      </c>
      <c r="BE5222" s="2">
        <v>13</v>
      </c>
      <c r="BF5222" s="2" t="s">
        <v>108</v>
      </c>
      <c r="BG5222" s="2" t="s">
        <v>15294</v>
      </c>
      <c r="BH5222" s="4">
        <v>0.55902777777777779</v>
      </c>
      <c r="BI5222" s="4">
        <v>0.59722222222222221</v>
      </c>
      <c r="BJ5222" s="2">
        <v>13</v>
      </c>
      <c r="BK5222" s="2" t="s">
        <v>91</v>
      </c>
      <c r="BL5222" s="2" t="s">
        <v>895</v>
      </c>
      <c r="BM5222" s="2">
        <v>13</v>
      </c>
      <c r="BN5222" s="2" t="s">
        <v>91</v>
      </c>
      <c r="BO5222" s="2"/>
      <c r="BP5222" s="2">
        <v>13</v>
      </c>
      <c r="BQ5222" s="2" t="s">
        <v>91</v>
      </c>
      <c r="BR5222" s="2" t="s">
        <v>6083</v>
      </c>
      <c r="BS5222" s="3">
        <v>40532</v>
      </c>
      <c r="BT5222" s="4">
        <v>0.74445601851851861</v>
      </c>
    </row>
    <row r="5223" spans="1:72" x14ac:dyDescent="0.25">
      <c r="A5223" s="2">
        <v>8111</v>
      </c>
      <c r="B5223" s="2">
        <v>2010</v>
      </c>
      <c r="C5223" s="2" t="s">
        <v>147</v>
      </c>
      <c r="D5223" s="2" t="s">
        <v>122</v>
      </c>
      <c r="E5223" s="2"/>
      <c r="F5223" s="2">
        <v>1</v>
      </c>
      <c r="G5223" s="2" t="s">
        <v>82</v>
      </c>
      <c r="H5223" s="2">
        <v>1</v>
      </c>
      <c r="I5223" s="2" t="s">
        <v>82</v>
      </c>
      <c r="J5223" s="2">
        <v>1</v>
      </c>
      <c r="K5223" s="2" t="s">
        <v>107</v>
      </c>
      <c r="L5223" s="2" t="s">
        <v>107</v>
      </c>
      <c r="M5223" s="3">
        <v>40532</v>
      </c>
      <c r="N5223" s="2"/>
      <c r="O5223" s="2"/>
      <c r="P5223" s="2"/>
      <c r="Q5223" s="2" t="str">
        <f>""</f>
        <v/>
      </c>
      <c r="R5223" s="2"/>
      <c r="S5223" s="2"/>
      <c r="T5223" s="2">
        <v>2</v>
      </c>
      <c r="U5223" s="2" t="s">
        <v>123</v>
      </c>
      <c r="V5223" s="2">
        <v>1</v>
      </c>
      <c r="W5223" s="2" t="s">
        <v>80</v>
      </c>
      <c r="X5223" s="2">
        <v>5</v>
      </c>
      <c r="Y5223" s="2" t="s">
        <v>82</v>
      </c>
      <c r="Z5223" s="2">
        <v>1</v>
      </c>
      <c r="AA5223" s="2" t="s">
        <v>82</v>
      </c>
      <c r="AB5223" s="2">
        <v>9</v>
      </c>
      <c r="AC5223" s="2" t="s">
        <v>124</v>
      </c>
      <c r="AD5223" s="3">
        <v>40528</v>
      </c>
      <c r="AE5223" s="4">
        <v>0.4375</v>
      </c>
      <c r="AF5223" s="3">
        <v>40532</v>
      </c>
      <c r="AG5223" s="4">
        <v>0.66666666666666663</v>
      </c>
      <c r="AH5223" s="2">
        <v>4</v>
      </c>
      <c r="AI5223" s="2" t="s">
        <v>125</v>
      </c>
      <c r="AJ5223" s="2">
        <v>31</v>
      </c>
      <c r="AK5223" s="2" t="s">
        <v>1413</v>
      </c>
      <c r="AL5223" s="2">
        <v>23</v>
      </c>
      <c r="AM5223" s="2" t="s">
        <v>251</v>
      </c>
      <c r="AN5223" s="2"/>
      <c r="AO5223" s="2"/>
      <c r="AP5223" s="2">
        <v>11</v>
      </c>
      <c r="AQ5223" s="2" t="s">
        <v>82</v>
      </c>
      <c r="AR5223" s="2"/>
      <c r="AS5223" s="2"/>
      <c r="AT5223" s="2" t="s">
        <v>15982</v>
      </c>
      <c r="AU5223" s="2"/>
      <c r="AV5223" s="2"/>
      <c r="AW5223" s="2"/>
      <c r="AX5223" s="2"/>
      <c r="AY5223" s="2">
        <v>41</v>
      </c>
      <c r="AZ5223" s="2" t="s">
        <v>82</v>
      </c>
      <c r="BA5223" s="2">
        <v>41</v>
      </c>
      <c r="BB5223" s="2" t="s">
        <v>82</v>
      </c>
      <c r="BC5223" s="2">
        <v>41</v>
      </c>
      <c r="BD5223" s="2" t="s">
        <v>82</v>
      </c>
      <c r="BE5223" s="2">
        <v>41</v>
      </c>
      <c r="BF5223" s="2" t="s">
        <v>82</v>
      </c>
      <c r="BG5223" s="2"/>
      <c r="BH5223" s="2"/>
      <c r="BI5223" s="2"/>
      <c r="BJ5223" s="2">
        <v>241</v>
      </c>
      <c r="BK5223" s="2" t="s">
        <v>82</v>
      </c>
      <c r="BL5223" s="2"/>
      <c r="BM5223" s="2">
        <v>241</v>
      </c>
      <c r="BN5223" s="2" t="s">
        <v>82</v>
      </c>
      <c r="BO5223" s="2"/>
      <c r="BP5223" s="2">
        <v>241</v>
      </c>
      <c r="BQ5223" s="2" t="s">
        <v>82</v>
      </c>
      <c r="BR5223" s="2"/>
      <c r="BS5223" s="3">
        <v>40532</v>
      </c>
      <c r="BT5223" s="4">
        <v>0.7572106481481482</v>
      </c>
    </row>
    <row r="5224" spans="1:72" x14ac:dyDescent="0.25">
      <c r="A5224" s="2">
        <v>8112</v>
      </c>
      <c r="B5224" s="2">
        <v>2010</v>
      </c>
      <c r="C5224" s="2" t="s">
        <v>72</v>
      </c>
      <c r="D5224" s="2" t="s">
        <v>73</v>
      </c>
      <c r="E5224" s="2"/>
      <c r="F5224" s="2">
        <v>175</v>
      </c>
      <c r="G5224" s="2" t="s">
        <v>4170</v>
      </c>
      <c r="H5224" s="2">
        <v>42</v>
      </c>
      <c r="I5224" s="2" t="s">
        <v>1096</v>
      </c>
      <c r="J5224" s="2">
        <v>728</v>
      </c>
      <c r="K5224" s="2" t="s">
        <v>15156</v>
      </c>
      <c r="L5224" s="2" t="s">
        <v>15157</v>
      </c>
      <c r="M5224" s="3">
        <v>40532</v>
      </c>
      <c r="N5224" s="2" t="s">
        <v>15158</v>
      </c>
      <c r="O5224" s="2"/>
      <c r="P5224" s="2"/>
      <c r="Q5224" s="2" t="str">
        <f>"461-A/10"</f>
        <v>461-A/10</v>
      </c>
      <c r="R5224" s="2" t="s">
        <v>78</v>
      </c>
      <c r="S5224" s="2" t="s">
        <v>78</v>
      </c>
      <c r="T5224" s="2">
        <v>1</v>
      </c>
      <c r="U5224" s="2" t="s">
        <v>79</v>
      </c>
      <c r="V5224" s="2">
        <v>1</v>
      </c>
      <c r="W5224" s="2" t="s">
        <v>80</v>
      </c>
      <c r="X5224" s="2">
        <v>12</v>
      </c>
      <c r="Y5224" s="2" t="s">
        <v>148</v>
      </c>
      <c r="Z5224" s="2">
        <v>1</v>
      </c>
      <c r="AA5224" s="2" t="s">
        <v>82</v>
      </c>
      <c r="AB5224" s="2">
        <v>6</v>
      </c>
      <c r="AC5224" s="2" t="s">
        <v>83</v>
      </c>
      <c r="AD5224" s="3">
        <v>40527</v>
      </c>
      <c r="AE5224" s="2"/>
      <c r="AF5224" s="3">
        <v>40532</v>
      </c>
      <c r="AG5224" s="4">
        <v>0.59722222222222221</v>
      </c>
      <c r="AH5224" s="2">
        <v>2</v>
      </c>
      <c r="AI5224" s="2" t="s">
        <v>84</v>
      </c>
      <c r="AJ5224" s="2">
        <v>12</v>
      </c>
      <c r="AK5224" s="2" t="s">
        <v>85</v>
      </c>
      <c r="AL5224" s="2">
        <v>28</v>
      </c>
      <c r="AM5224" s="2" t="s">
        <v>5969</v>
      </c>
      <c r="AN5224" s="2" t="s">
        <v>15983</v>
      </c>
      <c r="AO5224" s="2" t="s">
        <v>15984</v>
      </c>
      <c r="AP5224" s="2">
        <v>11</v>
      </c>
      <c r="AQ5224" s="2" t="s">
        <v>82</v>
      </c>
      <c r="AR5224" s="2"/>
      <c r="AS5224" s="2"/>
      <c r="AT5224" s="2" t="s">
        <v>15985</v>
      </c>
      <c r="AU5224" s="2"/>
      <c r="AV5224" s="2"/>
      <c r="AW5224" s="2"/>
      <c r="AX5224" s="2"/>
      <c r="AY5224" s="2">
        <v>41</v>
      </c>
      <c r="AZ5224" s="2" t="s">
        <v>82</v>
      </c>
      <c r="BA5224" s="2">
        <v>41</v>
      </c>
      <c r="BB5224" s="2" t="s">
        <v>82</v>
      </c>
      <c r="BC5224" s="2">
        <v>41</v>
      </c>
      <c r="BD5224" s="2" t="s">
        <v>82</v>
      </c>
      <c r="BE5224" s="2">
        <v>41</v>
      </c>
      <c r="BF5224" s="2" t="s">
        <v>82</v>
      </c>
      <c r="BG5224" s="2"/>
      <c r="BH5224" s="2"/>
      <c r="BI5224" s="2"/>
      <c r="BJ5224" s="2">
        <v>241</v>
      </c>
      <c r="BK5224" s="2" t="s">
        <v>82</v>
      </c>
      <c r="BL5224" s="2"/>
      <c r="BM5224" s="2">
        <v>241</v>
      </c>
      <c r="BN5224" s="2" t="s">
        <v>82</v>
      </c>
      <c r="BO5224" s="2"/>
      <c r="BP5224" s="2">
        <v>241</v>
      </c>
      <c r="BQ5224" s="2" t="s">
        <v>82</v>
      </c>
      <c r="BR5224" s="2"/>
      <c r="BS5224" s="3">
        <v>40532</v>
      </c>
      <c r="BT5224" s="4">
        <v>0.79111111111111121</v>
      </c>
    </row>
    <row r="5225" spans="1:72" x14ac:dyDescent="0.25">
      <c r="A5225" s="2">
        <v>8115</v>
      </c>
      <c r="B5225" s="2">
        <v>2010</v>
      </c>
      <c r="C5225" s="2" t="s">
        <v>128</v>
      </c>
      <c r="D5225" s="2" t="s">
        <v>122</v>
      </c>
      <c r="E5225" s="2" t="s">
        <v>15986</v>
      </c>
      <c r="F5225" s="2">
        <v>425</v>
      </c>
      <c r="G5225" s="2" t="s">
        <v>286</v>
      </c>
      <c r="H5225" s="2">
        <v>39</v>
      </c>
      <c r="I5225" s="2" t="s">
        <v>1117</v>
      </c>
      <c r="J5225" s="2">
        <v>310</v>
      </c>
      <c r="K5225" s="2" t="s">
        <v>288</v>
      </c>
      <c r="L5225" s="2" t="s">
        <v>289</v>
      </c>
      <c r="M5225" s="3">
        <v>40532</v>
      </c>
      <c r="N5225" s="2" t="s">
        <v>1882</v>
      </c>
      <c r="O5225" s="2" t="s">
        <v>11437</v>
      </c>
      <c r="P5225" s="2" t="s">
        <v>11438</v>
      </c>
      <c r="Q5225" s="2" t="str">
        <f t="shared" ref="Q5225:Q5231" si="0">"101"</f>
        <v>101</v>
      </c>
      <c r="R5225" s="2"/>
      <c r="S5225" s="2"/>
      <c r="T5225" s="2">
        <v>1</v>
      </c>
      <c r="U5225" s="2" t="s">
        <v>79</v>
      </c>
      <c r="V5225" s="2">
        <v>1</v>
      </c>
      <c r="W5225" s="2" t="s">
        <v>80</v>
      </c>
      <c r="X5225" s="2">
        <v>9</v>
      </c>
      <c r="Y5225" s="2" t="s">
        <v>3393</v>
      </c>
      <c r="Z5225" s="2">
        <v>1</v>
      </c>
      <c r="AA5225" s="2" t="s">
        <v>82</v>
      </c>
      <c r="AB5225" s="2">
        <v>9</v>
      </c>
      <c r="AC5225" s="2" t="s">
        <v>124</v>
      </c>
      <c r="AD5225" s="3">
        <v>40532</v>
      </c>
      <c r="AE5225" s="4">
        <v>0.31944444444444448</v>
      </c>
      <c r="AF5225" s="3">
        <v>40532</v>
      </c>
      <c r="AG5225" s="4">
        <v>0.4375</v>
      </c>
      <c r="AH5225" s="2">
        <v>4</v>
      </c>
      <c r="AI5225" s="2" t="s">
        <v>125</v>
      </c>
      <c r="AJ5225" s="2">
        <v>25</v>
      </c>
      <c r="AK5225" s="2" t="s">
        <v>125</v>
      </c>
      <c r="AL5225" s="2">
        <v>23</v>
      </c>
      <c r="AM5225" s="2" t="s">
        <v>251</v>
      </c>
      <c r="AN5225" s="2"/>
      <c r="AO5225" s="2" t="s">
        <v>15944</v>
      </c>
      <c r="AP5225" s="2">
        <v>11</v>
      </c>
      <c r="AQ5225" s="2" t="s">
        <v>82</v>
      </c>
      <c r="AR5225" s="2"/>
      <c r="AS5225" s="2"/>
      <c r="AT5225" s="2" t="s">
        <v>15987</v>
      </c>
      <c r="AU5225" s="2"/>
      <c r="AV5225" s="2">
        <v>2</v>
      </c>
      <c r="AW5225" s="2"/>
      <c r="AX5225" s="2"/>
      <c r="AY5225" s="2">
        <v>41</v>
      </c>
      <c r="AZ5225" s="2" t="s">
        <v>82</v>
      </c>
      <c r="BA5225" s="2">
        <v>41</v>
      </c>
      <c r="BB5225" s="2" t="s">
        <v>82</v>
      </c>
      <c r="BC5225" s="2">
        <v>41</v>
      </c>
      <c r="BD5225" s="2" t="s">
        <v>82</v>
      </c>
      <c r="BE5225" s="2">
        <v>41</v>
      </c>
      <c r="BF5225" s="2" t="s">
        <v>82</v>
      </c>
      <c r="BG5225" s="2"/>
      <c r="BH5225" s="2"/>
      <c r="BI5225" s="2"/>
      <c r="BJ5225" s="2">
        <v>241</v>
      </c>
      <c r="BK5225" s="2" t="s">
        <v>82</v>
      </c>
      <c r="BL5225" s="2"/>
      <c r="BM5225" s="2">
        <v>241</v>
      </c>
      <c r="BN5225" s="2" t="s">
        <v>82</v>
      </c>
      <c r="BO5225" s="2"/>
      <c r="BP5225" s="2">
        <v>241</v>
      </c>
      <c r="BQ5225" s="2" t="s">
        <v>82</v>
      </c>
      <c r="BR5225" s="2"/>
      <c r="BS5225" s="3">
        <v>40532</v>
      </c>
      <c r="BT5225" s="4">
        <v>0.87681712962962965</v>
      </c>
    </row>
    <row r="5226" spans="1:72" x14ac:dyDescent="0.25">
      <c r="A5226" s="2">
        <v>8115</v>
      </c>
      <c r="B5226" s="2">
        <v>2010</v>
      </c>
      <c r="C5226" s="2" t="s">
        <v>385</v>
      </c>
      <c r="D5226" s="2" t="s">
        <v>122</v>
      </c>
      <c r="E5226" s="2" t="s">
        <v>15986</v>
      </c>
      <c r="F5226" s="2">
        <v>425</v>
      </c>
      <c r="G5226" s="2" t="s">
        <v>286</v>
      </c>
      <c r="H5226" s="2">
        <v>39</v>
      </c>
      <c r="I5226" s="2" t="s">
        <v>1117</v>
      </c>
      <c r="J5226" s="2">
        <v>310</v>
      </c>
      <c r="K5226" s="2" t="s">
        <v>288</v>
      </c>
      <c r="L5226" s="2" t="s">
        <v>289</v>
      </c>
      <c r="M5226" s="3">
        <v>40532</v>
      </c>
      <c r="N5226" s="2" t="s">
        <v>1882</v>
      </c>
      <c r="O5226" s="2" t="s">
        <v>11437</v>
      </c>
      <c r="P5226" s="2" t="s">
        <v>11438</v>
      </c>
      <c r="Q5226" s="2" t="str">
        <f t="shared" si="0"/>
        <v>101</v>
      </c>
      <c r="R5226" s="2"/>
      <c r="S5226" s="2"/>
      <c r="T5226" s="2">
        <v>1</v>
      </c>
      <c r="U5226" s="2" t="s">
        <v>79</v>
      </c>
      <c r="V5226" s="2">
        <v>1</v>
      </c>
      <c r="W5226" s="2" t="s">
        <v>80</v>
      </c>
      <c r="X5226" s="2">
        <v>9</v>
      </c>
      <c r="Y5226" s="2" t="s">
        <v>3393</v>
      </c>
      <c r="Z5226" s="2">
        <v>1</v>
      </c>
      <c r="AA5226" s="2" t="s">
        <v>82</v>
      </c>
      <c r="AB5226" s="2">
        <v>9</v>
      </c>
      <c r="AC5226" s="2" t="s">
        <v>124</v>
      </c>
      <c r="AD5226" s="3">
        <v>40532</v>
      </c>
      <c r="AE5226" s="4">
        <v>0.31944444444444448</v>
      </c>
      <c r="AF5226" s="3">
        <v>40532</v>
      </c>
      <c r="AG5226" s="4">
        <v>0.4375</v>
      </c>
      <c r="AH5226" s="2">
        <v>4</v>
      </c>
      <c r="AI5226" s="2" t="s">
        <v>125</v>
      </c>
      <c r="AJ5226" s="2">
        <v>25</v>
      </c>
      <c r="AK5226" s="2" t="s">
        <v>125</v>
      </c>
      <c r="AL5226" s="2">
        <v>23</v>
      </c>
      <c r="AM5226" s="2" t="s">
        <v>251</v>
      </c>
      <c r="AN5226" s="2"/>
      <c r="AO5226" s="2" t="s">
        <v>15944</v>
      </c>
      <c r="AP5226" s="2">
        <v>11</v>
      </c>
      <c r="AQ5226" s="2" t="s">
        <v>82</v>
      </c>
      <c r="AR5226" s="2"/>
      <c r="AS5226" s="2"/>
      <c r="AT5226" s="2" t="s">
        <v>15987</v>
      </c>
      <c r="AU5226" s="2"/>
      <c r="AV5226" s="2">
        <v>2</v>
      </c>
      <c r="AW5226" s="2"/>
      <c r="AX5226" s="2"/>
      <c r="AY5226" s="2">
        <v>41</v>
      </c>
      <c r="AZ5226" s="2" t="s">
        <v>82</v>
      </c>
      <c r="BA5226" s="2">
        <v>41</v>
      </c>
      <c r="BB5226" s="2" t="s">
        <v>82</v>
      </c>
      <c r="BC5226" s="2">
        <v>41</v>
      </c>
      <c r="BD5226" s="2" t="s">
        <v>82</v>
      </c>
      <c r="BE5226" s="2">
        <v>41</v>
      </c>
      <c r="BF5226" s="2" t="s">
        <v>82</v>
      </c>
      <c r="BG5226" s="2"/>
      <c r="BH5226" s="2"/>
      <c r="BI5226" s="2"/>
      <c r="BJ5226" s="2">
        <v>241</v>
      </c>
      <c r="BK5226" s="2" t="s">
        <v>82</v>
      </c>
      <c r="BL5226" s="2"/>
      <c r="BM5226" s="2">
        <v>241</v>
      </c>
      <c r="BN5226" s="2" t="s">
        <v>82</v>
      </c>
      <c r="BO5226" s="2"/>
      <c r="BP5226" s="2">
        <v>241</v>
      </c>
      <c r="BQ5226" s="2" t="s">
        <v>82</v>
      </c>
      <c r="BR5226" s="2"/>
      <c r="BS5226" s="3">
        <v>40532</v>
      </c>
      <c r="BT5226" s="4">
        <v>0.87681712962962965</v>
      </c>
    </row>
    <row r="5227" spans="1:72" x14ac:dyDescent="0.25">
      <c r="A5227" s="2">
        <v>8116</v>
      </c>
      <c r="B5227" s="2">
        <v>2010</v>
      </c>
      <c r="C5227" s="2" t="s">
        <v>128</v>
      </c>
      <c r="D5227" s="2" t="s">
        <v>122</v>
      </c>
      <c r="E5227" s="2" t="s">
        <v>15988</v>
      </c>
      <c r="F5227" s="2">
        <v>425</v>
      </c>
      <c r="G5227" s="2" t="s">
        <v>286</v>
      </c>
      <c r="H5227" s="2">
        <v>30</v>
      </c>
      <c r="I5227" s="2" t="s">
        <v>912</v>
      </c>
      <c r="J5227" s="2">
        <v>310</v>
      </c>
      <c r="K5227" s="2" t="s">
        <v>288</v>
      </c>
      <c r="L5227" s="2" t="s">
        <v>289</v>
      </c>
      <c r="M5227" s="3">
        <v>40532</v>
      </c>
      <c r="N5227" s="2" t="s">
        <v>1917</v>
      </c>
      <c r="O5227" s="2" t="s">
        <v>15934</v>
      </c>
      <c r="P5227" s="2" t="s">
        <v>11438</v>
      </c>
      <c r="Q5227" s="2" t="str">
        <f t="shared" si="0"/>
        <v>101</v>
      </c>
      <c r="R5227" s="2"/>
      <c r="S5227" s="2"/>
      <c r="T5227" s="2">
        <v>1</v>
      </c>
      <c r="U5227" s="2" t="s">
        <v>79</v>
      </c>
      <c r="V5227" s="2">
        <v>1</v>
      </c>
      <c r="W5227" s="2" t="s">
        <v>80</v>
      </c>
      <c r="X5227" s="2">
        <v>9</v>
      </c>
      <c r="Y5227" s="2" t="s">
        <v>3393</v>
      </c>
      <c r="Z5227" s="2">
        <v>1</v>
      </c>
      <c r="AA5227" s="2" t="s">
        <v>82</v>
      </c>
      <c r="AB5227" s="2">
        <v>9</v>
      </c>
      <c r="AC5227" s="2" t="s">
        <v>124</v>
      </c>
      <c r="AD5227" s="3">
        <v>40532</v>
      </c>
      <c r="AE5227" s="4">
        <v>0.3263888888888889</v>
      </c>
      <c r="AF5227" s="3">
        <v>40532</v>
      </c>
      <c r="AG5227" s="4">
        <v>0.3263888888888889</v>
      </c>
      <c r="AH5227" s="2">
        <v>4</v>
      </c>
      <c r="AI5227" s="2" t="s">
        <v>125</v>
      </c>
      <c r="AJ5227" s="2">
        <v>25</v>
      </c>
      <c r="AK5227" s="2" t="s">
        <v>125</v>
      </c>
      <c r="AL5227" s="2">
        <v>23</v>
      </c>
      <c r="AM5227" s="2" t="s">
        <v>251</v>
      </c>
      <c r="AN5227" s="2"/>
      <c r="AO5227" s="2" t="s">
        <v>15935</v>
      </c>
      <c r="AP5227" s="2">
        <v>11</v>
      </c>
      <c r="AQ5227" s="2" t="s">
        <v>82</v>
      </c>
      <c r="AR5227" s="2"/>
      <c r="AS5227" s="2"/>
      <c r="AT5227" s="2" t="s">
        <v>15989</v>
      </c>
      <c r="AU5227" s="2"/>
      <c r="AV5227" s="2">
        <v>2</v>
      </c>
      <c r="AW5227" s="2"/>
      <c r="AX5227" s="2"/>
      <c r="AY5227" s="2">
        <v>41</v>
      </c>
      <c r="AZ5227" s="2" t="s">
        <v>82</v>
      </c>
      <c r="BA5227" s="2">
        <v>41</v>
      </c>
      <c r="BB5227" s="2" t="s">
        <v>82</v>
      </c>
      <c r="BC5227" s="2">
        <v>41</v>
      </c>
      <c r="BD5227" s="2" t="s">
        <v>82</v>
      </c>
      <c r="BE5227" s="2">
        <v>41</v>
      </c>
      <c r="BF5227" s="2" t="s">
        <v>82</v>
      </c>
      <c r="BG5227" s="2"/>
      <c r="BH5227" s="2"/>
      <c r="BI5227" s="2"/>
      <c r="BJ5227" s="2">
        <v>241</v>
      </c>
      <c r="BK5227" s="2" t="s">
        <v>82</v>
      </c>
      <c r="BL5227" s="2"/>
      <c r="BM5227" s="2">
        <v>241</v>
      </c>
      <c r="BN5227" s="2" t="s">
        <v>82</v>
      </c>
      <c r="BO5227" s="2"/>
      <c r="BP5227" s="2">
        <v>241</v>
      </c>
      <c r="BQ5227" s="2" t="s">
        <v>82</v>
      </c>
      <c r="BR5227" s="2"/>
      <c r="BS5227" s="3">
        <v>40532</v>
      </c>
      <c r="BT5227" s="4">
        <v>0.90076388888888881</v>
      </c>
    </row>
    <row r="5228" spans="1:72" x14ac:dyDescent="0.25">
      <c r="A5228" s="2">
        <v>8116</v>
      </c>
      <c r="B5228" s="2">
        <v>2010</v>
      </c>
      <c r="C5228" s="2" t="s">
        <v>385</v>
      </c>
      <c r="D5228" s="2" t="s">
        <v>122</v>
      </c>
      <c r="E5228" s="2" t="s">
        <v>15988</v>
      </c>
      <c r="F5228" s="2">
        <v>425</v>
      </c>
      <c r="G5228" s="2" t="s">
        <v>286</v>
      </c>
      <c r="H5228" s="2">
        <v>30</v>
      </c>
      <c r="I5228" s="2" t="s">
        <v>912</v>
      </c>
      <c r="J5228" s="2">
        <v>310</v>
      </c>
      <c r="K5228" s="2" t="s">
        <v>288</v>
      </c>
      <c r="L5228" s="2" t="s">
        <v>289</v>
      </c>
      <c r="M5228" s="3">
        <v>40532</v>
      </c>
      <c r="N5228" s="2" t="s">
        <v>1917</v>
      </c>
      <c r="O5228" s="2" t="s">
        <v>15934</v>
      </c>
      <c r="P5228" s="2" t="s">
        <v>11438</v>
      </c>
      <c r="Q5228" s="2" t="str">
        <f t="shared" si="0"/>
        <v>101</v>
      </c>
      <c r="R5228" s="2"/>
      <c r="S5228" s="2"/>
      <c r="T5228" s="2">
        <v>1</v>
      </c>
      <c r="U5228" s="2" t="s">
        <v>79</v>
      </c>
      <c r="V5228" s="2">
        <v>1</v>
      </c>
      <c r="W5228" s="2" t="s">
        <v>80</v>
      </c>
      <c r="X5228" s="2">
        <v>9</v>
      </c>
      <c r="Y5228" s="2" t="s">
        <v>3393</v>
      </c>
      <c r="Z5228" s="2">
        <v>1</v>
      </c>
      <c r="AA5228" s="2" t="s">
        <v>82</v>
      </c>
      <c r="AB5228" s="2">
        <v>9</v>
      </c>
      <c r="AC5228" s="2" t="s">
        <v>124</v>
      </c>
      <c r="AD5228" s="3">
        <v>40532</v>
      </c>
      <c r="AE5228" s="4">
        <v>0.3263888888888889</v>
      </c>
      <c r="AF5228" s="3">
        <v>40532</v>
      </c>
      <c r="AG5228" s="4">
        <v>0.3263888888888889</v>
      </c>
      <c r="AH5228" s="2">
        <v>4</v>
      </c>
      <c r="AI5228" s="2" t="s">
        <v>125</v>
      </c>
      <c r="AJ5228" s="2">
        <v>25</v>
      </c>
      <c r="AK5228" s="2" t="s">
        <v>125</v>
      </c>
      <c r="AL5228" s="2">
        <v>23</v>
      </c>
      <c r="AM5228" s="2" t="s">
        <v>251</v>
      </c>
      <c r="AN5228" s="2"/>
      <c r="AO5228" s="2" t="s">
        <v>15935</v>
      </c>
      <c r="AP5228" s="2">
        <v>11</v>
      </c>
      <c r="AQ5228" s="2" t="s">
        <v>82</v>
      </c>
      <c r="AR5228" s="2"/>
      <c r="AS5228" s="2"/>
      <c r="AT5228" s="2" t="s">
        <v>15989</v>
      </c>
      <c r="AU5228" s="2"/>
      <c r="AV5228" s="2">
        <v>2</v>
      </c>
      <c r="AW5228" s="2"/>
      <c r="AX5228" s="2"/>
      <c r="AY5228" s="2">
        <v>41</v>
      </c>
      <c r="AZ5228" s="2" t="s">
        <v>82</v>
      </c>
      <c r="BA5228" s="2">
        <v>41</v>
      </c>
      <c r="BB5228" s="2" t="s">
        <v>82</v>
      </c>
      <c r="BC5228" s="2">
        <v>41</v>
      </c>
      <c r="BD5228" s="2" t="s">
        <v>82</v>
      </c>
      <c r="BE5228" s="2">
        <v>41</v>
      </c>
      <c r="BF5228" s="2" t="s">
        <v>82</v>
      </c>
      <c r="BG5228" s="2"/>
      <c r="BH5228" s="2"/>
      <c r="BI5228" s="2"/>
      <c r="BJ5228" s="2">
        <v>241</v>
      </c>
      <c r="BK5228" s="2" t="s">
        <v>82</v>
      </c>
      <c r="BL5228" s="2"/>
      <c r="BM5228" s="2">
        <v>241</v>
      </c>
      <c r="BN5228" s="2" t="s">
        <v>82</v>
      </c>
      <c r="BO5228" s="2"/>
      <c r="BP5228" s="2">
        <v>241</v>
      </c>
      <c r="BQ5228" s="2" t="s">
        <v>82</v>
      </c>
      <c r="BR5228" s="2"/>
      <c r="BS5228" s="3">
        <v>40532</v>
      </c>
      <c r="BT5228" s="4">
        <v>0.90076388888888881</v>
      </c>
    </row>
    <row r="5229" spans="1:72" x14ac:dyDescent="0.25">
      <c r="A5229" s="2">
        <v>8117</v>
      </c>
      <c r="B5229" s="2">
        <v>2010</v>
      </c>
      <c r="C5229" s="2" t="s">
        <v>128</v>
      </c>
      <c r="D5229" s="2" t="s">
        <v>122</v>
      </c>
      <c r="E5229" s="2" t="s">
        <v>15990</v>
      </c>
      <c r="F5229" s="2">
        <v>425</v>
      </c>
      <c r="G5229" s="2" t="s">
        <v>286</v>
      </c>
      <c r="H5229" s="2">
        <v>30</v>
      </c>
      <c r="I5229" s="2" t="s">
        <v>912</v>
      </c>
      <c r="J5229" s="2">
        <v>310</v>
      </c>
      <c r="K5229" s="2" t="s">
        <v>288</v>
      </c>
      <c r="L5229" s="2" t="s">
        <v>289</v>
      </c>
      <c r="M5229" s="3">
        <v>40532</v>
      </c>
      <c r="N5229" s="2" t="s">
        <v>1882</v>
      </c>
      <c r="O5229" s="2" t="s">
        <v>11437</v>
      </c>
      <c r="P5229" s="2" t="s">
        <v>11438</v>
      </c>
      <c r="Q5229" s="2" t="str">
        <f t="shared" si="0"/>
        <v>101</v>
      </c>
      <c r="R5229" s="2"/>
      <c r="S5229" s="2"/>
      <c r="T5229" s="2">
        <v>1</v>
      </c>
      <c r="U5229" s="2" t="s">
        <v>79</v>
      </c>
      <c r="V5229" s="2">
        <v>1</v>
      </c>
      <c r="W5229" s="2" t="s">
        <v>80</v>
      </c>
      <c r="X5229" s="2">
        <v>8</v>
      </c>
      <c r="Y5229" s="2" t="s">
        <v>375</v>
      </c>
      <c r="Z5229" s="2">
        <v>1</v>
      </c>
      <c r="AA5229" s="2" t="s">
        <v>82</v>
      </c>
      <c r="AB5229" s="2">
        <v>9</v>
      </c>
      <c r="AC5229" s="2" t="s">
        <v>124</v>
      </c>
      <c r="AD5229" s="3">
        <v>40532</v>
      </c>
      <c r="AE5229" s="4">
        <v>0.3888888888888889</v>
      </c>
      <c r="AF5229" s="3">
        <v>40532</v>
      </c>
      <c r="AG5229" s="4">
        <v>0.64583333333333337</v>
      </c>
      <c r="AH5229" s="2">
        <v>4</v>
      </c>
      <c r="AI5229" s="2" t="s">
        <v>125</v>
      </c>
      <c r="AJ5229" s="2">
        <v>25</v>
      </c>
      <c r="AK5229" s="2" t="s">
        <v>125</v>
      </c>
      <c r="AL5229" s="2">
        <v>23</v>
      </c>
      <c r="AM5229" s="2" t="s">
        <v>251</v>
      </c>
      <c r="AN5229" s="2"/>
      <c r="AO5229" s="2" t="s">
        <v>15956</v>
      </c>
      <c r="AP5229" s="2">
        <v>11</v>
      </c>
      <c r="AQ5229" s="2" t="s">
        <v>82</v>
      </c>
      <c r="AR5229" s="2"/>
      <c r="AS5229" s="2"/>
      <c r="AT5229" s="2" t="s">
        <v>15991</v>
      </c>
      <c r="AU5229" s="2"/>
      <c r="AV5229" s="2"/>
      <c r="AW5229" s="2"/>
      <c r="AX5229" s="2"/>
      <c r="AY5229" s="2">
        <v>41</v>
      </c>
      <c r="AZ5229" s="2" t="s">
        <v>82</v>
      </c>
      <c r="BA5229" s="2">
        <v>41</v>
      </c>
      <c r="BB5229" s="2" t="s">
        <v>82</v>
      </c>
      <c r="BC5229" s="2">
        <v>41</v>
      </c>
      <c r="BD5229" s="2" t="s">
        <v>82</v>
      </c>
      <c r="BE5229" s="2">
        <v>41</v>
      </c>
      <c r="BF5229" s="2" t="s">
        <v>82</v>
      </c>
      <c r="BG5229" s="2"/>
      <c r="BH5229" s="2"/>
      <c r="BI5229" s="2"/>
      <c r="BJ5229" s="2">
        <v>241</v>
      </c>
      <c r="BK5229" s="2" t="s">
        <v>82</v>
      </c>
      <c r="BL5229" s="2"/>
      <c r="BM5229" s="2">
        <v>241</v>
      </c>
      <c r="BN5229" s="2" t="s">
        <v>82</v>
      </c>
      <c r="BO5229" s="2"/>
      <c r="BP5229" s="2">
        <v>241</v>
      </c>
      <c r="BQ5229" s="2" t="s">
        <v>82</v>
      </c>
      <c r="BR5229" s="2"/>
      <c r="BS5229" s="3">
        <v>40532</v>
      </c>
      <c r="BT5229" s="4">
        <v>0.91353009259259255</v>
      </c>
    </row>
    <row r="5230" spans="1:72" x14ac:dyDescent="0.25">
      <c r="A5230" s="2">
        <v>8118</v>
      </c>
      <c r="B5230" s="2">
        <v>2010</v>
      </c>
      <c r="C5230" s="2" t="s">
        <v>128</v>
      </c>
      <c r="D5230" s="2" t="s">
        <v>122</v>
      </c>
      <c r="E5230" s="2" t="s">
        <v>15992</v>
      </c>
      <c r="F5230" s="2">
        <v>425</v>
      </c>
      <c r="G5230" s="2" t="s">
        <v>286</v>
      </c>
      <c r="H5230" s="2">
        <v>39</v>
      </c>
      <c r="I5230" s="2" t="s">
        <v>1117</v>
      </c>
      <c r="J5230" s="2">
        <v>310</v>
      </c>
      <c r="K5230" s="2" t="s">
        <v>288</v>
      </c>
      <c r="L5230" s="2" t="s">
        <v>289</v>
      </c>
      <c r="M5230" s="3">
        <v>40532</v>
      </c>
      <c r="N5230" s="2" t="s">
        <v>1882</v>
      </c>
      <c r="O5230" s="2" t="s">
        <v>11437</v>
      </c>
      <c r="P5230" s="2" t="s">
        <v>11438</v>
      </c>
      <c r="Q5230" s="2" t="str">
        <f t="shared" si="0"/>
        <v>101</v>
      </c>
      <c r="R5230" s="2"/>
      <c r="S5230" s="2"/>
      <c r="T5230" s="2">
        <v>1</v>
      </c>
      <c r="U5230" s="2" t="s">
        <v>79</v>
      </c>
      <c r="V5230" s="2">
        <v>1</v>
      </c>
      <c r="W5230" s="2" t="s">
        <v>80</v>
      </c>
      <c r="X5230" s="2">
        <v>9</v>
      </c>
      <c r="Y5230" s="2" t="s">
        <v>3393</v>
      </c>
      <c r="Z5230" s="2">
        <v>1</v>
      </c>
      <c r="AA5230" s="2" t="s">
        <v>82</v>
      </c>
      <c r="AB5230" s="2">
        <v>9</v>
      </c>
      <c r="AC5230" s="2" t="s">
        <v>124</v>
      </c>
      <c r="AD5230" s="3">
        <v>40532</v>
      </c>
      <c r="AE5230" s="4">
        <v>0.3263888888888889</v>
      </c>
      <c r="AF5230" s="3">
        <v>40532</v>
      </c>
      <c r="AG5230" s="4">
        <v>0.3263888888888889</v>
      </c>
      <c r="AH5230" s="2">
        <v>4</v>
      </c>
      <c r="AI5230" s="2" t="s">
        <v>125</v>
      </c>
      <c r="AJ5230" s="2">
        <v>25</v>
      </c>
      <c r="AK5230" s="2" t="s">
        <v>125</v>
      </c>
      <c r="AL5230" s="2">
        <v>23</v>
      </c>
      <c r="AM5230" s="2" t="s">
        <v>251</v>
      </c>
      <c r="AN5230" s="2"/>
      <c r="AO5230" s="2" t="s">
        <v>15949</v>
      </c>
      <c r="AP5230" s="2">
        <v>11</v>
      </c>
      <c r="AQ5230" s="2" t="s">
        <v>82</v>
      </c>
      <c r="AR5230" s="2"/>
      <c r="AS5230" s="2"/>
      <c r="AT5230" s="2" t="s">
        <v>15993</v>
      </c>
      <c r="AU5230" s="2"/>
      <c r="AV5230" s="2">
        <v>2</v>
      </c>
      <c r="AW5230" s="2"/>
      <c r="AX5230" s="2"/>
      <c r="AY5230" s="2">
        <v>41</v>
      </c>
      <c r="AZ5230" s="2" t="s">
        <v>82</v>
      </c>
      <c r="BA5230" s="2">
        <v>41</v>
      </c>
      <c r="BB5230" s="2" t="s">
        <v>82</v>
      </c>
      <c r="BC5230" s="2">
        <v>41</v>
      </c>
      <c r="BD5230" s="2" t="s">
        <v>82</v>
      </c>
      <c r="BE5230" s="2">
        <v>41</v>
      </c>
      <c r="BF5230" s="2" t="s">
        <v>82</v>
      </c>
      <c r="BG5230" s="2"/>
      <c r="BH5230" s="2"/>
      <c r="BI5230" s="2"/>
      <c r="BJ5230" s="2">
        <v>241</v>
      </c>
      <c r="BK5230" s="2" t="s">
        <v>82</v>
      </c>
      <c r="BL5230" s="2"/>
      <c r="BM5230" s="2">
        <v>241</v>
      </c>
      <c r="BN5230" s="2" t="s">
        <v>82</v>
      </c>
      <c r="BO5230" s="2"/>
      <c r="BP5230" s="2">
        <v>241</v>
      </c>
      <c r="BQ5230" s="2" t="s">
        <v>82</v>
      </c>
      <c r="BR5230" s="2"/>
      <c r="BS5230" s="3">
        <v>40532</v>
      </c>
      <c r="BT5230" s="4">
        <v>0.93004629629629632</v>
      </c>
    </row>
    <row r="5231" spans="1:72" x14ac:dyDescent="0.25">
      <c r="A5231" s="2">
        <v>8118</v>
      </c>
      <c r="B5231" s="2">
        <v>2010</v>
      </c>
      <c r="C5231" s="2" t="s">
        <v>385</v>
      </c>
      <c r="D5231" s="2" t="s">
        <v>122</v>
      </c>
      <c r="E5231" s="2" t="s">
        <v>15992</v>
      </c>
      <c r="F5231" s="2">
        <v>425</v>
      </c>
      <c r="G5231" s="2" t="s">
        <v>286</v>
      </c>
      <c r="H5231" s="2">
        <v>39</v>
      </c>
      <c r="I5231" s="2" t="s">
        <v>1117</v>
      </c>
      <c r="J5231" s="2">
        <v>310</v>
      </c>
      <c r="K5231" s="2" t="s">
        <v>288</v>
      </c>
      <c r="L5231" s="2" t="s">
        <v>289</v>
      </c>
      <c r="M5231" s="3">
        <v>40532</v>
      </c>
      <c r="N5231" s="2" t="s">
        <v>1882</v>
      </c>
      <c r="O5231" s="2" t="s">
        <v>11437</v>
      </c>
      <c r="P5231" s="2" t="s">
        <v>11438</v>
      </c>
      <c r="Q5231" s="2" t="str">
        <f t="shared" si="0"/>
        <v>101</v>
      </c>
      <c r="R5231" s="2"/>
      <c r="S5231" s="2"/>
      <c r="T5231" s="2">
        <v>1</v>
      </c>
      <c r="U5231" s="2" t="s">
        <v>79</v>
      </c>
      <c r="V5231" s="2">
        <v>1</v>
      </c>
      <c r="W5231" s="2" t="s">
        <v>80</v>
      </c>
      <c r="X5231" s="2">
        <v>9</v>
      </c>
      <c r="Y5231" s="2" t="s">
        <v>3393</v>
      </c>
      <c r="Z5231" s="2">
        <v>1</v>
      </c>
      <c r="AA5231" s="2" t="s">
        <v>82</v>
      </c>
      <c r="AB5231" s="2">
        <v>9</v>
      </c>
      <c r="AC5231" s="2" t="s">
        <v>124</v>
      </c>
      <c r="AD5231" s="3">
        <v>40532</v>
      </c>
      <c r="AE5231" s="4">
        <v>0.3263888888888889</v>
      </c>
      <c r="AF5231" s="3">
        <v>40532</v>
      </c>
      <c r="AG5231" s="4">
        <v>0.3263888888888889</v>
      </c>
      <c r="AH5231" s="2">
        <v>4</v>
      </c>
      <c r="AI5231" s="2" t="s">
        <v>125</v>
      </c>
      <c r="AJ5231" s="2">
        <v>25</v>
      </c>
      <c r="AK5231" s="2" t="s">
        <v>125</v>
      </c>
      <c r="AL5231" s="2">
        <v>23</v>
      </c>
      <c r="AM5231" s="2" t="s">
        <v>251</v>
      </c>
      <c r="AN5231" s="2"/>
      <c r="AO5231" s="2" t="s">
        <v>15949</v>
      </c>
      <c r="AP5231" s="2">
        <v>11</v>
      </c>
      <c r="AQ5231" s="2" t="s">
        <v>82</v>
      </c>
      <c r="AR5231" s="2"/>
      <c r="AS5231" s="2"/>
      <c r="AT5231" s="2" t="s">
        <v>15993</v>
      </c>
      <c r="AU5231" s="2"/>
      <c r="AV5231" s="2">
        <v>2</v>
      </c>
      <c r="AW5231" s="2"/>
      <c r="AX5231" s="2"/>
      <c r="AY5231" s="2">
        <v>41</v>
      </c>
      <c r="AZ5231" s="2" t="s">
        <v>82</v>
      </c>
      <c r="BA5231" s="2">
        <v>41</v>
      </c>
      <c r="BB5231" s="2" t="s">
        <v>82</v>
      </c>
      <c r="BC5231" s="2">
        <v>41</v>
      </c>
      <c r="BD5231" s="2" t="s">
        <v>82</v>
      </c>
      <c r="BE5231" s="2">
        <v>41</v>
      </c>
      <c r="BF5231" s="2" t="s">
        <v>82</v>
      </c>
      <c r="BG5231" s="2"/>
      <c r="BH5231" s="2"/>
      <c r="BI5231" s="2"/>
      <c r="BJ5231" s="2">
        <v>241</v>
      </c>
      <c r="BK5231" s="2" t="s">
        <v>82</v>
      </c>
      <c r="BL5231" s="2"/>
      <c r="BM5231" s="2">
        <v>241</v>
      </c>
      <c r="BN5231" s="2" t="s">
        <v>82</v>
      </c>
      <c r="BO5231" s="2"/>
      <c r="BP5231" s="2">
        <v>241</v>
      </c>
      <c r="BQ5231" s="2" t="s">
        <v>82</v>
      </c>
      <c r="BR5231" s="2"/>
      <c r="BS5231" s="3">
        <v>40532</v>
      </c>
      <c r="BT5231" s="4">
        <v>0.93004629629629632</v>
      </c>
    </row>
    <row r="5232" spans="1:72" x14ac:dyDescent="0.25">
      <c r="A5232" s="2">
        <v>8119</v>
      </c>
      <c r="B5232" s="2">
        <v>2010</v>
      </c>
      <c r="C5232" s="2" t="s">
        <v>93</v>
      </c>
      <c r="D5232" s="2" t="s">
        <v>73</v>
      </c>
      <c r="E5232" s="2"/>
      <c r="F5232" s="2">
        <v>128</v>
      </c>
      <c r="G5232" s="2" t="s">
        <v>1625</v>
      </c>
      <c r="H5232" s="2">
        <v>42</v>
      </c>
      <c r="I5232" s="2" t="s">
        <v>1096</v>
      </c>
      <c r="J5232" s="2">
        <v>142</v>
      </c>
      <c r="K5232" s="2" t="s">
        <v>15994</v>
      </c>
      <c r="L5232" s="2" t="s">
        <v>7669</v>
      </c>
      <c r="M5232" s="3">
        <v>40532</v>
      </c>
      <c r="N5232" s="2" t="s">
        <v>15995</v>
      </c>
      <c r="O5232" s="2" t="s">
        <v>15996</v>
      </c>
      <c r="P5232" s="2">
        <v>19242</v>
      </c>
      <c r="Q5232" s="2" t="str">
        <f>"AP 0065/10"</f>
        <v>AP 0065/10</v>
      </c>
      <c r="R5232" s="2" t="s">
        <v>15997</v>
      </c>
      <c r="S5232" s="2"/>
      <c r="T5232" s="2">
        <v>1</v>
      </c>
      <c r="U5232" s="2" t="s">
        <v>79</v>
      </c>
      <c r="V5232" s="2">
        <v>1</v>
      </c>
      <c r="W5232" s="2" t="s">
        <v>80</v>
      </c>
      <c r="X5232" s="2">
        <v>1</v>
      </c>
      <c r="Y5232" s="2" t="s">
        <v>81</v>
      </c>
      <c r="Z5232" s="2">
        <v>1</v>
      </c>
      <c r="AA5232" s="2" t="s">
        <v>82</v>
      </c>
      <c r="AB5232" s="2">
        <v>2</v>
      </c>
      <c r="AC5232" s="2" t="s">
        <v>102</v>
      </c>
      <c r="AD5232" s="3">
        <v>40532</v>
      </c>
      <c r="AE5232" s="4">
        <v>0.84027777777777779</v>
      </c>
      <c r="AF5232" s="3">
        <v>40532</v>
      </c>
      <c r="AG5232" s="4">
        <v>0.84027777777777779</v>
      </c>
      <c r="AH5232" s="2">
        <v>6</v>
      </c>
      <c r="AI5232" s="2" t="s">
        <v>197</v>
      </c>
      <c r="AJ5232" s="2">
        <v>60</v>
      </c>
      <c r="AK5232" s="2" t="s">
        <v>543</v>
      </c>
      <c r="AL5232" s="2">
        <v>11</v>
      </c>
      <c r="AM5232" s="2" t="s">
        <v>137</v>
      </c>
      <c r="AN5232" s="2"/>
      <c r="AO5232" s="2" t="s">
        <v>15998</v>
      </c>
      <c r="AP5232" s="2">
        <v>11</v>
      </c>
      <c r="AQ5232" s="2" t="s">
        <v>82</v>
      </c>
      <c r="AR5232" s="2"/>
      <c r="AS5232" s="2"/>
      <c r="AT5232" s="2" t="s">
        <v>15999</v>
      </c>
      <c r="AU5232" s="2"/>
      <c r="AV5232" s="2"/>
      <c r="AW5232" s="2"/>
      <c r="AX5232" s="2"/>
      <c r="AY5232" s="2">
        <v>41</v>
      </c>
      <c r="AZ5232" s="2" t="s">
        <v>82</v>
      </c>
      <c r="BA5232" s="2">
        <v>41</v>
      </c>
      <c r="BB5232" s="2" t="s">
        <v>82</v>
      </c>
      <c r="BC5232" s="2">
        <v>41</v>
      </c>
      <c r="BD5232" s="2" t="s">
        <v>82</v>
      </c>
      <c r="BE5232" s="2">
        <v>13</v>
      </c>
      <c r="BF5232" s="2" t="s">
        <v>108</v>
      </c>
      <c r="BG5232" s="2" t="s">
        <v>13499</v>
      </c>
      <c r="BH5232" s="2"/>
      <c r="BI5232" s="4">
        <v>0.88611111111111107</v>
      </c>
      <c r="BJ5232" s="2">
        <v>13</v>
      </c>
      <c r="BK5232" s="2" t="s">
        <v>91</v>
      </c>
      <c r="BL5232" s="2" t="s">
        <v>895</v>
      </c>
      <c r="BM5232" s="2">
        <v>13</v>
      </c>
      <c r="BN5232" s="2" t="s">
        <v>91</v>
      </c>
      <c r="BO5232" s="2"/>
      <c r="BP5232" s="2">
        <v>13</v>
      </c>
      <c r="BQ5232" s="2" t="s">
        <v>91</v>
      </c>
      <c r="BR5232" s="2" t="s">
        <v>16000</v>
      </c>
      <c r="BS5232" s="3">
        <v>40532</v>
      </c>
      <c r="BT5232" s="4">
        <v>0.93373842592592593</v>
      </c>
    </row>
    <row r="5233" spans="1:72" x14ac:dyDescent="0.25">
      <c r="A5233" s="2">
        <v>8120</v>
      </c>
      <c r="B5233" s="2">
        <v>2010</v>
      </c>
      <c r="C5233" s="2" t="s">
        <v>128</v>
      </c>
      <c r="D5233" s="2" t="s">
        <v>122</v>
      </c>
      <c r="E5233" s="2" t="s">
        <v>16001</v>
      </c>
      <c r="F5233" s="2">
        <v>425</v>
      </c>
      <c r="G5233" s="2" t="s">
        <v>286</v>
      </c>
      <c r="H5233" s="2">
        <v>39</v>
      </c>
      <c r="I5233" s="2" t="s">
        <v>1117</v>
      </c>
      <c r="J5233" s="2">
        <v>310</v>
      </c>
      <c r="K5233" s="2" t="s">
        <v>288</v>
      </c>
      <c r="L5233" s="2" t="s">
        <v>289</v>
      </c>
      <c r="M5233" s="3">
        <v>40532</v>
      </c>
      <c r="N5233" s="2" t="s">
        <v>1882</v>
      </c>
      <c r="O5233" s="2" t="s">
        <v>11437</v>
      </c>
      <c r="P5233" s="2" t="s">
        <v>11438</v>
      </c>
      <c r="Q5233" s="2" t="str">
        <f>"101"</f>
        <v>101</v>
      </c>
      <c r="R5233" s="2"/>
      <c r="S5233" s="2"/>
      <c r="T5233" s="2">
        <v>1</v>
      </c>
      <c r="U5233" s="2" t="s">
        <v>79</v>
      </c>
      <c r="V5233" s="2">
        <v>1</v>
      </c>
      <c r="W5233" s="2" t="s">
        <v>80</v>
      </c>
      <c r="X5233" s="2">
        <v>9</v>
      </c>
      <c r="Y5233" s="2" t="s">
        <v>3393</v>
      </c>
      <c r="Z5233" s="2">
        <v>1</v>
      </c>
      <c r="AA5233" s="2" t="s">
        <v>82</v>
      </c>
      <c r="AB5233" s="2">
        <v>9</v>
      </c>
      <c r="AC5233" s="2" t="s">
        <v>124</v>
      </c>
      <c r="AD5233" s="3">
        <v>40532</v>
      </c>
      <c r="AE5233" s="4">
        <v>0.3263888888888889</v>
      </c>
      <c r="AF5233" s="3">
        <v>40532</v>
      </c>
      <c r="AG5233" s="4">
        <v>0.4548611111111111</v>
      </c>
      <c r="AH5233" s="2">
        <v>4</v>
      </c>
      <c r="AI5233" s="2" t="s">
        <v>125</v>
      </c>
      <c r="AJ5233" s="2">
        <v>25</v>
      </c>
      <c r="AK5233" s="2" t="s">
        <v>125</v>
      </c>
      <c r="AL5233" s="2">
        <v>23</v>
      </c>
      <c r="AM5233" s="2" t="s">
        <v>251</v>
      </c>
      <c r="AN5233" s="2"/>
      <c r="AO5233" s="2" t="s">
        <v>15946</v>
      </c>
      <c r="AP5233" s="2">
        <v>11</v>
      </c>
      <c r="AQ5233" s="2" t="s">
        <v>82</v>
      </c>
      <c r="AR5233" s="2"/>
      <c r="AS5233" s="2"/>
      <c r="AT5233" s="2" t="s">
        <v>16002</v>
      </c>
      <c r="AU5233" s="2"/>
      <c r="AV5233" s="2">
        <v>2</v>
      </c>
      <c r="AW5233" s="2"/>
      <c r="AX5233" s="2"/>
      <c r="AY5233" s="2">
        <v>41</v>
      </c>
      <c r="AZ5233" s="2" t="s">
        <v>82</v>
      </c>
      <c r="BA5233" s="2">
        <v>41</v>
      </c>
      <c r="BB5233" s="2" t="s">
        <v>82</v>
      </c>
      <c r="BC5233" s="2">
        <v>41</v>
      </c>
      <c r="BD5233" s="2" t="s">
        <v>82</v>
      </c>
      <c r="BE5233" s="2">
        <v>41</v>
      </c>
      <c r="BF5233" s="2" t="s">
        <v>82</v>
      </c>
      <c r="BG5233" s="2"/>
      <c r="BH5233" s="2"/>
      <c r="BI5233" s="2"/>
      <c r="BJ5233" s="2">
        <v>241</v>
      </c>
      <c r="BK5233" s="2" t="s">
        <v>82</v>
      </c>
      <c r="BL5233" s="2"/>
      <c r="BM5233" s="2">
        <v>241</v>
      </c>
      <c r="BN5233" s="2" t="s">
        <v>82</v>
      </c>
      <c r="BO5233" s="2"/>
      <c r="BP5233" s="2">
        <v>241</v>
      </c>
      <c r="BQ5233" s="2" t="s">
        <v>82</v>
      </c>
      <c r="BR5233" s="2"/>
      <c r="BS5233" s="3">
        <v>40532</v>
      </c>
      <c r="BT5233" s="4">
        <v>0.94468750000000001</v>
      </c>
    </row>
    <row r="5234" spans="1:72" x14ac:dyDescent="0.25">
      <c r="A5234" s="2">
        <v>8120</v>
      </c>
      <c r="B5234" s="2">
        <v>2010</v>
      </c>
      <c r="C5234" s="2" t="s">
        <v>385</v>
      </c>
      <c r="D5234" s="2" t="s">
        <v>122</v>
      </c>
      <c r="E5234" s="2" t="s">
        <v>16001</v>
      </c>
      <c r="F5234" s="2">
        <v>425</v>
      </c>
      <c r="G5234" s="2" t="s">
        <v>286</v>
      </c>
      <c r="H5234" s="2">
        <v>39</v>
      </c>
      <c r="I5234" s="2" t="s">
        <v>1117</v>
      </c>
      <c r="J5234" s="2">
        <v>310</v>
      </c>
      <c r="K5234" s="2" t="s">
        <v>288</v>
      </c>
      <c r="L5234" s="2" t="s">
        <v>289</v>
      </c>
      <c r="M5234" s="3">
        <v>40532</v>
      </c>
      <c r="N5234" s="2" t="s">
        <v>1882</v>
      </c>
      <c r="O5234" s="2" t="s">
        <v>11437</v>
      </c>
      <c r="P5234" s="2" t="s">
        <v>11438</v>
      </c>
      <c r="Q5234" s="2" t="str">
        <f>"101"</f>
        <v>101</v>
      </c>
      <c r="R5234" s="2"/>
      <c r="S5234" s="2"/>
      <c r="T5234" s="2">
        <v>1</v>
      </c>
      <c r="U5234" s="2" t="s">
        <v>79</v>
      </c>
      <c r="V5234" s="2">
        <v>1</v>
      </c>
      <c r="W5234" s="2" t="s">
        <v>80</v>
      </c>
      <c r="X5234" s="2">
        <v>9</v>
      </c>
      <c r="Y5234" s="2" t="s">
        <v>3393</v>
      </c>
      <c r="Z5234" s="2">
        <v>1</v>
      </c>
      <c r="AA5234" s="2" t="s">
        <v>82</v>
      </c>
      <c r="AB5234" s="2">
        <v>9</v>
      </c>
      <c r="AC5234" s="2" t="s">
        <v>124</v>
      </c>
      <c r="AD5234" s="3">
        <v>40532</v>
      </c>
      <c r="AE5234" s="4">
        <v>0.3263888888888889</v>
      </c>
      <c r="AF5234" s="3">
        <v>40532</v>
      </c>
      <c r="AG5234" s="4">
        <v>0.4548611111111111</v>
      </c>
      <c r="AH5234" s="2">
        <v>4</v>
      </c>
      <c r="AI5234" s="2" t="s">
        <v>125</v>
      </c>
      <c r="AJ5234" s="2">
        <v>25</v>
      </c>
      <c r="AK5234" s="2" t="s">
        <v>125</v>
      </c>
      <c r="AL5234" s="2">
        <v>23</v>
      </c>
      <c r="AM5234" s="2" t="s">
        <v>251</v>
      </c>
      <c r="AN5234" s="2"/>
      <c r="AO5234" s="2" t="s">
        <v>15946</v>
      </c>
      <c r="AP5234" s="2">
        <v>11</v>
      </c>
      <c r="AQ5234" s="2" t="s">
        <v>82</v>
      </c>
      <c r="AR5234" s="2"/>
      <c r="AS5234" s="2"/>
      <c r="AT5234" s="2" t="s">
        <v>16002</v>
      </c>
      <c r="AU5234" s="2"/>
      <c r="AV5234" s="2">
        <v>2</v>
      </c>
      <c r="AW5234" s="2"/>
      <c r="AX5234" s="2"/>
      <c r="AY5234" s="2">
        <v>41</v>
      </c>
      <c r="AZ5234" s="2" t="s">
        <v>82</v>
      </c>
      <c r="BA5234" s="2">
        <v>41</v>
      </c>
      <c r="BB5234" s="2" t="s">
        <v>82</v>
      </c>
      <c r="BC5234" s="2">
        <v>41</v>
      </c>
      <c r="BD5234" s="2" t="s">
        <v>82</v>
      </c>
      <c r="BE5234" s="2">
        <v>41</v>
      </c>
      <c r="BF5234" s="2" t="s">
        <v>82</v>
      </c>
      <c r="BG5234" s="2"/>
      <c r="BH5234" s="2"/>
      <c r="BI5234" s="2"/>
      <c r="BJ5234" s="2">
        <v>241</v>
      </c>
      <c r="BK5234" s="2" t="s">
        <v>82</v>
      </c>
      <c r="BL5234" s="2"/>
      <c r="BM5234" s="2">
        <v>241</v>
      </c>
      <c r="BN5234" s="2" t="s">
        <v>82</v>
      </c>
      <c r="BO5234" s="2"/>
      <c r="BP5234" s="2">
        <v>241</v>
      </c>
      <c r="BQ5234" s="2" t="s">
        <v>82</v>
      </c>
      <c r="BR5234" s="2"/>
      <c r="BS5234" s="3">
        <v>40532</v>
      </c>
      <c r="BT5234" s="4">
        <v>0.94468750000000001</v>
      </c>
    </row>
    <row r="5235" spans="1:72" x14ac:dyDescent="0.25">
      <c r="A5235" s="2">
        <v>8121</v>
      </c>
      <c r="B5235" s="2">
        <v>2010</v>
      </c>
      <c r="C5235" s="2" t="s">
        <v>93</v>
      </c>
      <c r="D5235" s="2" t="s">
        <v>73</v>
      </c>
      <c r="E5235" s="2"/>
      <c r="F5235" s="2">
        <v>144</v>
      </c>
      <c r="G5235" s="2" t="s">
        <v>537</v>
      </c>
      <c r="H5235" s="2">
        <v>42</v>
      </c>
      <c r="I5235" s="2" t="s">
        <v>1096</v>
      </c>
      <c r="J5235" s="2">
        <v>160</v>
      </c>
      <c r="K5235" s="2" t="s">
        <v>538</v>
      </c>
      <c r="L5235" s="2" t="s">
        <v>539</v>
      </c>
      <c r="M5235" s="3">
        <v>40532</v>
      </c>
      <c r="N5235" s="2" t="s">
        <v>16003</v>
      </c>
      <c r="O5235" s="2" t="s">
        <v>16004</v>
      </c>
      <c r="P5235" s="2" t="s">
        <v>16005</v>
      </c>
      <c r="Q5235" s="2" t="str">
        <f>"AP 0066/10"</f>
        <v>AP 0066/10</v>
      </c>
      <c r="R5235" s="2" t="s">
        <v>16006</v>
      </c>
      <c r="S5235" s="2"/>
      <c r="T5235" s="2">
        <v>1</v>
      </c>
      <c r="U5235" s="2" t="s">
        <v>79</v>
      </c>
      <c r="V5235" s="2">
        <v>1</v>
      </c>
      <c r="W5235" s="2" t="s">
        <v>80</v>
      </c>
      <c r="X5235" s="2">
        <v>1</v>
      </c>
      <c r="Y5235" s="2" t="s">
        <v>81</v>
      </c>
      <c r="Z5235" s="2">
        <v>1</v>
      </c>
      <c r="AA5235" s="2" t="s">
        <v>82</v>
      </c>
      <c r="AB5235" s="2">
        <v>2</v>
      </c>
      <c r="AC5235" s="2" t="s">
        <v>102</v>
      </c>
      <c r="AD5235" s="3">
        <v>40532</v>
      </c>
      <c r="AE5235" s="4">
        <v>0.88194444444444453</v>
      </c>
      <c r="AF5235" s="3">
        <v>40532</v>
      </c>
      <c r="AG5235" s="4">
        <v>0.88194444444444453</v>
      </c>
      <c r="AH5235" s="2">
        <v>6</v>
      </c>
      <c r="AI5235" s="2" t="s">
        <v>197</v>
      </c>
      <c r="AJ5235" s="2">
        <v>60</v>
      </c>
      <c r="AK5235" s="2" t="s">
        <v>543</v>
      </c>
      <c r="AL5235" s="2">
        <v>11</v>
      </c>
      <c r="AM5235" s="2" t="s">
        <v>137</v>
      </c>
      <c r="AN5235" s="2"/>
      <c r="AO5235" s="2" t="s">
        <v>16007</v>
      </c>
      <c r="AP5235" s="2">
        <v>11</v>
      </c>
      <c r="AQ5235" s="2" t="s">
        <v>82</v>
      </c>
      <c r="AR5235" s="2"/>
      <c r="AS5235" s="2"/>
      <c r="AT5235" s="2" t="s">
        <v>16008</v>
      </c>
      <c r="AU5235" s="2"/>
      <c r="AV5235" s="2"/>
      <c r="AW5235" s="2"/>
      <c r="AX5235" s="2"/>
      <c r="AY5235" s="2">
        <v>41</v>
      </c>
      <c r="AZ5235" s="2" t="s">
        <v>82</v>
      </c>
      <c r="BA5235" s="2">
        <v>41</v>
      </c>
      <c r="BB5235" s="2" t="s">
        <v>82</v>
      </c>
      <c r="BC5235" s="2">
        <v>41</v>
      </c>
      <c r="BD5235" s="2" t="s">
        <v>82</v>
      </c>
      <c r="BE5235" s="2">
        <v>13</v>
      </c>
      <c r="BF5235" s="2" t="s">
        <v>108</v>
      </c>
      <c r="BG5235" s="2" t="s">
        <v>12554</v>
      </c>
      <c r="BH5235" s="2"/>
      <c r="BI5235" s="4">
        <v>0.92361111111111116</v>
      </c>
      <c r="BJ5235" s="2">
        <v>13</v>
      </c>
      <c r="BK5235" s="2" t="s">
        <v>91</v>
      </c>
      <c r="BL5235" s="2" t="s">
        <v>895</v>
      </c>
      <c r="BM5235" s="2">
        <v>13</v>
      </c>
      <c r="BN5235" s="2" t="s">
        <v>91</v>
      </c>
      <c r="BO5235" s="2"/>
      <c r="BP5235" s="2">
        <v>13</v>
      </c>
      <c r="BQ5235" s="2" t="s">
        <v>91</v>
      </c>
      <c r="BR5235" s="2" t="s">
        <v>3520</v>
      </c>
      <c r="BS5235" s="3">
        <v>40532</v>
      </c>
      <c r="BT5235" s="4">
        <v>0.95843750000000005</v>
      </c>
    </row>
    <row r="5236" spans="1:72" x14ac:dyDescent="0.25">
      <c r="A5236" s="2">
        <v>8122</v>
      </c>
      <c r="B5236" s="2">
        <v>2010</v>
      </c>
      <c r="C5236" s="2" t="s">
        <v>128</v>
      </c>
      <c r="D5236" s="2" t="s">
        <v>122</v>
      </c>
      <c r="E5236" s="2" t="s">
        <v>16009</v>
      </c>
      <c r="F5236" s="2">
        <v>425</v>
      </c>
      <c r="G5236" s="2" t="s">
        <v>286</v>
      </c>
      <c r="H5236" s="2">
        <v>3</v>
      </c>
      <c r="I5236" s="2" t="s">
        <v>315</v>
      </c>
      <c r="J5236" s="2">
        <v>310</v>
      </c>
      <c r="K5236" s="2" t="s">
        <v>288</v>
      </c>
      <c r="L5236" s="2" t="s">
        <v>289</v>
      </c>
      <c r="M5236" s="3">
        <v>40533</v>
      </c>
      <c r="N5236" s="2" t="s">
        <v>1917</v>
      </c>
      <c r="O5236" s="2" t="s">
        <v>11437</v>
      </c>
      <c r="P5236" s="2" t="s">
        <v>15929</v>
      </c>
      <c r="Q5236" s="2" t="str">
        <f>"101"</f>
        <v>101</v>
      </c>
      <c r="R5236" s="2"/>
      <c r="S5236" s="2"/>
      <c r="T5236" s="2">
        <v>1</v>
      </c>
      <c r="U5236" s="2" t="s">
        <v>79</v>
      </c>
      <c r="V5236" s="2">
        <v>1</v>
      </c>
      <c r="W5236" s="2" t="s">
        <v>80</v>
      </c>
      <c r="X5236" s="2">
        <v>9</v>
      </c>
      <c r="Y5236" s="2" t="s">
        <v>3393</v>
      </c>
      <c r="Z5236" s="2">
        <v>1</v>
      </c>
      <c r="AA5236" s="2" t="s">
        <v>82</v>
      </c>
      <c r="AB5236" s="2">
        <v>9</v>
      </c>
      <c r="AC5236" s="2" t="s">
        <v>124</v>
      </c>
      <c r="AD5236" s="3">
        <v>40532</v>
      </c>
      <c r="AE5236" s="4">
        <v>0.3263888888888889</v>
      </c>
      <c r="AF5236" s="3">
        <v>40532</v>
      </c>
      <c r="AG5236" s="4">
        <v>0.58333333333333337</v>
      </c>
      <c r="AH5236" s="2">
        <v>4</v>
      </c>
      <c r="AI5236" s="2" t="s">
        <v>125</v>
      </c>
      <c r="AJ5236" s="2">
        <v>25</v>
      </c>
      <c r="AK5236" s="2" t="s">
        <v>125</v>
      </c>
      <c r="AL5236" s="2">
        <v>23</v>
      </c>
      <c r="AM5236" s="2" t="s">
        <v>251</v>
      </c>
      <c r="AN5236" s="2"/>
      <c r="AO5236" s="2" t="s">
        <v>16010</v>
      </c>
      <c r="AP5236" s="2">
        <v>11</v>
      </c>
      <c r="AQ5236" s="2" t="s">
        <v>82</v>
      </c>
      <c r="AR5236" s="2"/>
      <c r="AS5236" s="2"/>
      <c r="AT5236" s="2" t="s">
        <v>16011</v>
      </c>
      <c r="AU5236" s="2"/>
      <c r="AV5236" s="2">
        <v>2</v>
      </c>
      <c r="AW5236" s="2"/>
      <c r="AX5236" s="2"/>
      <c r="AY5236" s="2">
        <v>41</v>
      </c>
      <c r="AZ5236" s="2" t="s">
        <v>82</v>
      </c>
      <c r="BA5236" s="2">
        <v>41</v>
      </c>
      <c r="BB5236" s="2" t="s">
        <v>82</v>
      </c>
      <c r="BC5236" s="2">
        <v>41</v>
      </c>
      <c r="BD5236" s="2" t="s">
        <v>82</v>
      </c>
      <c r="BE5236" s="2">
        <v>41</v>
      </c>
      <c r="BF5236" s="2" t="s">
        <v>82</v>
      </c>
      <c r="BG5236" s="2"/>
      <c r="BH5236" s="2"/>
      <c r="BI5236" s="2"/>
      <c r="BJ5236" s="2">
        <v>241</v>
      </c>
      <c r="BK5236" s="2" t="s">
        <v>82</v>
      </c>
      <c r="BL5236" s="2"/>
      <c r="BM5236" s="2">
        <v>241</v>
      </c>
      <c r="BN5236" s="2" t="s">
        <v>82</v>
      </c>
      <c r="BO5236" s="2"/>
      <c r="BP5236" s="2">
        <v>241</v>
      </c>
      <c r="BQ5236" s="2" t="s">
        <v>82</v>
      </c>
      <c r="BR5236" s="2"/>
      <c r="BS5236" s="3">
        <v>40533</v>
      </c>
      <c r="BT5236" s="4">
        <v>1.9212962962962962E-3</v>
      </c>
    </row>
    <row r="5237" spans="1:72" x14ac:dyDescent="0.25">
      <c r="A5237" s="2">
        <v>8122</v>
      </c>
      <c r="B5237" s="2">
        <v>2010</v>
      </c>
      <c r="C5237" s="2" t="s">
        <v>385</v>
      </c>
      <c r="D5237" s="2" t="s">
        <v>122</v>
      </c>
      <c r="E5237" s="2" t="s">
        <v>16009</v>
      </c>
      <c r="F5237" s="2">
        <v>425</v>
      </c>
      <c r="G5237" s="2" t="s">
        <v>286</v>
      </c>
      <c r="H5237" s="2">
        <v>3</v>
      </c>
      <c r="I5237" s="2" t="s">
        <v>315</v>
      </c>
      <c r="J5237" s="2">
        <v>310</v>
      </c>
      <c r="K5237" s="2" t="s">
        <v>288</v>
      </c>
      <c r="L5237" s="2" t="s">
        <v>289</v>
      </c>
      <c r="M5237" s="3">
        <v>40533</v>
      </c>
      <c r="N5237" s="2" t="s">
        <v>1917</v>
      </c>
      <c r="O5237" s="2" t="s">
        <v>11437</v>
      </c>
      <c r="P5237" s="2" t="s">
        <v>15929</v>
      </c>
      <c r="Q5237" s="2" t="str">
        <f>"101"</f>
        <v>101</v>
      </c>
      <c r="R5237" s="2"/>
      <c r="S5237" s="2"/>
      <c r="T5237" s="2">
        <v>1</v>
      </c>
      <c r="U5237" s="2" t="s">
        <v>79</v>
      </c>
      <c r="V5237" s="2">
        <v>1</v>
      </c>
      <c r="W5237" s="2" t="s">
        <v>80</v>
      </c>
      <c r="X5237" s="2">
        <v>9</v>
      </c>
      <c r="Y5237" s="2" t="s">
        <v>3393</v>
      </c>
      <c r="Z5237" s="2">
        <v>1</v>
      </c>
      <c r="AA5237" s="2" t="s">
        <v>82</v>
      </c>
      <c r="AB5237" s="2">
        <v>9</v>
      </c>
      <c r="AC5237" s="2" t="s">
        <v>124</v>
      </c>
      <c r="AD5237" s="3">
        <v>40532</v>
      </c>
      <c r="AE5237" s="4">
        <v>0.3263888888888889</v>
      </c>
      <c r="AF5237" s="3">
        <v>40532</v>
      </c>
      <c r="AG5237" s="4">
        <v>0.58333333333333337</v>
      </c>
      <c r="AH5237" s="2">
        <v>4</v>
      </c>
      <c r="AI5237" s="2" t="s">
        <v>125</v>
      </c>
      <c r="AJ5237" s="2">
        <v>25</v>
      </c>
      <c r="AK5237" s="2" t="s">
        <v>125</v>
      </c>
      <c r="AL5237" s="2">
        <v>23</v>
      </c>
      <c r="AM5237" s="2" t="s">
        <v>251</v>
      </c>
      <c r="AN5237" s="2"/>
      <c r="AO5237" s="2" t="s">
        <v>16010</v>
      </c>
      <c r="AP5237" s="2">
        <v>11</v>
      </c>
      <c r="AQ5237" s="2" t="s">
        <v>82</v>
      </c>
      <c r="AR5237" s="2"/>
      <c r="AS5237" s="2"/>
      <c r="AT5237" s="2" t="s">
        <v>16011</v>
      </c>
      <c r="AU5237" s="2"/>
      <c r="AV5237" s="2">
        <v>2</v>
      </c>
      <c r="AW5237" s="2"/>
      <c r="AX5237" s="2"/>
      <c r="AY5237" s="2">
        <v>41</v>
      </c>
      <c r="AZ5237" s="2" t="s">
        <v>82</v>
      </c>
      <c r="BA5237" s="2">
        <v>41</v>
      </c>
      <c r="BB5237" s="2" t="s">
        <v>82</v>
      </c>
      <c r="BC5237" s="2">
        <v>41</v>
      </c>
      <c r="BD5237" s="2" t="s">
        <v>82</v>
      </c>
      <c r="BE5237" s="2">
        <v>41</v>
      </c>
      <c r="BF5237" s="2" t="s">
        <v>82</v>
      </c>
      <c r="BG5237" s="2"/>
      <c r="BH5237" s="2"/>
      <c r="BI5237" s="2"/>
      <c r="BJ5237" s="2">
        <v>241</v>
      </c>
      <c r="BK5237" s="2" t="s">
        <v>82</v>
      </c>
      <c r="BL5237" s="2"/>
      <c r="BM5237" s="2">
        <v>241</v>
      </c>
      <c r="BN5237" s="2" t="s">
        <v>82</v>
      </c>
      <c r="BO5237" s="2"/>
      <c r="BP5237" s="2">
        <v>241</v>
      </c>
      <c r="BQ5237" s="2" t="s">
        <v>82</v>
      </c>
      <c r="BR5237" s="2"/>
      <c r="BS5237" s="3">
        <v>40533</v>
      </c>
      <c r="BT5237" s="4">
        <v>1.9212962962962962E-3</v>
      </c>
    </row>
    <row r="5238" spans="1:72" x14ac:dyDescent="0.25">
      <c r="A5238" s="2">
        <v>8123</v>
      </c>
      <c r="B5238" s="2">
        <v>2010</v>
      </c>
      <c r="C5238" s="2" t="s">
        <v>93</v>
      </c>
      <c r="D5238" s="2" t="s">
        <v>73</v>
      </c>
      <c r="E5238" s="2"/>
      <c r="F5238" s="2">
        <v>394</v>
      </c>
      <c r="G5238" s="2" t="s">
        <v>172</v>
      </c>
      <c r="H5238" s="2">
        <v>4</v>
      </c>
      <c r="I5238" s="2" t="s">
        <v>173</v>
      </c>
      <c r="J5238" s="2">
        <v>241</v>
      </c>
      <c r="K5238" s="2" t="s">
        <v>174</v>
      </c>
      <c r="L5238" s="2" t="s">
        <v>175</v>
      </c>
      <c r="M5238" s="3">
        <v>40533</v>
      </c>
      <c r="N5238" s="2" t="s">
        <v>176</v>
      </c>
      <c r="O5238" s="2" t="s">
        <v>16012</v>
      </c>
      <c r="P5238" s="2" t="s">
        <v>107</v>
      </c>
      <c r="Q5238" s="2" t="str">
        <f>"N/C"</f>
        <v>N/C</v>
      </c>
      <c r="R5238" s="2" t="s">
        <v>82</v>
      </c>
      <c r="S5238" s="2" t="s">
        <v>82</v>
      </c>
      <c r="T5238" s="2">
        <v>1</v>
      </c>
      <c r="U5238" s="2" t="s">
        <v>79</v>
      </c>
      <c r="V5238" s="2">
        <v>1</v>
      </c>
      <c r="W5238" s="2" t="s">
        <v>80</v>
      </c>
      <c r="X5238" s="2">
        <v>10</v>
      </c>
      <c r="Y5238" s="2" t="s">
        <v>226</v>
      </c>
      <c r="Z5238" s="2">
        <v>6</v>
      </c>
      <c r="AA5238" s="2" t="s">
        <v>101</v>
      </c>
      <c r="AB5238" s="2">
        <v>2</v>
      </c>
      <c r="AC5238" s="2" t="s">
        <v>102</v>
      </c>
      <c r="AD5238" s="3">
        <v>40532</v>
      </c>
      <c r="AE5238" s="4">
        <v>0.41666666666666669</v>
      </c>
      <c r="AF5238" s="3">
        <v>40532</v>
      </c>
      <c r="AG5238" s="4">
        <v>0.4375</v>
      </c>
      <c r="AH5238" s="2">
        <v>2</v>
      </c>
      <c r="AI5238" s="2" t="s">
        <v>84</v>
      </c>
      <c r="AJ5238" s="2">
        <v>9</v>
      </c>
      <c r="AK5238" s="2" t="s">
        <v>103</v>
      </c>
      <c r="AL5238" s="2">
        <v>14</v>
      </c>
      <c r="AM5238" s="2" t="s">
        <v>216</v>
      </c>
      <c r="AN5238" s="2" t="s">
        <v>9097</v>
      </c>
      <c r="AO5238" s="2" t="s">
        <v>16013</v>
      </c>
      <c r="AP5238" s="2">
        <v>11</v>
      </c>
      <c r="AQ5238" s="2" t="s">
        <v>82</v>
      </c>
      <c r="AR5238" s="2"/>
      <c r="AS5238" s="2"/>
      <c r="AT5238" s="2" t="s">
        <v>16014</v>
      </c>
      <c r="AU5238" s="2"/>
      <c r="AV5238" s="2">
        <v>1</v>
      </c>
      <c r="AW5238" s="2"/>
      <c r="AX5238" s="2"/>
      <c r="AY5238" s="2">
        <v>41</v>
      </c>
      <c r="AZ5238" s="2" t="s">
        <v>82</v>
      </c>
      <c r="BA5238" s="2">
        <v>41</v>
      </c>
      <c r="BB5238" s="2" t="s">
        <v>82</v>
      </c>
      <c r="BC5238" s="2">
        <v>41</v>
      </c>
      <c r="BD5238" s="2" t="s">
        <v>82</v>
      </c>
      <c r="BE5238" s="2">
        <v>35</v>
      </c>
      <c r="BF5238" s="2" t="s">
        <v>5816</v>
      </c>
      <c r="BG5238" s="2" t="s">
        <v>3577</v>
      </c>
      <c r="BH5238" s="2"/>
      <c r="BI5238" s="4">
        <v>0.5</v>
      </c>
      <c r="BJ5238" s="2">
        <v>33</v>
      </c>
      <c r="BK5238" s="2" t="s">
        <v>361</v>
      </c>
      <c r="BL5238" s="2" t="s">
        <v>1739</v>
      </c>
      <c r="BM5238" s="2">
        <v>13</v>
      </c>
      <c r="BN5238" s="2" t="s">
        <v>91</v>
      </c>
      <c r="BO5238" s="2"/>
      <c r="BP5238" s="2">
        <v>13</v>
      </c>
      <c r="BQ5238" s="2" t="s">
        <v>91</v>
      </c>
      <c r="BR5238" s="2" t="s">
        <v>360</v>
      </c>
      <c r="BS5238" s="3">
        <v>40533</v>
      </c>
      <c r="BT5238" s="4">
        <v>5.0925925925925921E-3</v>
      </c>
    </row>
    <row r="5239" spans="1:72" x14ac:dyDescent="0.25">
      <c r="A5239" s="2">
        <v>8124</v>
      </c>
      <c r="B5239" s="2">
        <v>2010</v>
      </c>
      <c r="C5239" s="2" t="s">
        <v>171</v>
      </c>
      <c r="D5239" s="2" t="s">
        <v>73</v>
      </c>
      <c r="E5239" s="2"/>
      <c r="F5239" s="2">
        <v>393</v>
      </c>
      <c r="G5239" s="2" t="s">
        <v>3660</v>
      </c>
      <c r="H5239" s="2">
        <v>3</v>
      </c>
      <c r="I5239" s="2" t="s">
        <v>315</v>
      </c>
      <c r="J5239" s="2">
        <v>2</v>
      </c>
      <c r="K5239" s="2" t="s">
        <v>3661</v>
      </c>
      <c r="L5239" s="2" t="s">
        <v>3662</v>
      </c>
      <c r="M5239" s="3">
        <v>40533</v>
      </c>
      <c r="N5239" s="2" t="s">
        <v>10885</v>
      </c>
      <c r="O5239" s="2" t="s">
        <v>107</v>
      </c>
      <c r="P5239" s="2" t="s">
        <v>107</v>
      </c>
      <c r="Q5239" s="2" t="str">
        <f>"0685-E/10"</f>
        <v>0685-E/10</v>
      </c>
      <c r="R5239" s="2" t="s">
        <v>391</v>
      </c>
      <c r="S5239" s="2" t="s">
        <v>391</v>
      </c>
      <c r="T5239" s="2">
        <v>1</v>
      </c>
      <c r="U5239" s="2" t="s">
        <v>79</v>
      </c>
      <c r="V5239" s="2">
        <v>1</v>
      </c>
      <c r="W5239" s="2" t="s">
        <v>80</v>
      </c>
      <c r="X5239" s="2">
        <v>1</v>
      </c>
      <c r="Y5239" s="2" t="s">
        <v>81</v>
      </c>
      <c r="Z5239" s="2">
        <v>1</v>
      </c>
      <c r="AA5239" s="2" t="s">
        <v>82</v>
      </c>
      <c r="AB5239" s="2">
        <v>1</v>
      </c>
      <c r="AC5239" s="2" t="s">
        <v>178</v>
      </c>
      <c r="AD5239" s="3">
        <v>40532</v>
      </c>
      <c r="AE5239" s="4">
        <v>0.59375</v>
      </c>
      <c r="AF5239" s="3">
        <v>40532</v>
      </c>
      <c r="AG5239" s="4">
        <v>0.75</v>
      </c>
      <c r="AH5239" s="2">
        <v>2</v>
      </c>
      <c r="AI5239" s="2" t="s">
        <v>84</v>
      </c>
      <c r="AJ5239" s="2">
        <v>9</v>
      </c>
      <c r="AK5239" s="2" t="s">
        <v>103</v>
      </c>
      <c r="AL5239" s="2">
        <v>11</v>
      </c>
      <c r="AM5239" s="2" t="s">
        <v>137</v>
      </c>
      <c r="AN5239" s="2" t="s">
        <v>16015</v>
      </c>
      <c r="AO5239" s="2" t="s">
        <v>987</v>
      </c>
      <c r="AP5239" s="2">
        <v>11</v>
      </c>
      <c r="AQ5239" s="2" t="s">
        <v>82</v>
      </c>
      <c r="AR5239" s="2"/>
      <c r="AS5239" s="2"/>
      <c r="AT5239" s="2" t="s">
        <v>16016</v>
      </c>
      <c r="AU5239" s="2"/>
      <c r="AV5239" s="2">
        <v>1</v>
      </c>
      <c r="AW5239" s="2"/>
      <c r="AX5239" s="2"/>
      <c r="AY5239" s="2">
        <v>41</v>
      </c>
      <c r="AZ5239" s="2" t="s">
        <v>82</v>
      </c>
      <c r="BA5239" s="2">
        <v>41</v>
      </c>
      <c r="BB5239" s="2" t="s">
        <v>82</v>
      </c>
      <c r="BC5239" s="2">
        <v>41</v>
      </c>
      <c r="BD5239" s="2" t="s">
        <v>82</v>
      </c>
      <c r="BE5239" s="2">
        <v>6</v>
      </c>
      <c r="BF5239" s="2" t="s">
        <v>616</v>
      </c>
      <c r="BG5239" s="2" t="s">
        <v>1599</v>
      </c>
      <c r="BH5239" s="2"/>
      <c r="BI5239" s="2"/>
      <c r="BJ5239" s="2">
        <v>13</v>
      </c>
      <c r="BK5239" s="2" t="s">
        <v>91</v>
      </c>
      <c r="BL5239" s="2" t="s">
        <v>360</v>
      </c>
      <c r="BM5239" s="2">
        <v>4</v>
      </c>
      <c r="BN5239" s="2" t="s">
        <v>618</v>
      </c>
      <c r="BO5239" s="2"/>
      <c r="BP5239" s="2">
        <v>4</v>
      </c>
      <c r="BQ5239" s="2" t="s">
        <v>618</v>
      </c>
      <c r="BR5239" s="2" t="s">
        <v>619</v>
      </c>
      <c r="BS5239" s="3">
        <v>40533</v>
      </c>
      <c r="BT5239" s="4">
        <v>3.6446759259259262E-2</v>
      </c>
    </row>
    <row r="5240" spans="1:72" x14ac:dyDescent="0.25">
      <c r="A5240" s="2">
        <v>8125</v>
      </c>
      <c r="B5240" s="2">
        <v>2010</v>
      </c>
      <c r="C5240" s="2" t="s">
        <v>171</v>
      </c>
      <c r="D5240" s="2" t="s">
        <v>122</v>
      </c>
      <c r="E5240" s="2" t="s">
        <v>16017</v>
      </c>
      <c r="F5240" s="2">
        <v>393</v>
      </c>
      <c r="G5240" s="2" t="s">
        <v>3660</v>
      </c>
      <c r="H5240" s="2">
        <v>3</v>
      </c>
      <c r="I5240" s="2" t="s">
        <v>315</v>
      </c>
      <c r="J5240" s="2">
        <v>2</v>
      </c>
      <c r="K5240" s="2" t="s">
        <v>3661</v>
      </c>
      <c r="L5240" s="2" t="s">
        <v>3662</v>
      </c>
      <c r="M5240" s="3">
        <v>40533</v>
      </c>
      <c r="N5240" s="2" t="s">
        <v>10885</v>
      </c>
      <c r="O5240" s="2"/>
      <c r="P5240" s="2"/>
      <c r="Q5240" s="2" t="str">
        <f>"681-E/10"</f>
        <v>681-E/10</v>
      </c>
      <c r="R5240" s="2" t="s">
        <v>391</v>
      </c>
      <c r="S5240" s="2" t="s">
        <v>391</v>
      </c>
      <c r="T5240" s="2">
        <v>1</v>
      </c>
      <c r="U5240" s="2" t="s">
        <v>79</v>
      </c>
      <c r="V5240" s="2">
        <v>1</v>
      </c>
      <c r="W5240" s="2" t="s">
        <v>80</v>
      </c>
      <c r="X5240" s="2">
        <v>1</v>
      </c>
      <c r="Y5240" s="2" t="s">
        <v>81</v>
      </c>
      <c r="Z5240" s="2">
        <v>10</v>
      </c>
      <c r="AA5240" s="2" t="s">
        <v>236</v>
      </c>
      <c r="AB5240" s="2">
        <v>1</v>
      </c>
      <c r="AC5240" s="2" t="s">
        <v>178</v>
      </c>
      <c r="AD5240" s="3">
        <v>40530</v>
      </c>
      <c r="AE5240" s="4">
        <v>0.86805555555555547</v>
      </c>
      <c r="AF5240" s="3">
        <v>40530</v>
      </c>
      <c r="AG5240" s="4">
        <v>0.91666666666666663</v>
      </c>
      <c r="AH5240" s="2">
        <v>2</v>
      </c>
      <c r="AI5240" s="2" t="s">
        <v>84</v>
      </c>
      <c r="AJ5240" s="2">
        <v>9</v>
      </c>
      <c r="AK5240" s="2" t="s">
        <v>103</v>
      </c>
      <c r="AL5240" s="2">
        <v>13</v>
      </c>
      <c r="AM5240" s="2" t="s">
        <v>117</v>
      </c>
      <c r="AN5240" s="2"/>
      <c r="AO5240" s="2"/>
      <c r="AP5240" s="2">
        <v>11</v>
      </c>
      <c r="AQ5240" s="2" t="s">
        <v>82</v>
      </c>
      <c r="AR5240" s="2"/>
      <c r="AS5240" s="2"/>
      <c r="AT5240" s="2" t="s">
        <v>16018</v>
      </c>
      <c r="AU5240" s="2"/>
      <c r="AV5240" s="2">
        <v>2</v>
      </c>
      <c r="AW5240" s="2"/>
      <c r="AX5240" s="2"/>
      <c r="AY5240" s="2">
        <v>41</v>
      </c>
      <c r="AZ5240" s="2" t="s">
        <v>82</v>
      </c>
      <c r="BA5240" s="2">
        <v>41</v>
      </c>
      <c r="BB5240" s="2" t="s">
        <v>82</v>
      </c>
      <c r="BC5240" s="2">
        <v>41</v>
      </c>
      <c r="BD5240" s="2" t="s">
        <v>82</v>
      </c>
      <c r="BE5240" s="2">
        <v>13</v>
      </c>
      <c r="BF5240" s="2" t="s">
        <v>108</v>
      </c>
      <c r="BG5240" s="2">
        <v>1132</v>
      </c>
      <c r="BH5240" s="2"/>
      <c r="BI5240" s="4">
        <v>0.93055555555555547</v>
      </c>
      <c r="BJ5240" s="2">
        <v>13</v>
      </c>
      <c r="BK5240" s="2" t="s">
        <v>91</v>
      </c>
      <c r="BL5240" s="2" t="s">
        <v>360</v>
      </c>
      <c r="BM5240" s="2">
        <v>73</v>
      </c>
      <c r="BN5240" s="2" t="s">
        <v>186</v>
      </c>
      <c r="BO5240" s="2"/>
      <c r="BP5240" s="2">
        <v>73</v>
      </c>
      <c r="BQ5240" s="2" t="s">
        <v>186</v>
      </c>
      <c r="BR5240" s="2" t="s">
        <v>187</v>
      </c>
      <c r="BS5240" s="3">
        <v>40533</v>
      </c>
      <c r="BT5240" s="4">
        <v>0.2961226851851852</v>
      </c>
    </row>
    <row r="5241" spans="1:72" x14ac:dyDescent="0.25">
      <c r="A5241" s="2">
        <v>8126</v>
      </c>
      <c r="B5241" s="2">
        <v>2010</v>
      </c>
      <c r="C5241" s="2" t="s">
        <v>171</v>
      </c>
      <c r="D5241" s="2" t="s">
        <v>122</v>
      </c>
      <c r="E5241" s="2" t="s">
        <v>16019</v>
      </c>
      <c r="F5241" s="2">
        <v>393</v>
      </c>
      <c r="G5241" s="2" t="s">
        <v>3660</v>
      </c>
      <c r="H5241" s="2">
        <v>3</v>
      </c>
      <c r="I5241" s="2" t="s">
        <v>315</v>
      </c>
      <c r="J5241" s="2">
        <v>2</v>
      </c>
      <c r="K5241" s="2" t="s">
        <v>3661</v>
      </c>
      <c r="L5241" s="2" t="s">
        <v>3662</v>
      </c>
      <c r="M5241" s="3">
        <v>40533</v>
      </c>
      <c r="N5241" s="2" t="s">
        <v>10885</v>
      </c>
      <c r="O5241" s="2" t="s">
        <v>107</v>
      </c>
      <c r="P5241" s="2" t="s">
        <v>107</v>
      </c>
      <c r="Q5241" s="2" t="str">
        <f>"685-E/10"</f>
        <v>685-E/10</v>
      </c>
      <c r="R5241" s="2" t="s">
        <v>391</v>
      </c>
      <c r="S5241" s="2" t="s">
        <v>391</v>
      </c>
      <c r="T5241" s="2">
        <v>1</v>
      </c>
      <c r="U5241" s="2" t="s">
        <v>79</v>
      </c>
      <c r="V5241" s="2">
        <v>1</v>
      </c>
      <c r="W5241" s="2" t="s">
        <v>80</v>
      </c>
      <c r="X5241" s="2">
        <v>1</v>
      </c>
      <c r="Y5241" s="2" t="s">
        <v>81</v>
      </c>
      <c r="Z5241" s="2">
        <v>1</v>
      </c>
      <c r="AA5241" s="2" t="s">
        <v>82</v>
      </c>
      <c r="AB5241" s="2">
        <v>1</v>
      </c>
      <c r="AC5241" s="2" t="s">
        <v>178</v>
      </c>
      <c r="AD5241" s="3">
        <v>40532</v>
      </c>
      <c r="AE5241" s="4">
        <v>0.59375</v>
      </c>
      <c r="AF5241" s="3">
        <v>40532</v>
      </c>
      <c r="AG5241" s="2"/>
      <c r="AH5241" s="2">
        <v>2</v>
      </c>
      <c r="AI5241" s="2" t="s">
        <v>84</v>
      </c>
      <c r="AJ5241" s="2">
        <v>9</v>
      </c>
      <c r="AK5241" s="2" t="s">
        <v>103</v>
      </c>
      <c r="AL5241" s="2">
        <v>14</v>
      </c>
      <c r="AM5241" s="2" t="s">
        <v>216</v>
      </c>
      <c r="AN5241" s="2" t="s">
        <v>137</v>
      </c>
      <c r="AO5241" s="2"/>
      <c r="AP5241" s="2">
        <v>11</v>
      </c>
      <c r="AQ5241" s="2" t="s">
        <v>82</v>
      </c>
      <c r="AR5241" s="2"/>
      <c r="AS5241" s="2"/>
      <c r="AT5241" s="2" t="s">
        <v>16020</v>
      </c>
      <c r="AU5241" s="2"/>
      <c r="AV5241" s="2">
        <v>1</v>
      </c>
      <c r="AW5241" s="2"/>
      <c r="AX5241" s="2"/>
      <c r="AY5241" s="2">
        <v>41</v>
      </c>
      <c r="AZ5241" s="2" t="s">
        <v>82</v>
      </c>
      <c r="BA5241" s="2">
        <v>41</v>
      </c>
      <c r="BB5241" s="2" t="s">
        <v>82</v>
      </c>
      <c r="BC5241" s="2">
        <v>41</v>
      </c>
      <c r="BD5241" s="2" t="s">
        <v>82</v>
      </c>
      <c r="BE5241" s="2">
        <v>6</v>
      </c>
      <c r="BF5241" s="2" t="s">
        <v>616</v>
      </c>
      <c r="BG5241" s="2" t="s">
        <v>1599</v>
      </c>
      <c r="BH5241" s="2"/>
      <c r="BI5241" s="4">
        <v>0.66666666666666663</v>
      </c>
      <c r="BJ5241" s="2">
        <v>13</v>
      </c>
      <c r="BK5241" s="2" t="s">
        <v>91</v>
      </c>
      <c r="BL5241" s="2" t="s">
        <v>185</v>
      </c>
      <c r="BM5241" s="2">
        <v>4</v>
      </c>
      <c r="BN5241" s="2" t="s">
        <v>618</v>
      </c>
      <c r="BO5241" s="2"/>
      <c r="BP5241" s="2">
        <v>4</v>
      </c>
      <c r="BQ5241" s="2" t="s">
        <v>618</v>
      </c>
      <c r="BR5241" s="2" t="s">
        <v>619</v>
      </c>
      <c r="BS5241" s="3">
        <v>40533</v>
      </c>
      <c r="BT5241" s="4">
        <v>0.2986111111111111</v>
      </c>
    </row>
    <row r="5242" spans="1:72" x14ac:dyDescent="0.25">
      <c r="A5242" s="2">
        <v>8126</v>
      </c>
      <c r="B5242" s="2">
        <v>2010</v>
      </c>
      <c r="C5242" s="2" t="s">
        <v>385</v>
      </c>
      <c r="D5242" s="2" t="s">
        <v>122</v>
      </c>
      <c r="E5242" s="2" t="s">
        <v>16019</v>
      </c>
      <c r="F5242" s="2">
        <v>393</v>
      </c>
      <c r="G5242" s="2" t="s">
        <v>3660</v>
      </c>
      <c r="H5242" s="2">
        <v>3</v>
      </c>
      <c r="I5242" s="2" t="s">
        <v>315</v>
      </c>
      <c r="J5242" s="2">
        <v>2</v>
      </c>
      <c r="K5242" s="2" t="s">
        <v>3661</v>
      </c>
      <c r="L5242" s="2" t="s">
        <v>3662</v>
      </c>
      <c r="M5242" s="3">
        <v>40533</v>
      </c>
      <c r="N5242" s="2" t="s">
        <v>10885</v>
      </c>
      <c r="O5242" s="2" t="s">
        <v>107</v>
      </c>
      <c r="P5242" s="2" t="s">
        <v>107</v>
      </c>
      <c r="Q5242" s="2" t="str">
        <f>"685-E/10"</f>
        <v>685-E/10</v>
      </c>
      <c r="R5242" s="2" t="s">
        <v>391</v>
      </c>
      <c r="S5242" s="2" t="s">
        <v>391</v>
      </c>
      <c r="T5242" s="2">
        <v>1</v>
      </c>
      <c r="U5242" s="2" t="s">
        <v>79</v>
      </c>
      <c r="V5242" s="2">
        <v>1</v>
      </c>
      <c r="W5242" s="2" t="s">
        <v>80</v>
      </c>
      <c r="X5242" s="2">
        <v>1</v>
      </c>
      <c r="Y5242" s="2" t="s">
        <v>81</v>
      </c>
      <c r="Z5242" s="2">
        <v>1</v>
      </c>
      <c r="AA5242" s="2" t="s">
        <v>82</v>
      </c>
      <c r="AB5242" s="2">
        <v>9</v>
      </c>
      <c r="AC5242" s="2" t="s">
        <v>124</v>
      </c>
      <c r="AD5242" s="3">
        <v>40532</v>
      </c>
      <c r="AE5242" s="4">
        <v>0.59375</v>
      </c>
      <c r="AF5242" s="3">
        <v>40532</v>
      </c>
      <c r="AG5242" s="2"/>
      <c r="AH5242" s="2">
        <v>2</v>
      </c>
      <c r="AI5242" s="2" t="s">
        <v>84</v>
      </c>
      <c r="AJ5242" s="2">
        <v>9</v>
      </c>
      <c r="AK5242" s="2" t="s">
        <v>103</v>
      </c>
      <c r="AL5242" s="2">
        <v>14</v>
      </c>
      <c r="AM5242" s="2" t="s">
        <v>216</v>
      </c>
      <c r="AN5242" s="2" t="s">
        <v>137</v>
      </c>
      <c r="AO5242" s="2"/>
      <c r="AP5242" s="2">
        <v>11</v>
      </c>
      <c r="AQ5242" s="2" t="s">
        <v>82</v>
      </c>
      <c r="AR5242" s="2"/>
      <c r="AS5242" s="2"/>
      <c r="AT5242" s="2" t="s">
        <v>16020</v>
      </c>
      <c r="AU5242" s="2"/>
      <c r="AV5242" s="2">
        <v>1</v>
      </c>
      <c r="AW5242" s="2"/>
      <c r="AX5242" s="2"/>
      <c r="AY5242" s="2">
        <v>41</v>
      </c>
      <c r="AZ5242" s="2" t="s">
        <v>82</v>
      </c>
      <c r="BA5242" s="2">
        <v>41</v>
      </c>
      <c r="BB5242" s="2" t="s">
        <v>82</v>
      </c>
      <c r="BC5242" s="2">
        <v>41</v>
      </c>
      <c r="BD5242" s="2" t="s">
        <v>82</v>
      </c>
      <c r="BE5242" s="2">
        <v>6</v>
      </c>
      <c r="BF5242" s="2" t="s">
        <v>616</v>
      </c>
      <c r="BG5242" s="2" t="s">
        <v>1599</v>
      </c>
      <c r="BH5242" s="2"/>
      <c r="BI5242" s="4">
        <v>0.66666666666666663</v>
      </c>
      <c r="BJ5242" s="2">
        <v>13</v>
      </c>
      <c r="BK5242" s="2" t="s">
        <v>91</v>
      </c>
      <c r="BL5242" s="2" t="s">
        <v>185</v>
      </c>
      <c r="BM5242" s="2">
        <v>4</v>
      </c>
      <c r="BN5242" s="2" t="s">
        <v>618</v>
      </c>
      <c r="BO5242" s="2"/>
      <c r="BP5242" s="2">
        <v>4</v>
      </c>
      <c r="BQ5242" s="2" t="s">
        <v>618</v>
      </c>
      <c r="BR5242" s="2" t="s">
        <v>619</v>
      </c>
      <c r="BS5242" s="3">
        <v>40533</v>
      </c>
      <c r="BT5242" s="4">
        <v>0.2986111111111111</v>
      </c>
    </row>
    <row r="5243" spans="1:72" x14ac:dyDescent="0.25">
      <c r="A5243" s="2">
        <v>8127</v>
      </c>
      <c r="B5243" s="2">
        <v>2010</v>
      </c>
      <c r="C5243" s="2" t="s">
        <v>255</v>
      </c>
      <c r="D5243" s="2" t="s">
        <v>73</v>
      </c>
      <c r="E5243" s="2"/>
      <c r="F5243" s="2">
        <v>751</v>
      </c>
      <c r="G5243" s="2" t="s">
        <v>16021</v>
      </c>
      <c r="H5243" s="2">
        <v>32</v>
      </c>
      <c r="I5243" s="2" t="s">
        <v>15570</v>
      </c>
      <c r="J5243" s="2">
        <v>583</v>
      </c>
      <c r="K5243" s="2" t="s">
        <v>8289</v>
      </c>
      <c r="L5243" s="2" t="s">
        <v>8290</v>
      </c>
      <c r="M5243" s="3">
        <v>40533</v>
      </c>
      <c r="N5243" s="2" t="s">
        <v>14132</v>
      </c>
      <c r="O5243" s="2" t="s">
        <v>107</v>
      </c>
      <c r="P5243" s="2" t="s">
        <v>107</v>
      </c>
      <c r="Q5243" s="2" t="str">
        <f>"78-10"</f>
        <v>78-10</v>
      </c>
      <c r="R5243" s="2" t="s">
        <v>107</v>
      </c>
      <c r="S5243" s="2" t="s">
        <v>6961</v>
      </c>
      <c r="T5243" s="2">
        <v>1</v>
      </c>
      <c r="U5243" s="2" t="s">
        <v>79</v>
      </c>
      <c r="V5243" s="2">
        <v>1</v>
      </c>
      <c r="W5243" s="2" t="s">
        <v>80</v>
      </c>
      <c r="X5243" s="2">
        <v>12</v>
      </c>
      <c r="Y5243" s="2" t="s">
        <v>148</v>
      </c>
      <c r="Z5243" s="2">
        <v>1</v>
      </c>
      <c r="AA5243" s="2" t="s">
        <v>82</v>
      </c>
      <c r="AB5243" s="2">
        <v>9</v>
      </c>
      <c r="AC5243" s="2" t="s">
        <v>124</v>
      </c>
      <c r="AD5243" s="3">
        <v>40533</v>
      </c>
      <c r="AE5243" s="4">
        <v>0.1076388888888889</v>
      </c>
      <c r="AF5243" s="3">
        <v>40533</v>
      </c>
      <c r="AG5243" s="4">
        <v>0.22916666666666666</v>
      </c>
      <c r="AH5243" s="2">
        <v>3</v>
      </c>
      <c r="AI5243" s="2" t="s">
        <v>214</v>
      </c>
      <c r="AJ5243" s="2">
        <v>24</v>
      </c>
      <c r="AK5243" s="2" t="s">
        <v>215</v>
      </c>
      <c r="AL5243" s="2">
        <v>28</v>
      </c>
      <c r="AM5243" s="2" t="s">
        <v>5969</v>
      </c>
      <c r="AN5243" s="2" t="s">
        <v>16022</v>
      </c>
      <c r="AO5243" s="2"/>
      <c r="AP5243" s="2">
        <v>11</v>
      </c>
      <c r="AQ5243" s="2" t="s">
        <v>82</v>
      </c>
      <c r="AR5243" s="2"/>
      <c r="AS5243" s="2"/>
      <c r="AT5243" s="2" t="s">
        <v>16023</v>
      </c>
      <c r="AU5243" s="2"/>
      <c r="AV5243" s="2"/>
      <c r="AW5243" s="2"/>
      <c r="AX5243" s="2"/>
      <c r="AY5243" s="2">
        <v>41</v>
      </c>
      <c r="AZ5243" s="2" t="s">
        <v>82</v>
      </c>
      <c r="BA5243" s="2">
        <v>41</v>
      </c>
      <c r="BB5243" s="2" t="s">
        <v>82</v>
      </c>
      <c r="BC5243" s="2">
        <v>41</v>
      </c>
      <c r="BD5243" s="2" t="s">
        <v>82</v>
      </c>
      <c r="BE5243" s="2">
        <v>41</v>
      </c>
      <c r="BF5243" s="2" t="s">
        <v>82</v>
      </c>
      <c r="BG5243" s="2"/>
      <c r="BH5243" s="2"/>
      <c r="BI5243" s="2"/>
      <c r="BJ5243" s="2">
        <v>241</v>
      </c>
      <c r="BK5243" s="2" t="s">
        <v>82</v>
      </c>
      <c r="BL5243" s="2"/>
      <c r="BM5243" s="2">
        <v>241</v>
      </c>
      <c r="BN5243" s="2" t="s">
        <v>82</v>
      </c>
      <c r="BO5243" s="2"/>
      <c r="BP5243" s="2">
        <v>241</v>
      </c>
      <c r="BQ5243" s="2" t="s">
        <v>82</v>
      </c>
      <c r="BR5243" s="2"/>
      <c r="BS5243" s="3">
        <v>40533</v>
      </c>
      <c r="BT5243" s="4">
        <v>0.29868055555555556</v>
      </c>
    </row>
    <row r="5244" spans="1:72" x14ac:dyDescent="0.25">
      <c r="A5244" s="2">
        <v>8128</v>
      </c>
      <c r="B5244" s="2">
        <v>2010</v>
      </c>
      <c r="C5244" s="2" t="s">
        <v>72</v>
      </c>
      <c r="D5244" s="2" t="s">
        <v>73</v>
      </c>
      <c r="E5244" s="2"/>
      <c r="F5244" s="2">
        <v>749</v>
      </c>
      <c r="G5244" s="2" t="s">
        <v>16024</v>
      </c>
      <c r="H5244" s="2">
        <v>108</v>
      </c>
      <c r="I5244" s="2" t="s">
        <v>1096</v>
      </c>
      <c r="J5244" s="2">
        <v>756</v>
      </c>
      <c r="K5244" s="2" t="s">
        <v>16025</v>
      </c>
      <c r="L5244" s="2" t="s">
        <v>16026</v>
      </c>
      <c r="M5244" s="3">
        <v>40533</v>
      </c>
      <c r="N5244" s="2" t="s">
        <v>16027</v>
      </c>
      <c r="O5244" s="2" t="s">
        <v>107</v>
      </c>
      <c r="P5244" s="2" t="s">
        <v>107</v>
      </c>
      <c r="Q5244" s="2" t="str">
        <f>"PS460-A/10"</f>
        <v>PS460-A/10</v>
      </c>
      <c r="R5244" s="2" t="s">
        <v>1547</v>
      </c>
      <c r="S5244" s="2" t="s">
        <v>1547</v>
      </c>
      <c r="T5244" s="2">
        <v>1</v>
      </c>
      <c r="U5244" s="2" t="s">
        <v>79</v>
      </c>
      <c r="V5244" s="2">
        <v>1</v>
      </c>
      <c r="W5244" s="2" t="s">
        <v>80</v>
      </c>
      <c r="X5244" s="2">
        <v>12</v>
      </c>
      <c r="Y5244" s="2" t="s">
        <v>148</v>
      </c>
      <c r="Z5244" s="2">
        <v>1</v>
      </c>
      <c r="AA5244" s="2" t="s">
        <v>82</v>
      </c>
      <c r="AB5244" s="2">
        <v>6</v>
      </c>
      <c r="AC5244" s="2" t="s">
        <v>83</v>
      </c>
      <c r="AD5244" s="3">
        <v>40531</v>
      </c>
      <c r="AE5244" s="2"/>
      <c r="AF5244" s="3">
        <v>40532</v>
      </c>
      <c r="AG5244" s="4">
        <v>0.49305555555555558</v>
      </c>
      <c r="AH5244" s="2">
        <v>2</v>
      </c>
      <c r="AI5244" s="2" t="s">
        <v>84</v>
      </c>
      <c r="AJ5244" s="2">
        <v>12</v>
      </c>
      <c r="AK5244" s="2" t="s">
        <v>85</v>
      </c>
      <c r="AL5244" s="2">
        <v>22</v>
      </c>
      <c r="AM5244" s="2" t="s">
        <v>1853</v>
      </c>
      <c r="AN5244" s="2" t="s">
        <v>82</v>
      </c>
      <c r="AO5244" s="2" t="s">
        <v>12115</v>
      </c>
      <c r="AP5244" s="2">
        <v>11</v>
      </c>
      <c r="AQ5244" s="2" t="s">
        <v>82</v>
      </c>
      <c r="AR5244" s="2"/>
      <c r="AS5244" s="2"/>
      <c r="AT5244" s="2" t="s">
        <v>16028</v>
      </c>
      <c r="AU5244" s="2"/>
      <c r="AV5244" s="2"/>
      <c r="AW5244" s="2"/>
      <c r="AX5244" s="2"/>
      <c r="AY5244" s="2">
        <v>41</v>
      </c>
      <c r="AZ5244" s="2" t="s">
        <v>82</v>
      </c>
      <c r="BA5244" s="2">
        <v>41</v>
      </c>
      <c r="BB5244" s="2" t="s">
        <v>82</v>
      </c>
      <c r="BC5244" s="2">
        <v>41</v>
      </c>
      <c r="BD5244" s="2" t="s">
        <v>82</v>
      </c>
      <c r="BE5244" s="2">
        <v>4</v>
      </c>
      <c r="BF5244" s="2" t="s">
        <v>90</v>
      </c>
      <c r="BG5244" s="2" t="s">
        <v>16029</v>
      </c>
      <c r="BH5244" s="4">
        <v>0.8125</v>
      </c>
      <c r="BI5244" s="2"/>
      <c r="BJ5244" s="2">
        <v>13</v>
      </c>
      <c r="BK5244" s="2" t="s">
        <v>91</v>
      </c>
      <c r="BL5244" s="2" t="s">
        <v>92</v>
      </c>
      <c r="BM5244" s="2">
        <v>13</v>
      </c>
      <c r="BN5244" s="2" t="s">
        <v>91</v>
      </c>
      <c r="BO5244" s="2"/>
      <c r="BP5244" s="2">
        <v>13</v>
      </c>
      <c r="BQ5244" s="2" t="s">
        <v>91</v>
      </c>
      <c r="BR5244" s="2" t="s">
        <v>564</v>
      </c>
      <c r="BS5244" s="3">
        <v>40533</v>
      </c>
      <c r="BT5244" s="4">
        <v>0.3397337962962963</v>
      </c>
    </row>
    <row r="5245" spans="1:72" x14ac:dyDescent="0.25">
      <c r="A5245" s="2">
        <v>8129</v>
      </c>
      <c r="B5245" s="2">
        <v>2010</v>
      </c>
      <c r="C5245" s="2" t="s">
        <v>72</v>
      </c>
      <c r="D5245" s="2" t="s">
        <v>122</v>
      </c>
      <c r="E5245" s="2" t="s">
        <v>16030</v>
      </c>
      <c r="F5245" s="2">
        <v>201</v>
      </c>
      <c r="G5245" s="2" t="s">
        <v>15915</v>
      </c>
      <c r="H5245" s="2">
        <v>145</v>
      </c>
      <c r="I5245" s="2" t="s">
        <v>16031</v>
      </c>
      <c r="J5245" s="2">
        <v>189</v>
      </c>
      <c r="K5245" s="2" t="s">
        <v>1751</v>
      </c>
      <c r="L5245" s="2" t="s">
        <v>1752</v>
      </c>
      <c r="M5245" s="3">
        <v>40533</v>
      </c>
      <c r="N5245" s="2" t="s">
        <v>16032</v>
      </c>
      <c r="O5245" s="2"/>
      <c r="P5245" s="2"/>
      <c r="Q5245" s="2" t="str">
        <f>"458-A/10"</f>
        <v>458-A/10</v>
      </c>
      <c r="R5245" s="2" t="s">
        <v>671</v>
      </c>
      <c r="S5245" s="2"/>
      <c r="T5245" s="2">
        <v>1</v>
      </c>
      <c r="U5245" s="2" t="s">
        <v>79</v>
      </c>
      <c r="V5245" s="2">
        <v>1</v>
      </c>
      <c r="W5245" s="2" t="s">
        <v>80</v>
      </c>
      <c r="X5245" s="2">
        <v>1</v>
      </c>
      <c r="Y5245" s="2" t="s">
        <v>81</v>
      </c>
      <c r="Z5245" s="2">
        <v>1</v>
      </c>
      <c r="AA5245" s="2" t="s">
        <v>82</v>
      </c>
      <c r="AB5245" s="2">
        <v>6</v>
      </c>
      <c r="AC5245" s="2" t="s">
        <v>83</v>
      </c>
      <c r="AD5245" s="3">
        <v>40531</v>
      </c>
      <c r="AE5245" s="4">
        <v>0.63541666666666663</v>
      </c>
      <c r="AF5245" s="3">
        <v>40531</v>
      </c>
      <c r="AG5245" s="4">
        <v>0.67361111111111116</v>
      </c>
      <c r="AH5245" s="2">
        <v>2</v>
      </c>
      <c r="AI5245" s="2" t="s">
        <v>84</v>
      </c>
      <c r="AJ5245" s="2">
        <v>12</v>
      </c>
      <c r="AK5245" s="2" t="s">
        <v>85</v>
      </c>
      <c r="AL5245" s="2">
        <v>10</v>
      </c>
      <c r="AM5245" s="2" t="s">
        <v>200</v>
      </c>
      <c r="AN5245" s="2" t="s">
        <v>16033</v>
      </c>
      <c r="AO5245" s="2" t="s">
        <v>16034</v>
      </c>
      <c r="AP5245" s="2">
        <v>11</v>
      </c>
      <c r="AQ5245" s="2" t="s">
        <v>82</v>
      </c>
      <c r="AR5245" s="2"/>
      <c r="AS5245" s="2"/>
      <c r="AT5245" s="2" t="s">
        <v>16035</v>
      </c>
      <c r="AU5245" s="2">
        <v>1</v>
      </c>
      <c r="AV5245" s="2"/>
      <c r="AW5245" s="2"/>
      <c r="AX5245" s="2"/>
      <c r="AY5245" s="2">
        <v>41</v>
      </c>
      <c r="AZ5245" s="2" t="s">
        <v>82</v>
      </c>
      <c r="BA5245" s="2">
        <v>41</v>
      </c>
      <c r="BB5245" s="2" t="s">
        <v>82</v>
      </c>
      <c r="BC5245" s="2">
        <v>41</v>
      </c>
      <c r="BD5245" s="2" t="s">
        <v>82</v>
      </c>
      <c r="BE5245" s="2">
        <v>10</v>
      </c>
      <c r="BF5245" s="2" t="s">
        <v>901</v>
      </c>
      <c r="BG5245" s="2" t="s">
        <v>15920</v>
      </c>
      <c r="BH5245" s="4">
        <v>0.67708333333333337</v>
      </c>
      <c r="BI5245" s="4">
        <v>0.64583333333333337</v>
      </c>
      <c r="BJ5245" s="2">
        <v>13</v>
      </c>
      <c r="BK5245" s="2" t="s">
        <v>91</v>
      </c>
      <c r="BL5245" s="2" t="s">
        <v>185</v>
      </c>
      <c r="BM5245" s="2">
        <v>229</v>
      </c>
      <c r="BN5245" s="2" t="s">
        <v>300</v>
      </c>
      <c r="BO5245" s="2"/>
      <c r="BP5245" s="2">
        <v>229</v>
      </c>
      <c r="BQ5245" s="2" t="s">
        <v>300</v>
      </c>
      <c r="BR5245" s="2" t="s">
        <v>301</v>
      </c>
      <c r="BS5245" s="3">
        <v>40533</v>
      </c>
      <c r="BT5245" s="4">
        <v>0.36418981481481483</v>
      </c>
    </row>
    <row r="5246" spans="1:72" x14ac:dyDescent="0.25">
      <c r="A5246" s="2">
        <v>8130</v>
      </c>
      <c r="B5246" s="2">
        <v>2010</v>
      </c>
      <c r="C5246" s="2" t="s">
        <v>72</v>
      </c>
      <c r="D5246" s="2" t="s">
        <v>73</v>
      </c>
      <c r="E5246" s="2"/>
      <c r="F5246" s="2">
        <v>175</v>
      </c>
      <c r="G5246" s="2" t="s">
        <v>4170</v>
      </c>
      <c r="H5246" s="2">
        <v>108</v>
      </c>
      <c r="I5246" s="2" t="s">
        <v>1096</v>
      </c>
      <c r="J5246" s="2">
        <v>728</v>
      </c>
      <c r="K5246" s="2" t="s">
        <v>15156</v>
      </c>
      <c r="L5246" s="2" t="s">
        <v>15157</v>
      </c>
      <c r="M5246" s="3">
        <v>40533</v>
      </c>
      <c r="N5246" s="2" t="s">
        <v>16036</v>
      </c>
      <c r="O5246" s="2"/>
      <c r="P5246" s="2"/>
      <c r="Q5246" s="2" t="str">
        <f>"459-A/10"</f>
        <v>459-A/10</v>
      </c>
      <c r="R5246" s="2" t="s">
        <v>78</v>
      </c>
      <c r="S5246" s="2" t="s">
        <v>78</v>
      </c>
      <c r="T5246" s="2">
        <v>1</v>
      </c>
      <c r="U5246" s="2" t="s">
        <v>79</v>
      </c>
      <c r="V5246" s="2">
        <v>1</v>
      </c>
      <c r="W5246" s="2" t="s">
        <v>80</v>
      </c>
      <c r="X5246" s="2">
        <v>12</v>
      </c>
      <c r="Y5246" s="2" t="s">
        <v>148</v>
      </c>
      <c r="Z5246" s="2">
        <v>1</v>
      </c>
      <c r="AA5246" s="2" t="s">
        <v>82</v>
      </c>
      <c r="AB5246" s="2">
        <v>6</v>
      </c>
      <c r="AC5246" s="2" t="s">
        <v>83</v>
      </c>
      <c r="AD5246" s="3">
        <v>40531</v>
      </c>
      <c r="AE5246" s="2"/>
      <c r="AF5246" s="3">
        <v>40531</v>
      </c>
      <c r="AG5246" s="4">
        <v>0.79166666666666663</v>
      </c>
      <c r="AH5246" s="2">
        <v>2</v>
      </c>
      <c r="AI5246" s="2" t="s">
        <v>84</v>
      </c>
      <c r="AJ5246" s="2">
        <v>12</v>
      </c>
      <c r="AK5246" s="2" t="s">
        <v>85</v>
      </c>
      <c r="AL5246" s="2">
        <v>29</v>
      </c>
      <c r="AM5246" s="2" t="s">
        <v>5416</v>
      </c>
      <c r="AN5246" s="2"/>
      <c r="AO5246" s="2" t="s">
        <v>561</v>
      </c>
      <c r="AP5246" s="2">
        <v>11</v>
      </c>
      <c r="AQ5246" s="2" t="s">
        <v>82</v>
      </c>
      <c r="AR5246" s="2"/>
      <c r="AS5246" s="2"/>
      <c r="AT5246" s="2" t="s">
        <v>16037</v>
      </c>
      <c r="AU5246" s="2"/>
      <c r="AV5246" s="2"/>
      <c r="AW5246" s="2"/>
      <c r="AX5246" s="2"/>
      <c r="AY5246" s="2">
        <v>41</v>
      </c>
      <c r="AZ5246" s="2" t="s">
        <v>82</v>
      </c>
      <c r="BA5246" s="2">
        <v>41</v>
      </c>
      <c r="BB5246" s="2" t="s">
        <v>82</v>
      </c>
      <c r="BC5246" s="2">
        <v>41</v>
      </c>
      <c r="BD5246" s="2" t="s">
        <v>82</v>
      </c>
      <c r="BE5246" s="2">
        <v>41</v>
      </c>
      <c r="BF5246" s="2" t="s">
        <v>82</v>
      </c>
      <c r="BG5246" s="2"/>
      <c r="BH5246" s="2"/>
      <c r="BI5246" s="2"/>
      <c r="BJ5246" s="2">
        <v>241</v>
      </c>
      <c r="BK5246" s="2" t="s">
        <v>82</v>
      </c>
      <c r="BL5246" s="2"/>
      <c r="BM5246" s="2">
        <v>241</v>
      </c>
      <c r="BN5246" s="2" t="s">
        <v>82</v>
      </c>
      <c r="BO5246" s="2"/>
      <c r="BP5246" s="2">
        <v>241</v>
      </c>
      <c r="BQ5246" s="2" t="s">
        <v>82</v>
      </c>
      <c r="BR5246" s="2"/>
      <c r="BS5246" s="3">
        <v>40533</v>
      </c>
      <c r="BT5246" s="4">
        <v>0.42827546296296298</v>
      </c>
    </row>
    <row r="5247" spans="1:72" x14ac:dyDescent="0.25">
      <c r="A5247" s="2">
        <v>8131</v>
      </c>
      <c r="B5247" s="2">
        <v>2010</v>
      </c>
      <c r="C5247" s="2" t="s">
        <v>819</v>
      </c>
      <c r="D5247" s="2" t="s">
        <v>73</v>
      </c>
      <c r="E5247" s="2"/>
      <c r="F5247" s="2">
        <v>400</v>
      </c>
      <c r="G5247" s="2" t="s">
        <v>3601</v>
      </c>
      <c r="H5247" s="2">
        <v>145</v>
      </c>
      <c r="I5247" s="2" t="s">
        <v>16031</v>
      </c>
      <c r="J5247" s="2">
        <v>692</v>
      </c>
      <c r="K5247" s="2" t="s">
        <v>574</v>
      </c>
      <c r="L5247" s="2" t="s">
        <v>575</v>
      </c>
      <c r="M5247" s="3">
        <v>40533</v>
      </c>
      <c r="N5247" s="2" t="s">
        <v>16038</v>
      </c>
      <c r="O5247" s="2" t="s">
        <v>16039</v>
      </c>
      <c r="P5247" s="2" t="s">
        <v>16040</v>
      </c>
      <c r="Q5247" s="2" t="str">
        <f>"N/C"</f>
        <v>N/C</v>
      </c>
      <c r="R5247" s="2"/>
      <c r="S5247" s="2"/>
      <c r="T5247" s="2">
        <v>1</v>
      </c>
      <c r="U5247" s="2" t="s">
        <v>79</v>
      </c>
      <c r="V5247" s="2">
        <v>3</v>
      </c>
      <c r="W5247" s="2" t="s">
        <v>225</v>
      </c>
      <c r="X5247" s="2">
        <v>6</v>
      </c>
      <c r="Y5247" s="2" t="s">
        <v>249</v>
      </c>
      <c r="Z5247" s="2">
        <v>1</v>
      </c>
      <c r="AA5247" s="2" t="s">
        <v>82</v>
      </c>
      <c r="AB5247" s="2">
        <v>9</v>
      </c>
      <c r="AC5247" s="2" t="s">
        <v>124</v>
      </c>
      <c r="AD5247" s="3">
        <v>40533</v>
      </c>
      <c r="AE5247" s="4">
        <v>0.34027777777777773</v>
      </c>
      <c r="AF5247" s="3">
        <v>40529</v>
      </c>
      <c r="AG5247" s="2"/>
      <c r="AH5247" s="2">
        <v>2</v>
      </c>
      <c r="AI5247" s="2" t="s">
        <v>84</v>
      </c>
      <c r="AJ5247" s="2">
        <v>6</v>
      </c>
      <c r="AK5247" s="2" t="s">
        <v>453</v>
      </c>
      <c r="AL5247" s="2">
        <v>23</v>
      </c>
      <c r="AM5247" s="2" t="s">
        <v>251</v>
      </c>
      <c r="AN5247" s="2"/>
      <c r="AO5247" s="2" t="s">
        <v>16041</v>
      </c>
      <c r="AP5247" s="2">
        <v>11</v>
      </c>
      <c r="AQ5247" s="2" t="s">
        <v>82</v>
      </c>
      <c r="AR5247" s="2"/>
      <c r="AS5247" s="2"/>
      <c r="AT5247" s="2" t="s">
        <v>16042</v>
      </c>
      <c r="AU5247" s="2"/>
      <c r="AV5247" s="2"/>
      <c r="AW5247" s="2"/>
      <c r="AX5247" s="2"/>
      <c r="AY5247" s="2">
        <v>41</v>
      </c>
      <c r="AZ5247" s="2" t="s">
        <v>82</v>
      </c>
      <c r="BA5247" s="2">
        <v>41</v>
      </c>
      <c r="BB5247" s="2" t="s">
        <v>82</v>
      </c>
      <c r="BC5247" s="2">
        <v>41</v>
      </c>
      <c r="BD5247" s="2" t="s">
        <v>82</v>
      </c>
      <c r="BE5247" s="2">
        <v>41</v>
      </c>
      <c r="BF5247" s="2" t="s">
        <v>82</v>
      </c>
      <c r="BG5247" s="2"/>
      <c r="BH5247" s="2"/>
      <c r="BI5247" s="2"/>
      <c r="BJ5247" s="2">
        <v>241</v>
      </c>
      <c r="BK5247" s="2" t="s">
        <v>82</v>
      </c>
      <c r="BL5247" s="2"/>
      <c r="BM5247" s="2">
        <v>241</v>
      </c>
      <c r="BN5247" s="2" t="s">
        <v>82</v>
      </c>
      <c r="BO5247" s="2"/>
      <c r="BP5247" s="2">
        <v>241</v>
      </c>
      <c r="BQ5247" s="2" t="s">
        <v>82</v>
      </c>
      <c r="BR5247" s="2"/>
      <c r="BS5247" s="3">
        <v>40533</v>
      </c>
      <c r="BT5247" s="4">
        <v>0.43054398148148149</v>
      </c>
    </row>
    <row r="5248" spans="1:72" x14ac:dyDescent="0.25">
      <c r="A5248" s="2">
        <v>8132</v>
      </c>
      <c r="B5248" s="2">
        <v>2010</v>
      </c>
      <c r="C5248" s="2" t="s">
        <v>171</v>
      </c>
      <c r="D5248" s="2" t="s">
        <v>73</v>
      </c>
      <c r="E5248" s="2"/>
      <c r="F5248" s="2">
        <v>398</v>
      </c>
      <c r="G5248" s="2" t="s">
        <v>94</v>
      </c>
      <c r="H5248" s="2">
        <v>13</v>
      </c>
      <c r="I5248" s="2" t="s">
        <v>2229</v>
      </c>
      <c r="J5248" s="2">
        <v>245</v>
      </c>
      <c r="K5248" s="2" t="s">
        <v>96</v>
      </c>
      <c r="L5248" s="2" t="s">
        <v>97</v>
      </c>
      <c r="M5248" s="3">
        <v>40533</v>
      </c>
      <c r="N5248" s="2" t="s">
        <v>1938</v>
      </c>
      <c r="O5248" s="2" t="s">
        <v>16043</v>
      </c>
      <c r="P5248" s="2" t="s">
        <v>16044</v>
      </c>
      <c r="Q5248" s="2" t="str">
        <f>"S/D"</f>
        <v>S/D</v>
      </c>
      <c r="R5248" s="2" t="s">
        <v>107</v>
      </c>
      <c r="S5248" s="2" t="s">
        <v>107</v>
      </c>
      <c r="T5248" s="2">
        <v>1</v>
      </c>
      <c r="U5248" s="2" t="s">
        <v>79</v>
      </c>
      <c r="V5248" s="2">
        <v>3</v>
      </c>
      <c r="W5248" s="2" t="s">
        <v>225</v>
      </c>
      <c r="X5248" s="2">
        <v>6</v>
      </c>
      <c r="Y5248" s="2" t="s">
        <v>249</v>
      </c>
      <c r="Z5248" s="2">
        <v>1</v>
      </c>
      <c r="AA5248" s="2" t="s">
        <v>82</v>
      </c>
      <c r="AB5248" s="2">
        <v>9</v>
      </c>
      <c r="AC5248" s="2" t="s">
        <v>124</v>
      </c>
      <c r="AD5248" s="3">
        <v>40533</v>
      </c>
      <c r="AE5248" s="2"/>
      <c r="AF5248" s="3">
        <v>40528</v>
      </c>
      <c r="AG5248" s="2"/>
      <c r="AH5248" s="2">
        <v>2</v>
      </c>
      <c r="AI5248" s="2" t="s">
        <v>84</v>
      </c>
      <c r="AJ5248" s="2">
        <v>6</v>
      </c>
      <c r="AK5248" s="2" t="s">
        <v>453</v>
      </c>
      <c r="AL5248" s="2">
        <v>25</v>
      </c>
      <c r="AM5248" s="2" t="s">
        <v>3073</v>
      </c>
      <c r="AN5248" s="2"/>
      <c r="AO5248" s="2" t="s">
        <v>16045</v>
      </c>
      <c r="AP5248" s="2">
        <v>11</v>
      </c>
      <c r="AQ5248" s="2" t="s">
        <v>82</v>
      </c>
      <c r="AR5248" s="2"/>
      <c r="AS5248" s="2"/>
      <c r="AT5248" s="2" t="s">
        <v>16046</v>
      </c>
      <c r="AU5248" s="2"/>
      <c r="AV5248" s="2"/>
      <c r="AW5248" s="2"/>
      <c r="AX5248" s="2"/>
      <c r="AY5248" s="2">
        <v>41</v>
      </c>
      <c r="AZ5248" s="2" t="s">
        <v>82</v>
      </c>
      <c r="BA5248" s="2">
        <v>41</v>
      </c>
      <c r="BB5248" s="2" t="s">
        <v>82</v>
      </c>
      <c r="BC5248" s="2">
        <v>41</v>
      </c>
      <c r="BD5248" s="2" t="s">
        <v>82</v>
      </c>
      <c r="BE5248" s="2">
        <v>1</v>
      </c>
      <c r="BF5248" s="2" t="s">
        <v>107</v>
      </c>
      <c r="BG5248" s="2"/>
      <c r="BH5248" s="2"/>
      <c r="BI5248" s="2"/>
      <c r="BJ5248" s="2">
        <v>242</v>
      </c>
      <c r="BK5248" s="2" t="s">
        <v>107</v>
      </c>
      <c r="BL5248" s="2"/>
      <c r="BM5248" s="2">
        <v>241</v>
      </c>
      <c r="BN5248" s="2" t="s">
        <v>82</v>
      </c>
      <c r="BO5248" s="2"/>
      <c r="BP5248" s="2">
        <v>242</v>
      </c>
      <c r="BQ5248" s="2" t="s">
        <v>107</v>
      </c>
      <c r="BR5248" s="2"/>
      <c r="BS5248" s="3">
        <v>40533</v>
      </c>
      <c r="BT5248" s="4">
        <v>0.4540393518518519</v>
      </c>
    </row>
    <row r="5249" spans="1:72" x14ac:dyDescent="0.25">
      <c r="A5249" s="2">
        <v>8133</v>
      </c>
      <c r="B5249" s="2">
        <v>2010</v>
      </c>
      <c r="C5249" s="2" t="s">
        <v>72</v>
      </c>
      <c r="D5249" s="2" t="s">
        <v>73</v>
      </c>
      <c r="E5249" s="2"/>
      <c r="F5249" s="2">
        <v>630</v>
      </c>
      <c r="G5249" s="2" t="s">
        <v>16047</v>
      </c>
      <c r="H5249" s="2">
        <v>108</v>
      </c>
      <c r="I5249" s="2" t="s">
        <v>1096</v>
      </c>
      <c r="J5249" s="2">
        <v>756</v>
      </c>
      <c r="K5249" s="2" t="s">
        <v>16025</v>
      </c>
      <c r="L5249" s="2" t="s">
        <v>16026</v>
      </c>
      <c r="M5249" s="3">
        <v>40533</v>
      </c>
      <c r="N5249" s="2" t="s">
        <v>16048</v>
      </c>
      <c r="O5249" s="2"/>
      <c r="P5249" s="2"/>
      <c r="Q5249" s="2" t="str">
        <f>"462-A/10"</f>
        <v>462-A/10</v>
      </c>
      <c r="R5249" s="2" t="s">
        <v>156</v>
      </c>
      <c r="S5249" s="2" t="s">
        <v>156</v>
      </c>
      <c r="T5249" s="2">
        <v>1</v>
      </c>
      <c r="U5249" s="2" t="s">
        <v>79</v>
      </c>
      <c r="V5249" s="2">
        <v>1</v>
      </c>
      <c r="W5249" s="2" t="s">
        <v>80</v>
      </c>
      <c r="X5249" s="2">
        <v>12</v>
      </c>
      <c r="Y5249" s="2" t="s">
        <v>148</v>
      </c>
      <c r="Z5249" s="2">
        <v>1</v>
      </c>
      <c r="AA5249" s="2" t="s">
        <v>82</v>
      </c>
      <c r="AB5249" s="2">
        <v>6</v>
      </c>
      <c r="AC5249" s="2" t="s">
        <v>83</v>
      </c>
      <c r="AD5249" s="3">
        <v>40532</v>
      </c>
      <c r="AE5249" s="2"/>
      <c r="AF5249" s="3">
        <v>40532</v>
      </c>
      <c r="AG5249" s="4">
        <v>0.70833333333333337</v>
      </c>
      <c r="AH5249" s="2">
        <v>2</v>
      </c>
      <c r="AI5249" s="2" t="s">
        <v>84</v>
      </c>
      <c r="AJ5249" s="2">
        <v>12</v>
      </c>
      <c r="AK5249" s="2" t="s">
        <v>85</v>
      </c>
      <c r="AL5249" s="2">
        <v>7</v>
      </c>
      <c r="AM5249" s="2" t="s">
        <v>1450</v>
      </c>
      <c r="AN5249" s="2"/>
      <c r="AO5249" s="2" t="s">
        <v>16049</v>
      </c>
      <c r="AP5249" s="2">
        <v>11</v>
      </c>
      <c r="AQ5249" s="2" t="s">
        <v>82</v>
      </c>
      <c r="AR5249" s="2"/>
      <c r="AS5249" s="2"/>
      <c r="AT5249" s="2" t="s">
        <v>16050</v>
      </c>
      <c r="AU5249" s="2"/>
      <c r="AV5249" s="2"/>
      <c r="AW5249" s="2"/>
      <c r="AX5249" s="2"/>
      <c r="AY5249" s="2">
        <v>41</v>
      </c>
      <c r="AZ5249" s="2" t="s">
        <v>82</v>
      </c>
      <c r="BA5249" s="2">
        <v>41</v>
      </c>
      <c r="BB5249" s="2" t="s">
        <v>82</v>
      </c>
      <c r="BC5249" s="2">
        <v>41</v>
      </c>
      <c r="BD5249" s="2" t="s">
        <v>82</v>
      </c>
      <c r="BE5249" s="2">
        <v>41</v>
      </c>
      <c r="BF5249" s="2" t="s">
        <v>82</v>
      </c>
      <c r="BG5249" s="2"/>
      <c r="BH5249" s="2"/>
      <c r="BI5249" s="2"/>
      <c r="BJ5249" s="2">
        <v>241</v>
      </c>
      <c r="BK5249" s="2" t="s">
        <v>82</v>
      </c>
      <c r="BL5249" s="2"/>
      <c r="BM5249" s="2">
        <v>241</v>
      </c>
      <c r="BN5249" s="2" t="s">
        <v>82</v>
      </c>
      <c r="BO5249" s="2"/>
      <c r="BP5249" s="2">
        <v>241</v>
      </c>
      <c r="BQ5249" s="2" t="s">
        <v>82</v>
      </c>
      <c r="BR5249" s="2"/>
      <c r="BS5249" s="3">
        <v>40533</v>
      </c>
      <c r="BT5249" s="4">
        <v>0.45612268518518517</v>
      </c>
    </row>
    <row r="5250" spans="1:72" x14ac:dyDescent="0.25">
      <c r="A5250" s="2">
        <v>8134</v>
      </c>
      <c r="B5250" s="2">
        <v>2010</v>
      </c>
      <c r="C5250" s="2" t="s">
        <v>72</v>
      </c>
      <c r="D5250" s="2" t="s">
        <v>122</v>
      </c>
      <c r="E5250" s="2"/>
      <c r="F5250" s="2">
        <v>752</v>
      </c>
      <c r="G5250" s="2" t="s">
        <v>16051</v>
      </c>
      <c r="H5250" s="2">
        <v>149</v>
      </c>
      <c r="I5250" s="2" t="s">
        <v>14672</v>
      </c>
      <c r="J5250" s="2">
        <v>757</v>
      </c>
      <c r="K5250" s="2" t="s">
        <v>16052</v>
      </c>
      <c r="L5250" s="2" t="s">
        <v>16053</v>
      </c>
      <c r="M5250" s="3">
        <v>40533</v>
      </c>
      <c r="N5250" s="2" t="s">
        <v>16054</v>
      </c>
      <c r="O5250" s="2" t="s">
        <v>16055</v>
      </c>
      <c r="P5250" s="2"/>
      <c r="Q5250" s="2" t="str">
        <f>""</f>
        <v/>
      </c>
      <c r="R5250" s="2"/>
      <c r="S5250" s="6">
        <v>44853</v>
      </c>
      <c r="T5250" s="2">
        <v>1</v>
      </c>
      <c r="U5250" s="2" t="s">
        <v>79</v>
      </c>
      <c r="V5250" s="2">
        <v>3</v>
      </c>
      <c r="W5250" s="2" t="s">
        <v>225</v>
      </c>
      <c r="X5250" s="2">
        <v>5</v>
      </c>
      <c r="Y5250" s="2" t="s">
        <v>82</v>
      </c>
      <c r="Z5250" s="2">
        <v>1</v>
      </c>
      <c r="AA5250" s="2" t="s">
        <v>82</v>
      </c>
      <c r="AB5250" s="2">
        <v>9</v>
      </c>
      <c r="AC5250" s="2" t="s">
        <v>124</v>
      </c>
      <c r="AD5250" s="2"/>
      <c r="AE5250" s="2"/>
      <c r="AF5250" s="3">
        <v>40532</v>
      </c>
      <c r="AG5250" s="4">
        <v>0.38541666666666669</v>
      </c>
      <c r="AH5250" s="2">
        <v>3</v>
      </c>
      <c r="AI5250" s="2" t="s">
        <v>214</v>
      </c>
      <c r="AJ5250" s="2">
        <v>14</v>
      </c>
      <c r="AK5250" s="2" t="s">
        <v>342</v>
      </c>
      <c r="AL5250" s="2">
        <v>19</v>
      </c>
      <c r="AM5250" s="2" t="s">
        <v>107</v>
      </c>
      <c r="AN5250" s="2"/>
      <c r="AO5250" s="2"/>
      <c r="AP5250" s="2">
        <v>11</v>
      </c>
      <c r="AQ5250" s="2" t="s">
        <v>82</v>
      </c>
      <c r="AR5250" s="2"/>
      <c r="AS5250" s="2"/>
      <c r="AT5250" s="2" t="s">
        <v>16056</v>
      </c>
      <c r="AU5250" s="2"/>
      <c r="AV5250" s="2"/>
      <c r="AW5250" s="2"/>
      <c r="AX5250" s="2"/>
      <c r="AY5250" s="2">
        <v>41</v>
      </c>
      <c r="AZ5250" s="2" t="s">
        <v>82</v>
      </c>
      <c r="BA5250" s="2">
        <v>41</v>
      </c>
      <c r="BB5250" s="2" t="s">
        <v>82</v>
      </c>
      <c r="BC5250" s="2">
        <v>41</v>
      </c>
      <c r="BD5250" s="2" t="s">
        <v>82</v>
      </c>
      <c r="BE5250" s="2">
        <v>41</v>
      </c>
      <c r="BF5250" s="2" t="s">
        <v>82</v>
      </c>
      <c r="BG5250" s="2"/>
      <c r="BH5250" s="2"/>
      <c r="BI5250" s="2"/>
      <c r="BJ5250" s="2">
        <v>241</v>
      </c>
      <c r="BK5250" s="2" t="s">
        <v>82</v>
      </c>
      <c r="BL5250" s="2"/>
      <c r="BM5250" s="2">
        <v>241</v>
      </c>
      <c r="BN5250" s="2" t="s">
        <v>82</v>
      </c>
      <c r="BO5250" s="2"/>
      <c r="BP5250" s="2">
        <v>241</v>
      </c>
      <c r="BQ5250" s="2" t="s">
        <v>82</v>
      </c>
      <c r="BR5250" s="2"/>
      <c r="BS5250" s="3">
        <v>40533</v>
      </c>
      <c r="BT5250" s="4">
        <v>0.50444444444444447</v>
      </c>
    </row>
    <row r="5251" spans="1:72" x14ac:dyDescent="0.25">
      <c r="A5251" s="2">
        <v>8136</v>
      </c>
      <c r="B5251" s="2">
        <v>2010</v>
      </c>
      <c r="C5251" s="2" t="s">
        <v>255</v>
      </c>
      <c r="D5251" s="2" t="s">
        <v>73</v>
      </c>
      <c r="E5251" s="2"/>
      <c r="F5251" s="2">
        <v>259</v>
      </c>
      <c r="G5251" s="2" t="s">
        <v>16057</v>
      </c>
      <c r="H5251" s="2">
        <v>162</v>
      </c>
      <c r="I5251" s="2" t="s">
        <v>16058</v>
      </c>
      <c r="J5251" s="2">
        <v>271</v>
      </c>
      <c r="K5251" s="2" t="s">
        <v>16059</v>
      </c>
      <c r="L5251" s="2" t="s">
        <v>16060</v>
      </c>
      <c r="M5251" s="3">
        <v>40533</v>
      </c>
      <c r="N5251" s="2" t="s">
        <v>16061</v>
      </c>
      <c r="O5251" s="2"/>
      <c r="P5251" s="2"/>
      <c r="Q5251" s="2" t="str">
        <f>"463-A/10"</f>
        <v>463-A/10</v>
      </c>
      <c r="R5251" s="2" t="s">
        <v>947</v>
      </c>
      <c r="S5251" s="2"/>
      <c r="T5251" s="2">
        <v>1</v>
      </c>
      <c r="U5251" s="2" t="s">
        <v>79</v>
      </c>
      <c r="V5251" s="2">
        <v>1</v>
      </c>
      <c r="W5251" s="2" t="s">
        <v>80</v>
      </c>
      <c r="X5251" s="2">
        <v>12</v>
      </c>
      <c r="Y5251" s="2" t="s">
        <v>148</v>
      </c>
      <c r="Z5251" s="2">
        <v>1</v>
      </c>
      <c r="AA5251" s="2" t="s">
        <v>82</v>
      </c>
      <c r="AB5251" s="2">
        <v>9</v>
      </c>
      <c r="AC5251" s="2" t="s">
        <v>124</v>
      </c>
      <c r="AD5251" s="3">
        <v>40532</v>
      </c>
      <c r="AE5251" s="4">
        <v>0.83333333333333337</v>
      </c>
      <c r="AF5251" s="3">
        <v>40532</v>
      </c>
      <c r="AG5251" s="4">
        <v>0.90277777777777779</v>
      </c>
      <c r="AH5251" s="2">
        <v>2</v>
      </c>
      <c r="AI5251" s="2" t="s">
        <v>84</v>
      </c>
      <c r="AJ5251" s="2">
        <v>12</v>
      </c>
      <c r="AK5251" s="2" t="s">
        <v>85</v>
      </c>
      <c r="AL5251" s="2">
        <v>23</v>
      </c>
      <c r="AM5251" s="2" t="s">
        <v>251</v>
      </c>
      <c r="AN5251" s="2" t="s">
        <v>16062</v>
      </c>
      <c r="AO5251" s="2" t="s">
        <v>16063</v>
      </c>
      <c r="AP5251" s="2">
        <v>11</v>
      </c>
      <c r="AQ5251" s="2" t="s">
        <v>82</v>
      </c>
      <c r="AR5251" s="2"/>
      <c r="AS5251" s="2"/>
      <c r="AT5251" s="2" t="s">
        <v>16064</v>
      </c>
      <c r="AU5251" s="2"/>
      <c r="AV5251" s="2"/>
      <c r="AW5251" s="2"/>
      <c r="AX5251" s="2"/>
      <c r="AY5251" s="2">
        <v>41</v>
      </c>
      <c r="AZ5251" s="2" t="s">
        <v>82</v>
      </c>
      <c r="BA5251" s="2">
        <v>41</v>
      </c>
      <c r="BB5251" s="2" t="s">
        <v>82</v>
      </c>
      <c r="BC5251" s="2">
        <v>41</v>
      </c>
      <c r="BD5251" s="2" t="s">
        <v>82</v>
      </c>
      <c r="BE5251" s="2">
        <v>41</v>
      </c>
      <c r="BF5251" s="2" t="s">
        <v>82</v>
      </c>
      <c r="BG5251" s="2"/>
      <c r="BH5251" s="2"/>
      <c r="BI5251" s="2"/>
      <c r="BJ5251" s="2">
        <v>241</v>
      </c>
      <c r="BK5251" s="2" t="s">
        <v>82</v>
      </c>
      <c r="BL5251" s="2"/>
      <c r="BM5251" s="2">
        <v>241</v>
      </c>
      <c r="BN5251" s="2" t="s">
        <v>82</v>
      </c>
      <c r="BO5251" s="2"/>
      <c r="BP5251" s="2">
        <v>241</v>
      </c>
      <c r="BQ5251" s="2" t="s">
        <v>82</v>
      </c>
      <c r="BR5251" s="2"/>
      <c r="BS5251" s="3">
        <v>40533</v>
      </c>
      <c r="BT5251" s="4">
        <v>0.54340277777777779</v>
      </c>
    </row>
    <row r="5252" spans="1:72" x14ac:dyDescent="0.25">
      <c r="A5252" s="2">
        <v>8138</v>
      </c>
      <c r="B5252" s="2">
        <v>2010</v>
      </c>
      <c r="C5252" s="2" t="s">
        <v>171</v>
      </c>
      <c r="D5252" s="2" t="s">
        <v>73</v>
      </c>
      <c r="E5252" s="2"/>
      <c r="F5252" s="2">
        <v>153</v>
      </c>
      <c r="G5252" s="2" t="s">
        <v>9047</v>
      </c>
      <c r="H5252" s="2">
        <v>6</v>
      </c>
      <c r="I5252" s="2" t="s">
        <v>1088</v>
      </c>
      <c r="J5252" s="2">
        <v>165</v>
      </c>
      <c r="K5252" s="2" t="s">
        <v>8586</v>
      </c>
      <c r="L5252" s="2" t="s">
        <v>8587</v>
      </c>
      <c r="M5252" s="3">
        <v>40533</v>
      </c>
      <c r="N5252" s="2" t="s">
        <v>8588</v>
      </c>
      <c r="O5252" s="2"/>
      <c r="P5252" s="2"/>
      <c r="Q5252" s="2" t="str">
        <f>"0464-A/10"</f>
        <v>0464-A/10</v>
      </c>
      <c r="R5252" s="2" t="s">
        <v>489</v>
      </c>
      <c r="S5252" s="2" t="s">
        <v>489</v>
      </c>
      <c r="T5252" s="2">
        <v>1</v>
      </c>
      <c r="U5252" s="2" t="s">
        <v>79</v>
      </c>
      <c r="V5252" s="2">
        <v>1</v>
      </c>
      <c r="W5252" s="2" t="s">
        <v>80</v>
      </c>
      <c r="X5252" s="2">
        <v>1</v>
      </c>
      <c r="Y5252" s="2" t="s">
        <v>81</v>
      </c>
      <c r="Z5252" s="2">
        <v>1</v>
      </c>
      <c r="AA5252" s="2" t="s">
        <v>82</v>
      </c>
      <c r="AB5252" s="2">
        <v>1</v>
      </c>
      <c r="AC5252" s="2" t="s">
        <v>178</v>
      </c>
      <c r="AD5252" s="3">
        <v>40532</v>
      </c>
      <c r="AE5252" s="4">
        <v>0.94097222222222221</v>
      </c>
      <c r="AF5252" s="3">
        <v>40533</v>
      </c>
      <c r="AG5252" s="4">
        <v>1.0416666666666666E-2</v>
      </c>
      <c r="AH5252" s="2">
        <v>2</v>
      </c>
      <c r="AI5252" s="2" t="s">
        <v>84</v>
      </c>
      <c r="AJ5252" s="2">
        <v>12</v>
      </c>
      <c r="AK5252" s="2" t="s">
        <v>85</v>
      </c>
      <c r="AL5252" s="2">
        <v>11</v>
      </c>
      <c r="AM5252" s="2" t="s">
        <v>137</v>
      </c>
      <c r="AN5252" s="2" t="s">
        <v>16065</v>
      </c>
      <c r="AO5252" s="2" t="s">
        <v>987</v>
      </c>
      <c r="AP5252" s="2">
        <v>11</v>
      </c>
      <c r="AQ5252" s="2" t="s">
        <v>82</v>
      </c>
      <c r="AR5252" s="2"/>
      <c r="AS5252" s="2"/>
      <c r="AT5252" s="2" t="s">
        <v>16066</v>
      </c>
      <c r="AU5252" s="2">
        <v>1</v>
      </c>
      <c r="AV5252" s="2"/>
      <c r="AW5252" s="2"/>
      <c r="AX5252" s="2"/>
      <c r="AY5252" s="2">
        <v>41</v>
      </c>
      <c r="AZ5252" s="2" t="s">
        <v>82</v>
      </c>
      <c r="BA5252" s="2">
        <v>41</v>
      </c>
      <c r="BB5252" s="2" t="s">
        <v>82</v>
      </c>
      <c r="BC5252" s="2">
        <v>41</v>
      </c>
      <c r="BD5252" s="2" t="s">
        <v>82</v>
      </c>
      <c r="BE5252" s="2">
        <v>4</v>
      </c>
      <c r="BF5252" s="2" t="s">
        <v>90</v>
      </c>
      <c r="BG5252" s="2" t="s">
        <v>16067</v>
      </c>
      <c r="BH5252" s="2"/>
      <c r="BI5252" s="4">
        <v>0.95833333333333337</v>
      </c>
      <c r="BJ5252" s="2">
        <v>13</v>
      </c>
      <c r="BK5252" s="2" t="s">
        <v>91</v>
      </c>
      <c r="BL5252" s="2" t="s">
        <v>564</v>
      </c>
      <c r="BM5252" s="2">
        <v>13</v>
      </c>
      <c r="BN5252" s="2" t="s">
        <v>91</v>
      </c>
      <c r="BO5252" s="2"/>
      <c r="BP5252" s="2">
        <v>13</v>
      </c>
      <c r="BQ5252" s="2" t="s">
        <v>91</v>
      </c>
      <c r="BR5252" s="2" t="s">
        <v>353</v>
      </c>
      <c r="BS5252" s="3">
        <v>40533</v>
      </c>
      <c r="BT5252" s="4">
        <v>0.58891203703703698</v>
      </c>
    </row>
    <row r="5253" spans="1:72" x14ac:dyDescent="0.25">
      <c r="A5253" s="2">
        <v>8139</v>
      </c>
      <c r="B5253" s="2">
        <v>2010</v>
      </c>
      <c r="C5253" s="2" t="s">
        <v>171</v>
      </c>
      <c r="D5253" s="2" t="s">
        <v>73</v>
      </c>
      <c r="E5253" s="2"/>
      <c r="F5253" s="2">
        <v>393</v>
      </c>
      <c r="G5253" s="2" t="s">
        <v>3660</v>
      </c>
      <c r="H5253" s="2">
        <v>2</v>
      </c>
      <c r="I5253" s="2" t="s">
        <v>267</v>
      </c>
      <c r="J5253" s="2">
        <v>2</v>
      </c>
      <c r="K5253" s="2" t="s">
        <v>3661</v>
      </c>
      <c r="L5253" s="2" t="s">
        <v>3662</v>
      </c>
      <c r="M5253" s="3">
        <v>40533</v>
      </c>
      <c r="N5253" s="2" t="s">
        <v>3663</v>
      </c>
      <c r="O5253" s="2" t="s">
        <v>16068</v>
      </c>
      <c r="P5253" s="2">
        <v>5879</v>
      </c>
      <c r="Q5253" s="2" t="str">
        <f>"0682-E/10"</f>
        <v>0682-E/10</v>
      </c>
      <c r="R5253" s="2" t="s">
        <v>391</v>
      </c>
      <c r="S5253" s="2" t="s">
        <v>391</v>
      </c>
      <c r="T5253" s="2">
        <v>1</v>
      </c>
      <c r="U5253" s="2" t="s">
        <v>79</v>
      </c>
      <c r="V5253" s="2">
        <v>3</v>
      </c>
      <c r="W5253" s="2" t="s">
        <v>225</v>
      </c>
      <c r="X5253" s="2">
        <v>6</v>
      </c>
      <c r="Y5253" s="2" t="s">
        <v>249</v>
      </c>
      <c r="Z5253" s="2">
        <v>1</v>
      </c>
      <c r="AA5253" s="2" t="s">
        <v>82</v>
      </c>
      <c r="AB5253" s="2">
        <v>9</v>
      </c>
      <c r="AC5253" s="2" t="s">
        <v>124</v>
      </c>
      <c r="AD5253" s="3">
        <v>40533</v>
      </c>
      <c r="AE5253" s="2"/>
      <c r="AF5253" s="3">
        <v>40530</v>
      </c>
      <c r="AG5253" s="2"/>
      <c r="AH5253" s="2">
        <v>2</v>
      </c>
      <c r="AI5253" s="2" t="s">
        <v>84</v>
      </c>
      <c r="AJ5253" s="2">
        <v>6</v>
      </c>
      <c r="AK5253" s="2" t="s">
        <v>453</v>
      </c>
      <c r="AL5253" s="2">
        <v>23</v>
      </c>
      <c r="AM5253" s="2" t="s">
        <v>251</v>
      </c>
      <c r="AN5253" s="2" t="s">
        <v>16069</v>
      </c>
      <c r="AO5253" s="2" t="s">
        <v>16070</v>
      </c>
      <c r="AP5253" s="2">
        <v>11</v>
      </c>
      <c r="AQ5253" s="2" t="s">
        <v>82</v>
      </c>
      <c r="AR5253" s="2"/>
      <c r="AS5253" s="2"/>
      <c r="AT5253" s="2" t="s">
        <v>16071</v>
      </c>
      <c r="AU5253" s="2"/>
      <c r="AV5253" s="2"/>
      <c r="AW5253" s="2"/>
      <c r="AX5253" s="2"/>
      <c r="AY5253" s="2">
        <v>41</v>
      </c>
      <c r="AZ5253" s="2" t="s">
        <v>82</v>
      </c>
      <c r="BA5253" s="2">
        <v>41</v>
      </c>
      <c r="BB5253" s="2" t="s">
        <v>82</v>
      </c>
      <c r="BC5253" s="2">
        <v>41</v>
      </c>
      <c r="BD5253" s="2" t="s">
        <v>82</v>
      </c>
      <c r="BE5253" s="2">
        <v>41</v>
      </c>
      <c r="BF5253" s="2" t="s">
        <v>82</v>
      </c>
      <c r="BG5253" s="2"/>
      <c r="BH5253" s="2"/>
      <c r="BI5253" s="2"/>
      <c r="BJ5253" s="2">
        <v>241</v>
      </c>
      <c r="BK5253" s="2" t="s">
        <v>82</v>
      </c>
      <c r="BL5253" s="2"/>
      <c r="BM5253" s="2">
        <v>241</v>
      </c>
      <c r="BN5253" s="2" t="s">
        <v>82</v>
      </c>
      <c r="BO5253" s="2"/>
      <c r="BP5253" s="2">
        <v>241</v>
      </c>
      <c r="BQ5253" s="2" t="s">
        <v>82</v>
      </c>
      <c r="BR5253" s="2"/>
      <c r="BS5253" s="3">
        <v>40533</v>
      </c>
      <c r="BT5253" s="4">
        <v>0.594212962962963</v>
      </c>
    </row>
    <row r="5254" spans="1:72" x14ac:dyDescent="0.25">
      <c r="A5254" s="2">
        <v>8142</v>
      </c>
      <c r="B5254" s="2">
        <v>2010</v>
      </c>
      <c r="C5254" s="2" t="s">
        <v>72</v>
      </c>
      <c r="D5254" s="2" t="s">
        <v>73</v>
      </c>
      <c r="E5254" s="2"/>
      <c r="F5254" s="2">
        <v>415</v>
      </c>
      <c r="G5254" s="2" t="s">
        <v>10822</v>
      </c>
      <c r="H5254" s="2">
        <v>22</v>
      </c>
      <c r="I5254" s="2" t="s">
        <v>75</v>
      </c>
      <c r="J5254" s="2">
        <v>641</v>
      </c>
      <c r="K5254" s="2" t="s">
        <v>10823</v>
      </c>
      <c r="L5254" s="2" t="s">
        <v>10824</v>
      </c>
      <c r="M5254" s="3">
        <v>40533</v>
      </c>
      <c r="N5254" s="2" t="s">
        <v>16072</v>
      </c>
      <c r="O5254" s="2" t="s">
        <v>116</v>
      </c>
      <c r="P5254" s="2" t="s">
        <v>16073</v>
      </c>
      <c r="Q5254" s="2" t="str">
        <f>"679-E/10"</f>
        <v>679-E/10</v>
      </c>
      <c r="R5254" s="2" t="s">
        <v>107</v>
      </c>
      <c r="S5254" s="2" t="s">
        <v>116</v>
      </c>
      <c r="T5254" s="2">
        <v>1</v>
      </c>
      <c r="U5254" s="2" t="s">
        <v>79</v>
      </c>
      <c r="V5254" s="2">
        <v>1</v>
      </c>
      <c r="W5254" s="2" t="s">
        <v>80</v>
      </c>
      <c r="X5254" s="2">
        <v>8</v>
      </c>
      <c r="Y5254" s="2" t="s">
        <v>375</v>
      </c>
      <c r="Z5254" s="2">
        <v>1</v>
      </c>
      <c r="AA5254" s="2" t="s">
        <v>82</v>
      </c>
      <c r="AB5254" s="2">
        <v>6</v>
      </c>
      <c r="AC5254" s="2" t="s">
        <v>83</v>
      </c>
      <c r="AD5254" s="3">
        <v>40533</v>
      </c>
      <c r="AE5254" s="4">
        <v>0.4513888888888889</v>
      </c>
      <c r="AF5254" s="3">
        <v>40533</v>
      </c>
      <c r="AG5254" s="4">
        <v>0.47569444444444442</v>
      </c>
      <c r="AH5254" s="2">
        <v>2</v>
      </c>
      <c r="AI5254" s="2" t="s">
        <v>84</v>
      </c>
      <c r="AJ5254" s="2">
        <v>6</v>
      </c>
      <c r="AK5254" s="2" t="s">
        <v>453</v>
      </c>
      <c r="AL5254" s="2">
        <v>23</v>
      </c>
      <c r="AM5254" s="2" t="s">
        <v>251</v>
      </c>
      <c r="AN5254" s="2" t="s">
        <v>16074</v>
      </c>
      <c r="AO5254" s="2" t="s">
        <v>16075</v>
      </c>
      <c r="AP5254" s="2">
        <v>11</v>
      </c>
      <c r="AQ5254" s="2" t="s">
        <v>82</v>
      </c>
      <c r="AR5254" s="2"/>
      <c r="AS5254" s="2"/>
      <c r="AT5254" s="2" t="s">
        <v>16076</v>
      </c>
      <c r="AU5254" s="2"/>
      <c r="AV5254" s="2"/>
      <c r="AW5254" s="2"/>
      <c r="AX5254" s="2"/>
      <c r="AY5254" s="2">
        <v>41</v>
      </c>
      <c r="AZ5254" s="2" t="s">
        <v>82</v>
      </c>
      <c r="BA5254" s="2">
        <v>41</v>
      </c>
      <c r="BB5254" s="2" t="s">
        <v>82</v>
      </c>
      <c r="BC5254" s="2">
        <v>41</v>
      </c>
      <c r="BD5254" s="2" t="s">
        <v>82</v>
      </c>
      <c r="BE5254" s="2">
        <v>41</v>
      </c>
      <c r="BF5254" s="2" t="s">
        <v>82</v>
      </c>
      <c r="BG5254" s="2"/>
      <c r="BH5254" s="2"/>
      <c r="BI5254" s="2"/>
      <c r="BJ5254" s="2">
        <v>241</v>
      </c>
      <c r="BK5254" s="2" t="s">
        <v>82</v>
      </c>
      <c r="BL5254" s="2"/>
      <c r="BM5254" s="2">
        <v>241</v>
      </c>
      <c r="BN5254" s="2" t="s">
        <v>82</v>
      </c>
      <c r="BO5254" s="2"/>
      <c r="BP5254" s="2">
        <v>241</v>
      </c>
      <c r="BQ5254" s="2" t="s">
        <v>82</v>
      </c>
      <c r="BR5254" s="2"/>
      <c r="BS5254" s="3">
        <v>40533</v>
      </c>
      <c r="BT5254" s="4">
        <v>0.63861111111111113</v>
      </c>
    </row>
    <row r="5255" spans="1:72" x14ac:dyDescent="0.25">
      <c r="A5255" s="2">
        <v>8143</v>
      </c>
      <c r="B5255" s="2">
        <v>2010</v>
      </c>
      <c r="C5255" s="2" t="s">
        <v>72</v>
      </c>
      <c r="D5255" s="2" t="s">
        <v>122</v>
      </c>
      <c r="E5255" s="2"/>
      <c r="F5255" s="2">
        <v>752</v>
      </c>
      <c r="G5255" s="2" t="s">
        <v>16051</v>
      </c>
      <c r="H5255" s="2">
        <v>149</v>
      </c>
      <c r="I5255" s="2" t="s">
        <v>14672</v>
      </c>
      <c r="J5255" s="2">
        <v>757</v>
      </c>
      <c r="K5255" s="2" t="s">
        <v>16052</v>
      </c>
      <c r="L5255" s="2" t="s">
        <v>16053</v>
      </c>
      <c r="M5255" s="3">
        <v>40533</v>
      </c>
      <c r="N5255" s="2" t="s">
        <v>16077</v>
      </c>
      <c r="O5255" s="2" t="s">
        <v>16078</v>
      </c>
      <c r="P5255" s="2" t="s">
        <v>82</v>
      </c>
      <c r="Q5255" s="2" t="str">
        <f>"19/2010"</f>
        <v>19/2010</v>
      </c>
      <c r="R5255" s="2" t="s">
        <v>82</v>
      </c>
      <c r="S5255" s="2" t="s">
        <v>82</v>
      </c>
      <c r="T5255" s="2">
        <v>1</v>
      </c>
      <c r="U5255" s="2" t="s">
        <v>79</v>
      </c>
      <c r="V5255" s="2">
        <v>3</v>
      </c>
      <c r="W5255" s="2" t="s">
        <v>225</v>
      </c>
      <c r="X5255" s="2">
        <v>5</v>
      </c>
      <c r="Y5255" s="2" t="s">
        <v>82</v>
      </c>
      <c r="Z5255" s="2">
        <v>1</v>
      </c>
      <c r="AA5255" s="2" t="s">
        <v>82</v>
      </c>
      <c r="AB5255" s="2">
        <v>9</v>
      </c>
      <c r="AC5255" s="2" t="s">
        <v>124</v>
      </c>
      <c r="AD5255" s="2"/>
      <c r="AE5255" s="2"/>
      <c r="AF5255" s="3">
        <v>40533</v>
      </c>
      <c r="AG5255" s="4">
        <v>0.57638888888888895</v>
      </c>
      <c r="AH5255" s="2">
        <v>3</v>
      </c>
      <c r="AI5255" s="2" t="s">
        <v>214</v>
      </c>
      <c r="AJ5255" s="2">
        <v>14</v>
      </c>
      <c r="AK5255" s="2" t="s">
        <v>342</v>
      </c>
      <c r="AL5255" s="2">
        <v>19</v>
      </c>
      <c r="AM5255" s="2" t="s">
        <v>107</v>
      </c>
      <c r="AN5255" s="2" t="s">
        <v>16079</v>
      </c>
      <c r="AO5255" s="2" t="s">
        <v>82</v>
      </c>
      <c r="AP5255" s="2">
        <v>11</v>
      </c>
      <c r="AQ5255" s="2" t="s">
        <v>82</v>
      </c>
      <c r="AR5255" s="2"/>
      <c r="AS5255" s="2"/>
      <c r="AT5255" s="2" t="s">
        <v>16080</v>
      </c>
      <c r="AU5255" s="2"/>
      <c r="AV5255" s="2"/>
      <c r="AW5255" s="2"/>
      <c r="AX5255" s="2"/>
      <c r="AY5255" s="2">
        <v>41</v>
      </c>
      <c r="AZ5255" s="2" t="s">
        <v>82</v>
      </c>
      <c r="BA5255" s="2">
        <v>41</v>
      </c>
      <c r="BB5255" s="2" t="s">
        <v>82</v>
      </c>
      <c r="BC5255" s="2">
        <v>41</v>
      </c>
      <c r="BD5255" s="2" t="s">
        <v>82</v>
      </c>
      <c r="BE5255" s="2">
        <v>41</v>
      </c>
      <c r="BF5255" s="2" t="s">
        <v>82</v>
      </c>
      <c r="BG5255" s="2"/>
      <c r="BH5255" s="2"/>
      <c r="BI5255" s="2"/>
      <c r="BJ5255" s="2">
        <v>241</v>
      </c>
      <c r="BK5255" s="2" t="s">
        <v>82</v>
      </c>
      <c r="BL5255" s="2"/>
      <c r="BM5255" s="2">
        <v>241</v>
      </c>
      <c r="BN5255" s="2" t="s">
        <v>82</v>
      </c>
      <c r="BO5255" s="2"/>
      <c r="BP5255" s="2">
        <v>241</v>
      </c>
      <c r="BQ5255" s="2" t="s">
        <v>82</v>
      </c>
      <c r="BR5255" s="2"/>
      <c r="BS5255" s="3">
        <v>40533</v>
      </c>
      <c r="BT5255" s="4">
        <v>0.64111111111111108</v>
      </c>
    </row>
    <row r="5256" spans="1:72" x14ac:dyDescent="0.25">
      <c r="A5256" s="2">
        <v>8144</v>
      </c>
      <c r="B5256" s="2">
        <v>2010</v>
      </c>
      <c r="C5256" s="2" t="s">
        <v>171</v>
      </c>
      <c r="D5256" s="2" t="s">
        <v>73</v>
      </c>
      <c r="E5256" s="2"/>
      <c r="F5256" s="2">
        <v>393</v>
      </c>
      <c r="G5256" s="2" t="s">
        <v>3660</v>
      </c>
      <c r="H5256" s="2">
        <v>3</v>
      </c>
      <c r="I5256" s="2" t="s">
        <v>315</v>
      </c>
      <c r="J5256" s="2">
        <v>2</v>
      </c>
      <c r="K5256" s="2" t="s">
        <v>3661</v>
      </c>
      <c r="L5256" s="2" t="s">
        <v>3662</v>
      </c>
      <c r="M5256" s="3">
        <v>40533</v>
      </c>
      <c r="N5256" s="2" t="s">
        <v>7494</v>
      </c>
      <c r="O5256" s="2" t="s">
        <v>16081</v>
      </c>
      <c r="P5256" s="2">
        <v>5881</v>
      </c>
      <c r="Q5256" s="2" t="str">
        <f>"0685-E/10"</f>
        <v>0685-E/10</v>
      </c>
      <c r="R5256" s="2" t="s">
        <v>391</v>
      </c>
      <c r="S5256" s="2" t="s">
        <v>391</v>
      </c>
      <c r="T5256" s="2">
        <v>1</v>
      </c>
      <c r="U5256" s="2" t="s">
        <v>79</v>
      </c>
      <c r="V5256" s="2">
        <v>3</v>
      </c>
      <c r="W5256" s="2" t="s">
        <v>225</v>
      </c>
      <c r="X5256" s="2">
        <v>6</v>
      </c>
      <c r="Y5256" s="2" t="s">
        <v>249</v>
      </c>
      <c r="Z5256" s="2">
        <v>1</v>
      </c>
      <c r="AA5256" s="2" t="s">
        <v>82</v>
      </c>
      <c r="AB5256" s="2">
        <v>9</v>
      </c>
      <c r="AC5256" s="2" t="s">
        <v>124</v>
      </c>
      <c r="AD5256" s="3">
        <v>40533</v>
      </c>
      <c r="AE5256" s="2"/>
      <c r="AF5256" s="3">
        <v>40533</v>
      </c>
      <c r="AG5256" s="2"/>
      <c r="AH5256" s="2">
        <v>2</v>
      </c>
      <c r="AI5256" s="2" t="s">
        <v>84</v>
      </c>
      <c r="AJ5256" s="2">
        <v>6</v>
      </c>
      <c r="AK5256" s="2" t="s">
        <v>453</v>
      </c>
      <c r="AL5256" s="2">
        <v>23</v>
      </c>
      <c r="AM5256" s="2" t="s">
        <v>251</v>
      </c>
      <c r="AN5256" s="2" t="s">
        <v>16082</v>
      </c>
      <c r="AO5256" s="2" t="s">
        <v>16083</v>
      </c>
      <c r="AP5256" s="2">
        <v>11</v>
      </c>
      <c r="AQ5256" s="2" t="s">
        <v>82</v>
      </c>
      <c r="AR5256" s="2"/>
      <c r="AS5256" s="2"/>
      <c r="AT5256" s="2" t="s">
        <v>16084</v>
      </c>
      <c r="AU5256" s="2"/>
      <c r="AV5256" s="2"/>
      <c r="AW5256" s="2"/>
      <c r="AX5256" s="2"/>
      <c r="AY5256" s="2">
        <v>41</v>
      </c>
      <c r="AZ5256" s="2" t="s">
        <v>82</v>
      </c>
      <c r="BA5256" s="2">
        <v>41</v>
      </c>
      <c r="BB5256" s="2" t="s">
        <v>82</v>
      </c>
      <c r="BC5256" s="2">
        <v>41</v>
      </c>
      <c r="BD5256" s="2" t="s">
        <v>82</v>
      </c>
      <c r="BE5256" s="2">
        <v>41</v>
      </c>
      <c r="BF5256" s="2" t="s">
        <v>82</v>
      </c>
      <c r="BG5256" s="2"/>
      <c r="BH5256" s="2"/>
      <c r="BI5256" s="2"/>
      <c r="BJ5256" s="2">
        <v>241</v>
      </c>
      <c r="BK5256" s="2" t="s">
        <v>82</v>
      </c>
      <c r="BL5256" s="2"/>
      <c r="BM5256" s="2">
        <v>241</v>
      </c>
      <c r="BN5256" s="2" t="s">
        <v>82</v>
      </c>
      <c r="BO5256" s="2"/>
      <c r="BP5256" s="2">
        <v>241</v>
      </c>
      <c r="BQ5256" s="2" t="s">
        <v>82</v>
      </c>
      <c r="BR5256" s="2"/>
      <c r="BS5256" s="3">
        <v>40533</v>
      </c>
      <c r="BT5256" s="4">
        <v>0.64908564814814818</v>
      </c>
    </row>
    <row r="5257" spans="1:72" x14ac:dyDescent="0.25">
      <c r="A5257" s="2">
        <v>8145</v>
      </c>
      <c r="B5257" s="2">
        <v>2010</v>
      </c>
      <c r="C5257" s="2" t="s">
        <v>72</v>
      </c>
      <c r="D5257" s="2" t="s">
        <v>73</v>
      </c>
      <c r="E5257" s="2"/>
      <c r="F5257" s="2">
        <v>752</v>
      </c>
      <c r="G5257" s="2" t="s">
        <v>16051</v>
      </c>
      <c r="H5257" s="2">
        <v>149</v>
      </c>
      <c r="I5257" s="2" t="s">
        <v>14672</v>
      </c>
      <c r="J5257" s="2">
        <v>757</v>
      </c>
      <c r="K5257" s="2" t="s">
        <v>16052</v>
      </c>
      <c r="L5257" s="2" t="s">
        <v>16053</v>
      </c>
      <c r="M5257" s="3">
        <v>40533</v>
      </c>
      <c r="N5257" s="2" t="s">
        <v>16077</v>
      </c>
      <c r="O5257" s="2" t="s">
        <v>16085</v>
      </c>
      <c r="P5257" s="2" t="s">
        <v>82</v>
      </c>
      <c r="Q5257" s="2" t="str">
        <f>"19/10"</f>
        <v>19/10</v>
      </c>
      <c r="R5257" s="2" t="s">
        <v>82</v>
      </c>
      <c r="S5257" s="2"/>
      <c r="T5257" s="2">
        <v>1</v>
      </c>
      <c r="U5257" s="2" t="s">
        <v>79</v>
      </c>
      <c r="V5257" s="2">
        <v>1</v>
      </c>
      <c r="W5257" s="2" t="s">
        <v>80</v>
      </c>
      <c r="X5257" s="2">
        <v>3</v>
      </c>
      <c r="Y5257" s="2" t="s">
        <v>698</v>
      </c>
      <c r="Z5257" s="2">
        <v>22</v>
      </c>
      <c r="AA5257" s="2" t="s">
        <v>4417</v>
      </c>
      <c r="AB5257" s="2">
        <v>6</v>
      </c>
      <c r="AC5257" s="2" t="s">
        <v>83</v>
      </c>
      <c r="AD5257" s="3">
        <v>40533</v>
      </c>
      <c r="AE5257" s="4">
        <v>0.63541666666666663</v>
      </c>
      <c r="AF5257" s="3">
        <v>40533</v>
      </c>
      <c r="AG5257" s="2"/>
      <c r="AH5257" s="2">
        <v>3</v>
      </c>
      <c r="AI5257" s="2" t="s">
        <v>214</v>
      </c>
      <c r="AJ5257" s="2">
        <v>14</v>
      </c>
      <c r="AK5257" s="2" t="s">
        <v>342</v>
      </c>
      <c r="AL5257" s="2">
        <v>23</v>
      </c>
      <c r="AM5257" s="2" t="s">
        <v>251</v>
      </c>
      <c r="AN5257" s="2" t="s">
        <v>16086</v>
      </c>
      <c r="AO5257" s="2" t="s">
        <v>82</v>
      </c>
      <c r="AP5257" s="2">
        <v>11</v>
      </c>
      <c r="AQ5257" s="2" t="s">
        <v>82</v>
      </c>
      <c r="AR5257" s="2"/>
      <c r="AS5257" s="2"/>
      <c r="AT5257" s="2" t="s">
        <v>16087</v>
      </c>
      <c r="AU5257" s="2"/>
      <c r="AV5257" s="2"/>
      <c r="AW5257" s="2"/>
      <c r="AX5257" s="2"/>
      <c r="AY5257" s="2">
        <v>41</v>
      </c>
      <c r="AZ5257" s="2" t="s">
        <v>82</v>
      </c>
      <c r="BA5257" s="2">
        <v>41</v>
      </c>
      <c r="BB5257" s="2" t="s">
        <v>82</v>
      </c>
      <c r="BC5257" s="2">
        <v>41</v>
      </c>
      <c r="BD5257" s="2" t="s">
        <v>82</v>
      </c>
      <c r="BE5257" s="2">
        <v>41</v>
      </c>
      <c r="BF5257" s="2" t="s">
        <v>82</v>
      </c>
      <c r="BG5257" s="2"/>
      <c r="BH5257" s="2"/>
      <c r="BI5257" s="2"/>
      <c r="BJ5257" s="2">
        <v>241</v>
      </c>
      <c r="BK5257" s="2" t="s">
        <v>82</v>
      </c>
      <c r="BL5257" s="2"/>
      <c r="BM5257" s="2">
        <v>241</v>
      </c>
      <c r="BN5257" s="2" t="s">
        <v>82</v>
      </c>
      <c r="BO5257" s="2"/>
      <c r="BP5257" s="2">
        <v>241</v>
      </c>
      <c r="BQ5257" s="2" t="s">
        <v>82</v>
      </c>
      <c r="BR5257" s="2"/>
      <c r="BS5257" s="3">
        <v>40533</v>
      </c>
      <c r="BT5257" s="4">
        <v>0.69870370370370372</v>
      </c>
    </row>
    <row r="5258" spans="1:72" x14ac:dyDescent="0.25">
      <c r="A5258" s="2">
        <v>8146</v>
      </c>
      <c r="B5258" s="2">
        <v>2010</v>
      </c>
      <c r="C5258" s="2" t="s">
        <v>128</v>
      </c>
      <c r="D5258" s="2" t="s">
        <v>122</v>
      </c>
      <c r="E5258" s="2" t="s">
        <v>16088</v>
      </c>
      <c r="F5258" s="2">
        <v>425</v>
      </c>
      <c r="G5258" s="2" t="s">
        <v>286</v>
      </c>
      <c r="H5258" s="2">
        <v>39</v>
      </c>
      <c r="I5258" s="2" t="s">
        <v>1117</v>
      </c>
      <c r="J5258" s="2">
        <v>310</v>
      </c>
      <c r="K5258" s="2" t="s">
        <v>288</v>
      </c>
      <c r="L5258" s="2" t="s">
        <v>289</v>
      </c>
      <c r="M5258" s="3">
        <v>40533</v>
      </c>
      <c r="N5258" s="2" t="s">
        <v>1882</v>
      </c>
      <c r="O5258" s="2" t="s">
        <v>11437</v>
      </c>
      <c r="P5258" s="2" t="s">
        <v>11438</v>
      </c>
      <c r="Q5258" s="2" t="str">
        <f t="shared" ref="Q5258:Q5263" si="1">"101"</f>
        <v>101</v>
      </c>
      <c r="R5258" s="2"/>
      <c r="S5258" s="2"/>
      <c r="T5258" s="2">
        <v>1</v>
      </c>
      <c r="U5258" s="2" t="s">
        <v>79</v>
      </c>
      <c r="V5258" s="2">
        <v>1</v>
      </c>
      <c r="W5258" s="2" t="s">
        <v>80</v>
      </c>
      <c r="X5258" s="2">
        <v>5</v>
      </c>
      <c r="Y5258" s="2" t="s">
        <v>82</v>
      </c>
      <c r="Z5258" s="2">
        <v>1</v>
      </c>
      <c r="AA5258" s="2" t="s">
        <v>82</v>
      </c>
      <c r="AB5258" s="2">
        <v>9</v>
      </c>
      <c r="AC5258" s="2" t="s">
        <v>124</v>
      </c>
      <c r="AD5258" s="3">
        <v>40533</v>
      </c>
      <c r="AE5258" s="4">
        <v>0.31944444444444448</v>
      </c>
      <c r="AF5258" s="3">
        <v>40532</v>
      </c>
      <c r="AG5258" s="4">
        <v>0.52083333333333337</v>
      </c>
      <c r="AH5258" s="2">
        <v>4</v>
      </c>
      <c r="AI5258" s="2" t="s">
        <v>125</v>
      </c>
      <c r="AJ5258" s="2">
        <v>25</v>
      </c>
      <c r="AK5258" s="2" t="s">
        <v>125</v>
      </c>
      <c r="AL5258" s="2">
        <v>23</v>
      </c>
      <c r="AM5258" s="2" t="s">
        <v>251</v>
      </c>
      <c r="AN5258" s="2"/>
      <c r="AO5258" s="2" t="s">
        <v>15944</v>
      </c>
      <c r="AP5258" s="2">
        <v>11</v>
      </c>
      <c r="AQ5258" s="2" t="s">
        <v>82</v>
      </c>
      <c r="AR5258" s="2"/>
      <c r="AS5258" s="2"/>
      <c r="AT5258" s="2" t="s">
        <v>16089</v>
      </c>
      <c r="AU5258" s="2"/>
      <c r="AV5258" s="2">
        <v>1</v>
      </c>
      <c r="AW5258" s="2"/>
      <c r="AX5258" s="2"/>
      <c r="AY5258" s="2">
        <v>41</v>
      </c>
      <c r="AZ5258" s="2" t="s">
        <v>82</v>
      </c>
      <c r="BA5258" s="2">
        <v>41</v>
      </c>
      <c r="BB5258" s="2" t="s">
        <v>82</v>
      </c>
      <c r="BC5258" s="2">
        <v>41</v>
      </c>
      <c r="BD5258" s="2" t="s">
        <v>82</v>
      </c>
      <c r="BE5258" s="2">
        <v>41</v>
      </c>
      <c r="BF5258" s="2" t="s">
        <v>82</v>
      </c>
      <c r="BG5258" s="2"/>
      <c r="BH5258" s="2"/>
      <c r="BI5258" s="2"/>
      <c r="BJ5258" s="2">
        <v>241</v>
      </c>
      <c r="BK5258" s="2" t="s">
        <v>82</v>
      </c>
      <c r="BL5258" s="2"/>
      <c r="BM5258" s="2">
        <v>241</v>
      </c>
      <c r="BN5258" s="2" t="s">
        <v>82</v>
      </c>
      <c r="BO5258" s="2"/>
      <c r="BP5258" s="2">
        <v>241</v>
      </c>
      <c r="BQ5258" s="2" t="s">
        <v>82</v>
      </c>
      <c r="BR5258" s="2"/>
      <c r="BS5258" s="3">
        <v>40533</v>
      </c>
      <c r="BT5258" s="4">
        <v>0.703125</v>
      </c>
    </row>
    <row r="5259" spans="1:72" x14ac:dyDescent="0.25">
      <c r="A5259" s="2">
        <v>8147</v>
      </c>
      <c r="B5259" s="2">
        <v>2010</v>
      </c>
      <c r="C5259" s="2" t="s">
        <v>128</v>
      </c>
      <c r="D5259" s="2" t="s">
        <v>122</v>
      </c>
      <c r="E5259" s="2" t="s">
        <v>16090</v>
      </c>
      <c r="F5259" s="2">
        <v>425</v>
      </c>
      <c r="G5259" s="2" t="s">
        <v>286</v>
      </c>
      <c r="H5259" s="2">
        <v>30</v>
      </c>
      <c r="I5259" s="2" t="s">
        <v>912</v>
      </c>
      <c r="J5259" s="2">
        <v>310</v>
      </c>
      <c r="K5259" s="2" t="s">
        <v>288</v>
      </c>
      <c r="L5259" s="2" t="s">
        <v>289</v>
      </c>
      <c r="M5259" s="3">
        <v>40533</v>
      </c>
      <c r="N5259" s="2" t="s">
        <v>1917</v>
      </c>
      <c r="O5259" s="2" t="s">
        <v>15934</v>
      </c>
      <c r="P5259" s="2" t="s">
        <v>11438</v>
      </c>
      <c r="Q5259" s="2" t="str">
        <f t="shared" si="1"/>
        <v>101</v>
      </c>
      <c r="R5259" s="2"/>
      <c r="S5259" s="2"/>
      <c r="T5259" s="2">
        <v>1</v>
      </c>
      <c r="U5259" s="2" t="s">
        <v>79</v>
      </c>
      <c r="V5259" s="2">
        <v>1</v>
      </c>
      <c r="W5259" s="2" t="s">
        <v>80</v>
      </c>
      <c r="X5259" s="2">
        <v>9</v>
      </c>
      <c r="Y5259" s="2" t="s">
        <v>3393</v>
      </c>
      <c r="Z5259" s="2">
        <v>1</v>
      </c>
      <c r="AA5259" s="2" t="s">
        <v>82</v>
      </c>
      <c r="AB5259" s="2">
        <v>9</v>
      </c>
      <c r="AC5259" s="2" t="s">
        <v>124</v>
      </c>
      <c r="AD5259" s="3">
        <v>40533</v>
      </c>
      <c r="AE5259" s="4">
        <v>0.52083333333333337</v>
      </c>
      <c r="AF5259" s="3">
        <v>40532</v>
      </c>
      <c r="AG5259" s="4">
        <v>0.3263888888888889</v>
      </c>
      <c r="AH5259" s="2">
        <v>4</v>
      </c>
      <c r="AI5259" s="2" t="s">
        <v>125</v>
      </c>
      <c r="AJ5259" s="2">
        <v>25</v>
      </c>
      <c r="AK5259" s="2" t="s">
        <v>125</v>
      </c>
      <c r="AL5259" s="2">
        <v>23</v>
      </c>
      <c r="AM5259" s="2" t="s">
        <v>251</v>
      </c>
      <c r="AN5259" s="2"/>
      <c r="AO5259" s="2" t="s">
        <v>15935</v>
      </c>
      <c r="AP5259" s="2">
        <v>11</v>
      </c>
      <c r="AQ5259" s="2" t="s">
        <v>82</v>
      </c>
      <c r="AR5259" s="2"/>
      <c r="AS5259" s="2"/>
      <c r="AT5259" s="2" t="s">
        <v>16091</v>
      </c>
      <c r="AU5259" s="2"/>
      <c r="AV5259" s="2">
        <v>1</v>
      </c>
      <c r="AW5259" s="2"/>
      <c r="AX5259" s="2"/>
      <c r="AY5259" s="2">
        <v>41</v>
      </c>
      <c r="AZ5259" s="2" t="s">
        <v>82</v>
      </c>
      <c r="BA5259" s="2">
        <v>41</v>
      </c>
      <c r="BB5259" s="2" t="s">
        <v>82</v>
      </c>
      <c r="BC5259" s="2">
        <v>41</v>
      </c>
      <c r="BD5259" s="2" t="s">
        <v>82</v>
      </c>
      <c r="BE5259" s="2">
        <v>41</v>
      </c>
      <c r="BF5259" s="2" t="s">
        <v>82</v>
      </c>
      <c r="BG5259" s="2"/>
      <c r="BH5259" s="2"/>
      <c r="BI5259" s="2"/>
      <c r="BJ5259" s="2">
        <v>241</v>
      </c>
      <c r="BK5259" s="2" t="s">
        <v>82</v>
      </c>
      <c r="BL5259" s="2"/>
      <c r="BM5259" s="2">
        <v>241</v>
      </c>
      <c r="BN5259" s="2" t="s">
        <v>82</v>
      </c>
      <c r="BO5259" s="2"/>
      <c r="BP5259" s="2">
        <v>241</v>
      </c>
      <c r="BQ5259" s="2" t="s">
        <v>82</v>
      </c>
      <c r="BR5259" s="2"/>
      <c r="BS5259" s="3">
        <v>40533</v>
      </c>
      <c r="BT5259" s="4">
        <v>0.71099537037037042</v>
      </c>
    </row>
    <row r="5260" spans="1:72" x14ac:dyDescent="0.25">
      <c r="A5260" s="2">
        <v>8148</v>
      </c>
      <c r="B5260" s="2">
        <v>2010</v>
      </c>
      <c r="C5260" s="2" t="s">
        <v>128</v>
      </c>
      <c r="D5260" s="2" t="s">
        <v>122</v>
      </c>
      <c r="E5260" s="2" t="s">
        <v>16090</v>
      </c>
      <c r="F5260" s="2">
        <v>425</v>
      </c>
      <c r="G5260" s="2" t="s">
        <v>286</v>
      </c>
      <c r="H5260" s="2">
        <v>30</v>
      </c>
      <c r="I5260" s="2" t="s">
        <v>912</v>
      </c>
      <c r="J5260" s="2">
        <v>310</v>
      </c>
      <c r="K5260" s="2" t="s">
        <v>288</v>
      </c>
      <c r="L5260" s="2" t="s">
        <v>289</v>
      </c>
      <c r="M5260" s="3">
        <v>40533</v>
      </c>
      <c r="N5260" s="2" t="s">
        <v>1882</v>
      </c>
      <c r="O5260" s="2" t="s">
        <v>11437</v>
      </c>
      <c r="P5260" s="2" t="s">
        <v>11438</v>
      </c>
      <c r="Q5260" s="2" t="str">
        <f t="shared" si="1"/>
        <v>101</v>
      </c>
      <c r="R5260" s="2"/>
      <c r="S5260" s="2"/>
      <c r="T5260" s="2">
        <v>1</v>
      </c>
      <c r="U5260" s="2" t="s">
        <v>79</v>
      </c>
      <c r="V5260" s="2">
        <v>1</v>
      </c>
      <c r="W5260" s="2" t="s">
        <v>80</v>
      </c>
      <c r="X5260" s="2">
        <v>8</v>
      </c>
      <c r="Y5260" s="2" t="s">
        <v>375</v>
      </c>
      <c r="Z5260" s="2">
        <v>1</v>
      </c>
      <c r="AA5260" s="2" t="s">
        <v>82</v>
      </c>
      <c r="AB5260" s="2">
        <v>9</v>
      </c>
      <c r="AC5260" s="2" t="s">
        <v>124</v>
      </c>
      <c r="AD5260" s="3">
        <v>40533</v>
      </c>
      <c r="AE5260" s="4">
        <v>0.52083333333333337</v>
      </c>
      <c r="AF5260" s="3">
        <v>40532</v>
      </c>
      <c r="AG5260" s="4">
        <v>0.64583333333333337</v>
      </c>
      <c r="AH5260" s="2">
        <v>4</v>
      </c>
      <c r="AI5260" s="2" t="s">
        <v>125</v>
      </c>
      <c r="AJ5260" s="2">
        <v>25</v>
      </c>
      <c r="AK5260" s="2" t="s">
        <v>125</v>
      </c>
      <c r="AL5260" s="2">
        <v>23</v>
      </c>
      <c r="AM5260" s="2" t="s">
        <v>251</v>
      </c>
      <c r="AN5260" s="2"/>
      <c r="AO5260" s="2" t="s">
        <v>15956</v>
      </c>
      <c r="AP5260" s="2">
        <v>11</v>
      </c>
      <c r="AQ5260" s="2" t="s">
        <v>82</v>
      </c>
      <c r="AR5260" s="2"/>
      <c r="AS5260" s="2"/>
      <c r="AT5260" s="2" t="s">
        <v>16092</v>
      </c>
      <c r="AU5260" s="2"/>
      <c r="AV5260" s="2"/>
      <c r="AW5260" s="2"/>
      <c r="AX5260" s="2"/>
      <c r="AY5260" s="2">
        <v>41</v>
      </c>
      <c r="AZ5260" s="2" t="s">
        <v>82</v>
      </c>
      <c r="BA5260" s="2">
        <v>41</v>
      </c>
      <c r="BB5260" s="2" t="s">
        <v>82</v>
      </c>
      <c r="BC5260" s="2">
        <v>41</v>
      </c>
      <c r="BD5260" s="2" t="s">
        <v>82</v>
      </c>
      <c r="BE5260" s="2">
        <v>41</v>
      </c>
      <c r="BF5260" s="2" t="s">
        <v>82</v>
      </c>
      <c r="BG5260" s="2"/>
      <c r="BH5260" s="2"/>
      <c r="BI5260" s="2"/>
      <c r="BJ5260" s="2">
        <v>241</v>
      </c>
      <c r="BK5260" s="2" t="s">
        <v>82</v>
      </c>
      <c r="BL5260" s="2"/>
      <c r="BM5260" s="2">
        <v>241</v>
      </c>
      <c r="BN5260" s="2" t="s">
        <v>82</v>
      </c>
      <c r="BO5260" s="2"/>
      <c r="BP5260" s="2">
        <v>241</v>
      </c>
      <c r="BQ5260" s="2" t="s">
        <v>82</v>
      </c>
      <c r="BR5260" s="2"/>
      <c r="BS5260" s="3">
        <v>40533</v>
      </c>
      <c r="BT5260" s="4">
        <v>0.71409722222222216</v>
      </c>
    </row>
    <row r="5261" spans="1:72" x14ac:dyDescent="0.25">
      <c r="A5261" s="2">
        <v>8149</v>
      </c>
      <c r="B5261" s="2">
        <v>2010</v>
      </c>
      <c r="C5261" s="2" t="s">
        <v>128</v>
      </c>
      <c r="D5261" s="2" t="s">
        <v>122</v>
      </c>
      <c r="E5261" s="2" t="s">
        <v>16093</v>
      </c>
      <c r="F5261" s="2">
        <v>425</v>
      </c>
      <c r="G5261" s="2" t="s">
        <v>286</v>
      </c>
      <c r="H5261" s="2">
        <v>39</v>
      </c>
      <c r="I5261" s="2" t="s">
        <v>1117</v>
      </c>
      <c r="J5261" s="2">
        <v>310</v>
      </c>
      <c r="K5261" s="2" t="s">
        <v>288</v>
      </c>
      <c r="L5261" s="2" t="s">
        <v>289</v>
      </c>
      <c r="M5261" s="3">
        <v>40533</v>
      </c>
      <c r="N5261" s="2" t="s">
        <v>1882</v>
      </c>
      <c r="O5261" s="2" t="s">
        <v>11437</v>
      </c>
      <c r="P5261" s="2" t="s">
        <v>11438</v>
      </c>
      <c r="Q5261" s="2" t="str">
        <f t="shared" si="1"/>
        <v>101</v>
      </c>
      <c r="R5261" s="2"/>
      <c r="S5261" s="2"/>
      <c r="T5261" s="2">
        <v>1</v>
      </c>
      <c r="U5261" s="2" t="s">
        <v>79</v>
      </c>
      <c r="V5261" s="2">
        <v>1</v>
      </c>
      <c r="W5261" s="2" t="s">
        <v>80</v>
      </c>
      <c r="X5261" s="2">
        <v>5</v>
      </c>
      <c r="Y5261" s="2" t="s">
        <v>82</v>
      </c>
      <c r="Z5261" s="2">
        <v>1</v>
      </c>
      <c r="AA5261" s="2" t="s">
        <v>82</v>
      </c>
      <c r="AB5261" s="2">
        <v>9</v>
      </c>
      <c r="AC5261" s="2" t="s">
        <v>124</v>
      </c>
      <c r="AD5261" s="3">
        <v>40533</v>
      </c>
      <c r="AE5261" s="4">
        <v>0.52083333333333337</v>
      </c>
      <c r="AF5261" s="3">
        <v>40532</v>
      </c>
      <c r="AG5261" s="4">
        <v>0.3263888888888889</v>
      </c>
      <c r="AH5261" s="2">
        <v>4</v>
      </c>
      <c r="AI5261" s="2" t="s">
        <v>125</v>
      </c>
      <c r="AJ5261" s="2">
        <v>25</v>
      </c>
      <c r="AK5261" s="2" t="s">
        <v>125</v>
      </c>
      <c r="AL5261" s="2">
        <v>23</v>
      </c>
      <c r="AM5261" s="2" t="s">
        <v>251</v>
      </c>
      <c r="AN5261" s="2"/>
      <c r="AO5261" s="2" t="s">
        <v>15949</v>
      </c>
      <c r="AP5261" s="2">
        <v>11</v>
      </c>
      <c r="AQ5261" s="2" t="s">
        <v>82</v>
      </c>
      <c r="AR5261" s="2"/>
      <c r="AS5261" s="2"/>
      <c r="AT5261" s="2" t="s">
        <v>16094</v>
      </c>
      <c r="AU5261" s="2"/>
      <c r="AV5261" s="2">
        <v>1</v>
      </c>
      <c r="AW5261" s="2"/>
      <c r="AX5261" s="2"/>
      <c r="AY5261" s="2">
        <v>41</v>
      </c>
      <c r="AZ5261" s="2" t="s">
        <v>82</v>
      </c>
      <c r="BA5261" s="2">
        <v>41</v>
      </c>
      <c r="BB5261" s="2" t="s">
        <v>82</v>
      </c>
      <c r="BC5261" s="2">
        <v>41</v>
      </c>
      <c r="BD5261" s="2" t="s">
        <v>82</v>
      </c>
      <c r="BE5261" s="2">
        <v>41</v>
      </c>
      <c r="BF5261" s="2" t="s">
        <v>82</v>
      </c>
      <c r="BG5261" s="2"/>
      <c r="BH5261" s="2"/>
      <c r="BI5261" s="2"/>
      <c r="BJ5261" s="2">
        <v>241</v>
      </c>
      <c r="BK5261" s="2" t="s">
        <v>82</v>
      </c>
      <c r="BL5261" s="2"/>
      <c r="BM5261" s="2">
        <v>241</v>
      </c>
      <c r="BN5261" s="2" t="s">
        <v>82</v>
      </c>
      <c r="BO5261" s="2"/>
      <c r="BP5261" s="2">
        <v>241</v>
      </c>
      <c r="BQ5261" s="2" t="s">
        <v>82</v>
      </c>
      <c r="BR5261" s="2"/>
      <c r="BS5261" s="3">
        <v>40533</v>
      </c>
      <c r="BT5261" s="4">
        <v>0.73017361111111112</v>
      </c>
    </row>
    <row r="5262" spans="1:72" x14ac:dyDescent="0.25">
      <c r="A5262" s="2">
        <v>8150</v>
      </c>
      <c r="B5262" s="2">
        <v>2010</v>
      </c>
      <c r="C5262" s="2" t="s">
        <v>128</v>
      </c>
      <c r="D5262" s="2" t="s">
        <v>122</v>
      </c>
      <c r="E5262" s="2" t="s">
        <v>16095</v>
      </c>
      <c r="F5262" s="2">
        <v>425</v>
      </c>
      <c r="G5262" s="2" t="s">
        <v>286</v>
      </c>
      <c r="H5262" s="2">
        <v>39</v>
      </c>
      <c r="I5262" s="2" t="s">
        <v>1117</v>
      </c>
      <c r="J5262" s="2">
        <v>310</v>
      </c>
      <c r="K5262" s="2" t="s">
        <v>288</v>
      </c>
      <c r="L5262" s="2" t="s">
        <v>289</v>
      </c>
      <c r="M5262" s="3">
        <v>40533</v>
      </c>
      <c r="N5262" s="2" t="s">
        <v>1882</v>
      </c>
      <c r="O5262" s="2" t="s">
        <v>11437</v>
      </c>
      <c r="P5262" s="2" t="s">
        <v>11438</v>
      </c>
      <c r="Q5262" s="2" t="str">
        <f t="shared" si="1"/>
        <v>101</v>
      </c>
      <c r="R5262" s="2"/>
      <c r="S5262" s="2"/>
      <c r="T5262" s="2">
        <v>1</v>
      </c>
      <c r="U5262" s="2" t="s">
        <v>79</v>
      </c>
      <c r="V5262" s="2">
        <v>1</v>
      </c>
      <c r="W5262" s="2" t="s">
        <v>80</v>
      </c>
      <c r="X5262" s="2">
        <v>5</v>
      </c>
      <c r="Y5262" s="2" t="s">
        <v>82</v>
      </c>
      <c r="Z5262" s="2">
        <v>1</v>
      </c>
      <c r="AA5262" s="2" t="s">
        <v>82</v>
      </c>
      <c r="AB5262" s="2">
        <v>9</v>
      </c>
      <c r="AC5262" s="2" t="s">
        <v>124</v>
      </c>
      <c r="AD5262" s="3">
        <v>40533</v>
      </c>
      <c r="AE5262" s="4">
        <v>0.52083333333333337</v>
      </c>
      <c r="AF5262" s="3">
        <v>40532</v>
      </c>
      <c r="AG5262" s="4">
        <v>0.4548611111111111</v>
      </c>
      <c r="AH5262" s="2">
        <v>4</v>
      </c>
      <c r="AI5262" s="2" t="s">
        <v>125</v>
      </c>
      <c r="AJ5262" s="2">
        <v>25</v>
      </c>
      <c r="AK5262" s="2" t="s">
        <v>125</v>
      </c>
      <c r="AL5262" s="2">
        <v>23</v>
      </c>
      <c r="AM5262" s="2" t="s">
        <v>251</v>
      </c>
      <c r="AN5262" s="2"/>
      <c r="AO5262" s="2" t="s">
        <v>15946</v>
      </c>
      <c r="AP5262" s="2">
        <v>11</v>
      </c>
      <c r="AQ5262" s="2" t="s">
        <v>82</v>
      </c>
      <c r="AR5262" s="2"/>
      <c r="AS5262" s="2"/>
      <c r="AT5262" s="2" t="s">
        <v>16096</v>
      </c>
      <c r="AU5262" s="2"/>
      <c r="AV5262" s="2">
        <v>1</v>
      </c>
      <c r="AW5262" s="2"/>
      <c r="AX5262" s="2"/>
      <c r="AY5262" s="2">
        <v>41</v>
      </c>
      <c r="AZ5262" s="2" t="s">
        <v>82</v>
      </c>
      <c r="BA5262" s="2">
        <v>41</v>
      </c>
      <c r="BB5262" s="2" t="s">
        <v>82</v>
      </c>
      <c r="BC5262" s="2">
        <v>41</v>
      </c>
      <c r="BD5262" s="2" t="s">
        <v>82</v>
      </c>
      <c r="BE5262" s="2">
        <v>41</v>
      </c>
      <c r="BF5262" s="2" t="s">
        <v>82</v>
      </c>
      <c r="BG5262" s="2"/>
      <c r="BH5262" s="2"/>
      <c r="BI5262" s="2"/>
      <c r="BJ5262" s="2">
        <v>241</v>
      </c>
      <c r="BK5262" s="2" t="s">
        <v>82</v>
      </c>
      <c r="BL5262" s="2"/>
      <c r="BM5262" s="2">
        <v>241</v>
      </c>
      <c r="BN5262" s="2" t="s">
        <v>82</v>
      </c>
      <c r="BO5262" s="2"/>
      <c r="BP5262" s="2">
        <v>241</v>
      </c>
      <c r="BQ5262" s="2" t="s">
        <v>82</v>
      </c>
      <c r="BR5262" s="2"/>
      <c r="BS5262" s="3">
        <v>40533</v>
      </c>
      <c r="BT5262" s="4">
        <v>0.73370370370370364</v>
      </c>
    </row>
    <row r="5263" spans="1:72" x14ac:dyDescent="0.25">
      <c r="A5263" s="2">
        <v>8151</v>
      </c>
      <c r="B5263" s="2">
        <v>2010</v>
      </c>
      <c r="C5263" s="2" t="s">
        <v>128</v>
      </c>
      <c r="D5263" s="2" t="s">
        <v>122</v>
      </c>
      <c r="E5263" s="2" t="s">
        <v>16097</v>
      </c>
      <c r="F5263" s="2">
        <v>425</v>
      </c>
      <c r="G5263" s="2" t="s">
        <v>286</v>
      </c>
      <c r="H5263" s="2">
        <v>3</v>
      </c>
      <c r="I5263" s="2" t="s">
        <v>315</v>
      </c>
      <c r="J5263" s="2">
        <v>310</v>
      </c>
      <c r="K5263" s="2" t="s">
        <v>288</v>
      </c>
      <c r="L5263" s="2" t="s">
        <v>289</v>
      </c>
      <c r="M5263" s="3">
        <v>40533</v>
      </c>
      <c r="N5263" s="2" t="s">
        <v>1917</v>
      </c>
      <c r="O5263" s="2" t="s">
        <v>11437</v>
      </c>
      <c r="P5263" s="2" t="s">
        <v>15929</v>
      </c>
      <c r="Q5263" s="2" t="str">
        <f t="shared" si="1"/>
        <v>101</v>
      </c>
      <c r="R5263" s="2"/>
      <c r="S5263" s="2"/>
      <c r="T5263" s="2">
        <v>1</v>
      </c>
      <c r="U5263" s="2" t="s">
        <v>79</v>
      </c>
      <c r="V5263" s="2">
        <v>1</v>
      </c>
      <c r="W5263" s="2" t="s">
        <v>80</v>
      </c>
      <c r="X5263" s="2">
        <v>5</v>
      </c>
      <c r="Y5263" s="2" t="s">
        <v>82</v>
      </c>
      <c r="Z5263" s="2">
        <v>1</v>
      </c>
      <c r="AA5263" s="2" t="s">
        <v>82</v>
      </c>
      <c r="AB5263" s="2">
        <v>9</v>
      </c>
      <c r="AC5263" s="2" t="s">
        <v>124</v>
      </c>
      <c r="AD5263" s="3">
        <v>40533</v>
      </c>
      <c r="AE5263" s="4">
        <v>0.52083333333333337</v>
      </c>
      <c r="AF5263" s="3">
        <v>40532</v>
      </c>
      <c r="AG5263" s="4">
        <v>0.58333333333333337</v>
      </c>
      <c r="AH5263" s="2">
        <v>4</v>
      </c>
      <c r="AI5263" s="2" t="s">
        <v>125</v>
      </c>
      <c r="AJ5263" s="2">
        <v>25</v>
      </c>
      <c r="AK5263" s="2" t="s">
        <v>125</v>
      </c>
      <c r="AL5263" s="2">
        <v>23</v>
      </c>
      <c r="AM5263" s="2" t="s">
        <v>251</v>
      </c>
      <c r="AN5263" s="2"/>
      <c r="AO5263" s="2" t="s">
        <v>16010</v>
      </c>
      <c r="AP5263" s="2">
        <v>11</v>
      </c>
      <c r="AQ5263" s="2" t="s">
        <v>82</v>
      </c>
      <c r="AR5263" s="2"/>
      <c r="AS5263" s="2"/>
      <c r="AT5263" s="2" t="s">
        <v>16098</v>
      </c>
      <c r="AU5263" s="2"/>
      <c r="AV5263" s="2">
        <v>1</v>
      </c>
      <c r="AW5263" s="2"/>
      <c r="AX5263" s="2"/>
      <c r="AY5263" s="2">
        <v>41</v>
      </c>
      <c r="AZ5263" s="2" t="s">
        <v>82</v>
      </c>
      <c r="BA5263" s="2">
        <v>41</v>
      </c>
      <c r="BB5263" s="2" t="s">
        <v>82</v>
      </c>
      <c r="BC5263" s="2">
        <v>41</v>
      </c>
      <c r="BD5263" s="2" t="s">
        <v>82</v>
      </c>
      <c r="BE5263" s="2">
        <v>41</v>
      </c>
      <c r="BF5263" s="2" t="s">
        <v>82</v>
      </c>
      <c r="BG5263" s="2"/>
      <c r="BH5263" s="2"/>
      <c r="BI5263" s="2"/>
      <c r="BJ5263" s="2">
        <v>241</v>
      </c>
      <c r="BK5263" s="2" t="s">
        <v>82</v>
      </c>
      <c r="BL5263" s="2"/>
      <c r="BM5263" s="2">
        <v>241</v>
      </c>
      <c r="BN5263" s="2" t="s">
        <v>82</v>
      </c>
      <c r="BO5263" s="2"/>
      <c r="BP5263" s="2">
        <v>241</v>
      </c>
      <c r="BQ5263" s="2" t="s">
        <v>82</v>
      </c>
      <c r="BR5263" s="2"/>
      <c r="BS5263" s="3">
        <v>40533</v>
      </c>
      <c r="BT5263" s="4">
        <v>0.7365624999999999</v>
      </c>
    </row>
    <row r="5264" spans="1:72" x14ac:dyDescent="0.25">
      <c r="A5264" s="2">
        <v>8152</v>
      </c>
      <c r="B5264" s="2">
        <v>2010</v>
      </c>
      <c r="C5264" s="2" t="s">
        <v>93</v>
      </c>
      <c r="D5264" s="2" t="s">
        <v>73</v>
      </c>
      <c r="E5264" s="2"/>
      <c r="F5264" s="2">
        <v>389</v>
      </c>
      <c r="G5264" s="2" t="s">
        <v>1819</v>
      </c>
      <c r="H5264" s="2">
        <v>2</v>
      </c>
      <c r="I5264" s="2" t="s">
        <v>267</v>
      </c>
      <c r="J5264" s="2">
        <v>399</v>
      </c>
      <c r="K5264" s="2" t="s">
        <v>1820</v>
      </c>
      <c r="L5264" s="2" t="s">
        <v>1821</v>
      </c>
      <c r="M5264" s="3">
        <v>40533</v>
      </c>
      <c r="N5264" s="2" t="s">
        <v>5653</v>
      </c>
      <c r="O5264" s="2" t="s">
        <v>16099</v>
      </c>
      <c r="P5264" s="2">
        <v>9941</v>
      </c>
      <c r="Q5264" s="2" t="str">
        <f>""</f>
        <v/>
      </c>
      <c r="R5264" s="2"/>
      <c r="S5264" s="2"/>
      <c r="T5264" s="2">
        <v>1</v>
      </c>
      <c r="U5264" s="2" t="s">
        <v>79</v>
      </c>
      <c r="V5264" s="2">
        <v>1</v>
      </c>
      <c r="W5264" s="2" t="s">
        <v>80</v>
      </c>
      <c r="X5264" s="2">
        <v>10</v>
      </c>
      <c r="Y5264" s="2" t="s">
        <v>226</v>
      </c>
      <c r="Z5264" s="2">
        <v>6</v>
      </c>
      <c r="AA5264" s="2" t="s">
        <v>101</v>
      </c>
      <c r="AB5264" s="2">
        <v>2</v>
      </c>
      <c r="AC5264" s="2" t="s">
        <v>102</v>
      </c>
      <c r="AD5264" s="3">
        <v>40532</v>
      </c>
      <c r="AE5264" s="4">
        <v>0.83333333333333337</v>
      </c>
      <c r="AF5264" s="3">
        <v>40533</v>
      </c>
      <c r="AG5264" s="4">
        <v>0.1875</v>
      </c>
      <c r="AH5264" s="2">
        <v>2</v>
      </c>
      <c r="AI5264" s="2" t="s">
        <v>84</v>
      </c>
      <c r="AJ5264" s="2">
        <v>9</v>
      </c>
      <c r="AK5264" s="2" t="s">
        <v>103</v>
      </c>
      <c r="AL5264" s="2">
        <v>14</v>
      </c>
      <c r="AM5264" s="2" t="s">
        <v>216</v>
      </c>
      <c r="AN5264" s="2" t="s">
        <v>1182</v>
      </c>
      <c r="AO5264" s="2" t="s">
        <v>16100</v>
      </c>
      <c r="AP5264" s="2">
        <v>11</v>
      </c>
      <c r="AQ5264" s="2" t="s">
        <v>82</v>
      </c>
      <c r="AR5264" s="2"/>
      <c r="AS5264" s="2"/>
      <c r="AT5264" s="2" t="s">
        <v>16101</v>
      </c>
      <c r="AU5264" s="2">
        <v>1</v>
      </c>
      <c r="AV5264" s="2"/>
      <c r="AW5264" s="2"/>
      <c r="AX5264" s="2"/>
      <c r="AY5264" s="2">
        <v>41</v>
      </c>
      <c r="AZ5264" s="2" t="s">
        <v>82</v>
      </c>
      <c r="BA5264" s="2">
        <v>41</v>
      </c>
      <c r="BB5264" s="2" t="s">
        <v>82</v>
      </c>
      <c r="BC5264" s="2">
        <v>41</v>
      </c>
      <c r="BD5264" s="2" t="s">
        <v>82</v>
      </c>
      <c r="BE5264" s="2">
        <v>2</v>
      </c>
      <c r="BF5264" s="2" t="s">
        <v>1232</v>
      </c>
      <c r="BG5264" s="2" t="s">
        <v>16102</v>
      </c>
      <c r="BH5264" s="4">
        <v>0.8125</v>
      </c>
      <c r="BI5264" s="4">
        <v>0.45833333333333331</v>
      </c>
      <c r="BJ5264" s="2">
        <v>42</v>
      </c>
      <c r="BK5264" s="2" t="s">
        <v>1234</v>
      </c>
      <c r="BL5264" s="2" t="s">
        <v>1235</v>
      </c>
      <c r="BM5264" s="2">
        <v>13</v>
      </c>
      <c r="BN5264" s="2" t="s">
        <v>91</v>
      </c>
      <c r="BO5264" s="2"/>
      <c r="BP5264" s="2">
        <v>13</v>
      </c>
      <c r="BQ5264" s="2" t="s">
        <v>91</v>
      </c>
      <c r="BR5264" s="2" t="s">
        <v>360</v>
      </c>
      <c r="BS5264" s="3">
        <v>40533</v>
      </c>
      <c r="BT5264" s="4">
        <v>0.77967592592592594</v>
      </c>
    </row>
    <row r="5265" spans="1:72" x14ac:dyDescent="0.25">
      <c r="A5265" s="2">
        <v>8154</v>
      </c>
      <c r="B5265" s="2">
        <v>2010</v>
      </c>
      <c r="C5265" s="2" t="s">
        <v>171</v>
      </c>
      <c r="D5265" s="2" t="s">
        <v>122</v>
      </c>
      <c r="E5265" s="2" t="s">
        <v>16103</v>
      </c>
      <c r="F5265" s="2">
        <v>393</v>
      </c>
      <c r="G5265" s="2" t="s">
        <v>3660</v>
      </c>
      <c r="H5265" s="2">
        <v>3</v>
      </c>
      <c r="I5265" s="2" t="s">
        <v>315</v>
      </c>
      <c r="J5265" s="2">
        <v>2</v>
      </c>
      <c r="K5265" s="2" t="s">
        <v>3661</v>
      </c>
      <c r="L5265" s="2" t="s">
        <v>3662</v>
      </c>
      <c r="M5265" s="3">
        <v>40533</v>
      </c>
      <c r="N5265" s="2" t="s">
        <v>10885</v>
      </c>
      <c r="O5265" s="2"/>
      <c r="P5265" s="2"/>
      <c r="Q5265" s="2" t="str">
        <f>"681-E/10"</f>
        <v>681-E/10</v>
      </c>
      <c r="R5265" s="2" t="s">
        <v>391</v>
      </c>
      <c r="S5265" s="2" t="s">
        <v>391</v>
      </c>
      <c r="T5265" s="2">
        <v>1</v>
      </c>
      <c r="U5265" s="2" t="s">
        <v>79</v>
      </c>
      <c r="V5265" s="2">
        <v>1</v>
      </c>
      <c r="W5265" s="2" t="s">
        <v>80</v>
      </c>
      <c r="X5265" s="2">
        <v>1</v>
      </c>
      <c r="Y5265" s="2" t="s">
        <v>81</v>
      </c>
      <c r="Z5265" s="2">
        <v>10</v>
      </c>
      <c r="AA5265" s="2" t="s">
        <v>236</v>
      </c>
      <c r="AB5265" s="2">
        <v>1</v>
      </c>
      <c r="AC5265" s="2" t="s">
        <v>178</v>
      </c>
      <c r="AD5265" s="3">
        <v>40530</v>
      </c>
      <c r="AE5265" s="4">
        <v>0.86805555555555547</v>
      </c>
      <c r="AF5265" s="3">
        <v>40530</v>
      </c>
      <c r="AG5265" s="4">
        <v>0.91666666666666663</v>
      </c>
      <c r="AH5265" s="2">
        <v>2</v>
      </c>
      <c r="AI5265" s="2" t="s">
        <v>84</v>
      </c>
      <c r="AJ5265" s="2">
        <v>9</v>
      </c>
      <c r="AK5265" s="2" t="s">
        <v>103</v>
      </c>
      <c r="AL5265" s="2">
        <v>13</v>
      </c>
      <c r="AM5265" s="2" t="s">
        <v>117</v>
      </c>
      <c r="AN5265" s="2"/>
      <c r="AO5265" s="2"/>
      <c r="AP5265" s="2">
        <v>11</v>
      </c>
      <c r="AQ5265" s="2" t="s">
        <v>82</v>
      </c>
      <c r="AR5265" s="2"/>
      <c r="AS5265" s="2"/>
      <c r="AT5265" s="2" t="s">
        <v>16104</v>
      </c>
      <c r="AU5265" s="2"/>
      <c r="AV5265" s="2">
        <v>2</v>
      </c>
      <c r="AW5265" s="2"/>
      <c r="AX5265" s="2"/>
      <c r="AY5265" s="2">
        <v>41</v>
      </c>
      <c r="AZ5265" s="2" t="s">
        <v>82</v>
      </c>
      <c r="BA5265" s="2">
        <v>41</v>
      </c>
      <c r="BB5265" s="2" t="s">
        <v>82</v>
      </c>
      <c r="BC5265" s="2">
        <v>41</v>
      </c>
      <c r="BD5265" s="2" t="s">
        <v>82</v>
      </c>
      <c r="BE5265" s="2">
        <v>13</v>
      </c>
      <c r="BF5265" s="2" t="s">
        <v>108</v>
      </c>
      <c r="BG5265" s="2">
        <v>1132</v>
      </c>
      <c r="BH5265" s="2"/>
      <c r="BI5265" s="4">
        <v>0.93055555555555547</v>
      </c>
      <c r="BJ5265" s="2">
        <v>13</v>
      </c>
      <c r="BK5265" s="2" t="s">
        <v>91</v>
      </c>
      <c r="BL5265" s="2" t="s">
        <v>360</v>
      </c>
      <c r="BM5265" s="2">
        <v>73</v>
      </c>
      <c r="BN5265" s="2" t="s">
        <v>186</v>
      </c>
      <c r="BO5265" s="2"/>
      <c r="BP5265" s="2">
        <v>73</v>
      </c>
      <c r="BQ5265" s="2" t="s">
        <v>186</v>
      </c>
      <c r="BR5265" s="2" t="s">
        <v>187</v>
      </c>
      <c r="BS5265" s="3">
        <v>40533</v>
      </c>
      <c r="BT5265" s="4">
        <v>0.80831018518518516</v>
      </c>
    </row>
    <row r="5266" spans="1:72" x14ac:dyDescent="0.25">
      <c r="A5266" s="2">
        <v>8155</v>
      </c>
      <c r="B5266" s="2">
        <v>2010</v>
      </c>
      <c r="C5266" s="2" t="s">
        <v>196</v>
      </c>
      <c r="D5266" s="2" t="s">
        <v>122</v>
      </c>
      <c r="E5266" s="2"/>
      <c r="F5266" s="2">
        <v>1</v>
      </c>
      <c r="G5266" s="2" t="s">
        <v>82</v>
      </c>
      <c r="H5266" s="2">
        <v>1</v>
      </c>
      <c r="I5266" s="2" t="s">
        <v>82</v>
      </c>
      <c r="J5266" s="2">
        <v>1</v>
      </c>
      <c r="K5266" s="2" t="s">
        <v>107</v>
      </c>
      <c r="L5266" s="2" t="s">
        <v>107</v>
      </c>
      <c r="M5266" s="3">
        <v>40533</v>
      </c>
      <c r="N5266" s="2"/>
      <c r="O5266" s="2"/>
      <c r="P5266" s="2"/>
      <c r="Q5266" s="2" t="str">
        <f>""</f>
        <v/>
      </c>
      <c r="R5266" s="2"/>
      <c r="S5266" s="2"/>
      <c r="T5266" s="2">
        <v>2</v>
      </c>
      <c r="U5266" s="2" t="s">
        <v>123</v>
      </c>
      <c r="V5266" s="2">
        <v>1</v>
      </c>
      <c r="W5266" s="2" t="s">
        <v>80</v>
      </c>
      <c r="X5266" s="2">
        <v>11</v>
      </c>
      <c r="Y5266" s="2" t="s">
        <v>1920</v>
      </c>
      <c r="Z5266" s="2">
        <v>1</v>
      </c>
      <c r="AA5266" s="2" t="s">
        <v>82</v>
      </c>
      <c r="AB5266" s="2">
        <v>9</v>
      </c>
      <c r="AC5266" s="2" t="s">
        <v>124</v>
      </c>
      <c r="AD5266" s="3">
        <v>40533</v>
      </c>
      <c r="AE5266" s="4">
        <v>0.70833333333333337</v>
      </c>
      <c r="AF5266" s="3">
        <v>40533</v>
      </c>
      <c r="AG5266" s="2"/>
      <c r="AH5266" s="2">
        <v>2</v>
      </c>
      <c r="AI5266" s="2" t="s">
        <v>84</v>
      </c>
      <c r="AJ5266" s="2">
        <v>12</v>
      </c>
      <c r="AK5266" s="2" t="s">
        <v>85</v>
      </c>
      <c r="AL5266" s="2">
        <v>20</v>
      </c>
      <c r="AM5266" s="2" t="s">
        <v>992</v>
      </c>
      <c r="AN5266" s="2"/>
      <c r="AO5266" s="2" t="s">
        <v>16105</v>
      </c>
      <c r="AP5266" s="2">
        <v>11</v>
      </c>
      <c r="AQ5266" s="2" t="s">
        <v>82</v>
      </c>
      <c r="AR5266" s="2"/>
      <c r="AS5266" s="2"/>
      <c r="AT5266" s="2" t="s">
        <v>16106</v>
      </c>
      <c r="AU5266" s="2"/>
      <c r="AV5266" s="2"/>
      <c r="AW5266" s="2"/>
      <c r="AX5266" s="2"/>
      <c r="AY5266" s="2">
        <v>41</v>
      </c>
      <c r="AZ5266" s="2" t="s">
        <v>82</v>
      </c>
      <c r="BA5266" s="2">
        <v>41</v>
      </c>
      <c r="BB5266" s="2" t="s">
        <v>82</v>
      </c>
      <c r="BC5266" s="2">
        <v>41</v>
      </c>
      <c r="BD5266" s="2" t="s">
        <v>82</v>
      </c>
      <c r="BE5266" s="2">
        <v>41</v>
      </c>
      <c r="BF5266" s="2" t="s">
        <v>82</v>
      </c>
      <c r="BG5266" s="2" t="s">
        <v>16107</v>
      </c>
      <c r="BH5266" s="2"/>
      <c r="BI5266" s="4">
        <v>0.8208333333333333</v>
      </c>
      <c r="BJ5266" s="2">
        <v>13</v>
      </c>
      <c r="BK5266" s="2" t="s">
        <v>91</v>
      </c>
      <c r="BL5266" s="2" t="s">
        <v>185</v>
      </c>
      <c r="BM5266" s="2">
        <v>13</v>
      </c>
      <c r="BN5266" s="2" t="s">
        <v>91</v>
      </c>
      <c r="BO5266" s="2"/>
      <c r="BP5266" s="2">
        <v>13</v>
      </c>
      <c r="BQ5266" s="2" t="s">
        <v>91</v>
      </c>
      <c r="BR5266" s="2" t="s">
        <v>169</v>
      </c>
      <c r="BS5266" s="3">
        <v>40533</v>
      </c>
      <c r="BT5266" s="4">
        <v>0.84190972222222227</v>
      </c>
    </row>
    <row r="5267" spans="1:72" x14ac:dyDescent="0.25">
      <c r="A5267" s="2">
        <v>8157</v>
      </c>
      <c r="B5267" s="2">
        <v>2010</v>
      </c>
      <c r="C5267" s="2" t="s">
        <v>196</v>
      </c>
      <c r="D5267" s="2" t="s">
        <v>122</v>
      </c>
      <c r="E5267" s="2"/>
      <c r="F5267" s="2">
        <v>1</v>
      </c>
      <c r="G5267" s="2" t="s">
        <v>82</v>
      </c>
      <c r="H5267" s="2">
        <v>1</v>
      </c>
      <c r="I5267" s="2" t="s">
        <v>82</v>
      </c>
      <c r="J5267" s="2">
        <v>1</v>
      </c>
      <c r="K5267" s="2" t="s">
        <v>107</v>
      </c>
      <c r="L5267" s="2" t="s">
        <v>107</v>
      </c>
      <c r="M5267" s="3">
        <v>40533</v>
      </c>
      <c r="N5267" s="2"/>
      <c r="O5267" s="2"/>
      <c r="P5267" s="2"/>
      <c r="Q5267" s="2" t="str">
        <f>""</f>
        <v/>
      </c>
      <c r="R5267" s="2"/>
      <c r="S5267" s="2"/>
      <c r="T5267" s="2">
        <v>2</v>
      </c>
      <c r="U5267" s="2" t="s">
        <v>123</v>
      </c>
      <c r="V5267" s="2">
        <v>1</v>
      </c>
      <c r="W5267" s="2" t="s">
        <v>80</v>
      </c>
      <c r="X5267" s="2">
        <v>5</v>
      </c>
      <c r="Y5267" s="2" t="s">
        <v>82</v>
      </c>
      <c r="Z5267" s="2">
        <v>1</v>
      </c>
      <c r="AA5267" s="2" t="s">
        <v>82</v>
      </c>
      <c r="AB5267" s="2">
        <v>9</v>
      </c>
      <c r="AC5267" s="2" t="s">
        <v>124</v>
      </c>
      <c r="AD5267" s="3">
        <v>40533</v>
      </c>
      <c r="AE5267" s="4">
        <v>0.9375</v>
      </c>
      <c r="AF5267" s="3">
        <v>40533</v>
      </c>
      <c r="AG5267" s="2"/>
      <c r="AH5267" s="2">
        <v>2</v>
      </c>
      <c r="AI5267" s="2" t="s">
        <v>84</v>
      </c>
      <c r="AJ5267" s="2">
        <v>12</v>
      </c>
      <c r="AK5267" s="2" t="s">
        <v>85</v>
      </c>
      <c r="AL5267" s="2">
        <v>20</v>
      </c>
      <c r="AM5267" s="2" t="s">
        <v>992</v>
      </c>
      <c r="AN5267" s="2"/>
      <c r="AO5267" s="2"/>
      <c r="AP5267" s="2">
        <v>11</v>
      </c>
      <c r="AQ5267" s="2" t="s">
        <v>82</v>
      </c>
      <c r="AR5267" s="2"/>
      <c r="AS5267" s="2"/>
      <c r="AT5267" s="2" t="s">
        <v>16108</v>
      </c>
      <c r="AU5267" s="2"/>
      <c r="AV5267" s="2"/>
      <c r="AW5267" s="2"/>
      <c r="AX5267" s="2"/>
      <c r="AY5267" s="2">
        <v>41</v>
      </c>
      <c r="AZ5267" s="2" t="s">
        <v>82</v>
      </c>
      <c r="BA5267" s="2">
        <v>41</v>
      </c>
      <c r="BB5267" s="2" t="s">
        <v>82</v>
      </c>
      <c r="BC5267" s="2">
        <v>41</v>
      </c>
      <c r="BD5267" s="2" t="s">
        <v>82</v>
      </c>
      <c r="BE5267" s="2">
        <v>41</v>
      </c>
      <c r="BF5267" s="2" t="s">
        <v>82</v>
      </c>
      <c r="BG5267" s="2"/>
      <c r="BH5267" s="2"/>
      <c r="BI5267" s="2"/>
      <c r="BJ5267" s="2">
        <v>241</v>
      </c>
      <c r="BK5267" s="2" t="s">
        <v>82</v>
      </c>
      <c r="BL5267" s="2" t="s">
        <v>169</v>
      </c>
      <c r="BM5267" s="2">
        <v>241</v>
      </c>
      <c r="BN5267" s="2" t="s">
        <v>82</v>
      </c>
      <c r="BO5267" s="2"/>
      <c r="BP5267" s="2">
        <v>241</v>
      </c>
      <c r="BQ5267" s="2" t="s">
        <v>82</v>
      </c>
      <c r="BR5267" s="2" t="s">
        <v>185</v>
      </c>
      <c r="BS5267" s="3">
        <v>40533</v>
      </c>
      <c r="BT5267" s="4">
        <v>0.99667824074074074</v>
      </c>
    </row>
    <row r="5268" spans="1:72" x14ac:dyDescent="0.25">
      <c r="A5268" s="2">
        <v>8158</v>
      </c>
      <c r="B5268" s="2">
        <v>2010</v>
      </c>
      <c r="C5268" s="2" t="s">
        <v>72</v>
      </c>
      <c r="D5268" s="2" t="s">
        <v>73</v>
      </c>
      <c r="E5268" s="2"/>
      <c r="F5268" s="2">
        <v>18</v>
      </c>
      <c r="G5268" s="2" t="s">
        <v>1974</v>
      </c>
      <c r="H5268" s="2">
        <v>99</v>
      </c>
      <c r="I5268" s="2" t="s">
        <v>6285</v>
      </c>
      <c r="J5268" s="2">
        <v>24</v>
      </c>
      <c r="K5268" s="2" t="s">
        <v>1975</v>
      </c>
      <c r="L5268" s="2" t="s">
        <v>1976</v>
      </c>
      <c r="M5268" s="3">
        <v>40534</v>
      </c>
      <c r="N5268" s="2" t="s">
        <v>16109</v>
      </c>
      <c r="O5268" s="2"/>
      <c r="P5268" s="2"/>
      <c r="Q5268" s="2" t="str">
        <f>"03/2010"</f>
        <v>03/2010</v>
      </c>
      <c r="R5268" s="2"/>
      <c r="S5268" s="2" t="s">
        <v>16110</v>
      </c>
      <c r="T5268" s="2">
        <v>1</v>
      </c>
      <c r="U5268" s="2" t="s">
        <v>79</v>
      </c>
      <c r="V5268" s="2">
        <v>1</v>
      </c>
      <c r="W5268" s="2" t="s">
        <v>80</v>
      </c>
      <c r="X5268" s="2">
        <v>12</v>
      </c>
      <c r="Y5268" s="2" t="s">
        <v>148</v>
      </c>
      <c r="Z5268" s="2">
        <v>1</v>
      </c>
      <c r="AA5268" s="2" t="s">
        <v>82</v>
      </c>
      <c r="AB5268" s="2">
        <v>6</v>
      </c>
      <c r="AC5268" s="2" t="s">
        <v>83</v>
      </c>
      <c r="AD5268" s="3">
        <v>40533</v>
      </c>
      <c r="AE5268" s="2"/>
      <c r="AF5268" s="3">
        <v>40533</v>
      </c>
      <c r="AG5268" s="4">
        <v>0.97916666666666663</v>
      </c>
      <c r="AH5268" s="2">
        <v>3</v>
      </c>
      <c r="AI5268" s="2" t="s">
        <v>214</v>
      </c>
      <c r="AJ5268" s="2">
        <v>20</v>
      </c>
      <c r="AK5268" s="2" t="s">
        <v>1897</v>
      </c>
      <c r="AL5268" s="2">
        <v>24</v>
      </c>
      <c r="AM5268" s="2" t="s">
        <v>1540</v>
      </c>
      <c r="AN5268" s="2" t="s">
        <v>16111</v>
      </c>
      <c r="AO5268" s="2"/>
      <c r="AP5268" s="2">
        <v>11</v>
      </c>
      <c r="AQ5268" s="2" t="s">
        <v>82</v>
      </c>
      <c r="AR5268" s="2"/>
      <c r="AS5268" s="2"/>
      <c r="AT5268" s="2" t="s">
        <v>16112</v>
      </c>
      <c r="AU5268" s="2"/>
      <c r="AV5268" s="2"/>
      <c r="AW5268" s="2"/>
      <c r="AX5268" s="2"/>
      <c r="AY5268" s="2">
        <v>41</v>
      </c>
      <c r="AZ5268" s="2" t="s">
        <v>82</v>
      </c>
      <c r="BA5268" s="2">
        <v>41</v>
      </c>
      <c r="BB5268" s="2" t="s">
        <v>82</v>
      </c>
      <c r="BC5268" s="2">
        <v>41</v>
      </c>
      <c r="BD5268" s="2" t="s">
        <v>82</v>
      </c>
      <c r="BE5268" s="2">
        <v>41</v>
      </c>
      <c r="BF5268" s="2" t="s">
        <v>82</v>
      </c>
      <c r="BG5268" s="2"/>
      <c r="BH5268" s="2"/>
      <c r="BI5268" s="2"/>
      <c r="BJ5268" s="2">
        <v>241</v>
      </c>
      <c r="BK5268" s="2" t="s">
        <v>82</v>
      </c>
      <c r="BL5268" s="2"/>
      <c r="BM5268" s="2">
        <v>241</v>
      </c>
      <c r="BN5268" s="2" t="s">
        <v>82</v>
      </c>
      <c r="BO5268" s="2"/>
      <c r="BP5268" s="2">
        <v>241</v>
      </c>
      <c r="BQ5268" s="2" t="s">
        <v>82</v>
      </c>
      <c r="BR5268" s="2"/>
      <c r="BS5268" s="3">
        <v>40534</v>
      </c>
      <c r="BT5268" s="4">
        <v>7.1909722222222222E-2</v>
      </c>
    </row>
    <row r="5269" spans="1:72" x14ac:dyDescent="0.25">
      <c r="A5269" s="2">
        <v>8159</v>
      </c>
      <c r="B5269" s="2">
        <v>2010</v>
      </c>
      <c r="C5269" s="2" t="s">
        <v>72</v>
      </c>
      <c r="D5269" s="2" t="s">
        <v>73</v>
      </c>
      <c r="E5269" s="2"/>
      <c r="F5269" s="2">
        <v>175</v>
      </c>
      <c r="G5269" s="2" t="s">
        <v>4170</v>
      </c>
      <c r="H5269" s="2">
        <v>149</v>
      </c>
      <c r="I5269" s="2" t="s">
        <v>14672</v>
      </c>
      <c r="J5269" s="2">
        <v>728</v>
      </c>
      <c r="K5269" s="2" t="s">
        <v>15156</v>
      </c>
      <c r="L5269" s="2" t="s">
        <v>15157</v>
      </c>
      <c r="M5269" s="3">
        <v>40534</v>
      </c>
      <c r="N5269" s="2" t="s">
        <v>16113</v>
      </c>
      <c r="O5269" s="2"/>
      <c r="P5269" s="2"/>
      <c r="Q5269" s="2" t="str">
        <f>"465-A/10"</f>
        <v>465-A/10</v>
      </c>
      <c r="R5269" s="2" t="s">
        <v>78</v>
      </c>
      <c r="S5269" s="2" t="s">
        <v>78</v>
      </c>
      <c r="T5269" s="2">
        <v>1</v>
      </c>
      <c r="U5269" s="2" t="s">
        <v>79</v>
      </c>
      <c r="V5269" s="2">
        <v>1</v>
      </c>
      <c r="W5269" s="2" t="s">
        <v>80</v>
      </c>
      <c r="X5269" s="2">
        <v>12</v>
      </c>
      <c r="Y5269" s="2" t="s">
        <v>148</v>
      </c>
      <c r="Z5269" s="2">
        <v>1</v>
      </c>
      <c r="AA5269" s="2" t="s">
        <v>82</v>
      </c>
      <c r="AB5269" s="2">
        <v>6</v>
      </c>
      <c r="AC5269" s="2" t="s">
        <v>83</v>
      </c>
      <c r="AD5269" s="2"/>
      <c r="AE5269" s="2"/>
      <c r="AF5269" s="3">
        <v>40534</v>
      </c>
      <c r="AG5269" s="4">
        <v>6.9444444444444441E-3</v>
      </c>
      <c r="AH5269" s="2">
        <v>2</v>
      </c>
      <c r="AI5269" s="2" t="s">
        <v>84</v>
      </c>
      <c r="AJ5269" s="2">
        <v>12</v>
      </c>
      <c r="AK5269" s="2" t="s">
        <v>85</v>
      </c>
      <c r="AL5269" s="2">
        <v>25</v>
      </c>
      <c r="AM5269" s="2" t="s">
        <v>3073</v>
      </c>
      <c r="AN5269" s="2" t="s">
        <v>16114</v>
      </c>
      <c r="AO5269" s="2"/>
      <c r="AP5269" s="2">
        <v>11</v>
      </c>
      <c r="AQ5269" s="2" t="s">
        <v>82</v>
      </c>
      <c r="AR5269" s="2"/>
      <c r="AS5269" s="2"/>
      <c r="AT5269" s="2" t="s">
        <v>16115</v>
      </c>
      <c r="AU5269" s="2"/>
      <c r="AV5269" s="2"/>
      <c r="AW5269" s="2"/>
      <c r="AX5269" s="2"/>
      <c r="AY5269" s="2">
        <v>47</v>
      </c>
      <c r="AZ5269" s="2" t="s">
        <v>167</v>
      </c>
      <c r="BA5269" s="2">
        <v>47</v>
      </c>
      <c r="BB5269" s="2" t="s">
        <v>167</v>
      </c>
      <c r="BC5269" s="2">
        <v>41</v>
      </c>
      <c r="BD5269" s="2" t="s">
        <v>82</v>
      </c>
      <c r="BE5269" s="2">
        <v>41</v>
      </c>
      <c r="BF5269" s="2" t="s">
        <v>82</v>
      </c>
      <c r="BG5269" s="2"/>
      <c r="BH5269" s="2"/>
      <c r="BI5269" s="2"/>
      <c r="BJ5269" s="2">
        <v>241</v>
      </c>
      <c r="BK5269" s="2" t="s">
        <v>82</v>
      </c>
      <c r="BL5269" s="2"/>
      <c r="BM5269" s="2">
        <v>241</v>
      </c>
      <c r="BN5269" s="2" t="s">
        <v>82</v>
      </c>
      <c r="BO5269" s="2"/>
      <c r="BP5269" s="2">
        <v>241</v>
      </c>
      <c r="BQ5269" s="2" t="s">
        <v>82</v>
      </c>
      <c r="BR5269" s="2"/>
      <c r="BS5269" s="3">
        <v>40534</v>
      </c>
      <c r="BT5269" s="4">
        <v>0.11767361111111112</v>
      </c>
    </row>
    <row r="5270" spans="1:72" x14ac:dyDescent="0.25">
      <c r="A5270" s="2">
        <v>8162</v>
      </c>
      <c r="B5270" s="2">
        <v>2010</v>
      </c>
      <c r="C5270" s="2" t="s">
        <v>171</v>
      </c>
      <c r="D5270" s="2" t="s">
        <v>73</v>
      </c>
      <c r="E5270" s="2"/>
      <c r="F5270" s="2">
        <v>153</v>
      </c>
      <c r="G5270" s="2" t="s">
        <v>9047</v>
      </c>
      <c r="H5270" s="2">
        <v>6</v>
      </c>
      <c r="I5270" s="2" t="s">
        <v>1088</v>
      </c>
      <c r="J5270" s="2">
        <v>165</v>
      </c>
      <c r="K5270" s="2" t="s">
        <v>8586</v>
      </c>
      <c r="L5270" s="2" t="s">
        <v>8587</v>
      </c>
      <c r="M5270" s="3">
        <v>40534</v>
      </c>
      <c r="N5270" s="2" t="s">
        <v>16116</v>
      </c>
      <c r="O5270" s="2"/>
      <c r="P5270" s="2"/>
      <c r="Q5270" s="2" t="str">
        <f>"0466-A/10"</f>
        <v>0466-A/10</v>
      </c>
      <c r="R5270" s="2" t="s">
        <v>2334</v>
      </c>
      <c r="S5270" s="2" t="s">
        <v>2334</v>
      </c>
      <c r="T5270" s="2">
        <v>1</v>
      </c>
      <c r="U5270" s="2" t="s">
        <v>79</v>
      </c>
      <c r="V5270" s="2">
        <v>1</v>
      </c>
      <c r="W5270" s="2" t="s">
        <v>80</v>
      </c>
      <c r="X5270" s="2">
        <v>1</v>
      </c>
      <c r="Y5270" s="2" t="s">
        <v>81</v>
      </c>
      <c r="Z5270" s="2">
        <v>1</v>
      </c>
      <c r="AA5270" s="2" t="s">
        <v>82</v>
      </c>
      <c r="AB5270" s="2">
        <v>1</v>
      </c>
      <c r="AC5270" s="2" t="s">
        <v>178</v>
      </c>
      <c r="AD5270" s="3">
        <v>40534</v>
      </c>
      <c r="AE5270" s="4">
        <v>0.20486111111111113</v>
      </c>
      <c r="AF5270" s="3">
        <v>40534</v>
      </c>
      <c r="AG5270" s="4">
        <v>0.27777777777777779</v>
      </c>
      <c r="AH5270" s="2">
        <v>2</v>
      </c>
      <c r="AI5270" s="2" t="s">
        <v>84</v>
      </c>
      <c r="AJ5270" s="2">
        <v>12</v>
      </c>
      <c r="AK5270" s="2" t="s">
        <v>85</v>
      </c>
      <c r="AL5270" s="2">
        <v>16</v>
      </c>
      <c r="AM5270" s="2" t="s">
        <v>392</v>
      </c>
      <c r="AN5270" s="2" t="s">
        <v>6519</v>
      </c>
      <c r="AO5270" s="2" t="s">
        <v>16117</v>
      </c>
      <c r="AP5270" s="2">
        <v>11</v>
      </c>
      <c r="AQ5270" s="2" t="s">
        <v>82</v>
      </c>
      <c r="AR5270" s="2" t="s">
        <v>16118</v>
      </c>
      <c r="AS5270" s="2" t="s">
        <v>16119</v>
      </c>
      <c r="AT5270" s="2" t="s">
        <v>16120</v>
      </c>
      <c r="AU5270" s="2"/>
      <c r="AV5270" s="2"/>
      <c r="AW5270" s="2"/>
      <c r="AX5270" s="2"/>
      <c r="AY5270" s="2">
        <v>41</v>
      </c>
      <c r="AZ5270" s="2" t="s">
        <v>82</v>
      </c>
      <c r="BA5270" s="2">
        <v>41</v>
      </c>
      <c r="BB5270" s="2" t="s">
        <v>82</v>
      </c>
      <c r="BC5270" s="2">
        <v>41</v>
      </c>
      <c r="BD5270" s="2" t="s">
        <v>82</v>
      </c>
      <c r="BE5270" s="2">
        <v>13</v>
      </c>
      <c r="BF5270" s="2" t="s">
        <v>108</v>
      </c>
      <c r="BG5270" s="2" t="s">
        <v>1299</v>
      </c>
      <c r="BH5270" s="2"/>
      <c r="BI5270" s="2"/>
      <c r="BJ5270" s="2">
        <v>13</v>
      </c>
      <c r="BK5270" s="2" t="s">
        <v>91</v>
      </c>
      <c r="BL5270" s="2" t="s">
        <v>564</v>
      </c>
      <c r="BM5270" s="2">
        <v>13</v>
      </c>
      <c r="BN5270" s="2" t="s">
        <v>91</v>
      </c>
      <c r="BO5270" s="2"/>
      <c r="BP5270" s="2">
        <v>13</v>
      </c>
      <c r="BQ5270" s="2" t="s">
        <v>91</v>
      </c>
      <c r="BR5270" s="2" t="s">
        <v>492</v>
      </c>
      <c r="BS5270" s="3">
        <v>40534</v>
      </c>
      <c r="BT5270" s="4">
        <v>0.50010416666666668</v>
      </c>
    </row>
    <row r="5271" spans="1:72" x14ac:dyDescent="0.25">
      <c r="A5271" s="2">
        <v>8163</v>
      </c>
      <c r="B5271" s="2">
        <v>2010</v>
      </c>
      <c r="C5271" s="2" t="s">
        <v>147</v>
      </c>
      <c r="D5271" s="2" t="s">
        <v>73</v>
      </c>
      <c r="E5271" s="2"/>
      <c r="F5271" s="2">
        <v>1</v>
      </c>
      <c r="G5271" s="2" t="s">
        <v>82</v>
      </c>
      <c r="H5271" s="2">
        <v>1</v>
      </c>
      <c r="I5271" s="2" t="s">
        <v>82</v>
      </c>
      <c r="J5271" s="2">
        <v>1</v>
      </c>
      <c r="K5271" s="2" t="s">
        <v>107</v>
      </c>
      <c r="L5271" s="2" t="s">
        <v>107</v>
      </c>
      <c r="M5271" s="3">
        <v>40534</v>
      </c>
      <c r="N5271" s="2"/>
      <c r="O5271" s="2"/>
      <c r="P5271" s="2"/>
      <c r="Q5271" s="2" t="str">
        <f>""</f>
        <v/>
      </c>
      <c r="R5271" s="2"/>
      <c r="S5271" s="2"/>
      <c r="T5271" s="2">
        <v>2</v>
      </c>
      <c r="U5271" s="2" t="s">
        <v>123</v>
      </c>
      <c r="V5271" s="2">
        <v>1</v>
      </c>
      <c r="W5271" s="2" t="s">
        <v>80</v>
      </c>
      <c r="X5271" s="2">
        <v>12</v>
      </c>
      <c r="Y5271" s="2" t="s">
        <v>148</v>
      </c>
      <c r="Z5271" s="2">
        <v>1</v>
      </c>
      <c r="AA5271" s="2" t="s">
        <v>82</v>
      </c>
      <c r="AB5271" s="2">
        <v>9</v>
      </c>
      <c r="AC5271" s="2" t="s">
        <v>124</v>
      </c>
      <c r="AD5271" s="3">
        <v>40533</v>
      </c>
      <c r="AE5271" s="2"/>
      <c r="AF5271" s="3">
        <v>40534</v>
      </c>
      <c r="AG5271" s="4">
        <v>0.50694444444444442</v>
      </c>
      <c r="AH5271" s="2">
        <v>6</v>
      </c>
      <c r="AI5271" s="2" t="s">
        <v>197</v>
      </c>
      <c r="AJ5271" s="2">
        <v>54</v>
      </c>
      <c r="AK5271" s="2" t="s">
        <v>348</v>
      </c>
      <c r="AL5271" s="2">
        <v>23</v>
      </c>
      <c r="AM5271" s="2" t="s">
        <v>251</v>
      </c>
      <c r="AN5271" s="2" t="s">
        <v>107</v>
      </c>
      <c r="AO5271" s="2" t="s">
        <v>107</v>
      </c>
      <c r="AP5271" s="2">
        <v>11</v>
      </c>
      <c r="AQ5271" s="2" t="s">
        <v>82</v>
      </c>
      <c r="AR5271" s="2"/>
      <c r="AS5271" s="2"/>
      <c r="AT5271" s="2" t="s">
        <v>16121</v>
      </c>
      <c r="AU5271" s="2"/>
      <c r="AV5271" s="2"/>
      <c r="AW5271" s="2"/>
      <c r="AX5271" s="2"/>
      <c r="AY5271" s="2">
        <v>41</v>
      </c>
      <c r="AZ5271" s="2" t="s">
        <v>82</v>
      </c>
      <c r="BA5271" s="2">
        <v>41</v>
      </c>
      <c r="BB5271" s="2" t="s">
        <v>82</v>
      </c>
      <c r="BC5271" s="2">
        <v>41</v>
      </c>
      <c r="BD5271" s="2" t="s">
        <v>82</v>
      </c>
      <c r="BE5271" s="2">
        <v>41</v>
      </c>
      <c r="BF5271" s="2" t="s">
        <v>82</v>
      </c>
      <c r="BG5271" s="2"/>
      <c r="BH5271" s="2"/>
      <c r="BI5271" s="2"/>
      <c r="BJ5271" s="2">
        <v>241</v>
      </c>
      <c r="BK5271" s="2" t="s">
        <v>82</v>
      </c>
      <c r="BL5271" s="2"/>
      <c r="BM5271" s="2">
        <v>241</v>
      </c>
      <c r="BN5271" s="2" t="s">
        <v>82</v>
      </c>
      <c r="BO5271" s="2"/>
      <c r="BP5271" s="2">
        <v>241</v>
      </c>
      <c r="BQ5271" s="2" t="s">
        <v>82</v>
      </c>
      <c r="BR5271" s="2"/>
      <c r="BS5271" s="3">
        <v>40534</v>
      </c>
      <c r="BT5271" s="4">
        <v>0.51484953703703706</v>
      </c>
    </row>
    <row r="5272" spans="1:72" x14ac:dyDescent="0.25">
      <c r="A5272" s="2">
        <v>8164</v>
      </c>
      <c r="B5272" s="2">
        <v>2010</v>
      </c>
      <c r="C5272" s="2" t="s">
        <v>171</v>
      </c>
      <c r="D5272" s="2" t="s">
        <v>73</v>
      </c>
      <c r="E5272" s="2" t="s">
        <v>16122</v>
      </c>
      <c r="F5272" s="2">
        <v>451</v>
      </c>
      <c r="G5272" s="2" t="s">
        <v>879</v>
      </c>
      <c r="H5272" s="2">
        <v>31</v>
      </c>
      <c r="I5272" s="2" t="s">
        <v>880</v>
      </c>
      <c r="J5272" s="2">
        <v>326</v>
      </c>
      <c r="K5272" s="2" t="s">
        <v>881</v>
      </c>
      <c r="L5272" s="2" t="s">
        <v>882</v>
      </c>
      <c r="M5272" s="3">
        <v>40534</v>
      </c>
      <c r="N5272" s="2" t="s">
        <v>3096</v>
      </c>
      <c r="O5272" s="2" t="s">
        <v>3239</v>
      </c>
      <c r="P5272" s="2" t="s">
        <v>2877</v>
      </c>
      <c r="Q5272" s="2" t="str">
        <f>"117/10"</f>
        <v>117/10</v>
      </c>
      <c r="R5272" s="2" t="s">
        <v>822</v>
      </c>
      <c r="S5272" s="2"/>
      <c r="T5272" s="2">
        <v>1</v>
      </c>
      <c r="U5272" s="2" t="s">
        <v>79</v>
      </c>
      <c r="V5272" s="2">
        <v>1</v>
      </c>
      <c r="W5272" s="2" t="s">
        <v>80</v>
      </c>
      <c r="X5272" s="2">
        <v>1</v>
      </c>
      <c r="Y5272" s="2" t="s">
        <v>81</v>
      </c>
      <c r="Z5272" s="2">
        <v>1</v>
      </c>
      <c r="AA5272" s="2" t="s">
        <v>82</v>
      </c>
      <c r="AB5272" s="2">
        <v>1</v>
      </c>
      <c r="AC5272" s="2" t="s">
        <v>178</v>
      </c>
      <c r="AD5272" s="3">
        <v>40522</v>
      </c>
      <c r="AE5272" s="4">
        <v>0.49305555555555558</v>
      </c>
      <c r="AF5272" s="3">
        <v>40534</v>
      </c>
      <c r="AG5272" s="4">
        <v>0.51041666666666663</v>
      </c>
      <c r="AH5272" s="2">
        <v>4</v>
      </c>
      <c r="AI5272" s="2" t="s">
        <v>125</v>
      </c>
      <c r="AJ5272" s="2">
        <v>29</v>
      </c>
      <c r="AK5272" s="2" t="s">
        <v>227</v>
      </c>
      <c r="AL5272" s="2">
        <v>16</v>
      </c>
      <c r="AM5272" s="2" t="s">
        <v>392</v>
      </c>
      <c r="AN5272" s="2" t="s">
        <v>6877</v>
      </c>
      <c r="AO5272" s="2"/>
      <c r="AP5272" s="2">
        <v>12</v>
      </c>
      <c r="AQ5272" s="2" t="s">
        <v>322</v>
      </c>
      <c r="AR5272" s="2" t="s">
        <v>824</v>
      </c>
      <c r="AS5272" s="2" t="s">
        <v>825</v>
      </c>
      <c r="AT5272" s="2" t="s">
        <v>16123</v>
      </c>
      <c r="AU5272" s="2"/>
      <c r="AV5272" s="2"/>
      <c r="AW5272" s="2"/>
      <c r="AX5272" s="2"/>
      <c r="AY5272" s="2">
        <v>41</v>
      </c>
      <c r="AZ5272" s="2" t="s">
        <v>82</v>
      </c>
      <c r="BA5272" s="2">
        <v>41</v>
      </c>
      <c r="BB5272" s="2" t="s">
        <v>82</v>
      </c>
      <c r="BC5272" s="2">
        <v>51</v>
      </c>
      <c r="BD5272" s="2" t="s">
        <v>827</v>
      </c>
      <c r="BE5272" s="2">
        <v>13</v>
      </c>
      <c r="BF5272" s="2" t="s">
        <v>108</v>
      </c>
      <c r="BG5272" s="2">
        <v>2459</v>
      </c>
      <c r="BH5272" s="4">
        <v>0.99930555555555556</v>
      </c>
      <c r="BI5272" s="4">
        <v>4.1666666666666664E-2</v>
      </c>
      <c r="BJ5272" s="2">
        <v>13</v>
      </c>
      <c r="BK5272" s="2" t="s">
        <v>91</v>
      </c>
      <c r="BL5272" s="2" t="s">
        <v>828</v>
      </c>
      <c r="BM5272" s="2">
        <v>13</v>
      </c>
      <c r="BN5272" s="2" t="s">
        <v>91</v>
      </c>
      <c r="BO5272" s="2"/>
      <c r="BP5272" s="2">
        <v>13</v>
      </c>
      <c r="BQ5272" s="2" t="s">
        <v>91</v>
      </c>
      <c r="BR5272" s="2" t="s">
        <v>185</v>
      </c>
      <c r="BS5272" s="3">
        <v>40534</v>
      </c>
      <c r="BT5272" s="4">
        <v>0.54547453703703697</v>
      </c>
    </row>
    <row r="5273" spans="1:72" x14ac:dyDescent="0.25">
      <c r="A5273" s="2">
        <v>8166</v>
      </c>
      <c r="B5273" s="2">
        <v>2010</v>
      </c>
      <c r="C5273" s="2" t="s">
        <v>93</v>
      </c>
      <c r="D5273" s="2" t="s">
        <v>73</v>
      </c>
      <c r="E5273" s="2"/>
      <c r="F5273" s="2">
        <v>144</v>
      </c>
      <c r="G5273" s="2" t="s">
        <v>537</v>
      </c>
      <c r="H5273" s="2">
        <v>22</v>
      </c>
      <c r="I5273" s="2" t="s">
        <v>75</v>
      </c>
      <c r="J5273" s="2">
        <v>160</v>
      </c>
      <c r="K5273" s="2" t="s">
        <v>538</v>
      </c>
      <c r="L5273" s="2" t="s">
        <v>539</v>
      </c>
      <c r="M5273" s="3">
        <v>40534</v>
      </c>
      <c r="N5273" s="2" t="s">
        <v>2292</v>
      </c>
      <c r="O5273" s="2" t="s">
        <v>16124</v>
      </c>
      <c r="P5273" s="2">
        <v>19022</v>
      </c>
      <c r="Q5273" s="2" t="str">
        <f>"N/C"</f>
        <v>N/C</v>
      </c>
      <c r="R5273" s="2" t="s">
        <v>82</v>
      </c>
      <c r="S5273" s="2" t="s">
        <v>82</v>
      </c>
      <c r="T5273" s="2">
        <v>1</v>
      </c>
      <c r="U5273" s="2" t="s">
        <v>79</v>
      </c>
      <c r="V5273" s="2">
        <v>1</v>
      </c>
      <c r="W5273" s="2" t="s">
        <v>80</v>
      </c>
      <c r="X5273" s="2">
        <v>1</v>
      </c>
      <c r="Y5273" s="2" t="s">
        <v>81</v>
      </c>
      <c r="Z5273" s="2">
        <v>1</v>
      </c>
      <c r="AA5273" s="2" t="s">
        <v>82</v>
      </c>
      <c r="AB5273" s="2">
        <v>2</v>
      </c>
      <c r="AC5273" s="2" t="s">
        <v>102</v>
      </c>
      <c r="AD5273" s="3">
        <v>40534</v>
      </c>
      <c r="AE5273" s="4">
        <v>0.59027777777777779</v>
      </c>
      <c r="AF5273" s="3">
        <v>40534</v>
      </c>
      <c r="AG5273" s="4">
        <v>0.59027777777777779</v>
      </c>
      <c r="AH5273" s="2">
        <v>6</v>
      </c>
      <c r="AI5273" s="2" t="s">
        <v>197</v>
      </c>
      <c r="AJ5273" s="2">
        <v>60</v>
      </c>
      <c r="AK5273" s="2" t="s">
        <v>543</v>
      </c>
      <c r="AL5273" s="2">
        <v>11</v>
      </c>
      <c r="AM5273" s="2" t="s">
        <v>137</v>
      </c>
      <c r="AN5273" s="2" t="s">
        <v>82</v>
      </c>
      <c r="AO5273" s="2" t="s">
        <v>15998</v>
      </c>
      <c r="AP5273" s="2">
        <v>11</v>
      </c>
      <c r="AQ5273" s="2" t="s">
        <v>82</v>
      </c>
      <c r="AR5273" s="2"/>
      <c r="AS5273" s="2"/>
      <c r="AT5273" s="2" t="s">
        <v>16125</v>
      </c>
      <c r="AU5273" s="2"/>
      <c r="AV5273" s="2"/>
      <c r="AW5273" s="2"/>
      <c r="AX5273" s="2"/>
      <c r="AY5273" s="2">
        <v>41</v>
      </c>
      <c r="AZ5273" s="2" t="s">
        <v>82</v>
      </c>
      <c r="BA5273" s="2">
        <v>41</v>
      </c>
      <c r="BB5273" s="2" t="s">
        <v>82</v>
      </c>
      <c r="BC5273" s="2">
        <v>41</v>
      </c>
      <c r="BD5273" s="2" t="s">
        <v>82</v>
      </c>
      <c r="BE5273" s="2">
        <v>13</v>
      </c>
      <c r="BF5273" s="2" t="s">
        <v>108</v>
      </c>
      <c r="BG5273" s="2" t="s">
        <v>12912</v>
      </c>
      <c r="BH5273" s="4">
        <v>0.57291666666666663</v>
      </c>
      <c r="BI5273" s="4">
        <v>0.61805555555555558</v>
      </c>
      <c r="BJ5273" s="2">
        <v>13</v>
      </c>
      <c r="BK5273" s="2" t="s">
        <v>91</v>
      </c>
      <c r="BL5273" s="2" t="s">
        <v>16126</v>
      </c>
      <c r="BM5273" s="2">
        <v>13</v>
      </c>
      <c r="BN5273" s="2" t="s">
        <v>91</v>
      </c>
      <c r="BO5273" s="2"/>
      <c r="BP5273" s="2">
        <v>13</v>
      </c>
      <c r="BQ5273" s="2" t="s">
        <v>91</v>
      </c>
      <c r="BR5273" s="2" t="s">
        <v>1084</v>
      </c>
      <c r="BS5273" s="3">
        <v>40534</v>
      </c>
      <c r="BT5273" s="4">
        <v>0.63172453703703701</v>
      </c>
    </row>
    <row r="5274" spans="1:72" x14ac:dyDescent="0.25">
      <c r="A5274" s="2">
        <v>8167</v>
      </c>
      <c r="B5274" s="2">
        <v>2010</v>
      </c>
      <c r="C5274" s="2" t="s">
        <v>72</v>
      </c>
      <c r="D5274" s="2" t="s">
        <v>73</v>
      </c>
      <c r="E5274" s="2"/>
      <c r="F5274" s="2">
        <v>175</v>
      </c>
      <c r="G5274" s="2" t="s">
        <v>4170</v>
      </c>
      <c r="H5274" s="2">
        <v>22</v>
      </c>
      <c r="I5274" s="2" t="s">
        <v>75</v>
      </c>
      <c r="J5274" s="2">
        <v>728</v>
      </c>
      <c r="K5274" s="2" t="s">
        <v>15156</v>
      </c>
      <c r="L5274" s="2" t="s">
        <v>15157</v>
      </c>
      <c r="M5274" s="3">
        <v>40534</v>
      </c>
      <c r="N5274" s="2" t="s">
        <v>15507</v>
      </c>
      <c r="O5274" s="2"/>
      <c r="P5274" s="2"/>
      <c r="Q5274" s="2" t="str">
        <f>"467-A/10"</f>
        <v>467-A/10</v>
      </c>
      <c r="R5274" s="2" t="s">
        <v>116</v>
      </c>
      <c r="S5274" s="2" t="s">
        <v>116</v>
      </c>
      <c r="T5274" s="2">
        <v>1</v>
      </c>
      <c r="U5274" s="2" t="s">
        <v>79</v>
      </c>
      <c r="V5274" s="2">
        <v>1</v>
      </c>
      <c r="W5274" s="2" t="s">
        <v>80</v>
      </c>
      <c r="X5274" s="2">
        <v>12</v>
      </c>
      <c r="Y5274" s="2" t="s">
        <v>148</v>
      </c>
      <c r="Z5274" s="2">
        <v>1</v>
      </c>
      <c r="AA5274" s="2" t="s">
        <v>82</v>
      </c>
      <c r="AB5274" s="2">
        <v>6</v>
      </c>
      <c r="AC5274" s="2" t="s">
        <v>83</v>
      </c>
      <c r="AD5274" s="3">
        <v>40530</v>
      </c>
      <c r="AE5274" s="2"/>
      <c r="AF5274" s="3">
        <v>40534</v>
      </c>
      <c r="AG5274" s="4">
        <v>0.57291666666666663</v>
      </c>
      <c r="AH5274" s="2">
        <v>2</v>
      </c>
      <c r="AI5274" s="2" t="s">
        <v>84</v>
      </c>
      <c r="AJ5274" s="2">
        <v>12</v>
      </c>
      <c r="AK5274" s="2" t="s">
        <v>85</v>
      </c>
      <c r="AL5274" s="2">
        <v>17</v>
      </c>
      <c r="AM5274" s="2" t="s">
        <v>232</v>
      </c>
      <c r="AN5274" s="2" t="s">
        <v>16127</v>
      </c>
      <c r="AO5274" s="2" t="s">
        <v>6746</v>
      </c>
      <c r="AP5274" s="2">
        <v>11</v>
      </c>
      <c r="AQ5274" s="2" t="s">
        <v>82</v>
      </c>
      <c r="AR5274" s="2"/>
      <c r="AS5274" s="2"/>
      <c r="AT5274" s="2" t="s">
        <v>16128</v>
      </c>
      <c r="AU5274" s="2"/>
      <c r="AV5274" s="2"/>
      <c r="AW5274" s="2"/>
      <c r="AX5274" s="2"/>
      <c r="AY5274" s="2">
        <v>41</v>
      </c>
      <c r="AZ5274" s="2" t="s">
        <v>82</v>
      </c>
      <c r="BA5274" s="2">
        <v>41</v>
      </c>
      <c r="BB5274" s="2" t="s">
        <v>82</v>
      </c>
      <c r="BC5274" s="2">
        <v>41</v>
      </c>
      <c r="BD5274" s="2" t="s">
        <v>82</v>
      </c>
      <c r="BE5274" s="2">
        <v>41</v>
      </c>
      <c r="BF5274" s="2" t="s">
        <v>82</v>
      </c>
      <c r="BG5274" s="2"/>
      <c r="BH5274" s="2"/>
      <c r="BI5274" s="2"/>
      <c r="BJ5274" s="2">
        <v>241</v>
      </c>
      <c r="BK5274" s="2" t="s">
        <v>82</v>
      </c>
      <c r="BL5274" s="2"/>
      <c r="BM5274" s="2">
        <v>241</v>
      </c>
      <c r="BN5274" s="2" t="s">
        <v>82</v>
      </c>
      <c r="BO5274" s="2"/>
      <c r="BP5274" s="2">
        <v>241</v>
      </c>
      <c r="BQ5274" s="2" t="s">
        <v>82</v>
      </c>
      <c r="BR5274" s="2"/>
      <c r="BS5274" s="3">
        <v>40534</v>
      </c>
      <c r="BT5274" s="4">
        <v>0.63432870370370364</v>
      </c>
    </row>
    <row r="5275" spans="1:72" x14ac:dyDescent="0.25">
      <c r="A5275" s="2">
        <v>8169</v>
      </c>
      <c r="B5275" s="2">
        <v>2010</v>
      </c>
      <c r="C5275" s="2" t="s">
        <v>128</v>
      </c>
      <c r="D5275" s="2" t="s">
        <v>73</v>
      </c>
      <c r="E5275" s="2" t="s">
        <v>11464</v>
      </c>
      <c r="F5275" s="2">
        <v>425</v>
      </c>
      <c r="G5275" s="2" t="s">
        <v>286</v>
      </c>
      <c r="H5275" s="2">
        <v>39</v>
      </c>
      <c r="I5275" s="2" t="s">
        <v>1117</v>
      </c>
      <c r="J5275" s="2">
        <v>310</v>
      </c>
      <c r="K5275" s="2" t="s">
        <v>288</v>
      </c>
      <c r="L5275" s="2" t="s">
        <v>289</v>
      </c>
      <c r="M5275" s="3">
        <v>40534</v>
      </c>
      <c r="N5275" s="2" t="s">
        <v>1917</v>
      </c>
      <c r="O5275" s="2" t="s">
        <v>11437</v>
      </c>
      <c r="P5275" s="2" t="s">
        <v>11438</v>
      </c>
      <c r="Q5275" s="2" t="str">
        <f>"101"</f>
        <v>101</v>
      </c>
      <c r="R5275" s="2"/>
      <c r="S5275" s="2"/>
      <c r="T5275" s="2">
        <v>1</v>
      </c>
      <c r="U5275" s="2" t="s">
        <v>79</v>
      </c>
      <c r="V5275" s="2">
        <v>3</v>
      </c>
      <c r="W5275" s="2" t="s">
        <v>225</v>
      </c>
      <c r="X5275" s="2">
        <v>6</v>
      </c>
      <c r="Y5275" s="2" t="s">
        <v>249</v>
      </c>
      <c r="Z5275" s="2">
        <v>1</v>
      </c>
      <c r="AA5275" s="2" t="s">
        <v>82</v>
      </c>
      <c r="AB5275" s="2">
        <v>9</v>
      </c>
      <c r="AC5275" s="2" t="s">
        <v>124</v>
      </c>
      <c r="AD5275" s="2"/>
      <c r="AE5275" s="2"/>
      <c r="AF5275" s="3">
        <v>40534</v>
      </c>
      <c r="AG5275" s="4">
        <v>0.63888888888888895</v>
      </c>
      <c r="AH5275" s="2">
        <v>4</v>
      </c>
      <c r="AI5275" s="2" t="s">
        <v>125</v>
      </c>
      <c r="AJ5275" s="2">
        <v>26</v>
      </c>
      <c r="AK5275" s="2" t="s">
        <v>293</v>
      </c>
      <c r="AL5275" s="2">
        <v>19</v>
      </c>
      <c r="AM5275" s="2" t="s">
        <v>107</v>
      </c>
      <c r="AN5275" s="2"/>
      <c r="AO5275" s="2"/>
      <c r="AP5275" s="2">
        <v>11</v>
      </c>
      <c r="AQ5275" s="2" t="s">
        <v>82</v>
      </c>
      <c r="AR5275" s="2"/>
      <c r="AS5275" s="2"/>
      <c r="AT5275" s="2" t="s">
        <v>16129</v>
      </c>
      <c r="AU5275" s="2"/>
      <c r="AV5275" s="2"/>
      <c r="AW5275" s="2"/>
      <c r="AX5275" s="2"/>
      <c r="AY5275" s="2">
        <v>41</v>
      </c>
      <c r="AZ5275" s="2" t="s">
        <v>82</v>
      </c>
      <c r="BA5275" s="2">
        <v>41</v>
      </c>
      <c r="BB5275" s="2" t="s">
        <v>82</v>
      </c>
      <c r="BC5275" s="2">
        <v>41</v>
      </c>
      <c r="BD5275" s="2" t="s">
        <v>82</v>
      </c>
      <c r="BE5275" s="2">
        <v>41</v>
      </c>
      <c r="BF5275" s="2" t="s">
        <v>82</v>
      </c>
      <c r="BG5275" s="2"/>
      <c r="BH5275" s="2"/>
      <c r="BI5275" s="2"/>
      <c r="BJ5275" s="2">
        <v>241</v>
      </c>
      <c r="BK5275" s="2" t="s">
        <v>82</v>
      </c>
      <c r="BL5275" s="2"/>
      <c r="BM5275" s="2">
        <v>241</v>
      </c>
      <c r="BN5275" s="2" t="s">
        <v>82</v>
      </c>
      <c r="BO5275" s="2"/>
      <c r="BP5275" s="2">
        <v>241</v>
      </c>
      <c r="BQ5275" s="2" t="s">
        <v>82</v>
      </c>
      <c r="BR5275" s="2"/>
      <c r="BS5275" s="3">
        <v>40534</v>
      </c>
      <c r="BT5275" s="4">
        <v>0.67859953703703713</v>
      </c>
    </row>
    <row r="5276" spans="1:72" x14ac:dyDescent="0.25">
      <c r="A5276" s="2">
        <v>8171</v>
      </c>
      <c r="B5276" s="2">
        <v>2010</v>
      </c>
      <c r="C5276" s="2" t="s">
        <v>171</v>
      </c>
      <c r="D5276" s="2" t="s">
        <v>73</v>
      </c>
      <c r="E5276" s="2"/>
      <c r="F5276" s="2">
        <v>153</v>
      </c>
      <c r="G5276" s="2" t="s">
        <v>9047</v>
      </c>
      <c r="H5276" s="2">
        <v>6</v>
      </c>
      <c r="I5276" s="2" t="s">
        <v>1088</v>
      </c>
      <c r="J5276" s="2">
        <v>165</v>
      </c>
      <c r="K5276" s="2" t="s">
        <v>8586</v>
      </c>
      <c r="L5276" s="2" t="s">
        <v>8587</v>
      </c>
      <c r="M5276" s="3">
        <v>40534</v>
      </c>
      <c r="N5276" s="2" t="s">
        <v>16130</v>
      </c>
      <c r="O5276" s="2" t="s">
        <v>16131</v>
      </c>
      <c r="P5276" s="2">
        <v>15994</v>
      </c>
      <c r="Q5276" s="2" t="str">
        <f>"0466-A/10"</f>
        <v>0466-A/10</v>
      </c>
      <c r="R5276" s="2" t="s">
        <v>2334</v>
      </c>
      <c r="S5276" s="2" t="s">
        <v>2334</v>
      </c>
      <c r="T5276" s="2">
        <v>1</v>
      </c>
      <c r="U5276" s="2" t="s">
        <v>79</v>
      </c>
      <c r="V5276" s="2">
        <v>3</v>
      </c>
      <c r="W5276" s="2" t="s">
        <v>225</v>
      </c>
      <c r="X5276" s="2">
        <v>6</v>
      </c>
      <c r="Y5276" s="2" t="s">
        <v>249</v>
      </c>
      <c r="Z5276" s="2">
        <v>1</v>
      </c>
      <c r="AA5276" s="2" t="s">
        <v>82</v>
      </c>
      <c r="AB5276" s="2">
        <v>9</v>
      </c>
      <c r="AC5276" s="2" t="s">
        <v>124</v>
      </c>
      <c r="AD5276" s="3">
        <v>40534</v>
      </c>
      <c r="AE5276" s="2"/>
      <c r="AF5276" s="3">
        <v>40534</v>
      </c>
      <c r="AG5276" s="2"/>
      <c r="AH5276" s="2">
        <v>2</v>
      </c>
      <c r="AI5276" s="2" t="s">
        <v>84</v>
      </c>
      <c r="AJ5276" s="2">
        <v>6</v>
      </c>
      <c r="AK5276" s="2" t="s">
        <v>453</v>
      </c>
      <c r="AL5276" s="2">
        <v>23</v>
      </c>
      <c r="AM5276" s="2" t="s">
        <v>251</v>
      </c>
      <c r="AN5276" s="2" t="s">
        <v>16132</v>
      </c>
      <c r="AO5276" s="2" t="s">
        <v>16133</v>
      </c>
      <c r="AP5276" s="2">
        <v>11</v>
      </c>
      <c r="AQ5276" s="2" t="s">
        <v>82</v>
      </c>
      <c r="AR5276" s="2"/>
      <c r="AS5276" s="2"/>
      <c r="AT5276" s="2" t="s">
        <v>16134</v>
      </c>
      <c r="AU5276" s="2"/>
      <c r="AV5276" s="2"/>
      <c r="AW5276" s="2"/>
      <c r="AX5276" s="2"/>
      <c r="AY5276" s="2">
        <v>41</v>
      </c>
      <c r="AZ5276" s="2" t="s">
        <v>82</v>
      </c>
      <c r="BA5276" s="2">
        <v>41</v>
      </c>
      <c r="BB5276" s="2" t="s">
        <v>82</v>
      </c>
      <c r="BC5276" s="2">
        <v>41</v>
      </c>
      <c r="BD5276" s="2" t="s">
        <v>82</v>
      </c>
      <c r="BE5276" s="2">
        <v>41</v>
      </c>
      <c r="BF5276" s="2" t="s">
        <v>82</v>
      </c>
      <c r="BG5276" s="2"/>
      <c r="BH5276" s="2"/>
      <c r="BI5276" s="2"/>
      <c r="BJ5276" s="2">
        <v>241</v>
      </c>
      <c r="BK5276" s="2" t="s">
        <v>82</v>
      </c>
      <c r="BL5276" s="2"/>
      <c r="BM5276" s="2">
        <v>241</v>
      </c>
      <c r="BN5276" s="2" t="s">
        <v>82</v>
      </c>
      <c r="BO5276" s="2"/>
      <c r="BP5276" s="2">
        <v>241</v>
      </c>
      <c r="BQ5276" s="2" t="s">
        <v>82</v>
      </c>
      <c r="BR5276" s="2"/>
      <c r="BS5276" s="3">
        <v>40534</v>
      </c>
      <c r="BT5276" s="4">
        <v>0.6937037037037036</v>
      </c>
    </row>
    <row r="5277" spans="1:72" x14ac:dyDescent="0.25">
      <c r="A5277" s="2">
        <v>8172</v>
      </c>
      <c r="B5277" s="2">
        <v>2010</v>
      </c>
      <c r="C5277" s="2" t="s">
        <v>93</v>
      </c>
      <c r="D5277" s="2" t="s">
        <v>73</v>
      </c>
      <c r="E5277" s="2"/>
      <c r="F5277" s="2">
        <v>753</v>
      </c>
      <c r="G5277" s="2" t="s">
        <v>16135</v>
      </c>
      <c r="H5277" s="2">
        <v>149</v>
      </c>
      <c r="I5277" s="2" t="s">
        <v>14672</v>
      </c>
      <c r="J5277" s="2">
        <v>759</v>
      </c>
      <c r="K5277" s="2" t="s">
        <v>16136</v>
      </c>
      <c r="L5277" s="2" t="s">
        <v>16137</v>
      </c>
      <c r="M5277" s="3">
        <v>40534</v>
      </c>
      <c r="N5277" s="2" t="s">
        <v>16138</v>
      </c>
      <c r="O5277" s="2" t="s">
        <v>16139</v>
      </c>
      <c r="P5277" s="2"/>
      <c r="Q5277" s="2" t="str">
        <f>""</f>
        <v/>
      </c>
      <c r="R5277" s="2"/>
      <c r="S5277" s="2"/>
      <c r="T5277" s="2">
        <v>1</v>
      </c>
      <c r="U5277" s="2" t="s">
        <v>79</v>
      </c>
      <c r="V5277" s="2">
        <v>1</v>
      </c>
      <c r="W5277" s="2" t="s">
        <v>80</v>
      </c>
      <c r="X5277" s="2">
        <v>10</v>
      </c>
      <c r="Y5277" s="2" t="s">
        <v>226</v>
      </c>
      <c r="Z5277" s="2">
        <v>6</v>
      </c>
      <c r="AA5277" s="2" t="s">
        <v>101</v>
      </c>
      <c r="AB5277" s="2">
        <v>2</v>
      </c>
      <c r="AC5277" s="2" t="s">
        <v>102</v>
      </c>
      <c r="AD5277" s="3">
        <v>40533</v>
      </c>
      <c r="AE5277" s="4">
        <v>0.99861111111111101</v>
      </c>
      <c r="AF5277" s="3">
        <v>40534</v>
      </c>
      <c r="AG5277" s="4">
        <v>0.39583333333333331</v>
      </c>
      <c r="AH5277" s="2">
        <v>2</v>
      </c>
      <c r="AI5277" s="2" t="s">
        <v>84</v>
      </c>
      <c r="AJ5277" s="2">
        <v>9</v>
      </c>
      <c r="AK5277" s="2" t="s">
        <v>103</v>
      </c>
      <c r="AL5277" s="2">
        <v>14</v>
      </c>
      <c r="AM5277" s="2" t="s">
        <v>216</v>
      </c>
      <c r="AN5277" s="2" t="s">
        <v>1182</v>
      </c>
      <c r="AO5277" s="2" t="s">
        <v>16140</v>
      </c>
      <c r="AP5277" s="2">
        <v>11</v>
      </c>
      <c r="AQ5277" s="2" t="s">
        <v>82</v>
      </c>
      <c r="AR5277" s="2"/>
      <c r="AS5277" s="2"/>
      <c r="AT5277" s="2" t="s">
        <v>16141</v>
      </c>
      <c r="AU5277" s="2"/>
      <c r="AV5277" s="2"/>
      <c r="AW5277" s="2"/>
      <c r="AX5277" s="2"/>
      <c r="AY5277" s="2">
        <v>41</v>
      </c>
      <c r="AZ5277" s="2" t="s">
        <v>82</v>
      </c>
      <c r="BA5277" s="2">
        <v>41</v>
      </c>
      <c r="BB5277" s="2" t="s">
        <v>82</v>
      </c>
      <c r="BC5277" s="2">
        <v>41</v>
      </c>
      <c r="BD5277" s="2" t="s">
        <v>82</v>
      </c>
      <c r="BE5277" s="2">
        <v>31</v>
      </c>
      <c r="BF5277" s="2" t="s">
        <v>398</v>
      </c>
      <c r="BG5277" s="2" t="s">
        <v>7568</v>
      </c>
      <c r="BH5277" s="2"/>
      <c r="BI5277" s="2"/>
      <c r="BJ5277" s="2">
        <v>112</v>
      </c>
      <c r="BK5277" s="2" t="s">
        <v>110</v>
      </c>
      <c r="BL5277" s="2" t="s">
        <v>111</v>
      </c>
      <c r="BM5277" s="2">
        <v>13</v>
      </c>
      <c r="BN5277" s="2" t="s">
        <v>91</v>
      </c>
      <c r="BO5277" s="2"/>
      <c r="BP5277" s="2">
        <v>13</v>
      </c>
      <c r="BQ5277" s="2" t="s">
        <v>91</v>
      </c>
      <c r="BR5277" s="2" t="s">
        <v>360</v>
      </c>
      <c r="BS5277" s="3">
        <v>40534</v>
      </c>
      <c r="BT5277" s="4">
        <v>0.70248842592592586</v>
      </c>
    </row>
    <row r="5278" spans="1:72" x14ac:dyDescent="0.25">
      <c r="A5278" s="2">
        <v>8173</v>
      </c>
      <c r="B5278" s="2">
        <v>2010</v>
      </c>
      <c r="C5278" s="2" t="s">
        <v>377</v>
      </c>
      <c r="D5278" s="2" t="s">
        <v>73</v>
      </c>
      <c r="E5278" s="2"/>
      <c r="F5278" s="2">
        <v>426</v>
      </c>
      <c r="G5278" s="2" t="s">
        <v>378</v>
      </c>
      <c r="H5278" s="2">
        <v>149</v>
      </c>
      <c r="I5278" s="2" t="s">
        <v>14672</v>
      </c>
      <c r="J5278" s="2">
        <v>311</v>
      </c>
      <c r="K5278" s="2" t="s">
        <v>379</v>
      </c>
      <c r="L5278" s="2" t="s">
        <v>380</v>
      </c>
      <c r="M5278" s="3">
        <v>40534</v>
      </c>
      <c r="N5278" s="2" t="s">
        <v>7171</v>
      </c>
      <c r="O5278" s="2"/>
      <c r="P5278" s="2"/>
      <c r="Q5278" s="2" t="str">
        <f>"307-C/10"</f>
        <v>307-C/10</v>
      </c>
      <c r="R5278" s="2"/>
      <c r="S5278" s="2" t="s">
        <v>16142</v>
      </c>
      <c r="T5278" s="2">
        <v>1</v>
      </c>
      <c r="U5278" s="2" t="s">
        <v>79</v>
      </c>
      <c r="V5278" s="2">
        <v>1</v>
      </c>
      <c r="W5278" s="2" t="s">
        <v>80</v>
      </c>
      <c r="X5278" s="2">
        <v>1</v>
      </c>
      <c r="Y5278" s="2" t="s">
        <v>81</v>
      </c>
      <c r="Z5278" s="2">
        <v>1</v>
      </c>
      <c r="AA5278" s="2" t="s">
        <v>82</v>
      </c>
      <c r="AB5278" s="2">
        <v>9</v>
      </c>
      <c r="AC5278" s="2" t="s">
        <v>124</v>
      </c>
      <c r="AD5278" s="3">
        <v>40531</v>
      </c>
      <c r="AE5278" s="2"/>
      <c r="AF5278" s="3">
        <v>40531</v>
      </c>
      <c r="AG5278" s="4">
        <v>0.75</v>
      </c>
      <c r="AH5278" s="2">
        <v>2</v>
      </c>
      <c r="AI5278" s="2" t="s">
        <v>84</v>
      </c>
      <c r="AJ5278" s="2">
        <v>9</v>
      </c>
      <c r="AK5278" s="2" t="s">
        <v>103</v>
      </c>
      <c r="AL5278" s="2">
        <v>29</v>
      </c>
      <c r="AM5278" s="2" t="s">
        <v>5416</v>
      </c>
      <c r="AN5278" s="2" t="s">
        <v>13774</v>
      </c>
      <c r="AO5278" s="2" t="s">
        <v>987</v>
      </c>
      <c r="AP5278" s="2">
        <v>11</v>
      </c>
      <c r="AQ5278" s="2" t="s">
        <v>82</v>
      </c>
      <c r="AR5278" s="2"/>
      <c r="AS5278" s="2"/>
      <c r="AT5278" s="2" t="s">
        <v>16143</v>
      </c>
      <c r="AU5278" s="2"/>
      <c r="AV5278" s="2"/>
      <c r="AW5278" s="2"/>
      <c r="AX5278" s="2"/>
      <c r="AY5278" s="2">
        <v>41</v>
      </c>
      <c r="AZ5278" s="2" t="s">
        <v>82</v>
      </c>
      <c r="BA5278" s="2">
        <v>41</v>
      </c>
      <c r="BB5278" s="2" t="s">
        <v>82</v>
      </c>
      <c r="BC5278" s="2">
        <v>41</v>
      </c>
      <c r="BD5278" s="2" t="s">
        <v>82</v>
      </c>
      <c r="BE5278" s="2">
        <v>41</v>
      </c>
      <c r="BF5278" s="2" t="s">
        <v>82</v>
      </c>
      <c r="BG5278" s="2"/>
      <c r="BH5278" s="2"/>
      <c r="BI5278" s="2"/>
      <c r="BJ5278" s="2">
        <v>241</v>
      </c>
      <c r="BK5278" s="2" t="s">
        <v>82</v>
      </c>
      <c r="BL5278" s="2"/>
      <c r="BM5278" s="2">
        <v>241</v>
      </c>
      <c r="BN5278" s="2" t="s">
        <v>82</v>
      </c>
      <c r="BO5278" s="2"/>
      <c r="BP5278" s="2">
        <v>241</v>
      </c>
      <c r="BQ5278" s="2" t="s">
        <v>82</v>
      </c>
      <c r="BR5278" s="2"/>
      <c r="BS5278" s="3">
        <v>40534</v>
      </c>
      <c r="BT5278" s="4">
        <v>0.72000000000000008</v>
      </c>
    </row>
    <row r="5279" spans="1:72" x14ac:dyDescent="0.25">
      <c r="A5279" s="2">
        <v>8175</v>
      </c>
      <c r="B5279" s="2">
        <v>2010</v>
      </c>
      <c r="C5279" s="2" t="s">
        <v>93</v>
      </c>
      <c r="D5279" s="2" t="s">
        <v>73</v>
      </c>
      <c r="E5279" s="2"/>
      <c r="F5279" s="2">
        <v>754</v>
      </c>
      <c r="G5279" s="2" t="s">
        <v>16144</v>
      </c>
      <c r="H5279" s="2">
        <v>42</v>
      </c>
      <c r="I5279" s="2" t="s">
        <v>1096</v>
      </c>
      <c r="J5279" s="2">
        <v>760</v>
      </c>
      <c r="K5279" s="2" t="s">
        <v>16145</v>
      </c>
      <c r="L5279" s="2" t="s">
        <v>16146</v>
      </c>
      <c r="M5279" s="3">
        <v>40534</v>
      </c>
      <c r="N5279" s="2" t="s">
        <v>16147</v>
      </c>
      <c r="O5279" s="2" t="s">
        <v>16148</v>
      </c>
      <c r="P5279" s="2"/>
      <c r="Q5279" s="2" t="str">
        <f>"0011/2010"</f>
        <v>0011/2010</v>
      </c>
      <c r="R5279" s="2"/>
      <c r="S5279" s="2"/>
      <c r="T5279" s="2">
        <v>1</v>
      </c>
      <c r="U5279" s="2" t="s">
        <v>79</v>
      </c>
      <c r="V5279" s="2">
        <v>1</v>
      </c>
      <c r="W5279" s="2" t="s">
        <v>80</v>
      </c>
      <c r="X5279" s="2">
        <v>1</v>
      </c>
      <c r="Y5279" s="2" t="s">
        <v>81</v>
      </c>
      <c r="Z5279" s="2">
        <v>1</v>
      </c>
      <c r="AA5279" s="2" t="s">
        <v>82</v>
      </c>
      <c r="AB5279" s="2">
        <v>2</v>
      </c>
      <c r="AC5279" s="2" t="s">
        <v>102</v>
      </c>
      <c r="AD5279" s="3">
        <v>40534</v>
      </c>
      <c r="AE5279" s="4">
        <v>0.27430555555555552</v>
      </c>
      <c r="AF5279" s="3">
        <v>40534</v>
      </c>
      <c r="AG5279" s="4">
        <v>0.28125</v>
      </c>
      <c r="AH5279" s="2">
        <v>5</v>
      </c>
      <c r="AI5279" s="2" t="s">
        <v>274</v>
      </c>
      <c r="AJ5279" s="2">
        <v>40</v>
      </c>
      <c r="AK5279" s="2" t="s">
        <v>935</v>
      </c>
      <c r="AL5279" s="2">
        <v>11</v>
      </c>
      <c r="AM5279" s="2" t="s">
        <v>137</v>
      </c>
      <c r="AN5279" s="2"/>
      <c r="AO5279" s="2" t="s">
        <v>5382</v>
      </c>
      <c r="AP5279" s="2">
        <v>11</v>
      </c>
      <c r="AQ5279" s="2" t="s">
        <v>82</v>
      </c>
      <c r="AR5279" s="2"/>
      <c r="AS5279" s="2"/>
      <c r="AT5279" s="2" t="s">
        <v>16149</v>
      </c>
      <c r="AU5279" s="2"/>
      <c r="AV5279" s="2"/>
      <c r="AW5279" s="2"/>
      <c r="AX5279" s="2"/>
      <c r="AY5279" s="2">
        <v>41</v>
      </c>
      <c r="AZ5279" s="2" t="s">
        <v>82</v>
      </c>
      <c r="BA5279" s="2">
        <v>41</v>
      </c>
      <c r="BB5279" s="2" t="s">
        <v>82</v>
      </c>
      <c r="BC5279" s="2">
        <v>41</v>
      </c>
      <c r="BD5279" s="2" t="s">
        <v>82</v>
      </c>
      <c r="BE5279" s="2">
        <v>75</v>
      </c>
      <c r="BF5279" s="2" t="s">
        <v>16150</v>
      </c>
      <c r="BG5279" s="2" t="s">
        <v>16151</v>
      </c>
      <c r="BH5279" s="4">
        <v>0.83333333333333337</v>
      </c>
      <c r="BI5279" s="4">
        <v>0.29166666666666669</v>
      </c>
      <c r="BJ5279" s="2">
        <v>13</v>
      </c>
      <c r="BK5279" s="2" t="s">
        <v>91</v>
      </c>
      <c r="BL5279" s="2" t="s">
        <v>6109</v>
      </c>
      <c r="BM5279" s="2">
        <v>13</v>
      </c>
      <c r="BN5279" s="2" t="s">
        <v>91</v>
      </c>
      <c r="BO5279" s="2"/>
      <c r="BP5279" s="2">
        <v>13</v>
      </c>
      <c r="BQ5279" s="2" t="s">
        <v>91</v>
      </c>
      <c r="BR5279" s="2" t="s">
        <v>10238</v>
      </c>
      <c r="BS5279" s="3">
        <v>40534</v>
      </c>
      <c r="BT5279" s="4">
        <v>0.74795138888888879</v>
      </c>
    </row>
    <row r="5280" spans="1:72" x14ac:dyDescent="0.25">
      <c r="A5280" s="2">
        <v>8176</v>
      </c>
      <c r="B5280" s="2">
        <v>2010</v>
      </c>
      <c r="C5280" s="2" t="s">
        <v>171</v>
      </c>
      <c r="D5280" s="2" t="s">
        <v>122</v>
      </c>
      <c r="E5280" s="2" t="s">
        <v>16152</v>
      </c>
      <c r="F5280" s="2">
        <v>451</v>
      </c>
      <c r="G5280" s="2" t="s">
        <v>879</v>
      </c>
      <c r="H5280" s="2">
        <v>31</v>
      </c>
      <c r="I5280" s="2" t="s">
        <v>880</v>
      </c>
      <c r="J5280" s="2">
        <v>326</v>
      </c>
      <c r="K5280" s="2" t="s">
        <v>881</v>
      </c>
      <c r="L5280" s="2" t="s">
        <v>882</v>
      </c>
      <c r="M5280" s="3">
        <v>40534</v>
      </c>
      <c r="N5280" s="2" t="s">
        <v>1072</v>
      </c>
      <c r="O5280" s="2" t="s">
        <v>16153</v>
      </c>
      <c r="P5280" s="2" t="s">
        <v>16154</v>
      </c>
      <c r="Q5280" s="2" t="str">
        <f>"525/10"</f>
        <v>525/10</v>
      </c>
      <c r="R5280" s="2"/>
      <c r="S5280" s="2" t="s">
        <v>15921</v>
      </c>
      <c r="T5280" s="2">
        <v>1</v>
      </c>
      <c r="U5280" s="2" t="s">
        <v>79</v>
      </c>
      <c r="V5280" s="2">
        <v>1</v>
      </c>
      <c r="W5280" s="2" t="s">
        <v>80</v>
      </c>
      <c r="X5280" s="2">
        <v>10</v>
      </c>
      <c r="Y5280" s="2" t="s">
        <v>226</v>
      </c>
      <c r="Z5280" s="2">
        <v>22</v>
      </c>
      <c r="AA5280" s="2" t="s">
        <v>4417</v>
      </c>
      <c r="AB5280" s="2">
        <v>1</v>
      </c>
      <c r="AC5280" s="2" t="s">
        <v>178</v>
      </c>
      <c r="AD5280" s="3">
        <v>40531</v>
      </c>
      <c r="AE5280" s="4">
        <v>0.90972222222222221</v>
      </c>
      <c r="AF5280" s="3">
        <v>40534</v>
      </c>
      <c r="AG5280" s="4">
        <v>0.56944444444444442</v>
      </c>
      <c r="AH5280" s="2">
        <v>4</v>
      </c>
      <c r="AI5280" s="2" t="s">
        <v>125</v>
      </c>
      <c r="AJ5280" s="2">
        <v>29</v>
      </c>
      <c r="AK5280" s="2" t="s">
        <v>227</v>
      </c>
      <c r="AL5280" s="2">
        <v>21</v>
      </c>
      <c r="AM5280" s="2" t="s">
        <v>1311</v>
      </c>
      <c r="AN5280" s="2" t="s">
        <v>15922</v>
      </c>
      <c r="AO5280" s="2"/>
      <c r="AP5280" s="2">
        <v>11</v>
      </c>
      <c r="AQ5280" s="2" t="s">
        <v>82</v>
      </c>
      <c r="AR5280" s="2"/>
      <c r="AS5280" s="2"/>
      <c r="AT5280" s="2" t="s">
        <v>16155</v>
      </c>
      <c r="AU5280" s="2"/>
      <c r="AV5280" s="2"/>
      <c r="AW5280" s="2"/>
      <c r="AX5280" s="2"/>
      <c r="AY5280" s="2">
        <v>41</v>
      </c>
      <c r="AZ5280" s="2" t="s">
        <v>82</v>
      </c>
      <c r="BA5280" s="2">
        <v>41</v>
      </c>
      <c r="BB5280" s="2" t="s">
        <v>82</v>
      </c>
      <c r="BC5280" s="2">
        <v>41</v>
      </c>
      <c r="BD5280" s="2" t="s">
        <v>82</v>
      </c>
      <c r="BE5280" s="2">
        <v>41</v>
      </c>
      <c r="BF5280" s="2" t="s">
        <v>82</v>
      </c>
      <c r="BG5280" s="2"/>
      <c r="BH5280" s="2"/>
      <c r="BI5280" s="2"/>
      <c r="BJ5280" s="2">
        <v>241</v>
      </c>
      <c r="BK5280" s="2" t="s">
        <v>82</v>
      </c>
      <c r="BL5280" s="2"/>
      <c r="BM5280" s="2">
        <v>241</v>
      </c>
      <c r="BN5280" s="2" t="s">
        <v>82</v>
      </c>
      <c r="BO5280" s="2"/>
      <c r="BP5280" s="2">
        <v>241</v>
      </c>
      <c r="BQ5280" s="2" t="s">
        <v>82</v>
      </c>
      <c r="BR5280" s="2"/>
      <c r="BS5280" s="3">
        <v>40534</v>
      </c>
      <c r="BT5280" s="4">
        <v>0.75950231481481489</v>
      </c>
    </row>
    <row r="5281" spans="1:72" x14ac:dyDescent="0.25">
      <c r="A5281" s="2">
        <v>8179</v>
      </c>
      <c r="B5281" s="2">
        <v>2010</v>
      </c>
      <c r="C5281" s="2" t="s">
        <v>2138</v>
      </c>
      <c r="D5281" s="2" t="s">
        <v>73</v>
      </c>
      <c r="E5281" s="2"/>
      <c r="F5281" s="2">
        <v>328</v>
      </c>
      <c r="G5281" s="2" t="s">
        <v>16156</v>
      </c>
      <c r="H5281" s="2">
        <v>3</v>
      </c>
      <c r="I5281" s="2" t="s">
        <v>315</v>
      </c>
      <c r="J5281" s="2">
        <v>762</v>
      </c>
      <c r="K5281" s="2" t="s">
        <v>16157</v>
      </c>
      <c r="L5281" s="2" t="s">
        <v>16158</v>
      </c>
      <c r="M5281" s="3">
        <v>40534</v>
      </c>
      <c r="N5281" s="2" t="s">
        <v>16159</v>
      </c>
      <c r="O5281" s="2"/>
      <c r="P5281" s="2"/>
      <c r="Q5281" s="2" t="str">
        <f>"0017/2010"</f>
        <v>0017/2010</v>
      </c>
      <c r="R5281" s="2"/>
      <c r="S5281" s="2"/>
      <c r="T5281" s="2">
        <v>1</v>
      </c>
      <c r="U5281" s="2" t="s">
        <v>79</v>
      </c>
      <c r="V5281" s="2">
        <v>1</v>
      </c>
      <c r="W5281" s="2" t="s">
        <v>80</v>
      </c>
      <c r="X5281" s="2">
        <v>1</v>
      </c>
      <c r="Y5281" s="2" t="s">
        <v>81</v>
      </c>
      <c r="Z5281" s="2">
        <v>1</v>
      </c>
      <c r="AA5281" s="2" t="s">
        <v>82</v>
      </c>
      <c r="AB5281" s="2">
        <v>9</v>
      </c>
      <c r="AC5281" s="2" t="s">
        <v>124</v>
      </c>
      <c r="AD5281" s="3">
        <v>40534</v>
      </c>
      <c r="AE5281" s="4">
        <v>0.45833333333333331</v>
      </c>
      <c r="AF5281" s="3">
        <v>40534</v>
      </c>
      <c r="AG5281" s="4">
        <v>0.5</v>
      </c>
      <c r="AH5281" s="2">
        <v>5</v>
      </c>
      <c r="AI5281" s="2" t="s">
        <v>274</v>
      </c>
      <c r="AJ5281" s="2">
        <v>44</v>
      </c>
      <c r="AK5281" s="2" t="s">
        <v>667</v>
      </c>
      <c r="AL5281" s="2">
        <v>24</v>
      </c>
      <c r="AM5281" s="2" t="s">
        <v>1540</v>
      </c>
      <c r="AN5281" s="2"/>
      <c r="AO5281" s="2" t="s">
        <v>12542</v>
      </c>
      <c r="AP5281" s="2">
        <v>11</v>
      </c>
      <c r="AQ5281" s="2" t="s">
        <v>82</v>
      </c>
      <c r="AR5281" s="2" t="s">
        <v>82</v>
      </c>
      <c r="AS5281" s="2" t="s">
        <v>82</v>
      </c>
      <c r="AT5281" s="2" t="s">
        <v>16160</v>
      </c>
      <c r="AU5281" s="2"/>
      <c r="AV5281" s="2"/>
      <c r="AW5281" s="2"/>
      <c r="AX5281" s="2"/>
      <c r="AY5281" s="2">
        <v>41</v>
      </c>
      <c r="AZ5281" s="2" t="s">
        <v>82</v>
      </c>
      <c r="BA5281" s="2">
        <v>41</v>
      </c>
      <c r="BB5281" s="2" t="s">
        <v>82</v>
      </c>
      <c r="BC5281" s="2">
        <v>41</v>
      </c>
      <c r="BD5281" s="2" t="s">
        <v>82</v>
      </c>
      <c r="BE5281" s="2">
        <v>41</v>
      </c>
      <c r="BF5281" s="2" t="s">
        <v>82</v>
      </c>
      <c r="BG5281" s="2" t="s">
        <v>82</v>
      </c>
      <c r="BH5281" s="2"/>
      <c r="BI5281" s="2"/>
      <c r="BJ5281" s="2">
        <v>241</v>
      </c>
      <c r="BK5281" s="2" t="s">
        <v>82</v>
      </c>
      <c r="BL5281" s="2"/>
      <c r="BM5281" s="2">
        <v>241</v>
      </c>
      <c r="BN5281" s="2" t="s">
        <v>82</v>
      </c>
      <c r="BO5281" s="2"/>
      <c r="BP5281" s="2">
        <v>241</v>
      </c>
      <c r="BQ5281" s="2" t="s">
        <v>82</v>
      </c>
      <c r="BR5281" s="2"/>
      <c r="BS5281" s="3">
        <v>40534</v>
      </c>
      <c r="BT5281" s="4">
        <v>0.9156481481481481</v>
      </c>
    </row>
    <row r="5282" spans="1:72" x14ac:dyDescent="0.25">
      <c r="A5282" s="2">
        <v>8180</v>
      </c>
      <c r="B5282" s="2">
        <v>2010</v>
      </c>
      <c r="C5282" s="2" t="s">
        <v>128</v>
      </c>
      <c r="D5282" s="2" t="s">
        <v>122</v>
      </c>
      <c r="E5282" s="2"/>
      <c r="F5282" s="2">
        <v>475</v>
      </c>
      <c r="G5282" s="2" t="s">
        <v>1271</v>
      </c>
      <c r="H5282" s="2">
        <v>3</v>
      </c>
      <c r="I5282" s="2" t="s">
        <v>315</v>
      </c>
      <c r="J5282" s="2">
        <v>385</v>
      </c>
      <c r="K5282" s="2" t="s">
        <v>1314</v>
      </c>
      <c r="L5282" s="2" t="s">
        <v>1315</v>
      </c>
      <c r="M5282" s="3">
        <v>40534</v>
      </c>
      <c r="N5282" s="2" t="s">
        <v>1757</v>
      </c>
      <c r="O5282" s="2" t="s">
        <v>3169</v>
      </c>
      <c r="P5282" s="2" t="s">
        <v>82</v>
      </c>
      <c r="Q5282" s="2" t="str">
        <f>"35/2010"</f>
        <v>35/2010</v>
      </c>
      <c r="R5282" s="2" t="s">
        <v>3169</v>
      </c>
      <c r="S5282" s="2" t="s">
        <v>3169</v>
      </c>
      <c r="T5282" s="2">
        <v>1</v>
      </c>
      <c r="U5282" s="2" t="s">
        <v>79</v>
      </c>
      <c r="V5282" s="2">
        <v>1</v>
      </c>
      <c r="W5282" s="2" t="s">
        <v>80</v>
      </c>
      <c r="X5282" s="2">
        <v>1</v>
      </c>
      <c r="Y5282" s="2" t="s">
        <v>81</v>
      </c>
      <c r="Z5282" s="2">
        <v>10</v>
      </c>
      <c r="AA5282" s="2" t="s">
        <v>236</v>
      </c>
      <c r="AB5282" s="2">
        <v>9</v>
      </c>
      <c r="AC5282" s="2" t="s">
        <v>124</v>
      </c>
      <c r="AD5282" s="3">
        <v>40534</v>
      </c>
      <c r="AE5282" s="4">
        <v>0.72916666666666663</v>
      </c>
      <c r="AF5282" s="3">
        <v>40534</v>
      </c>
      <c r="AG5282" s="4">
        <v>0.72916666666666663</v>
      </c>
      <c r="AH5282" s="2">
        <v>5</v>
      </c>
      <c r="AI5282" s="2" t="s">
        <v>274</v>
      </c>
      <c r="AJ5282" s="2">
        <v>42</v>
      </c>
      <c r="AK5282" s="2" t="s">
        <v>660</v>
      </c>
      <c r="AL5282" s="2">
        <v>25</v>
      </c>
      <c r="AM5282" s="2" t="s">
        <v>3073</v>
      </c>
      <c r="AN5282" s="2" t="s">
        <v>179</v>
      </c>
      <c r="AO5282" s="2" t="s">
        <v>15749</v>
      </c>
      <c r="AP5282" s="2">
        <v>5</v>
      </c>
      <c r="AQ5282" s="2" t="s">
        <v>827</v>
      </c>
      <c r="AR5282" s="2" t="s">
        <v>82</v>
      </c>
      <c r="AS5282" s="2" t="s">
        <v>82</v>
      </c>
      <c r="AT5282" s="2" t="s">
        <v>16161</v>
      </c>
      <c r="AU5282" s="2"/>
      <c r="AV5282" s="2"/>
      <c r="AW5282" s="2"/>
      <c r="AX5282" s="2"/>
      <c r="AY5282" s="2">
        <v>41</v>
      </c>
      <c r="AZ5282" s="2" t="s">
        <v>82</v>
      </c>
      <c r="BA5282" s="2">
        <v>41</v>
      </c>
      <c r="BB5282" s="2" t="s">
        <v>82</v>
      </c>
      <c r="BC5282" s="2">
        <v>41</v>
      </c>
      <c r="BD5282" s="2" t="s">
        <v>82</v>
      </c>
      <c r="BE5282" s="2">
        <v>13</v>
      </c>
      <c r="BF5282" s="2" t="s">
        <v>108</v>
      </c>
      <c r="BG5282" s="2">
        <v>1789</v>
      </c>
      <c r="BH5282" s="4">
        <v>0.77083333333333337</v>
      </c>
      <c r="BI5282" s="4">
        <v>0.81944444444444453</v>
      </c>
      <c r="BJ5282" s="2">
        <v>13</v>
      </c>
      <c r="BK5282" s="2" t="s">
        <v>91</v>
      </c>
      <c r="BL5282" s="2" t="s">
        <v>185</v>
      </c>
      <c r="BM5282" s="2">
        <v>13</v>
      </c>
      <c r="BN5282" s="2" t="s">
        <v>91</v>
      </c>
      <c r="BO5282" s="2"/>
      <c r="BP5282" s="2">
        <v>13</v>
      </c>
      <c r="BQ5282" s="2" t="s">
        <v>91</v>
      </c>
      <c r="BR5282" s="2" t="s">
        <v>185</v>
      </c>
      <c r="BS5282" s="3">
        <v>40534</v>
      </c>
      <c r="BT5282" s="4">
        <v>0.92746527777777776</v>
      </c>
    </row>
    <row r="5283" spans="1:72" x14ac:dyDescent="0.25">
      <c r="A5283" s="2">
        <v>8181</v>
      </c>
      <c r="B5283" s="2">
        <v>2010</v>
      </c>
      <c r="C5283" s="2" t="s">
        <v>554</v>
      </c>
      <c r="D5283" s="2" t="s">
        <v>73</v>
      </c>
      <c r="E5283" s="2"/>
      <c r="F5283" s="2">
        <v>3</v>
      </c>
      <c r="G5283" s="2" t="s">
        <v>1041</v>
      </c>
      <c r="H5283" s="2">
        <v>1</v>
      </c>
      <c r="I5283" s="2" t="s">
        <v>82</v>
      </c>
      <c r="J5283" s="2">
        <v>368</v>
      </c>
      <c r="K5283" s="2" t="s">
        <v>1042</v>
      </c>
      <c r="L5283" s="2" t="s">
        <v>1043</v>
      </c>
      <c r="M5283" s="3">
        <v>40534</v>
      </c>
      <c r="N5283" s="2"/>
      <c r="O5283" s="2" t="s">
        <v>1130</v>
      </c>
      <c r="P5283" s="2"/>
      <c r="Q5283" s="2" t="str">
        <f>"684-E/10"</f>
        <v>684-E/10</v>
      </c>
      <c r="R5283" s="2" t="s">
        <v>1130</v>
      </c>
      <c r="S5283" s="2"/>
      <c r="T5283" s="2">
        <v>1</v>
      </c>
      <c r="U5283" s="2" t="s">
        <v>79</v>
      </c>
      <c r="V5283" s="2">
        <v>1</v>
      </c>
      <c r="W5283" s="2" t="s">
        <v>80</v>
      </c>
      <c r="X5283" s="2">
        <v>12</v>
      </c>
      <c r="Y5283" s="2" t="s">
        <v>148</v>
      </c>
      <c r="Z5283" s="2">
        <v>1</v>
      </c>
      <c r="AA5283" s="2" t="s">
        <v>82</v>
      </c>
      <c r="AB5283" s="2">
        <v>5</v>
      </c>
      <c r="AC5283" s="2" t="s">
        <v>559</v>
      </c>
      <c r="AD5283" s="3">
        <v>40207</v>
      </c>
      <c r="AE5283" s="2"/>
      <c r="AF5283" s="3">
        <v>40532</v>
      </c>
      <c r="AG5283" s="4">
        <v>0.59166666666666667</v>
      </c>
      <c r="AH5283" s="2">
        <v>2</v>
      </c>
      <c r="AI5283" s="2" t="s">
        <v>84</v>
      </c>
      <c r="AJ5283" s="2">
        <v>9</v>
      </c>
      <c r="AK5283" s="2" t="s">
        <v>103</v>
      </c>
      <c r="AL5283" s="2">
        <v>23</v>
      </c>
      <c r="AM5283" s="2" t="s">
        <v>251</v>
      </c>
      <c r="AN5283" s="2" t="s">
        <v>16162</v>
      </c>
      <c r="AO5283" s="2"/>
      <c r="AP5283" s="2">
        <v>11</v>
      </c>
      <c r="AQ5283" s="2" t="s">
        <v>82</v>
      </c>
      <c r="AR5283" s="2"/>
      <c r="AS5283" s="2"/>
      <c r="AT5283" s="2" t="s">
        <v>16163</v>
      </c>
      <c r="AU5283" s="2"/>
      <c r="AV5283" s="2"/>
      <c r="AW5283" s="2"/>
      <c r="AX5283" s="2"/>
      <c r="AY5283" s="2">
        <v>41</v>
      </c>
      <c r="AZ5283" s="2" t="s">
        <v>82</v>
      </c>
      <c r="BA5283" s="2">
        <v>41</v>
      </c>
      <c r="BB5283" s="2" t="s">
        <v>82</v>
      </c>
      <c r="BC5283" s="2">
        <v>41</v>
      </c>
      <c r="BD5283" s="2" t="s">
        <v>82</v>
      </c>
      <c r="BE5283" s="2">
        <v>41</v>
      </c>
      <c r="BF5283" s="2" t="s">
        <v>82</v>
      </c>
      <c r="BG5283" s="2"/>
      <c r="BH5283" s="2"/>
      <c r="BI5283" s="2"/>
      <c r="BJ5283" s="2">
        <v>241</v>
      </c>
      <c r="BK5283" s="2" t="s">
        <v>82</v>
      </c>
      <c r="BL5283" s="2"/>
      <c r="BM5283" s="2">
        <v>241</v>
      </c>
      <c r="BN5283" s="2" t="s">
        <v>82</v>
      </c>
      <c r="BO5283" s="2"/>
      <c r="BP5283" s="2">
        <v>241</v>
      </c>
      <c r="BQ5283" s="2" t="s">
        <v>82</v>
      </c>
      <c r="BR5283" s="2"/>
      <c r="BS5283" s="3">
        <v>40534</v>
      </c>
      <c r="BT5283" s="4">
        <v>0.97872685185185182</v>
      </c>
    </row>
    <row r="5284" spans="1:72" x14ac:dyDescent="0.25">
      <c r="A5284" s="2">
        <v>8182</v>
      </c>
      <c r="B5284" s="2">
        <v>2010</v>
      </c>
      <c r="C5284" s="2" t="s">
        <v>819</v>
      </c>
      <c r="D5284" s="2" t="s">
        <v>73</v>
      </c>
      <c r="E5284" s="2"/>
      <c r="F5284" s="2">
        <v>226</v>
      </c>
      <c r="G5284" s="2" t="s">
        <v>5788</v>
      </c>
      <c r="H5284" s="2">
        <v>3</v>
      </c>
      <c r="I5284" s="2" t="s">
        <v>315</v>
      </c>
      <c r="J5284" s="2">
        <v>240</v>
      </c>
      <c r="K5284" s="2" t="s">
        <v>16164</v>
      </c>
      <c r="L5284" s="2" t="s">
        <v>3662</v>
      </c>
      <c r="M5284" s="3">
        <v>40534</v>
      </c>
      <c r="N5284" s="2" t="s">
        <v>16165</v>
      </c>
      <c r="O5284" s="2" t="s">
        <v>10956</v>
      </c>
      <c r="P5284" s="2"/>
      <c r="Q5284" s="2" t="str">
        <f>"468-A/10"</f>
        <v>468-A/10</v>
      </c>
      <c r="R5284" s="2"/>
      <c r="S5284" s="2"/>
      <c r="T5284" s="2">
        <v>1</v>
      </c>
      <c r="U5284" s="2" t="s">
        <v>79</v>
      </c>
      <c r="V5284" s="2">
        <v>1</v>
      </c>
      <c r="W5284" s="2" t="s">
        <v>80</v>
      </c>
      <c r="X5284" s="2">
        <v>1</v>
      </c>
      <c r="Y5284" s="2" t="s">
        <v>81</v>
      </c>
      <c r="Z5284" s="2">
        <v>1</v>
      </c>
      <c r="AA5284" s="2" t="s">
        <v>82</v>
      </c>
      <c r="AB5284" s="2">
        <v>9</v>
      </c>
      <c r="AC5284" s="2" t="s">
        <v>124</v>
      </c>
      <c r="AD5284" s="3">
        <v>40534</v>
      </c>
      <c r="AE5284" s="4">
        <v>0.64583333333333337</v>
      </c>
      <c r="AF5284" s="3">
        <v>40534</v>
      </c>
      <c r="AG5284" s="4">
        <v>0.80555555555555547</v>
      </c>
      <c r="AH5284" s="2">
        <v>2</v>
      </c>
      <c r="AI5284" s="2" t="s">
        <v>84</v>
      </c>
      <c r="AJ5284" s="2">
        <v>12</v>
      </c>
      <c r="AK5284" s="2" t="s">
        <v>85</v>
      </c>
      <c r="AL5284" s="2">
        <v>11</v>
      </c>
      <c r="AM5284" s="2" t="s">
        <v>137</v>
      </c>
      <c r="AN5284" s="2" t="s">
        <v>1059</v>
      </c>
      <c r="AO5284" s="2" t="s">
        <v>987</v>
      </c>
      <c r="AP5284" s="2">
        <v>11</v>
      </c>
      <c r="AQ5284" s="2" t="s">
        <v>82</v>
      </c>
      <c r="AR5284" s="2"/>
      <c r="AS5284" s="2"/>
      <c r="AT5284" s="2" t="s">
        <v>16166</v>
      </c>
      <c r="AU5284" s="2">
        <v>1</v>
      </c>
      <c r="AV5284" s="2"/>
      <c r="AW5284" s="2"/>
      <c r="AX5284" s="2"/>
      <c r="AY5284" s="2">
        <v>41</v>
      </c>
      <c r="AZ5284" s="2" t="s">
        <v>82</v>
      </c>
      <c r="BA5284" s="2">
        <v>41</v>
      </c>
      <c r="BB5284" s="2" t="s">
        <v>82</v>
      </c>
      <c r="BC5284" s="2">
        <v>41</v>
      </c>
      <c r="BD5284" s="2" t="s">
        <v>82</v>
      </c>
      <c r="BE5284" s="2">
        <v>10</v>
      </c>
      <c r="BF5284" s="2" t="s">
        <v>901</v>
      </c>
      <c r="BG5284" s="2" t="s">
        <v>902</v>
      </c>
      <c r="BH5284" s="2"/>
      <c r="BI5284" s="2"/>
      <c r="BJ5284" s="2">
        <v>13</v>
      </c>
      <c r="BK5284" s="2" t="s">
        <v>91</v>
      </c>
      <c r="BL5284" s="2" t="s">
        <v>564</v>
      </c>
      <c r="BM5284" s="2">
        <v>229</v>
      </c>
      <c r="BN5284" s="2" t="s">
        <v>300</v>
      </c>
      <c r="BO5284" s="2"/>
      <c r="BP5284" s="2">
        <v>229</v>
      </c>
      <c r="BQ5284" s="2" t="s">
        <v>300</v>
      </c>
      <c r="BR5284" s="2" t="s">
        <v>573</v>
      </c>
      <c r="BS5284" s="3">
        <v>40534</v>
      </c>
      <c r="BT5284" s="4">
        <v>0.98084490740740737</v>
      </c>
    </row>
    <row r="5285" spans="1:72" x14ac:dyDescent="0.25">
      <c r="A5285" s="2">
        <v>8183</v>
      </c>
      <c r="B5285" s="2">
        <v>2010</v>
      </c>
      <c r="C5285" s="2" t="s">
        <v>171</v>
      </c>
      <c r="D5285" s="2" t="s">
        <v>73</v>
      </c>
      <c r="E5285" s="2"/>
      <c r="F5285" s="2">
        <v>153</v>
      </c>
      <c r="G5285" s="2" t="s">
        <v>9047</v>
      </c>
      <c r="H5285" s="2">
        <v>6</v>
      </c>
      <c r="I5285" s="2" t="s">
        <v>1088</v>
      </c>
      <c r="J5285" s="2">
        <v>165</v>
      </c>
      <c r="K5285" s="2" t="s">
        <v>8586</v>
      </c>
      <c r="L5285" s="2" t="s">
        <v>8587</v>
      </c>
      <c r="M5285" s="3">
        <v>40535</v>
      </c>
      <c r="N5285" s="2" t="s">
        <v>8726</v>
      </c>
      <c r="O5285" s="2"/>
      <c r="P5285" s="2"/>
      <c r="Q5285" s="2" t="str">
        <f>"469-A/10"</f>
        <v>469-A/10</v>
      </c>
      <c r="R5285" s="2" t="s">
        <v>2334</v>
      </c>
      <c r="S5285" s="2" t="s">
        <v>1035</v>
      </c>
      <c r="T5285" s="2">
        <v>1</v>
      </c>
      <c r="U5285" s="2" t="s">
        <v>79</v>
      </c>
      <c r="V5285" s="2">
        <v>1</v>
      </c>
      <c r="W5285" s="2" t="s">
        <v>80</v>
      </c>
      <c r="X5285" s="2">
        <v>1</v>
      </c>
      <c r="Y5285" s="2" t="s">
        <v>81</v>
      </c>
      <c r="Z5285" s="2">
        <v>1</v>
      </c>
      <c r="AA5285" s="2" t="s">
        <v>82</v>
      </c>
      <c r="AB5285" s="2">
        <v>1</v>
      </c>
      <c r="AC5285" s="2" t="s">
        <v>178</v>
      </c>
      <c r="AD5285" s="3">
        <v>40534</v>
      </c>
      <c r="AE5285" s="4">
        <v>0.6875</v>
      </c>
      <c r="AF5285" s="3">
        <v>40534</v>
      </c>
      <c r="AG5285" s="4">
        <v>0.875</v>
      </c>
      <c r="AH5285" s="2">
        <v>2</v>
      </c>
      <c r="AI5285" s="2" t="s">
        <v>84</v>
      </c>
      <c r="AJ5285" s="2">
        <v>12</v>
      </c>
      <c r="AK5285" s="2" t="s">
        <v>85</v>
      </c>
      <c r="AL5285" s="2">
        <v>11</v>
      </c>
      <c r="AM5285" s="2" t="s">
        <v>137</v>
      </c>
      <c r="AN5285" s="2" t="s">
        <v>16167</v>
      </c>
      <c r="AO5285" s="2" t="s">
        <v>16168</v>
      </c>
      <c r="AP5285" s="2">
        <v>11</v>
      </c>
      <c r="AQ5285" s="2" t="s">
        <v>82</v>
      </c>
      <c r="AR5285" s="2"/>
      <c r="AS5285" s="2"/>
      <c r="AT5285" s="2" t="s">
        <v>16169</v>
      </c>
      <c r="AU5285" s="2">
        <v>1</v>
      </c>
      <c r="AV5285" s="2"/>
      <c r="AW5285" s="2"/>
      <c r="AX5285" s="2"/>
      <c r="AY5285" s="2">
        <v>41</v>
      </c>
      <c r="AZ5285" s="2" t="s">
        <v>82</v>
      </c>
      <c r="BA5285" s="2">
        <v>41</v>
      </c>
      <c r="BB5285" s="2" t="s">
        <v>82</v>
      </c>
      <c r="BC5285" s="2">
        <v>41</v>
      </c>
      <c r="BD5285" s="2" t="s">
        <v>82</v>
      </c>
      <c r="BE5285" s="2">
        <v>47</v>
      </c>
      <c r="BF5285" s="2" t="s">
        <v>167</v>
      </c>
      <c r="BG5285" s="2" t="s">
        <v>3715</v>
      </c>
      <c r="BH5285" s="2"/>
      <c r="BI5285" s="4">
        <v>0.70138888888888884</v>
      </c>
      <c r="BJ5285" s="2">
        <v>13</v>
      </c>
      <c r="BK5285" s="2" t="s">
        <v>91</v>
      </c>
      <c r="BL5285" s="2" t="s">
        <v>564</v>
      </c>
      <c r="BM5285" s="2">
        <v>13</v>
      </c>
      <c r="BN5285" s="2" t="s">
        <v>91</v>
      </c>
      <c r="BO5285" s="2"/>
      <c r="BP5285" s="2">
        <v>13</v>
      </c>
      <c r="BQ5285" s="2" t="s">
        <v>91</v>
      </c>
      <c r="BR5285" s="2" t="s">
        <v>1199</v>
      </c>
      <c r="BS5285" s="3">
        <v>40535</v>
      </c>
      <c r="BT5285" s="4">
        <v>5.1041666666666666E-3</v>
      </c>
    </row>
    <row r="5286" spans="1:72" x14ac:dyDescent="0.25">
      <c r="A5286" s="2">
        <v>8184</v>
      </c>
      <c r="B5286" s="2">
        <v>2010</v>
      </c>
      <c r="C5286" s="2" t="s">
        <v>171</v>
      </c>
      <c r="D5286" s="2" t="s">
        <v>73</v>
      </c>
      <c r="E5286" s="2"/>
      <c r="F5286" s="2">
        <v>153</v>
      </c>
      <c r="G5286" s="2" t="s">
        <v>9047</v>
      </c>
      <c r="H5286" s="2">
        <v>6</v>
      </c>
      <c r="I5286" s="2" t="s">
        <v>1088</v>
      </c>
      <c r="J5286" s="2">
        <v>165</v>
      </c>
      <c r="K5286" s="2" t="s">
        <v>8586</v>
      </c>
      <c r="L5286" s="2" t="s">
        <v>8587</v>
      </c>
      <c r="M5286" s="3">
        <v>40535</v>
      </c>
      <c r="N5286" s="2" t="s">
        <v>8588</v>
      </c>
      <c r="O5286" s="2"/>
      <c r="P5286" s="2"/>
      <c r="Q5286" s="2" t="str">
        <f>"470-A/10"</f>
        <v>470-A/10</v>
      </c>
      <c r="R5286" s="2" t="s">
        <v>2334</v>
      </c>
      <c r="S5286" s="2" t="s">
        <v>2334</v>
      </c>
      <c r="T5286" s="2">
        <v>1</v>
      </c>
      <c r="U5286" s="2" t="s">
        <v>79</v>
      </c>
      <c r="V5286" s="2">
        <v>1</v>
      </c>
      <c r="W5286" s="2" t="s">
        <v>80</v>
      </c>
      <c r="X5286" s="2">
        <v>1</v>
      </c>
      <c r="Y5286" s="2" t="s">
        <v>81</v>
      </c>
      <c r="Z5286" s="2">
        <v>1</v>
      </c>
      <c r="AA5286" s="2" t="s">
        <v>82</v>
      </c>
      <c r="AB5286" s="2">
        <v>1</v>
      </c>
      <c r="AC5286" s="2" t="s">
        <v>178</v>
      </c>
      <c r="AD5286" s="3">
        <v>40534</v>
      </c>
      <c r="AE5286" s="4">
        <v>0.88888888888888884</v>
      </c>
      <c r="AF5286" s="3">
        <v>40534</v>
      </c>
      <c r="AG5286" s="4">
        <v>0.95833333333333337</v>
      </c>
      <c r="AH5286" s="2">
        <v>2</v>
      </c>
      <c r="AI5286" s="2" t="s">
        <v>84</v>
      </c>
      <c r="AJ5286" s="2">
        <v>12</v>
      </c>
      <c r="AK5286" s="2" t="s">
        <v>85</v>
      </c>
      <c r="AL5286" s="2">
        <v>11</v>
      </c>
      <c r="AM5286" s="2" t="s">
        <v>137</v>
      </c>
      <c r="AN5286" s="2" t="s">
        <v>16167</v>
      </c>
      <c r="AO5286" s="2" t="s">
        <v>9063</v>
      </c>
      <c r="AP5286" s="2">
        <v>11</v>
      </c>
      <c r="AQ5286" s="2" t="s">
        <v>82</v>
      </c>
      <c r="AR5286" s="2"/>
      <c r="AS5286" s="2"/>
      <c r="AT5286" s="2" t="s">
        <v>16170</v>
      </c>
      <c r="AU5286" s="2">
        <v>1</v>
      </c>
      <c r="AV5286" s="2"/>
      <c r="AW5286" s="2"/>
      <c r="AX5286" s="2"/>
      <c r="AY5286" s="2">
        <v>41</v>
      </c>
      <c r="AZ5286" s="2" t="s">
        <v>82</v>
      </c>
      <c r="BA5286" s="2">
        <v>41</v>
      </c>
      <c r="BB5286" s="2" t="s">
        <v>82</v>
      </c>
      <c r="BC5286" s="2">
        <v>41</v>
      </c>
      <c r="BD5286" s="2" t="s">
        <v>82</v>
      </c>
      <c r="BE5286" s="2">
        <v>48</v>
      </c>
      <c r="BF5286" s="2" t="s">
        <v>1123</v>
      </c>
      <c r="BG5286" s="2">
        <v>854</v>
      </c>
      <c r="BH5286" s="4">
        <v>0.85416666666666663</v>
      </c>
      <c r="BI5286" s="2"/>
      <c r="BJ5286" s="2">
        <v>13</v>
      </c>
      <c r="BK5286" s="2" t="s">
        <v>91</v>
      </c>
      <c r="BL5286" s="2" t="s">
        <v>564</v>
      </c>
      <c r="BM5286" s="2">
        <v>13</v>
      </c>
      <c r="BN5286" s="2" t="s">
        <v>91</v>
      </c>
      <c r="BO5286" s="2"/>
      <c r="BP5286" s="2">
        <v>13</v>
      </c>
      <c r="BQ5286" s="2" t="s">
        <v>91</v>
      </c>
      <c r="BR5286" s="2" t="s">
        <v>2865</v>
      </c>
      <c r="BS5286" s="3">
        <v>40535</v>
      </c>
      <c r="BT5286" s="4">
        <v>0.17626157407407406</v>
      </c>
    </row>
    <row r="5287" spans="1:72" x14ac:dyDescent="0.25">
      <c r="A5287" s="2">
        <v>8185</v>
      </c>
      <c r="B5287" s="2">
        <v>2010</v>
      </c>
      <c r="C5287" s="2" t="s">
        <v>72</v>
      </c>
      <c r="D5287" s="2" t="s">
        <v>122</v>
      </c>
      <c r="E5287" s="2" t="s">
        <v>8063</v>
      </c>
      <c r="F5287" s="2">
        <v>2</v>
      </c>
      <c r="G5287" s="2" t="s">
        <v>113</v>
      </c>
      <c r="H5287" s="2">
        <v>22</v>
      </c>
      <c r="I5287" s="2" t="s">
        <v>75</v>
      </c>
      <c r="J5287" s="2">
        <v>300</v>
      </c>
      <c r="K5287" s="2" t="s">
        <v>114</v>
      </c>
      <c r="L5287" s="2" t="s">
        <v>115</v>
      </c>
      <c r="M5287" s="3">
        <v>40535</v>
      </c>
      <c r="N5287" s="2" t="s">
        <v>107</v>
      </c>
      <c r="O5287" s="2" t="s">
        <v>107</v>
      </c>
      <c r="P5287" s="2" t="s">
        <v>107</v>
      </c>
      <c r="Q5287" s="2" t="str">
        <f>"679-E/10"</f>
        <v>679-E/10</v>
      </c>
      <c r="R5287" s="2" t="s">
        <v>116</v>
      </c>
      <c r="S5287" s="2" t="s">
        <v>116</v>
      </c>
      <c r="T5287" s="2">
        <v>1</v>
      </c>
      <c r="U5287" s="2" t="s">
        <v>79</v>
      </c>
      <c r="V5287" s="2">
        <v>1</v>
      </c>
      <c r="W5287" s="2" t="s">
        <v>80</v>
      </c>
      <c r="X5287" s="2">
        <v>1</v>
      </c>
      <c r="Y5287" s="2" t="s">
        <v>81</v>
      </c>
      <c r="Z5287" s="2">
        <v>1</v>
      </c>
      <c r="AA5287" s="2" t="s">
        <v>82</v>
      </c>
      <c r="AB5287" s="2">
        <v>6</v>
      </c>
      <c r="AC5287" s="2" t="s">
        <v>83</v>
      </c>
      <c r="AD5287" s="3">
        <v>40527</v>
      </c>
      <c r="AE5287" s="4">
        <v>0.4861111111111111</v>
      </c>
      <c r="AF5287" s="3">
        <v>40527</v>
      </c>
      <c r="AG5287" s="4">
        <v>0.54166666666666663</v>
      </c>
      <c r="AH5287" s="2">
        <v>2</v>
      </c>
      <c r="AI5287" s="2" t="s">
        <v>84</v>
      </c>
      <c r="AJ5287" s="2">
        <v>9</v>
      </c>
      <c r="AK5287" s="2" t="s">
        <v>103</v>
      </c>
      <c r="AL5287" s="2">
        <v>13</v>
      </c>
      <c r="AM5287" s="2" t="s">
        <v>117</v>
      </c>
      <c r="AN5287" s="2" t="s">
        <v>2887</v>
      </c>
      <c r="AO5287" s="2" t="s">
        <v>82</v>
      </c>
      <c r="AP5287" s="2">
        <v>11</v>
      </c>
      <c r="AQ5287" s="2" t="s">
        <v>82</v>
      </c>
      <c r="AR5287" s="2"/>
      <c r="AS5287" s="2"/>
      <c r="AT5287" s="2" t="s">
        <v>16171</v>
      </c>
      <c r="AU5287" s="2"/>
      <c r="AV5287" s="2"/>
      <c r="AW5287" s="2">
        <v>2</v>
      </c>
      <c r="AX5287" s="2"/>
      <c r="AY5287" s="2">
        <v>41</v>
      </c>
      <c r="AZ5287" s="2" t="s">
        <v>82</v>
      </c>
      <c r="BA5287" s="2">
        <v>41</v>
      </c>
      <c r="BB5287" s="2" t="s">
        <v>82</v>
      </c>
      <c r="BC5287" s="2">
        <v>41</v>
      </c>
      <c r="BD5287" s="2" t="s">
        <v>82</v>
      </c>
      <c r="BE5287" s="2">
        <v>23</v>
      </c>
      <c r="BF5287" s="2" t="s">
        <v>183</v>
      </c>
      <c r="BG5287" s="2" t="s">
        <v>15798</v>
      </c>
      <c r="BH5287" s="2"/>
      <c r="BI5287" s="2"/>
      <c r="BJ5287" s="2">
        <v>244</v>
      </c>
      <c r="BK5287" s="2" t="s">
        <v>1236</v>
      </c>
      <c r="BL5287" s="2" t="s">
        <v>1237</v>
      </c>
      <c r="BM5287" s="2">
        <v>13</v>
      </c>
      <c r="BN5287" s="2" t="s">
        <v>91</v>
      </c>
      <c r="BO5287" s="2"/>
      <c r="BP5287" s="2">
        <v>13</v>
      </c>
      <c r="BQ5287" s="2" t="s">
        <v>91</v>
      </c>
      <c r="BR5287" s="2" t="s">
        <v>185</v>
      </c>
      <c r="BS5287" s="3">
        <v>40535</v>
      </c>
      <c r="BT5287" s="4">
        <v>0.27287037037037037</v>
      </c>
    </row>
    <row r="5288" spans="1:72" x14ac:dyDescent="0.25">
      <c r="A5288" s="2">
        <v>8186</v>
      </c>
      <c r="B5288" s="2">
        <v>2010</v>
      </c>
      <c r="C5288" s="2" t="s">
        <v>4543</v>
      </c>
      <c r="D5288" s="2" t="s">
        <v>122</v>
      </c>
      <c r="E5288" s="2"/>
      <c r="F5288" s="2">
        <v>1</v>
      </c>
      <c r="G5288" s="2" t="s">
        <v>82</v>
      </c>
      <c r="H5288" s="2">
        <v>1</v>
      </c>
      <c r="I5288" s="2" t="s">
        <v>82</v>
      </c>
      <c r="J5288" s="2">
        <v>1</v>
      </c>
      <c r="K5288" s="2" t="s">
        <v>107</v>
      </c>
      <c r="L5288" s="2" t="s">
        <v>107</v>
      </c>
      <c r="M5288" s="3">
        <v>40535</v>
      </c>
      <c r="N5288" s="2"/>
      <c r="O5288" s="2"/>
      <c r="P5288" s="2"/>
      <c r="Q5288" s="2" t="str">
        <f>""</f>
        <v/>
      </c>
      <c r="R5288" s="2"/>
      <c r="S5288" s="2"/>
      <c r="T5288" s="2">
        <v>2</v>
      </c>
      <c r="U5288" s="2" t="s">
        <v>123</v>
      </c>
      <c r="V5288" s="2">
        <v>1</v>
      </c>
      <c r="W5288" s="2" t="s">
        <v>80</v>
      </c>
      <c r="X5288" s="2">
        <v>11</v>
      </c>
      <c r="Y5288" s="2" t="s">
        <v>1920</v>
      </c>
      <c r="Z5288" s="2">
        <v>1</v>
      </c>
      <c r="AA5288" s="2" t="s">
        <v>82</v>
      </c>
      <c r="AB5288" s="2">
        <v>9</v>
      </c>
      <c r="AC5288" s="2" t="s">
        <v>124</v>
      </c>
      <c r="AD5288" s="3">
        <v>40535</v>
      </c>
      <c r="AE5288" s="4">
        <v>8.3333333333333329E-2</v>
      </c>
      <c r="AF5288" s="3">
        <v>40535</v>
      </c>
      <c r="AG5288" s="4">
        <v>0.375</v>
      </c>
      <c r="AH5288" s="2">
        <v>6</v>
      </c>
      <c r="AI5288" s="2" t="s">
        <v>197</v>
      </c>
      <c r="AJ5288" s="2">
        <v>54</v>
      </c>
      <c r="AK5288" s="2" t="s">
        <v>348</v>
      </c>
      <c r="AL5288" s="2">
        <v>10</v>
      </c>
      <c r="AM5288" s="2" t="s">
        <v>200</v>
      </c>
      <c r="AN5288" s="2" t="s">
        <v>12361</v>
      </c>
      <c r="AO5288" s="2" t="s">
        <v>107</v>
      </c>
      <c r="AP5288" s="2">
        <v>14</v>
      </c>
      <c r="AQ5288" s="2" t="s">
        <v>3301</v>
      </c>
      <c r="AR5288" s="2" t="s">
        <v>9553</v>
      </c>
      <c r="AS5288" s="2" t="s">
        <v>9553</v>
      </c>
      <c r="AT5288" s="2" t="s">
        <v>16172</v>
      </c>
      <c r="AU5288" s="2"/>
      <c r="AV5288" s="2"/>
      <c r="AW5288" s="2"/>
      <c r="AX5288" s="2"/>
      <c r="AY5288" s="2">
        <v>41</v>
      </c>
      <c r="AZ5288" s="2" t="s">
        <v>82</v>
      </c>
      <c r="BA5288" s="2">
        <v>41</v>
      </c>
      <c r="BB5288" s="2" t="s">
        <v>82</v>
      </c>
      <c r="BC5288" s="2">
        <v>4</v>
      </c>
      <c r="BD5288" s="2" t="s">
        <v>90</v>
      </c>
      <c r="BE5288" s="2">
        <v>4</v>
      </c>
      <c r="BF5288" s="2" t="s">
        <v>90</v>
      </c>
      <c r="BG5288" s="2">
        <v>4429</v>
      </c>
      <c r="BH5288" s="4">
        <v>6.9444444444444434E-2</v>
      </c>
      <c r="BI5288" s="4">
        <v>0.16666666666666666</v>
      </c>
      <c r="BJ5288" s="2">
        <v>13</v>
      </c>
      <c r="BK5288" s="2" t="s">
        <v>91</v>
      </c>
      <c r="BL5288" s="2" t="s">
        <v>7629</v>
      </c>
      <c r="BM5288" s="2">
        <v>13</v>
      </c>
      <c r="BN5288" s="2" t="s">
        <v>91</v>
      </c>
      <c r="BO5288" s="2"/>
      <c r="BP5288" s="2">
        <v>13</v>
      </c>
      <c r="BQ5288" s="2" t="s">
        <v>91</v>
      </c>
      <c r="BR5288" s="2" t="s">
        <v>16173</v>
      </c>
      <c r="BS5288" s="3">
        <v>40535</v>
      </c>
      <c r="BT5288" s="4">
        <v>0.38899305555555558</v>
      </c>
    </row>
    <row r="5289" spans="1:72" x14ac:dyDescent="0.25">
      <c r="A5289" s="2">
        <v>8189</v>
      </c>
      <c r="B5289" s="2">
        <v>2010</v>
      </c>
      <c r="C5289" s="2" t="s">
        <v>457</v>
      </c>
      <c r="D5289" s="2" t="s">
        <v>122</v>
      </c>
      <c r="E5289" s="2"/>
      <c r="F5289" s="2">
        <v>11</v>
      </c>
      <c r="G5289" s="2" t="s">
        <v>2454</v>
      </c>
      <c r="H5289" s="2">
        <v>4</v>
      </c>
      <c r="I5289" s="2" t="s">
        <v>173</v>
      </c>
      <c r="J5289" s="2">
        <v>19</v>
      </c>
      <c r="K5289" s="2" t="s">
        <v>2144</v>
      </c>
      <c r="L5289" s="2" t="s">
        <v>2145</v>
      </c>
      <c r="M5289" s="3">
        <v>40535</v>
      </c>
      <c r="N5289" s="2" t="s">
        <v>2455</v>
      </c>
      <c r="O5289" s="2" t="s">
        <v>107</v>
      </c>
      <c r="P5289" s="2" t="s">
        <v>107</v>
      </c>
      <c r="Q5289" s="2" t="str">
        <f>"S/D"</f>
        <v>S/D</v>
      </c>
      <c r="R5289" s="2" t="s">
        <v>107</v>
      </c>
      <c r="S5289" s="2" t="s">
        <v>107</v>
      </c>
      <c r="T5289" s="2">
        <v>1</v>
      </c>
      <c r="U5289" s="2" t="s">
        <v>79</v>
      </c>
      <c r="V5289" s="2">
        <v>1</v>
      </c>
      <c r="W5289" s="2" t="s">
        <v>80</v>
      </c>
      <c r="X5289" s="2">
        <v>11</v>
      </c>
      <c r="Y5289" s="2" t="s">
        <v>1920</v>
      </c>
      <c r="Z5289" s="2">
        <v>10</v>
      </c>
      <c r="AA5289" s="2" t="s">
        <v>236</v>
      </c>
      <c r="AB5289" s="2">
        <v>9</v>
      </c>
      <c r="AC5289" s="2" t="s">
        <v>124</v>
      </c>
      <c r="AD5289" s="3">
        <v>40535</v>
      </c>
      <c r="AE5289" s="4">
        <v>0.52083333333333337</v>
      </c>
      <c r="AF5289" s="3">
        <v>40535</v>
      </c>
      <c r="AG5289" s="2"/>
      <c r="AH5289" s="2">
        <v>3</v>
      </c>
      <c r="AI5289" s="2" t="s">
        <v>214</v>
      </c>
      <c r="AJ5289" s="2">
        <v>24</v>
      </c>
      <c r="AK5289" s="2" t="s">
        <v>215</v>
      </c>
      <c r="AL5289" s="2">
        <v>25</v>
      </c>
      <c r="AM5289" s="2" t="s">
        <v>3073</v>
      </c>
      <c r="AN5289" s="2"/>
      <c r="AO5289" s="2"/>
      <c r="AP5289" s="2">
        <v>11</v>
      </c>
      <c r="AQ5289" s="2" t="s">
        <v>82</v>
      </c>
      <c r="AR5289" s="2" t="s">
        <v>82</v>
      </c>
      <c r="AS5289" s="2" t="s">
        <v>82</v>
      </c>
      <c r="AT5289" s="2" t="s">
        <v>16174</v>
      </c>
      <c r="AU5289" s="2"/>
      <c r="AV5289" s="2"/>
      <c r="AW5289" s="2"/>
      <c r="AX5289" s="2"/>
      <c r="AY5289" s="2">
        <v>41</v>
      </c>
      <c r="AZ5289" s="2" t="s">
        <v>82</v>
      </c>
      <c r="BA5289" s="2">
        <v>41</v>
      </c>
      <c r="BB5289" s="2" t="s">
        <v>82</v>
      </c>
      <c r="BC5289" s="2">
        <v>70</v>
      </c>
      <c r="BD5289" s="2" t="s">
        <v>236</v>
      </c>
      <c r="BE5289" s="2">
        <v>17</v>
      </c>
      <c r="BF5289" s="2" t="s">
        <v>508</v>
      </c>
      <c r="BG5289" s="2" t="s">
        <v>16175</v>
      </c>
      <c r="BH5289" s="4">
        <v>0.61805555555555558</v>
      </c>
      <c r="BI5289" s="4">
        <v>0.52083333333333337</v>
      </c>
      <c r="BJ5289" s="2">
        <v>13</v>
      </c>
      <c r="BK5289" s="2" t="s">
        <v>91</v>
      </c>
      <c r="BL5289" s="2" t="s">
        <v>169</v>
      </c>
      <c r="BM5289" s="2">
        <v>46</v>
      </c>
      <c r="BN5289" s="2" t="s">
        <v>307</v>
      </c>
      <c r="BO5289" s="2"/>
      <c r="BP5289" s="2">
        <v>46</v>
      </c>
      <c r="BQ5289" s="2" t="s">
        <v>307</v>
      </c>
      <c r="BR5289" s="2" t="s">
        <v>308</v>
      </c>
      <c r="BS5289" s="3">
        <v>40535</v>
      </c>
      <c r="BT5289" s="4">
        <v>0.5471759259259259</v>
      </c>
    </row>
    <row r="5290" spans="1:72" x14ac:dyDescent="0.25">
      <c r="A5290" s="2">
        <v>8190</v>
      </c>
      <c r="B5290" s="2">
        <v>2010</v>
      </c>
      <c r="C5290" s="2" t="s">
        <v>72</v>
      </c>
      <c r="D5290" s="2" t="s">
        <v>73</v>
      </c>
      <c r="E5290" s="2"/>
      <c r="F5290" s="2">
        <v>3</v>
      </c>
      <c r="G5290" s="2" t="s">
        <v>1041</v>
      </c>
      <c r="H5290" s="2">
        <v>149</v>
      </c>
      <c r="I5290" s="2" t="s">
        <v>14672</v>
      </c>
      <c r="J5290" s="2">
        <v>368</v>
      </c>
      <c r="K5290" s="2" t="s">
        <v>1042</v>
      </c>
      <c r="L5290" s="2" t="s">
        <v>1043</v>
      </c>
      <c r="M5290" s="3">
        <v>40535</v>
      </c>
      <c r="N5290" s="2"/>
      <c r="O5290" s="2"/>
      <c r="P5290" s="2"/>
      <c r="Q5290" s="2" t="str">
        <f>"687-E/10"</f>
        <v>687-E/10</v>
      </c>
      <c r="R5290" s="2" t="s">
        <v>116</v>
      </c>
      <c r="S5290" s="2" t="s">
        <v>116</v>
      </c>
      <c r="T5290" s="2">
        <v>1</v>
      </c>
      <c r="U5290" s="2" t="s">
        <v>79</v>
      </c>
      <c r="V5290" s="2">
        <v>1</v>
      </c>
      <c r="W5290" s="2" t="s">
        <v>80</v>
      </c>
      <c r="X5290" s="2">
        <v>12</v>
      </c>
      <c r="Y5290" s="2" t="s">
        <v>148</v>
      </c>
      <c r="Z5290" s="2">
        <v>1</v>
      </c>
      <c r="AA5290" s="2" t="s">
        <v>82</v>
      </c>
      <c r="AB5290" s="2">
        <v>6</v>
      </c>
      <c r="AC5290" s="2" t="s">
        <v>83</v>
      </c>
      <c r="AD5290" s="3">
        <v>40535</v>
      </c>
      <c r="AE5290" s="2"/>
      <c r="AF5290" s="3">
        <v>40535</v>
      </c>
      <c r="AG5290" s="4">
        <v>0.375</v>
      </c>
      <c r="AH5290" s="2">
        <v>2</v>
      </c>
      <c r="AI5290" s="2" t="s">
        <v>84</v>
      </c>
      <c r="AJ5290" s="2">
        <v>9</v>
      </c>
      <c r="AK5290" s="2" t="s">
        <v>103</v>
      </c>
      <c r="AL5290" s="2">
        <v>12</v>
      </c>
      <c r="AM5290" s="2" t="s">
        <v>86</v>
      </c>
      <c r="AN5290" s="2" t="s">
        <v>16176</v>
      </c>
      <c r="AO5290" s="2" t="s">
        <v>5376</v>
      </c>
      <c r="AP5290" s="2">
        <v>11</v>
      </c>
      <c r="AQ5290" s="2" t="s">
        <v>82</v>
      </c>
      <c r="AR5290" s="2"/>
      <c r="AS5290" s="2"/>
      <c r="AT5290" s="2" t="s">
        <v>16177</v>
      </c>
      <c r="AU5290" s="2"/>
      <c r="AV5290" s="2"/>
      <c r="AW5290" s="2"/>
      <c r="AX5290" s="2"/>
      <c r="AY5290" s="2">
        <v>41</v>
      </c>
      <c r="AZ5290" s="2" t="s">
        <v>82</v>
      </c>
      <c r="BA5290" s="2">
        <v>41</v>
      </c>
      <c r="BB5290" s="2" t="s">
        <v>82</v>
      </c>
      <c r="BC5290" s="2">
        <v>41</v>
      </c>
      <c r="BD5290" s="2" t="s">
        <v>82</v>
      </c>
      <c r="BE5290" s="2">
        <v>41</v>
      </c>
      <c r="BF5290" s="2" t="s">
        <v>82</v>
      </c>
      <c r="BG5290" s="2"/>
      <c r="BH5290" s="2"/>
      <c r="BI5290" s="2"/>
      <c r="BJ5290" s="2">
        <v>241</v>
      </c>
      <c r="BK5290" s="2" t="s">
        <v>82</v>
      </c>
      <c r="BL5290" s="2"/>
      <c r="BM5290" s="2">
        <v>241</v>
      </c>
      <c r="BN5290" s="2" t="s">
        <v>82</v>
      </c>
      <c r="BO5290" s="2"/>
      <c r="BP5290" s="2">
        <v>241</v>
      </c>
      <c r="BQ5290" s="2" t="s">
        <v>82</v>
      </c>
      <c r="BR5290" s="2"/>
      <c r="BS5290" s="3">
        <v>40535</v>
      </c>
      <c r="BT5290" s="4">
        <v>0.54743055555555553</v>
      </c>
    </row>
    <row r="5291" spans="1:72" x14ac:dyDescent="0.25">
      <c r="A5291" s="2">
        <v>8191</v>
      </c>
      <c r="B5291" s="2">
        <v>2010</v>
      </c>
      <c r="C5291" s="2" t="s">
        <v>72</v>
      </c>
      <c r="D5291" s="2" t="s">
        <v>122</v>
      </c>
      <c r="E5291" s="2" t="s">
        <v>16178</v>
      </c>
      <c r="F5291" s="2">
        <v>18</v>
      </c>
      <c r="G5291" s="2" t="s">
        <v>1974</v>
      </c>
      <c r="H5291" s="2">
        <v>99</v>
      </c>
      <c r="I5291" s="2" t="s">
        <v>6285</v>
      </c>
      <c r="J5291" s="2">
        <v>24</v>
      </c>
      <c r="K5291" s="2" t="s">
        <v>1975</v>
      </c>
      <c r="L5291" s="2" t="s">
        <v>1976</v>
      </c>
      <c r="M5291" s="3">
        <v>40535</v>
      </c>
      <c r="N5291" s="2" t="s">
        <v>16109</v>
      </c>
      <c r="O5291" s="2" t="s">
        <v>16179</v>
      </c>
      <c r="P5291" s="2" t="s">
        <v>16180</v>
      </c>
      <c r="Q5291" s="2" t="str">
        <f>"03/2010"</f>
        <v>03/2010</v>
      </c>
      <c r="R5291" s="2" t="s">
        <v>16110</v>
      </c>
      <c r="S5291" s="2"/>
      <c r="T5291" s="2">
        <v>1</v>
      </c>
      <c r="U5291" s="2" t="s">
        <v>79</v>
      </c>
      <c r="V5291" s="2">
        <v>1</v>
      </c>
      <c r="W5291" s="2" t="s">
        <v>80</v>
      </c>
      <c r="X5291" s="2">
        <v>12</v>
      </c>
      <c r="Y5291" s="2" t="s">
        <v>148</v>
      </c>
      <c r="Z5291" s="2">
        <v>1</v>
      </c>
      <c r="AA5291" s="2" t="s">
        <v>82</v>
      </c>
      <c r="AB5291" s="2">
        <v>6</v>
      </c>
      <c r="AC5291" s="2" t="s">
        <v>83</v>
      </c>
      <c r="AD5291" s="3">
        <v>40535</v>
      </c>
      <c r="AE5291" s="4">
        <v>0.38541666666666669</v>
      </c>
      <c r="AF5291" s="3">
        <v>40533</v>
      </c>
      <c r="AG5291" s="4">
        <v>0.97916666666666663</v>
      </c>
      <c r="AH5291" s="2">
        <v>3</v>
      </c>
      <c r="AI5291" s="2" t="s">
        <v>214</v>
      </c>
      <c r="AJ5291" s="2">
        <v>20</v>
      </c>
      <c r="AK5291" s="2" t="s">
        <v>1897</v>
      </c>
      <c r="AL5291" s="2">
        <v>19</v>
      </c>
      <c r="AM5291" s="2" t="s">
        <v>107</v>
      </c>
      <c r="AN5291" s="2"/>
      <c r="AO5291" s="2"/>
      <c r="AP5291" s="2">
        <v>11</v>
      </c>
      <c r="AQ5291" s="2" t="s">
        <v>82</v>
      </c>
      <c r="AR5291" s="2"/>
      <c r="AS5291" s="2"/>
      <c r="AT5291" s="2" t="s">
        <v>16181</v>
      </c>
      <c r="AU5291" s="2"/>
      <c r="AV5291" s="2"/>
      <c r="AW5291" s="2"/>
      <c r="AX5291" s="2"/>
      <c r="AY5291" s="2">
        <v>41</v>
      </c>
      <c r="AZ5291" s="2" t="s">
        <v>82</v>
      </c>
      <c r="BA5291" s="2">
        <v>41</v>
      </c>
      <c r="BB5291" s="2" t="s">
        <v>82</v>
      </c>
      <c r="BC5291" s="2">
        <v>41</v>
      </c>
      <c r="BD5291" s="2" t="s">
        <v>82</v>
      </c>
      <c r="BE5291" s="2">
        <v>41</v>
      </c>
      <c r="BF5291" s="2" t="s">
        <v>82</v>
      </c>
      <c r="BG5291" s="2"/>
      <c r="BH5291" s="2"/>
      <c r="BI5291" s="2"/>
      <c r="BJ5291" s="2">
        <v>241</v>
      </c>
      <c r="BK5291" s="2" t="s">
        <v>82</v>
      </c>
      <c r="BL5291" s="2"/>
      <c r="BM5291" s="2">
        <v>241</v>
      </c>
      <c r="BN5291" s="2" t="s">
        <v>82</v>
      </c>
      <c r="BO5291" s="2"/>
      <c r="BP5291" s="2">
        <v>241</v>
      </c>
      <c r="BQ5291" s="2" t="s">
        <v>82</v>
      </c>
      <c r="BR5291" s="2"/>
      <c r="BS5291" s="3">
        <v>40535</v>
      </c>
      <c r="BT5291" s="4">
        <v>0.55261574074074071</v>
      </c>
    </row>
    <row r="5292" spans="1:72" x14ac:dyDescent="0.25">
      <c r="A5292" s="2">
        <v>8192</v>
      </c>
      <c r="B5292" s="2">
        <v>2010</v>
      </c>
      <c r="C5292" s="2" t="s">
        <v>93</v>
      </c>
      <c r="D5292" s="2" t="s">
        <v>73</v>
      </c>
      <c r="E5292" s="2"/>
      <c r="F5292" s="2">
        <v>173</v>
      </c>
      <c r="G5292" s="2" t="s">
        <v>9262</v>
      </c>
      <c r="H5292" s="2">
        <v>94</v>
      </c>
      <c r="I5292" s="2" t="s">
        <v>5672</v>
      </c>
      <c r="J5292" s="2">
        <v>171</v>
      </c>
      <c r="K5292" s="2" t="s">
        <v>5673</v>
      </c>
      <c r="L5292" s="2" t="s">
        <v>5674</v>
      </c>
      <c r="M5292" s="3">
        <v>40535</v>
      </c>
      <c r="N5292" s="2" t="s">
        <v>5675</v>
      </c>
      <c r="O5292" s="2" t="s">
        <v>16182</v>
      </c>
      <c r="P5292" s="2" t="s">
        <v>107</v>
      </c>
      <c r="Q5292" s="2" t="str">
        <f>"N/C"</f>
        <v>N/C</v>
      </c>
      <c r="R5292" s="2" t="s">
        <v>82</v>
      </c>
      <c r="S5292" s="2" t="s">
        <v>82</v>
      </c>
      <c r="T5292" s="2">
        <v>1</v>
      </c>
      <c r="U5292" s="2" t="s">
        <v>79</v>
      </c>
      <c r="V5292" s="2">
        <v>1</v>
      </c>
      <c r="W5292" s="2" t="s">
        <v>80</v>
      </c>
      <c r="X5292" s="2">
        <v>10</v>
      </c>
      <c r="Y5292" s="2" t="s">
        <v>226</v>
      </c>
      <c r="Z5292" s="2">
        <v>6</v>
      </c>
      <c r="AA5292" s="2" t="s">
        <v>101</v>
      </c>
      <c r="AB5292" s="2">
        <v>2</v>
      </c>
      <c r="AC5292" s="2" t="s">
        <v>102</v>
      </c>
      <c r="AD5292" s="3">
        <v>40535</v>
      </c>
      <c r="AE5292" s="4">
        <v>0.33333333333333331</v>
      </c>
      <c r="AF5292" s="3">
        <v>40535</v>
      </c>
      <c r="AG5292" s="4">
        <v>0.45833333333333331</v>
      </c>
      <c r="AH5292" s="2">
        <v>2</v>
      </c>
      <c r="AI5292" s="2" t="s">
        <v>84</v>
      </c>
      <c r="AJ5292" s="2">
        <v>9</v>
      </c>
      <c r="AK5292" s="2" t="s">
        <v>103</v>
      </c>
      <c r="AL5292" s="2">
        <v>14</v>
      </c>
      <c r="AM5292" s="2" t="s">
        <v>216</v>
      </c>
      <c r="AN5292" s="2" t="s">
        <v>16183</v>
      </c>
      <c r="AO5292" s="2" t="s">
        <v>105</v>
      </c>
      <c r="AP5292" s="2">
        <v>11</v>
      </c>
      <c r="AQ5292" s="2" t="s">
        <v>82</v>
      </c>
      <c r="AR5292" s="2"/>
      <c r="AS5292" s="2"/>
      <c r="AT5292" s="2" t="s">
        <v>16184</v>
      </c>
      <c r="AU5292" s="2">
        <v>1</v>
      </c>
      <c r="AV5292" s="2"/>
      <c r="AW5292" s="2"/>
      <c r="AX5292" s="2"/>
      <c r="AY5292" s="2">
        <v>41</v>
      </c>
      <c r="AZ5292" s="2" t="s">
        <v>82</v>
      </c>
      <c r="BA5292" s="2">
        <v>41</v>
      </c>
      <c r="BB5292" s="2" t="s">
        <v>82</v>
      </c>
      <c r="BC5292" s="2">
        <v>41</v>
      </c>
      <c r="BD5292" s="2" t="s">
        <v>82</v>
      </c>
      <c r="BE5292" s="2">
        <v>20</v>
      </c>
      <c r="BF5292" s="2" t="s">
        <v>1681</v>
      </c>
      <c r="BG5292" s="2" t="s">
        <v>16185</v>
      </c>
      <c r="BH5292" s="4">
        <v>0.32430555555555557</v>
      </c>
      <c r="BI5292" s="2"/>
      <c r="BJ5292" s="2">
        <v>173</v>
      </c>
      <c r="BK5292" s="2" t="s">
        <v>223</v>
      </c>
      <c r="BL5292" s="2" t="s">
        <v>224</v>
      </c>
      <c r="BM5292" s="2">
        <v>13</v>
      </c>
      <c r="BN5292" s="2" t="s">
        <v>91</v>
      </c>
      <c r="BO5292" s="2"/>
      <c r="BP5292" s="2">
        <v>13</v>
      </c>
      <c r="BQ5292" s="2" t="s">
        <v>91</v>
      </c>
      <c r="BR5292" s="2" t="s">
        <v>360</v>
      </c>
      <c r="BS5292" s="3">
        <v>40535</v>
      </c>
      <c r="BT5292" s="4">
        <v>0.60657407407407404</v>
      </c>
    </row>
    <row r="5293" spans="1:72" x14ac:dyDescent="0.25">
      <c r="A5293" s="2">
        <v>8193</v>
      </c>
      <c r="B5293" s="2">
        <v>2010</v>
      </c>
      <c r="C5293" s="2" t="s">
        <v>171</v>
      </c>
      <c r="D5293" s="2" t="s">
        <v>122</v>
      </c>
      <c r="E5293" s="2" t="s">
        <v>15411</v>
      </c>
      <c r="F5293" s="2">
        <v>400</v>
      </c>
      <c r="G5293" s="2" t="s">
        <v>3601</v>
      </c>
      <c r="H5293" s="2">
        <v>17</v>
      </c>
      <c r="I5293" s="2" t="s">
        <v>3602</v>
      </c>
      <c r="J5293" s="2">
        <v>692</v>
      </c>
      <c r="K5293" s="2" t="s">
        <v>574</v>
      </c>
      <c r="L5293" s="2" t="s">
        <v>575</v>
      </c>
      <c r="M5293" s="3">
        <v>40535</v>
      </c>
      <c r="N5293" s="2" t="s">
        <v>15277</v>
      </c>
      <c r="O5293" s="2"/>
      <c r="P5293" s="2"/>
      <c r="Q5293" s="2" t="str">
        <f>"654-E/10"</f>
        <v>654-E/10</v>
      </c>
      <c r="R5293" s="2" t="s">
        <v>3768</v>
      </c>
      <c r="S5293" s="2"/>
      <c r="T5293" s="2">
        <v>1</v>
      </c>
      <c r="U5293" s="2" t="s">
        <v>79</v>
      </c>
      <c r="V5293" s="2">
        <v>1</v>
      </c>
      <c r="W5293" s="2" t="s">
        <v>80</v>
      </c>
      <c r="X5293" s="2">
        <v>1</v>
      </c>
      <c r="Y5293" s="2" t="s">
        <v>81</v>
      </c>
      <c r="Z5293" s="2">
        <v>1</v>
      </c>
      <c r="AA5293" s="2" t="s">
        <v>82</v>
      </c>
      <c r="AB5293" s="2">
        <v>1</v>
      </c>
      <c r="AC5293" s="2" t="s">
        <v>178</v>
      </c>
      <c r="AD5293" s="3">
        <v>40516</v>
      </c>
      <c r="AE5293" s="4">
        <v>0.82291666666666663</v>
      </c>
      <c r="AF5293" s="3">
        <v>40516</v>
      </c>
      <c r="AG5293" s="4">
        <v>0.95833333333333337</v>
      </c>
      <c r="AH5293" s="2">
        <v>2</v>
      </c>
      <c r="AI5293" s="2" t="s">
        <v>84</v>
      </c>
      <c r="AJ5293" s="2">
        <v>9</v>
      </c>
      <c r="AK5293" s="2" t="s">
        <v>103</v>
      </c>
      <c r="AL5293" s="2">
        <v>14</v>
      </c>
      <c r="AM5293" s="2" t="s">
        <v>216</v>
      </c>
      <c r="AN5293" s="2"/>
      <c r="AO5293" s="2" t="s">
        <v>15412</v>
      </c>
      <c r="AP5293" s="2">
        <v>11</v>
      </c>
      <c r="AQ5293" s="2" t="s">
        <v>82</v>
      </c>
      <c r="AR5293" s="2"/>
      <c r="AS5293" s="2"/>
      <c r="AT5293" s="2" t="s">
        <v>16186</v>
      </c>
      <c r="AU5293" s="2"/>
      <c r="AV5293" s="2">
        <v>1</v>
      </c>
      <c r="AW5293" s="2"/>
      <c r="AX5293" s="2"/>
      <c r="AY5293" s="2">
        <v>41</v>
      </c>
      <c r="AZ5293" s="2" t="s">
        <v>82</v>
      </c>
      <c r="BA5293" s="2">
        <v>41</v>
      </c>
      <c r="BB5293" s="2" t="s">
        <v>82</v>
      </c>
      <c r="BC5293" s="2">
        <v>41</v>
      </c>
      <c r="BD5293" s="2" t="s">
        <v>82</v>
      </c>
      <c r="BE5293" s="2">
        <v>4</v>
      </c>
      <c r="BF5293" s="2" t="s">
        <v>90</v>
      </c>
      <c r="BG5293" s="2">
        <v>4641</v>
      </c>
      <c r="BH5293" s="4">
        <v>0.79513888888888884</v>
      </c>
      <c r="BI5293" s="2"/>
      <c r="BJ5293" s="2">
        <v>173</v>
      </c>
      <c r="BK5293" s="2" t="s">
        <v>223</v>
      </c>
      <c r="BL5293" s="2" t="s">
        <v>224</v>
      </c>
      <c r="BM5293" s="2">
        <v>13</v>
      </c>
      <c r="BN5293" s="2" t="s">
        <v>91</v>
      </c>
      <c r="BO5293" s="2"/>
      <c r="BP5293" s="2">
        <v>13</v>
      </c>
      <c r="BQ5293" s="2" t="s">
        <v>91</v>
      </c>
      <c r="BR5293" s="2" t="s">
        <v>185</v>
      </c>
      <c r="BS5293" s="3">
        <v>40535</v>
      </c>
      <c r="BT5293" s="4">
        <v>0.62222222222222223</v>
      </c>
    </row>
    <row r="5294" spans="1:72" x14ac:dyDescent="0.25">
      <c r="A5294" s="2">
        <v>8193</v>
      </c>
      <c r="B5294" s="2">
        <v>2010</v>
      </c>
      <c r="C5294" s="2" t="s">
        <v>385</v>
      </c>
      <c r="D5294" s="2" t="s">
        <v>122</v>
      </c>
      <c r="E5294" s="2" t="s">
        <v>15411</v>
      </c>
      <c r="F5294" s="2">
        <v>400</v>
      </c>
      <c r="G5294" s="2" t="s">
        <v>3601</v>
      </c>
      <c r="H5294" s="2">
        <v>17</v>
      </c>
      <c r="I5294" s="2" t="s">
        <v>3602</v>
      </c>
      <c r="J5294" s="2">
        <v>692</v>
      </c>
      <c r="K5294" s="2" t="s">
        <v>574</v>
      </c>
      <c r="L5294" s="2" t="s">
        <v>575</v>
      </c>
      <c r="M5294" s="3">
        <v>40535</v>
      </c>
      <c r="N5294" s="2" t="s">
        <v>15277</v>
      </c>
      <c r="O5294" s="2"/>
      <c r="P5294" s="2"/>
      <c r="Q5294" s="2" t="str">
        <f>"654-E/10"</f>
        <v>654-E/10</v>
      </c>
      <c r="R5294" s="2" t="s">
        <v>3768</v>
      </c>
      <c r="S5294" s="2"/>
      <c r="T5294" s="2">
        <v>1</v>
      </c>
      <c r="U5294" s="2" t="s">
        <v>79</v>
      </c>
      <c r="V5294" s="2">
        <v>1</v>
      </c>
      <c r="W5294" s="2" t="s">
        <v>80</v>
      </c>
      <c r="X5294" s="2">
        <v>1</v>
      </c>
      <c r="Y5294" s="2" t="s">
        <v>81</v>
      </c>
      <c r="Z5294" s="2">
        <v>1</v>
      </c>
      <c r="AA5294" s="2" t="s">
        <v>82</v>
      </c>
      <c r="AB5294" s="2">
        <v>9</v>
      </c>
      <c r="AC5294" s="2" t="s">
        <v>124</v>
      </c>
      <c r="AD5294" s="3">
        <v>40516</v>
      </c>
      <c r="AE5294" s="4">
        <v>0.82291666666666663</v>
      </c>
      <c r="AF5294" s="3">
        <v>40516</v>
      </c>
      <c r="AG5294" s="4">
        <v>0.95833333333333337</v>
      </c>
      <c r="AH5294" s="2">
        <v>2</v>
      </c>
      <c r="AI5294" s="2" t="s">
        <v>84</v>
      </c>
      <c r="AJ5294" s="2">
        <v>9</v>
      </c>
      <c r="AK5294" s="2" t="s">
        <v>103</v>
      </c>
      <c r="AL5294" s="2">
        <v>14</v>
      </c>
      <c r="AM5294" s="2" t="s">
        <v>216</v>
      </c>
      <c r="AN5294" s="2"/>
      <c r="AO5294" s="2" t="s">
        <v>15412</v>
      </c>
      <c r="AP5294" s="2">
        <v>11</v>
      </c>
      <c r="AQ5294" s="2" t="s">
        <v>82</v>
      </c>
      <c r="AR5294" s="2"/>
      <c r="AS5294" s="2"/>
      <c r="AT5294" s="2" t="s">
        <v>16186</v>
      </c>
      <c r="AU5294" s="2"/>
      <c r="AV5294" s="2">
        <v>1</v>
      </c>
      <c r="AW5294" s="2"/>
      <c r="AX5294" s="2"/>
      <c r="AY5294" s="2">
        <v>41</v>
      </c>
      <c r="AZ5294" s="2" t="s">
        <v>82</v>
      </c>
      <c r="BA5294" s="2">
        <v>41</v>
      </c>
      <c r="BB5294" s="2" t="s">
        <v>82</v>
      </c>
      <c r="BC5294" s="2">
        <v>41</v>
      </c>
      <c r="BD5294" s="2" t="s">
        <v>82</v>
      </c>
      <c r="BE5294" s="2">
        <v>4</v>
      </c>
      <c r="BF5294" s="2" t="s">
        <v>90</v>
      </c>
      <c r="BG5294" s="2">
        <v>4641</v>
      </c>
      <c r="BH5294" s="4">
        <v>0.79513888888888884</v>
      </c>
      <c r="BI5294" s="2"/>
      <c r="BJ5294" s="2">
        <v>173</v>
      </c>
      <c r="BK5294" s="2" t="s">
        <v>223</v>
      </c>
      <c r="BL5294" s="2" t="s">
        <v>224</v>
      </c>
      <c r="BM5294" s="2">
        <v>13</v>
      </c>
      <c r="BN5294" s="2" t="s">
        <v>91</v>
      </c>
      <c r="BO5294" s="2"/>
      <c r="BP5294" s="2">
        <v>13</v>
      </c>
      <c r="BQ5294" s="2" t="s">
        <v>91</v>
      </c>
      <c r="BR5294" s="2" t="s">
        <v>185</v>
      </c>
      <c r="BS5294" s="3">
        <v>40535</v>
      </c>
      <c r="BT5294" s="4">
        <v>0.62222222222222223</v>
      </c>
    </row>
    <row r="5295" spans="1:72" x14ac:dyDescent="0.25">
      <c r="A5295" s="2">
        <v>8194</v>
      </c>
      <c r="B5295" s="2">
        <v>2010</v>
      </c>
      <c r="C5295" s="2" t="s">
        <v>4543</v>
      </c>
      <c r="D5295" s="2" t="s">
        <v>122</v>
      </c>
      <c r="E5295" s="2"/>
      <c r="F5295" s="2">
        <v>1</v>
      </c>
      <c r="G5295" s="2" t="s">
        <v>82</v>
      </c>
      <c r="H5295" s="2">
        <v>1</v>
      </c>
      <c r="I5295" s="2" t="s">
        <v>82</v>
      </c>
      <c r="J5295" s="2">
        <v>1</v>
      </c>
      <c r="K5295" s="2" t="s">
        <v>107</v>
      </c>
      <c r="L5295" s="2" t="s">
        <v>107</v>
      </c>
      <c r="M5295" s="3">
        <v>40535</v>
      </c>
      <c r="N5295" s="2"/>
      <c r="O5295" s="2"/>
      <c r="P5295" s="2"/>
      <c r="Q5295" s="2" t="str">
        <f>""</f>
        <v/>
      </c>
      <c r="R5295" s="2"/>
      <c r="S5295" s="2"/>
      <c r="T5295" s="2">
        <v>2</v>
      </c>
      <c r="U5295" s="2" t="s">
        <v>123</v>
      </c>
      <c r="V5295" s="2">
        <v>1</v>
      </c>
      <c r="W5295" s="2" t="s">
        <v>80</v>
      </c>
      <c r="X5295" s="2">
        <v>11</v>
      </c>
      <c r="Y5295" s="2" t="s">
        <v>1920</v>
      </c>
      <c r="Z5295" s="2">
        <v>1</v>
      </c>
      <c r="AA5295" s="2" t="s">
        <v>82</v>
      </c>
      <c r="AB5295" s="2">
        <v>9</v>
      </c>
      <c r="AC5295" s="2" t="s">
        <v>124</v>
      </c>
      <c r="AD5295" s="2"/>
      <c r="AE5295" s="2"/>
      <c r="AF5295" s="3">
        <v>40535</v>
      </c>
      <c r="AG5295" s="2"/>
      <c r="AH5295" s="2">
        <v>3</v>
      </c>
      <c r="AI5295" s="2" t="s">
        <v>214</v>
      </c>
      <c r="AJ5295" s="2">
        <v>17</v>
      </c>
      <c r="AK5295" s="2" t="s">
        <v>309</v>
      </c>
      <c r="AL5295" s="2">
        <v>9</v>
      </c>
      <c r="AM5295" s="2" t="s">
        <v>259</v>
      </c>
      <c r="AN5295" s="2"/>
      <c r="AO5295" s="2" t="s">
        <v>16187</v>
      </c>
      <c r="AP5295" s="2">
        <v>11</v>
      </c>
      <c r="AQ5295" s="2" t="s">
        <v>82</v>
      </c>
      <c r="AR5295" s="2"/>
      <c r="AS5295" s="2"/>
      <c r="AT5295" s="2" t="s">
        <v>16188</v>
      </c>
      <c r="AU5295" s="2"/>
      <c r="AV5295" s="2"/>
      <c r="AW5295" s="2"/>
      <c r="AX5295" s="2"/>
      <c r="AY5295" s="2">
        <v>41</v>
      </c>
      <c r="AZ5295" s="2" t="s">
        <v>82</v>
      </c>
      <c r="BA5295" s="2">
        <v>41</v>
      </c>
      <c r="BB5295" s="2" t="s">
        <v>82</v>
      </c>
      <c r="BC5295" s="2">
        <v>41</v>
      </c>
      <c r="BD5295" s="2" t="s">
        <v>82</v>
      </c>
      <c r="BE5295" s="2">
        <v>13</v>
      </c>
      <c r="BF5295" s="2" t="s">
        <v>108</v>
      </c>
      <c r="BG5295" s="2" t="s">
        <v>12869</v>
      </c>
      <c r="BH5295" s="4">
        <v>0.54861111111111105</v>
      </c>
      <c r="BI5295" s="2"/>
      <c r="BJ5295" s="2">
        <v>13</v>
      </c>
      <c r="BK5295" s="2" t="s">
        <v>91</v>
      </c>
      <c r="BL5295" s="2" t="s">
        <v>524</v>
      </c>
      <c r="BM5295" s="2">
        <v>13</v>
      </c>
      <c r="BN5295" s="2" t="s">
        <v>91</v>
      </c>
      <c r="BO5295" s="2"/>
      <c r="BP5295" s="2">
        <v>13</v>
      </c>
      <c r="BQ5295" s="2" t="s">
        <v>91</v>
      </c>
      <c r="BR5295" s="2" t="s">
        <v>1353</v>
      </c>
      <c r="BS5295" s="3">
        <v>40535</v>
      </c>
      <c r="BT5295" s="4">
        <v>0.62788194444444445</v>
      </c>
    </row>
    <row r="5296" spans="1:72" x14ac:dyDescent="0.25">
      <c r="A5296" s="2">
        <v>8195</v>
      </c>
      <c r="B5296" s="2">
        <v>2010</v>
      </c>
      <c r="C5296" s="2" t="s">
        <v>819</v>
      </c>
      <c r="D5296" s="2" t="s">
        <v>73</v>
      </c>
      <c r="E5296" s="2"/>
      <c r="F5296" s="2">
        <v>403</v>
      </c>
      <c r="G5296" s="2" t="s">
        <v>1364</v>
      </c>
      <c r="H5296" s="2">
        <v>149</v>
      </c>
      <c r="I5296" s="2" t="s">
        <v>14672</v>
      </c>
      <c r="J5296" s="2">
        <v>763</v>
      </c>
      <c r="K5296" s="2" t="s">
        <v>16189</v>
      </c>
      <c r="L5296" s="2" t="s">
        <v>14782</v>
      </c>
      <c r="M5296" s="3">
        <v>40535</v>
      </c>
      <c r="N5296" s="2" t="s">
        <v>16190</v>
      </c>
      <c r="O5296" s="2" t="s">
        <v>16191</v>
      </c>
      <c r="P5296" s="2">
        <v>2105</v>
      </c>
      <c r="Q5296" s="2" t="str">
        <f>""</f>
        <v/>
      </c>
      <c r="R5296" s="2"/>
      <c r="S5296" s="2"/>
      <c r="T5296" s="2">
        <v>1</v>
      </c>
      <c r="U5296" s="2" t="s">
        <v>79</v>
      </c>
      <c r="V5296" s="2">
        <v>3</v>
      </c>
      <c r="W5296" s="2" t="s">
        <v>225</v>
      </c>
      <c r="X5296" s="2">
        <v>6</v>
      </c>
      <c r="Y5296" s="2" t="s">
        <v>249</v>
      </c>
      <c r="Z5296" s="2">
        <v>1</v>
      </c>
      <c r="AA5296" s="2" t="s">
        <v>82</v>
      </c>
      <c r="AB5296" s="2">
        <v>9</v>
      </c>
      <c r="AC5296" s="2" t="s">
        <v>124</v>
      </c>
      <c r="AD5296" s="3">
        <v>40535</v>
      </c>
      <c r="AE5296" s="2"/>
      <c r="AF5296" s="3">
        <v>40535</v>
      </c>
      <c r="AG5296" s="2"/>
      <c r="AH5296" s="2">
        <v>2</v>
      </c>
      <c r="AI5296" s="2" t="s">
        <v>84</v>
      </c>
      <c r="AJ5296" s="2">
        <v>6</v>
      </c>
      <c r="AK5296" s="2" t="s">
        <v>453</v>
      </c>
      <c r="AL5296" s="2">
        <v>16</v>
      </c>
      <c r="AM5296" s="2" t="s">
        <v>392</v>
      </c>
      <c r="AN5296" s="2" t="s">
        <v>12942</v>
      </c>
      <c r="AO5296" s="2" t="s">
        <v>16192</v>
      </c>
      <c r="AP5296" s="2">
        <v>11</v>
      </c>
      <c r="AQ5296" s="2" t="s">
        <v>82</v>
      </c>
      <c r="AR5296" s="2"/>
      <c r="AS5296" s="2"/>
      <c r="AT5296" s="2" t="s">
        <v>16193</v>
      </c>
      <c r="AU5296" s="2"/>
      <c r="AV5296" s="2"/>
      <c r="AW5296" s="2"/>
      <c r="AX5296" s="2"/>
      <c r="AY5296" s="2">
        <v>41</v>
      </c>
      <c r="AZ5296" s="2" t="s">
        <v>82</v>
      </c>
      <c r="BA5296" s="2">
        <v>41</v>
      </c>
      <c r="BB5296" s="2" t="s">
        <v>82</v>
      </c>
      <c r="BC5296" s="2">
        <v>41</v>
      </c>
      <c r="BD5296" s="2" t="s">
        <v>82</v>
      </c>
      <c r="BE5296" s="2">
        <v>41</v>
      </c>
      <c r="BF5296" s="2" t="s">
        <v>82</v>
      </c>
      <c r="BG5296" s="2"/>
      <c r="BH5296" s="2"/>
      <c r="BI5296" s="2"/>
      <c r="BJ5296" s="2">
        <v>241</v>
      </c>
      <c r="BK5296" s="2" t="s">
        <v>82</v>
      </c>
      <c r="BL5296" s="2"/>
      <c r="BM5296" s="2">
        <v>241</v>
      </c>
      <c r="BN5296" s="2" t="s">
        <v>82</v>
      </c>
      <c r="BO5296" s="2"/>
      <c r="BP5296" s="2">
        <v>241</v>
      </c>
      <c r="BQ5296" s="2" t="s">
        <v>82</v>
      </c>
      <c r="BR5296" s="2"/>
      <c r="BS5296" s="3">
        <v>40535</v>
      </c>
      <c r="BT5296" s="4">
        <v>0.63569444444444445</v>
      </c>
    </row>
    <row r="5297" spans="1:72" x14ac:dyDescent="0.25">
      <c r="A5297" s="2">
        <v>8197</v>
      </c>
      <c r="B5297" s="2">
        <v>2010</v>
      </c>
      <c r="C5297" s="2" t="s">
        <v>1017</v>
      </c>
      <c r="D5297" s="2" t="s">
        <v>73</v>
      </c>
      <c r="E5297" s="2"/>
      <c r="F5297" s="2">
        <v>393</v>
      </c>
      <c r="G5297" s="2" t="s">
        <v>3660</v>
      </c>
      <c r="H5297" s="2">
        <v>3</v>
      </c>
      <c r="I5297" s="2" t="s">
        <v>315</v>
      </c>
      <c r="J5297" s="2">
        <v>2</v>
      </c>
      <c r="K5297" s="2" t="s">
        <v>3661</v>
      </c>
      <c r="L5297" s="2" t="s">
        <v>3662</v>
      </c>
      <c r="M5297" s="3">
        <v>40535</v>
      </c>
      <c r="N5297" s="2" t="s">
        <v>16194</v>
      </c>
      <c r="O5297" s="2"/>
      <c r="P5297" s="2"/>
      <c r="Q5297" s="2" t="str">
        <f>"686-E/10"</f>
        <v>686-E/10</v>
      </c>
      <c r="R5297" s="2"/>
      <c r="S5297" s="2" t="s">
        <v>16195</v>
      </c>
      <c r="T5297" s="2">
        <v>1</v>
      </c>
      <c r="U5297" s="2" t="s">
        <v>79</v>
      </c>
      <c r="V5297" s="2">
        <v>1</v>
      </c>
      <c r="W5297" s="2" t="s">
        <v>80</v>
      </c>
      <c r="X5297" s="2">
        <v>10</v>
      </c>
      <c r="Y5297" s="2" t="s">
        <v>226</v>
      </c>
      <c r="Z5297" s="2">
        <v>19</v>
      </c>
      <c r="AA5297" s="2" t="s">
        <v>3562</v>
      </c>
      <c r="AB5297" s="2">
        <v>7</v>
      </c>
      <c r="AC5297" s="2" t="s">
        <v>1023</v>
      </c>
      <c r="AD5297" s="3">
        <v>40534</v>
      </c>
      <c r="AE5297" s="4">
        <v>0.41666666666666669</v>
      </c>
      <c r="AF5297" s="3">
        <v>40534</v>
      </c>
      <c r="AG5297" s="4">
        <v>0.6875</v>
      </c>
      <c r="AH5297" s="2">
        <v>2</v>
      </c>
      <c r="AI5297" s="2" t="s">
        <v>84</v>
      </c>
      <c r="AJ5297" s="2">
        <v>9</v>
      </c>
      <c r="AK5297" s="2" t="s">
        <v>103</v>
      </c>
      <c r="AL5297" s="2">
        <v>14</v>
      </c>
      <c r="AM5297" s="2" t="s">
        <v>216</v>
      </c>
      <c r="AN5297" s="2" t="s">
        <v>16196</v>
      </c>
      <c r="AO5297" s="2"/>
      <c r="AP5297" s="2">
        <v>11</v>
      </c>
      <c r="AQ5297" s="2" t="s">
        <v>82</v>
      </c>
      <c r="AR5297" s="2"/>
      <c r="AS5297" s="2"/>
      <c r="AT5297" s="2" t="s">
        <v>16197</v>
      </c>
      <c r="AU5297" s="2"/>
      <c r="AV5297" s="2"/>
      <c r="AW5297" s="2"/>
      <c r="AX5297" s="2"/>
      <c r="AY5297" s="2">
        <v>41</v>
      </c>
      <c r="AZ5297" s="2" t="s">
        <v>82</v>
      </c>
      <c r="BA5297" s="2">
        <v>97</v>
      </c>
      <c r="BB5297" s="2" t="s">
        <v>3562</v>
      </c>
      <c r="BC5297" s="2">
        <v>41</v>
      </c>
      <c r="BD5297" s="2" t="s">
        <v>82</v>
      </c>
      <c r="BE5297" s="2">
        <v>27</v>
      </c>
      <c r="BF5297" s="2" t="s">
        <v>2197</v>
      </c>
      <c r="BG5297" s="2" t="s">
        <v>8346</v>
      </c>
      <c r="BH5297" s="4">
        <v>0.33333333333333331</v>
      </c>
      <c r="BI5297" s="2"/>
      <c r="BJ5297" s="2">
        <v>112</v>
      </c>
      <c r="BK5297" s="2" t="s">
        <v>110</v>
      </c>
      <c r="BL5297" s="2" t="s">
        <v>111</v>
      </c>
      <c r="BM5297" s="2">
        <v>13</v>
      </c>
      <c r="BN5297" s="2" t="s">
        <v>91</v>
      </c>
      <c r="BO5297" s="2"/>
      <c r="BP5297" s="2">
        <v>13</v>
      </c>
      <c r="BQ5297" s="2" t="s">
        <v>91</v>
      </c>
      <c r="BR5297" s="2" t="s">
        <v>360</v>
      </c>
      <c r="BS5297" s="3">
        <v>40535</v>
      </c>
      <c r="BT5297" s="4">
        <v>0.6459259259259259</v>
      </c>
    </row>
    <row r="5298" spans="1:72" x14ac:dyDescent="0.25">
      <c r="A5298" s="2">
        <v>8199</v>
      </c>
      <c r="B5298" s="2">
        <v>2010</v>
      </c>
      <c r="C5298" s="2" t="s">
        <v>171</v>
      </c>
      <c r="D5298" s="2" t="s">
        <v>73</v>
      </c>
      <c r="E5298" s="2"/>
      <c r="F5298" s="2">
        <v>385</v>
      </c>
      <c r="G5298" s="2" t="s">
        <v>990</v>
      </c>
      <c r="H5298" s="2">
        <v>7</v>
      </c>
      <c r="I5298" s="2" t="s">
        <v>476</v>
      </c>
      <c r="J5298" s="2">
        <v>332</v>
      </c>
      <c r="K5298" s="2" t="s">
        <v>913</v>
      </c>
      <c r="L5298" s="2" t="s">
        <v>914</v>
      </c>
      <c r="M5298" s="3">
        <v>40535</v>
      </c>
      <c r="N5298" s="2" t="s">
        <v>16198</v>
      </c>
      <c r="O5298" s="2" t="s">
        <v>16199</v>
      </c>
      <c r="P5298" s="2"/>
      <c r="Q5298" s="2" t="str">
        <f>"0014/10"</f>
        <v>0014/10</v>
      </c>
      <c r="R5298" s="2" t="s">
        <v>16199</v>
      </c>
      <c r="S5298" s="2"/>
      <c r="T5298" s="2">
        <v>1</v>
      </c>
      <c r="U5298" s="2" t="s">
        <v>79</v>
      </c>
      <c r="V5298" s="2">
        <v>1</v>
      </c>
      <c r="W5298" s="2" t="s">
        <v>80</v>
      </c>
      <c r="X5298" s="2">
        <v>1</v>
      </c>
      <c r="Y5298" s="2" t="s">
        <v>81</v>
      </c>
      <c r="Z5298" s="2">
        <v>1</v>
      </c>
      <c r="AA5298" s="2" t="s">
        <v>82</v>
      </c>
      <c r="AB5298" s="2">
        <v>1</v>
      </c>
      <c r="AC5298" s="2" t="s">
        <v>178</v>
      </c>
      <c r="AD5298" s="3">
        <v>40535</v>
      </c>
      <c r="AE5298" s="4">
        <v>0.52083333333333337</v>
      </c>
      <c r="AF5298" s="3">
        <v>40535</v>
      </c>
      <c r="AG5298" s="4">
        <v>0.57291666666666663</v>
      </c>
      <c r="AH5298" s="2">
        <v>5</v>
      </c>
      <c r="AI5298" s="2" t="s">
        <v>274</v>
      </c>
      <c r="AJ5298" s="2">
        <v>43</v>
      </c>
      <c r="AK5298" s="2" t="s">
        <v>918</v>
      </c>
      <c r="AL5298" s="2">
        <v>11</v>
      </c>
      <c r="AM5298" s="2" t="s">
        <v>137</v>
      </c>
      <c r="AN5298" s="2" t="s">
        <v>7968</v>
      </c>
      <c r="AO5298" s="2"/>
      <c r="AP5298" s="2">
        <v>11</v>
      </c>
      <c r="AQ5298" s="2" t="s">
        <v>82</v>
      </c>
      <c r="AR5298" s="2"/>
      <c r="AS5298" s="2"/>
      <c r="AT5298" s="2" t="s">
        <v>16200</v>
      </c>
      <c r="AU5298" s="2"/>
      <c r="AV5298" s="2"/>
      <c r="AW5298" s="2"/>
      <c r="AX5298" s="2"/>
      <c r="AY5298" s="2">
        <v>41</v>
      </c>
      <c r="AZ5298" s="2" t="s">
        <v>82</v>
      </c>
      <c r="BA5298" s="2">
        <v>41</v>
      </c>
      <c r="BB5298" s="2" t="s">
        <v>82</v>
      </c>
      <c r="BC5298" s="2">
        <v>41</v>
      </c>
      <c r="BD5298" s="2" t="s">
        <v>82</v>
      </c>
      <c r="BE5298" s="2">
        <v>47</v>
      </c>
      <c r="BF5298" s="2" t="s">
        <v>167</v>
      </c>
      <c r="BG5298" s="2">
        <v>2752</v>
      </c>
      <c r="BH5298" s="4">
        <v>0.52083333333333337</v>
      </c>
      <c r="BI5298" s="4">
        <v>0.54166666666666663</v>
      </c>
      <c r="BJ5298" s="2">
        <v>13</v>
      </c>
      <c r="BK5298" s="2" t="s">
        <v>91</v>
      </c>
      <c r="BL5298" s="2" t="s">
        <v>1467</v>
      </c>
      <c r="BM5298" s="2">
        <v>13</v>
      </c>
      <c r="BN5298" s="2" t="s">
        <v>91</v>
      </c>
      <c r="BO5298" s="2"/>
      <c r="BP5298" s="2">
        <v>13</v>
      </c>
      <c r="BQ5298" s="2" t="s">
        <v>91</v>
      </c>
      <c r="BR5298" s="2" t="s">
        <v>170</v>
      </c>
      <c r="BS5298" s="3">
        <v>40535</v>
      </c>
      <c r="BT5298" s="4">
        <v>0.68718749999999995</v>
      </c>
    </row>
    <row r="5299" spans="1:72" x14ac:dyDescent="0.25">
      <c r="A5299" s="2">
        <v>8200</v>
      </c>
      <c r="B5299" s="2">
        <v>2010</v>
      </c>
      <c r="C5299" s="2" t="s">
        <v>171</v>
      </c>
      <c r="D5299" s="2" t="s">
        <v>73</v>
      </c>
      <c r="E5299" s="2" t="s">
        <v>16201</v>
      </c>
      <c r="F5299" s="2">
        <v>475</v>
      </c>
      <c r="G5299" s="2" t="s">
        <v>1271</v>
      </c>
      <c r="H5299" s="2">
        <v>3</v>
      </c>
      <c r="I5299" s="2" t="s">
        <v>315</v>
      </c>
      <c r="J5299" s="2">
        <v>385</v>
      </c>
      <c r="K5299" s="2" t="s">
        <v>1314</v>
      </c>
      <c r="L5299" s="2" t="s">
        <v>1315</v>
      </c>
      <c r="M5299" s="3">
        <v>40535</v>
      </c>
      <c r="N5299" s="2" t="s">
        <v>1757</v>
      </c>
      <c r="O5299" s="2" t="s">
        <v>16202</v>
      </c>
      <c r="P5299" s="2" t="s">
        <v>16203</v>
      </c>
      <c r="Q5299" s="2" t="str">
        <f>"0057/2010"</f>
        <v>0057/2010</v>
      </c>
      <c r="R5299" s="2"/>
      <c r="S5299" s="2"/>
      <c r="T5299" s="2">
        <v>1</v>
      </c>
      <c r="U5299" s="2" t="s">
        <v>79</v>
      </c>
      <c r="V5299" s="2">
        <v>1</v>
      </c>
      <c r="W5299" s="2" t="s">
        <v>80</v>
      </c>
      <c r="X5299" s="2">
        <v>1</v>
      </c>
      <c r="Y5299" s="2" t="s">
        <v>81</v>
      </c>
      <c r="Z5299" s="2">
        <v>1</v>
      </c>
      <c r="AA5299" s="2" t="s">
        <v>82</v>
      </c>
      <c r="AB5299" s="2">
        <v>1</v>
      </c>
      <c r="AC5299" s="2" t="s">
        <v>178</v>
      </c>
      <c r="AD5299" s="3">
        <v>40534</v>
      </c>
      <c r="AE5299" s="4">
        <v>0.72916666666666663</v>
      </c>
      <c r="AF5299" s="3">
        <v>40535</v>
      </c>
      <c r="AG5299" s="4">
        <v>0.54166666666666663</v>
      </c>
      <c r="AH5299" s="2">
        <v>5</v>
      </c>
      <c r="AI5299" s="2" t="s">
        <v>274</v>
      </c>
      <c r="AJ5299" s="2">
        <v>42</v>
      </c>
      <c r="AK5299" s="2" t="s">
        <v>660</v>
      </c>
      <c r="AL5299" s="2">
        <v>25</v>
      </c>
      <c r="AM5299" s="2" t="s">
        <v>3073</v>
      </c>
      <c r="AN5299" s="2" t="s">
        <v>179</v>
      </c>
      <c r="AO5299" s="2" t="s">
        <v>15749</v>
      </c>
      <c r="AP5299" s="2">
        <v>5</v>
      </c>
      <c r="AQ5299" s="2" t="s">
        <v>827</v>
      </c>
      <c r="AR5299" s="2" t="s">
        <v>16204</v>
      </c>
      <c r="AS5299" s="2" t="s">
        <v>16205</v>
      </c>
      <c r="AT5299" s="2" t="s">
        <v>16206</v>
      </c>
      <c r="AU5299" s="2"/>
      <c r="AV5299" s="2"/>
      <c r="AW5299" s="2"/>
      <c r="AX5299" s="2"/>
      <c r="AY5299" s="2">
        <v>41</v>
      </c>
      <c r="AZ5299" s="2" t="s">
        <v>82</v>
      </c>
      <c r="BA5299" s="2">
        <v>41</v>
      </c>
      <c r="BB5299" s="2" t="s">
        <v>82</v>
      </c>
      <c r="BC5299" s="2">
        <v>41</v>
      </c>
      <c r="BD5299" s="2" t="s">
        <v>82</v>
      </c>
      <c r="BE5299" s="2">
        <v>13</v>
      </c>
      <c r="BF5299" s="2" t="s">
        <v>108</v>
      </c>
      <c r="BG5299" s="2">
        <v>1789</v>
      </c>
      <c r="BH5299" s="4">
        <v>0.77083333333333337</v>
      </c>
      <c r="BI5299" s="4">
        <v>0.81944444444444453</v>
      </c>
      <c r="BJ5299" s="2">
        <v>13</v>
      </c>
      <c r="BK5299" s="2" t="s">
        <v>91</v>
      </c>
      <c r="BL5299" s="2" t="s">
        <v>16207</v>
      </c>
      <c r="BM5299" s="2">
        <v>13</v>
      </c>
      <c r="BN5299" s="2" t="s">
        <v>91</v>
      </c>
      <c r="BO5299" s="2"/>
      <c r="BP5299" s="2">
        <v>13</v>
      </c>
      <c r="BQ5299" s="2" t="s">
        <v>91</v>
      </c>
      <c r="BR5299" s="2" t="s">
        <v>170</v>
      </c>
      <c r="BS5299" s="3">
        <v>40535</v>
      </c>
      <c r="BT5299" s="4">
        <v>0.76604166666666673</v>
      </c>
    </row>
    <row r="5300" spans="1:72" x14ac:dyDescent="0.25">
      <c r="A5300" s="2">
        <v>8201</v>
      </c>
      <c r="B5300" s="2">
        <v>2010</v>
      </c>
      <c r="C5300" s="2" t="s">
        <v>764</v>
      </c>
      <c r="D5300" s="2" t="s">
        <v>73</v>
      </c>
      <c r="E5300" s="2"/>
      <c r="F5300" s="2">
        <v>125</v>
      </c>
      <c r="G5300" s="2" t="s">
        <v>1483</v>
      </c>
      <c r="H5300" s="2">
        <v>49</v>
      </c>
      <c r="I5300" s="2" t="s">
        <v>1484</v>
      </c>
      <c r="J5300" s="2">
        <v>139</v>
      </c>
      <c r="K5300" s="2" t="s">
        <v>1485</v>
      </c>
      <c r="L5300" s="2" t="s">
        <v>1486</v>
      </c>
      <c r="M5300" s="3">
        <v>40535</v>
      </c>
      <c r="N5300" s="2" t="s">
        <v>5390</v>
      </c>
      <c r="O5300" s="2" t="s">
        <v>82</v>
      </c>
      <c r="P5300" s="2" t="s">
        <v>82</v>
      </c>
      <c r="Q5300" s="2" t="str">
        <f>"024/2010"</f>
        <v>024/2010</v>
      </c>
      <c r="R5300" s="2" t="s">
        <v>16208</v>
      </c>
      <c r="S5300" s="2" t="s">
        <v>16208</v>
      </c>
      <c r="T5300" s="2">
        <v>1</v>
      </c>
      <c r="U5300" s="2" t="s">
        <v>79</v>
      </c>
      <c r="V5300" s="2">
        <v>1</v>
      </c>
      <c r="W5300" s="2" t="s">
        <v>80</v>
      </c>
      <c r="X5300" s="2">
        <v>1</v>
      </c>
      <c r="Y5300" s="2" t="s">
        <v>81</v>
      </c>
      <c r="Z5300" s="2">
        <v>10</v>
      </c>
      <c r="AA5300" s="2" t="s">
        <v>236</v>
      </c>
      <c r="AB5300" s="2">
        <v>9</v>
      </c>
      <c r="AC5300" s="2" t="s">
        <v>124</v>
      </c>
      <c r="AD5300" s="3">
        <v>40535</v>
      </c>
      <c r="AE5300" s="4">
        <v>0.54166666666666663</v>
      </c>
      <c r="AF5300" s="3">
        <v>40535</v>
      </c>
      <c r="AG5300" s="4">
        <v>0.58333333333333337</v>
      </c>
      <c r="AH5300" s="2">
        <v>6</v>
      </c>
      <c r="AI5300" s="2" t="s">
        <v>197</v>
      </c>
      <c r="AJ5300" s="2">
        <v>61</v>
      </c>
      <c r="AK5300" s="2" t="s">
        <v>686</v>
      </c>
      <c r="AL5300" s="2">
        <v>25</v>
      </c>
      <c r="AM5300" s="2" t="s">
        <v>3073</v>
      </c>
      <c r="AN5300" s="2" t="s">
        <v>16209</v>
      </c>
      <c r="AO5300" s="2" t="s">
        <v>7347</v>
      </c>
      <c r="AP5300" s="2">
        <v>11</v>
      </c>
      <c r="AQ5300" s="2" t="s">
        <v>82</v>
      </c>
      <c r="AR5300" s="2" t="s">
        <v>82</v>
      </c>
      <c r="AS5300" s="2" t="s">
        <v>82</v>
      </c>
      <c r="AT5300" s="2" t="s">
        <v>16210</v>
      </c>
      <c r="AU5300" s="2"/>
      <c r="AV5300" s="2"/>
      <c r="AW5300" s="2"/>
      <c r="AX5300" s="2"/>
      <c r="AY5300" s="2">
        <v>41</v>
      </c>
      <c r="AZ5300" s="2" t="s">
        <v>82</v>
      </c>
      <c r="BA5300" s="2">
        <v>41</v>
      </c>
      <c r="BB5300" s="2" t="s">
        <v>82</v>
      </c>
      <c r="BC5300" s="2">
        <v>41</v>
      </c>
      <c r="BD5300" s="2" t="s">
        <v>82</v>
      </c>
      <c r="BE5300" s="2">
        <v>13</v>
      </c>
      <c r="BF5300" s="2" t="s">
        <v>108</v>
      </c>
      <c r="BG5300" s="2">
        <v>1848</v>
      </c>
      <c r="BH5300" s="4">
        <v>0.54166666666666663</v>
      </c>
      <c r="BI5300" s="4">
        <v>0.57986111111111105</v>
      </c>
      <c r="BJ5300" s="2">
        <v>13</v>
      </c>
      <c r="BK5300" s="2" t="s">
        <v>91</v>
      </c>
      <c r="BL5300" s="2" t="s">
        <v>185</v>
      </c>
      <c r="BM5300" s="2">
        <v>13</v>
      </c>
      <c r="BN5300" s="2" t="s">
        <v>91</v>
      </c>
      <c r="BO5300" s="2"/>
      <c r="BP5300" s="2">
        <v>13</v>
      </c>
      <c r="BQ5300" s="2" t="s">
        <v>91</v>
      </c>
      <c r="BR5300" s="2" t="s">
        <v>690</v>
      </c>
      <c r="BS5300" s="3">
        <v>40535</v>
      </c>
      <c r="BT5300" s="4">
        <v>0.76606481481481481</v>
      </c>
    </row>
    <row r="5301" spans="1:72" x14ac:dyDescent="0.25">
      <c r="A5301" s="2">
        <v>8203</v>
      </c>
      <c r="B5301" s="2">
        <v>2010</v>
      </c>
      <c r="C5301" s="2" t="s">
        <v>72</v>
      </c>
      <c r="D5301" s="2" t="s">
        <v>73</v>
      </c>
      <c r="E5301" s="2"/>
      <c r="F5301" s="2">
        <v>174</v>
      </c>
      <c r="G5301" s="2" t="s">
        <v>9090</v>
      </c>
      <c r="H5301" s="2">
        <v>160</v>
      </c>
      <c r="I5301" s="2" t="s">
        <v>16211</v>
      </c>
      <c r="J5301" s="2">
        <v>182</v>
      </c>
      <c r="K5301" s="2" t="s">
        <v>8850</v>
      </c>
      <c r="L5301" s="2" t="s">
        <v>8851</v>
      </c>
      <c r="M5301" s="3">
        <v>40535</v>
      </c>
      <c r="N5301" s="2" t="s">
        <v>16212</v>
      </c>
      <c r="O5301" s="2" t="s">
        <v>82</v>
      </c>
      <c r="P5301" s="2" t="s">
        <v>82</v>
      </c>
      <c r="Q5301" s="2" t="str">
        <f>"471-A/10"</f>
        <v>471-A/10</v>
      </c>
      <c r="R5301" s="2" t="s">
        <v>671</v>
      </c>
      <c r="S5301" s="2" t="s">
        <v>671</v>
      </c>
      <c r="T5301" s="2">
        <v>1</v>
      </c>
      <c r="U5301" s="2" t="s">
        <v>79</v>
      </c>
      <c r="V5301" s="2">
        <v>1</v>
      </c>
      <c r="W5301" s="2" t="s">
        <v>80</v>
      </c>
      <c r="X5301" s="2">
        <v>12</v>
      </c>
      <c r="Y5301" s="2" t="s">
        <v>148</v>
      </c>
      <c r="Z5301" s="2">
        <v>1</v>
      </c>
      <c r="AA5301" s="2" t="s">
        <v>82</v>
      </c>
      <c r="AB5301" s="2">
        <v>6</v>
      </c>
      <c r="AC5301" s="2" t="s">
        <v>83</v>
      </c>
      <c r="AD5301" s="3">
        <v>40535</v>
      </c>
      <c r="AE5301" s="2"/>
      <c r="AF5301" s="3">
        <v>40535</v>
      </c>
      <c r="AG5301" s="4">
        <v>0.5625</v>
      </c>
      <c r="AH5301" s="2">
        <v>2</v>
      </c>
      <c r="AI5301" s="2" t="s">
        <v>84</v>
      </c>
      <c r="AJ5301" s="2">
        <v>12</v>
      </c>
      <c r="AK5301" s="2" t="s">
        <v>85</v>
      </c>
      <c r="AL5301" s="2">
        <v>12</v>
      </c>
      <c r="AM5301" s="2" t="s">
        <v>86</v>
      </c>
      <c r="AN5301" s="2" t="s">
        <v>1945</v>
      </c>
      <c r="AO5301" s="2" t="s">
        <v>16213</v>
      </c>
      <c r="AP5301" s="2">
        <v>11</v>
      </c>
      <c r="AQ5301" s="2" t="s">
        <v>82</v>
      </c>
      <c r="AR5301" s="2"/>
      <c r="AS5301" s="2"/>
      <c r="AT5301" s="2" t="s">
        <v>16214</v>
      </c>
      <c r="AU5301" s="2">
        <v>2</v>
      </c>
      <c r="AV5301" s="2"/>
      <c r="AW5301" s="2"/>
      <c r="AX5301" s="2"/>
      <c r="AY5301" s="2">
        <v>41</v>
      </c>
      <c r="AZ5301" s="2" t="s">
        <v>82</v>
      </c>
      <c r="BA5301" s="2">
        <v>44</v>
      </c>
      <c r="BB5301" s="2" t="s">
        <v>262</v>
      </c>
      <c r="BC5301" s="2">
        <v>41</v>
      </c>
      <c r="BD5301" s="2" t="s">
        <v>82</v>
      </c>
      <c r="BE5301" s="2">
        <v>41</v>
      </c>
      <c r="BF5301" s="2" t="s">
        <v>82</v>
      </c>
      <c r="BG5301" s="2"/>
      <c r="BH5301" s="2"/>
      <c r="BI5301" s="2"/>
      <c r="BJ5301" s="2">
        <v>241</v>
      </c>
      <c r="BK5301" s="2" t="s">
        <v>82</v>
      </c>
      <c r="BL5301" s="2"/>
      <c r="BM5301" s="2">
        <v>241</v>
      </c>
      <c r="BN5301" s="2" t="s">
        <v>82</v>
      </c>
      <c r="BO5301" s="2"/>
      <c r="BP5301" s="2">
        <v>241</v>
      </c>
      <c r="BQ5301" s="2" t="s">
        <v>82</v>
      </c>
      <c r="BR5301" s="2"/>
      <c r="BS5301" s="3">
        <v>40535</v>
      </c>
      <c r="BT5301" s="4">
        <v>0.83737268518518515</v>
      </c>
    </row>
    <row r="5302" spans="1:72" x14ac:dyDescent="0.25">
      <c r="A5302" s="2">
        <v>8204</v>
      </c>
      <c r="B5302" s="2">
        <v>2010</v>
      </c>
      <c r="C5302" s="2" t="s">
        <v>764</v>
      </c>
      <c r="D5302" s="2" t="s">
        <v>73</v>
      </c>
      <c r="E5302" s="2"/>
      <c r="F5302" s="2">
        <v>125</v>
      </c>
      <c r="G5302" s="2" t="s">
        <v>1483</v>
      </c>
      <c r="H5302" s="2">
        <v>49</v>
      </c>
      <c r="I5302" s="2" t="s">
        <v>1484</v>
      </c>
      <c r="J5302" s="2">
        <v>139</v>
      </c>
      <c r="K5302" s="2" t="s">
        <v>1485</v>
      </c>
      <c r="L5302" s="2" t="s">
        <v>1486</v>
      </c>
      <c r="M5302" s="3">
        <v>40535</v>
      </c>
      <c r="N5302" s="2" t="s">
        <v>5390</v>
      </c>
      <c r="O5302" s="2" t="s">
        <v>82</v>
      </c>
      <c r="P5302" s="2" t="s">
        <v>82</v>
      </c>
      <c r="Q5302" s="2" t="str">
        <f>"0023/2010"</f>
        <v>0023/2010</v>
      </c>
      <c r="R5302" s="2" t="s">
        <v>16215</v>
      </c>
      <c r="S5302" s="2" t="s">
        <v>16215</v>
      </c>
      <c r="T5302" s="2">
        <v>1</v>
      </c>
      <c r="U5302" s="2" t="s">
        <v>79</v>
      </c>
      <c r="V5302" s="2">
        <v>1</v>
      </c>
      <c r="W5302" s="2" t="s">
        <v>80</v>
      </c>
      <c r="X5302" s="2">
        <v>1</v>
      </c>
      <c r="Y5302" s="2" t="s">
        <v>81</v>
      </c>
      <c r="Z5302" s="2">
        <v>10</v>
      </c>
      <c r="AA5302" s="2" t="s">
        <v>236</v>
      </c>
      <c r="AB5302" s="2">
        <v>9</v>
      </c>
      <c r="AC5302" s="2" t="s">
        <v>124</v>
      </c>
      <c r="AD5302" s="3">
        <v>40535</v>
      </c>
      <c r="AE5302" s="4">
        <v>0.54166666666666663</v>
      </c>
      <c r="AF5302" s="3">
        <v>40535</v>
      </c>
      <c r="AG5302" s="4">
        <v>0.58333333333333337</v>
      </c>
      <c r="AH5302" s="2">
        <v>6</v>
      </c>
      <c r="AI5302" s="2" t="s">
        <v>197</v>
      </c>
      <c r="AJ5302" s="2">
        <v>61</v>
      </c>
      <c r="AK5302" s="2" t="s">
        <v>686</v>
      </c>
      <c r="AL5302" s="2">
        <v>25</v>
      </c>
      <c r="AM5302" s="2" t="s">
        <v>3073</v>
      </c>
      <c r="AN5302" s="2" t="s">
        <v>16209</v>
      </c>
      <c r="AO5302" s="2" t="s">
        <v>7347</v>
      </c>
      <c r="AP5302" s="2">
        <v>11</v>
      </c>
      <c r="AQ5302" s="2" t="s">
        <v>82</v>
      </c>
      <c r="AR5302" s="2" t="s">
        <v>82</v>
      </c>
      <c r="AS5302" s="2" t="s">
        <v>82</v>
      </c>
      <c r="AT5302" s="2" t="s">
        <v>16216</v>
      </c>
      <c r="AU5302" s="2"/>
      <c r="AV5302" s="2"/>
      <c r="AW5302" s="2"/>
      <c r="AX5302" s="2"/>
      <c r="AY5302" s="2">
        <v>41</v>
      </c>
      <c r="AZ5302" s="2" t="s">
        <v>82</v>
      </c>
      <c r="BA5302" s="2">
        <v>41</v>
      </c>
      <c r="BB5302" s="2" t="s">
        <v>82</v>
      </c>
      <c r="BC5302" s="2">
        <v>41</v>
      </c>
      <c r="BD5302" s="2" t="s">
        <v>82</v>
      </c>
      <c r="BE5302" s="2">
        <v>13</v>
      </c>
      <c r="BF5302" s="2" t="s">
        <v>108</v>
      </c>
      <c r="BG5302" s="2" t="s">
        <v>15796</v>
      </c>
      <c r="BH5302" s="4">
        <v>0.53819444444444442</v>
      </c>
      <c r="BI5302" s="4">
        <v>0.57986111111111105</v>
      </c>
      <c r="BJ5302" s="2">
        <v>13</v>
      </c>
      <c r="BK5302" s="2" t="s">
        <v>91</v>
      </c>
      <c r="BL5302" s="2" t="s">
        <v>185</v>
      </c>
      <c r="BM5302" s="2">
        <v>13</v>
      </c>
      <c r="BN5302" s="2" t="s">
        <v>91</v>
      </c>
      <c r="BO5302" s="2"/>
      <c r="BP5302" s="2">
        <v>13</v>
      </c>
      <c r="BQ5302" s="2" t="s">
        <v>91</v>
      </c>
      <c r="BR5302" s="2" t="s">
        <v>690</v>
      </c>
      <c r="BS5302" s="3">
        <v>40535</v>
      </c>
      <c r="BT5302" s="4">
        <v>0.85802083333333334</v>
      </c>
    </row>
    <row r="5303" spans="1:72" x14ac:dyDescent="0.25">
      <c r="A5303" s="2">
        <v>8205</v>
      </c>
      <c r="B5303" s="2">
        <v>2010</v>
      </c>
      <c r="C5303" s="2" t="s">
        <v>93</v>
      </c>
      <c r="D5303" s="2" t="s">
        <v>73</v>
      </c>
      <c r="E5303" s="2"/>
      <c r="F5303" s="2">
        <v>134</v>
      </c>
      <c r="G5303" s="2" t="s">
        <v>8834</v>
      </c>
      <c r="H5303" s="2">
        <v>108</v>
      </c>
      <c r="I5303" s="2" t="s">
        <v>1096</v>
      </c>
      <c r="J5303" s="2">
        <v>151</v>
      </c>
      <c r="K5303" s="2" t="s">
        <v>1485</v>
      </c>
      <c r="L5303" s="2" t="s">
        <v>1626</v>
      </c>
      <c r="M5303" s="3">
        <v>40535</v>
      </c>
      <c r="N5303" s="2" t="s">
        <v>16217</v>
      </c>
      <c r="O5303" s="2" t="s">
        <v>16218</v>
      </c>
      <c r="P5303" s="2" t="s">
        <v>16219</v>
      </c>
      <c r="Q5303" s="2" t="str">
        <f>"AP 0068/10"</f>
        <v>AP 0068/10</v>
      </c>
      <c r="R5303" s="2" t="s">
        <v>16220</v>
      </c>
      <c r="S5303" s="2"/>
      <c r="T5303" s="2">
        <v>1</v>
      </c>
      <c r="U5303" s="2" t="s">
        <v>79</v>
      </c>
      <c r="V5303" s="2">
        <v>1</v>
      </c>
      <c r="W5303" s="2" t="s">
        <v>80</v>
      </c>
      <c r="X5303" s="2">
        <v>1</v>
      </c>
      <c r="Y5303" s="2" t="s">
        <v>81</v>
      </c>
      <c r="Z5303" s="2">
        <v>1</v>
      </c>
      <c r="AA5303" s="2" t="s">
        <v>82</v>
      </c>
      <c r="AB5303" s="2">
        <v>2</v>
      </c>
      <c r="AC5303" s="2" t="s">
        <v>102</v>
      </c>
      <c r="AD5303" s="3">
        <v>40535</v>
      </c>
      <c r="AE5303" s="4">
        <v>0.82638888888888884</v>
      </c>
      <c r="AF5303" s="3">
        <v>40535</v>
      </c>
      <c r="AG5303" s="4">
        <v>0.82638888888888884</v>
      </c>
      <c r="AH5303" s="2">
        <v>6</v>
      </c>
      <c r="AI5303" s="2" t="s">
        <v>197</v>
      </c>
      <c r="AJ5303" s="2">
        <v>60</v>
      </c>
      <c r="AK5303" s="2" t="s">
        <v>543</v>
      </c>
      <c r="AL5303" s="2">
        <v>11</v>
      </c>
      <c r="AM5303" s="2" t="s">
        <v>137</v>
      </c>
      <c r="AN5303" s="2"/>
      <c r="AO5303" s="2" t="s">
        <v>16007</v>
      </c>
      <c r="AP5303" s="2">
        <v>11</v>
      </c>
      <c r="AQ5303" s="2" t="s">
        <v>82</v>
      </c>
      <c r="AR5303" s="2"/>
      <c r="AS5303" s="2"/>
      <c r="AT5303" s="2" t="s">
        <v>16221</v>
      </c>
      <c r="AU5303" s="2"/>
      <c r="AV5303" s="2"/>
      <c r="AW5303" s="2"/>
      <c r="AX5303" s="2"/>
      <c r="AY5303" s="2">
        <v>41</v>
      </c>
      <c r="AZ5303" s="2" t="s">
        <v>82</v>
      </c>
      <c r="BA5303" s="2">
        <v>41</v>
      </c>
      <c r="BB5303" s="2" t="s">
        <v>82</v>
      </c>
      <c r="BC5303" s="2">
        <v>41</v>
      </c>
      <c r="BD5303" s="2" t="s">
        <v>82</v>
      </c>
      <c r="BE5303" s="2">
        <v>13</v>
      </c>
      <c r="BF5303" s="2" t="s">
        <v>108</v>
      </c>
      <c r="BG5303" s="2" t="s">
        <v>12640</v>
      </c>
      <c r="BH5303" s="4">
        <v>0.83124999999999993</v>
      </c>
      <c r="BI5303" s="4">
        <v>0.85</v>
      </c>
      <c r="BJ5303" s="2">
        <v>13</v>
      </c>
      <c r="BK5303" s="2" t="s">
        <v>91</v>
      </c>
      <c r="BL5303" s="2" t="s">
        <v>895</v>
      </c>
      <c r="BM5303" s="2">
        <v>13</v>
      </c>
      <c r="BN5303" s="2" t="s">
        <v>91</v>
      </c>
      <c r="BO5303" s="2"/>
      <c r="BP5303" s="2">
        <v>13</v>
      </c>
      <c r="BQ5303" s="2" t="s">
        <v>91</v>
      </c>
      <c r="BR5303" s="2" t="s">
        <v>564</v>
      </c>
      <c r="BS5303" s="3">
        <v>40535</v>
      </c>
      <c r="BT5303" s="4">
        <v>0.86266203703703714</v>
      </c>
    </row>
    <row r="5304" spans="1:72" x14ac:dyDescent="0.25">
      <c r="A5304" s="2">
        <v>8207</v>
      </c>
      <c r="B5304" s="2">
        <v>2010</v>
      </c>
      <c r="C5304" s="2" t="s">
        <v>1568</v>
      </c>
      <c r="D5304" s="2" t="s">
        <v>73</v>
      </c>
      <c r="E5304" s="2"/>
      <c r="F5304" s="2">
        <v>93</v>
      </c>
      <c r="G5304" s="2" t="s">
        <v>9926</v>
      </c>
      <c r="H5304" s="2">
        <v>22</v>
      </c>
      <c r="I5304" s="2" t="s">
        <v>75</v>
      </c>
      <c r="J5304" s="2">
        <v>120</v>
      </c>
      <c r="K5304" s="2" t="s">
        <v>9927</v>
      </c>
      <c r="L5304" s="2" t="s">
        <v>115</v>
      </c>
      <c r="M5304" s="3">
        <v>40536</v>
      </c>
      <c r="N5304" s="2" t="s">
        <v>16222</v>
      </c>
      <c r="O5304" s="2"/>
      <c r="P5304" s="2"/>
      <c r="Q5304" s="2" t="str">
        <f>"0049"</f>
        <v>0049</v>
      </c>
      <c r="R5304" s="2"/>
      <c r="S5304" s="2" t="s">
        <v>16223</v>
      </c>
      <c r="T5304" s="2">
        <v>1</v>
      </c>
      <c r="U5304" s="2" t="s">
        <v>79</v>
      </c>
      <c r="V5304" s="2">
        <v>1</v>
      </c>
      <c r="W5304" s="2" t="s">
        <v>80</v>
      </c>
      <c r="X5304" s="2">
        <v>1</v>
      </c>
      <c r="Y5304" s="2" t="s">
        <v>81</v>
      </c>
      <c r="Z5304" s="2">
        <v>1</v>
      </c>
      <c r="AA5304" s="2" t="s">
        <v>82</v>
      </c>
      <c r="AB5304" s="2">
        <v>4</v>
      </c>
      <c r="AC5304" s="2" t="s">
        <v>1569</v>
      </c>
      <c r="AD5304" s="3">
        <v>40535</v>
      </c>
      <c r="AE5304" s="4">
        <v>0.88888888888888884</v>
      </c>
      <c r="AF5304" s="3">
        <v>40535</v>
      </c>
      <c r="AG5304" s="4">
        <v>0.89583333333333337</v>
      </c>
      <c r="AH5304" s="2">
        <v>6</v>
      </c>
      <c r="AI5304" s="2" t="s">
        <v>197</v>
      </c>
      <c r="AJ5304" s="2">
        <v>50</v>
      </c>
      <c r="AK5304" s="2" t="s">
        <v>330</v>
      </c>
      <c r="AL5304" s="2">
        <v>22</v>
      </c>
      <c r="AM5304" s="2" t="s">
        <v>1853</v>
      </c>
      <c r="AN5304" s="2"/>
      <c r="AO5304" s="2" t="s">
        <v>16224</v>
      </c>
      <c r="AP5304" s="2">
        <v>11</v>
      </c>
      <c r="AQ5304" s="2" t="s">
        <v>82</v>
      </c>
      <c r="AR5304" s="2"/>
      <c r="AS5304" s="2"/>
      <c r="AT5304" s="2" t="s">
        <v>16225</v>
      </c>
      <c r="AU5304" s="2"/>
      <c r="AV5304" s="2"/>
      <c r="AW5304" s="2"/>
      <c r="AX5304" s="2"/>
      <c r="AY5304" s="2">
        <v>41</v>
      </c>
      <c r="AZ5304" s="2" t="s">
        <v>82</v>
      </c>
      <c r="BA5304" s="2">
        <v>41</v>
      </c>
      <c r="BB5304" s="2" t="s">
        <v>82</v>
      </c>
      <c r="BC5304" s="2">
        <v>41</v>
      </c>
      <c r="BD5304" s="2" t="s">
        <v>82</v>
      </c>
      <c r="BE5304" s="2">
        <v>4</v>
      </c>
      <c r="BF5304" s="2" t="s">
        <v>90</v>
      </c>
      <c r="BG5304" s="2">
        <v>4357</v>
      </c>
      <c r="BH5304" s="4">
        <v>0.93055555555555547</v>
      </c>
      <c r="BI5304" s="4">
        <v>0.94791666666666663</v>
      </c>
      <c r="BJ5304" s="2">
        <v>13</v>
      </c>
      <c r="BK5304" s="2" t="s">
        <v>91</v>
      </c>
      <c r="BL5304" s="2" t="s">
        <v>1199</v>
      </c>
      <c r="BM5304" s="2">
        <v>13</v>
      </c>
      <c r="BN5304" s="2" t="s">
        <v>91</v>
      </c>
      <c r="BO5304" s="2"/>
      <c r="BP5304" s="2">
        <v>13</v>
      </c>
      <c r="BQ5304" s="2" t="s">
        <v>91</v>
      </c>
      <c r="BR5304" s="2" t="s">
        <v>185</v>
      </c>
      <c r="BS5304" s="3">
        <v>40536</v>
      </c>
      <c r="BT5304" s="4">
        <v>2.7986111111111111E-2</v>
      </c>
    </row>
    <row r="5305" spans="1:72" x14ac:dyDescent="0.25">
      <c r="A5305" s="2">
        <v>8208</v>
      </c>
      <c r="B5305" s="2">
        <v>2010</v>
      </c>
      <c r="C5305" s="2" t="s">
        <v>72</v>
      </c>
      <c r="D5305" s="2" t="s">
        <v>73</v>
      </c>
      <c r="E5305" s="2"/>
      <c r="F5305" s="2">
        <v>56</v>
      </c>
      <c r="G5305" s="2" t="s">
        <v>2578</v>
      </c>
      <c r="H5305" s="2">
        <v>22</v>
      </c>
      <c r="I5305" s="2" t="s">
        <v>75</v>
      </c>
      <c r="J5305" s="2">
        <v>327</v>
      </c>
      <c r="K5305" s="2" t="s">
        <v>7091</v>
      </c>
      <c r="L5305" s="2" t="s">
        <v>7092</v>
      </c>
      <c r="M5305" s="3">
        <v>40536</v>
      </c>
      <c r="N5305" s="2" t="s">
        <v>7093</v>
      </c>
      <c r="O5305" s="2" t="s">
        <v>16226</v>
      </c>
      <c r="P5305" s="2"/>
      <c r="Q5305" s="2" t="str">
        <f>"121/10"</f>
        <v>121/10</v>
      </c>
      <c r="R5305" s="2" t="s">
        <v>78</v>
      </c>
      <c r="S5305" s="2"/>
      <c r="T5305" s="2">
        <v>1</v>
      </c>
      <c r="U5305" s="2" t="s">
        <v>79</v>
      </c>
      <c r="V5305" s="2">
        <v>1</v>
      </c>
      <c r="W5305" s="2" t="s">
        <v>80</v>
      </c>
      <c r="X5305" s="2">
        <v>12</v>
      </c>
      <c r="Y5305" s="2" t="s">
        <v>148</v>
      </c>
      <c r="Z5305" s="2">
        <v>1</v>
      </c>
      <c r="AA5305" s="2" t="s">
        <v>82</v>
      </c>
      <c r="AB5305" s="2">
        <v>6</v>
      </c>
      <c r="AC5305" s="2" t="s">
        <v>83</v>
      </c>
      <c r="AD5305" s="3">
        <v>40535</v>
      </c>
      <c r="AE5305" s="2"/>
      <c r="AF5305" s="3">
        <v>40535</v>
      </c>
      <c r="AG5305" s="4">
        <v>0.98611111111111116</v>
      </c>
      <c r="AH5305" s="2">
        <v>4</v>
      </c>
      <c r="AI5305" s="2" t="s">
        <v>125</v>
      </c>
      <c r="AJ5305" s="2">
        <v>29</v>
      </c>
      <c r="AK5305" s="2" t="s">
        <v>227</v>
      </c>
      <c r="AL5305" s="2">
        <v>22</v>
      </c>
      <c r="AM5305" s="2" t="s">
        <v>1853</v>
      </c>
      <c r="AN5305" s="2"/>
      <c r="AO5305" s="2"/>
      <c r="AP5305" s="2">
        <v>11</v>
      </c>
      <c r="AQ5305" s="2" t="s">
        <v>82</v>
      </c>
      <c r="AR5305" s="2" t="s">
        <v>82</v>
      </c>
      <c r="AS5305" s="2" t="s">
        <v>82</v>
      </c>
      <c r="AT5305" s="2" t="s">
        <v>16227</v>
      </c>
      <c r="AU5305" s="2"/>
      <c r="AV5305" s="2"/>
      <c r="AW5305" s="2"/>
      <c r="AX5305" s="2"/>
      <c r="AY5305" s="2">
        <v>41</v>
      </c>
      <c r="AZ5305" s="2" t="s">
        <v>82</v>
      </c>
      <c r="BA5305" s="2">
        <v>152</v>
      </c>
      <c r="BB5305" s="2" t="s">
        <v>13823</v>
      </c>
      <c r="BC5305" s="2">
        <v>41</v>
      </c>
      <c r="BD5305" s="2" t="s">
        <v>82</v>
      </c>
      <c r="BE5305" s="2">
        <v>48</v>
      </c>
      <c r="BF5305" s="2" t="s">
        <v>1123</v>
      </c>
      <c r="BG5305" s="2">
        <v>852</v>
      </c>
      <c r="BH5305" s="4">
        <v>0.94097222222222221</v>
      </c>
      <c r="BI5305" s="2"/>
      <c r="BJ5305" s="2">
        <v>13</v>
      </c>
      <c r="BK5305" s="2" t="s">
        <v>91</v>
      </c>
      <c r="BL5305" s="2" t="s">
        <v>185</v>
      </c>
      <c r="BM5305" s="2">
        <v>13</v>
      </c>
      <c r="BN5305" s="2" t="s">
        <v>91</v>
      </c>
      <c r="BO5305" s="2"/>
      <c r="BP5305" s="2">
        <v>13</v>
      </c>
      <c r="BQ5305" s="2" t="s">
        <v>91</v>
      </c>
      <c r="BR5305" s="2" t="s">
        <v>828</v>
      </c>
      <c r="BS5305" s="3">
        <v>40536</v>
      </c>
      <c r="BT5305" s="4">
        <v>8.4409722222222219E-2</v>
      </c>
    </row>
    <row r="5306" spans="1:72" x14ac:dyDescent="0.25">
      <c r="A5306" s="2">
        <v>8209</v>
      </c>
      <c r="B5306" s="2">
        <v>2010</v>
      </c>
      <c r="C5306" s="2" t="s">
        <v>171</v>
      </c>
      <c r="D5306" s="2" t="s">
        <v>73</v>
      </c>
      <c r="E5306" s="2"/>
      <c r="F5306" s="2">
        <v>153</v>
      </c>
      <c r="G5306" s="2" t="s">
        <v>9047</v>
      </c>
      <c r="H5306" s="2">
        <v>6</v>
      </c>
      <c r="I5306" s="2" t="s">
        <v>1088</v>
      </c>
      <c r="J5306" s="2">
        <v>165</v>
      </c>
      <c r="K5306" s="2" t="s">
        <v>8586</v>
      </c>
      <c r="L5306" s="2" t="s">
        <v>8587</v>
      </c>
      <c r="M5306" s="3">
        <v>40536</v>
      </c>
      <c r="N5306" s="2" t="s">
        <v>8588</v>
      </c>
      <c r="O5306" s="2"/>
      <c r="P5306" s="2"/>
      <c r="Q5306" s="2" t="str">
        <f>"472-A/10"</f>
        <v>472-A/10</v>
      </c>
      <c r="R5306" s="2" t="s">
        <v>1035</v>
      </c>
      <c r="S5306" s="2" t="s">
        <v>1035</v>
      </c>
      <c r="T5306" s="2">
        <v>1</v>
      </c>
      <c r="U5306" s="2" t="s">
        <v>79</v>
      </c>
      <c r="V5306" s="2">
        <v>1</v>
      </c>
      <c r="W5306" s="2" t="s">
        <v>80</v>
      </c>
      <c r="X5306" s="2">
        <v>1</v>
      </c>
      <c r="Y5306" s="2" t="s">
        <v>81</v>
      </c>
      <c r="Z5306" s="2">
        <v>1</v>
      </c>
      <c r="AA5306" s="2" t="s">
        <v>82</v>
      </c>
      <c r="AB5306" s="2">
        <v>1</v>
      </c>
      <c r="AC5306" s="2" t="s">
        <v>178</v>
      </c>
      <c r="AD5306" s="3">
        <v>40535</v>
      </c>
      <c r="AE5306" s="4">
        <v>0.94444444444444453</v>
      </c>
      <c r="AF5306" s="3">
        <v>40536</v>
      </c>
      <c r="AG5306" s="4">
        <v>3.4722222222222224E-2</v>
      </c>
      <c r="AH5306" s="2">
        <v>2</v>
      </c>
      <c r="AI5306" s="2" t="s">
        <v>84</v>
      </c>
      <c r="AJ5306" s="2">
        <v>12</v>
      </c>
      <c r="AK5306" s="2" t="s">
        <v>85</v>
      </c>
      <c r="AL5306" s="2">
        <v>11</v>
      </c>
      <c r="AM5306" s="2" t="s">
        <v>137</v>
      </c>
      <c r="AN5306" s="2" t="s">
        <v>13001</v>
      </c>
      <c r="AO5306" s="2" t="s">
        <v>16228</v>
      </c>
      <c r="AP5306" s="2">
        <v>11</v>
      </c>
      <c r="AQ5306" s="2" t="s">
        <v>82</v>
      </c>
      <c r="AR5306" s="2"/>
      <c r="AS5306" s="2"/>
      <c r="AT5306" s="2" t="s">
        <v>16229</v>
      </c>
      <c r="AU5306" s="2">
        <v>1</v>
      </c>
      <c r="AV5306" s="2"/>
      <c r="AW5306" s="2"/>
      <c r="AX5306" s="2"/>
      <c r="AY5306" s="2">
        <v>41</v>
      </c>
      <c r="AZ5306" s="2" t="s">
        <v>82</v>
      </c>
      <c r="BA5306" s="2">
        <v>41</v>
      </c>
      <c r="BB5306" s="2" t="s">
        <v>82</v>
      </c>
      <c r="BC5306" s="2">
        <v>41</v>
      </c>
      <c r="BD5306" s="2" t="s">
        <v>82</v>
      </c>
      <c r="BE5306" s="2">
        <v>4</v>
      </c>
      <c r="BF5306" s="2" t="s">
        <v>90</v>
      </c>
      <c r="BG5306" s="2" t="s">
        <v>12359</v>
      </c>
      <c r="BH5306" s="2"/>
      <c r="BI5306" s="4">
        <v>0.95833333333333337</v>
      </c>
      <c r="BJ5306" s="2">
        <v>13</v>
      </c>
      <c r="BK5306" s="2" t="s">
        <v>91</v>
      </c>
      <c r="BL5306" s="2" t="s">
        <v>564</v>
      </c>
      <c r="BM5306" s="2">
        <v>13</v>
      </c>
      <c r="BN5306" s="2" t="s">
        <v>91</v>
      </c>
      <c r="BO5306" s="2"/>
      <c r="BP5306" s="2">
        <v>13</v>
      </c>
      <c r="BQ5306" s="2" t="s">
        <v>91</v>
      </c>
      <c r="BR5306" s="2" t="s">
        <v>353</v>
      </c>
      <c r="BS5306" s="3">
        <v>40536</v>
      </c>
      <c r="BT5306" s="4">
        <v>0.11675925925925927</v>
      </c>
    </row>
    <row r="5307" spans="1:72" x14ac:dyDescent="0.25">
      <c r="A5307" s="2">
        <v>8210</v>
      </c>
      <c r="B5307" s="2">
        <v>2010</v>
      </c>
      <c r="C5307" s="2" t="s">
        <v>171</v>
      </c>
      <c r="D5307" s="2" t="s">
        <v>122</v>
      </c>
      <c r="E5307" s="2" t="s">
        <v>16230</v>
      </c>
      <c r="F5307" s="2">
        <v>153</v>
      </c>
      <c r="G5307" s="2" t="s">
        <v>9047</v>
      </c>
      <c r="H5307" s="2">
        <v>6</v>
      </c>
      <c r="I5307" s="2" t="s">
        <v>1088</v>
      </c>
      <c r="J5307" s="2">
        <v>165</v>
      </c>
      <c r="K5307" s="2" t="s">
        <v>8586</v>
      </c>
      <c r="L5307" s="2" t="s">
        <v>8587</v>
      </c>
      <c r="M5307" s="3">
        <v>40536</v>
      </c>
      <c r="N5307" s="2" t="s">
        <v>8588</v>
      </c>
      <c r="O5307" s="2"/>
      <c r="P5307" s="2"/>
      <c r="Q5307" s="2" t="str">
        <f>"472-A/10"</f>
        <v>472-A/10</v>
      </c>
      <c r="R5307" s="2" t="s">
        <v>1035</v>
      </c>
      <c r="S5307" s="2"/>
      <c r="T5307" s="2">
        <v>1</v>
      </c>
      <c r="U5307" s="2" t="s">
        <v>79</v>
      </c>
      <c r="V5307" s="2">
        <v>1</v>
      </c>
      <c r="W5307" s="2" t="s">
        <v>80</v>
      </c>
      <c r="X5307" s="2">
        <v>1</v>
      </c>
      <c r="Y5307" s="2" t="s">
        <v>81</v>
      </c>
      <c r="Z5307" s="2">
        <v>1</v>
      </c>
      <c r="AA5307" s="2" t="s">
        <v>82</v>
      </c>
      <c r="AB5307" s="2">
        <v>1</v>
      </c>
      <c r="AC5307" s="2" t="s">
        <v>178</v>
      </c>
      <c r="AD5307" s="3">
        <v>40535</v>
      </c>
      <c r="AE5307" s="4">
        <v>0.94444444444444453</v>
      </c>
      <c r="AF5307" s="3">
        <v>40535</v>
      </c>
      <c r="AG5307" s="4">
        <v>0.95138888888888884</v>
      </c>
      <c r="AH5307" s="2">
        <v>2</v>
      </c>
      <c r="AI5307" s="2" t="s">
        <v>84</v>
      </c>
      <c r="AJ5307" s="2">
        <v>12</v>
      </c>
      <c r="AK5307" s="2" t="s">
        <v>85</v>
      </c>
      <c r="AL5307" s="2">
        <v>11</v>
      </c>
      <c r="AM5307" s="2" t="s">
        <v>137</v>
      </c>
      <c r="AN5307" s="2" t="s">
        <v>16231</v>
      </c>
      <c r="AO5307" s="2" t="s">
        <v>16168</v>
      </c>
      <c r="AP5307" s="2">
        <v>11</v>
      </c>
      <c r="AQ5307" s="2" t="s">
        <v>82</v>
      </c>
      <c r="AR5307" s="2"/>
      <c r="AS5307" s="2"/>
      <c r="AT5307" s="2" t="s">
        <v>16232</v>
      </c>
      <c r="AU5307" s="2">
        <v>1</v>
      </c>
      <c r="AV5307" s="2"/>
      <c r="AW5307" s="2"/>
      <c r="AX5307" s="2"/>
      <c r="AY5307" s="2">
        <v>41</v>
      </c>
      <c r="AZ5307" s="2" t="s">
        <v>82</v>
      </c>
      <c r="BA5307" s="2">
        <v>41</v>
      </c>
      <c r="BB5307" s="2" t="s">
        <v>82</v>
      </c>
      <c r="BC5307" s="2">
        <v>70</v>
      </c>
      <c r="BD5307" s="2" t="s">
        <v>236</v>
      </c>
      <c r="BE5307" s="2">
        <v>4</v>
      </c>
      <c r="BF5307" s="2" t="s">
        <v>90</v>
      </c>
      <c r="BG5307" s="2" t="s">
        <v>12359</v>
      </c>
      <c r="BH5307" s="2"/>
      <c r="BI5307" s="4">
        <v>0.95833333333333337</v>
      </c>
      <c r="BJ5307" s="2">
        <v>13</v>
      </c>
      <c r="BK5307" s="2" t="s">
        <v>91</v>
      </c>
      <c r="BL5307" s="2" t="s">
        <v>185</v>
      </c>
      <c r="BM5307" s="2">
        <v>241</v>
      </c>
      <c r="BN5307" s="2" t="s">
        <v>82</v>
      </c>
      <c r="BO5307" s="2"/>
      <c r="BP5307" s="2">
        <v>13</v>
      </c>
      <c r="BQ5307" s="2" t="s">
        <v>91</v>
      </c>
      <c r="BR5307" s="2" t="s">
        <v>353</v>
      </c>
      <c r="BS5307" s="3">
        <v>40536</v>
      </c>
      <c r="BT5307" s="4">
        <v>0.38017361111111114</v>
      </c>
    </row>
    <row r="5308" spans="1:72" x14ac:dyDescent="0.25">
      <c r="A5308" s="2">
        <v>8211</v>
      </c>
      <c r="B5308" s="2">
        <v>2010</v>
      </c>
      <c r="C5308" s="2" t="s">
        <v>72</v>
      </c>
      <c r="D5308" s="2" t="s">
        <v>73</v>
      </c>
      <c r="E5308" s="2"/>
      <c r="F5308" s="2">
        <v>235</v>
      </c>
      <c r="G5308" s="2" t="s">
        <v>16233</v>
      </c>
      <c r="H5308" s="2">
        <v>5</v>
      </c>
      <c r="I5308" s="2" t="s">
        <v>634</v>
      </c>
      <c r="J5308" s="2">
        <v>247</v>
      </c>
      <c r="K5308" s="2" t="s">
        <v>16234</v>
      </c>
      <c r="L5308" s="2" t="s">
        <v>1626</v>
      </c>
      <c r="M5308" s="3">
        <v>40536</v>
      </c>
      <c r="N5308" s="2" t="s">
        <v>16235</v>
      </c>
      <c r="O5308" s="2"/>
      <c r="P5308" s="2"/>
      <c r="Q5308" s="2" t="str">
        <f>"473-A/10"</f>
        <v>473-A/10</v>
      </c>
      <c r="R5308" s="2" t="s">
        <v>302</v>
      </c>
      <c r="S5308" s="2" t="s">
        <v>302</v>
      </c>
      <c r="T5308" s="2">
        <v>1</v>
      </c>
      <c r="U5308" s="2" t="s">
        <v>79</v>
      </c>
      <c r="V5308" s="2">
        <v>1</v>
      </c>
      <c r="W5308" s="2" t="s">
        <v>80</v>
      </c>
      <c r="X5308" s="2">
        <v>12</v>
      </c>
      <c r="Y5308" s="2" t="s">
        <v>148</v>
      </c>
      <c r="Z5308" s="2">
        <v>1</v>
      </c>
      <c r="AA5308" s="2" t="s">
        <v>82</v>
      </c>
      <c r="AB5308" s="2">
        <v>6</v>
      </c>
      <c r="AC5308" s="2" t="s">
        <v>83</v>
      </c>
      <c r="AD5308" s="3">
        <v>40535</v>
      </c>
      <c r="AE5308" s="4">
        <v>0.9375</v>
      </c>
      <c r="AF5308" s="3">
        <v>40536</v>
      </c>
      <c r="AG5308" s="2"/>
      <c r="AH5308" s="2">
        <v>2</v>
      </c>
      <c r="AI5308" s="2" t="s">
        <v>84</v>
      </c>
      <c r="AJ5308" s="2">
        <v>12</v>
      </c>
      <c r="AK5308" s="2" t="s">
        <v>85</v>
      </c>
      <c r="AL5308" s="2">
        <v>21</v>
      </c>
      <c r="AM5308" s="2" t="s">
        <v>1311</v>
      </c>
      <c r="AN5308" s="2" t="s">
        <v>1714</v>
      </c>
      <c r="AO5308" s="2"/>
      <c r="AP5308" s="2">
        <v>11</v>
      </c>
      <c r="AQ5308" s="2" t="s">
        <v>82</v>
      </c>
      <c r="AR5308" s="2"/>
      <c r="AS5308" s="2"/>
      <c r="AT5308" s="2" t="s">
        <v>16236</v>
      </c>
      <c r="AU5308" s="2">
        <v>3</v>
      </c>
      <c r="AV5308" s="2"/>
      <c r="AW5308" s="2"/>
      <c r="AX5308" s="2"/>
      <c r="AY5308" s="2">
        <v>41</v>
      </c>
      <c r="AZ5308" s="2" t="s">
        <v>82</v>
      </c>
      <c r="BA5308" s="2">
        <v>184</v>
      </c>
      <c r="BB5308" s="2" t="s">
        <v>16237</v>
      </c>
      <c r="BC5308" s="2">
        <v>41</v>
      </c>
      <c r="BD5308" s="2" t="s">
        <v>82</v>
      </c>
      <c r="BE5308" s="2">
        <v>41</v>
      </c>
      <c r="BF5308" s="2" t="s">
        <v>82</v>
      </c>
      <c r="BG5308" s="2"/>
      <c r="BH5308" s="2"/>
      <c r="BI5308" s="2"/>
      <c r="BJ5308" s="2">
        <v>241</v>
      </c>
      <c r="BK5308" s="2" t="s">
        <v>82</v>
      </c>
      <c r="BL5308" s="2"/>
      <c r="BM5308" s="2">
        <v>241</v>
      </c>
      <c r="BN5308" s="2" t="s">
        <v>82</v>
      </c>
      <c r="BO5308" s="2"/>
      <c r="BP5308" s="2">
        <v>241</v>
      </c>
      <c r="BQ5308" s="2" t="s">
        <v>82</v>
      </c>
      <c r="BR5308" s="2"/>
      <c r="BS5308" s="3">
        <v>40536</v>
      </c>
      <c r="BT5308" s="4">
        <v>0.50491898148148151</v>
      </c>
    </row>
    <row r="5309" spans="1:72" x14ac:dyDescent="0.25">
      <c r="A5309" s="2">
        <v>8212</v>
      </c>
      <c r="B5309" s="2">
        <v>2010</v>
      </c>
      <c r="C5309" s="2" t="s">
        <v>196</v>
      </c>
      <c r="D5309" s="2" t="s">
        <v>122</v>
      </c>
      <c r="E5309" s="2"/>
      <c r="F5309" s="2">
        <v>1</v>
      </c>
      <c r="G5309" s="2" t="s">
        <v>82</v>
      </c>
      <c r="H5309" s="2">
        <v>1</v>
      </c>
      <c r="I5309" s="2" t="s">
        <v>82</v>
      </c>
      <c r="J5309" s="2">
        <v>1</v>
      </c>
      <c r="K5309" s="2" t="s">
        <v>107</v>
      </c>
      <c r="L5309" s="2" t="s">
        <v>107</v>
      </c>
      <c r="M5309" s="3">
        <v>40536</v>
      </c>
      <c r="N5309" s="2"/>
      <c r="O5309" s="2"/>
      <c r="P5309" s="2"/>
      <c r="Q5309" s="2" t="str">
        <f>""</f>
        <v/>
      </c>
      <c r="R5309" s="2"/>
      <c r="S5309" s="2"/>
      <c r="T5309" s="2">
        <v>2</v>
      </c>
      <c r="U5309" s="2" t="s">
        <v>123</v>
      </c>
      <c r="V5309" s="2">
        <v>1</v>
      </c>
      <c r="W5309" s="2" t="s">
        <v>80</v>
      </c>
      <c r="X5309" s="2">
        <v>11</v>
      </c>
      <c r="Y5309" s="2" t="s">
        <v>1920</v>
      </c>
      <c r="Z5309" s="2">
        <v>1</v>
      </c>
      <c r="AA5309" s="2" t="s">
        <v>82</v>
      </c>
      <c r="AB5309" s="2">
        <v>9</v>
      </c>
      <c r="AC5309" s="2" t="s">
        <v>124</v>
      </c>
      <c r="AD5309" s="3">
        <v>40536</v>
      </c>
      <c r="AE5309" s="4">
        <v>0.41666666666666669</v>
      </c>
      <c r="AF5309" s="3">
        <v>40536</v>
      </c>
      <c r="AG5309" s="2"/>
      <c r="AH5309" s="2">
        <v>2</v>
      </c>
      <c r="AI5309" s="2" t="s">
        <v>84</v>
      </c>
      <c r="AJ5309" s="2">
        <v>12</v>
      </c>
      <c r="AK5309" s="2" t="s">
        <v>85</v>
      </c>
      <c r="AL5309" s="2">
        <v>20</v>
      </c>
      <c r="AM5309" s="2" t="s">
        <v>992</v>
      </c>
      <c r="AN5309" s="2"/>
      <c r="AO5309" s="2" t="s">
        <v>993</v>
      </c>
      <c r="AP5309" s="2">
        <v>11</v>
      </c>
      <c r="AQ5309" s="2" t="s">
        <v>82</v>
      </c>
      <c r="AR5309" s="2" t="s">
        <v>16238</v>
      </c>
      <c r="AS5309" s="2" t="s">
        <v>16238</v>
      </c>
      <c r="AT5309" s="2" t="s">
        <v>16239</v>
      </c>
      <c r="AU5309" s="2"/>
      <c r="AV5309" s="2"/>
      <c r="AW5309" s="2"/>
      <c r="AX5309" s="2"/>
      <c r="AY5309" s="2">
        <v>41</v>
      </c>
      <c r="AZ5309" s="2" t="s">
        <v>82</v>
      </c>
      <c r="BA5309" s="2">
        <v>41</v>
      </c>
      <c r="BB5309" s="2" t="s">
        <v>82</v>
      </c>
      <c r="BC5309" s="2">
        <v>41</v>
      </c>
      <c r="BD5309" s="2" t="s">
        <v>82</v>
      </c>
      <c r="BE5309" s="2">
        <v>41</v>
      </c>
      <c r="BF5309" s="2" t="s">
        <v>82</v>
      </c>
      <c r="BG5309" s="2" t="s">
        <v>265</v>
      </c>
      <c r="BH5309" s="4">
        <v>0.48749999999999999</v>
      </c>
      <c r="BI5309" s="4">
        <v>0.49513888888888885</v>
      </c>
      <c r="BJ5309" s="2">
        <v>13</v>
      </c>
      <c r="BK5309" s="2" t="s">
        <v>91</v>
      </c>
      <c r="BL5309" s="2" t="s">
        <v>185</v>
      </c>
      <c r="BM5309" s="2">
        <v>13</v>
      </c>
      <c r="BN5309" s="2" t="s">
        <v>91</v>
      </c>
      <c r="BO5309" s="2"/>
      <c r="BP5309" s="2">
        <v>13</v>
      </c>
      <c r="BQ5309" s="2" t="s">
        <v>91</v>
      </c>
      <c r="BR5309" s="2" t="s">
        <v>6083</v>
      </c>
      <c r="BS5309" s="3">
        <v>40536</v>
      </c>
      <c r="BT5309" s="4">
        <v>0.55013888888888884</v>
      </c>
    </row>
    <row r="5310" spans="1:72" x14ac:dyDescent="0.25">
      <c r="A5310" s="2">
        <v>8213</v>
      </c>
      <c r="B5310" s="2">
        <v>2010</v>
      </c>
      <c r="C5310" s="2" t="s">
        <v>457</v>
      </c>
      <c r="D5310" s="2" t="s">
        <v>73</v>
      </c>
      <c r="E5310" s="2"/>
      <c r="F5310" s="2">
        <v>467</v>
      </c>
      <c r="G5310" s="2" t="s">
        <v>1053</v>
      </c>
      <c r="H5310" s="2">
        <v>22</v>
      </c>
      <c r="I5310" s="2" t="s">
        <v>75</v>
      </c>
      <c r="J5310" s="2">
        <v>369</v>
      </c>
      <c r="K5310" s="2" t="s">
        <v>1054</v>
      </c>
      <c r="L5310" s="2" t="s">
        <v>1055</v>
      </c>
      <c r="M5310" s="3">
        <v>40536</v>
      </c>
      <c r="N5310" s="2" t="s">
        <v>14936</v>
      </c>
      <c r="O5310" s="2" t="s">
        <v>16240</v>
      </c>
      <c r="P5310" s="2" t="s">
        <v>16241</v>
      </c>
      <c r="Q5310" s="2" t="str">
        <f>""</f>
        <v/>
      </c>
      <c r="R5310" s="2"/>
      <c r="S5310" s="2"/>
      <c r="T5310" s="2">
        <v>1</v>
      </c>
      <c r="U5310" s="2" t="s">
        <v>79</v>
      </c>
      <c r="V5310" s="2">
        <v>1</v>
      </c>
      <c r="W5310" s="2" t="s">
        <v>80</v>
      </c>
      <c r="X5310" s="2">
        <v>4</v>
      </c>
      <c r="Y5310" s="2" t="s">
        <v>463</v>
      </c>
      <c r="Z5310" s="2">
        <v>6</v>
      </c>
      <c r="AA5310" s="2" t="s">
        <v>101</v>
      </c>
      <c r="AB5310" s="2">
        <v>9</v>
      </c>
      <c r="AC5310" s="2" t="s">
        <v>124</v>
      </c>
      <c r="AD5310" s="3">
        <v>40536</v>
      </c>
      <c r="AE5310" s="4">
        <v>0.45833333333333331</v>
      </c>
      <c r="AF5310" s="3">
        <v>40536</v>
      </c>
      <c r="AG5310" s="4">
        <v>0.45833333333333331</v>
      </c>
      <c r="AH5310" s="2">
        <v>4</v>
      </c>
      <c r="AI5310" s="2" t="s">
        <v>125</v>
      </c>
      <c r="AJ5310" s="2">
        <v>29</v>
      </c>
      <c r="AK5310" s="2" t="s">
        <v>227</v>
      </c>
      <c r="AL5310" s="2">
        <v>11</v>
      </c>
      <c r="AM5310" s="2" t="s">
        <v>137</v>
      </c>
      <c r="AN5310" s="2" t="s">
        <v>2701</v>
      </c>
      <c r="AO5310" s="2"/>
      <c r="AP5310" s="2">
        <v>11</v>
      </c>
      <c r="AQ5310" s="2" t="s">
        <v>82</v>
      </c>
      <c r="AR5310" s="2" t="s">
        <v>82</v>
      </c>
      <c r="AS5310" s="2" t="s">
        <v>82</v>
      </c>
      <c r="AT5310" s="2" t="s">
        <v>16242</v>
      </c>
      <c r="AU5310" s="2"/>
      <c r="AV5310" s="2"/>
      <c r="AW5310" s="2"/>
      <c r="AX5310" s="2"/>
      <c r="AY5310" s="2">
        <v>41</v>
      </c>
      <c r="AZ5310" s="2" t="s">
        <v>82</v>
      </c>
      <c r="BA5310" s="2">
        <v>41</v>
      </c>
      <c r="BB5310" s="2" t="s">
        <v>82</v>
      </c>
      <c r="BC5310" s="2">
        <v>41</v>
      </c>
      <c r="BD5310" s="2" t="s">
        <v>82</v>
      </c>
      <c r="BE5310" s="2">
        <v>19</v>
      </c>
      <c r="BF5310" s="2" t="s">
        <v>1061</v>
      </c>
      <c r="BG5310" s="2" t="s">
        <v>14225</v>
      </c>
      <c r="BH5310" s="4">
        <v>0.5625</v>
      </c>
      <c r="BI5310" s="4">
        <v>0.59722222222222221</v>
      </c>
      <c r="BJ5310" s="2">
        <v>13</v>
      </c>
      <c r="BK5310" s="2" t="s">
        <v>91</v>
      </c>
      <c r="BL5310" s="2" t="s">
        <v>828</v>
      </c>
      <c r="BM5310" s="2">
        <v>29</v>
      </c>
      <c r="BN5310" s="2" t="s">
        <v>962</v>
      </c>
      <c r="BO5310" s="2"/>
      <c r="BP5310" s="2">
        <v>29</v>
      </c>
      <c r="BQ5310" s="2" t="s">
        <v>962</v>
      </c>
      <c r="BR5310" s="2" t="s">
        <v>963</v>
      </c>
      <c r="BS5310" s="3">
        <v>40536</v>
      </c>
      <c r="BT5310" s="4">
        <v>0.60165509259259264</v>
      </c>
    </row>
    <row r="5311" spans="1:72" x14ac:dyDescent="0.25">
      <c r="A5311" s="2">
        <v>8215</v>
      </c>
      <c r="B5311" s="2">
        <v>2010</v>
      </c>
      <c r="C5311" s="2" t="s">
        <v>196</v>
      </c>
      <c r="D5311" s="2" t="s">
        <v>122</v>
      </c>
      <c r="E5311" s="2"/>
      <c r="F5311" s="2">
        <v>1</v>
      </c>
      <c r="G5311" s="2" t="s">
        <v>82</v>
      </c>
      <c r="H5311" s="2">
        <v>1</v>
      </c>
      <c r="I5311" s="2" t="s">
        <v>82</v>
      </c>
      <c r="J5311" s="2">
        <v>1</v>
      </c>
      <c r="K5311" s="2" t="s">
        <v>107</v>
      </c>
      <c r="L5311" s="2" t="s">
        <v>107</v>
      </c>
      <c r="M5311" s="3">
        <v>40536</v>
      </c>
      <c r="N5311" s="2"/>
      <c r="O5311" s="2"/>
      <c r="P5311" s="2"/>
      <c r="Q5311" s="2" t="str">
        <f>""</f>
        <v/>
      </c>
      <c r="R5311" s="2"/>
      <c r="S5311" s="2"/>
      <c r="T5311" s="2">
        <v>2</v>
      </c>
      <c r="U5311" s="2" t="s">
        <v>123</v>
      </c>
      <c r="V5311" s="2">
        <v>1</v>
      </c>
      <c r="W5311" s="2" t="s">
        <v>80</v>
      </c>
      <c r="X5311" s="2">
        <v>5</v>
      </c>
      <c r="Y5311" s="2" t="s">
        <v>82</v>
      </c>
      <c r="Z5311" s="2">
        <v>1</v>
      </c>
      <c r="AA5311" s="2" t="s">
        <v>82</v>
      </c>
      <c r="AB5311" s="2">
        <v>9</v>
      </c>
      <c r="AC5311" s="2" t="s">
        <v>124</v>
      </c>
      <c r="AD5311" s="3">
        <v>40536</v>
      </c>
      <c r="AE5311" s="4">
        <v>0.61805555555555558</v>
      </c>
      <c r="AF5311" s="3">
        <v>40536</v>
      </c>
      <c r="AG5311" s="2"/>
      <c r="AH5311" s="2">
        <v>6</v>
      </c>
      <c r="AI5311" s="2" t="s">
        <v>197</v>
      </c>
      <c r="AJ5311" s="2">
        <v>58</v>
      </c>
      <c r="AK5311" s="2" t="s">
        <v>406</v>
      </c>
      <c r="AL5311" s="2">
        <v>19</v>
      </c>
      <c r="AM5311" s="2" t="s">
        <v>107</v>
      </c>
      <c r="AN5311" s="2" t="s">
        <v>230</v>
      </c>
      <c r="AO5311" s="2" t="s">
        <v>259</v>
      </c>
      <c r="AP5311" s="2">
        <v>11</v>
      </c>
      <c r="AQ5311" s="2" t="s">
        <v>82</v>
      </c>
      <c r="AR5311" s="2"/>
      <c r="AS5311" s="2"/>
      <c r="AT5311" s="2" t="s">
        <v>16243</v>
      </c>
      <c r="AU5311" s="2"/>
      <c r="AV5311" s="2"/>
      <c r="AW5311" s="2"/>
      <c r="AX5311" s="2"/>
      <c r="AY5311" s="2">
        <v>41</v>
      </c>
      <c r="AZ5311" s="2" t="s">
        <v>82</v>
      </c>
      <c r="BA5311" s="2">
        <v>41</v>
      </c>
      <c r="BB5311" s="2" t="s">
        <v>82</v>
      </c>
      <c r="BC5311" s="2">
        <v>41</v>
      </c>
      <c r="BD5311" s="2" t="s">
        <v>82</v>
      </c>
      <c r="BE5311" s="2">
        <v>41</v>
      </c>
      <c r="BF5311" s="2" t="s">
        <v>82</v>
      </c>
      <c r="BG5311" s="2"/>
      <c r="BH5311" s="2"/>
      <c r="BI5311" s="2"/>
      <c r="BJ5311" s="2">
        <v>241</v>
      </c>
      <c r="BK5311" s="2" t="s">
        <v>82</v>
      </c>
      <c r="BL5311" s="2"/>
      <c r="BM5311" s="2">
        <v>241</v>
      </c>
      <c r="BN5311" s="2" t="s">
        <v>82</v>
      </c>
      <c r="BO5311" s="2"/>
      <c r="BP5311" s="2">
        <v>241</v>
      </c>
      <c r="BQ5311" s="2" t="s">
        <v>82</v>
      </c>
      <c r="BR5311" s="2"/>
      <c r="BS5311" s="3">
        <v>40536</v>
      </c>
      <c r="BT5311" s="4">
        <v>0.63511574074074073</v>
      </c>
    </row>
    <row r="5312" spans="1:72" x14ac:dyDescent="0.25">
      <c r="A5312" s="2">
        <v>8216</v>
      </c>
      <c r="B5312" s="2">
        <v>2010</v>
      </c>
      <c r="C5312" s="2" t="s">
        <v>764</v>
      </c>
      <c r="D5312" s="2" t="s">
        <v>73</v>
      </c>
      <c r="E5312" s="2"/>
      <c r="F5312" s="2">
        <v>125</v>
      </c>
      <c r="G5312" s="2" t="s">
        <v>1483</v>
      </c>
      <c r="H5312" s="2">
        <v>49</v>
      </c>
      <c r="I5312" s="2" t="s">
        <v>1484</v>
      </c>
      <c r="J5312" s="2">
        <v>139</v>
      </c>
      <c r="K5312" s="2" t="s">
        <v>1485</v>
      </c>
      <c r="L5312" s="2" t="s">
        <v>1486</v>
      </c>
      <c r="M5312" s="3">
        <v>40536</v>
      </c>
      <c r="N5312" s="2" t="s">
        <v>5390</v>
      </c>
      <c r="O5312" s="2" t="s">
        <v>82</v>
      </c>
      <c r="P5312" s="2" t="s">
        <v>82</v>
      </c>
      <c r="Q5312" s="2" t="str">
        <f>"025/2010 PSA"</f>
        <v>025/2010 PSA</v>
      </c>
      <c r="R5312" s="2" t="s">
        <v>16244</v>
      </c>
      <c r="S5312" s="2" t="s">
        <v>16244</v>
      </c>
      <c r="T5312" s="2">
        <v>1</v>
      </c>
      <c r="U5312" s="2" t="s">
        <v>79</v>
      </c>
      <c r="V5312" s="2">
        <v>1</v>
      </c>
      <c r="W5312" s="2" t="s">
        <v>80</v>
      </c>
      <c r="X5312" s="2">
        <v>1</v>
      </c>
      <c r="Y5312" s="2" t="s">
        <v>81</v>
      </c>
      <c r="Z5312" s="2">
        <v>10</v>
      </c>
      <c r="AA5312" s="2" t="s">
        <v>236</v>
      </c>
      <c r="AB5312" s="2">
        <v>9</v>
      </c>
      <c r="AC5312" s="2" t="s">
        <v>124</v>
      </c>
      <c r="AD5312" s="3">
        <v>40536</v>
      </c>
      <c r="AE5312" s="4">
        <v>0.58333333333333337</v>
      </c>
      <c r="AF5312" s="3">
        <v>40536</v>
      </c>
      <c r="AG5312" s="4">
        <v>0.58333333333333337</v>
      </c>
      <c r="AH5312" s="2">
        <v>6</v>
      </c>
      <c r="AI5312" s="2" t="s">
        <v>197</v>
      </c>
      <c r="AJ5312" s="2">
        <v>61</v>
      </c>
      <c r="AK5312" s="2" t="s">
        <v>686</v>
      </c>
      <c r="AL5312" s="2">
        <v>25</v>
      </c>
      <c r="AM5312" s="2" t="s">
        <v>3073</v>
      </c>
      <c r="AN5312" s="2" t="s">
        <v>16245</v>
      </c>
      <c r="AO5312" s="2" t="s">
        <v>7347</v>
      </c>
      <c r="AP5312" s="2">
        <v>11</v>
      </c>
      <c r="AQ5312" s="2" t="s">
        <v>82</v>
      </c>
      <c r="AR5312" s="2" t="s">
        <v>82</v>
      </c>
      <c r="AS5312" s="2" t="s">
        <v>82</v>
      </c>
      <c r="AT5312" s="2" t="s">
        <v>16246</v>
      </c>
      <c r="AU5312" s="2"/>
      <c r="AV5312" s="2"/>
      <c r="AW5312" s="2">
        <v>1</v>
      </c>
      <c r="AX5312" s="2"/>
      <c r="AY5312" s="2">
        <v>41</v>
      </c>
      <c r="AZ5312" s="2" t="s">
        <v>82</v>
      </c>
      <c r="BA5312" s="2">
        <v>41</v>
      </c>
      <c r="BB5312" s="2" t="s">
        <v>82</v>
      </c>
      <c r="BC5312" s="2">
        <v>41</v>
      </c>
      <c r="BD5312" s="2" t="s">
        <v>82</v>
      </c>
      <c r="BE5312" s="2">
        <v>47</v>
      </c>
      <c r="BF5312" s="2" t="s">
        <v>167</v>
      </c>
      <c r="BG5312" s="2" t="s">
        <v>16247</v>
      </c>
      <c r="BH5312" s="4">
        <v>0.52222222222222225</v>
      </c>
      <c r="BI5312" s="4">
        <v>0.56180555555555556</v>
      </c>
      <c r="BJ5312" s="2">
        <v>13</v>
      </c>
      <c r="BK5312" s="2" t="s">
        <v>91</v>
      </c>
      <c r="BL5312" s="2" t="s">
        <v>185</v>
      </c>
      <c r="BM5312" s="2">
        <v>13</v>
      </c>
      <c r="BN5312" s="2" t="s">
        <v>91</v>
      </c>
      <c r="BO5312" s="2"/>
      <c r="BP5312" s="2">
        <v>13</v>
      </c>
      <c r="BQ5312" s="2" t="s">
        <v>91</v>
      </c>
      <c r="BR5312" s="2" t="s">
        <v>690</v>
      </c>
      <c r="BS5312" s="3">
        <v>40536</v>
      </c>
      <c r="BT5312" s="4">
        <v>0.67092592592592604</v>
      </c>
    </row>
    <row r="5313" spans="1:72" x14ac:dyDescent="0.25">
      <c r="A5313" s="2">
        <v>8217</v>
      </c>
      <c r="B5313" s="2">
        <v>2010</v>
      </c>
      <c r="C5313" s="2" t="s">
        <v>72</v>
      </c>
      <c r="D5313" s="2" t="s">
        <v>122</v>
      </c>
      <c r="E5313" s="2" t="s">
        <v>16248</v>
      </c>
      <c r="F5313" s="2">
        <v>174</v>
      </c>
      <c r="G5313" s="2" t="s">
        <v>9090</v>
      </c>
      <c r="H5313" s="2">
        <v>152</v>
      </c>
      <c r="I5313" s="2" t="s">
        <v>15273</v>
      </c>
      <c r="J5313" s="2">
        <v>182</v>
      </c>
      <c r="K5313" s="2" t="s">
        <v>8850</v>
      </c>
      <c r="L5313" s="2" t="s">
        <v>8851</v>
      </c>
      <c r="M5313" s="3">
        <v>40536</v>
      </c>
      <c r="N5313" s="2" t="s">
        <v>16212</v>
      </c>
      <c r="O5313" s="2" t="s">
        <v>82</v>
      </c>
      <c r="P5313" s="2" t="s">
        <v>82</v>
      </c>
      <c r="Q5313" s="2" t="str">
        <f>"471-A/10"</f>
        <v>471-A/10</v>
      </c>
      <c r="R5313" s="2" t="s">
        <v>671</v>
      </c>
      <c r="S5313" s="2" t="s">
        <v>82</v>
      </c>
      <c r="T5313" s="2">
        <v>1</v>
      </c>
      <c r="U5313" s="2" t="s">
        <v>79</v>
      </c>
      <c r="V5313" s="2">
        <v>1</v>
      </c>
      <c r="W5313" s="2" t="s">
        <v>80</v>
      </c>
      <c r="X5313" s="2">
        <v>1</v>
      </c>
      <c r="Y5313" s="2" t="s">
        <v>81</v>
      </c>
      <c r="Z5313" s="2">
        <v>1</v>
      </c>
      <c r="AA5313" s="2" t="s">
        <v>82</v>
      </c>
      <c r="AB5313" s="2">
        <v>6</v>
      </c>
      <c r="AC5313" s="2" t="s">
        <v>83</v>
      </c>
      <c r="AD5313" s="3">
        <v>40535</v>
      </c>
      <c r="AE5313" s="4">
        <v>0.55902777777777779</v>
      </c>
      <c r="AF5313" s="3">
        <v>40535</v>
      </c>
      <c r="AG5313" s="4">
        <v>0.5625</v>
      </c>
      <c r="AH5313" s="2">
        <v>2</v>
      </c>
      <c r="AI5313" s="2" t="s">
        <v>84</v>
      </c>
      <c r="AJ5313" s="2">
        <v>12</v>
      </c>
      <c r="AK5313" s="2" t="s">
        <v>85</v>
      </c>
      <c r="AL5313" s="2">
        <v>24</v>
      </c>
      <c r="AM5313" s="2" t="s">
        <v>1540</v>
      </c>
      <c r="AN5313" s="2" t="s">
        <v>1733</v>
      </c>
      <c r="AO5313" s="2" t="s">
        <v>16249</v>
      </c>
      <c r="AP5313" s="2">
        <v>11</v>
      </c>
      <c r="AQ5313" s="2" t="s">
        <v>82</v>
      </c>
      <c r="AR5313" s="2"/>
      <c r="AS5313" s="2"/>
      <c r="AT5313" s="2" t="s">
        <v>16250</v>
      </c>
      <c r="AU5313" s="2">
        <v>2</v>
      </c>
      <c r="AV5313" s="2"/>
      <c r="AW5313" s="2"/>
      <c r="AX5313" s="2"/>
      <c r="AY5313" s="2">
        <v>41</v>
      </c>
      <c r="AZ5313" s="2" t="s">
        <v>82</v>
      </c>
      <c r="BA5313" s="2">
        <v>41</v>
      </c>
      <c r="BB5313" s="2" t="s">
        <v>82</v>
      </c>
      <c r="BC5313" s="2">
        <v>41</v>
      </c>
      <c r="BD5313" s="2" t="s">
        <v>82</v>
      </c>
      <c r="BE5313" s="2">
        <v>41</v>
      </c>
      <c r="BF5313" s="2" t="s">
        <v>82</v>
      </c>
      <c r="BG5313" s="2"/>
      <c r="BH5313" s="2"/>
      <c r="BI5313" s="2"/>
      <c r="BJ5313" s="2">
        <v>241</v>
      </c>
      <c r="BK5313" s="2" t="s">
        <v>82</v>
      </c>
      <c r="BL5313" s="2"/>
      <c r="BM5313" s="2">
        <v>241</v>
      </c>
      <c r="BN5313" s="2" t="s">
        <v>82</v>
      </c>
      <c r="BO5313" s="2"/>
      <c r="BP5313" s="2">
        <v>241</v>
      </c>
      <c r="BQ5313" s="2" t="s">
        <v>82</v>
      </c>
      <c r="BR5313" s="2"/>
      <c r="BS5313" s="3">
        <v>40536</v>
      </c>
      <c r="BT5313" s="4">
        <v>0.70020833333333332</v>
      </c>
    </row>
    <row r="5314" spans="1:72" x14ac:dyDescent="0.25">
      <c r="A5314" s="2">
        <v>8218</v>
      </c>
      <c r="B5314" s="2">
        <v>2010</v>
      </c>
      <c r="C5314" s="2" t="s">
        <v>72</v>
      </c>
      <c r="D5314" s="2" t="s">
        <v>122</v>
      </c>
      <c r="E5314" s="2" t="s">
        <v>16251</v>
      </c>
      <c r="F5314" s="2">
        <v>235</v>
      </c>
      <c r="G5314" s="2" t="s">
        <v>16233</v>
      </c>
      <c r="H5314" s="2">
        <v>5</v>
      </c>
      <c r="I5314" s="2" t="s">
        <v>634</v>
      </c>
      <c r="J5314" s="2">
        <v>247</v>
      </c>
      <c r="K5314" s="2" t="s">
        <v>16234</v>
      </c>
      <c r="L5314" s="2" t="s">
        <v>1626</v>
      </c>
      <c r="M5314" s="3">
        <v>40536</v>
      </c>
      <c r="N5314" s="2" t="s">
        <v>16235</v>
      </c>
      <c r="O5314" s="2"/>
      <c r="P5314" s="2"/>
      <c r="Q5314" s="2" t="str">
        <f>"473-A/10"</f>
        <v>473-A/10</v>
      </c>
      <c r="R5314" s="2" t="s">
        <v>302</v>
      </c>
      <c r="S5314" s="2"/>
      <c r="T5314" s="2">
        <v>1</v>
      </c>
      <c r="U5314" s="2" t="s">
        <v>79</v>
      </c>
      <c r="V5314" s="2">
        <v>1</v>
      </c>
      <c r="W5314" s="2" t="s">
        <v>80</v>
      </c>
      <c r="X5314" s="2">
        <v>1</v>
      </c>
      <c r="Y5314" s="2" t="s">
        <v>81</v>
      </c>
      <c r="Z5314" s="2">
        <v>1</v>
      </c>
      <c r="AA5314" s="2" t="s">
        <v>82</v>
      </c>
      <c r="AB5314" s="2">
        <v>6</v>
      </c>
      <c r="AC5314" s="2" t="s">
        <v>83</v>
      </c>
      <c r="AD5314" s="3">
        <v>40535</v>
      </c>
      <c r="AE5314" s="4">
        <v>0.9375</v>
      </c>
      <c r="AF5314" s="3">
        <v>40536</v>
      </c>
      <c r="AG5314" s="2"/>
      <c r="AH5314" s="2">
        <v>2</v>
      </c>
      <c r="AI5314" s="2" t="s">
        <v>84</v>
      </c>
      <c r="AJ5314" s="2">
        <v>12</v>
      </c>
      <c r="AK5314" s="2" t="s">
        <v>85</v>
      </c>
      <c r="AL5314" s="2">
        <v>21</v>
      </c>
      <c r="AM5314" s="2" t="s">
        <v>1311</v>
      </c>
      <c r="AN5314" s="2" t="s">
        <v>1714</v>
      </c>
      <c r="AO5314" s="2"/>
      <c r="AP5314" s="2">
        <v>11</v>
      </c>
      <c r="AQ5314" s="2" t="s">
        <v>82</v>
      </c>
      <c r="AR5314" s="2"/>
      <c r="AS5314" s="2"/>
      <c r="AT5314" s="2" t="s">
        <v>16252</v>
      </c>
      <c r="AU5314" s="2">
        <v>3</v>
      </c>
      <c r="AV5314" s="2"/>
      <c r="AW5314" s="2"/>
      <c r="AX5314" s="2"/>
      <c r="AY5314" s="2">
        <v>41</v>
      </c>
      <c r="AZ5314" s="2" t="s">
        <v>82</v>
      </c>
      <c r="BA5314" s="2">
        <v>41</v>
      </c>
      <c r="BB5314" s="2" t="s">
        <v>82</v>
      </c>
      <c r="BC5314" s="2">
        <v>41</v>
      </c>
      <c r="BD5314" s="2" t="s">
        <v>82</v>
      </c>
      <c r="BE5314" s="2">
        <v>41</v>
      </c>
      <c r="BF5314" s="2" t="s">
        <v>82</v>
      </c>
      <c r="BG5314" s="2"/>
      <c r="BH5314" s="2"/>
      <c r="BI5314" s="2"/>
      <c r="BJ5314" s="2">
        <v>241</v>
      </c>
      <c r="BK5314" s="2" t="s">
        <v>82</v>
      </c>
      <c r="BL5314" s="2"/>
      <c r="BM5314" s="2">
        <v>241</v>
      </c>
      <c r="BN5314" s="2" t="s">
        <v>82</v>
      </c>
      <c r="BO5314" s="2"/>
      <c r="BP5314" s="2">
        <v>241</v>
      </c>
      <c r="BQ5314" s="2" t="s">
        <v>82</v>
      </c>
      <c r="BR5314" s="2"/>
      <c r="BS5314" s="3">
        <v>40536</v>
      </c>
      <c r="BT5314" s="4">
        <v>0.70950231481481485</v>
      </c>
    </row>
    <row r="5315" spans="1:72" x14ac:dyDescent="0.25">
      <c r="A5315" s="2">
        <v>8220</v>
      </c>
      <c r="B5315" s="2">
        <v>2010</v>
      </c>
      <c r="C5315" s="2" t="s">
        <v>171</v>
      </c>
      <c r="D5315" s="2" t="s">
        <v>122</v>
      </c>
      <c r="E5315" s="2" t="s">
        <v>16103</v>
      </c>
      <c r="F5315" s="2">
        <v>393</v>
      </c>
      <c r="G5315" s="2" t="s">
        <v>3660</v>
      </c>
      <c r="H5315" s="2">
        <v>3</v>
      </c>
      <c r="I5315" s="2" t="s">
        <v>315</v>
      </c>
      <c r="J5315" s="2">
        <v>2</v>
      </c>
      <c r="K5315" s="2" t="s">
        <v>3661</v>
      </c>
      <c r="L5315" s="2" t="s">
        <v>3662</v>
      </c>
      <c r="M5315" s="3">
        <v>40536</v>
      </c>
      <c r="N5315" s="2" t="s">
        <v>10885</v>
      </c>
      <c r="O5315" s="2"/>
      <c r="P5315" s="2"/>
      <c r="Q5315" s="2" t="str">
        <f>"681-E/10"</f>
        <v>681-E/10</v>
      </c>
      <c r="R5315" s="2" t="s">
        <v>391</v>
      </c>
      <c r="S5315" s="2" t="s">
        <v>391</v>
      </c>
      <c r="T5315" s="2">
        <v>1</v>
      </c>
      <c r="U5315" s="2" t="s">
        <v>79</v>
      </c>
      <c r="V5315" s="2">
        <v>1</v>
      </c>
      <c r="W5315" s="2" t="s">
        <v>80</v>
      </c>
      <c r="X5315" s="2">
        <v>1</v>
      </c>
      <c r="Y5315" s="2" t="s">
        <v>81</v>
      </c>
      <c r="Z5315" s="2">
        <v>10</v>
      </c>
      <c r="AA5315" s="2" t="s">
        <v>236</v>
      </c>
      <c r="AB5315" s="2">
        <v>1</v>
      </c>
      <c r="AC5315" s="2" t="s">
        <v>178</v>
      </c>
      <c r="AD5315" s="3">
        <v>40530</v>
      </c>
      <c r="AE5315" s="4">
        <v>0.86805555555555547</v>
      </c>
      <c r="AF5315" s="3">
        <v>40530</v>
      </c>
      <c r="AG5315" s="4">
        <v>0.91666666666666663</v>
      </c>
      <c r="AH5315" s="2">
        <v>2</v>
      </c>
      <c r="AI5315" s="2" t="s">
        <v>84</v>
      </c>
      <c r="AJ5315" s="2">
        <v>9</v>
      </c>
      <c r="AK5315" s="2" t="s">
        <v>103</v>
      </c>
      <c r="AL5315" s="2">
        <v>13</v>
      </c>
      <c r="AM5315" s="2" t="s">
        <v>117</v>
      </c>
      <c r="AN5315" s="2"/>
      <c r="AO5315" s="2"/>
      <c r="AP5315" s="2">
        <v>11</v>
      </c>
      <c r="AQ5315" s="2" t="s">
        <v>82</v>
      </c>
      <c r="AR5315" s="2"/>
      <c r="AS5315" s="2"/>
      <c r="AT5315" s="2" t="s">
        <v>16253</v>
      </c>
      <c r="AU5315" s="2"/>
      <c r="AV5315" s="2">
        <v>2</v>
      </c>
      <c r="AW5315" s="2"/>
      <c r="AX5315" s="2"/>
      <c r="AY5315" s="2">
        <v>41</v>
      </c>
      <c r="AZ5315" s="2" t="s">
        <v>82</v>
      </c>
      <c r="BA5315" s="2">
        <v>41</v>
      </c>
      <c r="BB5315" s="2" t="s">
        <v>82</v>
      </c>
      <c r="BC5315" s="2">
        <v>41</v>
      </c>
      <c r="BD5315" s="2" t="s">
        <v>82</v>
      </c>
      <c r="BE5315" s="2">
        <v>13</v>
      </c>
      <c r="BF5315" s="2" t="s">
        <v>108</v>
      </c>
      <c r="BG5315" s="2">
        <v>1132</v>
      </c>
      <c r="BH5315" s="2"/>
      <c r="BI5315" s="4">
        <v>0.93055555555555547</v>
      </c>
      <c r="BJ5315" s="2">
        <v>13</v>
      </c>
      <c r="BK5315" s="2" t="s">
        <v>91</v>
      </c>
      <c r="BL5315" s="2" t="s">
        <v>360</v>
      </c>
      <c r="BM5315" s="2">
        <v>73</v>
      </c>
      <c r="BN5315" s="2" t="s">
        <v>186</v>
      </c>
      <c r="BO5315" s="2"/>
      <c r="BP5315" s="2">
        <v>73</v>
      </c>
      <c r="BQ5315" s="2" t="s">
        <v>186</v>
      </c>
      <c r="BR5315" s="2" t="s">
        <v>187</v>
      </c>
      <c r="BS5315" s="3">
        <v>40536</v>
      </c>
      <c r="BT5315" s="4">
        <v>0.81253472222222223</v>
      </c>
    </row>
    <row r="5316" spans="1:72" x14ac:dyDescent="0.25">
      <c r="A5316" s="2">
        <v>8221</v>
      </c>
      <c r="B5316" s="2">
        <v>2010</v>
      </c>
      <c r="C5316" s="2" t="s">
        <v>93</v>
      </c>
      <c r="D5316" s="2" t="s">
        <v>73</v>
      </c>
      <c r="E5316" s="2"/>
      <c r="F5316" s="2">
        <v>389</v>
      </c>
      <c r="G5316" s="2" t="s">
        <v>1819</v>
      </c>
      <c r="H5316" s="2">
        <v>2</v>
      </c>
      <c r="I5316" s="2" t="s">
        <v>267</v>
      </c>
      <c r="J5316" s="2">
        <v>399</v>
      </c>
      <c r="K5316" s="2" t="s">
        <v>1820</v>
      </c>
      <c r="L5316" s="2" t="s">
        <v>1821</v>
      </c>
      <c r="M5316" s="3">
        <v>40537</v>
      </c>
      <c r="N5316" s="2" t="s">
        <v>5653</v>
      </c>
      <c r="O5316" s="2" t="s">
        <v>16254</v>
      </c>
      <c r="P5316" s="2" t="s">
        <v>16255</v>
      </c>
      <c r="Q5316" s="2" t="str">
        <f>""</f>
        <v/>
      </c>
      <c r="R5316" s="2"/>
      <c r="S5316" s="2"/>
      <c r="T5316" s="2">
        <v>1</v>
      </c>
      <c r="U5316" s="2" t="s">
        <v>79</v>
      </c>
      <c r="V5316" s="2">
        <v>1</v>
      </c>
      <c r="W5316" s="2" t="s">
        <v>80</v>
      </c>
      <c r="X5316" s="2">
        <v>10</v>
      </c>
      <c r="Y5316" s="2" t="s">
        <v>226</v>
      </c>
      <c r="Z5316" s="2">
        <v>6</v>
      </c>
      <c r="AA5316" s="2" t="s">
        <v>101</v>
      </c>
      <c r="AB5316" s="2">
        <v>2</v>
      </c>
      <c r="AC5316" s="2" t="s">
        <v>102</v>
      </c>
      <c r="AD5316" s="3">
        <v>40536</v>
      </c>
      <c r="AE5316" s="4">
        <v>0.70833333333333337</v>
      </c>
      <c r="AF5316" s="3">
        <v>40536</v>
      </c>
      <c r="AG5316" s="4">
        <v>0.875</v>
      </c>
      <c r="AH5316" s="2">
        <v>2</v>
      </c>
      <c r="AI5316" s="2" t="s">
        <v>84</v>
      </c>
      <c r="AJ5316" s="2">
        <v>9</v>
      </c>
      <c r="AK5316" s="2" t="s">
        <v>103</v>
      </c>
      <c r="AL5316" s="2">
        <v>15</v>
      </c>
      <c r="AM5316" s="2" t="s">
        <v>104</v>
      </c>
      <c r="AN5316" s="2"/>
      <c r="AO5316" s="2" t="s">
        <v>105</v>
      </c>
      <c r="AP5316" s="2">
        <v>11</v>
      </c>
      <c r="AQ5316" s="2" t="s">
        <v>82</v>
      </c>
      <c r="AR5316" s="2"/>
      <c r="AS5316" s="2"/>
      <c r="AT5316" s="2" t="s">
        <v>16256</v>
      </c>
      <c r="AU5316" s="2">
        <v>1</v>
      </c>
      <c r="AV5316" s="2"/>
      <c r="AW5316" s="2"/>
      <c r="AX5316" s="2"/>
      <c r="AY5316" s="2">
        <v>41</v>
      </c>
      <c r="AZ5316" s="2" t="s">
        <v>82</v>
      </c>
      <c r="BA5316" s="2">
        <v>41</v>
      </c>
      <c r="BB5316" s="2" t="s">
        <v>82</v>
      </c>
      <c r="BC5316" s="2">
        <v>41</v>
      </c>
      <c r="BD5316" s="2" t="s">
        <v>82</v>
      </c>
      <c r="BE5316" s="2">
        <v>13</v>
      </c>
      <c r="BF5316" s="2" t="s">
        <v>108</v>
      </c>
      <c r="BG5316" s="2">
        <v>1363</v>
      </c>
      <c r="BH5316" s="2"/>
      <c r="BI5316" s="2"/>
      <c r="BJ5316" s="2">
        <v>29</v>
      </c>
      <c r="BK5316" s="2" t="s">
        <v>962</v>
      </c>
      <c r="BL5316" s="2" t="s">
        <v>963</v>
      </c>
      <c r="BM5316" s="2">
        <v>13</v>
      </c>
      <c r="BN5316" s="2" t="s">
        <v>91</v>
      </c>
      <c r="BO5316" s="2"/>
      <c r="BP5316" s="2">
        <v>13</v>
      </c>
      <c r="BQ5316" s="2" t="s">
        <v>91</v>
      </c>
      <c r="BR5316" s="2" t="s">
        <v>360</v>
      </c>
      <c r="BS5316" s="3">
        <v>40537</v>
      </c>
      <c r="BT5316" s="4">
        <v>0.40111111111111114</v>
      </c>
    </row>
    <row r="5317" spans="1:72" x14ac:dyDescent="0.25">
      <c r="A5317" s="2">
        <v>8222</v>
      </c>
      <c r="B5317" s="2">
        <v>2010</v>
      </c>
      <c r="C5317" s="2" t="s">
        <v>72</v>
      </c>
      <c r="D5317" s="2" t="s">
        <v>73</v>
      </c>
      <c r="E5317" s="2"/>
      <c r="F5317" s="2">
        <v>533</v>
      </c>
      <c r="G5317" s="2" t="s">
        <v>3397</v>
      </c>
      <c r="H5317" s="2">
        <v>3</v>
      </c>
      <c r="I5317" s="2" t="s">
        <v>315</v>
      </c>
      <c r="J5317" s="2">
        <v>462</v>
      </c>
      <c r="K5317" s="2" t="s">
        <v>3398</v>
      </c>
      <c r="L5317" s="2" t="s">
        <v>3399</v>
      </c>
      <c r="M5317" s="3">
        <v>40537</v>
      </c>
      <c r="N5317" s="2" t="s">
        <v>7914</v>
      </c>
      <c r="O5317" s="2"/>
      <c r="P5317" s="2"/>
      <c r="Q5317" s="2" t="str">
        <f>"0157/2010"</f>
        <v>0157/2010</v>
      </c>
      <c r="R5317" s="2"/>
      <c r="S5317" s="2"/>
      <c r="T5317" s="2">
        <v>1</v>
      </c>
      <c r="U5317" s="2" t="s">
        <v>79</v>
      </c>
      <c r="V5317" s="2">
        <v>1</v>
      </c>
      <c r="W5317" s="2" t="s">
        <v>80</v>
      </c>
      <c r="X5317" s="2">
        <v>12</v>
      </c>
      <c r="Y5317" s="2" t="s">
        <v>148</v>
      </c>
      <c r="Z5317" s="2">
        <v>1</v>
      </c>
      <c r="AA5317" s="2" t="s">
        <v>82</v>
      </c>
      <c r="AB5317" s="2">
        <v>6</v>
      </c>
      <c r="AC5317" s="2" t="s">
        <v>83</v>
      </c>
      <c r="AD5317" s="3">
        <v>40536</v>
      </c>
      <c r="AE5317" s="4">
        <v>0.67708333333333337</v>
      </c>
      <c r="AF5317" s="3">
        <v>40537</v>
      </c>
      <c r="AG5317" s="4">
        <v>0.39930555555555558</v>
      </c>
      <c r="AH5317" s="2">
        <v>5</v>
      </c>
      <c r="AI5317" s="2" t="s">
        <v>274</v>
      </c>
      <c r="AJ5317" s="2">
        <v>38</v>
      </c>
      <c r="AK5317" s="2" t="s">
        <v>1120</v>
      </c>
      <c r="AL5317" s="2">
        <v>22</v>
      </c>
      <c r="AM5317" s="2" t="s">
        <v>1853</v>
      </c>
      <c r="AN5317" s="2"/>
      <c r="AO5317" s="2"/>
      <c r="AP5317" s="2">
        <v>11</v>
      </c>
      <c r="AQ5317" s="2" t="s">
        <v>82</v>
      </c>
      <c r="AR5317" s="2"/>
      <c r="AS5317" s="2"/>
      <c r="AT5317" s="2" t="s">
        <v>16257</v>
      </c>
      <c r="AU5317" s="2"/>
      <c r="AV5317" s="2"/>
      <c r="AW5317" s="2"/>
      <c r="AX5317" s="2"/>
      <c r="AY5317" s="2">
        <v>41</v>
      </c>
      <c r="AZ5317" s="2" t="s">
        <v>82</v>
      </c>
      <c r="BA5317" s="2">
        <v>41</v>
      </c>
      <c r="BB5317" s="2" t="s">
        <v>82</v>
      </c>
      <c r="BC5317" s="2">
        <v>41</v>
      </c>
      <c r="BD5317" s="2" t="s">
        <v>82</v>
      </c>
      <c r="BE5317" s="2">
        <v>33</v>
      </c>
      <c r="BF5317" s="2" t="s">
        <v>1083</v>
      </c>
      <c r="BG5317" s="2" t="s">
        <v>10784</v>
      </c>
      <c r="BH5317" s="4">
        <v>0.67708333333333337</v>
      </c>
      <c r="BI5317" s="4">
        <v>0.41319444444444442</v>
      </c>
      <c r="BJ5317" s="2">
        <v>205</v>
      </c>
      <c r="BK5317" s="2" t="s">
        <v>1085</v>
      </c>
      <c r="BL5317" s="2" t="s">
        <v>1086</v>
      </c>
      <c r="BM5317" s="2">
        <v>13</v>
      </c>
      <c r="BN5317" s="2" t="s">
        <v>91</v>
      </c>
      <c r="BO5317" s="2"/>
      <c r="BP5317" s="2">
        <v>13</v>
      </c>
      <c r="BQ5317" s="2" t="s">
        <v>91</v>
      </c>
      <c r="BR5317" s="2" t="s">
        <v>360</v>
      </c>
      <c r="BS5317" s="3">
        <v>40537</v>
      </c>
      <c r="BT5317" s="4">
        <v>0.48233796296296294</v>
      </c>
    </row>
    <row r="5318" spans="1:72" x14ac:dyDescent="0.25">
      <c r="A5318" s="2">
        <v>8223</v>
      </c>
      <c r="B5318" s="2">
        <v>2010</v>
      </c>
      <c r="C5318" s="2" t="s">
        <v>93</v>
      </c>
      <c r="D5318" s="2" t="s">
        <v>73</v>
      </c>
      <c r="E5318" s="2"/>
      <c r="F5318" s="2">
        <v>756</v>
      </c>
      <c r="G5318" s="2" t="s">
        <v>16258</v>
      </c>
      <c r="H5318" s="2">
        <v>164</v>
      </c>
      <c r="I5318" s="2" t="s">
        <v>16259</v>
      </c>
      <c r="J5318" s="2">
        <v>173</v>
      </c>
      <c r="K5318" s="2" t="s">
        <v>11569</v>
      </c>
      <c r="L5318" s="2" t="s">
        <v>11570</v>
      </c>
      <c r="M5318" s="3">
        <v>40538</v>
      </c>
      <c r="N5318" s="2" t="s">
        <v>11939</v>
      </c>
      <c r="O5318" s="2" t="s">
        <v>116</v>
      </c>
      <c r="P5318" s="7">
        <v>26267</v>
      </c>
      <c r="Q5318" s="2" t="str">
        <f>""</f>
        <v/>
      </c>
      <c r="R5318" s="2"/>
      <c r="S5318" s="2"/>
      <c r="T5318" s="2">
        <v>1</v>
      </c>
      <c r="U5318" s="2" t="s">
        <v>79</v>
      </c>
      <c r="V5318" s="2">
        <v>1</v>
      </c>
      <c r="W5318" s="2" t="s">
        <v>80</v>
      </c>
      <c r="X5318" s="2">
        <v>10</v>
      </c>
      <c r="Y5318" s="2" t="s">
        <v>226</v>
      </c>
      <c r="Z5318" s="2">
        <v>6</v>
      </c>
      <c r="AA5318" s="2" t="s">
        <v>101</v>
      </c>
      <c r="AB5318" s="2">
        <v>2</v>
      </c>
      <c r="AC5318" s="2" t="s">
        <v>102</v>
      </c>
      <c r="AD5318" s="3">
        <v>40536</v>
      </c>
      <c r="AE5318" s="4">
        <v>0.95833333333333337</v>
      </c>
      <c r="AF5318" s="3">
        <v>40537</v>
      </c>
      <c r="AG5318" s="4">
        <v>0.125</v>
      </c>
      <c r="AH5318" s="2">
        <v>2</v>
      </c>
      <c r="AI5318" s="2" t="s">
        <v>84</v>
      </c>
      <c r="AJ5318" s="2">
        <v>9</v>
      </c>
      <c r="AK5318" s="2" t="s">
        <v>103</v>
      </c>
      <c r="AL5318" s="2">
        <v>15</v>
      </c>
      <c r="AM5318" s="2" t="s">
        <v>104</v>
      </c>
      <c r="AN5318" s="2" t="s">
        <v>16260</v>
      </c>
      <c r="AO5318" s="2"/>
      <c r="AP5318" s="2">
        <v>11</v>
      </c>
      <c r="AQ5318" s="2" t="s">
        <v>82</v>
      </c>
      <c r="AR5318" s="2"/>
      <c r="AS5318" s="2"/>
      <c r="AT5318" s="2" t="s">
        <v>16261</v>
      </c>
      <c r="AU5318" s="2"/>
      <c r="AV5318" s="2"/>
      <c r="AW5318" s="2"/>
      <c r="AX5318" s="2"/>
      <c r="AY5318" s="2">
        <v>41</v>
      </c>
      <c r="AZ5318" s="2" t="s">
        <v>82</v>
      </c>
      <c r="BA5318" s="2">
        <v>41</v>
      </c>
      <c r="BB5318" s="2" t="s">
        <v>82</v>
      </c>
      <c r="BC5318" s="2">
        <v>41</v>
      </c>
      <c r="BD5318" s="2" t="s">
        <v>82</v>
      </c>
      <c r="BE5318" s="2">
        <v>13</v>
      </c>
      <c r="BF5318" s="2" t="s">
        <v>108</v>
      </c>
      <c r="BG5318" s="2" t="s">
        <v>592</v>
      </c>
      <c r="BH5318" s="2"/>
      <c r="BI5318" s="2"/>
      <c r="BJ5318" s="2">
        <v>13</v>
      </c>
      <c r="BK5318" s="2" t="s">
        <v>91</v>
      </c>
      <c r="BL5318" s="2" t="s">
        <v>360</v>
      </c>
      <c r="BM5318" s="2">
        <v>112</v>
      </c>
      <c r="BN5318" s="2" t="s">
        <v>110</v>
      </c>
      <c r="BO5318" s="2"/>
      <c r="BP5318" s="2">
        <v>112</v>
      </c>
      <c r="BQ5318" s="2" t="s">
        <v>110</v>
      </c>
      <c r="BR5318" s="2" t="s">
        <v>111</v>
      </c>
      <c r="BS5318" s="3">
        <v>40538</v>
      </c>
      <c r="BT5318" s="4">
        <v>0.1733564814814815</v>
      </c>
    </row>
    <row r="5319" spans="1:72" x14ac:dyDescent="0.25">
      <c r="A5319" s="2">
        <v>8224</v>
      </c>
      <c r="B5319" s="2">
        <v>2010</v>
      </c>
      <c r="C5319" s="2" t="s">
        <v>377</v>
      </c>
      <c r="D5319" s="2" t="s">
        <v>73</v>
      </c>
      <c r="E5319" s="2"/>
      <c r="F5319" s="2">
        <v>426</v>
      </c>
      <c r="G5319" s="2" t="s">
        <v>378</v>
      </c>
      <c r="H5319" s="2">
        <v>108</v>
      </c>
      <c r="I5319" s="2" t="s">
        <v>1096</v>
      </c>
      <c r="J5319" s="2">
        <v>311</v>
      </c>
      <c r="K5319" s="2" t="s">
        <v>379</v>
      </c>
      <c r="L5319" s="2" t="s">
        <v>380</v>
      </c>
      <c r="M5319" s="3">
        <v>40538</v>
      </c>
      <c r="N5319" s="2" t="s">
        <v>7171</v>
      </c>
      <c r="O5319" s="2"/>
      <c r="P5319" s="2"/>
      <c r="Q5319" s="2" t="str">
        <f>"308-C/10"</f>
        <v>308-C/10</v>
      </c>
      <c r="R5319" s="2"/>
      <c r="S5319" s="2" t="s">
        <v>3458</v>
      </c>
      <c r="T5319" s="2">
        <v>1</v>
      </c>
      <c r="U5319" s="2" t="s">
        <v>79</v>
      </c>
      <c r="V5319" s="2">
        <v>1</v>
      </c>
      <c r="W5319" s="2" t="s">
        <v>80</v>
      </c>
      <c r="X5319" s="2">
        <v>1</v>
      </c>
      <c r="Y5319" s="2" t="s">
        <v>81</v>
      </c>
      <c r="Z5319" s="2">
        <v>1</v>
      </c>
      <c r="AA5319" s="2" t="s">
        <v>82</v>
      </c>
      <c r="AB5319" s="2">
        <v>9</v>
      </c>
      <c r="AC5319" s="2" t="s">
        <v>124</v>
      </c>
      <c r="AD5319" s="3">
        <v>40537</v>
      </c>
      <c r="AE5319" s="4">
        <v>0.44791666666666669</v>
      </c>
      <c r="AF5319" s="3">
        <v>40537</v>
      </c>
      <c r="AG5319" s="4">
        <v>0.60416666666666663</v>
      </c>
      <c r="AH5319" s="2">
        <v>2</v>
      </c>
      <c r="AI5319" s="2" t="s">
        <v>84</v>
      </c>
      <c r="AJ5319" s="2">
        <v>9</v>
      </c>
      <c r="AK5319" s="2" t="s">
        <v>103</v>
      </c>
      <c r="AL5319" s="2">
        <v>29</v>
      </c>
      <c r="AM5319" s="2" t="s">
        <v>5416</v>
      </c>
      <c r="AN5319" s="2" t="s">
        <v>16262</v>
      </c>
      <c r="AO5319" s="2" t="s">
        <v>987</v>
      </c>
      <c r="AP5319" s="2">
        <v>11</v>
      </c>
      <c r="AQ5319" s="2" t="s">
        <v>82</v>
      </c>
      <c r="AR5319" s="2"/>
      <c r="AS5319" s="2"/>
      <c r="AT5319" s="2" t="s">
        <v>16263</v>
      </c>
      <c r="AU5319" s="2"/>
      <c r="AV5319" s="2"/>
      <c r="AW5319" s="2"/>
      <c r="AX5319" s="2"/>
      <c r="AY5319" s="2">
        <v>41</v>
      </c>
      <c r="AZ5319" s="2" t="s">
        <v>82</v>
      </c>
      <c r="BA5319" s="2">
        <v>41</v>
      </c>
      <c r="BB5319" s="2" t="s">
        <v>82</v>
      </c>
      <c r="BC5319" s="2">
        <v>41</v>
      </c>
      <c r="BD5319" s="2" t="s">
        <v>82</v>
      </c>
      <c r="BE5319" s="2">
        <v>41</v>
      </c>
      <c r="BF5319" s="2" t="s">
        <v>82</v>
      </c>
      <c r="BG5319" s="2"/>
      <c r="BH5319" s="2"/>
      <c r="BI5319" s="2"/>
      <c r="BJ5319" s="2">
        <v>241</v>
      </c>
      <c r="BK5319" s="2" t="s">
        <v>82</v>
      </c>
      <c r="BL5319" s="2"/>
      <c r="BM5319" s="2">
        <v>241</v>
      </c>
      <c r="BN5319" s="2" t="s">
        <v>82</v>
      </c>
      <c r="BO5319" s="2"/>
      <c r="BP5319" s="2">
        <v>241</v>
      </c>
      <c r="BQ5319" s="2" t="s">
        <v>82</v>
      </c>
      <c r="BR5319" s="2"/>
      <c r="BS5319" s="3">
        <v>40538</v>
      </c>
      <c r="BT5319" s="4">
        <v>0.22770833333333332</v>
      </c>
    </row>
    <row r="5320" spans="1:72" x14ac:dyDescent="0.25">
      <c r="A5320" s="2">
        <v>8225</v>
      </c>
      <c r="B5320" s="2">
        <v>2010</v>
      </c>
      <c r="C5320" s="2" t="s">
        <v>377</v>
      </c>
      <c r="D5320" s="2" t="s">
        <v>73</v>
      </c>
      <c r="E5320" s="2"/>
      <c r="F5320" s="2">
        <v>426</v>
      </c>
      <c r="G5320" s="2" t="s">
        <v>378</v>
      </c>
      <c r="H5320" s="2">
        <v>108</v>
      </c>
      <c r="I5320" s="2" t="s">
        <v>1096</v>
      </c>
      <c r="J5320" s="2">
        <v>311</v>
      </c>
      <c r="K5320" s="2" t="s">
        <v>379</v>
      </c>
      <c r="L5320" s="2" t="s">
        <v>380</v>
      </c>
      <c r="M5320" s="3">
        <v>40538</v>
      </c>
      <c r="N5320" s="2" t="s">
        <v>7171</v>
      </c>
      <c r="O5320" s="2"/>
      <c r="P5320" s="2"/>
      <c r="Q5320" s="2" t="str">
        <f>"309-C/10"</f>
        <v>309-C/10</v>
      </c>
      <c r="R5320" s="2"/>
      <c r="S5320" s="2" t="s">
        <v>3458</v>
      </c>
      <c r="T5320" s="2">
        <v>1</v>
      </c>
      <c r="U5320" s="2" t="s">
        <v>79</v>
      </c>
      <c r="V5320" s="2">
        <v>1</v>
      </c>
      <c r="W5320" s="2" t="s">
        <v>80</v>
      </c>
      <c r="X5320" s="2">
        <v>1</v>
      </c>
      <c r="Y5320" s="2" t="s">
        <v>81</v>
      </c>
      <c r="Z5320" s="2">
        <v>1</v>
      </c>
      <c r="AA5320" s="2" t="s">
        <v>82</v>
      </c>
      <c r="AB5320" s="2">
        <v>9</v>
      </c>
      <c r="AC5320" s="2" t="s">
        <v>124</v>
      </c>
      <c r="AD5320" s="3">
        <v>40537</v>
      </c>
      <c r="AE5320" s="4">
        <v>0.45833333333333331</v>
      </c>
      <c r="AF5320" s="3">
        <v>40537</v>
      </c>
      <c r="AG5320" s="4">
        <v>0.52083333333333337</v>
      </c>
      <c r="AH5320" s="2">
        <v>2</v>
      </c>
      <c r="AI5320" s="2" t="s">
        <v>84</v>
      </c>
      <c r="AJ5320" s="2">
        <v>9</v>
      </c>
      <c r="AK5320" s="2" t="s">
        <v>103</v>
      </c>
      <c r="AL5320" s="2">
        <v>29</v>
      </c>
      <c r="AM5320" s="2" t="s">
        <v>5416</v>
      </c>
      <c r="AN5320" s="2" t="s">
        <v>16262</v>
      </c>
      <c r="AO5320" s="2" t="s">
        <v>987</v>
      </c>
      <c r="AP5320" s="2">
        <v>11</v>
      </c>
      <c r="AQ5320" s="2" t="s">
        <v>82</v>
      </c>
      <c r="AR5320" s="2"/>
      <c r="AS5320" s="2"/>
      <c r="AT5320" s="2" t="s">
        <v>16264</v>
      </c>
      <c r="AU5320" s="2"/>
      <c r="AV5320" s="2"/>
      <c r="AW5320" s="2"/>
      <c r="AX5320" s="2"/>
      <c r="AY5320" s="2">
        <v>41</v>
      </c>
      <c r="AZ5320" s="2" t="s">
        <v>82</v>
      </c>
      <c r="BA5320" s="2">
        <v>41</v>
      </c>
      <c r="BB5320" s="2" t="s">
        <v>82</v>
      </c>
      <c r="BC5320" s="2">
        <v>41</v>
      </c>
      <c r="BD5320" s="2" t="s">
        <v>82</v>
      </c>
      <c r="BE5320" s="2">
        <v>41</v>
      </c>
      <c r="BF5320" s="2" t="s">
        <v>82</v>
      </c>
      <c r="BG5320" s="2"/>
      <c r="BH5320" s="2"/>
      <c r="BI5320" s="2"/>
      <c r="BJ5320" s="2">
        <v>241</v>
      </c>
      <c r="BK5320" s="2" t="s">
        <v>82</v>
      </c>
      <c r="BL5320" s="2"/>
      <c r="BM5320" s="2">
        <v>241</v>
      </c>
      <c r="BN5320" s="2" t="s">
        <v>82</v>
      </c>
      <c r="BO5320" s="2"/>
      <c r="BP5320" s="2">
        <v>241</v>
      </c>
      <c r="BQ5320" s="2" t="s">
        <v>82</v>
      </c>
      <c r="BR5320" s="2"/>
      <c r="BS5320" s="3">
        <v>40538</v>
      </c>
      <c r="BT5320" s="4">
        <v>0.23930555555555555</v>
      </c>
    </row>
    <row r="5321" spans="1:72" x14ac:dyDescent="0.25">
      <c r="A5321" s="2">
        <v>8226</v>
      </c>
      <c r="B5321" s="2">
        <v>2010</v>
      </c>
      <c r="C5321" s="2" t="s">
        <v>93</v>
      </c>
      <c r="D5321" s="2" t="s">
        <v>122</v>
      </c>
      <c r="E5321" s="2" t="s">
        <v>16265</v>
      </c>
      <c r="F5321" s="2">
        <v>756</v>
      </c>
      <c r="G5321" s="2" t="s">
        <v>16258</v>
      </c>
      <c r="H5321" s="2">
        <v>164</v>
      </c>
      <c r="I5321" s="2" t="s">
        <v>16259</v>
      </c>
      <c r="J5321" s="2">
        <v>173</v>
      </c>
      <c r="K5321" s="2" t="s">
        <v>11569</v>
      </c>
      <c r="L5321" s="2" t="s">
        <v>11570</v>
      </c>
      <c r="M5321" s="3">
        <v>40538</v>
      </c>
      <c r="N5321" s="2" t="s">
        <v>11939</v>
      </c>
      <c r="O5321" s="2" t="s">
        <v>116</v>
      </c>
      <c r="P5321" s="7">
        <v>26267</v>
      </c>
      <c r="Q5321" s="2" t="str">
        <f>""</f>
        <v/>
      </c>
      <c r="R5321" s="2"/>
      <c r="S5321" s="2"/>
      <c r="T5321" s="2">
        <v>1</v>
      </c>
      <c r="U5321" s="2" t="s">
        <v>79</v>
      </c>
      <c r="V5321" s="2">
        <v>1</v>
      </c>
      <c r="W5321" s="2" t="s">
        <v>80</v>
      </c>
      <c r="X5321" s="2">
        <v>10</v>
      </c>
      <c r="Y5321" s="2" t="s">
        <v>226</v>
      </c>
      <c r="Z5321" s="2">
        <v>6</v>
      </c>
      <c r="AA5321" s="2" t="s">
        <v>101</v>
      </c>
      <c r="AB5321" s="2">
        <v>2</v>
      </c>
      <c r="AC5321" s="2" t="s">
        <v>102</v>
      </c>
      <c r="AD5321" s="3">
        <v>40536</v>
      </c>
      <c r="AE5321" s="4">
        <v>0.95833333333333337</v>
      </c>
      <c r="AF5321" s="3">
        <v>40537</v>
      </c>
      <c r="AG5321" s="4">
        <v>0.125</v>
      </c>
      <c r="AH5321" s="2">
        <v>2</v>
      </c>
      <c r="AI5321" s="2" t="s">
        <v>84</v>
      </c>
      <c r="AJ5321" s="2">
        <v>9</v>
      </c>
      <c r="AK5321" s="2" t="s">
        <v>103</v>
      </c>
      <c r="AL5321" s="2">
        <v>11</v>
      </c>
      <c r="AM5321" s="2" t="s">
        <v>137</v>
      </c>
      <c r="AN5321" s="2" t="s">
        <v>16266</v>
      </c>
      <c r="AO5321" s="2"/>
      <c r="AP5321" s="2">
        <v>11</v>
      </c>
      <c r="AQ5321" s="2" t="s">
        <v>82</v>
      </c>
      <c r="AR5321" s="2"/>
      <c r="AS5321" s="2"/>
      <c r="AT5321" s="2" t="s">
        <v>16267</v>
      </c>
      <c r="AU5321" s="2">
        <v>1</v>
      </c>
      <c r="AV5321" s="2"/>
      <c r="AW5321" s="2"/>
      <c r="AX5321" s="2"/>
      <c r="AY5321" s="2">
        <v>41</v>
      </c>
      <c r="AZ5321" s="2" t="s">
        <v>82</v>
      </c>
      <c r="BA5321" s="2">
        <v>41</v>
      </c>
      <c r="BB5321" s="2" t="s">
        <v>82</v>
      </c>
      <c r="BC5321" s="2">
        <v>41</v>
      </c>
      <c r="BD5321" s="2" t="s">
        <v>82</v>
      </c>
      <c r="BE5321" s="2">
        <v>13</v>
      </c>
      <c r="BF5321" s="2" t="s">
        <v>108</v>
      </c>
      <c r="BG5321" s="2" t="s">
        <v>592</v>
      </c>
      <c r="BH5321" s="4">
        <v>0.41666666666666669</v>
      </c>
      <c r="BI5321" s="4">
        <v>0.97916666666666663</v>
      </c>
      <c r="BJ5321" s="2">
        <v>13</v>
      </c>
      <c r="BK5321" s="2" t="s">
        <v>91</v>
      </c>
      <c r="BL5321" s="2" t="s">
        <v>185</v>
      </c>
      <c r="BM5321" s="2">
        <v>112</v>
      </c>
      <c r="BN5321" s="2" t="s">
        <v>110</v>
      </c>
      <c r="BO5321" s="2"/>
      <c r="BP5321" s="2">
        <v>112</v>
      </c>
      <c r="BQ5321" s="2" t="s">
        <v>110</v>
      </c>
      <c r="BR5321" s="2" t="s">
        <v>111</v>
      </c>
      <c r="BS5321" s="3">
        <v>40538</v>
      </c>
      <c r="BT5321" s="4">
        <v>0.58329861111111114</v>
      </c>
    </row>
    <row r="5322" spans="1:72" x14ac:dyDescent="0.25">
      <c r="A5322" s="2">
        <v>8227</v>
      </c>
      <c r="B5322" s="2">
        <v>2010</v>
      </c>
      <c r="C5322" s="2" t="s">
        <v>4543</v>
      </c>
      <c r="D5322" s="2" t="s">
        <v>122</v>
      </c>
      <c r="E5322" s="2"/>
      <c r="F5322" s="2">
        <v>1</v>
      </c>
      <c r="G5322" s="2" t="s">
        <v>82</v>
      </c>
      <c r="H5322" s="2">
        <v>1</v>
      </c>
      <c r="I5322" s="2" t="s">
        <v>82</v>
      </c>
      <c r="J5322" s="2">
        <v>1</v>
      </c>
      <c r="K5322" s="2" t="s">
        <v>107</v>
      </c>
      <c r="L5322" s="2" t="s">
        <v>107</v>
      </c>
      <c r="M5322" s="3">
        <v>40538</v>
      </c>
      <c r="N5322" s="2"/>
      <c r="O5322" s="2" t="s">
        <v>107</v>
      </c>
      <c r="P5322" s="2" t="s">
        <v>107</v>
      </c>
      <c r="Q5322" s="2" t="str">
        <f>""</f>
        <v/>
      </c>
      <c r="R5322" s="2"/>
      <c r="S5322" s="2"/>
      <c r="T5322" s="2">
        <v>2</v>
      </c>
      <c r="U5322" s="2" t="s">
        <v>123</v>
      </c>
      <c r="V5322" s="2">
        <v>1</v>
      </c>
      <c r="W5322" s="2" t="s">
        <v>80</v>
      </c>
      <c r="X5322" s="2">
        <v>11</v>
      </c>
      <c r="Y5322" s="2" t="s">
        <v>1920</v>
      </c>
      <c r="Z5322" s="2">
        <v>10</v>
      </c>
      <c r="AA5322" s="2" t="s">
        <v>236</v>
      </c>
      <c r="AB5322" s="2">
        <v>9</v>
      </c>
      <c r="AC5322" s="2" t="s">
        <v>124</v>
      </c>
      <c r="AD5322" s="3">
        <v>40538</v>
      </c>
      <c r="AE5322" s="4">
        <v>0.52083333333333337</v>
      </c>
      <c r="AF5322" s="3">
        <v>40538</v>
      </c>
      <c r="AG5322" s="2"/>
      <c r="AH5322" s="2">
        <v>3</v>
      </c>
      <c r="AI5322" s="2" t="s">
        <v>214</v>
      </c>
      <c r="AJ5322" s="2">
        <v>17</v>
      </c>
      <c r="AK5322" s="2" t="s">
        <v>309</v>
      </c>
      <c r="AL5322" s="2">
        <v>10</v>
      </c>
      <c r="AM5322" s="2" t="s">
        <v>200</v>
      </c>
      <c r="AN5322" s="2" t="s">
        <v>82</v>
      </c>
      <c r="AO5322" s="2" t="s">
        <v>16268</v>
      </c>
      <c r="AP5322" s="2">
        <v>11</v>
      </c>
      <c r="AQ5322" s="2" t="s">
        <v>82</v>
      </c>
      <c r="AR5322" s="2"/>
      <c r="AS5322" s="2"/>
      <c r="AT5322" s="2" t="s">
        <v>16269</v>
      </c>
      <c r="AU5322" s="2"/>
      <c r="AV5322" s="2"/>
      <c r="AW5322" s="2"/>
      <c r="AX5322" s="2"/>
      <c r="AY5322" s="2">
        <v>41</v>
      </c>
      <c r="AZ5322" s="2" t="s">
        <v>82</v>
      </c>
      <c r="BA5322" s="2">
        <v>41</v>
      </c>
      <c r="BB5322" s="2" t="s">
        <v>82</v>
      </c>
      <c r="BC5322" s="2">
        <v>41</v>
      </c>
      <c r="BD5322" s="2" t="s">
        <v>82</v>
      </c>
      <c r="BE5322" s="2">
        <v>47</v>
      </c>
      <c r="BF5322" s="2" t="s">
        <v>167</v>
      </c>
      <c r="BG5322" s="2">
        <v>2417</v>
      </c>
      <c r="BH5322" s="4">
        <v>0.54861111111111105</v>
      </c>
      <c r="BI5322" s="4">
        <v>0.52083333333333337</v>
      </c>
      <c r="BJ5322" s="2">
        <v>13</v>
      </c>
      <c r="BK5322" s="2" t="s">
        <v>91</v>
      </c>
      <c r="BL5322" s="2" t="s">
        <v>445</v>
      </c>
      <c r="BM5322" s="2">
        <v>13</v>
      </c>
      <c r="BN5322" s="2" t="s">
        <v>91</v>
      </c>
      <c r="BO5322" s="2"/>
      <c r="BP5322" s="2">
        <v>13</v>
      </c>
      <c r="BQ5322" s="2" t="s">
        <v>91</v>
      </c>
      <c r="BR5322" s="2" t="s">
        <v>185</v>
      </c>
      <c r="BS5322" s="3">
        <v>40538</v>
      </c>
      <c r="BT5322" s="4">
        <v>0.61452546296296295</v>
      </c>
    </row>
    <row r="5323" spans="1:72" x14ac:dyDescent="0.25">
      <c r="A5323" s="2">
        <v>8228</v>
      </c>
      <c r="B5323" s="2">
        <v>2010</v>
      </c>
      <c r="C5323" s="2" t="s">
        <v>196</v>
      </c>
      <c r="D5323" s="2" t="s">
        <v>122</v>
      </c>
      <c r="E5323" s="2"/>
      <c r="F5323" s="2">
        <v>1</v>
      </c>
      <c r="G5323" s="2" t="s">
        <v>82</v>
      </c>
      <c r="H5323" s="2">
        <v>1</v>
      </c>
      <c r="I5323" s="2" t="s">
        <v>82</v>
      </c>
      <c r="J5323" s="2">
        <v>1</v>
      </c>
      <c r="K5323" s="2" t="s">
        <v>107</v>
      </c>
      <c r="L5323" s="2" t="s">
        <v>107</v>
      </c>
      <c r="M5323" s="3">
        <v>40538</v>
      </c>
      <c r="N5323" s="2"/>
      <c r="O5323" s="2"/>
      <c r="P5323" s="2"/>
      <c r="Q5323" s="2" t="str">
        <f>""</f>
        <v/>
      </c>
      <c r="R5323" s="2"/>
      <c r="S5323" s="2"/>
      <c r="T5323" s="2">
        <v>2</v>
      </c>
      <c r="U5323" s="2" t="s">
        <v>123</v>
      </c>
      <c r="V5323" s="2">
        <v>1</v>
      </c>
      <c r="W5323" s="2" t="s">
        <v>80</v>
      </c>
      <c r="X5323" s="2">
        <v>5</v>
      </c>
      <c r="Y5323" s="2" t="s">
        <v>82</v>
      </c>
      <c r="Z5323" s="2">
        <v>1</v>
      </c>
      <c r="AA5323" s="2" t="s">
        <v>82</v>
      </c>
      <c r="AB5323" s="2">
        <v>9</v>
      </c>
      <c r="AC5323" s="2" t="s">
        <v>124</v>
      </c>
      <c r="AD5323" s="3">
        <v>40538</v>
      </c>
      <c r="AE5323" s="4">
        <v>0.64861111111111114</v>
      </c>
      <c r="AF5323" s="3">
        <v>40538</v>
      </c>
      <c r="AG5323" s="4">
        <v>0.65972222222222221</v>
      </c>
      <c r="AH5323" s="2">
        <v>6</v>
      </c>
      <c r="AI5323" s="2" t="s">
        <v>197</v>
      </c>
      <c r="AJ5323" s="2">
        <v>58</v>
      </c>
      <c r="AK5323" s="2" t="s">
        <v>406</v>
      </c>
      <c r="AL5323" s="2">
        <v>19</v>
      </c>
      <c r="AM5323" s="2" t="s">
        <v>107</v>
      </c>
      <c r="AN5323" s="2" t="s">
        <v>5568</v>
      </c>
      <c r="AO5323" s="2" t="s">
        <v>259</v>
      </c>
      <c r="AP5323" s="2">
        <v>11</v>
      </c>
      <c r="AQ5323" s="2" t="s">
        <v>82</v>
      </c>
      <c r="AR5323" s="2"/>
      <c r="AS5323" s="2"/>
      <c r="AT5323" s="2" t="s">
        <v>16270</v>
      </c>
      <c r="AU5323" s="2"/>
      <c r="AV5323" s="2"/>
      <c r="AW5323" s="2"/>
      <c r="AX5323" s="2"/>
      <c r="AY5323" s="2">
        <v>41</v>
      </c>
      <c r="AZ5323" s="2" t="s">
        <v>82</v>
      </c>
      <c r="BA5323" s="2">
        <v>41</v>
      </c>
      <c r="BB5323" s="2" t="s">
        <v>82</v>
      </c>
      <c r="BC5323" s="2">
        <v>41</v>
      </c>
      <c r="BD5323" s="2" t="s">
        <v>82</v>
      </c>
      <c r="BE5323" s="2">
        <v>41</v>
      </c>
      <c r="BF5323" s="2" t="s">
        <v>82</v>
      </c>
      <c r="BG5323" s="2"/>
      <c r="BH5323" s="2"/>
      <c r="BI5323" s="4">
        <v>0.64861111111111114</v>
      </c>
      <c r="BJ5323" s="2">
        <v>241</v>
      </c>
      <c r="BK5323" s="2" t="s">
        <v>82</v>
      </c>
      <c r="BL5323" s="2" t="s">
        <v>492</v>
      </c>
      <c r="BM5323" s="2">
        <v>241</v>
      </c>
      <c r="BN5323" s="2" t="s">
        <v>82</v>
      </c>
      <c r="BO5323" s="2"/>
      <c r="BP5323" s="2">
        <v>13</v>
      </c>
      <c r="BQ5323" s="2" t="s">
        <v>91</v>
      </c>
      <c r="BR5323" s="2" t="s">
        <v>170</v>
      </c>
      <c r="BS5323" s="3">
        <v>40538</v>
      </c>
      <c r="BT5323" s="4">
        <v>0.67109953703703706</v>
      </c>
    </row>
    <row r="5324" spans="1:72" x14ac:dyDescent="0.25">
      <c r="A5324" s="2">
        <v>8229</v>
      </c>
      <c r="B5324" s="2">
        <v>2010</v>
      </c>
      <c r="C5324" s="2" t="s">
        <v>4543</v>
      </c>
      <c r="D5324" s="2" t="s">
        <v>122</v>
      </c>
      <c r="E5324" s="2"/>
      <c r="F5324" s="2">
        <v>146</v>
      </c>
      <c r="G5324" s="2" t="s">
        <v>753</v>
      </c>
      <c r="H5324" s="2">
        <v>39</v>
      </c>
      <c r="I5324" s="2" t="s">
        <v>1117</v>
      </c>
      <c r="J5324" s="2">
        <v>322</v>
      </c>
      <c r="K5324" s="2" t="s">
        <v>754</v>
      </c>
      <c r="L5324" s="2" t="s">
        <v>755</v>
      </c>
      <c r="M5324" s="3">
        <v>40538</v>
      </c>
      <c r="N5324" s="2" t="s">
        <v>756</v>
      </c>
      <c r="O5324" s="2" t="s">
        <v>16271</v>
      </c>
      <c r="P5324" s="2" t="s">
        <v>16272</v>
      </c>
      <c r="Q5324" s="2" t="str">
        <f>"N/C"</f>
        <v>N/C</v>
      </c>
      <c r="R5324" s="2" t="s">
        <v>82</v>
      </c>
      <c r="S5324" s="2" t="s">
        <v>82</v>
      </c>
      <c r="T5324" s="2">
        <v>2</v>
      </c>
      <c r="U5324" s="2" t="s">
        <v>123</v>
      </c>
      <c r="V5324" s="2">
        <v>1</v>
      </c>
      <c r="W5324" s="2" t="s">
        <v>80</v>
      </c>
      <c r="X5324" s="2">
        <v>4</v>
      </c>
      <c r="Y5324" s="2" t="s">
        <v>463</v>
      </c>
      <c r="Z5324" s="2">
        <v>10</v>
      </c>
      <c r="AA5324" s="2" t="s">
        <v>236</v>
      </c>
      <c r="AB5324" s="2">
        <v>9</v>
      </c>
      <c r="AC5324" s="2" t="s">
        <v>124</v>
      </c>
      <c r="AD5324" s="3">
        <v>40538</v>
      </c>
      <c r="AE5324" s="4">
        <v>0.71527777777777779</v>
      </c>
      <c r="AF5324" s="3">
        <v>40538</v>
      </c>
      <c r="AG5324" s="4">
        <v>0.71527777777777779</v>
      </c>
      <c r="AH5324" s="2">
        <v>6</v>
      </c>
      <c r="AI5324" s="2" t="s">
        <v>197</v>
      </c>
      <c r="AJ5324" s="2">
        <v>60</v>
      </c>
      <c r="AK5324" s="2" t="s">
        <v>543</v>
      </c>
      <c r="AL5324" s="2">
        <v>19</v>
      </c>
      <c r="AM5324" s="2" t="s">
        <v>107</v>
      </c>
      <c r="AN5324" s="2" t="s">
        <v>82</v>
      </c>
      <c r="AO5324" s="2" t="s">
        <v>2249</v>
      </c>
      <c r="AP5324" s="2">
        <v>11</v>
      </c>
      <c r="AQ5324" s="2" t="s">
        <v>82</v>
      </c>
      <c r="AR5324" s="2" t="s">
        <v>82</v>
      </c>
      <c r="AS5324" s="2" t="s">
        <v>82</v>
      </c>
      <c r="AT5324" s="2" t="s">
        <v>16273</v>
      </c>
      <c r="AU5324" s="2"/>
      <c r="AV5324" s="2"/>
      <c r="AW5324" s="2"/>
      <c r="AX5324" s="2"/>
      <c r="AY5324" s="2">
        <v>41</v>
      </c>
      <c r="AZ5324" s="2" t="s">
        <v>82</v>
      </c>
      <c r="BA5324" s="2">
        <v>41</v>
      </c>
      <c r="BB5324" s="2" t="s">
        <v>82</v>
      </c>
      <c r="BC5324" s="2">
        <v>41</v>
      </c>
      <c r="BD5324" s="2" t="s">
        <v>82</v>
      </c>
      <c r="BE5324" s="2">
        <v>49</v>
      </c>
      <c r="BF5324" s="2" t="s">
        <v>1254</v>
      </c>
      <c r="BG5324" s="2" t="s">
        <v>14476</v>
      </c>
      <c r="BH5324" s="4">
        <v>0.68402777777777779</v>
      </c>
      <c r="BI5324" s="4">
        <v>0.72916666666666663</v>
      </c>
      <c r="BJ5324" s="2">
        <v>13</v>
      </c>
      <c r="BK5324" s="2" t="s">
        <v>91</v>
      </c>
      <c r="BL5324" s="2" t="s">
        <v>895</v>
      </c>
      <c r="BM5324" s="2">
        <v>13</v>
      </c>
      <c r="BN5324" s="2" t="s">
        <v>91</v>
      </c>
      <c r="BO5324" s="2"/>
      <c r="BP5324" s="2">
        <v>13</v>
      </c>
      <c r="BQ5324" s="2" t="s">
        <v>91</v>
      </c>
      <c r="BR5324" s="2" t="s">
        <v>353</v>
      </c>
      <c r="BS5324" s="3">
        <v>40538</v>
      </c>
      <c r="BT5324" s="4">
        <v>0.76564814814814808</v>
      </c>
    </row>
    <row r="5325" spans="1:72" x14ac:dyDescent="0.25">
      <c r="A5325" s="2">
        <v>8230</v>
      </c>
      <c r="B5325" s="2">
        <v>2010</v>
      </c>
      <c r="C5325" s="2" t="s">
        <v>196</v>
      </c>
      <c r="D5325" s="2" t="s">
        <v>122</v>
      </c>
      <c r="E5325" s="2"/>
      <c r="F5325" s="2">
        <v>1</v>
      </c>
      <c r="G5325" s="2" t="s">
        <v>82</v>
      </c>
      <c r="H5325" s="2">
        <v>1</v>
      </c>
      <c r="I5325" s="2" t="s">
        <v>82</v>
      </c>
      <c r="J5325" s="2">
        <v>1</v>
      </c>
      <c r="K5325" s="2" t="s">
        <v>107</v>
      </c>
      <c r="L5325" s="2" t="s">
        <v>107</v>
      </c>
      <c r="M5325" s="3">
        <v>40538</v>
      </c>
      <c r="N5325" s="2"/>
      <c r="O5325" s="2"/>
      <c r="P5325" s="2"/>
      <c r="Q5325" s="2" t="str">
        <f>""</f>
        <v/>
      </c>
      <c r="R5325" s="2"/>
      <c r="S5325" s="2"/>
      <c r="T5325" s="2">
        <v>2</v>
      </c>
      <c r="U5325" s="2" t="s">
        <v>123</v>
      </c>
      <c r="V5325" s="2">
        <v>1</v>
      </c>
      <c r="W5325" s="2" t="s">
        <v>80</v>
      </c>
      <c r="X5325" s="2">
        <v>11</v>
      </c>
      <c r="Y5325" s="2" t="s">
        <v>1920</v>
      </c>
      <c r="Z5325" s="2">
        <v>1</v>
      </c>
      <c r="AA5325" s="2" t="s">
        <v>82</v>
      </c>
      <c r="AB5325" s="2">
        <v>9</v>
      </c>
      <c r="AC5325" s="2" t="s">
        <v>124</v>
      </c>
      <c r="AD5325" s="3">
        <v>40538</v>
      </c>
      <c r="AE5325" s="4">
        <v>0.70833333333333337</v>
      </c>
      <c r="AF5325" s="3">
        <v>40538</v>
      </c>
      <c r="AG5325" s="2"/>
      <c r="AH5325" s="2">
        <v>2</v>
      </c>
      <c r="AI5325" s="2" t="s">
        <v>84</v>
      </c>
      <c r="AJ5325" s="2">
        <v>12</v>
      </c>
      <c r="AK5325" s="2" t="s">
        <v>85</v>
      </c>
      <c r="AL5325" s="2">
        <v>20</v>
      </c>
      <c r="AM5325" s="2" t="s">
        <v>992</v>
      </c>
      <c r="AN5325" s="2"/>
      <c r="AO5325" s="2" t="s">
        <v>993</v>
      </c>
      <c r="AP5325" s="2">
        <v>11</v>
      </c>
      <c r="AQ5325" s="2" t="s">
        <v>82</v>
      </c>
      <c r="AR5325" s="2"/>
      <c r="AS5325" s="2"/>
      <c r="AT5325" s="2" t="s">
        <v>16274</v>
      </c>
      <c r="AU5325" s="2"/>
      <c r="AV5325" s="2"/>
      <c r="AW5325" s="2"/>
      <c r="AX5325" s="2"/>
      <c r="AY5325" s="2">
        <v>41</v>
      </c>
      <c r="AZ5325" s="2" t="s">
        <v>82</v>
      </c>
      <c r="BA5325" s="2">
        <v>41</v>
      </c>
      <c r="BB5325" s="2" t="s">
        <v>82</v>
      </c>
      <c r="BC5325" s="2">
        <v>41</v>
      </c>
      <c r="BD5325" s="2" t="s">
        <v>82</v>
      </c>
      <c r="BE5325" s="2">
        <v>41</v>
      </c>
      <c r="BF5325" s="2" t="s">
        <v>82</v>
      </c>
      <c r="BG5325" s="2"/>
      <c r="BH5325" s="4">
        <v>0.75694444444444453</v>
      </c>
      <c r="BI5325" s="4">
        <v>0.76180555555555562</v>
      </c>
      <c r="BJ5325" s="2">
        <v>13</v>
      </c>
      <c r="BK5325" s="2" t="s">
        <v>91</v>
      </c>
      <c r="BL5325" s="2" t="s">
        <v>492</v>
      </c>
      <c r="BM5325" s="2">
        <v>13</v>
      </c>
      <c r="BN5325" s="2" t="s">
        <v>91</v>
      </c>
      <c r="BO5325" s="2"/>
      <c r="BP5325" s="2">
        <v>13</v>
      </c>
      <c r="BQ5325" s="2" t="s">
        <v>91</v>
      </c>
      <c r="BR5325" s="2" t="s">
        <v>185</v>
      </c>
      <c r="BS5325" s="3">
        <v>40538</v>
      </c>
      <c r="BT5325" s="4">
        <v>0.77325231481481482</v>
      </c>
    </row>
    <row r="5326" spans="1:72" x14ac:dyDescent="0.25">
      <c r="A5326" s="2">
        <v>8231</v>
      </c>
      <c r="B5326" s="2">
        <v>2010</v>
      </c>
      <c r="C5326" s="2" t="s">
        <v>764</v>
      </c>
      <c r="D5326" s="2" t="s">
        <v>73</v>
      </c>
      <c r="E5326" s="2"/>
      <c r="F5326" s="2">
        <v>146</v>
      </c>
      <c r="G5326" s="2" t="s">
        <v>753</v>
      </c>
      <c r="H5326" s="2">
        <v>39</v>
      </c>
      <c r="I5326" s="2" t="s">
        <v>1117</v>
      </c>
      <c r="J5326" s="2">
        <v>322</v>
      </c>
      <c r="K5326" s="2" t="s">
        <v>754</v>
      </c>
      <c r="L5326" s="2" t="s">
        <v>755</v>
      </c>
      <c r="M5326" s="3">
        <v>40538</v>
      </c>
      <c r="N5326" s="2" t="s">
        <v>1902</v>
      </c>
      <c r="O5326" s="2" t="s">
        <v>82</v>
      </c>
      <c r="P5326" s="2" t="s">
        <v>82</v>
      </c>
      <c r="Q5326" s="2" t="str">
        <f>"AP 069/10"</f>
        <v>AP 069/10</v>
      </c>
      <c r="R5326" s="2" t="s">
        <v>82</v>
      </c>
      <c r="S5326" s="2" t="s">
        <v>16275</v>
      </c>
      <c r="T5326" s="2">
        <v>1</v>
      </c>
      <c r="U5326" s="2" t="s">
        <v>79</v>
      </c>
      <c r="V5326" s="2">
        <v>1</v>
      </c>
      <c r="W5326" s="2" t="s">
        <v>80</v>
      </c>
      <c r="X5326" s="2">
        <v>1</v>
      </c>
      <c r="Y5326" s="2" t="s">
        <v>81</v>
      </c>
      <c r="Z5326" s="2">
        <v>10</v>
      </c>
      <c r="AA5326" s="2" t="s">
        <v>236</v>
      </c>
      <c r="AB5326" s="2">
        <v>9</v>
      </c>
      <c r="AC5326" s="2" t="s">
        <v>124</v>
      </c>
      <c r="AD5326" s="3">
        <v>40538</v>
      </c>
      <c r="AE5326" s="4">
        <v>0.85416666666666663</v>
      </c>
      <c r="AF5326" s="3">
        <v>40538</v>
      </c>
      <c r="AG5326" s="4">
        <v>0.85416666666666663</v>
      </c>
      <c r="AH5326" s="2">
        <v>6</v>
      </c>
      <c r="AI5326" s="2" t="s">
        <v>197</v>
      </c>
      <c r="AJ5326" s="2">
        <v>60</v>
      </c>
      <c r="AK5326" s="2" t="s">
        <v>543</v>
      </c>
      <c r="AL5326" s="2">
        <v>1</v>
      </c>
      <c r="AM5326" s="2" t="s">
        <v>2148</v>
      </c>
      <c r="AN5326" s="2" t="s">
        <v>16276</v>
      </c>
      <c r="AO5326" s="2" t="s">
        <v>16277</v>
      </c>
      <c r="AP5326" s="2">
        <v>11</v>
      </c>
      <c r="AQ5326" s="2" t="s">
        <v>82</v>
      </c>
      <c r="AR5326" s="2" t="s">
        <v>82</v>
      </c>
      <c r="AS5326" s="2" t="s">
        <v>82</v>
      </c>
      <c r="AT5326" s="2" t="s">
        <v>16278</v>
      </c>
      <c r="AU5326" s="2"/>
      <c r="AV5326" s="2"/>
      <c r="AW5326" s="2"/>
      <c r="AX5326" s="2"/>
      <c r="AY5326" s="2">
        <v>41</v>
      </c>
      <c r="AZ5326" s="2" t="s">
        <v>82</v>
      </c>
      <c r="BA5326" s="2">
        <v>41</v>
      </c>
      <c r="BB5326" s="2" t="s">
        <v>82</v>
      </c>
      <c r="BC5326" s="2">
        <v>41</v>
      </c>
      <c r="BD5326" s="2" t="s">
        <v>82</v>
      </c>
      <c r="BE5326" s="2">
        <v>13</v>
      </c>
      <c r="BF5326" s="2" t="s">
        <v>108</v>
      </c>
      <c r="BG5326" s="2" t="s">
        <v>16279</v>
      </c>
      <c r="BH5326" s="4">
        <v>0.63888888888888895</v>
      </c>
      <c r="BI5326" s="4">
        <v>0.65972222222222221</v>
      </c>
      <c r="BJ5326" s="2">
        <v>13</v>
      </c>
      <c r="BK5326" s="2" t="s">
        <v>91</v>
      </c>
      <c r="BL5326" s="2" t="s">
        <v>185</v>
      </c>
      <c r="BM5326" s="2">
        <v>13</v>
      </c>
      <c r="BN5326" s="2" t="s">
        <v>91</v>
      </c>
      <c r="BO5326" s="2"/>
      <c r="BP5326" s="2">
        <v>13</v>
      </c>
      <c r="BQ5326" s="2" t="s">
        <v>91</v>
      </c>
      <c r="BR5326" s="2" t="s">
        <v>895</v>
      </c>
      <c r="BS5326" s="3">
        <v>40538</v>
      </c>
      <c r="BT5326" s="4">
        <v>0.89090277777777782</v>
      </c>
    </row>
    <row r="5327" spans="1:72" x14ac:dyDescent="0.25">
      <c r="A5327" s="2">
        <v>8232</v>
      </c>
      <c r="B5327" s="2">
        <v>2010</v>
      </c>
      <c r="C5327" s="2" t="s">
        <v>147</v>
      </c>
      <c r="D5327" s="2" t="s">
        <v>73</v>
      </c>
      <c r="E5327" s="2"/>
      <c r="F5327" s="2">
        <v>1</v>
      </c>
      <c r="G5327" s="2" t="s">
        <v>82</v>
      </c>
      <c r="H5327" s="2">
        <v>1</v>
      </c>
      <c r="I5327" s="2" t="s">
        <v>82</v>
      </c>
      <c r="J5327" s="2">
        <v>1</v>
      </c>
      <c r="K5327" s="2" t="s">
        <v>107</v>
      </c>
      <c r="L5327" s="2" t="s">
        <v>107</v>
      </c>
      <c r="M5327" s="3">
        <v>40538</v>
      </c>
      <c r="N5327" s="2"/>
      <c r="O5327" s="2"/>
      <c r="P5327" s="2"/>
      <c r="Q5327" s="2" t="str">
        <f>"AP 0012/2010"</f>
        <v>AP 0012/2010</v>
      </c>
      <c r="R5327" s="2"/>
      <c r="S5327" s="2"/>
      <c r="T5327" s="2">
        <v>2</v>
      </c>
      <c r="U5327" s="2" t="s">
        <v>123</v>
      </c>
      <c r="V5327" s="2">
        <v>1</v>
      </c>
      <c r="W5327" s="2" t="s">
        <v>80</v>
      </c>
      <c r="X5327" s="2">
        <v>12</v>
      </c>
      <c r="Y5327" s="2" t="s">
        <v>148</v>
      </c>
      <c r="Z5327" s="2">
        <v>1</v>
      </c>
      <c r="AA5327" s="2" t="s">
        <v>82</v>
      </c>
      <c r="AB5327" s="2">
        <v>9</v>
      </c>
      <c r="AC5327" s="2" t="s">
        <v>124</v>
      </c>
      <c r="AD5327" s="3">
        <v>40538</v>
      </c>
      <c r="AE5327" s="4">
        <v>0.83333333333333337</v>
      </c>
      <c r="AF5327" s="3">
        <v>40538</v>
      </c>
      <c r="AG5327" s="4">
        <v>0.85416666666666663</v>
      </c>
      <c r="AH5327" s="2">
        <v>5</v>
      </c>
      <c r="AI5327" s="2" t="s">
        <v>274</v>
      </c>
      <c r="AJ5327" s="2">
        <v>41</v>
      </c>
      <c r="AK5327" s="2" t="s">
        <v>2751</v>
      </c>
      <c r="AL5327" s="2">
        <v>23</v>
      </c>
      <c r="AM5327" s="2" t="s">
        <v>251</v>
      </c>
      <c r="AN5327" s="2"/>
      <c r="AO5327" s="2" t="s">
        <v>5154</v>
      </c>
      <c r="AP5327" s="2">
        <v>11</v>
      </c>
      <c r="AQ5327" s="2" t="s">
        <v>82</v>
      </c>
      <c r="AR5327" s="2"/>
      <c r="AS5327" s="2"/>
      <c r="AT5327" s="2" t="s">
        <v>16280</v>
      </c>
      <c r="AU5327" s="2"/>
      <c r="AV5327" s="2"/>
      <c r="AW5327" s="2"/>
      <c r="AX5327" s="2"/>
      <c r="AY5327" s="2">
        <v>41</v>
      </c>
      <c r="AZ5327" s="2" t="s">
        <v>82</v>
      </c>
      <c r="BA5327" s="2">
        <v>41</v>
      </c>
      <c r="BB5327" s="2" t="s">
        <v>82</v>
      </c>
      <c r="BC5327" s="2">
        <v>41</v>
      </c>
      <c r="BD5327" s="2" t="s">
        <v>82</v>
      </c>
      <c r="BE5327" s="2">
        <v>41</v>
      </c>
      <c r="BF5327" s="2" t="s">
        <v>82</v>
      </c>
      <c r="BG5327" s="2"/>
      <c r="BH5327" s="2"/>
      <c r="BI5327" s="2"/>
      <c r="BJ5327" s="2">
        <v>241</v>
      </c>
      <c r="BK5327" s="2" t="s">
        <v>82</v>
      </c>
      <c r="BL5327" s="2"/>
      <c r="BM5327" s="2">
        <v>241</v>
      </c>
      <c r="BN5327" s="2" t="s">
        <v>82</v>
      </c>
      <c r="BO5327" s="2"/>
      <c r="BP5327" s="2">
        <v>241</v>
      </c>
      <c r="BQ5327" s="2" t="s">
        <v>82</v>
      </c>
      <c r="BR5327" s="2"/>
      <c r="BS5327" s="3">
        <v>40538</v>
      </c>
      <c r="BT5327" s="4">
        <v>0.91849537037037043</v>
      </c>
    </row>
    <row r="5328" spans="1:72" x14ac:dyDescent="0.25">
      <c r="A5328" s="2">
        <v>8233</v>
      </c>
      <c r="B5328" s="2">
        <v>2010</v>
      </c>
      <c r="C5328" s="2" t="s">
        <v>377</v>
      </c>
      <c r="D5328" s="2" t="s">
        <v>73</v>
      </c>
      <c r="E5328" s="2"/>
      <c r="F5328" s="2">
        <v>426</v>
      </c>
      <c r="G5328" s="2" t="s">
        <v>378</v>
      </c>
      <c r="H5328" s="2">
        <v>108</v>
      </c>
      <c r="I5328" s="2" t="s">
        <v>1096</v>
      </c>
      <c r="J5328" s="2">
        <v>311</v>
      </c>
      <c r="K5328" s="2" t="s">
        <v>379</v>
      </c>
      <c r="L5328" s="2" t="s">
        <v>380</v>
      </c>
      <c r="M5328" s="3">
        <v>40539</v>
      </c>
      <c r="N5328" s="2" t="s">
        <v>7171</v>
      </c>
      <c r="O5328" s="2"/>
      <c r="P5328" s="2"/>
      <c r="Q5328" s="2" t="str">
        <f>"310-C/10"</f>
        <v>310-C/10</v>
      </c>
      <c r="R5328" s="2" t="s">
        <v>4428</v>
      </c>
      <c r="S5328" s="2"/>
      <c r="T5328" s="2">
        <v>1</v>
      </c>
      <c r="U5328" s="2" t="s">
        <v>79</v>
      </c>
      <c r="V5328" s="2">
        <v>1</v>
      </c>
      <c r="W5328" s="2" t="s">
        <v>80</v>
      </c>
      <c r="X5328" s="2">
        <v>1</v>
      </c>
      <c r="Y5328" s="2" t="s">
        <v>81</v>
      </c>
      <c r="Z5328" s="2">
        <v>1</v>
      </c>
      <c r="AA5328" s="2" t="s">
        <v>82</v>
      </c>
      <c r="AB5328" s="2">
        <v>9</v>
      </c>
      <c r="AC5328" s="2" t="s">
        <v>124</v>
      </c>
      <c r="AD5328" s="3">
        <v>40538</v>
      </c>
      <c r="AE5328" s="4">
        <v>0.83333333333333337</v>
      </c>
      <c r="AF5328" s="3">
        <v>40538</v>
      </c>
      <c r="AG5328" s="4">
        <v>0.98611111111111116</v>
      </c>
      <c r="AH5328" s="2">
        <v>2</v>
      </c>
      <c r="AI5328" s="2" t="s">
        <v>84</v>
      </c>
      <c r="AJ5328" s="2">
        <v>9</v>
      </c>
      <c r="AK5328" s="2" t="s">
        <v>103</v>
      </c>
      <c r="AL5328" s="2">
        <v>12</v>
      </c>
      <c r="AM5328" s="2" t="s">
        <v>86</v>
      </c>
      <c r="AN5328" s="2" t="s">
        <v>16281</v>
      </c>
      <c r="AO5328" s="2"/>
      <c r="AP5328" s="2">
        <v>11</v>
      </c>
      <c r="AQ5328" s="2" t="s">
        <v>82</v>
      </c>
      <c r="AR5328" s="2"/>
      <c r="AS5328" s="2"/>
      <c r="AT5328" s="2" t="s">
        <v>16282</v>
      </c>
      <c r="AU5328" s="2"/>
      <c r="AV5328" s="2"/>
      <c r="AW5328" s="2"/>
      <c r="AX5328" s="2"/>
      <c r="AY5328" s="2">
        <v>41</v>
      </c>
      <c r="AZ5328" s="2" t="s">
        <v>82</v>
      </c>
      <c r="BA5328" s="2">
        <v>41</v>
      </c>
      <c r="BB5328" s="2" t="s">
        <v>82</v>
      </c>
      <c r="BC5328" s="2">
        <v>41</v>
      </c>
      <c r="BD5328" s="2" t="s">
        <v>82</v>
      </c>
      <c r="BE5328" s="2">
        <v>41</v>
      </c>
      <c r="BF5328" s="2" t="s">
        <v>82</v>
      </c>
      <c r="BG5328" s="2"/>
      <c r="BH5328" s="2"/>
      <c r="BI5328" s="2"/>
      <c r="BJ5328" s="2">
        <v>241</v>
      </c>
      <c r="BK5328" s="2" t="s">
        <v>82</v>
      </c>
      <c r="BL5328" s="2"/>
      <c r="BM5328" s="2">
        <v>241</v>
      </c>
      <c r="BN5328" s="2" t="s">
        <v>82</v>
      </c>
      <c r="BO5328" s="2"/>
      <c r="BP5328" s="2">
        <v>241</v>
      </c>
      <c r="BQ5328" s="2" t="s">
        <v>82</v>
      </c>
      <c r="BR5328" s="2"/>
      <c r="BS5328" s="3">
        <v>40539</v>
      </c>
      <c r="BT5328" s="4">
        <v>0.34973379629629631</v>
      </c>
    </row>
    <row r="5329" spans="1:72" x14ac:dyDescent="0.25">
      <c r="A5329" s="2">
        <v>8235</v>
      </c>
      <c r="B5329" s="2">
        <v>2010</v>
      </c>
      <c r="C5329" s="2" t="s">
        <v>385</v>
      </c>
      <c r="D5329" s="2" t="s">
        <v>73</v>
      </c>
      <c r="E5329" s="2"/>
      <c r="F5329" s="2">
        <v>758</v>
      </c>
      <c r="G5329" s="2" t="s">
        <v>16283</v>
      </c>
      <c r="H5329" s="2">
        <v>108</v>
      </c>
      <c r="I5329" s="2" t="s">
        <v>1096</v>
      </c>
      <c r="J5329" s="2">
        <v>532</v>
      </c>
      <c r="K5329" s="2" t="s">
        <v>5984</v>
      </c>
      <c r="L5329" s="2" t="s">
        <v>5985</v>
      </c>
      <c r="M5329" s="3">
        <v>40539</v>
      </c>
      <c r="N5329" s="2" t="s">
        <v>16284</v>
      </c>
      <c r="O5329" s="2" t="s">
        <v>16285</v>
      </c>
      <c r="P5329" s="2" t="s">
        <v>16286</v>
      </c>
      <c r="Q5329" s="2" t="str">
        <f>"N/C"</f>
        <v>N/C</v>
      </c>
      <c r="R5329" s="2" t="s">
        <v>82</v>
      </c>
      <c r="S5329" s="2" t="s">
        <v>82</v>
      </c>
      <c r="T5329" s="2">
        <v>1</v>
      </c>
      <c r="U5329" s="2" t="s">
        <v>79</v>
      </c>
      <c r="V5329" s="2">
        <v>1</v>
      </c>
      <c r="W5329" s="2" t="s">
        <v>80</v>
      </c>
      <c r="X5329" s="2">
        <v>4</v>
      </c>
      <c r="Y5329" s="2" t="s">
        <v>463</v>
      </c>
      <c r="Z5329" s="2">
        <v>1</v>
      </c>
      <c r="AA5329" s="2" t="s">
        <v>82</v>
      </c>
      <c r="AB5329" s="2">
        <v>9</v>
      </c>
      <c r="AC5329" s="2" t="s">
        <v>124</v>
      </c>
      <c r="AD5329" s="3">
        <v>40539</v>
      </c>
      <c r="AE5329" s="4">
        <v>0.375</v>
      </c>
      <c r="AF5329" s="3">
        <v>40539</v>
      </c>
      <c r="AG5329" s="4">
        <v>0.4375</v>
      </c>
      <c r="AH5329" s="2">
        <v>6</v>
      </c>
      <c r="AI5329" s="2" t="s">
        <v>197</v>
      </c>
      <c r="AJ5329" s="2">
        <v>51</v>
      </c>
      <c r="AK5329" s="2" t="s">
        <v>238</v>
      </c>
      <c r="AL5329" s="2">
        <v>10</v>
      </c>
      <c r="AM5329" s="2" t="s">
        <v>200</v>
      </c>
      <c r="AN5329" s="2" t="s">
        <v>9117</v>
      </c>
      <c r="AO5329" s="2" t="s">
        <v>5989</v>
      </c>
      <c r="AP5329" s="2">
        <v>11</v>
      </c>
      <c r="AQ5329" s="2" t="s">
        <v>82</v>
      </c>
      <c r="AR5329" s="2" t="s">
        <v>82</v>
      </c>
      <c r="AS5329" s="2" t="s">
        <v>82</v>
      </c>
      <c r="AT5329" s="2" t="s">
        <v>16287</v>
      </c>
      <c r="AU5329" s="2"/>
      <c r="AV5329" s="2"/>
      <c r="AW5329" s="2"/>
      <c r="AX5329" s="2"/>
      <c r="AY5329" s="2">
        <v>41</v>
      </c>
      <c r="AZ5329" s="2" t="s">
        <v>82</v>
      </c>
      <c r="BA5329" s="2">
        <v>41</v>
      </c>
      <c r="BB5329" s="2" t="s">
        <v>82</v>
      </c>
      <c r="BC5329" s="2">
        <v>41</v>
      </c>
      <c r="BD5329" s="2" t="s">
        <v>82</v>
      </c>
      <c r="BE5329" s="2">
        <v>4</v>
      </c>
      <c r="BF5329" s="2" t="s">
        <v>90</v>
      </c>
      <c r="BG5329" s="2">
        <v>4271</v>
      </c>
      <c r="BH5329" s="2"/>
      <c r="BI5329" s="4">
        <v>0.3888888888888889</v>
      </c>
      <c r="BJ5329" s="2">
        <v>13</v>
      </c>
      <c r="BK5329" s="2" t="s">
        <v>91</v>
      </c>
      <c r="BL5329" s="2" t="s">
        <v>241</v>
      </c>
      <c r="BM5329" s="2">
        <v>13</v>
      </c>
      <c r="BN5329" s="2" t="s">
        <v>91</v>
      </c>
      <c r="BO5329" s="2"/>
      <c r="BP5329" s="2">
        <v>13</v>
      </c>
      <c r="BQ5329" s="2" t="s">
        <v>91</v>
      </c>
      <c r="BR5329" s="2" t="s">
        <v>170</v>
      </c>
      <c r="BS5329" s="3">
        <v>40539</v>
      </c>
      <c r="BT5329" s="4">
        <v>0.42332175925925924</v>
      </c>
    </row>
    <row r="5330" spans="1:72" x14ac:dyDescent="0.25">
      <c r="A5330" s="2">
        <v>8238</v>
      </c>
      <c r="B5330" s="2">
        <v>2010</v>
      </c>
      <c r="C5330" s="2" t="s">
        <v>243</v>
      </c>
      <c r="D5330" s="2" t="s">
        <v>122</v>
      </c>
      <c r="E5330" s="2"/>
      <c r="F5330" s="2">
        <v>338</v>
      </c>
      <c r="G5330" s="2" t="s">
        <v>4459</v>
      </c>
      <c r="H5330" s="2">
        <v>3</v>
      </c>
      <c r="I5330" s="2" t="s">
        <v>315</v>
      </c>
      <c r="J5330" s="2">
        <v>309</v>
      </c>
      <c r="K5330" s="2" t="s">
        <v>268</v>
      </c>
      <c r="L5330" s="2" t="s">
        <v>269</v>
      </c>
      <c r="M5330" s="3">
        <v>40539</v>
      </c>
      <c r="N5330" s="2" t="s">
        <v>11985</v>
      </c>
      <c r="O5330" s="2" t="s">
        <v>16288</v>
      </c>
      <c r="P5330" s="2" t="s">
        <v>16289</v>
      </c>
      <c r="Q5330" s="2" t="str">
        <f>"0029/2010"</f>
        <v>0029/2010</v>
      </c>
      <c r="R5330" s="2" t="s">
        <v>16290</v>
      </c>
      <c r="S5330" s="2"/>
      <c r="T5330" s="2">
        <v>1</v>
      </c>
      <c r="U5330" s="2" t="s">
        <v>79</v>
      </c>
      <c r="V5330" s="2">
        <v>1</v>
      </c>
      <c r="W5330" s="2" t="s">
        <v>80</v>
      </c>
      <c r="X5330" s="2">
        <v>8</v>
      </c>
      <c r="Y5330" s="2" t="s">
        <v>375</v>
      </c>
      <c r="Z5330" s="2">
        <v>1</v>
      </c>
      <c r="AA5330" s="2" t="s">
        <v>82</v>
      </c>
      <c r="AB5330" s="2">
        <v>9</v>
      </c>
      <c r="AC5330" s="2" t="s">
        <v>124</v>
      </c>
      <c r="AD5330" s="3">
        <v>40539</v>
      </c>
      <c r="AE5330" s="4">
        <v>0.45833333333333331</v>
      </c>
      <c r="AF5330" s="3">
        <v>40539</v>
      </c>
      <c r="AG5330" s="4">
        <v>0.4375</v>
      </c>
      <c r="AH5330" s="2">
        <v>5</v>
      </c>
      <c r="AI5330" s="2" t="s">
        <v>274</v>
      </c>
      <c r="AJ5330" s="2">
        <v>35</v>
      </c>
      <c r="AK5330" s="2" t="s">
        <v>275</v>
      </c>
      <c r="AL5330" s="2">
        <v>23</v>
      </c>
      <c r="AM5330" s="2" t="s">
        <v>251</v>
      </c>
      <c r="AN5330" s="2" t="s">
        <v>16291</v>
      </c>
      <c r="AO5330" s="2" t="s">
        <v>16292</v>
      </c>
      <c r="AP5330" s="2">
        <v>11</v>
      </c>
      <c r="AQ5330" s="2" t="s">
        <v>82</v>
      </c>
      <c r="AR5330" s="2"/>
      <c r="AS5330" s="2"/>
      <c r="AT5330" s="2" t="s">
        <v>16293</v>
      </c>
      <c r="AU5330" s="2"/>
      <c r="AV5330" s="2"/>
      <c r="AW5330" s="2"/>
      <c r="AX5330" s="2"/>
      <c r="AY5330" s="2">
        <v>41</v>
      </c>
      <c r="AZ5330" s="2" t="s">
        <v>82</v>
      </c>
      <c r="BA5330" s="2">
        <v>41</v>
      </c>
      <c r="BB5330" s="2" t="s">
        <v>82</v>
      </c>
      <c r="BC5330" s="2">
        <v>41</v>
      </c>
      <c r="BD5330" s="2" t="s">
        <v>82</v>
      </c>
      <c r="BE5330" s="2">
        <v>41</v>
      </c>
      <c r="BF5330" s="2" t="s">
        <v>82</v>
      </c>
      <c r="BG5330" s="2"/>
      <c r="BH5330" s="2"/>
      <c r="BI5330" s="2"/>
      <c r="BJ5330" s="2">
        <v>241</v>
      </c>
      <c r="BK5330" s="2" t="s">
        <v>82</v>
      </c>
      <c r="BL5330" s="2"/>
      <c r="BM5330" s="2">
        <v>241</v>
      </c>
      <c r="BN5330" s="2" t="s">
        <v>82</v>
      </c>
      <c r="BO5330" s="2"/>
      <c r="BP5330" s="2">
        <v>241</v>
      </c>
      <c r="BQ5330" s="2" t="s">
        <v>82</v>
      </c>
      <c r="BR5330" s="2"/>
      <c r="BS5330" s="3">
        <v>40539</v>
      </c>
      <c r="BT5330" s="4">
        <v>0.45274305555555555</v>
      </c>
    </row>
    <row r="5331" spans="1:72" x14ac:dyDescent="0.25">
      <c r="A5331" s="2">
        <v>8242</v>
      </c>
      <c r="B5331" s="2">
        <v>2010</v>
      </c>
      <c r="C5331" s="2" t="s">
        <v>93</v>
      </c>
      <c r="D5331" s="2" t="s">
        <v>73</v>
      </c>
      <c r="E5331" s="2"/>
      <c r="F5331" s="2">
        <v>757</v>
      </c>
      <c r="G5331" s="2" t="s">
        <v>16294</v>
      </c>
      <c r="H5331" s="2">
        <v>108</v>
      </c>
      <c r="I5331" s="2" t="s">
        <v>1096</v>
      </c>
      <c r="J5331" s="2">
        <v>1</v>
      </c>
      <c r="K5331" s="2" t="s">
        <v>107</v>
      </c>
      <c r="L5331" s="2" t="s">
        <v>107</v>
      </c>
      <c r="M5331" s="3">
        <v>40539</v>
      </c>
      <c r="N5331" s="2" t="s">
        <v>107</v>
      </c>
      <c r="O5331" s="2" t="s">
        <v>16295</v>
      </c>
      <c r="P5331" s="2" t="s">
        <v>16296</v>
      </c>
      <c r="Q5331" s="2" t="str">
        <f>""</f>
        <v/>
      </c>
      <c r="R5331" s="2"/>
      <c r="S5331" s="2"/>
      <c r="T5331" s="2">
        <v>1</v>
      </c>
      <c r="U5331" s="2" t="s">
        <v>79</v>
      </c>
      <c r="V5331" s="2">
        <v>1</v>
      </c>
      <c r="W5331" s="2" t="s">
        <v>80</v>
      </c>
      <c r="X5331" s="2">
        <v>10</v>
      </c>
      <c r="Y5331" s="2" t="s">
        <v>226</v>
      </c>
      <c r="Z5331" s="2">
        <v>6</v>
      </c>
      <c r="AA5331" s="2" t="s">
        <v>101</v>
      </c>
      <c r="AB5331" s="2">
        <v>2</v>
      </c>
      <c r="AC5331" s="2" t="s">
        <v>102</v>
      </c>
      <c r="AD5331" s="3">
        <v>40536</v>
      </c>
      <c r="AE5331" s="4">
        <v>0.95833333333333337</v>
      </c>
      <c r="AF5331" s="3">
        <v>40537</v>
      </c>
      <c r="AG5331" s="4">
        <v>0.11805555555555557</v>
      </c>
      <c r="AH5331" s="2">
        <v>2</v>
      </c>
      <c r="AI5331" s="2" t="s">
        <v>84</v>
      </c>
      <c r="AJ5331" s="2">
        <v>9</v>
      </c>
      <c r="AK5331" s="2" t="s">
        <v>103</v>
      </c>
      <c r="AL5331" s="2">
        <v>14</v>
      </c>
      <c r="AM5331" s="2" t="s">
        <v>216</v>
      </c>
      <c r="AN5331" s="2"/>
      <c r="AO5331" s="2" t="s">
        <v>105</v>
      </c>
      <c r="AP5331" s="2">
        <v>11</v>
      </c>
      <c r="AQ5331" s="2" t="s">
        <v>82</v>
      </c>
      <c r="AR5331" s="2"/>
      <c r="AS5331" s="2"/>
      <c r="AT5331" s="2" t="s">
        <v>16297</v>
      </c>
      <c r="AU5331" s="2"/>
      <c r="AV5331" s="2"/>
      <c r="AW5331" s="2"/>
      <c r="AX5331" s="2"/>
      <c r="AY5331" s="2">
        <v>41</v>
      </c>
      <c r="AZ5331" s="2" t="s">
        <v>82</v>
      </c>
      <c r="BA5331" s="2">
        <v>41</v>
      </c>
      <c r="BB5331" s="2" t="s">
        <v>82</v>
      </c>
      <c r="BC5331" s="2">
        <v>41</v>
      </c>
      <c r="BD5331" s="2" t="s">
        <v>82</v>
      </c>
      <c r="BE5331" s="2">
        <v>41</v>
      </c>
      <c r="BF5331" s="2" t="s">
        <v>82</v>
      </c>
      <c r="BG5331" s="2"/>
      <c r="BH5331" s="2"/>
      <c r="BI5331" s="2"/>
      <c r="BJ5331" s="2">
        <v>241</v>
      </c>
      <c r="BK5331" s="2" t="s">
        <v>82</v>
      </c>
      <c r="BL5331" s="2"/>
      <c r="BM5331" s="2">
        <v>241</v>
      </c>
      <c r="BN5331" s="2" t="s">
        <v>82</v>
      </c>
      <c r="BO5331" s="2"/>
      <c r="BP5331" s="2">
        <v>241</v>
      </c>
      <c r="BQ5331" s="2" t="s">
        <v>82</v>
      </c>
      <c r="BR5331" s="2"/>
      <c r="BS5331" s="3">
        <v>40539</v>
      </c>
      <c r="BT5331" s="4">
        <v>0.51571759259259264</v>
      </c>
    </row>
    <row r="5332" spans="1:72" x14ac:dyDescent="0.25">
      <c r="A5332" s="2">
        <v>8244</v>
      </c>
      <c r="B5332" s="2">
        <v>2010</v>
      </c>
      <c r="C5332" s="2" t="s">
        <v>171</v>
      </c>
      <c r="D5332" s="2" t="s">
        <v>73</v>
      </c>
      <c r="E5332" s="2"/>
      <c r="F5332" s="2">
        <v>398</v>
      </c>
      <c r="G5332" s="2" t="s">
        <v>94</v>
      </c>
      <c r="H5332" s="2">
        <v>12</v>
      </c>
      <c r="I5332" s="2" t="s">
        <v>95</v>
      </c>
      <c r="J5332" s="2">
        <v>245</v>
      </c>
      <c r="K5332" s="2" t="s">
        <v>96</v>
      </c>
      <c r="L5332" s="2" t="s">
        <v>97</v>
      </c>
      <c r="M5332" s="3">
        <v>40539</v>
      </c>
      <c r="N5332" s="2" t="s">
        <v>451</v>
      </c>
      <c r="O5332" s="2" t="s">
        <v>16298</v>
      </c>
      <c r="P5332" s="2" t="s">
        <v>3521</v>
      </c>
      <c r="Q5332" s="2" t="str">
        <f>"S/D"</f>
        <v>S/D</v>
      </c>
      <c r="R5332" s="2"/>
      <c r="S5332" s="2"/>
      <c r="T5332" s="2">
        <v>1</v>
      </c>
      <c r="U5332" s="2" t="s">
        <v>79</v>
      </c>
      <c r="V5332" s="2">
        <v>3</v>
      </c>
      <c r="W5332" s="2" t="s">
        <v>225</v>
      </c>
      <c r="X5332" s="2">
        <v>6</v>
      </c>
      <c r="Y5332" s="2" t="s">
        <v>249</v>
      </c>
      <c r="Z5332" s="2">
        <v>1</v>
      </c>
      <c r="AA5332" s="2" t="s">
        <v>82</v>
      </c>
      <c r="AB5332" s="2">
        <v>9</v>
      </c>
      <c r="AC5332" s="2" t="s">
        <v>124</v>
      </c>
      <c r="AD5332" s="3">
        <v>40539</v>
      </c>
      <c r="AE5332" s="2"/>
      <c r="AF5332" s="3">
        <v>40528</v>
      </c>
      <c r="AG5332" s="2"/>
      <c r="AH5332" s="2">
        <v>2</v>
      </c>
      <c r="AI5332" s="2" t="s">
        <v>84</v>
      </c>
      <c r="AJ5332" s="2">
        <v>6</v>
      </c>
      <c r="AK5332" s="2" t="s">
        <v>453</v>
      </c>
      <c r="AL5332" s="2">
        <v>23</v>
      </c>
      <c r="AM5332" s="2" t="s">
        <v>251</v>
      </c>
      <c r="AN5332" s="2"/>
      <c r="AO5332" s="2" t="s">
        <v>16299</v>
      </c>
      <c r="AP5332" s="2">
        <v>11</v>
      </c>
      <c r="AQ5332" s="2" t="s">
        <v>82</v>
      </c>
      <c r="AR5332" s="2"/>
      <c r="AS5332" s="2"/>
      <c r="AT5332" s="2" t="s">
        <v>16300</v>
      </c>
      <c r="AU5332" s="2"/>
      <c r="AV5332" s="2"/>
      <c r="AW5332" s="2"/>
      <c r="AX5332" s="2"/>
      <c r="AY5332" s="2">
        <v>41</v>
      </c>
      <c r="AZ5332" s="2" t="s">
        <v>82</v>
      </c>
      <c r="BA5332" s="2">
        <v>41</v>
      </c>
      <c r="BB5332" s="2" t="s">
        <v>82</v>
      </c>
      <c r="BC5332" s="2">
        <v>41</v>
      </c>
      <c r="BD5332" s="2" t="s">
        <v>82</v>
      </c>
      <c r="BE5332" s="2">
        <v>41</v>
      </c>
      <c r="BF5332" s="2" t="s">
        <v>82</v>
      </c>
      <c r="BG5332" s="2"/>
      <c r="BH5332" s="2"/>
      <c r="BI5332" s="2"/>
      <c r="BJ5332" s="2">
        <v>241</v>
      </c>
      <c r="BK5332" s="2" t="s">
        <v>82</v>
      </c>
      <c r="BL5332" s="2"/>
      <c r="BM5332" s="2">
        <v>241</v>
      </c>
      <c r="BN5332" s="2" t="s">
        <v>82</v>
      </c>
      <c r="BO5332" s="2"/>
      <c r="BP5332" s="2">
        <v>241</v>
      </c>
      <c r="BQ5332" s="2" t="s">
        <v>82</v>
      </c>
      <c r="BR5332" s="2"/>
      <c r="BS5332" s="3">
        <v>40539</v>
      </c>
      <c r="BT5332" s="4">
        <v>0.52515046296296297</v>
      </c>
    </row>
    <row r="5333" spans="1:72" x14ac:dyDescent="0.25">
      <c r="A5333" s="2">
        <v>8245</v>
      </c>
      <c r="B5333" s="2">
        <v>2010</v>
      </c>
      <c r="C5333" s="2" t="s">
        <v>4543</v>
      </c>
      <c r="D5333" s="2" t="s">
        <v>122</v>
      </c>
      <c r="E5333" s="2"/>
      <c r="F5333" s="2">
        <v>146</v>
      </c>
      <c r="G5333" s="2" t="s">
        <v>753</v>
      </c>
      <c r="H5333" s="2">
        <v>122</v>
      </c>
      <c r="I5333" s="2" t="s">
        <v>8431</v>
      </c>
      <c r="J5333" s="2">
        <v>322</v>
      </c>
      <c r="K5333" s="2" t="s">
        <v>754</v>
      </c>
      <c r="L5333" s="2" t="s">
        <v>755</v>
      </c>
      <c r="M5333" s="3">
        <v>40539</v>
      </c>
      <c r="N5333" s="2" t="s">
        <v>756</v>
      </c>
      <c r="O5333" s="2" t="s">
        <v>107</v>
      </c>
      <c r="P5333" s="2" t="s">
        <v>16301</v>
      </c>
      <c r="Q5333" s="2" t="str">
        <f>"N/C"</f>
        <v>N/C</v>
      </c>
      <c r="R5333" s="2" t="s">
        <v>107</v>
      </c>
      <c r="S5333" s="2" t="s">
        <v>82</v>
      </c>
      <c r="T5333" s="2">
        <v>2</v>
      </c>
      <c r="U5333" s="2" t="s">
        <v>123</v>
      </c>
      <c r="V5333" s="2">
        <v>1</v>
      </c>
      <c r="W5333" s="2" t="s">
        <v>80</v>
      </c>
      <c r="X5333" s="2">
        <v>5</v>
      </c>
      <c r="Y5333" s="2" t="s">
        <v>82</v>
      </c>
      <c r="Z5333" s="2">
        <v>1</v>
      </c>
      <c r="AA5333" s="2" t="s">
        <v>82</v>
      </c>
      <c r="AB5333" s="2">
        <v>9</v>
      </c>
      <c r="AC5333" s="2" t="s">
        <v>124</v>
      </c>
      <c r="AD5333" s="3">
        <v>40539</v>
      </c>
      <c r="AE5333" s="4">
        <v>0.5</v>
      </c>
      <c r="AF5333" s="3">
        <v>40539</v>
      </c>
      <c r="AG5333" s="4">
        <v>0.5</v>
      </c>
      <c r="AH5333" s="2">
        <v>6</v>
      </c>
      <c r="AI5333" s="2" t="s">
        <v>197</v>
      </c>
      <c r="AJ5333" s="2">
        <v>54</v>
      </c>
      <c r="AK5333" s="2" t="s">
        <v>348</v>
      </c>
      <c r="AL5333" s="2">
        <v>23</v>
      </c>
      <c r="AM5333" s="2" t="s">
        <v>251</v>
      </c>
      <c r="AN5333" s="2" t="s">
        <v>9102</v>
      </c>
      <c r="AO5333" s="2" t="s">
        <v>16302</v>
      </c>
      <c r="AP5333" s="2">
        <v>11</v>
      </c>
      <c r="AQ5333" s="2" t="s">
        <v>82</v>
      </c>
      <c r="AR5333" s="2"/>
      <c r="AS5333" s="2"/>
      <c r="AT5333" s="2" t="s">
        <v>16303</v>
      </c>
      <c r="AU5333" s="2"/>
      <c r="AV5333" s="2"/>
      <c r="AW5333" s="2"/>
      <c r="AX5333" s="2"/>
      <c r="AY5333" s="2">
        <v>41</v>
      </c>
      <c r="AZ5333" s="2" t="s">
        <v>82</v>
      </c>
      <c r="BA5333" s="2">
        <v>41</v>
      </c>
      <c r="BB5333" s="2" t="s">
        <v>82</v>
      </c>
      <c r="BC5333" s="2">
        <v>41</v>
      </c>
      <c r="BD5333" s="2" t="s">
        <v>82</v>
      </c>
      <c r="BE5333" s="2">
        <v>41</v>
      </c>
      <c r="BF5333" s="2" t="s">
        <v>82</v>
      </c>
      <c r="BG5333" s="2"/>
      <c r="BH5333" s="2"/>
      <c r="BI5333" s="2"/>
      <c r="BJ5333" s="2">
        <v>241</v>
      </c>
      <c r="BK5333" s="2" t="s">
        <v>82</v>
      </c>
      <c r="BL5333" s="2"/>
      <c r="BM5333" s="2">
        <v>241</v>
      </c>
      <c r="BN5333" s="2" t="s">
        <v>82</v>
      </c>
      <c r="BO5333" s="2"/>
      <c r="BP5333" s="2">
        <v>241</v>
      </c>
      <c r="BQ5333" s="2" t="s">
        <v>82</v>
      </c>
      <c r="BR5333" s="2"/>
      <c r="BS5333" s="3">
        <v>40539</v>
      </c>
      <c r="BT5333" s="4">
        <v>0.55178240740740747</v>
      </c>
    </row>
    <row r="5334" spans="1:72" x14ac:dyDescent="0.25">
      <c r="A5334" s="2">
        <v>8250</v>
      </c>
      <c r="B5334" s="2">
        <v>2010</v>
      </c>
      <c r="C5334" s="2" t="s">
        <v>171</v>
      </c>
      <c r="D5334" s="2" t="s">
        <v>122</v>
      </c>
      <c r="E5334" s="2" t="s">
        <v>16304</v>
      </c>
      <c r="F5334" s="2">
        <v>393</v>
      </c>
      <c r="G5334" s="2" t="s">
        <v>3660</v>
      </c>
      <c r="H5334" s="2">
        <v>3</v>
      </c>
      <c r="I5334" s="2" t="s">
        <v>315</v>
      </c>
      <c r="J5334" s="2">
        <v>2</v>
      </c>
      <c r="K5334" s="2" t="s">
        <v>3661</v>
      </c>
      <c r="L5334" s="2" t="s">
        <v>3662</v>
      </c>
      <c r="M5334" s="3">
        <v>40539</v>
      </c>
      <c r="N5334" s="2" t="s">
        <v>10885</v>
      </c>
      <c r="O5334" s="2"/>
      <c r="P5334" s="2"/>
      <c r="Q5334" s="2" t="str">
        <f>"681-E/10"</f>
        <v>681-E/10</v>
      </c>
      <c r="R5334" s="2" t="s">
        <v>391</v>
      </c>
      <c r="S5334" s="2" t="s">
        <v>391</v>
      </c>
      <c r="T5334" s="2">
        <v>1</v>
      </c>
      <c r="U5334" s="2" t="s">
        <v>79</v>
      </c>
      <c r="V5334" s="2">
        <v>1</v>
      </c>
      <c r="W5334" s="2" t="s">
        <v>80</v>
      </c>
      <c r="X5334" s="2">
        <v>1</v>
      </c>
      <c r="Y5334" s="2" t="s">
        <v>81</v>
      </c>
      <c r="Z5334" s="2">
        <v>10</v>
      </c>
      <c r="AA5334" s="2" t="s">
        <v>236</v>
      </c>
      <c r="AB5334" s="2">
        <v>1</v>
      </c>
      <c r="AC5334" s="2" t="s">
        <v>178</v>
      </c>
      <c r="AD5334" s="3">
        <v>40530</v>
      </c>
      <c r="AE5334" s="4">
        <v>0.86805555555555547</v>
      </c>
      <c r="AF5334" s="3">
        <v>40530</v>
      </c>
      <c r="AG5334" s="4">
        <v>0.91666666666666663</v>
      </c>
      <c r="AH5334" s="2">
        <v>2</v>
      </c>
      <c r="AI5334" s="2" t="s">
        <v>84</v>
      </c>
      <c r="AJ5334" s="2">
        <v>9</v>
      </c>
      <c r="AK5334" s="2" t="s">
        <v>103</v>
      </c>
      <c r="AL5334" s="2">
        <v>13</v>
      </c>
      <c r="AM5334" s="2" t="s">
        <v>117</v>
      </c>
      <c r="AN5334" s="2"/>
      <c r="AO5334" s="2"/>
      <c r="AP5334" s="2">
        <v>11</v>
      </c>
      <c r="AQ5334" s="2" t="s">
        <v>82</v>
      </c>
      <c r="AR5334" s="2"/>
      <c r="AS5334" s="2"/>
      <c r="AT5334" s="2" t="s">
        <v>16305</v>
      </c>
      <c r="AU5334" s="2"/>
      <c r="AV5334" s="2">
        <v>2</v>
      </c>
      <c r="AW5334" s="2"/>
      <c r="AX5334" s="2"/>
      <c r="AY5334" s="2">
        <v>41</v>
      </c>
      <c r="AZ5334" s="2" t="s">
        <v>82</v>
      </c>
      <c r="BA5334" s="2">
        <v>41</v>
      </c>
      <c r="BB5334" s="2" t="s">
        <v>82</v>
      </c>
      <c r="BC5334" s="2">
        <v>41</v>
      </c>
      <c r="BD5334" s="2" t="s">
        <v>82</v>
      </c>
      <c r="BE5334" s="2">
        <v>13</v>
      </c>
      <c r="BF5334" s="2" t="s">
        <v>108</v>
      </c>
      <c r="BG5334" s="2">
        <v>1132</v>
      </c>
      <c r="BH5334" s="2"/>
      <c r="BI5334" s="4">
        <v>0.93055555555555547</v>
      </c>
      <c r="BJ5334" s="2">
        <v>13</v>
      </c>
      <c r="BK5334" s="2" t="s">
        <v>91</v>
      </c>
      <c r="BL5334" s="2" t="s">
        <v>360</v>
      </c>
      <c r="BM5334" s="2">
        <v>73</v>
      </c>
      <c r="BN5334" s="2" t="s">
        <v>186</v>
      </c>
      <c r="BO5334" s="2"/>
      <c r="BP5334" s="2">
        <v>73</v>
      </c>
      <c r="BQ5334" s="2" t="s">
        <v>186</v>
      </c>
      <c r="BR5334" s="2" t="s">
        <v>187</v>
      </c>
      <c r="BS5334" s="3">
        <v>40539</v>
      </c>
      <c r="BT5334" s="4">
        <v>0.65315972222222218</v>
      </c>
    </row>
    <row r="5335" spans="1:72" x14ac:dyDescent="0.25">
      <c r="A5335" s="2">
        <v>8253</v>
      </c>
      <c r="B5335" s="2">
        <v>2010</v>
      </c>
      <c r="C5335" s="2" t="s">
        <v>819</v>
      </c>
      <c r="D5335" s="2" t="s">
        <v>73</v>
      </c>
      <c r="E5335" s="2"/>
      <c r="F5335" s="2">
        <v>389</v>
      </c>
      <c r="G5335" s="2" t="s">
        <v>1819</v>
      </c>
      <c r="H5335" s="2">
        <v>4</v>
      </c>
      <c r="I5335" s="2" t="s">
        <v>173</v>
      </c>
      <c r="J5335" s="2">
        <v>399</v>
      </c>
      <c r="K5335" s="2" t="s">
        <v>1820</v>
      </c>
      <c r="L5335" s="2" t="s">
        <v>1821</v>
      </c>
      <c r="M5335" s="3">
        <v>40539</v>
      </c>
      <c r="N5335" s="2" t="s">
        <v>16306</v>
      </c>
      <c r="O5335" s="2" t="s">
        <v>107</v>
      </c>
      <c r="P5335" s="2" t="s">
        <v>107</v>
      </c>
      <c r="Q5335" s="2" t="str">
        <f>"10/10"</f>
        <v>10/10</v>
      </c>
      <c r="R5335" s="2" t="s">
        <v>107</v>
      </c>
      <c r="S5335" s="2" t="s">
        <v>16307</v>
      </c>
      <c r="T5335" s="2">
        <v>1</v>
      </c>
      <c r="U5335" s="2" t="s">
        <v>79</v>
      </c>
      <c r="V5335" s="2">
        <v>1</v>
      </c>
      <c r="W5335" s="2" t="s">
        <v>80</v>
      </c>
      <c r="X5335" s="2">
        <v>12</v>
      </c>
      <c r="Y5335" s="2" t="s">
        <v>148</v>
      </c>
      <c r="Z5335" s="2">
        <v>1</v>
      </c>
      <c r="AA5335" s="2" t="s">
        <v>82</v>
      </c>
      <c r="AB5335" s="2">
        <v>9</v>
      </c>
      <c r="AC5335" s="2" t="s">
        <v>124</v>
      </c>
      <c r="AD5335" s="3">
        <v>40535</v>
      </c>
      <c r="AE5335" s="4">
        <v>0.6777777777777777</v>
      </c>
      <c r="AF5335" s="3">
        <v>40535</v>
      </c>
      <c r="AG5335" s="4">
        <v>0.66666666666666663</v>
      </c>
      <c r="AH5335" s="2">
        <v>7</v>
      </c>
      <c r="AI5335" s="2" t="s">
        <v>801</v>
      </c>
      <c r="AJ5335" s="2">
        <v>3</v>
      </c>
      <c r="AK5335" s="2" t="s">
        <v>802</v>
      </c>
      <c r="AL5335" s="2">
        <v>19</v>
      </c>
      <c r="AM5335" s="2" t="s">
        <v>107</v>
      </c>
      <c r="AN5335" s="2" t="s">
        <v>107</v>
      </c>
      <c r="AO5335" s="2" t="s">
        <v>16308</v>
      </c>
      <c r="AP5335" s="2">
        <v>11</v>
      </c>
      <c r="AQ5335" s="2" t="s">
        <v>82</v>
      </c>
      <c r="AR5335" s="2" t="s">
        <v>107</v>
      </c>
      <c r="AS5335" s="2" t="s">
        <v>107</v>
      </c>
      <c r="AT5335" s="2" t="s">
        <v>16309</v>
      </c>
      <c r="AU5335" s="2"/>
      <c r="AV5335" s="2"/>
      <c r="AW5335" s="2"/>
      <c r="AX5335" s="2"/>
      <c r="AY5335" s="2">
        <v>41</v>
      </c>
      <c r="AZ5335" s="2" t="s">
        <v>82</v>
      </c>
      <c r="BA5335" s="2">
        <v>152</v>
      </c>
      <c r="BB5335" s="2" t="s">
        <v>13823</v>
      </c>
      <c r="BC5335" s="2">
        <v>41</v>
      </c>
      <c r="BD5335" s="2" t="s">
        <v>82</v>
      </c>
      <c r="BE5335" s="2">
        <v>41</v>
      </c>
      <c r="BF5335" s="2" t="s">
        <v>82</v>
      </c>
      <c r="BG5335" s="2" t="s">
        <v>107</v>
      </c>
      <c r="BH5335" s="2"/>
      <c r="BI5335" s="2"/>
      <c r="BJ5335" s="2">
        <v>241</v>
      </c>
      <c r="BK5335" s="2" t="s">
        <v>82</v>
      </c>
      <c r="BL5335" s="2" t="s">
        <v>107</v>
      </c>
      <c r="BM5335" s="2">
        <v>241</v>
      </c>
      <c r="BN5335" s="2" t="s">
        <v>82</v>
      </c>
      <c r="BO5335" s="2"/>
      <c r="BP5335" s="2">
        <v>241</v>
      </c>
      <c r="BQ5335" s="2" t="s">
        <v>82</v>
      </c>
      <c r="BR5335" s="2" t="s">
        <v>107</v>
      </c>
      <c r="BS5335" s="3">
        <v>40539</v>
      </c>
      <c r="BT5335" s="4">
        <v>0.71734953703703708</v>
      </c>
    </row>
    <row r="5336" spans="1:72" x14ac:dyDescent="0.25">
      <c r="A5336" s="2">
        <v>8254</v>
      </c>
      <c r="B5336" s="2">
        <v>2010</v>
      </c>
      <c r="C5336" s="2" t="s">
        <v>72</v>
      </c>
      <c r="D5336" s="2" t="s">
        <v>73</v>
      </c>
      <c r="E5336" s="2"/>
      <c r="F5336" s="2">
        <v>175</v>
      </c>
      <c r="G5336" s="2" t="s">
        <v>4170</v>
      </c>
      <c r="H5336" s="2">
        <v>108</v>
      </c>
      <c r="I5336" s="2" t="s">
        <v>1096</v>
      </c>
      <c r="J5336" s="2">
        <v>728</v>
      </c>
      <c r="K5336" s="2" t="s">
        <v>15156</v>
      </c>
      <c r="L5336" s="2" t="s">
        <v>15157</v>
      </c>
      <c r="M5336" s="3">
        <v>40539</v>
      </c>
      <c r="N5336" s="2" t="s">
        <v>15507</v>
      </c>
      <c r="O5336" s="2" t="s">
        <v>82</v>
      </c>
      <c r="P5336" s="2" t="s">
        <v>16310</v>
      </c>
      <c r="Q5336" s="2" t="str">
        <f>"475-A/10"</f>
        <v>475-A/10</v>
      </c>
      <c r="R5336" s="2" t="s">
        <v>78</v>
      </c>
      <c r="S5336" s="2" t="s">
        <v>78</v>
      </c>
      <c r="T5336" s="2">
        <v>1</v>
      </c>
      <c r="U5336" s="2" t="s">
        <v>79</v>
      </c>
      <c r="V5336" s="2">
        <v>1</v>
      </c>
      <c r="W5336" s="2" t="s">
        <v>80</v>
      </c>
      <c r="X5336" s="2">
        <v>12</v>
      </c>
      <c r="Y5336" s="2" t="s">
        <v>148</v>
      </c>
      <c r="Z5336" s="2">
        <v>1</v>
      </c>
      <c r="AA5336" s="2" t="s">
        <v>82</v>
      </c>
      <c r="AB5336" s="2">
        <v>6</v>
      </c>
      <c r="AC5336" s="2" t="s">
        <v>83</v>
      </c>
      <c r="AD5336" s="3">
        <v>40539</v>
      </c>
      <c r="AE5336" s="2"/>
      <c r="AF5336" s="3">
        <v>40539</v>
      </c>
      <c r="AG5336" s="4">
        <v>0.64236111111111105</v>
      </c>
      <c r="AH5336" s="2">
        <v>2</v>
      </c>
      <c r="AI5336" s="2" t="s">
        <v>84</v>
      </c>
      <c r="AJ5336" s="2">
        <v>12</v>
      </c>
      <c r="AK5336" s="2" t="s">
        <v>85</v>
      </c>
      <c r="AL5336" s="2">
        <v>23</v>
      </c>
      <c r="AM5336" s="2" t="s">
        <v>251</v>
      </c>
      <c r="AN5336" s="2" t="s">
        <v>16311</v>
      </c>
      <c r="AO5336" s="2" t="s">
        <v>16312</v>
      </c>
      <c r="AP5336" s="2">
        <v>11</v>
      </c>
      <c r="AQ5336" s="2" t="s">
        <v>82</v>
      </c>
      <c r="AR5336" s="2"/>
      <c r="AS5336" s="2"/>
      <c r="AT5336" s="2" t="s">
        <v>16313</v>
      </c>
      <c r="AU5336" s="2"/>
      <c r="AV5336" s="2"/>
      <c r="AW5336" s="2"/>
      <c r="AX5336" s="2"/>
      <c r="AY5336" s="2">
        <v>41</v>
      </c>
      <c r="AZ5336" s="2" t="s">
        <v>82</v>
      </c>
      <c r="BA5336" s="2">
        <v>41</v>
      </c>
      <c r="BB5336" s="2" t="s">
        <v>82</v>
      </c>
      <c r="BC5336" s="2">
        <v>41</v>
      </c>
      <c r="BD5336" s="2" t="s">
        <v>82</v>
      </c>
      <c r="BE5336" s="2">
        <v>41</v>
      </c>
      <c r="BF5336" s="2" t="s">
        <v>82</v>
      </c>
      <c r="BG5336" s="2"/>
      <c r="BH5336" s="2"/>
      <c r="BI5336" s="2"/>
      <c r="BJ5336" s="2">
        <v>241</v>
      </c>
      <c r="BK5336" s="2" t="s">
        <v>82</v>
      </c>
      <c r="BL5336" s="2"/>
      <c r="BM5336" s="2">
        <v>241</v>
      </c>
      <c r="BN5336" s="2" t="s">
        <v>82</v>
      </c>
      <c r="BO5336" s="2"/>
      <c r="BP5336" s="2">
        <v>241</v>
      </c>
      <c r="BQ5336" s="2" t="s">
        <v>82</v>
      </c>
      <c r="BR5336" s="2"/>
      <c r="BS5336" s="3">
        <v>40539</v>
      </c>
      <c r="BT5336" s="4">
        <v>0.77278935185185194</v>
      </c>
    </row>
    <row r="5337" spans="1:72" x14ac:dyDescent="0.25">
      <c r="A5337" s="2">
        <v>8257</v>
      </c>
      <c r="B5337" s="2">
        <v>2010</v>
      </c>
      <c r="C5337" s="2" t="s">
        <v>93</v>
      </c>
      <c r="D5337" s="2" t="s">
        <v>122</v>
      </c>
      <c r="E5337" s="2" t="s">
        <v>16314</v>
      </c>
      <c r="F5337" s="2">
        <v>389</v>
      </c>
      <c r="G5337" s="2" t="s">
        <v>1819</v>
      </c>
      <c r="H5337" s="2">
        <v>2</v>
      </c>
      <c r="I5337" s="2" t="s">
        <v>267</v>
      </c>
      <c r="J5337" s="2">
        <v>399</v>
      </c>
      <c r="K5337" s="2" t="s">
        <v>1820</v>
      </c>
      <c r="L5337" s="2" t="s">
        <v>1821</v>
      </c>
      <c r="M5337" s="3">
        <v>40539</v>
      </c>
      <c r="N5337" s="2" t="s">
        <v>5653</v>
      </c>
      <c r="O5337" s="2" t="s">
        <v>16254</v>
      </c>
      <c r="P5337" s="2" t="s">
        <v>107</v>
      </c>
      <c r="Q5337" s="2" t="str">
        <f>""</f>
        <v/>
      </c>
      <c r="R5337" s="2" t="s">
        <v>100</v>
      </c>
      <c r="S5337" s="2"/>
      <c r="T5337" s="2">
        <v>1</v>
      </c>
      <c r="U5337" s="2" t="s">
        <v>79</v>
      </c>
      <c r="V5337" s="2">
        <v>1</v>
      </c>
      <c r="W5337" s="2" t="s">
        <v>80</v>
      </c>
      <c r="X5337" s="2">
        <v>7</v>
      </c>
      <c r="Y5337" s="2" t="s">
        <v>1964</v>
      </c>
      <c r="Z5337" s="2">
        <v>6</v>
      </c>
      <c r="AA5337" s="2" t="s">
        <v>101</v>
      </c>
      <c r="AB5337" s="2">
        <v>2</v>
      </c>
      <c r="AC5337" s="2" t="s">
        <v>102</v>
      </c>
      <c r="AD5337" s="3">
        <v>40536</v>
      </c>
      <c r="AE5337" s="4">
        <v>0.70833333333333337</v>
      </c>
      <c r="AF5337" s="3">
        <v>40536</v>
      </c>
      <c r="AG5337" s="4">
        <v>0.875</v>
      </c>
      <c r="AH5337" s="2">
        <v>2</v>
      </c>
      <c r="AI5337" s="2" t="s">
        <v>84</v>
      </c>
      <c r="AJ5337" s="2">
        <v>9</v>
      </c>
      <c r="AK5337" s="2" t="s">
        <v>103</v>
      </c>
      <c r="AL5337" s="2">
        <v>15</v>
      </c>
      <c r="AM5337" s="2" t="s">
        <v>104</v>
      </c>
      <c r="AN5337" s="2"/>
      <c r="AO5337" s="2" t="s">
        <v>16315</v>
      </c>
      <c r="AP5337" s="2">
        <v>11</v>
      </c>
      <c r="AQ5337" s="2" t="s">
        <v>82</v>
      </c>
      <c r="AR5337" s="2"/>
      <c r="AS5337" s="2"/>
      <c r="AT5337" s="2" t="s">
        <v>16316</v>
      </c>
      <c r="AU5337" s="2">
        <v>1</v>
      </c>
      <c r="AV5337" s="2"/>
      <c r="AW5337" s="2"/>
      <c r="AX5337" s="2"/>
      <c r="AY5337" s="2">
        <v>42</v>
      </c>
      <c r="AZ5337" s="2" t="s">
        <v>182</v>
      </c>
      <c r="BA5337" s="2">
        <v>41</v>
      </c>
      <c r="BB5337" s="2" t="s">
        <v>82</v>
      </c>
      <c r="BC5337" s="2">
        <v>41</v>
      </c>
      <c r="BD5337" s="2" t="s">
        <v>82</v>
      </c>
      <c r="BE5337" s="2">
        <v>13</v>
      </c>
      <c r="BF5337" s="2" t="s">
        <v>108</v>
      </c>
      <c r="BG5337" s="2">
        <v>1363</v>
      </c>
      <c r="BH5337" s="4">
        <v>0.64930555555555558</v>
      </c>
      <c r="BI5337" s="2"/>
      <c r="BJ5337" s="2">
        <v>29</v>
      </c>
      <c r="BK5337" s="2" t="s">
        <v>962</v>
      </c>
      <c r="BL5337" s="2" t="s">
        <v>963</v>
      </c>
      <c r="BM5337" s="2">
        <v>13</v>
      </c>
      <c r="BN5337" s="2" t="s">
        <v>91</v>
      </c>
      <c r="BO5337" s="2"/>
      <c r="BP5337" s="2">
        <v>13</v>
      </c>
      <c r="BQ5337" s="2" t="s">
        <v>91</v>
      </c>
      <c r="BR5337" s="2"/>
      <c r="BS5337" s="3">
        <v>40539</v>
      </c>
      <c r="BT5337" s="4">
        <v>0.87133101851851846</v>
      </c>
    </row>
    <row r="5338" spans="1:72" x14ac:dyDescent="0.25">
      <c r="A5338" s="2">
        <v>8259</v>
      </c>
      <c r="B5338" s="2">
        <v>2010</v>
      </c>
      <c r="C5338" s="2" t="s">
        <v>243</v>
      </c>
      <c r="D5338" s="2" t="s">
        <v>73</v>
      </c>
      <c r="E5338" s="2"/>
      <c r="F5338" s="2">
        <v>338</v>
      </c>
      <c r="G5338" s="2" t="s">
        <v>4459</v>
      </c>
      <c r="H5338" s="2">
        <v>3</v>
      </c>
      <c r="I5338" s="2" t="s">
        <v>315</v>
      </c>
      <c r="J5338" s="2">
        <v>434</v>
      </c>
      <c r="K5338" s="2" t="s">
        <v>4419</v>
      </c>
      <c r="L5338" s="2" t="s">
        <v>946</v>
      </c>
      <c r="M5338" s="3">
        <v>40539</v>
      </c>
      <c r="N5338" s="2" t="s">
        <v>11985</v>
      </c>
      <c r="O5338" s="2" t="s">
        <v>16317</v>
      </c>
      <c r="P5338" s="2" t="s">
        <v>16318</v>
      </c>
      <c r="Q5338" s="2" t="str">
        <f>"0029/2010"</f>
        <v>0029/2010</v>
      </c>
      <c r="R5338" s="2"/>
      <c r="S5338" s="2"/>
      <c r="T5338" s="2">
        <v>1</v>
      </c>
      <c r="U5338" s="2" t="s">
        <v>79</v>
      </c>
      <c r="V5338" s="2">
        <v>1</v>
      </c>
      <c r="W5338" s="2" t="s">
        <v>80</v>
      </c>
      <c r="X5338" s="2">
        <v>8</v>
      </c>
      <c r="Y5338" s="2" t="s">
        <v>375</v>
      </c>
      <c r="Z5338" s="2">
        <v>1</v>
      </c>
      <c r="AA5338" s="2" t="s">
        <v>82</v>
      </c>
      <c r="AB5338" s="2">
        <v>9</v>
      </c>
      <c r="AC5338" s="2" t="s">
        <v>124</v>
      </c>
      <c r="AD5338" s="3">
        <v>40539</v>
      </c>
      <c r="AE5338" s="4">
        <v>0.46875</v>
      </c>
      <c r="AF5338" s="3">
        <v>40539</v>
      </c>
      <c r="AG5338" s="4">
        <v>0.46875</v>
      </c>
      <c r="AH5338" s="2">
        <v>5</v>
      </c>
      <c r="AI5338" s="2" t="s">
        <v>274</v>
      </c>
      <c r="AJ5338" s="2">
        <v>35</v>
      </c>
      <c r="AK5338" s="2" t="s">
        <v>275</v>
      </c>
      <c r="AL5338" s="2">
        <v>23</v>
      </c>
      <c r="AM5338" s="2" t="s">
        <v>251</v>
      </c>
      <c r="AN5338" s="2" t="s">
        <v>16319</v>
      </c>
      <c r="AO5338" s="2" t="s">
        <v>284</v>
      </c>
      <c r="AP5338" s="2">
        <v>11</v>
      </c>
      <c r="AQ5338" s="2" t="s">
        <v>82</v>
      </c>
      <c r="AR5338" s="2"/>
      <c r="AS5338" s="2"/>
      <c r="AT5338" s="2" t="s">
        <v>16320</v>
      </c>
      <c r="AU5338" s="2"/>
      <c r="AV5338" s="2">
        <v>1</v>
      </c>
      <c r="AW5338" s="2"/>
      <c r="AX5338" s="2"/>
      <c r="AY5338" s="2">
        <v>41</v>
      </c>
      <c r="AZ5338" s="2" t="s">
        <v>82</v>
      </c>
      <c r="BA5338" s="2">
        <v>41</v>
      </c>
      <c r="BB5338" s="2" t="s">
        <v>82</v>
      </c>
      <c r="BC5338" s="2">
        <v>41</v>
      </c>
      <c r="BD5338" s="2" t="s">
        <v>82</v>
      </c>
      <c r="BE5338" s="2">
        <v>41</v>
      </c>
      <c r="BF5338" s="2" t="s">
        <v>82</v>
      </c>
      <c r="BG5338" s="2"/>
      <c r="BH5338" s="2"/>
      <c r="BI5338" s="2"/>
      <c r="BJ5338" s="2">
        <v>241</v>
      </c>
      <c r="BK5338" s="2" t="s">
        <v>82</v>
      </c>
      <c r="BL5338" s="2"/>
      <c r="BM5338" s="2">
        <v>241</v>
      </c>
      <c r="BN5338" s="2" t="s">
        <v>82</v>
      </c>
      <c r="BO5338" s="2"/>
      <c r="BP5338" s="2">
        <v>241</v>
      </c>
      <c r="BQ5338" s="2" t="s">
        <v>82</v>
      </c>
      <c r="BR5338" s="2"/>
      <c r="BS5338" s="3">
        <v>40539</v>
      </c>
      <c r="BT5338" s="4">
        <v>0.96181712962962962</v>
      </c>
    </row>
    <row r="5339" spans="1:72" x14ac:dyDescent="0.25">
      <c r="A5339" s="2">
        <v>8260</v>
      </c>
      <c r="B5339" s="2">
        <v>2010</v>
      </c>
      <c r="C5339" s="2" t="s">
        <v>255</v>
      </c>
      <c r="D5339" s="2" t="s">
        <v>73</v>
      </c>
      <c r="E5339" s="2"/>
      <c r="F5339" s="2">
        <v>638</v>
      </c>
      <c r="G5339" s="2" t="s">
        <v>8288</v>
      </c>
      <c r="H5339" s="2">
        <v>4</v>
      </c>
      <c r="I5339" s="2" t="s">
        <v>173</v>
      </c>
      <c r="J5339" s="2">
        <v>587</v>
      </c>
      <c r="K5339" s="2" t="s">
        <v>8411</v>
      </c>
      <c r="L5339" s="2" t="s">
        <v>8412</v>
      </c>
      <c r="M5339" s="3">
        <v>40540</v>
      </c>
      <c r="N5339" s="2" t="s">
        <v>16321</v>
      </c>
      <c r="O5339" s="2"/>
      <c r="P5339" s="2"/>
      <c r="Q5339" s="2" t="str">
        <f>"79/10"</f>
        <v>79/10</v>
      </c>
      <c r="R5339" s="2"/>
      <c r="S5339" s="2" t="s">
        <v>16322</v>
      </c>
      <c r="T5339" s="2">
        <v>1</v>
      </c>
      <c r="U5339" s="2" t="s">
        <v>79</v>
      </c>
      <c r="V5339" s="2">
        <v>1</v>
      </c>
      <c r="W5339" s="2" t="s">
        <v>80</v>
      </c>
      <c r="X5339" s="2">
        <v>12</v>
      </c>
      <c r="Y5339" s="2" t="s">
        <v>148</v>
      </c>
      <c r="Z5339" s="2">
        <v>1</v>
      </c>
      <c r="AA5339" s="2" t="s">
        <v>82</v>
      </c>
      <c r="AB5339" s="2">
        <v>9</v>
      </c>
      <c r="AC5339" s="2" t="s">
        <v>124</v>
      </c>
      <c r="AD5339" s="3">
        <v>40539</v>
      </c>
      <c r="AE5339" s="2"/>
      <c r="AF5339" s="3">
        <v>40539</v>
      </c>
      <c r="AG5339" s="4">
        <v>0.94791666666666663</v>
      </c>
      <c r="AH5339" s="2">
        <v>3</v>
      </c>
      <c r="AI5339" s="2" t="s">
        <v>214</v>
      </c>
      <c r="AJ5339" s="2">
        <v>24</v>
      </c>
      <c r="AK5339" s="2" t="s">
        <v>215</v>
      </c>
      <c r="AL5339" s="2">
        <v>29</v>
      </c>
      <c r="AM5339" s="2" t="s">
        <v>5416</v>
      </c>
      <c r="AN5339" s="2"/>
      <c r="AO5339" s="2"/>
      <c r="AP5339" s="2">
        <v>11</v>
      </c>
      <c r="AQ5339" s="2" t="s">
        <v>82</v>
      </c>
      <c r="AR5339" s="2"/>
      <c r="AS5339" s="2"/>
      <c r="AT5339" s="2" t="s">
        <v>16323</v>
      </c>
      <c r="AU5339" s="2"/>
      <c r="AV5339" s="2"/>
      <c r="AW5339" s="2"/>
      <c r="AX5339" s="2"/>
      <c r="AY5339" s="2">
        <v>41</v>
      </c>
      <c r="AZ5339" s="2" t="s">
        <v>82</v>
      </c>
      <c r="BA5339" s="2">
        <v>41</v>
      </c>
      <c r="BB5339" s="2" t="s">
        <v>82</v>
      </c>
      <c r="BC5339" s="2">
        <v>41</v>
      </c>
      <c r="BD5339" s="2" t="s">
        <v>82</v>
      </c>
      <c r="BE5339" s="2">
        <v>41</v>
      </c>
      <c r="BF5339" s="2" t="s">
        <v>82</v>
      </c>
      <c r="BG5339" s="2"/>
      <c r="BH5339" s="2"/>
      <c r="BI5339" s="2"/>
      <c r="BJ5339" s="2">
        <v>241</v>
      </c>
      <c r="BK5339" s="2" t="s">
        <v>82</v>
      </c>
      <c r="BL5339" s="2"/>
      <c r="BM5339" s="2">
        <v>241</v>
      </c>
      <c r="BN5339" s="2" t="s">
        <v>82</v>
      </c>
      <c r="BO5339" s="2"/>
      <c r="BP5339" s="2">
        <v>241</v>
      </c>
      <c r="BQ5339" s="2" t="s">
        <v>82</v>
      </c>
      <c r="BR5339" s="2"/>
      <c r="BS5339" s="3">
        <v>40540</v>
      </c>
      <c r="BT5339" s="4">
        <v>1.4085648148148151E-2</v>
      </c>
    </row>
    <row r="5340" spans="1:72" x14ac:dyDescent="0.25">
      <c r="A5340" s="2">
        <v>8261</v>
      </c>
      <c r="B5340" s="2">
        <v>2010</v>
      </c>
      <c r="C5340" s="2" t="s">
        <v>72</v>
      </c>
      <c r="D5340" s="2" t="s">
        <v>73</v>
      </c>
      <c r="E5340" s="2"/>
      <c r="F5340" s="2">
        <v>3</v>
      </c>
      <c r="G5340" s="2" t="s">
        <v>1041</v>
      </c>
      <c r="H5340" s="2">
        <v>149</v>
      </c>
      <c r="I5340" s="2" t="s">
        <v>14672</v>
      </c>
      <c r="J5340" s="2">
        <v>368</v>
      </c>
      <c r="K5340" s="2" t="s">
        <v>1042</v>
      </c>
      <c r="L5340" s="2" t="s">
        <v>1043</v>
      </c>
      <c r="M5340" s="3">
        <v>40540</v>
      </c>
      <c r="N5340" s="2"/>
      <c r="O5340" s="2"/>
      <c r="P5340" s="2"/>
      <c r="Q5340" s="2" t="str">
        <f>"688-E/10"</f>
        <v>688-E/10</v>
      </c>
      <c r="R5340" s="2"/>
      <c r="S5340" s="2" t="s">
        <v>116</v>
      </c>
      <c r="T5340" s="2">
        <v>1</v>
      </c>
      <c r="U5340" s="2" t="s">
        <v>79</v>
      </c>
      <c r="V5340" s="2">
        <v>1</v>
      </c>
      <c r="W5340" s="2" t="s">
        <v>80</v>
      </c>
      <c r="X5340" s="2">
        <v>1</v>
      </c>
      <c r="Y5340" s="2" t="s">
        <v>81</v>
      </c>
      <c r="Z5340" s="2">
        <v>1</v>
      </c>
      <c r="AA5340" s="2" t="s">
        <v>82</v>
      </c>
      <c r="AB5340" s="2">
        <v>6</v>
      </c>
      <c r="AC5340" s="2" t="s">
        <v>83</v>
      </c>
      <c r="AD5340" s="3">
        <v>40539</v>
      </c>
      <c r="AE5340" s="2"/>
      <c r="AF5340" s="3">
        <v>40539</v>
      </c>
      <c r="AG5340" s="4">
        <v>0.77083333333333337</v>
      </c>
      <c r="AH5340" s="2">
        <v>2</v>
      </c>
      <c r="AI5340" s="2" t="s">
        <v>84</v>
      </c>
      <c r="AJ5340" s="2">
        <v>9</v>
      </c>
      <c r="AK5340" s="2" t="s">
        <v>103</v>
      </c>
      <c r="AL5340" s="2">
        <v>29</v>
      </c>
      <c r="AM5340" s="2" t="s">
        <v>5416</v>
      </c>
      <c r="AN5340" s="2" t="s">
        <v>16324</v>
      </c>
      <c r="AO5340" s="2" t="s">
        <v>590</v>
      </c>
      <c r="AP5340" s="2">
        <v>11</v>
      </c>
      <c r="AQ5340" s="2" t="s">
        <v>82</v>
      </c>
      <c r="AR5340" s="2"/>
      <c r="AS5340" s="2"/>
      <c r="AT5340" s="2" t="s">
        <v>16325</v>
      </c>
      <c r="AU5340" s="2"/>
      <c r="AV5340" s="2"/>
      <c r="AW5340" s="2">
        <v>4</v>
      </c>
      <c r="AX5340" s="2"/>
      <c r="AY5340" s="2">
        <v>41</v>
      </c>
      <c r="AZ5340" s="2" t="s">
        <v>82</v>
      </c>
      <c r="BA5340" s="2">
        <v>41</v>
      </c>
      <c r="BB5340" s="2" t="s">
        <v>82</v>
      </c>
      <c r="BC5340" s="2">
        <v>41</v>
      </c>
      <c r="BD5340" s="2" t="s">
        <v>82</v>
      </c>
      <c r="BE5340" s="2">
        <v>41</v>
      </c>
      <c r="BF5340" s="2" t="s">
        <v>82</v>
      </c>
      <c r="BG5340" s="2"/>
      <c r="BH5340" s="2"/>
      <c r="BI5340" s="2"/>
      <c r="BJ5340" s="2">
        <v>241</v>
      </c>
      <c r="BK5340" s="2" t="s">
        <v>82</v>
      </c>
      <c r="BL5340" s="2"/>
      <c r="BM5340" s="2">
        <v>241</v>
      </c>
      <c r="BN5340" s="2" t="s">
        <v>82</v>
      </c>
      <c r="BO5340" s="2"/>
      <c r="BP5340" s="2">
        <v>241</v>
      </c>
      <c r="BQ5340" s="2" t="s">
        <v>82</v>
      </c>
      <c r="BR5340" s="2"/>
      <c r="BS5340" s="3">
        <v>40540</v>
      </c>
      <c r="BT5340" s="4">
        <v>1.7673611111111109E-2</v>
      </c>
    </row>
    <row r="5341" spans="1:72" x14ac:dyDescent="0.25">
      <c r="A5341" s="2">
        <v>8262</v>
      </c>
      <c r="B5341" s="2">
        <v>2010</v>
      </c>
      <c r="C5341" s="2" t="s">
        <v>243</v>
      </c>
      <c r="D5341" s="2" t="s">
        <v>73</v>
      </c>
      <c r="E5341" s="2"/>
      <c r="F5341" s="2">
        <v>338</v>
      </c>
      <c r="G5341" s="2" t="s">
        <v>4459</v>
      </c>
      <c r="H5341" s="2">
        <v>39</v>
      </c>
      <c r="I5341" s="2" t="s">
        <v>1117</v>
      </c>
      <c r="J5341" s="2">
        <v>309</v>
      </c>
      <c r="K5341" s="2" t="s">
        <v>268</v>
      </c>
      <c r="L5341" s="2" t="s">
        <v>269</v>
      </c>
      <c r="M5341" s="3">
        <v>40540</v>
      </c>
      <c r="N5341" s="2" t="s">
        <v>11985</v>
      </c>
      <c r="O5341" s="2" t="s">
        <v>16326</v>
      </c>
      <c r="P5341" s="2" t="s">
        <v>16318</v>
      </c>
      <c r="Q5341" s="2" t="str">
        <f>"0029/2010"</f>
        <v>0029/2010</v>
      </c>
      <c r="R5341" s="2"/>
      <c r="S5341" s="2"/>
      <c r="T5341" s="2">
        <v>1</v>
      </c>
      <c r="U5341" s="2" t="s">
        <v>79</v>
      </c>
      <c r="V5341" s="2">
        <v>1</v>
      </c>
      <c r="W5341" s="2" t="s">
        <v>80</v>
      </c>
      <c r="X5341" s="2">
        <v>8</v>
      </c>
      <c r="Y5341" s="2" t="s">
        <v>375</v>
      </c>
      <c r="Z5341" s="2">
        <v>1</v>
      </c>
      <c r="AA5341" s="2" t="s">
        <v>82</v>
      </c>
      <c r="AB5341" s="2">
        <v>9</v>
      </c>
      <c r="AC5341" s="2" t="s">
        <v>124</v>
      </c>
      <c r="AD5341" s="3">
        <v>40539</v>
      </c>
      <c r="AE5341" s="4">
        <v>0.61805555555555558</v>
      </c>
      <c r="AF5341" s="3">
        <v>40539</v>
      </c>
      <c r="AG5341" s="4">
        <v>0.61805555555555558</v>
      </c>
      <c r="AH5341" s="2">
        <v>5</v>
      </c>
      <c r="AI5341" s="2" t="s">
        <v>274</v>
      </c>
      <c r="AJ5341" s="2">
        <v>35</v>
      </c>
      <c r="AK5341" s="2" t="s">
        <v>275</v>
      </c>
      <c r="AL5341" s="2">
        <v>23</v>
      </c>
      <c r="AM5341" s="2" t="s">
        <v>251</v>
      </c>
      <c r="AN5341" s="2" t="s">
        <v>16327</v>
      </c>
      <c r="AO5341" s="2" t="s">
        <v>284</v>
      </c>
      <c r="AP5341" s="2">
        <v>11</v>
      </c>
      <c r="AQ5341" s="2" t="s">
        <v>82</v>
      </c>
      <c r="AR5341" s="2"/>
      <c r="AS5341" s="2"/>
      <c r="AT5341" s="2" t="s">
        <v>16328</v>
      </c>
      <c r="AU5341" s="2"/>
      <c r="AV5341" s="2"/>
      <c r="AW5341" s="2"/>
      <c r="AX5341" s="2"/>
      <c r="AY5341" s="2">
        <v>41</v>
      </c>
      <c r="AZ5341" s="2" t="s">
        <v>82</v>
      </c>
      <c r="BA5341" s="2">
        <v>41</v>
      </c>
      <c r="BB5341" s="2" t="s">
        <v>82</v>
      </c>
      <c r="BC5341" s="2">
        <v>41</v>
      </c>
      <c r="BD5341" s="2" t="s">
        <v>82</v>
      </c>
      <c r="BE5341" s="2">
        <v>41</v>
      </c>
      <c r="BF5341" s="2" t="s">
        <v>82</v>
      </c>
      <c r="BG5341" s="2"/>
      <c r="BH5341" s="2"/>
      <c r="BI5341" s="2"/>
      <c r="BJ5341" s="2">
        <v>241</v>
      </c>
      <c r="BK5341" s="2" t="s">
        <v>82</v>
      </c>
      <c r="BL5341" s="2"/>
      <c r="BM5341" s="2">
        <v>241</v>
      </c>
      <c r="BN5341" s="2" t="s">
        <v>82</v>
      </c>
      <c r="BO5341" s="2"/>
      <c r="BP5341" s="2">
        <v>241</v>
      </c>
      <c r="BQ5341" s="2" t="s">
        <v>82</v>
      </c>
      <c r="BR5341" s="2"/>
      <c r="BS5341" s="3">
        <v>40540</v>
      </c>
      <c r="BT5341" s="4">
        <v>2.7488425925925927E-2</v>
      </c>
    </row>
    <row r="5342" spans="1:72" x14ac:dyDescent="0.25">
      <c r="A5342" s="2">
        <v>8263</v>
      </c>
      <c r="B5342" s="2">
        <v>2010</v>
      </c>
      <c r="C5342" s="2" t="s">
        <v>243</v>
      </c>
      <c r="D5342" s="2" t="s">
        <v>73</v>
      </c>
      <c r="E5342" s="2"/>
      <c r="F5342" s="2">
        <v>338</v>
      </c>
      <c r="G5342" s="2" t="s">
        <v>4459</v>
      </c>
      <c r="H5342" s="2">
        <v>3</v>
      </c>
      <c r="I5342" s="2" t="s">
        <v>315</v>
      </c>
      <c r="J5342" s="2">
        <v>309</v>
      </c>
      <c r="K5342" s="2" t="s">
        <v>268</v>
      </c>
      <c r="L5342" s="2" t="s">
        <v>269</v>
      </c>
      <c r="M5342" s="3">
        <v>40540</v>
      </c>
      <c r="N5342" s="2" t="s">
        <v>11985</v>
      </c>
      <c r="O5342" s="2" t="s">
        <v>16329</v>
      </c>
      <c r="P5342" s="2" t="s">
        <v>16318</v>
      </c>
      <c r="Q5342" s="2" t="str">
        <f>"0029/2010"</f>
        <v>0029/2010</v>
      </c>
      <c r="R5342" s="2"/>
      <c r="S5342" s="2"/>
      <c r="T5342" s="2">
        <v>1</v>
      </c>
      <c r="U5342" s="2" t="s">
        <v>79</v>
      </c>
      <c r="V5342" s="2">
        <v>1</v>
      </c>
      <c r="W5342" s="2" t="s">
        <v>80</v>
      </c>
      <c r="X5342" s="2">
        <v>8</v>
      </c>
      <c r="Y5342" s="2" t="s">
        <v>375</v>
      </c>
      <c r="Z5342" s="2">
        <v>1</v>
      </c>
      <c r="AA5342" s="2" t="s">
        <v>82</v>
      </c>
      <c r="AB5342" s="2">
        <v>9</v>
      </c>
      <c r="AC5342" s="2" t="s">
        <v>124</v>
      </c>
      <c r="AD5342" s="3">
        <v>40539</v>
      </c>
      <c r="AE5342" s="4">
        <v>0.6875</v>
      </c>
      <c r="AF5342" s="3">
        <v>40539</v>
      </c>
      <c r="AG5342" s="4">
        <v>0.6875</v>
      </c>
      <c r="AH5342" s="2">
        <v>5</v>
      </c>
      <c r="AI5342" s="2" t="s">
        <v>274</v>
      </c>
      <c r="AJ5342" s="2">
        <v>35</v>
      </c>
      <c r="AK5342" s="2" t="s">
        <v>275</v>
      </c>
      <c r="AL5342" s="2">
        <v>23</v>
      </c>
      <c r="AM5342" s="2" t="s">
        <v>251</v>
      </c>
      <c r="AN5342" s="2" t="s">
        <v>16330</v>
      </c>
      <c r="AO5342" s="2" t="s">
        <v>16331</v>
      </c>
      <c r="AP5342" s="2">
        <v>11</v>
      </c>
      <c r="AQ5342" s="2" t="s">
        <v>82</v>
      </c>
      <c r="AR5342" s="2"/>
      <c r="AS5342" s="2"/>
      <c r="AT5342" s="2" t="s">
        <v>16332</v>
      </c>
      <c r="AU5342" s="2"/>
      <c r="AV5342" s="2"/>
      <c r="AW5342" s="2"/>
      <c r="AX5342" s="2"/>
      <c r="AY5342" s="2">
        <v>41</v>
      </c>
      <c r="AZ5342" s="2" t="s">
        <v>82</v>
      </c>
      <c r="BA5342" s="2">
        <v>41</v>
      </c>
      <c r="BB5342" s="2" t="s">
        <v>82</v>
      </c>
      <c r="BC5342" s="2">
        <v>41</v>
      </c>
      <c r="BD5342" s="2" t="s">
        <v>82</v>
      </c>
      <c r="BE5342" s="2">
        <v>41</v>
      </c>
      <c r="BF5342" s="2" t="s">
        <v>82</v>
      </c>
      <c r="BG5342" s="2"/>
      <c r="BH5342" s="2"/>
      <c r="BI5342" s="2"/>
      <c r="BJ5342" s="2">
        <v>241</v>
      </c>
      <c r="BK5342" s="2" t="s">
        <v>82</v>
      </c>
      <c r="BL5342" s="2"/>
      <c r="BM5342" s="2">
        <v>241</v>
      </c>
      <c r="BN5342" s="2" t="s">
        <v>82</v>
      </c>
      <c r="BO5342" s="2"/>
      <c r="BP5342" s="2">
        <v>241</v>
      </c>
      <c r="BQ5342" s="2" t="s">
        <v>82</v>
      </c>
      <c r="BR5342" s="2"/>
      <c r="BS5342" s="3">
        <v>40540</v>
      </c>
      <c r="BT5342" s="4">
        <v>5.1840277777777777E-2</v>
      </c>
    </row>
    <row r="5343" spans="1:72" x14ac:dyDescent="0.25">
      <c r="A5343" s="2">
        <v>8264</v>
      </c>
      <c r="B5343" s="2">
        <v>2010</v>
      </c>
      <c r="C5343" s="2" t="s">
        <v>243</v>
      </c>
      <c r="D5343" s="2" t="s">
        <v>73</v>
      </c>
      <c r="E5343" s="2"/>
      <c r="F5343" s="2">
        <v>338</v>
      </c>
      <c r="G5343" s="2" t="s">
        <v>4459</v>
      </c>
      <c r="H5343" s="2">
        <v>3</v>
      </c>
      <c r="I5343" s="2" t="s">
        <v>315</v>
      </c>
      <c r="J5343" s="2">
        <v>309</v>
      </c>
      <c r="K5343" s="2" t="s">
        <v>268</v>
      </c>
      <c r="L5343" s="2" t="s">
        <v>269</v>
      </c>
      <c r="M5343" s="3">
        <v>40540</v>
      </c>
      <c r="N5343" s="2" t="s">
        <v>11985</v>
      </c>
      <c r="O5343" s="2" t="s">
        <v>16333</v>
      </c>
      <c r="P5343" s="2" t="s">
        <v>16334</v>
      </c>
      <c r="Q5343" s="2" t="str">
        <f>"0029/2010"</f>
        <v>0029/2010</v>
      </c>
      <c r="R5343" s="2"/>
      <c r="S5343" s="2"/>
      <c r="T5343" s="2">
        <v>1</v>
      </c>
      <c r="U5343" s="2" t="s">
        <v>79</v>
      </c>
      <c r="V5343" s="2">
        <v>1</v>
      </c>
      <c r="W5343" s="2" t="s">
        <v>80</v>
      </c>
      <c r="X5343" s="2">
        <v>8</v>
      </c>
      <c r="Y5343" s="2" t="s">
        <v>375</v>
      </c>
      <c r="Z5343" s="2">
        <v>1</v>
      </c>
      <c r="AA5343" s="2" t="s">
        <v>82</v>
      </c>
      <c r="AB5343" s="2">
        <v>9</v>
      </c>
      <c r="AC5343" s="2" t="s">
        <v>124</v>
      </c>
      <c r="AD5343" s="3">
        <v>40539</v>
      </c>
      <c r="AE5343" s="4">
        <v>0.64930555555555558</v>
      </c>
      <c r="AF5343" s="3">
        <v>40539</v>
      </c>
      <c r="AG5343" s="4">
        <v>0.64930555555555558</v>
      </c>
      <c r="AH5343" s="2">
        <v>5</v>
      </c>
      <c r="AI5343" s="2" t="s">
        <v>274</v>
      </c>
      <c r="AJ5343" s="2">
        <v>35</v>
      </c>
      <c r="AK5343" s="2" t="s">
        <v>275</v>
      </c>
      <c r="AL5343" s="2">
        <v>23</v>
      </c>
      <c r="AM5343" s="2" t="s">
        <v>251</v>
      </c>
      <c r="AN5343" s="2" t="s">
        <v>16335</v>
      </c>
      <c r="AO5343" s="2" t="s">
        <v>284</v>
      </c>
      <c r="AP5343" s="2">
        <v>11</v>
      </c>
      <c r="AQ5343" s="2" t="s">
        <v>82</v>
      </c>
      <c r="AR5343" s="2"/>
      <c r="AS5343" s="2"/>
      <c r="AT5343" s="2" t="s">
        <v>16336</v>
      </c>
      <c r="AU5343" s="2"/>
      <c r="AV5343" s="2"/>
      <c r="AW5343" s="2"/>
      <c r="AX5343" s="2"/>
      <c r="AY5343" s="2">
        <v>41</v>
      </c>
      <c r="AZ5343" s="2" t="s">
        <v>82</v>
      </c>
      <c r="BA5343" s="2">
        <v>41</v>
      </c>
      <c r="BB5343" s="2" t="s">
        <v>82</v>
      </c>
      <c r="BC5343" s="2">
        <v>41</v>
      </c>
      <c r="BD5343" s="2" t="s">
        <v>82</v>
      </c>
      <c r="BE5343" s="2">
        <v>41</v>
      </c>
      <c r="BF5343" s="2" t="s">
        <v>82</v>
      </c>
      <c r="BG5343" s="2"/>
      <c r="BH5343" s="2"/>
      <c r="BI5343" s="2"/>
      <c r="BJ5343" s="2">
        <v>241</v>
      </c>
      <c r="BK5343" s="2" t="s">
        <v>82</v>
      </c>
      <c r="BL5343" s="2"/>
      <c r="BM5343" s="2">
        <v>241</v>
      </c>
      <c r="BN5343" s="2" t="s">
        <v>82</v>
      </c>
      <c r="BO5343" s="2"/>
      <c r="BP5343" s="2">
        <v>241</v>
      </c>
      <c r="BQ5343" s="2" t="s">
        <v>82</v>
      </c>
      <c r="BR5343" s="2"/>
      <c r="BS5343" s="3">
        <v>40540</v>
      </c>
      <c r="BT5343" s="4">
        <v>6.8854166666666661E-2</v>
      </c>
    </row>
    <row r="5344" spans="1:72" x14ac:dyDescent="0.25">
      <c r="A5344" s="2">
        <v>8264</v>
      </c>
      <c r="B5344" s="2">
        <v>2010</v>
      </c>
      <c r="C5344" s="2" t="s">
        <v>171</v>
      </c>
      <c r="D5344" s="2" t="s">
        <v>73</v>
      </c>
      <c r="E5344" s="2"/>
      <c r="F5344" s="2">
        <v>338</v>
      </c>
      <c r="G5344" s="2" t="s">
        <v>4459</v>
      </c>
      <c r="H5344" s="2">
        <v>3</v>
      </c>
      <c r="I5344" s="2" t="s">
        <v>315</v>
      </c>
      <c r="J5344" s="2">
        <v>309</v>
      </c>
      <c r="K5344" s="2" t="s">
        <v>268</v>
      </c>
      <c r="L5344" s="2" t="s">
        <v>269</v>
      </c>
      <c r="M5344" s="3">
        <v>40540</v>
      </c>
      <c r="N5344" s="2" t="s">
        <v>11985</v>
      </c>
      <c r="O5344" s="2" t="s">
        <v>16333</v>
      </c>
      <c r="P5344" s="2" t="s">
        <v>16334</v>
      </c>
      <c r="Q5344" s="2" t="str">
        <f>"0029/2010"</f>
        <v>0029/2010</v>
      </c>
      <c r="R5344" s="2"/>
      <c r="S5344" s="2"/>
      <c r="T5344" s="2">
        <v>1</v>
      </c>
      <c r="U5344" s="2" t="s">
        <v>79</v>
      </c>
      <c r="V5344" s="2">
        <v>1</v>
      </c>
      <c r="W5344" s="2" t="s">
        <v>80</v>
      </c>
      <c r="X5344" s="2">
        <v>8</v>
      </c>
      <c r="Y5344" s="2" t="s">
        <v>375</v>
      </c>
      <c r="Z5344" s="2">
        <v>1</v>
      </c>
      <c r="AA5344" s="2" t="s">
        <v>82</v>
      </c>
      <c r="AB5344" s="2">
        <v>1</v>
      </c>
      <c r="AC5344" s="2" t="s">
        <v>178</v>
      </c>
      <c r="AD5344" s="3">
        <v>40539</v>
      </c>
      <c r="AE5344" s="4">
        <v>0.64930555555555558</v>
      </c>
      <c r="AF5344" s="3">
        <v>40539</v>
      </c>
      <c r="AG5344" s="4">
        <v>0.64930555555555558</v>
      </c>
      <c r="AH5344" s="2">
        <v>5</v>
      </c>
      <c r="AI5344" s="2" t="s">
        <v>274</v>
      </c>
      <c r="AJ5344" s="2">
        <v>35</v>
      </c>
      <c r="AK5344" s="2" t="s">
        <v>275</v>
      </c>
      <c r="AL5344" s="2">
        <v>23</v>
      </c>
      <c r="AM5344" s="2" t="s">
        <v>251</v>
      </c>
      <c r="AN5344" s="2" t="s">
        <v>16335</v>
      </c>
      <c r="AO5344" s="2" t="s">
        <v>284</v>
      </c>
      <c r="AP5344" s="2">
        <v>11</v>
      </c>
      <c r="AQ5344" s="2" t="s">
        <v>82</v>
      </c>
      <c r="AR5344" s="2"/>
      <c r="AS5344" s="2"/>
      <c r="AT5344" s="2" t="s">
        <v>16336</v>
      </c>
      <c r="AU5344" s="2"/>
      <c r="AV5344" s="2"/>
      <c r="AW5344" s="2"/>
      <c r="AX5344" s="2"/>
      <c r="AY5344" s="2">
        <v>41</v>
      </c>
      <c r="AZ5344" s="2" t="s">
        <v>82</v>
      </c>
      <c r="BA5344" s="2">
        <v>41</v>
      </c>
      <c r="BB5344" s="2" t="s">
        <v>82</v>
      </c>
      <c r="BC5344" s="2">
        <v>41</v>
      </c>
      <c r="BD5344" s="2" t="s">
        <v>82</v>
      </c>
      <c r="BE5344" s="2">
        <v>41</v>
      </c>
      <c r="BF5344" s="2" t="s">
        <v>82</v>
      </c>
      <c r="BG5344" s="2"/>
      <c r="BH5344" s="2"/>
      <c r="BI5344" s="2"/>
      <c r="BJ5344" s="2">
        <v>241</v>
      </c>
      <c r="BK5344" s="2" t="s">
        <v>82</v>
      </c>
      <c r="BL5344" s="2"/>
      <c r="BM5344" s="2">
        <v>241</v>
      </c>
      <c r="BN5344" s="2" t="s">
        <v>82</v>
      </c>
      <c r="BO5344" s="2"/>
      <c r="BP5344" s="2">
        <v>241</v>
      </c>
      <c r="BQ5344" s="2" t="s">
        <v>82</v>
      </c>
      <c r="BR5344" s="2"/>
      <c r="BS5344" s="3">
        <v>40540</v>
      </c>
      <c r="BT5344" s="4">
        <v>6.8854166666666661E-2</v>
      </c>
    </row>
    <row r="5345" spans="1:72" x14ac:dyDescent="0.25">
      <c r="A5345" s="2">
        <v>8265</v>
      </c>
      <c r="B5345" s="2">
        <v>2010</v>
      </c>
      <c r="C5345" s="2" t="s">
        <v>549</v>
      </c>
      <c r="D5345" s="2" t="s">
        <v>73</v>
      </c>
      <c r="E5345" s="2"/>
      <c r="F5345" s="2">
        <v>174</v>
      </c>
      <c r="G5345" s="2" t="s">
        <v>9090</v>
      </c>
      <c r="H5345" s="2">
        <v>160</v>
      </c>
      <c r="I5345" s="2" t="s">
        <v>16211</v>
      </c>
      <c r="J5345" s="2">
        <v>182</v>
      </c>
      <c r="K5345" s="2" t="s">
        <v>8850</v>
      </c>
      <c r="L5345" s="2" t="s">
        <v>8851</v>
      </c>
      <c r="M5345" s="3">
        <v>40540</v>
      </c>
      <c r="N5345" s="2" t="s">
        <v>16212</v>
      </c>
      <c r="O5345" s="2"/>
      <c r="P5345" s="2"/>
      <c r="Q5345" s="2" t="str">
        <f>"476-A/10"</f>
        <v>476-A/10</v>
      </c>
      <c r="R5345" s="2"/>
      <c r="S5345" s="2" t="s">
        <v>1044</v>
      </c>
      <c r="T5345" s="2">
        <v>1</v>
      </c>
      <c r="U5345" s="2" t="s">
        <v>79</v>
      </c>
      <c r="V5345" s="2">
        <v>1</v>
      </c>
      <c r="W5345" s="2" t="s">
        <v>80</v>
      </c>
      <c r="X5345" s="2">
        <v>12</v>
      </c>
      <c r="Y5345" s="2" t="s">
        <v>148</v>
      </c>
      <c r="Z5345" s="2">
        <v>1</v>
      </c>
      <c r="AA5345" s="2" t="s">
        <v>82</v>
      </c>
      <c r="AB5345" s="2">
        <v>9</v>
      </c>
      <c r="AC5345" s="2" t="s">
        <v>124</v>
      </c>
      <c r="AD5345" s="3">
        <v>40539</v>
      </c>
      <c r="AE5345" s="4">
        <v>0.88194444444444453</v>
      </c>
      <c r="AF5345" s="3">
        <v>40539</v>
      </c>
      <c r="AG5345" s="4">
        <v>0.97916666666666663</v>
      </c>
      <c r="AH5345" s="2">
        <v>2</v>
      </c>
      <c r="AI5345" s="2" t="s">
        <v>84</v>
      </c>
      <c r="AJ5345" s="2">
        <v>12</v>
      </c>
      <c r="AK5345" s="2" t="s">
        <v>85</v>
      </c>
      <c r="AL5345" s="2">
        <v>29</v>
      </c>
      <c r="AM5345" s="2" t="s">
        <v>5416</v>
      </c>
      <c r="AN5345" s="2" t="s">
        <v>16337</v>
      </c>
      <c r="AO5345" s="2" t="s">
        <v>194</v>
      </c>
      <c r="AP5345" s="2">
        <v>11</v>
      </c>
      <c r="AQ5345" s="2" t="s">
        <v>82</v>
      </c>
      <c r="AR5345" s="2"/>
      <c r="AS5345" s="2"/>
      <c r="AT5345" s="2" t="s">
        <v>16338</v>
      </c>
      <c r="AU5345" s="2"/>
      <c r="AV5345" s="2"/>
      <c r="AW5345" s="2"/>
      <c r="AX5345" s="2"/>
      <c r="AY5345" s="2">
        <v>41</v>
      </c>
      <c r="AZ5345" s="2" t="s">
        <v>82</v>
      </c>
      <c r="BA5345" s="2">
        <v>184</v>
      </c>
      <c r="BB5345" s="2" t="s">
        <v>16237</v>
      </c>
      <c r="BC5345" s="2">
        <v>41</v>
      </c>
      <c r="BD5345" s="2" t="s">
        <v>82</v>
      </c>
      <c r="BE5345" s="2">
        <v>41</v>
      </c>
      <c r="BF5345" s="2" t="s">
        <v>82</v>
      </c>
      <c r="BG5345" s="2"/>
      <c r="BH5345" s="2"/>
      <c r="BI5345" s="2"/>
      <c r="BJ5345" s="2">
        <v>241</v>
      </c>
      <c r="BK5345" s="2" t="s">
        <v>82</v>
      </c>
      <c r="BL5345" s="2"/>
      <c r="BM5345" s="2">
        <v>241</v>
      </c>
      <c r="BN5345" s="2" t="s">
        <v>82</v>
      </c>
      <c r="BO5345" s="2"/>
      <c r="BP5345" s="2">
        <v>241</v>
      </c>
      <c r="BQ5345" s="2" t="s">
        <v>82</v>
      </c>
      <c r="BR5345" s="2"/>
      <c r="BS5345" s="3">
        <v>40540</v>
      </c>
      <c r="BT5345" s="4">
        <v>9.9548611111111115E-2</v>
      </c>
    </row>
    <row r="5346" spans="1:72" x14ac:dyDescent="0.25">
      <c r="A5346" s="2">
        <v>8276</v>
      </c>
      <c r="B5346" s="2">
        <v>2010</v>
      </c>
      <c r="C5346" s="2" t="s">
        <v>171</v>
      </c>
      <c r="D5346" s="2" t="s">
        <v>73</v>
      </c>
      <c r="E5346" s="2"/>
      <c r="F5346" s="2">
        <v>114</v>
      </c>
      <c r="G5346" s="2" t="s">
        <v>2817</v>
      </c>
      <c r="H5346" s="2">
        <v>22</v>
      </c>
      <c r="I5346" s="2" t="s">
        <v>75</v>
      </c>
      <c r="J5346" s="2">
        <v>133</v>
      </c>
      <c r="K5346" s="2" t="s">
        <v>3844</v>
      </c>
      <c r="L5346" s="2" t="s">
        <v>3845</v>
      </c>
      <c r="M5346" s="3">
        <v>40540</v>
      </c>
      <c r="N5346" s="2" t="s">
        <v>16339</v>
      </c>
      <c r="O5346" s="2" t="s">
        <v>16340</v>
      </c>
      <c r="P5346" s="2" t="s">
        <v>15688</v>
      </c>
      <c r="Q5346" s="2" t="str">
        <f>"N/C"</f>
        <v>N/C</v>
      </c>
      <c r="R5346" s="2" t="s">
        <v>82</v>
      </c>
      <c r="S5346" s="2" t="s">
        <v>82</v>
      </c>
      <c r="T5346" s="2">
        <v>1</v>
      </c>
      <c r="U5346" s="2" t="s">
        <v>79</v>
      </c>
      <c r="V5346" s="2">
        <v>1</v>
      </c>
      <c r="W5346" s="2" t="s">
        <v>80</v>
      </c>
      <c r="X5346" s="2">
        <v>4</v>
      </c>
      <c r="Y5346" s="2" t="s">
        <v>463</v>
      </c>
      <c r="Z5346" s="2">
        <v>7</v>
      </c>
      <c r="AA5346" s="2" t="s">
        <v>1462</v>
      </c>
      <c r="AB5346" s="2">
        <v>1</v>
      </c>
      <c r="AC5346" s="2" t="s">
        <v>178</v>
      </c>
      <c r="AD5346" s="3">
        <v>40527</v>
      </c>
      <c r="AE5346" s="4">
        <v>0.875</v>
      </c>
      <c r="AF5346" s="3">
        <v>40527</v>
      </c>
      <c r="AG5346" s="4">
        <v>0.85416666666666663</v>
      </c>
      <c r="AH5346" s="2">
        <v>6</v>
      </c>
      <c r="AI5346" s="2" t="s">
        <v>197</v>
      </c>
      <c r="AJ5346" s="2">
        <v>47</v>
      </c>
      <c r="AK5346" s="2" t="s">
        <v>250</v>
      </c>
      <c r="AL5346" s="2">
        <v>23</v>
      </c>
      <c r="AM5346" s="2" t="s">
        <v>251</v>
      </c>
      <c r="AN5346" s="2"/>
      <c r="AO5346" s="2" t="s">
        <v>16341</v>
      </c>
      <c r="AP5346" s="2">
        <v>11</v>
      </c>
      <c r="AQ5346" s="2" t="s">
        <v>82</v>
      </c>
      <c r="AR5346" s="2"/>
      <c r="AS5346" s="2"/>
      <c r="AT5346" s="2" t="s">
        <v>16342</v>
      </c>
      <c r="AU5346" s="2"/>
      <c r="AV5346" s="2"/>
      <c r="AW5346" s="2"/>
      <c r="AX5346" s="2"/>
      <c r="AY5346" s="2">
        <v>41</v>
      </c>
      <c r="AZ5346" s="2" t="s">
        <v>82</v>
      </c>
      <c r="BA5346" s="2">
        <v>41</v>
      </c>
      <c r="BB5346" s="2" t="s">
        <v>82</v>
      </c>
      <c r="BC5346" s="2">
        <v>41</v>
      </c>
      <c r="BD5346" s="2" t="s">
        <v>82</v>
      </c>
      <c r="BE5346" s="2">
        <v>41</v>
      </c>
      <c r="BF5346" s="2" t="s">
        <v>82</v>
      </c>
      <c r="BG5346" s="2"/>
      <c r="BH5346" s="2"/>
      <c r="BI5346" s="2"/>
      <c r="BJ5346" s="2">
        <v>241</v>
      </c>
      <c r="BK5346" s="2" t="s">
        <v>82</v>
      </c>
      <c r="BL5346" s="2"/>
      <c r="BM5346" s="2">
        <v>241</v>
      </c>
      <c r="BN5346" s="2" t="s">
        <v>82</v>
      </c>
      <c r="BO5346" s="2"/>
      <c r="BP5346" s="2">
        <v>241</v>
      </c>
      <c r="BQ5346" s="2" t="s">
        <v>82</v>
      </c>
      <c r="BR5346" s="2"/>
      <c r="BS5346" s="3">
        <v>40540</v>
      </c>
      <c r="BT5346" s="4">
        <v>0.64682870370370371</v>
      </c>
    </row>
    <row r="5347" spans="1:72" x14ac:dyDescent="0.25">
      <c r="A5347" s="2">
        <v>8277</v>
      </c>
      <c r="B5347" s="2">
        <v>2010</v>
      </c>
      <c r="C5347" s="2" t="s">
        <v>72</v>
      </c>
      <c r="D5347" s="2" t="s">
        <v>73</v>
      </c>
      <c r="E5347" s="2"/>
      <c r="F5347" s="2">
        <v>749</v>
      </c>
      <c r="G5347" s="2" t="s">
        <v>16024</v>
      </c>
      <c r="H5347" s="2">
        <v>22</v>
      </c>
      <c r="I5347" s="2" t="s">
        <v>75</v>
      </c>
      <c r="J5347" s="2">
        <v>756</v>
      </c>
      <c r="K5347" s="2" t="s">
        <v>16025</v>
      </c>
      <c r="L5347" s="2" t="s">
        <v>16026</v>
      </c>
      <c r="M5347" s="3">
        <v>40540</v>
      </c>
      <c r="N5347" s="2" t="s">
        <v>16027</v>
      </c>
      <c r="O5347" s="2"/>
      <c r="P5347" s="2"/>
      <c r="Q5347" s="2" t="str">
        <f>"477-A/10"</f>
        <v>477-A/10</v>
      </c>
      <c r="R5347" s="2" t="s">
        <v>206</v>
      </c>
      <c r="S5347" s="2" t="s">
        <v>206</v>
      </c>
      <c r="T5347" s="2">
        <v>1</v>
      </c>
      <c r="U5347" s="2" t="s">
        <v>79</v>
      </c>
      <c r="V5347" s="2">
        <v>1</v>
      </c>
      <c r="W5347" s="2" t="s">
        <v>80</v>
      </c>
      <c r="X5347" s="2">
        <v>12</v>
      </c>
      <c r="Y5347" s="2" t="s">
        <v>148</v>
      </c>
      <c r="Z5347" s="2">
        <v>1</v>
      </c>
      <c r="AA5347" s="2" t="s">
        <v>82</v>
      </c>
      <c r="AB5347" s="2">
        <v>6</v>
      </c>
      <c r="AC5347" s="2" t="s">
        <v>83</v>
      </c>
      <c r="AD5347" s="3">
        <v>40539</v>
      </c>
      <c r="AE5347" s="2"/>
      <c r="AF5347" s="3">
        <v>40540</v>
      </c>
      <c r="AG5347" s="4">
        <v>0.57638888888888895</v>
      </c>
      <c r="AH5347" s="2">
        <v>2</v>
      </c>
      <c r="AI5347" s="2" t="s">
        <v>84</v>
      </c>
      <c r="AJ5347" s="2">
        <v>12</v>
      </c>
      <c r="AK5347" s="2" t="s">
        <v>85</v>
      </c>
      <c r="AL5347" s="2">
        <v>22</v>
      </c>
      <c r="AM5347" s="2" t="s">
        <v>1853</v>
      </c>
      <c r="AN5347" s="2"/>
      <c r="AO5347" s="2" t="s">
        <v>12115</v>
      </c>
      <c r="AP5347" s="2">
        <v>11</v>
      </c>
      <c r="AQ5347" s="2" t="s">
        <v>82</v>
      </c>
      <c r="AR5347" s="2"/>
      <c r="AS5347" s="2"/>
      <c r="AT5347" s="2" t="s">
        <v>16343</v>
      </c>
      <c r="AU5347" s="2"/>
      <c r="AV5347" s="2"/>
      <c r="AW5347" s="2"/>
      <c r="AX5347" s="2"/>
      <c r="AY5347" s="2">
        <v>41</v>
      </c>
      <c r="AZ5347" s="2" t="s">
        <v>82</v>
      </c>
      <c r="BA5347" s="2">
        <v>41</v>
      </c>
      <c r="BB5347" s="2" t="s">
        <v>82</v>
      </c>
      <c r="BC5347" s="2">
        <v>41</v>
      </c>
      <c r="BD5347" s="2" t="s">
        <v>82</v>
      </c>
      <c r="BE5347" s="2">
        <v>25</v>
      </c>
      <c r="BF5347" s="2" t="s">
        <v>358</v>
      </c>
      <c r="BG5347" s="2">
        <v>7680</v>
      </c>
      <c r="BH5347" s="4">
        <v>0.88194444444444453</v>
      </c>
      <c r="BI5347" s="2"/>
      <c r="BJ5347" s="2">
        <v>33</v>
      </c>
      <c r="BK5347" s="2" t="s">
        <v>361</v>
      </c>
      <c r="BL5347" s="2" t="s">
        <v>1739</v>
      </c>
      <c r="BM5347" s="2">
        <v>13</v>
      </c>
      <c r="BN5347" s="2" t="s">
        <v>91</v>
      </c>
      <c r="BO5347" s="2"/>
      <c r="BP5347" s="2">
        <v>13</v>
      </c>
      <c r="BQ5347" s="2" t="s">
        <v>91</v>
      </c>
      <c r="BR5347" s="2" t="s">
        <v>564</v>
      </c>
      <c r="BS5347" s="3">
        <v>40540</v>
      </c>
      <c r="BT5347" s="4">
        <v>0.66723379629629631</v>
      </c>
    </row>
    <row r="5348" spans="1:72" x14ac:dyDescent="0.25">
      <c r="A5348" s="2">
        <v>8278</v>
      </c>
      <c r="B5348" s="2">
        <v>2010</v>
      </c>
      <c r="C5348" s="2" t="s">
        <v>171</v>
      </c>
      <c r="D5348" s="2" t="s">
        <v>73</v>
      </c>
      <c r="E5348" s="2"/>
      <c r="F5348" s="2">
        <v>393</v>
      </c>
      <c r="G5348" s="2" t="s">
        <v>3660</v>
      </c>
      <c r="H5348" s="2">
        <v>3</v>
      </c>
      <c r="I5348" s="2" t="s">
        <v>315</v>
      </c>
      <c r="J5348" s="2">
        <v>2</v>
      </c>
      <c r="K5348" s="2" t="s">
        <v>3661</v>
      </c>
      <c r="L5348" s="2" t="s">
        <v>3662</v>
      </c>
      <c r="M5348" s="3">
        <v>40540</v>
      </c>
      <c r="N5348" s="2" t="s">
        <v>10885</v>
      </c>
      <c r="O5348" s="2" t="s">
        <v>16344</v>
      </c>
      <c r="P5348" s="2">
        <v>5745</v>
      </c>
      <c r="Q5348" s="2" t="str">
        <f>"465E/08"</f>
        <v>465E/08</v>
      </c>
      <c r="R5348" s="2" t="s">
        <v>82</v>
      </c>
      <c r="S5348" s="2"/>
      <c r="T5348" s="2">
        <v>1</v>
      </c>
      <c r="U5348" s="2" t="s">
        <v>79</v>
      </c>
      <c r="V5348" s="2">
        <v>1</v>
      </c>
      <c r="W5348" s="2" t="s">
        <v>80</v>
      </c>
      <c r="X5348" s="2">
        <v>8</v>
      </c>
      <c r="Y5348" s="2" t="s">
        <v>375</v>
      </c>
      <c r="Z5348" s="2">
        <v>1</v>
      </c>
      <c r="AA5348" s="2" t="s">
        <v>82</v>
      </c>
      <c r="AB5348" s="2">
        <v>1</v>
      </c>
      <c r="AC5348" s="2" t="s">
        <v>178</v>
      </c>
      <c r="AD5348" s="3">
        <v>40540</v>
      </c>
      <c r="AE5348" s="4">
        <v>0.52083333333333337</v>
      </c>
      <c r="AF5348" s="3">
        <v>40540</v>
      </c>
      <c r="AG5348" s="4">
        <v>0.54166666666666663</v>
      </c>
      <c r="AH5348" s="2">
        <v>2</v>
      </c>
      <c r="AI5348" s="2" t="s">
        <v>84</v>
      </c>
      <c r="AJ5348" s="2">
        <v>6</v>
      </c>
      <c r="AK5348" s="2" t="s">
        <v>453</v>
      </c>
      <c r="AL5348" s="2">
        <v>23</v>
      </c>
      <c r="AM5348" s="2" t="s">
        <v>251</v>
      </c>
      <c r="AN5348" s="2" t="s">
        <v>16345</v>
      </c>
      <c r="AO5348" s="2" t="s">
        <v>16346</v>
      </c>
      <c r="AP5348" s="2">
        <v>11</v>
      </c>
      <c r="AQ5348" s="2" t="s">
        <v>82</v>
      </c>
      <c r="AR5348" s="2"/>
      <c r="AS5348" s="2"/>
      <c r="AT5348" s="2" t="s">
        <v>16347</v>
      </c>
      <c r="AU5348" s="2"/>
      <c r="AV5348" s="2"/>
      <c r="AW5348" s="2"/>
      <c r="AX5348" s="2"/>
      <c r="AY5348" s="2">
        <v>41</v>
      </c>
      <c r="AZ5348" s="2" t="s">
        <v>82</v>
      </c>
      <c r="BA5348" s="2">
        <v>41</v>
      </c>
      <c r="BB5348" s="2" t="s">
        <v>82</v>
      </c>
      <c r="BC5348" s="2">
        <v>41</v>
      </c>
      <c r="BD5348" s="2" t="s">
        <v>82</v>
      </c>
      <c r="BE5348" s="2">
        <v>41</v>
      </c>
      <c r="BF5348" s="2" t="s">
        <v>82</v>
      </c>
      <c r="BG5348" s="2"/>
      <c r="BH5348" s="2"/>
      <c r="BI5348" s="2"/>
      <c r="BJ5348" s="2">
        <v>241</v>
      </c>
      <c r="BK5348" s="2" t="s">
        <v>82</v>
      </c>
      <c r="BL5348" s="2"/>
      <c r="BM5348" s="2">
        <v>241</v>
      </c>
      <c r="BN5348" s="2" t="s">
        <v>82</v>
      </c>
      <c r="BO5348" s="2"/>
      <c r="BP5348" s="2">
        <v>241</v>
      </c>
      <c r="BQ5348" s="2" t="s">
        <v>82</v>
      </c>
      <c r="BR5348" s="2"/>
      <c r="BS5348" s="3">
        <v>40540</v>
      </c>
      <c r="BT5348" s="4">
        <v>0.66795138888888894</v>
      </c>
    </row>
    <row r="5349" spans="1:72" x14ac:dyDescent="0.25">
      <c r="A5349" s="2">
        <v>8280</v>
      </c>
      <c r="B5349" s="2">
        <v>2010</v>
      </c>
      <c r="C5349" s="2" t="s">
        <v>128</v>
      </c>
      <c r="D5349" s="2" t="s">
        <v>122</v>
      </c>
      <c r="E5349" s="2" t="s">
        <v>16009</v>
      </c>
      <c r="F5349" s="2">
        <v>425</v>
      </c>
      <c r="G5349" s="2" t="s">
        <v>286</v>
      </c>
      <c r="H5349" s="2">
        <v>3</v>
      </c>
      <c r="I5349" s="2" t="s">
        <v>315</v>
      </c>
      <c r="J5349" s="2">
        <v>310</v>
      </c>
      <c r="K5349" s="2" t="s">
        <v>288</v>
      </c>
      <c r="L5349" s="2" t="s">
        <v>289</v>
      </c>
      <c r="M5349" s="3">
        <v>40540</v>
      </c>
      <c r="N5349" s="2" t="s">
        <v>1917</v>
      </c>
      <c r="O5349" s="2" t="s">
        <v>11437</v>
      </c>
      <c r="P5349" s="2" t="s">
        <v>15929</v>
      </c>
      <c r="Q5349" s="2" t="str">
        <f>"101"</f>
        <v>101</v>
      </c>
      <c r="R5349" s="2"/>
      <c r="S5349" s="2"/>
      <c r="T5349" s="2">
        <v>1</v>
      </c>
      <c r="U5349" s="2" t="s">
        <v>79</v>
      </c>
      <c r="V5349" s="2">
        <v>1</v>
      </c>
      <c r="W5349" s="2" t="s">
        <v>80</v>
      </c>
      <c r="X5349" s="2">
        <v>5</v>
      </c>
      <c r="Y5349" s="2" t="s">
        <v>82</v>
      </c>
      <c r="Z5349" s="2">
        <v>1</v>
      </c>
      <c r="AA5349" s="2" t="s">
        <v>82</v>
      </c>
      <c r="AB5349" s="2">
        <v>9</v>
      </c>
      <c r="AC5349" s="2" t="s">
        <v>124</v>
      </c>
      <c r="AD5349" s="3">
        <v>40532</v>
      </c>
      <c r="AE5349" s="4">
        <v>0.3263888888888889</v>
      </c>
      <c r="AF5349" s="3">
        <v>40540</v>
      </c>
      <c r="AG5349" s="4">
        <v>0.54166666666666663</v>
      </c>
      <c r="AH5349" s="2">
        <v>4</v>
      </c>
      <c r="AI5349" s="2" t="s">
        <v>125</v>
      </c>
      <c r="AJ5349" s="2">
        <v>25</v>
      </c>
      <c r="AK5349" s="2" t="s">
        <v>125</v>
      </c>
      <c r="AL5349" s="2">
        <v>23</v>
      </c>
      <c r="AM5349" s="2" t="s">
        <v>251</v>
      </c>
      <c r="AN5349" s="2"/>
      <c r="AO5349" s="2" t="s">
        <v>15930</v>
      </c>
      <c r="AP5349" s="2">
        <v>11</v>
      </c>
      <c r="AQ5349" s="2" t="s">
        <v>82</v>
      </c>
      <c r="AR5349" s="2"/>
      <c r="AS5349" s="2"/>
      <c r="AT5349" s="2" t="s">
        <v>16348</v>
      </c>
      <c r="AU5349" s="2"/>
      <c r="AV5349" s="2">
        <v>1</v>
      </c>
      <c r="AW5349" s="2"/>
      <c r="AX5349" s="2"/>
      <c r="AY5349" s="2">
        <v>41</v>
      </c>
      <c r="AZ5349" s="2" t="s">
        <v>82</v>
      </c>
      <c r="BA5349" s="2">
        <v>41</v>
      </c>
      <c r="BB5349" s="2" t="s">
        <v>82</v>
      </c>
      <c r="BC5349" s="2">
        <v>41</v>
      </c>
      <c r="BD5349" s="2" t="s">
        <v>82</v>
      </c>
      <c r="BE5349" s="2">
        <v>41</v>
      </c>
      <c r="BF5349" s="2" t="s">
        <v>82</v>
      </c>
      <c r="BG5349" s="2"/>
      <c r="BH5349" s="2"/>
      <c r="BI5349" s="2"/>
      <c r="BJ5349" s="2">
        <v>241</v>
      </c>
      <c r="BK5349" s="2" t="s">
        <v>82</v>
      </c>
      <c r="BL5349" s="2"/>
      <c r="BM5349" s="2">
        <v>241</v>
      </c>
      <c r="BN5349" s="2" t="s">
        <v>82</v>
      </c>
      <c r="BO5349" s="2"/>
      <c r="BP5349" s="2">
        <v>241</v>
      </c>
      <c r="BQ5349" s="2" t="s">
        <v>82</v>
      </c>
      <c r="BR5349" s="2"/>
      <c r="BS5349" s="3">
        <v>40540</v>
      </c>
      <c r="BT5349" s="4">
        <v>0.68708333333333327</v>
      </c>
    </row>
    <row r="5350" spans="1:72" x14ac:dyDescent="0.25">
      <c r="A5350" s="2">
        <v>8281</v>
      </c>
      <c r="B5350" s="2">
        <v>2010</v>
      </c>
      <c r="C5350" s="2" t="s">
        <v>128</v>
      </c>
      <c r="D5350" s="2" t="s">
        <v>122</v>
      </c>
      <c r="E5350" s="2" t="s">
        <v>15988</v>
      </c>
      <c r="F5350" s="2">
        <v>425</v>
      </c>
      <c r="G5350" s="2" t="s">
        <v>286</v>
      </c>
      <c r="H5350" s="2">
        <v>30</v>
      </c>
      <c r="I5350" s="2" t="s">
        <v>912</v>
      </c>
      <c r="J5350" s="2">
        <v>310</v>
      </c>
      <c r="K5350" s="2" t="s">
        <v>288</v>
      </c>
      <c r="L5350" s="2" t="s">
        <v>289</v>
      </c>
      <c r="M5350" s="3">
        <v>40540</v>
      </c>
      <c r="N5350" s="2" t="s">
        <v>1917</v>
      </c>
      <c r="O5350" s="2" t="s">
        <v>15934</v>
      </c>
      <c r="P5350" s="2" t="s">
        <v>11438</v>
      </c>
      <c r="Q5350" s="2" t="str">
        <f>"101"</f>
        <v>101</v>
      </c>
      <c r="R5350" s="2"/>
      <c r="S5350" s="2"/>
      <c r="T5350" s="2">
        <v>1</v>
      </c>
      <c r="U5350" s="2" t="s">
        <v>79</v>
      </c>
      <c r="V5350" s="2">
        <v>1</v>
      </c>
      <c r="W5350" s="2" t="s">
        <v>80</v>
      </c>
      <c r="X5350" s="2">
        <v>5</v>
      </c>
      <c r="Y5350" s="2" t="s">
        <v>82</v>
      </c>
      <c r="Z5350" s="2">
        <v>1</v>
      </c>
      <c r="AA5350" s="2" t="s">
        <v>82</v>
      </c>
      <c r="AB5350" s="2">
        <v>9</v>
      </c>
      <c r="AC5350" s="2" t="s">
        <v>124</v>
      </c>
      <c r="AD5350" s="3">
        <v>40532</v>
      </c>
      <c r="AE5350" s="4">
        <v>0.3263888888888889</v>
      </c>
      <c r="AF5350" s="3">
        <v>40540</v>
      </c>
      <c r="AG5350" s="4">
        <v>0.54166666666666663</v>
      </c>
      <c r="AH5350" s="2">
        <v>4</v>
      </c>
      <c r="AI5350" s="2" t="s">
        <v>125</v>
      </c>
      <c r="AJ5350" s="2">
        <v>25</v>
      </c>
      <c r="AK5350" s="2" t="s">
        <v>125</v>
      </c>
      <c r="AL5350" s="2">
        <v>23</v>
      </c>
      <c r="AM5350" s="2" t="s">
        <v>251</v>
      </c>
      <c r="AN5350" s="2"/>
      <c r="AO5350" s="2" t="s">
        <v>15935</v>
      </c>
      <c r="AP5350" s="2">
        <v>11</v>
      </c>
      <c r="AQ5350" s="2" t="s">
        <v>82</v>
      </c>
      <c r="AR5350" s="2"/>
      <c r="AS5350" s="2"/>
      <c r="AT5350" s="2" t="s">
        <v>16349</v>
      </c>
      <c r="AU5350" s="2"/>
      <c r="AV5350" s="2">
        <v>1</v>
      </c>
      <c r="AW5350" s="2"/>
      <c r="AX5350" s="2"/>
      <c r="AY5350" s="2">
        <v>41</v>
      </c>
      <c r="AZ5350" s="2" t="s">
        <v>82</v>
      </c>
      <c r="BA5350" s="2">
        <v>41</v>
      </c>
      <c r="BB5350" s="2" t="s">
        <v>82</v>
      </c>
      <c r="BC5350" s="2">
        <v>41</v>
      </c>
      <c r="BD5350" s="2" t="s">
        <v>82</v>
      </c>
      <c r="BE5350" s="2">
        <v>41</v>
      </c>
      <c r="BF5350" s="2" t="s">
        <v>82</v>
      </c>
      <c r="BG5350" s="2"/>
      <c r="BH5350" s="2"/>
      <c r="BI5350" s="2"/>
      <c r="BJ5350" s="2">
        <v>241</v>
      </c>
      <c r="BK5350" s="2" t="s">
        <v>82</v>
      </c>
      <c r="BL5350" s="2"/>
      <c r="BM5350" s="2">
        <v>241</v>
      </c>
      <c r="BN5350" s="2" t="s">
        <v>82</v>
      </c>
      <c r="BO5350" s="2"/>
      <c r="BP5350" s="2">
        <v>241</v>
      </c>
      <c r="BQ5350" s="2" t="s">
        <v>82</v>
      </c>
      <c r="BR5350" s="2"/>
      <c r="BS5350" s="3">
        <v>40540</v>
      </c>
      <c r="BT5350" s="4">
        <v>0.69150462962962955</v>
      </c>
    </row>
    <row r="5351" spans="1:72" x14ac:dyDescent="0.25">
      <c r="A5351" s="2">
        <v>8283</v>
      </c>
      <c r="B5351" s="2">
        <v>2010</v>
      </c>
      <c r="C5351" s="2" t="s">
        <v>128</v>
      </c>
      <c r="D5351" s="2" t="s">
        <v>122</v>
      </c>
      <c r="E5351" s="2" t="s">
        <v>15986</v>
      </c>
      <c r="F5351" s="2">
        <v>425</v>
      </c>
      <c r="G5351" s="2" t="s">
        <v>286</v>
      </c>
      <c r="H5351" s="2">
        <v>39</v>
      </c>
      <c r="I5351" s="2" t="s">
        <v>1117</v>
      </c>
      <c r="J5351" s="2">
        <v>310</v>
      </c>
      <c r="K5351" s="2" t="s">
        <v>288</v>
      </c>
      <c r="L5351" s="2" t="s">
        <v>289</v>
      </c>
      <c r="M5351" s="3">
        <v>40540</v>
      </c>
      <c r="N5351" s="2" t="s">
        <v>1882</v>
      </c>
      <c r="O5351" s="2" t="s">
        <v>11437</v>
      </c>
      <c r="P5351" s="2" t="s">
        <v>11438</v>
      </c>
      <c r="Q5351" s="2" t="str">
        <f>"101"</f>
        <v>101</v>
      </c>
      <c r="R5351" s="2"/>
      <c r="S5351" s="2"/>
      <c r="T5351" s="2">
        <v>1</v>
      </c>
      <c r="U5351" s="2" t="s">
        <v>79</v>
      </c>
      <c r="V5351" s="2">
        <v>1</v>
      </c>
      <c r="W5351" s="2" t="s">
        <v>80</v>
      </c>
      <c r="X5351" s="2">
        <v>5</v>
      </c>
      <c r="Y5351" s="2" t="s">
        <v>82</v>
      </c>
      <c r="Z5351" s="2">
        <v>1</v>
      </c>
      <c r="AA5351" s="2" t="s">
        <v>82</v>
      </c>
      <c r="AB5351" s="2">
        <v>9</v>
      </c>
      <c r="AC5351" s="2" t="s">
        <v>124</v>
      </c>
      <c r="AD5351" s="3">
        <v>40532</v>
      </c>
      <c r="AE5351" s="4">
        <v>0.31944444444444448</v>
      </c>
      <c r="AF5351" s="3">
        <v>40540</v>
      </c>
      <c r="AG5351" s="4">
        <v>0.54166666666666663</v>
      </c>
      <c r="AH5351" s="2">
        <v>4</v>
      </c>
      <c r="AI5351" s="2" t="s">
        <v>125</v>
      </c>
      <c r="AJ5351" s="2">
        <v>25</v>
      </c>
      <c r="AK5351" s="2" t="s">
        <v>125</v>
      </c>
      <c r="AL5351" s="2">
        <v>23</v>
      </c>
      <c r="AM5351" s="2" t="s">
        <v>251</v>
      </c>
      <c r="AN5351" s="2"/>
      <c r="AO5351" s="2" t="s">
        <v>15944</v>
      </c>
      <c r="AP5351" s="2">
        <v>11</v>
      </c>
      <c r="AQ5351" s="2" t="s">
        <v>82</v>
      </c>
      <c r="AR5351" s="2"/>
      <c r="AS5351" s="2"/>
      <c r="AT5351" s="2" t="s">
        <v>16350</v>
      </c>
      <c r="AU5351" s="2"/>
      <c r="AV5351" s="2">
        <v>1</v>
      </c>
      <c r="AW5351" s="2"/>
      <c r="AX5351" s="2"/>
      <c r="AY5351" s="2">
        <v>41</v>
      </c>
      <c r="AZ5351" s="2" t="s">
        <v>82</v>
      </c>
      <c r="BA5351" s="2">
        <v>41</v>
      </c>
      <c r="BB5351" s="2" t="s">
        <v>82</v>
      </c>
      <c r="BC5351" s="2">
        <v>41</v>
      </c>
      <c r="BD5351" s="2" t="s">
        <v>82</v>
      </c>
      <c r="BE5351" s="2">
        <v>41</v>
      </c>
      <c r="BF5351" s="2" t="s">
        <v>82</v>
      </c>
      <c r="BG5351" s="2"/>
      <c r="BH5351" s="2"/>
      <c r="BI5351" s="2"/>
      <c r="BJ5351" s="2">
        <v>241</v>
      </c>
      <c r="BK5351" s="2" t="s">
        <v>82</v>
      </c>
      <c r="BL5351" s="2"/>
      <c r="BM5351" s="2">
        <v>241</v>
      </c>
      <c r="BN5351" s="2" t="s">
        <v>82</v>
      </c>
      <c r="BO5351" s="2"/>
      <c r="BP5351" s="2">
        <v>241</v>
      </c>
      <c r="BQ5351" s="2" t="s">
        <v>82</v>
      </c>
      <c r="BR5351" s="2"/>
      <c r="BS5351" s="3">
        <v>40540</v>
      </c>
      <c r="BT5351" s="4">
        <v>0.6944907407407408</v>
      </c>
    </row>
    <row r="5352" spans="1:72" x14ac:dyDescent="0.25">
      <c r="A5352" s="2">
        <v>8284</v>
      </c>
      <c r="B5352" s="2">
        <v>2010</v>
      </c>
      <c r="C5352" s="2" t="s">
        <v>128</v>
      </c>
      <c r="D5352" s="2" t="s">
        <v>122</v>
      </c>
      <c r="E5352" s="2" t="s">
        <v>16001</v>
      </c>
      <c r="F5352" s="2">
        <v>425</v>
      </c>
      <c r="G5352" s="2" t="s">
        <v>286</v>
      </c>
      <c r="H5352" s="2">
        <v>39</v>
      </c>
      <c r="I5352" s="2" t="s">
        <v>1117</v>
      </c>
      <c r="J5352" s="2">
        <v>310</v>
      </c>
      <c r="K5352" s="2" t="s">
        <v>288</v>
      </c>
      <c r="L5352" s="2" t="s">
        <v>289</v>
      </c>
      <c r="M5352" s="3">
        <v>40540</v>
      </c>
      <c r="N5352" s="2" t="s">
        <v>1882</v>
      </c>
      <c r="O5352" s="2" t="s">
        <v>11437</v>
      </c>
      <c r="P5352" s="2" t="s">
        <v>11438</v>
      </c>
      <c r="Q5352" s="2" t="str">
        <f>"101"</f>
        <v>101</v>
      </c>
      <c r="R5352" s="2"/>
      <c r="S5352" s="2"/>
      <c r="T5352" s="2">
        <v>1</v>
      </c>
      <c r="U5352" s="2" t="s">
        <v>79</v>
      </c>
      <c r="V5352" s="2">
        <v>1</v>
      </c>
      <c r="W5352" s="2" t="s">
        <v>80</v>
      </c>
      <c r="X5352" s="2">
        <v>5</v>
      </c>
      <c r="Y5352" s="2" t="s">
        <v>82</v>
      </c>
      <c r="Z5352" s="2">
        <v>1</v>
      </c>
      <c r="AA5352" s="2" t="s">
        <v>82</v>
      </c>
      <c r="AB5352" s="2">
        <v>9</v>
      </c>
      <c r="AC5352" s="2" t="s">
        <v>124</v>
      </c>
      <c r="AD5352" s="3">
        <v>40532</v>
      </c>
      <c r="AE5352" s="4">
        <v>0.3263888888888889</v>
      </c>
      <c r="AF5352" s="3">
        <v>40540</v>
      </c>
      <c r="AG5352" s="4">
        <v>0.5</v>
      </c>
      <c r="AH5352" s="2">
        <v>4</v>
      </c>
      <c r="AI5352" s="2" t="s">
        <v>125</v>
      </c>
      <c r="AJ5352" s="2">
        <v>25</v>
      </c>
      <c r="AK5352" s="2" t="s">
        <v>125</v>
      </c>
      <c r="AL5352" s="2">
        <v>23</v>
      </c>
      <c r="AM5352" s="2" t="s">
        <v>251</v>
      </c>
      <c r="AN5352" s="2"/>
      <c r="AO5352" s="2" t="s">
        <v>15946</v>
      </c>
      <c r="AP5352" s="2">
        <v>11</v>
      </c>
      <c r="AQ5352" s="2" t="s">
        <v>82</v>
      </c>
      <c r="AR5352" s="2"/>
      <c r="AS5352" s="2"/>
      <c r="AT5352" s="2" t="s">
        <v>16351</v>
      </c>
      <c r="AU5352" s="2"/>
      <c r="AV5352" s="2">
        <v>1</v>
      </c>
      <c r="AW5352" s="2"/>
      <c r="AX5352" s="2"/>
      <c r="AY5352" s="2">
        <v>41</v>
      </c>
      <c r="AZ5352" s="2" t="s">
        <v>82</v>
      </c>
      <c r="BA5352" s="2">
        <v>41</v>
      </c>
      <c r="BB5352" s="2" t="s">
        <v>82</v>
      </c>
      <c r="BC5352" s="2">
        <v>41</v>
      </c>
      <c r="BD5352" s="2" t="s">
        <v>82</v>
      </c>
      <c r="BE5352" s="2">
        <v>41</v>
      </c>
      <c r="BF5352" s="2" t="s">
        <v>82</v>
      </c>
      <c r="BG5352" s="2"/>
      <c r="BH5352" s="2"/>
      <c r="BI5352" s="2"/>
      <c r="BJ5352" s="2">
        <v>241</v>
      </c>
      <c r="BK5352" s="2" t="s">
        <v>82</v>
      </c>
      <c r="BL5352" s="2"/>
      <c r="BM5352" s="2">
        <v>241</v>
      </c>
      <c r="BN5352" s="2" t="s">
        <v>82</v>
      </c>
      <c r="BO5352" s="2"/>
      <c r="BP5352" s="2">
        <v>241</v>
      </c>
      <c r="BQ5352" s="2" t="s">
        <v>82</v>
      </c>
      <c r="BR5352" s="2"/>
      <c r="BS5352" s="3">
        <v>40540</v>
      </c>
      <c r="BT5352" s="4">
        <v>0.69703703703703701</v>
      </c>
    </row>
    <row r="5353" spans="1:72" x14ac:dyDescent="0.25">
      <c r="A5353" s="2">
        <v>8285</v>
      </c>
      <c r="B5353" s="2">
        <v>2010</v>
      </c>
      <c r="C5353" s="2" t="s">
        <v>171</v>
      </c>
      <c r="D5353" s="2" t="s">
        <v>122</v>
      </c>
      <c r="E5353" s="2" t="s">
        <v>16352</v>
      </c>
      <c r="F5353" s="2">
        <v>393</v>
      </c>
      <c r="G5353" s="2" t="s">
        <v>3660</v>
      </c>
      <c r="H5353" s="2">
        <v>3</v>
      </c>
      <c r="I5353" s="2" t="s">
        <v>315</v>
      </c>
      <c r="J5353" s="2">
        <v>2</v>
      </c>
      <c r="K5353" s="2" t="s">
        <v>3661</v>
      </c>
      <c r="L5353" s="2" t="s">
        <v>3662</v>
      </c>
      <c r="M5353" s="3">
        <v>40540</v>
      </c>
      <c r="N5353" s="2" t="s">
        <v>10885</v>
      </c>
      <c r="O5353" s="2"/>
      <c r="P5353" s="2"/>
      <c r="Q5353" s="2" t="str">
        <f>"681-E/10"</f>
        <v>681-E/10</v>
      </c>
      <c r="R5353" s="2" t="s">
        <v>391</v>
      </c>
      <c r="S5353" s="2" t="s">
        <v>391</v>
      </c>
      <c r="T5353" s="2">
        <v>1</v>
      </c>
      <c r="U5353" s="2" t="s">
        <v>79</v>
      </c>
      <c r="V5353" s="2">
        <v>1</v>
      </c>
      <c r="W5353" s="2" t="s">
        <v>80</v>
      </c>
      <c r="X5353" s="2">
        <v>1</v>
      </c>
      <c r="Y5353" s="2" t="s">
        <v>81</v>
      </c>
      <c r="Z5353" s="2">
        <v>10</v>
      </c>
      <c r="AA5353" s="2" t="s">
        <v>236</v>
      </c>
      <c r="AB5353" s="2">
        <v>1</v>
      </c>
      <c r="AC5353" s="2" t="s">
        <v>178</v>
      </c>
      <c r="AD5353" s="3">
        <v>40530</v>
      </c>
      <c r="AE5353" s="4">
        <v>0.86805555555555547</v>
      </c>
      <c r="AF5353" s="3">
        <v>40530</v>
      </c>
      <c r="AG5353" s="4">
        <v>0.91666666666666663</v>
      </c>
      <c r="AH5353" s="2">
        <v>2</v>
      </c>
      <c r="AI5353" s="2" t="s">
        <v>84</v>
      </c>
      <c r="AJ5353" s="2">
        <v>9</v>
      </c>
      <c r="AK5353" s="2" t="s">
        <v>103</v>
      </c>
      <c r="AL5353" s="2">
        <v>13</v>
      </c>
      <c r="AM5353" s="2" t="s">
        <v>117</v>
      </c>
      <c r="AN5353" s="2"/>
      <c r="AO5353" s="2"/>
      <c r="AP5353" s="2">
        <v>11</v>
      </c>
      <c r="AQ5353" s="2" t="s">
        <v>82</v>
      </c>
      <c r="AR5353" s="2"/>
      <c r="AS5353" s="2"/>
      <c r="AT5353" s="2" t="s">
        <v>16353</v>
      </c>
      <c r="AU5353" s="2"/>
      <c r="AV5353" s="2">
        <v>2</v>
      </c>
      <c r="AW5353" s="2"/>
      <c r="AX5353" s="2"/>
      <c r="AY5353" s="2">
        <v>41</v>
      </c>
      <c r="AZ5353" s="2" t="s">
        <v>82</v>
      </c>
      <c r="BA5353" s="2">
        <v>41</v>
      </c>
      <c r="BB5353" s="2" t="s">
        <v>82</v>
      </c>
      <c r="BC5353" s="2">
        <v>41</v>
      </c>
      <c r="BD5353" s="2" t="s">
        <v>82</v>
      </c>
      <c r="BE5353" s="2">
        <v>13</v>
      </c>
      <c r="BF5353" s="2" t="s">
        <v>108</v>
      </c>
      <c r="BG5353" s="2">
        <v>1132</v>
      </c>
      <c r="BH5353" s="2"/>
      <c r="BI5353" s="4">
        <v>0.93055555555555547</v>
      </c>
      <c r="BJ5353" s="2">
        <v>13</v>
      </c>
      <c r="BK5353" s="2" t="s">
        <v>91</v>
      </c>
      <c r="BL5353" s="2" t="s">
        <v>360</v>
      </c>
      <c r="BM5353" s="2">
        <v>73</v>
      </c>
      <c r="BN5353" s="2" t="s">
        <v>186</v>
      </c>
      <c r="BO5353" s="2"/>
      <c r="BP5353" s="2">
        <v>73</v>
      </c>
      <c r="BQ5353" s="2" t="s">
        <v>186</v>
      </c>
      <c r="BR5353" s="2" t="s">
        <v>187</v>
      </c>
      <c r="BS5353" s="3">
        <v>40540</v>
      </c>
      <c r="BT5353" s="4">
        <v>0.69988425925925923</v>
      </c>
    </row>
    <row r="5354" spans="1:72" x14ac:dyDescent="0.25">
      <c r="A5354" s="2">
        <v>8286</v>
      </c>
      <c r="B5354" s="2">
        <v>2010</v>
      </c>
      <c r="C5354" s="2" t="s">
        <v>128</v>
      </c>
      <c r="D5354" s="2" t="s">
        <v>122</v>
      </c>
      <c r="E5354" s="2" t="s">
        <v>15992</v>
      </c>
      <c r="F5354" s="2">
        <v>425</v>
      </c>
      <c r="G5354" s="2" t="s">
        <v>286</v>
      </c>
      <c r="H5354" s="2">
        <v>39</v>
      </c>
      <c r="I5354" s="2" t="s">
        <v>1117</v>
      </c>
      <c r="J5354" s="2">
        <v>310</v>
      </c>
      <c r="K5354" s="2" t="s">
        <v>288</v>
      </c>
      <c r="L5354" s="2" t="s">
        <v>289</v>
      </c>
      <c r="M5354" s="3">
        <v>40540</v>
      </c>
      <c r="N5354" s="2" t="s">
        <v>1882</v>
      </c>
      <c r="O5354" s="2" t="s">
        <v>11437</v>
      </c>
      <c r="P5354" s="2" t="s">
        <v>11438</v>
      </c>
      <c r="Q5354" s="2" t="str">
        <f>"101"</f>
        <v>101</v>
      </c>
      <c r="R5354" s="2"/>
      <c r="S5354" s="2"/>
      <c r="T5354" s="2">
        <v>1</v>
      </c>
      <c r="U5354" s="2" t="s">
        <v>79</v>
      </c>
      <c r="V5354" s="2">
        <v>1</v>
      </c>
      <c r="W5354" s="2" t="s">
        <v>80</v>
      </c>
      <c r="X5354" s="2">
        <v>5</v>
      </c>
      <c r="Y5354" s="2" t="s">
        <v>82</v>
      </c>
      <c r="Z5354" s="2">
        <v>1</v>
      </c>
      <c r="AA5354" s="2" t="s">
        <v>82</v>
      </c>
      <c r="AB5354" s="2">
        <v>9</v>
      </c>
      <c r="AC5354" s="2" t="s">
        <v>124</v>
      </c>
      <c r="AD5354" s="3">
        <v>40532</v>
      </c>
      <c r="AE5354" s="4">
        <v>0.3263888888888889</v>
      </c>
      <c r="AF5354" s="3">
        <v>40540</v>
      </c>
      <c r="AG5354" s="4">
        <v>0.54166666666666663</v>
      </c>
      <c r="AH5354" s="2">
        <v>4</v>
      </c>
      <c r="AI5354" s="2" t="s">
        <v>125</v>
      </c>
      <c r="AJ5354" s="2">
        <v>25</v>
      </c>
      <c r="AK5354" s="2" t="s">
        <v>125</v>
      </c>
      <c r="AL5354" s="2">
        <v>23</v>
      </c>
      <c r="AM5354" s="2" t="s">
        <v>251</v>
      </c>
      <c r="AN5354" s="2"/>
      <c r="AO5354" s="2" t="s">
        <v>15949</v>
      </c>
      <c r="AP5354" s="2">
        <v>11</v>
      </c>
      <c r="AQ5354" s="2" t="s">
        <v>82</v>
      </c>
      <c r="AR5354" s="2"/>
      <c r="AS5354" s="2"/>
      <c r="AT5354" s="2" t="s">
        <v>16354</v>
      </c>
      <c r="AU5354" s="2"/>
      <c r="AV5354" s="2">
        <v>1</v>
      </c>
      <c r="AW5354" s="2"/>
      <c r="AX5354" s="2"/>
      <c r="AY5354" s="2">
        <v>41</v>
      </c>
      <c r="AZ5354" s="2" t="s">
        <v>82</v>
      </c>
      <c r="BA5354" s="2">
        <v>41</v>
      </c>
      <c r="BB5354" s="2" t="s">
        <v>82</v>
      </c>
      <c r="BC5354" s="2">
        <v>41</v>
      </c>
      <c r="BD5354" s="2" t="s">
        <v>82</v>
      </c>
      <c r="BE5354" s="2">
        <v>41</v>
      </c>
      <c r="BF5354" s="2" t="s">
        <v>82</v>
      </c>
      <c r="BG5354" s="2"/>
      <c r="BH5354" s="2"/>
      <c r="BI5354" s="2"/>
      <c r="BJ5354" s="2">
        <v>241</v>
      </c>
      <c r="BK5354" s="2" t="s">
        <v>82</v>
      </c>
      <c r="BL5354" s="2"/>
      <c r="BM5354" s="2">
        <v>241</v>
      </c>
      <c r="BN5354" s="2" t="s">
        <v>82</v>
      </c>
      <c r="BO5354" s="2"/>
      <c r="BP5354" s="2">
        <v>241</v>
      </c>
      <c r="BQ5354" s="2" t="s">
        <v>82</v>
      </c>
      <c r="BR5354" s="2"/>
      <c r="BS5354" s="3">
        <v>40540</v>
      </c>
      <c r="BT5354" s="4">
        <v>0.69990740740740742</v>
      </c>
    </row>
    <row r="5355" spans="1:72" x14ac:dyDescent="0.25">
      <c r="A5355" s="2">
        <v>8287</v>
      </c>
      <c r="B5355" s="2">
        <v>2010</v>
      </c>
      <c r="C5355" s="2" t="s">
        <v>128</v>
      </c>
      <c r="D5355" s="2" t="s">
        <v>122</v>
      </c>
      <c r="E5355" s="2" t="s">
        <v>15990</v>
      </c>
      <c r="F5355" s="2">
        <v>425</v>
      </c>
      <c r="G5355" s="2" t="s">
        <v>286</v>
      </c>
      <c r="H5355" s="2">
        <v>30</v>
      </c>
      <c r="I5355" s="2" t="s">
        <v>912</v>
      </c>
      <c r="J5355" s="2">
        <v>310</v>
      </c>
      <c r="K5355" s="2" t="s">
        <v>288</v>
      </c>
      <c r="L5355" s="2" t="s">
        <v>289</v>
      </c>
      <c r="M5355" s="3">
        <v>40540</v>
      </c>
      <c r="N5355" s="2" t="s">
        <v>1882</v>
      </c>
      <c r="O5355" s="2" t="s">
        <v>11437</v>
      </c>
      <c r="P5355" s="2" t="s">
        <v>11438</v>
      </c>
      <c r="Q5355" s="2" t="str">
        <f>"101"</f>
        <v>101</v>
      </c>
      <c r="R5355" s="2"/>
      <c r="S5355" s="2"/>
      <c r="T5355" s="2">
        <v>1</v>
      </c>
      <c r="U5355" s="2" t="s">
        <v>79</v>
      </c>
      <c r="V5355" s="2">
        <v>1</v>
      </c>
      <c r="W5355" s="2" t="s">
        <v>80</v>
      </c>
      <c r="X5355" s="2">
        <v>5</v>
      </c>
      <c r="Y5355" s="2" t="s">
        <v>82</v>
      </c>
      <c r="Z5355" s="2">
        <v>1</v>
      </c>
      <c r="AA5355" s="2" t="s">
        <v>82</v>
      </c>
      <c r="AB5355" s="2">
        <v>9</v>
      </c>
      <c r="AC5355" s="2" t="s">
        <v>124</v>
      </c>
      <c r="AD5355" s="3">
        <v>40532</v>
      </c>
      <c r="AE5355" s="4">
        <v>0.3888888888888889</v>
      </c>
      <c r="AF5355" s="3">
        <v>40540</v>
      </c>
      <c r="AG5355" s="4">
        <v>0.54166666666666663</v>
      </c>
      <c r="AH5355" s="2">
        <v>4</v>
      </c>
      <c r="AI5355" s="2" t="s">
        <v>125</v>
      </c>
      <c r="AJ5355" s="2">
        <v>25</v>
      </c>
      <c r="AK5355" s="2" t="s">
        <v>125</v>
      </c>
      <c r="AL5355" s="2">
        <v>23</v>
      </c>
      <c r="AM5355" s="2" t="s">
        <v>251</v>
      </c>
      <c r="AN5355" s="2"/>
      <c r="AO5355" s="2" t="s">
        <v>15956</v>
      </c>
      <c r="AP5355" s="2">
        <v>11</v>
      </c>
      <c r="AQ5355" s="2" t="s">
        <v>82</v>
      </c>
      <c r="AR5355" s="2"/>
      <c r="AS5355" s="2"/>
      <c r="AT5355" s="2" t="s">
        <v>16355</v>
      </c>
      <c r="AU5355" s="2"/>
      <c r="AV5355" s="2"/>
      <c r="AW5355" s="2"/>
      <c r="AX5355" s="2"/>
      <c r="AY5355" s="2">
        <v>41</v>
      </c>
      <c r="AZ5355" s="2" t="s">
        <v>82</v>
      </c>
      <c r="BA5355" s="2">
        <v>41</v>
      </c>
      <c r="BB5355" s="2" t="s">
        <v>82</v>
      </c>
      <c r="BC5355" s="2">
        <v>41</v>
      </c>
      <c r="BD5355" s="2" t="s">
        <v>82</v>
      </c>
      <c r="BE5355" s="2">
        <v>41</v>
      </c>
      <c r="BF5355" s="2" t="s">
        <v>82</v>
      </c>
      <c r="BG5355" s="2"/>
      <c r="BH5355" s="2"/>
      <c r="BI5355" s="2"/>
      <c r="BJ5355" s="2">
        <v>241</v>
      </c>
      <c r="BK5355" s="2" t="s">
        <v>82</v>
      </c>
      <c r="BL5355" s="2"/>
      <c r="BM5355" s="2">
        <v>241</v>
      </c>
      <c r="BN5355" s="2" t="s">
        <v>82</v>
      </c>
      <c r="BO5355" s="2"/>
      <c r="BP5355" s="2">
        <v>241</v>
      </c>
      <c r="BQ5355" s="2" t="s">
        <v>82</v>
      </c>
      <c r="BR5355" s="2"/>
      <c r="BS5355" s="3">
        <v>40540</v>
      </c>
      <c r="BT5355" s="4">
        <v>0.70317129629629627</v>
      </c>
    </row>
    <row r="5356" spans="1:72" x14ac:dyDescent="0.25">
      <c r="A5356" s="2">
        <v>8288</v>
      </c>
      <c r="B5356" s="2">
        <v>2010</v>
      </c>
      <c r="C5356" s="2" t="s">
        <v>72</v>
      </c>
      <c r="D5356" s="2" t="s">
        <v>122</v>
      </c>
      <c r="E5356" s="2" t="s">
        <v>16356</v>
      </c>
      <c r="F5356" s="2">
        <v>3</v>
      </c>
      <c r="G5356" s="2" t="s">
        <v>1041</v>
      </c>
      <c r="H5356" s="2">
        <v>149</v>
      </c>
      <c r="I5356" s="2" t="s">
        <v>14672</v>
      </c>
      <c r="J5356" s="2">
        <v>368</v>
      </c>
      <c r="K5356" s="2" t="s">
        <v>1042</v>
      </c>
      <c r="L5356" s="2" t="s">
        <v>1043</v>
      </c>
      <c r="M5356" s="3">
        <v>40540</v>
      </c>
      <c r="N5356" s="2"/>
      <c r="O5356" s="2"/>
      <c r="P5356" s="2"/>
      <c r="Q5356" s="2" t="str">
        <f>"688-E/10"</f>
        <v>688-E/10</v>
      </c>
      <c r="R5356" s="2" t="s">
        <v>116</v>
      </c>
      <c r="S5356" s="2"/>
      <c r="T5356" s="2">
        <v>1</v>
      </c>
      <c r="U5356" s="2" t="s">
        <v>79</v>
      </c>
      <c r="V5356" s="2">
        <v>1</v>
      </c>
      <c r="W5356" s="2" t="s">
        <v>80</v>
      </c>
      <c r="X5356" s="2">
        <v>1</v>
      </c>
      <c r="Y5356" s="2" t="s">
        <v>81</v>
      </c>
      <c r="Z5356" s="2">
        <v>1</v>
      </c>
      <c r="AA5356" s="2" t="s">
        <v>82</v>
      </c>
      <c r="AB5356" s="2">
        <v>6</v>
      </c>
      <c r="AC5356" s="2" t="s">
        <v>83</v>
      </c>
      <c r="AD5356" s="3">
        <v>40539</v>
      </c>
      <c r="AE5356" s="4">
        <v>0.69444444444444453</v>
      </c>
      <c r="AF5356" s="3">
        <v>40539</v>
      </c>
      <c r="AG5356" s="4">
        <v>0.77083333333333337</v>
      </c>
      <c r="AH5356" s="2">
        <v>2</v>
      </c>
      <c r="AI5356" s="2" t="s">
        <v>84</v>
      </c>
      <c r="AJ5356" s="2">
        <v>9</v>
      </c>
      <c r="AK5356" s="2" t="s">
        <v>103</v>
      </c>
      <c r="AL5356" s="2">
        <v>29</v>
      </c>
      <c r="AM5356" s="2" t="s">
        <v>5416</v>
      </c>
      <c r="AN5356" s="2"/>
      <c r="AO5356" s="2" t="s">
        <v>590</v>
      </c>
      <c r="AP5356" s="2">
        <v>11</v>
      </c>
      <c r="AQ5356" s="2" t="s">
        <v>82</v>
      </c>
      <c r="AR5356" s="2"/>
      <c r="AS5356" s="2"/>
      <c r="AT5356" s="2" t="s">
        <v>16357</v>
      </c>
      <c r="AU5356" s="2"/>
      <c r="AV5356" s="2"/>
      <c r="AW5356" s="2">
        <v>4</v>
      </c>
      <c r="AX5356" s="2"/>
      <c r="AY5356" s="2">
        <v>41</v>
      </c>
      <c r="AZ5356" s="2" t="s">
        <v>82</v>
      </c>
      <c r="BA5356" s="2">
        <v>41</v>
      </c>
      <c r="BB5356" s="2" t="s">
        <v>82</v>
      </c>
      <c r="BC5356" s="2">
        <v>41</v>
      </c>
      <c r="BD5356" s="2" t="s">
        <v>82</v>
      </c>
      <c r="BE5356" s="2">
        <v>41</v>
      </c>
      <c r="BF5356" s="2" t="s">
        <v>82</v>
      </c>
      <c r="BG5356" s="2"/>
      <c r="BH5356" s="2"/>
      <c r="BI5356" s="2"/>
      <c r="BJ5356" s="2">
        <v>241</v>
      </c>
      <c r="BK5356" s="2" t="s">
        <v>82</v>
      </c>
      <c r="BL5356" s="2"/>
      <c r="BM5356" s="2">
        <v>241</v>
      </c>
      <c r="BN5356" s="2" t="s">
        <v>82</v>
      </c>
      <c r="BO5356" s="2"/>
      <c r="BP5356" s="2">
        <v>241</v>
      </c>
      <c r="BQ5356" s="2" t="s">
        <v>82</v>
      </c>
      <c r="BR5356" s="2"/>
      <c r="BS5356" s="3">
        <v>40540</v>
      </c>
      <c r="BT5356" s="4">
        <v>0.71628472222222228</v>
      </c>
    </row>
    <row r="5357" spans="1:72" x14ac:dyDescent="0.25">
      <c r="A5357" s="2">
        <v>8289</v>
      </c>
      <c r="B5357" s="2">
        <v>2010</v>
      </c>
      <c r="C5357" s="2" t="s">
        <v>2138</v>
      </c>
      <c r="D5357" s="2" t="s">
        <v>122</v>
      </c>
      <c r="E5357" s="2"/>
      <c r="F5357" s="2">
        <v>1</v>
      </c>
      <c r="G5357" s="2" t="s">
        <v>82</v>
      </c>
      <c r="H5357" s="2">
        <v>1</v>
      </c>
      <c r="I5357" s="2" t="s">
        <v>82</v>
      </c>
      <c r="J5357" s="2">
        <v>1</v>
      </c>
      <c r="K5357" s="2" t="s">
        <v>107</v>
      </c>
      <c r="L5357" s="2" t="s">
        <v>107</v>
      </c>
      <c r="M5357" s="3">
        <v>40540</v>
      </c>
      <c r="N5357" s="2"/>
      <c r="O5357" s="2"/>
      <c r="P5357" s="2"/>
      <c r="Q5357" s="2" t="str">
        <f>""</f>
        <v/>
      </c>
      <c r="R5357" s="2"/>
      <c r="S5357" s="2"/>
      <c r="T5357" s="2">
        <v>1</v>
      </c>
      <c r="U5357" s="2" t="s">
        <v>79</v>
      </c>
      <c r="V5357" s="2">
        <v>1</v>
      </c>
      <c r="W5357" s="2" t="s">
        <v>80</v>
      </c>
      <c r="X5357" s="2">
        <v>11</v>
      </c>
      <c r="Y5357" s="2" t="s">
        <v>1920</v>
      </c>
      <c r="Z5357" s="2">
        <v>1</v>
      </c>
      <c r="AA5357" s="2" t="s">
        <v>82</v>
      </c>
      <c r="AB5357" s="2">
        <v>9</v>
      </c>
      <c r="AC5357" s="2" t="s">
        <v>124</v>
      </c>
      <c r="AD5357" s="3">
        <v>40540</v>
      </c>
      <c r="AE5357" s="4">
        <v>0.58333333333333337</v>
      </c>
      <c r="AF5357" s="3">
        <v>40540</v>
      </c>
      <c r="AG5357" s="4">
        <v>0.58333333333333337</v>
      </c>
      <c r="AH5357" s="2">
        <v>5</v>
      </c>
      <c r="AI5357" s="2" t="s">
        <v>274</v>
      </c>
      <c r="AJ5357" s="2">
        <v>44</v>
      </c>
      <c r="AK5357" s="2" t="s">
        <v>667</v>
      </c>
      <c r="AL5357" s="2">
        <v>25</v>
      </c>
      <c r="AM5357" s="2" t="s">
        <v>3073</v>
      </c>
      <c r="AN5357" s="2" t="s">
        <v>16358</v>
      </c>
      <c r="AO5357" s="2" t="s">
        <v>16359</v>
      </c>
      <c r="AP5357" s="2">
        <v>11</v>
      </c>
      <c r="AQ5357" s="2" t="s">
        <v>82</v>
      </c>
      <c r="AR5357" s="2" t="s">
        <v>82</v>
      </c>
      <c r="AS5357" s="2" t="s">
        <v>82</v>
      </c>
      <c r="AT5357" s="2" t="s">
        <v>16360</v>
      </c>
      <c r="AU5357" s="2"/>
      <c r="AV5357" s="2"/>
      <c r="AW5357" s="2"/>
      <c r="AX5357" s="2"/>
      <c r="AY5357" s="2">
        <v>41</v>
      </c>
      <c r="AZ5357" s="2" t="s">
        <v>82</v>
      </c>
      <c r="BA5357" s="2">
        <v>41</v>
      </c>
      <c r="BB5357" s="2" t="s">
        <v>82</v>
      </c>
      <c r="BC5357" s="2">
        <v>41</v>
      </c>
      <c r="BD5357" s="2" t="s">
        <v>82</v>
      </c>
      <c r="BE5357" s="2">
        <v>13</v>
      </c>
      <c r="BF5357" s="2" t="s">
        <v>108</v>
      </c>
      <c r="BG5357" s="2">
        <v>1779</v>
      </c>
      <c r="BH5357" s="4">
        <v>0.60416666666666663</v>
      </c>
      <c r="BI5357" s="4">
        <v>0.63888888888888895</v>
      </c>
      <c r="BJ5357" s="2">
        <v>13</v>
      </c>
      <c r="BK5357" s="2" t="s">
        <v>91</v>
      </c>
      <c r="BL5357" s="2" t="s">
        <v>185</v>
      </c>
      <c r="BM5357" s="2">
        <v>13</v>
      </c>
      <c r="BN5357" s="2" t="s">
        <v>91</v>
      </c>
      <c r="BO5357" s="2"/>
      <c r="BP5357" s="2">
        <v>13</v>
      </c>
      <c r="BQ5357" s="2" t="s">
        <v>91</v>
      </c>
      <c r="BR5357" s="2" t="s">
        <v>185</v>
      </c>
      <c r="BS5357" s="3">
        <v>40540</v>
      </c>
      <c r="BT5357" s="4">
        <v>0.72434027777777776</v>
      </c>
    </row>
    <row r="5358" spans="1:72" x14ac:dyDescent="0.25">
      <c r="A5358" s="2">
        <v>8290</v>
      </c>
      <c r="B5358" s="2">
        <v>2010</v>
      </c>
      <c r="C5358" s="2" t="s">
        <v>171</v>
      </c>
      <c r="D5358" s="2" t="s">
        <v>73</v>
      </c>
      <c r="E5358" s="2"/>
      <c r="F5358" s="2">
        <v>393</v>
      </c>
      <c r="G5358" s="2" t="s">
        <v>3660</v>
      </c>
      <c r="H5358" s="2">
        <v>2</v>
      </c>
      <c r="I5358" s="2" t="s">
        <v>267</v>
      </c>
      <c r="J5358" s="2">
        <v>2</v>
      </c>
      <c r="K5358" s="2" t="s">
        <v>3661</v>
      </c>
      <c r="L5358" s="2" t="s">
        <v>3662</v>
      </c>
      <c r="M5358" s="3">
        <v>40540</v>
      </c>
      <c r="N5358" s="2" t="s">
        <v>5709</v>
      </c>
      <c r="O5358" s="2" t="s">
        <v>82</v>
      </c>
      <c r="P5358" s="2" t="s">
        <v>82</v>
      </c>
      <c r="Q5358" s="2" t="str">
        <f>"N/C"</f>
        <v>N/C</v>
      </c>
      <c r="R5358" s="2" t="s">
        <v>82</v>
      </c>
      <c r="S5358" s="2" t="s">
        <v>82</v>
      </c>
      <c r="T5358" s="2">
        <v>1</v>
      </c>
      <c r="U5358" s="2" t="s">
        <v>79</v>
      </c>
      <c r="V5358" s="2">
        <v>1</v>
      </c>
      <c r="W5358" s="2" t="s">
        <v>80</v>
      </c>
      <c r="X5358" s="2">
        <v>1</v>
      </c>
      <c r="Y5358" s="2" t="s">
        <v>81</v>
      </c>
      <c r="Z5358" s="2">
        <v>1</v>
      </c>
      <c r="AA5358" s="2" t="s">
        <v>82</v>
      </c>
      <c r="AB5358" s="2">
        <v>1</v>
      </c>
      <c r="AC5358" s="2" t="s">
        <v>178</v>
      </c>
      <c r="AD5358" s="3">
        <v>40539</v>
      </c>
      <c r="AE5358" s="4">
        <v>0.53194444444444444</v>
      </c>
      <c r="AF5358" s="3">
        <v>40539</v>
      </c>
      <c r="AG5358" s="4">
        <v>0.54513888888888895</v>
      </c>
      <c r="AH5358" s="2">
        <v>2</v>
      </c>
      <c r="AI5358" s="2" t="s">
        <v>84</v>
      </c>
      <c r="AJ5358" s="2">
        <v>6</v>
      </c>
      <c r="AK5358" s="2" t="s">
        <v>453</v>
      </c>
      <c r="AL5358" s="2">
        <v>25</v>
      </c>
      <c r="AM5358" s="2" t="s">
        <v>3073</v>
      </c>
      <c r="AN5358" s="2"/>
      <c r="AO5358" s="2" t="s">
        <v>16361</v>
      </c>
      <c r="AP5358" s="2">
        <v>11</v>
      </c>
      <c r="AQ5358" s="2" t="s">
        <v>82</v>
      </c>
      <c r="AR5358" s="2"/>
      <c r="AS5358" s="2"/>
      <c r="AT5358" s="2" t="s">
        <v>16362</v>
      </c>
      <c r="AU5358" s="2"/>
      <c r="AV5358" s="2"/>
      <c r="AW5358" s="2"/>
      <c r="AX5358" s="2"/>
      <c r="AY5358" s="2">
        <v>41</v>
      </c>
      <c r="AZ5358" s="2" t="s">
        <v>82</v>
      </c>
      <c r="BA5358" s="2">
        <v>152</v>
      </c>
      <c r="BB5358" s="2" t="s">
        <v>13823</v>
      </c>
      <c r="BC5358" s="2">
        <v>41</v>
      </c>
      <c r="BD5358" s="2" t="s">
        <v>82</v>
      </c>
      <c r="BE5358" s="2">
        <v>38</v>
      </c>
      <c r="BF5358" s="2" t="s">
        <v>221</v>
      </c>
      <c r="BG5358" s="2" t="s">
        <v>1666</v>
      </c>
      <c r="BH5358" s="2"/>
      <c r="BI5358" s="2"/>
      <c r="BJ5358" s="2">
        <v>173</v>
      </c>
      <c r="BK5358" s="2" t="s">
        <v>223</v>
      </c>
      <c r="BL5358" s="2" t="s">
        <v>224</v>
      </c>
      <c r="BM5358" s="2">
        <v>13</v>
      </c>
      <c r="BN5358" s="2" t="s">
        <v>91</v>
      </c>
      <c r="BO5358" s="2"/>
      <c r="BP5358" s="2">
        <v>13</v>
      </c>
      <c r="BQ5358" s="2" t="s">
        <v>91</v>
      </c>
      <c r="BR5358" s="2" t="s">
        <v>360</v>
      </c>
      <c r="BS5358" s="3">
        <v>40540</v>
      </c>
      <c r="BT5358" s="4">
        <v>0.74241898148148155</v>
      </c>
    </row>
    <row r="5359" spans="1:72" x14ac:dyDescent="0.25">
      <c r="A5359" s="2">
        <v>8291</v>
      </c>
      <c r="B5359" s="2">
        <v>2010</v>
      </c>
      <c r="C5359" s="2" t="s">
        <v>147</v>
      </c>
      <c r="D5359" s="2" t="s">
        <v>73</v>
      </c>
      <c r="E5359" s="2"/>
      <c r="F5359" s="2">
        <v>1</v>
      </c>
      <c r="G5359" s="2" t="s">
        <v>82</v>
      </c>
      <c r="H5359" s="2">
        <v>1</v>
      </c>
      <c r="I5359" s="2" t="s">
        <v>82</v>
      </c>
      <c r="J5359" s="2">
        <v>1</v>
      </c>
      <c r="K5359" s="2" t="s">
        <v>107</v>
      </c>
      <c r="L5359" s="2" t="s">
        <v>107</v>
      </c>
      <c r="M5359" s="3">
        <v>40540</v>
      </c>
      <c r="N5359" s="2"/>
      <c r="O5359" s="2"/>
      <c r="P5359" s="2"/>
      <c r="Q5359" s="2" t="str">
        <f>""</f>
        <v/>
      </c>
      <c r="R5359" s="2"/>
      <c r="S5359" s="2"/>
      <c r="T5359" s="2">
        <v>2</v>
      </c>
      <c r="U5359" s="2" t="s">
        <v>123</v>
      </c>
      <c r="V5359" s="2">
        <v>1</v>
      </c>
      <c r="W5359" s="2" t="s">
        <v>80</v>
      </c>
      <c r="X5359" s="2">
        <v>12</v>
      </c>
      <c r="Y5359" s="2" t="s">
        <v>148</v>
      </c>
      <c r="Z5359" s="2">
        <v>10</v>
      </c>
      <c r="AA5359" s="2" t="s">
        <v>236</v>
      </c>
      <c r="AB5359" s="2">
        <v>9</v>
      </c>
      <c r="AC5359" s="2" t="s">
        <v>124</v>
      </c>
      <c r="AD5359" s="2"/>
      <c r="AE5359" s="2"/>
      <c r="AF5359" s="3">
        <v>40540</v>
      </c>
      <c r="AG5359" s="4">
        <v>0.77083333333333337</v>
      </c>
      <c r="AH5359" s="2">
        <v>3</v>
      </c>
      <c r="AI5359" s="2" t="s">
        <v>214</v>
      </c>
      <c r="AJ5359" s="2">
        <v>24</v>
      </c>
      <c r="AK5359" s="2" t="s">
        <v>215</v>
      </c>
      <c r="AL5359" s="2">
        <v>19</v>
      </c>
      <c r="AM5359" s="2" t="s">
        <v>107</v>
      </c>
      <c r="AN5359" s="2" t="s">
        <v>107</v>
      </c>
      <c r="AO5359" s="2" t="s">
        <v>107</v>
      </c>
      <c r="AP5359" s="2">
        <v>11</v>
      </c>
      <c r="AQ5359" s="2" t="s">
        <v>82</v>
      </c>
      <c r="AR5359" s="2"/>
      <c r="AS5359" s="2"/>
      <c r="AT5359" s="2" t="s">
        <v>16363</v>
      </c>
      <c r="AU5359" s="2"/>
      <c r="AV5359" s="2"/>
      <c r="AW5359" s="2"/>
      <c r="AX5359" s="2"/>
      <c r="AY5359" s="2">
        <v>70</v>
      </c>
      <c r="AZ5359" s="2" t="s">
        <v>236</v>
      </c>
      <c r="BA5359" s="2">
        <v>41</v>
      </c>
      <c r="BB5359" s="2" t="s">
        <v>82</v>
      </c>
      <c r="BC5359" s="2">
        <v>41</v>
      </c>
      <c r="BD5359" s="2" t="s">
        <v>82</v>
      </c>
      <c r="BE5359" s="2">
        <v>41</v>
      </c>
      <c r="BF5359" s="2" t="s">
        <v>82</v>
      </c>
      <c r="BG5359" s="2"/>
      <c r="BH5359" s="2"/>
      <c r="BI5359" s="2"/>
      <c r="BJ5359" s="2">
        <v>241</v>
      </c>
      <c r="BK5359" s="2" t="s">
        <v>82</v>
      </c>
      <c r="BL5359" s="2"/>
      <c r="BM5359" s="2">
        <v>241</v>
      </c>
      <c r="BN5359" s="2" t="s">
        <v>82</v>
      </c>
      <c r="BO5359" s="2"/>
      <c r="BP5359" s="2">
        <v>241</v>
      </c>
      <c r="BQ5359" s="2" t="s">
        <v>82</v>
      </c>
      <c r="BR5359" s="2"/>
      <c r="BS5359" s="3">
        <v>40540</v>
      </c>
      <c r="BT5359" s="4">
        <v>0.78597222222222218</v>
      </c>
    </row>
    <row r="5360" spans="1:72" x14ac:dyDescent="0.25">
      <c r="A5360" s="2">
        <v>8292</v>
      </c>
      <c r="B5360" s="2">
        <v>2010</v>
      </c>
      <c r="C5360" s="2" t="s">
        <v>1568</v>
      </c>
      <c r="D5360" s="2" t="s">
        <v>73</v>
      </c>
      <c r="E5360" s="2"/>
      <c r="F5360" s="2">
        <v>3</v>
      </c>
      <c r="G5360" s="2" t="s">
        <v>1041</v>
      </c>
      <c r="H5360" s="2">
        <v>149</v>
      </c>
      <c r="I5360" s="2" t="s">
        <v>14672</v>
      </c>
      <c r="J5360" s="2">
        <v>368</v>
      </c>
      <c r="K5360" s="2" t="s">
        <v>1042</v>
      </c>
      <c r="L5360" s="2" t="s">
        <v>1043</v>
      </c>
      <c r="M5360" s="3">
        <v>40540</v>
      </c>
      <c r="N5360" s="2" t="s">
        <v>16364</v>
      </c>
      <c r="O5360" s="2" t="s">
        <v>16365</v>
      </c>
      <c r="P5360" s="2"/>
      <c r="Q5360" s="2" t="str">
        <f>"689-E/10"</f>
        <v>689-E/10</v>
      </c>
      <c r="R5360" s="2"/>
      <c r="S5360" s="2"/>
      <c r="T5360" s="2">
        <v>1</v>
      </c>
      <c r="U5360" s="2" t="s">
        <v>79</v>
      </c>
      <c r="V5360" s="2">
        <v>1</v>
      </c>
      <c r="W5360" s="2" t="s">
        <v>80</v>
      </c>
      <c r="X5360" s="2">
        <v>1</v>
      </c>
      <c r="Y5360" s="2" t="s">
        <v>81</v>
      </c>
      <c r="Z5360" s="2">
        <v>1</v>
      </c>
      <c r="AA5360" s="2" t="s">
        <v>82</v>
      </c>
      <c r="AB5360" s="2">
        <v>4</v>
      </c>
      <c r="AC5360" s="2" t="s">
        <v>1569</v>
      </c>
      <c r="AD5360" s="3">
        <v>40540</v>
      </c>
      <c r="AE5360" s="4">
        <v>0.25</v>
      </c>
      <c r="AF5360" s="3">
        <v>40540</v>
      </c>
      <c r="AG5360" s="4">
        <v>0.54166666666666663</v>
      </c>
      <c r="AH5360" s="2">
        <v>2</v>
      </c>
      <c r="AI5360" s="2" t="s">
        <v>84</v>
      </c>
      <c r="AJ5360" s="2">
        <v>9</v>
      </c>
      <c r="AK5360" s="2" t="s">
        <v>103</v>
      </c>
      <c r="AL5360" s="2">
        <v>24</v>
      </c>
      <c r="AM5360" s="2" t="s">
        <v>1540</v>
      </c>
      <c r="AN5360" s="2" t="s">
        <v>16366</v>
      </c>
      <c r="AO5360" s="2" t="s">
        <v>16367</v>
      </c>
      <c r="AP5360" s="2">
        <v>11</v>
      </c>
      <c r="AQ5360" s="2" t="s">
        <v>82</v>
      </c>
      <c r="AR5360" s="2"/>
      <c r="AS5360" s="2"/>
      <c r="AT5360" s="2" t="s">
        <v>16368</v>
      </c>
      <c r="AU5360" s="2"/>
      <c r="AV5360" s="2"/>
      <c r="AW5360" s="2">
        <v>1</v>
      </c>
      <c r="AX5360" s="2"/>
      <c r="AY5360" s="2">
        <v>41</v>
      </c>
      <c r="AZ5360" s="2" t="s">
        <v>82</v>
      </c>
      <c r="BA5360" s="2">
        <v>41</v>
      </c>
      <c r="BB5360" s="2" t="s">
        <v>82</v>
      </c>
      <c r="BC5360" s="2">
        <v>41</v>
      </c>
      <c r="BD5360" s="2" t="s">
        <v>82</v>
      </c>
      <c r="BE5360" s="2">
        <v>41</v>
      </c>
      <c r="BF5360" s="2" t="s">
        <v>82</v>
      </c>
      <c r="BG5360" s="2"/>
      <c r="BH5360" s="2"/>
      <c r="BI5360" s="2"/>
      <c r="BJ5360" s="2">
        <v>241</v>
      </c>
      <c r="BK5360" s="2" t="s">
        <v>82</v>
      </c>
      <c r="BL5360" s="2"/>
      <c r="BM5360" s="2">
        <v>241</v>
      </c>
      <c r="BN5360" s="2" t="s">
        <v>82</v>
      </c>
      <c r="BO5360" s="2"/>
      <c r="BP5360" s="2">
        <v>241</v>
      </c>
      <c r="BQ5360" s="2" t="s">
        <v>82</v>
      </c>
      <c r="BR5360" s="2"/>
      <c r="BS5360" s="3">
        <v>40540</v>
      </c>
      <c r="BT5360" s="4">
        <v>0.78675925925925927</v>
      </c>
    </row>
    <row r="5361" spans="1:72" x14ac:dyDescent="0.25">
      <c r="A5361" s="2">
        <v>8293</v>
      </c>
      <c r="B5361" s="2">
        <v>2010</v>
      </c>
      <c r="C5361" s="2" t="s">
        <v>171</v>
      </c>
      <c r="D5361" s="2" t="s">
        <v>73</v>
      </c>
      <c r="E5361" s="2"/>
      <c r="F5361" s="2">
        <v>153</v>
      </c>
      <c r="G5361" s="2" t="s">
        <v>9047</v>
      </c>
      <c r="H5361" s="2">
        <v>7</v>
      </c>
      <c r="I5361" s="2" t="s">
        <v>476</v>
      </c>
      <c r="J5361" s="2">
        <v>165</v>
      </c>
      <c r="K5361" s="2" t="s">
        <v>8586</v>
      </c>
      <c r="L5361" s="2" t="s">
        <v>8587</v>
      </c>
      <c r="M5361" s="3">
        <v>40540</v>
      </c>
      <c r="N5361" s="2" t="s">
        <v>16369</v>
      </c>
      <c r="O5361" s="2" t="s">
        <v>82</v>
      </c>
      <c r="P5361" s="2" t="s">
        <v>82</v>
      </c>
      <c r="Q5361" s="2" t="str">
        <f>"0474-A/10"</f>
        <v>0474-A/10</v>
      </c>
      <c r="R5361" s="2" t="s">
        <v>2334</v>
      </c>
      <c r="S5361" s="2" t="s">
        <v>2334</v>
      </c>
      <c r="T5361" s="2">
        <v>1</v>
      </c>
      <c r="U5361" s="2" t="s">
        <v>79</v>
      </c>
      <c r="V5361" s="2">
        <v>1</v>
      </c>
      <c r="W5361" s="2" t="s">
        <v>80</v>
      </c>
      <c r="X5361" s="2">
        <v>1</v>
      </c>
      <c r="Y5361" s="2" t="s">
        <v>81</v>
      </c>
      <c r="Z5361" s="2">
        <v>1</v>
      </c>
      <c r="AA5361" s="2" t="s">
        <v>82</v>
      </c>
      <c r="AB5361" s="2">
        <v>1</v>
      </c>
      <c r="AC5361" s="2" t="s">
        <v>178</v>
      </c>
      <c r="AD5361" s="3">
        <v>40539</v>
      </c>
      <c r="AE5361" s="4">
        <v>0.1875</v>
      </c>
      <c r="AF5361" s="3">
        <v>40539</v>
      </c>
      <c r="AG5361" s="4">
        <v>0.30208333333333331</v>
      </c>
      <c r="AH5361" s="2">
        <v>2</v>
      </c>
      <c r="AI5361" s="2" t="s">
        <v>84</v>
      </c>
      <c r="AJ5361" s="2">
        <v>12</v>
      </c>
      <c r="AK5361" s="2" t="s">
        <v>85</v>
      </c>
      <c r="AL5361" s="2">
        <v>16</v>
      </c>
      <c r="AM5361" s="2" t="s">
        <v>392</v>
      </c>
      <c r="AN5361" s="2" t="s">
        <v>6519</v>
      </c>
      <c r="AO5361" s="2" t="s">
        <v>16370</v>
      </c>
      <c r="AP5361" s="2">
        <v>12</v>
      </c>
      <c r="AQ5361" s="2" t="s">
        <v>322</v>
      </c>
      <c r="AR5361" s="2" t="s">
        <v>16371</v>
      </c>
      <c r="AS5361" s="2" t="s">
        <v>16371</v>
      </c>
      <c r="AT5361" s="2" t="s">
        <v>16372</v>
      </c>
      <c r="AU5361" s="2"/>
      <c r="AV5361" s="2"/>
      <c r="AW5361" s="2"/>
      <c r="AX5361" s="2"/>
      <c r="AY5361" s="2">
        <v>41</v>
      </c>
      <c r="AZ5361" s="2" t="s">
        <v>82</v>
      </c>
      <c r="BA5361" s="2">
        <v>41</v>
      </c>
      <c r="BB5361" s="2" t="s">
        <v>82</v>
      </c>
      <c r="BC5361" s="2">
        <v>41</v>
      </c>
      <c r="BD5361" s="2" t="s">
        <v>82</v>
      </c>
      <c r="BE5361" s="2">
        <v>13</v>
      </c>
      <c r="BF5361" s="2" t="s">
        <v>108</v>
      </c>
      <c r="BG5361" s="2" t="s">
        <v>16373</v>
      </c>
      <c r="BH5361" s="2"/>
      <c r="BI5361" s="2"/>
      <c r="BJ5361" s="2">
        <v>13</v>
      </c>
      <c r="BK5361" s="2" t="s">
        <v>91</v>
      </c>
      <c r="BL5361" s="2" t="s">
        <v>564</v>
      </c>
      <c r="BM5361" s="2">
        <v>241</v>
      </c>
      <c r="BN5361" s="2" t="s">
        <v>82</v>
      </c>
      <c r="BO5361" s="2"/>
      <c r="BP5361" s="2">
        <v>13</v>
      </c>
      <c r="BQ5361" s="2" t="s">
        <v>91</v>
      </c>
      <c r="BR5361" s="2" t="s">
        <v>492</v>
      </c>
      <c r="BS5361" s="3">
        <v>40540</v>
      </c>
      <c r="BT5361" s="4">
        <v>0.89046296296296301</v>
      </c>
    </row>
    <row r="5362" spans="1:72" x14ac:dyDescent="0.25">
      <c r="A5362" s="2">
        <v>8295</v>
      </c>
      <c r="B5362" s="2">
        <v>2010</v>
      </c>
      <c r="C5362" s="2" t="s">
        <v>171</v>
      </c>
      <c r="D5362" s="2" t="s">
        <v>73</v>
      </c>
      <c r="E5362" s="2"/>
      <c r="F5362" s="2">
        <v>121</v>
      </c>
      <c r="G5362" s="2" t="s">
        <v>2501</v>
      </c>
      <c r="H5362" s="2">
        <v>38</v>
      </c>
      <c r="I5362" s="2" t="s">
        <v>1272</v>
      </c>
      <c r="J5362" s="2">
        <v>135</v>
      </c>
      <c r="K5362" s="2" t="s">
        <v>2502</v>
      </c>
      <c r="L5362" s="2" t="s">
        <v>2503</v>
      </c>
      <c r="M5362" s="3">
        <v>40540</v>
      </c>
      <c r="N5362" s="2" t="s">
        <v>16374</v>
      </c>
      <c r="O5362" s="2" t="s">
        <v>16375</v>
      </c>
      <c r="P5362" s="2" t="s">
        <v>16376</v>
      </c>
      <c r="Q5362" s="2" t="str">
        <f>"009/10"</f>
        <v>009/10</v>
      </c>
      <c r="R5362" s="2" t="s">
        <v>16375</v>
      </c>
      <c r="S5362" s="2" t="s">
        <v>16375</v>
      </c>
      <c r="T5362" s="2">
        <v>1</v>
      </c>
      <c r="U5362" s="2" t="s">
        <v>79</v>
      </c>
      <c r="V5362" s="2">
        <v>1</v>
      </c>
      <c r="W5362" s="2" t="s">
        <v>80</v>
      </c>
      <c r="X5362" s="2">
        <v>3</v>
      </c>
      <c r="Y5362" s="2" t="s">
        <v>698</v>
      </c>
      <c r="Z5362" s="2">
        <v>2</v>
      </c>
      <c r="AA5362" s="2" t="s">
        <v>2148</v>
      </c>
      <c r="AB5362" s="2">
        <v>1</v>
      </c>
      <c r="AC5362" s="2" t="s">
        <v>178</v>
      </c>
      <c r="AD5362" s="3">
        <v>40540</v>
      </c>
      <c r="AE5362" s="4">
        <v>0.46875</v>
      </c>
      <c r="AF5362" s="3">
        <v>40540</v>
      </c>
      <c r="AG5362" s="4">
        <v>0.59722222222222221</v>
      </c>
      <c r="AH5362" s="2">
        <v>6</v>
      </c>
      <c r="AI5362" s="2" t="s">
        <v>197</v>
      </c>
      <c r="AJ5362" s="2">
        <v>58</v>
      </c>
      <c r="AK5362" s="2" t="s">
        <v>406</v>
      </c>
      <c r="AL5362" s="2">
        <v>25</v>
      </c>
      <c r="AM5362" s="2" t="s">
        <v>3073</v>
      </c>
      <c r="AN5362" s="2" t="s">
        <v>82</v>
      </c>
      <c r="AO5362" s="2" t="s">
        <v>179</v>
      </c>
      <c r="AP5362" s="2">
        <v>11</v>
      </c>
      <c r="AQ5362" s="2" t="s">
        <v>82</v>
      </c>
      <c r="AR5362" s="2" t="s">
        <v>82</v>
      </c>
      <c r="AS5362" s="2" t="s">
        <v>82</v>
      </c>
      <c r="AT5362" s="2" t="s">
        <v>16377</v>
      </c>
      <c r="AU5362" s="2"/>
      <c r="AV5362" s="2"/>
      <c r="AW5362" s="2"/>
      <c r="AX5362" s="2"/>
      <c r="AY5362" s="2">
        <v>41</v>
      </c>
      <c r="AZ5362" s="2" t="s">
        <v>82</v>
      </c>
      <c r="BA5362" s="2">
        <v>41</v>
      </c>
      <c r="BB5362" s="2" t="s">
        <v>82</v>
      </c>
      <c r="BC5362" s="2">
        <v>41</v>
      </c>
      <c r="BD5362" s="2" t="s">
        <v>82</v>
      </c>
      <c r="BE5362" s="2">
        <v>41</v>
      </c>
      <c r="BF5362" s="2" t="s">
        <v>82</v>
      </c>
      <c r="BG5362" s="2" t="s">
        <v>82</v>
      </c>
      <c r="BH5362" s="2"/>
      <c r="BI5362" s="2"/>
      <c r="BJ5362" s="2">
        <v>241</v>
      </c>
      <c r="BK5362" s="2" t="s">
        <v>82</v>
      </c>
      <c r="BL5362" s="2" t="s">
        <v>82</v>
      </c>
      <c r="BM5362" s="2">
        <v>241</v>
      </c>
      <c r="BN5362" s="2" t="s">
        <v>82</v>
      </c>
      <c r="BO5362" s="2"/>
      <c r="BP5362" s="2">
        <v>241</v>
      </c>
      <c r="BQ5362" s="2" t="s">
        <v>82</v>
      </c>
      <c r="BR5362" s="2" t="s">
        <v>82</v>
      </c>
      <c r="BS5362" s="3">
        <v>40540</v>
      </c>
      <c r="BT5362" s="4">
        <v>0.99064814814814817</v>
      </c>
    </row>
    <row r="5363" spans="1:72" x14ac:dyDescent="0.25">
      <c r="A5363" s="2">
        <v>8296</v>
      </c>
      <c r="B5363" s="2">
        <v>2010</v>
      </c>
      <c r="C5363" s="2" t="s">
        <v>385</v>
      </c>
      <c r="D5363" s="2" t="s">
        <v>122</v>
      </c>
      <c r="E5363" s="2" t="s">
        <v>16378</v>
      </c>
      <c r="F5363" s="2">
        <v>338</v>
      </c>
      <c r="G5363" s="2" t="s">
        <v>4459</v>
      </c>
      <c r="H5363" s="2">
        <v>3</v>
      </c>
      <c r="I5363" s="2" t="s">
        <v>315</v>
      </c>
      <c r="J5363" s="2">
        <v>309</v>
      </c>
      <c r="K5363" s="2" t="s">
        <v>268</v>
      </c>
      <c r="L5363" s="2" t="s">
        <v>269</v>
      </c>
      <c r="M5363" s="3">
        <v>40541</v>
      </c>
      <c r="N5363" s="2" t="s">
        <v>11985</v>
      </c>
      <c r="O5363" s="2" t="s">
        <v>16317</v>
      </c>
      <c r="P5363" s="2" t="s">
        <v>16379</v>
      </c>
      <c r="Q5363" s="2" t="str">
        <f>"0029/2010"</f>
        <v>0029/2010</v>
      </c>
      <c r="R5363" s="2" t="s">
        <v>16317</v>
      </c>
      <c r="S5363" s="2"/>
      <c r="T5363" s="2">
        <v>1</v>
      </c>
      <c r="U5363" s="2" t="s">
        <v>79</v>
      </c>
      <c r="V5363" s="2">
        <v>1</v>
      </c>
      <c r="W5363" s="2" t="s">
        <v>80</v>
      </c>
      <c r="X5363" s="2">
        <v>11</v>
      </c>
      <c r="Y5363" s="2" t="s">
        <v>1920</v>
      </c>
      <c r="Z5363" s="2">
        <v>1</v>
      </c>
      <c r="AA5363" s="2" t="s">
        <v>82</v>
      </c>
      <c r="AB5363" s="2">
        <v>9</v>
      </c>
      <c r="AC5363" s="2" t="s">
        <v>124</v>
      </c>
      <c r="AD5363" s="3">
        <v>40540</v>
      </c>
      <c r="AE5363" s="4">
        <v>0.31944444444444448</v>
      </c>
      <c r="AF5363" s="3">
        <v>40540</v>
      </c>
      <c r="AG5363" s="2"/>
      <c r="AH5363" s="2">
        <v>5</v>
      </c>
      <c r="AI5363" s="2" t="s">
        <v>274</v>
      </c>
      <c r="AJ5363" s="2">
        <v>35</v>
      </c>
      <c r="AK5363" s="2" t="s">
        <v>275</v>
      </c>
      <c r="AL5363" s="2">
        <v>23</v>
      </c>
      <c r="AM5363" s="2" t="s">
        <v>251</v>
      </c>
      <c r="AN5363" s="2" t="s">
        <v>16380</v>
      </c>
      <c r="AO5363" s="2" t="s">
        <v>284</v>
      </c>
      <c r="AP5363" s="2">
        <v>11</v>
      </c>
      <c r="AQ5363" s="2" t="s">
        <v>82</v>
      </c>
      <c r="AR5363" s="2"/>
      <c r="AS5363" s="2"/>
      <c r="AT5363" s="2" t="s">
        <v>16381</v>
      </c>
      <c r="AU5363" s="2"/>
      <c r="AV5363" s="2">
        <v>2</v>
      </c>
      <c r="AW5363" s="2"/>
      <c r="AX5363" s="2"/>
      <c r="AY5363" s="2">
        <v>41</v>
      </c>
      <c r="AZ5363" s="2" t="s">
        <v>82</v>
      </c>
      <c r="BA5363" s="2">
        <v>41</v>
      </c>
      <c r="BB5363" s="2" t="s">
        <v>82</v>
      </c>
      <c r="BC5363" s="2">
        <v>41</v>
      </c>
      <c r="BD5363" s="2" t="s">
        <v>82</v>
      </c>
      <c r="BE5363" s="2">
        <v>41</v>
      </c>
      <c r="BF5363" s="2" t="s">
        <v>82</v>
      </c>
      <c r="BG5363" s="2"/>
      <c r="BH5363" s="2"/>
      <c r="BI5363" s="2"/>
      <c r="BJ5363" s="2">
        <v>241</v>
      </c>
      <c r="BK5363" s="2" t="s">
        <v>82</v>
      </c>
      <c r="BL5363" s="2"/>
      <c r="BM5363" s="2">
        <v>241</v>
      </c>
      <c r="BN5363" s="2" t="s">
        <v>82</v>
      </c>
      <c r="BO5363" s="2"/>
      <c r="BP5363" s="2">
        <v>241</v>
      </c>
      <c r="BQ5363" s="2" t="s">
        <v>82</v>
      </c>
      <c r="BR5363" s="2"/>
      <c r="BS5363" s="3">
        <v>40541</v>
      </c>
      <c r="BT5363" s="4">
        <v>1.3796296296296298E-2</v>
      </c>
    </row>
    <row r="5364" spans="1:72" x14ac:dyDescent="0.25">
      <c r="A5364" s="2">
        <v>8297</v>
      </c>
      <c r="B5364" s="2">
        <v>2010</v>
      </c>
      <c r="C5364" s="2" t="s">
        <v>72</v>
      </c>
      <c r="D5364" s="2" t="s">
        <v>122</v>
      </c>
      <c r="E5364" s="2" t="s">
        <v>16382</v>
      </c>
      <c r="F5364" s="2">
        <v>3</v>
      </c>
      <c r="G5364" s="2" t="s">
        <v>1041</v>
      </c>
      <c r="H5364" s="2">
        <v>149</v>
      </c>
      <c r="I5364" s="2" t="s">
        <v>14672</v>
      </c>
      <c r="J5364" s="2">
        <v>368</v>
      </c>
      <c r="K5364" s="2" t="s">
        <v>1042</v>
      </c>
      <c r="L5364" s="2" t="s">
        <v>1043</v>
      </c>
      <c r="M5364" s="3">
        <v>40541</v>
      </c>
      <c r="N5364" s="2"/>
      <c r="O5364" s="2"/>
      <c r="P5364" s="2"/>
      <c r="Q5364" s="2" t="str">
        <f>"688-E/10"</f>
        <v>688-E/10</v>
      </c>
      <c r="R5364" s="2"/>
      <c r="S5364" s="2" t="s">
        <v>116</v>
      </c>
      <c r="T5364" s="2">
        <v>1</v>
      </c>
      <c r="U5364" s="2" t="s">
        <v>79</v>
      </c>
      <c r="V5364" s="2">
        <v>1</v>
      </c>
      <c r="W5364" s="2" t="s">
        <v>80</v>
      </c>
      <c r="X5364" s="2">
        <v>1</v>
      </c>
      <c r="Y5364" s="2" t="s">
        <v>81</v>
      </c>
      <c r="Z5364" s="2">
        <v>1</v>
      </c>
      <c r="AA5364" s="2" t="s">
        <v>82</v>
      </c>
      <c r="AB5364" s="2">
        <v>6</v>
      </c>
      <c r="AC5364" s="2" t="s">
        <v>83</v>
      </c>
      <c r="AD5364" s="3">
        <v>40539</v>
      </c>
      <c r="AE5364" s="4">
        <v>0.69444444444444453</v>
      </c>
      <c r="AF5364" s="3">
        <v>40539</v>
      </c>
      <c r="AG5364" s="4">
        <v>0.77083333333333337</v>
      </c>
      <c r="AH5364" s="2">
        <v>2</v>
      </c>
      <c r="AI5364" s="2" t="s">
        <v>84</v>
      </c>
      <c r="AJ5364" s="2">
        <v>9</v>
      </c>
      <c r="AK5364" s="2" t="s">
        <v>103</v>
      </c>
      <c r="AL5364" s="2">
        <v>29</v>
      </c>
      <c r="AM5364" s="2" t="s">
        <v>5416</v>
      </c>
      <c r="AN5364" s="2"/>
      <c r="AO5364" s="2" t="s">
        <v>590</v>
      </c>
      <c r="AP5364" s="2">
        <v>11</v>
      </c>
      <c r="AQ5364" s="2" t="s">
        <v>82</v>
      </c>
      <c r="AR5364" s="2"/>
      <c r="AS5364" s="2"/>
      <c r="AT5364" s="2" t="s">
        <v>16383</v>
      </c>
      <c r="AU5364" s="2"/>
      <c r="AV5364" s="2"/>
      <c r="AW5364" s="2">
        <v>4</v>
      </c>
      <c r="AX5364" s="2"/>
      <c r="AY5364" s="2">
        <v>41</v>
      </c>
      <c r="AZ5364" s="2" t="s">
        <v>82</v>
      </c>
      <c r="BA5364" s="2">
        <v>41</v>
      </c>
      <c r="BB5364" s="2" t="s">
        <v>82</v>
      </c>
      <c r="BC5364" s="2">
        <v>41</v>
      </c>
      <c r="BD5364" s="2" t="s">
        <v>82</v>
      </c>
      <c r="BE5364" s="2">
        <v>41</v>
      </c>
      <c r="BF5364" s="2" t="s">
        <v>82</v>
      </c>
      <c r="BG5364" s="2"/>
      <c r="BH5364" s="2"/>
      <c r="BI5364" s="2"/>
      <c r="BJ5364" s="2">
        <v>241</v>
      </c>
      <c r="BK5364" s="2" t="s">
        <v>82</v>
      </c>
      <c r="BL5364" s="2"/>
      <c r="BM5364" s="2">
        <v>241</v>
      </c>
      <c r="BN5364" s="2" t="s">
        <v>82</v>
      </c>
      <c r="BO5364" s="2"/>
      <c r="BP5364" s="2">
        <v>241</v>
      </c>
      <c r="BQ5364" s="2" t="s">
        <v>82</v>
      </c>
      <c r="BR5364" s="2"/>
      <c r="BS5364" s="3">
        <v>40541</v>
      </c>
      <c r="BT5364" s="4">
        <v>4.7395833333333331E-2</v>
      </c>
    </row>
    <row r="5365" spans="1:72" x14ac:dyDescent="0.25">
      <c r="A5365" s="2">
        <v>8297</v>
      </c>
      <c r="B5365" s="2">
        <v>2010</v>
      </c>
      <c r="C5365" s="2" t="s">
        <v>385</v>
      </c>
      <c r="D5365" s="2" t="s">
        <v>122</v>
      </c>
      <c r="E5365" s="2" t="s">
        <v>16382</v>
      </c>
      <c r="F5365" s="2">
        <v>3</v>
      </c>
      <c r="G5365" s="2" t="s">
        <v>1041</v>
      </c>
      <c r="H5365" s="2">
        <v>149</v>
      </c>
      <c r="I5365" s="2" t="s">
        <v>14672</v>
      </c>
      <c r="J5365" s="2">
        <v>368</v>
      </c>
      <c r="K5365" s="2" t="s">
        <v>1042</v>
      </c>
      <c r="L5365" s="2" t="s">
        <v>1043</v>
      </c>
      <c r="M5365" s="3">
        <v>40541</v>
      </c>
      <c r="N5365" s="2"/>
      <c r="O5365" s="2"/>
      <c r="P5365" s="2"/>
      <c r="Q5365" s="2" t="str">
        <f>"688-E/10"</f>
        <v>688-E/10</v>
      </c>
      <c r="R5365" s="2"/>
      <c r="S5365" s="2" t="s">
        <v>116</v>
      </c>
      <c r="T5365" s="2">
        <v>1</v>
      </c>
      <c r="U5365" s="2" t="s">
        <v>79</v>
      </c>
      <c r="V5365" s="2">
        <v>1</v>
      </c>
      <c r="W5365" s="2" t="s">
        <v>80</v>
      </c>
      <c r="X5365" s="2">
        <v>1</v>
      </c>
      <c r="Y5365" s="2" t="s">
        <v>81</v>
      </c>
      <c r="Z5365" s="2">
        <v>1</v>
      </c>
      <c r="AA5365" s="2" t="s">
        <v>82</v>
      </c>
      <c r="AB5365" s="2">
        <v>9</v>
      </c>
      <c r="AC5365" s="2" t="s">
        <v>124</v>
      </c>
      <c r="AD5365" s="3">
        <v>40539</v>
      </c>
      <c r="AE5365" s="4">
        <v>0.69444444444444453</v>
      </c>
      <c r="AF5365" s="3">
        <v>40539</v>
      </c>
      <c r="AG5365" s="4">
        <v>0.77083333333333337</v>
      </c>
      <c r="AH5365" s="2">
        <v>2</v>
      </c>
      <c r="AI5365" s="2" t="s">
        <v>84</v>
      </c>
      <c r="AJ5365" s="2">
        <v>9</v>
      </c>
      <c r="AK5365" s="2" t="s">
        <v>103</v>
      </c>
      <c r="AL5365" s="2">
        <v>29</v>
      </c>
      <c r="AM5365" s="2" t="s">
        <v>5416</v>
      </c>
      <c r="AN5365" s="2"/>
      <c r="AO5365" s="2" t="s">
        <v>590</v>
      </c>
      <c r="AP5365" s="2">
        <v>11</v>
      </c>
      <c r="AQ5365" s="2" t="s">
        <v>82</v>
      </c>
      <c r="AR5365" s="2"/>
      <c r="AS5365" s="2"/>
      <c r="AT5365" s="2" t="s">
        <v>16383</v>
      </c>
      <c r="AU5365" s="2"/>
      <c r="AV5365" s="2"/>
      <c r="AW5365" s="2">
        <v>4</v>
      </c>
      <c r="AX5365" s="2"/>
      <c r="AY5365" s="2">
        <v>41</v>
      </c>
      <c r="AZ5365" s="2" t="s">
        <v>82</v>
      </c>
      <c r="BA5365" s="2">
        <v>41</v>
      </c>
      <c r="BB5365" s="2" t="s">
        <v>82</v>
      </c>
      <c r="BC5365" s="2">
        <v>41</v>
      </c>
      <c r="BD5365" s="2" t="s">
        <v>82</v>
      </c>
      <c r="BE5365" s="2">
        <v>41</v>
      </c>
      <c r="BF5365" s="2" t="s">
        <v>82</v>
      </c>
      <c r="BG5365" s="2"/>
      <c r="BH5365" s="2"/>
      <c r="BI5365" s="2"/>
      <c r="BJ5365" s="2">
        <v>241</v>
      </c>
      <c r="BK5365" s="2" t="s">
        <v>82</v>
      </c>
      <c r="BL5365" s="2"/>
      <c r="BM5365" s="2">
        <v>241</v>
      </c>
      <c r="BN5365" s="2" t="s">
        <v>82</v>
      </c>
      <c r="BO5365" s="2"/>
      <c r="BP5365" s="2">
        <v>241</v>
      </c>
      <c r="BQ5365" s="2" t="s">
        <v>82</v>
      </c>
      <c r="BR5365" s="2"/>
      <c r="BS5365" s="3">
        <v>40541</v>
      </c>
      <c r="BT5365" s="4">
        <v>4.7395833333333331E-2</v>
      </c>
    </row>
    <row r="5366" spans="1:72" x14ac:dyDescent="0.25">
      <c r="A5366" s="2">
        <v>8298</v>
      </c>
      <c r="B5366" s="2">
        <v>2010</v>
      </c>
      <c r="C5366" s="2" t="s">
        <v>1017</v>
      </c>
      <c r="D5366" s="2" t="s">
        <v>73</v>
      </c>
      <c r="E5366" s="2"/>
      <c r="F5366" s="2">
        <v>3</v>
      </c>
      <c r="G5366" s="2" t="s">
        <v>1041</v>
      </c>
      <c r="H5366" s="2">
        <v>149</v>
      </c>
      <c r="I5366" s="2" t="s">
        <v>14672</v>
      </c>
      <c r="J5366" s="2">
        <v>368</v>
      </c>
      <c r="K5366" s="2" t="s">
        <v>1042</v>
      </c>
      <c r="L5366" s="2" t="s">
        <v>1043</v>
      </c>
      <c r="M5366" s="3">
        <v>40541</v>
      </c>
      <c r="N5366" s="2"/>
      <c r="O5366" s="2"/>
      <c r="P5366" s="2"/>
      <c r="Q5366" s="2" t="str">
        <f>"690-E/10"</f>
        <v>690-E/10</v>
      </c>
      <c r="R5366" s="2"/>
      <c r="S5366" s="2" t="s">
        <v>5485</v>
      </c>
      <c r="T5366" s="2">
        <v>1</v>
      </c>
      <c r="U5366" s="2" t="s">
        <v>79</v>
      </c>
      <c r="V5366" s="2">
        <v>1</v>
      </c>
      <c r="W5366" s="2" t="s">
        <v>80</v>
      </c>
      <c r="X5366" s="2">
        <v>12</v>
      </c>
      <c r="Y5366" s="2" t="s">
        <v>148</v>
      </c>
      <c r="Z5366" s="2">
        <v>1</v>
      </c>
      <c r="AA5366" s="2" t="s">
        <v>82</v>
      </c>
      <c r="AB5366" s="2">
        <v>7</v>
      </c>
      <c r="AC5366" s="2" t="s">
        <v>1023</v>
      </c>
      <c r="AD5366" s="3">
        <v>40540</v>
      </c>
      <c r="AE5366" s="2"/>
      <c r="AF5366" s="3">
        <v>40540</v>
      </c>
      <c r="AG5366" s="4">
        <v>0.875</v>
      </c>
      <c r="AH5366" s="2">
        <v>2</v>
      </c>
      <c r="AI5366" s="2" t="s">
        <v>84</v>
      </c>
      <c r="AJ5366" s="2">
        <v>9</v>
      </c>
      <c r="AK5366" s="2" t="s">
        <v>103</v>
      </c>
      <c r="AL5366" s="2">
        <v>24</v>
      </c>
      <c r="AM5366" s="2" t="s">
        <v>1540</v>
      </c>
      <c r="AN5366" s="2" t="s">
        <v>16384</v>
      </c>
      <c r="AO5366" s="2" t="s">
        <v>16385</v>
      </c>
      <c r="AP5366" s="2">
        <v>11</v>
      </c>
      <c r="AQ5366" s="2" t="s">
        <v>82</v>
      </c>
      <c r="AR5366" s="2"/>
      <c r="AS5366" s="2"/>
      <c r="AT5366" s="2" t="s">
        <v>16386</v>
      </c>
      <c r="AU5366" s="2"/>
      <c r="AV5366" s="2"/>
      <c r="AW5366" s="2"/>
      <c r="AX5366" s="2"/>
      <c r="AY5366" s="2">
        <v>41</v>
      </c>
      <c r="AZ5366" s="2" t="s">
        <v>82</v>
      </c>
      <c r="BA5366" s="2">
        <v>41</v>
      </c>
      <c r="BB5366" s="2" t="s">
        <v>82</v>
      </c>
      <c r="BC5366" s="2">
        <v>41</v>
      </c>
      <c r="BD5366" s="2" t="s">
        <v>82</v>
      </c>
      <c r="BE5366" s="2">
        <v>41</v>
      </c>
      <c r="BF5366" s="2" t="s">
        <v>82</v>
      </c>
      <c r="BG5366" s="2"/>
      <c r="BH5366" s="2"/>
      <c r="BI5366" s="2"/>
      <c r="BJ5366" s="2">
        <v>241</v>
      </c>
      <c r="BK5366" s="2" t="s">
        <v>82</v>
      </c>
      <c r="BL5366" s="2"/>
      <c r="BM5366" s="2">
        <v>241</v>
      </c>
      <c r="BN5366" s="2" t="s">
        <v>82</v>
      </c>
      <c r="BO5366" s="2"/>
      <c r="BP5366" s="2">
        <v>241</v>
      </c>
      <c r="BQ5366" s="2" t="s">
        <v>82</v>
      </c>
      <c r="BR5366" s="2"/>
      <c r="BS5366" s="3">
        <v>40541</v>
      </c>
      <c r="BT5366" s="4">
        <v>0.18743055555555554</v>
      </c>
    </row>
    <row r="5367" spans="1:72" x14ac:dyDescent="0.25">
      <c r="A5367" s="2">
        <v>8303</v>
      </c>
      <c r="B5367" s="2">
        <v>2010</v>
      </c>
      <c r="C5367" s="2" t="s">
        <v>385</v>
      </c>
      <c r="D5367" s="2" t="s">
        <v>122</v>
      </c>
      <c r="E5367" s="2" t="s">
        <v>16387</v>
      </c>
      <c r="F5367" s="2">
        <v>338</v>
      </c>
      <c r="G5367" s="2" t="s">
        <v>4459</v>
      </c>
      <c r="H5367" s="2">
        <v>3</v>
      </c>
      <c r="I5367" s="2" t="s">
        <v>315</v>
      </c>
      <c r="J5367" s="2">
        <v>309</v>
      </c>
      <c r="K5367" s="2" t="s">
        <v>268</v>
      </c>
      <c r="L5367" s="2" t="s">
        <v>269</v>
      </c>
      <c r="M5367" s="3">
        <v>40541</v>
      </c>
      <c r="N5367" s="2" t="s">
        <v>11985</v>
      </c>
      <c r="O5367" s="2" t="s">
        <v>16317</v>
      </c>
      <c r="P5367" s="2" t="s">
        <v>16379</v>
      </c>
      <c r="Q5367" s="2" t="str">
        <f>"0029/2010"</f>
        <v>0029/2010</v>
      </c>
      <c r="R5367" s="2"/>
      <c r="S5367" s="2" t="s">
        <v>16317</v>
      </c>
      <c r="T5367" s="2">
        <v>1</v>
      </c>
      <c r="U5367" s="2" t="s">
        <v>79</v>
      </c>
      <c r="V5367" s="2">
        <v>1</v>
      </c>
      <c r="W5367" s="2" t="s">
        <v>80</v>
      </c>
      <c r="X5367" s="2">
        <v>11</v>
      </c>
      <c r="Y5367" s="2" t="s">
        <v>1920</v>
      </c>
      <c r="Z5367" s="2">
        <v>1</v>
      </c>
      <c r="AA5367" s="2" t="s">
        <v>82</v>
      </c>
      <c r="AB5367" s="2">
        <v>9</v>
      </c>
      <c r="AC5367" s="2" t="s">
        <v>124</v>
      </c>
      <c r="AD5367" s="3">
        <v>40541</v>
      </c>
      <c r="AE5367" s="4">
        <v>0.47222222222222227</v>
      </c>
      <c r="AF5367" s="3">
        <v>40541</v>
      </c>
      <c r="AG5367" s="2"/>
      <c r="AH5367" s="2">
        <v>5</v>
      </c>
      <c r="AI5367" s="2" t="s">
        <v>274</v>
      </c>
      <c r="AJ5367" s="2">
        <v>35</v>
      </c>
      <c r="AK5367" s="2" t="s">
        <v>275</v>
      </c>
      <c r="AL5367" s="2">
        <v>23</v>
      </c>
      <c r="AM5367" s="2" t="s">
        <v>251</v>
      </c>
      <c r="AN5367" s="2" t="s">
        <v>16380</v>
      </c>
      <c r="AO5367" s="2" t="s">
        <v>284</v>
      </c>
      <c r="AP5367" s="2">
        <v>11</v>
      </c>
      <c r="AQ5367" s="2" t="s">
        <v>82</v>
      </c>
      <c r="AR5367" s="2"/>
      <c r="AS5367" s="2"/>
      <c r="AT5367" s="2" t="s">
        <v>16388</v>
      </c>
      <c r="AU5367" s="2"/>
      <c r="AV5367" s="2"/>
      <c r="AW5367" s="2"/>
      <c r="AX5367" s="2"/>
      <c r="AY5367" s="2">
        <v>41</v>
      </c>
      <c r="AZ5367" s="2" t="s">
        <v>82</v>
      </c>
      <c r="BA5367" s="2">
        <v>41</v>
      </c>
      <c r="BB5367" s="2" t="s">
        <v>82</v>
      </c>
      <c r="BC5367" s="2">
        <v>41</v>
      </c>
      <c r="BD5367" s="2" t="s">
        <v>82</v>
      </c>
      <c r="BE5367" s="2">
        <v>41</v>
      </c>
      <c r="BF5367" s="2" t="s">
        <v>82</v>
      </c>
      <c r="BG5367" s="2"/>
      <c r="BH5367" s="2"/>
      <c r="BI5367" s="2"/>
      <c r="BJ5367" s="2">
        <v>241</v>
      </c>
      <c r="BK5367" s="2" t="s">
        <v>82</v>
      </c>
      <c r="BL5367" s="2"/>
      <c r="BM5367" s="2">
        <v>241</v>
      </c>
      <c r="BN5367" s="2" t="s">
        <v>82</v>
      </c>
      <c r="BO5367" s="2"/>
      <c r="BP5367" s="2">
        <v>241</v>
      </c>
      <c r="BQ5367" s="2" t="s">
        <v>82</v>
      </c>
      <c r="BR5367" s="2"/>
      <c r="BS5367" s="3">
        <v>40541</v>
      </c>
      <c r="BT5367" s="4">
        <v>0.62069444444444444</v>
      </c>
    </row>
    <row r="5368" spans="1:72" x14ac:dyDescent="0.25">
      <c r="A5368" s="2">
        <v>8306</v>
      </c>
      <c r="B5368" s="2">
        <v>2010</v>
      </c>
      <c r="C5368" s="2" t="s">
        <v>171</v>
      </c>
      <c r="D5368" s="2" t="s">
        <v>73</v>
      </c>
      <c r="E5368" s="2"/>
      <c r="F5368" s="2">
        <v>114</v>
      </c>
      <c r="G5368" s="2" t="s">
        <v>2817</v>
      </c>
      <c r="H5368" s="2">
        <v>99</v>
      </c>
      <c r="I5368" s="2" t="s">
        <v>6285</v>
      </c>
      <c r="J5368" s="2">
        <v>133</v>
      </c>
      <c r="K5368" s="2" t="s">
        <v>3844</v>
      </c>
      <c r="L5368" s="2" t="s">
        <v>3845</v>
      </c>
      <c r="M5368" s="3">
        <v>40541</v>
      </c>
      <c r="N5368" s="2" t="s">
        <v>12128</v>
      </c>
      <c r="O5368" s="2" t="s">
        <v>16389</v>
      </c>
      <c r="P5368" s="2" t="s">
        <v>15688</v>
      </c>
      <c r="Q5368" s="2" t="str">
        <f>"0034/2010"</f>
        <v>0034/2010</v>
      </c>
      <c r="R5368" s="2"/>
      <c r="S5368" s="2"/>
      <c r="T5368" s="2">
        <v>1</v>
      </c>
      <c r="U5368" s="2" t="s">
        <v>79</v>
      </c>
      <c r="V5368" s="2">
        <v>3</v>
      </c>
      <c r="W5368" s="2" t="s">
        <v>225</v>
      </c>
      <c r="X5368" s="2">
        <v>6</v>
      </c>
      <c r="Y5368" s="2" t="s">
        <v>249</v>
      </c>
      <c r="Z5368" s="2">
        <v>1</v>
      </c>
      <c r="AA5368" s="2" t="s">
        <v>82</v>
      </c>
      <c r="AB5368" s="2">
        <v>9</v>
      </c>
      <c r="AC5368" s="2" t="s">
        <v>124</v>
      </c>
      <c r="AD5368" s="3">
        <v>40528</v>
      </c>
      <c r="AE5368" s="4">
        <v>0.6645833333333333</v>
      </c>
      <c r="AF5368" s="3">
        <v>40528</v>
      </c>
      <c r="AG5368" s="4">
        <v>0.6645833333333333</v>
      </c>
      <c r="AH5368" s="2">
        <v>5</v>
      </c>
      <c r="AI5368" s="2" t="s">
        <v>274</v>
      </c>
      <c r="AJ5368" s="2">
        <v>35</v>
      </c>
      <c r="AK5368" s="2" t="s">
        <v>275</v>
      </c>
      <c r="AL5368" s="2">
        <v>23</v>
      </c>
      <c r="AM5368" s="2" t="s">
        <v>251</v>
      </c>
      <c r="AN5368" s="2"/>
      <c r="AO5368" s="2" t="s">
        <v>16390</v>
      </c>
      <c r="AP5368" s="2">
        <v>11</v>
      </c>
      <c r="AQ5368" s="2" t="s">
        <v>82</v>
      </c>
      <c r="AR5368" s="2"/>
      <c r="AS5368" s="2"/>
      <c r="AT5368" s="2" t="s">
        <v>16391</v>
      </c>
      <c r="AU5368" s="2"/>
      <c r="AV5368" s="2"/>
      <c r="AW5368" s="2"/>
      <c r="AX5368" s="2"/>
      <c r="AY5368" s="2">
        <v>41</v>
      </c>
      <c r="AZ5368" s="2" t="s">
        <v>82</v>
      </c>
      <c r="BA5368" s="2">
        <v>41</v>
      </c>
      <c r="BB5368" s="2" t="s">
        <v>82</v>
      </c>
      <c r="BC5368" s="2">
        <v>41</v>
      </c>
      <c r="BD5368" s="2" t="s">
        <v>82</v>
      </c>
      <c r="BE5368" s="2">
        <v>41</v>
      </c>
      <c r="BF5368" s="2" t="s">
        <v>82</v>
      </c>
      <c r="BG5368" s="2"/>
      <c r="BH5368" s="2"/>
      <c r="BI5368" s="2"/>
      <c r="BJ5368" s="2">
        <v>241</v>
      </c>
      <c r="BK5368" s="2" t="s">
        <v>82</v>
      </c>
      <c r="BL5368" s="2"/>
      <c r="BM5368" s="2">
        <v>241</v>
      </c>
      <c r="BN5368" s="2" t="s">
        <v>82</v>
      </c>
      <c r="BO5368" s="2"/>
      <c r="BP5368" s="2">
        <v>241</v>
      </c>
      <c r="BQ5368" s="2" t="s">
        <v>82</v>
      </c>
      <c r="BR5368" s="2"/>
      <c r="BS5368" s="3">
        <v>40541</v>
      </c>
      <c r="BT5368" s="4">
        <v>0.6290972222222222</v>
      </c>
    </row>
    <row r="5369" spans="1:72" x14ac:dyDescent="0.25">
      <c r="A5369" s="2">
        <v>8308</v>
      </c>
      <c r="B5369" s="2">
        <v>2010</v>
      </c>
      <c r="C5369" s="2" t="s">
        <v>1559</v>
      </c>
      <c r="D5369" s="2" t="s">
        <v>73</v>
      </c>
      <c r="E5369" s="2"/>
      <c r="F5369" s="2">
        <v>37</v>
      </c>
      <c r="G5369" s="2" t="s">
        <v>1790</v>
      </c>
      <c r="H5369" s="2">
        <v>1</v>
      </c>
      <c r="I5369" s="2" t="s">
        <v>82</v>
      </c>
      <c r="J5369" s="2">
        <v>666</v>
      </c>
      <c r="K5369" s="2" t="s">
        <v>12533</v>
      </c>
      <c r="L5369" s="2" t="s">
        <v>12534</v>
      </c>
      <c r="M5369" s="3">
        <v>40541</v>
      </c>
      <c r="N5369" s="2" t="s">
        <v>82</v>
      </c>
      <c r="O5369" s="2" t="s">
        <v>13057</v>
      </c>
      <c r="P5369" s="2">
        <v>217347</v>
      </c>
      <c r="Q5369" s="2" t="str">
        <f>""</f>
        <v/>
      </c>
      <c r="R5369" s="2"/>
      <c r="S5369" s="2"/>
      <c r="T5369" s="2">
        <v>1</v>
      </c>
      <c r="U5369" s="2" t="s">
        <v>79</v>
      </c>
      <c r="V5369" s="2">
        <v>3</v>
      </c>
      <c r="W5369" s="2" t="s">
        <v>225</v>
      </c>
      <c r="X5369" s="2">
        <v>6</v>
      </c>
      <c r="Y5369" s="2" t="s">
        <v>249</v>
      </c>
      <c r="Z5369" s="2">
        <v>1</v>
      </c>
      <c r="AA5369" s="2" t="s">
        <v>82</v>
      </c>
      <c r="AB5369" s="2">
        <v>9</v>
      </c>
      <c r="AC5369" s="2" t="s">
        <v>124</v>
      </c>
      <c r="AD5369" s="3">
        <v>40541</v>
      </c>
      <c r="AE5369" s="2"/>
      <c r="AF5369" s="3">
        <v>40541</v>
      </c>
      <c r="AG5369" s="2"/>
      <c r="AH5369" s="2">
        <v>2</v>
      </c>
      <c r="AI5369" s="2" t="s">
        <v>84</v>
      </c>
      <c r="AJ5369" s="2">
        <v>6</v>
      </c>
      <c r="AK5369" s="2" t="s">
        <v>453</v>
      </c>
      <c r="AL5369" s="2">
        <v>23</v>
      </c>
      <c r="AM5369" s="2" t="s">
        <v>251</v>
      </c>
      <c r="AN5369" s="2" t="s">
        <v>16392</v>
      </c>
      <c r="AO5369" s="2" t="s">
        <v>16393</v>
      </c>
      <c r="AP5369" s="2">
        <v>11</v>
      </c>
      <c r="AQ5369" s="2" t="s">
        <v>82</v>
      </c>
      <c r="AR5369" s="2"/>
      <c r="AS5369" s="2"/>
      <c r="AT5369" s="2" t="s">
        <v>16394</v>
      </c>
      <c r="AU5369" s="2"/>
      <c r="AV5369" s="2"/>
      <c r="AW5369" s="2"/>
      <c r="AX5369" s="2"/>
      <c r="AY5369" s="2">
        <v>41</v>
      </c>
      <c r="AZ5369" s="2" t="s">
        <v>82</v>
      </c>
      <c r="BA5369" s="2">
        <v>41</v>
      </c>
      <c r="BB5369" s="2" t="s">
        <v>82</v>
      </c>
      <c r="BC5369" s="2">
        <v>41</v>
      </c>
      <c r="BD5369" s="2" t="s">
        <v>82</v>
      </c>
      <c r="BE5369" s="2">
        <v>41</v>
      </c>
      <c r="BF5369" s="2" t="s">
        <v>82</v>
      </c>
      <c r="BG5369" s="2"/>
      <c r="BH5369" s="2"/>
      <c r="BI5369" s="2"/>
      <c r="BJ5369" s="2">
        <v>241</v>
      </c>
      <c r="BK5369" s="2" t="s">
        <v>82</v>
      </c>
      <c r="BL5369" s="2"/>
      <c r="BM5369" s="2">
        <v>241</v>
      </c>
      <c r="BN5369" s="2" t="s">
        <v>82</v>
      </c>
      <c r="BO5369" s="2"/>
      <c r="BP5369" s="2">
        <v>241</v>
      </c>
      <c r="BQ5369" s="2" t="s">
        <v>82</v>
      </c>
      <c r="BR5369" s="2"/>
      <c r="BS5369" s="3">
        <v>40541</v>
      </c>
      <c r="BT5369" s="4">
        <v>0.67479166666666668</v>
      </c>
    </row>
    <row r="5370" spans="1:72" x14ac:dyDescent="0.25">
      <c r="A5370" s="2">
        <v>8309</v>
      </c>
      <c r="B5370" s="2">
        <v>2010</v>
      </c>
      <c r="C5370" s="2" t="s">
        <v>72</v>
      </c>
      <c r="D5370" s="2" t="s">
        <v>73</v>
      </c>
      <c r="E5370" s="2"/>
      <c r="F5370" s="2">
        <v>749</v>
      </c>
      <c r="G5370" s="2" t="s">
        <v>16024</v>
      </c>
      <c r="H5370" s="2">
        <v>22</v>
      </c>
      <c r="I5370" s="2" t="s">
        <v>75</v>
      </c>
      <c r="J5370" s="2">
        <v>756</v>
      </c>
      <c r="K5370" s="2" t="s">
        <v>16025</v>
      </c>
      <c r="L5370" s="2" t="s">
        <v>16026</v>
      </c>
      <c r="M5370" s="3">
        <v>40541</v>
      </c>
      <c r="N5370" s="2" t="s">
        <v>16395</v>
      </c>
      <c r="O5370" s="2"/>
      <c r="P5370" s="2"/>
      <c r="Q5370" s="2" t="str">
        <f>"478-A/10"</f>
        <v>478-A/10</v>
      </c>
      <c r="R5370" s="2"/>
      <c r="S5370" s="2" t="s">
        <v>156</v>
      </c>
      <c r="T5370" s="2">
        <v>1</v>
      </c>
      <c r="U5370" s="2" t="s">
        <v>79</v>
      </c>
      <c r="V5370" s="2">
        <v>1</v>
      </c>
      <c r="W5370" s="2" t="s">
        <v>80</v>
      </c>
      <c r="X5370" s="2">
        <v>12</v>
      </c>
      <c r="Y5370" s="2" t="s">
        <v>148</v>
      </c>
      <c r="Z5370" s="2">
        <v>1</v>
      </c>
      <c r="AA5370" s="2" t="s">
        <v>82</v>
      </c>
      <c r="AB5370" s="2">
        <v>6</v>
      </c>
      <c r="AC5370" s="2" t="s">
        <v>83</v>
      </c>
      <c r="AD5370" s="3">
        <v>40484</v>
      </c>
      <c r="AE5370" s="2"/>
      <c r="AF5370" s="3">
        <v>40541</v>
      </c>
      <c r="AG5370" s="4">
        <v>0.64583333333333337</v>
      </c>
      <c r="AH5370" s="2">
        <v>2</v>
      </c>
      <c r="AI5370" s="2" t="s">
        <v>84</v>
      </c>
      <c r="AJ5370" s="2">
        <v>12</v>
      </c>
      <c r="AK5370" s="2" t="s">
        <v>85</v>
      </c>
      <c r="AL5370" s="2">
        <v>23</v>
      </c>
      <c r="AM5370" s="2" t="s">
        <v>251</v>
      </c>
      <c r="AN5370" s="2" t="s">
        <v>16396</v>
      </c>
      <c r="AO5370" s="2" t="s">
        <v>170</v>
      </c>
      <c r="AP5370" s="2">
        <v>11</v>
      </c>
      <c r="AQ5370" s="2" t="s">
        <v>82</v>
      </c>
      <c r="AR5370" s="2"/>
      <c r="AS5370" s="2"/>
      <c r="AT5370" s="2" t="s">
        <v>16397</v>
      </c>
      <c r="AU5370" s="2"/>
      <c r="AV5370" s="2"/>
      <c r="AW5370" s="2"/>
      <c r="AX5370" s="2"/>
      <c r="AY5370" s="2">
        <v>41</v>
      </c>
      <c r="AZ5370" s="2" t="s">
        <v>82</v>
      </c>
      <c r="BA5370" s="2">
        <v>41</v>
      </c>
      <c r="BB5370" s="2" t="s">
        <v>82</v>
      </c>
      <c r="BC5370" s="2">
        <v>41</v>
      </c>
      <c r="BD5370" s="2" t="s">
        <v>82</v>
      </c>
      <c r="BE5370" s="2">
        <v>41</v>
      </c>
      <c r="BF5370" s="2" t="s">
        <v>82</v>
      </c>
      <c r="BG5370" s="2"/>
      <c r="BH5370" s="2"/>
      <c r="BI5370" s="2"/>
      <c r="BJ5370" s="2">
        <v>241</v>
      </c>
      <c r="BK5370" s="2" t="s">
        <v>82</v>
      </c>
      <c r="BL5370" s="2"/>
      <c r="BM5370" s="2">
        <v>241</v>
      </c>
      <c r="BN5370" s="2" t="s">
        <v>82</v>
      </c>
      <c r="BO5370" s="2"/>
      <c r="BP5370" s="2">
        <v>241</v>
      </c>
      <c r="BQ5370" s="2" t="s">
        <v>82</v>
      </c>
      <c r="BR5370" s="2"/>
      <c r="BS5370" s="3">
        <v>40541</v>
      </c>
      <c r="BT5370" s="4">
        <v>0.67844907407407407</v>
      </c>
    </row>
    <row r="5371" spans="1:72" x14ac:dyDescent="0.25">
      <c r="A5371" s="2">
        <v>8311</v>
      </c>
      <c r="B5371" s="2">
        <v>2010</v>
      </c>
      <c r="C5371" s="2" t="s">
        <v>171</v>
      </c>
      <c r="D5371" s="2" t="s">
        <v>73</v>
      </c>
      <c r="E5371" s="2"/>
      <c r="F5371" s="2">
        <v>121</v>
      </c>
      <c r="G5371" s="2" t="s">
        <v>2501</v>
      </c>
      <c r="H5371" s="2">
        <v>44</v>
      </c>
      <c r="I5371" s="2" t="s">
        <v>1272</v>
      </c>
      <c r="J5371" s="2">
        <v>135</v>
      </c>
      <c r="K5371" s="2" t="s">
        <v>2502</v>
      </c>
      <c r="L5371" s="2" t="s">
        <v>2503</v>
      </c>
      <c r="M5371" s="3">
        <v>40541</v>
      </c>
      <c r="N5371" s="2" t="s">
        <v>16398</v>
      </c>
      <c r="O5371" s="2" t="s">
        <v>16399</v>
      </c>
      <c r="P5371" s="2" t="s">
        <v>16400</v>
      </c>
      <c r="Q5371" s="2" t="str">
        <f>"0010/10"</f>
        <v>0010/10</v>
      </c>
      <c r="R5371" s="2" t="s">
        <v>16401</v>
      </c>
      <c r="S5371" s="2" t="s">
        <v>16401</v>
      </c>
      <c r="T5371" s="2">
        <v>1</v>
      </c>
      <c r="U5371" s="2" t="s">
        <v>79</v>
      </c>
      <c r="V5371" s="2">
        <v>1</v>
      </c>
      <c r="W5371" s="2" t="s">
        <v>80</v>
      </c>
      <c r="X5371" s="2">
        <v>3</v>
      </c>
      <c r="Y5371" s="2" t="s">
        <v>698</v>
      </c>
      <c r="Z5371" s="2">
        <v>2</v>
      </c>
      <c r="AA5371" s="2" t="s">
        <v>2148</v>
      </c>
      <c r="AB5371" s="2">
        <v>1</v>
      </c>
      <c r="AC5371" s="2" t="s">
        <v>178</v>
      </c>
      <c r="AD5371" s="3">
        <v>40541</v>
      </c>
      <c r="AE5371" s="4">
        <v>0.47222222222222227</v>
      </c>
      <c r="AF5371" s="3">
        <v>40541</v>
      </c>
      <c r="AG5371" s="4">
        <v>0.61805555555555558</v>
      </c>
      <c r="AH5371" s="2">
        <v>6</v>
      </c>
      <c r="AI5371" s="2" t="s">
        <v>197</v>
      </c>
      <c r="AJ5371" s="2">
        <v>58</v>
      </c>
      <c r="AK5371" s="2" t="s">
        <v>406</v>
      </c>
      <c r="AL5371" s="2">
        <v>25</v>
      </c>
      <c r="AM5371" s="2" t="s">
        <v>3073</v>
      </c>
      <c r="AN5371" s="2"/>
      <c r="AO5371" s="2" t="s">
        <v>179</v>
      </c>
      <c r="AP5371" s="2">
        <v>5</v>
      </c>
      <c r="AQ5371" s="2" t="s">
        <v>827</v>
      </c>
      <c r="AR5371" s="2"/>
      <c r="AS5371" s="2"/>
      <c r="AT5371" s="2" t="s">
        <v>16402</v>
      </c>
      <c r="AU5371" s="2"/>
      <c r="AV5371" s="2"/>
      <c r="AW5371" s="2"/>
      <c r="AX5371" s="2"/>
      <c r="AY5371" s="2">
        <v>41</v>
      </c>
      <c r="AZ5371" s="2" t="s">
        <v>82</v>
      </c>
      <c r="BA5371" s="2">
        <v>41</v>
      </c>
      <c r="BB5371" s="2" t="s">
        <v>82</v>
      </c>
      <c r="BC5371" s="2">
        <v>41</v>
      </c>
      <c r="BD5371" s="2" t="s">
        <v>82</v>
      </c>
      <c r="BE5371" s="2">
        <v>41</v>
      </c>
      <c r="BF5371" s="2" t="s">
        <v>82</v>
      </c>
      <c r="BG5371" s="2"/>
      <c r="BH5371" s="2"/>
      <c r="BI5371" s="2"/>
      <c r="BJ5371" s="2">
        <v>241</v>
      </c>
      <c r="BK5371" s="2" t="s">
        <v>82</v>
      </c>
      <c r="BL5371" s="2"/>
      <c r="BM5371" s="2">
        <v>241</v>
      </c>
      <c r="BN5371" s="2" t="s">
        <v>82</v>
      </c>
      <c r="BO5371" s="2"/>
      <c r="BP5371" s="2">
        <v>241</v>
      </c>
      <c r="BQ5371" s="2" t="s">
        <v>82</v>
      </c>
      <c r="BR5371" s="2"/>
      <c r="BS5371" s="3">
        <v>40541</v>
      </c>
      <c r="BT5371" s="4">
        <v>0.69888888888888889</v>
      </c>
    </row>
    <row r="5372" spans="1:72" x14ac:dyDescent="0.25">
      <c r="A5372" s="2">
        <v>8315</v>
      </c>
      <c r="B5372" s="2">
        <v>2010</v>
      </c>
      <c r="C5372" s="2" t="s">
        <v>806</v>
      </c>
      <c r="D5372" s="2" t="s">
        <v>73</v>
      </c>
      <c r="E5372" s="2"/>
      <c r="F5372" s="2">
        <v>530</v>
      </c>
      <c r="G5372" s="2" t="s">
        <v>3315</v>
      </c>
      <c r="H5372" s="2">
        <v>89</v>
      </c>
      <c r="I5372" s="2" t="s">
        <v>5137</v>
      </c>
      <c r="J5372" s="2">
        <v>3</v>
      </c>
      <c r="K5372" s="2" t="s">
        <v>2090</v>
      </c>
      <c r="L5372" s="2" t="s">
        <v>2091</v>
      </c>
      <c r="M5372" s="3">
        <v>40541</v>
      </c>
      <c r="N5372" s="2" t="s">
        <v>16403</v>
      </c>
      <c r="O5372" s="2" t="s">
        <v>16404</v>
      </c>
      <c r="P5372" s="2" t="s">
        <v>16405</v>
      </c>
      <c r="Q5372" s="2" t="str">
        <f>"S/D"</f>
        <v>S/D</v>
      </c>
      <c r="R5372" s="2" t="s">
        <v>107</v>
      </c>
      <c r="S5372" s="2" t="s">
        <v>107</v>
      </c>
      <c r="T5372" s="2">
        <v>1</v>
      </c>
      <c r="U5372" s="2" t="s">
        <v>79</v>
      </c>
      <c r="V5372" s="2">
        <v>1</v>
      </c>
      <c r="W5372" s="2" t="s">
        <v>80</v>
      </c>
      <c r="X5372" s="2">
        <v>3</v>
      </c>
      <c r="Y5372" s="2" t="s">
        <v>698</v>
      </c>
      <c r="Z5372" s="2">
        <v>44</v>
      </c>
      <c r="AA5372" s="2" t="s">
        <v>16406</v>
      </c>
      <c r="AB5372" s="2">
        <v>9</v>
      </c>
      <c r="AC5372" s="2" t="s">
        <v>124</v>
      </c>
      <c r="AD5372" s="3">
        <v>40541</v>
      </c>
      <c r="AE5372" s="4">
        <v>0.40277777777777773</v>
      </c>
      <c r="AF5372" s="3">
        <v>40540</v>
      </c>
      <c r="AG5372" s="4">
        <v>0.75</v>
      </c>
      <c r="AH5372" s="2">
        <v>7</v>
      </c>
      <c r="AI5372" s="2" t="s">
        <v>801</v>
      </c>
      <c r="AJ5372" s="2">
        <v>3</v>
      </c>
      <c r="AK5372" s="2" t="s">
        <v>802</v>
      </c>
      <c r="AL5372" s="2">
        <v>23</v>
      </c>
      <c r="AM5372" s="2" t="s">
        <v>251</v>
      </c>
      <c r="AN5372" s="2" t="s">
        <v>107</v>
      </c>
      <c r="AO5372" s="2" t="s">
        <v>16407</v>
      </c>
      <c r="AP5372" s="2">
        <v>11</v>
      </c>
      <c r="AQ5372" s="2" t="s">
        <v>82</v>
      </c>
      <c r="AR5372" s="2"/>
      <c r="AS5372" s="2"/>
      <c r="AT5372" s="2" t="s">
        <v>16408</v>
      </c>
      <c r="AU5372" s="2">
        <v>1</v>
      </c>
      <c r="AV5372" s="2"/>
      <c r="AW5372" s="2"/>
      <c r="AX5372" s="2"/>
      <c r="AY5372" s="2">
        <v>41</v>
      </c>
      <c r="AZ5372" s="2" t="s">
        <v>82</v>
      </c>
      <c r="BA5372" s="2">
        <v>41</v>
      </c>
      <c r="BB5372" s="2" t="s">
        <v>82</v>
      </c>
      <c r="BC5372" s="2">
        <v>41</v>
      </c>
      <c r="BD5372" s="2" t="s">
        <v>82</v>
      </c>
      <c r="BE5372" s="2">
        <v>41</v>
      </c>
      <c r="BF5372" s="2" t="s">
        <v>82</v>
      </c>
      <c r="BG5372" s="2"/>
      <c r="BH5372" s="2"/>
      <c r="BI5372" s="2"/>
      <c r="BJ5372" s="2">
        <v>241</v>
      </c>
      <c r="BK5372" s="2" t="s">
        <v>82</v>
      </c>
      <c r="BL5372" s="2"/>
      <c r="BM5372" s="2">
        <v>241</v>
      </c>
      <c r="BN5372" s="2" t="s">
        <v>82</v>
      </c>
      <c r="BO5372" s="2"/>
      <c r="BP5372" s="2">
        <v>241</v>
      </c>
      <c r="BQ5372" s="2" t="s">
        <v>82</v>
      </c>
      <c r="BR5372" s="2"/>
      <c r="BS5372" s="3">
        <v>40541</v>
      </c>
      <c r="BT5372" s="4">
        <v>0.71028935185185194</v>
      </c>
    </row>
    <row r="5373" spans="1:72" x14ac:dyDescent="0.25">
      <c r="A5373" s="2">
        <v>8319</v>
      </c>
      <c r="B5373" s="2">
        <v>2010</v>
      </c>
      <c r="C5373" s="2" t="s">
        <v>72</v>
      </c>
      <c r="D5373" s="2" t="s">
        <v>73</v>
      </c>
      <c r="E5373" s="2"/>
      <c r="F5373" s="2">
        <v>175</v>
      </c>
      <c r="G5373" s="2" t="s">
        <v>4170</v>
      </c>
      <c r="H5373" s="2">
        <v>108</v>
      </c>
      <c r="I5373" s="2" t="s">
        <v>1096</v>
      </c>
      <c r="J5373" s="2">
        <v>728</v>
      </c>
      <c r="K5373" s="2" t="s">
        <v>15156</v>
      </c>
      <c r="L5373" s="2" t="s">
        <v>15157</v>
      </c>
      <c r="M5373" s="3">
        <v>40541</v>
      </c>
      <c r="N5373" s="2" t="s">
        <v>15158</v>
      </c>
      <c r="O5373" s="2"/>
      <c r="P5373" s="2"/>
      <c r="Q5373" s="2" t="str">
        <f>"479-A/10"</f>
        <v>479-A/10</v>
      </c>
      <c r="R5373" s="2"/>
      <c r="S5373" s="2" t="s">
        <v>78</v>
      </c>
      <c r="T5373" s="2">
        <v>1</v>
      </c>
      <c r="U5373" s="2" t="s">
        <v>79</v>
      </c>
      <c r="V5373" s="2">
        <v>1</v>
      </c>
      <c r="W5373" s="2" t="s">
        <v>80</v>
      </c>
      <c r="X5373" s="2">
        <v>12</v>
      </c>
      <c r="Y5373" s="2" t="s">
        <v>148</v>
      </c>
      <c r="Z5373" s="2">
        <v>1</v>
      </c>
      <c r="AA5373" s="2" t="s">
        <v>82</v>
      </c>
      <c r="AB5373" s="2">
        <v>6</v>
      </c>
      <c r="AC5373" s="2" t="s">
        <v>83</v>
      </c>
      <c r="AD5373" s="3">
        <v>40541</v>
      </c>
      <c r="AE5373" s="2"/>
      <c r="AF5373" s="3">
        <v>40541</v>
      </c>
      <c r="AG5373" s="4">
        <v>0.64583333333333337</v>
      </c>
      <c r="AH5373" s="2">
        <v>2</v>
      </c>
      <c r="AI5373" s="2" t="s">
        <v>84</v>
      </c>
      <c r="AJ5373" s="2">
        <v>12</v>
      </c>
      <c r="AK5373" s="2" t="s">
        <v>85</v>
      </c>
      <c r="AL5373" s="2">
        <v>23</v>
      </c>
      <c r="AM5373" s="2" t="s">
        <v>251</v>
      </c>
      <c r="AN5373" s="2" t="s">
        <v>16409</v>
      </c>
      <c r="AO5373" s="2" t="s">
        <v>16410</v>
      </c>
      <c r="AP5373" s="2">
        <v>11</v>
      </c>
      <c r="AQ5373" s="2" t="s">
        <v>82</v>
      </c>
      <c r="AR5373" s="2"/>
      <c r="AS5373" s="2"/>
      <c r="AT5373" s="2" t="s">
        <v>16411</v>
      </c>
      <c r="AU5373" s="2"/>
      <c r="AV5373" s="2"/>
      <c r="AW5373" s="2"/>
      <c r="AX5373" s="2"/>
      <c r="AY5373" s="2">
        <v>41</v>
      </c>
      <c r="AZ5373" s="2" t="s">
        <v>82</v>
      </c>
      <c r="BA5373" s="2">
        <v>41</v>
      </c>
      <c r="BB5373" s="2" t="s">
        <v>82</v>
      </c>
      <c r="BC5373" s="2">
        <v>41</v>
      </c>
      <c r="BD5373" s="2" t="s">
        <v>82</v>
      </c>
      <c r="BE5373" s="2">
        <v>41</v>
      </c>
      <c r="BF5373" s="2" t="s">
        <v>82</v>
      </c>
      <c r="BG5373" s="2"/>
      <c r="BH5373" s="2"/>
      <c r="BI5373" s="2"/>
      <c r="BJ5373" s="2">
        <v>241</v>
      </c>
      <c r="BK5373" s="2" t="s">
        <v>82</v>
      </c>
      <c r="BL5373" s="2"/>
      <c r="BM5373" s="2">
        <v>241</v>
      </c>
      <c r="BN5373" s="2" t="s">
        <v>82</v>
      </c>
      <c r="BO5373" s="2"/>
      <c r="BP5373" s="2">
        <v>241</v>
      </c>
      <c r="BQ5373" s="2" t="s">
        <v>82</v>
      </c>
      <c r="BR5373" s="2"/>
      <c r="BS5373" s="3">
        <v>40541</v>
      </c>
      <c r="BT5373" s="4">
        <v>0.75454861111111116</v>
      </c>
    </row>
    <row r="5374" spans="1:72" x14ac:dyDescent="0.25">
      <c r="A5374" s="2">
        <v>8320</v>
      </c>
      <c r="B5374" s="2">
        <v>2010</v>
      </c>
      <c r="C5374" s="2" t="s">
        <v>147</v>
      </c>
      <c r="D5374" s="2" t="s">
        <v>73</v>
      </c>
      <c r="E5374" s="2"/>
      <c r="F5374" s="2">
        <v>1</v>
      </c>
      <c r="G5374" s="2" t="s">
        <v>82</v>
      </c>
      <c r="H5374" s="2">
        <v>1</v>
      </c>
      <c r="I5374" s="2" t="s">
        <v>82</v>
      </c>
      <c r="J5374" s="2">
        <v>1</v>
      </c>
      <c r="K5374" s="2" t="s">
        <v>107</v>
      </c>
      <c r="L5374" s="2" t="s">
        <v>107</v>
      </c>
      <c r="M5374" s="3">
        <v>40541</v>
      </c>
      <c r="N5374" s="2"/>
      <c r="O5374" s="2"/>
      <c r="P5374" s="2"/>
      <c r="Q5374" s="2" t="str">
        <f>""</f>
        <v/>
      </c>
      <c r="R5374" s="2"/>
      <c r="S5374" s="2"/>
      <c r="T5374" s="2">
        <v>2</v>
      </c>
      <c r="U5374" s="2" t="s">
        <v>123</v>
      </c>
      <c r="V5374" s="2">
        <v>1</v>
      </c>
      <c r="W5374" s="2" t="s">
        <v>80</v>
      </c>
      <c r="X5374" s="2">
        <v>12</v>
      </c>
      <c r="Y5374" s="2" t="s">
        <v>148</v>
      </c>
      <c r="Z5374" s="2">
        <v>1</v>
      </c>
      <c r="AA5374" s="2" t="s">
        <v>82</v>
      </c>
      <c r="AB5374" s="2">
        <v>9</v>
      </c>
      <c r="AC5374" s="2" t="s">
        <v>124</v>
      </c>
      <c r="AD5374" s="3">
        <v>40541</v>
      </c>
      <c r="AE5374" s="2"/>
      <c r="AF5374" s="3">
        <v>40541</v>
      </c>
      <c r="AG5374" s="4">
        <v>0.43402777777777773</v>
      </c>
      <c r="AH5374" s="2">
        <v>3</v>
      </c>
      <c r="AI5374" s="2" t="s">
        <v>214</v>
      </c>
      <c r="AJ5374" s="2">
        <v>17</v>
      </c>
      <c r="AK5374" s="2" t="s">
        <v>309</v>
      </c>
      <c r="AL5374" s="2">
        <v>23</v>
      </c>
      <c r="AM5374" s="2" t="s">
        <v>251</v>
      </c>
      <c r="AN5374" s="2"/>
      <c r="AO5374" s="2"/>
      <c r="AP5374" s="2">
        <v>11</v>
      </c>
      <c r="AQ5374" s="2" t="s">
        <v>82</v>
      </c>
      <c r="AR5374" s="2"/>
      <c r="AS5374" s="2"/>
      <c r="AT5374" s="2" t="s">
        <v>16412</v>
      </c>
      <c r="AU5374" s="2"/>
      <c r="AV5374" s="2"/>
      <c r="AW5374" s="2"/>
      <c r="AX5374" s="2"/>
      <c r="AY5374" s="2">
        <v>41</v>
      </c>
      <c r="AZ5374" s="2" t="s">
        <v>82</v>
      </c>
      <c r="BA5374" s="2">
        <v>41</v>
      </c>
      <c r="BB5374" s="2" t="s">
        <v>82</v>
      </c>
      <c r="BC5374" s="2">
        <v>41</v>
      </c>
      <c r="BD5374" s="2" t="s">
        <v>82</v>
      </c>
      <c r="BE5374" s="2">
        <v>41</v>
      </c>
      <c r="BF5374" s="2" t="s">
        <v>82</v>
      </c>
      <c r="BG5374" s="2"/>
      <c r="BH5374" s="2"/>
      <c r="BI5374" s="2"/>
      <c r="BJ5374" s="2">
        <v>241</v>
      </c>
      <c r="BK5374" s="2" t="s">
        <v>82</v>
      </c>
      <c r="BL5374" s="2"/>
      <c r="BM5374" s="2">
        <v>241</v>
      </c>
      <c r="BN5374" s="2" t="s">
        <v>82</v>
      </c>
      <c r="BO5374" s="2"/>
      <c r="BP5374" s="2">
        <v>241</v>
      </c>
      <c r="BQ5374" s="2" t="s">
        <v>82</v>
      </c>
      <c r="BR5374" s="2"/>
      <c r="BS5374" s="3">
        <v>40541</v>
      </c>
      <c r="BT5374" s="4">
        <v>0.76346064814814818</v>
      </c>
    </row>
    <row r="5375" spans="1:72" x14ac:dyDescent="0.25">
      <c r="A5375" s="2">
        <v>8326</v>
      </c>
      <c r="B5375" s="2">
        <v>2010</v>
      </c>
      <c r="C5375" s="2" t="s">
        <v>171</v>
      </c>
      <c r="D5375" s="2" t="s">
        <v>73</v>
      </c>
      <c r="E5375" s="2"/>
      <c r="F5375" s="2">
        <v>393</v>
      </c>
      <c r="G5375" s="2" t="s">
        <v>3660</v>
      </c>
      <c r="H5375" s="2">
        <v>40</v>
      </c>
      <c r="I5375" s="2" t="s">
        <v>2101</v>
      </c>
      <c r="J5375" s="2">
        <v>2</v>
      </c>
      <c r="K5375" s="2" t="s">
        <v>3661</v>
      </c>
      <c r="L5375" s="2" t="s">
        <v>3662</v>
      </c>
      <c r="M5375" s="3">
        <v>40541</v>
      </c>
      <c r="N5375" s="2" t="s">
        <v>5709</v>
      </c>
      <c r="O5375" s="2"/>
      <c r="P5375" s="2"/>
      <c r="Q5375" s="2" t="str">
        <f>"0691-E/10"</f>
        <v>0691-E/10</v>
      </c>
      <c r="R5375" s="2" t="s">
        <v>391</v>
      </c>
      <c r="S5375" s="2" t="s">
        <v>391</v>
      </c>
      <c r="T5375" s="2">
        <v>1</v>
      </c>
      <c r="U5375" s="2" t="s">
        <v>79</v>
      </c>
      <c r="V5375" s="2">
        <v>1</v>
      </c>
      <c r="W5375" s="2" t="s">
        <v>80</v>
      </c>
      <c r="X5375" s="2">
        <v>1</v>
      </c>
      <c r="Y5375" s="2" t="s">
        <v>81</v>
      </c>
      <c r="Z5375" s="2">
        <v>1</v>
      </c>
      <c r="AA5375" s="2" t="s">
        <v>82</v>
      </c>
      <c r="AB5375" s="2">
        <v>1</v>
      </c>
      <c r="AC5375" s="2" t="s">
        <v>178</v>
      </c>
      <c r="AD5375" s="3">
        <v>40541</v>
      </c>
      <c r="AE5375" s="4">
        <v>0.58333333333333337</v>
      </c>
      <c r="AF5375" s="3">
        <v>40541</v>
      </c>
      <c r="AG5375" s="4">
        <v>0.85416666666666663</v>
      </c>
      <c r="AH5375" s="2">
        <v>2</v>
      </c>
      <c r="AI5375" s="2" t="s">
        <v>84</v>
      </c>
      <c r="AJ5375" s="2">
        <v>9</v>
      </c>
      <c r="AK5375" s="2" t="s">
        <v>103</v>
      </c>
      <c r="AL5375" s="2">
        <v>11</v>
      </c>
      <c r="AM5375" s="2" t="s">
        <v>137</v>
      </c>
      <c r="AN5375" s="2" t="s">
        <v>14009</v>
      </c>
      <c r="AO5375" s="2" t="s">
        <v>987</v>
      </c>
      <c r="AP5375" s="2">
        <v>11</v>
      </c>
      <c r="AQ5375" s="2" t="s">
        <v>82</v>
      </c>
      <c r="AR5375" s="2"/>
      <c r="AS5375" s="2"/>
      <c r="AT5375" s="2" t="s">
        <v>16413</v>
      </c>
      <c r="AU5375" s="2"/>
      <c r="AV5375" s="2">
        <v>2</v>
      </c>
      <c r="AW5375" s="2"/>
      <c r="AX5375" s="2"/>
      <c r="AY5375" s="2">
        <v>41</v>
      </c>
      <c r="AZ5375" s="2" t="s">
        <v>82</v>
      </c>
      <c r="BA5375" s="2">
        <v>41</v>
      </c>
      <c r="BB5375" s="2" t="s">
        <v>82</v>
      </c>
      <c r="BC5375" s="2">
        <v>41</v>
      </c>
      <c r="BD5375" s="2" t="s">
        <v>82</v>
      </c>
      <c r="BE5375" s="2">
        <v>27</v>
      </c>
      <c r="BF5375" s="2" t="s">
        <v>2197</v>
      </c>
      <c r="BG5375" s="2" t="s">
        <v>8204</v>
      </c>
      <c r="BH5375" s="2"/>
      <c r="BI5375" s="4">
        <v>0.57291666666666663</v>
      </c>
      <c r="BJ5375" s="2">
        <v>13</v>
      </c>
      <c r="BK5375" s="2" t="s">
        <v>91</v>
      </c>
      <c r="BL5375" s="2" t="s">
        <v>360</v>
      </c>
      <c r="BM5375" s="2">
        <v>112</v>
      </c>
      <c r="BN5375" s="2" t="s">
        <v>110</v>
      </c>
      <c r="BO5375" s="2"/>
      <c r="BP5375" s="2">
        <v>112</v>
      </c>
      <c r="BQ5375" s="2" t="s">
        <v>110</v>
      </c>
      <c r="BR5375" s="2" t="s">
        <v>111</v>
      </c>
      <c r="BS5375" s="3">
        <v>40541</v>
      </c>
      <c r="BT5375" s="4">
        <v>0.86813657407407396</v>
      </c>
    </row>
    <row r="5376" spans="1:72" x14ac:dyDescent="0.25">
      <c r="A5376" s="2">
        <v>8327</v>
      </c>
      <c r="B5376" s="2">
        <v>2010</v>
      </c>
      <c r="C5376" s="2" t="s">
        <v>4543</v>
      </c>
      <c r="D5376" s="2" t="s">
        <v>122</v>
      </c>
      <c r="E5376" s="2"/>
      <c r="F5376" s="2">
        <v>226</v>
      </c>
      <c r="G5376" s="2" t="s">
        <v>5788</v>
      </c>
      <c r="H5376" s="2">
        <v>23</v>
      </c>
      <c r="I5376" s="2" t="s">
        <v>422</v>
      </c>
      <c r="J5376" s="2">
        <v>240</v>
      </c>
      <c r="K5376" s="2" t="s">
        <v>16164</v>
      </c>
      <c r="L5376" s="2" t="s">
        <v>3662</v>
      </c>
      <c r="M5376" s="3">
        <v>40542</v>
      </c>
      <c r="N5376" s="2" t="s">
        <v>16414</v>
      </c>
      <c r="O5376" s="2"/>
      <c r="P5376" s="2"/>
      <c r="Q5376" s="2" t="str">
        <f>""</f>
        <v/>
      </c>
      <c r="R5376" s="2"/>
      <c r="S5376" s="2"/>
      <c r="T5376" s="2">
        <v>2</v>
      </c>
      <c r="U5376" s="2" t="s">
        <v>123</v>
      </c>
      <c r="V5376" s="2">
        <v>1</v>
      </c>
      <c r="W5376" s="2" t="s">
        <v>80</v>
      </c>
      <c r="X5376" s="2">
        <v>1</v>
      </c>
      <c r="Y5376" s="2" t="s">
        <v>81</v>
      </c>
      <c r="Z5376" s="2">
        <v>1</v>
      </c>
      <c r="AA5376" s="2" t="s">
        <v>82</v>
      </c>
      <c r="AB5376" s="2">
        <v>9</v>
      </c>
      <c r="AC5376" s="2" t="s">
        <v>124</v>
      </c>
      <c r="AD5376" s="3">
        <v>40541</v>
      </c>
      <c r="AE5376" s="4">
        <v>0.30555555555555552</v>
      </c>
      <c r="AF5376" s="3">
        <v>40541</v>
      </c>
      <c r="AG5376" s="2"/>
      <c r="AH5376" s="2">
        <v>2</v>
      </c>
      <c r="AI5376" s="2" t="s">
        <v>84</v>
      </c>
      <c r="AJ5376" s="2">
        <v>12</v>
      </c>
      <c r="AK5376" s="2" t="s">
        <v>85</v>
      </c>
      <c r="AL5376" s="2">
        <v>10</v>
      </c>
      <c r="AM5376" s="2" t="s">
        <v>200</v>
      </c>
      <c r="AN5376" s="2" t="s">
        <v>16415</v>
      </c>
      <c r="AO5376" s="2"/>
      <c r="AP5376" s="2">
        <v>11</v>
      </c>
      <c r="AQ5376" s="2" t="s">
        <v>82</v>
      </c>
      <c r="AR5376" s="2"/>
      <c r="AS5376" s="2"/>
      <c r="AT5376" s="2" t="s">
        <v>16416</v>
      </c>
      <c r="AU5376" s="2"/>
      <c r="AV5376" s="2"/>
      <c r="AW5376" s="2"/>
      <c r="AX5376" s="2"/>
      <c r="AY5376" s="2">
        <v>41</v>
      </c>
      <c r="AZ5376" s="2" t="s">
        <v>82</v>
      </c>
      <c r="BA5376" s="2">
        <v>41</v>
      </c>
      <c r="BB5376" s="2" t="s">
        <v>82</v>
      </c>
      <c r="BC5376" s="2">
        <v>41</v>
      </c>
      <c r="BD5376" s="2" t="s">
        <v>82</v>
      </c>
      <c r="BE5376" s="2">
        <v>13</v>
      </c>
      <c r="BF5376" s="2" t="s">
        <v>108</v>
      </c>
      <c r="BG5376" s="2" t="s">
        <v>16417</v>
      </c>
      <c r="BH5376" s="2"/>
      <c r="BI5376" s="2"/>
      <c r="BJ5376" s="2">
        <v>241</v>
      </c>
      <c r="BK5376" s="2" t="s">
        <v>82</v>
      </c>
      <c r="BL5376" s="2"/>
      <c r="BM5376" s="2">
        <v>241</v>
      </c>
      <c r="BN5376" s="2" t="s">
        <v>82</v>
      </c>
      <c r="BO5376" s="2"/>
      <c r="BP5376" s="2">
        <v>13</v>
      </c>
      <c r="BQ5376" s="2" t="s">
        <v>91</v>
      </c>
      <c r="BR5376" s="2" t="s">
        <v>895</v>
      </c>
      <c r="BS5376" s="3">
        <v>40542</v>
      </c>
      <c r="BT5376" s="4">
        <v>3.0856481481481481E-2</v>
      </c>
    </row>
    <row r="5377" spans="1:72" x14ac:dyDescent="0.25">
      <c r="A5377" s="2">
        <v>8328</v>
      </c>
      <c r="B5377" s="2">
        <v>2010</v>
      </c>
      <c r="C5377" s="2" t="s">
        <v>4543</v>
      </c>
      <c r="D5377" s="2" t="s">
        <v>122</v>
      </c>
      <c r="E5377" s="2"/>
      <c r="F5377" s="2">
        <v>1</v>
      </c>
      <c r="G5377" s="2" t="s">
        <v>82</v>
      </c>
      <c r="H5377" s="2">
        <v>1</v>
      </c>
      <c r="I5377" s="2" t="s">
        <v>82</v>
      </c>
      <c r="J5377" s="2">
        <v>1</v>
      </c>
      <c r="K5377" s="2" t="s">
        <v>107</v>
      </c>
      <c r="L5377" s="2" t="s">
        <v>107</v>
      </c>
      <c r="M5377" s="3">
        <v>40542</v>
      </c>
      <c r="N5377" s="2"/>
      <c r="O5377" s="2"/>
      <c r="P5377" s="2"/>
      <c r="Q5377" s="2" t="str">
        <f>""</f>
        <v/>
      </c>
      <c r="R5377" s="2"/>
      <c r="S5377" s="2"/>
      <c r="T5377" s="2">
        <v>2</v>
      </c>
      <c r="U5377" s="2" t="s">
        <v>123</v>
      </c>
      <c r="V5377" s="2">
        <v>1</v>
      </c>
      <c r="W5377" s="2" t="s">
        <v>80</v>
      </c>
      <c r="X5377" s="2">
        <v>1</v>
      </c>
      <c r="Y5377" s="2" t="s">
        <v>81</v>
      </c>
      <c r="Z5377" s="2">
        <v>10</v>
      </c>
      <c r="AA5377" s="2" t="s">
        <v>236</v>
      </c>
      <c r="AB5377" s="2">
        <v>9</v>
      </c>
      <c r="AC5377" s="2" t="s">
        <v>124</v>
      </c>
      <c r="AD5377" s="3">
        <v>40514</v>
      </c>
      <c r="AE5377" s="4">
        <v>9.0277777777777776E-2</v>
      </c>
      <c r="AF5377" s="3">
        <v>40542</v>
      </c>
      <c r="AG5377" s="4">
        <v>9.0277777777777776E-2</v>
      </c>
      <c r="AH5377" s="2">
        <v>3</v>
      </c>
      <c r="AI5377" s="2" t="s">
        <v>214</v>
      </c>
      <c r="AJ5377" s="2">
        <v>17</v>
      </c>
      <c r="AK5377" s="2" t="s">
        <v>309</v>
      </c>
      <c r="AL5377" s="2">
        <v>29</v>
      </c>
      <c r="AM5377" s="2" t="s">
        <v>5416</v>
      </c>
      <c r="AN5377" s="2" t="s">
        <v>16418</v>
      </c>
      <c r="AO5377" s="2" t="s">
        <v>16419</v>
      </c>
      <c r="AP5377" s="2">
        <v>11</v>
      </c>
      <c r="AQ5377" s="2" t="s">
        <v>82</v>
      </c>
      <c r="AR5377" s="2"/>
      <c r="AS5377" s="2"/>
      <c r="AT5377" s="2" t="s">
        <v>16420</v>
      </c>
      <c r="AU5377" s="2"/>
      <c r="AV5377" s="2"/>
      <c r="AW5377" s="2"/>
      <c r="AX5377" s="2"/>
      <c r="AY5377" s="2">
        <v>41</v>
      </c>
      <c r="AZ5377" s="2" t="s">
        <v>82</v>
      </c>
      <c r="BA5377" s="2">
        <v>41</v>
      </c>
      <c r="BB5377" s="2" t="s">
        <v>82</v>
      </c>
      <c r="BC5377" s="2">
        <v>41</v>
      </c>
      <c r="BD5377" s="2" t="s">
        <v>82</v>
      </c>
      <c r="BE5377" s="2">
        <v>41</v>
      </c>
      <c r="BF5377" s="2" t="s">
        <v>82</v>
      </c>
      <c r="BG5377" s="2"/>
      <c r="BH5377" s="2"/>
      <c r="BI5377" s="2"/>
      <c r="BJ5377" s="2">
        <v>241</v>
      </c>
      <c r="BK5377" s="2" t="s">
        <v>82</v>
      </c>
      <c r="BL5377" s="2"/>
      <c r="BM5377" s="2">
        <v>241</v>
      </c>
      <c r="BN5377" s="2" t="s">
        <v>82</v>
      </c>
      <c r="BO5377" s="2"/>
      <c r="BP5377" s="2">
        <v>241</v>
      </c>
      <c r="BQ5377" s="2" t="s">
        <v>82</v>
      </c>
      <c r="BR5377" s="2"/>
      <c r="BS5377" s="3">
        <v>40542</v>
      </c>
      <c r="BT5377" s="4">
        <v>0.19290509259259259</v>
      </c>
    </row>
    <row r="5378" spans="1:72" x14ac:dyDescent="0.25">
      <c r="A5378" s="2">
        <v>8329</v>
      </c>
      <c r="B5378" s="2">
        <v>2010</v>
      </c>
      <c r="C5378" s="2" t="s">
        <v>549</v>
      </c>
      <c r="D5378" s="2" t="s">
        <v>73</v>
      </c>
      <c r="E5378" s="2"/>
      <c r="F5378" s="2">
        <v>649</v>
      </c>
      <c r="G5378" s="2" t="s">
        <v>9141</v>
      </c>
      <c r="H5378" s="2">
        <v>160</v>
      </c>
      <c r="I5378" s="2" t="s">
        <v>16211</v>
      </c>
      <c r="J5378" s="2">
        <v>182</v>
      </c>
      <c r="K5378" s="2" t="s">
        <v>8850</v>
      </c>
      <c r="L5378" s="2" t="s">
        <v>8851</v>
      </c>
      <c r="M5378" s="3">
        <v>40542</v>
      </c>
      <c r="N5378" s="2" t="s">
        <v>16421</v>
      </c>
      <c r="O5378" s="2" t="s">
        <v>1044</v>
      </c>
      <c r="P5378" s="2" t="s">
        <v>107</v>
      </c>
      <c r="Q5378" s="2" t="str">
        <f>"480-A/10"</f>
        <v>480-A/10</v>
      </c>
      <c r="R5378" s="2" t="s">
        <v>1044</v>
      </c>
      <c r="S5378" s="2"/>
      <c r="T5378" s="2">
        <v>1</v>
      </c>
      <c r="U5378" s="2" t="s">
        <v>79</v>
      </c>
      <c r="V5378" s="2">
        <v>1</v>
      </c>
      <c r="W5378" s="2" t="s">
        <v>80</v>
      </c>
      <c r="X5378" s="2">
        <v>12</v>
      </c>
      <c r="Y5378" s="2" t="s">
        <v>148</v>
      </c>
      <c r="Z5378" s="2">
        <v>1</v>
      </c>
      <c r="AA5378" s="2" t="s">
        <v>82</v>
      </c>
      <c r="AB5378" s="2">
        <v>9</v>
      </c>
      <c r="AC5378" s="2" t="s">
        <v>124</v>
      </c>
      <c r="AD5378" s="3">
        <v>40541</v>
      </c>
      <c r="AE5378" s="2"/>
      <c r="AF5378" s="3">
        <v>40541</v>
      </c>
      <c r="AG5378" s="4">
        <v>0.97916666666666663</v>
      </c>
      <c r="AH5378" s="2">
        <v>2</v>
      </c>
      <c r="AI5378" s="2" t="s">
        <v>84</v>
      </c>
      <c r="AJ5378" s="2">
        <v>12</v>
      </c>
      <c r="AK5378" s="2" t="s">
        <v>85</v>
      </c>
      <c r="AL5378" s="2">
        <v>12</v>
      </c>
      <c r="AM5378" s="2" t="s">
        <v>86</v>
      </c>
      <c r="AN5378" s="2" t="s">
        <v>16422</v>
      </c>
      <c r="AO5378" s="2" t="s">
        <v>16423</v>
      </c>
      <c r="AP5378" s="2">
        <v>11</v>
      </c>
      <c r="AQ5378" s="2" t="s">
        <v>82</v>
      </c>
      <c r="AR5378" s="2"/>
      <c r="AS5378" s="2"/>
      <c r="AT5378" s="2" t="s">
        <v>16424</v>
      </c>
      <c r="AU5378" s="2">
        <v>1</v>
      </c>
      <c r="AV5378" s="2"/>
      <c r="AW5378" s="2"/>
      <c r="AX5378" s="2"/>
      <c r="AY5378" s="2">
        <v>41</v>
      </c>
      <c r="AZ5378" s="2" t="s">
        <v>82</v>
      </c>
      <c r="BA5378" s="2">
        <v>41</v>
      </c>
      <c r="BB5378" s="2" t="s">
        <v>82</v>
      </c>
      <c r="BC5378" s="2">
        <v>41</v>
      </c>
      <c r="BD5378" s="2" t="s">
        <v>82</v>
      </c>
      <c r="BE5378" s="2">
        <v>13</v>
      </c>
      <c r="BF5378" s="2" t="s">
        <v>108</v>
      </c>
      <c r="BG5378" s="2" t="s">
        <v>16425</v>
      </c>
      <c r="BH5378" s="2"/>
      <c r="BI5378" s="2"/>
      <c r="BJ5378" s="2">
        <v>13</v>
      </c>
      <c r="BK5378" s="2" t="s">
        <v>91</v>
      </c>
      <c r="BL5378" s="2" t="s">
        <v>564</v>
      </c>
      <c r="BM5378" s="2">
        <v>241</v>
      </c>
      <c r="BN5378" s="2" t="s">
        <v>82</v>
      </c>
      <c r="BO5378" s="2"/>
      <c r="BP5378" s="2">
        <v>13</v>
      </c>
      <c r="BQ5378" s="2" t="s">
        <v>91</v>
      </c>
      <c r="BR5378" s="2" t="s">
        <v>828</v>
      </c>
      <c r="BS5378" s="3">
        <v>40542</v>
      </c>
      <c r="BT5378" s="4">
        <v>0.32803240740740741</v>
      </c>
    </row>
    <row r="5379" spans="1:72" x14ac:dyDescent="0.25">
      <c r="A5379" s="2">
        <v>8332</v>
      </c>
      <c r="B5379" s="2">
        <v>2010</v>
      </c>
      <c r="C5379" s="2" t="s">
        <v>764</v>
      </c>
      <c r="D5379" s="2" t="s">
        <v>122</v>
      </c>
      <c r="E5379" s="2" t="s">
        <v>16426</v>
      </c>
      <c r="F5379" s="2">
        <v>110</v>
      </c>
      <c r="G5379" s="2" t="s">
        <v>7444</v>
      </c>
      <c r="H5379" s="2">
        <v>47</v>
      </c>
      <c r="I5379" s="2" t="s">
        <v>1409</v>
      </c>
      <c r="J5379" s="2">
        <v>126</v>
      </c>
      <c r="K5379" s="2" t="s">
        <v>7445</v>
      </c>
      <c r="L5379" s="2" t="s">
        <v>7446</v>
      </c>
      <c r="M5379" s="3">
        <v>40542</v>
      </c>
      <c r="N5379" s="2" t="s">
        <v>16427</v>
      </c>
      <c r="O5379" s="2" t="s">
        <v>16428</v>
      </c>
      <c r="P5379" s="2" t="s">
        <v>16429</v>
      </c>
      <c r="Q5379" s="2" t="str">
        <f>"0009/2010"</f>
        <v>0009/2010</v>
      </c>
      <c r="R5379" s="2" t="s">
        <v>15597</v>
      </c>
      <c r="S5379" s="2" t="s">
        <v>107</v>
      </c>
      <c r="T5379" s="2">
        <v>1</v>
      </c>
      <c r="U5379" s="2" t="s">
        <v>79</v>
      </c>
      <c r="V5379" s="2">
        <v>1</v>
      </c>
      <c r="W5379" s="2" t="s">
        <v>80</v>
      </c>
      <c r="X5379" s="2">
        <v>5</v>
      </c>
      <c r="Y5379" s="2" t="s">
        <v>82</v>
      </c>
      <c r="Z5379" s="2">
        <v>1</v>
      </c>
      <c r="AA5379" s="2" t="s">
        <v>82</v>
      </c>
      <c r="AB5379" s="2">
        <v>9</v>
      </c>
      <c r="AC5379" s="2" t="s">
        <v>124</v>
      </c>
      <c r="AD5379" s="3">
        <v>40542</v>
      </c>
      <c r="AE5379" s="4">
        <v>0.41666666666666669</v>
      </c>
      <c r="AF5379" s="3">
        <v>40542</v>
      </c>
      <c r="AG5379" s="2"/>
      <c r="AH5379" s="2">
        <v>6</v>
      </c>
      <c r="AI5379" s="2" t="s">
        <v>197</v>
      </c>
      <c r="AJ5379" s="2">
        <v>57</v>
      </c>
      <c r="AK5379" s="2" t="s">
        <v>2344</v>
      </c>
      <c r="AL5379" s="2">
        <v>19</v>
      </c>
      <c r="AM5379" s="2" t="s">
        <v>107</v>
      </c>
      <c r="AN5379" s="2"/>
      <c r="AO5379" s="2"/>
      <c r="AP5379" s="2">
        <v>11</v>
      </c>
      <c r="AQ5379" s="2" t="s">
        <v>82</v>
      </c>
      <c r="AR5379" s="2"/>
      <c r="AS5379" s="2"/>
      <c r="AT5379" s="2" t="s">
        <v>16430</v>
      </c>
      <c r="AU5379" s="2"/>
      <c r="AV5379" s="2"/>
      <c r="AW5379" s="2"/>
      <c r="AX5379" s="2"/>
      <c r="AY5379" s="2">
        <v>41</v>
      </c>
      <c r="AZ5379" s="2" t="s">
        <v>82</v>
      </c>
      <c r="BA5379" s="2">
        <v>41</v>
      </c>
      <c r="BB5379" s="2" t="s">
        <v>82</v>
      </c>
      <c r="BC5379" s="2">
        <v>41</v>
      </c>
      <c r="BD5379" s="2" t="s">
        <v>82</v>
      </c>
      <c r="BE5379" s="2">
        <v>41</v>
      </c>
      <c r="BF5379" s="2" t="s">
        <v>82</v>
      </c>
      <c r="BG5379" s="2"/>
      <c r="BH5379" s="2"/>
      <c r="BI5379" s="2"/>
      <c r="BJ5379" s="2">
        <v>241</v>
      </c>
      <c r="BK5379" s="2" t="s">
        <v>82</v>
      </c>
      <c r="BL5379" s="2"/>
      <c r="BM5379" s="2">
        <v>241</v>
      </c>
      <c r="BN5379" s="2" t="s">
        <v>82</v>
      </c>
      <c r="BO5379" s="2"/>
      <c r="BP5379" s="2">
        <v>241</v>
      </c>
      <c r="BQ5379" s="2" t="s">
        <v>82</v>
      </c>
      <c r="BR5379" s="2"/>
      <c r="BS5379" s="3">
        <v>40542</v>
      </c>
      <c r="BT5379" s="4">
        <v>0.48877314814814815</v>
      </c>
    </row>
    <row r="5380" spans="1:72" x14ac:dyDescent="0.25">
      <c r="A5380" s="2">
        <v>8339</v>
      </c>
      <c r="B5380" s="2">
        <v>2010</v>
      </c>
      <c r="C5380" s="2" t="s">
        <v>196</v>
      </c>
      <c r="D5380" s="2" t="s">
        <v>122</v>
      </c>
      <c r="E5380" s="2"/>
      <c r="F5380" s="2">
        <v>1</v>
      </c>
      <c r="G5380" s="2" t="s">
        <v>82</v>
      </c>
      <c r="H5380" s="2">
        <v>1</v>
      </c>
      <c r="I5380" s="2" t="s">
        <v>82</v>
      </c>
      <c r="J5380" s="2">
        <v>1</v>
      </c>
      <c r="K5380" s="2" t="s">
        <v>107</v>
      </c>
      <c r="L5380" s="2" t="s">
        <v>107</v>
      </c>
      <c r="M5380" s="3">
        <v>40542</v>
      </c>
      <c r="N5380" s="2"/>
      <c r="O5380" s="2"/>
      <c r="P5380" s="2"/>
      <c r="Q5380" s="2" t="str">
        <f>""</f>
        <v/>
      </c>
      <c r="R5380" s="2"/>
      <c r="S5380" s="2"/>
      <c r="T5380" s="2">
        <v>2</v>
      </c>
      <c r="U5380" s="2" t="s">
        <v>123</v>
      </c>
      <c r="V5380" s="2">
        <v>1</v>
      </c>
      <c r="W5380" s="2" t="s">
        <v>80</v>
      </c>
      <c r="X5380" s="2">
        <v>11</v>
      </c>
      <c r="Y5380" s="2" t="s">
        <v>1920</v>
      </c>
      <c r="Z5380" s="2">
        <v>1</v>
      </c>
      <c r="AA5380" s="2" t="s">
        <v>82</v>
      </c>
      <c r="AB5380" s="2">
        <v>9</v>
      </c>
      <c r="AC5380" s="2" t="s">
        <v>124</v>
      </c>
      <c r="AD5380" s="3">
        <v>40512</v>
      </c>
      <c r="AE5380" s="4">
        <v>0.41666666666666669</v>
      </c>
      <c r="AF5380" s="3">
        <v>40542</v>
      </c>
      <c r="AG5380" s="4">
        <v>0.41666666666666669</v>
      </c>
      <c r="AH5380" s="2">
        <v>2</v>
      </c>
      <c r="AI5380" s="2" t="s">
        <v>84</v>
      </c>
      <c r="AJ5380" s="2">
        <v>12</v>
      </c>
      <c r="AK5380" s="2" t="s">
        <v>85</v>
      </c>
      <c r="AL5380" s="2">
        <v>20</v>
      </c>
      <c r="AM5380" s="2" t="s">
        <v>992</v>
      </c>
      <c r="AN5380" s="2"/>
      <c r="AO5380" s="2"/>
      <c r="AP5380" s="2">
        <v>11</v>
      </c>
      <c r="AQ5380" s="2" t="s">
        <v>82</v>
      </c>
      <c r="AR5380" s="2"/>
      <c r="AS5380" s="2"/>
      <c r="AT5380" s="2" t="s">
        <v>16431</v>
      </c>
      <c r="AU5380" s="2"/>
      <c r="AV5380" s="2"/>
      <c r="AW5380" s="2"/>
      <c r="AX5380" s="2"/>
      <c r="AY5380" s="2">
        <v>41</v>
      </c>
      <c r="AZ5380" s="2" t="s">
        <v>82</v>
      </c>
      <c r="BA5380" s="2">
        <v>41</v>
      </c>
      <c r="BB5380" s="2" t="s">
        <v>82</v>
      </c>
      <c r="BC5380" s="2">
        <v>41</v>
      </c>
      <c r="BD5380" s="2" t="s">
        <v>82</v>
      </c>
      <c r="BE5380" s="2">
        <v>41</v>
      </c>
      <c r="BF5380" s="2" t="s">
        <v>82</v>
      </c>
      <c r="BG5380" s="2"/>
      <c r="BH5380" s="2"/>
      <c r="BI5380" s="2"/>
      <c r="BJ5380" s="2">
        <v>13</v>
      </c>
      <c r="BK5380" s="2" t="s">
        <v>91</v>
      </c>
      <c r="BL5380" s="2" t="s">
        <v>185</v>
      </c>
      <c r="BM5380" s="2">
        <v>13</v>
      </c>
      <c r="BN5380" s="2" t="s">
        <v>91</v>
      </c>
      <c r="BO5380" s="2"/>
      <c r="BP5380" s="2">
        <v>13</v>
      </c>
      <c r="BQ5380" s="2" t="s">
        <v>91</v>
      </c>
      <c r="BR5380" s="2" t="s">
        <v>492</v>
      </c>
      <c r="BS5380" s="3">
        <v>40542</v>
      </c>
      <c r="BT5380" s="4">
        <v>0.61026620370370377</v>
      </c>
    </row>
    <row r="5381" spans="1:72" x14ac:dyDescent="0.25">
      <c r="A5381" s="2">
        <v>8341</v>
      </c>
      <c r="B5381" s="2">
        <v>2010</v>
      </c>
      <c r="C5381" s="2" t="s">
        <v>171</v>
      </c>
      <c r="D5381" s="2" t="s">
        <v>122</v>
      </c>
      <c r="E5381" s="2" t="s">
        <v>16432</v>
      </c>
      <c r="F5381" s="2">
        <v>121</v>
      </c>
      <c r="G5381" s="2" t="s">
        <v>2501</v>
      </c>
      <c r="H5381" s="2">
        <v>44</v>
      </c>
      <c r="I5381" s="2" t="s">
        <v>1272</v>
      </c>
      <c r="J5381" s="2">
        <v>135</v>
      </c>
      <c r="K5381" s="2" t="s">
        <v>2502</v>
      </c>
      <c r="L5381" s="2" t="s">
        <v>2503</v>
      </c>
      <c r="M5381" s="3">
        <v>40542</v>
      </c>
      <c r="N5381" s="2" t="s">
        <v>16398</v>
      </c>
      <c r="O5381" s="2" t="s">
        <v>16399</v>
      </c>
      <c r="P5381" s="2" t="s">
        <v>16400</v>
      </c>
      <c r="Q5381" s="2" t="str">
        <f>"0010/2010"</f>
        <v>0010/2010</v>
      </c>
      <c r="R5381" s="2" t="s">
        <v>16433</v>
      </c>
      <c r="S5381" s="2"/>
      <c r="T5381" s="2">
        <v>1</v>
      </c>
      <c r="U5381" s="2" t="s">
        <v>79</v>
      </c>
      <c r="V5381" s="2">
        <v>1</v>
      </c>
      <c r="W5381" s="2" t="s">
        <v>80</v>
      </c>
      <c r="X5381" s="2">
        <v>3</v>
      </c>
      <c r="Y5381" s="2" t="s">
        <v>698</v>
      </c>
      <c r="Z5381" s="2">
        <v>2</v>
      </c>
      <c r="AA5381" s="2" t="s">
        <v>2148</v>
      </c>
      <c r="AB5381" s="2">
        <v>1</v>
      </c>
      <c r="AC5381" s="2" t="s">
        <v>178</v>
      </c>
      <c r="AD5381" s="3">
        <v>40541</v>
      </c>
      <c r="AE5381" s="4">
        <v>0.47222222222222227</v>
      </c>
      <c r="AF5381" s="3">
        <v>40541</v>
      </c>
      <c r="AG5381" s="2"/>
      <c r="AH5381" s="2">
        <v>6</v>
      </c>
      <c r="AI5381" s="2" t="s">
        <v>197</v>
      </c>
      <c r="AJ5381" s="2">
        <v>58</v>
      </c>
      <c r="AK5381" s="2" t="s">
        <v>406</v>
      </c>
      <c r="AL5381" s="2">
        <v>25</v>
      </c>
      <c r="AM5381" s="2" t="s">
        <v>3073</v>
      </c>
      <c r="AN5381" s="2"/>
      <c r="AO5381" s="2" t="s">
        <v>179</v>
      </c>
      <c r="AP5381" s="2">
        <v>5</v>
      </c>
      <c r="AQ5381" s="2" t="s">
        <v>827</v>
      </c>
      <c r="AR5381" s="2"/>
      <c r="AS5381" s="2"/>
      <c r="AT5381" s="2" t="s">
        <v>16434</v>
      </c>
      <c r="AU5381" s="2"/>
      <c r="AV5381" s="2"/>
      <c r="AW5381" s="2"/>
      <c r="AX5381" s="2"/>
      <c r="AY5381" s="2">
        <v>41</v>
      </c>
      <c r="AZ5381" s="2" t="s">
        <v>82</v>
      </c>
      <c r="BA5381" s="2">
        <v>41</v>
      </c>
      <c r="BB5381" s="2" t="s">
        <v>82</v>
      </c>
      <c r="BC5381" s="2">
        <v>41</v>
      </c>
      <c r="BD5381" s="2" t="s">
        <v>82</v>
      </c>
      <c r="BE5381" s="2">
        <v>41</v>
      </c>
      <c r="BF5381" s="2" t="s">
        <v>82</v>
      </c>
      <c r="BG5381" s="2"/>
      <c r="BH5381" s="2"/>
      <c r="BI5381" s="2"/>
      <c r="BJ5381" s="2">
        <v>241</v>
      </c>
      <c r="BK5381" s="2" t="s">
        <v>82</v>
      </c>
      <c r="BL5381" s="2"/>
      <c r="BM5381" s="2">
        <v>241</v>
      </c>
      <c r="BN5381" s="2" t="s">
        <v>82</v>
      </c>
      <c r="BO5381" s="2"/>
      <c r="BP5381" s="2">
        <v>241</v>
      </c>
      <c r="BQ5381" s="2" t="s">
        <v>82</v>
      </c>
      <c r="BR5381" s="2"/>
      <c r="BS5381" s="3">
        <v>40542</v>
      </c>
      <c r="BT5381" s="4">
        <v>0.61519675925925921</v>
      </c>
    </row>
    <row r="5382" spans="1:72" x14ac:dyDescent="0.25">
      <c r="A5382" s="2">
        <v>8342</v>
      </c>
      <c r="B5382" s="2">
        <v>2010</v>
      </c>
      <c r="C5382" s="2" t="s">
        <v>1568</v>
      </c>
      <c r="D5382" s="2" t="s">
        <v>73</v>
      </c>
      <c r="E5382" s="2"/>
      <c r="F5382" s="2">
        <v>259</v>
      </c>
      <c r="G5382" s="2" t="s">
        <v>16057</v>
      </c>
      <c r="H5382" s="2">
        <v>22</v>
      </c>
      <c r="I5382" s="2" t="s">
        <v>75</v>
      </c>
      <c r="J5382" s="2">
        <v>271</v>
      </c>
      <c r="K5382" s="2" t="s">
        <v>16059</v>
      </c>
      <c r="L5382" s="2" t="s">
        <v>16060</v>
      </c>
      <c r="M5382" s="3">
        <v>40542</v>
      </c>
      <c r="N5382" s="2" t="s">
        <v>16435</v>
      </c>
      <c r="O5382" s="2" t="s">
        <v>16436</v>
      </c>
      <c r="P5382" s="2"/>
      <c r="Q5382" s="2" t="str">
        <f>"481-A/10"</f>
        <v>481-A/10</v>
      </c>
      <c r="R5382" s="2" t="s">
        <v>16436</v>
      </c>
      <c r="S5382" s="2"/>
      <c r="T5382" s="2">
        <v>1</v>
      </c>
      <c r="U5382" s="2" t="s">
        <v>79</v>
      </c>
      <c r="V5382" s="2">
        <v>1</v>
      </c>
      <c r="W5382" s="2" t="s">
        <v>80</v>
      </c>
      <c r="X5382" s="2">
        <v>1</v>
      </c>
      <c r="Y5382" s="2" t="s">
        <v>81</v>
      </c>
      <c r="Z5382" s="2">
        <v>1</v>
      </c>
      <c r="AA5382" s="2" t="s">
        <v>82</v>
      </c>
      <c r="AB5382" s="2">
        <v>4</v>
      </c>
      <c r="AC5382" s="2" t="s">
        <v>1569</v>
      </c>
      <c r="AD5382" s="3">
        <v>40542</v>
      </c>
      <c r="AE5382" s="4">
        <v>0.33333333333333331</v>
      </c>
      <c r="AF5382" s="3">
        <v>40542</v>
      </c>
      <c r="AG5382" s="4">
        <v>0.5</v>
      </c>
      <c r="AH5382" s="2">
        <v>2</v>
      </c>
      <c r="AI5382" s="2" t="s">
        <v>84</v>
      </c>
      <c r="AJ5382" s="2">
        <v>12</v>
      </c>
      <c r="AK5382" s="2" t="s">
        <v>85</v>
      </c>
      <c r="AL5382" s="2">
        <v>14</v>
      </c>
      <c r="AM5382" s="2" t="s">
        <v>216</v>
      </c>
      <c r="AN5382" s="2" t="s">
        <v>5310</v>
      </c>
      <c r="AO5382" s="2" t="s">
        <v>1230</v>
      </c>
      <c r="AP5382" s="2">
        <v>11</v>
      </c>
      <c r="AQ5382" s="2" t="s">
        <v>82</v>
      </c>
      <c r="AR5382" s="2"/>
      <c r="AS5382" s="2"/>
      <c r="AT5382" s="2" t="s">
        <v>16437</v>
      </c>
      <c r="AU5382" s="2">
        <v>1</v>
      </c>
      <c r="AV5382" s="2"/>
      <c r="AW5382" s="2"/>
      <c r="AX5382" s="2"/>
      <c r="AY5382" s="2">
        <v>41</v>
      </c>
      <c r="AZ5382" s="2" t="s">
        <v>82</v>
      </c>
      <c r="BA5382" s="2">
        <v>41</v>
      </c>
      <c r="BB5382" s="2" t="s">
        <v>82</v>
      </c>
      <c r="BC5382" s="2">
        <v>41</v>
      </c>
      <c r="BD5382" s="2" t="s">
        <v>82</v>
      </c>
      <c r="BE5382" s="2">
        <v>4</v>
      </c>
      <c r="BF5382" s="2" t="s">
        <v>90</v>
      </c>
      <c r="BG5382" s="2" t="s">
        <v>13800</v>
      </c>
      <c r="BH5382" s="2"/>
      <c r="BI5382" s="2"/>
      <c r="BJ5382" s="2">
        <v>13</v>
      </c>
      <c r="BK5382" s="2" t="s">
        <v>91</v>
      </c>
      <c r="BL5382" s="2" t="s">
        <v>564</v>
      </c>
      <c r="BM5382" s="2">
        <v>241</v>
      </c>
      <c r="BN5382" s="2" t="s">
        <v>82</v>
      </c>
      <c r="BO5382" s="2"/>
      <c r="BP5382" s="2">
        <v>46</v>
      </c>
      <c r="BQ5382" s="2" t="s">
        <v>307</v>
      </c>
      <c r="BR5382" s="2" t="s">
        <v>308</v>
      </c>
      <c r="BS5382" s="3">
        <v>40542</v>
      </c>
      <c r="BT5382" s="4">
        <v>0.69675925925925919</v>
      </c>
    </row>
    <row r="5383" spans="1:72" x14ac:dyDescent="0.25">
      <c r="A5383" s="2">
        <v>8343</v>
      </c>
      <c r="B5383" s="2">
        <v>2010</v>
      </c>
      <c r="C5383" s="2" t="s">
        <v>4543</v>
      </c>
      <c r="D5383" s="2" t="s">
        <v>122</v>
      </c>
      <c r="E5383" s="2"/>
      <c r="F5383" s="2">
        <v>29</v>
      </c>
      <c r="G5383" s="2" t="s">
        <v>1150</v>
      </c>
      <c r="H5383" s="2">
        <v>22</v>
      </c>
      <c r="I5383" s="2" t="s">
        <v>75</v>
      </c>
      <c r="J5383" s="2">
        <v>1</v>
      </c>
      <c r="K5383" s="2" t="s">
        <v>107</v>
      </c>
      <c r="L5383" s="2" t="s">
        <v>107</v>
      </c>
      <c r="M5383" s="3">
        <v>40542</v>
      </c>
      <c r="N5383" s="2" t="s">
        <v>16438</v>
      </c>
      <c r="O5383" s="2" t="s">
        <v>16439</v>
      </c>
      <c r="P5383" s="2"/>
      <c r="Q5383" s="2" t="str">
        <f>""</f>
        <v/>
      </c>
      <c r="R5383" s="2"/>
      <c r="S5383" s="2"/>
      <c r="T5383" s="2">
        <v>2</v>
      </c>
      <c r="U5383" s="2" t="s">
        <v>123</v>
      </c>
      <c r="V5383" s="2">
        <v>1</v>
      </c>
      <c r="W5383" s="2" t="s">
        <v>80</v>
      </c>
      <c r="X5383" s="2">
        <v>10</v>
      </c>
      <c r="Y5383" s="2" t="s">
        <v>226</v>
      </c>
      <c r="Z5383" s="2">
        <v>6</v>
      </c>
      <c r="AA5383" s="2" t="s">
        <v>101</v>
      </c>
      <c r="AB5383" s="2">
        <v>9</v>
      </c>
      <c r="AC5383" s="2" t="s">
        <v>124</v>
      </c>
      <c r="AD5383" s="3">
        <v>40542</v>
      </c>
      <c r="AE5383" s="4">
        <v>0.40625</v>
      </c>
      <c r="AF5383" s="3">
        <v>40542</v>
      </c>
      <c r="AG5383" s="4">
        <v>0.40625</v>
      </c>
      <c r="AH5383" s="2">
        <v>2</v>
      </c>
      <c r="AI5383" s="2" t="s">
        <v>84</v>
      </c>
      <c r="AJ5383" s="2">
        <v>12</v>
      </c>
      <c r="AK5383" s="2" t="s">
        <v>85</v>
      </c>
      <c r="AL5383" s="2">
        <v>14</v>
      </c>
      <c r="AM5383" s="2" t="s">
        <v>216</v>
      </c>
      <c r="AN5383" s="2"/>
      <c r="AO5383" s="2" t="s">
        <v>1059</v>
      </c>
      <c r="AP5383" s="2">
        <v>11</v>
      </c>
      <c r="AQ5383" s="2" t="s">
        <v>82</v>
      </c>
      <c r="AR5383" s="2"/>
      <c r="AS5383" s="2"/>
      <c r="AT5383" s="2" t="s">
        <v>16440</v>
      </c>
      <c r="AU5383" s="2"/>
      <c r="AV5383" s="2"/>
      <c r="AW5383" s="2"/>
      <c r="AX5383" s="2"/>
      <c r="AY5383" s="2">
        <v>41</v>
      </c>
      <c r="AZ5383" s="2" t="s">
        <v>82</v>
      </c>
      <c r="BA5383" s="2">
        <v>41</v>
      </c>
      <c r="BB5383" s="2" t="s">
        <v>82</v>
      </c>
      <c r="BC5383" s="2">
        <v>41</v>
      </c>
      <c r="BD5383" s="2" t="s">
        <v>82</v>
      </c>
      <c r="BE5383" s="2">
        <v>13</v>
      </c>
      <c r="BF5383" s="2" t="s">
        <v>108</v>
      </c>
      <c r="BG5383" s="2" t="s">
        <v>16441</v>
      </c>
      <c r="BH5383" s="4">
        <v>0.52777777777777779</v>
      </c>
      <c r="BI5383" s="4">
        <v>0.44444444444444442</v>
      </c>
      <c r="BJ5383" s="2">
        <v>13</v>
      </c>
      <c r="BK5383" s="2" t="s">
        <v>91</v>
      </c>
      <c r="BL5383" s="2" t="s">
        <v>185</v>
      </c>
      <c r="BM5383" s="2">
        <v>241</v>
      </c>
      <c r="BN5383" s="2" t="s">
        <v>82</v>
      </c>
      <c r="BO5383" s="2"/>
      <c r="BP5383" s="2">
        <v>46</v>
      </c>
      <c r="BQ5383" s="2" t="s">
        <v>307</v>
      </c>
      <c r="BR5383" s="2" t="s">
        <v>308</v>
      </c>
      <c r="BS5383" s="3">
        <v>40542</v>
      </c>
      <c r="BT5383" s="4">
        <v>0.73938657407407404</v>
      </c>
    </row>
    <row r="5384" spans="1:72" x14ac:dyDescent="0.25">
      <c r="A5384" s="2">
        <v>8344</v>
      </c>
      <c r="B5384" s="2">
        <v>2010</v>
      </c>
      <c r="C5384" s="2" t="s">
        <v>196</v>
      </c>
      <c r="D5384" s="2" t="s">
        <v>122</v>
      </c>
      <c r="E5384" s="2"/>
      <c r="F5384" s="2">
        <v>1</v>
      </c>
      <c r="G5384" s="2" t="s">
        <v>82</v>
      </c>
      <c r="H5384" s="2">
        <v>1</v>
      </c>
      <c r="I5384" s="2" t="s">
        <v>82</v>
      </c>
      <c r="J5384" s="2">
        <v>1</v>
      </c>
      <c r="K5384" s="2" t="s">
        <v>107</v>
      </c>
      <c r="L5384" s="2" t="s">
        <v>107</v>
      </c>
      <c r="M5384" s="3">
        <v>40542</v>
      </c>
      <c r="N5384" s="2"/>
      <c r="O5384" s="2"/>
      <c r="P5384" s="2"/>
      <c r="Q5384" s="2" t="str">
        <f>""</f>
        <v/>
      </c>
      <c r="R5384" s="2"/>
      <c r="S5384" s="2"/>
      <c r="T5384" s="2">
        <v>2</v>
      </c>
      <c r="U5384" s="2" t="s">
        <v>123</v>
      </c>
      <c r="V5384" s="2">
        <v>1</v>
      </c>
      <c r="W5384" s="2" t="s">
        <v>80</v>
      </c>
      <c r="X5384" s="2">
        <v>5</v>
      </c>
      <c r="Y5384" s="2" t="s">
        <v>82</v>
      </c>
      <c r="Z5384" s="2">
        <v>1</v>
      </c>
      <c r="AA5384" s="2" t="s">
        <v>82</v>
      </c>
      <c r="AB5384" s="2">
        <v>9</v>
      </c>
      <c r="AC5384" s="2" t="s">
        <v>124</v>
      </c>
      <c r="AD5384" s="3">
        <v>40542</v>
      </c>
      <c r="AE5384" s="4">
        <v>0.70277777777777783</v>
      </c>
      <c r="AF5384" s="3">
        <v>40542</v>
      </c>
      <c r="AG5384" s="4">
        <v>0.70277777777777783</v>
      </c>
      <c r="AH5384" s="2">
        <v>6</v>
      </c>
      <c r="AI5384" s="2" t="s">
        <v>197</v>
      </c>
      <c r="AJ5384" s="2">
        <v>58</v>
      </c>
      <c r="AK5384" s="2" t="s">
        <v>406</v>
      </c>
      <c r="AL5384" s="2">
        <v>19</v>
      </c>
      <c r="AM5384" s="2" t="s">
        <v>107</v>
      </c>
      <c r="AN5384" s="2" t="s">
        <v>230</v>
      </c>
      <c r="AO5384" s="2" t="s">
        <v>259</v>
      </c>
      <c r="AP5384" s="2">
        <v>11</v>
      </c>
      <c r="AQ5384" s="2" t="s">
        <v>82</v>
      </c>
      <c r="AR5384" s="2"/>
      <c r="AS5384" s="2"/>
      <c r="AT5384" s="2" t="s">
        <v>16442</v>
      </c>
      <c r="AU5384" s="2"/>
      <c r="AV5384" s="2"/>
      <c r="AW5384" s="2"/>
      <c r="AX5384" s="2"/>
      <c r="AY5384" s="2">
        <v>41</v>
      </c>
      <c r="AZ5384" s="2" t="s">
        <v>82</v>
      </c>
      <c r="BA5384" s="2">
        <v>41</v>
      </c>
      <c r="BB5384" s="2" t="s">
        <v>82</v>
      </c>
      <c r="BC5384" s="2">
        <v>41</v>
      </c>
      <c r="BD5384" s="2" t="s">
        <v>82</v>
      </c>
      <c r="BE5384" s="2">
        <v>41</v>
      </c>
      <c r="BF5384" s="2" t="s">
        <v>82</v>
      </c>
      <c r="BG5384" s="2" t="s">
        <v>6734</v>
      </c>
      <c r="BH5384" s="4">
        <v>0.70277777777777783</v>
      </c>
      <c r="BI5384" s="2"/>
      <c r="BJ5384" s="2">
        <v>241</v>
      </c>
      <c r="BK5384" s="2" t="s">
        <v>82</v>
      </c>
      <c r="BL5384" s="2" t="s">
        <v>185</v>
      </c>
      <c r="BM5384" s="2">
        <v>241</v>
      </c>
      <c r="BN5384" s="2" t="s">
        <v>82</v>
      </c>
      <c r="BO5384" s="2"/>
      <c r="BP5384" s="2">
        <v>241</v>
      </c>
      <c r="BQ5384" s="2" t="s">
        <v>82</v>
      </c>
      <c r="BR5384" s="2" t="s">
        <v>492</v>
      </c>
      <c r="BS5384" s="3">
        <v>40542</v>
      </c>
      <c r="BT5384" s="4">
        <v>0.75416666666666676</v>
      </c>
    </row>
    <row r="5385" spans="1:72" x14ac:dyDescent="0.25">
      <c r="A5385" s="2">
        <v>8345</v>
      </c>
      <c r="B5385" s="2">
        <v>2010</v>
      </c>
      <c r="C5385" s="2" t="s">
        <v>72</v>
      </c>
      <c r="D5385" s="2" t="s">
        <v>73</v>
      </c>
      <c r="E5385" s="2"/>
      <c r="F5385" s="2">
        <v>630</v>
      </c>
      <c r="G5385" s="2" t="s">
        <v>16047</v>
      </c>
      <c r="H5385" s="2">
        <v>22</v>
      </c>
      <c r="I5385" s="2" t="s">
        <v>75</v>
      </c>
      <c r="J5385" s="2">
        <v>756</v>
      </c>
      <c r="K5385" s="2" t="s">
        <v>16025</v>
      </c>
      <c r="L5385" s="2" t="s">
        <v>16026</v>
      </c>
      <c r="M5385" s="3">
        <v>40542</v>
      </c>
      <c r="N5385" s="2" t="s">
        <v>16443</v>
      </c>
      <c r="O5385" s="2"/>
      <c r="P5385" s="2"/>
      <c r="Q5385" s="2" t="str">
        <f>"482-A/10"</f>
        <v>482-A/10</v>
      </c>
      <c r="R5385" s="2" t="s">
        <v>1547</v>
      </c>
      <c r="S5385" s="2" t="s">
        <v>1547</v>
      </c>
      <c r="T5385" s="2">
        <v>1</v>
      </c>
      <c r="U5385" s="2" t="s">
        <v>79</v>
      </c>
      <c r="V5385" s="2">
        <v>1</v>
      </c>
      <c r="W5385" s="2" t="s">
        <v>80</v>
      </c>
      <c r="X5385" s="2">
        <v>12</v>
      </c>
      <c r="Y5385" s="2" t="s">
        <v>148</v>
      </c>
      <c r="Z5385" s="2">
        <v>1</v>
      </c>
      <c r="AA5385" s="2" t="s">
        <v>82</v>
      </c>
      <c r="AB5385" s="2">
        <v>6</v>
      </c>
      <c r="AC5385" s="2" t="s">
        <v>83</v>
      </c>
      <c r="AD5385" s="3">
        <v>40542</v>
      </c>
      <c r="AE5385" s="2"/>
      <c r="AF5385" s="3">
        <v>40542</v>
      </c>
      <c r="AG5385" s="4">
        <v>0.61111111111111105</v>
      </c>
      <c r="AH5385" s="2">
        <v>2</v>
      </c>
      <c r="AI5385" s="2" t="s">
        <v>84</v>
      </c>
      <c r="AJ5385" s="2">
        <v>12</v>
      </c>
      <c r="AK5385" s="2" t="s">
        <v>85</v>
      </c>
      <c r="AL5385" s="2">
        <v>22</v>
      </c>
      <c r="AM5385" s="2" t="s">
        <v>1853</v>
      </c>
      <c r="AN5385" s="2"/>
      <c r="AO5385" s="2" t="s">
        <v>12115</v>
      </c>
      <c r="AP5385" s="2">
        <v>11</v>
      </c>
      <c r="AQ5385" s="2" t="s">
        <v>82</v>
      </c>
      <c r="AR5385" s="2"/>
      <c r="AS5385" s="2"/>
      <c r="AT5385" s="2" t="s">
        <v>16444</v>
      </c>
      <c r="AU5385" s="2"/>
      <c r="AV5385" s="2"/>
      <c r="AW5385" s="2"/>
      <c r="AX5385" s="2"/>
      <c r="AY5385" s="2">
        <v>41</v>
      </c>
      <c r="AZ5385" s="2" t="s">
        <v>82</v>
      </c>
      <c r="BA5385" s="2">
        <v>41</v>
      </c>
      <c r="BB5385" s="2" t="s">
        <v>82</v>
      </c>
      <c r="BC5385" s="2">
        <v>41</v>
      </c>
      <c r="BD5385" s="2" t="s">
        <v>82</v>
      </c>
      <c r="BE5385" s="2">
        <v>4</v>
      </c>
      <c r="BF5385" s="2" t="s">
        <v>90</v>
      </c>
      <c r="BG5385" s="2" t="s">
        <v>7694</v>
      </c>
      <c r="BH5385" s="4">
        <v>0.47916666666666669</v>
      </c>
      <c r="BI5385" s="4">
        <v>0.39583333333333331</v>
      </c>
      <c r="BJ5385" s="2">
        <v>13</v>
      </c>
      <c r="BK5385" s="2" t="s">
        <v>91</v>
      </c>
      <c r="BL5385" s="2" t="s">
        <v>744</v>
      </c>
      <c r="BM5385" s="2">
        <v>13</v>
      </c>
      <c r="BN5385" s="2" t="s">
        <v>91</v>
      </c>
      <c r="BO5385" s="2"/>
      <c r="BP5385" s="2">
        <v>13</v>
      </c>
      <c r="BQ5385" s="2" t="s">
        <v>91</v>
      </c>
      <c r="BR5385" s="2" t="s">
        <v>564</v>
      </c>
      <c r="BS5385" s="3">
        <v>40542</v>
      </c>
      <c r="BT5385" s="4">
        <v>0.81298611111111108</v>
      </c>
    </row>
    <row r="5386" spans="1:72" x14ac:dyDescent="0.25">
      <c r="A5386" s="2">
        <v>8346</v>
      </c>
      <c r="B5386" s="2">
        <v>2010</v>
      </c>
      <c r="C5386" s="2" t="s">
        <v>171</v>
      </c>
      <c r="D5386" s="2" t="s">
        <v>73</v>
      </c>
      <c r="E5386" s="2"/>
      <c r="F5386" s="2">
        <v>393</v>
      </c>
      <c r="G5386" s="2" t="s">
        <v>3660</v>
      </c>
      <c r="H5386" s="2">
        <v>2</v>
      </c>
      <c r="I5386" s="2" t="s">
        <v>267</v>
      </c>
      <c r="J5386" s="2">
        <v>2</v>
      </c>
      <c r="K5386" s="2" t="s">
        <v>3661</v>
      </c>
      <c r="L5386" s="2" t="s">
        <v>3662</v>
      </c>
      <c r="M5386" s="3">
        <v>40542</v>
      </c>
      <c r="N5386" s="2" t="s">
        <v>16445</v>
      </c>
      <c r="O5386" s="2" t="s">
        <v>16446</v>
      </c>
      <c r="P5386" s="2">
        <v>5856</v>
      </c>
      <c r="Q5386" s="2" t="str">
        <f>"0691E/10"</f>
        <v>0691E/10</v>
      </c>
      <c r="R5386" s="2" t="s">
        <v>391</v>
      </c>
      <c r="S5386" s="2" t="s">
        <v>391</v>
      </c>
      <c r="T5386" s="2">
        <v>1</v>
      </c>
      <c r="U5386" s="2" t="s">
        <v>79</v>
      </c>
      <c r="V5386" s="2">
        <v>1</v>
      </c>
      <c r="W5386" s="2" t="s">
        <v>80</v>
      </c>
      <c r="X5386" s="2">
        <v>8</v>
      </c>
      <c r="Y5386" s="2" t="s">
        <v>375</v>
      </c>
      <c r="Z5386" s="2">
        <v>1</v>
      </c>
      <c r="AA5386" s="2" t="s">
        <v>82</v>
      </c>
      <c r="AB5386" s="2">
        <v>1</v>
      </c>
      <c r="AC5386" s="2" t="s">
        <v>178</v>
      </c>
      <c r="AD5386" s="3">
        <v>40542</v>
      </c>
      <c r="AE5386" s="4">
        <v>0.72916666666666663</v>
      </c>
      <c r="AF5386" s="3">
        <v>40542</v>
      </c>
      <c r="AG5386" s="4">
        <v>0.73958333333333337</v>
      </c>
      <c r="AH5386" s="2">
        <v>2</v>
      </c>
      <c r="AI5386" s="2" t="s">
        <v>84</v>
      </c>
      <c r="AJ5386" s="2">
        <v>6</v>
      </c>
      <c r="AK5386" s="2" t="s">
        <v>453</v>
      </c>
      <c r="AL5386" s="2">
        <v>23</v>
      </c>
      <c r="AM5386" s="2" t="s">
        <v>251</v>
      </c>
      <c r="AN5386" s="2"/>
      <c r="AO5386" s="2" t="s">
        <v>16447</v>
      </c>
      <c r="AP5386" s="2">
        <v>11</v>
      </c>
      <c r="AQ5386" s="2" t="s">
        <v>82</v>
      </c>
      <c r="AR5386" s="2"/>
      <c r="AS5386" s="2"/>
      <c r="AT5386" s="2" t="s">
        <v>16448</v>
      </c>
      <c r="AU5386" s="2"/>
      <c r="AV5386" s="2">
        <v>1</v>
      </c>
      <c r="AW5386" s="2"/>
      <c r="AX5386" s="2"/>
      <c r="AY5386" s="2">
        <v>41</v>
      </c>
      <c r="AZ5386" s="2" t="s">
        <v>82</v>
      </c>
      <c r="BA5386" s="2">
        <v>41</v>
      </c>
      <c r="BB5386" s="2" t="s">
        <v>82</v>
      </c>
      <c r="BC5386" s="2">
        <v>41</v>
      </c>
      <c r="BD5386" s="2" t="s">
        <v>82</v>
      </c>
      <c r="BE5386" s="2">
        <v>41</v>
      </c>
      <c r="BF5386" s="2" t="s">
        <v>82</v>
      </c>
      <c r="BG5386" s="2"/>
      <c r="BH5386" s="2"/>
      <c r="BI5386" s="2"/>
      <c r="BJ5386" s="2">
        <v>241</v>
      </c>
      <c r="BK5386" s="2" t="s">
        <v>82</v>
      </c>
      <c r="BL5386" s="2"/>
      <c r="BM5386" s="2">
        <v>241</v>
      </c>
      <c r="BN5386" s="2" t="s">
        <v>82</v>
      </c>
      <c r="BO5386" s="2"/>
      <c r="BP5386" s="2">
        <v>241</v>
      </c>
      <c r="BQ5386" s="2" t="s">
        <v>82</v>
      </c>
      <c r="BR5386" s="2"/>
      <c r="BS5386" s="3">
        <v>40542</v>
      </c>
      <c r="BT5386" s="4">
        <v>0.87194444444444441</v>
      </c>
    </row>
    <row r="5387" spans="1:72" x14ac:dyDescent="0.25">
      <c r="A5387" s="2">
        <v>8347</v>
      </c>
      <c r="B5387" s="2">
        <v>2010</v>
      </c>
      <c r="C5387" s="2" t="s">
        <v>171</v>
      </c>
      <c r="D5387" s="2" t="s">
        <v>73</v>
      </c>
      <c r="E5387" s="2"/>
      <c r="F5387" s="2">
        <v>393</v>
      </c>
      <c r="G5387" s="2" t="s">
        <v>3660</v>
      </c>
      <c r="H5387" s="2">
        <v>3</v>
      </c>
      <c r="I5387" s="2" t="s">
        <v>315</v>
      </c>
      <c r="J5387" s="2">
        <v>2</v>
      </c>
      <c r="K5387" s="2" t="s">
        <v>3661</v>
      </c>
      <c r="L5387" s="2" t="s">
        <v>3662</v>
      </c>
      <c r="M5387" s="3">
        <v>40543</v>
      </c>
      <c r="N5387" s="2" t="s">
        <v>16194</v>
      </c>
      <c r="O5387" s="2"/>
      <c r="P5387" s="2"/>
      <c r="Q5387" s="2" t="str">
        <f>"0692-E/10"</f>
        <v>0692-E/10</v>
      </c>
      <c r="R5387" s="2" t="s">
        <v>391</v>
      </c>
      <c r="S5387" s="2" t="s">
        <v>391</v>
      </c>
      <c r="T5387" s="2">
        <v>1</v>
      </c>
      <c r="U5387" s="2" t="s">
        <v>79</v>
      </c>
      <c r="V5387" s="2">
        <v>1</v>
      </c>
      <c r="W5387" s="2" t="s">
        <v>80</v>
      </c>
      <c r="X5387" s="2">
        <v>1</v>
      </c>
      <c r="Y5387" s="2" t="s">
        <v>81</v>
      </c>
      <c r="Z5387" s="2">
        <v>1</v>
      </c>
      <c r="AA5387" s="2" t="s">
        <v>82</v>
      </c>
      <c r="AB5387" s="2">
        <v>1</v>
      </c>
      <c r="AC5387" s="2" t="s">
        <v>178</v>
      </c>
      <c r="AD5387" s="3">
        <v>40542</v>
      </c>
      <c r="AE5387" s="4">
        <v>0.72916666666666663</v>
      </c>
      <c r="AF5387" s="3">
        <v>40542</v>
      </c>
      <c r="AG5387" s="4">
        <v>0.83333333333333337</v>
      </c>
      <c r="AH5387" s="2">
        <v>2</v>
      </c>
      <c r="AI5387" s="2" t="s">
        <v>84</v>
      </c>
      <c r="AJ5387" s="2">
        <v>9</v>
      </c>
      <c r="AK5387" s="2" t="s">
        <v>103</v>
      </c>
      <c r="AL5387" s="2">
        <v>25</v>
      </c>
      <c r="AM5387" s="2" t="s">
        <v>3073</v>
      </c>
      <c r="AN5387" s="2" t="s">
        <v>179</v>
      </c>
      <c r="AO5387" s="2" t="s">
        <v>987</v>
      </c>
      <c r="AP5387" s="2">
        <v>11</v>
      </c>
      <c r="AQ5387" s="2" t="s">
        <v>82</v>
      </c>
      <c r="AR5387" s="2"/>
      <c r="AS5387" s="2"/>
      <c r="AT5387" s="2" t="s">
        <v>16449</v>
      </c>
      <c r="AU5387" s="2"/>
      <c r="AV5387" s="2">
        <v>1</v>
      </c>
      <c r="AW5387" s="2"/>
      <c r="AX5387" s="2"/>
      <c r="AY5387" s="2">
        <v>41</v>
      </c>
      <c r="AZ5387" s="2" t="s">
        <v>82</v>
      </c>
      <c r="BA5387" s="2">
        <v>41</v>
      </c>
      <c r="BB5387" s="2" t="s">
        <v>82</v>
      </c>
      <c r="BC5387" s="2">
        <v>41</v>
      </c>
      <c r="BD5387" s="2" t="s">
        <v>82</v>
      </c>
      <c r="BE5387" s="2">
        <v>6</v>
      </c>
      <c r="BF5387" s="2" t="s">
        <v>616</v>
      </c>
      <c r="BG5387" s="2" t="s">
        <v>6898</v>
      </c>
      <c r="BH5387" s="2"/>
      <c r="BI5387" s="4">
        <v>0.76388888888888884</v>
      </c>
      <c r="BJ5387" s="2">
        <v>13</v>
      </c>
      <c r="BK5387" s="2" t="s">
        <v>91</v>
      </c>
      <c r="BL5387" s="2" t="s">
        <v>360</v>
      </c>
      <c r="BM5387" s="2">
        <v>4</v>
      </c>
      <c r="BN5387" s="2" t="s">
        <v>618</v>
      </c>
      <c r="BO5387" s="2"/>
      <c r="BP5387" s="2">
        <v>4</v>
      </c>
      <c r="BQ5387" s="2" t="s">
        <v>618</v>
      </c>
      <c r="BR5387" s="2" t="s">
        <v>619</v>
      </c>
      <c r="BS5387" s="3">
        <v>40543</v>
      </c>
      <c r="BT5387" s="4">
        <v>0.48166666666666669</v>
      </c>
    </row>
    <row r="5388" spans="1:72" x14ac:dyDescent="0.25">
      <c r="A5388" s="2">
        <v>8348</v>
      </c>
      <c r="B5388" s="2">
        <v>2010</v>
      </c>
      <c r="C5388" s="2" t="s">
        <v>93</v>
      </c>
      <c r="D5388" s="2" t="s">
        <v>73</v>
      </c>
      <c r="E5388" s="2"/>
      <c r="F5388" s="2">
        <v>651</v>
      </c>
      <c r="G5388" s="2" t="s">
        <v>2454</v>
      </c>
      <c r="H5388" s="2">
        <v>4</v>
      </c>
      <c r="I5388" s="2" t="s">
        <v>173</v>
      </c>
      <c r="J5388" s="2">
        <v>19</v>
      </c>
      <c r="K5388" s="2" t="s">
        <v>2144</v>
      </c>
      <c r="L5388" s="2" t="s">
        <v>2145</v>
      </c>
      <c r="M5388" s="3">
        <v>40543</v>
      </c>
      <c r="N5388" s="2" t="s">
        <v>2455</v>
      </c>
      <c r="O5388" s="2" t="s">
        <v>16450</v>
      </c>
      <c r="P5388" s="2" t="s">
        <v>16451</v>
      </c>
      <c r="Q5388" s="2" t="str">
        <f>"80/2010"</f>
        <v>80/2010</v>
      </c>
      <c r="R5388" s="2" t="s">
        <v>107</v>
      </c>
      <c r="S5388" s="2" t="s">
        <v>107</v>
      </c>
      <c r="T5388" s="2">
        <v>1</v>
      </c>
      <c r="U5388" s="2" t="s">
        <v>79</v>
      </c>
      <c r="V5388" s="2">
        <v>1</v>
      </c>
      <c r="W5388" s="2" t="s">
        <v>80</v>
      </c>
      <c r="X5388" s="2">
        <v>10</v>
      </c>
      <c r="Y5388" s="2" t="s">
        <v>226</v>
      </c>
      <c r="Z5388" s="2">
        <v>6</v>
      </c>
      <c r="AA5388" s="2" t="s">
        <v>101</v>
      </c>
      <c r="AB5388" s="2">
        <v>2</v>
      </c>
      <c r="AC5388" s="2" t="s">
        <v>102</v>
      </c>
      <c r="AD5388" s="3">
        <v>40543</v>
      </c>
      <c r="AE5388" s="4">
        <v>9.7222222222222224E-2</v>
      </c>
      <c r="AF5388" s="3">
        <v>40543</v>
      </c>
      <c r="AG5388" s="4">
        <v>0.20833333333333334</v>
      </c>
      <c r="AH5388" s="2">
        <v>3</v>
      </c>
      <c r="AI5388" s="2" t="s">
        <v>214</v>
      </c>
      <c r="AJ5388" s="2">
        <v>24</v>
      </c>
      <c r="AK5388" s="2" t="s">
        <v>215</v>
      </c>
      <c r="AL5388" s="2">
        <v>14</v>
      </c>
      <c r="AM5388" s="2" t="s">
        <v>216</v>
      </c>
      <c r="AN5388" s="2" t="s">
        <v>13290</v>
      </c>
      <c r="AO5388" s="2" t="s">
        <v>107</v>
      </c>
      <c r="AP5388" s="2">
        <v>11</v>
      </c>
      <c r="AQ5388" s="2" t="s">
        <v>82</v>
      </c>
      <c r="AR5388" s="2" t="s">
        <v>82</v>
      </c>
      <c r="AS5388" s="2" t="s">
        <v>82</v>
      </c>
      <c r="AT5388" s="2" t="s">
        <v>16452</v>
      </c>
      <c r="AU5388" s="2"/>
      <c r="AV5388" s="2"/>
      <c r="AW5388" s="2"/>
      <c r="AX5388" s="2"/>
      <c r="AY5388" s="2">
        <v>41</v>
      </c>
      <c r="AZ5388" s="2" t="s">
        <v>82</v>
      </c>
      <c r="BA5388" s="2">
        <v>41</v>
      </c>
      <c r="BB5388" s="2" t="s">
        <v>82</v>
      </c>
      <c r="BC5388" s="2">
        <v>115</v>
      </c>
      <c r="BD5388" s="2" t="s">
        <v>101</v>
      </c>
      <c r="BE5388" s="2">
        <v>25</v>
      </c>
      <c r="BF5388" s="2" t="s">
        <v>358</v>
      </c>
      <c r="BG5388" s="2">
        <v>7464</v>
      </c>
      <c r="BH5388" s="4">
        <v>9.7222222222222224E-2</v>
      </c>
      <c r="BI5388" s="4">
        <v>0.97916666666666663</v>
      </c>
      <c r="BJ5388" s="2">
        <v>33</v>
      </c>
      <c r="BK5388" s="2" t="s">
        <v>361</v>
      </c>
      <c r="BL5388" s="2" t="s">
        <v>16453</v>
      </c>
      <c r="BM5388" s="2">
        <v>13</v>
      </c>
      <c r="BN5388" s="2" t="s">
        <v>91</v>
      </c>
      <c r="BO5388" s="2"/>
      <c r="BP5388" s="2">
        <v>13</v>
      </c>
      <c r="BQ5388" s="2" t="s">
        <v>91</v>
      </c>
      <c r="BR5388" s="2" t="s">
        <v>169</v>
      </c>
      <c r="BS5388" s="3">
        <v>40543</v>
      </c>
      <c r="BT5388" s="4">
        <v>0.49800925925925926</v>
      </c>
    </row>
    <row r="5389" spans="1:72" x14ac:dyDescent="0.25">
      <c r="A5389" s="2">
        <v>8349</v>
      </c>
      <c r="B5389" s="2">
        <v>2010</v>
      </c>
      <c r="C5389" s="2" t="s">
        <v>171</v>
      </c>
      <c r="D5389" s="2" t="s">
        <v>73</v>
      </c>
      <c r="E5389" s="2"/>
      <c r="F5389" s="2">
        <v>393</v>
      </c>
      <c r="G5389" s="2" t="s">
        <v>3660</v>
      </c>
      <c r="H5389" s="2">
        <v>3</v>
      </c>
      <c r="I5389" s="2" t="s">
        <v>315</v>
      </c>
      <c r="J5389" s="2">
        <v>2</v>
      </c>
      <c r="K5389" s="2" t="s">
        <v>3661</v>
      </c>
      <c r="L5389" s="2" t="s">
        <v>3662</v>
      </c>
      <c r="M5389" s="3">
        <v>40543</v>
      </c>
      <c r="N5389" s="2" t="s">
        <v>16194</v>
      </c>
      <c r="O5389" s="2"/>
      <c r="P5389" s="2"/>
      <c r="Q5389" s="2" t="str">
        <f>"0693-E/10"</f>
        <v>0693-E/10</v>
      </c>
      <c r="R5389" s="2" t="s">
        <v>391</v>
      </c>
      <c r="S5389" s="2" t="s">
        <v>391</v>
      </c>
      <c r="T5389" s="2">
        <v>1</v>
      </c>
      <c r="U5389" s="2" t="s">
        <v>79</v>
      </c>
      <c r="V5389" s="2">
        <v>1</v>
      </c>
      <c r="W5389" s="2" t="s">
        <v>80</v>
      </c>
      <c r="X5389" s="2">
        <v>1</v>
      </c>
      <c r="Y5389" s="2" t="s">
        <v>81</v>
      </c>
      <c r="Z5389" s="2">
        <v>1</v>
      </c>
      <c r="AA5389" s="2" t="s">
        <v>82</v>
      </c>
      <c r="AB5389" s="2">
        <v>1</v>
      </c>
      <c r="AC5389" s="2" t="s">
        <v>178</v>
      </c>
      <c r="AD5389" s="3">
        <v>40542</v>
      </c>
      <c r="AE5389" s="4">
        <v>0.77083333333333337</v>
      </c>
      <c r="AF5389" s="3">
        <v>40542</v>
      </c>
      <c r="AG5389" s="4">
        <v>0.95833333333333337</v>
      </c>
      <c r="AH5389" s="2">
        <v>2</v>
      </c>
      <c r="AI5389" s="2" t="s">
        <v>84</v>
      </c>
      <c r="AJ5389" s="2">
        <v>9</v>
      </c>
      <c r="AK5389" s="2" t="s">
        <v>103</v>
      </c>
      <c r="AL5389" s="2">
        <v>25</v>
      </c>
      <c r="AM5389" s="2" t="s">
        <v>3073</v>
      </c>
      <c r="AN5389" s="2" t="s">
        <v>179</v>
      </c>
      <c r="AO5389" s="2" t="s">
        <v>987</v>
      </c>
      <c r="AP5389" s="2">
        <v>11</v>
      </c>
      <c r="AQ5389" s="2" t="s">
        <v>82</v>
      </c>
      <c r="AR5389" s="2"/>
      <c r="AS5389" s="2"/>
      <c r="AT5389" s="2" t="s">
        <v>16454</v>
      </c>
      <c r="AU5389" s="2"/>
      <c r="AV5389" s="2">
        <v>1</v>
      </c>
      <c r="AW5389" s="2"/>
      <c r="AX5389" s="2"/>
      <c r="AY5389" s="2">
        <v>41</v>
      </c>
      <c r="AZ5389" s="2" t="s">
        <v>82</v>
      </c>
      <c r="BA5389" s="2">
        <v>41</v>
      </c>
      <c r="BB5389" s="2" t="s">
        <v>82</v>
      </c>
      <c r="BC5389" s="2">
        <v>41</v>
      </c>
      <c r="BD5389" s="2" t="s">
        <v>82</v>
      </c>
      <c r="BE5389" s="2">
        <v>6</v>
      </c>
      <c r="BF5389" s="2" t="s">
        <v>616</v>
      </c>
      <c r="BG5389" s="2" t="s">
        <v>6898</v>
      </c>
      <c r="BH5389" s="2"/>
      <c r="BI5389" s="4">
        <v>0.76388888888888884</v>
      </c>
      <c r="BJ5389" s="2">
        <v>13</v>
      </c>
      <c r="BK5389" s="2" t="s">
        <v>91</v>
      </c>
      <c r="BL5389" s="2" t="s">
        <v>360</v>
      </c>
      <c r="BM5389" s="2">
        <v>4</v>
      </c>
      <c r="BN5389" s="2" t="s">
        <v>618</v>
      </c>
      <c r="BO5389" s="2"/>
      <c r="BP5389" s="2">
        <v>4</v>
      </c>
      <c r="BQ5389" s="2" t="s">
        <v>618</v>
      </c>
      <c r="BR5389" s="2" t="s">
        <v>619</v>
      </c>
      <c r="BS5389" s="3">
        <v>40543</v>
      </c>
      <c r="BT5389" s="4">
        <v>0.51438657407407407</v>
      </c>
    </row>
    <row r="5390" spans="1:72" x14ac:dyDescent="0.25">
      <c r="A5390" s="2">
        <v>8350</v>
      </c>
      <c r="B5390" s="2">
        <v>2010</v>
      </c>
      <c r="C5390" s="2" t="s">
        <v>377</v>
      </c>
      <c r="D5390" s="2" t="s">
        <v>73</v>
      </c>
      <c r="E5390" s="2"/>
      <c r="F5390" s="2">
        <v>426</v>
      </c>
      <c r="G5390" s="2" t="s">
        <v>378</v>
      </c>
      <c r="H5390" s="2">
        <v>108</v>
      </c>
      <c r="I5390" s="2" t="s">
        <v>1096</v>
      </c>
      <c r="J5390" s="2">
        <v>311</v>
      </c>
      <c r="K5390" s="2" t="s">
        <v>379</v>
      </c>
      <c r="L5390" s="2" t="s">
        <v>380</v>
      </c>
      <c r="M5390" s="3">
        <v>40543</v>
      </c>
      <c r="N5390" s="2" t="s">
        <v>7171</v>
      </c>
      <c r="O5390" s="2" t="s">
        <v>1344</v>
      </c>
      <c r="P5390" s="2"/>
      <c r="Q5390" s="2" t="str">
        <f>"311-C/10"</f>
        <v>311-C/10</v>
      </c>
      <c r="R5390" s="2" t="s">
        <v>1344</v>
      </c>
      <c r="S5390" s="2"/>
      <c r="T5390" s="2">
        <v>1</v>
      </c>
      <c r="U5390" s="2" t="s">
        <v>79</v>
      </c>
      <c r="V5390" s="2">
        <v>1</v>
      </c>
      <c r="W5390" s="2" t="s">
        <v>80</v>
      </c>
      <c r="X5390" s="2">
        <v>1</v>
      </c>
      <c r="Y5390" s="2" t="s">
        <v>81</v>
      </c>
      <c r="Z5390" s="2">
        <v>1</v>
      </c>
      <c r="AA5390" s="2" t="s">
        <v>82</v>
      </c>
      <c r="AB5390" s="2">
        <v>9</v>
      </c>
      <c r="AC5390" s="2" t="s">
        <v>124</v>
      </c>
      <c r="AD5390" s="3">
        <v>40542</v>
      </c>
      <c r="AE5390" s="2"/>
      <c r="AF5390" s="3">
        <v>40542</v>
      </c>
      <c r="AG5390" s="4">
        <v>0.75</v>
      </c>
      <c r="AH5390" s="2">
        <v>2</v>
      </c>
      <c r="AI5390" s="2" t="s">
        <v>84</v>
      </c>
      <c r="AJ5390" s="2">
        <v>9</v>
      </c>
      <c r="AK5390" s="2" t="s">
        <v>103</v>
      </c>
      <c r="AL5390" s="2">
        <v>29</v>
      </c>
      <c r="AM5390" s="2" t="s">
        <v>5416</v>
      </c>
      <c r="AN5390" s="2" t="s">
        <v>16455</v>
      </c>
      <c r="AO5390" s="2" t="s">
        <v>987</v>
      </c>
      <c r="AP5390" s="2">
        <v>11</v>
      </c>
      <c r="AQ5390" s="2" t="s">
        <v>82</v>
      </c>
      <c r="AR5390" s="2"/>
      <c r="AS5390" s="2"/>
      <c r="AT5390" s="2" t="s">
        <v>16456</v>
      </c>
      <c r="AU5390" s="2"/>
      <c r="AV5390" s="2"/>
      <c r="AW5390" s="2"/>
      <c r="AX5390" s="2"/>
      <c r="AY5390" s="2">
        <v>41</v>
      </c>
      <c r="AZ5390" s="2" t="s">
        <v>82</v>
      </c>
      <c r="BA5390" s="2">
        <v>41</v>
      </c>
      <c r="BB5390" s="2" t="s">
        <v>82</v>
      </c>
      <c r="BC5390" s="2">
        <v>41</v>
      </c>
      <c r="BD5390" s="2" t="s">
        <v>82</v>
      </c>
      <c r="BE5390" s="2">
        <v>41</v>
      </c>
      <c r="BF5390" s="2" t="s">
        <v>82</v>
      </c>
      <c r="BG5390" s="2"/>
      <c r="BH5390" s="2"/>
      <c r="BI5390" s="2"/>
      <c r="BJ5390" s="2">
        <v>241</v>
      </c>
      <c r="BK5390" s="2" t="s">
        <v>82</v>
      </c>
      <c r="BL5390" s="2"/>
      <c r="BM5390" s="2">
        <v>241</v>
      </c>
      <c r="BN5390" s="2" t="s">
        <v>82</v>
      </c>
      <c r="BO5390" s="2"/>
      <c r="BP5390" s="2">
        <v>241</v>
      </c>
      <c r="BQ5390" s="2" t="s">
        <v>82</v>
      </c>
      <c r="BR5390" s="2"/>
      <c r="BS5390" s="3">
        <v>40543</v>
      </c>
      <c r="BT5390" s="4">
        <v>0.55142361111111116</v>
      </c>
    </row>
    <row r="5391" spans="1:72" x14ac:dyDescent="0.25">
      <c r="A5391" s="2">
        <v>8351</v>
      </c>
      <c r="B5391" s="2">
        <v>2010</v>
      </c>
      <c r="C5391" s="2" t="s">
        <v>377</v>
      </c>
      <c r="D5391" s="2" t="s">
        <v>73</v>
      </c>
      <c r="E5391" s="2"/>
      <c r="F5391" s="2">
        <v>426</v>
      </c>
      <c r="G5391" s="2" t="s">
        <v>378</v>
      </c>
      <c r="H5391" s="2">
        <v>108</v>
      </c>
      <c r="I5391" s="2" t="s">
        <v>1096</v>
      </c>
      <c r="J5391" s="2">
        <v>311</v>
      </c>
      <c r="K5391" s="2" t="s">
        <v>379</v>
      </c>
      <c r="L5391" s="2" t="s">
        <v>380</v>
      </c>
      <c r="M5391" s="3">
        <v>40543</v>
      </c>
      <c r="N5391" s="2" t="s">
        <v>4427</v>
      </c>
      <c r="O5391" s="2"/>
      <c r="P5391" s="2"/>
      <c r="Q5391" s="2" t="str">
        <f>"312-C/10"</f>
        <v>312-C/10</v>
      </c>
      <c r="R5391" s="2" t="s">
        <v>1344</v>
      </c>
      <c r="S5391" s="2"/>
      <c r="T5391" s="2">
        <v>1</v>
      </c>
      <c r="U5391" s="2" t="s">
        <v>79</v>
      </c>
      <c r="V5391" s="2">
        <v>1</v>
      </c>
      <c r="W5391" s="2" t="s">
        <v>80</v>
      </c>
      <c r="X5391" s="2">
        <v>1</v>
      </c>
      <c r="Y5391" s="2" t="s">
        <v>81</v>
      </c>
      <c r="Z5391" s="2">
        <v>1</v>
      </c>
      <c r="AA5391" s="2" t="s">
        <v>82</v>
      </c>
      <c r="AB5391" s="2">
        <v>9</v>
      </c>
      <c r="AC5391" s="2" t="s">
        <v>124</v>
      </c>
      <c r="AD5391" s="3">
        <v>40542</v>
      </c>
      <c r="AE5391" s="2"/>
      <c r="AF5391" s="3">
        <v>40542</v>
      </c>
      <c r="AG5391" s="4">
        <v>0.75</v>
      </c>
      <c r="AH5391" s="2">
        <v>2</v>
      </c>
      <c r="AI5391" s="2" t="s">
        <v>84</v>
      </c>
      <c r="AJ5391" s="2">
        <v>9</v>
      </c>
      <c r="AK5391" s="2" t="s">
        <v>103</v>
      </c>
      <c r="AL5391" s="2">
        <v>29</v>
      </c>
      <c r="AM5391" s="2" t="s">
        <v>5416</v>
      </c>
      <c r="AN5391" s="2" t="s">
        <v>987</v>
      </c>
      <c r="AO5391" s="2" t="s">
        <v>3322</v>
      </c>
      <c r="AP5391" s="2">
        <v>11</v>
      </c>
      <c r="AQ5391" s="2" t="s">
        <v>82</v>
      </c>
      <c r="AR5391" s="2"/>
      <c r="AS5391" s="2"/>
      <c r="AT5391" s="2" t="s">
        <v>16457</v>
      </c>
      <c r="AU5391" s="2"/>
      <c r="AV5391" s="2"/>
      <c r="AW5391" s="2"/>
      <c r="AX5391" s="2"/>
      <c r="AY5391" s="2">
        <v>41</v>
      </c>
      <c r="AZ5391" s="2" t="s">
        <v>82</v>
      </c>
      <c r="BA5391" s="2">
        <v>41</v>
      </c>
      <c r="BB5391" s="2" t="s">
        <v>82</v>
      </c>
      <c r="BC5391" s="2">
        <v>41</v>
      </c>
      <c r="BD5391" s="2" t="s">
        <v>82</v>
      </c>
      <c r="BE5391" s="2">
        <v>41</v>
      </c>
      <c r="BF5391" s="2" t="s">
        <v>82</v>
      </c>
      <c r="BG5391" s="2"/>
      <c r="BH5391" s="2"/>
      <c r="BI5391" s="2"/>
      <c r="BJ5391" s="2">
        <v>241</v>
      </c>
      <c r="BK5391" s="2" t="s">
        <v>82</v>
      </c>
      <c r="BL5391" s="2"/>
      <c r="BM5391" s="2">
        <v>241</v>
      </c>
      <c r="BN5391" s="2" t="s">
        <v>82</v>
      </c>
      <c r="BO5391" s="2"/>
      <c r="BP5391" s="2">
        <v>241</v>
      </c>
      <c r="BQ5391" s="2" t="s">
        <v>82</v>
      </c>
      <c r="BR5391" s="2"/>
      <c r="BS5391" s="3">
        <v>40543</v>
      </c>
      <c r="BT5391" s="4">
        <v>0.5897337962962963</v>
      </c>
    </row>
    <row r="5392" spans="1:72" x14ac:dyDescent="0.25">
      <c r="A5392" s="2">
        <v>8352</v>
      </c>
      <c r="B5392" s="2">
        <v>2010</v>
      </c>
      <c r="C5392" s="2" t="s">
        <v>72</v>
      </c>
      <c r="D5392" s="2" t="s">
        <v>73</v>
      </c>
      <c r="E5392" s="2"/>
      <c r="F5392" s="2">
        <v>216</v>
      </c>
      <c r="G5392" s="2" t="s">
        <v>7658</v>
      </c>
      <c r="H5392" s="2">
        <v>108</v>
      </c>
      <c r="I5392" s="2" t="s">
        <v>1096</v>
      </c>
      <c r="J5392" s="2">
        <v>756</v>
      </c>
      <c r="K5392" s="2" t="s">
        <v>16025</v>
      </c>
      <c r="L5392" s="2" t="s">
        <v>16026</v>
      </c>
      <c r="M5392" s="3">
        <v>40543</v>
      </c>
      <c r="N5392" s="2" t="s">
        <v>16458</v>
      </c>
      <c r="O5392" s="2"/>
      <c r="P5392" s="2"/>
      <c r="Q5392" s="2" t="str">
        <f>"484-A/10"</f>
        <v>484-A/10</v>
      </c>
      <c r="R5392" s="2" t="s">
        <v>1547</v>
      </c>
      <c r="S5392" s="2" t="s">
        <v>1547</v>
      </c>
      <c r="T5392" s="2">
        <v>1</v>
      </c>
      <c r="U5392" s="2" t="s">
        <v>79</v>
      </c>
      <c r="V5392" s="2">
        <v>1</v>
      </c>
      <c r="W5392" s="2" t="s">
        <v>80</v>
      </c>
      <c r="X5392" s="2">
        <v>12</v>
      </c>
      <c r="Y5392" s="2" t="s">
        <v>148</v>
      </c>
      <c r="Z5392" s="2">
        <v>1</v>
      </c>
      <c r="AA5392" s="2" t="s">
        <v>82</v>
      </c>
      <c r="AB5392" s="2">
        <v>6</v>
      </c>
      <c r="AC5392" s="2" t="s">
        <v>83</v>
      </c>
      <c r="AD5392" s="3">
        <v>40542</v>
      </c>
      <c r="AE5392" s="2"/>
      <c r="AF5392" s="3">
        <v>40543</v>
      </c>
      <c r="AG5392" s="4">
        <v>0.46875</v>
      </c>
      <c r="AH5392" s="2">
        <v>2</v>
      </c>
      <c r="AI5392" s="2" t="s">
        <v>84</v>
      </c>
      <c r="AJ5392" s="2">
        <v>12</v>
      </c>
      <c r="AK5392" s="2" t="s">
        <v>85</v>
      </c>
      <c r="AL5392" s="2">
        <v>2</v>
      </c>
      <c r="AM5392" s="2" t="s">
        <v>163</v>
      </c>
      <c r="AN5392" s="2" t="s">
        <v>16459</v>
      </c>
      <c r="AO5392" s="2" t="s">
        <v>200</v>
      </c>
      <c r="AP5392" s="2">
        <v>11</v>
      </c>
      <c r="AQ5392" s="2" t="s">
        <v>82</v>
      </c>
      <c r="AR5392" s="2"/>
      <c r="AS5392" s="2"/>
      <c r="AT5392" s="2" t="s">
        <v>16460</v>
      </c>
      <c r="AU5392" s="2"/>
      <c r="AV5392" s="2"/>
      <c r="AW5392" s="2"/>
      <c r="AX5392" s="2"/>
      <c r="AY5392" s="2">
        <v>41</v>
      </c>
      <c r="AZ5392" s="2" t="s">
        <v>82</v>
      </c>
      <c r="BA5392" s="2">
        <v>41</v>
      </c>
      <c r="BB5392" s="2" t="s">
        <v>82</v>
      </c>
      <c r="BC5392" s="2">
        <v>41</v>
      </c>
      <c r="BD5392" s="2" t="s">
        <v>82</v>
      </c>
      <c r="BE5392" s="2">
        <v>47</v>
      </c>
      <c r="BF5392" s="2" t="s">
        <v>167</v>
      </c>
      <c r="BG5392" s="2" t="s">
        <v>16461</v>
      </c>
      <c r="BH5392" s="4">
        <v>0.83472222222222225</v>
      </c>
      <c r="BI5392" s="2"/>
      <c r="BJ5392" s="2">
        <v>13</v>
      </c>
      <c r="BK5392" s="2" t="s">
        <v>91</v>
      </c>
      <c r="BL5392" s="2" t="s">
        <v>92</v>
      </c>
      <c r="BM5392" s="2">
        <v>13</v>
      </c>
      <c r="BN5392" s="2" t="s">
        <v>91</v>
      </c>
      <c r="BO5392" s="2"/>
      <c r="BP5392" s="2">
        <v>13</v>
      </c>
      <c r="BQ5392" s="2" t="s">
        <v>91</v>
      </c>
      <c r="BR5392" s="2" t="s">
        <v>564</v>
      </c>
      <c r="BS5392" s="3">
        <v>40543</v>
      </c>
      <c r="BT5392" s="4">
        <v>0.60712962962962969</v>
      </c>
    </row>
    <row r="5393" spans="1:72" x14ac:dyDescent="0.25">
      <c r="A5393" s="2">
        <v>8353</v>
      </c>
      <c r="B5393" s="2">
        <v>2010</v>
      </c>
      <c r="C5393" s="2" t="s">
        <v>764</v>
      </c>
      <c r="D5393" s="2" t="s">
        <v>73</v>
      </c>
      <c r="E5393" s="2"/>
      <c r="F5393" s="2">
        <v>146</v>
      </c>
      <c r="G5393" s="2" t="s">
        <v>753</v>
      </c>
      <c r="H5393" s="2">
        <v>39</v>
      </c>
      <c r="I5393" s="2" t="s">
        <v>1117</v>
      </c>
      <c r="J5393" s="2">
        <v>322</v>
      </c>
      <c r="K5393" s="2" t="s">
        <v>754</v>
      </c>
      <c r="L5393" s="2" t="s">
        <v>755</v>
      </c>
      <c r="M5393" s="3">
        <v>40543</v>
      </c>
      <c r="N5393" s="2" t="s">
        <v>756</v>
      </c>
      <c r="O5393" s="2" t="s">
        <v>82</v>
      </c>
      <c r="P5393" s="2" t="s">
        <v>82</v>
      </c>
      <c r="Q5393" s="2" t="str">
        <f>"AP 070/10"</f>
        <v>AP 070/10</v>
      </c>
      <c r="R5393" s="2" t="s">
        <v>16462</v>
      </c>
      <c r="S5393" s="2" t="s">
        <v>82</v>
      </c>
      <c r="T5393" s="2">
        <v>1</v>
      </c>
      <c r="U5393" s="2" t="s">
        <v>79</v>
      </c>
      <c r="V5393" s="2">
        <v>1</v>
      </c>
      <c r="W5393" s="2" t="s">
        <v>80</v>
      </c>
      <c r="X5393" s="2">
        <v>1</v>
      </c>
      <c r="Y5393" s="2" t="s">
        <v>81</v>
      </c>
      <c r="Z5393" s="2">
        <v>10</v>
      </c>
      <c r="AA5393" s="2" t="s">
        <v>236</v>
      </c>
      <c r="AB5393" s="2">
        <v>9</v>
      </c>
      <c r="AC5393" s="2" t="s">
        <v>124</v>
      </c>
      <c r="AD5393" s="3">
        <v>40543</v>
      </c>
      <c r="AE5393" s="4">
        <v>0.52083333333333337</v>
      </c>
      <c r="AF5393" s="3">
        <v>40543</v>
      </c>
      <c r="AG5393" s="4">
        <v>0.52083333333333337</v>
      </c>
      <c r="AH5393" s="2">
        <v>6</v>
      </c>
      <c r="AI5393" s="2" t="s">
        <v>197</v>
      </c>
      <c r="AJ5393" s="2">
        <v>60</v>
      </c>
      <c r="AK5393" s="2" t="s">
        <v>543</v>
      </c>
      <c r="AL5393" s="2">
        <v>1</v>
      </c>
      <c r="AM5393" s="2" t="s">
        <v>2148</v>
      </c>
      <c r="AN5393" s="2" t="s">
        <v>16463</v>
      </c>
      <c r="AO5393" s="2" t="s">
        <v>16464</v>
      </c>
      <c r="AP5393" s="2">
        <v>11</v>
      </c>
      <c r="AQ5393" s="2" t="s">
        <v>82</v>
      </c>
      <c r="AR5393" s="2" t="s">
        <v>82</v>
      </c>
      <c r="AS5393" s="2" t="s">
        <v>82</v>
      </c>
      <c r="AT5393" s="2" t="s">
        <v>16465</v>
      </c>
      <c r="AU5393" s="2"/>
      <c r="AV5393" s="2"/>
      <c r="AW5393" s="2"/>
      <c r="AX5393" s="2"/>
      <c r="AY5393" s="2">
        <v>41</v>
      </c>
      <c r="AZ5393" s="2" t="s">
        <v>82</v>
      </c>
      <c r="BA5393" s="2">
        <v>41</v>
      </c>
      <c r="BB5393" s="2" t="s">
        <v>82</v>
      </c>
      <c r="BC5393" s="2">
        <v>41</v>
      </c>
      <c r="BD5393" s="2" t="s">
        <v>82</v>
      </c>
      <c r="BE5393" s="2">
        <v>13</v>
      </c>
      <c r="BF5393" s="2" t="s">
        <v>108</v>
      </c>
      <c r="BG5393" s="2" t="s">
        <v>873</v>
      </c>
      <c r="BH5393" s="4">
        <v>0.4861111111111111</v>
      </c>
      <c r="BI5393" s="4">
        <v>0.52083333333333337</v>
      </c>
      <c r="BJ5393" s="2">
        <v>13</v>
      </c>
      <c r="BK5393" s="2" t="s">
        <v>91</v>
      </c>
      <c r="BL5393" s="2" t="s">
        <v>185</v>
      </c>
      <c r="BM5393" s="2">
        <v>13</v>
      </c>
      <c r="BN5393" s="2" t="s">
        <v>91</v>
      </c>
      <c r="BO5393" s="2"/>
      <c r="BP5393" s="2">
        <v>13</v>
      </c>
      <c r="BQ5393" s="2" t="s">
        <v>91</v>
      </c>
      <c r="BR5393" s="2" t="s">
        <v>895</v>
      </c>
      <c r="BS5393" s="3">
        <v>40543</v>
      </c>
      <c r="BT5393" s="4">
        <v>0.66910879629629638</v>
      </c>
    </row>
    <row r="5394" spans="1:72" x14ac:dyDescent="0.25">
      <c r="A5394" s="2">
        <v>8355</v>
      </c>
      <c r="B5394" s="2">
        <v>2010</v>
      </c>
      <c r="C5394" s="2" t="s">
        <v>72</v>
      </c>
      <c r="D5394" s="2" t="s">
        <v>122</v>
      </c>
      <c r="E5394" s="2"/>
      <c r="F5394" s="2">
        <v>533</v>
      </c>
      <c r="G5394" s="2" t="s">
        <v>3397</v>
      </c>
      <c r="H5394" s="2">
        <v>3</v>
      </c>
      <c r="I5394" s="2" t="s">
        <v>315</v>
      </c>
      <c r="J5394" s="2">
        <v>765</v>
      </c>
      <c r="K5394" s="2" t="s">
        <v>16466</v>
      </c>
      <c r="L5394" s="2" t="s">
        <v>16467</v>
      </c>
      <c r="M5394" s="3">
        <v>40543</v>
      </c>
      <c r="N5394" s="2" t="s">
        <v>16468</v>
      </c>
      <c r="O5394" s="2"/>
      <c r="P5394" s="2"/>
      <c r="Q5394" s="2" t="str">
        <f>"158/10"</f>
        <v>158/10</v>
      </c>
      <c r="R5394" s="2" t="s">
        <v>148</v>
      </c>
      <c r="S5394" s="2"/>
      <c r="T5394" s="2">
        <v>1</v>
      </c>
      <c r="U5394" s="2" t="s">
        <v>79</v>
      </c>
      <c r="V5394" s="2">
        <v>1</v>
      </c>
      <c r="W5394" s="2" t="s">
        <v>80</v>
      </c>
      <c r="X5394" s="2">
        <v>12</v>
      </c>
      <c r="Y5394" s="2" t="s">
        <v>148</v>
      </c>
      <c r="Z5394" s="2">
        <v>1</v>
      </c>
      <c r="AA5394" s="2" t="s">
        <v>82</v>
      </c>
      <c r="AB5394" s="2">
        <v>6</v>
      </c>
      <c r="AC5394" s="2" t="s">
        <v>83</v>
      </c>
      <c r="AD5394" s="3">
        <v>40543</v>
      </c>
      <c r="AE5394" s="4">
        <v>0.3125</v>
      </c>
      <c r="AF5394" s="3">
        <v>40543</v>
      </c>
      <c r="AG5394" s="4">
        <v>0.42499999999999999</v>
      </c>
      <c r="AH5394" s="2">
        <v>5</v>
      </c>
      <c r="AI5394" s="2" t="s">
        <v>274</v>
      </c>
      <c r="AJ5394" s="2">
        <v>38</v>
      </c>
      <c r="AK5394" s="2" t="s">
        <v>1120</v>
      </c>
      <c r="AL5394" s="2">
        <v>11</v>
      </c>
      <c r="AM5394" s="2" t="s">
        <v>137</v>
      </c>
      <c r="AN5394" s="2"/>
      <c r="AO5394" s="2"/>
      <c r="AP5394" s="2">
        <v>11</v>
      </c>
      <c r="AQ5394" s="2" t="s">
        <v>82</v>
      </c>
      <c r="AR5394" s="2"/>
      <c r="AS5394" s="2"/>
      <c r="AT5394" s="2" t="s">
        <v>16469</v>
      </c>
      <c r="AU5394" s="2"/>
      <c r="AV5394" s="2"/>
      <c r="AW5394" s="2"/>
      <c r="AX5394" s="2"/>
      <c r="AY5394" s="2">
        <v>41</v>
      </c>
      <c r="AZ5394" s="2" t="s">
        <v>82</v>
      </c>
      <c r="BA5394" s="2">
        <v>41</v>
      </c>
      <c r="BB5394" s="2" t="s">
        <v>82</v>
      </c>
      <c r="BC5394" s="2">
        <v>41</v>
      </c>
      <c r="BD5394" s="2" t="s">
        <v>82</v>
      </c>
      <c r="BE5394" s="2">
        <v>13</v>
      </c>
      <c r="BF5394" s="2" t="s">
        <v>108</v>
      </c>
      <c r="BG5394" s="2">
        <v>1720</v>
      </c>
      <c r="BH5394" s="4">
        <v>0.41041666666666665</v>
      </c>
      <c r="BI5394" s="4">
        <v>0.44444444444444442</v>
      </c>
      <c r="BJ5394" s="2">
        <v>13</v>
      </c>
      <c r="BK5394" s="2" t="s">
        <v>91</v>
      </c>
      <c r="BL5394" s="2" t="s">
        <v>170</v>
      </c>
      <c r="BM5394" s="2">
        <v>13</v>
      </c>
      <c r="BN5394" s="2" t="s">
        <v>91</v>
      </c>
      <c r="BO5394" s="2"/>
      <c r="BP5394" s="2">
        <v>13</v>
      </c>
      <c r="BQ5394" s="2" t="s">
        <v>91</v>
      </c>
      <c r="BR5394" s="2" t="s">
        <v>3140</v>
      </c>
      <c r="BS5394" s="3">
        <v>40543</v>
      </c>
      <c r="BT5394" s="4">
        <v>0.79723379629629632</v>
      </c>
    </row>
    <row r="5395" spans="1:72" x14ac:dyDescent="0.25">
      <c r="A5395" s="2">
        <v>8356</v>
      </c>
      <c r="B5395" s="2">
        <v>2010</v>
      </c>
      <c r="C5395" s="2" t="s">
        <v>72</v>
      </c>
      <c r="D5395" s="2" t="s">
        <v>73</v>
      </c>
      <c r="E5395" s="2"/>
      <c r="F5395" s="2">
        <v>175</v>
      </c>
      <c r="G5395" s="2" t="s">
        <v>4170</v>
      </c>
      <c r="H5395" s="2">
        <v>42</v>
      </c>
      <c r="I5395" s="2" t="s">
        <v>1096</v>
      </c>
      <c r="J5395" s="2">
        <v>728</v>
      </c>
      <c r="K5395" s="2" t="s">
        <v>15156</v>
      </c>
      <c r="L5395" s="2" t="s">
        <v>15157</v>
      </c>
      <c r="M5395" s="3">
        <v>40543</v>
      </c>
      <c r="N5395" s="2" t="s">
        <v>15158</v>
      </c>
      <c r="O5395" s="2"/>
      <c r="P5395" s="2"/>
      <c r="Q5395" s="2" t="str">
        <f>"485-A/10"</f>
        <v>485-A/10</v>
      </c>
      <c r="R5395" s="2" t="s">
        <v>78</v>
      </c>
      <c r="S5395" s="2" t="s">
        <v>78</v>
      </c>
      <c r="T5395" s="2">
        <v>1</v>
      </c>
      <c r="U5395" s="2" t="s">
        <v>79</v>
      </c>
      <c r="V5395" s="2">
        <v>1</v>
      </c>
      <c r="W5395" s="2" t="s">
        <v>80</v>
      </c>
      <c r="X5395" s="2">
        <v>1</v>
      </c>
      <c r="Y5395" s="2" t="s">
        <v>81</v>
      </c>
      <c r="Z5395" s="2">
        <v>1</v>
      </c>
      <c r="AA5395" s="2" t="s">
        <v>82</v>
      </c>
      <c r="AB5395" s="2">
        <v>6</v>
      </c>
      <c r="AC5395" s="2" t="s">
        <v>83</v>
      </c>
      <c r="AD5395" s="3">
        <v>40543</v>
      </c>
      <c r="AE5395" s="2"/>
      <c r="AF5395" s="3">
        <v>40543</v>
      </c>
      <c r="AG5395" s="4">
        <v>0.5</v>
      </c>
      <c r="AH5395" s="2">
        <v>2</v>
      </c>
      <c r="AI5395" s="2" t="s">
        <v>84</v>
      </c>
      <c r="AJ5395" s="2">
        <v>12</v>
      </c>
      <c r="AK5395" s="2" t="s">
        <v>85</v>
      </c>
      <c r="AL5395" s="2">
        <v>22</v>
      </c>
      <c r="AM5395" s="2" t="s">
        <v>1853</v>
      </c>
      <c r="AN5395" s="2" t="s">
        <v>16470</v>
      </c>
      <c r="AO5395" s="2" t="s">
        <v>16471</v>
      </c>
      <c r="AP5395" s="2">
        <v>11</v>
      </c>
      <c r="AQ5395" s="2" t="s">
        <v>82</v>
      </c>
      <c r="AR5395" s="2"/>
      <c r="AS5395" s="2"/>
      <c r="AT5395" s="2" t="s">
        <v>16472</v>
      </c>
      <c r="AU5395" s="2"/>
      <c r="AV5395" s="2"/>
      <c r="AW5395" s="2"/>
      <c r="AX5395" s="2"/>
      <c r="AY5395" s="2">
        <v>41</v>
      </c>
      <c r="AZ5395" s="2" t="s">
        <v>82</v>
      </c>
      <c r="BA5395" s="2">
        <v>41</v>
      </c>
      <c r="BB5395" s="2" t="s">
        <v>82</v>
      </c>
      <c r="BC5395" s="2">
        <v>41</v>
      </c>
      <c r="BD5395" s="2" t="s">
        <v>82</v>
      </c>
      <c r="BE5395" s="2">
        <v>4</v>
      </c>
      <c r="BF5395" s="2" t="s">
        <v>90</v>
      </c>
      <c r="BG5395" s="2" t="s">
        <v>10349</v>
      </c>
      <c r="BH5395" s="2"/>
      <c r="BI5395" s="4">
        <v>0.47222222222222227</v>
      </c>
      <c r="BJ5395" s="2">
        <v>13</v>
      </c>
      <c r="BK5395" s="2" t="s">
        <v>91</v>
      </c>
      <c r="BL5395" s="2" t="s">
        <v>564</v>
      </c>
      <c r="BM5395" s="2">
        <v>13</v>
      </c>
      <c r="BN5395" s="2" t="s">
        <v>91</v>
      </c>
      <c r="BO5395" s="2"/>
      <c r="BP5395" s="2">
        <v>13</v>
      </c>
      <c r="BQ5395" s="2" t="s">
        <v>91</v>
      </c>
      <c r="BR5395" s="2" t="s">
        <v>854</v>
      </c>
      <c r="BS5395" s="3">
        <v>40543</v>
      </c>
      <c r="BT5395" s="4">
        <v>0.845636574074074</v>
      </c>
    </row>
    <row r="5396" spans="1:72" x14ac:dyDescent="0.25">
      <c r="A5396" s="2">
        <v>8357</v>
      </c>
      <c r="B5396" s="2">
        <v>2010</v>
      </c>
      <c r="C5396" s="2" t="s">
        <v>4543</v>
      </c>
      <c r="D5396" s="2" t="s">
        <v>122</v>
      </c>
      <c r="E5396" s="2"/>
      <c r="F5396" s="2">
        <v>534</v>
      </c>
      <c r="G5396" s="2" t="s">
        <v>3919</v>
      </c>
      <c r="H5396" s="2">
        <v>149</v>
      </c>
      <c r="I5396" s="2" t="s">
        <v>14672</v>
      </c>
      <c r="J5396" s="2">
        <v>465</v>
      </c>
      <c r="K5396" s="2" t="s">
        <v>16473</v>
      </c>
      <c r="L5396" s="2" t="s">
        <v>16474</v>
      </c>
      <c r="M5396" s="3">
        <v>40543</v>
      </c>
      <c r="N5396" s="2"/>
      <c r="O5396" s="2"/>
      <c r="P5396" s="2"/>
      <c r="Q5396" s="2" t="str">
        <f>""</f>
        <v/>
      </c>
      <c r="R5396" s="2" t="s">
        <v>16475</v>
      </c>
      <c r="S5396" s="2"/>
      <c r="T5396" s="2">
        <v>2</v>
      </c>
      <c r="U5396" s="2" t="s">
        <v>123</v>
      </c>
      <c r="V5396" s="2">
        <v>1</v>
      </c>
      <c r="W5396" s="2" t="s">
        <v>80</v>
      </c>
      <c r="X5396" s="2">
        <v>1</v>
      </c>
      <c r="Y5396" s="2" t="s">
        <v>81</v>
      </c>
      <c r="Z5396" s="2">
        <v>1</v>
      </c>
      <c r="AA5396" s="2" t="s">
        <v>82</v>
      </c>
      <c r="AB5396" s="2">
        <v>9</v>
      </c>
      <c r="AC5396" s="2" t="s">
        <v>124</v>
      </c>
      <c r="AD5396" s="3">
        <v>40543</v>
      </c>
      <c r="AE5396" s="4">
        <v>0.71875</v>
      </c>
      <c r="AF5396" s="3">
        <v>40543</v>
      </c>
      <c r="AG5396" s="2"/>
      <c r="AH5396" s="2">
        <v>5</v>
      </c>
      <c r="AI5396" s="2" t="s">
        <v>274</v>
      </c>
      <c r="AJ5396" s="2">
        <v>41</v>
      </c>
      <c r="AK5396" s="2" t="s">
        <v>2751</v>
      </c>
      <c r="AL5396" s="2">
        <v>19</v>
      </c>
      <c r="AM5396" s="2" t="s">
        <v>107</v>
      </c>
      <c r="AN5396" s="2"/>
      <c r="AO5396" s="2" t="s">
        <v>2646</v>
      </c>
      <c r="AP5396" s="2">
        <v>11</v>
      </c>
      <c r="AQ5396" s="2" t="s">
        <v>82</v>
      </c>
      <c r="AR5396" s="2"/>
      <c r="AS5396" s="2"/>
      <c r="AT5396" s="2" t="s">
        <v>16476</v>
      </c>
      <c r="AU5396" s="2"/>
      <c r="AV5396" s="2"/>
      <c r="AW5396" s="2"/>
      <c r="AX5396" s="2"/>
      <c r="AY5396" s="2">
        <v>41</v>
      </c>
      <c r="AZ5396" s="2" t="s">
        <v>82</v>
      </c>
      <c r="BA5396" s="2">
        <v>41</v>
      </c>
      <c r="BB5396" s="2" t="s">
        <v>82</v>
      </c>
      <c r="BC5396" s="2">
        <v>41</v>
      </c>
      <c r="BD5396" s="2" t="s">
        <v>82</v>
      </c>
      <c r="BE5396" s="2">
        <v>41</v>
      </c>
      <c r="BF5396" s="2" t="s">
        <v>82</v>
      </c>
      <c r="BG5396" s="2"/>
      <c r="BH5396" s="2"/>
      <c r="BI5396" s="2"/>
      <c r="BJ5396" s="2">
        <v>241</v>
      </c>
      <c r="BK5396" s="2" t="s">
        <v>82</v>
      </c>
      <c r="BL5396" s="2"/>
      <c r="BM5396" s="2">
        <v>241</v>
      </c>
      <c r="BN5396" s="2" t="s">
        <v>82</v>
      </c>
      <c r="BO5396" s="2"/>
      <c r="BP5396" s="2">
        <v>241</v>
      </c>
      <c r="BQ5396" s="2" t="s">
        <v>82</v>
      </c>
      <c r="BR5396" s="2"/>
      <c r="BS5396" s="3">
        <v>40543</v>
      </c>
      <c r="BT5396" s="4">
        <v>0.87916666666666676</v>
      </c>
    </row>
    <row r="5397" spans="1:72" x14ac:dyDescent="0.25">
      <c r="A5397" s="2">
        <v>8358</v>
      </c>
      <c r="B5397" s="2">
        <v>2010</v>
      </c>
      <c r="C5397" s="2" t="s">
        <v>128</v>
      </c>
      <c r="D5397" s="2" t="s">
        <v>73</v>
      </c>
      <c r="E5397" s="2"/>
      <c r="F5397" s="2">
        <v>153</v>
      </c>
      <c r="G5397" s="2" t="s">
        <v>9047</v>
      </c>
      <c r="H5397" s="2">
        <v>7</v>
      </c>
      <c r="I5397" s="2" t="s">
        <v>476</v>
      </c>
      <c r="J5397" s="2">
        <v>165</v>
      </c>
      <c r="K5397" s="2" t="s">
        <v>8586</v>
      </c>
      <c r="L5397" s="2" t="s">
        <v>8587</v>
      </c>
      <c r="M5397" s="3">
        <v>40543</v>
      </c>
      <c r="N5397" s="2" t="s">
        <v>16369</v>
      </c>
      <c r="O5397" s="2"/>
      <c r="P5397" s="2"/>
      <c r="Q5397" s="2" t="str">
        <f>"483-A/10"</f>
        <v>483-A/10</v>
      </c>
      <c r="R5397" s="2"/>
      <c r="S5397" s="2" t="s">
        <v>16477</v>
      </c>
      <c r="T5397" s="2">
        <v>1</v>
      </c>
      <c r="U5397" s="2" t="s">
        <v>79</v>
      </c>
      <c r="V5397" s="2">
        <v>1</v>
      </c>
      <c r="W5397" s="2" t="s">
        <v>80</v>
      </c>
      <c r="X5397" s="2">
        <v>12</v>
      </c>
      <c r="Y5397" s="2" t="s">
        <v>148</v>
      </c>
      <c r="Z5397" s="2">
        <v>1</v>
      </c>
      <c r="AA5397" s="2" t="s">
        <v>82</v>
      </c>
      <c r="AB5397" s="2">
        <v>9</v>
      </c>
      <c r="AC5397" s="2" t="s">
        <v>124</v>
      </c>
      <c r="AD5397" s="3">
        <v>40542</v>
      </c>
      <c r="AE5397" s="2"/>
      <c r="AF5397" s="3">
        <v>40542</v>
      </c>
      <c r="AG5397" s="4">
        <v>0.84027777777777779</v>
      </c>
      <c r="AH5397" s="2">
        <v>2</v>
      </c>
      <c r="AI5397" s="2" t="s">
        <v>84</v>
      </c>
      <c r="AJ5397" s="2">
        <v>12</v>
      </c>
      <c r="AK5397" s="2" t="s">
        <v>85</v>
      </c>
      <c r="AL5397" s="2">
        <v>2</v>
      </c>
      <c r="AM5397" s="2" t="s">
        <v>163</v>
      </c>
      <c r="AN5397" s="2" t="s">
        <v>16478</v>
      </c>
      <c r="AO5397" s="2" t="s">
        <v>16479</v>
      </c>
      <c r="AP5397" s="2">
        <v>11</v>
      </c>
      <c r="AQ5397" s="2" t="s">
        <v>82</v>
      </c>
      <c r="AR5397" s="2"/>
      <c r="AS5397" s="2"/>
      <c r="AT5397" s="2" t="s">
        <v>16480</v>
      </c>
      <c r="AU5397" s="2"/>
      <c r="AV5397" s="2"/>
      <c r="AW5397" s="2"/>
      <c r="AX5397" s="2"/>
      <c r="AY5397" s="2">
        <v>41</v>
      </c>
      <c r="AZ5397" s="2" t="s">
        <v>82</v>
      </c>
      <c r="BA5397" s="2">
        <v>41</v>
      </c>
      <c r="BB5397" s="2" t="s">
        <v>82</v>
      </c>
      <c r="BC5397" s="2">
        <v>41</v>
      </c>
      <c r="BD5397" s="2" t="s">
        <v>82</v>
      </c>
      <c r="BE5397" s="2">
        <v>4</v>
      </c>
      <c r="BF5397" s="2" t="s">
        <v>90</v>
      </c>
      <c r="BG5397" s="2" t="s">
        <v>16481</v>
      </c>
      <c r="BH5397" s="4">
        <v>0.80555555555555547</v>
      </c>
      <c r="BI5397" s="2"/>
      <c r="BJ5397" s="2">
        <v>46</v>
      </c>
      <c r="BK5397" s="2" t="s">
        <v>307</v>
      </c>
      <c r="BL5397" s="2" t="s">
        <v>308</v>
      </c>
      <c r="BM5397" s="2">
        <v>13</v>
      </c>
      <c r="BN5397" s="2" t="s">
        <v>91</v>
      </c>
      <c r="BO5397" s="2"/>
      <c r="BP5397" s="2">
        <v>13</v>
      </c>
      <c r="BQ5397" s="2" t="s">
        <v>91</v>
      </c>
      <c r="BR5397" s="2" t="s">
        <v>564</v>
      </c>
      <c r="BS5397" s="3">
        <v>40543</v>
      </c>
      <c r="BT5397" s="4">
        <v>0.91228009259259257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archivo (20)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Documento sin título</dc:title>
  <dc:creator>Marcela Ester Quintana Fernandez</dc:creator>
  <cp:lastModifiedBy>Marcela Ester Quintana Fernandez</cp:lastModifiedBy>
  <dcterms:created xsi:type="dcterms:W3CDTF">2022-06-30T16:46:14Z</dcterms:created>
  <dcterms:modified xsi:type="dcterms:W3CDTF">2022-06-30T16:46:14Z</dcterms:modified>
</cp:coreProperties>
</file>